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stimation" sheetId="1" r:id="rId4"/>
    <sheet state="visible" name="Paramètres" sheetId="2" r:id="rId5"/>
    <sheet state="visible" name="Efficity" sheetId="3" r:id="rId6"/>
    <sheet state="visible" name="Bienici" sheetId="4" r:id="rId7"/>
    <sheet state="visible" name="Le Figaro" sheetId="5" r:id="rId8"/>
    <sheet state="visible" name="Notaires" sheetId="6" r:id="rId9"/>
    <sheet state="visible" name="Codes villes" sheetId="7" r:id="rId10"/>
    <sheet state="visible" name="Recherche ville" sheetId="8" r:id="rId11"/>
  </sheets>
  <definedNames/>
  <calcPr/>
</workbook>
</file>

<file path=xl/sharedStrings.xml><?xml version="1.0" encoding="utf-8"?>
<sst xmlns="http://schemas.openxmlformats.org/spreadsheetml/2006/main" count="147434" uniqueCount="40803">
  <si>
    <r>
      <rPr>
        <rFont val="Arial"/>
        <color theme="1"/>
        <sz val="12.0"/>
      </rPr>
      <t xml:space="preserve">Indiquez uniquement les cellules en </t>
    </r>
    <r>
      <rPr>
        <rFont val="Arial"/>
        <b/>
        <color rgb="FF7F6000"/>
        <sz val="12.0"/>
      </rPr>
      <t>surbrillance jaune</t>
    </r>
    <r>
      <rPr>
        <rFont val="Arial"/>
        <color theme="1"/>
        <sz val="12.0"/>
      </rPr>
      <t xml:space="preserve">, le reste c'est de la magie.
</t>
    </r>
    <r>
      <rPr>
        <rFont val="Arial"/>
        <b/>
        <color rgb="FF660000"/>
        <sz val="12.0"/>
      </rPr>
      <t>⚠️ N'oubliez pas de faire "fichier / créer une copie" pour pouvoir le modifier</t>
    </r>
  </si>
  <si>
    <r>
      <rPr>
        <rFont val="Arial"/>
        <b/>
        <color theme="1"/>
        <sz val="12.0"/>
      </rPr>
      <t xml:space="preserve"> 1   </t>
    </r>
    <r>
      <rPr>
        <rFont val="Arial"/>
        <b/>
        <color rgb="FF7F6000"/>
        <sz val="12.0"/>
      </rPr>
      <t>Surface habitable</t>
    </r>
  </si>
  <si>
    <t>m2</t>
  </si>
  <si>
    <r>
      <rPr>
        <rFont val="Arial"/>
        <b/>
        <color theme="1"/>
        <sz val="12.0"/>
      </rPr>
      <t xml:space="preserve"> 2   </t>
    </r>
    <r>
      <rPr>
        <rFont val="Arial"/>
        <b/>
        <color rgb="FF7F6000"/>
        <sz val="12.0"/>
      </rPr>
      <t>Code postal</t>
    </r>
  </si>
  <si>
    <t>49000</t>
  </si>
  <si>
    <t xml:space="preserve"> 75000,13000,69000 pour Paris / Marseille / Lyon</t>
  </si>
  <si>
    <r>
      <rPr>
        <rFont val="Arial"/>
        <b/>
        <color theme="1"/>
        <sz val="12.0"/>
      </rPr>
      <t xml:space="preserve"> 3   </t>
    </r>
    <r>
      <rPr>
        <rFont val="Arial"/>
        <b/>
        <color rgb="FF7F6000"/>
        <sz val="12.0"/>
      </rPr>
      <t>Type de bien</t>
    </r>
  </si>
  <si>
    <t>Maison</t>
  </si>
  <si>
    <r>
      <rPr>
        <rFont val="Arial"/>
        <b/>
        <color theme="1"/>
        <sz val="12.0"/>
      </rPr>
      <t xml:space="preserve"> 4   </t>
    </r>
    <r>
      <rPr>
        <rFont val="Arial"/>
        <b/>
        <color rgb="FF7F6000"/>
        <sz val="12.0"/>
      </rPr>
      <t>Surface extérieure</t>
    </r>
  </si>
  <si>
    <t xml:space="preserve"> m2 (jardin, terrasse, balcon, etc.)</t>
  </si>
  <si>
    <r>
      <rPr>
        <rFont val="Arial"/>
        <b/>
        <color theme="1"/>
        <sz val="12.0"/>
      </rPr>
      <t xml:space="preserve"> 5   </t>
    </r>
    <r>
      <rPr>
        <rFont val="Arial"/>
        <b/>
        <color rgb="FF7F6000"/>
        <sz val="12.0"/>
      </rPr>
      <t>Garage / Parking ?</t>
    </r>
  </si>
  <si>
    <t>Oui</t>
  </si>
  <si>
    <r>
      <rPr>
        <rFont val="Arial"/>
        <b/>
        <color theme="1"/>
        <sz val="12.0"/>
      </rPr>
      <t xml:space="preserve"> 7   </t>
    </r>
    <r>
      <rPr>
        <rFont val="Arial"/>
        <b val="0"/>
        <color theme="1"/>
        <sz val="12.0"/>
      </rPr>
      <t xml:space="preserve">Choisir la </t>
    </r>
    <r>
      <rPr>
        <rFont val="Arial"/>
        <b/>
        <color rgb="FF7F6000"/>
        <sz val="12.0"/>
      </rPr>
      <t>Ville</t>
    </r>
  </si>
  <si>
    <t>ANGERS</t>
  </si>
  <si>
    <r>
      <rPr>
        <rFont val="Arial"/>
        <i/>
        <color theme="1"/>
      </rPr>
      <t xml:space="preserve"> Choisir dans la liste (</t>
    </r>
    <r>
      <rPr>
        <rFont val="Arial"/>
        <b/>
        <i/>
        <color theme="1"/>
      </rPr>
      <t>générée à partir du code postal renseigné plus haut</t>
    </r>
    <r>
      <rPr>
        <rFont val="Arial"/>
        <i/>
        <color theme="1"/>
      </rPr>
      <t>)</t>
    </r>
  </si>
  <si>
    <r>
      <rPr>
        <rFont val="Arial"/>
        <b/>
        <color theme="1"/>
        <sz val="12.0"/>
      </rPr>
      <t xml:space="preserve"> 6   </t>
    </r>
    <r>
      <rPr>
        <rFont val="Arial"/>
        <b/>
        <color rgb="FF7F6000"/>
        <sz val="12.0"/>
      </rPr>
      <t>Standing du bien</t>
    </r>
  </si>
  <si>
    <t>Bas</t>
  </si>
  <si>
    <t xml:space="preserve"> si remis à neuf, qualité du bien, charme, etc.</t>
  </si>
  <si>
    <r>
      <rPr>
        <rFont val="Arial"/>
        <b/>
        <color theme="1"/>
        <sz val="12.0"/>
      </rPr>
      <t xml:space="preserve"> 8   </t>
    </r>
    <r>
      <rPr>
        <rFont val="Arial"/>
        <b val="0"/>
        <color theme="1"/>
        <sz val="12.0"/>
      </rPr>
      <t xml:space="preserve">Qualité du </t>
    </r>
    <r>
      <rPr>
        <rFont val="Arial"/>
        <b/>
        <color rgb="FF7F6000"/>
        <sz val="12.0"/>
      </rPr>
      <t>Quartier</t>
    </r>
  </si>
  <si>
    <t>Plutôt meilleure</t>
  </si>
  <si>
    <t xml:space="preserve"> par rapport à la moyenne de la ville</t>
  </si>
  <si>
    <t>Estimation de votre bien</t>
  </si>
  <si>
    <t>Prix m2 de votre bien</t>
  </si>
  <si>
    <t>Prix m2 moyen</t>
  </si>
  <si>
    <t>Prix moyens par site internet</t>
  </si>
  <si>
    <t>Basse</t>
  </si>
  <si>
    <t>Moyenne</t>
  </si>
  <si>
    <t>Haute</t>
  </si>
  <si>
    <t>-</t>
  </si>
  <si>
    <t>Poids quartier</t>
  </si>
  <si>
    <t>Poids Maison</t>
  </si>
  <si>
    <t>Poids Standing</t>
  </si>
  <si>
    <t>Valeur parking 
(en m2 du bien)</t>
  </si>
  <si>
    <t>Surface extérieur 
(% du prix m2 du bien)</t>
  </si>
  <si>
    <t>Max surface extérieure pour la surcôte (m2)</t>
  </si>
  <si>
    <t>ap moyen</t>
  </si>
  <si>
    <t>apt bas</t>
  </si>
  <si>
    <t>mais moyen</t>
  </si>
  <si>
    <t>apt haut</t>
  </si>
  <si>
    <t>mais bas</t>
  </si>
  <si>
    <t>mais haut</t>
  </si>
  <si>
    <t>Source:</t>
  </si>
  <si>
    <t>Ville</t>
  </si>
  <si>
    <t>Adresse</t>
  </si>
  <si>
    <t>Prix au m2</t>
  </si>
  <si>
    <t>Adresse web</t>
  </si>
  <si>
    <t>Nivgeo</t>
  </si>
  <si>
    <t>Inseequartier</t>
  </si>
  <si>
    <t>Inseecommuneglobale</t>
  </si>
  <si>
    <t>Inseecommune</t>
  </si>
  <si>
    <t>Inseedepartement</t>
  </si>
  <si>
    <t>Inseeepci</t>
  </si>
  <si>
    <t>Inseeuniteurbaine</t>
  </si>
  <si>
    <t>Inseeregion</t>
  </si>
  <si>
    <t>Type</t>
  </si>
  <si>
    <t>Pieces</t>
  </si>
  <si>
    <t>Tranchesurfacehabitable</t>
  </si>
  <si>
    <t>Parking</t>
  </si>
  <si>
    <t>Nbmutation</t>
  </si>
  <si>
    <t>Prixm2median</t>
  </si>
  <si>
    <t>Quartile1prixm2</t>
  </si>
  <si>
    <t>Quartile3prixm2</t>
  </si>
  <si>
    <t>1</t>
  </si>
  <si>
    <t>COMMUNE</t>
  </si>
  <si>
    <t/>
  </si>
  <si>
    <t>49007</t>
  </si>
  <si>
    <t>49</t>
  </si>
  <si>
    <t>244900015</t>
  </si>
  <si>
    <t>49701</t>
  </si>
  <si>
    <t>52</t>
  </si>
  <si>
    <t>AMA</t>
  </si>
  <si>
    <t>389</t>
  </si>
  <si>
    <t>3258</t>
  </si>
  <si>
    <t>2664</t>
  </si>
  <si>
    <t>3864</t>
  </si>
  <si>
    <t>Code Postal</t>
  </si>
  <si>
    <t>Code INSEE</t>
  </si>
  <si>
    <t>Commune</t>
  </si>
  <si>
    <t>Ville propre</t>
  </si>
  <si>
    <t>Département</t>
  </si>
  <si>
    <t>Région</t>
  </si>
  <si>
    <t>Code postal complet</t>
  </si>
  <si>
    <t>code insee complet</t>
  </si>
  <si>
    <t>59190</t>
  </si>
  <si>
    <t>MORBECQUE</t>
  </si>
  <si>
    <t>['NORD']</t>
  </si>
  <si>
    <t>['NORD-PAS-DE-CALAIS']</t>
  </si>
  <si>
    <t>22330</t>
  </si>
  <si>
    <t>LANGOURLA</t>
  </si>
  <si>
    <t>["COTES-D'ARMOR"]</t>
  </si>
  <si>
    <t>['BRETAGNE']</t>
  </si>
  <si>
    <t>31310</t>
  </si>
  <si>
    <t>GOUTEVERNISSE</t>
  </si>
  <si>
    <t>['HAUTE-GARONNE']</t>
  </si>
  <si>
    <t>['MIDI-PYRENEES']</t>
  </si>
  <si>
    <t>23220</t>
  </si>
  <si>
    <t>BONNAT</t>
  </si>
  <si>
    <t>['CREUSE']</t>
  </si>
  <si>
    <t>['LIMOUSIN']</t>
  </si>
  <si>
    <t>38740</t>
  </si>
  <si>
    <t>VALJOUFFREY</t>
  </si>
  <si>
    <t>['ISERE']</t>
  </si>
  <si>
    <t>['RHONE-ALPES']</t>
  </si>
  <si>
    <t>21170</t>
  </si>
  <si>
    <t>ESBARRES</t>
  </si>
  <si>
    <t>["COTE-D'OR"]</t>
  </si>
  <si>
    <t>['BOURGOGNE']</t>
  </si>
  <si>
    <t>62930</t>
  </si>
  <si>
    <t>WIMEREUX</t>
  </si>
  <si>
    <t>['PAS-DE-CALAIS']</t>
  </si>
  <si>
    <t>60590</t>
  </si>
  <si>
    <t>LABOSSE</t>
  </si>
  <si>
    <t>['OISE']</t>
  </si>
  <si>
    <t>['PICARDIE']</t>
  </si>
  <si>
    <t>62770</t>
  </si>
  <si>
    <t>NOYELLES-LES-HUMIERES</t>
  </si>
  <si>
    <t>34520</t>
  </si>
  <si>
    <t>SAINT-MAURICE-NAVACELLES</t>
  </si>
  <si>
    <t>['HERAULT']</t>
  </si>
  <si>
    <t>['LANGUEDOC-ROUSSILLON']</t>
  </si>
  <si>
    <t>45320</t>
  </si>
  <si>
    <t>FOUCHEROLLES</t>
  </si>
  <si>
    <t>['LOIRET']</t>
  </si>
  <si>
    <t>['CENTRE']</t>
  </si>
  <si>
    <t>26740</t>
  </si>
  <si>
    <t>MARSANNE</t>
  </si>
  <si>
    <t>['DROME']</t>
  </si>
  <si>
    <t>51330</t>
  </si>
  <si>
    <t>CHARMONT</t>
  </si>
  <si>
    <t>['MARNE']</t>
  </si>
  <si>
    <t>['CHAMPAGNE-ARDENNE']</t>
  </si>
  <si>
    <t>76170</t>
  </si>
  <si>
    <t>SAINT-JEAN-DE-FOLLEVILLE</t>
  </si>
  <si>
    <t>['SEINE-MARITIME']</t>
  </si>
  <si>
    <t>['HAUTE-NORMANDIE']</t>
  </si>
  <si>
    <t>14320</t>
  </si>
  <si>
    <t>SAINT-ANDRE-SUR-ORNE</t>
  </si>
  <si>
    <t>['CALVADOS']</t>
  </si>
  <si>
    <t>['BASSE-NORMANDIE']</t>
  </si>
  <si>
    <t>61360</t>
  </si>
  <si>
    <t>SAINT-JOUIN-DE-BLAVOU</t>
  </si>
  <si>
    <t>['ORNE']</t>
  </si>
  <si>
    <t>7240</t>
  </si>
  <si>
    <t>CHATEAUNEUF-DE-VERNOUX</t>
  </si>
  <si>
    <t>['ARDECHE']</t>
  </si>
  <si>
    <t>10130</t>
  </si>
  <si>
    <t>LIGNIERES</t>
  </si>
  <si>
    <t>['AUBE']</t>
  </si>
  <si>
    <t>68130</t>
  </si>
  <si>
    <t>CARSPACH</t>
  </si>
  <si>
    <t>['HAUT-RHIN']</t>
  </si>
  <si>
    <t>['ALSACE']</t>
  </si>
  <si>
    <t>48130</t>
  </si>
  <si>
    <t>JAVOLS</t>
  </si>
  <si>
    <t>['LOZERE']</t>
  </si>
  <si>
    <t>50200</t>
  </si>
  <si>
    <t>MONTHUCHON</t>
  </si>
  <si>
    <t>['MANCHE']</t>
  </si>
  <si>
    <t>3120</t>
  </si>
  <si>
    <t>BILLEZOIS</t>
  </si>
  <si>
    <t>['ALLIER']</t>
  </si>
  <si>
    <t>['AUVERGNE']</t>
  </si>
  <si>
    <t>31430</t>
  </si>
  <si>
    <t>MARIGNAC-LASCLARES</t>
  </si>
  <si>
    <t>42120</t>
  </si>
  <si>
    <t>PERREUX</t>
  </si>
  <si>
    <t>['LOIRE']</t>
  </si>
  <si>
    <t>34800</t>
  </si>
  <si>
    <t>CABRIERES</t>
  </si>
  <si>
    <t>14120</t>
  </si>
  <si>
    <t>MONDEVILLE</t>
  </si>
  <si>
    <t>56140</t>
  </si>
  <si>
    <t>MALESTROIT</t>
  </si>
  <si>
    <t>['MORBIHAN']</t>
  </si>
  <si>
    <t>29670</t>
  </si>
  <si>
    <t>LOCQUENOLE</t>
  </si>
  <si>
    <t>['FINISTERE']</t>
  </si>
  <si>
    <t>85120</t>
  </si>
  <si>
    <t>LA TARDIERE</t>
  </si>
  <si>
    <t>['VENDEE']</t>
  </si>
  <si>
    <t>['PAYS DE LA LOIRE']</t>
  </si>
  <si>
    <t>51390</t>
  </si>
  <si>
    <t>PARGNY-LES-REIMS</t>
  </si>
  <si>
    <t>46300</t>
  </si>
  <si>
    <t>SAINT-CIRQ-MADELON</t>
  </si>
  <si>
    <t>['LOT']</t>
  </si>
  <si>
    <t>41370</t>
  </si>
  <si>
    <t>CONCRIERS</t>
  </si>
  <si>
    <t>['LOIR-ET-CHER']</t>
  </si>
  <si>
    <t>2510</t>
  </si>
  <si>
    <t>HANNAPES</t>
  </si>
  <si>
    <t>['AISNE']</t>
  </si>
  <si>
    <t>88450</t>
  </si>
  <si>
    <t>REGNEY</t>
  </si>
  <si>
    <t>['VOSGES']</t>
  </si>
  <si>
    <t>['LORRAINE']</t>
  </si>
  <si>
    <t>2500</t>
  </si>
  <si>
    <t>LA HERIE</t>
  </si>
  <si>
    <t>65700</t>
  </si>
  <si>
    <t>LASCAZERES</t>
  </si>
  <si>
    <t>['HAUTES-PYRENEES']</t>
  </si>
  <si>
    <t>2190</t>
  </si>
  <si>
    <t>CONDE-SUR-SUIPPE</t>
  </si>
  <si>
    <t>37210</t>
  </si>
  <si>
    <t>ROCHECORBON</t>
  </si>
  <si>
    <t>['INDRE-ET-LOIRE']</t>
  </si>
  <si>
    <t>10280</t>
  </si>
  <si>
    <t>FONTAINE-LES-GRES</t>
  </si>
  <si>
    <t>67220</t>
  </si>
  <si>
    <t>SAINT-MAURICE</t>
  </si>
  <si>
    <t>['BAS-RHIN']</t>
  </si>
  <si>
    <t>25330</t>
  </si>
  <si>
    <t>AMONDANS</t>
  </si>
  <si>
    <t>['DOUBS']</t>
  </si>
  <si>
    <t>['FRANCHE-COMTE']</t>
  </si>
  <si>
    <t>2340</t>
  </si>
  <si>
    <t>RENNEVAL</t>
  </si>
  <si>
    <t>58700</t>
  </si>
  <si>
    <t>LA CELLE-SUR-NIEVRE</t>
  </si>
  <si>
    <t>['NIEVRE']</t>
  </si>
  <si>
    <t>67130</t>
  </si>
  <si>
    <t>LUTZELHOUSE</t>
  </si>
  <si>
    <t>80560</t>
  </si>
  <si>
    <t>FORCEVILLE</t>
  </si>
  <si>
    <t>['SOMME']</t>
  </si>
  <si>
    <t>6340</t>
  </si>
  <si>
    <t>CANTARON</t>
  </si>
  <si>
    <t>['ALPES-MARITIMES']</t>
  </si>
  <si>
    <t>["PROVENCE-ALPES-COTE D'AZUR"]</t>
  </si>
  <si>
    <t>81630</t>
  </si>
  <si>
    <t>BEAUVAIS-SUR-TESCOU</t>
  </si>
  <si>
    <t>['TARN']</t>
  </si>
  <si>
    <t>52160</t>
  </si>
  <si>
    <t>VILLARS-SANTENOGE</t>
  </si>
  <si>
    <t>['HAUTE-MARNE']</t>
  </si>
  <si>
    <t>VERNOUX-EN-VIVARAIS</t>
  </si>
  <si>
    <t>9600</t>
  </si>
  <si>
    <t>LIMBRASSAC</t>
  </si>
  <si>
    <t>['ARIEGE']</t>
  </si>
  <si>
    <t>27110</t>
  </si>
  <si>
    <t>LE TRONCQ</t>
  </si>
  <si>
    <t>['EURE']</t>
  </si>
  <si>
    <t>77860</t>
  </si>
  <si>
    <t>COUILLY-PONT-AUX-DAMES</t>
  </si>
  <si>
    <t>['SEINE-ET-MARNE']</t>
  </si>
  <si>
    <t>['ILE-DE-FRANCE']</t>
  </si>
  <si>
    <t>66310</t>
  </si>
  <si>
    <t>ESTAGEL</t>
  </si>
  <si>
    <t>['PYRENEES-ORIENTALES']</t>
  </si>
  <si>
    <t>47300</t>
  </si>
  <si>
    <t>PUJOLS</t>
  </si>
  <si>
    <t>['LOT-ET-GARONNE']</t>
  </si>
  <si>
    <t>['AQUITAINE']</t>
  </si>
  <si>
    <t>1380</t>
  </si>
  <si>
    <t>BAGE-LE-CHATEL</t>
  </si>
  <si>
    <t>['AIN']</t>
  </si>
  <si>
    <t>36400</t>
  </si>
  <si>
    <t>LA CHATRE</t>
  </si>
  <si>
    <t>['INDRE']</t>
  </si>
  <si>
    <t>24440</t>
  </si>
  <si>
    <t>BEAUMONT-DU-PERIGORD</t>
  </si>
  <si>
    <t>['DORDOGNE']</t>
  </si>
  <si>
    <t>9130</t>
  </si>
  <si>
    <t>LE FOSSAT</t>
  </si>
  <si>
    <t>68970</t>
  </si>
  <si>
    <t>GUEMAR</t>
  </si>
  <si>
    <t>64350</t>
  </si>
  <si>
    <t>ARRICAU-BORDES</t>
  </si>
  <si>
    <t>['PYRENEES-ATLANTIQUES']</t>
  </si>
  <si>
    <t>19470</t>
  </si>
  <si>
    <t>LE LONZAC</t>
  </si>
  <si>
    <t>['CORREZE']</t>
  </si>
  <si>
    <t>CHAOURSE</t>
  </si>
  <si>
    <t>89110</t>
  </si>
  <si>
    <t>SAINT-AUBIN-CHATEAU-NEUF</t>
  </si>
  <si>
    <t>['YONNE']</t>
  </si>
  <si>
    <t>11140</t>
  </si>
  <si>
    <t>AUNAT</t>
  </si>
  <si>
    <t>['AUDE']</t>
  </si>
  <si>
    <t>40090</t>
  </si>
  <si>
    <t>LUCBARDEZ-ET-BARGUES</t>
  </si>
  <si>
    <t>['LANDES']</t>
  </si>
  <si>
    <t>46600</t>
  </si>
  <si>
    <t>MONTVALENT</t>
  </si>
  <si>
    <t>60490</t>
  </si>
  <si>
    <t>RICQUEBOURG</t>
  </si>
  <si>
    <t>68510</t>
  </si>
  <si>
    <t>WALTENHEIM</t>
  </si>
  <si>
    <t>3350</t>
  </si>
  <si>
    <t>THENEUILLE</t>
  </si>
  <si>
    <t>85370</t>
  </si>
  <si>
    <t>LE LANGON</t>
  </si>
  <si>
    <t>60134</t>
  </si>
  <si>
    <t>VILLERS-SAINT-SEPULCRE</t>
  </si>
  <si>
    <t>40270</t>
  </si>
  <si>
    <t>RENUNG</t>
  </si>
  <si>
    <t>41210</t>
  </si>
  <si>
    <t>LA MAROLLE-EN-SOLOGNE</t>
  </si>
  <si>
    <t>28240</t>
  </si>
  <si>
    <t>FRIAIZE</t>
  </si>
  <si>
    <t>['EURE-ET-LOIR']</t>
  </si>
  <si>
    <t>57170</t>
  </si>
  <si>
    <t>SOTZELING</t>
  </si>
  <si>
    <t>['MOSELLE']</t>
  </si>
  <si>
    <t>73310</t>
  </si>
  <si>
    <t>SAINT-PIERRE-DE-CURTILLE</t>
  </si>
  <si>
    <t>['SAVOIE']</t>
  </si>
  <si>
    <t>88300</t>
  </si>
  <si>
    <t>ATTIGNEVILLE</t>
  </si>
  <si>
    <t>48500</t>
  </si>
  <si>
    <t>LA CANOURGUE</t>
  </si>
  <si>
    <t>31320</t>
  </si>
  <si>
    <t>MERVILLA</t>
  </si>
  <si>
    <t>59272</t>
  </si>
  <si>
    <t>DON</t>
  </si>
  <si>
    <t>27400</t>
  </si>
  <si>
    <t>LE MESNIL-JOURDAIN</t>
  </si>
  <si>
    <t>74490</t>
  </si>
  <si>
    <t>ONNION</t>
  </si>
  <si>
    <t>['HAUTE-SAVOIE']</t>
  </si>
  <si>
    <t>55250</t>
  </si>
  <si>
    <t>FOUCAUCOURT-SUR-THABAS</t>
  </si>
  <si>
    <t>['MEUSE']</t>
  </si>
  <si>
    <t>52130</t>
  </si>
  <si>
    <t>MAGNEUX</t>
  </si>
  <si>
    <t>8220</t>
  </si>
  <si>
    <t>BANOGNE-RECOUVRANCE</t>
  </si>
  <si>
    <t>['ARDENNES']</t>
  </si>
  <si>
    <t>2880</t>
  </si>
  <si>
    <t>CLAMECY</t>
  </si>
  <si>
    <t>43150</t>
  </si>
  <si>
    <t>ALLEYRAC</t>
  </si>
  <si>
    <t>['HAUTE-LOIRE']</t>
  </si>
  <si>
    <t>43230</t>
  </si>
  <si>
    <t>LA CHOMETTE</t>
  </si>
  <si>
    <t>79200</t>
  </si>
  <si>
    <t>SAURAIS</t>
  </si>
  <si>
    <t>['DEUX-SEVRES']</t>
  </si>
  <si>
    <t>['POITOU-CHARENTES']</t>
  </si>
  <si>
    <t>93000</t>
  </si>
  <si>
    <t>BOBIGNY</t>
  </si>
  <si>
    <t>['SEINE-SAINT-DENIS']</t>
  </si>
  <si>
    <t>71960</t>
  </si>
  <si>
    <t>LA ROCHE-VINEUSE</t>
  </si>
  <si>
    <t>['SAONE-ET-LOIRE']</t>
  </si>
  <si>
    <t>35350</t>
  </si>
  <si>
    <t>SAINT-MELOIR-DES-ONDES</t>
  </si>
  <si>
    <t>['ILLE-ET-VILAINE']</t>
  </si>
  <si>
    <t>69870</t>
  </si>
  <si>
    <t>SAINT-CYR-LE-CHATOUX</t>
  </si>
  <si>
    <t>['RHONE']</t>
  </si>
  <si>
    <t>63610</t>
  </si>
  <si>
    <t>SAINT-PIERRE-COLAMINE</t>
  </si>
  <si>
    <t>['PUY-DE-DOME']</t>
  </si>
  <si>
    <t>68600</t>
  </si>
  <si>
    <t>OBERSAASHEIM</t>
  </si>
  <si>
    <t>48250</t>
  </si>
  <si>
    <t>LUC</t>
  </si>
  <si>
    <t>10220</t>
  </si>
  <si>
    <t>ONJON</t>
  </si>
  <si>
    <t>78910</t>
  </si>
  <si>
    <t>PRUNAY-LE-TEMPLE</t>
  </si>
  <si>
    <t>['YVELINES']</t>
  </si>
  <si>
    <t>35480</t>
  </si>
  <si>
    <t>SAINT-MALO-DE-PHILY</t>
  </si>
  <si>
    <t>50510</t>
  </si>
  <si>
    <t>LE LOREUR</t>
  </si>
  <si>
    <t>42580</t>
  </si>
  <si>
    <t>LA TOUR-EN-JAREZ</t>
  </si>
  <si>
    <t>63460</t>
  </si>
  <si>
    <t>JOZERAND</t>
  </si>
  <si>
    <t>GAYON</t>
  </si>
  <si>
    <t>29690</t>
  </si>
  <si>
    <t>BOTMEUR</t>
  </si>
  <si>
    <t>85480</t>
  </si>
  <si>
    <t>FOUGERE</t>
  </si>
  <si>
    <t>73220</t>
  </si>
  <si>
    <t>SAINT-ALBAN-DES-HURTIERES</t>
  </si>
  <si>
    <t>37220</t>
  </si>
  <si>
    <t>L'ILE-BOUCHARD</t>
  </si>
  <si>
    <t>80220</t>
  </si>
  <si>
    <t>MAISNIERES</t>
  </si>
  <si>
    <t>47130</t>
  </si>
  <si>
    <t>BRUCH</t>
  </si>
  <si>
    <t>55000</t>
  </si>
  <si>
    <t>HAIRONVILLE</t>
  </si>
  <si>
    <t>21110</t>
  </si>
  <si>
    <t>CESSEY-SUR-TILLE</t>
  </si>
  <si>
    <t>19340</t>
  </si>
  <si>
    <t>MERLINES</t>
  </si>
  <si>
    <t>11250</t>
  </si>
  <si>
    <t>VERZEILLE</t>
  </si>
  <si>
    <t>35850</t>
  </si>
  <si>
    <t>GEVEZE</t>
  </si>
  <si>
    <t>41100</t>
  </si>
  <si>
    <t>PEZOU</t>
  </si>
  <si>
    <t>71170</t>
  </si>
  <si>
    <t>CHAUFFAILLES</t>
  </si>
  <si>
    <t>39250</t>
  </si>
  <si>
    <t>PLENISE</t>
  </si>
  <si>
    <t>['JURA']</t>
  </si>
  <si>
    <t>24590</t>
  </si>
  <si>
    <t>JAYAC</t>
  </si>
  <si>
    <t>59670</t>
  </si>
  <si>
    <t>OCHTEZEELE</t>
  </si>
  <si>
    <t>79290</t>
  </si>
  <si>
    <t>CERSAY</t>
  </si>
  <si>
    <t>71460</t>
  </si>
  <si>
    <t>CULLES-LES-ROCHES</t>
  </si>
  <si>
    <t>31600</t>
  </si>
  <si>
    <t>LHERM</t>
  </si>
  <si>
    <t>57160</t>
  </si>
  <si>
    <t>CHATEL-SAINT-GERMAIN</t>
  </si>
  <si>
    <t>35140</t>
  </si>
  <si>
    <t>GOSNE</t>
  </si>
  <si>
    <t>21230</t>
  </si>
  <si>
    <t>MAGNIEN</t>
  </si>
  <si>
    <t>1360</t>
  </si>
  <si>
    <t>BALAN</t>
  </si>
  <si>
    <t>57600</t>
  </si>
  <si>
    <t>MORSBACH</t>
  </si>
  <si>
    <t>25770</t>
  </si>
  <si>
    <t>FRANOIS</t>
  </si>
  <si>
    <t>2600</t>
  </si>
  <si>
    <t>TAILLEFONTAINE</t>
  </si>
  <si>
    <t>88600</t>
  </si>
  <si>
    <t>FIMENIL</t>
  </si>
  <si>
    <t>16130</t>
  </si>
  <si>
    <t>ANGEAC-CHAMPAGNE</t>
  </si>
  <si>
    <t>['CHARENTE']</t>
  </si>
  <si>
    <t>2810</t>
  </si>
  <si>
    <t>SAINT-GENGOULPH</t>
  </si>
  <si>
    <t>68620</t>
  </si>
  <si>
    <t>BITSCHWILLER-LES-THANN</t>
  </si>
  <si>
    <t>55600</t>
  </si>
  <si>
    <t>THONNE-LE-THIL</t>
  </si>
  <si>
    <t>51290</t>
  </si>
  <si>
    <t>AMBRIERES</t>
  </si>
  <si>
    <t>32420</t>
  </si>
  <si>
    <t>VILLEFRANCHE</t>
  </si>
  <si>
    <t>['GERS']</t>
  </si>
  <si>
    <t>42430</t>
  </si>
  <si>
    <t>CHAUSSETERRE</t>
  </si>
  <si>
    <t>24320</t>
  </si>
  <si>
    <t>LA CHAPELLE-GRESIGNAC</t>
  </si>
  <si>
    <t>76460</t>
  </si>
  <si>
    <t>PLEINE-SEVE</t>
  </si>
  <si>
    <t>88390</t>
  </si>
  <si>
    <t>DOMMARTIN-AUX-BOIS</t>
  </si>
  <si>
    <t>BERTRIC-BUREE</t>
  </si>
  <si>
    <t>71640</t>
  </si>
  <si>
    <t>GIVRY</t>
  </si>
  <si>
    <t>21510</t>
  </si>
  <si>
    <t>MAUVILLY</t>
  </si>
  <si>
    <t>71270</t>
  </si>
  <si>
    <t>MOUTHIER-EN-BRESSE</t>
  </si>
  <si>
    <t>63500</t>
  </si>
  <si>
    <t>SAINT-REMY-DE-CHARGNAT</t>
  </si>
  <si>
    <t>34380</t>
  </si>
  <si>
    <t>ROUET</t>
  </si>
  <si>
    <t>33690</t>
  </si>
  <si>
    <t>MASSEILLES</t>
  </si>
  <si>
    <t>['GIRONDE']</t>
  </si>
  <si>
    <t>12500</t>
  </si>
  <si>
    <t>BESSUEJOULS</t>
  </si>
  <si>
    <t>['AVEYRON']</t>
  </si>
  <si>
    <t>52300</t>
  </si>
  <si>
    <t>CUREL</t>
  </si>
  <si>
    <t>26150</t>
  </si>
  <si>
    <t>CHAMALOC</t>
  </si>
  <si>
    <t>8350</t>
  </si>
  <si>
    <t>VILLERS-SUR-BAR</t>
  </si>
  <si>
    <t>60149</t>
  </si>
  <si>
    <t>SAINT-CREPIN-IBOUVILLERS</t>
  </si>
  <si>
    <t>76210</t>
  </si>
  <si>
    <t>BOLLEVILLE</t>
  </si>
  <si>
    <t>35120</t>
  </si>
  <si>
    <t>BAGUER-PICAN</t>
  </si>
  <si>
    <t>41300</t>
  </si>
  <si>
    <t>SELLES-SAINT-DENIS</t>
  </si>
  <si>
    <t>3130</t>
  </si>
  <si>
    <t>SAINT-LEGER-SUR-VOUZANCE</t>
  </si>
  <si>
    <t>26330</t>
  </si>
  <si>
    <t>RATIERES</t>
  </si>
  <si>
    <t>16200</t>
  </si>
  <si>
    <t>FOUSSIGNAC</t>
  </si>
  <si>
    <t>17430</t>
  </si>
  <si>
    <t>GENOUILLE</t>
  </si>
  <si>
    <t>['CHARENTE-MARITIME']</t>
  </si>
  <si>
    <t>9100</t>
  </si>
  <si>
    <t>UNZENT</t>
  </si>
  <si>
    <t>19160</t>
  </si>
  <si>
    <t>LIGINIAC</t>
  </si>
  <si>
    <t>28200</t>
  </si>
  <si>
    <t>MARBOUE</t>
  </si>
  <si>
    <t>40170</t>
  </si>
  <si>
    <t>LIT-ET-MIXE</t>
  </si>
  <si>
    <t>62990</t>
  </si>
  <si>
    <t>LOISON-SUR-CREQUOISE</t>
  </si>
  <si>
    <t>57560</t>
  </si>
  <si>
    <t>ABRESCHVILLER</t>
  </si>
  <si>
    <t>LE VAUMAIN</t>
  </si>
  <si>
    <t>18190</t>
  </si>
  <si>
    <t>CHAVANNES</t>
  </si>
  <si>
    <t>['CHER']</t>
  </si>
  <si>
    <t>12260</t>
  </si>
  <si>
    <t>AMBEYRAC</t>
  </si>
  <si>
    <t>8130</t>
  </si>
  <si>
    <t>LAMETZ</t>
  </si>
  <si>
    <t>28310</t>
  </si>
  <si>
    <t>BARMAINVILLE</t>
  </si>
  <si>
    <t>77840</t>
  </si>
  <si>
    <t>GERMIGNY-SOUS-COULOMBS</t>
  </si>
  <si>
    <t>76230</t>
  </si>
  <si>
    <t>QUINCAMPOIX</t>
  </si>
  <si>
    <t>ARVIGNA</t>
  </si>
  <si>
    <t>53700</t>
  </si>
  <si>
    <t>SAINT-GERMAIN-DE-COULAMER</t>
  </si>
  <si>
    <t>['MAYENNE']</t>
  </si>
  <si>
    <t>72550</t>
  </si>
  <si>
    <t>LA QUINTE</t>
  </si>
  <si>
    <t>['SARTHE']</t>
  </si>
  <si>
    <t>39300</t>
  </si>
  <si>
    <t>CRANS</t>
  </si>
  <si>
    <t>30210</t>
  </si>
  <si>
    <t>COLLIAS</t>
  </si>
  <si>
    <t>['GARD']</t>
  </si>
  <si>
    <t>86430</t>
  </si>
  <si>
    <t>MOUTERRE-SUR-BLOURDE</t>
  </si>
  <si>
    <t>['VIENNE']</t>
  </si>
  <si>
    <t>WAHLBACH</t>
  </si>
  <si>
    <t>38780</t>
  </si>
  <si>
    <t>EYZIN-PINET</t>
  </si>
  <si>
    <t>50810</t>
  </si>
  <si>
    <t>SAINT-GERMAIN-D'ELLE</t>
  </si>
  <si>
    <t>36270</t>
  </si>
  <si>
    <t>BARAIZE</t>
  </si>
  <si>
    <t>38980</t>
  </si>
  <si>
    <t>CHATENAY</t>
  </si>
  <si>
    <t>95190</t>
  </si>
  <si>
    <t>FONTENAY-EN-PARISIS</t>
  </si>
  <si>
    <t>["VAL-D'OISE"]</t>
  </si>
  <si>
    <t>50530</t>
  </si>
  <si>
    <t>GENETS</t>
  </si>
  <si>
    <t>57370</t>
  </si>
  <si>
    <t>ZILLING</t>
  </si>
  <si>
    <t>54700</t>
  </si>
  <si>
    <t>SAINTE-GENEVIEVE</t>
  </si>
  <si>
    <t>['MEURTHE-ET-MOSELLE']</t>
  </si>
  <si>
    <t>55190</t>
  </si>
  <si>
    <t>PAGNY-SUR-MEUSE</t>
  </si>
  <si>
    <t>66340</t>
  </si>
  <si>
    <t>VALCEBOLLERE</t>
  </si>
  <si>
    <t>85300</t>
  </si>
  <si>
    <t>SOULLANS</t>
  </si>
  <si>
    <t>65800</t>
  </si>
  <si>
    <t>AUREILHAN</t>
  </si>
  <si>
    <t>16500</t>
  </si>
  <si>
    <t>ANSAC-SUR-VIENNE</t>
  </si>
  <si>
    <t>94220</t>
  </si>
  <si>
    <t>CHARENTON-LE-PONT</t>
  </si>
  <si>
    <t>['VAL-DE-MARNE']</t>
  </si>
  <si>
    <t>54200</t>
  </si>
  <si>
    <t>MENIL-LA-TOUR</t>
  </si>
  <si>
    <t>73170</t>
  </si>
  <si>
    <t>LUCEY</t>
  </si>
  <si>
    <t>23320</t>
  </si>
  <si>
    <t>BUSSIERE-DUNOISE</t>
  </si>
  <si>
    <t>82220</t>
  </si>
  <si>
    <t>LABARTHE</t>
  </si>
  <si>
    <t>['TARN-ET-GARONNE']</t>
  </si>
  <si>
    <t>55700</t>
  </si>
  <si>
    <t>MOUZAY</t>
  </si>
  <si>
    <t>65130</t>
  </si>
  <si>
    <t>BULAN</t>
  </si>
  <si>
    <t>MARIONS</t>
  </si>
  <si>
    <t>54450</t>
  </si>
  <si>
    <t>GONDREXON</t>
  </si>
  <si>
    <t>52140</t>
  </si>
  <si>
    <t>RANGECOURT</t>
  </si>
  <si>
    <t>31110</t>
  </si>
  <si>
    <t>OO</t>
  </si>
  <si>
    <t>39230</t>
  </si>
  <si>
    <t>LA CHARME</t>
  </si>
  <si>
    <t>62121</t>
  </si>
  <si>
    <t>MOYENNEVILLE</t>
  </si>
  <si>
    <t>67470</t>
  </si>
  <si>
    <t>MUNCHHAUSEN</t>
  </si>
  <si>
    <t>14270</t>
  </si>
  <si>
    <t>CESNY-AUX-VIGNES</t>
  </si>
  <si>
    <t>CORQUOY</t>
  </si>
  <si>
    <t>85200</t>
  </si>
  <si>
    <t>BOURNEAU</t>
  </si>
  <si>
    <t>29190</t>
  </si>
  <si>
    <t>SAINT-RIVOAL</t>
  </si>
  <si>
    <t>29460</t>
  </si>
  <si>
    <t>IRVILLAC</t>
  </si>
  <si>
    <t>31230</t>
  </si>
  <si>
    <t>RIOLAS</t>
  </si>
  <si>
    <t>16100</t>
  </si>
  <si>
    <t>JAVREZAC</t>
  </si>
  <si>
    <t>51340</t>
  </si>
  <si>
    <t>BIGNICOURT-SUR-SAULX</t>
  </si>
  <si>
    <t>20140</t>
  </si>
  <si>
    <t>2A284</t>
  </si>
  <si>
    <t>SOLLACARO</t>
  </si>
  <si>
    <t>['CORSE-DU-SUD']</t>
  </si>
  <si>
    <t>['CORSE']</t>
  </si>
  <si>
    <t>74420</t>
  </si>
  <si>
    <t>BURDIGNIN</t>
  </si>
  <si>
    <t>26270</t>
  </si>
  <si>
    <t>SAULCE-SUR-RHONE</t>
  </si>
  <si>
    <t>69390</t>
  </si>
  <si>
    <t>VERNAISON</t>
  </si>
  <si>
    <t>24410</t>
  </si>
  <si>
    <t>PARCOUL</t>
  </si>
  <si>
    <t>89200</t>
  </si>
  <si>
    <t>THORY</t>
  </si>
  <si>
    <t>54115</t>
  </si>
  <si>
    <t>TRAMONT-EMY</t>
  </si>
  <si>
    <t>86140</t>
  </si>
  <si>
    <t>DOUSSAY</t>
  </si>
  <si>
    <t>14700</t>
  </si>
  <si>
    <t>BONNOEIL</t>
  </si>
  <si>
    <t>67420</t>
  </si>
  <si>
    <t>BOURG-BRUCHE</t>
  </si>
  <si>
    <t>31380</t>
  </si>
  <si>
    <t>MONTASTRUC-LA-CONSEILLERE</t>
  </si>
  <si>
    <t>45120</t>
  </si>
  <si>
    <t>GIROLLES</t>
  </si>
  <si>
    <t>15300</t>
  </si>
  <si>
    <t>LAVEISSIERE</t>
  </si>
  <si>
    <t>['CANTAL']</t>
  </si>
  <si>
    <t>85130</t>
  </si>
  <si>
    <t>SAINT-AUBIN-DES-ORMEAUX</t>
  </si>
  <si>
    <t>15500</t>
  </si>
  <si>
    <t>MOLEDES</t>
  </si>
  <si>
    <t>1500</t>
  </si>
  <si>
    <t>AMBUTRIX</t>
  </si>
  <si>
    <t>16140</t>
  </si>
  <si>
    <t>FOUQUEURE</t>
  </si>
  <si>
    <t>54590</t>
  </si>
  <si>
    <t>HUSSIGNY-GODBRANGE</t>
  </si>
  <si>
    <t>88130</t>
  </si>
  <si>
    <t>XARONVAL</t>
  </si>
  <si>
    <t>57970</t>
  </si>
  <si>
    <t>BASSE-HAM</t>
  </si>
  <si>
    <t>82800</t>
  </si>
  <si>
    <t>VAISSAC</t>
  </si>
  <si>
    <t>24470</t>
  </si>
  <si>
    <t>SAINT-SAUD-LACOUSSIERE</t>
  </si>
  <si>
    <t>49700</t>
  </si>
  <si>
    <t>NOYANT-LA-PLAINE</t>
  </si>
  <si>
    <t>['MAINE-ET-LOIRE']</t>
  </si>
  <si>
    <t>8210</t>
  </si>
  <si>
    <t>AMBLIMONT</t>
  </si>
  <si>
    <t>61340</t>
  </si>
  <si>
    <t>SAINT-PIERRE-LA-BRUYERE</t>
  </si>
  <si>
    <t>62240</t>
  </si>
  <si>
    <t>SELLES</t>
  </si>
  <si>
    <t>4120</t>
  </si>
  <si>
    <t>ROUGON</t>
  </si>
  <si>
    <t>['ALPES-DE-HAUTE-PROVENCE']</t>
  </si>
  <si>
    <t>86250</t>
  </si>
  <si>
    <t>CHARROUX</t>
  </si>
  <si>
    <t>76490</t>
  </si>
  <si>
    <t>LOUVETOT</t>
  </si>
  <si>
    <t>64220</t>
  </si>
  <si>
    <t>LASSE</t>
  </si>
  <si>
    <t>12550</t>
  </si>
  <si>
    <t>LA BASTIDE-SOLAGES</t>
  </si>
  <si>
    <t>21140</t>
  </si>
  <si>
    <t>MASSINGY-LES-SEMUR</t>
  </si>
  <si>
    <t>BREITENBACH</t>
  </si>
  <si>
    <t>49250</t>
  </si>
  <si>
    <t>FONTAINE-GUERIN</t>
  </si>
  <si>
    <t>81240</t>
  </si>
  <si>
    <t>SAUVETERRE</t>
  </si>
  <si>
    <t>20000</t>
  </si>
  <si>
    <t>2A004</t>
  </si>
  <si>
    <t>AJACCIO</t>
  </si>
  <si>
    <t>49510</t>
  </si>
  <si>
    <t>LA POITEVINIERE</t>
  </si>
  <si>
    <t>64390</t>
  </si>
  <si>
    <t>ORAAS</t>
  </si>
  <si>
    <t>86260</t>
  </si>
  <si>
    <t>LA PUYE</t>
  </si>
  <si>
    <t>59137</t>
  </si>
  <si>
    <t>BUSIGNY</t>
  </si>
  <si>
    <t>62131</t>
  </si>
  <si>
    <t>VAUDRICOURT</t>
  </si>
  <si>
    <t>64270</t>
  </si>
  <si>
    <t>AUTERRIVE</t>
  </si>
  <si>
    <t>23140</t>
  </si>
  <si>
    <t>PIONNAT</t>
  </si>
  <si>
    <t>LAROQUE-D'OLMES</t>
  </si>
  <si>
    <t>9160</t>
  </si>
  <si>
    <t>LA BASTIDE-DU-SALAT</t>
  </si>
  <si>
    <t>11220</t>
  </si>
  <si>
    <t>TOURNISSAN</t>
  </si>
  <si>
    <t>56240</t>
  </si>
  <si>
    <t>PLOUAY</t>
  </si>
  <si>
    <t>31360</t>
  </si>
  <si>
    <t>PROUPIARY</t>
  </si>
  <si>
    <t>5230</t>
  </si>
  <si>
    <t>MONTGARDIN</t>
  </si>
  <si>
    <t>['HAUTES-ALPES']</t>
  </si>
  <si>
    <t>61410</t>
  </si>
  <si>
    <t>ANTOIGNY</t>
  </si>
  <si>
    <t>43160</t>
  </si>
  <si>
    <t>SAINT-PAL-DE-SENOUIRE</t>
  </si>
  <si>
    <t>49260</t>
  </si>
  <si>
    <t>EPIEDS</t>
  </si>
  <si>
    <t>82150</t>
  </si>
  <si>
    <t>SAINT-AMANS-DU-PECH</t>
  </si>
  <si>
    <t>88270</t>
  </si>
  <si>
    <t>DERBAMONT</t>
  </si>
  <si>
    <t>31470</t>
  </si>
  <si>
    <t>FONSORBES</t>
  </si>
  <si>
    <t>8430</t>
  </si>
  <si>
    <t>BAALONS</t>
  </si>
  <si>
    <t>14710</t>
  </si>
  <si>
    <t>ENGLESQUEVILLE-LA-PERCEE</t>
  </si>
  <si>
    <t>FAU-DE-PEYRE</t>
  </si>
  <si>
    <t>32300</t>
  </si>
  <si>
    <t>MIRAMONT-D'ASTARAC</t>
  </si>
  <si>
    <t>54112</t>
  </si>
  <si>
    <t>GIBEAUMEIX</t>
  </si>
  <si>
    <t>74400</t>
  </si>
  <si>
    <t>CHAMONIX-MONT-BLANC</t>
  </si>
  <si>
    <t>48400</t>
  </si>
  <si>
    <t>COCURES</t>
  </si>
  <si>
    <t>10700</t>
  </si>
  <si>
    <t>DOSNON</t>
  </si>
  <si>
    <t>54800</t>
  </si>
  <si>
    <t>OLLEY</t>
  </si>
  <si>
    <t>57420</t>
  </si>
  <si>
    <t>POMMERIEUX</t>
  </si>
  <si>
    <t>59218</t>
  </si>
  <si>
    <t>NEUVILLE-EN-AVESNOIS</t>
  </si>
  <si>
    <t>20287</t>
  </si>
  <si>
    <t>2B159</t>
  </si>
  <si>
    <t>MERIA</t>
  </si>
  <si>
    <t>['HAUTE-CORSE']</t>
  </si>
  <si>
    <t>14260</t>
  </si>
  <si>
    <t>ONDEFONTAINE</t>
  </si>
  <si>
    <t>76116</t>
  </si>
  <si>
    <t>CATENAY</t>
  </si>
  <si>
    <t>60150</t>
  </si>
  <si>
    <t>LE PLESSIS-BRION</t>
  </si>
  <si>
    <t>64870</t>
  </si>
  <si>
    <t>ESCOU</t>
  </si>
  <si>
    <t>42340</t>
  </si>
  <si>
    <t>RIVAS</t>
  </si>
  <si>
    <t>91410</t>
  </si>
  <si>
    <t>SAINT-CYR-SOUS-DOURDAN</t>
  </si>
  <si>
    <t>['ESSONNE']</t>
  </si>
  <si>
    <t>44290</t>
  </si>
  <si>
    <t>CONQUEREUIL</t>
  </si>
  <si>
    <t>['LOIRE-ATLANTIQUE']</t>
  </si>
  <si>
    <t>89630</t>
  </si>
  <si>
    <t>SAINT-LEGER-VAUBAN</t>
  </si>
  <si>
    <t>65410</t>
  </si>
  <si>
    <t>ILHET</t>
  </si>
  <si>
    <t>REUGNEY</t>
  </si>
  <si>
    <t>89320</t>
  </si>
  <si>
    <t>VAREILLES</t>
  </si>
  <si>
    <t>91720</t>
  </si>
  <si>
    <t>VALPUISEAUX</t>
  </si>
  <si>
    <t>CHATELUS</t>
  </si>
  <si>
    <t>JALLAIS</t>
  </si>
  <si>
    <t>60310</t>
  </si>
  <si>
    <t>CANDOR</t>
  </si>
  <si>
    <t>27120</t>
  </si>
  <si>
    <t>HOULBEC-COCHEREL</t>
  </si>
  <si>
    <t>14240</t>
  </si>
  <si>
    <t>FOULOGNES</t>
  </si>
  <si>
    <t>74470</t>
  </si>
  <si>
    <t>VAILLY</t>
  </si>
  <si>
    <t>VAVINCOURT</t>
  </si>
  <si>
    <t>SAINT-JEAN-LE-VIEUX</t>
  </si>
  <si>
    <t>65100</t>
  </si>
  <si>
    <t>JUNCALAS</t>
  </si>
  <si>
    <t>12350</t>
  </si>
  <si>
    <t>BRANDONNET</t>
  </si>
  <si>
    <t>33580</t>
  </si>
  <si>
    <t>LE PUY</t>
  </si>
  <si>
    <t>80100</t>
  </si>
  <si>
    <t>ABBEVILLE</t>
  </si>
  <si>
    <t>10210</t>
  </si>
  <si>
    <t>CUSSANGY</t>
  </si>
  <si>
    <t>SAINT-SAUVEUR-DE-PEYRE</t>
  </si>
  <si>
    <t>2130</t>
  </si>
  <si>
    <t>CRAMAILLE</t>
  </si>
  <si>
    <t>60120</t>
  </si>
  <si>
    <t>LE MESNIL-SAINT-FIRMIN</t>
  </si>
  <si>
    <t>89700</t>
  </si>
  <si>
    <t>JUNAY</t>
  </si>
  <si>
    <t>3200</t>
  </si>
  <si>
    <t>VICHY</t>
  </si>
  <si>
    <t>60710</t>
  </si>
  <si>
    <t>CHEVRIERES</t>
  </si>
  <si>
    <t>SAINT-PAUL-D'OUEIL</t>
  </si>
  <si>
    <t>1510</t>
  </si>
  <si>
    <t>VIRIEU-LE-GRAND</t>
  </si>
  <si>
    <t>62920</t>
  </si>
  <si>
    <t>OBLINGHEM</t>
  </si>
  <si>
    <t>68720</t>
  </si>
  <si>
    <t>LUEMSCHWILLER</t>
  </si>
  <si>
    <t>33410</t>
  </si>
  <si>
    <t>SAINTE-CROIX-DU-MONT</t>
  </si>
  <si>
    <t>83560</t>
  </si>
  <si>
    <t>SAINT-JULIEN</t>
  </si>
  <si>
    <t>['VAR']</t>
  </si>
  <si>
    <t>4300</t>
  </si>
  <si>
    <t>NIOZELLES</t>
  </si>
  <si>
    <t>11190</t>
  </si>
  <si>
    <t>COUIZA</t>
  </si>
  <si>
    <t>MONTGAUCH</t>
  </si>
  <si>
    <t>77181</t>
  </si>
  <si>
    <t>LE PIN</t>
  </si>
  <si>
    <t>75000</t>
  </si>
  <si>
    <t>PARIS</t>
  </si>
  <si>
    <t>['PARIS']</t>
  </si>
  <si>
    <t>75010</t>
  </si>
  <si>
    <t>PARIS-10E-ARRONDISSEMENT</t>
  </si>
  <si>
    <t>21200</t>
  </si>
  <si>
    <t>COMBERTAULT</t>
  </si>
  <si>
    <t>86220</t>
  </si>
  <si>
    <t>OYRE</t>
  </si>
  <si>
    <t>68560</t>
  </si>
  <si>
    <t>HEIMERSDORF</t>
  </si>
  <si>
    <t>12310</t>
  </si>
  <si>
    <t>VIMENET</t>
  </si>
  <si>
    <t>25410</t>
  </si>
  <si>
    <t>CORCONDRAY</t>
  </si>
  <si>
    <t>92500</t>
  </si>
  <si>
    <t>RUEIL-MALMAISON</t>
  </si>
  <si>
    <t>['HAUTS-DE-SEINE']</t>
  </si>
  <si>
    <t>62134</t>
  </si>
  <si>
    <t>FONTAINE-LES-BOULANS</t>
  </si>
  <si>
    <t>91090</t>
  </si>
  <si>
    <t>LISSES</t>
  </si>
  <si>
    <t>INCOURT</t>
  </si>
  <si>
    <t>72600</t>
  </si>
  <si>
    <t>PIZIEUX</t>
  </si>
  <si>
    <t>44140</t>
  </si>
  <si>
    <t>MONTBERT</t>
  </si>
  <si>
    <t>CANNECTANCOURT</t>
  </si>
  <si>
    <t>51250</t>
  </si>
  <si>
    <t>ALLIANCELLES</t>
  </si>
  <si>
    <t>44440</t>
  </si>
  <si>
    <t>RIAILLE</t>
  </si>
  <si>
    <t>INTREVILLE</t>
  </si>
  <si>
    <t>62910</t>
  </si>
  <si>
    <t>SERQUES</t>
  </si>
  <si>
    <t>43500</t>
  </si>
  <si>
    <t>JULLIANGES</t>
  </si>
  <si>
    <t>77230</t>
  </si>
  <si>
    <t>MONTGE-EN-GOELE</t>
  </si>
  <si>
    <t>80540</t>
  </si>
  <si>
    <t>SAISSEVAL</t>
  </si>
  <si>
    <t>27500</t>
  </si>
  <si>
    <t>SAINT-SYMPHORIEN</t>
  </si>
  <si>
    <t>38118</t>
  </si>
  <si>
    <t>HIERES-SUR-AMBY</t>
  </si>
  <si>
    <t>63570</t>
  </si>
  <si>
    <t>BEAULIEU</t>
  </si>
  <si>
    <t>33660</t>
  </si>
  <si>
    <t>SAINT-SEURIN-SUR-L'ISLE</t>
  </si>
  <si>
    <t>22260</t>
  </si>
  <si>
    <t>PLOEZAL</t>
  </si>
  <si>
    <t>35370</t>
  </si>
  <si>
    <t>LE PERTRE</t>
  </si>
  <si>
    <t>20229</t>
  </si>
  <si>
    <t>2B202</t>
  </si>
  <si>
    <t>PARATA</t>
  </si>
  <si>
    <t>57410</t>
  </si>
  <si>
    <t>RAHLING</t>
  </si>
  <si>
    <t>24500</t>
  </si>
  <si>
    <t>SADILLAC</t>
  </si>
  <si>
    <t>25140</t>
  </si>
  <si>
    <t>FOURNET-BLANCHEROCHE</t>
  </si>
  <si>
    <t>71350</t>
  </si>
  <si>
    <t>SAUNIERES</t>
  </si>
  <si>
    <t>71300</t>
  </si>
  <si>
    <t>MARY</t>
  </si>
  <si>
    <t>62124</t>
  </si>
  <si>
    <t>NEUVILLE-BOURJONVAL</t>
  </si>
  <si>
    <t>30250</t>
  </si>
  <si>
    <t>JUNAS</t>
  </si>
  <si>
    <t>66820</t>
  </si>
  <si>
    <t>CASTEIL</t>
  </si>
  <si>
    <t>91080</t>
  </si>
  <si>
    <t>COURCOURONNES</t>
  </si>
  <si>
    <t>87130</t>
  </si>
  <si>
    <t>LINARDS</t>
  </si>
  <si>
    <t>['HAUTE-VIENNE']</t>
  </si>
  <si>
    <t>54260</t>
  </si>
  <si>
    <t>EPIEZ-SUR-CHIERS</t>
  </si>
  <si>
    <t>12130</t>
  </si>
  <si>
    <t>SAINTE-EULALIE-D'OLT</t>
  </si>
  <si>
    <t>21800</t>
  </si>
  <si>
    <t>SENNECEY-LES-DIJON</t>
  </si>
  <si>
    <t>69860</t>
  </si>
  <si>
    <t>MONSOLS</t>
  </si>
  <si>
    <t>59138</t>
  </si>
  <si>
    <t>BACHANT</t>
  </si>
  <si>
    <t>41110</t>
  </si>
  <si>
    <t>MAREUIL-SUR-CHER</t>
  </si>
  <si>
    <t>32130</t>
  </si>
  <si>
    <t>LAHAS</t>
  </si>
  <si>
    <t>82130</t>
  </si>
  <si>
    <t>LAFRANCAISE</t>
  </si>
  <si>
    <t>35600</t>
  </si>
  <si>
    <t>REDON</t>
  </si>
  <si>
    <t>76760</t>
  </si>
  <si>
    <t>VIBEUF</t>
  </si>
  <si>
    <t>59270</t>
  </si>
  <si>
    <t>MERRIS</t>
  </si>
  <si>
    <t>31800</t>
  </si>
  <si>
    <t>LANDORTHE</t>
  </si>
  <si>
    <t>76440</t>
  </si>
  <si>
    <t>COMPAINVILLE</t>
  </si>
  <si>
    <t>40400</t>
  </si>
  <si>
    <t>MEILHAN</t>
  </si>
  <si>
    <t>43340</t>
  </si>
  <si>
    <t>BARGES</t>
  </si>
  <si>
    <t>38730</t>
  </si>
  <si>
    <t>PANISSAGE</t>
  </si>
  <si>
    <t>32600</t>
  </si>
  <si>
    <t>MONBRUN</t>
  </si>
  <si>
    <t>17160</t>
  </si>
  <si>
    <t>LA BROUSSE</t>
  </si>
  <si>
    <t>49430</t>
  </si>
  <si>
    <t>LEZIGNE</t>
  </si>
  <si>
    <t>59188</t>
  </si>
  <si>
    <t>SAINT-VAAST-EN-CAMBRESIS</t>
  </si>
  <si>
    <t>9350</t>
  </si>
  <si>
    <t>MONTFA</t>
  </si>
  <si>
    <t>51140</t>
  </si>
  <si>
    <t>HOURGES</t>
  </si>
  <si>
    <t>2200</t>
  </si>
  <si>
    <t>PASLY</t>
  </si>
  <si>
    <t>61250</t>
  </si>
  <si>
    <t>VALFRAMBERT</t>
  </si>
  <si>
    <t>81340</t>
  </si>
  <si>
    <t>PADIES</t>
  </si>
  <si>
    <t>68210</t>
  </si>
  <si>
    <t>MANSPACH</t>
  </si>
  <si>
    <t>95400</t>
  </si>
  <si>
    <t>VILLIERS-LE-BEL</t>
  </si>
  <si>
    <t>82230</t>
  </si>
  <si>
    <t>GENEBRIERES</t>
  </si>
  <si>
    <t>70360</t>
  </si>
  <si>
    <t>CHEMILLY</t>
  </si>
  <si>
    <t>['HAUTE-SAONE']</t>
  </si>
  <si>
    <t>DROSNAY</t>
  </si>
  <si>
    <t>71110</t>
  </si>
  <si>
    <t>MONTCEAUX-L'ETOILE</t>
  </si>
  <si>
    <t>28500</t>
  </si>
  <si>
    <t>SAINTE-GEMME-MORONVAL</t>
  </si>
  <si>
    <t>24140</t>
  </si>
  <si>
    <t>JAURE</t>
  </si>
  <si>
    <t>71240</t>
  </si>
  <si>
    <t>ETRIGNY</t>
  </si>
  <si>
    <t>70140</t>
  </si>
  <si>
    <t>LA GRANDE-RESIE</t>
  </si>
  <si>
    <t>16330</t>
  </si>
  <si>
    <t>VERVANT</t>
  </si>
  <si>
    <t>2140</t>
  </si>
  <si>
    <t>HOURY</t>
  </si>
  <si>
    <t>37800</t>
  </si>
  <si>
    <t>SAINTE-CATHERINE-DE-FIERBOIS</t>
  </si>
  <si>
    <t>83690</t>
  </si>
  <si>
    <t>SALERNES</t>
  </si>
  <si>
    <t>38580</t>
  </si>
  <si>
    <t>PINSOT</t>
  </si>
  <si>
    <t>13270</t>
  </si>
  <si>
    <t>FOS-SUR-MER</t>
  </si>
  <si>
    <t>['BOUCHES-DU-RHONE']</t>
  </si>
  <si>
    <t>24330</t>
  </si>
  <si>
    <t>MILHAC-D'AUBEROCHE</t>
  </si>
  <si>
    <t>52230</t>
  </si>
  <si>
    <t>SAUDRON</t>
  </si>
  <si>
    <t>13670</t>
  </si>
  <si>
    <t>VERQUIERES</t>
  </si>
  <si>
    <t>40320</t>
  </si>
  <si>
    <t>BAHUS-SOUBIRAN</t>
  </si>
  <si>
    <t>59720</t>
  </si>
  <si>
    <t>LOUVROIL</t>
  </si>
  <si>
    <t>87200</t>
  </si>
  <si>
    <t>SAINT-BRICE-SUR-VIENNE</t>
  </si>
  <si>
    <t>73100</t>
  </si>
  <si>
    <t>TREVIGNIN</t>
  </si>
  <si>
    <t>31530</t>
  </si>
  <si>
    <t>LE CASTERA</t>
  </si>
  <si>
    <t>55140</t>
  </si>
  <si>
    <t>SAINT-GERMAIN-SUR-MEUSE</t>
  </si>
  <si>
    <t>LA BOUSSAC</t>
  </si>
  <si>
    <t>70300</t>
  </si>
  <si>
    <t>VILLERS-LES-LUXEUIL</t>
  </si>
  <si>
    <t>46270</t>
  </si>
  <si>
    <t>MONTREDON</t>
  </si>
  <si>
    <t>71700</t>
  </si>
  <si>
    <t>CHARDONNAY</t>
  </si>
  <si>
    <t>16370</t>
  </si>
  <si>
    <t>BREVILLE</t>
  </si>
  <si>
    <t>2110</t>
  </si>
  <si>
    <t>SEBONCOURT</t>
  </si>
  <si>
    <t>27180</t>
  </si>
  <si>
    <t>BERNIENVILLE</t>
  </si>
  <si>
    <t>21390</t>
  </si>
  <si>
    <t>NORMIER</t>
  </si>
  <si>
    <t>11700</t>
  </si>
  <si>
    <t>ROQUECOURBE-MINERVOIS</t>
  </si>
  <si>
    <t>28190</t>
  </si>
  <si>
    <t>SAINT-GERMAIN-LE-GAILLARD</t>
  </si>
  <si>
    <t>60240</t>
  </si>
  <si>
    <t>LOCONVILLE</t>
  </si>
  <si>
    <t>1270</t>
  </si>
  <si>
    <t>BEAUPONT</t>
  </si>
  <si>
    <t>2120</t>
  </si>
  <si>
    <t>MONCEAU-SUR-OISE</t>
  </si>
  <si>
    <t>84120</t>
  </si>
  <si>
    <t>LA BASTIDONNE</t>
  </si>
  <si>
    <t>['VAUCLUSE']</t>
  </si>
  <si>
    <t>1300</t>
  </si>
  <si>
    <t>ANDERT-ET-CONDON</t>
  </si>
  <si>
    <t>9220</t>
  </si>
  <si>
    <t>GOULIER</t>
  </si>
  <si>
    <t>2000</t>
  </si>
  <si>
    <t>VAUCELLES-ET-BEFFECOURT</t>
  </si>
  <si>
    <t>67370</t>
  </si>
  <si>
    <t>WINTZENHEIM-KOCHERSBERG</t>
  </si>
  <si>
    <t>MALEVILLE</t>
  </si>
  <si>
    <t>57590</t>
  </si>
  <si>
    <t>FREMERY</t>
  </si>
  <si>
    <t>50220</t>
  </si>
  <si>
    <t>CEAUX</t>
  </si>
  <si>
    <t>62550</t>
  </si>
  <si>
    <t>NEDONCHEL</t>
  </si>
  <si>
    <t>60700</t>
  </si>
  <si>
    <t>SAINT-MARTIN-LONGUEAU</t>
  </si>
  <si>
    <t>63980</t>
  </si>
  <si>
    <t>ECHANDELYS</t>
  </si>
  <si>
    <t>26400</t>
  </si>
  <si>
    <t>EYGLUY-ESCOULIN</t>
  </si>
  <si>
    <t>24520</t>
  </si>
  <si>
    <t>COURS-DE-PILE</t>
  </si>
  <si>
    <t>78290</t>
  </si>
  <si>
    <t>CROISSY-SUR-SEINE</t>
  </si>
  <si>
    <t>75016</t>
  </si>
  <si>
    <t>PARIS-16E-ARRONDISSEMENT</t>
  </si>
  <si>
    <t>46130</t>
  </si>
  <si>
    <t>PRUDHOMAT</t>
  </si>
  <si>
    <t>11300</t>
  </si>
  <si>
    <t>LOUPIA</t>
  </si>
  <si>
    <t>21250</t>
  </si>
  <si>
    <t>PAGNY-LE-CHATEAU</t>
  </si>
  <si>
    <t>57220</t>
  </si>
  <si>
    <t>MOMERSTROFF</t>
  </si>
  <si>
    <t>ESTAL</t>
  </si>
  <si>
    <t>20238</t>
  </si>
  <si>
    <t>2B086</t>
  </si>
  <si>
    <t>CENTURI</t>
  </si>
  <si>
    <t>49320</t>
  </si>
  <si>
    <t>COUTURES</t>
  </si>
  <si>
    <t>27620</t>
  </si>
  <si>
    <t>BOIS-JEROME-SAINT-OUEN</t>
  </si>
  <si>
    <t>39160</t>
  </si>
  <si>
    <t>NANTEY</t>
  </si>
  <si>
    <t>86400</t>
  </si>
  <si>
    <t>SAINT-PIERRE-D'EXIDEUIL</t>
  </si>
  <si>
    <t>27240</t>
  </si>
  <si>
    <t>LES ESSARTS</t>
  </si>
  <si>
    <t>FLEURY</t>
  </si>
  <si>
    <t>25340</t>
  </si>
  <si>
    <t>ABBENANS</t>
  </si>
  <si>
    <t>24120</t>
  </si>
  <si>
    <t>COLY</t>
  </si>
  <si>
    <t>14690</t>
  </si>
  <si>
    <t>LE DETROIT</t>
  </si>
  <si>
    <t>60113/60190</t>
  </si>
  <si>
    <t>BAUGY</t>
  </si>
  <si>
    <t>55320</t>
  </si>
  <si>
    <t>DIEUE-SUR-MEUSE</t>
  </si>
  <si>
    <t>3700</t>
  </si>
  <si>
    <t>BRUGHEAS</t>
  </si>
  <si>
    <t>67320</t>
  </si>
  <si>
    <t>RAUWILLER</t>
  </si>
  <si>
    <t>57530</t>
  </si>
  <si>
    <t>BAZONCOURT</t>
  </si>
  <si>
    <t>62500</t>
  </si>
  <si>
    <t>TATINGHEM</t>
  </si>
  <si>
    <t>LA FRENAYE</t>
  </si>
  <si>
    <t>63290</t>
  </si>
  <si>
    <t>LACHAUX</t>
  </si>
  <si>
    <t>60550</t>
  </si>
  <si>
    <t>VERNEUIL-EN-HALATTE</t>
  </si>
  <si>
    <t>8310</t>
  </si>
  <si>
    <t>VILLE-SUR-RETOURNE</t>
  </si>
  <si>
    <t>35250</t>
  </si>
  <si>
    <t>SAINT-AUBIN-D'AUBIGNE</t>
  </si>
  <si>
    <t>52110</t>
  </si>
  <si>
    <t>MERTRUD</t>
  </si>
  <si>
    <t>14220</t>
  </si>
  <si>
    <t>COMBRAY</t>
  </si>
  <si>
    <t>27150</t>
  </si>
  <si>
    <t>COUDRAY</t>
  </si>
  <si>
    <t>50000</t>
  </si>
  <si>
    <t>SAINT-GEORGES-MONTCOCQ</t>
  </si>
  <si>
    <t>18370</t>
  </si>
  <si>
    <t>SAINT-SATURNIN</t>
  </si>
  <si>
    <t>2300</t>
  </si>
  <si>
    <t>BESME</t>
  </si>
  <si>
    <t>60520</t>
  </si>
  <si>
    <t>THIERS-SUR-THEVE</t>
  </si>
  <si>
    <t>50250</t>
  </si>
  <si>
    <t>LITHAIRE</t>
  </si>
  <si>
    <t>64370</t>
  </si>
  <si>
    <t>CASTEIDE-CANDAU</t>
  </si>
  <si>
    <t>18700</t>
  </si>
  <si>
    <t>AUBIGNY-SUR-NERE</t>
  </si>
  <si>
    <t>61210</t>
  </si>
  <si>
    <t>MONTREUIL-AU-HOULME</t>
  </si>
  <si>
    <t>44270</t>
  </si>
  <si>
    <t>SAINT-ETIENNE-DE-MER-MORTE</t>
  </si>
  <si>
    <t>2350</t>
  </si>
  <si>
    <t>PIERREPONT</t>
  </si>
  <si>
    <t>71400</t>
  </si>
  <si>
    <t>ANTULLY</t>
  </si>
  <si>
    <t>2220</t>
  </si>
  <si>
    <t>LHUYS</t>
  </si>
  <si>
    <t>TOURTOUR</t>
  </si>
  <si>
    <t>79100</t>
  </si>
  <si>
    <t>MAUZE-THOUARSAIS</t>
  </si>
  <si>
    <t>60650</t>
  </si>
  <si>
    <t>HANNACHES</t>
  </si>
  <si>
    <t>29940</t>
  </si>
  <si>
    <t>LA FORET-FOUESNANT</t>
  </si>
  <si>
    <t>59269</t>
  </si>
  <si>
    <t>SEPMERIES</t>
  </si>
  <si>
    <t>52320</t>
  </si>
  <si>
    <t>VIGNORY</t>
  </si>
  <si>
    <t>77515</t>
  </si>
  <si>
    <t>POMMEUSE</t>
  </si>
  <si>
    <t>37240</t>
  </si>
  <si>
    <t>BOURNAN</t>
  </si>
  <si>
    <t>82330</t>
  </si>
  <si>
    <t>VERFEIL</t>
  </si>
  <si>
    <t>58150</t>
  </si>
  <si>
    <t>SAINT-MARTIN-SUR-NOHAIN</t>
  </si>
  <si>
    <t>73330</t>
  </si>
  <si>
    <t>VEREL-DE-MONTBEL</t>
  </si>
  <si>
    <t>67430</t>
  </si>
  <si>
    <t>DOMFESSEL</t>
  </si>
  <si>
    <t>16300</t>
  </si>
  <si>
    <t>GUIMPS</t>
  </si>
  <si>
    <t>60440</t>
  </si>
  <si>
    <t>PEROY-LES-GOMBRIES</t>
  </si>
  <si>
    <t>45700</t>
  </si>
  <si>
    <t>SAINT-MAURICE-SUR-FESSARD</t>
  </si>
  <si>
    <t>20116</t>
  </si>
  <si>
    <t>2A024</t>
  </si>
  <si>
    <t>AULLENE</t>
  </si>
  <si>
    <t>9420</t>
  </si>
  <si>
    <t>CLERMONT</t>
  </si>
  <si>
    <t>44510</t>
  </si>
  <si>
    <t>LE POULIGUEN</t>
  </si>
  <si>
    <t>14620</t>
  </si>
  <si>
    <t>MORTEAUX-COULIBOEUF</t>
  </si>
  <si>
    <t>76430</t>
  </si>
  <si>
    <t>SAINNEVILLE</t>
  </si>
  <si>
    <t>51300</t>
  </si>
  <si>
    <t>FAVRESSE</t>
  </si>
  <si>
    <t>57940</t>
  </si>
  <si>
    <t>METZERVISSE</t>
  </si>
  <si>
    <t>1310</t>
  </si>
  <si>
    <t>BUELLAS</t>
  </si>
  <si>
    <t>60480</t>
  </si>
  <si>
    <t>CAMPREMY</t>
  </si>
  <si>
    <t>67120</t>
  </si>
  <si>
    <t>KOLBSHEIM</t>
  </si>
  <si>
    <t>8800</t>
  </si>
  <si>
    <t>HAULME</t>
  </si>
  <si>
    <t>16110</t>
  </si>
  <si>
    <t>RANCOGNE</t>
  </si>
  <si>
    <t>45240</t>
  </si>
  <si>
    <t>SENNELY</t>
  </si>
  <si>
    <t>41250</t>
  </si>
  <si>
    <t>MONT-PRES-CHAMBORD</t>
  </si>
  <si>
    <t>BRESSE-SUR-GROSNE</t>
  </si>
  <si>
    <t>54830</t>
  </si>
  <si>
    <t>HAUDONVILLE</t>
  </si>
  <si>
    <t>80800</t>
  </si>
  <si>
    <t>CORBIE</t>
  </si>
  <si>
    <t>73660</t>
  </si>
  <si>
    <t>LA CHAPELLE</t>
  </si>
  <si>
    <t>55130</t>
  </si>
  <si>
    <t>GONDRECOURT-LE-CHATEAU</t>
  </si>
  <si>
    <t>78440</t>
  </si>
  <si>
    <t>GUITRANCOURT</t>
  </si>
  <si>
    <t>17600</t>
  </si>
  <si>
    <t>LUCHAT</t>
  </si>
  <si>
    <t>54113</t>
  </si>
  <si>
    <t>MOUTROT</t>
  </si>
  <si>
    <t>MINOT</t>
  </si>
  <si>
    <t>32400</t>
  </si>
  <si>
    <t>LANNUX</t>
  </si>
  <si>
    <t>50310</t>
  </si>
  <si>
    <t>ECAUSSEVILLE</t>
  </si>
  <si>
    <t>11200</t>
  </si>
  <si>
    <t>CRUSCADES</t>
  </si>
  <si>
    <t>56920</t>
  </si>
  <si>
    <t>SAINT-GONNERY</t>
  </si>
  <si>
    <t>21340</t>
  </si>
  <si>
    <t>SANTOSSE</t>
  </si>
  <si>
    <t>9230</t>
  </si>
  <si>
    <t>CERIZOLS</t>
  </si>
  <si>
    <t>76560</t>
  </si>
  <si>
    <t>BENESVILLE</t>
  </si>
  <si>
    <t>47160</t>
  </si>
  <si>
    <t>AMBRUS</t>
  </si>
  <si>
    <t>18360</t>
  </si>
  <si>
    <t>SAINT-VITTE</t>
  </si>
  <si>
    <t>71480</t>
  </si>
  <si>
    <t>JOUDES</t>
  </si>
  <si>
    <t>34330</t>
  </si>
  <si>
    <t>CAMBON-ET-SALVERGUES</t>
  </si>
  <si>
    <t>LE MESNIL-VILLEMENT</t>
  </si>
  <si>
    <t>13480</t>
  </si>
  <si>
    <t>CABRIES</t>
  </si>
  <si>
    <t>60390</t>
  </si>
  <si>
    <t>LE VAUROUX</t>
  </si>
  <si>
    <t>80490</t>
  </si>
  <si>
    <t>BAILLEUL</t>
  </si>
  <si>
    <t>54580</t>
  </si>
  <si>
    <t>MOINEVILLE</t>
  </si>
  <si>
    <t>2700</t>
  </si>
  <si>
    <t>TERGNIER</t>
  </si>
  <si>
    <t>71390</t>
  </si>
  <si>
    <t>VILLENEUVE-EN-MONTAGNE</t>
  </si>
  <si>
    <t>15380</t>
  </si>
  <si>
    <t>SAINT-VINCENT-DE-SALERS</t>
  </si>
  <si>
    <t>ROCE</t>
  </si>
  <si>
    <t>62890</t>
  </si>
  <si>
    <t>TOURNEHEM-SUR-LA-HEM</t>
  </si>
  <si>
    <t>6640</t>
  </si>
  <si>
    <t>SAINT-JEANNET</t>
  </si>
  <si>
    <t>31580</t>
  </si>
  <si>
    <t>SEDEILHAC</t>
  </si>
  <si>
    <t>72120</t>
  </si>
  <si>
    <t>SAINTE-OSMANE</t>
  </si>
  <si>
    <t>72240</t>
  </si>
  <si>
    <t>CURES</t>
  </si>
  <si>
    <t>87210</t>
  </si>
  <si>
    <t>LE DORAT</t>
  </si>
  <si>
    <t>35290</t>
  </si>
  <si>
    <t>QUEDILLAC</t>
  </si>
  <si>
    <t>84810</t>
  </si>
  <si>
    <t>AUBIGNAN</t>
  </si>
  <si>
    <t>11400</t>
  </si>
  <si>
    <t>FENDEILLE</t>
  </si>
  <si>
    <t>88550</t>
  </si>
  <si>
    <t>POUXEUX</t>
  </si>
  <si>
    <t>67880</t>
  </si>
  <si>
    <t>INNENHEIM</t>
  </si>
  <si>
    <t>8110</t>
  </si>
  <si>
    <t>MOGUES</t>
  </si>
  <si>
    <t>57510</t>
  </si>
  <si>
    <t>HOLVING</t>
  </si>
  <si>
    <t>51240</t>
  </si>
  <si>
    <t>OMEY</t>
  </si>
  <si>
    <t>33190</t>
  </si>
  <si>
    <t>BARIE</t>
  </si>
  <si>
    <t>64330</t>
  </si>
  <si>
    <t>AUBOUS</t>
  </si>
  <si>
    <t>83136</t>
  </si>
  <si>
    <t>ROCBARON</t>
  </si>
  <si>
    <t>MERTZEN</t>
  </si>
  <si>
    <t>90330</t>
  </si>
  <si>
    <t>CHAUX</t>
  </si>
  <si>
    <t>['TERRITOIRE DE BELFORT']</t>
  </si>
  <si>
    <t>9300</t>
  </si>
  <si>
    <t>LEYCHERT</t>
  </si>
  <si>
    <t>47310</t>
  </si>
  <si>
    <t>MOIRAX</t>
  </si>
  <si>
    <t>64150</t>
  </si>
  <si>
    <t>LAGOR</t>
  </si>
  <si>
    <t>21121</t>
  </si>
  <si>
    <t>DAROIS</t>
  </si>
  <si>
    <t>PANNES</t>
  </si>
  <si>
    <t>25430</t>
  </si>
  <si>
    <t>RANDEVILLERS</t>
  </si>
  <si>
    <t>57720</t>
  </si>
  <si>
    <t>BREIDENBACH</t>
  </si>
  <si>
    <t>HECOURT</t>
  </si>
  <si>
    <t>38970</t>
  </si>
  <si>
    <t>LES COTES-DE-CORPS</t>
  </si>
  <si>
    <t>60190</t>
  </si>
  <si>
    <t>CRESSONSACQ</t>
  </si>
  <si>
    <t>38350</t>
  </si>
  <si>
    <t>LAVALDENS</t>
  </si>
  <si>
    <t>TRAMONT-LASSUS</t>
  </si>
  <si>
    <t>36100</t>
  </si>
  <si>
    <t>CHOUDAY</t>
  </si>
  <si>
    <t>43420</t>
  </si>
  <si>
    <t>SAINT-PAUL-DE-TARTAS</t>
  </si>
  <si>
    <t>LENGELSHEIM</t>
  </si>
  <si>
    <t>25580</t>
  </si>
  <si>
    <t>ECHEVANNES</t>
  </si>
  <si>
    <t>BLANCHERUPT</t>
  </si>
  <si>
    <t>28230</t>
  </si>
  <si>
    <t>EPERNON</t>
  </si>
  <si>
    <t>19290</t>
  </si>
  <si>
    <t>SAINT-SETIERS</t>
  </si>
  <si>
    <t>8270</t>
  </si>
  <si>
    <t>VAUX-MONTREUIL</t>
  </si>
  <si>
    <t>58200</t>
  </si>
  <si>
    <t>SAINT-LOUP</t>
  </si>
  <si>
    <t>67230</t>
  </si>
  <si>
    <t>WITTERNHEIM</t>
  </si>
  <si>
    <t>21430</t>
  </si>
  <si>
    <t>MENESSAIRE</t>
  </si>
  <si>
    <t>7320</t>
  </si>
  <si>
    <t>MARS</t>
  </si>
  <si>
    <t>51170</t>
  </si>
  <si>
    <t>AOUGNY</t>
  </si>
  <si>
    <t>MONTVALEN</t>
  </si>
  <si>
    <t>6440</t>
  </si>
  <si>
    <t>PEILLON</t>
  </si>
  <si>
    <t>51800</t>
  </si>
  <si>
    <t>CHATRICES</t>
  </si>
  <si>
    <t>7400</t>
  </si>
  <si>
    <t>ALBA-LA-ROMAINE</t>
  </si>
  <si>
    <t>33620</t>
  </si>
  <si>
    <t>CEZAC</t>
  </si>
  <si>
    <t>91390</t>
  </si>
  <si>
    <t>MORSANG-SUR-ORGE</t>
  </si>
  <si>
    <t>VAL-DE-VIERE</t>
  </si>
  <si>
    <t>14480</t>
  </si>
  <si>
    <t>SAINT-GABRIEL-BRECY</t>
  </si>
  <si>
    <t>10450</t>
  </si>
  <si>
    <t>BREVIANDES</t>
  </si>
  <si>
    <t>46160</t>
  </si>
  <si>
    <t>SAINT-SULPICE</t>
  </si>
  <si>
    <t>16170</t>
  </si>
  <si>
    <t>AUGE-SAINT-MEDARD</t>
  </si>
  <si>
    <t>SAINT-PIERRE-DE-MAILLE</t>
  </si>
  <si>
    <t>92300</t>
  </si>
  <si>
    <t>LEVALLOIS-PERRET</t>
  </si>
  <si>
    <t>79800</t>
  </si>
  <si>
    <t>SALLES</t>
  </si>
  <si>
    <t>28300</t>
  </si>
  <si>
    <t>CLEVILLIERS</t>
  </si>
  <si>
    <t>57830</t>
  </si>
  <si>
    <t>NEUFMOULINS</t>
  </si>
  <si>
    <t>81120</t>
  </si>
  <si>
    <t>LE TRAVET</t>
  </si>
  <si>
    <t>23190</t>
  </si>
  <si>
    <t>MAUTES</t>
  </si>
  <si>
    <t>34730</t>
  </si>
  <si>
    <t>SAINT-VINCENT-DE-BARBEYRARGUES</t>
  </si>
  <si>
    <t>64450</t>
  </si>
  <si>
    <t>DOUMY</t>
  </si>
  <si>
    <t>59231</t>
  </si>
  <si>
    <t>VILLERS-PLOUICH</t>
  </si>
  <si>
    <t>8400</t>
  </si>
  <si>
    <t>LIRY</t>
  </si>
  <si>
    <t>10100</t>
  </si>
  <si>
    <t>PARS-LES-ROMILLY</t>
  </si>
  <si>
    <t>35450</t>
  </si>
  <si>
    <t>VAL-D'IZE</t>
  </si>
  <si>
    <t>79700</t>
  </si>
  <si>
    <t>SAINT-PIERRE-DES-ECHAUBROGNES</t>
  </si>
  <si>
    <t>20123</t>
  </si>
  <si>
    <t>2A232</t>
  </si>
  <si>
    <t>PILA-CANALE</t>
  </si>
  <si>
    <t>77680</t>
  </si>
  <si>
    <t>ROISSY-EN-BRIE</t>
  </si>
  <si>
    <t>62810</t>
  </si>
  <si>
    <t>ESTREE-WAMIN</t>
  </si>
  <si>
    <t>72270</t>
  </si>
  <si>
    <t>ARTHEZE</t>
  </si>
  <si>
    <t>17290</t>
  </si>
  <si>
    <t>LE THOU</t>
  </si>
  <si>
    <t>42114</t>
  </si>
  <si>
    <t>CHIRASSIMONT</t>
  </si>
  <si>
    <t>5130</t>
  </si>
  <si>
    <t>VALSERRES</t>
  </si>
  <si>
    <t>61260</t>
  </si>
  <si>
    <t>LA ROUGE</t>
  </si>
  <si>
    <t>25550</t>
  </si>
  <si>
    <t>DUNG</t>
  </si>
  <si>
    <t>PUYMANGOU</t>
  </si>
  <si>
    <t>29710</t>
  </si>
  <si>
    <t>LANDUDEC</t>
  </si>
  <si>
    <t>45340</t>
  </si>
  <si>
    <t>NIBELLE</t>
  </si>
  <si>
    <t>21320</t>
  </si>
  <si>
    <t>EGUILLY</t>
  </si>
  <si>
    <t>44330</t>
  </si>
  <si>
    <t>LA REGRIPPIERE</t>
  </si>
  <si>
    <t>30190</t>
  </si>
  <si>
    <t>AUBUSSARGUES</t>
  </si>
  <si>
    <t>71320</t>
  </si>
  <si>
    <t>CUZY</t>
  </si>
  <si>
    <t>88210</t>
  </si>
  <si>
    <t>SAINT-STAIL</t>
  </si>
  <si>
    <t>44620</t>
  </si>
  <si>
    <t>LA MONTAGNE</t>
  </si>
  <si>
    <t>BRACHAY</t>
  </si>
  <si>
    <t>AINGOULAINCOURT</t>
  </si>
  <si>
    <t>TALAIRAN</t>
  </si>
  <si>
    <t>5160</t>
  </si>
  <si>
    <t>LE SAUZE-DU-LAC</t>
  </si>
  <si>
    <t>OHERVILLE</t>
  </si>
  <si>
    <t>36600</t>
  </si>
  <si>
    <t>LA VERNELLE</t>
  </si>
  <si>
    <t>4230</t>
  </si>
  <si>
    <t>CRUIS</t>
  </si>
  <si>
    <t>14340</t>
  </si>
  <si>
    <t>REPENTIGNY</t>
  </si>
  <si>
    <t>86410</t>
  </si>
  <si>
    <t>DIENNE</t>
  </si>
  <si>
    <t>61560</t>
  </si>
  <si>
    <t>SAINT-AUBIN-DE-COURTERAIE</t>
  </si>
  <si>
    <t>31350</t>
  </si>
  <si>
    <t>ESCANECRABE</t>
  </si>
  <si>
    <t>HATRIZE</t>
  </si>
  <si>
    <t>LALONQUETTE</t>
  </si>
  <si>
    <t>BOSSEVAL-ET-BRIANCOURT</t>
  </si>
  <si>
    <t>69300</t>
  </si>
  <si>
    <t>CALUIRE-ET-CUIRE</t>
  </si>
  <si>
    <t>14130</t>
  </si>
  <si>
    <t>BONNEVILLE-LA-LOUVET</t>
  </si>
  <si>
    <t>39140</t>
  </si>
  <si>
    <t>LARNAUD</t>
  </si>
  <si>
    <t>28210</t>
  </si>
  <si>
    <t>CROISILLES</t>
  </si>
  <si>
    <t>52360</t>
  </si>
  <si>
    <t>CHARMES</t>
  </si>
  <si>
    <t>VADENCOURT</t>
  </si>
  <si>
    <t>27460</t>
  </si>
  <si>
    <t>LE MANOIR</t>
  </si>
  <si>
    <t>76400</t>
  </si>
  <si>
    <t>FECAMP</t>
  </si>
  <si>
    <t>29800</t>
  </si>
  <si>
    <t>SAINT-URBAIN</t>
  </si>
  <si>
    <t>50420</t>
  </si>
  <si>
    <t>FERVACHES</t>
  </si>
  <si>
    <t>55100</t>
  </si>
  <si>
    <t>FROMEREVILLE-LES-VALLONS</t>
  </si>
  <si>
    <t>60690</t>
  </si>
  <si>
    <t>MARSEILLE-EN-BEAUVAISIS</t>
  </si>
  <si>
    <t>GUGNECOURT</t>
  </si>
  <si>
    <t>13150</t>
  </si>
  <si>
    <t>TARASCON</t>
  </si>
  <si>
    <t>29720</t>
  </si>
  <si>
    <t>PLOVAN</t>
  </si>
  <si>
    <t>MACHECOUL</t>
  </si>
  <si>
    <t>11270</t>
  </si>
  <si>
    <t>GENERVILLE</t>
  </si>
  <si>
    <t>33830</t>
  </si>
  <si>
    <t>LUGOS</t>
  </si>
  <si>
    <t>LE HERIE-LA-VIEVILLE</t>
  </si>
  <si>
    <t>7530</t>
  </si>
  <si>
    <t>ANTRAIGUES-SUR-VOLANE</t>
  </si>
  <si>
    <t>71150</t>
  </si>
  <si>
    <t>FONTAINES</t>
  </si>
  <si>
    <t>3390</t>
  </si>
  <si>
    <t>VERNUSSE</t>
  </si>
  <si>
    <t>50800</t>
  </si>
  <si>
    <t>SAINT-MARTIN-LE-BOUILLANT</t>
  </si>
  <si>
    <t>50140</t>
  </si>
  <si>
    <t>SAINT-CLEMENT-RANCOUDRAY</t>
  </si>
  <si>
    <t>61240</t>
  </si>
  <si>
    <t>LIGNERES</t>
  </si>
  <si>
    <t>59280</t>
  </si>
  <si>
    <t>BOIS-GRENIER</t>
  </si>
  <si>
    <t>2540</t>
  </si>
  <si>
    <t>VIFFORT</t>
  </si>
  <si>
    <t>80132</t>
  </si>
  <si>
    <t>QUESNOY-LE-MONTANT</t>
  </si>
  <si>
    <t>21700</t>
  </si>
  <si>
    <t>NUITS-SAINT-GEORGES</t>
  </si>
  <si>
    <t>37290</t>
  </si>
  <si>
    <t>YZEURES-SUR-CREUSE</t>
  </si>
  <si>
    <t>80860</t>
  </si>
  <si>
    <t>NOUVION</t>
  </si>
  <si>
    <t>70440</t>
  </si>
  <si>
    <t>SERVANCE</t>
  </si>
  <si>
    <t>58270</t>
  </si>
  <si>
    <t>SAINT-BENIN-D'AZY</t>
  </si>
  <si>
    <t>33350</t>
  </si>
  <si>
    <t>SAINT-PEY-DE-CASTETS</t>
  </si>
  <si>
    <t>83170</t>
  </si>
  <si>
    <t>LA CELLE</t>
  </si>
  <si>
    <t>49750</t>
  </si>
  <si>
    <t>SAINT-LAMBERT-DU-LATTAY</t>
  </si>
  <si>
    <t>39150</t>
  </si>
  <si>
    <t>BIEF-DES-MAISONS</t>
  </si>
  <si>
    <t>72450</t>
  </si>
  <si>
    <t>LOMBRON</t>
  </si>
  <si>
    <t>81220</t>
  </si>
  <si>
    <t>SERVIES</t>
  </si>
  <si>
    <t>63890</t>
  </si>
  <si>
    <t>SAINT-ELOY-LA-GLACIERE</t>
  </si>
  <si>
    <t>12170</t>
  </si>
  <si>
    <t>CONNAC</t>
  </si>
  <si>
    <t>22300</t>
  </si>
  <si>
    <t>SAINT-MICHEL-EN-GREVE</t>
  </si>
  <si>
    <t>CAUVIGNAC</t>
  </si>
  <si>
    <t>70400</t>
  </si>
  <si>
    <t>CHALONVILLARS</t>
  </si>
  <si>
    <t>60500</t>
  </si>
  <si>
    <t>CHANTILLY</t>
  </si>
  <si>
    <t>88500</t>
  </si>
  <si>
    <t>MATTAINCOURT</t>
  </si>
  <si>
    <t>16700</t>
  </si>
  <si>
    <t>NANTEUIL-EN-VALLEE</t>
  </si>
  <si>
    <t>32380</t>
  </si>
  <si>
    <t>ESTRAMIAC</t>
  </si>
  <si>
    <t>25380</t>
  </si>
  <si>
    <t>VAUCLUSOTTE</t>
  </si>
  <si>
    <t>60220</t>
  </si>
  <si>
    <t>FORMERIE</t>
  </si>
  <si>
    <t>59216</t>
  </si>
  <si>
    <t>DIMONT</t>
  </si>
  <si>
    <t>LA VILLE-AUX-BOIS-LES-DIZY</t>
  </si>
  <si>
    <t>65150</t>
  </si>
  <si>
    <t>BIZOUS</t>
  </si>
  <si>
    <t>LA HAYE-LE-COMTE</t>
  </si>
  <si>
    <t>19200</t>
  </si>
  <si>
    <t>THALAMY</t>
  </si>
  <si>
    <t>43370</t>
  </si>
  <si>
    <t>LE BRIGNON</t>
  </si>
  <si>
    <t>27390</t>
  </si>
  <si>
    <t>SAINT-PIERRE-DE-CERNIERES</t>
  </si>
  <si>
    <t>70000</t>
  </si>
  <si>
    <t>VALLEROIS-LORIOZ</t>
  </si>
  <si>
    <t>24260</t>
  </si>
  <si>
    <t>MAUZENS-ET-MIREMONT</t>
  </si>
  <si>
    <t>2260</t>
  </si>
  <si>
    <t>LERZY</t>
  </si>
  <si>
    <t>BUCILLY</t>
  </si>
  <si>
    <t>24340</t>
  </si>
  <si>
    <t>BEAUSSAC</t>
  </si>
  <si>
    <t>CROIXANVEC</t>
  </si>
  <si>
    <t>LE CAYROL</t>
  </si>
  <si>
    <t>SAINT-OUEN</t>
  </si>
  <si>
    <t>53230</t>
  </si>
  <si>
    <t>MERAL</t>
  </si>
  <si>
    <t>VAUDANCOURT</t>
  </si>
  <si>
    <t>52100</t>
  </si>
  <si>
    <t>VALCOURT</t>
  </si>
  <si>
    <t>5800</t>
  </si>
  <si>
    <t>SAINT-JACQUES-EN-VALGODEMARD</t>
  </si>
  <si>
    <t>MURS-ET-GELIGNIEUX</t>
  </si>
  <si>
    <t>14100</t>
  </si>
  <si>
    <t>GLOS</t>
  </si>
  <si>
    <t>24400</t>
  </si>
  <si>
    <t>MUSSIDAN</t>
  </si>
  <si>
    <t>45390</t>
  </si>
  <si>
    <t>LA NEUVILLE-SUR-ESSONNE</t>
  </si>
  <si>
    <t>29280</t>
  </si>
  <si>
    <t>PLOUZANE</t>
  </si>
  <si>
    <t>36150</t>
  </si>
  <si>
    <t>MENETREOLS-SOUS-VATAN</t>
  </si>
  <si>
    <t>16210</t>
  </si>
  <si>
    <t>BELLON</t>
  </si>
  <si>
    <t>32430</t>
  </si>
  <si>
    <t>ARDIZAS</t>
  </si>
  <si>
    <t>10290</t>
  </si>
  <si>
    <t>RIGNY-LA-NONNEUSE</t>
  </si>
  <si>
    <t>20112</t>
  </si>
  <si>
    <t>2A158</t>
  </si>
  <si>
    <t>MELA</t>
  </si>
  <si>
    <t>63230</t>
  </si>
  <si>
    <t>PULVERIERES</t>
  </si>
  <si>
    <t>PASSAVANT-EN-ARGONNE</t>
  </si>
  <si>
    <t>45480</t>
  </si>
  <si>
    <t>AUTRUY-SUR-JUINE</t>
  </si>
  <si>
    <t>VIMENIL</t>
  </si>
  <si>
    <t>12800</t>
  </si>
  <si>
    <t>CAMJAC</t>
  </si>
  <si>
    <t>CIVRY-EN-MONTAGNE</t>
  </si>
  <si>
    <t>9800</t>
  </si>
  <si>
    <t>AUCAZEIN</t>
  </si>
  <si>
    <t>33760</t>
  </si>
  <si>
    <t>BAIGNEAUX</t>
  </si>
  <si>
    <t>40380</t>
  </si>
  <si>
    <t>POYARTIN</t>
  </si>
  <si>
    <t>45370</t>
  </si>
  <si>
    <t>DRY</t>
  </si>
  <si>
    <t>59236</t>
  </si>
  <si>
    <t>FRELINGHIEN</t>
  </si>
  <si>
    <t>77560</t>
  </si>
  <si>
    <t>VOULTON</t>
  </si>
  <si>
    <t>VIRARGUES</t>
  </si>
  <si>
    <t>72170</t>
  </si>
  <si>
    <t>MARESCHE</t>
  </si>
  <si>
    <t>25320</t>
  </si>
  <si>
    <t>THORAISE</t>
  </si>
  <si>
    <t>17170</t>
  </si>
  <si>
    <t>COURCON</t>
  </si>
  <si>
    <t>81110</t>
  </si>
  <si>
    <t>VERDALLE</t>
  </si>
  <si>
    <t>30350</t>
  </si>
  <si>
    <t>CASSAGNOLES</t>
  </si>
  <si>
    <t>51460</t>
  </si>
  <si>
    <t>COURTISOLS</t>
  </si>
  <si>
    <t>38940</t>
  </si>
  <si>
    <t>SAINT-CLAIR-SUR-GALAURE</t>
  </si>
  <si>
    <t>SAVINES-LE-LAC</t>
  </si>
  <si>
    <t>10200</t>
  </si>
  <si>
    <t>FRAVAUX</t>
  </si>
  <si>
    <t>11600</t>
  </si>
  <si>
    <t>SALSIGNE</t>
  </si>
  <si>
    <t>VERNANCOURT</t>
  </si>
  <si>
    <t>64260</t>
  </si>
  <si>
    <t>ARUDY</t>
  </si>
  <si>
    <t>CARAYAC</t>
  </si>
  <si>
    <t>34290</t>
  </si>
  <si>
    <t>LIEURAN-LES-BEZIERS</t>
  </si>
  <si>
    <t>44690</t>
  </si>
  <si>
    <t>LA HAIE-FOUASSIERE</t>
  </si>
  <si>
    <t>70500</t>
  </si>
  <si>
    <t>RAINCOURT</t>
  </si>
  <si>
    <t>57660</t>
  </si>
  <si>
    <t>FREYBOUSE</t>
  </si>
  <si>
    <t>63340</t>
  </si>
  <si>
    <t>MAREUGHEOL</t>
  </si>
  <si>
    <t>64440</t>
  </si>
  <si>
    <t>LARUNS</t>
  </si>
  <si>
    <t>14430</t>
  </si>
  <si>
    <t>ANGERVILLE</t>
  </si>
  <si>
    <t>70800</t>
  </si>
  <si>
    <t>FLEUREY-LES-SAINT-LOUP</t>
  </si>
  <si>
    <t>COQUAINVILLIERS</t>
  </si>
  <si>
    <t>18600</t>
  </si>
  <si>
    <t>GIVARDON</t>
  </si>
  <si>
    <t>CANNY-SUR-MATZ</t>
  </si>
  <si>
    <t>21330</t>
  </si>
  <si>
    <t>POINCON-LES-LARREY</t>
  </si>
  <si>
    <t>24380</t>
  </si>
  <si>
    <t>SALON</t>
  </si>
  <si>
    <t>SAINT-ETIENNE-DU-VIGAN</t>
  </si>
  <si>
    <t>27140</t>
  </si>
  <si>
    <t>AMECOURT</t>
  </si>
  <si>
    <t>CAMPAGNE</t>
  </si>
  <si>
    <t>59262</t>
  </si>
  <si>
    <t>SAINGHIN-EN-MELANTOIS</t>
  </si>
  <si>
    <t>72160</t>
  </si>
  <si>
    <t>THORIGNE-SUR-DUE</t>
  </si>
  <si>
    <t>80230</t>
  </si>
  <si>
    <t>EPINEUIL</t>
  </si>
  <si>
    <t>ERIN</t>
  </si>
  <si>
    <t>45500</t>
  </si>
  <si>
    <t>GIEN</t>
  </si>
  <si>
    <t>36700</t>
  </si>
  <si>
    <t>MURS</t>
  </si>
  <si>
    <t>88150</t>
  </si>
  <si>
    <t>MAZELEY</t>
  </si>
  <si>
    <t>22980</t>
  </si>
  <si>
    <t>SAINT-MICHEL-DE-PLELAN</t>
  </si>
  <si>
    <t>38510</t>
  </si>
  <si>
    <t>LE BOUCHAGE</t>
  </si>
  <si>
    <t>21310</t>
  </si>
  <si>
    <t>RENEVE</t>
  </si>
  <si>
    <t>81360</t>
  </si>
  <si>
    <t>ARIFAT</t>
  </si>
  <si>
    <t>5400</t>
  </si>
  <si>
    <t>FURMEYER</t>
  </si>
  <si>
    <t>45360</t>
  </si>
  <si>
    <t>CHATILLON-SUR-LOIRE</t>
  </si>
  <si>
    <t>59310</t>
  </si>
  <si>
    <t>MOUCHIN</t>
  </si>
  <si>
    <t>51320</t>
  </si>
  <si>
    <t>HAUSSIMONT</t>
  </si>
  <si>
    <t>80500</t>
  </si>
  <si>
    <t>AYENCOURT</t>
  </si>
  <si>
    <t>78720</t>
  </si>
  <si>
    <t>LA CELLE-LES-BORDES</t>
  </si>
  <si>
    <t>VALENCAY</t>
  </si>
  <si>
    <t>51700</t>
  </si>
  <si>
    <t>NESLE-LE-REPONS</t>
  </si>
  <si>
    <t>76110</t>
  </si>
  <si>
    <t>AUBERVILLE-LA-RENAULT</t>
  </si>
  <si>
    <t>53110</t>
  </si>
  <si>
    <t>THUBOEUF</t>
  </si>
  <si>
    <t>JULOS</t>
  </si>
  <si>
    <t>24800</t>
  </si>
  <si>
    <t>VAUNAC</t>
  </si>
  <si>
    <t>80300</t>
  </si>
  <si>
    <t>IRLES</t>
  </si>
  <si>
    <t>39270</t>
  </si>
  <si>
    <t>AUGISEY</t>
  </si>
  <si>
    <t>LOMBREUIL</t>
  </si>
  <si>
    <t>35270</t>
  </si>
  <si>
    <t>CUGUEN</t>
  </si>
  <si>
    <t>77122</t>
  </si>
  <si>
    <t>MONTHYON</t>
  </si>
  <si>
    <t>48110</t>
  </si>
  <si>
    <t>MOISSAC-VALLEE-FRANCAISE</t>
  </si>
  <si>
    <t>50260</t>
  </si>
  <si>
    <t>NEGREVILLE</t>
  </si>
  <si>
    <t>63150</t>
  </si>
  <si>
    <t>MURAT-LE-QUAIRE</t>
  </si>
  <si>
    <t>24620</t>
  </si>
  <si>
    <t>PEYZAC-LE-MOUSTIER</t>
  </si>
  <si>
    <t>SAINTE-CEROTTE</t>
  </si>
  <si>
    <t>36210</t>
  </si>
  <si>
    <t>DUN-LE-POELIER</t>
  </si>
  <si>
    <t>SAINTE-CROIX</t>
  </si>
  <si>
    <t>38480</t>
  </si>
  <si>
    <t>PRESSINS</t>
  </si>
  <si>
    <t>43200</t>
  </si>
  <si>
    <t>GRAZAC</t>
  </si>
  <si>
    <t>AULNOIS-SUR-SEILLE</t>
  </si>
  <si>
    <t>33210</t>
  </si>
  <si>
    <t>TOULENNE</t>
  </si>
  <si>
    <t>BEOST</t>
  </si>
  <si>
    <t>26600</t>
  </si>
  <si>
    <t>MERCUROL</t>
  </si>
  <si>
    <t>14540</t>
  </si>
  <si>
    <t>SAINT-AIGNAN-DE-CRAMESNIL</t>
  </si>
  <si>
    <t>45300</t>
  </si>
  <si>
    <t>ESTOUY</t>
  </si>
  <si>
    <t>FEYT</t>
  </si>
  <si>
    <t>38460</t>
  </si>
  <si>
    <t>OPTEVOZ</t>
  </si>
  <si>
    <t>23700</t>
  </si>
  <si>
    <t>LE COMPAS</t>
  </si>
  <si>
    <t>97316</t>
  </si>
  <si>
    <t>PAPAICHTON</t>
  </si>
  <si>
    <t>['GUYANE']</t>
  </si>
  <si>
    <t>33590</t>
  </si>
  <si>
    <t>VENSAC</t>
  </si>
  <si>
    <t>26350</t>
  </si>
  <si>
    <t>SAINT-LAURENT-D'ONAY</t>
  </si>
  <si>
    <t>21120</t>
  </si>
  <si>
    <t>VERNOT</t>
  </si>
  <si>
    <t>31480</t>
  </si>
  <si>
    <t>PUYSSEGUR</t>
  </si>
  <si>
    <t>62175</t>
  </si>
  <si>
    <t>BOIRY-SAINTE-RICTRUDE</t>
  </si>
  <si>
    <t>30320</t>
  </si>
  <si>
    <t>POULX</t>
  </si>
  <si>
    <t>37390</t>
  </si>
  <si>
    <t>CHARENTILLY</t>
  </si>
  <si>
    <t>49330</t>
  </si>
  <si>
    <t>CHERRE</t>
  </si>
  <si>
    <t>14140</t>
  </si>
  <si>
    <t>LECAUDE</t>
  </si>
  <si>
    <t>28150</t>
  </si>
  <si>
    <t>BEAUVILLIERS</t>
  </si>
  <si>
    <t>65120</t>
  </si>
  <si>
    <t>CHEZE</t>
  </si>
  <si>
    <t>20232</t>
  </si>
  <si>
    <t>2B239</t>
  </si>
  <si>
    <t>POGGIO-D'OLETTA</t>
  </si>
  <si>
    <t>76240</t>
  </si>
  <si>
    <t>BELBEUF</t>
  </si>
  <si>
    <t>IVILLE</t>
  </si>
  <si>
    <t>2380</t>
  </si>
  <si>
    <t>FRESNES</t>
  </si>
  <si>
    <t>53600</t>
  </si>
  <si>
    <t>SAINTE-GEMMES-LE-ROBERT</t>
  </si>
  <si>
    <t>57130</t>
  </si>
  <si>
    <t>VAUX</t>
  </si>
  <si>
    <t>53410</t>
  </si>
  <si>
    <t>SAINT-PIERRE-LA-COUR</t>
  </si>
  <si>
    <t>28330</t>
  </si>
  <si>
    <t>CHARBONNIERES</t>
  </si>
  <si>
    <t>LAVAL-DU-TARN</t>
  </si>
  <si>
    <t>10320</t>
  </si>
  <si>
    <t>LONGEVILLE-SUR-MOGNE</t>
  </si>
  <si>
    <t>90140</t>
  </si>
  <si>
    <t>BOUROGNE</t>
  </si>
  <si>
    <t>27300</t>
  </si>
  <si>
    <t>SAINT-VICTOR-DE-CHRETIENVILLE</t>
  </si>
  <si>
    <t>60360</t>
  </si>
  <si>
    <t>HETOMESNIL</t>
  </si>
  <si>
    <t>42380</t>
  </si>
  <si>
    <t>ROZIER-COTES-D'AUREC</t>
  </si>
  <si>
    <t>62560</t>
  </si>
  <si>
    <t>MERCK-SAINT-LIEVIN</t>
  </si>
  <si>
    <t>VAUX-LES-RUBIGNY</t>
  </si>
  <si>
    <t>67160</t>
  </si>
  <si>
    <t>CLEEBOURG</t>
  </si>
  <si>
    <t>1680</t>
  </si>
  <si>
    <t>LHUIS</t>
  </si>
  <si>
    <t>64530</t>
  </si>
  <si>
    <t>GER</t>
  </si>
  <si>
    <t>31510</t>
  </si>
  <si>
    <t>LOURDE</t>
  </si>
  <si>
    <t>28340</t>
  </si>
  <si>
    <t>MORVILLIERS</t>
  </si>
  <si>
    <t>88700</t>
  </si>
  <si>
    <t>HOUSSERAS</t>
  </si>
  <si>
    <t>53150</t>
  </si>
  <si>
    <t>LIVET</t>
  </si>
  <si>
    <t>78610</t>
  </si>
  <si>
    <t>LES BREVIAIRES</t>
  </si>
  <si>
    <t>90400</t>
  </si>
  <si>
    <t>SEVENANS</t>
  </si>
  <si>
    <t>93470</t>
  </si>
  <si>
    <t>COUBRON</t>
  </si>
  <si>
    <t>23150</t>
  </si>
  <si>
    <t>LAVAVEIX-LES-MINES</t>
  </si>
  <si>
    <t>51530</t>
  </si>
  <si>
    <t>MONTHELON</t>
  </si>
  <si>
    <t>91270</t>
  </si>
  <si>
    <t>VIGNEUX-SUR-SEINE</t>
  </si>
  <si>
    <t>SAINT-SILVAIN-MONTAIGUT</t>
  </si>
  <si>
    <t>31290</t>
  </si>
  <si>
    <t>MONTCLAR-LAURAGAIS</t>
  </si>
  <si>
    <t>16450</t>
  </si>
  <si>
    <t>LE GRAND-MADIEU</t>
  </si>
  <si>
    <t>3800</t>
  </si>
  <si>
    <t>SAULZET</t>
  </si>
  <si>
    <t>48000</t>
  </si>
  <si>
    <t>BALSIEGES</t>
  </si>
  <si>
    <t>64160</t>
  </si>
  <si>
    <t>ABERE</t>
  </si>
  <si>
    <t>77320</t>
  </si>
  <si>
    <t>SAINT-MARTIN-DU-BOSCHET</t>
  </si>
  <si>
    <t>59470</t>
  </si>
  <si>
    <t>BROXEELE</t>
  </si>
  <si>
    <t>30960</t>
  </si>
  <si>
    <t>LES MAGES</t>
  </si>
  <si>
    <t>31570</t>
  </si>
  <si>
    <t>LANTA</t>
  </si>
  <si>
    <t>76510</t>
  </si>
  <si>
    <t>SAINT-AUBIN-LE-CAUF</t>
  </si>
  <si>
    <t>MONTROND</t>
  </si>
  <si>
    <t>82410</t>
  </si>
  <si>
    <t>SAINT-ETIENNE-DE-TULMONT</t>
  </si>
  <si>
    <t>LA VENDELEE</t>
  </si>
  <si>
    <t>27190</t>
  </si>
  <si>
    <t>PORTES</t>
  </si>
  <si>
    <t>71420</t>
  </si>
  <si>
    <t>CIRY-LE-NOBLE</t>
  </si>
  <si>
    <t>79330</t>
  </si>
  <si>
    <t>GLENAY</t>
  </si>
  <si>
    <t>KOENIGSMACKER</t>
  </si>
  <si>
    <t>15120</t>
  </si>
  <si>
    <t>VIEILLEVIE</t>
  </si>
  <si>
    <t>48100</t>
  </si>
  <si>
    <t>GREZES</t>
  </si>
  <si>
    <t>57905</t>
  </si>
  <si>
    <t>ZETTING</t>
  </si>
  <si>
    <t>SAINT-MACLOU-LA-BRIERE</t>
  </si>
  <si>
    <t>72340</t>
  </si>
  <si>
    <t>LHOMME</t>
  </si>
  <si>
    <t>4200</t>
  </si>
  <si>
    <t>AUBIGNOSC</t>
  </si>
  <si>
    <t>88800</t>
  </si>
  <si>
    <t>VALLEROY-LE-SEC</t>
  </si>
  <si>
    <t>46090</t>
  </si>
  <si>
    <t>ESPERE</t>
  </si>
  <si>
    <t>DRULINGEN</t>
  </si>
  <si>
    <t>70110</t>
  </si>
  <si>
    <t>OPPENANS</t>
  </si>
  <si>
    <t>61700</t>
  </si>
  <si>
    <t>DOMPIERRE</t>
  </si>
  <si>
    <t>86310</t>
  </si>
  <si>
    <t>SAINT-SAVIN</t>
  </si>
  <si>
    <t>37530</t>
  </si>
  <si>
    <t>POCE-SUR-CISSE</t>
  </si>
  <si>
    <t>80150</t>
  </si>
  <si>
    <t>MACHIEL</t>
  </si>
  <si>
    <t>73800</t>
  </si>
  <si>
    <t>PLANAISE</t>
  </si>
  <si>
    <t>LA LANDEC</t>
  </si>
  <si>
    <t>BAZEILLES-SUR-OTHAIN</t>
  </si>
  <si>
    <t>14960</t>
  </si>
  <si>
    <t>SAINT-COME-DE-FRESNE</t>
  </si>
  <si>
    <t>TALMONTIERS</t>
  </si>
  <si>
    <t>69210</t>
  </si>
  <si>
    <t>FLEURIEUX-SUR-L'ARBRESLE</t>
  </si>
  <si>
    <t>39700</t>
  </si>
  <si>
    <t>FRAISANS</t>
  </si>
  <si>
    <t>27230</t>
  </si>
  <si>
    <t>DURANVILLE</t>
  </si>
  <si>
    <t>88320</t>
  </si>
  <si>
    <t>SENAIDE</t>
  </si>
  <si>
    <t>25870</t>
  </si>
  <si>
    <t>BONNAY</t>
  </si>
  <si>
    <t>CASTERAS</t>
  </si>
  <si>
    <t>67360</t>
  </si>
  <si>
    <t>GUNSTETT</t>
  </si>
  <si>
    <t>10340</t>
  </si>
  <si>
    <t>ARRELLES</t>
  </si>
  <si>
    <t>51500</t>
  </si>
  <si>
    <t>PUISIEULX</t>
  </si>
  <si>
    <t>31560</t>
  </si>
  <si>
    <t>GIBEL</t>
  </si>
  <si>
    <t>45270</t>
  </si>
  <si>
    <t>BELLEGARDE</t>
  </si>
  <si>
    <t>SAINT-ANTOINE-SUR-L'ISLE</t>
  </si>
  <si>
    <t>10500</t>
  </si>
  <si>
    <t>RANCES</t>
  </si>
  <si>
    <t>29400</t>
  </si>
  <si>
    <t>LOC-EGUINER</t>
  </si>
  <si>
    <t>MARTIGNY-LES-BAINS</t>
  </si>
  <si>
    <t>62127</t>
  </si>
  <si>
    <t>MONCHY-BRETON</t>
  </si>
  <si>
    <t>RUPEREUX</t>
  </si>
  <si>
    <t>85190</t>
  </si>
  <si>
    <t>MACHE</t>
  </si>
  <si>
    <t>63390</t>
  </si>
  <si>
    <t>GOUTTIERES</t>
  </si>
  <si>
    <t>LA NEUVILLE-AU-PONT</t>
  </si>
  <si>
    <t>78760</t>
  </si>
  <si>
    <t>JOUARS-PONTCHARTRAIN</t>
  </si>
  <si>
    <t>10160</t>
  </si>
  <si>
    <t>MARAYE-EN-OTHE</t>
  </si>
  <si>
    <t>VIRONCHAUX</t>
  </si>
  <si>
    <t>2100</t>
  </si>
  <si>
    <t>ROUVROY</t>
  </si>
  <si>
    <t>60290</t>
  </si>
  <si>
    <t>RANTIGNY</t>
  </si>
  <si>
    <t>BIZE</t>
  </si>
  <si>
    <t>28270</t>
  </si>
  <si>
    <t>REVERCOURT</t>
  </si>
  <si>
    <t>1240</t>
  </si>
  <si>
    <t>SAINT-ANDRE-LE-BOUCHOUX</t>
  </si>
  <si>
    <t>28170</t>
  </si>
  <si>
    <t>CHATEAUNEUF-EN-THYMERAIS</t>
  </si>
  <si>
    <t>70200</t>
  </si>
  <si>
    <t>FREDERIC-FONTAINE</t>
  </si>
  <si>
    <t>COUPETZ</t>
  </si>
  <si>
    <t>48800</t>
  </si>
  <si>
    <t>VILLEFORT</t>
  </si>
  <si>
    <t>MORY-MONTCRUX</t>
  </si>
  <si>
    <t>55220</t>
  </si>
  <si>
    <t>VADELAINCOURT</t>
  </si>
  <si>
    <t>51230</t>
  </si>
  <si>
    <t>OGNES</t>
  </si>
  <si>
    <t>CHATAINCOURT</t>
  </si>
  <si>
    <t>SAINT-PAUL-DE-VARAX</t>
  </si>
  <si>
    <t>TALLENAY</t>
  </si>
  <si>
    <t>TANNIERES</t>
  </si>
  <si>
    <t>DOLANCOURT</t>
  </si>
  <si>
    <t>52150</t>
  </si>
  <si>
    <t>MALAINCOURT-SUR-MEUSE</t>
  </si>
  <si>
    <t>32270</t>
  </si>
  <si>
    <t>MARSAN</t>
  </si>
  <si>
    <t>66690</t>
  </si>
  <si>
    <t>SAINT-ANDRE</t>
  </si>
  <si>
    <t>36300</t>
  </si>
  <si>
    <t>ROSNAY</t>
  </si>
  <si>
    <t>40140</t>
  </si>
  <si>
    <t>SOUSTONS</t>
  </si>
  <si>
    <t>12210</t>
  </si>
  <si>
    <t>SOULAGES-BONNEVAL</t>
  </si>
  <si>
    <t>82400</t>
  </si>
  <si>
    <t>MONTJOI</t>
  </si>
  <si>
    <t>33124</t>
  </si>
  <si>
    <t>BROUQUEYRAN</t>
  </si>
  <si>
    <t>HUTTENHEIM</t>
  </si>
  <si>
    <t>26340</t>
  </si>
  <si>
    <t>LA CHAUDIERE</t>
  </si>
  <si>
    <t>2800</t>
  </si>
  <si>
    <t>MAYOT</t>
  </si>
  <si>
    <t>52170</t>
  </si>
  <si>
    <t>NARCY</t>
  </si>
  <si>
    <t>74150</t>
  </si>
  <si>
    <t>VALLIERES</t>
  </si>
  <si>
    <t>57390</t>
  </si>
  <si>
    <t>RUSSANGE</t>
  </si>
  <si>
    <t>59630</t>
  </si>
  <si>
    <t>LOOBERGHE</t>
  </si>
  <si>
    <t>1210</t>
  </si>
  <si>
    <t>FERNEY-VOLTAIRE</t>
  </si>
  <si>
    <t>88410</t>
  </si>
  <si>
    <t>GODONCOURT</t>
  </si>
  <si>
    <t>45140</t>
  </si>
  <si>
    <t>INGRE</t>
  </si>
  <si>
    <t>60141</t>
  </si>
  <si>
    <t>IVORS</t>
  </si>
  <si>
    <t>76360</t>
  </si>
  <si>
    <t>BARENTIN</t>
  </si>
  <si>
    <t>79220</t>
  </si>
  <si>
    <t>PAMPLIE</t>
  </si>
  <si>
    <t>POUILLEY-FRANCAIS</t>
  </si>
  <si>
    <t>60420</t>
  </si>
  <si>
    <t>MERY-LA-BATAILLE</t>
  </si>
  <si>
    <t>54470</t>
  </si>
  <si>
    <t>FLIREY</t>
  </si>
  <si>
    <t>2250</t>
  </si>
  <si>
    <t>MARLE</t>
  </si>
  <si>
    <t>77540</t>
  </si>
  <si>
    <t>BERNAY-VILBERT</t>
  </si>
  <si>
    <t>21610</t>
  </si>
  <si>
    <t>MONTIGNY-MORNAY-VILLENEUVE-SUR-VINGEANNE</t>
  </si>
  <si>
    <t>2330</t>
  </si>
  <si>
    <t>SAINT-AGNAN</t>
  </si>
  <si>
    <t>METZ-EN-COUTURE</t>
  </si>
  <si>
    <t>57270</t>
  </si>
  <si>
    <t>UCKANGE</t>
  </si>
  <si>
    <t>88630</t>
  </si>
  <si>
    <t>CLEREY-LA-COTE</t>
  </si>
  <si>
    <t>73480</t>
  </si>
  <si>
    <t>BONNEVAL-SUR-ARC</t>
  </si>
  <si>
    <t>46100</t>
  </si>
  <si>
    <t>FONS</t>
  </si>
  <si>
    <t>49110</t>
  </si>
  <si>
    <t>LA SALLE-ET-CHAPELLE-AUBRY</t>
  </si>
  <si>
    <t>DUPPIGHEIM</t>
  </si>
  <si>
    <t>LE FRESNE</t>
  </si>
  <si>
    <t>57910</t>
  </si>
  <si>
    <t>NEUFGRANGE</t>
  </si>
  <si>
    <t>50750</t>
  </si>
  <si>
    <t>DANGY</t>
  </si>
  <si>
    <t>GRUN-BORDAS</t>
  </si>
  <si>
    <t>90100</t>
  </si>
  <si>
    <t>FAVEROIS</t>
  </si>
  <si>
    <t>97113</t>
  </si>
  <si>
    <t>GOURBEYRE</t>
  </si>
  <si>
    <t>['GUADELOUPE']</t>
  </si>
  <si>
    <t>CASTELNAU-PICAMPEAU</t>
  </si>
  <si>
    <t>34990</t>
  </si>
  <si>
    <t>JUVIGNAC</t>
  </si>
  <si>
    <t>77350</t>
  </si>
  <si>
    <t>LE MEE-SUR-SEINE</t>
  </si>
  <si>
    <t>50480</t>
  </si>
  <si>
    <t>HOUESVILLE</t>
  </si>
  <si>
    <t>62370</t>
  </si>
  <si>
    <t>GUEMPS</t>
  </si>
  <si>
    <t>18260</t>
  </si>
  <si>
    <t>VILLEGENON</t>
  </si>
  <si>
    <t>64640</t>
  </si>
  <si>
    <t>ARMENDARITS</t>
  </si>
  <si>
    <t>SAINT-AVIT-DE-VIALARD</t>
  </si>
  <si>
    <t>62730</t>
  </si>
  <si>
    <t>LES ATTAQUES</t>
  </si>
  <si>
    <t>59440</t>
  </si>
  <si>
    <t>SAINT-AUBIN</t>
  </si>
  <si>
    <t>80320</t>
  </si>
  <si>
    <t>CHAULNES</t>
  </si>
  <si>
    <t>SAINT-SAMSON-LA-POTERIE</t>
  </si>
  <si>
    <t>39520</t>
  </si>
  <si>
    <t>FONCINE-LE-BAS</t>
  </si>
  <si>
    <t>62450</t>
  </si>
  <si>
    <t>WARLENCOURT-EAUCOURT</t>
  </si>
  <si>
    <t>29217</t>
  </si>
  <si>
    <t>LE CONQUET</t>
  </si>
  <si>
    <t>CRENNES-SUR-FRAUBEE</t>
  </si>
  <si>
    <t>80670</t>
  </si>
  <si>
    <t>HALLOY-LES-PERNOIS</t>
  </si>
  <si>
    <t>MONTREUIL</t>
  </si>
  <si>
    <t>4150</t>
  </si>
  <si>
    <t>BANON</t>
  </si>
  <si>
    <t>89240</t>
  </si>
  <si>
    <t>CHEVANNES</t>
  </si>
  <si>
    <t>37120</t>
  </si>
  <si>
    <t>LEMERE</t>
  </si>
  <si>
    <t>21690</t>
  </si>
  <si>
    <t>SOURCE-SEINE</t>
  </si>
  <si>
    <t>43270</t>
  </si>
  <si>
    <t>ALLEGRE</t>
  </si>
  <si>
    <t>11430</t>
  </si>
  <si>
    <t>GRUISSAN</t>
  </si>
  <si>
    <t>18340</t>
  </si>
  <si>
    <t>SAINT-GERMAIN-DES-BOIS</t>
  </si>
  <si>
    <t>47150</t>
  </si>
  <si>
    <t>LA SAUVETAT-SUR-LEDE</t>
  </si>
  <si>
    <t>58460</t>
  </si>
  <si>
    <t>TRUCY-L'ORGUEILLEUX</t>
  </si>
  <si>
    <t>8390</t>
  </si>
  <si>
    <t>ARTAISE-LE-VIVIER</t>
  </si>
  <si>
    <t>46120</t>
  </si>
  <si>
    <t>LEYME</t>
  </si>
  <si>
    <t>8090</t>
  </si>
  <si>
    <t>ARREUX</t>
  </si>
  <si>
    <t>92380</t>
  </si>
  <si>
    <t>GARCHES</t>
  </si>
  <si>
    <t>4400</t>
  </si>
  <si>
    <t>UVERNET-FOURS</t>
  </si>
  <si>
    <t>17800</t>
  </si>
  <si>
    <t>ECHEBRUNE</t>
  </si>
  <si>
    <t>LUGASSON</t>
  </si>
  <si>
    <t>QUINCY-LANDZECOURT</t>
  </si>
  <si>
    <t>88230</t>
  </si>
  <si>
    <t>FRAIZE</t>
  </si>
  <si>
    <t>BEAUTOR</t>
  </si>
  <si>
    <t>67860</t>
  </si>
  <si>
    <t>FRIESENHEIM</t>
  </si>
  <si>
    <t>ESQUELBECQ</t>
  </si>
  <si>
    <t>69640</t>
  </si>
  <si>
    <t>RIVOLET</t>
  </si>
  <si>
    <t>72130</t>
  </si>
  <si>
    <t>SAINT-GERMAIN-SUR-SARTHE</t>
  </si>
  <si>
    <t>42110</t>
  </si>
  <si>
    <t>SAINTE-FOY-SAINT-SULPICE</t>
  </si>
  <si>
    <t>WOLFGANTZEN</t>
  </si>
  <si>
    <t>14250</t>
  </si>
  <si>
    <t>LOUCELLES</t>
  </si>
  <si>
    <t>BESSANS</t>
  </si>
  <si>
    <t>54300</t>
  </si>
  <si>
    <t>FRAIMBOIS</t>
  </si>
  <si>
    <t>CHEVROZ</t>
  </si>
  <si>
    <t>18320</t>
  </si>
  <si>
    <t>MARSEILLES-LES-AUBIGNY</t>
  </si>
  <si>
    <t>VESIGNEUL-SUR-MARNE</t>
  </si>
  <si>
    <t>29840</t>
  </si>
  <si>
    <t>PORSPODER</t>
  </si>
  <si>
    <t>77400</t>
  </si>
  <si>
    <t>DAMPMART</t>
  </si>
  <si>
    <t>SAINT-PE-DELBOSC</t>
  </si>
  <si>
    <t>OLS-ET-RINHODES</t>
  </si>
  <si>
    <t>CHATEAUNEUF-DE-GALAURE</t>
  </si>
  <si>
    <t>26170</t>
  </si>
  <si>
    <t>BEAUVOISIN</t>
  </si>
  <si>
    <t>35680</t>
  </si>
  <si>
    <t>DOMALAIN</t>
  </si>
  <si>
    <t>50340</t>
  </si>
  <si>
    <t>LES PIEUX</t>
  </si>
  <si>
    <t>7220</t>
  </si>
  <si>
    <t>VIVIERS</t>
  </si>
  <si>
    <t>10360</t>
  </si>
  <si>
    <t>CUNFIN</t>
  </si>
  <si>
    <t>59144</t>
  </si>
  <si>
    <t>ETH</t>
  </si>
  <si>
    <t>2160</t>
  </si>
  <si>
    <t>VENDRESSE-BEAULNE</t>
  </si>
  <si>
    <t>62650</t>
  </si>
  <si>
    <t>RUMILLY</t>
  </si>
  <si>
    <t>61430</t>
  </si>
  <si>
    <t>CAHAN</t>
  </si>
  <si>
    <t>97320</t>
  </si>
  <si>
    <t>SAINT-LAURENT-DU-MARONI</t>
  </si>
  <si>
    <t>52330</t>
  </si>
  <si>
    <t>LAVILLENEUVE-AU-ROI</t>
  </si>
  <si>
    <t>JUNIVILLE</t>
  </si>
  <si>
    <t>72200</t>
  </si>
  <si>
    <t>CROSMIERES</t>
  </si>
  <si>
    <t>80290</t>
  </si>
  <si>
    <t>FOURCIGNY</t>
  </si>
  <si>
    <t>95660</t>
  </si>
  <si>
    <t>CHAMPAGNE-SUR-OISE</t>
  </si>
  <si>
    <t>89130</t>
  </si>
  <si>
    <t>TOUCY</t>
  </si>
  <si>
    <t>LAYS-SUR-LE-DOUBS</t>
  </si>
  <si>
    <t>PROVERVILLE</t>
  </si>
  <si>
    <t>83630</t>
  </si>
  <si>
    <t>REGUSSE</t>
  </si>
  <si>
    <t>DUN</t>
  </si>
  <si>
    <t>30800</t>
  </si>
  <si>
    <t>SAINT-GILLES</t>
  </si>
  <si>
    <t>62143</t>
  </si>
  <si>
    <t>ANGRES</t>
  </si>
  <si>
    <t>26110</t>
  </si>
  <si>
    <t>MONTAULIEU</t>
  </si>
  <si>
    <t>NEUILLY-EN-DONJON</t>
  </si>
  <si>
    <t>57580</t>
  </si>
  <si>
    <t>TRAGNY</t>
  </si>
  <si>
    <t>WIRWIGNES</t>
  </si>
  <si>
    <t>26160</t>
  </si>
  <si>
    <t>PUYGIRON</t>
  </si>
  <si>
    <t>63440</t>
  </si>
  <si>
    <t>BLOT-L'EGLISE</t>
  </si>
  <si>
    <t>86460</t>
  </si>
  <si>
    <t>MAUPREVOIR</t>
  </si>
  <si>
    <t>77260</t>
  </si>
  <si>
    <t>REUIL-EN-BRIE</t>
  </si>
  <si>
    <t>80200</t>
  </si>
  <si>
    <t>BUIRE-COURCELLES</t>
  </si>
  <si>
    <t>73440</t>
  </si>
  <si>
    <t>SAINT-JEAN-DE-BELLEVILLE</t>
  </si>
  <si>
    <t>35360</t>
  </si>
  <si>
    <t>LANDUJAN</t>
  </si>
  <si>
    <t>62130</t>
  </si>
  <si>
    <t>HAUTECLOQUE</t>
  </si>
  <si>
    <t>6410</t>
  </si>
  <si>
    <t>BIOT</t>
  </si>
  <si>
    <t>LANNION</t>
  </si>
  <si>
    <t>VICTOT-PONTFOL</t>
  </si>
  <si>
    <t>89190</t>
  </si>
  <si>
    <t>PONT-SUR-VANNE</t>
  </si>
  <si>
    <t>45110</t>
  </si>
  <si>
    <t>CHATEAUNEUF-SUR-LOIRE</t>
  </si>
  <si>
    <t>26300</t>
  </si>
  <si>
    <t>JAILLANS</t>
  </si>
  <si>
    <t>18250</t>
  </si>
  <si>
    <t>HENRICHEMONT</t>
  </si>
  <si>
    <t>10400</t>
  </si>
  <si>
    <t>PERIGNY-LA-ROSE</t>
  </si>
  <si>
    <t>42740</t>
  </si>
  <si>
    <t>LA TERRASSE-SUR-DORLAY</t>
  </si>
  <si>
    <t>38200</t>
  </si>
  <si>
    <t>SEYSSUEL</t>
  </si>
  <si>
    <t>CIRCOURT-SUR-MOUZON</t>
  </si>
  <si>
    <t>LIRONCOURT</t>
  </si>
  <si>
    <t>REMOULINS</t>
  </si>
  <si>
    <t>VRIGNY</t>
  </si>
  <si>
    <t>THEZAC</t>
  </si>
  <si>
    <t>32170</t>
  </si>
  <si>
    <t>BARCUGNAN</t>
  </si>
  <si>
    <t>SAINTE-COLOMBE-DE-VILLENEUVE</t>
  </si>
  <si>
    <t>42410</t>
  </si>
  <si>
    <t>PELUSSIN</t>
  </si>
  <si>
    <t>DAVREY</t>
  </si>
  <si>
    <t>RAURET</t>
  </si>
  <si>
    <t>55400</t>
  </si>
  <si>
    <t>HERMEVILLE-EN-WOEVRE</t>
  </si>
  <si>
    <t>38000/38100</t>
  </si>
  <si>
    <t>GRENOBLE</t>
  </si>
  <si>
    <t>FARGUES</t>
  </si>
  <si>
    <t>59161</t>
  </si>
  <si>
    <t>NAVES</t>
  </si>
  <si>
    <t>64780</t>
  </si>
  <si>
    <t>SUHESCUN</t>
  </si>
  <si>
    <t>24250</t>
  </si>
  <si>
    <t>SAINT-CYBRANET</t>
  </si>
  <si>
    <t>2270</t>
  </si>
  <si>
    <t>COUVRON-ET-AUMENCOURT</t>
  </si>
  <si>
    <t>VILLERS-EN-PRAYERES</t>
  </si>
  <si>
    <t>92290</t>
  </si>
  <si>
    <t>CHATENAY-MALABRY</t>
  </si>
  <si>
    <t>SOIZE</t>
  </si>
  <si>
    <t>22100</t>
  </si>
  <si>
    <t>SAINT-SAMSON-SUR-RANCE</t>
  </si>
  <si>
    <t>74210</t>
  </si>
  <si>
    <t>DOUSSARD</t>
  </si>
  <si>
    <t>64410</t>
  </si>
  <si>
    <t>POULIACQ</t>
  </si>
  <si>
    <t>BILLY-CHEVANNES</t>
  </si>
  <si>
    <t>77450</t>
  </si>
  <si>
    <t>VIGNELY</t>
  </si>
  <si>
    <t>30330</t>
  </si>
  <si>
    <t>SAINT-PONS-LA-CALM</t>
  </si>
  <si>
    <t>ROMAGNIEU</t>
  </si>
  <si>
    <t>45450</t>
  </si>
  <si>
    <t>FAY-AUX-LOGES</t>
  </si>
  <si>
    <t>87400</t>
  </si>
  <si>
    <t>SAINT-LEONARD-DE-NOBLAT</t>
  </si>
  <si>
    <t>3310</t>
  </si>
  <si>
    <t>SAINT-GENEST</t>
  </si>
  <si>
    <t>17470</t>
  </si>
  <si>
    <t>LA VILLEDIEU</t>
  </si>
  <si>
    <t>74260</t>
  </si>
  <si>
    <t>LES GETS</t>
  </si>
  <si>
    <t>59147</t>
  </si>
  <si>
    <t>GONDECOURT</t>
  </si>
  <si>
    <t>14400</t>
  </si>
  <si>
    <t>SAINT-VIGOR-LE-GRAND</t>
  </si>
  <si>
    <t>2420</t>
  </si>
  <si>
    <t>LEVERGIES</t>
  </si>
  <si>
    <t>SAINT-FLORENT-SUR-AUZONNET</t>
  </si>
  <si>
    <t>62128</t>
  </si>
  <si>
    <t>HENIN-SUR-COJEUL</t>
  </si>
  <si>
    <t>METAIRIES-SAINT-QUIRIN</t>
  </si>
  <si>
    <t>80610</t>
  </si>
  <si>
    <t>BETTENCOURT-SAINT-OUEN</t>
  </si>
  <si>
    <t>22800</t>
  </si>
  <si>
    <t>QUINTIN</t>
  </si>
  <si>
    <t>9400</t>
  </si>
  <si>
    <t>SAURAT</t>
  </si>
  <si>
    <t>CORGNAC-SUR-L'ISLE</t>
  </si>
  <si>
    <t>45510</t>
  </si>
  <si>
    <t>NEUVY-EN-SULLIAS</t>
  </si>
  <si>
    <t>55160</t>
  </si>
  <si>
    <t>SAINT-REMY-LA-CALONNE</t>
  </si>
  <si>
    <t>55270</t>
  </si>
  <si>
    <t>CIERGES-SOUS-MONTFAUCON</t>
  </si>
  <si>
    <t>32260</t>
  </si>
  <si>
    <t>DURBAN</t>
  </si>
  <si>
    <t>27520</t>
  </si>
  <si>
    <t>SAINT-PHILBERT-SUR-BOISSEY</t>
  </si>
  <si>
    <t>48170</t>
  </si>
  <si>
    <t>MONTBEL</t>
  </si>
  <si>
    <t>47250</t>
  </si>
  <si>
    <t>GREZET-CAVAGNAN</t>
  </si>
  <si>
    <t>80620</t>
  </si>
  <si>
    <t>RIBEAUCOURT</t>
  </si>
  <si>
    <t>97280</t>
  </si>
  <si>
    <t>LE VAUCLIN</t>
  </si>
  <si>
    <t>['MARTINIQUE']</t>
  </si>
  <si>
    <t>BETTVILLER</t>
  </si>
  <si>
    <t>BRICQUEVILLE</t>
  </si>
  <si>
    <t>23230</t>
  </si>
  <si>
    <t>GOUZON</t>
  </si>
  <si>
    <t>SOUDE</t>
  </si>
  <si>
    <t>81150</t>
  </si>
  <si>
    <t>MARSSAC-SUR-TARN</t>
  </si>
  <si>
    <t>38150</t>
  </si>
  <si>
    <t>VILLE-SOUS-ANJOU</t>
  </si>
  <si>
    <t>76690</t>
  </si>
  <si>
    <t>SAINT-GERMAIN-SOUS-CAILLY</t>
  </si>
  <si>
    <t>87160</t>
  </si>
  <si>
    <t>MAILHAC-SUR-BENAIZE</t>
  </si>
  <si>
    <t>47350</t>
  </si>
  <si>
    <t>SAINT-AVIT</t>
  </si>
  <si>
    <t>85170</t>
  </si>
  <si>
    <t>BELLEVILLE-SUR-VIE</t>
  </si>
  <si>
    <t>28130</t>
  </si>
  <si>
    <t>PIERRES</t>
  </si>
  <si>
    <t>47410</t>
  </si>
  <si>
    <t>SEGALAS</t>
  </si>
  <si>
    <t>DOURDAIN</t>
  </si>
  <si>
    <t>JUVARDEIL</t>
  </si>
  <si>
    <t>VOUTHON-BAS</t>
  </si>
  <si>
    <t>MARS-LA-TOUR</t>
  </si>
  <si>
    <t>33670</t>
  </si>
  <si>
    <t>CURSAN</t>
  </si>
  <si>
    <t>60350</t>
  </si>
  <si>
    <t>COULOISY</t>
  </si>
  <si>
    <t>67330</t>
  </si>
  <si>
    <t>ERNOLSHEIM-LES-SAVERNE</t>
  </si>
  <si>
    <t>3290</t>
  </si>
  <si>
    <t>DIOU</t>
  </si>
  <si>
    <t>25110</t>
  </si>
  <si>
    <t>VERNE</t>
  </si>
  <si>
    <t>43100</t>
  </si>
  <si>
    <t>BEAUMONT</t>
  </si>
  <si>
    <t>74910</t>
  </si>
  <si>
    <t>CHALLONGES</t>
  </si>
  <si>
    <t>MOLAIN</t>
  </si>
  <si>
    <t>EPINEUSE</t>
  </si>
  <si>
    <t>27660</t>
  </si>
  <si>
    <t>BERNOUVILLE</t>
  </si>
  <si>
    <t>54370</t>
  </si>
  <si>
    <t>BATHELEMONT</t>
  </si>
  <si>
    <t>57260</t>
  </si>
  <si>
    <t>ASSENONCOURT</t>
  </si>
  <si>
    <t>65400</t>
  </si>
  <si>
    <t>ARCIZANS-AVANT</t>
  </si>
  <si>
    <t>81500</t>
  </si>
  <si>
    <t>LABASTIDE-SAINT-GEORGES</t>
  </si>
  <si>
    <t>46250</t>
  </si>
  <si>
    <t>CAZALS</t>
  </si>
  <si>
    <t>58350</t>
  </si>
  <si>
    <t>SAINT-MALO-EN-DONZIOIS</t>
  </si>
  <si>
    <t>8250</t>
  </si>
  <si>
    <t>BOUCONVILLE</t>
  </si>
  <si>
    <t>21540</t>
  </si>
  <si>
    <t>REMILLY-EN-MONTAGNE</t>
  </si>
  <si>
    <t>11150</t>
  </si>
  <si>
    <t>PEXIORA</t>
  </si>
  <si>
    <t>2550</t>
  </si>
  <si>
    <t>ORIGNY-EN-THIERACHE</t>
  </si>
  <si>
    <t>4530</t>
  </si>
  <si>
    <t>LA CONDAMINE-CHATELARD</t>
  </si>
  <si>
    <t>SEEBACH</t>
  </si>
  <si>
    <t>62142</t>
  </si>
  <si>
    <t>HENNEVEUX</t>
  </si>
  <si>
    <t>81390</t>
  </si>
  <si>
    <t>SAINT-GAUZENS</t>
  </si>
  <si>
    <t>13600</t>
  </si>
  <si>
    <t>LA CIOTAT</t>
  </si>
  <si>
    <t>VIGNES</t>
  </si>
  <si>
    <t>MONTFERMY</t>
  </si>
  <si>
    <t>46340</t>
  </si>
  <si>
    <t>SALVIAC</t>
  </si>
  <si>
    <t>SAINT-CALAIS</t>
  </si>
  <si>
    <t>79410</t>
  </si>
  <si>
    <t>SAINT-REMY</t>
  </si>
  <si>
    <t>14500</t>
  </si>
  <si>
    <t>SAINT-GERMAIN-DE-TALLEVENDE-LA-LANDE-VAUMONT</t>
  </si>
  <si>
    <t>AGNAT</t>
  </si>
  <si>
    <t>BEAUFORT-SUR-GERVANNE</t>
  </si>
  <si>
    <t>29450</t>
  </si>
  <si>
    <t>LE TREHOU</t>
  </si>
  <si>
    <t>65240</t>
  </si>
  <si>
    <t>FRECHET-AURE</t>
  </si>
  <si>
    <t>33540</t>
  </si>
  <si>
    <t>CAUMONT</t>
  </si>
  <si>
    <t>VILLERY</t>
  </si>
  <si>
    <t>AMBEL</t>
  </si>
  <si>
    <t>58420</t>
  </si>
  <si>
    <t>CHALLEMENT</t>
  </si>
  <si>
    <t>79340</t>
  </si>
  <si>
    <t>VASLES</t>
  </si>
  <si>
    <t>LA BARRE</t>
  </si>
  <si>
    <t>65170</t>
  </si>
  <si>
    <t>BAZUS-AURE</t>
  </si>
  <si>
    <t>JUBAINVILLE</t>
  </si>
  <si>
    <t>54170</t>
  </si>
  <si>
    <t>GERMINY</t>
  </si>
  <si>
    <t>21440</t>
  </si>
  <si>
    <t>LERY</t>
  </si>
  <si>
    <t>AVEZAC-PRAT-LAHITTE</t>
  </si>
  <si>
    <t>42600</t>
  </si>
  <si>
    <t>SAINT-THOMAS-LA-GARDE</t>
  </si>
  <si>
    <t>64190</t>
  </si>
  <si>
    <t>CASTETNAU-CAMBLONG</t>
  </si>
  <si>
    <t>51520</t>
  </si>
  <si>
    <t>SARRY</t>
  </si>
  <si>
    <t>38470</t>
  </si>
  <si>
    <t>VARACIEUX</t>
  </si>
  <si>
    <t>LAMASQUERE</t>
  </si>
  <si>
    <t>QUIERZY</t>
  </si>
  <si>
    <t>97119</t>
  </si>
  <si>
    <t>VIEUX-HABITANTS</t>
  </si>
  <si>
    <t>VEYRINES-DE-VERGT</t>
  </si>
  <si>
    <t>25680</t>
  </si>
  <si>
    <t>HUANNE-MONTMARTIN</t>
  </si>
  <si>
    <t>68640</t>
  </si>
  <si>
    <t>STEINSOULTZ</t>
  </si>
  <si>
    <t>31280</t>
  </si>
  <si>
    <t>MONS</t>
  </si>
  <si>
    <t>55300</t>
  </si>
  <si>
    <t>TROYON</t>
  </si>
  <si>
    <t>30260</t>
  </si>
  <si>
    <t>SAINT-THEODORIT</t>
  </si>
  <si>
    <t>RIENCOURT-LES-BAPAUME</t>
  </si>
  <si>
    <t>37500</t>
  </si>
  <si>
    <t>LERNE</t>
  </si>
  <si>
    <t>72800</t>
  </si>
  <si>
    <t>THOREE-LES-PINS</t>
  </si>
  <si>
    <t>GONCOURT</t>
  </si>
  <si>
    <t>LAMARONDE</t>
  </si>
  <si>
    <t>73640</t>
  </si>
  <si>
    <t>SAINTE-FOY-TARENTAISE</t>
  </si>
  <si>
    <t>58800</t>
  </si>
  <si>
    <t>PAZY</t>
  </si>
  <si>
    <t>4250</t>
  </si>
  <si>
    <t>NIBLES</t>
  </si>
  <si>
    <t>26570</t>
  </si>
  <si>
    <t>FERRASSIERES</t>
  </si>
  <si>
    <t>50380</t>
  </si>
  <si>
    <t>SAINT-PAIR-SUR-MER</t>
  </si>
  <si>
    <t>47140</t>
  </si>
  <si>
    <t>MASSELS</t>
  </si>
  <si>
    <t>63220</t>
  </si>
  <si>
    <t>NOVACELLES</t>
  </si>
  <si>
    <t>27650</t>
  </si>
  <si>
    <t>LOUYE</t>
  </si>
  <si>
    <t>70600</t>
  </si>
  <si>
    <t>FRAMONT</t>
  </si>
  <si>
    <t>7370</t>
  </si>
  <si>
    <t>ARRAS-SUR-RHONE</t>
  </si>
  <si>
    <t>SAINT-PONS</t>
  </si>
  <si>
    <t>64470</t>
  </si>
  <si>
    <t>CAMOU-CIHIGUE</t>
  </si>
  <si>
    <t>PINTHEVILLE</t>
  </si>
  <si>
    <t>LACHAPELLE</t>
  </si>
  <si>
    <t>VADANS</t>
  </si>
  <si>
    <t>MAISONSGOUTTE</t>
  </si>
  <si>
    <t>68570</t>
  </si>
  <si>
    <t>OSENBACH</t>
  </si>
  <si>
    <t>COGNIN-LES-GORGES</t>
  </si>
  <si>
    <t>42260</t>
  </si>
  <si>
    <t>BULLY</t>
  </si>
  <si>
    <t>12640</t>
  </si>
  <si>
    <t>RIVIERE-SUR-TARN</t>
  </si>
  <si>
    <t>31390</t>
  </si>
  <si>
    <t>LAFITTE-VIGORDANE</t>
  </si>
  <si>
    <t>17410</t>
  </si>
  <si>
    <t>SAINT-MARTIN-DE-RE</t>
  </si>
  <si>
    <t>73700</t>
  </si>
  <si>
    <t>MONTVALEZAN</t>
  </si>
  <si>
    <t>17330</t>
  </si>
  <si>
    <t>SAINT-PIERRE-DE-L'ISLE</t>
  </si>
  <si>
    <t>20213</t>
  </si>
  <si>
    <t>2B297</t>
  </si>
  <si>
    <t>SAN-DAMIANO</t>
  </si>
  <si>
    <t>1150</t>
  </si>
  <si>
    <t>SAINT-SORLIN-EN-BUGEY</t>
  </si>
  <si>
    <t>LESCHERES-SUR-LE-BLAISERON</t>
  </si>
  <si>
    <t>35610</t>
  </si>
  <si>
    <t>VIEUX-VIEL</t>
  </si>
  <si>
    <t>35720</t>
  </si>
  <si>
    <t>LANHELIN</t>
  </si>
  <si>
    <t>8150</t>
  </si>
  <si>
    <t>SORMONNE</t>
  </si>
  <si>
    <t>11100</t>
  </si>
  <si>
    <t>NARBONNE</t>
  </si>
  <si>
    <t>69700</t>
  </si>
  <si>
    <t>SAINT-ROMAIN-EN-GIER</t>
  </si>
  <si>
    <t>25120</t>
  </si>
  <si>
    <t>CERNAY-L'EGLISE</t>
  </si>
  <si>
    <t>76660</t>
  </si>
  <si>
    <t>SAINT-PIERRE-DES-JONQUIERES</t>
  </si>
  <si>
    <t>45260</t>
  </si>
  <si>
    <t>THIMORY</t>
  </si>
  <si>
    <t>LONGEPIERRE</t>
  </si>
  <si>
    <t>28400</t>
  </si>
  <si>
    <t>LA GAUDAINE</t>
  </si>
  <si>
    <t>BLANQUEFORT</t>
  </si>
  <si>
    <t>78730</t>
  </si>
  <si>
    <t>LONGVILLIERS</t>
  </si>
  <si>
    <t>70230</t>
  </si>
  <si>
    <t>CENANS</t>
  </si>
  <si>
    <t>13730</t>
  </si>
  <si>
    <t>SAINT-VICTORET</t>
  </si>
  <si>
    <t>46190</t>
  </si>
  <si>
    <t>SOUSCEYRAC</t>
  </si>
  <si>
    <t>25660</t>
  </si>
  <si>
    <t>MONTROND-LE-CHATEAU</t>
  </si>
  <si>
    <t>41120</t>
  </si>
  <si>
    <t>SEUR</t>
  </si>
  <si>
    <t>56420</t>
  </si>
  <si>
    <t>BULEON</t>
  </si>
  <si>
    <t>SAINT-GERMAIN-DE-CONFOLENS</t>
  </si>
  <si>
    <t>VERS-EN-MONTAGNE</t>
  </si>
  <si>
    <t>31850</t>
  </si>
  <si>
    <t>MONTRABE</t>
  </si>
  <si>
    <t>33390</t>
  </si>
  <si>
    <t>BERSON</t>
  </si>
  <si>
    <t>CAMBRON</t>
  </si>
  <si>
    <t>80110</t>
  </si>
  <si>
    <t>DEMUIN</t>
  </si>
  <si>
    <t>1330</t>
  </si>
  <si>
    <t>AMBERIEUX-EN-DOMBES</t>
  </si>
  <si>
    <t>22450</t>
  </si>
  <si>
    <t>CAMLEZ</t>
  </si>
  <si>
    <t>57990</t>
  </si>
  <si>
    <t>HUNDLING</t>
  </si>
  <si>
    <t>BUCY-LE-LONG</t>
  </si>
  <si>
    <t>87140</t>
  </si>
  <si>
    <t>LE BUIS</t>
  </si>
  <si>
    <t>6910</t>
  </si>
  <si>
    <t>PIERREFEU</t>
  </si>
  <si>
    <t>80250</t>
  </si>
  <si>
    <t>ROUVREL</t>
  </si>
  <si>
    <t>28700</t>
  </si>
  <si>
    <t>GARANCIERES-EN-BEAUCE</t>
  </si>
  <si>
    <t>46240</t>
  </si>
  <si>
    <t>MONTFAUCON</t>
  </si>
  <si>
    <t>VELLEROT-LES-BELVOIR</t>
  </si>
  <si>
    <t>70180</t>
  </si>
  <si>
    <t>DAMPIERRE-SUR-SALON</t>
  </si>
  <si>
    <t>CUTTING</t>
  </si>
  <si>
    <t>BAN-SUR-MEURTHE-CLEFCY</t>
  </si>
  <si>
    <t>79370</t>
  </si>
  <si>
    <t>CELLES-SUR-BELLE</t>
  </si>
  <si>
    <t>51120</t>
  </si>
  <si>
    <t>FONTAINE-DENIS-NUISY</t>
  </si>
  <si>
    <t>27370</t>
  </si>
  <si>
    <t>MANDEVILLE</t>
  </si>
  <si>
    <t>29850</t>
  </si>
  <si>
    <t>GOUESNOU</t>
  </si>
  <si>
    <t>12220</t>
  </si>
  <si>
    <t>MONTBAZENS</t>
  </si>
  <si>
    <t>2400</t>
  </si>
  <si>
    <t>BONNESVALYN</t>
  </si>
  <si>
    <t>CHASTELLUX-SUR-CURE</t>
  </si>
  <si>
    <t>SALERM</t>
  </si>
  <si>
    <t>VANNOZ</t>
  </si>
  <si>
    <t>26000</t>
  </si>
  <si>
    <t>VALENCE</t>
  </si>
  <si>
    <t>8240</t>
  </si>
  <si>
    <t>AUTRUCHE</t>
  </si>
  <si>
    <t>55260</t>
  </si>
  <si>
    <t>BELRAIN</t>
  </si>
  <si>
    <t>CHATUZANGE-LE-GOUBET</t>
  </si>
  <si>
    <t>30570</t>
  </si>
  <si>
    <t>SAINT-ANDRE-DE-MAJENCOULES</t>
  </si>
  <si>
    <t>95450</t>
  </si>
  <si>
    <t>SAGY</t>
  </si>
  <si>
    <t>35132</t>
  </si>
  <si>
    <t>VEZIN-LE-COQUET</t>
  </si>
  <si>
    <t>16120</t>
  </si>
  <si>
    <t>CHATEAUNEUF-SUR-CHARENTE</t>
  </si>
  <si>
    <t>73230</t>
  </si>
  <si>
    <t>SAINT-ALBAN-LEYSSE</t>
  </si>
  <si>
    <t>CHAUMONT-SUR-AIRE</t>
  </si>
  <si>
    <t>76750</t>
  </si>
  <si>
    <t>BOIS-HEROULT</t>
  </si>
  <si>
    <t>44410</t>
  </si>
  <si>
    <t>ASSERAC</t>
  </si>
  <si>
    <t>6420</t>
  </si>
  <si>
    <t>ILONSE</t>
  </si>
  <si>
    <t>49650</t>
  </si>
  <si>
    <t>BRAIN-SUR-ALLONNES</t>
  </si>
  <si>
    <t>61320</t>
  </si>
  <si>
    <t>SAINT-SAUVEUR-DE-CARROUGES</t>
  </si>
  <si>
    <t>31620</t>
  </si>
  <si>
    <t>SAINT-RUSTICE</t>
  </si>
  <si>
    <t>91150</t>
  </si>
  <si>
    <t>LA FORET-SAINTE-CROIX</t>
  </si>
  <si>
    <t>34560</t>
  </si>
  <si>
    <t>VILLEVEYRAC</t>
  </si>
  <si>
    <t>32140</t>
  </si>
  <si>
    <t>13780</t>
  </si>
  <si>
    <t>RIBOUX</t>
  </si>
  <si>
    <t>14370</t>
  </si>
  <si>
    <t>VIMONT</t>
  </si>
  <si>
    <t>49740</t>
  </si>
  <si>
    <t>LA ROMAGNE</t>
  </si>
  <si>
    <t>TRESPOUX-RASSIELS</t>
  </si>
  <si>
    <t>60850</t>
  </si>
  <si>
    <t>PUISEUX-EN-BRAY</t>
  </si>
  <si>
    <t>FRENOIS</t>
  </si>
  <si>
    <t>83330</t>
  </si>
  <si>
    <t>EVENOS</t>
  </si>
  <si>
    <t>34230</t>
  </si>
  <si>
    <t>CAMPAGNAN</t>
  </si>
  <si>
    <t>69220</t>
  </si>
  <si>
    <t>CERCIE</t>
  </si>
  <si>
    <t>77500</t>
  </si>
  <si>
    <t>CHELLES</t>
  </si>
  <si>
    <t>56510</t>
  </si>
  <si>
    <t>SAINT-PIERRE-QUIBERON</t>
  </si>
  <si>
    <t>60640</t>
  </si>
  <si>
    <t>LIBERMONT</t>
  </si>
  <si>
    <t>42123</t>
  </si>
  <si>
    <t>SAINT-CYR-DE-FAVIERES</t>
  </si>
  <si>
    <t>METEREN</t>
  </si>
  <si>
    <t>39240</t>
  </si>
  <si>
    <t>SAVIGNA</t>
  </si>
  <si>
    <t>LADON</t>
  </si>
  <si>
    <t>24530</t>
  </si>
  <si>
    <t>CANTILLAC</t>
  </si>
  <si>
    <t>RANDENS</t>
  </si>
  <si>
    <t>40465</t>
  </si>
  <si>
    <t>PRECHACQ-LES-BAINS</t>
  </si>
  <si>
    <t>47400</t>
  </si>
  <si>
    <t>LAGRUERE</t>
  </si>
  <si>
    <t>LA CHAPELLE-BATON</t>
  </si>
  <si>
    <t>ANDONVILLE</t>
  </si>
  <si>
    <t>89520</t>
  </si>
  <si>
    <t>TREIGNY</t>
  </si>
  <si>
    <t>71290</t>
  </si>
  <si>
    <t>SIMANDRE</t>
  </si>
  <si>
    <t>MONTIER-EN-L'ISLE</t>
  </si>
  <si>
    <t>SAINT-BONNET-DE-VALCLERIEUX</t>
  </si>
  <si>
    <t>86190</t>
  </si>
  <si>
    <t>AYRON</t>
  </si>
  <si>
    <t>30580</t>
  </si>
  <si>
    <t>LUSSAN</t>
  </si>
  <si>
    <t>RAZENGUES</t>
  </si>
  <si>
    <t>19190</t>
  </si>
  <si>
    <t>LE PESCHER</t>
  </si>
  <si>
    <t>ALINCTHUN</t>
  </si>
  <si>
    <t>64130</t>
  </si>
  <si>
    <t>AINHARP</t>
  </si>
  <si>
    <t>20126</t>
  </si>
  <si>
    <t>2A108</t>
  </si>
  <si>
    <t>EVISA</t>
  </si>
  <si>
    <t>MANOU</t>
  </si>
  <si>
    <t>SAINT-MARTIN-SUR-COJEUL</t>
  </si>
  <si>
    <t>56460</t>
  </si>
  <si>
    <t>SAINT-GUYOMARD</t>
  </si>
  <si>
    <t>58120</t>
  </si>
  <si>
    <t>BLISMES</t>
  </si>
  <si>
    <t>37160</t>
  </si>
  <si>
    <t>DESCARTES</t>
  </si>
  <si>
    <t>14920</t>
  </si>
  <si>
    <t>MATHIEU</t>
  </si>
  <si>
    <t>ISSEL</t>
  </si>
  <si>
    <t>BARLY</t>
  </si>
  <si>
    <t>45000/45100</t>
  </si>
  <si>
    <t>ORLEANS</t>
  </si>
  <si>
    <t>65230</t>
  </si>
  <si>
    <t>HACHAN</t>
  </si>
  <si>
    <t>84870</t>
  </si>
  <si>
    <t>LORIOL-DU-COMTAT</t>
  </si>
  <si>
    <t>PEYRELONGUE-ABOS</t>
  </si>
  <si>
    <t>52190</t>
  </si>
  <si>
    <t>DOMMARIEN</t>
  </si>
  <si>
    <t>59127</t>
  </si>
  <si>
    <t>ESNES</t>
  </si>
  <si>
    <t>80260</t>
  </si>
  <si>
    <t>VILLERS-BOCAGE</t>
  </si>
  <si>
    <t>50620</t>
  </si>
  <si>
    <t>AMIGNY</t>
  </si>
  <si>
    <t>MOSLES</t>
  </si>
  <si>
    <t>87310</t>
  </si>
  <si>
    <t>SAINT-CYR</t>
  </si>
  <si>
    <t>34270</t>
  </si>
  <si>
    <t>CLARET</t>
  </si>
  <si>
    <t>55110</t>
  </si>
  <si>
    <t>GESNES-EN-ARGONNE</t>
  </si>
  <si>
    <t>LES ISSARDS</t>
  </si>
  <si>
    <t>65320</t>
  </si>
  <si>
    <t>GAYAN</t>
  </si>
  <si>
    <t>3230</t>
  </si>
  <si>
    <t>CHEZY</t>
  </si>
  <si>
    <t>44640</t>
  </si>
  <si>
    <t>VUE</t>
  </si>
  <si>
    <t>HALLENCOURT</t>
  </si>
  <si>
    <t>8230</t>
  </si>
  <si>
    <t>GUE-D'HOSSUS</t>
  </si>
  <si>
    <t>SAINTE-MARTHE</t>
  </si>
  <si>
    <t>67310</t>
  </si>
  <si>
    <t>WESTHOFFEN</t>
  </si>
  <si>
    <t>81490</t>
  </si>
  <si>
    <t>NOAILHAC</t>
  </si>
  <si>
    <t>20160</t>
  </si>
  <si>
    <t>2A028</t>
  </si>
  <si>
    <t>BALOGNA</t>
  </si>
  <si>
    <t>36170</t>
  </si>
  <si>
    <t>LA CHATRE-LANGLIN</t>
  </si>
  <si>
    <t>ROUAIROUX</t>
  </si>
  <si>
    <t>TART-L'ABBAYE</t>
  </si>
  <si>
    <t>67110</t>
  </si>
  <si>
    <t>OBERBRONN</t>
  </si>
  <si>
    <t>20240</t>
  </si>
  <si>
    <t>2B123</t>
  </si>
  <si>
    <t>GHISONACCIA</t>
  </si>
  <si>
    <t>61570</t>
  </si>
  <si>
    <t>BOISSEI-LA-LANDE</t>
  </si>
  <si>
    <t>79300</t>
  </si>
  <si>
    <t>BRESSUIRE</t>
  </si>
  <si>
    <t>17380</t>
  </si>
  <si>
    <t>TORXE</t>
  </si>
  <si>
    <t>69610</t>
  </si>
  <si>
    <t>SOUZY</t>
  </si>
  <si>
    <t>77760</t>
  </si>
  <si>
    <t>VILLIERS-SOUS-GREZ</t>
  </si>
  <si>
    <t>VILLIERS-LE-MORHIER</t>
  </si>
  <si>
    <t>70210</t>
  </si>
  <si>
    <t>ALAINCOURT</t>
  </si>
  <si>
    <t>68480</t>
  </si>
  <si>
    <t>LIEBSDORF</t>
  </si>
  <si>
    <t>72110</t>
  </si>
  <si>
    <t>SAINT-DENIS-DES-COUDRAIS</t>
  </si>
  <si>
    <t>61170</t>
  </si>
  <si>
    <t>COULONGES-SUR-SARTHE</t>
  </si>
  <si>
    <t>BOUGON</t>
  </si>
  <si>
    <t>JANVILLE</t>
  </si>
  <si>
    <t>SUS</t>
  </si>
  <si>
    <t>95120</t>
  </si>
  <si>
    <t>ERMONT</t>
  </si>
  <si>
    <t>26410</t>
  </si>
  <si>
    <t>CHATILLON-EN-DIOIS</t>
  </si>
  <si>
    <t>50170</t>
  </si>
  <si>
    <t>MACEY</t>
  </si>
  <si>
    <t>YERMENONVILLE</t>
  </si>
  <si>
    <t>46210</t>
  </si>
  <si>
    <t>SABADEL-LATRONQUIERE</t>
  </si>
  <si>
    <t>38590</t>
  </si>
  <si>
    <t>LA FORTERESSE</t>
  </si>
  <si>
    <t>22340</t>
  </si>
  <si>
    <t>LOCARN</t>
  </si>
  <si>
    <t>93410</t>
  </si>
  <si>
    <t>VAUJOURS</t>
  </si>
  <si>
    <t>89150</t>
  </si>
  <si>
    <t>VERNOY</t>
  </si>
  <si>
    <t>89100</t>
  </si>
  <si>
    <t>SUBLIGNY</t>
  </si>
  <si>
    <t>69970</t>
  </si>
  <si>
    <t>CHAPONNAY</t>
  </si>
  <si>
    <t>46260</t>
  </si>
  <si>
    <t>BEAUREGARD</t>
  </si>
  <si>
    <t>57400</t>
  </si>
  <si>
    <t>SARREBOURG</t>
  </si>
  <si>
    <t>17120</t>
  </si>
  <si>
    <t>EPARGNES</t>
  </si>
  <si>
    <t>38500</t>
  </si>
  <si>
    <t>LA BUISSE</t>
  </si>
  <si>
    <t>32230</t>
  </si>
  <si>
    <t>ARMOUS-ET-CAU</t>
  </si>
  <si>
    <t>BLONDEFONTAINE</t>
  </si>
  <si>
    <t>92320</t>
  </si>
  <si>
    <t>CHATILLON</t>
  </si>
  <si>
    <t>NORTKERQUE</t>
  </si>
  <si>
    <t>SAINS-MORAINVILLERS</t>
  </si>
  <si>
    <t>60117</t>
  </si>
  <si>
    <t>VEZ</t>
  </si>
  <si>
    <t>24700</t>
  </si>
  <si>
    <t>MOULIN-NEUF</t>
  </si>
  <si>
    <t>SERMOISE</t>
  </si>
  <si>
    <t>MAILHOLAS</t>
  </si>
  <si>
    <t>7140</t>
  </si>
  <si>
    <t>MONTSELGUES</t>
  </si>
  <si>
    <t>47190</t>
  </si>
  <si>
    <t>AIGUILLON</t>
  </si>
  <si>
    <t>MESSEY-SUR-GROSNE</t>
  </si>
  <si>
    <t>2840</t>
  </si>
  <si>
    <t>PARFONDRU</t>
  </si>
  <si>
    <t>DOINGT</t>
  </si>
  <si>
    <t>RUSSY</t>
  </si>
  <si>
    <t>25170</t>
  </si>
  <si>
    <t>VILLERS-BUZON</t>
  </si>
  <si>
    <t>SAINT-CHRIST-BRIOST</t>
  </si>
  <si>
    <t>21400</t>
  </si>
  <si>
    <t>PUITS</t>
  </si>
  <si>
    <t>59360</t>
  </si>
  <si>
    <t>BAZUEL</t>
  </si>
  <si>
    <t>LE FALGOUX</t>
  </si>
  <si>
    <t>MALE</t>
  </si>
  <si>
    <t>80370</t>
  </si>
  <si>
    <t>LE MEILLARD</t>
  </si>
  <si>
    <t>6260</t>
  </si>
  <si>
    <t>ASCROS</t>
  </si>
  <si>
    <t>31160</t>
  </si>
  <si>
    <t>PORTET-D'ASPET</t>
  </si>
  <si>
    <t>COIMERES</t>
  </si>
  <si>
    <t>14112</t>
  </si>
  <si>
    <t>BIEVILLE-BEUVILLE</t>
  </si>
  <si>
    <t>35133</t>
  </si>
  <si>
    <t>LE LOROUX</t>
  </si>
  <si>
    <t>40280</t>
  </si>
  <si>
    <t>BRETAGNE-DE-MARSAN</t>
  </si>
  <si>
    <t>58170</t>
  </si>
  <si>
    <t>TAZILLY</t>
  </si>
  <si>
    <t>39800</t>
  </si>
  <si>
    <t>BRAINANS</t>
  </si>
  <si>
    <t>7610</t>
  </si>
  <si>
    <t>SECHERAS</t>
  </si>
  <si>
    <t>PONT-SUR-MADON</t>
  </si>
  <si>
    <t>MAULERS</t>
  </si>
  <si>
    <t>77710</t>
  </si>
  <si>
    <t>VILLEMARECHAL</t>
  </si>
  <si>
    <t>CLERMONT-LES-FERMES</t>
  </si>
  <si>
    <t>80360</t>
  </si>
  <si>
    <t>HARDECOURT-AUX-BOIS</t>
  </si>
  <si>
    <t>23600</t>
  </si>
  <si>
    <t>SAINT-MARIEN</t>
  </si>
  <si>
    <t>81470</t>
  </si>
  <si>
    <t>AGUTS</t>
  </si>
  <si>
    <t>77600</t>
  </si>
  <si>
    <t>CHANTELOUP-EN-BRIE</t>
  </si>
  <si>
    <t>PEYRENS</t>
  </si>
  <si>
    <t>61290</t>
  </si>
  <si>
    <t>MOULICENT</t>
  </si>
  <si>
    <t>45210</t>
  </si>
  <si>
    <t>THORAILLES</t>
  </si>
  <si>
    <t>COURS</t>
  </si>
  <si>
    <t>64800</t>
  </si>
  <si>
    <t>MONTAUT</t>
  </si>
  <si>
    <t>MORESTEL</t>
  </si>
  <si>
    <t>2290</t>
  </si>
  <si>
    <t>MONTIGNY-LENGRAIN</t>
  </si>
  <si>
    <t>GOUJOUNAC</t>
  </si>
  <si>
    <t>DESVRES</t>
  </si>
  <si>
    <t>25290</t>
  </si>
  <si>
    <t>SCEY-MAISIERES</t>
  </si>
  <si>
    <t>60680</t>
  </si>
  <si>
    <t>LE FAYEL</t>
  </si>
  <si>
    <t>SAINT-GILLES-LES-FORETS</t>
  </si>
  <si>
    <t>LA LANDE-SUR-EURE</t>
  </si>
  <si>
    <t>86280</t>
  </si>
  <si>
    <t>SAINT-BENOIT</t>
  </si>
  <si>
    <t>RUSSY-BEMONT</t>
  </si>
  <si>
    <t>77720</t>
  </si>
  <si>
    <t>GRANDPUITS-BAILLY-CARROIS</t>
  </si>
  <si>
    <t>18140</t>
  </si>
  <si>
    <t>SEVRY</t>
  </si>
  <si>
    <t>17500</t>
  </si>
  <si>
    <t>REAUX</t>
  </si>
  <si>
    <t>60540</t>
  </si>
  <si>
    <t>BORNEL</t>
  </si>
  <si>
    <t>SAINT-AIGNY</t>
  </si>
  <si>
    <t>SALAISE-SUR-SANNE</t>
  </si>
  <si>
    <t>VILLEVIEILLE</t>
  </si>
  <si>
    <t>LE MENIL-GUYON</t>
  </si>
  <si>
    <t>20230</t>
  </si>
  <si>
    <t>2B088</t>
  </si>
  <si>
    <t>CHIATRA</t>
  </si>
  <si>
    <t>51270</t>
  </si>
  <si>
    <t>BEAUNAY</t>
  </si>
  <si>
    <t>SAINT-MARTIN-DE-JUSSAC</t>
  </si>
  <si>
    <t>41320</t>
  </si>
  <si>
    <t>BOMMES</t>
  </si>
  <si>
    <t>36500</t>
  </si>
  <si>
    <t>VENDOEUVRES</t>
  </si>
  <si>
    <t>97313</t>
  </si>
  <si>
    <t>SAINT-GEORGES</t>
  </si>
  <si>
    <t>MONTIGNY-DEVANT-SASSEY</t>
  </si>
  <si>
    <t>WALDHAMBACH</t>
  </si>
  <si>
    <t>22110</t>
  </si>
  <si>
    <t>PLOUNEVEZ-QUINTIN</t>
  </si>
  <si>
    <t>62860</t>
  </si>
  <si>
    <t>PRONVILLE</t>
  </si>
  <si>
    <t>97650</t>
  </si>
  <si>
    <t>BANDRABOUA</t>
  </si>
  <si>
    <t>['MAYOTTE']</t>
  </si>
  <si>
    <t>31250</t>
  </si>
  <si>
    <t>REVEL</t>
  </si>
  <si>
    <t>80700</t>
  </si>
  <si>
    <t>LIANCOURT-FOSSE</t>
  </si>
  <si>
    <t>SAINT-GAUDENS</t>
  </si>
  <si>
    <t>66160</t>
  </si>
  <si>
    <t>LE BOULOU</t>
  </si>
  <si>
    <t>GOUDET</t>
  </si>
  <si>
    <t>VAUX-LES-MOUZON</t>
  </si>
  <si>
    <t>39500</t>
  </si>
  <si>
    <t>CHAMPDIVERS</t>
  </si>
  <si>
    <t>4370</t>
  </si>
  <si>
    <t>VILLARS-COLMARS</t>
  </si>
  <si>
    <t>SAINT-LAURENT-L'ABBAYE</t>
  </si>
  <si>
    <t>67840</t>
  </si>
  <si>
    <t>KILSTETT</t>
  </si>
  <si>
    <t>76270</t>
  </si>
  <si>
    <t>SAINT-OUEN-DOMPROT</t>
  </si>
  <si>
    <t>57800</t>
  </si>
  <si>
    <t>BENING-LES-SAINT-AVOLD</t>
  </si>
  <si>
    <t>89140</t>
  </si>
  <si>
    <t>VILLENAVOTTE</t>
  </si>
  <si>
    <t>2680</t>
  </si>
  <si>
    <t>CONTESCOURT</t>
  </si>
  <si>
    <t>BOULOGNE-LA-GRASSE</t>
  </si>
  <si>
    <t>12430</t>
  </si>
  <si>
    <t>VILLEFRANCHE-DE-PANAT</t>
  </si>
  <si>
    <t>27220</t>
  </si>
  <si>
    <t>PREY</t>
  </si>
  <si>
    <t>13007</t>
  </si>
  <si>
    <t>MARSEILLE--7E--ARRONDISSEMENT</t>
  </si>
  <si>
    <t>7100</t>
  </si>
  <si>
    <t>BOULIEU-LES-ANNONAY</t>
  </si>
  <si>
    <t>15130</t>
  </si>
  <si>
    <t>LABROUSSE</t>
  </si>
  <si>
    <t>87570</t>
  </si>
  <si>
    <t>RILHAC-RANCON</t>
  </si>
  <si>
    <t>85220</t>
  </si>
  <si>
    <t>L'AIGUILLON-SUR-VIE</t>
  </si>
  <si>
    <t>21360</t>
  </si>
  <si>
    <t>AUXANT</t>
  </si>
  <si>
    <t>22210</t>
  </si>
  <si>
    <t>LA FERRIERE</t>
  </si>
  <si>
    <t>44750</t>
  </si>
  <si>
    <t>CAMPBON</t>
  </si>
  <si>
    <t>57915</t>
  </si>
  <si>
    <t>WOUSTVILLER</t>
  </si>
  <si>
    <t>MONNIERES</t>
  </si>
  <si>
    <t>BELLEVAUX</t>
  </si>
  <si>
    <t>79270</t>
  </si>
  <si>
    <t>SANSAIS</t>
  </si>
  <si>
    <t>49420</t>
  </si>
  <si>
    <t>ARMAILLE</t>
  </si>
  <si>
    <t>SALIES-DE-BEARN</t>
  </si>
  <si>
    <t>62140</t>
  </si>
  <si>
    <t>BREVILLERS</t>
  </si>
  <si>
    <t>5600</t>
  </si>
  <si>
    <t>REOTIER</t>
  </si>
  <si>
    <t>8300</t>
  </si>
  <si>
    <t>COUCY</t>
  </si>
  <si>
    <t>PANSEY</t>
  </si>
  <si>
    <t>29550</t>
  </si>
  <si>
    <t>PLONEVEZ-PORZAY</t>
  </si>
  <si>
    <t>97350</t>
  </si>
  <si>
    <t>IRACOUBO</t>
  </si>
  <si>
    <t>63830</t>
  </si>
  <si>
    <t>NOHANENT</t>
  </si>
  <si>
    <t>LANISCOURT</t>
  </si>
  <si>
    <t>78550</t>
  </si>
  <si>
    <t>RICHEBOURG</t>
  </si>
  <si>
    <t>MONTEGUT-BOURJAC</t>
  </si>
  <si>
    <t>73110</t>
  </si>
  <si>
    <t>PRESLE</t>
  </si>
  <si>
    <t>LE PUID</t>
  </si>
  <si>
    <t>53400</t>
  </si>
  <si>
    <t>ATHEE</t>
  </si>
  <si>
    <t>14350</t>
  </si>
  <si>
    <t>SAINT-PIERRE-TARENTAINE</t>
  </si>
  <si>
    <t>VONCQ</t>
  </si>
  <si>
    <t>FRANCHEVILLE</t>
  </si>
  <si>
    <t>51600</t>
  </si>
  <si>
    <t>SAINT-HILAIRE-LE-GRAND</t>
  </si>
  <si>
    <t>AUTHON</t>
  </si>
  <si>
    <t>27330</t>
  </si>
  <si>
    <t>CHAMPIGNOLLES</t>
  </si>
  <si>
    <t>MONTCOURT</t>
  </si>
  <si>
    <t>JUZENNECOURT</t>
  </si>
  <si>
    <t>CRAMANT</t>
  </si>
  <si>
    <t>ORDIARP</t>
  </si>
  <si>
    <t>76630</t>
  </si>
  <si>
    <t>BAILLY-EN-RIVIERE</t>
  </si>
  <si>
    <t>86320</t>
  </si>
  <si>
    <t>GOUEX</t>
  </si>
  <si>
    <t>AUDIGNICOURT</t>
  </si>
  <si>
    <t>86200</t>
  </si>
  <si>
    <t>MOUTERRE-SILLY</t>
  </si>
  <si>
    <t>PANASSAC</t>
  </si>
  <si>
    <t>34140</t>
  </si>
  <si>
    <t>BOUZIGUES</t>
  </si>
  <si>
    <t>MENNETOU-SUR-CHER</t>
  </si>
  <si>
    <t>85590</t>
  </si>
  <si>
    <t>SAINT-MALO-DU-BOIS</t>
  </si>
  <si>
    <t>45490</t>
  </si>
  <si>
    <t>MIGNERES</t>
  </si>
  <si>
    <t>CANET</t>
  </si>
  <si>
    <t>OIZON</t>
  </si>
  <si>
    <t>CREZILLES</t>
  </si>
  <si>
    <t>MALAVILLE</t>
  </si>
  <si>
    <t>40200</t>
  </si>
  <si>
    <t>SAINT-PAUL-EN-BORN</t>
  </si>
  <si>
    <t>14800</t>
  </si>
  <si>
    <t>CANAPVILLE</t>
  </si>
  <si>
    <t>91340</t>
  </si>
  <si>
    <t>OLLAINVILLE</t>
  </si>
  <si>
    <t>LA ROQUE-GAGEAC</t>
  </si>
  <si>
    <t>21490</t>
  </si>
  <si>
    <t>FLACEY</t>
  </si>
  <si>
    <t>86210</t>
  </si>
  <si>
    <t>BONNEUIL-MATOURS</t>
  </si>
  <si>
    <t>VILLIERS-HERBISSE</t>
  </si>
  <si>
    <t>TREPT</t>
  </si>
  <si>
    <t>63430</t>
  </si>
  <si>
    <t>PONT-DU-CHATEAU</t>
  </si>
  <si>
    <t>70190</t>
  </si>
  <si>
    <t>CRAPONNE-SUR-ARZON</t>
  </si>
  <si>
    <t>2B256</t>
  </si>
  <si>
    <t>RAPAGGIO</t>
  </si>
  <si>
    <t>66300</t>
  </si>
  <si>
    <t>CAIXAS</t>
  </si>
  <si>
    <t>28120</t>
  </si>
  <si>
    <t>VIEUVICQ</t>
  </si>
  <si>
    <t>CHATILLON-LE-DUC</t>
  </si>
  <si>
    <t>1750</t>
  </si>
  <si>
    <t>SAINT-LAURENT-SUR-SAONE</t>
  </si>
  <si>
    <t>23360</t>
  </si>
  <si>
    <t>LA FORET-DU-TEMPLE</t>
  </si>
  <si>
    <t>43170</t>
  </si>
  <si>
    <t>SAUGUES</t>
  </si>
  <si>
    <t>DHUIZEL</t>
  </si>
  <si>
    <t>44810</t>
  </si>
  <si>
    <t>LA CHEVALLERAIS</t>
  </si>
  <si>
    <t>ARRIANCE</t>
  </si>
  <si>
    <t>PUICHERIC</t>
  </si>
  <si>
    <t>11330</t>
  </si>
  <si>
    <t>SOULATGE</t>
  </si>
  <si>
    <t>63450</t>
  </si>
  <si>
    <t>SAINT-SANDOUX</t>
  </si>
  <si>
    <t>48700</t>
  </si>
  <si>
    <t>ESTABLES</t>
  </si>
  <si>
    <t>16460</t>
  </si>
  <si>
    <t>CHENOMMET</t>
  </si>
  <si>
    <t>1470</t>
  </si>
  <si>
    <t>BENONCES</t>
  </si>
  <si>
    <t>MOLAS</t>
  </si>
  <si>
    <t>LAVERNOY</t>
  </si>
  <si>
    <t>DEVISE</t>
  </si>
  <si>
    <t>14170</t>
  </si>
  <si>
    <t>MITTOIS</t>
  </si>
  <si>
    <t>91160</t>
  </si>
  <si>
    <t>BALLAINVILLIERS</t>
  </si>
  <si>
    <t>2820</t>
  </si>
  <si>
    <t>BERRIEUX</t>
  </si>
  <si>
    <t>21560</t>
  </si>
  <si>
    <t>REMILLY-SUR-TILLE</t>
  </si>
  <si>
    <t>BRIEULLES-SUR-MEUSE</t>
  </si>
  <si>
    <t>21450</t>
  </si>
  <si>
    <t>SAINT-MARC-SUR-SEINE</t>
  </si>
  <si>
    <t>CORME-ECLUSE</t>
  </si>
  <si>
    <t>BOURTHES</t>
  </si>
  <si>
    <t>SAINT-MIHIEL</t>
  </si>
  <si>
    <t>61160</t>
  </si>
  <si>
    <t>VILLEDIEU-LES-BAILLEUL</t>
  </si>
  <si>
    <t>PORT-DE-PILES</t>
  </si>
  <si>
    <t>76700</t>
  </si>
  <si>
    <t>SAINT-LAURENT-DE-BREVEDENT</t>
  </si>
  <si>
    <t>LACAPELLE-PINET</t>
  </si>
  <si>
    <t>95170</t>
  </si>
  <si>
    <t>DEUIL-LA-BARRE</t>
  </si>
  <si>
    <t>88110</t>
  </si>
  <si>
    <t>VEXAINCOURT</t>
  </si>
  <si>
    <t>70100</t>
  </si>
  <si>
    <t>LOEUILLEY</t>
  </si>
  <si>
    <t>21210</t>
  </si>
  <si>
    <t>SAINT-DIDIER</t>
  </si>
  <si>
    <t>11500</t>
  </si>
  <si>
    <t>SAINT-LOUIS-ET-PARAHOU</t>
  </si>
  <si>
    <t>44450</t>
  </si>
  <si>
    <t>SAINT-JULIEN-DE-CONCELLES</t>
  </si>
  <si>
    <t>VINGT-HANAPS</t>
  </si>
  <si>
    <t>PREMONT</t>
  </si>
  <si>
    <t>24350</t>
  </si>
  <si>
    <t>SAINT-VICTOR</t>
  </si>
  <si>
    <t>SOMPUIS</t>
  </si>
  <si>
    <t>89450</t>
  </si>
  <si>
    <t>FONTENAY-PRES-VEZELAY</t>
  </si>
  <si>
    <t>71600</t>
  </si>
  <si>
    <t>SAINT-YAN</t>
  </si>
  <si>
    <t>54420</t>
  </si>
  <si>
    <t>SAULXURES-LES-NANCY</t>
  </si>
  <si>
    <t>7310</t>
  </si>
  <si>
    <t>CHANEAC</t>
  </si>
  <si>
    <t>SAINT-JEURE-D'ANDAURE</t>
  </si>
  <si>
    <t>VERRIERES-DU-GROSBOIS</t>
  </si>
  <si>
    <t>68290</t>
  </si>
  <si>
    <t>MASEVAUX</t>
  </si>
  <si>
    <t>59570</t>
  </si>
  <si>
    <t>GUSSIGNIES</t>
  </si>
  <si>
    <t>87410</t>
  </si>
  <si>
    <t>LE PALAIS-SUR-VIENNE</t>
  </si>
  <si>
    <t>46200</t>
  </si>
  <si>
    <t>LACAVE</t>
  </si>
  <si>
    <t>32120</t>
  </si>
  <si>
    <t>SAINT-ORENS</t>
  </si>
  <si>
    <t>TOURNAVAUX</t>
  </si>
  <si>
    <t>71800</t>
  </si>
  <si>
    <t>SAINT-GERMAIN-EN-BRIONNAIS</t>
  </si>
  <si>
    <t>CONCREMIERS</t>
  </si>
  <si>
    <t>TILLEUX</t>
  </si>
  <si>
    <t>EPREVILLE-PRES-LE-NEUBOURG</t>
  </si>
  <si>
    <t>NANTEUIL-LA-FOSSE</t>
  </si>
  <si>
    <t>AHEVILLE</t>
  </si>
  <si>
    <t>64420</t>
  </si>
  <si>
    <t>ESPOEY</t>
  </si>
  <si>
    <t>18220</t>
  </si>
  <si>
    <t>AZY</t>
  </si>
  <si>
    <t>97115</t>
  </si>
  <si>
    <t>SAINTE-ROSE</t>
  </si>
  <si>
    <t>57810</t>
  </si>
  <si>
    <t>MAIZIERES-LES-VIC</t>
  </si>
  <si>
    <t>SOMMESNIL</t>
  </si>
  <si>
    <t>62215</t>
  </si>
  <si>
    <t>OYE-PLAGE</t>
  </si>
  <si>
    <t>59492</t>
  </si>
  <si>
    <t>HOYMILLE</t>
  </si>
  <si>
    <t>7170</t>
  </si>
  <si>
    <t>LAVILLEDIEU</t>
  </si>
  <si>
    <t>55200</t>
  </si>
  <si>
    <t>PONT-SUR-MEUSE</t>
  </si>
  <si>
    <t>14630</t>
  </si>
  <si>
    <t>EMIEVILLE</t>
  </si>
  <si>
    <t>MARIGNY-SUR-YONNE</t>
  </si>
  <si>
    <t>45220</t>
  </si>
  <si>
    <t>SAINT-GERMAIN-DES-PRES</t>
  </si>
  <si>
    <t>9700</t>
  </si>
  <si>
    <t>SAVERDUN</t>
  </si>
  <si>
    <t>AVANT-LES-MARCILLY</t>
  </si>
  <si>
    <t>NERON</t>
  </si>
  <si>
    <t>SAINT-HILAIRE-SOUS-ROMILLY</t>
  </si>
  <si>
    <t>54111</t>
  </si>
  <si>
    <t>MONT-BONVILLERS</t>
  </si>
  <si>
    <t>91690</t>
  </si>
  <si>
    <t>BOISSY-LA-RIVIERE</t>
  </si>
  <si>
    <t>46360</t>
  </si>
  <si>
    <t>SABADEL-LAUZES</t>
  </si>
  <si>
    <t>10170</t>
  </si>
  <si>
    <t>RHEGES</t>
  </si>
  <si>
    <t>57412</t>
  </si>
  <si>
    <t>SCHMITTVILLER</t>
  </si>
  <si>
    <t>SAINT-JEAN-DE-CHEVELU</t>
  </si>
  <si>
    <t>12200</t>
  </si>
  <si>
    <t>VAILHOURLES</t>
  </si>
  <si>
    <t>70160</t>
  </si>
  <si>
    <t>FAVERNEY</t>
  </si>
  <si>
    <t>18210</t>
  </si>
  <si>
    <t>COUST</t>
  </si>
  <si>
    <t>50590</t>
  </si>
  <si>
    <t>HAUTEVILLE-SUR-MER</t>
  </si>
  <si>
    <t>79140</t>
  </si>
  <si>
    <t>CIRIERES</t>
  </si>
  <si>
    <t>12120</t>
  </si>
  <si>
    <t>SAINTE-JULIETTE-SUR-VIAUR</t>
  </si>
  <si>
    <t>67600</t>
  </si>
  <si>
    <t>HILSENHEIM</t>
  </si>
  <si>
    <t>RAVILLE-SUR-SANON</t>
  </si>
  <si>
    <t>AUZAY</t>
  </si>
  <si>
    <t>ESCURES</t>
  </si>
  <si>
    <t>LE MENIL-SCELLEUR</t>
  </si>
  <si>
    <t>BEAUMONT-EN-BEINE</t>
  </si>
  <si>
    <t>ERCHING</t>
  </si>
  <si>
    <t>63114</t>
  </si>
  <si>
    <t>COUDES</t>
  </si>
  <si>
    <t>68500</t>
  </si>
  <si>
    <t>ISSENHEIM</t>
  </si>
  <si>
    <t>69160</t>
  </si>
  <si>
    <t>TASSIN-LA-DEMI-LUNE</t>
  </si>
  <si>
    <t>SAINT-GEORGES-DE-MONTCLARD</t>
  </si>
  <si>
    <t>7270</t>
  </si>
  <si>
    <t>NOZIERES</t>
  </si>
  <si>
    <t>15150</t>
  </si>
  <si>
    <t>SIRAN</t>
  </si>
  <si>
    <t>77510</t>
  </si>
  <si>
    <t>DOUE</t>
  </si>
  <si>
    <t>50330</t>
  </si>
  <si>
    <t>NEVILLE-SUR-MER</t>
  </si>
  <si>
    <t>TRESSERRE</t>
  </si>
  <si>
    <t>70120</t>
  </si>
  <si>
    <t>CINTREY</t>
  </si>
  <si>
    <t>28140</t>
  </si>
  <si>
    <t>BAZOCHES-EN-DUNOIS</t>
  </si>
  <si>
    <t>11160</t>
  </si>
  <si>
    <t>TRAUSSE</t>
  </si>
  <si>
    <t>33500</t>
  </si>
  <si>
    <t>LIBOURNE</t>
  </si>
  <si>
    <t>SEDZERE</t>
  </si>
  <si>
    <t>MEE</t>
  </si>
  <si>
    <t>PENDE</t>
  </si>
  <si>
    <t>28800</t>
  </si>
  <si>
    <t>BONNEVAL</t>
  </si>
  <si>
    <t>TISSEY</t>
  </si>
  <si>
    <t>65390</t>
  </si>
  <si>
    <t>AURENSAN</t>
  </si>
  <si>
    <t>BERSAILLIN</t>
  </si>
  <si>
    <t>CHAGNY</t>
  </si>
  <si>
    <t>LINTHES</t>
  </si>
  <si>
    <t>60890</t>
  </si>
  <si>
    <t>THURY-EN-VALOIS</t>
  </si>
  <si>
    <t>80240</t>
  </si>
  <si>
    <t>LONGAVESNES</t>
  </si>
  <si>
    <t>36230</t>
  </si>
  <si>
    <t>GOURNAY</t>
  </si>
  <si>
    <t>59283</t>
  </si>
  <si>
    <t>RAIMBEAUCOURT</t>
  </si>
  <si>
    <t>RIEUX-EN-VAL</t>
  </si>
  <si>
    <t>SAINT-MARTIN</t>
  </si>
  <si>
    <t>70130</t>
  </si>
  <si>
    <t>VY-LE-FERROUX</t>
  </si>
  <si>
    <t>DEVECEY</t>
  </si>
  <si>
    <t>MONTRODAT</t>
  </si>
  <si>
    <t>89250</t>
  </si>
  <si>
    <t>CHEMILLY-SUR-YONNE</t>
  </si>
  <si>
    <t>1250</t>
  </si>
  <si>
    <t>MONTAGNAT</t>
  </si>
  <si>
    <t>32190</t>
  </si>
  <si>
    <t>SAINT-PAUL-DE-BAISE</t>
  </si>
  <si>
    <t>MONTIGNY-L'ALLIER</t>
  </si>
  <si>
    <t>79450</t>
  </si>
  <si>
    <t>FENERY</t>
  </si>
  <si>
    <t>35490</t>
  </si>
  <si>
    <t>SENS-DE-BRETAGNE</t>
  </si>
  <si>
    <t>SAINT-HURUGE</t>
  </si>
  <si>
    <t>40240</t>
  </si>
  <si>
    <t>LAGRANGE</t>
  </si>
  <si>
    <t>80400</t>
  </si>
  <si>
    <t>HAM</t>
  </si>
  <si>
    <t>74570</t>
  </si>
  <si>
    <t>GROISY</t>
  </si>
  <si>
    <t>64400</t>
  </si>
  <si>
    <t>AGNOS</t>
  </si>
  <si>
    <t>36260</t>
  </si>
  <si>
    <t>SAINT-PIERRE-DE-JARDS</t>
  </si>
  <si>
    <t>RANCY</t>
  </si>
  <si>
    <t>22970</t>
  </si>
  <si>
    <t>COADOUT</t>
  </si>
  <si>
    <t>22250</t>
  </si>
  <si>
    <t>BROONS</t>
  </si>
  <si>
    <t>NORON-L'ABBAYE</t>
  </si>
  <si>
    <t>MORTIERS</t>
  </si>
  <si>
    <t>LIREY</t>
  </si>
  <si>
    <t>54740</t>
  </si>
  <si>
    <t>CRANTENOY</t>
  </si>
  <si>
    <t>61100</t>
  </si>
  <si>
    <t>LA CHAPELLE-AU-MOINE</t>
  </si>
  <si>
    <t>ARAUX</t>
  </si>
  <si>
    <t>76300</t>
  </si>
  <si>
    <t>SOTTEVILLE-LES-ROUEN</t>
  </si>
  <si>
    <t>67450</t>
  </si>
  <si>
    <t>MUNDOLSHEIM</t>
  </si>
  <si>
    <t>54385</t>
  </si>
  <si>
    <t>TREMBLECOURT</t>
  </si>
  <si>
    <t>LONGPERRIER</t>
  </si>
  <si>
    <t>63170</t>
  </si>
  <si>
    <t>AUBIERE</t>
  </si>
  <si>
    <t>61270</t>
  </si>
  <si>
    <t>ECORCEI</t>
  </si>
  <si>
    <t>27680</t>
  </si>
  <si>
    <t>MARAIS-VERNIER</t>
  </si>
  <si>
    <t>2480</t>
  </si>
  <si>
    <t>JUSSY</t>
  </si>
  <si>
    <t>27930</t>
  </si>
  <si>
    <t>GRAVIGNY</t>
  </si>
  <si>
    <t>9320</t>
  </si>
  <si>
    <t>ALEU</t>
  </si>
  <si>
    <t>97640</t>
  </si>
  <si>
    <t>SADA</t>
  </si>
  <si>
    <t>59510</t>
  </si>
  <si>
    <t>HEM</t>
  </si>
  <si>
    <t>63600</t>
  </si>
  <si>
    <t>SAINT-MARTIN-DES-OLMES</t>
  </si>
  <si>
    <t>43220</t>
  </si>
  <si>
    <t>RIOTORD</t>
  </si>
  <si>
    <t>36140</t>
  </si>
  <si>
    <t>CROZON-SUR-VAUVRE</t>
  </si>
  <si>
    <t>2150</t>
  </si>
  <si>
    <t>SISSONNE</t>
  </si>
  <si>
    <t>3220</t>
  </si>
  <si>
    <t>TRETEAU</t>
  </si>
  <si>
    <t>3150</t>
  </si>
  <si>
    <t>MONTAIGU-LE-BLIN</t>
  </si>
  <si>
    <t>69430</t>
  </si>
  <si>
    <t>QUINCIE-EN-BEAUJOLAIS</t>
  </si>
  <si>
    <t>55500</t>
  </si>
  <si>
    <t>MAULAN</t>
  </si>
  <si>
    <t>82700</t>
  </si>
  <si>
    <t>ESCATALENS</t>
  </si>
  <si>
    <t>BASSEMBERG</t>
  </si>
  <si>
    <t>22560</t>
  </si>
  <si>
    <t>TREBEURDEN</t>
  </si>
  <si>
    <t>59151</t>
  </si>
  <si>
    <t>HAMEL</t>
  </si>
  <si>
    <t>59258</t>
  </si>
  <si>
    <t>LES RUES-DES-VIGNES</t>
  </si>
  <si>
    <t>29270</t>
  </si>
  <si>
    <t>PLOUNEVEZEL</t>
  </si>
  <si>
    <t>26130</t>
  </si>
  <si>
    <t>SAINT-PAUL-TROIS-CHATEAUX</t>
  </si>
  <si>
    <t>40990</t>
  </si>
  <si>
    <t>GOURBERA</t>
  </si>
  <si>
    <t>52700</t>
  </si>
  <si>
    <t>ROCHEFORT-SUR-LA-COTE</t>
  </si>
  <si>
    <t>92600</t>
  </si>
  <si>
    <t>ASNIERES-SUR-SEINE</t>
  </si>
  <si>
    <t>1560</t>
  </si>
  <si>
    <t>SAINT-JEAN-SUR-REYSSOUZE</t>
  </si>
  <si>
    <t>50240</t>
  </si>
  <si>
    <t>MONTANEL</t>
  </si>
  <si>
    <t>3190</t>
  </si>
  <si>
    <t>AUDES</t>
  </si>
  <si>
    <t>73000</t>
  </si>
  <si>
    <t>BARBERAZ</t>
  </si>
  <si>
    <t>76370</t>
  </si>
  <si>
    <t>BERNEVAL-LE-GRAND</t>
  </si>
  <si>
    <t>41400</t>
  </si>
  <si>
    <t>CHISSAY-EN-TOURAINE</t>
  </si>
  <si>
    <t>39370</t>
  </si>
  <si>
    <t>LA PESSE</t>
  </si>
  <si>
    <t>58370</t>
  </si>
  <si>
    <t>VILLAPOURCON</t>
  </si>
  <si>
    <t>55240</t>
  </si>
  <si>
    <t>DOMREMY-LA-CANNE</t>
  </si>
  <si>
    <t>24170</t>
  </si>
  <si>
    <t>CARVES</t>
  </si>
  <si>
    <t>65250</t>
  </si>
  <si>
    <t>SAINT-ARROMAN</t>
  </si>
  <si>
    <t>MAYREGNE</t>
  </si>
  <si>
    <t>LA PEYRATTE</t>
  </si>
  <si>
    <t>19120</t>
  </si>
  <si>
    <t>LA CHAPELLE-AUX-SAINTS</t>
  </si>
  <si>
    <t>2570</t>
  </si>
  <si>
    <t>ESSISES</t>
  </si>
  <si>
    <t>12360</t>
  </si>
  <si>
    <t>CAMARES</t>
  </si>
  <si>
    <t>1340</t>
  </si>
  <si>
    <t>BEREZIAT</t>
  </si>
  <si>
    <t>95500</t>
  </si>
  <si>
    <t>VAUDHERLAND</t>
  </si>
  <si>
    <t>47210</t>
  </si>
  <si>
    <t>BOURNEL</t>
  </si>
  <si>
    <t>SAINT-VALLERIN</t>
  </si>
  <si>
    <t>62173</t>
  </si>
  <si>
    <t>FICHEUX</t>
  </si>
  <si>
    <t>BONCOURT</t>
  </si>
  <si>
    <t>BAUZEMONT</t>
  </si>
  <si>
    <t>SAINT-SULPICE-DE-RUFFEC</t>
  </si>
  <si>
    <t>60380</t>
  </si>
  <si>
    <t>THERINES</t>
  </si>
  <si>
    <t>MAISNIL</t>
  </si>
  <si>
    <t>BOEGE</t>
  </si>
  <si>
    <t>44170</t>
  </si>
  <si>
    <t>ABBARETZ</t>
  </si>
  <si>
    <t>53120</t>
  </si>
  <si>
    <t>GORRON</t>
  </si>
  <si>
    <t>34150</t>
  </si>
  <si>
    <t>GIGNAC</t>
  </si>
  <si>
    <t>67140</t>
  </si>
  <si>
    <t>BARR</t>
  </si>
  <si>
    <t>25240</t>
  </si>
  <si>
    <t>CHAUX-NEUVE</t>
  </si>
  <si>
    <t>CHEMILLA</t>
  </si>
  <si>
    <t>76640</t>
  </si>
  <si>
    <t>BERMONVILLE</t>
  </si>
  <si>
    <t>65140</t>
  </si>
  <si>
    <t>BARBACHEN</t>
  </si>
  <si>
    <t>VERRIERES</t>
  </si>
  <si>
    <t>34600</t>
  </si>
  <si>
    <t>VILLEMAGNE-L'ARGENTIERE</t>
  </si>
  <si>
    <t>69460</t>
  </si>
  <si>
    <t>VAUX-EN-BEAUJOLAIS</t>
  </si>
  <si>
    <t>61370</t>
  </si>
  <si>
    <t>ECHAUFFOUR</t>
  </si>
  <si>
    <t>LEUGNY</t>
  </si>
  <si>
    <t>85390</t>
  </si>
  <si>
    <t>MOUILLERON-EN-PAREDS</t>
  </si>
  <si>
    <t>SAINT-MAURICE-AUX-RICHES-HOMMES</t>
  </si>
  <si>
    <t>9110</t>
  </si>
  <si>
    <t>MONTAILLOU</t>
  </si>
  <si>
    <t>56930</t>
  </si>
  <si>
    <t>PLUMELIAU</t>
  </si>
  <si>
    <t>CASTILLON</t>
  </si>
  <si>
    <t>62380</t>
  </si>
  <si>
    <t>SENINGHEM</t>
  </si>
  <si>
    <t>47200</t>
  </si>
  <si>
    <t>MAUVEZIN-SUR-GUPIE</t>
  </si>
  <si>
    <t>61230</t>
  </si>
  <si>
    <t>CHAUMONT</t>
  </si>
  <si>
    <t>72400</t>
  </si>
  <si>
    <t>SOUVIGNE-SUR-MEME</t>
  </si>
  <si>
    <t>59980</t>
  </si>
  <si>
    <t>BERTRY</t>
  </si>
  <si>
    <t>CHAMBREY</t>
  </si>
  <si>
    <t>24420</t>
  </si>
  <si>
    <t>ESCOIRE</t>
  </si>
  <si>
    <t>62118</t>
  </si>
  <si>
    <t>FAMPOUX</t>
  </si>
  <si>
    <t>54360</t>
  </si>
  <si>
    <t>ROMAIN</t>
  </si>
  <si>
    <t>GRAILHEN</t>
  </si>
  <si>
    <t>41330</t>
  </si>
  <si>
    <t>LA CHAPELLE-VENDOMOISE</t>
  </si>
  <si>
    <t>VILLOTTE-SUR-OURCE</t>
  </si>
  <si>
    <t>87620</t>
  </si>
  <si>
    <t>SEREILHAC</t>
  </si>
  <si>
    <t>34130</t>
  </si>
  <si>
    <t>MUDAISON</t>
  </si>
  <si>
    <t>33570</t>
  </si>
  <si>
    <t>MONTAGNE</t>
  </si>
  <si>
    <t>14440</t>
  </si>
  <si>
    <t>PLUMETOT</t>
  </si>
  <si>
    <t>REGNEVELLE</t>
  </si>
  <si>
    <t>LE LATET</t>
  </si>
  <si>
    <t>40410</t>
  </si>
  <si>
    <t>MOUSTEY</t>
  </si>
  <si>
    <t>52340</t>
  </si>
  <si>
    <t>ESNOUVEAUX</t>
  </si>
  <si>
    <t>GILDWILLER</t>
  </si>
  <si>
    <t>89580</t>
  </si>
  <si>
    <t>COULANGES-LA-VINEUSE</t>
  </si>
  <si>
    <t>ROCHE</t>
  </si>
  <si>
    <t>MOULLE</t>
  </si>
  <si>
    <t>39190</t>
  </si>
  <si>
    <t>CUISIA</t>
  </si>
  <si>
    <t>FRESNAY-L'EVEQUE</t>
  </si>
  <si>
    <t>38112</t>
  </si>
  <si>
    <t>MEAUDRE</t>
  </si>
  <si>
    <t>CUISEAUX</t>
  </si>
  <si>
    <t>ARVILLARD</t>
  </si>
  <si>
    <t>40800</t>
  </si>
  <si>
    <t>AIRE-SUR-L'ADOUR</t>
  </si>
  <si>
    <t>20236</t>
  </si>
  <si>
    <t>2B083</t>
  </si>
  <si>
    <t>CASTIRLA</t>
  </si>
  <si>
    <t>CHERBONNIERES</t>
  </si>
  <si>
    <t>GALIE</t>
  </si>
  <si>
    <t>47120</t>
  </si>
  <si>
    <t>SAINT-JEAN-DE-DURAS</t>
  </si>
  <si>
    <t>LOUTZVILLER</t>
  </si>
  <si>
    <t>FONTAINE-LES-HERMANS</t>
  </si>
  <si>
    <t>32220</t>
  </si>
  <si>
    <t>GARRAVET</t>
  </si>
  <si>
    <t>10270</t>
  </si>
  <si>
    <t>LUSIGNY-SUR-BARSE</t>
  </si>
  <si>
    <t>57430</t>
  </si>
  <si>
    <t>HAZEMBOURG</t>
  </si>
  <si>
    <t>64560</t>
  </si>
  <si>
    <t>SAINTE-ENGRACE</t>
  </si>
  <si>
    <t>84110</t>
  </si>
  <si>
    <t>SAINT-ROMAIN-EN-VIENNOIS</t>
  </si>
  <si>
    <t>64660</t>
  </si>
  <si>
    <t>ASASP-ARROS</t>
  </si>
  <si>
    <t>11410</t>
  </si>
  <si>
    <t>BARAIGNE</t>
  </si>
  <si>
    <t>33230</t>
  </si>
  <si>
    <t>GUITRES</t>
  </si>
  <si>
    <t>BOUDRAC</t>
  </si>
  <si>
    <t>86160</t>
  </si>
  <si>
    <t>SOMMIERES-DU-CLAIN</t>
  </si>
  <si>
    <t>7660</t>
  </si>
  <si>
    <t>LANARCE</t>
  </si>
  <si>
    <t>VACHERES-EN-QUINT</t>
  </si>
  <si>
    <t>38930</t>
  </si>
  <si>
    <t>SAINT-MARTIN-DE-CLELLES</t>
  </si>
  <si>
    <t>21530</t>
  </si>
  <si>
    <t>SAINT-GERMAIN-DE-MODEON</t>
  </si>
  <si>
    <t>65190</t>
  </si>
  <si>
    <t>LESPOUEY</t>
  </si>
  <si>
    <t>60400</t>
  </si>
  <si>
    <t>APPILLY</t>
  </si>
  <si>
    <t>36120</t>
  </si>
  <si>
    <t>MARON</t>
  </si>
  <si>
    <t>RONFEUGERAI</t>
  </si>
  <si>
    <t>BARBEZIEUX-SAINT-HILAIRE</t>
  </si>
  <si>
    <t>SAINT-FIRMIN</t>
  </si>
  <si>
    <t>SAINT-BENOIT-D'HEBERTOT</t>
  </si>
  <si>
    <t>52120</t>
  </si>
  <si>
    <t>LATRECEY-ORMOY-SUR-AUBE</t>
  </si>
  <si>
    <t>SAINT-AUGUSTIN</t>
  </si>
  <si>
    <t>NEUFLIEUX</t>
  </si>
  <si>
    <t>66540</t>
  </si>
  <si>
    <t>BAHO</t>
  </si>
  <si>
    <t>SAOSNES</t>
  </si>
  <si>
    <t>11240</t>
  </si>
  <si>
    <t>LIGNAIROLLES</t>
  </si>
  <si>
    <t>72300</t>
  </si>
  <si>
    <t>VION</t>
  </si>
  <si>
    <t>74520</t>
  </si>
  <si>
    <t>VALLEIRY</t>
  </si>
  <si>
    <t>LA CHAISE</t>
  </si>
  <si>
    <t>SAINT-CREPIN</t>
  </si>
  <si>
    <t>69240</t>
  </si>
  <si>
    <t>MARDORE</t>
  </si>
  <si>
    <t>35310</t>
  </si>
  <si>
    <t>CINTRE</t>
  </si>
  <si>
    <t>NEUVILLE-AU-PLAIN</t>
  </si>
  <si>
    <t>76880</t>
  </si>
  <si>
    <t>ARQUES-LA-BATAILLE</t>
  </si>
  <si>
    <t>94170</t>
  </si>
  <si>
    <t>LE PERREUX-SUR-MARNE</t>
  </si>
  <si>
    <t>VILLEFRANCOEUR</t>
  </si>
  <si>
    <t>77171</t>
  </si>
  <si>
    <t>MELZ-SUR-SEINE</t>
  </si>
  <si>
    <t>LACHAPELLE-AUX-POTS</t>
  </si>
  <si>
    <t>76160</t>
  </si>
  <si>
    <t>PREAUX</t>
  </si>
  <si>
    <t>67270</t>
  </si>
  <si>
    <t>HOCHFELDEN</t>
  </si>
  <si>
    <t>LE PLOYRON</t>
  </si>
  <si>
    <t>LE BROC</t>
  </si>
  <si>
    <t>ALLONVILLE</t>
  </si>
  <si>
    <t>22500</t>
  </si>
  <si>
    <t>PAIMPOL</t>
  </si>
  <si>
    <t>MANE</t>
  </si>
  <si>
    <t>MIRECOURT</t>
  </si>
  <si>
    <t>PONT-SUR-SAMBRE</t>
  </si>
  <si>
    <t>38620</t>
  </si>
  <si>
    <t>MONTFERRAT</t>
  </si>
  <si>
    <t>38122</t>
  </si>
  <si>
    <t>SAINT-JULIEN-DE-L'HERMS</t>
  </si>
  <si>
    <t>22140</t>
  </si>
  <si>
    <t>PRAT</t>
  </si>
  <si>
    <t>42130</t>
  </si>
  <si>
    <t>CEZAY</t>
  </si>
  <si>
    <t>16250</t>
  </si>
  <si>
    <t>BLANZAC-PORCHERESSE</t>
  </si>
  <si>
    <t>51130</t>
  </si>
  <si>
    <t>GIONGES</t>
  </si>
  <si>
    <t>78680</t>
  </si>
  <si>
    <t>EPONE</t>
  </si>
  <si>
    <t>BOUILLONVILLE</t>
  </si>
  <si>
    <t>THIVIERS</t>
  </si>
  <si>
    <t>QUIRBAJOU</t>
  </si>
  <si>
    <t>26750</t>
  </si>
  <si>
    <t>CHATILLON-SAINT-JEAN</t>
  </si>
  <si>
    <t>49290</t>
  </si>
  <si>
    <t>SAINT-LAURENT-DE-LA-PLAINE</t>
  </si>
  <si>
    <t>15700</t>
  </si>
  <si>
    <t>PLEAUX</t>
  </si>
  <si>
    <t>ESTEVILLE</t>
  </si>
  <si>
    <t>MAURIAC</t>
  </si>
  <si>
    <t>31410</t>
  </si>
  <si>
    <t>CAPENS</t>
  </si>
  <si>
    <t>NOYANT-DE-TOURAINE</t>
  </si>
  <si>
    <t>66750</t>
  </si>
  <si>
    <t>SAINT-CYPRIEN</t>
  </si>
  <si>
    <t>JONVAL</t>
  </si>
  <si>
    <t>BOUCHAVESNES-BERGEN</t>
  </si>
  <si>
    <t>44850</t>
  </si>
  <si>
    <t>SAINT-MARS-DU-DESERT</t>
  </si>
  <si>
    <t>2240</t>
  </si>
  <si>
    <t>BERTHENICOURT</t>
  </si>
  <si>
    <t>BOISME</t>
  </si>
  <si>
    <t>AUTREY</t>
  </si>
  <si>
    <t>CHAMPLAN</t>
  </si>
  <si>
    <t>FAUSSERGUES</t>
  </si>
  <si>
    <t>FRESNAY-SUR-SARTHE</t>
  </si>
  <si>
    <t>54540</t>
  </si>
  <si>
    <t>MIGNEVILLE</t>
  </si>
  <si>
    <t>32160</t>
  </si>
  <si>
    <t>PRECHAC-SUR-ADOUR</t>
  </si>
  <si>
    <t>81290</t>
  </si>
  <si>
    <t>LABRUGUIERE</t>
  </si>
  <si>
    <t>17130</t>
  </si>
  <si>
    <t>COURPIGNAC</t>
  </si>
  <si>
    <t>SAMATAN</t>
  </si>
  <si>
    <t>95720</t>
  </si>
  <si>
    <t>VILLIERS-LE-SEC</t>
  </si>
  <si>
    <t>79360</t>
  </si>
  <si>
    <t>PRISSE-LA-CHARRIERE</t>
  </si>
  <si>
    <t>BOISSY-LE-BOIS</t>
  </si>
  <si>
    <t>34970</t>
  </si>
  <si>
    <t>LATTES</t>
  </si>
  <si>
    <t>THEMERICOURT</t>
  </si>
  <si>
    <t>BEHOUST</t>
  </si>
  <si>
    <t>BLASIMON</t>
  </si>
  <si>
    <t>80131</t>
  </si>
  <si>
    <t>VAUVILLERS</t>
  </si>
  <si>
    <t>GEVIGNEY-ET-MERCEY</t>
  </si>
  <si>
    <t>PANNECIERES</t>
  </si>
  <si>
    <t>2490</t>
  </si>
  <si>
    <t>PONTRU</t>
  </si>
  <si>
    <t>83340</t>
  </si>
  <si>
    <t>LE THORONET</t>
  </si>
  <si>
    <t>3440</t>
  </si>
  <si>
    <t>SAINT-HILAIRE</t>
  </si>
  <si>
    <t>89530</t>
  </si>
  <si>
    <t>CHITRY</t>
  </si>
  <si>
    <t>76340</t>
  </si>
  <si>
    <t>FALLENCOURT</t>
  </si>
  <si>
    <t>63120</t>
  </si>
  <si>
    <t>VOLLORE-VILLE</t>
  </si>
  <si>
    <t>19130</t>
  </si>
  <si>
    <t>SAINT-SOLVE</t>
  </si>
  <si>
    <t>63850</t>
  </si>
  <si>
    <t>ESPINCHAL</t>
  </si>
  <si>
    <t>72380</t>
  </si>
  <si>
    <t>JOUE-L'ABBE</t>
  </si>
  <si>
    <t>FLAT</t>
  </si>
  <si>
    <t>54130</t>
  </si>
  <si>
    <t>SAINT-MAX</t>
  </si>
  <si>
    <t>7160</t>
  </si>
  <si>
    <t>DORNAS</t>
  </si>
  <si>
    <t>SAINT-NAZAIRE-LE-DESERT</t>
  </si>
  <si>
    <t>TRANS-SUR-ERDRE</t>
  </si>
  <si>
    <t>14510</t>
  </si>
  <si>
    <t>GONNEVILLE-SUR-MER</t>
  </si>
  <si>
    <t>MOUHOUS</t>
  </si>
  <si>
    <t>76133</t>
  </si>
  <si>
    <t>MANEGLISE</t>
  </si>
  <si>
    <t>91260</t>
  </si>
  <si>
    <t>JUVISY-SUR-ORGE</t>
  </si>
  <si>
    <t>59496</t>
  </si>
  <si>
    <t>HANTAY</t>
  </si>
  <si>
    <t>25300</t>
  </si>
  <si>
    <t>LES FOURGS</t>
  </si>
  <si>
    <t>7380</t>
  </si>
  <si>
    <t>SAINT-CIRGUES-DE-PRADES</t>
  </si>
  <si>
    <t>MONTJOIE-SAINT-MARTIN</t>
  </si>
  <si>
    <t>SONGEONS</t>
  </si>
  <si>
    <t>LES MONTILS</t>
  </si>
  <si>
    <t>24230</t>
  </si>
  <si>
    <t>SAINT-MICHEL-DE-MONTAIGNE</t>
  </si>
  <si>
    <t>SAINTE-CAMELLE</t>
  </si>
  <si>
    <t>67500</t>
  </si>
  <si>
    <t>BATZENDORF</t>
  </si>
  <si>
    <t>VILLESISCLE</t>
  </si>
  <si>
    <t>22350</t>
  </si>
  <si>
    <t>GUENROC</t>
  </si>
  <si>
    <t>VERNEVILLE</t>
  </si>
  <si>
    <t>60300</t>
  </si>
  <si>
    <t>AUMONT-EN-HALATTE</t>
  </si>
  <si>
    <t>59182</t>
  </si>
  <si>
    <t>LOFFRE</t>
  </si>
  <si>
    <t>ERNEMONT-BOUTAVENT</t>
  </si>
  <si>
    <t>QUITTEBEUF</t>
  </si>
  <si>
    <t>31440</t>
  </si>
  <si>
    <t>ARLOS</t>
  </si>
  <si>
    <t>BASSURELS</t>
  </si>
  <si>
    <t>52600</t>
  </si>
  <si>
    <t>CHAUDENAY</t>
  </si>
  <si>
    <t>SELAINCOURT</t>
  </si>
  <si>
    <t>39320</t>
  </si>
  <si>
    <t>ANDELOT-MORVAL</t>
  </si>
  <si>
    <t>57640</t>
  </si>
  <si>
    <t>SERVIGNY-LES-SAINTE-BARBE</t>
  </si>
  <si>
    <t>16480</t>
  </si>
  <si>
    <t>BROSSAC</t>
  </si>
  <si>
    <t>PERVILLE</t>
  </si>
  <si>
    <t>38140</t>
  </si>
  <si>
    <t>IZEAUX</t>
  </si>
  <si>
    <t>48300</t>
  </si>
  <si>
    <t>FONTANES</t>
  </si>
  <si>
    <t>16420</t>
  </si>
  <si>
    <t>MONTROLLET</t>
  </si>
  <si>
    <t>63190</t>
  </si>
  <si>
    <t>ORLEAT</t>
  </si>
  <si>
    <t>PUGIEU</t>
  </si>
  <si>
    <t>BELLEVESVRE</t>
  </si>
  <si>
    <t>RACINES</t>
  </si>
  <si>
    <t>22390</t>
  </si>
  <si>
    <t>GURUNHUEL</t>
  </si>
  <si>
    <t>87590</t>
  </si>
  <si>
    <t>SAINT-JUST-LE-MARTEL</t>
  </si>
  <si>
    <t>MAREAU-AUX-BOIS</t>
  </si>
  <si>
    <t>VERSONNEX</t>
  </si>
  <si>
    <t>29490</t>
  </si>
  <si>
    <t>GUIPAVAS</t>
  </si>
  <si>
    <t>MORTEMER</t>
  </si>
  <si>
    <t>19220</t>
  </si>
  <si>
    <t>RILHAC-XAINTRIE</t>
  </si>
  <si>
    <t>61470</t>
  </si>
  <si>
    <t>LE BOSC-RENOULT</t>
  </si>
  <si>
    <t>51220</t>
  </si>
  <si>
    <t>CORMICY</t>
  </si>
  <si>
    <t>SACQUENVILLE</t>
  </si>
  <si>
    <t>SAINT-REMY-SUR-BUSSY</t>
  </si>
  <si>
    <t>40420</t>
  </si>
  <si>
    <t>LE SEN</t>
  </si>
  <si>
    <t>SAINT-JEAN-DE-FOS</t>
  </si>
  <si>
    <t>80140</t>
  </si>
  <si>
    <t>CERISY-BULEUX</t>
  </si>
  <si>
    <t>MENIL-FROGER</t>
  </si>
  <si>
    <t>LECEY</t>
  </si>
  <si>
    <t>21460</t>
  </si>
  <si>
    <t>VIEUX-CHATEAU</t>
  </si>
  <si>
    <t>65670</t>
  </si>
  <si>
    <t>MONLONG</t>
  </si>
  <si>
    <t>83400</t>
  </si>
  <si>
    <t>HYERES</t>
  </si>
  <si>
    <t>80890</t>
  </si>
  <si>
    <t>CONDE-FOLIE</t>
  </si>
  <si>
    <t>NANS</t>
  </si>
  <si>
    <t>58190</t>
  </si>
  <si>
    <t>FLEZ-CUZY</t>
  </si>
  <si>
    <t>89500</t>
  </si>
  <si>
    <t>VILLENEUVE-SUR-YONNE</t>
  </si>
  <si>
    <t>AGNIN</t>
  </si>
  <si>
    <t>AVRAINVILLE</t>
  </si>
  <si>
    <t>39570</t>
  </si>
  <si>
    <t>VERGES</t>
  </si>
  <si>
    <t>58160</t>
  </si>
  <si>
    <t>LA FERMETE</t>
  </si>
  <si>
    <t>CASTRES</t>
  </si>
  <si>
    <t>MONTREUIL-LA-CAMBE</t>
  </si>
  <si>
    <t>53210</t>
  </si>
  <si>
    <t>SOULGE-SUR-OUETTE</t>
  </si>
  <si>
    <t>1400</t>
  </si>
  <si>
    <t>SAINT-GEORGES-SUR-RENON</t>
  </si>
  <si>
    <t>64170</t>
  </si>
  <si>
    <t>CASTEIDE-CAMI</t>
  </si>
  <si>
    <t>24550</t>
  </si>
  <si>
    <t>CAMPAGNAC-LES-QUERCY</t>
  </si>
  <si>
    <t>ORSCHWILLER</t>
  </si>
  <si>
    <t>78770</t>
  </si>
  <si>
    <t>VILLIERS-LE-MAHIEU</t>
  </si>
  <si>
    <t>WAMBEZ</t>
  </si>
  <si>
    <t>18240</t>
  </si>
  <si>
    <t>BOULLERET</t>
  </si>
  <si>
    <t>SAINT-JUSTIN</t>
  </si>
  <si>
    <t>77390</t>
  </si>
  <si>
    <t>COURTOMER</t>
  </si>
  <si>
    <t>2370</t>
  </si>
  <si>
    <t>VAILLY-SUR-AISNE</t>
  </si>
  <si>
    <t>77480</t>
  </si>
  <si>
    <t>JAULNES</t>
  </si>
  <si>
    <t>MAISONNISSES</t>
  </si>
  <si>
    <t>LARROQUE</t>
  </si>
  <si>
    <t>FONTENOY</t>
  </si>
  <si>
    <t>21500</t>
  </si>
  <si>
    <t>TOUILLON</t>
  </si>
  <si>
    <t>MONTCHAUVET</t>
  </si>
  <si>
    <t>28360</t>
  </si>
  <si>
    <t>LUPLANTE</t>
  </si>
  <si>
    <t>57320</t>
  </si>
  <si>
    <t>GUERSTLING</t>
  </si>
  <si>
    <t>62123</t>
  </si>
  <si>
    <t>BAILLEULVAL</t>
  </si>
  <si>
    <t>MORAGNE</t>
  </si>
  <si>
    <t>71470</t>
  </si>
  <si>
    <t>LA CHAPELLE-THECLE</t>
  </si>
  <si>
    <t>54610</t>
  </si>
  <si>
    <t>MAILLY-SUR-SEILLE</t>
  </si>
  <si>
    <t>50410</t>
  </si>
  <si>
    <t>LE CHEFRESNE</t>
  </si>
  <si>
    <t>59970</t>
  </si>
  <si>
    <t>ODOMEZ</t>
  </si>
  <si>
    <t>32810</t>
  </si>
  <si>
    <t>LAHITTE</t>
  </si>
  <si>
    <t>4110</t>
  </si>
  <si>
    <t>AUBENAS-LES-ALPES</t>
  </si>
  <si>
    <t>78270</t>
  </si>
  <si>
    <t>LOMMOYE</t>
  </si>
  <si>
    <t>28160</t>
  </si>
  <si>
    <t>MEZIERES-AU-PERCHE</t>
  </si>
  <si>
    <t>WALHEIM</t>
  </si>
  <si>
    <t>LANDAVRAN</t>
  </si>
  <si>
    <t>TUDELLE</t>
  </si>
  <si>
    <t>PETIT-TENQUIN</t>
  </si>
  <si>
    <t>AUTREVILLE-SAINT-LAMBERT</t>
  </si>
  <si>
    <t>FOURNAUDIN</t>
  </si>
  <si>
    <t>27350</t>
  </si>
  <si>
    <t>ROUGEMONTIERS</t>
  </si>
  <si>
    <t>LESGES</t>
  </si>
  <si>
    <t>PUECHOURSI</t>
  </si>
  <si>
    <t>52500</t>
  </si>
  <si>
    <t>FAYL-BILLOT</t>
  </si>
  <si>
    <t>NOD-SUR-SEINE</t>
  </si>
  <si>
    <t>47290</t>
  </si>
  <si>
    <t>LOUGRATTE</t>
  </si>
  <si>
    <t>SUGNY</t>
  </si>
  <si>
    <t>18130</t>
  </si>
  <si>
    <t>LANTAN</t>
  </si>
  <si>
    <t>76190</t>
  </si>
  <si>
    <t>BETTEVILLE</t>
  </si>
  <si>
    <t>OEUF-EN-TERNOIS</t>
  </si>
  <si>
    <t>CROUY-SUR-OURCQ</t>
  </si>
  <si>
    <t>17350</t>
  </si>
  <si>
    <t>PORT-D'ENVAUX</t>
  </si>
  <si>
    <t>50290</t>
  </si>
  <si>
    <t>MUNEVILLE-SUR-MER</t>
  </si>
  <si>
    <t>76890</t>
  </si>
  <si>
    <t>GUEUTTEVILLE</t>
  </si>
  <si>
    <t>DAUBEUF-SERVILLE</t>
  </si>
  <si>
    <t>VILLENEUVE-D'OLMES</t>
  </si>
  <si>
    <t>HAN-SUR-MEUSE</t>
  </si>
  <si>
    <t>PONT-A-MOUSSON</t>
  </si>
  <si>
    <t>RAEDERSDORF</t>
  </si>
  <si>
    <t>ABAUCOURT</t>
  </si>
  <si>
    <t>SAUVIGNY-LE-BOIS</t>
  </si>
  <si>
    <t>45410</t>
  </si>
  <si>
    <t>ARTENAY</t>
  </si>
  <si>
    <t>74410</t>
  </si>
  <si>
    <t>ENTREVERNES</t>
  </si>
  <si>
    <t>15350</t>
  </si>
  <si>
    <t>VEYRIERES</t>
  </si>
  <si>
    <t>62161</t>
  </si>
  <si>
    <t>MAROEUIL</t>
  </si>
  <si>
    <t>50450</t>
  </si>
  <si>
    <t>SAINT-DENIS-LE-GAST</t>
  </si>
  <si>
    <t>DOLVING</t>
  </si>
  <si>
    <t>62270</t>
  </si>
  <si>
    <t>FLERS</t>
  </si>
  <si>
    <t>ANIANE</t>
  </si>
  <si>
    <t>AMPILLY-LES-BORDES</t>
  </si>
  <si>
    <t>33185</t>
  </si>
  <si>
    <t>LE HAILLAN</t>
  </si>
  <si>
    <t>51150</t>
  </si>
  <si>
    <t>AULNAY-SUR-MARNE</t>
  </si>
  <si>
    <t>59540</t>
  </si>
  <si>
    <t>BETHENCOURT</t>
  </si>
  <si>
    <t>86500</t>
  </si>
  <si>
    <t>SAULGE</t>
  </si>
  <si>
    <t>24300</t>
  </si>
  <si>
    <t>AUGIGNAC</t>
  </si>
  <si>
    <t>VANNES-SUR-COSSON</t>
  </si>
  <si>
    <t>85110</t>
  </si>
  <si>
    <t>MONSIREIGNE</t>
  </si>
  <si>
    <t>35330</t>
  </si>
  <si>
    <t>MAURE-DE-BRETAGNE</t>
  </si>
  <si>
    <t>90130</t>
  </si>
  <si>
    <t>BRETAGNE</t>
  </si>
  <si>
    <t>80340</t>
  </si>
  <si>
    <t>ECLUSIER-VAUX</t>
  </si>
  <si>
    <t>7590</t>
  </si>
  <si>
    <t>CELLIER-DU-LUC</t>
  </si>
  <si>
    <t>86150</t>
  </si>
  <si>
    <t>L'ISLE-JOURDAIN</t>
  </si>
  <si>
    <t>77370</t>
  </si>
  <si>
    <t>LA CHAPELLE-RABLAIS</t>
  </si>
  <si>
    <t>71260</t>
  </si>
  <si>
    <t>LA SALLE</t>
  </si>
  <si>
    <t>71220</t>
  </si>
  <si>
    <t>MARIZY</t>
  </si>
  <si>
    <t>25370</t>
  </si>
  <si>
    <t>ROCHEJEAN</t>
  </si>
  <si>
    <t>BAR-SUR-AUBE</t>
  </si>
  <si>
    <t>38160</t>
  </si>
  <si>
    <t>MURINAIS</t>
  </si>
  <si>
    <t>57340</t>
  </si>
  <si>
    <t>DALHAIN</t>
  </si>
  <si>
    <t>BEAUMONT-LES-NONAINS</t>
  </si>
  <si>
    <t>LE MESNIL-FUGUET</t>
  </si>
  <si>
    <t>TROISVILLES</t>
  </si>
  <si>
    <t>CHASSERADES</t>
  </si>
  <si>
    <t>58000</t>
  </si>
  <si>
    <t>SERMOISE-SUR-LOIRE</t>
  </si>
  <si>
    <t>CAUBOUS</t>
  </si>
  <si>
    <t>GEISPITZEN</t>
  </si>
  <si>
    <t>63270</t>
  </si>
  <si>
    <t>PIGNOLS</t>
  </si>
  <si>
    <t>84530</t>
  </si>
  <si>
    <t>VILLELAURE</t>
  </si>
  <si>
    <t>25160</t>
  </si>
  <si>
    <t>MALPAS</t>
  </si>
  <si>
    <t>ENQUIN-SUR-BAILLONS</t>
  </si>
  <si>
    <t>27450</t>
  </si>
  <si>
    <t>SAINT-ETIENNE-L'ALLIER</t>
  </si>
  <si>
    <t>72140</t>
  </si>
  <si>
    <t>SILLE-LE-GUILLAUME</t>
  </si>
  <si>
    <t>88100</t>
  </si>
  <si>
    <t>NAYEMONT-LES-FOSSES</t>
  </si>
  <si>
    <t>BOUXIERES-AUX-BOIS</t>
  </si>
  <si>
    <t>MEROUVILLE</t>
  </si>
  <si>
    <t>19320</t>
  </si>
  <si>
    <t>CHAMPAGNAC-LA-PRUNE</t>
  </si>
  <si>
    <t>89144</t>
  </si>
  <si>
    <t>LIGNY-LE-CHATEL</t>
  </si>
  <si>
    <t>GLANDAGE</t>
  </si>
  <si>
    <t>59123</t>
  </si>
  <si>
    <t>BRAY-DUNES</t>
  </si>
  <si>
    <t>71140</t>
  </si>
  <si>
    <t>MALTAT</t>
  </si>
  <si>
    <t>12850</t>
  </si>
  <si>
    <t>SAINTE-RADEGONDE</t>
  </si>
  <si>
    <t>12230</t>
  </si>
  <si>
    <t>SAUCLIERES</t>
  </si>
  <si>
    <t>DANGEAU</t>
  </si>
  <si>
    <t>NADAILLAC</t>
  </si>
  <si>
    <t>68270</t>
  </si>
  <si>
    <t>WITTENHEIM</t>
  </si>
  <si>
    <t>1640</t>
  </si>
  <si>
    <t>JUJURIEUX</t>
  </si>
  <si>
    <t>EAUX-BONNES</t>
  </si>
  <si>
    <t>ROCOURT</t>
  </si>
  <si>
    <t>35137</t>
  </si>
  <si>
    <t>PLEUMELEUC</t>
  </si>
  <si>
    <t>21190</t>
  </si>
  <si>
    <t>NANTOUX</t>
  </si>
  <si>
    <t>QUEUDES</t>
  </si>
  <si>
    <t>INGRANDES</t>
  </si>
  <si>
    <t>LACAUSSADE</t>
  </si>
  <si>
    <t>97128</t>
  </si>
  <si>
    <t>GOYAVE</t>
  </si>
  <si>
    <t>BOUXWILLER</t>
  </si>
  <si>
    <t>URY</t>
  </si>
  <si>
    <t>80130</t>
  </si>
  <si>
    <t>FRIVILLE-ESCARBOTIN</t>
  </si>
  <si>
    <t>88420</t>
  </si>
  <si>
    <t>MOYENMOUTIER</t>
  </si>
  <si>
    <t>62145</t>
  </si>
  <si>
    <t>ESTREE-BLANCHE</t>
  </si>
  <si>
    <t>BOSC-ROGER-SUR-BUCHY</t>
  </si>
  <si>
    <t>53320</t>
  </si>
  <si>
    <t>RUILLE-LE-GRAVELAIS</t>
  </si>
  <si>
    <t>84220</t>
  </si>
  <si>
    <t>GORDES</t>
  </si>
  <si>
    <t>87330</t>
  </si>
  <si>
    <t>SAINT-BARBANT</t>
  </si>
  <si>
    <t>LAMEAC</t>
  </si>
  <si>
    <t>42140</t>
  </si>
  <si>
    <t>MONPARDIAC</t>
  </si>
  <si>
    <t>MANNEVILLE-LA-PIPARD</t>
  </si>
  <si>
    <t>FOLKLING</t>
  </si>
  <si>
    <t>13790</t>
  </si>
  <si>
    <t>ROUSSET</t>
  </si>
  <si>
    <t>65380</t>
  </si>
  <si>
    <t>LAMARQUE-PONTACQ</t>
  </si>
  <si>
    <t>2860</t>
  </si>
  <si>
    <t>LAVAL-EN-LAONNOIS</t>
  </si>
  <si>
    <t>63690</t>
  </si>
  <si>
    <t>TAUVES</t>
  </si>
  <si>
    <t>43320</t>
  </si>
  <si>
    <t>LE VERNET</t>
  </si>
  <si>
    <t>24110</t>
  </si>
  <si>
    <t>SAINT-LEON-SUR-L'ISLE</t>
  </si>
  <si>
    <t>59296</t>
  </si>
  <si>
    <t>AVESNES-LE-SEC</t>
  </si>
  <si>
    <t>BELLANGE</t>
  </si>
  <si>
    <t>VERLHAC-TESCOU</t>
  </si>
  <si>
    <t>38660</t>
  </si>
  <si>
    <t>SAINT-VINCENT-DE-MERCUZE</t>
  </si>
  <si>
    <t>34220</t>
  </si>
  <si>
    <t>VELIEUX</t>
  </si>
  <si>
    <t>85270</t>
  </si>
  <si>
    <t>SAINT-HILAIRE-DE-RIEZ</t>
  </si>
  <si>
    <t>RACHECOURT-SUZEMONT</t>
  </si>
  <si>
    <t>FRAMICOURT</t>
  </si>
  <si>
    <t>50500</t>
  </si>
  <si>
    <t>BREVANDS</t>
  </si>
  <si>
    <t>49710</t>
  </si>
  <si>
    <t>LE LONGERON</t>
  </si>
  <si>
    <t>81700</t>
  </si>
  <si>
    <t>41700</t>
  </si>
  <si>
    <t>COUDDES</t>
  </si>
  <si>
    <t>LA FERTE-BEAUHARNAIS</t>
  </si>
  <si>
    <t>78660</t>
  </si>
  <si>
    <t>ABLIS</t>
  </si>
  <si>
    <t>12460</t>
  </si>
  <si>
    <t>HUPARLAC</t>
  </si>
  <si>
    <t>61200</t>
  </si>
  <si>
    <t>ARGENTAN</t>
  </si>
  <si>
    <t>3160</t>
  </si>
  <si>
    <t>YGRANDE</t>
  </si>
  <si>
    <t>SAINT-CYRAN-DU-JAMBOT</t>
  </si>
  <si>
    <t>18390</t>
  </si>
  <si>
    <t>NOHANT-EN-GOUT</t>
  </si>
  <si>
    <t>MONT-SAINT-SULPICE</t>
  </si>
  <si>
    <t>BERNY-RIVIERE</t>
  </si>
  <si>
    <t>LIGNE</t>
  </si>
  <si>
    <t>RONGERES</t>
  </si>
  <si>
    <t>15600</t>
  </si>
  <si>
    <t>LE TRIOULOU</t>
  </si>
  <si>
    <t>34390</t>
  </si>
  <si>
    <t>SAINT-MARTIN-DE-L'ARCON</t>
  </si>
  <si>
    <t>GUEUTTEVILLE-LES-GRES</t>
  </si>
  <si>
    <t>21290</t>
  </si>
  <si>
    <t>BUXEROLLES</t>
  </si>
  <si>
    <t>MARTRIN</t>
  </si>
  <si>
    <t>24460</t>
  </si>
  <si>
    <t>AGONAC</t>
  </si>
  <si>
    <t>HAUTERIVE</t>
  </si>
  <si>
    <t>SAINT-PARGOIRE</t>
  </si>
  <si>
    <t>62390</t>
  </si>
  <si>
    <t>HARAVESNES</t>
  </si>
  <si>
    <t>SERVIGNY</t>
  </si>
  <si>
    <t>31700</t>
  </si>
  <si>
    <t>BEAUZELLE</t>
  </si>
  <si>
    <t>LANDRECOURT-LEMPIRE</t>
  </si>
  <si>
    <t>19230</t>
  </si>
  <si>
    <t>TROCHE</t>
  </si>
  <si>
    <t>OSSEJA</t>
  </si>
  <si>
    <t>MARONCOURT</t>
  </si>
  <si>
    <t>33840</t>
  </si>
  <si>
    <t>LERM-ET-MUSSET</t>
  </si>
  <si>
    <t>50440</t>
  </si>
  <si>
    <t>GREVILLE-HAGUE</t>
  </si>
  <si>
    <t>BOINVILLE-EN-WOEVRE</t>
  </si>
  <si>
    <t>LE LUDE</t>
  </si>
  <si>
    <t>97232</t>
  </si>
  <si>
    <t>LE LAMENTIN</t>
  </si>
  <si>
    <t>33710</t>
  </si>
  <si>
    <t>LANSAC</t>
  </si>
  <si>
    <t>19450</t>
  </si>
  <si>
    <t>PIERREFITTE</t>
  </si>
  <si>
    <t>TAILLETTE</t>
  </si>
  <si>
    <t>21410</t>
  </si>
  <si>
    <t>ANCEY</t>
  </si>
  <si>
    <t>71330</t>
  </si>
  <si>
    <t>BOUHANS</t>
  </si>
  <si>
    <t>JOUEY</t>
  </si>
  <si>
    <t>67700</t>
  </si>
  <si>
    <t>OTTERSTHAL</t>
  </si>
  <si>
    <t>VERLANS</t>
  </si>
  <si>
    <t>62690</t>
  </si>
  <si>
    <t>BETHONSART</t>
  </si>
  <si>
    <t>51160</t>
  </si>
  <si>
    <t>SAINT-IMOGES</t>
  </si>
  <si>
    <t>2450</t>
  </si>
  <si>
    <t>OISY</t>
  </si>
  <si>
    <t>46500</t>
  </si>
  <si>
    <t>MIERS</t>
  </si>
  <si>
    <t>38120</t>
  </si>
  <si>
    <t>SAINT-EGREVE</t>
  </si>
  <si>
    <t>TORCY-LE-PETIT</t>
  </si>
  <si>
    <t>BAIZIEUX</t>
  </si>
  <si>
    <t>73720</t>
  </si>
  <si>
    <t>QUEIGE</t>
  </si>
  <si>
    <t>42170</t>
  </si>
  <si>
    <t>CHAMBLES</t>
  </si>
  <si>
    <t>51110</t>
  </si>
  <si>
    <t>ISLES-SUR-SUIPPE</t>
  </si>
  <si>
    <t>2A071</t>
  </si>
  <si>
    <t>CASALABRIVA</t>
  </si>
  <si>
    <t>67640</t>
  </si>
  <si>
    <t>LIPSHEIM</t>
  </si>
  <si>
    <t>65710</t>
  </si>
  <si>
    <t>CAMPAN</t>
  </si>
  <si>
    <t>ROCHEFORT-SUR-BREVON</t>
  </si>
  <si>
    <t>80160</t>
  </si>
  <si>
    <t>PLACHY-BUYON</t>
  </si>
  <si>
    <t>9240</t>
  </si>
  <si>
    <t>SENTENAC-DE-SEROU</t>
  </si>
  <si>
    <t>68740</t>
  </si>
  <si>
    <t>NAMBSHEIM</t>
  </si>
  <si>
    <t>LEURY</t>
  </si>
  <si>
    <t>55800</t>
  </si>
  <si>
    <t>NEUVILLE-SUR-ORNAIN</t>
  </si>
  <si>
    <t>CONZIEU</t>
  </si>
  <si>
    <t>RAMBURELLES</t>
  </si>
  <si>
    <t>62870</t>
  </si>
  <si>
    <t>GOUY-SAINT-ANDRE</t>
  </si>
  <si>
    <t>20239</t>
  </si>
  <si>
    <t>2B265</t>
  </si>
  <si>
    <t>RUTALI</t>
  </si>
  <si>
    <t>TOURMONT</t>
  </si>
  <si>
    <t>76410</t>
  </si>
  <si>
    <t>FRENEUSE</t>
  </si>
  <si>
    <t>16310</t>
  </si>
  <si>
    <t>SAINT-ADJUTORY</t>
  </si>
  <si>
    <t>17770</t>
  </si>
  <si>
    <t>SAINTE-MEME</t>
  </si>
  <si>
    <t>SOMBRIN</t>
  </si>
  <si>
    <t>SAINT-GENIES</t>
  </si>
  <si>
    <t>49220</t>
  </si>
  <si>
    <t>MONTREUIL-SUR-MAINE</t>
  </si>
  <si>
    <t>BEAUVOIR-EN-ROYANS</t>
  </si>
  <si>
    <t>GLICOURT</t>
  </si>
  <si>
    <t>LA BASTIDE-DE-SEROU</t>
  </si>
  <si>
    <t>13160</t>
  </si>
  <si>
    <t>CHATEAURENARD</t>
  </si>
  <si>
    <t>ALVIGNAC</t>
  </si>
  <si>
    <t>52220</t>
  </si>
  <si>
    <t>SOMMEVOIRE</t>
  </si>
  <si>
    <t>SAINT-ETIENNE-AU-TEMPLE</t>
  </si>
  <si>
    <t>CONTY</t>
  </si>
  <si>
    <t>VERVEZELLE</t>
  </si>
  <si>
    <t>LANTEUIL</t>
  </si>
  <si>
    <t>31810</t>
  </si>
  <si>
    <t>VENERQUE</t>
  </si>
  <si>
    <t>ARDENTES</t>
  </si>
  <si>
    <t>AVRILLY</t>
  </si>
  <si>
    <t>88490</t>
  </si>
  <si>
    <t>LUBINE</t>
  </si>
  <si>
    <t>16270</t>
  </si>
  <si>
    <t>MAZIERES</t>
  </si>
  <si>
    <t>SEUIL-D'ARGONNE</t>
  </si>
  <si>
    <t>LA THIEULOYE</t>
  </si>
  <si>
    <t>CLAMANGES</t>
  </si>
  <si>
    <t>MONTIGNY-SUR-L'AIN</t>
  </si>
  <si>
    <t>50430</t>
  </si>
  <si>
    <t>LAULNE</t>
  </si>
  <si>
    <t>PIRAJOUX</t>
  </si>
  <si>
    <t>21350</t>
  </si>
  <si>
    <t>VILLY-EN-AUXOIS</t>
  </si>
  <si>
    <t>LA CHAPELLE-DE-BRAGNY</t>
  </si>
  <si>
    <t>CAUBON-SAINT-SAUVEUR</t>
  </si>
  <si>
    <t>BOULAY-LES-BARRES</t>
  </si>
  <si>
    <t>TORDERES</t>
  </si>
  <si>
    <t>66600</t>
  </si>
  <si>
    <t>OPOUL-PERILLOS</t>
  </si>
  <si>
    <t>11310</t>
  </si>
  <si>
    <t>SAISSAC</t>
  </si>
  <si>
    <t>59494</t>
  </si>
  <si>
    <t>AUBRY-DU-HAINAUT</t>
  </si>
  <si>
    <t>90110</t>
  </si>
  <si>
    <t>SAINT-GERMAIN-LE-CHATELET</t>
  </si>
  <si>
    <t>1230</t>
  </si>
  <si>
    <t>EVOSGES</t>
  </si>
  <si>
    <t>AIX-EN-ERGNY</t>
  </si>
  <si>
    <t>95640</t>
  </si>
  <si>
    <t>SANTEUIL</t>
  </si>
  <si>
    <t>54140</t>
  </si>
  <si>
    <t>JARVILLE-LA-MALGRANGE</t>
  </si>
  <si>
    <t>79150</t>
  </si>
  <si>
    <t>SAINT-MAURICE-LA-FOUGEREUSE</t>
  </si>
  <si>
    <t>39130</t>
  </si>
  <si>
    <t>LA FRASNEE</t>
  </si>
  <si>
    <t>48220</t>
  </si>
  <si>
    <t>SAINT-MAURICE-DE-VENTALON</t>
  </si>
  <si>
    <t>17810</t>
  </si>
  <si>
    <t>PESSINES</t>
  </si>
  <si>
    <t>SAINT-SEGLIN</t>
  </si>
  <si>
    <t>23500</t>
  </si>
  <si>
    <t>SAINTE-FEYRE-LA-MONTAGNE</t>
  </si>
  <si>
    <t>50600</t>
  </si>
  <si>
    <t>PARIGNY</t>
  </si>
  <si>
    <t>12700</t>
  </si>
  <si>
    <t>ASPRIERES</t>
  </si>
  <si>
    <t>30300</t>
  </si>
  <si>
    <t>FOURQUES</t>
  </si>
  <si>
    <t>SAINT-JEAN-D'ESTISSAC</t>
  </si>
  <si>
    <t>CAMBREMER</t>
  </si>
  <si>
    <t>LOUZOUER</t>
  </si>
  <si>
    <t>LE MESNIL-OZENNE</t>
  </si>
  <si>
    <t>CERNEUX</t>
  </si>
  <si>
    <t>20220</t>
  </si>
  <si>
    <t>2B168</t>
  </si>
  <si>
    <t>MONTICELLO</t>
  </si>
  <si>
    <t>LES LECHES</t>
  </si>
  <si>
    <t>ANTICHAN-DE-FRONTIGNES</t>
  </si>
  <si>
    <t>THEZEY-SAINT-MARTIN</t>
  </si>
  <si>
    <t>WICQUINGHEM</t>
  </si>
  <si>
    <t>WOLXHEIM</t>
  </si>
  <si>
    <t>18170</t>
  </si>
  <si>
    <t>MARCAIS</t>
  </si>
  <si>
    <t>ANTHENAY</t>
  </si>
  <si>
    <t>36800</t>
  </si>
  <si>
    <t>NURET-LE-FERRON</t>
  </si>
  <si>
    <t>11170</t>
  </si>
  <si>
    <t>ALZONNE</t>
  </si>
  <si>
    <t>60112</t>
  </si>
  <si>
    <t>PIERREFITTE-EN-BEAUVAISIS</t>
  </si>
  <si>
    <t>19500</t>
  </si>
  <si>
    <t>CUREMONTE</t>
  </si>
  <si>
    <t>CASTANET-TOLOSAN</t>
  </si>
  <si>
    <t>SAINT-ETIENNE-AUX-CLOS</t>
  </si>
  <si>
    <t>3210</t>
  </si>
  <si>
    <t>AUTRY-ISSARDS</t>
  </si>
  <si>
    <t>27800</t>
  </si>
  <si>
    <t>NEUVILLE-SUR-AUTHOU</t>
  </si>
  <si>
    <t>SEPT-SORTS</t>
  </si>
  <si>
    <t>80770</t>
  </si>
  <si>
    <t>BEAUCHAMPS</t>
  </si>
  <si>
    <t>45630</t>
  </si>
  <si>
    <t>BEAULIEU-SUR-LOIRE</t>
  </si>
  <si>
    <t>LENAX</t>
  </si>
  <si>
    <t>BOURBACH-LE-BAS</t>
  </si>
  <si>
    <t>54210</t>
  </si>
  <si>
    <t>SAFFAIS</t>
  </si>
  <si>
    <t>16320</t>
  </si>
  <si>
    <t>RONSENAC</t>
  </si>
  <si>
    <t>LACANCHE</t>
  </si>
  <si>
    <t>46110</t>
  </si>
  <si>
    <t>LES QUATRE-ROUTES-DU-LOT</t>
  </si>
  <si>
    <t>VERSAUGUES</t>
  </si>
  <si>
    <t>CARBAY</t>
  </si>
  <si>
    <t>VILLAR-SAINT-ANSELME</t>
  </si>
  <si>
    <t>ESTAMPES</t>
  </si>
  <si>
    <t>TILLOY-LES-HERMAVILLE</t>
  </si>
  <si>
    <t>11560</t>
  </si>
  <si>
    <t>CLEVILLE</t>
  </si>
  <si>
    <t>27760</t>
  </si>
  <si>
    <t>LA FERRIERE-SUR-RISLE</t>
  </si>
  <si>
    <t>OSNES</t>
  </si>
  <si>
    <t>RECLOSES</t>
  </si>
  <si>
    <t>38390</t>
  </si>
  <si>
    <t>PARMILIEU</t>
  </si>
  <si>
    <t>GOUY-LES-GROSEILLERS</t>
  </si>
  <si>
    <t>59121</t>
  </si>
  <si>
    <t>HAULCHIN</t>
  </si>
  <si>
    <t>LEBEUVILLE</t>
  </si>
  <si>
    <t>AZILLE</t>
  </si>
  <si>
    <t>46310</t>
  </si>
  <si>
    <t>UZECH</t>
  </si>
  <si>
    <t>HILSPRICH</t>
  </si>
  <si>
    <t>1460</t>
  </si>
  <si>
    <t>BEARD-GEOVREISSIAT</t>
  </si>
  <si>
    <t>37140</t>
  </si>
  <si>
    <t>CHOUZE-SUR-LOIRE</t>
  </si>
  <si>
    <t>BROUSSY-LE-PETIT</t>
  </si>
  <si>
    <t>25620</t>
  </si>
  <si>
    <t>L'HOPITAL-DU-GROSBOIS</t>
  </si>
  <si>
    <t>GUMERY</t>
  </si>
  <si>
    <t>41000</t>
  </si>
  <si>
    <t>SAINT-DENIS-SUR-LOIRE</t>
  </si>
  <si>
    <t>25470</t>
  </si>
  <si>
    <t>THIEBOUHANS</t>
  </si>
  <si>
    <t>PUYMAURIN</t>
  </si>
  <si>
    <t>89420</t>
  </si>
  <si>
    <t>MONTREAL</t>
  </si>
  <si>
    <t>13003</t>
  </si>
  <si>
    <t>MARSEILLE--3E--ARRONDISSEMENT</t>
  </si>
  <si>
    <t>30440</t>
  </si>
  <si>
    <t>SUMENE</t>
  </si>
  <si>
    <t>RIBOUISSE</t>
  </si>
  <si>
    <t>92700</t>
  </si>
  <si>
    <t>COLOMBES</t>
  </si>
  <si>
    <t>SAINT-FELIX-DE-BOURDEILLES</t>
  </si>
  <si>
    <t>77000</t>
  </si>
  <si>
    <t>LIVRY-SUR-SEINE</t>
  </si>
  <si>
    <t>17490</t>
  </si>
  <si>
    <t>BRESDON</t>
  </si>
  <si>
    <t>VINNEUF</t>
  </si>
  <si>
    <t>8200</t>
  </si>
  <si>
    <t>GLAIRE</t>
  </si>
  <si>
    <t>PRECY-SOUS-THIL</t>
  </si>
  <si>
    <t>17210</t>
  </si>
  <si>
    <t>POUILLAC</t>
  </si>
  <si>
    <t>FORLEANS</t>
  </si>
  <si>
    <t>SAINT-MARTIN-DE-VARREVILLE</t>
  </si>
  <si>
    <t>77650</t>
  </si>
  <si>
    <t>SAINT-LOUP-DE-NAUD</t>
  </si>
  <si>
    <t>66440</t>
  </si>
  <si>
    <t>TORREILLES</t>
  </si>
  <si>
    <t>LA BELLIERE</t>
  </si>
  <si>
    <t>CARQUEBUT</t>
  </si>
  <si>
    <t>SAUVIGNAC</t>
  </si>
  <si>
    <t>71760</t>
  </si>
  <si>
    <t>MARLY-SOUS-ISSY</t>
  </si>
  <si>
    <t>BOUXURULLES</t>
  </si>
  <si>
    <t>7150</t>
  </si>
  <si>
    <t>ORGNAC-L'AVEN</t>
  </si>
  <si>
    <t>27950</t>
  </si>
  <si>
    <t>SAINTE-COLOMBE-PRES-VERNON</t>
  </si>
  <si>
    <t>7360</t>
  </si>
  <si>
    <t>SAINT-MICHEL-DE-CHABRILLANOUX</t>
  </si>
  <si>
    <t>TRESILLEY</t>
  </si>
  <si>
    <t>35160</t>
  </si>
  <si>
    <t>TALENSAC</t>
  </si>
  <si>
    <t>LE GAULT-SAINT-DENIS</t>
  </si>
  <si>
    <t>MAZERNY</t>
  </si>
  <si>
    <t>29170</t>
  </si>
  <si>
    <t>PLEUVEN</t>
  </si>
  <si>
    <t>BEAUMARCHES</t>
  </si>
  <si>
    <t>22520</t>
  </si>
  <si>
    <t>BINIC</t>
  </si>
  <si>
    <t>FRESNAY-LE-GILMERT</t>
  </si>
  <si>
    <t>LUNEVILLE</t>
  </si>
  <si>
    <t>68610</t>
  </si>
  <si>
    <t>LAUTENBACHZELL</t>
  </si>
  <si>
    <t>TOURVILLE-LES-IFS</t>
  </si>
  <si>
    <t>METZ-LE-COMTE</t>
  </si>
  <si>
    <t>50300</t>
  </si>
  <si>
    <t>SAINT-OVIN</t>
  </si>
  <si>
    <t>SAINT-VAAST-SUR-SEULLES</t>
  </si>
  <si>
    <t>54760</t>
  </si>
  <si>
    <t>VILLERS-LES-MOIVRONS</t>
  </si>
  <si>
    <t>LIEURAN-CABRIERES</t>
  </si>
  <si>
    <t>13011</t>
  </si>
  <si>
    <t>MARSEILLE-11E--ARRONDISSEMENT</t>
  </si>
  <si>
    <t>22530</t>
  </si>
  <si>
    <t>SAINT-CONNEC</t>
  </si>
  <si>
    <t>50760</t>
  </si>
  <si>
    <t>GATTEVILLE-LE-PHARE</t>
  </si>
  <si>
    <t>59173</t>
  </si>
  <si>
    <t>RENESCURE</t>
  </si>
  <si>
    <t>38800</t>
  </si>
  <si>
    <t>CHAMPAGNIER</t>
  </si>
  <si>
    <t>SAINT-PASTOUR</t>
  </si>
  <si>
    <t>77700</t>
  </si>
  <si>
    <t>BAILLY-ROMAINVILLIERS</t>
  </si>
  <si>
    <t>LES CHARMONTOIS</t>
  </si>
  <si>
    <t>SAINT-PASTOUS</t>
  </si>
  <si>
    <t>NEUVILLE-LES-DAMES</t>
  </si>
  <si>
    <t>IZEL-LES-HAMEAU</t>
  </si>
  <si>
    <t>CHEVAGNY-LES-CHEVRIERES</t>
  </si>
  <si>
    <t>32330</t>
  </si>
  <si>
    <t>GONDRIN</t>
  </si>
  <si>
    <t>34850</t>
  </si>
  <si>
    <t>PINET</t>
  </si>
  <si>
    <t>SAMOGNEUX</t>
  </si>
  <si>
    <t>69840</t>
  </si>
  <si>
    <t>EMERINGES</t>
  </si>
  <si>
    <t>LEBUCQUIERE</t>
  </si>
  <si>
    <t>62310</t>
  </si>
  <si>
    <t>VINCLY</t>
  </si>
  <si>
    <t>AUBRY-EN-EXMES</t>
  </si>
  <si>
    <t>76220</t>
  </si>
  <si>
    <t>ELBEUF-EN-BRAY</t>
  </si>
  <si>
    <t>76680</t>
  </si>
  <si>
    <t>ARDOUVAL</t>
  </si>
  <si>
    <t>52400</t>
  </si>
  <si>
    <t>MELAY</t>
  </si>
  <si>
    <t>CREPON</t>
  </si>
  <si>
    <t>63113</t>
  </si>
  <si>
    <t>PICHERANDE</t>
  </si>
  <si>
    <t>TERRATS</t>
  </si>
  <si>
    <t>WALINCOURT-SELVIGNY</t>
  </si>
  <si>
    <t>CONDILLAC</t>
  </si>
  <si>
    <t>SAINT-JEAN-LE-THOMAS</t>
  </si>
  <si>
    <t>7340</t>
  </si>
  <si>
    <t>PEAUGRES</t>
  </si>
  <si>
    <t>83520</t>
  </si>
  <si>
    <t>ROQUEBRUNE-SUR-ARGENS</t>
  </si>
  <si>
    <t>62490</t>
  </si>
  <si>
    <t>SAILLY-EN-OSTREVENT</t>
  </si>
  <si>
    <t>VRIGNE-MEUSE</t>
  </si>
  <si>
    <t>69480</t>
  </si>
  <si>
    <t>MORANCE</t>
  </si>
  <si>
    <t>74270</t>
  </si>
  <si>
    <t>FRANGY</t>
  </si>
  <si>
    <t>SARRAS</t>
  </si>
  <si>
    <t>40110</t>
  </si>
  <si>
    <t>MORCENX</t>
  </si>
  <si>
    <t>FRANCS</t>
  </si>
  <si>
    <t>DRUY-PARIGNY</t>
  </si>
  <si>
    <t>BRANCOURT-LE-GRAND</t>
  </si>
  <si>
    <t>63990</t>
  </si>
  <si>
    <t>JOB</t>
  </si>
  <si>
    <t>35220</t>
  </si>
  <si>
    <t>SAINT-JEAN-SUR-VILAINE</t>
  </si>
  <si>
    <t>44670</t>
  </si>
  <si>
    <t>JUIGNE-DES-MOUTIERS</t>
  </si>
  <si>
    <t>NODS</t>
  </si>
  <si>
    <t>ASSAINVILLERS</t>
  </si>
  <si>
    <t>20212</t>
  </si>
  <si>
    <t>2B045</t>
  </si>
  <si>
    <t>BUSTANICO</t>
  </si>
  <si>
    <t>47800</t>
  </si>
  <si>
    <t>AGNAC</t>
  </si>
  <si>
    <t>WANQUETIN</t>
  </si>
  <si>
    <t>7700</t>
  </si>
  <si>
    <t>SAINT-MARCEL-D'ARDECHE</t>
  </si>
  <si>
    <t>49600</t>
  </si>
  <si>
    <t>ANDREZE</t>
  </si>
  <si>
    <t>BROUY</t>
  </si>
  <si>
    <t>6380</t>
  </si>
  <si>
    <t>MOULINET</t>
  </si>
  <si>
    <t>29820</t>
  </si>
  <si>
    <t>BOHARS</t>
  </si>
  <si>
    <t>30760</t>
  </si>
  <si>
    <t>SAINT-CHRISTOL-DE-RODIERES</t>
  </si>
  <si>
    <t>OUDRY</t>
  </si>
  <si>
    <t>46170</t>
  </si>
  <si>
    <t>FLAUGNAC</t>
  </si>
  <si>
    <t>70700</t>
  </si>
  <si>
    <t>VILLERS-CHEMIN-ET-MONT-LES-ETRELLES</t>
  </si>
  <si>
    <t>1590</t>
  </si>
  <si>
    <t>LAVANCIA-EPERCY</t>
  </si>
  <si>
    <t>24130</t>
  </si>
  <si>
    <t>SAINT-GEORGES-BLANCANEIX</t>
  </si>
  <si>
    <t>3470</t>
  </si>
  <si>
    <t>SALIGNY-SUR-ROUDON</t>
  </si>
  <si>
    <t>83250</t>
  </si>
  <si>
    <t>LA LONDE-LES-MAURES</t>
  </si>
  <si>
    <t>70280</t>
  </si>
  <si>
    <t>AMAGE</t>
  </si>
  <si>
    <t>33490</t>
  </si>
  <si>
    <t>SAINT-GERMAIN-DE-GRAVE</t>
  </si>
  <si>
    <t>SAINT-URCISSE</t>
  </si>
  <si>
    <t>PRIGNAC</t>
  </si>
  <si>
    <t>14330</t>
  </si>
  <si>
    <t>TOURNIERES</t>
  </si>
  <si>
    <t>27580</t>
  </si>
  <si>
    <t>CHAISE-DIEU-DU-THEIL</t>
  </si>
  <si>
    <t>DERCY</t>
  </si>
  <si>
    <t>NESLE-HODENG</t>
  </si>
  <si>
    <t>BOUXIERES-SOUS-FROIDMONT</t>
  </si>
  <si>
    <t>MARCHE-ALLOUARDE</t>
  </si>
  <si>
    <t>81570</t>
  </si>
  <si>
    <t>FREJEVILLE</t>
  </si>
  <si>
    <t>72320</t>
  </si>
  <si>
    <t>CHAMPROND</t>
  </si>
  <si>
    <t>CRUPILLY</t>
  </si>
  <si>
    <t>LE GUISLAIN</t>
  </si>
  <si>
    <t>1200</t>
  </si>
  <si>
    <t>ELOISE</t>
  </si>
  <si>
    <t>20243</t>
  </si>
  <si>
    <t>2B277</t>
  </si>
  <si>
    <t>SERRA-DI-FIUMORBO</t>
  </si>
  <si>
    <t>NANTES-EN-RATIER</t>
  </si>
  <si>
    <t>78200</t>
  </si>
  <si>
    <t>FONTENAY-MAUVOISIN</t>
  </si>
  <si>
    <t>OUILLY-LE-VICOMTE</t>
  </si>
  <si>
    <t>SAINT-MARTIN-LE-HEBERT</t>
  </si>
  <si>
    <t>SAINTE-CROIX-SUR-BUCHY</t>
  </si>
  <si>
    <t>ARCAMBAL</t>
  </si>
  <si>
    <t>MONTREUX-JEUNE</t>
  </si>
  <si>
    <t>SIGOGNE</t>
  </si>
  <si>
    <t>MELLECEY</t>
  </si>
  <si>
    <t>82210</t>
  </si>
  <si>
    <t>MOUY-SUR-SEINE</t>
  </si>
  <si>
    <t>27560</t>
  </si>
  <si>
    <t>SAINT-SIMEON</t>
  </si>
  <si>
    <t>31330</t>
  </si>
  <si>
    <t>LE BURGAUD</t>
  </si>
  <si>
    <t>25000</t>
  </si>
  <si>
    <t>BESANCON</t>
  </si>
  <si>
    <t>82370</t>
  </si>
  <si>
    <t>REYNIES</t>
  </si>
  <si>
    <t>PUISIEUX-ET-CLANLIEU</t>
  </si>
  <si>
    <t>41240</t>
  </si>
  <si>
    <t>SAINT-LAURENT-DES-BOIS</t>
  </si>
  <si>
    <t>5310</t>
  </si>
  <si>
    <t>LA ROCHE-DE-RAME</t>
  </si>
  <si>
    <t>31220</t>
  </si>
  <si>
    <t>SAINT-MICHEL</t>
  </si>
  <si>
    <t>CHAVANAC</t>
  </si>
  <si>
    <t>FAYE-LA-VINEUSE</t>
  </si>
  <si>
    <t>59300</t>
  </si>
  <si>
    <t>VALENCIENNES</t>
  </si>
  <si>
    <t>GEVILLE</t>
  </si>
  <si>
    <t>CHATENET</t>
  </si>
  <si>
    <t>BARENTON-BUGNY</t>
  </si>
  <si>
    <t>43130</t>
  </si>
  <si>
    <t>SOLIGNAC-SOUS-ROCHE</t>
  </si>
  <si>
    <t>BAYENCOURT</t>
  </si>
  <si>
    <t>66800</t>
  </si>
  <si>
    <t>ERR</t>
  </si>
  <si>
    <t>54480</t>
  </si>
  <si>
    <t>SAINT-SAUVEUR</t>
  </si>
  <si>
    <t>LA BUSSIERE-SUR-OUCHE</t>
  </si>
  <si>
    <t>SAINT-PHILBERT-SUR-ORNE</t>
  </si>
  <si>
    <t>76940</t>
  </si>
  <si>
    <t>SAINT-NICOLAS-DE-BLIQUETUIT</t>
  </si>
  <si>
    <t>MAREILLES</t>
  </si>
  <si>
    <t>20134</t>
  </si>
  <si>
    <t>2A089</t>
  </si>
  <si>
    <t>CIAMANNACCE</t>
  </si>
  <si>
    <t>68140</t>
  </si>
  <si>
    <t>GUNSBACH</t>
  </si>
  <si>
    <t>75009</t>
  </si>
  <si>
    <t>PARIS-9E-ARRONDISSEMENT</t>
  </si>
  <si>
    <t>56220</t>
  </si>
  <si>
    <t>CADEN</t>
  </si>
  <si>
    <t>42470</t>
  </si>
  <si>
    <t>LAY</t>
  </si>
  <si>
    <t>31590</t>
  </si>
  <si>
    <t>GAURE</t>
  </si>
  <si>
    <t>59320</t>
  </si>
  <si>
    <t>RADINGHEM-EN-WEPPES</t>
  </si>
  <si>
    <t>69350</t>
  </si>
  <si>
    <t>LA MULATIERE</t>
  </si>
  <si>
    <t>FONTAINES-SUR-MARNE</t>
  </si>
  <si>
    <t>GRANE</t>
  </si>
  <si>
    <t>72610</t>
  </si>
  <si>
    <t>LE CHEVAIN</t>
  </si>
  <si>
    <t>PAARS</t>
  </si>
  <si>
    <t>32310</t>
  </si>
  <si>
    <t>ROQUES</t>
  </si>
  <si>
    <t>MONTSERON</t>
  </si>
  <si>
    <t>31420</t>
  </si>
  <si>
    <t>PEYRISSAS</t>
  </si>
  <si>
    <t>THONNE-LES-PRES</t>
  </si>
  <si>
    <t>90800</t>
  </si>
  <si>
    <t>BAVILLIERS</t>
  </si>
  <si>
    <t>FAIN-LES-MONTBARD</t>
  </si>
  <si>
    <t>ISSOIRE</t>
  </si>
  <si>
    <t>6450</t>
  </si>
  <si>
    <t>UTELLE</t>
  </si>
  <si>
    <t>27270</t>
  </si>
  <si>
    <t>SAINT-JEAN-DU-THENNEY</t>
  </si>
  <si>
    <t>30340</t>
  </si>
  <si>
    <t>SAINT-JULIEN-LES-ROSIERS</t>
  </si>
  <si>
    <t>39110</t>
  </si>
  <si>
    <t>GERAISE</t>
  </si>
  <si>
    <t>OGY</t>
  </si>
  <si>
    <t>34310</t>
  </si>
  <si>
    <t>MONTOULIERS</t>
  </si>
  <si>
    <t>SAINT-LOUP-DES-CHAUMES</t>
  </si>
  <si>
    <t>52310</t>
  </si>
  <si>
    <t>ANNEVILLE-LA-PRAIRIE</t>
  </si>
  <si>
    <t>1390</t>
  </si>
  <si>
    <t>SAINT-ANDRE-DE-CORCY</t>
  </si>
  <si>
    <t>80440</t>
  </si>
  <si>
    <t>FOUENCAMPS</t>
  </si>
  <si>
    <t>63730</t>
  </si>
  <si>
    <t>CORENT</t>
  </si>
  <si>
    <t>LA ROCHE-MOREY</t>
  </si>
  <si>
    <t>79320</t>
  </si>
  <si>
    <t>MOUTIERS-SOUS-CHANTEMERLE</t>
  </si>
  <si>
    <t>63000/63100</t>
  </si>
  <si>
    <t>CLERMONT-FERRAND</t>
  </si>
  <si>
    <t>VARAIRE</t>
  </si>
  <si>
    <t>53240</t>
  </si>
  <si>
    <t>SAINT-GERMAIN-D'ANXURE</t>
  </si>
  <si>
    <t>83440</t>
  </si>
  <si>
    <t>TANNERON</t>
  </si>
  <si>
    <t>BOESSE-LE-SEC</t>
  </si>
  <si>
    <t>PEZENES-LES-MINES</t>
  </si>
  <si>
    <t>5000</t>
  </si>
  <si>
    <t>LA BATIE-VIEILLE</t>
  </si>
  <si>
    <t>GOUILLONS</t>
  </si>
  <si>
    <t>AUVET-ET-LA-CHAPELOTTE</t>
  </si>
  <si>
    <t>59370</t>
  </si>
  <si>
    <t>MONS-EN-BAROEUL</t>
  </si>
  <si>
    <t>CROS-DE-MONTVERT</t>
  </si>
  <si>
    <t>RIBEAUVILLE</t>
  </si>
  <si>
    <t>66760</t>
  </si>
  <si>
    <t>LATOUR-DE-CAROL</t>
  </si>
  <si>
    <t>4240</t>
  </si>
  <si>
    <t>BRAUX</t>
  </si>
  <si>
    <t>CHAUSSY</t>
  </si>
  <si>
    <t>MISSY-LES-PIERREPONT</t>
  </si>
  <si>
    <t>62980</t>
  </si>
  <si>
    <t>VERMELLES</t>
  </si>
  <si>
    <t>AMELECOURT</t>
  </si>
  <si>
    <t>6510</t>
  </si>
  <si>
    <t>CHAUNY</t>
  </si>
  <si>
    <t>RICHEVAL</t>
  </si>
  <si>
    <t>FRAHIER-ET-CHATEBIER</t>
  </si>
  <si>
    <t>SALENCY</t>
  </si>
  <si>
    <t>LES FORGES</t>
  </si>
  <si>
    <t>PRECY-SAINT-MARTIN</t>
  </si>
  <si>
    <t>25520</t>
  </si>
  <si>
    <t>AUBONNE</t>
  </si>
  <si>
    <t>25440</t>
  </si>
  <si>
    <t>ROUHE</t>
  </si>
  <si>
    <t>IZAUX</t>
  </si>
  <si>
    <t>BLIS-ET-BORN</t>
  </si>
  <si>
    <t>ROTHERENS</t>
  </si>
  <si>
    <t>40120</t>
  </si>
  <si>
    <t>BOURRIOT-BERGONCE</t>
  </si>
  <si>
    <t>7440</t>
  </si>
  <si>
    <t>CHAMPIS</t>
  </si>
  <si>
    <t>77620</t>
  </si>
  <si>
    <t>EGREVILLE</t>
  </si>
  <si>
    <t>29290</t>
  </si>
  <si>
    <t>GUIPRONVEL</t>
  </si>
  <si>
    <t>86290</t>
  </si>
  <si>
    <t>LA TRIMOUILLE</t>
  </si>
  <si>
    <t>DOMBASLE-EN-XAINTOIS</t>
  </si>
  <si>
    <t>67201</t>
  </si>
  <si>
    <t>ECKBOLSHEIM</t>
  </si>
  <si>
    <t>58310</t>
  </si>
  <si>
    <t>BOUHY</t>
  </si>
  <si>
    <t>26510</t>
  </si>
  <si>
    <t>CORNILLAC</t>
  </si>
  <si>
    <t>5200</t>
  </si>
  <si>
    <t>LES ORRES</t>
  </si>
  <si>
    <t>AMBLY-FLEURY</t>
  </si>
  <si>
    <t>MONTLEVON</t>
  </si>
  <si>
    <t>TORTEQUESNE</t>
  </si>
  <si>
    <t>23260</t>
  </si>
  <si>
    <t>LA VILLETELLE</t>
  </si>
  <si>
    <t>POMPONNE</t>
  </si>
  <si>
    <t>URBEIS</t>
  </si>
  <si>
    <t>11110</t>
  </si>
  <si>
    <t>SALLES-D'AUDE</t>
  </si>
  <si>
    <t>MORINGHEM</t>
  </si>
  <si>
    <t>VILLERET</t>
  </si>
  <si>
    <t>33600</t>
  </si>
  <si>
    <t>PESSAC</t>
  </si>
  <si>
    <t>77570</t>
  </si>
  <si>
    <t>BOUGLIGNY</t>
  </si>
  <si>
    <t>SAINT-JUST-SUR-DIVE</t>
  </si>
  <si>
    <t>56680</t>
  </si>
  <si>
    <t>PLOUHINEC</t>
  </si>
  <si>
    <t>VENAS</t>
  </si>
  <si>
    <t>MOUMOUR</t>
  </si>
  <si>
    <t>64120</t>
  </si>
  <si>
    <t>GABAT</t>
  </si>
  <si>
    <t>54820</t>
  </si>
  <si>
    <t>MARBACHE</t>
  </si>
  <si>
    <t>LAUW</t>
  </si>
  <si>
    <t>BENY-SUR-MER</t>
  </si>
  <si>
    <t>2B366</t>
  </si>
  <si>
    <t>CHISA</t>
  </si>
  <si>
    <t>67660</t>
  </si>
  <si>
    <t>BETSCHDORF</t>
  </si>
  <si>
    <t>56500</t>
  </si>
  <si>
    <t>BIGNAN</t>
  </si>
  <si>
    <t>80420</t>
  </si>
  <si>
    <t>FLIXECOURT</t>
  </si>
  <si>
    <t>46700</t>
  </si>
  <si>
    <t>CASSAGNES</t>
  </si>
  <si>
    <t>72190</t>
  </si>
  <si>
    <t>SAINT-PAVACE</t>
  </si>
  <si>
    <t>79170</t>
  </si>
  <si>
    <t>VERNOUX-SUR-BOUTONNE</t>
  </si>
  <si>
    <t>38190</t>
  </si>
  <si>
    <t>VILLARD-BONNOT</t>
  </si>
  <si>
    <t>MACQUEVILLE</t>
  </si>
  <si>
    <t>24560</t>
  </si>
  <si>
    <t>SAINT-LEON-D'ISSIGEAC</t>
  </si>
  <si>
    <t>32550</t>
  </si>
  <si>
    <t>BOUCAGNERES</t>
  </si>
  <si>
    <t>57550</t>
  </si>
  <si>
    <t>DALEM</t>
  </si>
  <si>
    <t>POMAREDE</t>
  </si>
  <si>
    <t>73590</t>
  </si>
  <si>
    <t>SAINT-NICOLAS-LA-CHAPELLE</t>
  </si>
  <si>
    <t>SAINT-NICOLAS-DE-PORT</t>
  </si>
  <si>
    <t>34660</t>
  </si>
  <si>
    <t>COURNONSEC</t>
  </si>
  <si>
    <t>BRIE</t>
  </si>
  <si>
    <t>81190</t>
  </si>
  <si>
    <t>TREBAN</t>
  </si>
  <si>
    <t>79210</t>
  </si>
  <si>
    <t>PRIN-DEYRANCON</t>
  </si>
  <si>
    <t>17550</t>
  </si>
  <si>
    <t>DOLUS-D'OLERON</t>
  </si>
  <si>
    <t>BACQUEPUIS</t>
  </si>
  <si>
    <t>40700</t>
  </si>
  <si>
    <t>MONSEGUR</t>
  </si>
  <si>
    <t>VEAUVILLE-LES-QUELLES</t>
  </si>
  <si>
    <t>41130</t>
  </si>
  <si>
    <t>SELLES-SUR-CHER</t>
  </si>
  <si>
    <t>HUCHENNEVILLE</t>
  </si>
  <si>
    <t>26230</t>
  </si>
  <si>
    <t>REAUVILLE</t>
  </si>
  <si>
    <t>62250</t>
  </si>
  <si>
    <t>AUDEMBERT</t>
  </si>
  <si>
    <t>2210</t>
  </si>
  <si>
    <t>MURET-ET-CROUTTES</t>
  </si>
  <si>
    <t>CONFLANS-EN-JARNISY</t>
  </si>
  <si>
    <t>70150</t>
  </si>
  <si>
    <t>HUGIER</t>
  </si>
  <si>
    <t>PONT-EVEQUE</t>
  </si>
  <si>
    <t>SAINT-BOMER-LES-FORGES</t>
  </si>
  <si>
    <t>FAUVERNEY</t>
  </si>
  <si>
    <t>FERTREVE</t>
  </si>
  <si>
    <t>39100</t>
  </si>
  <si>
    <t>AUTHUME</t>
  </si>
  <si>
    <t>SAINT-THIBAULT</t>
  </si>
  <si>
    <t>COMIAC</t>
  </si>
  <si>
    <t>61450</t>
  </si>
  <si>
    <t>LE CHATELLIER</t>
  </si>
  <si>
    <t>YEVRE-LA-VILLE</t>
  </si>
  <si>
    <t>3000</t>
  </si>
  <si>
    <t>BRESSOLLES</t>
  </si>
  <si>
    <t>78125</t>
  </si>
  <si>
    <t>VIEILLE-EGLISE-EN-YVELINES</t>
  </si>
  <si>
    <t>MONHEURT</t>
  </si>
  <si>
    <t>15400</t>
  </si>
  <si>
    <t>CHEYLADE</t>
  </si>
  <si>
    <t>REILHANETTE</t>
  </si>
  <si>
    <t>12240</t>
  </si>
  <si>
    <t>LA CAPELLE-BLEYS</t>
  </si>
  <si>
    <t>45640</t>
  </si>
  <si>
    <t>SANDILLON</t>
  </si>
  <si>
    <t>74160</t>
  </si>
  <si>
    <t>FEIGERES</t>
  </si>
  <si>
    <t>16240</t>
  </si>
  <si>
    <t>BRETTES</t>
  </si>
  <si>
    <t>BEAUMONT-SUR-SARTHE</t>
  </si>
  <si>
    <t>59290</t>
  </si>
  <si>
    <t>WASQUEHAL</t>
  </si>
  <si>
    <t>RACECOURT</t>
  </si>
  <si>
    <t>VOUDENAY</t>
  </si>
  <si>
    <t>LA BARTHE-DE-NESTE</t>
  </si>
  <si>
    <t>HERCHIES</t>
  </si>
  <si>
    <t>LALAYE</t>
  </si>
  <si>
    <t>PEZY</t>
  </si>
  <si>
    <t>34350</t>
  </si>
  <si>
    <t>VENDRES</t>
  </si>
  <si>
    <t>VIGNATS</t>
  </si>
  <si>
    <t>SONNAY</t>
  </si>
  <si>
    <t>JONQUERY</t>
  </si>
  <si>
    <t>21220</t>
  </si>
  <si>
    <t>BAGNIZEAU</t>
  </si>
  <si>
    <t>46140</t>
  </si>
  <si>
    <t>SAUZET</t>
  </si>
  <si>
    <t>79420</t>
  </si>
  <si>
    <t>BEAULIEU-SOUS-PARTHENAY</t>
  </si>
  <si>
    <t>54890</t>
  </si>
  <si>
    <t>VILLECEY-SUR-MAD</t>
  </si>
  <si>
    <t>47330</t>
  </si>
  <si>
    <t>CAHUZAC</t>
  </si>
  <si>
    <t>LECUSSAN</t>
  </si>
  <si>
    <t>CIZE</t>
  </si>
  <si>
    <t>SAINT-SEURIN-DE-CURSAC</t>
  </si>
  <si>
    <t>BOUCONVILLE-VAUCLAIR</t>
  </si>
  <si>
    <t>CHAMPSERU</t>
  </si>
  <si>
    <t>PROVISEUX-ET-PLESNOY</t>
  </si>
  <si>
    <t>ROUPELDANGE</t>
  </si>
  <si>
    <t>32450</t>
  </si>
  <si>
    <t>SAINT-MARTIN-GIMOIS</t>
  </si>
  <si>
    <t>62850</t>
  </si>
  <si>
    <t>HAUT-LOQUIN</t>
  </si>
  <si>
    <t>12380</t>
  </si>
  <si>
    <t>POUSTHOMY</t>
  </si>
  <si>
    <t>16290</t>
  </si>
  <si>
    <t>CHAMPMILLON</t>
  </si>
  <si>
    <t>BELHOMERT-GUEHOUVILLE</t>
  </si>
  <si>
    <t>88460</t>
  </si>
  <si>
    <t>CHARMOIS-DEVANT-BRUYERES</t>
  </si>
  <si>
    <t>CRAONNELLE</t>
  </si>
  <si>
    <t>59195</t>
  </si>
  <si>
    <t>HERIN</t>
  </si>
  <si>
    <t>LE CHESNE</t>
  </si>
  <si>
    <t>LA ROCHETTE</t>
  </si>
  <si>
    <t>BEAUMONT-HAMEL</t>
  </si>
  <si>
    <t>48310</t>
  </si>
  <si>
    <t>ALBARET-LE-COMTAL</t>
  </si>
  <si>
    <t>MAGSTATT-LE-HAUT</t>
  </si>
  <si>
    <t>17400</t>
  </si>
  <si>
    <t>COURCELLES</t>
  </si>
  <si>
    <t>COINCY</t>
  </si>
  <si>
    <t>50390</t>
  </si>
  <si>
    <t>REIGNEVILLE-BOCAGE</t>
  </si>
  <si>
    <t>91490</t>
  </si>
  <si>
    <t>COURANCES</t>
  </si>
  <si>
    <t>77850</t>
  </si>
  <si>
    <t>HERICY</t>
  </si>
  <si>
    <t>BARCELONNETTE</t>
  </si>
  <si>
    <t>LE TRONCHET</t>
  </si>
  <si>
    <t>MARSON</t>
  </si>
  <si>
    <t>SAINT-PIERRE-LES-FRANQUEVILLE</t>
  </si>
  <si>
    <t>35114</t>
  </si>
  <si>
    <t>SAINT-BENOIT-DES-ONDES</t>
  </si>
  <si>
    <t>SOMME-YEVRE</t>
  </si>
  <si>
    <t>36340</t>
  </si>
  <si>
    <t>MALICORNAY</t>
  </si>
  <si>
    <t>67170</t>
  </si>
  <si>
    <t>HOHATZENHEIM</t>
  </si>
  <si>
    <t>53470</t>
  </si>
  <si>
    <t>MARTIGNE-SUR-MAYENNE</t>
  </si>
  <si>
    <t>62111</t>
  </si>
  <si>
    <t>HEBUTERNE</t>
  </si>
  <si>
    <t>66500</t>
  </si>
  <si>
    <t>LOS MASOS</t>
  </si>
  <si>
    <t>CRESSERONS</t>
  </si>
  <si>
    <t>74500</t>
  </si>
  <si>
    <t>LARRINGES</t>
  </si>
  <si>
    <t>CHAIX</t>
  </si>
  <si>
    <t>95420</t>
  </si>
  <si>
    <t>CLERY-EN-VEXIN</t>
  </si>
  <si>
    <t>88430</t>
  </si>
  <si>
    <t>LA HOUSSIERE</t>
  </si>
  <si>
    <t>SCHERLENHEIM</t>
  </si>
  <si>
    <t>ARCIS-LE-PONSART</t>
  </si>
  <si>
    <t>74430</t>
  </si>
  <si>
    <t>SAINT-JEAN-D'AULPS</t>
  </si>
  <si>
    <t>BEDENAC</t>
  </si>
  <si>
    <t>79440</t>
  </si>
  <si>
    <t>COURLAY</t>
  </si>
  <si>
    <t>HERIC</t>
  </si>
  <si>
    <t>COURDEMANGES</t>
  </si>
  <si>
    <t>81600</t>
  </si>
  <si>
    <t>SENOUILLAC</t>
  </si>
  <si>
    <t>59140/59240/59430/59640/59279</t>
  </si>
  <si>
    <t>DUNKERQUE</t>
  </si>
  <si>
    <t>PLOUMAGOAR</t>
  </si>
  <si>
    <t>LA ROCHE-SUR-LE-BUIS</t>
  </si>
  <si>
    <t>37340</t>
  </si>
  <si>
    <t>AVRILLE-LES-PONCEAUX</t>
  </si>
  <si>
    <t>74460</t>
  </si>
  <si>
    <t>MARNAZ</t>
  </si>
  <si>
    <t>COLOMBIER</t>
  </si>
  <si>
    <t>38300</t>
  </si>
  <si>
    <t>RUY</t>
  </si>
  <si>
    <t>LA CHAPELLE-VIEL</t>
  </si>
  <si>
    <t>78590</t>
  </si>
  <si>
    <t>NOISY-LE-ROI</t>
  </si>
  <si>
    <t>53640</t>
  </si>
  <si>
    <t>CHAMPEON</t>
  </si>
  <si>
    <t>KERFOURN</t>
  </si>
  <si>
    <t>56870</t>
  </si>
  <si>
    <t>BADEN</t>
  </si>
  <si>
    <t>SAINT-VIDAL</t>
  </si>
  <si>
    <t>MONTCEY</t>
  </si>
  <si>
    <t>1350</t>
  </si>
  <si>
    <t>CRESSIN-ROCHEFORT</t>
  </si>
  <si>
    <t>THIESCOURT</t>
  </si>
  <si>
    <t>77440</t>
  </si>
  <si>
    <t>LIZY-SUR-OURCQ</t>
  </si>
  <si>
    <t>56440</t>
  </si>
  <si>
    <t>LANGUIDIC</t>
  </si>
  <si>
    <t>33360</t>
  </si>
  <si>
    <t>CARIGNAN-DE-BORDEAUX</t>
  </si>
  <si>
    <t>12160</t>
  </si>
  <si>
    <t>BOUSSAC</t>
  </si>
  <si>
    <t>SAINT-CYR-LA-RIVIERE</t>
  </si>
  <si>
    <t>SAILLANS</t>
  </si>
  <si>
    <t>SAINT-MARTIN-DE-BLAGNY</t>
  </si>
  <si>
    <t>BONNIERES</t>
  </si>
  <si>
    <t>59420</t>
  </si>
  <si>
    <t>MOUVAUX</t>
  </si>
  <si>
    <t>CHAMBORNAY-LES-PIN</t>
  </si>
  <si>
    <t>CHOISEY</t>
  </si>
  <si>
    <t>63250</t>
  </si>
  <si>
    <t>VISCOMTAT</t>
  </si>
  <si>
    <t>64230</t>
  </si>
  <si>
    <t>AUBIN</t>
  </si>
  <si>
    <t>6670</t>
  </si>
  <si>
    <t>LEVENS</t>
  </si>
  <si>
    <t>VIELLENAVE-DE-NAVARRENX</t>
  </si>
  <si>
    <t>SOUVIGNARGUES</t>
  </si>
  <si>
    <t>SAINT-PIERRE</t>
  </si>
  <si>
    <t>87150</t>
  </si>
  <si>
    <t>CHAMPAGNAC-LA-RIVIERE</t>
  </si>
  <si>
    <t>12520</t>
  </si>
  <si>
    <t>GUISCARD</t>
  </si>
  <si>
    <t>97121</t>
  </si>
  <si>
    <t>ANSE-BERTRAND</t>
  </si>
  <si>
    <t>28260</t>
  </si>
  <si>
    <t>GILLES</t>
  </si>
  <si>
    <t>SAINT-DENIS-SUR-COISE</t>
  </si>
  <si>
    <t>LAVIGERIE</t>
  </si>
  <si>
    <t>BOURIGEOLE</t>
  </si>
  <si>
    <t>24600</t>
  </si>
  <si>
    <t>CHASSAIGNES</t>
  </si>
  <si>
    <t>LACQUY</t>
  </si>
  <si>
    <t>62231</t>
  </si>
  <si>
    <t>PEUPLINGUES</t>
  </si>
  <si>
    <t>VAUPILLON</t>
  </si>
  <si>
    <t>67190</t>
  </si>
  <si>
    <t>STILL</t>
  </si>
  <si>
    <t>CANDES-SAINT-MARTIN</t>
  </si>
  <si>
    <t>51380</t>
  </si>
  <si>
    <t>VAUDEMANGE</t>
  </si>
  <si>
    <t>LA SELVE</t>
  </si>
  <si>
    <t>CAMBERNARD</t>
  </si>
  <si>
    <t>30120</t>
  </si>
  <si>
    <t>BREAU-ET-SALAGOSSE</t>
  </si>
  <si>
    <t>38450</t>
  </si>
  <si>
    <t>NOTRE-DAME-DE-COMMIERS</t>
  </si>
  <si>
    <t>54650</t>
  </si>
  <si>
    <t>SAULNES</t>
  </si>
  <si>
    <t>33680</t>
  </si>
  <si>
    <t>SAUMOS</t>
  </si>
  <si>
    <t>31210</t>
  </si>
  <si>
    <t>POINTIS-DE-RIVIERE</t>
  </si>
  <si>
    <t>76710</t>
  </si>
  <si>
    <t>BOSC-GUERARD-SAINT-ADRIEN</t>
  </si>
  <si>
    <t>SURIN</t>
  </si>
  <si>
    <t>SAINT-OUEN-DE-MIMBRE</t>
  </si>
  <si>
    <t>54500</t>
  </si>
  <si>
    <t>VANDOEUVRE-LES-NANCY</t>
  </si>
  <si>
    <t>SANCOINS</t>
  </si>
  <si>
    <t>57200</t>
  </si>
  <si>
    <t>BLIES-EBERSING</t>
  </si>
  <si>
    <t>VELORCEY</t>
  </si>
  <si>
    <t>LES BILLAUX</t>
  </si>
  <si>
    <t>78114</t>
  </si>
  <si>
    <t>MAGNY-LES-HAMEAUX</t>
  </si>
  <si>
    <t>7250</t>
  </si>
  <si>
    <t>LE POUZIN</t>
  </si>
  <si>
    <t>SAINT-MARTIN-L'HORTIER</t>
  </si>
  <si>
    <t>SAINTE-OPPORTUNE</t>
  </si>
  <si>
    <t>54440</t>
  </si>
  <si>
    <t>HERSERANGE</t>
  </si>
  <si>
    <t>57570</t>
  </si>
  <si>
    <t>BREISTROFF-LA-GRANDE</t>
  </si>
  <si>
    <t>14114</t>
  </si>
  <si>
    <t>VER-SUR-MER</t>
  </si>
  <si>
    <t>61600</t>
  </si>
  <si>
    <t>FAVEROLLES</t>
  </si>
  <si>
    <t>18500</t>
  </si>
  <si>
    <t>SAINTE-THORETTE</t>
  </si>
  <si>
    <t>27260</t>
  </si>
  <si>
    <t>EPAIGNES</t>
  </si>
  <si>
    <t>SAINT-LAURENT-SUR-OUST</t>
  </si>
  <si>
    <t>MURET</t>
  </si>
  <si>
    <t>17270</t>
  </si>
  <si>
    <t>SAINT-MARTIN-D'ARY</t>
  </si>
  <si>
    <t>16230</t>
  </si>
  <si>
    <t>FONTENILLE</t>
  </si>
  <si>
    <t>COURCY</t>
  </si>
  <si>
    <t>NAGEL-SEEZ-MESNIL</t>
  </si>
  <si>
    <t>14190</t>
  </si>
  <si>
    <t>CAUVICOURT</t>
  </si>
  <si>
    <t>SAINT-JULIEN-SUR-GARONNE</t>
  </si>
  <si>
    <t>SAINT-AUBIN-DU-CORMIER</t>
  </si>
  <si>
    <t>SOMME-BIONNE</t>
  </si>
  <si>
    <t>19000</t>
  </si>
  <si>
    <t>TULLE</t>
  </si>
  <si>
    <t>33920</t>
  </si>
  <si>
    <t>GENERAC</t>
  </si>
  <si>
    <t>32500</t>
  </si>
  <si>
    <t>LALANNE</t>
  </si>
  <si>
    <t>LABATUT-RIVIERE</t>
  </si>
  <si>
    <t>21160</t>
  </si>
  <si>
    <t>CORCELLES-LES-MONTS</t>
  </si>
  <si>
    <t>VIRE</t>
  </si>
  <si>
    <t>SAINT-MAURICE-DES-CHAMPS</t>
  </si>
  <si>
    <t>LA CHAPELLE-SAINT-QUILLAIN</t>
  </si>
  <si>
    <t>LA SAULSOTTE</t>
  </si>
  <si>
    <t>VEZAPONIN</t>
  </si>
  <si>
    <t>JUSSY-LE-CHAUDRIER</t>
  </si>
  <si>
    <t>91780</t>
  </si>
  <si>
    <t>CHALO-SAINT-MARS</t>
  </si>
  <si>
    <t>REICHSHOFFEN</t>
  </si>
  <si>
    <t>82120</t>
  </si>
  <si>
    <t>POUPAS</t>
  </si>
  <si>
    <t>GUERVILLE</t>
  </si>
  <si>
    <t>85140</t>
  </si>
  <si>
    <t>L'OIE</t>
  </si>
  <si>
    <t>MERIAL</t>
  </si>
  <si>
    <t>67290</t>
  </si>
  <si>
    <t>STRUTH</t>
  </si>
  <si>
    <t>68650</t>
  </si>
  <si>
    <t>LAPOUTROIE</t>
  </si>
  <si>
    <t>61310</t>
  </si>
  <si>
    <t>GINAI</t>
  </si>
  <si>
    <t>BELLAFFAIRE</t>
  </si>
  <si>
    <t>89310</t>
  </si>
  <si>
    <t>GRIMAULT</t>
  </si>
  <si>
    <t>89800</t>
  </si>
  <si>
    <t>MALIGNY</t>
  </si>
  <si>
    <t>72510</t>
  </si>
  <si>
    <t>MANSIGNE</t>
  </si>
  <si>
    <t>3340</t>
  </si>
  <si>
    <t>NEUILLY-LE-REAL</t>
  </si>
  <si>
    <t>CHELLE-SPOU</t>
  </si>
  <si>
    <t>OVILLERS-LA-BOISSELLE</t>
  </si>
  <si>
    <t>RECOURT-LE-CREUX</t>
  </si>
  <si>
    <t>76910</t>
  </si>
  <si>
    <t>CRIEL-SUR-MER</t>
  </si>
  <si>
    <t>56250</t>
  </si>
  <si>
    <t>TREDION</t>
  </si>
  <si>
    <t>34160</t>
  </si>
  <si>
    <t>MONTAUD</t>
  </si>
  <si>
    <t>VILLEMUR</t>
  </si>
  <si>
    <t>27700</t>
  </si>
  <si>
    <t>BOUAFLES</t>
  </si>
  <si>
    <t>33240</t>
  </si>
  <si>
    <t>MOUILLAC</t>
  </si>
  <si>
    <t>61390</t>
  </si>
  <si>
    <t>FERRIERES-LA-VERRERIE</t>
  </si>
  <si>
    <t>LANDRICOURT</t>
  </si>
  <si>
    <t>64570</t>
  </si>
  <si>
    <t>ARETTE</t>
  </si>
  <si>
    <t>73200</t>
  </si>
  <si>
    <t>VENTHON</t>
  </si>
  <si>
    <t>PASSY-GRIGNY</t>
  </si>
  <si>
    <t>BARBAZAN</t>
  </si>
  <si>
    <t>VICDESSOS</t>
  </si>
  <si>
    <t>CELLES-SUR-PLAINE</t>
  </si>
  <si>
    <t>SAINT-ARNOULT</t>
  </si>
  <si>
    <t>57255</t>
  </si>
  <si>
    <t>SAINTE-MARIE-AUX-CHENES</t>
  </si>
  <si>
    <t>SAINT-SULPICE-DE-COGNAC</t>
  </si>
  <si>
    <t>76810</t>
  </si>
  <si>
    <t>GRUCHET-SAINT-SIMEON</t>
  </si>
  <si>
    <t>ARBOT</t>
  </si>
  <si>
    <t>REBREUVE-SUR-CANCHE</t>
  </si>
  <si>
    <t>14980</t>
  </si>
  <si>
    <t>ROTS</t>
  </si>
  <si>
    <t>61120</t>
  </si>
  <si>
    <t>56800</t>
  </si>
  <si>
    <t>LOYAT</t>
  </si>
  <si>
    <t>14490</t>
  </si>
  <si>
    <t>MONTFIQUET</t>
  </si>
  <si>
    <t>JUIGNE-SUR-SARTHE</t>
  </si>
  <si>
    <t>12370</t>
  </si>
  <si>
    <t>MURASSON</t>
  </si>
  <si>
    <t>SAINT-ANDRONY</t>
  </si>
  <si>
    <t>PLEINE-SELVE</t>
  </si>
  <si>
    <t>ANGUILCOURT-LE-SART</t>
  </si>
  <si>
    <t>44115</t>
  </si>
  <si>
    <t>HAUTE-GOULAINE</t>
  </si>
  <si>
    <t>BERVILLER-EN-MOSELLE</t>
  </si>
  <si>
    <t>POMMERIT-JAUDY</t>
  </si>
  <si>
    <t>LABORDE</t>
  </si>
  <si>
    <t>23250</t>
  </si>
  <si>
    <t>LA CHAPELLE-SAINT-MARTIAL</t>
  </si>
  <si>
    <t>89120</t>
  </si>
  <si>
    <t>SAINT-DENIS-SUR-OUANNE</t>
  </si>
  <si>
    <t>SAINT-CIERS-SUR-BONNIEURE</t>
  </si>
  <si>
    <t>SAINT-JEAN-DE-NAY</t>
  </si>
  <si>
    <t>20100</t>
  </si>
  <si>
    <t>2A127</t>
  </si>
  <si>
    <t>GIUNCHETO</t>
  </si>
  <si>
    <t>DROYES</t>
  </si>
  <si>
    <t>PIERREGOT</t>
  </si>
  <si>
    <t>ROUFFIAC</t>
  </si>
  <si>
    <t>16430</t>
  </si>
  <si>
    <t>BALZAC</t>
  </si>
  <si>
    <t>95750</t>
  </si>
  <si>
    <t>CHARS</t>
  </si>
  <si>
    <t>4000</t>
  </si>
  <si>
    <t>LA ROBINE-SUR-GALABRE</t>
  </si>
  <si>
    <t>13103</t>
  </si>
  <si>
    <t>MAS-BLANC-DES-ALPILLES</t>
  </si>
  <si>
    <t>SAINT-CHRISTOPHE-D'ALLIER</t>
  </si>
  <si>
    <t>STEIGE</t>
  </si>
  <si>
    <t>LONGEAUX</t>
  </si>
  <si>
    <t>MOULINES</t>
  </si>
  <si>
    <t>CHATEAU-CHINON (CAMPAGNE)</t>
  </si>
  <si>
    <t>HENAMENIL</t>
  </si>
  <si>
    <t>97356</t>
  </si>
  <si>
    <t>MONTSINERY-TONNEGRANDE</t>
  </si>
  <si>
    <t>MARVILLE</t>
  </si>
  <si>
    <t>MONT-LE-VERNOIS</t>
  </si>
  <si>
    <t>14210</t>
  </si>
  <si>
    <t>LA CAINE</t>
  </si>
  <si>
    <t>CARVILLE</t>
  </si>
  <si>
    <t>NOVEL</t>
  </si>
  <si>
    <t>58220</t>
  </si>
  <si>
    <t>DONZY</t>
  </si>
  <si>
    <t>FONTANES-DE-SAULT</t>
  </si>
  <si>
    <t>BAR-LES-BUZANCY</t>
  </si>
  <si>
    <t>SAINTS-EN-PUISAYE</t>
  </si>
  <si>
    <t>TREPOT</t>
  </si>
  <si>
    <t>MARICOURT</t>
  </si>
  <si>
    <t>62220</t>
  </si>
  <si>
    <t>CARVIN</t>
  </si>
  <si>
    <t>ROMANS</t>
  </si>
  <si>
    <t>BORDS</t>
  </si>
  <si>
    <t>LABOISSIERE-EN-SANTERRE</t>
  </si>
  <si>
    <t>GOURDON</t>
  </si>
  <si>
    <t>MONTARDIT</t>
  </si>
  <si>
    <t>COMIGNE</t>
  </si>
  <si>
    <t>NURLU</t>
  </si>
  <si>
    <t>THEIL-RABIER</t>
  </si>
  <si>
    <t>MONT-DE-VOUGNEY</t>
  </si>
  <si>
    <t>ISOMES</t>
  </si>
  <si>
    <t>80210</t>
  </si>
  <si>
    <t>VALINES</t>
  </si>
  <si>
    <t>LA CROIX-AUX-BOIS</t>
  </si>
  <si>
    <t>JUICQ</t>
  </si>
  <si>
    <t>SAINT-JULIEN-LE-ROUX</t>
  </si>
  <si>
    <t>SAINT-CIRGUE</t>
  </si>
  <si>
    <t>JUSTINE-HERBIGNY</t>
  </si>
  <si>
    <t>GUILLEMONT</t>
  </si>
  <si>
    <t>FAISSAULT</t>
  </si>
  <si>
    <t>21470</t>
  </si>
  <si>
    <t>BRAZEY-EN-PLAINE</t>
  </si>
  <si>
    <t>MONTAGNOL</t>
  </si>
  <si>
    <t>76720</t>
  </si>
  <si>
    <t>CROPUS</t>
  </si>
  <si>
    <t>ARGENTON-L'EGLISE</t>
  </si>
  <si>
    <t>SAINT-DEZERY</t>
  </si>
  <si>
    <t>76540</t>
  </si>
  <si>
    <t>ANGERVILLE-LA-MARTEL</t>
  </si>
  <si>
    <t>77220</t>
  </si>
  <si>
    <t>PRESLES-EN-BRIE</t>
  </si>
  <si>
    <t>55120</t>
  </si>
  <si>
    <t>AUTRECOURT-SUR-AIRE</t>
  </si>
  <si>
    <t>57630</t>
  </si>
  <si>
    <t>JUVELIZE</t>
  </si>
  <si>
    <t>34490</t>
  </si>
  <si>
    <t>CORNEILHAN</t>
  </si>
  <si>
    <t>VERNEUIL-SOUS-COUCY</t>
  </si>
  <si>
    <t>SAINT-SAUVEUR-MARVILLE</t>
  </si>
  <si>
    <t>51210</t>
  </si>
  <si>
    <t>CORFELIX</t>
  </si>
  <si>
    <t>LANDOUZY-LA-VILLE</t>
  </si>
  <si>
    <t>COURTES</t>
  </si>
  <si>
    <t>GAP</t>
  </si>
  <si>
    <t>77118</t>
  </si>
  <si>
    <t>GRAVON</t>
  </si>
  <si>
    <t>THUSY</t>
  </si>
  <si>
    <t>25530</t>
  </si>
  <si>
    <t>VERCEL-VILLEDIEU-LE-CAMP</t>
  </si>
  <si>
    <t>65200</t>
  </si>
  <si>
    <t>ARGELES-BAGNERES</t>
  </si>
  <si>
    <t>44520</t>
  </si>
  <si>
    <t>MOISDON-LA-RIVIERE</t>
  </si>
  <si>
    <t>VAL-DE-MEUSE</t>
  </si>
  <si>
    <t>32370</t>
  </si>
  <si>
    <t>ESPAS</t>
  </si>
  <si>
    <t>CHAUMONT-PORCIEN</t>
  </si>
  <si>
    <t>17700</t>
  </si>
  <si>
    <t>PERE</t>
  </si>
  <si>
    <t>COOLE</t>
  </si>
  <si>
    <t>3240</t>
  </si>
  <si>
    <t>LE MONTET</t>
  </si>
  <si>
    <t>19150</t>
  </si>
  <si>
    <t>SAINT-PAUL</t>
  </si>
  <si>
    <t>24240</t>
  </si>
  <si>
    <t>CUNEGES</t>
  </si>
  <si>
    <t>6830</t>
  </si>
  <si>
    <t>BONSON</t>
  </si>
  <si>
    <t>60370</t>
  </si>
  <si>
    <t>HERMES</t>
  </si>
  <si>
    <t>PFETTERHOUSE</t>
  </si>
  <si>
    <t>66570</t>
  </si>
  <si>
    <t>SAINT-NAZAIRE</t>
  </si>
  <si>
    <t>19490</t>
  </si>
  <si>
    <t>SAINTE-FORTUNADE</t>
  </si>
  <si>
    <t>85600</t>
  </si>
  <si>
    <t>BOUFFERE</t>
  </si>
  <si>
    <t>TARTAS</t>
  </si>
  <si>
    <t>CIADOUX</t>
  </si>
  <si>
    <t>12410</t>
  </si>
  <si>
    <t>SALLES-CURAN</t>
  </si>
  <si>
    <t>ANDELARRE</t>
  </si>
  <si>
    <t>24190</t>
  </si>
  <si>
    <t>VALLEREUIL</t>
  </si>
  <si>
    <t>50570</t>
  </si>
  <si>
    <t>LE MESNIL-VIGOT</t>
  </si>
  <si>
    <t>2B338</t>
  </si>
  <si>
    <t>VALLE-D'OREZZA</t>
  </si>
  <si>
    <t>BOURG-DE-BIGORRE</t>
  </si>
  <si>
    <t>79110</t>
  </si>
  <si>
    <t>PIOUSSAY</t>
  </si>
  <si>
    <t>QUIERS-SUR-BEZONDE</t>
  </si>
  <si>
    <t>59222</t>
  </si>
  <si>
    <t>FOREST-EN-CAMBRESIS</t>
  </si>
  <si>
    <t>DIZY-LE-GROS</t>
  </si>
  <si>
    <t>14160</t>
  </si>
  <si>
    <t>DIVES-SUR-MER</t>
  </si>
  <si>
    <t>47420</t>
  </si>
  <si>
    <t>POMPOGNE</t>
  </si>
  <si>
    <t>NOJEON-EN-VEXIN</t>
  </si>
  <si>
    <t>54150</t>
  </si>
  <si>
    <t>MAIRY-MAINVILLE</t>
  </si>
  <si>
    <t>LE BREUIL-EN-AUGE</t>
  </si>
  <si>
    <t>17580</t>
  </si>
  <si>
    <t>LE BOIS-PLAGE-EN-RE</t>
  </si>
  <si>
    <t>7210</t>
  </si>
  <si>
    <t>SAINT-VINCENT-DE-BARRES</t>
  </si>
  <si>
    <t>PREVAL</t>
  </si>
  <si>
    <t>SAINT-JEAN-D'ORMONT</t>
  </si>
  <si>
    <t>LENT</t>
  </si>
  <si>
    <t>41150</t>
  </si>
  <si>
    <t>ONZAIN</t>
  </si>
  <si>
    <t>BUIRE-SUR-L'ANCRE</t>
  </si>
  <si>
    <t>32720</t>
  </si>
  <si>
    <t>BARCELONNE-DU-GERS</t>
  </si>
  <si>
    <t>LAHOURCADE</t>
  </si>
  <si>
    <t>59244</t>
  </si>
  <si>
    <t>GRAND-FAYT</t>
  </si>
  <si>
    <t>HERBIGNAC</t>
  </si>
  <si>
    <t>PARNES</t>
  </si>
  <si>
    <t>54290</t>
  </si>
  <si>
    <t>ROZELIEURES</t>
  </si>
  <si>
    <t>37110</t>
  </si>
  <si>
    <t>29260</t>
  </si>
  <si>
    <t>TREGARANTEC</t>
  </si>
  <si>
    <t>CROUSEILLES</t>
  </si>
  <si>
    <t>MONT-CAUVAIRE</t>
  </si>
  <si>
    <t>BARBEVILLE</t>
  </si>
  <si>
    <t>78840</t>
  </si>
  <si>
    <t>ROLLANCOURT</t>
  </si>
  <si>
    <t>47600</t>
  </si>
  <si>
    <t>FIEUX</t>
  </si>
  <si>
    <t>MOLINONS</t>
  </si>
  <si>
    <t>ARUE</t>
  </si>
  <si>
    <t>CENSEAU</t>
  </si>
  <si>
    <t>BELVIANES-ET-CAVIRAC</t>
  </si>
  <si>
    <t>93390</t>
  </si>
  <si>
    <t>CLICHY-SOUS-BOIS</t>
  </si>
  <si>
    <t>AIGURANDE</t>
  </si>
  <si>
    <t>91830</t>
  </si>
  <si>
    <t>LE COUDRAY-MONTCEAUX</t>
  </si>
  <si>
    <t>62610</t>
  </si>
  <si>
    <t>LANDRETHUN-LES-ARDRES</t>
  </si>
  <si>
    <t>LARNAS</t>
  </si>
  <si>
    <t>49490</t>
  </si>
  <si>
    <t>NOYANT</t>
  </si>
  <si>
    <t>26420</t>
  </si>
  <si>
    <t>SAINT-JULIEN-EN-VERCORS</t>
  </si>
  <si>
    <t>LA LANDE-D'AIROU</t>
  </si>
  <si>
    <t>19140</t>
  </si>
  <si>
    <t>UZERCHE</t>
  </si>
  <si>
    <t>MOUFLIERES</t>
  </si>
  <si>
    <t>RECICOURT</t>
  </si>
  <si>
    <t>70170</t>
  </si>
  <si>
    <t>CHAUX-LES-PORT</t>
  </si>
  <si>
    <t>NANTEUIL-LE-HAUDOUIN</t>
  </si>
  <si>
    <t>53300</t>
  </si>
  <si>
    <t>CHANTRIGNE</t>
  </si>
  <si>
    <t>MONASSUT-AUDIRACQ</t>
  </si>
  <si>
    <t>CHAVEROCHE</t>
  </si>
  <si>
    <t>HAILLES</t>
  </si>
  <si>
    <t>58300</t>
  </si>
  <si>
    <t>SAINT-PARIZE-EN-VIRY</t>
  </si>
  <si>
    <t>MILLY-LA-FORET</t>
  </si>
  <si>
    <t>VAUX-SUR-AURE</t>
  </si>
  <si>
    <t>85670</t>
  </si>
  <si>
    <t>SAINT-ETIENNE-DU-BOIS</t>
  </si>
  <si>
    <t>ADAM-LES-VERCEL</t>
  </si>
  <si>
    <t>OUTARVILLE</t>
  </si>
  <si>
    <t>50400</t>
  </si>
  <si>
    <t>SAINT-PLANCHERS</t>
  </si>
  <si>
    <t>CHUIGNES</t>
  </si>
  <si>
    <t>INDEVILLERS</t>
  </si>
  <si>
    <t>FLACY</t>
  </si>
  <si>
    <t>AUNEAU</t>
  </si>
  <si>
    <t>CRANCEY</t>
  </si>
  <si>
    <t>ORAIN</t>
  </si>
  <si>
    <t>JAUZE</t>
  </si>
  <si>
    <t>MILLAY</t>
  </si>
  <si>
    <t>SAINT-ROMAIN-DE-BENET</t>
  </si>
  <si>
    <t>ESCLAINVILLERS</t>
  </si>
  <si>
    <t>47370</t>
  </si>
  <si>
    <t>76730</t>
  </si>
  <si>
    <t>BRACHY</t>
  </si>
  <si>
    <t>SAINT-MARTIN-TERRESSUS</t>
  </si>
  <si>
    <t>26310</t>
  </si>
  <si>
    <t>LES PRES</t>
  </si>
  <si>
    <t>73350</t>
  </si>
  <si>
    <t>CHAMPAGNY-EN-VANOISE</t>
  </si>
  <si>
    <t>47470</t>
  </si>
  <si>
    <t>BLAYMONT</t>
  </si>
  <si>
    <t>HAUTEVELLE</t>
  </si>
  <si>
    <t>AGNEZ-LES-DUISANS</t>
  </si>
  <si>
    <t>82100</t>
  </si>
  <si>
    <t>CASTELSARRASIN</t>
  </si>
  <si>
    <t>30670</t>
  </si>
  <si>
    <t>AIGUES-VIVES</t>
  </si>
  <si>
    <t>LE LOCHEUR</t>
  </si>
  <si>
    <t>10150</t>
  </si>
  <si>
    <t>LUYERES</t>
  </si>
  <si>
    <t>24570</t>
  </si>
  <si>
    <t>CONDAT-SUR-VEZERE</t>
  </si>
  <si>
    <t>GUILLEVILLE</t>
  </si>
  <si>
    <t>SALIGOS</t>
  </si>
  <si>
    <t>SIMIANE-LA-ROTONDE</t>
  </si>
  <si>
    <t>POUZAC</t>
  </si>
  <si>
    <t>AUBAZINES</t>
  </si>
  <si>
    <t>ROVON</t>
  </si>
  <si>
    <t>CABASSE</t>
  </si>
  <si>
    <t>35420</t>
  </si>
  <si>
    <t>POILLEY</t>
  </si>
  <si>
    <t>SAINT-AUBIN-DE-LANQUAIS</t>
  </si>
  <si>
    <t>CHAZEUIL</t>
  </si>
  <si>
    <t>ARNICOURT</t>
  </si>
  <si>
    <t>47270</t>
  </si>
  <si>
    <t>SAINT-PAUL-LE-GAULTIER</t>
  </si>
  <si>
    <t>CHAMBORS</t>
  </si>
  <si>
    <t>39350</t>
  </si>
  <si>
    <t>LE PETIT-MERCEY</t>
  </si>
  <si>
    <t>45130</t>
  </si>
  <si>
    <t>HUISSEAU-SUR-MAUVES</t>
  </si>
  <si>
    <t>CARTIGNY</t>
  </si>
  <si>
    <t>88000</t>
  </si>
  <si>
    <t>DEYVILLERS</t>
  </si>
  <si>
    <t>59143</t>
  </si>
  <si>
    <t>LEDERZEELE</t>
  </si>
  <si>
    <t>85700</t>
  </si>
  <si>
    <t>REAUMUR</t>
  </si>
  <si>
    <t>54280</t>
  </si>
  <si>
    <t>CHAMPENOUX</t>
  </si>
  <si>
    <t>BERGERES-SOUS-MONTMIRAIL</t>
  </si>
  <si>
    <t>41800</t>
  </si>
  <si>
    <t>HOUSSAY</t>
  </si>
  <si>
    <t>9200</t>
  </si>
  <si>
    <t>SAINT-GIRONS</t>
  </si>
  <si>
    <t>LA BASTIDE-PUYLAURENT</t>
  </si>
  <si>
    <t>LE MAGNY</t>
  </si>
  <si>
    <t>6390</t>
  </si>
  <si>
    <t>COARAZE</t>
  </si>
  <si>
    <t>BIACHES</t>
  </si>
  <si>
    <t>56320</t>
  </si>
  <si>
    <t>LANVENEGEN</t>
  </si>
  <si>
    <t>65220</t>
  </si>
  <si>
    <t>PUYDARRIEUX</t>
  </si>
  <si>
    <t>29252</t>
  </si>
  <si>
    <t>PLOUEZOC'H</t>
  </si>
  <si>
    <t>34980</t>
  </si>
  <si>
    <t>SAINT-CLEMENT-DE-RIVIERE</t>
  </si>
  <si>
    <t>NOYELLES-LES-VERMELLES</t>
  </si>
  <si>
    <t>25250</t>
  </si>
  <si>
    <t>MARVELISE</t>
  </si>
  <si>
    <t>LIMONY</t>
  </si>
  <si>
    <t>LUMEAU</t>
  </si>
  <si>
    <t>SENTEIN</t>
  </si>
  <si>
    <t>61550</t>
  </si>
  <si>
    <t>TOUQUETTES</t>
  </si>
  <si>
    <t>69170</t>
  </si>
  <si>
    <t>TARARE</t>
  </si>
  <si>
    <t>65300</t>
  </si>
  <si>
    <t>LANNEMEZAN</t>
  </si>
  <si>
    <t>36110</t>
  </si>
  <si>
    <t>LEVROUX</t>
  </si>
  <si>
    <t>18100</t>
  </si>
  <si>
    <t>MERY-SUR-CHER</t>
  </si>
  <si>
    <t>GOUZEAUCOURT</t>
  </si>
  <si>
    <t>27530</t>
  </si>
  <si>
    <t>CROTH</t>
  </si>
  <si>
    <t>THORS</t>
  </si>
  <si>
    <t>ADISSAN</t>
  </si>
  <si>
    <t>27290</t>
  </si>
  <si>
    <t>ILLEVILLE-SUR-MONTFORT</t>
  </si>
  <si>
    <t>MAGNY-LES-VILLERS</t>
  </si>
  <si>
    <t>91870</t>
  </si>
  <si>
    <t>BOISSY-LE-SEC</t>
  </si>
  <si>
    <t>CHEVEUGES</t>
  </si>
  <si>
    <t>VELET</t>
  </si>
  <si>
    <t>15230</t>
  </si>
  <si>
    <t>BREZONS</t>
  </si>
  <si>
    <t>97620</t>
  </si>
  <si>
    <t>CHIRONGUI</t>
  </si>
  <si>
    <t>BOURANTON</t>
  </si>
  <si>
    <t>15110</t>
  </si>
  <si>
    <t>LIEUTADES</t>
  </si>
  <si>
    <t>AUGEA</t>
  </si>
  <si>
    <t>57855</t>
  </si>
  <si>
    <t>SAINT-PRIVAT-LA-MONTAGNE</t>
  </si>
  <si>
    <t>MUIZON</t>
  </si>
  <si>
    <t>49500</t>
  </si>
  <si>
    <t>LA CHAPELLE-SUR-OUDON</t>
  </si>
  <si>
    <t>PRECY-NOTRE-DAME</t>
  </si>
  <si>
    <t>LANCRANS</t>
  </si>
  <si>
    <t>SAINT-LEGER-LE-PETIT</t>
  </si>
  <si>
    <t>53200</t>
  </si>
  <si>
    <t>LOIGNE-SUR-MAYENNE</t>
  </si>
  <si>
    <t>17360</t>
  </si>
  <si>
    <t>LA GENETOUZE</t>
  </si>
  <si>
    <t>BEAULIEU-LES-FONTAINES</t>
  </si>
  <si>
    <t>68300</t>
  </si>
  <si>
    <t>SAINT-LOUIS</t>
  </si>
  <si>
    <t>PETITE-FORET</t>
  </si>
  <si>
    <t>25360</t>
  </si>
  <si>
    <t>GLAMONDANS</t>
  </si>
  <si>
    <t>BRANNE</t>
  </si>
  <si>
    <t>19360</t>
  </si>
  <si>
    <t>LA CHAPELLE-AUX-BROCS</t>
  </si>
  <si>
    <t>71430</t>
  </si>
  <si>
    <t>SAINT-AUBIN-EN-CHAROLLAIS</t>
  </si>
  <si>
    <t>62180</t>
  </si>
  <si>
    <t>AIRON-NOTRE-DAME</t>
  </si>
  <si>
    <t>92250</t>
  </si>
  <si>
    <t>LA GARENNE-COLOMBES</t>
  </si>
  <si>
    <t>1290</t>
  </si>
  <si>
    <t>CORMORANCHE-SUR-SAONE</t>
  </si>
  <si>
    <t>CERILLY</t>
  </si>
  <si>
    <t>ANDOINS</t>
  </si>
  <si>
    <t>BELLEVILLE-SUR-LOIRE</t>
  </si>
  <si>
    <t>LA CELLE-SUR-MORIN</t>
  </si>
  <si>
    <t>ECLANS-NENON</t>
  </si>
  <si>
    <t>SAINTE-HELENE-DU-LAC</t>
  </si>
  <si>
    <t>59940</t>
  </si>
  <si>
    <t>NEUF-BERQUIN</t>
  </si>
  <si>
    <t>14380</t>
  </si>
  <si>
    <t>PONT-FARCY</t>
  </si>
  <si>
    <t>27340</t>
  </si>
  <si>
    <t>PONT-DE-L'ARCHE</t>
  </si>
  <si>
    <t>JABLINES</t>
  </si>
  <si>
    <t>FICHOUS-RIUMAYOU</t>
  </si>
  <si>
    <t>NALLIERS</t>
  </si>
  <si>
    <t>62138</t>
  </si>
  <si>
    <t>BILLY-BERCLAU</t>
  </si>
  <si>
    <t>55290</t>
  </si>
  <si>
    <t>MANDRES-EN-BARROIS</t>
  </si>
  <si>
    <t>60800</t>
  </si>
  <si>
    <t>AUGER-SAINT-VINCENT</t>
  </si>
  <si>
    <t>LA LANDE-DE-FRONSAC</t>
  </si>
  <si>
    <t>SAINT-MARTIN-SUR-LE-PRE</t>
  </si>
  <si>
    <t>PROVENCHERE</t>
  </si>
  <si>
    <t>PROVEYSIEUX</t>
  </si>
  <si>
    <t>SOMMAUTHE</t>
  </si>
  <si>
    <t>74330</t>
  </si>
  <si>
    <t>NONGLARD</t>
  </si>
  <si>
    <t>32200</t>
  </si>
  <si>
    <t>CATONVIELLE</t>
  </si>
  <si>
    <t>SAINTE-MARIE-DE-CHIGNAC</t>
  </si>
  <si>
    <t>60250</t>
  </si>
  <si>
    <t>BALAGNY-SUR-THERAIN</t>
  </si>
  <si>
    <t>CHERIGNE</t>
  </si>
  <si>
    <t>SAINT-CAPRAISE-D'EYMET</t>
  </si>
  <si>
    <t>LE RIALET</t>
  </si>
  <si>
    <t>30140</t>
  </si>
  <si>
    <t>CORBES</t>
  </si>
  <si>
    <t>1260</t>
  </si>
  <si>
    <t>RUFFIEU</t>
  </si>
  <si>
    <t>20218</t>
  </si>
  <si>
    <t>2B220</t>
  </si>
  <si>
    <t>PIEDIGRIGGIO</t>
  </si>
  <si>
    <t>CARS</t>
  </si>
  <si>
    <t>63550</t>
  </si>
  <si>
    <t>SAINT-REMY-SUR-DUROLLE</t>
  </si>
  <si>
    <t>CHAMERY</t>
  </si>
  <si>
    <t>BLAISON-GOHIER</t>
  </si>
  <si>
    <t>BRIXEY-AUX-CHANOINES</t>
  </si>
  <si>
    <t>AUTRECHES</t>
  </si>
  <si>
    <t>RUGNEY</t>
  </si>
  <si>
    <t>29900</t>
  </si>
  <si>
    <t>CONCARNEAU</t>
  </si>
  <si>
    <t>90340</t>
  </si>
  <si>
    <t>CHEVREMONT</t>
  </si>
  <si>
    <t>HOLQUE</t>
  </si>
  <si>
    <t>77240</t>
  </si>
  <si>
    <t>VERT-SAINT-DENIS</t>
  </si>
  <si>
    <t>40100</t>
  </si>
  <si>
    <t>DAX</t>
  </si>
  <si>
    <t>CARCARES-SAINTE-CROIX</t>
  </si>
  <si>
    <t>NOLAY</t>
  </si>
  <si>
    <t>FRETTERANS</t>
  </si>
  <si>
    <t>19390</t>
  </si>
  <si>
    <t>23200</t>
  </si>
  <si>
    <t>LA CHAUSSADE</t>
  </si>
  <si>
    <t>BOUENI</t>
  </si>
  <si>
    <t>CASTAGNIERS</t>
  </si>
  <si>
    <t>81430</t>
  </si>
  <si>
    <t>LE FRAYSSE</t>
  </si>
  <si>
    <t>35410</t>
  </si>
  <si>
    <t>NOUVOITOU</t>
  </si>
  <si>
    <t>THIL</t>
  </si>
  <si>
    <t>DOUVILLE-EN-AUGE</t>
  </si>
  <si>
    <t>JAX</t>
  </si>
  <si>
    <t>LA FORET-AUVRAY</t>
  </si>
  <si>
    <t>15190</t>
  </si>
  <si>
    <t>CONDAT</t>
  </si>
  <si>
    <t>73260</t>
  </si>
  <si>
    <t>LE BOIS</t>
  </si>
  <si>
    <t>COUSSERGUES</t>
  </si>
  <si>
    <t>LA MAZIERE-AUX-BONS-HOMMES</t>
  </si>
  <si>
    <t>83160</t>
  </si>
  <si>
    <t>LA VALETTE-DU-VAR</t>
  </si>
  <si>
    <t>MONTJUSTIN-ET-VELOTTE</t>
  </si>
  <si>
    <t>EXERMONT</t>
  </si>
  <si>
    <t>BORDERES</t>
  </si>
  <si>
    <t>38260</t>
  </si>
  <si>
    <t>GILLONNAY</t>
  </si>
  <si>
    <t>44540</t>
  </si>
  <si>
    <t>LA PENNE-SUR-L'OUVEZE</t>
  </si>
  <si>
    <t>CONNANTRE</t>
  </si>
  <si>
    <t>42510</t>
  </si>
  <si>
    <t>BUSSIERES</t>
  </si>
  <si>
    <t>84430</t>
  </si>
  <si>
    <t>MONDRAGON</t>
  </si>
  <si>
    <t>27380</t>
  </si>
  <si>
    <t>RADEPONT</t>
  </si>
  <si>
    <t>ARRANS</t>
  </si>
  <si>
    <t>56690</t>
  </si>
  <si>
    <t>LANDEVANT</t>
  </si>
  <si>
    <t>23100</t>
  </si>
  <si>
    <t>SAINT-ORADOUX-DE-CHIROUZE</t>
  </si>
  <si>
    <t>BOIS-DE-LA-PIERRE</t>
  </si>
  <si>
    <t>64460</t>
  </si>
  <si>
    <t>LABATUT</t>
  </si>
  <si>
    <t>72230</t>
  </si>
  <si>
    <t>RUAUDIN</t>
  </si>
  <si>
    <t>SAINT-CLAIR</t>
  </si>
  <si>
    <t>SAVIGNE-SOUS-LE-LUDE</t>
  </si>
  <si>
    <t>VALOUSE</t>
  </si>
  <si>
    <t>85240</t>
  </si>
  <si>
    <t>SAINT-HILAIRE-DES-LOGES</t>
  </si>
  <si>
    <t>MARTINCOURT-SUR-MEUSE</t>
  </si>
  <si>
    <t>DOMJEAN</t>
  </si>
  <si>
    <t>57890</t>
  </si>
  <si>
    <t>PORCELETTE</t>
  </si>
  <si>
    <t>LAIMONT</t>
  </si>
  <si>
    <t>SAINT-FRAJOU</t>
  </si>
  <si>
    <t>44430</t>
  </si>
  <si>
    <t>LE LANDREAU</t>
  </si>
  <si>
    <t>PRESILLY</t>
  </si>
  <si>
    <t>ESQUAY-SUR-SEULLES</t>
  </si>
  <si>
    <t>24200</t>
  </si>
  <si>
    <t>MARCILLAC-SAINT-QUENTIN</t>
  </si>
  <si>
    <t>PIEUSSE</t>
  </si>
  <si>
    <t>DOMMARTIN-LA-MONTAGNE</t>
  </si>
  <si>
    <t>CHATONNAY</t>
  </si>
  <si>
    <t>COLLONGES-LA-ROUGE</t>
  </si>
  <si>
    <t>31540</t>
  </si>
  <si>
    <t>SAINT-JULIA</t>
  </si>
  <si>
    <t>82340</t>
  </si>
  <si>
    <t>DUNES</t>
  </si>
  <si>
    <t>SAINT-ANGE-ET-TORCAY</t>
  </si>
  <si>
    <t>74350</t>
  </si>
  <si>
    <t>LE SAPPEY</t>
  </si>
  <si>
    <t>PEIPIN</t>
  </si>
  <si>
    <t>MAUZAC</t>
  </si>
  <si>
    <t>33550</t>
  </si>
  <si>
    <t>TABANAC</t>
  </si>
  <si>
    <t>LES MAYONS</t>
  </si>
  <si>
    <t>TRESLON</t>
  </si>
  <si>
    <t>LA CHAPELLE-LA-REINE</t>
  </si>
  <si>
    <t>MAGNY</t>
  </si>
  <si>
    <t>81160</t>
  </si>
  <si>
    <t>SAINT-JUERY</t>
  </si>
  <si>
    <t>IGOVILLE</t>
  </si>
  <si>
    <t>SAINT-JULIEN-DE-VOUVANTES</t>
  </si>
  <si>
    <t>GUINDRECOURT-SUR-BLAISE</t>
  </si>
  <si>
    <t>76740</t>
  </si>
  <si>
    <t>LA GAILLARDE</t>
  </si>
  <si>
    <t>30126</t>
  </si>
  <si>
    <t>LIRAC</t>
  </si>
  <si>
    <t>LE BREUIL-BERNARD</t>
  </si>
  <si>
    <t>TREDIAS</t>
  </si>
  <si>
    <t>59870</t>
  </si>
  <si>
    <t>RIEULAY</t>
  </si>
  <si>
    <t>19300</t>
  </si>
  <si>
    <t>EGLETONS</t>
  </si>
  <si>
    <t>52800</t>
  </si>
  <si>
    <t>VITRY-LES-NOGENT</t>
  </si>
  <si>
    <t>91310</t>
  </si>
  <si>
    <t>LEUVILLE-SUR-ORGE</t>
  </si>
  <si>
    <t>GINGSHEIM</t>
  </si>
  <si>
    <t>ESSERTAUX</t>
  </si>
  <si>
    <t>LA VERGNE</t>
  </si>
  <si>
    <t>60730</t>
  </si>
  <si>
    <t>86170</t>
  </si>
  <si>
    <t>AVANTON</t>
  </si>
  <si>
    <t>26560</t>
  </si>
  <si>
    <t>LABOREL</t>
  </si>
  <si>
    <t>BONNEUIL</t>
  </si>
  <si>
    <t>88640</t>
  </si>
  <si>
    <t>REHAUPAL</t>
  </si>
  <si>
    <t>VAUX-SOUS-AUBIGNY</t>
  </si>
  <si>
    <t>NESPLOY</t>
  </si>
  <si>
    <t>65260</t>
  </si>
  <si>
    <t>VILLELONGUE</t>
  </si>
  <si>
    <t>36130</t>
  </si>
  <si>
    <t>DIORS</t>
  </si>
  <si>
    <t>LEZEVILLE</t>
  </si>
  <si>
    <t>PRECHACQ-NAVARRENX</t>
  </si>
  <si>
    <t>MONCHY-LE-PREUX</t>
  </si>
  <si>
    <t>74140</t>
  </si>
  <si>
    <t>SAINT-CERGUES</t>
  </si>
  <si>
    <t>67150</t>
  </si>
  <si>
    <t>HINDISHEIM</t>
  </si>
  <si>
    <t>53360</t>
  </si>
  <si>
    <t>QUELAINES-SAINT-GAULT</t>
  </si>
  <si>
    <t>58140</t>
  </si>
  <si>
    <t>VAUCLAIX</t>
  </si>
  <si>
    <t>27430</t>
  </si>
  <si>
    <t>HERQUEVILLE</t>
  </si>
  <si>
    <t>27160</t>
  </si>
  <si>
    <t>SAINT-OUEN-D'ATTEZ</t>
  </si>
  <si>
    <t>CLAVILLE</t>
  </si>
  <si>
    <t>22630</t>
  </si>
  <si>
    <t>SAINT-ANDRE-DES-EAUX</t>
  </si>
  <si>
    <t>CHERMISEY</t>
  </si>
  <si>
    <t>EPERCIEUX-SAINT-PAUL</t>
  </si>
  <si>
    <t>MIREVAL-LAURAGAIS</t>
  </si>
  <si>
    <t>SAINT-OUEN-DE-PONTCHEUIL</t>
  </si>
  <si>
    <t>SAINT-JULIEN-EN-QUINT</t>
  </si>
  <si>
    <t>76600/76610/76620</t>
  </si>
  <si>
    <t>LE HAVRE</t>
  </si>
  <si>
    <t>47360</t>
  </si>
  <si>
    <t>PRAYSSAS</t>
  </si>
  <si>
    <t>62232</t>
  </si>
  <si>
    <t>VENDIN-LES-BETHUNE</t>
  </si>
  <si>
    <t>78790</t>
  </si>
  <si>
    <t>TILLY</t>
  </si>
  <si>
    <t>VILLEFRANQUE</t>
  </si>
  <si>
    <t>ETIVAL</t>
  </si>
  <si>
    <t>6240</t>
  </si>
  <si>
    <t>BEAUSOLEIL</t>
  </si>
  <si>
    <t>MAILLERONCOURT-SAINT-PANCRAS</t>
  </si>
  <si>
    <t>LASSERRE</t>
  </si>
  <si>
    <t>53190</t>
  </si>
  <si>
    <t>LA DOREE</t>
  </si>
  <si>
    <t>57670</t>
  </si>
  <si>
    <t>VIBERSVILLER</t>
  </si>
  <si>
    <t>72540</t>
  </si>
  <si>
    <t>EPINEU-LE-CHEVREUIL</t>
  </si>
  <si>
    <t>69720</t>
  </si>
  <si>
    <t>SAINT-BONNET-DE-MURE</t>
  </si>
  <si>
    <t>MAIZIERES-LES-BRIENNE</t>
  </si>
  <si>
    <t>PONTACQ</t>
  </si>
  <si>
    <t>85580</t>
  </si>
  <si>
    <t>GRUES</t>
  </si>
  <si>
    <t>SACLAS</t>
  </si>
  <si>
    <t>SAINT-ETIENNE-SOUS-BARBUISE</t>
  </si>
  <si>
    <t>10110</t>
  </si>
  <si>
    <t>VITRY-LE-CROISE</t>
  </si>
  <si>
    <t>HARBONNIERES</t>
  </si>
  <si>
    <t>LAURABUC</t>
  </si>
  <si>
    <t>SAINT-LAMBERT-SUR-DIVE</t>
  </si>
  <si>
    <t>MARLIOZ</t>
  </si>
  <si>
    <t>THURY</t>
  </si>
  <si>
    <t>30430</t>
  </si>
  <si>
    <t>SAINT-PRIVAT-DE-CHAMPCLOS</t>
  </si>
  <si>
    <t>54460</t>
  </si>
  <si>
    <t>AINGERAY</t>
  </si>
  <si>
    <t>GAILLAC-D'AVEYRON</t>
  </si>
  <si>
    <t>SERECOURT</t>
  </si>
  <si>
    <t>31180</t>
  </si>
  <si>
    <t>CASTELMAUROU</t>
  </si>
  <si>
    <t>97134</t>
  </si>
  <si>
    <t>CROIX</t>
  </si>
  <si>
    <t>89560</t>
  </si>
  <si>
    <t>MERRY-SEC</t>
  </si>
  <si>
    <t>JOUY-LES-REIMS</t>
  </si>
  <si>
    <t>22400</t>
  </si>
  <si>
    <t>LANDEHEN</t>
  </si>
  <si>
    <t>HAUSGAUEN</t>
  </si>
  <si>
    <t>57520</t>
  </si>
  <si>
    <t>ROUHLING</t>
  </si>
  <si>
    <t>SAINT-JEAN-DE-BOISEAU</t>
  </si>
  <si>
    <t>71540</t>
  </si>
  <si>
    <t>LUCENAY-L'EVEQUE</t>
  </si>
  <si>
    <t>34700</t>
  </si>
  <si>
    <t>LAVALETTE</t>
  </si>
  <si>
    <t>82500</t>
  </si>
  <si>
    <t>GOAS</t>
  </si>
  <si>
    <t>SAINTE-FOY-D'AIGREFEUILLE</t>
  </si>
  <si>
    <t>14230</t>
  </si>
  <si>
    <t>LES OUBEAUX</t>
  </si>
  <si>
    <t>4330</t>
  </si>
  <si>
    <t>SENEZ</t>
  </si>
  <si>
    <t>SELTZ</t>
  </si>
  <si>
    <t>32390</t>
  </si>
  <si>
    <t>SAINTE-CHRISTIE</t>
  </si>
  <si>
    <t>63330</t>
  </si>
  <si>
    <t>PIONSAT</t>
  </si>
  <si>
    <t>CESCAU</t>
  </si>
  <si>
    <t>GARANCIERES-EN-DROUAIS</t>
  </si>
  <si>
    <t>LE LOREY</t>
  </si>
  <si>
    <t>59226</t>
  </si>
  <si>
    <t>LECELLES</t>
  </si>
  <si>
    <t>BAZOGES-EN-PAREDS</t>
  </si>
  <si>
    <t>93150</t>
  </si>
  <si>
    <t>LE BLANC-MESNIL</t>
  </si>
  <si>
    <t>62760</t>
  </si>
  <si>
    <t>AMPLIER</t>
  </si>
  <si>
    <t>LASCAUX</t>
  </si>
  <si>
    <t>57365</t>
  </si>
  <si>
    <t>CHAILLY-LES-ENNERY</t>
  </si>
  <si>
    <t>VOUTRE</t>
  </si>
  <si>
    <t>62880</t>
  </si>
  <si>
    <t>VENDIN-LE-VIEIL</t>
  </si>
  <si>
    <t>HENINEL</t>
  </si>
  <si>
    <t>41160</t>
  </si>
  <si>
    <t>MOREE</t>
  </si>
  <si>
    <t>ARSURE-ARSURETTE</t>
  </si>
  <si>
    <t>3370</t>
  </si>
  <si>
    <t>COURCAIS</t>
  </si>
  <si>
    <t>29590</t>
  </si>
  <si>
    <t>LE FAOU</t>
  </si>
  <si>
    <t>LEOJAC</t>
  </si>
  <si>
    <t>AUTAINVILLE</t>
  </si>
  <si>
    <t>BELAYE</t>
  </si>
  <si>
    <t>60110</t>
  </si>
  <si>
    <t>ESCHES</t>
  </si>
  <si>
    <t>25190</t>
  </si>
  <si>
    <t>CHAMESOL</t>
  </si>
  <si>
    <t>LA BALME-LES-GROTTES</t>
  </si>
  <si>
    <t>74100</t>
  </si>
  <si>
    <t>ANNEMASSE</t>
  </si>
  <si>
    <t>71340</t>
  </si>
  <si>
    <t>CHANGE</t>
  </si>
  <si>
    <t>41190</t>
  </si>
  <si>
    <t>SAINT-ETIENNE-DES-GUERETS</t>
  </si>
  <si>
    <t>66110</t>
  </si>
  <si>
    <t>TAULIS</t>
  </si>
  <si>
    <t>MAULEON</t>
  </si>
  <si>
    <t>57380</t>
  </si>
  <si>
    <t>PONTPIERRE</t>
  </si>
  <si>
    <t>2B275</t>
  </si>
  <si>
    <t>SERMANO</t>
  </si>
  <si>
    <t>52200</t>
  </si>
  <si>
    <t>COURCELLES-EN-MONTAGNE</t>
  </si>
  <si>
    <t>36240</t>
  </si>
  <si>
    <t>GEHEE</t>
  </si>
  <si>
    <t>71190</t>
  </si>
  <si>
    <t>LA TAGNIERE</t>
  </si>
  <si>
    <t>PLOULEC'H</t>
  </si>
  <si>
    <t>VIEVY</t>
  </si>
  <si>
    <t>MOULINS-LE-CARBONNEL</t>
  </si>
  <si>
    <t>ELINCOURT</t>
  </si>
  <si>
    <t>45290</t>
  </si>
  <si>
    <t>OUZOUER-DES-CHAMPS</t>
  </si>
  <si>
    <t>SENONES</t>
  </si>
  <si>
    <t>BOUSSAC-BOURG</t>
  </si>
  <si>
    <t>BORDERES-SUR-L'ECHEZ</t>
  </si>
  <si>
    <t>CASTIES-LABRANDE</t>
  </si>
  <si>
    <t>AUBIGNE</t>
  </si>
  <si>
    <t>67510</t>
  </si>
  <si>
    <t>OBERSTEINBACH</t>
  </si>
  <si>
    <t>76590</t>
  </si>
  <si>
    <t>LES CENT-ACRES</t>
  </si>
  <si>
    <t>CHANTELOUP</t>
  </si>
  <si>
    <t>72500</t>
  </si>
  <si>
    <t>BEAUMONT-PIED-DE-BOEUF</t>
  </si>
  <si>
    <t>40360</t>
  </si>
  <si>
    <t>TILH</t>
  </si>
  <si>
    <t>2A019</t>
  </si>
  <si>
    <t>ARBORI</t>
  </si>
  <si>
    <t>2590</t>
  </si>
  <si>
    <t>DOUCHY</t>
  </si>
  <si>
    <t>73340</t>
  </si>
  <si>
    <t>ARITH</t>
  </si>
  <si>
    <t>91710</t>
  </si>
  <si>
    <t>VERT-LE-PETIT</t>
  </si>
  <si>
    <t>33850</t>
  </si>
  <si>
    <t>LEOGNAN</t>
  </si>
  <si>
    <t>76390</t>
  </si>
  <si>
    <t>CRIQUIERS</t>
  </si>
  <si>
    <t>1130</t>
  </si>
  <si>
    <t>CHARIX</t>
  </si>
  <si>
    <t>1420</t>
  </si>
  <si>
    <t>CHANAY</t>
  </si>
  <si>
    <t>8360</t>
  </si>
  <si>
    <t>TAIZY</t>
  </si>
  <si>
    <t>30290</t>
  </si>
  <si>
    <t>LAUDUN-L'ARDOISE</t>
  </si>
  <si>
    <t>LA CHAPELLE-SUR-DUN</t>
  </si>
  <si>
    <t>LILHAC</t>
  </si>
  <si>
    <t>BOUTENAC-TOUVENT</t>
  </si>
  <si>
    <t>63720</t>
  </si>
  <si>
    <t>CLERLANDE</t>
  </si>
  <si>
    <t>BOUGLON</t>
  </si>
  <si>
    <t>TEILHEDE</t>
  </si>
  <si>
    <t>AUDRIEU</t>
  </si>
  <si>
    <t>39220</t>
  </si>
  <si>
    <t>LES ROUSSES</t>
  </si>
  <si>
    <t>EGLISENEUVE-D'ENTRAIGUES</t>
  </si>
  <si>
    <t>GOUEZEC</t>
  </si>
  <si>
    <t>CREPOL</t>
  </si>
  <si>
    <t>SAINT-RIQUIER-EN-RIVIERE</t>
  </si>
  <si>
    <t>33113</t>
  </si>
  <si>
    <t>ORIGNE</t>
  </si>
  <si>
    <t>55170</t>
  </si>
  <si>
    <t>BRAUVILLIERS</t>
  </si>
  <si>
    <t>GOUVERNES</t>
  </si>
  <si>
    <t>SAINTE-MERE-EGLISE</t>
  </si>
  <si>
    <t>SAINT-DENIS-DE-MAILLOC</t>
  </si>
  <si>
    <t>66320</t>
  </si>
  <si>
    <t>GLORIANES</t>
  </si>
  <si>
    <t>58330</t>
  </si>
  <si>
    <t>JAILLY</t>
  </si>
  <si>
    <t>4320</t>
  </si>
  <si>
    <t>VAL-DE-CHALVAGNE</t>
  </si>
  <si>
    <t>ERNESTVILLER</t>
  </si>
  <si>
    <t>CHIGNE</t>
  </si>
  <si>
    <t>3140</t>
  </si>
  <si>
    <t>27820</t>
  </si>
  <si>
    <t>SAINT-CHRISTOPHE-SUR-AVRE</t>
  </si>
  <si>
    <t>8000</t>
  </si>
  <si>
    <t>VILLERS-SEMEUSE</t>
  </si>
  <si>
    <t>CONTHIL</t>
  </si>
  <si>
    <t>50670</t>
  </si>
  <si>
    <t>SAINT-POIS</t>
  </si>
  <si>
    <t>VENDEUIL</t>
  </si>
  <si>
    <t>ARRAYE-ET-HAN</t>
  </si>
  <si>
    <t>69780</t>
  </si>
  <si>
    <t>TOUSSIEU</t>
  </si>
  <si>
    <t>ARROSES</t>
  </si>
  <si>
    <t>36220</t>
  </si>
  <si>
    <t>LURAIS</t>
  </si>
  <si>
    <t>26470</t>
  </si>
  <si>
    <t>POMMEROL</t>
  </si>
  <si>
    <t>84130</t>
  </si>
  <si>
    <t>LE PONTET</t>
  </si>
  <si>
    <t>63350</t>
  </si>
  <si>
    <t>CULHAT</t>
  </si>
  <si>
    <t>MARCILLAT</t>
  </si>
  <si>
    <t>44590</t>
  </si>
  <si>
    <t>SAINT-VINCENT-DES-LANDES</t>
  </si>
  <si>
    <t>SAINT-LAURENT-EN-BRIONNAIS</t>
  </si>
  <si>
    <t>89300</t>
  </si>
  <si>
    <t>SAINT-AUBIN-SUR-YONNE</t>
  </si>
  <si>
    <t>PALAU-DEL-VIDRE</t>
  </si>
  <si>
    <t>77185</t>
  </si>
  <si>
    <t>LOGNES</t>
  </si>
  <si>
    <t>VAUX-LES-PRES</t>
  </si>
  <si>
    <t>LOCMELAR</t>
  </si>
  <si>
    <t>ROQUEBRUNE</t>
  </si>
  <si>
    <t>86340</t>
  </si>
  <si>
    <t>LA VILLEDIEU-DU-CLAIN</t>
  </si>
  <si>
    <t>SERMANGE</t>
  </si>
  <si>
    <t>CHARENCY-VEZIN</t>
  </si>
  <si>
    <t>LIGNAN-SUR-ORB</t>
  </si>
  <si>
    <t>ETALLEVILLE</t>
  </si>
  <si>
    <t>86390</t>
  </si>
  <si>
    <t>LATHUS-SAINT-REMY</t>
  </si>
  <si>
    <t>LIGNY-EN-BARROIS</t>
  </si>
  <si>
    <t>BRINON-SUR-BEUVRON</t>
  </si>
  <si>
    <t>SAINT-CHERON</t>
  </si>
  <si>
    <t>REGNIE-DURETTE</t>
  </si>
  <si>
    <t>12400</t>
  </si>
  <si>
    <t>SAINT-FELIX-DE-SORGUES</t>
  </si>
  <si>
    <t>CRASTATT</t>
  </si>
  <si>
    <t>2310</t>
  </si>
  <si>
    <t>CROUTTES-SUR-MARNE</t>
  </si>
  <si>
    <t>ISSOR</t>
  </si>
  <si>
    <t>77290</t>
  </si>
  <si>
    <t>COMPANS</t>
  </si>
  <si>
    <t>MONTIGNY</t>
  </si>
  <si>
    <t>HUELGOAT</t>
  </si>
  <si>
    <t>SALPERWICK</t>
  </si>
  <si>
    <t>52240</t>
  </si>
  <si>
    <t>MERREY</t>
  </si>
  <si>
    <t>TRIORS</t>
  </si>
  <si>
    <t>NANS-SOUS-SAINTE-ANNE</t>
  </si>
  <si>
    <t>BEON</t>
  </si>
  <si>
    <t>13520</t>
  </si>
  <si>
    <t>MAUSSANE-LES-ALPILLES</t>
  </si>
  <si>
    <t>26800</t>
  </si>
  <si>
    <t>PORTES-LES-VALENCE</t>
  </si>
  <si>
    <t>TOURREILLES</t>
  </si>
  <si>
    <t>72260</t>
  </si>
  <si>
    <t>DANGEUL</t>
  </si>
  <si>
    <t>MAY-SUR-ORNE</t>
  </si>
  <si>
    <t>33450</t>
  </si>
  <si>
    <t>IZON</t>
  </si>
  <si>
    <t>NONAVILLE</t>
  </si>
  <si>
    <t>59740</t>
  </si>
  <si>
    <t>SOLRE-LE-CHATEAU</t>
  </si>
  <si>
    <t>17240</t>
  </si>
  <si>
    <t>SAINT-ROMAIN-SUR-GIRONDE</t>
  </si>
  <si>
    <t>63380</t>
  </si>
  <si>
    <t>VILLOSANGES</t>
  </si>
  <si>
    <t>CHERREAU</t>
  </si>
  <si>
    <t>SIEGEN</t>
  </si>
  <si>
    <t>VAUX-EN-PRE</t>
  </si>
  <si>
    <t>SAINT-MICHEL-SUR-TERNOISE</t>
  </si>
  <si>
    <t>SAINT-GERMAIN-DE-LONGUE-CHAUME</t>
  </si>
  <si>
    <t>SALAVRE</t>
  </si>
  <si>
    <t>VARIZE</t>
  </si>
  <si>
    <t>43380</t>
  </si>
  <si>
    <t>SAINT-CIRGUES</t>
  </si>
  <si>
    <t>MINVERSHEIM</t>
  </si>
  <si>
    <t>73500</t>
  </si>
  <si>
    <t>AVRIEUX</t>
  </si>
  <si>
    <t>74540</t>
  </si>
  <si>
    <t>GRUFFY</t>
  </si>
  <si>
    <t>86110</t>
  </si>
  <si>
    <t>CUHON</t>
  </si>
  <si>
    <t>69360</t>
  </si>
  <si>
    <t>COMMUNAY</t>
  </si>
  <si>
    <t>37130</t>
  </si>
  <si>
    <t>SAINT-PATRICE</t>
  </si>
  <si>
    <t>32410</t>
  </si>
  <si>
    <t>BONAS</t>
  </si>
  <si>
    <t>19310</t>
  </si>
  <si>
    <t>BRIGNAC-LA-PLAINE</t>
  </si>
  <si>
    <t>30130</t>
  </si>
  <si>
    <t>SAINT-ALEXANDRE</t>
  </si>
  <si>
    <t>85150</t>
  </si>
  <si>
    <t>SAINTE-FLAIVE-DES-LOUPS</t>
  </si>
  <si>
    <t>54730</t>
  </si>
  <si>
    <t>VILLE-HOUDLEMONT</t>
  </si>
  <si>
    <t>FLERS-SUR-NOYE</t>
  </si>
  <si>
    <t>MERXHEIM</t>
  </si>
  <si>
    <t>BONVILLARET</t>
  </si>
  <si>
    <t>MARCENOD</t>
  </si>
  <si>
    <t>VILLE-SAVOYE</t>
  </si>
  <si>
    <t>IBARROLLE</t>
  </si>
  <si>
    <t>6660</t>
  </si>
  <si>
    <t>SAINT-ETIENNE-DE-TINEE</t>
  </si>
  <si>
    <t>PONTHEVRARD</t>
  </si>
  <si>
    <t>ALIZAY</t>
  </si>
  <si>
    <t>21580</t>
  </si>
  <si>
    <t>39600</t>
  </si>
  <si>
    <t>LES ARSURES</t>
  </si>
  <si>
    <t>EVIAN-LES-BAINS</t>
  </si>
  <si>
    <t>BALOT</t>
  </si>
  <si>
    <t>54930</t>
  </si>
  <si>
    <t>DIARVILLE</t>
  </si>
  <si>
    <t>77890</t>
  </si>
  <si>
    <t>OBSONVILLE</t>
  </si>
  <si>
    <t>SARCOS</t>
  </si>
  <si>
    <t>RUMESNIL</t>
  </si>
  <si>
    <t>ROGY</t>
  </si>
  <si>
    <t>68118</t>
  </si>
  <si>
    <t>HIRTZBACH</t>
  </si>
  <si>
    <t>BIGNAY</t>
  </si>
  <si>
    <t>22590</t>
  </si>
  <si>
    <t>PORDIC</t>
  </si>
  <si>
    <t>CHEMIN-D'AISEY</t>
  </si>
  <si>
    <t>49520</t>
  </si>
  <si>
    <t>BOURG-L'EVEQUE</t>
  </si>
  <si>
    <t>67850</t>
  </si>
  <si>
    <t>HERRLISHEIM</t>
  </si>
  <si>
    <t>CHACENAY</t>
  </si>
  <si>
    <t>AVILLY-SAINT-LEONARD</t>
  </si>
  <si>
    <t>THENORGUES</t>
  </si>
  <si>
    <t>PAULHE</t>
  </si>
  <si>
    <t>5300</t>
  </si>
  <si>
    <t>LAZER</t>
  </si>
  <si>
    <t>PARCAY-MESLAY</t>
  </si>
  <si>
    <t>COURCUIRE</t>
  </si>
  <si>
    <t>SAINT-DOS</t>
  </si>
  <si>
    <t>VEZANNES</t>
  </si>
  <si>
    <t>95690</t>
  </si>
  <si>
    <t>FROUVILLE</t>
  </si>
  <si>
    <t>MARCELLUS</t>
  </si>
  <si>
    <t>71510</t>
  </si>
  <si>
    <t>CHATEL-MORON</t>
  </si>
  <si>
    <t>61420</t>
  </si>
  <si>
    <t>LIVAIE</t>
  </si>
  <si>
    <t>SAINT-BIHY</t>
  </si>
  <si>
    <t>SAINT-DENIS-DU-PAYRE</t>
  </si>
  <si>
    <t>60620</t>
  </si>
  <si>
    <t>BOUILLANCY</t>
  </si>
  <si>
    <t>50320</t>
  </si>
  <si>
    <t>LA HAYE-PESNEL</t>
  </si>
  <si>
    <t>22270</t>
  </si>
  <si>
    <t>MEGRIT</t>
  </si>
  <si>
    <t>MARGNY-AUX-CERISES</t>
  </si>
  <si>
    <t>9330</t>
  </si>
  <si>
    <t>MONTGAILLARD</t>
  </si>
  <si>
    <t>EURRE</t>
  </si>
  <si>
    <t>MONTAUBAN-DE-LUCHON</t>
  </si>
  <si>
    <t>THIENANS</t>
  </si>
  <si>
    <t>FONTAINE-NOTRE-DAME</t>
  </si>
  <si>
    <t>GUELTAS</t>
  </si>
  <si>
    <t>SELLIERES</t>
  </si>
  <si>
    <t>TURRIERS</t>
  </si>
  <si>
    <t>63410</t>
  </si>
  <si>
    <t>CHARBONNIERES-LES-VARENNES</t>
  </si>
  <si>
    <t>MONTFORT-SUR-BOULZANE</t>
  </si>
  <si>
    <t>SAINT-ELIX-LE-CHATEAU</t>
  </si>
  <si>
    <t>33420</t>
  </si>
  <si>
    <t>TIZAC-DE-CURTON</t>
  </si>
  <si>
    <t>TOCQUEVILLE-LES-MURS</t>
  </si>
  <si>
    <t>OBERBRUCK</t>
  </si>
  <si>
    <t>12440</t>
  </si>
  <si>
    <t>LA SALVETAT-PEYRALES</t>
  </si>
  <si>
    <t>RENNES-LE-CHATEAU</t>
  </si>
  <si>
    <t>23210</t>
  </si>
  <si>
    <t>BENEVENT-L'ABBAYE</t>
  </si>
  <si>
    <t>14940</t>
  </si>
  <si>
    <t>BANNEVILLE-LA-CAMPAGNE</t>
  </si>
  <si>
    <t>PLOMODIERN</t>
  </si>
  <si>
    <t>PUGNY-CHATENOD</t>
  </si>
  <si>
    <t>MONTEMBOEUF</t>
  </si>
  <si>
    <t>EYLIAC</t>
  </si>
  <si>
    <t>JONQUIERES</t>
  </si>
  <si>
    <t>36370</t>
  </si>
  <si>
    <t>MAUVIERES</t>
  </si>
  <si>
    <t>29970</t>
  </si>
  <si>
    <t>TREGOUREZ</t>
  </si>
  <si>
    <t>LA BAZEUGE</t>
  </si>
  <si>
    <t>61500</t>
  </si>
  <si>
    <t>AUNAY-LES-BOIS</t>
  </si>
  <si>
    <t>MANTHELON</t>
  </si>
  <si>
    <t>JUVAINCOURT</t>
  </si>
  <si>
    <t>MIDREVAUX</t>
  </si>
  <si>
    <t>SAINT-QUENTIN-LA-CHABANNE</t>
  </si>
  <si>
    <t>POEZAT</t>
  </si>
  <si>
    <t>69380</t>
  </si>
  <si>
    <t>LOZANNE</t>
  </si>
  <si>
    <t>FAVIERES</t>
  </si>
  <si>
    <t>QUILLEBEUF-SUR-SEINE</t>
  </si>
  <si>
    <t>FRANCILLON-SUR-ROUBION</t>
  </si>
  <si>
    <t>LANDERROUET-SUR-SEGUR</t>
  </si>
  <si>
    <t>18330</t>
  </si>
  <si>
    <t>NEUVY-SUR-BARANGEON</t>
  </si>
  <si>
    <t>30770</t>
  </si>
  <si>
    <t>ARRIGAS</t>
  </si>
  <si>
    <t>CROISMARE</t>
  </si>
  <si>
    <t>7130</t>
  </si>
  <si>
    <t>SOYONS</t>
  </si>
  <si>
    <t>SARAZ</t>
  </si>
  <si>
    <t>SAINT-PALAIS</t>
  </si>
  <si>
    <t>VERGNE</t>
  </si>
  <si>
    <t>SAINT-HIPPOLYTE</t>
  </si>
  <si>
    <t>54670</t>
  </si>
  <si>
    <t>CUSTINES</t>
  </si>
  <si>
    <t>7410</t>
  </si>
  <si>
    <t>BOISSY-EN-DROUAIS</t>
  </si>
  <si>
    <t>HOUVIN-HOUVIGNEUL</t>
  </si>
  <si>
    <t>ALLIBAUDIERES</t>
  </si>
  <si>
    <t>GY-L'EVEQUE</t>
  </si>
  <si>
    <t>BOULAY-MOSELLE</t>
  </si>
  <si>
    <t>LA MOTTE-TILLY</t>
  </si>
  <si>
    <t>MAZEUIL</t>
  </si>
  <si>
    <t>AVRIGNEY-VIREY</t>
  </si>
  <si>
    <t>BOINVILLIERS</t>
  </si>
  <si>
    <t>OCQUERRE</t>
  </si>
  <si>
    <t>87120</t>
  </si>
  <si>
    <t>SAINT-AMAND-LE-PETIT</t>
  </si>
  <si>
    <t>40440</t>
  </si>
  <si>
    <t>ONDRES</t>
  </si>
  <si>
    <t>SAINT-CIERGE-SOUS-LE-CHEYLARD</t>
  </si>
  <si>
    <t>STEINSELTZ</t>
  </si>
  <si>
    <t>SAINT-MARTIN-EN-VERCORS</t>
  </si>
  <si>
    <t>LAPEYROUSE</t>
  </si>
  <si>
    <t>AYSSENES</t>
  </si>
  <si>
    <t>64490</t>
  </si>
  <si>
    <t>OSSE-EN-ASPE</t>
  </si>
  <si>
    <t>1700</t>
  </si>
  <si>
    <t>SAINT-MAURICE-DE-BEYNOST</t>
  </si>
  <si>
    <t>BLAUSASC</t>
  </si>
  <si>
    <t>58130</t>
  </si>
  <si>
    <t>SAINT-AUBIN-LES-FORGES</t>
  </si>
  <si>
    <t>NONTRON</t>
  </si>
  <si>
    <t>22720</t>
  </si>
  <si>
    <t>PLESIDY</t>
  </si>
  <si>
    <t>CAZALRENOUX</t>
  </si>
  <si>
    <t>62150</t>
  </si>
  <si>
    <t>LA COMTE</t>
  </si>
  <si>
    <t>MONTFORT-LE-GESNOIS</t>
  </si>
  <si>
    <t>BALBIGNY</t>
  </si>
  <si>
    <t>SAUVETERRE-DE-BEARN</t>
  </si>
  <si>
    <t>ASTAILLAC</t>
  </si>
  <si>
    <t>53800</t>
  </si>
  <si>
    <t>SAINT-MARTIN-DU-LIMET</t>
  </si>
  <si>
    <t>BOIGNEVILLE</t>
  </si>
  <si>
    <t>76260</t>
  </si>
  <si>
    <t>LE MESNIL-REAUME</t>
  </si>
  <si>
    <t>SEYTHENEX</t>
  </si>
  <si>
    <t>62120</t>
  </si>
  <si>
    <t>WITTERNESSE</t>
  </si>
  <si>
    <t>68580</t>
  </si>
  <si>
    <t>SEPPOIS-LE-HAUT</t>
  </si>
  <si>
    <t>FERRIERES-LES-BOIS</t>
  </si>
  <si>
    <t>DEZIZE-LES-MARANGES</t>
  </si>
  <si>
    <t>59200</t>
  </si>
  <si>
    <t>TOURCOING</t>
  </si>
  <si>
    <t>PERREUIL</t>
  </si>
  <si>
    <t>62129</t>
  </si>
  <si>
    <t>DELETTES</t>
  </si>
  <si>
    <t>MONTBIZOT</t>
  </si>
  <si>
    <t>AVELUY</t>
  </si>
  <si>
    <t>LA CHAPELLE-LAURENT</t>
  </si>
  <si>
    <t>HIGUERES-SOUYE</t>
  </si>
  <si>
    <t>34250</t>
  </si>
  <si>
    <t>PALAVAS-LES-FLOTS</t>
  </si>
  <si>
    <t>54122</t>
  </si>
  <si>
    <t>FLIN</t>
  </si>
  <si>
    <t>CRESANCEY</t>
  </si>
  <si>
    <t>LOUIGNAC</t>
  </si>
  <si>
    <t>PARIGNE</t>
  </si>
  <si>
    <t>BUFFARD</t>
  </si>
  <si>
    <t>57865</t>
  </si>
  <si>
    <t>AMANVILLERS</t>
  </si>
  <si>
    <t>GARNAT-SUR-ENGIEVRE</t>
  </si>
  <si>
    <t>63470</t>
  </si>
  <si>
    <t>SAUVAGNAT</t>
  </si>
  <si>
    <t>CAZAC</t>
  </si>
  <si>
    <t>85450</t>
  </si>
  <si>
    <t>MOREILLES</t>
  </si>
  <si>
    <t>ETOUVY</t>
  </si>
  <si>
    <t>MARGERIE-HANCOURT</t>
  </si>
  <si>
    <t>OUFFIERES</t>
  </si>
  <si>
    <t>VILLARZEL-CABARDES</t>
  </si>
  <si>
    <t>33260</t>
  </si>
  <si>
    <t>LA TESTE-DE-BUCH</t>
  </si>
  <si>
    <t>BEURIERES</t>
  </si>
  <si>
    <t>VILLONCOURT</t>
  </si>
  <si>
    <t>BAYON</t>
  </si>
  <si>
    <t>67340</t>
  </si>
  <si>
    <t>WEINBOURG</t>
  </si>
  <si>
    <t>59760</t>
  </si>
  <si>
    <t>GRANDE-SYNTHE</t>
  </si>
  <si>
    <t>GIZY</t>
  </si>
  <si>
    <t>SAINT-CHRISTOPHE</t>
  </si>
  <si>
    <t>18300</t>
  </si>
  <si>
    <t>MENETREOL-SOUS-SANCERRE</t>
  </si>
  <si>
    <t>SACONIN-ET-BREUIL</t>
  </si>
  <si>
    <t>LUZINAY</t>
  </si>
  <si>
    <t>VAUDELNAY</t>
  </si>
  <si>
    <t>24540</t>
  </si>
  <si>
    <t>LAVALADE</t>
  </si>
  <si>
    <t>LA CHAPELLE-GONAGUET</t>
  </si>
  <si>
    <t>LAMAYOU</t>
  </si>
  <si>
    <t>CEPET</t>
  </si>
  <si>
    <t>BALEYSSAGUES</t>
  </si>
  <si>
    <t>BETONCOURT-SAINT-PANCRAS</t>
  </si>
  <si>
    <t>SAINT-PIERRE-DE-COUTANCES</t>
  </si>
  <si>
    <t>SAINTE-MARIE-DU-LAC-NUISEMENT</t>
  </si>
  <si>
    <t>57480</t>
  </si>
  <si>
    <t>RUSTROFF</t>
  </si>
  <si>
    <t>SAINT-GERMAIN</t>
  </si>
  <si>
    <t>39290</t>
  </si>
  <si>
    <t>GREDISANS</t>
  </si>
  <si>
    <t>30200</t>
  </si>
  <si>
    <t>TOURNAN</t>
  </si>
  <si>
    <t>63530</t>
  </si>
  <si>
    <t>SAYAT</t>
  </si>
  <si>
    <t>31260</t>
  </si>
  <si>
    <t>SALIES-DU-SALAT</t>
  </si>
  <si>
    <t>LA CROIX-EN-CHAMPAGNE</t>
  </si>
  <si>
    <t>CREMERY</t>
  </si>
  <si>
    <t>MONTLAUR-EN-DIOIS</t>
  </si>
  <si>
    <t>CONTEVILLE</t>
  </si>
  <si>
    <t>SALERANS</t>
  </si>
  <si>
    <t>4290</t>
  </si>
  <si>
    <t>SOURRIBES</t>
  </si>
  <si>
    <t>69510</t>
  </si>
  <si>
    <t>RONTALON</t>
  </si>
  <si>
    <t>13960</t>
  </si>
  <si>
    <t>SAUSSET-LES-PINS</t>
  </si>
  <si>
    <t>88260</t>
  </si>
  <si>
    <t>PONT-LES-BONFAYS</t>
  </si>
  <si>
    <t>CANTELOUP</t>
  </si>
  <si>
    <t>ICHTRATZHEIM</t>
  </si>
  <si>
    <t>RUFFEY-SUR-SEILLE</t>
  </si>
  <si>
    <t>30122</t>
  </si>
  <si>
    <t>LES PLANTIERS</t>
  </si>
  <si>
    <t>CAILHAU</t>
  </si>
  <si>
    <t>BELRUPT</t>
  </si>
  <si>
    <t>38270</t>
  </si>
  <si>
    <t>MOISSIEU-SUR-DOLON</t>
  </si>
  <si>
    <t>42290</t>
  </si>
  <si>
    <t>SORBIERS</t>
  </si>
  <si>
    <t>MONTIRAT</t>
  </si>
  <si>
    <t>5110</t>
  </si>
  <si>
    <t>LARDIER-ET-VALENCA</t>
  </si>
  <si>
    <t>VERN-D'ANJOU</t>
  </si>
  <si>
    <t>25690</t>
  </si>
  <si>
    <t>PASSONFONTAINE</t>
  </si>
  <si>
    <t>ASLONNES</t>
  </si>
  <si>
    <t>30460</t>
  </si>
  <si>
    <t>COLOGNAC</t>
  </si>
  <si>
    <t>37190</t>
  </si>
  <si>
    <t>VALLERES</t>
  </si>
  <si>
    <t>MINORVILLE</t>
  </si>
  <si>
    <t>PANOSSAS</t>
  </si>
  <si>
    <t>17530</t>
  </si>
  <si>
    <t>ARVERT</t>
  </si>
  <si>
    <t>COYECQUES</t>
  </si>
  <si>
    <t>35780</t>
  </si>
  <si>
    <t>LA RICHARDAIS</t>
  </si>
  <si>
    <t>50520</t>
  </si>
  <si>
    <t>LE MESNIL-ADELEE</t>
  </si>
  <si>
    <t>HERY-SUR-ALBY</t>
  </si>
  <si>
    <t>SALLES-SUR-GARONNE</t>
  </si>
  <si>
    <t>40500</t>
  </si>
  <si>
    <t>AURICE</t>
  </si>
  <si>
    <t>63580</t>
  </si>
  <si>
    <t>VERNET-LA-VARENNE</t>
  </si>
  <si>
    <t>BADONVILLER</t>
  </si>
  <si>
    <t>10240</t>
  </si>
  <si>
    <t>VAUCOGNE</t>
  </si>
  <si>
    <t>76790</t>
  </si>
  <si>
    <t>BENOUVILLE</t>
  </si>
  <si>
    <t>SAINT-SORNIN-LAVOLPS</t>
  </si>
  <si>
    <t>57950</t>
  </si>
  <si>
    <t>MONTIGNY-LES-METZ</t>
  </si>
  <si>
    <t>38560</t>
  </si>
  <si>
    <t>CHAMP-SUR-DRAC</t>
  </si>
  <si>
    <t>SAINT-MAXIRE</t>
  </si>
  <si>
    <t>MESSAC</t>
  </si>
  <si>
    <t>ECHENON</t>
  </si>
  <si>
    <t>BELBEZE-EN-COMMINGES</t>
  </si>
  <si>
    <t>CATTENOM</t>
  </si>
  <si>
    <t>91140</t>
  </si>
  <si>
    <t>VILLEJUST</t>
  </si>
  <si>
    <t>CUBRIAL</t>
  </si>
  <si>
    <t>LE BUISSON</t>
  </si>
  <si>
    <t>LOUPIAC-DE-LA-REOLE</t>
  </si>
  <si>
    <t>33790</t>
  </si>
  <si>
    <t>SOUSSAC</t>
  </si>
  <si>
    <t>59990</t>
  </si>
  <si>
    <t>CURGIES</t>
  </si>
  <si>
    <t>VANDEUIL</t>
  </si>
  <si>
    <t>BARONVILLE</t>
  </si>
  <si>
    <t>MONTCHEVRIER</t>
  </si>
  <si>
    <t>95270</t>
  </si>
  <si>
    <t>LASSY</t>
  </si>
  <si>
    <t>54880</t>
  </si>
  <si>
    <t>61130</t>
  </si>
  <si>
    <t>VAUNOISE</t>
  </si>
  <si>
    <t>MARENLA</t>
  </si>
  <si>
    <t>NEUFVY-SUR-ARONDE</t>
  </si>
  <si>
    <t>PRIGONRIEUX</t>
  </si>
  <si>
    <t>ONS-EN-BRAY</t>
  </si>
  <si>
    <t>TRESAUVAUX</t>
  </si>
  <si>
    <t>BOULOGNE-SUR-HELPE</t>
  </si>
  <si>
    <t>ACHAIN</t>
  </si>
  <si>
    <t>69370</t>
  </si>
  <si>
    <t>SAINT-DIDIER-AU-MONT-D'OR</t>
  </si>
  <si>
    <t>LA MOTTE-TERNANT</t>
  </si>
  <si>
    <t>45760</t>
  </si>
  <si>
    <t>VENNECY</t>
  </si>
  <si>
    <t>51510</t>
  </si>
  <si>
    <t>THIBIE</t>
  </si>
  <si>
    <t>DAME-MARIE</t>
  </si>
  <si>
    <t>USSEL</t>
  </si>
  <si>
    <t>38710</t>
  </si>
  <si>
    <t>CORNILLON-EN-TRIEVES</t>
  </si>
  <si>
    <t>CHENAY</t>
  </si>
  <si>
    <t>LUIGNE</t>
  </si>
  <si>
    <t>67250</t>
  </si>
  <si>
    <t>RETSCHWILLER</t>
  </si>
  <si>
    <t>FRESNOY</t>
  </si>
  <si>
    <t>87510</t>
  </si>
  <si>
    <t>SAINT-GENCE</t>
  </si>
  <si>
    <t>BLOSSEVILLE</t>
  </si>
  <si>
    <t>CHAPELAINE</t>
  </si>
  <si>
    <t>THEZAN-DES-CORBIERES</t>
  </si>
  <si>
    <t>NOVILLERS</t>
  </si>
  <si>
    <t>BRABANT-EN-ARGONNE</t>
  </si>
  <si>
    <t>RANCE</t>
  </si>
  <si>
    <t>LA BOISSIERE-DU-DORE</t>
  </si>
  <si>
    <t>SIEVOZ</t>
  </si>
  <si>
    <t>44360</t>
  </si>
  <si>
    <t>SAINT-ETIENNE-DE-MONTLUC</t>
  </si>
  <si>
    <t>LANFAINS</t>
  </si>
  <si>
    <t>59730</t>
  </si>
  <si>
    <t>SOLESMES</t>
  </si>
  <si>
    <t>SAINT-AGNET</t>
  </si>
  <si>
    <t>78630</t>
  </si>
  <si>
    <t>ORGEVAL</t>
  </si>
  <si>
    <t>71210</t>
  </si>
  <si>
    <t>SAINT-EUSEBE</t>
  </si>
  <si>
    <t>62290</t>
  </si>
  <si>
    <t>NOEUX-LES-MINES</t>
  </si>
  <si>
    <t>CHEMERY-LES-DEUX</t>
  </si>
  <si>
    <t>LA CROISILLE-SUR-BRIANCE</t>
  </si>
  <si>
    <t>35520</t>
  </si>
  <si>
    <t>MONTREUIL-LE-GAST</t>
  </si>
  <si>
    <t>14450</t>
  </si>
  <si>
    <t>SAINT-PIERRE-DU-MONT</t>
  </si>
  <si>
    <t>MONTIER-EN-DER</t>
  </si>
  <si>
    <t>CONAT</t>
  </si>
  <si>
    <t>MAINVILLIERS</t>
  </si>
  <si>
    <t>TARTIERS</t>
  </si>
  <si>
    <t>MONTGAILLARD-LAURAGAIS</t>
  </si>
  <si>
    <t>AUCUN</t>
  </si>
  <si>
    <t>HESDIN</t>
  </si>
  <si>
    <t>BELESTA</t>
  </si>
  <si>
    <t>16360</t>
  </si>
  <si>
    <t>BAIGNES-SAINTE-RADEGONDE</t>
  </si>
  <si>
    <t>CIER-DE-RIVIERE</t>
  </si>
  <si>
    <t>POUILLY-LES-FEURS</t>
  </si>
  <si>
    <t>83190</t>
  </si>
  <si>
    <t>OLLIOULES</t>
  </si>
  <si>
    <t>25200</t>
  </si>
  <si>
    <t>MONTBELIARD</t>
  </si>
  <si>
    <t>97224</t>
  </si>
  <si>
    <t>DUCOS</t>
  </si>
  <si>
    <t>HAUVINE</t>
  </si>
  <si>
    <t>8320</t>
  </si>
  <si>
    <t>AUBRIVES</t>
  </si>
  <si>
    <t>SAINT-ETIENNE-DE-VILLEREAL</t>
  </si>
  <si>
    <t>SAULXURES-LES-VANNES</t>
  </si>
  <si>
    <t>NAVARRENX</t>
  </si>
  <si>
    <t>7260</t>
  </si>
  <si>
    <t>SABLIERES</t>
  </si>
  <si>
    <t>68390</t>
  </si>
  <si>
    <t>BATTENHEIM</t>
  </si>
  <si>
    <t>ARTANNES-SUR-THOUET</t>
  </si>
  <si>
    <t>32320</t>
  </si>
  <si>
    <t>BASSOUES</t>
  </si>
  <si>
    <t>50150</t>
  </si>
  <si>
    <t>SOURDEVAL</t>
  </si>
  <si>
    <t>HOMBLEUX</t>
  </si>
  <si>
    <t>CHAMPAGNOLE</t>
  </si>
  <si>
    <t>57710</t>
  </si>
  <si>
    <t>AUMETZ</t>
  </si>
  <si>
    <t>19700</t>
  </si>
  <si>
    <t>SAINT-CLEMENT</t>
  </si>
  <si>
    <t>SILLEY-BLEFOND</t>
  </si>
  <si>
    <t>86470</t>
  </si>
  <si>
    <t>BENASSAY</t>
  </si>
  <si>
    <t>49280</t>
  </si>
  <si>
    <t>SAINT-CHRISTOPHE-DU-BOIS</t>
  </si>
  <si>
    <t>VILLOTRAN</t>
  </si>
  <si>
    <t>82000</t>
  </si>
  <si>
    <t>MONTAUBAN</t>
  </si>
  <si>
    <t>23480</t>
  </si>
  <si>
    <t>LE DONZEIL</t>
  </si>
  <si>
    <t>LA JAUDONNIERE</t>
  </si>
  <si>
    <t>54560</t>
  </si>
  <si>
    <t>MERCY-LE-HAUT</t>
  </si>
  <si>
    <t>BOSSAY-SUR-CLAISE</t>
  </si>
  <si>
    <t>PREUSEVILLE</t>
  </si>
  <si>
    <t>LABASTIDE-DE-VIRAC</t>
  </si>
  <si>
    <t>WALY</t>
  </si>
  <si>
    <t>BEAUFICEL</t>
  </si>
  <si>
    <t>VILLY-LE-BOUVERET</t>
  </si>
  <si>
    <t>LAONS</t>
  </si>
  <si>
    <t>VIVOIN</t>
  </si>
  <si>
    <t>MARTIGNY</t>
  </si>
  <si>
    <t>MONESTIER</t>
  </si>
  <si>
    <t>97312</t>
  </si>
  <si>
    <t>SAINT-ELIE</t>
  </si>
  <si>
    <t>38570</t>
  </si>
  <si>
    <t>MORETEL-DE-MAILLES</t>
  </si>
  <si>
    <t>32490</t>
  </si>
  <si>
    <t>MONFERRAN-SAVES</t>
  </si>
  <si>
    <t>ESSAY</t>
  </si>
  <si>
    <t>BESCAT</t>
  </si>
  <si>
    <t>53170</t>
  </si>
  <si>
    <t>ARQUENAY</t>
  </si>
  <si>
    <t>BARRAUTE-CAMU</t>
  </si>
  <si>
    <t>15320</t>
  </si>
  <si>
    <t>CLAVIERES</t>
  </si>
  <si>
    <t>49360</t>
  </si>
  <si>
    <t>YZERNAY</t>
  </si>
  <si>
    <t>AVIOTH</t>
  </si>
  <si>
    <t>LES AUTHIEUX-PAPION</t>
  </si>
  <si>
    <t>LICEY-SUR-VINGEANNE</t>
  </si>
  <si>
    <t>LE LOROUX-BOTTEREAU</t>
  </si>
  <si>
    <t>SAINT-PROUANT</t>
  </si>
  <si>
    <t>ROSIERS-D'EGLETONS</t>
  </si>
  <si>
    <t>UTTENHEIM</t>
  </si>
  <si>
    <t>38240</t>
  </si>
  <si>
    <t>MEYLAN</t>
  </si>
  <si>
    <t>VILLENOUVELLE</t>
  </si>
  <si>
    <t>26240</t>
  </si>
  <si>
    <t>PONSAS</t>
  </si>
  <si>
    <t>BOIS-LES-PARGNY</t>
  </si>
  <si>
    <t>38520</t>
  </si>
  <si>
    <t>LE BOURG-D'OISANS</t>
  </si>
  <si>
    <t>HAUTE-EPINE</t>
  </si>
  <si>
    <t>MOMBRIER</t>
  </si>
  <si>
    <t>BLIGNY-SUR-OUCHE</t>
  </si>
  <si>
    <t>ANCEAUMEVILLE</t>
  </si>
  <si>
    <t>55150</t>
  </si>
  <si>
    <t>RUPT-SUR-OTHAIN</t>
  </si>
  <si>
    <t>95510</t>
  </si>
  <si>
    <t>CHERENCE</t>
  </si>
  <si>
    <t>ECURAT</t>
  </si>
  <si>
    <t>76280</t>
  </si>
  <si>
    <t>VILLAINVILLE</t>
  </si>
  <si>
    <t>MARCK</t>
  </si>
  <si>
    <t>77160</t>
  </si>
  <si>
    <t>PROVINS</t>
  </si>
  <si>
    <t>76480</t>
  </si>
  <si>
    <t>JUMIEGES</t>
  </si>
  <si>
    <t>10390</t>
  </si>
  <si>
    <t>24640</t>
  </si>
  <si>
    <t>SAINTE-EULALIE-D'ANS</t>
  </si>
  <si>
    <t>66130</t>
  </si>
  <si>
    <t>BOULETERNERE</t>
  </si>
  <si>
    <t>SAINT-ETIENNE-ROILAYE</t>
  </si>
  <si>
    <t>ALQUINES</t>
  </si>
  <si>
    <t>8160</t>
  </si>
  <si>
    <t>SAPOGNE-ET-FEUCHERES</t>
  </si>
  <si>
    <t>ESTADENS</t>
  </si>
  <si>
    <t>3300</t>
  </si>
  <si>
    <t>MONTEL-DE-GELAT</t>
  </si>
  <si>
    <t>83320</t>
  </si>
  <si>
    <t>CARQUEIRANNE</t>
  </si>
  <si>
    <t>TENDON</t>
  </si>
  <si>
    <t>ADILLY</t>
  </si>
  <si>
    <t>GERMIGNEY</t>
  </si>
  <si>
    <t>16490</t>
  </si>
  <si>
    <t>HIESSE</t>
  </si>
  <si>
    <t>VENANSON</t>
  </si>
  <si>
    <t>63680</t>
  </si>
  <si>
    <t>CHASTREIX</t>
  </si>
  <si>
    <t>60660</t>
  </si>
  <si>
    <t>MELLO</t>
  </si>
  <si>
    <t>63420</t>
  </si>
  <si>
    <t>MAZOIRES</t>
  </si>
  <si>
    <t>JUILLEY</t>
  </si>
  <si>
    <t>BISCHHOLTZ</t>
  </si>
  <si>
    <t>50370</t>
  </si>
  <si>
    <t>LE PETIT-CELLAND</t>
  </si>
  <si>
    <t>26770</t>
  </si>
  <si>
    <t>SAINT-PANTALEON-LES-VIGNES</t>
  </si>
  <si>
    <t>CHEVILLON</t>
  </si>
  <si>
    <t>81350</t>
  </si>
  <si>
    <t>SAINT-JEAN-DE-MARCEL</t>
  </si>
  <si>
    <t>SAINT-OUEN-DES-ALLEUX</t>
  </si>
  <si>
    <t>SAINT-JULIEN-D'ARMAGNAC</t>
  </si>
  <si>
    <t>ALLY</t>
  </si>
  <si>
    <t>84750</t>
  </si>
  <si>
    <t>VIENS</t>
  </si>
  <si>
    <t>62350</t>
  </si>
  <si>
    <t>MONT-BERNANCHON</t>
  </si>
  <si>
    <t>DOMMARTIN-LETTREE</t>
  </si>
  <si>
    <t>89270</t>
  </si>
  <si>
    <t>SAINT-MORE</t>
  </si>
  <si>
    <t>BOURGTHEROULDE-INFREVILLE</t>
  </si>
  <si>
    <t>CHERIENNES</t>
  </si>
  <si>
    <t>CUSSET</t>
  </si>
  <si>
    <t>50700</t>
  </si>
  <si>
    <t>BRIX</t>
  </si>
  <si>
    <t>PALLUAU-SUR-INDRE</t>
  </si>
  <si>
    <t>SAINT-GAL-SUR-SIOULE</t>
  </si>
  <si>
    <t>NOTRE-DAME-DU-ROCHER</t>
  </si>
  <si>
    <t>62223</t>
  </si>
  <si>
    <t>ROCLINCOURT</t>
  </si>
  <si>
    <t>50660</t>
  </si>
  <si>
    <t>CONTRIERES</t>
  </si>
  <si>
    <t>POSSESSE</t>
  </si>
  <si>
    <t>34830</t>
  </si>
  <si>
    <t>JACOU</t>
  </si>
  <si>
    <t>30700</t>
  </si>
  <si>
    <t>SERVIERS-ET-LABAUME</t>
  </si>
  <si>
    <t>LECHELLE</t>
  </si>
  <si>
    <t>BRUNVILLE</t>
  </si>
  <si>
    <t>CHAMPDIEU</t>
  </si>
  <si>
    <t>MAUMUSSON</t>
  </si>
  <si>
    <t>43700</t>
  </si>
  <si>
    <t>BLAVOZY</t>
  </si>
  <si>
    <t>MARTAILLY-LES-BRANCION</t>
  </si>
  <si>
    <t>ETREHAM</t>
  </si>
  <si>
    <t>79500</t>
  </si>
  <si>
    <t>SAINT-GENARD</t>
  </si>
  <si>
    <t>89430</t>
  </si>
  <si>
    <t>TANLAY</t>
  </si>
  <si>
    <t>MORISEL</t>
  </si>
  <si>
    <t>SENS</t>
  </si>
  <si>
    <t>ANNOIS</t>
  </si>
  <si>
    <t>ARNAC-POMPADOUR</t>
  </si>
  <si>
    <t>BASSONCOURT</t>
  </si>
  <si>
    <t>73210</t>
  </si>
  <si>
    <t>AIME</t>
  </si>
  <si>
    <t>LE FIEU</t>
  </si>
  <si>
    <t>6620</t>
  </si>
  <si>
    <t>69000</t>
  </si>
  <si>
    <t>LYON</t>
  </si>
  <si>
    <t>69004</t>
  </si>
  <si>
    <t>LYON--4E--ARRONDISSEMENT</t>
  </si>
  <si>
    <t>JAVERNANT</t>
  </si>
  <si>
    <t>MONTMAIN</t>
  </si>
  <si>
    <t>91430</t>
  </si>
  <si>
    <t>VAUHALLAN</t>
  </si>
  <si>
    <t>BERGHOLTZ</t>
  </si>
  <si>
    <t>LES NOUILLERS</t>
  </si>
  <si>
    <t>ANTUGNAC</t>
  </si>
  <si>
    <t>MARSAS</t>
  </si>
  <si>
    <t>38400</t>
  </si>
  <si>
    <t>SAINT-MARTIN-D'HERES</t>
  </si>
  <si>
    <t>MONTREAL-LES-SOURCES</t>
  </si>
  <si>
    <t>BROIN</t>
  </si>
  <si>
    <t>20235</t>
  </si>
  <si>
    <t>2B059</t>
  </si>
  <si>
    <t>CANAVAGGIA</t>
  </si>
  <si>
    <t>LAGUINGE-RESTOUE</t>
  </si>
  <si>
    <t>VILLAMPUY</t>
  </si>
  <si>
    <t>79240</t>
  </si>
  <si>
    <t>SAINT-PAUL-EN-GATINE</t>
  </si>
  <si>
    <t>ESTERRE</t>
  </si>
  <si>
    <t>93220</t>
  </si>
  <si>
    <t>GAGNY</t>
  </si>
  <si>
    <t>TORNAY</t>
  </si>
  <si>
    <t>OZON</t>
  </si>
  <si>
    <t>SALIGNAC-SUR-CHARENTE</t>
  </si>
  <si>
    <t>POUZAY</t>
  </si>
  <si>
    <t>PASSAVANT</t>
  </si>
  <si>
    <t>PIETS-PLASENCE-MOUSTROU</t>
  </si>
  <si>
    <t>42670</t>
  </si>
  <si>
    <t>BELMONT-DE-LA-LOIRE</t>
  </si>
  <si>
    <t>VILLENEUVE-LES-BOULOC</t>
  </si>
  <si>
    <t>SILHAC</t>
  </si>
  <si>
    <t>2850</t>
  </si>
  <si>
    <t>COURTEMONT-VARENNES</t>
  </si>
  <si>
    <t>14740</t>
  </si>
  <si>
    <t>SAINTE-CROIX-GRAND-TONNE</t>
  </si>
  <si>
    <t>BETTANGE</t>
  </si>
  <si>
    <t>2B005</t>
  </si>
  <si>
    <t>ALANDO</t>
  </si>
  <si>
    <t>BECHERESSE</t>
  </si>
  <si>
    <t>SAINT-FRAIGNE</t>
  </si>
  <si>
    <t>75015</t>
  </si>
  <si>
    <t>PARIS-15E-ARRONDISSEMENT</t>
  </si>
  <si>
    <t>31830</t>
  </si>
  <si>
    <t>PLAISANCE-DU-TOUCH</t>
  </si>
  <si>
    <t>VITROLLES</t>
  </si>
  <si>
    <t>42350</t>
  </si>
  <si>
    <t>LA TALAUDIERE</t>
  </si>
  <si>
    <t>LAMBLORE</t>
  </si>
  <si>
    <t>SAINT-DENIS-DES-PUITS</t>
  </si>
  <si>
    <t>GRAND-CAMP</t>
  </si>
  <si>
    <t>41270</t>
  </si>
  <si>
    <t>RUAN-SUR-EGVONNE</t>
  </si>
  <si>
    <t>MACE</t>
  </si>
  <si>
    <t>79310</t>
  </si>
  <si>
    <t>VERRUYES</t>
  </si>
  <si>
    <t>POUYDESSEAUX</t>
  </si>
  <si>
    <t>12620</t>
  </si>
  <si>
    <t>CASTELNAU-PEGAYROLS</t>
  </si>
  <si>
    <t>34260</t>
  </si>
  <si>
    <t>GRAISSESSAC</t>
  </si>
  <si>
    <t>GLISY</t>
  </si>
  <si>
    <t>33950</t>
  </si>
  <si>
    <t>LEGE-CAP-FERRET</t>
  </si>
  <si>
    <t>54134</t>
  </si>
  <si>
    <t>CEINTREY</t>
  </si>
  <si>
    <t>BAYAS</t>
  </si>
  <si>
    <t>GARRIS</t>
  </si>
  <si>
    <t>GUEPREI</t>
  </si>
  <si>
    <t>27790</t>
  </si>
  <si>
    <t>ROSAY-SUR-LIEURE</t>
  </si>
  <si>
    <t>SAINTE-CHRISTINE</t>
  </si>
  <si>
    <t>AUMATRE</t>
  </si>
  <si>
    <t>SALETTES</t>
  </si>
  <si>
    <t>30470</t>
  </si>
  <si>
    <t>AIMARGUES</t>
  </si>
  <si>
    <t>TUDEILS</t>
  </si>
  <si>
    <t>42890</t>
  </si>
  <si>
    <t>SAIL-SOUS-COUZAN</t>
  </si>
  <si>
    <t>ANGERVILLE-LA-CAMPAGNE</t>
  </si>
  <si>
    <t>92310</t>
  </si>
  <si>
    <t>SEVRES</t>
  </si>
  <si>
    <t>LA ROCHE-DES-ARNAUDS</t>
  </si>
  <si>
    <t>29440</t>
  </si>
  <si>
    <t>SAINT-DERRIEN</t>
  </si>
  <si>
    <t>MOUSSEAUX-NEUVILLE</t>
  </si>
  <si>
    <t>SAINT-EPVRE</t>
  </si>
  <si>
    <t>18270</t>
  </si>
  <si>
    <t>SAINT-CHRISTOPHE-LE-CHAUDRY</t>
  </si>
  <si>
    <t>LUTZ-EN-DUNOIS</t>
  </si>
  <si>
    <t>LE CHAMBON</t>
  </si>
  <si>
    <t>77124</t>
  </si>
  <si>
    <t>VILLENOY</t>
  </si>
  <si>
    <t>COIRAC</t>
  </si>
  <si>
    <t>LE PONT-DE-PLANCHES</t>
  </si>
  <si>
    <t>BUS-LA-MESIERE</t>
  </si>
  <si>
    <t>68240</t>
  </si>
  <si>
    <t>KAYSERSBERG</t>
  </si>
  <si>
    <t>ROMAGNE-SOUS-LES-COTES</t>
  </si>
  <si>
    <t>MAISONS</t>
  </si>
  <si>
    <t>JONCY</t>
  </si>
  <si>
    <t>LANDRAIS</t>
  </si>
  <si>
    <t>VAUDREUILLE</t>
  </si>
  <si>
    <t>ROUBION</t>
  </si>
  <si>
    <t>PUXIEUX</t>
  </si>
  <si>
    <t>85500</t>
  </si>
  <si>
    <t>SAINT-PAUL-EN-PAREDS</t>
  </si>
  <si>
    <t>CASSEN</t>
  </si>
  <si>
    <t>BAZAINVILLE</t>
  </si>
  <si>
    <t>MONGAUZY</t>
  </si>
  <si>
    <t>MONTEPLAIN</t>
  </si>
  <si>
    <t>SIVRY-ANTE</t>
  </si>
  <si>
    <t>MONTMELAS-SAINT-SORLIN</t>
  </si>
  <si>
    <t>LES MARTRES-D'ARTIERE</t>
  </si>
  <si>
    <t>CHANOS-CURSON</t>
  </si>
  <si>
    <t>AUBIGNAS</t>
  </si>
  <si>
    <t>74450</t>
  </si>
  <si>
    <t>LE GRAND-BORNAND</t>
  </si>
  <si>
    <t>VALAILLES</t>
  </si>
  <si>
    <t>61400</t>
  </si>
  <si>
    <t>FEINGS</t>
  </si>
  <si>
    <t>LE TALLUD</t>
  </si>
  <si>
    <t>CONTRAZY</t>
  </si>
  <si>
    <t>VAZERAC</t>
  </si>
  <si>
    <t>GUIGNEVILLE</t>
  </si>
  <si>
    <t>74700</t>
  </si>
  <si>
    <t>SALLANCHES</t>
  </si>
  <si>
    <t>PROUVAIS</t>
  </si>
  <si>
    <t>58290</t>
  </si>
  <si>
    <t>MOULINS-ENGILBERT</t>
  </si>
  <si>
    <t>38320</t>
  </si>
  <si>
    <t>BRESSON</t>
  </si>
  <si>
    <t>1430</t>
  </si>
  <si>
    <t>CHEVILLARD</t>
  </si>
  <si>
    <t>FOUCAUCOURT-HORS-NESLE</t>
  </si>
  <si>
    <t>LE CLAT</t>
  </si>
  <si>
    <t>PARNAY</t>
  </si>
  <si>
    <t>5700</t>
  </si>
  <si>
    <t>SERRES</t>
  </si>
  <si>
    <t>LAIGNES</t>
  </si>
  <si>
    <t>23270</t>
  </si>
  <si>
    <t>SAINT-DIZIER-LES-DOMAINES</t>
  </si>
  <si>
    <t>10430</t>
  </si>
  <si>
    <t>ROSIERES-PRES-TROYES</t>
  </si>
  <si>
    <t>FLAMANVILLE</t>
  </si>
  <si>
    <t>SAINT-GERMIER</t>
  </si>
  <si>
    <t>AVENSAC</t>
  </si>
  <si>
    <t>85310</t>
  </si>
  <si>
    <t>LA CHAIZE-LE-VICOMTE</t>
  </si>
  <si>
    <t>24390</t>
  </si>
  <si>
    <t>GRANGES-D'ANS</t>
  </si>
  <si>
    <t>CRESTOT</t>
  </si>
  <si>
    <t>LE CHATELEY</t>
  </si>
  <si>
    <t>15590</t>
  </si>
  <si>
    <t>VELZIC</t>
  </si>
  <si>
    <t>EYGUIANS</t>
  </si>
  <si>
    <t>MONCHEAUX-LES-FREVENT</t>
  </si>
  <si>
    <t>LIMERZEL</t>
  </si>
  <si>
    <t>AUNOU-SUR-ORNE</t>
  </si>
  <si>
    <t>EMAGNY</t>
  </si>
  <si>
    <t>62170</t>
  </si>
  <si>
    <t>LEPINE</t>
  </si>
  <si>
    <t>50870</t>
  </si>
  <si>
    <t>LE LUOT</t>
  </si>
  <si>
    <t>81140</t>
  </si>
  <si>
    <t>CAMPAGNAC</t>
  </si>
  <si>
    <t>34210</t>
  </si>
  <si>
    <t>20246</t>
  </si>
  <si>
    <t>2B257</t>
  </si>
  <si>
    <t>RAPALE</t>
  </si>
  <si>
    <t>LESCURE-JAOUL</t>
  </si>
  <si>
    <t>69420</t>
  </si>
  <si>
    <t>LES HAIES</t>
  </si>
  <si>
    <t>SAINT-VINCENT-RIVE-D'OLT</t>
  </si>
  <si>
    <t>NAVENNE</t>
  </si>
  <si>
    <t>BERNAY-EN-CHAMPAGNE</t>
  </si>
  <si>
    <t>SAINT-CHRISTOPHE-SUR-ROC</t>
  </si>
  <si>
    <t>SAINT-MAIME</t>
  </si>
  <si>
    <t>91740</t>
  </si>
  <si>
    <t>CONGERVILLE-THIONVILLE</t>
  </si>
  <si>
    <t>58240</t>
  </si>
  <si>
    <t>FLEURY-SUR-LOIRE</t>
  </si>
  <si>
    <t>SAINT-HELIER</t>
  </si>
  <si>
    <t>60330</t>
  </si>
  <si>
    <t>EVE</t>
  </si>
  <si>
    <t>HUILLIECOURT</t>
  </si>
  <si>
    <t>33770</t>
  </si>
  <si>
    <t>40250</t>
  </si>
  <si>
    <t>NERBIS</t>
  </si>
  <si>
    <t>42810</t>
  </si>
  <si>
    <t>ROZIER-EN-DONZY</t>
  </si>
  <si>
    <t>BELLEGARDE-SAINTE-MARIE</t>
  </si>
  <si>
    <t>VIDOUVILLE</t>
  </si>
  <si>
    <t>LANEUVEVILLE-DEVANT-BAYON</t>
  </si>
  <si>
    <t>33440</t>
  </si>
  <si>
    <t>SAINT-VINCENT-DE-PAUL</t>
  </si>
  <si>
    <t>KIRSCH-LES-SIERCK</t>
  </si>
  <si>
    <t>54180</t>
  </si>
  <si>
    <t>HEILLECOURT</t>
  </si>
  <si>
    <t>PONT-L'EVEQUE</t>
  </si>
  <si>
    <t>67480</t>
  </si>
  <si>
    <t>ROUNTZENHEIM</t>
  </si>
  <si>
    <t>82600</t>
  </si>
  <si>
    <t>SAINT-SARDOS</t>
  </si>
  <si>
    <t>VINDELLE</t>
  </si>
  <si>
    <t>RONCHEROLLES-EN-BRAY</t>
  </si>
  <si>
    <t>VELLEVANS</t>
  </si>
  <si>
    <t>NIEDERBRUCK</t>
  </si>
  <si>
    <t>GOUZENS</t>
  </si>
  <si>
    <t>TREOGAT</t>
  </si>
  <si>
    <t>SAINT-SAENS</t>
  </si>
  <si>
    <t>49140</t>
  </si>
  <si>
    <t>SEICHES-SUR-LE-LOIR</t>
  </si>
  <si>
    <t>MONTFERRIER-SUR-LEZ</t>
  </si>
  <si>
    <t>RECQUES-SUR-HEM</t>
  </si>
  <si>
    <t>33380</t>
  </si>
  <si>
    <t>MIOS</t>
  </si>
  <si>
    <t>31370</t>
  </si>
  <si>
    <t>RIEUMES</t>
  </si>
  <si>
    <t>ARPAJON-SUR-CERE</t>
  </si>
  <si>
    <t>BOREE</t>
  </si>
  <si>
    <t>MONT-SAINT-REMY</t>
  </si>
  <si>
    <t>MERCIN-ET-VAUX</t>
  </si>
  <si>
    <t>89510</t>
  </si>
  <si>
    <t>VERON</t>
  </si>
  <si>
    <t>LE MEIX-TIERCELIN</t>
  </si>
  <si>
    <t>91760</t>
  </si>
  <si>
    <t>ITTEVILLE</t>
  </si>
  <si>
    <t>BORNAMBUSC</t>
  </si>
  <si>
    <t>VELESMES-ECHEVANNE</t>
  </si>
  <si>
    <t>SAINT-MARTIN-DE-BAVEL</t>
  </si>
  <si>
    <t>82190</t>
  </si>
  <si>
    <t>FAUROUX</t>
  </si>
  <si>
    <t>RENNEVILLE</t>
  </si>
  <si>
    <t>PAULX</t>
  </si>
  <si>
    <t>RIVIERE-LES-FOSSES</t>
  </si>
  <si>
    <t>JONVELLE</t>
  </si>
  <si>
    <t>5140</t>
  </si>
  <si>
    <t>ASPREMONT</t>
  </si>
  <si>
    <t>PRIMARETTE</t>
  </si>
  <si>
    <t>FAJAC-EN-VAL</t>
  </si>
  <si>
    <t>18380</t>
  </si>
  <si>
    <t>MERY-ES-BOIS</t>
  </si>
  <si>
    <t>80680</t>
  </si>
  <si>
    <t>GRATTEPANCHE</t>
  </si>
  <si>
    <t>GRAND-FAILLY</t>
  </si>
  <si>
    <t>SAINT-COME-D'OLT</t>
  </si>
  <si>
    <t>68230</t>
  </si>
  <si>
    <t>SOULTZBACH-LES-BAINS</t>
  </si>
  <si>
    <t>MEHOUDIN</t>
  </si>
  <si>
    <t>LANNECAUBE</t>
  </si>
  <si>
    <t>25500</t>
  </si>
  <si>
    <t>LES FINS</t>
  </si>
  <si>
    <t>13930</t>
  </si>
  <si>
    <t>AUREILLE</t>
  </si>
  <si>
    <t>CRUET</t>
  </si>
  <si>
    <t>BELLEME</t>
  </si>
  <si>
    <t>ERNEMONT-SUR-BUCHY</t>
  </si>
  <si>
    <t>61220</t>
  </si>
  <si>
    <t>SAINT-HILAIRE-DE-BRIOUZE</t>
  </si>
  <si>
    <t>65330</t>
  </si>
  <si>
    <t>SENTOUS</t>
  </si>
  <si>
    <t>NERIGNAC</t>
  </si>
  <si>
    <t>SEPVIGNY</t>
  </si>
  <si>
    <t>DOMPIERRE-EN-MORVAN</t>
  </si>
  <si>
    <t>ALLEREY</t>
  </si>
  <si>
    <t>CANNESSIERES</t>
  </si>
  <si>
    <t>33820</t>
  </si>
  <si>
    <t>ETAULIERS</t>
  </si>
  <si>
    <t>VILLIERSFAUX</t>
  </si>
  <si>
    <t>COMBLOT</t>
  </si>
  <si>
    <t>58250</t>
  </si>
  <si>
    <t>LANTY</t>
  </si>
  <si>
    <t>1800</t>
  </si>
  <si>
    <t>BOURG-SAINT-CHRISTOPHE</t>
  </si>
  <si>
    <t>13410</t>
  </si>
  <si>
    <t>LAMBESC</t>
  </si>
  <si>
    <t>ECOUST-SAINT-MEIN</t>
  </si>
  <si>
    <t>64300</t>
  </si>
  <si>
    <t>SALLESPISSE</t>
  </si>
  <si>
    <t>VILLENEUVE-SOUS-CHARIGNY</t>
  </si>
  <si>
    <t>30720</t>
  </si>
  <si>
    <t>RIBAUTE-LES-TAVERNES</t>
  </si>
  <si>
    <t>AISEY-SUR-SEINE</t>
  </si>
  <si>
    <t>BITRY</t>
  </si>
  <si>
    <t>DANGERS</t>
  </si>
  <si>
    <t>MONTREDON-LABESSONNIE</t>
  </si>
  <si>
    <t>66530</t>
  </si>
  <si>
    <t>CLAIRA</t>
  </si>
  <si>
    <t>11510</t>
  </si>
  <si>
    <t>TREILLES</t>
  </si>
  <si>
    <t>LACHASSAGNE</t>
  </si>
  <si>
    <t>58210</t>
  </si>
  <si>
    <t>CUNCY-LES-VARZY</t>
  </si>
  <si>
    <t>18350</t>
  </si>
  <si>
    <t>FLAVIGNY</t>
  </si>
  <si>
    <t>31460</t>
  </si>
  <si>
    <t>SAUSSENS</t>
  </si>
  <si>
    <t>VILLERS-AUX-ERABLES</t>
  </si>
  <si>
    <t>ECHIGEY</t>
  </si>
  <si>
    <t>MONTCLAR-SUR-GERVANNE</t>
  </si>
  <si>
    <t>BINING</t>
  </si>
  <si>
    <t>53810</t>
  </si>
  <si>
    <t>53270</t>
  </si>
  <si>
    <t>SAINTE-SUZANNE</t>
  </si>
  <si>
    <t>66400</t>
  </si>
  <si>
    <t>CERET</t>
  </si>
  <si>
    <t>SAINT-CHRISTOPHE-DU-LUAT</t>
  </si>
  <si>
    <t>VELOGNY</t>
  </si>
  <si>
    <t>33890</t>
  </si>
  <si>
    <t>GENSAC</t>
  </si>
  <si>
    <t>LESMENILS</t>
  </si>
  <si>
    <t>GUITINIERES</t>
  </si>
  <si>
    <t>89220</t>
  </si>
  <si>
    <t>SAINT-PRIVE</t>
  </si>
  <si>
    <t>32360</t>
  </si>
  <si>
    <t>MERENS</t>
  </si>
  <si>
    <t>17780</t>
  </si>
  <si>
    <t>MOEZE</t>
  </si>
  <si>
    <t>27250</t>
  </si>
  <si>
    <t>AMBENAY</t>
  </si>
  <si>
    <t>LAIRE</t>
  </si>
  <si>
    <t>BRUNIQUEL</t>
  </si>
  <si>
    <t>MANERBE</t>
  </si>
  <si>
    <t>MOUHERS</t>
  </si>
  <si>
    <t>29780</t>
  </si>
  <si>
    <t>MANOT</t>
  </si>
  <si>
    <t>RENWEZ</t>
  </si>
  <si>
    <t>4660</t>
  </si>
  <si>
    <t>CHAMPTERCIER</t>
  </si>
  <si>
    <t>LARBEY</t>
  </si>
  <si>
    <t>BLAINVILLE-SUR-L'EAU</t>
  </si>
  <si>
    <t>FLEURE</t>
  </si>
  <si>
    <t>LATTAINVILLE</t>
  </si>
  <si>
    <t>SAINTE-MARIE-LAPANOUZE</t>
  </si>
  <si>
    <t>38330</t>
  </si>
  <si>
    <t>MONTBONNOT-SAINT-MARTIN</t>
  </si>
  <si>
    <t>SAINT-ROMPHAIRE</t>
  </si>
  <si>
    <t>GARRIGUES</t>
  </si>
  <si>
    <t>16190</t>
  </si>
  <si>
    <t>SAINT-EUTROPE</t>
  </si>
  <si>
    <t>SAINT-CREPIN-D'AUBEROCHE</t>
  </si>
  <si>
    <t>LANDERONDE</t>
  </si>
  <si>
    <t>25230</t>
  </si>
  <si>
    <t>VANDONCOURT</t>
  </si>
  <si>
    <t>ECUEIL</t>
  </si>
  <si>
    <t>77610</t>
  </si>
  <si>
    <t>LES CHAPELLES-BOURBON</t>
  </si>
  <si>
    <t>SAILLAC</t>
  </si>
  <si>
    <t>12250</t>
  </si>
  <si>
    <t>VIALA-DU-PAS-DE-JAUX</t>
  </si>
  <si>
    <t>HARAMONT</t>
  </si>
  <si>
    <t>GUILER-SUR-GOYEN</t>
  </si>
  <si>
    <t>BOECE</t>
  </si>
  <si>
    <t>29410</t>
  </si>
  <si>
    <t>LOC-EGUINER-SAINT-THEGONNEC</t>
  </si>
  <si>
    <t>MEYS</t>
  </si>
  <si>
    <t>2B081</t>
  </si>
  <si>
    <t>CASTIGLIONE</t>
  </si>
  <si>
    <t>BELLEVILLE-ET-CHATILLON-SUR-BAR</t>
  </si>
  <si>
    <t>62147</t>
  </si>
  <si>
    <t>TRESCAULT</t>
  </si>
  <si>
    <t>SAINT-AMAND-DES-HAUTES-TERRES</t>
  </si>
  <si>
    <t>TREMONT-SUR-SAULX</t>
  </si>
  <si>
    <t>VAULT-DE-LUGNY</t>
  </si>
  <si>
    <t>NOGENT-LE-ROI</t>
  </si>
  <si>
    <t>44660</t>
  </si>
  <si>
    <t>FERCE</t>
  </si>
  <si>
    <t>SAINT-CHRISTOPHE-SUR-DOLAISON</t>
  </si>
  <si>
    <t>DAMPVITOUX</t>
  </si>
  <si>
    <t>SEYRE</t>
  </si>
  <si>
    <t>80750</t>
  </si>
  <si>
    <t>CANDAS</t>
  </si>
  <si>
    <t>89160</t>
  </si>
  <si>
    <t>LEZINNES</t>
  </si>
  <si>
    <t>BARISEY-AU-PLAIN</t>
  </si>
  <si>
    <t>89600</t>
  </si>
  <si>
    <t>GERMIGNY</t>
  </si>
  <si>
    <t>MOTEY-SUR-SAONE</t>
  </si>
  <si>
    <t>28410</t>
  </si>
  <si>
    <t>GOUSSAINVILLE</t>
  </si>
  <si>
    <t>31450</t>
  </si>
  <si>
    <t>BELBEZE-DE-LAURAGAIS</t>
  </si>
  <si>
    <t>65270</t>
  </si>
  <si>
    <t>SAINT-PE-DE-BIGORRE</t>
  </si>
  <si>
    <t>ARGUENOS</t>
  </si>
  <si>
    <t>26540</t>
  </si>
  <si>
    <t>MOURS-SAINT-EUSEBE</t>
  </si>
  <si>
    <t>53540</t>
  </si>
  <si>
    <t>LAUBRIERES</t>
  </si>
  <si>
    <t>FAUCONCOURT</t>
  </si>
  <si>
    <t>ZOEBERSDORF</t>
  </si>
  <si>
    <t>35300</t>
  </si>
  <si>
    <t>FOUGERES</t>
  </si>
  <si>
    <t>35000/35200/35700</t>
  </si>
  <si>
    <t>RENNES</t>
  </si>
  <si>
    <t>FRAYSSINET</t>
  </si>
  <si>
    <t>ASNIERES-EN-MONTAGNE</t>
  </si>
  <si>
    <t>42590</t>
  </si>
  <si>
    <t>SAINT-PRIEST-LA-ROCHE</t>
  </si>
  <si>
    <t>ORIS-EN-RATTIER</t>
  </si>
  <si>
    <t>AUFFERVILLE</t>
  </si>
  <si>
    <t>SORRUS</t>
  </si>
  <si>
    <t>PONT-DE-BUIS-LES-QUIMERCH</t>
  </si>
  <si>
    <t>SAINT-REGLE</t>
  </si>
  <si>
    <t>MENTQUE-NORTBECOURT</t>
  </si>
  <si>
    <t>1480</t>
  </si>
  <si>
    <t>MESSIMY-SUR-SAONE</t>
  </si>
  <si>
    <t>SAINT-VIVIEN-DE-MONSEGUR</t>
  </si>
  <si>
    <t>PUYRAVAULT</t>
  </si>
  <si>
    <t>CHAPEIRY</t>
  </si>
  <si>
    <t>SAINT-SERNIN-LES-LAVAUR</t>
  </si>
  <si>
    <t>15100</t>
  </si>
  <si>
    <t>ROFFIAC</t>
  </si>
  <si>
    <t>URVILLE</t>
  </si>
  <si>
    <t>HERES</t>
  </si>
  <si>
    <t>MERINVILLE</t>
  </si>
  <si>
    <t>FONTENAY-SUR-LOING</t>
  </si>
  <si>
    <t>48140</t>
  </si>
  <si>
    <t>SAINT-PRIVAT-DU-FAU</t>
  </si>
  <si>
    <t>79230</t>
  </si>
  <si>
    <t>SAINT-MARTIN-DE-BERNEGOUE</t>
  </si>
  <si>
    <t>LAINSECQ</t>
  </si>
  <si>
    <t>BLAISE-SOUS-ARZILLIERES</t>
  </si>
  <si>
    <t>TOULOUSE-LE-CHATEAU</t>
  </si>
  <si>
    <t>ILLIERS-COMBRAY</t>
  </si>
  <si>
    <t>56300</t>
  </si>
  <si>
    <t>NEULLIAC</t>
  </si>
  <si>
    <t>11000</t>
  </si>
  <si>
    <t>CARCASSONNE</t>
  </si>
  <si>
    <t>27510</t>
  </si>
  <si>
    <t>MEZIERES-EN-VEXIN</t>
  </si>
  <si>
    <t>BOISJEAN</t>
  </si>
  <si>
    <t>ROQUEFORT</t>
  </si>
  <si>
    <t>30160</t>
  </si>
  <si>
    <t>ROBIAC-ROCHESSADOULE</t>
  </si>
  <si>
    <t>NEUBOIS</t>
  </si>
  <si>
    <t>2B149</t>
  </si>
  <si>
    <t>LUGO-DI-NAZZA</t>
  </si>
  <si>
    <t>SAINT-PREJET-ARMANDON</t>
  </si>
  <si>
    <t>37380</t>
  </si>
  <si>
    <t>CROTELLES</t>
  </si>
  <si>
    <t>11290</t>
  </si>
  <si>
    <t>ROULLENS</t>
  </si>
  <si>
    <t>BEAUCAIRE</t>
  </si>
  <si>
    <t>77130</t>
  </si>
  <si>
    <t>DORMELLES</t>
  </si>
  <si>
    <t>MARIMONT-LES-BENESTROFF</t>
  </si>
  <si>
    <t>FONTRAILLES</t>
  </si>
  <si>
    <t>CONDECOURT</t>
  </si>
  <si>
    <t>79400</t>
  </si>
  <si>
    <t>AZAY-LE-BRULE</t>
  </si>
  <si>
    <t>73450</t>
  </si>
  <si>
    <t>VALMEINIER</t>
  </si>
  <si>
    <t>LA ROCHE-MAURICE</t>
  </si>
  <si>
    <t>MONTGEARD</t>
  </si>
  <si>
    <t>SAINT-BRICE</t>
  </si>
  <si>
    <t>13710</t>
  </si>
  <si>
    <t>FUVEAU</t>
  </si>
  <si>
    <t>PLAISANCE</t>
  </si>
  <si>
    <t>PORCHERES</t>
  </si>
  <si>
    <t>MITTAINVILLE</t>
  </si>
  <si>
    <t>SAINT-SILVAIN-BELLEGARDE</t>
  </si>
  <si>
    <t>40330</t>
  </si>
  <si>
    <t>CASTEL-SARRAZIN</t>
  </si>
  <si>
    <t>OUANNE</t>
  </si>
  <si>
    <t>GORGES</t>
  </si>
  <si>
    <t>79000</t>
  </si>
  <si>
    <t>NIORT</t>
  </si>
  <si>
    <t>BIERRY-LES-BELLES-FONTAINES</t>
  </si>
  <si>
    <t>14410</t>
  </si>
  <si>
    <t>ESTRY</t>
  </si>
  <si>
    <t>80630</t>
  </si>
  <si>
    <t>BEAUVAL</t>
  </si>
  <si>
    <t>17320</t>
  </si>
  <si>
    <t>HIERS-BROUAGE</t>
  </si>
  <si>
    <t>SAINT-BLAISE-DU-BUIS</t>
  </si>
  <si>
    <t>80170</t>
  </si>
  <si>
    <t>FOUQUESCOURT</t>
  </si>
  <si>
    <t>VAUDEVILLE</t>
  </si>
  <si>
    <t>29340</t>
  </si>
  <si>
    <t>RIEC-SUR-BELON</t>
  </si>
  <si>
    <t>VIGNEULLES</t>
  </si>
  <si>
    <t>56000</t>
  </si>
  <si>
    <t>VANNES</t>
  </si>
  <si>
    <t>OLIZY-PRIMAT</t>
  </si>
  <si>
    <t>38870</t>
  </si>
  <si>
    <t>BRESSIEUX</t>
  </si>
  <si>
    <t>LOURDOUEIX-SAINT-PIERRE</t>
  </si>
  <si>
    <t>12290</t>
  </si>
  <si>
    <t>SEGUR</t>
  </si>
  <si>
    <t>TALISSIEU</t>
  </si>
  <si>
    <t>BRISSAY-CHOIGNY</t>
  </si>
  <si>
    <t>IGORNAY</t>
  </si>
  <si>
    <t>28630</t>
  </si>
  <si>
    <t>LE COUDRAY</t>
  </si>
  <si>
    <t>97215</t>
  </si>
  <si>
    <t>RIVIERE-SALEE</t>
  </si>
  <si>
    <t>SAINT-PAUL-SUR-SAVE</t>
  </si>
  <si>
    <t>84580</t>
  </si>
  <si>
    <t>OPPEDE</t>
  </si>
  <si>
    <t>59189</t>
  </si>
  <si>
    <t>STEENBECQUE</t>
  </si>
  <si>
    <t>71250</t>
  </si>
  <si>
    <t>CHERIZET</t>
  </si>
  <si>
    <t>22750</t>
  </si>
  <si>
    <t>SAINT-JACUT-DE-LA-MER</t>
  </si>
  <si>
    <t>68800</t>
  </si>
  <si>
    <t>LEIMBACH</t>
  </si>
  <si>
    <t>AIZECOURT-LE-BAS</t>
  </si>
  <si>
    <t>20128</t>
  </si>
  <si>
    <t>2A331</t>
  </si>
  <si>
    <t>URBALACONE</t>
  </si>
  <si>
    <t>20242</t>
  </si>
  <si>
    <t>2B347</t>
  </si>
  <si>
    <t>VEZZANI</t>
  </si>
  <si>
    <t>CHANAC-LES-MINES</t>
  </si>
  <si>
    <t>45330</t>
  </si>
  <si>
    <t>ORVEAU-BELLESAUVE</t>
  </si>
  <si>
    <t>AVRANCHES</t>
  </si>
  <si>
    <t>2360</t>
  </si>
  <si>
    <t>LES AUTELS</t>
  </si>
  <si>
    <t>BUVERCHY</t>
  </si>
  <si>
    <t>80460</t>
  </si>
  <si>
    <t>WOIGNARUE</t>
  </si>
  <si>
    <t>CAMPSEGRET</t>
  </si>
  <si>
    <t>SAUMONT-LA-POTERIE</t>
  </si>
  <si>
    <t>VOISEY</t>
  </si>
  <si>
    <t>SAINT-LAURENT-DE-TREVES</t>
  </si>
  <si>
    <t>29660</t>
  </si>
  <si>
    <t>CARANTEC</t>
  </si>
  <si>
    <t>VILLOTTE-SAINT-SEINE</t>
  </si>
  <si>
    <t>CHARCENNE</t>
  </si>
  <si>
    <t>SALVIZINET</t>
  </si>
  <si>
    <t>SCRUPT</t>
  </si>
  <si>
    <t>51400</t>
  </si>
  <si>
    <t>DAMPIERRE-AU-TEMPLE</t>
  </si>
  <si>
    <t>LA FERTE-HAUTERIVE</t>
  </si>
  <si>
    <t>MONTDURAUSSE</t>
  </si>
  <si>
    <t>SAINT-NICOLAS-DE-LA-GRAVE</t>
  </si>
  <si>
    <t>CHASTEL-NOUVEL</t>
  </si>
  <si>
    <t>25115</t>
  </si>
  <si>
    <t>POUILLEY-LES-VIGNES</t>
  </si>
  <si>
    <t>MONESTIER-MERLINES</t>
  </si>
  <si>
    <t>60280</t>
  </si>
  <si>
    <t>CLAIROIX</t>
  </si>
  <si>
    <t>NEOUX</t>
  </si>
  <si>
    <t>SENONCOURT</t>
  </si>
  <si>
    <t>LA CHAPELLE-MONTREUIL</t>
  </si>
  <si>
    <t>SOMMIERES</t>
  </si>
  <si>
    <t>REFFUVEILLE</t>
  </si>
  <si>
    <t>FROIDFOND</t>
  </si>
  <si>
    <t>HOULETTE</t>
  </si>
  <si>
    <t>CHANCE</t>
  </si>
  <si>
    <t>14950</t>
  </si>
  <si>
    <t>SAINT-ETIENNE-LA-THILLAYE</t>
  </si>
  <si>
    <t>LINDRE-HAUTE</t>
  </si>
  <si>
    <t>91450</t>
  </si>
  <si>
    <t>ETIOLLES</t>
  </si>
  <si>
    <t>59266</t>
  </si>
  <si>
    <t>HONNECOURT-SUR-ESCAUT</t>
  </si>
  <si>
    <t>82240</t>
  </si>
  <si>
    <t>LABASTIDE-DE-PENNE</t>
  </si>
  <si>
    <t>86580</t>
  </si>
  <si>
    <t>VOUNEUIL-SOUS-BIARD</t>
  </si>
  <si>
    <t>38130</t>
  </si>
  <si>
    <t>ECHIROLLES</t>
  </si>
  <si>
    <t>MALAY</t>
  </si>
  <si>
    <t>33370</t>
  </si>
  <si>
    <t>LOUPES</t>
  </si>
  <si>
    <t>2A115</t>
  </si>
  <si>
    <t>FOCE</t>
  </si>
  <si>
    <t>VILLENEUVE-DE-RIVIERE</t>
  </si>
  <si>
    <t>25390</t>
  </si>
  <si>
    <t>CONSOLATION-MAISONNETTES</t>
  </si>
  <si>
    <t>LAMOTHE-MONTRAVEL</t>
  </si>
  <si>
    <t>MOLIERES-GLANDAZ</t>
  </si>
  <si>
    <t>29380</t>
  </si>
  <si>
    <t>SAINT-THURIEN</t>
  </si>
  <si>
    <t>6800</t>
  </si>
  <si>
    <t>CAGNES-SUR-MER</t>
  </si>
  <si>
    <t>BERCENAY-LE-HAYER</t>
  </si>
  <si>
    <t>33730</t>
  </si>
  <si>
    <t>PRECHAC</t>
  </si>
  <si>
    <t>VAUBADON</t>
  </si>
  <si>
    <t>78800</t>
  </si>
  <si>
    <t>HOUILLES</t>
  </si>
  <si>
    <t>LE ROUSSET</t>
  </si>
  <si>
    <t>64510</t>
  </si>
  <si>
    <t>MEILLON</t>
  </si>
  <si>
    <t>80190</t>
  </si>
  <si>
    <t>MESNIL-SAINT-NICAISE</t>
  </si>
  <si>
    <t>LAFAUCHE</t>
  </si>
  <si>
    <t>17520</t>
  </si>
  <si>
    <t>JARNAC-CHAMPAGNE</t>
  </si>
  <si>
    <t>COCUMONT</t>
  </si>
  <si>
    <t>58110</t>
  </si>
  <si>
    <t>OUGNY</t>
  </si>
  <si>
    <t>TREFLAOUENAN</t>
  </si>
  <si>
    <t>50350</t>
  </si>
  <si>
    <t>DONVILLE-LES-BAINS</t>
  </si>
  <si>
    <t>EYWILLER</t>
  </si>
  <si>
    <t>83510</t>
  </si>
  <si>
    <t>LORGUES</t>
  </si>
  <si>
    <t>OZE</t>
  </si>
  <si>
    <t>76800</t>
  </si>
  <si>
    <t>SAINT-ETIENNE-DU-ROUVRAY</t>
  </si>
  <si>
    <t>HUTTENDORF</t>
  </si>
  <si>
    <t>27640</t>
  </si>
  <si>
    <t>VILLIERS-EN-DESOEUVRE</t>
  </si>
  <si>
    <t>2320</t>
  </si>
  <si>
    <t>PREMONTRE</t>
  </si>
  <si>
    <t>ARCENANT</t>
  </si>
  <si>
    <t>SAINT-PIERRE-D'AMILLY</t>
  </si>
  <si>
    <t>ANNOIX</t>
  </si>
  <si>
    <t>PETIT-FAYT</t>
  </si>
  <si>
    <t>SAULZAIS-LE-POTIER</t>
  </si>
  <si>
    <t>THENAC</t>
  </si>
  <si>
    <t>NANCE</t>
  </si>
  <si>
    <t>LA CAPELLE-ET-MASMOLENE</t>
  </si>
  <si>
    <t>SAINT-RIQUIER-ES-PLAINS</t>
  </si>
  <si>
    <t>MELLE</t>
  </si>
  <si>
    <t>22700</t>
  </si>
  <si>
    <t>SAINT-QUAY-PERROS</t>
  </si>
  <si>
    <t>ROTHONAY</t>
  </si>
  <si>
    <t>SAINT-LAURENT-DE-COGNAC</t>
  </si>
  <si>
    <t>LOURDES</t>
  </si>
  <si>
    <t>14280</t>
  </si>
  <si>
    <t>AUTHIE</t>
  </si>
  <si>
    <t>LA DORNAC</t>
  </si>
  <si>
    <t>62158</t>
  </si>
  <si>
    <t>HUMBERCAMPS</t>
  </si>
  <si>
    <t>69520</t>
  </si>
  <si>
    <t>GRIGNY</t>
  </si>
  <si>
    <t>SAHUNE</t>
  </si>
  <si>
    <t>29650</t>
  </si>
  <si>
    <t>BOTSORHEL</t>
  </si>
  <si>
    <t>24610</t>
  </si>
  <si>
    <t>CARSAC-DE-GURSON</t>
  </si>
  <si>
    <t>54910</t>
  </si>
  <si>
    <t>VALLEROY</t>
  </si>
  <si>
    <t>ROYE-SUR-MATZ</t>
  </si>
  <si>
    <t>62830</t>
  </si>
  <si>
    <t>HALINGHEN</t>
  </si>
  <si>
    <t>SAINT-BAUDILLE-ET-PIPET</t>
  </si>
  <si>
    <t>COMMENY</t>
  </si>
  <si>
    <t>85570</t>
  </si>
  <si>
    <t>POUILLE</t>
  </si>
  <si>
    <t>SAINT-ROMAIN-DE-MONPAZIER</t>
  </si>
  <si>
    <t>CARENTAN</t>
  </si>
  <si>
    <t>82110</t>
  </si>
  <si>
    <t>SAINTE-JULIETTE</t>
  </si>
  <si>
    <t>OLIVET</t>
  </si>
  <si>
    <t>CHATEAUNEUF-D'OZE</t>
  </si>
  <si>
    <t>VIRE-SUR-LOT</t>
  </si>
  <si>
    <t>BELLENGLISE</t>
  </si>
  <si>
    <t>PLEYBEN</t>
  </si>
  <si>
    <t>68440</t>
  </si>
  <si>
    <t>STEINBRUNN-LE-HAUT</t>
  </si>
  <si>
    <t>BOGY</t>
  </si>
  <si>
    <t>LES ARQUES</t>
  </si>
  <si>
    <t>NOLLIEUX</t>
  </si>
  <si>
    <t>20251</t>
  </si>
  <si>
    <t>2B012</t>
  </si>
  <si>
    <t>ALTIANI</t>
  </si>
  <si>
    <t>2870</t>
  </si>
  <si>
    <t>CREPY</t>
  </si>
  <si>
    <t>13300</t>
  </si>
  <si>
    <t>SALON-DE-PROVENCE</t>
  </si>
  <si>
    <t>RECOUBEAU-JANSAC</t>
  </si>
  <si>
    <t>BIENCOURT</t>
  </si>
  <si>
    <t>MERCEY</t>
  </si>
  <si>
    <t>SOMSOIS</t>
  </si>
  <si>
    <t>57250</t>
  </si>
  <si>
    <t>MOYEUVRE-GRANDE</t>
  </si>
  <si>
    <t>CHEVANNAY</t>
  </si>
  <si>
    <t>PHILONDENX</t>
  </si>
  <si>
    <t>FOSSEUX</t>
  </si>
  <si>
    <t>SAINT-ANDRE-EN-TERRE-PLAINE</t>
  </si>
  <si>
    <t>BEAUVAL-EN-CAUX</t>
  </si>
  <si>
    <t>FEDRY</t>
  </si>
  <si>
    <t>MAROLLES-LES-BAILLY</t>
  </si>
  <si>
    <t>34190</t>
  </si>
  <si>
    <t>GORNIES</t>
  </si>
  <si>
    <t>62144</t>
  </si>
  <si>
    <t>MONT-SAINT-ELOI</t>
  </si>
  <si>
    <t>CONCHES-EN-OUCHE</t>
  </si>
  <si>
    <t>GINTRAC</t>
  </si>
  <si>
    <t>BERNAC</t>
  </si>
  <si>
    <t>44350</t>
  </si>
  <si>
    <t>SAINT-MOLF</t>
  </si>
  <si>
    <t>SAINT-PARDOUX-ET-VIELVIC</t>
  </si>
  <si>
    <t>INGENHEIM</t>
  </si>
  <si>
    <t>71710</t>
  </si>
  <si>
    <t>CHARMOY</t>
  </si>
  <si>
    <t>COUPESARTE</t>
  </si>
  <si>
    <t>ROYAUCOURT</t>
  </si>
  <si>
    <t>10350</t>
  </si>
  <si>
    <t>SAINT-FLAVY</t>
  </si>
  <si>
    <t>PRADELLES</t>
  </si>
  <si>
    <t>MOISSY-MOULINOT</t>
  </si>
  <si>
    <t>MAISONCELLES-SUR-AJON</t>
  </si>
  <si>
    <t>18110</t>
  </si>
  <si>
    <t>SAINT-MARTIN-D'AUXIGNY</t>
  </si>
  <si>
    <t>35750</t>
  </si>
  <si>
    <t>SAINT-MAUGAN</t>
  </si>
  <si>
    <t>60860</t>
  </si>
  <si>
    <t>VILLERS-SUR-BONNIERES</t>
  </si>
  <si>
    <t>LE BELLAY-EN-VEXIN</t>
  </si>
  <si>
    <t>VERDON</t>
  </si>
  <si>
    <t>3360</t>
  </si>
  <si>
    <t>LETELON</t>
  </si>
  <si>
    <t>GUERCHEVILLE</t>
  </si>
  <si>
    <t>95000/95300</t>
  </si>
  <si>
    <t>PONTOISE</t>
  </si>
  <si>
    <t>VILLER</t>
  </si>
  <si>
    <t>59234</t>
  </si>
  <si>
    <t>VILLERS-AU-TERTRE</t>
  </si>
  <si>
    <t>38890</t>
  </si>
  <si>
    <t>MONTCARRA</t>
  </si>
  <si>
    <t>27320</t>
  </si>
  <si>
    <t>SAINT-GERMAIN-SUR-AVRE</t>
  </si>
  <si>
    <t>SPARSBACH</t>
  </si>
  <si>
    <t>7510</t>
  </si>
  <si>
    <t>MAZAN-L'ABBAYE</t>
  </si>
  <si>
    <t>86600</t>
  </si>
  <si>
    <t>JAZENEUIL</t>
  </si>
  <si>
    <t>79390</t>
  </si>
  <si>
    <t>PRESSIGNY</t>
  </si>
  <si>
    <t>45230</t>
  </si>
  <si>
    <t>MONTBOUY</t>
  </si>
  <si>
    <t>57300</t>
  </si>
  <si>
    <t>HAGONDANGE</t>
  </si>
  <si>
    <t>VINAY</t>
  </si>
  <si>
    <t>CASTEIDE-DOAT</t>
  </si>
  <si>
    <t>SAINT-GERAND</t>
  </si>
  <si>
    <t>BOURNONVILLE</t>
  </si>
  <si>
    <t>CHARLY</t>
  </si>
  <si>
    <t>SAINT-FROULT</t>
  </si>
  <si>
    <t>BATTEXEY</t>
  </si>
  <si>
    <t>CADEILLAN</t>
  </si>
  <si>
    <t>LABOURGADE</t>
  </si>
  <si>
    <t>10440</t>
  </si>
  <si>
    <t>LA RIVIERE-DE-CORPS</t>
  </si>
  <si>
    <t>42500</t>
  </si>
  <si>
    <t>LE CHAMBON-FEUGEROLLES</t>
  </si>
  <si>
    <t>LA LOUVIERE-LAURAGAIS</t>
  </si>
  <si>
    <t>LE FAOUET</t>
  </si>
  <si>
    <t>LE MESNIL-HERMAN</t>
  </si>
  <si>
    <t>86530</t>
  </si>
  <si>
    <t>CENON-SUR-VIENNE</t>
  </si>
  <si>
    <t>BONNEVAUX-LE-PRIEURE</t>
  </si>
  <si>
    <t>10140</t>
  </si>
  <si>
    <t>TRANNES</t>
  </si>
  <si>
    <t>REBENACQ</t>
  </si>
  <si>
    <t>37000/37100/37200</t>
  </si>
  <si>
    <t>TOURS</t>
  </si>
  <si>
    <t>82250</t>
  </si>
  <si>
    <t>LAGUEPIE</t>
  </si>
  <si>
    <t>BINARVILLE</t>
  </si>
  <si>
    <t>BERRIAC</t>
  </si>
  <si>
    <t>84800</t>
  </si>
  <si>
    <t>SAUMANE-DE-VAUCLUSE</t>
  </si>
  <si>
    <t>AUNOU-LE-FAUCON</t>
  </si>
  <si>
    <t>68520</t>
  </si>
  <si>
    <t>SCHWEIGHOUSE-THANN</t>
  </si>
  <si>
    <t>MOBECQ</t>
  </si>
  <si>
    <t>57230</t>
  </si>
  <si>
    <t>SCHORBACH</t>
  </si>
  <si>
    <t>2A322</t>
  </si>
  <si>
    <t>TASSO</t>
  </si>
  <si>
    <t>LA CHAPELLE-BICHE</t>
  </si>
  <si>
    <t>SAINT-LAURENT-ROCHEFORT</t>
  </si>
  <si>
    <t>GRANDRU</t>
  </si>
  <si>
    <t>15290</t>
  </si>
  <si>
    <t>PERS</t>
  </si>
  <si>
    <t>BAGNEUX</t>
  </si>
  <si>
    <t>MAGNE</t>
  </si>
  <si>
    <t>MOISY</t>
  </si>
  <si>
    <t>ROFFEY</t>
  </si>
  <si>
    <t>VIZOS</t>
  </si>
  <si>
    <t>83210</t>
  </si>
  <si>
    <t>SOLLIES-VILLE</t>
  </si>
  <si>
    <t>SAINT-MEDARD-DE-GUIZIERES</t>
  </si>
  <si>
    <t>SAINT-FELIX</t>
  </si>
  <si>
    <t>3500</t>
  </si>
  <si>
    <t>PARAY-SOUS-BRIAILLES</t>
  </si>
  <si>
    <t>SAUVAGNEY</t>
  </si>
  <si>
    <t>PEZE-LE-ROBERT</t>
  </si>
  <si>
    <t>76780</t>
  </si>
  <si>
    <t>FRY</t>
  </si>
  <si>
    <t>LAILLY</t>
  </si>
  <si>
    <t>ARAMITS</t>
  </si>
  <si>
    <t>44830</t>
  </si>
  <si>
    <t>BOUAYE</t>
  </si>
  <si>
    <t>12480</t>
  </si>
  <si>
    <t>SAINT-IZAIRE</t>
  </si>
  <si>
    <t>CABARIOT</t>
  </si>
  <si>
    <t>30360</t>
  </si>
  <si>
    <t>VEZENOBRES</t>
  </si>
  <si>
    <t>30170</t>
  </si>
  <si>
    <t>CROS</t>
  </si>
  <si>
    <t>VAUDRINGHEM</t>
  </si>
  <si>
    <t>LAVAL-ROQUECEZIERE</t>
  </si>
  <si>
    <t>NAVAILLES-ANGOS</t>
  </si>
  <si>
    <t>GIZAUCOURT</t>
  </si>
  <si>
    <t>17100</t>
  </si>
  <si>
    <t>COURCOURY</t>
  </si>
  <si>
    <t>MONSEC</t>
  </si>
  <si>
    <t>15800</t>
  </si>
  <si>
    <t>SAINT-JACQUES-DES-BLATS</t>
  </si>
  <si>
    <t>52210</t>
  </si>
  <si>
    <t>COUPRAY</t>
  </si>
  <si>
    <t>LONGUEVILLE</t>
  </si>
  <si>
    <t>SAMPIGNY-LES-MARANGES</t>
  </si>
  <si>
    <t>COGNY</t>
  </si>
  <si>
    <t>54680</t>
  </si>
  <si>
    <t>CRUSNES</t>
  </si>
  <si>
    <t>SAINT-MARTIN-DE-VERS</t>
  </si>
  <si>
    <t>GOUDELANCOURT-LES-BERRIEUX</t>
  </si>
  <si>
    <t>88120</t>
  </si>
  <si>
    <t>ROCHESSON</t>
  </si>
  <si>
    <t>DROUVILLE</t>
  </si>
  <si>
    <t>JAS</t>
  </si>
  <si>
    <t>SAINT-AGNANT-PRES-CROCQ</t>
  </si>
  <si>
    <t>56840</t>
  </si>
  <si>
    <t>ILE-D'ARZ</t>
  </si>
  <si>
    <t>MENIL-SUR-BELVITTE</t>
  </si>
  <si>
    <t>AURE</t>
  </si>
  <si>
    <t>59480</t>
  </si>
  <si>
    <t>LA BASSEE</t>
  </si>
  <si>
    <t>59271</t>
  </si>
  <si>
    <t>VIESLY</t>
  </si>
  <si>
    <t>11580</t>
  </si>
  <si>
    <t>MISSEGRE</t>
  </si>
  <si>
    <t>BURELLES</t>
  </si>
  <si>
    <t>ORBIGNY-AU-VAL</t>
  </si>
  <si>
    <t>61190</t>
  </si>
  <si>
    <t>BUBERTRE</t>
  </si>
  <si>
    <t>70320</t>
  </si>
  <si>
    <t>AILLEVILLERS-ET-LYAUMONT</t>
  </si>
  <si>
    <t>MONTROMANT</t>
  </si>
  <si>
    <t>MASCARAS</t>
  </si>
  <si>
    <t>SAINT-THEGONNEC</t>
  </si>
  <si>
    <t>76520</t>
  </si>
  <si>
    <t>SAINT-GENES-DE-FRONSAC</t>
  </si>
  <si>
    <t>HAUTEPIERRE-LE-CHATELET</t>
  </si>
  <si>
    <t>SAINT-JUST-SUR-VIAUR</t>
  </si>
  <si>
    <t>49070</t>
  </si>
  <si>
    <t>SAINT-LAMBERT-LA-POTHERIE</t>
  </si>
  <si>
    <t>HALLIVILLERS</t>
  </si>
  <si>
    <t>SUILLY-LA-TOUR</t>
  </si>
  <si>
    <t>LA LANDE-SAINT-SIMEON</t>
  </si>
  <si>
    <t>BARRANCOUEU</t>
  </si>
  <si>
    <t>PUYOO</t>
  </si>
  <si>
    <t>57310</t>
  </si>
  <si>
    <t>RURANGE-LES-THIONVILLE</t>
  </si>
  <si>
    <t>68890</t>
  </si>
  <si>
    <t>REGUISHEIM</t>
  </si>
  <si>
    <t>CUVE</t>
  </si>
  <si>
    <t>VAROIS-ET-CHAIGNOT</t>
  </si>
  <si>
    <t>CHAMP-LE-DUC</t>
  </si>
  <si>
    <t>MAREUIL-EN-DOLE</t>
  </si>
  <si>
    <t>71160</t>
  </si>
  <si>
    <t>LA MOTTE-SAINT-JEAN</t>
  </si>
  <si>
    <t>56270</t>
  </si>
  <si>
    <t>PLOEMEUR</t>
  </si>
  <si>
    <t>BOUQUET</t>
  </si>
  <si>
    <t>63840</t>
  </si>
  <si>
    <t>SAILLANT</t>
  </si>
  <si>
    <t>5100</t>
  </si>
  <si>
    <t>VILLAR-SAINT-PANCRACE</t>
  </si>
  <si>
    <t>MANNEVILLE-SUR-RISLE</t>
  </si>
  <si>
    <t>50360</t>
  </si>
  <si>
    <t>LES MOITIERS-EN-BAUPTOIS</t>
  </si>
  <si>
    <t>LE MESNIL-THERIBUS</t>
  </si>
  <si>
    <t>54770</t>
  </si>
  <si>
    <t>LAITRE-SOUS-AMANCE</t>
  </si>
  <si>
    <t>TROUHANS</t>
  </si>
  <si>
    <t>ROSSFELD</t>
  </si>
  <si>
    <t>MOLLANS-SUR-OUVEZE</t>
  </si>
  <si>
    <t>VILLENEUVE-SOUS-DAMMARTIN</t>
  </si>
  <si>
    <t>17250</t>
  </si>
  <si>
    <t>BEURLAY</t>
  </si>
  <si>
    <t>24160</t>
  </si>
  <si>
    <t>ANLHIAC</t>
  </si>
  <si>
    <t>AIGONNAY</t>
  </si>
  <si>
    <t>2B286</t>
  </si>
  <si>
    <t>SORBO-OCAGNANO</t>
  </si>
  <si>
    <t>POMAS</t>
  </si>
  <si>
    <t>53100</t>
  </si>
  <si>
    <t>CONTEST</t>
  </si>
  <si>
    <t>24220</t>
  </si>
  <si>
    <t>SAINT-VINCENT-DE-COSSE</t>
  </si>
  <si>
    <t>NOSSONCOURT</t>
  </si>
  <si>
    <t>89740</t>
  </si>
  <si>
    <t>VILLON</t>
  </si>
  <si>
    <t>44730</t>
  </si>
  <si>
    <t>SAINT-MICHEL-CHEF-CHEF</t>
  </si>
  <si>
    <t>63800</t>
  </si>
  <si>
    <t>PERIGNAT-SUR-ALLIER</t>
  </si>
  <si>
    <t>CLOMOT</t>
  </si>
  <si>
    <t>SAINT-CAPRAIS-DE-BLAYE</t>
  </si>
  <si>
    <t>CLARA</t>
  </si>
  <si>
    <t>MOULIS</t>
  </si>
  <si>
    <t>SAINT-JEAN-DE-LIER</t>
  </si>
  <si>
    <t>CHATRES</t>
  </si>
  <si>
    <t>MARCILLY-LA-CAMPAGNE</t>
  </si>
  <si>
    <t>88330</t>
  </si>
  <si>
    <t>HAILLAINVILLE</t>
  </si>
  <si>
    <t>68220</t>
  </si>
  <si>
    <t>HESINGUE</t>
  </si>
  <si>
    <t>ROCHEFORT-EN-YVELINES</t>
  </si>
  <si>
    <t>MAISON-ROUGE</t>
  </si>
  <si>
    <t>LHOMMAIZE</t>
  </si>
  <si>
    <t>RETJONS</t>
  </si>
  <si>
    <t>POMPAIRE</t>
  </si>
  <si>
    <t>VOMECOURT</t>
  </si>
  <si>
    <t>MONTIGNY-SUR-AVRE</t>
  </si>
  <si>
    <t>11340</t>
  </si>
  <si>
    <t>CAMURAC</t>
  </si>
  <si>
    <t>CHATEAU-CHINON (VILLE)</t>
  </si>
  <si>
    <t>LACHAPELLE-SOUS-CHANEAC</t>
  </si>
  <si>
    <t>61330</t>
  </si>
  <si>
    <t>LA BAROCHE-SOUS-LUCE</t>
  </si>
  <si>
    <t>SAINT-BAUSSANT</t>
  </si>
  <si>
    <t>CITERS</t>
  </si>
  <si>
    <t>59263</t>
  </si>
  <si>
    <t>HOUPLIN-ANCOISNE</t>
  </si>
  <si>
    <t>EPARCY</t>
  </si>
  <si>
    <t>CLIMBACH</t>
  </si>
  <si>
    <t>SAINT-HILAIRE-DE-GONDILLY</t>
  </si>
  <si>
    <t>VILLIERS-LES-APREY</t>
  </si>
  <si>
    <t>BRAINVILLE-SUR-MEUSE</t>
  </si>
  <si>
    <t>CALLIAN</t>
  </si>
  <si>
    <t>TAILLET</t>
  </si>
  <si>
    <t>USCLAS-DU-BOSC</t>
  </si>
  <si>
    <t>49440</t>
  </si>
  <si>
    <t>LOIRE</t>
  </si>
  <si>
    <t>HAUTVILLERS</t>
  </si>
  <si>
    <t>RAMPILLON</t>
  </si>
  <si>
    <t>SAINT-MARC</t>
  </si>
  <si>
    <t>PONT-SUR-YONNE</t>
  </si>
  <si>
    <t>CLAIRFONTAINE</t>
  </si>
  <si>
    <t>MOUNES-PROHENCOUX</t>
  </si>
  <si>
    <t>LES CHALESMES</t>
  </si>
  <si>
    <t>NOIREFONTAINE</t>
  </si>
  <si>
    <t>SAINT-GERY</t>
  </si>
  <si>
    <t>29750</t>
  </si>
  <si>
    <t>LOCTUDY</t>
  </si>
  <si>
    <t>49380</t>
  </si>
  <si>
    <t>FAYE-D'ANJOU</t>
  </si>
  <si>
    <t>66550</t>
  </si>
  <si>
    <t>CORNEILLA-LA-RIVIERE</t>
  </si>
  <si>
    <t>45380</t>
  </si>
  <si>
    <t>LA CHAPELLE-SAINT-MESMIN</t>
  </si>
  <si>
    <t>IMBLEVILLE</t>
  </si>
  <si>
    <t>95130</t>
  </si>
  <si>
    <t>LE PLESSIS-BOUCHARD</t>
  </si>
  <si>
    <t>MONTHODON</t>
  </si>
  <si>
    <t>62970</t>
  </si>
  <si>
    <t>COURCELLES-LES-LENS</t>
  </si>
  <si>
    <t>91580</t>
  </si>
  <si>
    <t>ETRECHY</t>
  </si>
  <si>
    <t>97250</t>
  </si>
  <si>
    <t>FONDS-SAINT-DENIS</t>
  </si>
  <si>
    <t>CHAUVONCOURT</t>
  </si>
  <si>
    <t>FRESNE-LEGUILLON</t>
  </si>
  <si>
    <t>CIRCOURT</t>
  </si>
  <si>
    <t>2B136</t>
  </si>
  <si>
    <t>LAMA</t>
  </si>
  <si>
    <t>SAINT-GUEN</t>
  </si>
  <si>
    <t>SEPTEUIL</t>
  </si>
  <si>
    <t>MOISSON</t>
  </si>
  <si>
    <t>54840</t>
  </si>
  <si>
    <t>VELAINE-EN-HAYE</t>
  </si>
  <si>
    <t>MONT-LES-LAMARCHE</t>
  </si>
  <si>
    <t>24510</t>
  </si>
  <si>
    <t>LIMEUIL</t>
  </si>
  <si>
    <t>45420</t>
  </si>
  <si>
    <t>DAMMARIE-EN-PUISAYE</t>
  </si>
  <si>
    <t>68630</t>
  </si>
  <si>
    <t>MITTELWIHR</t>
  </si>
  <si>
    <t>TERMIGNON</t>
  </si>
  <si>
    <t>93350</t>
  </si>
  <si>
    <t>LE BOURGET</t>
  </si>
  <si>
    <t>CAMBRONNE-LES-CLERMONT</t>
  </si>
  <si>
    <t>PLOUEGAT-MOYSAN</t>
  </si>
  <si>
    <t>RIVES</t>
  </si>
  <si>
    <t>54520</t>
  </si>
  <si>
    <t>LAXOU</t>
  </si>
  <si>
    <t>SIERCK-LES-BAINS</t>
  </si>
  <si>
    <t>GROSSOEUVRE</t>
  </si>
  <si>
    <t>VIRY-NOUREUIL</t>
  </si>
  <si>
    <t>SAINT-CERNIN-DE-LABARDE</t>
  </si>
  <si>
    <t>PONTRIEUX</t>
  </si>
  <si>
    <t>56310</t>
  </si>
  <si>
    <t>BUBRY</t>
  </si>
  <si>
    <t>26220</t>
  </si>
  <si>
    <t>TEYSSIERES</t>
  </si>
  <si>
    <t>33430</t>
  </si>
  <si>
    <t>CAZATS</t>
  </si>
  <si>
    <t>80870</t>
  </si>
  <si>
    <t>TOEUFLES</t>
  </si>
  <si>
    <t>SAINT-GEORGES-SUR-EURE</t>
  </si>
  <si>
    <t>86420</t>
  </si>
  <si>
    <t>BERTHEGON</t>
  </si>
  <si>
    <t>BELCASTEL</t>
  </si>
  <si>
    <t>VAUX-LES-MOURON</t>
  </si>
  <si>
    <t>SAINT-JULIEN-DES-LANDES</t>
  </si>
  <si>
    <t>18120</t>
  </si>
  <si>
    <t>LIMEUX</t>
  </si>
  <si>
    <t>CHIVRES-VAL</t>
  </si>
  <si>
    <t>37270</t>
  </si>
  <si>
    <t>VERETZ</t>
  </si>
  <si>
    <t>MOIGNY-SUR-ECOLE</t>
  </si>
  <si>
    <t>17540</t>
  </si>
  <si>
    <t>ANAIS</t>
  </si>
  <si>
    <t>LA CHAPELLE-BLANCHE</t>
  </si>
  <si>
    <t>SOEURDRES</t>
  </si>
  <si>
    <t>91590</t>
  </si>
  <si>
    <t>BOISSY-LE-CUTTE</t>
  </si>
  <si>
    <t>49410</t>
  </si>
  <si>
    <t>BEAUSSE</t>
  </si>
  <si>
    <t>SAINT-LYPHARD</t>
  </si>
  <si>
    <t>VILLIERS-SUR-LOIR</t>
  </si>
  <si>
    <t>GRAND-CORENT</t>
  </si>
  <si>
    <t>59490</t>
  </si>
  <si>
    <t>SOMAIN</t>
  </si>
  <si>
    <t>VIENNE-LA-VILLE</t>
  </si>
  <si>
    <t>LOMBARD</t>
  </si>
  <si>
    <t>64700</t>
  </si>
  <si>
    <t>BIRIATOU</t>
  </si>
  <si>
    <t>42310</t>
  </si>
  <si>
    <t>URBISE</t>
  </si>
  <si>
    <t>7690</t>
  </si>
  <si>
    <t>SAINT-JULIEN-VOCANCE</t>
  </si>
  <si>
    <t>PEPIEUX</t>
  </si>
  <si>
    <t>42520</t>
  </si>
  <si>
    <t>SAINT-APPOLINARD</t>
  </si>
  <si>
    <t>GEFOSSE-FONTENAY</t>
  </si>
  <si>
    <t>60840</t>
  </si>
  <si>
    <t>CATENOY</t>
  </si>
  <si>
    <t>SAINT-JEAN-SAVERNE</t>
  </si>
  <si>
    <t>28480</t>
  </si>
  <si>
    <t>SAINT-DENIS-D'AUTHOU</t>
  </si>
  <si>
    <t>SERAINCOURT</t>
  </si>
  <si>
    <t>VIOLS-EN-LAVAL</t>
  </si>
  <si>
    <t>1000</t>
  </si>
  <si>
    <t>BOURG-EN-BRESSE</t>
  </si>
  <si>
    <t>BEAUREPAIRE</t>
  </si>
  <si>
    <t>MESNOIS</t>
  </si>
  <si>
    <t>MAILLE</t>
  </si>
  <si>
    <t>PONTVALLAIN</t>
  </si>
  <si>
    <t>59552</t>
  </si>
  <si>
    <t>LAMBRES-LEZ-DOUAI</t>
  </si>
  <si>
    <t>LONGMESNIL</t>
  </si>
  <si>
    <t>SAINTE-MARIE</t>
  </si>
  <si>
    <t>CHATELAIN</t>
  </si>
  <si>
    <t>77970</t>
  </si>
  <si>
    <t>BEZALLES</t>
  </si>
  <si>
    <t>49150</t>
  </si>
  <si>
    <t>COULONCES</t>
  </si>
  <si>
    <t>29530</t>
  </si>
  <si>
    <t>PLONEVEZ-DU-FAOU</t>
  </si>
  <si>
    <t>CONAND</t>
  </si>
  <si>
    <t>JOUILLAT</t>
  </si>
  <si>
    <t>ALLEYRAT</t>
  </si>
  <si>
    <t>22200</t>
  </si>
  <si>
    <t>GUINGAMP</t>
  </si>
  <si>
    <t>AROZ</t>
  </si>
  <si>
    <t>62470</t>
  </si>
  <si>
    <t>CAMBLAIN-CHATELAIN</t>
  </si>
  <si>
    <t>BOUGEY</t>
  </si>
  <si>
    <t>JUILLAC</t>
  </si>
  <si>
    <t>ARSONVAL</t>
  </si>
  <si>
    <t>77120</t>
  </si>
  <si>
    <t>AULNOY</t>
  </si>
  <si>
    <t>VARESSIA</t>
  </si>
  <si>
    <t>COPPONEX</t>
  </si>
  <si>
    <t>52000</t>
  </si>
  <si>
    <t>CONDES</t>
  </si>
  <si>
    <t>45800</t>
  </si>
  <si>
    <t>SAINT-JEAN-DE-BRAYE</t>
  </si>
  <si>
    <t>FORCELLES-SOUS-GUGNEY</t>
  </si>
  <si>
    <t>GOURNAY-EN-BRAY</t>
  </si>
  <si>
    <t>VARINFROY</t>
  </si>
  <si>
    <t>LOUCHES</t>
  </si>
  <si>
    <t>SERMAISE</t>
  </si>
  <si>
    <t>24680</t>
  </si>
  <si>
    <t>LAMONZIE-SAINT-MARTIN</t>
  </si>
  <si>
    <t>LANDAUL</t>
  </si>
  <si>
    <t>SAIGNES</t>
  </si>
  <si>
    <t>FENIERS</t>
  </si>
  <si>
    <t>BREUVILLE</t>
  </si>
  <si>
    <t>HERONCHELLES</t>
  </si>
  <si>
    <t>POLIGNY</t>
  </si>
  <si>
    <t>48260</t>
  </si>
  <si>
    <t>GRANDVALS</t>
  </si>
  <si>
    <t>TALAIS</t>
  </si>
  <si>
    <t>MUSSY-SOUS-DUN</t>
  </si>
  <si>
    <t>SAINT-MARCEL</t>
  </si>
  <si>
    <t>BERENX</t>
  </si>
  <si>
    <t>54870</t>
  </si>
  <si>
    <t>CONS-LA-GRANDVILLE</t>
  </si>
  <si>
    <t>GRONARD</t>
  </si>
  <si>
    <t>AIGLEMONT</t>
  </si>
  <si>
    <t>25650</t>
  </si>
  <si>
    <t>MONTFLOVIN</t>
  </si>
  <si>
    <t>CAPPELLE-BROUCK</t>
  </si>
  <si>
    <t>50610</t>
  </si>
  <si>
    <t>JULLOUVILLE</t>
  </si>
  <si>
    <t>LA NEUVILLE-SIRE-BERNARD</t>
  </si>
  <si>
    <t>SAINT-REMY-LA-VANNE</t>
  </si>
  <si>
    <t>32000</t>
  </si>
  <si>
    <t>AUCH</t>
  </si>
  <si>
    <t>BLANGY-TRONVILLE</t>
  </si>
  <si>
    <t>LA HAYE-BELLEFOND</t>
  </si>
  <si>
    <t>SOUPIR</t>
  </si>
  <si>
    <t>42560</t>
  </si>
  <si>
    <t>CHAZELLES-SUR-LAVIEU</t>
  </si>
  <si>
    <t>VILLY</t>
  </si>
  <si>
    <t>4170</t>
  </si>
  <si>
    <t>MORIEZ</t>
  </si>
  <si>
    <t>ENENCOURT-LE-SEC</t>
  </si>
  <si>
    <t>62300</t>
  </si>
  <si>
    <t>LENS</t>
  </si>
  <si>
    <t>SAINT-MARTIAL-DE-VITATERNE</t>
  </si>
  <si>
    <t>BONNEVILLE-APTOT</t>
  </si>
  <si>
    <t>BASVILLE</t>
  </si>
  <si>
    <t>SAINT-AOUSTRILLE</t>
  </si>
  <si>
    <t>FAVEROLLES-LES-LUCEY</t>
  </si>
  <si>
    <t>62000</t>
  </si>
  <si>
    <t>DAINVILLE</t>
  </si>
  <si>
    <t>BORREZE</t>
  </si>
  <si>
    <t>60940</t>
  </si>
  <si>
    <t>CINQUEUX</t>
  </si>
  <si>
    <t>15240</t>
  </si>
  <si>
    <t>ANTIGNAC</t>
  </si>
  <si>
    <t>81990</t>
  </si>
  <si>
    <t>LE SEQUESTRE</t>
  </si>
  <si>
    <t>62580</t>
  </si>
  <si>
    <t>GIVENCHY-EN-GOHELLE</t>
  </si>
  <si>
    <t>BECORDEL-BECOURT</t>
  </si>
  <si>
    <t>ORVEAU</t>
  </si>
  <si>
    <t>CUBRY</t>
  </si>
  <si>
    <t>9120</t>
  </si>
  <si>
    <t>LOUBENS</t>
  </si>
  <si>
    <t>GARDIE</t>
  </si>
  <si>
    <t>POINTRE</t>
  </si>
  <si>
    <t>TRINAY</t>
  </si>
  <si>
    <t>VALSEME</t>
  </si>
  <si>
    <t>LAUREDE</t>
  </si>
  <si>
    <t>BOUCONVILLE-SUR-MADT</t>
  </si>
  <si>
    <t>MEZIERES-EN-SANTERRE</t>
  </si>
  <si>
    <t>MONTHERIES</t>
  </si>
  <si>
    <t>SAINTE-EANNE</t>
  </si>
  <si>
    <t>35150</t>
  </si>
  <si>
    <t>CORPS-NUDS</t>
  </si>
  <si>
    <t>88170</t>
  </si>
  <si>
    <t>SONCOURT</t>
  </si>
  <si>
    <t>SECHAULT</t>
  </si>
  <si>
    <t>BOUZERON</t>
  </si>
  <si>
    <t>QUINCIEU</t>
  </si>
  <si>
    <t>PIERREMANDE</t>
  </si>
  <si>
    <t>VIGUERON</t>
  </si>
  <si>
    <t>TONQUEDEC</t>
  </si>
  <si>
    <t>LUCENAY</t>
  </si>
  <si>
    <t>DENTING</t>
  </si>
  <si>
    <t>QUINS</t>
  </si>
  <si>
    <t>54790</t>
  </si>
  <si>
    <t>MANCIEULLES</t>
  </si>
  <si>
    <t>29150</t>
  </si>
  <si>
    <t>DINEAULT</t>
  </si>
  <si>
    <t>CUGES-LES-PINS</t>
  </si>
  <si>
    <t>VAUCLUSE</t>
  </si>
  <si>
    <t>LUSSAC</t>
  </si>
  <si>
    <t>37370</t>
  </si>
  <si>
    <t>VILLEBOURG</t>
  </si>
  <si>
    <t>CELLES-SUR-DUROLLE</t>
  </si>
  <si>
    <t>FRESNE-L'ARCHEVEQUE</t>
  </si>
  <si>
    <t>BELLEVILLE</t>
  </si>
  <si>
    <t>LANDES-VIEILLES-ET-NEUVES</t>
  </si>
  <si>
    <t>PUITS-ET-NUISEMENT</t>
  </si>
  <si>
    <t>ETRECHET</t>
  </si>
  <si>
    <t>FORS</t>
  </si>
  <si>
    <t>ESCONDEAUX</t>
  </si>
  <si>
    <t>ATTILLY</t>
  </si>
  <si>
    <t>NEUGARTHEIM-ITTLENHEIM</t>
  </si>
  <si>
    <t>95470</t>
  </si>
  <si>
    <t>VEMARS</t>
  </si>
  <si>
    <t>35430</t>
  </si>
  <si>
    <t>LA VILLE-ES-NONAIS</t>
  </si>
  <si>
    <t>SAINT-IGNY-DE-ROCHE</t>
  </si>
  <si>
    <t>50270</t>
  </si>
  <si>
    <t>SENOVILLE</t>
  </si>
  <si>
    <t>OZENX-MONTESTRUCQ</t>
  </si>
  <si>
    <t>VALCANVILLE</t>
  </si>
  <si>
    <t>TROUSSURES</t>
  </si>
  <si>
    <t>LE SOULIE</t>
  </si>
  <si>
    <t>FEUILLERES</t>
  </si>
  <si>
    <t>MARQUAY</t>
  </si>
  <si>
    <t>AISEREY</t>
  </si>
  <si>
    <t>QUILY</t>
  </si>
  <si>
    <t>CASSEUIL</t>
  </si>
  <si>
    <t>71880</t>
  </si>
  <si>
    <t>CHATENOY-LE-ROYAL</t>
  </si>
  <si>
    <t>GANDELAIN</t>
  </si>
  <si>
    <t>59230</t>
  </si>
  <si>
    <t>CHATEAU-L'ABBAYE</t>
  </si>
  <si>
    <t>VERRIERES-DE-JOUX</t>
  </si>
  <si>
    <t>45190</t>
  </si>
  <si>
    <t>BEAUGENCY</t>
  </si>
  <si>
    <t>LES AGEUX</t>
  </si>
  <si>
    <t>73610</t>
  </si>
  <si>
    <t>LEPIN-LE-LAC</t>
  </si>
  <si>
    <t>77310</t>
  </si>
  <si>
    <t>SAINT-FARGEAU-PONTHIERRY</t>
  </si>
  <si>
    <t>RIMBOVAL</t>
  </si>
  <si>
    <t>SAINT-LAURENT-DE-CONDEL</t>
  </si>
  <si>
    <t>59198</t>
  </si>
  <si>
    <t>HASPRES</t>
  </si>
  <si>
    <t>DAMPIERRE-EN-CROT</t>
  </si>
  <si>
    <t>ANDELARROT</t>
  </si>
  <si>
    <t>60270</t>
  </si>
  <si>
    <t>GOUVIEUX</t>
  </si>
  <si>
    <t>95340</t>
  </si>
  <si>
    <t>PERSAN</t>
  </si>
  <si>
    <t>59580</t>
  </si>
  <si>
    <t>EMERCHICOURT</t>
  </si>
  <si>
    <t>DOIZIEUX</t>
  </si>
  <si>
    <t>CURGY</t>
  </si>
  <si>
    <t>SAINT-PAUL-D'UZORE</t>
  </si>
  <si>
    <t>MAMIROLLE</t>
  </si>
  <si>
    <t>CAZAUX-FRECHET-ANERAN-CAMORS</t>
  </si>
  <si>
    <t>85540</t>
  </si>
  <si>
    <t>CURZON</t>
  </si>
  <si>
    <t>86800</t>
  </si>
  <si>
    <t>SAVIGNY-LEVESCAULT</t>
  </si>
  <si>
    <t>SIORAC-DE-RIBERAC</t>
  </si>
  <si>
    <t>81540</t>
  </si>
  <si>
    <t>12100</t>
  </si>
  <si>
    <t>LA ROQUE-SAINTE-MARGUERITE</t>
  </si>
  <si>
    <t>32480</t>
  </si>
  <si>
    <t>POUY-ROQUELAURE</t>
  </si>
  <si>
    <t>69790</t>
  </si>
  <si>
    <t>AZOLETTE</t>
  </si>
  <si>
    <t>11350</t>
  </si>
  <si>
    <t>PADERN</t>
  </si>
  <si>
    <t>SOMMESOUS</t>
  </si>
  <si>
    <t>SAINT-CESAIRE-DE-GAUZIGNAN</t>
  </si>
  <si>
    <t>EUILLY-ET-LOMBUT</t>
  </si>
  <si>
    <t>SAINTE-CROIX-SUR-MER</t>
  </si>
  <si>
    <t>CASTILLON (CANTON D'ARTHEZ-DE-BEARN)</t>
  </si>
  <si>
    <t>DIZY</t>
  </si>
  <si>
    <t>LES BORDES-SUR-LEZ</t>
  </si>
  <si>
    <t>TAILLEBOURG</t>
  </si>
  <si>
    <t>BELLEFONTAINE</t>
  </si>
  <si>
    <t>GENOUILLAC</t>
  </si>
  <si>
    <t>50160</t>
  </si>
  <si>
    <t>GUILBERVILLE</t>
  </si>
  <si>
    <t>FRESNOY-LE-LUAT</t>
  </si>
  <si>
    <t>62660</t>
  </si>
  <si>
    <t>BEUVRY</t>
  </si>
  <si>
    <t>MALBOSC</t>
  </si>
  <si>
    <t>SAINT-GERMER-DE-FLY</t>
  </si>
  <si>
    <t>LIGNY-SAINT-FLOCHEL</t>
  </si>
  <si>
    <t>10800</t>
  </si>
  <si>
    <t>ROUILLY-SAINT-LOUP</t>
  </si>
  <si>
    <t>MONTGUILLON</t>
  </si>
  <si>
    <t>MONT</t>
  </si>
  <si>
    <t>BATTIGNY</t>
  </si>
  <si>
    <t>SAINT-CIERS-DU-TAILLON</t>
  </si>
  <si>
    <t>BONNAC</t>
  </si>
  <si>
    <t>MAGNY-DANIGON</t>
  </si>
  <si>
    <t>LOUPERSHOUSE</t>
  </si>
  <si>
    <t>49540</t>
  </si>
  <si>
    <t>MARTIGNE-BRIAND</t>
  </si>
  <si>
    <t>LUCHE-PRINGE</t>
  </si>
  <si>
    <t>BRAY-SAINT-CHRISTOPHE</t>
  </si>
  <si>
    <t>RUPT-DEVANT-SAINT-MIHIEL</t>
  </si>
  <si>
    <t>BLAISY</t>
  </si>
  <si>
    <t>51360</t>
  </si>
  <si>
    <t>PRUNAY</t>
  </si>
  <si>
    <t>11320</t>
  </si>
  <si>
    <t>MONTFERRAND</t>
  </si>
  <si>
    <t>3170</t>
  </si>
  <si>
    <t>BEZENET</t>
  </si>
  <si>
    <t>30730</t>
  </si>
  <si>
    <t>GAJAN</t>
  </si>
  <si>
    <t>34360</t>
  </si>
  <si>
    <t>ASSIGNAN</t>
  </si>
  <si>
    <t>97220</t>
  </si>
  <si>
    <t>LA TRINITE</t>
  </si>
  <si>
    <t>POURNOY-LA-GRASSE</t>
  </si>
  <si>
    <t>FRESPECH</t>
  </si>
  <si>
    <t>LES EPARRES</t>
  </si>
  <si>
    <t>COUDEVILLE-SUR-MER</t>
  </si>
  <si>
    <t>BRACHES</t>
  </si>
  <si>
    <t>DOUDEAUVILLE-EN-VEXIN</t>
  </si>
  <si>
    <t>37510</t>
  </si>
  <si>
    <t>SAINT-GENOUPH</t>
  </si>
  <si>
    <t>80600</t>
  </si>
  <si>
    <t>LUCHEUX</t>
  </si>
  <si>
    <t>53160</t>
  </si>
  <si>
    <t>IZE</t>
  </si>
  <si>
    <t>BOESSES</t>
  </si>
  <si>
    <t>72360</t>
  </si>
  <si>
    <t>MAYET</t>
  </si>
  <si>
    <t>LE BREUIL-SUR-COUZE</t>
  </si>
  <si>
    <t>LAPERRIERE-SUR-SAONE</t>
  </si>
  <si>
    <t>SALLES-D'ANGLES</t>
  </si>
  <si>
    <t>NEHOU</t>
  </si>
  <si>
    <t>MORTEFONTAINE</t>
  </si>
  <si>
    <t>BASLIEUX-SOUS-CHATILLON</t>
  </si>
  <si>
    <t>88480</t>
  </si>
  <si>
    <t>MONTEREAU-FAULT-YONNE</t>
  </si>
  <si>
    <t>GAUJAC</t>
  </si>
  <si>
    <t>39170</t>
  </si>
  <si>
    <t>RAVILLOLES</t>
  </si>
  <si>
    <t>BEAUMONT-DE-LOMAGNE</t>
  </si>
  <si>
    <t>63200</t>
  </si>
  <si>
    <t>CELLULE</t>
  </si>
  <si>
    <t>10410</t>
  </si>
  <si>
    <t>SAINT-PARRES-AUX-TERTRES</t>
  </si>
  <si>
    <t>71310</t>
  </si>
  <si>
    <t>MONTJAY</t>
  </si>
  <si>
    <t>BERENGEVILLE-LA-CAMPAGNE</t>
  </si>
  <si>
    <t>BRAGEAC</t>
  </si>
  <si>
    <t>1370</t>
  </si>
  <si>
    <t>PRESSIAT</t>
  </si>
  <si>
    <t>SAINT-HILAIRE-LE-LIERRU</t>
  </si>
  <si>
    <t>PREVERANGES</t>
  </si>
  <si>
    <t>LA CHAPELLE-HEULIN</t>
  </si>
  <si>
    <t>61140</t>
  </si>
  <si>
    <t>BEAULANDAIS</t>
  </si>
  <si>
    <t>BARVILLE</t>
  </si>
  <si>
    <t>DANNEVOUX</t>
  </si>
  <si>
    <t>TOURY-LURCY</t>
  </si>
  <si>
    <t>DOMFAING</t>
  </si>
  <si>
    <t>LE CHAMP-DE-LA-PIERRE</t>
  </si>
  <si>
    <t>MAREUIL-LE-PORT</t>
  </si>
  <si>
    <t>SAINT-SULPICE-DE-GUILLERAGUES</t>
  </si>
  <si>
    <t>LEDINGHEM</t>
  </si>
  <si>
    <t>KRAUTWILLER</t>
  </si>
  <si>
    <t>23400</t>
  </si>
  <si>
    <t>BOSMOREAU-LES-MINES</t>
  </si>
  <si>
    <t>57930</t>
  </si>
  <si>
    <t>FENETRANGE</t>
  </si>
  <si>
    <t>SAINT-COULITZ</t>
  </si>
  <si>
    <t>CHANAT-LA-MOUTEYRE</t>
  </si>
  <si>
    <t>59554</t>
  </si>
  <si>
    <t>RAILLENCOURT-SAINTE-OLLE</t>
  </si>
  <si>
    <t>RENAUCOURT</t>
  </si>
  <si>
    <t>HERLEVILLE</t>
  </si>
  <si>
    <t>BOURG-CHARENTE</t>
  </si>
  <si>
    <t>MONTVIETTE</t>
  </si>
  <si>
    <t>9000</t>
  </si>
  <si>
    <t>SAINT-PAUL-DE-JARRAT</t>
  </si>
  <si>
    <t>SAINT-GINGOLPH</t>
  </si>
  <si>
    <t>MONT-SAINT-VINCENT</t>
  </si>
  <si>
    <t>LODDES</t>
  </si>
  <si>
    <t>CONDE</t>
  </si>
  <si>
    <t>HESSE</t>
  </si>
  <si>
    <t>KAPPELKINGER</t>
  </si>
  <si>
    <t>BENY</t>
  </si>
  <si>
    <t>KERMOROC'H</t>
  </si>
  <si>
    <t>25400</t>
  </si>
  <si>
    <t>TAILLECOURT</t>
  </si>
  <si>
    <t>ALISSAS</t>
  </si>
  <si>
    <t>IVOY-LE-PRE</t>
  </si>
  <si>
    <t>35380</t>
  </si>
  <si>
    <t>TREFFENDEL</t>
  </si>
  <si>
    <t>83470</t>
  </si>
  <si>
    <t>SEILLONS-SOURCE-D'ARGENS</t>
  </si>
  <si>
    <t>LES EPESSES</t>
  </si>
  <si>
    <t>2A200</t>
  </si>
  <si>
    <t>PALNECA</t>
  </si>
  <si>
    <t>ANCOURT</t>
  </si>
  <si>
    <t>LIGNIERES-DE-TOURAINE</t>
  </si>
  <si>
    <t>SENNEVOY-LE-BAS</t>
  </si>
  <si>
    <t>11800</t>
  </si>
  <si>
    <t>BARBAIRA</t>
  </si>
  <si>
    <t>97470</t>
  </si>
  <si>
    <t>['REUNION']</t>
  </si>
  <si>
    <t>AUDIGNIES</t>
  </si>
  <si>
    <t>37320</t>
  </si>
  <si>
    <t>CORMERY</t>
  </si>
  <si>
    <t>VENISE</t>
  </si>
  <si>
    <t>54490</t>
  </si>
  <si>
    <t>MURVILLE</t>
  </si>
  <si>
    <t>MARTRES</t>
  </si>
  <si>
    <t>SAINT-LYS</t>
  </si>
  <si>
    <t>SAINT-JEAN-AUX-AMOGNES</t>
  </si>
  <si>
    <t>85320</t>
  </si>
  <si>
    <t>SAINTE-PEXINE</t>
  </si>
  <si>
    <t>LA CHAPELLE-D'ANGILLON</t>
  </si>
  <si>
    <t>69440</t>
  </si>
  <si>
    <t>SAINT-ANDRE-LA-COTE</t>
  </si>
  <si>
    <t>23300</t>
  </si>
  <si>
    <t>NOTH</t>
  </si>
  <si>
    <t>27480</t>
  </si>
  <si>
    <t>LYONS-LA-FORET</t>
  </si>
  <si>
    <t>63700</t>
  </si>
  <si>
    <t>ARS-LES-FAVETS</t>
  </si>
  <si>
    <t>54120</t>
  </si>
  <si>
    <t>PETTONVILLE</t>
  </si>
  <si>
    <t>VISSEC</t>
  </si>
  <si>
    <t>89660</t>
  </si>
  <si>
    <t>CHAMOUX</t>
  </si>
  <si>
    <t>GILLY-SUR-LOIRE</t>
  </si>
  <si>
    <t>84510</t>
  </si>
  <si>
    <t>CAUMONT-SUR-DURANCE</t>
  </si>
  <si>
    <t>MARESCHES</t>
  </si>
  <si>
    <t>SAUSSEY</t>
  </si>
  <si>
    <t>VERNIX</t>
  </si>
  <si>
    <t>DAMBACH</t>
  </si>
  <si>
    <t>SAINTE-MARGUERITE</t>
  </si>
  <si>
    <t>VILLEMONTOIRE</t>
  </si>
  <si>
    <t>VILLIERS-EN-LIEU</t>
  </si>
  <si>
    <t>SAINT-PIERRE-SUR-DROPT</t>
  </si>
  <si>
    <t>TURQUESTEIN-BLANCRUPT</t>
  </si>
  <si>
    <t>54620</t>
  </si>
  <si>
    <t>BASLIEUX</t>
  </si>
  <si>
    <t>FECHE-L'EGLISE</t>
  </si>
  <si>
    <t>MONTCLERA</t>
  </si>
  <si>
    <t>31790</t>
  </si>
  <si>
    <t>SAINT-JORY</t>
  </si>
  <si>
    <t>BAVANS</t>
  </si>
  <si>
    <t>30110</t>
  </si>
  <si>
    <t>SOUSTELLE</t>
  </si>
  <si>
    <t>8140</t>
  </si>
  <si>
    <t>FRANCHEVAL</t>
  </si>
  <si>
    <t>SAINT-JULIEN-DE-BRIOLA</t>
  </si>
  <si>
    <t>CANNET</t>
  </si>
  <si>
    <t>LUVIGNY</t>
  </si>
  <si>
    <t>XAMMES</t>
  </si>
  <si>
    <t>DAMERY</t>
  </si>
  <si>
    <t>20275</t>
  </si>
  <si>
    <t>2B107</t>
  </si>
  <si>
    <t>ERSA</t>
  </si>
  <si>
    <t>84840</t>
  </si>
  <si>
    <t>LAPALUD</t>
  </si>
  <si>
    <t>COEUVRES-ET-VALSERY</t>
  </si>
  <si>
    <t>7000</t>
  </si>
  <si>
    <t>SAINT-PRIEST</t>
  </si>
  <si>
    <t>SAINT-JEAN-D'ARDIERES</t>
  </si>
  <si>
    <t>35340</t>
  </si>
  <si>
    <t>LIFFRE</t>
  </si>
  <si>
    <t>51260</t>
  </si>
  <si>
    <t>LA CHAPELLE-LASSON</t>
  </si>
  <si>
    <t>LA COMBE-DE-LANCEY</t>
  </si>
  <si>
    <t>57980</t>
  </si>
  <si>
    <t>METZING</t>
  </si>
  <si>
    <t>VILLEBEON</t>
  </si>
  <si>
    <t>POINSON-LES-NOGENT</t>
  </si>
  <si>
    <t>59330</t>
  </si>
  <si>
    <t>ECLAIBES</t>
  </si>
  <si>
    <t>35460</t>
  </si>
  <si>
    <t>SAINT-OUEN-LA-ROUERIE</t>
  </si>
  <si>
    <t>BEAUTHEIL</t>
  </si>
  <si>
    <t>6310</t>
  </si>
  <si>
    <t>BEAULIEU-SUR-MER</t>
  </si>
  <si>
    <t>90200</t>
  </si>
  <si>
    <t>AUXELLES-HAUT</t>
  </si>
  <si>
    <t>GROZON</t>
  </si>
  <si>
    <t>8260</t>
  </si>
  <si>
    <t>BLOMBAY</t>
  </si>
  <si>
    <t>GENNETEIL</t>
  </si>
  <si>
    <t>82290</t>
  </si>
  <si>
    <t>BARRY-D'ISLEMADE</t>
  </si>
  <si>
    <t>73530</t>
  </si>
  <si>
    <t>SAINT-JEAN-D'ARVES</t>
  </si>
  <si>
    <t>FOUQUEREUIL</t>
  </si>
  <si>
    <t>89360</t>
  </si>
  <si>
    <t>CARISEY</t>
  </si>
  <si>
    <t>97180</t>
  </si>
  <si>
    <t>SAINTE-ANNE</t>
  </si>
  <si>
    <t>78112</t>
  </si>
  <si>
    <t>FOURQUEUX</t>
  </si>
  <si>
    <t>83640</t>
  </si>
  <si>
    <t>SAINT-ZACHARIE</t>
  </si>
  <si>
    <t>MULSANNE</t>
  </si>
  <si>
    <t>ELZANGE</t>
  </si>
  <si>
    <t>HADIGNY-LES-VERRIERES</t>
  </si>
  <si>
    <t>AVIRE</t>
  </si>
  <si>
    <t>SAINT-ROMAIN-DE-SURIEU</t>
  </si>
  <si>
    <t>VERAZA</t>
  </si>
  <si>
    <t>49800</t>
  </si>
  <si>
    <t>TRELAZE</t>
  </si>
  <si>
    <t>12300</t>
  </si>
  <si>
    <t>SAINT-SANTIN</t>
  </si>
  <si>
    <t>REICHSFELD</t>
  </si>
  <si>
    <t>TAUPONT</t>
  </si>
  <si>
    <t>SAINT-MYON</t>
  </si>
  <si>
    <t>44210</t>
  </si>
  <si>
    <t>PORNIC</t>
  </si>
  <si>
    <t>38690</t>
  </si>
  <si>
    <t>LONGECHENAL</t>
  </si>
  <si>
    <t>34630</t>
  </si>
  <si>
    <t>SAINT-THIBERY</t>
  </si>
  <si>
    <t>44420</t>
  </si>
  <si>
    <t>PIRIAC-SUR-MER</t>
  </si>
  <si>
    <t>47180</t>
  </si>
  <si>
    <t>LAGUPIE</t>
  </si>
  <si>
    <t>ARNAC-SUR-DOURDOU</t>
  </si>
  <si>
    <t>78320</t>
  </si>
  <si>
    <t>LE MESNIL-SAINT-DENIS</t>
  </si>
  <si>
    <t>TULLY</t>
  </si>
  <si>
    <t>LE VANNEAU-IRLEAU</t>
  </si>
  <si>
    <t>LIEBENSWILLER</t>
  </si>
  <si>
    <t>RUGNY</t>
  </si>
  <si>
    <t>37300</t>
  </si>
  <si>
    <t>JOUE-LES-TOURS</t>
  </si>
  <si>
    <t>JUILLY</t>
  </si>
  <si>
    <t>VILLERS-FARLAY</t>
  </si>
  <si>
    <t>92140</t>
  </si>
  <si>
    <t>CLAMART</t>
  </si>
  <si>
    <t>TRESNAY</t>
  </si>
  <si>
    <t>40230</t>
  </si>
  <si>
    <t>SAUBION</t>
  </si>
  <si>
    <t>58230</t>
  </si>
  <si>
    <t>MOUX-EN-MORVAN</t>
  </si>
  <si>
    <t>FRONTIGNAN-DE-COMMINGES</t>
  </si>
  <si>
    <t>RICOURT</t>
  </si>
  <si>
    <t>CHAUCHIGNY</t>
  </si>
  <si>
    <t>RAIZEUX</t>
  </si>
  <si>
    <t>CONQUEYRAC</t>
  </si>
  <si>
    <t>GORRE</t>
  </si>
  <si>
    <t>SERAIN</t>
  </si>
  <si>
    <t>73250</t>
  </si>
  <si>
    <t>SAINT-JEAN-DE-LA-PORTE</t>
  </si>
  <si>
    <t>REVILLE</t>
  </si>
  <si>
    <t>VITRY-LACHE</t>
  </si>
  <si>
    <t>56490</t>
  </si>
  <si>
    <t>SAINT-MALO-DES-TROIS-FONTAINES</t>
  </si>
  <si>
    <t>AIZIER</t>
  </si>
  <si>
    <t>MONPLAISANT</t>
  </si>
  <si>
    <t>63210</t>
  </si>
  <si>
    <t>VERNINES</t>
  </si>
  <si>
    <t>57870</t>
  </si>
  <si>
    <t>HOMMERT</t>
  </si>
  <si>
    <t>69530</t>
  </si>
  <si>
    <t>ORLIENAS</t>
  </si>
  <si>
    <t>CHANTELLE</t>
  </si>
  <si>
    <t>PRECIEUX</t>
  </si>
  <si>
    <t>35390</t>
  </si>
  <si>
    <t>SAINTE-ANNE-SUR-VILAINE</t>
  </si>
  <si>
    <t>SAINT-MEARD-DE-DRONE</t>
  </si>
  <si>
    <t>62190</t>
  </si>
  <si>
    <t>LIERES</t>
  </si>
  <si>
    <t>44370</t>
  </si>
  <si>
    <t>LA ROUXIERE</t>
  </si>
  <si>
    <t>MOUSSEY</t>
  </si>
  <si>
    <t>GARGAS</t>
  </si>
  <si>
    <t>SAINT-ROMAIN-DE-COLBOSC</t>
  </si>
  <si>
    <t>VALLON-PONT-D'ARC</t>
  </si>
  <si>
    <t>DARNETAL</t>
  </si>
  <si>
    <t>ASNIERES-LA-GIRAUD</t>
  </si>
  <si>
    <t>84210</t>
  </si>
  <si>
    <t>ALTHEN-DES-PALUDS</t>
  </si>
  <si>
    <t>CHENEVIERES</t>
  </si>
  <si>
    <t>PLAIZAC</t>
  </si>
  <si>
    <t>17610</t>
  </si>
  <si>
    <t>CHERAC</t>
  </si>
  <si>
    <t>77111</t>
  </si>
  <si>
    <t>SOLERS</t>
  </si>
  <si>
    <t>SUZANNECOURT</t>
  </si>
  <si>
    <t>32150</t>
  </si>
  <si>
    <t>MARGUESTAU</t>
  </si>
  <si>
    <t>IZENAVE</t>
  </si>
  <si>
    <t>71520</t>
  </si>
  <si>
    <t>CLERMAIN</t>
  </si>
  <si>
    <t>BOVES</t>
  </si>
  <si>
    <t>VERGIGNY</t>
  </si>
  <si>
    <t>BEAULENCOURT</t>
  </si>
  <si>
    <t>OUZOUER-SOUS-BELLEGARDE</t>
  </si>
  <si>
    <t>DEVESSET</t>
  </si>
  <si>
    <t>27170</t>
  </si>
  <si>
    <t>ROMILLY-LA-PUTHENAYE</t>
  </si>
  <si>
    <t>SOLOMIAC</t>
  </si>
  <si>
    <t>DAIGNAC</t>
  </si>
  <si>
    <t>92120</t>
  </si>
  <si>
    <t>MONTROUGE</t>
  </si>
  <si>
    <t>LIEZ</t>
  </si>
  <si>
    <t>49120</t>
  </si>
  <si>
    <t>CHEMILLE</t>
  </si>
  <si>
    <t>CINTRAY</t>
  </si>
  <si>
    <t>PUYBEGON</t>
  </si>
  <si>
    <t>LE TRUEL</t>
  </si>
  <si>
    <t>SAINT-ELOY</t>
  </si>
  <si>
    <t>68100/68200</t>
  </si>
  <si>
    <t>MULHOUSE</t>
  </si>
  <si>
    <t>47480</t>
  </si>
  <si>
    <t>BAJAMONT</t>
  </si>
  <si>
    <t>MONTLHERY</t>
  </si>
  <si>
    <t>ROCOURT-SAINT-MARTIN</t>
  </si>
  <si>
    <t>22430</t>
  </si>
  <si>
    <t>ERQUY</t>
  </si>
  <si>
    <t>40180</t>
  </si>
  <si>
    <t>RIVIERE-SAAS-ET-GOURBY</t>
  </si>
  <si>
    <t>59130</t>
  </si>
  <si>
    <t>LAMBERSART</t>
  </si>
  <si>
    <t>BRAIN</t>
  </si>
  <si>
    <t>TINCQUES</t>
  </si>
  <si>
    <t>VIEUX-MAREUIL</t>
  </si>
  <si>
    <t>CAMPAGNE-SUR-ARIZE</t>
  </si>
  <si>
    <t>MONTLAUR</t>
  </si>
  <si>
    <t>FOURMETOT</t>
  </si>
  <si>
    <t>CHANOZ-CHATENAY</t>
  </si>
  <si>
    <t>SAINT-GEORGES-DU-VIEVRE</t>
  </si>
  <si>
    <t>56480</t>
  </si>
  <si>
    <t>SAINT-AIGNAN</t>
  </si>
  <si>
    <t>74890</t>
  </si>
  <si>
    <t>LULLY</t>
  </si>
  <si>
    <t>BUREY</t>
  </si>
  <si>
    <t>BEAURAIN</t>
  </si>
  <si>
    <t>62136</t>
  </si>
  <si>
    <t>PASSY-SUR-MARNE</t>
  </si>
  <si>
    <t>M'TSANGAMOUJI</t>
  </si>
  <si>
    <t>SEPT-MEULES</t>
  </si>
  <si>
    <t>MONT-SAINT-MARTIN</t>
  </si>
  <si>
    <t>SAILLY</t>
  </si>
  <si>
    <t>CELSOY</t>
  </si>
  <si>
    <t>ANCRETTEVILLE-SUR-MER</t>
  </si>
  <si>
    <t>MARTEL</t>
  </si>
  <si>
    <t>PRADES-SALARS</t>
  </si>
  <si>
    <t>VIGEVILLE</t>
  </si>
  <si>
    <t>93100</t>
  </si>
  <si>
    <t>60750</t>
  </si>
  <si>
    <t>CHOISY-AU-BAC</t>
  </si>
  <si>
    <t>69620</t>
  </si>
  <si>
    <t>SAINTE-PAULE</t>
  </si>
  <si>
    <t>24370</t>
  </si>
  <si>
    <t>SIMEYROLS</t>
  </si>
  <si>
    <t>BELLEROCHE</t>
  </si>
  <si>
    <t>BAZANCOURT</t>
  </si>
  <si>
    <t>COINGT</t>
  </si>
  <si>
    <t>VERNY</t>
  </si>
  <si>
    <t>DOUILLET</t>
  </si>
  <si>
    <t>PADOUX</t>
  </si>
  <si>
    <t>BELEYMAS</t>
  </si>
  <si>
    <t>LE MESNIL-GILBERT</t>
  </si>
  <si>
    <t>PLOTTES</t>
  </si>
  <si>
    <t>HOULGATE</t>
  </si>
  <si>
    <t>VROIL</t>
  </si>
  <si>
    <t>89460</t>
  </si>
  <si>
    <t>ACCOLAY</t>
  </si>
  <si>
    <t>86300</t>
  </si>
  <si>
    <t>FLEIX</t>
  </si>
  <si>
    <t>23160</t>
  </si>
  <si>
    <t>BAZELAT</t>
  </si>
  <si>
    <t>CLAIS</t>
  </si>
  <si>
    <t>MARTAGNY</t>
  </si>
  <si>
    <t>NOYELLES-SUR-MER</t>
  </si>
  <si>
    <t>SAINT-MARTIN-DE-MACON</t>
  </si>
  <si>
    <t>VOSBLES</t>
  </si>
  <si>
    <t>LOUVIE-JUZON</t>
  </si>
  <si>
    <t>ANDECHY</t>
  </si>
  <si>
    <t>CHAUDENEY-SUR-MOSELLE</t>
  </si>
  <si>
    <t>BIGNAC</t>
  </si>
  <si>
    <t>CORDESSE</t>
  </si>
  <si>
    <t>LES LOGES-MARGUERON</t>
  </si>
  <si>
    <t>VILLEY-SUR-TILLE</t>
  </si>
  <si>
    <t>53290</t>
  </si>
  <si>
    <t>SAINT-LAURENT-DES-MORTIERS</t>
  </si>
  <si>
    <t>BOURGNEUF-EN-MAUGES</t>
  </si>
  <si>
    <t>FULTOT</t>
  </si>
  <si>
    <t>37540</t>
  </si>
  <si>
    <t>SAINT-CYR-SUR-LOIRE</t>
  </si>
  <si>
    <t>18310</t>
  </si>
  <si>
    <t>DAMPIERRE-EN-GRACAY</t>
  </si>
  <si>
    <t>CHATELDON</t>
  </si>
  <si>
    <t>SIMACOURBE</t>
  </si>
  <si>
    <t>BOURIEGE</t>
  </si>
  <si>
    <t>HUILLY-SUR-SEILLE</t>
  </si>
  <si>
    <t>HAPPENCOURT</t>
  </si>
  <si>
    <t>46400</t>
  </si>
  <si>
    <t>LADIRAT</t>
  </si>
  <si>
    <t>BAZIEGE</t>
  </si>
  <si>
    <t>91130</t>
  </si>
  <si>
    <t>RIS-ORANGIS</t>
  </si>
  <si>
    <t>77270</t>
  </si>
  <si>
    <t>VILLEPARISIS</t>
  </si>
  <si>
    <t>6710</t>
  </si>
  <si>
    <t>MASSOINS</t>
  </si>
  <si>
    <t>AUBERIVE</t>
  </si>
  <si>
    <t>26140</t>
  </si>
  <si>
    <t>ANDANCETTE</t>
  </si>
  <si>
    <t>GUERIN</t>
  </si>
  <si>
    <t>77114</t>
  </si>
  <si>
    <t>HERME</t>
  </si>
  <si>
    <t>LE POET-LAVAL</t>
  </si>
  <si>
    <t>ESTIRAC</t>
  </si>
  <si>
    <t>CLANS</t>
  </si>
  <si>
    <t>LA GARDE</t>
  </si>
  <si>
    <t>VILLERS-SUR-FERE</t>
  </si>
  <si>
    <t>57880</t>
  </si>
  <si>
    <t>GUERTING</t>
  </si>
  <si>
    <t>95380</t>
  </si>
  <si>
    <t>CHENNEVIERES-LES-LOUVRES</t>
  </si>
  <si>
    <t>62640</t>
  </si>
  <si>
    <t>MONTIGNY-EN-GOHELLE</t>
  </si>
  <si>
    <t>LASSALES</t>
  </si>
  <si>
    <t>70240</t>
  </si>
  <si>
    <t>CHATENOIS</t>
  </si>
  <si>
    <t>56670</t>
  </si>
  <si>
    <t>RIANTEC</t>
  </si>
  <si>
    <t>17870</t>
  </si>
  <si>
    <t>LOIRE-LES-MARAIS</t>
  </si>
  <si>
    <t>PRESSY-SOUS-DONDIN</t>
  </si>
  <si>
    <t>BAULNY</t>
  </si>
  <si>
    <t>SALIGNAC</t>
  </si>
  <si>
    <t>BABOEUF</t>
  </si>
  <si>
    <t>60530</t>
  </si>
  <si>
    <t>CROUY-EN-THELLE</t>
  </si>
  <si>
    <t>SIGNEVILLE</t>
  </si>
  <si>
    <t>BRISSARTHE</t>
  </si>
  <si>
    <t>ABOEN</t>
  </si>
  <si>
    <t>CANCON</t>
  </si>
  <si>
    <t>POLASTRON</t>
  </si>
  <si>
    <t>60140</t>
  </si>
  <si>
    <t>ROSOY</t>
  </si>
  <si>
    <t>THONNANCE-LES-MOULINS</t>
  </si>
  <si>
    <t>COURCEMONT</t>
  </si>
  <si>
    <t>20217</t>
  </si>
  <si>
    <t>2B058</t>
  </si>
  <si>
    <t>CANARI</t>
  </si>
  <si>
    <t>HIEVILLE</t>
  </si>
  <si>
    <t>16560</t>
  </si>
  <si>
    <t>COULGENS</t>
  </si>
  <si>
    <t>59820</t>
  </si>
  <si>
    <t>SAINT-GEORGES-SUR-L'AA</t>
  </si>
  <si>
    <t>CHAMP-SUR-LAYON</t>
  </si>
  <si>
    <t>45160</t>
  </si>
  <si>
    <t>VARNEVILLE</t>
  </si>
  <si>
    <t>SAINT-VINCENT-DE-PERTIGNAS</t>
  </si>
  <si>
    <t>SOULAURES</t>
  </si>
  <si>
    <t>44780</t>
  </si>
  <si>
    <t>MISSILLAC</t>
  </si>
  <si>
    <t>YSSANDON</t>
  </si>
  <si>
    <t>COUESMES-VAUCE</t>
  </si>
  <si>
    <t>85260</t>
  </si>
  <si>
    <t>SAINT-ANDRE-TREIZE-VOIES</t>
  </si>
  <si>
    <t>OIGNY</t>
  </si>
  <si>
    <t>91250</t>
  </si>
  <si>
    <t>TIGERY</t>
  </si>
  <si>
    <t>LOISIN</t>
  </si>
  <si>
    <t>55210</t>
  </si>
  <si>
    <t>AVILLERS-SAINTE-CROIX</t>
  </si>
  <si>
    <t>25150</t>
  </si>
  <si>
    <t>DAMBELIN</t>
  </si>
  <si>
    <t>86700</t>
  </si>
  <si>
    <t>POILLY-SUR-SEREIN</t>
  </si>
  <si>
    <t>THOSTE</t>
  </si>
  <si>
    <t>DURBAN-SUR-ARIZE</t>
  </si>
  <si>
    <t>40190</t>
  </si>
  <si>
    <t>PUJO-LE-PLAN</t>
  </si>
  <si>
    <t>BUS-LES-ARTOIS</t>
  </si>
  <si>
    <t>SAINT-PALAIS-DE-NEGRIGNAC</t>
  </si>
  <si>
    <t>BANYULS-DELS-ASPRES</t>
  </si>
  <si>
    <t>64110</t>
  </si>
  <si>
    <t>JURANCON</t>
  </si>
  <si>
    <t>BUXIERES-LES-VILLIERS</t>
  </si>
  <si>
    <t>VAUCELLES</t>
  </si>
  <si>
    <t>61150</t>
  </si>
  <si>
    <t>RANES</t>
  </si>
  <si>
    <t>42370</t>
  </si>
  <si>
    <t>SAINT-ALBAN-LES-EAUX</t>
  </si>
  <si>
    <t>MARAST</t>
  </si>
  <si>
    <t>87290</t>
  </si>
  <si>
    <t>RANCON</t>
  </si>
  <si>
    <t>SIGY-EN-BRAY</t>
  </si>
  <si>
    <t>ROUFFY</t>
  </si>
  <si>
    <t>70310</t>
  </si>
  <si>
    <t>SAINTE-MARIE-EN-CHANOIS</t>
  </si>
  <si>
    <t>SAINT-PIERRE-DE-CORMEILLES</t>
  </si>
  <si>
    <t>FLEURY-LA-MONTAGNE</t>
  </si>
  <si>
    <t>MONTDIDIER</t>
  </si>
  <si>
    <t>47500</t>
  </si>
  <si>
    <t>MONSEMPRON-LIBOS</t>
  </si>
  <si>
    <t>SAINT-JACQUES-D'ATTICIEUX</t>
  </si>
  <si>
    <t>62630</t>
  </si>
  <si>
    <t>ETAPLES</t>
  </si>
  <si>
    <t>ARZENC-DE-RANDON</t>
  </si>
  <si>
    <t>LE BOIS-ROBERT</t>
  </si>
  <si>
    <t>AVY</t>
  </si>
  <si>
    <t>RILLY-SUR-LOIRE</t>
  </si>
  <si>
    <t>LUTHENAY-UXELOUP</t>
  </si>
  <si>
    <t>SENAILLY</t>
  </si>
  <si>
    <t>9310</t>
  </si>
  <si>
    <t>LARNAT</t>
  </si>
  <si>
    <t>TRIGUERES</t>
  </si>
  <si>
    <t>SAINT-DENIS-SUR-HUISNE</t>
  </si>
  <si>
    <t>63780</t>
  </si>
  <si>
    <t>QUEUILLE</t>
  </si>
  <si>
    <t>SAINT-MAURICE-SUR-EYGUES</t>
  </si>
  <si>
    <t>AMAGNE</t>
  </si>
  <si>
    <t>ARGAGNON</t>
  </si>
  <si>
    <t>13080/13090/13100/13290/13540</t>
  </si>
  <si>
    <t>AIX-EN-PROVENCE</t>
  </si>
  <si>
    <t>MENETOU-SUR-NAHON</t>
  </si>
  <si>
    <t>MARQUAIX</t>
  </si>
  <si>
    <t>VELLECLAIRE</t>
  </si>
  <si>
    <t>SAINT-BRISSON-SUR-LOIRE</t>
  </si>
  <si>
    <t>SERMAGES</t>
  </si>
  <si>
    <t>CIREY</t>
  </si>
  <si>
    <t>47510</t>
  </si>
  <si>
    <t>FOULAYRONNES</t>
  </si>
  <si>
    <t>BARREME</t>
  </si>
  <si>
    <t>BROUSSE-LE-CHATEAU</t>
  </si>
  <si>
    <t>CUBIERES-SUR-CINOBLE</t>
  </si>
  <si>
    <t>41170</t>
  </si>
  <si>
    <t>SARGE-SUR-BRAYE</t>
  </si>
  <si>
    <t>CHAUVIGNY-DU-PERCHE</t>
  </si>
  <si>
    <t>LAVANS-LES-SAINT-CLAUDE</t>
  </si>
  <si>
    <t>LOUDUN</t>
  </si>
  <si>
    <t>SERRIERES-EN-CHAUTAGNE</t>
  </si>
  <si>
    <t>43450</t>
  </si>
  <si>
    <t>SAINT-ETIENNE-SUR-BLESLE</t>
  </si>
  <si>
    <t>UPAIX</t>
  </si>
  <si>
    <t>SAINT-JACQUES-D'ALIERMONT</t>
  </si>
  <si>
    <t>SAINT-MAURICE-SOUS-LES-COTES</t>
  </si>
  <si>
    <t>GIRAUVOISIN</t>
  </si>
  <si>
    <t>MONTIGNY-MONTFORT</t>
  </si>
  <si>
    <t>TREVIEN</t>
  </si>
  <si>
    <t>ORGAN</t>
  </si>
  <si>
    <t>VILLIERS-VINEUX</t>
  </si>
  <si>
    <t>DUVY</t>
  </si>
  <si>
    <t>BOURGUEBUS</t>
  </si>
  <si>
    <t>PAISY-COSDON</t>
  </si>
  <si>
    <t>RILLY-SAINTE-SYRE</t>
  </si>
  <si>
    <t>CHEILLY-LES-MARANGES</t>
  </si>
  <si>
    <t>MONT-SAINT-PERE</t>
  </si>
  <si>
    <t>SAINT-IGEST</t>
  </si>
  <si>
    <t>BOULOGNE-SUR-GESSE</t>
  </si>
  <si>
    <t>FOREST-L'ABBAYE</t>
  </si>
  <si>
    <t>LA FRESNAYE-SUR-CHEDOUET</t>
  </si>
  <si>
    <t>SAINT-BEAUZILE</t>
  </si>
  <si>
    <t>GIREFONTAINE</t>
  </si>
  <si>
    <t>CARIGNAN</t>
  </si>
  <si>
    <t>23000</t>
  </si>
  <si>
    <t>SAINT-LEGER-LE-GUERETOIS</t>
  </si>
  <si>
    <t>ASSE-LE-BERENGER</t>
  </si>
  <si>
    <t>63310</t>
  </si>
  <si>
    <t>RANDAN</t>
  </si>
  <si>
    <t>MERKWILLER-PECHELBRONN</t>
  </si>
  <si>
    <t>42190</t>
  </si>
  <si>
    <t>CHANDON</t>
  </si>
  <si>
    <t>78930</t>
  </si>
  <si>
    <t>GOUSSONVILLE</t>
  </si>
  <si>
    <t>MONCLEY</t>
  </si>
  <si>
    <t>12000</t>
  </si>
  <si>
    <t>RODEZ</t>
  </si>
  <si>
    <t>CONNAUX</t>
  </si>
  <si>
    <t>CAUNES-MINERVOIS</t>
  </si>
  <si>
    <t>59172</t>
  </si>
  <si>
    <t>ROEULX</t>
  </si>
  <si>
    <t>NOTRE-DAME-DU-PE</t>
  </si>
  <si>
    <t>59282</t>
  </si>
  <si>
    <t>NOYELLES-SUR-SELLE</t>
  </si>
  <si>
    <t>SAINT-MARTIN-DES-NOYERS</t>
  </si>
  <si>
    <t>QUERRE</t>
  </si>
  <si>
    <t>80640</t>
  </si>
  <si>
    <t>AUMONT</t>
  </si>
  <si>
    <t>MONTIPOURET</t>
  </si>
  <si>
    <t>32290</t>
  </si>
  <si>
    <t>BOUZON-GELLENAVE</t>
  </si>
  <si>
    <t>VAZEILLES-LIMANDRE</t>
  </si>
  <si>
    <t>CORRONSAC</t>
  </si>
  <si>
    <t>SAINT-NICOLAS</t>
  </si>
  <si>
    <t>WISSEMBOURG</t>
  </si>
  <si>
    <t>67490</t>
  </si>
  <si>
    <t>ALTENHEIM</t>
  </si>
  <si>
    <t>CEMBOING</t>
  </si>
  <si>
    <t>SAINTE-MARGUERITE-DE-L'AUTEL</t>
  </si>
  <si>
    <t>68330</t>
  </si>
  <si>
    <t>HUNINGUE</t>
  </si>
  <si>
    <t>LUSIGNY</t>
  </si>
  <si>
    <t>SAINT-GERVAIS-DE-VIC</t>
  </si>
  <si>
    <t>48160</t>
  </si>
  <si>
    <t>LE COLLET-DE-DEZE</t>
  </si>
  <si>
    <t>VOUNEUIL-SUR-VIENNE</t>
  </si>
  <si>
    <t>VILLERS-AUX-BOIS</t>
  </si>
  <si>
    <t>CANEHAN</t>
  </si>
  <si>
    <t>BAZEGNEY</t>
  </si>
  <si>
    <t>60200</t>
  </si>
  <si>
    <t>COMPIEGNE</t>
  </si>
  <si>
    <t>SAINT-LAURENT-DE-VEYRES</t>
  </si>
  <si>
    <t>BAINVILLE-AUX-MIROIRS</t>
  </si>
  <si>
    <t>MEYRONNES</t>
  </si>
  <si>
    <t>PELLEFIGUE</t>
  </si>
  <si>
    <t>ANGLUZELLES-ET-COURCELLES</t>
  </si>
  <si>
    <t>AIGNY</t>
  </si>
  <si>
    <t>ANNEOT</t>
  </si>
  <si>
    <t>95880</t>
  </si>
  <si>
    <t>ENGHIEN-LES-BAINS</t>
  </si>
  <si>
    <t>60600</t>
  </si>
  <si>
    <t>ETOUY</t>
  </si>
  <si>
    <t>SADEILLAN</t>
  </si>
  <si>
    <t>DAILLECOURT</t>
  </si>
  <si>
    <t>BOURGOIN-JALLIEU</t>
  </si>
  <si>
    <t>CABANES</t>
  </si>
  <si>
    <t>VENERE</t>
  </si>
  <si>
    <t>BENAIS</t>
  </si>
  <si>
    <t>TREVERAY</t>
  </si>
  <si>
    <t>59450</t>
  </si>
  <si>
    <t>SIN-LE-NOBLE</t>
  </si>
  <si>
    <t>43260</t>
  </si>
  <si>
    <t>MONTUSCLAT</t>
  </si>
  <si>
    <t>28320</t>
  </si>
  <si>
    <t>GALLARDON</t>
  </si>
  <si>
    <t>22290</t>
  </si>
  <si>
    <t>GOMMENEC'H</t>
  </si>
  <si>
    <t>IGNEY</t>
  </si>
  <si>
    <t>MONTBRISON-SUR-LEZ</t>
  </si>
  <si>
    <t>SAINT-VICTOR-L'ABBAYE</t>
  </si>
  <si>
    <t>BERRY-BOUY</t>
  </si>
  <si>
    <t>MONTPEYROUX</t>
  </si>
  <si>
    <t>SERRE-LES-MOULIERES</t>
  </si>
  <si>
    <t>95460</t>
  </si>
  <si>
    <t>EZANVILLE</t>
  </si>
  <si>
    <t>PESSANS</t>
  </si>
  <si>
    <t>ESCOMBRES-ET-LE-CHESNOIS</t>
  </si>
  <si>
    <t>86370</t>
  </si>
  <si>
    <t>MARCAY</t>
  </si>
  <si>
    <t>56370</t>
  </si>
  <si>
    <t>LE TOUR-DU-PARC</t>
  </si>
  <si>
    <t>BERTHENAY</t>
  </si>
  <si>
    <t>31860</t>
  </si>
  <si>
    <t>LABARTHE-SUR-LEZE</t>
  </si>
  <si>
    <t>PLACY-MONTAIGU</t>
  </si>
  <si>
    <t>31120</t>
  </si>
  <si>
    <t>PORTET-SUR-GARONNE</t>
  </si>
  <si>
    <t>PROSNES</t>
  </si>
  <si>
    <t>69670</t>
  </si>
  <si>
    <t>SAINT-LAURENT-DE-VAUX</t>
  </si>
  <si>
    <t>COURQUETAINE</t>
  </si>
  <si>
    <t>62149</t>
  </si>
  <si>
    <t>CUINCHY</t>
  </si>
  <si>
    <t>CASTRIES</t>
  </si>
  <si>
    <t>VERNEUIL</t>
  </si>
  <si>
    <t>SAINT-MAMERT</t>
  </si>
  <si>
    <t>54380</t>
  </si>
  <si>
    <t>GRISCOURT</t>
  </si>
  <si>
    <t>39260</t>
  </si>
  <si>
    <t>MARTIGNA</t>
  </si>
  <si>
    <t>66220</t>
  </si>
  <si>
    <t>VIRA</t>
  </si>
  <si>
    <t>SAINT-LEGER-DE-ROTES</t>
  </si>
  <si>
    <t>FONTAINE-LES-CLERCS</t>
  </si>
  <si>
    <t>CHATILLON-LE-ROI</t>
  </si>
  <si>
    <t>SAVIGNY-SOUS-MALAIN</t>
  </si>
  <si>
    <t>RUBECOURT-ET-LAMECOURT</t>
  </si>
  <si>
    <t>OISSEAU</t>
  </si>
  <si>
    <t>SEUGY</t>
  </si>
  <si>
    <t>PAVANT</t>
  </si>
  <si>
    <t>AYROS-ARBOUIX</t>
  </si>
  <si>
    <t>44980</t>
  </si>
  <si>
    <t>SAINTE-LUCE-SUR-LOIRE</t>
  </si>
  <si>
    <t>SAVIGNARGUES</t>
  </si>
  <si>
    <t>ROUTIER</t>
  </si>
  <si>
    <t>77910</t>
  </si>
  <si>
    <t>BARCY</t>
  </si>
  <si>
    <t>GILLEY</t>
  </si>
  <si>
    <t>1450</t>
  </si>
  <si>
    <t>LABALME</t>
  </si>
  <si>
    <t>97310</t>
  </si>
  <si>
    <t>KOUROU</t>
  </si>
  <si>
    <t>SAINT-PERDON</t>
  </si>
  <si>
    <t>OTHE</t>
  </si>
  <si>
    <t>MAUBEC</t>
  </si>
  <si>
    <t>71570</t>
  </si>
  <si>
    <t>CHAINTRE</t>
  </si>
  <si>
    <t>69150</t>
  </si>
  <si>
    <t>DECINES-CHARPIEU</t>
  </si>
  <si>
    <t>CHARDENY</t>
  </si>
  <si>
    <t>57655</t>
  </si>
  <si>
    <t>BOULANGE</t>
  </si>
  <si>
    <t>25750</t>
  </si>
  <si>
    <t>AIBRE</t>
  </si>
  <si>
    <t>85420</t>
  </si>
  <si>
    <t>OULMES</t>
  </si>
  <si>
    <t>47170</t>
  </si>
  <si>
    <t>POUDENAS</t>
  </si>
  <si>
    <t>ROUFFIAC-D'AUDE</t>
  </si>
  <si>
    <t>SAINT-BAUZILE</t>
  </si>
  <si>
    <t>BOUGUE</t>
  </si>
  <si>
    <t>86490</t>
  </si>
  <si>
    <t>COLOMBIERS</t>
  </si>
  <si>
    <t>10600</t>
  </si>
  <si>
    <t>PAYNS</t>
  </si>
  <si>
    <t>CERNEX</t>
  </si>
  <si>
    <t>MOISSANNES</t>
  </si>
  <si>
    <t>34480</t>
  </si>
  <si>
    <t>PUISSALICON</t>
  </si>
  <si>
    <t>BUSSY-SAINT-GEORGES</t>
  </si>
  <si>
    <t>LES MARS</t>
  </si>
  <si>
    <t>NEUVILLE-SOUS-MONTREUIL</t>
  </si>
  <si>
    <t>19240</t>
  </si>
  <si>
    <t>ALLASSAC</t>
  </si>
  <si>
    <t>ARPHEUILLES</t>
  </si>
  <si>
    <t>22730</t>
  </si>
  <si>
    <t>TREGASTEL</t>
  </si>
  <si>
    <t>89290</t>
  </si>
  <si>
    <t>CHAMPS-SUR-YONNE</t>
  </si>
  <si>
    <t>EMONDEVILLE</t>
  </si>
  <si>
    <t>MONCEL-LES-LUNEVILLE</t>
  </si>
  <si>
    <t>MOUTIER-MALCARD</t>
  </si>
  <si>
    <t>ERGNY</t>
  </si>
  <si>
    <t>39380</t>
  </si>
  <si>
    <t>LA LOYE</t>
  </si>
  <si>
    <t>BARLEUX</t>
  </si>
  <si>
    <t>83830</t>
  </si>
  <si>
    <t>CLAVIERS</t>
  </si>
  <si>
    <t>LAGARDIOLLE</t>
  </si>
  <si>
    <t>57790</t>
  </si>
  <si>
    <t>LANEUVEVILLE-LES-LORQUIN</t>
  </si>
  <si>
    <t>LA FARLEDE</t>
  </si>
  <si>
    <t>85210</t>
  </si>
  <si>
    <t>LA REORTHE</t>
  </si>
  <si>
    <t>LECUMBERRY</t>
  </si>
  <si>
    <t>87890</t>
  </si>
  <si>
    <t>JOUAC</t>
  </si>
  <si>
    <t>BRILLAC</t>
  </si>
  <si>
    <t>PREHY</t>
  </si>
  <si>
    <t>SAINT-MARS-LA-REORTHE</t>
  </si>
  <si>
    <t>LEOVILLE</t>
  </si>
  <si>
    <t>57415</t>
  </si>
  <si>
    <t>ENCHENBERG</t>
  </si>
  <si>
    <t>COQUELLES</t>
  </si>
  <si>
    <t>VILLERS-SOUS-PAREID</t>
  </si>
  <si>
    <t>SAINT-MARCEL-EN-MURAT</t>
  </si>
  <si>
    <t>HAROUE</t>
  </si>
  <si>
    <t>CAGNY</t>
  </si>
  <si>
    <t>LACHAPELLE-AUZAC</t>
  </si>
  <si>
    <t>SAINT-MARTIAL</t>
  </si>
  <si>
    <t>COURGEON</t>
  </si>
  <si>
    <t>80430</t>
  </si>
  <si>
    <t>INVAL-BOIRON</t>
  </si>
  <si>
    <t>AUBIGNY</t>
  </si>
  <si>
    <t>7230</t>
  </si>
  <si>
    <t>LABLACHERE</t>
  </si>
  <si>
    <t>21260</t>
  </si>
  <si>
    <t>SAPONCOURT</t>
  </si>
  <si>
    <t>MOUAZE</t>
  </si>
  <si>
    <t>CERISIERS</t>
  </si>
  <si>
    <t>LE PLESSIS-SAINTE-OPPORTUNE</t>
  </si>
  <si>
    <t>HAGNICOURT</t>
  </si>
  <si>
    <t>20290</t>
  </si>
  <si>
    <t>2B166</t>
  </si>
  <si>
    <t>MONTE</t>
  </si>
  <si>
    <t>HAUTERIVE-LA-FRESSE</t>
  </si>
  <si>
    <t>CHAMPIGNEUL-SUR-VENCE</t>
  </si>
  <si>
    <t>BARJAC</t>
  </si>
  <si>
    <t>11610</t>
  </si>
  <si>
    <t>VENTENAC-CABARDES</t>
  </si>
  <si>
    <t>43580</t>
  </si>
  <si>
    <t>CROISANCES</t>
  </si>
  <si>
    <t>60130</t>
  </si>
  <si>
    <t>SAINT-REMY-EN-L'EAU</t>
  </si>
  <si>
    <t>CANENX-ET-REAUT</t>
  </si>
  <si>
    <t>LA BASTIDE</t>
  </si>
  <si>
    <t>80270</t>
  </si>
  <si>
    <t>QUESNOY-SUR-AIRAINES</t>
  </si>
  <si>
    <t>ANCY-SUR-MOSELLE</t>
  </si>
  <si>
    <t>LES AUTELS-VILLEVILLON</t>
  </si>
  <si>
    <t>CHATEL-GERARD</t>
  </si>
  <si>
    <t>CHEVENON</t>
  </si>
  <si>
    <t>47260</t>
  </si>
  <si>
    <t>CASTELMORON-SUR-LOT</t>
  </si>
  <si>
    <t>AMIRAT</t>
  </si>
  <si>
    <t>66420</t>
  </si>
  <si>
    <t>LE BARCARES</t>
  </si>
  <si>
    <t>44160</t>
  </si>
  <si>
    <t>BESNE</t>
  </si>
  <si>
    <t>CERCOUX</t>
  </si>
  <si>
    <t>JUSSECOURT-MINECOURT</t>
  </si>
  <si>
    <t>BIRAC</t>
  </si>
  <si>
    <t>41290</t>
  </si>
  <si>
    <t>LA CHAPELLE-ENCHERIE</t>
  </si>
  <si>
    <t>ARINTHOD</t>
  </si>
  <si>
    <t>LA CHAVANNE</t>
  </si>
  <si>
    <t>GUIGNEVILLE-SUR-ESSONNE</t>
  </si>
  <si>
    <t>89570</t>
  </si>
  <si>
    <t>NEUVY-SAUTOUR</t>
  </si>
  <si>
    <t>30630</t>
  </si>
  <si>
    <t>MONTCLUS</t>
  </si>
  <si>
    <t>AGINCOURT</t>
  </si>
  <si>
    <t>SAINTE-GAUBURGE-SAINTE-COLOMBE</t>
  </si>
  <si>
    <t>BASSES</t>
  </si>
  <si>
    <t>22460</t>
  </si>
  <si>
    <t>MERLEAC</t>
  </si>
  <si>
    <t>TOURNEDOS-BOIS-HUBERT</t>
  </si>
  <si>
    <t>TANIS</t>
  </si>
  <si>
    <t>PRADELLE</t>
  </si>
  <si>
    <t>LAUBRESSEL</t>
  </si>
  <si>
    <t>SABARROS</t>
  </si>
  <si>
    <t>8290</t>
  </si>
  <si>
    <t>BOSSUS-LES-RUMIGNY</t>
  </si>
  <si>
    <t>GOMMERVILLE</t>
  </si>
  <si>
    <t>14750</t>
  </si>
  <si>
    <t>SAINT-AUBIN-SUR-MER</t>
  </si>
  <si>
    <t>MONFREVILLE</t>
  </si>
  <si>
    <t>89350</t>
  </si>
  <si>
    <t>VILLENEUVE-LES-GENETS</t>
  </si>
  <si>
    <t>CHASSEGUEY</t>
  </si>
  <si>
    <t>22640</t>
  </si>
  <si>
    <t>LA MALHOURE</t>
  </si>
  <si>
    <t>TOURNON-SAINT-MARTIN</t>
  </si>
  <si>
    <t>33127</t>
  </si>
  <si>
    <t>SAINT-JEAN-D'ILLAC</t>
  </si>
  <si>
    <t>6210</t>
  </si>
  <si>
    <t>MANDELIEU-LA-NAPOULE</t>
  </si>
  <si>
    <t>MESNIL-SAINT-PERE</t>
  </si>
  <si>
    <t>LA SERRE</t>
  </si>
  <si>
    <t>12140</t>
  </si>
  <si>
    <t>ENTRAYGUES-SUR-TRUYERE</t>
  </si>
  <si>
    <t>CRENEY-PRES-TROYES</t>
  </si>
  <si>
    <t>LE CLAON</t>
  </si>
  <si>
    <t>69820</t>
  </si>
  <si>
    <t>VAUXRENARD</t>
  </si>
  <si>
    <t>BERD'HUIS</t>
  </si>
  <si>
    <t>FELON</t>
  </si>
  <si>
    <t>SAINT-CHARLES-DE-PERCY</t>
  </si>
  <si>
    <t>8600</t>
  </si>
  <si>
    <t>RANCENNES</t>
  </si>
  <si>
    <t>54340</t>
  </si>
  <si>
    <t>POMPEY</t>
  </si>
  <si>
    <t>MENTIERES</t>
  </si>
  <si>
    <t>CHANIERS</t>
  </si>
  <si>
    <t>VILLERS-VAUDEY</t>
  </si>
  <si>
    <t>L'HOSPITALET</t>
  </si>
  <si>
    <t>SAINT-YVOINE</t>
  </si>
  <si>
    <t>RIEUMAJOU</t>
  </si>
  <si>
    <t>97319</t>
  </si>
  <si>
    <t>AWALA-YALIMAPO</t>
  </si>
  <si>
    <t>80135</t>
  </si>
  <si>
    <t>COULONVILLERS</t>
  </si>
  <si>
    <t>REMENNECOURT</t>
  </si>
  <si>
    <t>HERIMENIL</t>
  </si>
  <si>
    <t>COCHEREL</t>
  </si>
  <si>
    <t>BERLENCOURT-LE-CAUROY</t>
  </si>
  <si>
    <t>ARGUT-DESSOUS</t>
  </si>
  <si>
    <t>BOURVILLE</t>
  </si>
  <si>
    <t>SOULA</t>
  </si>
  <si>
    <t>REMORAY-BOUJEONS</t>
  </si>
  <si>
    <t>67260</t>
  </si>
  <si>
    <t>SCHOPPERTEN</t>
  </si>
  <si>
    <t>34460</t>
  </si>
  <si>
    <t>CESSENON-SUR-ORB</t>
  </si>
  <si>
    <t>79190</t>
  </si>
  <si>
    <t>LORIGNE</t>
  </si>
  <si>
    <t>87300</t>
  </si>
  <si>
    <t>BERNEUIL</t>
  </si>
  <si>
    <t>39210</t>
  </si>
  <si>
    <t>PLAINOISEAU</t>
  </si>
  <si>
    <t>CIVRAC-SUR-DORDOGNE</t>
  </si>
  <si>
    <t>RUYAULCOURT</t>
  </si>
  <si>
    <t>MAURRIN</t>
  </si>
  <si>
    <t>8460</t>
  </si>
  <si>
    <t>COSSWILLER</t>
  </si>
  <si>
    <t>SURMONT</t>
  </si>
  <si>
    <t>CHATILLON-COLIGNY</t>
  </si>
  <si>
    <t>POILLY-SUR-THOLON</t>
  </si>
  <si>
    <t>ARBIGNY-SOUS-VARENNES</t>
  </si>
  <si>
    <t>ANCIER</t>
  </si>
  <si>
    <t>LANDRESSE</t>
  </si>
  <si>
    <t>9460</t>
  </si>
  <si>
    <t>ROUZE</t>
  </si>
  <si>
    <t>44260</t>
  </si>
  <si>
    <t>LAVAU-SUR-LOIRE</t>
  </si>
  <si>
    <t>44150</t>
  </si>
  <si>
    <t>SAINT-GEREON</t>
  </si>
  <si>
    <t>74310</t>
  </si>
  <si>
    <t>SERVOZ</t>
  </si>
  <si>
    <t>CHARSONVILLE</t>
  </si>
  <si>
    <t>FORGES</t>
  </si>
  <si>
    <t>CHATILLON-EN-MICHAILLE</t>
  </si>
  <si>
    <t>CURLU</t>
  </si>
  <si>
    <t>49560</t>
  </si>
  <si>
    <t>PASSAVANT-SUR-LAYON</t>
  </si>
  <si>
    <t>78970</t>
  </si>
  <si>
    <t>MEZIERES-SUR-SEINE</t>
  </si>
  <si>
    <t>MONTEZIC</t>
  </si>
  <si>
    <t>AUTIGNY</t>
  </si>
  <si>
    <t>ROUGE-PERRIERS</t>
  </si>
  <si>
    <t>ABEILHAN</t>
  </si>
  <si>
    <t>ROSEY</t>
  </si>
  <si>
    <t>SAINT-MARTIN-DE-SANZAY</t>
  </si>
  <si>
    <t>95710</t>
  </si>
  <si>
    <t>BRAY-ET-LU</t>
  </si>
  <si>
    <t>CHARRAIS</t>
  </si>
  <si>
    <t>LA HAYE-DU-PUITS</t>
  </si>
  <si>
    <t>CASTILLON-DE-CASTETS</t>
  </si>
  <si>
    <t>MOUACOURT</t>
  </si>
  <si>
    <t>BREMES</t>
  </si>
  <si>
    <t>ANGOVILLE-AU-PLAIN</t>
  </si>
  <si>
    <t>SAINT-CYR-LA-LANDE</t>
  </si>
  <si>
    <t>CHAILLEVOIS</t>
  </si>
  <si>
    <t>TRIAC-LAUTRAIT</t>
  </si>
  <si>
    <t>COULOMBS</t>
  </si>
  <si>
    <t>2B078</t>
  </si>
  <si>
    <t>CASTELLARE-DI-MERCURIO</t>
  </si>
  <si>
    <t>59233</t>
  </si>
  <si>
    <t>MAING</t>
  </si>
  <si>
    <t>JUSSEY</t>
  </si>
  <si>
    <t>COULLEMONT</t>
  </si>
  <si>
    <t>VERRERIES-DE-MOUSSANS</t>
  </si>
  <si>
    <t>UGNY-SUR-MEUSE</t>
  </si>
  <si>
    <t>FERRIERES-LES-RAY</t>
  </si>
  <si>
    <t>CHATEAU-GONTIER</t>
  </si>
  <si>
    <t>VAYRAC</t>
  </si>
  <si>
    <t>BESSY-SUR-CURE</t>
  </si>
  <si>
    <t>PEAULT</t>
  </si>
  <si>
    <t>68960</t>
  </si>
  <si>
    <t>WILLER</t>
  </si>
  <si>
    <t>GRANIER</t>
  </si>
  <si>
    <t>SAINT-MARTIN-DU-CLOCHER</t>
  </si>
  <si>
    <t>LA FEREE</t>
  </si>
  <si>
    <t>29120</t>
  </si>
  <si>
    <t>PLOMEUR</t>
  </si>
  <si>
    <t>3420</t>
  </si>
  <si>
    <t>MAZIRAT</t>
  </si>
  <si>
    <t>32110</t>
  </si>
  <si>
    <t>ARBLADE-LE-HAUT</t>
  </si>
  <si>
    <t>LOUGE-SUR-MAIRE</t>
  </si>
  <si>
    <t>COUBLANC</t>
  </si>
  <si>
    <t>BEUZEVILLE-LA-BASTILLE</t>
  </si>
  <si>
    <t>59680</t>
  </si>
  <si>
    <t>FERRIERE-LA-GRANDE</t>
  </si>
  <si>
    <t>46230</t>
  </si>
  <si>
    <t>66360</t>
  </si>
  <si>
    <t>MANTET</t>
  </si>
  <si>
    <t>27210</t>
  </si>
  <si>
    <t>MARTAINVILLE</t>
  </si>
  <si>
    <t>BILLANCOURT</t>
  </si>
  <si>
    <t>LICQUES</t>
  </si>
  <si>
    <t>31240</t>
  </si>
  <si>
    <t>SAINT-JEAN</t>
  </si>
  <si>
    <t>42800</t>
  </si>
  <si>
    <t>SAINT-MARTIN-LA-PLAINE</t>
  </si>
  <si>
    <t>CHOURGNAC</t>
  </si>
  <si>
    <t>DURRENBACH</t>
  </si>
  <si>
    <t>JANDUN</t>
  </si>
  <si>
    <t>68700</t>
  </si>
  <si>
    <t>WATTWILLER</t>
  </si>
  <si>
    <t>VAHL-LES-FAULQUEMONT</t>
  </si>
  <si>
    <t>68250</t>
  </si>
  <si>
    <t>GUNDOLSHEIM</t>
  </si>
  <si>
    <t>ENVERMEU</t>
  </si>
  <si>
    <t>PLANQUES</t>
  </si>
  <si>
    <t>1320</t>
  </si>
  <si>
    <t>CHALAMONT</t>
  </si>
  <si>
    <t>30820</t>
  </si>
  <si>
    <t>CAVEIRAC</t>
  </si>
  <si>
    <t>MOURON</t>
  </si>
  <si>
    <t>GREEZ-SUR-ROC</t>
  </si>
  <si>
    <t>83580</t>
  </si>
  <si>
    <t>GASSIN</t>
  </si>
  <si>
    <t>CESANCEY</t>
  </si>
  <si>
    <t>2170</t>
  </si>
  <si>
    <t>ESQUEHERIES</t>
  </si>
  <si>
    <t>AMBLEVILLE</t>
  </si>
  <si>
    <t>AZY-SUR-MARNE</t>
  </si>
  <si>
    <t>45600</t>
  </si>
  <si>
    <t>VIGLAIN</t>
  </si>
  <si>
    <t>HAN-SUR-NIED</t>
  </si>
  <si>
    <t>LORREZ-LE-BOCAGE-PREAUX</t>
  </si>
  <si>
    <t>SAINT-ANTONIN</t>
  </si>
  <si>
    <t>DOMBROT-SUR-VAIR</t>
  </si>
  <si>
    <t>7460</t>
  </si>
  <si>
    <t>SAINT-ANDRE-DE-CRUZIERES</t>
  </si>
  <si>
    <t>ROZOY-SUR-SERRE</t>
  </si>
  <si>
    <t>7330</t>
  </si>
  <si>
    <t>ASTET</t>
  </si>
  <si>
    <t>LANDIFAY-ET-BERTAIGNEMONT</t>
  </si>
  <si>
    <t>50580</t>
  </si>
  <si>
    <t>LE MESNIL</t>
  </si>
  <si>
    <t>1090</t>
  </si>
  <si>
    <t>GENOUILLEUX</t>
  </si>
  <si>
    <t>FORGES-SUR-MEUSE</t>
  </si>
  <si>
    <t>CUDOS</t>
  </si>
  <si>
    <t>AVREE</t>
  </si>
  <si>
    <t>LA NEUVILLE-CHANT-D'OISEL</t>
  </si>
  <si>
    <t>DIGNA</t>
  </si>
  <si>
    <t>LE QUESNOY-EN-ARTOIS</t>
  </si>
  <si>
    <t>20237</t>
  </si>
  <si>
    <t>2B241</t>
  </si>
  <si>
    <t>POGGIO-MARINACCIO</t>
  </si>
  <si>
    <t>2690</t>
  </si>
  <si>
    <t>ESSIGNY-LE-GRAND</t>
  </si>
  <si>
    <t>LANQUETOT</t>
  </si>
  <si>
    <t>MONCAUP</t>
  </si>
  <si>
    <t>ECAUVILLE</t>
  </si>
  <si>
    <t>LANDES-LE-GAULOIS</t>
  </si>
  <si>
    <t>PONT-MELVEZ</t>
  </si>
  <si>
    <t>64290</t>
  </si>
  <si>
    <t>AUBERTIN</t>
  </si>
  <si>
    <t>57440</t>
  </si>
  <si>
    <t>ANGEVILLERS</t>
  </si>
  <si>
    <t>SAINT-MARTIN-DE-CONNEE</t>
  </si>
  <si>
    <t>59192</t>
  </si>
  <si>
    <t>BEUVRAGES</t>
  </si>
  <si>
    <t>CANGEY</t>
  </si>
  <si>
    <t>BALLOY</t>
  </si>
  <si>
    <t>VALAY</t>
  </si>
  <si>
    <t>GISSEY-LE-VIEIL</t>
  </si>
  <si>
    <t>59110</t>
  </si>
  <si>
    <t>LA MADELEINE</t>
  </si>
  <si>
    <t>83670</t>
  </si>
  <si>
    <t>PONTEVES</t>
  </si>
  <si>
    <t>LE CROUZET</t>
  </si>
  <si>
    <t>BAONS-LE-COMTE</t>
  </si>
  <si>
    <t>50680</t>
  </si>
  <si>
    <t>SAINT-ANDRE-DE-L'EPINE</t>
  </si>
  <si>
    <t>87230</t>
  </si>
  <si>
    <t>CHALUS</t>
  </si>
  <si>
    <t>HUBERT-FOLIE</t>
  </si>
  <si>
    <t>16570</t>
  </si>
  <si>
    <t>MARSAC</t>
  </si>
  <si>
    <t>MAZILLE</t>
  </si>
  <si>
    <t>FALLON</t>
  </si>
  <si>
    <t>65360</t>
  </si>
  <si>
    <t>BERNAC-DEBAT</t>
  </si>
  <si>
    <t>72430</t>
  </si>
  <si>
    <t>SAINT-PIERRE-DES-BOIS</t>
  </si>
  <si>
    <t>LE SYNDICAT</t>
  </si>
  <si>
    <t>PONTLEVOY</t>
  </si>
  <si>
    <t>37330</t>
  </si>
  <si>
    <t>SOUVIGNE</t>
  </si>
  <si>
    <t>LA SOUCHE</t>
  </si>
  <si>
    <t>91850</t>
  </si>
  <si>
    <t>BOURAY-SUR-JUINE</t>
  </si>
  <si>
    <t>BUIRE-LE-SEC</t>
  </si>
  <si>
    <t>BLAMONT</t>
  </si>
  <si>
    <t>SECENANS</t>
  </si>
  <si>
    <t>2B287</t>
  </si>
  <si>
    <t>SORIO</t>
  </si>
  <si>
    <t>SERVES-SUR-RHONE</t>
  </si>
  <si>
    <t>62116</t>
  </si>
  <si>
    <t>DOUCHY-LES-AYETTE</t>
  </si>
  <si>
    <t>LA PERUSE</t>
  </si>
  <si>
    <t>11230</t>
  </si>
  <si>
    <t>PONCE-SUR-LE-LOIR</t>
  </si>
  <si>
    <t>GUCHAN</t>
  </si>
  <si>
    <t>FIEULAINE</t>
  </si>
  <si>
    <t>20110</t>
  </si>
  <si>
    <t>2A018</t>
  </si>
  <si>
    <t>ARBELLARA</t>
  </si>
  <si>
    <t>MONTROTY</t>
  </si>
  <si>
    <t>BUSSY-LES-POIX</t>
  </si>
  <si>
    <t>91930</t>
  </si>
  <si>
    <t>MONNERVILLE</t>
  </si>
  <si>
    <t>59264</t>
  </si>
  <si>
    <t>ONNAING</t>
  </si>
  <si>
    <t>33750</t>
  </si>
  <si>
    <t>BARON</t>
  </si>
  <si>
    <t>50880</t>
  </si>
  <si>
    <t>LA MEAUFFE</t>
  </si>
  <si>
    <t>45650</t>
  </si>
  <si>
    <t>SAINT-JEAN-LE-BLANC</t>
  </si>
  <si>
    <t>SAINT-PAL-DE-CHALENCON</t>
  </si>
  <si>
    <t>CHAUMOUSEY</t>
  </si>
  <si>
    <t>38630</t>
  </si>
  <si>
    <t>LES AVENIERES</t>
  </si>
  <si>
    <t>WILWISHEIM</t>
  </si>
  <si>
    <t>97211</t>
  </si>
  <si>
    <t>RIVIERE-PILOTE</t>
  </si>
  <si>
    <t>ANLEZY</t>
  </si>
  <si>
    <t>ARTIGUES</t>
  </si>
  <si>
    <t>MONTOT</t>
  </si>
  <si>
    <t>MONTIGNAC</t>
  </si>
  <si>
    <t>2B210</t>
  </si>
  <si>
    <t>PERO-CASEVECCHIE</t>
  </si>
  <si>
    <t>MIREPEIX</t>
  </si>
  <si>
    <t>CASTELSAGRAT</t>
  </si>
  <si>
    <t>CLARAC</t>
  </si>
  <si>
    <t>PERISSAC</t>
  </si>
  <si>
    <t>ENGOMER</t>
  </si>
  <si>
    <t>LEVECOURT</t>
  </si>
  <si>
    <t>MEZEROLLES</t>
  </si>
  <si>
    <t>BUROSSE-MENDOUSSE</t>
  </si>
  <si>
    <t>56450</t>
  </si>
  <si>
    <t>THEIX</t>
  </si>
  <si>
    <t>SAIZENAY</t>
  </si>
  <si>
    <t>MOUSSOULENS</t>
  </si>
  <si>
    <t>27420</t>
  </si>
  <si>
    <t>CHATEAU-SUR-EPTE</t>
  </si>
  <si>
    <t>RIGAUD</t>
  </si>
  <si>
    <t>SAINT-JUNIEN-LES-COMBES</t>
  </si>
  <si>
    <t>54430</t>
  </si>
  <si>
    <t>REHON</t>
  </si>
  <si>
    <t>43120</t>
  </si>
  <si>
    <t>MONISTROL-SUR-LOIRE</t>
  </si>
  <si>
    <t>LE BOULAY-MORIN</t>
  </si>
  <si>
    <t>RODEREN</t>
  </si>
  <si>
    <t>6470</t>
  </si>
  <si>
    <t>SAUZE</t>
  </si>
  <si>
    <t>84600</t>
  </si>
  <si>
    <t>GRILLON</t>
  </si>
  <si>
    <t>PORTS</t>
  </si>
  <si>
    <t>84400</t>
  </si>
  <si>
    <t>RUSTREL</t>
  </si>
  <si>
    <t>PULNEY</t>
  </si>
  <si>
    <t>SAINT-BONNET</t>
  </si>
  <si>
    <t>COURCIVAL</t>
  </si>
  <si>
    <t>COUR-ET-BUIS</t>
  </si>
  <si>
    <t>BLESLE</t>
  </si>
  <si>
    <t>GIBOURNE</t>
  </si>
  <si>
    <t>BOUCIEU-LE-ROI</t>
  </si>
  <si>
    <t>CANDRESSE</t>
  </si>
  <si>
    <t>SAIN-BEL</t>
  </si>
  <si>
    <t>30410</t>
  </si>
  <si>
    <t>MEYRANNES</t>
  </si>
  <si>
    <t>ROZOY-BELLEVALLE</t>
  </si>
  <si>
    <t>MORAS</t>
  </si>
  <si>
    <t>VILLESPY</t>
  </si>
  <si>
    <t>LE TORQUESNE</t>
  </si>
  <si>
    <t>CONTIGNY</t>
  </si>
  <si>
    <t>DETTWILLER</t>
  </si>
  <si>
    <t>LONNES</t>
  </si>
  <si>
    <t>HAGETMAU</t>
  </si>
  <si>
    <t>PLESNOY</t>
  </si>
  <si>
    <t>45310</t>
  </si>
  <si>
    <t>PATAY</t>
  </si>
  <si>
    <t>LA CLAYETTE</t>
  </si>
  <si>
    <t>44240</t>
  </si>
  <si>
    <t>LA CHAPELLE-SUR-ERDRE</t>
  </si>
  <si>
    <t>33121</t>
  </si>
  <si>
    <t>CARCANS</t>
  </si>
  <si>
    <t>44680</t>
  </si>
  <si>
    <t>SAINTE-PAZANNE</t>
  </si>
  <si>
    <t>59141</t>
  </si>
  <si>
    <t>IWUY</t>
  </si>
  <si>
    <t>42830</t>
  </si>
  <si>
    <t>SAINT-PRIEST-LA-PRUGNE</t>
  </si>
  <si>
    <t>VALVIGNERES</t>
  </si>
  <si>
    <t>CHATILLON-LES-SONS</t>
  </si>
  <si>
    <t>LE GRES</t>
  </si>
  <si>
    <t>AULNOIS-EN-PERTHOIS</t>
  </si>
  <si>
    <t>HAGEN</t>
  </si>
  <si>
    <t>AUTRY-LE-CHATEL</t>
  </si>
  <si>
    <t>COLEMBERT</t>
  </si>
  <si>
    <t>MICHAUGUES</t>
  </si>
  <si>
    <t>6590</t>
  </si>
  <si>
    <t>THEOULE-SUR-MER</t>
  </si>
  <si>
    <t>17480</t>
  </si>
  <si>
    <t>LE CHATEAU-D'OLERON</t>
  </si>
  <si>
    <t>NESLE</t>
  </si>
  <si>
    <t>HAUBAN</t>
  </si>
  <si>
    <t>5500</t>
  </si>
  <si>
    <t>BENEVENT-ET-CHARBILLAC</t>
  </si>
  <si>
    <t>44320</t>
  </si>
  <si>
    <t>SAINT-PERE-EN-RETZ</t>
  </si>
  <si>
    <t>63160</t>
  </si>
  <si>
    <t>FAYET-LE-CHATEAU</t>
  </si>
  <si>
    <t>ANGLARDS-DE-SALERS</t>
  </si>
  <si>
    <t>SAINT-GEORGES-DE-LONGUEPIERRE</t>
  </si>
  <si>
    <t>LALUQUE</t>
  </si>
  <si>
    <t>SOUILHANELS</t>
  </si>
  <si>
    <t>69115</t>
  </si>
  <si>
    <t>CHIROUBLES</t>
  </si>
  <si>
    <t>TALUS-SAINT-PRIX</t>
  </si>
  <si>
    <t>BUSSY</t>
  </si>
  <si>
    <t>LE VINTROU</t>
  </si>
  <si>
    <t>26790</t>
  </si>
  <si>
    <t>ROCHEGUDE</t>
  </si>
  <si>
    <t>SAINT-SYLVESTRE-DE-CORMEILLES</t>
  </si>
  <si>
    <t>BAULAY</t>
  </si>
  <si>
    <t>BAILLEAU-L'EVEQUE</t>
  </si>
  <si>
    <t>49630</t>
  </si>
  <si>
    <t>MAZE</t>
  </si>
  <si>
    <t>SANGATTE</t>
  </si>
  <si>
    <t>63490</t>
  </si>
  <si>
    <t>SAINT-QUENTIN-SUR-SAUXILLANGES</t>
  </si>
  <si>
    <t>15170</t>
  </si>
  <si>
    <t>SAINTE-ANASTASIE</t>
  </si>
  <si>
    <t>MIZERIEUX</t>
  </si>
  <si>
    <t>51370</t>
  </si>
  <si>
    <t>SAINT-BRICE-COURCELLES</t>
  </si>
  <si>
    <t>VILLEBON-SUR-YVETTE</t>
  </si>
  <si>
    <t>LANZAC</t>
  </si>
  <si>
    <t>FONTENILLE-SAINT-MARTIN-D'ENTRAIGUES</t>
  </si>
  <si>
    <t>53140</t>
  </si>
  <si>
    <t>PRE-EN-PAIL</t>
  </si>
  <si>
    <t>LA SAUVETAT-DU-DROPT</t>
  </si>
  <si>
    <t>CHATEAU-L'EVEQUE</t>
  </si>
  <si>
    <t>GOURGUE</t>
  </si>
  <si>
    <t>FLEUREY-SUR-OUCHE</t>
  </si>
  <si>
    <t>8190</t>
  </si>
  <si>
    <t>BLANZY-LA-SALONNAISE</t>
  </si>
  <si>
    <t>42320</t>
  </si>
  <si>
    <t>CELLIEU</t>
  </si>
  <si>
    <t>OSMANVILLE</t>
  </si>
  <si>
    <t>CHENELETTE</t>
  </si>
  <si>
    <t>63122</t>
  </si>
  <si>
    <t>CEYRAT</t>
  </si>
  <si>
    <t>TACONNAY</t>
  </si>
  <si>
    <t>PONTHION</t>
  </si>
  <si>
    <t>MARGIVAL</t>
  </si>
  <si>
    <t>CHASSIGNOLLES</t>
  </si>
  <si>
    <t>80550</t>
  </si>
  <si>
    <t>LE CROTOY</t>
  </si>
  <si>
    <t>AHAXE-ALCIETTE-BASCASSAN</t>
  </si>
  <si>
    <t>NORT-LEULINGHEM</t>
  </si>
  <si>
    <t>78110</t>
  </si>
  <si>
    <t>LE VESINET</t>
  </si>
  <si>
    <t>VERIGNY</t>
  </si>
  <si>
    <t>FERRALS-LES-MONTAGNES</t>
  </si>
  <si>
    <t>42660</t>
  </si>
  <si>
    <t>SAINT-ROMAIN-LES-ATHEUX</t>
  </si>
  <si>
    <t>CHALEY</t>
  </si>
  <si>
    <t>29630</t>
  </si>
  <si>
    <t>SAINT-JEAN-DU-DOIGT</t>
  </si>
  <si>
    <t>ETIENVILLE</t>
  </si>
  <si>
    <t>FOUQUEVILLE</t>
  </si>
  <si>
    <t>FRENEUSE-SUR-RISLE</t>
  </si>
  <si>
    <t>34400</t>
  </si>
  <si>
    <t>SAINT-CHRISTOL</t>
  </si>
  <si>
    <t>SERIGNAC</t>
  </si>
  <si>
    <t>LOUVAGNY</t>
  </si>
  <si>
    <t>MEILLY-SUR-ROUVRES</t>
  </si>
  <si>
    <t>CLERVAL</t>
  </si>
  <si>
    <t>WARLUS</t>
  </si>
  <si>
    <t>FAVEROLLES-ET-COEMY</t>
  </si>
  <si>
    <t>2B218</t>
  </si>
  <si>
    <t>PIEDICORTE-DI-GAGGIO</t>
  </si>
  <si>
    <t>39120</t>
  </si>
  <si>
    <t>LES ESSARDS-TAIGNEVAUX</t>
  </si>
  <si>
    <t>MIONS</t>
  </si>
  <si>
    <t>VERDENAL</t>
  </si>
  <si>
    <t>ORSANS</t>
  </si>
  <si>
    <t>LUCMAU</t>
  </si>
  <si>
    <t>32100</t>
  </si>
  <si>
    <t>BLAZIERT</t>
  </si>
  <si>
    <t>ANGLESQUEVILLE-LA-BRAS-LONG</t>
  </si>
  <si>
    <t>60510</t>
  </si>
  <si>
    <t>LITZ</t>
  </si>
  <si>
    <t>DIGULLEVILLE</t>
  </si>
  <si>
    <t>VILLEMOIRIEU</t>
  </si>
  <si>
    <t>47110</t>
  </si>
  <si>
    <t>ALLEZ-ET-CAZENEUVE</t>
  </si>
  <si>
    <t>LA CHATAIGNERAIE</t>
  </si>
  <si>
    <t>PECHAUDIER</t>
  </si>
  <si>
    <t>SAINT-GATIEN-DES-BOIS</t>
  </si>
  <si>
    <t>LIEUREY</t>
  </si>
  <si>
    <t>25270</t>
  </si>
  <si>
    <t>SEPTFONTAINES</t>
  </si>
  <si>
    <t>48150</t>
  </si>
  <si>
    <t>MEYRUEIS</t>
  </si>
  <si>
    <t>6750</t>
  </si>
  <si>
    <t>SERANON</t>
  </si>
  <si>
    <t>BOUZONVILLE</t>
  </si>
  <si>
    <t>SAINT-PIERRE-EN-VAUX</t>
  </si>
  <si>
    <t>ACHY</t>
  </si>
  <si>
    <t>CAZARIL-LASPENES</t>
  </si>
  <si>
    <t>HARBOUEY</t>
  </si>
  <si>
    <t>REUVES</t>
  </si>
  <si>
    <t>45200</t>
  </si>
  <si>
    <t>MONTARGIS</t>
  </si>
  <si>
    <t>CHAULIEU</t>
  </si>
  <si>
    <t>30640</t>
  </si>
  <si>
    <t>MATZENHEIM</t>
  </si>
  <si>
    <t>THIAVILLE-SUR-MEURTHE</t>
  </si>
  <si>
    <t>SIEST</t>
  </si>
  <si>
    <t>PESSAC-SUR-DORDOGNE</t>
  </si>
  <si>
    <t>27910</t>
  </si>
  <si>
    <t>VASCOEUIL</t>
  </si>
  <si>
    <t>RIVERIE</t>
  </si>
  <si>
    <t>ROCHEMAURE</t>
  </si>
  <si>
    <t>20600</t>
  </si>
  <si>
    <t>2B120</t>
  </si>
  <si>
    <t>FURIANI</t>
  </si>
  <si>
    <t>COULOMMES-LA-MONTAGNE</t>
  </si>
  <si>
    <t>BEAUNE</t>
  </si>
  <si>
    <t>LUGARDE</t>
  </si>
  <si>
    <t>DOYE</t>
  </si>
  <si>
    <t>RAUZAN</t>
  </si>
  <si>
    <t>68730</t>
  </si>
  <si>
    <t>RANSPACH-LE-BAS</t>
  </si>
  <si>
    <t>GOUTS</t>
  </si>
  <si>
    <t>THIEVRES</t>
  </si>
  <si>
    <t>SAINT-MARTIN-D'AUXY</t>
  </si>
  <si>
    <t>GIEVILLE</t>
  </si>
  <si>
    <t>LE TORPT</t>
  </si>
  <si>
    <t>GRENEVILLE-EN-BEAUCE</t>
  </si>
  <si>
    <t>TORCENAY</t>
  </si>
  <si>
    <t>LE BO</t>
  </si>
  <si>
    <t>EYBOULEUF</t>
  </si>
  <si>
    <t>72350</t>
  </si>
  <si>
    <t>AVESSE</t>
  </si>
  <si>
    <t>ROUGNAC</t>
  </si>
  <si>
    <t>CARBES</t>
  </si>
  <si>
    <t>OIGNY-EN-VALOIS</t>
  </si>
  <si>
    <t>53350</t>
  </si>
  <si>
    <t>FONTAINE-COUVERTE</t>
  </si>
  <si>
    <t>SAINT-LAURENT-DES-HOMMES</t>
  </si>
  <si>
    <t>BOUILLE-LORETZ</t>
  </si>
  <si>
    <t>ROUILLY-SACEY</t>
  </si>
  <si>
    <t>CHAMBONAS</t>
  </si>
  <si>
    <t>34530</t>
  </si>
  <si>
    <t>AUMES</t>
  </si>
  <si>
    <t>DORANS</t>
  </si>
  <si>
    <t>PORCHEUX</t>
  </si>
  <si>
    <t>DENNEVY</t>
  </si>
  <si>
    <t>PUTTIGNY</t>
  </si>
  <si>
    <t>12270</t>
  </si>
  <si>
    <t>SAINT-ANDRE-DE-NAJAC</t>
  </si>
  <si>
    <t>70270</t>
  </si>
  <si>
    <t>BELONCHAMP</t>
  </si>
  <si>
    <t>38090</t>
  </si>
  <si>
    <t>80690</t>
  </si>
  <si>
    <t>GORENFLOS</t>
  </si>
  <si>
    <t>19430</t>
  </si>
  <si>
    <t>MERCOEUR</t>
  </si>
  <si>
    <t>DANGOLSHEIM</t>
  </si>
  <si>
    <t>TANCROU</t>
  </si>
  <si>
    <t>SAINT-GEORGES-ANTIGNAC</t>
  </si>
  <si>
    <t>LISSAC-ET-MOURET</t>
  </si>
  <si>
    <t>LA BREVIERE</t>
  </si>
  <si>
    <t>SAINT-FRONT-D'ALEMPS</t>
  </si>
  <si>
    <t>TRENTELS</t>
  </si>
  <si>
    <t>CERCIER</t>
  </si>
  <si>
    <t>17220</t>
  </si>
  <si>
    <t>MONTROY</t>
  </si>
  <si>
    <t>SAUCHAY</t>
  </si>
  <si>
    <t>MONTIGNY-LES-VAUCOULEURS</t>
  </si>
  <si>
    <t>COURTRIZY-ET-FUSSIGNY</t>
  </si>
  <si>
    <t>VERNEIL-LE-CHETIF</t>
  </si>
  <si>
    <t>37400</t>
  </si>
  <si>
    <t>AMBOISE</t>
  </si>
  <si>
    <t>LASSERADE</t>
  </si>
  <si>
    <t>VALDEROURE</t>
  </si>
  <si>
    <t>LA NEUVELLE-LES-LURE</t>
  </si>
  <si>
    <t>LAROCHE-PRES-FEYT</t>
  </si>
  <si>
    <t>VILLIERS-SOUS-MORTAGNE</t>
  </si>
  <si>
    <t>45550</t>
  </si>
  <si>
    <t>SAINT-DENIS-DE-L'HOTEL</t>
  </si>
  <si>
    <t>67550</t>
  </si>
  <si>
    <t>ECKWERSHEIM</t>
  </si>
  <si>
    <t>GRAVERON-SEMERVILLE</t>
  </si>
  <si>
    <t>LE PLAN</t>
  </si>
  <si>
    <t>BOTANS</t>
  </si>
  <si>
    <t>49450</t>
  </si>
  <si>
    <t>VILLEDIEU-LA-BLOUERE</t>
  </si>
  <si>
    <t>LIESSE-NOTRE-DAME</t>
  </si>
  <si>
    <t>78410</t>
  </si>
  <si>
    <t>FLINS-SUR-SEINE</t>
  </si>
  <si>
    <t>48190</t>
  </si>
  <si>
    <t>MAS-D'ORCIERES</t>
  </si>
  <si>
    <t>67117</t>
  </si>
  <si>
    <t>HURTIGHEIM</t>
  </si>
  <si>
    <t>PORTET</t>
  </si>
  <si>
    <t>VILLENEUVE-DE-MARSAN</t>
  </si>
  <si>
    <t>COUTANCES</t>
  </si>
  <si>
    <t>34720</t>
  </si>
  <si>
    <t>CAUX</t>
  </si>
  <si>
    <t>DOMMARTIN-VARIMONT</t>
  </si>
  <si>
    <t>BEVEUGE</t>
  </si>
  <si>
    <t>PIERRY</t>
  </si>
  <si>
    <t>76850</t>
  </si>
  <si>
    <t>LA CRIQUE</t>
  </si>
  <si>
    <t>27600</t>
  </si>
  <si>
    <t>AILLY</t>
  </si>
  <si>
    <t>BIVILLIERS</t>
  </si>
  <si>
    <t>88140</t>
  </si>
  <si>
    <t>EPENANCOURT</t>
  </si>
  <si>
    <t>MELIN</t>
  </si>
  <si>
    <t>BUGNIERES</t>
  </si>
  <si>
    <t>SAINT-PRIEST-PALUS</t>
  </si>
  <si>
    <t>21130</t>
  </si>
  <si>
    <t>TRECLUN</t>
  </si>
  <si>
    <t>65350</t>
  </si>
  <si>
    <t>PEYRIGUERE</t>
  </si>
  <si>
    <t>SAUBUSSE</t>
  </si>
  <si>
    <t>DOMMARTIN-SOUS-AMANCE</t>
  </si>
  <si>
    <t>LANGAN</t>
  </si>
  <si>
    <t>LA FREISSINOUSE</t>
  </si>
  <si>
    <t>MEREGLISE</t>
  </si>
  <si>
    <t>BISEL</t>
  </si>
  <si>
    <t>FIRFOL</t>
  </si>
  <si>
    <t>GAZAVE</t>
  </si>
  <si>
    <t>LE MESNIL-MAUGER</t>
  </si>
  <si>
    <t>BOUQUELON</t>
  </si>
  <si>
    <t>THILAY</t>
  </si>
  <si>
    <t>DAUBEUF-PRES-VATTEVILLE</t>
  </si>
  <si>
    <t>BERFAY</t>
  </si>
  <si>
    <t>DOMVALLIER</t>
  </si>
  <si>
    <t>32700</t>
  </si>
  <si>
    <t>SAINTE-MERE</t>
  </si>
  <si>
    <t>MOLIERES</t>
  </si>
  <si>
    <t>DOLAINCOURT</t>
  </si>
  <si>
    <t>SALMAISE</t>
  </si>
  <si>
    <t>POMMERA</t>
  </si>
  <si>
    <t>DRAGEY-RONTHON</t>
  </si>
  <si>
    <t>ALTRIPPE</t>
  </si>
  <si>
    <t>DOMBASLE-EN-ARGONNE</t>
  </si>
  <si>
    <t>CRIQUETOT-L'ESNEVAL</t>
  </si>
  <si>
    <t>MAIZEROY</t>
  </si>
  <si>
    <t>GONNELIEU</t>
  </si>
  <si>
    <t>HOLACOURT</t>
  </si>
  <si>
    <t>AUTIGNY-LA-TOUR</t>
  </si>
  <si>
    <t>CHATENAY-MACHERON</t>
  </si>
  <si>
    <t>BELLEY</t>
  </si>
  <si>
    <t>LIZOS</t>
  </si>
  <si>
    <t>SAINT-PHILIBERT</t>
  </si>
  <si>
    <t>SIERSTHAL</t>
  </si>
  <si>
    <t>ARGILLIERES</t>
  </si>
  <si>
    <t>15220</t>
  </si>
  <si>
    <t>MARCOLES</t>
  </si>
  <si>
    <t>SAINT-GEORGES-DE-LUZENCON</t>
  </si>
  <si>
    <t>73300</t>
  </si>
  <si>
    <t>SAINT-JEAN-DE-MAURIENNE</t>
  </si>
  <si>
    <t>BAIS</t>
  </si>
  <si>
    <t>TREZELLES</t>
  </si>
  <si>
    <t>GAUVILLE</t>
  </si>
  <si>
    <t>VILLEVOCANCE</t>
  </si>
  <si>
    <t>FLEE</t>
  </si>
  <si>
    <t>84570</t>
  </si>
  <si>
    <t>BLAUVAC</t>
  </si>
  <si>
    <t>DARNIEULLES</t>
  </si>
  <si>
    <t>19330</t>
  </si>
  <si>
    <t>SAINT-GERMAIN-LES-VERGNES</t>
  </si>
  <si>
    <t>PUZIEUX</t>
  </si>
  <si>
    <t>66140</t>
  </si>
  <si>
    <t>CANET-EN-ROUSSILLON</t>
  </si>
  <si>
    <t>92100</t>
  </si>
  <si>
    <t>BOULOGNE-BILLANCOURT</t>
  </si>
  <si>
    <t>CHENAUD</t>
  </si>
  <si>
    <t>SAINT-RAPHAEL</t>
  </si>
  <si>
    <t>CALZAN</t>
  </si>
  <si>
    <t>SAINT-PRIVAT-D'ALLIER</t>
  </si>
  <si>
    <t>MAIZICOURT</t>
  </si>
  <si>
    <t>SAINT-EXUPERY</t>
  </si>
  <si>
    <t>SAINT-SULPICE-DE-POMMERAY</t>
  </si>
  <si>
    <t>46350</t>
  </si>
  <si>
    <t>PAYRAC</t>
  </si>
  <si>
    <t>17140</t>
  </si>
  <si>
    <t>LAGORD</t>
  </si>
  <si>
    <t>BEDEILLE</t>
  </si>
  <si>
    <t>VALENTINE</t>
  </si>
  <si>
    <t>RUPT</t>
  </si>
  <si>
    <t>ROUSSINES</t>
  </si>
  <si>
    <t>ACHUN</t>
  </si>
  <si>
    <t>42330</t>
  </si>
  <si>
    <t>SAINT-GALMIER</t>
  </si>
  <si>
    <t>BOURGUENOLLES</t>
  </si>
  <si>
    <t>BELLEVILLE-EN-CAUX</t>
  </si>
  <si>
    <t>VILLEQUIER-AUMONT</t>
  </si>
  <si>
    <t>HALLES-SOUS-LES-COTES</t>
  </si>
  <si>
    <t>SAINT-LAURENT-DES-ARBRES</t>
  </si>
  <si>
    <t>OSMOY</t>
  </si>
  <si>
    <t>SULLY-LA-CHAPELLE</t>
  </si>
  <si>
    <t>MAXEY-SUR-MEUSE</t>
  </si>
  <si>
    <t>FONTAINE-LES-CLERVAL</t>
  </si>
  <si>
    <t>MITTELBERGHEIM</t>
  </si>
  <si>
    <t>LES MUJOULS</t>
  </si>
  <si>
    <t>20136</t>
  </si>
  <si>
    <t>2A040</t>
  </si>
  <si>
    <t>BOCOGNANO</t>
  </si>
  <si>
    <t>VIEUX</t>
  </si>
  <si>
    <t>THURINS</t>
  </si>
  <si>
    <t>60129</t>
  </si>
  <si>
    <t>ORROUY</t>
  </si>
  <si>
    <t>SAINT-VINCENT-DU-PENDIT</t>
  </si>
  <si>
    <t>CHAPPES</t>
  </si>
  <si>
    <t>MONDIGNY</t>
  </si>
  <si>
    <t>CAILLY</t>
  </si>
  <si>
    <t>JOIGNY</t>
  </si>
  <si>
    <t>BELLUIRE</t>
  </si>
  <si>
    <t>MONDICOURT</t>
  </si>
  <si>
    <t>43510</t>
  </si>
  <si>
    <t>CAYRES</t>
  </si>
  <si>
    <t>PEONE</t>
  </si>
  <si>
    <t>LAAS</t>
  </si>
  <si>
    <t>49160</t>
  </si>
  <si>
    <t>LONGUE-JUMELLES</t>
  </si>
  <si>
    <t>34610</t>
  </si>
  <si>
    <t>SAINT-GERVAIS-SUR-MARE</t>
  </si>
  <si>
    <t>1990</t>
  </si>
  <si>
    <t>SAINT-TRIVIER-SUR-MOIGNANS</t>
  </si>
  <si>
    <t>PORT-LAUNAY</t>
  </si>
  <si>
    <t>80510</t>
  </si>
  <si>
    <t>COCQUEREL</t>
  </si>
  <si>
    <t>CONDAT-LES-MONTBOISSIER</t>
  </si>
  <si>
    <t>1600</t>
  </si>
  <si>
    <t>MISERIEUX</t>
  </si>
  <si>
    <t>30650</t>
  </si>
  <si>
    <t>SAZE</t>
  </si>
  <si>
    <t>LA CARNEILLE</t>
  </si>
  <si>
    <t>49530</t>
  </si>
  <si>
    <t>DRAIN</t>
  </si>
  <si>
    <t>LASTOURS</t>
  </si>
  <si>
    <t>GROLEJAC</t>
  </si>
  <si>
    <t>DREUILHE</t>
  </si>
  <si>
    <t>MALVES-EN-MINERVOIS</t>
  </si>
  <si>
    <t>37310</t>
  </si>
  <si>
    <t>CIGOGNE</t>
  </si>
  <si>
    <t>BILHERES</t>
  </si>
  <si>
    <t>SAINT-JUST-EN-CHAUSSEE</t>
  </si>
  <si>
    <t>GONDREVILLE</t>
  </si>
  <si>
    <t>SOUVIGNY</t>
  </si>
  <si>
    <t>SAINT-HILAIRE-LES-MONGES</t>
  </si>
  <si>
    <t>AIGUEBELETTE-LE-LAC</t>
  </si>
  <si>
    <t>80520</t>
  </si>
  <si>
    <t>MENESLIES</t>
  </si>
  <si>
    <t>MORCOURT</t>
  </si>
  <si>
    <t>35510</t>
  </si>
  <si>
    <t>CESSON-SEVIGNE</t>
  </si>
  <si>
    <t>MONTIGNY-SUR-L'HALLUE</t>
  </si>
  <si>
    <t>FRENELLE-LA-GRANDE</t>
  </si>
  <si>
    <t>VILLENEUVE</t>
  </si>
  <si>
    <t>71120</t>
  </si>
  <si>
    <t>LUGNY-LES-CHAROLLES</t>
  </si>
  <si>
    <t>VIONS</t>
  </si>
  <si>
    <t>LA ROCHEFOUCAULD</t>
  </si>
  <si>
    <t>29910</t>
  </si>
  <si>
    <t>TREGUNC</t>
  </si>
  <si>
    <t>35210</t>
  </si>
  <si>
    <t>MONTAUTOUR</t>
  </si>
  <si>
    <t>CAHAGNES</t>
  </si>
  <si>
    <t>LAVAL-DE-CERE</t>
  </si>
  <si>
    <t>AZINCOURT</t>
  </si>
  <si>
    <t>LUCY-LE-BOIS</t>
  </si>
  <si>
    <t>ROMBLY</t>
  </si>
  <si>
    <t>41600</t>
  </si>
  <si>
    <t>CHAUMONT-SUR-THARONNE</t>
  </si>
  <si>
    <t>13000</t>
  </si>
  <si>
    <t>MARSEILLE</t>
  </si>
  <si>
    <t>13014</t>
  </si>
  <si>
    <t>MARSEILLE-14E--ARRONDISSEMENT</t>
  </si>
  <si>
    <t>ROCHE-ET-RAUCOURT</t>
  </si>
  <si>
    <t>LES BAUX-DE-PROVENCE</t>
  </si>
  <si>
    <t>ROUVRAY-SAINT-DENIS</t>
  </si>
  <si>
    <t>ENTREPIERRES</t>
  </si>
  <si>
    <t>MERCEUIL</t>
  </si>
  <si>
    <t>DORTAN</t>
  </si>
  <si>
    <t>62113</t>
  </si>
  <si>
    <t>SAILLY-LABOURSE</t>
  </si>
  <si>
    <t>BOISEMONT</t>
  </si>
  <si>
    <t>CAMETOURS</t>
  </si>
  <si>
    <t>56630</t>
  </si>
  <si>
    <t>LANGONNET</t>
  </si>
  <si>
    <t>CHAMBLET</t>
  </si>
  <si>
    <t>HERMANVILLE</t>
  </si>
  <si>
    <t>GELAUCOURT</t>
  </si>
  <si>
    <t>HOULDIZY</t>
  </si>
  <si>
    <t>WARVILLERS</t>
  </si>
  <si>
    <t>MONTETON</t>
  </si>
  <si>
    <t>CENSEREY</t>
  </si>
  <si>
    <t>LA NEUVEVILLE-SOUS-MONTFORT</t>
  </si>
  <si>
    <t>57690</t>
  </si>
  <si>
    <t>HALLERING</t>
  </si>
  <si>
    <t>MONTAGNE-FAYEL</t>
  </si>
  <si>
    <t>SAINT-GERMAIN-SUR-EAULNE</t>
  </si>
  <si>
    <t>SAINTE-ALVERE</t>
  </si>
  <si>
    <t>SAINT-LAURENT-DE-LIN</t>
  </si>
  <si>
    <t>CAMBES</t>
  </si>
  <si>
    <t>29810</t>
  </si>
  <si>
    <t>PLOUARZEL</t>
  </si>
  <si>
    <t>91120</t>
  </si>
  <si>
    <t>PALAISEAU</t>
  </si>
  <si>
    <t>17230</t>
  </si>
  <si>
    <t>ANDILLY</t>
  </si>
  <si>
    <t>CROTENAY</t>
  </si>
  <si>
    <t>34570</t>
  </si>
  <si>
    <t>SAUSSAN</t>
  </si>
  <si>
    <t>66740</t>
  </si>
  <si>
    <t>VILLELONGUE-DELS-MONTS</t>
  </si>
  <si>
    <t>23170</t>
  </si>
  <si>
    <t>AUGE</t>
  </si>
  <si>
    <t>RIMLING</t>
  </si>
  <si>
    <t>FONTAIN</t>
  </si>
  <si>
    <t>CHINDRIEUX</t>
  </si>
  <si>
    <t>DONJEUX</t>
  </si>
  <si>
    <t>76550</t>
  </si>
  <si>
    <t>COLMESNIL-MANNEVILLE</t>
  </si>
  <si>
    <t>AYNAC</t>
  </si>
  <si>
    <t>16350</t>
  </si>
  <si>
    <t>CHATEAUNEUF-DE-RANDON</t>
  </si>
  <si>
    <t>SAUVIMONT</t>
  </si>
  <si>
    <t>97226</t>
  </si>
  <si>
    <t>LE MORNE-VERT</t>
  </si>
  <si>
    <t>LEVERNOIS</t>
  </si>
  <si>
    <t>47220</t>
  </si>
  <si>
    <t>SAINT-NICOLAS-DE-LA-BALERME</t>
  </si>
  <si>
    <t>BADENS</t>
  </si>
  <si>
    <t>COBONNE</t>
  </si>
  <si>
    <t>SAINT-JULIEN-DE-CHEDON</t>
  </si>
  <si>
    <t>47430</t>
  </si>
  <si>
    <t>SENESTIS</t>
  </si>
  <si>
    <t>BECQUIGNY</t>
  </si>
  <si>
    <t>GATTIERES</t>
  </si>
  <si>
    <t>LABASTIDE-DENAT</t>
  </si>
  <si>
    <t>THEROULDEVILLE</t>
  </si>
  <si>
    <t>IGE</t>
  </si>
  <si>
    <t>MAREUIL-EN-BRIE</t>
  </si>
  <si>
    <t>NORMANDEL</t>
  </si>
  <si>
    <t>MILLY-LAMARTINE</t>
  </si>
  <si>
    <t>30125</t>
  </si>
  <si>
    <t>SAUMANE</t>
  </si>
  <si>
    <t>11260</t>
  </si>
  <si>
    <t>SAINT-JEAN-DE-PARACOL</t>
  </si>
  <si>
    <t>COLOGNE</t>
  </si>
  <si>
    <t>MARSAIS-SAINTE-RADEGONDE</t>
  </si>
  <si>
    <t>OPPY</t>
  </si>
  <si>
    <t>16150</t>
  </si>
  <si>
    <t>PRESSIGNAC</t>
  </si>
  <si>
    <t>32800</t>
  </si>
  <si>
    <t>RAMOUZENS</t>
  </si>
  <si>
    <t>77123</t>
  </si>
  <si>
    <t>TOUSSON</t>
  </si>
  <si>
    <t>TOULON-SUR-ARROUX</t>
  </si>
  <si>
    <t>VERNIERFONTAINE</t>
  </si>
  <si>
    <t>PARVILLE</t>
  </si>
  <si>
    <t>SAINT-POURCAIN-SUR-SIOULE</t>
  </si>
  <si>
    <t>95260</t>
  </si>
  <si>
    <t>MOURS</t>
  </si>
  <si>
    <t>YAUCOURT-BUSSUS</t>
  </si>
  <si>
    <t>60610</t>
  </si>
  <si>
    <t>LACROIX-SAINT-OUEN</t>
  </si>
  <si>
    <t>PRUNIERES</t>
  </si>
  <si>
    <t>91800</t>
  </si>
  <si>
    <t>BRUNOY</t>
  </si>
  <si>
    <t>LORENTZEN</t>
  </si>
  <si>
    <t>SAINT-FAUST</t>
  </si>
  <si>
    <t>LE CATELET</t>
  </si>
  <si>
    <t>20233</t>
  </si>
  <si>
    <t>2B281</t>
  </si>
  <si>
    <t>SISCO</t>
  </si>
  <si>
    <t>SAINT-AQUILIN-DE-PACY</t>
  </si>
  <si>
    <t>ALTKIRCH</t>
  </si>
  <si>
    <t>24580</t>
  </si>
  <si>
    <t>PLAZAC</t>
  </si>
  <si>
    <t>AUBOUE</t>
  </si>
  <si>
    <t>MONTMORT</t>
  </si>
  <si>
    <t>DOULEVANT-LE-PETIT</t>
  </si>
  <si>
    <t>9500</t>
  </si>
  <si>
    <t>SAINT-FELIX-DE-TOURNEGAT</t>
  </si>
  <si>
    <t>6110</t>
  </si>
  <si>
    <t>LE CANNET</t>
  </si>
  <si>
    <t>41310</t>
  </si>
  <si>
    <t>SASNIERES</t>
  </si>
  <si>
    <t>SAINT-HILAIRE-DE-LAVIT</t>
  </si>
  <si>
    <t>ROCHEFORT-SUR-NENON</t>
  </si>
  <si>
    <t>BUZON</t>
  </si>
  <si>
    <t>THIVILLE</t>
  </si>
  <si>
    <t>GREZILLE</t>
  </si>
  <si>
    <t>SILLAS</t>
  </si>
  <si>
    <t>EPINAY</t>
  </si>
  <si>
    <t>VILLERS-LE-SEC</t>
  </si>
  <si>
    <t>59690</t>
  </si>
  <si>
    <t>VIEUX-CONDE</t>
  </si>
  <si>
    <t>60320</t>
  </si>
  <si>
    <t>BETHISY-SAINT-MARTIN</t>
  </si>
  <si>
    <t>24310</t>
  </si>
  <si>
    <t>BRANTOME</t>
  </si>
  <si>
    <t>39200</t>
  </si>
  <si>
    <t>COYRIERE</t>
  </si>
  <si>
    <t>68320</t>
  </si>
  <si>
    <t>MUNTZENHEIM</t>
  </si>
  <si>
    <t>GOUTZ</t>
  </si>
  <si>
    <t>PEREILLE</t>
  </si>
  <si>
    <t>MONT-SUR-MEURTHE</t>
  </si>
  <si>
    <t>SAINTE-SCOLASSE-SUR-SARTHE</t>
  </si>
  <si>
    <t>NEUILLY-LE-DIEN</t>
  </si>
  <si>
    <t>LE CHATELET-SUR-MEUSE</t>
  </si>
  <si>
    <t>BLAIGNAC</t>
  </si>
  <si>
    <t>LE NOUVION-EN-THIERACHE</t>
  </si>
  <si>
    <t>LE BIGNON</t>
  </si>
  <si>
    <t>ROUVILLERS</t>
  </si>
  <si>
    <t>MEUNET-SUR-VATAN</t>
  </si>
  <si>
    <t>TRELLY</t>
  </si>
  <si>
    <t>LE BOURDET</t>
  </si>
  <si>
    <t>ABLANCOURT</t>
  </si>
  <si>
    <t>LOUE</t>
  </si>
  <si>
    <t>PLACE</t>
  </si>
  <si>
    <t>PEYROLLES</t>
  </si>
  <si>
    <t>62360</t>
  </si>
  <si>
    <t>HESDIGNEUL-LES-BOULOGNE</t>
  </si>
  <si>
    <t>CHAMOY</t>
  </si>
  <si>
    <t>VAUBECOURT</t>
  </si>
  <si>
    <t>LA NEUVILLE-SAINT-PIERRE</t>
  </si>
  <si>
    <t>FROMENTIERES</t>
  </si>
  <si>
    <t>4700</t>
  </si>
  <si>
    <t>PUIMICHEL</t>
  </si>
  <si>
    <t>48230</t>
  </si>
  <si>
    <t>CHANAC</t>
  </si>
  <si>
    <t>SAINT-VINCENT-STERLANGES</t>
  </si>
  <si>
    <t>22320</t>
  </si>
  <si>
    <t>SAINT-MARTIN-DES-PRES</t>
  </si>
  <si>
    <t>OUARVILLE</t>
  </si>
  <si>
    <t>BRIERES-LES-SCELLES</t>
  </si>
  <si>
    <t>SEMUY</t>
  </si>
  <si>
    <t>CEYZERIAT</t>
  </si>
  <si>
    <t>LA FRESNAIE-FAYEL</t>
  </si>
  <si>
    <t>GUIRY-EN-VEXIN</t>
  </si>
  <si>
    <t>CHAUSSIN</t>
  </si>
  <si>
    <t>69200</t>
  </si>
  <si>
    <t>VENISSIEUX</t>
  </si>
  <si>
    <t>BAVELINCOURT</t>
  </si>
  <si>
    <t>VITTEAUX</t>
  </si>
  <si>
    <t>OBERDORF</t>
  </si>
  <si>
    <t>TOUFFREVILLE-SUR-EU</t>
  </si>
  <si>
    <t>FRESNES-EN-SAULNOIS</t>
  </si>
  <si>
    <t>MAGNY-LAMBERT</t>
  </si>
  <si>
    <t>1220</t>
  </si>
  <si>
    <t>SAUVERNY</t>
  </si>
  <si>
    <t>SAINT-FRONT</t>
  </si>
  <si>
    <t>90150</t>
  </si>
  <si>
    <t>EGUENIGUE</t>
  </si>
  <si>
    <t>VESSEY</t>
  </si>
  <si>
    <t>12720</t>
  </si>
  <si>
    <t>SAINT-ANDRE-DE-VEZINES</t>
  </si>
  <si>
    <t>MOURNANS-CHARBONNY</t>
  </si>
  <si>
    <t>2B274</t>
  </si>
  <si>
    <t>SCOLCA</t>
  </si>
  <si>
    <t>84240</t>
  </si>
  <si>
    <t>PEYPIN-D'AIGUES</t>
  </si>
  <si>
    <t>MASSY</t>
  </si>
  <si>
    <t>14290</t>
  </si>
  <si>
    <t>SAINT-JULIEN-DE-MAILLOC</t>
  </si>
  <si>
    <t>11380</t>
  </si>
  <si>
    <t>PRADELLES-CABARDES</t>
  </si>
  <si>
    <t>TANAY</t>
  </si>
  <si>
    <t>68420</t>
  </si>
  <si>
    <t>GUEBERSCHWIHR</t>
  </si>
  <si>
    <t>DURMENACH</t>
  </si>
  <si>
    <t>AUBUSSON</t>
  </si>
  <si>
    <t>89330</t>
  </si>
  <si>
    <t>SAINT-LOUP-D'ORDON</t>
  </si>
  <si>
    <t>BELLENEUVE</t>
  </si>
  <si>
    <t>CHAUDREY</t>
  </si>
  <si>
    <t>JAILLON</t>
  </si>
  <si>
    <t>LIGNAREIX</t>
  </si>
  <si>
    <t>PEYRILLAC-ET-MILLAC</t>
  </si>
  <si>
    <t>GREUCOURT</t>
  </si>
  <si>
    <t>SAINT-DIDIER-EN-DONJON</t>
  </si>
  <si>
    <t>JUVIGNY</t>
  </si>
  <si>
    <t>SAINT-LUBIN-EN-VERGONNOIS</t>
  </si>
  <si>
    <t>LA VALETTE</t>
  </si>
  <si>
    <t>CONFLANS-SUR-LOING</t>
  </si>
  <si>
    <t>LIXING-LES-SAINT-AVOLD</t>
  </si>
  <si>
    <t>CONTOIRE</t>
  </si>
  <si>
    <t>HOUDILCOURT</t>
  </si>
  <si>
    <t>COLLONGES-LES-BEVY</t>
  </si>
  <si>
    <t>14420</t>
  </si>
  <si>
    <t>BONS-TASSILLY</t>
  </si>
  <si>
    <t>THURY-SOUS-CLERMONT</t>
  </si>
  <si>
    <t>15140</t>
  </si>
  <si>
    <t>SAINT-PAUL-DE-SALERS</t>
  </si>
  <si>
    <t>MOURENS</t>
  </si>
  <si>
    <t>59212</t>
  </si>
  <si>
    <t>WIGNEHIES</t>
  </si>
  <si>
    <t>GUILLY</t>
  </si>
  <si>
    <t>53970</t>
  </si>
  <si>
    <t>L'HUISSERIE</t>
  </si>
  <si>
    <t>LASSON</t>
  </si>
  <si>
    <t>PEBEES</t>
  </si>
  <si>
    <t>CHAILLY-EN-BRIE</t>
  </si>
  <si>
    <t>MONTBRUN-LAURAGAIS</t>
  </si>
  <si>
    <t>SENNECAY</t>
  </si>
  <si>
    <t>CARNAS</t>
  </si>
  <si>
    <t>LES BAUX-SAINTE-CROIX</t>
  </si>
  <si>
    <t>SALAZAC</t>
  </si>
  <si>
    <t>PRADIERES</t>
  </si>
  <si>
    <t>PEAS</t>
  </si>
  <si>
    <t>BRIGNAIS</t>
  </si>
  <si>
    <t>75019</t>
  </si>
  <si>
    <t>PARIS-19E-ARRONDISSEMENT</t>
  </si>
  <si>
    <t>LA CHAPELLE-ROUSSELIN</t>
  </si>
  <si>
    <t>SAINT-LEGER-DU-GENNETEY</t>
  </si>
  <si>
    <t>FLOING</t>
  </si>
  <si>
    <t>MAINNEVILLE</t>
  </si>
  <si>
    <t>24290</t>
  </si>
  <si>
    <t>AUBAS</t>
  </si>
  <si>
    <t>MALLEVAL-EN-VERCORS</t>
  </si>
  <si>
    <t>40350</t>
  </si>
  <si>
    <t>MIMBASTE</t>
  </si>
  <si>
    <t>GRATENS</t>
  </si>
  <si>
    <t>63320</t>
  </si>
  <si>
    <t>SAINT-CIRGUES-SUR-COUZE</t>
  </si>
  <si>
    <t>AGOS-VIDALOS</t>
  </si>
  <si>
    <t>97110</t>
  </si>
  <si>
    <t>POINTE-A-PITRE</t>
  </si>
  <si>
    <t>FOECY</t>
  </si>
  <si>
    <t>LAZENAY</t>
  </si>
  <si>
    <t>LAVIGNEY</t>
  </si>
  <si>
    <t>SAINT-PARDOUX-DE-DRONE</t>
  </si>
  <si>
    <t>GABASTON</t>
  </si>
  <si>
    <t>AMENUCOURT</t>
  </si>
  <si>
    <t>SAINT-LOUET-SUR-VIRE</t>
  </si>
  <si>
    <t>MECRINGES</t>
  </si>
  <si>
    <t>GOLLEVILLE</t>
  </si>
  <si>
    <t>BOUEILH-BOUEILHO-LASQUE</t>
  </si>
  <si>
    <t>22130</t>
  </si>
  <si>
    <t>PLEVEN</t>
  </si>
  <si>
    <t>LA CHEZE</t>
  </si>
  <si>
    <t>GLISOLLES</t>
  </si>
  <si>
    <t>60153</t>
  </si>
  <si>
    <t>RETHONDES</t>
  </si>
  <si>
    <t>5190</t>
  </si>
  <si>
    <t>COMBRAND</t>
  </si>
  <si>
    <t>6430</t>
  </si>
  <si>
    <t>LA BRIGUE</t>
  </si>
  <si>
    <t>MOGNEVILLE</t>
  </si>
  <si>
    <t>MARENNES</t>
  </si>
  <si>
    <t>CANILHAC</t>
  </si>
  <si>
    <t>HENNEZEL</t>
  </si>
  <si>
    <t>NOGENT-SUR-LOIR</t>
  </si>
  <si>
    <t>ANGLIERS</t>
  </si>
  <si>
    <t>67590</t>
  </si>
  <si>
    <t>OHLUNGEN</t>
  </si>
  <si>
    <t>TALON</t>
  </si>
  <si>
    <t>SAINT-PRIEST-EN-MURAT</t>
  </si>
  <si>
    <t>SAINT-BAZILE</t>
  </si>
  <si>
    <t>30420</t>
  </si>
  <si>
    <t>CALVISSON</t>
  </si>
  <si>
    <t>MAZIERES-EN-GATINE</t>
  </si>
  <si>
    <t>38380</t>
  </si>
  <si>
    <t>ENTRE-DEUX-GUIERS</t>
  </si>
  <si>
    <t>59136</t>
  </si>
  <si>
    <t>WAVRIN</t>
  </si>
  <si>
    <t>MEZIN</t>
  </si>
  <si>
    <t>LATOUILLE-LENTILLAC</t>
  </si>
  <si>
    <t>15310</t>
  </si>
  <si>
    <t>SAINT-CERNIN</t>
  </si>
  <si>
    <t>GEVREY-CHAMBERTIN</t>
  </si>
  <si>
    <t>61440</t>
  </si>
  <si>
    <t>MESSEI</t>
  </si>
  <si>
    <t>SAVIGNE-SUR-LATHAN</t>
  </si>
  <si>
    <t>MONTANS</t>
  </si>
  <si>
    <t>TRUYES</t>
  </si>
  <si>
    <t>LURY-SUR-ARNON</t>
  </si>
  <si>
    <t>LATILLY</t>
  </si>
  <si>
    <t>MOUSTERU</t>
  </si>
  <si>
    <t>MONTAIGU</t>
  </si>
  <si>
    <t>URDES</t>
  </si>
  <si>
    <t>SAINT-GEORGES-DE-NOISNE</t>
  </si>
  <si>
    <t>AIZANVILLE</t>
  </si>
  <si>
    <t>CHASSELAS</t>
  </si>
  <si>
    <t>CUBRY-LES-FAVERNEY</t>
  </si>
  <si>
    <t>79160</t>
  </si>
  <si>
    <t>LA CHAPELLE-THIREUIL</t>
  </si>
  <si>
    <t>49730</t>
  </si>
  <si>
    <t>TURQUANT</t>
  </si>
  <si>
    <t>LA CHAPELLE-VAUPELTEIGNE</t>
  </si>
  <si>
    <t>95870</t>
  </si>
  <si>
    <t>BEZONS</t>
  </si>
  <si>
    <t>85630</t>
  </si>
  <si>
    <t>BARBATRE</t>
  </si>
  <si>
    <t>MONDONVILLE</t>
  </si>
  <si>
    <t>CHERISY</t>
  </si>
  <si>
    <t>75020</t>
  </si>
  <si>
    <t>PARIS-20E-ARRONDISSEMENT</t>
  </si>
  <si>
    <t>WOLSCHHEIM</t>
  </si>
  <si>
    <t>OZILLAC</t>
  </si>
  <si>
    <t>LANEUVILLE-AU-RUPT</t>
  </si>
  <si>
    <t>BEHERICOURT</t>
  </si>
  <si>
    <t>BARNAVE</t>
  </si>
  <si>
    <t>ROUFFIGNAC-SAINT-CERNIN-DE-REILHAC</t>
  </si>
  <si>
    <t>58440</t>
  </si>
  <si>
    <t>LA CELLE-SUR-LOIRE</t>
  </si>
  <si>
    <t>AGNETZ</t>
  </si>
  <si>
    <t>HAUTEVILLE-SUR-FIER</t>
  </si>
  <si>
    <t>LA CHATELAINE</t>
  </si>
  <si>
    <t>1410</t>
  </si>
  <si>
    <t>LELEX</t>
  </si>
  <si>
    <t>77590</t>
  </si>
  <si>
    <t>CHARTRETTES</t>
  </si>
  <si>
    <t>23130</t>
  </si>
  <si>
    <t>SAINT-DIZIER-LA-TOUR</t>
  </si>
  <si>
    <t>MOUTIERS</t>
  </si>
  <si>
    <t>2B251</t>
  </si>
  <si>
    <t>PRUNELLI-DI-FIUMORBO</t>
  </si>
  <si>
    <t>VALLON-SUR-GEE</t>
  </si>
  <si>
    <t>LA BOLLENE-VESUBIE</t>
  </si>
  <si>
    <t>BUTHIERS</t>
  </si>
  <si>
    <t>VIGNOLS</t>
  </si>
  <si>
    <t>TREMEHEUC</t>
  </si>
  <si>
    <t>8370</t>
  </si>
  <si>
    <t>LA FERTE-SUR-CHIERS</t>
  </si>
  <si>
    <t>VILLIERS-EN-BOIS</t>
  </si>
  <si>
    <t>ANTIGNY</t>
  </si>
  <si>
    <t>INSMING</t>
  </si>
  <si>
    <t>ALLAINES</t>
  </si>
  <si>
    <t>SAINT-HERNIN</t>
  </si>
  <si>
    <t>AUCHY-LES-MINES</t>
  </si>
  <si>
    <t>AULX-LES-CROMARY</t>
  </si>
  <si>
    <t>OMONVILLE</t>
  </si>
  <si>
    <t>LAMARCHE</t>
  </si>
  <si>
    <t>FONTAINES-SAINT-CLAIR</t>
  </si>
  <si>
    <t>77141</t>
  </si>
  <si>
    <t>VAUDOY-EN-BRIE</t>
  </si>
  <si>
    <t>FONTAINE-RAOUL</t>
  </si>
  <si>
    <t>22360</t>
  </si>
  <si>
    <t>LANGUEUX</t>
  </si>
  <si>
    <t>FONTAINE-LE-BOURG</t>
  </si>
  <si>
    <t>SAINT-JEAN-D'AUBRIGOUX</t>
  </si>
  <si>
    <t>CHIDDES</t>
  </si>
  <si>
    <t>60210</t>
  </si>
  <si>
    <t>SOMMEREUX</t>
  </si>
  <si>
    <t>PONT-ARCY</t>
  </si>
  <si>
    <t>BEVENAIS</t>
  </si>
  <si>
    <t>DAUX</t>
  </si>
  <si>
    <t>SAINT-MICHEL-DE-LIVET</t>
  </si>
  <si>
    <t>LACHAMP-RAPHAEL</t>
  </si>
  <si>
    <t>VELYE</t>
  </si>
  <si>
    <t>BRETTEVILLE-L'ORGUEILLEUSE</t>
  </si>
  <si>
    <t>71620</t>
  </si>
  <si>
    <t>BEY</t>
  </si>
  <si>
    <t>CERNAY</t>
  </si>
  <si>
    <t>EGLISE-NEUVE-DE-VERGT</t>
  </si>
  <si>
    <t>62410</t>
  </si>
  <si>
    <t>HULLUCH</t>
  </si>
  <si>
    <t>78250</t>
  </si>
  <si>
    <t>HARDRICOURT</t>
  </si>
  <si>
    <t>GRANGES-SUR-AUBE</t>
  </si>
  <si>
    <t>ARCONVILLE</t>
  </si>
  <si>
    <t>BASCOUS</t>
  </si>
  <si>
    <t>ONDES</t>
  </si>
  <si>
    <t>BURNAND</t>
  </si>
  <si>
    <t>BIZENEUILLE</t>
  </si>
  <si>
    <t>FRANCHESSE</t>
  </si>
  <si>
    <t>VILLE-DEVANT-CHAUMONT</t>
  </si>
  <si>
    <t>CRENANS</t>
  </si>
  <si>
    <t>LE MESNIL-EUDES</t>
  </si>
  <si>
    <t>CHARENCY</t>
  </si>
  <si>
    <t>MONT-D'ASTARAC</t>
  </si>
  <si>
    <t>25640</t>
  </si>
  <si>
    <t>CENDREY</t>
  </si>
  <si>
    <t>67390</t>
  </si>
  <si>
    <t>MARCKOLSHEIM</t>
  </si>
  <si>
    <t>35400</t>
  </si>
  <si>
    <t>SAINT-MALO</t>
  </si>
  <si>
    <t>LA CHAPELLE-EN-JUGER</t>
  </si>
  <si>
    <t>MONCOURT</t>
  </si>
  <si>
    <t>BELLEGARDE-POUSSIEU</t>
  </si>
  <si>
    <t>44110</t>
  </si>
  <si>
    <t>LOUISFERT</t>
  </si>
  <si>
    <t>SAINT-MEDARD-NICOURBY</t>
  </si>
  <si>
    <t>29770</t>
  </si>
  <si>
    <t>CLEDEN-CAP-SIZUN</t>
  </si>
  <si>
    <t>BARNAS</t>
  </si>
  <si>
    <t>7120</t>
  </si>
  <si>
    <t>CHAUZON</t>
  </si>
  <si>
    <t>72150</t>
  </si>
  <si>
    <t>MONTREUIL-LE-HENRI</t>
  </si>
  <si>
    <t>MILLEBOSC</t>
  </si>
  <si>
    <t>SAINT-GAUDERIC</t>
  </si>
  <si>
    <t>PIERRERUE</t>
  </si>
  <si>
    <t>FRESNES-MAZANCOURT</t>
  </si>
  <si>
    <t>MAXENT</t>
  </si>
  <si>
    <t>ROQUEFEUIL</t>
  </si>
  <si>
    <t>SAINT-DENIS-DE-JOUHET</t>
  </si>
  <si>
    <t>OMIECOURT</t>
  </si>
  <si>
    <t>MONTPITOL</t>
  </si>
  <si>
    <t>16410</t>
  </si>
  <si>
    <t>TORSAC</t>
  </si>
  <si>
    <t>86350</t>
  </si>
  <si>
    <t>CHATEAU-GARNIER</t>
  </si>
  <si>
    <t>FLORINGHEM</t>
  </si>
  <si>
    <t>ANSAUVILLE</t>
  </si>
  <si>
    <t>THEGRA</t>
  </si>
  <si>
    <t>VITOT</t>
  </si>
  <si>
    <t>43300</t>
  </si>
  <si>
    <t>CHARRAIX</t>
  </si>
  <si>
    <t>5120</t>
  </si>
  <si>
    <t>L'ARGENTIERE-LA-BESSEE</t>
  </si>
  <si>
    <t>11570</t>
  </si>
  <si>
    <t>VILLEFLOURE</t>
  </si>
  <si>
    <t>TREON</t>
  </si>
  <si>
    <t>VASSIMONT-ET-CHAPELAINE</t>
  </si>
  <si>
    <t>SASSAY</t>
  </si>
  <si>
    <t>SALASC</t>
  </si>
  <si>
    <t>CASTILLON-DE-LARBOUST</t>
  </si>
  <si>
    <t>28220</t>
  </si>
  <si>
    <t>CLOYES-SUR-LE-LOIR</t>
  </si>
  <si>
    <t>LE CHAUCHET</t>
  </si>
  <si>
    <t>CULETRE</t>
  </si>
  <si>
    <t>42750</t>
  </si>
  <si>
    <t>95350</t>
  </si>
  <si>
    <t>PISCOP</t>
  </si>
  <si>
    <t>85430</t>
  </si>
  <si>
    <t>LA BOISSIERE-DES-LANDES</t>
  </si>
  <si>
    <t>MONTIGNY-SAINT-BARTHELEMY</t>
  </si>
  <si>
    <t>CANTIERS</t>
  </si>
  <si>
    <t>MONTMERREI</t>
  </si>
  <si>
    <t>57540</t>
  </si>
  <si>
    <t>PETITE-ROSSELLE</t>
  </si>
  <si>
    <t>LA CHAUSSEE-D'IVRY</t>
  </si>
  <si>
    <t>DAVEJEAN</t>
  </si>
  <si>
    <t>MEDEYROLLES</t>
  </si>
  <si>
    <t>43290</t>
  </si>
  <si>
    <t>RAUCOULES</t>
  </si>
  <si>
    <t>COURTAOULT</t>
  </si>
  <si>
    <t>LOURMAIS</t>
  </si>
  <si>
    <t>5250</t>
  </si>
  <si>
    <t>AGNIERES-EN-DEVOLUY</t>
  </si>
  <si>
    <t>BALANZAC</t>
  </si>
  <si>
    <t>LALEVADE-D'ARDECHE</t>
  </si>
  <si>
    <t>TREOUERGAT</t>
  </si>
  <si>
    <t>ALLEREY-SUR-SAONE</t>
  </si>
  <si>
    <t>LIMONS</t>
  </si>
  <si>
    <t>89440</t>
  </si>
  <si>
    <t>DISSANGIS</t>
  </si>
  <si>
    <t>AMPONVILLE</t>
  </si>
  <si>
    <t>ALLEVARD</t>
  </si>
  <si>
    <t>NOYELLE-VION</t>
  </si>
  <si>
    <t>DOISSAT</t>
  </si>
  <si>
    <t>PERPEZAT</t>
  </si>
  <si>
    <t>SAINT-RENAN</t>
  </si>
  <si>
    <t>2B332</t>
  </si>
  <si>
    <t>URTACA</t>
  </si>
  <si>
    <t>SAINT-MARTIN-LE-VIEIL</t>
  </si>
  <si>
    <t>ARNEGUY</t>
  </si>
  <si>
    <t>ANDOUILLE</t>
  </si>
  <si>
    <t>PONTOY</t>
  </si>
  <si>
    <t>BENDEJUN</t>
  </si>
  <si>
    <t>24100</t>
  </si>
  <si>
    <t>CREYSSE</t>
  </si>
  <si>
    <t>LACROISILLE</t>
  </si>
  <si>
    <t>LANDERROUAT</t>
  </si>
  <si>
    <t>26460</t>
  </si>
  <si>
    <t>MORNANS</t>
  </si>
  <si>
    <t>VERZE</t>
  </si>
  <si>
    <t>PLESSALA</t>
  </si>
  <si>
    <t>46330</t>
  </si>
  <si>
    <t>TOUR-DE-FAURE</t>
  </si>
  <si>
    <t>CHEZY-EN-ORXOIS</t>
  </si>
  <si>
    <t>36290</t>
  </si>
  <si>
    <t>PAULNAY</t>
  </si>
  <si>
    <t>23460</t>
  </si>
  <si>
    <t>SAINT-MARTIN-CHATEAU</t>
  </si>
  <si>
    <t>PLOUGUERNEVEL</t>
  </si>
  <si>
    <t>ONEUX</t>
  </si>
  <si>
    <t>18290</t>
  </si>
  <si>
    <t>SAUGY</t>
  </si>
  <si>
    <t>VEYRAS</t>
  </si>
  <si>
    <t>43330</t>
  </si>
  <si>
    <t>PONT-SALOMON</t>
  </si>
  <si>
    <t>VILLEY-LE-SEC</t>
  </si>
  <si>
    <t>SAINT-IGNY-DE-VERS</t>
  </si>
  <si>
    <t>SAINT-MEDARD</t>
  </si>
  <si>
    <t>MONTGISCARD</t>
  </si>
  <si>
    <t>LIVERDY-EN-BRIE</t>
  </si>
  <si>
    <t>GAURIAC</t>
  </si>
  <si>
    <t>NACHAMPS</t>
  </si>
  <si>
    <t>22220</t>
  </si>
  <si>
    <t>TREDARZEC</t>
  </si>
  <si>
    <t>ANNAY-SUR-SEREIN</t>
  </si>
  <si>
    <t>PRIGNAC-ET-MARCAMPS</t>
  </si>
  <si>
    <t>REJAUMONT</t>
  </si>
  <si>
    <t>34710</t>
  </si>
  <si>
    <t>LESPIGNAN</t>
  </si>
  <si>
    <t>BOUTIERS-SAINT-TROJAN</t>
  </si>
  <si>
    <t>LEDENON</t>
  </si>
  <si>
    <t>77148</t>
  </si>
  <si>
    <t>LAVAL-EN-BRIE</t>
  </si>
  <si>
    <t>CHATILLON-SUR-BROUE</t>
  </si>
  <si>
    <t>MONTFURON</t>
  </si>
  <si>
    <t>PIENNES</t>
  </si>
  <si>
    <t>SAVIGNY-SOUS-FAYE</t>
  </si>
  <si>
    <t>SAUVETERRE-LA-LEMANCE</t>
  </si>
  <si>
    <t>LE MERLERAULT</t>
  </si>
  <si>
    <t>LUSIGNAN</t>
  </si>
  <si>
    <t>VILLAINES-LES-PREVOTES</t>
  </si>
  <si>
    <t>MONTRACOL</t>
  </si>
  <si>
    <t>FOURNES</t>
  </si>
  <si>
    <t>SAINT-JEAN-DE-LA-LEQUERAYE</t>
  </si>
  <si>
    <t>LES GRANGETTES</t>
  </si>
  <si>
    <t>FESSENHEIM</t>
  </si>
  <si>
    <t>BLICOURT</t>
  </si>
  <si>
    <t>FOUSSAIS-PAYRE</t>
  </si>
  <si>
    <t>CIRE-D'AUNIS</t>
  </si>
  <si>
    <t>LAPPION</t>
  </si>
  <si>
    <t>LA GODEFROY</t>
  </si>
  <si>
    <t>BREBOTTE</t>
  </si>
  <si>
    <t>62179</t>
  </si>
  <si>
    <t>WISSANT</t>
  </si>
  <si>
    <t>BARFLEUR</t>
  </si>
  <si>
    <t>89480</t>
  </si>
  <si>
    <t>LUCY-SUR-YONNE</t>
  </si>
  <si>
    <t>SEBY</t>
  </si>
  <si>
    <t>13002</t>
  </si>
  <si>
    <t>MARSEILLE--2E--ARRONDISSEMENT</t>
  </si>
  <si>
    <t>GROSBOIS</t>
  </si>
  <si>
    <t>36350</t>
  </si>
  <si>
    <t>LUANT</t>
  </si>
  <si>
    <t>TOURNECOUPE</t>
  </si>
  <si>
    <t>BRAM</t>
  </si>
  <si>
    <t>MOYEUVRE-PETITE</t>
  </si>
  <si>
    <t>LLO</t>
  </si>
  <si>
    <t>TENDRON</t>
  </si>
  <si>
    <t>MAIZIERES-SUR-AMANCE</t>
  </si>
  <si>
    <t>LEVIER</t>
  </si>
  <si>
    <t>45470</t>
  </si>
  <si>
    <t>REBRECHIEN</t>
  </si>
  <si>
    <t>LABARTHETE</t>
  </si>
  <si>
    <t>51310</t>
  </si>
  <si>
    <t>LES ESSARTS-LE-VICOMTE</t>
  </si>
  <si>
    <t>97120</t>
  </si>
  <si>
    <t>SAINT-CLAUDE</t>
  </si>
  <si>
    <t>SAINT-AIGNAN-DES-NOYERS</t>
  </si>
  <si>
    <t>INTRAVILLE</t>
  </si>
  <si>
    <t>66390</t>
  </si>
  <si>
    <t>BAIXAS</t>
  </si>
  <si>
    <t>SAINT-CYR-EN-BOURG</t>
  </si>
  <si>
    <t>MOSSON</t>
  </si>
  <si>
    <t>OLMET-ET-VILLECUN</t>
  </si>
  <si>
    <t>SENNEVOY-LE-HAUT</t>
  </si>
  <si>
    <t>VILLERS-LES-BOIS</t>
  </si>
  <si>
    <t>MONTIGNE</t>
  </si>
  <si>
    <t>46320</t>
  </si>
  <si>
    <t>ESPEDAILLAC</t>
  </si>
  <si>
    <t>MANONCOURT-EN-WOEVRE</t>
  </si>
  <si>
    <t>25210</t>
  </si>
  <si>
    <t>BONNETAGE</t>
  </si>
  <si>
    <t>BEAUSEMBLANT</t>
  </si>
  <si>
    <t>LESTERPS</t>
  </si>
  <si>
    <t>SURCAMPS</t>
  </si>
  <si>
    <t>LA BAUME</t>
  </si>
  <si>
    <t>23800</t>
  </si>
  <si>
    <t>SAINT-SULPICE-LE-DUNOIS</t>
  </si>
  <si>
    <t>GOUCHAUPRE</t>
  </si>
  <si>
    <t>19380</t>
  </si>
  <si>
    <t>NEUVILLE</t>
  </si>
  <si>
    <t>MEILLAC</t>
  </si>
  <si>
    <t>SAINT-MARTIN-DE-SESCAS</t>
  </si>
  <si>
    <t>COURPIAC</t>
  </si>
  <si>
    <t>ILLIES</t>
  </si>
  <si>
    <t>POMOY</t>
  </si>
  <si>
    <t>CHEVAIGNE</t>
  </si>
  <si>
    <t>LE CHEYLARD</t>
  </si>
  <si>
    <t>TOURTOUSE</t>
  </si>
  <si>
    <t>37700</t>
  </si>
  <si>
    <t>LA VILLE-AUX-DAMES</t>
  </si>
  <si>
    <t>WESTHOUSE</t>
  </si>
  <si>
    <t>CAUSSE-DE-LA-SELLE</t>
  </si>
  <si>
    <t>33220</t>
  </si>
  <si>
    <t>LA ROQUILLE</t>
  </si>
  <si>
    <t>29140</t>
  </si>
  <si>
    <t>SAINT-YVI</t>
  </si>
  <si>
    <t>VERNET-LES-BAINS</t>
  </si>
  <si>
    <t>SAINT-RACHO</t>
  </si>
  <si>
    <t>2470</t>
  </si>
  <si>
    <t>MARIZY-SAINTE-GENEVIEVE</t>
  </si>
  <si>
    <t>SAINT-JOUIN-BRUNEVAL</t>
  </si>
  <si>
    <t>27940</t>
  </si>
  <si>
    <t>VENABLES</t>
  </si>
  <si>
    <t>94270</t>
  </si>
  <si>
    <t>LE KREMLIN-BICETRE</t>
  </si>
  <si>
    <t>AUBIAC</t>
  </si>
  <si>
    <t>LUBECOURT</t>
  </si>
  <si>
    <t>HAN-DEVANT-PIERREPONT</t>
  </si>
  <si>
    <t>DIONAY</t>
  </si>
  <si>
    <t>GRANDVILLE</t>
  </si>
  <si>
    <t>MONTMARLON</t>
  </si>
  <si>
    <t>SAINT-GENEST-DE-BEAUZON</t>
  </si>
  <si>
    <t>MONTEAUX</t>
  </si>
  <si>
    <t>FOUSSEMAGNE</t>
  </si>
  <si>
    <t>85410</t>
  </si>
  <si>
    <t>LA CAILLERE-SAINT-HILAIRE</t>
  </si>
  <si>
    <t>DOLCOURT</t>
  </si>
  <si>
    <t>ROUVILLE</t>
  </si>
  <si>
    <t>52250</t>
  </si>
  <si>
    <t>FLAGEY</t>
  </si>
  <si>
    <t>LENTILLAC-DU-CAUSSE</t>
  </si>
  <si>
    <t>68380</t>
  </si>
  <si>
    <t>METZERAL</t>
  </si>
  <si>
    <t>AUZAINVILLIERS</t>
  </si>
  <si>
    <t>LE MONASTIER-SUR-GAZEILLE</t>
  </si>
  <si>
    <t>89000</t>
  </si>
  <si>
    <t>PERRIGNY</t>
  </si>
  <si>
    <t>29620</t>
  </si>
  <si>
    <t>LANMEUR</t>
  </si>
  <si>
    <t>BORCE</t>
  </si>
  <si>
    <t>SAMOUSSY</t>
  </si>
  <si>
    <t>SUPT</t>
  </si>
  <si>
    <t>UGNY</t>
  </si>
  <si>
    <t>SAINT-AMAND</t>
  </si>
  <si>
    <t>JUJOLS</t>
  </si>
  <si>
    <t>ROCHEFORT-EN-TERRE</t>
  </si>
  <si>
    <t>MONTAGNY</t>
  </si>
  <si>
    <t>PRADERE-LES-BOURGUETS</t>
  </si>
  <si>
    <t>CONFLANS-SUR-ANILLE</t>
  </si>
  <si>
    <t>EMPURY</t>
  </si>
  <si>
    <t>MORVILLE-SUR-SEILLE</t>
  </si>
  <si>
    <t>17150</t>
  </si>
  <si>
    <t>ALLAS-BOCAGE</t>
  </si>
  <si>
    <t>91820</t>
  </si>
  <si>
    <t>BOUTIGNY-SUR-ESSONNE</t>
  </si>
  <si>
    <t>10000</t>
  </si>
  <si>
    <t>TROYES</t>
  </si>
  <si>
    <t>67440</t>
  </si>
  <si>
    <t>SCHWENHEIM</t>
  </si>
  <si>
    <t>LANRELAS</t>
  </si>
  <si>
    <t>MERLIEUX-ET-FOUQUEROLLES</t>
  </si>
  <si>
    <t>SAINT-DESIRAT</t>
  </si>
  <si>
    <t>SAINT-SAUVEUR-LA-SAGNE</t>
  </si>
  <si>
    <t>DANCE</t>
  </si>
  <si>
    <t>26780</t>
  </si>
  <si>
    <t>CHATEAUNEUF-DU-RHONE</t>
  </si>
  <si>
    <t>LERRAIN</t>
  </si>
  <si>
    <t>AINAY-LE-CHATEAU</t>
  </si>
  <si>
    <t>59191</t>
  </si>
  <si>
    <t>HAUCOURT-EN-CAMBRESIS</t>
  </si>
  <si>
    <t>BRENGUES</t>
  </si>
  <si>
    <t>QUERCAMPS</t>
  </si>
  <si>
    <t>CHALTRAIT</t>
  </si>
  <si>
    <t>ARRANCOURT</t>
  </si>
  <si>
    <t>ETOUVELLES</t>
  </si>
  <si>
    <t>LOUVIGNY</t>
  </si>
  <si>
    <t>BRANDEVILLE</t>
  </si>
  <si>
    <t>MORNAY-BERRY</t>
  </si>
  <si>
    <t>22170</t>
  </si>
  <si>
    <t>PLOUAGAT</t>
  </si>
  <si>
    <t>BUZANCY</t>
  </si>
  <si>
    <t>SAINT-PARDOUX-DU-BREUIL</t>
  </si>
  <si>
    <t>MENOTEY</t>
  </si>
  <si>
    <t>LES AIX-D'ANGILLON</t>
  </si>
  <si>
    <t>NEUVY</t>
  </si>
  <si>
    <t>SERVIES-EN-VAL</t>
  </si>
  <si>
    <t>85250</t>
  </si>
  <si>
    <t>SAINT-ANDRE-GOULE-D'OIE</t>
  </si>
  <si>
    <t>73630</t>
  </si>
  <si>
    <t>LA COMPOTE</t>
  </si>
  <si>
    <t>24270</t>
  </si>
  <si>
    <t>ANGOISSE</t>
  </si>
  <si>
    <t>AUZANCES</t>
  </si>
  <si>
    <t>CHENECEY-BUILLON</t>
  </si>
  <si>
    <t>VEZILLY</t>
  </si>
  <si>
    <t>64250</t>
  </si>
  <si>
    <t>SOURAIDE</t>
  </si>
  <si>
    <t>21570</t>
  </si>
  <si>
    <t>GRANCEY-SUR-OURCE</t>
  </si>
  <si>
    <t>65560</t>
  </si>
  <si>
    <t>FERRIERES</t>
  </si>
  <si>
    <t>ALRANCE</t>
  </si>
  <si>
    <t>BRIANT</t>
  </si>
  <si>
    <t>SAINT-ANDRE-LE-COQ</t>
  </si>
  <si>
    <t>SAINT-MARTIN-LES-EAUX</t>
  </si>
  <si>
    <t>LABRUYERE</t>
  </si>
  <si>
    <t>LONGCHAMPS</t>
  </si>
  <si>
    <t>LA BLOUTIERE</t>
  </si>
  <si>
    <t>59890</t>
  </si>
  <si>
    <t>QUESNOY-SUR-DEULE</t>
  </si>
  <si>
    <t>HEREPIAN</t>
  </si>
  <si>
    <t>LE POET-CELARD</t>
  </si>
  <si>
    <t>65370</t>
  </si>
  <si>
    <t>ANLA</t>
  </si>
  <si>
    <t>MONDREPUIS</t>
  </si>
  <si>
    <t>62119</t>
  </si>
  <si>
    <t>DOURGES</t>
  </si>
  <si>
    <t>68000</t>
  </si>
  <si>
    <t>COLMAR</t>
  </si>
  <si>
    <t>CHAMBERAUD</t>
  </si>
  <si>
    <t>GRAINVILLE-SUR-ODON</t>
  </si>
  <si>
    <t>29790</t>
  </si>
  <si>
    <t>CONFORT-MEILARS</t>
  </si>
  <si>
    <t>ROUSSAC</t>
  </si>
  <si>
    <t>PONTS</t>
  </si>
  <si>
    <t>59164</t>
  </si>
  <si>
    <t>MARPENT</t>
  </si>
  <si>
    <t>79380</t>
  </si>
  <si>
    <t>SAINT-ANDRE-SUR-SEVRE</t>
  </si>
  <si>
    <t>MIRANDE</t>
  </si>
  <si>
    <t>TOURVES</t>
  </si>
  <si>
    <t>MARSOULAS</t>
  </si>
  <si>
    <t>MORLANCOURT</t>
  </si>
  <si>
    <t>BLAGNY-SUR-VINGEANNE</t>
  </si>
  <si>
    <t>CLERE-DU-BOIS</t>
  </si>
  <si>
    <t>32730</t>
  </si>
  <si>
    <t>MONTEGUT-ARROS</t>
  </si>
  <si>
    <t>SAINT-AMAND-DE-BELVES</t>
  </si>
  <si>
    <t>DONNEVILLE</t>
  </si>
  <si>
    <t>LE BOISLE</t>
  </si>
  <si>
    <t>GOUAUX-DE-LUCHON</t>
  </si>
  <si>
    <t>TAINGY</t>
  </si>
  <si>
    <t>HAMONVILLE</t>
  </si>
  <si>
    <t>HENFLINGEN</t>
  </si>
  <si>
    <t>THIEUX</t>
  </si>
  <si>
    <t>BESSEY-EN-CHAUME</t>
  </si>
  <si>
    <t>COURCOUE</t>
  </si>
  <si>
    <t>62320</t>
  </si>
  <si>
    <t>ACHEVILLE</t>
  </si>
  <si>
    <t>MAUCOMBLE</t>
  </si>
  <si>
    <t>LA VICOGNE</t>
  </si>
  <si>
    <t>71580</t>
  </si>
  <si>
    <t>SAVIGNY-EN-REVERMONT</t>
  </si>
  <si>
    <t>15250</t>
  </si>
  <si>
    <t>MARMANHAC</t>
  </si>
  <si>
    <t>MASQUIERES</t>
  </si>
  <si>
    <t>SAINT-MAURICE-DE-LIGNON</t>
  </si>
  <si>
    <t>LA MARRE</t>
  </si>
  <si>
    <t>MONT-DEVANT-SASSEY</t>
  </si>
  <si>
    <t>DALSTEIN</t>
  </si>
  <si>
    <t>HOFFEN</t>
  </si>
  <si>
    <t>BERUS</t>
  </si>
  <si>
    <t>2B221</t>
  </si>
  <si>
    <t>PIEDIPARTINO</t>
  </si>
  <si>
    <t>MUEL</t>
  </si>
  <si>
    <t>CHAMP-DU-BOULT</t>
  </si>
  <si>
    <t>SAINTE-CROIX-HAGUE</t>
  </si>
  <si>
    <t>MORIENNE</t>
  </si>
  <si>
    <t>MONTCABRIER</t>
  </si>
  <si>
    <t>LA BERLIERE</t>
  </si>
  <si>
    <t>QUESTRECQUES</t>
  </si>
  <si>
    <t>GENEVREUILLE</t>
  </si>
  <si>
    <t>19170</t>
  </si>
  <si>
    <t>L'EGLISE-AUX-BOIS</t>
  </si>
  <si>
    <t>35560</t>
  </si>
  <si>
    <t>ANTRAIN</t>
  </si>
  <si>
    <t>COHADE</t>
  </si>
  <si>
    <t>SOUMAINTRAIN</t>
  </si>
  <si>
    <t>LA FLAMENGRIE</t>
  </si>
  <si>
    <t>LA CELLE-SOUS-GOUZON</t>
  </si>
  <si>
    <t>MOUILLERON</t>
  </si>
  <si>
    <t>LE LINDOIS</t>
  </si>
  <si>
    <t>41230</t>
  </si>
  <si>
    <t>VEILLEINS</t>
  </si>
  <si>
    <t>BUSSY-LES-DAOURS</t>
  </si>
  <si>
    <t>DRUCOURT</t>
  </si>
  <si>
    <t>SAINT-LOUP-EN-COMMINGES</t>
  </si>
  <si>
    <t>HIESVILLE</t>
  </si>
  <si>
    <t>59252</t>
  </si>
  <si>
    <t>WASNES-AU-BAC</t>
  </si>
  <si>
    <t>POILCOURT-SYDNEY</t>
  </si>
  <si>
    <t>GINALS</t>
  </si>
  <si>
    <t>MOUFLERS</t>
  </si>
  <si>
    <t>ARAGNOUET</t>
  </si>
  <si>
    <t>CHEVREGNY</t>
  </si>
  <si>
    <t>GERBAMONT</t>
  </si>
  <si>
    <t>FRUGIERES-LE-PIN</t>
  </si>
  <si>
    <t>MOSNES</t>
  </si>
  <si>
    <t>9250</t>
  </si>
  <si>
    <t>LORDAT</t>
  </si>
  <si>
    <t>BEVY</t>
  </si>
  <si>
    <t>SAINT-AMANT</t>
  </si>
  <si>
    <t>49170</t>
  </si>
  <si>
    <t>LA POSSONNIERE</t>
  </si>
  <si>
    <t>RECQUES-SUR-COURSE</t>
  </si>
  <si>
    <t>DORANGES</t>
  </si>
  <si>
    <t>SAINT-AMAND-DE-COLY</t>
  </si>
  <si>
    <t>LES BAUX-DE-BRETEUIL</t>
  </si>
  <si>
    <t>CHATEAU-RENAULT</t>
  </si>
  <si>
    <t>67690</t>
  </si>
  <si>
    <t>HATTEN</t>
  </si>
  <si>
    <t>POUY</t>
  </si>
  <si>
    <t>SOUPROSSE</t>
  </si>
  <si>
    <t>CONDE-SUR-MARNE</t>
  </si>
  <si>
    <t>VOILLECOMTE</t>
  </si>
  <si>
    <t>36200</t>
  </si>
  <si>
    <t>CELON</t>
  </si>
  <si>
    <t>49670</t>
  </si>
  <si>
    <t>VALANJOU</t>
  </si>
  <si>
    <t>SORNAC</t>
  </si>
  <si>
    <t>81250</t>
  </si>
  <si>
    <t>MIOLLES</t>
  </si>
  <si>
    <t>78117</t>
  </si>
  <si>
    <t>TOUSSUS-LE-NOBLE</t>
  </si>
  <si>
    <t>14610</t>
  </si>
  <si>
    <t>ANGUERNY</t>
  </si>
  <si>
    <t>POURSAC</t>
  </si>
  <si>
    <t>BELLONNE</t>
  </si>
  <si>
    <t>MAULEON-BAROUSSE</t>
  </si>
  <si>
    <t>ACY-ROMANCE</t>
  </si>
  <si>
    <t>SEMBAS</t>
  </si>
  <si>
    <t>WEGSCHEID</t>
  </si>
  <si>
    <t>66720</t>
  </si>
  <si>
    <t>PLANEZES</t>
  </si>
  <si>
    <t>2B365</t>
  </si>
  <si>
    <t>SAN-GAVINO-DI-FIUMORBO</t>
  </si>
  <si>
    <t>TARDES</t>
  </si>
  <si>
    <t>MORSANG-SUR-SEINE</t>
  </si>
  <si>
    <t>34440</t>
  </si>
  <si>
    <t>NISSAN-LEZ-ENSERUNE</t>
  </si>
  <si>
    <t>POUJOLS</t>
  </si>
  <si>
    <t>78490</t>
  </si>
  <si>
    <t>LES MESNULS</t>
  </si>
  <si>
    <t>SAINT-VALENTIN</t>
  </si>
  <si>
    <t>7580</t>
  </si>
  <si>
    <t>SAINT-JEAN-LE-CENTENIER</t>
  </si>
  <si>
    <t>47340</t>
  </si>
  <si>
    <t>HAUTEFAGE-LA-TOUR</t>
  </si>
  <si>
    <t>6550</t>
  </si>
  <si>
    <t>LA ROQUETTE-SUR-SIAGNE</t>
  </si>
  <si>
    <t>34880</t>
  </si>
  <si>
    <t>LAVERUNE</t>
  </si>
  <si>
    <t>GRAVAL</t>
  </si>
  <si>
    <t>HAVRINCOURT</t>
  </si>
  <si>
    <t>ALLEMANS</t>
  </si>
  <si>
    <t>FORT-DU-PLASNE</t>
  </si>
  <si>
    <t>BELMONT</t>
  </si>
  <si>
    <t>GENEVRIERES</t>
  </si>
  <si>
    <t>VABRES</t>
  </si>
  <si>
    <t>39360</t>
  </si>
  <si>
    <t>LARRIVOIRE</t>
  </si>
  <si>
    <t>LOISY-EN-BRIE</t>
  </si>
  <si>
    <t>VARENGUEBEC</t>
  </si>
  <si>
    <t>SAINT-MARTIN-DU-BEC</t>
  </si>
  <si>
    <t>QUILLY</t>
  </si>
  <si>
    <t>SAINT-ERME-OUTRE-ET-RAMECOURT</t>
  </si>
  <si>
    <t>TILLY-LA-CAMPAGNE</t>
  </si>
  <si>
    <t>35580</t>
  </si>
  <si>
    <t>GUICHEN</t>
  </si>
  <si>
    <t>ILLFURTH</t>
  </si>
  <si>
    <t>18200</t>
  </si>
  <si>
    <t>26450</t>
  </si>
  <si>
    <t>CHAROLS</t>
  </si>
  <si>
    <t>1110</t>
  </si>
  <si>
    <t>HOSTIAZ</t>
  </si>
  <si>
    <t>FAUCOMPIERRE</t>
  </si>
  <si>
    <t>ARVILLE</t>
  </si>
  <si>
    <t>DOUZAT</t>
  </si>
  <si>
    <t>91610</t>
  </si>
  <si>
    <t>BALLANCOURT-SUR-ESSONNE</t>
  </si>
  <si>
    <t>VOULEME</t>
  </si>
  <si>
    <t>LONGNES</t>
  </si>
  <si>
    <t>56170</t>
  </si>
  <si>
    <t>HOEDIC</t>
  </si>
  <si>
    <t>CORBEILLES</t>
  </si>
  <si>
    <t>FROZES</t>
  </si>
  <si>
    <t>LANGEY</t>
  </si>
  <si>
    <t>BELMONT-LES-DARNEY</t>
  </si>
  <si>
    <t>AZEVILLE</t>
  </si>
  <si>
    <t>RANCHY</t>
  </si>
  <si>
    <t>BERGUES-SUR-SAMBRE</t>
  </si>
  <si>
    <t>35131</t>
  </si>
  <si>
    <t>CHARTRES-DE-BRETAGNE</t>
  </si>
  <si>
    <t>29246</t>
  </si>
  <si>
    <t>POULLAOUEN</t>
  </si>
  <si>
    <t>PORCIEU-AMBLAGNIEU</t>
  </si>
  <si>
    <t>TREMONT</t>
  </si>
  <si>
    <t>FRESNAY-LE-SAMSON</t>
  </si>
  <si>
    <t>59119</t>
  </si>
  <si>
    <t>WAZIERS</t>
  </si>
  <si>
    <t>ROUCY</t>
  </si>
  <si>
    <t>SAINT-BONNET-DE-JOUX</t>
  </si>
  <si>
    <t>LIXING-LES-ROUHLING</t>
  </si>
  <si>
    <t>ERQUINVILLERS</t>
  </si>
  <si>
    <t>JASSERON</t>
  </si>
  <si>
    <t>MASSINGY</t>
  </si>
  <si>
    <t>SAINT-EUTROPE-DE-BORN</t>
  </si>
  <si>
    <t>HOUEVILLE</t>
  </si>
  <si>
    <t>SAINT-PIERRE-LANGERS</t>
  </si>
  <si>
    <t>AMBLOY</t>
  </si>
  <si>
    <t>MARSEILLAN</t>
  </si>
  <si>
    <t>LE BEC-HELLOUIN</t>
  </si>
  <si>
    <t>VOELLERDINGEN</t>
  </si>
  <si>
    <t>LE BENY-BOCAGE</t>
  </si>
  <si>
    <t>20215</t>
  </si>
  <si>
    <t>2B214</t>
  </si>
  <si>
    <t>PIANO</t>
  </si>
  <si>
    <t>63630</t>
  </si>
  <si>
    <t>FAYET-RONAYE</t>
  </si>
  <si>
    <t>VITRY-LES-CLUNY</t>
  </si>
  <si>
    <t>HAMELINCOURT</t>
  </si>
  <si>
    <t>MONNETAY</t>
  </si>
  <si>
    <t>FAUCH</t>
  </si>
  <si>
    <t>CASTELGAILLARD</t>
  </si>
  <si>
    <t>SOLEMONT</t>
  </si>
  <si>
    <t>85460</t>
  </si>
  <si>
    <t>LA FAUTE-SUR-MER</t>
  </si>
  <si>
    <t>BOUSSEY</t>
  </si>
  <si>
    <t>AUNAY-EN-BAZOIS</t>
  </si>
  <si>
    <t>LATTRE-SAINT-QUENTIN</t>
  </si>
  <si>
    <t>91180</t>
  </si>
  <si>
    <t>SAINT-GERMAIN-LES-ARPAJON</t>
  </si>
  <si>
    <t>SOUCE</t>
  </si>
  <si>
    <t>1100</t>
  </si>
  <si>
    <t>APREMONT</t>
  </si>
  <si>
    <t>LA FRETTE</t>
  </si>
  <si>
    <t>AUTIGNAC</t>
  </si>
  <si>
    <t>RANCONNIERES</t>
  </si>
  <si>
    <t>22310</t>
  </si>
  <si>
    <t>TREMEL</t>
  </si>
  <si>
    <t>26390</t>
  </si>
  <si>
    <t>HAUTERIVES</t>
  </si>
  <si>
    <t>WATTIGNIES-LA-VICTOIRE</t>
  </si>
  <si>
    <t>33470</t>
  </si>
  <si>
    <t>LE TEICH</t>
  </si>
  <si>
    <t>OUGE</t>
  </si>
  <si>
    <t>FONTAINE-LE-DUN</t>
  </si>
  <si>
    <t>BELVERNE</t>
  </si>
  <si>
    <t>31150</t>
  </si>
  <si>
    <t>FENOUILLET</t>
  </si>
  <si>
    <t>MAZEROLLES</t>
  </si>
  <si>
    <t>BALLERAY</t>
  </si>
  <si>
    <t>VALOREILLE</t>
  </si>
  <si>
    <t>FILSTROFF</t>
  </si>
  <si>
    <t>FONTANES-DU-CAUSSE</t>
  </si>
  <si>
    <t>59600</t>
  </si>
  <si>
    <t>GOGNIES-CHAUSSEE</t>
  </si>
  <si>
    <t>LONGUES-SUR-MER</t>
  </si>
  <si>
    <t>SAINT-MARTIN-DU-FRENE</t>
  </si>
  <si>
    <t>SAINT-PIERRE-DE-LAMPS</t>
  </si>
  <si>
    <t>CONDORCET</t>
  </si>
  <si>
    <t>AMFREVILLE-SUR-ITON</t>
  </si>
  <si>
    <t>SAINT-SAUVEUR-DE-CRUZIERES</t>
  </si>
  <si>
    <t>62430</t>
  </si>
  <si>
    <t>SALLAUMINES</t>
  </si>
  <si>
    <t>SY</t>
  </si>
  <si>
    <t>BENARVILLE</t>
  </si>
  <si>
    <t>MIGNE</t>
  </si>
  <si>
    <t>GOMONT</t>
  </si>
  <si>
    <t>SAINT-PAUL-LA-ROCHE</t>
  </si>
  <si>
    <t>LUDIES</t>
  </si>
  <si>
    <t>CHAUCHE</t>
  </si>
  <si>
    <t>AMELIE-LES-BAINS-PALALDA</t>
  </si>
  <si>
    <t>SAINTE-COLOMBE</t>
  </si>
  <si>
    <t>77174</t>
  </si>
  <si>
    <t>VILLENEUVE-LE-COMTE</t>
  </si>
  <si>
    <t>25930</t>
  </si>
  <si>
    <t>LODS</t>
  </si>
  <si>
    <t>BOO-SILHEN</t>
  </si>
  <si>
    <t>BUSSAC-SUR-CHARENTE</t>
  </si>
  <si>
    <t>ROHAIRE</t>
  </si>
  <si>
    <t>SAINT-MICHEL-SUR-SAVASSE</t>
  </si>
  <si>
    <t>24660</t>
  </si>
  <si>
    <t>COULOUNIEIX-CHAMIERS</t>
  </si>
  <si>
    <t>80120</t>
  </si>
  <si>
    <t>REGNIERE-ECLUSE</t>
  </si>
  <si>
    <t>8440</t>
  </si>
  <si>
    <t>GERNELLE</t>
  </si>
  <si>
    <t>ENCHASTRAYES</t>
  </si>
  <si>
    <t>SEUILLY</t>
  </si>
  <si>
    <t>CHEMELLIER</t>
  </si>
  <si>
    <t>PERNANT</t>
  </si>
  <si>
    <t>ROSAY</t>
  </si>
  <si>
    <t>SAINT-PIERRE-LE-VIEUX</t>
  </si>
  <si>
    <t>BACHOS</t>
  </si>
  <si>
    <t>LIMETZ-VILLEZ</t>
  </si>
  <si>
    <t>59400</t>
  </si>
  <si>
    <t>CAMBRAI</t>
  </si>
  <si>
    <t>SAINT-POIX</t>
  </si>
  <si>
    <t>MILHAS</t>
  </si>
  <si>
    <t>SAINT-OUEN-LES-PAREY</t>
  </si>
  <si>
    <t>19410</t>
  </si>
  <si>
    <t>ORGNAC-SUR-VEZERE</t>
  </si>
  <si>
    <t>LE CHEMIN</t>
  </si>
  <si>
    <t>SAINT-LEGER-DE-BALSON</t>
  </si>
  <si>
    <t>MOYVILLERS</t>
  </si>
  <si>
    <t>MEHARIN</t>
  </si>
  <si>
    <t>SAINT-JEAN-DELNOUS</t>
  </si>
  <si>
    <t>GRANDEYROLLES</t>
  </si>
  <si>
    <t>33640</t>
  </si>
  <si>
    <t>PORTETS</t>
  </si>
  <si>
    <t>VIELLE-TURSAN</t>
  </si>
  <si>
    <t>MEZIERES-SUR-COUESNON</t>
  </si>
  <si>
    <t>VEZAC</t>
  </si>
  <si>
    <t>LA BALME</t>
  </si>
  <si>
    <t>PIED-DE-BORNE</t>
  </si>
  <si>
    <t>3330</t>
  </si>
  <si>
    <t>CHIRAT-L'EGLISE</t>
  </si>
  <si>
    <t>SAINT-CASSIEN</t>
  </si>
  <si>
    <t>74370</t>
  </si>
  <si>
    <t>ARGONAY</t>
  </si>
  <si>
    <t>81660</t>
  </si>
  <si>
    <t>PONT-DE-LARN</t>
  </si>
  <si>
    <t>THEZY-GLIMONT</t>
  </si>
  <si>
    <t>EYROLES</t>
  </si>
  <si>
    <t>LA CHAPELLE-SAINT-FRAY</t>
  </si>
  <si>
    <t>34370</t>
  </si>
  <si>
    <t>MARAUSSAN</t>
  </si>
  <si>
    <t>50230</t>
  </si>
  <si>
    <t>AGON-COUTAINVILLE</t>
  </si>
  <si>
    <t>13590</t>
  </si>
  <si>
    <t>MEYREUIL</t>
  </si>
  <si>
    <t>VOUXEY</t>
  </si>
  <si>
    <t>SEREZ</t>
  </si>
  <si>
    <t>16220</t>
  </si>
  <si>
    <t>MONTBRON</t>
  </si>
  <si>
    <t>BERMERICOURT</t>
  </si>
  <si>
    <t>CHEVIGNY</t>
  </si>
  <si>
    <t>SEGURA</t>
  </si>
  <si>
    <t>GLATENS</t>
  </si>
  <si>
    <t>DYE</t>
  </si>
  <si>
    <t>SAINT-PIERRE-LES-BITRY</t>
  </si>
  <si>
    <t>FESTUBERT</t>
  </si>
  <si>
    <t>BIO</t>
  </si>
  <si>
    <t>SAULLES</t>
  </si>
  <si>
    <t>LA HAYE-AUBREE</t>
  </si>
  <si>
    <t>L'ESCARENE</t>
  </si>
  <si>
    <t>SAINT-VERAND</t>
  </si>
  <si>
    <t>GRANGES-SUR-VOLOGNE</t>
  </si>
  <si>
    <t>PISSY-POVILLE</t>
  </si>
  <si>
    <t>LA CROIX-BLANCHE</t>
  </si>
  <si>
    <t>MOLINEUF</t>
  </si>
  <si>
    <t>SAINTE-SOULLE</t>
  </si>
  <si>
    <t>SAINT-BONNET-DE-SALERS</t>
  </si>
  <si>
    <t>ACHERY</t>
  </si>
  <si>
    <t>42490</t>
  </si>
  <si>
    <t>FRAISSES</t>
  </si>
  <si>
    <t>NEUVILLE-SUR-SARTHE</t>
  </si>
  <si>
    <t>BIZOU</t>
  </si>
  <si>
    <t>BOURGUIGNON-LES-CONFLANS</t>
  </si>
  <si>
    <t>48600</t>
  </si>
  <si>
    <t>GUERET</t>
  </si>
  <si>
    <t>87320</t>
  </si>
  <si>
    <t>THIAT</t>
  </si>
  <si>
    <t>ECHALLAT</t>
  </si>
  <si>
    <t>CHAMP-HAUT</t>
  </si>
  <si>
    <t>73130</t>
  </si>
  <si>
    <t>MONTAIMONT</t>
  </si>
  <si>
    <t>VERINES</t>
  </si>
  <si>
    <t>LE GRAND-LEMPS</t>
  </si>
  <si>
    <t>BARRE-DES-CEVENNES</t>
  </si>
  <si>
    <t>MAZOUAU</t>
  </si>
  <si>
    <t>JOCH</t>
  </si>
  <si>
    <t>SAINT-AUBIN-CELLOVILLE</t>
  </si>
  <si>
    <t>TROISSEREUX</t>
  </si>
  <si>
    <t>41220</t>
  </si>
  <si>
    <t>DHUIZON</t>
  </si>
  <si>
    <t>37260</t>
  </si>
  <si>
    <t>THILOUZE</t>
  </si>
  <si>
    <t>ARBERATS-SILLEGUE</t>
  </si>
  <si>
    <t>SAINT-MARTIN-DES-PUITS</t>
  </si>
  <si>
    <t>LACHAMP</t>
  </si>
  <si>
    <t>BUXEUIL</t>
  </si>
  <si>
    <t>93120</t>
  </si>
  <si>
    <t>LA COURNEUVE</t>
  </si>
  <si>
    <t>ARTIGUELOUTAN</t>
  </si>
  <si>
    <t>JUNHAC</t>
  </si>
  <si>
    <t>TOCQUEVILLE-EN-CAUX</t>
  </si>
  <si>
    <t>JOZE</t>
  </si>
  <si>
    <t>81440</t>
  </si>
  <si>
    <t>PUYCALVEL</t>
  </si>
  <si>
    <t>ETON</t>
  </si>
  <si>
    <t>SAINT-JANS-CAPPEL</t>
  </si>
  <si>
    <t>20253</t>
  </si>
  <si>
    <t>2B029</t>
  </si>
  <si>
    <t>BARBAGGIO</t>
  </si>
  <si>
    <t>HERLINCOURT</t>
  </si>
  <si>
    <t>LETRICOURT</t>
  </si>
  <si>
    <t>VILLETTE-DE-VIENNE</t>
  </si>
  <si>
    <t>SAINT-EUPHRONE</t>
  </si>
  <si>
    <t>EAUZE</t>
  </si>
  <si>
    <t>AZUR</t>
  </si>
  <si>
    <t>MONTBARREY</t>
  </si>
  <si>
    <t>62122</t>
  </si>
  <si>
    <t>LAPUGNOY</t>
  </si>
  <si>
    <t>LAMBRUISSE</t>
  </si>
  <si>
    <t>67350</t>
  </si>
  <si>
    <t>UBERACH</t>
  </si>
  <si>
    <t>63140</t>
  </si>
  <si>
    <t>CHATEL-GUYON</t>
  </si>
  <si>
    <t>SAINT-VINCENT-DES-BOIS</t>
  </si>
  <si>
    <t>ESPECHEDE</t>
  </si>
  <si>
    <t>LEFAUX</t>
  </si>
  <si>
    <t>SAINT-LAURENT-LA-ROCHE</t>
  </si>
  <si>
    <t>35320</t>
  </si>
  <si>
    <t>LA COUYERE</t>
  </si>
  <si>
    <t>67000/67100/67200</t>
  </si>
  <si>
    <t>STRASBOURG</t>
  </si>
  <si>
    <t>SAINT-ANDEOL-DE-BERG</t>
  </si>
  <si>
    <t>32340</t>
  </si>
  <si>
    <t>CASTET-ARROUY</t>
  </si>
  <si>
    <t>TOURVILLE-LA-CAMPAGNE</t>
  </si>
  <si>
    <t>GIVONNE</t>
  </si>
  <si>
    <t>CHARENTENAY</t>
  </si>
  <si>
    <t>ORGLANDES</t>
  </si>
  <si>
    <t>SAUVAGNAT-SAINTE-MARTHE</t>
  </si>
  <si>
    <t>ECHENAY</t>
  </si>
  <si>
    <t>SAINTE-TRIE</t>
  </si>
  <si>
    <t>56150</t>
  </si>
  <si>
    <t>SAINT-BARTHELEMY</t>
  </si>
  <si>
    <t>CADALEN</t>
  </si>
  <si>
    <t>54330</t>
  </si>
  <si>
    <t>ETREVAL</t>
  </si>
  <si>
    <t>CHEUGE</t>
  </si>
  <si>
    <t>57140</t>
  </si>
  <si>
    <t>SAULNY</t>
  </si>
  <si>
    <t>CHAUVIREY-LE-VIEIL</t>
  </si>
  <si>
    <t>SANDAUCOURT</t>
  </si>
  <si>
    <t>DOUE-LA-FONTAINE</t>
  </si>
  <si>
    <t>ETRUN</t>
  </si>
  <si>
    <t>NAMPS-MAISNIL</t>
  </si>
  <si>
    <t>68280</t>
  </si>
  <si>
    <t>ANDOLSHEIM</t>
  </si>
  <si>
    <t>VOINEMONT</t>
  </si>
  <si>
    <t>10310</t>
  </si>
  <si>
    <t>BAYEL</t>
  </si>
  <si>
    <t>BERNES-SUR-OISE</t>
  </si>
  <si>
    <t>CIPIERES</t>
  </si>
  <si>
    <t>MONTMARTIN-EN-GRAIGNES</t>
  </si>
  <si>
    <t>12390</t>
  </si>
  <si>
    <t>ANGLARS-SAINT-FELIX</t>
  </si>
  <si>
    <t>BOSC-BORDEL</t>
  </si>
  <si>
    <t>ILLE-SUR-TET</t>
  </si>
  <si>
    <t>59268</t>
  </si>
  <si>
    <t>ABANCOURT</t>
  </si>
  <si>
    <t>61380</t>
  </si>
  <si>
    <t>SOLIGNY-LA-TRAPPE</t>
  </si>
  <si>
    <t>DOHIS</t>
  </si>
  <si>
    <t>PROYART</t>
  </si>
  <si>
    <t>PRADINES</t>
  </si>
  <si>
    <t>44630</t>
  </si>
  <si>
    <t>PLESSE</t>
  </si>
  <si>
    <t>KINTZHEIM</t>
  </si>
  <si>
    <t>SAGONNE</t>
  </si>
  <si>
    <t>CHUFFILLY-ROCHE</t>
  </si>
  <si>
    <t>42440</t>
  </si>
  <si>
    <t>SAINT-JEAN-LA-VETRE</t>
  </si>
  <si>
    <t>SAINT-ETIENNE-LE-LAUS</t>
  </si>
  <si>
    <t>ARGELOS</t>
  </si>
  <si>
    <t>EFFINCOURT</t>
  </si>
  <si>
    <t>43430</t>
  </si>
  <si>
    <t>CHAUDEYROLLES</t>
  </si>
  <si>
    <t>LA COTE-SAINT-ANDRE</t>
  </si>
  <si>
    <t>1160</t>
  </si>
  <si>
    <t>DRUILLAT</t>
  </si>
  <si>
    <t>SAINT-THONAN</t>
  </si>
  <si>
    <t>88240</t>
  </si>
  <si>
    <t>LA CHAPELLE-AUX-BOIS</t>
  </si>
  <si>
    <t>PARADOU</t>
  </si>
  <si>
    <t>SAINT-JEAN-SAINT-GERVAIS</t>
  </si>
  <si>
    <t>SAINT-JULIEN-DE-LA-LIEGUE</t>
  </si>
  <si>
    <t>83570</t>
  </si>
  <si>
    <t>CORRENS</t>
  </si>
  <si>
    <t>33990</t>
  </si>
  <si>
    <t>HOURTIN</t>
  </si>
  <si>
    <t>AUGERVILLE-LA-RIVIERE</t>
  </si>
  <si>
    <t>VILLENEUVE-LES-MONTREAL</t>
  </si>
  <si>
    <t>MIRAMBEAU</t>
  </si>
  <si>
    <t>FAY-LES-ETANGS</t>
  </si>
  <si>
    <t>CINQ-MARS-LA-PILE</t>
  </si>
  <si>
    <t>38650</t>
  </si>
  <si>
    <t>SAINT-PAUL-LES-MONESTIER</t>
  </si>
  <si>
    <t>CAMOUS</t>
  </si>
  <si>
    <t>63590</t>
  </si>
  <si>
    <t>CUNLHAT</t>
  </si>
  <si>
    <t>21420</t>
  </si>
  <si>
    <t>SAVIGNY-LES-BEAUNE</t>
  </si>
  <si>
    <t>74290</t>
  </si>
  <si>
    <t>TALLOIRES</t>
  </si>
  <si>
    <t>64240</t>
  </si>
  <si>
    <t>ISTURITS</t>
  </si>
  <si>
    <t>OIRY</t>
  </si>
  <si>
    <t>LOUZAC-SAINT-ANDRE</t>
  </si>
  <si>
    <t>SAINT-JULIEN-LES-MONTBELIARD</t>
  </si>
  <si>
    <t>BLIEUX</t>
  </si>
  <si>
    <t>67920</t>
  </si>
  <si>
    <t>SUNDHOUSE</t>
  </si>
  <si>
    <t>13100</t>
  </si>
  <si>
    <t>LE THOLONET</t>
  </si>
  <si>
    <t>JARRIE</t>
  </si>
  <si>
    <t>CHEMERY</t>
  </si>
  <si>
    <t>LUZAY</t>
  </si>
  <si>
    <t>WITTRING</t>
  </si>
  <si>
    <t>LE VERNOY</t>
  </si>
  <si>
    <t>87110</t>
  </si>
  <si>
    <t>SOLIGNAC</t>
  </si>
  <si>
    <t>SAINT-SYMPHORIEN-D'ANCELLES</t>
  </si>
  <si>
    <t>CAGNONCLES</t>
  </si>
  <si>
    <t>SAINT-CREAC</t>
  </si>
  <si>
    <t>7350</t>
  </si>
  <si>
    <t>CRUAS</t>
  </si>
  <si>
    <t>BERGERES</t>
  </si>
  <si>
    <t>JARNIOUX</t>
  </si>
  <si>
    <t>50640</t>
  </si>
  <si>
    <t>SAVIGNY-LE-VIEUX</t>
  </si>
  <si>
    <t>SAINT-PIERRE-LAVIS</t>
  </si>
  <si>
    <t>JOURNET</t>
  </si>
  <si>
    <t>CUY-SAINT-FIACRE</t>
  </si>
  <si>
    <t>ENVEITG</t>
  </si>
  <si>
    <t>VIEILLE-CHAPELLE</t>
  </si>
  <si>
    <t>LOUPPY-SUR-LOISON</t>
  </si>
  <si>
    <t>AUZEVILLE-TOLOSANE</t>
  </si>
  <si>
    <t>VERNEUIL-GRAND</t>
  </si>
  <si>
    <t>CUON</t>
  </si>
  <si>
    <t>PIMBO</t>
  </si>
  <si>
    <t>MONCEAU-LES-LEUPS</t>
  </si>
  <si>
    <t>ESCORNEBOEUF</t>
  </si>
  <si>
    <t>SAINT-NICOLAS-D'ATTEZ</t>
  </si>
  <si>
    <t>OSSAS-SUHARE</t>
  </si>
  <si>
    <t>ESCOEUILLES</t>
  </si>
  <si>
    <t>46800</t>
  </si>
  <si>
    <t>BAGAT-EN-QUERCY</t>
  </si>
  <si>
    <t>SAINT-YTHAIRE</t>
  </si>
  <si>
    <t>WUISSE</t>
  </si>
  <si>
    <t>LONGJUMEAU</t>
  </si>
  <si>
    <t>GANS</t>
  </si>
  <si>
    <t>CHAMBRETAUD</t>
  </si>
  <si>
    <t>VELLESCOT</t>
  </si>
  <si>
    <t>SAINT-QUINTIN-SUR-SIOULE</t>
  </si>
  <si>
    <t>13004</t>
  </si>
  <si>
    <t>MARSEILLE--4E--ARRONDISSEMENT</t>
  </si>
  <si>
    <t>GRAND-AUVERNE</t>
  </si>
  <si>
    <t>52260</t>
  </si>
  <si>
    <t>BEAUCHEMIN</t>
  </si>
  <si>
    <t>VILLALET</t>
  </si>
  <si>
    <t>GIMAT</t>
  </si>
  <si>
    <t>SAINT-LIONS</t>
  </si>
  <si>
    <t>ALBIEZ-LE-JEUNE</t>
  </si>
  <si>
    <t>76860</t>
  </si>
  <si>
    <t>OUVILLE-LA-RIVIERE</t>
  </si>
  <si>
    <t>CREULLY</t>
  </si>
  <si>
    <t>VERGAVILLE</t>
  </si>
  <si>
    <t>MOUSSAC</t>
  </si>
  <si>
    <t>MONTMIREY-LA-VILLE</t>
  </si>
  <si>
    <t>BAGES</t>
  </si>
  <si>
    <t>BRIAS</t>
  </si>
  <si>
    <t>54121</t>
  </si>
  <si>
    <t>VANDIERES</t>
  </si>
  <si>
    <t>SAINT-BONNET-LES-TOURS-DE-MERLE</t>
  </si>
  <si>
    <t>COURCELETTE</t>
  </si>
  <si>
    <t>50210</t>
  </si>
  <si>
    <t>GUEHEBERT</t>
  </si>
  <si>
    <t>71990</t>
  </si>
  <si>
    <t>LA GRANDE-VERRIERE</t>
  </si>
  <si>
    <t>SALLES-MONGISCARD</t>
  </si>
  <si>
    <t>87260</t>
  </si>
  <si>
    <t>SAINT-BONNET-BRIANCE</t>
  </si>
  <si>
    <t>SAINT-FARGEOL</t>
  </si>
  <si>
    <t>VALFLEURY</t>
  </si>
  <si>
    <t>26380</t>
  </si>
  <si>
    <t>PEYRINS</t>
  </si>
  <si>
    <t>JEUFOSSE</t>
  </si>
  <si>
    <t>BLUMERAY</t>
  </si>
  <si>
    <t>THIERNU</t>
  </si>
  <si>
    <t>NEUWILLER-LES-SAVERNE</t>
  </si>
  <si>
    <t>CURTIL-SOUS-BURNAND</t>
  </si>
  <si>
    <t>COUTURE-D'ARGENSON</t>
  </si>
  <si>
    <t>SAINT-MARTIN-DE-BIENFAITE-LA-CRESSONNIERE</t>
  </si>
  <si>
    <t>47520</t>
  </si>
  <si>
    <t>LE PASSAGE</t>
  </si>
  <si>
    <t>DOMEVRE-SUR-VEZOUZE</t>
  </si>
  <si>
    <t>LES LEVES-ET-THOUMEYRAGUES</t>
  </si>
  <si>
    <t>TOUFFREVILLE-LA-CABLE</t>
  </si>
  <si>
    <t>LA MANCELIERE</t>
  </si>
  <si>
    <t>BERHET</t>
  </si>
  <si>
    <t>VALMY</t>
  </si>
  <si>
    <t>SAINT-SYMPHORIEN-D'OZON</t>
  </si>
  <si>
    <t>BEAURIERES</t>
  </si>
  <si>
    <t>EBREON</t>
  </si>
  <si>
    <t>SOMMEDIEUE</t>
  </si>
  <si>
    <t>94520</t>
  </si>
  <si>
    <t>PERIGNY</t>
  </si>
  <si>
    <t>ORGEUX</t>
  </si>
  <si>
    <t>FOULEIX</t>
  </si>
  <si>
    <t>POURU-SAINT-REMY</t>
  </si>
  <si>
    <t>CROSEY-LE-PETIT</t>
  </si>
  <si>
    <t>SAINT-LAURENT-BLANGY</t>
  </si>
  <si>
    <t>BRIGUEUIL</t>
  </si>
  <si>
    <t>SIRAC</t>
  </si>
  <si>
    <t>CURCY-SUR-ORNE</t>
  </si>
  <si>
    <t>ESPIET</t>
  </si>
  <si>
    <t>EPAGNE</t>
  </si>
  <si>
    <t>76113</t>
  </si>
  <si>
    <t>HAUTOT-SUR-SEINE</t>
  </si>
  <si>
    <t>POTHIERES</t>
  </si>
  <si>
    <t>CHATELPERRON</t>
  </si>
  <si>
    <t>42640</t>
  </si>
  <si>
    <t>SAINT-ROMAIN-LA-MOTTE</t>
  </si>
  <si>
    <t>CORBENY</t>
  </si>
  <si>
    <t>SAINTE-MONTAINE</t>
  </si>
  <si>
    <t>FUSSY</t>
  </si>
  <si>
    <t>DOMEYRAT</t>
  </si>
  <si>
    <t>CHAMPIGNY-EN-BEAUCE</t>
  </si>
  <si>
    <t>ASSIEU</t>
  </si>
  <si>
    <t>COUSTOUGE</t>
  </si>
  <si>
    <t>BETHINES</t>
  </si>
  <si>
    <t>BETTENDORF</t>
  </si>
  <si>
    <t>69770</t>
  </si>
  <si>
    <t>LONGESSAIGNE</t>
  </si>
  <si>
    <t>BETHISY-SAINT-PIERRE</t>
  </si>
  <si>
    <t>GARCELLES-SECQUEVILLE</t>
  </si>
  <si>
    <t>BELMONT-TRAMONET</t>
  </si>
  <si>
    <t>SERRIGNY-EN-BRESSE</t>
  </si>
  <si>
    <t>GOSSELMING</t>
  </si>
  <si>
    <t>BEUVREQUEN</t>
  </si>
  <si>
    <t>GUISY</t>
  </si>
  <si>
    <t>AMOROTS-SUCCOS</t>
  </si>
  <si>
    <t>60570</t>
  </si>
  <si>
    <t>MORTEFONTAINE-EN-THELLE</t>
  </si>
  <si>
    <t>MEREUIL</t>
  </si>
  <si>
    <t>87380</t>
  </si>
  <si>
    <t>MEUZAC</t>
  </si>
  <si>
    <t>81210</t>
  </si>
  <si>
    <t>72290</t>
  </si>
  <si>
    <t>LUCE-SOUS-BALLON</t>
  </si>
  <si>
    <t>REVEST-SAINT-MARTIN</t>
  </si>
  <si>
    <t>CHEFFOIS</t>
  </si>
  <si>
    <t>94190</t>
  </si>
  <si>
    <t>VILLENEUVE-SAINT-GEORGES</t>
  </si>
  <si>
    <t>MARAC</t>
  </si>
  <si>
    <t>COMPAINS</t>
  </si>
  <si>
    <t>BUXIERES-LES-CLEFMONT</t>
  </si>
  <si>
    <t>4130</t>
  </si>
  <si>
    <t>VOLX</t>
  </si>
  <si>
    <t>ESTABLET</t>
  </si>
  <si>
    <t>GAREOULT</t>
  </si>
  <si>
    <t>EPRETOT</t>
  </si>
  <si>
    <t>45530</t>
  </si>
  <si>
    <t>SURY-AUX-BOIS</t>
  </si>
  <si>
    <t>22570</t>
  </si>
  <si>
    <t>GOUAREC</t>
  </si>
  <si>
    <t>PITHIVIERS</t>
  </si>
  <si>
    <t>CLASSUN</t>
  </si>
  <si>
    <t>LIVERNON</t>
  </si>
  <si>
    <t>85560</t>
  </si>
  <si>
    <t>LONGEVILLE-SUR-MER</t>
  </si>
  <si>
    <t>91540</t>
  </si>
  <si>
    <t>ORMOY</t>
  </si>
  <si>
    <t>MOYENCOURT</t>
  </si>
  <si>
    <t>MEURSANGES</t>
  </si>
  <si>
    <t>MONT-SAINT-JEAN</t>
  </si>
  <si>
    <t>56400</t>
  </si>
  <si>
    <t>BRECH</t>
  </si>
  <si>
    <t>CROTTET</t>
  </si>
  <si>
    <t>BOUTX</t>
  </si>
  <si>
    <t>33141</t>
  </si>
  <si>
    <t>VILLEGOUGE</t>
  </si>
  <si>
    <t>63810</t>
  </si>
  <si>
    <t>BAGNOLS</t>
  </si>
  <si>
    <t>ANCERVILLER</t>
  </si>
  <si>
    <t>MAIZIERES</t>
  </si>
  <si>
    <t>LES ALBRES</t>
  </si>
  <si>
    <t>13015</t>
  </si>
  <si>
    <t>MARSEILLE-15E--ARRONDISSEMENT</t>
  </si>
  <si>
    <t>SAINT-FRONT-SUR-NIZONNE</t>
  </si>
  <si>
    <t>79120</t>
  </si>
  <si>
    <t>SAINT-COUTANT</t>
  </si>
  <si>
    <t>SAINTE-JALLE</t>
  </si>
  <si>
    <t>TOSSIAT</t>
  </si>
  <si>
    <t>77730</t>
  </si>
  <si>
    <t>MERY-SUR-MARNE</t>
  </si>
  <si>
    <t>17590</t>
  </si>
  <si>
    <t>SAINT-CLEMENT-DES-BALEINES</t>
  </si>
  <si>
    <t>LE VAL-SAINT-ELOI</t>
  </si>
  <si>
    <t>CHARLEVAL</t>
  </si>
  <si>
    <t>40370</t>
  </si>
  <si>
    <t>RION-DES-LANDES</t>
  </si>
  <si>
    <t>LES EGLISOTTES-ET-CHALAURES</t>
  </si>
  <si>
    <t>SAINT-ANGEAU</t>
  </si>
  <si>
    <t>COULOMMIERS-LA-TOUR</t>
  </si>
  <si>
    <t>DOUELLE</t>
  </si>
  <si>
    <t>78350</t>
  </si>
  <si>
    <t>JOUY-EN-JOSAS</t>
  </si>
  <si>
    <t>CONSIGNY</t>
  </si>
  <si>
    <t>14990</t>
  </si>
  <si>
    <t>BERNIERES-SUR-MER</t>
  </si>
  <si>
    <t>VERT</t>
  </si>
  <si>
    <t>77144</t>
  </si>
  <si>
    <t>MONTEVRAIN</t>
  </si>
  <si>
    <t>EOUX</t>
  </si>
  <si>
    <t>94160</t>
  </si>
  <si>
    <t>SAINT-MANDE</t>
  </si>
  <si>
    <t>20168</t>
  </si>
  <si>
    <t>2A094</t>
  </si>
  <si>
    <t>CORRANO</t>
  </si>
  <si>
    <t>ESSAROIS</t>
  </si>
  <si>
    <t>12330</t>
  </si>
  <si>
    <t>SALLES-LA-SOURCE</t>
  </si>
  <si>
    <t>LA CHAPELLE-DU-CHATELARD</t>
  </si>
  <si>
    <t>SAINT-VAIZE</t>
  </si>
  <si>
    <t>92170</t>
  </si>
  <si>
    <t>VANVES</t>
  </si>
  <si>
    <t>DAMPIERRE-EN-MONTAGNE</t>
  </si>
  <si>
    <t>ROUTOT</t>
  </si>
  <si>
    <t>29560</t>
  </si>
  <si>
    <t>TELGRUC-SUR-MER</t>
  </si>
  <si>
    <t>MORVILLE</t>
  </si>
  <si>
    <t>VENOSC</t>
  </si>
  <si>
    <t>84150</t>
  </si>
  <si>
    <t>VIOLES</t>
  </si>
  <si>
    <t>VENERIEU</t>
  </si>
  <si>
    <t>90360</t>
  </si>
  <si>
    <t>LACHAPELLE-SOUS-ROUGEMONT</t>
  </si>
  <si>
    <t>MONCEAU-LE-WAAST</t>
  </si>
  <si>
    <t>83390</t>
  </si>
  <si>
    <t>CUERS</t>
  </si>
  <si>
    <t>MARBEUF</t>
  </si>
  <si>
    <t>ARLANC</t>
  </si>
  <si>
    <t>SAINT-PIERRE-LE-VIGER</t>
  </si>
  <si>
    <t>69450</t>
  </si>
  <si>
    <t>SAINT-CYR-AU-MONT-D'OR</t>
  </si>
  <si>
    <t>VIELLA</t>
  </si>
  <si>
    <t>MONTHOLIER</t>
  </si>
  <si>
    <t>MONTAULIN</t>
  </si>
  <si>
    <t>59217</t>
  </si>
  <si>
    <t>CATTENIERES</t>
  </si>
  <si>
    <t>SAINT-LAURENT-DU-PLAN</t>
  </si>
  <si>
    <t>LES CLERIMOIS</t>
  </si>
  <si>
    <t>DROISY</t>
  </si>
  <si>
    <t>CHANZEAUX</t>
  </si>
  <si>
    <t>UGNOUAS</t>
  </si>
  <si>
    <t>CROSVILLE-SUR-DOUVE</t>
  </si>
  <si>
    <t>LOUAN-VILLEGRUIS-FONTAINE</t>
  </si>
  <si>
    <t>23430</t>
  </si>
  <si>
    <t>CHATELUS-LE-MARCHEIX</t>
  </si>
  <si>
    <t>DOMPTIN</t>
  </si>
  <si>
    <t>SAINT-AUBIN-DE-CRETOT</t>
  </si>
  <si>
    <t>LA TRINITE-DES-LAITIERS</t>
  </si>
  <si>
    <t>81260</t>
  </si>
  <si>
    <t>CAMBOUNES</t>
  </si>
  <si>
    <t>RUMIGNY</t>
  </si>
  <si>
    <t>SION</t>
  </si>
  <si>
    <t>CAPELLE-FERMONT</t>
  </si>
  <si>
    <t>LA COURTINE</t>
  </si>
  <si>
    <t>50560</t>
  </si>
  <si>
    <t>GOUVILLE-SUR-MER</t>
  </si>
  <si>
    <t>LES HOPITAUX-NEUFS</t>
  </si>
  <si>
    <t>SAINT-JEAN-SUR-MOIVRE</t>
  </si>
  <si>
    <t>DUNTZENHEIM</t>
  </si>
  <si>
    <t>CHAMPFLEURY</t>
  </si>
  <si>
    <t>OUVANS</t>
  </si>
  <si>
    <t>GRANGES-SUR-LOT</t>
  </si>
  <si>
    <t>SAINT-ANTOINE</t>
  </si>
  <si>
    <t>DOUY</t>
  </si>
  <si>
    <t>SEGRIE</t>
  </si>
  <si>
    <t>61350</t>
  </si>
  <si>
    <t>SAINT-MARS-D'EGRENNE</t>
  </si>
  <si>
    <t>62160</t>
  </si>
  <si>
    <t>AIX-NOULETTE</t>
  </si>
  <si>
    <t>DRUDAS</t>
  </si>
  <si>
    <t>ZUYTPEENE</t>
  </si>
  <si>
    <t>SAPOIS</t>
  </si>
  <si>
    <t>7570</t>
  </si>
  <si>
    <t>DESAIGNES</t>
  </si>
  <si>
    <t>29430</t>
  </si>
  <si>
    <t>TREFLEZ</t>
  </si>
  <si>
    <t>MONTJAVOULT</t>
  </si>
  <si>
    <t>COMBOURG</t>
  </si>
  <si>
    <t>LA ROUVIERE</t>
  </si>
  <si>
    <t>LE TILLEUL-LAMBERT</t>
  </si>
  <si>
    <t>MAGNY-LES-JUSSEY</t>
  </si>
  <si>
    <t>LAMARGELLE</t>
  </si>
  <si>
    <t>WAMBAIX</t>
  </si>
  <si>
    <t>ROMERIES</t>
  </si>
  <si>
    <t>VILLIERS</t>
  </si>
  <si>
    <t>VOU</t>
  </si>
  <si>
    <t>59530</t>
  </si>
  <si>
    <t>VILLERS-POL</t>
  </si>
  <si>
    <t>FONTCOUVERTE-LA-TOUSSUIRE</t>
  </si>
  <si>
    <t>78955</t>
  </si>
  <si>
    <t>CARRIERES-SOUS-POISSY</t>
  </si>
  <si>
    <t>13001</t>
  </si>
  <si>
    <t>MARSEILLE--1ER-ARRONDISSEMENT</t>
  </si>
  <si>
    <t>CHASSIGNIEU</t>
  </si>
  <si>
    <t>54530</t>
  </si>
  <si>
    <t>PAGNY-SUR-MOSELLE</t>
  </si>
  <si>
    <t>97122</t>
  </si>
  <si>
    <t>BAIE-MAHAULT</t>
  </si>
  <si>
    <t>30540</t>
  </si>
  <si>
    <t>MILHAUD</t>
  </si>
  <si>
    <t>ROYNAC</t>
  </si>
  <si>
    <t>CASTETNER</t>
  </si>
  <si>
    <t>64360</t>
  </si>
  <si>
    <t>MONEIN</t>
  </si>
  <si>
    <t>SIGOLSHEIM</t>
  </si>
  <si>
    <t>OMECOURT</t>
  </si>
  <si>
    <t>CONTREUVE</t>
  </si>
  <si>
    <t>77580</t>
  </si>
  <si>
    <t>VILLIERS-SUR-MORIN</t>
  </si>
  <si>
    <t>CHAVIN</t>
  </si>
  <si>
    <t>STRUETH</t>
  </si>
  <si>
    <t>MENEVILLERS</t>
  </si>
  <si>
    <t>LANDRY</t>
  </si>
  <si>
    <t>37420</t>
  </si>
  <si>
    <t>BEAUMONT-EN-VERON</t>
  </si>
  <si>
    <t>VILLE-LANGY</t>
  </si>
  <si>
    <t>GONDENANS-MONTBY</t>
  </si>
  <si>
    <t>REMILLY-WIRQUIN</t>
  </si>
  <si>
    <t>MESNARD-LA-BAROTIERE</t>
  </si>
  <si>
    <t>97214</t>
  </si>
  <si>
    <t>LE LORRAIN</t>
  </si>
  <si>
    <t>BELLIGNAT</t>
  </si>
  <si>
    <t>62340</t>
  </si>
  <si>
    <t>PIHEN-LES-GUINES</t>
  </si>
  <si>
    <t>COLLAT</t>
  </si>
  <si>
    <t>2B177</t>
  </si>
  <si>
    <t>NOCETA</t>
  </si>
  <si>
    <t>LE GRAND-CELLAND</t>
  </si>
  <si>
    <t>EPINAY-CHAMPLATREUX</t>
  </si>
  <si>
    <t>REILHAC</t>
  </si>
  <si>
    <t>MAGNY-LES-AUBIGNY</t>
  </si>
  <si>
    <t>HYENCOURT-LE-GRAND</t>
  </si>
  <si>
    <t>RIVIERES</t>
  </si>
  <si>
    <t>AMAZY</t>
  </si>
  <si>
    <t>ALAIRAC</t>
  </si>
  <si>
    <t>RIOM-ES-MONTAGNES</t>
  </si>
  <si>
    <t>RECULFOZ</t>
  </si>
  <si>
    <t>78390</t>
  </si>
  <si>
    <t>BOIS-D'ARCY</t>
  </si>
  <si>
    <t>NAIVES-EN-BLOIS</t>
  </si>
  <si>
    <t>SAINT-FELIX-DE-REILLAC-ET-MORTEMART</t>
  </si>
  <si>
    <t>HAEGEN</t>
  </si>
  <si>
    <t>LA CHARCE</t>
  </si>
  <si>
    <t>88520</t>
  </si>
  <si>
    <t>WISEMBACH</t>
  </si>
  <si>
    <t>THIVET</t>
  </si>
  <si>
    <t>ARGANCY</t>
  </si>
  <si>
    <t>NEUILLY-L'EVEQUE</t>
  </si>
  <si>
    <t>VIRGINY</t>
  </si>
  <si>
    <t>SOMME-SUIPPE</t>
  </si>
  <si>
    <t>HAUBOURDIN</t>
  </si>
  <si>
    <t>57120</t>
  </si>
  <si>
    <t>ROMBAS</t>
  </si>
  <si>
    <t>CHAVENON</t>
  </si>
  <si>
    <t>BRUYS</t>
  </si>
  <si>
    <t>SAINT-MARTIN-DE-SALLEN</t>
  </si>
  <si>
    <t>PREBOIS</t>
  </si>
  <si>
    <t>25310</t>
  </si>
  <si>
    <t>90170</t>
  </si>
  <si>
    <t>LAMADELEINE-VAL-DES-ANGES</t>
  </si>
  <si>
    <t>22510</t>
  </si>
  <si>
    <t>PENGUILY</t>
  </si>
  <si>
    <t>36310</t>
  </si>
  <si>
    <t>CAMPIGNY</t>
  </si>
  <si>
    <t>LONG</t>
  </si>
  <si>
    <t>44710</t>
  </si>
  <si>
    <t>SAINT-LEGER-LES-VIGNES</t>
  </si>
  <si>
    <t>BOZAS</t>
  </si>
  <si>
    <t>SAINTE-HERMINE</t>
  </si>
  <si>
    <t>16600</t>
  </si>
  <si>
    <t>RUELLE-SUR-TOUVRE</t>
  </si>
  <si>
    <t>RUFFEY-LES-ECHIREY</t>
  </si>
  <si>
    <t>GRAIMBOUVILLE</t>
  </si>
  <si>
    <t>43620</t>
  </si>
  <si>
    <t>SAINT-ROMAIN-LACHALM</t>
  </si>
  <si>
    <t>21270</t>
  </si>
  <si>
    <t>TELLECEY</t>
  </si>
  <si>
    <t>BUS</t>
  </si>
  <si>
    <t>LEVONCOURT</t>
  </si>
  <si>
    <t>LES GRANGES</t>
  </si>
  <si>
    <t>ECOIVRES</t>
  </si>
  <si>
    <t>FREYMING-MERLEBACH</t>
  </si>
  <si>
    <t>SAINT-LOUBE</t>
  </si>
  <si>
    <t>32350</t>
  </si>
  <si>
    <t>ORDAN-LARROQUE</t>
  </si>
  <si>
    <t>VIEUX-PONT-EN-AUGE</t>
  </si>
  <si>
    <t>62141</t>
  </si>
  <si>
    <t>EVIN-MALMAISON</t>
  </si>
  <si>
    <t>MONTALEMBERT</t>
  </si>
  <si>
    <t>06130/06520</t>
  </si>
  <si>
    <t>GRASSE</t>
  </si>
  <si>
    <t>CHAUCONIN-NEUFMONTIERS</t>
  </si>
  <si>
    <t>VIEILLESPESSE</t>
  </si>
  <si>
    <t>ESSOYES</t>
  </si>
  <si>
    <t>ETAIMPUIS</t>
  </si>
  <si>
    <t>MIREBEAU-SUR-BEZE</t>
  </si>
  <si>
    <t>LE VAL-DE-GUEBLANGE</t>
  </si>
  <si>
    <t>LA BATAILLE</t>
  </si>
  <si>
    <t>GUERBIGNY</t>
  </si>
  <si>
    <t>77250</t>
  </si>
  <si>
    <t>VILLECERF</t>
  </si>
  <si>
    <t>BETONCOURT-LES-BROTTE</t>
  </si>
  <si>
    <t>LAVAUR</t>
  </si>
  <si>
    <t>FRIARDEL</t>
  </si>
  <si>
    <t>FRESNE-LA-MERE</t>
  </si>
  <si>
    <t>CAILLEVILLE</t>
  </si>
  <si>
    <t>CHOCQUES</t>
  </si>
  <si>
    <t>FAYMOREAU</t>
  </si>
  <si>
    <t>SAINT-DENIS-D'ACLON</t>
  </si>
  <si>
    <t>BOUTTEVILLE</t>
  </si>
  <si>
    <t>DURLINSDORF</t>
  </si>
  <si>
    <t>GAUVILLE-LA-CAMPAGNE</t>
  </si>
  <si>
    <t>BLIGNICOURT</t>
  </si>
  <si>
    <t>THIN-LE-MOUTIER</t>
  </si>
  <si>
    <t>59211</t>
  </si>
  <si>
    <t>SANTES</t>
  </si>
  <si>
    <t>65310</t>
  </si>
  <si>
    <t>HORGUES</t>
  </si>
  <si>
    <t>29740</t>
  </si>
  <si>
    <t>PLOBANNALEC-LESCONIL</t>
  </si>
  <si>
    <t>SAINT-MACOUX</t>
  </si>
  <si>
    <t>13120</t>
  </si>
  <si>
    <t>GARDANNE</t>
  </si>
  <si>
    <t>SERGINES</t>
  </si>
  <si>
    <t>27570</t>
  </si>
  <si>
    <t>ACON</t>
  </si>
  <si>
    <t>VOUTEZAC</t>
  </si>
  <si>
    <t>SAINT-ANDRE-D'ALLAS</t>
  </si>
  <si>
    <t>BRETEUIL</t>
  </si>
  <si>
    <t>91810</t>
  </si>
  <si>
    <t>VERT-LE-GRAND</t>
  </si>
  <si>
    <t>FARINCOURT</t>
  </si>
  <si>
    <t>SAINT-AUBIN-DES-BOIS</t>
  </si>
  <si>
    <t>LE CANNET-DES-MAURES</t>
  </si>
  <si>
    <t>ROUMENS</t>
  </si>
  <si>
    <t>SAINT-CHRISTAUD</t>
  </si>
  <si>
    <t>GAVRELLE</t>
  </si>
  <si>
    <t>ORADOUR-SAINT-GENEST</t>
  </si>
  <si>
    <t>BELIGNEUX</t>
  </si>
  <si>
    <t>TRAVERSERES</t>
  </si>
  <si>
    <t>VAILLY-SUR-SAULDRE</t>
  </si>
  <si>
    <t>CHAUCENNE</t>
  </si>
  <si>
    <t>ESQUIULE</t>
  </si>
  <si>
    <t>LAVILLATTE</t>
  </si>
  <si>
    <t>77950</t>
  </si>
  <si>
    <t>MONTEREAU-SUR-LE-JARD</t>
  </si>
  <si>
    <t>64320</t>
  </si>
  <si>
    <t>LEE</t>
  </si>
  <si>
    <t>COLLANDRES</t>
  </si>
  <si>
    <t>ALLIAT</t>
  </si>
  <si>
    <t>MONTOILLOT</t>
  </si>
  <si>
    <t>42155</t>
  </si>
  <si>
    <t>VILLEMONTAIS</t>
  </si>
  <si>
    <t>CAUREL</t>
  </si>
  <si>
    <t>22420</t>
  </si>
  <si>
    <t>LE VIEUX-MARCHE</t>
  </si>
  <si>
    <t>BRICON</t>
  </si>
  <si>
    <t>VIALAS</t>
  </si>
  <si>
    <t>35130</t>
  </si>
  <si>
    <t>MONTAGNEY</t>
  </si>
  <si>
    <t>GOMMERSDORF</t>
  </si>
  <si>
    <t>FRIAUVILLE</t>
  </si>
  <si>
    <t>LA CHAPELLE-IGER</t>
  </si>
  <si>
    <t>BRISSAC-QUINCE</t>
  </si>
  <si>
    <t>SAINT-NIC</t>
  </si>
  <si>
    <t>84190</t>
  </si>
  <si>
    <t>BEAUMES-DE-VENISE</t>
  </si>
  <si>
    <t>GRANDVILLERS-AUX-BOIS</t>
  </si>
  <si>
    <t>BRIGNOLES</t>
  </si>
  <si>
    <t>CHAVEIGNES</t>
  </si>
  <si>
    <t>CHATEAU-RENARD</t>
  </si>
  <si>
    <t>38950</t>
  </si>
  <si>
    <t>QUAIX-EN-CHARTREUSE</t>
  </si>
  <si>
    <t>LE GRATTERIS</t>
  </si>
  <si>
    <t>20137</t>
  </si>
  <si>
    <t>2A139</t>
  </si>
  <si>
    <t>LECCI</t>
  </si>
  <si>
    <t>72220</t>
  </si>
  <si>
    <t>SAINT-MARS-D'OUTILLE</t>
  </si>
  <si>
    <t>76150</t>
  </si>
  <si>
    <t>MAROMME</t>
  </si>
  <si>
    <t>BOUMOURT</t>
  </si>
  <si>
    <t>CHAMP-DOLENT</t>
  </si>
  <si>
    <t>CABRESPINE</t>
  </si>
  <si>
    <t>BLAY</t>
  </si>
  <si>
    <t>ALLONS</t>
  </si>
  <si>
    <t>57460</t>
  </si>
  <si>
    <t>ETZLING</t>
  </si>
  <si>
    <t>SAINT-NOLFF</t>
  </si>
  <si>
    <t>47380</t>
  </si>
  <si>
    <t>TOMBEBOEUF</t>
  </si>
  <si>
    <t>VAUTHIERMONT</t>
  </si>
  <si>
    <t>BOURSEVILLE</t>
  </si>
  <si>
    <t>PUYGAILLARD-DE-LOMAGNE</t>
  </si>
  <si>
    <t>MENESPLET</t>
  </si>
  <si>
    <t>COYRON</t>
  </si>
  <si>
    <t>AMFREVILLE-LA-CAMPAGNE</t>
  </si>
  <si>
    <t>MONT-L'EVEQUE</t>
  </si>
  <si>
    <t>MARESVILLE</t>
  </si>
  <si>
    <t>VULMONT</t>
  </si>
  <si>
    <t>VILLAR-EN-VAL</t>
  </si>
  <si>
    <t>74130</t>
  </si>
  <si>
    <t>BRIZON</t>
  </si>
  <si>
    <t>TREGUENNEC</t>
  </si>
  <si>
    <t>CARDAN</t>
  </si>
  <si>
    <t>11420</t>
  </si>
  <si>
    <t>VILLAUTOU</t>
  </si>
  <si>
    <t>LORAY</t>
  </si>
  <si>
    <t>SAINT-NICOLAS-DES-MOTETS</t>
  </si>
  <si>
    <t>CASTELNAU-D'AUDE</t>
  </si>
  <si>
    <t>KUNHEIM</t>
  </si>
  <si>
    <t>SAINTE-MAURE-DE-TOURAINE</t>
  </si>
  <si>
    <t>UZER</t>
  </si>
  <si>
    <t>40300</t>
  </si>
  <si>
    <t>SAINT-LON-LES-MINES</t>
  </si>
  <si>
    <t>COLLANDRES-QUINCARNON</t>
  </si>
  <si>
    <t>24450</t>
  </si>
  <si>
    <t>FIRBEIX</t>
  </si>
  <si>
    <t>MONTCHATON</t>
  </si>
  <si>
    <t>LA NEUVILLE-SUR-RESSONS</t>
  </si>
  <si>
    <t>MAGNY-JOBERT</t>
  </si>
  <si>
    <t>BEAUFORT-EN-SANTERRE</t>
  </si>
  <si>
    <t>CAUX-ET-SAUZENS</t>
  </si>
  <si>
    <t>VRECOURT</t>
  </si>
  <si>
    <t>BOIRY-SAINT-MARTIN</t>
  </si>
  <si>
    <t>PUGET-THENIERS</t>
  </si>
  <si>
    <t>NADAILLAC-DE-ROUGE</t>
  </si>
  <si>
    <t>62720</t>
  </si>
  <si>
    <t>RINXENT</t>
  </si>
  <si>
    <t>OUROUX</t>
  </si>
  <si>
    <t>BOYEUX-SAINT-JEROME</t>
  </si>
  <si>
    <t>SAINT-SERNIN-SUR-RANCE</t>
  </si>
  <si>
    <t>SAINT-SORLIN</t>
  </si>
  <si>
    <t>SAINT-PIERRE-A-ARNES</t>
  </si>
  <si>
    <t>FRESSAIN</t>
  </si>
  <si>
    <t>GRANDFRESNOY</t>
  </si>
  <si>
    <t>77520</t>
  </si>
  <si>
    <t>MONS-EN-MONTOIS</t>
  </si>
  <si>
    <t>83600/83370</t>
  </si>
  <si>
    <t>FREJUS</t>
  </si>
  <si>
    <t>14520</t>
  </si>
  <si>
    <t>SAINTE-HONORINE-DES-PERTES</t>
  </si>
  <si>
    <t>BAGNOLS-SUR-CEZE</t>
  </si>
  <si>
    <t>LA CALOTTERIE</t>
  </si>
  <si>
    <t>FIERVILLE-LES-PARCS</t>
  </si>
  <si>
    <t>SALMBACH</t>
  </si>
  <si>
    <t>FROESCHWILLER</t>
  </si>
  <si>
    <t>20132</t>
  </si>
  <si>
    <t>2A359</t>
  </si>
  <si>
    <t>ZICAVO</t>
  </si>
  <si>
    <t>CONCEVREUX</t>
  </si>
  <si>
    <t>87440</t>
  </si>
  <si>
    <t>MAISONNAIS-SUR-TARDOIRE</t>
  </si>
  <si>
    <t>SILLY-SUR-NIED</t>
  </si>
  <si>
    <t>LE THEIL-NOLENT</t>
  </si>
  <si>
    <t>CHERENCE-LE-ROUSSEL</t>
  </si>
  <si>
    <t>CORTEVAIX</t>
  </si>
  <si>
    <t>59115</t>
  </si>
  <si>
    <t>LEERS</t>
  </si>
  <si>
    <t>SAINT-NICOLAS-D'ALIERMONT</t>
  </si>
  <si>
    <t>CONDRIEU</t>
  </si>
  <si>
    <t>LANCE</t>
  </si>
  <si>
    <t>80310</t>
  </si>
  <si>
    <t>BELLOY-SUR-SOMME</t>
  </si>
  <si>
    <t>ORNY</t>
  </si>
  <si>
    <t>PARCAY-SUR-VIENNE</t>
  </si>
  <si>
    <t>BELLENGREVILLE</t>
  </si>
  <si>
    <t>59380</t>
  </si>
  <si>
    <t>QUAEDYPRE</t>
  </si>
  <si>
    <t>LA BOISSIERE-D'ANS</t>
  </si>
  <si>
    <t>SAINT-ETIENNE-DES-SORTS</t>
  </si>
  <si>
    <t>66260</t>
  </si>
  <si>
    <t>COUSTOUGES</t>
  </si>
  <si>
    <t>BALLAN-MIRE</t>
  </si>
  <si>
    <t>PRUNAY-EN-YVELINES</t>
  </si>
  <si>
    <t>FOURNELS</t>
  </si>
  <si>
    <t>GRAND-RULLECOURT</t>
  </si>
  <si>
    <t>PFULGRIESHEIM</t>
  </si>
  <si>
    <t>CHATEAU-DU-LOIR</t>
  </si>
  <si>
    <t>CEPOY</t>
  </si>
  <si>
    <t>PUSY-ET-EPENOUX</t>
  </si>
  <si>
    <t>62114</t>
  </si>
  <si>
    <t>SAINS-EN-GOHELLE</t>
  </si>
  <si>
    <t>SAINT-GERONS</t>
  </si>
  <si>
    <t>31340</t>
  </si>
  <si>
    <t>BONDIGOUX</t>
  </si>
  <si>
    <t>VELLEFREY-ET-VELLEFRANGE</t>
  </si>
  <si>
    <t>LE PLESSIER-SUR-BULLES</t>
  </si>
  <si>
    <t>THOIRES</t>
  </si>
  <si>
    <t>PLEDELIAC</t>
  </si>
  <si>
    <t>SAINT-CHRISTOPHE-EN-CHAMPAGNE</t>
  </si>
  <si>
    <t>AIRE-SUR-LA-LYS</t>
  </si>
  <si>
    <t>ERQUERY</t>
  </si>
  <si>
    <t>29390</t>
  </si>
  <si>
    <t>SCAER</t>
  </si>
  <si>
    <t>SERRIERES-SUR-AIN</t>
  </si>
  <si>
    <t>66480</t>
  </si>
  <si>
    <t>L'ALBERE</t>
  </si>
  <si>
    <t>PORT-SUR-SEILLE</t>
  </si>
  <si>
    <t>SAINT-GERMAIN-DE-LUSIGNAN</t>
  </si>
  <si>
    <t>SAINT-AUBIN-FOSSE-LOUVAIN</t>
  </si>
  <si>
    <t>LARRE</t>
  </si>
  <si>
    <t>LEUC</t>
  </si>
  <si>
    <t>RUFFEY-LE-CHATEAU</t>
  </si>
  <si>
    <t>17260</t>
  </si>
  <si>
    <t>TANZAC</t>
  </si>
  <si>
    <t>33340</t>
  </si>
  <si>
    <t>GAILLAN-EN-MEDOC</t>
  </si>
  <si>
    <t>14110</t>
  </si>
  <si>
    <t>CONDE-SUR-NOIREAU</t>
  </si>
  <si>
    <t>EGUZON-CHANTOME</t>
  </si>
  <si>
    <t>2B188</t>
  </si>
  <si>
    <t>OLMETA-DI-TUDA</t>
  </si>
  <si>
    <t>SAINT-MARTIN-LALANDE</t>
  </si>
  <si>
    <t>91420</t>
  </si>
  <si>
    <t>MORANGIS</t>
  </si>
  <si>
    <t>PERIGNAT-LES-SARLIEVE</t>
  </si>
  <si>
    <t>59560</t>
  </si>
  <si>
    <t>COMINES</t>
  </si>
  <si>
    <t>TRILBARDOU</t>
  </si>
  <si>
    <t>73120</t>
  </si>
  <si>
    <t>LA PERRIERE</t>
  </si>
  <si>
    <t>88400</t>
  </si>
  <si>
    <t>LIEZEY</t>
  </si>
  <si>
    <t>MOLAGNIES</t>
  </si>
  <si>
    <t>72440</t>
  </si>
  <si>
    <t>TRESSON</t>
  </si>
  <si>
    <t>SAINT-LAURENT-DE-LA-BARRIERE</t>
  </si>
  <si>
    <t>ESPELETTE</t>
  </si>
  <si>
    <t>CONTIGNE</t>
  </si>
  <si>
    <t>CANLY</t>
  </si>
  <si>
    <t>TAIZE</t>
  </si>
  <si>
    <t>ERNEVILLE-AUX-BOIS</t>
  </si>
  <si>
    <t>VENDEUVRE</t>
  </si>
  <si>
    <t>BRIGNANCOURT</t>
  </si>
  <si>
    <t>SUZANNE</t>
  </si>
  <si>
    <t>AINAY-LE-VIEIL</t>
  </si>
  <si>
    <t>SAINT-GERMAIN-DU-SEUDRE</t>
  </si>
  <si>
    <t>ETOILE-SAINT-CYRICE</t>
  </si>
  <si>
    <t>76310</t>
  </si>
  <si>
    <t>SAINTE-ADRESSE</t>
  </si>
  <si>
    <t>SAINT-JEAN-AUX-BOIS</t>
  </si>
  <si>
    <t>DOMPREMY</t>
  </si>
  <si>
    <t>VILLE-SUR-TOURBE</t>
  </si>
  <si>
    <t>ANY-MARTIN-RIEUX</t>
  </si>
  <si>
    <t>VICQ-SUR-BREUILH</t>
  </si>
  <si>
    <t>GUEBLING</t>
  </si>
  <si>
    <t>38550</t>
  </si>
  <si>
    <t>LE PEAGE-DE-ROUSSILLON</t>
  </si>
  <si>
    <t>SURBOURG</t>
  </si>
  <si>
    <t>SAINT-ALBAIN</t>
  </si>
  <si>
    <t>MALATAVERNE</t>
  </si>
  <si>
    <t>IGNY</t>
  </si>
  <si>
    <t>3320</t>
  </si>
  <si>
    <t>CHATEAU-SUR-ALLIER</t>
  </si>
  <si>
    <t>BARON-SUR-ODON</t>
  </si>
  <si>
    <t>48200</t>
  </si>
  <si>
    <t>ORON</t>
  </si>
  <si>
    <t>16380</t>
  </si>
  <si>
    <t>FEUILLADE</t>
  </si>
  <si>
    <t>MAZERAT-AUROUZE</t>
  </si>
  <si>
    <t>PRAHECQ</t>
  </si>
  <si>
    <t>SAINT-QUENTIN-SUR-CHARENTE</t>
  </si>
  <si>
    <t>SEPT-SAULX</t>
  </si>
  <si>
    <t>LOUEUSE</t>
  </si>
  <si>
    <t>7600</t>
  </si>
  <si>
    <t>ASPERJOC</t>
  </si>
  <si>
    <t>LANSLEVILLARD</t>
  </si>
  <si>
    <t>29830</t>
  </si>
  <si>
    <t>LAMPAUL-PLOUDALMEZEAU</t>
  </si>
  <si>
    <t>TECOU</t>
  </si>
  <si>
    <t>AINCOURT</t>
  </si>
  <si>
    <t>VOILLANS</t>
  </si>
  <si>
    <t>49230</t>
  </si>
  <si>
    <t>SAINT-GERMAIN-SUR-MOINE</t>
  </si>
  <si>
    <t>83820</t>
  </si>
  <si>
    <t>RAYOL-CANADEL-SUR-MER</t>
  </si>
  <si>
    <t>VAUCHONVILLIERS</t>
  </si>
  <si>
    <t>PAUDY</t>
  </si>
  <si>
    <t>JUVRECOURT</t>
  </si>
  <si>
    <t>SAINT-GERMAIN-DE-LIVET</t>
  </si>
  <si>
    <t>BERNEDE</t>
  </si>
  <si>
    <t>ARNOS</t>
  </si>
  <si>
    <t>7430</t>
  </si>
  <si>
    <t>SEQUEHART</t>
  </si>
  <si>
    <t>ORVILLE</t>
  </si>
  <si>
    <t>RAI</t>
  </si>
  <si>
    <t>62172</t>
  </si>
  <si>
    <t>BOUVIGNY-BOYEFFLES</t>
  </si>
  <si>
    <t>SERROUVILLE</t>
  </si>
  <si>
    <t>BARTHE</t>
  </si>
  <si>
    <t>MANSES</t>
  </si>
  <si>
    <t>FILLOLS</t>
  </si>
  <si>
    <t>NOMAIN</t>
  </si>
  <si>
    <t>SAINT-JUST-LUZAC</t>
  </si>
  <si>
    <t>SAINT-RIMAY</t>
  </si>
  <si>
    <t>1140</t>
  </si>
  <si>
    <t>ILLIAT</t>
  </si>
  <si>
    <t>80350</t>
  </si>
  <si>
    <t>MERS-LES-BAINS</t>
  </si>
  <si>
    <t>LA CHAPELLE-VICOMTESSE</t>
  </si>
  <si>
    <t>30870</t>
  </si>
  <si>
    <t>SAINT-COME-ET-MARUEJOLS</t>
  </si>
  <si>
    <t>13580</t>
  </si>
  <si>
    <t>LA FARE-LES-OLIVIERS</t>
  </si>
  <si>
    <t>LA VILLENEUVE-SOUS-THURY</t>
  </si>
  <si>
    <t>LEAUPARTIE</t>
  </si>
  <si>
    <t>97129</t>
  </si>
  <si>
    <t>LAMENTIN</t>
  </si>
  <si>
    <t>ROUVRES-LES-BOIS</t>
  </si>
  <si>
    <t>MONTORD</t>
  </si>
  <si>
    <t>SAINT-GERMAIN-LAVOLPS</t>
  </si>
  <si>
    <t>34120</t>
  </si>
  <si>
    <t>NEZIGNAN-L'EVEQUE</t>
  </si>
  <si>
    <t>VERGONCEY</t>
  </si>
  <si>
    <t>LE MESNIL-RAOULT</t>
  </si>
  <si>
    <t>74320</t>
  </si>
  <si>
    <t>SEVRIER</t>
  </si>
  <si>
    <t>BUIS-LES-BARONNIES</t>
  </si>
  <si>
    <t>MAS-SAINTES-PUELLES</t>
  </si>
  <si>
    <t>38280</t>
  </si>
  <si>
    <t>ANTHON</t>
  </si>
  <si>
    <t>BIACHE-SAINT-VAAST</t>
  </si>
  <si>
    <t>MONTANER</t>
  </si>
  <si>
    <t>HAMBYE</t>
  </si>
  <si>
    <t>ESNANS</t>
  </si>
  <si>
    <t>43800</t>
  </si>
  <si>
    <t>SAINT-PRIEST-BRAMEFANT</t>
  </si>
  <si>
    <t>53250</t>
  </si>
  <si>
    <t>LE HAM</t>
  </si>
  <si>
    <t>CAJARC</t>
  </si>
  <si>
    <t>RECY</t>
  </si>
  <si>
    <t>ARGENCES</t>
  </si>
  <si>
    <t>HYET</t>
  </si>
  <si>
    <t>BRASSY</t>
  </si>
  <si>
    <t>LA CHAPELLE-EN-VEXIN</t>
  </si>
  <si>
    <t>LE ROC</t>
  </si>
  <si>
    <t>LIESSIES</t>
  </si>
  <si>
    <t>JUVIGNY-SOUS-ANDAINE</t>
  </si>
  <si>
    <t>HOMPS</t>
  </si>
  <si>
    <t>CAMPANDRE-VALCONGRAIN</t>
  </si>
  <si>
    <t>NANTILLOIS</t>
  </si>
  <si>
    <t>BLOTZHEIM</t>
  </si>
  <si>
    <t>89170</t>
  </si>
  <si>
    <t>LAVAU</t>
  </si>
  <si>
    <t>PENCRAN</t>
  </si>
  <si>
    <t>43250</t>
  </si>
  <si>
    <t>SAINTE-FLORINE</t>
  </si>
  <si>
    <t>L'ISLE-SUR-SEREIN</t>
  </si>
  <si>
    <t>61800</t>
  </si>
  <si>
    <t>TINCHEBRAY</t>
  </si>
  <si>
    <t>SARRANT</t>
  </si>
  <si>
    <t>THOIRE-SOUS-CONTENSOR</t>
  </si>
  <si>
    <t>ISSANCOURT-ET-RUMEL</t>
  </si>
  <si>
    <t>AUDUN-LE-TICHE</t>
  </si>
  <si>
    <t>SIGY</t>
  </si>
  <si>
    <t>LIETTRES</t>
  </si>
  <si>
    <t>CAUVERVILLE-EN-ROUMOIS</t>
  </si>
  <si>
    <t>BRUCOURT</t>
  </si>
  <si>
    <t>VOUZERON</t>
  </si>
  <si>
    <t>MENOIRE</t>
  </si>
  <si>
    <t>ROUVRES</t>
  </si>
  <si>
    <t>LONGCHAMP-SOUS-CHATENOIS</t>
  </si>
  <si>
    <t>55230</t>
  </si>
  <si>
    <t>SENON</t>
  </si>
  <si>
    <t>VAUMOISE</t>
  </si>
  <si>
    <t>FROGES</t>
  </si>
  <si>
    <t>VIGNOL</t>
  </si>
  <si>
    <t>SAINT-MARTIN-LE-CHATEL</t>
  </si>
  <si>
    <t>LE MENOUX</t>
  </si>
  <si>
    <t>BENQUE-DESSOUS-ET-DESSUS</t>
  </si>
  <si>
    <t>BEUGNON</t>
  </si>
  <si>
    <t>BAZOCHES-SUR-VESLES</t>
  </si>
  <si>
    <t>LA HERELLE</t>
  </si>
  <si>
    <t>12150</t>
  </si>
  <si>
    <t>SEVERAC-LE-CHATEAU</t>
  </si>
  <si>
    <t>SAINT-AMBROIX</t>
  </si>
  <si>
    <t>JARZE</t>
  </si>
  <si>
    <t>COURTONNE-LA-MEURDRAC</t>
  </si>
  <si>
    <t>97670</t>
  </si>
  <si>
    <t>CHICONI</t>
  </si>
  <si>
    <t>BEUVRON-EN-AUGE</t>
  </si>
  <si>
    <t>ALLOUIS</t>
  </si>
  <si>
    <t>AUBEPIERRE-OZOUER-LE-REPOS</t>
  </si>
  <si>
    <t>VALERNES</t>
  </si>
  <si>
    <t>DOMPIERRE-SUR-CHARENTE</t>
  </si>
  <si>
    <t>21590</t>
  </si>
  <si>
    <t>SANTENAY</t>
  </si>
  <si>
    <t>LA CHAPELLE-MONTLIGEON</t>
  </si>
  <si>
    <t>COULONGE</t>
  </si>
  <si>
    <t>MONESTROL</t>
  </si>
  <si>
    <t>2B280</t>
  </si>
  <si>
    <t>SILVARECCIO</t>
  </si>
  <si>
    <t>APACH</t>
  </si>
  <si>
    <t>SAINT-REMIMONT</t>
  </si>
  <si>
    <t>FONTAINE-SUR-MAYE</t>
  </si>
  <si>
    <t>31140</t>
  </si>
  <si>
    <t>SAINT-ALBAN</t>
  </si>
  <si>
    <t>MASLIVES</t>
  </si>
  <si>
    <t>SAINT-MARDS-DE-BLACARVILLE</t>
  </si>
  <si>
    <t>FRESNES-AU-MONT</t>
  </si>
  <si>
    <t>SAINT-BENOIST-SUR-MER</t>
  </si>
  <si>
    <t>MINIHY-TREGUIER</t>
  </si>
  <si>
    <t>CROUZILLES</t>
  </si>
  <si>
    <t>SAVY</t>
  </si>
  <si>
    <t>97429</t>
  </si>
  <si>
    <t>PETITE-ILE</t>
  </si>
  <si>
    <t>BONNENCONTRE</t>
  </si>
  <si>
    <t>29000</t>
  </si>
  <si>
    <t>QUIMPER</t>
  </si>
  <si>
    <t>LE HOUSSEAU-BRETIGNOLLES</t>
  </si>
  <si>
    <t>BRETTNACH</t>
  </si>
  <si>
    <t>LEZIGNAN-LA-CEBE</t>
  </si>
  <si>
    <t>NOE</t>
  </si>
  <si>
    <t>AUXANGE</t>
  </si>
  <si>
    <t>ROCHE-LES-CLERVAL</t>
  </si>
  <si>
    <t>CHENEDOUIT</t>
  </si>
  <si>
    <t>MONTMAUR</t>
  </si>
  <si>
    <t>BESSONIES</t>
  </si>
  <si>
    <t>SAINT-MAURICE-DE-TAVERNOLE</t>
  </si>
  <si>
    <t>OSSE</t>
  </si>
  <si>
    <t>MADRIAT</t>
  </si>
  <si>
    <t>33290</t>
  </si>
  <si>
    <t>PAREMPUYRE</t>
  </si>
  <si>
    <t>SALESCHES</t>
  </si>
  <si>
    <t>SAVARTHES</t>
  </si>
  <si>
    <t>90000</t>
  </si>
  <si>
    <t>BELFORT</t>
  </si>
  <si>
    <t>LA CHAUX-DU-DOMBIEF</t>
  </si>
  <si>
    <t>ISQUES</t>
  </si>
  <si>
    <t>VILLEMURLIN</t>
  </si>
  <si>
    <t>SENANTES</t>
  </si>
  <si>
    <t>SAINT-PARTHEM</t>
  </si>
  <si>
    <t>CATILLON-FUMECHON</t>
  </si>
  <si>
    <t>VILLE-LA-GRAND</t>
  </si>
  <si>
    <t>RUBELLES</t>
  </si>
  <si>
    <t>VOUSSAC</t>
  </si>
  <si>
    <t>51490</t>
  </si>
  <si>
    <t>SAINT-MASMES</t>
  </si>
  <si>
    <t>1660</t>
  </si>
  <si>
    <t>VANDEINS</t>
  </si>
  <si>
    <t>TROISVAUX</t>
  </si>
  <si>
    <t>LA NOE-POULAIN</t>
  </si>
  <si>
    <t>17123</t>
  </si>
  <si>
    <t>ILE-D'AIX</t>
  </si>
  <si>
    <t>NEUFBOSC</t>
  </si>
  <si>
    <t>ENGWILLER</t>
  </si>
  <si>
    <t>SASSY</t>
  </si>
  <si>
    <t>OTTONVILLE</t>
  </si>
  <si>
    <t>VILLEMEREUIL</t>
  </si>
  <si>
    <t>LES PLAINS-ET-GRANDS-ESSARTS</t>
  </si>
  <si>
    <t>59790</t>
  </si>
  <si>
    <t>RONCHIN</t>
  </si>
  <si>
    <t>30230</t>
  </si>
  <si>
    <t>BOUILLARGUES</t>
  </si>
  <si>
    <t>JEANTES</t>
  </si>
  <si>
    <t>LANGENSOULTZBACH</t>
  </si>
  <si>
    <t>REMENOVILLE</t>
  </si>
  <si>
    <t>38440</t>
  </si>
  <si>
    <t>ROYAS</t>
  </si>
  <si>
    <t>BOSSEY</t>
  </si>
  <si>
    <t>VARADES</t>
  </si>
  <si>
    <t>VIEUX-VY-SUR-COUESNON</t>
  </si>
  <si>
    <t>SAINT-LIN</t>
  </si>
  <si>
    <t>OBERLARG</t>
  </si>
  <si>
    <t>REUILLY</t>
  </si>
  <si>
    <t>51190</t>
  </si>
  <si>
    <t>GRAUVES</t>
  </si>
  <si>
    <t>VOULAINES-LES-TEMPLIERS</t>
  </si>
  <si>
    <t>CHARLY-ORADOUR</t>
  </si>
  <si>
    <t>SOUCIA</t>
  </si>
  <si>
    <t>ESPECHE</t>
  </si>
  <si>
    <t>CRESSY-SUR-SOMME</t>
  </si>
  <si>
    <t>LAVAL-PRADEL</t>
  </si>
  <si>
    <t>LEAZ</t>
  </si>
  <si>
    <t>BRETONVILLERS</t>
  </si>
  <si>
    <t>LES DEUX-FAYS</t>
  </si>
  <si>
    <t>CHANCEY</t>
  </si>
  <si>
    <t>CRAMPAGNA</t>
  </si>
  <si>
    <t>MALAY-LE-GRAND</t>
  </si>
  <si>
    <t>FOUILLOUSE</t>
  </si>
  <si>
    <t>PLOUEDERN</t>
  </si>
  <si>
    <t>20244</t>
  </si>
  <si>
    <t>2B106</t>
  </si>
  <si>
    <t>ERONE</t>
  </si>
  <si>
    <t>CHANTERAC</t>
  </si>
  <si>
    <t>NEUILLY-EN-SANCERRE</t>
  </si>
  <si>
    <t>FENNEVILLER</t>
  </si>
  <si>
    <t>NEAUFLES-AUVERGNY</t>
  </si>
  <si>
    <t>VILORY</t>
  </si>
  <si>
    <t>TOSTES</t>
  </si>
  <si>
    <t>NUEIL-SOUS-FAYE</t>
  </si>
  <si>
    <t>NITRY</t>
  </si>
  <si>
    <t>BEYSSENAC</t>
  </si>
  <si>
    <t>LE ROZEL</t>
  </si>
  <si>
    <t>CHIVRES-EN-LAONNOIS</t>
  </si>
  <si>
    <t>FOUCHERES</t>
  </si>
  <si>
    <t>FERRIERES-POUSSAROU</t>
  </si>
  <si>
    <t>MOSSET</t>
  </si>
  <si>
    <t>GRACE-UZEL</t>
  </si>
  <si>
    <t>BARD-LE-REGULIER</t>
  </si>
  <si>
    <t>VALOGNES</t>
  </si>
  <si>
    <t>AUBROMETZ</t>
  </si>
  <si>
    <t>LE RECULEY</t>
  </si>
  <si>
    <t>LA POUGE</t>
  </si>
  <si>
    <t>MEDREAC</t>
  </si>
  <si>
    <t>HEUCOURT-CROQUOISON</t>
  </si>
  <si>
    <t>50630</t>
  </si>
  <si>
    <t>LE VAST</t>
  </si>
  <si>
    <t>MONSAC</t>
  </si>
  <si>
    <t>SAUJAC</t>
  </si>
  <si>
    <t>2B077</t>
  </si>
  <si>
    <t>CASTELLARE-DI-CASINCA</t>
  </si>
  <si>
    <t>CANVILLE-LES-DEUX-EGLISES</t>
  </si>
  <si>
    <t>06400/06150</t>
  </si>
  <si>
    <t>CANNES</t>
  </si>
  <si>
    <t>51480</t>
  </si>
  <si>
    <t>ROMERY</t>
  </si>
  <si>
    <t>ORTHEVIELLE</t>
  </si>
  <si>
    <t>CHAMPGUYON</t>
  </si>
  <si>
    <t>PLOUNEVENTER</t>
  </si>
  <si>
    <t>97222</t>
  </si>
  <si>
    <t>CIER-DE-LUCHON</t>
  </si>
  <si>
    <t>VIREY</t>
  </si>
  <si>
    <t>2A308</t>
  </si>
  <si>
    <t>SAINTE-LUCIE-DE-TALLANO</t>
  </si>
  <si>
    <t>TOURLY</t>
  </si>
  <si>
    <t>COURNON-D'AUVERGNE</t>
  </si>
  <si>
    <t>VOGELGRUN</t>
  </si>
  <si>
    <t>CUSSY-LA-COLONNE</t>
  </si>
  <si>
    <t>VEYNES</t>
  </si>
  <si>
    <t>ARBECEY</t>
  </si>
  <si>
    <t>CERNAY-EN-DORMOIS</t>
  </si>
  <si>
    <t>10260</t>
  </si>
  <si>
    <t>VAUDES</t>
  </si>
  <si>
    <t>ADAMSWILLER</t>
  </si>
  <si>
    <t>HESTRUS</t>
  </si>
  <si>
    <t>MARCILLY-SUR-MAULNE</t>
  </si>
  <si>
    <t>58180</t>
  </si>
  <si>
    <t>MARZY</t>
  </si>
  <si>
    <t>ORBIGNY-AU-MONT</t>
  </si>
  <si>
    <t>FRONTENAY</t>
  </si>
  <si>
    <t>COULOMMES</t>
  </si>
  <si>
    <t>94500</t>
  </si>
  <si>
    <t>CHAMPIGNY-SUR-MARNE</t>
  </si>
  <si>
    <t>SAINT-ROMAIN</t>
  </si>
  <si>
    <t>LA TOURLANDRY</t>
  </si>
  <si>
    <t>HARVILLE</t>
  </si>
  <si>
    <t>AIGNERVILLE</t>
  </si>
  <si>
    <t>BELLOC-SAINT-CLAMENS</t>
  </si>
  <si>
    <t>39410</t>
  </si>
  <si>
    <t>AUMUR</t>
  </si>
  <si>
    <t>2B340</t>
  </si>
  <si>
    <t>VELONE-ORNETO</t>
  </si>
  <si>
    <t>GROSMAGNY</t>
  </si>
  <si>
    <t>MERCURY</t>
  </si>
  <si>
    <t>VILLAINES-LA-GONAIS</t>
  </si>
  <si>
    <t>AUSSURUCQ</t>
  </si>
  <si>
    <t>YPREVILLE-BIVILLE</t>
  </si>
  <si>
    <t>VERDUN-EN-LAURAGAIS</t>
  </si>
  <si>
    <t>ANDANCE</t>
  </si>
  <si>
    <t>59176</t>
  </si>
  <si>
    <t>ECAILLON</t>
  </si>
  <si>
    <t>LHOPITAL</t>
  </si>
  <si>
    <t>LANDOGNE</t>
  </si>
  <si>
    <t>VAY</t>
  </si>
  <si>
    <t>SAINT-CHRISTOPHE-SUR-LE-NAIS</t>
  </si>
  <si>
    <t>26190</t>
  </si>
  <si>
    <t>ORIOL-EN-ROYANS</t>
  </si>
  <si>
    <t>HERMILLON</t>
  </si>
  <si>
    <t>LA BRUGUIERE</t>
  </si>
  <si>
    <t>VILLEGUSIEN-LE-LAC</t>
  </si>
  <si>
    <t>MENNESSIS</t>
  </si>
  <si>
    <t>PEYRAT-DE-BELLAC</t>
  </si>
  <si>
    <t>SAINT-MARTIN-DU-MONT</t>
  </si>
  <si>
    <t>SAINTE-MARGUERITE-LAFIGERE</t>
  </si>
  <si>
    <t>NIEUL-SUR-L'AUTISE</t>
  </si>
  <si>
    <t>54118</t>
  </si>
  <si>
    <t>MOYEN</t>
  </si>
  <si>
    <t>NOYERS-SUR-JABRON</t>
  </si>
  <si>
    <t>2B222</t>
  </si>
  <si>
    <t>PIE-D'OREZZA</t>
  </si>
  <si>
    <t>44130</t>
  </si>
  <si>
    <t>BOUVRON</t>
  </si>
  <si>
    <t>14810</t>
  </si>
  <si>
    <t>MERVILLE-FRANCEVILLE-PLAGE</t>
  </si>
  <si>
    <t>2B273</t>
  </si>
  <si>
    <t>SCATA</t>
  </si>
  <si>
    <t>ERAINES</t>
  </si>
  <si>
    <t>95590</t>
  </si>
  <si>
    <t>PRESLES</t>
  </si>
  <si>
    <t>57470</t>
  </si>
  <si>
    <t>HOMBOURG-HAUT</t>
  </si>
  <si>
    <t>FITOU</t>
  </si>
  <si>
    <t>EGUISHEIM</t>
  </si>
  <si>
    <t>BAGNOT</t>
  </si>
  <si>
    <t>SAINT-PREST</t>
  </si>
  <si>
    <t>WOLFSKIRCHEN</t>
  </si>
  <si>
    <t>TREBABU</t>
  </si>
  <si>
    <t>TORDOUET</t>
  </si>
  <si>
    <t>20147</t>
  </si>
  <si>
    <t>2A279</t>
  </si>
  <si>
    <t>SERRIERA</t>
  </si>
  <si>
    <t>78230</t>
  </si>
  <si>
    <t>LE PECQ</t>
  </si>
  <si>
    <t>LIEOUX</t>
  </si>
  <si>
    <t>94440</t>
  </si>
  <si>
    <t>VILLECRESNES</t>
  </si>
  <si>
    <t>SAINT-MARTIAL-D'ARTENSET</t>
  </si>
  <si>
    <t>CLERMONT-SUR-LAUQUET</t>
  </si>
  <si>
    <t>ROPPENTZWILLER</t>
  </si>
  <si>
    <t>LOUBIENG</t>
  </si>
  <si>
    <t>REAUMONT</t>
  </si>
  <si>
    <t>SAINT-FELICIEN</t>
  </si>
  <si>
    <t>MONDONVILLE-SAINT-JEAN</t>
  </si>
  <si>
    <t>94240</t>
  </si>
  <si>
    <t>L'HAY-LES-ROSES</t>
  </si>
  <si>
    <t>DIEPPE-SOUS-DOUAUMONT</t>
  </si>
  <si>
    <t>BEIRE-LE-CHATEL</t>
  </si>
  <si>
    <t>95650</t>
  </si>
  <si>
    <t>GENICOURT</t>
  </si>
  <si>
    <t>CHAINGY</t>
  </si>
  <si>
    <t>SAINTE-RUFFINE</t>
  </si>
  <si>
    <t>NOAILLAN</t>
  </si>
  <si>
    <t>MENIL-DE-SENONES</t>
  </si>
  <si>
    <t>42460</t>
  </si>
  <si>
    <t>SEVELINGES</t>
  </si>
  <si>
    <t>CUBNEZAIS</t>
  </si>
  <si>
    <t>95700</t>
  </si>
  <si>
    <t>ROISSY-EN-FRANCE</t>
  </si>
  <si>
    <t>BEDDES</t>
  </si>
  <si>
    <t>SAINT-ETIENNE-D'ALBAGNAN</t>
  </si>
  <si>
    <t>L'HERMENAULT</t>
  </si>
  <si>
    <t>BERSTHEIM</t>
  </si>
  <si>
    <t>71130</t>
  </si>
  <si>
    <t>UXEAU</t>
  </si>
  <si>
    <t>SAINT-MARTIN-D'ARBEROUE</t>
  </si>
  <si>
    <t>QUIRY-LE-SEC</t>
  </si>
  <si>
    <t>SAINT-CLAUD</t>
  </si>
  <si>
    <t>78500</t>
  </si>
  <si>
    <t>SARTROUVILLE</t>
  </si>
  <si>
    <t>BERCHERES-LES-PIERRES</t>
  </si>
  <si>
    <t>SCHAFFHOUSE-SUR-ZORN</t>
  </si>
  <si>
    <t>CHERVEY</t>
  </si>
  <si>
    <t>LA NEUVILLE-LES-BRAY</t>
  </si>
  <si>
    <t>AGRIS</t>
  </si>
  <si>
    <t>PRADETTES</t>
  </si>
  <si>
    <t>BOUZONVILLE-AUX-BOIS</t>
  </si>
  <si>
    <t>SILFIAC</t>
  </si>
  <si>
    <t>LA CROIX-AVRANCHIN</t>
  </si>
  <si>
    <t>ESTERENCUBY</t>
  </si>
  <si>
    <t>87920</t>
  </si>
  <si>
    <t>CONDAT-SUR-VIENNE</t>
  </si>
  <si>
    <t>67730</t>
  </si>
  <si>
    <t>GARIDECH</t>
  </si>
  <si>
    <t>VOLNAY</t>
  </si>
  <si>
    <t>ARPHY</t>
  </si>
  <si>
    <t>73270</t>
  </si>
  <si>
    <t>VILLARD-SUR-DORON</t>
  </si>
  <si>
    <t>CEZIA</t>
  </si>
  <si>
    <t>MEURVILLE</t>
  </si>
  <si>
    <t>HINSINGEN</t>
  </si>
  <si>
    <t>SAINT-SAUVEUR-DE-GINESTOUX</t>
  </si>
  <si>
    <t>DUCEY</t>
  </si>
  <si>
    <t>CHAUSSENAC</t>
  </si>
  <si>
    <t>LA POTERIE-CAP-D'ANTIFER</t>
  </si>
  <si>
    <t>17450</t>
  </si>
  <si>
    <t>FOURAS</t>
  </si>
  <si>
    <t>MONTAGAGNE</t>
  </si>
  <si>
    <t>30980</t>
  </si>
  <si>
    <t>LANGLADE</t>
  </si>
  <si>
    <t>THUEYTS</t>
  </si>
  <si>
    <t>ETANG-SUR-ARROUX</t>
  </si>
  <si>
    <t>AUBEVOYE</t>
  </si>
  <si>
    <t>33650</t>
  </si>
  <si>
    <t>CABANAC-ET-VILLAGRAINS</t>
  </si>
  <si>
    <t>CUSEY</t>
  </si>
  <si>
    <t>MASSIGNAC</t>
  </si>
  <si>
    <t>33460</t>
  </si>
  <si>
    <t>LABARDE</t>
  </si>
  <si>
    <t>COLONARD-CORUBERT</t>
  </si>
  <si>
    <t>PAULINET</t>
  </si>
  <si>
    <t>BEAUMONT-EN-VERDUNOIS</t>
  </si>
  <si>
    <t>MOUSSY-LE-NEUF</t>
  </si>
  <si>
    <t>SEGRY</t>
  </si>
  <si>
    <t>SAINT-JEAN-D'ATAUX</t>
  </si>
  <si>
    <t>VAUDESSON</t>
  </si>
  <si>
    <t>59830</t>
  </si>
  <si>
    <t>WANNEHAIN</t>
  </si>
  <si>
    <t>MONTIGNY-SUR-CHIERS</t>
  </si>
  <si>
    <t>ALLOUE</t>
  </si>
  <si>
    <t>MOURMELON-LE-PETIT</t>
  </si>
  <si>
    <t>2B172</t>
  </si>
  <si>
    <t>MURATO</t>
  </si>
  <si>
    <t>DIEFFENBACH-AU-VAL</t>
  </si>
  <si>
    <t>26260</t>
  </si>
  <si>
    <t>BATHERNAY</t>
  </si>
  <si>
    <t>LEMPZOURS</t>
  </si>
  <si>
    <t>LE MALZIEU-VILLE</t>
  </si>
  <si>
    <t>ANGEY</t>
  </si>
  <si>
    <t>IRAI</t>
  </si>
  <si>
    <t>2B206</t>
  </si>
  <si>
    <t>PENTA-ACQUATELLA</t>
  </si>
  <si>
    <t>SANRY-SUR-NIED</t>
  </si>
  <si>
    <t>MARCEI</t>
  </si>
  <si>
    <t>2B057</t>
  </si>
  <si>
    <t>CANALE-DI-VERDE</t>
  </si>
  <si>
    <t>OUVILLE-L'ABBAYE</t>
  </si>
  <si>
    <t>DEVAY</t>
  </si>
  <si>
    <t>ORCONTE</t>
  </si>
  <si>
    <t>SAINT-GEORGES-D'ANNEBECQ</t>
  </si>
  <si>
    <t>TRAVES</t>
  </si>
  <si>
    <t>CAMPNEUSEVILLE</t>
  </si>
  <si>
    <t>20272</t>
  </si>
  <si>
    <t>2B213</t>
  </si>
  <si>
    <t>PIANELLO</t>
  </si>
  <si>
    <t>COUDRAY-AU-PERCHE</t>
  </si>
  <si>
    <t>ERMENONVILLE-LA-GRANDE</t>
  </si>
  <si>
    <t>MONTFERRAND-LA-FARE</t>
  </si>
  <si>
    <t>BONNEGARDE</t>
  </si>
  <si>
    <t>LA CHAPELLE-HAUTE-GRUE</t>
  </si>
  <si>
    <t>ELLECOURT</t>
  </si>
  <si>
    <t>58410</t>
  </si>
  <si>
    <t>MENESTREAU</t>
  </si>
  <si>
    <t>BOUSSAN</t>
  </si>
  <si>
    <t>VOLVENT</t>
  </si>
  <si>
    <t>CUELAS</t>
  </si>
  <si>
    <t>SAINT-HILAIRE-DE-BRENS</t>
  </si>
  <si>
    <t>13220</t>
  </si>
  <si>
    <t>CHATEAUNEUF-LES-MARTIGUES</t>
  </si>
  <si>
    <t>LA ROCHE-CANILLAC</t>
  </si>
  <si>
    <t>30114</t>
  </si>
  <si>
    <t>NAGES-ET-SOLORGUES</t>
  </si>
  <si>
    <t>MIREPOIX</t>
  </si>
  <si>
    <t>OFFWILLER</t>
  </si>
  <si>
    <t>61300</t>
  </si>
  <si>
    <t>CHANDAI</t>
  </si>
  <si>
    <t>FRENICHES</t>
  </si>
  <si>
    <t>SORNEVILLE</t>
  </si>
  <si>
    <t>NEVACHE</t>
  </si>
  <si>
    <t>LA PIARRE</t>
  </si>
  <si>
    <t>MAIRY</t>
  </si>
  <si>
    <t>TOURS-SUR-MARNE</t>
  </si>
  <si>
    <t>ETTENDORF</t>
  </si>
  <si>
    <t>THEZE</t>
  </si>
  <si>
    <t>GELLIN</t>
  </si>
  <si>
    <t>SAULT-SAINT-REMY</t>
  </si>
  <si>
    <t>68110</t>
  </si>
  <si>
    <t>ILLZACH</t>
  </si>
  <si>
    <t>BALDERSHEIM</t>
  </si>
  <si>
    <t>MYANS</t>
  </si>
  <si>
    <t>PUGET-VILLE</t>
  </si>
  <si>
    <t>6500</t>
  </si>
  <si>
    <t>MENTON</t>
  </si>
  <si>
    <t>MARCHAMP</t>
  </si>
  <si>
    <t>ETOURVY</t>
  </si>
  <si>
    <t>LEZOUX</t>
  </si>
  <si>
    <t>LA COURBE</t>
  </si>
  <si>
    <t>35590</t>
  </si>
  <si>
    <t>CLAYES</t>
  </si>
  <si>
    <t>BELMONT-D'AZERGUES</t>
  </si>
  <si>
    <t>BEAUFORT-EN-ARGONNE</t>
  </si>
  <si>
    <t>62570</t>
  </si>
  <si>
    <t>PIHEM</t>
  </si>
  <si>
    <t>BUZET-SUR-BAISE</t>
  </si>
  <si>
    <t>ANSAN</t>
  </si>
  <si>
    <t>NOIDANS-LES-VESOUL</t>
  </si>
  <si>
    <t>SAINTE-OPPORTUNE-DU-BOSC</t>
  </si>
  <si>
    <t>60820</t>
  </si>
  <si>
    <t>BORAN-SUR-OISE</t>
  </si>
  <si>
    <t>73190</t>
  </si>
  <si>
    <t>SAINT-BALDOPH</t>
  </si>
  <si>
    <t>57515</t>
  </si>
  <si>
    <t>ALSTING</t>
  </si>
  <si>
    <t>RABASTENS-DE-BIGORRE</t>
  </si>
  <si>
    <t>SAINT-MARTIN-D'ARROSSA</t>
  </si>
  <si>
    <t>57185</t>
  </si>
  <si>
    <t>VITRY-SUR-ORNE</t>
  </si>
  <si>
    <t>BINSON-ET-ORQUIGNY</t>
  </si>
  <si>
    <t>FOUCHECOURT</t>
  </si>
  <si>
    <t>CHATENAY-VAUDIN</t>
  </si>
  <si>
    <t>SAINTE-LIZAIGNE</t>
  </si>
  <si>
    <t>MARIGNAC</t>
  </si>
  <si>
    <t>SAINT-LEGER-DUBOSQ</t>
  </si>
  <si>
    <t>PLOGOFF</t>
  </si>
  <si>
    <t>DOHEM</t>
  </si>
  <si>
    <t>PEYRUSSE</t>
  </si>
  <si>
    <t>TERNANT</t>
  </si>
  <si>
    <t>SAINT-VINCENT-SUR-JABRON</t>
  </si>
  <si>
    <t>68127</t>
  </si>
  <si>
    <t>SAINTE-CROIX-EN-PLAINE</t>
  </si>
  <si>
    <t>BRETIGNEY</t>
  </si>
  <si>
    <t>HADANCOURT-LE-HAUT-CLOCHER</t>
  </si>
  <si>
    <t>BRUGNY-VAUDANCOURT</t>
  </si>
  <si>
    <t>MOUCHY-LE-CHATEL</t>
  </si>
  <si>
    <t>CAVARC</t>
  </si>
  <si>
    <t>SAINT-JULIEN-MAUMONT</t>
  </si>
  <si>
    <t>14123</t>
  </si>
  <si>
    <t>IFS</t>
  </si>
  <si>
    <t>5150</t>
  </si>
  <si>
    <t>MOYDANS</t>
  </si>
  <si>
    <t>VITRE</t>
  </si>
  <si>
    <t>SAINT-MARD-SUR-AUVE</t>
  </si>
  <si>
    <t>CHENAILLER-MASCHEIX</t>
  </si>
  <si>
    <t>MARDOR</t>
  </si>
  <si>
    <t>AZANNES-ET-SOUMAZANNES</t>
  </si>
  <si>
    <t>LA COTE</t>
  </si>
  <si>
    <t>THAON</t>
  </si>
  <si>
    <t>COURCITE</t>
  </si>
  <si>
    <t>MONTFROC</t>
  </si>
  <si>
    <t>CONILHAC-DE-LA-MONTAGNE</t>
  </si>
  <si>
    <t>ISCHES</t>
  </si>
  <si>
    <t>BREUGNON</t>
  </si>
  <si>
    <t>BLOMARD</t>
  </si>
  <si>
    <t>AUMENANCOURT</t>
  </si>
  <si>
    <t>BOUSSERAUCOURT</t>
  </si>
  <si>
    <t>VERSAILLEUX</t>
  </si>
  <si>
    <t>LA CHAPELLE-SAINT-JEAN</t>
  </si>
  <si>
    <t>SAINT-SEURIN-DE-PRATS</t>
  </si>
  <si>
    <t>SAULXEROTTE</t>
  </si>
  <si>
    <t>66470</t>
  </si>
  <si>
    <t>77169</t>
  </si>
  <si>
    <t>54750</t>
  </si>
  <si>
    <t>TRIEUX</t>
  </si>
  <si>
    <t>SAINT-ETIENNE-DU-VAUVRAY</t>
  </si>
  <si>
    <t>FABREZAN</t>
  </si>
  <si>
    <t>COIVREL</t>
  </si>
  <si>
    <t>SAINT-GENEST-MALIFAUX</t>
  </si>
  <si>
    <t>BUCEY-LES-GY</t>
  </si>
  <si>
    <t>SAINT-JULIEN-LE-PELERIN</t>
  </si>
  <si>
    <t>TOURNAI-SUR-DIVE</t>
  </si>
  <si>
    <t>MURVIEL-LES-BEZIERS</t>
  </si>
  <si>
    <t>THOIRETTE</t>
  </si>
  <si>
    <t>MALLEREY</t>
  </si>
  <si>
    <t>GOUSSE</t>
  </si>
  <si>
    <t>BEAUSSAIS</t>
  </si>
  <si>
    <t>59175</t>
  </si>
  <si>
    <t>TEMPLEMARS</t>
  </si>
  <si>
    <t>60230</t>
  </si>
  <si>
    <t>CHAMBLY</t>
  </si>
  <si>
    <t>CHARENCEY</t>
  </si>
  <si>
    <t>2B229</t>
  </si>
  <si>
    <t>PIETROSO</t>
  </si>
  <si>
    <t>BUN</t>
  </si>
  <si>
    <t>PUYGAILLARD-DE-QUERCY</t>
  </si>
  <si>
    <t>BLAIN</t>
  </si>
  <si>
    <t>LOMBEZ</t>
  </si>
  <si>
    <t>CERTINES</t>
  </si>
  <si>
    <t>66650</t>
  </si>
  <si>
    <t>BANYULS-SUR-MER</t>
  </si>
  <si>
    <t>ROCQUIGNY</t>
  </si>
  <si>
    <t>HERICOURT-EN-CAUX</t>
  </si>
  <si>
    <t>GARAC</t>
  </si>
  <si>
    <t>78460</t>
  </si>
  <si>
    <t>CHOISEL</t>
  </si>
  <si>
    <t>DAMPIERRE-SUR-MOIVRE</t>
  </si>
  <si>
    <t>59840</t>
  </si>
  <si>
    <t>PREMESQUES</t>
  </si>
  <si>
    <t>13610</t>
  </si>
  <si>
    <t>SAINT-ESTEVE-JANSON</t>
  </si>
  <si>
    <t>LOURESSE-ROCHEMENIER</t>
  </si>
  <si>
    <t>COURBIAC</t>
  </si>
  <si>
    <t>CORDES-TOLOSANNES</t>
  </si>
  <si>
    <t>MARTIGNY-COURPIERRE</t>
  </si>
  <si>
    <t>BERDOUES</t>
  </si>
  <si>
    <t>SAINT-ETIENNE-LARDEYROL</t>
  </si>
  <si>
    <t>SAINT-LEGER</t>
  </si>
  <si>
    <t>31130</t>
  </si>
  <si>
    <t>QUINT-FONSEGRIVES</t>
  </si>
  <si>
    <t>ECLUZELLES</t>
  </si>
  <si>
    <t>84290</t>
  </si>
  <si>
    <t>SAINTE-CECILE-LES-VIGNES</t>
  </si>
  <si>
    <t>VALLOIS</t>
  </si>
  <si>
    <t>MONTROL-SENARD</t>
  </si>
  <si>
    <t>BEYNOST</t>
  </si>
  <si>
    <t>MINZAC</t>
  </si>
  <si>
    <t>DOURGNE</t>
  </si>
  <si>
    <t>LAMOTTE-BULEUX</t>
  </si>
  <si>
    <t>LAFAGE</t>
  </si>
  <si>
    <t>SAINT-MARTIN-DES-CHAMPS</t>
  </si>
  <si>
    <t>54920</t>
  </si>
  <si>
    <t>MORFONTAINE</t>
  </si>
  <si>
    <t>VIERVILLE-SUR-MER</t>
  </si>
  <si>
    <t>VERTAIN</t>
  </si>
  <si>
    <t>ERCHES</t>
  </si>
  <si>
    <t>95560</t>
  </si>
  <si>
    <t>BAILLET-EN-FRANCE</t>
  </si>
  <si>
    <t>MONTAGNA-LE-RECONDUIT</t>
  </si>
  <si>
    <t>GOVEN</t>
  </si>
  <si>
    <t>13430</t>
  </si>
  <si>
    <t>EYGUIERES</t>
  </si>
  <si>
    <t>DOURS</t>
  </si>
  <si>
    <t>USSY</t>
  </si>
  <si>
    <t>RIEUX-DE-PELLEPORT</t>
  </si>
  <si>
    <t>SAUVETERRE-DE-GUYENNE</t>
  </si>
  <si>
    <t>GEOVREISSET</t>
  </si>
  <si>
    <t>38680</t>
  </si>
  <si>
    <t>RENCUREL</t>
  </si>
  <si>
    <t>ANNEUX</t>
  </si>
  <si>
    <t>SARLABOUS</t>
  </si>
  <si>
    <t>16400</t>
  </si>
  <si>
    <t>LA COURONNE</t>
  </si>
  <si>
    <t>NEUILLY-EN-VEXIN</t>
  </si>
  <si>
    <t>13006</t>
  </si>
  <si>
    <t>MARSEILLE--6E--ARRONDISSEMENT</t>
  </si>
  <si>
    <t>PAJAY</t>
  </si>
  <si>
    <t>HATTSTATT</t>
  </si>
  <si>
    <t>28600</t>
  </si>
  <si>
    <t>LUISANT</t>
  </si>
  <si>
    <t>58500</t>
  </si>
  <si>
    <t>SURGY</t>
  </si>
  <si>
    <t>MARGERIE-CHANTAGRET</t>
  </si>
  <si>
    <t>58380</t>
  </si>
  <si>
    <t>LUCENAY-LES-AIX</t>
  </si>
  <si>
    <t>BRIMONT</t>
  </si>
  <si>
    <t>QUINTENIC</t>
  </si>
  <si>
    <t>OEYREGAVE</t>
  </si>
  <si>
    <t>VALEILLE</t>
  </si>
  <si>
    <t>ROHR</t>
  </si>
  <si>
    <t>JANZE</t>
  </si>
  <si>
    <t>LES SOUHESMES-RAMPONT</t>
  </si>
  <si>
    <t>MEOBECQ</t>
  </si>
  <si>
    <t>ANCIENVILLE</t>
  </si>
  <si>
    <t>BRAGNY-SUR-SAONE</t>
  </si>
  <si>
    <t>LA SALVETAT-LAURAGAIS</t>
  </si>
  <si>
    <t>GLATIGNY</t>
  </si>
  <si>
    <t>LABATHUDE</t>
  </si>
  <si>
    <t>DOUZY</t>
  </si>
  <si>
    <t>CONGIS-SUR-THEROUANNE</t>
  </si>
  <si>
    <t>NATTAGES</t>
  </si>
  <si>
    <t>MONTRAVERS</t>
  </si>
  <si>
    <t>BATILLY-EN-PUISAYE</t>
  </si>
  <si>
    <t>MEZIERES-SUR-ISSOIRE</t>
  </si>
  <si>
    <t>SAUVETERRE-DE-COMMINGES</t>
  </si>
  <si>
    <t>ANDERNY</t>
  </si>
  <si>
    <t>56360</t>
  </si>
  <si>
    <t>LOCMARIA</t>
  </si>
  <si>
    <t>SAINT-OUEN-DES-CHAMPS</t>
  </si>
  <si>
    <t>BALBRONN</t>
  </si>
  <si>
    <t>LHEZ</t>
  </si>
  <si>
    <t>MAISONCELLE</t>
  </si>
  <si>
    <t>LABERGEMENT-SAINTE-MARIE</t>
  </si>
  <si>
    <t>FRETIGNY</t>
  </si>
  <si>
    <t>BOIS-L'EVEQUE</t>
  </si>
  <si>
    <t>SAINT-EUGENE</t>
  </si>
  <si>
    <t>13111</t>
  </si>
  <si>
    <t>COUDOUX</t>
  </si>
  <si>
    <t>PINON</t>
  </si>
  <si>
    <t>ACCONS</t>
  </si>
  <si>
    <t>LITTEAU</t>
  </si>
  <si>
    <t>LUMIGNY-NESLES-ORMEAUX</t>
  </si>
  <si>
    <t>4380</t>
  </si>
  <si>
    <t>LE CASTELLARD-MELAN</t>
  </si>
  <si>
    <t>MAILLERONCOURT-CHARETTE</t>
  </si>
  <si>
    <t>ASSIS-SUR-SERRE</t>
  </si>
  <si>
    <t>PLONEOUR-LANVERN</t>
  </si>
  <si>
    <t>NAN-SOUS-THIL</t>
  </si>
  <si>
    <t>SAINT-MARTIN-LE-PIN</t>
  </si>
  <si>
    <t>TENAY</t>
  </si>
  <si>
    <t>NOYERS-AUZECOURT</t>
  </si>
  <si>
    <t>HEIWILLER</t>
  </si>
  <si>
    <t>COUVONGES</t>
  </si>
  <si>
    <t>58390</t>
  </si>
  <si>
    <t>DORNES</t>
  </si>
  <si>
    <t>33140</t>
  </si>
  <si>
    <t>CADAUJAC</t>
  </si>
  <si>
    <t>ROLBING</t>
  </si>
  <si>
    <t>74250</t>
  </si>
  <si>
    <t>VIUZ-EN-SALLAZ</t>
  </si>
  <si>
    <t>LA COUDRE</t>
  </si>
  <si>
    <t>TRUTTEMER-LE-PETIT</t>
  </si>
  <si>
    <t>91240</t>
  </si>
  <si>
    <t>SAINT-MICHEL-SUR-ORGE</t>
  </si>
  <si>
    <t>CROS-DE-RONESQUE</t>
  </si>
  <si>
    <t>AULON</t>
  </si>
  <si>
    <t>COURBES</t>
  </si>
  <si>
    <t>MAINTENON</t>
  </si>
  <si>
    <t>DAMPIERRE</t>
  </si>
  <si>
    <t>CHARENS</t>
  </si>
  <si>
    <t>SAINT-JEAN-DE-SIXT</t>
  </si>
  <si>
    <t>CLAIRMARAIS</t>
  </si>
  <si>
    <t>ESPIRA-DE-CONFLENT</t>
  </si>
  <si>
    <t>85330</t>
  </si>
  <si>
    <t>NOIRMOUTIER-EN-L'ILE</t>
  </si>
  <si>
    <t>CHIGNY</t>
  </si>
  <si>
    <t>PEYRAT-LA-NONIERE</t>
  </si>
  <si>
    <t>ARTHUN</t>
  </si>
  <si>
    <t>LE GUA</t>
  </si>
  <si>
    <t>POINTIS-INARD</t>
  </si>
  <si>
    <t>86330</t>
  </si>
  <si>
    <t>SAINT-JEAN-DE-SAUVES</t>
  </si>
  <si>
    <t>12540</t>
  </si>
  <si>
    <t>MARNHAGUES-ET-LATOUR</t>
  </si>
  <si>
    <t>SAINT-SULPICE-LES-CHAMPS</t>
  </si>
  <si>
    <t>GERROTS</t>
  </si>
  <si>
    <t>84310</t>
  </si>
  <si>
    <t>MORIERES-LES-AVIGNON</t>
  </si>
  <si>
    <t>BOCQUEGNEY</t>
  </si>
  <si>
    <t>38430</t>
  </si>
  <si>
    <t>MOIRANS</t>
  </si>
  <si>
    <t>LE BOULLAY-LES-DEUX-EGLISES</t>
  </si>
  <si>
    <t>85400</t>
  </si>
  <si>
    <t>CHASNAIS</t>
  </si>
  <si>
    <t>AILLANT-SUR-MILLERON</t>
  </si>
  <si>
    <t>RIX</t>
  </si>
  <si>
    <t>89770</t>
  </si>
  <si>
    <t>CHAILLEY</t>
  </si>
  <si>
    <t>50690</t>
  </si>
  <si>
    <t>VIRANDEVILLE</t>
  </si>
  <si>
    <t>LOBSANN</t>
  </si>
  <si>
    <t>ESCOSSE</t>
  </si>
  <si>
    <t>CHATEAUVILAIN</t>
  </si>
  <si>
    <t>TOSSE</t>
  </si>
  <si>
    <t>SAINTE-FAUSTE</t>
  </si>
  <si>
    <t>TROUANS</t>
  </si>
  <si>
    <t>CHARNIZAY</t>
  </si>
  <si>
    <t>MONTFAUCON-D'ARGONNE</t>
  </si>
  <si>
    <t>59247</t>
  </si>
  <si>
    <t>FECHAIN</t>
  </si>
  <si>
    <t>PARTHENAY</t>
  </si>
  <si>
    <t>CRASVILLE</t>
  </si>
  <si>
    <t>RUFFEC</t>
  </si>
  <si>
    <t>PUSSAY</t>
  </si>
  <si>
    <t>92000</t>
  </si>
  <si>
    <t>NANTERRE</t>
  </si>
  <si>
    <t>BOUCE</t>
  </si>
  <si>
    <t>ISSERPENT</t>
  </si>
  <si>
    <t>NEUVILLE-SAINT-REMY</t>
  </si>
  <si>
    <t>BOULLARRE</t>
  </si>
  <si>
    <t>BISSERT</t>
  </si>
  <si>
    <t>MONTMAHOUX</t>
  </si>
  <si>
    <t>SAINTE-COLOMBE-SUR-GUETTE</t>
  </si>
  <si>
    <t>ROVILLE-DEVANT-BAYON</t>
  </si>
  <si>
    <t>LES RIVIERES-HENRUEL</t>
  </si>
  <si>
    <t>LAVONCOURT</t>
  </si>
  <si>
    <t>57645</t>
  </si>
  <si>
    <t>NOUILLY</t>
  </si>
  <si>
    <t>40660</t>
  </si>
  <si>
    <t>MESSANGES</t>
  </si>
  <si>
    <t>NESMY</t>
  </si>
  <si>
    <t>LA CAURE</t>
  </si>
  <si>
    <t>AMMERZWILLER</t>
  </si>
  <si>
    <t>DURTOL</t>
  </si>
  <si>
    <t>CASTELNAU-DURBAN</t>
  </si>
  <si>
    <t>BEAUMONT-LES-AUTELS</t>
  </si>
  <si>
    <t>DERVAL</t>
  </si>
  <si>
    <t>SAINT-CHAMP</t>
  </si>
  <si>
    <t>NANTEAU-SUR-LUNAIN</t>
  </si>
  <si>
    <t>CHAUDUN</t>
  </si>
  <si>
    <t>LE DONJON</t>
  </si>
  <si>
    <t>38490</t>
  </si>
  <si>
    <t>SAINT-ONDRAS</t>
  </si>
  <si>
    <t>ORGERUS</t>
  </si>
  <si>
    <t>88650</t>
  </si>
  <si>
    <t>ENTRE-DEUX-EAUX</t>
  </si>
  <si>
    <t>CHARMOIS</t>
  </si>
  <si>
    <t>71000</t>
  </si>
  <si>
    <t>MACON</t>
  </si>
  <si>
    <t>30750</t>
  </si>
  <si>
    <t>REVENS</t>
  </si>
  <si>
    <t>MARCHENOIR</t>
  </si>
  <si>
    <t>PAYRA-SUR-L'HERS</t>
  </si>
  <si>
    <t>5460</t>
  </si>
  <si>
    <t>RISTOLAS</t>
  </si>
  <si>
    <t>34725</t>
  </si>
  <si>
    <t>SAINT-FELIX-DE-LODEZ</t>
  </si>
  <si>
    <t>LE VIGEN</t>
  </si>
  <si>
    <t>REMOMEIX</t>
  </si>
  <si>
    <t>TEILLE</t>
  </si>
  <si>
    <t>MISSY-AUX-BOIS</t>
  </si>
  <si>
    <t>26500</t>
  </si>
  <si>
    <t>BOURG-LES-VALENCE</t>
  </si>
  <si>
    <t>MEZIERES-EN-DROUAIS</t>
  </si>
  <si>
    <t>MONTELS</t>
  </si>
  <si>
    <t>ANGEDUC</t>
  </si>
  <si>
    <t>GELLAINVILLE</t>
  </si>
  <si>
    <t>BONDEVAL</t>
  </si>
  <si>
    <t>ALIX</t>
  </si>
  <si>
    <t>SAINT-MARTIN-DE-GURSON</t>
  </si>
  <si>
    <t>DOMMARTIN-LES-VALLOIS</t>
  </si>
  <si>
    <t>SEM</t>
  </si>
  <si>
    <t>37460</t>
  </si>
  <si>
    <t>NOUANS-LES-FONTAINES</t>
  </si>
  <si>
    <t>GRIGNON</t>
  </si>
  <si>
    <t>HUSSEREN-LES-CHATEAUX</t>
  </si>
  <si>
    <t>CHEVRAINVILLIERS</t>
  </si>
  <si>
    <t>WARNECOURT</t>
  </si>
  <si>
    <t>OFFRETHUN</t>
  </si>
  <si>
    <t>FALVY</t>
  </si>
  <si>
    <t>83910</t>
  </si>
  <si>
    <t>POURRIERES</t>
  </si>
  <si>
    <t>BADONVILLIERS-GERAUVILLIERS</t>
  </si>
  <si>
    <t>BRAUD-ET-SAINT-LOUIS</t>
  </si>
  <si>
    <t>LESPARRE-MEDOC</t>
  </si>
  <si>
    <t>42131</t>
  </si>
  <si>
    <t>LA VALLA-EN-GIER</t>
  </si>
  <si>
    <t>QUETTETOT</t>
  </si>
  <si>
    <t>SAINT-BOES</t>
  </si>
  <si>
    <t>CHITENAY</t>
  </si>
  <si>
    <t>RONCEY</t>
  </si>
  <si>
    <t>74930</t>
  </si>
  <si>
    <t>ARBUSIGNY</t>
  </si>
  <si>
    <t>BONNOEUVRE</t>
  </si>
  <si>
    <t>PORT-LESNEY</t>
  </si>
  <si>
    <t>DAMPIERRE-LES-CONFLANS</t>
  </si>
  <si>
    <t>BOUCHET</t>
  </si>
  <si>
    <t>LE MERIOT</t>
  </si>
  <si>
    <t>46150</t>
  </si>
  <si>
    <t>CRAYSSAC</t>
  </si>
  <si>
    <t>HOSTA</t>
  </si>
  <si>
    <t>2B195</t>
  </si>
  <si>
    <t>ORTIPORIO</t>
  </si>
  <si>
    <t>20139</t>
  </si>
  <si>
    <t>2A144</t>
  </si>
  <si>
    <t>LOPIGNA</t>
  </si>
  <si>
    <t>27710</t>
  </si>
  <si>
    <t>SAINT-GEORGES-MOTEL</t>
  </si>
  <si>
    <t>25113</t>
  </si>
  <si>
    <t>DONAZAC</t>
  </si>
  <si>
    <t>NEGRONDES</t>
  </si>
  <si>
    <t>VILLENEUVE-LES-LAVAUR</t>
  </si>
  <si>
    <t>MARCY</t>
  </si>
  <si>
    <t>VILLARS-SOUS-ECOT</t>
  </si>
  <si>
    <t>72700</t>
  </si>
  <si>
    <t>SPAY</t>
  </si>
  <si>
    <t>CHARONVILLE</t>
  </si>
  <si>
    <t>LE PLANTIS</t>
  </si>
  <si>
    <t>SAINT-INGLEVERT</t>
  </si>
  <si>
    <t>BOUILLY-EN-GATINAIS</t>
  </si>
  <si>
    <t>CLEURIE</t>
  </si>
  <si>
    <t>MURVIEL-LES-MONTPELLIER</t>
  </si>
  <si>
    <t>MOULINS-SUR-OUANNE</t>
  </si>
  <si>
    <t>BOITRON</t>
  </si>
  <si>
    <t>FOVILLE</t>
  </si>
  <si>
    <t>MOULON</t>
  </si>
  <si>
    <t>RAGEADE</t>
  </si>
  <si>
    <t>VERZY</t>
  </si>
  <si>
    <t>SAVOURNON</t>
  </si>
  <si>
    <t>MALLIEVRE</t>
  </si>
  <si>
    <t>BUTTEN</t>
  </si>
  <si>
    <t>MATHONS</t>
  </si>
  <si>
    <t>JESONVILLE</t>
  </si>
  <si>
    <t>TERSANNE</t>
  </si>
  <si>
    <t>BOUVESSE-QUIRIEU</t>
  </si>
  <si>
    <t>SOUGY-SUR-LOIRE</t>
  </si>
  <si>
    <t>ATTICHY</t>
  </si>
  <si>
    <t>45430</t>
  </si>
  <si>
    <t>BOU</t>
  </si>
  <si>
    <t>LUNERAY</t>
  </si>
  <si>
    <t>35470</t>
  </si>
  <si>
    <t>BAIN-DE-BRETAGNE</t>
  </si>
  <si>
    <t>FRIDEFONT</t>
  </si>
  <si>
    <t>PIERREFICHE</t>
  </si>
  <si>
    <t>ASPIN-EN-LAVEDAN</t>
  </si>
  <si>
    <t>GRATTERY</t>
  </si>
  <si>
    <t>LES VENTES-DE-BOURSE</t>
  </si>
  <si>
    <t>TREBAS</t>
  </si>
  <si>
    <t>CANETTEMONT</t>
  </si>
  <si>
    <t>MAMEY</t>
  </si>
  <si>
    <t>SAINT-JULIEN-SUR-CHER</t>
  </si>
  <si>
    <t>MONTSUZAIN</t>
  </si>
  <si>
    <t>GALGAN</t>
  </si>
  <si>
    <t>LEOGEATS</t>
  </si>
  <si>
    <t>VUILLERY</t>
  </si>
  <si>
    <t>GEMONVILLE</t>
  </si>
  <si>
    <t>SAINT-THOMAS</t>
  </si>
  <si>
    <t>BRILLEVAST</t>
  </si>
  <si>
    <t>OSSUN-EZ-ANGLES</t>
  </si>
  <si>
    <t>AUTREVILLE</t>
  </si>
  <si>
    <t>89260</t>
  </si>
  <si>
    <t>LA POSTOLLE</t>
  </si>
  <si>
    <t>COLOMBIERES</t>
  </si>
  <si>
    <t>BARRIAC-LES-BOSQUETS</t>
  </si>
  <si>
    <t>COMBEAUFONTAINE</t>
  </si>
  <si>
    <t>INGOLSHEIM</t>
  </si>
  <si>
    <t>BOUSIES</t>
  </si>
  <si>
    <t>83870</t>
  </si>
  <si>
    <t>SIGNES</t>
  </si>
  <si>
    <t>49680</t>
  </si>
  <si>
    <t>VIVY</t>
  </si>
  <si>
    <t>ANCEINS</t>
  </si>
  <si>
    <t>SAINT-VARENT</t>
  </si>
  <si>
    <t>ROUVROY-SUR-SERRE</t>
  </si>
  <si>
    <t>TREMAUVILLE</t>
  </si>
  <si>
    <t>MENIGOUTE</t>
  </si>
  <si>
    <t>ABILLY</t>
  </si>
  <si>
    <t>VILLE-SOUS-LA-FERTE</t>
  </si>
  <si>
    <t>62680</t>
  </si>
  <si>
    <t>MERICOURT</t>
  </si>
  <si>
    <t>SAINT-GUILLAUME</t>
  </si>
  <si>
    <t>PELOUSEY</t>
  </si>
  <si>
    <t>MONISTROL-D'ALLIER</t>
  </si>
  <si>
    <t>SERANVILLE</t>
  </si>
  <si>
    <t>TARCENAY</t>
  </si>
  <si>
    <t>76119</t>
  </si>
  <si>
    <t>SAINTE-MARGUERITE-SUR-MER</t>
  </si>
  <si>
    <t>LAUTHIERS</t>
  </si>
  <si>
    <t>PRUNAY-BELLEVILLE</t>
  </si>
  <si>
    <t>7200</t>
  </si>
  <si>
    <t>SAINT-PRIVAT</t>
  </si>
  <si>
    <t>PLOUGOUMELEN</t>
  </si>
  <si>
    <t>CHAZELET</t>
  </si>
  <si>
    <t>CHEIX-EN-RETZ</t>
  </si>
  <si>
    <t>LA FEUILLIE</t>
  </si>
  <si>
    <t>37150</t>
  </si>
  <si>
    <t>CHENONCEAUX</t>
  </si>
  <si>
    <t>71500</t>
  </si>
  <si>
    <t>BRUAILLES</t>
  </si>
  <si>
    <t>60880</t>
  </si>
  <si>
    <t>ARMANCOURT</t>
  </si>
  <si>
    <t>TOURRIERS</t>
  </si>
  <si>
    <t>SAINT-AVIT-SAINT-NAZAIRE</t>
  </si>
  <si>
    <t>25220</t>
  </si>
  <si>
    <t>AMAGNEY</t>
  </si>
  <si>
    <t>CEAUX-EN-LOUDUN</t>
  </si>
  <si>
    <t>LACAM-D'OURCET</t>
  </si>
  <si>
    <t>LA SAUVETAT-DE-SAVERES</t>
  </si>
  <si>
    <t>RIEUSSEC</t>
  </si>
  <si>
    <t>RONAI</t>
  </si>
  <si>
    <t>SAINT-BONNET-LA-RIVIERE</t>
  </si>
  <si>
    <t>CORROBERT</t>
  </si>
  <si>
    <t>BOUXIERES-AUX-CHENES</t>
  </si>
  <si>
    <t>ORICOURT</t>
  </si>
  <si>
    <t>MACHILLY</t>
  </si>
  <si>
    <t>CORBEIL</t>
  </si>
  <si>
    <t>LE PLESSIS-DORIN</t>
  </si>
  <si>
    <t>84390</t>
  </si>
  <si>
    <t>SAINT-TRINIT</t>
  </si>
  <si>
    <t>MALLEVILLE-SUR-LE-BEC</t>
  </si>
  <si>
    <t>UMPEAU</t>
  </si>
  <si>
    <t>ROUVRES-SAINT-JEAN</t>
  </si>
  <si>
    <t>MESNIERES-EN-BRAY</t>
  </si>
  <si>
    <t>ESPIRAT</t>
  </si>
  <si>
    <t>91650</t>
  </si>
  <si>
    <t>SAINT-YON</t>
  </si>
  <si>
    <t>AUREL</t>
  </si>
  <si>
    <t>CHATIGNAC</t>
  </si>
  <si>
    <t>CHATEL-DE-NEUVRE</t>
  </si>
  <si>
    <t>VILLENEUVE-LES-CERFS</t>
  </si>
  <si>
    <t>CARAMAN</t>
  </si>
  <si>
    <t>12110</t>
  </si>
  <si>
    <t>CRANSAC</t>
  </si>
  <si>
    <t>LALEU</t>
  </si>
  <si>
    <t>LE CREST</t>
  </si>
  <si>
    <t>66730</t>
  </si>
  <si>
    <t>PRATS-DE-SOURNIA</t>
  </si>
  <si>
    <t>17132</t>
  </si>
  <si>
    <t>MESCHERS-SUR-GIRONDE</t>
  </si>
  <si>
    <t>RANNEE</t>
  </si>
  <si>
    <t>MAZION</t>
  </si>
  <si>
    <t>CHARNAY</t>
  </si>
  <si>
    <t>38760</t>
  </si>
  <si>
    <t>SAINT-PAUL-DE-VARCES</t>
  </si>
  <si>
    <t>BEAUBERY</t>
  </si>
  <si>
    <t>SAINT-GOIN</t>
  </si>
  <si>
    <t>PUY-SANIERES</t>
  </si>
  <si>
    <t>COUR-SAINT-MAURICE</t>
  </si>
  <si>
    <t>PUYCASQUIER</t>
  </si>
  <si>
    <t>CLERMONT-L'HERAULT</t>
  </si>
  <si>
    <t>AUTREVILLE-SUR-MOSELLE</t>
  </si>
  <si>
    <t>VISKER</t>
  </si>
  <si>
    <t>MIRABEAU</t>
  </si>
  <si>
    <t>ROMELFING</t>
  </si>
  <si>
    <t>56200</t>
  </si>
  <si>
    <t>LA GACILLY</t>
  </si>
  <si>
    <t>AUQUEMESNIL</t>
  </si>
  <si>
    <t>13121</t>
  </si>
  <si>
    <t>AURONS</t>
  </si>
  <si>
    <t>CHANTESSE</t>
  </si>
  <si>
    <t>RAON-LES-LEAU</t>
  </si>
  <si>
    <t>SAINT-PANTALEON</t>
  </si>
  <si>
    <t>CHEVIERES</t>
  </si>
  <si>
    <t>REYGADE</t>
  </si>
  <si>
    <t>MARNAY-SUR-MARNE</t>
  </si>
  <si>
    <t>QUINQUEMPOIX</t>
  </si>
  <si>
    <t>FONTENAY-TORCY</t>
  </si>
  <si>
    <t>THAIRE</t>
  </si>
  <si>
    <t>CASTELNAUD-DE-GRATECAMBE</t>
  </si>
  <si>
    <t>91330</t>
  </si>
  <si>
    <t>YERRES</t>
  </si>
  <si>
    <t>26120</t>
  </si>
  <si>
    <t>LA BAUME-CORNILLANE</t>
  </si>
  <si>
    <t>PASSY</t>
  </si>
  <si>
    <t>LE PIAN-MEDOC</t>
  </si>
  <si>
    <t>RIMBACH-PRES-MASEVAUX</t>
  </si>
  <si>
    <t>GOUVES</t>
  </si>
  <si>
    <t>27780</t>
  </si>
  <si>
    <t>GARENNES-SUR-EURE</t>
  </si>
  <si>
    <t>35640</t>
  </si>
  <si>
    <t>EANCE</t>
  </si>
  <si>
    <t>JARNY</t>
  </si>
  <si>
    <t>HARAVILLIERS</t>
  </si>
  <si>
    <t>NANCOIS-LE-GRAND</t>
  </si>
  <si>
    <t>BUNCEY</t>
  </si>
  <si>
    <t>DROITURIER</t>
  </si>
  <si>
    <t>DERNANCOURT</t>
  </si>
  <si>
    <t>SAVENAY</t>
  </si>
  <si>
    <t>BILLY-LES-CHANCEAUX</t>
  </si>
  <si>
    <t>SAINT-SAUVEUR-SUR-TINEE</t>
  </si>
  <si>
    <t>MOLLIENS-DREUIL</t>
  </si>
  <si>
    <t>FRAIN</t>
  </si>
  <si>
    <t>2A021</t>
  </si>
  <si>
    <t>ARGIUSTA-MORICCIO</t>
  </si>
  <si>
    <t>MAAST-ET-VIOLAINE</t>
  </si>
  <si>
    <t>LE CROS</t>
  </si>
  <si>
    <t>38210</t>
  </si>
  <si>
    <t>MORETTE</t>
  </si>
  <si>
    <t>SAVIGNY-SUR-GROSNE</t>
  </si>
  <si>
    <t>ZINCOURT</t>
  </si>
  <si>
    <t>SAINT-JEAN-LIGOURE</t>
  </si>
  <si>
    <t>SAINT-LOUP-DE-GONOIS</t>
  </si>
  <si>
    <t>77140</t>
  </si>
  <si>
    <t>NEMOURS</t>
  </si>
  <si>
    <t>MONTESQUIEU-AVANTES</t>
  </si>
  <si>
    <t>38290</t>
  </si>
  <si>
    <t>LA VERPILLIERE</t>
  </si>
  <si>
    <t>LE CELLIER</t>
  </si>
  <si>
    <t>LAROQUE</t>
  </si>
  <si>
    <t>SAINT-NAZAIRE-LES-EYMES</t>
  </si>
  <si>
    <t>SEZANNE</t>
  </si>
  <si>
    <t>ARGIS</t>
  </si>
  <si>
    <t>MOREMBERT</t>
  </si>
  <si>
    <t>SOUGEAL</t>
  </si>
  <si>
    <t>DAHLENHEIM</t>
  </si>
  <si>
    <t>7110</t>
  </si>
  <si>
    <t>SANILHAC</t>
  </si>
  <si>
    <t>ROUVRAY-SAINT-FLORENTIN</t>
  </si>
  <si>
    <t>NOYERS-BOCAGE</t>
  </si>
  <si>
    <t>SAINT-SAUVEUR-DE-MEILHAN</t>
  </si>
  <si>
    <t>33270</t>
  </si>
  <si>
    <t>BOULIAC</t>
  </si>
  <si>
    <t>GRAFFIGNY-CHEMIN</t>
  </si>
  <si>
    <t>RACHECOURT-SUR-MARNE</t>
  </si>
  <si>
    <t>3460</t>
  </si>
  <si>
    <t>VILLENEUVE-SUR-ALLIER</t>
  </si>
  <si>
    <t>LE BOULAY</t>
  </si>
  <si>
    <t>67630</t>
  </si>
  <si>
    <t>SCHEIBENHARD</t>
  </si>
  <si>
    <t>LA SABOTTERIE</t>
  </si>
  <si>
    <t>HUMBERCOURT</t>
  </si>
  <si>
    <t>BRIOUX-SUR-BOUTONNE</t>
  </si>
  <si>
    <t>SAINT-ANDEOL-DE-CLERGUEMORT</t>
  </si>
  <si>
    <t>VILLERS-SOUS-FOUCARMONT</t>
  </si>
  <si>
    <t>BORESSE-ET-MARTRON</t>
  </si>
  <si>
    <t>SAVIGNY</t>
  </si>
  <si>
    <t>MEAUTIS</t>
  </si>
  <si>
    <t>CHALONNES-SOUS-LE-LUDE</t>
  </si>
  <si>
    <t>SAINT-JACQUES-DES-GUERETS</t>
  </si>
  <si>
    <t>BRELIDY</t>
  </si>
  <si>
    <t>HENGWILLER</t>
  </si>
  <si>
    <t>TREFOLS</t>
  </si>
  <si>
    <t>95000</t>
  </si>
  <si>
    <t>CHASSAL</t>
  </si>
  <si>
    <t>SAINT-JULIEN-SUR-CALONNE</t>
  </si>
  <si>
    <t>80470</t>
  </si>
  <si>
    <t>LES OLLIERES-SUR-EYRIEUX</t>
  </si>
  <si>
    <t>20250</t>
  </si>
  <si>
    <t>2B289</t>
  </si>
  <si>
    <t>SOVERIA</t>
  </si>
  <si>
    <t>SAINT-CHRISTOPHE-DU-LIGNERON</t>
  </si>
  <si>
    <t>2670</t>
  </si>
  <si>
    <t>CHAMPS</t>
  </si>
  <si>
    <t>KIENTZHEIM</t>
  </si>
  <si>
    <t>22150</t>
  </si>
  <si>
    <t>L'HERMITAGE-LORGE</t>
  </si>
  <si>
    <t>ARDON</t>
  </si>
  <si>
    <t>VANNE</t>
  </si>
  <si>
    <t>BULLAINVILLE</t>
  </si>
  <si>
    <t>ANET</t>
  </si>
  <si>
    <t>SAINT-BABEL</t>
  </si>
  <si>
    <t>NERVILLE-LA-FORET</t>
  </si>
  <si>
    <t>KIRRWILLER</t>
  </si>
  <si>
    <t>80580</t>
  </si>
  <si>
    <t>ERONDELLE</t>
  </si>
  <si>
    <t>LIZINES</t>
  </si>
  <si>
    <t>FRANCASTEL</t>
  </si>
  <si>
    <t>VERREY-SOUS-DREE</t>
  </si>
  <si>
    <t>SALLES-SUR-MER</t>
  </si>
  <si>
    <t>SAINT-MACLOU</t>
  </si>
  <si>
    <t>97218</t>
  </si>
  <si>
    <t>BASSE-POINTE</t>
  </si>
  <si>
    <t>49460</t>
  </si>
  <si>
    <t>CANTENAY-EPINARD</t>
  </si>
  <si>
    <t>GRISELLES</t>
  </si>
  <si>
    <t>AUBERMESNIL-AUX-ERABLES</t>
  </si>
  <si>
    <t>69910</t>
  </si>
  <si>
    <t>VILLIE-MORGON</t>
  </si>
  <si>
    <t>SAINT-MARTIN-DE-LONDRES</t>
  </si>
  <si>
    <t>JOUE-DU-BOIS</t>
  </si>
  <si>
    <t>PORTET-DE-LUCHON</t>
  </si>
  <si>
    <t>77880</t>
  </si>
  <si>
    <t>GREZ-SUR-LOING</t>
  </si>
  <si>
    <t>22480</t>
  </si>
  <si>
    <t>CANIHUEL</t>
  </si>
  <si>
    <t>TASSILLE</t>
  </si>
  <si>
    <t>HERLY</t>
  </si>
  <si>
    <t>PIERREMONT</t>
  </si>
  <si>
    <t>74380</t>
  </si>
  <si>
    <t>LUCINGES</t>
  </si>
  <si>
    <t>URCY</t>
  </si>
  <si>
    <t>CONTRES</t>
  </si>
  <si>
    <t>25490</t>
  </si>
  <si>
    <t>FESCHES-LE-CHATEL</t>
  </si>
  <si>
    <t>LESCHAUX</t>
  </si>
  <si>
    <t>ROUFFANGE</t>
  </si>
  <si>
    <t>20170</t>
  </si>
  <si>
    <t>2A061</t>
  </si>
  <si>
    <t>CARBINI</t>
  </si>
  <si>
    <t>MONTREM</t>
  </si>
  <si>
    <t>SAINT-MARTIN-D'ABLOIS</t>
  </si>
  <si>
    <t>GIRANCOURT</t>
  </si>
  <si>
    <t>LUDES</t>
  </si>
  <si>
    <t>ENVRONVILLE</t>
  </si>
  <si>
    <t>DELLE</t>
  </si>
  <si>
    <t>SURY-PRES-LERE</t>
  </si>
  <si>
    <t>VERS-SOUS-SELLIERES</t>
  </si>
  <si>
    <t>DICONNE</t>
  </si>
  <si>
    <t>MARLIENS</t>
  </si>
  <si>
    <t>41500</t>
  </si>
  <si>
    <t>AVARAY</t>
  </si>
  <si>
    <t>3260</t>
  </si>
  <si>
    <t>SEUILLET</t>
  </si>
  <si>
    <t>VILLEBOIS</t>
  </si>
  <si>
    <t>PIFFONDS</t>
  </si>
  <si>
    <t>CARDAILLAC</t>
  </si>
  <si>
    <t>GRIGNEUSEVILLE</t>
  </si>
  <si>
    <t>LADAPEYRE</t>
  </si>
  <si>
    <t>CUGNY</t>
  </si>
  <si>
    <t>PASSEL</t>
  </si>
  <si>
    <t>11360</t>
  </si>
  <si>
    <t>SAINT-JEAN-DE-BARROU</t>
  </si>
  <si>
    <t>VALBELEIX</t>
  </si>
  <si>
    <t>MONTIGNY-LE-FRANC</t>
  </si>
  <si>
    <t>10510</t>
  </si>
  <si>
    <t>ORIGNY-LE-SEC</t>
  </si>
  <si>
    <t>ECRAINVILLE</t>
  </si>
  <si>
    <t>THORAS</t>
  </si>
  <si>
    <t>LIGRE</t>
  </si>
  <si>
    <t>PIERRIC</t>
  </si>
  <si>
    <t>SAINT-VINCENT-DE-TYROSSE</t>
  </si>
  <si>
    <t>PARBAYSE</t>
  </si>
  <si>
    <t>SAINT-GEORGES-DU-BOIS</t>
  </si>
  <si>
    <t>33180</t>
  </si>
  <si>
    <t>VERTHEUIL</t>
  </si>
  <si>
    <t>ORCHAISE</t>
  </si>
  <si>
    <t>DOMMARTIN-DAMPIERRE</t>
  </si>
  <si>
    <t>71530</t>
  </si>
  <si>
    <t>FRAGNES</t>
  </si>
  <si>
    <t>BERRIAS-ET-CASTELJAU</t>
  </si>
  <si>
    <t>56350</t>
  </si>
  <si>
    <t>BEGANNE</t>
  </si>
  <si>
    <t>29520</t>
  </si>
  <si>
    <t>CHATEAUNEUF-DU-FAOU</t>
  </si>
  <si>
    <t>SAINT-GREGOIRE-DU-VIEVRE</t>
  </si>
  <si>
    <t>LE MARGNES</t>
  </si>
  <si>
    <t>69490</t>
  </si>
  <si>
    <t>ANCY</t>
  </si>
  <si>
    <t>PAYZAC</t>
  </si>
  <si>
    <t>VOVRAY-EN-BORNES</t>
  </si>
  <si>
    <t>BELVAL-BOIS-DES-DAMES</t>
  </si>
  <si>
    <t>ROUVRAY-SAINTE-CROIX</t>
  </si>
  <si>
    <t>16730</t>
  </si>
  <si>
    <t>FLEAC</t>
  </si>
  <si>
    <t>DAIGNY</t>
  </si>
  <si>
    <t>LA CHAPELLE-AGNON</t>
  </si>
  <si>
    <t>LA FERRIERE-HARANG</t>
  </si>
  <si>
    <t>86360</t>
  </si>
  <si>
    <t>MONTAMISE</t>
  </si>
  <si>
    <t>BALINGHEM</t>
  </si>
  <si>
    <t>VERT-EN-DROUAIS</t>
  </si>
  <si>
    <t>FONTENAY-SAINT-PERE</t>
  </si>
  <si>
    <t>PERSAC</t>
  </si>
  <si>
    <t>SAINT-SORNIN</t>
  </si>
  <si>
    <t>BOUZANVILLE</t>
  </si>
  <si>
    <t>MOUX</t>
  </si>
  <si>
    <t>CHATEAUNEUF-DE-CHABRE</t>
  </si>
  <si>
    <t>DAGONVILLE</t>
  </si>
  <si>
    <t>DAUBEUF-LA-CAMPAGNE</t>
  </si>
  <si>
    <t>54110</t>
  </si>
  <si>
    <t>ANTHELUPT</t>
  </si>
  <si>
    <t>81200</t>
  </si>
  <si>
    <t>AIGUEFONDE</t>
  </si>
  <si>
    <t>BALNOT-SUR-LAIGNES</t>
  </si>
  <si>
    <t>SAINT-PAUL-DE-LOUBRESSAC</t>
  </si>
  <si>
    <t>LANDERSHEIM</t>
  </si>
  <si>
    <t>34500</t>
  </si>
  <si>
    <t>BEZIERS</t>
  </si>
  <si>
    <t>VILLETON</t>
  </si>
  <si>
    <t>MERTEN</t>
  </si>
  <si>
    <t>LA CROIX-EN-TOURAINE</t>
  </si>
  <si>
    <t>COURNON</t>
  </si>
  <si>
    <t>DAVAYAT</t>
  </si>
  <si>
    <t>PHILIPPSBOURG</t>
  </si>
  <si>
    <t>73540</t>
  </si>
  <si>
    <t>LA BATHIE</t>
  </si>
  <si>
    <t>FAVERDINES</t>
  </si>
  <si>
    <t>PY</t>
  </si>
  <si>
    <t>37600</t>
  </si>
  <si>
    <t>BRIDORE</t>
  </si>
  <si>
    <t>73370</t>
  </si>
  <si>
    <t>LA CHAPELLE-DU-MONT-DU-CHAT</t>
  </si>
  <si>
    <t>GOUPILLIERES</t>
  </si>
  <si>
    <t>LA PALLU</t>
  </si>
  <si>
    <t>PINEUILH</t>
  </si>
  <si>
    <t>22580</t>
  </si>
  <si>
    <t>LANLOUP</t>
  </si>
  <si>
    <t>SIORAC-EN-PERIGORD</t>
  </si>
  <si>
    <t>CHATEL-CHEHERY</t>
  </si>
  <si>
    <t>NOROY-SUR-OURCQ</t>
  </si>
  <si>
    <t>SAINT-GEORGES-DE-COMMIERS</t>
  </si>
  <si>
    <t>CHAMBOIS</t>
  </si>
  <si>
    <t>MOULINS-EN-TONNERROIS</t>
  </si>
  <si>
    <t>REMERANGLES</t>
  </si>
  <si>
    <t>ARGERS</t>
  </si>
  <si>
    <t>BUDLING</t>
  </si>
  <si>
    <t>BAUD</t>
  </si>
  <si>
    <t>59186</t>
  </si>
  <si>
    <t>ANOR</t>
  </si>
  <si>
    <t>BASCONS</t>
  </si>
  <si>
    <t>89400</t>
  </si>
  <si>
    <t>LA REDORTE</t>
  </si>
  <si>
    <t>BURCY</t>
  </si>
  <si>
    <t>BOCQUENCE</t>
  </si>
  <si>
    <t>CESSEVILLE</t>
  </si>
  <si>
    <t>POEY-DE-LESCAR</t>
  </si>
  <si>
    <t>HORNOY-LE-BOURG</t>
  </si>
  <si>
    <t>BELLERIVE-SUR-ALLIER</t>
  </si>
  <si>
    <t>CHATENOY</t>
  </si>
  <si>
    <t>LA FERRIERE-BECHET</t>
  </si>
  <si>
    <t>SAINT-ETIENNE-DE-CUINES</t>
  </si>
  <si>
    <t>MARTIGNAT</t>
  </si>
  <si>
    <t>MONTVERNIER</t>
  </si>
  <si>
    <t>PREVINQUIERES</t>
  </si>
  <si>
    <t>20214</t>
  </si>
  <si>
    <t>2B049</t>
  </si>
  <si>
    <t>CALENZANA</t>
  </si>
  <si>
    <t>LE GRAND-ABERGEMENT</t>
  </si>
  <si>
    <t>BAGNOLES</t>
  </si>
  <si>
    <t>85520</t>
  </si>
  <si>
    <t>SAINT-VINCENT-SUR-JARD</t>
  </si>
  <si>
    <t>L'HOSPITALET-DU-LARZAC</t>
  </si>
  <si>
    <t>AIX-EN-ISSART</t>
  </si>
  <si>
    <t>ROCHES-PREMARIE-ANDILLE</t>
  </si>
  <si>
    <t>FLESSELLES</t>
  </si>
  <si>
    <t>LES CHAPELLES</t>
  </si>
  <si>
    <t>67720</t>
  </si>
  <si>
    <t>HOERDT</t>
  </si>
  <si>
    <t>RICHEMONT</t>
  </si>
  <si>
    <t>97223</t>
  </si>
  <si>
    <t>LE DIAMANT</t>
  </si>
  <si>
    <t>47550</t>
  </si>
  <si>
    <t>BOE</t>
  </si>
  <si>
    <t>LUZECH</t>
  </si>
  <si>
    <t>HERICOURT-SUR-THERAIN</t>
  </si>
  <si>
    <t>VERQUIN</t>
  </si>
  <si>
    <t>12490</t>
  </si>
  <si>
    <t>LA BASTIDE-PRADINES</t>
  </si>
  <si>
    <t>74300</t>
  </si>
  <si>
    <t>NANCY-SUR-CLUSES</t>
  </si>
  <si>
    <t>39400</t>
  </si>
  <si>
    <t>MORBIER</t>
  </si>
  <si>
    <t>89116</t>
  </si>
  <si>
    <t>SAINT-ROMAIN-LE-PREUX</t>
  </si>
  <si>
    <t>COUPVRAY</t>
  </si>
  <si>
    <t>BETTBORN</t>
  </si>
  <si>
    <t>SAINT-REMY-BOSCROCOURT</t>
  </si>
  <si>
    <t>WALTEMBOURG</t>
  </si>
  <si>
    <t>PINDRAY</t>
  </si>
  <si>
    <t>CHANGY</t>
  </si>
  <si>
    <t>LA CELLE-EN-MORVAN</t>
  </si>
  <si>
    <t>SAINT-LAURENT-CHABREUGES</t>
  </si>
  <si>
    <t>SUBLAINES</t>
  </si>
  <si>
    <t>NEULISE</t>
  </si>
  <si>
    <t>BELLEGARDE-SUR-VALSERINE</t>
  </si>
  <si>
    <t>90700</t>
  </si>
  <si>
    <t>CHATENOIS-LES-FORGES</t>
  </si>
  <si>
    <t>LAPALISSE</t>
  </si>
  <si>
    <t>SAULCET</t>
  </si>
  <si>
    <t>AXAT</t>
  </si>
  <si>
    <t>MARIEUX</t>
  </si>
  <si>
    <t>KERIEN</t>
  </si>
  <si>
    <t>LA BRUERE-SUR-LOIR</t>
  </si>
  <si>
    <t>ARTONNE</t>
  </si>
  <si>
    <t>SAINT-JEAN-POUTGE</t>
  </si>
  <si>
    <t>SAINT-FELIX-DE-VILLADEIX</t>
  </si>
  <si>
    <t>MARQUIGNY</t>
  </si>
  <si>
    <t>71870</t>
  </si>
  <si>
    <t>HURIGNY</t>
  </si>
  <si>
    <t>CANTIGNY</t>
  </si>
  <si>
    <t>BOURGUIGNON-SOUS-COUCY</t>
  </si>
  <si>
    <t>SAINT-SULPICE-LA-FORET</t>
  </si>
  <si>
    <t>DIRINON</t>
  </si>
  <si>
    <t>DOMPIERRE-LES-ORMES</t>
  </si>
  <si>
    <t>49390</t>
  </si>
  <si>
    <t>MOULIHERNE</t>
  </si>
  <si>
    <t>SAINT-HILAIRE-DE-VILLEFRANCHE</t>
  </si>
  <si>
    <t>LA MOTHE-SAINT-HERAY</t>
  </si>
  <si>
    <t>BOISGASSON</t>
  </si>
  <si>
    <t>LAIZ</t>
  </si>
  <si>
    <t>20259</t>
  </si>
  <si>
    <t>2B235</t>
  </si>
  <si>
    <t>PIOGGIOLA</t>
  </si>
  <si>
    <t>SAINT-DIERY</t>
  </si>
  <si>
    <t>MESBRECOURT-RICHECOURT</t>
  </si>
  <si>
    <t>38220</t>
  </si>
  <si>
    <t>VIZILLE</t>
  </si>
  <si>
    <t>VILLEBAUDON</t>
  </si>
  <si>
    <t>66210</t>
  </si>
  <si>
    <t>BOLQUERE</t>
  </si>
  <si>
    <t>SAINT-MERD-LA-BREUILLE</t>
  </si>
  <si>
    <t>GUNGWILLER</t>
  </si>
  <si>
    <t>BLOYE</t>
  </si>
  <si>
    <t>RESSONS-SUR-MATZ</t>
  </si>
  <si>
    <t>ATHIES</t>
  </si>
  <si>
    <t>SAINT-JUNIEN-LA-BREGERE</t>
  </si>
  <si>
    <t>GIGNEY</t>
  </si>
  <si>
    <t>35136</t>
  </si>
  <si>
    <t>SAINT-JACQUES-DE-LA-LANDE</t>
  </si>
  <si>
    <t>SOUGE</t>
  </si>
  <si>
    <t>RAMOUS</t>
  </si>
  <si>
    <t>SAVONNIERES-EN-PERTHOIS</t>
  </si>
  <si>
    <t>MESPLES</t>
  </si>
  <si>
    <t>84380</t>
  </si>
  <si>
    <t>MAZAN</t>
  </si>
  <si>
    <t>BERTHEN</t>
  </si>
  <si>
    <t>2B126</t>
  </si>
  <si>
    <t>GIUNCAGGIO</t>
  </si>
  <si>
    <t>BALESTA</t>
  </si>
  <si>
    <t>67870</t>
  </si>
  <si>
    <t>GRIESHEIM-PRES-MOLSHEIM</t>
  </si>
  <si>
    <t>18570</t>
  </si>
  <si>
    <t>TROUY</t>
  </si>
  <si>
    <t>BINIVILLE</t>
  </si>
  <si>
    <t>VENDEUIL-CAPLY</t>
  </si>
  <si>
    <t>LONLAY-L'ABBAYE</t>
  </si>
  <si>
    <t>SAINT-MARTIN-L'ASTIER</t>
  </si>
  <si>
    <t>GOMMECOURT</t>
  </si>
  <si>
    <t>DIEMERINGEN</t>
  </si>
  <si>
    <t>CIRFONTAINES-EN-ORNOIS</t>
  </si>
  <si>
    <t>VAUX-CHAMPAGNE</t>
  </si>
  <si>
    <t>ASPACH-LE-HAUT</t>
  </si>
  <si>
    <t>CHISSEY-SUR-LOUE</t>
  </si>
  <si>
    <t>LE POIZAT</t>
  </si>
  <si>
    <t>FROIDMONT-COHARTILLE</t>
  </si>
  <si>
    <t>MALVILLE</t>
  </si>
  <si>
    <t>COMMERCY</t>
  </si>
  <si>
    <t>PONT-DE-VEYLE</t>
  </si>
  <si>
    <t>CHALVRAINES</t>
  </si>
  <si>
    <t>LA CELETTE</t>
  </si>
  <si>
    <t>FARBUS</t>
  </si>
  <si>
    <t>DOMPS</t>
  </si>
  <si>
    <t>3100</t>
  </si>
  <si>
    <t>MONTLUCON</t>
  </si>
  <si>
    <t>AUXON</t>
  </si>
  <si>
    <t>ORIST</t>
  </si>
  <si>
    <t>LOUVRES</t>
  </si>
  <si>
    <t>SAINT-GENGOUX-DE-SCISSE</t>
  </si>
  <si>
    <t>64680</t>
  </si>
  <si>
    <t>OGEU-LES-BAINS</t>
  </si>
  <si>
    <t>TRAMOLE</t>
  </si>
  <si>
    <t>ROUVRES-LA-CHETIVE</t>
  </si>
  <si>
    <t>CHENS-SUR-LEMAN</t>
  </si>
  <si>
    <t>FOSSEMANANT</t>
  </si>
  <si>
    <t>MARCOLLIN</t>
  </si>
  <si>
    <t>72210</t>
  </si>
  <si>
    <t>VOIVRES-LES-LE-MANS</t>
  </si>
  <si>
    <t>BAY-SUR-AUBE</t>
  </si>
  <si>
    <t>ARCONSAT</t>
  </si>
  <si>
    <t>22680</t>
  </si>
  <si>
    <t>ETABLES-SUR-MER</t>
  </si>
  <si>
    <t>22410</t>
  </si>
  <si>
    <t>TREVENEUC</t>
  </si>
  <si>
    <t>2580</t>
  </si>
  <si>
    <t>AUTREPPES</t>
  </si>
  <si>
    <t>27440</t>
  </si>
  <si>
    <t>LISORS</t>
  </si>
  <si>
    <t>35690</t>
  </si>
  <si>
    <t>ACIGNE</t>
  </si>
  <si>
    <t>88200</t>
  </si>
  <si>
    <t>DOMMARTIN-LES-REMIREMONT</t>
  </si>
  <si>
    <t>56750</t>
  </si>
  <si>
    <t>DAMGAN</t>
  </si>
  <si>
    <t>TRESBOEUF</t>
  </si>
  <si>
    <t>CHAMPIGNE</t>
  </si>
  <si>
    <t>TERNANT-LES-EAUX</t>
  </si>
  <si>
    <t>13370</t>
  </si>
  <si>
    <t>MALLEMORT</t>
  </si>
  <si>
    <t>MAYSEL</t>
  </si>
  <si>
    <t>21520</t>
  </si>
  <si>
    <t>BOUDREVILLE</t>
  </si>
  <si>
    <t>VENTEROL</t>
  </si>
  <si>
    <t>MORIZES</t>
  </si>
  <si>
    <t>38360</t>
  </si>
  <si>
    <t>NOYAREY</t>
  </si>
  <si>
    <t>WALDWISSE</t>
  </si>
  <si>
    <t>CHAMOLE</t>
  </si>
  <si>
    <t>JUNGHOLTZ</t>
  </si>
  <si>
    <t>SATOLAS-ET-BONCE</t>
  </si>
  <si>
    <t>27630</t>
  </si>
  <si>
    <t>BERTHENONVILLE</t>
  </si>
  <si>
    <t>BURGY</t>
  </si>
  <si>
    <t>44119</t>
  </si>
  <si>
    <t>TREILLIERES</t>
  </si>
  <si>
    <t>RIVERENERT</t>
  </si>
  <si>
    <t>69006</t>
  </si>
  <si>
    <t>LYON--6E--ARRONDISSEMENT</t>
  </si>
  <si>
    <t>LAGRAVE</t>
  </si>
  <si>
    <t>MAVILLY-MANDELOT</t>
  </si>
  <si>
    <t>PROPIERES</t>
  </si>
  <si>
    <t>VILLEMOTIER</t>
  </si>
  <si>
    <t>BULGNEVILLE</t>
  </si>
  <si>
    <t>SIVRY-SUR-MEUSE</t>
  </si>
  <si>
    <t>CONDEISSIAT</t>
  </si>
  <si>
    <t>TERRON-SUR-AISNE</t>
  </si>
  <si>
    <t>GIRMONT</t>
  </si>
  <si>
    <t>62790</t>
  </si>
  <si>
    <t>LEFOREST</t>
  </si>
  <si>
    <t>FAY-SUR-LIGNON</t>
  </si>
  <si>
    <t>CHOMELIX</t>
  </si>
  <si>
    <t>59111</t>
  </si>
  <si>
    <t>BOUCHAIN</t>
  </si>
  <si>
    <t>GUITALENS-L'ALBAREDE</t>
  </si>
  <si>
    <t>NEUVE-EGLISE</t>
  </si>
  <si>
    <t>44310</t>
  </si>
  <si>
    <t>SAINT-LUMINE-DE-COUTAIS</t>
  </si>
  <si>
    <t>CLERMONT-POUYGUILLES</t>
  </si>
  <si>
    <t>SERVIAN</t>
  </si>
  <si>
    <t>SUZAN</t>
  </si>
  <si>
    <t>CARDONVILLE</t>
  </si>
  <si>
    <t>LARROQUE-TOIRAC</t>
  </si>
  <si>
    <t>63360</t>
  </si>
  <si>
    <t>GERZAT</t>
  </si>
  <si>
    <t>FILAIN</t>
  </si>
  <si>
    <t>6460</t>
  </si>
  <si>
    <t>ESCRAGNOLLES</t>
  </si>
  <si>
    <t>MARTIZAY</t>
  </si>
  <si>
    <t>14310</t>
  </si>
  <si>
    <t>TRACY-BOCAGE</t>
  </si>
  <si>
    <t>MONTSURVENT</t>
  </si>
  <si>
    <t>ESTENOS</t>
  </si>
  <si>
    <t>AUMAGNE</t>
  </si>
  <si>
    <t>VENDRESSE</t>
  </si>
  <si>
    <t>ANGIENS</t>
  </si>
  <si>
    <t>AUTHEVERNES</t>
  </si>
  <si>
    <t>60430</t>
  </si>
  <si>
    <t>ABBECOURT</t>
  </si>
  <si>
    <t>MONTARLOT-LES-RIOZ</t>
  </si>
  <si>
    <t>22810</t>
  </si>
  <si>
    <t>BELLE-ISLE-EN-TERRE</t>
  </si>
  <si>
    <t>FAUQUEMBERGUES</t>
  </si>
  <si>
    <t>SAINT-ROMAIN-D'URFE</t>
  </si>
  <si>
    <t>LES AULNEAUX</t>
  </si>
  <si>
    <t>CORDEBUGLE</t>
  </si>
  <si>
    <t>CAMELAS</t>
  </si>
  <si>
    <t>HAGETAUBIN</t>
  </si>
  <si>
    <t>SAINT-MAURIN</t>
  </si>
  <si>
    <t>BOUFFLERS</t>
  </si>
  <si>
    <t>46220</t>
  </si>
  <si>
    <t>LAGARDELLE</t>
  </si>
  <si>
    <t>AUGY</t>
  </si>
  <si>
    <t>BENON</t>
  </si>
  <si>
    <t>FONTAINES-D'OZILLAC</t>
  </si>
  <si>
    <t>BUGARD</t>
  </si>
  <si>
    <t>MOUSTIER</t>
  </si>
  <si>
    <t>48240</t>
  </si>
  <si>
    <t>SAINT-FREZAL-DE-VENTALON</t>
  </si>
  <si>
    <t>LA CHAUSSEE</t>
  </si>
  <si>
    <t>THIZY</t>
  </si>
  <si>
    <t>57820</t>
  </si>
  <si>
    <t>HENRIDORFF</t>
  </si>
  <si>
    <t>7190</t>
  </si>
  <si>
    <t>SAINT-SAUVEUR-DE-MONTAGUT</t>
  </si>
  <si>
    <t>73140</t>
  </si>
  <si>
    <t>SAINT-MARTIN-DE-LA-PORTE</t>
  </si>
  <si>
    <t>JOURS-EN-VAUX</t>
  </si>
  <si>
    <t>MONTUREUX-ET-PRANTIGNY</t>
  </si>
  <si>
    <t>HORSARRIEU</t>
  </si>
  <si>
    <t>ARGENVILLIERS</t>
  </si>
  <si>
    <t>TOUGET</t>
  </si>
  <si>
    <t>SAINT-THOIS</t>
  </si>
  <si>
    <t>CHIGNIN</t>
  </si>
  <si>
    <t>CESSY-LES-BOIS</t>
  </si>
  <si>
    <t>ALBOUSSIERE</t>
  </si>
  <si>
    <t>BASSE-GOULAINE</t>
  </si>
  <si>
    <t>PONT-L'ABBE-D'ARNOULT</t>
  </si>
  <si>
    <t>POUY-DE-TOUGES</t>
  </si>
  <si>
    <t>1190</t>
  </si>
  <si>
    <t>CHAVANNES-SUR-REYSSOUZE</t>
  </si>
  <si>
    <t>PIERREPONT-SUR-AVRE</t>
  </si>
  <si>
    <t>MOURON-SUR-YONNE</t>
  </si>
  <si>
    <t>MAIRIEUX</t>
  </si>
  <si>
    <t>CREISSELS</t>
  </si>
  <si>
    <t>PIERREFITTE-EN-AUGE</t>
  </si>
  <si>
    <t>FERRIERES-LE-LAC</t>
  </si>
  <si>
    <t>LE FRESNE-CAMILLY</t>
  </si>
  <si>
    <t>MANY</t>
  </si>
  <si>
    <t>BOURBERAIN</t>
  </si>
  <si>
    <t>ACHERES-LA-FORET</t>
  </si>
  <si>
    <t>CHAMBON</t>
  </si>
  <si>
    <t>LEOBARD</t>
  </si>
  <si>
    <t>REALMONT</t>
  </si>
  <si>
    <t>SAINT-VINCENT-BRAGNY</t>
  </si>
  <si>
    <t>COUQUEQUES</t>
  </si>
  <si>
    <t>VOUVRAY</t>
  </si>
  <si>
    <t>BERG</t>
  </si>
  <si>
    <t>VALUEJOLS</t>
  </si>
  <si>
    <t>DONNERY</t>
  </si>
  <si>
    <t>62162</t>
  </si>
  <si>
    <t>VIEILLE-EGLISE</t>
  </si>
  <si>
    <t>ANNEVILLE-AMBOURVILLE</t>
  </si>
  <si>
    <t>PALLEAU</t>
  </si>
  <si>
    <t>56850</t>
  </si>
  <si>
    <t>CAUDAN</t>
  </si>
  <si>
    <t>BATILLY</t>
  </si>
  <si>
    <t>68160</t>
  </si>
  <si>
    <t>SAINTE-MARIE-AUX-MINES</t>
  </si>
  <si>
    <t>24360</t>
  </si>
  <si>
    <t>BUSSIERE-BADIL</t>
  </si>
  <si>
    <t>CHAMPIGNY-LES-LANGRES</t>
  </si>
  <si>
    <t>CHATEAUNEUF</t>
  </si>
  <si>
    <t>LUBLE</t>
  </si>
  <si>
    <t>CORQUILLEROY</t>
  </si>
  <si>
    <t>TAISSY</t>
  </si>
  <si>
    <t>DOMBASLE-SUR-MEURTHE</t>
  </si>
  <si>
    <t>RAMASSE</t>
  </si>
  <si>
    <t>SAUSSINES</t>
  </si>
  <si>
    <t>GAGNAC-SUR-CERE</t>
  </si>
  <si>
    <t>ENTREVAUX</t>
  </si>
  <si>
    <t>SAINT-PHILBERT-EN-MAUGES</t>
  </si>
  <si>
    <t>BASSIGNAC-LE-BAS</t>
  </si>
  <si>
    <t>ILLANGE</t>
  </si>
  <si>
    <t>BONLIER</t>
  </si>
  <si>
    <t>59273</t>
  </si>
  <si>
    <t>PERONNE-EN-MELANTOIS</t>
  </si>
  <si>
    <t>BAULE</t>
  </si>
  <si>
    <t>LE CERCUEIL</t>
  </si>
  <si>
    <t>81170</t>
  </si>
  <si>
    <t>LE RIOLS</t>
  </si>
  <si>
    <t>EINVILLE-AU-JARD</t>
  </si>
  <si>
    <t>50490</t>
  </si>
  <si>
    <t>SAINT-SAUVEUR-LENDELIN</t>
  </si>
  <si>
    <t>HARSKIRCHEN</t>
  </si>
  <si>
    <t>LAZ</t>
  </si>
  <si>
    <t>SAINT-GEIN</t>
  </si>
  <si>
    <t>MARAINVILLER</t>
  </si>
  <si>
    <t>MAURUPT-LE-MONTOIS</t>
  </si>
  <si>
    <t>12580</t>
  </si>
  <si>
    <t>CAMPUAC</t>
  </si>
  <si>
    <t>LA GODIVELLE</t>
  </si>
  <si>
    <t>97130</t>
  </si>
  <si>
    <t>CAPESTERRE-BELLE-EAU</t>
  </si>
  <si>
    <t>MARCONNE</t>
  </si>
  <si>
    <t>SAINT-PONS-DE-MAUCHIENS</t>
  </si>
  <si>
    <t>PERNAND-VERGELESSES</t>
  </si>
  <si>
    <t>VILLARS</t>
  </si>
  <si>
    <t>32250</t>
  </si>
  <si>
    <t>LABARRERE</t>
  </si>
  <si>
    <t>29510</t>
  </si>
  <si>
    <t>LANDREVARZEC</t>
  </si>
  <si>
    <t>85770</t>
  </si>
  <si>
    <t>LE POIRE-SUR-VELLUIRE</t>
  </si>
  <si>
    <t>MYON</t>
  </si>
  <si>
    <t>LE PIAN-SUR-GARONNE</t>
  </si>
  <si>
    <t>SAINTE-FOY-DE-BELVES</t>
  </si>
  <si>
    <t>CHASSEY-BEAUPRE</t>
  </si>
  <si>
    <t>LESPOURCY</t>
  </si>
  <si>
    <t>PARON</t>
  </si>
  <si>
    <t>CEYRESTE</t>
  </si>
  <si>
    <t>60790</t>
  </si>
  <si>
    <t>LA NEUVILLE-D'AUMONT</t>
  </si>
  <si>
    <t>RAPEY</t>
  </si>
  <si>
    <t>2640</t>
  </si>
  <si>
    <t>SAINT-SIMON</t>
  </si>
  <si>
    <t>OMET</t>
  </si>
  <si>
    <t>37170</t>
  </si>
  <si>
    <t>CHAMBRAY-LES-TOURS</t>
  </si>
  <si>
    <t>SAINT-HAON-LE-CHATEL</t>
  </si>
  <si>
    <t>ARSY</t>
  </si>
  <si>
    <t>2440</t>
  </si>
  <si>
    <t>LY-FONTAINE</t>
  </si>
  <si>
    <t>86550</t>
  </si>
  <si>
    <t>MIGNALOUX-BEAUVOIR</t>
  </si>
  <si>
    <t>CRECY-AU-MONT</t>
  </si>
  <si>
    <t>SAINT-DENIS-LA-CHEVASSE</t>
  </si>
  <si>
    <t>SAINT-PAUL-D'IZEAUX</t>
  </si>
  <si>
    <t>MONTFERRAND-LE-CHATEAU</t>
  </si>
  <si>
    <t>NEUFCHATEL-EN-BRAY</t>
  </si>
  <si>
    <t>4800</t>
  </si>
  <si>
    <t>ESPARRON-DE-VERDON</t>
  </si>
  <si>
    <t>47700</t>
  </si>
  <si>
    <t>ANTAGNAC</t>
  </si>
  <si>
    <t>VILLARS-LE-PAUTEL</t>
  </si>
  <si>
    <t>26530</t>
  </si>
  <si>
    <t>LE GRAND-SERRE</t>
  </si>
  <si>
    <t>CHERVEUX</t>
  </si>
  <si>
    <t>BARDENAC</t>
  </si>
  <si>
    <t>LALOUBERE</t>
  </si>
  <si>
    <t>GUERPONT</t>
  </si>
  <si>
    <t>LA MADELEINE-VILLEFROUIN</t>
  </si>
  <si>
    <t>GOURGANCON</t>
  </si>
  <si>
    <t>GISSEY-SUR-OUCHE</t>
  </si>
  <si>
    <t>SAINTE-AULDE</t>
  </si>
  <si>
    <t>DENICE</t>
  </si>
  <si>
    <t>QUINSAC</t>
  </si>
  <si>
    <t>LA BRETONNIERE-LA-CLAYE</t>
  </si>
  <si>
    <t>LANGON</t>
  </si>
  <si>
    <t>LE VAUDIOUX</t>
  </si>
  <si>
    <t>LAYMONT</t>
  </si>
  <si>
    <t>GRAMOND</t>
  </si>
  <si>
    <t>CUTS</t>
  </si>
  <si>
    <t>MONTCHAMP</t>
  </si>
  <si>
    <t>BESSINES</t>
  </si>
  <si>
    <t>29100</t>
  </si>
  <si>
    <t>POULDERGAT</t>
  </si>
  <si>
    <t>OCHANCOURT</t>
  </si>
  <si>
    <t>CAMPLONG</t>
  </si>
  <si>
    <t>SAINT-MARTIN-DES-BOIS</t>
  </si>
  <si>
    <t>GERMAY</t>
  </si>
  <si>
    <t>AJONCOURT</t>
  </si>
  <si>
    <t>VIER-BORDES</t>
  </si>
  <si>
    <t>VIEILLEY</t>
  </si>
  <si>
    <t>34820</t>
  </si>
  <si>
    <t>GUZARGUES</t>
  </si>
  <si>
    <t>DIMECHAUX</t>
  </si>
  <si>
    <t>LES SALLES-DE-CASTILLON</t>
  </si>
  <si>
    <t>75002</t>
  </si>
  <si>
    <t>PARIS-2E-ARRONDISSEMENT</t>
  </si>
  <si>
    <t>74920</t>
  </si>
  <si>
    <t>COMBLOUX</t>
  </si>
  <si>
    <t>29860</t>
  </si>
  <si>
    <t>LE DRENNEC</t>
  </si>
  <si>
    <t>EQUENNES-ERAMECOURT</t>
  </si>
  <si>
    <t>13400</t>
  </si>
  <si>
    <t>AUBAGNE</t>
  </si>
  <si>
    <t>59238</t>
  </si>
  <si>
    <t>MARETZ</t>
  </si>
  <si>
    <t>AYZIEU</t>
  </si>
  <si>
    <t>AULT</t>
  </si>
  <si>
    <t>BARBERIER</t>
  </si>
  <si>
    <t>56540</t>
  </si>
  <si>
    <t>LE CROISTY</t>
  </si>
  <si>
    <t>LE BOURGET-DU-LAC</t>
  </si>
  <si>
    <t>VILLE</t>
  </si>
  <si>
    <t>LAGRAND</t>
  </si>
  <si>
    <t>BANEINS</t>
  </si>
  <si>
    <t>62185</t>
  </si>
  <si>
    <t>FRETHUN</t>
  </si>
  <si>
    <t>ANGOVILLE-SUR-AY</t>
  </si>
  <si>
    <t>GIRECOURT-SUR-DURBION</t>
  </si>
  <si>
    <t>MARNEZIA</t>
  </si>
  <si>
    <t>49610</t>
  </si>
  <si>
    <t>SAINT-MELAINE-SUR-AUBANCE</t>
  </si>
  <si>
    <t>56660</t>
  </si>
  <si>
    <t>SAINT-JEAN-BREVELAY</t>
  </si>
  <si>
    <t>DOUVRES-LA-DELIVRANDE</t>
  </si>
  <si>
    <t>OMONVILLE-LA-PETITE</t>
  </si>
  <si>
    <t>DROUPT-SAINTE-MARIE</t>
  </si>
  <si>
    <t>LES ULMES</t>
  </si>
  <si>
    <t>36180</t>
  </si>
  <si>
    <t>FREDILLE</t>
  </si>
  <si>
    <t>CHALLET</t>
  </si>
  <si>
    <t>SAINT-BLIN</t>
  </si>
  <si>
    <t>RAILLEU</t>
  </si>
  <si>
    <t>NANTOIN</t>
  </si>
  <si>
    <t>COURBILLAC</t>
  </si>
  <si>
    <t>BRIARRES-SUR-ESSONNE</t>
  </si>
  <si>
    <t>BOURGHEIM</t>
  </si>
  <si>
    <t>SAINT-EMAN</t>
  </si>
  <si>
    <t>LALACELLE</t>
  </si>
  <si>
    <t>WINKEL</t>
  </si>
  <si>
    <t>KRIEGSHEIM</t>
  </si>
  <si>
    <t>DIESEN</t>
  </si>
  <si>
    <t>VOUILLE</t>
  </si>
  <si>
    <t>ROZIERS-SAINT-GEORGES</t>
  </si>
  <si>
    <t>73160</t>
  </si>
  <si>
    <t>SAINT-THIBAUD-DE-COUZ</t>
  </si>
  <si>
    <t>REYNES</t>
  </si>
  <si>
    <t>41140</t>
  </si>
  <si>
    <t>THESEE</t>
  </si>
  <si>
    <t>68850</t>
  </si>
  <si>
    <t>STAFFELFELDEN</t>
  </si>
  <si>
    <t>SAINTE-CROIX-DE-MAREUIL</t>
  </si>
  <si>
    <t>DESINGY</t>
  </si>
  <si>
    <t>VALHEY</t>
  </si>
  <si>
    <t>DARGIES</t>
  </si>
  <si>
    <t>14460</t>
  </si>
  <si>
    <t>COLOMBELLES</t>
  </si>
  <si>
    <t>MITTELSCHAEFFOLSHEIM</t>
  </si>
  <si>
    <t>LIMANTON</t>
  </si>
  <si>
    <t>CHEMIN</t>
  </si>
  <si>
    <t>LAPEYROUSE-FOSSAT</t>
  </si>
  <si>
    <t>ESPIENS</t>
  </si>
  <si>
    <t>LA FORCE</t>
  </si>
  <si>
    <t>COLLIGIS-CRANDELAIN</t>
  </si>
  <si>
    <t>MESNAC</t>
  </si>
  <si>
    <t>COUNOZOULS</t>
  </si>
  <si>
    <t>11120</t>
  </si>
  <si>
    <t>SAINT-MARCEL-SUR-AUDE</t>
  </si>
  <si>
    <t>USSEL-D'ALLIER</t>
  </si>
  <si>
    <t>SAINT-CLET</t>
  </si>
  <si>
    <t>SAINT-QUENTIN-SUR-ISERE</t>
  </si>
  <si>
    <t>CERVILLE</t>
  </si>
  <si>
    <t>87500</t>
  </si>
  <si>
    <t>LADIGNAC-LE-LONG</t>
  </si>
  <si>
    <t>42210</t>
  </si>
  <si>
    <t>MARCLOPT</t>
  </si>
  <si>
    <t>ARENGOSSE</t>
  </si>
  <si>
    <t>POISAT</t>
  </si>
  <si>
    <t>BLOMAC</t>
  </si>
  <si>
    <t>ERINGES</t>
  </si>
  <si>
    <t>ORVILLIERS-SAINT-JULIEN</t>
  </si>
  <si>
    <t>VILLACOURT</t>
  </si>
  <si>
    <t>MONTGAZIN</t>
  </si>
  <si>
    <t>ZERMEZEELE</t>
  </si>
  <si>
    <t>75011</t>
  </si>
  <si>
    <t>PARIS-11E-ARRONDISSEMENT</t>
  </si>
  <si>
    <t>CIREY-LES-PONTAILLER</t>
  </si>
  <si>
    <t>MENVILLE</t>
  </si>
  <si>
    <t>BASLIEUX-LES-FISMES</t>
  </si>
  <si>
    <t>BLAUZAC</t>
  </si>
  <si>
    <t>HYENVILLE</t>
  </si>
  <si>
    <t>78470</t>
  </si>
  <si>
    <t>SAINT-LAMBERT</t>
  </si>
  <si>
    <t>45170</t>
  </si>
  <si>
    <t>NEUVILLE-AUX-BOIS</t>
  </si>
  <si>
    <t>MARMONT-PACHAS</t>
  </si>
  <si>
    <t>BERNIERES</t>
  </si>
  <si>
    <t>HAUTEVILLE</t>
  </si>
  <si>
    <t>SAINT-CONSTANT</t>
  </si>
  <si>
    <t>ESPES-UNDUREIN</t>
  </si>
  <si>
    <t>NANTEUIL-LA-FORET</t>
  </si>
  <si>
    <t>73240</t>
  </si>
  <si>
    <t>CHAMPAGNEUX</t>
  </si>
  <si>
    <t>HINDLINGEN</t>
  </si>
  <si>
    <t>LES AUTHIEUX-SUR-LE-PORT-SAINT-OUEN</t>
  </si>
  <si>
    <t>SAINT-HILAIRE-PETITVILLE</t>
  </si>
  <si>
    <t>PRECY</t>
  </si>
  <si>
    <t>27810</t>
  </si>
  <si>
    <t>MARCILLY-SUR-EURE</t>
  </si>
  <si>
    <t>LIMPIVILLE</t>
  </si>
  <si>
    <t>76000/76100</t>
  </si>
  <si>
    <t>ROUEN</t>
  </si>
  <si>
    <t>85230</t>
  </si>
  <si>
    <t>BEAUVOIR-SUR-MER</t>
  </si>
  <si>
    <t>LOUROUX-HODEMENT</t>
  </si>
  <si>
    <t>BANNIERES</t>
  </si>
  <si>
    <t>SAINT-MAURICE-EN-COTENTIN</t>
  </si>
  <si>
    <t>CHALLES-LES-EAUX</t>
  </si>
  <si>
    <t>CUSANCE</t>
  </si>
  <si>
    <t>GEVINGEY</t>
  </si>
  <si>
    <t>LOUANS</t>
  </si>
  <si>
    <t>LAMOTHE-EN-BLAISY</t>
  </si>
  <si>
    <t>TOCQUEVILLE</t>
  </si>
  <si>
    <t>ISLE-SUR-MARNE</t>
  </si>
  <si>
    <t>LANOUX</t>
  </si>
  <si>
    <t>CATZ</t>
  </si>
  <si>
    <t>PIBLANGE</t>
  </si>
  <si>
    <t>GIGORS</t>
  </si>
  <si>
    <t>86450</t>
  </si>
  <si>
    <t>LEIGNE-LES-BOIS</t>
  </si>
  <si>
    <t>MONTIVERNAGE</t>
  </si>
  <si>
    <t>SAINT-REMY-DU-NORD</t>
  </si>
  <si>
    <t>COURTESOULT-ET-GATEY</t>
  </si>
  <si>
    <t>BREUIL-LE-SEC</t>
  </si>
  <si>
    <t>38420</t>
  </si>
  <si>
    <t>L'HERMITAGE</t>
  </si>
  <si>
    <t>THEIL-SUR-VANNE</t>
  </si>
  <si>
    <t>REYSSOUZE</t>
  </si>
  <si>
    <t>CHARLAS</t>
  </si>
  <si>
    <t>LA BAZOUGE-DES-ALLEUX</t>
  </si>
  <si>
    <t>63880</t>
  </si>
  <si>
    <t>OLMET</t>
  </si>
  <si>
    <t>GONDEVILLE</t>
  </si>
  <si>
    <t>MONTCEAU-LES-MINES</t>
  </si>
  <si>
    <t>MONTIGNY-LE-GANNELON</t>
  </si>
  <si>
    <t>ESCLES-SAINT-PIERRE</t>
  </si>
  <si>
    <t>MANAURIE</t>
  </si>
  <si>
    <t>MORTAGNE-AU-PERCHE</t>
  </si>
  <si>
    <t>SAINT-ANDRE-D'OLERARGUES</t>
  </si>
  <si>
    <t>40210</t>
  </si>
  <si>
    <t>SOLFERINO</t>
  </si>
  <si>
    <t>CHALEINS</t>
  </si>
  <si>
    <t>HERGUGNEY</t>
  </si>
  <si>
    <t>MOUXY</t>
  </si>
  <si>
    <t>21910</t>
  </si>
  <si>
    <t>CORCELLES-LES-CITEAUX</t>
  </si>
  <si>
    <t>VOUGECOURT</t>
  </si>
  <si>
    <t>SIONVILLER</t>
  </si>
  <si>
    <t>67970</t>
  </si>
  <si>
    <t>OERMINGEN</t>
  </si>
  <si>
    <t>VAUPOISSON</t>
  </si>
  <si>
    <t>48210</t>
  </si>
  <si>
    <t>SAINTE-ENIMIE</t>
  </si>
  <si>
    <t>MONTFORT-SUR-ARGENS</t>
  </si>
  <si>
    <t>67240</t>
  </si>
  <si>
    <t>SCHIRRHOFFEN</t>
  </si>
  <si>
    <t>EPAGNY</t>
  </si>
  <si>
    <t>HAUTOT-SAINT-SULPICE</t>
  </si>
  <si>
    <t>CLUX</t>
  </si>
  <si>
    <t>LE MESNIL-AUBRY</t>
  </si>
  <si>
    <t>CINAIS</t>
  </si>
  <si>
    <t>68770</t>
  </si>
  <si>
    <t>AMMERSCHWIHR</t>
  </si>
  <si>
    <t>80390</t>
  </si>
  <si>
    <t>NIBAS</t>
  </si>
  <si>
    <t>VAUCOULEURS</t>
  </si>
  <si>
    <t>BEAUMONT-SUR-GROSNE</t>
  </si>
  <si>
    <t>RUDEAU-LADOSSE</t>
  </si>
  <si>
    <t>GENEUILLE</t>
  </si>
  <si>
    <t>BANTEUX</t>
  </si>
  <si>
    <t>59132</t>
  </si>
  <si>
    <t>MOUSTIER-EN-FAGNE</t>
  </si>
  <si>
    <t>4360</t>
  </si>
  <si>
    <t>MOUSTIERS-SAINTE-MARIE</t>
  </si>
  <si>
    <t>AUGICOURT</t>
  </si>
  <si>
    <t>TIFFAUGES</t>
  </si>
  <si>
    <t>56700</t>
  </si>
  <si>
    <t>BRANDERION</t>
  </si>
  <si>
    <t>CENDRIEUX</t>
  </si>
  <si>
    <t>57700</t>
  </si>
  <si>
    <t>NEUFCHEF</t>
  </si>
  <si>
    <t>LES SALLES-LAVAUGUYON</t>
  </si>
  <si>
    <t>INCHY-EN-ARTOIS</t>
  </si>
  <si>
    <t>VILCEY-SUR-TREY</t>
  </si>
  <si>
    <t>9390</t>
  </si>
  <si>
    <t>L'HOSPITALET-PRES-L'ANDORRE</t>
  </si>
  <si>
    <t>73460</t>
  </si>
  <si>
    <t>VERRENS-ARVEY</t>
  </si>
  <si>
    <t>57100</t>
  </si>
  <si>
    <t>THIONVILLE</t>
  </si>
  <si>
    <t>LOISY</t>
  </si>
  <si>
    <t>SAINT-MICHEL-MONT-MERCURE</t>
  </si>
  <si>
    <t>91190</t>
  </si>
  <si>
    <t>VILLIERS-LE-BACLE</t>
  </si>
  <si>
    <t>GISY-LES-NOBLES</t>
  </si>
  <si>
    <t>COETLOGON</t>
  </si>
  <si>
    <t>SAINT-BAUZELY</t>
  </si>
  <si>
    <t>LA CHAPELLE-DU-MONT-DE-FRANCE</t>
  </si>
  <si>
    <t>LE MONT</t>
  </si>
  <si>
    <t>LA VALLEE-AU-BLE</t>
  </si>
  <si>
    <t>SAINT-MARTIN-LAGUEPIE</t>
  </si>
  <si>
    <t>EPIAIS</t>
  </si>
  <si>
    <t>LA FONTENELLE</t>
  </si>
  <si>
    <t>BOSC-RENOULT-EN-ROUMOIS</t>
  </si>
  <si>
    <t>MANINGHEN-HENNE</t>
  </si>
  <si>
    <t>LONGEVELLE</t>
  </si>
  <si>
    <t>ROCHEFORT-EN-VALDAINE</t>
  </si>
  <si>
    <t>LA CHAUSSEE-SUR-MARNE</t>
  </si>
  <si>
    <t>LACANAU</t>
  </si>
  <si>
    <t>20270</t>
  </si>
  <si>
    <t>2B009</t>
  </si>
  <si>
    <t>ALERIA</t>
  </si>
  <si>
    <t>LACAUGNE</t>
  </si>
  <si>
    <t>VALLESVILLES</t>
  </si>
  <si>
    <t>LES FERRES</t>
  </si>
  <si>
    <t>27130</t>
  </si>
  <si>
    <t>BALINES</t>
  </si>
  <si>
    <t>20200</t>
  </si>
  <si>
    <t>2B353</t>
  </si>
  <si>
    <t>VILLE-DI-PIETRABUGNO</t>
  </si>
  <si>
    <t>GEVRESIN</t>
  </si>
  <si>
    <t>CHAGNON</t>
  </si>
  <si>
    <t>BAZUS-NESTE</t>
  </si>
  <si>
    <t>FONTAINE-EN-BRAY</t>
  </si>
  <si>
    <t>CHARREY-SUR-SEINE</t>
  </si>
  <si>
    <t>CORMELLES-LE-ROYAL</t>
  </si>
  <si>
    <t>GAUDIEMPRE</t>
  </si>
  <si>
    <t>LASLADES</t>
  </si>
  <si>
    <t>FRIBOURG</t>
  </si>
  <si>
    <t>20224</t>
  </si>
  <si>
    <t>2B073</t>
  </si>
  <si>
    <t>CASAMACCIOLI</t>
  </si>
  <si>
    <t>POINTEL</t>
  </si>
  <si>
    <t>FRECHENCOURT</t>
  </si>
  <si>
    <t>59213</t>
  </si>
  <si>
    <t>ESCARMAIN</t>
  </si>
  <si>
    <t>19520</t>
  </si>
  <si>
    <t>MANSAC</t>
  </si>
  <si>
    <t>SAINT-MARCET</t>
  </si>
  <si>
    <t>QUELMES</t>
  </si>
  <si>
    <t>22000</t>
  </si>
  <si>
    <t>SAINT-BRIEUC</t>
  </si>
  <si>
    <t>ESPARROS</t>
  </si>
  <si>
    <t>ALIGNAN-DU-VENT</t>
  </si>
  <si>
    <t>CHARVONNEX</t>
  </si>
  <si>
    <t>PARENTIGNAT</t>
  </si>
  <si>
    <t>SAINT-LEGER-SUR-DHEUNE</t>
  </si>
  <si>
    <t>PLAIMPIED-GIVAUDINS</t>
  </si>
  <si>
    <t>SAINT-MICHEL-DE-VAX</t>
  </si>
  <si>
    <t>SORQUAINVILLE</t>
  </si>
  <si>
    <t>ASCARAT</t>
  </si>
  <si>
    <t>DEUXVILLE</t>
  </si>
  <si>
    <t>18510</t>
  </si>
  <si>
    <t>MENETOU-SALON</t>
  </si>
  <si>
    <t>65500</t>
  </si>
  <si>
    <t>CAMALES</t>
  </si>
  <si>
    <t>LA NEUVILLE-VAULT</t>
  </si>
  <si>
    <t>VERNOUILLET</t>
  </si>
  <si>
    <t>LEYMEN</t>
  </si>
  <si>
    <t>62330</t>
  </si>
  <si>
    <t>GUARBECQUE</t>
  </si>
  <si>
    <t>ANGAIS</t>
  </si>
  <si>
    <t>SAINT-SORLIN-DE-VIENNE</t>
  </si>
  <si>
    <t>80780</t>
  </si>
  <si>
    <t>SAINT-LEGER-LES-DOMART</t>
  </si>
  <si>
    <t>CHERY-LES-ROZOY</t>
  </si>
  <si>
    <t>SAINT-LEGER-SOUS-BEUVRAY</t>
  </si>
  <si>
    <t>FOUQUEROLLES</t>
  </si>
  <si>
    <t>SAINT-SULPICE-EN-PAREDS</t>
  </si>
  <si>
    <t>68150</t>
  </si>
  <si>
    <t>OSTHEIM</t>
  </si>
  <si>
    <t>TERRE-CLAPIER</t>
  </si>
  <si>
    <t>MONTIGNY-SUR-AUBE</t>
  </si>
  <si>
    <t>FAGNON</t>
  </si>
  <si>
    <t>BREBAN</t>
  </si>
  <si>
    <t>GALLUIS</t>
  </si>
  <si>
    <t>BOUTENCOURT</t>
  </si>
  <si>
    <t>FESTES-ET-SAINT-ANDRE</t>
  </si>
  <si>
    <t>57730</t>
  </si>
  <si>
    <t>ALTVILLER</t>
  </si>
  <si>
    <t>VAUX-LES-PALAMEIX</t>
  </si>
  <si>
    <t>VINCA</t>
  </si>
  <si>
    <t>NOAILLES</t>
  </si>
  <si>
    <t>SAINT-MARTIN-VALMEROUX</t>
  </si>
  <si>
    <t>SAINT-JEAN-DE-LOSNE</t>
  </si>
  <si>
    <t>EMBERMENIL</t>
  </si>
  <si>
    <t>CHAMPTEUSSE-SUR-BACONNE</t>
  </si>
  <si>
    <t>DOMATS</t>
  </si>
  <si>
    <t>L'ORBRIE</t>
  </si>
  <si>
    <t>SAINT-BARTHELEMY-LE-MEIL</t>
  </si>
  <si>
    <t>38790</t>
  </si>
  <si>
    <t>SAINT-GEORGES-D'ESPERANCHE</t>
  </si>
  <si>
    <t>PREIGNAC</t>
  </si>
  <si>
    <t>PUBLIER</t>
  </si>
  <si>
    <t>CAMPAGNE-LES-WARDRECQUES</t>
  </si>
  <si>
    <t>REIGNAC-SUR-INDRE</t>
  </si>
  <si>
    <t>SAINT-POLGUES</t>
  </si>
  <si>
    <t>SERRE-NERPOL</t>
  </si>
  <si>
    <t>27490</t>
  </si>
  <si>
    <t>AUTHEUIL-AUTHOUILLET</t>
  </si>
  <si>
    <t>ENGINS</t>
  </si>
  <si>
    <t>PIQUECOS</t>
  </si>
  <si>
    <t>PRINSUEJOLS</t>
  </si>
  <si>
    <t>68750</t>
  </si>
  <si>
    <t>BERGHEIM</t>
  </si>
  <si>
    <t>77990</t>
  </si>
  <si>
    <t>MAUREGARD</t>
  </si>
  <si>
    <t>MARCILLY-LA-GUEURCE</t>
  </si>
  <si>
    <t>NOYERS-PONT-MAUGIS</t>
  </si>
  <si>
    <t>CALONNE-SUR-LA-LYS</t>
  </si>
  <si>
    <t>38080</t>
  </si>
  <si>
    <t>SAINT-ALBAN-DE-ROCHE</t>
  </si>
  <si>
    <t>SAINT-GERMAIN-LA-MONTAGNE</t>
  </si>
  <si>
    <t>MONTBELLET</t>
  </si>
  <si>
    <t>58320</t>
  </si>
  <si>
    <t>POUGUES-LES-EAUX</t>
  </si>
  <si>
    <t>CONCHEZ-DE-BEARN</t>
  </si>
  <si>
    <t>45250</t>
  </si>
  <si>
    <t>ESCRIGNELLES</t>
  </si>
  <si>
    <t>THOIGNE</t>
  </si>
  <si>
    <t>MONTJOIRE</t>
  </si>
  <si>
    <t>SANA</t>
  </si>
  <si>
    <t>DAMAS-ET-BETTEGNEY</t>
  </si>
  <si>
    <t>MACKENHEIM</t>
  </si>
  <si>
    <t>LE SAP</t>
  </si>
  <si>
    <t>VASSELIN</t>
  </si>
  <si>
    <t>JUGAZAN</t>
  </si>
  <si>
    <t>CROISSY-SUR-CELLE</t>
  </si>
  <si>
    <t>ALBUSSAC</t>
  </si>
  <si>
    <t>YVERNAUMONT</t>
  </si>
  <si>
    <t>RIBEMONT</t>
  </si>
  <si>
    <t>FAVREUIL</t>
  </si>
  <si>
    <t>85800</t>
  </si>
  <si>
    <t>LE FENOUILLER</t>
  </si>
  <si>
    <t>3380</t>
  </si>
  <si>
    <t>ARCHIGNAT</t>
  </si>
  <si>
    <t>TAURIAC-DE-NAUCELLE</t>
  </si>
  <si>
    <t>71490</t>
  </si>
  <si>
    <t>COUCHES</t>
  </si>
  <si>
    <t>FONTAINE-SOUS-JOUY</t>
  </si>
  <si>
    <t>SAINT-BONNET-DE-BELLAC</t>
  </si>
  <si>
    <t>ROUVROIS-SUR-MEUSE</t>
  </si>
  <si>
    <t>BOURGUIGNON-LES-LA-CHARITE</t>
  </si>
  <si>
    <t>LEMMECOURT</t>
  </si>
  <si>
    <t>RESENLIEU</t>
  </si>
  <si>
    <t>LE PORGE</t>
  </si>
  <si>
    <t>42720</t>
  </si>
  <si>
    <t>BRIENNON</t>
  </si>
  <si>
    <t>38600</t>
  </si>
  <si>
    <t>FONTAINE</t>
  </si>
  <si>
    <t>PONT-DE-BARRET</t>
  </si>
  <si>
    <t>56380</t>
  </si>
  <si>
    <t>GUER</t>
  </si>
  <si>
    <t>MONTMEYRAN</t>
  </si>
  <si>
    <t>40430</t>
  </si>
  <si>
    <t>SORE</t>
  </si>
  <si>
    <t>83149</t>
  </si>
  <si>
    <t>BRAS</t>
  </si>
  <si>
    <t>AILLEVANS</t>
  </si>
  <si>
    <t>NOARDS</t>
  </si>
  <si>
    <t>PLAINVAL</t>
  </si>
  <si>
    <t>MOUZON</t>
  </si>
  <si>
    <t>GUILLONVILLE</t>
  </si>
  <si>
    <t>88350</t>
  </si>
  <si>
    <t>LIFFOL-LE-GRAND</t>
  </si>
  <si>
    <t>11590</t>
  </si>
  <si>
    <t>OUVEILLAN</t>
  </si>
  <si>
    <t>CHAVENCON</t>
  </si>
  <si>
    <t>BAZUS</t>
  </si>
  <si>
    <t>40310</t>
  </si>
  <si>
    <t>RIMBEZ-ET-BAUDIETS</t>
  </si>
  <si>
    <t>14470</t>
  </si>
  <si>
    <t>GRAYE-SUR-MER</t>
  </si>
  <si>
    <t>DROUPT-SAINT-BASLE</t>
  </si>
  <si>
    <t>HEDOUVILLE</t>
  </si>
  <si>
    <t>BEYSSAC</t>
  </si>
  <si>
    <t>VITERBE</t>
  </si>
  <si>
    <t>FONTGOMBAULT</t>
  </si>
  <si>
    <t>BUSSY-LETTREE</t>
  </si>
  <si>
    <t>GERMIGNAC</t>
  </si>
  <si>
    <t>SAINT-CELERIN</t>
  </si>
  <si>
    <t>WEISLINGEN</t>
  </si>
  <si>
    <t>PORT-SAINTE-MARIE</t>
  </si>
  <si>
    <t>62219</t>
  </si>
  <si>
    <t>WISQUES</t>
  </si>
  <si>
    <t>FURDENHEIM</t>
  </si>
  <si>
    <t>24150</t>
  </si>
  <si>
    <t>VARENNES</t>
  </si>
  <si>
    <t>BLUSSANS</t>
  </si>
  <si>
    <t>FONTENAY-LE-MARMION</t>
  </si>
  <si>
    <t>SCHAFFHOUSE-PRES-SELTZ</t>
  </si>
  <si>
    <t>RAHART</t>
  </si>
  <si>
    <t>GONTAUD-DE-NOGARET</t>
  </si>
  <si>
    <t>ARTAGNAN</t>
  </si>
  <si>
    <t>13190</t>
  </si>
  <si>
    <t>ALLAUCH</t>
  </si>
  <si>
    <t>62960</t>
  </si>
  <si>
    <t>FLECHIN</t>
  </si>
  <si>
    <t>BETTING</t>
  </si>
  <si>
    <t>BOISBERGUES</t>
  </si>
  <si>
    <t>DOLUS-LE-SEC</t>
  </si>
  <si>
    <t>27470</t>
  </si>
  <si>
    <t>LAUNAY</t>
  </si>
  <si>
    <t>SAINT-VICTOR-MONTVIANEIX</t>
  </si>
  <si>
    <t>BARSAC</t>
  </si>
  <si>
    <t>42940</t>
  </si>
  <si>
    <t>SAINT-BONNET-LE-COURREAU</t>
  </si>
  <si>
    <t>69660</t>
  </si>
  <si>
    <t>COLLONGES-AU-MONT-D'OR</t>
  </si>
  <si>
    <t>VIDAI</t>
  </si>
  <si>
    <t>SICKERT</t>
  </si>
  <si>
    <t>27850</t>
  </si>
  <si>
    <t>MENESQUEVILLE</t>
  </si>
  <si>
    <t>AMENONCOURT</t>
  </si>
  <si>
    <t>LES ROCHES-L'EVEQUE</t>
  </si>
  <si>
    <t>MYENNES</t>
  </si>
  <si>
    <t>BOUGLAINVAL</t>
  </si>
  <si>
    <t>SOULIERES</t>
  </si>
  <si>
    <t>CASTELVIEILH</t>
  </si>
  <si>
    <t>LA CHAPELLE-DU-BOIS</t>
  </si>
  <si>
    <t>CLAVETTE</t>
  </si>
  <si>
    <t>VOULTEGON</t>
  </si>
  <si>
    <t>OLLE</t>
  </si>
  <si>
    <t>YVIGNAC-LA-TOUR</t>
  </si>
  <si>
    <t>YOLET</t>
  </si>
  <si>
    <t>DOUVILLE-SUR-ANDELLE</t>
  </si>
  <si>
    <t>EPOISSES</t>
  </si>
  <si>
    <t>GARLIN</t>
  </si>
  <si>
    <t>15340</t>
  </si>
  <si>
    <t>MOURJOU</t>
  </si>
  <si>
    <t>BOUZANCOURT</t>
  </si>
  <si>
    <t>33160</t>
  </si>
  <si>
    <t>SAINT-AUBIN-DE-MEDOC</t>
  </si>
  <si>
    <t>OISILLY</t>
  </si>
  <si>
    <t>91370</t>
  </si>
  <si>
    <t>VERRIERES-LE-BUISSON</t>
  </si>
  <si>
    <t>PRINCE</t>
  </si>
  <si>
    <t>77126</t>
  </si>
  <si>
    <t>COURCELLES-EN-BASSEE</t>
  </si>
  <si>
    <t>ESTREBAY</t>
  </si>
  <si>
    <t>SAONNET</t>
  </si>
  <si>
    <t>FRAROZ</t>
  </si>
  <si>
    <t>60128</t>
  </si>
  <si>
    <t>PLAILLY</t>
  </si>
  <si>
    <t>VILLEFONTAINE</t>
  </si>
  <si>
    <t>GRATOT</t>
  </si>
  <si>
    <t>MONDESCOURT</t>
  </si>
  <si>
    <t>LARBROYE</t>
  </si>
  <si>
    <t>SATURARGUES</t>
  </si>
  <si>
    <t>VAUMEILH</t>
  </si>
  <si>
    <t>50720</t>
  </si>
  <si>
    <t>BARENTON</t>
  </si>
  <si>
    <t>THURY-HARCOURT</t>
  </si>
  <si>
    <t>CHADRON</t>
  </si>
  <si>
    <t>91730</t>
  </si>
  <si>
    <t>MAUCHAMPS</t>
  </si>
  <si>
    <t>RECHICOURT-LA-PETITE</t>
  </si>
  <si>
    <t>LELIN-LAPUJOLLE</t>
  </si>
  <si>
    <t>LA CHAPELLE-SAINT-MARTIN-EN-PLAINE</t>
  </si>
  <si>
    <t>SAINT-CONNAN</t>
  </si>
  <si>
    <t>SEMILLY</t>
  </si>
  <si>
    <t>ECHOURGNAC</t>
  </si>
  <si>
    <t>SAINT-LOUP-EN-CHAMPAGNE</t>
  </si>
  <si>
    <t>VOELFLING-LES-BOUZONVILLE</t>
  </si>
  <si>
    <t>CAHON</t>
  </si>
  <si>
    <t>PITHIVIERS-LE-VIEIL</t>
  </si>
  <si>
    <t>BLAGNAC</t>
  </si>
  <si>
    <t>AMBRONAY</t>
  </si>
  <si>
    <t>ORVAL</t>
  </si>
  <si>
    <t>CAUDIES-DE-FENOUILLEDES</t>
  </si>
  <si>
    <t>MAISONS-EN-CHAMPAGNE</t>
  </si>
  <si>
    <t>CHEVRY</t>
  </si>
  <si>
    <t>POTANGIS</t>
  </si>
  <si>
    <t>BLUFFY</t>
  </si>
  <si>
    <t>LOUVIGNE</t>
  </si>
  <si>
    <t>13620</t>
  </si>
  <si>
    <t>CARRY-LE-ROUET</t>
  </si>
  <si>
    <t>SAINT-SEINE-SUR-VINGEANNE</t>
  </si>
  <si>
    <t>DURNINGEN</t>
  </si>
  <si>
    <t>LAGNY-SUR-MARNE</t>
  </si>
  <si>
    <t>CALVINET</t>
  </si>
  <si>
    <t>NANTEUIL-AURIAC-DE-BOURZAC</t>
  </si>
  <si>
    <t>GUEBLANGE-LES-DIEUZE</t>
  </si>
  <si>
    <t>SAINT-MARTIN-DE-MAILLOC</t>
  </si>
  <si>
    <t>SAINT-MICHEL-DE-CHAVAIGNES</t>
  </si>
  <si>
    <t>38113</t>
  </si>
  <si>
    <t>VEUREY-VOROIZE</t>
  </si>
  <si>
    <t>LAUTENBACH</t>
  </si>
  <si>
    <t>GERONCE</t>
  </si>
  <si>
    <t>8380</t>
  </si>
  <si>
    <t>LA NEUVILLE-AUX-JOUTES</t>
  </si>
  <si>
    <t>MULCEY</t>
  </si>
  <si>
    <t>CHATEAUDUN</t>
  </si>
  <si>
    <t>84760</t>
  </si>
  <si>
    <t>SAINT-MARTIN-DE-LA-BRASQUE</t>
  </si>
  <si>
    <t>LE CAIRE</t>
  </si>
  <si>
    <t>CHATILLON-EN-VENDELAIS</t>
  </si>
  <si>
    <t>SALLES-SOUS-BOIS</t>
  </si>
  <si>
    <t>BAZOCHES</t>
  </si>
  <si>
    <t>AUZOUVILLE-SUR-RY</t>
  </si>
  <si>
    <t>SAINT-JUST-D'AVRAY</t>
  </si>
  <si>
    <t>76200</t>
  </si>
  <si>
    <t>DIEPPE</t>
  </si>
  <si>
    <t>ANDILLY-EN-BASSIGNY</t>
  </si>
  <si>
    <t>BIARNE</t>
  </si>
  <si>
    <t>97300</t>
  </si>
  <si>
    <t>CAYENNE</t>
  </si>
  <si>
    <t>SAINT-MARTIN-SOUS-MONTAIGU</t>
  </si>
  <si>
    <t>TALLUD-SAINTE-GEMME</t>
  </si>
  <si>
    <t>SAINT-HILLIERS</t>
  </si>
  <si>
    <t>50110</t>
  </si>
  <si>
    <t>BRETTEVILLE</t>
  </si>
  <si>
    <t>35630</t>
  </si>
  <si>
    <t>MARTINCOURT</t>
  </si>
  <si>
    <t>16000</t>
  </si>
  <si>
    <t>ANGOULEME</t>
  </si>
  <si>
    <t>MOUTON</t>
  </si>
  <si>
    <t>LAGNIEU</t>
  </si>
  <si>
    <t>MONTROSIER</t>
  </si>
  <si>
    <t>BALAGUIER-D'OLT</t>
  </si>
  <si>
    <t>50190</t>
  </si>
  <si>
    <t>FEUGERES</t>
  </si>
  <si>
    <t>77410</t>
  </si>
  <si>
    <t>GRESSY</t>
  </si>
  <si>
    <t>19250</t>
  </si>
  <si>
    <t>SAINT-SULPICE-LES-BOIS</t>
  </si>
  <si>
    <t>4140</t>
  </si>
  <si>
    <t>AUZET</t>
  </si>
  <si>
    <t>78280</t>
  </si>
  <si>
    <t>GUYANCOURT</t>
  </si>
  <si>
    <t>SARLIAC-SUR-L'ISLE</t>
  </si>
  <si>
    <t>ZOMMANGE</t>
  </si>
  <si>
    <t>SALIGNY</t>
  </si>
  <si>
    <t>BERELLES</t>
  </si>
  <si>
    <t>SAINT-LIEUX-LES-LAVAUR</t>
  </si>
  <si>
    <t>ARC-SOUS-MONTENOT</t>
  </si>
  <si>
    <t>84170</t>
  </si>
  <si>
    <t>MONTEUX</t>
  </si>
  <si>
    <t>57180</t>
  </si>
  <si>
    <t>TERVILLE</t>
  </si>
  <si>
    <t>BOURGVILAIN</t>
  </si>
  <si>
    <t>MONCOUTANT</t>
  </si>
  <si>
    <t>73730</t>
  </si>
  <si>
    <t>ROGNAIX</t>
  </si>
  <si>
    <t>ANGE</t>
  </si>
  <si>
    <t>BADECON-LE-PIN</t>
  </si>
  <si>
    <t>CHEVIGNEY-LES-VERCEL</t>
  </si>
  <si>
    <t>PIERREVILLERS</t>
  </si>
  <si>
    <t>38840</t>
  </si>
  <si>
    <t>SAINT-HILAIRE-DU-ROSIER</t>
  </si>
  <si>
    <t>BROUSSE</t>
  </si>
  <si>
    <t>CAMPSAS</t>
  </si>
  <si>
    <t>CLINCHAMPS-SUR-ORNE</t>
  </si>
  <si>
    <t>LA BARRE-DE-SEMILLY</t>
  </si>
  <si>
    <t>SCHWOBEN</t>
  </si>
  <si>
    <t>BEAUFAY</t>
  </si>
  <si>
    <t>SAINT-JULIEN-EN-BEAUCHENE</t>
  </si>
  <si>
    <t>BEYNAC-ET-CAZENAC</t>
  </si>
  <si>
    <t>CHABEUIL</t>
  </si>
  <si>
    <t>EPEUGNEY</t>
  </si>
  <si>
    <t>DOMFRONT-EN-CHAMPAGNE</t>
  </si>
  <si>
    <t>LENING</t>
  </si>
  <si>
    <t>HABSHEIM</t>
  </si>
  <si>
    <t>SAINT-ELOI-DE-FOURQUES</t>
  </si>
  <si>
    <t>ABOS</t>
  </si>
  <si>
    <t>CALVIAC</t>
  </si>
  <si>
    <t>83200</t>
  </si>
  <si>
    <t>LE REVEST-LES-EAUX</t>
  </si>
  <si>
    <t>FOULCREY</t>
  </si>
  <si>
    <t>MENNECY</t>
  </si>
  <si>
    <t>MAIGNAUT-TAUZIA</t>
  </si>
  <si>
    <t>METZ-TESSY</t>
  </si>
  <si>
    <t>VOUHENANS</t>
  </si>
  <si>
    <t>45570</t>
  </si>
  <si>
    <t>OUZOUER-SUR-LOIRE</t>
  </si>
  <si>
    <t>LA MONSELIE</t>
  </si>
  <si>
    <t>VASSENY</t>
  </si>
  <si>
    <t>AUDREHEM</t>
  </si>
  <si>
    <t>PIS</t>
  </si>
  <si>
    <t>LUNAC</t>
  </si>
  <si>
    <t>22440</t>
  </si>
  <si>
    <t>LA MEAUGON</t>
  </si>
  <si>
    <t>TORFOU</t>
  </si>
  <si>
    <t>TURNY</t>
  </si>
  <si>
    <t>SAINTE-VAUBOURG</t>
  </si>
  <si>
    <t>MACHEMONT</t>
  </si>
  <si>
    <t>TILLOY-LEZ-CAMBRAI</t>
  </si>
  <si>
    <t>PLOUDIRY</t>
  </si>
  <si>
    <t>12340</t>
  </si>
  <si>
    <t>CRUEJOULS</t>
  </si>
  <si>
    <t>BYANS-SUR-DOUBS</t>
  </si>
  <si>
    <t>COURCELLES-SUR-VESLE</t>
  </si>
  <si>
    <t>CLARENSAC</t>
  </si>
  <si>
    <t>BERLANCOURT</t>
  </si>
  <si>
    <t>BROUSSY-LE-GRAND</t>
  </si>
  <si>
    <t>MILLAM</t>
  </si>
  <si>
    <t>62156</t>
  </si>
  <si>
    <t>ETAING</t>
  </si>
  <si>
    <t>MONTBENOIT</t>
  </si>
  <si>
    <t>METIGNY</t>
  </si>
  <si>
    <t>SAINT-TRICAT</t>
  </si>
  <si>
    <t>37360</t>
  </si>
  <si>
    <t>ROUZIERS-DE-TOURAINE</t>
  </si>
  <si>
    <t>GOUAUX-DE-LARBOUST</t>
  </si>
  <si>
    <t>ARTHEL</t>
  </si>
  <si>
    <t>RANSART</t>
  </si>
  <si>
    <t>SAINT-NIZIER-SUR-ARROUX</t>
  </si>
  <si>
    <t>35170</t>
  </si>
  <si>
    <t>BRUZ</t>
  </si>
  <si>
    <t>BLAYE</t>
  </si>
  <si>
    <t>RADDON-ET-CHAPENDU</t>
  </si>
  <si>
    <t>RECANOZ</t>
  </si>
  <si>
    <t>BEAUMONT-LE-ROGER</t>
  </si>
  <si>
    <t>DOUZAINS</t>
  </si>
  <si>
    <t>BIEUXY</t>
  </si>
  <si>
    <t>VAUBAN</t>
  </si>
  <si>
    <t>SAINT-LAURENT-DE-CARNOLS</t>
  </si>
  <si>
    <t>LA TUILIERE</t>
  </si>
  <si>
    <t>MORVILLERS</t>
  </si>
  <si>
    <t>SAINT-ELOI</t>
  </si>
  <si>
    <t>DAINVILLE-BERTHELEVILLE</t>
  </si>
  <si>
    <t>SAINT-CHARLES-LA-FORET</t>
  </si>
  <si>
    <t>ARTHEZ-D'ARMAGNAC</t>
  </si>
  <si>
    <t>40560</t>
  </si>
  <si>
    <t>VIELLE-SAINT-GIRONS</t>
  </si>
  <si>
    <t>CEYSSAT</t>
  </si>
  <si>
    <t>CASTERA-LANUSSE</t>
  </si>
  <si>
    <t>22600</t>
  </si>
  <si>
    <t>SAINT-MAUDAN</t>
  </si>
  <si>
    <t>BEAUMETZ-LES-CAMBRAI</t>
  </si>
  <si>
    <t>COUVRELLES</t>
  </si>
  <si>
    <t>GERGNY</t>
  </si>
  <si>
    <t>NEUVILLETTE</t>
  </si>
  <si>
    <t>SAINT-REMY-SUR-CREUSE</t>
  </si>
  <si>
    <t>SAINT-PIERRE-DU-VAL</t>
  </si>
  <si>
    <t>SAINT-PIERRE-D'AUBEZIES</t>
  </si>
  <si>
    <t>77550</t>
  </si>
  <si>
    <t>REAU</t>
  </si>
  <si>
    <t>1550</t>
  </si>
  <si>
    <t>POUGNY</t>
  </si>
  <si>
    <t>CASSIGNAS</t>
  </si>
  <si>
    <t>DOEUIL-SUR-LE-MIGNON</t>
  </si>
  <si>
    <t>2B113</t>
  </si>
  <si>
    <t>FICAJA</t>
  </si>
  <si>
    <t>VAUDRIMESNIL</t>
  </si>
  <si>
    <t>BERNY-EN-SANTERRE</t>
  </si>
  <si>
    <t>58260</t>
  </si>
  <si>
    <t>TROIS-VEVRES</t>
  </si>
  <si>
    <t>SAINT-JULIEN-EN-BORN</t>
  </si>
  <si>
    <t>FRAMPAS</t>
  </si>
  <si>
    <t>BARBIREY-SUR-OUCHE</t>
  </si>
  <si>
    <t>PREAUX-BOCAGE</t>
  </si>
  <si>
    <t>57330</t>
  </si>
  <si>
    <t>HETTANGE-GRANDE</t>
  </si>
  <si>
    <t>MERICOURT-L'ABBE</t>
  </si>
  <si>
    <t>OISSY</t>
  </si>
  <si>
    <t>MONTJEAN</t>
  </si>
  <si>
    <t>ECCLES</t>
  </si>
  <si>
    <t>BERTHECOURT</t>
  </si>
  <si>
    <t>SAINT-COME-DU-MONT</t>
  </si>
  <si>
    <t>BARRO</t>
  </si>
  <si>
    <t>SAINTE-MARIE-LA-ROBERT</t>
  </si>
  <si>
    <t>28250</t>
  </si>
  <si>
    <t>LA FRAMBOISIERE</t>
  </si>
  <si>
    <t>ROUANS</t>
  </si>
  <si>
    <t>L'HERBERGEMENT</t>
  </si>
  <si>
    <t>35190</t>
  </si>
  <si>
    <t>LA CHAPELLE-AUX-FILTZMEENS</t>
  </si>
  <si>
    <t>ALTORF</t>
  </si>
  <si>
    <t>SEGOS</t>
  </si>
  <si>
    <t>COIGNY</t>
  </si>
  <si>
    <t>FRENELLE-LA-PETITE</t>
  </si>
  <si>
    <t>HOTTVILLER</t>
  </si>
  <si>
    <t>CHASSAGNY</t>
  </si>
  <si>
    <t>VILLENEUVE-FROUVILLE</t>
  </si>
  <si>
    <t>SANTOCHE</t>
  </si>
  <si>
    <t>BURLIONCOURT</t>
  </si>
  <si>
    <t>LES CORVEES-LES-YYS</t>
  </si>
  <si>
    <t>MERCUREY</t>
  </si>
  <si>
    <t>ROZOY-LE-VIEIL</t>
  </si>
  <si>
    <t>ROBECOURT</t>
  </si>
  <si>
    <t>54310</t>
  </si>
  <si>
    <t>HOMECOURT</t>
  </si>
  <si>
    <t>CHENEY</t>
  </si>
  <si>
    <t>DAMREMONT</t>
  </si>
  <si>
    <t>NEVOY</t>
  </si>
  <si>
    <t>BACQUEVILLE</t>
  </si>
  <si>
    <t>COURGAINS</t>
  </si>
  <si>
    <t>CROISY-SUR-ANDELLE</t>
  </si>
  <si>
    <t>BIEUJAC</t>
  </si>
  <si>
    <t>SAINT-PIERRE-DU-BU</t>
  </si>
  <si>
    <t>ORGERES</t>
  </si>
  <si>
    <t>SAGELAT</t>
  </si>
  <si>
    <t>HIS</t>
  </si>
  <si>
    <t>OMBLEZE</t>
  </si>
  <si>
    <t>VILLEGAILHENC</t>
  </si>
  <si>
    <t>SARRALBE</t>
  </si>
  <si>
    <t>SAINT-BRICE-SOUS-RANES</t>
  </si>
  <si>
    <t>VOSNON</t>
  </si>
  <si>
    <t>LAMOTHE</t>
  </si>
  <si>
    <t>84160</t>
  </si>
  <si>
    <t>CADENET</t>
  </si>
  <si>
    <t>THAIX</t>
  </si>
  <si>
    <t>DELOUZE-ROSIERES</t>
  </si>
  <si>
    <t>CHARRON</t>
  </si>
  <si>
    <t>SAINT-PIERRE-D'ALBIGNY</t>
  </si>
  <si>
    <t>MONT-LAURENT</t>
  </si>
  <si>
    <t>GOUT-ROSSIGNOL</t>
  </si>
  <si>
    <t>MENETOU-COUTURE</t>
  </si>
  <si>
    <t>LEONCEL</t>
  </si>
  <si>
    <t>SEEZ</t>
  </si>
  <si>
    <t>SAINTE-OPPORTUNE-LA-MARE</t>
  </si>
  <si>
    <t>68190</t>
  </si>
  <si>
    <t>UNGERSHEIM</t>
  </si>
  <si>
    <t>PONT-EN-ROYANS</t>
  </si>
  <si>
    <t>53370</t>
  </si>
  <si>
    <t>SAINT-PIERRE-DES-NIDS</t>
  </si>
  <si>
    <t>68470</t>
  </si>
  <si>
    <t>FELLERING</t>
  </si>
  <si>
    <t>CHAMPTONNAY</t>
  </si>
  <si>
    <t>FRESNAY</t>
  </si>
  <si>
    <t>THIMONVILLE</t>
  </si>
  <si>
    <t>IGUERANDE</t>
  </si>
  <si>
    <t>3430</t>
  </si>
  <si>
    <t>VILLEFRANCHE-D'ALLIER</t>
  </si>
  <si>
    <t>SANS-VALLOIS</t>
  </si>
  <si>
    <t>20111</t>
  </si>
  <si>
    <t>2A070</t>
  </si>
  <si>
    <t>CASAGLIONE</t>
  </si>
  <si>
    <t>MONTSAUNES</t>
  </si>
  <si>
    <t>54116</t>
  </si>
  <si>
    <t>PRAYE</t>
  </si>
  <si>
    <t>LA CHAPELOTTE</t>
  </si>
  <si>
    <t>SILLANS-LA-CASCADE</t>
  </si>
  <si>
    <t>LES PRADEAUX</t>
  </si>
  <si>
    <t>SENONCHES</t>
  </si>
  <si>
    <t>MONTREVEL</t>
  </si>
  <si>
    <t>THONNE-LA-LONG</t>
  </si>
  <si>
    <t>54160</t>
  </si>
  <si>
    <t>PIERREVILLE</t>
  </si>
  <si>
    <t>LESPINOY</t>
  </si>
  <si>
    <t>QUEYSSAC-LES-VIGNES</t>
  </si>
  <si>
    <t>LAGARDE-D'APT</t>
  </si>
  <si>
    <t>LE CHAMP-PRES-FROGES</t>
  </si>
  <si>
    <t>PLOURHAN</t>
  </si>
  <si>
    <t>AREINES</t>
  </si>
  <si>
    <t>SAINT-JACUT-DU-MENE</t>
  </si>
  <si>
    <t>59232</t>
  </si>
  <si>
    <t>VIEUX-BERQUIN</t>
  </si>
  <si>
    <t>SOURS</t>
  </si>
  <si>
    <t>RECHICOURT-LE-CHATEAU</t>
  </si>
  <si>
    <t>SAINT-BENOIT-LA-FORET</t>
  </si>
  <si>
    <t>CHASSELAY</t>
  </si>
  <si>
    <t>SAINT-GERMAIN-DE-VIBRAC</t>
  </si>
  <si>
    <t>NERIGEAN</t>
  </si>
  <si>
    <t>FRESNOY-ANDAINVILLE</t>
  </si>
  <si>
    <t>PALLUD</t>
  </si>
  <si>
    <t>ECLANCE</t>
  </si>
  <si>
    <t>31550</t>
  </si>
  <si>
    <t>CINTEGABELLE</t>
  </si>
  <si>
    <t>65440</t>
  </si>
  <si>
    <t>ANCIZAN</t>
  </si>
  <si>
    <t>AULNAY-SUR-ITON</t>
  </si>
  <si>
    <t>PALAISEUL</t>
  </si>
  <si>
    <t>GENISSIEUX</t>
  </si>
  <si>
    <t>FRAYSSINHES</t>
  </si>
  <si>
    <t>NAMPTEUIL-SOUS-MURET</t>
  </si>
  <si>
    <t>COULANGES-SUR-YONNE</t>
  </si>
  <si>
    <t>LA VILLE-SOUS-ORBAIS</t>
  </si>
  <si>
    <t>72390</t>
  </si>
  <si>
    <t>BOUER</t>
  </si>
  <si>
    <t>MONCLA</t>
  </si>
  <si>
    <t>HOUSSEVILLE</t>
  </si>
  <si>
    <t>FONTAINS</t>
  </si>
  <si>
    <t>AUDIERNE</t>
  </si>
  <si>
    <t>PLANGUENOUAL</t>
  </si>
  <si>
    <t>SAINT-THIERRY</t>
  </si>
  <si>
    <t>MAYRES-SAVEL</t>
  </si>
  <si>
    <t>SAINT-PIERRE-BELLEVUE</t>
  </si>
  <si>
    <t>SAINT-JEAN-DE-THOLOME</t>
  </si>
  <si>
    <t>NEDON</t>
  </si>
  <si>
    <t>OBERMORSCHWILLER</t>
  </si>
  <si>
    <t>GOUDARGUES</t>
  </si>
  <si>
    <t>LOUCHY-MONTFAND</t>
  </si>
  <si>
    <t>BARAQUEVILLE</t>
  </si>
  <si>
    <t>SAINT-GEORGES-DES-COTEAUX</t>
  </si>
  <si>
    <t>BOUILHONNAC</t>
  </si>
  <si>
    <t>CHICHEBOVILLE</t>
  </si>
  <si>
    <t>PLESSIS-SAINT-BENOIST</t>
  </si>
  <si>
    <t>SAINT-LAURENT</t>
  </si>
  <si>
    <t>OUSTE</t>
  </si>
  <si>
    <t>RANTON</t>
  </si>
  <si>
    <t>BEAUZIAC</t>
  </si>
  <si>
    <t>57780</t>
  </si>
  <si>
    <t>ROSSELANGE</t>
  </si>
  <si>
    <t>DAMPIERRE-LE-CHATEAU</t>
  </si>
  <si>
    <t>77135</t>
  </si>
  <si>
    <t>PONTCARRE</t>
  </si>
  <si>
    <t>FOURCES</t>
  </si>
  <si>
    <t>SAINT-GERMAIN-D'AUNAY</t>
  </si>
  <si>
    <t>13490</t>
  </si>
  <si>
    <t>JOUQUES</t>
  </si>
  <si>
    <t>VIGNY</t>
  </si>
  <si>
    <t>PELLEGRUE</t>
  </si>
  <si>
    <t>CAPENDU</t>
  </si>
  <si>
    <t>COURCELLES-SUR-VIOSNE</t>
  </si>
  <si>
    <t>LE CHENE</t>
  </si>
  <si>
    <t>VILLERS-LES-POTS</t>
  </si>
  <si>
    <t>LE PONT-DE-CLAIX</t>
  </si>
  <si>
    <t>CAVIGNAC</t>
  </si>
  <si>
    <t>BONNEIL</t>
  </si>
  <si>
    <t>VACQUIERS</t>
  </si>
  <si>
    <t>57280</t>
  </si>
  <si>
    <t>FEVES</t>
  </si>
  <si>
    <t>84330</t>
  </si>
  <si>
    <t>SAINT-PIERRE-DE-VASSOLS</t>
  </si>
  <si>
    <t>LAGUIOLE</t>
  </si>
  <si>
    <t>GOMELANGE</t>
  </si>
  <si>
    <t>TRAMAYES</t>
  </si>
  <si>
    <t>BEGNECOURT</t>
  </si>
  <si>
    <t>BIMONT</t>
  </si>
  <si>
    <t>CASTELNAU-DE-LEVIS</t>
  </si>
  <si>
    <t>WARLINCOURT-LES-PAS</t>
  </si>
  <si>
    <t>PANON</t>
  </si>
  <si>
    <t>VILLEJESUS</t>
  </si>
  <si>
    <t>BURNEVILLERS</t>
  </si>
  <si>
    <t>MARTAIZE</t>
  </si>
  <si>
    <t>85470</t>
  </si>
  <si>
    <t>BREM-SUR-MER</t>
  </si>
  <si>
    <t>ANNOT</t>
  </si>
  <si>
    <t>PENOL</t>
  </si>
  <si>
    <t>PELVES</t>
  </si>
  <si>
    <t>VEVY</t>
  </si>
  <si>
    <t>LOREY</t>
  </si>
  <si>
    <t>21370</t>
  </si>
  <si>
    <t>VELARS-SUR-OUCHE</t>
  </si>
  <si>
    <t>VAUQUOIS</t>
  </si>
  <si>
    <t>SAINT-JEAN-DE-LIVET</t>
  </si>
  <si>
    <t>78980</t>
  </si>
  <si>
    <t>NEAUPHLETTE</t>
  </si>
  <si>
    <t>90300</t>
  </si>
  <si>
    <t>VALDOIE</t>
  </si>
  <si>
    <t>SAINT-MICHEL-LES-PORTES</t>
  </si>
  <si>
    <t>GUMIERES</t>
  </si>
  <si>
    <t>USCLAS-D'HERAULT</t>
  </si>
  <si>
    <t>BAIROLS</t>
  </si>
  <si>
    <t>GIFFAUMONT-CHAMPAUBERT</t>
  </si>
  <si>
    <t>SAINT-MAIXENT-L'ECOLE</t>
  </si>
  <si>
    <t>LARGILLAY-MARSONNAY</t>
  </si>
  <si>
    <t>EPREVILLE</t>
  </si>
  <si>
    <t>LES ALLEUDS</t>
  </si>
  <si>
    <t>59710</t>
  </si>
  <si>
    <t>PONT-A-MARCQ</t>
  </si>
  <si>
    <t>FRANCILLON</t>
  </si>
  <si>
    <t>87720</t>
  </si>
  <si>
    <t>SAILLAT-SUR-VIENNE</t>
  </si>
  <si>
    <t>AVEZE</t>
  </si>
  <si>
    <t>74550</t>
  </si>
  <si>
    <t>DRAILLANT</t>
  </si>
  <si>
    <t>BOUILLAC</t>
  </si>
  <si>
    <t>BOURBOURG</t>
  </si>
  <si>
    <t>SAINT-JULIEN-DU-VERDON</t>
  </si>
  <si>
    <t>49350</t>
  </si>
  <si>
    <t>LES ROSIERS-SUR-LOIRE</t>
  </si>
  <si>
    <t>POMMEREUIL</t>
  </si>
  <si>
    <t>SAINT-VINCENT-LE-PALUEL</t>
  </si>
  <si>
    <t>ROSTEIG</t>
  </si>
  <si>
    <t>LANVELLEC</t>
  </si>
  <si>
    <t>SAINT-GERVASY</t>
  </si>
  <si>
    <t>ECURCEY</t>
  </si>
  <si>
    <t>ANOULD</t>
  </si>
  <si>
    <t>MAURINES</t>
  </si>
  <si>
    <t>BODILIS</t>
  </si>
  <si>
    <t>VARES</t>
  </si>
  <si>
    <t>PIERREFORT</t>
  </si>
  <si>
    <t>HAGUENAU</t>
  </si>
  <si>
    <t>22940</t>
  </si>
  <si>
    <t>ORNIAC</t>
  </si>
  <si>
    <t>MALABAT</t>
  </si>
  <si>
    <t>GARREBOURG</t>
  </si>
  <si>
    <t>43770</t>
  </si>
  <si>
    <t>CHADRAC</t>
  </si>
  <si>
    <t>38530</t>
  </si>
  <si>
    <t>LA BUISSIERE</t>
  </si>
  <si>
    <t>BELLES-FORETS</t>
  </si>
  <si>
    <t>VIRIGNIN</t>
  </si>
  <si>
    <t>PEINTRE</t>
  </si>
  <si>
    <t>BEAUMONTEL</t>
  </si>
  <si>
    <t>ASPIRAN</t>
  </si>
  <si>
    <t>VINDEFONTAINE</t>
  </si>
  <si>
    <t>LA TOUR-D'AIGUES</t>
  </si>
  <si>
    <t>BOIRY-NOTRE-DAME</t>
  </si>
  <si>
    <t>ORVILLIERS</t>
  </si>
  <si>
    <t>57050</t>
  </si>
  <si>
    <t>LONGEVILLE-LES-METZ</t>
  </si>
  <si>
    <t>56230</t>
  </si>
  <si>
    <t>LE COURS</t>
  </si>
  <si>
    <t>SAINT-CYR-EN-ARTHIES</t>
  </si>
  <si>
    <t>UCHACQ-ET-PARENTIS</t>
  </si>
  <si>
    <t>SAINT-GERVAIS-EN-VALLIERE</t>
  </si>
  <si>
    <t>SAINT-LAURENT-SUR-MER</t>
  </si>
  <si>
    <t>5480</t>
  </si>
  <si>
    <t>VILLAR-D'ARENE</t>
  </si>
  <si>
    <t>VORLY</t>
  </si>
  <si>
    <t>SAINT-LONGIS</t>
  </si>
  <si>
    <t>LAIZY</t>
  </si>
  <si>
    <t>HOUDETOT</t>
  </si>
  <si>
    <t>40260</t>
  </si>
  <si>
    <t>CASTETS</t>
  </si>
  <si>
    <t>SANSAC-DE-MARMIESSE</t>
  </si>
  <si>
    <t>MONTPEZAT</t>
  </si>
  <si>
    <t>BARCELONNE</t>
  </si>
  <si>
    <t>17370</t>
  </si>
  <si>
    <t>SAINT-TROJAN-LES-BAINS</t>
  </si>
  <si>
    <t>TIZAC-DE-LAPOUYADE</t>
  </si>
  <si>
    <t>VERANNE</t>
  </si>
  <si>
    <t>SAINT-DENIS</t>
  </si>
  <si>
    <t>VINON</t>
  </si>
  <si>
    <t>ESCARO</t>
  </si>
  <si>
    <t>HARCHECHAMP</t>
  </si>
  <si>
    <t>SAINT-SULPICE-SUR-LEZE</t>
  </si>
  <si>
    <t>AGUESSAC</t>
  </si>
  <si>
    <t>FARAMANS</t>
  </si>
  <si>
    <t>LERAN</t>
  </si>
  <si>
    <t>FALLERANS</t>
  </si>
  <si>
    <t>MARIGNY</t>
  </si>
  <si>
    <t>BRETHEL</t>
  </si>
  <si>
    <t>20113</t>
  </si>
  <si>
    <t>2A189</t>
  </si>
  <si>
    <t>OLMETO</t>
  </si>
  <si>
    <t>SAINT-AQUILIN-DE-CORBION</t>
  </si>
  <si>
    <t>MAILLET</t>
  </si>
  <si>
    <t>NOAILLY</t>
  </si>
  <si>
    <t>VILLENEUVE-D'AVAL</t>
  </si>
  <si>
    <t>CAZALIS</t>
  </si>
  <si>
    <t>POISSON</t>
  </si>
  <si>
    <t>SAINT-AVIT-LE-PAUVRE</t>
  </si>
  <si>
    <t>SAINT-PIERRE-SUR-DIVES</t>
  </si>
  <si>
    <t>BOUCHY-SAINT-GENEST</t>
  </si>
  <si>
    <t>43410</t>
  </si>
  <si>
    <t>LEOTOING</t>
  </si>
  <si>
    <t>GIRONDE-SUR-DROPT</t>
  </si>
  <si>
    <t>SAINT-JUST-ET-LE-BEZU</t>
  </si>
  <si>
    <t>ROGNY-LES-SEPT-ECLUSES</t>
  </si>
  <si>
    <t>13250</t>
  </si>
  <si>
    <t>CORNILLON-CONFOUX</t>
  </si>
  <si>
    <t>CHAMBEZON</t>
  </si>
  <si>
    <t>38410</t>
  </si>
  <si>
    <t>CHAMROUSSE</t>
  </si>
  <si>
    <t>OMELMONT</t>
  </si>
  <si>
    <t>GATEY</t>
  </si>
  <si>
    <t>2A203</t>
  </si>
  <si>
    <t>PARTINELLO</t>
  </si>
  <si>
    <t>LE CROCQ</t>
  </si>
  <si>
    <t>CIVIERES</t>
  </si>
  <si>
    <t>WESTHOUSE-MARMOUTIER</t>
  </si>
  <si>
    <t>22160</t>
  </si>
  <si>
    <t>CALANHEL</t>
  </si>
  <si>
    <t>CAYEUX-EN-SANTERRE</t>
  </si>
  <si>
    <t>2B246</t>
  </si>
  <si>
    <t>LA PORTA</t>
  </si>
  <si>
    <t>GLENNES</t>
  </si>
  <si>
    <t>MOLEZON</t>
  </si>
  <si>
    <t>LOCHIEU</t>
  </si>
  <si>
    <t>MANLAY</t>
  </si>
  <si>
    <t>ARGENTON-NOTRE-DAME</t>
  </si>
  <si>
    <t>SAVIGNAC-LES-EGLISES</t>
  </si>
  <si>
    <t>VINEUIL-SAINT-FIRMIN</t>
  </si>
  <si>
    <t>42270</t>
  </si>
  <si>
    <t>SAINT-PRIEST-EN-JAREZ</t>
  </si>
  <si>
    <t>CHATEAU-PORCIEN</t>
  </si>
  <si>
    <t>SAINT-JUST-ET-VACQUIERES</t>
  </si>
  <si>
    <t>MALLEFOUGASSE-AUGES</t>
  </si>
  <si>
    <t>ETRELLES-SUR-AUBE</t>
  </si>
  <si>
    <t>ETOUTTEVILLE</t>
  </si>
  <si>
    <t>LAVIGNY</t>
  </si>
  <si>
    <t>FARGES-LES-CHALON</t>
  </si>
  <si>
    <t>LE LUC</t>
  </si>
  <si>
    <t>HEILTZ-LE-MAURUPT</t>
  </si>
  <si>
    <t>LE VAL-DE-GOUHENANS</t>
  </si>
  <si>
    <t>59281</t>
  </si>
  <si>
    <t>RUMILLY-EN-CAMBRESIS</t>
  </si>
  <si>
    <t>MAS-DE-LONDRES</t>
  </si>
  <si>
    <t>LES SALCES</t>
  </si>
  <si>
    <t>HAUTOT-LE-VATOIS</t>
  </si>
  <si>
    <t>BELLOY-EN-FRANCE</t>
  </si>
  <si>
    <t>BENQUET</t>
  </si>
  <si>
    <t>95810</t>
  </si>
  <si>
    <t>GRISY-LES-PLATRES</t>
  </si>
  <si>
    <t>LIMOGNE-EN-QUERCY</t>
  </si>
  <si>
    <t>BEAUX</t>
  </si>
  <si>
    <t>CALES</t>
  </si>
  <si>
    <t>MOUAIS</t>
  </si>
  <si>
    <t>MIREPOIX-SUR-TARN</t>
  </si>
  <si>
    <t>LA FRESNAYE-AU-SAUVAGE</t>
  </si>
  <si>
    <t>SAINT-GENES-CHAMPANELLE</t>
  </si>
  <si>
    <t>72470</t>
  </si>
  <si>
    <t>CHAMPAGNE</t>
  </si>
  <si>
    <t>SAINT-BEAULIZE</t>
  </si>
  <si>
    <t>SAINT-BONNET-DE-FOUR</t>
  </si>
  <si>
    <t>BERAT</t>
  </si>
  <si>
    <t>VARENNES-SUR-MORGE</t>
  </si>
  <si>
    <t>TROIS-VILLES</t>
  </si>
  <si>
    <t>TARABEL</t>
  </si>
  <si>
    <t>UXELLES</t>
  </si>
  <si>
    <t>SAINT-REMY-EN-BOUZEMONT-SAINT-GENEST-ET-ISSON</t>
  </si>
  <si>
    <t>LA CROIX-EN-BRIE</t>
  </si>
  <si>
    <t>79130</t>
  </si>
  <si>
    <t>NEUVY-BOUIN</t>
  </si>
  <si>
    <t>72650</t>
  </si>
  <si>
    <t>LA MILESSE</t>
  </si>
  <si>
    <t>CHAMBERIA</t>
  </si>
  <si>
    <t>34790</t>
  </si>
  <si>
    <t>GRABELS</t>
  </si>
  <si>
    <t>COYOLLES</t>
  </si>
  <si>
    <t>SEWEN</t>
  </si>
  <si>
    <t>ECOQUENEAUVILLE</t>
  </si>
  <si>
    <t>CASTERA-VIGNOLES</t>
  </si>
  <si>
    <t>SAINT-AUBIN-DU-THENNEY</t>
  </si>
  <si>
    <t>LES ISTRES-ET-BURY</t>
  </si>
  <si>
    <t>1580</t>
  </si>
  <si>
    <t>IZERNORE</t>
  </si>
  <si>
    <t>MOUTONNEAU</t>
  </si>
  <si>
    <t>NARROSSE</t>
  </si>
  <si>
    <t>SAINT-AUBIN-DE-NABIRAT</t>
  </si>
  <si>
    <t>LA VERNOTTE</t>
  </si>
  <si>
    <t>BACH</t>
  </si>
  <si>
    <t>SAVIGNY-POIL-FOL</t>
  </si>
  <si>
    <t>SAINT-MARTIN-DE-VAULSERRE</t>
  </si>
  <si>
    <t>NEUVICQ</t>
  </si>
  <si>
    <t>60960</t>
  </si>
  <si>
    <t>FEUQUIERES</t>
  </si>
  <si>
    <t>PAILLET</t>
  </si>
  <si>
    <t>ASSE-LE-BOISNE</t>
  </si>
  <si>
    <t>SANTILLY</t>
  </si>
  <si>
    <t>VERTHEMEX</t>
  </si>
  <si>
    <t>GRANDCHAMP</t>
  </si>
  <si>
    <t>THOREY-SOUS-CHARNY</t>
  </si>
  <si>
    <t>SAINT-FULGENT</t>
  </si>
  <si>
    <t>SAINT-SILVAIN-SOUS-TOULX</t>
  </si>
  <si>
    <t>LAIN</t>
  </si>
  <si>
    <t>FONTAINE-LES-COTEAUX</t>
  </si>
  <si>
    <t>MASSAC-SERAN</t>
  </si>
  <si>
    <t>BEAUMONT-SUR-OISE</t>
  </si>
  <si>
    <t>VIC-DE-CHASSENAY</t>
  </si>
  <si>
    <t>AIZY-JOUY</t>
  </si>
  <si>
    <t>RAYE-SUR-AUTHIE</t>
  </si>
  <si>
    <t>BILLY-SUR-OISY</t>
  </si>
  <si>
    <t>LE CHAY</t>
  </si>
  <si>
    <t>LAVAQUERESSE</t>
  </si>
  <si>
    <t>SAINT-GERVAIS-SOUS-MEYMONT</t>
  </si>
  <si>
    <t>LAVAULT-DE-FRETOY</t>
  </si>
  <si>
    <t>MONTBRISON</t>
  </si>
  <si>
    <t>VILLECHAUVE</t>
  </si>
  <si>
    <t>BERVILLE</t>
  </si>
  <si>
    <t>42530</t>
  </si>
  <si>
    <t>SAINT-GENEST-LERPT</t>
  </si>
  <si>
    <t>LESSAC</t>
  </si>
  <si>
    <t>GRAMAT</t>
  </si>
  <si>
    <t>SAINT-SIFFRET</t>
  </si>
  <si>
    <t>DOUVILLE</t>
  </si>
  <si>
    <t>ALLUYES</t>
  </si>
  <si>
    <t>17630</t>
  </si>
  <si>
    <t>LA FLOTTE</t>
  </si>
  <si>
    <t>38230</t>
  </si>
  <si>
    <t>PONT-DE-CHERUY</t>
  </si>
  <si>
    <t>PONT-A-VENDIN</t>
  </si>
  <si>
    <t>CHAMPSECRET</t>
  </si>
  <si>
    <t>CLARQUES</t>
  </si>
  <si>
    <t>LONGUEFUYE</t>
  </si>
  <si>
    <t>CERSEUIL</t>
  </si>
  <si>
    <t>MONTOLIEU</t>
  </si>
  <si>
    <t>69930</t>
  </si>
  <si>
    <t>SAINT-LAURENT-DE-CHAMOUSSET</t>
  </si>
  <si>
    <t>SAUZELLES</t>
  </si>
  <si>
    <t>SAINT-MARD</t>
  </si>
  <si>
    <t>ESSIGNY-LE-PETIT</t>
  </si>
  <si>
    <t>AUBE</t>
  </si>
  <si>
    <t>SAINT-QUENTIN-LES-ANGES</t>
  </si>
  <si>
    <t>VALPRIONDE</t>
  </si>
  <si>
    <t>SAINT-PIERREMONT</t>
  </si>
  <si>
    <t>LE VILLARS</t>
  </si>
  <si>
    <t>LE THEIL-EN-AUGE</t>
  </si>
  <si>
    <t>SAINT-MOREIL</t>
  </si>
  <si>
    <t>BELLEUSE</t>
  </si>
  <si>
    <t>BIEVRES</t>
  </si>
  <si>
    <t>TRIZAY</t>
  </si>
  <si>
    <t>TRIBEHOU</t>
  </si>
  <si>
    <t>66350</t>
  </si>
  <si>
    <t>TOULOUGES</t>
  </si>
  <si>
    <t>CHATEAU-THEBAUD</t>
  </si>
  <si>
    <t>36160</t>
  </si>
  <si>
    <t>LIGNEROLLES</t>
  </si>
  <si>
    <t>AIGUEBELLE</t>
  </si>
  <si>
    <t>ACHEUX-EN-AMIENOIS</t>
  </si>
  <si>
    <t>VAYRES-SUR-ESSONNE</t>
  </si>
  <si>
    <t>CULTURES</t>
  </si>
  <si>
    <t>SAINT-BONNET-LE-FROID</t>
  </si>
  <si>
    <t>MESMAY</t>
  </si>
  <si>
    <t>ETREZ</t>
  </si>
  <si>
    <t>VERNAIS</t>
  </si>
  <si>
    <t>88380</t>
  </si>
  <si>
    <t>ARCHES</t>
  </si>
  <si>
    <t>HUBERSENT</t>
  </si>
  <si>
    <t>LHOSPITALET</t>
  </si>
  <si>
    <t>MARGUERAY</t>
  </si>
  <si>
    <t>SAINT-LUMIER-LA-POPULEUSE</t>
  </si>
  <si>
    <t>CORCIEUX</t>
  </si>
  <si>
    <t>BACQUEVILLE-EN-CAUX</t>
  </si>
  <si>
    <t>MANINGHEM</t>
  </si>
  <si>
    <t>SONZAY</t>
  </si>
  <si>
    <t>WALDHOUSE</t>
  </si>
  <si>
    <t>SEYCHALLES</t>
  </si>
  <si>
    <t>GUYANS-VENNES</t>
  </si>
  <si>
    <t>CLAYE-SOUILLY</t>
  </si>
  <si>
    <t>85710</t>
  </si>
  <si>
    <t>BOIS-DE-CENE</t>
  </si>
  <si>
    <t>MONTBRUN-BOCAGE</t>
  </si>
  <si>
    <t>NEUVY-DEUX-CLOCHERS</t>
  </si>
  <si>
    <t>94310</t>
  </si>
  <si>
    <t>ORLY</t>
  </si>
  <si>
    <t>CAMBIEURE</t>
  </si>
  <si>
    <t>LA CHAPELLE-DE-MARDORE</t>
  </si>
  <si>
    <t>JAVERLHAC-ET-LA-CHAPELLE-SAINT-ROBERT</t>
  </si>
  <si>
    <t>BOSQUENTIN</t>
  </si>
  <si>
    <t>VENISEY</t>
  </si>
  <si>
    <t>BAUQUAY</t>
  </si>
  <si>
    <t>ARNOUVILLE-LES-MANTES</t>
  </si>
  <si>
    <t>73470</t>
  </si>
  <si>
    <t>AYN</t>
  </si>
  <si>
    <t>CHANCENAY</t>
  </si>
  <si>
    <t>ANCENIS</t>
  </si>
  <si>
    <t>SINGRIST</t>
  </si>
  <si>
    <t>SAINT-PAULET-DE-CAISSON</t>
  </si>
  <si>
    <t>WIDENSOLEN</t>
  </si>
  <si>
    <t>DANESTAL</t>
  </si>
  <si>
    <t>AUCHY-LES-HESDIN</t>
  </si>
  <si>
    <t>SAINT-PRIEST-D'ANDELOT</t>
  </si>
  <si>
    <t>56120</t>
  </si>
  <si>
    <t>LANTILLAC</t>
  </si>
  <si>
    <t>JEVONCOURT</t>
  </si>
  <si>
    <t>14600</t>
  </si>
  <si>
    <t>BARNEVILLE-LA-BERTRAN</t>
  </si>
  <si>
    <t>ATTON</t>
  </si>
  <si>
    <t>BAZILLAC</t>
  </si>
  <si>
    <t>SAINT-MARTIN-L'ARS</t>
  </si>
  <si>
    <t>LAMONTELARIE</t>
  </si>
  <si>
    <t>HAUTE-AMANCE</t>
  </si>
  <si>
    <t>20143</t>
  </si>
  <si>
    <t>2A310</t>
  </si>
  <si>
    <t>SANTA-MARIA-FIGANIELLA</t>
  </si>
  <si>
    <t>TOUVERAC</t>
  </si>
  <si>
    <t>ASSENCIERES</t>
  </si>
  <si>
    <t>RIMBACHZELL</t>
  </si>
  <si>
    <t>GRIES</t>
  </si>
  <si>
    <t>MEOUNES-LES-MONTRIEUX</t>
  </si>
  <si>
    <t>GIRY</t>
  </si>
  <si>
    <t>GUIGNY</t>
  </si>
  <si>
    <t>LUSSAULT-SUR-LOIRE</t>
  </si>
  <si>
    <t>49270</t>
  </si>
  <si>
    <t>SAINT-CHRISTOPHE-LA-COUPERIE</t>
  </si>
  <si>
    <t>MAULICHERES</t>
  </si>
  <si>
    <t>RIGNY</t>
  </si>
  <si>
    <t>3450</t>
  </si>
  <si>
    <t>VEAUCE</t>
  </si>
  <si>
    <t>AZEREIX</t>
  </si>
  <si>
    <t>LAUSSOU</t>
  </si>
  <si>
    <t>NAY</t>
  </si>
  <si>
    <t>MEMBROLLES</t>
  </si>
  <si>
    <t>BOURS</t>
  </si>
  <si>
    <t>GEMONVAL</t>
  </si>
  <si>
    <t>LAVERGNE</t>
  </si>
  <si>
    <t>CHAUDENAY-LE-CHATEAU</t>
  </si>
  <si>
    <t>ARCHON</t>
  </si>
  <si>
    <t>87170</t>
  </si>
  <si>
    <t>ISLE</t>
  </si>
  <si>
    <t>GREZIEUX-LE-FROMENTAL</t>
  </si>
  <si>
    <t>MOLINOT</t>
  </si>
  <si>
    <t>SAINT-JEAN-PIED-DE-PORT</t>
  </si>
  <si>
    <t>MARCIAC</t>
  </si>
  <si>
    <t>FONTANNES</t>
  </si>
  <si>
    <t>FLAUJAGUES</t>
  </si>
  <si>
    <t>SOUMOULOU</t>
  </si>
  <si>
    <t>SAINTE-MAURE</t>
  </si>
  <si>
    <t>TOUR-EN-SOLOGNE</t>
  </si>
  <si>
    <t>CHATILLON-SUR-SEINE</t>
  </si>
  <si>
    <t>ALLUY</t>
  </si>
  <si>
    <t>BEAUVOIS</t>
  </si>
  <si>
    <t>NEMPONT-SAINT-FIRMIN</t>
  </si>
  <si>
    <t>19800</t>
  </si>
  <si>
    <t>SARRAN</t>
  </si>
  <si>
    <t>ROQUEFORT-LES-CASCADES</t>
  </si>
  <si>
    <t>PEYREFITTE-SUR-L'HERS</t>
  </si>
  <si>
    <t>85440</t>
  </si>
  <si>
    <t>POIROUX</t>
  </si>
  <si>
    <t>POUFFONDS</t>
  </si>
  <si>
    <t>AGY</t>
  </si>
  <si>
    <t>FONTAINE-SOUS-PREAUX</t>
  </si>
  <si>
    <t>COUPELLE-VIEILLE</t>
  </si>
  <si>
    <t>62575</t>
  </si>
  <si>
    <t>HEURINGHEM</t>
  </si>
  <si>
    <t>CARCAGNY</t>
  </si>
  <si>
    <t>83920</t>
  </si>
  <si>
    <t>LA MOTTE</t>
  </si>
  <si>
    <t>LAUNOIS-SUR-VENCE</t>
  </si>
  <si>
    <t>NEY</t>
  </si>
  <si>
    <t>CERON</t>
  </si>
  <si>
    <t>FRIGNICOURT</t>
  </si>
  <si>
    <t>VOUVRAY-SUR-LOIR</t>
  </si>
  <si>
    <t>LIVRE-SUR-CHANGEON</t>
  </si>
  <si>
    <t>STORCKENSOHN</t>
  </si>
  <si>
    <t>SAINT-SEBASTIEN</t>
  </si>
  <si>
    <t>40530</t>
  </si>
  <si>
    <t>LABENNE</t>
  </si>
  <si>
    <t>COURNONTERRAL</t>
  </si>
  <si>
    <t>77139</t>
  </si>
  <si>
    <t>PUISIEUX</t>
  </si>
  <si>
    <t>VILLEMEUX-SUR-EURE</t>
  </si>
  <si>
    <t>LA FERRIERE-DE-FLEE</t>
  </si>
  <si>
    <t>69850</t>
  </si>
  <si>
    <t>SAINT-MARTIN-EN-HAUT</t>
  </si>
  <si>
    <t>SAINT-JUST-PRES-BRIOUDE</t>
  </si>
  <si>
    <t>SAINT-JUST</t>
  </si>
  <si>
    <t>LE TOUVET</t>
  </si>
  <si>
    <t>GUEMAPPE</t>
  </si>
  <si>
    <t>50180</t>
  </si>
  <si>
    <t>HEBECREVON</t>
  </si>
  <si>
    <t>SIGOYER</t>
  </si>
  <si>
    <t>NEUVILLE-SAINT-VAAST</t>
  </si>
  <si>
    <t>54950</t>
  </si>
  <si>
    <t>LARONXE</t>
  </si>
  <si>
    <t>VERGIES</t>
  </si>
  <si>
    <t>BLECOURT</t>
  </si>
  <si>
    <t>FLAVACOURT</t>
  </si>
  <si>
    <t>MAGNY-LE-DESERT</t>
  </si>
  <si>
    <t>SAILHAN</t>
  </si>
  <si>
    <t>MERRY-SUR-YONNE</t>
  </si>
  <si>
    <t>FERQUES</t>
  </si>
  <si>
    <t>CAISNES</t>
  </si>
  <si>
    <t>COUBLEVIE</t>
  </si>
  <si>
    <t>DAMMARIE</t>
  </si>
  <si>
    <t>FELLERIES</t>
  </si>
  <si>
    <t>LES FARGES</t>
  </si>
  <si>
    <t>CRESPINET</t>
  </si>
  <si>
    <t>BONZEE</t>
  </si>
  <si>
    <t>CERZAT</t>
  </si>
  <si>
    <t>VILLEMAIN</t>
  </si>
  <si>
    <t>CHASSENEUIL-DU-POITOU</t>
  </si>
  <si>
    <t>ALVIMARE</t>
  </si>
  <si>
    <t>VENOY</t>
  </si>
  <si>
    <t>87220</t>
  </si>
  <si>
    <t>BOISSEUIL</t>
  </si>
  <si>
    <t>SALVAGNAC-CAJARC</t>
  </si>
  <si>
    <t>SAINT-PIERRE-DES-IFS</t>
  </si>
  <si>
    <t>32240</t>
  </si>
  <si>
    <t>MONLEZUN-D'ARMAGNAC</t>
  </si>
  <si>
    <t>LE ROZIER</t>
  </si>
  <si>
    <t>SAINT-MARTIN-AUX-BOIS</t>
  </si>
  <si>
    <t>LE MOUTARET</t>
  </si>
  <si>
    <t>TROO</t>
  </si>
  <si>
    <t>LUZY-SAINT-MARTIN</t>
  </si>
  <si>
    <t>GINCREY</t>
  </si>
  <si>
    <t>VOUGY</t>
  </si>
  <si>
    <t>PAGNEY-DERRIERE-BARINE</t>
  </si>
  <si>
    <t>SAINT-SEVER-DU-MOUSTIER</t>
  </si>
  <si>
    <t>SALECHAN</t>
  </si>
  <si>
    <t>HUMBERVILLE</t>
  </si>
  <si>
    <t>PEUMERIT</t>
  </si>
  <si>
    <t>COULOBRES</t>
  </si>
  <si>
    <t>POUILLON</t>
  </si>
  <si>
    <t>LAFARE</t>
  </si>
  <si>
    <t>ARTRES</t>
  </si>
  <si>
    <t>FRUCOURT</t>
  </si>
  <si>
    <t>LA HAYE-DU-THEIL</t>
  </si>
  <si>
    <t>23350</t>
  </si>
  <si>
    <t>LA CELLETTE</t>
  </si>
  <si>
    <t>LAGRASSE</t>
  </si>
  <si>
    <t>REGUINY</t>
  </si>
  <si>
    <t>SANSSAT</t>
  </si>
  <si>
    <t>VILLERS-STONCOURT</t>
  </si>
  <si>
    <t>BU</t>
  </si>
  <si>
    <t>74170</t>
  </si>
  <si>
    <t>LES CONTAMINES-MONTJOIE</t>
  </si>
  <si>
    <t>LA FERTE-SOUS-JOUARRE</t>
  </si>
  <si>
    <t>URVILLERS</t>
  </si>
  <si>
    <t>LIART</t>
  </si>
  <si>
    <t>GIRON</t>
  </si>
  <si>
    <t>44390</t>
  </si>
  <si>
    <t>PUCEUL</t>
  </si>
  <si>
    <t>FEUSINES</t>
  </si>
  <si>
    <t>SCHOENENBOURG</t>
  </si>
  <si>
    <t>76330</t>
  </si>
  <si>
    <t>SAINT-MAURICE-D'ETELAN</t>
  </si>
  <si>
    <t>POMPIGNAC</t>
  </si>
  <si>
    <t>AIGREMONT</t>
  </si>
  <si>
    <t>CHATTE</t>
  </si>
  <si>
    <t>52410</t>
  </si>
  <si>
    <t>EURVILLE-BIENVILLE</t>
  </si>
  <si>
    <t>LOUBIGNE</t>
  </si>
  <si>
    <t>NOISY-SUR-OISE</t>
  </si>
  <si>
    <t>PERRUSSE</t>
  </si>
  <si>
    <t>POULIGNY-SAINT-MARTIN</t>
  </si>
  <si>
    <t>LABASTIDE-DE-LEVIS</t>
  </si>
  <si>
    <t>SAINT-ROGATIEN</t>
  </si>
  <si>
    <t>SALSEIN</t>
  </si>
  <si>
    <t>LA COUVERTOIRADE</t>
  </si>
  <si>
    <t>VERDES</t>
  </si>
  <si>
    <t>ANNEZAY</t>
  </si>
  <si>
    <t>33880</t>
  </si>
  <si>
    <t>BAURECH</t>
  </si>
  <si>
    <t>SAINT-BENOIT-LA-CHIPOTTE</t>
  </si>
  <si>
    <t>PREMEAUX-PRISSEY</t>
  </si>
  <si>
    <t>TALMAS</t>
  </si>
  <si>
    <t>VITRAY</t>
  </si>
  <si>
    <t>CLADECH</t>
  </si>
  <si>
    <t>PONCHON</t>
  </si>
  <si>
    <t>COURBETTE</t>
  </si>
  <si>
    <t>74340</t>
  </si>
  <si>
    <t>SAMOENS</t>
  </si>
  <si>
    <t>VALAURIE</t>
  </si>
  <si>
    <t>CRUPIES</t>
  </si>
  <si>
    <t>COMPREGNAC</t>
  </si>
  <si>
    <t>BEAUMENIL</t>
  </si>
  <si>
    <t>77820</t>
  </si>
  <si>
    <t>LES ECRENNES</t>
  </si>
  <si>
    <t>BRIOSNE-LES-SABLES</t>
  </si>
  <si>
    <t>FLEXANVILLE</t>
  </si>
  <si>
    <t>PUITS-LA-VALLEE</t>
  </si>
  <si>
    <t>SAINT-GENIS-DES-FONTAINES</t>
  </si>
  <si>
    <t>71360</t>
  </si>
  <si>
    <t>COLLONGE-LA-MADELEINE</t>
  </si>
  <si>
    <t>CHATEAU-DES-PRES</t>
  </si>
  <si>
    <t>BAZINVAL</t>
  </si>
  <si>
    <t>7300</t>
  </si>
  <si>
    <t>SAINT-JEAN-DE-MUZOLS</t>
  </si>
  <si>
    <t>MERRI</t>
  </si>
  <si>
    <t>FAYSSAC</t>
  </si>
  <si>
    <t>TACHOIRES</t>
  </si>
  <si>
    <t>BEAUVOIR</t>
  </si>
  <si>
    <t>64430</t>
  </si>
  <si>
    <t>BANCA</t>
  </si>
  <si>
    <t>DENEZE-SOUS-LE-LUDE</t>
  </si>
  <si>
    <t>ESCLAGNE</t>
  </si>
  <si>
    <t>CHATEAU-VERDUN</t>
  </si>
  <si>
    <t>LE BEZ</t>
  </si>
  <si>
    <t>SAINT-GENES-DE-CASTILLON</t>
  </si>
  <si>
    <t>SAINT-JEAN-DE-LA-NEUVILLE</t>
  </si>
  <si>
    <t>LE CATEAU-CAMBRESIS</t>
  </si>
  <si>
    <t>ECUIRES</t>
  </si>
  <si>
    <t>SAINT-FELIX-DE-FONCAUDE</t>
  </si>
  <si>
    <t>1120</t>
  </si>
  <si>
    <t>LA BOISSE</t>
  </si>
  <si>
    <t>1170</t>
  </si>
  <si>
    <t>GEX</t>
  </si>
  <si>
    <t>10330</t>
  </si>
  <si>
    <t>PEGUILHAN</t>
  </si>
  <si>
    <t>PRATS-DU-PERIGORD</t>
  </si>
  <si>
    <t>SAUXILLANGES</t>
  </si>
  <si>
    <t>91290</t>
  </si>
  <si>
    <t>LA NORVILLE</t>
  </si>
  <si>
    <t>ORADOUR-SUR-VAYRES</t>
  </si>
  <si>
    <t>CHEVREVILLE</t>
  </si>
  <si>
    <t>CORDON</t>
  </si>
  <si>
    <t>TIRENT-PONTEJAC</t>
  </si>
  <si>
    <t>PRINGY</t>
  </si>
  <si>
    <t>SAINT-VALLIER-DE-THIEY</t>
  </si>
  <si>
    <t>LANDEVENNEC</t>
  </si>
  <si>
    <t>VATIMONT</t>
  </si>
  <si>
    <t>VILLERS-AGRON-AIGUIZY</t>
  </si>
  <si>
    <t>SAINT-OUEN-DES-TOITS</t>
  </si>
  <si>
    <t>LAROCHE-SAINT-CYDROINE</t>
  </si>
  <si>
    <t>LIHUS</t>
  </si>
  <si>
    <t>77930</t>
  </si>
  <si>
    <t>CELY</t>
  </si>
  <si>
    <t>FOUGERES-SUR-BIEVRE</t>
  </si>
  <si>
    <t>87420</t>
  </si>
  <si>
    <t>SAINTE-MARIE-DE-VAUX</t>
  </si>
  <si>
    <t>SAINT-ANDRE-LACHAMP</t>
  </si>
  <si>
    <t>FEAS</t>
  </si>
  <si>
    <t>ROUVROY-SUR-AUDRY</t>
  </si>
  <si>
    <t>ROSIERES-SUR-BARBECHE</t>
  </si>
  <si>
    <t>91220</t>
  </si>
  <si>
    <t>LE PLESSIS-PATE</t>
  </si>
  <si>
    <t>MANDRES</t>
  </si>
  <si>
    <t>SAINT-JEAN-DE-MARSACQ</t>
  </si>
  <si>
    <t>84260</t>
  </si>
  <si>
    <t>SARRIANS</t>
  </si>
  <si>
    <t>LACOLLONGE</t>
  </si>
  <si>
    <t>GESVRES</t>
  </si>
  <si>
    <t>BERTRIMOUTIER</t>
  </si>
  <si>
    <t>45460</t>
  </si>
  <si>
    <t>SAINT-AIGNAN-DES-GUES</t>
  </si>
  <si>
    <t>RESSON</t>
  </si>
  <si>
    <t>MORLEY</t>
  </si>
  <si>
    <t>69590</t>
  </si>
  <si>
    <t>POMEYS</t>
  </si>
  <si>
    <t>VILLECLOYE</t>
  </si>
  <si>
    <t>HERICOURT</t>
  </si>
  <si>
    <t>ARABAUX</t>
  </si>
  <si>
    <t>LE HINGLE</t>
  </si>
  <si>
    <t>BRENNILIS</t>
  </si>
  <si>
    <t>PAULHAC</t>
  </si>
  <si>
    <t>SAINT-PE-SAINT-SIMON</t>
  </si>
  <si>
    <t>95570</t>
  </si>
  <si>
    <t>VILLAINES-SOUS-BOIS</t>
  </si>
  <si>
    <t>31190</t>
  </si>
  <si>
    <t>MONCHY-SUR-EU</t>
  </si>
  <si>
    <t>SANDRANS</t>
  </si>
  <si>
    <t>53340</t>
  </si>
  <si>
    <t>BANNES</t>
  </si>
  <si>
    <t>SAINT-PREJET-D'ALLIER</t>
  </si>
  <si>
    <t>LES CROUTES</t>
  </si>
  <si>
    <t>SOMMERVIEU</t>
  </si>
  <si>
    <t>NAVEIL</t>
  </si>
  <si>
    <t>SALLES-ARBUISSONNAS-EN-BEAUJOLAIS</t>
  </si>
  <si>
    <t>CORNANT</t>
  </si>
  <si>
    <t>GRIVILLERS</t>
  </si>
  <si>
    <t>TAURINYA</t>
  </si>
  <si>
    <t>ECQUEDECQUES</t>
  </si>
  <si>
    <t>41260</t>
  </si>
  <si>
    <t>LA CHAUSSEE-SAINT-VICTOR</t>
  </si>
  <si>
    <t>MONCORNEIL-GRAZAN</t>
  </si>
  <si>
    <t>SEREMPUY</t>
  </si>
  <si>
    <t>SAUVIAC</t>
  </si>
  <si>
    <t>30610</t>
  </si>
  <si>
    <t>LOGRIAN-FLORIAN</t>
  </si>
  <si>
    <t>SAINT-BEAUZIRE</t>
  </si>
  <si>
    <t>VAL-SUZON</t>
  </si>
  <si>
    <t>MONCHAUX-SORENG</t>
  </si>
  <si>
    <t>SAINT-CLAR-DE-RIVIERE</t>
  </si>
  <si>
    <t>FROMELENNES</t>
  </si>
  <si>
    <t>BELMONT-SAINTE-FOI</t>
  </si>
  <si>
    <t>BOURLON</t>
  </si>
  <si>
    <t>BEZU-SAINT-GERMAIN</t>
  </si>
  <si>
    <t>DOIGNIES</t>
  </si>
  <si>
    <t>CHEVRESIS-MONCEAU</t>
  </si>
  <si>
    <t>CULEY-LE-PATRY</t>
  </si>
  <si>
    <t>BORDEZAC</t>
  </si>
  <si>
    <t>SAINT-LAURENT-LOLMIE</t>
  </si>
  <si>
    <t>14830</t>
  </si>
  <si>
    <t>LANGRUNE-SUR-MER</t>
  </si>
  <si>
    <t>LE BROUILH-MONBERT</t>
  </si>
  <si>
    <t>LA BRUYERE</t>
  </si>
  <si>
    <t>MAILLEY-ET-CHAZELOT</t>
  </si>
  <si>
    <t>VENETTE</t>
  </si>
  <si>
    <t>VIVEN</t>
  </si>
  <si>
    <t>SAINT-IGNAN</t>
  </si>
  <si>
    <t>BELGENTIER</t>
  </si>
  <si>
    <t>JULLIE</t>
  </si>
  <si>
    <t>VILLETELLE</t>
  </si>
  <si>
    <t>63115</t>
  </si>
  <si>
    <t>MEZEL</t>
  </si>
  <si>
    <t>MARCORIGNAN</t>
  </si>
  <si>
    <t>OFFIN</t>
  </si>
  <si>
    <t>2B231</t>
  </si>
  <si>
    <t>PIGNA</t>
  </si>
  <si>
    <t>MACOUBA</t>
  </si>
  <si>
    <t>CUNAC</t>
  </si>
  <si>
    <t>ENGENTE</t>
  </si>
  <si>
    <t>PINEL-HAUTERIVE</t>
  </si>
  <si>
    <t>54960</t>
  </si>
  <si>
    <t>MERCY-LE-BAS</t>
  </si>
  <si>
    <t>LA TAILLEE</t>
  </si>
  <si>
    <t>LES FESSEY</t>
  </si>
  <si>
    <t>29950</t>
  </si>
  <si>
    <t>BENODET</t>
  </si>
  <si>
    <t>CLESLES</t>
  </si>
  <si>
    <t>MUREAUMONT</t>
  </si>
  <si>
    <t>MILLERY</t>
  </si>
  <si>
    <t>EBATY</t>
  </si>
  <si>
    <t>MONTCORNET</t>
  </si>
  <si>
    <t>40160</t>
  </si>
  <si>
    <t>YCHOUX</t>
  </si>
  <si>
    <t>NOVALAISE</t>
  </si>
  <si>
    <t>FRESNEVILLE</t>
  </si>
  <si>
    <t>62540</t>
  </si>
  <si>
    <t>LOZINGHEM</t>
  </si>
  <si>
    <t>33780</t>
  </si>
  <si>
    <t>SOULAC-SUR-MER</t>
  </si>
  <si>
    <t>42300</t>
  </si>
  <si>
    <t>ROANNE</t>
  </si>
  <si>
    <t>CHEVREUSE</t>
  </si>
  <si>
    <t>73420</t>
  </si>
  <si>
    <t>DRUMETTAZ-CLARAFOND</t>
  </si>
  <si>
    <t>MONTSURS</t>
  </si>
  <si>
    <t>LANCON</t>
  </si>
  <si>
    <t>THOISSEY</t>
  </si>
  <si>
    <t>MENGLON</t>
  </si>
  <si>
    <t>BROSSES</t>
  </si>
  <si>
    <t>PONCEY-LES-ATHEE</t>
  </si>
  <si>
    <t>LE PIN-EN-MAUGES</t>
  </si>
  <si>
    <t>SAINTE-VERGE</t>
  </si>
  <si>
    <t>MONCEAU-LE-NEUF-ET-FAUCOUZY</t>
  </si>
  <si>
    <t>AGEL</t>
  </si>
  <si>
    <t>41360</t>
  </si>
  <si>
    <t>EPUISAY</t>
  </si>
  <si>
    <t>42360</t>
  </si>
  <si>
    <t>PANISSIERES</t>
  </si>
  <si>
    <t>LES IFFS</t>
  </si>
  <si>
    <t>CHASSENON</t>
  </si>
  <si>
    <t>SAINT-MAURICE-SUR-DARGOIRE</t>
  </si>
  <si>
    <t>GIVORS</t>
  </si>
  <si>
    <t>LEVIGNEN</t>
  </si>
  <si>
    <t>AZAY-LE-RIDEAU</t>
  </si>
  <si>
    <t>LA TOMBE</t>
  </si>
  <si>
    <t>LOUCE</t>
  </si>
  <si>
    <t>27890</t>
  </si>
  <si>
    <t>LA NEUVILLE-DU-BOSC</t>
  </si>
  <si>
    <t>THANN</t>
  </si>
  <si>
    <t>FRAUSSEILLES</t>
  </si>
  <si>
    <t>NOINTEL</t>
  </si>
  <si>
    <t>MONTIGNY-AUX-AMOGNES</t>
  </si>
  <si>
    <t>OUVILLE-LA-BIEN-TOURNEE</t>
  </si>
  <si>
    <t>72530</t>
  </si>
  <si>
    <t>YVRE-L'EVEQUE</t>
  </si>
  <si>
    <t>34650</t>
  </si>
  <si>
    <t>ROQUEREDONDE</t>
  </si>
  <si>
    <t>SAINT-LOUP-NANTOUARD</t>
  </si>
  <si>
    <t>QUISSAC</t>
  </si>
  <si>
    <t>GOHORY</t>
  </si>
  <si>
    <t>CRITOT</t>
  </si>
  <si>
    <t>AMAYE-SUR-ORNE</t>
  </si>
  <si>
    <t>ARRIEN-EN-BETHMALE</t>
  </si>
  <si>
    <t>LA FREDIERE</t>
  </si>
  <si>
    <t>MONTIGNY-LES-JONGLEURS</t>
  </si>
  <si>
    <t>NIVILLERS</t>
  </si>
  <si>
    <t>HAMES-BOUCRES</t>
  </si>
  <si>
    <t>ASSAT</t>
  </si>
  <si>
    <t>CONDE-SUR-AISNE</t>
  </si>
  <si>
    <t>LA BARRE-EN-OUCHE</t>
  </si>
  <si>
    <t>NOTRE-DAME-DE-RIEZ</t>
  </si>
  <si>
    <t>17310</t>
  </si>
  <si>
    <t>SAINT-PIERRE-D'OLERON</t>
  </si>
  <si>
    <t>RENEDALE</t>
  </si>
  <si>
    <t>18410</t>
  </si>
  <si>
    <t>ARGENT-SUR-SAULDRE</t>
  </si>
  <si>
    <t>LA CHAPELLE-D'AUREC</t>
  </si>
  <si>
    <t>LE PLESSIS-PATTE-D'OIE</t>
  </si>
  <si>
    <t>GOULLES</t>
  </si>
  <si>
    <t>PERS-JUSSY</t>
  </si>
  <si>
    <t>ROISEL</t>
  </si>
  <si>
    <t>19110</t>
  </si>
  <si>
    <t>SARROUX</t>
  </si>
  <si>
    <t>MONGET</t>
  </si>
  <si>
    <t>VAILLANT</t>
  </si>
  <si>
    <t>RANS</t>
  </si>
  <si>
    <t>LAYRAC-SUR-TARN</t>
  </si>
  <si>
    <t>LA BENATE</t>
  </si>
  <si>
    <t>TOURGEVILLE</t>
  </si>
  <si>
    <t>CIVRAC-EN-MEDOC</t>
  </si>
  <si>
    <t>77134</t>
  </si>
  <si>
    <t>LES ORMES-SUR-VOULZIE</t>
  </si>
  <si>
    <t>BRIE-SOUS-MATHA</t>
  </si>
  <si>
    <t>ALGANS</t>
  </si>
  <si>
    <t>LE TRIADOU</t>
  </si>
  <si>
    <t>RELANS</t>
  </si>
  <si>
    <t>AMBILLY</t>
  </si>
  <si>
    <t>CHARENTAY</t>
  </si>
  <si>
    <t>MAROLLES-LES-SAINT-CALAIS</t>
  </si>
  <si>
    <t>6740</t>
  </si>
  <si>
    <t>CHATEAUNEUF-GRASSE</t>
  </si>
  <si>
    <t>GROSPIERRES</t>
  </si>
  <si>
    <t>VALBOIS</t>
  </si>
  <si>
    <t>ANGLESQUEVILLE-L'ESNEVAL</t>
  </si>
  <si>
    <t>MONTHOIRON</t>
  </si>
  <si>
    <t>LE PAVILLON-SAINTE-JULIE</t>
  </si>
  <si>
    <t>SANTRANGES</t>
  </si>
  <si>
    <t>BROCHON</t>
  </si>
  <si>
    <t>COSNE-D'ALLIER</t>
  </si>
  <si>
    <t>SAASENHEIM</t>
  </si>
  <si>
    <t>SAINT-ANDRE-LE-PUY</t>
  </si>
  <si>
    <t>MAZIERES-SUR-BERONNE</t>
  </si>
  <si>
    <t>SAULTY</t>
  </si>
  <si>
    <t>BERCHERES-SAINT-GERMAIN</t>
  </si>
  <si>
    <t>MOREAC</t>
  </si>
  <si>
    <t>BOUZILLE</t>
  </si>
  <si>
    <t>PANJAS</t>
  </si>
  <si>
    <t>VADONVILLE</t>
  </si>
  <si>
    <t>ASSENAY</t>
  </si>
  <si>
    <t>SENGOUAGNET</t>
  </si>
  <si>
    <t>RIOCAUD</t>
  </si>
  <si>
    <t>PLUMELIN</t>
  </si>
  <si>
    <t>LA GUICHE</t>
  </si>
  <si>
    <t>SECOURT</t>
  </si>
  <si>
    <t>CURAC</t>
  </si>
  <si>
    <t>HEUQUEVILLE</t>
  </si>
  <si>
    <t>CHALINDREY</t>
  </si>
  <si>
    <t>DOMMARTIN-LES-CUISEAUX</t>
  </si>
  <si>
    <t>SAINT-SULPICE-SUR-RISLE</t>
  </si>
  <si>
    <t>LE GLAIZIL</t>
  </si>
  <si>
    <t>CUMIERES</t>
  </si>
  <si>
    <t>MUNSTER</t>
  </si>
  <si>
    <t>GRAND'COMBE-DES-BOIS</t>
  </si>
  <si>
    <t>MARCHAIS-EN-BRIE</t>
  </si>
  <si>
    <t>SAINT-JORIOZ</t>
  </si>
  <si>
    <t>CAMON</t>
  </si>
  <si>
    <t>90370</t>
  </si>
  <si>
    <t>RECHESY</t>
  </si>
  <si>
    <t>LA LANDE-SAINT-LEGER</t>
  </si>
  <si>
    <t>PISSY</t>
  </si>
  <si>
    <t>LYS</t>
  </si>
  <si>
    <t>CROISSANVILLE</t>
  </si>
  <si>
    <t>63620</t>
  </si>
  <si>
    <t>43440</t>
  </si>
  <si>
    <t>SAINT-VERT</t>
  </si>
  <si>
    <t>12320</t>
  </si>
  <si>
    <t>SAINT-CYPRIEN-SUR-DOURDOU</t>
  </si>
  <si>
    <t>78190</t>
  </si>
  <si>
    <t>TRAPPES</t>
  </si>
  <si>
    <t>BLET</t>
  </si>
  <si>
    <t>40150</t>
  </si>
  <si>
    <t>ANGRESSE</t>
  </si>
  <si>
    <t>MERCEY-LE-GRAND</t>
  </si>
  <si>
    <t>27550</t>
  </si>
  <si>
    <t>NASSANDRES</t>
  </si>
  <si>
    <t>ESVRES</t>
  </si>
  <si>
    <t>FELLETIN</t>
  </si>
  <si>
    <t>69580</t>
  </si>
  <si>
    <t>SATHONAY-VILLAGE</t>
  </si>
  <si>
    <t>56160</t>
  </si>
  <si>
    <t>LOCMALO</t>
  </si>
  <si>
    <t>POISY</t>
  </si>
  <si>
    <t>ECROUVES</t>
  </si>
  <si>
    <t>USSEAU</t>
  </si>
  <si>
    <t>54980</t>
  </si>
  <si>
    <t>LABASTIDE-MONREJEAU</t>
  </si>
  <si>
    <t>MARVILLE-MOUTIERS-BRULE</t>
  </si>
  <si>
    <t>BOURRE</t>
  </si>
  <si>
    <t>COUY</t>
  </si>
  <si>
    <t>CHAZEY-BONS</t>
  </si>
  <si>
    <t>ARANDON</t>
  </si>
  <si>
    <t>ADE</t>
  </si>
  <si>
    <t>74230</t>
  </si>
  <si>
    <t>THONES</t>
  </si>
  <si>
    <t>LACEPEDE</t>
  </si>
  <si>
    <t>PUISSEGUIN</t>
  </si>
  <si>
    <t>35500</t>
  </si>
  <si>
    <t>SAINT-AUBIN-DES-LANDES</t>
  </si>
  <si>
    <t>57245</t>
  </si>
  <si>
    <t>MECLEUVES</t>
  </si>
  <si>
    <t>LE MESNILLARD</t>
  </si>
  <si>
    <t>2B344</t>
  </si>
  <si>
    <t>VERDESE</t>
  </si>
  <si>
    <t>RANSPACH-LE-HAUT</t>
  </si>
  <si>
    <t>LANDAS</t>
  </si>
  <si>
    <t>LAURESSES</t>
  </si>
  <si>
    <t>SAINT-CRESPIN</t>
  </si>
  <si>
    <t>ESQUERDES</t>
  </si>
  <si>
    <t>LIGNY-EN-BRIONNAIS</t>
  </si>
  <si>
    <t>BIOULE</t>
  </si>
  <si>
    <t>ILLY</t>
  </si>
  <si>
    <t>ASNAN</t>
  </si>
  <si>
    <t>LAVERRIERE</t>
  </si>
  <si>
    <t>LES VERCHERS-SUR-LAYON</t>
  </si>
  <si>
    <t>AVIERNOZ</t>
  </si>
  <si>
    <t>ELVEN</t>
  </si>
  <si>
    <t>SALLENOVES</t>
  </si>
  <si>
    <t>WARMERIVILLE</t>
  </si>
  <si>
    <t>PONDAURAT</t>
  </si>
  <si>
    <t>DONZY-LE-NATIONAL</t>
  </si>
  <si>
    <t>BEHENCOURT</t>
  </si>
  <si>
    <t>LA LONGEVILLE</t>
  </si>
  <si>
    <t>VILLENEUVE-LES-CORBIERES</t>
  </si>
  <si>
    <t>THIEULOY-SAINT-ANTOINE</t>
  </si>
  <si>
    <t>LAVANS-SUR-VALOUSE</t>
  </si>
  <si>
    <t>SEPT-VENTS</t>
  </si>
  <si>
    <t>NOVILLARS</t>
  </si>
  <si>
    <t>BRUGES-CAPBIS-MIFAGET</t>
  </si>
  <si>
    <t>ARMIX</t>
  </si>
  <si>
    <t>CUPERLY</t>
  </si>
  <si>
    <t>62132</t>
  </si>
  <si>
    <t>HERMELINGHEN</t>
  </si>
  <si>
    <t>LE GUEDENIAU</t>
  </si>
  <si>
    <t>MONTOISON</t>
  </si>
  <si>
    <t>59158</t>
  </si>
  <si>
    <t>FLINES-LES-MORTAGNE</t>
  </si>
  <si>
    <t>MUNWILLER</t>
  </si>
  <si>
    <t>MIGNOVILLARD</t>
  </si>
  <si>
    <t>AURIBAIL</t>
  </si>
  <si>
    <t>BRETIGNY</t>
  </si>
  <si>
    <t>DEUX-JUMEAUX</t>
  </si>
  <si>
    <t>COUESMES</t>
  </si>
  <si>
    <t>MEVOISINS</t>
  </si>
  <si>
    <t>MONTMELIAN</t>
  </si>
  <si>
    <t>PARGUES</t>
  </si>
  <si>
    <t>21850</t>
  </si>
  <si>
    <t>SAINT-APOLLINAIRE</t>
  </si>
  <si>
    <t>78670</t>
  </si>
  <si>
    <t>MEDAN</t>
  </si>
  <si>
    <t>LAVAUDIEU</t>
  </si>
  <si>
    <t>LOZON</t>
  </si>
  <si>
    <t>FONTAINE-BONNELEAU</t>
  </si>
  <si>
    <t>73320</t>
  </si>
  <si>
    <t>TIGNES</t>
  </si>
  <si>
    <t>LANGERON</t>
  </si>
  <si>
    <t>SAINT-FLORENTIN</t>
  </si>
  <si>
    <t>SAINT-MARTIN-SUR-LAVEZON</t>
  </si>
  <si>
    <t>LOROMONTZEY</t>
  </si>
  <si>
    <t>LEBIEZ</t>
  </si>
  <si>
    <t>SARIAC-MAGNOAC</t>
  </si>
  <si>
    <t>CHATEAUNEUF-SUR-ISERE</t>
  </si>
  <si>
    <t>QUEVERT</t>
  </si>
  <si>
    <t>20620</t>
  </si>
  <si>
    <t>2B037</t>
  </si>
  <si>
    <t>BIGUGLIA</t>
  </si>
  <si>
    <t>SAINT-SERNIN-DU-PLAIN</t>
  </si>
  <si>
    <t>COUPTRAIN</t>
  </si>
  <si>
    <t>LESQUERDE</t>
  </si>
  <si>
    <t>CORBREUSE</t>
  </si>
  <si>
    <t>INGHEM</t>
  </si>
  <si>
    <t>VERONNES</t>
  </si>
  <si>
    <t>14670</t>
  </si>
  <si>
    <t>SAINT-OUEN-DU-MESNIL-OGER</t>
  </si>
  <si>
    <t>SAINT-MARCOUF</t>
  </si>
  <si>
    <t>BRIMEUX</t>
  </si>
  <si>
    <t>AUCHONVILLERS</t>
  </si>
  <si>
    <t>MARLIAC</t>
  </si>
  <si>
    <t>MANDREVILLARS</t>
  </si>
  <si>
    <t>AUXI-LE-CHATEAU</t>
  </si>
  <si>
    <t>AILLAS</t>
  </si>
  <si>
    <t>57190</t>
  </si>
  <si>
    <t>FLORANGE</t>
  </si>
  <si>
    <t>CHAUDARDES</t>
  </si>
  <si>
    <t>SEPEAUX</t>
  </si>
  <si>
    <t>MEILLERS</t>
  </si>
  <si>
    <t>SAINT-ETIENNE-DES-OULLIERES</t>
  </si>
  <si>
    <t>91510</t>
  </si>
  <si>
    <t>LARDY</t>
  </si>
  <si>
    <t>FONTENAY-SUR-EURE</t>
  </si>
  <si>
    <t>TAPONNAT-FLEURIGNAC</t>
  </si>
  <si>
    <t>SAINT-VALBERT</t>
  </si>
  <si>
    <t>BOHAL</t>
  </si>
  <si>
    <t>SAINT-ROME</t>
  </si>
  <si>
    <t>MORVILLE-LES-VIC</t>
  </si>
  <si>
    <t>DONNEMAIN-SAINT-MAMES</t>
  </si>
  <si>
    <t>DORLISHEIM</t>
  </si>
  <si>
    <t>33150</t>
  </si>
  <si>
    <t>CENON</t>
  </si>
  <si>
    <t>JALONS</t>
  </si>
  <si>
    <t>GONDENANS-LES-MOULINS</t>
  </si>
  <si>
    <t>83720</t>
  </si>
  <si>
    <t>TRANS-EN-PROVENCE</t>
  </si>
  <si>
    <t>MIRE</t>
  </si>
  <si>
    <t>30100</t>
  </si>
  <si>
    <t>ALES</t>
  </si>
  <si>
    <t>SOUBISE</t>
  </si>
  <si>
    <t>BLACQUEVILLE</t>
  </si>
  <si>
    <t>BROQUIERS</t>
  </si>
  <si>
    <t>GARDONNE</t>
  </si>
  <si>
    <t>TAVEY</t>
  </si>
  <si>
    <t>SAINT-VITE</t>
  </si>
  <si>
    <t>BOUST</t>
  </si>
  <si>
    <t>DOSSENHEIM-SUR-ZINSEL</t>
  </si>
  <si>
    <t>20117</t>
  </si>
  <si>
    <t>2A104</t>
  </si>
  <si>
    <t>ECCICA-SUARELLA</t>
  </si>
  <si>
    <t>SABLONCEAUX</t>
  </si>
  <si>
    <t>SAINT-LEOMER</t>
  </si>
  <si>
    <t>SARRANCE</t>
  </si>
  <si>
    <t>SAINT-VULBAS</t>
  </si>
  <si>
    <t>MARIGNY-CHEMEREAU</t>
  </si>
  <si>
    <t>ACQUEVILLE</t>
  </si>
  <si>
    <t>CAZERES-SUR-L'ADOUR</t>
  </si>
  <si>
    <t>BRESILLEY</t>
  </si>
  <si>
    <t>VERDILLY</t>
  </si>
  <si>
    <t>FLEURY-LA-RIVIERE</t>
  </si>
  <si>
    <t>LEHON</t>
  </si>
  <si>
    <t>BEDUER</t>
  </si>
  <si>
    <t>SAINTE-AGATHE-LA-BOUTERESSE</t>
  </si>
  <si>
    <t>ATTAINVILLE</t>
  </si>
  <si>
    <t>BOURNAZEL</t>
  </si>
  <si>
    <t>VILLENEUVE-SAINT-NICOLAS</t>
  </si>
  <si>
    <t>VILLECHIEN</t>
  </si>
  <si>
    <t>EPIEZ-SUR-MEUSE</t>
  </si>
  <si>
    <t>GOULT</t>
  </si>
  <si>
    <t>7290</t>
  </si>
  <si>
    <t>LASSERRE-DE-PROUILLE</t>
  </si>
  <si>
    <t>RIGNY-LA-SALLE</t>
  </si>
  <si>
    <t>91480</t>
  </si>
  <si>
    <t>VARENNES-JARCY</t>
  </si>
  <si>
    <t>CHAUDEFONDS-SUR-LAYON</t>
  </si>
  <si>
    <t>69500</t>
  </si>
  <si>
    <t>BRON</t>
  </si>
  <si>
    <t>HABARCQ</t>
  </si>
  <si>
    <t>VILLERS-SOUS-CHATILLON</t>
  </si>
  <si>
    <t>ESCANDOLIERES</t>
  </si>
  <si>
    <t>SAINT-VERAIN</t>
  </si>
  <si>
    <t>GRANDVILLIERS</t>
  </si>
  <si>
    <t>SEICHEBRIERES</t>
  </si>
  <si>
    <t>GLUX-EN-GLENNE</t>
  </si>
  <si>
    <t>PLANCHERINE</t>
  </si>
  <si>
    <t>65510</t>
  </si>
  <si>
    <t>LOUDENVIELLE</t>
  </si>
  <si>
    <t>NOGARET</t>
  </si>
  <si>
    <t>MONT-SOUS-VAUDREY</t>
  </si>
  <si>
    <t>SOTTEVILLE-SOUS-LE-VAL</t>
  </si>
  <si>
    <t>COSSAYE</t>
  </si>
  <si>
    <t>34320</t>
  </si>
  <si>
    <t>MARGON</t>
  </si>
  <si>
    <t>DOMEZAIN-BERRAUTE</t>
  </si>
  <si>
    <t>ANDIRAN</t>
  </si>
  <si>
    <t>WANDIGNIES-HAMAGE</t>
  </si>
  <si>
    <t>GOURBIT</t>
  </si>
  <si>
    <t>DINGSHEIM</t>
  </si>
  <si>
    <t>ROSIERES</t>
  </si>
  <si>
    <t>CREMIEU</t>
  </si>
  <si>
    <t>JOINVILLE</t>
  </si>
  <si>
    <t>PONT-LA-VILLE</t>
  </si>
  <si>
    <t>GONFREVILLE</t>
  </si>
  <si>
    <t>COURBEVEILLE</t>
  </si>
  <si>
    <t>85680</t>
  </si>
  <si>
    <t>LA GUERINIERE</t>
  </si>
  <si>
    <t>CHATEL-CENSOIR</t>
  </si>
  <si>
    <t>BOUT-DU-PONT-DE-LARN</t>
  </si>
  <si>
    <t>LES LANDES-GENUSSON</t>
  </si>
  <si>
    <t>VOLSTROFF</t>
  </si>
  <si>
    <t>PRADES</t>
  </si>
  <si>
    <t>FONGRAVE</t>
  </si>
  <si>
    <t>FRETTECUISSE</t>
  </si>
  <si>
    <t>AUFFARGIS</t>
  </si>
  <si>
    <t>29180</t>
  </si>
  <si>
    <t>GUENGAT</t>
  </si>
  <si>
    <t>ROQUEFORT-SUR-GARONNE</t>
  </si>
  <si>
    <t>SAINT-SULPICE-DES-RIVOIRES</t>
  </si>
  <si>
    <t>SAINT-JUST-SAINT-RAMBERT</t>
  </si>
  <si>
    <t>VALDROME</t>
  </si>
  <si>
    <t>LAMBREY</t>
  </si>
  <si>
    <t>GRIMESNIL</t>
  </si>
  <si>
    <t>59178</t>
  </si>
  <si>
    <t>BRILLON</t>
  </si>
  <si>
    <t>CHARBOGNE</t>
  </si>
  <si>
    <t>SIARROUY</t>
  </si>
  <si>
    <t>CARTIGNIES</t>
  </si>
  <si>
    <t>LANNEPAX</t>
  </si>
  <si>
    <t>NEUFMOUTIERS-EN-BRIE</t>
  </si>
  <si>
    <t>ESSE</t>
  </si>
  <si>
    <t>BLANZAGUET-SAINT-CYBARD</t>
  </si>
  <si>
    <t>BRALLEVILLE</t>
  </si>
  <si>
    <t>SAINTE-AGNES</t>
  </si>
  <si>
    <t>VARENNES-SUR-LOIRE</t>
  </si>
  <si>
    <t>20260</t>
  </si>
  <si>
    <t>2B050</t>
  </si>
  <si>
    <t>CALVI</t>
  </si>
  <si>
    <t>SAINT-DIDIER-SOUS-ECOUVES</t>
  </si>
  <si>
    <t>ARTONGES</t>
  </si>
  <si>
    <t>LANDIVISIAU</t>
  </si>
  <si>
    <t>CERNION</t>
  </si>
  <si>
    <t>80480</t>
  </si>
  <si>
    <t>BACOUEL-SUR-SELLE</t>
  </si>
  <si>
    <t>RELY</t>
  </si>
  <si>
    <t>SAINT-QUENTIN-LA-POTERIE</t>
  </si>
  <si>
    <t>MONTIGNY-LENCOUP</t>
  </si>
  <si>
    <t>ESCOUBES-POUTS</t>
  </si>
  <si>
    <t>SEMPIGNY</t>
  </si>
  <si>
    <t>69760</t>
  </si>
  <si>
    <t>LIMONEST</t>
  </si>
  <si>
    <t>PLANCHES</t>
  </si>
  <si>
    <t>12600</t>
  </si>
  <si>
    <t>THERONDELS</t>
  </si>
  <si>
    <t>LAPENCHE</t>
  </si>
  <si>
    <t>AUSSILLON</t>
  </si>
  <si>
    <t>COHINIAC</t>
  </si>
  <si>
    <t>57385</t>
  </si>
  <si>
    <t>TRITTELING-REDLACH</t>
  </si>
  <si>
    <t>DAMPIERRE-SOUS-BROU</t>
  </si>
  <si>
    <t>LA TURBALLE</t>
  </si>
  <si>
    <t>HUISNES-SUR-MER</t>
  </si>
  <si>
    <t>STOSSWIHR</t>
  </si>
  <si>
    <t>62199</t>
  </si>
  <si>
    <t>GOSNAY</t>
  </si>
  <si>
    <t>DOMPIERRE-SUR-NIEVRE</t>
  </si>
  <si>
    <t>LE JARDIN</t>
  </si>
  <si>
    <t>CLAIRVAUX-LES-LACS</t>
  </si>
  <si>
    <t>LAIRIERE</t>
  </si>
  <si>
    <t>COUFFY</t>
  </si>
  <si>
    <t>MERVILLE</t>
  </si>
  <si>
    <t>SERVAS</t>
  </si>
  <si>
    <t>SAINT-MAYEUX</t>
  </si>
  <si>
    <t>HERBEYS</t>
  </si>
  <si>
    <t>LABEUVRIERE</t>
  </si>
  <si>
    <t>THIBERVILLE</t>
  </si>
  <si>
    <t>FOLLEVILLE</t>
  </si>
  <si>
    <t>FOURNOLS</t>
  </si>
  <si>
    <t>LOUPIAN</t>
  </si>
  <si>
    <t>LES PERQUES</t>
  </si>
  <si>
    <t>76570</t>
  </si>
  <si>
    <t>SAINTE-AUSTREBERTHE</t>
  </si>
  <si>
    <t>97270</t>
  </si>
  <si>
    <t>SAINT-ESPRIT</t>
  </si>
  <si>
    <t>TASSE</t>
  </si>
  <si>
    <t>APREMONT-LA-FORET</t>
  </si>
  <si>
    <t>AILLON-LE-VIEUX</t>
  </si>
  <si>
    <t>SAINT-MICHEL-DE-DOUBLE</t>
  </si>
  <si>
    <t>38110</t>
  </si>
  <si>
    <t>CESSIEU</t>
  </si>
  <si>
    <t>CASTELNAUD-LA-CHAPELLE</t>
  </si>
  <si>
    <t>WAGNON</t>
  </si>
  <si>
    <t>BROMEILLES</t>
  </si>
  <si>
    <t>SAINT-GERMAIN-DU-PINEL</t>
  </si>
  <si>
    <t>PEZILLA-DE-CONFLENT</t>
  </si>
  <si>
    <t>FLECHY</t>
  </si>
  <si>
    <t>6850</t>
  </si>
  <si>
    <t>BRIANCONNET</t>
  </si>
  <si>
    <t>VILLERS-HELON</t>
  </si>
  <si>
    <t>SAINTE-GEMME-EN-SANCERROIS</t>
  </si>
  <si>
    <t>SERE-LANSO</t>
  </si>
  <si>
    <t>BRANNENS</t>
  </si>
  <si>
    <t>25800</t>
  </si>
  <si>
    <t>ETRAY</t>
  </si>
  <si>
    <t>2760</t>
  </si>
  <si>
    <t>HOLNON</t>
  </si>
  <si>
    <t>58640</t>
  </si>
  <si>
    <t>VARENNES-VAUZELLES</t>
  </si>
  <si>
    <t>LACS</t>
  </si>
  <si>
    <t>CORBEL</t>
  </si>
  <si>
    <t>MARIAC</t>
  </si>
  <si>
    <t>VILLERBON</t>
  </si>
  <si>
    <t>LES CLUSES</t>
  </si>
  <si>
    <t>CESSIERES</t>
  </si>
  <si>
    <t>VEROSVRES</t>
  </si>
  <si>
    <t>CERISIERES</t>
  </si>
  <si>
    <t>OREGUE</t>
  </si>
  <si>
    <t>BERVILLE-EN-ROUMOIS</t>
  </si>
  <si>
    <t>JUVIGNY-LE-TERTRE</t>
  </si>
  <si>
    <t>MEURSAULT</t>
  </si>
  <si>
    <t>LUGRIN</t>
  </si>
  <si>
    <t>GEDRE</t>
  </si>
  <si>
    <t>ENS</t>
  </si>
  <si>
    <t>SPYCKER</t>
  </si>
  <si>
    <t>LANNEMAIGNAN</t>
  </si>
  <si>
    <t>MEILHAN-SUR-GARONNE</t>
  </si>
  <si>
    <t>LE VRETOT</t>
  </si>
  <si>
    <t>BAALON</t>
  </si>
  <si>
    <t>MARSON-SUR-BARBOURE</t>
  </si>
  <si>
    <t>OYSONVILLE</t>
  </si>
  <si>
    <t>ISSENDOLUS</t>
  </si>
  <si>
    <t>73360</t>
  </si>
  <si>
    <t>SAINT-FRANC</t>
  </si>
  <si>
    <t>HAGEDET</t>
  </si>
  <si>
    <t>VERSEILLES-LE-BAS</t>
  </si>
  <si>
    <t>94700</t>
  </si>
  <si>
    <t>MAISONS-ALFORT</t>
  </si>
  <si>
    <t>LANDEMONT</t>
  </si>
  <si>
    <t>BONO</t>
  </si>
  <si>
    <t>5380</t>
  </si>
  <si>
    <t>CHATEAUROUX-LES-ALPES</t>
  </si>
  <si>
    <t>22870</t>
  </si>
  <si>
    <t>ILE-DE-BREHAT</t>
  </si>
  <si>
    <t>SAINT-GERMAIN-LE-VIEUX</t>
  </si>
  <si>
    <t>HERRE</t>
  </si>
  <si>
    <t>MOULIETS-ET-VILLEMARTIN</t>
  </si>
  <si>
    <t>TORCY-ET-POULIGNY</t>
  </si>
  <si>
    <t>SAINTE-HELENE</t>
  </si>
  <si>
    <t>COMBRAILLES</t>
  </si>
  <si>
    <t>HAUSSIGNEMONT</t>
  </si>
  <si>
    <t>LIGNAN-DE-BAZAS</t>
  </si>
  <si>
    <t>OULINS</t>
  </si>
  <si>
    <t>MAXEY-SUR-VAISE</t>
  </si>
  <si>
    <t>PARNAC</t>
  </si>
  <si>
    <t>MIRAMONT-DE-QUERCY</t>
  </si>
  <si>
    <t>PUYBARBAN</t>
  </si>
  <si>
    <t>BELVEZET</t>
  </si>
  <si>
    <t>VALENCOGNE</t>
  </si>
  <si>
    <t>ECURY-SUR-COOLE</t>
  </si>
  <si>
    <t>MONTMIRAIL</t>
  </si>
  <si>
    <t>LA GRAVERIE</t>
  </si>
  <si>
    <t>TOUILLE</t>
  </si>
  <si>
    <t>LAVAURETTE</t>
  </si>
  <si>
    <t>PERNES</t>
  </si>
  <si>
    <t>BEAUCHE</t>
  </si>
  <si>
    <t>AUROUER</t>
  </si>
  <si>
    <t>43240</t>
  </si>
  <si>
    <t>SAINT-JUST-MALMONT</t>
  </si>
  <si>
    <t>CHAPOIS</t>
  </si>
  <si>
    <t>BEUZEVILLE-LA-GRENIER</t>
  </si>
  <si>
    <t>DOMEVRE-EN-HAYE</t>
  </si>
  <si>
    <t>GURS</t>
  </si>
  <si>
    <t>GIRAUMONT</t>
  </si>
  <si>
    <t>27310</t>
  </si>
  <si>
    <t>HONGUEMARE-GUENOUVILLE</t>
  </si>
  <si>
    <t>67800</t>
  </si>
  <si>
    <t>BISCHHEIM</t>
  </si>
  <si>
    <t>ASTUGUE</t>
  </si>
  <si>
    <t>SAINT-VINCENT-DU-LOROUER</t>
  </si>
  <si>
    <t>87700</t>
  </si>
  <si>
    <t>SAINT-PRIEST-SOUS-AIXE</t>
  </si>
  <si>
    <t>CAPDENAC-GARE</t>
  </si>
  <si>
    <t>RIMAUCOURT</t>
  </si>
  <si>
    <t>ALAIGNE</t>
  </si>
  <si>
    <t>FLEY</t>
  </si>
  <si>
    <t>MEYENHEIM</t>
  </si>
  <si>
    <t>4500</t>
  </si>
  <si>
    <t>SAINTE-CROIX-DU-VERDON</t>
  </si>
  <si>
    <t>SAINT-CHAMARAND</t>
  </si>
  <si>
    <t>SAINS-RICHAUMONT</t>
  </si>
  <si>
    <t>REMONCOURT</t>
  </si>
  <si>
    <t>TARTONNE</t>
  </si>
  <si>
    <t>L'ARBRESLE</t>
  </si>
  <si>
    <t>LA HAYE-D'ECTOT</t>
  </si>
  <si>
    <t>CHATEAU-SUR-CHER</t>
  </si>
  <si>
    <t>FRETOY-LE-CHATEAU</t>
  </si>
  <si>
    <t>TOURETTE-DU-CHATEAU</t>
  </si>
  <si>
    <t>LA CHAPELLE-MONTLINARD</t>
  </si>
  <si>
    <t>SAINT-ANDRE-LES-ALPES</t>
  </si>
  <si>
    <t>SAINT-SORNIN-LA-MARCHE</t>
  </si>
  <si>
    <t>VILLAZ</t>
  </si>
  <si>
    <t>SAINT-LEONARD</t>
  </si>
  <si>
    <t>LINAZAY</t>
  </si>
  <si>
    <t>PELTRE</t>
  </si>
  <si>
    <t>SAINT-MEARD-DE-GURCON</t>
  </si>
  <si>
    <t>COMPS</t>
  </si>
  <si>
    <t>COURMAS</t>
  </si>
  <si>
    <t>VENEUX-LES-SABLONS</t>
  </si>
  <si>
    <t>48330</t>
  </si>
  <si>
    <t>SAINT-ETIENNE-VALLEE-FRANCAISE</t>
  </si>
  <si>
    <t>SAINT-DENIS-LE-FERMENT</t>
  </si>
  <si>
    <t>19210</t>
  </si>
  <si>
    <t>SAINT-MARTIN-SEPERT</t>
  </si>
  <si>
    <t>JURANVILLE</t>
  </si>
  <si>
    <t>LACADEE</t>
  </si>
  <si>
    <t>CENNE-MONESTIES</t>
  </si>
  <si>
    <t>MONTEGUT-PLANTAUREL</t>
  </si>
  <si>
    <t>MERLEVENEZ</t>
  </si>
  <si>
    <t>LA GUIERCHE</t>
  </si>
  <si>
    <t>DOUCELLES</t>
  </si>
  <si>
    <t>SAINT-JEAN-DE-LAUR</t>
  </si>
  <si>
    <t>THAIMS</t>
  </si>
  <si>
    <t>AMILLIS</t>
  </si>
  <si>
    <t>SAINT-DENIS-DE-MERE</t>
  </si>
  <si>
    <t>NORMANVILLE</t>
  </si>
  <si>
    <t>TOURVILLE-EN-AUGE</t>
  </si>
  <si>
    <t>GAJA-LA-SELVE</t>
  </si>
  <si>
    <t>COURBOUZON</t>
  </si>
  <si>
    <t>NIXEVILLE-BLERCOURT</t>
  </si>
  <si>
    <t>LARIVIERE</t>
  </si>
  <si>
    <t>FRESNES-SUR-MARNE</t>
  </si>
  <si>
    <t>19400</t>
  </si>
  <si>
    <t>SAINT-HILAIRE-TAURIEUX</t>
  </si>
  <si>
    <t>MONTBRONN</t>
  </si>
  <si>
    <t>HAUTEFEUILLE</t>
  </si>
  <si>
    <t>42990</t>
  </si>
  <si>
    <t>SAINT-GEORGES-EN-COUZAN</t>
  </si>
  <si>
    <t>LOYETTES</t>
  </si>
  <si>
    <t>LE CHALON</t>
  </si>
  <si>
    <t>PINSAC</t>
  </si>
  <si>
    <t>HEUZECOURT</t>
  </si>
  <si>
    <t>DARNEY-AUX-CHENES</t>
  </si>
  <si>
    <t>CLESSY</t>
  </si>
  <si>
    <t>SEDZE-MAUBECQ</t>
  </si>
  <si>
    <t>SAINT-MICHEL-DE-BANNIERES</t>
  </si>
  <si>
    <t>HUDIVILLER</t>
  </si>
  <si>
    <t>VALLERET</t>
  </si>
  <si>
    <t>35260</t>
  </si>
  <si>
    <t>CANCALE</t>
  </si>
  <si>
    <t>MAUPAS</t>
  </si>
  <si>
    <t>SAINT-ETIENNE-DE-BOULOGNE</t>
  </si>
  <si>
    <t>54550</t>
  </si>
  <si>
    <t>PONT-SAINT-VINCENT</t>
  </si>
  <si>
    <t>45720</t>
  </si>
  <si>
    <t>COULLONS</t>
  </si>
  <si>
    <t>PERCY-EN-AUGE</t>
  </si>
  <si>
    <t>CHOUGNY</t>
  </si>
  <si>
    <t>SANDARVILLE</t>
  </si>
  <si>
    <t>SAINT-MARTIN-DU-VAR</t>
  </si>
  <si>
    <t>VESCEMONT</t>
  </si>
  <si>
    <t>25420</t>
  </si>
  <si>
    <t>COURCELLES-LES-MONTBELIARD</t>
  </si>
  <si>
    <t>SAINT-VALERIEN</t>
  </si>
  <si>
    <t>L'ECOUVOTTE</t>
  </si>
  <si>
    <t>MONTMURAT</t>
  </si>
  <si>
    <t>ARBIN</t>
  </si>
  <si>
    <t>LES PLANCHES-EN-MONTAGNE</t>
  </si>
  <si>
    <t>ARGOUGES</t>
  </si>
  <si>
    <t>BIERMES</t>
  </si>
  <si>
    <t>PEIGNEY</t>
  </si>
  <si>
    <t>QUETTEHOU</t>
  </si>
  <si>
    <t>CHAZELLES</t>
  </si>
  <si>
    <t>LIMOISE</t>
  </si>
  <si>
    <t>NECY</t>
  </si>
  <si>
    <t>INGLANGE</t>
  </si>
  <si>
    <t>SAULT</t>
  </si>
  <si>
    <t>MEREAU</t>
  </si>
  <si>
    <t>DOMPIERRE-AUX-BOIS</t>
  </si>
  <si>
    <t>VALMIGERE</t>
  </si>
  <si>
    <t>MEGANGE</t>
  </si>
  <si>
    <t>SAINT-GILLES-DES-MARAIS</t>
  </si>
  <si>
    <t>OYEU</t>
  </si>
  <si>
    <t>BEVILLE-LE-COMTE</t>
  </si>
  <si>
    <t>MALARCE-SUR-LA-THINES</t>
  </si>
  <si>
    <t>BEYREN-LES-SIERCK</t>
  </si>
  <si>
    <t>PAROY-SUR-SAULX</t>
  </si>
  <si>
    <t>LAVAL-MORENCY</t>
  </si>
  <si>
    <t>POUZAUGES</t>
  </si>
  <si>
    <t>AUTERIVE</t>
  </si>
  <si>
    <t>43490</t>
  </si>
  <si>
    <t>LAFARRE</t>
  </si>
  <si>
    <t>LEGLANTIERS</t>
  </si>
  <si>
    <t>73390</t>
  </si>
  <si>
    <t>SAINT-FELIX-DE-PALLIERES</t>
  </si>
  <si>
    <t>MARQUIVILLERS</t>
  </si>
  <si>
    <t>SAVAS</t>
  </si>
  <si>
    <t>93380</t>
  </si>
  <si>
    <t>PIERREFITTE-SUR-SEINE</t>
  </si>
  <si>
    <t>CHATEAU-VOUE</t>
  </si>
  <si>
    <t>LANCOME</t>
  </si>
  <si>
    <t>BRIZAMBOURG</t>
  </si>
  <si>
    <t>VRAIGNES-EN-VERMANDOIS</t>
  </si>
  <si>
    <t>HAUTE-KONTZ</t>
  </si>
  <si>
    <t>SEMPESSERRE</t>
  </si>
  <si>
    <t>DANCY</t>
  </si>
  <si>
    <t>FLAUJAC-GARE</t>
  </si>
  <si>
    <t>SAINT-ETIENNE-AU-MONT</t>
  </si>
  <si>
    <t>VARILHES</t>
  </si>
  <si>
    <t>LE BARBOUX</t>
  </si>
  <si>
    <t>COUSSEY</t>
  </si>
  <si>
    <t>GUILLON</t>
  </si>
  <si>
    <t>59225</t>
  </si>
  <si>
    <t>MONTIGNY-EN-CAMBRESIS</t>
  </si>
  <si>
    <t>SUGERES</t>
  </si>
  <si>
    <t>BOIRY-BECQUERELLE</t>
  </si>
  <si>
    <t>VILLERS-ECALLES</t>
  </si>
  <si>
    <t>NOGNA</t>
  </si>
  <si>
    <t>LA BEZOLE</t>
  </si>
  <si>
    <t>MAGNY-LORMES</t>
  </si>
  <si>
    <t>49400</t>
  </si>
  <si>
    <t>SOUZAY-CHAMPIGNY</t>
  </si>
  <si>
    <t>87600</t>
  </si>
  <si>
    <t>ROCHECHOUART</t>
  </si>
  <si>
    <t>LA MESNIERE</t>
  </si>
  <si>
    <t>BRIQUEMESNIL-FLOXICOURT</t>
  </si>
  <si>
    <t>DAMPIERRE-SUR-BOUTONNE</t>
  </si>
  <si>
    <t>SYLVAINS-LES-MOULINS</t>
  </si>
  <si>
    <t>GARLEDE-MONDEBAT</t>
  </si>
  <si>
    <t>SALLES-ADOUR</t>
  </si>
  <si>
    <t>ESTREUX</t>
  </si>
  <si>
    <t>VILLETTE-LES-ARBOIS</t>
  </si>
  <si>
    <t>MONTIGNY-LE-CHARTIF</t>
  </si>
  <si>
    <t>LE BAN-SAINT-MARTIN</t>
  </si>
  <si>
    <t>SAINT-BONNET-EN-BRESSE</t>
  </si>
  <si>
    <t>CASTETPUGON</t>
  </si>
  <si>
    <t>SERGENON</t>
  </si>
  <si>
    <t>BEZU-LE-GUERY</t>
  </si>
  <si>
    <t>LAMOTTE-BEUVRON</t>
  </si>
  <si>
    <t>SAUVILLE</t>
  </si>
  <si>
    <t>31170</t>
  </si>
  <si>
    <t>TOURNEFEUILLE</t>
  </si>
  <si>
    <t>VERS-PONT-DU-GARD</t>
  </si>
  <si>
    <t>LE PALAIS</t>
  </si>
  <si>
    <t>BENESTROFF</t>
  </si>
  <si>
    <t>20252</t>
  </si>
  <si>
    <t>2B140</t>
  </si>
  <si>
    <t>LENTO</t>
  </si>
  <si>
    <t>13940</t>
  </si>
  <si>
    <t>MOLLEGES</t>
  </si>
  <si>
    <t>VITREY-SUR-MANCE</t>
  </si>
  <si>
    <t>SUZETTE</t>
  </si>
  <si>
    <t>SAINT-CLEMENT-A-ARNES</t>
  </si>
  <si>
    <t>LES FOSSES</t>
  </si>
  <si>
    <t>SAINT-REMY-DE-SILLE</t>
  </si>
  <si>
    <t>74560</t>
  </si>
  <si>
    <t>MONNETIER-MORNEX</t>
  </si>
  <si>
    <t>68780</t>
  </si>
  <si>
    <t>SENTHEIM</t>
  </si>
  <si>
    <t>YVERSAY</t>
  </si>
  <si>
    <t>NEUVILLE-LES-THIS</t>
  </si>
  <si>
    <t>CHARREY-SUR-SAONE</t>
  </si>
  <si>
    <t>RUILLE-FROID-FONDS</t>
  </si>
  <si>
    <t>COURTIVRON</t>
  </si>
  <si>
    <t>NEUFCHELLES</t>
  </si>
  <si>
    <t>VAUCIENNES</t>
  </si>
  <si>
    <t>SOUGERES-EN-PUISAYE</t>
  </si>
  <si>
    <t>TRILLA</t>
  </si>
  <si>
    <t>QUEANT</t>
  </si>
  <si>
    <t>CHENIERS</t>
  </si>
  <si>
    <t>SAINT-GERMAIN-LE-ROCHEUX</t>
  </si>
  <si>
    <t>LANEUVELLE</t>
  </si>
  <si>
    <t>SENERGUES</t>
  </si>
  <si>
    <t>SAINT-GERMAIN-SOUS-DOUE</t>
  </si>
  <si>
    <t>BAREMBACH</t>
  </si>
  <si>
    <t>BEAUMONT-SUR-VESLE</t>
  </si>
  <si>
    <t>TORPES</t>
  </si>
  <si>
    <t>DAUBEZE</t>
  </si>
  <si>
    <t>LALONGUE</t>
  </si>
  <si>
    <t>TOURDUN</t>
  </si>
  <si>
    <t>HEM-LENGLET</t>
  </si>
  <si>
    <t>HERMAVILLE</t>
  </si>
  <si>
    <t>2B165</t>
  </si>
  <si>
    <t>MONCALE</t>
  </si>
  <si>
    <t>CROIX-CALUYAU</t>
  </si>
  <si>
    <t>MASBARAUD-MERIGNAT</t>
  </si>
  <si>
    <t>AULOS</t>
  </si>
  <si>
    <t>FORMIGUERES</t>
  </si>
  <si>
    <t>47440</t>
  </si>
  <si>
    <t>CASSENEUIL</t>
  </si>
  <si>
    <t>LAIGNE</t>
  </si>
  <si>
    <t>HEILIGENBERG</t>
  </si>
  <si>
    <t>FAJOLES</t>
  </si>
  <si>
    <t>17460</t>
  </si>
  <si>
    <t>RETAUD</t>
  </si>
  <si>
    <t>MAENNOLSHEIM</t>
  </si>
  <si>
    <t>GALAMETZ</t>
  </si>
  <si>
    <t>SAINT-SENIER-DE-BEUVRON</t>
  </si>
  <si>
    <t>VRED</t>
  </si>
  <si>
    <t>BAILLEAU-LE-PIN</t>
  </si>
  <si>
    <t>DOGNEN</t>
  </si>
  <si>
    <t>PERVENCHERES</t>
  </si>
  <si>
    <t>NOTRE-DAME-DES-MILLIERES</t>
  </si>
  <si>
    <t>ANGLARDS-DE-SAINT-FLOUR</t>
  </si>
  <si>
    <t>BRANOUX-LES-TAILLADES</t>
  </si>
  <si>
    <t>POLLIEU</t>
  </si>
  <si>
    <t>HAM-SUR-MEUSE</t>
  </si>
  <si>
    <t>ROUGEMONT</t>
  </si>
  <si>
    <t>GIAT</t>
  </si>
  <si>
    <t>GOMIECOURT</t>
  </si>
  <si>
    <t>SAINT-MARTIN-L'HEUREUX</t>
  </si>
  <si>
    <t>SOGNOLLES-EN-MONTOIS</t>
  </si>
  <si>
    <t>LE CHATELET</t>
  </si>
  <si>
    <t>20133</t>
  </si>
  <si>
    <t>2A062</t>
  </si>
  <si>
    <t>CARBUCCIA</t>
  </si>
  <si>
    <t>TOULONJAC</t>
  </si>
  <si>
    <t>BRETTEVILLE-LE-RABET</t>
  </si>
  <si>
    <t>LE PARCQ</t>
  </si>
  <si>
    <t>LA BALME-DE-SILLINGY</t>
  </si>
  <si>
    <t>HEITEREN</t>
  </si>
  <si>
    <t>PLOZEVET</t>
  </si>
  <si>
    <t>LA POMMERAYE</t>
  </si>
  <si>
    <t>MONTBERON</t>
  </si>
  <si>
    <t>SAINT-JUST-EN-BRIE</t>
  </si>
  <si>
    <t>FRANCIN</t>
  </si>
  <si>
    <t>LA FLACHERE</t>
  </si>
  <si>
    <t>ROSIERES-EN-HAYE</t>
  </si>
  <si>
    <t>OBRECK</t>
  </si>
  <si>
    <t>NOYAL</t>
  </si>
  <si>
    <t>MESNIL-FOLLEMPRISE</t>
  </si>
  <si>
    <t>LANVOLLON</t>
  </si>
  <si>
    <t>CAMPUZAN</t>
  </si>
  <si>
    <t>LOURTIES-MONBRUN</t>
  </si>
  <si>
    <t>COUDRECEAU</t>
  </si>
  <si>
    <t>ASNIERES-SUR-VEGRE</t>
  </si>
  <si>
    <t>DENEZIERES</t>
  </si>
  <si>
    <t>TROULEY-LABARTHE</t>
  </si>
  <si>
    <t>RILLE</t>
  </si>
  <si>
    <t>84300</t>
  </si>
  <si>
    <t>TAILLADES</t>
  </si>
  <si>
    <t>RONCHEROLLES-SUR-LE-VIVIER</t>
  </si>
  <si>
    <t>74800</t>
  </si>
  <si>
    <t>ETAUX</t>
  </si>
  <si>
    <t>74110</t>
  </si>
  <si>
    <t>MONTRIOND</t>
  </si>
  <si>
    <t>ARMENTIERES-SUR-OURCQ</t>
  </si>
  <si>
    <t>AUBIGNE-RACAN</t>
  </si>
  <si>
    <t>SONGESON</t>
  </si>
  <si>
    <t>POLIENAS</t>
  </si>
  <si>
    <t>80134</t>
  </si>
  <si>
    <t>HANGEST-EN-SANTERRE</t>
  </si>
  <si>
    <t>LA LANDE-DE-GOULT</t>
  </si>
  <si>
    <t>68910</t>
  </si>
  <si>
    <t>LABAROCHE</t>
  </si>
  <si>
    <t>ESTOUTEVILLE-ECALLES</t>
  </si>
  <si>
    <t>CHAUDON</t>
  </si>
  <si>
    <t>CAUSE-DE-CLERANS</t>
  </si>
  <si>
    <t>VILLENEUVE-DE-DURAS</t>
  </si>
  <si>
    <t>59135</t>
  </si>
  <si>
    <t>BELLAING</t>
  </si>
  <si>
    <t>FRECHENDETS</t>
  </si>
  <si>
    <t>SAINT-PIERRE-SUR-VENCE</t>
  </si>
  <si>
    <t>JONCELS</t>
  </si>
  <si>
    <t>MARGNY</t>
  </si>
  <si>
    <t>MITTERSHEIM</t>
  </si>
  <si>
    <t>COULONGES</t>
  </si>
  <si>
    <t>JOUAIGNES</t>
  </si>
  <si>
    <t>9140</t>
  </si>
  <si>
    <t>AULUS-LES-BAINS</t>
  </si>
  <si>
    <t>CHAUX-DES-CROTENAY</t>
  </si>
  <si>
    <t>51430</t>
  </si>
  <si>
    <t>BEZANNES</t>
  </si>
  <si>
    <t>EGLISENEUVE-DES-LIARDS</t>
  </si>
  <si>
    <t>GERBAIX</t>
  </si>
  <si>
    <t>8450</t>
  </si>
  <si>
    <t>MAISONCELLE-ET-VILLERS</t>
  </si>
  <si>
    <t>91570</t>
  </si>
  <si>
    <t>SAINT-MAIGRIN</t>
  </si>
  <si>
    <t>PARCE</t>
  </si>
  <si>
    <t>SAUVIAT-SUR-VIGE</t>
  </si>
  <si>
    <t>79600</t>
  </si>
  <si>
    <t>LOUIN</t>
  </si>
  <si>
    <t>SERVERETTE</t>
  </si>
  <si>
    <t>ESCAMES</t>
  </si>
  <si>
    <t>26700</t>
  </si>
  <si>
    <t>LA GARDE-ADHEMAR</t>
  </si>
  <si>
    <t>22120</t>
  </si>
  <si>
    <t>YFFINIAC</t>
  </si>
  <si>
    <t>MONTCHEVREL</t>
  </si>
  <si>
    <t>MISERY</t>
  </si>
  <si>
    <t>22230</t>
  </si>
  <si>
    <t>MERILLAC</t>
  </si>
  <si>
    <t>SAINT-MARTIN-DU-TERTRE</t>
  </si>
  <si>
    <t>DESGES</t>
  </si>
  <si>
    <t>LECHATELET</t>
  </si>
  <si>
    <t>MANSLE</t>
  </si>
  <si>
    <t>SORBETS</t>
  </si>
  <si>
    <t>85740</t>
  </si>
  <si>
    <t>L'EPINE</t>
  </si>
  <si>
    <t>FONTENY</t>
  </si>
  <si>
    <t>TOURTRES</t>
  </si>
  <si>
    <t>GOUDELANCOURT-LES-PIERREPONT</t>
  </si>
  <si>
    <t>53260</t>
  </si>
  <si>
    <t>PARNE-SUR-ROC</t>
  </si>
  <si>
    <t>LA BATIE-MONTSALEON</t>
  </si>
  <si>
    <t>PASSENANS</t>
  </si>
  <si>
    <t>SENLIS-LE-SEC</t>
  </si>
  <si>
    <t>DAMLOUP</t>
  </si>
  <si>
    <t>LUC-EN-DIOIS</t>
  </si>
  <si>
    <t>BLIESBRUCK</t>
  </si>
  <si>
    <t>42111</t>
  </si>
  <si>
    <t>LA VALLA-SUR-ROCHEFORT</t>
  </si>
  <si>
    <t>GRANDFONTAINE</t>
  </si>
  <si>
    <t>VILLERSERINE</t>
  </si>
  <si>
    <t>ORBAN</t>
  </si>
  <si>
    <t>LA POMAREDE</t>
  </si>
  <si>
    <t>BEDECHAN</t>
  </si>
  <si>
    <t>REBOURSIN</t>
  </si>
  <si>
    <t>BEAUFIN</t>
  </si>
  <si>
    <t>81300</t>
  </si>
  <si>
    <t>MOULAYRES</t>
  </si>
  <si>
    <t>22550</t>
  </si>
  <si>
    <t>PLEBOULLE</t>
  </si>
  <si>
    <t>91400</t>
  </si>
  <si>
    <t>SACLAY</t>
  </si>
  <si>
    <t>HAISNES</t>
  </si>
  <si>
    <t>ECOUIS</t>
  </si>
  <si>
    <t>DRUBEC</t>
  </si>
  <si>
    <t>TRIQUEVILLE</t>
  </si>
  <si>
    <t>SAINT-FORGEUX-LESPINASSE</t>
  </si>
  <si>
    <t>BRAYE-SUR-MAULNE</t>
  </si>
  <si>
    <t>GOUVILLE</t>
  </si>
  <si>
    <t>19510</t>
  </si>
  <si>
    <t>BENAYES</t>
  </si>
  <si>
    <t>BOISSEAUX</t>
  </si>
  <si>
    <t>CONDE-SUR-IFS</t>
  </si>
  <si>
    <t>HOUNOUX</t>
  </si>
  <si>
    <t>FEINS-EN-GATINAIS</t>
  </si>
  <si>
    <t>ROQUEFERE</t>
  </si>
  <si>
    <t>NOZAY</t>
  </si>
  <si>
    <t>59259</t>
  </si>
  <si>
    <t>LECLUSE</t>
  </si>
  <si>
    <t>CREANCEY</t>
  </si>
  <si>
    <t>L'HOPITAL-SOUS-ROCHEFORT</t>
  </si>
  <si>
    <t>GEMIL</t>
  </si>
  <si>
    <t>LE PLESSIS-FEU-AUSSOUX</t>
  </si>
  <si>
    <t>SAINT-JEAN-D'AVELANNE</t>
  </si>
  <si>
    <t>CHANU</t>
  </si>
  <si>
    <t>MORVILLE-EN-BEAUCE</t>
  </si>
  <si>
    <t>BONCOURT-SUR-MEUSE</t>
  </si>
  <si>
    <t>63640</t>
  </si>
  <si>
    <t>SAINT-PRIEST-DES-CHAMPS</t>
  </si>
  <si>
    <t>GORNAC</t>
  </si>
  <si>
    <t>HARCANVILLE</t>
  </si>
  <si>
    <t>PAUILHAC</t>
  </si>
  <si>
    <t>59124</t>
  </si>
  <si>
    <t>ESCAUDAIN</t>
  </si>
  <si>
    <t>BALLEVILLE</t>
  </si>
  <si>
    <t>SORANS-LES-BREUREY</t>
  </si>
  <si>
    <t>HASPARREN</t>
  </si>
  <si>
    <t>COIZARD-JOCHES</t>
  </si>
  <si>
    <t>LE PUY-NOTRE-DAME</t>
  </si>
  <si>
    <t>LE MESGE</t>
  </si>
  <si>
    <t>TREFLEVENEZ</t>
  </si>
  <si>
    <t>NIELLES-LES-BLEQUIN</t>
  </si>
  <si>
    <t>MAIZIERES-LA-GRANDE-PAROISSE</t>
  </si>
  <si>
    <t>VIBRAC</t>
  </si>
  <si>
    <t>GELUCOURT</t>
  </si>
  <si>
    <t>2B010</t>
  </si>
  <si>
    <t>ALGAJOLA</t>
  </si>
  <si>
    <t>BETHONVILLIERS</t>
  </si>
  <si>
    <t>LISSE-EN-CHAMPAGNE</t>
  </si>
  <si>
    <t>BOURNEVILLE</t>
  </si>
  <si>
    <t>MARESTMONTIERS</t>
  </si>
  <si>
    <t>LUSSAT</t>
  </si>
  <si>
    <t>CAZARILH</t>
  </si>
  <si>
    <t>CLIOUSCLAT</t>
  </si>
  <si>
    <t>GRIGNAN</t>
  </si>
  <si>
    <t>SAINT-ANDRE-D'HEBERTOT</t>
  </si>
  <si>
    <t>CORMEILLES</t>
  </si>
  <si>
    <t>VOUZON</t>
  </si>
  <si>
    <t>FROMY</t>
  </si>
  <si>
    <t>LES HAYES</t>
  </si>
  <si>
    <t>BLEMEREY</t>
  </si>
  <si>
    <t>SONAC</t>
  </si>
  <si>
    <t>HALLOVILLE</t>
  </si>
  <si>
    <t>67203</t>
  </si>
  <si>
    <t>OBERSCHAEFFOLSHEIM</t>
  </si>
  <si>
    <t>SAINT-DENIS-LES-MARTEL</t>
  </si>
  <si>
    <t>HENON</t>
  </si>
  <si>
    <t>CAPDROT</t>
  </si>
  <si>
    <t>BELFAYS</t>
  </si>
  <si>
    <t>CORN</t>
  </si>
  <si>
    <t>HODENG-HODENGER</t>
  </si>
  <si>
    <t>BUCHERES</t>
  </si>
  <si>
    <t>VERMENTON</t>
  </si>
  <si>
    <t>HONNECHY</t>
  </si>
  <si>
    <t>SANOUS</t>
  </si>
  <si>
    <t>BARVILLE-EN-GATINAIS</t>
  </si>
  <si>
    <t>SAINTE-LIVRADE-SUR-LOT</t>
  </si>
  <si>
    <t>57620</t>
  </si>
  <si>
    <t>SAINT-LOUIS-LES-BITCHE</t>
  </si>
  <si>
    <t>PLAPPEVILLE</t>
  </si>
  <si>
    <t>GANNAT</t>
  </si>
  <si>
    <t>67210</t>
  </si>
  <si>
    <t>VALFF</t>
  </si>
  <si>
    <t>21380</t>
  </si>
  <si>
    <t>MONTJOIE-EN-COUSERANS</t>
  </si>
  <si>
    <t>THENAILLES</t>
  </si>
  <si>
    <t>91470</t>
  </si>
  <si>
    <t>ANGERVILLIERS</t>
  </si>
  <si>
    <t>LAYE</t>
  </si>
  <si>
    <t>VALFLAUNES</t>
  </si>
  <si>
    <t>MALICORNE</t>
  </si>
  <si>
    <t>BRIELLES</t>
  </si>
  <si>
    <t>BONNAUD</t>
  </si>
  <si>
    <t>SOREL-MOUSSEL</t>
  </si>
  <si>
    <t>17139</t>
  </si>
  <si>
    <t>DOMPIERRE-SUR-MER</t>
  </si>
  <si>
    <t>GACE</t>
  </si>
  <si>
    <t>SAINT-JEAN-DU-BOUZET</t>
  </si>
  <si>
    <t>HEGENEY</t>
  </si>
  <si>
    <t>CROUTTES</t>
  </si>
  <si>
    <t>SAINT-GEOIRE-EN-VALDAINE</t>
  </si>
  <si>
    <t>2B183</t>
  </si>
  <si>
    <t>OGLIASTRO</t>
  </si>
  <si>
    <t>DOMPIERRE-SUR-AUTHIE</t>
  </si>
  <si>
    <t>OGNOLLES</t>
  </si>
  <si>
    <t>COURS-LES-BARRES</t>
  </si>
  <si>
    <t>66190</t>
  </si>
  <si>
    <t>COLLIOURE</t>
  </si>
  <si>
    <t>SAINT-YAGUEN</t>
  </si>
  <si>
    <t>MONTCLAR</t>
  </si>
  <si>
    <t>GREOUX-LES-BAINS</t>
  </si>
  <si>
    <t>LA MURE</t>
  </si>
  <si>
    <t>BRETTE</t>
  </si>
  <si>
    <t>CASTILLON-SAVES</t>
  </si>
  <si>
    <t>LA BASTIDE-D'ENGRAS</t>
  </si>
  <si>
    <t>LA CHAMPENOISE</t>
  </si>
  <si>
    <t>HOUDANCOURT</t>
  </si>
  <si>
    <t>COUTURELLE</t>
  </si>
  <si>
    <t>65460</t>
  </si>
  <si>
    <t>BEAUREVOIR</t>
  </si>
  <si>
    <t>CIERP-GAUD</t>
  </si>
  <si>
    <t>SEGLIEN</t>
  </si>
  <si>
    <t>BAMBIDERSTROFF</t>
  </si>
  <si>
    <t>24210</t>
  </si>
  <si>
    <t>BARS</t>
  </si>
  <si>
    <t>38170</t>
  </si>
  <si>
    <t>SEYSSINET-PARISET</t>
  </si>
  <si>
    <t>LA ROCHE-SUR-FORON</t>
  </si>
  <si>
    <t>VILLIERS-AUX-CORNEILLES</t>
  </si>
  <si>
    <t>LE FERRE</t>
  </si>
  <si>
    <t>VELLUIRE</t>
  </si>
  <si>
    <t>LANAS</t>
  </si>
  <si>
    <t>BERVILLE-LA-CAMPAGNE</t>
  </si>
  <si>
    <t>LA BESACE</t>
  </si>
  <si>
    <t>DRIENCOURT</t>
  </si>
  <si>
    <t>DUN-LES-PLACES</t>
  </si>
  <si>
    <t>74200</t>
  </si>
  <si>
    <t>THONON-LES-BAINS</t>
  </si>
  <si>
    <t>SAINT-VIGOR-DES-MONTS</t>
  </si>
  <si>
    <t>VILLERS-LES-MANGIENNES</t>
  </si>
  <si>
    <t>CAUCALIERES</t>
  </si>
  <si>
    <t>TREBRY</t>
  </si>
  <si>
    <t>PELLEREY</t>
  </si>
  <si>
    <t>BAZOLLES</t>
  </si>
  <si>
    <t>REMY</t>
  </si>
  <si>
    <t>MONTEBOURG</t>
  </si>
  <si>
    <t>2B192</t>
  </si>
  <si>
    <t>OLMO</t>
  </si>
  <si>
    <t>56390</t>
  </si>
  <si>
    <t>LOCMARIA-GRAND-CHAMP</t>
  </si>
  <si>
    <t>OLIZY</t>
  </si>
  <si>
    <t>56190</t>
  </si>
  <si>
    <t>BILLIERS</t>
  </si>
  <si>
    <t>SAINT-MENOUX</t>
  </si>
  <si>
    <t>LAIGNY</t>
  </si>
  <si>
    <t>2B223</t>
  </si>
  <si>
    <t>PIETRALBA</t>
  </si>
  <si>
    <t>SAINT-QUIRC</t>
  </si>
  <si>
    <t>SAINT-LAURENT-DU-BOIS</t>
  </si>
  <si>
    <t>BELLOU-EN-HOULME</t>
  </si>
  <si>
    <t>SAINT-MESMES</t>
  </si>
  <si>
    <t>BOUILLE-COURDAULT</t>
  </si>
  <si>
    <t>LA VILLEDIEU-EN-FONTENETTE</t>
  </si>
  <si>
    <t>BELLEFOSSE</t>
  </si>
  <si>
    <t>VARENGEVILLE-SUR-MER</t>
  </si>
  <si>
    <t>SATHONAY-CAMP</t>
  </si>
  <si>
    <t>4270</t>
  </si>
  <si>
    <t>7560</t>
  </si>
  <si>
    <t>MONTPEZAT-SOUS-BAUZON</t>
  </si>
  <si>
    <t>MONTPLONNE</t>
  </si>
  <si>
    <t>43390</t>
  </si>
  <si>
    <t>FONCEGRIVE</t>
  </si>
  <si>
    <t>ERCE</t>
  </si>
  <si>
    <t>SERS</t>
  </si>
  <si>
    <t>SAINT-GLEN</t>
  </si>
  <si>
    <t>CRISSEY</t>
  </si>
  <si>
    <t>ETRICHE</t>
  </si>
  <si>
    <t>SAINT-PIERRE-DE-BRESSIEUX</t>
  </si>
  <si>
    <t>SAINT-EUSTACHE</t>
  </si>
  <si>
    <t>86120</t>
  </si>
  <si>
    <t>ROIFFE</t>
  </si>
  <si>
    <t>BOURGUIGNON-SOUS-MONTBAVIN</t>
  </si>
  <si>
    <t>CALIGNAC</t>
  </si>
  <si>
    <t>GERBEPAL</t>
  </si>
  <si>
    <t>RABOU</t>
  </si>
  <si>
    <t>SAINT-PAUL-DE-VERN</t>
  </si>
  <si>
    <t>POIDS-DE-FIOLE</t>
  </si>
  <si>
    <t>55310</t>
  </si>
  <si>
    <t>TRONVILLE-EN-BARROIS</t>
  </si>
  <si>
    <t>57350</t>
  </si>
  <si>
    <t>SPICHEREN</t>
  </si>
  <si>
    <t>VIGOULANT</t>
  </si>
  <si>
    <t>CHAMPIGNEULLES-EN-BASSIGNY</t>
  </si>
  <si>
    <t>MARSOLAN</t>
  </si>
  <si>
    <t>XOCOURT</t>
  </si>
  <si>
    <t>BOUSSIERES-EN-CAMBRESIS</t>
  </si>
  <si>
    <t>13990</t>
  </si>
  <si>
    <t>FONTVIEILLE</t>
  </si>
  <si>
    <t>FAUX-VILLECERF</t>
  </si>
  <si>
    <t>BOCE</t>
  </si>
  <si>
    <t>76320</t>
  </si>
  <si>
    <t>SAINT-PIERRE-LES-ELBEUF</t>
  </si>
  <si>
    <t>KIRCHBERG</t>
  </si>
  <si>
    <t>79350</t>
  </si>
  <si>
    <t>CLESSE</t>
  </si>
  <si>
    <t>HERRLISHEIM-PRES-COLMAR</t>
  </si>
  <si>
    <t>RECLINGHEM</t>
  </si>
  <si>
    <t>BOOS</t>
  </si>
  <si>
    <t>CHAPELLE-D'HUIN</t>
  </si>
  <si>
    <t>SAINT-CEOLS</t>
  </si>
  <si>
    <t>BOUSSE</t>
  </si>
  <si>
    <t>LORTET</t>
  </si>
  <si>
    <t>CORRAVILLERS</t>
  </si>
  <si>
    <t>CHAFFOIS</t>
  </si>
  <si>
    <t>LA MARNE</t>
  </si>
  <si>
    <t>NUCOURT</t>
  </si>
  <si>
    <t>GUILLESTRE</t>
  </si>
  <si>
    <t>JALOGNY</t>
  </si>
  <si>
    <t>BEAUMONT-DU-GATINAIS</t>
  </si>
  <si>
    <t>SAINT-AUNIX-LENGROS</t>
  </si>
  <si>
    <t>3270</t>
  </si>
  <si>
    <t>MARIOL</t>
  </si>
  <si>
    <t>BERTINCOURT</t>
  </si>
  <si>
    <t>LA BOUTEILLE</t>
  </si>
  <si>
    <t>83990</t>
  </si>
  <si>
    <t>SAINT-TROPEZ</t>
  </si>
  <si>
    <t>59155</t>
  </si>
  <si>
    <t>FACHES-THUMESNIL</t>
  </si>
  <si>
    <t>CAZEAUX-DE-LARBOUST</t>
  </si>
  <si>
    <t>LA BAUSSAINE</t>
  </si>
  <si>
    <t>SAINT-MAURICE-D'IBIE</t>
  </si>
  <si>
    <t>LOUZE</t>
  </si>
  <si>
    <t>SAINT-JEAN-DE-RIVES</t>
  </si>
  <si>
    <t>CHARMES-SAINT-VALBERT</t>
  </si>
  <si>
    <t>NEUVE-MAISON</t>
  </si>
  <si>
    <t>RIA-SIRACH</t>
  </si>
  <si>
    <t>ACHIET-LE-PETIT</t>
  </si>
  <si>
    <t>69400</t>
  </si>
  <si>
    <t>POUILLY-LE-MONIAL</t>
  </si>
  <si>
    <t>MACOT-LA-PLAGNE</t>
  </si>
  <si>
    <t>SCORBE-CLAIRVAUX</t>
  </si>
  <si>
    <t>LA CHAPELLE-DEVANT-BRUYERES</t>
  </si>
  <si>
    <t>BAZOCHES-SUR-LE-BETZ</t>
  </si>
  <si>
    <t>CONDAMINE</t>
  </si>
  <si>
    <t>SAINT-BRICE-EN-COGLES</t>
  </si>
  <si>
    <t>66170</t>
  </si>
  <si>
    <t>SAINT-FELIU-D'AMONT</t>
  </si>
  <si>
    <t>GINASSERVIS</t>
  </si>
  <si>
    <t>SAINT-MAURICE-CRILLAT</t>
  </si>
  <si>
    <t>BOUQUEHAULT</t>
  </si>
  <si>
    <t>SAINT-MARTIAL-D'ALBAREDE</t>
  </si>
  <si>
    <t>VOUILLERS</t>
  </si>
  <si>
    <t>93460</t>
  </si>
  <si>
    <t>GOURNAY-SUR-MARNE</t>
  </si>
  <si>
    <t>LES TERNES</t>
  </si>
  <si>
    <t>SEMALLE</t>
  </si>
  <si>
    <t>BREUX</t>
  </si>
  <si>
    <t>AUVERSE</t>
  </si>
  <si>
    <t>54720</t>
  </si>
  <si>
    <t>LAIX</t>
  </si>
  <si>
    <t>42230</t>
  </si>
  <si>
    <t>ROCHE-LA-MOLIERE</t>
  </si>
  <si>
    <t>GENNES</t>
  </si>
  <si>
    <t>LE QUESNEL-AUBRY</t>
  </si>
  <si>
    <t>PENCHARD</t>
  </si>
  <si>
    <t>DOMPIERRE-DU-CHEMIN</t>
  </si>
  <si>
    <t>APT</t>
  </si>
  <si>
    <t>FAUX-FRESNAY</t>
  </si>
  <si>
    <t>BLANCHE-EGLISE</t>
  </si>
  <si>
    <t>LOUAILLES</t>
  </si>
  <si>
    <t>88290</t>
  </si>
  <si>
    <t>SAULXURES-SUR-MOSELOTTE</t>
  </si>
  <si>
    <t>MONTREUIL-LE-CHETIF</t>
  </si>
  <si>
    <t>MONFAUCON</t>
  </si>
  <si>
    <t>BOUIX</t>
  </si>
  <si>
    <t>ANROSEY</t>
  </si>
  <si>
    <t>SOUDORGUES</t>
  </si>
  <si>
    <t>LUZY</t>
  </si>
  <si>
    <t>VERCOURT</t>
  </si>
  <si>
    <t>49310</t>
  </si>
  <si>
    <t>MONTJEAN-SUR-LOIRE</t>
  </si>
  <si>
    <t>SAINT-MAUR-SUR-LE-LOIR</t>
  </si>
  <si>
    <t>OISSEAU-LE-PETIT</t>
  </si>
  <si>
    <t>LA JONCHERE</t>
  </si>
  <si>
    <t>ALBIAC</t>
  </si>
  <si>
    <t>LONGRE</t>
  </si>
  <si>
    <t>FONGUEUSEMARE</t>
  </si>
  <si>
    <t>78113</t>
  </si>
  <si>
    <t>ADAINVILLE</t>
  </si>
  <si>
    <t>25480</t>
  </si>
  <si>
    <t>ECOLE-VALENTIN</t>
  </si>
  <si>
    <t>NEEWILLER-PRES-LAUTERBOURG</t>
  </si>
  <si>
    <t>FLERE-LA-RIVIERE</t>
  </si>
  <si>
    <t>VIDAILLAC</t>
  </si>
  <si>
    <t>ROUMEGOUX</t>
  </si>
  <si>
    <t>SAINT-BONNET-DE-ROCHEFORT</t>
  </si>
  <si>
    <t>MELLES</t>
  </si>
  <si>
    <t>BELVAL-EN-ARGONNE</t>
  </si>
  <si>
    <t>2B248</t>
  </si>
  <si>
    <t>PRATO-DI-GIOVELLINA</t>
  </si>
  <si>
    <t>LONGEMAISON</t>
  </si>
  <si>
    <t>VULVOZ</t>
  </si>
  <si>
    <t>SANTANS</t>
  </si>
  <si>
    <t>VILLOUXEL</t>
  </si>
  <si>
    <t>83500</t>
  </si>
  <si>
    <t>LA SEYNE-SUR-MER</t>
  </si>
  <si>
    <t>VIELLESEGURE</t>
  </si>
  <si>
    <t>CHATAIN</t>
  </si>
  <si>
    <t>LE MESNIL-SOUS-JUMIEGES</t>
  </si>
  <si>
    <t>SAINT-PIERRE-D'ARTHEGLISE</t>
  </si>
  <si>
    <t>CHARCHIGNE</t>
  </si>
  <si>
    <t>PRAYSSAC</t>
  </si>
  <si>
    <t>53500</t>
  </si>
  <si>
    <t>SAINT-PIERRE-DES-LANDES</t>
  </si>
  <si>
    <t>LHUITRE</t>
  </si>
  <si>
    <t>MARCHAMPT</t>
  </si>
  <si>
    <t>CHERENCE-LE-HERON</t>
  </si>
  <si>
    <t>SAINT-GEORGES-SUR-LA-PREE</t>
  </si>
  <si>
    <t>LUTILHOUS</t>
  </si>
  <si>
    <t>VATTEVILLE-LA-RUE</t>
  </si>
  <si>
    <t>SENLECQUES</t>
  </si>
  <si>
    <t>SAINT-DENOUAL</t>
  </si>
  <si>
    <t>LE MONTAT</t>
  </si>
  <si>
    <t>LE FAU</t>
  </si>
  <si>
    <t>54190</t>
  </si>
  <si>
    <t>TIERCELET</t>
  </si>
  <si>
    <t>ROMANGE</t>
  </si>
  <si>
    <t>SORNAY</t>
  </si>
  <si>
    <t>DENNEVILLE</t>
  </si>
  <si>
    <t>FORTEL-EN-ARTOIS</t>
  </si>
  <si>
    <t>SAINT-BRIEUC-DES-IFFS</t>
  </si>
  <si>
    <t>MAUPERTUIS</t>
  </si>
  <si>
    <t>SAINTE-MARGUERITE-SUR-FAUVILLE</t>
  </si>
  <si>
    <t>63560</t>
  </si>
  <si>
    <t>NEUF-EGLISE</t>
  </si>
  <si>
    <t>BEAULIEU-LES-LOCHES</t>
  </si>
  <si>
    <t>STAINVILLE</t>
  </si>
  <si>
    <t>THEUS</t>
  </si>
  <si>
    <t>MELSHEIM</t>
  </si>
  <si>
    <t>33510</t>
  </si>
  <si>
    <t>ANDERNOS-LES-BAINS</t>
  </si>
  <si>
    <t>59242</t>
  </si>
  <si>
    <t>CAPPELLE-EN-PEVELE</t>
  </si>
  <si>
    <t>DANNELBOURG</t>
  </si>
  <si>
    <t>NONSARD-LAMARCHE</t>
  </si>
  <si>
    <t>ROTT</t>
  </si>
  <si>
    <t>LAPENNE</t>
  </si>
  <si>
    <t>DOMREMY-LA-PUCELLE</t>
  </si>
  <si>
    <t>65590</t>
  </si>
  <si>
    <t>BORDERES-LOURON</t>
  </si>
  <si>
    <t>SOUEICH</t>
  </si>
  <si>
    <t>CORNOT</t>
  </si>
  <si>
    <t>BOURBEVELLE</t>
  </si>
  <si>
    <t>TRAENHEIM</t>
  </si>
  <si>
    <t>VILLERS-SOUS-PRENY</t>
  </si>
  <si>
    <t>VILLIERS-SUR-SUIZE</t>
  </si>
  <si>
    <t>PREYSSAC-D'EXCIDEUIL</t>
  </si>
  <si>
    <t>LUPPE-VIOLLES</t>
  </si>
  <si>
    <t>BOQUEHO</t>
  </si>
  <si>
    <t>MERITEIN</t>
  </si>
  <si>
    <t>THODURE</t>
  </si>
  <si>
    <t>59177</t>
  </si>
  <si>
    <t>RAINSARS</t>
  </si>
  <si>
    <t>DUESME</t>
  </si>
  <si>
    <t>59293</t>
  </si>
  <si>
    <t>NEUVILLE-SUR-ESCAUT</t>
  </si>
  <si>
    <t>BIRON</t>
  </si>
  <si>
    <t>LA CHAPELLE-BAYVEL</t>
  </si>
  <si>
    <t>WEYER</t>
  </si>
  <si>
    <t>43000</t>
  </si>
  <si>
    <t>ESPALY-SAINT-MARCEL</t>
  </si>
  <si>
    <t>GODISSON</t>
  </si>
  <si>
    <t>DADONVILLE</t>
  </si>
  <si>
    <t>PERONNE</t>
  </si>
  <si>
    <t>CHAUFFOUR-LES-BAILLY</t>
  </si>
  <si>
    <t>BARRET-SUR-MEOUGE</t>
  </si>
  <si>
    <t>SENARENS</t>
  </si>
  <si>
    <t>73150</t>
  </si>
  <si>
    <t>VAL-D'ISERE</t>
  </si>
  <si>
    <t>BAILLEVAL</t>
  </si>
  <si>
    <t>17880</t>
  </si>
  <si>
    <t>LES PORTES-EN-RE</t>
  </si>
  <si>
    <t>EPINOY</t>
  </si>
  <si>
    <t>TRESSANGE</t>
  </si>
  <si>
    <t>MONT-ET-MARRE</t>
  </si>
  <si>
    <t>59910</t>
  </si>
  <si>
    <t>BONDUES</t>
  </si>
  <si>
    <t>SAINT-VINCENT-DE-DURFORT</t>
  </si>
  <si>
    <t>NOTRE-DAME-D'ALLENCON</t>
  </si>
  <si>
    <t>MONT-L'ETROIT</t>
  </si>
  <si>
    <t>MARGUERITTES</t>
  </si>
  <si>
    <t>89710</t>
  </si>
  <si>
    <t>VOLGRE</t>
  </si>
  <si>
    <t>LOVAGNY</t>
  </si>
  <si>
    <t>CISERY</t>
  </si>
  <si>
    <t>FRANCONVILLE</t>
  </si>
  <si>
    <t>SAINT-OUEN-EN-BELIN</t>
  </si>
  <si>
    <t>LE MONT-SAINT-MICHEL</t>
  </si>
  <si>
    <t>MONTLAUZUN</t>
  </si>
  <si>
    <t>GREMECEY</t>
  </si>
  <si>
    <t>59491/59493/59650</t>
  </si>
  <si>
    <t>VILLENEUVE-D'ASCQ</t>
  </si>
  <si>
    <t>BOUILLE-SAINT-PAUL</t>
  </si>
  <si>
    <t>49370</t>
  </si>
  <si>
    <t>LE LOUROUX-BECONNAIS</t>
  </si>
  <si>
    <t>13440</t>
  </si>
  <si>
    <t>CABANNES</t>
  </si>
  <si>
    <t>MILHARS</t>
  </si>
  <si>
    <t>EU</t>
  </si>
  <si>
    <t>SAINT-SATURNIN-SUR-LOIRE</t>
  </si>
  <si>
    <t>CHAMPEAU-EN-MORVAN</t>
  </si>
  <si>
    <t>FAJOLLES</t>
  </si>
  <si>
    <t>HAUTECOUR</t>
  </si>
  <si>
    <t>LENTIOL</t>
  </si>
  <si>
    <t>ISBERGUES</t>
  </si>
  <si>
    <t>SAINT-MARTIN-LE-VINOUX</t>
  </si>
  <si>
    <t>SERMAIZE-LES-BAINS</t>
  </si>
  <si>
    <t>FLAVIGNAC</t>
  </si>
  <si>
    <t>FOSSES</t>
  </si>
  <si>
    <t>76250</t>
  </si>
  <si>
    <t>DEVILLE-LES-ROUEN</t>
  </si>
  <si>
    <t>JALOGNES</t>
  </si>
  <si>
    <t>18150</t>
  </si>
  <si>
    <t>LE CHAUTAY</t>
  </si>
  <si>
    <t>MONTESSAUX</t>
  </si>
  <si>
    <t>68260</t>
  </si>
  <si>
    <t>KINGERSHEIM</t>
  </si>
  <si>
    <t>59170</t>
  </si>
  <si>
    <t>FELZINS</t>
  </si>
  <si>
    <t>HARPRICH</t>
  </si>
  <si>
    <t>19550</t>
  </si>
  <si>
    <t>SAINT-HILAIRE-FOISSAC</t>
  </si>
  <si>
    <t>SAINT-BRANCHS</t>
  </si>
  <si>
    <t>PRESSAGNY-L'ORGUEILLEUX</t>
  </si>
  <si>
    <t>SAMMARCOLLES</t>
  </si>
  <si>
    <t>MAREUIL</t>
  </si>
  <si>
    <t>CUCHERY</t>
  </si>
  <si>
    <t>38610</t>
  </si>
  <si>
    <t>VENON</t>
  </si>
  <si>
    <t>AMBERRE</t>
  </si>
  <si>
    <t>CHAMPRENAULT</t>
  </si>
  <si>
    <t>RIOZ</t>
  </si>
  <si>
    <t>84270</t>
  </si>
  <si>
    <t>VEDENE</t>
  </si>
  <si>
    <t>LES BORDES</t>
  </si>
  <si>
    <t>VILLERS-SIR-SIMON</t>
  </si>
  <si>
    <t>41200</t>
  </si>
  <si>
    <t>PRUNIERS-EN-SOLOGNE</t>
  </si>
  <si>
    <t>SAINT-SIMEUX</t>
  </si>
  <si>
    <t>PIERRE-PERTHUIS</t>
  </si>
  <si>
    <t>95630</t>
  </si>
  <si>
    <t>MERIEL</t>
  </si>
  <si>
    <t>AUZITS</t>
  </si>
  <si>
    <t>4850</t>
  </si>
  <si>
    <t>JAUSIERS</t>
  </si>
  <si>
    <t>SORBEY</t>
  </si>
  <si>
    <t>FIGANIERES</t>
  </si>
  <si>
    <t>BLARINGHEM</t>
  </si>
  <si>
    <t>ROUSSY-LE-VILLAGE</t>
  </si>
  <si>
    <t>VILLE-DEVANT-BELRAIN</t>
  </si>
  <si>
    <t>LEFFINCOURT</t>
  </si>
  <si>
    <t>FROTEY-LES-VESOUL</t>
  </si>
  <si>
    <t>LOISON</t>
  </si>
  <si>
    <t>VIVIER-AU-COURT</t>
  </si>
  <si>
    <t>TALLENDE</t>
  </si>
  <si>
    <t>35730</t>
  </si>
  <si>
    <t>PLEURTUIT</t>
  </si>
  <si>
    <t>LA TRANCLIERE</t>
  </si>
  <si>
    <t>VANZAC</t>
  </si>
  <si>
    <t>ROCHEPAULE</t>
  </si>
  <si>
    <t>MEHERS</t>
  </si>
  <si>
    <t>67115</t>
  </si>
  <si>
    <t>PLOBSHEIM</t>
  </si>
  <si>
    <t>88470</t>
  </si>
  <si>
    <t>42550</t>
  </si>
  <si>
    <t>APINAC</t>
  </si>
  <si>
    <t>VILLECHANTRIA</t>
  </si>
  <si>
    <t>FREMICOURT</t>
  </si>
  <si>
    <t>PLAINE-DE-WALSCH</t>
  </si>
  <si>
    <t>SAINT-LEGER-SUR-SARTHE</t>
  </si>
  <si>
    <t>SOREL</t>
  </si>
  <si>
    <t>LA DIGNE-D'AMONT</t>
  </si>
  <si>
    <t>NEAUX</t>
  </si>
  <si>
    <t>MOIRY</t>
  </si>
  <si>
    <t>GENOD</t>
  </si>
  <si>
    <t>86380</t>
  </si>
  <si>
    <t>VENDEUVRE-DU-POITOU</t>
  </si>
  <si>
    <t>BEAUREGARD-BARET</t>
  </si>
  <si>
    <t>ANGLURE</t>
  </si>
  <si>
    <t>60000</t>
  </si>
  <si>
    <t>AUX MARAIS</t>
  </si>
  <si>
    <t>SAINT-JEAN-DE-THURIGNEUX</t>
  </si>
  <si>
    <t>49300</t>
  </si>
  <si>
    <t>CHOLET</t>
  </si>
  <si>
    <t>TERRASSON-LAVILLEDIEU</t>
  </si>
  <si>
    <t>SAINT-GEORGES-DU-ROSAY</t>
  </si>
  <si>
    <t>YVIERS</t>
  </si>
  <si>
    <t>LLUPIA</t>
  </si>
  <si>
    <t>CASTELNAUDARY</t>
  </si>
  <si>
    <t>SAINT-CYR-DES-GATS</t>
  </si>
  <si>
    <t>NEUVILLE-EN-VERDUNOIS</t>
  </si>
  <si>
    <t>BOURTH</t>
  </si>
  <si>
    <t>FREMONTIERS</t>
  </si>
  <si>
    <t>95300</t>
  </si>
  <si>
    <t>ENNERY</t>
  </si>
  <si>
    <t>SAUGUIS-SAINT-ETIENNE</t>
  </si>
  <si>
    <t>POULLAN-SUR-MER</t>
  </si>
  <si>
    <t>64990</t>
  </si>
  <si>
    <t>MOUGUERRE</t>
  </si>
  <si>
    <t>ARDELLES</t>
  </si>
  <si>
    <t>TUGERAS-SAINT-MAURICE</t>
  </si>
  <si>
    <t>BAYONVILLERS</t>
  </si>
  <si>
    <t>CHATEAU-SALINS</t>
  </si>
  <si>
    <t>VAUMAS</t>
  </si>
  <si>
    <t>GENILLE</t>
  </si>
  <si>
    <t>CHATELNEUF</t>
  </si>
  <si>
    <t>DOUAINS</t>
  </si>
  <si>
    <t>FONTENAY-LE-VICOMTE</t>
  </si>
  <si>
    <t>LAHITERE</t>
  </si>
  <si>
    <t>31820</t>
  </si>
  <si>
    <t>PIBRAC</t>
  </si>
  <si>
    <t>CHAUMONT-LA-VILLE</t>
  </si>
  <si>
    <t>PREURES</t>
  </si>
  <si>
    <t>L'HOPITAL-SAINT-BLAISE</t>
  </si>
  <si>
    <t>SAINT-JULIEN-D'EYMET</t>
  </si>
  <si>
    <t>COLTINES</t>
  </si>
  <si>
    <t>SAINT-PANCRASSE</t>
  </si>
  <si>
    <t>LAMAZERE</t>
  </si>
  <si>
    <t>5350</t>
  </si>
  <si>
    <t>ARVIEUX</t>
  </si>
  <si>
    <t>BAROU-EN-AUGE</t>
  </si>
  <si>
    <t>MANIN</t>
  </si>
  <si>
    <t>88340</t>
  </si>
  <si>
    <t>LE VAL-D'AJOL</t>
  </si>
  <si>
    <t>35800</t>
  </si>
  <si>
    <t>SAINT-LUNAIRE</t>
  </si>
  <si>
    <t>AUTEVIELLE-SAINT-MARTIN-BIDEREN</t>
  </si>
  <si>
    <t>LIZANT</t>
  </si>
  <si>
    <t>14850</t>
  </si>
  <si>
    <t>ESCOVILLE</t>
  </si>
  <si>
    <t>VIPLAIX</t>
  </si>
  <si>
    <t>PLUMONT</t>
  </si>
  <si>
    <t>THOREY-LYAUTEY</t>
  </si>
  <si>
    <t>SOIRANS</t>
  </si>
  <si>
    <t>PEYRE</t>
  </si>
  <si>
    <t>CAZAUX</t>
  </si>
  <si>
    <t>82300</t>
  </si>
  <si>
    <t>CAUSSADE</t>
  </si>
  <si>
    <t>LA ROCQUE</t>
  </si>
  <si>
    <t>LAVAL-ATGER</t>
  </si>
  <si>
    <t>35830</t>
  </si>
  <si>
    <t>BETTON</t>
  </si>
  <si>
    <t>69560</t>
  </si>
  <si>
    <t>SAINT-ROMAIN-EN-GAL</t>
  </si>
  <si>
    <t>BOMY</t>
  </si>
  <si>
    <t>GIEY-SUR-AUJON</t>
  </si>
  <si>
    <t>HESTRUD</t>
  </si>
  <si>
    <t>77165</t>
  </si>
  <si>
    <t>CUISY</t>
  </si>
  <si>
    <t>VILLARIES</t>
  </si>
  <si>
    <t>LESPUGUE</t>
  </si>
  <si>
    <t>CHOUPPES</t>
  </si>
  <si>
    <t>CIREY-SUR-VEZOUZE</t>
  </si>
  <si>
    <t>CITRY</t>
  </si>
  <si>
    <t>LES ETANGS</t>
  </si>
  <si>
    <t>SOLEYMIEUX</t>
  </si>
  <si>
    <t>66200</t>
  </si>
  <si>
    <t>ELNE</t>
  </si>
  <si>
    <t>LE MOUSTOIR</t>
  </si>
  <si>
    <t>RAMERUPT</t>
  </si>
  <si>
    <t>LIVET-ET-GAVET</t>
  </si>
  <si>
    <t>SAUCHY-LESTREE</t>
  </si>
  <si>
    <t>GINCLA</t>
  </si>
  <si>
    <t>56410</t>
  </si>
  <si>
    <t>ETEL</t>
  </si>
  <si>
    <t>BOIS-GUILLAUME-BIHOREL</t>
  </si>
  <si>
    <t>SAUVOY</t>
  </si>
  <si>
    <t>SAINT-DENIS-DE-VILLENETTE</t>
  </si>
  <si>
    <t>CHALIFERT</t>
  </si>
  <si>
    <t>24630</t>
  </si>
  <si>
    <t>JUMILHAC-LE-GRAND</t>
  </si>
  <si>
    <t>ZEGERSCAPPEL</t>
  </si>
  <si>
    <t>SAINT-SYMPHORIEN-DE-LAY</t>
  </si>
  <si>
    <t>LE RENOUARD</t>
  </si>
  <si>
    <t>SAINT-GEORGES-DU-MESNIL</t>
  </si>
  <si>
    <t>LA VILLENEUVE-BELLENOYE-ET-LA-MAIZE</t>
  </si>
  <si>
    <t>GREVILLY</t>
  </si>
  <si>
    <t>NAINTRE</t>
  </si>
  <si>
    <t>AUTICHAMP</t>
  </si>
  <si>
    <t>PEZENAS</t>
  </si>
  <si>
    <t>TROGUERY</t>
  </si>
  <si>
    <t>43350</t>
  </si>
  <si>
    <t>BORNE</t>
  </si>
  <si>
    <t>CRAONNE</t>
  </si>
  <si>
    <t>RODILHAN</t>
  </si>
  <si>
    <t>71550</t>
  </si>
  <si>
    <t>CUSSY-EN-MORVAN</t>
  </si>
  <si>
    <t>MORTON</t>
  </si>
  <si>
    <t>SENUC</t>
  </si>
  <si>
    <t>FRANCALTROFF</t>
  </si>
  <si>
    <t>LE MESNIL-CAUSSOIS</t>
  </si>
  <si>
    <t>HERBISSE</t>
  </si>
  <si>
    <t>ESLETTES</t>
  </si>
  <si>
    <t>ROURE</t>
  </si>
  <si>
    <t>44840</t>
  </si>
  <si>
    <t>LES SORINIERES</t>
  </si>
  <si>
    <t>LA NEUVILLE-BOSMONT</t>
  </si>
  <si>
    <t>77630</t>
  </si>
  <si>
    <t>BARBIZON</t>
  </si>
  <si>
    <t>ESSEGNEY</t>
  </si>
  <si>
    <t>86270</t>
  </si>
  <si>
    <t>COUSSAY-LES-BOIS</t>
  </si>
  <si>
    <t>SAINT-PIERREVILLE</t>
  </si>
  <si>
    <t>VILLOGNON</t>
  </si>
  <si>
    <t>VENTENAC</t>
  </si>
  <si>
    <t>69330</t>
  </si>
  <si>
    <t>JONAGE</t>
  </si>
  <si>
    <t>LISLE</t>
  </si>
  <si>
    <t>SAINT-MICHEL-DE-MONTJOIE</t>
  </si>
  <si>
    <t>SAINT-HYMETIERE</t>
  </si>
  <si>
    <t>NOHIC</t>
  </si>
  <si>
    <t>FOURCATIER-ET-MAISON-NEUVE</t>
  </si>
  <si>
    <t>CHALAIN-D'UZORE</t>
  </si>
  <si>
    <t>COETMIEUX</t>
  </si>
  <si>
    <t>CHILHAC</t>
  </si>
  <si>
    <t>MARDIE</t>
  </si>
  <si>
    <t>SAINT-GENGOUX-LE-NATIONAL</t>
  </si>
  <si>
    <t>MONTAIN</t>
  </si>
  <si>
    <t>LADEVEZE-RIVIERE</t>
  </si>
  <si>
    <t>53220</t>
  </si>
  <si>
    <t>SAINT-BERTHEVIN-LA-TANNIERE</t>
  </si>
  <si>
    <t>13870</t>
  </si>
  <si>
    <t>ROGNONAS</t>
  </si>
  <si>
    <t>SAINT-LARY-BOUJEAN</t>
  </si>
  <si>
    <t>TAJAN</t>
  </si>
  <si>
    <t>VENEY</t>
  </si>
  <si>
    <t>CAIRON</t>
  </si>
  <si>
    <t>2B095</t>
  </si>
  <si>
    <t>CORSCIA</t>
  </si>
  <si>
    <t>REMEREVILLE</t>
  </si>
  <si>
    <t>VERRIERES-EN-FOREZ</t>
  </si>
  <si>
    <t>BERTHOUVILLE</t>
  </si>
  <si>
    <t>LEULINGHEM</t>
  </si>
  <si>
    <t>VITRY-EN-MONTAGNE</t>
  </si>
  <si>
    <t>BOURNAINVILLE-FAVEROLLES</t>
  </si>
  <si>
    <t>35134</t>
  </si>
  <si>
    <t>THOURIE</t>
  </si>
  <si>
    <t>SEVERAC-L'EGLISE</t>
  </si>
  <si>
    <t>SERMUR</t>
  </si>
  <si>
    <t>HIREL</t>
  </si>
  <si>
    <t>40000</t>
  </si>
  <si>
    <t>MONT-DE-MARSAN</t>
  </si>
  <si>
    <t>VILLEREAU</t>
  </si>
  <si>
    <t>PIERREFONTAINE-LES-BLAMONT</t>
  </si>
  <si>
    <t>RIBARROUY</t>
  </si>
  <si>
    <t>LUSANGER</t>
  </si>
  <si>
    <t>LES MOUTIERS-HUBERT</t>
  </si>
  <si>
    <t>23240</t>
  </si>
  <si>
    <t>CHAMBORAND</t>
  </si>
  <si>
    <t>DIEMOZ</t>
  </si>
  <si>
    <t>COURCERAC</t>
  </si>
  <si>
    <t>MONTIGNY-SUR-VESLE</t>
  </si>
  <si>
    <t>AIGLUN</t>
  </si>
  <si>
    <t>BRUNEMBERT</t>
  </si>
  <si>
    <t>RIEL-LES-EAUX</t>
  </si>
  <si>
    <t>PONT-DE-RUAN</t>
  </si>
  <si>
    <t>BOUEE</t>
  </si>
  <si>
    <t>84850</t>
  </si>
  <si>
    <t>TRAVAILLAN</t>
  </si>
  <si>
    <t>BEVONS</t>
  </si>
  <si>
    <t>MIRAUMONT</t>
  </si>
  <si>
    <t>MASTAING</t>
  </si>
  <si>
    <t>AUJAN-MOURNEDE</t>
  </si>
  <si>
    <t>SOULIGNE-FLACE</t>
  </si>
  <si>
    <t>LES MONTHAIRONS</t>
  </si>
  <si>
    <t>SAINT-ETIENNE-DE-PUYCORBIER</t>
  </si>
  <si>
    <t>CHERANCE</t>
  </si>
  <si>
    <t>CERNUSSON</t>
  </si>
  <si>
    <t>TRAMAIN</t>
  </si>
  <si>
    <t>GOUALADE</t>
  </si>
  <si>
    <t>34770</t>
  </si>
  <si>
    <t>GIGEAN</t>
  </si>
  <si>
    <t>78890</t>
  </si>
  <si>
    <t>GARANCIERES</t>
  </si>
  <si>
    <t>SIGONCE</t>
  </si>
  <si>
    <t>COMMENCHON</t>
  </si>
  <si>
    <t>ARTHONNAY</t>
  </si>
  <si>
    <t>HURECOURT</t>
  </si>
  <si>
    <t>43360</t>
  </si>
  <si>
    <t>SAINT-GERON</t>
  </si>
  <si>
    <t>BISSEY-SOUS-CRUCHAUD</t>
  </si>
  <si>
    <t>SAINT-LAURENT-EN-CAUX</t>
  </si>
  <si>
    <t>LE FAVRIL</t>
  </si>
  <si>
    <t>CREVANT-LAVEINE</t>
  </si>
  <si>
    <t>BLANDIN</t>
  </si>
  <si>
    <t>FUMEL</t>
  </si>
  <si>
    <t>SAINT-VOIR</t>
  </si>
  <si>
    <t>OHAIN</t>
  </si>
  <si>
    <t>MONT-DE-MARRAST</t>
  </si>
  <si>
    <t>PUIHARDY</t>
  </si>
  <si>
    <t>RELANGES</t>
  </si>
  <si>
    <t>FOURNOULES</t>
  </si>
  <si>
    <t>MONTLOUE</t>
  </si>
  <si>
    <t>LALLEYRIAT</t>
  </si>
  <si>
    <t>62159</t>
  </si>
  <si>
    <t>LAGNICOURT-MARCEL</t>
  </si>
  <si>
    <t>35540</t>
  </si>
  <si>
    <t>PLERGUER</t>
  </si>
  <si>
    <t>CHEVIGNEY-SUR-L'OGNON</t>
  </si>
  <si>
    <t>ROMAGNE-SOUS-MONTFAUCON</t>
  </si>
  <si>
    <t>RAVEL</t>
  </si>
  <si>
    <t>MONT-LOUIS</t>
  </si>
  <si>
    <t>NEUVY-GRANDCHAMP</t>
  </si>
  <si>
    <t>VILLIERS-LOUIS</t>
  </si>
  <si>
    <t>REHAINCOURT</t>
  </si>
  <si>
    <t>FRANCOURT</t>
  </si>
  <si>
    <t>BELLEAU</t>
  </si>
  <si>
    <t>GUECELARD</t>
  </si>
  <si>
    <t>CHENEVREY-ET-MOROGNE</t>
  </si>
  <si>
    <t>1960</t>
  </si>
  <si>
    <t>ARTHEZ-DE-BEARN</t>
  </si>
  <si>
    <t>SAINT-LAURENT-DES-VIGNES</t>
  </si>
  <si>
    <t>LA CHAPELLE-FORAINVILLIERS</t>
  </si>
  <si>
    <t>MARQUEGLISE</t>
  </si>
  <si>
    <t>CLEON-D'ANDRAN</t>
  </si>
  <si>
    <t>VILSBERG</t>
  </si>
  <si>
    <t>VIGNOT</t>
  </si>
  <si>
    <t>PLEUMARTIN</t>
  </si>
  <si>
    <t>6530</t>
  </si>
  <si>
    <t>PEYMEINADE</t>
  </si>
  <si>
    <t>SCHALBACH</t>
  </si>
  <si>
    <t>BREUX-SUR-AVRE</t>
  </si>
  <si>
    <t>TOY-VIAM</t>
  </si>
  <si>
    <t>MARCILLY-SUR-SEINE</t>
  </si>
  <si>
    <t>AUVERS-LE-HAMON</t>
  </si>
  <si>
    <t>ROUZIERS</t>
  </si>
  <si>
    <t>BERMERAIN</t>
  </si>
  <si>
    <t>BAILLY-LE-FRANC</t>
  </si>
  <si>
    <t>CHAMPDOTRE</t>
  </si>
  <si>
    <t>CARLY</t>
  </si>
  <si>
    <t>CURNIER</t>
  </si>
  <si>
    <t>VILLERMAIN</t>
  </si>
  <si>
    <t>AUTRECHE</t>
  </si>
  <si>
    <t>VAUDEBARRIER</t>
  </si>
  <si>
    <t>SAINS-LES-MARQUION</t>
  </si>
  <si>
    <t>SAINT-PIERRE-DE-SEMILLY</t>
  </si>
  <si>
    <t>SAINT-VICTOR-DE-CESSIEU</t>
  </si>
  <si>
    <t>CESSAC</t>
  </si>
  <si>
    <t>COURVILLE</t>
  </si>
  <si>
    <t>SAINT-DALMAS-LE-SELVAGE</t>
  </si>
  <si>
    <t>ARGENVIERES</t>
  </si>
  <si>
    <t>59660</t>
  </si>
  <si>
    <t>RECURT</t>
  </si>
  <si>
    <t>FARGES-LES-MACON</t>
  </si>
  <si>
    <t>MARCELLAZ-ALBANAIS</t>
  </si>
  <si>
    <t>AMBRUGEAT</t>
  </si>
  <si>
    <t>LUXE-SUMBERRAUTE</t>
  </si>
  <si>
    <t>VENDOIRE</t>
  </si>
  <si>
    <t>61490</t>
  </si>
  <si>
    <t>SAINT-CLAIR-DE-HALOUZE</t>
  </si>
  <si>
    <t>CRION</t>
  </si>
  <si>
    <t>SERVON-MELZICOURT</t>
  </si>
  <si>
    <t>87460</t>
  </si>
  <si>
    <t>CHEISSOUX</t>
  </si>
  <si>
    <t>DAMPIERRE-ET-FLEE</t>
  </si>
  <si>
    <t>2B178</t>
  </si>
  <si>
    <t>NONZA</t>
  </si>
  <si>
    <t>27770</t>
  </si>
  <si>
    <t>ILLIERS-L'EVEQUE</t>
  </si>
  <si>
    <t>SAINT-HAON-LE-VIEUX</t>
  </si>
  <si>
    <t>PILLEMOINE</t>
  </si>
  <si>
    <t>VINGRAU</t>
  </si>
  <si>
    <t>13820</t>
  </si>
  <si>
    <t>ENSUES-LA-REDONNE</t>
  </si>
  <si>
    <t>BRAUX-LE-CHATEL</t>
  </si>
  <si>
    <t>79260</t>
  </si>
  <si>
    <t>SAINTE-NEOMAYE</t>
  </si>
  <si>
    <t>JUIGNAC</t>
  </si>
  <si>
    <t>CASTELRENG</t>
  </si>
  <si>
    <t>FRAMBOUHANS</t>
  </si>
  <si>
    <t>94370</t>
  </si>
  <si>
    <t>SUCY-EN-BRIE</t>
  </si>
  <si>
    <t>80830</t>
  </si>
  <si>
    <t>BOUCHON</t>
  </si>
  <si>
    <t>BOSSUGAN</t>
  </si>
  <si>
    <t>VILLEPAROIS</t>
  </si>
  <si>
    <t>LOUBARESSE</t>
  </si>
  <si>
    <t>VILLEREST</t>
  </si>
  <si>
    <t>MATHENAY</t>
  </si>
  <si>
    <t>BAZORDAN</t>
  </si>
  <si>
    <t>FIERVILLE-LES-MINES</t>
  </si>
  <si>
    <t>31270</t>
  </si>
  <si>
    <t>VILLENEUVE-TOLOSANE</t>
  </si>
  <si>
    <t>COIN-SUR-SEILLE</t>
  </si>
  <si>
    <t>DAME-MARIE-LES-BOIS</t>
  </si>
  <si>
    <t>LARODDE</t>
  </si>
  <si>
    <t>SAND</t>
  </si>
  <si>
    <t>FOISCHES</t>
  </si>
  <si>
    <t>SAINT-YZAN-DE-SOUDIAC</t>
  </si>
  <si>
    <t>MONTHUREUX-LE-SEC</t>
  </si>
  <si>
    <t>72330</t>
  </si>
  <si>
    <t>LA FONTAINE-SAINT-MARTIN</t>
  </si>
  <si>
    <t>LA VRAIE-CROIX</t>
  </si>
  <si>
    <t>MAZAYE</t>
  </si>
  <si>
    <t>HEMING</t>
  </si>
  <si>
    <t>CABRIERES-D'AIGUES</t>
  </si>
  <si>
    <t>SAINT-CYR-LES-CHAMPAGNES</t>
  </si>
  <si>
    <t>PONT-L'ABBE</t>
  </si>
  <si>
    <t>CORDEAC</t>
  </si>
  <si>
    <t>4160</t>
  </si>
  <si>
    <t>CHATEAU-ARNOUX-SAINT-AUBAN</t>
  </si>
  <si>
    <t>SAINT-PIERRE-LES-BOIS</t>
  </si>
  <si>
    <t>PARGNY-FILAIN</t>
  </si>
  <si>
    <t>AURIERES</t>
  </si>
  <si>
    <t>SANCHEVILLE</t>
  </si>
  <si>
    <t>LA GENEVROYE</t>
  </si>
  <si>
    <t>CHAMBEIRE</t>
  </si>
  <si>
    <t>29480</t>
  </si>
  <si>
    <t>LE RELECQ-KERHUON</t>
  </si>
  <si>
    <t>BAZOCHES-SUR-HOENE</t>
  </si>
  <si>
    <t>LES MOLIERES</t>
  </si>
  <si>
    <t>LUCEAU</t>
  </si>
  <si>
    <t>CHAUGEY</t>
  </si>
  <si>
    <t>VIDOU</t>
  </si>
  <si>
    <t>84450</t>
  </si>
  <si>
    <t>JONQUERETTES</t>
  </si>
  <si>
    <t>MARCHES</t>
  </si>
  <si>
    <t>87470</t>
  </si>
  <si>
    <t>PEYRAT-LE-CHATEAU</t>
  </si>
  <si>
    <t>42630</t>
  </si>
  <si>
    <t>ETREPIGNEY</t>
  </si>
  <si>
    <t>PRAY</t>
  </si>
  <si>
    <t>CHANONAT</t>
  </si>
  <si>
    <t>LAGRAULIERE</t>
  </si>
  <si>
    <t>BIOLLET</t>
  </si>
  <si>
    <t>BOUY-LUXEMBOURG</t>
  </si>
  <si>
    <t>2B150</t>
  </si>
  <si>
    <t>LUMIO</t>
  </si>
  <si>
    <t>CHANTECOQ</t>
  </si>
  <si>
    <t>CHENECHE</t>
  </si>
  <si>
    <t>MARIGNE-LAILLE</t>
  </si>
  <si>
    <t>SILLY-LE-LONG</t>
  </si>
  <si>
    <t>BRENELLE</t>
  </si>
  <si>
    <t>BRANSAT</t>
  </si>
  <si>
    <t>ESTIVAUX</t>
  </si>
  <si>
    <t>ROCQUES</t>
  </si>
  <si>
    <t>SAINT-GERAND-LE-PUY</t>
  </si>
  <si>
    <t>SABLONS</t>
  </si>
  <si>
    <t>ROMENY-SUR-MARNE</t>
  </si>
  <si>
    <t>MONTADY</t>
  </si>
  <si>
    <t>FISMES</t>
  </si>
  <si>
    <t>AIGALIERS</t>
  </si>
  <si>
    <t>MONETIER-ALLEMONT</t>
  </si>
  <si>
    <t>57070</t>
  </si>
  <si>
    <t>MEY</t>
  </si>
  <si>
    <t>HAM-EN-ARTOIS</t>
  </si>
  <si>
    <t>SAINT-PIERRE-DE-CHERENNES</t>
  </si>
  <si>
    <t>CAMBLAIN-L'ABBE</t>
  </si>
  <si>
    <t>57290</t>
  </si>
  <si>
    <t>FAMECK</t>
  </si>
  <si>
    <t>SAINT-LUPICIN</t>
  </si>
  <si>
    <t>UNAC</t>
  </si>
  <si>
    <t>ESCONNETS</t>
  </si>
  <si>
    <t>5260</t>
  </si>
  <si>
    <t>SAINT-MICHEL-DE-CHAILLOL</t>
  </si>
  <si>
    <t>SAINT-HILAIRE-DU-BOIS</t>
  </si>
  <si>
    <t>SOUBES</t>
  </si>
  <si>
    <t>MONTCEAUX-LES-VAUDES</t>
  </si>
  <si>
    <t>WIZERNES</t>
  </si>
  <si>
    <t>CONTES</t>
  </si>
  <si>
    <t>71670</t>
  </si>
  <si>
    <t>SAINT-PIERRE-DE-VARENNES</t>
  </si>
  <si>
    <t>LE TIERCENT</t>
  </si>
  <si>
    <t>VIGNOUX-SUR-BARANGEON</t>
  </si>
  <si>
    <t>BOURDONNE</t>
  </si>
  <si>
    <t>SERGEAC</t>
  </si>
  <si>
    <t>2630</t>
  </si>
  <si>
    <t>MENNEVRET</t>
  </si>
  <si>
    <t>RAMOULU</t>
  </si>
  <si>
    <t>LA PETITE-PIERRE</t>
  </si>
  <si>
    <t>TIESTE-URAGNOUX</t>
  </si>
  <si>
    <t>GIEN-SUR-CURE</t>
  </si>
  <si>
    <t>VARSBERG</t>
  </si>
  <si>
    <t>RAZINES</t>
  </si>
  <si>
    <t>SECHEVAL</t>
  </si>
  <si>
    <t>POMPORT</t>
  </si>
  <si>
    <t>SAINTE-GEMMES</t>
  </si>
  <si>
    <t>GUILLAC</t>
  </si>
  <si>
    <t>THORIGNE-EN-CHARNIE</t>
  </si>
  <si>
    <t>MONT-BERTRAND</t>
  </si>
  <si>
    <t>BRULON</t>
  </si>
  <si>
    <t>38370</t>
  </si>
  <si>
    <t>LES ROCHES-DE-CONDRIEU</t>
  </si>
  <si>
    <t>BILLOM</t>
  </si>
  <si>
    <t>SECQUEVILLE-EN-BESSIN</t>
  </si>
  <si>
    <t>LE TORP-MESNIL</t>
  </si>
  <si>
    <t>AUBAIS</t>
  </si>
  <si>
    <t>LA FARE-EN-CHAMPSAUR</t>
  </si>
  <si>
    <t>CHAILLON</t>
  </si>
  <si>
    <t>LE POMPIDOU</t>
  </si>
  <si>
    <t>OCCOCHES</t>
  </si>
  <si>
    <t>GIROMAGNY</t>
  </si>
  <si>
    <t>RABAT-LES-TROIS-SEIGNEURS</t>
  </si>
  <si>
    <t>VILLERS-EN-ARTHIES</t>
  </si>
  <si>
    <t>72310</t>
  </si>
  <si>
    <t>BESSE-SUR-BRAYE</t>
  </si>
  <si>
    <t>17137</t>
  </si>
  <si>
    <t>ESNANDES</t>
  </si>
  <si>
    <t>MACOGNY</t>
  </si>
  <si>
    <t>LEUCAMP</t>
  </si>
  <si>
    <t>SOISSONS-SUR-NACEY</t>
  </si>
  <si>
    <t>VILLE-SUR-YRON</t>
  </si>
  <si>
    <t>VIABON</t>
  </si>
  <si>
    <t>VIGNEC</t>
  </si>
  <si>
    <t>FLETY</t>
  </si>
  <si>
    <t>GEZIER-ET-FONTENELAY</t>
  </si>
  <si>
    <t>38134</t>
  </si>
  <si>
    <t>SAINT-JULIEN-DE-RAZ</t>
  </si>
  <si>
    <t>DOMPIERRE-SUR-VEYLE</t>
  </si>
  <si>
    <t>GRATENTOUR</t>
  </si>
  <si>
    <t>HABLOVILLE</t>
  </si>
  <si>
    <t>CERNOY</t>
  </si>
  <si>
    <t>SAINT-BONNET-SUR-GIRONDE</t>
  </si>
  <si>
    <t>FEUQUIERES-EN-VIMEU</t>
  </si>
  <si>
    <t>SAINT-SORLIN-DE-CONAC</t>
  </si>
  <si>
    <t>MONTHOU-SUR-CHER</t>
  </si>
  <si>
    <t>RHINAU</t>
  </si>
  <si>
    <t>HOENHEIM</t>
  </si>
  <si>
    <t>NOUVION-ET-CATILLON</t>
  </si>
  <si>
    <t>78450</t>
  </si>
  <si>
    <t>CHAVENAY</t>
  </si>
  <si>
    <t>MONTESPAN</t>
  </si>
  <si>
    <t>VIEUX-RENG</t>
  </si>
  <si>
    <t>2B291</t>
  </si>
  <si>
    <t>STAZZONA</t>
  </si>
  <si>
    <t>LA CHAPELLE-BLANCHE-SAINT-MARTIN</t>
  </si>
  <si>
    <t>LEBOULIN</t>
  </si>
  <si>
    <t>CARAGOUDES</t>
  </si>
  <si>
    <t>BOIS-BERNARD</t>
  </si>
  <si>
    <t>71118</t>
  </si>
  <si>
    <t>SAINT-MARTIN-BELLE-ROCHE</t>
  </si>
  <si>
    <t>89113</t>
  </si>
  <si>
    <t>BRANCHES</t>
  </si>
  <si>
    <t>33910</t>
  </si>
  <si>
    <t>SAVIGNAC-DE-L'ISLE</t>
  </si>
  <si>
    <t>21820</t>
  </si>
  <si>
    <t>LABERGEMENT-LES-SEURRE</t>
  </si>
  <si>
    <t>62420</t>
  </si>
  <si>
    <t>BILLY-MONTIGNY</t>
  </si>
  <si>
    <t>SAMAN</t>
  </si>
  <si>
    <t>LESBOEUFS</t>
  </si>
  <si>
    <t>BEAUCOURT-SUR-L'HALLUE</t>
  </si>
  <si>
    <t>GAAS</t>
  </si>
  <si>
    <t>SAINT-MICHEL-DE-DEZE</t>
  </si>
  <si>
    <t>CHAPELLE-VALLON</t>
  </si>
  <si>
    <t>JEANDELIZE</t>
  </si>
  <si>
    <t>SCHARRACHBERGHEIM-IRMSTETT</t>
  </si>
  <si>
    <t>CIRY-SALSOGNE</t>
  </si>
  <si>
    <t>LA NEUVILLE-EN-HEZ</t>
  </si>
  <si>
    <t>BEAULIEU-SOUS-LA-ROCHE</t>
  </si>
  <si>
    <t>1280</t>
  </si>
  <si>
    <t>PREVESSIN-MOENS</t>
  </si>
  <si>
    <t>LYE</t>
  </si>
  <si>
    <t>LE PERCHAY</t>
  </si>
  <si>
    <t>AUTEUIL</t>
  </si>
  <si>
    <t>BOUTEVILLE</t>
  </si>
  <si>
    <t>SEPPOIS-LE-BAS</t>
  </si>
  <si>
    <t>ARRY</t>
  </si>
  <si>
    <t>FREMESTROFF</t>
  </si>
  <si>
    <t>THEBE</t>
  </si>
  <si>
    <t>SUSMIOU</t>
  </si>
  <si>
    <t>BREZINS</t>
  </si>
  <si>
    <t>SAINT-PIERRE-DE-BELLEVILLE</t>
  </si>
  <si>
    <t>91700</t>
  </si>
  <si>
    <t>FLEURY-MEROGIS</t>
  </si>
  <si>
    <t>SAINT-LOUBOUER</t>
  </si>
  <si>
    <t>RIOUX-MARTIN</t>
  </si>
  <si>
    <t>SAINT-BARAING</t>
  </si>
  <si>
    <t>MONTEGUT</t>
  </si>
  <si>
    <t>L'HOPITAL-D'ORION</t>
  </si>
  <si>
    <t>ARRE</t>
  </si>
  <si>
    <t>68180</t>
  </si>
  <si>
    <t>HORBOURG-WIHR</t>
  </si>
  <si>
    <t>FEUGUEROLLES-BULLY</t>
  </si>
  <si>
    <t>MAUQUENCHY</t>
  </si>
  <si>
    <t>SAINT-ALPINIEN</t>
  </si>
  <si>
    <t>SERIERS</t>
  </si>
  <si>
    <t>CORTRAT</t>
  </si>
  <si>
    <t>BETCAVE-AGUIN</t>
  </si>
  <si>
    <t>LAVERAET</t>
  </si>
  <si>
    <t>SEPTFONDS</t>
  </si>
  <si>
    <t>77186</t>
  </si>
  <si>
    <t>NOISIEL</t>
  </si>
  <si>
    <t>PRANLES</t>
  </si>
  <si>
    <t>ANDREZEL</t>
  </si>
  <si>
    <t>AUZON</t>
  </si>
  <si>
    <t>CAUDECOSTE</t>
  </si>
  <si>
    <t>FARGUES-SAINT-HILAIRE</t>
  </si>
  <si>
    <t>SAINT-MARDS</t>
  </si>
  <si>
    <t>FERRERE</t>
  </si>
  <si>
    <t>CAPDENAC</t>
  </si>
  <si>
    <t>SAINT-SULPICE-DE-POMMIERS</t>
  </si>
  <si>
    <t>25510</t>
  </si>
  <si>
    <t>GERMEFONTAINE</t>
  </si>
  <si>
    <t>67280</t>
  </si>
  <si>
    <t>OBERHASLACH</t>
  </si>
  <si>
    <t>BOUSSICOURT</t>
  </si>
  <si>
    <t>ETREVILLE</t>
  </si>
  <si>
    <t>LINARD</t>
  </si>
  <si>
    <t>VILLESEQUELANDE</t>
  </si>
  <si>
    <t>RENNES-EN-GRENOUILLES</t>
  </si>
  <si>
    <t>22690</t>
  </si>
  <si>
    <t>PLEUDIHEN-SUR-RANCE</t>
  </si>
  <si>
    <t>LE FIDELAIRE</t>
  </si>
  <si>
    <t>SAINT-M'HERVE</t>
  </si>
  <si>
    <t>LE BODEO</t>
  </si>
  <si>
    <t>BEAUVOIR-SUR-NIORT</t>
  </si>
  <si>
    <t>77780</t>
  </si>
  <si>
    <t>BOURRON-MARLOTTE</t>
  </si>
  <si>
    <t>PLESSIS-SAINT-JEAN</t>
  </si>
  <si>
    <t>ROCQUEMONT</t>
  </si>
  <si>
    <t>VALCABRERE</t>
  </si>
  <si>
    <t>LES CHAMPEAUX</t>
  </si>
  <si>
    <t>76130</t>
  </si>
  <si>
    <t>MONT-SAINT-AIGNAN</t>
  </si>
  <si>
    <t>PLELAN-LE-PETIT</t>
  </si>
  <si>
    <t>POUGNE-HERISSON</t>
  </si>
  <si>
    <t>CULLY</t>
  </si>
  <si>
    <t>PRESERVILLE</t>
  </si>
  <si>
    <t>SAINT-BLANCARD</t>
  </si>
  <si>
    <t>SAINT-PONCY</t>
  </si>
  <si>
    <t>CHANCEAUX-PRES-LOCHES</t>
  </si>
  <si>
    <t>CAULIERES</t>
  </si>
  <si>
    <t>TUPIN-ET-SEMONS</t>
  </si>
  <si>
    <t>GENERARGUES</t>
  </si>
  <si>
    <t>DEVILLAC</t>
  </si>
  <si>
    <t>DROM</t>
  </si>
  <si>
    <t>CRIQUETOT-SUR-OUVILLE</t>
  </si>
  <si>
    <t>LABASTIDE-SAVES</t>
  </si>
  <si>
    <t>SAINT-MARTIN-D'ECUBLEI</t>
  </si>
  <si>
    <t>MARCHAINVILLE</t>
  </si>
  <si>
    <t>MAGNEUX-HAUTE-RIVE</t>
  </si>
  <si>
    <t>64100</t>
  </si>
  <si>
    <t>BAYONNE</t>
  </si>
  <si>
    <t>MEZOS</t>
  </si>
  <si>
    <t>BUDELIERE</t>
  </si>
  <si>
    <t>63240</t>
  </si>
  <si>
    <t>MONT-DORE</t>
  </si>
  <si>
    <t>DOLLEREN</t>
  </si>
  <si>
    <t>ABONCOURT</t>
  </si>
  <si>
    <t>62126</t>
  </si>
  <si>
    <t>CONTEVILLE-LES-BOULOGNE</t>
  </si>
  <si>
    <t>LE GRAIS</t>
  </si>
  <si>
    <t>COURTEFONTAINE</t>
  </si>
  <si>
    <t>35440</t>
  </si>
  <si>
    <t>GUIPEL</t>
  </si>
  <si>
    <t>SAINT-BRESSON</t>
  </si>
  <si>
    <t>CIRAN</t>
  </si>
  <si>
    <t>EMPURE</t>
  </si>
  <si>
    <t>BAILLY-AUX-FORGES</t>
  </si>
  <si>
    <t>COSTAROS</t>
  </si>
  <si>
    <t>IGNAUCOURT</t>
  </si>
  <si>
    <t>VILLEMUR-SUR-TARN</t>
  </si>
  <si>
    <t>OUTREMECOURT</t>
  </si>
  <si>
    <t>TROCY-EN-MULTIEN</t>
  </si>
  <si>
    <t>PERRIERS-LA-CAMPAGNE</t>
  </si>
  <si>
    <t>LES FONTENELLES</t>
  </si>
  <si>
    <t>SAINT-CRICQ-CHALOSSE</t>
  </si>
  <si>
    <t>AIGREFEUILLE</t>
  </si>
  <si>
    <t>GRUSSE</t>
  </si>
  <si>
    <t>PARZAC</t>
  </si>
  <si>
    <t>VERTAULT</t>
  </si>
  <si>
    <t>VILLIERS-LE-DUC</t>
  </si>
  <si>
    <t>CHALINARGUES</t>
  </si>
  <si>
    <t>SAINT-JULIEN-LES-RUSSEY</t>
  </si>
  <si>
    <t>PREIXAN</t>
  </si>
  <si>
    <t>SAINT-PORQUIER</t>
  </si>
  <si>
    <t>VILLEFRANCHE-SUR-SAONE</t>
  </si>
  <si>
    <t>TANNAY</t>
  </si>
  <si>
    <t>PLESTIN-LES-GREVES</t>
  </si>
  <si>
    <t>SARRAZIET</t>
  </si>
  <si>
    <t>GREVILLERS</t>
  </si>
  <si>
    <t>BERU</t>
  </si>
  <si>
    <t>59287</t>
  </si>
  <si>
    <t>GUESNAIN</t>
  </si>
  <si>
    <t>DENIPAIRE</t>
  </si>
  <si>
    <t>PETTONCOURT</t>
  </si>
  <si>
    <t>54630</t>
  </si>
  <si>
    <t>RICHARDMENIL</t>
  </si>
  <si>
    <t>BECHEREL</t>
  </si>
  <si>
    <t>NOIRON-SUR-BEZE</t>
  </si>
  <si>
    <t>CASTILLON-LA-BATAILLE</t>
  </si>
  <si>
    <t>BRECONCHAUX</t>
  </si>
  <si>
    <t>JUSIX</t>
  </si>
  <si>
    <t>BLETTERANS</t>
  </si>
  <si>
    <t>VENTELAY</t>
  </si>
  <si>
    <t>BATTENANS-VARIN</t>
  </si>
  <si>
    <t>SOIGNOLLES</t>
  </si>
  <si>
    <t>MELOISEY</t>
  </si>
  <si>
    <t>TICHEVILLE</t>
  </si>
  <si>
    <t>COULADERE</t>
  </si>
  <si>
    <t>SAINTE-MARIE-DE-VATIMESNIL</t>
  </si>
  <si>
    <t>73570</t>
  </si>
  <si>
    <t>BRIDES-LES-BAINS</t>
  </si>
  <si>
    <t>BOUZIES</t>
  </si>
  <si>
    <t>2A357</t>
  </si>
  <si>
    <t>ZERUBIA</t>
  </si>
  <si>
    <t>LE BESSAT</t>
  </si>
  <si>
    <t>CHILLY</t>
  </si>
  <si>
    <t>POMMEREVAL</t>
  </si>
  <si>
    <t>SAINT-DESERT</t>
  </si>
  <si>
    <t>NOGENT-EN-OTHE</t>
  </si>
  <si>
    <t>LE FOUSSERET</t>
  </si>
  <si>
    <t>VANTOUX</t>
  </si>
  <si>
    <t>18400</t>
  </si>
  <si>
    <t>SAINT-CAPRAIS</t>
  </si>
  <si>
    <t>14113</t>
  </si>
  <si>
    <t>VILLERVILLE</t>
  </si>
  <si>
    <t>MUR-DE-SOLOGNE</t>
  </si>
  <si>
    <t>SAINT-HONORE</t>
  </si>
  <si>
    <t>CRESSEVEUILLE</t>
  </si>
  <si>
    <t>DOURIEZ</t>
  </si>
  <si>
    <t>73410</t>
  </si>
  <si>
    <t>SAINT-GERMAIN-LA-CHAMBOTTE</t>
  </si>
  <si>
    <t>25720</t>
  </si>
  <si>
    <t>BEURE</t>
  </si>
  <si>
    <t>GAZOST</t>
  </si>
  <si>
    <t>5560</t>
  </si>
  <si>
    <t>VARS</t>
  </si>
  <si>
    <t>COUTOUVRE</t>
  </si>
  <si>
    <t>ORGELET</t>
  </si>
  <si>
    <t>SEILLONNAZ</t>
  </si>
  <si>
    <t>SAINT-MARTIN-D'ENTRAUNES</t>
  </si>
  <si>
    <t>SOULTZ-LES-BAINS</t>
  </si>
  <si>
    <t>POMMEREUX</t>
  </si>
  <si>
    <t>SAINT-SELVE</t>
  </si>
  <si>
    <t>SAINT-OMER</t>
  </si>
  <si>
    <t>TAILLY</t>
  </si>
  <si>
    <t>CAMPIGNEULLES-LES-PETITES</t>
  </si>
  <si>
    <t>VOUHARTE</t>
  </si>
  <si>
    <t>VAUBEXY</t>
  </si>
  <si>
    <t>LEBREIL</t>
  </si>
  <si>
    <t>ISENAY</t>
  </si>
  <si>
    <t>SAINT-PROJET</t>
  </si>
  <si>
    <t>AVAILLES-EN-CHATELLERAULT</t>
  </si>
  <si>
    <t>DARMANNES</t>
  </si>
  <si>
    <t>ROUFFIGNAC</t>
  </si>
  <si>
    <t>SAINT-VAAST-LES-MELLO</t>
  </si>
  <si>
    <t>SAINT-JULIA-DE-BEC</t>
  </si>
  <si>
    <t>TONNAC</t>
  </si>
  <si>
    <t>VAUDEVILLE-LE-HAUT</t>
  </si>
  <si>
    <t>FONTERS-DU-RAZES</t>
  </si>
  <si>
    <t>60170</t>
  </si>
  <si>
    <t>SAINT-LEGER-AUX-BOIS</t>
  </si>
  <si>
    <t>NOMDIEU</t>
  </si>
  <si>
    <t>SAINT-VALLIER</t>
  </si>
  <si>
    <t>CHAMPOLEON</t>
  </si>
  <si>
    <t>MONTOLDRE</t>
  </si>
  <si>
    <t>SAINT-ROMAIN-SOUS-VERSIGNY</t>
  </si>
  <si>
    <t>54135</t>
  </si>
  <si>
    <t>MEXY</t>
  </si>
  <si>
    <t>SIMANDRES</t>
  </si>
  <si>
    <t>GRESY-SUR-ISERE</t>
  </si>
  <si>
    <t>LOUTEHEL</t>
  </si>
  <si>
    <t>MONTVERDUN</t>
  </si>
  <si>
    <t>ORSAN</t>
  </si>
  <si>
    <t>CHAMARET</t>
  </si>
  <si>
    <t>LE NEUFOUR</t>
  </si>
  <si>
    <t>VAL-DE-SAANE</t>
  </si>
  <si>
    <t>CHAMPCLAUSE</t>
  </si>
  <si>
    <t>MAINFONDS</t>
  </si>
  <si>
    <t>SAINT-GAND</t>
  </si>
  <si>
    <t>16340</t>
  </si>
  <si>
    <t>L'ISLE-D'ESPAGNAC</t>
  </si>
  <si>
    <t>ORIGNAC</t>
  </si>
  <si>
    <t>LANEUVILLE-AU-PONT</t>
  </si>
  <si>
    <t>BINAS</t>
  </si>
  <si>
    <t>LES ETILLEUX</t>
  </si>
  <si>
    <t>AINHOA</t>
  </si>
  <si>
    <t>BANGOR</t>
  </si>
  <si>
    <t>MONTESQUIEU-GUITTAUT</t>
  </si>
  <si>
    <t>94110</t>
  </si>
  <si>
    <t>ARCUEIL</t>
  </si>
  <si>
    <t>17180</t>
  </si>
  <si>
    <t>LA ROCHE-EN-BRENIL</t>
  </si>
  <si>
    <t>MONTREUIL-EN-AUGE</t>
  </si>
  <si>
    <t>ARBEOST</t>
  </si>
  <si>
    <t>CHERISEY</t>
  </si>
  <si>
    <t>LA RIVIERE</t>
  </si>
  <si>
    <t>CHAVOT-COURCOURT</t>
  </si>
  <si>
    <t>SAINTE-CECILE</t>
  </si>
  <si>
    <t>36190</t>
  </si>
  <si>
    <t>GARGILESSE-DAMPIERRE</t>
  </si>
  <si>
    <t>FUSTEROUAU</t>
  </si>
  <si>
    <t>BAUDIGNECOURT</t>
  </si>
  <si>
    <t>74390</t>
  </si>
  <si>
    <t>CHATEL</t>
  </si>
  <si>
    <t>MONTMOTIER</t>
  </si>
  <si>
    <t>GIMEUX</t>
  </si>
  <si>
    <t>FONTAINES-LES-SECHES</t>
  </si>
  <si>
    <t>56340</t>
  </si>
  <si>
    <t>PLOUHARNEL</t>
  </si>
  <si>
    <t>42650</t>
  </si>
  <si>
    <t>SAINT-JEAN-BONNEFONDS</t>
  </si>
  <si>
    <t>77178</t>
  </si>
  <si>
    <t>SAINT-PATHUS</t>
  </si>
  <si>
    <t>GLONVILLE</t>
  </si>
  <si>
    <t>PIEGUT-PLUVIERS</t>
  </si>
  <si>
    <t>ROUELLE</t>
  </si>
  <si>
    <t>EMBRUN</t>
  </si>
  <si>
    <t>ETUEFFONT</t>
  </si>
  <si>
    <t>CAZENAVE-SERRES-ET-ALLENS</t>
  </si>
  <si>
    <t>NONANT-LE-PIN</t>
  </si>
  <si>
    <t>PIENCOURT</t>
  </si>
  <si>
    <t>LE TABLIER</t>
  </si>
  <si>
    <t>DEVIAT</t>
  </si>
  <si>
    <t>COURMES</t>
  </si>
  <si>
    <t>SAINT-JEAN-DE-COLE</t>
  </si>
  <si>
    <t>TAILLEBOIS</t>
  </si>
  <si>
    <t>QUARRE-LES-TOMBES</t>
  </si>
  <si>
    <t>BENAIX</t>
  </si>
  <si>
    <t>59181</t>
  </si>
  <si>
    <t>STEENWERCK</t>
  </si>
  <si>
    <t>ALLEVES</t>
  </si>
  <si>
    <t>PLUMERGAT</t>
  </si>
  <si>
    <t>IZEL-LES-EQUERCHIN</t>
  </si>
  <si>
    <t>AFFRINGUES</t>
  </si>
  <si>
    <t>74740</t>
  </si>
  <si>
    <t>SIXT-FER-A-CHEVAL</t>
  </si>
  <si>
    <t>CLERMONT-DESSOUS</t>
  </si>
  <si>
    <t>METTING</t>
  </si>
  <si>
    <t>HARREVILLE-LES-CHANTEURS</t>
  </si>
  <si>
    <t>DELUT</t>
  </si>
  <si>
    <t>87800</t>
  </si>
  <si>
    <t>JANAILHAC</t>
  </si>
  <si>
    <t>VILLY-BOCAGE</t>
  </si>
  <si>
    <t>LAGNY-LE-SEC</t>
  </si>
  <si>
    <t>BRULAIN</t>
  </si>
  <si>
    <t>HAULIES</t>
  </si>
  <si>
    <t>GAUCIEL</t>
  </si>
  <si>
    <t>SAINT-ROCH</t>
  </si>
  <si>
    <t>LE MENIL-CIBOULT</t>
  </si>
  <si>
    <t>LABASTIDE-SAINT-PIERRE</t>
  </si>
  <si>
    <t>10380</t>
  </si>
  <si>
    <t>CHARNY-LE-BACHOT</t>
  </si>
  <si>
    <t>SAINT-GERMAIN-SUR-ECOLE</t>
  </si>
  <si>
    <t>CHELIEU</t>
  </si>
  <si>
    <t>42540</t>
  </si>
  <si>
    <t>SAINT-JUST-LA-PENDUE</t>
  </si>
  <si>
    <t>SOLAIZE</t>
  </si>
  <si>
    <t>SAINT-GEORGES-DE-POISIEUX</t>
  </si>
  <si>
    <t>SAINT-AUBIN-SUR-QUILLEBEUF</t>
  </si>
  <si>
    <t>VERDONNET</t>
  </si>
  <si>
    <t>DONNEMENT</t>
  </si>
  <si>
    <t>SAINT-AUBIN-DU-PLAIN</t>
  </si>
  <si>
    <t>83120</t>
  </si>
  <si>
    <t>LE PLAN-DE-LA-TOUR</t>
  </si>
  <si>
    <t>MAUMUSSON-LAGUIAN</t>
  </si>
  <si>
    <t>SAINT-USUGE</t>
  </si>
  <si>
    <t>CHAUMUZY</t>
  </si>
  <si>
    <t>SAVIGNY-EN-TERRE-PLAINE</t>
  </si>
  <si>
    <t>14390</t>
  </si>
  <si>
    <t>VARAVILLE</t>
  </si>
  <si>
    <t>CHAMPIGNEULLE</t>
  </si>
  <si>
    <t>BEAUCOUDRAY</t>
  </si>
  <si>
    <t>GRAND-FOUGERAY</t>
  </si>
  <si>
    <t>ARNAC</t>
  </si>
  <si>
    <t>CAPOULET-ET-JUNAC</t>
  </si>
  <si>
    <t>THAROT</t>
  </si>
  <si>
    <t>95230</t>
  </si>
  <si>
    <t>SOISY-SOUS-MONTMORENCY</t>
  </si>
  <si>
    <t>VILLERS-GRELOT</t>
  </si>
  <si>
    <t>GENLIS</t>
  </si>
  <si>
    <t>BOISSISE-LE-ROI</t>
  </si>
  <si>
    <t>PARIS-L'HOPITAL</t>
  </si>
  <si>
    <t>30128</t>
  </si>
  <si>
    <t>GARONS</t>
  </si>
  <si>
    <t>CASEFABRE</t>
  </si>
  <si>
    <t>FLAUCOURT</t>
  </si>
  <si>
    <t>CONDE-SAINTE-LIBIAIRE</t>
  </si>
  <si>
    <t>CASSAGNABERE-TOURNAS</t>
  </si>
  <si>
    <t>SAINT-PAUL-LE-FROID</t>
  </si>
  <si>
    <t>SAINT-PIERRE-LE-MOUTIER</t>
  </si>
  <si>
    <t>SAINT-PIERRE-ES-CHAMPS</t>
  </si>
  <si>
    <t>CHANTENAY-VILLEDIEU</t>
  </si>
  <si>
    <t>FLEYS</t>
  </si>
  <si>
    <t>BLYE</t>
  </si>
  <si>
    <t>REILLANNE</t>
  </si>
  <si>
    <t>CAHUZAC-SUR-VERE</t>
  </si>
  <si>
    <t>ESPENEL</t>
  </si>
  <si>
    <t>THARAUX</t>
  </si>
  <si>
    <t>AVENE</t>
  </si>
  <si>
    <t>CANTAOUS</t>
  </si>
  <si>
    <t>COURLON-SUR-YONNE</t>
  </si>
  <si>
    <t>SAINT-PIERRE-BOIS</t>
  </si>
  <si>
    <t>21150</t>
  </si>
  <si>
    <t>MARIGNY-LE-CAHOUET</t>
  </si>
  <si>
    <t>LA SELLE-EN-COGLES</t>
  </si>
  <si>
    <t>LA JAILLE-YVON</t>
  </si>
  <si>
    <t>AIGNE</t>
  </si>
  <si>
    <t>MARGERIDES</t>
  </si>
  <si>
    <t>HURIEL</t>
  </si>
  <si>
    <t>REGNY</t>
  </si>
  <si>
    <t>MONTIGNY-EN-ARROUAISE</t>
  </si>
  <si>
    <t>LAMANCINE</t>
  </si>
  <si>
    <t>77170</t>
  </si>
  <si>
    <t>SERVON</t>
  </si>
  <si>
    <t>PRIVEZAC</t>
  </si>
  <si>
    <t>SAINT-CHELS</t>
  </si>
  <si>
    <t>HUSSON</t>
  </si>
  <si>
    <t>CHARTEVES</t>
  </si>
  <si>
    <t>CRAS</t>
  </si>
  <si>
    <t>VILLEDIEU-LES-POELES</t>
  </si>
  <si>
    <t>PIGNY</t>
  </si>
  <si>
    <t>CREZANCAY-SUR-CHER</t>
  </si>
  <si>
    <t>56860</t>
  </si>
  <si>
    <t>SENE</t>
  </si>
  <si>
    <t>BEAUVAU</t>
  </si>
  <si>
    <t>VIVIES</t>
  </si>
  <si>
    <t>LARNAGE</t>
  </si>
  <si>
    <t>BAYONVILLE-SUR-MAD</t>
  </si>
  <si>
    <t>CLION</t>
  </si>
  <si>
    <t>ORQUEVAUX</t>
  </si>
  <si>
    <t>LUDESSE</t>
  </si>
  <si>
    <t>LANDROFF</t>
  </si>
  <si>
    <t>AUTRETOT</t>
  </si>
  <si>
    <t>TOURZEL-RONZIERES</t>
  </si>
  <si>
    <t>FESSENHEIM-LE-BAS</t>
  </si>
  <si>
    <t>SAVIGNAC</t>
  </si>
  <si>
    <t>CHAMPLIN</t>
  </si>
  <si>
    <t>SAINT-CHRISTOPHE-A-BERRY</t>
  </si>
  <si>
    <t>LABASTIDE-CASTEL-AMOUROUX</t>
  </si>
  <si>
    <t>HAUTOT-SUR-MER</t>
  </si>
  <si>
    <t>SAINTE-AGATHE-D'ALIERMONT</t>
  </si>
  <si>
    <t>ADAINCOURT</t>
  </si>
  <si>
    <t>EPECAMPS</t>
  </si>
  <si>
    <t>PUELLEMONTIER</t>
  </si>
  <si>
    <t>SURIS</t>
  </si>
  <si>
    <t>PARVES</t>
  </si>
  <si>
    <t>85100</t>
  </si>
  <si>
    <t>LES SABLES-D'OLONNE</t>
  </si>
  <si>
    <t>CAPESTANG</t>
  </si>
  <si>
    <t>ACY-EN-MULTIEN</t>
  </si>
  <si>
    <t>SURFONTAINE</t>
  </si>
  <si>
    <t>PONT-DE-VAUX</t>
  </si>
  <si>
    <t>TERCE</t>
  </si>
  <si>
    <t>CROTS</t>
  </si>
  <si>
    <t>59116</t>
  </si>
  <si>
    <t>HOUPLINES</t>
  </si>
  <si>
    <t>LA BOUEXIERE</t>
  </si>
  <si>
    <t>SAINT-LAURENT-DU-CROS</t>
  </si>
  <si>
    <t>GRAS</t>
  </si>
  <si>
    <t>ETTING</t>
  </si>
  <si>
    <t>RONCHAUX</t>
  </si>
  <si>
    <t>LIME</t>
  </si>
  <si>
    <t>ARGIESANS</t>
  </si>
  <si>
    <t>SERIGNAC-PEBOUDOU</t>
  </si>
  <si>
    <t>TREVILLE</t>
  </si>
  <si>
    <t>BOUHET</t>
  </si>
  <si>
    <t>VERNEUIL-SUR-AVRE</t>
  </si>
  <si>
    <t>CANTENAC</t>
  </si>
  <si>
    <t>MONTPINIER</t>
  </si>
  <si>
    <t>SAINT-JEAN-ROHRBACH</t>
  </si>
  <si>
    <t>VALREAS</t>
  </si>
  <si>
    <t>CELLES-SUR-AISNE</t>
  </si>
  <si>
    <t>11390</t>
  </si>
  <si>
    <t>LES MARTYS</t>
  </si>
  <si>
    <t>SEILHAC</t>
  </si>
  <si>
    <t>TREPAIL</t>
  </si>
  <si>
    <t>POULDOURAN</t>
  </si>
  <si>
    <t>ARCIZAC-EZ-ANGLES</t>
  </si>
  <si>
    <t>VILLE-EN-WOEVRE</t>
  </si>
  <si>
    <t>ONCY-SUR-ECOLE</t>
  </si>
  <si>
    <t>TOURNAY</t>
  </si>
  <si>
    <t>SAUTEYRARGUES</t>
  </si>
  <si>
    <t>LE BEAUSSET</t>
  </si>
  <si>
    <t>PERN</t>
  </si>
  <si>
    <t>FOUGUEYROLLES</t>
  </si>
  <si>
    <t>VILLEPINTE</t>
  </si>
  <si>
    <t>11370</t>
  </si>
  <si>
    <t>LEUCATE</t>
  </si>
  <si>
    <t>CREHEN</t>
  </si>
  <si>
    <t>LACRABE</t>
  </si>
  <si>
    <t>RENTIERES</t>
  </si>
  <si>
    <t>DENONVILLE</t>
  </si>
  <si>
    <t>DUISANS</t>
  </si>
  <si>
    <t>57450</t>
  </si>
  <si>
    <t>THEDING</t>
  </si>
  <si>
    <t>SAINT-JEAN-SUR-MAYENNE</t>
  </si>
  <si>
    <t>OUZILLY</t>
  </si>
  <si>
    <t>POMPIERRE-SUR-DOUBS</t>
  </si>
  <si>
    <t>ADAM-LES-PASSAVANT</t>
  </si>
  <si>
    <t>PERIERS</t>
  </si>
  <si>
    <t>ESCHBACH-AU-VAL</t>
  </si>
  <si>
    <t>AMBERT</t>
  </si>
  <si>
    <t>DEYME</t>
  </si>
  <si>
    <t>THONNANCE-LES-JOINVILLE</t>
  </si>
  <si>
    <t>THORENS-GLIERES</t>
  </si>
  <si>
    <t>HEMEVEZ</t>
  </si>
  <si>
    <t>BEAUGAS</t>
  </si>
  <si>
    <t>VILLEROUGE-TERMENES</t>
  </si>
  <si>
    <t>SAINT-GAL</t>
  </si>
  <si>
    <t>PERPEZAC-LE-NOIR</t>
  </si>
  <si>
    <t>CHAMPOUGNY</t>
  </si>
  <si>
    <t>HARDIVILLERS-EN-VEXIN</t>
  </si>
  <si>
    <t>GIVRYCOURT</t>
  </si>
  <si>
    <t>TREPREL</t>
  </si>
  <si>
    <t>LA VINEUSE</t>
  </si>
  <si>
    <t>SENIERGUES</t>
  </si>
  <si>
    <t>71380</t>
  </si>
  <si>
    <t>LANS</t>
  </si>
  <si>
    <t>HERMENT</t>
  </si>
  <si>
    <t>54250</t>
  </si>
  <si>
    <t>CHAMPIGNEULLES</t>
  </si>
  <si>
    <t>PLOISY</t>
  </si>
  <si>
    <t>WITTES</t>
  </si>
  <si>
    <t>LAIGNELET</t>
  </si>
  <si>
    <t>CURMONT</t>
  </si>
  <si>
    <t>COUTHENANS</t>
  </si>
  <si>
    <t>SOLERIEUX</t>
  </si>
  <si>
    <t>BASLY</t>
  </si>
  <si>
    <t>GUNY</t>
  </si>
  <si>
    <t>DIUSSE</t>
  </si>
  <si>
    <t>LANTILLY</t>
  </si>
  <si>
    <t>VERDUN-SUR-LE-DOUBS</t>
  </si>
  <si>
    <t>MEILLONNAS</t>
  </si>
  <si>
    <t>RISCLE</t>
  </si>
  <si>
    <t>RIVIERES-LE-BOIS</t>
  </si>
  <si>
    <t>LE TEMPLE-DE-BRETAGNE</t>
  </si>
  <si>
    <t>66150</t>
  </si>
  <si>
    <t>MONTFERRER</t>
  </si>
  <si>
    <t>MENESBLE</t>
  </si>
  <si>
    <t>SAINT-DENIS-LE-THIBOULT</t>
  </si>
  <si>
    <t>MONTAUBAN-SUR-L'OUVEZE</t>
  </si>
  <si>
    <t>PURGEROT</t>
  </si>
  <si>
    <t>CHAMPAUBERT</t>
  </si>
  <si>
    <t>L'ETOILE</t>
  </si>
  <si>
    <t>ECHAVANNE</t>
  </si>
  <si>
    <t>SANCOURT</t>
  </si>
  <si>
    <t>67114</t>
  </si>
  <si>
    <t>ESCHAU</t>
  </si>
  <si>
    <t>LORGES</t>
  </si>
  <si>
    <t>CAILHAVEL</t>
  </si>
  <si>
    <t>TERNUAY-MELAY-ET-SAINT-HILAIRE</t>
  </si>
  <si>
    <t>PAGEAS</t>
  </si>
  <si>
    <t>LA FERE</t>
  </si>
  <si>
    <t>COUTURE</t>
  </si>
  <si>
    <t>CONFLANDEY</t>
  </si>
  <si>
    <t>VALIERGUES</t>
  </si>
  <si>
    <t>OUR</t>
  </si>
  <si>
    <t>CHENE-EN-SEMINE</t>
  </si>
  <si>
    <t>BOURCIA</t>
  </si>
  <si>
    <t>ACCOUS</t>
  </si>
  <si>
    <t>GUIGNICOURT</t>
  </si>
  <si>
    <t>43590</t>
  </si>
  <si>
    <t>BEAUZAC</t>
  </si>
  <si>
    <t>LE MEUX</t>
  </si>
  <si>
    <t>SAINT-HIPPOLYTE-DE-MONTAIGU</t>
  </si>
  <si>
    <t>BLANDAS</t>
  </si>
  <si>
    <t>62110</t>
  </si>
  <si>
    <t>HENIN-BEAUMONT</t>
  </si>
  <si>
    <t>LE CHATEL</t>
  </si>
  <si>
    <t>SIGOTTIER</t>
  </si>
  <si>
    <t>CHASSEY</t>
  </si>
  <si>
    <t>CHUZELLES</t>
  </si>
  <si>
    <t>68350</t>
  </si>
  <si>
    <t>BRUNSTATT</t>
  </si>
  <si>
    <t>MONTFORT-SUR-MEU</t>
  </si>
  <si>
    <t>DECIZE</t>
  </si>
  <si>
    <t>MESLAY-LE-GRENET</t>
  </si>
  <si>
    <t>71440</t>
  </si>
  <si>
    <t>SAINT-VINCENT-EN-BRESSE</t>
  </si>
  <si>
    <t>VECOUX</t>
  </si>
  <si>
    <t>SAINT-CASTIN</t>
  </si>
  <si>
    <t>CAHARET</t>
  </si>
  <si>
    <t>BEAUDEDUIT</t>
  </si>
  <si>
    <t>CASTELLAR</t>
  </si>
  <si>
    <t>20190</t>
  </si>
  <si>
    <t>2A117</t>
  </si>
  <si>
    <t>FORCIOLO</t>
  </si>
  <si>
    <t>FEYTIAT</t>
  </si>
  <si>
    <t>FUSTIGNAC</t>
  </si>
  <si>
    <t>HARDINGHEN</t>
  </si>
  <si>
    <t>EROUDEVILLE</t>
  </si>
  <si>
    <t>CORBEIL-CERF</t>
  </si>
  <si>
    <t>QUINCY-SOUS-LE-MONT</t>
  </si>
  <si>
    <t>CAHAGNOLLES</t>
  </si>
  <si>
    <t>BAPAUME</t>
  </si>
  <si>
    <t>84230</t>
  </si>
  <si>
    <t>CHATEAUNEUF-DU-PAPE</t>
  </si>
  <si>
    <t>27410</t>
  </si>
  <si>
    <t>SAINT-AUBIN-LE-GUICHARD</t>
  </si>
  <si>
    <t>BUFFIERES</t>
  </si>
  <si>
    <t>MONTIERS-SUR-SAULX</t>
  </si>
  <si>
    <t>PERRUSSON</t>
  </si>
  <si>
    <t>LAVARDIN</t>
  </si>
  <si>
    <t>73790</t>
  </si>
  <si>
    <t>TOURS-EN-SAVOIE</t>
  </si>
  <si>
    <t>LA MARTYRE</t>
  </si>
  <si>
    <t>RAMBLUZIN-ET-BENOITE-VAUX</t>
  </si>
  <si>
    <t>LA CHAPELLE-SUR-USSON</t>
  </si>
  <si>
    <t>CHAUDEYRAC</t>
  </si>
  <si>
    <t>BOISSAY</t>
  </si>
  <si>
    <t>URTIERE</t>
  </si>
  <si>
    <t>FLAGEY-LES-AUXONNE</t>
  </si>
  <si>
    <t>30220</t>
  </si>
  <si>
    <t>SAINT-LAURENT-D'AIGOUZE</t>
  </si>
  <si>
    <t>JUGEALS-NAZARETH</t>
  </si>
  <si>
    <t>LOISAIL</t>
  </si>
  <si>
    <t>SAINT-ETIENNE-SUR-REYSSOUZE</t>
  </si>
  <si>
    <t>GENSAC-LA-PALLUE</t>
  </si>
  <si>
    <t>YERVILLE</t>
  </si>
  <si>
    <t>LA BIGOTTIERE</t>
  </si>
  <si>
    <t>91630</t>
  </si>
  <si>
    <t>LEUDEVILLE</t>
  </si>
  <si>
    <t>MARGENCEL</t>
  </si>
  <si>
    <t>BIRAS</t>
  </si>
  <si>
    <t>GOURBESVILLE</t>
  </si>
  <si>
    <t>ANGIVILLERS</t>
  </si>
  <si>
    <t>LALHEUE</t>
  </si>
  <si>
    <t>PLOUMILLIAU</t>
  </si>
  <si>
    <t>NEVIAN</t>
  </si>
  <si>
    <t>VINDECY</t>
  </si>
  <si>
    <t>SURTAINVILLE</t>
  </si>
  <si>
    <t>COURTAGNON</t>
  </si>
  <si>
    <t>LAFAGE-SUR-SOMBRE</t>
  </si>
  <si>
    <t>FLEURAC</t>
  </si>
  <si>
    <t>LOCQUIGNOL</t>
  </si>
  <si>
    <t>76530</t>
  </si>
  <si>
    <t>MAUNY</t>
  </si>
  <si>
    <t>LA NEUVEVILLE-DEVANT-LEPANGES</t>
  </si>
  <si>
    <t>NAMPTY</t>
  </si>
  <si>
    <t>78310</t>
  </si>
  <si>
    <t>MAUREPAS</t>
  </si>
  <si>
    <t>VERGT-DE-BIRON</t>
  </si>
  <si>
    <t>CLERY-LE-PETIT</t>
  </si>
  <si>
    <t>CAUNAY</t>
  </si>
  <si>
    <t>BOLLEZEELE</t>
  </si>
  <si>
    <t>SAINT-SIXTE</t>
  </si>
  <si>
    <t>59960</t>
  </si>
  <si>
    <t>NEUVILLE-EN-FERRAIN</t>
  </si>
  <si>
    <t>EXCIDEUIL</t>
  </si>
  <si>
    <t>ROUGEGOUTTE</t>
  </si>
  <si>
    <t>DRACHENBRONN-BIRLENBACH</t>
  </si>
  <si>
    <t>CAILLY-SUR-EURE</t>
  </si>
  <si>
    <t>LABARTHE-BLEYS</t>
  </si>
  <si>
    <t>SAINT-MARSAL</t>
  </si>
  <si>
    <t>MEDIERE</t>
  </si>
  <si>
    <t>CAMEMBERT</t>
  </si>
  <si>
    <t>THUILLIERES</t>
  </si>
  <si>
    <t>FONTETTE</t>
  </si>
  <si>
    <t>CREMPS</t>
  </si>
  <si>
    <t>HYMONT</t>
  </si>
  <si>
    <t>SALMIECH</t>
  </si>
  <si>
    <t>62200</t>
  </si>
  <si>
    <t>BOULOGNE-SUR-MER</t>
  </si>
  <si>
    <t>10120</t>
  </si>
  <si>
    <t>SAINT-ANDRE-LES-VERGERS</t>
  </si>
  <si>
    <t>LIGNIERES-LA-CARELLE</t>
  </si>
  <si>
    <t>MONTBOUCHER-SUR-JABRON</t>
  </si>
  <si>
    <t>LANNE-SOUBIRAN</t>
  </si>
  <si>
    <t>CLEDES</t>
  </si>
  <si>
    <t>SAINT-IGNAT</t>
  </si>
  <si>
    <t>17620</t>
  </si>
  <si>
    <t>ECHILLAIS</t>
  </si>
  <si>
    <t>ENGUINEGATTE</t>
  </si>
  <si>
    <t>22380</t>
  </si>
  <si>
    <t>SAINT-CAST-LE-GUILDO</t>
  </si>
  <si>
    <t>DIMBSTHAL</t>
  </si>
  <si>
    <t>BERCHE</t>
  </si>
  <si>
    <t>56910</t>
  </si>
  <si>
    <t>QUELNEUC</t>
  </si>
  <si>
    <t>SAINT-MARTIN-DE-LAYE</t>
  </si>
  <si>
    <t>BAILLEAU-ARMENONVILLE</t>
  </si>
  <si>
    <t>LEMPS</t>
  </si>
  <si>
    <t>VESAIGNES-SUR-MARNE</t>
  </si>
  <si>
    <t>62840</t>
  </si>
  <si>
    <t>NEUVE-CHAPELLE</t>
  </si>
  <si>
    <t>GOVILLER</t>
  </si>
  <si>
    <t>JUILLAC-LE-COQ</t>
  </si>
  <si>
    <t>SAINT-PIERRE-DU-VAUVRAY</t>
  </si>
  <si>
    <t>LAMAZIERE-BASSE</t>
  </si>
  <si>
    <t>SAINT-JODARD</t>
  </si>
  <si>
    <t>86440</t>
  </si>
  <si>
    <t>MIGNE-AUXANCES</t>
  </si>
  <si>
    <t>MAGNAC-LAVALETTE-VILLARS</t>
  </si>
  <si>
    <t>REBIGUE</t>
  </si>
  <si>
    <t>MATHONVILLE</t>
  </si>
  <si>
    <t>FRAISNES-EN-SAINTOIS</t>
  </si>
  <si>
    <t>TREDUDER</t>
  </si>
  <si>
    <t>SAINTE-MARIE-SUR-OUCHE</t>
  </si>
  <si>
    <t>AMONCOURT</t>
  </si>
  <si>
    <t>VILLERS</t>
  </si>
  <si>
    <t>VOYENNE</t>
  </si>
  <si>
    <t>NEUILLY-LA-FORET</t>
  </si>
  <si>
    <t>49770</t>
  </si>
  <si>
    <t>LA MEIGNANNE</t>
  </si>
  <si>
    <t>CHAMBORNAY-LES-BELLEVAUX</t>
  </si>
  <si>
    <t>95430</t>
  </si>
  <si>
    <t>AUVERS-SUR-OISE</t>
  </si>
  <si>
    <t>SAINT-MARTIN-DES-ENTREES</t>
  </si>
  <si>
    <t>DEAUVILLE</t>
  </si>
  <si>
    <t>ANCTOVILLE</t>
  </si>
  <si>
    <t>MELLEROY</t>
  </si>
  <si>
    <t>LA ROCHE-CLERMAULT</t>
  </si>
  <si>
    <t>PUCHEVILLERS</t>
  </si>
  <si>
    <t>ECURIE</t>
  </si>
  <si>
    <t>MEDIS</t>
  </si>
  <si>
    <t>MARNAY</t>
  </si>
  <si>
    <t>GIGNY-SUR-SAONE</t>
  </si>
  <si>
    <t>SAINT-BIEZ-EN-BELIN</t>
  </si>
  <si>
    <t>62820</t>
  </si>
  <si>
    <t>LIBERCOURT</t>
  </si>
  <si>
    <t>JUZANVIGNY</t>
  </si>
  <si>
    <t>BANVILLE</t>
  </si>
  <si>
    <t>SAINTE-SEVERE-SUR-INDRE</t>
  </si>
  <si>
    <t>BOURGON</t>
  </si>
  <si>
    <t>CROUY-SUR-COSSON</t>
  </si>
  <si>
    <t>BRISON-SAINT-INNOCENT</t>
  </si>
  <si>
    <t>EGLENY</t>
  </si>
  <si>
    <t>MEURCE</t>
  </si>
  <si>
    <t>PINTAC</t>
  </si>
  <si>
    <t>ORLU</t>
  </si>
  <si>
    <t>VILLENEUVE-SUR-LOT</t>
  </si>
  <si>
    <t>AUBREVILLE</t>
  </si>
  <si>
    <t>LA SERRE-BUSSIERE-VIEILLE</t>
  </si>
  <si>
    <t>RIEUTORT-DE-RANDON</t>
  </si>
  <si>
    <t>BAZAUGES</t>
  </si>
  <si>
    <t>ERVAUVILLE</t>
  </si>
  <si>
    <t>15000</t>
  </si>
  <si>
    <t>AURILLAC</t>
  </si>
  <si>
    <t>DALOU</t>
  </si>
  <si>
    <t>BAILLESTAVY</t>
  </si>
  <si>
    <t>GAILLON</t>
  </si>
  <si>
    <t>ASQUES</t>
  </si>
  <si>
    <t>82160</t>
  </si>
  <si>
    <t>ESPINAS</t>
  </si>
  <si>
    <t>17640</t>
  </si>
  <si>
    <t>VAUX-SUR-MER</t>
  </si>
  <si>
    <t>AUTREY-LES-GRAY</t>
  </si>
  <si>
    <t>RUILLE-SUR-LOIR</t>
  </si>
  <si>
    <t>AVREMESNIL</t>
  </si>
  <si>
    <t>ROCHE-CHARLES-LA-MAYRAND</t>
  </si>
  <si>
    <t>CHARBONNIERES-LES-VIEILLES</t>
  </si>
  <si>
    <t>RETONVAL</t>
  </si>
  <si>
    <t>97118</t>
  </si>
  <si>
    <t>SAINT-FRANCOIS</t>
  </si>
  <si>
    <t>SANSAC-VEINAZES</t>
  </si>
  <si>
    <t>CORNILLON</t>
  </si>
  <si>
    <t>MOLLIENS-AU-BOIS</t>
  </si>
  <si>
    <t>FIEFFES-MONTRELET</t>
  </si>
  <si>
    <t>MAGNAS</t>
  </si>
  <si>
    <t>VROCOURT</t>
  </si>
  <si>
    <t>10190</t>
  </si>
  <si>
    <t>MESSON</t>
  </si>
  <si>
    <t>SAINT-HILAIRE-LES-PLACES</t>
  </si>
  <si>
    <t>SACY</t>
  </si>
  <si>
    <t>TREZIERS</t>
  </si>
  <si>
    <t>LENTIGNY</t>
  </si>
  <si>
    <t>LOCHES</t>
  </si>
  <si>
    <t>LA NEUVILLE-HOUSSET</t>
  </si>
  <si>
    <t>LAMONZIE-MONTASTRUC</t>
  </si>
  <si>
    <t>MARCHEMORET</t>
  </si>
  <si>
    <t>BOISDINGHEM</t>
  </si>
  <si>
    <t>BERNIEULLES</t>
  </si>
  <si>
    <t>LE GIVRE</t>
  </si>
  <si>
    <t>AZILLANET</t>
  </si>
  <si>
    <t>FRESNOY-LES-ROYE</t>
  </si>
  <si>
    <t>VIETHOREY</t>
  </si>
  <si>
    <t>LA CASSAGNE</t>
  </si>
  <si>
    <t>ROQUETAILLADE</t>
  </si>
  <si>
    <t>RUMILLY-LES-VAUDES</t>
  </si>
  <si>
    <t>ENTRANGE</t>
  </si>
  <si>
    <t>CASTELJALOUX</t>
  </si>
  <si>
    <t>TREAUVILLE</t>
  </si>
  <si>
    <t>WARNETON</t>
  </si>
  <si>
    <t>34450</t>
  </si>
  <si>
    <t>VIAS</t>
  </si>
  <si>
    <t>VAIRE-LE-PETIT</t>
  </si>
  <si>
    <t>GUINECOURT</t>
  </si>
  <si>
    <t>MAUREMONT</t>
  </si>
  <si>
    <t>2B122</t>
  </si>
  <si>
    <t>GAVIGNANO</t>
  </si>
  <si>
    <t>92330</t>
  </si>
  <si>
    <t>SCEAUX</t>
  </si>
  <si>
    <t>95620</t>
  </si>
  <si>
    <t>PARMAIN</t>
  </si>
  <si>
    <t>LISSAY-LOCHY</t>
  </si>
  <si>
    <t>LORIGES</t>
  </si>
  <si>
    <t>BOUFFIGNEREUX</t>
  </si>
  <si>
    <t>XONRUPT-LONGEMER</t>
  </si>
  <si>
    <t>PEYREHORADE</t>
  </si>
  <si>
    <t>NEUFCHATEAU</t>
  </si>
  <si>
    <t>BARRAIS-BUSSOLLES</t>
  </si>
  <si>
    <t>76450</t>
  </si>
  <si>
    <t>CANOUVILLE</t>
  </si>
  <si>
    <t>21640</t>
  </si>
  <si>
    <t>VOUGEOT</t>
  </si>
  <si>
    <t>LE FEL</t>
  </si>
  <si>
    <t>SON</t>
  </si>
  <si>
    <t>ALLEMANCHE-LAUNAY-ET-SOYER</t>
  </si>
  <si>
    <t>SAINT-DENIS-DU-BEHELAN</t>
  </si>
  <si>
    <t>THEILLAY</t>
  </si>
  <si>
    <t>ROSSILLON</t>
  </si>
  <si>
    <t>2720</t>
  </si>
  <si>
    <t>MESNIL-SAINT-LAURENT</t>
  </si>
  <si>
    <t>PELOUSE</t>
  </si>
  <si>
    <t>13009</t>
  </si>
  <si>
    <t>MARSEILLE--9E--ARRONDISSEMENT</t>
  </si>
  <si>
    <t>SAILLY-SAILLISEL</t>
  </si>
  <si>
    <t>BEYNES</t>
  </si>
  <si>
    <t>CHAUFFECOURT</t>
  </si>
  <si>
    <t>TADOUSSE-USSAU</t>
  </si>
  <si>
    <t>LA TOUR-D'AUVERGNE</t>
  </si>
  <si>
    <t>AGEY</t>
  </si>
  <si>
    <t>SAINT-TRIMOEL</t>
  </si>
  <si>
    <t>76960</t>
  </si>
  <si>
    <t>NOTRE-DAME-DE-BONDEVILLE</t>
  </si>
  <si>
    <t>4510</t>
  </si>
  <si>
    <t>LE CHAFFAUT-SAINT-JURSON</t>
  </si>
  <si>
    <t>HARAUCOURT-SUR-SEILLE</t>
  </si>
  <si>
    <t>VAUCHELLES-LES-AUTHIE</t>
  </si>
  <si>
    <t>FERRIERES-SAINT-HILAIRE</t>
  </si>
  <si>
    <t>BAILLOLET</t>
  </si>
  <si>
    <t>49123</t>
  </si>
  <si>
    <t>MOON-SUR-ELLE</t>
  </si>
  <si>
    <t>LA CASSAIGNE</t>
  </si>
  <si>
    <t>PREUILLY-LA-VILLE</t>
  </si>
  <si>
    <t>LA BATIE-MONTGASCON</t>
  </si>
  <si>
    <t>97450</t>
  </si>
  <si>
    <t>97431</t>
  </si>
  <si>
    <t>LA PLAINE-DES-PALMISTES</t>
  </si>
  <si>
    <t>GAUBERTIN</t>
  </si>
  <si>
    <t>SAINT-GEORGES-SUR-MOULON</t>
  </si>
  <si>
    <t>VOCANCE</t>
  </si>
  <si>
    <t>17300</t>
  </si>
  <si>
    <t>VERGEROUX</t>
  </si>
  <si>
    <t>SAINT-AUBIN-DES-CHATEAUX</t>
  </si>
  <si>
    <t>FOUGEROLLES-DU-PLESSIS</t>
  </si>
  <si>
    <t>GRAINCOURT-LES-HAVRINCOURT</t>
  </si>
  <si>
    <t>LOHR</t>
  </si>
  <si>
    <t>BILLY-LE-GRAND</t>
  </si>
  <si>
    <t>36250</t>
  </si>
  <si>
    <t>NIHERNE</t>
  </si>
  <si>
    <t>NOTTONVILLE</t>
  </si>
  <si>
    <t>89230</t>
  </si>
  <si>
    <t>PONTIGNY</t>
  </si>
  <si>
    <t>SEICH</t>
  </si>
  <si>
    <t>AIGNES-ET-PUYPEROUX</t>
  </si>
  <si>
    <t>CHATILLON-EN-BAZOIS</t>
  </si>
  <si>
    <t>77830</t>
  </si>
  <si>
    <t>VALENCE-EN-BRIE</t>
  </si>
  <si>
    <t>78380</t>
  </si>
  <si>
    <t>BOUGIVAL</t>
  </si>
  <si>
    <t>LA PERCHE</t>
  </si>
  <si>
    <t>MONTALET-LE-BOIS</t>
  </si>
  <si>
    <t>THULAY</t>
  </si>
  <si>
    <t>PONSAMPERE</t>
  </si>
  <si>
    <t>ARRENES</t>
  </si>
  <si>
    <t>LA BAZOQUE</t>
  </si>
  <si>
    <t>SAZOS</t>
  </si>
  <si>
    <t>SAINT-QUENTIN-DE-BLAVOU</t>
  </si>
  <si>
    <t>MONDEVERT</t>
  </si>
  <si>
    <t>GLAINE-MONTAIGUT</t>
  </si>
  <si>
    <t>GARGANVILLAR</t>
  </si>
  <si>
    <t>SAINT-GERMAIN-DE-SALLES</t>
  </si>
  <si>
    <t>LIMERAY</t>
  </si>
  <si>
    <t>SCHALKENDORF</t>
  </si>
  <si>
    <t>POEY-D'OLORON</t>
  </si>
  <si>
    <t>CORBONOD</t>
  </si>
  <si>
    <t>APPRIEU</t>
  </si>
  <si>
    <t>CESTAYROLS</t>
  </si>
  <si>
    <t>CHARDOGNE</t>
  </si>
  <si>
    <t>SEMPY</t>
  </si>
  <si>
    <t>TALMONT-SUR-GIRONDE</t>
  </si>
  <si>
    <t>LA VIEILLE-LYRE</t>
  </si>
  <si>
    <t>VEZELAY</t>
  </si>
  <si>
    <t>MONSURES</t>
  </si>
  <si>
    <t>CISTRIERES</t>
  </si>
  <si>
    <t>14121</t>
  </si>
  <si>
    <t>SALLENELLES</t>
  </si>
  <si>
    <t>29890</t>
  </si>
  <si>
    <t>GOULVEN</t>
  </si>
  <si>
    <t>VAUDREMONT</t>
  </si>
  <si>
    <t>SAINT-MARC-DU-COR</t>
  </si>
  <si>
    <t>BEAUMONT-LE-HARENG</t>
  </si>
  <si>
    <t>GRATIBUS</t>
  </si>
  <si>
    <t>SAINT-SEINE-L'ABBAYE</t>
  </si>
  <si>
    <t>LARAJASSE</t>
  </si>
  <si>
    <t>GENTE</t>
  </si>
  <si>
    <t>SAINTE-MARIE-DU-BOIS</t>
  </si>
  <si>
    <t>SAINT-MARD-SUR-LE-MONT</t>
  </si>
  <si>
    <t>45400</t>
  </si>
  <si>
    <t>SEMOY</t>
  </si>
  <si>
    <t>LA BOISSIERE-ECOLE</t>
  </si>
  <si>
    <t>PLANRUPT</t>
  </si>
  <si>
    <t>15430</t>
  </si>
  <si>
    <t>CUSSAC</t>
  </si>
  <si>
    <t>PLELAUFF</t>
  </si>
  <si>
    <t>SAINT-MARTIAL-DE-NABIRAT</t>
  </si>
  <si>
    <t>SAINT-MARTIN-AUX-ARBRES</t>
  </si>
  <si>
    <t>NEVY-LES-DOLE</t>
  </si>
  <si>
    <t>PAROY</t>
  </si>
  <si>
    <t>TUBERSENT</t>
  </si>
  <si>
    <t>59163</t>
  </si>
  <si>
    <t>CONDE-SUR-L'ESCAUT</t>
  </si>
  <si>
    <t>MAGNIVRAY</t>
  </si>
  <si>
    <t>LIAS-D'ARMAGNAC</t>
  </si>
  <si>
    <t>77154</t>
  </si>
  <si>
    <t>COUTENCON</t>
  </si>
  <si>
    <t>20153</t>
  </si>
  <si>
    <t>2A133</t>
  </si>
  <si>
    <t>GUITERA-LES-BAINS</t>
  </si>
  <si>
    <t>LA CROIX-DU-PERCHE</t>
  </si>
  <si>
    <t>MARPAPS</t>
  </si>
  <si>
    <t>SAINT-PRIX</t>
  </si>
  <si>
    <t>LA MOUILLE</t>
  </si>
  <si>
    <t>CHAMPEAUX-SUR-SARTHE</t>
  </si>
  <si>
    <t>66230</t>
  </si>
  <si>
    <t>LE TECH</t>
  </si>
  <si>
    <t>BRETIGNY-SUR-ORGE</t>
  </si>
  <si>
    <t>SAINT-LIZIER-DU-PLANTE</t>
  </si>
  <si>
    <t>LANDUDAL</t>
  </si>
  <si>
    <t>MEYSSE</t>
  </si>
  <si>
    <t>35240</t>
  </si>
  <si>
    <t>RETIERS</t>
  </si>
  <si>
    <t>20141</t>
  </si>
  <si>
    <t>2A154</t>
  </si>
  <si>
    <t>MARIGNANA</t>
  </si>
  <si>
    <t>ARDILLIERES</t>
  </si>
  <si>
    <t>NASSIGNY</t>
  </si>
  <si>
    <t>LE PRADAL</t>
  </si>
  <si>
    <t>MONCHY-CAYEUX</t>
  </si>
  <si>
    <t>2B296</t>
  </si>
  <si>
    <t>SANT'ANTONINO</t>
  </si>
  <si>
    <t>LA CHAPELLE-UREE</t>
  </si>
  <si>
    <t>NINVILLE</t>
  </si>
  <si>
    <t>CREGY-LES-MEAUX</t>
  </si>
  <si>
    <t>FAREMOUTIERS</t>
  </si>
  <si>
    <t>TALENCIEUX</t>
  </si>
  <si>
    <t>CEFFONDS</t>
  </si>
  <si>
    <t>AVERNES-SAINT-GOURGON</t>
  </si>
  <si>
    <t>24430</t>
  </si>
  <si>
    <t>MARSAC-SUR-L'ISLE</t>
  </si>
  <si>
    <t>BRUTELLES</t>
  </si>
  <si>
    <t>LADUZ</t>
  </si>
  <si>
    <t>BUCHY</t>
  </si>
  <si>
    <t>DONZAC</t>
  </si>
  <si>
    <t>BRAYE</t>
  </si>
  <si>
    <t>LINIERES-BOUTON</t>
  </si>
  <si>
    <t>NOALHAC</t>
  </si>
  <si>
    <t>TARSUL</t>
  </si>
  <si>
    <t>ALBINE</t>
  </si>
  <si>
    <t>50740</t>
  </si>
  <si>
    <t>CAROLLES</t>
  </si>
  <si>
    <t>FONTENELLE-EN-BRIE</t>
  </si>
  <si>
    <t>BRICQUEBEC</t>
  </si>
  <si>
    <t>LE PUCH</t>
  </si>
  <si>
    <t>MONTBRUN</t>
  </si>
  <si>
    <t>SAINT-DIDIER-D'ALLIER</t>
  </si>
  <si>
    <t>BAILLEUL-NEUVILLE</t>
  </si>
  <si>
    <t>13740</t>
  </si>
  <si>
    <t>LE ROVE</t>
  </si>
  <si>
    <t>TRIQUERVILLE</t>
  </si>
  <si>
    <t>GUICHAINVILLE</t>
  </si>
  <si>
    <t>NOYEN-SUR-SARTHE</t>
  </si>
  <si>
    <t>PORT</t>
  </si>
  <si>
    <t>COLLEMIERS</t>
  </si>
  <si>
    <t>ORDIZAN</t>
  </si>
  <si>
    <t>BULLY-LES-MINES</t>
  </si>
  <si>
    <t>CIEL</t>
  </si>
  <si>
    <t>SAINT-JEAN-DE-BUEGES</t>
  </si>
  <si>
    <t>SAINT-MARC-LA-LANDE</t>
  </si>
  <si>
    <t>LES ARTIGUES-DE-LUSSAC</t>
  </si>
  <si>
    <t>95410</t>
  </si>
  <si>
    <t>GROSLAY</t>
  </si>
  <si>
    <t>LIRE</t>
  </si>
  <si>
    <t>22660</t>
  </si>
  <si>
    <t>TREVOU-TREGUIGNEC</t>
  </si>
  <si>
    <t>84370</t>
  </si>
  <si>
    <t>BEDARRIDES</t>
  </si>
  <si>
    <t>SAINT-MAUR</t>
  </si>
  <si>
    <t>SAINT-FERGEUX</t>
  </si>
  <si>
    <t>GRAND-BRASSAC</t>
  </si>
  <si>
    <t>INOR</t>
  </si>
  <si>
    <t>BAGE-LA-VILLE</t>
  </si>
  <si>
    <t>SAINT-SERIES</t>
  </si>
  <si>
    <t>GRAINVILLE</t>
  </si>
  <si>
    <t>77460</t>
  </si>
  <si>
    <t>CHAINTREAUX</t>
  </si>
  <si>
    <t>86100</t>
  </si>
  <si>
    <t>SENILLE</t>
  </si>
  <si>
    <t>PLESTAN</t>
  </si>
  <si>
    <t>WISSIGNICOURT</t>
  </si>
  <si>
    <t>24480</t>
  </si>
  <si>
    <t>MONDREVILLE</t>
  </si>
  <si>
    <t>OFFLANGES</t>
  </si>
  <si>
    <t>MESLIERES</t>
  </si>
  <si>
    <t>DISTRE</t>
  </si>
  <si>
    <t>BISSEY-LA-PIERRE</t>
  </si>
  <si>
    <t>MALPART</t>
  </si>
  <si>
    <t>QUINSSAINES</t>
  </si>
  <si>
    <t>LA CHAPELLE-HUON</t>
  </si>
  <si>
    <t>LIEVANS</t>
  </si>
  <si>
    <t>49122</t>
  </si>
  <si>
    <t>BEGROLLES-EN-MAUGES</t>
  </si>
  <si>
    <t>VIEUX-MESNIL</t>
  </si>
  <si>
    <t>MARDEUIL</t>
  </si>
  <si>
    <t>LA MEMBROLLE-SUR-CHOISILLE</t>
  </si>
  <si>
    <t>57490</t>
  </si>
  <si>
    <t>CARLING</t>
  </si>
  <si>
    <t>TOURCH</t>
  </si>
  <si>
    <t>SAINT-BARTHELEMY-D'AGENAIS</t>
  </si>
  <si>
    <t>AURIAC</t>
  </si>
  <si>
    <t>LE TARTRE-GAUDRAN</t>
  </si>
  <si>
    <t>49130</t>
  </si>
  <si>
    <t>SAINT-JEAN-DE-LA-CROIX</t>
  </si>
  <si>
    <t>MONTCLAR-DE-COMMINGES</t>
  </si>
  <si>
    <t>CRAVANT</t>
  </si>
  <si>
    <t>OLTINGUE</t>
  </si>
  <si>
    <t>BONSECOURS</t>
  </si>
  <si>
    <t>PONSAN-SOUBIRAN</t>
  </si>
  <si>
    <t>59550</t>
  </si>
  <si>
    <t>FONTAINE-AU-BOIS</t>
  </si>
  <si>
    <t>DIEFFENBACH-LES-WOERTH</t>
  </si>
  <si>
    <t>SERGY</t>
  </si>
  <si>
    <t>BOUX-SOUS-SALMAISE</t>
  </si>
  <si>
    <t>BOSC-RENOULT-EN-OUCHE</t>
  </si>
  <si>
    <t>TERNY-SORNY</t>
  </si>
  <si>
    <t>HAUTEFAYE</t>
  </si>
  <si>
    <t>MEMMELSHOFFEN</t>
  </si>
  <si>
    <t>CUVAT</t>
  </si>
  <si>
    <t>VELLEFRIE</t>
  </si>
  <si>
    <t>91360</t>
  </si>
  <si>
    <t>VILLEMOISSON-SUR-ORGE</t>
  </si>
  <si>
    <t>REGAT</t>
  </si>
  <si>
    <t>SALVAGNAC</t>
  </si>
  <si>
    <t>MONTESQUIEU-DES-ALBERES</t>
  </si>
  <si>
    <t>WARLOY-BAILLON</t>
  </si>
  <si>
    <t>MERLES-SUR-LOISON</t>
  </si>
  <si>
    <t>BRANVILLE</t>
  </si>
  <si>
    <t>LAVAL-SUR-LUZEGE</t>
  </si>
  <si>
    <t>TAIN-L'HERMITAGE</t>
  </si>
  <si>
    <t>QUEAUX</t>
  </si>
  <si>
    <t>CLEREY</t>
  </si>
  <si>
    <t>HONDEVILLIERS</t>
  </si>
  <si>
    <t>PUY-SAINT-GULMIER</t>
  </si>
  <si>
    <t>SAINT-FELIU-D'AVALL</t>
  </si>
  <si>
    <t>TERCILLAT</t>
  </si>
  <si>
    <t>88530</t>
  </si>
  <si>
    <t>LE THOLY</t>
  </si>
  <si>
    <t>SAINT-HILAIRE-SUR-HELPE</t>
  </si>
  <si>
    <t>AUVARE</t>
  </si>
  <si>
    <t>LE BOSC</t>
  </si>
  <si>
    <t>BOISCOMMUN</t>
  </si>
  <si>
    <t>ENGLESQUEVILLE-EN-AUGE</t>
  </si>
  <si>
    <t>PELLEPORT</t>
  </si>
  <si>
    <t>34410</t>
  </si>
  <si>
    <t>SAUVIAN</t>
  </si>
  <si>
    <t>81710</t>
  </si>
  <si>
    <t>BERGOUEY</t>
  </si>
  <si>
    <t>TREVE</t>
  </si>
  <si>
    <t>ARPAILLARGUES-ET-AUREILLAC</t>
  </si>
  <si>
    <t>LE DEZERT</t>
  </si>
  <si>
    <t>DOMBASLE-DEVANT-DARNEY</t>
  </si>
  <si>
    <t>MAUVEZIN</t>
  </si>
  <si>
    <t>PLAISIA</t>
  </si>
  <si>
    <t>BRAINS-SUR-LES-MARCHES</t>
  </si>
  <si>
    <t>97625</t>
  </si>
  <si>
    <t>KANI-KELI</t>
  </si>
  <si>
    <t>GEISWASSER</t>
  </si>
  <si>
    <t>ANDON</t>
  </si>
  <si>
    <t>VATTETOT-SOUS-BEAUMONT</t>
  </si>
  <si>
    <t>OBJAT</t>
  </si>
  <si>
    <t>LALANDUSSE</t>
  </si>
  <si>
    <t>LOUDREFING</t>
  </si>
  <si>
    <t>60119</t>
  </si>
  <si>
    <t>NEUVILLE-BOSC</t>
  </si>
  <si>
    <t>60410</t>
  </si>
  <si>
    <t>VERBERIE</t>
  </si>
  <si>
    <t>PACY-SUR-ARMANCON</t>
  </si>
  <si>
    <t>DIVAJEU</t>
  </si>
  <si>
    <t>VAILLAC</t>
  </si>
  <si>
    <t>MALVIERES</t>
  </si>
  <si>
    <t>PRUNAY-SUR-ESSONNE</t>
  </si>
  <si>
    <t>LAMASTRE</t>
  </si>
  <si>
    <t>DOMESMONT</t>
  </si>
  <si>
    <t>ORMOY-LES-SEXFONTAINES</t>
  </si>
  <si>
    <t>PUYNORMAND</t>
  </si>
  <si>
    <t>BAZOUGES-SUR-LE-LOIR</t>
  </si>
  <si>
    <t>CELLES-LES-CONDE</t>
  </si>
  <si>
    <t>LOCHWILLER</t>
  </si>
  <si>
    <t>GOMER</t>
  </si>
  <si>
    <t>VILLENEUVE-LA-COMPTAL</t>
  </si>
  <si>
    <t>BLYES</t>
  </si>
  <si>
    <t>78420</t>
  </si>
  <si>
    <t>CARRIERES-SUR-SEINE</t>
  </si>
  <si>
    <t>FURCHHAUSEN</t>
  </si>
  <si>
    <t>BIEVILLE</t>
  </si>
  <si>
    <t>ERCE-PRES-LIFFRE</t>
  </si>
  <si>
    <t>CAUSSES-ET-VEYRAN</t>
  </si>
  <si>
    <t>JASSANS-RIOTTIER</t>
  </si>
  <si>
    <t>LA TRINITE-DU-MONT</t>
  </si>
  <si>
    <t>XURES</t>
  </si>
  <si>
    <t>BARDIGUES</t>
  </si>
  <si>
    <t>MONTPOLLIN</t>
  </si>
  <si>
    <t>VILLEAU</t>
  </si>
  <si>
    <t>PASLIERES</t>
  </si>
  <si>
    <t>NOURARD-LE-FRANC</t>
  </si>
  <si>
    <t>VILLE-SUR-SAULX</t>
  </si>
  <si>
    <t>LA CHAPELLE-SAINT-AUBERT</t>
  </si>
  <si>
    <t>PUYBRUN</t>
  </si>
  <si>
    <t>CRICQUEBOEUF</t>
  </si>
  <si>
    <t>JUVANZE</t>
  </si>
  <si>
    <t>CHAULHAC</t>
  </si>
  <si>
    <t>13880</t>
  </si>
  <si>
    <t>VELAUX</t>
  </si>
  <si>
    <t>YGOS-SAINT-SATURNIN</t>
  </si>
  <si>
    <t>JANVILLIERS</t>
  </si>
  <si>
    <t>PONT-SUR-SEINE</t>
  </si>
  <si>
    <t>24000</t>
  </si>
  <si>
    <t>PERIGUEUX</t>
  </si>
  <si>
    <t>97426</t>
  </si>
  <si>
    <t>LES TROIS-BASSINS</t>
  </si>
  <si>
    <t>GAZERAN</t>
  </si>
  <si>
    <t>LE PIZOU</t>
  </si>
  <si>
    <t>BOUGARBER</t>
  </si>
  <si>
    <t>2A085</t>
  </si>
  <si>
    <t>CAURO</t>
  </si>
  <si>
    <t>CARNETIN</t>
  </si>
  <si>
    <t>SAINT-JEAN-LAGINESTE</t>
  </si>
  <si>
    <t>GONNEVILLE-SUR-HONFLEUR</t>
  </si>
  <si>
    <t>FRAISSINET-DE-LOZERE</t>
  </si>
  <si>
    <t>ALBARET-SAINTE-MARIE</t>
  </si>
  <si>
    <t>CASTELVIEL</t>
  </si>
  <si>
    <t>AIGLEPIERRE</t>
  </si>
  <si>
    <t>QUESMY</t>
  </si>
  <si>
    <t>NEUVIZY</t>
  </si>
  <si>
    <t>COTTEVRARD</t>
  </si>
  <si>
    <t>SAUSSAY</t>
  </si>
  <si>
    <t>BOISSEY</t>
  </si>
  <si>
    <t>ECHEMINES</t>
  </si>
  <si>
    <t>VIEUX-LES-ASFELD</t>
  </si>
  <si>
    <t>FONTENAY-PRES-CHABLIS</t>
  </si>
  <si>
    <t>ARGY</t>
  </si>
  <si>
    <t>31650</t>
  </si>
  <si>
    <t>SAINT-ORENS-DE-GAMEVILLE</t>
  </si>
  <si>
    <t>SAINT-SAVIOL</t>
  </si>
  <si>
    <t>ZUTKERQUE</t>
  </si>
  <si>
    <t>BRION</t>
  </si>
  <si>
    <t>ETOBON</t>
  </si>
  <si>
    <t>MAUPERTUS-SUR-MER</t>
  </si>
  <si>
    <t>GUINZELING</t>
  </si>
  <si>
    <t>CERAN</t>
  </si>
  <si>
    <t>78160</t>
  </si>
  <si>
    <t>MARLY-LE-ROI</t>
  </si>
  <si>
    <t>ANTILLY</t>
  </si>
  <si>
    <t>BAINS-SUR-OUST</t>
  </si>
  <si>
    <t>10180</t>
  </si>
  <si>
    <t>SAINT-BENOIT-SUR-SEINE</t>
  </si>
  <si>
    <t>EMBRY</t>
  </si>
  <si>
    <t>GOES</t>
  </si>
  <si>
    <t>HAUTEVILLE-LA-GUICHARD</t>
  </si>
  <si>
    <t>SAINT-VINCENT-JALMOUTIERS</t>
  </si>
  <si>
    <t>HELOUP</t>
  </si>
  <si>
    <t>COMMELLE-VERNAY</t>
  </si>
  <si>
    <t>SELENS</t>
  </si>
  <si>
    <t>CORBIERES</t>
  </si>
  <si>
    <t>LAMOTHE-LANDERRON</t>
  </si>
  <si>
    <t>HAUSSEZ</t>
  </si>
  <si>
    <t>LE FAGET</t>
  </si>
  <si>
    <t>EYREIN</t>
  </si>
  <si>
    <t>VILLEROY</t>
  </si>
  <si>
    <t>FONTENOIS-LES-MONTBOZON</t>
  </si>
  <si>
    <t>CHAMPAGNOLLES</t>
  </si>
  <si>
    <t>1630</t>
  </si>
  <si>
    <t>SAINT-GENIS-POUILLY</t>
  </si>
  <si>
    <t>HERMELANGE</t>
  </si>
  <si>
    <t>BRIE-COMTE-ROBERT</t>
  </si>
  <si>
    <t>2B002</t>
  </si>
  <si>
    <t>AGHIONE</t>
  </si>
  <si>
    <t>ETERPIGNY</t>
  </si>
  <si>
    <t>74360</t>
  </si>
  <si>
    <t>VACHERESSE</t>
  </si>
  <si>
    <t>DENAT</t>
  </si>
  <si>
    <t>MASSONGY</t>
  </si>
  <si>
    <t>40550</t>
  </si>
  <si>
    <t>LEON</t>
  </si>
  <si>
    <t>ROISEY</t>
  </si>
  <si>
    <t>POURCHARESSES</t>
  </si>
  <si>
    <t>ADELANS-ET-LE-VAL-DE-BITHAINE</t>
  </si>
  <si>
    <t>VIEILLES-MAISONS-SUR-JOUDRY</t>
  </si>
  <si>
    <t>SEILLAC</t>
  </si>
  <si>
    <t>AUTHON-EBEON</t>
  </si>
  <si>
    <t>68820</t>
  </si>
  <si>
    <t>WILDENSTEIN</t>
  </si>
  <si>
    <t>SUCCIEU</t>
  </si>
  <si>
    <t>LENHARREE</t>
  </si>
  <si>
    <t>27720</t>
  </si>
  <si>
    <t>GUERNY</t>
  </si>
  <si>
    <t>BALATRE</t>
  </si>
  <si>
    <t>HENNEMONT</t>
  </si>
  <si>
    <t>LETANNE</t>
  </si>
  <si>
    <t>BEAUMONT-LA-FERRIERE</t>
  </si>
  <si>
    <t>SABONNERES</t>
  </si>
  <si>
    <t>SAINT-JEAN-DE-CUCULLES</t>
  </si>
  <si>
    <t>CHAMPIGNY</t>
  </si>
  <si>
    <t>50730</t>
  </si>
  <si>
    <t>SAINT-MARTIN-DE-LANDELLES</t>
  </si>
  <si>
    <t>TRAMOYES</t>
  </si>
  <si>
    <t>35550</t>
  </si>
  <si>
    <t>BRUC-SUR-AFF</t>
  </si>
  <si>
    <t>SPOY</t>
  </si>
  <si>
    <t>CORDEY</t>
  </si>
  <si>
    <t>AYGUATEBIA-TALAU</t>
  </si>
  <si>
    <t>MARCILLY-LES-BUXY</t>
  </si>
  <si>
    <t>FLEURIE</t>
  </si>
  <si>
    <t>MEUSSIA</t>
  </si>
  <si>
    <t>MEVOUILLON</t>
  </si>
  <si>
    <t>SAINT-GERMAIN-SUR-VIENNE</t>
  </si>
  <si>
    <t>BABEAU-BOULDOUX</t>
  </si>
  <si>
    <t>35230</t>
  </si>
  <si>
    <t>SARZEAU</t>
  </si>
  <si>
    <t>NEUILLY-SUR-SUIZE</t>
  </si>
  <si>
    <t>MAXSTADT</t>
  </si>
  <si>
    <t>VIELMUR-SUR-AGOUT</t>
  </si>
  <si>
    <t>FONTENOIS-LA-VILLE</t>
  </si>
  <si>
    <t>59930</t>
  </si>
  <si>
    <t>LA CHAPELLE-D'ARMENTIERES</t>
  </si>
  <si>
    <t>GRIESHEIM-SUR-SOUFFEL</t>
  </si>
  <si>
    <t>59246</t>
  </si>
  <si>
    <t>MONS-EN-PEVELE</t>
  </si>
  <si>
    <t>20225</t>
  </si>
  <si>
    <t>2B175</t>
  </si>
  <si>
    <t>NESSA</t>
  </si>
  <si>
    <t>SERRES-ET-MONTGUYARD</t>
  </si>
  <si>
    <t>SOTURAC</t>
  </si>
  <si>
    <t>CHOUVIGNY</t>
  </si>
  <si>
    <t>AVOT</t>
  </si>
  <si>
    <t>MORELMAISON</t>
  </si>
  <si>
    <t>BOURGUEIL</t>
  </si>
  <si>
    <t>LIMERSHEIM</t>
  </si>
  <si>
    <t>MAINTENAY</t>
  </si>
  <si>
    <t>CONJUX</t>
  </si>
  <si>
    <t>ARGENTRE-DU-PLESSIS</t>
  </si>
  <si>
    <t>76500</t>
  </si>
  <si>
    <t>ORIVAL</t>
  </si>
  <si>
    <t>BLANGY-SUR-TERNOISE</t>
  </si>
  <si>
    <t>FOUJU</t>
  </si>
  <si>
    <t>AUZERS</t>
  </si>
  <si>
    <t>BEAUTIRAN</t>
  </si>
  <si>
    <t>14111</t>
  </si>
  <si>
    <t>HOTOT-EN-AUGE</t>
  </si>
  <si>
    <t>BIVES</t>
  </si>
  <si>
    <t>47390</t>
  </si>
  <si>
    <t>LAYRAC</t>
  </si>
  <si>
    <t>31770</t>
  </si>
  <si>
    <t>COLOMIERS</t>
  </si>
  <si>
    <t>BOYAVAL</t>
  </si>
  <si>
    <t>SAINT-AUBIN-DE-BLAYE</t>
  </si>
  <si>
    <t>NEGREPELISSE</t>
  </si>
  <si>
    <t>WILLIES</t>
  </si>
  <si>
    <t>73600</t>
  </si>
  <si>
    <t>SALINS-LES-THERMES</t>
  </si>
  <si>
    <t>SAINT-GELAIS</t>
  </si>
  <si>
    <t>CHENIMENIL</t>
  </si>
  <si>
    <t>SAINT-LAURENT-SUR-MANOIRE</t>
  </si>
  <si>
    <t>CHATELUS-MALVALEIX</t>
  </si>
  <si>
    <t>78530</t>
  </si>
  <si>
    <t>BUC</t>
  </si>
  <si>
    <t>GAUSSAN</t>
  </si>
  <si>
    <t>ROQUEFIXADE</t>
  </si>
  <si>
    <t>ROUVROY-LES-MERLES</t>
  </si>
  <si>
    <t>NEUSSARGUES-MOISSAC</t>
  </si>
  <si>
    <t>BOULLEVILLE</t>
  </si>
  <si>
    <t>MOUSTIER-VENTADOUR</t>
  </si>
  <si>
    <t>SAOU</t>
  </si>
  <si>
    <t>GEVROLLES</t>
  </si>
  <si>
    <t>SAINT-MARIENS</t>
  </si>
  <si>
    <t>MENETREUX-LE-PITOIS</t>
  </si>
  <si>
    <t>TILLY-SUR-SEULLES</t>
  </si>
  <si>
    <t>BOUREUILLES</t>
  </si>
  <si>
    <t>NEVERS</t>
  </si>
  <si>
    <t>NOEUX-LES-AUXI</t>
  </si>
  <si>
    <t>4310</t>
  </si>
  <si>
    <t>PEYRUIS</t>
  </si>
  <si>
    <t>CHAMPNIERS-ET-REILHAC</t>
  </si>
  <si>
    <t>NUBECOURT</t>
  </si>
  <si>
    <t>AMEUVELLE</t>
  </si>
  <si>
    <t>59251</t>
  </si>
  <si>
    <t>ALLENNES-LES-MARAIS</t>
  </si>
  <si>
    <t>FAUX</t>
  </si>
  <si>
    <t>MALAUZAT</t>
  </si>
  <si>
    <t>TONNEINS</t>
  </si>
  <si>
    <t>OUDAN</t>
  </si>
  <si>
    <t>59620</t>
  </si>
  <si>
    <t>ECUELIN</t>
  </si>
  <si>
    <t>FORGES-LA-FORET</t>
  </si>
  <si>
    <t>PAIZAY-LE-CHAPT</t>
  </si>
  <si>
    <t>ATHESANS-ETROITEFONTAINE</t>
  </si>
  <si>
    <t>LATRILLE</t>
  </si>
  <si>
    <t>JARNAGES</t>
  </si>
  <si>
    <t>TIGNY-NOYELLE</t>
  </si>
  <si>
    <t>CHENERAILLES</t>
  </si>
  <si>
    <t>2B267</t>
  </si>
  <si>
    <t>SALICETO</t>
  </si>
  <si>
    <t>DRACY-LE-FORT</t>
  </si>
  <si>
    <t>AUTRECHENE</t>
  </si>
  <si>
    <t>VAHL-EBERSING</t>
  </si>
  <si>
    <t>LAVANNES</t>
  </si>
  <si>
    <t>SAVOUGES</t>
  </si>
  <si>
    <t>74440</t>
  </si>
  <si>
    <t>MIEUSSY</t>
  </si>
  <si>
    <t>FOUCARMONT</t>
  </si>
  <si>
    <t>TREGOMEUR</t>
  </si>
  <si>
    <t>BULLECOURT</t>
  </si>
  <si>
    <t>BONNEFOI</t>
  </si>
  <si>
    <t>GARIN</t>
  </si>
  <si>
    <t>LOIGNY-LA-BATAILLE</t>
  </si>
  <si>
    <t>78650</t>
  </si>
  <si>
    <t>DIE</t>
  </si>
  <si>
    <t>ORTILLON</t>
  </si>
  <si>
    <t>50710</t>
  </si>
  <si>
    <t>CREANCES</t>
  </si>
  <si>
    <t>GINOUILLAC</t>
  </si>
  <si>
    <t>BOURESCHES</t>
  </si>
  <si>
    <t>JOYEUX</t>
  </si>
  <si>
    <t>83110</t>
  </si>
  <si>
    <t>SANARY-SUR-MER</t>
  </si>
  <si>
    <t>SAINT-MICHEL-EN-BEAUMONT</t>
  </si>
  <si>
    <t>SIGY-LE-CHATEL</t>
  </si>
  <si>
    <t>ONVILLE</t>
  </si>
  <si>
    <t>SAINT-SYMPHORIEN-SUR-COISE</t>
  </si>
  <si>
    <t>TORCY</t>
  </si>
  <si>
    <t>BIERRE-LES-SEMUR</t>
  </si>
  <si>
    <t>CHAILLY-SUR-ARMANCON</t>
  </si>
  <si>
    <t>SILLY-TILLARD</t>
  </si>
  <si>
    <t>ETEVAUX</t>
  </si>
  <si>
    <t>CRAS-SUR-REYSSOUZE</t>
  </si>
  <si>
    <t>CHAMBELLAY</t>
  </si>
  <si>
    <t>VAUX-SUR-SAINT-URBAIN</t>
  </si>
  <si>
    <t>CRUSEILLES</t>
  </si>
  <si>
    <t>VARENNES-SUR-USSON</t>
  </si>
  <si>
    <t>97217</t>
  </si>
  <si>
    <t>LES ANSES-D'ARLET</t>
  </si>
  <si>
    <t>JOSSIGNY</t>
  </si>
  <si>
    <t>MESSEME</t>
  </si>
  <si>
    <t>PONT-HEBERT</t>
  </si>
  <si>
    <t>LA FERRIERE-BOCHARD</t>
  </si>
  <si>
    <t>66410</t>
  </si>
  <si>
    <t>VILLELONGUE-DE-LA-SALANQUE</t>
  </si>
  <si>
    <t>33720</t>
  </si>
  <si>
    <t>SAINT-MICHEL-DE-RIEUFRET</t>
  </si>
  <si>
    <t>SAINT-MEME-LE-TENU</t>
  </si>
  <si>
    <t>SASSETOT-LE-MALGARDE</t>
  </si>
  <si>
    <t>LANNES</t>
  </si>
  <si>
    <t>LOUVIGNE-DE-BAIS</t>
  </si>
  <si>
    <t>BELLE-ET-HOULLEFORT</t>
  </si>
  <si>
    <t>DINSHEIM-SUR-BRUCHE</t>
  </si>
  <si>
    <t>NOYANT-ET-ACONIN</t>
  </si>
  <si>
    <t>RECOULES-D'AUBRAC</t>
  </si>
  <si>
    <t>SCHWINDRATZHEIM</t>
  </si>
  <si>
    <t>SAINT-GENIX-SUR-GUIERS</t>
  </si>
  <si>
    <t>SARRAGEOIS</t>
  </si>
  <si>
    <t>GRENTZINGEN</t>
  </si>
  <si>
    <t>FOURNEVILLE</t>
  </si>
  <si>
    <t>MELLEVILLE</t>
  </si>
  <si>
    <t>DOMPIERRE-SUR-HERY</t>
  </si>
  <si>
    <t>MESNIL-CLINCHAMPS</t>
  </si>
  <si>
    <t>62217</t>
  </si>
  <si>
    <t>AGNY</t>
  </si>
  <si>
    <t>CUCUGNAN</t>
  </si>
  <si>
    <t>MORLAC</t>
  </si>
  <si>
    <t>SAINT-AUBAN</t>
  </si>
  <si>
    <t>AUXON-DESSOUS</t>
  </si>
  <si>
    <t>PLACY</t>
  </si>
  <si>
    <t>MASSIGES</t>
  </si>
  <si>
    <t>BAZOGES-EN-PAILLERS</t>
  </si>
  <si>
    <t>SOLENTE</t>
  </si>
  <si>
    <t>WICKERSHEIM-WILSHAUSEN</t>
  </si>
  <si>
    <t>TRENAL</t>
  </si>
  <si>
    <t>DAUMAZAN-SUR-ARIZE</t>
  </si>
  <si>
    <t>CARSIX</t>
  </si>
  <si>
    <t>SQUIFFIEC</t>
  </si>
  <si>
    <t>CHAUX-DES-PRES</t>
  </si>
  <si>
    <t>29600</t>
  </si>
  <si>
    <t>SAINTE-SEVE</t>
  </si>
  <si>
    <t>AMIONS</t>
  </si>
  <si>
    <t>MONTREUIL-AUX-LIONS</t>
  </si>
  <si>
    <t>BARZY-SUR-MARNE</t>
  </si>
  <si>
    <t>2B069</t>
  </si>
  <si>
    <t>CASABIANCA</t>
  </si>
  <si>
    <t>27740</t>
  </si>
  <si>
    <t>POSES</t>
  </si>
  <si>
    <t>ISSOU</t>
  </si>
  <si>
    <t>SAINT-QUENTIN-SUR-NOHAIN</t>
  </si>
  <si>
    <t>71200</t>
  </si>
  <si>
    <t>LE CREUSOT</t>
  </si>
  <si>
    <t>LESCHERAINES</t>
  </si>
  <si>
    <t>BRIEC</t>
  </si>
  <si>
    <t>LANEUVEVILLE-EN-SAULNOIS</t>
  </si>
  <si>
    <t>SAINT-JEAN-DE-COUZ</t>
  </si>
  <si>
    <t>ROCHE-LEZ-BEAUPRE</t>
  </si>
  <si>
    <t>SAILLY-SUR-LA-LYS</t>
  </si>
  <si>
    <t>62620</t>
  </si>
  <si>
    <t>HOUCHIN</t>
  </si>
  <si>
    <t>VILLEBRET</t>
  </si>
  <si>
    <t>62800</t>
  </si>
  <si>
    <t>LIEVIN</t>
  </si>
  <si>
    <t>VY-LES-LURE</t>
  </si>
  <si>
    <t>SAINT-ANDRE-EN-BRESSE</t>
  </si>
  <si>
    <t>BRION-PRES-THOUET</t>
  </si>
  <si>
    <t>LAON</t>
  </si>
  <si>
    <t>PREFONTAINES</t>
  </si>
  <si>
    <t>SAINT-HILAIRE-SUR-YERRE</t>
  </si>
  <si>
    <t>BONVILLARD</t>
  </si>
  <si>
    <t>SOULOMES</t>
  </si>
  <si>
    <t>ARCENS</t>
  </si>
  <si>
    <t>WARCQ</t>
  </si>
  <si>
    <t>CROCY</t>
  </si>
  <si>
    <t>LE PULEY</t>
  </si>
  <si>
    <t>VRAIGNES-LES-HORNOY</t>
  </si>
  <si>
    <t>ABELCOURT</t>
  </si>
  <si>
    <t>LA SONE</t>
  </si>
  <si>
    <t>LURS</t>
  </si>
  <si>
    <t>LA MOTTE-DE-GALAURE</t>
  </si>
  <si>
    <t>FOSSE</t>
  </si>
  <si>
    <t>ANGLARS-JUILLAC</t>
  </si>
  <si>
    <t>41350</t>
  </si>
  <si>
    <t>VINEUIL</t>
  </si>
  <si>
    <t>SAINT-VICTOR-SUR-RHINS</t>
  </si>
  <si>
    <t>LIGNY-LES-AIRE</t>
  </si>
  <si>
    <t>LE MEE</t>
  </si>
  <si>
    <t>CHEIGNIEU-LA-BALME</t>
  </si>
  <si>
    <t>LIXHAUSEN</t>
  </si>
  <si>
    <t>DOUVRIN</t>
  </si>
  <si>
    <t>AVRESSIEUX</t>
  </si>
  <si>
    <t>62710</t>
  </si>
  <si>
    <t>COURRIERES</t>
  </si>
  <si>
    <t>GRENING</t>
  </si>
  <si>
    <t>90500</t>
  </si>
  <si>
    <t>BEAUCOURT</t>
  </si>
  <si>
    <t>REMAUCOURT</t>
  </si>
  <si>
    <t>SAULCHOY</t>
  </si>
  <si>
    <t>GERNICOURT</t>
  </si>
  <si>
    <t>PEYRELEVADE</t>
  </si>
  <si>
    <t>PARRANQUET</t>
  </si>
  <si>
    <t>SAINT-MARD-LES-ROUFFY</t>
  </si>
  <si>
    <t>VERNEUIL-SUR-INDRE</t>
  </si>
  <si>
    <t>PERROS-GUIREC</t>
  </si>
  <si>
    <t>BREVILLIERS</t>
  </si>
  <si>
    <t>SAINTENY</t>
  </si>
  <si>
    <t>MONTSOREAU</t>
  </si>
  <si>
    <t>81100</t>
  </si>
  <si>
    <t>LABOULBENE</t>
  </si>
  <si>
    <t>CHASNE-SUR-ILLET</t>
  </si>
  <si>
    <t>40460</t>
  </si>
  <si>
    <t>SANGUINET</t>
  </si>
  <si>
    <t>ALLENJOIE</t>
  </si>
  <si>
    <t>NOIRON</t>
  </si>
  <si>
    <t>MONTCEAUX-RAGNY</t>
  </si>
  <si>
    <t>AY-SUR-MOSELLE</t>
  </si>
  <si>
    <t>MANDEREN</t>
  </si>
  <si>
    <t>LE TOURNE</t>
  </si>
  <si>
    <t>SAINTE-ANNE-SUR-BRIVET</t>
  </si>
  <si>
    <t>JUPILLES</t>
  </si>
  <si>
    <t>GURGY-LA-VILLE</t>
  </si>
  <si>
    <t>LE BASTIT</t>
  </si>
  <si>
    <t>3600</t>
  </si>
  <si>
    <t>NELLING</t>
  </si>
  <si>
    <t>LA SALVETAT-BELMONTET</t>
  </si>
  <si>
    <t>MIGNERETTE</t>
  </si>
  <si>
    <t>FERRIERES-EN-GATINAIS</t>
  </si>
  <si>
    <t>HERRIN</t>
  </si>
  <si>
    <t>CISSE</t>
  </si>
  <si>
    <t>NIEDERLAUTERBACH</t>
  </si>
  <si>
    <t>XONVILLE</t>
  </si>
  <si>
    <t>RAIVAL</t>
  </si>
  <si>
    <t>OXELAERE</t>
  </si>
  <si>
    <t>BATS</t>
  </si>
  <si>
    <t>STUCKANGE</t>
  </si>
  <si>
    <t>BUS-SAINT-REMY</t>
  </si>
  <si>
    <t>JULIENNE</t>
  </si>
  <si>
    <t>MIREBEL</t>
  </si>
  <si>
    <t>LAPAN</t>
  </si>
  <si>
    <t>VICHERES</t>
  </si>
  <si>
    <t>OMICOURT</t>
  </si>
  <si>
    <t>LA CHAPELLE-BERTRAND</t>
  </si>
  <si>
    <t>VICQUES</t>
  </si>
  <si>
    <t>GIREMOUTIERS</t>
  </si>
  <si>
    <t>ESCOS</t>
  </si>
  <si>
    <t>SCYE</t>
  </si>
  <si>
    <t>ARTHON-EN-RETZ</t>
  </si>
  <si>
    <t>THYEZ</t>
  </si>
  <si>
    <t>LE MENIL-BERARD</t>
  </si>
  <si>
    <t>63670</t>
  </si>
  <si>
    <t>LE CENDRE</t>
  </si>
  <si>
    <t>FAYS</t>
  </si>
  <si>
    <t>VIEUX-FUME</t>
  </si>
  <si>
    <t>BELMESNIL</t>
  </si>
  <si>
    <t>POUILLY-LES-NONAINS</t>
  </si>
  <si>
    <t>JONZIEUX</t>
  </si>
  <si>
    <t>GUEYTES-ET-LABASTIDE</t>
  </si>
  <si>
    <t>EZY-SUR-EURE</t>
  </si>
  <si>
    <t>L'ESCALE</t>
  </si>
  <si>
    <t>VELLE-LE-CHATEL</t>
  </si>
  <si>
    <t>21630</t>
  </si>
  <si>
    <t>POMMARD</t>
  </si>
  <si>
    <t>PETITMONT</t>
  </si>
  <si>
    <t>LASSIGNY</t>
  </si>
  <si>
    <t>PORT-MORT</t>
  </si>
  <si>
    <t>GALEZ</t>
  </si>
  <si>
    <t>AUFFAY</t>
  </si>
  <si>
    <t>COURLANS</t>
  </si>
  <si>
    <t>COISY</t>
  </si>
  <si>
    <t>PINS-JUSTARET</t>
  </si>
  <si>
    <t>MALETABLE</t>
  </si>
  <si>
    <t>LA CAUNETTE</t>
  </si>
  <si>
    <t>SAINT-GEORGES-DE-LEVEJAC</t>
  </si>
  <si>
    <t>GAVRES</t>
  </si>
  <si>
    <t>STUNDWILLER</t>
  </si>
  <si>
    <t>EVRICOURT</t>
  </si>
  <si>
    <t>PLOUFRAGAN</t>
  </si>
  <si>
    <t>MONTOUSSIN</t>
  </si>
  <si>
    <t>SAINT-SYMPHORIEN-SOUS-CHOMERAC</t>
  </si>
  <si>
    <t>AUNAC</t>
  </si>
  <si>
    <t>TAYBOSC</t>
  </si>
  <si>
    <t>GESNES</t>
  </si>
  <si>
    <t>SAINT-UNIAC</t>
  </si>
  <si>
    <t>9190</t>
  </si>
  <si>
    <t>LORP-SENTARAILLE</t>
  </si>
  <si>
    <t>REAUP-LISSE</t>
  </si>
  <si>
    <t>MONTCEAU-ET-ECHARNANT</t>
  </si>
  <si>
    <t>SAINT-SYLVAIN</t>
  </si>
  <si>
    <t>LA VERGENNE</t>
  </si>
  <si>
    <t>CASSAGNE</t>
  </si>
  <si>
    <t>CHAVIGNY</t>
  </si>
  <si>
    <t>MARQUIXANES</t>
  </si>
  <si>
    <t>LADEVEZE-VILLE</t>
  </si>
  <si>
    <t>SAINT-SULIAC</t>
  </si>
  <si>
    <t>FERTANS</t>
  </si>
  <si>
    <t>72370</t>
  </si>
  <si>
    <t>NUILLE-LE-JALAIS</t>
  </si>
  <si>
    <t>SAILLY-LEZ-CAMBRAI</t>
  </si>
  <si>
    <t>FORET-LA-FOLIE</t>
  </si>
  <si>
    <t>LA BAZOUGE-DU-DESERT</t>
  </si>
  <si>
    <t>OYES</t>
  </si>
  <si>
    <t>MELECEY</t>
  </si>
  <si>
    <t>VIEVILLE</t>
  </si>
  <si>
    <t>AUBINGES</t>
  </si>
  <si>
    <t>TORTEZAIS</t>
  </si>
  <si>
    <t>MONTIERS</t>
  </si>
  <si>
    <t>NERONDE-SUR-DORE</t>
  </si>
  <si>
    <t>GRILLY</t>
  </si>
  <si>
    <t>ANCHE</t>
  </si>
  <si>
    <t>TROGUES</t>
  </si>
  <si>
    <t>LA NEUVILLE-GARNIER</t>
  </si>
  <si>
    <t>CONGY</t>
  </si>
  <si>
    <t>MANNEVILLE-LA-RAOULT</t>
  </si>
  <si>
    <t>TERROLES</t>
  </si>
  <si>
    <t>44117</t>
  </si>
  <si>
    <t>LESSARD-LE-NATIONAL</t>
  </si>
  <si>
    <t>PASSAVANT-LA-ROCHERE</t>
  </si>
  <si>
    <t>LAVAL-SUR-TOURBE</t>
  </si>
  <si>
    <t>SAVIGNY-SUR-BRAYE</t>
  </si>
  <si>
    <t>LE BOURDEIX</t>
  </si>
  <si>
    <t>ARNAC-LA-POSTE</t>
  </si>
  <si>
    <t>AMBRINES</t>
  </si>
  <si>
    <t>PLAINVILLE</t>
  </si>
  <si>
    <t>VILLEMATIER</t>
  </si>
  <si>
    <t>ROUGE</t>
  </si>
  <si>
    <t>WIDEHEM</t>
  </si>
  <si>
    <t>56530</t>
  </si>
  <si>
    <t>GESTEL</t>
  </si>
  <si>
    <t>ENNEMAIN</t>
  </si>
  <si>
    <t>95680</t>
  </si>
  <si>
    <t>MONTLIGNON</t>
  </si>
  <si>
    <t>12740</t>
  </si>
  <si>
    <t>LA LOUBIERE</t>
  </si>
  <si>
    <t>LA HEUNIERE</t>
  </si>
  <si>
    <t>LOMPRET</t>
  </si>
  <si>
    <t>SAINT-JEAN-SUR-ERVE</t>
  </si>
  <si>
    <t>AILLIERES-BEAUVOIR</t>
  </si>
  <si>
    <t>LANUEJOLS</t>
  </si>
  <si>
    <t>59194</t>
  </si>
  <si>
    <t>RACHES</t>
  </si>
  <si>
    <t>SAINT-ANDRE-DE-BUEGES</t>
  </si>
  <si>
    <t>LHERAULE</t>
  </si>
  <si>
    <t>NEULLES</t>
  </si>
  <si>
    <t>FREYSSENET</t>
  </si>
  <si>
    <t>CUSSY-LES-FORGES</t>
  </si>
  <si>
    <t>BEAUNOTTE</t>
  </si>
  <si>
    <t>ADERVIELLE-POUCHERGUES</t>
  </si>
  <si>
    <t>BARJOLS</t>
  </si>
  <si>
    <t>FRANKEN</t>
  </si>
  <si>
    <t>VITRY-SUR-LOIRE</t>
  </si>
  <si>
    <t>BEAUFORT</t>
  </si>
  <si>
    <t>DURY</t>
  </si>
  <si>
    <t>VILLADIN</t>
  </si>
  <si>
    <t>COUZON</t>
  </si>
  <si>
    <t>SAINT-WAAST</t>
  </si>
  <si>
    <t>LA CHAPELLE-SOUS-ORBAIS</t>
  </si>
  <si>
    <t>MERE</t>
  </si>
  <si>
    <t>SURY-EN-VAUX</t>
  </si>
  <si>
    <t>CHATEL-SUR-MOSELLE</t>
  </si>
  <si>
    <t>FABAS</t>
  </si>
  <si>
    <t>FLAXLANDEN</t>
  </si>
  <si>
    <t>MOROGUES</t>
  </si>
  <si>
    <t>LAVELINE-DEVANT-BRUYERES</t>
  </si>
  <si>
    <t>MORNAND-EN-FOREZ</t>
  </si>
  <si>
    <t>GOUSSAINCOURT</t>
  </si>
  <si>
    <t>SAINT-PRIEST-DE-GIMEL</t>
  </si>
  <si>
    <t>LE CERGNE</t>
  </si>
  <si>
    <t>LAHONTAN</t>
  </si>
  <si>
    <t>CHERVILLE</t>
  </si>
  <si>
    <t>BERNARDSWILLER</t>
  </si>
  <si>
    <t>MARTROIS</t>
  </si>
  <si>
    <t>ANSE</t>
  </si>
  <si>
    <t>AUTIGNY-LE-PETIT</t>
  </si>
  <si>
    <t>IRREVILLE</t>
  </si>
  <si>
    <t>BIEUZY</t>
  </si>
  <si>
    <t>CHATILLON-SUR-CLUSES</t>
  </si>
  <si>
    <t>PRENOVEL</t>
  </si>
  <si>
    <t>LINAY</t>
  </si>
  <si>
    <t>MAROLLES</t>
  </si>
  <si>
    <t>57240</t>
  </si>
  <si>
    <t>KNUTANGE</t>
  </si>
  <si>
    <t>ARGENTENAY</t>
  </si>
  <si>
    <t>BLANDOUET</t>
  </si>
  <si>
    <t>NOTRE-DAME-DE-MESAGE</t>
  </si>
  <si>
    <t>VEUILLY-LA-POTERIE</t>
  </si>
  <si>
    <t>22490</t>
  </si>
  <si>
    <t>LANGROLAY-SUR-RANCE</t>
  </si>
  <si>
    <t>TREGUIDEL</t>
  </si>
  <si>
    <t>43530</t>
  </si>
  <si>
    <t>TIRANGES</t>
  </si>
  <si>
    <t>MONTABOT</t>
  </si>
  <si>
    <t>SAINT-SATURNIN-DU-BOIS</t>
  </si>
  <si>
    <t>VAHL-LES-BENESTROFF</t>
  </si>
  <si>
    <t>SAINT-BAUZEIL</t>
  </si>
  <si>
    <t>TEILHET</t>
  </si>
  <si>
    <t>PONTOUX</t>
  </si>
  <si>
    <t>SANILHAC-SAGRIES</t>
  </si>
  <si>
    <t>30450</t>
  </si>
  <si>
    <t>AUJAC</t>
  </si>
  <si>
    <t>VILLETRUN</t>
  </si>
  <si>
    <t>ETIVEY</t>
  </si>
  <si>
    <t>AVENAY</t>
  </si>
  <si>
    <t>LES ROTOURS</t>
  </si>
  <si>
    <t>NERET</t>
  </si>
  <si>
    <t>7800</t>
  </si>
  <si>
    <t>GILHAC-ET-BRUZAC</t>
  </si>
  <si>
    <t>AUXEY-DURESSES</t>
  </si>
  <si>
    <t>MEAILLES</t>
  </si>
  <si>
    <t>BARBEY-SEROUX</t>
  </si>
  <si>
    <t>REMECOURT</t>
  </si>
  <si>
    <t>VOISENON</t>
  </si>
  <si>
    <t>SAINT-BONNET-DES-BRUYERES</t>
  </si>
  <si>
    <t>FAUVILLE-EN-CAUX</t>
  </si>
  <si>
    <t>BEAUMOTTE-AUBERTANS</t>
  </si>
  <si>
    <t>POMPIAC</t>
  </si>
  <si>
    <t>SEMUSSAC</t>
  </si>
  <si>
    <t>MORGNY-EN-THIERACHE</t>
  </si>
  <si>
    <t>ARS-SUR-FORMANS</t>
  </si>
  <si>
    <t>SAINT-MORILLON</t>
  </si>
  <si>
    <t>SAINT-AULAYE</t>
  </si>
  <si>
    <t>RIMPLAS</t>
  </si>
  <si>
    <t>BREUVERY-SUR-COOLE</t>
  </si>
  <si>
    <t>88360</t>
  </si>
  <si>
    <t>RUPT-SUR-MOSELLE</t>
  </si>
  <si>
    <t>ORESMAUX</t>
  </si>
  <si>
    <t>VREGILLE</t>
  </si>
  <si>
    <t>SAINT-HILAIRE-CUSSON-LA-VALMITTE</t>
  </si>
  <si>
    <t>CHALLERANGE</t>
  </si>
  <si>
    <t>AJOU</t>
  </si>
  <si>
    <t>POSANGES</t>
  </si>
  <si>
    <t>DOMEVRE-SUR-DURBION</t>
  </si>
  <si>
    <t>LUPERSAT</t>
  </si>
  <si>
    <t>MOLINES-EN-QUEYRAS</t>
  </si>
  <si>
    <t>20150</t>
  </si>
  <si>
    <t>2A198</t>
  </si>
  <si>
    <t>OTA</t>
  </si>
  <si>
    <t>ARGELES-GAZOST</t>
  </si>
  <si>
    <t>KAUFFENHEIM</t>
  </si>
  <si>
    <t>SOULAINES-SUR-AUBANCE</t>
  </si>
  <si>
    <t>LE QUARTIER</t>
  </si>
  <si>
    <t>QUEVREVILLE-LA-POTERIE</t>
  </si>
  <si>
    <t>71100</t>
  </si>
  <si>
    <t>LA CHARMEE</t>
  </si>
  <si>
    <t>DOURDAN</t>
  </si>
  <si>
    <t>NEZEL</t>
  </si>
  <si>
    <t>GRANDRIF</t>
  </si>
  <si>
    <t>13450</t>
  </si>
  <si>
    <t>GRANS</t>
  </si>
  <si>
    <t>MARNOZ</t>
  </si>
  <si>
    <t>LE FRECHET</t>
  </si>
  <si>
    <t>PINOLS</t>
  </si>
  <si>
    <t>SAINT-MARTIN-DE-LA-PLACE</t>
  </si>
  <si>
    <t>LASSERAN</t>
  </si>
  <si>
    <t>ETRELLES-ET-LA-MONTBLEUSE</t>
  </si>
  <si>
    <t>ROSEL</t>
  </si>
  <si>
    <t>ROYON</t>
  </si>
  <si>
    <t>LE CHATELARD</t>
  </si>
  <si>
    <t>CHAUMES-EN-BRIE</t>
  </si>
  <si>
    <t>VARAMBON</t>
  </si>
  <si>
    <t>42780</t>
  </si>
  <si>
    <t>VIOLAY</t>
  </si>
  <si>
    <t>MAREIL-LE-GUYON</t>
  </si>
  <si>
    <t>SAINT-LAURENT-LES-BAINS</t>
  </si>
  <si>
    <t>LASALLE</t>
  </si>
  <si>
    <t>JUVIGNY-EN-PERTHOIS</t>
  </si>
  <si>
    <t>VAUX-LES-SAINT-CLAUDE</t>
  </si>
  <si>
    <t>BETHELAINVILLE</t>
  </si>
  <si>
    <t>DROUVIN-LE-MARAIS</t>
  </si>
  <si>
    <t>VILLEGLY</t>
  </si>
  <si>
    <t>SAINT-ALBAN-DU-RHONE</t>
  </si>
  <si>
    <t>BETIGNICOURT</t>
  </si>
  <si>
    <t>COURET</t>
  </si>
  <si>
    <t>SAINT-DIDIER-DE-LA-TOUR</t>
  </si>
  <si>
    <t>LE THEIL-DE-BRETAGNE</t>
  </si>
  <si>
    <t>LAGORCE</t>
  </si>
  <si>
    <t>ESCUEILLENS-ET-SAINT-JUST-DE-BELENGARD</t>
  </si>
  <si>
    <t>SAINT-FLOXEL</t>
  </si>
  <si>
    <t>CHAVELOT</t>
  </si>
  <si>
    <t>SAINT-MARTIN-DU-VIVIER</t>
  </si>
  <si>
    <t>FREGOUVILLE</t>
  </si>
  <si>
    <t>REILLON</t>
  </si>
  <si>
    <t>MONTMOROT</t>
  </si>
  <si>
    <t>VILLENEUVE-SAINT-SALVES</t>
  </si>
  <si>
    <t>SAUBENS</t>
  </si>
  <si>
    <t>FOUCHERES-AUX-BOIS</t>
  </si>
  <si>
    <t>BESSEDE-DE-SAULT</t>
  </si>
  <si>
    <t>BAUME-LES-MESSIEURS</t>
  </si>
  <si>
    <t>BEAUMONT-DU-LAC</t>
  </si>
  <si>
    <t>REMELING</t>
  </si>
  <si>
    <t>CHABLIS</t>
  </si>
  <si>
    <t>RABODANGES</t>
  </si>
  <si>
    <t>TREVOL</t>
  </si>
  <si>
    <t>2A186</t>
  </si>
  <si>
    <t>OLIVESE</t>
  </si>
  <si>
    <t>LA BOISSIERE</t>
  </si>
  <si>
    <t>WALDWEISTROFF</t>
  </si>
  <si>
    <t>FORCALQUEIRET</t>
  </si>
  <si>
    <t>BREVAL</t>
  </si>
  <si>
    <t>VIEURE</t>
  </si>
  <si>
    <t>KIRSCHNAUMEN</t>
  </si>
  <si>
    <t>LA GROISE</t>
  </si>
  <si>
    <t>AULAS</t>
  </si>
  <si>
    <t>LA CHAMBRE</t>
  </si>
  <si>
    <t>GOURGE</t>
  </si>
  <si>
    <t>SERIGNAN</t>
  </si>
  <si>
    <t>CHALONS-SUR-VESLE</t>
  </si>
  <si>
    <t>CREUSE</t>
  </si>
  <si>
    <t>LOUVERGNY</t>
  </si>
  <si>
    <t>SAINT-GERMAIN-DE-MONTGOMMERY</t>
  </si>
  <si>
    <t>LA BALEINE</t>
  </si>
  <si>
    <t>LE MESNIL-VENERON</t>
  </si>
  <si>
    <t>HARREBERG</t>
  </si>
  <si>
    <t>MAZEIRAT</t>
  </si>
  <si>
    <t>CALLEVILLE-LES-DEUX-EGLISES</t>
  </si>
  <si>
    <t>BOUCHAMPS-LES-CRAON</t>
  </si>
  <si>
    <t>SAINT-LEON</t>
  </si>
  <si>
    <t>SAINTE-HELENE-BONDEVILLE</t>
  </si>
  <si>
    <t>SAINT-MARCEL-L'ECLAIRE</t>
  </si>
  <si>
    <t>BROUSSEVAL</t>
  </si>
  <si>
    <t>92230</t>
  </si>
  <si>
    <t>GENNEVILLIERS</t>
  </si>
  <si>
    <t>SAINT-GUIRAUD</t>
  </si>
  <si>
    <t>CASE-PILOTE</t>
  </si>
  <si>
    <t>81450</t>
  </si>
  <si>
    <t>LE GARRIC</t>
  </si>
  <si>
    <t>DROUE-SUR-DROUETTE</t>
  </si>
  <si>
    <t>EMANCE</t>
  </si>
  <si>
    <t>TEYRAN</t>
  </si>
  <si>
    <t>74190</t>
  </si>
  <si>
    <t>FRONTENAUD</t>
  </si>
  <si>
    <t>ISSEPTS</t>
  </si>
  <si>
    <t>LIAUSSON</t>
  </si>
  <si>
    <t>SIGNY-L'ABBAYE</t>
  </si>
  <si>
    <t>MASSANGIS</t>
  </si>
  <si>
    <t>GUIGNICOURT-SUR-VENCE</t>
  </si>
  <si>
    <t>LA COUTURE</t>
  </si>
  <si>
    <t>ARFEUILLE-CHATAIN</t>
  </si>
  <si>
    <t>CHAMPIGNOL-LEZ-MONDEVILLE</t>
  </si>
  <si>
    <t>VICQ</t>
  </si>
  <si>
    <t>LANGOELAN</t>
  </si>
  <si>
    <t>MUIDS</t>
  </si>
  <si>
    <t>SAINT-MARTIN-DE-PALLIERES</t>
  </si>
  <si>
    <t>MAUROUX</t>
  </si>
  <si>
    <t>NICEY-SUR-AIRE</t>
  </si>
  <si>
    <t>THOMER-LA-SOGNE</t>
  </si>
  <si>
    <t>TARASTEIX</t>
  </si>
  <si>
    <t>59253</t>
  </si>
  <si>
    <t>LA GORGUE</t>
  </si>
  <si>
    <t>ROUSSILLON-EN-MORVAN</t>
  </si>
  <si>
    <t>LE MESNIL-AMAND</t>
  </si>
  <si>
    <t>LIAS</t>
  </si>
  <si>
    <t>ORMOICHE</t>
  </si>
  <si>
    <t>ETREPILLY</t>
  </si>
  <si>
    <t>GELVECOURT-ET-ADOMPT</t>
  </si>
  <si>
    <t>SAINT-CHRISTOLY-MEDOC</t>
  </si>
  <si>
    <t>YVILLE-SUR-SEINE</t>
  </si>
  <si>
    <t>LE TRANSLOY</t>
  </si>
  <si>
    <t>SAINT-LUMIER-EN-CHAMPAGNE</t>
  </si>
  <si>
    <t>SIDEVILLE</t>
  </si>
  <si>
    <t>LA PALUD-SUR-VERDON</t>
  </si>
  <si>
    <t>ROUMAZIERES-LOUBERT</t>
  </si>
  <si>
    <t>PARENNES</t>
  </si>
  <si>
    <t>ARROS-DE-NAY</t>
  </si>
  <si>
    <t>THUN-SAINT-AMAND</t>
  </si>
  <si>
    <t>LE BIZOT</t>
  </si>
  <si>
    <t>SANTEAU</t>
  </si>
  <si>
    <t>MESPLEDE</t>
  </si>
  <si>
    <t>76650</t>
  </si>
  <si>
    <t>PETIT-COURONNE</t>
  </si>
  <si>
    <t>CHENON</t>
  </si>
  <si>
    <t>PREVENCHERES</t>
  </si>
  <si>
    <t>VIODOS-ABENSE-DE-BAS</t>
  </si>
  <si>
    <t>81640</t>
  </si>
  <si>
    <t>MONESTIES</t>
  </si>
  <si>
    <t>FONTANIL-CORNILLON</t>
  </si>
  <si>
    <t>VILLOTTE</t>
  </si>
  <si>
    <t>MARLY-SUR-ARROUX</t>
  </si>
  <si>
    <t>EBERBACH-SELTZ</t>
  </si>
  <si>
    <t>AMONT-ET-EFFRENEY</t>
  </si>
  <si>
    <t>97213</t>
  </si>
  <si>
    <t>GROS-MORNE</t>
  </si>
  <si>
    <t>OIGNEY</t>
  </si>
  <si>
    <t>MEREY</t>
  </si>
  <si>
    <t>ROUXMESNIL-BOUTEILLES</t>
  </si>
  <si>
    <t>SAINT-REMY-LE-PETIT</t>
  </si>
  <si>
    <t>ALMONT-LES-JUNIES</t>
  </si>
  <si>
    <t>RAHAY</t>
  </si>
  <si>
    <t>HYDS</t>
  </si>
  <si>
    <t>SAINT-VINCENT</t>
  </si>
  <si>
    <t>ZEINHEIM</t>
  </si>
  <si>
    <t>MILIZAC</t>
  </si>
  <si>
    <t>BAZOQUES</t>
  </si>
  <si>
    <t>MAREST-SUR-MATZ</t>
  </si>
  <si>
    <t>ESQUAY-NOTRE-DAME</t>
  </si>
  <si>
    <t>FAY-LE-CLOS</t>
  </si>
  <si>
    <t>PORCARO</t>
  </si>
  <si>
    <t>BRIEY</t>
  </si>
  <si>
    <t>NEUFLIZE</t>
  </si>
  <si>
    <t>NOTRE-DAME-DE-BLIQUETUIT</t>
  </si>
  <si>
    <t>CAYRIECH</t>
  </si>
  <si>
    <t>COULANGES</t>
  </si>
  <si>
    <t>VOYER</t>
  </si>
  <si>
    <t>MAILLEBOIS</t>
  </si>
  <si>
    <t>14880</t>
  </si>
  <si>
    <t>COLLEVILLE-MONTGOMERY</t>
  </si>
  <si>
    <t>GIVREZAC</t>
  </si>
  <si>
    <t>20135</t>
  </si>
  <si>
    <t>2A092</t>
  </si>
  <si>
    <t>CONCA</t>
  </si>
  <si>
    <t>GARS</t>
  </si>
  <si>
    <t>ARREMBECOURT</t>
  </si>
  <si>
    <t>LES BARILS</t>
  </si>
  <si>
    <t>GEAUNE</t>
  </si>
  <si>
    <t>SAINT-PIERRE-BROUCK</t>
  </si>
  <si>
    <t>54240</t>
  </si>
  <si>
    <t>JOEUF</t>
  </si>
  <si>
    <t>BAGNEUX-LA-FOSSE</t>
  </si>
  <si>
    <t>83840</t>
  </si>
  <si>
    <t>BRENON</t>
  </si>
  <si>
    <t>KERVIGNAC</t>
  </si>
  <si>
    <t>CALONGES</t>
  </si>
  <si>
    <t>PONT-DU-BOIS</t>
  </si>
  <si>
    <t>MONTET-ET-BOUXAL</t>
  </si>
  <si>
    <t>ESWARS</t>
  </si>
  <si>
    <t>BEDOUS</t>
  </si>
  <si>
    <t>BOISSERON</t>
  </si>
  <si>
    <t>INGOUVILLE</t>
  </si>
  <si>
    <t>QUEBRIAC</t>
  </si>
  <si>
    <t>SAULCY</t>
  </si>
  <si>
    <t>MERIGNY</t>
  </si>
  <si>
    <t>20167</t>
  </si>
  <si>
    <t>2A271</t>
  </si>
  <si>
    <t>SARROLA-CARCOPINO</t>
  </si>
  <si>
    <t>59780</t>
  </si>
  <si>
    <t>WILLEMS</t>
  </si>
  <si>
    <t>56290</t>
  </si>
  <si>
    <t>PORT-LOUIS</t>
  </si>
  <si>
    <t>VERREY-SOUS-SALMAISE</t>
  </si>
  <si>
    <t>MOULEDOUS</t>
  </si>
  <si>
    <t>SERY</t>
  </si>
  <si>
    <t>ANCERVILLE</t>
  </si>
  <si>
    <t>ROUSSAS</t>
  </si>
  <si>
    <t>40290</t>
  </si>
  <si>
    <t>HABAS</t>
  </si>
  <si>
    <t>SAINT-DENIS-SUR-SCIE</t>
  </si>
  <si>
    <t>RANCOURT</t>
  </si>
  <si>
    <t>MAURENS</t>
  </si>
  <si>
    <t>BAYEUX</t>
  </si>
  <si>
    <t>CHERVETTES</t>
  </si>
  <si>
    <t>CARCEN-PONSON</t>
  </si>
  <si>
    <t>42153</t>
  </si>
  <si>
    <t>RIORGES</t>
  </si>
  <si>
    <t>MONESPLE</t>
  </si>
  <si>
    <t>ETEIGNIERES</t>
  </si>
  <si>
    <t>SAULT-LES-RETHEL</t>
  </si>
  <si>
    <t>MELIGNY-LE-PETIT</t>
  </si>
  <si>
    <t>VITRAI-SOUS-LAIGLE</t>
  </si>
  <si>
    <t>LUSSAGNET-LUSSON</t>
  </si>
  <si>
    <t>BUNZAC</t>
  </si>
  <si>
    <t>CASTILLONNES</t>
  </si>
  <si>
    <t>SAINT-ANDRE-DE-BRIOUZE</t>
  </si>
  <si>
    <t>LATOUR</t>
  </si>
  <si>
    <t>REIMS-LA-BRULEE</t>
  </si>
  <si>
    <t>CELLETTES</t>
  </si>
  <si>
    <t>CONNEZAC</t>
  </si>
  <si>
    <t>LA SERPENT</t>
  </si>
  <si>
    <t>LES SALELLES</t>
  </si>
  <si>
    <t>PRADINAS</t>
  </si>
  <si>
    <t>CHISSEY-LES-MACON</t>
  </si>
  <si>
    <t>ORIGNY-LE-BUTIN</t>
  </si>
  <si>
    <t>MATTON-ET-CLEMENCY</t>
  </si>
  <si>
    <t>VOUGREY</t>
  </si>
  <si>
    <t>LANRIVOARE</t>
  </si>
  <si>
    <t>SAINT-OURS</t>
  </si>
  <si>
    <t>CARVILLE-POT-DE-FER</t>
  </si>
  <si>
    <t>65000</t>
  </si>
  <si>
    <t>TARBES</t>
  </si>
  <si>
    <t>SUZOY</t>
  </si>
  <si>
    <t>LA MOTTE-EN-CHAMPSAUR</t>
  </si>
  <si>
    <t>LA CHAPELLE-SUR-LOIRE</t>
  </si>
  <si>
    <t>LE PLESSIS-GASSOT</t>
  </si>
  <si>
    <t>COSSE-EN-CHAMPAGNE</t>
  </si>
  <si>
    <t>LA VACHERESSE-ET-LA-ROUILLIE</t>
  </si>
  <si>
    <t>BRAINVILLE</t>
  </si>
  <si>
    <t>WINTERSHOUSE</t>
  </si>
  <si>
    <t>RAMMERSMATT</t>
  </si>
  <si>
    <t>97100</t>
  </si>
  <si>
    <t>BASSE-TERRE</t>
  </si>
  <si>
    <t>VIREUX-WALLERAND</t>
  </si>
  <si>
    <t>PARNANS</t>
  </si>
  <si>
    <t>CHEZY-SUR-MARNE</t>
  </si>
  <si>
    <t>AGENCOURT</t>
  </si>
  <si>
    <t>25560</t>
  </si>
  <si>
    <t>BOUJAILLES</t>
  </si>
  <si>
    <t>SOLIGNY-LES-ETANGS</t>
  </si>
  <si>
    <t>ROHRBACH-LES-BITCHE</t>
  </si>
  <si>
    <t>LA CREUSE</t>
  </si>
  <si>
    <t>63920</t>
  </si>
  <si>
    <t>PESCHADOIRES</t>
  </si>
  <si>
    <t>59295</t>
  </si>
  <si>
    <t>PAILLENCOURT</t>
  </si>
  <si>
    <t>2B205</t>
  </si>
  <si>
    <t>PATRIMONIO</t>
  </si>
  <si>
    <t>MOTTEREAU</t>
  </si>
  <si>
    <t>RONCENAY</t>
  </si>
  <si>
    <t>VALERGUES</t>
  </si>
  <si>
    <t>LA FERTE-ALAIS</t>
  </si>
  <si>
    <t>SAINT-MESMIN</t>
  </si>
  <si>
    <t>BEUVRAIGNES</t>
  </si>
  <si>
    <t>SOURNIA</t>
  </si>
  <si>
    <t>77177</t>
  </si>
  <si>
    <t>BROU-SUR-CHANTEREINE</t>
  </si>
  <si>
    <t>SERCUS</t>
  </si>
  <si>
    <t>COURTACON</t>
  </si>
  <si>
    <t>FLEURIEL</t>
  </si>
  <si>
    <t>AUXAIS</t>
  </si>
  <si>
    <t>PROJAN</t>
  </si>
  <si>
    <t>67650</t>
  </si>
  <si>
    <t>DAMBACH-LA-VILLE</t>
  </si>
  <si>
    <t>VILLERS-SUR-LE-MONT</t>
  </si>
  <si>
    <t>SAINT-JACQUES-DE-NEHOU</t>
  </si>
  <si>
    <t>SARRECAVE</t>
  </si>
  <si>
    <t>SIROD</t>
  </si>
  <si>
    <t>SAINTE-GEMMES-D'ANDIGNE</t>
  </si>
  <si>
    <t>COLOMBEY-LES-BELLES</t>
  </si>
  <si>
    <t>VILLENEUVE-SAINT-DENIS</t>
  </si>
  <si>
    <t>60810</t>
  </si>
  <si>
    <t>RULLY</t>
  </si>
  <si>
    <t>AHUY</t>
  </si>
  <si>
    <t>58660</t>
  </si>
  <si>
    <t>COULANGES-LES-NEVERS</t>
  </si>
  <si>
    <t>GOIN</t>
  </si>
  <si>
    <t>COUVERTPUIS</t>
  </si>
  <si>
    <t>HONDEGHEM</t>
  </si>
  <si>
    <t>SAINT-JEAN-DE-MOIRANS</t>
  </si>
  <si>
    <t>OSSAGES</t>
  </si>
  <si>
    <t>GREZ-EN-BOUERE</t>
  </si>
  <si>
    <t>SAINT-REMY-DE-MAURIENNE</t>
  </si>
  <si>
    <t>GUERARD</t>
  </si>
  <si>
    <t>SAINT-PIERRE-LA-GARENNE</t>
  </si>
  <si>
    <t>HAUTEVILLE-LES-DIJON</t>
  </si>
  <si>
    <t>JUIGNE-SUR-LOIRE</t>
  </si>
  <si>
    <t>BOUISSE</t>
  </si>
  <si>
    <t>CUY</t>
  </si>
  <si>
    <t>GUGNEY</t>
  </si>
  <si>
    <t>VIUZ-LA-CHIESAZ</t>
  </si>
  <si>
    <t>BOURG</t>
  </si>
  <si>
    <t>PIPRIAC</t>
  </si>
  <si>
    <t>PLANFOY</t>
  </si>
  <si>
    <t>LIRONVILLE</t>
  </si>
  <si>
    <t>SAINT-GERAND-DE-VAUX</t>
  </si>
  <si>
    <t>29470</t>
  </si>
  <si>
    <t>LOPERHET</t>
  </si>
  <si>
    <t>MARPIRE</t>
  </si>
  <si>
    <t>SAINT-JEAN-DU-BOIS</t>
  </si>
  <si>
    <t>47000</t>
  </si>
  <si>
    <t>AGEN</t>
  </si>
  <si>
    <t>BONNUT</t>
  </si>
  <si>
    <t>CHOISY</t>
  </si>
  <si>
    <t>TOURNES</t>
  </si>
  <si>
    <t>19270</t>
  </si>
  <si>
    <t>DONZENAC</t>
  </si>
  <si>
    <t>VERNAUX</t>
  </si>
  <si>
    <t>GIZIA</t>
  </si>
  <si>
    <t>CRECHY</t>
  </si>
  <si>
    <t>BERNOS-BEAULAC</t>
  </si>
  <si>
    <t>MARSANGY</t>
  </si>
  <si>
    <t>78920</t>
  </si>
  <si>
    <t>ECQUEVILLY</t>
  </si>
  <si>
    <t>MONSWILLER</t>
  </si>
  <si>
    <t>SAINT-GERMAIN-LA-VILLE</t>
  </si>
  <si>
    <t>SAINT-MERD-LES-OUSSINES</t>
  </si>
  <si>
    <t>MONTMOREAU-SAINT-CYBARD</t>
  </si>
  <si>
    <t>GENICOURT-SUR-MEUSE</t>
  </si>
  <si>
    <t>SEPTMONTS</t>
  </si>
  <si>
    <t>78740</t>
  </si>
  <si>
    <t>VAUX-SUR-SEINE</t>
  </si>
  <si>
    <t>VILLIERS-EN-PLAINE</t>
  </si>
  <si>
    <t>63870</t>
  </si>
  <si>
    <t>ORCINES</t>
  </si>
  <si>
    <t>SIVRY-LA-PERCHE</t>
  </si>
  <si>
    <t>MEZERAY</t>
  </si>
  <si>
    <t>VAUTEBIS</t>
  </si>
  <si>
    <t>AUDON</t>
  </si>
  <si>
    <t>PISSOS</t>
  </si>
  <si>
    <t>PARC-D'ANXTOT</t>
  </si>
  <si>
    <t>ROUILLAC</t>
  </si>
  <si>
    <t>GERM</t>
  </si>
  <si>
    <t>JASSEINES</t>
  </si>
  <si>
    <t>BISSY-SOUS-UXELLES</t>
  </si>
  <si>
    <t>81330</t>
  </si>
  <si>
    <t>SAINT-PIERRE-DE-TRIVISY</t>
  </si>
  <si>
    <t>ROYAUMEIX</t>
  </si>
  <si>
    <t>SERVANT</t>
  </si>
  <si>
    <t>BEAULON</t>
  </si>
  <si>
    <t>SONNAZ</t>
  </si>
  <si>
    <t>MEZIERES-SOUS-LAVARDIN</t>
  </si>
  <si>
    <t>GINDOU</t>
  </si>
  <si>
    <t>CERVIERES</t>
  </si>
  <si>
    <t>SCHWOBSHEIM</t>
  </si>
  <si>
    <t>ABONCOURT-GESINCOURT</t>
  </si>
  <si>
    <t>THEVRAY</t>
  </si>
  <si>
    <t>CABRIERES-D'AVIGNON</t>
  </si>
  <si>
    <t>DINOZE</t>
  </si>
  <si>
    <t>LA CROIX-SAINT-LEUFROY</t>
  </si>
  <si>
    <t>BOUSSENOIS</t>
  </si>
  <si>
    <t>SAINT-MARTIN-BELLEVUE</t>
  </si>
  <si>
    <t>COULEVON</t>
  </si>
  <si>
    <t>82170</t>
  </si>
  <si>
    <t>BESSENS</t>
  </si>
  <si>
    <t>87340</t>
  </si>
  <si>
    <t>LES BILLANGES</t>
  </si>
  <si>
    <t>SOULIGNAC</t>
  </si>
  <si>
    <t>DANCOURT-POPINCOURT</t>
  </si>
  <si>
    <t>SAINT-MARTIN-DE-COMMUNE</t>
  </si>
  <si>
    <t>62210</t>
  </si>
  <si>
    <t>AVION</t>
  </si>
  <si>
    <t>SAINT-VICTOR-SUR-OUCHE</t>
  </si>
  <si>
    <t>GEMAGES</t>
  </si>
  <si>
    <t>77090</t>
  </si>
  <si>
    <t>COLLEGIEN</t>
  </si>
  <si>
    <t>PEZULS</t>
  </si>
  <si>
    <t>WOERTH</t>
  </si>
  <si>
    <t>68490</t>
  </si>
  <si>
    <t>BANTZENHEIM</t>
  </si>
  <si>
    <t>VAUGNERAY</t>
  </si>
  <si>
    <t>LA CHAPELLE-DE-GUINCHAY</t>
  </si>
  <si>
    <t>FREVILLE-DU-GATINAIS</t>
  </si>
  <si>
    <t>POUMAROUS</t>
  </si>
  <si>
    <t>LA JARRIE-AUDOUIN</t>
  </si>
  <si>
    <t>VENDENESSE-LES-CHAROLLES</t>
  </si>
  <si>
    <t>86130</t>
  </si>
  <si>
    <t>DISSAY</t>
  </si>
  <si>
    <t>VIEU</t>
  </si>
  <si>
    <t>PUECHABON</t>
  </si>
  <si>
    <t>VIRONVAY</t>
  </si>
  <si>
    <t>4220</t>
  </si>
  <si>
    <t>SAINTE-TULLE</t>
  </si>
  <si>
    <t>MONTREUIL-SUR-THERAIN</t>
  </si>
  <si>
    <t>THEY-SOUS-MONTFORT</t>
  </si>
  <si>
    <t>BERCLOUX</t>
  </si>
  <si>
    <t>CUZAC</t>
  </si>
  <si>
    <t>BREUX-JOUY</t>
  </si>
  <si>
    <t>ARCHELANGE</t>
  </si>
  <si>
    <t>CAMBES-EN-PLAINE</t>
  </si>
  <si>
    <t>AVON-LES-ROCHES</t>
  </si>
  <si>
    <t>MEAUZAC</t>
  </si>
  <si>
    <t>RIEUCAZE</t>
  </si>
  <si>
    <t>LEVESVILLE-LA-CHENARD</t>
  </si>
  <si>
    <t>BALAISEAUX</t>
  </si>
  <si>
    <t>CHARRITTE-DE-BAS</t>
  </si>
  <si>
    <t>MOLAY</t>
  </si>
  <si>
    <t>BUIGNY-L'ABBE</t>
  </si>
  <si>
    <t>ROVILLE-AUX-CHENES</t>
  </si>
  <si>
    <t>TRASSANEL</t>
  </si>
  <si>
    <t>MONCHEL-SUR-CANCHE</t>
  </si>
  <si>
    <t>AMBERAC</t>
  </si>
  <si>
    <t>LAVAZAN</t>
  </si>
  <si>
    <t>VIELLE-ADOUR</t>
  </si>
  <si>
    <t>49340</t>
  </si>
  <si>
    <t>VEZINS</t>
  </si>
  <si>
    <t>AUDEUX</t>
  </si>
  <si>
    <t>78260</t>
  </si>
  <si>
    <t>ACHERES</t>
  </si>
  <si>
    <t>ECHENANS</t>
  </si>
  <si>
    <t>EREAC</t>
  </si>
  <si>
    <t>ROQUESTERON-GRASSE</t>
  </si>
  <si>
    <t>MONTLOUIS-SUR-LOIRE</t>
  </si>
  <si>
    <t>PERTUIS</t>
  </si>
  <si>
    <t>83350</t>
  </si>
  <si>
    <t>RAMATUELLE</t>
  </si>
  <si>
    <t>OSTEL</t>
  </si>
  <si>
    <t>MAGNANVILLE</t>
  </si>
  <si>
    <t>SAINT-SIGISMOND</t>
  </si>
  <si>
    <t>NEBIAS</t>
  </si>
  <si>
    <t>87360</t>
  </si>
  <si>
    <t>SAINT-MARTIN-LE-MAULT</t>
  </si>
  <si>
    <t>59134</t>
  </si>
  <si>
    <t>FOURNES-EN-WEPPES</t>
  </si>
  <si>
    <t>ARMENTIERES-EN-BRIE</t>
  </si>
  <si>
    <t>50840</t>
  </si>
  <si>
    <t>FERMANVILLE</t>
  </si>
  <si>
    <t>92410</t>
  </si>
  <si>
    <t>VILLE-D'AVRAY</t>
  </si>
  <si>
    <t>JOUY-SUR-EURE</t>
  </si>
  <si>
    <t>LE BREVEDENT</t>
  </si>
  <si>
    <t>SAINT-BERAIN-SUR-DHEUNE</t>
  </si>
  <si>
    <t>ECHANNAY</t>
  </si>
  <si>
    <t>POMMIERS</t>
  </si>
  <si>
    <t>SAINT-GERMAIN-LESPINASSE</t>
  </si>
  <si>
    <t>VALAIRE</t>
  </si>
  <si>
    <t>NORGES-LA-VILLE</t>
  </si>
  <si>
    <t>LE TOURNEUR</t>
  </si>
  <si>
    <t>DRUCAT</t>
  </si>
  <si>
    <t>1440</t>
  </si>
  <si>
    <t>VIRIAT</t>
  </si>
  <si>
    <t>AUBERVILLE-LA-CAMPAGNE</t>
  </si>
  <si>
    <t>AUBRES</t>
  </si>
  <si>
    <t>FAY</t>
  </si>
  <si>
    <t>SAINT-DIDIER-SUR-CHALARONNE</t>
  </si>
  <si>
    <t>BEAUMOTTE-LES-PIN</t>
  </si>
  <si>
    <t>SAINTE-MESME</t>
  </si>
  <si>
    <t>ENDOUFIELLE</t>
  </si>
  <si>
    <t>RAULHAC</t>
  </si>
  <si>
    <t>TROMAREY</t>
  </si>
  <si>
    <t>BARBERY</t>
  </si>
  <si>
    <t>PARCAY-LES-PINS</t>
  </si>
  <si>
    <t>PAUSSAC-ET-SAINT-VIVIEN</t>
  </si>
  <si>
    <t>MAFFLIERS</t>
  </si>
  <si>
    <t>59249</t>
  </si>
  <si>
    <t>FROMELLES</t>
  </si>
  <si>
    <t>BEAURIEUX</t>
  </si>
  <si>
    <t>MARCIGNY</t>
  </si>
  <si>
    <t>ETREPAGNY</t>
  </si>
  <si>
    <t>CREISSAN</t>
  </si>
  <si>
    <t>PUNTOUS</t>
  </si>
  <si>
    <t>ORLIAGUET</t>
  </si>
  <si>
    <t>SAINT-LAURENT-LE-MINIER</t>
  </si>
  <si>
    <t>VEYREAU</t>
  </si>
  <si>
    <t>NANTON</t>
  </si>
  <si>
    <t>SALANS</t>
  </si>
  <si>
    <t>2B193</t>
  </si>
  <si>
    <t>OMESSA</t>
  </si>
  <si>
    <t>14910</t>
  </si>
  <si>
    <t>BLONVILLE-SUR-MER</t>
  </si>
  <si>
    <t>BERTEAUCOURT-LES-THENNES</t>
  </si>
  <si>
    <t>SAINTE-FEREOLE</t>
  </si>
  <si>
    <t>3400</t>
  </si>
  <si>
    <t>SAINT-ENNEMOND</t>
  </si>
  <si>
    <t>MARCHEVILLE</t>
  </si>
  <si>
    <t>10420</t>
  </si>
  <si>
    <t>LES NOES-PRES-TROYES</t>
  </si>
  <si>
    <t>MEZIDON-CANON</t>
  </si>
  <si>
    <t>22830</t>
  </si>
  <si>
    <t>PLOUASNE</t>
  </si>
  <si>
    <t>INCARVILLE</t>
  </si>
  <si>
    <t>TRANS-LA-FORET</t>
  </si>
  <si>
    <t>SIGNY-MONTLIBERT</t>
  </si>
  <si>
    <t>47230</t>
  </si>
  <si>
    <t>THOUARS-SUR-GARONNE</t>
  </si>
  <si>
    <t>LARCAY</t>
  </si>
  <si>
    <t>GUILERS</t>
  </si>
  <si>
    <t>PICARREAU</t>
  </si>
  <si>
    <t>CONNERRE</t>
  </si>
  <si>
    <t>LASSEUBE</t>
  </si>
  <si>
    <t>TOULX-SAINTE-CROIX</t>
  </si>
  <si>
    <t>L'ECHELLE-SAINT-AURIN</t>
  </si>
  <si>
    <t>GIRONCOURT-SUR-VRAINE</t>
  </si>
  <si>
    <t>THAL-DRULINGEN</t>
  </si>
  <si>
    <t>SAINT-AMANS</t>
  </si>
  <si>
    <t>ARCY-SAINTE-RESTITUE</t>
  </si>
  <si>
    <t>PULIGNY-MONTRACHET</t>
  </si>
  <si>
    <t>SAINT-CLEMENT-SUR-DURANCE</t>
  </si>
  <si>
    <t>SAINT-CHELY-D'APCHER</t>
  </si>
  <si>
    <t>BOURREAC</t>
  </si>
  <si>
    <t>OUCQUES</t>
  </si>
  <si>
    <t>CARENCY</t>
  </si>
  <si>
    <t>SAINT-NICOLAS-DU-BOSC</t>
  </si>
  <si>
    <t>BUCQUOY</t>
  </si>
  <si>
    <t>ROMONT</t>
  </si>
  <si>
    <t>SAINT-AUBIN-MONTENOY</t>
  </si>
  <si>
    <t>FOURNEAUX</t>
  </si>
  <si>
    <t>DURBAN-CORBIERES</t>
  </si>
  <si>
    <t>REVILLE-AUX-BOIS</t>
  </si>
  <si>
    <t>SELESTAT</t>
  </si>
  <si>
    <t>CHAMBEUGLE</t>
  </si>
  <si>
    <t>26100</t>
  </si>
  <si>
    <t>ROMANS-SUR-ISERE</t>
  </si>
  <si>
    <t>BEURIZOT</t>
  </si>
  <si>
    <t>CHARRECEY</t>
  </si>
  <si>
    <t>MUSCULDY</t>
  </si>
  <si>
    <t>MAZANGE</t>
  </si>
  <si>
    <t>BOIS</t>
  </si>
  <si>
    <t>SAINT-GEOURS-DE-MAREMNE</t>
  </si>
  <si>
    <t>LA BELLIOLE</t>
  </si>
  <si>
    <t>ESTEVELLES</t>
  </si>
  <si>
    <t>MONTCLARD</t>
  </si>
  <si>
    <t>36330</t>
  </si>
  <si>
    <t>VELLES</t>
  </si>
  <si>
    <t>GINOLES</t>
  </si>
  <si>
    <t>LIANCOURT-SAINT-PIERRE</t>
  </si>
  <si>
    <t>GLANVILLE</t>
  </si>
  <si>
    <t>DOUDEAUVILLE</t>
  </si>
  <si>
    <t>CHANTELOUVE</t>
  </si>
  <si>
    <t>SAINT-ETIENNE-LA-GENESTE</t>
  </si>
  <si>
    <t>TONNAY-BOUTONNE</t>
  </si>
  <si>
    <t>BOINVILLE-EN-MANTOIS</t>
  </si>
  <si>
    <t>SAULIAC-SUR-CELE</t>
  </si>
  <si>
    <t>88580</t>
  </si>
  <si>
    <t>SAULCY-SUR-MEURTHE</t>
  </si>
  <si>
    <t>13420</t>
  </si>
  <si>
    <t>GEMENOS</t>
  </si>
  <si>
    <t>LURIECQ</t>
  </si>
  <si>
    <t>LA CHAPELLE-POUILLOUX</t>
  </si>
  <si>
    <t>FAY-EN-MONTAGNE</t>
  </si>
  <si>
    <t>ESTOURMEL</t>
  </si>
  <si>
    <t>LA NEUVEVILLE-SOUS-CHATENOIS</t>
  </si>
  <si>
    <t>LAVEYSSIERE</t>
  </si>
  <si>
    <t>62590</t>
  </si>
  <si>
    <t>OIGNIES</t>
  </si>
  <si>
    <t>ROUESSE-FONTAINE</t>
  </si>
  <si>
    <t>NOTRE-DAME-DE-L'OSIER</t>
  </si>
  <si>
    <t>95140</t>
  </si>
  <si>
    <t>GARGES-LES-GONESSE</t>
  </si>
  <si>
    <t>BOUCHEVILLIERS</t>
  </si>
  <si>
    <t>MARMAGNE</t>
  </si>
  <si>
    <t>66660</t>
  </si>
  <si>
    <t>PORT-VENDRES</t>
  </si>
  <si>
    <t>VEZELOIS</t>
  </si>
  <si>
    <t>SAINT-DOMINEUC</t>
  </si>
  <si>
    <t>LIZY</t>
  </si>
  <si>
    <t>NEUVILLE-LEZ-BEAULIEU</t>
  </si>
  <si>
    <t>SAINT-SEINE-EN-BACHE</t>
  </si>
  <si>
    <t>CAMBRIN</t>
  </si>
  <si>
    <t>MONT-ROC</t>
  </si>
  <si>
    <t>LEMONCOURT</t>
  </si>
  <si>
    <t>GOULOUX</t>
  </si>
  <si>
    <t>SAINT-AUBIN-DE-BRANNE</t>
  </si>
  <si>
    <t>ROMEYER</t>
  </si>
  <si>
    <t>SAINT-CREPIN-ET-CARLUCET</t>
  </si>
  <si>
    <t>JALIGNY-SUR-BESBRE</t>
  </si>
  <si>
    <t>NAZELLES-NEGRON</t>
  </si>
  <si>
    <t>LES LOGES-MARCHIS</t>
  </si>
  <si>
    <t>SEIGNEULLES</t>
  </si>
  <si>
    <t>MONTLUEL</t>
  </si>
  <si>
    <t>POUSSANGES</t>
  </si>
  <si>
    <t>CHARENTONNAY</t>
  </si>
  <si>
    <t>59294</t>
  </si>
  <si>
    <t>HAUSSY</t>
  </si>
  <si>
    <t>FRANQUEVILLE</t>
  </si>
  <si>
    <t>LAU-BALAGNAS</t>
  </si>
  <si>
    <t>GELACOURT</t>
  </si>
  <si>
    <t>69260</t>
  </si>
  <si>
    <t>CHARBONNIERES-LES-BAINS</t>
  </si>
  <si>
    <t>BALMA</t>
  </si>
  <si>
    <t>BRISCOUS</t>
  </si>
  <si>
    <t>81320</t>
  </si>
  <si>
    <t>MURAT-SUR-VEBRE</t>
  </si>
  <si>
    <t>SOMBACOUR</t>
  </si>
  <si>
    <t>LA BATIE-DIVISIN</t>
  </si>
  <si>
    <t>URS</t>
  </si>
  <si>
    <t>BOURG-D'OUEIL</t>
  </si>
  <si>
    <t>14930</t>
  </si>
  <si>
    <t>MALTOT</t>
  </si>
  <si>
    <t>TINCOURT-BOUCLY</t>
  </si>
  <si>
    <t>RIONS</t>
  </si>
  <si>
    <t>RONCHERES</t>
  </si>
  <si>
    <t>TOCANE-SAINT-APRE</t>
  </si>
  <si>
    <t>BUZEINS</t>
  </si>
  <si>
    <t>FERNOEL</t>
  </si>
  <si>
    <t>NOGUERES</t>
  </si>
  <si>
    <t>MONTLAUX</t>
  </si>
  <si>
    <t>57500</t>
  </si>
  <si>
    <t>SAINT-AVOLD</t>
  </si>
  <si>
    <t>BROMBOS</t>
  </si>
  <si>
    <t>BUSWILLER</t>
  </si>
  <si>
    <t>OEUILLY</t>
  </si>
  <si>
    <t>CAUDEBEC-LES-ELBEUF</t>
  </si>
  <si>
    <t>SAINT-FIRMIN-SUR-LOIRE</t>
  </si>
  <si>
    <t>OREILLA</t>
  </si>
  <si>
    <t>FONTENOY-SUR-MOSELLE</t>
  </si>
  <si>
    <t>BERZEME</t>
  </si>
  <si>
    <t>VISCOS</t>
  </si>
  <si>
    <t>SAINT-QUENTIN</t>
  </si>
  <si>
    <t>LES VIGNES</t>
  </si>
  <si>
    <t>SALAUNES</t>
  </si>
  <si>
    <t>AVOSNES</t>
  </si>
  <si>
    <t>BAROMESNIL</t>
  </si>
  <si>
    <t>MONTAZEAU</t>
  </si>
  <si>
    <t>NOYELLETTE</t>
  </si>
  <si>
    <t>VERNONVILLIERS</t>
  </si>
  <si>
    <t>ETCHEBAR</t>
  </si>
  <si>
    <t>RIMOGNE</t>
  </si>
  <si>
    <t>LA SELLE-EN-LUITRE</t>
  </si>
  <si>
    <t>HARRICOURT</t>
  </si>
  <si>
    <t>22240</t>
  </si>
  <si>
    <t>PLEVENON</t>
  </si>
  <si>
    <t>DIGES</t>
  </si>
  <si>
    <t>SAINT-MICHEL-SOUS-BOIS</t>
  </si>
  <si>
    <t>LE MESNIL-ROBERT</t>
  </si>
  <si>
    <t>BARLES</t>
  </si>
  <si>
    <t>ESTREELLES</t>
  </si>
  <si>
    <t>BRIVEZAC</t>
  </si>
  <si>
    <t>VALDEBLORE</t>
  </si>
  <si>
    <t>PISEUX</t>
  </si>
  <si>
    <t>LA CELLE-SAINT-CYR</t>
  </si>
  <si>
    <t>LA SELLE-GUERCHAISE</t>
  </si>
  <si>
    <t>AVRECOURT</t>
  </si>
  <si>
    <t>EVRAN</t>
  </si>
  <si>
    <t>JUVIGNY-SUR-SEULLES</t>
  </si>
  <si>
    <t>LADAUX</t>
  </si>
  <si>
    <t>78640</t>
  </si>
  <si>
    <t>NEAUPHLE-LE-CHATEAU</t>
  </si>
  <si>
    <t>BIEF-DU-FOURG</t>
  </si>
  <si>
    <t>LE PONT-DE-MONTVERT</t>
  </si>
  <si>
    <t>WARGNIES-LE-PETIT</t>
  </si>
  <si>
    <t>BERNON</t>
  </si>
  <si>
    <t>SOGNY-EN-L'ANGLE</t>
  </si>
  <si>
    <t>BLAISY-HAUT</t>
  </si>
  <si>
    <t>38119</t>
  </si>
  <si>
    <t>VILLARD-SAINT-CHRISTOPHE</t>
  </si>
  <si>
    <t>BISCHWIHR</t>
  </si>
  <si>
    <t>MACHEZAL</t>
  </si>
  <si>
    <t>DAILLANCOURT</t>
  </si>
  <si>
    <t>MANSAN</t>
  </si>
  <si>
    <t>MENETRU-LE-VIGNOBLE</t>
  </si>
  <si>
    <t>33740</t>
  </si>
  <si>
    <t>ARES</t>
  </si>
  <si>
    <t>MONTIES</t>
  </si>
  <si>
    <t>SAINT-AREY</t>
  </si>
  <si>
    <t>91530</t>
  </si>
  <si>
    <t>LOCMARIA-PLOUZANE</t>
  </si>
  <si>
    <t>RIEDSELTZ</t>
  </si>
  <si>
    <t>BAZIEN</t>
  </si>
  <si>
    <t>PESSAT-VILLENEUVE</t>
  </si>
  <si>
    <t>88560</t>
  </si>
  <si>
    <t>SAINT-MAURICE-SUR-MOSELLE</t>
  </si>
  <si>
    <t>SAVIGNY-SUR-AISNE</t>
  </si>
  <si>
    <t>TINTRY</t>
  </si>
  <si>
    <t>LE PORT</t>
  </si>
  <si>
    <t>LES MARETS</t>
  </si>
  <si>
    <t>22370</t>
  </si>
  <si>
    <t>PLENEUF-VAL-ANDRE</t>
  </si>
  <si>
    <t>LE MESNIL-THOMAS</t>
  </si>
  <si>
    <t>SAINTE-AGATHE-EN-DONZY</t>
  </si>
  <si>
    <t>LA CHAPELLE-EN-LAFAYE</t>
  </si>
  <si>
    <t>BORDEAUX-EN-GATINAIS</t>
  </si>
  <si>
    <t>FOLIES</t>
  </si>
  <si>
    <t>RAZECUEILLE</t>
  </si>
  <si>
    <t>NEXON</t>
  </si>
  <si>
    <t>2B003</t>
  </si>
  <si>
    <t>AITI</t>
  </si>
  <si>
    <t>PELLAFOL</t>
  </si>
  <si>
    <t>FAUGERES</t>
  </si>
  <si>
    <t>ARCAY</t>
  </si>
  <si>
    <t>BEAUCHENE</t>
  </si>
  <si>
    <t>LEDEUIX</t>
  </si>
  <si>
    <t>43750</t>
  </si>
  <si>
    <t>VALS-PRES-LE-PUY</t>
  </si>
  <si>
    <t>LE BEUGNON</t>
  </si>
  <si>
    <t>ODOS</t>
  </si>
  <si>
    <t>VERNAJOUL</t>
  </si>
  <si>
    <t>BREHEMONT</t>
  </si>
  <si>
    <t>LA BASTIDE-DE-BESPLAS</t>
  </si>
  <si>
    <t>LOISEY-CULEY</t>
  </si>
  <si>
    <t>67710</t>
  </si>
  <si>
    <t>WANGENBOURG-ENGENTHAL</t>
  </si>
  <si>
    <t>FRECHEDE</t>
  </si>
  <si>
    <t>SAINTE-GEMME</t>
  </si>
  <si>
    <t>VENASQUE</t>
  </si>
  <si>
    <t>LE VEZIER</t>
  </si>
  <si>
    <t>VEHO</t>
  </si>
  <si>
    <t>SAINT-LO-D'OURVILLE</t>
  </si>
  <si>
    <t>ROUVRES-EN-XAINTOIS</t>
  </si>
  <si>
    <t>CORMERAY</t>
  </si>
  <si>
    <t>VALZERGUES</t>
  </si>
  <si>
    <t>PELLEAUTIER</t>
  </si>
  <si>
    <t>PLOGASTEL-SAINT-GERMAIN</t>
  </si>
  <si>
    <t>BIVILLE-LA-RIVIERE</t>
  </si>
  <si>
    <t>62117</t>
  </si>
  <si>
    <t>BREBIERES</t>
  </si>
  <si>
    <t>DOLO</t>
  </si>
  <si>
    <t>GRAND-LAVIERS</t>
  </si>
  <si>
    <t>AUBILLY</t>
  </si>
  <si>
    <t>SOORTS-HOSSEGOR</t>
  </si>
  <si>
    <t>CHEMINAS</t>
  </si>
  <si>
    <t>INTVILLE-LA-GUETARD</t>
  </si>
  <si>
    <t>PLEUVILLE</t>
  </si>
  <si>
    <t>CONGE-SUR-ORNE</t>
  </si>
  <si>
    <t>FEREBRIANGES</t>
  </si>
  <si>
    <t>69007</t>
  </si>
  <si>
    <t>LYON--7E--ARRONDISSEMENT</t>
  </si>
  <si>
    <t>EHUNS</t>
  </si>
  <si>
    <t>SAINT-AMANT-DE-BOIXE</t>
  </si>
  <si>
    <t>BERT</t>
  </si>
  <si>
    <t>63520</t>
  </si>
  <si>
    <t>DOMAIZE</t>
  </si>
  <si>
    <t>CHECY</t>
  </si>
  <si>
    <t>OUAGNE</t>
  </si>
  <si>
    <t>MAULAY</t>
  </si>
  <si>
    <t>BRUSQUE</t>
  </si>
  <si>
    <t>CHEDIGNY</t>
  </si>
  <si>
    <t>ENTRAINS-SUR-NOHAIN</t>
  </si>
  <si>
    <t>LOUVEMONT-COTE-DU-POIVRE</t>
  </si>
  <si>
    <t>78990</t>
  </si>
  <si>
    <t>ELANCOURT</t>
  </si>
  <si>
    <t>VILLERS-AU-FLOS</t>
  </si>
  <si>
    <t>TREMOLAT</t>
  </si>
  <si>
    <t>AIZENAY</t>
  </si>
  <si>
    <t>LE MESNIL-SUR-BULLES</t>
  </si>
  <si>
    <t>SAINT-VITTE-SUR-BRIANCE</t>
  </si>
  <si>
    <t>SAINT-LEGER-DU-MALZIEU</t>
  </si>
  <si>
    <t>NOYAL-SUR-BRUTZ</t>
  </si>
  <si>
    <t>ERDEVEN</t>
  </si>
  <si>
    <t>QUOEUX-HAUT-MAINIL</t>
  </si>
  <si>
    <t>82270</t>
  </si>
  <si>
    <t>MONTPEZAT-DE-QUERCY</t>
  </si>
  <si>
    <t>TAISNIERES-SUR-HON</t>
  </si>
  <si>
    <t>CLOYES-SUR-MARNE</t>
  </si>
  <si>
    <t>ONGLES</t>
  </si>
  <si>
    <t>MEIGNEUX</t>
  </si>
  <si>
    <t>PERROGNEY-LES-FONTAINES</t>
  </si>
  <si>
    <t>LES BRULAIS</t>
  </si>
  <si>
    <t>COLLORGUES</t>
  </si>
  <si>
    <t>LA VACHERIE</t>
  </si>
  <si>
    <t>FARGES</t>
  </si>
  <si>
    <t>GUEURES</t>
  </si>
  <si>
    <t>FLEVILLE-LIXIERES</t>
  </si>
  <si>
    <t>BOUE</t>
  </si>
  <si>
    <t>GOUY-EN-TERNOIS</t>
  </si>
  <si>
    <t>SAINT-MAGNE-DE-CASTILLON</t>
  </si>
  <si>
    <t>COULOMMIERS</t>
  </si>
  <si>
    <t>BOISGERVILLY</t>
  </si>
  <si>
    <t>ECLIMEUX</t>
  </si>
  <si>
    <t>SAINT-ANDRE-DE-ROQUEPERTUIS</t>
  </si>
  <si>
    <t>VIEUSSAN</t>
  </si>
  <si>
    <t>UGNY-L'EQUIPEE</t>
  </si>
  <si>
    <t>SAINT-MICHEL-DE-VOLANGIS</t>
  </si>
  <si>
    <t>91890</t>
  </si>
  <si>
    <t>VIDELLES</t>
  </si>
  <si>
    <t>SAINT-PRIVAT-DU-DRAGON</t>
  </si>
  <si>
    <t>AUGNE</t>
  </si>
  <si>
    <t>89410</t>
  </si>
  <si>
    <t>L'ISLE-SUR-LE-DOUBS</t>
  </si>
  <si>
    <t>FONTAINE-LES-CAPPY</t>
  </si>
  <si>
    <t>FONTENILLES</t>
  </si>
  <si>
    <t>MAGNICOURT-EN-COMTE</t>
  </si>
  <si>
    <t>ECARDENVILLE-SUR-EURE</t>
  </si>
  <si>
    <t>CAUBIOS-LOOS</t>
  </si>
  <si>
    <t>BERRY-AU-BAC</t>
  </si>
  <si>
    <t>GRAY-LA-VILLE</t>
  </si>
  <si>
    <t>59100</t>
  </si>
  <si>
    <t>ROUBAIX</t>
  </si>
  <si>
    <t>PLEMY</t>
  </si>
  <si>
    <t>SOLIGNAT</t>
  </si>
  <si>
    <t>SAINT-COLOMBAN</t>
  </si>
  <si>
    <t>59274</t>
  </si>
  <si>
    <t>MARQUILLIES</t>
  </si>
  <si>
    <t>RIERVESCEMONT</t>
  </si>
  <si>
    <t>LONGUEVAL</t>
  </si>
  <si>
    <t>GISORS</t>
  </si>
  <si>
    <t>OUROUX-EN-MORVAN</t>
  </si>
  <si>
    <t>LANRIVAIN</t>
  </si>
  <si>
    <t>SAUDRUPT</t>
  </si>
  <si>
    <t>SAINT-ULPHACE</t>
  </si>
  <si>
    <t>54119</t>
  </si>
  <si>
    <t>DOMGERMAIN</t>
  </si>
  <si>
    <t>34550</t>
  </si>
  <si>
    <t>BESSAN</t>
  </si>
  <si>
    <t>SAINT-GERVAIS-LES-BAINS</t>
  </si>
  <si>
    <t>REIGNAC</t>
  </si>
  <si>
    <t>NONVILLIERS-GRANDHOUX</t>
  </si>
  <si>
    <t>UBRAYE</t>
  </si>
  <si>
    <t>VILLEBOIS-LES-PINS</t>
  </si>
  <si>
    <t>FAVERELLES</t>
  </si>
  <si>
    <t>81000</t>
  </si>
  <si>
    <t>ALBI</t>
  </si>
  <si>
    <t>TOURY-SUR-JOUR</t>
  </si>
  <si>
    <t>83460</t>
  </si>
  <si>
    <t>TARADEAU</t>
  </si>
  <si>
    <t>MARQUISE</t>
  </si>
  <si>
    <t>93170</t>
  </si>
  <si>
    <t>BAGNOLET</t>
  </si>
  <si>
    <t>MAROLLES-SOUS-LIGNIERES</t>
  </si>
  <si>
    <t>CAMPEAUX</t>
  </si>
  <si>
    <t>MAISONCELLES</t>
  </si>
  <si>
    <t>HODENC-L'EVEQUE</t>
  </si>
  <si>
    <t>CUCHARMOY</t>
  </si>
  <si>
    <t>AVIZE</t>
  </si>
  <si>
    <t>PONT-D'AIN</t>
  </si>
  <si>
    <t>SAINTE-CECILE-DU-CAYROU</t>
  </si>
  <si>
    <t>VERTEILLAC</t>
  </si>
  <si>
    <t>POUILLENAY</t>
  </si>
  <si>
    <t>FRESNOY-EN-THELLE</t>
  </si>
  <si>
    <t>TERROU</t>
  </si>
  <si>
    <t>MARCONNELLE</t>
  </si>
  <si>
    <t>SAINT-DIDIER-SUR-DOULON</t>
  </si>
  <si>
    <t>82200</t>
  </si>
  <si>
    <t>MALAUSE</t>
  </si>
  <si>
    <t>30310</t>
  </si>
  <si>
    <t>VERGEZE</t>
  </si>
  <si>
    <t>ESSERTENNE</t>
  </si>
  <si>
    <t>37350</t>
  </si>
  <si>
    <t>CHAUMUSSAY</t>
  </si>
  <si>
    <t>LEVES</t>
  </si>
  <si>
    <t>RANDONNAI</t>
  </si>
  <si>
    <t>AULNAY-L'AITRE</t>
  </si>
  <si>
    <t>SAINT-SAVINIEN</t>
  </si>
  <si>
    <t>LENTILLES</t>
  </si>
  <si>
    <t>2B252</t>
  </si>
  <si>
    <t>PRUNO</t>
  </si>
  <si>
    <t>TROIS-PUITS</t>
  </si>
  <si>
    <t>SAINT-MICHEL-SUR-LOIRE</t>
  </si>
  <si>
    <t>SILVAROUVRES</t>
  </si>
  <si>
    <t>SALLEDES</t>
  </si>
  <si>
    <t>COURSON</t>
  </si>
  <si>
    <t>ROCHEBAUDIN</t>
  </si>
  <si>
    <t>SAUDOY</t>
  </si>
  <si>
    <t>THIEFOSSE</t>
  </si>
  <si>
    <t>PRINQUIAU</t>
  </si>
  <si>
    <t>LA BAZOGE</t>
  </si>
  <si>
    <t>ESCALLES</t>
  </si>
  <si>
    <t>CUGURON</t>
  </si>
  <si>
    <t>AZE</t>
  </si>
  <si>
    <t>BENOISEY</t>
  </si>
  <si>
    <t>USINENS</t>
  </si>
  <si>
    <t>LAMONGERIE</t>
  </si>
  <si>
    <t>URDOS</t>
  </si>
  <si>
    <t>BLANZAC</t>
  </si>
  <si>
    <t>16260</t>
  </si>
  <si>
    <t>LA TACHE</t>
  </si>
  <si>
    <t>PUY-DE-SERRE</t>
  </si>
  <si>
    <t>COURCHAMP</t>
  </si>
  <si>
    <t>FONTENAY-LE-COMTE</t>
  </si>
  <si>
    <t>KAPPELEN</t>
  </si>
  <si>
    <t>PARISOT</t>
  </si>
  <si>
    <t>77940</t>
  </si>
  <si>
    <t>VOULX</t>
  </si>
  <si>
    <t>CHEPNIERS</t>
  </si>
  <si>
    <t>ECAQUELON</t>
  </si>
  <si>
    <t>FONTAINE-DE-VAUCLUSE</t>
  </si>
  <si>
    <t>SIEWILLER</t>
  </si>
  <si>
    <t>VERNOIS-LES-BELVOIR</t>
  </si>
  <si>
    <t>PRIZIAC</t>
  </si>
  <si>
    <t>MOOSLARGUE</t>
  </si>
  <si>
    <t>PONTAUBAULT</t>
  </si>
  <si>
    <t>BENAC</t>
  </si>
  <si>
    <t>44521</t>
  </si>
  <si>
    <t>OUDON</t>
  </si>
  <si>
    <t>WOELFLING-LES-SARREGUEMINES</t>
  </si>
  <si>
    <t>LE ROCHEREAU</t>
  </si>
  <si>
    <t>BLOIS</t>
  </si>
  <si>
    <t>DOUDELAINVILLE</t>
  </si>
  <si>
    <t>SAINTE-FOY-DE-MONTGOMMERY</t>
  </si>
  <si>
    <t>PALMAS</t>
  </si>
  <si>
    <t>COUTERNON</t>
  </si>
  <si>
    <t>57920</t>
  </si>
  <si>
    <t>HOMBOURG-BUDANGE</t>
  </si>
  <si>
    <t>SOREAC</t>
  </si>
  <si>
    <t>62182</t>
  </si>
  <si>
    <t>HENDECOURT-LES-CAGNICOURT</t>
  </si>
  <si>
    <t>SAINT-ANDRE-DE-SANGONIS</t>
  </si>
  <si>
    <t>GERMS-SUR-L'OUSSOUET</t>
  </si>
  <si>
    <t>LES CHATELLIERS-CHATEAUMUR</t>
  </si>
  <si>
    <t>VERSIGNY</t>
  </si>
  <si>
    <t>LIGNON</t>
  </si>
  <si>
    <t>DOMMARTIN-SOUS-HANS</t>
  </si>
  <si>
    <t>ROUPERROUX</t>
  </si>
  <si>
    <t>29700</t>
  </si>
  <si>
    <t>PLUGUFFAN</t>
  </si>
  <si>
    <t>SAINT-DENIS-LES-PONTS</t>
  </si>
  <si>
    <t>ECUELLES</t>
  </si>
  <si>
    <t>BUSSIERE-POITEVINE</t>
  </si>
  <si>
    <t>ALBIES</t>
  </si>
  <si>
    <t>ENGAYRAC</t>
  </si>
  <si>
    <t>VERVINS</t>
  </si>
  <si>
    <t>RAISSAC</t>
  </si>
  <si>
    <t>BEZAC</t>
  </si>
  <si>
    <t>LAMATIVIE</t>
  </si>
  <si>
    <t>BULSON</t>
  </si>
  <si>
    <t>27920</t>
  </si>
  <si>
    <t>SAINT-PIERRE-DE-BAILLEUL</t>
  </si>
  <si>
    <t>ALLAINES-MERVILLIERS</t>
  </si>
  <si>
    <t>NOYANT-D'ALLIER</t>
  </si>
  <si>
    <t>NANT-LE-PETIT</t>
  </si>
  <si>
    <t>GEUS-D'ARZACQ</t>
  </si>
  <si>
    <t>83131</t>
  </si>
  <si>
    <t>MALAUSSENE</t>
  </si>
  <si>
    <t>ARVIEU</t>
  </si>
  <si>
    <t>VALMANYA</t>
  </si>
  <si>
    <t>RYE</t>
  </si>
  <si>
    <t>SAINT-SIXT</t>
  </si>
  <si>
    <t>7470</t>
  </si>
  <si>
    <t>ISSARLES</t>
  </si>
  <si>
    <t>SAINT-LEGER-DE-MONTBRUN</t>
  </si>
  <si>
    <t>SAINT-HILAIRE-LA-CROIX</t>
  </si>
  <si>
    <t>SAURIER</t>
  </si>
  <si>
    <t>SEPT-FRERES</t>
  </si>
  <si>
    <t>BLASLAY</t>
  </si>
  <si>
    <t>15200</t>
  </si>
  <si>
    <t>SALINS</t>
  </si>
  <si>
    <t>NEUFMOULIN</t>
  </si>
  <si>
    <t>AILLONCOURT</t>
  </si>
  <si>
    <t>CASTILLON-DE-SAINT-MARTORY</t>
  </si>
  <si>
    <t>93500</t>
  </si>
  <si>
    <t>PANTIN</t>
  </si>
  <si>
    <t>SAINT-MARS-DE-LOCQUENAY</t>
  </si>
  <si>
    <t>LA CADIERE-ET-CAMBO</t>
  </si>
  <si>
    <t>CHANAS</t>
  </si>
  <si>
    <t>LUCHAPT</t>
  </si>
  <si>
    <t>33520</t>
  </si>
  <si>
    <t>BRUGES</t>
  </si>
  <si>
    <t>VILLEMARDY</t>
  </si>
  <si>
    <t>MOLANDIER</t>
  </si>
  <si>
    <t>ORCAY</t>
  </si>
  <si>
    <t>FILLE</t>
  </si>
  <si>
    <t>LE PAILLY</t>
  </si>
  <si>
    <t>LA FEUILLEE</t>
  </si>
  <si>
    <t>SAINT-DIDIER-SOUS-RIVERIE</t>
  </si>
  <si>
    <t>SAINT-ANDRE-ET-APPELLES</t>
  </si>
  <si>
    <t>EMMERIN</t>
  </si>
  <si>
    <t>SULLY</t>
  </si>
  <si>
    <t>FOUQUEBRUNE</t>
  </si>
  <si>
    <t>ZINSWILLER</t>
  </si>
  <si>
    <t>LANANS</t>
  </si>
  <si>
    <t>SAINT-BARD</t>
  </si>
  <si>
    <t>JUMEL</t>
  </si>
  <si>
    <t>SAINT-AUBAN-SUR-L'OUVEZE</t>
  </si>
  <si>
    <t>BOUERE</t>
  </si>
  <si>
    <t>VIRLET</t>
  </si>
  <si>
    <t>LASSEUBE-PROPRE</t>
  </si>
  <si>
    <t>SAINT-UTIN</t>
  </si>
  <si>
    <t>MORGANX</t>
  </si>
  <si>
    <t>59880</t>
  </si>
  <si>
    <t>SAINT-SAULVE</t>
  </si>
  <si>
    <t>SAINT-GEORGES-D'ELLE</t>
  </si>
  <si>
    <t>CABANAC-CAZAUX</t>
  </si>
  <si>
    <t>VILLENY</t>
  </si>
  <si>
    <t>ROMAIN-SUR-MEUSE</t>
  </si>
  <si>
    <t>FLEUREY-LES-LAVONCOURT</t>
  </si>
  <si>
    <t>THOREY</t>
  </si>
  <si>
    <t>MEROBERT</t>
  </si>
  <si>
    <t>SAINT-MATHURIN-SUR-LOIRE</t>
  </si>
  <si>
    <t>PLAINFAING</t>
  </si>
  <si>
    <t>14117</t>
  </si>
  <si>
    <t>TRACY-SUR-MER</t>
  </si>
  <si>
    <t>LES RICEYS</t>
  </si>
  <si>
    <t>SOUSSEY-SUR-BRIONNE</t>
  </si>
  <si>
    <t>TREDREZ-LOCQUEMEAU</t>
  </si>
  <si>
    <t>3250</t>
  </si>
  <si>
    <t>63300</t>
  </si>
  <si>
    <t>DORAT</t>
  </si>
  <si>
    <t>SAINT-BEAT</t>
  </si>
  <si>
    <t>SACIERGES-SAINT-MARTIN</t>
  </si>
  <si>
    <t>BRESLE</t>
  </si>
  <si>
    <t>6250</t>
  </si>
  <si>
    <t>MOUGINS</t>
  </si>
  <si>
    <t>GRENADE</t>
  </si>
  <si>
    <t>57360</t>
  </si>
  <si>
    <t>AMNEVILLE</t>
  </si>
  <si>
    <t>30129</t>
  </si>
  <si>
    <t>REDESSAN</t>
  </si>
  <si>
    <t>POUGNADORESSE</t>
  </si>
  <si>
    <t>RAIDS</t>
  </si>
  <si>
    <t>2B207</t>
  </si>
  <si>
    <t>PENTA-DI-CASINCA</t>
  </si>
  <si>
    <t>FONTENOY-LA-JOUTE</t>
  </si>
  <si>
    <t>MARCILLAC-LA-CROZE</t>
  </si>
  <si>
    <t>SAINT-NICOLAS-DES-BIEFS</t>
  </si>
  <si>
    <t>42240</t>
  </si>
  <si>
    <t>SAINT-MAURICE-EN-GOURGOIS</t>
  </si>
  <si>
    <t>CHASTEL</t>
  </si>
  <si>
    <t>SAINT-JEAN-LHERM</t>
  </si>
  <si>
    <t>SERILHAC</t>
  </si>
  <si>
    <t>OUHANS</t>
  </si>
  <si>
    <t>LA BACHELLERIE</t>
  </si>
  <si>
    <t>SILLY-EN-SAULNOIS</t>
  </si>
  <si>
    <t>VILLERS-SAINT-FRAMBOURG</t>
  </si>
  <si>
    <t>19260</t>
  </si>
  <si>
    <t>AFFIEUX</t>
  </si>
  <si>
    <t>TUGNY-ET-PONT</t>
  </si>
  <si>
    <t>LANDEPEREUSE</t>
  </si>
  <si>
    <t>JUMELLES</t>
  </si>
  <si>
    <t>92220</t>
  </si>
  <si>
    <t>69550</t>
  </si>
  <si>
    <t>AMPLEPUIS</t>
  </si>
  <si>
    <t>MARCENAT</t>
  </si>
  <si>
    <t>86510</t>
  </si>
  <si>
    <t>CHAUNAY</t>
  </si>
  <si>
    <t>SAINT-JUST-EN-BAS</t>
  </si>
  <si>
    <t>UZEIN</t>
  </si>
  <si>
    <t>HOPITAL-CAMFROUT</t>
  </si>
  <si>
    <t>38770</t>
  </si>
  <si>
    <t>LA MOTTE-D'AVEILLANS</t>
  </si>
  <si>
    <t>53960</t>
  </si>
  <si>
    <t>BONCHAMP-LES-LAVAL</t>
  </si>
  <si>
    <t>SAINT-PIERRE-DE-CHANDIEU</t>
  </si>
  <si>
    <t>CONTILLY</t>
  </si>
  <si>
    <t>AILLY-SUR-SOMME</t>
  </si>
  <si>
    <t>BRANGES</t>
  </si>
  <si>
    <t>AVONDANCE</t>
  </si>
  <si>
    <t>AVESNES-LE-COMTE</t>
  </si>
  <si>
    <t>HARMONVILLE</t>
  </si>
  <si>
    <t>NEUVILLER-LA-ROCHE</t>
  </si>
  <si>
    <t>COURRIS</t>
  </si>
  <si>
    <t>AFFLEVILLE</t>
  </si>
  <si>
    <t>SAVIGNY-EN-SANCERRE</t>
  </si>
  <si>
    <t>BOUVINCOURT-EN-VERMANDOIS</t>
  </si>
  <si>
    <t>LAMOTTE-DU-RHONE</t>
  </si>
  <si>
    <t>54230</t>
  </si>
  <si>
    <t>CHALIGNY</t>
  </si>
  <si>
    <t>VELAINE-SOUS-AMANCE</t>
  </si>
  <si>
    <t>BERTRIMONT</t>
  </si>
  <si>
    <t>78000</t>
  </si>
  <si>
    <t>VERSAILLES</t>
  </si>
  <si>
    <t>SAINT-MEEN-LE-GRAND</t>
  </si>
  <si>
    <t>LICY-CLIGNON</t>
  </si>
  <si>
    <t>CHATIGNONVILLE</t>
  </si>
  <si>
    <t>ERGERSHEIM</t>
  </si>
  <si>
    <t>FENOUILLET-DU-RAZES</t>
  </si>
  <si>
    <t>PARUX</t>
  </si>
  <si>
    <t>MOUSTOIR-REMUNGOL</t>
  </si>
  <si>
    <t>25920</t>
  </si>
  <si>
    <t>MOUTHIER-HAUTE-PIERRE</t>
  </si>
  <si>
    <t>JOUCOU</t>
  </si>
  <si>
    <t>38540</t>
  </si>
  <si>
    <t>VALENCIN</t>
  </si>
  <si>
    <t>LONGAGES</t>
  </si>
  <si>
    <t>15270</t>
  </si>
  <si>
    <t>TREMOUILLE</t>
  </si>
  <si>
    <t>LEUVRIGNY</t>
  </si>
  <si>
    <t>CAILLAC</t>
  </si>
  <si>
    <t>ATTRAY</t>
  </si>
  <si>
    <t>DESSIA</t>
  </si>
  <si>
    <t>SAINT-BOMER</t>
  </si>
  <si>
    <t>BEHEN</t>
  </si>
  <si>
    <t>LORCIERES</t>
  </si>
  <si>
    <t>MAREY-SUR-TILLE</t>
  </si>
  <si>
    <t>LUCENAY-LE-DUC</t>
  </si>
  <si>
    <t>COURSAC</t>
  </si>
  <si>
    <t>ROQUEBILLIERE</t>
  </si>
  <si>
    <t>CHACE</t>
  </si>
  <si>
    <t>BEAUCAMPS-LE-JEUNE</t>
  </si>
  <si>
    <t>SURTAUVILLE</t>
  </si>
  <si>
    <t>SAINT-PIERRE-D'ENTREMONT</t>
  </si>
  <si>
    <t>BIFFONTAINE</t>
  </si>
  <si>
    <t>ORMENANS</t>
  </si>
  <si>
    <t>FIENNES</t>
  </si>
  <si>
    <t>2B143</t>
  </si>
  <si>
    <t>LINGUIZZETTA</t>
  </si>
  <si>
    <t>SAINT-BAULD</t>
  </si>
  <si>
    <t>SAINT-AIGNAN-LE-JAILLARD</t>
  </si>
  <si>
    <t>MOUSSE</t>
  </si>
  <si>
    <t>SAINT-FORGEUX</t>
  </si>
  <si>
    <t>SAMMERON</t>
  </si>
  <si>
    <t>SAINT-MEDARD-DE-PRESQUE</t>
  </si>
  <si>
    <t>SOMMELANS</t>
  </si>
  <si>
    <t>FAYE-SUR-ARDIN</t>
  </si>
  <si>
    <t>SAULNOT</t>
  </si>
  <si>
    <t>SAINT-MARTIN-DES-LANDES</t>
  </si>
  <si>
    <t>DAUZAT-SUR-VODABLE</t>
  </si>
  <si>
    <t>SAINT-PIERRE-ROCHE</t>
  </si>
  <si>
    <t>HEUGNES</t>
  </si>
  <si>
    <t>ABONDANT</t>
  </si>
  <si>
    <t>DOMPTAIL</t>
  </si>
  <si>
    <t>CHEVAGNY-SUR-GUYE</t>
  </si>
  <si>
    <t>LESSY</t>
  </si>
  <si>
    <t>SAINT-PAUL-DE-FENOUILLET</t>
  </si>
  <si>
    <t>BULLES</t>
  </si>
  <si>
    <t>RUCH</t>
  </si>
  <si>
    <t>BIEDERTHAL</t>
  </si>
  <si>
    <t>33250</t>
  </si>
  <si>
    <t>BOUQUETOT</t>
  </si>
  <si>
    <t>BELVIS</t>
  </si>
  <si>
    <t>BADEVEL</t>
  </si>
  <si>
    <t>MALLEVAL</t>
  </si>
  <si>
    <t>REGNIOWEZ</t>
  </si>
  <si>
    <t>67118</t>
  </si>
  <si>
    <t>GEISPOLSHEIM</t>
  </si>
  <si>
    <t>LADERN-SUR-LAUQUET</t>
  </si>
  <si>
    <t>MANDAILLES-SAINT-JULIEN</t>
  </si>
  <si>
    <t>SAINT-HILAIRE-EN-MORVAN</t>
  </si>
  <si>
    <t>BRISSAC</t>
  </si>
  <si>
    <t>BETZ</t>
  </si>
  <si>
    <t>MONTFALCON</t>
  </si>
  <si>
    <t>EPERTULLY</t>
  </si>
  <si>
    <t>SOULTZ-SOUS-FORETS</t>
  </si>
  <si>
    <t>MARCHASTEL</t>
  </si>
  <si>
    <t>67790</t>
  </si>
  <si>
    <t>STEINBOURG</t>
  </si>
  <si>
    <t>VARENNES-SOUS-DUN</t>
  </si>
  <si>
    <t>VESANCY</t>
  </si>
  <si>
    <t>SALLES-DE-BARBEZIEUX</t>
  </si>
  <si>
    <t>COURTILS</t>
  </si>
  <si>
    <t>CHAMPAGNAC-LA-NOAILLE</t>
  </si>
  <si>
    <t>LE CHEYLAS</t>
  </si>
  <si>
    <t>MALLOUE</t>
  </si>
  <si>
    <t>CASTILLY</t>
  </si>
  <si>
    <t>BAYECOURT</t>
  </si>
  <si>
    <t>29300</t>
  </si>
  <si>
    <t>TREMEVEN</t>
  </si>
  <si>
    <t>10250</t>
  </si>
  <si>
    <t>MUSSY-SUR-SEINE</t>
  </si>
  <si>
    <t>CERELLES</t>
  </si>
  <si>
    <t>VANDELICOURT</t>
  </si>
  <si>
    <t>WICRES</t>
  </si>
  <si>
    <t>PLAIMBOIS-VENNES</t>
  </si>
  <si>
    <t>BIVILLE-SUR-MER</t>
  </si>
  <si>
    <t>YVETOT-BOCAGE</t>
  </si>
  <si>
    <t>BOUGES-LE-CHATEAU</t>
  </si>
  <si>
    <t>EVRON</t>
  </si>
  <si>
    <t>BASSENEVILLE</t>
  </si>
  <si>
    <t>NOUANS</t>
  </si>
  <si>
    <t>CROMAC</t>
  </si>
  <si>
    <t>FOISSIAT</t>
  </si>
  <si>
    <t>ESCRENNES</t>
  </si>
  <si>
    <t>SAINT-POMPAIN</t>
  </si>
  <si>
    <t>RAON-L'ETAPE</t>
  </si>
  <si>
    <t>MONTANGES</t>
  </si>
  <si>
    <t>COMPS-LA-GRAND-VILLE</t>
  </si>
  <si>
    <t>97600</t>
  </si>
  <si>
    <t>MAMOUDZOU</t>
  </si>
  <si>
    <t>6650</t>
  </si>
  <si>
    <t>OPIO</t>
  </si>
  <si>
    <t>OZOIR-LE-BREUIL</t>
  </si>
  <si>
    <t>BOSMIE-L'AIGUILLE</t>
  </si>
  <si>
    <t>92150</t>
  </si>
  <si>
    <t>SURESNES</t>
  </si>
  <si>
    <t>TETERCHEN</t>
  </si>
  <si>
    <t>MAISONTIERS</t>
  </si>
  <si>
    <t>POMAREZ</t>
  </si>
  <si>
    <t>MONTERREIN</t>
  </si>
  <si>
    <t>LAGARDERE</t>
  </si>
  <si>
    <t>22740</t>
  </si>
  <si>
    <t>LEZARDRIEUX</t>
  </si>
  <si>
    <t>LIGNOU</t>
  </si>
  <si>
    <t>LA NEUVILLE-ROY</t>
  </si>
  <si>
    <t>88160</t>
  </si>
  <si>
    <t>LE MENIL</t>
  </si>
  <si>
    <t>QUINCY</t>
  </si>
  <si>
    <t>BAUDRECOURT</t>
  </si>
  <si>
    <t>GILHOC-SUR-ORMEZE</t>
  </si>
  <si>
    <t>SAINTINES</t>
  </si>
  <si>
    <t>VARZY</t>
  </si>
  <si>
    <t>SAINT-MARTIN-LA-SAUVETE</t>
  </si>
  <si>
    <t>BAUDUEN</t>
  </si>
  <si>
    <t>CLUGNAT</t>
  </si>
  <si>
    <t>BARISEY-LA-COTE</t>
  </si>
  <si>
    <t>39460</t>
  </si>
  <si>
    <t>FONCINE-LE-HAUT</t>
  </si>
  <si>
    <t>56130</t>
  </si>
  <si>
    <t>SAINT-DOLAY</t>
  </si>
  <si>
    <t>ESCHERANGE</t>
  </si>
  <si>
    <t>LUGON-ET-L'ILE-DU-CARNAY</t>
  </si>
  <si>
    <t>THELOD</t>
  </si>
  <si>
    <t>MORIGNY-CHAMPIGNY</t>
  </si>
  <si>
    <t>LE ROUX</t>
  </si>
  <si>
    <t>GRUMESNIL</t>
  </si>
  <si>
    <t>86230</t>
  </si>
  <si>
    <t>SAINT-GERVAIS-LES-TROIS-CLOCHERS</t>
  </si>
  <si>
    <t>LA QUARTE</t>
  </si>
  <si>
    <t>SAINT-LAURENT-DE-CERIS</t>
  </si>
  <si>
    <t>SEMBLANCAY</t>
  </si>
  <si>
    <t>LE GUE-DE-VELLUIRE</t>
  </si>
  <si>
    <t>MENETRUX-EN-JOUX</t>
  </si>
  <si>
    <t>CHAUFFOUR-SUR-VELL</t>
  </si>
  <si>
    <t>MONTAUBAN-DE-PICARDIE</t>
  </si>
  <si>
    <t>LAVEISSENET</t>
  </si>
  <si>
    <t>TREVIERES</t>
  </si>
  <si>
    <t>2A129</t>
  </si>
  <si>
    <t>GROSSA</t>
  </si>
  <si>
    <t>COMBRIT</t>
  </si>
  <si>
    <t>MACORNAY</t>
  </si>
  <si>
    <t>NORDAUSQUES</t>
  </si>
  <si>
    <t>42220</t>
  </si>
  <si>
    <t>SAINT-JULIEN-MOLIN-MOLETTE</t>
  </si>
  <si>
    <t>TROUHAUT</t>
  </si>
  <si>
    <t>BLODELSHEIM</t>
  </si>
  <si>
    <t>GENISSAC</t>
  </si>
  <si>
    <t>22610</t>
  </si>
  <si>
    <t>KERBORS</t>
  </si>
  <si>
    <t>14860</t>
  </si>
  <si>
    <t>BAVENT</t>
  </si>
  <si>
    <t>SIEURAS</t>
  </si>
  <si>
    <t>GOTTENHOUSE</t>
  </si>
  <si>
    <t>NOIRCOURT</t>
  </si>
  <si>
    <t>MOREUIL</t>
  </si>
  <si>
    <t>SAINT-SAUVEUR-CAMPRIEU</t>
  </si>
  <si>
    <t>PONT-DE-SALARS</t>
  </si>
  <si>
    <t>RIOMS</t>
  </si>
  <si>
    <t>MOMY</t>
  </si>
  <si>
    <t>CHEVRIER</t>
  </si>
  <si>
    <t>ORNAISONS</t>
  </si>
  <si>
    <t>64520</t>
  </si>
  <si>
    <t>CAME</t>
  </si>
  <si>
    <t>LA CHAPELLE-SAINT-LUC</t>
  </si>
  <si>
    <t>AULNOYE-AYMERIES</t>
  </si>
  <si>
    <t>97225</t>
  </si>
  <si>
    <t>LE MARIGOT</t>
  </si>
  <si>
    <t>ANDELAIN</t>
  </si>
  <si>
    <t>MALANDRY</t>
  </si>
  <si>
    <t>DAMMARTIN-MARPAIN</t>
  </si>
  <si>
    <t>GUEGON</t>
  </si>
  <si>
    <t>SAINT-ETIENNE-DE-LUGDARES</t>
  </si>
  <si>
    <t>TASQUE</t>
  </si>
  <si>
    <t>NEUILLY-LES-DIJON</t>
  </si>
  <si>
    <t>14640</t>
  </si>
  <si>
    <t>AUBERVILLE</t>
  </si>
  <si>
    <t>GUILLIGOMARC'H</t>
  </si>
  <si>
    <t>FOISSY</t>
  </si>
  <si>
    <t>POISIEUX</t>
  </si>
  <si>
    <t>SAINT-MARTIN-AUX-CHARTRAINS</t>
  </si>
  <si>
    <t>35530</t>
  </si>
  <si>
    <t>NOYAL-SUR-VILAINE</t>
  </si>
  <si>
    <t>14770</t>
  </si>
  <si>
    <t>SAINT-PIERRE-LA-VIEILLE</t>
  </si>
  <si>
    <t>FAUX-VESIGNEUL</t>
  </si>
  <si>
    <t>FLUY</t>
  </si>
  <si>
    <t>SAUSSEUZEMARE-EN-CAUX</t>
  </si>
  <si>
    <t>CABARA</t>
  </si>
  <si>
    <t>NOROY</t>
  </si>
  <si>
    <t>SAINT-FREJOUX</t>
  </si>
  <si>
    <t>LIES</t>
  </si>
  <si>
    <t>DANZE</t>
  </si>
  <si>
    <t>SAINT-JEAN-DE-BONNEVAL</t>
  </si>
  <si>
    <t>MONTEROLIER</t>
  </si>
  <si>
    <t>SAURET-BESSERVE</t>
  </si>
  <si>
    <t>LIEDERSCHIEDT</t>
  </si>
  <si>
    <t>MALINCOURT</t>
  </si>
  <si>
    <t>VILLIERS-SOUS-PRASLIN</t>
  </si>
  <si>
    <t>MARCILLY-SUR-TILLE</t>
  </si>
  <si>
    <t>JOUGNE</t>
  </si>
  <si>
    <t>AVILLEY</t>
  </si>
  <si>
    <t>SAULCES-MONCLIN</t>
  </si>
  <si>
    <t>CERNON</t>
  </si>
  <si>
    <t>44530</t>
  </si>
  <si>
    <t>GUENROUET</t>
  </si>
  <si>
    <t>VAUDELOGES</t>
  </si>
  <si>
    <t>PAIZAY-LE-SEC</t>
  </si>
  <si>
    <t>DEBATS-RIVIERE-D'ORPRA</t>
  </si>
  <si>
    <t>NIEDERSTINZEL</t>
  </si>
  <si>
    <t>MORTAGNE-SUR-GIRONDE</t>
  </si>
  <si>
    <t>BETTANT</t>
  </si>
  <si>
    <t>FIXIN</t>
  </si>
  <si>
    <t>74120</t>
  </si>
  <si>
    <t>PRAZ-SUR-ARLY</t>
  </si>
  <si>
    <t>CAMBOULAZET</t>
  </si>
  <si>
    <t>NEBING</t>
  </si>
  <si>
    <t>59133</t>
  </si>
  <si>
    <t>PHALEMPIN</t>
  </si>
  <si>
    <t>LA VILLE-AUX-BOIS-LES-PONTAVERT</t>
  </si>
  <si>
    <t>PALANTINE</t>
  </si>
  <si>
    <t>AUVERS</t>
  </si>
  <si>
    <t>HANGVILLER</t>
  </si>
  <si>
    <t>LAGESSE</t>
  </si>
  <si>
    <t>SEGREVILLE</t>
  </si>
  <si>
    <t>MANTRY</t>
  </si>
  <si>
    <t>MONTJOIE-LE-CHATEAU</t>
  </si>
  <si>
    <t>CHITRY-LES-MINES</t>
  </si>
  <si>
    <t>AYDOILLES</t>
  </si>
  <si>
    <t>SAINT-PIERRE-MONTLIMART</t>
  </si>
  <si>
    <t>ESCALES</t>
  </si>
  <si>
    <t>YMARE</t>
  </si>
  <si>
    <t>HABLAINVILLE</t>
  </si>
  <si>
    <t>BOUILH-PEREUILH</t>
  </si>
  <si>
    <t>BEGADAN</t>
  </si>
  <si>
    <t>LOUCRUP</t>
  </si>
  <si>
    <t>NESLE-ET-MASSOULT</t>
  </si>
  <si>
    <t>SAINT-GERMAIN-DU-PERT</t>
  </si>
  <si>
    <t>CHASSEY-LES-MONTBOZON</t>
  </si>
  <si>
    <t>BOSSEE</t>
  </si>
  <si>
    <t>LA RIVIERE-DRUGEON</t>
  </si>
  <si>
    <t>94460</t>
  </si>
  <si>
    <t>VALENTON</t>
  </si>
  <si>
    <t>MAGNY-LA-VILLE</t>
  </si>
  <si>
    <t>HINACOURT</t>
  </si>
  <si>
    <t>PISSELEU</t>
  </si>
  <si>
    <t>COISE</t>
  </si>
  <si>
    <t>NYOISEAU</t>
  </si>
  <si>
    <t>CORSAVY</t>
  </si>
  <si>
    <t>LANHERES</t>
  </si>
  <si>
    <t>REIGNY</t>
  </si>
  <si>
    <t>DANNE-ET-QUATRE-VENTS</t>
  </si>
  <si>
    <t>SAINT-FORT-SUR-GIRONDE</t>
  </si>
  <si>
    <t>CUSE-ET-ADRISANS</t>
  </si>
  <si>
    <t>SAVINS</t>
  </si>
  <si>
    <t>HAROL</t>
  </si>
  <si>
    <t>FONTAINE-SOUS-MONTDIDIER</t>
  </si>
  <si>
    <t>TIREPIED</t>
  </si>
  <si>
    <t>63750</t>
  </si>
  <si>
    <t>MESSEIX</t>
  </si>
  <si>
    <t>QUIEVELON</t>
  </si>
  <si>
    <t>GRIMBOSQ</t>
  </si>
  <si>
    <t>FRESNOY-AU-VAL</t>
  </si>
  <si>
    <t>LEZIGNEUX</t>
  </si>
  <si>
    <t>VENDEUVRE-SUR-BARSE</t>
  </si>
  <si>
    <t>63650</t>
  </si>
  <si>
    <t>LA MONNERIE-LE-MONTEL</t>
  </si>
  <si>
    <t>AVRIL</t>
  </si>
  <si>
    <t>IDRAC-RESPAILLES</t>
  </si>
  <si>
    <t>PONTGIBAUD</t>
  </si>
  <si>
    <t>MONTIGNAC-TOUPINERIE</t>
  </si>
  <si>
    <t>LAVANS-QUINGEY</t>
  </si>
  <si>
    <t>SEVIGNAC</t>
  </si>
  <si>
    <t>LE FOURNET</t>
  </si>
  <si>
    <t>JACOB-BELLECOMBETTE</t>
  </si>
  <si>
    <t>SAMOGNAT</t>
  </si>
  <si>
    <t>ROQUETOIRE</t>
  </si>
  <si>
    <t>MONTREUX</t>
  </si>
  <si>
    <t>51420</t>
  </si>
  <si>
    <t>NOGENT-L'ABBESSE</t>
  </si>
  <si>
    <t>BUNO-BONNEVAUX</t>
  </si>
  <si>
    <t>MOULISMES</t>
  </si>
  <si>
    <t>97230</t>
  </si>
  <si>
    <t>VERDEREL-LES-SAUQUEUSE</t>
  </si>
  <si>
    <t>LOREUX</t>
  </si>
  <si>
    <t>LAMONTGIE</t>
  </si>
  <si>
    <t>SENAUD</t>
  </si>
  <si>
    <t>MAZERES-DE-NESTE</t>
  </si>
  <si>
    <t>BEUIL</t>
  </si>
  <si>
    <t>MARCHAIS</t>
  </si>
  <si>
    <t>LEVIGNACQ</t>
  </si>
  <si>
    <t>SAINT-FELIX-DE-LUNEL</t>
  </si>
  <si>
    <t>NOYANT-LA-GRAVOYERE</t>
  </si>
  <si>
    <t>AUGNAT</t>
  </si>
  <si>
    <t>63970</t>
  </si>
  <si>
    <t>SAULZET-LE-FROID</t>
  </si>
  <si>
    <t>MONTSALVY</t>
  </si>
  <si>
    <t>LA MEILLERAYE-DE-BRETAGNE</t>
  </si>
  <si>
    <t>LES PETITES-ARMOISES</t>
  </si>
  <si>
    <t>SANSA</t>
  </si>
  <si>
    <t>LA HOUSSAYE-BERANGER</t>
  </si>
  <si>
    <t>CAMOEL</t>
  </si>
  <si>
    <t>MARCHEMAISONS</t>
  </si>
  <si>
    <t>BRAYE-SOUS-FAYE</t>
  </si>
  <si>
    <t>87640</t>
  </si>
  <si>
    <t>RAZES</t>
  </si>
  <si>
    <t>MOLINGES</t>
  </si>
  <si>
    <t>UZELLE</t>
  </si>
  <si>
    <t>SAINT-LAURENT-DE-CERDANS</t>
  </si>
  <si>
    <t>LAGNES</t>
  </si>
  <si>
    <t>HEILTZ-LE-HUTIER</t>
  </si>
  <si>
    <t>TREVEREC</t>
  </si>
  <si>
    <t>2B134</t>
  </si>
  <si>
    <t>L'ILE-ROUSSE</t>
  </si>
  <si>
    <t>HOUTAUD</t>
  </si>
  <si>
    <t>HEIPPES</t>
  </si>
  <si>
    <t>PLUDUAL</t>
  </si>
  <si>
    <t>LURCY-LE-BOURG</t>
  </si>
  <si>
    <t>COUCY-LE-CHATEAU-AUFFRIQUE</t>
  </si>
  <si>
    <t>69280</t>
  </si>
  <si>
    <t>MARCY-L'ETOILE</t>
  </si>
  <si>
    <t>SAINT-NAZAIRE-D'AUDE</t>
  </si>
  <si>
    <t>19350</t>
  </si>
  <si>
    <t>CONCEZE</t>
  </si>
  <si>
    <t>MONT-LE-VIGNOBLE</t>
  </si>
  <si>
    <t>BOISSY-MAUVOISIN</t>
  </si>
  <si>
    <t>PEYRUSSE-LE-ROC</t>
  </si>
  <si>
    <t>RHUIS</t>
  </si>
  <si>
    <t>MONTMAURIN</t>
  </si>
  <si>
    <t>HAUTMONT</t>
  </si>
  <si>
    <t>LESTIAC-SUR-GARONNE</t>
  </si>
  <si>
    <t>MUSSIG</t>
  </si>
  <si>
    <t>ROQUEFORT-DE-SAULT</t>
  </si>
  <si>
    <t>EXCENEVEX</t>
  </si>
  <si>
    <t>ROBERSART</t>
  </si>
  <si>
    <t>MANO</t>
  </si>
  <si>
    <t>61110</t>
  </si>
  <si>
    <t>REMALARD</t>
  </si>
  <si>
    <t>MAISONCELLES-EN-GATINAIS</t>
  </si>
  <si>
    <t>MENETROL</t>
  </si>
  <si>
    <t>BASSU</t>
  </si>
  <si>
    <t>BERGERAC</t>
  </si>
  <si>
    <t>TRAIZE</t>
  </si>
  <si>
    <t>SAINT-GEORGES-DE-LIVOYE</t>
  </si>
  <si>
    <t>CHOISY-LA-VICTOIRE</t>
  </si>
  <si>
    <t>CHANNAY-SUR-LATHAN</t>
  </si>
  <si>
    <t>BOURDAINVILLE</t>
  </si>
  <si>
    <t>CHEVRY-SOUS-LE-BIGNON</t>
  </si>
  <si>
    <t>LOUSSOUS-DEBAT</t>
  </si>
  <si>
    <t>JULIANGES</t>
  </si>
  <si>
    <t>MENESTREAU-EN-VILLETTE</t>
  </si>
  <si>
    <t>FLEUREY-LES-FAVERNEY</t>
  </si>
  <si>
    <t>60175</t>
  </si>
  <si>
    <t>VILLENEUVE-LES-SABLONS</t>
  </si>
  <si>
    <t>SAINT-BONNET-ELVERT</t>
  </si>
  <si>
    <t>CROIXDALLE</t>
  </si>
  <si>
    <t>MONTAURIOL</t>
  </si>
  <si>
    <t>LE PLESSIER-HULEU</t>
  </si>
  <si>
    <t>CUVRY</t>
  </si>
  <si>
    <t>17110</t>
  </si>
  <si>
    <t>SAINT-GEORGES-DE-DIDONNE</t>
  </si>
  <si>
    <t>OGENNE-CAMPTORT</t>
  </si>
  <si>
    <t>VILLEMER</t>
  </si>
  <si>
    <t>CHAPAREILLAN</t>
  </si>
  <si>
    <t>LA CHAUX-EN-BRESSE</t>
  </si>
  <si>
    <t>MERICOURT-SUR-SOMME</t>
  </si>
  <si>
    <t>78130</t>
  </si>
  <si>
    <t>LES MUREAUX</t>
  </si>
  <si>
    <t>AILLON-LE-JEUNE</t>
  </si>
  <si>
    <t>CHERVAL</t>
  </si>
  <si>
    <t>LACAPELLE-CABANAC</t>
  </si>
  <si>
    <t>97419</t>
  </si>
  <si>
    <t>LA POSSESSION</t>
  </si>
  <si>
    <t>ASNELLES</t>
  </si>
  <si>
    <t>GRATELOUP-SAINT-GAYRAND</t>
  </si>
  <si>
    <t>ROMIGUIERES</t>
  </si>
  <si>
    <t>2430</t>
  </si>
  <si>
    <t>GAUCHY</t>
  </si>
  <si>
    <t>THIL-MANNEVILLE</t>
  </si>
  <si>
    <t>SAINT-ORADOUX-PRES-CROCQ</t>
  </si>
  <si>
    <t>SAINT-AIGULIN</t>
  </si>
  <si>
    <t>LES CABANNES</t>
  </si>
  <si>
    <t>SAVIGNY-SUR-ARDRES</t>
  </si>
  <si>
    <t>CAYCHAX</t>
  </si>
  <si>
    <t>SAINT-MAURICE-SUR-MORTAGNE</t>
  </si>
  <si>
    <t>1540</t>
  </si>
  <si>
    <t>PERREX</t>
  </si>
  <si>
    <t>SERPAIZE</t>
  </si>
  <si>
    <t>TARDINGHEN</t>
  </si>
  <si>
    <t>TROUVANS</t>
  </si>
  <si>
    <t>MANOIS</t>
  </si>
  <si>
    <t>2A100</t>
  </si>
  <si>
    <t>CRISTINACCE</t>
  </si>
  <si>
    <t>SAINT-CLEMENT-DE-VERS</t>
  </si>
  <si>
    <t>SAINT-PIERRE-AVEZ</t>
  </si>
  <si>
    <t>SAINTE-EUPHEMIE</t>
  </si>
  <si>
    <t>VILLERS-EN-HAYE</t>
  </si>
  <si>
    <t>RIMONT</t>
  </si>
  <si>
    <t>MASSIAC</t>
  </si>
  <si>
    <t>AVIREY-LINGEY</t>
  </si>
  <si>
    <t>SAINT-ETIENNE-LA-VARENNE</t>
  </si>
  <si>
    <t>CHATILLON-GUYOTTE</t>
  </si>
  <si>
    <t>REIGNAT</t>
  </si>
  <si>
    <t>AUSSEING</t>
  </si>
  <si>
    <t>SAINT-LAURS</t>
  </si>
  <si>
    <t>AUSSOIS</t>
  </si>
  <si>
    <t>FATOUVILLE-GRESTAIN</t>
  </si>
  <si>
    <t>CANLERS</t>
  </si>
  <si>
    <t>CUTTURA</t>
  </si>
  <si>
    <t>38121</t>
  </si>
  <si>
    <t>CHONAS-L'AMBALLAN</t>
  </si>
  <si>
    <t>QUEYRIERES</t>
  </si>
  <si>
    <t>SAINT-CEZERT</t>
  </si>
  <si>
    <t>SAINT-MAURICE-D'ARDECHE</t>
  </si>
  <si>
    <t>ORSCHWIHR</t>
  </si>
  <si>
    <t>LA POTERIE-AU-PERCHE</t>
  </si>
  <si>
    <t>NIVOLLET-MONTGRIFFON</t>
  </si>
  <si>
    <t>AMFREVILLE</t>
  </si>
  <si>
    <t>83980</t>
  </si>
  <si>
    <t>LE LAVANDOU</t>
  </si>
  <si>
    <t>DESERVILLERS</t>
  </si>
  <si>
    <t>BAIGNEUX-LES-JUIFS</t>
  </si>
  <si>
    <t>MIRIBEL-LANCHATRE</t>
  </si>
  <si>
    <t>SAINT-GERMAIN-SUR-SEVES</t>
  </si>
  <si>
    <t>VENGEONS</t>
  </si>
  <si>
    <t>78120</t>
  </si>
  <si>
    <t>CLAIREFONTAINE-EN-YVELINES</t>
  </si>
  <si>
    <t>SAINT-VAURY</t>
  </si>
  <si>
    <t>GONNEVILLE-LA-MALLET</t>
  </si>
  <si>
    <t>CRAMENIL</t>
  </si>
  <si>
    <t>MONTCEL</t>
  </si>
  <si>
    <t>MAZEYROLLES</t>
  </si>
  <si>
    <t>SOULOM</t>
  </si>
  <si>
    <t>EYSUS</t>
  </si>
  <si>
    <t>30124</t>
  </si>
  <si>
    <t>L'ESTRECHURE</t>
  </si>
  <si>
    <t>AINVELLE</t>
  </si>
  <si>
    <t>CASSAGNAS</t>
  </si>
  <si>
    <t>BRY</t>
  </si>
  <si>
    <t>MONDON</t>
  </si>
  <si>
    <t>VASSOGNE</t>
  </si>
  <si>
    <t>VEAUGUES</t>
  </si>
  <si>
    <t>53390</t>
  </si>
  <si>
    <t>SENONNES</t>
  </si>
  <si>
    <t>MONTGILBERT</t>
  </si>
  <si>
    <t>MALMY</t>
  </si>
  <si>
    <t>VALMASCLE</t>
  </si>
  <si>
    <t>SAINT-JEAN-DE-SAVIGNY</t>
  </si>
  <si>
    <t>VILLEFRANCHE-DE-CONFLENT</t>
  </si>
  <si>
    <t>SUS-SAINT-LEGER</t>
  </si>
  <si>
    <t>NIEUIL</t>
  </si>
  <si>
    <t>NOYELLES-EN-CHAUSSEE</t>
  </si>
  <si>
    <t>34620</t>
  </si>
  <si>
    <t>PUISSERGUIER</t>
  </si>
  <si>
    <t>VITTONVILLE</t>
  </si>
  <si>
    <t>DANNEMARIE</t>
  </si>
  <si>
    <t>HEMEVILLERS</t>
  </si>
  <si>
    <t>ECRETTEVILLE-LES-BAONS</t>
  </si>
  <si>
    <t>45620</t>
  </si>
  <si>
    <t>ISDES</t>
  </si>
  <si>
    <t>SAINT-GENIEZ</t>
  </si>
  <si>
    <t>SAINT-BARTHELEMY-DE-BUSSIERE</t>
  </si>
  <si>
    <t>COLPO</t>
  </si>
  <si>
    <t>LAC-DES-ROUGES-TRUITES</t>
  </si>
  <si>
    <t>VILLE-SUR-TERRE</t>
  </si>
  <si>
    <t>SAINT-BASLEMONT</t>
  </si>
  <si>
    <t>50850</t>
  </si>
  <si>
    <t>LE FRESNE-PORET</t>
  </si>
  <si>
    <t>WIENCOURT-L'EQUIPEE</t>
  </si>
  <si>
    <t>BACCARAT</t>
  </si>
  <si>
    <t>AISY-SOUS-THIL</t>
  </si>
  <si>
    <t>MAISSEMY</t>
  </si>
  <si>
    <t>PUNCHY</t>
  </si>
  <si>
    <t>RATZWILLER</t>
  </si>
  <si>
    <t>FOLLIGNY</t>
  </si>
  <si>
    <t>53000</t>
  </si>
  <si>
    <t>LAVAL</t>
  </si>
  <si>
    <t>59500</t>
  </si>
  <si>
    <t>DOUAI</t>
  </si>
  <si>
    <t>LEYNHAC</t>
  </si>
  <si>
    <t>14790</t>
  </si>
  <si>
    <t>VERSON</t>
  </si>
  <si>
    <t>VILLEFRANCHE-DE-ROUERGUE</t>
  </si>
  <si>
    <t>LUSSANT</t>
  </si>
  <si>
    <t>LE GAULT-PERCHE</t>
  </si>
  <si>
    <t>SAINT-GAUDENT</t>
  </si>
  <si>
    <t>LA CHABANNE</t>
  </si>
  <si>
    <t>5290</t>
  </si>
  <si>
    <t>VALLOUISE</t>
  </si>
  <si>
    <t>ECOCHE</t>
  </si>
  <si>
    <t>BERRIE</t>
  </si>
  <si>
    <t>AMANCEY</t>
  </si>
  <si>
    <t>IMECOURT</t>
  </si>
  <si>
    <t>92240</t>
  </si>
  <si>
    <t>MALAKOFF</t>
  </si>
  <si>
    <t>CRESTE</t>
  </si>
  <si>
    <t>UHRWILLER</t>
  </si>
  <si>
    <t>CHALAIS</t>
  </si>
  <si>
    <t>POYANNE</t>
  </si>
  <si>
    <t>GOUSTRANVILLE</t>
  </si>
  <si>
    <t>LAGUENNE</t>
  </si>
  <si>
    <t>LOLIF</t>
  </si>
  <si>
    <t>MARAMBAT</t>
  </si>
  <si>
    <t>DONNEMARIE-DONTILLY</t>
  </si>
  <si>
    <t>72000/72100</t>
  </si>
  <si>
    <t>LE MANS</t>
  </si>
  <si>
    <t>BUSSEAUT</t>
  </si>
  <si>
    <t>HARAUCOURT</t>
  </si>
  <si>
    <t>ORNANS</t>
  </si>
  <si>
    <t>SAVIGNY-SUR-SEILLE</t>
  </si>
  <si>
    <t>MERFY</t>
  </si>
  <si>
    <t>CORPEAU</t>
  </si>
  <si>
    <t>SAINT-BRICE-SOUS-FORET</t>
  </si>
  <si>
    <t>NOMENY</t>
  </si>
  <si>
    <t>SAINT-GERMAIN-LAXIS</t>
  </si>
  <si>
    <t>LES JUNIES</t>
  </si>
  <si>
    <t>BOUVELINGHEM</t>
  </si>
  <si>
    <t>EYGURANDE-ET-GARDEDEUIL</t>
  </si>
  <si>
    <t>RANRUPT</t>
  </si>
  <si>
    <t>CAVES</t>
  </si>
  <si>
    <t>ETUZ</t>
  </si>
  <si>
    <t>77660</t>
  </si>
  <si>
    <t>CHANGIS-SUR-MARNE</t>
  </si>
  <si>
    <t>SAINT-LOTHAIN</t>
  </si>
  <si>
    <t>CHAMPAGNE-LES-MARAIS</t>
  </si>
  <si>
    <t>44490</t>
  </si>
  <si>
    <t>LE CROISIC</t>
  </si>
  <si>
    <t>SOURZAC</t>
  </si>
  <si>
    <t>MOUEN</t>
  </si>
  <si>
    <t>69250</t>
  </si>
  <si>
    <t>POLEYMIEUX-AU-MONT-D'OR</t>
  </si>
  <si>
    <t>LEBETAIN</t>
  </si>
  <si>
    <t>CHAUMOUX-MARCILLY</t>
  </si>
  <si>
    <t>LE BIGNON-MIRABEAU</t>
  </si>
  <si>
    <t>MARTHEMONT</t>
  </si>
  <si>
    <t>NEUVELLE-LES-LA-CHARITE</t>
  </si>
  <si>
    <t>MEZY-SUR-SEINE</t>
  </si>
  <si>
    <t>SAINT-MARTIN-OSMONVILLE</t>
  </si>
  <si>
    <t>LAFELINE</t>
  </si>
  <si>
    <t>HOUEILLES</t>
  </si>
  <si>
    <t>LA BEGUDE-DE-MAZENC</t>
  </si>
  <si>
    <t>34590</t>
  </si>
  <si>
    <t>MARSILLARGUES</t>
  </si>
  <si>
    <t>8170</t>
  </si>
  <si>
    <t>MONTIGNY-SUR-MEUSE</t>
  </si>
  <si>
    <t>BOIS-LE-ROI</t>
  </si>
  <si>
    <t>CARNAC</t>
  </si>
  <si>
    <t>MASSANES</t>
  </si>
  <si>
    <t>13920</t>
  </si>
  <si>
    <t>SAINT-MITRE-LES-REMPARTS</t>
  </si>
  <si>
    <t>VAUNAVEYS-LA-ROCHETTE</t>
  </si>
  <si>
    <t>HIERMONT</t>
  </si>
  <si>
    <t>LOIRE-SUR-NIE</t>
  </si>
  <si>
    <t>SAINT-SENOCH</t>
  </si>
  <si>
    <t>65690</t>
  </si>
  <si>
    <t>ANGOS</t>
  </si>
  <si>
    <t>COGNIN</t>
  </si>
  <si>
    <t>LA HOUBLONNIERE</t>
  </si>
  <si>
    <t>CRICQUEVILLE-EN-AUGE</t>
  </si>
  <si>
    <t>COURTIEUX</t>
  </si>
  <si>
    <t>BENEY-EN-WOEVRE</t>
  </si>
  <si>
    <t>CHANTRAINE</t>
  </si>
  <si>
    <t>CLERMONT-D'EXCIDEUIL</t>
  </si>
  <si>
    <t>LESIGNAC-DURAND</t>
  </si>
  <si>
    <t>LES ILHES</t>
  </si>
  <si>
    <t>18800</t>
  </si>
  <si>
    <t>VILLEFRANCHE-DU-QUEYRAN</t>
  </si>
  <si>
    <t>AUTHE</t>
  </si>
  <si>
    <t>LIGNIERES-SONNEVILLE</t>
  </si>
  <si>
    <t>59180</t>
  </si>
  <si>
    <t>CAPPELLE-LA-GRANDE</t>
  </si>
  <si>
    <t>ALAN</t>
  </si>
  <si>
    <t>LEUTENHEIM</t>
  </si>
  <si>
    <t>SAINT-AGNAN-DE-CERNIERES</t>
  </si>
  <si>
    <t>LAROQUE-DE-FA</t>
  </si>
  <si>
    <t>LE VERSOUD</t>
  </si>
  <si>
    <t>TAVERNES</t>
  </si>
  <si>
    <t>LONGUEVILLE-SUR-SCIE</t>
  </si>
  <si>
    <t>LA CHAPELLE-DU-GENET</t>
  </si>
  <si>
    <t>OURDE</t>
  </si>
  <si>
    <t>PEYRABOUT</t>
  </si>
  <si>
    <t>2B264</t>
  </si>
  <si>
    <t>RUSIO</t>
  </si>
  <si>
    <t>RANSPACH</t>
  </si>
  <si>
    <t>FLEURANCE</t>
  </si>
  <si>
    <t>56560</t>
  </si>
  <si>
    <t>GUISCRIFF</t>
  </si>
  <si>
    <t>YTRAC</t>
  </si>
  <si>
    <t>UZ</t>
  </si>
  <si>
    <t>TERMES</t>
  </si>
  <si>
    <t>GUEUX</t>
  </si>
  <si>
    <t>27200</t>
  </si>
  <si>
    <t>VERNON</t>
  </si>
  <si>
    <t>AUJOLS</t>
  </si>
  <si>
    <t>VANDELANS</t>
  </si>
  <si>
    <t>BEAUGEAY</t>
  </si>
  <si>
    <t>LA CHAPELLE-DE-LA-TOUR</t>
  </si>
  <si>
    <t>20247</t>
  </si>
  <si>
    <t>2B261</t>
  </si>
  <si>
    <t>ROGLIANO</t>
  </si>
  <si>
    <t>GEUS-D'OLORON</t>
  </si>
  <si>
    <t>CORMONT</t>
  </si>
  <si>
    <t>44400</t>
  </si>
  <si>
    <t>REZE</t>
  </si>
  <si>
    <t>LOZAY</t>
  </si>
  <si>
    <t>77166</t>
  </si>
  <si>
    <t>GRISY-SUISNES</t>
  </si>
  <si>
    <t>GRANDRIS</t>
  </si>
  <si>
    <t>BURG</t>
  </si>
  <si>
    <t>CREVANS-ET-LA-CHAPELLE-LES-GRANGES</t>
  </si>
  <si>
    <t>97427</t>
  </si>
  <si>
    <t>L'ETANG-SALE</t>
  </si>
  <si>
    <t>TRIE-LA-VILLE</t>
  </si>
  <si>
    <t>HIPSHEIM</t>
  </si>
  <si>
    <t>BREN</t>
  </si>
  <si>
    <t>COULOMBS-EN-VALOIS</t>
  </si>
  <si>
    <t>ROBERTOT</t>
  </si>
  <si>
    <t>LA PLANCHE</t>
  </si>
  <si>
    <t>REMAUVILLE</t>
  </si>
  <si>
    <t>PETIT-REDERCHING</t>
  </si>
  <si>
    <t>CHATEAU-THIERRY</t>
  </si>
  <si>
    <t>CHARMOIS-L'ORGUEILLEUX</t>
  </si>
  <si>
    <t>CHAVANAY</t>
  </si>
  <si>
    <t>TOGES</t>
  </si>
  <si>
    <t>BRASSAC</t>
  </si>
  <si>
    <t>VIDOUZE</t>
  </si>
  <si>
    <t>BLACE</t>
  </si>
  <si>
    <t>LES ECHELLES</t>
  </si>
  <si>
    <t>SAINT-FELIX-LAURAGAIS</t>
  </si>
  <si>
    <t>GENAINVILLE</t>
  </si>
  <si>
    <t>67560</t>
  </si>
  <si>
    <t>ROSENWILLER</t>
  </si>
  <si>
    <t>LICHOS</t>
  </si>
  <si>
    <t>TRUINAS</t>
  </si>
  <si>
    <t>SAINT-MARTIN-DE-QUEYRIERES</t>
  </si>
  <si>
    <t>SAINT-NICOLAS-DU-TERTRE</t>
  </si>
  <si>
    <t>BOFFRES</t>
  </si>
  <si>
    <t>LORLEAU</t>
  </si>
  <si>
    <t>SAINT-GERME</t>
  </si>
  <si>
    <t>20276</t>
  </si>
  <si>
    <t>2B023</t>
  </si>
  <si>
    <t>ASCO</t>
  </si>
  <si>
    <t>HAUVILLE</t>
  </si>
  <si>
    <t>CORMOYEUX</t>
  </si>
  <si>
    <t>POUY-LOUBRIN</t>
  </si>
  <si>
    <t>VELLEROT-LES-VERCEL</t>
  </si>
  <si>
    <t>82350</t>
  </si>
  <si>
    <t>ALBIAS</t>
  </si>
  <si>
    <t>ZOUFFTGEN</t>
  </si>
  <si>
    <t>LE CARDONNOIS</t>
  </si>
  <si>
    <t>MOUSTAJON</t>
  </si>
  <si>
    <t>VOUTHON-HAUT</t>
  </si>
  <si>
    <t>CRAVENT</t>
  </si>
  <si>
    <t>VEUXHAULLES-SUR-AUBE</t>
  </si>
  <si>
    <t>SPECHBACH-LE-BAS</t>
  </si>
  <si>
    <t>BELLECHASSAGNE</t>
  </si>
  <si>
    <t>SAINT-MARTIN-DON</t>
  </si>
  <si>
    <t>VITRY-EN-CHAROLLAIS</t>
  </si>
  <si>
    <t>MEDILLAC</t>
  </si>
  <si>
    <t>VIC-SUR-AISNE</t>
  </si>
  <si>
    <t>VINNEMERVILLE</t>
  </si>
  <si>
    <t>NAUSSANNES</t>
  </si>
  <si>
    <t>AURIAT</t>
  </si>
  <si>
    <t>FLETRE</t>
  </si>
  <si>
    <t>CHARETTE-VARENNES</t>
  </si>
  <si>
    <t>MARCELLOIS</t>
  </si>
  <si>
    <t>RINGENDORF</t>
  </si>
  <si>
    <t>BOURG-BEAUDOUIN</t>
  </si>
  <si>
    <t>LE BRUGERON</t>
  </si>
  <si>
    <t>WAIL</t>
  </si>
  <si>
    <t>DAMPIERRE-LES-BOIS</t>
  </si>
  <si>
    <t>64200</t>
  </si>
  <si>
    <t>ARCANGUES</t>
  </si>
  <si>
    <t>MELESSE</t>
  </si>
  <si>
    <t>42152</t>
  </si>
  <si>
    <t>L'HORME</t>
  </si>
  <si>
    <t>2A006</t>
  </si>
  <si>
    <t>ALATA</t>
  </si>
  <si>
    <t>LA GRANDE-PAROISSE</t>
  </si>
  <si>
    <t>BREUILPONT</t>
  </si>
  <si>
    <t>97125</t>
  </si>
  <si>
    <t>BOUILLANTE</t>
  </si>
  <si>
    <t>BUXIERES-SOUS-LES-COTES</t>
  </si>
  <si>
    <t>LE PUISET</t>
  </si>
  <si>
    <t>SAINTE-LUCE</t>
  </si>
  <si>
    <t>IVIERS</t>
  </si>
  <si>
    <t>CHAMBLANC</t>
  </si>
  <si>
    <t>SUSSEY</t>
  </si>
  <si>
    <t>BELMONT-LUTHEZIEU</t>
  </si>
  <si>
    <t>SAINTE-CHRISTIE-D'ARMAGNAC</t>
  </si>
  <si>
    <t>CORTAMBERT</t>
  </si>
  <si>
    <t>BEAUPUY</t>
  </si>
  <si>
    <t>LAISSAUD</t>
  </si>
  <si>
    <t>57935</t>
  </si>
  <si>
    <t>LUTTANGE</t>
  </si>
  <si>
    <t>LA CHAPELLE-SOUS-DUN</t>
  </si>
  <si>
    <t>LA CROUZILLE</t>
  </si>
  <si>
    <t>PRIMELLES</t>
  </si>
  <si>
    <t>LES GOURS</t>
  </si>
  <si>
    <t>VIREY-SOUS-BAR</t>
  </si>
  <si>
    <t>ANGLES-SUR-L'ANGLIN</t>
  </si>
  <si>
    <t>POUILLY-EN-AUXOIS</t>
  </si>
  <si>
    <t>CAZILLAC</t>
  </si>
  <si>
    <t>CHARLEVILLE-MEZIERES</t>
  </si>
  <si>
    <t>LA CHAPELLE-VILLARS</t>
  </si>
  <si>
    <t>TRAUBACH-LE-HAUT</t>
  </si>
  <si>
    <t>62230</t>
  </si>
  <si>
    <t>OUTREAU</t>
  </si>
  <si>
    <t>SAINT-BONNET-LES-ALLIER</t>
  </si>
  <si>
    <t>SAINT-ALYRE-D'ARLANC</t>
  </si>
  <si>
    <t>CHAMBERAT</t>
  </si>
  <si>
    <t>BEAULIEU-SUR-OUDON</t>
  </si>
  <si>
    <t>AMURE</t>
  </si>
  <si>
    <t>BANTHEVILLE</t>
  </si>
  <si>
    <t>LA ROE</t>
  </si>
  <si>
    <t>LA CHAPELLE-D'ALAGNON</t>
  </si>
  <si>
    <t>30660</t>
  </si>
  <si>
    <t>GALLARGUES-LE-MONTUEUX</t>
  </si>
  <si>
    <t>SOURDEVAL-LES-BOIS</t>
  </si>
  <si>
    <t>CORGENGOUX</t>
  </si>
  <si>
    <t>FLAVIAC</t>
  </si>
  <si>
    <t>MOULHARD</t>
  </si>
  <si>
    <t>SOYE</t>
  </si>
  <si>
    <t>CHAUSSAN</t>
  </si>
  <si>
    <t>CERISY-BELLE-ETOILE</t>
  </si>
  <si>
    <t>LABARTHE-RIVIERE</t>
  </si>
  <si>
    <t>LES PLACES</t>
  </si>
  <si>
    <t>COURCELLES-SUR-AIRE</t>
  </si>
  <si>
    <t>DRACHE</t>
  </si>
  <si>
    <t>OULCHY-LE-CHATEAU</t>
  </si>
  <si>
    <t>NEUVILLE-SUR-BRENNE</t>
  </si>
  <si>
    <t>ANTEUIL</t>
  </si>
  <si>
    <t>JUZES</t>
  </si>
  <si>
    <t>SAINT-COULOMB</t>
  </si>
  <si>
    <t>ETREPY</t>
  </si>
  <si>
    <t>GUERN</t>
  </si>
  <si>
    <t>LAVAUFRANCHE</t>
  </si>
  <si>
    <t>16390</t>
  </si>
  <si>
    <t>NABINAUD</t>
  </si>
  <si>
    <t>GRIGNONCOURT</t>
  </si>
  <si>
    <t>SAINT-GELVEN</t>
  </si>
  <si>
    <t>MONCETZ-L'ABBAYE</t>
  </si>
  <si>
    <t>SAINT-CLAUDE-DE-DIRAY</t>
  </si>
  <si>
    <t>LA LOYERE</t>
  </si>
  <si>
    <t>SAINT-ETIENNE-DE-CARLAT</t>
  </si>
  <si>
    <t>CAUVIGNY</t>
  </si>
  <si>
    <t>RIGNEY</t>
  </si>
  <si>
    <t>BUSSY-LE-REPOS</t>
  </si>
  <si>
    <t>POINTVILLERS</t>
  </si>
  <si>
    <t>SAINT-PYTHON</t>
  </si>
  <si>
    <t>GOYRANS</t>
  </si>
  <si>
    <t>ARTIX</t>
  </si>
  <si>
    <t>GANAC</t>
  </si>
  <si>
    <t>BONAC-IRAZEIN</t>
  </si>
  <si>
    <t>MADRE</t>
  </si>
  <si>
    <t>RITTERSHOFFEN</t>
  </si>
  <si>
    <t>PONTAIX</t>
  </si>
  <si>
    <t>SAINT-JOSEPH</t>
  </si>
  <si>
    <t>PONTGOUIN</t>
  </si>
  <si>
    <t>FROIDESTREES</t>
  </si>
  <si>
    <t>BEAUCHASTEL</t>
  </si>
  <si>
    <t>GROS-REDERCHING</t>
  </si>
  <si>
    <t>COURSAN</t>
  </si>
  <si>
    <t>LEUHAN</t>
  </si>
  <si>
    <t>71370</t>
  </si>
  <si>
    <t>BAUDRIERES</t>
  </si>
  <si>
    <t>SAINTE-EULALIE-EN-ROYANS</t>
  </si>
  <si>
    <t>MORIGNY</t>
  </si>
  <si>
    <t>GERMONDANS</t>
  </si>
  <si>
    <t>VILLAINES-EN-DUESMOIS</t>
  </si>
  <si>
    <t>SEGOUFIELLE</t>
  </si>
  <si>
    <t>LUZILLE</t>
  </si>
  <si>
    <t>WALBACH</t>
  </si>
  <si>
    <t>LUCELLE</t>
  </si>
  <si>
    <t>CHAHAINS</t>
  </si>
  <si>
    <t>LIERAMONT</t>
  </si>
  <si>
    <t>SAINT-CYR-DE-SALERNE</t>
  </si>
  <si>
    <t>CONNELLES</t>
  </si>
  <si>
    <t>CHAMILLY</t>
  </si>
  <si>
    <t>NEUILLY-EN-DUN</t>
  </si>
  <si>
    <t>TOSTAT</t>
  </si>
  <si>
    <t>VENARSAL</t>
  </si>
  <si>
    <t>6270</t>
  </si>
  <si>
    <t>VILLENEUVE-LOUBET</t>
  </si>
  <si>
    <t>GERMONT</t>
  </si>
  <si>
    <t>LAMAGUERE</t>
  </si>
  <si>
    <t>GUNDERSHOFFEN</t>
  </si>
  <si>
    <t>TUSSON</t>
  </si>
  <si>
    <t>LA TOUR</t>
  </si>
  <si>
    <t>LA LOUPE</t>
  </si>
  <si>
    <t>COX</t>
  </si>
  <si>
    <t>COUARGUES</t>
  </si>
  <si>
    <t>XOUSSE</t>
  </si>
  <si>
    <t>PUYMOYEN</t>
  </si>
  <si>
    <t>VAUX-EN-VERMANDOIS</t>
  </si>
  <si>
    <t>SORBS</t>
  </si>
  <si>
    <t>MAULEVRIER</t>
  </si>
  <si>
    <t>SONNAC-SUR-L'HERS</t>
  </si>
  <si>
    <t>VILLENEUVE-LA-DONDAGRE</t>
  </si>
  <si>
    <t>26730</t>
  </si>
  <si>
    <t>LA BAUME-D'HOSTUN</t>
  </si>
  <si>
    <t>MONTFAUCON-MONTIGNE</t>
  </si>
  <si>
    <t>QUERIGUT</t>
  </si>
  <si>
    <t>ORMOY-LE-DAVIEN</t>
  </si>
  <si>
    <t>COLONZELLE</t>
  </si>
  <si>
    <t>POLIGNAC</t>
  </si>
  <si>
    <t>WICKERSCHWIHR</t>
  </si>
  <si>
    <t>BLERUAIS</t>
  </si>
  <si>
    <t>SAINTE-RADEGONDE-DES-NOYERS</t>
  </si>
  <si>
    <t>AZERAILLES</t>
  </si>
  <si>
    <t>DUNEAU</t>
  </si>
  <si>
    <t>MESSIA-SUR-SORNE</t>
  </si>
  <si>
    <t>BRAY</t>
  </si>
  <si>
    <t>LE MERZER</t>
  </si>
  <si>
    <t>17138</t>
  </si>
  <si>
    <t>SAINT-XANDRE</t>
  </si>
  <si>
    <t>VIC-LE-FESQ</t>
  </si>
  <si>
    <t>BEZINGHEM</t>
  </si>
  <si>
    <t>AZELOT</t>
  </si>
  <si>
    <t>CUCURON</t>
  </si>
  <si>
    <t>LANDREVILLE</t>
  </si>
  <si>
    <t>COINGS</t>
  </si>
  <si>
    <t>LESTREM</t>
  </si>
  <si>
    <t>LA CERLANGUE</t>
  </si>
  <si>
    <t>2B055</t>
  </si>
  <si>
    <t>CAMPITELLO</t>
  </si>
  <si>
    <t>NIVOLAS-VERMELLE</t>
  </si>
  <si>
    <t>13650</t>
  </si>
  <si>
    <t>MEYRARGUES</t>
  </si>
  <si>
    <t>MABLY</t>
  </si>
  <si>
    <t>CODOLET</t>
  </si>
  <si>
    <t>COIGNIERES</t>
  </si>
  <si>
    <t>HYEVRE-MAGNY</t>
  </si>
  <si>
    <t>CELLE-LEVESCAULT</t>
  </si>
  <si>
    <t>SAINT-GENIS-SUR-MENTHON</t>
  </si>
  <si>
    <t>SAINT-BONNET-DU-GARD</t>
  </si>
  <si>
    <t>97680</t>
  </si>
  <si>
    <t>TSINGONI</t>
  </si>
  <si>
    <t>97311</t>
  </si>
  <si>
    <t>ROURA</t>
  </si>
  <si>
    <t>ORLIAC</t>
  </si>
  <si>
    <t>TRUTTEMER-LE-GRAND</t>
  </si>
  <si>
    <t>CHASSAGNE-SAINT-DENIS</t>
  </si>
  <si>
    <t>FAUCOGNEY-ET-LA-MER</t>
  </si>
  <si>
    <t>GLOS-SUR-RISLE</t>
  </si>
  <si>
    <t>REMILLY-AILLICOURT</t>
  </si>
  <si>
    <t>CHATEAU-LARCHER</t>
  </si>
  <si>
    <t>MEYRIE</t>
  </si>
  <si>
    <t>PONT-DE-LABEAUME</t>
  </si>
  <si>
    <t>12560</t>
  </si>
  <si>
    <t>SAINT-LAURENT-D'OLT</t>
  </si>
  <si>
    <t>SAINT-JORY-LAS-BLOUX</t>
  </si>
  <si>
    <t>SAINT-SYMPHORIEN-LE-VALOIS</t>
  </si>
  <si>
    <t>RIVEL</t>
  </si>
  <si>
    <t>SAINTE-FOY-L'ARGENTIERE</t>
  </si>
  <si>
    <t>AVAILLES-THOUARSAIS</t>
  </si>
  <si>
    <t>MUGRON</t>
  </si>
  <si>
    <t>SAINT-RAMBERT-D'ALBON</t>
  </si>
  <si>
    <t>AUSSONCE</t>
  </si>
  <si>
    <t>ARBOUET-SUSSAUTE</t>
  </si>
  <si>
    <t>78940</t>
  </si>
  <si>
    <t>MILLEMONT</t>
  </si>
  <si>
    <t>ERROUVILLE</t>
  </si>
  <si>
    <t>BLANOT</t>
  </si>
  <si>
    <t>SAUCEDE</t>
  </si>
  <si>
    <t>SAINTE-LUNAISE</t>
  </si>
  <si>
    <t>GOULIEN</t>
  </si>
  <si>
    <t>LE CHATELET-SUR-RETOURNE</t>
  </si>
  <si>
    <t>MEULSON</t>
  </si>
  <si>
    <t>LA BOHALLE</t>
  </si>
  <si>
    <t>PRUILLE-LE-CHETIF</t>
  </si>
  <si>
    <t>BACOUEL</t>
  </si>
  <si>
    <t>MONTCHALONS</t>
  </si>
  <si>
    <t>VARISCOURT</t>
  </si>
  <si>
    <t>SAINT-LEGER-DE-FOUGERET</t>
  </si>
  <si>
    <t>AUBERGENVILLE</t>
  </si>
  <si>
    <t>ARZENC-D'APCHER</t>
  </si>
  <si>
    <t>CHAMPAGNEY</t>
  </si>
  <si>
    <t>CONDE-SUR-RISLE</t>
  </si>
  <si>
    <t>DOMART-SUR-LA-LUCE</t>
  </si>
  <si>
    <t>LALANDELLE</t>
  </si>
  <si>
    <t>SAINT-FIEL</t>
  </si>
  <si>
    <t>GIEL-COURTEILLES</t>
  </si>
  <si>
    <t>LICHTENBERG</t>
  </si>
  <si>
    <t>LEVAL</t>
  </si>
  <si>
    <t>SAINT-PAULET</t>
  </si>
  <si>
    <t>LA MADELEINE-DE-NONANCOURT</t>
  </si>
  <si>
    <t>CHISSEY-EN-MORVAN</t>
  </si>
  <si>
    <t>FORESTE</t>
  </si>
  <si>
    <t>SAINT-SEVE</t>
  </si>
  <si>
    <t>COURBEHAYE</t>
  </si>
  <si>
    <t>NAMPCEL</t>
  </si>
  <si>
    <t>SAINT-JULIEN-DES-POINTS</t>
  </si>
  <si>
    <t>MAXILLY-SUR-SAONE</t>
  </si>
  <si>
    <t>LOURQUEN</t>
  </si>
  <si>
    <t>AVAILLES-SUR-SEICHE</t>
  </si>
  <si>
    <t>VALDIEU-LUTRAN</t>
  </si>
  <si>
    <t>SAIZY</t>
  </si>
  <si>
    <t>AIX-LA-FAYETTE</t>
  </si>
  <si>
    <t>GOUY</t>
  </si>
  <si>
    <t>LE BOURGNEUF-LA-FORET</t>
  </si>
  <si>
    <t>SAINT-AUGUSTIN-DES-BOIS</t>
  </si>
  <si>
    <t>DEMANDOLX</t>
  </si>
  <si>
    <t>LA COULONCHE</t>
  </si>
  <si>
    <t>BAJONNETTE</t>
  </si>
  <si>
    <t>SONNEVILLE</t>
  </si>
  <si>
    <t>36320</t>
  </si>
  <si>
    <t>VILLEDIEU-SUR-INDRE</t>
  </si>
  <si>
    <t>PORTES-EN-VALDAINE</t>
  </si>
  <si>
    <t>SAINT-PIERRE-DE-MEAROZ</t>
  </si>
  <si>
    <t>SAINTE-CROIX-VALLEE-FRANCAISE</t>
  </si>
  <si>
    <t>ACY</t>
  </si>
  <si>
    <t>NOIRON-SUR-SEINE</t>
  </si>
  <si>
    <t>CUFFY</t>
  </si>
  <si>
    <t>76970</t>
  </si>
  <si>
    <t>GREMONVILLE</t>
  </si>
  <si>
    <t>SIGALENS</t>
  </si>
  <si>
    <t>BRIVES-CHARENSAC</t>
  </si>
  <si>
    <t>MOULAINVILLE</t>
  </si>
  <si>
    <t>MENTHEVILLE</t>
  </si>
  <si>
    <t>ROUVRAY</t>
  </si>
  <si>
    <t>BIEFVILLERS-LES-BAPAUME</t>
  </si>
  <si>
    <t>SOINDRES</t>
  </si>
  <si>
    <t>PARDAILHAN</t>
  </si>
  <si>
    <t>LE MESNIL-SUR-OGER</t>
  </si>
  <si>
    <t>TURSAC</t>
  </si>
  <si>
    <t>SAINTE-COLOMBE-DE-LA-COMMANDERIE</t>
  </si>
  <si>
    <t>4350</t>
  </si>
  <si>
    <t>MALIJAI</t>
  </si>
  <si>
    <t>CHIS</t>
  </si>
  <si>
    <t>78540</t>
  </si>
  <si>
    <t>CREVIC</t>
  </si>
  <si>
    <t>LE THILLAY</t>
  </si>
  <si>
    <t>CEZENS</t>
  </si>
  <si>
    <t>ORRET</t>
  </si>
  <si>
    <t>77167</t>
  </si>
  <si>
    <t>57635</t>
  </si>
  <si>
    <t>BICKENHOLTZ</t>
  </si>
  <si>
    <t>SAINT-SOZY</t>
  </si>
  <si>
    <t>13013</t>
  </si>
  <si>
    <t>MARSEILLE-13E--ARRONDISSEMENT</t>
  </si>
  <si>
    <t>VILLE-AU-MONTOIS</t>
  </si>
  <si>
    <t>BATTENANS-LES-MINES</t>
  </si>
  <si>
    <t>CERISY-LA-FORET</t>
  </si>
  <si>
    <t>20173</t>
  </si>
  <si>
    <t>2A358</t>
  </si>
  <si>
    <t>ZEVACO</t>
  </si>
  <si>
    <t>34340</t>
  </si>
  <si>
    <t>MONTGAUDRY</t>
  </si>
  <si>
    <t>COUTHURES-SUR-GARONNE</t>
  </si>
  <si>
    <t>MILLAC</t>
  </si>
  <si>
    <t>97190</t>
  </si>
  <si>
    <t>LE GOSIER</t>
  </si>
  <si>
    <t>PIGNICOURT</t>
  </si>
  <si>
    <t>PUYSSERAMPION</t>
  </si>
  <si>
    <t>MEAUCE</t>
  </si>
  <si>
    <t>BOUGY-LEZ-NEUVILLE</t>
  </si>
  <si>
    <t>FETERNES</t>
  </si>
  <si>
    <t>TOUFFREVILLE</t>
  </si>
  <si>
    <t>EXIDEUIL</t>
  </si>
  <si>
    <t>BREE</t>
  </si>
  <si>
    <t>TANCONVILLE</t>
  </si>
  <si>
    <t>97317</t>
  </si>
  <si>
    <t>APATOU</t>
  </si>
  <si>
    <t>80118</t>
  </si>
  <si>
    <t>LE QUESNEL</t>
  </si>
  <si>
    <t>71230</t>
  </si>
  <si>
    <t>SAINT-ROMAIN-SOUS-GOURDON</t>
  </si>
  <si>
    <t>CHOUX</t>
  </si>
  <si>
    <t>JEU-LES-BOIS</t>
  </si>
  <si>
    <t>BOURSAULT</t>
  </si>
  <si>
    <t>FONTANGES</t>
  </si>
  <si>
    <t>DOIX</t>
  </si>
  <si>
    <t>BERNOLSHEIM</t>
  </si>
  <si>
    <t>LE MESNIL-AUZOUF</t>
  </si>
  <si>
    <t>CRITEUIL-LA-MAGDELEINE</t>
  </si>
  <si>
    <t>ERNES</t>
  </si>
  <si>
    <t>PARIGNE-LE-POLIN</t>
  </si>
  <si>
    <t>EPERRAIS</t>
  </si>
  <si>
    <t>VERONNE</t>
  </si>
  <si>
    <t>COGNET</t>
  </si>
  <si>
    <t>LARUSCADE</t>
  </si>
  <si>
    <t>LIESVILLE-SUR-DOUVE</t>
  </si>
  <si>
    <t>CLAIREGOUTTE</t>
  </si>
  <si>
    <t>CHAMPALLEMENT</t>
  </si>
  <si>
    <t>56890</t>
  </si>
  <si>
    <t>MEUCON</t>
  </si>
  <si>
    <t>78121</t>
  </si>
  <si>
    <t>CRESPIERES</t>
  </si>
  <si>
    <t>ESTILLAC</t>
  </si>
  <si>
    <t>AVESNELLES</t>
  </si>
  <si>
    <t>MALAIN</t>
  </si>
  <si>
    <t>MENADES</t>
  </si>
  <si>
    <t>GABRIAC</t>
  </si>
  <si>
    <t>7500</t>
  </si>
  <si>
    <t>GUILHERAND-GRANGES</t>
  </si>
  <si>
    <t>QUET-EN-BEAUMONT</t>
  </si>
  <si>
    <t>ASPET</t>
  </si>
  <si>
    <t>BRIANNY</t>
  </si>
  <si>
    <t>SAINT-GERMAIN-DU-CRIOULT</t>
  </si>
  <si>
    <t>SAINT-PARDOUX</t>
  </si>
  <si>
    <t>SARCUS</t>
  </si>
  <si>
    <t>LA VILLE-AUX-CLERCS</t>
  </si>
  <si>
    <t>VIVANS</t>
  </si>
  <si>
    <t>16440</t>
  </si>
  <si>
    <t>CLAIX</t>
  </si>
  <si>
    <t>SAUVAGNAS</t>
  </si>
  <si>
    <t>MARCILLE-ROBERT</t>
  </si>
  <si>
    <t>MAURIES</t>
  </si>
  <si>
    <t>24750</t>
  </si>
  <si>
    <t>MARSANEIX</t>
  </si>
  <si>
    <t>60160</t>
  </si>
  <si>
    <t>MONTATAIRE</t>
  </si>
  <si>
    <t>SAINT-ETIENNE-LE-MOLARD</t>
  </si>
  <si>
    <t>PETIT-BERSAC</t>
  </si>
  <si>
    <t>DRUYES-LES-BELLES-FONTAINES</t>
  </si>
  <si>
    <t>FLAVIGNY-LE-GRAND-ET-BEAURAIN</t>
  </si>
  <si>
    <t>LUMBRES</t>
  </si>
  <si>
    <t>ORS</t>
  </si>
  <si>
    <t>GRASSENDORF</t>
  </si>
  <si>
    <t>NIEUL</t>
  </si>
  <si>
    <t>SAINT-QUENTIN-EN-TOURMONT</t>
  </si>
  <si>
    <t>SAINT-GEORGES-DES-AGOUTS</t>
  </si>
  <si>
    <t>HAUCONCOURT</t>
  </si>
  <si>
    <t>BROGNON</t>
  </si>
  <si>
    <t>JOUE-EN-CHARNIE</t>
  </si>
  <si>
    <t>BECELEUF</t>
  </si>
  <si>
    <t>SAINT-GERMAIN-L'HERM</t>
  </si>
  <si>
    <t>77184</t>
  </si>
  <si>
    <t>EMERAINVILLE</t>
  </si>
  <si>
    <t>ELEU-DIT-LEAUWETTE</t>
  </si>
  <si>
    <t>ARTHENAC</t>
  </si>
  <si>
    <t>ANNEBAULT</t>
  </si>
  <si>
    <t>AUBIGNY-EN-PLAINE</t>
  </si>
  <si>
    <t>ARTIGUELOUVE</t>
  </si>
  <si>
    <t>SAINT-CHRISTOPHE-DU-FOC</t>
  </si>
  <si>
    <t>TREMBLOIS-LES-ROCROI</t>
  </si>
  <si>
    <t>MONTGIVRAY</t>
  </si>
  <si>
    <t>CALIGNY</t>
  </si>
  <si>
    <t>VANDENESSE-EN-AUXOIS</t>
  </si>
  <si>
    <t>AGONES</t>
  </si>
  <si>
    <t>SAINT-MAURICE-PRES-PIONSAT</t>
  </si>
  <si>
    <t>HENU</t>
  </si>
  <si>
    <t>LONDIGNY</t>
  </si>
  <si>
    <t>BADAILHAC</t>
  </si>
  <si>
    <t>LIGNEVILLE</t>
  </si>
  <si>
    <t>GRECOURT</t>
  </si>
  <si>
    <t>SALLELES-D'AUDE</t>
  </si>
  <si>
    <t>LUSSAS</t>
  </si>
  <si>
    <t>THAL-MARMOUTIER</t>
  </si>
  <si>
    <t>ORTHEZ</t>
  </si>
  <si>
    <t>SERRUELLES</t>
  </si>
  <si>
    <t>NIEDERVISSE</t>
  </si>
  <si>
    <t>PILLAC</t>
  </si>
  <si>
    <t>SAINT-AVIT-DE-TARDES</t>
  </si>
  <si>
    <t>13110</t>
  </si>
  <si>
    <t>PORT-DE-BOUC</t>
  </si>
  <si>
    <t>SAINT-ROMAIN-ET-SAINT-CLEMENT</t>
  </si>
  <si>
    <t>VALLERY</t>
  </si>
  <si>
    <t>LENNON</t>
  </si>
  <si>
    <t>17510</t>
  </si>
  <si>
    <t>SEIGNE</t>
  </si>
  <si>
    <t>MOHON</t>
  </si>
  <si>
    <t>92390</t>
  </si>
  <si>
    <t>VILLENEUVE-LA-GARENNE</t>
  </si>
  <si>
    <t>ANIZY-LE-CHATEAU</t>
  </si>
  <si>
    <t>VONGES</t>
  </si>
  <si>
    <t>ORCEMONT</t>
  </si>
  <si>
    <t>SALLES-D'ARMAGNAC</t>
  </si>
  <si>
    <t>62950</t>
  </si>
  <si>
    <t>NOYELLES-GODAULT</t>
  </si>
  <si>
    <t>VILLERS-LA-MONTAGNE</t>
  </si>
  <si>
    <t>DRAIZE</t>
  </si>
  <si>
    <t>LUCON</t>
  </si>
  <si>
    <t>FOLCARDE</t>
  </si>
  <si>
    <t>CHAMBORD</t>
  </si>
  <si>
    <t>SAINT-PRIEST-LA-VETRE</t>
  </si>
  <si>
    <t>QUILEN</t>
  </si>
  <si>
    <t>93340</t>
  </si>
  <si>
    <t>LE RAINCY</t>
  </si>
  <si>
    <t>SAINTE-VALIERE</t>
  </si>
  <si>
    <t>ARROUEDE</t>
  </si>
  <si>
    <t>SAINT-COME</t>
  </si>
  <si>
    <t>FRANCAY</t>
  </si>
  <si>
    <t>SAINTE-MAURE-DE-PEYRIAC</t>
  </si>
  <si>
    <t>SAINT-PIERRE-DE-BAT</t>
  </si>
  <si>
    <t>RUPT-SUR-SAONE</t>
  </si>
  <si>
    <t>2B318</t>
  </si>
  <si>
    <t>TAGLIO-ISOLACCIO</t>
  </si>
  <si>
    <t>GERMIGNY-L'EVEQUE</t>
  </si>
  <si>
    <t>AHUN</t>
  </si>
  <si>
    <t>59285</t>
  </si>
  <si>
    <t>BUYSSCHEURE</t>
  </si>
  <si>
    <t>53440</t>
  </si>
  <si>
    <t>GRAZAY</t>
  </si>
  <si>
    <t>CHEY</t>
  </si>
  <si>
    <t>FONTENAI-SUR-ORNE</t>
  </si>
  <si>
    <t>NANTEUIL-SUR-MARNE</t>
  </si>
  <si>
    <t>PECORADE</t>
  </si>
  <si>
    <t>HAUCOURT</t>
  </si>
  <si>
    <t>91620</t>
  </si>
  <si>
    <t>CHAMPROND-EN-GATINE</t>
  </si>
  <si>
    <t>VIEUX-BOURG</t>
  </si>
  <si>
    <t>MONTJOYER</t>
  </si>
  <si>
    <t>VILLEFERRY</t>
  </si>
  <si>
    <t>BOIS-SAINTE-MARIE</t>
  </si>
  <si>
    <t>67400</t>
  </si>
  <si>
    <t>ILLKIRCH-GRAFFENSTADEN</t>
  </si>
  <si>
    <t>HEMONSTOIR</t>
  </si>
  <si>
    <t>NEUILH</t>
  </si>
  <si>
    <t>63740</t>
  </si>
  <si>
    <t>CISTERNES-LA-FORET</t>
  </si>
  <si>
    <t>JASNEY</t>
  </si>
  <si>
    <t>MONTAUVILLE</t>
  </si>
  <si>
    <t>MENNEVILLE</t>
  </si>
  <si>
    <t>ENGLOS</t>
  </si>
  <si>
    <t>VILLIEU-LOYES-MOLLON</t>
  </si>
  <si>
    <t>OFFRANVILLE</t>
  </si>
  <si>
    <t>SAINT-MARCEL-CAMPES</t>
  </si>
  <si>
    <t>TREMEOC</t>
  </si>
  <si>
    <t>MONTAGNY-LES-BEAUNE</t>
  </si>
  <si>
    <t>VEAUCHE</t>
  </si>
  <si>
    <t>SCHOENECK</t>
  </si>
  <si>
    <t>ALIEZE</t>
  </si>
  <si>
    <t>VALAVOIRE</t>
  </si>
  <si>
    <t>LAIGNE-EN-BELIN</t>
  </si>
  <si>
    <t>SAINT-FERREOL</t>
  </si>
  <si>
    <t>FRENES</t>
  </si>
  <si>
    <t>MEIGNE-LE-VICOMTE</t>
  </si>
  <si>
    <t>CONTREVOZ</t>
  </si>
  <si>
    <t>LOUZY</t>
  </si>
  <si>
    <t>LANTABAT</t>
  </si>
  <si>
    <t>CANNES-ET-CLAIRAN</t>
  </si>
  <si>
    <t>SAINT-SULPICE-LE-VERDON</t>
  </si>
  <si>
    <t>ESQUENNOY</t>
  </si>
  <si>
    <t>67206</t>
  </si>
  <si>
    <t>MITTELHAUSBERGEN</t>
  </si>
  <si>
    <t>SALVEZINES</t>
  </si>
  <si>
    <t>MONTCAVREL</t>
  </si>
  <si>
    <t>TRIGANCE</t>
  </si>
  <si>
    <t>GALEY</t>
  </si>
  <si>
    <t>MONT-DE-LAVAL</t>
  </si>
  <si>
    <t>SERVON-SUR-VILAINE</t>
  </si>
  <si>
    <t>SAINT-SORLIN-D'ARVES</t>
  </si>
  <si>
    <t>OGNON</t>
  </si>
  <si>
    <t>SAINT-ANTOINE-L'ABBAYE</t>
  </si>
  <si>
    <t>TANQUES</t>
  </si>
  <si>
    <t>LANTRIAC</t>
  </si>
  <si>
    <t>VAUCHELLES-LES-QUESNOY</t>
  </si>
  <si>
    <t>KEMPLICH</t>
  </si>
  <si>
    <t>77100</t>
  </si>
  <si>
    <t>NANTEUIL-LES-MEAUX</t>
  </si>
  <si>
    <t>SEMEACQ-BLACHON</t>
  </si>
  <si>
    <t>OINVILLE-SUR-MONTCIENT</t>
  </si>
  <si>
    <t>SARRANCOLIN</t>
  </si>
  <si>
    <t>38142</t>
  </si>
  <si>
    <t>LE FRENEY-D'OISANS</t>
  </si>
  <si>
    <t>SAINTE-DODE</t>
  </si>
  <si>
    <t>SAI</t>
  </si>
  <si>
    <t>MARCY-SOUS-MARLE</t>
  </si>
  <si>
    <t>95820</t>
  </si>
  <si>
    <t>BRUYERES-SUR-OISE</t>
  </si>
  <si>
    <t>THIERS</t>
  </si>
  <si>
    <t>CRISTOT</t>
  </si>
  <si>
    <t>SAINT-YBARD</t>
  </si>
  <si>
    <t>SERIGNAC-SUR-GARONNE</t>
  </si>
  <si>
    <t>LANRODEC</t>
  </si>
  <si>
    <t>HUSSEREN-WESSERLING</t>
  </si>
  <si>
    <t>AILLY-LE-HAUT-CLOCHER</t>
  </si>
  <si>
    <t>SAINT-PHILBERT-DES-CHAMPS</t>
  </si>
  <si>
    <t>69270</t>
  </si>
  <si>
    <t>FONTAINES-SUR-SAONE</t>
  </si>
  <si>
    <t>BALBINS</t>
  </si>
  <si>
    <t>LA CHAPELLE-AUBAREIL</t>
  </si>
  <si>
    <t>2A323</t>
  </si>
  <si>
    <t>TAVACO</t>
  </si>
  <si>
    <t>FREMAINVILLE</t>
  </si>
  <si>
    <t>67530</t>
  </si>
  <si>
    <t>OTTROTT</t>
  </si>
  <si>
    <t>VESOUL</t>
  </si>
  <si>
    <t>34240</t>
  </si>
  <si>
    <t>LAMALOU-LES-BAINS</t>
  </si>
  <si>
    <t>LIENCOURT</t>
  </si>
  <si>
    <t>FOMPERRON</t>
  </si>
  <si>
    <t>BLENOD-LES-TOUL</t>
  </si>
  <si>
    <t>MEGEVE</t>
  </si>
  <si>
    <t>SAVENES</t>
  </si>
  <si>
    <t>COULVAIN</t>
  </si>
  <si>
    <t>CHAILLAC</t>
  </si>
  <si>
    <t>MAUVAISIN</t>
  </si>
  <si>
    <t>LA CHAPELLE-MONTBRANDEIX</t>
  </si>
  <si>
    <t>POINVILLE</t>
  </si>
  <si>
    <t>LIEURON</t>
  </si>
  <si>
    <t>57680</t>
  </si>
  <si>
    <t>CHALLIGNAC</t>
  </si>
  <si>
    <t>LESNEVEN</t>
  </si>
  <si>
    <t>LE TILLEUL</t>
  </si>
  <si>
    <t>MERENS-LES-VALS</t>
  </si>
  <si>
    <t>20130</t>
  </si>
  <si>
    <t>2A065</t>
  </si>
  <si>
    <t>CARGESE</t>
  </si>
  <si>
    <t>BAFFIE</t>
  </si>
  <si>
    <t>76840</t>
  </si>
  <si>
    <t>HENOUVILLE</t>
  </si>
  <si>
    <t>SAINT-VALERY</t>
  </si>
  <si>
    <t>SAVENNES</t>
  </si>
  <si>
    <t>LA CHAPELLE-DU-NOYER</t>
  </si>
  <si>
    <t>MONTJOUX</t>
  </si>
  <si>
    <t>KERTZFELD</t>
  </si>
  <si>
    <t>FRANCON</t>
  </si>
  <si>
    <t>NOTRE-DAME-DE-SANILHAC</t>
  </si>
  <si>
    <t>THOISY-LE-DESERT</t>
  </si>
  <si>
    <t>FERRETTE</t>
  </si>
  <si>
    <t>GRON</t>
  </si>
  <si>
    <t>POMMEVIC</t>
  </si>
  <si>
    <t>ALMENECHES</t>
  </si>
  <si>
    <t>MAZERULLES</t>
  </si>
  <si>
    <t>LAVAL-SUR-DOULON</t>
  </si>
  <si>
    <t>57000/57050/57070</t>
  </si>
  <si>
    <t>METZ</t>
  </si>
  <si>
    <t>BIGNOUX</t>
  </si>
  <si>
    <t>MAUX</t>
  </si>
  <si>
    <t>LA REUNION</t>
  </si>
  <si>
    <t>ROUMENGOUX</t>
  </si>
  <si>
    <t>VILLERS-CANIVET</t>
  </si>
  <si>
    <t>LOUROUX-DE-BOUBLE</t>
  </si>
  <si>
    <t>GUMIANE</t>
  </si>
  <si>
    <t>PARCEY</t>
  </si>
  <si>
    <t>ANDEL</t>
  </si>
  <si>
    <t>ANTRAS</t>
  </si>
  <si>
    <t>L'ISLE-SUR-LA-SORGUE</t>
  </si>
  <si>
    <t>COURVIERES</t>
  </si>
  <si>
    <t>DURSTEL</t>
  </si>
  <si>
    <t>WEYERSHEIM</t>
  </si>
  <si>
    <t>VOLMUNSTER</t>
  </si>
  <si>
    <t>LE PASQUIER</t>
  </si>
  <si>
    <t>87270</t>
  </si>
  <si>
    <t>CHAPTELAT</t>
  </si>
  <si>
    <t>SAINT-QUENTIN-DU-DROPT</t>
  </si>
  <si>
    <t>4420</t>
  </si>
  <si>
    <t>PRADS-HAUTE-BLEONE</t>
  </si>
  <si>
    <t>DENEZE-SOUS-DOUE</t>
  </si>
  <si>
    <t>CIZANCOURT</t>
  </si>
  <si>
    <t>NORROIS</t>
  </si>
  <si>
    <t>SAINT-SERNIN</t>
  </si>
  <si>
    <t>ESTANCARBON</t>
  </si>
  <si>
    <t>AIGNAN</t>
  </si>
  <si>
    <t>32460</t>
  </si>
  <si>
    <t>PERCHEDE</t>
  </si>
  <si>
    <t>LES LUCS-SUR-BOULOGNE</t>
  </si>
  <si>
    <t>LA SALLE-EN-BEAUMONT</t>
  </si>
  <si>
    <t>LATOUR-BAS-ELNE</t>
  </si>
  <si>
    <t>LE CAMBOUT</t>
  </si>
  <si>
    <t>TREBEDAN</t>
  </si>
  <si>
    <t>ROZIERES-SUR-CRISE</t>
  </si>
  <si>
    <t>HILBESHEIM</t>
  </si>
  <si>
    <t>CHAUMONT-D'ANJOU</t>
  </si>
  <si>
    <t>SAINT-CHRISTOPHE-LE-JAJOLET</t>
  </si>
  <si>
    <t>ABERGEMENT-LE-PETIT</t>
  </si>
  <si>
    <t>RIBECOURT-DRESLINCOURT</t>
  </si>
  <si>
    <t>49190</t>
  </si>
  <si>
    <t>DENEE</t>
  </si>
  <si>
    <t>METABIEF</t>
  </si>
  <si>
    <t>TALCY</t>
  </si>
  <si>
    <t>44250</t>
  </si>
  <si>
    <t>SAINT-BREVIN-LES-PINS</t>
  </si>
  <si>
    <t>SAINT-REMY-DES-MONTS</t>
  </si>
  <si>
    <t>SAINT-MARTIN-SAINT-FIRMIN</t>
  </si>
  <si>
    <t>AVAUX</t>
  </si>
  <si>
    <t>ETREUX</t>
  </si>
  <si>
    <t>BORON</t>
  </si>
  <si>
    <t>LE MAS-D'ARTIGE</t>
  </si>
  <si>
    <t>VORGES</t>
  </si>
  <si>
    <t>VILLELOIN-COULANGE</t>
  </si>
  <si>
    <t>VILLEGATS</t>
  </si>
  <si>
    <t>NAIVES-ROSIERES</t>
  </si>
  <si>
    <t>MIMEURE</t>
  </si>
  <si>
    <t>22710</t>
  </si>
  <si>
    <t>PENVENAN</t>
  </si>
  <si>
    <t>LAGARDE</t>
  </si>
  <si>
    <t>PRAUTHOY</t>
  </si>
  <si>
    <t>SAINT-DENIS-DE-PILE</t>
  </si>
  <si>
    <t>FRESSAC</t>
  </si>
  <si>
    <t>YVRANDES</t>
  </si>
  <si>
    <t>WALDERSBACH</t>
  </si>
  <si>
    <t>LE GRAND-VILLAGE-PLAGE</t>
  </si>
  <si>
    <t>LABOUTARIE</t>
  </si>
  <si>
    <t>BAZOUGERS</t>
  </si>
  <si>
    <t>GIMEL-LES-CASCADES</t>
  </si>
  <si>
    <t>CASTILLON-EN-COUSERANS</t>
  </si>
  <si>
    <t>CHARNY</t>
  </si>
  <si>
    <t>CROETTWILLER</t>
  </si>
  <si>
    <t>HANNAPPES</t>
  </si>
  <si>
    <t>SAINT-PERREUX</t>
  </si>
  <si>
    <t>FRETIGNEY-ET-VELLOREILLE</t>
  </si>
  <si>
    <t>NOSSAGE-ET-BENEVENT</t>
  </si>
  <si>
    <t>ESCOULIS</t>
  </si>
  <si>
    <t>FLIPOU</t>
  </si>
  <si>
    <t>ANGEVILLE</t>
  </si>
  <si>
    <t>LES LOGES-SUR-BRECEY</t>
  </si>
  <si>
    <t>ALLES-SUR-DORDOGNE</t>
  </si>
  <si>
    <t>PEYRUSSE-MASSAS</t>
  </si>
  <si>
    <t>ANVEVILLE</t>
  </si>
  <si>
    <t>BETHANCOURT-EN-VAUX</t>
  </si>
  <si>
    <t>SAINT-LEGER-SUR-ROANNE</t>
  </si>
  <si>
    <t>VAGNAS</t>
  </si>
  <si>
    <t>45740</t>
  </si>
  <si>
    <t>LAILLY-EN-VAL</t>
  </si>
  <si>
    <t>RAILLICOURT</t>
  </si>
  <si>
    <t>GISSEY-SOUS-FLAVIGNY</t>
  </si>
  <si>
    <t>FLORENTIN-LA-CAPELLE</t>
  </si>
  <si>
    <t>SAINT-PIERRE-LE-BOST</t>
  </si>
  <si>
    <t>ANDARD</t>
  </si>
  <si>
    <t>69470</t>
  </si>
  <si>
    <t>THEL</t>
  </si>
  <si>
    <t>FORT-MOVILLE</t>
  </si>
  <si>
    <t>INAUMONT</t>
  </si>
  <si>
    <t>BEAUMONT-EN-DIOIS</t>
  </si>
  <si>
    <t>BELLOU-SUR-HUISNE</t>
  </si>
  <si>
    <t>LAVERNAT</t>
  </si>
  <si>
    <t>SAESSOLSHEIM</t>
  </si>
  <si>
    <t>AISONVILLE-ET-BERNOVILLE</t>
  </si>
  <si>
    <t>VOUZAN</t>
  </si>
  <si>
    <t>BANEUIL</t>
  </si>
  <si>
    <t>80820</t>
  </si>
  <si>
    <t>ARREST</t>
  </si>
  <si>
    <t>POMACLE</t>
  </si>
  <si>
    <t>THUGNY-TRUGNY</t>
  </si>
  <si>
    <t>BELPECH</t>
  </si>
  <si>
    <t>NOROLLES</t>
  </si>
  <si>
    <t>FOREST-MONTIERS</t>
  </si>
  <si>
    <t>81090</t>
  </si>
  <si>
    <t>LAGARRIGUE</t>
  </si>
  <si>
    <t>FLEURY-LA-FORET</t>
  </si>
  <si>
    <t>LE TREVOUX</t>
  </si>
  <si>
    <t>SAINS-LES-FRESSIN</t>
  </si>
  <si>
    <t>OBERVISSE</t>
  </si>
  <si>
    <t>MONTGENEVRE</t>
  </si>
  <si>
    <t>NIEDERSTEINBACH</t>
  </si>
  <si>
    <t>OUDRENNE</t>
  </si>
  <si>
    <t>NOGENT-L'ARTAUD</t>
  </si>
  <si>
    <t>97314</t>
  </si>
  <si>
    <t>SAUL</t>
  </si>
  <si>
    <t>BANNE</t>
  </si>
  <si>
    <t>PALLUAUD</t>
  </si>
  <si>
    <t>HAVERNAS</t>
  </si>
  <si>
    <t>PONTORSON</t>
  </si>
  <si>
    <t>SERRE-LES-SAPINS</t>
  </si>
  <si>
    <t>TARSAC</t>
  </si>
  <si>
    <t>SAINT-GERVAIS-SUR-ROUBION</t>
  </si>
  <si>
    <t>BONNETABLE</t>
  </si>
  <si>
    <t>HURTIERES</t>
  </si>
  <si>
    <t>VOISE</t>
  </si>
  <si>
    <t>ROUPERROUX-LE-COQUET</t>
  </si>
  <si>
    <t>PONTEILS-ET-BRESIS</t>
  </si>
  <si>
    <t>EUVILLE</t>
  </si>
  <si>
    <t>62153</t>
  </si>
  <si>
    <t>SOUCHEZ</t>
  </si>
  <si>
    <t>BUIS-SUR-DAMVILLE</t>
  </si>
  <si>
    <t>ANNEYRON</t>
  </si>
  <si>
    <t>REVIGNY</t>
  </si>
  <si>
    <t>ERVILLERS</t>
  </si>
  <si>
    <t>PLOUGAR</t>
  </si>
  <si>
    <t>LA MADELAINE-SOUS-MONTREUIL</t>
  </si>
  <si>
    <t>ORMOY-LA-RIVIERE</t>
  </si>
  <si>
    <t>CASSANIOUZE</t>
  </si>
  <si>
    <t>MONTHUREL</t>
  </si>
  <si>
    <t>PONTS-ET-MARAIS</t>
  </si>
  <si>
    <t>SAINT-OUEN-LE-BRISOULT</t>
  </si>
  <si>
    <t>COUSSEGREY</t>
  </si>
  <si>
    <t>ALLENWILLER</t>
  </si>
  <si>
    <t>CHEVILLON-SUR-HUILLARD</t>
  </si>
  <si>
    <t>CHAMPVALLON</t>
  </si>
  <si>
    <t>ISSOUDUN-LETRIEIX</t>
  </si>
  <si>
    <t>ORGEANS-BLANCHEFONTAINE</t>
  </si>
  <si>
    <t>59122</t>
  </si>
  <si>
    <t>REXPOEDE</t>
  </si>
  <si>
    <t>CORNUS</t>
  </si>
  <si>
    <t>TAUXIERES-MUTRY</t>
  </si>
  <si>
    <t>NAJAC</t>
  </si>
  <si>
    <t>SAINT-SAUVEUR-DES-LANDES</t>
  </si>
  <si>
    <t>SISTERON</t>
  </si>
  <si>
    <t>CEYSSAC</t>
  </si>
  <si>
    <t>59219</t>
  </si>
  <si>
    <t>ETROEUNGT</t>
  </si>
  <si>
    <t>CORSAINT</t>
  </si>
  <si>
    <t>LA CHAPELLE-SAINT-FLORENT</t>
  </si>
  <si>
    <t>BERNIERES-LE-PATRY</t>
  </si>
  <si>
    <t>TERNAY</t>
  </si>
  <si>
    <t>VELENNES</t>
  </si>
  <si>
    <t>BLIGNY-LE-SEC</t>
  </si>
  <si>
    <t>LECT</t>
  </si>
  <si>
    <t>IVRY-EN-MONTAGNE</t>
  </si>
  <si>
    <t>LESTANVILLE</t>
  </si>
  <si>
    <t>ECOTAY-L'OLME</t>
  </si>
  <si>
    <t>LA TRINITE-SURZUR</t>
  </si>
  <si>
    <t>VESLY</t>
  </si>
  <si>
    <t>BONY</t>
  </si>
  <si>
    <t>CONCOTS</t>
  </si>
  <si>
    <t>TARSACQ</t>
  </si>
  <si>
    <t>PALLADUC</t>
  </si>
  <si>
    <t>CORBERE-ABERES</t>
  </si>
  <si>
    <t>2B101</t>
  </si>
  <si>
    <t>CROCE</t>
  </si>
  <si>
    <t>BAISSEY</t>
  </si>
  <si>
    <t>NOGENT-LE-PHAYE</t>
  </si>
  <si>
    <t>ARMBOUTS-CAPPEL</t>
  </si>
  <si>
    <t>VILLENEUVE-LECUSSAN</t>
  </si>
  <si>
    <t>GABRIAS</t>
  </si>
  <si>
    <t>CRESPIAN</t>
  </si>
  <si>
    <t>CHAMPNIERS</t>
  </si>
  <si>
    <t>CHAMOUILLEY</t>
  </si>
  <si>
    <t>IZOTGES</t>
  </si>
  <si>
    <t>LA NOUE</t>
  </si>
  <si>
    <t>BOLOZON</t>
  </si>
  <si>
    <t>MOISENAY</t>
  </si>
  <si>
    <t>VALDAHON</t>
  </si>
  <si>
    <t>OUAINVILLE</t>
  </si>
  <si>
    <t>THIEFFRANS</t>
  </si>
  <si>
    <t>LALLEU</t>
  </si>
  <si>
    <t>MOUETTES</t>
  </si>
  <si>
    <t>EYGURANDE</t>
  </si>
  <si>
    <t>CHAMBRONCOURT</t>
  </si>
  <si>
    <t>TORCE-VIVIERS-EN-CHARNIE</t>
  </si>
  <si>
    <t>FONTAINE-HENRY</t>
  </si>
  <si>
    <t>MAGNIEU</t>
  </si>
  <si>
    <t>SOLUTRE-POUILLY</t>
  </si>
  <si>
    <t>LE FETE</t>
  </si>
  <si>
    <t>SAINT-EVARZEC</t>
  </si>
  <si>
    <t>CLOHARS-FOUESNANT</t>
  </si>
  <si>
    <t>GAUCHIN-LEGAL</t>
  </si>
  <si>
    <t>SAINT-REMY-DE-CHAUDES-AIGUES</t>
  </si>
  <si>
    <t>REMONDANS-VAIVRE</t>
  </si>
  <si>
    <t>BREUILLET</t>
  </si>
  <si>
    <t>AVRICOURT</t>
  </si>
  <si>
    <t>LIOUX-LES-MONGES</t>
  </si>
  <si>
    <t>TRESCLEOUX</t>
  </si>
  <si>
    <t>ARGENTEUIL-SUR-ARMANCON</t>
  </si>
  <si>
    <t>LE QUESNE</t>
  </si>
  <si>
    <t>SAINT-ETIENNE-DE-L'OLM</t>
  </si>
  <si>
    <t>AMBLY-SUR-MEUSE</t>
  </si>
  <si>
    <t>MARVEJOLS</t>
  </si>
  <si>
    <t>MONCEAUX-AU-PERCHE</t>
  </si>
  <si>
    <t>ESMERY-HALLON</t>
  </si>
  <si>
    <t>VILLEBADIN</t>
  </si>
  <si>
    <t>VIGNIEU</t>
  </si>
  <si>
    <t>BRETONCELLES</t>
  </si>
  <si>
    <t>33126</t>
  </si>
  <si>
    <t>FRONSAC</t>
  </si>
  <si>
    <t>CIRES</t>
  </si>
  <si>
    <t>SANCERGUES</t>
  </si>
  <si>
    <t>PEYRIAT</t>
  </si>
  <si>
    <t>MARCILLY-OGNY</t>
  </si>
  <si>
    <t>VAROUVILLE</t>
  </si>
  <si>
    <t>GARROSSE</t>
  </si>
  <si>
    <t>SAVIGNY-SUR-CLAIRIS</t>
  </si>
  <si>
    <t>LIGNAN-DE-BORDEAUX</t>
  </si>
  <si>
    <t>VILLENEUVE-SOUS-PYMONT</t>
  </si>
  <si>
    <t>23110</t>
  </si>
  <si>
    <t>RETERRE</t>
  </si>
  <si>
    <t>BETTANCOURT-LA-LONGUE</t>
  </si>
  <si>
    <t>NEUFMESNIL</t>
  </si>
  <si>
    <t>GREMEVILLERS</t>
  </si>
  <si>
    <t>EYRANS</t>
  </si>
  <si>
    <t>ESTANG</t>
  </si>
  <si>
    <t>TREIGNAC</t>
  </si>
  <si>
    <t>MONTS-SUR-GUESNES</t>
  </si>
  <si>
    <t>ARIGNAC</t>
  </si>
  <si>
    <t>LONGVILLERS</t>
  </si>
  <si>
    <t>LANEUVELOTTE</t>
  </si>
  <si>
    <t>33133</t>
  </si>
  <si>
    <t>GALGON</t>
  </si>
  <si>
    <t>LA TOURETTE</t>
  </si>
  <si>
    <t>VESC</t>
  </si>
  <si>
    <t>SAINT-MARTIN-SUR-OUST</t>
  </si>
  <si>
    <t>LAFAT</t>
  </si>
  <si>
    <t>SAMBIN</t>
  </si>
  <si>
    <t>LES REPOTS</t>
  </si>
  <si>
    <t>CHATEAUNEUF-MIRAVAIL</t>
  </si>
  <si>
    <t>MARMINIAC</t>
  </si>
  <si>
    <t>MOUCHAN</t>
  </si>
  <si>
    <t>ORSONNETTE</t>
  </si>
  <si>
    <t>FRANCARVILLE</t>
  </si>
  <si>
    <t>CHAILLES</t>
  </si>
  <si>
    <t>DOMELIERS</t>
  </si>
  <si>
    <t>MORY</t>
  </si>
  <si>
    <t>ENTRAIGUES</t>
  </si>
  <si>
    <t>MILLIERES</t>
  </si>
  <si>
    <t>LICOURT</t>
  </si>
  <si>
    <t>MANSENCOME</t>
  </si>
  <si>
    <t>CONFLANS-SUR-SEINE</t>
  </si>
  <si>
    <t>COURGEOUT</t>
  </si>
  <si>
    <t>MALAFRETAZ</t>
  </si>
  <si>
    <t>27730</t>
  </si>
  <si>
    <t>REMOVILLE</t>
  </si>
  <si>
    <t>TREMBLOIS-LES-CARIGNAN</t>
  </si>
  <si>
    <t>SAINT-COUAT-DU-RAZES</t>
  </si>
  <si>
    <t>FREYCHENET</t>
  </si>
  <si>
    <t>63790</t>
  </si>
  <si>
    <t>MUROL</t>
  </si>
  <si>
    <t>SAINT-ETIENNE-DE-VICQ</t>
  </si>
  <si>
    <t>LANNEBERT</t>
  </si>
  <si>
    <t>ENCOURTIECH</t>
  </si>
  <si>
    <t>DUN-SUR-GRANDRY</t>
  </si>
  <si>
    <t>VIEILMOULIN</t>
  </si>
  <si>
    <t>BOIS-DE-CHAMP</t>
  </si>
  <si>
    <t>BIOL</t>
  </si>
  <si>
    <t>SAINT-GOR</t>
  </si>
  <si>
    <t>SAINT-PIERRE-LES-ETIEUX</t>
  </si>
  <si>
    <t>ECROSNES</t>
  </si>
  <si>
    <t>CHAUMONT-LE-BOIS</t>
  </si>
  <si>
    <t>DAMBENOIT-LES-COLOMBE</t>
  </si>
  <si>
    <t>LUC-SUR-AUDE</t>
  </si>
  <si>
    <t>ROTTIER</t>
  </si>
  <si>
    <t>SAINT-AMANS-VALTORET</t>
  </si>
  <si>
    <t>VELOSNES</t>
  </si>
  <si>
    <t>SAINT-HILAIRE-D'OZILHAN</t>
  </si>
  <si>
    <t>UCHIZY</t>
  </si>
  <si>
    <t>LA CHAPELLE-D'ALIGNE</t>
  </si>
  <si>
    <t>ARZACQ-ARRAZIGUET</t>
  </si>
  <si>
    <t>MALLERET</t>
  </si>
  <si>
    <t>VINCELLES</t>
  </si>
  <si>
    <t>VAULNAVEYS-LE-BAS</t>
  </si>
  <si>
    <t>44650</t>
  </si>
  <si>
    <t>TOUVOIS</t>
  </si>
  <si>
    <t>PAULHAN</t>
  </si>
  <si>
    <t>VILLIERS-SAINT-FREDERIC</t>
  </si>
  <si>
    <t>12510</t>
  </si>
  <si>
    <t>OLEMPS</t>
  </si>
  <si>
    <t>SAINT-CIVRAN</t>
  </si>
  <si>
    <t>PRESAILLES</t>
  </si>
  <si>
    <t>COUSSA</t>
  </si>
  <si>
    <t>13240</t>
  </si>
  <si>
    <t>SEPTEMES-LES-VALLONS</t>
  </si>
  <si>
    <t>MONCE-EN-SAOSNOIS</t>
  </si>
  <si>
    <t>SALLES-DE-BELVES</t>
  </si>
  <si>
    <t>BERTHOLENE</t>
  </si>
  <si>
    <t>12780</t>
  </si>
  <si>
    <t>SAINT-LEONS</t>
  </si>
  <si>
    <t>SAALES</t>
  </si>
  <si>
    <t>SAINT-MAURICE-LA-SOUTERRAINE</t>
  </si>
  <si>
    <t>OCHES</t>
  </si>
  <si>
    <t>LAVEYRUNE</t>
  </si>
  <si>
    <t>BALLEROY</t>
  </si>
  <si>
    <t>SEGRE</t>
  </si>
  <si>
    <t>MORZINE</t>
  </si>
  <si>
    <t>CAMBRONNE-LES-RIBECOURT</t>
  </si>
  <si>
    <t>PIERREFITTE-ES-BOIS</t>
  </si>
  <si>
    <t>BOUVAINCOURT-SUR-BRESLE</t>
  </si>
  <si>
    <t>LA CHAPELLE-CHAUSSEE</t>
  </si>
  <si>
    <t>DONCOURT-LES-LONGUYON</t>
  </si>
  <si>
    <t>OUZOUER-LE-DOYEN</t>
  </si>
  <si>
    <t>GY</t>
  </si>
  <si>
    <t>SEGUR-LES-VILLAS</t>
  </si>
  <si>
    <t>BANVOU</t>
  </si>
  <si>
    <t>GUIPRY</t>
  </si>
  <si>
    <t>VENEROLLES</t>
  </si>
  <si>
    <t>BELGEARD</t>
  </si>
  <si>
    <t>ORAINVILLE</t>
  </si>
  <si>
    <t>GORBIO</t>
  </si>
  <si>
    <t>SCIEURAC-ET-FLOURES</t>
  </si>
  <si>
    <t>TIL-CHATEL</t>
  </si>
  <si>
    <t>IGNAUX</t>
  </si>
  <si>
    <t>PEYROUZET</t>
  </si>
  <si>
    <t>MENOU</t>
  </si>
  <si>
    <t>BOURG-BLANC</t>
  </si>
  <si>
    <t>GHISSIGNIES</t>
  </si>
  <si>
    <t>SAINT-SAIRE</t>
  </si>
  <si>
    <t>MONTGERAIN</t>
  </si>
  <si>
    <t>LUDON-MEDOC</t>
  </si>
  <si>
    <t>KALTENHOUSE</t>
  </si>
  <si>
    <t>LONGPONT-SUR-ORGE</t>
  </si>
  <si>
    <t>SAINT-MERY</t>
  </si>
  <si>
    <t>BRANNAY</t>
  </si>
  <si>
    <t>95220</t>
  </si>
  <si>
    <t>HERBLAY</t>
  </si>
  <si>
    <t>CHAMPCEY</t>
  </si>
  <si>
    <t>FONTES</t>
  </si>
  <si>
    <t>PONTIS</t>
  </si>
  <si>
    <t>SAINT-CLEMENT-LES-PLACES</t>
  </si>
  <si>
    <t>NESLES-LA-VALLEE</t>
  </si>
  <si>
    <t>FRAISSE</t>
  </si>
  <si>
    <t>BLIGNY</t>
  </si>
  <si>
    <t>COBRIEUX</t>
  </si>
  <si>
    <t>SEPVRET</t>
  </si>
  <si>
    <t>SAINT-PIERRE-DES-TRIPIERS</t>
  </si>
  <si>
    <t>SAINT-AVIT-RIVIERE</t>
  </si>
  <si>
    <t>MIRABEL</t>
  </si>
  <si>
    <t>CONSEGUDES</t>
  </si>
  <si>
    <t>COURCEBOEUFS</t>
  </si>
  <si>
    <t>BASSAN</t>
  </si>
  <si>
    <t>29870</t>
  </si>
  <si>
    <t>LANDEDA</t>
  </si>
  <si>
    <t>29680</t>
  </si>
  <si>
    <t>ROSCOFF</t>
  </si>
  <si>
    <t>LACRES</t>
  </si>
  <si>
    <t>SAINT-REMY-AUX-BOIS</t>
  </si>
  <si>
    <t>ATUR</t>
  </si>
  <si>
    <t>TREOGAN</t>
  </si>
  <si>
    <t>SAINTE-AGATHE</t>
  </si>
  <si>
    <t>SAINT-MARCEL-LES-SAUZET</t>
  </si>
  <si>
    <t>SAINT-HERBLON</t>
  </si>
  <si>
    <t>HUMES-JORQUENAY</t>
  </si>
  <si>
    <t>54270</t>
  </si>
  <si>
    <t>ESSEY-LES-NANCY</t>
  </si>
  <si>
    <t>LES ANDELYS</t>
  </si>
  <si>
    <t>ALLEMANT</t>
  </si>
  <si>
    <t>SAINT-SENIER-SOUS-AVRANCHES</t>
  </si>
  <si>
    <t>JEURRE</t>
  </si>
  <si>
    <t>ANGOUS</t>
  </si>
  <si>
    <t>SOUBRAN</t>
  </si>
  <si>
    <t>SAINT-LOUIS-DE-MONTFERRAND</t>
  </si>
  <si>
    <t>SAINT-SAUVIER</t>
  </si>
  <si>
    <t>PFETTISHEIM</t>
  </si>
  <si>
    <t>LOISIEUX</t>
  </si>
  <si>
    <t>COURTEMANCHE</t>
  </si>
  <si>
    <t>78950</t>
  </si>
  <si>
    <t>GAMBAIS</t>
  </si>
  <si>
    <t>22650</t>
  </si>
  <si>
    <t>TREGON</t>
  </si>
  <si>
    <t>MONTOLIVET</t>
  </si>
  <si>
    <t>SAINT-VICTOR-ET-MELVIEU</t>
  </si>
  <si>
    <t>ROCHER</t>
  </si>
  <si>
    <t>GRENANT</t>
  </si>
  <si>
    <t>VILLELOUP</t>
  </si>
  <si>
    <t>SAINT-MAURICE-SUR-ADOUR</t>
  </si>
  <si>
    <t>74660</t>
  </si>
  <si>
    <t>VALLORCINE</t>
  </si>
  <si>
    <t>MATRINGHEM</t>
  </si>
  <si>
    <t>97123</t>
  </si>
  <si>
    <t>BAILLIF</t>
  </si>
  <si>
    <t>62221</t>
  </si>
  <si>
    <t>NOYELLES-SOUS-LENS</t>
  </si>
  <si>
    <t>LUSSAC-LES-CHATEAUX</t>
  </si>
  <si>
    <t>AUTOREILLE</t>
  </si>
  <si>
    <t>WIERRE-EFFROY</t>
  </si>
  <si>
    <t>MARBAIX</t>
  </si>
  <si>
    <t>97240</t>
  </si>
  <si>
    <t>LE FRANCOIS</t>
  </si>
  <si>
    <t>74970</t>
  </si>
  <si>
    <t>MARIGNIER</t>
  </si>
  <si>
    <t>SENNEVIERES</t>
  </si>
  <si>
    <t>67520</t>
  </si>
  <si>
    <t>KIRCHHEIM</t>
  </si>
  <si>
    <t>JAULDES</t>
  </si>
  <si>
    <t>CALLENGEVILLE</t>
  </si>
  <si>
    <t>PETIT-AUVERNE</t>
  </si>
  <si>
    <t>LE MONTEIL</t>
  </si>
  <si>
    <t>CLENAY</t>
  </si>
  <si>
    <t>QUATZENHEIM</t>
  </si>
  <si>
    <t>SAINT-MARDS-DE-FRESNE</t>
  </si>
  <si>
    <t>BELLOCQ</t>
  </si>
  <si>
    <t>FRESNOY-LE-CHATEAU</t>
  </si>
  <si>
    <t>MONES</t>
  </si>
  <si>
    <t>64140</t>
  </si>
  <si>
    <t>BILLERE</t>
  </si>
  <si>
    <t>SALINELLES</t>
  </si>
  <si>
    <t>VIHIERS</t>
  </si>
  <si>
    <t>BETPLAN</t>
  </si>
  <si>
    <t>SARTES</t>
  </si>
  <si>
    <t>SAINTE-FOY</t>
  </si>
  <si>
    <t>SAVIGNY-LE-SEC</t>
  </si>
  <si>
    <t>MONTSOUE</t>
  </si>
  <si>
    <t>BACONNES</t>
  </si>
  <si>
    <t>44522</t>
  </si>
  <si>
    <t>POUILLE-LES-COTEAUX</t>
  </si>
  <si>
    <t>LES PIARDS</t>
  </si>
  <si>
    <t>CHAVOY</t>
  </si>
  <si>
    <t>COSQUEVILLE</t>
  </si>
  <si>
    <t>SAINT-NICOLAS-DE-SOMMAIRE</t>
  </si>
  <si>
    <t>COINCHES</t>
  </si>
  <si>
    <t>81310</t>
  </si>
  <si>
    <t>66250</t>
  </si>
  <si>
    <t>SAINT-LAURENT-DE-LA-SALANQUE</t>
  </si>
  <si>
    <t>SAINT-ELIPH</t>
  </si>
  <si>
    <t>GRANDVAUX</t>
  </si>
  <si>
    <t>SAINT-JULIEN-DU-TOURNEL</t>
  </si>
  <si>
    <t>56760</t>
  </si>
  <si>
    <t>PENESTIN</t>
  </si>
  <si>
    <t>87190</t>
  </si>
  <si>
    <t>VILLEFAVARD</t>
  </si>
  <si>
    <t>95000/95800</t>
  </si>
  <si>
    <t>CERGY</t>
  </si>
  <si>
    <t>ANCTEVILLE</t>
  </si>
  <si>
    <t>REVEST-DU-BION</t>
  </si>
  <si>
    <t>CHAMPDOR</t>
  </si>
  <si>
    <t>LA MEILLERAIE-TILLAY</t>
  </si>
  <si>
    <t>BAILLE</t>
  </si>
  <si>
    <t>VAUDONCOURT</t>
  </si>
  <si>
    <t>SAINT-AGIL</t>
  </si>
  <si>
    <t>CURBIGNY</t>
  </si>
  <si>
    <t>PEVANGE</t>
  </si>
  <si>
    <t>BRICONVILLE</t>
  </si>
  <si>
    <t>SAINT-SERVAIS</t>
  </si>
  <si>
    <t>SAINT-BONNET-DES-QUARTS</t>
  </si>
  <si>
    <t>LA ROCHENARD</t>
  </si>
  <si>
    <t>BUXY</t>
  </si>
  <si>
    <t>ESPERCE</t>
  </si>
  <si>
    <t>CASTELFERRUS</t>
  </si>
  <si>
    <t>BLACOURT</t>
  </si>
  <si>
    <t>BAUDEMONT</t>
  </si>
  <si>
    <t>NERSAC</t>
  </si>
  <si>
    <t>84500</t>
  </si>
  <si>
    <t>BOLLENE</t>
  </si>
  <si>
    <t>RILHAC-LASTOURS</t>
  </si>
  <si>
    <t>EPERNAY-SOUS-GEVREY</t>
  </si>
  <si>
    <t>SARDIEU</t>
  </si>
  <si>
    <t>ERCUIS</t>
  </si>
  <si>
    <t>LENTILLAC-SAINT-BLAISE</t>
  </si>
  <si>
    <t>HULTEHOUSE</t>
  </si>
  <si>
    <t>BALNOT-LA-GRANGE</t>
  </si>
  <si>
    <t>JENZAT</t>
  </si>
  <si>
    <t>GUIZANCOURT</t>
  </si>
  <si>
    <t>APPEVILLE-ANNEBAULT</t>
  </si>
  <si>
    <t>HECMANVILLE</t>
  </si>
  <si>
    <t>MAS-CABARDES</t>
  </si>
  <si>
    <t>SAINT-QUENTIN-LA-TOUR</t>
  </si>
  <si>
    <t>78370</t>
  </si>
  <si>
    <t>PLAISIR</t>
  </si>
  <si>
    <t>VISSAC-AUTEYRAC</t>
  </si>
  <si>
    <t>ROUTELLE</t>
  </si>
  <si>
    <t>ALLERY</t>
  </si>
  <si>
    <t>CHENOVES</t>
  </si>
  <si>
    <t>CHARIEZ</t>
  </si>
  <si>
    <t>TORCE</t>
  </si>
  <si>
    <t>ESSERTINES-EN-CHATELNEUF</t>
  </si>
  <si>
    <t>FAMECHON</t>
  </si>
  <si>
    <t>PALAIRAC</t>
  </si>
  <si>
    <t>CORMATIN</t>
  </si>
  <si>
    <t>CHERONVILLIERS</t>
  </si>
  <si>
    <t>BIERNE</t>
  </si>
  <si>
    <t>MAINZAC</t>
  </si>
  <si>
    <t>LA CROIX-DE-LA-ROCHETTE</t>
  </si>
  <si>
    <t>BALLONS</t>
  </si>
  <si>
    <t>TILLEUL-DAME-AGNES</t>
  </si>
  <si>
    <t>QUESSOY</t>
  </si>
  <si>
    <t>SAINT-PERE-SUR-LOIRE</t>
  </si>
  <si>
    <t>87240</t>
  </si>
  <si>
    <t>SAINT-LAURENT-LES-EGLISES</t>
  </si>
  <si>
    <t>SAINT-PAUL-MONT-PENIT</t>
  </si>
  <si>
    <t>BOULBON</t>
  </si>
  <si>
    <t>GISCOS</t>
  </si>
  <si>
    <t>LOIRE-SUR-RHONE</t>
  </si>
  <si>
    <t>MALVILLERS</t>
  </si>
  <si>
    <t>CHERISAY</t>
  </si>
  <si>
    <t>BALIRACQ-MAUMUSSON</t>
  </si>
  <si>
    <t>SAINT-GEORGES-DE-MONTAIGU</t>
  </si>
  <si>
    <t>MINIAC-MORVAN</t>
  </si>
  <si>
    <t>AUBEGUIMONT</t>
  </si>
  <si>
    <t>LANDERNEAU</t>
  </si>
  <si>
    <t>TINCRY</t>
  </si>
  <si>
    <t>HEUGUEVILLE-SUR-SIENNE</t>
  </si>
  <si>
    <t>SAINT-ANDRE-CAPCEZE</t>
  </si>
  <si>
    <t>MILLEVACHES</t>
  </si>
  <si>
    <t>CONFRACOURT</t>
  </si>
  <si>
    <t>LA NEUVILLE-EN-TOURNE-A-FUY</t>
  </si>
  <si>
    <t>AULNAY</t>
  </si>
  <si>
    <t>VIESSOIX</t>
  </si>
  <si>
    <t>BIDARRAY</t>
  </si>
  <si>
    <t>GENOUILLY</t>
  </si>
  <si>
    <t>SENAC</t>
  </si>
  <si>
    <t>LA CHAPELLE-THEMER</t>
  </si>
  <si>
    <t>MANAS-BASTANOUS</t>
  </si>
  <si>
    <t>SAINT-JEAN-DE-MARUEJOLS-ET-AVEJAN</t>
  </si>
  <si>
    <t>CAYLUS</t>
  </si>
  <si>
    <t>SAINTE-EULALIE</t>
  </si>
  <si>
    <t>17440</t>
  </si>
  <si>
    <t>AYTRE</t>
  </si>
  <si>
    <t>FRANCOULES</t>
  </si>
  <si>
    <t>LA COURTETE</t>
  </si>
  <si>
    <t>SAINT-JEAN-LACHALM</t>
  </si>
  <si>
    <t>LOSCOUET-SUR-MEU</t>
  </si>
  <si>
    <t>BAREGES</t>
  </si>
  <si>
    <t>LAVIEVILLE</t>
  </si>
  <si>
    <t>CROSVILLE-LA-VIEILLE</t>
  </si>
  <si>
    <t>VIEVY-LE-RAYE</t>
  </si>
  <si>
    <t>2B042</t>
  </si>
  <si>
    <t>BORGO</t>
  </si>
  <si>
    <t>PANGE</t>
  </si>
  <si>
    <t>DEHERIES</t>
  </si>
  <si>
    <t>SAINT-NICOLAS-DES-BOIS</t>
  </si>
  <si>
    <t>SAINT-HILAIRE-D'ESTISSAC</t>
  </si>
  <si>
    <t>ALLEYRAS</t>
  </si>
  <si>
    <t>CHAVANGES</t>
  </si>
  <si>
    <t>ESCORPAIN</t>
  </si>
  <si>
    <t>VIELS-MAISONS</t>
  </si>
  <si>
    <t>LANNEPLAA</t>
  </si>
  <si>
    <t>CHAMPCELLA</t>
  </si>
  <si>
    <t>SAINT-THURIAL</t>
  </si>
  <si>
    <t>ROSIERES-EN-SANTERRE</t>
  </si>
  <si>
    <t>CAVAN</t>
  </si>
  <si>
    <t>PRUILLE</t>
  </si>
  <si>
    <t>PLOUGASNOU</t>
  </si>
  <si>
    <t>LEINTREY</t>
  </si>
  <si>
    <t>TORCHEFELON</t>
  </si>
  <si>
    <t>MALBOUHANS</t>
  </si>
  <si>
    <t>OUTREPONT</t>
  </si>
  <si>
    <t>COULIMER</t>
  </si>
  <si>
    <t>DAMVIX</t>
  </si>
  <si>
    <t>AUDEVILLE</t>
  </si>
  <si>
    <t>LA FERTE-IMBAULT</t>
  </si>
  <si>
    <t>PONTRUET</t>
  </si>
  <si>
    <t>MEILHAUD</t>
  </si>
  <si>
    <t>SAINT-PERE</t>
  </si>
  <si>
    <t>MESNIL-VERCLIVES</t>
  </si>
  <si>
    <t>BEZENAC</t>
  </si>
  <si>
    <t>93400</t>
  </si>
  <si>
    <t>CHAMPEAUX</t>
  </si>
  <si>
    <t>AUNAY-SOUS-CRECY</t>
  </si>
  <si>
    <t>GRISY-SUR-SEINE</t>
  </si>
  <si>
    <t>75018</t>
  </si>
  <si>
    <t>PARIS-18E-ARRONDISSEMENT</t>
  </si>
  <si>
    <t>TRESSES</t>
  </si>
  <si>
    <t>GRENY</t>
  </si>
  <si>
    <t>BELLEGARDE-EN-FOREZ</t>
  </si>
  <si>
    <t>KNOERSHEIM</t>
  </si>
  <si>
    <t>COURTOIN</t>
  </si>
  <si>
    <t>47240</t>
  </si>
  <si>
    <t>BON-ENCONTRE</t>
  </si>
  <si>
    <t>LE VERGER</t>
  </si>
  <si>
    <t>31000/31100/31200/31300/31400/31500</t>
  </si>
  <si>
    <t>TOULOUSE</t>
  </si>
  <si>
    <t>4260</t>
  </si>
  <si>
    <t>ALLOS</t>
  </si>
  <si>
    <t>OUST-MAREST</t>
  </si>
  <si>
    <t>BEMECOURT</t>
  </si>
  <si>
    <t>50890</t>
  </si>
  <si>
    <t>CONDE-SUR-VIRE</t>
  </si>
  <si>
    <t>SAINT-JULIEN-D'ARPAON</t>
  </si>
  <si>
    <t>BAUDREMONT</t>
  </si>
  <si>
    <t>SAINT-AIGNAN-SUR-ROE</t>
  </si>
  <si>
    <t>BISCHWILLER</t>
  </si>
  <si>
    <t>59117</t>
  </si>
  <si>
    <t>WERVICQ-SUD</t>
  </si>
  <si>
    <t>13320</t>
  </si>
  <si>
    <t>BOUC-BEL-AIR</t>
  </si>
  <si>
    <t>TAILLEPIED</t>
  </si>
  <si>
    <t>MAILLY-LE-CHATEAU</t>
  </si>
  <si>
    <t>PAILLOLES</t>
  </si>
  <si>
    <t>DORNOT</t>
  </si>
  <si>
    <t>BIARS-SUR-CERE</t>
  </si>
  <si>
    <t>BETHENCOURT-SUR-SOMME</t>
  </si>
  <si>
    <t>PONTAMAFREY-MONTPASCAL</t>
  </si>
  <si>
    <t>SAINT-CESAIRE</t>
  </si>
  <si>
    <t>CHENOU</t>
  </si>
  <si>
    <t>59171</t>
  </si>
  <si>
    <t>HORNAING</t>
  </si>
  <si>
    <t>REMERING</t>
  </si>
  <si>
    <t>68116</t>
  </si>
  <si>
    <t>GUEWENHEIM</t>
  </si>
  <si>
    <t>SAINTE-SABINE-SUR-LONGEVE</t>
  </si>
  <si>
    <t>SEVEUX</t>
  </si>
  <si>
    <t>LOGONNA-DAOULAS</t>
  </si>
  <si>
    <t>RY</t>
  </si>
  <si>
    <t>DEYCIMONT</t>
  </si>
  <si>
    <t>REMILLY</t>
  </si>
  <si>
    <t>VAL-DE-ROULANS</t>
  </si>
  <si>
    <t>MONTBELIARDOT</t>
  </si>
  <si>
    <t>LE VILLEY</t>
  </si>
  <si>
    <t>CHAMPIGNEUL-CHAMPAGNE</t>
  </si>
  <si>
    <t>COLOMBY-SUR-THAON</t>
  </si>
  <si>
    <t>CASTELS</t>
  </si>
  <si>
    <t>MARS-SUR-ALLIER</t>
  </si>
  <si>
    <t>SAINT-MARTIN-LACAUSSADE</t>
  </si>
  <si>
    <t>35135</t>
  </si>
  <si>
    <t>CHANTEPIE</t>
  </si>
  <si>
    <t>ERAGNY-SUR-EPTE</t>
  </si>
  <si>
    <t>LAFOX</t>
  </si>
  <si>
    <t>59267</t>
  </si>
  <si>
    <t>FLESQUIERES</t>
  </si>
  <si>
    <t>ANGLARS-NOZAC</t>
  </si>
  <si>
    <t>CAUSSE-BEGON</t>
  </si>
  <si>
    <t>COMBLEUX</t>
  </si>
  <si>
    <t>COURCELLES-CHAUSSY</t>
  </si>
  <si>
    <t>LABROSSE</t>
  </si>
  <si>
    <t>FRESNE-LE-PLAN</t>
  </si>
  <si>
    <t>COLIGNY</t>
  </si>
  <si>
    <t>VICHEREY</t>
  </si>
  <si>
    <t>MONTAGNOLE</t>
  </si>
  <si>
    <t>NIEURLET</t>
  </si>
  <si>
    <t>VAULX-VRAUCOURT</t>
  </si>
  <si>
    <t>SAINT-PIERRE-LES-NEMOURS</t>
  </si>
  <si>
    <t>47450</t>
  </si>
  <si>
    <t>SAINT-HILAIRE-DE-LUSIGNAN</t>
  </si>
  <si>
    <t>SEGUR-LE-CHATEAU</t>
  </si>
  <si>
    <t>CENAC</t>
  </si>
  <si>
    <t>SAINT-MARTIAL-SUR-NE</t>
  </si>
  <si>
    <t>BOULAGES</t>
  </si>
  <si>
    <t>BUEIL</t>
  </si>
  <si>
    <t>VENOUSE</t>
  </si>
  <si>
    <t>SAINT-MESLIN-DU-BOSC</t>
  </si>
  <si>
    <t>BELHADE</t>
  </si>
  <si>
    <t>TOURS-EN-VIMEU</t>
  </si>
  <si>
    <t>SAINT-MAURICE-SUR-VINGEANNE</t>
  </si>
  <si>
    <t>LAVIEU</t>
  </si>
  <si>
    <t>97229</t>
  </si>
  <si>
    <t>LES TROIS-ILETS</t>
  </si>
  <si>
    <t>LA CHAPELLE-EN-VALGAUDEMAR</t>
  </si>
  <si>
    <t>MASCARAAS-HARON</t>
  </si>
  <si>
    <t>SAINT-REGIS-DU-COIN</t>
  </si>
  <si>
    <t>LE VIEUX-CERIER</t>
  </si>
  <si>
    <t>SAINT-AVAUGOURD-DES-LANDES</t>
  </si>
  <si>
    <t>TRAINEL</t>
  </si>
  <si>
    <t>OURCHES</t>
  </si>
  <si>
    <t>POURSAY-GARNAUD</t>
  </si>
  <si>
    <t>SAINT-SYMPHORIEN-DE-THENIERES</t>
  </si>
  <si>
    <t>LOUVILLIERS-EN-DROUAIS</t>
  </si>
  <si>
    <t>RUNAN</t>
  </si>
  <si>
    <t>COURTIES</t>
  </si>
  <si>
    <t>FLOYON</t>
  </si>
  <si>
    <t>COUVIGNON</t>
  </si>
  <si>
    <t>DAMPIERRE-SUR-LINOTTE</t>
  </si>
  <si>
    <t>AFFOUX</t>
  </si>
  <si>
    <t>38830</t>
  </si>
  <si>
    <t>SAINT-PIERRE-D'ALLEVARD</t>
  </si>
  <si>
    <t>CAMARSAC</t>
  </si>
  <si>
    <t>VAUCOURTOIS</t>
  </si>
  <si>
    <t>RUPT-AUX-NONAINS</t>
  </si>
  <si>
    <t>VAL-ET-CHATILLON</t>
  </si>
  <si>
    <t>VERDELOT</t>
  </si>
  <si>
    <t>ESPAGNAC</t>
  </si>
  <si>
    <t>CONTREMOULINS</t>
  </si>
  <si>
    <t>HUISSEAU-EN-BEAUCE</t>
  </si>
  <si>
    <t>CHEPPY</t>
  </si>
  <si>
    <t>SAINT-PIERRE-DE-COLE</t>
  </si>
  <si>
    <t>27860</t>
  </si>
  <si>
    <t>HEUDICOURT</t>
  </si>
  <si>
    <t>MICHELBACH-LE-BAS</t>
  </si>
  <si>
    <t>MAIZY</t>
  </si>
  <si>
    <t>AUBUSSON-D'AUVERGNE</t>
  </si>
  <si>
    <t>CHATEAUNEUF-LE-ROUGE</t>
  </si>
  <si>
    <t>MIGRON</t>
  </si>
  <si>
    <t>92420</t>
  </si>
  <si>
    <t>VAUCRESSON</t>
  </si>
  <si>
    <t>ESPIUTE</t>
  </si>
  <si>
    <t>COUTERNE</t>
  </si>
  <si>
    <t>BRUSSON</t>
  </si>
  <si>
    <t>74960</t>
  </si>
  <si>
    <t>MEYTHET</t>
  </si>
  <si>
    <t>BERJOU</t>
  </si>
  <si>
    <t>MAUCOR</t>
  </si>
  <si>
    <t>SURBA</t>
  </si>
  <si>
    <t>93300</t>
  </si>
  <si>
    <t>AUBERVILLIERS</t>
  </si>
  <si>
    <t>MARNAVES</t>
  </si>
  <si>
    <t>22780</t>
  </si>
  <si>
    <t>PLOUGRAS</t>
  </si>
  <si>
    <t>LA SALVETAT-SUR-AGOUT</t>
  </si>
  <si>
    <t>SOMMEVAL</t>
  </si>
  <si>
    <t>DIVES</t>
  </si>
  <si>
    <t>23340</t>
  </si>
  <si>
    <t>BAUDREVILLE</t>
  </si>
  <si>
    <t>SARON-SUR-AUBE</t>
  </si>
  <si>
    <t>EPINEUIL-LE-FLEURIEL</t>
  </si>
  <si>
    <t>CONDAT-SUR-TRINCOU</t>
  </si>
  <si>
    <t>GRATREUIL</t>
  </si>
  <si>
    <t>COLOMBE</t>
  </si>
  <si>
    <t>MARTRES-SUR-MORGE</t>
  </si>
  <si>
    <t>NURIEUX-VOLOGNAT</t>
  </si>
  <si>
    <t>LAVELINE-DU-HOUX</t>
  </si>
  <si>
    <t>ESTIBEAUX</t>
  </si>
  <si>
    <t>OBRECHIES</t>
  </si>
  <si>
    <t>BOISSEDE</t>
  </si>
  <si>
    <t>ESMOULIERES</t>
  </si>
  <si>
    <t>SAINT-PIERRE-DES-LOGES</t>
  </si>
  <si>
    <t>LA VIEUX-RUE</t>
  </si>
  <si>
    <t>NASBINALS</t>
  </si>
  <si>
    <t>MOISSAC-BELLEVUE</t>
  </si>
  <si>
    <t>VAUX-EN-DIEULET</t>
  </si>
  <si>
    <t>DIGOIN</t>
  </si>
  <si>
    <t>SAINT-MARC-JAUMEGARDE</t>
  </si>
  <si>
    <t>PUBLY</t>
  </si>
  <si>
    <t>ROCHETAILLEE-SUR-SAONE</t>
  </si>
  <si>
    <t>RIGNY-SAINT-MARTIN</t>
  </si>
  <si>
    <t>BADAROUX</t>
  </si>
  <si>
    <t>MATEMALE</t>
  </si>
  <si>
    <t>DENNEBROEUCQ</t>
  </si>
  <si>
    <t>VILLAFANS</t>
  </si>
  <si>
    <t>FONTGUENAND</t>
  </si>
  <si>
    <t>33125</t>
  </si>
  <si>
    <t>LE TUZAN</t>
  </si>
  <si>
    <t>AMPILLY-LE-SEC</t>
  </si>
  <si>
    <t>TAILLECAVAT</t>
  </si>
  <si>
    <t>VIRAZEIL</t>
  </si>
  <si>
    <t>VILLIERS-LE-BOIS</t>
  </si>
  <si>
    <t>SAINT-FIACRE</t>
  </si>
  <si>
    <t>SAINT-LEGER-LA-MONTAGNE</t>
  </si>
  <si>
    <t>GROS-CHASTANG</t>
  </si>
  <si>
    <t>CAMBON-LES-LAVAUR</t>
  </si>
  <si>
    <t>59152</t>
  </si>
  <si>
    <t>GRUSON</t>
  </si>
  <si>
    <t>BLANZAY-SUR-BOUTONNE</t>
  </si>
  <si>
    <t>EPEGARD</t>
  </si>
  <si>
    <t>VANCLANS</t>
  </si>
  <si>
    <t>BRIEUX</t>
  </si>
  <si>
    <t>ARQUEVES</t>
  </si>
  <si>
    <t>VACQUIERES</t>
  </si>
  <si>
    <t>PREUX-AU-SART</t>
  </si>
  <si>
    <t>LE MESNILBUS</t>
  </si>
  <si>
    <t>LEYRAT</t>
  </si>
  <si>
    <t>SAINT-LAURENT-DES-AUTELS</t>
  </si>
  <si>
    <t>REVEL-TOURDAN</t>
  </si>
  <si>
    <t>COLOMBIERS-DU-PLESSIS</t>
  </si>
  <si>
    <t>CAVILLARGUES</t>
  </si>
  <si>
    <t>SEMENTRON</t>
  </si>
  <si>
    <t>SAINT-JEURES</t>
  </si>
  <si>
    <t>48320</t>
  </si>
  <si>
    <t>QUEZAC</t>
  </si>
  <si>
    <t>FECOCOURT</t>
  </si>
  <si>
    <t>AIGUEBLANCHE</t>
  </si>
  <si>
    <t>PANCY-COURTECON</t>
  </si>
  <si>
    <t>FAUCON</t>
  </si>
  <si>
    <t>SAINT-MARTIN-D'HEUILLE</t>
  </si>
  <si>
    <t>SEGNY</t>
  </si>
  <si>
    <t>AVESNES-EN-VAL</t>
  </si>
  <si>
    <t>ROMEGOUX</t>
  </si>
  <si>
    <t>PLOUNEOUR-MENEZ</t>
  </si>
  <si>
    <t>MOISSELLES</t>
  </si>
  <si>
    <t>CASTELNAU-DE-MANDAILLES</t>
  </si>
  <si>
    <t>CABREROLLES</t>
  </si>
  <si>
    <t>AVALLON</t>
  </si>
  <si>
    <t>THOUARSAIS-BOUILDROUX</t>
  </si>
  <si>
    <t>NOLLEVAL</t>
  </si>
  <si>
    <t>FONTENAY-SUR-MER</t>
  </si>
  <si>
    <t>JURQUES</t>
  </si>
  <si>
    <t>SAINT-AMANDIN</t>
  </si>
  <si>
    <t>ARNAGE</t>
  </si>
  <si>
    <t>95480</t>
  </si>
  <si>
    <t>PIERRELAYE</t>
  </si>
  <si>
    <t>BLEIGNY-LE-CARREAU</t>
  </si>
  <si>
    <t>53940</t>
  </si>
  <si>
    <t>AHUILLE</t>
  </si>
  <si>
    <t>GARDEGAN-ET-TOURTIRAC</t>
  </si>
  <si>
    <t>4600</t>
  </si>
  <si>
    <t>MONTFORT</t>
  </si>
  <si>
    <t>LA CHAPELLE-ONZERAIN</t>
  </si>
  <si>
    <t>WISMES</t>
  </si>
  <si>
    <t>VILLERS-DEVANT-DUN</t>
  </si>
  <si>
    <t>SAINT-URCIZE</t>
  </si>
  <si>
    <t>SUZY</t>
  </si>
  <si>
    <t>SAINT-GERMAIN-DU-PUCH</t>
  </si>
  <si>
    <t>ARLEUX</t>
  </si>
  <si>
    <t>HARGNIES</t>
  </si>
  <si>
    <t>78870</t>
  </si>
  <si>
    <t>BAILLY</t>
  </si>
  <si>
    <t>INGRANNES</t>
  </si>
  <si>
    <t>BEAUCLAIR</t>
  </si>
  <si>
    <t>LANGUIMBERG</t>
  </si>
  <si>
    <t>BOIS-D'AMONT</t>
  </si>
  <si>
    <t>LHERY</t>
  </si>
  <si>
    <t>LE THUEL</t>
  </si>
  <si>
    <t>BUICOURT</t>
  </si>
  <si>
    <t>EPOUVILLE</t>
  </si>
  <si>
    <t>FONTAINE-LE-SEC</t>
  </si>
  <si>
    <t>BOURG-ET-COMIN</t>
  </si>
  <si>
    <t>62600</t>
  </si>
  <si>
    <t>BERCK</t>
  </si>
  <si>
    <t>SAVIGNAC-MONA</t>
  </si>
  <si>
    <t>MORTEMART</t>
  </si>
  <si>
    <t>FONS-SUR-LUSSAN</t>
  </si>
  <si>
    <t>VILLERS-EN-CAUCHIES</t>
  </si>
  <si>
    <t>BURES-LES-MONTS</t>
  </si>
  <si>
    <t>TANNOIS</t>
  </si>
  <si>
    <t>CIVRIEUX-D'AZERGUES</t>
  </si>
  <si>
    <t>HACOURT</t>
  </si>
  <si>
    <t>BOISBRETEAU</t>
  </si>
  <si>
    <t>ESTRUN</t>
  </si>
  <si>
    <t>LE BAR-SUR-LOUP</t>
  </si>
  <si>
    <t>SERMIZELLES</t>
  </si>
  <si>
    <t>VERS</t>
  </si>
  <si>
    <t>LES DEUX-VILLES</t>
  </si>
  <si>
    <t>COURCHAMPS</t>
  </si>
  <si>
    <t>LANTENAY</t>
  </si>
  <si>
    <t>GOURNAY-LOIZE</t>
  </si>
  <si>
    <t>MONTEIGNET-SUR-L'ANDELOT</t>
  </si>
  <si>
    <t>OURVILLE-EN-CAUX</t>
  </si>
  <si>
    <t>VILLACERF</t>
  </si>
  <si>
    <t>MANIQUERVILLE</t>
  </si>
  <si>
    <t>NOVION-PORCIEN</t>
  </si>
  <si>
    <t>ORCIVAL</t>
  </si>
  <si>
    <t>CHAMPAGNE-SUR-VINGEANNE</t>
  </si>
  <si>
    <t>SAINT-SULPICE-DE-GRIMBOUVILLE</t>
  </si>
  <si>
    <t>VABRE-TIZAC</t>
  </si>
  <si>
    <t>GURMENCON</t>
  </si>
  <si>
    <t>BELLENOD-SUR-SEINE</t>
  </si>
  <si>
    <t>VANNECROCQ</t>
  </si>
  <si>
    <t>MOUFLAINES</t>
  </si>
  <si>
    <t>OGEVILLER</t>
  </si>
  <si>
    <t>26760</t>
  </si>
  <si>
    <t>MONTELEGER</t>
  </si>
  <si>
    <t>VRIANGE</t>
  </si>
  <si>
    <t>OURDON</t>
  </si>
  <si>
    <t>SAINT-OUEN-SUR-ITON</t>
  </si>
  <si>
    <t>THILLOIS</t>
  </si>
  <si>
    <t>MAGNY-VERNOIS</t>
  </si>
  <si>
    <t>MEJANNES-LE-CLAP</t>
  </si>
  <si>
    <t>SAUVIGNEY-LES-PESMES</t>
  </si>
  <si>
    <t>VALLENTIGNY</t>
  </si>
  <si>
    <t>CURTIL-VERGY</t>
  </si>
  <si>
    <t>LA PORCHERIE</t>
  </si>
  <si>
    <t>31490</t>
  </si>
  <si>
    <t>BRAX</t>
  </si>
  <si>
    <t>LOUZIGNAC</t>
  </si>
  <si>
    <t>COMPREIGNAC</t>
  </si>
  <si>
    <t>LORIGNAC</t>
  </si>
  <si>
    <t>GRINDORFF-BIZING</t>
  </si>
  <si>
    <t>SAINTE-PALLAYE</t>
  </si>
  <si>
    <t>CAZOULS-LES-BEZIERS</t>
  </si>
  <si>
    <t>VIELVERGE</t>
  </si>
  <si>
    <t>APPENAI-SOUS-BELLEME</t>
  </si>
  <si>
    <t>SIERENTZ</t>
  </si>
  <si>
    <t>30940</t>
  </si>
  <si>
    <t>SAINT-ANDRE-DE-VALBORGNE</t>
  </si>
  <si>
    <t>GUERCHY</t>
  </si>
  <si>
    <t>63950</t>
  </si>
  <si>
    <t>SAINT-SAUVES-D'AUVERGNE</t>
  </si>
  <si>
    <t>MERCUES</t>
  </si>
  <si>
    <t>68550</t>
  </si>
  <si>
    <t>SAINT-AMARIN</t>
  </si>
  <si>
    <t>SEES</t>
  </si>
  <si>
    <t>AUMELAS</t>
  </si>
  <si>
    <t>COMBRES</t>
  </si>
  <si>
    <t>FONTAINE-LES-VERVINS</t>
  </si>
  <si>
    <t>DERCHIGNY</t>
  </si>
  <si>
    <t>VENDRANGES</t>
  </si>
  <si>
    <t>COMBOVIN</t>
  </si>
  <si>
    <t>GEZ</t>
  </si>
  <si>
    <t>31670</t>
  </si>
  <si>
    <t>LABEGE</t>
  </si>
  <si>
    <t>64210</t>
  </si>
  <si>
    <t>AHETZE</t>
  </si>
  <si>
    <t>RONDEFONTAINE</t>
  </si>
  <si>
    <t>BILHAC</t>
  </si>
  <si>
    <t>DURAVEL</t>
  </si>
  <si>
    <t>77190</t>
  </si>
  <si>
    <t>DAMMARIE-LES-LYS</t>
  </si>
  <si>
    <t>39310/01410</t>
  </si>
  <si>
    <t>LAJOUX</t>
  </si>
  <si>
    <t>SERCHES</t>
  </si>
  <si>
    <t>20234</t>
  </si>
  <si>
    <t>2B179</t>
  </si>
  <si>
    <t>NOVALE</t>
  </si>
  <si>
    <t>TOURNOISIS</t>
  </si>
  <si>
    <t>DAMPIERRE-EN-YVELINES</t>
  </si>
  <si>
    <t>BOMBON</t>
  </si>
  <si>
    <t>BRAGELOGNE-BEAUVOIR</t>
  </si>
  <si>
    <t>FULLEREN</t>
  </si>
  <si>
    <t>VILLECHENEVE</t>
  </si>
  <si>
    <t>SAINT-GERVAIS-EN-BELIN</t>
  </si>
  <si>
    <t>LA CHAPELLE-SAINT-MAURICE</t>
  </si>
  <si>
    <t>BERULLE</t>
  </si>
  <si>
    <t>2B025</t>
  </si>
  <si>
    <t>AVAPESSA</t>
  </si>
  <si>
    <t>MIGNAVILLERS</t>
  </si>
  <si>
    <t>CHAMBORET</t>
  </si>
  <si>
    <t>BOUQUEMONT</t>
  </si>
  <si>
    <t>EPREVILLE-EN-LIEUVIN</t>
  </si>
  <si>
    <t>VELLEFAUX</t>
  </si>
  <si>
    <t>PREDEFIN</t>
  </si>
  <si>
    <t>SAINT-GILLES-CROIX-DE-VIE</t>
  </si>
  <si>
    <t>LA CHAPELLE-MOUTILS</t>
  </si>
  <si>
    <t>AUCHY-LEZ-ORCHIES</t>
  </si>
  <si>
    <t>VILLIERS-SUR-SEINE</t>
  </si>
  <si>
    <t>HAUTEROCHE</t>
  </si>
  <si>
    <t>NATZWILLER</t>
  </si>
  <si>
    <t>ARGENTON</t>
  </si>
  <si>
    <t>LONGECHAUX</t>
  </si>
  <si>
    <t>LOUBILLE</t>
  </si>
  <si>
    <t>REILLY</t>
  </si>
  <si>
    <t>PEYRUSSE-VIEILLE</t>
  </si>
  <si>
    <t>VERDILLE</t>
  </si>
  <si>
    <t>SOUZY-LA-BRICHE</t>
  </si>
  <si>
    <t>PLAINEMONT</t>
  </si>
  <si>
    <t>3110</t>
  </si>
  <si>
    <t>CHARMEIL</t>
  </si>
  <si>
    <t>NEUHAEUSEL</t>
  </si>
  <si>
    <t>LA VARENNE</t>
  </si>
  <si>
    <t>TRAMEZAIGUES</t>
  </si>
  <si>
    <t>29730</t>
  </si>
  <si>
    <t>GUILVINEC</t>
  </si>
  <si>
    <t>BALANOD</t>
  </si>
  <si>
    <t>SAINT-MARTIN-DES-BESACES</t>
  </si>
  <si>
    <t>STRENQUELS</t>
  </si>
  <si>
    <t>PALLUAU</t>
  </si>
  <si>
    <t>ARBOUSSOLS</t>
  </si>
  <si>
    <t>AUGUAISE</t>
  </si>
  <si>
    <t>SAVY-BERLETTE</t>
  </si>
  <si>
    <t>MIALOS</t>
  </si>
  <si>
    <t>JULIENAS</t>
  </si>
  <si>
    <t>URDENS</t>
  </si>
  <si>
    <t>MONSAGUEL</t>
  </si>
  <si>
    <t>JOGANVILLE</t>
  </si>
  <si>
    <t>VETRIGNE</t>
  </si>
  <si>
    <t>LUNEGARDE</t>
  </si>
  <si>
    <t>LONGCHAUMOIS</t>
  </si>
  <si>
    <t>PRISCHES</t>
  </si>
  <si>
    <t>ORLIAC-DE-BAR</t>
  </si>
  <si>
    <t>BRUSVILY</t>
  </si>
  <si>
    <t>CHEFFREVILLE-TONNENCOURT</t>
  </si>
  <si>
    <t>KURTZENHOUSE</t>
  </si>
  <si>
    <t>CHASSILLE</t>
  </si>
  <si>
    <t>GARNAY</t>
  </si>
  <si>
    <t>LA MAGDELEINE</t>
  </si>
  <si>
    <t>PONT-DU-NAVOY</t>
  </si>
  <si>
    <t>FRESNES-EN-WOEVRE</t>
  </si>
  <si>
    <t>LABECEDE-LAURAGAIS</t>
  </si>
  <si>
    <t>SAINT-ILLIERS-LE-BOIS</t>
  </si>
  <si>
    <t>FRECOURT</t>
  </si>
  <si>
    <t>MEHARICOURT</t>
  </si>
  <si>
    <t>SAINT-AMADOU</t>
  </si>
  <si>
    <t>OSSES</t>
  </si>
  <si>
    <t>MOLITG-LES-BAINS</t>
  </si>
  <si>
    <t>SAINT-GERVAIS</t>
  </si>
  <si>
    <t>RAMBAUD</t>
  </si>
  <si>
    <t>BARNEVILLE-CARTERET</t>
  </si>
  <si>
    <t>POURNOY-LA-CHETIVE</t>
  </si>
  <si>
    <t>SAINT-LAURENT-DU-MOTTAY</t>
  </si>
  <si>
    <t>LE GAVRE</t>
  </si>
  <si>
    <t>SAINT-SAUVEUR-LA-POMMERAYE</t>
  </si>
  <si>
    <t>NOGENT-LE-BERNARD</t>
  </si>
  <si>
    <t>MAISNIL-LES-RUITZ</t>
  </si>
  <si>
    <t>GRIPPORT</t>
  </si>
  <si>
    <t>OUROUER</t>
  </si>
  <si>
    <t>78810</t>
  </si>
  <si>
    <t>DAVRON</t>
  </si>
  <si>
    <t>BURES</t>
  </si>
  <si>
    <t>MERCUER</t>
  </si>
  <si>
    <t>VIAZAC</t>
  </si>
  <si>
    <t>MAUBEUGE</t>
  </si>
  <si>
    <t>LACOMBE</t>
  </si>
  <si>
    <t>33130</t>
  </si>
  <si>
    <t>BEGLES</t>
  </si>
  <si>
    <t>MONTIGNY-SUR-CRECY</t>
  </si>
  <si>
    <t>SAINT-JEAN-DE-THURAC</t>
  </si>
  <si>
    <t>ASNIERES-EN-BESSIN</t>
  </si>
  <si>
    <t>BOISSET</t>
  </si>
  <si>
    <t>34920</t>
  </si>
  <si>
    <t>LE CRES</t>
  </si>
  <si>
    <t>59750</t>
  </si>
  <si>
    <t>FEIGNIES</t>
  </si>
  <si>
    <t>SAINT-UZE</t>
  </si>
  <si>
    <t>SPECHBACH-LE-HAUT</t>
  </si>
  <si>
    <t>LA CHAPELLE-BERTIN</t>
  </si>
  <si>
    <t>SAINT-JULIEN-LABROUSSE</t>
  </si>
  <si>
    <t>LA MONCELLE</t>
  </si>
  <si>
    <t>95800</t>
  </si>
  <si>
    <t>COURDIMANCHE</t>
  </si>
  <si>
    <t>JAULGES</t>
  </si>
  <si>
    <t>BLIES-GUERSVILLER</t>
  </si>
  <si>
    <t>ATTIGNAT</t>
  </si>
  <si>
    <t>ETABLE</t>
  </si>
  <si>
    <t>44190</t>
  </si>
  <si>
    <t>BOUSSAY</t>
  </si>
  <si>
    <t>ESVES-LE-MOUTIER</t>
  </si>
  <si>
    <t>BAGNEAUX</t>
  </si>
  <si>
    <t>LOUATRE</t>
  </si>
  <si>
    <t>WALSCHEID</t>
  </si>
  <si>
    <t>CONLIE</t>
  </si>
  <si>
    <t>CARLUX</t>
  </si>
  <si>
    <t>PERIGNE</t>
  </si>
  <si>
    <t>ROUCAMPS</t>
  </si>
  <si>
    <t>RENTY</t>
  </si>
  <si>
    <t>MONTEPREUX</t>
  </si>
  <si>
    <t>LICHERES-PRES-AIGREMONT</t>
  </si>
  <si>
    <t>CHENIERES</t>
  </si>
  <si>
    <t>HENNECOURT</t>
  </si>
  <si>
    <t>PRATS-DE-CARLUX</t>
  </si>
  <si>
    <t>RIBEMONT-SUR-ANCRE</t>
  </si>
  <si>
    <t>SAINT-JULIEN-SUR-VEYLE</t>
  </si>
  <si>
    <t>VILLENEUVE-SUR-CONIE</t>
  </si>
  <si>
    <t>LA HAYE-MALHERBE</t>
  </si>
  <si>
    <t>SAINT-MARTIN-DE-BOSSENAY</t>
  </si>
  <si>
    <t>ALLAND'HUY-ET-SAUSSEUIL</t>
  </si>
  <si>
    <t>SAINT-GILLES-VIEUX-MARCHE</t>
  </si>
  <si>
    <t>COMPOLIBAT</t>
  </si>
  <si>
    <t>LE TRONQUAY</t>
  </si>
  <si>
    <t>PUYJOURDES</t>
  </si>
  <si>
    <t>BOUESSAY</t>
  </si>
  <si>
    <t>LE BUSSEAU</t>
  </si>
  <si>
    <t>QUIBOU</t>
  </si>
  <si>
    <t>LA CROIX-COMTESSE</t>
  </si>
  <si>
    <t>KOETZINGUE</t>
  </si>
  <si>
    <t>VILLERS-SIRE-NICOLE</t>
  </si>
  <si>
    <t>BEAUPREAU</t>
  </si>
  <si>
    <t>SAINT-LAURENT-DU-VERDON</t>
  </si>
  <si>
    <t>QUETIGNY</t>
  </si>
  <si>
    <t>LAIGNEVILLE</t>
  </si>
  <si>
    <t>NIZAS</t>
  </si>
  <si>
    <t>SCEAUX-D'ANJOU</t>
  </si>
  <si>
    <t>BONREPOS-RIQUET</t>
  </si>
  <si>
    <t>BRIOUDE</t>
  </si>
  <si>
    <t>BEAUMONT-LA-RONCE</t>
  </si>
  <si>
    <t>GIGONDAS</t>
  </si>
  <si>
    <t>67116</t>
  </si>
  <si>
    <t>REICHSTETT</t>
  </si>
  <si>
    <t>COURTEMONT</t>
  </si>
  <si>
    <t>SAPIGNIES</t>
  </si>
  <si>
    <t>CHEU</t>
  </si>
  <si>
    <t>CREPEY</t>
  </si>
  <si>
    <t>SAINT-JULIEN-GAULENE</t>
  </si>
  <si>
    <t>BRETIGNOLLES-SUR-MER</t>
  </si>
  <si>
    <t>BONNEVAUX</t>
  </si>
  <si>
    <t>62520</t>
  </si>
  <si>
    <t>LE TOUQUET-PARIS-PLAGE</t>
  </si>
  <si>
    <t>LONRAI</t>
  </si>
  <si>
    <t>59220</t>
  </si>
  <si>
    <t>DENAIN</t>
  </si>
  <si>
    <t>HELLEVILLE</t>
  </si>
  <si>
    <t>BOYELLES</t>
  </si>
  <si>
    <t>CHAMPREPUS</t>
  </si>
  <si>
    <t>SAINT-GERMAIN-SUR-AY</t>
  </si>
  <si>
    <t>33480</t>
  </si>
  <si>
    <t>LISTRAC-MEDOC</t>
  </si>
  <si>
    <t>ESTANDEUIL</t>
  </si>
  <si>
    <t>LARROQUE-SUR-L'OSSE</t>
  </si>
  <si>
    <t>HERANGE</t>
  </si>
  <si>
    <t>GENNETON</t>
  </si>
  <si>
    <t>DESSENHEIM</t>
  </si>
  <si>
    <t>SAINT-AMAND-JARTOUDEIX</t>
  </si>
  <si>
    <t>SAINT-REMY-LES-CHEVREUSE</t>
  </si>
  <si>
    <t>BETETE</t>
  </si>
  <si>
    <t>SAINT-ALGIS</t>
  </si>
  <si>
    <t>VAUDREY</t>
  </si>
  <si>
    <t>VILLE-SAINT-JACQUES</t>
  </si>
  <si>
    <t>VINON-SUR-VERDON</t>
  </si>
  <si>
    <t>SOLIERS</t>
  </si>
  <si>
    <t>THORAME-HAUTE</t>
  </si>
  <si>
    <t>MONCEAUX-L'ABBAYE</t>
  </si>
  <si>
    <t>COURTOIS-SUR-YONNE</t>
  </si>
  <si>
    <t>FLOTTEMANVILLE-HAGUE</t>
  </si>
  <si>
    <t>RASLAY</t>
  </si>
  <si>
    <t>62530</t>
  </si>
  <si>
    <t>HERSIN-COUPIGNY</t>
  </si>
  <si>
    <t>CHEMAZE</t>
  </si>
  <si>
    <t>MONTAY</t>
  </si>
  <si>
    <t>84410</t>
  </si>
  <si>
    <t>FLASSAN</t>
  </si>
  <si>
    <t>SAINTES</t>
  </si>
  <si>
    <t>MONTARLOT</t>
  </si>
  <si>
    <t>COLMIER-LE-HAUT</t>
  </si>
  <si>
    <t>CHINON</t>
  </si>
  <si>
    <t>SAINT-AGNE</t>
  </si>
  <si>
    <t>NONIERES</t>
  </si>
  <si>
    <t>SAINT-BOHAIRE</t>
  </si>
  <si>
    <t>CREVANT</t>
  </si>
  <si>
    <t>SAINT-LEGER-DU-BOIS</t>
  </si>
  <si>
    <t>20221</t>
  </si>
  <si>
    <t>2B311</t>
  </si>
  <si>
    <t>SANTA-MARIA-POGGIO</t>
  </si>
  <si>
    <t>GRANDCAMP-MAISY</t>
  </si>
  <si>
    <t>OTTERSWILLER</t>
  </si>
  <si>
    <t>SAINT-JULIEN-LA-GENESTE</t>
  </si>
  <si>
    <t>PERTHES</t>
  </si>
  <si>
    <t>CORBERE-LES-CABANES</t>
  </si>
  <si>
    <t>MOUTIERS-AU-PERCHE</t>
  </si>
  <si>
    <t>SOUYEAUX</t>
  </si>
  <si>
    <t>DUREIL</t>
  </si>
  <si>
    <t>85610</t>
  </si>
  <si>
    <t>CUGAND</t>
  </si>
  <si>
    <t>LA TERRASSE</t>
  </si>
  <si>
    <t>CHAZAY-D'AZERGUES</t>
  </si>
  <si>
    <t>MOLLANS</t>
  </si>
  <si>
    <t>CHAMPAGNAT-LE-JEUNE</t>
  </si>
  <si>
    <t>DOMSURE</t>
  </si>
  <si>
    <t>AISSEY</t>
  </si>
  <si>
    <t>LAVELANET</t>
  </si>
  <si>
    <t>TAGNON</t>
  </si>
  <si>
    <t>OBERMORSCHWIHR</t>
  </si>
  <si>
    <t>SENDETS</t>
  </si>
  <si>
    <t>LE MESNIL-DURDENT</t>
  </si>
  <si>
    <t>BRULLEMAIL</t>
  </si>
  <si>
    <t>DAMPSMESNIL</t>
  </si>
  <si>
    <t>BRIN-SUR-SEILLE</t>
  </si>
  <si>
    <t>LAVAUSSEAU</t>
  </si>
  <si>
    <t>SAINT-JEAN-DU-CORAIL-DES-BOIS</t>
  </si>
  <si>
    <t>BEIGNON</t>
  </si>
  <si>
    <t>SAINT-CERNIN-DE-L'HERM</t>
  </si>
  <si>
    <t>SOULAIRES</t>
  </si>
  <si>
    <t>SAINT-BLAISE</t>
  </si>
  <si>
    <t>SAINTE-CROIX-DE-CADERLE</t>
  </si>
  <si>
    <t>COUSSAY</t>
  </si>
  <si>
    <t>LE BOUILLON</t>
  </si>
  <si>
    <t>GLAND</t>
  </si>
  <si>
    <t>SAINT-JEAN-D'ASSE</t>
  </si>
  <si>
    <t>67580</t>
  </si>
  <si>
    <t>MERTZWILLER</t>
  </si>
  <si>
    <t>BIZANOS</t>
  </si>
  <si>
    <t>BESSAMOREL</t>
  </si>
  <si>
    <t>IROULEGUY</t>
  </si>
  <si>
    <t>GEMAINGOUTTE</t>
  </si>
  <si>
    <t>LE THOUR</t>
  </si>
  <si>
    <t>81800</t>
  </si>
  <si>
    <t>MEZENS</t>
  </si>
  <si>
    <t>BOUILLANCOURT-EN-SERY</t>
  </si>
  <si>
    <t>SAINTE-EUSOYE</t>
  </si>
  <si>
    <t>81530</t>
  </si>
  <si>
    <t>VIANE</t>
  </si>
  <si>
    <t>80980</t>
  </si>
  <si>
    <t>DOMPIERRE-BECQUINCOURT</t>
  </si>
  <si>
    <t>SAINT-PRIEST-LA-FEUILLE</t>
  </si>
  <si>
    <t>OISON</t>
  </si>
  <si>
    <t>BEUVILLERS</t>
  </si>
  <si>
    <t>FONTAINE-LA-LOUVET</t>
  </si>
  <si>
    <t>CHAMPLEMY</t>
  </si>
  <si>
    <t>MOUREZE</t>
  </si>
  <si>
    <t>MENCAS</t>
  </si>
  <si>
    <t>OSMOY-SAINT-VALERY</t>
  </si>
  <si>
    <t>RAYNANS</t>
  </si>
  <si>
    <t>MAISON-DES-CHAMPS</t>
  </si>
  <si>
    <t>GAN</t>
  </si>
  <si>
    <t>BILLIAT</t>
  </si>
  <si>
    <t>LA GUERCHE</t>
  </si>
  <si>
    <t>CHAUVENCY-LE-CHATEAU</t>
  </si>
  <si>
    <t>MONTAMY</t>
  </si>
  <si>
    <t>NADES</t>
  </si>
  <si>
    <t>CAVAILLON</t>
  </si>
  <si>
    <t>LENONCOURT</t>
  </si>
  <si>
    <t>CASTEX</t>
  </si>
  <si>
    <t>PLEUGRIFFET</t>
  </si>
  <si>
    <t>LABASTIDE-DU-HAUT-MONT</t>
  </si>
  <si>
    <t>AVON</t>
  </si>
  <si>
    <t>SAUMERAY</t>
  </si>
  <si>
    <t>PLOREC-SUR-ARGUENON</t>
  </si>
  <si>
    <t>CORCELLES-EN-BEAUJOLAIS</t>
  </si>
  <si>
    <t>EPPEVILLE</t>
  </si>
  <si>
    <t>69960</t>
  </si>
  <si>
    <t>CORBAS</t>
  </si>
  <si>
    <t>AURELLE-VERLAC</t>
  </si>
  <si>
    <t>SAINT-SYLVESTRE</t>
  </si>
  <si>
    <t>17113</t>
  </si>
  <si>
    <t>MORNAC-SUR-SEUDRE</t>
  </si>
  <si>
    <t>NOIRONTE</t>
  </si>
  <si>
    <t>LAINVILLE-EN-VEXIN</t>
  </si>
  <si>
    <t>53380</t>
  </si>
  <si>
    <t>LA CROIXILLE</t>
  </si>
  <si>
    <t>AVROULT</t>
  </si>
  <si>
    <t>PLOUNERIN</t>
  </si>
  <si>
    <t>SAINT-ELLIER-DU-MAINE</t>
  </si>
  <si>
    <t>CHAMPNETERY</t>
  </si>
  <si>
    <t>BRAFFAIS</t>
  </si>
  <si>
    <t>LINAS</t>
  </si>
  <si>
    <t>MAILLY-CHAMPAGNE</t>
  </si>
  <si>
    <t>SERE</t>
  </si>
  <si>
    <t>LES PREAUX</t>
  </si>
  <si>
    <t>93160</t>
  </si>
  <si>
    <t>NOISY-LE-GRAND</t>
  </si>
  <si>
    <t>DREVANT</t>
  </si>
  <si>
    <t>VILLEPERDUE</t>
  </si>
  <si>
    <t>SAINT-MAURICE-DES-NOUES</t>
  </si>
  <si>
    <t>HERNICOURT</t>
  </si>
  <si>
    <t>LAURENS</t>
  </si>
  <si>
    <t>VALZ-SOUS-CHATEAUNEUF</t>
  </si>
  <si>
    <t>AVANCON</t>
  </si>
  <si>
    <t>NEUVILLE-SUR-AIN</t>
  </si>
  <si>
    <t>BOISSE-PENCHOT</t>
  </si>
  <si>
    <t>GUYONVELLE</t>
  </si>
  <si>
    <t>NOGENT-SUR-SEINE</t>
  </si>
  <si>
    <t>DURNES</t>
  </si>
  <si>
    <t>CHEVROTAINE</t>
  </si>
  <si>
    <t>LA CORBIERE</t>
  </si>
  <si>
    <t>4210</t>
  </si>
  <si>
    <t>VALENSOLE</t>
  </si>
  <si>
    <t>MONTEGUT-SAVES</t>
  </si>
  <si>
    <t>JONGIEUX</t>
  </si>
  <si>
    <t>VILLERS-LA-CHEVRE</t>
  </si>
  <si>
    <t>THEUVILLE</t>
  </si>
  <si>
    <t>COUZEIX</t>
  </si>
  <si>
    <t>59260</t>
  </si>
  <si>
    <t>LEZENNES</t>
  </si>
  <si>
    <t>SAINT-BONNET-PRES-RIOM</t>
  </si>
  <si>
    <t>ESTERNAY</t>
  </si>
  <si>
    <t>ABJAT-SUR-BANDIAT</t>
  </si>
  <si>
    <t>VILLE-DU-PONT</t>
  </si>
  <si>
    <t>TEYJAT</t>
  </si>
  <si>
    <t>FRAIGNOT-ET-VESVROTTE</t>
  </si>
  <si>
    <t>ASQUE</t>
  </si>
  <si>
    <t>VILLIERS-LE-ROUX</t>
  </si>
  <si>
    <t>HARGARTEN-AUX-MINES</t>
  </si>
  <si>
    <t>HOUETTEVILLE</t>
  </si>
  <si>
    <t>MAYREVILLE</t>
  </si>
  <si>
    <t>38850</t>
  </si>
  <si>
    <t>PALADRU</t>
  </si>
  <si>
    <t>TREGONNEAU</t>
  </si>
  <si>
    <t>GRANDRIEUX</t>
  </si>
  <si>
    <t>SENAILLAC-LATRONQUIERE</t>
  </si>
  <si>
    <t>LE PONTHOU</t>
  </si>
  <si>
    <t>AMBILLOU-CHATEAU</t>
  </si>
  <si>
    <t>SAINT-MARTIN-D'OYDES</t>
  </si>
  <si>
    <t>BEZU-LA-FORET</t>
  </si>
  <si>
    <t>LA ROCHE-BLANCHE</t>
  </si>
  <si>
    <t>MONTAIGUT-LE-BLANC</t>
  </si>
  <si>
    <t>06000/06100/06200/06300</t>
  </si>
  <si>
    <t>NICE</t>
  </si>
  <si>
    <t>62440</t>
  </si>
  <si>
    <t>HARNES</t>
  </si>
  <si>
    <t>PITTEFAUX</t>
  </si>
  <si>
    <t>SAINT-JOSSE</t>
  </si>
  <si>
    <t>PARCY-ET-TIGNY</t>
  </si>
  <si>
    <t>69230</t>
  </si>
  <si>
    <t>SAINT-GENIS-LAVAL</t>
  </si>
  <si>
    <t>LA VAUPALIERE</t>
  </si>
  <si>
    <t>VETHEUIL</t>
  </si>
  <si>
    <t>MADONNE-ET-LAMEREY</t>
  </si>
  <si>
    <t>VAUXAILLON</t>
  </si>
  <si>
    <t>BARRET</t>
  </si>
  <si>
    <t>COUX</t>
  </si>
  <si>
    <t>HERVILLY</t>
  </si>
  <si>
    <t>VECKERSVILLER</t>
  </si>
  <si>
    <t>CRAVANCHE</t>
  </si>
  <si>
    <t>GIROUX</t>
  </si>
  <si>
    <t>ALLONDAZ</t>
  </si>
  <si>
    <t>MOUTIERS-LES-MAUXFAITS</t>
  </si>
  <si>
    <t>FOUILLOY</t>
  </si>
  <si>
    <t>ONARD</t>
  </si>
  <si>
    <t>LAINS</t>
  </si>
  <si>
    <t>SAINT-LEON-SUR-VEZERE</t>
  </si>
  <si>
    <t>SAINT-AUBIN-EN-BRAY</t>
  </si>
  <si>
    <t>ESSUILES</t>
  </si>
  <si>
    <t>LE BOUYSSOU</t>
  </si>
  <si>
    <t>TREVENANS</t>
  </si>
  <si>
    <t>44800</t>
  </si>
  <si>
    <t>SAINT-HERBLAIN</t>
  </si>
  <si>
    <t>NESLE-L'HOPITAL</t>
  </si>
  <si>
    <t>BREUCHES</t>
  </si>
  <si>
    <t>LE FUILET</t>
  </si>
  <si>
    <t>BERSTETT</t>
  </si>
  <si>
    <t>AUMEVILLE-LESTRE</t>
  </si>
  <si>
    <t>LIOURDRES</t>
  </si>
  <si>
    <t>97260</t>
  </si>
  <si>
    <t>LE MORNE-ROUGE</t>
  </si>
  <si>
    <t>FEUCHY</t>
  </si>
  <si>
    <t>FLEURAT</t>
  </si>
  <si>
    <t>14150</t>
  </si>
  <si>
    <t>OUISTREHAM</t>
  </si>
  <si>
    <t>SOYE-EN-SEPTAINE</t>
  </si>
  <si>
    <t>2B216</t>
  </si>
  <si>
    <t>PIAZZALI</t>
  </si>
  <si>
    <t>VINZIEUX</t>
  </si>
  <si>
    <t>LEYMENT</t>
  </si>
  <si>
    <t>LES BAROCHES</t>
  </si>
  <si>
    <t>NEUVILLE-SUR-MARGIVAL</t>
  </si>
  <si>
    <t>LA FERTE-SAINT-AUBIN</t>
  </si>
  <si>
    <t>MOLLES</t>
  </si>
  <si>
    <t>MONFORT</t>
  </si>
  <si>
    <t>67207</t>
  </si>
  <si>
    <t>NIEDERHAUSBERGEN</t>
  </si>
  <si>
    <t>CARNOY</t>
  </si>
  <si>
    <t>MERCEY-SUR-SAONE</t>
  </si>
  <si>
    <t>SAINT-FERRIOL</t>
  </si>
  <si>
    <t>SAINT-JUST-EN-CHEVALET</t>
  </si>
  <si>
    <t>BROU</t>
  </si>
  <si>
    <t>RABASTENS</t>
  </si>
  <si>
    <t>ARCIS-SUR-AUBE</t>
  </si>
  <si>
    <t>SAINT-ANTOINE-DE-FICALBA</t>
  </si>
  <si>
    <t>VIENNAY</t>
  </si>
  <si>
    <t>HAGENTHAL-LE-HAUT</t>
  </si>
  <si>
    <t>NUISEMENT-SUR-COOLE</t>
  </si>
  <si>
    <t>SAINT-CLEMENT-SUR-VALSONNE</t>
  </si>
  <si>
    <t>SAINT-JULIEN-DE-JONZY</t>
  </si>
  <si>
    <t>COURTAVON</t>
  </si>
  <si>
    <t>07310/07320</t>
  </si>
  <si>
    <t>INTRES</t>
  </si>
  <si>
    <t>75005</t>
  </si>
  <si>
    <t>PARIS-5E-ARRONDISSEMENT</t>
  </si>
  <si>
    <t>BEUZEC-CAP-SIZUN</t>
  </si>
  <si>
    <t>ANGLARS</t>
  </si>
  <si>
    <t>CORCONNE</t>
  </si>
  <si>
    <t>SAINT-BRIAC-SUR-MER</t>
  </si>
  <si>
    <t>SIMORRE</t>
  </si>
  <si>
    <t>PONTARME</t>
  </si>
  <si>
    <t>SAINT-HILAIRE-SUR-ERRE</t>
  </si>
  <si>
    <t>FONROQUE</t>
  </si>
  <si>
    <t>LE MOUTHEROT</t>
  </si>
  <si>
    <t>BOUZAIS</t>
  </si>
  <si>
    <t>GRAGNAGUE</t>
  </si>
  <si>
    <t>MONTAGNY-LES-SEURRE</t>
  </si>
  <si>
    <t>SAINT-MARTIN-SUR-ECAILLON</t>
  </si>
  <si>
    <t>REMOUILLE</t>
  </si>
  <si>
    <t>MATAFELON-GRANGES</t>
  </si>
  <si>
    <t>BOURMONT</t>
  </si>
  <si>
    <t>2B148</t>
  </si>
  <si>
    <t>LUCCIANA</t>
  </si>
  <si>
    <t>GREZIAN</t>
  </si>
  <si>
    <t>BANS</t>
  </si>
  <si>
    <t>GAILLAC-TOULZA</t>
  </si>
  <si>
    <t>SAINT-GILDAS-DES-BOIS</t>
  </si>
  <si>
    <t>BOURGUIGNONS</t>
  </si>
  <si>
    <t>SAINT-PIERRE-AIGLE</t>
  </si>
  <si>
    <t>54990</t>
  </si>
  <si>
    <t>XEUILLEY</t>
  </si>
  <si>
    <t>SAINT-MAURICE-DE-CAZEVIEILLE</t>
  </si>
  <si>
    <t>12190</t>
  </si>
  <si>
    <t>SEBRAZAC</t>
  </si>
  <si>
    <t>SAINT-JULIEN-LE-PETIT</t>
  </si>
  <si>
    <t>ADINFER</t>
  </si>
  <si>
    <t>LORLANGES</t>
  </si>
  <si>
    <t>LYAUD</t>
  </si>
  <si>
    <t>HOMBLIERES</t>
  </si>
  <si>
    <t>CHATEAUVIEUX</t>
  </si>
  <si>
    <t>GOLANCOURT</t>
  </si>
  <si>
    <t>WIMMENAU</t>
  </si>
  <si>
    <t>GAVARNIE</t>
  </si>
  <si>
    <t>MAUDETOUR-EN-VEXIN</t>
  </si>
  <si>
    <t>77690</t>
  </si>
  <si>
    <t>MONTIGNY-SUR-LOING</t>
  </si>
  <si>
    <t>CAUROIR</t>
  </si>
  <si>
    <t>DIZIMIEU</t>
  </si>
  <si>
    <t>LA CHAPELLE-GAUDIN</t>
  </si>
  <si>
    <t>LENCOUACQ</t>
  </si>
  <si>
    <t>MEUVAINES</t>
  </si>
  <si>
    <t>MARNES</t>
  </si>
  <si>
    <t>CROISETTE</t>
  </si>
  <si>
    <t>AUGERS-EN-BRIE</t>
  </si>
  <si>
    <t>CHARMES-SUR-L'HERBASSE</t>
  </si>
  <si>
    <t>RIEUX-VOLVESTRE</t>
  </si>
  <si>
    <t>SAULX</t>
  </si>
  <si>
    <t>REPEL</t>
  </si>
  <si>
    <t>AIFFRES</t>
  </si>
  <si>
    <t>SODE</t>
  </si>
  <si>
    <t>SAINT-GERMAIN-DE-PRINCAY</t>
  </si>
  <si>
    <t>AURIAC-LAGAST</t>
  </si>
  <si>
    <t>FLEVY</t>
  </si>
  <si>
    <t>CAMBOULIT</t>
  </si>
  <si>
    <t>CELLES</t>
  </si>
  <si>
    <t>ECORCHES</t>
  </si>
  <si>
    <t>VOID-VACON</t>
  </si>
  <si>
    <t>PRESNOY</t>
  </si>
  <si>
    <t>BRELES</t>
  </si>
  <si>
    <t>EBREUIL</t>
  </si>
  <si>
    <t>THUREY-LE-MONT</t>
  </si>
  <si>
    <t>77470</t>
  </si>
  <si>
    <t>FUBLAINES</t>
  </si>
  <si>
    <t>BETTANCOURT-LA-FERREE</t>
  </si>
  <si>
    <t>HERBEUVAL</t>
  </si>
  <si>
    <t>DIANT</t>
  </si>
  <si>
    <t>CREOT</t>
  </si>
  <si>
    <t>62152</t>
  </si>
  <si>
    <t>NESLES</t>
  </si>
  <si>
    <t>DOMECY-SUR-LE-VAULT</t>
  </si>
  <si>
    <t>LE MOULINET-SUR-SOLIN</t>
  </si>
  <si>
    <t>7520</t>
  </si>
  <si>
    <t>SAINT-PIERRE-SUR-DOUX</t>
  </si>
  <si>
    <t>LE THILLOT</t>
  </si>
  <si>
    <t>MEILHARDS</t>
  </si>
  <si>
    <t>BOURG-DE-VISA</t>
  </si>
  <si>
    <t>SAINT-DIDIER-SUR-ROCHEFORT</t>
  </si>
  <si>
    <t>COURS-LA-VILLE</t>
  </si>
  <si>
    <t>SAINT-CIRQ-SOUILLAGUET</t>
  </si>
  <si>
    <t>VILLE-SUR-JARNIOUX</t>
  </si>
  <si>
    <t>TRANS</t>
  </si>
  <si>
    <t>SEBAZAC-CONCOURES</t>
  </si>
  <si>
    <t>DURFORT-ET-SAINT-MARTIN-DE-SOSSENAC</t>
  </si>
  <si>
    <t>VALRAS-PLAGE</t>
  </si>
  <si>
    <t>ESTIVAREILLES</t>
  </si>
  <si>
    <t>VILLEQUIER</t>
  </si>
  <si>
    <t>GRANIEU</t>
  </si>
  <si>
    <t>MAGNY-EN-BESSIN</t>
  </si>
  <si>
    <t>ORMES</t>
  </si>
  <si>
    <t>LABESSIERE-CANDEIL</t>
  </si>
  <si>
    <t>FLEUREY</t>
  </si>
  <si>
    <t>LE MESNIL-GERMAIN</t>
  </si>
  <si>
    <t>SAINT-CIERS-SUR-GIRONDE</t>
  </si>
  <si>
    <t>MACHECOURT</t>
  </si>
  <si>
    <t>ODARS</t>
  </si>
  <si>
    <t>AMENDEUIX-ONEIX</t>
  </si>
  <si>
    <t>TORCE-EN-VALLEE</t>
  </si>
  <si>
    <t>68690</t>
  </si>
  <si>
    <t>GEISHOUSE</t>
  </si>
  <si>
    <t>VIC-LE-COMTE</t>
  </si>
  <si>
    <t>SAULT-DE-NAVAILLES</t>
  </si>
  <si>
    <t>FAREINS</t>
  </si>
  <si>
    <t>MALAINCOURT</t>
  </si>
  <si>
    <t>DIEBLING</t>
  </si>
  <si>
    <t>GRAND-ROZOY</t>
  </si>
  <si>
    <t>ANTONAVES</t>
  </si>
  <si>
    <t>CHENEHUTTE-TREVES-CUNAULT</t>
  </si>
  <si>
    <t>SAUX-ET-POMAREDE</t>
  </si>
  <si>
    <t>SOULANGES</t>
  </si>
  <si>
    <t>ROUSSON</t>
  </si>
  <si>
    <t>LONGCHAMP-SUR-AUJON</t>
  </si>
  <si>
    <t>PECH-LUNA</t>
  </si>
  <si>
    <t>GENECH</t>
  </si>
  <si>
    <t>SAUGNAC-ET-CAMBRAN</t>
  </si>
  <si>
    <t>LIGNY-LE-RIBAULT</t>
  </si>
  <si>
    <t>GERMAGNY</t>
  </si>
  <si>
    <t>SAINT-LOUP-TERRIER</t>
  </si>
  <si>
    <t>PLOURIN-LES-MORLAIX</t>
  </si>
  <si>
    <t>SAINT-GERMAIN-EN-MONTAGNE</t>
  </si>
  <si>
    <t>ATHIE</t>
  </si>
  <si>
    <t>SARCE</t>
  </si>
  <si>
    <t>COURLANDON</t>
  </si>
  <si>
    <t>JARNAC</t>
  </si>
  <si>
    <t>SAINT-NAZAIRE-DE-VALENTANE</t>
  </si>
  <si>
    <t>CHOLOY-MENILLOT</t>
  </si>
  <si>
    <t>JOURNY</t>
  </si>
  <si>
    <t>DIENAY</t>
  </si>
  <si>
    <t>LANGRES</t>
  </si>
  <si>
    <t>SUZE-LA-ROUSSE</t>
  </si>
  <si>
    <t>MOUY</t>
  </si>
  <si>
    <t>CLIPONVILLE</t>
  </si>
  <si>
    <t>SAINT-ELOY-D'ALLIER</t>
  </si>
  <si>
    <t>AUENHEIM</t>
  </si>
  <si>
    <t>MORTAGNE</t>
  </si>
  <si>
    <t>TORTEBESSE</t>
  </si>
  <si>
    <t>44560</t>
  </si>
  <si>
    <t>CORSEPT</t>
  </si>
  <si>
    <t>MONTIRON</t>
  </si>
  <si>
    <t>RUE</t>
  </si>
  <si>
    <t>NIEDERHERGHEIM</t>
  </si>
  <si>
    <t>CHABRIGNAC</t>
  </si>
  <si>
    <t>REVEILLON</t>
  </si>
  <si>
    <t>PORTBAIL</t>
  </si>
  <si>
    <t>OBENHEIM</t>
  </si>
  <si>
    <t>LE THIEULIN</t>
  </si>
  <si>
    <t>SAINT-PRIVAT-DES-PRES</t>
  </si>
  <si>
    <t>CARRESSE-CASSABER</t>
  </si>
  <si>
    <t>MOUSTOIR-AC</t>
  </si>
  <si>
    <t>GORREVOD</t>
  </si>
  <si>
    <t>SAINT-VAAST-DU-VAL</t>
  </si>
  <si>
    <t>MOYE</t>
  </si>
  <si>
    <t>RAYET</t>
  </si>
  <si>
    <t>SAINS-LES-PERNES</t>
  </si>
  <si>
    <t>ANDILLAC</t>
  </si>
  <si>
    <t>18520</t>
  </si>
  <si>
    <t>BENGY-SUR-CRAON</t>
  </si>
  <si>
    <t>SERBANNES</t>
  </si>
  <si>
    <t>BOSVILLE</t>
  </si>
  <si>
    <t>ANDREIN</t>
  </si>
  <si>
    <t>MOTHERN</t>
  </si>
  <si>
    <t>LOISY-SUR-MARNE</t>
  </si>
  <si>
    <t>SAINTE-CROIX-A-LAUZE</t>
  </si>
  <si>
    <t>NABIRAT</t>
  </si>
  <si>
    <t>NANTHEUIL</t>
  </si>
  <si>
    <t>NONAC</t>
  </si>
  <si>
    <t>95150</t>
  </si>
  <si>
    <t>TAVERNY</t>
  </si>
  <si>
    <t>JARJAYES</t>
  </si>
  <si>
    <t>LA CHAPELLE-SAINT-LAUD</t>
  </si>
  <si>
    <t>AOUSTE</t>
  </si>
  <si>
    <t>DOUCIER</t>
  </si>
  <si>
    <t>SAINT-JACQUES-D'AMBUR</t>
  </si>
  <si>
    <t>SAINT-PIERRE-D'EYRAUD</t>
  </si>
  <si>
    <t>HOHENGOEFT</t>
  </si>
  <si>
    <t>FONTENAY</t>
  </si>
  <si>
    <t>CHAMBRY</t>
  </si>
  <si>
    <t>CHARENSAT</t>
  </si>
  <si>
    <t>SAINT-AGNAN-SUR-ERRE</t>
  </si>
  <si>
    <t>COLLONGUES</t>
  </si>
  <si>
    <t>MOULINS-SUR-ORNE</t>
  </si>
  <si>
    <t>BELBERAUD</t>
  </si>
  <si>
    <t>MELICOCQ</t>
  </si>
  <si>
    <t>ROULLET-SAINT-ESTEPHE</t>
  </si>
  <si>
    <t>AMBRES</t>
  </si>
  <si>
    <t>PONLAT-TAILLEBOURG</t>
  </si>
  <si>
    <t>FAMILLY</t>
  </si>
  <si>
    <t>MERCY</t>
  </si>
  <si>
    <t>31660</t>
  </si>
  <si>
    <t>BESSIERES</t>
  </si>
  <si>
    <t>MORNAY-SUR-ALLIER</t>
  </si>
  <si>
    <t>ENNEZAT</t>
  </si>
  <si>
    <t>CHAUX-LES-CLERVAL</t>
  </si>
  <si>
    <t>LA GONFRIERE</t>
  </si>
  <si>
    <t>PARDIES-PIETAT</t>
  </si>
  <si>
    <t>ROCHEBRUNE</t>
  </si>
  <si>
    <t>ZOTEUX</t>
  </si>
  <si>
    <t>AMANGE</t>
  </si>
  <si>
    <t>AUTECHAUX</t>
  </si>
  <si>
    <t>TROISFONTAINES</t>
  </si>
  <si>
    <t>BUSTINCE-IRIBERRY</t>
  </si>
  <si>
    <t>NONETTE</t>
  </si>
  <si>
    <t>VIANGES</t>
  </si>
  <si>
    <t>PETIT-LANDAU</t>
  </si>
  <si>
    <t>BEAUFORT-EN-VALLEE</t>
  </si>
  <si>
    <t>CRETTEVILLE</t>
  </si>
  <si>
    <t>FRANCHEVELLE</t>
  </si>
  <si>
    <t>MOURVILLES-BASSES</t>
  </si>
  <si>
    <t>CORNEILLAN</t>
  </si>
  <si>
    <t>HUISSEAU-SUR-COSSON</t>
  </si>
  <si>
    <t>LE GUERNO</t>
  </si>
  <si>
    <t>DALLON</t>
  </si>
  <si>
    <t>VERY</t>
  </si>
  <si>
    <t>CABANAC</t>
  </si>
  <si>
    <t>SORCY-BAUTHEMONT</t>
  </si>
  <si>
    <t>JANS</t>
  </si>
  <si>
    <t>30920</t>
  </si>
  <si>
    <t>CODOGNAN</t>
  </si>
  <si>
    <t>ARCOMPS</t>
  </si>
  <si>
    <t>ARTEMPS</t>
  </si>
  <si>
    <t>ROQUESSELS</t>
  </si>
  <si>
    <t>27610</t>
  </si>
  <si>
    <t>ROMILLY-SUR-ANDELLE</t>
  </si>
  <si>
    <t>CLEFMONT</t>
  </si>
  <si>
    <t>VILLENEUVE-LES-BORDES</t>
  </si>
  <si>
    <t>63960</t>
  </si>
  <si>
    <t>VEYRE-MONTON</t>
  </si>
  <si>
    <t>LA GRESLE</t>
  </si>
  <si>
    <t>LAY-LAMIDOU</t>
  </si>
  <si>
    <t>ATHOS-ASPIS</t>
  </si>
  <si>
    <t>COUZIERS</t>
  </si>
  <si>
    <t>ARFEUILLES</t>
  </si>
  <si>
    <t>PUYLAROQUE</t>
  </si>
  <si>
    <t>VILLEXANTON</t>
  </si>
  <si>
    <t>LA COLOMBE</t>
  </si>
  <si>
    <t>MOIREMONT</t>
  </si>
  <si>
    <t>LA CHAPELLE-AU-MANS</t>
  </si>
  <si>
    <t>MONTBRAY</t>
  </si>
  <si>
    <t>PERONVILLE</t>
  </si>
  <si>
    <t>GRISOLLES</t>
  </si>
  <si>
    <t>MOUTIER-D'AHUN</t>
  </si>
  <si>
    <t>LAVACQUERIE</t>
  </si>
  <si>
    <t>NEUVILLE-SUR-SAONE</t>
  </si>
  <si>
    <t>UEBERSTRASS</t>
  </si>
  <si>
    <t>CIERREY</t>
  </si>
  <si>
    <t>CURBANS</t>
  </si>
  <si>
    <t>60157</t>
  </si>
  <si>
    <t>ELINCOURT-SAINTE-MARGUERITE</t>
  </si>
  <si>
    <t>VAUX-SUR-SOMME</t>
  </si>
  <si>
    <t>LA CELLE-SOUS-MONTMIRAIL</t>
  </si>
  <si>
    <t>HELFAUT</t>
  </si>
  <si>
    <t>COUTENS</t>
  </si>
  <si>
    <t>CIERZAC</t>
  </si>
  <si>
    <t>CROIX-EN-TERNOIS</t>
  </si>
  <si>
    <t>CRANDELLES</t>
  </si>
  <si>
    <t>COGLES</t>
  </si>
  <si>
    <t>MOSNAC</t>
  </si>
  <si>
    <t>31750</t>
  </si>
  <si>
    <t>ESCALQUENS</t>
  </si>
  <si>
    <t>MENIL-AUX-BOIS</t>
  </si>
  <si>
    <t>BIZIAT</t>
  </si>
  <si>
    <t>SAINT-MAURICE-LES-CHARENCEY</t>
  </si>
  <si>
    <t>THELIGNY</t>
  </si>
  <si>
    <t>59129</t>
  </si>
  <si>
    <t>AVESNES-LES-AUBERT</t>
  </si>
  <si>
    <t>CARRERE</t>
  </si>
  <si>
    <t>SINZOS</t>
  </si>
  <si>
    <t>2A276</t>
  </si>
  <si>
    <t>SERRA-DI-FERRO</t>
  </si>
  <si>
    <t>NAILLAT</t>
  </si>
  <si>
    <t>EGUILLY-SOUS-BOIS</t>
  </si>
  <si>
    <t>SAINTS</t>
  </si>
  <si>
    <t>GERMIGNY-DES-PRES</t>
  </si>
  <si>
    <t>91940</t>
  </si>
  <si>
    <t>GOMETZ-LE-CHATEL</t>
  </si>
  <si>
    <t>PASSY-SUR-SEINE</t>
  </si>
  <si>
    <t>MARZAN</t>
  </si>
  <si>
    <t>SAINT-LOUP-SUR-SEMOUSE</t>
  </si>
  <si>
    <t>CARSAN</t>
  </si>
  <si>
    <t>TREMOULET</t>
  </si>
  <si>
    <t>SERMESSE</t>
  </si>
  <si>
    <t>67380</t>
  </si>
  <si>
    <t>LINGOLSHEIM</t>
  </si>
  <si>
    <t>SAINT-BARTHELEMY-DE-VALS</t>
  </si>
  <si>
    <t>SAINT-MAURICE-LE-GIRARD</t>
  </si>
  <si>
    <t>SAINT-ANDRE-EN-BARROIS</t>
  </si>
  <si>
    <t>97610</t>
  </si>
  <si>
    <t>PAMANDZI</t>
  </si>
  <si>
    <t>LES HALLES</t>
  </si>
  <si>
    <t>GANNAY-SUR-LOIRE</t>
  </si>
  <si>
    <t>LA LIVINIERE</t>
  </si>
  <si>
    <t>ARBANATS</t>
  </si>
  <si>
    <t>ESCHENTZWILLER</t>
  </si>
  <si>
    <t>SAINT-MARCEL-DE-CAREIRET</t>
  </si>
  <si>
    <t>NUAILLE</t>
  </si>
  <si>
    <t>SCHNERSHEIM</t>
  </si>
  <si>
    <t>BEAUCAMPS-LE-VIEUX</t>
  </si>
  <si>
    <t>ROUGEMONT-LE-CHATEAU</t>
  </si>
  <si>
    <t>MATHA</t>
  </si>
  <si>
    <t>BERNADETS</t>
  </si>
  <si>
    <t>OUIDES</t>
  </si>
  <si>
    <t>SAINT-MAIME-DE-PEREYROL</t>
  </si>
  <si>
    <t>MARZENS</t>
  </si>
  <si>
    <t>SAINT-ETIENNE-SOUS-BAILLEUL</t>
  </si>
  <si>
    <t>FOURS</t>
  </si>
  <si>
    <t>CLENLEU</t>
  </si>
  <si>
    <t>LA VOIVRE</t>
  </si>
  <si>
    <t>2B329</t>
  </si>
  <si>
    <t>TRALONCA</t>
  </si>
  <si>
    <t>LIZAC</t>
  </si>
  <si>
    <t>TAILLANCOURT</t>
  </si>
  <si>
    <t>MISEREY-SALINES</t>
  </si>
  <si>
    <t>LIGSDORF</t>
  </si>
  <si>
    <t>LAROQUE-DES-ALBERES</t>
  </si>
  <si>
    <t>NESLES-LA-MONTAGNE</t>
  </si>
  <si>
    <t>FRESNEAUX-MONTCHEVREUIL</t>
  </si>
  <si>
    <t>BOUDES</t>
  </si>
  <si>
    <t>GUYENCOURT</t>
  </si>
  <si>
    <t>SAINT-QUENTIN-DE-CHALAIS</t>
  </si>
  <si>
    <t>COTEBRUNE</t>
  </si>
  <si>
    <t>ORADOUR-FANAIS</t>
  </si>
  <si>
    <t>CRECY-COUVE</t>
  </si>
  <si>
    <t>DIGNONVILLE</t>
  </si>
  <si>
    <t>LE BLANC</t>
  </si>
  <si>
    <t>MEMENIL</t>
  </si>
  <si>
    <t>LA JAVIE</t>
  </si>
  <si>
    <t>SAINT-AUBIN-SUR-LOIRE</t>
  </si>
  <si>
    <t>SAINT-PHILBERT-DU-PEUPLE</t>
  </si>
  <si>
    <t>CHARETTE</t>
  </si>
  <si>
    <t>BEAUCE</t>
  </si>
  <si>
    <t>TROISSY</t>
  </si>
  <si>
    <t>CAZEDARNES</t>
  </si>
  <si>
    <t>BIECOURT</t>
  </si>
  <si>
    <t>SAINT-GILLES-LES-BOIS</t>
  </si>
  <si>
    <t>OOST-CAPPEL</t>
  </si>
  <si>
    <t>BOIS-GUILBERT</t>
  </si>
  <si>
    <t>COURMONT</t>
  </si>
  <si>
    <t>34280</t>
  </si>
  <si>
    <t>LA GRANDE-MOTTE</t>
  </si>
  <si>
    <t>GOURS</t>
  </si>
  <si>
    <t>LE PEYRAT</t>
  </si>
  <si>
    <t>AVILLERS</t>
  </si>
  <si>
    <t>GRAMMONT</t>
  </si>
  <si>
    <t>23120</t>
  </si>
  <si>
    <t>BANIZE</t>
  </si>
  <si>
    <t>LAVERSINES</t>
  </si>
  <si>
    <t>27360</t>
  </si>
  <si>
    <t>PONT-SAINT-PIERRE</t>
  </si>
  <si>
    <t>54570</t>
  </si>
  <si>
    <t>LANEUVEVILLE-DERRIERE-FOUG</t>
  </si>
  <si>
    <t>POPIAN</t>
  </si>
  <si>
    <t>MAURESSAC</t>
  </si>
  <si>
    <t>BAULOU</t>
  </si>
  <si>
    <t>VILLARLURIN</t>
  </si>
  <si>
    <t>83310</t>
  </si>
  <si>
    <t>GRIMAUD</t>
  </si>
  <si>
    <t>FISLIS</t>
  </si>
  <si>
    <t>POILLY-LEZ-GIEN</t>
  </si>
  <si>
    <t>REMINIAC</t>
  </si>
  <si>
    <t>MACQUIGNY</t>
  </si>
  <si>
    <t>SAINT-DESIRE</t>
  </si>
  <si>
    <t>SAINTE-COLOMBE-LA-COMMANDERIE</t>
  </si>
  <si>
    <t>GROSBOIS-EN-MONTAGNE</t>
  </si>
  <si>
    <t>EVERGNICOURT</t>
  </si>
  <si>
    <t>COUBEYRAC</t>
  </si>
  <si>
    <t>LA CHAPELLE-MARCOUSSE</t>
  </si>
  <si>
    <t>SAINT-ISMIER</t>
  </si>
  <si>
    <t>CONTREGLISE</t>
  </si>
  <si>
    <t>BAUDINARD-SUR-VERDON</t>
  </si>
  <si>
    <t>LAVAULT-SAINTE-ANNE</t>
  </si>
  <si>
    <t>HAUDRICOURT</t>
  </si>
  <si>
    <t>REMERING-LES-PUTTELANGE</t>
  </si>
  <si>
    <t>GRASSAC</t>
  </si>
  <si>
    <t>LA CRECHE</t>
  </si>
  <si>
    <t>SAINT-CHRISTO-EN-JAREZ</t>
  </si>
  <si>
    <t>BLANZEE</t>
  </si>
  <si>
    <t>COULANS-SUR-GEE</t>
  </si>
  <si>
    <t>KRUTH</t>
  </si>
  <si>
    <t>MAGNY-LA-FOSSE</t>
  </si>
  <si>
    <t>BENNETOT</t>
  </si>
  <si>
    <t>SAINT-JEAN-DE-LA-BLAQUIERE</t>
  </si>
  <si>
    <t>SOUVIGNY-EN-SOLOGNE</t>
  </si>
  <si>
    <t>44470</t>
  </si>
  <si>
    <t>THOUARE-SUR-LOIRE</t>
  </si>
  <si>
    <t>SACQUENAY</t>
  </si>
  <si>
    <t>POUPRY</t>
  </si>
  <si>
    <t>SAINT-MARTIN-AU-BOSC</t>
  </si>
  <si>
    <t>97370</t>
  </si>
  <si>
    <t>MARIPASOULA</t>
  </si>
  <si>
    <t>SAINT-BERNARD</t>
  </si>
  <si>
    <t>MORILLON</t>
  </si>
  <si>
    <t>FORT-LOUIS</t>
  </si>
  <si>
    <t>SAINT-LEGER-TRIEY</t>
  </si>
  <si>
    <t>BLENDECQUES</t>
  </si>
  <si>
    <t>64500</t>
  </si>
  <si>
    <t>CIBOURE</t>
  </si>
  <si>
    <t>SAINT-MARTIN-DE-VILLEREAL</t>
  </si>
  <si>
    <t>2520</t>
  </si>
  <si>
    <t>FLAVY-LE-MARTEL</t>
  </si>
  <si>
    <t>MONTESQUIEU</t>
  </si>
  <si>
    <t>OMS</t>
  </si>
  <si>
    <t>29250</t>
  </si>
  <si>
    <t>SAINT-POL-DE-LEON</t>
  </si>
  <si>
    <t>BEZANGE-LA-PETITE</t>
  </si>
  <si>
    <t>LOUBERS</t>
  </si>
  <si>
    <t>COURNANEL</t>
  </si>
  <si>
    <t>DAMBLAINVILLE</t>
  </si>
  <si>
    <t>AILLY-SUR-NOYE</t>
  </si>
  <si>
    <t>LIGNOL-LE-CHATEAU</t>
  </si>
  <si>
    <t>VILLERS-LES-CAGNICOURT</t>
  </si>
  <si>
    <t>67760</t>
  </si>
  <si>
    <t>GAMBSHEIM</t>
  </si>
  <si>
    <t>DISSE-SOUS-BALLON</t>
  </si>
  <si>
    <t>35660</t>
  </si>
  <si>
    <t>LA CHAPELLE-DE-BRAIN</t>
  </si>
  <si>
    <t>DEULEMONT</t>
  </si>
  <si>
    <t>ANNEQUIN</t>
  </si>
  <si>
    <t>PAILHARES</t>
  </si>
  <si>
    <t>67620</t>
  </si>
  <si>
    <t>SOUFFLENHEIM</t>
  </si>
  <si>
    <t>BONNEUIL-EN-FRANCE</t>
  </si>
  <si>
    <t>49303</t>
  </si>
  <si>
    <t>SAINT-MARTIN-D'ARCE</t>
  </si>
  <si>
    <t>MONTAYRAL</t>
  </si>
  <si>
    <t>YQUELON</t>
  </si>
  <si>
    <t>CHAMPROUGIER</t>
  </si>
  <si>
    <t>BAYET</t>
  </si>
  <si>
    <t>COUSTAUSSA</t>
  </si>
  <si>
    <t>GUISENIERS</t>
  </si>
  <si>
    <t>MARIGNY-BRIZAY</t>
  </si>
  <si>
    <t>CLAUDON</t>
  </si>
  <si>
    <t>JALLANS</t>
  </si>
  <si>
    <t>BUSSEROTTE-ET-MONTENAILLE</t>
  </si>
  <si>
    <t>AVESNES-LES-BAPAUME</t>
  </si>
  <si>
    <t>CAHUZAC-SUR-ADOUR</t>
  </si>
  <si>
    <t>CHEIN-DESSUS</t>
  </si>
  <si>
    <t>GIVERNY</t>
  </si>
  <si>
    <t>SAINT-CARREUC</t>
  </si>
  <si>
    <t>AUSSAC-VADALLE</t>
  </si>
  <si>
    <t>GENESTELLE</t>
  </si>
  <si>
    <t>BOEN-SUR-LIGNON</t>
  </si>
  <si>
    <t>MAIZILLY</t>
  </si>
  <si>
    <t>ECORPAIN</t>
  </si>
  <si>
    <t>CAMBIAC</t>
  </si>
  <si>
    <t>FEUX</t>
  </si>
  <si>
    <t>ROUFFIGNAC-DE-SIGOULES</t>
  </si>
  <si>
    <t>LE VIGEAN</t>
  </si>
  <si>
    <t>HERBECOURT</t>
  </si>
  <si>
    <t>OUROUX-SOUS-LE-BOIS-SAINTE-MARIE</t>
  </si>
  <si>
    <t>JETTERSWILLER</t>
  </si>
  <si>
    <t>NOUVION-LE-VINEUX</t>
  </si>
  <si>
    <t>ORVE</t>
  </si>
  <si>
    <t>BORRE</t>
  </si>
  <si>
    <t>BIDOS</t>
  </si>
  <si>
    <t>CHATILLON-SUR-COLMONT</t>
  </si>
  <si>
    <t>MOIVRONS</t>
  </si>
  <si>
    <t>BOSSELSHAUSEN</t>
  </si>
  <si>
    <t>COUEILLES</t>
  </si>
  <si>
    <t>LACOURT</t>
  </si>
  <si>
    <t>NEUVILLE-VITASSE</t>
  </si>
  <si>
    <t>FLEURY-LA-VALLEE</t>
  </si>
  <si>
    <t>MARINGES</t>
  </si>
  <si>
    <t>HAUTECOURT-ROMANECHE</t>
  </si>
  <si>
    <t>LES RAIRIES</t>
  </si>
  <si>
    <t>LA CHAPELLE-SAINT-URSIN</t>
  </si>
  <si>
    <t>BADMENIL-AUX-BOIS</t>
  </si>
  <si>
    <t>REUIL-SUR-BRECHE</t>
  </si>
  <si>
    <t>TAVAUX-ET-PONTSERICOURT</t>
  </si>
  <si>
    <t>SAUSSES</t>
  </si>
  <si>
    <t>ROSIERES-AUX-SALINES</t>
  </si>
  <si>
    <t>COURCELLES-SUR-BLAISE</t>
  </si>
  <si>
    <t>44230</t>
  </si>
  <si>
    <t>SAINT-SEBASTIEN-SUR-LOIRE</t>
  </si>
  <si>
    <t>LUX</t>
  </si>
  <si>
    <t>BUANES</t>
  </si>
  <si>
    <t>CHAINAZ-LES-FRASSES</t>
  </si>
  <si>
    <t>PUGET-ROSTANG</t>
  </si>
  <si>
    <t>SAMONAC</t>
  </si>
  <si>
    <t>GAJA-ET-VILLEDIEU</t>
  </si>
  <si>
    <t>POGNY</t>
  </si>
  <si>
    <t>LA FERTE-BERNARD</t>
  </si>
  <si>
    <t>MORCHAIN</t>
  </si>
  <si>
    <t>LES LOGES</t>
  </si>
  <si>
    <t>SAINT-ARMEL</t>
  </si>
  <si>
    <t>LES MOLLETTES</t>
  </si>
  <si>
    <t>66120</t>
  </si>
  <si>
    <t>FONT-ROMEU-ODEILLO-VIA</t>
  </si>
  <si>
    <t>6610</t>
  </si>
  <si>
    <t>LA GAUDE</t>
  </si>
  <si>
    <t>MONTGEROULT</t>
  </si>
  <si>
    <t>PARGNY</t>
  </si>
  <si>
    <t>SAINT-VICTURNIEN</t>
  </si>
  <si>
    <t>REMILLY-SUR-LOZON</t>
  </si>
  <si>
    <t>PERIGNAC</t>
  </si>
  <si>
    <t>SAVIGNEUX</t>
  </si>
  <si>
    <t>97136</t>
  </si>
  <si>
    <t>TERRE-DE-BAS</t>
  </si>
  <si>
    <t>VAUDREVILLE</t>
  </si>
  <si>
    <t>JUVIGNY-SUR-LOISON</t>
  </si>
  <si>
    <t>BRENNES</t>
  </si>
  <si>
    <t>MASSAIS</t>
  </si>
  <si>
    <t>LOSNE</t>
  </si>
  <si>
    <t>CHARRIN</t>
  </si>
  <si>
    <t>MONTHION</t>
  </si>
  <si>
    <t>CEVINS</t>
  </si>
  <si>
    <t>81400</t>
  </si>
  <si>
    <t>CARMAUX</t>
  </si>
  <si>
    <t>45730</t>
  </si>
  <si>
    <t>SAINT-BENOIT-SUR-LOIRE</t>
  </si>
  <si>
    <t>SAVIGNAC-SUR-LEYZE</t>
  </si>
  <si>
    <t>ALBAN</t>
  </si>
  <si>
    <t>VY-LES-FILAIN</t>
  </si>
  <si>
    <t>14570</t>
  </si>
  <si>
    <t>CLECY</t>
  </si>
  <si>
    <t>89210</t>
  </si>
  <si>
    <t>CHAMPLOST</t>
  </si>
  <si>
    <t>STEINBACH</t>
  </si>
  <si>
    <t>LE BREUIL</t>
  </si>
  <si>
    <t>BUSSUS-BUSSUEL</t>
  </si>
  <si>
    <t>HANS</t>
  </si>
  <si>
    <t>PLOUVAIN</t>
  </si>
  <si>
    <t>35235</t>
  </si>
  <si>
    <t>THORIGNE-FOUILLARD</t>
  </si>
  <si>
    <t>56590</t>
  </si>
  <si>
    <t>GROIX</t>
  </si>
  <si>
    <t>6560</t>
  </si>
  <si>
    <t>VALBONNE</t>
  </si>
  <si>
    <t>MOVAL</t>
  </si>
  <si>
    <t>ERRE</t>
  </si>
  <si>
    <t>MOUSSONVILLIERS</t>
  </si>
  <si>
    <t>OZENAY</t>
  </si>
  <si>
    <t>2A351</t>
  </si>
  <si>
    <t>VILLANOVA</t>
  </si>
  <si>
    <t>11210</t>
  </si>
  <si>
    <t>PORT-LA-NOUVELLE</t>
  </si>
  <si>
    <t>SAINT-BARDOUX</t>
  </si>
  <si>
    <t>CHEF-DU-PONT</t>
  </si>
  <si>
    <t>BONNEFOND</t>
  </si>
  <si>
    <t>SALORNAY-SUR-GUYE</t>
  </si>
  <si>
    <t>59199</t>
  </si>
  <si>
    <t>BRUILLE-SAINT-AMAND</t>
  </si>
  <si>
    <t>LE VAL-SAINT-GERMAIN</t>
  </si>
  <si>
    <t>ARBENT</t>
  </si>
  <si>
    <t>2B162</t>
  </si>
  <si>
    <t>MOLTIFAO</t>
  </si>
  <si>
    <t>MAREY-LES-FUSSEY</t>
  </si>
  <si>
    <t>KUNTZIG</t>
  </si>
  <si>
    <t>SAINT-GONLAY</t>
  </si>
  <si>
    <t>SAINT-ROMANS-LES-MELLE</t>
  </si>
  <si>
    <t>BRAILLANS</t>
  </si>
  <si>
    <t>CROIGNON</t>
  </si>
  <si>
    <t>LANEUVILLE-A-REMY</t>
  </si>
  <si>
    <t>CHEVIGNEY</t>
  </si>
  <si>
    <t>SAINT-JEAN-DE-VAULX</t>
  </si>
  <si>
    <t>VANDRIMARE</t>
  </si>
  <si>
    <t>LA CLISSE</t>
  </si>
  <si>
    <t>SAINT-THOMAS-DE-COURCERIERS</t>
  </si>
  <si>
    <t>LONGEVILLE-SUR-LA-LAINES</t>
  </si>
  <si>
    <t>CLEPPE</t>
  </si>
  <si>
    <t>SAINT-PAUL-DU-VERNAY</t>
  </si>
  <si>
    <t>SORBAIS</t>
  </si>
  <si>
    <t>CEYZERIEU</t>
  </si>
  <si>
    <t>THENISSEY</t>
  </si>
  <si>
    <t>LES SALLES-SUR-VERDON</t>
  </si>
  <si>
    <t>CHAMPIGNELLES</t>
  </si>
  <si>
    <t>BEAUMETZ-LES-LOGES</t>
  </si>
  <si>
    <t>CHAVANAT</t>
  </si>
  <si>
    <t>TOURVILLE-SUR-ODON</t>
  </si>
  <si>
    <t>LABASTIDE-MARNHAC</t>
  </si>
  <si>
    <t>MONZE</t>
  </si>
  <si>
    <t>MONTGIBAUD</t>
  </si>
  <si>
    <t>LE MESNIL-GARNIER</t>
  </si>
  <si>
    <t>ANJOUTEY</t>
  </si>
  <si>
    <t>BOURDEILLES</t>
  </si>
  <si>
    <t>THOREY-EN-PLAINE</t>
  </si>
  <si>
    <t>FIGNEVELLE</t>
  </si>
  <si>
    <t>NANTEUIL-NOTRE-DAME</t>
  </si>
  <si>
    <t>GABILLOU</t>
  </si>
  <si>
    <t>SEPTSARGES</t>
  </si>
  <si>
    <t>MONTBERTHAULT</t>
  </si>
  <si>
    <t>LES PINEAUX</t>
  </si>
  <si>
    <t>TOUROUVRE</t>
  </si>
  <si>
    <t>PARENTIS-EN-BORN</t>
  </si>
  <si>
    <t>LANTIGNIE</t>
  </si>
  <si>
    <t>LANDOS</t>
  </si>
  <si>
    <t>SAINT-TUGDUAL</t>
  </si>
  <si>
    <t>THUN-SAINT-MARTIN</t>
  </si>
  <si>
    <t>62112</t>
  </si>
  <si>
    <t>GOUY-SOUS-BELLONNE</t>
  </si>
  <si>
    <t>94400</t>
  </si>
  <si>
    <t>VITRY-SUR-SEINE</t>
  </si>
  <si>
    <t>CONTAULT</t>
  </si>
  <si>
    <t>BOSSENDORF</t>
  </si>
  <si>
    <t>SAINT-OUTRILLE</t>
  </si>
  <si>
    <t>LISSAC</t>
  </si>
  <si>
    <t>SAINT-ARNAC</t>
  </si>
  <si>
    <t>HELLERING-LES-FENETRANGE</t>
  </si>
  <si>
    <t>LORIOL-SUR-DROME</t>
  </si>
  <si>
    <t>ROIZY</t>
  </si>
  <si>
    <t>BARACE</t>
  </si>
  <si>
    <t>SAINT-AQUILIN</t>
  </si>
  <si>
    <t>SENS-SUR-SEILLE</t>
  </si>
  <si>
    <t>BECCAS</t>
  </si>
  <si>
    <t>CHATAS</t>
  </si>
  <si>
    <t>LES CHERES</t>
  </si>
  <si>
    <t>CHARMENSAC</t>
  </si>
  <si>
    <t>FIGEAC</t>
  </si>
  <si>
    <t>RESSONS-LE-LONG</t>
  </si>
  <si>
    <t>HAZEBROUCK</t>
  </si>
  <si>
    <t>68460</t>
  </si>
  <si>
    <t>LUTTERBACH</t>
  </si>
  <si>
    <t>ARGELOUSE</t>
  </si>
  <si>
    <t>CASTANS</t>
  </si>
  <si>
    <t>BASSENS</t>
  </si>
  <si>
    <t>PLUNERET</t>
  </si>
  <si>
    <t>SAINT-ANDRE-DE-L'EURE</t>
  </si>
  <si>
    <t>STEINBRUNN-LE-BAS</t>
  </si>
  <si>
    <t>MONTCET</t>
  </si>
  <si>
    <t>EBERSMUNSTER</t>
  </si>
  <si>
    <t>THOURY-FEROTTES</t>
  </si>
  <si>
    <t>COULX</t>
  </si>
  <si>
    <t>ALTILLAC</t>
  </si>
  <si>
    <t>FLOURE</t>
  </si>
  <si>
    <t>78620</t>
  </si>
  <si>
    <t>L'ETANG-LA-VILLE</t>
  </si>
  <si>
    <t>MONTGAILLARD-SUR-SAVE</t>
  </si>
  <si>
    <t>FAYE</t>
  </si>
  <si>
    <t>JUVINCOURT-ET-DAMARY</t>
  </si>
  <si>
    <t>SAINT-PROJET-SAINT-CONSTANT</t>
  </si>
  <si>
    <t>MONTREUIL-SUR-ILLE</t>
  </si>
  <si>
    <t>NOYERS</t>
  </si>
  <si>
    <t>BRECY</t>
  </si>
  <si>
    <t>PERRET</t>
  </si>
  <si>
    <t>4280</t>
  </si>
  <si>
    <t>CERESTE</t>
  </si>
  <si>
    <t>FOMEREY</t>
  </si>
  <si>
    <t>TRANCAULT</t>
  </si>
  <si>
    <t>MONTGENOST</t>
  </si>
  <si>
    <t>WOIPPY</t>
  </si>
  <si>
    <t>SAINT-FREZAL-D'ALBUGES</t>
  </si>
  <si>
    <t>MASSIGNIEU-DE-RIVES</t>
  </si>
  <si>
    <t>COSMES</t>
  </si>
  <si>
    <t>TURRETOT</t>
  </si>
  <si>
    <t>YEBLES</t>
  </si>
  <si>
    <t>BOURG-SAINT-MAURICE</t>
  </si>
  <si>
    <t>DOL-DE-BRETAGNE</t>
  </si>
  <si>
    <t>FRESNICOURT-LE-DOLMEN</t>
  </si>
  <si>
    <t>ROYVILLE</t>
  </si>
  <si>
    <t>SAINT-PRIVAT-DES-VIEUX</t>
  </si>
  <si>
    <t>TEYSSODE</t>
  </si>
  <si>
    <t>AUFLANCE</t>
  </si>
  <si>
    <t>ANGY</t>
  </si>
  <si>
    <t>94350</t>
  </si>
  <si>
    <t>VILLIERS-SUR-MARNE</t>
  </si>
  <si>
    <t>SOUSSANS</t>
  </si>
  <si>
    <t>CAZILHAC</t>
  </si>
  <si>
    <t>ETABLES</t>
  </si>
  <si>
    <t>GRAND-CHARMONT</t>
  </si>
  <si>
    <t>29241</t>
  </si>
  <si>
    <t>LOCQUIREC</t>
  </si>
  <si>
    <t>CADEILHAN</t>
  </si>
  <si>
    <t>BUSSU</t>
  </si>
  <si>
    <t>CIVRAY</t>
  </si>
  <si>
    <t>ANOYE</t>
  </si>
  <si>
    <t>67202</t>
  </si>
  <si>
    <t>WOLFISHEIM</t>
  </si>
  <si>
    <t>GRANGES-LE-BOURG</t>
  </si>
  <si>
    <t>LA CHAPELLE-SUR-CHEZY</t>
  </si>
  <si>
    <t>LEZIGNAN-CORBIERES</t>
  </si>
  <si>
    <t>DOMJEVIN</t>
  </si>
  <si>
    <t>JAUNAC</t>
  </si>
  <si>
    <t>GANCOURT-SAINT-ETIENNE</t>
  </si>
  <si>
    <t>2A142</t>
  </si>
  <si>
    <t>LEVIE</t>
  </si>
  <si>
    <t>TOSNY</t>
  </si>
  <si>
    <t>JAZENNES</t>
  </si>
  <si>
    <t>80450</t>
  </si>
  <si>
    <t>LAMOTTE-BREBIERE</t>
  </si>
  <si>
    <t>ERLOY</t>
  </si>
  <si>
    <t>MAURAN</t>
  </si>
  <si>
    <t>85750</t>
  </si>
  <si>
    <t>ANGLES</t>
  </si>
  <si>
    <t>BRACQUETUIT</t>
  </si>
  <si>
    <t>SAINT-GREGOIRE-D'ARDENNES</t>
  </si>
  <si>
    <t>PONT-BELLANGER</t>
  </si>
  <si>
    <t>AMBAX</t>
  </si>
  <si>
    <t>GUEBWILLER</t>
  </si>
  <si>
    <t>LA GRANGE</t>
  </si>
  <si>
    <t>BRECE</t>
  </si>
  <si>
    <t>VILLAC</t>
  </si>
  <si>
    <t>TETHIEU</t>
  </si>
  <si>
    <t>PREVELLES</t>
  </si>
  <si>
    <t>VILLERS-SUR-NIED</t>
  </si>
  <si>
    <t>ARBONNE-LA-FORET</t>
  </si>
  <si>
    <t>SAINT-GEORGES-DE-POINTINDOUX</t>
  </si>
  <si>
    <t>ANJOU</t>
  </si>
  <si>
    <t>VIGNEVIEILLE</t>
  </si>
  <si>
    <t>LE THEIL</t>
  </si>
  <si>
    <t>20279</t>
  </si>
  <si>
    <t>2B352</t>
  </si>
  <si>
    <t>VILLE-DI-PARASO</t>
  </si>
  <si>
    <t>SENNEVILLE-SUR-FECAMP</t>
  </si>
  <si>
    <t>RIENCOURT</t>
  </si>
  <si>
    <t>BENAY</t>
  </si>
  <si>
    <t>SAINT-SERNIN-DU-BOIS</t>
  </si>
  <si>
    <t>BEDEE</t>
  </si>
  <si>
    <t>LAUNAY-VILLIERS</t>
  </si>
  <si>
    <t>CRAVANS</t>
  </si>
  <si>
    <t>BELMONT-SUR-RANCE</t>
  </si>
  <si>
    <t>SAINT-AUBIN-DE-CADELECH</t>
  </si>
  <si>
    <t>SORT-EN-CHALOSSE</t>
  </si>
  <si>
    <t>SAINT-PAER</t>
  </si>
  <si>
    <t>SAINT-QUENTIN-SUR-COOLE</t>
  </si>
  <si>
    <t>SAINT-PIERRE-DE-SOUCY</t>
  </si>
  <si>
    <t>FORTAN</t>
  </si>
  <si>
    <t>SAINT-MICHEL-DE-LANES</t>
  </si>
  <si>
    <t>VIMPELLES</t>
  </si>
  <si>
    <t>SAINT-PAULIEN</t>
  </si>
  <si>
    <t>MOMAS</t>
  </si>
  <si>
    <t>6580</t>
  </si>
  <si>
    <t>PEGOMAS</t>
  </si>
  <si>
    <t>VENDRENNES</t>
  </si>
  <si>
    <t>SAINT-VICTOR-DE-RENO</t>
  </si>
  <si>
    <t>ARCES</t>
  </si>
  <si>
    <t>NOUVRON-VINGRE</t>
  </si>
  <si>
    <t>QUIESTEDE</t>
  </si>
  <si>
    <t>SAINT-DENIS-D'AUGERONS</t>
  </si>
  <si>
    <t>CHAMPVANS</t>
  </si>
  <si>
    <t>SAINT-YRIEIX-LA-MONTAGNE</t>
  </si>
  <si>
    <t>LAGARDE-ENVAL</t>
  </si>
  <si>
    <t>20125</t>
  </si>
  <si>
    <t>2A240</t>
  </si>
  <si>
    <t>POGGIOLO</t>
  </si>
  <si>
    <t>PETIT-VERLY</t>
  </si>
  <si>
    <t>LA CHAPELLE-ENGERBOLD</t>
  </si>
  <si>
    <t>CORNY-SUR-MOSELLE</t>
  </si>
  <si>
    <t>COLOMBIERS-SUR-SEULLES</t>
  </si>
  <si>
    <t>MEMBREY</t>
  </si>
  <si>
    <t>NEBOUZAT</t>
  </si>
  <si>
    <t>17650</t>
  </si>
  <si>
    <t>SAINT-DENIS-D'OLERON</t>
  </si>
  <si>
    <t>95740</t>
  </si>
  <si>
    <t>FREPILLON</t>
  </si>
  <si>
    <t>NOGENT</t>
  </si>
  <si>
    <t>MELGVEN</t>
  </si>
  <si>
    <t>LA FERRIERE-AIROUX</t>
  </si>
  <si>
    <t>TORTEVAL-QUESNAY</t>
  </si>
  <si>
    <t>CUVES</t>
  </si>
  <si>
    <t>VIBRAYE</t>
  </si>
  <si>
    <t>MOISSAT</t>
  </si>
  <si>
    <t>ROCLES</t>
  </si>
  <si>
    <t>LAVANGEOT</t>
  </si>
  <si>
    <t>SAINT-GENIES-DES-MOURGUES</t>
  </si>
  <si>
    <t>ECOYEUX</t>
  </si>
  <si>
    <t>CHELERS</t>
  </si>
  <si>
    <t>56330</t>
  </si>
  <si>
    <t>CAMORS</t>
  </si>
  <si>
    <t>ENCAUSSE</t>
  </si>
  <si>
    <t>13510</t>
  </si>
  <si>
    <t>EGUILLES</t>
  </si>
  <si>
    <t>LANNE</t>
  </si>
  <si>
    <t>CONLIEGE</t>
  </si>
  <si>
    <t>NOGENT-SUR-AUBE</t>
  </si>
  <si>
    <t>SERICOURT</t>
  </si>
  <si>
    <t>SENTENAC-D'OUST</t>
  </si>
  <si>
    <t>PIRE-SUR-SEICHE</t>
  </si>
  <si>
    <t>ANVILLE</t>
  </si>
  <si>
    <t>PERCENEIGE</t>
  </si>
  <si>
    <t>HEAUVILLE</t>
  </si>
  <si>
    <t>TUCHAN</t>
  </si>
  <si>
    <t>59145</t>
  </si>
  <si>
    <t>BERLAIMONT</t>
  </si>
  <si>
    <t>MARCHAIS-BETON</t>
  </si>
  <si>
    <t>MONTBRUN-DES-CORBIERES</t>
  </si>
  <si>
    <t>LA MOTTE-CHALANCON</t>
  </si>
  <si>
    <t>BEUREY</t>
  </si>
  <si>
    <t>GOURDON-MURAT</t>
  </si>
  <si>
    <t>METTRAY</t>
  </si>
  <si>
    <t>SAINT-PAUL-LES-FONTS</t>
  </si>
  <si>
    <t>SEMBLECAY</t>
  </si>
  <si>
    <t>SAINT-VAAST-EN-AUGE</t>
  </si>
  <si>
    <t>LA HARMOYE</t>
  </si>
  <si>
    <t>BLESSAC</t>
  </si>
  <si>
    <t>62157</t>
  </si>
  <si>
    <t>ALLOUAGNE</t>
  </si>
  <si>
    <t>SAINT-HYMER</t>
  </si>
  <si>
    <t>WYLDER</t>
  </si>
  <si>
    <t>LA TOUR-SUR-ORB</t>
  </si>
  <si>
    <t>HOCHSTETT</t>
  </si>
  <si>
    <t>BESSINS</t>
  </si>
  <si>
    <t>SAINT-MICHEL-DE-VEISSE</t>
  </si>
  <si>
    <t>SIRADAN</t>
  </si>
  <si>
    <t>BLEVES</t>
  </si>
  <si>
    <t>2620</t>
  </si>
  <si>
    <t>BUIRONFOSSE</t>
  </si>
  <si>
    <t>MOTTEVILLE</t>
  </si>
  <si>
    <t>CHAMPS-ROMAIN</t>
  </si>
  <si>
    <t>AMBRIEF</t>
  </si>
  <si>
    <t>LIEUCHE</t>
  </si>
  <si>
    <t>CUIGNIERES</t>
  </si>
  <si>
    <t>2A196</t>
  </si>
  <si>
    <t>ORTO</t>
  </si>
  <si>
    <t>BAILLEULMONT</t>
  </si>
  <si>
    <t>94430</t>
  </si>
  <si>
    <t>CHENNEVIERES-SUR-MARNE</t>
  </si>
  <si>
    <t>CIZELY</t>
  </si>
  <si>
    <t>MOSTUEJOULS</t>
  </si>
  <si>
    <t>BLANZY-LES-FISMES</t>
  </si>
  <si>
    <t>LA BOISSIERE-DE-MONTAIGU</t>
  </si>
  <si>
    <t>ECHOUBOULAINS</t>
  </si>
  <si>
    <t>MONTOURNAIS</t>
  </si>
  <si>
    <t>BOHAS-MEYRIAT-RIGNAT</t>
  </si>
  <si>
    <t>TORTEFONTAINE</t>
  </si>
  <si>
    <t>SAINT-PRIEST-LES-FOUGERES</t>
  </si>
  <si>
    <t>VACQUERIETTE-ERQUIERES</t>
  </si>
  <si>
    <t>BAUME-LES-DAMES</t>
  </si>
  <si>
    <t>LE THUIT-SIGNOL</t>
  </si>
  <si>
    <t>LE FRASNOIS</t>
  </si>
  <si>
    <t>LA ROQUETTE</t>
  </si>
  <si>
    <t>PIERREFONTAINE-LES-VARANS</t>
  </si>
  <si>
    <t>LAPOUYADE</t>
  </si>
  <si>
    <t>VIRVILLE</t>
  </si>
  <si>
    <t>SAINT-GERMAIN-PRES-HERMENT</t>
  </si>
  <si>
    <t>GELLENONCOURT</t>
  </si>
  <si>
    <t>LE HOHWALD</t>
  </si>
  <si>
    <t>VILLERS-SUR-SAULNOT</t>
  </si>
  <si>
    <t>BLOIS-SUR-SEILLE</t>
  </si>
  <si>
    <t>PREZ-SOUS-LAFAUCHE</t>
  </si>
  <si>
    <t>CARCES</t>
  </si>
  <si>
    <t>MARANS</t>
  </si>
  <si>
    <t>SABLONNIERES</t>
  </si>
  <si>
    <t>DOSSENHEIM-KOCHERSBERG</t>
  </si>
  <si>
    <t>BONNECOURT</t>
  </si>
  <si>
    <t>MOZE-SUR-LOUET</t>
  </si>
  <si>
    <t>COREN</t>
  </si>
  <si>
    <t>86540</t>
  </si>
  <si>
    <t>THURE</t>
  </si>
  <si>
    <t>FLEURBAIX</t>
  </si>
  <si>
    <t>HAM-LES-MOINES</t>
  </si>
  <si>
    <t>SAINT-MARTIN-DE-FRESSENGEAS</t>
  </si>
  <si>
    <t>MORNAC</t>
  </si>
  <si>
    <t>BEAUCHERY-SAINT-MARTIN</t>
  </si>
  <si>
    <t>FOLEMBRAY</t>
  </si>
  <si>
    <t>PUTOT-EN-AUGE</t>
  </si>
  <si>
    <t>POULIGNEY-LUSANS</t>
  </si>
  <si>
    <t>PIERRE-DE-BRESSE</t>
  </si>
  <si>
    <t>GYE</t>
  </si>
  <si>
    <t>MAUREILLAS-LAS-ILLAS</t>
  </si>
  <si>
    <t>PONTCIRQ</t>
  </si>
  <si>
    <t>WAHLENHEIM</t>
  </si>
  <si>
    <t>BEHONNE</t>
  </si>
  <si>
    <t>MARLERS</t>
  </si>
  <si>
    <t>69009</t>
  </si>
  <si>
    <t>LYON--9E--ARRONDISSEMENT</t>
  </si>
  <si>
    <t>PIN-BALMA</t>
  </si>
  <si>
    <t>LA GRAND-CROIX</t>
  </si>
  <si>
    <t>GADENCOURT</t>
  </si>
  <si>
    <t>LES CLEFS</t>
  </si>
  <si>
    <t>SERZY-ET-PRIN</t>
  </si>
  <si>
    <t>SERMERIEU</t>
  </si>
  <si>
    <t>MAZIERES-EN-MAUGES</t>
  </si>
  <si>
    <t>ROESCHWOOG</t>
  </si>
  <si>
    <t>LA VILLENEUVE-LES-CONVERS</t>
  </si>
  <si>
    <t>BANCIGNY</t>
  </si>
  <si>
    <t>CHANTES</t>
  </si>
  <si>
    <t>PERNES-LES-BOULOGNE</t>
  </si>
  <si>
    <t>VALLENAY</t>
  </si>
  <si>
    <t>13550</t>
  </si>
  <si>
    <t>NOVES</t>
  </si>
  <si>
    <t>FOURNEAUX-LE-VAL</t>
  </si>
  <si>
    <t>AVERNES</t>
  </si>
  <si>
    <t>PETERSBACH</t>
  </si>
  <si>
    <t>COUVAINS</t>
  </si>
  <si>
    <t>BERGOUEY-VIELLENAVE</t>
  </si>
  <si>
    <t>SAINT-CRICQ-VILLENEUVE</t>
  </si>
  <si>
    <t>CASTELNAU-D'ESTRETEFONDS</t>
  </si>
  <si>
    <t>SEIX</t>
  </si>
  <si>
    <t>59157</t>
  </si>
  <si>
    <t>FONTAINE-AU-PIRE</t>
  </si>
  <si>
    <t>CLERY</t>
  </si>
  <si>
    <t>LE THOULT-TROSNAY</t>
  </si>
  <si>
    <t>CIREY-SUR-BLAISE</t>
  </si>
  <si>
    <t>PACT</t>
  </si>
  <si>
    <t>83430</t>
  </si>
  <si>
    <t>SAINT-MANDRIER-SUR-MER</t>
  </si>
  <si>
    <t>SAINT-QUENTIN-EN-MAUGES</t>
  </si>
  <si>
    <t>PARIGNARGUES</t>
  </si>
  <si>
    <t>LUCHE-SUR-BRIOUX</t>
  </si>
  <si>
    <t>PANILLEUSE</t>
  </si>
  <si>
    <t>ARDENAIS</t>
  </si>
  <si>
    <t>59460</t>
  </si>
  <si>
    <t>JEUMONT</t>
  </si>
  <si>
    <t>14680</t>
  </si>
  <si>
    <t>BRETTEVILLE-SUR-LAIZE</t>
  </si>
  <si>
    <t>BELAN-SUR-OURCE</t>
  </si>
  <si>
    <t>MAGNAC-SUR-TOUVRE</t>
  </si>
  <si>
    <t>CONDE-SUR-VESGRE</t>
  </si>
  <si>
    <t>TAVERS</t>
  </si>
  <si>
    <t>CANET-DE-SALARS</t>
  </si>
  <si>
    <t>CHARCE-SAINT-ELLIER-SUR-AUBANCE</t>
  </si>
  <si>
    <t>AUTUN</t>
  </si>
  <si>
    <t>SAINT-VALLIER-SUR-MARNE</t>
  </si>
  <si>
    <t>SAINT-MARS-SUR-COLMONT</t>
  </si>
  <si>
    <t>VANXAINS</t>
  </si>
  <si>
    <t>GUERNANVILLE</t>
  </si>
  <si>
    <t>GAEL</t>
  </si>
  <si>
    <t>GOERSDORF</t>
  </si>
  <si>
    <t>SAINT-BONNET-AVALOUZE</t>
  </si>
  <si>
    <t>LAHONCE</t>
  </si>
  <si>
    <t>TENDU</t>
  </si>
  <si>
    <t>SAINT-VINCENT-LESPINASSE</t>
  </si>
  <si>
    <t>VILLECHETIF</t>
  </si>
  <si>
    <t>BETHENCOURT-SUR-MER</t>
  </si>
  <si>
    <t>AIX-EN-DIOIS</t>
  </si>
  <si>
    <t>LONGAULNAY</t>
  </si>
  <si>
    <t>MURLES</t>
  </si>
  <si>
    <t>VIGER</t>
  </si>
  <si>
    <t>PARIGNE-SUR-BRAYE</t>
  </si>
  <si>
    <t>GLENAT</t>
  </si>
  <si>
    <t>VERNEUIL-SUR-SERRE</t>
  </si>
  <si>
    <t>GERTWILLER</t>
  </si>
  <si>
    <t>UZEL</t>
  </si>
  <si>
    <t>CAMPAGNE-D'ARMAGNAC</t>
  </si>
  <si>
    <t>FERRIERES-SUR-SICHON</t>
  </si>
  <si>
    <t>35760</t>
  </si>
  <si>
    <t>MONTGERMONT</t>
  </si>
  <si>
    <t>SAINT-JEAN-DES-ESSARTIERS</t>
  </si>
  <si>
    <t>LE GICQ</t>
  </si>
  <si>
    <t>RETZWILLER</t>
  </si>
  <si>
    <t>ALINCOURT</t>
  </si>
  <si>
    <t>MEZIERES-LEZ-CLERY</t>
  </si>
  <si>
    <t>LANGATTE</t>
  </si>
  <si>
    <t>RILLANS</t>
  </si>
  <si>
    <t>AUZOUVILLE-SUR-SAANE</t>
  </si>
  <si>
    <t>CRICQUEVILLE-EN-BESSIN</t>
  </si>
  <si>
    <t>PROVENCHERES-SUR-FAVE</t>
  </si>
  <si>
    <t>ESTAING</t>
  </si>
  <si>
    <t>59229</t>
  </si>
  <si>
    <t>TETEGHEM</t>
  </si>
  <si>
    <t>MINIAC-SOUS-BECHEREL</t>
  </si>
  <si>
    <t>ECOLLEMONT</t>
  </si>
  <si>
    <t>VOHARIES</t>
  </si>
  <si>
    <t>FOULAIN</t>
  </si>
  <si>
    <t>PENSOL</t>
  </si>
  <si>
    <t>UZAN</t>
  </si>
  <si>
    <t>GUMOND</t>
  </si>
  <si>
    <t>63260</t>
  </si>
  <si>
    <t>MONTPENSIER</t>
  </si>
  <si>
    <t>2B047</t>
  </si>
  <si>
    <t>CALACUCCIA</t>
  </si>
  <si>
    <t>LA TRINITE-PORHOET</t>
  </si>
  <si>
    <t>GERAUDOT</t>
  </si>
  <si>
    <t>FLEXBOURG</t>
  </si>
  <si>
    <t>DOUZILLAC</t>
  </si>
  <si>
    <t>VIEY</t>
  </si>
  <si>
    <t>SAINT-MARTIN-LYS</t>
  </si>
  <si>
    <t>ORGIBET</t>
  </si>
  <si>
    <t>CAMPAGNE-LES-HESDIN</t>
  </si>
  <si>
    <t>MONTMORT-LUCY</t>
  </si>
  <si>
    <t>VILLEVAUDE</t>
  </si>
  <si>
    <t>CROZES-HERMITAGE</t>
  </si>
  <si>
    <t>CANAPPEVILLE</t>
  </si>
  <si>
    <t>TUZAGUET</t>
  </si>
  <si>
    <t>SAINT-QUIRIN</t>
  </si>
  <si>
    <t>LISLE-EN-RIGAULT</t>
  </si>
  <si>
    <t>VIELPRAT</t>
  </si>
  <si>
    <t>LES DAMPS</t>
  </si>
  <si>
    <t>LATOUR-DE-FRANCE</t>
  </si>
  <si>
    <t>COMBERANCHE-ET-EPELUCHE</t>
  </si>
  <si>
    <t>58470</t>
  </si>
  <si>
    <t>SAINCAIZE-MEAUCE</t>
  </si>
  <si>
    <t>MONTACHER-VILLEGARDIN</t>
  </si>
  <si>
    <t>2B164</t>
  </si>
  <si>
    <t>MONACIA-D'OREZZA</t>
  </si>
  <si>
    <t>LARGITZEN</t>
  </si>
  <si>
    <t>OBTREE</t>
  </si>
  <si>
    <t>SAINT-BROINGT-LES-FOSSES</t>
  </si>
  <si>
    <t>ARTHEMONAY</t>
  </si>
  <si>
    <t>JUBLAINS</t>
  </si>
  <si>
    <t>CHAMPEY</t>
  </si>
  <si>
    <t>SAINT-CYR-LA-ROSIERE</t>
  </si>
  <si>
    <t>LA SAUVETAT</t>
  </si>
  <si>
    <t>LA FERTE-SAINT-SAMSON</t>
  </si>
  <si>
    <t>GENEREST</t>
  </si>
  <si>
    <t>CUVERVILLE</t>
  </si>
  <si>
    <t>80910</t>
  </si>
  <si>
    <t>ARVILLERS</t>
  </si>
  <si>
    <t>VOULPAIX</t>
  </si>
  <si>
    <t>21240</t>
  </si>
  <si>
    <t>TALANT</t>
  </si>
  <si>
    <t>ENENCOURT-LEAGE</t>
  </si>
  <si>
    <t>PECHBONNIEU</t>
  </si>
  <si>
    <t>BROUAY</t>
  </si>
  <si>
    <t>VILLENEUVE-DU-LATOU</t>
  </si>
  <si>
    <t>IVERGNY</t>
  </si>
  <si>
    <t>DUTTLENHEIM</t>
  </si>
  <si>
    <t>29370</t>
  </si>
  <si>
    <t>CORAY</t>
  </si>
  <si>
    <t>BEAULIEU-SUR-SONNETTE</t>
  </si>
  <si>
    <t>SAINT-BENIGNE</t>
  </si>
  <si>
    <t>PAMPROUX</t>
  </si>
  <si>
    <t>LIGNY-THILLOY</t>
  </si>
  <si>
    <t>LE PRECHEUR</t>
  </si>
  <si>
    <t>SAILLY-ACHATEL</t>
  </si>
  <si>
    <t>VIRIEU</t>
  </si>
  <si>
    <t>MOERNACH</t>
  </si>
  <si>
    <t>AVRECHY</t>
  </si>
  <si>
    <t>LA DIGNE-D'AVAL</t>
  </si>
  <si>
    <t>MAGNY-MONTARLOT</t>
  </si>
  <si>
    <t>ECULLEVILLE</t>
  </si>
  <si>
    <t>FIGAROL</t>
  </si>
  <si>
    <t>BROMMAT</t>
  </si>
  <si>
    <t>CHEMY</t>
  </si>
  <si>
    <t>SAINT-OUEN-LE-PIN</t>
  </si>
  <si>
    <t>DOMPIERRE-SOUS-SANVIGNES</t>
  </si>
  <si>
    <t>YRONDE-ET-BURON</t>
  </si>
  <si>
    <t>BARJON</t>
  </si>
  <si>
    <t>AUZOUER-EN-TOURAINE</t>
  </si>
  <si>
    <t>MOUZILLON</t>
  </si>
  <si>
    <t>CAUPENNE-D'ARMAGNAC</t>
  </si>
  <si>
    <t>92340</t>
  </si>
  <si>
    <t>BOURG-LA-REINE</t>
  </si>
  <si>
    <t>ANDOUILLE-NEUVILLE</t>
  </si>
  <si>
    <t>VARAGES</t>
  </si>
  <si>
    <t>DOAZIT</t>
  </si>
  <si>
    <t>GENILAC</t>
  </si>
  <si>
    <t>13700</t>
  </si>
  <si>
    <t>MARIGNANE</t>
  </si>
  <si>
    <t>NUNCQ-HAUTECOTE</t>
  </si>
  <si>
    <t>SAINT-JEAN-PIERRE-FIXTE</t>
  </si>
  <si>
    <t>LIVERDUN</t>
  </si>
  <si>
    <t>SAINT-ROMAIN-DE-LERPS</t>
  </si>
  <si>
    <t>59299</t>
  </si>
  <si>
    <t>BOESCHEPE</t>
  </si>
  <si>
    <t>SAINT-GEORGES-SUR-ERVE</t>
  </si>
  <si>
    <t>CHAVIGNY-BAILLEUL</t>
  </si>
  <si>
    <t>ANDORNAY</t>
  </si>
  <si>
    <t>MEURIVAL</t>
  </si>
  <si>
    <t>91200</t>
  </si>
  <si>
    <t>ATHIS-MONS</t>
  </si>
  <si>
    <t>SEMAREY</t>
  </si>
  <si>
    <t>LA PETITE-VERRIERE</t>
  </si>
  <si>
    <t>LES MAILLYS</t>
  </si>
  <si>
    <t>PROPIAC</t>
  </si>
  <si>
    <t>SAINT-MARTIN-D'ARC</t>
  </si>
  <si>
    <t>CAUZAC</t>
  </si>
  <si>
    <t>OYE</t>
  </si>
  <si>
    <t>SOMPT</t>
  </si>
  <si>
    <t>SAINT-NICOLAS-DE-LA-TAILLE</t>
  </si>
  <si>
    <t>PONT-PEAN</t>
  </si>
  <si>
    <t>FORSTHEIM</t>
  </si>
  <si>
    <t>CHATTANCOURT</t>
  </si>
  <si>
    <t>ROCHEFORT</t>
  </si>
  <si>
    <t>SAINT-PAUL-D'ESPIS</t>
  </si>
  <si>
    <t>SAINT-BOIS</t>
  </si>
  <si>
    <t>BOREY</t>
  </si>
  <si>
    <t>2B072</t>
  </si>
  <si>
    <t>CASALTA</t>
  </si>
  <si>
    <t>LA TOUR-SAINT-GELIN</t>
  </si>
  <si>
    <t>NEOULES</t>
  </si>
  <si>
    <t>20131</t>
  </si>
  <si>
    <t>2A215</t>
  </si>
  <si>
    <t>PIANOTTOLI-CALDARELLO</t>
  </si>
  <si>
    <t>DAMPIERRE-EN-BRAY</t>
  </si>
  <si>
    <t>SAINT-MARTIN-DE-GOYNE</t>
  </si>
  <si>
    <t>AIRVAULT</t>
  </si>
  <si>
    <t>BRECHES</t>
  </si>
  <si>
    <t>TUFFE</t>
  </si>
  <si>
    <t>LE POUGET</t>
  </si>
  <si>
    <t>TROUILLAS</t>
  </si>
  <si>
    <t>CHEHERY</t>
  </si>
  <si>
    <t>EGAT</t>
  </si>
  <si>
    <t>LE PLAGNAL</t>
  </si>
  <si>
    <t>VITRY-EN-PERTHOIS</t>
  </si>
  <si>
    <t>SCHOENAU</t>
  </si>
  <si>
    <t>MOLOMPIZE</t>
  </si>
  <si>
    <t>AUTRAC</t>
  </si>
  <si>
    <t>BETTONCOURT</t>
  </si>
  <si>
    <t>38880</t>
  </si>
  <si>
    <t>AUTRANS</t>
  </si>
  <si>
    <t>MERELESSART</t>
  </si>
  <si>
    <t>PONTEILLA</t>
  </si>
  <si>
    <t>GUERIGNY</t>
  </si>
  <si>
    <t>ARGET</t>
  </si>
  <si>
    <t>WUENHEIM</t>
  </si>
  <si>
    <t>LES CHERIS</t>
  </si>
  <si>
    <t>WINDSTEIN</t>
  </si>
  <si>
    <t>BALLON</t>
  </si>
  <si>
    <t>BOUAFLE</t>
  </si>
  <si>
    <t>DELME</t>
  </si>
  <si>
    <t>CHIRAC</t>
  </si>
  <si>
    <t>PLOU</t>
  </si>
  <si>
    <t>ADON</t>
  </si>
  <si>
    <t>2B334</t>
  </si>
  <si>
    <t>VALLE-D'ALESANI</t>
  </si>
  <si>
    <t>ELSENHEIM</t>
  </si>
  <si>
    <t>ETAVIGNY</t>
  </si>
  <si>
    <t>ROMAN</t>
  </si>
  <si>
    <t>70250</t>
  </si>
  <si>
    <t>RONCHAMP</t>
  </si>
  <si>
    <t>CRECY-SUR-SERRE</t>
  </si>
  <si>
    <t>VILLERS-SOUS-MONTROND</t>
  </si>
  <si>
    <t>LA FERTE-FRENEL</t>
  </si>
  <si>
    <t>MENDE</t>
  </si>
  <si>
    <t>BELLOU-LE-TRICHARD</t>
  </si>
  <si>
    <t>FAULX</t>
  </si>
  <si>
    <t>COLOMBE-LE-SEC</t>
  </si>
  <si>
    <t>LA CHAMBA</t>
  </si>
  <si>
    <t>MACHAULT</t>
  </si>
  <si>
    <t>SIAUGUES-SAINTE-MARIE</t>
  </si>
  <si>
    <t>FERRAN</t>
  </si>
  <si>
    <t>MERU</t>
  </si>
  <si>
    <t>CERNOY-EN-BERRY</t>
  </si>
  <si>
    <t>TRUMILLY</t>
  </si>
  <si>
    <t>58430</t>
  </si>
  <si>
    <t>ARLEUF</t>
  </si>
  <si>
    <t>SERRESLOUS-ET-ARRIBANS</t>
  </si>
  <si>
    <t>MARCIEU</t>
  </si>
  <si>
    <t>SAINT-OUEN-DE-THOUBERVILLE</t>
  </si>
  <si>
    <t>NUAILLE-SUR-BOUTONNE</t>
  </si>
  <si>
    <t>BOISREDON</t>
  </si>
  <si>
    <t>59286</t>
  </si>
  <si>
    <t>ROOST-WARENDIN</t>
  </si>
  <si>
    <t>LERE</t>
  </si>
  <si>
    <t>13640</t>
  </si>
  <si>
    <t>LA ROQUE-D'ANTHERON</t>
  </si>
  <si>
    <t>UGLAS</t>
  </si>
  <si>
    <t>54320</t>
  </si>
  <si>
    <t>MAXEVILLE</t>
  </si>
  <si>
    <t>PLANTY</t>
  </si>
  <si>
    <t>JESSAINS</t>
  </si>
  <si>
    <t>ATTIGNY</t>
  </si>
  <si>
    <t>CASSAIGNE</t>
  </si>
  <si>
    <t>MORAINVILLE</t>
  </si>
  <si>
    <t>CHASSY</t>
  </si>
  <si>
    <t>SOMMERON</t>
  </si>
  <si>
    <t>NOILHAN</t>
  </si>
  <si>
    <t>SAINT-CYR-DU-DORET</t>
  </si>
  <si>
    <t>LA CELLE-SOUS-CHANTEMERLE</t>
  </si>
  <si>
    <t>LA CHAPELAUDE</t>
  </si>
  <si>
    <t>NEUVILLE-SUR-AILETTE</t>
  </si>
  <si>
    <t>GAMACHES-EN-VEXIN</t>
  </si>
  <si>
    <t>PIEGUT</t>
  </si>
  <si>
    <t>PEYRET-SAINT-ANDRE</t>
  </si>
  <si>
    <t>ROZAY-EN-BRIE</t>
  </si>
  <si>
    <t>SAINT-JULIEN-SOUS-LES-COTES</t>
  </si>
  <si>
    <t>SAINT-SAUVY</t>
  </si>
  <si>
    <t>BOLANDOZ</t>
  </si>
  <si>
    <t>COURCELLES-FREMOY</t>
  </si>
  <si>
    <t>CESSENS</t>
  </si>
  <si>
    <t>SILTZHEIM</t>
  </si>
  <si>
    <t>COLOMBIER-LE-VIEUX</t>
  </si>
  <si>
    <t>WAMIN</t>
  </si>
  <si>
    <t>BOUBERS-SUR-CANCHE</t>
  </si>
  <si>
    <t>MASSOGNES</t>
  </si>
  <si>
    <t>BLAVIGNAC</t>
  </si>
  <si>
    <t>MAINVILLERS</t>
  </si>
  <si>
    <t>CROIX-CHAPEAU</t>
  </si>
  <si>
    <t>FAUVILLE</t>
  </si>
  <si>
    <t>LE POINCONNET</t>
  </si>
  <si>
    <t>88370</t>
  </si>
  <si>
    <t>PLOMBIERES-LES-BAINS</t>
  </si>
  <si>
    <t>MONCEY</t>
  </si>
  <si>
    <t>BARRAN</t>
  </si>
  <si>
    <t>MIREBEAU</t>
  </si>
  <si>
    <t>BRUGNAC</t>
  </si>
  <si>
    <t>SAINT-FERJEUX</t>
  </si>
  <si>
    <t>78210</t>
  </si>
  <si>
    <t>SAINT-CYR-L'ECOLE</t>
  </si>
  <si>
    <t>HAUTEFAGE</t>
  </si>
  <si>
    <t>BRIGNE</t>
  </si>
  <si>
    <t>LA BRETENIERE</t>
  </si>
  <si>
    <t>CHORANCHE</t>
  </si>
  <si>
    <t>DAMMARIE-SUR-SAULX</t>
  </si>
  <si>
    <t>SAINT-AUBIN-LA-PLAINE</t>
  </si>
  <si>
    <t>MERCKEGHEM</t>
  </si>
  <si>
    <t>29160</t>
  </si>
  <si>
    <t>CROZON</t>
  </si>
  <si>
    <t>CERNY</t>
  </si>
  <si>
    <t>CHANOUSSE</t>
  </si>
  <si>
    <t>ALLONNES</t>
  </si>
  <si>
    <t>DOMQUEUR</t>
  </si>
  <si>
    <t>BUGNY</t>
  </si>
  <si>
    <t>Y</t>
  </si>
  <si>
    <t>MARTAINNEVILLE</t>
  </si>
  <si>
    <t>JUVIGNY-SUR-ORNE</t>
  </si>
  <si>
    <t>GLAIGNES</t>
  </si>
  <si>
    <t>LARNAGOL</t>
  </si>
  <si>
    <t>SEPMES</t>
  </si>
  <si>
    <t>BOUCHOIR</t>
  </si>
  <si>
    <t>VERGONNES</t>
  </si>
  <si>
    <t>DARNETS</t>
  </si>
  <si>
    <t>LAVERNAY</t>
  </si>
  <si>
    <t>SAINT-AUBIN-DU-PERRON</t>
  </si>
  <si>
    <t>67204</t>
  </si>
  <si>
    <t>ACHENHEIM</t>
  </si>
  <si>
    <t>TRAMBLY</t>
  </si>
  <si>
    <t>EPPE-SAUVAGE</t>
  </si>
  <si>
    <t>BRIEUIL-SUR-CHIZE</t>
  </si>
  <si>
    <t>VITTEL</t>
  </si>
  <si>
    <t>PEBRAC</t>
  </si>
  <si>
    <t>FAUILLET</t>
  </si>
  <si>
    <t>MERRY-LA-VALLEE</t>
  </si>
  <si>
    <t>13800</t>
  </si>
  <si>
    <t>ISTRES</t>
  </si>
  <si>
    <t>VELLEMOZ</t>
  </si>
  <si>
    <t>13570</t>
  </si>
  <si>
    <t>BARBENTANE</t>
  </si>
  <si>
    <t>DEMI-QUARTIER</t>
  </si>
  <si>
    <t>AVOCOURT</t>
  </si>
  <si>
    <t>SAINT-PABU</t>
  </si>
  <si>
    <t>SAINT-MALO-DE-LA-LANDE</t>
  </si>
  <si>
    <t>COMMUNAILLES-EN-MONTAGNE</t>
  </si>
  <si>
    <t>MALREVERS</t>
  </si>
  <si>
    <t>LATILLE</t>
  </si>
  <si>
    <t>MAYRINHAC-LENTOUR</t>
  </si>
  <si>
    <t>FLASSIGNY</t>
  </si>
  <si>
    <t>THIEBAUMENIL</t>
  </si>
  <si>
    <t>SAINT-MEEN</t>
  </si>
  <si>
    <t>PAS-DE-JEU</t>
  </si>
  <si>
    <t>HUILLE</t>
  </si>
  <si>
    <t>VEGENNES</t>
  </si>
  <si>
    <t>LANTEFONTAINE</t>
  </si>
  <si>
    <t>56110</t>
  </si>
  <si>
    <t>GOURIN</t>
  </si>
  <si>
    <t>33560</t>
  </si>
  <si>
    <t>CARBON-BLANC</t>
  </si>
  <si>
    <t>SAINT-ROBERT</t>
  </si>
  <si>
    <t>HERLIN-LE-SEC</t>
  </si>
  <si>
    <t>4340</t>
  </si>
  <si>
    <t>SAINT-VINCENT-LES-FORTS</t>
  </si>
  <si>
    <t>DOMMARTIN-LES-TOUL</t>
  </si>
  <si>
    <t>PAREAC</t>
  </si>
  <si>
    <t>CREYSSEILLES</t>
  </si>
  <si>
    <t>59520</t>
  </si>
  <si>
    <t>MARQUETTE-LEZ-LILLE</t>
  </si>
  <si>
    <t>HARTENNES-ET-TAUX</t>
  </si>
  <si>
    <t>LES VEYS</t>
  </si>
  <si>
    <t>VAULX</t>
  </si>
  <si>
    <t>LAVOUTE-SUR-LOIRE</t>
  </si>
  <si>
    <t>BRANS</t>
  </si>
  <si>
    <t>BOUZY</t>
  </si>
  <si>
    <t>VILLERS-DEVANT-MOUZON</t>
  </si>
  <si>
    <t>GRUSSENHEIM</t>
  </si>
  <si>
    <t>MANNEVILLE-LA-GOUPIL</t>
  </si>
  <si>
    <t>VRY</t>
  </si>
  <si>
    <t>CEYROUX</t>
  </si>
  <si>
    <t>2A209</t>
  </si>
  <si>
    <t>PERI</t>
  </si>
  <si>
    <t>INCHY</t>
  </si>
  <si>
    <t>SAINT-DIZANT-DU-GUA</t>
  </si>
  <si>
    <t>PODENSAC</t>
  </si>
  <si>
    <t>LEYSSARD</t>
  </si>
  <si>
    <t>MARESQUEL-ECQUEMICOURT</t>
  </si>
  <si>
    <t>CELLEFROUIN</t>
  </si>
  <si>
    <t>SAINT-PIERRE-DE-LA-FAGE</t>
  </si>
  <si>
    <t>LE MAISNIL</t>
  </si>
  <si>
    <t>ARBOUANS</t>
  </si>
  <si>
    <t>SAINTE-JULIE</t>
  </si>
  <si>
    <t>SAUMEJAN</t>
  </si>
  <si>
    <t>THICOURT</t>
  </si>
  <si>
    <t>SAINT-LOUP-DE-BUFFIGNY</t>
  </si>
  <si>
    <t>VIC-SUR-CERE</t>
  </si>
  <si>
    <t>MENIL-EN-XAINTOIS</t>
  </si>
  <si>
    <t>ARMENTIERES-SUR-AVRE</t>
  </si>
  <si>
    <t>BOURGALTROFF</t>
  </si>
  <si>
    <t>SAINT-PIERRE-DE-FRUGIE</t>
  </si>
  <si>
    <t>VETRAZ-MONTHOUX</t>
  </si>
  <si>
    <t>VOULGEZAC</t>
  </si>
  <si>
    <t>FAYCELLES</t>
  </si>
  <si>
    <t>91670</t>
  </si>
  <si>
    <t>TOULIS-ET-ATTENCOURT</t>
  </si>
  <si>
    <t>COUR-SUR-LOIRE</t>
  </si>
  <si>
    <t>LARTIGUE</t>
  </si>
  <si>
    <t>SAINT-PRANCHER</t>
  </si>
  <si>
    <t>SEYNES</t>
  </si>
  <si>
    <t>GOUAUX</t>
  </si>
  <si>
    <t>18160</t>
  </si>
  <si>
    <t>SAINT-HILAIRE-EN-LIGNIERES</t>
  </si>
  <si>
    <t>SAINT-SYLVESTRE-SUR-LOT</t>
  </si>
  <si>
    <t>PERRIGNY-SUR-LOIRE</t>
  </si>
  <si>
    <t>50460</t>
  </si>
  <si>
    <t>TONNEVILLE</t>
  </si>
  <si>
    <t>EFFRY</t>
  </si>
  <si>
    <t>FLEURVILLE</t>
  </si>
  <si>
    <t>SAINT-SEVER</t>
  </si>
  <si>
    <t>ROUVRES-EN-PLAINE</t>
  </si>
  <si>
    <t>BOULOT</t>
  </si>
  <si>
    <t>SAINT-FLOUR-DE-MERCOIRE</t>
  </si>
  <si>
    <t>LONCON</t>
  </si>
  <si>
    <t>LA MOTTE-DU-CAIRE</t>
  </si>
  <si>
    <t>VILLENEUVE-DE-MARC</t>
  </si>
  <si>
    <t>VAUCHELLES</t>
  </si>
  <si>
    <t>NANNAY</t>
  </si>
  <si>
    <t>SAINT-MARTIN-LESTRA</t>
  </si>
  <si>
    <t>BALIGNICOURT</t>
  </si>
  <si>
    <t>LAURAC</t>
  </si>
  <si>
    <t>SEREMANGE-ERZANGE</t>
  </si>
  <si>
    <t>MELVE</t>
  </si>
  <si>
    <t>SOREDE</t>
  </si>
  <si>
    <t>THOL-LES-MILLIERES</t>
  </si>
  <si>
    <t>CUZIEU</t>
  </si>
  <si>
    <t>VRAUX</t>
  </si>
  <si>
    <t>DROUE</t>
  </si>
  <si>
    <t>68120</t>
  </si>
  <si>
    <t>PFASTATT</t>
  </si>
  <si>
    <t>MURTIN-ET-BOGNY</t>
  </si>
  <si>
    <t>LOUHOSSOA</t>
  </si>
  <si>
    <t>FAILLY</t>
  </si>
  <si>
    <t>JAXU</t>
  </si>
  <si>
    <t>PAYRIGNAC</t>
  </si>
  <si>
    <t>BRAS-D'ASSE</t>
  </si>
  <si>
    <t>FERRUSSAC</t>
  </si>
  <si>
    <t>LA CHAPELLE-D'ANDAINE</t>
  </si>
  <si>
    <t>17690</t>
  </si>
  <si>
    <t>ANGOULINS</t>
  </si>
  <si>
    <t>59553</t>
  </si>
  <si>
    <t>LAUWIN-PLANQUE</t>
  </si>
  <si>
    <t>CHAMBERY</t>
  </si>
  <si>
    <t>BOULT-AUX-BOIS</t>
  </si>
  <si>
    <t>MORIVILLE</t>
  </si>
  <si>
    <t>SAINT-GEOIRS</t>
  </si>
  <si>
    <t>CLITOURPS</t>
  </si>
  <si>
    <t>HAVERSKERQUE</t>
  </si>
  <si>
    <t>VILLE-EN-TARDENOIS</t>
  </si>
  <si>
    <t>NOALHAT</t>
  </si>
  <si>
    <t>42610</t>
  </si>
  <si>
    <t>SAINT-GEORGES-HAUTE-VILLE</t>
  </si>
  <si>
    <t>AURIOLLES</t>
  </si>
  <si>
    <t>FRENOUVILLE</t>
  </si>
  <si>
    <t>LA ROQUE-SUR-CEZE</t>
  </si>
  <si>
    <t>BOERSCH</t>
  </si>
  <si>
    <t>VIEILLEVIGNE</t>
  </si>
  <si>
    <t>LAY-SAINT-REMY</t>
  </si>
  <si>
    <t>SAINT-PANCRACE</t>
  </si>
  <si>
    <t>ESPINASSES</t>
  </si>
  <si>
    <t>TROUBAT</t>
  </si>
  <si>
    <t>SAINT-ETIENNE-DE-BAIGORRY</t>
  </si>
  <si>
    <t>BEAUCOURT-EN-SANTERRE</t>
  </si>
  <si>
    <t>56430</t>
  </si>
  <si>
    <t>BRIGNAC</t>
  </si>
  <si>
    <t>97355</t>
  </si>
  <si>
    <t>MACOURIA</t>
  </si>
  <si>
    <t>LIMOGES-FOURCHES</t>
  </si>
  <si>
    <t>MIGLOS</t>
  </si>
  <si>
    <t>SERMAIZE</t>
  </si>
  <si>
    <t>38750</t>
  </si>
  <si>
    <t>HUEZ</t>
  </si>
  <si>
    <t>PONCEY-SUR-L'IGNON</t>
  </si>
  <si>
    <t>GRANDRIEU</t>
  </si>
  <si>
    <t>PEYROUSE</t>
  </si>
  <si>
    <t>LA VERRIERE</t>
  </si>
  <si>
    <t>SAIRES-LA-VERRERIE</t>
  </si>
  <si>
    <t>CHANAZ</t>
  </si>
  <si>
    <t>ESTIGARDE</t>
  </si>
  <si>
    <t>CHAMPANGES</t>
  </si>
  <si>
    <t>SAINT-VINCENT-DES-PRES</t>
  </si>
  <si>
    <t>BAILLEUL-LES-PERNES</t>
  </si>
  <si>
    <t>THOU</t>
  </si>
  <si>
    <t>MONTHUREUX-SUR-SAONE</t>
  </si>
  <si>
    <t>MONTOURS</t>
  </si>
  <si>
    <t>JAMBVILLE</t>
  </si>
  <si>
    <t>MIRANNES</t>
  </si>
  <si>
    <t>CRESSENSAC</t>
  </si>
  <si>
    <t>ERBREE</t>
  </si>
  <si>
    <t>LE MASNAU-MASSUGUIES</t>
  </si>
  <si>
    <t>ANNOIRE</t>
  </si>
  <si>
    <t>CHAMBOLLE-MUSIGNY</t>
  </si>
  <si>
    <t>CASTELMORON-D'ALBRET</t>
  </si>
  <si>
    <t>13330</t>
  </si>
  <si>
    <t>LA BARBEN</t>
  </si>
  <si>
    <t>90160</t>
  </si>
  <si>
    <t>BESSONCOURT</t>
  </si>
  <si>
    <t>THIEULLOY-LA-VILLE</t>
  </si>
  <si>
    <t>LANTHEUIL</t>
  </si>
  <si>
    <t>NARBIEF</t>
  </si>
  <si>
    <t>BESSE</t>
  </si>
  <si>
    <t>CAPTIEUX</t>
  </si>
  <si>
    <t>40390</t>
  </si>
  <si>
    <t>BEZOUCE</t>
  </si>
  <si>
    <t>VERNEUIL-MOUSTIERS</t>
  </si>
  <si>
    <t>POTIGNY</t>
  </si>
  <si>
    <t>SIVIGNON</t>
  </si>
  <si>
    <t>SAINT-DENIS-DU-PIN</t>
  </si>
  <si>
    <t>TACOIGNIERES</t>
  </si>
  <si>
    <t>CHAMAGNIEU</t>
  </si>
  <si>
    <t>VILLERS-CARBONNEL</t>
  </si>
  <si>
    <t>LA GRIMAUDIERE</t>
  </si>
  <si>
    <t>LE RIBAY</t>
  </si>
  <si>
    <t>SAINT-JEAN-DES-BOIS</t>
  </si>
  <si>
    <t>ROUY-LE-PETIT</t>
  </si>
  <si>
    <t>MONTMACQ</t>
  </si>
  <si>
    <t>DIDENHEIM</t>
  </si>
  <si>
    <t>SAINT-VINCENT-SUR-L'ISLE</t>
  </si>
  <si>
    <t>SAINT-MAURICE-LE-VIEIL</t>
  </si>
  <si>
    <t>BUNUS</t>
  </si>
  <si>
    <t>REMBERCOURT-SUR-MAD</t>
  </si>
  <si>
    <t>CORNILLON-SUR-L'OULE</t>
  </si>
  <si>
    <t>VILLEPREUX</t>
  </si>
  <si>
    <t>SAINT-JEAN-DEVANT-POSSESSE</t>
  </si>
  <si>
    <t>CERE-LA-RONDE</t>
  </si>
  <si>
    <t>45150</t>
  </si>
  <si>
    <t>DARVOY</t>
  </si>
  <si>
    <t>GOETZENBRUCK</t>
  </si>
  <si>
    <t>PLOUZELAMBRE</t>
  </si>
  <si>
    <t>LA CHAPELLE-SUR-FURIEUSE</t>
  </si>
  <si>
    <t>22540</t>
  </si>
  <si>
    <t>PEDERNEC</t>
  </si>
  <si>
    <t>SAINT-SANTIN-DE-MAURS</t>
  </si>
  <si>
    <t>BLAGNY</t>
  </si>
  <si>
    <t>SAUVIGNEY-LES-GRAY</t>
  </si>
  <si>
    <t>EYJEAUX</t>
  </si>
  <si>
    <t>MEZANGERS</t>
  </si>
  <si>
    <t>33330</t>
  </si>
  <si>
    <t>VIGNONET</t>
  </si>
  <si>
    <t>VEZELS-ROUSSY</t>
  </si>
  <si>
    <t>69120</t>
  </si>
  <si>
    <t>VAULX-EN-VELIN</t>
  </si>
  <si>
    <t>REZONVILLE</t>
  </si>
  <si>
    <t>FLORENTIA</t>
  </si>
  <si>
    <t>SCY-CHAZELLES</t>
  </si>
  <si>
    <t>MERICOURT-EN-VIMEU</t>
  </si>
  <si>
    <t>ARTHEZ-D'ASSON</t>
  </si>
  <si>
    <t>BREMONCOURT</t>
  </si>
  <si>
    <t>NOIRON-SOUS-GEVREY</t>
  </si>
  <si>
    <t>PESLIERES</t>
  </si>
  <si>
    <t>BONVILLERS</t>
  </si>
  <si>
    <t>SOS</t>
  </si>
  <si>
    <t>VAAS</t>
  </si>
  <si>
    <t>MULSANS</t>
  </si>
  <si>
    <t>MONTIGNY-SOUS-MARLE</t>
  </si>
  <si>
    <t>CHAMBON-SUR-CISSE</t>
  </si>
  <si>
    <t>97430</t>
  </si>
  <si>
    <t>LE TAMPON</t>
  </si>
  <si>
    <t>SAINT-EMILION</t>
  </si>
  <si>
    <t>LANNE-EN-BARETOUS</t>
  </si>
  <si>
    <t>COUCHEY</t>
  </si>
  <si>
    <t>ROUVIGNIES</t>
  </si>
  <si>
    <t>MONTBERAUD</t>
  </si>
  <si>
    <t>HALLOY</t>
  </si>
  <si>
    <t>FONTAINE-BELLENGER</t>
  </si>
  <si>
    <t>ORGES</t>
  </si>
  <si>
    <t>BIENVILLERS-AU-BOIS</t>
  </si>
  <si>
    <t>NOCHIZE</t>
  </si>
  <si>
    <t>59165</t>
  </si>
  <si>
    <t>AUBERCHICOURT</t>
  </si>
  <si>
    <t>TAURIAC-DE-CAMARES</t>
  </si>
  <si>
    <t>SETQUES</t>
  </si>
  <si>
    <t>SALMAGNE</t>
  </si>
  <si>
    <t>ROMORANTIN-LANTHENAY</t>
  </si>
  <si>
    <t>LE PLA</t>
  </si>
  <si>
    <t>PIZAY</t>
  </si>
  <si>
    <t>LES MATELLES</t>
  </si>
  <si>
    <t>LAUNAGUET</t>
  </si>
  <si>
    <t>60460</t>
  </si>
  <si>
    <t>PRECY-SUR-OISE</t>
  </si>
  <si>
    <t>SASSEY-SUR-MEUSE</t>
  </si>
  <si>
    <t>GOMMEGNIES</t>
  </si>
  <si>
    <t>MONTAGNY-SUR-GROSNE</t>
  </si>
  <si>
    <t>CHALETTE-SUR-LOING</t>
  </si>
  <si>
    <t>CHAMARANDE</t>
  </si>
  <si>
    <t>JURY</t>
  </si>
  <si>
    <t>SAINTE-CROIX-SUR-ORNE</t>
  </si>
  <si>
    <t>CAUDEVAL</t>
  </si>
  <si>
    <t>HIERSAC</t>
  </si>
  <si>
    <t>SARCEY</t>
  </si>
  <si>
    <t>SAINT-AUBIN-SUR-GAILLON</t>
  </si>
  <si>
    <t>MONTASTRUC</t>
  </si>
  <si>
    <t>ENVAL</t>
  </si>
  <si>
    <t>SAINT-DENIS-D'ORQUES</t>
  </si>
  <si>
    <t>29570</t>
  </si>
  <si>
    <t>CAMARET-SUR-MER</t>
  </si>
  <si>
    <t>GRANGES-SUR-BAUME</t>
  </si>
  <si>
    <t>BETHANCOURT-EN-VALOIS</t>
  </si>
  <si>
    <t>ROMAGNE</t>
  </si>
  <si>
    <t>BAUDRE</t>
  </si>
  <si>
    <t>SOLGNE</t>
  </si>
  <si>
    <t>2B283</t>
  </si>
  <si>
    <t>SOLARO</t>
  </si>
  <si>
    <t>FULVY</t>
  </si>
  <si>
    <t>MONTMIREY-LE-CHATEAU</t>
  </si>
  <si>
    <t>HELLIMER</t>
  </si>
  <si>
    <t>MAZERIER</t>
  </si>
  <si>
    <t>GACOGNE</t>
  </si>
  <si>
    <t>FROSSAY</t>
  </si>
  <si>
    <t>TOUVILLE</t>
  </si>
  <si>
    <t>PLESSIS-DE-ROYE</t>
  </si>
  <si>
    <t>ARBOIS</t>
  </si>
  <si>
    <t>OULON</t>
  </si>
  <si>
    <t>SAINT-PIERRE-DU-LOROUER</t>
  </si>
  <si>
    <t>SAINT-PEREUSE</t>
  </si>
  <si>
    <t>BAN-DE-SAPT</t>
  </si>
  <si>
    <t>SAINT-MARTIN-D'OLLIERES</t>
  </si>
  <si>
    <t>MALGUENAC</t>
  </si>
  <si>
    <t>64480</t>
  </si>
  <si>
    <t>HALSOU</t>
  </si>
  <si>
    <t>SAINT-MARTIN-LE-REDON</t>
  </si>
  <si>
    <t>FONTANGY</t>
  </si>
  <si>
    <t>LONGUENESSE</t>
  </si>
  <si>
    <t>BOURECQ</t>
  </si>
  <si>
    <t>OLENDON</t>
  </si>
  <si>
    <t>BELCAIRE</t>
  </si>
  <si>
    <t>ATHIES-SOUS-LAON</t>
  </si>
  <si>
    <t>CRECHETS</t>
  </si>
  <si>
    <t>LE CAULE-SAINTE-BEUVE</t>
  </si>
  <si>
    <t>GESTAS</t>
  </si>
  <si>
    <t>AMBILLOU</t>
  </si>
  <si>
    <t>AZERAT</t>
  </si>
  <si>
    <t>SOULVACHE</t>
  </si>
  <si>
    <t>FRANLEU</t>
  </si>
  <si>
    <t>SAINT-CHAMAS</t>
  </si>
  <si>
    <t>68590</t>
  </si>
  <si>
    <t>RORSCHWIHR</t>
  </si>
  <si>
    <t>OUTINES</t>
  </si>
  <si>
    <t>CAMBAYRAC</t>
  </si>
  <si>
    <t>LE QUILLIO</t>
  </si>
  <si>
    <t>SERRIS</t>
  </si>
  <si>
    <t>20166</t>
  </si>
  <si>
    <t>2A228</t>
  </si>
  <si>
    <t>PIETROSELLA</t>
  </si>
  <si>
    <t>LAMORVILLE</t>
  </si>
  <si>
    <t>CUNELIERES</t>
  </si>
  <si>
    <t>CHAMBOST-LONGESSAIGNE</t>
  </si>
  <si>
    <t>WILLERWALD</t>
  </si>
  <si>
    <t>BOURCQ</t>
  </si>
  <si>
    <t>ARMES</t>
  </si>
  <si>
    <t>TREFFRIN</t>
  </si>
  <si>
    <t>53950</t>
  </si>
  <si>
    <t>LOUVERNE</t>
  </si>
  <si>
    <t>MARQUERIE</t>
  </si>
  <si>
    <t>CROSEY-LE-GRAND</t>
  </si>
  <si>
    <t>93190</t>
  </si>
  <si>
    <t>LIVRY-GARGAN</t>
  </si>
  <si>
    <t>OUEZY</t>
  </si>
  <si>
    <t>SAINT-MAMERT-DU-GARD</t>
  </si>
  <si>
    <t>ONET-LE-CHATEAU</t>
  </si>
  <si>
    <t>LONGUEVILLE-SUR-AUBE</t>
  </si>
  <si>
    <t>PUY-DU-LAC</t>
  </si>
  <si>
    <t>SAINT-PIERRE-CANIVET</t>
  </si>
  <si>
    <t>POISVILLIERS</t>
  </si>
  <si>
    <t>DUILHAC-SOUS-PEYREPERTUSE</t>
  </si>
  <si>
    <t>MONTEILLE</t>
  </si>
  <si>
    <t>25700</t>
  </si>
  <si>
    <t>MATHAY</t>
  </si>
  <si>
    <t>NORROY-LE-SEC</t>
  </si>
  <si>
    <t>BELIN-BELIET</t>
  </si>
  <si>
    <t>HEDAUVILLE</t>
  </si>
  <si>
    <t>43190</t>
  </si>
  <si>
    <t>LE MAS-DE-TENCE</t>
  </si>
  <si>
    <t>LEFFARD</t>
  </si>
  <si>
    <t>HAUTEFORT</t>
  </si>
  <si>
    <t>PARAZA</t>
  </si>
  <si>
    <t>RAMOUSIES</t>
  </si>
  <si>
    <t>RAMECOURT</t>
  </si>
  <si>
    <t>AVOINE</t>
  </si>
  <si>
    <t>LA BRILLANNE</t>
  </si>
  <si>
    <t>POILHES</t>
  </si>
  <si>
    <t>GARGENVILLE</t>
  </si>
  <si>
    <t>GUICLAN</t>
  </si>
  <si>
    <t>2650</t>
  </si>
  <si>
    <t>FOSSOY</t>
  </si>
  <si>
    <t>HANGARD</t>
  </si>
  <si>
    <t>ROZERIEULLES</t>
  </si>
  <si>
    <t>LA CHAPELLE-BASSE-MER</t>
  </si>
  <si>
    <t>MONESTIER-DE-CLERMONT</t>
  </si>
  <si>
    <t>SEGONZAC</t>
  </si>
  <si>
    <t>2A349</t>
  </si>
  <si>
    <t>VIGGIANELLO</t>
  </si>
  <si>
    <t>LA COCHERE</t>
  </si>
  <si>
    <t>FONSOMME</t>
  </si>
  <si>
    <t>DESTRY</t>
  </si>
  <si>
    <t>BASSIGNAC-LE-HAUT</t>
  </si>
  <si>
    <t>MOUSCARDES</t>
  </si>
  <si>
    <t>BERTRANGE</t>
  </si>
  <si>
    <t>91300</t>
  </si>
  <si>
    <t>VERGOIGNAN</t>
  </si>
  <si>
    <t>13950</t>
  </si>
  <si>
    <t>CADOLIVE</t>
  </si>
  <si>
    <t>MARINES</t>
  </si>
  <si>
    <t>PLESLIN-TRIGAVOU</t>
  </si>
  <si>
    <t>VAL-DE-FIER</t>
  </si>
  <si>
    <t>OMONT</t>
  </si>
  <si>
    <t>L'ECHELLE</t>
  </si>
  <si>
    <t>SAINT-SOUPPLETS</t>
  </si>
  <si>
    <t>BRASSEMPOUY</t>
  </si>
  <si>
    <t>L'ISLE-D'ABEAU</t>
  </si>
  <si>
    <t>SAINT-FIRMIN-DES-BOIS</t>
  </si>
  <si>
    <t>HERZEELE</t>
  </si>
  <si>
    <t>LEXY</t>
  </si>
  <si>
    <t>TARGON</t>
  </si>
  <si>
    <t>BETRACQ</t>
  </si>
  <si>
    <t>TOURNEFORT</t>
  </si>
  <si>
    <t>PUECHREDON</t>
  </si>
  <si>
    <t>13720</t>
  </si>
  <si>
    <t>LA BOUILLADISSE</t>
  </si>
  <si>
    <t>39330</t>
  </si>
  <si>
    <t>MOUCHARD</t>
  </si>
  <si>
    <t>SAINT-BARNABE</t>
  </si>
  <si>
    <t>TREBONS-SUR-LA-GRASSE</t>
  </si>
  <si>
    <t>CHAMPCEVRAIS</t>
  </si>
  <si>
    <t>MARLY-GOMONT</t>
  </si>
  <si>
    <t>VRON</t>
  </si>
  <si>
    <t>HAMELET</t>
  </si>
  <si>
    <t>CLEDEN-POHER</t>
  </si>
  <si>
    <t>SOMMETTE-EAUCOURT</t>
  </si>
  <si>
    <t>2B155</t>
  </si>
  <si>
    <t>MATRA</t>
  </si>
  <si>
    <t>VILLERS-EN-ARGONNE</t>
  </si>
  <si>
    <t>TOURRENQUETS</t>
  </si>
  <si>
    <t>IZESTE</t>
  </si>
  <si>
    <t>56570</t>
  </si>
  <si>
    <t>LOCMIQUELIC</t>
  </si>
  <si>
    <t>MOULINS</t>
  </si>
  <si>
    <t>CONCRESSAULT</t>
  </si>
  <si>
    <t>COURS-LES-BAINS</t>
  </si>
  <si>
    <t>LE THUIT-ANGER</t>
  </si>
  <si>
    <t>BEZOUOTTE</t>
  </si>
  <si>
    <t>PEILLAC</t>
  </si>
  <si>
    <t>FRONCLES</t>
  </si>
  <si>
    <t>FOURNES-CABARDES</t>
  </si>
  <si>
    <t>FIRMI</t>
  </si>
  <si>
    <t>SAINT-PAUL-LE-JEUNE</t>
  </si>
  <si>
    <t>LEMBRAS</t>
  </si>
  <si>
    <t>CIDEVILLE</t>
  </si>
  <si>
    <t>CLERY-SAINT-ANDRE</t>
  </si>
  <si>
    <t>NOTRE-DAME-DE-LONDRES</t>
  </si>
  <si>
    <t>CANTE</t>
  </si>
  <si>
    <t>LES HERBIERS</t>
  </si>
  <si>
    <t>29760</t>
  </si>
  <si>
    <t>PENMARCH</t>
  </si>
  <si>
    <t>NANC-LES-SAINT-AMOUR</t>
  </si>
  <si>
    <t>BUCEY-EN-OTHE</t>
  </si>
  <si>
    <t>11620</t>
  </si>
  <si>
    <t>VILLEMOUSTAUSSOU</t>
  </si>
  <si>
    <t>DAMPLEUX</t>
  </si>
  <si>
    <t>QUINCY-SOUS-SENART</t>
  </si>
  <si>
    <t>ECOUCHE</t>
  </si>
  <si>
    <t>SAINT-MARTIN-LA-PATROUILLE</t>
  </si>
  <si>
    <t>LUBEY</t>
  </si>
  <si>
    <t>SABAZAN</t>
  </si>
  <si>
    <t>59245</t>
  </si>
  <si>
    <t>RECQUIGNIES</t>
  </si>
  <si>
    <t>LABARTHE-INARD</t>
  </si>
  <si>
    <t>FRESQUIENNES</t>
  </si>
  <si>
    <t>DORRES</t>
  </si>
  <si>
    <t>MANDRAY</t>
  </si>
  <si>
    <t>ISLE-AUMONT</t>
  </si>
  <si>
    <t>MUR-DE-BRETAGNE</t>
  </si>
  <si>
    <t>GIERES</t>
  </si>
  <si>
    <t>BEFFES</t>
  </si>
  <si>
    <t>SAINT-FRANCOIS-DE-SALES</t>
  </si>
  <si>
    <t>AIRAN</t>
  </si>
  <si>
    <t>BRAIN-SUR-LONGUENEE</t>
  </si>
  <si>
    <t>LA BOISSIERE-EN-GATINE</t>
  </si>
  <si>
    <t>TREVILLACH</t>
  </si>
  <si>
    <t>ROQUELAURE</t>
  </si>
  <si>
    <t>CHAZEMAIS</t>
  </si>
  <si>
    <t>LUCERAM</t>
  </si>
  <si>
    <t>BOISLEUX-SAINT-MARC</t>
  </si>
  <si>
    <t>FRONTENAS</t>
  </si>
  <si>
    <t>BOUDEVILLE</t>
  </si>
  <si>
    <t>CLEZENTAINE</t>
  </si>
  <si>
    <t>LANGEAC</t>
  </si>
  <si>
    <t>BUSSY-ALBIEUX</t>
  </si>
  <si>
    <t>ROCHE-SUR-LINOTTE-ET-SORANS-LES-CORDIERS</t>
  </si>
  <si>
    <t>COMBREUX</t>
  </si>
  <si>
    <t>FONTAINE-FOURCHES</t>
  </si>
  <si>
    <t>YAINVILLE</t>
  </si>
  <si>
    <t>NEUVILLE-AU-CORNET</t>
  </si>
  <si>
    <t>NIDERHOFF</t>
  </si>
  <si>
    <t>NOYERS-SAINT-MARTIN</t>
  </si>
  <si>
    <t>HOTTOT-LES-BAGUES</t>
  </si>
  <si>
    <t>COUDONS</t>
  </si>
  <si>
    <t>CHAMPIGNY-LE-SEC</t>
  </si>
  <si>
    <t>BUSSIERE-BOFFY</t>
  </si>
  <si>
    <t>COULMER</t>
  </si>
  <si>
    <t>81130</t>
  </si>
  <si>
    <t>TAIX</t>
  </si>
  <si>
    <t>6480</t>
  </si>
  <si>
    <t>LA COLLE-SUR-LOUP</t>
  </si>
  <si>
    <t>97630</t>
  </si>
  <si>
    <t>ACOUA</t>
  </si>
  <si>
    <t>LINARS</t>
  </si>
  <si>
    <t>LA LANDE-SUR-DROME</t>
  </si>
  <si>
    <t>COMBAILLAUX</t>
  </si>
  <si>
    <t>AINCREVILLE</t>
  </si>
  <si>
    <t>87520</t>
  </si>
  <si>
    <t>CIEUX</t>
  </si>
  <si>
    <t>MONTFERRAND-DU-PERIGORD</t>
  </si>
  <si>
    <t>CONQUES</t>
  </si>
  <si>
    <t>URMATT</t>
  </si>
  <si>
    <t>91790</t>
  </si>
  <si>
    <t>BOISSY-SOUS-SAINT-YON</t>
  </si>
  <si>
    <t>SOUSMOULINS</t>
  </si>
  <si>
    <t>ABLAINCOURT-PRESSOIR</t>
  </si>
  <si>
    <t>LE MESNIL-AUBERT</t>
  </si>
  <si>
    <t>SAINT-PAUL-DU-BOIS</t>
  </si>
  <si>
    <t>L'ISLE-ARNE</t>
  </si>
  <si>
    <t>CONDAT-EN-COMBRAILLE</t>
  </si>
  <si>
    <t>MONTRABOT</t>
  </si>
  <si>
    <t>LA TESSOUALLE</t>
  </si>
  <si>
    <t>AYGUEMORTE-LES-GRAVES</t>
  </si>
  <si>
    <t>FERE-EN-TARDENOIS</t>
  </si>
  <si>
    <t>AVORD</t>
  </si>
  <si>
    <t>CRISOLLES</t>
  </si>
  <si>
    <t>LA JONCHERE-SAINT-MAURICE</t>
  </si>
  <si>
    <t>MALBO</t>
  </si>
  <si>
    <t>GEVRY</t>
  </si>
  <si>
    <t>CHAMBOEUF</t>
  </si>
  <si>
    <t>LIAC</t>
  </si>
  <si>
    <t>LAPANOUSE-DE-CERNON</t>
  </si>
  <si>
    <t>THAROISEAU</t>
  </si>
  <si>
    <t>SAINT-JUVAT</t>
  </si>
  <si>
    <t>LE TEIL</t>
  </si>
  <si>
    <t>PIERLAS</t>
  </si>
  <si>
    <t>SELIGNE</t>
  </si>
  <si>
    <t>26200</t>
  </si>
  <si>
    <t>ANCONE</t>
  </si>
  <si>
    <t>PRATS-DE-MOLLO-LA-PRESTE</t>
  </si>
  <si>
    <t>PLANCOET</t>
  </si>
  <si>
    <t>VORGES-LES-PINS</t>
  </si>
  <si>
    <t>MINGOT</t>
  </si>
  <si>
    <t>ALBAS</t>
  </si>
  <si>
    <t>LA CHAPELLE-D'AUNAINVILLE</t>
  </si>
  <si>
    <t>59114</t>
  </si>
  <si>
    <t>STEENVOORDE</t>
  </si>
  <si>
    <t>SINGLY</t>
  </si>
  <si>
    <t>CHEUST</t>
  </si>
  <si>
    <t>RHODES</t>
  </si>
  <si>
    <t>62460</t>
  </si>
  <si>
    <t>DIEVAL</t>
  </si>
  <si>
    <t>SAINT-JEURE-D'AY</t>
  </si>
  <si>
    <t>TOUET-SUR-VAR</t>
  </si>
  <si>
    <t>RANVILLE-BREUILLAUD</t>
  </si>
  <si>
    <t>BACCON</t>
  </si>
  <si>
    <t>CHARAVINES</t>
  </si>
  <si>
    <t>AUXELLES-BAS</t>
  </si>
  <si>
    <t>97114</t>
  </si>
  <si>
    <t>TROIS-RIVIERES</t>
  </si>
  <si>
    <t>LINTOT</t>
  </si>
  <si>
    <t>FONTPEDROUSE</t>
  </si>
  <si>
    <t>LA ROCHE-RIGAULT</t>
  </si>
  <si>
    <t>ICHY</t>
  </si>
  <si>
    <t>RIOM</t>
  </si>
  <si>
    <t>COURTERON</t>
  </si>
  <si>
    <t>NOEL-CERNEUX</t>
  </si>
  <si>
    <t>CHALABRE</t>
  </si>
  <si>
    <t>TESSEL</t>
  </si>
  <si>
    <t>OLEAC-DESSUS</t>
  </si>
  <si>
    <t>SEGRIE-FONTAINE</t>
  </si>
  <si>
    <t>LOURMARIN</t>
  </si>
  <si>
    <t>TROIS-MONTS</t>
  </si>
  <si>
    <t>FONTENOUILLES</t>
  </si>
  <si>
    <t>2B102</t>
  </si>
  <si>
    <t>CROCICCHIA</t>
  </si>
  <si>
    <t>CAZAUX-DEBAT</t>
  </si>
  <si>
    <t>LA GENEVRAYE</t>
  </si>
  <si>
    <t>94510</t>
  </si>
  <si>
    <t>LA QUEUE-EN-BRIE</t>
  </si>
  <si>
    <t>HIERGES</t>
  </si>
  <si>
    <t>AMBRIERES-LES-VALLEES</t>
  </si>
  <si>
    <t>VILLIERS-SUR-THOLON</t>
  </si>
  <si>
    <t>MASSILLARGUES-ATTUECH</t>
  </si>
  <si>
    <t>EVIRES</t>
  </si>
  <si>
    <t>AYHERRE</t>
  </si>
  <si>
    <t>STIGNY</t>
  </si>
  <si>
    <t>DOMMARTIN</t>
  </si>
  <si>
    <t>MTSAMBORO</t>
  </si>
  <si>
    <t>ARTAIX</t>
  </si>
  <si>
    <t>LE GROS-THEIL</t>
  </si>
  <si>
    <t>SAINT-GAULTIER</t>
  </si>
  <si>
    <t>ARCHAIL</t>
  </si>
  <si>
    <t>VOURLES</t>
  </si>
  <si>
    <t>19600</t>
  </si>
  <si>
    <t>ESTIVALS</t>
  </si>
  <si>
    <t>20169</t>
  </si>
  <si>
    <t>2A041</t>
  </si>
  <si>
    <t>BONIFACIO</t>
  </si>
  <si>
    <t>VILLAMBLAIN</t>
  </si>
  <si>
    <t>ANNAY</t>
  </si>
  <si>
    <t>SAINT-ANDRE-D'HUIRIAT</t>
  </si>
  <si>
    <t>BEAUREGARD-ET-BASSAC</t>
  </si>
  <si>
    <t>POUQUES-LORMES</t>
  </si>
  <si>
    <t>LE MESNIL-AMEY</t>
  </si>
  <si>
    <t>95330</t>
  </si>
  <si>
    <t>DOMONT</t>
  </si>
  <si>
    <t>GRURY</t>
  </si>
  <si>
    <t>7790</t>
  </si>
  <si>
    <t>SAINT-ALBAN-D'AY</t>
  </si>
  <si>
    <t>BLAINVILLE-CREVON</t>
  </si>
  <si>
    <t>25570</t>
  </si>
  <si>
    <t>GRAND'COMBE-CHATELEU</t>
  </si>
  <si>
    <t>MATIGNICOURT-GONCOURT</t>
  </si>
  <si>
    <t>MONTENOY</t>
  </si>
  <si>
    <t>PROUVILLE</t>
  </si>
  <si>
    <t>LA DAGUENIERE</t>
  </si>
  <si>
    <t>LES GRAULGES</t>
  </si>
  <si>
    <t>FRANEY</t>
  </si>
  <si>
    <t>JOUAVILLE</t>
  </si>
  <si>
    <t>81270</t>
  </si>
  <si>
    <t>LABASTIDE-ROUAIROUX</t>
  </si>
  <si>
    <t>LIMONT-FONTAINE</t>
  </si>
  <si>
    <t>2B039</t>
  </si>
  <si>
    <t>BISINCHI</t>
  </si>
  <si>
    <t>VOLMERANGE-LES-MINES</t>
  </si>
  <si>
    <t>CAMPAGNE-SUR-AUDE</t>
  </si>
  <si>
    <t>LOMNE</t>
  </si>
  <si>
    <t>LE MESNIL-PATRY</t>
  </si>
  <si>
    <t>LA BAUME-DE-TRANSIT</t>
  </si>
  <si>
    <t>ALTENACH</t>
  </si>
  <si>
    <t>ESPAON</t>
  </si>
  <si>
    <t>BARBEY</t>
  </si>
  <si>
    <t>67670</t>
  </si>
  <si>
    <t>WITTERSHEIM</t>
  </si>
  <si>
    <t>ARNOUVILLE</t>
  </si>
  <si>
    <t>CARENNAC</t>
  </si>
  <si>
    <t>PUISEUX-LE-HAUBERGER</t>
  </si>
  <si>
    <t>2B234</t>
  </si>
  <si>
    <t>PIOBETTA</t>
  </si>
  <si>
    <t>SAINT-PIERRE-SAINT-JEAN</t>
  </si>
  <si>
    <t>CAUDIES-DE-CONFLENT</t>
  </si>
  <si>
    <t>NERE</t>
  </si>
  <si>
    <t>SAINT-MICHEL-DE-MAURIENNE</t>
  </si>
  <si>
    <t>59277</t>
  </si>
  <si>
    <t>RIEUX-EN-CAMBRESIS</t>
  </si>
  <si>
    <t>BOURISP</t>
  </si>
  <si>
    <t>LE MESNIL-VILLEMAN</t>
  </si>
  <si>
    <t>76111</t>
  </si>
  <si>
    <t>VATTETOT-SUR-MER</t>
  </si>
  <si>
    <t>FOUCAUCOURT-EN-SANTERRE</t>
  </si>
  <si>
    <t>CHAILLE-SOUS-LES-ORMEAUX</t>
  </si>
  <si>
    <t>TAGOLSHEIM</t>
  </si>
  <si>
    <t>ARGILLY</t>
  </si>
  <si>
    <t>SAPOGNE-SUR-MARCHE</t>
  </si>
  <si>
    <t>VILLENEUVE-SUR-CHER</t>
  </si>
  <si>
    <t>MONTGUERS</t>
  </si>
  <si>
    <t>ANGERVILLE-BAILLEUL</t>
  </si>
  <si>
    <t>VILLEROY-SUR-MEHOLLE</t>
  </si>
  <si>
    <t>VILLERS-SAINT-GENEST</t>
  </si>
  <si>
    <t>SAINT-CIRQ</t>
  </si>
  <si>
    <t>JOUY-SUR-MORIN</t>
  </si>
  <si>
    <t>PINEY</t>
  </si>
  <si>
    <t>SAINT-JEAN-DE-LUZ</t>
  </si>
  <si>
    <t>20151</t>
  </si>
  <si>
    <t>2A060</t>
  </si>
  <si>
    <t>CANNELLE</t>
  </si>
  <si>
    <t>MAUVAGES</t>
  </si>
  <si>
    <t>COMBRIMONT</t>
  </si>
  <si>
    <t>VERCHENY</t>
  </si>
  <si>
    <t>OUTRIAZ</t>
  </si>
  <si>
    <t>BEZERIL</t>
  </si>
  <si>
    <t>KLEINGOEFT</t>
  </si>
  <si>
    <t>BOURG-SAINT-BERNARD</t>
  </si>
  <si>
    <t>HAVELU</t>
  </si>
  <si>
    <t>CASTAGNEDE</t>
  </si>
  <si>
    <t>SAINT-MEXANT</t>
  </si>
  <si>
    <t>BARRE</t>
  </si>
  <si>
    <t>BRAUX-SAINTE-COHIERE</t>
  </si>
  <si>
    <t>LA PREVIERE</t>
  </si>
  <si>
    <t>RIVILLE</t>
  </si>
  <si>
    <t>VALEZAN</t>
  </si>
  <si>
    <t>LA NEUVILLE-A-MAIRE</t>
  </si>
  <si>
    <t>BESLON</t>
  </si>
  <si>
    <t>PERROY</t>
  </si>
  <si>
    <t>RETHONVILLERS</t>
  </si>
  <si>
    <t>DECAZEVILLE</t>
  </si>
  <si>
    <t>CUBJAC</t>
  </si>
  <si>
    <t>CHATEAUNEUF-SUR-CHER</t>
  </si>
  <si>
    <t>FROHMUHL</t>
  </si>
  <si>
    <t>NEUILLY-LE-VENDIN</t>
  </si>
  <si>
    <t>JAVERDAT</t>
  </si>
  <si>
    <t>LA BASTIDE-CLAIRENCE</t>
  </si>
  <si>
    <t>MIRAMONT-DE-GUYENNE</t>
  </si>
  <si>
    <t>BEAUMETTES</t>
  </si>
  <si>
    <t>VECQUEMONT</t>
  </si>
  <si>
    <t>PAILLART</t>
  </si>
  <si>
    <t>LACHAPELLE-SAINT-PIERRE</t>
  </si>
  <si>
    <t>EXOUDUN</t>
  </si>
  <si>
    <t>SAINT-FLORENT</t>
  </si>
  <si>
    <t>HENANBIHEN</t>
  </si>
  <si>
    <t>LE NAYRAC</t>
  </si>
  <si>
    <t>MUSCOURT</t>
  </si>
  <si>
    <t>67930</t>
  </si>
  <si>
    <t>BEINHEIM</t>
  </si>
  <si>
    <t>MONNAI</t>
  </si>
  <si>
    <t>EYCHEIL</t>
  </si>
  <si>
    <t>20256</t>
  </si>
  <si>
    <t>2B093</t>
  </si>
  <si>
    <t>CORBARA</t>
  </si>
  <si>
    <t>THOLLON-LES-MEMISES</t>
  </si>
  <si>
    <t>LINDEBEUF</t>
  </si>
  <si>
    <t>LOOZE</t>
  </si>
  <si>
    <t>VELOTTE-ET-TATIGNECOURT</t>
  </si>
  <si>
    <t>BERNADETS-DESSUS</t>
  </si>
  <si>
    <t>MENAT</t>
  </si>
  <si>
    <t>SAINT-JORES</t>
  </si>
  <si>
    <t>BELLESERRE</t>
  </si>
  <si>
    <t>LORMES</t>
  </si>
  <si>
    <t>59120</t>
  </si>
  <si>
    <t>LOOS</t>
  </si>
  <si>
    <t>GENE</t>
  </si>
  <si>
    <t>18000</t>
  </si>
  <si>
    <t>BOURGES</t>
  </si>
  <si>
    <t>LAMPERTSLOCH</t>
  </si>
  <si>
    <t>LANDUNVEZ</t>
  </si>
  <si>
    <t>TREVILLERS</t>
  </si>
  <si>
    <t>MARTIGNAS-SUR-JALLE</t>
  </si>
  <si>
    <t>OUDEUIL</t>
  </si>
  <si>
    <t>95760</t>
  </si>
  <si>
    <t>VALMONDOIS</t>
  </si>
  <si>
    <t>BUEIL-EN-TOURAINE</t>
  </si>
  <si>
    <t>SAMADET</t>
  </si>
  <si>
    <t>SAINT-QUENTIN-LE-PETIT</t>
  </si>
  <si>
    <t>LE PALLET</t>
  </si>
  <si>
    <t>TALLER</t>
  </si>
  <si>
    <t>CHEUX</t>
  </si>
  <si>
    <t>EVAUX-ET-MENIL</t>
  </si>
  <si>
    <t>RIOUX</t>
  </si>
  <si>
    <t>CHAMPETIERES</t>
  </si>
  <si>
    <t>LA CHAPELLE-SOUS-BRANCION</t>
  </si>
  <si>
    <t>MOEURS-VERDEY</t>
  </si>
  <si>
    <t>SAINT-MARTIN-D'ARDECHE</t>
  </si>
  <si>
    <t>COLTAINVILLE</t>
  </si>
  <si>
    <t>MONTSERIE</t>
  </si>
  <si>
    <t>PIERREFIQUES</t>
  </si>
  <si>
    <t>HEBECOURT</t>
  </si>
  <si>
    <t>ERBRAY</t>
  </si>
  <si>
    <t>BARRAUX</t>
  </si>
  <si>
    <t>LA BUXERETTE</t>
  </si>
  <si>
    <t>29310</t>
  </si>
  <si>
    <t>QUERRIEN</t>
  </si>
  <si>
    <t>ZARBELING</t>
  </si>
  <si>
    <t>URT</t>
  </si>
  <si>
    <t>CAMPUGNAN</t>
  </si>
  <si>
    <t>VASSY</t>
  </si>
  <si>
    <t>63760</t>
  </si>
  <si>
    <t>LA CROIX-SUR-GARTEMPE</t>
  </si>
  <si>
    <t>CERNAY-LES-REIMS</t>
  </si>
  <si>
    <t>LOCUNOLE</t>
  </si>
  <si>
    <t>VIELMANAY</t>
  </si>
  <si>
    <t>ASNIERES</t>
  </si>
  <si>
    <t>SAINT-SYMPHORIEN-DE-MARMAGNE</t>
  </si>
  <si>
    <t>VILLAINES-LES-ROCHERS</t>
  </si>
  <si>
    <t>SAINT-THIBAUT</t>
  </si>
  <si>
    <t>CHATENAY-SUR-SEINE</t>
  </si>
  <si>
    <t>CHABRAC</t>
  </si>
  <si>
    <t>AZY-LE-VIF</t>
  </si>
  <si>
    <t>PRALONG</t>
  </si>
  <si>
    <t>PAGNY-LA-VILLE</t>
  </si>
  <si>
    <t>MALLEVILLE-LES-GRES</t>
  </si>
  <si>
    <t>PIACE</t>
  </si>
  <si>
    <t>CHATEAUGIRON</t>
  </si>
  <si>
    <t>VARENNES-SUR-SEINE</t>
  </si>
  <si>
    <t>MOMMENHEIM</t>
  </si>
  <si>
    <t>CHALAGNAC</t>
  </si>
  <si>
    <t>PUZEAUX</t>
  </si>
  <si>
    <t>GUYENCOURT-SUR-NOYE</t>
  </si>
  <si>
    <t>68125</t>
  </si>
  <si>
    <t>HOUSSEN</t>
  </si>
  <si>
    <t>VALLEROIS-LE-BOIS</t>
  </si>
  <si>
    <t>FENIOUX</t>
  </si>
  <si>
    <t>NEBIAN</t>
  </si>
  <si>
    <t>PECHARIC-ET-LE-PY</t>
  </si>
  <si>
    <t>LE DOUHET</t>
  </si>
  <si>
    <t>FIERVILLE-BRAY</t>
  </si>
  <si>
    <t>PEXONNE</t>
  </si>
  <si>
    <t>57860</t>
  </si>
  <si>
    <t>RONCOURT</t>
  </si>
  <si>
    <t>LESCHELLE</t>
  </si>
  <si>
    <t>LA BONNEVILLE</t>
  </si>
  <si>
    <t>USTARITZ</t>
  </si>
  <si>
    <t>CAVRON-SAINT-MARTIN</t>
  </si>
  <si>
    <t>SURDOUX</t>
  </si>
  <si>
    <t>ARRAS</t>
  </si>
  <si>
    <t>BRU</t>
  </si>
  <si>
    <t>GASTINES</t>
  </si>
  <si>
    <t>SARCEAUX</t>
  </si>
  <si>
    <t>ESCAUDOEUVRES</t>
  </si>
  <si>
    <t>LA MALACHERE</t>
  </si>
  <si>
    <t>AVERDON</t>
  </si>
  <si>
    <t>ORBAGNA</t>
  </si>
  <si>
    <t>7630</t>
  </si>
  <si>
    <t>CROS-DE-GEORAND</t>
  </si>
  <si>
    <t>PRENERON</t>
  </si>
  <si>
    <t>FERRENSAC</t>
  </si>
  <si>
    <t>ANTERRIEUX</t>
  </si>
  <si>
    <t>TARENTAISE</t>
  </si>
  <si>
    <t>42420</t>
  </si>
  <si>
    <t>LORETTE</t>
  </si>
  <si>
    <t>MURVAUX</t>
  </si>
  <si>
    <t>VAROGNE</t>
  </si>
  <si>
    <t>BERNESQ</t>
  </si>
  <si>
    <t>BUCEY-LES-TRAVES</t>
  </si>
  <si>
    <t>2B298</t>
  </si>
  <si>
    <t>PLASSAC-ROUFFIAC</t>
  </si>
  <si>
    <t>SAINT-MARTINIEN</t>
  </si>
  <si>
    <t>BION</t>
  </si>
  <si>
    <t>CHELLE-DEBAT</t>
  </si>
  <si>
    <t>INEUIL</t>
  </si>
  <si>
    <t>RECOUVRANCE</t>
  </si>
  <si>
    <t>POUZE</t>
  </si>
  <si>
    <t>CHANTEHEUX</t>
  </si>
  <si>
    <t>87370</t>
  </si>
  <si>
    <t>JABREILLES-LES-BORDES</t>
  </si>
  <si>
    <t>FRESNEY</t>
  </si>
  <si>
    <t>HERCE</t>
  </si>
  <si>
    <t>COUME</t>
  </si>
  <si>
    <t>CHEMINON</t>
  </si>
  <si>
    <t>LE PERRIER</t>
  </si>
  <si>
    <t>BEAUVERNOIS</t>
  </si>
  <si>
    <t>BOZ</t>
  </si>
  <si>
    <t>AMANLIS</t>
  </si>
  <si>
    <t>FLOUDES</t>
  </si>
  <si>
    <t>BREUVANNES-EN-BASSIGNY</t>
  </si>
  <si>
    <t>SAINT-MICHEL-DE-LA-PIERRE</t>
  </si>
  <si>
    <t>HOTONNES</t>
  </si>
  <si>
    <t>VILLETTE-LES-DOLE</t>
  </si>
  <si>
    <t>SAULON-LA-CHAPELLE</t>
  </si>
  <si>
    <t>97212</t>
  </si>
  <si>
    <t>MASSILLY</t>
  </si>
  <si>
    <t>SAINT-CIERGE-LA-SERRE</t>
  </si>
  <si>
    <t>CHANOY</t>
  </si>
  <si>
    <t>MOULINS-SUR-YEVRE</t>
  </si>
  <si>
    <t>RANCHAL</t>
  </si>
  <si>
    <t>BRANGUES</t>
  </si>
  <si>
    <t>CHALMOUX</t>
  </si>
  <si>
    <t>CORNEVILLE-LA-FOUQUETIERE</t>
  </si>
  <si>
    <t>VIELLE-LOURON</t>
  </si>
  <si>
    <t>20145</t>
  </si>
  <si>
    <t>2A269</t>
  </si>
  <si>
    <t>SARI-SOLENZARA</t>
  </si>
  <si>
    <t>59279</t>
  </si>
  <si>
    <t>LOON-PLAGE</t>
  </si>
  <si>
    <t>AYDIE</t>
  </si>
  <si>
    <t>LE BAILLEUL</t>
  </si>
  <si>
    <t>SAINT-MARTIN-DES-COMBES</t>
  </si>
  <si>
    <t>BLANGY-LE-CHATEAU</t>
  </si>
  <si>
    <t>PERRIGNIER</t>
  </si>
  <si>
    <t>BROSSAINC</t>
  </si>
  <si>
    <t>2A312</t>
  </si>
  <si>
    <t>SANTA-MARIA-SICHE</t>
  </si>
  <si>
    <t>BOUZIC</t>
  </si>
  <si>
    <t>LA NOUAILLE</t>
  </si>
  <si>
    <t>BOURY-EN-VEXIN</t>
  </si>
  <si>
    <t>LAWARDE-MAUGER-L'HORTOY</t>
  </si>
  <si>
    <t>GEZAINCOURT</t>
  </si>
  <si>
    <t>JOUVENCON</t>
  </si>
  <si>
    <t>97221</t>
  </si>
  <si>
    <t>LE CARBET</t>
  </si>
  <si>
    <t>CASTILLON (CANTON DE LEMBEYE)</t>
  </si>
  <si>
    <t>CHARTAINVILLIERS</t>
  </si>
  <si>
    <t>BENNEY</t>
  </si>
  <si>
    <t>20228</t>
  </si>
  <si>
    <t>2B233</t>
  </si>
  <si>
    <t>PINO</t>
  </si>
  <si>
    <t>MUNCHHOUSE</t>
  </si>
  <si>
    <t>2B304</t>
  </si>
  <si>
    <t>SAN-LORENZO</t>
  </si>
  <si>
    <t>BIENVILLE-LA-PETITE</t>
  </si>
  <si>
    <t>LESME</t>
  </si>
  <si>
    <t>SAINT-NICOLAS-DE-LA-HAIE</t>
  </si>
  <si>
    <t>PLUMELEC</t>
  </si>
  <si>
    <t>LA CHAZE-DE-PEYRE</t>
  </si>
  <si>
    <t>BLAISY-BAS</t>
  </si>
  <si>
    <t>LACARRY-ARHAN-CHARRITTE-DE-HAUT</t>
  </si>
  <si>
    <t>PROVILLE</t>
  </si>
  <si>
    <t>TAURIERS</t>
  </si>
  <si>
    <t>MOUSSON</t>
  </si>
  <si>
    <t>PRADELLES-EN-VAL</t>
  </si>
  <si>
    <t>SAINT-GENES-DE-LOMBAUD</t>
  </si>
  <si>
    <t>LARREULE</t>
  </si>
  <si>
    <t>OLBY</t>
  </si>
  <si>
    <t>FOAMEIX-ORNEL</t>
  </si>
  <si>
    <t>SAINT-VICTOR-SUR-ARLANC</t>
  </si>
  <si>
    <t>LE WAST</t>
  </si>
  <si>
    <t>BALIROS</t>
  </si>
  <si>
    <t>SAINT-MICHEL-DES-ANDAINES</t>
  </si>
  <si>
    <t>MONTRET</t>
  </si>
  <si>
    <t>54425</t>
  </si>
  <si>
    <t>PULNOY</t>
  </si>
  <si>
    <t>SAINT-CAPRAISE-DE-LALINDE</t>
  </si>
  <si>
    <t>MONFLANQUIN</t>
  </si>
  <si>
    <t>SAINT-VAAST-DE-LONGMONT</t>
  </si>
  <si>
    <t>28290</t>
  </si>
  <si>
    <t>SAINT-PELLERIN</t>
  </si>
  <si>
    <t>LAURAGUEL</t>
  </si>
  <si>
    <t>43600</t>
  </si>
  <si>
    <t>SAINTE-SIGOLENE</t>
  </si>
  <si>
    <t>PEYRIAC-MINERVOIS</t>
  </si>
  <si>
    <t>SAINT-HILAIRE-LE-CHATEL</t>
  </si>
  <si>
    <t>LINGEVRES</t>
  </si>
  <si>
    <t>CAUDRY</t>
  </si>
  <si>
    <t>COURCELLES-SOUS-CHATENOIS</t>
  </si>
  <si>
    <t>SANCY</t>
  </si>
  <si>
    <t>SAINTE-CROIX-EN-JAREZ</t>
  </si>
  <si>
    <t>NEUVY-EN-CHAMPAGNE</t>
  </si>
  <si>
    <t>NOUSSEVILLER-LES-BITCHE</t>
  </si>
  <si>
    <t>JEUGNY</t>
  </si>
  <si>
    <t>DANCEVOIR</t>
  </si>
  <si>
    <t>LE MONESTIER-DU-PERCY</t>
  </si>
  <si>
    <t>67460</t>
  </si>
  <si>
    <t>SOUFFELWEYERSHEIM</t>
  </si>
  <si>
    <t>SAINTE-ANNE-SAINT-PRIEST</t>
  </si>
  <si>
    <t>13500</t>
  </si>
  <si>
    <t>MARTIGUES</t>
  </si>
  <si>
    <t>ARDIN</t>
  </si>
  <si>
    <t>TELOCHE</t>
  </si>
  <si>
    <t>SAINT-DENIS-EN-BUGEY</t>
  </si>
  <si>
    <t>LUGAIGNAC</t>
  </si>
  <si>
    <t>LE BOIS-HELLAIN</t>
  </si>
  <si>
    <t>SAINT-VIGOR</t>
  </si>
  <si>
    <t>CAUSSADE-RIVIERE</t>
  </si>
  <si>
    <t>OZIERES</t>
  </si>
  <si>
    <t>CARTIGNY-L'EPINAY</t>
  </si>
  <si>
    <t>DIROL</t>
  </si>
  <si>
    <t>LATAULE</t>
  </si>
  <si>
    <t>PARVILLERS-LE-QUESNOY</t>
  </si>
  <si>
    <t>SAINT-GERMAIN-LES-ARLAY</t>
  </si>
  <si>
    <t>83119</t>
  </si>
  <si>
    <t>BRUE-AURIAC</t>
  </si>
  <si>
    <t>17000</t>
  </si>
  <si>
    <t>LA ROCHELLE</t>
  </si>
  <si>
    <t>PRUGNANES</t>
  </si>
  <si>
    <t>PAULMY</t>
  </si>
  <si>
    <t>AIGNEVILLE</t>
  </si>
  <si>
    <t>CRESSIA</t>
  </si>
  <si>
    <t>CONGRIER</t>
  </si>
  <si>
    <t>83890</t>
  </si>
  <si>
    <t>BESSE-SUR-ISSOLE</t>
  </si>
  <si>
    <t>SAILLY-LE-SEC</t>
  </si>
  <si>
    <t>FEPIN</t>
  </si>
  <si>
    <t>GIGNEVILLE</t>
  </si>
  <si>
    <t>LES CHATELLIERS-NOTRE-DAME</t>
  </si>
  <si>
    <t>CHAVAGNES</t>
  </si>
  <si>
    <t>MORTEAU</t>
  </si>
  <si>
    <t>RAISSAC-D'AUDE</t>
  </si>
  <si>
    <t>SAINT-JEAN-LA-FOUILLOUSE</t>
  </si>
  <si>
    <t>FORMENTIN</t>
  </si>
  <si>
    <t>BELLEVILLE-SUR-MER</t>
  </si>
  <si>
    <t>CASTERA-LECTOUROIS</t>
  </si>
  <si>
    <t>BELLEYDOUX</t>
  </si>
  <si>
    <t>BRUNET</t>
  </si>
  <si>
    <t>AISEY-ET-RICHECOURT</t>
  </si>
  <si>
    <t>VAUDRIVILLERS</t>
  </si>
  <si>
    <t>SURE</t>
  </si>
  <si>
    <t>BONZAC</t>
  </si>
  <si>
    <t>PONET-ET-SAINT-AUBAN</t>
  </si>
  <si>
    <t>CANTELEUX</t>
  </si>
  <si>
    <t>BESSY</t>
  </si>
  <si>
    <t>MONTAMEL</t>
  </si>
  <si>
    <t>2A048</t>
  </si>
  <si>
    <t>CALCATOGGIO</t>
  </si>
  <si>
    <t>POULLIGNAC</t>
  </si>
  <si>
    <t>LA ROCHE-SUR-GRANE</t>
  </si>
  <si>
    <t>GOUY-SERVINS</t>
  </si>
  <si>
    <t>LUXIOL</t>
  </si>
  <si>
    <t>SAIX</t>
  </si>
  <si>
    <t>BETTEMBOS</t>
  </si>
  <si>
    <t>SAINT-GENIEZ-D'OLT</t>
  </si>
  <si>
    <t>SAINT-GEORGES-SUR-FONTAINE</t>
  </si>
  <si>
    <t>LE ROULIER</t>
  </si>
  <si>
    <t>GEISWILLER</t>
  </si>
  <si>
    <t>BONNEVILLE</t>
  </si>
  <si>
    <t>HAUTION</t>
  </si>
  <si>
    <t>LUGAGNAC</t>
  </si>
  <si>
    <t>DONCIERES</t>
  </si>
  <si>
    <t>WASSERBOURG</t>
  </si>
  <si>
    <t>LABESSERETTE</t>
  </si>
  <si>
    <t>58360</t>
  </si>
  <si>
    <t>PREPORCHE</t>
  </si>
  <si>
    <t>BOUTTENCOURT</t>
  </si>
  <si>
    <t>SAINT-BONNET-DE-CONDAT</t>
  </si>
  <si>
    <t>WAMBERCOURT</t>
  </si>
  <si>
    <t>VIENNE-EN-ARTHIES</t>
  </si>
  <si>
    <t>SAINT-GEORGES-SUR-LOIRE</t>
  </si>
  <si>
    <t>FLAUJAC-POUJOLS</t>
  </si>
  <si>
    <t>AUTET</t>
  </si>
  <si>
    <t>79460</t>
  </si>
  <si>
    <t>LA CHAPELLE-EN-SERVAL</t>
  </si>
  <si>
    <t>SAULGE-L'HOPITAL</t>
  </si>
  <si>
    <t>BESSAIS-LE-FROMENTAL</t>
  </si>
  <si>
    <t>VAUCONCOURT-NERVEZAIN</t>
  </si>
  <si>
    <t>POILLE-SUR-VEGRE</t>
  </si>
  <si>
    <t>12450</t>
  </si>
  <si>
    <t>LUC-LA-PRIMAUBE</t>
  </si>
  <si>
    <t>77164</t>
  </si>
  <si>
    <t>FERRIERES-EN-BRIE</t>
  </si>
  <si>
    <t>UZOS</t>
  </si>
  <si>
    <t>COYVILLER</t>
  </si>
  <si>
    <t>VALROS</t>
  </si>
  <si>
    <t>63660</t>
  </si>
  <si>
    <t>SAINT-CLEMENT-DE-VALORGUE</t>
  </si>
  <si>
    <t>SAINT-MAUR-DES-BOIS</t>
  </si>
  <si>
    <t>ROCHECOLOMBE</t>
  </si>
  <si>
    <t>SAINT-COSME-EN-VAIRAIS</t>
  </si>
  <si>
    <t>SAINT-ARCONS-D'ALLIER</t>
  </si>
  <si>
    <t>MENERVAL</t>
  </si>
  <si>
    <t>PASSY-EN-VALOIS</t>
  </si>
  <si>
    <t>BILLE</t>
  </si>
  <si>
    <t>SAINT-MALON-SUR-MEL</t>
  </si>
  <si>
    <t>NEUVES-MAISONS</t>
  </si>
  <si>
    <t>COLONNE</t>
  </si>
  <si>
    <t>THONVILLE</t>
  </si>
  <si>
    <t>SAINT-PARDOULT</t>
  </si>
  <si>
    <t>AUXERRE</t>
  </si>
  <si>
    <t>DACHSTEIN</t>
  </si>
  <si>
    <t>BETHONCOURT</t>
  </si>
  <si>
    <t>BOURSONNE</t>
  </si>
  <si>
    <t>LA LOGE</t>
  </si>
  <si>
    <t>BLESIGNAC</t>
  </si>
  <si>
    <t>ROLAMPONT</t>
  </si>
  <si>
    <t>VILLEBOUGIS</t>
  </si>
  <si>
    <t>NOJALS-ET-CLOTTE</t>
  </si>
  <si>
    <t>CHARRAY</t>
  </si>
  <si>
    <t>CAIRANNE</t>
  </si>
  <si>
    <t>AUREIL</t>
  </si>
  <si>
    <t>CHAPTUZAT</t>
  </si>
  <si>
    <t>SECONDIGNY</t>
  </si>
  <si>
    <t>LULLIN</t>
  </si>
  <si>
    <t>QUEMIGNY-SUR-SEINE</t>
  </si>
  <si>
    <t>BASSY</t>
  </si>
  <si>
    <t>LINTOT-LES-BOIS</t>
  </si>
  <si>
    <t>FRESNEY-LE-VIEUX</t>
  </si>
  <si>
    <t>NOYAL-MUZILLAC</t>
  </si>
  <si>
    <t>ANSOST</t>
  </si>
  <si>
    <t>SAINT-MAIXENT-SUR-VIE</t>
  </si>
  <si>
    <t>SAINT-OUEN-SUR-GARTEMPE</t>
  </si>
  <si>
    <t>CHENE-BERNARD</t>
  </si>
  <si>
    <t>57960</t>
  </si>
  <si>
    <t>SOUCHT</t>
  </si>
  <si>
    <t>MONTAGNIEU</t>
  </si>
  <si>
    <t>BEAUVOIR-WAVANS</t>
  </si>
  <si>
    <t>FLAGY</t>
  </si>
  <si>
    <t>BICHANCOURT</t>
  </si>
  <si>
    <t>LIVILLIERS</t>
  </si>
  <si>
    <t>TORCY-EN-VALOIS</t>
  </si>
  <si>
    <t>CHOUZELOT</t>
  </si>
  <si>
    <t>CAZAUNOUS</t>
  </si>
  <si>
    <t>SERCOEUR</t>
  </si>
  <si>
    <t>2B145</t>
  </si>
  <si>
    <t>LORETO-DI-CASINCA</t>
  </si>
  <si>
    <t>COMBRESSOL</t>
  </si>
  <si>
    <t>VALEYRAC</t>
  </si>
  <si>
    <t>POUILLY-SUR-MEUSE</t>
  </si>
  <si>
    <t>ANNESSE-ET-BEAULIEU</t>
  </si>
  <si>
    <t>TREBRIVAN</t>
  </si>
  <si>
    <t>VOISSAY</t>
  </si>
  <si>
    <t>LE VERNEIL</t>
  </si>
  <si>
    <t>BOURGUIGNON</t>
  </si>
  <si>
    <t>BOVIOLLES</t>
  </si>
  <si>
    <t>FLIGNY</t>
  </si>
  <si>
    <t>POUYASTRUC</t>
  </si>
  <si>
    <t>SAINT-JULIEN-LES-GORZE</t>
  </si>
  <si>
    <t>COUDEHARD</t>
  </si>
  <si>
    <t>AMARENS</t>
  </si>
  <si>
    <t>ISOLA</t>
  </si>
  <si>
    <t>GARREVAQUES</t>
  </si>
  <si>
    <t>LA MOTTE-FOUQUET</t>
  </si>
  <si>
    <t>VENDEGIES-SUR-ECAILLON</t>
  </si>
  <si>
    <t>FRESSENNEVILLE</t>
  </si>
  <si>
    <t>44860</t>
  </si>
  <si>
    <t>PONT-SAINT-MARTIN</t>
  </si>
  <si>
    <t>HABERE-LULLIN</t>
  </si>
  <si>
    <t>BERGBIETEN</t>
  </si>
  <si>
    <t>MONTERTELOT</t>
  </si>
  <si>
    <t>LOURY</t>
  </si>
  <si>
    <t>LE ROC-SAINT-ANDRE</t>
  </si>
  <si>
    <t>NIZEROLLES</t>
  </si>
  <si>
    <t>SAINT-ANDRE-EN-VIVARAIS</t>
  </si>
  <si>
    <t>TREFUMEL</t>
  </si>
  <si>
    <t>GERCY</t>
  </si>
  <si>
    <t>LENCLOITRE</t>
  </si>
  <si>
    <t>LA FERTE-VIDAME</t>
  </si>
  <si>
    <t>ISSANLAS</t>
  </si>
  <si>
    <t>ECOMMOY</t>
  </si>
  <si>
    <t>ROILLY</t>
  </si>
  <si>
    <t>SAINT-DIDIER-D'AUSSIAT</t>
  </si>
  <si>
    <t>SAINT-JEAN-LES-LONGUYON</t>
  </si>
  <si>
    <t>MONTREGARD</t>
  </si>
  <si>
    <t>91600</t>
  </si>
  <si>
    <t>SAVIGNY-SUR-ORGE</t>
  </si>
  <si>
    <t>AUBERCOURT</t>
  </si>
  <si>
    <t>BEZANGE-LA-GRANDE</t>
  </si>
  <si>
    <t>HEINING-LES-BOUZONVILLE</t>
  </si>
  <si>
    <t>87250</t>
  </si>
  <si>
    <t>EBERSHEIM</t>
  </si>
  <si>
    <t>FONTAINE-SUR-AY</t>
  </si>
  <si>
    <t>BESSEY-LES-CITEAUX</t>
  </si>
  <si>
    <t>7450</t>
  </si>
  <si>
    <t>SAINT-PIERRE-DE-COLOMBIER</t>
  </si>
  <si>
    <t>COUTEUGES</t>
  </si>
  <si>
    <t>BAUDEMENT</t>
  </si>
  <si>
    <t>TEISSIERES-LES-BOULIES</t>
  </si>
  <si>
    <t>BAMBECQUE</t>
  </si>
  <si>
    <t>ANZAT-LE-LUGUET</t>
  </si>
  <si>
    <t>SAVASSE</t>
  </si>
  <si>
    <t>BARBASTE</t>
  </si>
  <si>
    <t>93310</t>
  </si>
  <si>
    <t>LE PRE-SAINT-GERVAIS</t>
  </si>
  <si>
    <t>LE CRESTET</t>
  </si>
  <si>
    <t>VILLERS-ALLERAND</t>
  </si>
  <si>
    <t>SAINT-MICHEL-D'EUZET</t>
  </si>
  <si>
    <t>LE MESNIL-BACLEY</t>
  </si>
  <si>
    <t>MONTPONT-EN-BRESSE</t>
  </si>
  <si>
    <t>SAINT-AIL</t>
  </si>
  <si>
    <t>CAMPAGNA-DE-SAULT</t>
  </si>
  <si>
    <t>LA FORCLAZ</t>
  </si>
  <si>
    <t>SAINT-OUEN-LES-VIGNES</t>
  </si>
  <si>
    <t>NOUVION-SUR-MEUSE</t>
  </si>
  <si>
    <t>AUVILLARS</t>
  </si>
  <si>
    <t>VILLAINES-SOUS-LUCE</t>
  </si>
  <si>
    <t>GURAT</t>
  </si>
  <si>
    <t>ARRONVILLE</t>
  </si>
  <si>
    <t>RENAGE</t>
  </si>
  <si>
    <t>LABASTIDE-DU-TEMPLE</t>
  </si>
  <si>
    <t>VILLERS-SOUS-AILLY</t>
  </si>
  <si>
    <t>AVOUDREY</t>
  </si>
  <si>
    <t>LE MESNIL-SIMON</t>
  </si>
  <si>
    <t>PARFONDEVAL</t>
  </si>
  <si>
    <t>BAZOILLES-ET-MENIL</t>
  </si>
  <si>
    <t>GENCAY</t>
  </si>
  <si>
    <t>97315</t>
  </si>
  <si>
    <t>SINNAMARY</t>
  </si>
  <si>
    <t>BORDERES-ET-LAMENSANS</t>
  </si>
  <si>
    <t>LES ESSARDS</t>
  </si>
  <si>
    <t>BORDEAUX-SAINT-CLAIR</t>
  </si>
  <si>
    <t>83600</t>
  </si>
  <si>
    <t>LES ADRETS-DE-L'ESTEREL</t>
  </si>
  <si>
    <t>LE TATRE</t>
  </si>
  <si>
    <t>LE MAGNORAY</t>
  </si>
  <si>
    <t>MERIFONS</t>
  </si>
  <si>
    <t>SAVEUSE</t>
  </si>
  <si>
    <t>FLAMARENS</t>
  </si>
  <si>
    <t>ERNEE</t>
  </si>
  <si>
    <t>IGNOL</t>
  </si>
  <si>
    <t>VILLARGENT</t>
  </si>
  <si>
    <t>LE LARDIN-SAINT-LAZARE</t>
  </si>
  <si>
    <t>LE MESNIL-RAINFRAY</t>
  </si>
  <si>
    <t>MALICORNE-SUR-SARTHE</t>
  </si>
  <si>
    <t>VALETTE</t>
  </si>
  <si>
    <t>LES PONTS-DE-CE</t>
  </si>
  <si>
    <t>GAUDONVILLE</t>
  </si>
  <si>
    <t>59154</t>
  </si>
  <si>
    <t>CRESPIN</t>
  </si>
  <si>
    <t>MONTPINCHON</t>
  </si>
  <si>
    <t>AZAT-CHATENET</t>
  </si>
  <si>
    <t>MACHY</t>
  </si>
  <si>
    <t>83480</t>
  </si>
  <si>
    <t>PUGET-SUR-ARGENS</t>
  </si>
  <si>
    <t>BREHAIN-LA-VILLE</t>
  </si>
  <si>
    <t>ESSEY-ET-MAIZERAIS</t>
  </si>
  <si>
    <t>62187</t>
  </si>
  <si>
    <t>DANNES</t>
  </si>
  <si>
    <t>11490</t>
  </si>
  <si>
    <t>PORTEL-DES-CORBIERES</t>
  </si>
  <si>
    <t>SAINT-MARTIN-D'AOUT</t>
  </si>
  <si>
    <t>LA CROISILLE</t>
  </si>
  <si>
    <t>59153</t>
  </si>
  <si>
    <t>GRAND-FORT-PHILIPPE</t>
  </si>
  <si>
    <t>LEYVILLER</t>
  </si>
  <si>
    <t>GIVERVILLE</t>
  </si>
  <si>
    <t>AIXE-SUR-VIENNE</t>
  </si>
  <si>
    <t>FREMEREVILLE-SOUS-LES-COTES</t>
  </si>
  <si>
    <t>VENDENHEIM</t>
  </si>
  <si>
    <t>SOUCY</t>
  </si>
  <si>
    <t>HAURIET</t>
  </si>
  <si>
    <t>SANCY-LES-PROVINS</t>
  </si>
  <si>
    <t>BESTIAC</t>
  </si>
  <si>
    <t>LES CHAVANNES-EN-MAURIENNE</t>
  </si>
  <si>
    <t>65490</t>
  </si>
  <si>
    <t>OURSBELILLE</t>
  </si>
  <si>
    <t>GRANZAY-GRIPT</t>
  </si>
  <si>
    <t>LE CLOITRE-PLEYBEN</t>
  </si>
  <si>
    <t>COMBRET</t>
  </si>
  <si>
    <t>FLEVILLE</t>
  </si>
  <si>
    <t>BROUCHY</t>
  </si>
  <si>
    <t>LOUPIAC</t>
  </si>
  <si>
    <t>BOULIN</t>
  </si>
  <si>
    <t>CHERRUEIX</t>
  </si>
  <si>
    <t>PRESSIGNAC-VICQ</t>
  </si>
  <si>
    <t>13012</t>
  </si>
  <si>
    <t>MARSEILLE-12E--ARRONDISSEMENT</t>
  </si>
  <si>
    <t>CORNILLE</t>
  </si>
  <si>
    <t>SAINT-LOUP-DE-FRIBOIS</t>
  </si>
  <si>
    <t>SAINT-LUPIEN</t>
  </si>
  <si>
    <t>BILLEY</t>
  </si>
  <si>
    <t>SAINT-MARTIN-D'HARDINGHEM</t>
  </si>
  <si>
    <t>BEZU-SAINT-ELOI</t>
  </si>
  <si>
    <t>MONTCOMBROUX-LES-MINES</t>
  </si>
  <si>
    <t>SOUILLY</t>
  </si>
  <si>
    <t>VIEUX-LIXHEIM</t>
  </si>
  <si>
    <t>ERQUINGHEM-LE-SEC</t>
  </si>
  <si>
    <t>94480</t>
  </si>
  <si>
    <t>ABLON-SUR-SEINE</t>
  </si>
  <si>
    <t>AIROUX</t>
  </si>
  <si>
    <t>COULOMBIERS</t>
  </si>
  <si>
    <t>VONCOURT</t>
  </si>
  <si>
    <t>LA RUE-SAINT-PIERRE</t>
  </si>
  <si>
    <t>NYONS</t>
  </si>
  <si>
    <t>PUYMIROL</t>
  </si>
  <si>
    <t>SAVERES</t>
  </si>
  <si>
    <t>AUDELONCOURT</t>
  </si>
  <si>
    <t>GOURGEON</t>
  </si>
  <si>
    <t>SAINT-AMANT-DE-BONNIEURE</t>
  </si>
  <si>
    <t>GOUY-EN-ARTOIS</t>
  </si>
  <si>
    <t>LEUBRINGHEN</t>
  </si>
  <si>
    <t>MARIGNE-PEUTON</t>
  </si>
  <si>
    <t>20142</t>
  </si>
  <si>
    <t>2A253</t>
  </si>
  <si>
    <t>QUASQUARA</t>
  </si>
  <si>
    <t>NEULETTE</t>
  </si>
  <si>
    <t>DAMPNIAT</t>
  </si>
  <si>
    <t>LUBBON</t>
  </si>
  <si>
    <t>FROLOIS</t>
  </si>
  <si>
    <t>6320</t>
  </si>
  <si>
    <t>LA TURBIE</t>
  </si>
  <si>
    <t>SAINT-BAUDEL</t>
  </si>
  <si>
    <t>CUDOT</t>
  </si>
  <si>
    <t>PRESLES-ET-BOVES</t>
  </si>
  <si>
    <t>BLARU</t>
  </si>
  <si>
    <t>LANFROICOURT</t>
  </si>
  <si>
    <t>SAINT-JEAN-DES-VIGNES</t>
  </si>
  <si>
    <t>PAINBLANC</t>
  </si>
  <si>
    <t>SAINT-MARTIN-DU-LAC</t>
  </si>
  <si>
    <t>L'HOUMEAU</t>
  </si>
  <si>
    <t>CHIVES</t>
  </si>
  <si>
    <t>MONESTIER-D'AMBEL</t>
  </si>
  <si>
    <t>SAINT-GERMAIN-SUR-BRESLE</t>
  </si>
  <si>
    <t>OSNE-LE-VAL</t>
  </si>
  <si>
    <t>PANGES</t>
  </si>
  <si>
    <t>AZAS</t>
  </si>
  <si>
    <t>COISE-SAINT-JEAN-PIED-GAUTHIER</t>
  </si>
  <si>
    <t>BARBECHAT</t>
  </si>
  <si>
    <t>BOURGOGNE</t>
  </si>
  <si>
    <t>CRIQUEBEUF-EN-CAUX</t>
  </si>
  <si>
    <t>ROUEDE</t>
  </si>
  <si>
    <t>BEAUMONT-MONTEUX</t>
  </si>
  <si>
    <t>VANAULT-LES-DAMES</t>
  </si>
  <si>
    <t>DIERREY-SAINT-JULIEN</t>
  </si>
  <si>
    <t>SAINTE-ANNE-SUR-GERVONDE</t>
  </si>
  <si>
    <t>SAINT-ETIENNE-EN-BRESSE</t>
  </si>
  <si>
    <t>DAON</t>
  </si>
  <si>
    <t>DEVEZE</t>
  </si>
  <si>
    <t>80000</t>
  </si>
  <si>
    <t>AMIENS</t>
  </si>
  <si>
    <t>CHAVANNES-SUR-L'ETANG</t>
  </si>
  <si>
    <t>NOGENT-LE-SEC</t>
  </si>
  <si>
    <t>SACOUE</t>
  </si>
  <si>
    <t>CORDEMAIS</t>
  </si>
  <si>
    <t>AUBRY-LE-PANTHOU</t>
  </si>
  <si>
    <t>GARIES</t>
  </si>
  <si>
    <t>ATHIENVILLE</t>
  </si>
  <si>
    <t>BOURG-FIDELE</t>
  </si>
  <si>
    <t>THUREY</t>
  </si>
  <si>
    <t>FAMARS</t>
  </si>
  <si>
    <t>POUANCAY</t>
  </si>
  <si>
    <t>SAINT-JEAN-DE-LIVERSAY</t>
  </si>
  <si>
    <t>MONAY</t>
  </si>
  <si>
    <t>COUTANSOUZE</t>
  </si>
  <si>
    <t>SAINT-MICHEL-EN-L'HERM</t>
  </si>
  <si>
    <t>LOC-BREVALAIRE</t>
  </si>
  <si>
    <t>SAINT-LEGER-DES-AUBEES</t>
  </si>
  <si>
    <t>SAINT-AUBIN-DU-PAVAIL</t>
  </si>
  <si>
    <t>ATHEE-SUR-CHER</t>
  </si>
  <si>
    <t>RAZIMET</t>
  </si>
  <si>
    <t>EICHHOFFEN</t>
  </si>
  <si>
    <t>BUJALEUF</t>
  </si>
  <si>
    <t>LA CHAPELLE-MOULIERE</t>
  </si>
  <si>
    <t>COUZON-AU-MONT-D'OR</t>
  </si>
  <si>
    <t>CHAVAGNAC</t>
  </si>
  <si>
    <t>GAZAX-ET-BACCARISSE</t>
  </si>
  <si>
    <t>FAYE-L'ABBESSE</t>
  </si>
  <si>
    <t>PLEUMEUR-GAUTIER</t>
  </si>
  <si>
    <t>SERVIERES-LE-CHATEAU</t>
  </si>
  <si>
    <t>LES BRESEUX</t>
  </si>
  <si>
    <t>61000</t>
  </si>
  <si>
    <t>CERISE</t>
  </si>
  <si>
    <t>BEUGNATRE</t>
  </si>
  <si>
    <t>NOGARO</t>
  </si>
  <si>
    <t>BLENNES</t>
  </si>
  <si>
    <t>MACLAS</t>
  </si>
  <si>
    <t>BIGANOS</t>
  </si>
  <si>
    <t>PONT-SAINTE-MARIE</t>
  </si>
  <si>
    <t>TOUFFAILLES</t>
  </si>
  <si>
    <t>PERRIERS-SUR-ANDELLE</t>
  </si>
  <si>
    <t>CURIENNE</t>
  </si>
  <si>
    <t>CORPOYER-LA-CHAPELLE</t>
  </si>
  <si>
    <t>VILLERS-LES-ORMES</t>
  </si>
  <si>
    <t>60123</t>
  </si>
  <si>
    <t>BONNEUIL-EN-VALOIS</t>
  </si>
  <si>
    <t>97126</t>
  </si>
  <si>
    <t>DESHAIES</t>
  </si>
  <si>
    <t>CREVECOEUR-EN-AUGE</t>
  </si>
  <si>
    <t>LINTHAL</t>
  </si>
  <si>
    <t>54000</t>
  </si>
  <si>
    <t>NANCY</t>
  </si>
  <si>
    <t>3410</t>
  </si>
  <si>
    <t>PREMILHAT</t>
  </si>
  <si>
    <t>GREZ-NEUVILLE</t>
  </si>
  <si>
    <t>CHALANDRY</t>
  </si>
  <si>
    <t>ASNIERES-SUR-NOUERE</t>
  </si>
  <si>
    <t>57445</t>
  </si>
  <si>
    <t>REDING</t>
  </si>
  <si>
    <t>59131</t>
  </si>
  <si>
    <t>ROUSIES</t>
  </si>
  <si>
    <t>SAINT-AMANT-ROCHE-SAVINE</t>
  </si>
  <si>
    <t>NOTRE-DAME-D'OE</t>
  </si>
  <si>
    <t>PEYRUN</t>
  </si>
  <si>
    <t>JANAILLAT</t>
  </si>
  <si>
    <t>BESSAY-SUR-ALLIER</t>
  </si>
  <si>
    <t>SAINT-GEORGES-DE-ROUELLEY</t>
  </si>
  <si>
    <t>MESTERRIEUX</t>
  </si>
  <si>
    <t>CHABANAIS</t>
  </si>
  <si>
    <t>LARCHAMP</t>
  </si>
  <si>
    <t>SAMBOURG</t>
  </si>
  <si>
    <t>VEZIERES</t>
  </si>
  <si>
    <t>YOUX</t>
  </si>
  <si>
    <t>ABBANS-DESSUS</t>
  </si>
  <si>
    <t>TILLOY-LES-MOFFLAINES</t>
  </si>
  <si>
    <t>LE MARAIS-LA-CHAPELLE</t>
  </si>
  <si>
    <t>PRENDEIGNES</t>
  </si>
  <si>
    <t>LOUANNEC</t>
  </si>
  <si>
    <t>MAISONS-DU-BOIS-LIEVREMONT</t>
  </si>
  <si>
    <t>NANCES</t>
  </si>
  <si>
    <t>SAINT-AFFRIQUE-LES-MONTAGNES</t>
  </si>
  <si>
    <t>VELAINES</t>
  </si>
  <si>
    <t>SAINTE-CONSORCE</t>
  </si>
  <si>
    <t>LARRET</t>
  </si>
  <si>
    <t>VILLENEUVE-SUR-AUVERS</t>
  </si>
  <si>
    <t>FREGIMONT</t>
  </si>
  <si>
    <t>30620</t>
  </si>
  <si>
    <t>BERNIS</t>
  </si>
  <si>
    <t>MEASNES</t>
  </si>
  <si>
    <t>MONTGUYON</t>
  </si>
  <si>
    <t>THUIR</t>
  </si>
  <si>
    <t>STEENE</t>
  </si>
  <si>
    <t>49125</t>
  </si>
  <si>
    <t>BRIOLLAY</t>
  </si>
  <si>
    <t>BARBIERES</t>
  </si>
  <si>
    <t>VILLEBON</t>
  </si>
  <si>
    <t>GRUGE-L'HOPITAL</t>
  </si>
  <si>
    <t>17340</t>
  </si>
  <si>
    <t>YVES</t>
  </si>
  <si>
    <t>REBETS</t>
  </si>
  <si>
    <t>VILLEMOIRON-EN-OTHE</t>
  </si>
  <si>
    <t>84340</t>
  </si>
  <si>
    <t>MALAUCENE</t>
  </si>
  <si>
    <t>CHAUMEIL</t>
  </si>
  <si>
    <t>AVERAN</t>
  </si>
  <si>
    <t>CESARCHES</t>
  </si>
  <si>
    <t>66290</t>
  </si>
  <si>
    <t>CERBERE</t>
  </si>
  <si>
    <t>GIVARLAIS</t>
  </si>
  <si>
    <t>GERMISAY</t>
  </si>
  <si>
    <t>91660</t>
  </si>
  <si>
    <t>ESTOUCHES</t>
  </si>
  <si>
    <t>97216</t>
  </si>
  <si>
    <t>L'AJOUPA-BOUILLON</t>
  </si>
  <si>
    <t>TOURNEBU</t>
  </si>
  <si>
    <t>LA CAPELLE</t>
  </si>
  <si>
    <t>LAREE</t>
  </si>
  <si>
    <t>ROUFFACH</t>
  </si>
  <si>
    <t>BOURNOS</t>
  </si>
  <si>
    <t>VITRAC-SUR-MONTANE</t>
  </si>
  <si>
    <t>GRACES</t>
  </si>
  <si>
    <t>BUSNES</t>
  </si>
  <si>
    <t>TIERCEVILLE</t>
  </si>
  <si>
    <t>SAINT-SATURNIN-DE-LUCIAN</t>
  </si>
  <si>
    <t>ESPAUBOURG</t>
  </si>
  <si>
    <t>VIRMING</t>
  </si>
  <si>
    <t>COSSE-LE-VIVIEN</t>
  </si>
  <si>
    <t>HAUSSONVILLE</t>
  </si>
  <si>
    <t>LESCHES</t>
  </si>
  <si>
    <t>SAINT-MARTIN-DES-PLAINS</t>
  </si>
  <si>
    <t>AUTOIRE</t>
  </si>
  <si>
    <t>LE CLOITRE-SAINT-THEGONNEC</t>
  </si>
  <si>
    <t>DESTORD</t>
  </si>
  <si>
    <t>TILLY-CAPELLE</t>
  </si>
  <si>
    <t>SAINT-GEORGES-NIGREMONT</t>
  </si>
  <si>
    <t>NEUFFONTAINES</t>
  </si>
  <si>
    <t>WARLUIS</t>
  </si>
  <si>
    <t>LA BEAUME</t>
  </si>
  <si>
    <t>AUTHEUIL</t>
  </si>
  <si>
    <t>SAPIGNICOURT</t>
  </si>
  <si>
    <t>2B307</t>
  </si>
  <si>
    <t>SANTA-LUCIA-DI-MORIANI</t>
  </si>
  <si>
    <t>CEAULMONT</t>
  </si>
  <si>
    <t>CHAUFFOURT</t>
  </si>
  <si>
    <t>HONTANX</t>
  </si>
  <si>
    <t>KESKASTEL</t>
  </si>
  <si>
    <t>MORIVILLER</t>
  </si>
  <si>
    <t>PRAILLES</t>
  </si>
  <si>
    <t>AOSTE</t>
  </si>
  <si>
    <t>VERGISSON</t>
  </si>
  <si>
    <t>5220</t>
  </si>
  <si>
    <t>LE MONETIER-LES-BAINS</t>
  </si>
  <si>
    <t>JOUY-LE-POTIER</t>
  </si>
  <si>
    <t>NOUIC</t>
  </si>
  <si>
    <t>69690</t>
  </si>
  <si>
    <t>BIBOST</t>
  </si>
  <si>
    <t>SAINT-MARTIN-DE-BEAUVILLE</t>
  </si>
  <si>
    <t>THEROUANNE</t>
  </si>
  <si>
    <t>POUGY</t>
  </si>
  <si>
    <t>FONTAINES-EN-DUESMOIS</t>
  </si>
  <si>
    <t>SAINT-AGNANT</t>
  </si>
  <si>
    <t>GROUGIS</t>
  </si>
  <si>
    <t>2B255</t>
  </si>
  <si>
    <t>QUERCITELLO</t>
  </si>
  <si>
    <t>MERINDOL-LES-OLIVIERS</t>
  </si>
  <si>
    <t>SAINT-JULIEN-DE-BOURDEILLES</t>
  </si>
  <si>
    <t>SAINT-DENIS-DE-CABANNE</t>
  </si>
  <si>
    <t>VILLENAUXE-LA-PETITE</t>
  </si>
  <si>
    <t>FARGUES-SUR-OURBISE</t>
  </si>
  <si>
    <t>BUXIERES-SOUS-MONTAIGUT</t>
  </si>
  <si>
    <t>MOUMOULOUS</t>
  </si>
  <si>
    <t>LUIGNY</t>
  </si>
  <si>
    <t>TRANZAULT</t>
  </si>
  <si>
    <t>LA PISSEURE</t>
  </si>
  <si>
    <t>IZIEU</t>
  </si>
  <si>
    <t>VILLEMUS</t>
  </si>
  <si>
    <t>VIRY</t>
  </si>
  <si>
    <t>L'HOPITAL-SAINT-LIEFFROY</t>
  </si>
  <si>
    <t>PEL-ET-DER</t>
  </si>
  <si>
    <t>BIOZAT</t>
  </si>
  <si>
    <t>SELONNET</t>
  </si>
  <si>
    <t>CAST</t>
  </si>
  <si>
    <t>SAINT-DENIS-CATUS</t>
  </si>
  <si>
    <t>PONTOISE-LES-NOYON</t>
  </si>
  <si>
    <t>HEM-MONACU</t>
  </si>
  <si>
    <t>POIL</t>
  </si>
  <si>
    <t>VANNES-LE-CHATEL</t>
  </si>
  <si>
    <t>THORRENC</t>
  </si>
  <si>
    <t>SAINT-MARTIN-EN-BIERE</t>
  </si>
  <si>
    <t>LAIVES</t>
  </si>
  <si>
    <t>SAINT-SAURY</t>
  </si>
  <si>
    <t>2B156</t>
  </si>
  <si>
    <t>MAUSOLEO</t>
  </si>
  <si>
    <t>NESLE-NORMANDEUSE</t>
  </si>
  <si>
    <t>VILLENNES-SUR-SEINE</t>
  </si>
  <si>
    <t>68990</t>
  </si>
  <si>
    <t>HEIMSBRUNN</t>
  </si>
  <si>
    <t>NERY</t>
  </si>
  <si>
    <t>SENOZAN</t>
  </si>
  <si>
    <t>SENONCOURT-LES-MAUJOUY</t>
  </si>
  <si>
    <t>AIGUES-MORTES</t>
  </si>
  <si>
    <t>CLARACQ</t>
  </si>
  <si>
    <t>NERAC</t>
  </si>
  <si>
    <t>CHADENET</t>
  </si>
  <si>
    <t>MARVAUX-VIEUX</t>
  </si>
  <si>
    <t>NEUFCHATEL-EN-SAOSNOIS</t>
  </si>
  <si>
    <t>VILLERS-TOURNELLE</t>
  </si>
  <si>
    <t>80115</t>
  </si>
  <si>
    <t>PONT-NOYELLES</t>
  </si>
  <si>
    <t>26290</t>
  </si>
  <si>
    <t>LES GRANGES-GONTARDES</t>
  </si>
  <si>
    <t>SAINT-CARNE</t>
  </si>
  <si>
    <t>LE HOUGA</t>
  </si>
  <si>
    <t>GREBAULT-MESNIL</t>
  </si>
  <si>
    <t>JARCIEU</t>
  </si>
  <si>
    <t>SAINT-LO</t>
  </si>
  <si>
    <t>AUXY</t>
  </si>
  <si>
    <t>30150</t>
  </si>
  <si>
    <t>SAINT-GENIES-DE-COMOLAS</t>
  </si>
  <si>
    <t>RIEUCROS</t>
  </si>
  <si>
    <t>MONTHIERS</t>
  </si>
  <si>
    <t>SERE-EN-LAVEDAN</t>
  </si>
  <si>
    <t>HOUX</t>
  </si>
  <si>
    <t>EUVEZIN</t>
  </si>
  <si>
    <t>LANDRECIES</t>
  </si>
  <si>
    <t>27100</t>
  </si>
  <si>
    <t>VAL-DE-REUIL</t>
  </si>
  <si>
    <t>RAMBUCOURT</t>
  </si>
  <si>
    <t>ASPRET-SARRAT</t>
  </si>
  <si>
    <t>DESERTINES</t>
  </si>
  <si>
    <t>JOUE-SUR-ERDRE</t>
  </si>
  <si>
    <t>LA CHAPELLE-AUX-LYS</t>
  </si>
  <si>
    <t>ANSIGNAN</t>
  </si>
  <si>
    <t>SAINT-VINCENT-DE-BOISSET</t>
  </si>
  <si>
    <t>ANGLEFORT</t>
  </si>
  <si>
    <t>EPOTHEMONT</t>
  </si>
  <si>
    <t>OETING</t>
  </si>
  <si>
    <t>LIOUX</t>
  </si>
  <si>
    <t>VIGNES-LA-COTE</t>
  </si>
  <si>
    <t>PLANES</t>
  </si>
  <si>
    <t>CHAMPS-SUR-TARENTAINE-MARCHAL</t>
  </si>
  <si>
    <t>VOYENNES</t>
  </si>
  <si>
    <t>SORGES</t>
  </si>
  <si>
    <t>LAPERCHE</t>
  </si>
  <si>
    <t>LARIVIERE-ARNONCOURT</t>
  </si>
  <si>
    <t>SEDAN</t>
  </si>
  <si>
    <t>FRESSINES</t>
  </si>
  <si>
    <t>SAINT-MACAIRE-EN-MAUGES</t>
  </si>
  <si>
    <t>TURENNE</t>
  </si>
  <si>
    <t>HESSENHEIM</t>
  </si>
  <si>
    <t>ORSENNES</t>
  </si>
  <si>
    <t>MONT-NOTRE-DAME</t>
  </si>
  <si>
    <t>L'AUBEPIN</t>
  </si>
  <si>
    <t>SAINT-MARTIN-EN-CAMPAGNE</t>
  </si>
  <si>
    <t>LANGAST</t>
  </si>
  <si>
    <t>BENTAYOU-SEREE</t>
  </si>
  <si>
    <t>SAINT-LAMAIN</t>
  </si>
  <si>
    <t>LA COTE-EN-COUZAN</t>
  </si>
  <si>
    <t>ECHILLEUSES</t>
  </si>
  <si>
    <t>VERT-TOULON</t>
  </si>
  <si>
    <t>COMMENAILLES</t>
  </si>
  <si>
    <t>TERREHAULT</t>
  </si>
  <si>
    <t>FALLETANS</t>
  </si>
  <si>
    <t>CHILLY-LE-VIGNOBLE</t>
  </si>
  <si>
    <t>PUISEAUX</t>
  </si>
  <si>
    <t>NIEUL-SUR-MER</t>
  </si>
  <si>
    <t>GAVRUS</t>
  </si>
  <si>
    <t>THOIRY</t>
  </si>
  <si>
    <t>DAMPIERRE-SAINT-NICOLAS</t>
  </si>
  <si>
    <t>BANDRELE</t>
  </si>
  <si>
    <t>BEUREY-SUR-SAULX</t>
  </si>
  <si>
    <t>ROUSSILLON</t>
  </si>
  <si>
    <t>TRAMECOURT</t>
  </si>
  <si>
    <t>LINDRY</t>
  </si>
  <si>
    <t>CHASSE</t>
  </si>
  <si>
    <t>VALS</t>
  </si>
  <si>
    <t>MONTIGNY-LES-ARSURES</t>
  </si>
  <si>
    <t>CATILLON-SUR-SAMBRE</t>
  </si>
  <si>
    <t>CHABRIS</t>
  </si>
  <si>
    <t>PERRIERS-EN-BEAUFICEL</t>
  </si>
  <si>
    <t>MANTHELAN</t>
  </si>
  <si>
    <t>SUCE-SUR-ERDRE</t>
  </si>
  <si>
    <t>MOLESMES</t>
  </si>
  <si>
    <t>GENAT</t>
  </si>
  <si>
    <t>PLICHANCOURT</t>
  </si>
  <si>
    <t>BAILLEUL-LE-SOC</t>
  </si>
  <si>
    <t>ARC-SOUS-CICON</t>
  </si>
  <si>
    <t>CAGNOTTE</t>
  </si>
  <si>
    <t>AMBERNAC</t>
  </si>
  <si>
    <t>CHAMBON-SUR-VOUEIZE</t>
  </si>
  <si>
    <t>28350</t>
  </si>
  <si>
    <t>SAINT-LUBIN-DES-JONCHERETS</t>
  </si>
  <si>
    <t>MONTAGRIER</t>
  </si>
  <si>
    <t>VILLENEUVE-LES-CHARNOD</t>
  </si>
  <si>
    <t>LEMAINVILLE</t>
  </si>
  <si>
    <t>NAILHAC</t>
  </si>
  <si>
    <t>59227</t>
  </si>
  <si>
    <t>VERCHAIN-MAUGRE</t>
  </si>
  <si>
    <t>CASTANET-LE-HAUT</t>
  </si>
  <si>
    <t>NAUJAN-ET-POSTIAC</t>
  </si>
  <si>
    <t>VIRELADE</t>
  </si>
  <si>
    <t>MOUSSAN</t>
  </si>
  <si>
    <t>BEGARD</t>
  </si>
  <si>
    <t>PLEUCADEUC</t>
  </si>
  <si>
    <t>PATORNAY</t>
  </si>
  <si>
    <t>OUSSON-SUR-LOIRE</t>
  </si>
  <si>
    <t>ROINVILLIERS</t>
  </si>
  <si>
    <t>SAINTE-NATHALENE</t>
  </si>
  <si>
    <t>CORME-ROYAL</t>
  </si>
  <si>
    <t>MANDRES-AUX-QUATRE-TOURS</t>
  </si>
  <si>
    <t>ESSIA</t>
  </si>
  <si>
    <t>FOSSIEUX</t>
  </si>
  <si>
    <t>SAINT-QUENTIN-SUR-LE-HOMME</t>
  </si>
  <si>
    <t>LE FAY-SAINT-QUENTIN</t>
  </si>
  <si>
    <t>AVRANVILLE</t>
  </si>
  <si>
    <t>CHAMPFROMIER</t>
  </si>
  <si>
    <t>BENEJACQ</t>
  </si>
  <si>
    <t>POUILLY</t>
  </si>
  <si>
    <t>MAXILLY-SUR-LEMAN</t>
  </si>
  <si>
    <t>COURCERAULT</t>
  </si>
  <si>
    <t>73870</t>
  </si>
  <si>
    <t>MONTRICHER-ALBANNE</t>
  </si>
  <si>
    <t>VILLEVOQUES</t>
  </si>
  <si>
    <t>ROTHOIS</t>
  </si>
  <si>
    <t>SAINT-GERMAINMONT</t>
  </si>
  <si>
    <t>SASSIERGES-SAINT-GERMAIN</t>
  </si>
  <si>
    <t>CLERQUES</t>
  </si>
  <si>
    <t>LA MACHINE</t>
  </si>
  <si>
    <t>ESCLANEDES</t>
  </si>
  <si>
    <t>MONTCUSEL</t>
  </si>
  <si>
    <t>TARTECOURT</t>
  </si>
  <si>
    <t>MEURES</t>
  </si>
  <si>
    <t>ORIN</t>
  </si>
  <si>
    <t>VILLERS-L'HOPITAL</t>
  </si>
  <si>
    <t>LA VILLETTE</t>
  </si>
  <si>
    <t>73400</t>
  </si>
  <si>
    <t>COHENNOZ</t>
  </si>
  <si>
    <t>MAISEY-LE-DUC</t>
  </si>
  <si>
    <t>CHALAUX</t>
  </si>
  <si>
    <t>CANCHY</t>
  </si>
  <si>
    <t>BOISSETS</t>
  </si>
  <si>
    <t>VOMECOURT-SUR-MADON</t>
  </si>
  <si>
    <t>SAINT-GERMAIN-LEMBRON</t>
  </si>
  <si>
    <t>SAINT-LAURENT-DE-TERREGATTE</t>
  </si>
  <si>
    <t>CHAMESEY</t>
  </si>
  <si>
    <t>SAINT-LEGER-LES-AUTHIE</t>
  </si>
  <si>
    <t>8700</t>
  </si>
  <si>
    <t>GESPUNSART</t>
  </si>
  <si>
    <t>VOINSLES</t>
  </si>
  <si>
    <t>SAINT-YRIEIX-LA-PERCHE</t>
  </si>
  <si>
    <t>NOVY-CHEVRIERES</t>
  </si>
  <si>
    <t>SAINT-SORNIN-LEULAC</t>
  </si>
  <si>
    <t>LE TEILLEUL</t>
  </si>
  <si>
    <t>REMOIVILLE</t>
  </si>
  <si>
    <t>MOULIS-EN-MEDOC</t>
  </si>
  <si>
    <t>LISON</t>
  </si>
  <si>
    <t>HOULLE</t>
  </si>
  <si>
    <t>MITZACH</t>
  </si>
  <si>
    <t>SOUDAN</t>
  </si>
  <si>
    <t>VAUX-LAVALETTE</t>
  </si>
  <si>
    <t>LE LOU-DU-LAC</t>
  </si>
  <si>
    <t>LACHAPELLE-SOUS-GERBEROY</t>
  </si>
  <si>
    <t>BUSSY-LA-PESLE</t>
  </si>
  <si>
    <t>APPY</t>
  </si>
  <si>
    <t>ALLEMAGNE-EN-PROVENCE</t>
  </si>
  <si>
    <t>SAINT-JOSEPH-DE-RIVIERE</t>
  </si>
  <si>
    <t>MAGNAT-L'ETRANGE</t>
  </si>
  <si>
    <t>LE CLERJUS</t>
  </si>
  <si>
    <t>FROHEN-SUR-AUTHIE</t>
  </si>
  <si>
    <t>ELOIE</t>
  </si>
  <si>
    <t>SAINT-OUEN-DES-VALLONS</t>
  </si>
  <si>
    <t>33000/33100/33200/33300/33800</t>
  </si>
  <si>
    <t>BORDEAUX</t>
  </si>
  <si>
    <t>CHENAY-LE-CHATEL</t>
  </si>
  <si>
    <t>VALLANGOUJARD</t>
  </si>
  <si>
    <t>VILLEMANDEUR</t>
  </si>
  <si>
    <t>SOMMERANCE</t>
  </si>
  <si>
    <t>ANZELING</t>
  </si>
  <si>
    <t>LEZIGNAN</t>
  </si>
  <si>
    <t>CURDIN</t>
  </si>
  <si>
    <t>NOSTANG</t>
  </si>
  <si>
    <t>SAUDEMONT</t>
  </si>
  <si>
    <t>54860</t>
  </si>
  <si>
    <t>HAUCOURT-MOULAINE</t>
  </si>
  <si>
    <t>AVIGNON-LES-SAINT-CLAUDE</t>
  </si>
  <si>
    <t>SCEY-SUR-SAONE-ET-SAINT-ALBIN</t>
  </si>
  <si>
    <t>55840</t>
  </si>
  <si>
    <t>THIERVILLE-SUR-MEUSE</t>
  </si>
  <si>
    <t>POULANGY</t>
  </si>
  <si>
    <t>GUILLAUCOURT</t>
  </si>
  <si>
    <t>PIERRE-PERCEE</t>
  </si>
  <si>
    <t>SARRAZAC</t>
  </si>
  <si>
    <t>PUISENVAL</t>
  </si>
  <si>
    <t>SOISY-SUR-SEINE</t>
  </si>
  <si>
    <t>GIVRY-LES-LOISY</t>
  </si>
  <si>
    <t>RIGARDA</t>
  </si>
  <si>
    <t>LE PLESSIS-GROHAN</t>
  </si>
  <si>
    <t>PADIRAC</t>
  </si>
  <si>
    <t>71590</t>
  </si>
  <si>
    <t>GERGY</t>
  </si>
  <si>
    <t>44480</t>
  </si>
  <si>
    <t>DONGES</t>
  </si>
  <si>
    <t>BASTENNES</t>
  </si>
  <si>
    <t>MORET-SUR-LOING</t>
  </si>
  <si>
    <t>GIEVRES</t>
  </si>
  <si>
    <t>SAINT-HILAIRE-DE-CLISSON</t>
  </si>
  <si>
    <t>BOISSE</t>
  </si>
  <si>
    <t>MISSY-SUR-AISNE</t>
  </si>
  <si>
    <t>SAINT-ALYRE-ES-MONTAGNE</t>
  </si>
  <si>
    <t>SAINT-SEURIN-DE-PALENNE</t>
  </si>
  <si>
    <t>BUREY-LA-COTE</t>
  </si>
  <si>
    <t>SAINT-AUBIN-D'APPENAI</t>
  </si>
  <si>
    <t>44700</t>
  </si>
  <si>
    <t>ORVAULT</t>
  </si>
  <si>
    <t>SAINT-DENOEUX</t>
  </si>
  <si>
    <t>CANAULES-ET-ARGENTIERES</t>
  </si>
  <si>
    <t>LE TEMPLE</t>
  </si>
  <si>
    <t>84250</t>
  </si>
  <si>
    <t>LE THOR</t>
  </si>
  <si>
    <t>SUSSAT</t>
  </si>
  <si>
    <t>POMPERTUZAT</t>
  </si>
  <si>
    <t>PLESNOIS</t>
  </si>
  <si>
    <t>MENIL-VIN</t>
  </si>
  <si>
    <t>2B245</t>
  </si>
  <si>
    <t>PORRI</t>
  </si>
  <si>
    <t>COMMES</t>
  </si>
  <si>
    <t>ESBLY</t>
  </si>
  <si>
    <t>SELOMMES</t>
  </si>
  <si>
    <t>93270</t>
  </si>
  <si>
    <t>SEVRAN</t>
  </si>
  <si>
    <t>POIX-DE-PICARDIE</t>
  </si>
  <si>
    <t>VITRAC</t>
  </si>
  <si>
    <t>SAUGNACQ-ET-MURET</t>
  </si>
  <si>
    <t>22930</t>
  </si>
  <si>
    <t>YVIAS</t>
  </si>
  <si>
    <t>DETRIER</t>
  </si>
  <si>
    <t>FRESNAY-LE-COMTE</t>
  </si>
  <si>
    <t>CORCELLES</t>
  </si>
  <si>
    <t>GREZOLLES</t>
  </si>
  <si>
    <t>TRIPLEVILLE</t>
  </si>
  <si>
    <t>VOILEMONT</t>
  </si>
  <si>
    <t>GEE-RIVIERE</t>
  </si>
  <si>
    <t>BARNEVILLE-SUR-SEINE</t>
  </si>
  <si>
    <t>ENSIGNE</t>
  </si>
  <si>
    <t>PROMILHANES</t>
  </si>
  <si>
    <t>CLERMONT-DE-BEAUREGARD</t>
  </si>
  <si>
    <t>SAINTE-TERRE</t>
  </si>
  <si>
    <t>ASNANS-BEAUVOISIN</t>
  </si>
  <si>
    <t>PLUMAUDAN</t>
  </si>
  <si>
    <t>LEIGNE-SUR-USSEAU</t>
  </si>
  <si>
    <t>PENNEDEPIE</t>
  </si>
  <si>
    <t>CRUVIERS-LASCOURS</t>
  </si>
  <si>
    <t>MONTASTRUC-DE-SALIES</t>
  </si>
  <si>
    <t>BELLIGNIES</t>
  </si>
  <si>
    <t>LA ROCHE-NOIRE</t>
  </si>
  <si>
    <t>BUDOS</t>
  </si>
  <si>
    <t>LE CLAUX</t>
  </si>
  <si>
    <t>GOUX-SOUS-LANDET</t>
  </si>
  <si>
    <t>CHALEZE</t>
  </si>
  <si>
    <t>LES ISLES-BARDEL</t>
  </si>
  <si>
    <t>BUGARACH</t>
  </si>
  <si>
    <t>BELLAVILLIERS</t>
  </si>
  <si>
    <t>SOUAIN-PERTHES-LES-HURLUS</t>
  </si>
  <si>
    <t>VERMAND</t>
  </si>
  <si>
    <t>WARGNIES-LE-GRAND</t>
  </si>
  <si>
    <t>TESSANCOURT-SUR-AUBETTE</t>
  </si>
  <si>
    <t>LANTIC</t>
  </si>
  <si>
    <t>VERZENAY</t>
  </si>
  <si>
    <t>ANHAUX</t>
  </si>
  <si>
    <t>SAINT-FELIX-DE-RIEUTORD</t>
  </si>
  <si>
    <t>VOLCKERINCKHOVE</t>
  </si>
  <si>
    <t>ROEUX</t>
  </si>
  <si>
    <t>AGEVILLE</t>
  </si>
  <si>
    <t>BANTHELU</t>
  </si>
  <si>
    <t>COURTEMAUX</t>
  </si>
  <si>
    <t>CHAMPDOLENT</t>
  </si>
  <si>
    <t>VIVIEZ</t>
  </si>
  <si>
    <t>CARLAT</t>
  </si>
  <si>
    <t>VILLENEUVE-DE-BERG</t>
  </si>
  <si>
    <t>CAUDROT</t>
  </si>
  <si>
    <t>COURGENAY</t>
  </si>
  <si>
    <t>COURCELLES-EN-BARROIS</t>
  </si>
  <si>
    <t>AMFREVILLE-LES-CHAMPS</t>
  </si>
  <si>
    <t>MAIZET</t>
  </si>
  <si>
    <t>ABERGEMENT-LA-RONCE</t>
  </si>
  <si>
    <t>NOIDANS-LE-FERROUX</t>
  </si>
  <si>
    <t>SOMMEPY-TAHURE</t>
  </si>
  <si>
    <t>13116</t>
  </si>
  <si>
    <t>VERNEGUES</t>
  </si>
  <si>
    <t>2A132</t>
  </si>
  <si>
    <t>GUARGUALE</t>
  </si>
  <si>
    <t>SELIGNEY</t>
  </si>
  <si>
    <t>MAUVEZIN-D'ARMAGNAC</t>
  </si>
  <si>
    <t>5170</t>
  </si>
  <si>
    <t>ORCIERES</t>
  </si>
  <si>
    <t>LA MAGDELAINE-SUR-TARN</t>
  </si>
  <si>
    <t>93450</t>
  </si>
  <si>
    <t>L'ILE-SAINT-DENIS</t>
  </si>
  <si>
    <t>83150</t>
  </si>
  <si>
    <t>BANDOL</t>
  </si>
  <si>
    <t>SAINT-LAURENT-LA-VERNEDE</t>
  </si>
  <si>
    <t>MIANNAY</t>
  </si>
  <si>
    <t>AUTY</t>
  </si>
  <si>
    <t>HOCQUINGHEN</t>
  </si>
  <si>
    <t>POISEUL-LES-SAULX</t>
  </si>
  <si>
    <t>FONTAINE-LE-PORT</t>
  </si>
  <si>
    <t>SAINT-MARTIN-DE-MIEUX</t>
  </si>
  <si>
    <t>95100</t>
  </si>
  <si>
    <t>ARGENTEUIL</t>
  </si>
  <si>
    <t>SEINE-PORT</t>
  </si>
  <si>
    <t>12630</t>
  </si>
  <si>
    <t>MONTROZIER</t>
  </si>
  <si>
    <t>ORCHAMPS-VENNES</t>
  </si>
  <si>
    <t>HIRSON</t>
  </si>
  <si>
    <t>GOTTESHEIM</t>
  </si>
  <si>
    <t>LA CHAPELLE-DU-BOIS-DES-FAULX</t>
  </si>
  <si>
    <t>CHATILLON-SUR-CHALARONNE</t>
  </si>
  <si>
    <t>JOURNANS</t>
  </si>
  <si>
    <t>VENNEZEY</t>
  </si>
  <si>
    <t>20129</t>
  </si>
  <si>
    <t>2A032</t>
  </si>
  <si>
    <t>BASTELICACCIA</t>
  </si>
  <si>
    <t>78170</t>
  </si>
  <si>
    <t>LA CELLE-SAINT-CLOUD</t>
  </si>
  <si>
    <t>VAIVRE-ET-MONTOILLE</t>
  </si>
  <si>
    <t>59255</t>
  </si>
  <si>
    <t>HAVELUY</t>
  </si>
  <si>
    <t>COLLONGE-EN-CHAROLLAIS</t>
  </si>
  <si>
    <t>ARNIERES-SUR-ITON</t>
  </si>
  <si>
    <t>CORMOT-LE-GRAND</t>
  </si>
  <si>
    <t>BRESNAY</t>
  </si>
  <si>
    <t>ESCLAUZELS</t>
  </si>
  <si>
    <t>TAIZE-AIZIE</t>
  </si>
  <si>
    <t>SAINT-LOUP-HORS</t>
  </si>
  <si>
    <t>BONLOC</t>
  </si>
  <si>
    <t>HUPPY</t>
  </si>
  <si>
    <t>CHAMVRES</t>
  </si>
  <si>
    <t>LEVIGNAC-DE-GUYENNE</t>
  </si>
  <si>
    <t>BRECY-BRIERES</t>
  </si>
  <si>
    <t>BOURGET-EN-HUILE</t>
  </si>
  <si>
    <t>MENSKIRCH</t>
  </si>
  <si>
    <t>UTTWILLER</t>
  </si>
  <si>
    <t>BAR-SUR-SEINE</t>
  </si>
  <si>
    <t>CATUS</t>
  </si>
  <si>
    <t>NEUILLY</t>
  </si>
  <si>
    <t>NOYELLES-SUR-SAMBRE</t>
  </si>
  <si>
    <t>57150</t>
  </si>
  <si>
    <t>CREUTZWALD</t>
  </si>
  <si>
    <t>CASTELNAU-VALENCE</t>
  </si>
  <si>
    <t>SAINT-GENIS-DU-BOIS</t>
  </si>
  <si>
    <t>9210</t>
  </si>
  <si>
    <t>SAINT-YBARS</t>
  </si>
  <si>
    <t>LE JUCH</t>
  </si>
  <si>
    <t>2A211</t>
  </si>
  <si>
    <t>PETRETO-BICCHISANO</t>
  </si>
  <si>
    <t>LAVARDENS</t>
  </si>
  <si>
    <t>PLOUMOGUER</t>
  </si>
  <si>
    <t>MARSAL</t>
  </si>
  <si>
    <t>VERCLAUSE</t>
  </si>
  <si>
    <t>TREMARGAT</t>
  </si>
  <si>
    <t>SAINT-ANTONIN-DE-LACALM</t>
  </si>
  <si>
    <t>SAINT-MARS-SOUS-BALLON</t>
  </si>
  <si>
    <t>YZENGREMER</t>
  </si>
  <si>
    <t>CORNAS</t>
  </si>
  <si>
    <t>25130</t>
  </si>
  <si>
    <t>VILLERS-LE-LAC</t>
  </si>
  <si>
    <t>VILLEMOLAQUE</t>
  </si>
  <si>
    <t>BERMERIES</t>
  </si>
  <si>
    <t>LE CASTELLET</t>
  </si>
  <si>
    <t>IMPHY</t>
  </si>
  <si>
    <t>72250</t>
  </si>
  <si>
    <t>PARIGNE-L'EVEQUE</t>
  </si>
  <si>
    <t>CHAMPOULET</t>
  </si>
  <si>
    <t>ERAVILLE</t>
  </si>
  <si>
    <t>BOURDONNAY</t>
  </si>
  <si>
    <t>RIEDWIHR</t>
  </si>
  <si>
    <t>PONT</t>
  </si>
  <si>
    <t>BRETTEN</t>
  </si>
  <si>
    <t>AGENVILLE</t>
  </si>
  <si>
    <t>3510</t>
  </si>
  <si>
    <t>CHASSENARD</t>
  </si>
  <si>
    <t>POUBEAU</t>
  </si>
  <si>
    <t>LANDRICHAMPS</t>
  </si>
  <si>
    <t>LAVANS-LES-DOLE</t>
  </si>
  <si>
    <t>CHAUFFAYER</t>
  </si>
  <si>
    <t>BOISSY-MAUGIS</t>
  </si>
  <si>
    <t>GROSTENQUIN</t>
  </si>
  <si>
    <t>ILLHAEUSERN</t>
  </si>
  <si>
    <t>CHAMPCERVON</t>
  </si>
  <si>
    <t>MANDEVILLE-EN-BESSIN</t>
  </si>
  <si>
    <t>PEYRELEAU</t>
  </si>
  <si>
    <t>BOYER</t>
  </si>
  <si>
    <t>BEAUDRICOURT</t>
  </si>
  <si>
    <t>GRUEY-LES-SURANCE</t>
  </si>
  <si>
    <t>MAIGNE</t>
  </si>
  <si>
    <t>COMMARIN</t>
  </si>
  <si>
    <t>LAIZE</t>
  </si>
  <si>
    <t>ROISSARD</t>
  </si>
  <si>
    <t>SAINTE-BLANDINE</t>
  </si>
  <si>
    <t>SANCEY-LE-GRAND</t>
  </si>
  <si>
    <t>CRAMCHABAN</t>
  </si>
  <si>
    <t>67300</t>
  </si>
  <si>
    <t>SCHILTIGHEIM</t>
  </si>
  <si>
    <t>BERZY-LE-SEC</t>
  </si>
  <si>
    <t>SAINT-PARDOUX-LA-RIVIERE</t>
  </si>
  <si>
    <t>SOMMERY</t>
  </si>
  <si>
    <t>YUTZ</t>
  </si>
  <si>
    <t>ANAN</t>
  </si>
  <si>
    <t>PUESSANS</t>
  </si>
  <si>
    <t>SALZUIT</t>
  </si>
  <si>
    <t>SAINT-MEDARD-DE-MUSSIDAN</t>
  </si>
  <si>
    <t>LE BORN</t>
  </si>
  <si>
    <t>AY</t>
  </si>
  <si>
    <t>RAIX</t>
  </si>
  <si>
    <t>PREUILLY-SUR-CLAISE</t>
  </si>
  <si>
    <t>LIMON</t>
  </si>
  <si>
    <t>QUINSON</t>
  </si>
  <si>
    <t>PEYNIER</t>
  </si>
  <si>
    <t>ISPAGNAC</t>
  </si>
  <si>
    <t>33860</t>
  </si>
  <si>
    <t>MARCILLAC</t>
  </si>
  <si>
    <t>TALIZAT</t>
  </si>
  <si>
    <t>2410</t>
  </si>
  <si>
    <t>SEPTVAUX</t>
  </si>
  <si>
    <t>LE SACQ</t>
  </si>
  <si>
    <t>GISSAC</t>
  </si>
  <si>
    <t>LAVIGNAC</t>
  </si>
  <si>
    <t>BOURESSE</t>
  </si>
  <si>
    <t>SAINT-MARTIN-DE-LAMPS</t>
  </si>
  <si>
    <t>GREZILLAC</t>
  </si>
  <si>
    <t>SERANS</t>
  </si>
  <si>
    <t>NIVILLAC</t>
  </si>
  <si>
    <t>RIEUX-MINERVOIS</t>
  </si>
  <si>
    <t>13140</t>
  </si>
  <si>
    <t>MIRAMAS</t>
  </si>
  <si>
    <t>SAINT-MARY</t>
  </si>
  <si>
    <t>MAGSTATT-LE-BAS</t>
  </si>
  <si>
    <t>LA VEZE</t>
  </si>
  <si>
    <t>PRISSE</t>
  </si>
  <si>
    <t>COURTAULY</t>
  </si>
  <si>
    <t>BUSSIERES-ET-PRUNS</t>
  </si>
  <si>
    <t>SAINT-ERBLON</t>
  </si>
  <si>
    <t>HEURTEVENT</t>
  </si>
  <si>
    <t>SERRES-SUR-ARGET</t>
  </si>
  <si>
    <t>CANALS</t>
  </si>
  <si>
    <t>57770</t>
  </si>
  <si>
    <t>LANLEFF</t>
  </si>
  <si>
    <t>SAINT-MAURICE-PRES-CROCQ</t>
  </si>
  <si>
    <t>GUINKIRCHEN</t>
  </si>
  <si>
    <t>DRACY</t>
  </si>
  <si>
    <t>PONS</t>
  </si>
  <si>
    <t>SECONDIGNE-SUR-BELLE</t>
  </si>
  <si>
    <t>LE MENIL-VICOMTE</t>
  </si>
  <si>
    <t>VILLEGAUDIN</t>
  </si>
  <si>
    <t>12420</t>
  </si>
  <si>
    <t>SAINTE-GENEVIEVE-SUR-ARGENCE</t>
  </si>
  <si>
    <t>VIERVILLE</t>
  </si>
  <si>
    <t>SAINT-HILAIRE-LA-PALUD</t>
  </si>
  <si>
    <t>HAUDIOMONT</t>
  </si>
  <si>
    <t>ARCEY</t>
  </si>
  <si>
    <t>PANDRIGNES</t>
  </si>
  <si>
    <t>MONTDARDIER</t>
  </si>
  <si>
    <t>MESNIL-MARTINSART</t>
  </si>
  <si>
    <t>SAINT-CHABRAIS</t>
  </si>
  <si>
    <t>MOUGON</t>
  </si>
  <si>
    <t>60126</t>
  </si>
  <si>
    <t>RIVECOURT</t>
  </si>
  <si>
    <t>WEMAERS-CAPPEL</t>
  </si>
  <si>
    <t>LA CHAPELLE-GAUTHIER</t>
  </si>
  <si>
    <t>TETING-SUR-NIED</t>
  </si>
  <si>
    <t>PAIR-ET-GRANDRUPT</t>
  </si>
  <si>
    <t>VILLERUPT</t>
  </si>
  <si>
    <t>CRISENOY</t>
  </si>
  <si>
    <t>SAINT-BONNET-TRONCAIS</t>
  </si>
  <si>
    <t>MARIGNE</t>
  </si>
  <si>
    <t>LES TROIS-MOUTIERS</t>
  </si>
  <si>
    <t>LESMONT</t>
  </si>
  <si>
    <t>SAINTE-INNOCENCE</t>
  </si>
  <si>
    <t>BUCAMPS</t>
  </si>
  <si>
    <t>LE CABANIAL</t>
  </si>
  <si>
    <t>LAPARROUQUIAL</t>
  </si>
  <si>
    <t>VERTUS</t>
  </si>
  <si>
    <t>THIEPVAL</t>
  </si>
  <si>
    <t>SAINT-HILAIRE-DU-HARCOUET</t>
  </si>
  <si>
    <t>33123</t>
  </si>
  <si>
    <t>LE VERDON-SUR-MER</t>
  </si>
  <si>
    <t>LE CARLARET</t>
  </si>
  <si>
    <t>MAINE-DE-BOIXE</t>
  </si>
  <si>
    <t>YVRAC</t>
  </si>
  <si>
    <t>BRETX</t>
  </si>
  <si>
    <t>REPARSAC</t>
  </si>
  <si>
    <t>MESMONT</t>
  </si>
  <si>
    <t>LA CHAPELLE-YVON</t>
  </si>
  <si>
    <t>SENECHAS</t>
  </si>
  <si>
    <t>84480</t>
  </si>
  <si>
    <t>LACOSTE</t>
  </si>
  <si>
    <t>GISCARO</t>
  </si>
  <si>
    <t>FONTENELLE</t>
  </si>
  <si>
    <t>HAPLINCOURT</t>
  </si>
  <si>
    <t>SAINT-CHRISTOPHE-DES-BOIS</t>
  </si>
  <si>
    <t>SAINT-MARTIN-AUX-CHAMPS</t>
  </si>
  <si>
    <t>CHATEAUVILLAIN</t>
  </si>
  <si>
    <t>ROUGEFAY</t>
  </si>
  <si>
    <t>VENIZEL</t>
  </si>
  <si>
    <t>BIETLENHEIM</t>
  </si>
  <si>
    <t>LES BESSONS</t>
  </si>
  <si>
    <t>GRAVELINES</t>
  </si>
  <si>
    <t>HALLIGNICOURT</t>
  </si>
  <si>
    <t>VEAUVILLE-LES-BAONS</t>
  </si>
  <si>
    <t>LOGRON</t>
  </si>
  <si>
    <t>MERIGNAT</t>
  </si>
  <si>
    <t>MALEMORT-SUR-CORREZE</t>
  </si>
  <si>
    <t>LA ROCHEBEAUCOURT-ET-ARGENTINE</t>
  </si>
  <si>
    <t>EYZERAC</t>
  </si>
  <si>
    <t>MONTLIARD</t>
  </si>
  <si>
    <t>CIREY-LES-MAREILLES</t>
  </si>
  <si>
    <t>SAINT-MACAIRE-DU-BOIS</t>
  </si>
  <si>
    <t>LE MESNIL-EURY</t>
  </si>
  <si>
    <t>79510</t>
  </si>
  <si>
    <t>COULON</t>
  </si>
  <si>
    <t>DONZY-LE-PERTUIS</t>
  </si>
  <si>
    <t>MAUZE-SUR-LE-MIGNON</t>
  </si>
  <si>
    <t>AIRE</t>
  </si>
  <si>
    <t>BRAZEY-EN-MORVAN</t>
  </si>
  <si>
    <t>SABRAN</t>
  </si>
  <si>
    <t>65200/65710</t>
  </si>
  <si>
    <t>BAGNERES-DE-BIGORRE</t>
  </si>
  <si>
    <t>30600</t>
  </si>
  <si>
    <t>VAUVERT</t>
  </si>
  <si>
    <t>13340</t>
  </si>
  <si>
    <t>ROGNAC</t>
  </si>
  <si>
    <t>ILLATS</t>
  </si>
  <si>
    <t>SAINT-CONGARD</t>
  </si>
  <si>
    <t>RUITZ</t>
  </si>
  <si>
    <t>66370</t>
  </si>
  <si>
    <t>PEZILLA-LA-RIVIERE</t>
  </si>
  <si>
    <t>NEUVY-AU-HOULME</t>
  </si>
  <si>
    <t>BREHAND</t>
  </si>
  <si>
    <t>LE PERIER</t>
  </si>
  <si>
    <t>BANTIGNY</t>
  </si>
  <si>
    <t>BERGERES-LES-VERTUS</t>
  </si>
  <si>
    <t>LALIZOLLE</t>
  </si>
  <si>
    <t>BADEFOLS-SUR-DORDOGNE</t>
  </si>
  <si>
    <t>LE PUISET-DORE</t>
  </si>
  <si>
    <t>ELNES</t>
  </si>
  <si>
    <t>CHERONNAC</t>
  </si>
  <si>
    <t>DAGNY-LAMBERCY</t>
  </si>
  <si>
    <t>LONGCHAMP</t>
  </si>
  <si>
    <t>PLAN-DE-BAIX</t>
  </si>
  <si>
    <t>VILLALIER</t>
  </si>
  <si>
    <t>SAINT-HILAIRE-LA-PLAINE</t>
  </si>
  <si>
    <t>28110</t>
  </si>
  <si>
    <t>LUCE</t>
  </si>
  <si>
    <t>LE PETIT-BORNAND-LES-GLIERES</t>
  </si>
  <si>
    <t>SAINT-JULIEN-DU-PINET</t>
  </si>
  <si>
    <t>CUTRY</t>
  </si>
  <si>
    <t>JEGUN</t>
  </si>
  <si>
    <t>GERMOND-ROUVRE</t>
  </si>
  <si>
    <t>LA ROCHE-POSAY</t>
  </si>
  <si>
    <t>AUCELON</t>
  </si>
  <si>
    <t>SAINT-MARTIN-DU-FOUILLOUX</t>
  </si>
  <si>
    <t>WASSELONNE</t>
  </si>
  <si>
    <t>ESTISSAC</t>
  </si>
  <si>
    <t>NEYDENS</t>
  </si>
  <si>
    <t>VAULRY</t>
  </si>
  <si>
    <t>SALAGNON</t>
  </si>
  <si>
    <t>VENIZY</t>
  </si>
  <si>
    <t>SAINT-LOUP-SUR-AUJON</t>
  </si>
  <si>
    <t>COSNE-COURS-SUR-LOIRE</t>
  </si>
  <si>
    <t>2B125</t>
  </si>
  <si>
    <t>GIOCATOJO</t>
  </si>
  <si>
    <t>LE MESNIL-BENOIST</t>
  </si>
  <si>
    <t>VERAC</t>
  </si>
  <si>
    <t>TOUTENCOURT</t>
  </si>
  <si>
    <t>34670</t>
  </si>
  <si>
    <t>SAINT-BRES</t>
  </si>
  <si>
    <t>BY</t>
  </si>
  <si>
    <t>VERPEL</t>
  </si>
  <si>
    <t>OBERHOFFEN-SUR-MODER</t>
  </si>
  <si>
    <t>NOTRE-DAME-DES-LANDES</t>
  </si>
  <si>
    <t>YROUERRE</t>
  </si>
  <si>
    <t>LYNDE</t>
  </si>
  <si>
    <t>FONTAINE-L'ABBE</t>
  </si>
  <si>
    <t>SANNERVILLE</t>
  </si>
  <si>
    <t>CAUNA</t>
  </si>
  <si>
    <t>VILLERON</t>
  </si>
  <si>
    <t>85350</t>
  </si>
  <si>
    <t>L'ILE-D'YEU</t>
  </si>
  <si>
    <t>BEAUMESNIL</t>
  </si>
  <si>
    <t>CASTELNAU-DE-BRASSAC</t>
  </si>
  <si>
    <t>NEUVY-EN-DUNOIS</t>
  </si>
  <si>
    <t>BLANGY-SUR-BRESLE</t>
  </si>
  <si>
    <t>NOIRETABLE</t>
  </si>
  <si>
    <t>BOUBIERS</t>
  </si>
  <si>
    <t>ARCHETTES</t>
  </si>
  <si>
    <t>ROANNES-SAINT-MARY</t>
  </si>
  <si>
    <t>ESTREES-LA-CAMPAGNE</t>
  </si>
  <si>
    <t>SENVEN-LEHART</t>
  </si>
  <si>
    <t>NEONS-SUR-CREUSE</t>
  </si>
  <si>
    <t>2B169</t>
  </si>
  <si>
    <t>MOROSAGLIA</t>
  </si>
  <si>
    <t>63710</t>
  </si>
  <si>
    <t>SAINT-NECTAIRE</t>
  </si>
  <si>
    <t>CREPY-EN-VALOIS</t>
  </si>
  <si>
    <t>PLUSQUELLEC</t>
  </si>
  <si>
    <t>NORROY</t>
  </si>
  <si>
    <t>39310</t>
  </si>
  <si>
    <t>BELLECOMBE</t>
  </si>
  <si>
    <t>LA GROUTTE</t>
  </si>
  <si>
    <t>78111</t>
  </si>
  <si>
    <t>DAMMARTIN-EN-SERVE</t>
  </si>
  <si>
    <t>AOUZE</t>
  </si>
  <si>
    <t>GRANGES-LES-BEAUMONT</t>
  </si>
  <si>
    <t>HAMPONT</t>
  </si>
  <si>
    <t>CONFRANCON</t>
  </si>
  <si>
    <t>DOUADIC</t>
  </si>
  <si>
    <t>THURET</t>
  </si>
  <si>
    <t>AUBAGNAN</t>
  </si>
  <si>
    <t>COURNOLS</t>
  </si>
  <si>
    <t>CORNEILLA-DEL-VERCOL</t>
  </si>
  <si>
    <t>NEFFIES</t>
  </si>
  <si>
    <t>MONLET</t>
  </si>
  <si>
    <t>CAILLAVET</t>
  </si>
  <si>
    <t>33530</t>
  </si>
  <si>
    <t>FREVIN-CAPELLE</t>
  </si>
  <si>
    <t>SAXON-SION</t>
  </si>
  <si>
    <t>SAINT-PARDON-DE-CONQUES</t>
  </si>
  <si>
    <t>POUSSEAUX</t>
  </si>
  <si>
    <t>SENLIS</t>
  </si>
  <si>
    <t>LOUVIERES</t>
  </si>
  <si>
    <t>CLACY-ET-THIERRET</t>
  </si>
  <si>
    <t>BERGUENEUSE</t>
  </si>
  <si>
    <t>MAILLY-MAILLET</t>
  </si>
  <si>
    <t>30390</t>
  </si>
  <si>
    <t>DOMAZAN</t>
  </si>
  <si>
    <t>CIRAL</t>
  </si>
  <si>
    <t>JARD-SUR-MER</t>
  </si>
  <si>
    <t>SAINT-NICODEME</t>
  </si>
  <si>
    <t>VILLEDIEU</t>
  </si>
  <si>
    <t>SAINT-CYR-LE-GRAVELAIS</t>
  </si>
  <si>
    <t>ECLEUX</t>
  </si>
  <si>
    <t>IZEURE</t>
  </si>
  <si>
    <t>MONTBOUDIF</t>
  </si>
  <si>
    <t>PORT-VILLEZ</t>
  </si>
  <si>
    <t>VILLEBERNIER</t>
  </si>
  <si>
    <t>LAMAZIERE-HAUTE</t>
  </si>
  <si>
    <t>LA PRETIERE</t>
  </si>
  <si>
    <t>PLOEUC-SUR-LIE</t>
  </si>
  <si>
    <t>PUTTELANGE-AUX-LACS</t>
  </si>
  <si>
    <t>MACKWILLER</t>
  </si>
  <si>
    <t>SEVRES-ANXAUMONT</t>
  </si>
  <si>
    <t>VAUDRECHING</t>
  </si>
  <si>
    <t>MARANDEUIL</t>
  </si>
  <si>
    <t>NUAILLE-D'AUNIS</t>
  </si>
  <si>
    <t>SAINTE-CROIX-SUR-AIZIER</t>
  </si>
  <si>
    <t>TOUQUES</t>
  </si>
  <si>
    <t>SAINT-MARTIN-SOUS-VIGOUROUX</t>
  </si>
  <si>
    <t>MURAT</t>
  </si>
  <si>
    <t>NOORDPEENE</t>
  </si>
  <si>
    <t>LA VAIVRE</t>
  </si>
  <si>
    <t>XIVRY-CIRCOURT</t>
  </si>
  <si>
    <t>VAL-DES-PRES</t>
  </si>
  <si>
    <t>LOCQUELTAS</t>
  </si>
  <si>
    <t>MOUSSY-LE-VIEUX</t>
  </si>
  <si>
    <t>ROAIX</t>
  </si>
  <si>
    <t>THUY</t>
  </si>
  <si>
    <t>MIEGES</t>
  </si>
  <si>
    <t>URGONS</t>
  </si>
  <si>
    <t>MANZAT</t>
  </si>
  <si>
    <t>MONTBARLA</t>
  </si>
  <si>
    <t>BLIENSCHWILLER</t>
  </si>
  <si>
    <t>PRETOT-VICQUEMARE</t>
  </si>
  <si>
    <t>MORIAT</t>
  </si>
  <si>
    <t>BERBEZIT</t>
  </si>
  <si>
    <t>CHASNAY</t>
  </si>
  <si>
    <t>OLLIERES</t>
  </si>
  <si>
    <t>DAUBENSAND</t>
  </si>
  <si>
    <t>49080</t>
  </si>
  <si>
    <t>BOUCHEMAINE</t>
  </si>
  <si>
    <t>GONNEVILLE-EN-AUGE</t>
  </si>
  <si>
    <t>78700</t>
  </si>
  <si>
    <t>CONFLANS-SAINTE-HONORINE</t>
  </si>
  <si>
    <t>SAINT-BOIL</t>
  </si>
  <si>
    <t>SAINTE-CECILE-D'ANDORGE</t>
  </si>
  <si>
    <t>LA HOUSSAYE</t>
  </si>
  <si>
    <t>BEAUNE-LA-ROLANDE</t>
  </si>
  <si>
    <t>SAINT-AGNAN-EN-VERCORS</t>
  </si>
  <si>
    <t>NEPVANT</t>
  </si>
  <si>
    <t>SAHURS</t>
  </si>
  <si>
    <t>FLORESSAS</t>
  </si>
  <si>
    <t>FAYET</t>
  </si>
  <si>
    <t>30500</t>
  </si>
  <si>
    <t>SAINT-VICTOR-DE-MALCAP</t>
  </si>
  <si>
    <t>ARNE</t>
  </si>
  <si>
    <t>ORNEZAN</t>
  </si>
  <si>
    <t>SERVIGNEY</t>
  </si>
  <si>
    <t>DAGNEUX</t>
  </si>
  <si>
    <t>CUXAC-D'AUDE</t>
  </si>
  <si>
    <t>FRANVILLERS</t>
  </si>
  <si>
    <t>BUSSAC-FORET</t>
  </si>
  <si>
    <t>SAINT-GILLES-DU-MENE</t>
  </si>
  <si>
    <t>BASSILLAC</t>
  </si>
  <si>
    <t>BOUVANCOURT</t>
  </si>
  <si>
    <t>CHARMES-EN-L'ANGLE</t>
  </si>
  <si>
    <t>CHAVAGNES-EN-PAILLERS</t>
  </si>
  <si>
    <t>NEUILLE-PONT-PIERRE</t>
  </si>
  <si>
    <t>AUZAT</t>
  </si>
  <si>
    <t>NEUVILLER-SUR-MOSELLE</t>
  </si>
  <si>
    <t>LE VERGUIER</t>
  </si>
  <si>
    <t>MONVIEL</t>
  </si>
  <si>
    <t>VERARGUES</t>
  </si>
  <si>
    <t>SAINT-LORMEL</t>
  </si>
  <si>
    <t>LES FOUGERETS</t>
  </si>
  <si>
    <t>DENESTANVILLE</t>
  </si>
  <si>
    <t>BOURET-SUR-CANCHE</t>
  </si>
  <si>
    <t>COURCOME</t>
  </si>
  <si>
    <t>59156</t>
  </si>
  <si>
    <t>LOURCHES</t>
  </si>
  <si>
    <t>JOANNAS</t>
  </si>
  <si>
    <t>THUMEREVILLE</t>
  </si>
  <si>
    <t>BOSDARROS</t>
  </si>
  <si>
    <t>LA HORGNE</t>
  </si>
  <si>
    <t>HINX</t>
  </si>
  <si>
    <t>VALLERAUGUE</t>
  </si>
  <si>
    <t>DURANUS</t>
  </si>
  <si>
    <t>CANDE</t>
  </si>
  <si>
    <t>42160</t>
  </si>
  <si>
    <t>ANDREZIEUX-BOUTHEON</t>
  </si>
  <si>
    <t>SEVRAI</t>
  </si>
  <si>
    <t>LA FERRIERE-AUX-ETANGS</t>
  </si>
  <si>
    <t>BANNAY</t>
  </si>
  <si>
    <t>ARLES-SUR-TECH</t>
  </si>
  <si>
    <t>20115</t>
  </si>
  <si>
    <t>2A212</t>
  </si>
  <si>
    <t>PIANA</t>
  </si>
  <si>
    <t>HOUDAIN</t>
  </si>
  <si>
    <t>AVOLSHEIM</t>
  </si>
  <si>
    <t>RIMOU</t>
  </si>
  <si>
    <t>ANJEUX</t>
  </si>
  <si>
    <t>FLAMETS-FRETILS</t>
  </si>
  <si>
    <t>BLANZAC-LES-MATHA</t>
  </si>
  <si>
    <t>ANTHEUIL</t>
  </si>
  <si>
    <t>VIERZON</t>
  </si>
  <si>
    <t>SAINT-DOMET</t>
  </si>
  <si>
    <t>MARUEJOLS-LES-GARDON</t>
  </si>
  <si>
    <t>MONTBOISSIER</t>
  </si>
  <si>
    <t>MONTELIMAR</t>
  </si>
  <si>
    <t>BIEF</t>
  </si>
  <si>
    <t>LA GRIPPERIE-SAINT-SYMPHORIEN</t>
  </si>
  <si>
    <t>67410</t>
  </si>
  <si>
    <t>DRUSENHEIM</t>
  </si>
  <si>
    <t>VARRAINS</t>
  </si>
  <si>
    <t>SAINT-VICTOR-DE-BUTHON</t>
  </si>
  <si>
    <t>LES MEES</t>
  </si>
  <si>
    <t>92800</t>
  </si>
  <si>
    <t>PUTEAUX</t>
  </si>
  <si>
    <t>SAINT-REMY-DE-BLOT</t>
  </si>
  <si>
    <t>SAINT-JEAN-DE-VALS</t>
  </si>
  <si>
    <t>VERDUN</t>
  </si>
  <si>
    <t>SAINT-OUEN-LE-MAUGER</t>
  </si>
  <si>
    <t>LA HARENGERE</t>
  </si>
  <si>
    <t>DOMPIERRE-LES-TILLEULS</t>
  </si>
  <si>
    <t>CAZAVET</t>
  </si>
  <si>
    <t>CLERMONT-SAVES</t>
  </si>
  <si>
    <t>LE CHARME</t>
  </si>
  <si>
    <t>BLARIANS</t>
  </si>
  <si>
    <t>SAINT-ESTEPHE</t>
  </si>
  <si>
    <t>SACHE</t>
  </si>
  <si>
    <t>LANGOAT</t>
  </si>
  <si>
    <t>4410</t>
  </si>
  <si>
    <t>SAINT-JURS</t>
  </si>
  <si>
    <t>CASTELMARY</t>
  </si>
  <si>
    <t>VILLIERS-SUR-ORGE</t>
  </si>
  <si>
    <t>BRASLES</t>
  </si>
  <si>
    <t>SAINT-PAL-DE-MONS</t>
  </si>
  <si>
    <t>CAZALS-DES-BAYLES</t>
  </si>
  <si>
    <t>MORIONVILLIERS</t>
  </si>
  <si>
    <t>TREGROM</t>
  </si>
  <si>
    <t>2B194</t>
  </si>
  <si>
    <t>ORTALE</t>
  </si>
  <si>
    <t>LA CHAPELLE-HARENG</t>
  </si>
  <si>
    <t>CERNIEBAUD</t>
  </si>
  <si>
    <t>AVELANGES</t>
  </si>
  <si>
    <t>SANNAT</t>
  </si>
  <si>
    <t>GUESCHART</t>
  </si>
  <si>
    <t>SAINT-AGNAN-LE-MALHERBE</t>
  </si>
  <si>
    <t>HERMIVAL-LES-VAUX</t>
  </si>
  <si>
    <t>SAINTE-CROIX-DE-QUINTILLARGUES</t>
  </si>
  <si>
    <t>CHAPDES-BEAUFORT</t>
  </si>
  <si>
    <t>REMIGNY</t>
  </si>
  <si>
    <t>VEYRIER-DU-LAC</t>
  </si>
  <si>
    <t>SAINT-MAURICE-DE-REMENS</t>
  </si>
  <si>
    <t>CANIAC-DU-CAUSSE</t>
  </si>
  <si>
    <t>GREOLIERES</t>
  </si>
  <si>
    <t>LESSEUX</t>
  </si>
  <si>
    <t>52370</t>
  </si>
  <si>
    <t>MARANVILLE</t>
  </si>
  <si>
    <t>FYE</t>
  </si>
  <si>
    <t>53480</t>
  </si>
  <si>
    <t>SAINT-GEORGES-LE-FLECHARD</t>
  </si>
  <si>
    <t>SAINT-PIERRE-EN-FAUCIGNY</t>
  </si>
  <si>
    <t>33310</t>
  </si>
  <si>
    <t>LORMONT</t>
  </si>
  <si>
    <t>MAROLLETTE</t>
  </si>
  <si>
    <t>POIX-TERRON</t>
  </si>
  <si>
    <t>CARNET</t>
  </si>
  <si>
    <t>EYGLIERS</t>
  </si>
  <si>
    <t>MOUTIERS-EN-PUISAYE</t>
  </si>
  <si>
    <t>DOMEVRE-SUR-AVIERE</t>
  </si>
  <si>
    <t>JUXUE</t>
  </si>
  <si>
    <t>GOINCOURT</t>
  </si>
  <si>
    <t>COS</t>
  </si>
  <si>
    <t>BRANTIGNY</t>
  </si>
  <si>
    <t>SAINT-VICTEUR</t>
  </si>
  <si>
    <t>27750</t>
  </si>
  <si>
    <t>LA COUTURE-BOUSSEY</t>
  </si>
  <si>
    <t>NAIX-AUX-FORGES</t>
  </si>
  <si>
    <t>SOUES</t>
  </si>
  <si>
    <t>JOUX-LA-VILLE</t>
  </si>
  <si>
    <t>MARGUERON</t>
  </si>
  <si>
    <t>71680</t>
  </si>
  <si>
    <t>VINZELLES</t>
  </si>
  <si>
    <t>97351</t>
  </si>
  <si>
    <t>MATOURY</t>
  </si>
  <si>
    <t>BREUREY-LES-FAVERNEY</t>
  </si>
  <si>
    <t>FONTAINEBRUX</t>
  </si>
  <si>
    <t>MECHMONT</t>
  </si>
  <si>
    <t>TORCHAMP</t>
  </si>
  <si>
    <t>BERTAUCOURT-EPOURDON</t>
  </si>
  <si>
    <t>AVRIL-SUR-LOIRE</t>
  </si>
  <si>
    <t>LUCARRE</t>
  </si>
  <si>
    <t>TRELON</t>
  </si>
  <si>
    <t>MERIGON</t>
  </si>
  <si>
    <t>COLLINE-BEAUMONT</t>
  </si>
  <si>
    <t>VAL-DE-BRIDE</t>
  </si>
  <si>
    <t>GUILLON-LES-BAINS</t>
  </si>
  <si>
    <t>ESTREES</t>
  </si>
  <si>
    <t>SAINT-ETIENNE-CANTALES</t>
  </si>
  <si>
    <t>VASSY-SOUS-PISY</t>
  </si>
  <si>
    <t>UHLWILLER</t>
  </si>
  <si>
    <t>77330</t>
  </si>
  <si>
    <t>OZOIR-LA-FERRIERE</t>
  </si>
  <si>
    <t>TILLY-SUR-MEUSE</t>
  </si>
  <si>
    <t>44460</t>
  </si>
  <si>
    <t>SAINT-NICOLAS-DE-REDON</t>
  </si>
  <si>
    <t>MONT-DOL</t>
  </si>
  <si>
    <t>BOURDON</t>
  </si>
  <si>
    <t>CACHY</t>
  </si>
  <si>
    <t>OSTREVILLE</t>
  </si>
  <si>
    <t>LONGUEVILLETTE</t>
  </si>
  <si>
    <t>DURBANS</t>
  </si>
  <si>
    <t>85280</t>
  </si>
  <si>
    <t>85340</t>
  </si>
  <si>
    <t>OLONNE-SUR-MER</t>
  </si>
  <si>
    <t>BOUQUEVAL</t>
  </si>
  <si>
    <t>BRANDONVILLERS</t>
  </si>
  <si>
    <t>SAINT-ETIENNE-DE-VALOUX</t>
  </si>
  <si>
    <t>GUENANGE</t>
  </si>
  <si>
    <t>LES ORMES</t>
  </si>
  <si>
    <t>SAULXURES</t>
  </si>
  <si>
    <t>BELLOU</t>
  </si>
  <si>
    <t>SALLES-ET-PRATVIEL</t>
  </si>
  <si>
    <t>SAINT-LOUBES</t>
  </si>
  <si>
    <t>TAURIZE</t>
  </si>
  <si>
    <t>SEGUS</t>
  </si>
  <si>
    <t>LES RIVES</t>
  </si>
  <si>
    <t>BERNIERES-SUR-SEINE</t>
  </si>
  <si>
    <t>VINZIER</t>
  </si>
  <si>
    <t>FLEURINES</t>
  </si>
  <si>
    <t>RUMEGIES</t>
  </si>
  <si>
    <t>SAINT-JEAN-DU-FALGA</t>
  </si>
  <si>
    <t>MARGOUET-MEYMES</t>
  </si>
  <si>
    <t>REVEST-DES-BROUSSES</t>
  </si>
  <si>
    <t>34430</t>
  </si>
  <si>
    <t>SAINT-JEAN-DE-VEDAS</t>
  </si>
  <si>
    <t>OZAN</t>
  </si>
  <si>
    <t>SAINT-MARCEL-EN-MARCILLAT</t>
  </si>
  <si>
    <t>CHAMPVOISY</t>
  </si>
  <si>
    <t>PREIGNAN</t>
  </si>
  <si>
    <t>NEUVY-EN-BEAUCE</t>
  </si>
  <si>
    <t>CROISY-SUR-EURE</t>
  </si>
  <si>
    <t>SOPPE-LE-HAUT</t>
  </si>
  <si>
    <t>34760</t>
  </si>
  <si>
    <t>BOUJAN-SUR-LIBRON</t>
  </si>
  <si>
    <t>BRUNEHAMEL</t>
  </si>
  <si>
    <t>BREMENIL</t>
  </si>
  <si>
    <t>SAINT-MAGNE</t>
  </si>
  <si>
    <t>VIVIERS-LES-OFFROICOURT</t>
  </si>
  <si>
    <t>SAINT-AUNES</t>
  </si>
  <si>
    <t>NICOLE</t>
  </si>
  <si>
    <t>JULLY-LES-BUXY</t>
  </si>
  <si>
    <t>SERVAVILLE-SALMONVILLE</t>
  </si>
  <si>
    <t>RICAUD</t>
  </si>
  <si>
    <t>GUENIN</t>
  </si>
  <si>
    <t>RICARVILLE</t>
  </si>
  <si>
    <t>BAGNERES-DE-LUCHON</t>
  </si>
  <si>
    <t>MUSIEGES</t>
  </si>
  <si>
    <t>SAISY</t>
  </si>
  <si>
    <t>MONTILLY-SUR-NOIREAU</t>
  </si>
  <si>
    <t>SAINT-ROMAIN-LE-PUY</t>
  </si>
  <si>
    <t>FOURNIVAL</t>
  </si>
  <si>
    <t>BELLEGARDE-EN-MARCHE</t>
  </si>
  <si>
    <t>TORNAC</t>
  </si>
  <si>
    <t>CLERMONT-CREANS</t>
  </si>
  <si>
    <t>NEUVILLE-DAY</t>
  </si>
  <si>
    <t>ETREILLERS</t>
  </si>
  <si>
    <t>66430</t>
  </si>
  <si>
    <t>BOMPAS</t>
  </si>
  <si>
    <t>SAINTE-GENEVIEVE-DES-BOIS</t>
  </si>
  <si>
    <t>CHARNOD</t>
  </si>
  <si>
    <t>GARDERES</t>
  </si>
  <si>
    <t>PLONEIS</t>
  </si>
  <si>
    <t>SAINT-JEAN-ET-SAINT-PAUL</t>
  </si>
  <si>
    <t>BONSMOULINS</t>
  </si>
  <si>
    <t>COMUS</t>
  </si>
  <si>
    <t>SAINT-MAUDEZ</t>
  </si>
  <si>
    <t>MAUVEZIN-DE-PRAT</t>
  </si>
  <si>
    <t>AUDRUICQ</t>
  </si>
  <si>
    <t>MOULIN-MAGE</t>
  </si>
  <si>
    <t>CARO</t>
  </si>
  <si>
    <t>RIGNOVELLE</t>
  </si>
  <si>
    <t>RAINVILLE</t>
  </si>
  <si>
    <t>BREUIL-BARRET</t>
  </si>
  <si>
    <t>26620</t>
  </si>
  <si>
    <t>LUS-LA-CROIX-HAUTE</t>
  </si>
  <si>
    <t>MARIGNY-LES-REULLEE</t>
  </si>
  <si>
    <t>COURCELLES-SUR-SEINE</t>
  </si>
  <si>
    <t>ALBEPIERRE-BREDONS</t>
  </si>
  <si>
    <t>CAUVILLE</t>
  </si>
  <si>
    <t>DOMPAIRE</t>
  </si>
  <si>
    <t>FERRIERES-LES-SCEY</t>
  </si>
  <si>
    <t>LES VENTES</t>
  </si>
  <si>
    <t>BELFONDS</t>
  </si>
  <si>
    <t>VILLENTROIS</t>
  </si>
  <si>
    <t>MARQUES</t>
  </si>
  <si>
    <t>LE PLANQUAY</t>
  </si>
  <si>
    <t>SAINT-QUAY-PORTRIEUX</t>
  </si>
  <si>
    <t>RAINANS</t>
  </si>
  <si>
    <t>ALTIER</t>
  </si>
  <si>
    <t>OSTHOUSE</t>
  </si>
  <si>
    <t>MONTCHAL</t>
  </si>
  <si>
    <t>LA CHAPELLE-DU-BARD</t>
  </si>
  <si>
    <t>SAVIGNAC-LEDRIER</t>
  </si>
  <si>
    <t>LE SUBDRAY</t>
  </si>
  <si>
    <t>PEYRUS</t>
  </si>
  <si>
    <t>BROISSIA</t>
  </si>
  <si>
    <t>ROUMOULES</t>
  </si>
  <si>
    <t>94470</t>
  </si>
  <si>
    <t>BOISSY-SAINT-LEGER</t>
  </si>
  <si>
    <t>17570</t>
  </si>
  <si>
    <t>LES MATHES</t>
  </si>
  <si>
    <t>COMBIERS</t>
  </si>
  <si>
    <t>VEYRINS-THUELLIN</t>
  </si>
  <si>
    <t>ARZANO</t>
  </si>
  <si>
    <t>BUTRY-SUR-OISE</t>
  </si>
  <si>
    <t>PERTAIN</t>
  </si>
  <si>
    <t>SAINT-JACQUES-DE-THOUARS</t>
  </si>
  <si>
    <t>BURTONCOURT</t>
  </si>
  <si>
    <t>NOTRE-DAME-DU-HAMEL</t>
  </si>
  <si>
    <t>CISSAC-MEDOC</t>
  </si>
  <si>
    <t>BURBACH</t>
  </si>
  <si>
    <t>63118</t>
  </si>
  <si>
    <t>CEBAZAT</t>
  </si>
  <si>
    <t>NOIDANT-LE-ROCHEUX</t>
  </si>
  <si>
    <t>WECKOLSHEIM</t>
  </si>
  <si>
    <t>SAINT-AULAIS-LA-CHAPELLE</t>
  </si>
  <si>
    <t>SAULON-LA-RUE</t>
  </si>
  <si>
    <t>JAVENE</t>
  </si>
  <si>
    <t>LABASTIDE-GABAUSSE</t>
  </si>
  <si>
    <t>PIRMIL</t>
  </si>
  <si>
    <t>SAINT-PERN</t>
  </si>
  <si>
    <t>MONTVENDRE</t>
  </si>
  <si>
    <t>FARCEAUX</t>
  </si>
  <si>
    <t>DOMPIERRE-SUR-MONT</t>
  </si>
  <si>
    <t>SAINT-LEZER</t>
  </si>
  <si>
    <t>CHANCEAUX-SUR-CHOISILLE</t>
  </si>
  <si>
    <t>LES CRESNAYS</t>
  </si>
  <si>
    <t>BRETTEVILLE-SUR-AY</t>
  </si>
  <si>
    <t>SAINT-ETIENNE-LES-ORGUES</t>
  </si>
  <si>
    <t>SANDOUVILLE</t>
  </si>
  <si>
    <t>35650</t>
  </si>
  <si>
    <t>LE RHEU</t>
  </si>
  <si>
    <t>AUDELANGE</t>
  </si>
  <si>
    <t>FOUGEROLLES</t>
  </si>
  <si>
    <t>LE PLESSIS-HEBERT</t>
  </si>
  <si>
    <t>LAMPAUL-GUIMILIAU</t>
  </si>
  <si>
    <t>ALISE-SAINTE-REINE</t>
  </si>
  <si>
    <t>65600</t>
  </si>
  <si>
    <t>SEMEAC</t>
  </si>
  <si>
    <t>CHAUDRON-EN-MAUGES</t>
  </si>
  <si>
    <t>VAYCHIS</t>
  </si>
  <si>
    <t>71450</t>
  </si>
  <si>
    <t>BLANZY</t>
  </si>
  <si>
    <t>LES THILLIERS-EN-VEXIN</t>
  </si>
  <si>
    <t>PLIBOUX</t>
  </si>
  <si>
    <t>BAS-MAUCO</t>
  </si>
  <si>
    <t>LANDISACQ</t>
  </si>
  <si>
    <t>SAINT-PAUL-DE-FOURQUES</t>
  </si>
  <si>
    <t>GANTIES</t>
  </si>
  <si>
    <t>BUST</t>
  </si>
  <si>
    <t>FORCALQUIER</t>
  </si>
  <si>
    <t>SOUMERAS</t>
  </si>
  <si>
    <t>LE THUIT-SIMER</t>
  </si>
  <si>
    <t>LOUERRE</t>
  </si>
  <si>
    <t>IS-SUR-TILLE</t>
  </si>
  <si>
    <t>LARCHANT</t>
  </si>
  <si>
    <t>SAINT-PIERRE-EN-PORT</t>
  </si>
  <si>
    <t>LESTARDS</t>
  </si>
  <si>
    <t>SAINT-ARROUMEX</t>
  </si>
  <si>
    <t>LE BEULAY</t>
  </si>
  <si>
    <t>LE MAZEAU</t>
  </si>
  <si>
    <t>MONTBARTIER</t>
  </si>
  <si>
    <t>LA GREVE-SUR-MIGNON</t>
  </si>
  <si>
    <t>PAILHEROLS</t>
  </si>
  <si>
    <t>SAINT-MARTIN-DE-HINX</t>
  </si>
  <si>
    <t>AUGIREIN</t>
  </si>
  <si>
    <t>MONCLAR-DE-QUERCY</t>
  </si>
  <si>
    <t>VILLIERS-COUTURE</t>
  </si>
  <si>
    <t>DIXMONT</t>
  </si>
  <si>
    <t>BELLOY-EN-SANTERRE</t>
  </si>
  <si>
    <t>VERCIA</t>
  </si>
  <si>
    <t>CUQ</t>
  </si>
  <si>
    <t>PLESSIS-BARBUISE</t>
  </si>
  <si>
    <t>CEBAZAN</t>
  </si>
  <si>
    <t>VILLE-EN-VERMOIS</t>
  </si>
  <si>
    <t>NEUFMANIL</t>
  </si>
  <si>
    <t>67570</t>
  </si>
  <si>
    <t>ROTHAU</t>
  </si>
  <si>
    <t>VOLON</t>
  </si>
  <si>
    <t>VENES</t>
  </si>
  <si>
    <t>LE MUNG</t>
  </si>
  <si>
    <t>SAINT-GERMAIN-LA-CAMPAGNE</t>
  </si>
  <si>
    <t>ACHEY</t>
  </si>
  <si>
    <t>SAINT-PAIR</t>
  </si>
  <si>
    <t>CINDRE</t>
  </si>
  <si>
    <t>COINCOURT</t>
  </si>
  <si>
    <t>LA BOSSE-DE-BRETAGNE</t>
  </si>
  <si>
    <t>PERLES</t>
  </si>
  <si>
    <t>MALAUCOURT-SUR-SEILLE</t>
  </si>
  <si>
    <t>FOUG</t>
  </si>
  <si>
    <t>28000</t>
  </si>
  <si>
    <t>CHARTRES</t>
  </si>
  <si>
    <t>FROIDOS</t>
  </si>
  <si>
    <t>CHEVINAY</t>
  </si>
  <si>
    <t>SAINT-GENIES-DE-FONTEDIT</t>
  </si>
  <si>
    <t>HEUBECOURT-HARICOURT</t>
  </si>
  <si>
    <t>ESMANS</t>
  </si>
  <si>
    <t>CLEMENSAT</t>
  </si>
  <si>
    <t>HURE</t>
  </si>
  <si>
    <t>CHATENOY-EN-BRESSE</t>
  </si>
  <si>
    <t>FAYENCE</t>
  </si>
  <si>
    <t>SAINT-LUC</t>
  </si>
  <si>
    <t>SAINT-BARTHELEMY-LESTRA</t>
  </si>
  <si>
    <t>SAINT-MICHEL-DE-LA-ROE</t>
  </si>
  <si>
    <t>PASSAIS</t>
  </si>
  <si>
    <t>LANEUVILLE-SUR-MEUSE</t>
  </si>
  <si>
    <t>AMBIEVILLERS</t>
  </si>
  <si>
    <t>SAINT-JUIRE-CHAMPGILLON</t>
  </si>
  <si>
    <t>MEZY-MOULINS</t>
  </si>
  <si>
    <t>78150</t>
  </si>
  <si>
    <t>ROCQUENCOURT</t>
  </si>
  <si>
    <t>OMEX</t>
  </si>
  <si>
    <t>MONTREUIL-SUR-BRECHE</t>
  </si>
  <si>
    <t>MAYRAN</t>
  </si>
  <si>
    <t>LAPEYRE</t>
  </si>
  <si>
    <t>TABAILLE-USQUAIN</t>
  </si>
  <si>
    <t>NOUZILLY</t>
  </si>
  <si>
    <t>SOULIGNY</t>
  </si>
  <si>
    <t>KEDANGE-SUR-CANNER</t>
  </si>
  <si>
    <t>CAOURS</t>
  </si>
  <si>
    <t>VIVILLE</t>
  </si>
  <si>
    <t>CHAMPTOCEAUX</t>
  </si>
  <si>
    <t>MEAULTE</t>
  </si>
  <si>
    <t>SAINTE-COLOMBE-SUR-GAND</t>
  </si>
  <si>
    <t>MOUCHES</t>
  </si>
  <si>
    <t>80740</t>
  </si>
  <si>
    <t>RONSSOY</t>
  </si>
  <si>
    <t>BOULLAY-LES-TROUX</t>
  </si>
  <si>
    <t>ASSE-LE-RIBOUL</t>
  </si>
  <si>
    <t>LIEBVILLERS</t>
  </si>
  <si>
    <t>FERRIERES-EN-BRAY</t>
  </si>
  <si>
    <t>GUIMILIAU</t>
  </si>
  <si>
    <t>ROUSSELOY</t>
  </si>
  <si>
    <t>SAINT-HAON</t>
  </si>
  <si>
    <t>SIBIVILLE</t>
  </si>
  <si>
    <t>GREZIEU-LE-MARCHE</t>
  </si>
  <si>
    <t>LA SUZE-SUR-SARTHE</t>
  </si>
  <si>
    <t>COSGES</t>
  </si>
  <si>
    <t>AIGNAY-LE-DUC</t>
  </si>
  <si>
    <t>PREMILLIEU</t>
  </si>
  <si>
    <t>80330</t>
  </si>
  <si>
    <t>LONGUEAU</t>
  </si>
  <si>
    <t>MEYSSAC</t>
  </si>
  <si>
    <t>BOISTRUDAN</t>
  </si>
  <si>
    <t>LA VERNAZ</t>
  </si>
  <si>
    <t>VILLERS-SAINT-MARTIN</t>
  </si>
  <si>
    <t>URCUIT</t>
  </si>
  <si>
    <t>VALEMPOULIERES</t>
  </si>
  <si>
    <t>23380</t>
  </si>
  <si>
    <t>AJAIN</t>
  </si>
  <si>
    <t>BOUTAVENT</t>
  </si>
  <si>
    <t>CLEMONT</t>
  </si>
  <si>
    <t>SAINT-VICTOR-SUR-AVRE</t>
  </si>
  <si>
    <t>SERRIERES</t>
  </si>
  <si>
    <t>VAXAINVILLE</t>
  </si>
  <si>
    <t>SAINT-SULPICE-D'EXCIDEUIL</t>
  </si>
  <si>
    <t>SAINT-JEAN-DE-BOEUF</t>
  </si>
  <si>
    <t>FONTENAY-SOUS-FOURONNES</t>
  </si>
  <si>
    <t>AZERABLES</t>
  </si>
  <si>
    <t>CHOOZ</t>
  </si>
  <si>
    <t>HOURS</t>
  </si>
  <si>
    <t>FRONTENAY-ROHAN-ROHAN</t>
  </si>
  <si>
    <t>BEYNAT</t>
  </si>
  <si>
    <t>CHANCIA</t>
  </si>
  <si>
    <t>SAINT-BOUIZE</t>
  </si>
  <si>
    <t>BEVILLERS</t>
  </si>
  <si>
    <t>L'AIGUILLON</t>
  </si>
  <si>
    <t>LA FORESTIERE</t>
  </si>
  <si>
    <t>RUPPES</t>
  </si>
  <si>
    <t>SAINT-MAULVIS</t>
  </si>
  <si>
    <t>MONCHEAUX</t>
  </si>
  <si>
    <t>CHAMPIGNY-SUR-AUBE</t>
  </si>
  <si>
    <t>NOUVION-LE-COMTE</t>
  </si>
  <si>
    <t>ROQUEPINE</t>
  </si>
  <si>
    <t>MOUHET</t>
  </si>
  <si>
    <t>FAJAC-LA-RELENQUE</t>
  </si>
  <si>
    <t>PLANAY</t>
  </si>
  <si>
    <t>CAMBURAT</t>
  </si>
  <si>
    <t>SAFFRE</t>
  </si>
  <si>
    <t>SARZAY</t>
  </si>
  <si>
    <t>GAPREE</t>
  </si>
  <si>
    <t>SAINT-MARS-SUR-LA-FUTAIE</t>
  </si>
  <si>
    <t>JEU-MALOCHES</t>
  </si>
  <si>
    <t>FRANQUEVIELLE</t>
  </si>
  <si>
    <t>FOURILLES</t>
  </si>
  <si>
    <t>CHAILLAC-SUR-VIENNE</t>
  </si>
  <si>
    <t>GRANDCHAMP-LE-CHATEAU</t>
  </si>
  <si>
    <t>MIRAVAL-CABARDES</t>
  </si>
  <si>
    <t>FREMONVILLE</t>
  </si>
  <si>
    <t>65110</t>
  </si>
  <si>
    <t>CAUTERETS</t>
  </si>
  <si>
    <t>SAINT-ANDRE-DE-CUBZAC</t>
  </si>
  <si>
    <t>LONGEAU-PERCEY</t>
  </si>
  <si>
    <t>ARTAS</t>
  </si>
  <si>
    <t>SAINT-BON-TARENTAISE</t>
  </si>
  <si>
    <t>CLERGOUX</t>
  </si>
  <si>
    <t>PONTMAIN</t>
  </si>
  <si>
    <t>SAINT-MARY-LE-PLAIN</t>
  </si>
  <si>
    <t>ROTANGY</t>
  </si>
  <si>
    <t>ABLAINZEVELLE</t>
  </si>
  <si>
    <t>SAINT-MARTIAL-LE-VIEUX</t>
  </si>
  <si>
    <t>SAINT-QUENTIN-DE-CAPLONG</t>
  </si>
  <si>
    <t>LOUVIERS</t>
  </si>
  <si>
    <t>MUNEVILLE-LE-BINGARD</t>
  </si>
  <si>
    <t>GOERLINGEN</t>
  </si>
  <si>
    <t>LA CHAPELLE-SAINT-ANDRE</t>
  </si>
  <si>
    <t>BERLING</t>
  </si>
  <si>
    <t>ABONDANCE</t>
  </si>
  <si>
    <t>SAINT-SATURNIN-DU-LIMET</t>
  </si>
  <si>
    <t>HAYNECOURT</t>
  </si>
  <si>
    <t>SAINT-ROMAIN-EN-JAREZ</t>
  </si>
  <si>
    <t>59235</t>
  </si>
  <si>
    <t>BERSEE</t>
  </si>
  <si>
    <t>CHAUDENAY-LA-VILLE</t>
  </si>
  <si>
    <t>MONTAGNY-PRES-LOUHANS</t>
  </si>
  <si>
    <t>PUYCORNET</t>
  </si>
  <si>
    <t>REIGNIER-ESERY</t>
  </si>
  <si>
    <t>ISSAC</t>
  </si>
  <si>
    <t>CHASSIGNY-SOUS-DUN</t>
  </si>
  <si>
    <t>NIEDERMODERN</t>
  </si>
  <si>
    <t>SAINT-SULPICE-LES-FEUILLES</t>
  </si>
  <si>
    <t>SAINT-BROINGT-LE-BOIS</t>
  </si>
  <si>
    <t>BRUCHEVILLE</t>
  </si>
  <si>
    <t>67770</t>
  </si>
  <si>
    <t>DALHUNDEN</t>
  </si>
  <si>
    <t>CAILLOUET-ORGEVILLE</t>
  </si>
  <si>
    <t>SAINT-THIBAULT-DES-VIGNES</t>
  </si>
  <si>
    <t>CUISY-EN-ALMONT</t>
  </si>
  <si>
    <t>LABBEVILLE</t>
  </si>
  <si>
    <t>BLAINCOURT-LES-PRECY</t>
  </si>
  <si>
    <t>OSSERAIN-RIVAREYTE</t>
  </si>
  <si>
    <t>AUTHEZAT</t>
  </si>
  <si>
    <t>EXPIREMONT</t>
  </si>
  <si>
    <t>SAINT-JEAN-D'ETREUX</t>
  </si>
  <si>
    <t>CLARAFOND-ARCINE</t>
  </si>
  <si>
    <t>BENDORF</t>
  </si>
  <si>
    <t>CHAMPLIVE</t>
  </si>
  <si>
    <t>VELLECHEVREUX-ET-COURBENANS</t>
  </si>
  <si>
    <t>SAINT-JULIEN-SUR-REYSSOUZE</t>
  </si>
  <si>
    <t>77750</t>
  </si>
  <si>
    <t>ORLY-SUR-MORIN</t>
  </si>
  <si>
    <t>DOMBLANS</t>
  </si>
  <si>
    <t>GAMBAISEUIL</t>
  </si>
  <si>
    <t>FEULE</t>
  </si>
  <si>
    <t>77176</t>
  </si>
  <si>
    <t>SAVIGNY-LE-TEMPLE</t>
  </si>
  <si>
    <t>MAGNY-FOUCHARD</t>
  </si>
  <si>
    <t>SAINT-PIERRE-DE-CHIGNAC</t>
  </si>
  <si>
    <t>MIGENNES</t>
  </si>
  <si>
    <t>PALISE</t>
  </si>
  <si>
    <t>LES GENETTES</t>
  </si>
  <si>
    <t>GRANDSAIGNE</t>
  </si>
  <si>
    <t>MOLOSMES</t>
  </si>
  <si>
    <t>94130</t>
  </si>
  <si>
    <t>NOGENT-SUR-MARNE</t>
  </si>
  <si>
    <t>CAMPET-ET-LAMOLERE</t>
  </si>
  <si>
    <t>MONTLOUIS</t>
  </si>
  <si>
    <t>BOUTANCOURT</t>
  </si>
  <si>
    <t>MAXOU</t>
  </si>
  <si>
    <t>CASTELNAVET</t>
  </si>
  <si>
    <t>CEAUX-D'ALLEGRE</t>
  </si>
  <si>
    <t>VIRAC</t>
  </si>
  <si>
    <t>SAINT-LAUNEUC</t>
  </si>
  <si>
    <t>PRINCAY</t>
  </si>
  <si>
    <t>SAINT-GERMAIN-LE-FOUILLOUX</t>
  </si>
  <si>
    <t>SAINT-JEAN-SAINT-GERMAIN</t>
  </si>
  <si>
    <t>HELLEAN</t>
  </si>
  <si>
    <t>LUXEY</t>
  </si>
  <si>
    <t>SAMSONS-LION</t>
  </si>
  <si>
    <t>LAUGNAC</t>
  </si>
  <si>
    <t>FROBERVILLE</t>
  </si>
  <si>
    <t>SARGE-LES-LE-MANS</t>
  </si>
  <si>
    <t>ESPARTIGNAC</t>
  </si>
  <si>
    <t>SAINT-SAUVEUR-GOUVERNET</t>
  </si>
  <si>
    <t>TICHEY</t>
  </si>
  <si>
    <t>LILLY</t>
  </si>
  <si>
    <t>BRAMETOT</t>
  </si>
  <si>
    <t>LE FRESNE-SUR-LOIRE</t>
  </si>
  <si>
    <t>SONCOURT-SUR-MARNE</t>
  </si>
  <si>
    <t>ANDERNAY</t>
  </si>
  <si>
    <t>FAUDOAS</t>
  </si>
  <si>
    <t>LA ROQUE-SUR-PERNES</t>
  </si>
  <si>
    <t>BAYONS</t>
  </si>
  <si>
    <t>DOMMARTIN-SUR-VRAINE</t>
  </si>
  <si>
    <t>SOUGRAIGNE</t>
  </si>
  <si>
    <t>LE CAUSE</t>
  </si>
  <si>
    <t>SAMEREY</t>
  </si>
  <si>
    <t>MAUCOURT</t>
  </si>
  <si>
    <t>LIZINE</t>
  </si>
  <si>
    <t>NOROY-LE-BOURG</t>
  </si>
  <si>
    <t>SAINT-REMY-EN-ROLLAT</t>
  </si>
  <si>
    <t>LAGARDE-SUR-LE-NE</t>
  </si>
  <si>
    <t>GEE</t>
  </si>
  <si>
    <t>SAINT-PATRICE-DE-CLAIDS</t>
  </si>
  <si>
    <t>BEAUNE-SUR-ARZON</t>
  </si>
  <si>
    <t>CLARENS</t>
  </si>
  <si>
    <t>TOURVILLE-LA-RIVIERE</t>
  </si>
  <si>
    <t>THIANGES</t>
  </si>
  <si>
    <t>BRANSCOURT</t>
  </si>
  <si>
    <t>BANIOS</t>
  </si>
  <si>
    <t>PULLIGNY</t>
  </si>
  <si>
    <t>GALIAX</t>
  </si>
  <si>
    <t>49660</t>
  </si>
  <si>
    <t>LE VIGEANT</t>
  </si>
  <si>
    <t>CUSY</t>
  </si>
  <si>
    <t>MAISONNAIS</t>
  </si>
  <si>
    <t>HESCAMPS</t>
  </si>
  <si>
    <t>78580</t>
  </si>
  <si>
    <t>JUMEAUVILLE</t>
  </si>
  <si>
    <t>LE BEC-THOMAS</t>
  </si>
  <si>
    <t>ALBENS</t>
  </si>
  <si>
    <t>59214</t>
  </si>
  <si>
    <t>QUIEVY</t>
  </si>
  <si>
    <t>GRACAY</t>
  </si>
  <si>
    <t>VILLEBAZY</t>
  </si>
  <si>
    <t>MAGNY-LE-HONGRE</t>
  </si>
  <si>
    <t>YTRES</t>
  </si>
  <si>
    <t>MONTJUSTIN</t>
  </si>
  <si>
    <t>POMMERIT-LE-VICOMTE</t>
  </si>
  <si>
    <t>POILLY</t>
  </si>
  <si>
    <t>HECQ</t>
  </si>
  <si>
    <t>SAINT-CHRISTOPHE-EN-BOUCHERIE</t>
  </si>
  <si>
    <t>VALADY</t>
  </si>
  <si>
    <t>BECON-LES-GRANITS</t>
  </si>
  <si>
    <t>SYAM</t>
  </si>
  <si>
    <t>CHASTEL-SUR-MURAT</t>
  </si>
  <si>
    <t>LABASTIDETTE</t>
  </si>
  <si>
    <t>84740</t>
  </si>
  <si>
    <t>VELLERON</t>
  </si>
  <si>
    <t>SALEICH</t>
  </si>
  <si>
    <t>MONDEMENT-MONTGIVROUX</t>
  </si>
  <si>
    <t>NEUVILLE-FERRIERES</t>
  </si>
  <si>
    <t>GRAVES-SAINT-AMANT</t>
  </si>
  <si>
    <t>DINGY-SAINT-CLAIR</t>
  </si>
  <si>
    <t>VOUZIERS</t>
  </si>
  <si>
    <t>97441</t>
  </si>
  <si>
    <t>GILOCOURT</t>
  </si>
  <si>
    <t>PAUCOURT</t>
  </si>
  <si>
    <t>82140</t>
  </si>
  <si>
    <t>SAINT-ANTONIN-NOBLE-VAL</t>
  </si>
  <si>
    <t>ESNON</t>
  </si>
  <si>
    <t>HUCQUELIERS</t>
  </si>
  <si>
    <t>ISLE-ET-BARDAIS</t>
  </si>
  <si>
    <t>TOURRETTES</t>
  </si>
  <si>
    <t>COUTRAS</t>
  </si>
  <si>
    <t>BOLOGNE</t>
  </si>
  <si>
    <t>VILLE-AU-VAL</t>
  </si>
  <si>
    <t>27870</t>
  </si>
  <si>
    <t>PUPILLIN</t>
  </si>
  <si>
    <t>MAULEVRIER-SAINTE-GERTRUDE</t>
  </si>
  <si>
    <t>CAUROY</t>
  </si>
  <si>
    <t>CUBZAC-LES-PONTS</t>
  </si>
  <si>
    <t>JOUX</t>
  </si>
  <si>
    <t>ELLON</t>
  </si>
  <si>
    <t>VILLIERS-LE-PRE</t>
  </si>
  <si>
    <t>BOURIDEYS</t>
  </si>
  <si>
    <t>HUMBAUVILLE</t>
  </si>
  <si>
    <t>MORIZECOURT</t>
  </si>
  <si>
    <t>BERG-SUR-MOSELLE</t>
  </si>
  <si>
    <t>POMPIEY</t>
  </si>
  <si>
    <t>NEAUPHE-SOUS-ESSAI</t>
  </si>
  <si>
    <t>SAINT-GREGOIRE</t>
  </si>
  <si>
    <t>LACHAUSSEE</t>
  </si>
  <si>
    <t>PICAUVILLE</t>
  </si>
  <si>
    <t>SERVILLY</t>
  </si>
  <si>
    <t>PARGNY-LA-DHUYS</t>
  </si>
  <si>
    <t>CIERGES</t>
  </si>
  <si>
    <t>BASSEVELLE</t>
  </si>
  <si>
    <t>CHEFFES</t>
  </si>
  <si>
    <t>VELLE-SUR-MOSELLE</t>
  </si>
  <si>
    <t>TANGRY</t>
  </si>
  <si>
    <t>SAINT-GERMAIN-DES-VAUX</t>
  </si>
  <si>
    <t>GEMIGNY</t>
  </si>
  <si>
    <t>AUBIGNY-LES-SOMBERNON</t>
  </si>
  <si>
    <t>TROCHERES</t>
  </si>
  <si>
    <t>PARIGNY-LA-ROSE</t>
  </si>
  <si>
    <t>83590</t>
  </si>
  <si>
    <t>GONFARON</t>
  </si>
  <si>
    <t>6140</t>
  </si>
  <si>
    <t>COURSEGOULES</t>
  </si>
  <si>
    <t>20157</t>
  </si>
  <si>
    <t>2A119</t>
  </si>
  <si>
    <t>FRASSETO</t>
  </si>
  <si>
    <t>MONTANAY</t>
  </si>
  <si>
    <t>SAINT-MARC-SUR-COUESNON</t>
  </si>
  <si>
    <t>OVANCHES</t>
  </si>
  <si>
    <t>ACLOU</t>
  </si>
  <si>
    <t>NEUWILLER</t>
  </si>
  <si>
    <t>CAIGNAC</t>
  </si>
  <si>
    <t>MIREFLEURS</t>
  </si>
  <si>
    <t>SAINT-LAURENT-DE-MURE</t>
  </si>
  <si>
    <t>SOYERS</t>
  </si>
  <si>
    <t>PEGAIROLLES-DE-BUEGES</t>
  </si>
  <si>
    <t>ROUGEOU</t>
  </si>
  <si>
    <t>10370</t>
  </si>
  <si>
    <t>VILLENAUXE-LA-GRANDE</t>
  </si>
  <si>
    <t>BROUVILLER</t>
  </si>
  <si>
    <t>MAROLLES-EN-HUREPOIX</t>
  </si>
  <si>
    <t>HANVEC</t>
  </si>
  <si>
    <t>SERVIGNAT</t>
  </si>
  <si>
    <t>SAINT-MAURICE-DE-GOURDANS</t>
  </si>
  <si>
    <t>PAGOLLE</t>
  </si>
  <si>
    <t>SAINT-MICHEL-DE-LAPUJADE</t>
  </si>
  <si>
    <t>NEFIACH</t>
  </si>
  <si>
    <t>QUEVILLON</t>
  </si>
  <si>
    <t>NEUVY-LE-BARROIS</t>
  </si>
  <si>
    <t>DONNAZAC</t>
  </si>
  <si>
    <t>SAINT-CHRISTOPHE-EN-BRIONNAIS</t>
  </si>
  <si>
    <t>PLOUGUENAST</t>
  </si>
  <si>
    <t>LABASSERE</t>
  </si>
  <si>
    <t>CHAIL</t>
  </si>
  <si>
    <t>CHARTRONGES</t>
  </si>
  <si>
    <t>CIEZ</t>
  </si>
  <si>
    <t>BUXIERES-D'AILLAC</t>
  </si>
  <si>
    <t>SAINT-LOUP-DE-VARENNES</t>
  </si>
  <si>
    <t>60162</t>
  </si>
  <si>
    <t>VIGNEMONT</t>
  </si>
  <si>
    <t>BRETTEVILLE-SUR-DIVES</t>
  </si>
  <si>
    <t>CREVOUX</t>
  </si>
  <si>
    <t>56880</t>
  </si>
  <si>
    <t>PLOEREN</t>
  </si>
  <si>
    <t>VOLMERANGE-LES-BOULAY</t>
  </si>
  <si>
    <t>FOUCHERANS</t>
  </si>
  <si>
    <t>BERNAY-EN-PONTHIEU</t>
  </si>
  <si>
    <t>LA BASTIDE-L'EVEQUE</t>
  </si>
  <si>
    <t>TOUTENS</t>
  </si>
  <si>
    <t>BRILLON-EN-BARROIS</t>
  </si>
  <si>
    <t>AUDRIX</t>
  </si>
  <si>
    <t>VERNEUIL-EN-BOURBONNAIS</t>
  </si>
  <si>
    <t>PENLY</t>
  </si>
  <si>
    <t>SASSIS</t>
  </si>
  <si>
    <t>SAINT-GEORGES-LES-BAINS</t>
  </si>
  <si>
    <t>FAY-LES-NEMOURS</t>
  </si>
  <si>
    <t>FERRIERES-HAUT-CLOCHER</t>
  </si>
  <si>
    <t>BETTIGNIES</t>
  </si>
  <si>
    <t>80710</t>
  </si>
  <si>
    <t>QUEVAUVILLERS</t>
  </si>
  <si>
    <t>SAVONNIERES-DEVANT-BAR</t>
  </si>
  <si>
    <t>SAULGOND</t>
  </si>
  <si>
    <t>GUINGLANGE</t>
  </si>
  <si>
    <t>VERNOIS-LES-VESVRES</t>
  </si>
  <si>
    <t>KERLING-LES-SIERCK</t>
  </si>
  <si>
    <t>OURCHES-SUR-MEUSE</t>
  </si>
  <si>
    <t>MAJASTRES</t>
  </si>
  <si>
    <t>FLAUMONT-WAUDRECHIES</t>
  </si>
  <si>
    <t>PLUDUNO</t>
  </si>
  <si>
    <t>BAZENVILLE</t>
  </si>
  <si>
    <t>LA BATIE-NEUVE</t>
  </si>
  <si>
    <t>FRICHEMESNIL</t>
  </si>
  <si>
    <t>EIX</t>
  </si>
  <si>
    <t>PETITE-CHAUX</t>
  </si>
  <si>
    <t>81580</t>
  </si>
  <si>
    <t>CAMBOUNET-SUR-LE-SOR</t>
  </si>
  <si>
    <t>MONTABON</t>
  </si>
  <si>
    <t>40630</t>
  </si>
  <si>
    <t>TRENSACQ</t>
  </si>
  <si>
    <t>VILLETHIERRY</t>
  </si>
  <si>
    <t>OULCHES-LA-VALLEE-FOULON</t>
  </si>
  <si>
    <t>94290</t>
  </si>
  <si>
    <t>VILLENEUVE-LE-ROI</t>
  </si>
  <si>
    <t>PLAUDREN</t>
  </si>
  <si>
    <t>LE BOURG-DUN</t>
  </si>
  <si>
    <t>BOISDON</t>
  </si>
  <si>
    <t>LA RENAUDIERE</t>
  </si>
  <si>
    <t>SAINT-PIERRE-DE-RIVIERE</t>
  </si>
  <si>
    <t>CARANTILLY</t>
  </si>
  <si>
    <t>AVOISE</t>
  </si>
  <si>
    <t>SAINT-ELOY-DE-GY</t>
  </si>
  <si>
    <t>GENEVREY</t>
  </si>
  <si>
    <t>MONTRICOUX</t>
  </si>
  <si>
    <t>CAUMONT-L'EVENTE</t>
  </si>
  <si>
    <t>BRAQUIS</t>
  </si>
  <si>
    <t>DONNEZAC</t>
  </si>
  <si>
    <t>SAINT-MARTORY</t>
  </si>
  <si>
    <t>SAINT-MARTIN-DE-BROMES</t>
  </si>
  <si>
    <t>CRECHES-SUR-SAONE</t>
  </si>
  <si>
    <t>LA NEUVE-GRANGE</t>
  </si>
  <si>
    <t>ECUELLE</t>
  </si>
  <si>
    <t>84560</t>
  </si>
  <si>
    <t>MENERBES</t>
  </si>
  <si>
    <t>SAINT-MEDARD-EN-FOREZ</t>
  </si>
  <si>
    <t>MAZERES-SUR-SALAT</t>
  </si>
  <si>
    <t>CHAUX-CHAMPAGNY</t>
  </si>
  <si>
    <t>73710</t>
  </si>
  <si>
    <t>PRALOGNAN-LA-VANOISE</t>
  </si>
  <si>
    <t>THEVILLE</t>
  </si>
  <si>
    <t>IZAOURT</t>
  </si>
  <si>
    <t>SAVILLY</t>
  </si>
  <si>
    <t>BEAUDIGNIES</t>
  </si>
  <si>
    <t>CORNILLE-LES-CAVES</t>
  </si>
  <si>
    <t>CHAMPIGNY-SOUS-VARENNES</t>
  </si>
  <si>
    <t>97117</t>
  </si>
  <si>
    <t>SANRY-LES-VIGY</t>
  </si>
  <si>
    <t>SAINT-HILAIRE-DE-LOULAY</t>
  </si>
  <si>
    <t>OFFENDORF</t>
  </si>
  <si>
    <t>VINDEY</t>
  </si>
  <si>
    <t>FLAVY-LE-MELDEUX</t>
  </si>
  <si>
    <t>BLACY</t>
  </si>
  <si>
    <t>AUTECHAUX-ROIDE</t>
  </si>
  <si>
    <t>62151</t>
  </si>
  <si>
    <t>BURBURE</t>
  </si>
  <si>
    <t>MAISONCELLE-SAINT-PIERRE</t>
  </si>
  <si>
    <t>AUTREVILLE-SUR-LA-RENNE</t>
  </si>
  <si>
    <t>ROMAGNY</t>
  </si>
  <si>
    <t>DOMPIERRE-SUR-BESBRE</t>
  </si>
  <si>
    <t>SAINT-HILAIRE-SUR-PUISEAUX</t>
  </si>
  <si>
    <t>MOLSHEIM</t>
  </si>
  <si>
    <t>BRIE-SOUS-ARCHIAC</t>
  </si>
  <si>
    <t>LA VILLE-DU-BOIS</t>
  </si>
  <si>
    <t>ARACHES-LA-FRASSE</t>
  </si>
  <si>
    <t>GIRCOURT-LES-VIEVILLE</t>
  </si>
  <si>
    <t>DARVAULT</t>
  </si>
  <si>
    <t>LONNY</t>
  </si>
  <si>
    <t>NEUVELLE-LES-VOISEY</t>
  </si>
  <si>
    <t>RIBAUTE</t>
  </si>
  <si>
    <t>29610</t>
  </si>
  <si>
    <t>PLOUIGNEAU</t>
  </si>
  <si>
    <t>COLLONGES</t>
  </si>
  <si>
    <t>LA PEROUILLE</t>
  </si>
  <si>
    <t>MAROLLES-LES-BUIS</t>
  </si>
  <si>
    <t>SAINT-MARCEL-LES-ANNONAY</t>
  </si>
  <si>
    <t>VERGONS</t>
  </si>
  <si>
    <t>UCEL</t>
  </si>
  <si>
    <t>MIMIZAN</t>
  </si>
  <si>
    <t>SAINT-PIERRE-LA-ROCHE</t>
  </si>
  <si>
    <t>BOURROUILLAN</t>
  </si>
  <si>
    <t>ENFONVELLE</t>
  </si>
  <si>
    <t>2B299</t>
  </si>
  <si>
    <t>SAN-GAVINO-D'AMPUGNANI</t>
  </si>
  <si>
    <t>GROSLEY-SUR-RISLE</t>
  </si>
  <si>
    <t>SAINT-PARDOUX-L'ORTIGIER</t>
  </si>
  <si>
    <t>BLANGERVAL-BLANGERMONT</t>
  </si>
  <si>
    <t>SAINT-BONNET-DE-VIEILLE-VIGNE</t>
  </si>
  <si>
    <t>LEGEVILLE-ET-BONFAYS</t>
  </si>
  <si>
    <t>VUILLECIN</t>
  </si>
  <si>
    <t>BEAUJEU-SAINT-VALLIER-PIERREJUX-ET-QUITTEUR</t>
  </si>
  <si>
    <t>BERRE-LES-ALPES</t>
  </si>
  <si>
    <t>SAINT-LEGER-SOUS-LA-BUSSIERE</t>
  </si>
  <si>
    <t>59860</t>
  </si>
  <si>
    <t>BRUAY-SUR-L'ESCAUT</t>
  </si>
  <si>
    <t>GUERLESQUIN</t>
  </si>
  <si>
    <t>FRASNE-LE-CHATEAU</t>
  </si>
  <si>
    <t>ATHIS</t>
  </si>
  <si>
    <t>RANVILLE</t>
  </si>
  <si>
    <t>SAINT-ANDRE-DE-BOEGE</t>
  </si>
  <si>
    <t>REMUZAT</t>
  </si>
  <si>
    <t>BRIGNEMONT</t>
  </si>
  <si>
    <t>MONTAMAT</t>
  </si>
  <si>
    <t>LUXEMONT-ET-VILLOTTE</t>
  </si>
  <si>
    <t>BOURG-SAINTE-MARIE</t>
  </si>
  <si>
    <t>PONT-DE-POITTE</t>
  </si>
  <si>
    <t>77157</t>
  </si>
  <si>
    <t>EVERLY</t>
  </si>
  <si>
    <t>CHAVAIGNES</t>
  </si>
  <si>
    <t>LECOUSSE</t>
  </si>
  <si>
    <t>REVIERS</t>
  </si>
  <si>
    <t>AUDINCTHUN</t>
  </si>
  <si>
    <t>CORMOZ</t>
  </si>
  <si>
    <t>CORREZE</t>
  </si>
  <si>
    <t>COUSANCES-LES-TRICONVILLE</t>
  </si>
  <si>
    <t>68980</t>
  </si>
  <si>
    <t>BEBLENHEIM</t>
  </si>
  <si>
    <t>ROUESSE-VASSE</t>
  </si>
  <si>
    <t>LANNOY-CUILLERE</t>
  </si>
  <si>
    <t>LE PRE-D'AUGE</t>
  </si>
  <si>
    <t>CIVRY</t>
  </si>
  <si>
    <t>LA SEGALASSIERE</t>
  </si>
  <si>
    <t>MEULLES</t>
  </si>
  <si>
    <t>LA TRINITE-DE-THOUBERVILLE</t>
  </si>
  <si>
    <t>BONVILLET</t>
  </si>
  <si>
    <t>CHANTEMERLE-LES-BLES</t>
  </si>
  <si>
    <t>MONNAIE</t>
  </si>
  <si>
    <t>AMEUGNY</t>
  </si>
  <si>
    <t>HARGICOURT</t>
  </si>
  <si>
    <t>JOURNIAC</t>
  </si>
  <si>
    <t>GONESSE</t>
  </si>
  <si>
    <t>ANTOINGT</t>
  </si>
  <si>
    <t>LA GRANDVILLE</t>
  </si>
  <si>
    <t>MEULERS</t>
  </si>
  <si>
    <t>VACHERES</t>
  </si>
  <si>
    <t>BONNIEUX</t>
  </si>
  <si>
    <t>GAILLON-SUR-MONTCIENT</t>
  </si>
  <si>
    <t>ETIVAL-LES-LE-MANS</t>
  </si>
  <si>
    <t>92190/92360</t>
  </si>
  <si>
    <t>MEUDON</t>
  </si>
  <si>
    <t>CAULAINCOURT</t>
  </si>
  <si>
    <t>SAINT-ALBAN-AURIOLLES</t>
  </si>
  <si>
    <t>VILLARS-SOUS-DAMPJOUX</t>
  </si>
  <si>
    <t>SAINT-PAUL-SUR-ISERE</t>
  </si>
  <si>
    <t>RECOLOGNE-LES-RIOZ</t>
  </si>
  <si>
    <t>45560</t>
  </si>
  <si>
    <t>SAINT-DENIS-EN-VAL</t>
  </si>
  <si>
    <t>VALENCE-SUR-BAISE</t>
  </si>
  <si>
    <t>SAINT-VIT</t>
  </si>
  <si>
    <t>SAINT-SUPPLET</t>
  </si>
  <si>
    <t>LIGNEREUIL</t>
  </si>
  <si>
    <t>GERY</t>
  </si>
  <si>
    <t>CARLEPONT</t>
  </si>
  <si>
    <t>CAUJAC</t>
  </si>
  <si>
    <t>NERVIEUX</t>
  </si>
  <si>
    <t>ESCHWILLER</t>
  </si>
  <si>
    <t>MAISOD</t>
  </si>
  <si>
    <t>CURCAY-SUR-DIVE</t>
  </si>
  <si>
    <t>2A174</t>
  </si>
  <si>
    <t>MURZO</t>
  </si>
  <si>
    <t>LE MONESTIER</t>
  </si>
  <si>
    <t>CUIGY-EN-BRAY</t>
  </si>
  <si>
    <t>SAINT-SAUVEUR-DE-LANDEMONT</t>
  </si>
  <si>
    <t>VAITE</t>
  </si>
  <si>
    <t>LA SOUTERRAINE</t>
  </si>
  <si>
    <t>PETIT-FAILLY</t>
  </si>
  <si>
    <t>68760</t>
  </si>
  <si>
    <t>GOLDBACH-ALTENBACH</t>
  </si>
  <si>
    <t>SAINT-BRANCHER</t>
  </si>
  <si>
    <t>66610</t>
  </si>
  <si>
    <t>VILLENEUVE-LA-RIVIERE</t>
  </si>
  <si>
    <t>SAINT-ROMAN-DE-CODIERES</t>
  </si>
  <si>
    <t>FEUCHEROLLES</t>
  </si>
  <si>
    <t>VINCY-REUIL-ET-MAGNY</t>
  </si>
  <si>
    <t>CHEMIRE-EN-CHARNIE</t>
  </si>
  <si>
    <t>CHATEAUNEUF-D'ILLE-ET-VILAINE</t>
  </si>
  <si>
    <t>33170</t>
  </si>
  <si>
    <t>GRADIGNAN</t>
  </si>
  <si>
    <t>FRESVILLE</t>
  </si>
  <si>
    <t>NEUILLY-EN-THELLE</t>
  </si>
  <si>
    <t>VENAREY-LES-LAUMES</t>
  </si>
  <si>
    <t>PEYRAUD</t>
  </si>
  <si>
    <t>SAINT-CHRISTOPHE-EN-OISANS</t>
  </si>
  <si>
    <t>SAINT-THOMAS-DE-CONAC</t>
  </si>
  <si>
    <t>HEUGLEVILLE-SUR-SCIE</t>
  </si>
  <si>
    <t>46000</t>
  </si>
  <si>
    <t>CAHORS</t>
  </si>
  <si>
    <t>CORMAINVILLE</t>
  </si>
  <si>
    <t>CATHEUX</t>
  </si>
  <si>
    <t>GOUSSANCOURT</t>
  </si>
  <si>
    <t>SAINT-MARTIN-DE-FONTENAY</t>
  </si>
  <si>
    <t>LE GRAND-PRESSIGNY</t>
  </si>
  <si>
    <t>2B067</t>
  </si>
  <si>
    <t>CARPINETO</t>
  </si>
  <si>
    <t>BREANCON</t>
  </si>
  <si>
    <t>59112</t>
  </si>
  <si>
    <t>ANNOEULLIN</t>
  </si>
  <si>
    <t>MORTERY</t>
  </si>
  <si>
    <t>SAINT-GERMAIN-DU-CORBEIS</t>
  </si>
  <si>
    <t>DOULEZON</t>
  </si>
  <si>
    <t>BOURSAY</t>
  </si>
  <si>
    <t>27590</t>
  </si>
  <si>
    <t>PITRES</t>
  </si>
  <si>
    <t>VELINES</t>
  </si>
  <si>
    <t>PRUSY</t>
  </si>
  <si>
    <t>SAINT-ETIENNE-A-ARNES</t>
  </si>
  <si>
    <t>SAINT-PIERRE-D'ALVEY</t>
  </si>
  <si>
    <t>AZAY-SUR-CHER</t>
  </si>
  <si>
    <t>WAVILLE</t>
  </si>
  <si>
    <t>CAMPARAN</t>
  </si>
  <si>
    <t>TURQUEVILLE</t>
  </si>
  <si>
    <t>36360</t>
  </si>
  <si>
    <t>BEAUDEAN</t>
  </si>
  <si>
    <t>CHARNY-SUR-MEUSE</t>
  </si>
  <si>
    <t>SAINT-PAUL-EN-CORNILLON</t>
  </si>
  <si>
    <t>BRIZAY</t>
  </si>
  <si>
    <t>17190</t>
  </si>
  <si>
    <t>SAINT-GEORGES-D'OLERON</t>
  </si>
  <si>
    <t>SAINTE-PREUVE</t>
  </si>
  <si>
    <t>PISSELOUP</t>
  </si>
  <si>
    <t>ROMIGNY</t>
  </si>
  <si>
    <t>68680</t>
  </si>
  <si>
    <t>KEMBS</t>
  </si>
  <si>
    <t>TRESSERVE</t>
  </si>
  <si>
    <t>PIERRELONGUE</t>
  </si>
  <si>
    <t>FONTAINE-LA-RIVIERE</t>
  </si>
  <si>
    <t>KOEUR-LA-PETITE</t>
  </si>
  <si>
    <t>SAINT-JEAN-DU-CARDONNAY</t>
  </si>
  <si>
    <t>97390</t>
  </si>
  <si>
    <t>REGINA</t>
  </si>
  <si>
    <t>LE PUECH</t>
  </si>
  <si>
    <t>SAINT-AMAND-MAGNAZEIX</t>
  </si>
  <si>
    <t>SAINTE-ANASTASIE-SUR-ISSOLE</t>
  </si>
  <si>
    <t>LEME</t>
  </si>
  <si>
    <t>ANNOUX</t>
  </si>
  <si>
    <t>THEDIRAC</t>
  </si>
  <si>
    <t>CHEPPES-LA-PRAIRIE</t>
  </si>
  <si>
    <t>LE PIN-AU-HARAS</t>
  </si>
  <si>
    <t>BRUYERES-SUR-FERE</t>
  </si>
  <si>
    <t>JONCHERES</t>
  </si>
  <si>
    <t>LE BREUIL-SOUS-ARGENTON</t>
  </si>
  <si>
    <t>BEUGNIES</t>
  </si>
  <si>
    <t>33610</t>
  </si>
  <si>
    <t>CANEJAN</t>
  </si>
  <si>
    <t>TREMAOUEZAN</t>
  </si>
  <si>
    <t>BARDOU</t>
  </si>
  <si>
    <t>GAUJACQ</t>
  </si>
  <si>
    <t>LEGNA</t>
  </si>
  <si>
    <t>AJAC</t>
  </si>
  <si>
    <t>SAINT-ANGE-LE-VIEL</t>
  </si>
  <si>
    <t>LA BUSSIERE</t>
  </si>
  <si>
    <t>ARPAJON</t>
  </si>
  <si>
    <t>HASNON</t>
  </si>
  <si>
    <t>VOITEUR</t>
  </si>
  <si>
    <t>UTTENHOFFEN</t>
  </si>
  <si>
    <t>GASNY</t>
  </si>
  <si>
    <t>BERNIN</t>
  </si>
  <si>
    <t>63130</t>
  </si>
  <si>
    <t>ROYAT</t>
  </si>
  <si>
    <t>MUIDES-SUR-LOIRE</t>
  </si>
  <si>
    <t>ROUILLON</t>
  </si>
  <si>
    <t>MORAINVILLE-JOUVEAUX</t>
  </si>
  <si>
    <t>RENNEMOULIN</t>
  </si>
  <si>
    <t>LA FORIE</t>
  </si>
  <si>
    <t>VILLENEUVE-SUR-BELLOT</t>
  </si>
  <si>
    <t>HODENT</t>
  </si>
  <si>
    <t>EVEUX</t>
  </si>
  <si>
    <t>LIDREZING</t>
  </si>
  <si>
    <t>SAINT-LOUIS-EN-L'ISLE</t>
  </si>
  <si>
    <t>30131</t>
  </si>
  <si>
    <t>PUJAUT</t>
  </si>
  <si>
    <t>SAINT-AVIT-LES-GUESPIERES</t>
  </si>
  <si>
    <t>SOUGE-LE-GANELON</t>
  </si>
  <si>
    <t>SAINT-JULIEN-EN-SAINT-ALBAN</t>
  </si>
  <si>
    <t>MANCENANS</t>
  </si>
  <si>
    <t>59278</t>
  </si>
  <si>
    <t>ESCAUTPONT</t>
  </si>
  <si>
    <t>SUARCE</t>
  </si>
  <si>
    <t>LARRESSORE</t>
  </si>
  <si>
    <t>ARAULES</t>
  </si>
  <si>
    <t>JUMENCOURT</t>
  </si>
  <si>
    <t>MAUREILHAN</t>
  </si>
  <si>
    <t>BELCASTEL-ET-BUC</t>
  </si>
  <si>
    <t>MERONA</t>
  </si>
  <si>
    <t>DOULLENS</t>
  </si>
  <si>
    <t>LE COUDRAY-MACOUARD</t>
  </si>
  <si>
    <t>FIENVILLERS</t>
  </si>
  <si>
    <t>13680</t>
  </si>
  <si>
    <t>LANCON-PROVENCE</t>
  </si>
  <si>
    <t>57405</t>
  </si>
  <si>
    <t>ARZVILLER</t>
  </si>
  <si>
    <t>IVERNY</t>
  </si>
  <si>
    <t>GATUZIERES</t>
  </si>
  <si>
    <t>SAINT-CRICQ</t>
  </si>
  <si>
    <t>LAMBRES</t>
  </si>
  <si>
    <t>VIGNAUX</t>
  </si>
  <si>
    <t>LE PAS-SAINT-L'HOMER</t>
  </si>
  <si>
    <t>VERNAS</t>
  </si>
  <si>
    <t>LA FEUILLADE</t>
  </si>
  <si>
    <t>GOURHEL</t>
  </si>
  <si>
    <t>HERPY-L'ARLESIENNE</t>
  </si>
  <si>
    <t>HEYRIEUX</t>
  </si>
  <si>
    <t>45750</t>
  </si>
  <si>
    <t>SAINT-PRYVE-SAINT-MESMIN</t>
  </si>
  <si>
    <t>VILLEMANOCHE</t>
  </si>
  <si>
    <t>BEAUREPAIRE-EN-BRESSE</t>
  </si>
  <si>
    <t>84700</t>
  </si>
  <si>
    <t>SORGUES</t>
  </si>
  <si>
    <t>SAINT-BAZILE-DE-MEYSSAC</t>
  </si>
  <si>
    <t>LES TOUCHES-DE-PERIGNY</t>
  </si>
  <si>
    <t>VILLIERS-AU-BOUIN</t>
  </si>
  <si>
    <t>DONCOURT-AUX-TEMPLIERS</t>
  </si>
  <si>
    <t>MONTIGNY-SUR-VENCE</t>
  </si>
  <si>
    <t>14590</t>
  </si>
  <si>
    <t>ANDELAT</t>
  </si>
  <si>
    <t>APPELLE</t>
  </si>
  <si>
    <t>CUXAC-CABARDES</t>
  </si>
  <si>
    <t>CONDETTE</t>
  </si>
  <si>
    <t>LOURDIOS-ICHERE</t>
  </si>
  <si>
    <t>58400</t>
  </si>
  <si>
    <t>BULCY</t>
  </si>
  <si>
    <t>AROUE-ITHOROTS-OLHAIBY</t>
  </si>
  <si>
    <t>SINCEY-LES-ROUVRAY</t>
  </si>
  <si>
    <t>PERLES-ET-CASTELET</t>
  </si>
  <si>
    <t>LORGIES</t>
  </si>
  <si>
    <t>RENING</t>
  </si>
  <si>
    <t>77870</t>
  </si>
  <si>
    <t>VULAINES-SUR-SEINE</t>
  </si>
  <si>
    <t>2A130</t>
  </si>
  <si>
    <t>GROSSETO-PRUGNA</t>
  </si>
  <si>
    <t>SAINT-MATHIEU-DE-TREVIERS</t>
  </si>
  <si>
    <t>PUYOL-CAZALET</t>
  </si>
  <si>
    <t>ANDRES</t>
  </si>
  <si>
    <t>COULOUTRE</t>
  </si>
  <si>
    <t>FRESNOY-EN-GOHELLE</t>
  </si>
  <si>
    <t>CHARNAY-LES-CHALON</t>
  </si>
  <si>
    <t>COURSET</t>
  </si>
  <si>
    <t>CADILLAC</t>
  </si>
  <si>
    <t>BEAUCENS</t>
  </si>
  <si>
    <t>CUZION</t>
  </si>
  <si>
    <t>MONTAZELS</t>
  </si>
  <si>
    <t>AROFFE</t>
  </si>
  <si>
    <t>VIEUX-THANN</t>
  </si>
  <si>
    <t>OUILLON</t>
  </si>
  <si>
    <t>HARQUENCY</t>
  </si>
  <si>
    <t>MESLAY</t>
  </si>
  <si>
    <t>PAMFOU</t>
  </si>
  <si>
    <t>76380</t>
  </si>
  <si>
    <t>VAL-DE-LA-HAYE</t>
  </si>
  <si>
    <t>AUDAUX</t>
  </si>
  <si>
    <t>DOLIGNON</t>
  </si>
  <si>
    <t>OUCHAMPS</t>
  </si>
  <si>
    <t>LAIFOUR</t>
  </si>
  <si>
    <t>AUZEBOSC</t>
  </si>
  <si>
    <t>ECQUETOT</t>
  </si>
  <si>
    <t>ROSANS</t>
  </si>
  <si>
    <t>CHEVALINE</t>
  </si>
  <si>
    <t>GOMMEVILLE</t>
  </si>
  <si>
    <t>CESSOY-EN-MONTOIS</t>
  </si>
  <si>
    <t>SAINT-GENIS-D'HIERSAC</t>
  </si>
  <si>
    <t>SAINT-AUSTREMOINE</t>
  </si>
  <si>
    <t>SAINT-MANDE-SUR-BREDOIRE</t>
  </si>
  <si>
    <t>VILLOTTE-DEVANT-LOUPPY</t>
  </si>
  <si>
    <t>SCEAU-SAINT-ANGEL</t>
  </si>
  <si>
    <t>DOMVAST</t>
  </si>
  <si>
    <t>MATHAUX</t>
  </si>
  <si>
    <t>LE VERMONT</t>
  </si>
  <si>
    <t>AUTHOU</t>
  </si>
  <si>
    <t>VILLEFRANCHE-DE-LAURAGAIS</t>
  </si>
  <si>
    <t>AUSSON</t>
  </si>
  <si>
    <t>VILLERS-MARMERY</t>
  </si>
  <si>
    <t>MECRIN</t>
  </si>
  <si>
    <t>ESTARVIELLE</t>
  </si>
  <si>
    <t>ETIGNY</t>
  </si>
  <si>
    <t>HARDINVAST</t>
  </si>
  <si>
    <t>PALLANNE</t>
  </si>
  <si>
    <t>CHAUMONT-SUR-LOIRE</t>
  </si>
  <si>
    <t>BRIVES-SUR-CHARENTE</t>
  </si>
  <si>
    <t>MARCENAY</t>
  </si>
  <si>
    <t>LES SALLES-DU-GARDON</t>
  </si>
  <si>
    <t>SAINT-GENEROUX</t>
  </si>
  <si>
    <t>SAINTE-MENEHOULD</t>
  </si>
  <si>
    <t>DUN-SUR-AURON</t>
  </si>
  <si>
    <t>BRIOT</t>
  </si>
  <si>
    <t>62400</t>
  </si>
  <si>
    <t>BETHUNE</t>
  </si>
  <si>
    <t>BEAUJEU</t>
  </si>
  <si>
    <t>40220</t>
  </si>
  <si>
    <t>TARNOS</t>
  </si>
  <si>
    <t>17920</t>
  </si>
  <si>
    <t>SAINT-CHRISTOPHE-DE-CHAULIEU</t>
  </si>
  <si>
    <t>CRIQUETOT-SUR-LONGUEVILLE</t>
  </si>
  <si>
    <t>VILLENAVE-PRES-MARSAC</t>
  </si>
  <si>
    <t>NESLETTE</t>
  </si>
  <si>
    <t>JANNEYRIAS</t>
  </si>
  <si>
    <t>HATTMATT</t>
  </si>
  <si>
    <t>SAINT-MICHEL-D'AURANCE</t>
  </si>
  <si>
    <t>PROMPSAT</t>
  </si>
  <si>
    <t>VESLUD</t>
  </si>
  <si>
    <t>CHAMPAGNE-SUR-LOUE</t>
  </si>
  <si>
    <t>82360</t>
  </si>
  <si>
    <t>LAMAGISTERE</t>
  </si>
  <si>
    <t>17560</t>
  </si>
  <si>
    <t>BOURCEFRANC-LE-CHAPUS</t>
  </si>
  <si>
    <t>URUFFE</t>
  </si>
  <si>
    <t>BLANCFOSSE</t>
  </si>
  <si>
    <t>BLEURY-SAINT-SYMPHORIEN</t>
  </si>
  <si>
    <t>HEUDEBOUVILLE</t>
  </si>
  <si>
    <t>BURCIN</t>
  </si>
  <si>
    <t>BRIE-SOUS-CHALAIS</t>
  </si>
  <si>
    <t>LA LUZERNE</t>
  </si>
  <si>
    <t>AMANCE</t>
  </si>
  <si>
    <t>VALDURENQUE</t>
  </si>
  <si>
    <t>SAINT-JULIEN-LA-GENETE</t>
  </si>
  <si>
    <t>MOURET</t>
  </si>
  <si>
    <t>93420</t>
  </si>
  <si>
    <t>SAINT-CIRGUES-LA-LOUTRE</t>
  </si>
  <si>
    <t>CHANIAT</t>
  </si>
  <si>
    <t>TRONCENS</t>
  </si>
  <si>
    <t>TRESSIGNAUX</t>
  </si>
  <si>
    <t>GUEHENNO</t>
  </si>
  <si>
    <t>SAVONNIERES</t>
  </si>
  <si>
    <t>BERMONT</t>
  </si>
  <si>
    <t>ESPINASSE</t>
  </si>
  <si>
    <t>SAULX-LE-DUC</t>
  </si>
  <si>
    <t>CUMONT</t>
  </si>
  <si>
    <t>HAYBES</t>
  </si>
  <si>
    <t>BARGEMON</t>
  </si>
  <si>
    <t>BOVEE-SUR-BARBOURE</t>
  </si>
  <si>
    <t>SAINT-GEORGES-LES-LANDES</t>
  </si>
  <si>
    <t>SAINT-PEY-D'ARMENS</t>
  </si>
  <si>
    <t>CHESSY</t>
  </si>
  <si>
    <t>BESINGRAND</t>
  </si>
  <si>
    <t>31840</t>
  </si>
  <si>
    <t>AUSSONNE</t>
  </si>
  <si>
    <t>SAINT-MEDARD-EN-JALLES</t>
  </si>
  <si>
    <t>TRONGET</t>
  </si>
  <si>
    <t>LA GUEROULDE</t>
  </si>
  <si>
    <t>SAINT-POLYCARPE</t>
  </si>
  <si>
    <t>ERCOURT</t>
  </si>
  <si>
    <t>FEUGUEROLLES</t>
  </si>
  <si>
    <t>MAGNY-COURS</t>
  </si>
  <si>
    <t>VAUVILLE</t>
  </si>
  <si>
    <t>RUSTIQUES</t>
  </si>
  <si>
    <t>MORSAN</t>
  </si>
  <si>
    <t>POUYDRAGUIN</t>
  </si>
  <si>
    <t>SAINT-AMANT-TALLENDE</t>
  </si>
  <si>
    <t>BIRAN</t>
  </si>
  <si>
    <t>CRASTES</t>
  </si>
  <si>
    <t>FLORENTIN</t>
  </si>
  <si>
    <t>BOST</t>
  </si>
  <si>
    <t>TORCHEVILLE</t>
  </si>
  <si>
    <t>ABBEVILLE-SAINT-LUCIEN</t>
  </si>
  <si>
    <t>SAINT-HILAIRE-LA-TREILLE</t>
  </si>
  <si>
    <t>VILLEMADE</t>
  </si>
  <si>
    <t>SAINT-SULPICE-DE-ROUMAGNAC</t>
  </si>
  <si>
    <t>MESIGNY</t>
  </si>
  <si>
    <t>69126</t>
  </si>
  <si>
    <t>BRINDAS</t>
  </si>
  <si>
    <t>CANNES-ECLUSE</t>
  </si>
  <si>
    <t>SAINT-SAUVEUR-EN-DIOIS</t>
  </si>
  <si>
    <t>BAGERT</t>
  </si>
  <si>
    <t>BLARGIES</t>
  </si>
  <si>
    <t>MONTAILLEUR</t>
  </si>
  <si>
    <t>PETIVILLE</t>
  </si>
  <si>
    <t>CHASSORS</t>
  </si>
  <si>
    <t>CANTAING-SUR-ESCAUT</t>
  </si>
  <si>
    <t>LE PETIT-ABERGEMENT</t>
  </si>
  <si>
    <t>MUZY</t>
  </si>
  <si>
    <t>BERTRANCOURT</t>
  </si>
  <si>
    <t>PLAN</t>
  </si>
  <si>
    <t>FONTENAI-LES-LOUVETS</t>
  </si>
  <si>
    <t>SAINT-JULIEN-DU-GUA</t>
  </si>
  <si>
    <t>SEBEVILLE</t>
  </si>
  <si>
    <t>SAINT-PIERRE-DES-FLEURS</t>
  </si>
  <si>
    <t>SARS-POTERIES</t>
  </si>
  <si>
    <t>VEYRAC</t>
  </si>
  <si>
    <t>45520</t>
  </si>
  <si>
    <t>GIDY</t>
  </si>
  <si>
    <t>SAINT-GEORGES-LE-GAULTIER</t>
  </si>
  <si>
    <t>2B087</t>
  </si>
  <si>
    <t>CERVIONE</t>
  </si>
  <si>
    <t>NOUZEROLLES</t>
  </si>
  <si>
    <t>PAILLY</t>
  </si>
  <si>
    <t>CHALAMPE</t>
  </si>
  <si>
    <t>ANNOUVILLE-VILMESNIL</t>
  </si>
  <si>
    <t>SACHY</t>
  </si>
  <si>
    <t>BAJUS</t>
  </si>
  <si>
    <t>TORSIAC</t>
  </si>
  <si>
    <t>BENOITVILLE</t>
  </si>
  <si>
    <t>FLOIRAC</t>
  </si>
  <si>
    <t>SEBECOURT</t>
  </si>
  <si>
    <t>MONTLIEU-LA-GARDE</t>
  </si>
  <si>
    <t>USSAC</t>
  </si>
  <si>
    <t>SAINT-CHINIAN</t>
  </si>
  <si>
    <t>CHAMBAIN</t>
  </si>
  <si>
    <t>DONTRIEN</t>
  </si>
  <si>
    <t>MAILHAC</t>
  </si>
  <si>
    <t>BOURG-DE-THIZY</t>
  </si>
  <si>
    <t>VILLETTE</t>
  </si>
  <si>
    <t>ECUILLE</t>
  </si>
  <si>
    <t>29420</t>
  </si>
  <si>
    <t>PLOUVORN</t>
  </si>
  <si>
    <t>USSON</t>
  </si>
  <si>
    <t>PRESLES-ET-THIERNY</t>
  </si>
  <si>
    <t>CORMOLAIN</t>
  </si>
  <si>
    <t>2B111</t>
  </si>
  <si>
    <t>FELCE</t>
  </si>
  <si>
    <t>EYZAHUT</t>
  </si>
  <si>
    <t>MONTAIGNAC-SAINT-HIPPOLYTE</t>
  </si>
  <si>
    <t>MOULINS-LES-METZ</t>
  </si>
  <si>
    <t>NANTUA</t>
  </si>
  <si>
    <t>NEUILLY-SAINT-FRONT</t>
  </si>
  <si>
    <t>MORMOIRON</t>
  </si>
  <si>
    <t>AXIAT</t>
  </si>
  <si>
    <t>BRASSAC-LES-MINES</t>
  </si>
  <si>
    <t>MONTARNAUD</t>
  </si>
  <si>
    <t>GAUDREVILLE-LA-RIVIERE</t>
  </si>
  <si>
    <t>CHANDOLAS</t>
  </si>
  <si>
    <t>LONLAY-LE-TESSON</t>
  </si>
  <si>
    <t>MAZIERES-NARESSE</t>
  </si>
  <si>
    <t>PRIAY</t>
  </si>
  <si>
    <t>PROISY</t>
  </si>
  <si>
    <t>BOR-ET-BAR</t>
  </si>
  <si>
    <t>VILLERS-SAINT-CHRISTOPHE</t>
  </si>
  <si>
    <t>VITRY-LA-VILLE</t>
  </si>
  <si>
    <t>MARTIN-EGLISE</t>
  </si>
  <si>
    <t>CERCOTTES</t>
  </si>
  <si>
    <t>FLOREMONT</t>
  </si>
  <si>
    <t>OSMERY</t>
  </si>
  <si>
    <t>ECARDENVILLE-LA-CAMPAGNE</t>
  </si>
  <si>
    <t>HANC</t>
  </si>
  <si>
    <t>YEVRES-LE-PETIT</t>
  </si>
  <si>
    <t>LIORAC-SUR-LOUYRE</t>
  </si>
  <si>
    <t>BERIGNY</t>
  </si>
  <si>
    <t>LAMARQUE-RUSTAING</t>
  </si>
  <si>
    <t>DONDAS</t>
  </si>
  <si>
    <t>VAUX-EN-AMIENOIS</t>
  </si>
  <si>
    <t>PUTTELANGE-LES-THIONVILLE</t>
  </si>
  <si>
    <t>NOYAL-SOUS-BAZOUGES</t>
  </si>
  <si>
    <t>GOURNAY-SUR-ARONDE</t>
  </si>
  <si>
    <t>SAINT-RIQUIER</t>
  </si>
  <si>
    <t>MOINVILLE-LA-JEULIN</t>
  </si>
  <si>
    <t>SAINT-PIERRE-SUR-ERVE</t>
  </si>
  <si>
    <t>SAINTE-GENEVIEVE-LES-GASNY</t>
  </si>
  <si>
    <t>GIMECOURT</t>
  </si>
  <si>
    <t>29920</t>
  </si>
  <si>
    <t>NEVEZ</t>
  </si>
  <si>
    <t>LA FOLLETIERE-ABENON</t>
  </si>
  <si>
    <t>60870</t>
  </si>
  <si>
    <t>RIEUX</t>
  </si>
  <si>
    <t>60740</t>
  </si>
  <si>
    <t>SAINT-MAXIMIN</t>
  </si>
  <si>
    <t>GENNEVILLE</t>
  </si>
  <si>
    <t>CORIGNAC</t>
  </si>
  <si>
    <t>CHATELAILLON-PLAGE</t>
  </si>
  <si>
    <t>HECKEN</t>
  </si>
  <si>
    <t>SAINT-MARTIN-DE-VALAMAS</t>
  </si>
  <si>
    <t>GENNES-SUR-GLAIZE</t>
  </si>
  <si>
    <t>DEUX-CHAISES</t>
  </si>
  <si>
    <t>SAINT-ANTOINE-CUMOND</t>
  </si>
  <si>
    <t>VAUX-SAULES</t>
  </si>
  <si>
    <t>DIGNAC</t>
  </si>
  <si>
    <t>LE PLESSIS-LUZARCHES</t>
  </si>
  <si>
    <t>LE PLESSIS-L'ECHELLE</t>
  </si>
  <si>
    <t>BOURROU</t>
  </si>
  <si>
    <t>SAINT-ANDEUX</t>
  </si>
  <si>
    <t>BEHREN-LES-FORBACH</t>
  </si>
  <si>
    <t>PROUILLY</t>
  </si>
  <si>
    <t>MONTGELLAFREY</t>
  </si>
  <si>
    <t>BELLEMAGNY</t>
  </si>
  <si>
    <t>ROSUREUX</t>
  </si>
  <si>
    <t>17840</t>
  </si>
  <si>
    <t>LA BREE-LES-BAINS</t>
  </si>
  <si>
    <t>SAINT-FELIX-DE-L'HERAS</t>
  </si>
  <si>
    <t>BEFFIA</t>
  </si>
  <si>
    <t>LACHAUSSEE-DU-BOIS-D'ECU</t>
  </si>
  <si>
    <t>COURDEMANCHE</t>
  </si>
  <si>
    <t>HELSTROFF</t>
  </si>
  <si>
    <t>PISANY</t>
  </si>
  <si>
    <t>SADIRAC</t>
  </si>
  <si>
    <t>ABAINVILLE</t>
  </si>
  <si>
    <t>DOMMARTEMONT</t>
  </si>
  <si>
    <t>VILLIERS-EN-BIERE</t>
  </si>
  <si>
    <t>FOULENAY</t>
  </si>
  <si>
    <t>LISSY</t>
  </si>
  <si>
    <t>CRESSY-OMENCOURT</t>
  </si>
  <si>
    <t>SAINT-REMY-CHAUSSEE</t>
  </si>
  <si>
    <t>SAINT-COLOMBAN-DES-VILLARDS</t>
  </si>
  <si>
    <t>SANCERRE</t>
  </si>
  <si>
    <t>LEGUEVIN</t>
  </si>
  <si>
    <t>LAROQUE-TIMBAUT</t>
  </si>
  <si>
    <t>MONCAYOLLE-LARRORY-MENDIBIEU</t>
  </si>
  <si>
    <t>CHEMILLE-SUR-DEME</t>
  </si>
  <si>
    <t>LA CHAPELLE-DES-FOUGERETZ</t>
  </si>
  <si>
    <t>CORDONNET</t>
  </si>
  <si>
    <t>AIZE</t>
  </si>
  <si>
    <t>VIOMENIL</t>
  </si>
  <si>
    <t>GIGOUZAC</t>
  </si>
  <si>
    <t>MOUZENS</t>
  </si>
  <si>
    <t>HERMIN</t>
  </si>
  <si>
    <t>CORNIER</t>
  </si>
  <si>
    <t>GRANDPRE</t>
  </si>
  <si>
    <t>LANDRETHUN-LE-NORD</t>
  </si>
  <si>
    <t>50550</t>
  </si>
  <si>
    <t>SAINT-VAAST-LA-HOUGUE</t>
  </si>
  <si>
    <t>VAILHAN</t>
  </si>
  <si>
    <t>CASTELMAYRAN</t>
  </si>
  <si>
    <t>DAVENESCOURT</t>
  </si>
  <si>
    <t>COURGEAC</t>
  </si>
  <si>
    <t>22820</t>
  </si>
  <si>
    <t>PLOUGRESCANT</t>
  </si>
  <si>
    <t>69002</t>
  </si>
  <si>
    <t>LYON--2E--ARRONDISSEMENT</t>
  </si>
  <si>
    <t>SAINT-FRANCHY</t>
  </si>
  <si>
    <t>LA VILLENEUVE-AU-CHENE</t>
  </si>
  <si>
    <t>SAINT-THURIAU</t>
  </si>
  <si>
    <t>SISTELS</t>
  </si>
  <si>
    <t>VILLAMEE</t>
  </si>
  <si>
    <t>VILLARDONNEL</t>
  </si>
  <si>
    <t>LOUSLITGES</t>
  </si>
  <si>
    <t>CALLEN</t>
  </si>
  <si>
    <t>JONCREUIL</t>
  </si>
  <si>
    <t>LERIGNEUX</t>
  </si>
  <si>
    <t>CHASSIGNY</t>
  </si>
  <si>
    <t>UROST</t>
  </si>
  <si>
    <t>20148</t>
  </si>
  <si>
    <t>2A099</t>
  </si>
  <si>
    <t>COZZANO</t>
  </si>
  <si>
    <t>COEX</t>
  </si>
  <si>
    <t>SAINT-BONNET-LE-BOURG</t>
  </si>
  <si>
    <t>SOCOURT</t>
  </si>
  <si>
    <t>LA MOUTADE</t>
  </si>
  <si>
    <t>MAURENS-SCOPONT</t>
  </si>
  <si>
    <t>CHANTEMERLE-LES-GRIGNAN</t>
  </si>
  <si>
    <t>BARD</t>
  </si>
  <si>
    <t>PIREY</t>
  </si>
  <si>
    <t>SAINTE-OLIVE</t>
  </si>
  <si>
    <t>HONFLEUR</t>
  </si>
  <si>
    <t>VATTEVILLE</t>
  </si>
  <si>
    <t>LESCUN</t>
  </si>
  <si>
    <t>34750</t>
  </si>
  <si>
    <t>VILLENEUVE-LES-MAGUELONE</t>
  </si>
  <si>
    <t>OUDEZEELE</t>
  </si>
  <si>
    <t>LA CAUCHIE</t>
  </si>
  <si>
    <t>SAINT-SULPICE-ET-CAMEYRAC</t>
  </si>
  <si>
    <t>34680</t>
  </si>
  <si>
    <t>SAINT-GEORGES-D'ORQUES</t>
  </si>
  <si>
    <t>VILLENEUVE-DU-PAREAGE</t>
  </si>
  <si>
    <t>DELINCOURT</t>
  </si>
  <si>
    <t>ARCON</t>
  </si>
  <si>
    <t>KILLEM</t>
  </si>
  <si>
    <t>SAINTE-COLOMBE-SUR-LOING</t>
  </si>
  <si>
    <t>LE PLANTAY</t>
  </si>
  <si>
    <t>25260</t>
  </si>
  <si>
    <t>SAINT-MAURICE-COLOMBIER</t>
  </si>
  <si>
    <t>AMBLEON</t>
  </si>
  <si>
    <t>SAINT-REMY-AU-BOIS</t>
  </si>
  <si>
    <t>54970</t>
  </si>
  <si>
    <t>LANDRES</t>
  </si>
  <si>
    <t>ANCY-LE-FRANC</t>
  </si>
  <si>
    <t>LANESPEDE</t>
  </si>
  <si>
    <t>COLOMBIES</t>
  </si>
  <si>
    <t>MERLAUT</t>
  </si>
  <si>
    <t>HENONVILLE</t>
  </si>
  <si>
    <t>64310</t>
  </si>
  <si>
    <t>SAINT-PEE-SUR-NIVELLE</t>
  </si>
  <si>
    <t>MORMANT</t>
  </si>
  <si>
    <t>SAMURAN</t>
  </si>
  <si>
    <t>CHASTEAUX</t>
  </si>
  <si>
    <t>SAINT-ONEN-LA-CHAPELLE</t>
  </si>
  <si>
    <t>91880</t>
  </si>
  <si>
    <t>BOUVILLE</t>
  </si>
  <si>
    <t>ROMAIN-AUX-BOIS</t>
  </si>
  <si>
    <t>2B317</t>
  </si>
  <si>
    <t>SANTA-REPARATA-DI-MORIANI</t>
  </si>
  <si>
    <t>CRANCOT</t>
  </si>
  <si>
    <t>MARTIGNE-FERCHAUD</t>
  </si>
  <si>
    <t>PUYGOUZON</t>
  </si>
  <si>
    <t>SAINT-ANGEL</t>
  </si>
  <si>
    <t>LA CHAUX</t>
  </si>
  <si>
    <t>LES ESTABLES</t>
  </si>
  <si>
    <t>VIVIERS-LE-GRAS</t>
  </si>
  <si>
    <t>HARDIFORT</t>
  </si>
  <si>
    <t>THIL-SUR-ARROUX</t>
  </si>
  <si>
    <t>SAINT-JULIEN-L'ARS</t>
  </si>
  <si>
    <t>COTTENCHY</t>
  </si>
  <si>
    <t>51100</t>
  </si>
  <si>
    <t>REIMS</t>
  </si>
  <si>
    <t>SABAILLAN</t>
  </si>
  <si>
    <t>TOURNUS</t>
  </si>
  <si>
    <t>VINETS</t>
  </si>
  <si>
    <t>HODENG-AU-BOSC</t>
  </si>
  <si>
    <t>LEGE</t>
  </si>
  <si>
    <t>SAINT-JEOIRE-PRIEURE</t>
  </si>
  <si>
    <t>SAINT-PHILIPPE-DU-SEIGNAL</t>
  </si>
  <si>
    <t>VILLEPOT</t>
  </si>
  <si>
    <t>GEAY</t>
  </si>
  <si>
    <t>CONTRE</t>
  </si>
  <si>
    <t>LA TABLE</t>
  </si>
  <si>
    <t>CHALON-SUR-SAONE</t>
  </si>
  <si>
    <t>ROIVILLE</t>
  </si>
  <si>
    <t>FLAGEY-ECHEZEAUX</t>
  </si>
  <si>
    <t>13560</t>
  </si>
  <si>
    <t>SENAS</t>
  </si>
  <si>
    <t>COGNERS</t>
  </si>
  <si>
    <t>MIEUXCE</t>
  </si>
  <si>
    <t>26210</t>
  </si>
  <si>
    <t>SAINT-SORLIN-EN-VALLOIRE</t>
  </si>
  <si>
    <t>CARLUCET</t>
  </si>
  <si>
    <t>13260</t>
  </si>
  <si>
    <t>CASSIS</t>
  </si>
  <si>
    <t>REMPNAT</t>
  </si>
  <si>
    <t>GRAINVILLE-YMAUVILLE</t>
  </si>
  <si>
    <t>LA CHAPELLE-GACELINE</t>
  </si>
  <si>
    <t>MONTEYNARD</t>
  </si>
  <si>
    <t>COURCELLES-LES-GISORS</t>
  </si>
  <si>
    <t>LA COUCOURDE</t>
  </si>
  <si>
    <t>ABERGEMENT-LE-GRAND</t>
  </si>
  <si>
    <t>PEUVILLERS</t>
  </si>
  <si>
    <t>LA CROIX-AUX-MINES</t>
  </si>
  <si>
    <t>VIENNE-LE-CHATEAU</t>
  </si>
  <si>
    <t>EYMOUTIERS</t>
  </si>
  <si>
    <t>MUILLE-VILLETTE</t>
  </si>
  <si>
    <t>FORCEY</t>
  </si>
  <si>
    <t>EGLISE-NEUVE-D'ISSAC</t>
  </si>
  <si>
    <t>CHEF-HAUT</t>
  </si>
  <si>
    <t>59610</t>
  </si>
  <si>
    <t>FOURMIES</t>
  </si>
  <si>
    <t>CASTELLANE</t>
  </si>
  <si>
    <t>LES TONILS</t>
  </si>
  <si>
    <t>CONDE-SUR-SEULLES</t>
  </si>
  <si>
    <t>FALKWILLER</t>
  </si>
  <si>
    <t>SAINT-EULIEN</t>
  </si>
  <si>
    <t>26250</t>
  </si>
  <si>
    <t>LIVRON-SUR-DROME</t>
  </si>
  <si>
    <t>BALAGUIER-SUR-RANCE</t>
  </si>
  <si>
    <t>CAMPHIN-EN-PEVELE</t>
  </si>
  <si>
    <t>ALOS</t>
  </si>
  <si>
    <t>FIEFS</t>
  </si>
  <si>
    <t>SAINT-PAUL-LES-DAX</t>
  </si>
  <si>
    <t>L'UNION</t>
  </si>
  <si>
    <t>TREMILLY</t>
  </si>
  <si>
    <t>SAULNIERES</t>
  </si>
  <si>
    <t>SCHOENBOURG</t>
  </si>
  <si>
    <t>GRAND-VABRE</t>
  </si>
  <si>
    <t>SAINT-PIERRE-DE-CHARTREUSE</t>
  </si>
  <si>
    <t>SAINT-GEORGES-DE-REINTEMBAULT</t>
  </si>
  <si>
    <t>SAINT-PIERRE-EGLISE</t>
  </si>
  <si>
    <t>LA BASSE-VAIVRE</t>
  </si>
  <si>
    <t>MAGNY-EN-VEXIN</t>
  </si>
  <si>
    <t>THENAY</t>
  </si>
  <si>
    <t>MONTAIGUET-EN-FOREZ</t>
  </si>
  <si>
    <t>SAINT-AVENTIN</t>
  </si>
  <si>
    <t>FLASTROFF</t>
  </si>
  <si>
    <t>CHALONS-DU-MAINE</t>
  </si>
  <si>
    <t>PIERRECOURT</t>
  </si>
  <si>
    <t>RECOULES-PREVINQUIERES</t>
  </si>
  <si>
    <t>LIGNORELLES</t>
  </si>
  <si>
    <t>FONTIES-D'AUDE</t>
  </si>
  <si>
    <t>MOLIERES-CAVAILLAC</t>
  </si>
  <si>
    <t>ROUBIA</t>
  </si>
  <si>
    <t>GOLINHAC</t>
  </si>
  <si>
    <t>LAMAGDELAINE</t>
  </si>
  <si>
    <t>SAINT-OUEN-SOUS-BAILLY</t>
  </si>
  <si>
    <t>CHAMPAGNE-SAINT-HILAIRE</t>
  </si>
  <si>
    <t>AVERTON</t>
  </si>
  <si>
    <t>DARDEZ</t>
  </si>
  <si>
    <t>31520</t>
  </si>
  <si>
    <t>RAMONVILLE-SAINT-AGNE</t>
  </si>
  <si>
    <t>OBERENTZEN</t>
  </si>
  <si>
    <t>KIFFIS</t>
  </si>
  <si>
    <t>NUEIL-SUR-LAYON</t>
  </si>
  <si>
    <t>LA NEUVILLE-SUR-OUDEUIL</t>
  </si>
  <si>
    <t>43520</t>
  </si>
  <si>
    <t>MAZET-SAINT-VOY</t>
  </si>
  <si>
    <t>LAVILLETERTRE</t>
  </si>
  <si>
    <t>ECURAS</t>
  </si>
  <si>
    <t>MONTSAUGEON</t>
  </si>
  <si>
    <t>SAINT-ANDRE-DE-LANCIZE</t>
  </si>
  <si>
    <t>GUJAN-MESTRAS</t>
  </si>
  <si>
    <t>PRECY-SUR-MARNE</t>
  </si>
  <si>
    <t>LEVET</t>
  </si>
  <si>
    <t>ISSIGEAC</t>
  </si>
  <si>
    <t>SAINT-CLOUD-EN-DUNOIS</t>
  </si>
  <si>
    <t>POUILLAT</t>
  </si>
  <si>
    <t>SAINT-GENIS-DE-SAINTONGE</t>
  </si>
  <si>
    <t>ILHEU</t>
  </si>
  <si>
    <t>BONLIEU-SUR-ROUBION</t>
  </si>
  <si>
    <t>MAZIERES-DE-TOURAINE</t>
  </si>
  <si>
    <t>FRONVILLE</t>
  </si>
  <si>
    <t>GILLAUME</t>
  </si>
  <si>
    <t>BRULEY</t>
  </si>
  <si>
    <t>SAINT-JEAN-LESPINASSE</t>
  </si>
  <si>
    <t>WILLENCOURT</t>
  </si>
  <si>
    <t>SAINT-MOREL</t>
  </si>
  <si>
    <t>GELLES</t>
  </si>
  <si>
    <t>SAINT-HILAIRE-FONTAINE</t>
  </si>
  <si>
    <t>LEMPIRE</t>
  </si>
  <si>
    <t>LE PONT-DE-BEAUVOISIN</t>
  </si>
  <si>
    <t>MONNEREN</t>
  </si>
  <si>
    <t>SANCHEY</t>
  </si>
  <si>
    <t>SAINT-FORT-SUR-LE-NE</t>
  </si>
  <si>
    <t>SCHIRMECK</t>
  </si>
  <si>
    <t>MEURCHIN</t>
  </si>
  <si>
    <t>VAL-DES-MARAIS</t>
  </si>
  <si>
    <t>SOUCELLES</t>
  </si>
  <si>
    <t>HATTENVILLE</t>
  </si>
  <si>
    <t>FOURDRAIN</t>
  </si>
  <si>
    <t>MENTHONNEX-SOUS-CLERMONT</t>
  </si>
  <si>
    <t>LINGREVILLE</t>
  </si>
  <si>
    <t>MANAS</t>
  </si>
  <si>
    <t>SEMOND</t>
  </si>
  <si>
    <t>NANTHIAT</t>
  </si>
  <si>
    <t>MONPEZAT</t>
  </si>
  <si>
    <t>FROIDETERRE</t>
  </si>
  <si>
    <t>VANTOUX-ET-LONGEVELLE</t>
  </si>
  <si>
    <t>THIONNE</t>
  </si>
  <si>
    <t>PRUNOY</t>
  </si>
  <si>
    <t>KUTZENHAUSEN</t>
  </si>
  <si>
    <t>MANHEULLES</t>
  </si>
  <si>
    <t>LAVILLE-AUX-BOIS</t>
  </si>
  <si>
    <t>ROZES</t>
  </si>
  <si>
    <t>GAGNAC-SUR-GARONNE</t>
  </si>
  <si>
    <t>VIGNOC</t>
  </si>
  <si>
    <t>SAINT-BRANDAN</t>
  </si>
  <si>
    <t>BIEVILLE-QUETIEVILLE</t>
  </si>
  <si>
    <t>SAINT-LUPERCE</t>
  </si>
  <si>
    <t>SAINT-VIGOR-D'YMONVILLE</t>
  </si>
  <si>
    <t>59159</t>
  </si>
  <si>
    <t>MARCOING</t>
  </si>
  <si>
    <t>LEUDON-EN-BRIE</t>
  </si>
  <si>
    <t>SAINT-GERVAIS-LA-FORET</t>
  </si>
  <si>
    <t>12470</t>
  </si>
  <si>
    <t>CONDOM-D'AUBRAC</t>
  </si>
  <si>
    <t>90350</t>
  </si>
  <si>
    <t>EVETTE-SALBERT</t>
  </si>
  <si>
    <t>SAINT-PIERRE-DES-CORPS</t>
  </si>
  <si>
    <t>TORTERON</t>
  </si>
  <si>
    <t>LACROST</t>
  </si>
  <si>
    <t>LE ROUGET</t>
  </si>
  <si>
    <t>BALHAM</t>
  </si>
  <si>
    <t>LES ANGLES</t>
  </si>
  <si>
    <t>MARTIGNY-LES-GERBONVAUX</t>
  </si>
  <si>
    <t>SAINTE-MARGUERITE-EN-OUCHE</t>
  </si>
  <si>
    <t>SAINT-SATURNIN-DE-LENNE</t>
  </si>
  <si>
    <t>LE BIOT</t>
  </si>
  <si>
    <t>COLMERY</t>
  </si>
  <si>
    <t>SCEAUX-SUR-HUISNE</t>
  </si>
  <si>
    <t>BLARS</t>
  </si>
  <si>
    <t>MONTROND-LES-BAINS</t>
  </si>
  <si>
    <t>PLOUEGAT-GUERAND</t>
  </si>
  <si>
    <t>ORSONVILLE</t>
  </si>
  <si>
    <t>LONGUYON</t>
  </si>
  <si>
    <t>BAILLOU</t>
  </si>
  <si>
    <t>LAROQUEBROU</t>
  </si>
  <si>
    <t>SAINT-FRION</t>
  </si>
  <si>
    <t>EPEIGNE-SUR-DEME</t>
  </si>
  <si>
    <t>CHALONNES-SUR-LOIRE</t>
  </si>
  <si>
    <t>SAINT-MARTIN-LES-LANGRES</t>
  </si>
  <si>
    <t>SIGNAC</t>
  </si>
  <si>
    <t>MOGNARD</t>
  </si>
  <si>
    <t>VAUX-DEVANT-DAMLOUP</t>
  </si>
  <si>
    <t>84820</t>
  </si>
  <si>
    <t>VISAN</t>
  </si>
  <si>
    <t>CASTELLA</t>
  </si>
  <si>
    <t>LABRIT</t>
  </si>
  <si>
    <t>LE SAULCHOY</t>
  </si>
  <si>
    <t>MONGUILHEM</t>
  </si>
  <si>
    <t>LES GRANDES-CHAPELLES</t>
  </si>
  <si>
    <t>PRUDEMANCHE</t>
  </si>
  <si>
    <t>SAINT-BUEIL</t>
  </si>
  <si>
    <t>COUPIAC</t>
  </si>
  <si>
    <t>VEUVEY-SUR-OUCHE</t>
  </si>
  <si>
    <t>VAL-DE-VESLE</t>
  </si>
  <si>
    <t>LA CHAPELLE-SAINT-MARTIN</t>
  </si>
  <si>
    <t>DENIER</t>
  </si>
  <si>
    <t>CAPLONG</t>
  </si>
  <si>
    <t>13127</t>
  </si>
  <si>
    <t>CHATEL-MONTAGNE</t>
  </si>
  <si>
    <t>COULOMBY</t>
  </si>
  <si>
    <t>44550</t>
  </si>
  <si>
    <t>SAINT-MALO-DE-GUERSAC</t>
  </si>
  <si>
    <t>FREIGNE</t>
  </si>
  <si>
    <t>TILLAC</t>
  </si>
  <si>
    <t>SAINT-VAAST-EN-CHAUSSEE</t>
  </si>
  <si>
    <t>LIGNEYRAC</t>
  </si>
  <si>
    <t>AZAY-SUR-INDRE</t>
  </si>
  <si>
    <t>FABRAS</t>
  </si>
  <si>
    <t>VALLEGUE</t>
  </si>
  <si>
    <t>FEREL</t>
  </si>
  <si>
    <t>79430</t>
  </si>
  <si>
    <t>LA CHAPELLE-SAINT-LAURENT</t>
  </si>
  <si>
    <t>SAINT-SEBASTIEN-D'AIGREFEUILLE</t>
  </si>
  <si>
    <t>COULONGES-SUR-L'AUTIZE</t>
  </si>
  <si>
    <t>CASTERA-LOU</t>
  </si>
  <si>
    <t>SAGNES-ET-GOUDOULET</t>
  </si>
  <si>
    <t>63510</t>
  </si>
  <si>
    <t>MALINTRAT</t>
  </si>
  <si>
    <t>38114</t>
  </si>
  <si>
    <t>OZ</t>
  </si>
  <si>
    <t>MEJANNES-LES-ALES</t>
  </si>
  <si>
    <t>BRIEULLES-SUR-BAR</t>
  </si>
  <si>
    <t>CRUGUEL</t>
  </si>
  <si>
    <t>CHENAC-SAINT-SEURIN-D'UZET</t>
  </si>
  <si>
    <t>UROU-ET-CRENNES</t>
  </si>
  <si>
    <t>VOUTENAY-SUR-CURE</t>
  </si>
  <si>
    <t>VIRE-EN-CHAMPAGNE</t>
  </si>
  <si>
    <t>SAINT-FRONT-LA-RIVIERE</t>
  </si>
  <si>
    <t>ALEMBON</t>
  </si>
  <si>
    <t>SAANE-SAINT-JUST</t>
  </si>
  <si>
    <t>56730</t>
  </si>
  <si>
    <t>SAINT-GILDAS-DE-RHUYS</t>
  </si>
  <si>
    <t>SOURDUN</t>
  </si>
  <si>
    <t>CORBELIN</t>
  </si>
  <si>
    <t>BARBEZIERES</t>
  </si>
  <si>
    <t>EPIAIS-LES-LOUVRES</t>
  </si>
  <si>
    <t>EUFFIGNEIX</t>
  </si>
  <si>
    <t>EBBLINGHEM</t>
  </si>
  <si>
    <t>COMMENSACQ</t>
  </si>
  <si>
    <t>GREPIAC</t>
  </si>
  <si>
    <t>CHANTEUGES</t>
  </si>
  <si>
    <t>25450</t>
  </si>
  <si>
    <t>DAMPRICHARD</t>
  </si>
  <si>
    <t>GURGY</t>
  </si>
  <si>
    <t>BIAS</t>
  </si>
  <si>
    <t>THOUX</t>
  </si>
  <si>
    <t>LAURAC-EN-VIVARAIS</t>
  </si>
  <si>
    <t>GONNEVILLE</t>
  </si>
  <si>
    <t>NANTOIS</t>
  </si>
  <si>
    <t>SONTHONNAX-LA-MONTAGNE</t>
  </si>
  <si>
    <t>2B350</t>
  </si>
  <si>
    <t>VIGNALE</t>
  </si>
  <si>
    <t>ETORMAY</t>
  </si>
  <si>
    <t>ALLEMOND</t>
  </si>
  <si>
    <t>SAINT-GRIEDE</t>
  </si>
  <si>
    <t>MONTMELARD</t>
  </si>
  <si>
    <t>2B242</t>
  </si>
  <si>
    <t>POGGIO-MEZZANA</t>
  </si>
  <si>
    <t>LALOBBE</t>
  </si>
  <si>
    <t>ROZET-SAINT-ALBIN</t>
  </si>
  <si>
    <t>61790</t>
  </si>
  <si>
    <t>SAINT-PIERRE-DU-REGARD</t>
  </si>
  <si>
    <t>TURGON</t>
  </si>
  <si>
    <t>CRAON</t>
  </si>
  <si>
    <t>CHASTEL-ARNAUD</t>
  </si>
  <si>
    <t>BOSQUEL</t>
  </si>
  <si>
    <t>CHAROLLES</t>
  </si>
  <si>
    <t>ECUISSES</t>
  </si>
  <si>
    <t>BEUXES</t>
  </si>
  <si>
    <t>ESCOURCE</t>
  </si>
  <si>
    <t>RUISSEAUVILLE</t>
  </si>
  <si>
    <t>SAINT-DENIS-MAISONCELLES</t>
  </si>
  <si>
    <t>SAINT-FRANCOIS-LONGCHAMP</t>
  </si>
  <si>
    <t>BONCE</t>
  </si>
  <si>
    <t>NOYON</t>
  </si>
  <si>
    <t>GONCELIN</t>
  </si>
  <si>
    <t>TEULAT</t>
  </si>
  <si>
    <t>RAMBERVILLERS</t>
  </si>
  <si>
    <t>LA VILLENEUVE-LES-CHARLEVILLE</t>
  </si>
  <si>
    <t>WOEL</t>
  </si>
  <si>
    <t>MONTAIGU-LES-BOIS</t>
  </si>
  <si>
    <t>PEUJARD</t>
  </si>
  <si>
    <t>2B226</t>
  </si>
  <si>
    <t>PIETRASERENA</t>
  </si>
  <si>
    <t>NIEVROZ</t>
  </si>
  <si>
    <t>SAINT-CHARTIER</t>
  </si>
  <si>
    <t>BISSIERES</t>
  </si>
  <si>
    <t>BOURG-DE-SIROD</t>
  </si>
  <si>
    <t>LA BOUILLE</t>
  </si>
  <si>
    <t>DRAP</t>
  </si>
  <si>
    <t>THOUARS-SUR-ARIZE</t>
  </si>
  <si>
    <t>JEZEAU</t>
  </si>
  <si>
    <t>BETHINCOURT</t>
  </si>
  <si>
    <t>ROLLOT</t>
  </si>
  <si>
    <t>ROULLOURS</t>
  </si>
  <si>
    <t>BLAIRVILLE</t>
  </si>
  <si>
    <t>MONTREUIL-POULAY</t>
  </si>
  <si>
    <t>GIVRON</t>
  </si>
  <si>
    <t>GLUN</t>
  </si>
  <si>
    <t>MONTIGNAC-CHARENTE</t>
  </si>
  <si>
    <t>VENTEUGES</t>
  </si>
  <si>
    <t>MANCIET</t>
  </si>
  <si>
    <t>SAINTE-COLOMBE-DE-PEYRE</t>
  </si>
  <si>
    <t>FONTARECHES</t>
  </si>
  <si>
    <t>ANCOURTEVILLE-SUR-HERICOURT</t>
  </si>
  <si>
    <t>LE TANU</t>
  </si>
  <si>
    <t>SAINT-SAUVEUR-D'AUNIS</t>
  </si>
  <si>
    <t>PLABENNEC</t>
  </si>
  <si>
    <t>FONTAINE-SAINT-LUCIEN</t>
  </si>
  <si>
    <t>CAPELLE-LES-GRANDS</t>
  </si>
  <si>
    <t>GERBEVILLER</t>
  </si>
  <si>
    <t>BREMUR-ET-VAUROIS</t>
  </si>
  <si>
    <t>20226</t>
  </si>
  <si>
    <t>2B180</t>
  </si>
  <si>
    <t>NOVELLA</t>
  </si>
  <si>
    <t>POUZY-MESANGY</t>
  </si>
  <si>
    <t>CERFONTAINE</t>
  </si>
  <si>
    <t>2390</t>
  </si>
  <si>
    <t>THENELLES</t>
  </si>
  <si>
    <t>70290</t>
  </si>
  <si>
    <t>PLANCHER-BAS</t>
  </si>
  <si>
    <t>STATTMATTEN</t>
  </si>
  <si>
    <t>SOMMERECOURT</t>
  </si>
  <si>
    <t>DAMMARTIN-EN-GOELE</t>
  </si>
  <si>
    <t>63910</t>
  </si>
  <si>
    <t>BOUZEL</t>
  </si>
  <si>
    <t>MERPINS</t>
  </si>
  <si>
    <t>HALLENNES-LEZ-HAUBOURDIN</t>
  </si>
  <si>
    <t>CAPELLE</t>
  </si>
  <si>
    <t>78126</t>
  </si>
  <si>
    <t>AULNAY-SUR-MAULDRE</t>
  </si>
  <si>
    <t>SENNECEY-LE-GRAND</t>
  </si>
  <si>
    <t>VILLE-EN-SALLAZ</t>
  </si>
  <si>
    <t>BELFAHY</t>
  </si>
  <si>
    <t>FOURBANNE</t>
  </si>
  <si>
    <t>PINAS</t>
  </si>
  <si>
    <t>RIMON-ET-SAVEL</t>
  </si>
  <si>
    <t>SINGLES</t>
  </si>
  <si>
    <t>BASSOLES-AULERS</t>
  </si>
  <si>
    <t>PUY-SAINT-MARTIN</t>
  </si>
  <si>
    <t>BETON-BAZOCHES</t>
  </si>
  <si>
    <t>SAINT-DISDIER</t>
  </si>
  <si>
    <t>CENAC-ET-SAINT-JULIEN</t>
  </si>
  <si>
    <t>MONTONVILLERS</t>
  </si>
  <si>
    <t>BAYENGHEM-LES-EPERLECQUES</t>
  </si>
  <si>
    <t>AIGUES-JUNTES</t>
  </si>
  <si>
    <t>CASTEX-D'ARMAGNAC</t>
  </si>
  <si>
    <t>GERMIGNY-L'EXEMPT</t>
  </si>
  <si>
    <t>MONTBOLO</t>
  </si>
  <si>
    <t>BELLANCOURT</t>
  </si>
  <si>
    <t>HUIRON</t>
  </si>
  <si>
    <t>ROUFFIGNY</t>
  </si>
  <si>
    <t>ARRACOURT</t>
  </si>
  <si>
    <t>CAUMONT-SUR-ORNE</t>
  </si>
  <si>
    <t>65290</t>
  </si>
  <si>
    <t>LOUEY</t>
  </si>
  <si>
    <t>GATHEMO</t>
  </si>
  <si>
    <t>ASNIERES-LES-DIJON</t>
  </si>
  <si>
    <t>HECHES</t>
  </si>
  <si>
    <t>DOMBROT-LE-SEC</t>
  </si>
  <si>
    <t>BELVEDERE</t>
  </si>
  <si>
    <t>SALT-EN-DONZY</t>
  </si>
  <si>
    <t>SAINT-ANDRE-LE-DESERT</t>
  </si>
  <si>
    <t>BELLEBRUNE</t>
  </si>
  <si>
    <t>BELVAL</t>
  </si>
  <si>
    <t>LES RESSUINTES</t>
  </si>
  <si>
    <t>BEDOIN</t>
  </si>
  <si>
    <t>MONT-SUR-COURVILLE</t>
  </si>
  <si>
    <t>MARGUT</t>
  </si>
  <si>
    <t>22770</t>
  </si>
  <si>
    <t>LANCIEUX</t>
  </si>
  <si>
    <t>GAUSSON</t>
  </si>
  <si>
    <t>TREMOUILLE-SAINT-LOUP</t>
  </si>
  <si>
    <t>2A300</t>
  </si>
  <si>
    <t>SAN-GAVINO-DI-CARBINI</t>
  </si>
  <si>
    <t>BOULT</t>
  </si>
  <si>
    <t>GOURVIEILLE</t>
  </si>
  <si>
    <t>RICHELIEU</t>
  </si>
  <si>
    <t>SAINT-OUEN-SUR-MORIN</t>
  </si>
  <si>
    <t>COURCEMAIN</t>
  </si>
  <si>
    <t>HERRAN</t>
  </si>
  <si>
    <t>SAINT-HILAIRE-DE-LA-COTE</t>
  </si>
  <si>
    <t>AMNE</t>
  </si>
  <si>
    <t>ANTIN</t>
  </si>
  <si>
    <t>68870</t>
  </si>
  <si>
    <t>BARTENHEIM</t>
  </si>
  <si>
    <t>ECOUFLANT</t>
  </si>
  <si>
    <t>SAINT-MARTIAL-DE-MIRAMBEAU</t>
  </si>
  <si>
    <t>SACHIN</t>
  </si>
  <si>
    <t>LAMANERE</t>
  </si>
  <si>
    <t>ROUSSIEUX</t>
  </si>
  <si>
    <t>ROGERVILLE</t>
  </si>
  <si>
    <t>CORVOL-L'ORGUEILLEUX</t>
  </si>
  <si>
    <t>RIEZ</t>
  </si>
  <si>
    <t>DESMONTS</t>
  </si>
  <si>
    <t>MARIZY-SAINT-MARD</t>
  </si>
  <si>
    <t>LIGNIERES-EN-VIMEU</t>
  </si>
  <si>
    <t>BETBEZE</t>
  </si>
  <si>
    <t>PLAGNE</t>
  </si>
  <si>
    <t>MENARMONT</t>
  </si>
  <si>
    <t>MOURIEZ</t>
  </si>
  <si>
    <t>BOUGE-CHAMBALUD</t>
  </si>
  <si>
    <t>BOFFLES</t>
  </si>
  <si>
    <t>LE CHALANGE</t>
  </si>
  <si>
    <t>ARTIGAT</t>
  </si>
  <si>
    <t>CHIZE</t>
  </si>
  <si>
    <t>ETAULE</t>
  </si>
  <si>
    <t>POURCIEUX</t>
  </si>
  <si>
    <t>BOSC-MESNIL</t>
  </si>
  <si>
    <t>AWOINGT</t>
  </si>
  <si>
    <t>SAINT-PIERRE-DE-GENEBROZ</t>
  </si>
  <si>
    <t>BOEIL-BEZING</t>
  </si>
  <si>
    <t>2A056</t>
  </si>
  <si>
    <t>CAMPO</t>
  </si>
  <si>
    <t>CONDE-LES-AUTRY</t>
  </si>
  <si>
    <t>29540</t>
  </si>
  <si>
    <t>SPEZET</t>
  </si>
  <si>
    <t>ARTIGUE</t>
  </si>
  <si>
    <t>CHARIGNY</t>
  </si>
  <si>
    <t>SAINT-BERAIN</t>
  </si>
  <si>
    <t>NANGEVILLE</t>
  </si>
  <si>
    <t>FOUILLEUSE</t>
  </si>
  <si>
    <t>HUETRE</t>
  </si>
  <si>
    <t>VILLEREVERSURE</t>
  </si>
  <si>
    <t>FARGES-ALLICHAMPS</t>
  </si>
  <si>
    <t>2A268</t>
  </si>
  <si>
    <t>SAMPOLO</t>
  </si>
  <si>
    <t>SAJAS</t>
  </si>
  <si>
    <t>BAGNEAUX-SUR-LOING</t>
  </si>
  <si>
    <t>LE FAUGA</t>
  </si>
  <si>
    <t>AUVILLIERS</t>
  </si>
  <si>
    <t>LAFFREY</t>
  </si>
  <si>
    <t>SAINT-ROMAN</t>
  </si>
  <si>
    <t>CARDESSE</t>
  </si>
  <si>
    <t>TAMERVILLE</t>
  </si>
  <si>
    <t>CHANTEMERLE-SUR-LA-SOIE</t>
  </si>
  <si>
    <t>BARLIN</t>
  </si>
  <si>
    <t>IRAIS</t>
  </si>
  <si>
    <t>SECHIN</t>
  </si>
  <si>
    <t>SAINT-NABORD</t>
  </si>
  <si>
    <t>TREZENY</t>
  </si>
  <si>
    <t>CONDE-EN-BRIE</t>
  </si>
  <si>
    <t>BAROVILLE</t>
  </si>
  <si>
    <t>AUVILLAR</t>
  </si>
  <si>
    <t>BUISSONCOURT</t>
  </si>
  <si>
    <t>LABESCAU</t>
  </si>
  <si>
    <t>69001</t>
  </si>
  <si>
    <t>LYON--1ER-ARRONDISSEMENT</t>
  </si>
  <si>
    <t>SAINT-BAUDELLE</t>
  </si>
  <si>
    <t>ETSAUT</t>
  </si>
  <si>
    <t>MASSAY</t>
  </si>
  <si>
    <t>EGLIGNY</t>
  </si>
  <si>
    <t>93360</t>
  </si>
  <si>
    <t>NEUILLY-PLAISANCE</t>
  </si>
  <si>
    <t>59250</t>
  </si>
  <si>
    <t>HALLUIN</t>
  </si>
  <si>
    <t>LIVERS-CAZELLES</t>
  </si>
  <si>
    <t>BRICQUEBOSQ</t>
  </si>
  <si>
    <t>44770</t>
  </si>
  <si>
    <t>LA PLAINE-SUR-MER</t>
  </si>
  <si>
    <t>ROCHE-SAINT-SECRET-BECONNE</t>
  </si>
  <si>
    <t>PORT-SUR-SAONE</t>
  </si>
  <si>
    <t>LOMONT-SUR-CRETE</t>
  </si>
  <si>
    <t>CASTERON</t>
  </si>
  <si>
    <t>SERINGES-ET-NESLES</t>
  </si>
  <si>
    <t>SAINT-BONNET-LE-CHASTEL</t>
  </si>
  <si>
    <t>MONTHARVILLE</t>
  </si>
  <si>
    <t>MOULINS-LA-MARCHE</t>
  </si>
  <si>
    <t>EPINAY-SUR-DUCLAIR</t>
  </si>
  <si>
    <t>THENNELIERES</t>
  </si>
  <si>
    <t>BURIVILLE</t>
  </si>
  <si>
    <t>CHAY</t>
  </si>
  <si>
    <t>COURTEUIL</t>
  </si>
  <si>
    <t>VILLEMOISAN</t>
  </si>
  <si>
    <t>BARST</t>
  </si>
  <si>
    <t>CERVON</t>
  </si>
  <si>
    <t>38340</t>
  </si>
  <si>
    <t>POMMIERS-LA-PLACETTE</t>
  </si>
  <si>
    <t>MUSSEY-SUR-MARNE</t>
  </si>
  <si>
    <t>CHAMPEIX</t>
  </si>
  <si>
    <t>MARCILLY-EN-BEAUCE</t>
  </si>
  <si>
    <t>33110</t>
  </si>
  <si>
    <t>LE BOUSCAT</t>
  </si>
  <si>
    <t>BELLESSERRE</t>
  </si>
  <si>
    <t>NEDDE</t>
  </si>
  <si>
    <t>SAINT-GILLES-DE-CRETOT</t>
  </si>
  <si>
    <t>L'AIGLE</t>
  </si>
  <si>
    <t>SAINT-GERMAIN-DU-PUY</t>
  </si>
  <si>
    <t>CONDE-NORTHEN</t>
  </si>
  <si>
    <t>8500</t>
  </si>
  <si>
    <t>ANCHAMPS</t>
  </si>
  <si>
    <t>MONTIGNY-LES-CHERLIEU</t>
  </si>
  <si>
    <t>GIRONVILLE</t>
  </si>
  <si>
    <t>GRIVY-LOISY</t>
  </si>
  <si>
    <t>LAROIN</t>
  </si>
  <si>
    <t>95850</t>
  </si>
  <si>
    <t>MAREIL-EN-FRANCE</t>
  </si>
  <si>
    <t>CHAUME-ET-COURCHAMP</t>
  </si>
  <si>
    <t>78690</t>
  </si>
  <si>
    <t>LES ESSARTS-LE-ROI</t>
  </si>
  <si>
    <t>MANONVILLE</t>
  </si>
  <si>
    <t>SAINT-RESTITUT</t>
  </si>
  <si>
    <t>SENARGENT-MIGNAFANS</t>
  </si>
  <si>
    <t>RENAZE</t>
  </si>
  <si>
    <t>CERDON</t>
  </si>
  <si>
    <t>LAREOLE</t>
  </si>
  <si>
    <t>SAINT-GERMAIN-LES-PAROISSES</t>
  </si>
  <si>
    <t>FLAMMERANS</t>
  </si>
  <si>
    <t>BONBOILLON</t>
  </si>
  <si>
    <t>ROBERT-ESPAGNE</t>
  </si>
  <si>
    <t>AUVERS-SAINT-GEORGES</t>
  </si>
  <si>
    <t>77210</t>
  </si>
  <si>
    <t>SAMOREAU</t>
  </si>
  <si>
    <t>NEUIL</t>
  </si>
  <si>
    <t>VILLARS-SAINT-GEORGES</t>
  </si>
  <si>
    <t>ESCALA</t>
  </si>
  <si>
    <t>64600</t>
  </si>
  <si>
    <t>ANGLET</t>
  </si>
  <si>
    <t>LOHUEC</t>
  </si>
  <si>
    <t>76930</t>
  </si>
  <si>
    <t>CAUVILLE-SUR-MER</t>
  </si>
  <si>
    <t>PEAULE</t>
  </si>
  <si>
    <t>35113</t>
  </si>
  <si>
    <t>DOMAGNE</t>
  </si>
  <si>
    <t>SEMERIES</t>
  </si>
  <si>
    <t>THEHILLAC</t>
  </si>
  <si>
    <t>ECHENANS-SOUS-MONT-VAUDOIS</t>
  </si>
  <si>
    <t>SAINT-GERMAIN-DU-BEL-AIR</t>
  </si>
  <si>
    <t>CHOISIES</t>
  </si>
  <si>
    <t>42700</t>
  </si>
  <si>
    <t>FIRMINY</t>
  </si>
  <si>
    <t>KERPERT</t>
  </si>
  <si>
    <t>DOMPRIX</t>
  </si>
  <si>
    <t>CAUBEYRES</t>
  </si>
  <si>
    <t>BROCAS</t>
  </si>
  <si>
    <t>CHAZEAUX</t>
  </si>
  <si>
    <t>LA JUBAUDIERE</t>
  </si>
  <si>
    <t>BURDIGNES</t>
  </si>
  <si>
    <t>GILETTE</t>
  </si>
  <si>
    <t>VITTEFLEUR</t>
  </si>
  <si>
    <t>LIEUDIEU</t>
  </si>
  <si>
    <t>SARREMEZAN</t>
  </si>
  <si>
    <t>85290</t>
  </si>
  <si>
    <t>SAINT-LAURENT-SUR-SEVRE</t>
  </si>
  <si>
    <t>CORNAC</t>
  </si>
  <si>
    <t>COULOMMES-ET-MARQUENY</t>
  </si>
  <si>
    <t>CHATILLON-EN-DUNOIS</t>
  </si>
  <si>
    <t>LA CHAPELLE-LES-LUXEUIL</t>
  </si>
  <si>
    <t>WINGEN-SUR-MODER</t>
  </si>
  <si>
    <t>LEMENIL-MITRY</t>
  </si>
  <si>
    <t>SOMMELONNE</t>
  </si>
  <si>
    <t>FONTAINE-SIMON</t>
  </si>
  <si>
    <t>LE VIGAN</t>
  </si>
  <si>
    <t>CLERE-SUR-LAYON</t>
  </si>
  <si>
    <t>HANNOGNE-SAINT-MARTIN</t>
  </si>
  <si>
    <t>GANNES</t>
  </si>
  <si>
    <t>LAHOUSSOYE</t>
  </si>
  <si>
    <t>59224</t>
  </si>
  <si>
    <t>THIANT</t>
  </si>
  <si>
    <t>59284</t>
  </si>
  <si>
    <t>PITGAM</t>
  </si>
  <si>
    <t>69680</t>
  </si>
  <si>
    <t>CHASSIEU</t>
  </si>
  <si>
    <t>VALIGNY</t>
  </si>
  <si>
    <t>SAINT-MICHEL-SUR-MEURTHE</t>
  </si>
  <si>
    <t>HAUT-LIEU</t>
  </si>
  <si>
    <t>VARENNES-SUR-ALLIER</t>
  </si>
  <si>
    <t>SAUCATS</t>
  </si>
  <si>
    <t>MONTMAUR-EN-DIOIS</t>
  </si>
  <si>
    <t>68340</t>
  </si>
  <si>
    <t>ZELLENBERG</t>
  </si>
  <si>
    <t>13200</t>
  </si>
  <si>
    <t>ARLES</t>
  </si>
  <si>
    <t>LORCY</t>
  </si>
  <si>
    <t>SALBRIS</t>
  </si>
  <si>
    <t>PRUNET</t>
  </si>
  <si>
    <t>GAILLAGOS</t>
  </si>
  <si>
    <t>MANTOCHE</t>
  </si>
  <si>
    <t>16620</t>
  </si>
  <si>
    <t>MONTBOYER</t>
  </si>
  <si>
    <t>LE VAL-D'ESNOMS</t>
  </si>
  <si>
    <t>ALLINEUC</t>
  </si>
  <si>
    <t>SAINT-DIE-DES-VOSGES</t>
  </si>
  <si>
    <t>JAGNY-SOUS-BOIS</t>
  </si>
  <si>
    <t>LE FRESTOY-VAUX</t>
  </si>
  <si>
    <t>NOIZAY</t>
  </si>
  <si>
    <t>BEZUES-BAJON</t>
  </si>
  <si>
    <t>CHENEX</t>
  </si>
  <si>
    <t>MONTESTRUC-SUR-GERS</t>
  </si>
  <si>
    <t>PONTAUMUR</t>
  </si>
  <si>
    <t>MENIL-GONDOUIN</t>
  </si>
  <si>
    <t>59261</t>
  </si>
  <si>
    <t>WAHAGNIES</t>
  </si>
  <si>
    <t>90120</t>
  </si>
  <si>
    <t>MORVILLARS</t>
  </si>
  <si>
    <t>LELLING</t>
  </si>
  <si>
    <t>BARTHERANS</t>
  </si>
  <si>
    <t>TRACY-SUR-LOIRE</t>
  </si>
  <si>
    <t>BEUZEVILLE-LA-GUERARD</t>
  </si>
  <si>
    <t>19370</t>
  </si>
  <si>
    <t>CHAMBERET</t>
  </si>
  <si>
    <t>PAGNY-LES-GOIN</t>
  </si>
  <si>
    <t>LANGOIRAN</t>
  </si>
  <si>
    <t>LACARRE</t>
  </si>
  <si>
    <t>SAINT-GERVAIS-DES-SABLONS</t>
  </si>
  <si>
    <t>AUTHIOU</t>
  </si>
  <si>
    <t>LE MENIL-DE-BRIOUZE</t>
  </si>
  <si>
    <t>ROUVES</t>
  </si>
  <si>
    <t>LA CHAPELLE-AUX-NAUX</t>
  </si>
  <si>
    <t>BAIGNOLET</t>
  </si>
  <si>
    <t>CULT</t>
  </si>
  <si>
    <t>VILLERS-BOUTON</t>
  </si>
  <si>
    <t>EGRY</t>
  </si>
  <si>
    <t>NOTRE-DAME-DU-CRUET</t>
  </si>
  <si>
    <t>95440</t>
  </si>
  <si>
    <t>ECOUEN</t>
  </si>
  <si>
    <t>25840</t>
  </si>
  <si>
    <t>VUILLAFANS</t>
  </si>
  <si>
    <t>ARLEUX-EN-GOHELLE</t>
  </si>
  <si>
    <t>NOYERS-SUR-CHER</t>
  </si>
  <si>
    <t>GUILLIERS</t>
  </si>
  <si>
    <t>LOGNY-LES-AUBENTON</t>
  </si>
  <si>
    <t>ROPPEVILLER</t>
  </si>
  <si>
    <t>AUNAY-SUR-ODON</t>
  </si>
  <si>
    <t>COURCELLES-LES-SEMUR</t>
  </si>
  <si>
    <t>TILLOY-LES-CONTY</t>
  </si>
  <si>
    <t>DORCEAU</t>
  </si>
  <si>
    <t>BAIGTS</t>
  </si>
  <si>
    <t>FRELAND</t>
  </si>
  <si>
    <t>VILLECELIN</t>
  </si>
  <si>
    <t>GRAIX</t>
  </si>
  <si>
    <t>SAINT-THEOFFREY</t>
  </si>
  <si>
    <t>NETTANCOURT</t>
  </si>
  <si>
    <t>SAINT-OST</t>
  </si>
  <si>
    <t>MANDAGOUT</t>
  </si>
  <si>
    <t>ENGENVILLE</t>
  </si>
  <si>
    <t>CAUSSE-ET-DIEGE</t>
  </si>
  <si>
    <t>JUGON-LES-LACS</t>
  </si>
  <si>
    <t>LINDRE-BASSE</t>
  </si>
  <si>
    <t>71740</t>
  </si>
  <si>
    <t>REMOLLON</t>
  </si>
  <si>
    <t>BELIS</t>
  </si>
  <si>
    <t>SAINT-BRISSON</t>
  </si>
  <si>
    <t>FLORIMONT</t>
  </si>
  <si>
    <t>ALBON-D'ARDECHE</t>
  </si>
  <si>
    <t>DOUX</t>
  </si>
  <si>
    <t>VERIGNON</t>
  </si>
  <si>
    <t>LE FAY</t>
  </si>
  <si>
    <t>HASTINGUES</t>
  </si>
  <si>
    <t>OCTEVILLE-L'AVENEL</t>
  </si>
  <si>
    <t>29880</t>
  </si>
  <si>
    <t>GUISSENY</t>
  </si>
  <si>
    <t>SAINT-JEAN-DE-CORNIES</t>
  </si>
  <si>
    <t>14550</t>
  </si>
  <si>
    <t>BLAINVILLE-SUR-ORNE</t>
  </si>
  <si>
    <t>CHIRMONT</t>
  </si>
  <si>
    <t>AUBIAT</t>
  </si>
  <si>
    <t>27540</t>
  </si>
  <si>
    <t>IVRY-LA-BATAILLE</t>
  </si>
  <si>
    <t>RODELINGHEM</t>
  </si>
  <si>
    <t>UNIENVILLE</t>
  </si>
  <si>
    <t>RIQUEWIHR</t>
  </si>
  <si>
    <t>SAINT-MAURICE-SAINT-GERMAIN</t>
  </si>
  <si>
    <t>VIDEIX</t>
  </si>
  <si>
    <t>SAINT-LEGER-SUR-BRESLE</t>
  </si>
  <si>
    <t>GREMILLY</t>
  </si>
  <si>
    <t>BAGIRY</t>
  </si>
  <si>
    <t>CHEZELLES</t>
  </si>
  <si>
    <t>PLOUGUIEL</t>
  </si>
  <si>
    <t>POMEROL</t>
  </si>
  <si>
    <t>CHARMOILLE</t>
  </si>
  <si>
    <t>DEGRE</t>
  </si>
  <si>
    <t>RORBACH-LES-DIEUZE</t>
  </si>
  <si>
    <t>PONTARION</t>
  </si>
  <si>
    <t>DANGE-SAINT-ROMAIN</t>
  </si>
  <si>
    <t>AUREVILLE</t>
  </si>
  <si>
    <t>BAUDONCOURT</t>
  </si>
  <si>
    <t>CHICHILIANNE</t>
  </si>
  <si>
    <t>BANNONCOURT</t>
  </si>
  <si>
    <t>DREFFEAC</t>
  </si>
  <si>
    <t>SAINT-VICTOR-EN-MARCHE</t>
  </si>
  <si>
    <t>SAINT-MICHEL-DE-VILLADEIX</t>
  </si>
  <si>
    <t>92200</t>
  </si>
  <si>
    <t>NEUILLY-SUR-SEINE</t>
  </si>
  <si>
    <t>AUPS</t>
  </si>
  <si>
    <t>BEGUEY</t>
  </si>
  <si>
    <t>LES MOUTIERS-EN-AUGE</t>
  </si>
  <si>
    <t>VENDHUILE</t>
  </si>
  <si>
    <t>SAINT-MAURICE-EN-TRIEVES</t>
  </si>
  <si>
    <t>TAUSSAC-LA-BILLIERE</t>
  </si>
  <si>
    <t>VATAN</t>
  </si>
  <si>
    <t>NEUILLY-L'HOPITAL</t>
  </si>
  <si>
    <t>IS-EN-BASSIGNY</t>
  </si>
  <si>
    <t>MESSY</t>
  </si>
  <si>
    <t>LA ROUQUETTE</t>
  </si>
  <si>
    <t>GUIPY</t>
  </si>
  <si>
    <t>SAVOISY</t>
  </si>
  <si>
    <t>RANCOURT-SUR-ORNAIN</t>
  </si>
  <si>
    <t>DAVIGNAC</t>
  </si>
  <si>
    <t>10300</t>
  </si>
  <si>
    <t>SAINTE-SAVINE</t>
  </si>
  <si>
    <t>ARCONNAY</t>
  </si>
  <si>
    <t>GIZEUX</t>
  </si>
  <si>
    <t>ALPUECH</t>
  </si>
  <si>
    <t>ERREVET</t>
  </si>
  <si>
    <t>MONTAUROUX</t>
  </si>
  <si>
    <t>CASTELBIAGUE</t>
  </si>
  <si>
    <t>NANDAX</t>
  </si>
  <si>
    <t>48120</t>
  </si>
  <si>
    <t>LA BURBANCHE</t>
  </si>
  <si>
    <t>LABASTIDE</t>
  </si>
  <si>
    <t>BROYE</t>
  </si>
  <si>
    <t>SAINT-LEONARD-DES-BOIS</t>
  </si>
  <si>
    <t>SEYTROUX</t>
  </si>
  <si>
    <t>BUSSEOL</t>
  </si>
  <si>
    <t>RIGNAC</t>
  </si>
  <si>
    <t>GIZAY</t>
  </si>
  <si>
    <t>MONAMPTEUIL</t>
  </si>
  <si>
    <t>85360</t>
  </si>
  <si>
    <t>LA TRANCHE-SUR-MER</t>
  </si>
  <si>
    <t>HOURC</t>
  </si>
  <si>
    <t>SERVAL</t>
  </si>
  <si>
    <t>LE VAUDOUE</t>
  </si>
  <si>
    <t>SAINT-MARTIAL-SUR-ISOP</t>
  </si>
  <si>
    <t>ECUEILLE</t>
  </si>
  <si>
    <t>LAMARQUE</t>
  </si>
  <si>
    <t>LA TRINITAT</t>
  </si>
  <si>
    <t>CADOURS</t>
  </si>
  <si>
    <t>VARAIZE</t>
  </si>
  <si>
    <t>SAINT-AUBIN-DES-HAYES</t>
  </si>
  <si>
    <t>AAST</t>
  </si>
  <si>
    <t>COZES</t>
  </si>
  <si>
    <t>LABESSETTE</t>
  </si>
  <si>
    <t>CREYSSENSAC-ET-PISSOT</t>
  </si>
  <si>
    <t>CONDREN</t>
  </si>
  <si>
    <t>DOLMAYRAC</t>
  </si>
  <si>
    <t>MILLY-SUR-THERAIN</t>
  </si>
  <si>
    <t>SAINT-MARS-LA-BRIERE</t>
  </si>
  <si>
    <t>CHOISEUL</t>
  </si>
  <si>
    <t>VOIGNY</t>
  </si>
  <si>
    <t>SAINTE-MARIE-DU-MONT</t>
  </si>
  <si>
    <t>34110</t>
  </si>
  <si>
    <t>MIREVAL</t>
  </si>
  <si>
    <t>BREUIL</t>
  </si>
  <si>
    <t>OBERMODERN-ZUTZENDORF</t>
  </si>
  <si>
    <t>SAINT-GENEST-D'AMBIERE</t>
  </si>
  <si>
    <t>ANGELY</t>
  </si>
  <si>
    <t>CLIRON</t>
  </si>
  <si>
    <t>SAINT-BEAUZEIL</t>
  </si>
  <si>
    <t>POLMINHAC</t>
  </si>
  <si>
    <t>GUEBESTROFF</t>
  </si>
  <si>
    <t>30270</t>
  </si>
  <si>
    <t>SAINT-JEAN-DU-GARD</t>
  </si>
  <si>
    <t>MAGNAN</t>
  </si>
  <si>
    <t>BUSSAC</t>
  </si>
  <si>
    <t>CASTERETS</t>
  </si>
  <si>
    <t>WENTZWILLER</t>
  </si>
  <si>
    <t>MORRE</t>
  </si>
  <si>
    <t>BENFELD</t>
  </si>
  <si>
    <t>MARSILLY</t>
  </si>
  <si>
    <t>SAINT-JUST-DE-CLAIX</t>
  </si>
  <si>
    <t>SANTENY</t>
  </si>
  <si>
    <t>SAINT-AUBIN-EPINAY</t>
  </si>
  <si>
    <t>CROZANT</t>
  </si>
  <si>
    <t>LA FAVIERE</t>
  </si>
  <si>
    <t>CHASSIERS</t>
  </si>
  <si>
    <t>HAIGNEVILLE</t>
  </si>
  <si>
    <t>MONTAGNAC-SUR-AUVIGNON</t>
  </si>
  <si>
    <t>LOC-ENVEL</t>
  </si>
  <si>
    <t>VAUSSEROUX</t>
  </si>
  <si>
    <t>CORCELLE-MIESLOT</t>
  </si>
  <si>
    <t>MARCHESEUIL</t>
  </si>
  <si>
    <t>GEUDERTHEIM</t>
  </si>
  <si>
    <t>VIEL-SAINT-REMY</t>
  </si>
  <si>
    <t>LAHITTE-TOUPIERE</t>
  </si>
  <si>
    <t>FARSCHVILLER</t>
  </si>
  <si>
    <t>REVONNAS</t>
  </si>
  <si>
    <t>13016</t>
  </si>
  <si>
    <t>MARSEILLE-16E--ARRONDISSEMENT</t>
  </si>
  <si>
    <t>INSVILLER</t>
  </si>
  <si>
    <t>MALLEMOISSON</t>
  </si>
  <si>
    <t>2B290</t>
  </si>
  <si>
    <t>SPELONCATO</t>
  </si>
  <si>
    <t>ETREMBIERES</t>
  </si>
  <si>
    <t>NIELLES-LES-ARDRES</t>
  </si>
  <si>
    <t>DARCEY</t>
  </si>
  <si>
    <t>SACE</t>
  </si>
  <si>
    <t>SANSSAC-L'EGLISE</t>
  </si>
  <si>
    <t>LA PIERRE</t>
  </si>
  <si>
    <t>SAINT-GEORGES-DE-GREHAIGNE</t>
  </si>
  <si>
    <t>NEUVIREUIL</t>
  </si>
  <si>
    <t>BOURGUIGNON-LES-MOREY</t>
  </si>
  <si>
    <t>ORAISON</t>
  </si>
  <si>
    <t>LAVARE</t>
  </si>
  <si>
    <t>SAINT-PRIX-LES-ARNAY</t>
  </si>
  <si>
    <t>VAUDESINCOURT</t>
  </si>
  <si>
    <t>ISSUS</t>
  </si>
  <si>
    <t>ROUVROY-RIPONT</t>
  </si>
  <si>
    <t>LE MEIX-SAINT-EPOING</t>
  </si>
  <si>
    <t>SAINT-GONDRAN</t>
  </si>
  <si>
    <t>ESPALION</t>
  </si>
  <si>
    <t>PALUEL</t>
  </si>
  <si>
    <t>LAPTE</t>
  </si>
  <si>
    <t>VOUHE</t>
  </si>
  <si>
    <t>94320</t>
  </si>
  <si>
    <t>THIAIS</t>
  </si>
  <si>
    <t>GIBRET</t>
  </si>
  <si>
    <t>SAINT-MAMET</t>
  </si>
  <si>
    <t>LA ROCHE-MABILE</t>
  </si>
  <si>
    <t>RIGNY-LE-FERRON</t>
  </si>
  <si>
    <t>AVELIN</t>
  </si>
  <si>
    <t>95830</t>
  </si>
  <si>
    <t>FREMECOURT</t>
  </si>
  <si>
    <t>SAINT-HILAIRE-LE-PETIT</t>
  </si>
  <si>
    <t>ASSEVILLERS</t>
  </si>
  <si>
    <t>PUY-L'EVEQUE</t>
  </si>
  <si>
    <t>CREZANCY</t>
  </si>
  <si>
    <t>CRUZILLES-LES-MEPILLAT</t>
  </si>
  <si>
    <t>BARLIEU</t>
  </si>
  <si>
    <t>SAINT-MARD-DE-RENO</t>
  </si>
  <si>
    <t>REYNEL</t>
  </si>
  <si>
    <t>GORCY</t>
  </si>
  <si>
    <t>51470</t>
  </si>
  <si>
    <t>SAINT-MEMMIE</t>
  </si>
  <si>
    <t>POULAINVILLE</t>
  </si>
  <si>
    <t>BUCY-LES-PIERREPONT</t>
  </si>
  <si>
    <t>PUSSIGNY</t>
  </si>
  <si>
    <t>BIENCOURT-SUR-ORGE</t>
  </si>
  <si>
    <t>OLORON-SAINTE-MARIE</t>
  </si>
  <si>
    <t>TEILLET-ARGENTY</t>
  </si>
  <si>
    <t>ANNOISIN-CHATELANS</t>
  </si>
  <si>
    <t>CULIN</t>
  </si>
  <si>
    <t>LUC-SUR-ORBIEU</t>
  </si>
  <si>
    <t>MARSAZ</t>
  </si>
  <si>
    <t>MONS-BOUBERT</t>
  </si>
  <si>
    <t>RIMBACH-PRES-GUEBWILLER</t>
  </si>
  <si>
    <t>MONTENEUF</t>
  </si>
  <si>
    <t>SAINT-PUY</t>
  </si>
  <si>
    <t>AYEN</t>
  </si>
  <si>
    <t>PEISEY-NANCROIX</t>
  </si>
  <si>
    <t>SAINT-AMAND-SUR-SEVRE</t>
  </si>
  <si>
    <t>CLISSON</t>
  </si>
  <si>
    <t>NANT-LE-GRAND</t>
  </si>
  <si>
    <t>BOURNIQUEL</t>
  </si>
  <si>
    <t>BOURLENS</t>
  </si>
  <si>
    <t>2B320</t>
  </si>
  <si>
    <t>TALLONE</t>
  </si>
  <si>
    <t>MONTFERMIER</t>
  </si>
  <si>
    <t>SAMER</t>
  </si>
  <si>
    <t>HOSTENS</t>
  </si>
  <si>
    <t>BEAUBRAY</t>
  </si>
  <si>
    <t>BOUBERS-LES-HESMOND</t>
  </si>
  <si>
    <t>33700</t>
  </si>
  <si>
    <t>MERIGNAC</t>
  </si>
  <si>
    <t>THERMES-MAGNOAC</t>
  </si>
  <si>
    <t>PARGNAN</t>
  </si>
  <si>
    <t>MERGEY</t>
  </si>
  <si>
    <t>BOIS-ANZERAY</t>
  </si>
  <si>
    <t>ESCLAVOLLES-LUREY</t>
  </si>
  <si>
    <t>LANTENNE-VERTIERE</t>
  </si>
  <si>
    <t>GUERMANGE</t>
  </si>
  <si>
    <t>JUZET-D'IZAUT</t>
  </si>
  <si>
    <t>SCHILLERSDORF</t>
  </si>
  <si>
    <t>NIZY-LE-COMTE</t>
  </si>
  <si>
    <t>VENNANS</t>
  </si>
  <si>
    <t>SANTIGNY</t>
  </si>
  <si>
    <t>YVRE-LE-POLIN</t>
  </si>
  <si>
    <t>17730</t>
  </si>
  <si>
    <t>PORT-DES-BARQUES</t>
  </si>
  <si>
    <t>SAINT-BROING</t>
  </si>
  <si>
    <t>DANVOU-LA-FERRIERE</t>
  </si>
  <si>
    <t>MONTCY-NOTRE-DAME</t>
  </si>
  <si>
    <t>MILON-LA-CHAPELLE</t>
  </si>
  <si>
    <t>13113</t>
  </si>
  <si>
    <t>LAMANON</t>
  </si>
  <si>
    <t>BOURSIN</t>
  </si>
  <si>
    <t>NOUILLONPONT</t>
  </si>
  <si>
    <t>QUEMPER-GUEZENNEC</t>
  </si>
  <si>
    <t>ANTRAN</t>
  </si>
  <si>
    <t>LE MESNIL-AU-VAL</t>
  </si>
  <si>
    <t>PAILHAC</t>
  </si>
  <si>
    <t>ANNONAY</t>
  </si>
  <si>
    <t>LE BEAUCET</t>
  </si>
  <si>
    <t>BOURDEAUX</t>
  </si>
  <si>
    <t>SALAVAS</t>
  </si>
  <si>
    <t>VILLERS-FRANQUEUX</t>
  </si>
  <si>
    <t>CABRERETS</t>
  </si>
  <si>
    <t>PREVILLERS</t>
  </si>
  <si>
    <t>GANDELU</t>
  </si>
  <si>
    <t>LA FERTE-LOUPIERE</t>
  </si>
  <si>
    <t>29350</t>
  </si>
  <si>
    <t>MOELAN-SUR-MER</t>
  </si>
  <si>
    <t>VAGNEY</t>
  </si>
  <si>
    <t>76770</t>
  </si>
  <si>
    <t>LE HOULME</t>
  </si>
  <si>
    <t>DOMART-EN-PONTHIEU</t>
  </si>
  <si>
    <t>SOUMENSAC</t>
  </si>
  <si>
    <t>38700</t>
  </si>
  <si>
    <t>LE SAPPEY-EN-CHARTREUSE</t>
  </si>
  <si>
    <t>REPLONGES</t>
  </si>
  <si>
    <t>GLOS-LA-FERRIERE</t>
  </si>
  <si>
    <t>MOUTIERS-SAINT-JEAN</t>
  </si>
  <si>
    <t>BEURVILLE</t>
  </si>
  <si>
    <t>CHAUFFRY</t>
  </si>
  <si>
    <t>ESSERVAL-TARTRE</t>
  </si>
  <si>
    <t>MONTEPILLOY</t>
  </si>
  <si>
    <t>TOUL</t>
  </si>
  <si>
    <t>LES LAUBIES</t>
  </si>
  <si>
    <t>LA CELLE-DUNOISE</t>
  </si>
  <si>
    <t>VILLIERS-SAINT-GEORGES</t>
  </si>
  <si>
    <t>MURLIN</t>
  </si>
  <si>
    <t>BERSAC-SUR-RIVALIER</t>
  </si>
  <si>
    <t>XOUAXANGE</t>
  </si>
  <si>
    <t>LA FALAISE</t>
  </si>
  <si>
    <t>LAVARDAC</t>
  </si>
  <si>
    <t>SAINT-VIVIEN-DE-BLAYE</t>
  </si>
  <si>
    <t>GOURNAY-LE-GUERIN</t>
  </si>
  <si>
    <t>MIJANES</t>
  </si>
  <si>
    <t>ALLAINVILLE</t>
  </si>
  <si>
    <t>ESTRENNES</t>
  </si>
  <si>
    <t>HAMMEVILLE</t>
  </si>
  <si>
    <t>SAINT-LEGER-DU-BOURG-DENIS</t>
  </si>
  <si>
    <t>CHERVES</t>
  </si>
  <si>
    <t>POLISOT</t>
  </si>
  <si>
    <t>76350</t>
  </si>
  <si>
    <t>OISSEL</t>
  </si>
  <si>
    <t>JOUET-SUR-L'AUBOIS</t>
  </si>
  <si>
    <t>GRAMONT</t>
  </si>
  <si>
    <t>SAINT-DIDIER-EN-BRESSE</t>
  </si>
  <si>
    <t>BONNEMAZON</t>
  </si>
  <si>
    <t>ROYAUCOURT-ET-CHAILVET</t>
  </si>
  <si>
    <t>LOULAY</t>
  </si>
  <si>
    <t>GINCHY</t>
  </si>
  <si>
    <t>BERIG-VINTRANGE</t>
  </si>
  <si>
    <t>77163</t>
  </si>
  <si>
    <t>MORTCERF</t>
  </si>
  <si>
    <t>SAINT-CIRGUES-DE-MALBERT</t>
  </si>
  <si>
    <t>JANVILLE-SUR-JUINE</t>
  </si>
  <si>
    <t>CHAVAGNES-LES-REDOUX</t>
  </si>
  <si>
    <t>OCQUEVILLE</t>
  </si>
  <si>
    <t>BRESSEY-SUR-TILLE</t>
  </si>
  <si>
    <t>UBEXY</t>
  </si>
  <si>
    <t>FESSANVILLIERS-MATTANVILLIERS</t>
  </si>
  <si>
    <t>PROUZEL</t>
  </si>
  <si>
    <t>FRESNES-SUR-APANCE</t>
  </si>
  <si>
    <t>ANQUETIERVILLE</t>
  </si>
  <si>
    <t>JOISELLE</t>
  </si>
  <si>
    <t>BROCOURT-EN-ARGONNE</t>
  </si>
  <si>
    <t>QUIVIERES</t>
  </si>
  <si>
    <t>HEIDOLSHEIM</t>
  </si>
  <si>
    <t>SAINTE-COLOMBE-DE-DURAS</t>
  </si>
  <si>
    <t>MONTCHEUTIN</t>
  </si>
  <si>
    <t>COUROUVRE</t>
  </si>
  <si>
    <t>91840</t>
  </si>
  <si>
    <t>SOISY-SUR-ECOLE</t>
  </si>
  <si>
    <t>BARISIS</t>
  </si>
  <si>
    <t>SAINT-LAGER</t>
  </si>
  <si>
    <t>LES ALLIES</t>
  </si>
  <si>
    <t>HENNEZIS</t>
  </si>
  <si>
    <t>CALAMANE</t>
  </si>
  <si>
    <t>PUSEY</t>
  </si>
  <si>
    <t>LE MALZIEU-FORAIN</t>
  </si>
  <si>
    <t>MOMERES</t>
  </si>
  <si>
    <t>67540</t>
  </si>
  <si>
    <t>OSTWALD</t>
  </si>
  <si>
    <t>CLASVILLE</t>
  </si>
  <si>
    <t>MONTELIER</t>
  </si>
  <si>
    <t>HAUTE-RIVOIRE</t>
  </si>
  <si>
    <t>78140</t>
  </si>
  <si>
    <t>VELIZY-VILLACOUBLAY</t>
  </si>
  <si>
    <t>68630/68126</t>
  </si>
  <si>
    <t>BENNWIHR</t>
  </si>
  <si>
    <t>BERRIEN</t>
  </si>
  <si>
    <t>HANNONVILLE-SOUS-LES-COTES</t>
  </si>
  <si>
    <t>SAINT-OUEN-DE-SECHEROUVRE</t>
  </si>
  <si>
    <t>LA MENITRE</t>
  </si>
  <si>
    <t>BELLEVUE-LA-MONTAGNE</t>
  </si>
  <si>
    <t>SAINTE-PIENCE</t>
  </si>
  <si>
    <t>RIMONDEIX</t>
  </si>
  <si>
    <t>ROQUECOR</t>
  </si>
  <si>
    <t>VILHONNEUR</t>
  </si>
  <si>
    <t>LION-EN-SULLIAS</t>
  </si>
  <si>
    <t>CROISY</t>
  </si>
  <si>
    <t>SAINT-ESCOBILLE</t>
  </si>
  <si>
    <t>MARTINPUICH</t>
  </si>
  <si>
    <t>VILLETOUREIX</t>
  </si>
  <si>
    <t>ECTOT-LES-BAONS</t>
  </si>
  <si>
    <t>SAINTE-MARIE-D'ALLOIX</t>
  </si>
  <si>
    <t>FONTAINE-LAVAGANNE</t>
  </si>
  <si>
    <t>ETELFAY</t>
  </si>
  <si>
    <t>CROSVILLE-SUR-SCIE</t>
  </si>
  <si>
    <t>49690</t>
  </si>
  <si>
    <t>CORON</t>
  </si>
  <si>
    <t>BOUCONVILLERS</t>
  </si>
  <si>
    <t>MOUREDE</t>
  </si>
  <si>
    <t>AUVILLERS-LES-FORGES</t>
  </si>
  <si>
    <t>ORMERSVILLER</t>
  </si>
  <si>
    <t>LHOUMOIS</t>
  </si>
  <si>
    <t>69110</t>
  </si>
  <si>
    <t>SAINTE-FOY-LES-LYON</t>
  </si>
  <si>
    <t>MONTFERRIER</t>
  </si>
  <si>
    <t>BISLEE</t>
  </si>
  <si>
    <t>LE TEMPLE-SUR-LOT</t>
  </si>
  <si>
    <t>DUINGT</t>
  </si>
  <si>
    <t>EPRON</t>
  </si>
  <si>
    <t>AMFREVILLE-SOUS-LES-MONTS</t>
  </si>
  <si>
    <t>SOUS-PARSAT</t>
  </si>
  <si>
    <t>CHEVILLY</t>
  </si>
  <si>
    <t>MARANT</t>
  </si>
  <si>
    <t>BAULON</t>
  </si>
  <si>
    <t>CURTIL-SAINT-SEINE</t>
  </si>
  <si>
    <t>BAN-DE-LAVELINE</t>
  </si>
  <si>
    <t>MEUILLEY</t>
  </si>
  <si>
    <t>VIEUX-PORT</t>
  </si>
  <si>
    <t>VIRECOURT</t>
  </si>
  <si>
    <t>CYSOING</t>
  </si>
  <si>
    <t>63480</t>
  </si>
  <si>
    <t>VERTOLAYE</t>
  </si>
  <si>
    <t>34690</t>
  </si>
  <si>
    <t>FABREGUES</t>
  </si>
  <si>
    <t>LABATMALE</t>
  </si>
  <si>
    <t>94150</t>
  </si>
  <si>
    <t>RUNGIS</t>
  </si>
  <si>
    <t>ORSANCO</t>
  </si>
  <si>
    <t>SARRALTROFF</t>
  </si>
  <si>
    <t>BLAYE-LES-MINES</t>
  </si>
  <si>
    <t>COURTILLERS</t>
  </si>
  <si>
    <t>ARS-SUR-MOSELLE</t>
  </si>
  <si>
    <t>CHERENG</t>
  </si>
  <si>
    <t>POUZOL</t>
  </si>
  <si>
    <t>PLOERMEL</t>
  </si>
  <si>
    <t>CARROUGES</t>
  </si>
  <si>
    <t>BAUDRES</t>
  </si>
  <si>
    <t>LATRONQUIERE</t>
  </si>
  <si>
    <t>LAROUILLIES</t>
  </si>
  <si>
    <t>BROGLIE</t>
  </si>
  <si>
    <t>FLANGEBOUCHE</t>
  </si>
  <si>
    <t>LE TIGNET</t>
  </si>
  <si>
    <t>LA CALMETTE</t>
  </si>
  <si>
    <t>LA SALETTE-FALLAVAUX</t>
  </si>
  <si>
    <t>CHALVIGNAC</t>
  </si>
  <si>
    <t>75008</t>
  </si>
  <si>
    <t>PARIS-8E-ARRONDISSEMENT</t>
  </si>
  <si>
    <t>GERMENAY</t>
  </si>
  <si>
    <t>FRANCUEIL</t>
  </si>
  <si>
    <t>SAINT-AYBERT</t>
  </si>
  <si>
    <t>BOUHANS-LES-LURE</t>
  </si>
  <si>
    <t>SAINT-JEAN-DE-NIOST</t>
  </si>
  <si>
    <t>BRIASTRE</t>
  </si>
  <si>
    <t>WAVRECHAIN-SOUS-DENAIN</t>
  </si>
  <si>
    <t>HERISSON</t>
  </si>
  <si>
    <t>SCIENTRIER</t>
  </si>
  <si>
    <t>97400</t>
  </si>
  <si>
    <t>BOUIN</t>
  </si>
  <si>
    <t>SAINT-ETIENNE-DE-LISSE</t>
  </si>
  <si>
    <t>VILLEGOUIN</t>
  </si>
  <si>
    <t>MAZERES-LEZONS</t>
  </si>
  <si>
    <t>PUTOT-EN-BESSIN</t>
  </si>
  <si>
    <t>DURAN</t>
  </si>
  <si>
    <t>LA CHAPELLE-RAINSOUIN</t>
  </si>
  <si>
    <t>2B321</t>
  </si>
  <si>
    <t>TARRANO</t>
  </si>
  <si>
    <t>LA TOUR-BLANCHE</t>
  </si>
  <si>
    <t>SAINT-BERAIN-SOUS-SANVIGNES</t>
  </si>
  <si>
    <t>MANIGOD</t>
  </si>
  <si>
    <t>MANVIEUX</t>
  </si>
  <si>
    <t>54780</t>
  </si>
  <si>
    <t>BETTES</t>
  </si>
  <si>
    <t>EXINCOURT</t>
  </si>
  <si>
    <t>SONS-ET-RONCHERES</t>
  </si>
  <si>
    <t>60155</t>
  </si>
  <si>
    <t>SAINT-LEGER-EN-BRAY</t>
  </si>
  <si>
    <t>ANZEME</t>
  </si>
  <si>
    <t>BONNAC-LA-COTE</t>
  </si>
  <si>
    <t>CUBIERETTES</t>
  </si>
  <si>
    <t>NEUVILLE-EN-BEAUMONT</t>
  </si>
  <si>
    <t>VILLING</t>
  </si>
  <si>
    <t>13130</t>
  </si>
  <si>
    <t>BERRE-L'ETANG</t>
  </si>
  <si>
    <t>DAMVILLE</t>
  </si>
  <si>
    <t>MARLES-SUR-CANCHE</t>
  </si>
  <si>
    <t>PIERREFITTE-SUR-AIRE</t>
  </si>
  <si>
    <t>GOUDON</t>
  </si>
  <si>
    <t>BERCHERES-SUR-VESGRE</t>
  </si>
  <si>
    <t>IPPLING</t>
  </si>
  <si>
    <t>SAINT-GERMAIN-LES-BUXY</t>
  </si>
  <si>
    <t>LOSTROFF</t>
  </si>
  <si>
    <t>BELFORT-DU-QUERCY</t>
  </si>
  <si>
    <t>CURAN</t>
  </si>
  <si>
    <t>LA CHAPELLE-HULLIN</t>
  </si>
  <si>
    <t>COUCY-LES-EPPES</t>
  </si>
  <si>
    <t>ABONCOURT-SUR-SEILLE</t>
  </si>
  <si>
    <t>GRANGES-NARBOZ</t>
  </si>
  <si>
    <t>56260</t>
  </si>
  <si>
    <t>LARMOR-PLAGE</t>
  </si>
  <si>
    <t>SAINT-HELLIER</t>
  </si>
  <si>
    <t>GUENVILLER</t>
  </si>
  <si>
    <t>ADRIERS</t>
  </si>
  <si>
    <t>SAINT-NICOLAS-DE-BOURGUEIL</t>
  </si>
  <si>
    <t>LA FLECHE</t>
  </si>
  <si>
    <t>LODEVE</t>
  </si>
  <si>
    <t>ABLEIGES</t>
  </si>
  <si>
    <t>ALBERT</t>
  </si>
  <si>
    <t>SILLANS</t>
  </si>
  <si>
    <t>LA POTERIE-MATHIEU</t>
  </si>
  <si>
    <t>LA MURAZ</t>
  </si>
  <si>
    <t>ALZING</t>
  </si>
  <si>
    <t>SARRE-UNION</t>
  </si>
  <si>
    <t>JUSTINIAC</t>
  </si>
  <si>
    <t>LES AUTELS-SAINT-BAZILE</t>
  </si>
  <si>
    <t>SAINT-MARTIN-VESUBIE</t>
  </si>
  <si>
    <t>CORCELLES-LES-ARTS</t>
  </si>
  <si>
    <t>LAVOINE</t>
  </si>
  <si>
    <t>LAPS</t>
  </si>
  <si>
    <t>BEAUSITE</t>
  </si>
  <si>
    <t>VAUGINES</t>
  </si>
  <si>
    <t>CONTRISSON</t>
  </si>
  <si>
    <t>BERTRAMBOIS</t>
  </si>
  <si>
    <t>CHARBUY</t>
  </si>
  <si>
    <t>SARP</t>
  </si>
  <si>
    <t>BEAUBEC-LA-ROSIERE</t>
  </si>
  <si>
    <t>SAINT-JEAN-DE-TOUSLAS</t>
  </si>
  <si>
    <t>FONTAINE-LES-DIJON</t>
  </si>
  <si>
    <t>PREUSCHDORF</t>
  </si>
  <si>
    <t>VEREL-PRAGONDRAN</t>
  </si>
  <si>
    <t>HOLTZWIHR</t>
  </si>
  <si>
    <t>ESPARRON</t>
  </si>
  <si>
    <t>FRONTIGNAN-SAVES</t>
  </si>
  <si>
    <t>ORGUEIL</t>
  </si>
  <si>
    <t>KALHAUSEN</t>
  </si>
  <si>
    <t>TELLANCOURT</t>
  </si>
  <si>
    <t>SAINT-MEDARD-SUR-ILLE</t>
  </si>
  <si>
    <t>8120</t>
  </si>
  <si>
    <t>BOGNY-SUR-MEUSE</t>
  </si>
  <si>
    <t>HALLU</t>
  </si>
  <si>
    <t>EPENOUSE</t>
  </si>
  <si>
    <t>AMFROIPRET</t>
  </si>
  <si>
    <t>ESPLAS-DE-SEROU</t>
  </si>
  <si>
    <t>ARMOY</t>
  </si>
  <si>
    <t>FUSSEY</t>
  </si>
  <si>
    <t>SAINT-DIDIER-DE-FORMANS</t>
  </si>
  <si>
    <t>SAINT-CARADEC</t>
  </si>
  <si>
    <t>CAOUENNEC-LANVEZEAC</t>
  </si>
  <si>
    <t>BOISSET-SAINT-PRIEST</t>
  </si>
  <si>
    <t>SAINT-POURCAIN-SUR-BESBRE</t>
  </si>
  <si>
    <t>PUY-MALSIGNAT</t>
  </si>
  <si>
    <t>VIGY</t>
  </si>
  <si>
    <t>CHANTILLAC</t>
  </si>
  <si>
    <t>VERNEUIL-PETIT</t>
  </si>
  <si>
    <t>BERTRE</t>
  </si>
  <si>
    <t>SERNHAC</t>
  </si>
  <si>
    <t>SAINT-ANDEOL-DE-VALS</t>
  </si>
  <si>
    <t>VICHEL-NANTEUIL</t>
  </si>
  <si>
    <t>SAINT-ETIENNE-DE-SERRE</t>
  </si>
  <si>
    <t>PAULHENC</t>
  </si>
  <si>
    <t>COURCY-AUX-LOGES</t>
  </si>
  <si>
    <t>CHAMBLAC</t>
  </si>
  <si>
    <t>LA CHAPELLE-FELCOURT</t>
  </si>
  <si>
    <t>SAINT-GERMAIN-DES-FOSSES</t>
  </si>
  <si>
    <t>2B230</t>
  </si>
  <si>
    <t>PIEVE</t>
  </si>
  <si>
    <t>BUE</t>
  </si>
  <si>
    <t>LA FOYE-MONJAULT</t>
  </si>
  <si>
    <t>CHAZE-SUR-ARGOS</t>
  </si>
  <si>
    <t>RANG</t>
  </si>
  <si>
    <t>BAZINCOURT-SUR-EPTE</t>
  </si>
  <si>
    <t>SAINT-MARTIN-DE-LA-CLUZE</t>
  </si>
  <si>
    <t>BARINQUE</t>
  </si>
  <si>
    <t>CHANTRAINES</t>
  </si>
  <si>
    <t>2B236</t>
  </si>
  <si>
    <t>POGGIO-DI-NAZZA</t>
  </si>
  <si>
    <t>CHARLY-SUR-MARNE</t>
  </si>
  <si>
    <t>LE PERTUIS</t>
  </si>
  <si>
    <t>RESTINCLIERES</t>
  </si>
  <si>
    <t>ESTREES-SUR-NOYE</t>
  </si>
  <si>
    <t>BOURBACH-LE-HAUT</t>
  </si>
  <si>
    <t>MANHAC</t>
  </si>
  <si>
    <t>SICCIEU-SAINT-JULIEN-ET-CARISIEU</t>
  </si>
  <si>
    <t>SAINT-PHAL</t>
  </si>
  <si>
    <t>SAINT-QUENTIN-LES-MARAIS</t>
  </si>
  <si>
    <t>ALBESTROFF</t>
  </si>
  <si>
    <t>MONTMIN</t>
  </si>
  <si>
    <t>PHALSBOURG</t>
  </si>
  <si>
    <t>DURFORT</t>
  </si>
  <si>
    <t>LIBAROS</t>
  </si>
  <si>
    <t>SAINT-GEYRAC</t>
  </si>
  <si>
    <t>MOUTONNE</t>
  </si>
  <si>
    <t>LE SOURD</t>
  </si>
  <si>
    <t>LANDEVIEILLE</t>
  </si>
  <si>
    <t>SAINT-LANNE</t>
  </si>
  <si>
    <t>ERCEVILLE</t>
  </si>
  <si>
    <t>FELINES</t>
  </si>
  <si>
    <t>TREMINIS</t>
  </si>
  <si>
    <t>LISTRAC-DE-DUREZE</t>
  </si>
  <si>
    <t>LACHAMBRE</t>
  </si>
  <si>
    <t>LES VILLEDIEU</t>
  </si>
  <si>
    <t>SOMMEILLES</t>
  </si>
  <si>
    <t>FRESNES-LES-MONTAUBAN</t>
  </si>
  <si>
    <t>PRASVILLE</t>
  </si>
  <si>
    <t>CAHAIGNES</t>
  </si>
  <si>
    <t>LA CHAPELLE-SOUEF</t>
  </si>
  <si>
    <t>91520</t>
  </si>
  <si>
    <t>EGLY</t>
  </si>
  <si>
    <t>HEUDREVILLE-SUR-EURE</t>
  </si>
  <si>
    <t>MAYAC</t>
  </si>
  <si>
    <t>BAZOCHES-LES-GALLERANDES</t>
  </si>
  <si>
    <t>27670</t>
  </si>
  <si>
    <t>LE BOSC-ROGER-EN-ROUMOIS</t>
  </si>
  <si>
    <t>L'HOTELLERIE-DE-FLEE</t>
  </si>
  <si>
    <t>LAUDREFANG</t>
  </si>
  <si>
    <t>LES TERRES-DE-CHAUX</t>
  </si>
  <si>
    <t>CHAMPVANS-LES-MOULINS</t>
  </si>
  <si>
    <t>SOUVIGNY-DE-TOURAINE</t>
  </si>
  <si>
    <t>CAMPESTRE-ET-LUC</t>
  </si>
  <si>
    <t>SAILLAGOUSE</t>
  </si>
  <si>
    <t>PREMANON</t>
  </si>
  <si>
    <t>56520</t>
  </si>
  <si>
    <t>GUIDEL</t>
  </si>
  <si>
    <t>SAINT-OUEN-D'AUNIS</t>
  </si>
  <si>
    <t>CHEVIGNY-SAINT-SAUVEUR</t>
  </si>
  <si>
    <t>SCIECQ</t>
  </si>
  <si>
    <t>MEZILLES</t>
  </si>
  <si>
    <t>45770</t>
  </si>
  <si>
    <t>SARAN</t>
  </si>
  <si>
    <t>ESQUIBIEN</t>
  </si>
  <si>
    <t>AUCALEUC</t>
  </si>
  <si>
    <t>ARRAINCOURT</t>
  </si>
  <si>
    <t>FOLLES</t>
  </si>
  <si>
    <t>BAR</t>
  </si>
  <si>
    <t>MONTMIRAT</t>
  </si>
  <si>
    <t>CHAMOUX-SUR-GELON</t>
  </si>
  <si>
    <t>L'ABERGEMENT-SAINTE-COLOMBE</t>
  </si>
  <si>
    <t>JARDIN</t>
  </si>
  <si>
    <t>BRAILLY-CORNEHOTTE</t>
  </si>
  <si>
    <t>JONCHERY-SUR-VESLE</t>
  </si>
  <si>
    <t>LANVEOC</t>
  </si>
  <si>
    <t>37550</t>
  </si>
  <si>
    <t>SAINT-AVERTIN</t>
  </si>
  <si>
    <t>HENRIVILLE</t>
  </si>
  <si>
    <t>THISE</t>
  </si>
  <si>
    <t>OBERROEDERN</t>
  </si>
  <si>
    <t>56470</t>
  </si>
  <si>
    <t>JABRUN</t>
  </si>
  <si>
    <t>LARIANS-ET-MUNANS</t>
  </si>
  <si>
    <t>CHARMAUVILLERS</t>
  </si>
  <si>
    <t>SOURCIEUX-LES-MINES</t>
  </si>
  <si>
    <t>NOISSEVILLE</t>
  </si>
  <si>
    <t>58600</t>
  </si>
  <si>
    <t>FOURCHAMBAULT</t>
  </si>
  <si>
    <t>MEILHAC</t>
  </si>
  <si>
    <t>SAINT-WITZ</t>
  </si>
  <si>
    <t>VANZAY</t>
  </si>
  <si>
    <t>LEPRON-LES-VALLEES</t>
  </si>
  <si>
    <t>SAINT-PAPOUL</t>
  </si>
  <si>
    <t>ORELLE</t>
  </si>
  <si>
    <t>RAMPIEUX</t>
  </si>
  <si>
    <t>SAINT-GERMAIN-DE-CLAIREFEUILLE</t>
  </si>
  <si>
    <t>SAINT-PAUL-CAP-DE-JOUX</t>
  </si>
  <si>
    <t>80570</t>
  </si>
  <si>
    <t>DARGNIES</t>
  </si>
  <si>
    <t>OYE-ET-PALLET</t>
  </si>
  <si>
    <t>30520</t>
  </si>
  <si>
    <t>SAINT-MARTIN-DE-VALGALGUES</t>
  </si>
  <si>
    <t>VOUECOURT</t>
  </si>
  <si>
    <t>GRANGES</t>
  </si>
  <si>
    <t>NOGENT-SUR-EURE</t>
  </si>
  <si>
    <t>JONZIER-EPAGNY</t>
  </si>
  <si>
    <t>DONZACQ</t>
  </si>
  <si>
    <t>BLESMES</t>
  </si>
  <si>
    <t>57840</t>
  </si>
  <si>
    <t>OTTANGE</t>
  </si>
  <si>
    <t>CASTELLET-LES-SAUSSES</t>
  </si>
  <si>
    <t>MONTCHABOUD</t>
  </si>
  <si>
    <t>TOTES</t>
  </si>
  <si>
    <t>MANCIOUX</t>
  </si>
  <si>
    <t>LONGCOCHON</t>
  </si>
  <si>
    <t>PLUFUR</t>
  </si>
  <si>
    <t>POUYLEBON</t>
  </si>
  <si>
    <t>CHAMPLAY</t>
  </si>
  <si>
    <t>LA CHAPELLE-FORTIN</t>
  </si>
  <si>
    <t>VILLETTE-D'ANTHON</t>
  </si>
  <si>
    <t>CAMPENEAC</t>
  </si>
  <si>
    <t>ANDREST</t>
  </si>
  <si>
    <t>HORDAIN</t>
  </si>
  <si>
    <t>ORIGNOLLES</t>
  </si>
  <si>
    <t>TESSONNIERE</t>
  </si>
  <si>
    <t>MONTCHENU</t>
  </si>
  <si>
    <t>SAINT-MARTIN-DE-LA-LIEUE</t>
  </si>
  <si>
    <t>URVILLE-NACQUEVILLE</t>
  </si>
  <si>
    <t>SAINT-SAUVEUR-SUR-ECOLE</t>
  </si>
  <si>
    <t>VALS-LE-CHASTEL</t>
  </si>
  <si>
    <t>COURGIS</t>
  </si>
  <si>
    <t>VIGNEULLES-LES-HATTONCHATEL</t>
  </si>
  <si>
    <t>GRIMONVILLER</t>
  </si>
  <si>
    <t>CUINZIER</t>
  </si>
  <si>
    <t>BAZOCHES-AU-HOULME</t>
  </si>
  <si>
    <t>BURGALAYS</t>
  </si>
  <si>
    <t>FRAMERVILLE-RAINECOURT</t>
  </si>
  <si>
    <t>SAINT-LUBIN-DE-CRAVANT</t>
  </si>
  <si>
    <t>2B306</t>
  </si>
  <si>
    <t>SANTA-LUCIA-DI-MERCURIO</t>
  </si>
  <si>
    <t>54390</t>
  </si>
  <si>
    <t>FROUARD</t>
  </si>
  <si>
    <t>28380</t>
  </si>
  <si>
    <t>SAINT-REMY-SUR-AVRE</t>
  </si>
  <si>
    <t>GRAULHET</t>
  </si>
  <si>
    <t>NOGENT-SUR-VERNISSON</t>
  </si>
  <si>
    <t>BOISSEROLLES</t>
  </si>
  <si>
    <t>BOUSSENAC</t>
  </si>
  <si>
    <t>VILLAR-LOUBIERE</t>
  </si>
  <si>
    <t>MARIGNAC-EN-DIOIS</t>
  </si>
  <si>
    <t>SAINT-PIERRE-TOIRAC</t>
  </si>
  <si>
    <t>ALLEMANS-DU-DROPT</t>
  </si>
  <si>
    <t>30133</t>
  </si>
  <si>
    <t>67130/67570</t>
  </si>
  <si>
    <t>LA BROQUE</t>
  </si>
  <si>
    <t>LA LIMOUZINIERE</t>
  </si>
  <si>
    <t>LES GRANDS-CHEZEAUX</t>
  </si>
  <si>
    <t>OISSERY</t>
  </si>
  <si>
    <t>LE COTEAU</t>
  </si>
  <si>
    <t>DEINVILLERS</t>
  </si>
  <si>
    <t>VAUX-SUR-EURE</t>
  </si>
  <si>
    <t>BLIGNY-LES-BEAUNE</t>
  </si>
  <si>
    <t>TERCIS-LES-BAINS</t>
  </si>
  <si>
    <t>FONTAINE-MACON</t>
  </si>
  <si>
    <t>ANTONNE-ET-TRIGONANT</t>
  </si>
  <si>
    <t>CHAPELLE-ROYALE</t>
  </si>
  <si>
    <t>CURLEY</t>
  </si>
  <si>
    <t>ENQUIN-LES-MINES</t>
  </si>
  <si>
    <t>SARRIAC-BIGORRE</t>
  </si>
  <si>
    <t>LARCAT</t>
  </si>
  <si>
    <t>FREMENIL</t>
  </si>
  <si>
    <t>NOUAILLE-MAUPERTUIS</t>
  </si>
  <si>
    <t>MARLEMONT</t>
  </si>
  <si>
    <t>SAINT-VENERAND</t>
  </si>
  <si>
    <t>59223</t>
  </si>
  <si>
    <t>RONCQ</t>
  </si>
  <si>
    <t>VYANS-LE-VAL</t>
  </si>
  <si>
    <t>CROLLON</t>
  </si>
  <si>
    <t>SAINT-LOUBERT</t>
  </si>
  <si>
    <t>PENNES-LE-SEC</t>
  </si>
  <si>
    <t>MONCE-EN-BELIN</t>
  </si>
  <si>
    <t>COURBESSEAUX</t>
  </si>
  <si>
    <t>50770</t>
  </si>
  <si>
    <t>PIROU</t>
  </si>
  <si>
    <t>ETRAPPE</t>
  </si>
  <si>
    <t>SAINT-ANDEOL-LE-CHATEAU</t>
  </si>
  <si>
    <t>CURCHY</t>
  </si>
  <si>
    <t>TRIAIZE</t>
  </si>
  <si>
    <t>LARROQUE-SAINT-SERNIN</t>
  </si>
  <si>
    <t>VIVEY</t>
  </si>
  <si>
    <t>POMPIERRE</t>
  </si>
  <si>
    <t>LACHAPELLE-SOUS-AUBENAS</t>
  </si>
  <si>
    <t>MELLERAY</t>
  </si>
  <si>
    <t>CRESSY</t>
  </si>
  <si>
    <t>DENEUILLE-LES-MINES</t>
  </si>
  <si>
    <t>LE BURET</t>
  </si>
  <si>
    <t>97233</t>
  </si>
  <si>
    <t>SCHOELCHER</t>
  </si>
  <si>
    <t>SAHORRE</t>
  </si>
  <si>
    <t>CAUSSOU</t>
  </si>
  <si>
    <t>PONTHOILE</t>
  </si>
  <si>
    <t>LE NOYER</t>
  </si>
  <si>
    <t>97140</t>
  </si>
  <si>
    <t>CAPESTERRE-DE-MARIE-GALANTE</t>
  </si>
  <si>
    <t>MORLHON-LE-HAUT</t>
  </si>
  <si>
    <t>GIRIVILLER</t>
  </si>
  <si>
    <t>PONTENX-LES-FORGES</t>
  </si>
  <si>
    <t>MORTAGNE-SUR-SEVRE</t>
  </si>
  <si>
    <t>BOUSBACH</t>
  </si>
  <si>
    <t>SAINT-QUENTIN-LES-BEAUREPAIRE</t>
  </si>
  <si>
    <t>SOULITRE</t>
  </si>
  <si>
    <t>FOUZILHON</t>
  </si>
  <si>
    <t>AMILLY</t>
  </si>
  <si>
    <t>JOUSSE</t>
  </si>
  <si>
    <t>RABOUILLET</t>
  </si>
  <si>
    <t>VASSINCOURT</t>
  </si>
  <si>
    <t>FRONTENARD</t>
  </si>
  <si>
    <t>HERMERAY</t>
  </si>
  <si>
    <t>MULHAUSEN</t>
  </si>
  <si>
    <t>THAON-LES-VOSGES</t>
  </si>
  <si>
    <t>TREMELOIR</t>
  </si>
  <si>
    <t>HEILIGENSTEIN</t>
  </si>
  <si>
    <t>WARDRECQUES</t>
  </si>
  <si>
    <t>CANAVEILLES</t>
  </si>
  <si>
    <t>HOUDELMONT</t>
  </si>
  <si>
    <t>VILLARS-ET-VILLENOTTE</t>
  </si>
  <si>
    <t>CHAUX-LES-PASSAVANT</t>
  </si>
  <si>
    <t>BISTEN-EN-LORRAINE</t>
  </si>
  <si>
    <t>SAINT-NABORD-SUR-AUBE</t>
  </si>
  <si>
    <t>SAINT-GERMAIN-SUR-RHONE</t>
  </si>
  <si>
    <t>BONS-EN-CHABLAIS</t>
  </si>
  <si>
    <t>84830</t>
  </si>
  <si>
    <t>SERIGNAN-DU-COMTAT</t>
  </si>
  <si>
    <t>LIEUVILLERS</t>
  </si>
  <si>
    <t>BULHON</t>
  </si>
  <si>
    <t>BEALCOURT</t>
  </si>
  <si>
    <t>GOUGENHEIM</t>
  </si>
  <si>
    <t>BAZIAN</t>
  </si>
  <si>
    <t>BAUZY</t>
  </si>
  <si>
    <t>60127</t>
  </si>
  <si>
    <t>MORIENVAL</t>
  </si>
  <si>
    <t>CROCHTE</t>
  </si>
  <si>
    <t>BERNEUIL-SUR-AISNE</t>
  </si>
  <si>
    <t>SAULCES-CHAMPENOISES</t>
  </si>
  <si>
    <t>2B343</t>
  </si>
  <si>
    <t>VENZOLASCA</t>
  </si>
  <si>
    <t>LLAURO</t>
  </si>
  <si>
    <t>SAINT-SEGAL</t>
  </si>
  <si>
    <t>MEILLERIE</t>
  </si>
  <si>
    <t>SAINT-GEORGES-EN-AUGE</t>
  </si>
  <si>
    <t>SAINT-JEAN-DES-ECHELLES</t>
  </si>
  <si>
    <t>SAINT-MEZARD</t>
  </si>
  <si>
    <t>VIOLS-LE-FORT</t>
  </si>
  <si>
    <t>LEZ-FONTAINE</t>
  </si>
  <si>
    <t>GEMMELAINCOURT</t>
  </si>
  <si>
    <t>RENAUVOID</t>
  </si>
  <si>
    <t>VEYRIGNAC</t>
  </si>
  <si>
    <t>HEZECQUES</t>
  </si>
  <si>
    <t>ROUVROY-SUR-MARNE</t>
  </si>
  <si>
    <t>NUARS</t>
  </si>
  <si>
    <t>62780</t>
  </si>
  <si>
    <t>CUCQ</t>
  </si>
  <si>
    <t>LE BARDON</t>
  </si>
  <si>
    <t>78710</t>
  </si>
  <si>
    <t>ROSNY-SUR-SEINE</t>
  </si>
  <si>
    <t>SIONIAC</t>
  </si>
  <si>
    <t>LAMILLARIE</t>
  </si>
  <si>
    <t>23420</t>
  </si>
  <si>
    <t>MERINCHAL</t>
  </si>
  <si>
    <t>FESTIGNY</t>
  </si>
  <si>
    <t>KLANG</t>
  </si>
  <si>
    <t>CRESTET</t>
  </si>
  <si>
    <t>POMMIER</t>
  </si>
  <si>
    <t>RIZAUCOURT-BUCHEY</t>
  </si>
  <si>
    <t>DEMIGNY</t>
  </si>
  <si>
    <t>LICQ-ATHEREY</t>
  </si>
  <si>
    <t>SAINT-AMAND-DE-VERGT</t>
  </si>
  <si>
    <t>ROQUEMAURE</t>
  </si>
  <si>
    <t>ISSERTEAUX</t>
  </si>
  <si>
    <t>AMY</t>
  </si>
  <si>
    <t>PONTCEY</t>
  </si>
  <si>
    <t>COUSANCE</t>
  </si>
  <si>
    <t>GLENOUZE</t>
  </si>
  <si>
    <t>SALAGNAC</t>
  </si>
  <si>
    <t>92110</t>
  </si>
  <si>
    <t>CLICHY</t>
  </si>
  <si>
    <t>80960</t>
  </si>
  <si>
    <t>SAINT-BLIMONT</t>
  </si>
  <si>
    <t>WALBOURG</t>
  </si>
  <si>
    <t>LUCGARIER</t>
  </si>
  <si>
    <t>CHANTONNAY</t>
  </si>
  <si>
    <t>CRIMOLOIS</t>
  </si>
  <si>
    <t>SAINT-ARNOULT-EN-YVELINES</t>
  </si>
  <si>
    <t>MENIL-ANNELLES</t>
  </si>
  <si>
    <t>SILLINGY</t>
  </si>
  <si>
    <t>BAYARD-SUR-MARNE</t>
  </si>
  <si>
    <t>BEAUPOUYET</t>
  </si>
  <si>
    <t>HOCHSTATT</t>
  </si>
  <si>
    <t>LONDINIERES</t>
  </si>
  <si>
    <t>GUITTE</t>
  </si>
  <si>
    <t>20127</t>
  </si>
  <si>
    <t>2A278</t>
  </si>
  <si>
    <t>SERRA-DI-SCOPAMENE</t>
  </si>
  <si>
    <t>LE BOULLAY-MIVOYE</t>
  </si>
  <si>
    <t>COULOUME-MONDEBAT</t>
  </si>
  <si>
    <t>THOIRAS</t>
  </si>
  <si>
    <t>BEAUVOIR-EN-LYONS</t>
  </si>
  <si>
    <t>SAINT-PIERRE-DES-ORMES</t>
  </si>
  <si>
    <t>LARGENTIERE</t>
  </si>
  <si>
    <t>SAINT-JEAN-DU-CORAIL</t>
  </si>
  <si>
    <t>LA FAJOLLE</t>
  </si>
  <si>
    <t>LA CHAPELLE-DES-POTS</t>
  </si>
  <si>
    <t>BEAUMETZ</t>
  </si>
  <si>
    <t>LE NEUBOURG</t>
  </si>
  <si>
    <t>VALGORGE</t>
  </si>
  <si>
    <t>FAY-DE-BRETAGNE</t>
  </si>
  <si>
    <t>ALLEGRE-LES-FUMADES</t>
  </si>
  <si>
    <t>SAINT-PANTALEON-DE-LARCHE</t>
  </si>
  <si>
    <t>SEYRESSE</t>
  </si>
  <si>
    <t>CHAVANNE</t>
  </si>
  <si>
    <t>LE MIROIR</t>
  </si>
  <si>
    <t>REFFROY</t>
  </si>
  <si>
    <t>MURON</t>
  </si>
  <si>
    <t>MEZIERES-SUR-PONTHOUIN</t>
  </si>
  <si>
    <t>GUIZERIX</t>
  </si>
  <si>
    <t>VIGNEUL-SOUS-MONTMEDY</t>
  </si>
  <si>
    <t>HANGEST-SUR-SOMME</t>
  </si>
  <si>
    <t>LA CAMBE</t>
  </si>
  <si>
    <t>SAINT-ANTOINE-DU-QUEYRET</t>
  </si>
  <si>
    <t>MUTZIG</t>
  </si>
  <si>
    <t>BOURSEUL</t>
  </si>
  <si>
    <t>18230</t>
  </si>
  <si>
    <t>SAINT-DOULCHARD</t>
  </si>
  <si>
    <t>ROSNAY-L'HOPITAL</t>
  </si>
  <si>
    <t>BARJOUVILLE</t>
  </si>
  <si>
    <t>COLLETOT</t>
  </si>
  <si>
    <t>CHAZILLY</t>
  </si>
  <si>
    <t>BRIE-ET-ANGONNES</t>
  </si>
  <si>
    <t>THAUMIERS</t>
  </si>
  <si>
    <t>SOUPPES-SUR-LOING</t>
  </si>
  <si>
    <t>SORCY-SAINT-MARTIN</t>
  </si>
  <si>
    <t>AMBIALET</t>
  </si>
  <si>
    <t>IDS-SAINT-ROCH</t>
  </si>
  <si>
    <t>GENAC</t>
  </si>
  <si>
    <t>TREMONZEY</t>
  </si>
  <si>
    <t>13840</t>
  </si>
  <si>
    <t>ROGNES</t>
  </si>
  <si>
    <t>BONLIEU</t>
  </si>
  <si>
    <t>LA CHAUSSEE-TIRANCOURT</t>
  </si>
  <si>
    <t>HEUDICOURT-SOUS-LES-COTES</t>
  </si>
  <si>
    <t>MAUREVILLE</t>
  </si>
  <si>
    <t>CORENC</t>
  </si>
  <si>
    <t>MASSINGY-LES-VITTEAUX</t>
  </si>
  <si>
    <t>VARENNES-SAINT-SAUVEUR</t>
  </si>
  <si>
    <t>SAIGNEVILLE</t>
  </si>
  <si>
    <t>SAINTE-SOLINE</t>
  </si>
  <si>
    <t>20248</t>
  </si>
  <si>
    <t>2B327</t>
  </si>
  <si>
    <t>TOMINO</t>
  </si>
  <si>
    <t>20251/20270</t>
  </si>
  <si>
    <t>2B201</t>
  </si>
  <si>
    <t>PANCHERACCIA</t>
  </si>
  <si>
    <t>38250</t>
  </si>
  <si>
    <t>LANS-EN-VERCORS</t>
  </si>
  <si>
    <t>PARGNY-LES-BOIS</t>
  </si>
  <si>
    <t>2A128</t>
  </si>
  <si>
    <t>GRANACE</t>
  </si>
  <si>
    <t>SAINT-MARTIN-DES-PEZERITS</t>
  </si>
  <si>
    <t>ROMILLE</t>
  </si>
  <si>
    <t>FREVENT</t>
  </si>
  <si>
    <t>SAINT-ANDRE-EN-ROYANS</t>
  </si>
  <si>
    <t>LIVET-SUR-AUTHOU</t>
  </si>
  <si>
    <t>LES HOUCHES</t>
  </si>
  <si>
    <t>SAINT-GROUX</t>
  </si>
  <si>
    <t>29640</t>
  </si>
  <si>
    <t>PLOUGONVEN</t>
  </si>
  <si>
    <t>34540</t>
  </si>
  <si>
    <t>BALARUC-LES-BAINS</t>
  </si>
  <si>
    <t>LES SAUVAGES</t>
  </si>
  <si>
    <t>BRAIZE</t>
  </si>
  <si>
    <t>VILLARD-SUR-BIENNE</t>
  </si>
  <si>
    <t>THOIRE-SUR-DINAN</t>
  </si>
  <si>
    <t>LILLEBONNE</t>
  </si>
  <si>
    <t>COUCY-LA-VILLE</t>
  </si>
  <si>
    <t>LE MESNIL-CONTEVILLE</t>
  </si>
  <si>
    <t>SAINT-ANDRE-D'APCHON</t>
  </si>
  <si>
    <t>BUTOT-VENESVILLE</t>
  </si>
  <si>
    <t>AMBARES-ET-LAGRAVE</t>
  </si>
  <si>
    <t>LOGNY-BOGNY</t>
  </si>
  <si>
    <t>LA HAUTE-MAISON</t>
  </si>
  <si>
    <t>40480</t>
  </si>
  <si>
    <t>VIEUX-BOUCAU-LES-BAINS</t>
  </si>
  <si>
    <t>PRADES-SUR-VERNAZOBRE</t>
  </si>
  <si>
    <t>CHATEAUPONSAC</t>
  </si>
  <si>
    <t>BEHAGNIES</t>
  </si>
  <si>
    <t>PUIVERT</t>
  </si>
  <si>
    <t>VITRY-LE-FRANCOIS</t>
  </si>
  <si>
    <t>LAPEYRERE</t>
  </si>
  <si>
    <t>COGOLIN</t>
  </si>
  <si>
    <t>PABU</t>
  </si>
  <si>
    <t>CHAMPCENEST</t>
  </si>
  <si>
    <t>ROGNON</t>
  </si>
  <si>
    <t>ROQUEFORT-SUR-SOULZON</t>
  </si>
  <si>
    <t>PLEUMEUR-BODOU</t>
  </si>
  <si>
    <t>LIMOUX</t>
  </si>
  <si>
    <t>BENQUE</t>
  </si>
  <si>
    <t>ECHENEVEX</t>
  </si>
  <si>
    <t>LA ROCHEGIRON</t>
  </si>
  <si>
    <t>JOUANCY</t>
  </si>
  <si>
    <t>LUZE</t>
  </si>
  <si>
    <t>VEBRE</t>
  </si>
  <si>
    <t>CHEZERY-FORENS</t>
  </si>
  <si>
    <t>WORMHOUT</t>
  </si>
  <si>
    <t>FONDREMAND</t>
  </si>
  <si>
    <t>SALSES-LE-CHATEAU</t>
  </si>
  <si>
    <t>AIRON-SAINT-VAAST</t>
  </si>
  <si>
    <t>FOURS-EN-VEXIN</t>
  </si>
  <si>
    <t>MANGLIEU</t>
  </si>
  <si>
    <t>SAINT-JEAN-DE-BLAIGNAC</t>
  </si>
  <si>
    <t>CAUNETTE-SUR-LAUQUET</t>
  </si>
  <si>
    <t>LE BAIZIL</t>
  </si>
  <si>
    <t>HARLY</t>
  </si>
  <si>
    <t>CHOUZY-SUR-CISSE</t>
  </si>
  <si>
    <t>BLERE</t>
  </si>
  <si>
    <t>TOTAINVILLE</t>
  </si>
  <si>
    <t>TILLOU</t>
  </si>
  <si>
    <t>GABIAN</t>
  </si>
  <si>
    <t>SAINT-GENOU</t>
  </si>
  <si>
    <t>VILLARS-EN-PONS</t>
  </si>
  <si>
    <t>ANGRIE</t>
  </si>
  <si>
    <t>SAINT-VINCENT-DE-REINS</t>
  </si>
  <si>
    <t>LE NEUFBOURG</t>
  </si>
  <si>
    <t>PINCE</t>
  </si>
  <si>
    <t>HATTENCOURT</t>
  </si>
  <si>
    <t>NAVES-PARMELAN</t>
  </si>
  <si>
    <t>LUSTAR</t>
  </si>
  <si>
    <t>ALLONNE</t>
  </si>
  <si>
    <t>SOMME-VESLE</t>
  </si>
  <si>
    <t>VELANNE</t>
  </si>
  <si>
    <t>SAULXURES-LES-BULGNEVILLE</t>
  </si>
  <si>
    <t>THIEMBRONNE</t>
  </si>
  <si>
    <t>POUSSAY</t>
  </si>
  <si>
    <t>SAINT-GERMAIN-BEAUPRE</t>
  </si>
  <si>
    <t>VALLANS</t>
  </si>
  <si>
    <t>PUISEUX-EN-RETZ</t>
  </si>
  <si>
    <t>HOUDREVILLE</t>
  </si>
  <si>
    <t>SAINT-SALVADOUR</t>
  </si>
  <si>
    <t>OUPIA</t>
  </si>
  <si>
    <t>SAINT-DIER-D'AUVERGNE</t>
  </si>
  <si>
    <t>FEROLLES</t>
  </si>
  <si>
    <t>VENDOME</t>
  </si>
  <si>
    <t>TAXENNE</t>
  </si>
  <si>
    <t>ROBERVAL</t>
  </si>
  <si>
    <t>TOURNANS</t>
  </si>
  <si>
    <t>VILLAROGER</t>
  </si>
  <si>
    <t>VILLERS-EN-OUCHE</t>
  </si>
  <si>
    <t>REGADES</t>
  </si>
  <si>
    <t>AIREL</t>
  </si>
  <si>
    <t>PRESLY</t>
  </si>
  <si>
    <t>BURNHAUPT-LE-BAS</t>
  </si>
  <si>
    <t>MARNANS</t>
  </si>
  <si>
    <t>MEUNG-SUR-LOIRE</t>
  </si>
  <si>
    <t>BAUBIGNY</t>
  </si>
  <si>
    <t>WANCOURT</t>
  </si>
  <si>
    <t>6790</t>
  </si>
  <si>
    <t>MALANCOURT</t>
  </si>
  <si>
    <t>PIERRE-BUFFIERE</t>
  </si>
  <si>
    <t>BIESLES</t>
  </si>
  <si>
    <t>BUISSY</t>
  </si>
  <si>
    <t>LONS</t>
  </si>
  <si>
    <t>CHAMPILLET</t>
  </si>
  <si>
    <t>FRAUENBERG</t>
  </si>
  <si>
    <t>SAINT-ANDRE-DE-ROSANS</t>
  </si>
  <si>
    <t>SERMENTIZON</t>
  </si>
  <si>
    <t>LE MESNIL-EN-THELLE</t>
  </si>
  <si>
    <t>BONNES</t>
  </si>
  <si>
    <t>MANCY</t>
  </si>
  <si>
    <t>SAIGUEDE</t>
  </si>
  <si>
    <t>ARFONS</t>
  </si>
  <si>
    <t>47320</t>
  </si>
  <si>
    <t>CLAIRAC</t>
  </si>
  <si>
    <t>COCHEREN</t>
  </si>
  <si>
    <t>PENIN</t>
  </si>
  <si>
    <t>ITTENHEIM</t>
  </si>
  <si>
    <t>VALEUIL</t>
  </si>
  <si>
    <t>SAINT-LOUP-GEANGES</t>
  </si>
  <si>
    <t>VIEIL-MOUTIER</t>
  </si>
  <si>
    <t>LUGNY-CHAMPAGNE</t>
  </si>
  <si>
    <t>SAINT-NICOLAS-DE-MACHERIN</t>
  </si>
  <si>
    <t>BELLENTRE</t>
  </si>
  <si>
    <t>LUCHY</t>
  </si>
  <si>
    <t>22950</t>
  </si>
  <si>
    <t>TREGUEUX</t>
  </si>
  <si>
    <t>AUXON-DESSUS</t>
  </si>
  <si>
    <t>NEUF-MESNIL</t>
  </si>
  <si>
    <t>TANCOIGNE</t>
  </si>
  <si>
    <t>JOUE-DU-PLAIN</t>
  </si>
  <si>
    <t>SALON-LA-TOUR</t>
  </si>
  <si>
    <t>EVIGNY</t>
  </si>
  <si>
    <t>PRADONS</t>
  </si>
  <si>
    <t>GASTES</t>
  </si>
  <si>
    <t>PRESSY</t>
  </si>
  <si>
    <t>GEYSSANS</t>
  </si>
  <si>
    <t>BESSAC</t>
  </si>
  <si>
    <t>60340</t>
  </si>
  <si>
    <t>VILLERS-SOUS-SAINT-LEU</t>
  </si>
  <si>
    <t>HERY</t>
  </si>
  <si>
    <t>HERM</t>
  </si>
  <si>
    <t>LES BATIES</t>
  </si>
  <si>
    <t>ESPRELS</t>
  </si>
  <si>
    <t>75013</t>
  </si>
  <si>
    <t>PARIS-13E-ARRONDISSEMENT</t>
  </si>
  <si>
    <t>MESSINCOURT</t>
  </si>
  <si>
    <t>GAILLAC</t>
  </si>
  <si>
    <t>POURCY</t>
  </si>
  <si>
    <t>MISSON</t>
  </si>
  <si>
    <t>VIERSAT</t>
  </si>
  <si>
    <t>MENIL-LEPINOIS</t>
  </si>
  <si>
    <t>PAREY-SOUS-MONTFORT</t>
  </si>
  <si>
    <t>CONDEZAYGUES</t>
  </si>
  <si>
    <t>BALADOU</t>
  </si>
  <si>
    <t>90850</t>
  </si>
  <si>
    <t>ESSERT</t>
  </si>
  <si>
    <t>VILLEMAREUIL</t>
  </si>
  <si>
    <t>MIRAMONT-SENSACQ</t>
  </si>
  <si>
    <t>SAINT-JEAN-LE-COMTAL</t>
  </si>
  <si>
    <t>SARTILLY</t>
  </si>
  <si>
    <t>CERSOT</t>
  </si>
  <si>
    <t>COURMEMIN</t>
  </si>
  <si>
    <t>DRINCHAM</t>
  </si>
  <si>
    <t>69290</t>
  </si>
  <si>
    <t>POLLIONNAY</t>
  </si>
  <si>
    <t>BUSSIARES</t>
  </si>
  <si>
    <t>MOUREUILLE</t>
  </si>
  <si>
    <t>MAGLAND</t>
  </si>
  <si>
    <t>RIVIERE</t>
  </si>
  <si>
    <t>SAINT-MARS-VIEUX-MAISONS</t>
  </si>
  <si>
    <t>EPINAY-SUR-ORGE</t>
  </si>
  <si>
    <t>ILLOIS</t>
  </si>
  <si>
    <t>MONGAILLARD</t>
  </si>
  <si>
    <t>NOTRE-DAME-D'ELLE</t>
  </si>
  <si>
    <t>SAVIGNAC-DE-NONTRON</t>
  </si>
  <si>
    <t>MANOM</t>
  </si>
  <si>
    <t>SAINTE-MAXIME</t>
  </si>
  <si>
    <t>SAINT-PRIEST-LA-MARCHE</t>
  </si>
  <si>
    <t>SAINT-HILAIRE-SUR-BENAIZE</t>
  </si>
  <si>
    <t>AX-LES-THERMES</t>
  </si>
  <si>
    <t>TRIZAY-LES-BONNEVAL</t>
  </si>
  <si>
    <t>LUQUET</t>
  </si>
  <si>
    <t>13460</t>
  </si>
  <si>
    <t>SAINTES-MARIES-DE-LA-MER</t>
  </si>
  <si>
    <t>LABASTIDE-D'ANJOU</t>
  </si>
  <si>
    <t>SANNES</t>
  </si>
  <si>
    <t>CROMARY</t>
  </si>
  <si>
    <t>MUZILLAC</t>
  </si>
  <si>
    <t>LE BUGUE</t>
  </si>
  <si>
    <t>QUINCEROT</t>
  </si>
  <si>
    <t>COURTHIEZY</t>
  </si>
  <si>
    <t>MONTREUX-CHATEAU</t>
  </si>
  <si>
    <t>DURDAT-LAREQUILLE</t>
  </si>
  <si>
    <t>BLOND</t>
  </si>
  <si>
    <t>TRUNGY</t>
  </si>
  <si>
    <t>AUTREY-LES-CERRE</t>
  </si>
  <si>
    <t>LANDANGE</t>
  </si>
  <si>
    <t>LE HORPS</t>
  </si>
  <si>
    <t>SAINT-GEORGES-DE-MONS</t>
  </si>
  <si>
    <t>ARLAY</t>
  </si>
  <si>
    <t>LA GOUTELLE</t>
  </si>
  <si>
    <t>93250</t>
  </si>
  <si>
    <t>VILLEMOMBLE</t>
  </si>
  <si>
    <t>SABRES</t>
  </si>
  <si>
    <t>FA</t>
  </si>
  <si>
    <t>WIGNICOURT</t>
  </si>
  <si>
    <t>BASSANNE</t>
  </si>
  <si>
    <t>THIERGEVILLE</t>
  </si>
  <si>
    <t>THORIGNY-SUR-MARNE</t>
  </si>
  <si>
    <t>EUP</t>
  </si>
  <si>
    <t>83240</t>
  </si>
  <si>
    <t>CAVALAIRE-SUR-MER</t>
  </si>
  <si>
    <t>GUIVRY</t>
  </si>
  <si>
    <t>BAX</t>
  </si>
  <si>
    <t>DOUVAINE</t>
  </si>
  <si>
    <t>SOUASTRE</t>
  </si>
  <si>
    <t>SAINT-GERMAIN-DU-SALEMBRE</t>
  </si>
  <si>
    <t>PROVENCHERES-LES-DARNEY</t>
  </si>
  <si>
    <t>NALZEN</t>
  </si>
  <si>
    <t>MAMETZ</t>
  </si>
  <si>
    <t>SUIZY-LE-FRANC</t>
  </si>
  <si>
    <t>SAINTE-FOY-LA-LONGUE</t>
  </si>
  <si>
    <t>SAINT-JULIEN-LES-METZ</t>
  </si>
  <si>
    <t>PUYSEGUR</t>
  </si>
  <si>
    <t>BIARD</t>
  </si>
  <si>
    <t>FRASNE-LES-MEULIERES</t>
  </si>
  <si>
    <t>CHANTERELLE</t>
  </si>
  <si>
    <t>BALLOTS</t>
  </si>
  <si>
    <t>SAILLY-LAURETTE</t>
  </si>
  <si>
    <t>SAINT-JEANVRIN</t>
  </si>
  <si>
    <t>SOUCIEU-EN-JARREST</t>
  </si>
  <si>
    <t>LES MOLUNES</t>
  </si>
  <si>
    <t>SAINT-JEAN-DE-LA-MOTTE</t>
  </si>
  <si>
    <t>HECTOMARE</t>
  </si>
  <si>
    <t>VAYLATS</t>
  </si>
  <si>
    <t>60260</t>
  </si>
  <si>
    <t>LAMORLAYE</t>
  </si>
  <si>
    <t>QUINCEY</t>
  </si>
  <si>
    <t>CHOQUEUSE-LES-BENARDS</t>
  </si>
  <si>
    <t>VALLERANGE</t>
  </si>
  <si>
    <t>PLOUARET</t>
  </si>
  <si>
    <t>COUBJOURS</t>
  </si>
  <si>
    <t>33320</t>
  </si>
  <si>
    <t>EYSINES</t>
  </si>
  <si>
    <t>54400</t>
  </si>
  <si>
    <t>COSNES-ET-ROMAIN</t>
  </si>
  <si>
    <t>SOUMONT-SAINT-QUENTIN</t>
  </si>
  <si>
    <t>CERBOIS</t>
  </si>
  <si>
    <t>BONNEUIL-LES-EAUX</t>
  </si>
  <si>
    <t>GIVET</t>
  </si>
  <si>
    <t>CHENEBIER</t>
  </si>
  <si>
    <t>SAUVAGNON</t>
  </si>
  <si>
    <t>RAHON</t>
  </si>
  <si>
    <t>BRUMATH</t>
  </si>
  <si>
    <t>CROUZET-MIGETTE</t>
  </si>
  <si>
    <t>CROIXRAULT</t>
  </si>
  <si>
    <t>MAREST-DAMPCOURT</t>
  </si>
  <si>
    <t>HOEVILLE</t>
  </si>
  <si>
    <t>BRETHENAY</t>
  </si>
  <si>
    <t>LA CHAPELLE-SAINT-SAUVEUR</t>
  </si>
  <si>
    <t>AUBIGNY-LA-RONCE</t>
  </si>
  <si>
    <t>MONTBRUN-LES-BAINS</t>
  </si>
  <si>
    <t>87000/87100/87280</t>
  </si>
  <si>
    <t>LIMOGES</t>
  </si>
  <si>
    <t>LA CHAPELLE-ANTHENAISE</t>
  </si>
  <si>
    <t>20227</t>
  </si>
  <si>
    <t>2B124</t>
  </si>
  <si>
    <t>GHISONI</t>
  </si>
  <si>
    <t>ORIEUX</t>
  </si>
  <si>
    <t>56650</t>
  </si>
  <si>
    <t>INZINZAC-LOCHRIST</t>
  </si>
  <si>
    <t>QUETTREVILLE-SUR-SIENNE</t>
  </si>
  <si>
    <t>SEMUR-EN-AUXOIS</t>
  </si>
  <si>
    <t>SOLLIES-PONT</t>
  </si>
  <si>
    <t>CANAPLES</t>
  </si>
  <si>
    <t>TRAMPOT</t>
  </si>
  <si>
    <t>PINAY</t>
  </si>
  <si>
    <t>BALGAU</t>
  </si>
  <si>
    <t>ETERVILLE</t>
  </si>
  <si>
    <t>NAUVIALE</t>
  </si>
  <si>
    <t>DOVILLE</t>
  </si>
  <si>
    <t>JOURGNAC</t>
  </si>
  <si>
    <t>PLOMION</t>
  </si>
  <si>
    <t>25111</t>
  </si>
  <si>
    <t>MONTGESOYE</t>
  </si>
  <si>
    <t>SAINT-MARC-A-FRONGIER</t>
  </si>
  <si>
    <t>LE HOMMET-D'ARTHENAY</t>
  </si>
  <si>
    <t>BAUGE</t>
  </si>
  <si>
    <t>CHATONRUPT-SOMMERMONT</t>
  </si>
  <si>
    <t>BROCOURT</t>
  </si>
  <si>
    <t>CELLE</t>
  </si>
  <si>
    <t>MEYZIEU</t>
  </si>
  <si>
    <t>AILLANT-SUR-THOLON</t>
  </si>
  <si>
    <t>SANVENSA</t>
  </si>
  <si>
    <t>JOUY-AUX-ARCHES</t>
  </si>
  <si>
    <t>SAINTE-HONORINE-DE-DUCY</t>
  </si>
  <si>
    <t>JOSNES</t>
  </si>
  <si>
    <t>MAINCY</t>
  </si>
  <si>
    <t>SIMENCOURT</t>
  </si>
  <si>
    <t>PLOUDANIEL</t>
  </si>
  <si>
    <t>SURRAIN</t>
  </si>
  <si>
    <t>JAU-DIGNAC-ET-LOIRAC</t>
  </si>
  <si>
    <t>DIEULIVOL</t>
  </si>
  <si>
    <t>BALLEDENT</t>
  </si>
  <si>
    <t>BRAN</t>
  </si>
  <si>
    <t>LAJO</t>
  </si>
  <si>
    <t>COURJEONNET</t>
  </si>
  <si>
    <t>SAINT-SERVANT</t>
  </si>
  <si>
    <t>ELBEUF</t>
  </si>
  <si>
    <t>LA TOUR-DU-CRIEU</t>
  </si>
  <si>
    <t>MALVIES</t>
  </si>
  <si>
    <t>BERTHEAUVILLE</t>
  </si>
  <si>
    <t>LOUVILLIERS-LES-PERCHE</t>
  </si>
  <si>
    <t>SARTON</t>
  </si>
  <si>
    <t>VINCELOTTES</t>
  </si>
  <si>
    <t>BONNEFAMILLE</t>
  </si>
  <si>
    <t>PUJOLS-SUR-CIRON</t>
  </si>
  <si>
    <t>DANNEMOIS</t>
  </si>
  <si>
    <t>LOCRONAN</t>
  </si>
  <si>
    <t>BAZAIGES</t>
  </si>
  <si>
    <t>GOURLIZON</t>
  </si>
  <si>
    <t>CABRIS</t>
  </si>
  <si>
    <t>95370</t>
  </si>
  <si>
    <t>MONTIGNY-LES-CORMEILLES</t>
  </si>
  <si>
    <t>BRUYERES</t>
  </si>
  <si>
    <t>LUE</t>
  </si>
  <si>
    <t>AUMALE</t>
  </si>
  <si>
    <t>SAINT-NIZIER-LE-DESERT</t>
  </si>
  <si>
    <t>BITSCHHOFFEN</t>
  </si>
  <si>
    <t>CADILLAC-EN-FRONSADAIS</t>
  </si>
  <si>
    <t>CARDET</t>
  </si>
  <si>
    <t>YVRENCH</t>
  </si>
  <si>
    <t>CASTELNAU-DE-GUERS</t>
  </si>
  <si>
    <t>LEUZE</t>
  </si>
  <si>
    <t>GLANGES</t>
  </si>
  <si>
    <t>SAINT-DIZIER-LEYRENNE</t>
  </si>
  <si>
    <t>LES ASPRES</t>
  </si>
  <si>
    <t>MOREY</t>
  </si>
  <si>
    <t>FERVAQUES</t>
  </si>
  <si>
    <t>SAINT-JEAN-D'ALCAPIES</t>
  </si>
  <si>
    <t>SAINT-PHILIPPE-D'AIGUILLE</t>
  </si>
  <si>
    <t>MONTAIGUT</t>
  </si>
  <si>
    <t>YONVAL</t>
  </si>
  <si>
    <t>PRALON</t>
  </si>
  <si>
    <t>LA FONTELAYE</t>
  </si>
  <si>
    <t>SAINT-REMY-L'HONORE</t>
  </si>
  <si>
    <t>AIRAINES</t>
  </si>
  <si>
    <t>15000/15250</t>
  </si>
  <si>
    <t>NAUCELLES</t>
  </si>
  <si>
    <t>BRETEAU</t>
  </si>
  <si>
    <t>SEVIGNY-LA-FORET</t>
  </si>
  <si>
    <t>LOUVILLE-LA-CHENARD</t>
  </si>
  <si>
    <t>ENTRECHAUX</t>
  </si>
  <si>
    <t>ASNIERES-SUR-BLOUR</t>
  </si>
  <si>
    <t>30740</t>
  </si>
  <si>
    <t>LE CAILAR</t>
  </si>
  <si>
    <t>SAUBOLE</t>
  </si>
  <si>
    <t>94360</t>
  </si>
  <si>
    <t>BRY-SUR-MARNE</t>
  </si>
  <si>
    <t>LACOUGOTTE-CADOUL</t>
  </si>
  <si>
    <t>HOMMARTING</t>
  </si>
  <si>
    <t>PARPEVILLE</t>
  </si>
  <si>
    <t>LA MOLE</t>
  </si>
  <si>
    <t>GRESSEY</t>
  </si>
  <si>
    <t>75012</t>
  </si>
  <si>
    <t>PARIS-12E-ARRONDISSEMENT</t>
  </si>
  <si>
    <t>VILLECOMTAL</t>
  </si>
  <si>
    <t>63112</t>
  </si>
  <si>
    <t>BLANZAT</t>
  </si>
  <si>
    <t>SAINT-AVIT-FRANDAT</t>
  </si>
  <si>
    <t>89690</t>
  </si>
  <si>
    <t>CHEROY</t>
  </si>
  <si>
    <t>ANDELNANS</t>
  </si>
  <si>
    <t>BRACIEUX</t>
  </si>
  <si>
    <t>SAINT-DIDIER-SOUS-AUBENAS</t>
  </si>
  <si>
    <t>GIVRAINES</t>
  </si>
  <si>
    <t>NOTRE-DAME-DE-LA-ROUVIERE</t>
  </si>
  <si>
    <t>FUMICHON</t>
  </si>
  <si>
    <t>SAINT-MICHEL-ESCALUS</t>
  </si>
  <si>
    <t>NESCUS</t>
  </si>
  <si>
    <t>ACHICOURT</t>
  </si>
  <si>
    <t>COLOMBY</t>
  </si>
  <si>
    <t>COLOMARS</t>
  </si>
  <si>
    <t>TOURLAVILLE</t>
  </si>
  <si>
    <t>VERTRIEU</t>
  </si>
  <si>
    <t>PFAFFENHEIM</t>
  </si>
  <si>
    <t>SAINT-AUBIN-DE-LUIGNE</t>
  </si>
  <si>
    <t>CHAMPDRAY</t>
  </si>
  <si>
    <t>SAINT-JOUVENT</t>
  </si>
  <si>
    <t>LIVAROT</t>
  </si>
  <si>
    <t>BILLY</t>
  </si>
  <si>
    <t>PEUTON</t>
  </si>
  <si>
    <t>CAZAUGITAT</t>
  </si>
  <si>
    <t>CANENS</t>
  </si>
  <si>
    <t>NEUVILLE-LES-VAUCOULEURS</t>
  </si>
  <si>
    <t>VILLEBERNY</t>
  </si>
  <si>
    <t>29233</t>
  </si>
  <si>
    <t>CLEDER</t>
  </si>
  <si>
    <t>VERGHEAS</t>
  </si>
  <si>
    <t>CHAUMOT</t>
  </si>
  <si>
    <t>MARTHILLE</t>
  </si>
  <si>
    <t>LA LANDE-PATRY</t>
  </si>
  <si>
    <t>MONTCHANIN</t>
  </si>
  <si>
    <t>LUGAN</t>
  </si>
  <si>
    <t>REZENTIERES</t>
  </si>
  <si>
    <t>LONGUESSE</t>
  </si>
  <si>
    <t>LA FORET-SUR-SEVRE</t>
  </si>
  <si>
    <t>GAILLARDBOIS-CRESSENVILLE</t>
  </si>
  <si>
    <t>BRENS</t>
  </si>
  <si>
    <t>MONCHAUX-SUR-ECAILLON</t>
  </si>
  <si>
    <t>QUEMPERVEN</t>
  </si>
  <si>
    <t>BAULNE-EN-BRIE</t>
  </si>
  <si>
    <t>CHARMES-SUR-RHONE</t>
  </si>
  <si>
    <t>SAINT-DENIS-LE-VETU</t>
  </si>
  <si>
    <t>LES HAYS</t>
  </si>
  <si>
    <t>VILLESEQUE-DES-CORBIERES</t>
  </si>
  <si>
    <t>ELISE-DAUCOURT</t>
  </si>
  <si>
    <t>VILLEVEQUE</t>
  </si>
  <si>
    <t>BISSEZEELE</t>
  </si>
  <si>
    <t>SAINT-PIERRE-D'IRUBE</t>
  </si>
  <si>
    <t>AULNOY-SUR-AUBE</t>
  </si>
  <si>
    <t>BEGAAR</t>
  </si>
  <si>
    <t>KERSAINT-PLABENNEC</t>
  </si>
  <si>
    <t>CASENEUVE</t>
  </si>
  <si>
    <t>44600</t>
  </si>
  <si>
    <t>TILLIERES-SUR-AVRE</t>
  </si>
  <si>
    <t>ECUREY-EN-VERDUNOIS</t>
  </si>
  <si>
    <t>88220</t>
  </si>
  <si>
    <t>RAON-AUX-BOIS</t>
  </si>
  <si>
    <t>SAINT-JEAN-SAINT-MAURICE-SUR-LOIRE</t>
  </si>
  <si>
    <t>CHEMILLI</t>
  </si>
  <si>
    <t>FRASNOY</t>
  </si>
  <si>
    <t>BEISSAT</t>
  </si>
  <si>
    <t>LACAPELLE-MARIVAL</t>
  </si>
  <si>
    <t>CHAUNAC</t>
  </si>
  <si>
    <t>HIRTZFELDEN</t>
  </si>
  <si>
    <t>ZEHNACKER</t>
  </si>
  <si>
    <t>MAGOAR</t>
  </si>
  <si>
    <t>COURLAC</t>
  </si>
  <si>
    <t>MONTMARAULT</t>
  </si>
  <si>
    <t>SAINT-PALAIS-DE-PHIOLIN</t>
  </si>
  <si>
    <t>FLOGNY-LA-CHAPELLE</t>
  </si>
  <si>
    <t>LAMNAY</t>
  </si>
  <si>
    <t>CONCOULES</t>
  </si>
  <si>
    <t>NEAUPHLE-LE-VIEUX</t>
  </si>
  <si>
    <t>SAILLY-AU-BOIS</t>
  </si>
  <si>
    <t>ATTIGNAT-ONCIN</t>
  </si>
  <si>
    <t>KOGENHEIM</t>
  </si>
  <si>
    <t>TENNIE</t>
  </si>
  <si>
    <t>OROIX</t>
  </si>
  <si>
    <t>MALLEON</t>
  </si>
  <si>
    <t>91280</t>
  </si>
  <si>
    <t>SAINT-PIERRE-DU-PERRAY</t>
  </si>
  <si>
    <t>MONMARVES</t>
  </si>
  <si>
    <t>MONTMEDY</t>
  </si>
  <si>
    <t>77115</t>
  </si>
  <si>
    <t>BLANDY</t>
  </si>
  <si>
    <t>43210</t>
  </si>
  <si>
    <t>MALVALETTE</t>
  </si>
  <si>
    <t>MONTOIRE-SUR-LE-LOIR</t>
  </si>
  <si>
    <t>OBERNAI</t>
  </si>
  <si>
    <t>COATREVEN</t>
  </si>
  <si>
    <t>MATOUR</t>
  </si>
  <si>
    <t>VILLERS-SUR-PORT</t>
  </si>
  <si>
    <t>JALESCHES</t>
  </si>
  <si>
    <t>SAINT-HILAIRE-DE-LA-NOAILLE</t>
  </si>
  <si>
    <t>SINSAT</t>
  </si>
  <si>
    <t>RIMONS</t>
  </si>
  <si>
    <t>FLOURENS</t>
  </si>
  <si>
    <t>SAINTE-REINE-DE-BRETAGNE</t>
  </si>
  <si>
    <t>GERCOURT-ET-DRILLANCOURT</t>
  </si>
  <si>
    <t>20121</t>
  </si>
  <si>
    <t>2A259</t>
  </si>
  <si>
    <t>REZZA</t>
  </si>
  <si>
    <t>ARANDAS</t>
  </si>
  <si>
    <t>GARRIGUES-SAINTE-EULALIE</t>
  </si>
  <si>
    <t>MANSAT-LA-COURRIERE</t>
  </si>
  <si>
    <t>REDANGE</t>
  </si>
  <si>
    <t>97340</t>
  </si>
  <si>
    <t>GRAND-SANTI</t>
  </si>
  <si>
    <t>ORMOY-VILLERS</t>
  </si>
  <si>
    <t>ANNEVILLE-EN-SAIRE</t>
  </si>
  <si>
    <t>FRIESEN</t>
  </si>
  <si>
    <t>29500</t>
  </si>
  <si>
    <t>ERGUE-GABERIC</t>
  </si>
  <si>
    <t>MEZE</t>
  </si>
  <si>
    <t>LUSSAS-ET-NONTRONNEAU</t>
  </si>
  <si>
    <t>MONCAUT</t>
  </si>
  <si>
    <t>ARGENTAT</t>
  </si>
  <si>
    <t>FONTANIERES</t>
  </si>
  <si>
    <t>LEZAN</t>
  </si>
  <si>
    <t>CERRE-LES-NOROY</t>
  </si>
  <si>
    <t>BOUFFRY</t>
  </si>
  <si>
    <t>LESSE</t>
  </si>
  <si>
    <t>66670</t>
  </si>
  <si>
    <t>SAUQUEVILLE</t>
  </si>
  <si>
    <t>BARGNY</t>
  </si>
  <si>
    <t>LES PLANS</t>
  </si>
  <si>
    <t>LEGNY</t>
  </si>
  <si>
    <t>OMMOY</t>
  </si>
  <si>
    <t>PASSIRAC</t>
  </si>
  <si>
    <t>2A266</t>
  </si>
  <si>
    <t>SALICE</t>
  </si>
  <si>
    <t>67810</t>
  </si>
  <si>
    <t>HOLTZHEIM</t>
  </si>
  <si>
    <t>BETCHAT</t>
  </si>
  <si>
    <t>66560</t>
  </si>
  <si>
    <t>ORTAFFA</t>
  </si>
  <si>
    <t>LUCQUY</t>
  </si>
  <si>
    <t>ENGLEBELMER</t>
  </si>
  <si>
    <t>CALLAC</t>
  </si>
  <si>
    <t>CRUGEY</t>
  </si>
  <si>
    <t>LA PETITE-FOSSE</t>
  </si>
  <si>
    <t>CHAPELLE-GUILLAUME</t>
  </si>
  <si>
    <t>DIONS</t>
  </si>
  <si>
    <t>LABROQUERE</t>
  </si>
  <si>
    <t>LESTRE</t>
  </si>
  <si>
    <t>SAINT-SYMPHORIEN-DE-MAHUN</t>
  </si>
  <si>
    <t>DARGOIRE</t>
  </si>
  <si>
    <t>SOGNY-AUX-MOULINS</t>
  </si>
  <si>
    <t>VAUDEVANT</t>
  </si>
  <si>
    <t>VILLERS-PATER</t>
  </si>
  <si>
    <t>MATOUGUES</t>
  </si>
  <si>
    <t>VIEILLE-TOULOUSE</t>
  </si>
  <si>
    <t>LES TOURREILLES</t>
  </si>
  <si>
    <t>BOUVELLEMONT</t>
  </si>
  <si>
    <t>COURTEIX</t>
  </si>
  <si>
    <t>LE PUY-EN-VELAY</t>
  </si>
  <si>
    <t>2B063</t>
  </si>
  <si>
    <t>CARCHETO-BRUSTICO</t>
  </si>
  <si>
    <t>FAREBERSVILLER</t>
  </si>
  <si>
    <t>SAINT-PHILBERT-SUR-RISLE</t>
  </si>
  <si>
    <t>RADONVILLIERS</t>
  </si>
  <si>
    <t>SAINT-GERMAIN-DES-GROIS</t>
  </si>
  <si>
    <t>AUTHIEUX-RATIEVILLE</t>
  </si>
  <si>
    <t>56610</t>
  </si>
  <si>
    <t>ARRADON</t>
  </si>
  <si>
    <t>63370</t>
  </si>
  <si>
    <t>LEMPDES</t>
  </si>
  <si>
    <t>ASTON</t>
  </si>
  <si>
    <t>SAINT-GEORGES-DE-LA-COUEE</t>
  </si>
  <si>
    <t>BALSCHWILLER</t>
  </si>
  <si>
    <t>POUZOLS-MINERVOIS</t>
  </si>
  <si>
    <t>BOULIGNEUX</t>
  </si>
  <si>
    <t>AYZAC-OST</t>
  </si>
  <si>
    <t>BEAUCOURT-SUR-L'ANCRE</t>
  </si>
  <si>
    <t>AULNAT</t>
  </si>
  <si>
    <t>2B030</t>
  </si>
  <si>
    <t>BARRETTALI</t>
  </si>
  <si>
    <t>LA COMELLE</t>
  </si>
  <si>
    <t>MONTAGNA-LE-TEMPLIER</t>
  </si>
  <si>
    <t>LA VACQUERIE-ET-SAINT-MARTIN-DE-CASTRIES</t>
  </si>
  <si>
    <t>VIELLENAVE-D'ARTHEZ</t>
  </si>
  <si>
    <t>BLOSVILLE</t>
  </si>
  <si>
    <t>VENSAT</t>
  </si>
  <si>
    <t>89470</t>
  </si>
  <si>
    <t>MONETEAU</t>
  </si>
  <si>
    <t>CHAUDEFONTAINE</t>
  </si>
  <si>
    <t>BOISSY-LE-CHATEL</t>
  </si>
  <si>
    <t>GIVRAND</t>
  </si>
  <si>
    <t>SAINT-NAZAIRE-DE-LADAREZ</t>
  </si>
  <si>
    <t>BREEL</t>
  </si>
  <si>
    <t>94230</t>
  </si>
  <si>
    <t>CACHAN</t>
  </si>
  <si>
    <t>GESTIES</t>
  </si>
  <si>
    <t>SAINT-PARDOUX-LE-NEUF</t>
  </si>
  <si>
    <t>BADINIERES</t>
  </si>
  <si>
    <t>CURTAFOND</t>
  </si>
  <si>
    <t>LA SALLE-DE-VIHIERS</t>
  </si>
  <si>
    <t>ARROUT</t>
  </si>
  <si>
    <t>COMMEQUIERS</t>
  </si>
  <si>
    <t>PRADES-D'AUBRAC</t>
  </si>
  <si>
    <t>NOGENT-LES-MONTBARD</t>
  </si>
  <si>
    <t>MONTCUQ</t>
  </si>
  <si>
    <t>THENIOUX</t>
  </si>
  <si>
    <t>MAILLOT</t>
  </si>
  <si>
    <t>VASSENS</t>
  </si>
  <si>
    <t>SAINT-PIAT</t>
  </si>
  <si>
    <t>ANETZ</t>
  </si>
  <si>
    <t>AUGERANS</t>
  </si>
  <si>
    <t>SALLEN</t>
  </si>
  <si>
    <t>SAINT-SAUVANT</t>
  </si>
  <si>
    <t>SAINT-VIVIEN-DE-MEDOC</t>
  </si>
  <si>
    <t>SAINT-MARTIN-SUR-OCRE</t>
  </si>
  <si>
    <t>FELINES-TERMENES</t>
  </si>
  <si>
    <t>BAERENTHAL</t>
  </si>
  <si>
    <t>VEULETTES-SUR-MER</t>
  </si>
  <si>
    <t>SAVIANGES</t>
  </si>
  <si>
    <t>SAINT-JULIEN-DES-CHAZES</t>
  </si>
  <si>
    <t>PARLEBOSCQ</t>
  </si>
  <si>
    <t>CALMELS-ET-LE-VIALA</t>
  </si>
  <si>
    <t>AUTHOISON</t>
  </si>
  <si>
    <t>WELLES-PERENNES</t>
  </si>
  <si>
    <t>MIGRE</t>
  </si>
  <si>
    <t>SEREVILLERS</t>
  </si>
  <si>
    <t>ETIVAL-CLAIREFONTAINE</t>
  </si>
  <si>
    <t>GAREIN</t>
  </si>
  <si>
    <t>CHICHEY</t>
  </si>
  <si>
    <t>AURADE</t>
  </si>
  <si>
    <t>THIEVILLE</t>
  </si>
  <si>
    <t>SABLET</t>
  </si>
  <si>
    <t>PUIMISSON</t>
  </si>
  <si>
    <t>SAINT-GOURGON</t>
  </si>
  <si>
    <t>THIMERT-GATELLES</t>
  </si>
  <si>
    <t>AURIMONT</t>
  </si>
  <si>
    <t>15260</t>
  </si>
  <si>
    <t>ORADOUR</t>
  </si>
  <si>
    <t>ARBIGNIEU</t>
  </si>
  <si>
    <t>72460</t>
  </si>
  <si>
    <t>SILLE-LE-PHILIPPE</t>
  </si>
  <si>
    <t>ROULLEE</t>
  </si>
  <si>
    <t>VIMORY</t>
  </si>
  <si>
    <t>DOZULE</t>
  </si>
  <si>
    <t>LANCHES-SAINT-HILAIRE</t>
  </si>
  <si>
    <t>SAINT-JULIEN-D'ODDES</t>
  </si>
  <si>
    <t>LUSIGNAC</t>
  </si>
  <si>
    <t>HERBAULT</t>
  </si>
  <si>
    <t>CHATEAU-VILLE-VIEILLE</t>
  </si>
  <si>
    <t>5330</t>
  </si>
  <si>
    <t>SAINT-CHAFFREY</t>
  </si>
  <si>
    <t>GRANDFONTAINE-SUR-CREUSE</t>
  </si>
  <si>
    <t>MAILLY</t>
  </si>
  <si>
    <t>SAINT-CARADEC-TREGOMEL</t>
  </si>
  <si>
    <t>VACQUERIE-LE-BOUCQ</t>
  </si>
  <si>
    <t>13115</t>
  </si>
  <si>
    <t>SAINT-PAUL-LES-DURANCE</t>
  </si>
  <si>
    <t>TREFFORT</t>
  </si>
  <si>
    <t>14840</t>
  </si>
  <si>
    <t>DEMOUVILLE</t>
  </si>
  <si>
    <t>58340</t>
  </si>
  <si>
    <t>CERCY-LA-TOUR</t>
  </si>
  <si>
    <t>NEUVILLEY</t>
  </si>
  <si>
    <t>CAZENEUVE-MONTAUT</t>
  </si>
  <si>
    <t>MUREILS</t>
  </si>
  <si>
    <t>ARRONNES</t>
  </si>
  <si>
    <t>BAZEMONT</t>
  </si>
  <si>
    <t>FREISSINIERES</t>
  </si>
  <si>
    <t>FONTAINE-HEUDEBOURG</t>
  </si>
  <si>
    <t>CLINCHAMP</t>
  </si>
  <si>
    <t>MARMOUTIER</t>
  </si>
  <si>
    <t>FRETOY</t>
  </si>
  <si>
    <t>NEUVY-PAILLOUX</t>
  </si>
  <si>
    <t>BOUDY-DE-BEAUREGARD</t>
  </si>
  <si>
    <t>INGRANDES-DE-TOURAINE</t>
  </si>
  <si>
    <t>48340</t>
  </si>
  <si>
    <t>LES HERMAUX</t>
  </si>
  <si>
    <t>ESBOZ-BREST</t>
  </si>
  <si>
    <t>SEVIGNY-WALEPPE</t>
  </si>
  <si>
    <t>LA POMMERAIE-SUR-SEVRE</t>
  </si>
  <si>
    <t>LOUDEAC</t>
  </si>
  <si>
    <t>AIGUEPERSE</t>
  </si>
  <si>
    <t>FLUMET</t>
  </si>
  <si>
    <t>82440</t>
  </si>
  <si>
    <t>CAYRAC</t>
  </si>
  <si>
    <t>SAINT-OUEN-SUR-MAIRE</t>
  </si>
  <si>
    <t>AIGLEVILLE</t>
  </si>
  <si>
    <t>MISSERY</t>
  </si>
  <si>
    <t>30480</t>
  </si>
  <si>
    <t>CENDRAS</t>
  </si>
  <si>
    <t>SORMERY</t>
  </si>
  <si>
    <t>MONTNER</t>
  </si>
  <si>
    <t>FALEYRAS</t>
  </si>
  <si>
    <t>MEUSNES</t>
  </si>
  <si>
    <t>FRUGERES-LES-MINES</t>
  </si>
  <si>
    <t>CEAUCE</t>
  </si>
  <si>
    <t>BEUZEVILLE-AU-PLAIN</t>
  </si>
  <si>
    <t>LUNAS</t>
  </si>
  <si>
    <t>AIX</t>
  </si>
  <si>
    <t>78400</t>
  </si>
  <si>
    <t>CHATOU</t>
  </si>
  <si>
    <t>SAINT-LAURENT-DE-BELZAGOT</t>
  </si>
  <si>
    <t>XANTON-CHASSENON</t>
  </si>
  <si>
    <t>ROCHES</t>
  </si>
  <si>
    <t>VALLIERE</t>
  </si>
  <si>
    <t>LANDECOURT</t>
  </si>
  <si>
    <t>CONTZ-LES-BAINS</t>
  </si>
  <si>
    <t>27690</t>
  </si>
  <si>
    <t>SOMBRUN</t>
  </si>
  <si>
    <t>GUDMONT-VILLIERS</t>
  </si>
  <si>
    <t>ARRAST-LARREBIEU</t>
  </si>
  <si>
    <t>LA CHAMBONIE</t>
  </si>
  <si>
    <t>GOUHENANS</t>
  </si>
  <si>
    <t>BUIGNY-LES-GAMACHES</t>
  </si>
  <si>
    <t>ARTHAZ-PONT-NOTRE-DAME</t>
  </si>
  <si>
    <t>BROUCKERQUE</t>
  </si>
  <si>
    <t>VALLIGUIERES</t>
  </si>
  <si>
    <t>GUEBENHOUSE</t>
  </si>
  <si>
    <t>LA BESSEYRE-SAINT-MARY</t>
  </si>
  <si>
    <t>BLESSONVILLE</t>
  </si>
  <si>
    <t>CAILLOUX-SUR-FONTAINES</t>
  </si>
  <si>
    <t>IZERON</t>
  </si>
  <si>
    <t>SAINT-SYLVESTRE-PRAGOULIN</t>
  </si>
  <si>
    <t>CHATILLON-SUR-MORIN</t>
  </si>
  <si>
    <t>MISSE</t>
  </si>
  <si>
    <t>17111</t>
  </si>
  <si>
    <t>LOIX</t>
  </si>
  <si>
    <t>BARROU</t>
  </si>
  <si>
    <t>AVAJAN</t>
  </si>
  <si>
    <t>CHARME</t>
  </si>
  <si>
    <t>DAMPIERRE-SOUS-BOUHY</t>
  </si>
  <si>
    <t>FORNEX</t>
  </si>
  <si>
    <t>SAUSSAY-LA-CAMPAGNE</t>
  </si>
  <si>
    <t>TAYRAC</t>
  </si>
  <si>
    <t>CLOUE</t>
  </si>
  <si>
    <t>SACY-LE-GRAND</t>
  </si>
  <si>
    <t>78560</t>
  </si>
  <si>
    <t>LE PORT-MARLY</t>
  </si>
  <si>
    <t>CHAREIL-CINTRAT</t>
  </si>
  <si>
    <t>30490</t>
  </si>
  <si>
    <t>MONTFRIN</t>
  </si>
  <si>
    <t>VALLANT-SAINT-GEORGES</t>
  </si>
  <si>
    <t>PIGNAN</t>
  </si>
  <si>
    <t>DIEUZE</t>
  </si>
  <si>
    <t>VERNIOZ</t>
  </si>
  <si>
    <t>LIOUC</t>
  </si>
  <si>
    <t>SAINT-ANDRE-DE-BOHON</t>
  </si>
  <si>
    <t>DANNEMARIE-SUR-CRETE</t>
  </si>
  <si>
    <t>LOPEREC</t>
  </si>
  <si>
    <t>THERDONNE</t>
  </si>
  <si>
    <t>MAGENTA</t>
  </si>
  <si>
    <t>JONQUERETS-DE-LIVET</t>
  </si>
  <si>
    <t>TARDETS-SORHOLUS</t>
  </si>
  <si>
    <t>VEILHES</t>
  </si>
  <si>
    <t>PERET-BEL-AIR</t>
  </si>
  <si>
    <t>AUSSEVIELLE</t>
  </si>
  <si>
    <t>CHAUVRY</t>
  </si>
  <si>
    <t>LAPEYRUGUE</t>
  </si>
  <si>
    <t>13750</t>
  </si>
  <si>
    <t>PLAN-D'ORGON</t>
  </si>
  <si>
    <t>ROUFFILHAC</t>
  </si>
  <si>
    <t>SAINT-DIZIER-L'EVEQUE</t>
  </si>
  <si>
    <t>95200</t>
  </si>
  <si>
    <t>SARCELLES</t>
  </si>
  <si>
    <t>NOTRE-DAME-DE-LIVAYE</t>
  </si>
  <si>
    <t>CHERY-LES-POUILLY</t>
  </si>
  <si>
    <t>ETRAYE</t>
  </si>
  <si>
    <t>LE BRUSQUET</t>
  </si>
  <si>
    <t>SILLERY</t>
  </si>
  <si>
    <t>MESLAN</t>
  </si>
  <si>
    <t>PRIVAS</t>
  </si>
  <si>
    <t>COUSSAC-BONNEVAL</t>
  </si>
  <si>
    <t>SUIN</t>
  </si>
  <si>
    <t>QUINTENAS</t>
  </si>
  <si>
    <t>SAMOUILLAN</t>
  </si>
  <si>
    <t>FORGUES</t>
  </si>
  <si>
    <t>YZOSSE</t>
  </si>
  <si>
    <t>LANET</t>
  </si>
  <si>
    <t>SAINT-ETIENNE-DE-FOUGERES</t>
  </si>
  <si>
    <t>CHARRAS</t>
  </si>
  <si>
    <t>CONCHIL-LE-TEMPLE</t>
  </si>
  <si>
    <t>VILLEBOUT</t>
  </si>
  <si>
    <t>LE MARTINET</t>
  </si>
  <si>
    <t>ESPERAUSSES</t>
  </si>
  <si>
    <t>BOYNES</t>
  </si>
  <si>
    <t>REVEST-LES-ROCHES</t>
  </si>
  <si>
    <t>BOGEVE</t>
  </si>
  <si>
    <t>LONGNY-AU-PERCHE</t>
  </si>
  <si>
    <t>HEIDWILLER</t>
  </si>
  <si>
    <t>59292</t>
  </si>
  <si>
    <t>SAINT-HILAIRE-LEZ-CAMBRAI</t>
  </si>
  <si>
    <t>IFFENDIC</t>
  </si>
  <si>
    <t>MIGNIERES</t>
  </si>
  <si>
    <t>VAIRE-SOUS-CORBIE</t>
  </si>
  <si>
    <t>SAINT-PIERRE-D'AUTILS</t>
  </si>
  <si>
    <t>JORXEY</t>
  </si>
  <si>
    <t>UZEMAIN</t>
  </si>
  <si>
    <t>VIEIL-HESDIN</t>
  </si>
  <si>
    <t>SAINT-CHRISTOPHE-DU-JAMBET</t>
  </si>
  <si>
    <t>43110</t>
  </si>
  <si>
    <t>AUREC-SUR-LOIRE</t>
  </si>
  <si>
    <t>LE THOUREIL</t>
  </si>
  <si>
    <t>MAYENNE</t>
  </si>
  <si>
    <t>PASQUES</t>
  </si>
  <si>
    <t>SAINT-ETIENNE-DE-CHOMEIL</t>
  </si>
  <si>
    <t>2A027</t>
  </si>
  <si>
    <t>AZZANA</t>
  </si>
  <si>
    <t>AUGAN</t>
  </si>
  <si>
    <t>BIDON</t>
  </si>
  <si>
    <t>GONDRECOURT-AIX</t>
  </si>
  <si>
    <t>HAMBERS</t>
  </si>
  <si>
    <t>NERS</t>
  </si>
  <si>
    <t>DOUVRES</t>
  </si>
  <si>
    <t>BEAUVEZER</t>
  </si>
  <si>
    <t>ALLOUVILLE-BELLEFOSSE</t>
  </si>
  <si>
    <t>BARBUISE</t>
  </si>
  <si>
    <t>BRIEL-SUR-BARSE</t>
  </si>
  <si>
    <t>SAINT-GEORGES-SUR-BAULCHE</t>
  </si>
  <si>
    <t>SAINT-LUBIN-DE-LA-HAYE</t>
  </si>
  <si>
    <t>BRIENNE-SUR-AISNE</t>
  </si>
  <si>
    <t>SAINT-AME</t>
  </si>
  <si>
    <t>ISSY-L'EVEQUE</t>
  </si>
  <si>
    <t>SAINT-JULIEN-DE-LA-NEF</t>
  </si>
  <si>
    <t>PEROUSE</t>
  </si>
  <si>
    <t>RAEDERSHEIM</t>
  </si>
  <si>
    <t>SAINT-SYMPHORIEN-DES-BOIS</t>
  </si>
  <si>
    <t>VANZY</t>
  </si>
  <si>
    <t>LABASTIDE-DU-VERT</t>
  </si>
  <si>
    <t>VILLEFARGEAU</t>
  </si>
  <si>
    <t>VIREAUX</t>
  </si>
  <si>
    <t>PUILBOREAU</t>
  </si>
  <si>
    <t>CETTE-EYGUN</t>
  </si>
  <si>
    <t>SAUVAGNY</t>
  </si>
  <si>
    <t>SAINT-FIRMIN-DES-PRES</t>
  </si>
  <si>
    <t>42920</t>
  </si>
  <si>
    <t>CHALMAZEL</t>
  </si>
  <si>
    <t>VILLARD-SALLET</t>
  </si>
  <si>
    <t>MAUPERTHUIS</t>
  </si>
  <si>
    <t>GRESY-SUR-AIX</t>
  </si>
  <si>
    <t>SAINT-BAZILE-DE-LA-ROCHE</t>
  </si>
  <si>
    <t>SAINT-BENIN</t>
  </si>
  <si>
    <t>83780</t>
  </si>
  <si>
    <t>FLAYOSC</t>
  </si>
  <si>
    <t>CIVAUX</t>
  </si>
  <si>
    <t>2B020</t>
  </si>
  <si>
    <t>AREGNO</t>
  </si>
  <si>
    <t>PEUMERIT-QUINTIN</t>
  </si>
  <si>
    <t>MARTILLAC</t>
  </si>
  <si>
    <t>SAINT-LAURE</t>
  </si>
  <si>
    <t>GRUGIES</t>
  </si>
  <si>
    <t>BANCOURT</t>
  </si>
  <si>
    <t>SAINT-BONNOT</t>
  </si>
  <si>
    <t>L'HOPITAL-LE-GRAND</t>
  </si>
  <si>
    <t>VARENNES-LES-NARCY</t>
  </si>
  <si>
    <t>COURMANGOUX</t>
  </si>
  <si>
    <t>DEMANGE-AUX-EAUX</t>
  </si>
  <si>
    <t>2B260</t>
  </si>
  <si>
    <t>RIVENTOSA</t>
  </si>
  <si>
    <t>TURGY</t>
  </si>
  <si>
    <t>NAILLOUX</t>
  </si>
  <si>
    <t>ORUS</t>
  </si>
  <si>
    <t>VAL-D'ORNAIN</t>
  </si>
  <si>
    <t>SAINT-MARTIN-DE-SAINT-MAIXENT</t>
  </si>
  <si>
    <t>ASPACH</t>
  </si>
  <si>
    <t>LES SALLES</t>
  </si>
  <si>
    <t>CHAUFFOURS</t>
  </si>
  <si>
    <t>AUBAREDE</t>
  </si>
  <si>
    <t>LA FERRIERE-EN-PARTHENAY</t>
  </si>
  <si>
    <t>FROMONT</t>
  </si>
  <si>
    <t>SAINT-GENIEZ-O-MERLE</t>
  </si>
  <si>
    <t>LE GAULT-SOIGNY</t>
  </si>
  <si>
    <t>LES VIGNEAUX</t>
  </si>
  <si>
    <t>POMMIERS-MOULONS</t>
  </si>
  <si>
    <t>BACHIVILLERS</t>
  </si>
  <si>
    <t>JAMETZ</t>
  </si>
  <si>
    <t>FREIX-ANGLARDS</t>
  </si>
  <si>
    <t>BONNINGUES-LES-CALAIS</t>
  </si>
  <si>
    <t>95840</t>
  </si>
  <si>
    <t>VILLIERS-ADAM</t>
  </si>
  <si>
    <t>91640</t>
  </si>
  <si>
    <t>FONTENAY-LES-BRIIS</t>
  </si>
  <si>
    <t>BONGHEAT</t>
  </si>
  <si>
    <t>PRECIGNE</t>
  </si>
  <si>
    <t>ANDAINVILLE</t>
  </si>
  <si>
    <t>VILLEXAVIER</t>
  </si>
  <si>
    <t>PLUVAULT</t>
  </si>
  <si>
    <t>SAINT-RABIER</t>
  </si>
  <si>
    <t>GERMIGNY-SUR-LOIRE</t>
  </si>
  <si>
    <t>LAFFAUX</t>
  </si>
  <si>
    <t>SULLY-SUR-LOIRE</t>
  </si>
  <si>
    <t>MANTHES</t>
  </si>
  <si>
    <t>LANNEUFFRET</t>
  </si>
  <si>
    <t>RANTZWILLER</t>
  </si>
  <si>
    <t>BEARD</t>
  </si>
  <si>
    <t>VOGUE</t>
  </si>
  <si>
    <t>DIERRE</t>
  </si>
  <si>
    <t>LIGUEIL</t>
  </si>
  <si>
    <t>BLANCAFORT</t>
  </si>
  <si>
    <t>L'HOSMES</t>
  </si>
  <si>
    <t>JONQUIERES-SAINT-VINCENT</t>
  </si>
  <si>
    <t>SAINT-CHRISTOPHE-VALLON</t>
  </si>
  <si>
    <t>LIGNIERES-CHATELAIN</t>
  </si>
  <si>
    <t>PERCY</t>
  </si>
  <si>
    <t>CHATILLON-SUR-MARNE</t>
  </si>
  <si>
    <t>LA SALLE-PRUNET</t>
  </si>
  <si>
    <t>68660</t>
  </si>
  <si>
    <t>ROMBACH-LE-FRANC</t>
  </si>
  <si>
    <t>CHARGE</t>
  </si>
  <si>
    <t>VILLEDIEU-LE-CHATEAU</t>
  </si>
  <si>
    <t>MANNEVILLE-ES-PLAINS</t>
  </si>
  <si>
    <t>22860</t>
  </si>
  <si>
    <t>PLOURIVO</t>
  </si>
  <si>
    <t>LA CLUSE</t>
  </si>
  <si>
    <t>CHAUCHAILLES</t>
  </si>
  <si>
    <t>LA TOUR-DU-MEIX</t>
  </si>
  <si>
    <t>GRAND-CHAMP</t>
  </si>
  <si>
    <t>FORT-MAHON-PLAGE</t>
  </si>
  <si>
    <t>97425</t>
  </si>
  <si>
    <t>LES AVIRONS</t>
  </si>
  <si>
    <t>SAUMONT</t>
  </si>
  <si>
    <t>VILLERS-LA-VILLE</t>
  </si>
  <si>
    <t>SAINT-REMEZE</t>
  </si>
  <si>
    <t>BLENOD-LES-PONT-A-MOUSSON</t>
  </si>
  <si>
    <t>SAINT-MAURICE-EN-CHALENCON</t>
  </si>
  <si>
    <t>SAINT-PANTALY-D'EXCIDEUIL</t>
  </si>
  <si>
    <t>OMMEEL</t>
  </si>
  <si>
    <t>BOURDELLES</t>
  </si>
  <si>
    <t>BEUVEZIN</t>
  </si>
  <si>
    <t>LOURES-BAROUSSE</t>
  </si>
  <si>
    <t>PONTIGNE</t>
  </si>
  <si>
    <t>MORIEUX</t>
  </si>
  <si>
    <t>RODOME</t>
  </si>
  <si>
    <t>MARTIEL</t>
  </si>
  <si>
    <t>DENEUILLE-LES-CHANTELLE</t>
  </si>
  <si>
    <t>QUEYRAC</t>
  </si>
  <si>
    <t>OLEAC-DEBAT</t>
  </si>
  <si>
    <t>SAINT-REMY-BLANZY</t>
  </si>
  <si>
    <t>24490</t>
  </si>
  <si>
    <t>LA ROCHE-CHALAIS</t>
  </si>
  <si>
    <t>BOULIGNY</t>
  </si>
  <si>
    <t>SAINTE-MARIE-DES-CHAMPS</t>
  </si>
  <si>
    <t>BAZAS</t>
  </si>
  <si>
    <t>DROIZY</t>
  </si>
  <si>
    <t>MESSE</t>
  </si>
  <si>
    <t>TRAYES</t>
  </si>
  <si>
    <t>BANNEGON</t>
  </si>
  <si>
    <t>LIGNOL</t>
  </si>
  <si>
    <t>GREZELS</t>
  </si>
  <si>
    <t>MINERVE</t>
  </si>
  <si>
    <t>GRAYAN-ET-L'HOPITAL</t>
  </si>
  <si>
    <t>SOLTERRE</t>
  </si>
  <si>
    <t>89340</t>
  </si>
  <si>
    <t>TOUFFREVILLE-LA-CORBELINE</t>
  </si>
  <si>
    <t>GRUNY</t>
  </si>
  <si>
    <t>CHERIER</t>
  </si>
  <si>
    <t>13109</t>
  </si>
  <si>
    <t>SIMIANE-COLLONGUE</t>
  </si>
  <si>
    <t>CONTAY</t>
  </si>
  <si>
    <t>MOULINS-SAINT-HUBERT</t>
  </si>
  <si>
    <t>HEVILLIERS</t>
  </si>
  <si>
    <t>AYGUESVIVES</t>
  </si>
  <si>
    <t>TRESQUES</t>
  </si>
  <si>
    <t>MANT</t>
  </si>
  <si>
    <t>SAINT-MARTIN-PETIT</t>
  </si>
  <si>
    <t>POUVRAI</t>
  </si>
  <si>
    <t>SAINT-LAURENT-EN-BEAUMONT</t>
  </si>
  <si>
    <t>PLANIOLES</t>
  </si>
  <si>
    <t>TOURNAY-SUR-ODON</t>
  </si>
  <si>
    <t>LA CHAPELLE-SAINT-SULPICE</t>
  </si>
  <si>
    <t>VADENAY</t>
  </si>
  <si>
    <t>BEINE-NAUROY</t>
  </si>
  <si>
    <t>SAINT-GERAUD</t>
  </si>
  <si>
    <t>LALOUVESC</t>
  </si>
  <si>
    <t>LAVERNHE</t>
  </si>
  <si>
    <t>GESTE</t>
  </si>
  <si>
    <t>CHEVAGNES</t>
  </si>
  <si>
    <t>MOUZEUIL-SAINT-MARTIN</t>
  </si>
  <si>
    <t>SAINT-VINCENT-DE-LAMONTJOIE</t>
  </si>
  <si>
    <t>VENERAND</t>
  </si>
  <si>
    <t>CERIZY</t>
  </si>
  <si>
    <t>CANNY-SUR-THERAIN</t>
  </si>
  <si>
    <t>BOURRAN</t>
  </si>
  <si>
    <t>LESCURRY</t>
  </si>
  <si>
    <t>BARD-LES-EPOISSES</t>
  </si>
  <si>
    <t>SAINT-SULPICE-D'ARNOULT</t>
  </si>
  <si>
    <t>CASTILLON-DEBATS</t>
  </si>
  <si>
    <t>SAINT-BENOIT-DE-CARMAUX</t>
  </si>
  <si>
    <t>MENIL-SUR-SAULX</t>
  </si>
  <si>
    <t>CHIVRES</t>
  </si>
  <si>
    <t>TILLOY-ET-BELLAY</t>
  </si>
  <si>
    <t>78520</t>
  </si>
  <si>
    <t>FOLLAINVILLE-DENNEMONT</t>
  </si>
  <si>
    <t>MARCOLS-LES-EAUX</t>
  </si>
  <si>
    <t>LAVOYE</t>
  </si>
  <si>
    <t>PERRIERES</t>
  </si>
  <si>
    <t>CRANNES-EN-CHAMPAGNE</t>
  </si>
  <si>
    <t>SONDERNACH</t>
  </si>
  <si>
    <t>ALBIERES</t>
  </si>
  <si>
    <t>ALUZE</t>
  </si>
  <si>
    <t>FLAGEY-RIGNEY</t>
  </si>
  <si>
    <t>CLERY-LE-GRAND</t>
  </si>
  <si>
    <t>LE MARILLAIS</t>
  </si>
  <si>
    <t>BRIARE</t>
  </si>
  <si>
    <t>84550</t>
  </si>
  <si>
    <t>MORNAS</t>
  </si>
  <si>
    <t>LACAJUNTE</t>
  </si>
  <si>
    <t>RICHELING</t>
  </si>
  <si>
    <t>LINGEARD</t>
  </si>
  <si>
    <t>EPIEDS-EN-BEAUCE</t>
  </si>
  <si>
    <t>CLEGUEREC</t>
  </si>
  <si>
    <t>HAUTEVILLE-LOMPNES</t>
  </si>
  <si>
    <t>SAINT-CHRISTOPHE-SUR-CONDE</t>
  </si>
  <si>
    <t>LA DEMIE</t>
  </si>
  <si>
    <t>TESSON</t>
  </si>
  <si>
    <t>TOURNEVILLE</t>
  </si>
  <si>
    <t>ORRIULE</t>
  </si>
  <si>
    <t>BRIENNE</t>
  </si>
  <si>
    <t>MONCHY-LAGACHE</t>
  </si>
  <si>
    <t>FOX-AMPHOUX</t>
  </si>
  <si>
    <t>LES MOUSSIERES</t>
  </si>
  <si>
    <t>PRENY</t>
  </si>
  <si>
    <t>LA GUILLERMIE</t>
  </si>
  <si>
    <t>SAINT-CHEF</t>
  </si>
  <si>
    <t>42620</t>
  </si>
  <si>
    <t>SAINT-PIERRE-LAVAL</t>
  </si>
  <si>
    <t>BREMOY</t>
  </si>
  <si>
    <t>QUIERS</t>
  </si>
  <si>
    <t>THOISY-LA-BERCHERE</t>
  </si>
  <si>
    <t>BEUTAL</t>
  </si>
  <si>
    <t>CARNAC-ROUFFIAC</t>
  </si>
  <si>
    <t>13860</t>
  </si>
  <si>
    <t>PEYROLLES-EN-PROVENCE</t>
  </si>
  <si>
    <t>44760</t>
  </si>
  <si>
    <t>LA BERNERIE-EN-RETZ</t>
  </si>
  <si>
    <t>MENNEVAL</t>
  </si>
  <si>
    <t>CHAMPCEVINEL</t>
  </si>
  <si>
    <t>VALSONNE</t>
  </si>
  <si>
    <t>83111</t>
  </si>
  <si>
    <t>AMPUS</t>
  </si>
  <si>
    <t>SAINT-GERMAIN-SUR-ILLE</t>
  </si>
  <si>
    <t>JURVIELLE</t>
  </si>
  <si>
    <t>35111</t>
  </si>
  <si>
    <t>LA FRESNAIS</t>
  </si>
  <si>
    <t>POUSSIGNAC</t>
  </si>
  <si>
    <t>BITCHE</t>
  </si>
  <si>
    <t>RUESNES</t>
  </si>
  <si>
    <t>LA CHAPELLE-GAUGAIN</t>
  </si>
  <si>
    <t>SAINT-POL-SUR-TERNOISE</t>
  </si>
  <si>
    <t>ONGLIERES</t>
  </si>
  <si>
    <t>BOURDENAY</t>
  </si>
  <si>
    <t>PLOEVEN</t>
  </si>
  <si>
    <t>CAIXON</t>
  </si>
  <si>
    <t>VILLERS-LE-TOURNEUR</t>
  </si>
  <si>
    <t>FLINS-NEUVE-EGLISE</t>
  </si>
  <si>
    <t>SELONGEY</t>
  </si>
  <si>
    <t>CHALIVOY-MILON</t>
  </si>
  <si>
    <t>SAINT-BRIEUC-DE-MAURON</t>
  </si>
  <si>
    <t>LESGOR</t>
  </si>
  <si>
    <t>REMIES</t>
  </si>
  <si>
    <t>LA CHAPELLE-BOUEXIC</t>
  </si>
  <si>
    <t>VERSEILLES-LE-HAUT</t>
  </si>
  <si>
    <t>BOUTIGNY-PROUAIS</t>
  </si>
  <si>
    <t>13180</t>
  </si>
  <si>
    <t>GIGNAC-LA-NERTHE</t>
  </si>
  <si>
    <t>MOUTHOUMET</t>
  </si>
  <si>
    <t>VARESNES</t>
  </si>
  <si>
    <t>PLURIEN</t>
  </si>
  <si>
    <t>BRION-SUR-OURCE</t>
  </si>
  <si>
    <t>GROSNE</t>
  </si>
  <si>
    <t>SAINT-ROMAIN-AU-MONT-D'OR</t>
  </si>
  <si>
    <t>GEZONCOURT</t>
  </si>
  <si>
    <t>POISEUL-LA-GRANGE</t>
  </si>
  <si>
    <t>BROSVILLE</t>
  </si>
  <si>
    <t>DEMU</t>
  </si>
  <si>
    <t>LES ABRETS</t>
  </si>
  <si>
    <t>49590</t>
  </si>
  <si>
    <t>FONTEVRAUD-L'ABBAYE</t>
  </si>
  <si>
    <t>CREZIERES</t>
  </si>
  <si>
    <t>REUVILLE</t>
  </si>
  <si>
    <t>DONNELAY</t>
  </si>
  <si>
    <t>15160</t>
  </si>
  <si>
    <t>VEZE</t>
  </si>
  <si>
    <t>MACAYE</t>
  </si>
  <si>
    <t>CONTINVOIR</t>
  </si>
  <si>
    <t>LA PRENESSAYE</t>
  </si>
  <si>
    <t>ANDELU</t>
  </si>
  <si>
    <t>DUNIERE-SUR-EYRIEUX</t>
  </si>
  <si>
    <t>SAINT-MAIXANT</t>
  </si>
  <si>
    <t>SAINT-JEAN-DE-THOUARS</t>
  </si>
  <si>
    <t>POMMIER-DE-BEAUREPAIRE</t>
  </si>
  <si>
    <t>LA GOULAFRIERE</t>
  </si>
  <si>
    <t>CIVRIEUX</t>
  </si>
  <si>
    <t>SAINT-COLOMB-DE-LAUZUN</t>
  </si>
  <si>
    <t>POISEUX</t>
  </si>
  <si>
    <t>BROUZET-LES-QUISSAC</t>
  </si>
  <si>
    <t>BARBY</t>
  </si>
  <si>
    <t>BRUGAIROLLES</t>
  </si>
  <si>
    <t>MORNANT</t>
  </si>
  <si>
    <t>L'AIGUILLON-SUR-MER</t>
  </si>
  <si>
    <t>MOUZEIL</t>
  </si>
  <si>
    <t>CAUGE</t>
  </si>
  <si>
    <t>SAINT-MARTIN-DE-BELLEVILLE</t>
  </si>
  <si>
    <t>BINGES</t>
  </si>
  <si>
    <t>ALZEN</t>
  </si>
  <si>
    <t>RAMBURES</t>
  </si>
  <si>
    <t>PUYLAURENS</t>
  </si>
  <si>
    <t>LOCMARIA-BERRIEN</t>
  </si>
  <si>
    <t>LANNEANOU</t>
  </si>
  <si>
    <t>BARD-LES-PESMES</t>
  </si>
  <si>
    <t>CERNANS</t>
  </si>
  <si>
    <t>17200</t>
  </si>
  <si>
    <t>ROYAN</t>
  </si>
  <si>
    <t>ETUSSON</t>
  </si>
  <si>
    <t>AVENAS</t>
  </si>
  <si>
    <t>HARTZVILLER</t>
  </si>
  <si>
    <t>DAMAS-AUX-BOIS</t>
  </si>
  <si>
    <t>QUIE</t>
  </si>
  <si>
    <t>20245</t>
  </si>
  <si>
    <t>2B121</t>
  </si>
  <si>
    <t>GALERIA</t>
  </si>
  <si>
    <t>SAINT-MARTIN-RIVIERE</t>
  </si>
  <si>
    <t>DHUISY</t>
  </si>
  <si>
    <t>BUSCHWILLER</t>
  </si>
  <si>
    <t>54136</t>
  </si>
  <si>
    <t>BOUXIERES-AUX-DAMES</t>
  </si>
  <si>
    <t>LONGEVILLE-EN-BARROIS</t>
  </si>
  <si>
    <t>ANGERVILLE-L'ORCHER</t>
  </si>
  <si>
    <t>BEZANCOURT</t>
  </si>
  <si>
    <t>BUAIS</t>
  </si>
  <si>
    <t>AYGUETINTE</t>
  </si>
  <si>
    <t>CHENOIS</t>
  </si>
  <si>
    <t>MESPAUL</t>
  </si>
  <si>
    <t>MASNY</t>
  </si>
  <si>
    <t>MAURE</t>
  </si>
  <si>
    <t>97660</t>
  </si>
  <si>
    <t>DEMBENI</t>
  </si>
  <si>
    <t>SERBONNES</t>
  </si>
  <si>
    <t>FONTENU</t>
  </si>
  <si>
    <t>SAINT-MEARD</t>
  </si>
  <si>
    <t>AURIAC-L'EGLISE</t>
  </si>
  <si>
    <t>BREIL</t>
  </si>
  <si>
    <t>AUCAMVILLE</t>
  </si>
  <si>
    <t>OCCEY</t>
  </si>
  <si>
    <t>CHABOURNAY</t>
  </si>
  <si>
    <t>LOUROUX-BOURBONNAIS</t>
  </si>
  <si>
    <t>MOIRE</t>
  </si>
  <si>
    <t>FLORENT-EN-ARGONNE</t>
  </si>
  <si>
    <t>PARFOURU-SUR-ODON</t>
  </si>
  <si>
    <t>BRIOU</t>
  </si>
  <si>
    <t>CORDELLE</t>
  </si>
  <si>
    <t>63820</t>
  </si>
  <si>
    <t>SAINT-JULIEN-PUY-LAVEZE</t>
  </si>
  <si>
    <t>DRAMELAY</t>
  </si>
  <si>
    <t>43550</t>
  </si>
  <si>
    <t>LA BRULATTE</t>
  </si>
  <si>
    <t>POUILLOUX</t>
  </si>
  <si>
    <t>LAUZERTE</t>
  </si>
  <si>
    <t>LE FIEF-SAUVIN</t>
  </si>
  <si>
    <t>LA MURETTE</t>
  </si>
  <si>
    <t>ESCAMPS</t>
  </si>
  <si>
    <t>LA PLANEE</t>
  </si>
  <si>
    <t>CLAIRAVAUX</t>
  </si>
  <si>
    <t>93240</t>
  </si>
  <si>
    <t>STAINS</t>
  </si>
  <si>
    <t>MAREUIL-LA-MOTTE</t>
  </si>
  <si>
    <t>MALAUNAY</t>
  </si>
  <si>
    <t>59139</t>
  </si>
  <si>
    <t>WATTIGNIES</t>
  </si>
  <si>
    <t>LA BERTHENOUX</t>
  </si>
  <si>
    <t>CHALOU-MOULINEUX</t>
  </si>
  <si>
    <t>LEUILLY-SOUS-COUCY</t>
  </si>
  <si>
    <t>66380</t>
  </si>
  <si>
    <t>PIA</t>
  </si>
  <si>
    <t>XAMBES</t>
  </si>
  <si>
    <t>WAVRILLE</t>
  </si>
  <si>
    <t>MONTFORT-SUR-RISLE</t>
  </si>
  <si>
    <t>CHICHEE</t>
  </si>
  <si>
    <t>QUINTIGNY</t>
  </si>
  <si>
    <t>MONTFRANC</t>
  </si>
  <si>
    <t>HARDIVILLERS</t>
  </si>
  <si>
    <t>GUERFAND</t>
  </si>
  <si>
    <t>MONTASTRUC-SAVES</t>
  </si>
  <si>
    <t>CASTERA-BOUZET</t>
  </si>
  <si>
    <t>6370</t>
  </si>
  <si>
    <t>MOUANS-SARTOUX</t>
  </si>
  <si>
    <t>DINTEVILLE</t>
  </si>
  <si>
    <t>TAINTRUX</t>
  </si>
  <si>
    <t>SALZA</t>
  </si>
  <si>
    <t>COURCHELETTES</t>
  </si>
  <si>
    <t>ATHIS-DE-L'ORNE</t>
  </si>
  <si>
    <t>57535</t>
  </si>
  <si>
    <t>MARANGE-SILVANGE</t>
  </si>
  <si>
    <t>PUYMICLAN</t>
  </si>
  <si>
    <t>TRESSIN</t>
  </si>
  <si>
    <t>PUYCELSI</t>
  </si>
  <si>
    <t>CLAVE</t>
  </si>
  <si>
    <t>TIGNECOURT</t>
  </si>
  <si>
    <t>AVESNES-SUR-HELPE</t>
  </si>
  <si>
    <t>POISSONS</t>
  </si>
  <si>
    <t>VAUDEURS</t>
  </si>
  <si>
    <t>SAINT-MARTIN-DE-VILLEREGLAN</t>
  </si>
  <si>
    <t>CIZAY-LA-MADELEINE</t>
  </si>
  <si>
    <t>LANDIGOU</t>
  </si>
  <si>
    <t>CEMPUIS</t>
  </si>
  <si>
    <t>8330</t>
  </si>
  <si>
    <t>VRIGNE-AUX-BOIS</t>
  </si>
  <si>
    <t>CAGNICOURT</t>
  </si>
  <si>
    <t>PLASNES</t>
  </si>
  <si>
    <t>ORINCLES</t>
  </si>
  <si>
    <t>LUPE</t>
  </si>
  <si>
    <t>BUSY</t>
  </si>
  <si>
    <t>SAINT-LAURENT-D'ARCE</t>
  </si>
  <si>
    <t>ETALLE</t>
  </si>
  <si>
    <t>LE VALTIN</t>
  </si>
  <si>
    <t>GILLY-LES-CITEAUX</t>
  </si>
  <si>
    <t>CAUDEBRONDE</t>
  </si>
  <si>
    <t>THOREY-SUR-OUCHE</t>
  </si>
  <si>
    <t>ANDUZE</t>
  </si>
  <si>
    <t>BELLEHERBE</t>
  </si>
  <si>
    <t>ROSOY-EN-MULTIEN</t>
  </si>
  <si>
    <t>VERNAY</t>
  </si>
  <si>
    <t>LA PERNELLE</t>
  </si>
  <si>
    <t>SOISY-BOUY</t>
  </si>
  <si>
    <t>PUGEY</t>
  </si>
  <si>
    <t>SAINT-ANDRE-DE-MESSEI</t>
  </si>
  <si>
    <t>SAINT-MAURICE-DE-ROTHERENS</t>
  </si>
  <si>
    <t>VILLEMBITS</t>
  </si>
  <si>
    <t>ECHENOZ-LA-MELINE</t>
  </si>
  <si>
    <t>DEUILLET</t>
  </si>
  <si>
    <t>SAINT-GERMAIN-DE-TOURNEBUT</t>
  </si>
  <si>
    <t>2460</t>
  </si>
  <si>
    <t>TROESNES</t>
  </si>
  <si>
    <t>VRONCOURT-LA-COTE</t>
  </si>
  <si>
    <t>SAINT-BARTHELEMY-DE-BELLEGARDE</t>
  </si>
  <si>
    <t>PANZOULT</t>
  </si>
  <si>
    <t>SAINT-CYR-DE-VALORGES</t>
  </si>
  <si>
    <t>MANSONVILLE</t>
  </si>
  <si>
    <t>TAURIAC</t>
  </si>
  <si>
    <t>RATENELLE</t>
  </si>
  <si>
    <t>LA CHAPELLE-DE-SURIEU</t>
  </si>
  <si>
    <t>SAINT-GERMAIN-LES-CORBEIL</t>
  </si>
  <si>
    <t>MORTHOMIERS</t>
  </si>
  <si>
    <t>COLLONGES-LES-PREMIERES</t>
  </si>
  <si>
    <t>16510</t>
  </si>
  <si>
    <t>VERTEUIL-SUR-CHARENTE</t>
  </si>
  <si>
    <t>THEILLEMENT</t>
  </si>
  <si>
    <t>DAMOUSIES</t>
  </si>
  <si>
    <t>NAUSSAC</t>
  </si>
  <si>
    <t>TOURLIAC</t>
  </si>
  <si>
    <t>LEYR</t>
  </si>
  <si>
    <t>LE VIEUX-BOURG</t>
  </si>
  <si>
    <t>FANLAC</t>
  </si>
  <si>
    <t>ANSOUIS</t>
  </si>
  <si>
    <t>BRIFFONS</t>
  </si>
  <si>
    <t>CHEZENEUVE</t>
  </si>
  <si>
    <t>SARCY</t>
  </si>
  <si>
    <t>POCE-LES-BOIS</t>
  </si>
  <si>
    <t>CURCIAT-DONGALON</t>
  </si>
  <si>
    <t>PEZENS</t>
  </si>
  <si>
    <t>LACAPELLE-BARRES</t>
  </si>
  <si>
    <t>PRUNET-ET-BELPUIG</t>
  </si>
  <si>
    <t>NEUVIC</t>
  </si>
  <si>
    <t>DROCOURT</t>
  </si>
  <si>
    <t>NEUFCHATEL-SUR-AISNE</t>
  </si>
  <si>
    <t>JOUY</t>
  </si>
  <si>
    <t>DURCET</t>
  </si>
  <si>
    <t>CHERY-CHARTREUVE</t>
  </si>
  <si>
    <t>DUNIERES</t>
  </si>
  <si>
    <t>SAINT-MARCEL-D'URFE</t>
  </si>
  <si>
    <t>ARSAC-EN-VELAY</t>
  </si>
  <si>
    <t>LA JARRIE</t>
  </si>
  <si>
    <t>SAINT-MARTIN-CURTON</t>
  </si>
  <si>
    <t>BEAUFOUR-DRUVAL</t>
  </si>
  <si>
    <t>BANNANS</t>
  </si>
  <si>
    <t>SURZUR</t>
  </si>
  <si>
    <t>VENDIERES</t>
  </si>
  <si>
    <t>SAINT-MICHEL-DE-LLOTES</t>
  </si>
  <si>
    <t>DARNAC</t>
  </si>
  <si>
    <t>RATTE</t>
  </si>
  <si>
    <t>69830</t>
  </si>
  <si>
    <t>SAINT-GEORGES-DE-RENEINS</t>
  </si>
  <si>
    <t>92260</t>
  </si>
  <si>
    <t>FONTENAY-AUX-ROSES</t>
  </si>
  <si>
    <t>EQUILLY</t>
  </si>
  <si>
    <t>FRANS</t>
  </si>
  <si>
    <t>NANT</t>
  </si>
  <si>
    <t>SAINT-ETIENNE-DU-VALDONNEZ</t>
  </si>
  <si>
    <t>13910</t>
  </si>
  <si>
    <t>MAILLANE</t>
  </si>
  <si>
    <t>GERMAGNAT</t>
  </si>
  <si>
    <t>VILLEQUIERS</t>
  </si>
  <si>
    <t>THIENNES</t>
  </si>
  <si>
    <t>SAINT-MONT</t>
  </si>
  <si>
    <t>RAZAC-DE-SAUSSIGNAC</t>
  </si>
  <si>
    <t>MORLANNE</t>
  </si>
  <si>
    <t>VERGETOT</t>
  </si>
  <si>
    <t>PAVIE</t>
  </si>
  <si>
    <t>BELLOT</t>
  </si>
  <si>
    <t>VILLEJOUBERT</t>
  </si>
  <si>
    <t>VALESCOURT</t>
  </si>
  <si>
    <t>UZESTE</t>
  </si>
  <si>
    <t>LE BIGNON-DU-MAINE</t>
  </si>
  <si>
    <t>CHARLEVILLE</t>
  </si>
  <si>
    <t>MONTAGNY-EN-VEXIN</t>
  </si>
  <si>
    <t>SAULZOIR</t>
  </si>
  <si>
    <t>SAINTE-GEMME-MARTAILLAC</t>
  </si>
  <si>
    <t>VITZ-SUR-AUTHIE</t>
  </si>
  <si>
    <t>YEVRES</t>
  </si>
  <si>
    <t>ROQUESTERON</t>
  </si>
  <si>
    <t>EQUEVILLON</t>
  </si>
  <si>
    <t>LA RIVIERE-SAINT-SAUVEUR</t>
  </si>
  <si>
    <t>LA VERSANNE</t>
  </si>
  <si>
    <t>TOULON-SUR-ALLIER</t>
  </si>
  <si>
    <t>VILLERS-AUX-VENTS</t>
  </si>
  <si>
    <t>PERCEY</t>
  </si>
  <si>
    <t>SAINT-LAURENT-SUR-GORRE</t>
  </si>
  <si>
    <t>TEURTHEVILLE-BOCAGE</t>
  </si>
  <si>
    <t>BLANCHEFOSSE-ET-BAY</t>
  </si>
  <si>
    <t>DUNET</t>
  </si>
  <si>
    <t>BONNET</t>
  </si>
  <si>
    <t>69740</t>
  </si>
  <si>
    <t>GENAS</t>
  </si>
  <si>
    <t>SAINT-BERTRAND-DE-COMMINGES</t>
  </si>
  <si>
    <t>LA TOURETTE-CABARDES</t>
  </si>
  <si>
    <t>SAINTE-SOULINE</t>
  </si>
  <si>
    <t>ARCINGES</t>
  </si>
  <si>
    <t>SAINT-BENOIST-SUR-VANNE</t>
  </si>
  <si>
    <t>GAJAC</t>
  </si>
  <si>
    <t>RUREY</t>
  </si>
  <si>
    <t>QUINCY-VOISINS</t>
  </si>
  <si>
    <t>SENONGES</t>
  </si>
  <si>
    <t>34170</t>
  </si>
  <si>
    <t>CASTELNAU-LE-LEZ</t>
  </si>
  <si>
    <t>LES GROSEILLERS</t>
  </si>
  <si>
    <t>NAUCELLE</t>
  </si>
  <si>
    <t>MISSIRIAC</t>
  </si>
  <si>
    <t>SAINT-OFFENGE-DESSUS</t>
  </si>
  <si>
    <t>GENEY</t>
  </si>
  <si>
    <t>SAINT-VIATRE</t>
  </si>
  <si>
    <t>PONTCHARRA-SUR-TURDINE</t>
  </si>
  <si>
    <t>MARCHEPRIME</t>
  </si>
  <si>
    <t>PLERNEUF</t>
  </si>
  <si>
    <t>LA FORET-LE-ROI</t>
  </si>
  <si>
    <t>GREZAC</t>
  </si>
  <si>
    <t>VAUJANY</t>
  </si>
  <si>
    <t>QUESSIGNY</t>
  </si>
  <si>
    <t>LALBENQUE</t>
  </si>
  <si>
    <t>2B112</t>
  </si>
  <si>
    <t>FELICETO</t>
  </si>
  <si>
    <t>LAMECOURT</t>
  </si>
  <si>
    <t>WULVERDINGHE</t>
  </si>
  <si>
    <t>LE BOURG-D'HEM</t>
  </si>
  <si>
    <t>ANNOVILLE</t>
  </si>
  <si>
    <t>ASSIER</t>
  </si>
  <si>
    <t>SAINT-MARTIN-D'ESTREAUX</t>
  </si>
  <si>
    <t>VILLAINES-SOUS-MALICORNE</t>
  </si>
  <si>
    <t>BROUILLET</t>
  </si>
  <si>
    <t>SAINT-ANDIOL</t>
  </si>
  <si>
    <t>FRESNES-SUR-ESCAUT</t>
  </si>
  <si>
    <t>HERBEVILLER</t>
  </si>
  <si>
    <t>CAZIDEROQUE</t>
  </si>
  <si>
    <t>80650</t>
  </si>
  <si>
    <t>VIGNACOURT</t>
  </si>
  <si>
    <t>FROISSY</t>
  </si>
  <si>
    <t>VILLERS-SUR-MEUSE</t>
  </si>
  <si>
    <t>THENEUIL</t>
  </si>
  <si>
    <t>91860</t>
  </si>
  <si>
    <t>EPINAY-SOUS-SENART</t>
  </si>
  <si>
    <t>LALOEUF</t>
  </si>
  <si>
    <t>SALES</t>
  </si>
  <si>
    <t>MOISSY-CRAMAYEL</t>
  </si>
  <si>
    <t>LA CHAPELLE-AU-RIBOUL</t>
  </si>
  <si>
    <t>NOIRVAL</t>
  </si>
  <si>
    <t>77810</t>
  </si>
  <si>
    <t>THOMERY</t>
  </si>
  <si>
    <t>SAINT-THIEBAUD</t>
  </si>
  <si>
    <t>GONZEVILLE</t>
  </si>
  <si>
    <t>PEYRIEU</t>
  </si>
  <si>
    <t>TAURIGNAN-VIEUX</t>
  </si>
  <si>
    <t>CROSSES</t>
  </si>
  <si>
    <t>77138</t>
  </si>
  <si>
    <t>LUZANCY</t>
  </si>
  <si>
    <t>GUAINVILLE</t>
  </si>
  <si>
    <t>SAINT-FLOUR</t>
  </si>
  <si>
    <t>PUYRENIER</t>
  </si>
  <si>
    <t>RETTEL</t>
  </si>
  <si>
    <t>BRETENOUX</t>
  </si>
  <si>
    <t>QUERRIEU</t>
  </si>
  <si>
    <t>MONTHOU-SUR-BIEVRE</t>
  </si>
  <si>
    <t>UZA</t>
  </si>
  <si>
    <t>2A038</t>
  </si>
  <si>
    <t>BILIA</t>
  </si>
  <si>
    <t>DONCOURT-LES-CONFLANS</t>
  </si>
  <si>
    <t>SERRES-MORLAAS</t>
  </si>
  <si>
    <t>BARLEST</t>
  </si>
  <si>
    <t>MAISON-PONTHIEU</t>
  </si>
  <si>
    <t>LACROUZETTE</t>
  </si>
  <si>
    <t>PESEUX</t>
  </si>
  <si>
    <t>AILLEVILLE</t>
  </si>
  <si>
    <t>VOEGTLINSHOFFEN</t>
  </si>
  <si>
    <t>PRISSAC</t>
  </si>
  <si>
    <t>FERE-CHAMPENOISE</t>
  </si>
  <si>
    <t>PEUX-ET-COUFFOULEUX</t>
  </si>
  <si>
    <t>CHAVANATTE</t>
  </si>
  <si>
    <t>29242</t>
  </si>
  <si>
    <t>OUESSANT</t>
  </si>
  <si>
    <t>CAPIAN</t>
  </si>
  <si>
    <t>CLARY</t>
  </si>
  <si>
    <t>HENGOAT</t>
  </si>
  <si>
    <t>SAUVIAT</t>
  </si>
  <si>
    <t>FEUGES</t>
  </si>
  <si>
    <t>ANGLADE</t>
  </si>
  <si>
    <t>COLOMBOTTE</t>
  </si>
  <si>
    <t>SONGIEU</t>
  </si>
  <si>
    <t>LABROYE</t>
  </si>
  <si>
    <t>ESTENSAN</t>
  </si>
  <si>
    <t>DIVONNE-LES-BAINS</t>
  </si>
  <si>
    <t>POUEYFERRE</t>
  </si>
  <si>
    <t>VIEUX-FERRETTE</t>
  </si>
  <si>
    <t>PEREUIL</t>
  </si>
  <si>
    <t>LA MARCHE</t>
  </si>
  <si>
    <t>OCHEY</t>
  </si>
  <si>
    <t>SAINT-PIERRE-DELS-FORCATS</t>
  </si>
  <si>
    <t>BEDOUES</t>
  </si>
  <si>
    <t>PESSAN</t>
  </si>
  <si>
    <t>BAUDREIX</t>
  </si>
  <si>
    <t>ECOS</t>
  </si>
  <si>
    <t>ARVEYRES</t>
  </si>
  <si>
    <t>SAINT-CHRISTOPHE-DODINICOURT</t>
  </si>
  <si>
    <t>BOURGNEUF</t>
  </si>
  <si>
    <t>AINHICE-MONGELOS</t>
  </si>
  <si>
    <t>MEZIERES-EN-GATINAIS</t>
  </si>
  <si>
    <t>MERDRIGNAC</t>
  </si>
  <si>
    <t>ORVILLERS-SOREL</t>
  </si>
  <si>
    <t>THIETREVILLE</t>
  </si>
  <si>
    <t>VALLETOT</t>
  </si>
  <si>
    <t>BUREY-EN-VAUX</t>
  </si>
  <si>
    <t>LONGECOURT-LES-CULETRE</t>
  </si>
  <si>
    <t>BIBLISHEIM</t>
  </si>
  <si>
    <t>MUTTERSHOLTZ</t>
  </si>
  <si>
    <t>DANIZY</t>
  </si>
  <si>
    <t>COLOMBE-LES-VESOUL</t>
  </si>
  <si>
    <t>CRUCHERAY</t>
  </si>
  <si>
    <t>SAINT-MARTIN-DES-TILLEULS</t>
  </si>
  <si>
    <t>68370</t>
  </si>
  <si>
    <t>ORBEY</t>
  </si>
  <si>
    <t>25350</t>
  </si>
  <si>
    <t>MANDEURE</t>
  </si>
  <si>
    <t>REMILLY-LES-POTHEES</t>
  </si>
  <si>
    <t>MARTRES-DE-RIVIERE</t>
  </si>
  <si>
    <t>TOUR-EN-BESSIN</t>
  </si>
  <si>
    <t>MESNIL-BRUNTEL</t>
  </si>
  <si>
    <t>59390</t>
  </si>
  <si>
    <t>LANNOY</t>
  </si>
  <si>
    <t>SAINT-MARTIN-DE-CARALP</t>
  </si>
  <si>
    <t>GOUESNACH</t>
  </si>
  <si>
    <t>VIEUVY</t>
  </si>
  <si>
    <t>LEIGNES-SUR-FONTAINE</t>
  </si>
  <si>
    <t>GARDOUCH</t>
  </si>
  <si>
    <t>MEYRIEUX-TROUET</t>
  </si>
  <si>
    <t>BESSEGES</t>
  </si>
  <si>
    <t>HATTIGNY</t>
  </si>
  <si>
    <t>MONTMERLE-SUR-SAONE</t>
  </si>
  <si>
    <t>RAPILLY</t>
  </si>
  <si>
    <t>BEROU-LA-MULOTIERE</t>
  </si>
  <si>
    <t>SAINT-DENIS-SUR-SARTHON</t>
  </si>
  <si>
    <t>CELOUX</t>
  </si>
  <si>
    <t>FOISSY-LES-VEZELAY</t>
  </si>
  <si>
    <t>IDAUX-MENDY</t>
  </si>
  <si>
    <t>LASGRAISSES</t>
  </si>
  <si>
    <t>59149</t>
  </si>
  <si>
    <t>COUSOLRE</t>
  </si>
  <si>
    <t>PURE</t>
  </si>
  <si>
    <t>DELAIN</t>
  </si>
  <si>
    <t>SAINTE-CROIX-VOLVESTRE</t>
  </si>
  <si>
    <t>PAULHAC-EN-MARGERIDE</t>
  </si>
  <si>
    <t>AVERNES-SOUS-EXMES</t>
  </si>
  <si>
    <t>SAINT-MARTIN-DE-BONFOSSE</t>
  </si>
  <si>
    <t>2B314</t>
  </si>
  <si>
    <t>SANTO-PIETRO-DI-TENDA</t>
  </si>
  <si>
    <t>TOUILLON-ET-LOUTELET</t>
  </si>
  <si>
    <t>LABASTIDE-PAUMES</t>
  </si>
  <si>
    <t>DICY</t>
  </si>
  <si>
    <t>PIERREVAL</t>
  </si>
  <si>
    <t>AMANZE</t>
  </si>
  <si>
    <t>83270</t>
  </si>
  <si>
    <t>SAINT-CYR-SUR-MER</t>
  </si>
  <si>
    <t>MAATZ</t>
  </si>
  <si>
    <t>EQUANCOURT</t>
  </si>
  <si>
    <t>ENTRAUNES</t>
  </si>
  <si>
    <t>NORON-LA-POTERIE</t>
  </si>
  <si>
    <t>HYEVRE-PAROISSE</t>
  </si>
  <si>
    <t>CLUSSAIS-LA-POMMERAIE</t>
  </si>
  <si>
    <t>ROCHE-D'AGOUX</t>
  </si>
  <si>
    <t>SAINT-CYR-LES-COLONS</t>
  </si>
  <si>
    <t>HEILLES</t>
  </si>
  <si>
    <t>ROYE</t>
  </si>
  <si>
    <t>FRESLES</t>
  </si>
  <si>
    <t>FERCE-SUR-SARTHE</t>
  </si>
  <si>
    <t>CHALLANS</t>
  </si>
  <si>
    <t>LE QUIOU</t>
  </si>
  <si>
    <t>BOUEX</t>
  </si>
  <si>
    <t>BULLE</t>
  </si>
  <si>
    <t>ORMANCEY</t>
  </si>
  <si>
    <t>DOMBLAIN</t>
  </si>
  <si>
    <t>RIGNIEUX-LE-FRANC</t>
  </si>
  <si>
    <t>COGNIERES</t>
  </si>
  <si>
    <t>ORIGNY-SAINTE-BENOITE</t>
  </si>
  <si>
    <t>BELLIGNE</t>
  </si>
  <si>
    <t>1851</t>
  </si>
  <si>
    <t>MARBOZ</t>
  </si>
  <si>
    <t>95770</t>
  </si>
  <si>
    <t>BUHY</t>
  </si>
  <si>
    <t>GROSVILLE</t>
  </si>
  <si>
    <t>MONTENDRY</t>
  </si>
  <si>
    <t>JOBOURG</t>
  </si>
  <si>
    <t>GRICOURT</t>
  </si>
  <si>
    <t>SUEVRES</t>
  </si>
  <si>
    <t>OULCHES</t>
  </si>
  <si>
    <t>MAZAMET</t>
  </si>
  <si>
    <t>LES LOGES-SAULCES</t>
  </si>
  <si>
    <t>AUBERIVES-SUR-VAREZE</t>
  </si>
  <si>
    <t>CHAMESSON</t>
  </si>
  <si>
    <t>LAUZERVILLE</t>
  </si>
  <si>
    <t>ROUVRAY-CATILLON</t>
  </si>
  <si>
    <t>TREUZY-LEVELAY</t>
  </si>
  <si>
    <t>BROINDON</t>
  </si>
  <si>
    <t>SOUSPIERRE</t>
  </si>
  <si>
    <t>GLANES</t>
  </si>
  <si>
    <t>ZIMMING</t>
  </si>
  <si>
    <t>COUZOU</t>
  </si>
  <si>
    <t>PIMELLES</t>
  </si>
  <si>
    <t>BETZ-LE-CHATEAU</t>
  </si>
  <si>
    <t>BROUVELIEURES</t>
  </si>
  <si>
    <t>ROUSSENNAC</t>
  </si>
  <si>
    <t>LARDIERS</t>
  </si>
  <si>
    <t>LAGRAULET-SAINT-NICOLAS</t>
  </si>
  <si>
    <t>GOURVILLE</t>
  </si>
  <si>
    <t>LA LAUPIE</t>
  </si>
  <si>
    <t>GRUCHET-LE-VALASSE</t>
  </si>
  <si>
    <t>MAIZIERES-LES-METZ</t>
  </si>
  <si>
    <t>HERMONVILLE</t>
  </si>
  <si>
    <t>ASCAIN</t>
  </si>
  <si>
    <t>LACAPELLE-SEGALAR</t>
  </si>
  <si>
    <t>PASILLY</t>
  </si>
  <si>
    <t>GOYENCOURT</t>
  </si>
  <si>
    <t>CASTANET</t>
  </si>
  <si>
    <t>MOULINEAUX</t>
  </si>
  <si>
    <t>BURZET</t>
  </si>
  <si>
    <t>AZAY-SUR-THOUET</t>
  </si>
  <si>
    <t>SOUBLECAUSE</t>
  </si>
  <si>
    <t>PONT-AUDEMER</t>
  </si>
  <si>
    <t>COULONGES-COHAN</t>
  </si>
  <si>
    <t>CORBARIEU</t>
  </si>
  <si>
    <t>GENSAC-SUR-GARONNE</t>
  </si>
  <si>
    <t>LA GUYONNIERE</t>
  </si>
  <si>
    <t>MITRY-MORY</t>
  </si>
  <si>
    <t>CRAVENCERES</t>
  </si>
  <si>
    <t>VIAPRES-LE-PETIT</t>
  </si>
  <si>
    <t>VIGNOLLES</t>
  </si>
  <si>
    <t>FOURGES</t>
  </si>
  <si>
    <t>BERTRICHAMPS</t>
  </si>
  <si>
    <t>BRAMANS</t>
  </si>
  <si>
    <t>BRUYERES-ET-MONTBERAULT</t>
  </si>
  <si>
    <t>MONTROUVEAU</t>
  </si>
  <si>
    <t>ASSAIS-LES-JUMEAUX</t>
  </si>
  <si>
    <t>HARGEVILLE</t>
  </si>
  <si>
    <t>CHARTUZAC</t>
  </si>
  <si>
    <t>ESPIEILH</t>
  </si>
  <si>
    <t>ESSERVAL-COMBE</t>
  </si>
  <si>
    <t>VIENNE-EN-VAL</t>
  </si>
  <si>
    <t>SAINT-MAURICE-EN-VALGODEMARD</t>
  </si>
  <si>
    <t>LA MEYZE</t>
  </si>
  <si>
    <t>89390</t>
  </si>
  <si>
    <t>AISY-SUR-ARMANCON</t>
  </si>
  <si>
    <t>62260</t>
  </si>
  <si>
    <t>FERFAY</t>
  </si>
  <si>
    <t>78820</t>
  </si>
  <si>
    <t>JUZIERS</t>
  </si>
  <si>
    <t>ANOST</t>
  </si>
  <si>
    <t>SAINT-MAURICE-THIZOUAILLE</t>
  </si>
  <si>
    <t>69008</t>
  </si>
  <si>
    <t>LYON--8E--ARRONDISSEMENT</t>
  </si>
  <si>
    <t>FRANCHELEINS</t>
  </si>
  <si>
    <t>LES VILLARDS-SUR-THONES</t>
  </si>
  <si>
    <t>VIEVILLE-EN-HAYE</t>
  </si>
  <si>
    <t>MONTADET</t>
  </si>
  <si>
    <t>TREMEREUC</t>
  </si>
  <si>
    <t>MONTDOUMERC</t>
  </si>
  <si>
    <t>59551</t>
  </si>
  <si>
    <t>ATTICHES</t>
  </si>
  <si>
    <t>DOMBRAS</t>
  </si>
  <si>
    <t>CRIQUEBEUF-LA-CAMPAGNE</t>
  </si>
  <si>
    <t>FONCHES-FONCHETTE</t>
  </si>
  <si>
    <t>BLEVAINCOURT</t>
  </si>
  <si>
    <t>LACROIX-FALGARDE</t>
  </si>
  <si>
    <t>LIMEY-REMENAUVILLE</t>
  </si>
  <si>
    <t>SAINT-PIERRE-EN-VAL</t>
  </si>
  <si>
    <t>BRENTHONNE</t>
  </si>
  <si>
    <t>VANCAIS</t>
  </si>
  <si>
    <t>JAUCOURT</t>
  </si>
  <si>
    <t>ONCIEU</t>
  </si>
  <si>
    <t>MESLIN</t>
  </si>
  <si>
    <t>HANCHES</t>
  </si>
  <si>
    <t>MARIE</t>
  </si>
  <si>
    <t>FOUQUIERES-LES-BETHUNE</t>
  </si>
  <si>
    <t>PRECILHON</t>
  </si>
  <si>
    <t>LAVAL-D'AURELLE</t>
  </si>
  <si>
    <t>LINGE</t>
  </si>
  <si>
    <t>SOUILLAC</t>
  </si>
  <si>
    <t>SAINT-ANDEOL-DE-FOURCHADES</t>
  </si>
  <si>
    <t>CHUISNES</t>
  </si>
  <si>
    <t>ANSTAING</t>
  </si>
  <si>
    <t>SAINT-AMANS-DES-COTS</t>
  </si>
  <si>
    <t>MELUN</t>
  </si>
  <si>
    <t>HUMBLIGNY</t>
  </si>
  <si>
    <t>2B176</t>
  </si>
  <si>
    <t>NOCARIO</t>
  </si>
  <si>
    <t>COUBON</t>
  </si>
  <si>
    <t>WANCHY-CAPVAL</t>
  </si>
  <si>
    <t>LE VERNOIS</t>
  </si>
  <si>
    <t>CASTELCULIER</t>
  </si>
  <si>
    <t>CHENE-SEC</t>
  </si>
  <si>
    <t>AMBAZAC</t>
  </si>
  <si>
    <t>VENTOUSE</t>
  </si>
  <si>
    <t>LOUER</t>
  </si>
  <si>
    <t>BOUZY-LA-FORET</t>
  </si>
  <si>
    <t>SAINT-JOUAN-DE-L'ISLE</t>
  </si>
  <si>
    <t>THOIX</t>
  </si>
  <si>
    <t>LA LOUPTIERE-THENARD</t>
  </si>
  <si>
    <t>LES HAUTS-DE-CHEE</t>
  </si>
  <si>
    <t>MAS-DES-COURS</t>
  </si>
  <si>
    <t>SAUVESSANGES</t>
  </si>
  <si>
    <t>ESQUERCHIN</t>
  </si>
  <si>
    <t>LOR</t>
  </si>
  <si>
    <t>BIBICHE</t>
  </si>
  <si>
    <t>GUISE</t>
  </si>
  <si>
    <t>DIEUPENTALE</t>
  </si>
  <si>
    <t>LUCY-SUR-CURE</t>
  </si>
  <si>
    <t>SAINT-PIERRE-DE-LAGES</t>
  </si>
  <si>
    <t>LIERVAL</t>
  </si>
  <si>
    <t>PLUVIGNER</t>
  </si>
  <si>
    <t>SAINT-ROMANS-DES-CHAMPS</t>
  </si>
  <si>
    <t>MONTILLIERS</t>
  </si>
  <si>
    <t>BARTRES</t>
  </si>
  <si>
    <t>MENONVAL</t>
  </si>
  <si>
    <t>ARPAVON</t>
  </si>
  <si>
    <t>SEXFONTAINES</t>
  </si>
  <si>
    <t>JU-BELLOC</t>
  </si>
  <si>
    <t>VILLEPAIL</t>
  </si>
  <si>
    <t>MONT-SUR-MONNET</t>
  </si>
  <si>
    <t>64122/64700</t>
  </si>
  <si>
    <t>URRUGNE</t>
  </si>
  <si>
    <t>BRIAUCOURT</t>
  </si>
  <si>
    <t>BONNEBOSQ</t>
  </si>
  <si>
    <t>MONTS</t>
  </si>
  <si>
    <t>MECQUIGNIES</t>
  </si>
  <si>
    <t>LA MERLATIERE</t>
  </si>
  <si>
    <t>LA TRINITE-SUR-MER</t>
  </si>
  <si>
    <t>CAZAUX-D'ANGLES</t>
  </si>
  <si>
    <t>BEAUQUESNE</t>
  </si>
  <si>
    <t>LOCMINE</t>
  </si>
  <si>
    <t>RETHEL</t>
  </si>
  <si>
    <t>SAINT-PONT</t>
  </si>
  <si>
    <t>TAGSDORF</t>
  </si>
  <si>
    <t>29930</t>
  </si>
  <si>
    <t>PONT-AVEN</t>
  </si>
  <si>
    <t>MAYRONNES</t>
  </si>
  <si>
    <t>SAINT-JEAN-DE-SERRES</t>
  </si>
  <si>
    <t>CHAREY</t>
  </si>
  <si>
    <t>LAURE-MINERVOIS</t>
  </si>
  <si>
    <t>VAUXCERE</t>
  </si>
  <si>
    <t>BROYE-LES-LOUPS-ET-VERFONTAINE</t>
  </si>
  <si>
    <t>LA PROISELIERE-ET-LANGLE</t>
  </si>
  <si>
    <t>HANCOURT</t>
  </si>
  <si>
    <t>DOUAUMONT</t>
  </si>
  <si>
    <t>CENDRECOURT</t>
  </si>
  <si>
    <t>HAGEVILLE</t>
  </si>
  <si>
    <t>VIC-DES-PRES</t>
  </si>
  <si>
    <t>ARRODETS-EZ-ANGLES</t>
  </si>
  <si>
    <t>TOURCELLES-CHAUMONT</t>
  </si>
  <si>
    <t>FOURDRINOY</t>
  </si>
  <si>
    <t>MICHERY</t>
  </si>
  <si>
    <t>BATSERE</t>
  </si>
  <si>
    <t>VITTERSBOURG</t>
  </si>
  <si>
    <t>JEBSHEIM</t>
  </si>
  <si>
    <t>SAUGON</t>
  </si>
  <si>
    <t>59146</t>
  </si>
  <si>
    <t>PECQUENCOURT</t>
  </si>
  <si>
    <t>BAUDIGNAN</t>
  </si>
  <si>
    <t>CRESSANGES</t>
  </si>
  <si>
    <t>CHATEAU-L'HERMITAGE</t>
  </si>
  <si>
    <t>LISLE-SUR-TARN</t>
  </si>
  <si>
    <t>LARAN</t>
  </si>
  <si>
    <t>CORLIER</t>
  </si>
  <si>
    <t>SAINT-BASILE</t>
  </si>
  <si>
    <t>FLORIMONT-GAUMIER</t>
  </si>
  <si>
    <t>BOUESSE</t>
  </si>
  <si>
    <t>SAINT-AGREVE</t>
  </si>
  <si>
    <t>SAINT-GRATIEN</t>
  </si>
  <si>
    <t>BAULNE</t>
  </si>
  <si>
    <t>78360</t>
  </si>
  <si>
    <t>MONTESSON</t>
  </si>
  <si>
    <t>ECLASSAN</t>
  </si>
  <si>
    <t>LES MARTRES-DE-VEYRE</t>
  </si>
  <si>
    <t>MONTREVAULT</t>
  </si>
  <si>
    <t>TORVILLIERS</t>
  </si>
  <si>
    <t>LES PILLES</t>
  </si>
  <si>
    <t>CONNANTRAY-VAUREFROY</t>
  </si>
  <si>
    <t>VATILIEU</t>
  </si>
  <si>
    <t>LAPEYROUSE-MORNAY</t>
  </si>
  <si>
    <t>TOURNON-SAINT-PIERRE</t>
  </si>
  <si>
    <t>SERQUEUX</t>
  </si>
  <si>
    <t>71850</t>
  </si>
  <si>
    <t>CHARNAY-LES-MACON</t>
  </si>
  <si>
    <t>CHARTRIER-FERRIERE</t>
  </si>
  <si>
    <t>GERMAINE</t>
  </si>
  <si>
    <t>MERACQ</t>
  </si>
  <si>
    <t>MERVAL</t>
  </si>
  <si>
    <t>POIVRES</t>
  </si>
  <si>
    <t>COULLEMELLE</t>
  </si>
  <si>
    <t>LES ASSIONS</t>
  </si>
  <si>
    <t>SAINT-AMAND-SUR-FION</t>
  </si>
  <si>
    <t>56100</t>
  </si>
  <si>
    <t>LORIENT</t>
  </si>
  <si>
    <t>95670</t>
  </si>
  <si>
    <t>MARLY-LA-VILLE</t>
  </si>
  <si>
    <t>JUSSAS</t>
  </si>
  <si>
    <t>FLEURIEU-SUR-SAONE</t>
  </si>
  <si>
    <t>EPINEUX-LE-SEGUIN</t>
  </si>
  <si>
    <t>MONTAILLE</t>
  </si>
  <si>
    <t>AUTHEUX</t>
  </si>
  <si>
    <t>CLONAS-SUR-VAREZE</t>
  </si>
  <si>
    <t>SAINTE-MARIE-KERQUE</t>
  </si>
  <si>
    <t>RILLY-LA-MONTAGNE</t>
  </si>
  <si>
    <t>ORBESSAN</t>
  </si>
  <si>
    <t>LA ROQUEBRUSSANNE</t>
  </si>
  <si>
    <t>NEUVILLALAIS</t>
  </si>
  <si>
    <t>SENCONAC</t>
  </si>
  <si>
    <t>BAS-ET-LEZAT</t>
  </si>
  <si>
    <t>SAINT-GERMAIN-DE-MARTIGNY</t>
  </si>
  <si>
    <t>BELFLOU</t>
  </si>
  <si>
    <t>TOURY</t>
  </si>
  <si>
    <t>QUINCAMPOIX-FLEUZY</t>
  </si>
  <si>
    <t>FOURG</t>
  </si>
  <si>
    <t>PAZIOLS</t>
  </si>
  <si>
    <t>SAINT-LUCIEN</t>
  </si>
  <si>
    <t>CRAVANT-LES-COTEAUX</t>
  </si>
  <si>
    <t>COMPERTRIX</t>
  </si>
  <si>
    <t>BETPOUEY</t>
  </si>
  <si>
    <t>AYETTE</t>
  </si>
  <si>
    <t>SAULES</t>
  </si>
  <si>
    <t>SAINT-SALVY-DE-LA-BALME</t>
  </si>
  <si>
    <t>DIENVILLE</t>
  </si>
  <si>
    <t>HEULAND</t>
  </si>
  <si>
    <t>ARCHIGNAC</t>
  </si>
  <si>
    <t>HAUDIVILLERS</t>
  </si>
  <si>
    <t>RUFFIEUX</t>
  </si>
  <si>
    <t>9290</t>
  </si>
  <si>
    <t>LE MAS-D'AZIL</t>
  </si>
  <si>
    <t>LA BREILLE-LES-PINS</t>
  </si>
  <si>
    <t>ESPANES</t>
  </si>
  <si>
    <t>4190</t>
  </si>
  <si>
    <t>91170</t>
  </si>
  <si>
    <t>VIRY-CHATILLON</t>
  </si>
  <si>
    <t>WIWERSHEIM</t>
  </si>
  <si>
    <t>LA BASTIDE-DE-LORDAT</t>
  </si>
  <si>
    <t>PFAFFENHOFFEN</t>
  </si>
  <si>
    <t>ESPINASSE-VOZELLE</t>
  </si>
  <si>
    <t>CHAINTRIX-BIERGES</t>
  </si>
  <si>
    <t>LE BERNARD</t>
  </si>
  <si>
    <t>POURCHERES</t>
  </si>
  <si>
    <t>71410</t>
  </si>
  <si>
    <t>SANVIGNES-LES-MINES</t>
  </si>
  <si>
    <t>AREN</t>
  </si>
  <si>
    <t>LAGERY</t>
  </si>
  <si>
    <t>LURBE-SAINT-CHRISTAU</t>
  </si>
  <si>
    <t>CHATILLON-SUR-CHER</t>
  </si>
  <si>
    <t>MALLELOY</t>
  </si>
  <si>
    <t>MONTUSSAINT</t>
  </si>
  <si>
    <t>BRACQUEMONT</t>
  </si>
  <si>
    <t>TELLIERES-LE-PLESSIS</t>
  </si>
  <si>
    <t>TOULAUD</t>
  </si>
  <si>
    <t>FRICAMPS</t>
  </si>
  <si>
    <t>BEAUMONT-EN-AUGE</t>
  </si>
  <si>
    <t>COMPS-SUR-ARTUBY</t>
  </si>
  <si>
    <t>CHARGEY-LES-PORT</t>
  </si>
  <si>
    <t>REANS</t>
  </si>
  <si>
    <t>BROZE</t>
  </si>
  <si>
    <t>SAINT-ILLIDE</t>
  </si>
  <si>
    <t>63770</t>
  </si>
  <si>
    <t>LES ANCIZES-COMPS</t>
  </si>
  <si>
    <t>FRESNE-CAUVERVILLE</t>
  </si>
  <si>
    <t>36000</t>
  </si>
  <si>
    <t>CHATEAUROUX</t>
  </si>
  <si>
    <t>CARENTOIR</t>
  </si>
  <si>
    <t>VILLE-SUR-ANCRE</t>
  </si>
  <si>
    <t>FAULQUEMONT</t>
  </si>
  <si>
    <t>SAINT-LEGER-LES-PARAY</t>
  </si>
  <si>
    <t>ALLONZIER-LA-CAILLE</t>
  </si>
  <si>
    <t>TRUN</t>
  </si>
  <si>
    <t>54220</t>
  </si>
  <si>
    <t>MALZEVILLE</t>
  </si>
  <si>
    <t>URSCHENHEIM</t>
  </si>
  <si>
    <t>6230</t>
  </si>
  <si>
    <t>VILLEFRANCHE-SUR-MER</t>
  </si>
  <si>
    <t>SOUDAINE-LAVINADIERE</t>
  </si>
  <si>
    <t>VEILLY</t>
  </si>
  <si>
    <t>LANING</t>
  </si>
  <si>
    <t>COURCELLES-SOUS-MOYENCOURT</t>
  </si>
  <si>
    <t>FONTENAY-LE-PESNEL</t>
  </si>
  <si>
    <t>MONCHECOURT</t>
  </si>
  <si>
    <t>SAINT-PLAISIR</t>
  </si>
  <si>
    <t>LA CHAPELLE-SAINT-SEPULCRE</t>
  </si>
  <si>
    <t>BEAUVOIR-DE-MARC</t>
  </si>
  <si>
    <t>54510</t>
  </si>
  <si>
    <t>ART-SUR-MEURTHE</t>
  </si>
  <si>
    <t>PERIGNEUX</t>
  </si>
  <si>
    <t>34420</t>
  </si>
  <si>
    <t>PORTIRAGNES</t>
  </si>
  <si>
    <t>SAINT-BONNET-PRES-BORT</t>
  </si>
  <si>
    <t>VESAIGNES-SOUS-LAFAUCHE</t>
  </si>
  <si>
    <t>SAINT-MAMET-LA-SALVETAT</t>
  </si>
  <si>
    <t>LORMAISON</t>
  </si>
  <si>
    <t>LA CHAPELLE-SAINT-GERAUD</t>
  </si>
  <si>
    <t>DEMANGEVELLE</t>
  </si>
  <si>
    <t>MOGNENEINS</t>
  </si>
  <si>
    <t>NOUSSE</t>
  </si>
  <si>
    <t>LONGEVELLE-LES-RUSSEY</t>
  </si>
  <si>
    <t>L'EPINAY-LE-COMTE</t>
  </si>
  <si>
    <t>SOUDRON</t>
  </si>
  <si>
    <t>LOHEAC</t>
  </si>
  <si>
    <t>CAZOULES</t>
  </si>
  <si>
    <t>AVAILLES-LIMOUZINE</t>
  </si>
  <si>
    <t>QUERNES</t>
  </si>
  <si>
    <t>JAMERICOURT</t>
  </si>
  <si>
    <t>VIRIGNEUX</t>
  </si>
  <si>
    <t>FRETEVAL</t>
  </si>
  <si>
    <t>YVOY-LE-MARRON</t>
  </si>
  <si>
    <t>LOMPNIEU</t>
  </si>
  <si>
    <t>85550</t>
  </si>
  <si>
    <t>LA BARRE-DE-MONTS</t>
  </si>
  <si>
    <t>DUN-LE-PALESTEL</t>
  </si>
  <si>
    <t>ARTANNES-SUR-INDRE</t>
  </si>
  <si>
    <t>THENEZAY</t>
  </si>
  <si>
    <t>EPERVANS</t>
  </si>
  <si>
    <t>MONTFEY</t>
  </si>
  <si>
    <t>LANNILIS</t>
  </si>
  <si>
    <t>AIBES</t>
  </si>
  <si>
    <t>SAINT-ABIT</t>
  </si>
  <si>
    <t>GARREY</t>
  </si>
  <si>
    <t>IRODOUER</t>
  </si>
  <si>
    <t>ECOURT-SAINT-QUENTIN</t>
  </si>
  <si>
    <t>HERNY</t>
  </si>
  <si>
    <t>SAINT-LAURENT-LA-VALLEE</t>
  </si>
  <si>
    <t>BELUS</t>
  </si>
  <si>
    <t>BOVELLES</t>
  </si>
  <si>
    <t>VILLELONGUE-D'AUDE</t>
  </si>
  <si>
    <t>SAINT-PIERRE-DE-MESAGE</t>
  </si>
  <si>
    <t>CHERVES-RICHEMONT</t>
  </si>
  <si>
    <t>LANTHES</t>
  </si>
  <si>
    <t>LA CHAUSSAIRE</t>
  </si>
  <si>
    <t>BEAUMONT-LES-RANDAN</t>
  </si>
  <si>
    <t>VISSEICHE</t>
  </si>
  <si>
    <t>BERGANTY</t>
  </si>
  <si>
    <t>ONDREVILLE-SUR-ESSONNE</t>
  </si>
  <si>
    <t>MONMADALES</t>
  </si>
  <si>
    <t>FERRIERE-LARCON</t>
  </si>
  <si>
    <t>CONTALMAISON</t>
  </si>
  <si>
    <t>CANY-BARVILLE</t>
  </si>
  <si>
    <t>VILLERS-LE-TILLEUL</t>
  </si>
  <si>
    <t>MUHLBACH-SUR-BRUCHE</t>
  </si>
  <si>
    <t>SAINT-DENIS-LES-SENS</t>
  </si>
  <si>
    <t>FERRIERES-SUR-ARIEGE</t>
  </si>
  <si>
    <t>MENTHON-SAINT-BERNARD</t>
  </si>
  <si>
    <t>SAINT-OFFENGE-DESSOUS</t>
  </si>
  <si>
    <t>PESSOULENS</t>
  </si>
  <si>
    <t>MARCQ</t>
  </si>
  <si>
    <t>TEILLET</t>
  </si>
  <si>
    <t>17750</t>
  </si>
  <si>
    <t>ETAULES</t>
  </si>
  <si>
    <t>74940</t>
  </si>
  <si>
    <t>ANNECY-LE-VIEUX</t>
  </si>
  <si>
    <t>BERGONNE</t>
  </si>
  <si>
    <t>DOMMIERS</t>
  </si>
  <si>
    <t>PIERREFITTE-SUR-LOIRE</t>
  </si>
  <si>
    <t>BROUCK</t>
  </si>
  <si>
    <t>CANTOIN</t>
  </si>
  <si>
    <t>CHADENAC</t>
  </si>
  <si>
    <t>LA MEMBROLLE-SUR-LONGUENEE</t>
  </si>
  <si>
    <t>LEYRITZ-MONCASSIN</t>
  </si>
  <si>
    <t>DIEME</t>
  </si>
  <si>
    <t>SAINT-SULPICE-DES-LANDES</t>
  </si>
  <si>
    <t>73670</t>
  </si>
  <si>
    <t>ENTREMONT-LE-VIEUX</t>
  </si>
  <si>
    <t>ABZAC</t>
  </si>
  <si>
    <t>PENNESIERES</t>
  </si>
  <si>
    <t>BALLERSDORF</t>
  </si>
  <si>
    <t>VILLY-LEZ-FALAISE</t>
  </si>
  <si>
    <t>76870</t>
  </si>
  <si>
    <t>BEAUSSAULT</t>
  </si>
  <si>
    <t>56580</t>
  </si>
  <si>
    <t>CREDIN</t>
  </si>
  <si>
    <t>ANTHENY</t>
  </si>
  <si>
    <t>3630</t>
  </si>
  <si>
    <t>SAINT-ANTHEME</t>
  </si>
  <si>
    <t>OUROUX-SUR-SAONE</t>
  </si>
  <si>
    <t>ESTREES-DENIECOURT</t>
  </si>
  <si>
    <t>60950</t>
  </si>
  <si>
    <t>MONTAGNY-SAINTE-FELICITE</t>
  </si>
  <si>
    <t>68840</t>
  </si>
  <si>
    <t>PULVERSHEIM</t>
  </si>
  <si>
    <t>VILLES-SUR-AUZON</t>
  </si>
  <si>
    <t>13530</t>
  </si>
  <si>
    <t>TRETS</t>
  </si>
  <si>
    <t>CUSSEY-SUR-LISON</t>
  </si>
  <si>
    <t>PONT-DE-L'ISERE</t>
  </si>
  <si>
    <t>LA BIGNE</t>
  </si>
  <si>
    <t>ODRATZHEIM</t>
  </si>
  <si>
    <t>PRESSAC</t>
  </si>
  <si>
    <t>77183</t>
  </si>
  <si>
    <t>CROISSY-BEAUBOURG</t>
  </si>
  <si>
    <t>USTOU</t>
  </si>
  <si>
    <t>BOUY</t>
  </si>
  <si>
    <t>VARETZ</t>
  </si>
  <si>
    <t>ESCLES</t>
  </si>
  <si>
    <t>LANOUAILLE</t>
  </si>
  <si>
    <t>VAUX-ANDIGNY</t>
  </si>
  <si>
    <t>VILLEFRANCON</t>
  </si>
  <si>
    <t>SAINT-OUEN-EN-CHAMPAGNE</t>
  </si>
  <si>
    <t>BOSMONT-SUR-SERRE</t>
  </si>
  <si>
    <t>6330</t>
  </si>
  <si>
    <t>ROQUEFORT-LES-PINS</t>
  </si>
  <si>
    <t>LASCELLE</t>
  </si>
  <si>
    <t>LOMBERS</t>
  </si>
  <si>
    <t>SAINT-MAURICE-LES-BROUSSES</t>
  </si>
  <si>
    <t>MONCHY-AU-BOIS</t>
  </si>
  <si>
    <t>BELCODENE</t>
  </si>
  <si>
    <t>COURBEPINE</t>
  </si>
  <si>
    <t>DORMANS</t>
  </si>
  <si>
    <t>LOISIA</t>
  </si>
  <si>
    <t>PERRANCEY-LES-VIEUX-MOULINS</t>
  </si>
  <si>
    <t>MAGESCQ</t>
  </si>
  <si>
    <t>11440</t>
  </si>
  <si>
    <t>PEYRIAC-DE-MER</t>
  </si>
  <si>
    <t>MENTHONNEX-EN-BORNES</t>
  </si>
  <si>
    <t>LE GARN</t>
  </si>
  <si>
    <t>VANDY</t>
  </si>
  <si>
    <t>MAZEYRAT-D'ALLIER</t>
  </si>
  <si>
    <t>CREON-D'ARMAGNAC</t>
  </si>
  <si>
    <t>PERCEY-LE-GRAND</t>
  </si>
  <si>
    <t>KIENHEIM</t>
  </si>
  <si>
    <t>LARROQUE-ENGALIN</t>
  </si>
  <si>
    <t>KOUNGOU</t>
  </si>
  <si>
    <t>HAGENTHAL-LE-BAS</t>
  </si>
  <si>
    <t>64000</t>
  </si>
  <si>
    <t>PAU</t>
  </si>
  <si>
    <t>EYDOCHE</t>
  </si>
  <si>
    <t>CHATEAUMEILLANT</t>
  </si>
  <si>
    <t>MARQUEFAVE</t>
  </si>
  <si>
    <t>CHAMPIGNY-LA-FUTELAYE</t>
  </si>
  <si>
    <t>THIRON-GARDAIS</t>
  </si>
  <si>
    <t>ANDRYES</t>
  </si>
  <si>
    <t>59185</t>
  </si>
  <si>
    <t>PROVIN</t>
  </si>
  <si>
    <t>LA SELLE-EN-HERMOY</t>
  </si>
  <si>
    <t>LA ROCHE-DERRIEN</t>
  </si>
  <si>
    <t>SAINT-PONS-DE-THOMIERES</t>
  </si>
  <si>
    <t>PUY-SAINT-VINCENT</t>
  </si>
  <si>
    <t>97438</t>
  </si>
  <si>
    <t>MONTHERLANT</t>
  </si>
  <si>
    <t>33930</t>
  </si>
  <si>
    <t>VENDAYS-MONTALIVET</t>
  </si>
  <si>
    <t>HAUTBOS</t>
  </si>
  <si>
    <t>YMONVILLE</t>
  </si>
  <si>
    <t>EYNE</t>
  </si>
  <si>
    <t>VENNES</t>
  </si>
  <si>
    <t>76117</t>
  </si>
  <si>
    <t>INCHEVILLE</t>
  </si>
  <si>
    <t>LEPUIX-NEUF</t>
  </si>
  <si>
    <t>EMANVILLE</t>
  </si>
  <si>
    <t>BUDING</t>
  </si>
  <si>
    <t>CALCE</t>
  </si>
  <si>
    <t>SUZAY</t>
  </si>
  <si>
    <t>CHAMBON-SAINTE-CROIX</t>
  </si>
  <si>
    <t>MONTFAUCON-EN-VELAY</t>
  </si>
  <si>
    <t>REMELFING</t>
  </si>
  <si>
    <t>BIARRITZ</t>
  </si>
  <si>
    <t>LA MAISON-DIEU</t>
  </si>
  <si>
    <t>BENERVILLE-SUR-MER</t>
  </si>
  <si>
    <t>ROUSSENT</t>
  </si>
  <si>
    <t>LEMPAUT</t>
  </si>
  <si>
    <t>SAINTE-HONORINE-LA-GUILLAUME</t>
  </si>
  <si>
    <t>HAUTMOUGEY</t>
  </si>
  <si>
    <t>AUZAS</t>
  </si>
  <si>
    <t>ROTHBACH</t>
  </si>
  <si>
    <t>PRECY-LE-SEC</t>
  </si>
  <si>
    <t>BARBAS</t>
  </si>
  <si>
    <t>BLENEAU</t>
  </si>
  <si>
    <t>PUISEUX</t>
  </si>
  <si>
    <t>SAINT-THOMAS-EN-ARGONNE</t>
  </si>
  <si>
    <t>SAULCHOY-SOUS-POIX</t>
  </si>
  <si>
    <t>ASPACH-LE-BAS</t>
  </si>
  <si>
    <t>EYRES-MONCUBE</t>
  </si>
  <si>
    <t>LAFRIMBOLLE</t>
  </si>
  <si>
    <t>LA GUERCHE-SUR-L'AUBOIS</t>
  </si>
  <si>
    <t>PUBERG</t>
  </si>
  <si>
    <t>CURIS-AU-MONT-D'OR</t>
  </si>
  <si>
    <t>MONTEGUT-LAURAGAIS</t>
  </si>
  <si>
    <t>BONNEVENT-VELLOREILLE</t>
  </si>
  <si>
    <t>MERCATEL</t>
  </si>
  <si>
    <t>CAMPOUSSY</t>
  </si>
  <si>
    <t>VANAULT-LE-CHATEL</t>
  </si>
  <si>
    <t>AGNEAUX</t>
  </si>
  <si>
    <t>BUSSON</t>
  </si>
  <si>
    <t>PECQUEUSE</t>
  </si>
  <si>
    <t>GUMBRECHTSHOFFEN</t>
  </si>
  <si>
    <t>FRESSIES</t>
  </si>
  <si>
    <t>VILLAROUX</t>
  </si>
  <si>
    <t>CESSE</t>
  </si>
  <si>
    <t>BARESIA-SUR-L'AIN</t>
  </si>
  <si>
    <t>RODELLE</t>
  </si>
  <si>
    <t>KERNOUES</t>
  </si>
  <si>
    <t>COUDEKERQUE-VILLAGE</t>
  </si>
  <si>
    <t>CUSSY</t>
  </si>
  <si>
    <t>LEDAS-ET-PENTHIES</t>
  </si>
  <si>
    <t>LA CHEVRERIE</t>
  </si>
  <si>
    <t>UCHAUD</t>
  </si>
  <si>
    <t>OZOURT</t>
  </si>
  <si>
    <t>LESTIOU</t>
  </si>
  <si>
    <t>SEVERAC</t>
  </si>
  <si>
    <t>BOUZIN</t>
  </si>
  <si>
    <t>84470</t>
  </si>
  <si>
    <t>CHATEAUNEUF-DE-GADAGNE</t>
  </si>
  <si>
    <t>BAILLEUL-AUX-CORNAILLES</t>
  </si>
  <si>
    <t>WABEN</t>
  </si>
  <si>
    <t>TRESSAN</t>
  </si>
  <si>
    <t>SAINT-JEAN-DE-BASSEL</t>
  </si>
  <si>
    <t>RUMONT</t>
  </si>
  <si>
    <t>MOUSSY</t>
  </si>
  <si>
    <t>VILLERS-SUR-AUTHIE</t>
  </si>
  <si>
    <t>MONTCENIS</t>
  </si>
  <si>
    <t>SAINT-GERMAIN-VILLAGE</t>
  </si>
  <si>
    <t>CHAUMONT-LE-BOURG</t>
  </si>
  <si>
    <t>BRAINS</t>
  </si>
  <si>
    <t>ETAIS-LA-SAUVIN</t>
  </si>
  <si>
    <t>DALUIS</t>
  </si>
  <si>
    <t>THIVERNY</t>
  </si>
  <si>
    <t>RUCQUEVILLE</t>
  </si>
  <si>
    <t>FONTIENNE</t>
  </si>
  <si>
    <t>93330</t>
  </si>
  <si>
    <t>NEUILLY-SUR-MARNE</t>
  </si>
  <si>
    <t>SAINT-EVROULT-DE-MONTFORT</t>
  </si>
  <si>
    <t>JUILLAGUET</t>
  </si>
  <si>
    <t>PARAY-DOUAVILLE</t>
  </si>
  <si>
    <t>SAINT-YRIEIX-LES-BOIS</t>
  </si>
  <si>
    <t>PALLUEL</t>
  </si>
  <si>
    <t>2B080</t>
  </si>
  <si>
    <t>CASTIFAO</t>
  </si>
  <si>
    <t>CLEYZIEU</t>
  </si>
  <si>
    <t>SAINT-LAURENT-D'AGNY</t>
  </si>
  <si>
    <t>CORROY</t>
  </si>
  <si>
    <t>86240</t>
  </si>
  <si>
    <t>ITEUIL</t>
  </si>
  <si>
    <t>CREQUY</t>
  </si>
  <si>
    <t>TRESSE</t>
  </si>
  <si>
    <t>COURMELLES</t>
  </si>
  <si>
    <t>SAINT-PIERRE-DE-VARENGEVILLE</t>
  </si>
  <si>
    <t>SAINT-PAUL-LA-COSTE</t>
  </si>
  <si>
    <t>MAZERAY</t>
  </si>
  <si>
    <t>LES PINTHIERES</t>
  </si>
  <si>
    <t>SAINT-JORY-DE-CHALAIS</t>
  </si>
  <si>
    <t>WAILLY</t>
  </si>
  <si>
    <t>LE CAYLAR</t>
  </si>
  <si>
    <t>RAVIERES</t>
  </si>
  <si>
    <t>97170</t>
  </si>
  <si>
    <t>PETIT-BOURG</t>
  </si>
  <si>
    <t>94410</t>
  </si>
  <si>
    <t>VARENNES-LES-MACON</t>
  </si>
  <si>
    <t>CAUNEILLE</t>
  </si>
  <si>
    <t>ARTASSENX</t>
  </si>
  <si>
    <t>BAYAC</t>
  </si>
  <si>
    <t>CROUY</t>
  </si>
  <si>
    <t>TALAZAC</t>
  </si>
  <si>
    <t>BOURSCHEID</t>
  </si>
  <si>
    <t>SAINT-POINT</t>
  </si>
  <si>
    <t>SAINT-MARCELIN-DE-CRAY</t>
  </si>
  <si>
    <t>BELLEFOND</t>
  </si>
  <si>
    <t>SONGY</t>
  </si>
  <si>
    <t>HAMARS</t>
  </si>
  <si>
    <t>CARDEILHAC</t>
  </si>
  <si>
    <t>DOUDEVILLE</t>
  </si>
  <si>
    <t>EDERN</t>
  </si>
  <si>
    <t>SANTEC</t>
  </si>
  <si>
    <t>6540</t>
  </si>
  <si>
    <t>FONTAN</t>
  </si>
  <si>
    <t>67610</t>
  </si>
  <si>
    <t>LA WANTZENAU</t>
  </si>
  <si>
    <t>WILDERSBACH</t>
  </si>
  <si>
    <t>POZIERES</t>
  </si>
  <si>
    <t>SUIPPES</t>
  </si>
  <si>
    <t>SAUSSENAC</t>
  </si>
  <si>
    <t>GRANGUES</t>
  </si>
  <si>
    <t>ALEX</t>
  </si>
  <si>
    <t>PAMIERS</t>
  </si>
  <si>
    <t>ORCEVAUX</t>
  </si>
  <si>
    <t>LINSDORF</t>
  </si>
  <si>
    <t>CHAUMONT-EN-VEXIN</t>
  </si>
  <si>
    <t>MONTSALES</t>
  </si>
  <si>
    <t>VESTRIC-ET-CANDIAC</t>
  </si>
  <si>
    <t>METZ-ROBERT</t>
  </si>
  <si>
    <t>ARGEIN</t>
  </si>
  <si>
    <t>SAINT-SAUVEUR-EN-RUE</t>
  </si>
  <si>
    <t>BRAYE-EN-THIERACHE</t>
  </si>
  <si>
    <t>ZOUAFQUES</t>
  </si>
  <si>
    <t>COINCES</t>
  </si>
  <si>
    <t>VINCENT</t>
  </si>
  <si>
    <t>SAINT-GEORGES-SUR-LAYON</t>
  </si>
  <si>
    <t>SAINT-DYE-SUR-LOIRE</t>
  </si>
  <si>
    <t>COUDROY</t>
  </si>
  <si>
    <t>LAQUENEXY</t>
  </si>
  <si>
    <t>LALANNE-ARQUE</t>
  </si>
  <si>
    <t>GENTIOUX-PIGEROLLES</t>
  </si>
  <si>
    <t>PEYSSIES</t>
  </si>
  <si>
    <t>BELLEFONDS</t>
  </si>
  <si>
    <t>BELLENCOMBRE</t>
  </si>
  <si>
    <t>LE VEY</t>
  </si>
  <si>
    <t>BERNECOURT</t>
  </si>
  <si>
    <t>CAPVERN</t>
  </si>
  <si>
    <t>13380</t>
  </si>
  <si>
    <t>PLAN-DE-CUQUES</t>
  </si>
  <si>
    <t>LA QUEUE-LES-YVELINES</t>
  </si>
  <si>
    <t>ISLAND</t>
  </si>
  <si>
    <t>BELESTA-EN-LAURAGAIS</t>
  </si>
  <si>
    <t>SOING-CUBRY-CHARENTENAY</t>
  </si>
  <si>
    <t>MARSAIS</t>
  </si>
  <si>
    <t>BRINAY</t>
  </si>
  <si>
    <t>TRACY-LE-VAL</t>
  </si>
  <si>
    <t>ELLIANT</t>
  </si>
  <si>
    <t>CHAIGNES</t>
  </si>
  <si>
    <t>75001</t>
  </si>
  <si>
    <t>PARIS-1ER-ARRONDISSEMENT</t>
  </si>
  <si>
    <t>BOURBON-L'ARCHAMBAULT</t>
  </si>
  <si>
    <t>LUGAGNAN</t>
  </si>
  <si>
    <t>ISLE-SAINT-GEORGES</t>
  </si>
  <si>
    <t>SAINT-MAIXME-HAUTERIVE</t>
  </si>
  <si>
    <t>SAINS</t>
  </si>
  <si>
    <t>LES OLLIERES</t>
  </si>
  <si>
    <t>SAINT-GENEST-LACHAMP</t>
  </si>
  <si>
    <t>BEAUMETZ-LES-AIRE</t>
  </si>
  <si>
    <t>SAINT-GEORGES-DES-SEPT-VOIES</t>
  </si>
  <si>
    <t>MONCEAU-SAINT-WAAST</t>
  </si>
  <si>
    <t>14000</t>
  </si>
  <si>
    <t>CAEN</t>
  </si>
  <si>
    <t>VILLEZ-SUR-LE-NEUBOURG</t>
  </si>
  <si>
    <t>URVAL</t>
  </si>
  <si>
    <t>MENS</t>
  </si>
  <si>
    <t>GABRE</t>
  </si>
  <si>
    <t>DOGNEVILLE</t>
  </si>
  <si>
    <t>GAUJAN</t>
  </si>
  <si>
    <t>LAGLORIEUSE</t>
  </si>
  <si>
    <t>TRANCRAINVILLE</t>
  </si>
  <si>
    <t>SASSANGY</t>
  </si>
  <si>
    <t>MARQUETTE-EN-OSTREVANT</t>
  </si>
  <si>
    <t>OCCAGNES</t>
  </si>
  <si>
    <t>FONTAINE-FRANCAISE</t>
  </si>
  <si>
    <t>VILLAVARD</t>
  </si>
  <si>
    <t>FLANCOURT-CATELON</t>
  </si>
  <si>
    <t>LOCHE-SUR-INDROIS</t>
  </si>
  <si>
    <t>LANGLEY</t>
  </si>
  <si>
    <t>BREVANS</t>
  </si>
  <si>
    <t>TORTISAMBERT</t>
  </si>
  <si>
    <t>LES MAGNILS-REIGNIERS</t>
  </si>
  <si>
    <t>PERPEZAC-LE-BLANC</t>
  </si>
  <si>
    <t>NASSIET</t>
  </si>
  <si>
    <t>VIRIVILLE</t>
  </si>
  <si>
    <t>EYNESSE</t>
  </si>
  <si>
    <t>11130</t>
  </si>
  <si>
    <t>SIGEAN</t>
  </si>
  <si>
    <t>PLEURS</t>
  </si>
  <si>
    <t>LONGPRE-LES-CORPS-SAINTS</t>
  </si>
  <si>
    <t>GIVRAUVAL</t>
  </si>
  <si>
    <t>BEAURAINS</t>
  </si>
  <si>
    <t>SAINT-ANDRE-FARIVILLERS</t>
  </si>
  <si>
    <t>CROTTES-EN-PITHIVERAIS</t>
  </si>
  <si>
    <t>VARS-SUR-ROSEIX</t>
  </si>
  <si>
    <t>63111</t>
  </si>
  <si>
    <t>DALLET</t>
  </si>
  <si>
    <t>MAUZAC-ET-GRAND-CASTANG</t>
  </si>
  <si>
    <t>29200</t>
  </si>
  <si>
    <t>BREST</t>
  </si>
  <si>
    <t>LANHOUARNEAU</t>
  </si>
  <si>
    <t>SOURSAC</t>
  </si>
  <si>
    <t>LA CHAPELLE-EN-VERCORS</t>
  </si>
  <si>
    <t>ECLAIRES</t>
  </si>
  <si>
    <t>VILLEMORIEN</t>
  </si>
  <si>
    <t>MONTALIEU-VERCIEU</t>
  </si>
  <si>
    <t>RONEL</t>
  </si>
  <si>
    <t>SAVIGNY-EN-SEPTAINE</t>
  </si>
  <si>
    <t>PLELO</t>
  </si>
  <si>
    <t>COURTONNE-LES-DEUX-EGLISES</t>
  </si>
  <si>
    <t>LA LANTERNE-ET-LES-ARMONTS</t>
  </si>
  <si>
    <t>COUDUN</t>
  </si>
  <si>
    <t>LALANNE-TRIE</t>
  </si>
  <si>
    <t>SEMEZANGES</t>
  </si>
  <si>
    <t>PLAISIANS</t>
  </si>
  <si>
    <t>CLAYEURES</t>
  </si>
  <si>
    <t>COULANGERON</t>
  </si>
  <si>
    <t>COUPEVILLE</t>
  </si>
  <si>
    <t>LONGWE</t>
  </si>
  <si>
    <t>SURAT</t>
  </si>
  <si>
    <t>SOLLIERES-SARDIERES</t>
  </si>
  <si>
    <t>LES CROZETS</t>
  </si>
  <si>
    <t>SAUSSY</t>
  </si>
  <si>
    <t>REALLON</t>
  </si>
  <si>
    <t>LE PLANOIS</t>
  </si>
  <si>
    <t>COUPELLE-NEUVE</t>
  </si>
  <si>
    <t>37230</t>
  </si>
  <si>
    <t>FONDETTES</t>
  </si>
  <si>
    <t>BOINVILLE-LE-GAILLARD</t>
  </si>
  <si>
    <t>BILIEU</t>
  </si>
  <si>
    <t>BOUILLANCOURT-LA-BATAILLE</t>
  </si>
  <si>
    <t>2B016</t>
  </si>
  <si>
    <t>ANTISANTI</t>
  </si>
  <si>
    <t>LORQUIN</t>
  </si>
  <si>
    <t>CORBEHEM</t>
  </si>
  <si>
    <t>PAPLEUX</t>
  </si>
  <si>
    <t>LOGUIVY-PLOUGRAS</t>
  </si>
  <si>
    <t>LA MURE-ARGENS</t>
  </si>
  <si>
    <t>LONGUEIL-ANNEL</t>
  </si>
  <si>
    <t>MASCLAT</t>
  </si>
  <si>
    <t>REALCAMP</t>
  </si>
  <si>
    <t>LILLERS</t>
  </si>
  <si>
    <t>MONCEAUX-LE-COMTE</t>
  </si>
  <si>
    <t>FAUCIGNY</t>
  </si>
  <si>
    <t>LABEGUDE</t>
  </si>
  <si>
    <t>GOMENE</t>
  </si>
  <si>
    <t>DOUMELY-BEGNY</t>
  </si>
  <si>
    <t>WITRY-LES-REIMS</t>
  </si>
  <si>
    <t>SAINT-HILAIRE-SAINT-MESMIN</t>
  </si>
  <si>
    <t>EPINAL</t>
  </si>
  <si>
    <t>BERNE</t>
  </si>
  <si>
    <t>VILLEMAUR-SUR-VANNE</t>
  </si>
  <si>
    <t>ECALLES-ALIX</t>
  </si>
  <si>
    <t>20172</t>
  </si>
  <si>
    <t>2A345</t>
  </si>
  <si>
    <t>VERO</t>
  </si>
  <si>
    <t>SAINT-JULIEN-EN-CHAMPSAUR</t>
  </si>
  <si>
    <t>CHOUY</t>
  </si>
  <si>
    <t>BRIQUENAY</t>
  </si>
  <si>
    <t>LOURNAND</t>
  </si>
  <si>
    <t>ESTIALESCQ</t>
  </si>
  <si>
    <t>DUAULT</t>
  </si>
  <si>
    <t>JULLY</t>
  </si>
  <si>
    <t>MONLEZUN</t>
  </si>
  <si>
    <t>SIVERGUES</t>
  </si>
  <si>
    <t>MEHUN-SUR-YEVRE</t>
  </si>
  <si>
    <t>BROUVILLE</t>
  </si>
  <si>
    <t>SAMAZAN</t>
  </si>
  <si>
    <t>SAINT-BENEZET</t>
  </si>
  <si>
    <t>GONNEHEM</t>
  </si>
  <si>
    <t>MACAU</t>
  </si>
  <si>
    <t>CLUIS</t>
  </si>
  <si>
    <t>ELAN</t>
  </si>
  <si>
    <t>FAVEROLLES-SUR-CHER</t>
  </si>
  <si>
    <t>SALEIGNES</t>
  </si>
  <si>
    <t>LES BORDES-SUR-ARIZE</t>
  </si>
  <si>
    <t>LYS-LEZ-LANNOY</t>
  </si>
  <si>
    <t>ETAMPES-SUR-MARNE</t>
  </si>
  <si>
    <t>2B305</t>
  </si>
  <si>
    <t>SAN-MARTINO-DI-LOTA</t>
  </si>
  <si>
    <t>65660</t>
  </si>
  <si>
    <t>AVENTIGNAN</t>
  </si>
  <si>
    <t>SOIZY-AUX-BOIS</t>
  </si>
  <si>
    <t>30510</t>
  </si>
  <si>
    <t>CHOUSSY</t>
  </si>
  <si>
    <t>6730</t>
  </si>
  <si>
    <t>SAINT-ANDRE-DE-LA-ROCHE</t>
  </si>
  <si>
    <t>DOUVREND</t>
  </si>
  <si>
    <t>BERTHELMING</t>
  </si>
  <si>
    <t>HUOS</t>
  </si>
  <si>
    <t>SAINT-SAMSON-DE-BONFOSSE</t>
  </si>
  <si>
    <t>LUZ-SAINT-SAUVEUR</t>
  </si>
  <si>
    <t>NIEDERMORSCHWIHR</t>
  </si>
  <si>
    <t>SAINT-CHAMANT</t>
  </si>
  <si>
    <t>ARBLADE-LE-BAS</t>
  </si>
  <si>
    <t>RUPT-EN-WOEVRE</t>
  </si>
  <si>
    <t>54640</t>
  </si>
  <si>
    <t>TUCQUEGNIEUX</t>
  </si>
  <si>
    <t>MARSA</t>
  </si>
  <si>
    <t>LAMPERTHEIM</t>
  </si>
  <si>
    <t>FERON</t>
  </si>
  <si>
    <t>PAIZAY-LE-TORT</t>
  </si>
  <si>
    <t>57650</t>
  </si>
  <si>
    <t>FONTOY</t>
  </si>
  <si>
    <t>FONTVANNES</t>
  </si>
  <si>
    <t>13124</t>
  </si>
  <si>
    <t>PEYPIN</t>
  </si>
  <si>
    <t>CHIPILLY</t>
  </si>
  <si>
    <t>SAINT-PAUL-ET-VALMALLE</t>
  </si>
  <si>
    <t>SAINT-URBAIN-MACONCOURT</t>
  </si>
  <si>
    <t>ARBAS</t>
  </si>
  <si>
    <t>BELRUPT-EN-VERDUNOIS</t>
  </si>
  <si>
    <t>SAINT-SEVER-CALVADOS</t>
  </si>
  <si>
    <t>SAINT-GUINOUX</t>
  </si>
  <si>
    <t>MORDELLES</t>
  </si>
  <si>
    <t>REMAUGIES</t>
  </si>
  <si>
    <t>VEUVES</t>
  </si>
  <si>
    <t>MONTMOYEN</t>
  </si>
  <si>
    <t>BAINVILLE-AUX-SAULES</t>
  </si>
  <si>
    <t>MANGONVILLE</t>
  </si>
  <si>
    <t>TERNAS</t>
  </si>
  <si>
    <t>BOUSSENS</t>
  </si>
  <si>
    <t>VENDES</t>
  </si>
  <si>
    <t>SAINT-MARTIN-DU-BOIS</t>
  </si>
  <si>
    <t>BOMMIERS</t>
  </si>
  <si>
    <t>LABEUVILLE</t>
  </si>
  <si>
    <t>MONTIGNY-LES-MONTS</t>
  </si>
  <si>
    <t>SAINT-QUENTIN-LE-VERGER</t>
  </si>
  <si>
    <t>PERTHEVILLE-NERS</t>
  </si>
  <si>
    <t>LACASSAGNE</t>
  </si>
  <si>
    <t>77173</t>
  </si>
  <si>
    <t>CHEVRY-COSSIGNY</t>
  </si>
  <si>
    <t>MAIZERAY</t>
  </si>
  <si>
    <t>SOLIGNAC-SUR-LOIRE</t>
  </si>
  <si>
    <t>QUINTILLAN</t>
  </si>
  <si>
    <t>CHATEAU-BREHAIN</t>
  </si>
  <si>
    <t>PINSAGUEL</t>
  </si>
  <si>
    <t>2B182</t>
  </si>
  <si>
    <t>OCCHIATANA</t>
  </si>
  <si>
    <t>CONCHES-SUR-GONDOIRE</t>
  </si>
  <si>
    <t>ARRENTES-DE-CORCIEUX</t>
  </si>
  <si>
    <t>LAUBACH</t>
  </si>
  <si>
    <t>6190</t>
  </si>
  <si>
    <t>ROQUEBRUNE-CAP-MARTIN</t>
  </si>
  <si>
    <t>DROUGES</t>
  </si>
  <si>
    <t>TINGRY</t>
  </si>
  <si>
    <t>BERROGAIN-LARUNS</t>
  </si>
  <si>
    <t>BALIZAC</t>
  </si>
  <si>
    <t>ARDENAY-SUR-MERIZE</t>
  </si>
  <si>
    <t>MONTAPAS</t>
  </si>
  <si>
    <t>MONSTEROUX-MILIEU</t>
  </si>
  <si>
    <t>ARANC</t>
  </si>
  <si>
    <t>LARZAC</t>
  </si>
  <si>
    <t>SOUHEY</t>
  </si>
  <si>
    <t>BARBONNE-FAYEL</t>
  </si>
  <si>
    <t>CHAUVIGNE</t>
  </si>
  <si>
    <t>LAMURE-SUR-AZERGUES</t>
  </si>
  <si>
    <t>PARS-LES-CHAVANGES</t>
  </si>
  <si>
    <t>ITXASSOU</t>
  </si>
  <si>
    <t>LES AYVELLES</t>
  </si>
  <si>
    <t>CRISSAY-SUR-MANSE</t>
  </si>
  <si>
    <t>ETINEHEM</t>
  </si>
  <si>
    <t>ARTIGUES-PRES-BORDEAUX</t>
  </si>
  <si>
    <t>PEYRILHAC</t>
  </si>
  <si>
    <t>BOUSSY</t>
  </si>
  <si>
    <t>CHAMELET</t>
  </si>
  <si>
    <t>ANGOMONT</t>
  </si>
  <si>
    <t>SILLARS</t>
  </si>
  <si>
    <t>LE SAIX</t>
  </si>
  <si>
    <t>LES AVANCHERS-VALMOREL</t>
  </si>
  <si>
    <t>SAINT-MACAIRE</t>
  </si>
  <si>
    <t>VICQ-SUR-NAHON</t>
  </si>
  <si>
    <t>MANICAMP</t>
  </si>
  <si>
    <t>RIBIERS</t>
  </si>
  <si>
    <t>LA FAGE-MONTIVERNOUX</t>
  </si>
  <si>
    <t>2A014</t>
  </si>
  <si>
    <t>AMBIEGNA</t>
  </si>
  <si>
    <t>METHAMIS</t>
  </si>
  <si>
    <t>LIEUSAINT</t>
  </si>
  <si>
    <t>SAINT-RIEUL</t>
  </si>
  <si>
    <t>THILLEUX</t>
  </si>
  <si>
    <t>LE VALDECIE</t>
  </si>
  <si>
    <t>LAMOTHE-CUMONT</t>
  </si>
  <si>
    <t>BAZOCHES-LES-BRAY</t>
  </si>
  <si>
    <t>VILLEFRANCHE-LE-CHATEAU</t>
  </si>
  <si>
    <t>BEAURONNE</t>
  </si>
  <si>
    <t>EPINIAC</t>
  </si>
  <si>
    <t>DOMLEGER-LONGVILLERS</t>
  </si>
  <si>
    <t>CASTRES-GIRONDE</t>
  </si>
  <si>
    <t>BLESME</t>
  </si>
  <si>
    <t>CRESANTIGNES</t>
  </si>
  <si>
    <t>LAVIT</t>
  </si>
  <si>
    <t>FAYS-LA-CHAPELLE</t>
  </si>
  <si>
    <t>CAMPROND</t>
  </si>
  <si>
    <t>THUIT-HEBERT</t>
  </si>
  <si>
    <t>LEUGLAY</t>
  </si>
  <si>
    <t>FEY</t>
  </si>
  <si>
    <t>WASSY</t>
  </si>
  <si>
    <t>TONNAY-CHARENTE</t>
  </si>
  <si>
    <t>VESVRES-SOUS-CHALANCEY</t>
  </si>
  <si>
    <t>HAUTES-DUYES</t>
  </si>
  <si>
    <t>MARBEVILLE</t>
  </si>
  <si>
    <t>SALIGNY-LE-VIF</t>
  </si>
  <si>
    <t>35620</t>
  </si>
  <si>
    <t>ERCE-EN-LAMEE</t>
  </si>
  <si>
    <t>CORLAY</t>
  </si>
  <si>
    <t>LA CHAPELLE-BALOUE</t>
  </si>
  <si>
    <t>MEZILHAC</t>
  </si>
  <si>
    <t>FROMEZEY</t>
  </si>
  <si>
    <t>LABURGADE</t>
  </si>
  <si>
    <t>PERIERS-SUR-LE-DAN</t>
  </si>
  <si>
    <t>SONNAC</t>
  </si>
  <si>
    <t>COMBON</t>
  </si>
  <si>
    <t>FONTAINE-L'ETALON</t>
  </si>
  <si>
    <t>SALIES</t>
  </si>
  <si>
    <t>LINIERS</t>
  </si>
  <si>
    <t>LA MORTE</t>
  </si>
  <si>
    <t>LUXE</t>
  </si>
  <si>
    <t>AGUDELLE</t>
  </si>
  <si>
    <t>LA COQUILLE</t>
  </si>
  <si>
    <t>SAINT-REVEREND</t>
  </si>
  <si>
    <t>SAINT-ELIX-SEGLAN</t>
  </si>
  <si>
    <t>POSTROFF</t>
  </si>
  <si>
    <t>MESNIL-SELLIERES</t>
  </si>
  <si>
    <t>TERRAMESNIL</t>
  </si>
  <si>
    <t>SAINT-MARTIN-SUR-OUANNE</t>
  </si>
  <si>
    <t>SEMONS</t>
  </si>
  <si>
    <t>SAINT-AUBIN-ROUTOT</t>
  </si>
  <si>
    <t>MASSIEUX</t>
  </si>
  <si>
    <t>FONCQUEVILLERS</t>
  </si>
  <si>
    <t>USCLADES-ET-RIEUTORD</t>
  </si>
  <si>
    <t>BARRAS</t>
  </si>
  <si>
    <t>ITTERSWILLER</t>
  </si>
  <si>
    <t>CUIRY-HOUSSE</t>
  </si>
  <si>
    <t>60113</t>
  </si>
  <si>
    <t>BRAISNES-SUR-ARONDE</t>
  </si>
  <si>
    <t>XANREY</t>
  </si>
  <si>
    <t>HAVANGE</t>
  </si>
  <si>
    <t>ALLEUZE</t>
  </si>
  <si>
    <t>SAINT-CONTEST</t>
  </si>
  <si>
    <t>FLAUX</t>
  </si>
  <si>
    <t>LA LAIGNE</t>
  </si>
  <si>
    <t>PRAYOLS</t>
  </si>
  <si>
    <t>MOULEZAN</t>
  </si>
  <si>
    <t>LIVINHAC-LE-HAUT</t>
  </si>
  <si>
    <t>SERMAISES</t>
  </si>
  <si>
    <t>50860</t>
  </si>
  <si>
    <t>LE MESNIL-OPAC</t>
  </si>
  <si>
    <t>AUFFREVILLE-BRASSEUIL</t>
  </si>
  <si>
    <t>SALLEBOEUF</t>
  </si>
  <si>
    <t>MAGNICOURT-SUR-CANCHE</t>
  </si>
  <si>
    <t>LIERCOURT</t>
  </si>
  <si>
    <t>SAINT-DIONISY</t>
  </si>
  <si>
    <t>TOUSSAINT</t>
  </si>
  <si>
    <t>BONNEMAIN</t>
  </si>
  <si>
    <t>BAR-LE-DUC</t>
  </si>
  <si>
    <t>PAULHIAC</t>
  </si>
  <si>
    <t>DOMEYROT</t>
  </si>
  <si>
    <t>LOUBENS-LAURAGAIS</t>
  </si>
  <si>
    <t>MONTCUIT</t>
  </si>
  <si>
    <t>HAUDRECY</t>
  </si>
  <si>
    <t>PLACEY</t>
  </si>
  <si>
    <t>49199</t>
  </si>
  <si>
    <t>VIX</t>
  </si>
  <si>
    <t>GRINCOURT-LES-PAS</t>
  </si>
  <si>
    <t>BREUILH</t>
  </si>
  <si>
    <t>PHLIN</t>
  </si>
  <si>
    <t>LARZICOURT</t>
  </si>
  <si>
    <t>BESSET</t>
  </si>
  <si>
    <t>LANEUVEVILLE-AUX-BOIS</t>
  </si>
  <si>
    <t>CARHAIX-PLOUGUER</t>
  </si>
  <si>
    <t>PLOUBEZRE</t>
  </si>
  <si>
    <t>POUZILHAC</t>
  </si>
  <si>
    <t>CHAMOUSSET</t>
  </si>
  <si>
    <t>BESNEVILLE</t>
  </si>
  <si>
    <t>NOTRE-DAME-DU-BEC</t>
  </si>
  <si>
    <t>PONTCHATEAU</t>
  </si>
  <si>
    <t>LANCHERES</t>
  </si>
  <si>
    <t>MAGNY-SUR-TILLE</t>
  </si>
  <si>
    <t>QUINEVILLE</t>
  </si>
  <si>
    <t>73520</t>
  </si>
  <si>
    <t>LA BRIDOIRE</t>
  </si>
  <si>
    <t>VIOZAN</t>
  </si>
  <si>
    <t>20146</t>
  </si>
  <si>
    <t>2A288</t>
  </si>
  <si>
    <t>SOTTA</t>
  </si>
  <si>
    <t>CONDEAU</t>
  </si>
  <si>
    <t>LA PETITE-MARCHE</t>
  </si>
  <si>
    <t>91560</t>
  </si>
  <si>
    <t>CROSNE</t>
  </si>
  <si>
    <t>BRANDIVY</t>
  </si>
  <si>
    <t>SAVIGNAC-LES-ORMEAUX</t>
  </si>
  <si>
    <t>ROELLECOURT</t>
  </si>
  <si>
    <t>ETAIN</t>
  </si>
  <si>
    <t>GOUHELANS</t>
  </si>
  <si>
    <t>LA CHAPELLE-SAINT-AUBIN</t>
  </si>
  <si>
    <t>NEUVELLE-LES-CROMARY</t>
  </si>
  <si>
    <t>LA PETITE-RAON</t>
  </si>
  <si>
    <t>BEAUMONT-VILLAGE</t>
  </si>
  <si>
    <t>VEZET</t>
  </si>
  <si>
    <t>CHANTELOUP-LES-BOIS</t>
  </si>
  <si>
    <t>DOUARNENEZ</t>
  </si>
  <si>
    <t>LA FOREST-LANDERNEAU</t>
  </si>
  <si>
    <t>LE HAMEL</t>
  </si>
  <si>
    <t>BRESLES</t>
  </si>
  <si>
    <t>NOHANT-VIC</t>
  </si>
  <si>
    <t>TULETTE</t>
  </si>
  <si>
    <t>97160</t>
  </si>
  <si>
    <t>LE MOULE</t>
  </si>
  <si>
    <t>LA BONNEVILLE-SUR-ITON</t>
  </si>
  <si>
    <t>FOS</t>
  </si>
  <si>
    <t>POUDENX</t>
  </si>
  <si>
    <t>ANCINNES</t>
  </si>
  <si>
    <t>BEAULIEU-SUR-LAYON</t>
  </si>
  <si>
    <t>VAUX-VILLAINE</t>
  </si>
  <si>
    <t>CHALENCON</t>
  </si>
  <si>
    <t>GENVRY</t>
  </si>
  <si>
    <t>CABAS-LOUMASSES</t>
  </si>
  <si>
    <t>MARSAC-SUR-DON</t>
  </si>
  <si>
    <t>LENTILLERES</t>
  </si>
  <si>
    <t>VILLETTE-SUR-AUBE</t>
  </si>
  <si>
    <t>ARNAYON</t>
  </si>
  <si>
    <t>TIEFFENBACH</t>
  </si>
  <si>
    <t>LEZAY</t>
  </si>
  <si>
    <t>TOURMIGNIES</t>
  </si>
  <si>
    <t>TARTIGNY</t>
  </si>
  <si>
    <t>SAINTE-HONORINE-DU-FAY</t>
  </si>
  <si>
    <t>BRETEIL</t>
  </si>
  <si>
    <t>CARAMANY</t>
  </si>
  <si>
    <t>BESAYES</t>
  </si>
  <si>
    <t>SAINT-ARCONS-DE-BARGES</t>
  </si>
  <si>
    <t>GONFREVILLE-CAILLOT</t>
  </si>
  <si>
    <t>MESNIL-LA-COMTESSE</t>
  </si>
  <si>
    <t>SAINT-GRATIEN-SAVIGNY</t>
  </si>
  <si>
    <t>CASTELNAU-SUR-L'AUVIGNON</t>
  </si>
  <si>
    <t>43140</t>
  </si>
  <si>
    <t>SAINT-VICTOR-MALESCOURS</t>
  </si>
  <si>
    <t>CHATEAUNEUF-LA-FORET</t>
  </si>
  <si>
    <t>MOULINS-SUR-CEPHONS</t>
  </si>
  <si>
    <t>ABBEVILLE-LA-RIVIERE</t>
  </si>
  <si>
    <t>ALLENAY</t>
  </si>
  <si>
    <t>LES TOURRETTES</t>
  </si>
  <si>
    <t>CLAMEREY</t>
  </si>
  <si>
    <t>LA RABATELIERE</t>
  </si>
  <si>
    <t>SAINT-AUBIN-DES-CHAUMES</t>
  </si>
  <si>
    <t>GIMONT</t>
  </si>
  <si>
    <t>DRACY-SAINT-LOUP</t>
  </si>
  <si>
    <t>MONTARON</t>
  </si>
  <si>
    <t>BIOUSSAC</t>
  </si>
  <si>
    <t>SEVIGNACQ-MEYRACQ</t>
  </si>
  <si>
    <t>2B316</t>
  </si>
  <si>
    <t>SANTA-REPARATA-DI-BALAGNA</t>
  </si>
  <si>
    <t>LA BAUCHE</t>
  </si>
  <si>
    <t>MENOMBLET</t>
  </si>
  <si>
    <t>MAGNICOURT</t>
  </si>
  <si>
    <t>44340</t>
  </si>
  <si>
    <t>BOUGUENAIS</t>
  </si>
  <si>
    <t>CONTAMINE-SARZIN</t>
  </si>
  <si>
    <t>BAULME-LA-ROCHE</t>
  </si>
  <si>
    <t>STOTZHEIM</t>
  </si>
  <si>
    <t>SOULCE-CERNAY</t>
  </si>
  <si>
    <t>CHARNAS</t>
  </si>
  <si>
    <t>VILLEPERDRIX</t>
  </si>
  <si>
    <t>REYREVIGNES</t>
  </si>
  <si>
    <t>PREVOCOURT</t>
  </si>
  <si>
    <t>SAULGES</t>
  </si>
  <si>
    <t>BEUX</t>
  </si>
  <si>
    <t>DERNACUEILLETTE</t>
  </si>
  <si>
    <t>CURTIL-SOUS-BUFFIERES</t>
  </si>
  <si>
    <t>SAINT-THIEBAULT</t>
  </si>
  <si>
    <t>MARTHOD</t>
  </si>
  <si>
    <t>2B309</t>
  </si>
  <si>
    <t>SANTA-MARIA-DI-LOTA</t>
  </si>
  <si>
    <t>CUVILLERS</t>
  </si>
  <si>
    <t>BRIE-SOUS-MORTAGNE</t>
  </si>
  <si>
    <t>ROUSSET-LES-VIGNES</t>
  </si>
  <si>
    <t>VILLETTES</t>
  </si>
  <si>
    <t>NOIREMONT</t>
  </si>
  <si>
    <t>RIS</t>
  </si>
  <si>
    <t>LASBORDES</t>
  </si>
  <si>
    <t>USSON-DU-POITOU</t>
  </si>
  <si>
    <t>SAINT-JEAN-MIRABEL</t>
  </si>
  <si>
    <t>SAINT-FLORENT-LE-VIEIL</t>
  </si>
  <si>
    <t>ORCENAIS</t>
  </si>
  <si>
    <t>EGRISELLES-LE-BOCAGE</t>
  </si>
  <si>
    <t>AJOUX</t>
  </si>
  <si>
    <t>BONCOURT-LE-BOIS</t>
  </si>
  <si>
    <t>SAINT-PIERRE-AZIF</t>
  </si>
  <si>
    <t>LAMMERVILLE</t>
  </si>
  <si>
    <t>PALANTE</t>
  </si>
  <si>
    <t>LIGUEUX</t>
  </si>
  <si>
    <t>SAUVIGNY</t>
  </si>
  <si>
    <t>CLEFS</t>
  </si>
  <si>
    <t>FLEISHEIM</t>
  </si>
  <si>
    <t>BOUHANS-LES-MONTBOZON</t>
  </si>
  <si>
    <t>HERBINGHEN</t>
  </si>
  <si>
    <t>HAREVILLE</t>
  </si>
  <si>
    <t>VER</t>
  </si>
  <si>
    <t>2A330</t>
  </si>
  <si>
    <t>UCCIANI</t>
  </si>
  <si>
    <t>EMPEAUX</t>
  </si>
  <si>
    <t>BOURG-ACHARD</t>
  </si>
  <si>
    <t>VANNAIRE</t>
  </si>
  <si>
    <t>CHATEAUVERT</t>
  </si>
  <si>
    <t>SAINT-BRIS-LE-VINEUX</t>
  </si>
  <si>
    <t>LAVASTRIE</t>
  </si>
  <si>
    <t>SERIGNE</t>
  </si>
  <si>
    <t>QUEYSSAC</t>
  </si>
  <si>
    <t>LEURVILLE</t>
  </si>
  <si>
    <t>PAVEZIN</t>
  </si>
  <si>
    <t>BASTANES</t>
  </si>
  <si>
    <t>MESCOULES</t>
  </si>
  <si>
    <t>LA NEUVELLE-LES-SCEY</t>
  </si>
  <si>
    <t>QUIERY-LA-MOTTE</t>
  </si>
  <si>
    <t>ESSERTENNE-ET-CECEY</t>
  </si>
  <si>
    <t>MOUZIEYS-PANENS</t>
  </si>
  <si>
    <t>MEYRONNE</t>
  </si>
  <si>
    <t>78510</t>
  </si>
  <si>
    <t>TRIEL-SUR-SEINE</t>
  </si>
  <si>
    <t>SALOUEL</t>
  </si>
  <si>
    <t>BUROS</t>
  </si>
  <si>
    <t>SAINT-ANDRE-DU-BOIS</t>
  </si>
  <si>
    <t>PEVY</t>
  </si>
  <si>
    <t>SIGNY-LE-PETIT</t>
  </si>
  <si>
    <t>MOUTIERS-SUR-LE-LAY</t>
  </si>
  <si>
    <t>FAUGUEROLLES</t>
  </si>
  <si>
    <t>VANNECOURT</t>
  </si>
  <si>
    <t>LAUZACH</t>
  </si>
  <si>
    <t>ORVAUX</t>
  </si>
  <si>
    <t>WIERRE-AU-BOIS</t>
  </si>
  <si>
    <t>VIVIERS-SUR-CHIERS</t>
  </si>
  <si>
    <t>MARCEY-LES-GREVES</t>
  </si>
  <si>
    <t>JOUY-SOUS-THELLE</t>
  </si>
  <si>
    <t>SAINT-ANTONIN-DE-SOMMAIRE</t>
  </si>
  <si>
    <t>49240</t>
  </si>
  <si>
    <t>AVRILLE</t>
  </si>
  <si>
    <t>52290</t>
  </si>
  <si>
    <t>HUMBECOURT</t>
  </si>
  <si>
    <t>LA GOUESNIERE</t>
  </si>
  <si>
    <t>ALEYRAC</t>
  </si>
  <si>
    <t>SAINT-MICHEL-LE-CLOUCQ</t>
  </si>
  <si>
    <t>SAINT-OUEN-DE-LA-COUR</t>
  </si>
  <si>
    <t>BALLAISON</t>
  </si>
  <si>
    <t>DRAVEGNY</t>
  </si>
  <si>
    <t>REYVROZ</t>
  </si>
  <si>
    <t>HEUGAS</t>
  </si>
  <si>
    <t>HAM-SOUS-VARSBERG</t>
  </si>
  <si>
    <t>LA LANDE-CHASLES</t>
  </si>
  <si>
    <t>GERMOLLES-SUR-GROSNE</t>
  </si>
  <si>
    <t>LANGEAIS</t>
  </si>
  <si>
    <t>SAINT-PIERRE-DE-MAILLOC</t>
  </si>
  <si>
    <t>VEIX</t>
  </si>
  <si>
    <t>CORNEUIL</t>
  </si>
  <si>
    <t>NOUGAROULET</t>
  </si>
  <si>
    <t>NEFFES</t>
  </si>
  <si>
    <t>HAGNEVILLE-ET-RONCOURT</t>
  </si>
  <si>
    <t>83130</t>
  </si>
  <si>
    <t>RESIGNY</t>
  </si>
  <si>
    <t>ESPIRA-DE-L'AGLY</t>
  </si>
  <si>
    <t>53420</t>
  </si>
  <si>
    <t>CHAILLAND</t>
  </si>
  <si>
    <t>GUIGNES</t>
  </si>
  <si>
    <t>BURGARONNE</t>
  </si>
  <si>
    <t>59239</t>
  </si>
  <si>
    <t>THUMERIES</t>
  </si>
  <si>
    <t>ARRENTIERES</t>
  </si>
  <si>
    <t>SAINTE-EULALIE-EN-BORN</t>
  </si>
  <si>
    <t>BRAY-LES-MAREUIL</t>
  </si>
  <si>
    <t>STRAZEELE</t>
  </si>
  <si>
    <t>SAINT-MARTIN-DES-MONTS</t>
  </si>
  <si>
    <t>ESCHBACH</t>
  </si>
  <si>
    <t>LABASTIDE-SUR-BESORGUES</t>
  </si>
  <si>
    <t>HEUTREGIVILLE</t>
  </si>
  <si>
    <t>58530</t>
  </si>
  <si>
    <t>BREVES</t>
  </si>
  <si>
    <t>BOSROBERT</t>
  </si>
  <si>
    <t>SAINT-MARTIN-CHOQUEL</t>
  </si>
  <si>
    <t>SOURNIAC</t>
  </si>
  <si>
    <t>THEYS</t>
  </si>
  <si>
    <t>POMPEJAC</t>
  </si>
  <si>
    <t>59126</t>
  </si>
  <si>
    <t>LINSELLES</t>
  </si>
  <si>
    <t>EVANS</t>
  </si>
  <si>
    <t>LAMOTHE-GOAS</t>
  </si>
  <si>
    <t>LAGLEYGEOLLE</t>
  </si>
  <si>
    <t>MONTLOGNON</t>
  </si>
  <si>
    <t>FESQUES</t>
  </si>
  <si>
    <t>ANCELLE</t>
  </si>
  <si>
    <t>POIGNY</t>
  </si>
  <si>
    <t>MENCHHOFFEN</t>
  </si>
  <si>
    <t>LA WALCK</t>
  </si>
  <si>
    <t>MONTAGNAC</t>
  </si>
  <si>
    <t>LE LOUVEROT</t>
  </si>
  <si>
    <t>25600</t>
  </si>
  <si>
    <t>VIEUX-CHARMONT</t>
  </si>
  <si>
    <t>CHISSEAUX</t>
  </si>
  <si>
    <t>14970</t>
  </si>
  <si>
    <t>CHAVANNAZ</t>
  </si>
  <si>
    <t>NOTRE-DAME-DU-TOUCHET</t>
  </si>
  <si>
    <t>ESCUROLLES</t>
  </si>
  <si>
    <t>LONGEAULT</t>
  </si>
  <si>
    <t>BRUILLE-LEZ-MARCHIENNES</t>
  </si>
  <si>
    <t>42680</t>
  </si>
  <si>
    <t>SAINT-MARCELLIN-EN-FOREZ</t>
  </si>
  <si>
    <t>FARGES-EN-SEPTAINE</t>
  </si>
  <si>
    <t>VIDECOSVILLE</t>
  </si>
  <si>
    <t>CAHUS</t>
  </si>
  <si>
    <t>LE BOIS-D'OINGT</t>
  </si>
  <si>
    <t>ROUJAN</t>
  </si>
  <si>
    <t>RECLESNE</t>
  </si>
  <si>
    <t>ECHEVRONNE</t>
  </si>
  <si>
    <t>HERBITZHEIM</t>
  </si>
  <si>
    <t>SAINTE-FOY-LA-GRANDE</t>
  </si>
  <si>
    <t>MOFFANS-ET-VACHERESSE</t>
  </si>
  <si>
    <t>DAMMARTIN-SUR-MEUSE</t>
  </si>
  <si>
    <t>FROCOURT</t>
  </si>
  <si>
    <t>TILLIERES</t>
  </si>
  <si>
    <t>SCHIRRHEIN</t>
  </si>
  <si>
    <t>SAINT-LEGER-SOUS-BRIENNE</t>
  </si>
  <si>
    <t>MONTRECOURT</t>
  </si>
  <si>
    <t>AROMAS</t>
  </si>
  <si>
    <t>CHANCEAUX</t>
  </si>
  <si>
    <t>OUTREBOIS</t>
  </si>
  <si>
    <t>GIVENCHY-LES-LA-BASSEE</t>
  </si>
  <si>
    <t>LENAULT</t>
  </si>
  <si>
    <t>ANDE</t>
  </si>
  <si>
    <t>BULT</t>
  </si>
  <si>
    <t>HERMIES</t>
  </si>
  <si>
    <t>LA FORGE</t>
  </si>
  <si>
    <t>CHASSAGNE</t>
  </si>
  <si>
    <t>SAINT-MARTIN-D'AUDOUVILLE</t>
  </si>
  <si>
    <t>54690</t>
  </si>
  <si>
    <t>LAY-SAINT-CHRISTOPHE</t>
  </si>
  <si>
    <t>CHATILLON-SUR-THOUET</t>
  </si>
  <si>
    <t>ORCET</t>
  </si>
  <si>
    <t>SAINT-CREPIN-AUX-BOIS</t>
  </si>
  <si>
    <t>MASLEON</t>
  </si>
  <si>
    <t>ECHALAS</t>
  </si>
  <si>
    <t>SANCY-LES-CHEMINOTS</t>
  </si>
  <si>
    <t>UR</t>
  </si>
  <si>
    <t>LE PONCHEL</t>
  </si>
  <si>
    <t>MARCHELEPOT</t>
  </si>
  <si>
    <t>COULANDON</t>
  </si>
  <si>
    <t>SAINT-LAURENT-SUR-OTHAIN</t>
  </si>
  <si>
    <t>CHERAUTE</t>
  </si>
  <si>
    <t>SAINT-GERMAIN-SUR-L'ARBRESLE</t>
  </si>
  <si>
    <t>BASSOU</t>
  </si>
  <si>
    <t>ANCEMONT</t>
  </si>
  <si>
    <t>SABLE-SUR-SARTHE</t>
  </si>
  <si>
    <t>LAPEGE</t>
  </si>
  <si>
    <t>THIVENCELLE</t>
  </si>
  <si>
    <t>DIMANCHEVILLE</t>
  </si>
  <si>
    <t>AUSSAC</t>
  </si>
  <si>
    <t>93600</t>
  </si>
  <si>
    <t>AULNAY-SOUS-BOIS</t>
  </si>
  <si>
    <t>VELESMES-ESSARTS</t>
  </si>
  <si>
    <t>LANDEBIA</t>
  </si>
  <si>
    <t>ROZ-SUR-COUESNON</t>
  </si>
  <si>
    <t>LA FERTE-MILON</t>
  </si>
  <si>
    <t>95280</t>
  </si>
  <si>
    <t>JOUY-LE-MOUTIER</t>
  </si>
  <si>
    <t>HOUDAIN-LEZ-BAVAY</t>
  </si>
  <si>
    <t>VILLERS-VICOMTE</t>
  </si>
  <si>
    <t>NABRINGHEN</t>
  </si>
  <si>
    <t>CHALANDRY-ELAIRE</t>
  </si>
  <si>
    <t>MIZOEN</t>
  </si>
  <si>
    <t>20122</t>
  </si>
  <si>
    <t>2A254</t>
  </si>
  <si>
    <t>QUENZA</t>
  </si>
  <si>
    <t>SAINT-ETIENNE-SUR-SUIPPE</t>
  </si>
  <si>
    <t>MAS-D'AUVIGNON</t>
  </si>
  <si>
    <t>66460</t>
  </si>
  <si>
    <t>MAURY</t>
  </si>
  <si>
    <t>REUILLY-SAUVIGNY</t>
  </si>
  <si>
    <t>PRASLAY</t>
  </si>
  <si>
    <t>UXEM</t>
  </si>
  <si>
    <t>VAL-MARAVEL</t>
  </si>
  <si>
    <t>74650</t>
  </si>
  <si>
    <t>CHAVANOD</t>
  </si>
  <si>
    <t>THEULEY</t>
  </si>
  <si>
    <t>SOULIGNE-SOUS-BALLON</t>
  </si>
  <si>
    <t>CHARANCIEU</t>
  </si>
  <si>
    <t>SAINT-ANDRE-DE-LA-MARCHE</t>
  </si>
  <si>
    <t>97460</t>
  </si>
  <si>
    <t>ARJUZANX</t>
  </si>
  <si>
    <t>BALLANS</t>
  </si>
  <si>
    <t>LE MAGE</t>
  </si>
  <si>
    <t>MADEGNEY</t>
  </si>
  <si>
    <t>VENDENESSE-SUR-ARROUX</t>
  </si>
  <si>
    <t>SAINT-JEAN-LES-DEUX-JUMEAUX</t>
  </si>
  <si>
    <t>HAUTTEVILLE-BOCAGE</t>
  </si>
  <si>
    <t>CARLUS</t>
  </si>
  <si>
    <t>BRAINS-SUR-GEE</t>
  </si>
  <si>
    <t>SAINT-HUBERT</t>
  </si>
  <si>
    <t>VILLIERS-SUR-CHIZE</t>
  </si>
  <si>
    <t>PLOUNEVEZ-LOCHRIST</t>
  </si>
  <si>
    <t>L'ETANG-BERTRAND</t>
  </si>
  <si>
    <t>L'ABERGEMENT-DE-CUISERY</t>
  </si>
  <si>
    <t>VILLERS-CHIEF</t>
  </si>
  <si>
    <t>HENDAYE</t>
  </si>
  <si>
    <t>RIBEYRET</t>
  </si>
  <si>
    <t>SAINT-ELOY-LES-TUILERIES</t>
  </si>
  <si>
    <t>SONCHAMP</t>
  </si>
  <si>
    <t>97330</t>
  </si>
  <si>
    <t>CAMOPI</t>
  </si>
  <si>
    <t>COURCELLES-SUR-NIED</t>
  </si>
  <si>
    <t>MAIGNELAY-MONTIGNY</t>
  </si>
  <si>
    <t>LA GUERCHE-DE-BRETAGNE</t>
  </si>
  <si>
    <t>QUISTINIC</t>
  </si>
  <si>
    <t>IGON</t>
  </si>
  <si>
    <t>HERRERE</t>
  </si>
  <si>
    <t>NEUILLE-LE-LIERRE</t>
  </si>
  <si>
    <t>TEILLAY</t>
  </si>
  <si>
    <t>SAINT-MELANY</t>
  </si>
  <si>
    <t>LA CRESSE</t>
  </si>
  <si>
    <t>AIZELLES</t>
  </si>
  <si>
    <t>LAHAGE</t>
  </si>
  <si>
    <t>83230</t>
  </si>
  <si>
    <t>BORMES-LES-MIMOSAS</t>
  </si>
  <si>
    <t>CHATEAU-CHALON</t>
  </si>
  <si>
    <t>COUHE</t>
  </si>
  <si>
    <t>ARLEMPDES</t>
  </si>
  <si>
    <t>LUNAX</t>
  </si>
  <si>
    <t>74950</t>
  </si>
  <si>
    <t>LE REPOSOIR</t>
  </si>
  <si>
    <t>GURAN</t>
  </si>
  <si>
    <t>SAINT-QUENTIN-DES-PRES</t>
  </si>
  <si>
    <t>MONTEILS</t>
  </si>
  <si>
    <t>SAINT-POINT-LAC</t>
  </si>
  <si>
    <t>LOUBERSAN</t>
  </si>
  <si>
    <t>BELVAL-SOUS-CHATILLON</t>
  </si>
  <si>
    <t>SAINT-MARC-A-LOUBAUD</t>
  </si>
  <si>
    <t>MALRAS</t>
  </si>
  <si>
    <t>VILLANDRY</t>
  </si>
  <si>
    <t>NOREUIL</t>
  </si>
  <si>
    <t>SAMARAN</t>
  </si>
  <si>
    <t>PLOMBIERES-LES-DIJON</t>
  </si>
  <si>
    <t>COUDRAY-RABUT</t>
  </si>
  <si>
    <t>LE CHARMEL</t>
  </si>
  <si>
    <t>LAUZES</t>
  </si>
  <si>
    <t>DOMERAT</t>
  </si>
  <si>
    <t>ECLARON-BRAUCOURT-SAINTE-LIVIERE</t>
  </si>
  <si>
    <t>LAGRACE-DIEU</t>
  </si>
  <si>
    <t>LASCABANES</t>
  </si>
  <si>
    <t>GILLY-SUR-ISERE</t>
  </si>
  <si>
    <t>ISSENHAUSEN</t>
  </si>
  <si>
    <t>ARS</t>
  </si>
  <si>
    <t>LE VIEIL-EVREUX</t>
  </si>
  <si>
    <t>VIVIERS-LES-LAVAUR</t>
  </si>
  <si>
    <t>NIEDERBRONN-LES-BAINS</t>
  </si>
  <si>
    <t>SAINT-LOUP-DU-GAST</t>
  </si>
  <si>
    <t>DOMMARY-BARONCOURT</t>
  </si>
  <si>
    <t>FONTAINE-LE-PUITS</t>
  </si>
  <si>
    <t>GALINAGUES</t>
  </si>
  <si>
    <t>MAGNEVILLE</t>
  </si>
  <si>
    <t>BREHAIN</t>
  </si>
  <si>
    <t>DINAN</t>
  </si>
  <si>
    <t>SAINT-LEGER-DE-MONTBRILLAIS</t>
  </si>
  <si>
    <t>SEYSSEL</t>
  </si>
  <si>
    <t>2610</t>
  </si>
  <si>
    <t>MOY-DE-L'AISNE</t>
  </si>
  <si>
    <t>ANERES</t>
  </si>
  <si>
    <t>NEUCHATEL-URTIERE</t>
  </si>
  <si>
    <t>BETHMALE</t>
  </si>
  <si>
    <t>MONTSOULT</t>
  </si>
  <si>
    <t>MENIL-JEAN</t>
  </si>
  <si>
    <t>MEYRIEU-LES-ETANGS</t>
  </si>
  <si>
    <t>SAINT-VINCENT-SUR-OUST</t>
  </si>
  <si>
    <t>WAVRANS-SUR-TERNOISE</t>
  </si>
  <si>
    <t>REVIN</t>
  </si>
  <si>
    <t>PRATZ</t>
  </si>
  <si>
    <t>MEISENTHAL</t>
  </si>
  <si>
    <t>MARCILLE-RAOUL</t>
  </si>
  <si>
    <t>REDORTIERS</t>
  </si>
  <si>
    <t>SAINT-LIEUX-LAFENASSE</t>
  </si>
  <si>
    <t>CAESTRE</t>
  </si>
  <si>
    <t>SAINT-JEAN-LES-BUZY</t>
  </si>
  <si>
    <t>34000/34070/34080/34090</t>
  </si>
  <si>
    <t>MONTPELLIER</t>
  </si>
  <si>
    <t>BOURGANEUF</t>
  </si>
  <si>
    <t>MARDILLY</t>
  </si>
  <si>
    <t>VISERNY</t>
  </si>
  <si>
    <t>HANNOGNE-SAINT-REMY</t>
  </si>
  <si>
    <t>VIALA-DU-TARN</t>
  </si>
  <si>
    <t>COURBOIN</t>
  </si>
  <si>
    <t>QUINCY-BASSE</t>
  </si>
  <si>
    <t>CHATELAIS</t>
  </si>
  <si>
    <t>MAYRAC</t>
  </si>
  <si>
    <t>FRANSU</t>
  </si>
  <si>
    <t>CREON</t>
  </si>
  <si>
    <t>57525</t>
  </si>
  <si>
    <t>TALANGE</t>
  </si>
  <si>
    <t>MENETREUIL</t>
  </si>
  <si>
    <t>SAINT-GLADIE-ARRIVE-MUNEIN</t>
  </si>
  <si>
    <t>NAISEY-LES-GRANGES</t>
  </si>
  <si>
    <t>SAINT-FLORET</t>
  </si>
  <si>
    <t>BUZIET</t>
  </si>
  <si>
    <t>RAMPOUX</t>
  </si>
  <si>
    <t>ESCALANS</t>
  </si>
  <si>
    <t>ESCROUX</t>
  </si>
  <si>
    <t>TREGLONOU</t>
  </si>
  <si>
    <t>IRON</t>
  </si>
  <si>
    <t>BEZAUDUN-LES-ALPES</t>
  </si>
  <si>
    <t>SAINT-GEORGES-LES-BAILLARGEAUX</t>
  </si>
  <si>
    <t>SEICHAMPS</t>
  </si>
  <si>
    <t>SAINT-BARTHELEMY-DE-SECHILIENNE</t>
  </si>
  <si>
    <t>CHAUMERCENNE</t>
  </si>
  <si>
    <t>NIEUIL-L'ESPOIR</t>
  </si>
  <si>
    <t>SAINT-MARTIN-LA-GARENNE</t>
  </si>
  <si>
    <t>AVANT-LES-RAMERUPT</t>
  </si>
  <si>
    <t>VILLE-DOMMANGE</t>
  </si>
  <si>
    <t>DOMMERY</t>
  </si>
  <si>
    <t>BUFFON</t>
  </si>
  <si>
    <t>SAINT-JUNIEN</t>
  </si>
  <si>
    <t>LE DESERT</t>
  </si>
  <si>
    <t>ILHAT</t>
  </si>
  <si>
    <t>VIEFVILLERS</t>
  </si>
  <si>
    <t>ASSAC</t>
  </si>
  <si>
    <t>BEAUMAT</t>
  </si>
  <si>
    <t>LODES</t>
  </si>
  <si>
    <t>HESDIN-L'ABBE</t>
  </si>
  <si>
    <t>SAINT-DENIS-D'ANJOU</t>
  </si>
  <si>
    <t>FRAISSINET-DE-FOURQUES</t>
  </si>
  <si>
    <t>2790</t>
  </si>
  <si>
    <t>SERAUCOURT-LE-GRAND</t>
  </si>
  <si>
    <t>CRUCEY-VILLAGES</t>
  </si>
  <si>
    <t>SAINT-JULIEN-BOUTIERES</t>
  </si>
  <si>
    <t>REVIGNY-SUR-ORNAIN</t>
  </si>
  <si>
    <t>78600</t>
  </si>
  <si>
    <t>MAISONS-LAFFITTE</t>
  </si>
  <si>
    <t>LESPINASSE</t>
  </si>
  <si>
    <t>QUARANTE</t>
  </si>
  <si>
    <t>ARTHIES</t>
  </si>
  <si>
    <t>NOTRE-DAME-DE-LIVOYE</t>
  </si>
  <si>
    <t>ASTILLE</t>
  </si>
  <si>
    <t>FONTAINE-LES-RIBOUTS</t>
  </si>
  <si>
    <t>CHILLEURS-AUX-BOIS</t>
  </si>
  <si>
    <t>84320</t>
  </si>
  <si>
    <t>ENTRAIGUES-SUR-LA-SORGUE</t>
  </si>
  <si>
    <t>PONT-AUTHOU</t>
  </si>
  <si>
    <t>BELABRE</t>
  </si>
  <si>
    <t>2B051</t>
  </si>
  <si>
    <t>CAMBIA</t>
  </si>
  <si>
    <t>LA HERLIERE</t>
  </si>
  <si>
    <t>LONGCHAMPS-SUR-AIRE</t>
  </si>
  <si>
    <t>ALLERIOT</t>
  </si>
  <si>
    <t>CYS-LA-COMMUNE</t>
  </si>
  <si>
    <t>SAINT-OMER-CAPELLE</t>
  </si>
  <si>
    <t>SAINT-LEONARD-DES-PARCS</t>
  </si>
  <si>
    <t>PLOUGUIN</t>
  </si>
  <si>
    <t>OUGNEY</t>
  </si>
  <si>
    <t>MARESTAING</t>
  </si>
  <si>
    <t>GOUX-LES-USIERS</t>
  </si>
  <si>
    <t>SIVRY</t>
  </si>
  <si>
    <t>CREVECOEUR-LE-GRAND</t>
  </si>
  <si>
    <t>BRENAZ</t>
  </si>
  <si>
    <t>WILLGOTTHEIM</t>
  </si>
  <si>
    <t>TINQUEUX</t>
  </si>
  <si>
    <t>SAINT-MICHEL-EN-BRENNE</t>
  </si>
  <si>
    <t>LA SOMMETTE</t>
  </si>
  <si>
    <t>94120</t>
  </si>
  <si>
    <t>FONTENAY-SOUS-BOIS</t>
  </si>
  <si>
    <t>ARBIS</t>
  </si>
  <si>
    <t>SAINT-DIDIER-SUR-BEAUJEU</t>
  </si>
  <si>
    <t>NIAFLES</t>
  </si>
  <si>
    <t>PLOYART-ET-VAURSEINE</t>
  </si>
  <si>
    <t>POINSENOT</t>
  </si>
  <si>
    <t>BUSSY-EN-OTHE</t>
  </si>
  <si>
    <t>PINDERES</t>
  </si>
  <si>
    <t>54940</t>
  </si>
  <si>
    <t>ASPRES-LES-CORPS</t>
  </si>
  <si>
    <t>SAINT-PIERRE-LA-RIVIERE</t>
  </si>
  <si>
    <t>PLOURIN</t>
  </si>
  <si>
    <t>CHANTERAINE</t>
  </si>
  <si>
    <t>SAINT-MARTIN-DE-CENILLY</t>
  </si>
  <si>
    <t>MONTAGNAC-LA-CREMPSE</t>
  </si>
  <si>
    <t>ALIXAN</t>
  </si>
  <si>
    <t>ARRODETS</t>
  </si>
  <si>
    <t>AURAGNE</t>
  </si>
  <si>
    <t>SAINT-MARTIN-DES-FONTAINES</t>
  </si>
  <si>
    <t>VAUXTIN</t>
  </si>
  <si>
    <t>SAINTE-LIVRADE</t>
  </si>
  <si>
    <t>CHASSAGNES</t>
  </si>
  <si>
    <t>EPERLECQUES</t>
  </si>
  <si>
    <t>ESSERTINES-EN-DONZY</t>
  </si>
  <si>
    <t>BREMONDANS</t>
  </si>
  <si>
    <t>MAILLAT</t>
  </si>
  <si>
    <t>CAMBON</t>
  </si>
  <si>
    <t>69124</t>
  </si>
  <si>
    <t>COLOMBIER-SAUGNIEU</t>
  </si>
  <si>
    <t>PAS-EN-ARTOIS</t>
  </si>
  <si>
    <t>HAGET</t>
  </si>
  <si>
    <t>NARGIS</t>
  </si>
  <si>
    <t>FONTAINES-SAINT-MARTIN</t>
  </si>
  <si>
    <t>ARCINS</t>
  </si>
  <si>
    <t>BAREN</t>
  </si>
  <si>
    <t>SAINT-AUBIN-SOUS-ERQUERY</t>
  </si>
  <si>
    <t>CUINCY</t>
  </si>
  <si>
    <t>FAY-LES-MARCILLY</t>
  </si>
  <si>
    <t>AINGEVILLE</t>
  </si>
  <si>
    <t>SURVIE</t>
  </si>
  <si>
    <t>THEY-SOUS-VAUDEMONT</t>
  </si>
  <si>
    <t>HERBSHEIM</t>
  </si>
  <si>
    <t>SAINT-SEVERIN-D'ESTISSAC</t>
  </si>
  <si>
    <t>SEURRE</t>
  </si>
  <si>
    <t>BORD-SAINT-GEORGES</t>
  </si>
  <si>
    <t>SAINTE-EULALIE-DE-CERNON</t>
  </si>
  <si>
    <t>ROM</t>
  </si>
  <si>
    <t>AVON-LA-PEZE</t>
  </si>
  <si>
    <t>FLAVIGNEROT</t>
  </si>
  <si>
    <t>CASTELNAU-TURSAN</t>
  </si>
  <si>
    <t>LOUROUER-SAINT-LAURENT</t>
  </si>
  <si>
    <t>SAINT-LAURENT-DU-PAPE</t>
  </si>
  <si>
    <t>SAINT-SOUPLET</t>
  </si>
  <si>
    <t>FRESSE-SUR-MOSELLE</t>
  </si>
  <si>
    <t>FRAISSE-CABARDES</t>
  </si>
  <si>
    <t>ALLANCHE</t>
  </si>
  <si>
    <t>REMIENCOURT</t>
  </si>
  <si>
    <t>QUINCAY</t>
  </si>
  <si>
    <t>GIGNY</t>
  </si>
  <si>
    <t>LEYRIEU</t>
  </si>
  <si>
    <t>GAVARRET-SUR-AULOUSTE</t>
  </si>
  <si>
    <t>PAGNEY</t>
  </si>
  <si>
    <t>VOINGT</t>
  </si>
  <si>
    <t>ASNOIS</t>
  </si>
  <si>
    <t>SAPONAY</t>
  </si>
  <si>
    <t>KERMARIA-SULARD</t>
  </si>
  <si>
    <t>SAINT-SEVER-DE-RUSTAN</t>
  </si>
  <si>
    <t>VOUZAILLES</t>
  </si>
  <si>
    <t>SAINT-HOSTIEN</t>
  </si>
  <si>
    <t>MIGNY</t>
  </si>
  <si>
    <t>SEMILLAC</t>
  </si>
  <si>
    <t>94140</t>
  </si>
  <si>
    <t>ALFORTVILLE</t>
  </si>
  <si>
    <t>GRANDCOURT</t>
  </si>
  <si>
    <t>BRIIS-SOUS-FORGES</t>
  </si>
  <si>
    <t>NAMPONT</t>
  </si>
  <si>
    <t>NANDY</t>
  </si>
  <si>
    <t>LA SEGUINIERE</t>
  </si>
  <si>
    <t>CAUCHY-A-LA-TOUR</t>
  </si>
  <si>
    <t>CROZE</t>
  </si>
  <si>
    <t>SERVINS</t>
  </si>
  <si>
    <t>GRANGERMONT</t>
  </si>
  <si>
    <t>LA VENTROUZE</t>
  </si>
  <si>
    <t>44610</t>
  </si>
  <si>
    <t>INDRE</t>
  </si>
  <si>
    <t>BARENTON-SUR-SERRE</t>
  </si>
  <si>
    <t>BOULAY-LES-IFS</t>
  </si>
  <si>
    <t>BRANVILLE-HAGUE</t>
  </si>
  <si>
    <t>37520</t>
  </si>
  <si>
    <t>LA RICHE</t>
  </si>
  <si>
    <t>SAINT-SEBASTIEN-DE-RAIDS</t>
  </si>
  <si>
    <t>PUYLAGARDE</t>
  </si>
  <si>
    <t>PRUILLE-L'EGUILLE</t>
  </si>
  <si>
    <t>LE COUDRAY-SUR-THELLE</t>
  </si>
  <si>
    <t>KERPRICH-AUX-BOIS</t>
  </si>
  <si>
    <t>MATIGNY</t>
  </si>
  <si>
    <t>VERGEZAC</t>
  </si>
  <si>
    <t>GRUNDVILLER</t>
  </si>
  <si>
    <t>LE CHAFFAL</t>
  </si>
  <si>
    <t>SAINT-SULPICE-LAURIERE</t>
  </si>
  <si>
    <t>CHAZELLES-SUR-LYON</t>
  </si>
  <si>
    <t>LE MOLAY-LITTRY</t>
  </si>
  <si>
    <t>BIERMONT</t>
  </si>
  <si>
    <t>BEAUVILLE</t>
  </si>
  <si>
    <t>COUTEVROULT</t>
  </si>
  <si>
    <t>SALLERTAINE</t>
  </si>
  <si>
    <t>CHEZELLE</t>
  </si>
  <si>
    <t>CHAOURCE</t>
  </si>
  <si>
    <t>SAUZON</t>
  </si>
  <si>
    <t>BROUSSEY-EN-BLOIS</t>
  </si>
  <si>
    <t>RICHWILLER</t>
  </si>
  <si>
    <t>NEUFVILLAGE</t>
  </si>
  <si>
    <t>CORBERON</t>
  </si>
  <si>
    <t>VENEJAN</t>
  </si>
  <si>
    <t>WALLERS</t>
  </si>
  <si>
    <t>MARGNY-LES-COMPIEGNE</t>
  </si>
  <si>
    <t>LUNEL</t>
  </si>
  <si>
    <t>SAINT-ANDRE-SUR-VIEUX-JONC</t>
  </si>
  <si>
    <t>VILLARD-SAINT-SAUVEUR</t>
  </si>
  <si>
    <t>LA FALOISE</t>
  </si>
  <si>
    <t>FAVARS</t>
  </si>
  <si>
    <t>CLAVILLE-MOTTEVILLE</t>
  </si>
  <si>
    <t>QUEVEN</t>
  </si>
  <si>
    <t>BAYERS</t>
  </si>
  <si>
    <t>ROUY</t>
  </si>
  <si>
    <t>BREVONNES</t>
  </si>
  <si>
    <t>MORANCOURT</t>
  </si>
  <si>
    <t>NIEDERROEDERN</t>
  </si>
  <si>
    <t>SAINT-ANDRE-DE-ROQUELONGUE</t>
  </si>
  <si>
    <t>VILLETRITOULS</t>
  </si>
  <si>
    <t>PUILACHER</t>
  </si>
  <si>
    <t>VARMONZEY</t>
  </si>
  <si>
    <t>AIGUEZE</t>
  </si>
  <si>
    <t>SAINT-DIDIER-LA-FORET</t>
  </si>
  <si>
    <t>BERNWILLER</t>
  </si>
  <si>
    <t>VOVES</t>
  </si>
  <si>
    <t>LES CHATELETS</t>
  </si>
  <si>
    <t>LAMBACH</t>
  </si>
  <si>
    <t>BAZAILLES</t>
  </si>
  <si>
    <t>PREPOTIN</t>
  </si>
  <si>
    <t>MUESPACH</t>
  </si>
  <si>
    <t>LA COTE-D'ARBROZ</t>
  </si>
  <si>
    <t>49000/49100</t>
  </si>
  <si>
    <t>COURCELLES-DE-TOURAINE</t>
  </si>
  <si>
    <t>SIVRY-COURTRY</t>
  </si>
  <si>
    <t>CAMPS-SUR-L'AGLY</t>
  </si>
  <si>
    <t>SAINT-VINCENT-LA-COMMANDERIE</t>
  </si>
  <si>
    <t>62510</t>
  </si>
  <si>
    <t>ARQUES</t>
  </si>
  <si>
    <t>MOURMELON-LE-GRAND</t>
  </si>
  <si>
    <t>LABASTIDE-CHALOSSE</t>
  </si>
  <si>
    <t>ORBEIL</t>
  </si>
  <si>
    <t>LOUARGAT</t>
  </si>
  <si>
    <t>OUVE-WIRQUIN</t>
  </si>
  <si>
    <t>BEHORLEGUY</t>
  </si>
  <si>
    <t>CLAM</t>
  </si>
  <si>
    <t>MONTBRE</t>
  </si>
  <si>
    <t>FAUCOUCOURT</t>
  </si>
  <si>
    <t>BRONVAUX</t>
  </si>
  <si>
    <t>SAINT-MARCORY</t>
  </si>
  <si>
    <t>DUZEY</t>
  </si>
  <si>
    <t>LE GREZ</t>
  </si>
  <si>
    <t>NEUVILLE-LES-DECIZE</t>
  </si>
  <si>
    <t>ROCHEFOURCHAT</t>
  </si>
  <si>
    <t>SAINT-ETIENNE-LA-CIGOGNE</t>
  </si>
  <si>
    <t>SAINT-GOUSSAUD</t>
  </si>
  <si>
    <t>BALEIX</t>
  </si>
  <si>
    <t>SAINT-MARTIN-DE-COUX</t>
  </si>
  <si>
    <t>DRUELLE</t>
  </si>
  <si>
    <t>SAINT-DIDIER-EN-VELAY</t>
  </si>
  <si>
    <t>CHERY</t>
  </si>
  <si>
    <t>CHENU</t>
  </si>
  <si>
    <t>LA CHAVATTE</t>
  </si>
  <si>
    <t>DUERNE</t>
  </si>
  <si>
    <t>59850</t>
  </si>
  <si>
    <t>NIEPPE</t>
  </si>
  <si>
    <t>SAINT-ALBAN-DE-MONTBEL</t>
  </si>
  <si>
    <t>MAHALON</t>
  </si>
  <si>
    <t>GAUDECHART</t>
  </si>
  <si>
    <t>SAINT-DENIS-EN-MARGERIDE</t>
  </si>
  <si>
    <t>SCHLEITHAL</t>
  </si>
  <si>
    <t>OUZOUS</t>
  </si>
  <si>
    <t>GAGNIERES</t>
  </si>
  <si>
    <t>VIS-EN-ARTOIS</t>
  </si>
  <si>
    <t>GUERON</t>
  </si>
  <si>
    <t>SERY-LES-MEZIERES</t>
  </si>
  <si>
    <t>ILLIER-ET-LARAMADE</t>
  </si>
  <si>
    <t>LA SAUCELLE</t>
  </si>
  <si>
    <t>SAINT-LANGIS-LES-MORTAGNE</t>
  </si>
  <si>
    <t>PLOUGOURVEST</t>
  </si>
  <si>
    <t>FIX-SAINT-GENEYS</t>
  </si>
  <si>
    <t>SEYSSES-SAVES</t>
  </si>
  <si>
    <t>SAINT-ASTIER</t>
  </si>
  <si>
    <t>CHEMERE</t>
  </si>
  <si>
    <t>ASTIS</t>
  </si>
  <si>
    <t>TRIVY</t>
  </si>
  <si>
    <t>FRESNE-SAINT-MAMES</t>
  </si>
  <si>
    <t>MARCE-SUR-ESVES</t>
  </si>
  <si>
    <t>SAINT-LAURENT-DE-GOSSE</t>
  </si>
  <si>
    <t>SOTTEVILLE-SUR-MER</t>
  </si>
  <si>
    <t>CLAMENSANE</t>
  </si>
  <si>
    <t>VRAIVILLE</t>
  </si>
  <si>
    <t>PEYRESTORTES</t>
  </si>
  <si>
    <t>SAINT-AGOULIN</t>
  </si>
  <si>
    <t>GROUCHES-LUCHUEL</t>
  </si>
  <si>
    <t>LE PLESSIS-AUX-BOIS</t>
  </si>
  <si>
    <t>BERRAC</t>
  </si>
  <si>
    <t>SAINT-MAURICE-DE-SATONNAY</t>
  </si>
  <si>
    <t>SAINT-YZANS-DE-MEDOC</t>
  </si>
  <si>
    <t>NOIDAN</t>
  </si>
  <si>
    <t>SAINT-LAURENT-DES-BATONS</t>
  </si>
  <si>
    <t>97127</t>
  </si>
  <si>
    <t>LA DESIRADE</t>
  </si>
  <si>
    <t>ZUDAUSQUES</t>
  </si>
  <si>
    <t>POUAN-LES-VALLEES</t>
  </si>
  <si>
    <t>78780</t>
  </si>
  <si>
    <t>MAURECOURT</t>
  </si>
  <si>
    <t>EXIREUIL</t>
  </si>
  <si>
    <t>66280</t>
  </si>
  <si>
    <t>SALEILLES</t>
  </si>
  <si>
    <t>BOISSET-LES-MONTROND</t>
  </si>
  <si>
    <t>SENEZERGUES</t>
  </si>
  <si>
    <t>SAINT-JULIEN-SUR-BIBOST</t>
  </si>
  <si>
    <t>MOULEYDIER</t>
  </si>
  <si>
    <t>VANOSC</t>
  </si>
  <si>
    <t>13005</t>
  </si>
  <si>
    <t>MARSEILLE--5E--ARRONDISSEMENT</t>
  </si>
  <si>
    <t>ARNEKE</t>
  </si>
  <si>
    <t>BIZONNES</t>
  </si>
  <si>
    <t>PARNOY-EN-BASSIGNY</t>
  </si>
  <si>
    <t>2B238</t>
  </si>
  <si>
    <t>POGGIO-DI-VENACO</t>
  </si>
  <si>
    <t>CALVIAC-EN-PERIGORD</t>
  </si>
  <si>
    <t>59265</t>
  </si>
  <si>
    <t>AUBENCHEUL-AU-BAC</t>
  </si>
  <si>
    <t>ONCOURT</t>
  </si>
  <si>
    <t>CHUSCLAN</t>
  </si>
  <si>
    <t>NOMPATELIZE</t>
  </si>
  <si>
    <t>LALANDE</t>
  </si>
  <si>
    <t>CHAUMONTEL</t>
  </si>
  <si>
    <t>SAINT-RIGOMER-DES-BOIS</t>
  </si>
  <si>
    <t>91070</t>
  </si>
  <si>
    <t>BONDOUFLE</t>
  </si>
  <si>
    <t>VALEILLES</t>
  </si>
  <si>
    <t>CHOLONGE</t>
  </si>
  <si>
    <t>VIVONNE</t>
  </si>
  <si>
    <t>NOTRE-DAME-DE-BOISSET</t>
  </si>
  <si>
    <t>LIMESY</t>
  </si>
  <si>
    <t>BOURBONNE-LES-BAINS</t>
  </si>
  <si>
    <t>59254</t>
  </si>
  <si>
    <t>GHYVELDE</t>
  </si>
  <si>
    <t>TOURNAN-EN-BRIE</t>
  </si>
  <si>
    <t>KEFFENACH</t>
  </si>
  <si>
    <t>CORBON</t>
  </si>
  <si>
    <t>BOISROGER</t>
  </si>
  <si>
    <t>ROUVRES-EN-WOEVRE</t>
  </si>
  <si>
    <t>23450</t>
  </si>
  <si>
    <t>FRESSELINES</t>
  </si>
  <si>
    <t>COLLERET</t>
  </si>
  <si>
    <t>OLARGUES</t>
  </si>
  <si>
    <t>MONTZEVILLE</t>
  </si>
  <si>
    <t>BREAUTE</t>
  </si>
  <si>
    <t>MONTSEGUR</t>
  </si>
  <si>
    <t>PUYVALADOR</t>
  </si>
  <si>
    <t>ESTAIRES</t>
  </si>
  <si>
    <t>LA LONDE</t>
  </si>
  <si>
    <t>TORCY-LE-GRAND</t>
  </si>
  <si>
    <t>MARCON</t>
  </si>
  <si>
    <t>SAINT-JULIEN-DE-CREMPSE</t>
  </si>
  <si>
    <t>FRUNCE</t>
  </si>
  <si>
    <t>PONSONNAS</t>
  </si>
  <si>
    <t>BREMONTIER-MERVAL</t>
  </si>
  <si>
    <t>SAINT-PERAN</t>
  </si>
  <si>
    <t>OBERHERGHEIM</t>
  </si>
  <si>
    <t>SAINT-BONNET-LE-CHATEAU</t>
  </si>
  <si>
    <t>LA VACQUERIE</t>
  </si>
  <si>
    <t>MOZAC</t>
  </si>
  <si>
    <t>LE CHEIX</t>
  </si>
  <si>
    <t>BELLAC</t>
  </si>
  <si>
    <t>VAUTORTE</t>
  </si>
  <si>
    <t>SAINT-HILAIRE-EN-WOEVRE</t>
  </si>
  <si>
    <t>34470</t>
  </si>
  <si>
    <t>PEROLS</t>
  </si>
  <si>
    <t>AYSE</t>
  </si>
  <si>
    <t>GREGES</t>
  </si>
  <si>
    <t>LA VERDIERE</t>
  </si>
  <si>
    <t>ESQUIEZE-SERE</t>
  </si>
  <si>
    <t>33980</t>
  </si>
  <si>
    <t>AUDENGE</t>
  </si>
  <si>
    <t>NERCILLAC</t>
  </si>
  <si>
    <t>LARCAN</t>
  </si>
  <si>
    <t>ASSEVENT</t>
  </si>
  <si>
    <t>PLOUIDER</t>
  </si>
  <si>
    <t>SAINT-JEAN-DES-BAISANTS</t>
  </si>
  <si>
    <t>JOSAT</t>
  </si>
  <si>
    <t>L'HABIT</t>
  </si>
  <si>
    <t>COISERETTE</t>
  </si>
  <si>
    <t>JOUQUEVIEL</t>
  </si>
  <si>
    <t>LARRESSINGLE</t>
  </si>
  <si>
    <t>SAINT-ARMOU</t>
  </si>
  <si>
    <t>CHUIGNOLLES</t>
  </si>
  <si>
    <t>SAINT-LEGER-EN-YVELINES</t>
  </si>
  <si>
    <t>FRESNOY-EN-CHAUSSEE</t>
  </si>
  <si>
    <t>LA MOTTE-FEUILLY</t>
  </si>
  <si>
    <t>QUINGEY</t>
  </si>
  <si>
    <t>GONSANS</t>
  </si>
  <si>
    <t>MORMES</t>
  </si>
  <si>
    <t>BELLOC</t>
  </si>
  <si>
    <t>ETOILE-SUR-RHONE</t>
  </si>
  <si>
    <t>WEITERSWILLER</t>
  </si>
  <si>
    <t>BENEUVRE</t>
  </si>
  <si>
    <t>LOUVIL</t>
  </si>
  <si>
    <t>HAUTESVIGNES</t>
  </si>
  <si>
    <t>FRANCOIS</t>
  </si>
  <si>
    <t>SOUESMES</t>
  </si>
  <si>
    <t>BILLY-SUR-OURCQ</t>
  </si>
  <si>
    <t>CHAPELLE-SPINASSE</t>
  </si>
  <si>
    <t>THAAS</t>
  </si>
  <si>
    <t>SAINT-JEAN-DU-BRUEL</t>
  </si>
  <si>
    <t>ARGILLIERS</t>
  </si>
  <si>
    <t>85510</t>
  </si>
  <si>
    <t>LE BOUPERE</t>
  </si>
  <si>
    <t>FREULLEVILLE</t>
  </si>
  <si>
    <t>HOMMES</t>
  </si>
  <si>
    <t>BRUX</t>
  </si>
  <si>
    <t>RAUVILLE-LA-PLACE</t>
  </si>
  <si>
    <t>BASSIGNEY</t>
  </si>
  <si>
    <t>MONTIGNARGUES</t>
  </si>
  <si>
    <t>ECUVILLY</t>
  </si>
  <si>
    <t>FAUX-LA-MONTAGNE</t>
  </si>
  <si>
    <t>CUFFIES</t>
  </si>
  <si>
    <t>GRENADE-SUR-L'ADOUR</t>
  </si>
  <si>
    <t>MONTENDRE</t>
  </si>
  <si>
    <t>VINAX</t>
  </si>
  <si>
    <t>GENDREVILLE</t>
  </si>
  <si>
    <t>AVENSAN</t>
  </si>
  <si>
    <t>GREFFEIL</t>
  </si>
  <si>
    <t>SOUCLIN</t>
  </si>
  <si>
    <t>FREJAIROLLES</t>
  </si>
  <si>
    <t>TRONSANGES</t>
  </si>
  <si>
    <t>FRENCQ</t>
  </si>
  <si>
    <t>SAINT-SALVY</t>
  </si>
  <si>
    <t>GERMONVILLE</t>
  </si>
  <si>
    <t>NEUVILLE-SUR-VANNE</t>
  </si>
  <si>
    <t>CIEURAC</t>
  </si>
  <si>
    <t>LE CORMIER</t>
  </si>
  <si>
    <t>BRAGAYRAC</t>
  </si>
  <si>
    <t>AUBIGNY-AU-BAC</t>
  </si>
  <si>
    <t>SAINT-PAUL-EN-JAREZ</t>
  </si>
  <si>
    <t>LEZAT-SUR-LEZE</t>
  </si>
  <si>
    <t>LIMEYRAT</t>
  </si>
  <si>
    <t>EQUIRRE</t>
  </si>
  <si>
    <t>SAINT-HERVE</t>
  </si>
  <si>
    <t>GUNTZVILLER</t>
  </si>
  <si>
    <t>VAUX-LE-MONCELOT</t>
  </si>
  <si>
    <t>CAMPOME</t>
  </si>
  <si>
    <t>BEAUVOIS-EN-VERMANDOIS</t>
  </si>
  <si>
    <t>FEBVIN-PALFART</t>
  </si>
  <si>
    <t>FONTANS</t>
  </si>
  <si>
    <t>EPISY</t>
  </si>
  <si>
    <t>LOIVRE</t>
  </si>
  <si>
    <t>SAINT-MARTIN-LE-NOEUD</t>
  </si>
  <si>
    <t>LAGARDE-PAREOL</t>
  </si>
  <si>
    <t>SAVOILLAN</t>
  </si>
  <si>
    <t>2B167</t>
  </si>
  <si>
    <t>MONTEGROSSO</t>
  </si>
  <si>
    <t>TESSE-FROULAY</t>
  </si>
  <si>
    <t>LEDRINGHEM</t>
  </si>
  <si>
    <t>MORSBRONN-LES-BAINS</t>
  </si>
  <si>
    <t>POIX-DU-NORD</t>
  </si>
  <si>
    <t>SAINT-MARTIN-CANTALES</t>
  </si>
  <si>
    <t>MOULIN-SOUS-TOUVENT</t>
  </si>
  <si>
    <t>CORMARANCHE-EN-BUGEY</t>
  </si>
  <si>
    <t>NEUVILLE-SUR-SEINE</t>
  </si>
  <si>
    <t>FLEURY-EN-BIERE</t>
  </si>
  <si>
    <t>BARRETAINE</t>
  </si>
  <si>
    <t>MAICHE</t>
  </si>
  <si>
    <t>97228</t>
  </si>
  <si>
    <t>SAINT-GERMAIN-DE-VARREVILLE</t>
  </si>
  <si>
    <t>GRIGNOLS</t>
  </si>
  <si>
    <t>REUIL</t>
  </si>
  <si>
    <t>ESBAREICH</t>
  </si>
  <si>
    <t>PERRUEL</t>
  </si>
  <si>
    <t>VILLENEUVE-L'ARCHEVEQUE</t>
  </si>
  <si>
    <t>TREFCON</t>
  </si>
  <si>
    <t>LAMBERVILLE</t>
  </si>
  <si>
    <t>MONTROTTIER</t>
  </si>
  <si>
    <t>MAZERES</t>
  </si>
  <si>
    <t>VERJUX</t>
  </si>
  <si>
    <t>OMMERAY</t>
  </si>
  <si>
    <t>BURE</t>
  </si>
  <si>
    <t>WESTREHEM</t>
  </si>
  <si>
    <t>VULAINES</t>
  </si>
  <si>
    <t>GALAN</t>
  </si>
  <si>
    <t>SAINT-ETIENNE-DU-GUE-DE-L'ISLE</t>
  </si>
  <si>
    <t>MADIERE</t>
  </si>
  <si>
    <t>LABEJAN</t>
  </si>
  <si>
    <t>MELLERAN</t>
  </si>
  <si>
    <t>QUINCY-LE-VICOMTE</t>
  </si>
  <si>
    <t>ROYBON</t>
  </si>
  <si>
    <t>MENSIGNAC</t>
  </si>
  <si>
    <t>POYOLS</t>
  </si>
  <si>
    <t>DREE</t>
  </si>
  <si>
    <t>SAINT-GOURSON</t>
  </si>
  <si>
    <t>69310</t>
  </si>
  <si>
    <t>PIERRE-BENITE</t>
  </si>
  <si>
    <t>WARGEMOULIN-HURLUS</t>
  </si>
  <si>
    <t>BELBESE</t>
  </si>
  <si>
    <t>FOUVENT-SAINT-ANDOCHE</t>
  </si>
  <si>
    <t>LAIRES</t>
  </si>
  <si>
    <t>56620</t>
  </si>
  <si>
    <t>CLEGUER</t>
  </si>
  <si>
    <t>VILLARD-RECULAS</t>
  </si>
  <si>
    <t>MONDORFF</t>
  </si>
  <si>
    <t>59167</t>
  </si>
  <si>
    <t>LALLAING</t>
  </si>
  <si>
    <t>2B333</t>
  </si>
  <si>
    <t>VALLECALLE</t>
  </si>
  <si>
    <t>CHAMPAGNY-SOUS-UXELLES</t>
  </si>
  <si>
    <t>LEVIS</t>
  </si>
  <si>
    <t>ROMAZY</t>
  </si>
  <si>
    <t>NANCOIS-SUR-ORNAIN</t>
  </si>
  <si>
    <t>FERREUX-QUINCEY</t>
  </si>
  <si>
    <t>PONCIN</t>
  </si>
  <si>
    <t>BOISSISE-LA-BERTRAND</t>
  </si>
  <si>
    <t>LA CHAPELLE-PRES-SEES</t>
  </si>
  <si>
    <t>FORCEVILLE-EN-VIMEU</t>
  </si>
  <si>
    <t>LOLME</t>
  </si>
  <si>
    <t>MONTIGNY-SUR-CANNE</t>
  </si>
  <si>
    <t>LE VILHAIN</t>
  </si>
  <si>
    <t>SAINT-VOUGAY</t>
  </si>
  <si>
    <t>13105</t>
  </si>
  <si>
    <t>MIMET</t>
  </si>
  <si>
    <t>GERLAND</t>
  </si>
  <si>
    <t>FAINS</t>
  </si>
  <si>
    <t>SAINT-FULGENT-DES-ORMES</t>
  </si>
  <si>
    <t>COUX-ET-BIGAROQUE</t>
  </si>
  <si>
    <t>GRESSWILLER</t>
  </si>
  <si>
    <t>COGNAT-LYONNE</t>
  </si>
  <si>
    <t>MONTOY-FLANVILLE</t>
  </si>
  <si>
    <t>SAINT-MERD-DE-LAPLEAU</t>
  </si>
  <si>
    <t>NEURE</t>
  </si>
  <si>
    <t>AUBENAS</t>
  </si>
  <si>
    <t>SAINT-GEORGES-SUR-ARNON</t>
  </si>
  <si>
    <t>MESNIL-ROUSSET</t>
  </si>
  <si>
    <t>PLELAN-LE-GRAND</t>
  </si>
  <si>
    <t>VILLEFRANCHE-DU-PERIGORD</t>
  </si>
  <si>
    <t>67680</t>
  </si>
  <si>
    <t>NOTHALTEN</t>
  </si>
  <si>
    <t>ONLAY</t>
  </si>
  <si>
    <t>RAISSAC-SUR-LAMPY</t>
  </si>
  <si>
    <t>SARCENAS</t>
  </si>
  <si>
    <t>COLMEY</t>
  </si>
  <si>
    <t>DRACE</t>
  </si>
  <si>
    <t>SAINT-ETIENNE-D'ORTHE</t>
  </si>
  <si>
    <t>CHAZOT</t>
  </si>
  <si>
    <t>SOLBACH</t>
  </si>
  <si>
    <t>ROBECQ</t>
  </si>
  <si>
    <t>SAINT-BRIS-DES-BOIS</t>
  </si>
  <si>
    <t>42400</t>
  </si>
  <si>
    <t>SAINT-CHAMOND</t>
  </si>
  <si>
    <t>GUILMECOURT</t>
  </si>
  <si>
    <t>AUBIGNY-EN-ARTOIS</t>
  </si>
  <si>
    <t>LES ADRETS</t>
  </si>
  <si>
    <t>52270</t>
  </si>
  <si>
    <t>ROCHES-BETTAINCOURT</t>
  </si>
  <si>
    <t>AIGNES</t>
  </si>
  <si>
    <t>SAINT-CLAIR-SUR-EPTE</t>
  </si>
  <si>
    <t>SAINT-ARAILLE</t>
  </si>
  <si>
    <t>PISY</t>
  </si>
  <si>
    <t>BOUZEMONT</t>
  </si>
  <si>
    <t>50470</t>
  </si>
  <si>
    <t>LA GLACERIE</t>
  </si>
  <si>
    <t>LEFFONDS</t>
  </si>
  <si>
    <t>EYMOUTHIERS</t>
  </si>
  <si>
    <t>PEYROLE</t>
  </si>
  <si>
    <t>FORBACH</t>
  </si>
  <si>
    <t>MARIGNY-SAINT-MARCEL</t>
  </si>
  <si>
    <t>95110</t>
  </si>
  <si>
    <t>SANNOIS</t>
  </si>
  <si>
    <t>PIERREFEU-DU-VAR</t>
  </si>
  <si>
    <t>HEROUVILLE</t>
  </si>
  <si>
    <t>JAUDRAIS</t>
  </si>
  <si>
    <t>SAINT-MARTIN-LES-MELLE</t>
  </si>
  <si>
    <t>SAFFRES</t>
  </si>
  <si>
    <t>LA CHAPELLE-MONTHODON</t>
  </si>
  <si>
    <t>CLUSES</t>
  </si>
  <si>
    <t>22470</t>
  </si>
  <si>
    <t>PLOUEZEC</t>
  </si>
  <si>
    <t>SAINT-ALBAN-SUR-LIMAGNOLE</t>
  </si>
  <si>
    <t>RARECOURT</t>
  </si>
  <si>
    <t>SAINT-CYR-DU-GAULT</t>
  </si>
  <si>
    <t>BUZY</t>
  </si>
  <si>
    <t>91550</t>
  </si>
  <si>
    <t>PARAY-VIEILLE-POSTE</t>
  </si>
  <si>
    <t>LES PAROCHES</t>
  </si>
  <si>
    <t>VIOLAINES</t>
  </si>
  <si>
    <t>LATRAPE</t>
  </si>
  <si>
    <t>LE MONTEIL-AU-VICOMTE</t>
  </si>
  <si>
    <t>LE BARROUX</t>
  </si>
  <si>
    <t>AURIAC-SUR-DROPT</t>
  </si>
  <si>
    <t>SAINT-JAMES</t>
  </si>
  <si>
    <t>CAVIGNY</t>
  </si>
  <si>
    <t>LES MONTS-VERTS</t>
  </si>
  <si>
    <t>NOUSSEVILLER-SAINT-NABOR</t>
  </si>
  <si>
    <t>AUBIET</t>
  </si>
  <si>
    <t>SAINTE-THERENCE</t>
  </si>
  <si>
    <t>ROQUEDUR</t>
  </si>
  <si>
    <t>SEMUR-EN-VALLON</t>
  </si>
  <si>
    <t>TROMBORN</t>
  </si>
  <si>
    <t>OELLEVILLE</t>
  </si>
  <si>
    <t>SAINT-FERME</t>
  </si>
  <si>
    <t>FLAUGEAC</t>
  </si>
  <si>
    <t>BOURG-DES-MAISONS</t>
  </si>
  <si>
    <t>SAINT-MARDS-EN-OTHE</t>
  </si>
  <si>
    <t>HOUVILLE-LA-BRANCHE</t>
  </si>
  <si>
    <t>SAINT-HONORE-LES-BAINS</t>
  </si>
  <si>
    <t>SAINT-LAURENT-EN-GATINES</t>
  </si>
  <si>
    <t>AUGY-SUR-AUBOIS</t>
  </si>
  <si>
    <t>LARRA</t>
  </si>
  <si>
    <t>GERVILLE</t>
  </si>
  <si>
    <t>ULCOT</t>
  </si>
  <si>
    <t>VENCE</t>
  </si>
  <si>
    <t>BALSAC</t>
  </si>
  <si>
    <t>60173</t>
  </si>
  <si>
    <t>IVRY-LE-TEMPLE</t>
  </si>
  <si>
    <t>BRACON</t>
  </si>
  <si>
    <t>SAINT-CIRGUES-EN-MONTAGNE</t>
  </si>
  <si>
    <t>ESTREBOEUF</t>
  </si>
  <si>
    <t>LES OLMES</t>
  </si>
  <si>
    <t>KNOERINGUE</t>
  </si>
  <si>
    <t>CHEPY</t>
  </si>
  <si>
    <t>2B337</t>
  </si>
  <si>
    <t>VALLE-DI-ROSTINO</t>
  </si>
  <si>
    <t>ANZIN-SAINT-AUBIN</t>
  </si>
  <si>
    <t>DARDENAC</t>
  </si>
  <si>
    <t>59187</t>
  </si>
  <si>
    <t>DECHY</t>
  </si>
  <si>
    <t>STAPLE</t>
  </si>
  <si>
    <t>MEZERES</t>
  </si>
  <si>
    <t>SAINT-PATRICE-DU-DESERT</t>
  </si>
  <si>
    <t>GROSROUVRE</t>
  </si>
  <si>
    <t>CHANTEIX</t>
  </si>
  <si>
    <t>AUTHUMES</t>
  </si>
  <si>
    <t>HAGECOURT</t>
  </si>
  <si>
    <t>ARNAVILLE</t>
  </si>
  <si>
    <t>POUILLY-SOUS-CHARLIEU</t>
  </si>
  <si>
    <t>PLAVILLA</t>
  </si>
  <si>
    <t>MOSLINS</t>
  </si>
  <si>
    <t>HAMBACH</t>
  </si>
  <si>
    <t>GENDREY</t>
  </si>
  <si>
    <t>SAINT-DONAT</t>
  </si>
  <si>
    <t>95180</t>
  </si>
  <si>
    <t>MENUCOURT</t>
  </si>
  <si>
    <t>BOURG-SOUS-CHATELET</t>
  </si>
  <si>
    <t>TAUTAVEL</t>
  </si>
  <si>
    <t>BEDARIEUX</t>
  </si>
  <si>
    <t>SERVAIS</t>
  </si>
  <si>
    <t>ANCY-LE-LIBRE</t>
  </si>
  <si>
    <t>BOULAZAC</t>
  </si>
  <si>
    <t>CASTELNAU-MAGNOAC</t>
  </si>
  <si>
    <t>VERDELAIS</t>
  </si>
  <si>
    <t>MONTAMBERT</t>
  </si>
  <si>
    <t>CUVIER</t>
  </si>
  <si>
    <t>AUTREPIERRE</t>
  </si>
  <si>
    <t>2B199</t>
  </si>
  <si>
    <t>PALASCA</t>
  </si>
  <si>
    <t>CHATIN</t>
  </si>
  <si>
    <t>CHALON</t>
  </si>
  <si>
    <t>LES EDUTS</t>
  </si>
  <si>
    <t>VIGNEUX-HOCQUET</t>
  </si>
  <si>
    <t>BEZINS-GARRAUX</t>
  </si>
  <si>
    <t>SOCHAUX</t>
  </si>
  <si>
    <t>BOUY-SUR-ORVIN</t>
  </si>
  <si>
    <t>LE FLEIX</t>
  </si>
  <si>
    <t>CHARENTON-DU-CHER</t>
  </si>
  <si>
    <t>CHANTENAY-SAINT-IMBERT</t>
  </si>
  <si>
    <t>SAINT-VRAN</t>
  </si>
  <si>
    <t>OSTABAT-ASME</t>
  </si>
  <si>
    <t>SAINT-COUAT-D'AUDE</t>
  </si>
  <si>
    <t>SAUX</t>
  </si>
  <si>
    <t>VILLECOMTAL-SUR-ARROS</t>
  </si>
  <si>
    <t>SAINT-OULPH</t>
  </si>
  <si>
    <t>LA CHAPELLE-FAUCHER</t>
  </si>
  <si>
    <t>MARCILLY-SUR-VIENNE</t>
  </si>
  <si>
    <t>TANCON</t>
  </si>
  <si>
    <t>SAINT-JUAN</t>
  </si>
  <si>
    <t>AUVILLARS-SUR-SAONE</t>
  </si>
  <si>
    <t>SAINT-ETIENNE-DE-GOURGAS</t>
  </si>
  <si>
    <t>GREUX</t>
  </si>
  <si>
    <t>DORNECY</t>
  </si>
  <si>
    <t>HERBEUVILLE</t>
  </si>
  <si>
    <t>ANZY-LE-DUC</t>
  </si>
  <si>
    <t>RENAISON</t>
  </si>
  <si>
    <t>HANNONVILLE-SUZEMONT</t>
  </si>
  <si>
    <t>VODABLE</t>
  </si>
  <si>
    <t>30530</t>
  </si>
  <si>
    <t>2B335</t>
  </si>
  <si>
    <t>VALLE-DI-CAMPOLORO</t>
  </si>
  <si>
    <t>MONETAY-SUR-ALLIER</t>
  </si>
  <si>
    <t>OSLON</t>
  </si>
  <si>
    <t>BOISMONT</t>
  </si>
  <si>
    <t>CHARD</t>
  </si>
  <si>
    <t>VILLIERS-SAINT-ORIEN</t>
  </si>
  <si>
    <t>BOUIN-PLUMOISON</t>
  </si>
  <si>
    <t>WOINCOURT</t>
  </si>
  <si>
    <t>MAILLY-LA-VILLE</t>
  </si>
  <si>
    <t>AIGUILHE</t>
  </si>
  <si>
    <t>LEGUILLAC-DE-L'AUCHE</t>
  </si>
  <si>
    <t>DETAIN-ET-BRUANT</t>
  </si>
  <si>
    <t>57740</t>
  </si>
  <si>
    <t>LONGEVILLE-LES-SAINT-AVOLD</t>
  </si>
  <si>
    <t>PROIX</t>
  </si>
  <si>
    <t>SAINTE-MARGUERITE-DES-LOGES</t>
  </si>
  <si>
    <t>SAINT-JUDOCE</t>
  </si>
  <si>
    <t>RACRANGE</t>
  </si>
  <si>
    <t>COLROY-LA-ROCHE</t>
  </si>
  <si>
    <t>COULAURES</t>
  </si>
  <si>
    <t>PETIT-MESNIL</t>
  </si>
  <si>
    <t>CLUCY</t>
  </si>
  <si>
    <t>COOLUS</t>
  </si>
  <si>
    <t>VILLARS-LES-BOIS</t>
  </si>
  <si>
    <t>TIVIERS</t>
  </si>
  <si>
    <t>LE PLESSIER-SUR-SAINT-JUST</t>
  </si>
  <si>
    <t>SESSENHEIM</t>
  </si>
  <si>
    <t>GARAT</t>
  </si>
  <si>
    <t>LEVAINVILLE</t>
  </si>
  <si>
    <t>YZEUX</t>
  </si>
  <si>
    <t>BRENOD</t>
  </si>
  <si>
    <t>GRUST</t>
  </si>
  <si>
    <t>CAULLERY</t>
  </si>
  <si>
    <t>FONTAINE-LES-LUXEUIL</t>
  </si>
  <si>
    <t>SAINT-MARTIN-D'URIAGE</t>
  </si>
  <si>
    <t>63930</t>
  </si>
  <si>
    <t>AUGEROLLES</t>
  </si>
  <si>
    <t>DRAMBON</t>
  </si>
  <si>
    <t>VERNEUIL-LE-CHATEAU</t>
  </si>
  <si>
    <t>DAMIGNY</t>
  </si>
  <si>
    <t>SAINT-BARTHELEMY-LE-PLAIN</t>
  </si>
  <si>
    <t>LAVILLENEUVE</t>
  </si>
  <si>
    <t>HOUTTEVILLE</t>
  </si>
  <si>
    <t>SAINT-AUBIN-D'ECROSVILLE</t>
  </si>
  <si>
    <t>21550</t>
  </si>
  <si>
    <t>LADOIX-SERRIGNY</t>
  </si>
  <si>
    <t>13760</t>
  </si>
  <si>
    <t>SAINT-CANNAT</t>
  </si>
  <si>
    <t>BERNIERES-D'AILLY</t>
  </si>
  <si>
    <t>RUMAUCOURT</t>
  </si>
  <si>
    <t>SAINT-MARTIN-DE-CASTILLON</t>
  </si>
  <si>
    <t>BOUCOIRAN-ET-NOZIERES</t>
  </si>
  <si>
    <t>ANCHENONCOURT-ET-CHAZEL</t>
  </si>
  <si>
    <t>LA PACAUDIERE</t>
  </si>
  <si>
    <t>FONTAINE-LA-GAILLARDE</t>
  </si>
  <si>
    <t>JALLAUCOURT</t>
  </si>
  <si>
    <t>MARQUEIN</t>
  </si>
  <si>
    <t>VIRIEU-LE-PETIT</t>
  </si>
  <si>
    <t>49640</t>
  </si>
  <si>
    <t>DAUMERAY</t>
  </si>
  <si>
    <t>BRAINE</t>
  </si>
  <si>
    <t>L'ILE-D'OLONNE</t>
  </si>
  <si>
    <t>BILLIERE</t>
  </si>
  <si>
    <t>SAINT-HIPPOLYTE-DE-CATON</t>
  </si>
  <si>
    <t>BEAULIEU-SUR-DORDOGNE</t>
  </si>
  <si>
    <t>FORGES-LES-BAINS</t>
  </si>
  <si>
    <t>AUDRESSEIN</t>
  </si>
  <si>
    <t>SION-LES-MINES</t>
  </si>
  <si>
    <t>CHACRISE</t>
  </si>
  <si>
    <t>PUXE</t>
  </si>
  <si>
    <t>ATTRICOURT</t>
  </si>
  <si>
    <t>PEYREGOUX</t>
  </si>
  <si>
    <t>PORTA</t>
  </si>
  <si>
    <t>SAINT-CRESPIN-SUR-MOINE</t>
  </si>
  <si>
    <t>LIMAS</t>
  </si>
  <si>
    <t>ANJOUIN</t>
  </si>
  <si>
    <t>PROVENCY</t>
  </si>
  <si>
    <t>THIBOUVILLE</t>
  </si>
  <si>
    <t>BRETIGNEY-NOTRE-DAME</t>
  </si>
  <si>
    <t>ORTHOUX-SERIGNAC-QUILHAN</t>
  </si>
  <si>
    <t>CHUYER</t>
  </si>
  <si>
    <t>SAINT-MARTIAL-VIVEYROL</t>
  </si>
  <si>
    <t>VERLIN</t>
  </si>
  <si>
    <t>SAINT-JULIEN-EN-GENEVOIS</t>
  </si>
  <si>
    <t>FRANCIERES</t>
  </si>
  <si>
    <t>FOURQUEVAUX</t>
  </si>
  <si>
    <t>43400</t>
  </si>
  <si>
    <t>LE CHAMBON-SUR-LIGNON</t>
  </si>
  <si>
    <t>LADOS</t>
  </si>
  <si>
    <t>LE ROURET</t>
  </si>
  <si>
    <t>MONTGRELEIX</t>
  </si>
  <si>
    <t>LUPSTEIN</t>
  </si>
  <si>
    <t>AVANNE-AVENEY</t>
  </si>
  <si>
    <t>CRECEY-SUR-TILLE</t>
  </si>
  <si>
    <t>56770</t>
  </si>
  <si>
    <t>PLOURAY</t>
  </si>
  <si>
    <t>GUYENCOURT-SAULCOURT</t>
  </si>
  <si>
    <t>59241</t>
  </si>
  <si>
    <t>MASNIERES</t>
  </si>
  <si>
    <t>BESSEY</t>
  </si>
  <si>
    <t>PRIMELIN</t>
  </si>
  <si>
    <t>CORDES-SUR-CIEL</t>
  </si>
  <si>
    <t>COURZIEU</t>
  </si>
  <si>
    <t>BIDACHE</t>
  </si>
  <si>
    <t>COMBAS</t>
  </si>
  <si>
    <t>MOYENVIC</t>
  </si>
  <si>
    <t>85640</t>
  </si>
  <si>
    <t>MOUCHAMPS</t>
  </si>
  <si>
    <t>91000</t>
  </si>
  <si>
    <t>EVRY</t>
  </si>
  <si>
    <t>ESTREE</t>
  </si>
  <si>
    <t>SAINT-MICHEL-DE-CASTELNAU</t>
  </si>
  <si>
    <t>SAINT-LYE</t>
  </si>
  <si>
    <t>ROMESCAMPS</t>
  </si>
  <si>
    <t>MORSCHWILLER</t>
  </si>
  <si>
    <t>NOISY-RUDIGNON</t>
  </si>
  <si>
    <t>CORCOUE-SUR-LOGNE</t>
  </si>
  <si>
    <t>RAYMOND</t>
  </si>
  <si>
    <t>DAOULAS</t>
  </si>
  <si>
    <t>VEBRON</t>
  </si>
  <si>
    <t>MORIERS</t>
  </si>
  <si>
    <t>MESSAS</t>
  </si>
  <si>
    <t>GIOU-DE-MAMOU</t>
  </si>
  <si>
    <t>MONDILHAN</t>
  </si>
  <si>
    <t>20163</t>
  </si>
  <si>
    <t>2A324</t>
  </si>
  <si>
    <t>TAVERA</t>
  </si>
  <si>
    <t>LABOULE</t>
  </si>
  <si>
    <t>VILLEVIEUX</t>
  </si>
  <si>
    <t>EINVAUX</t>
  </si>
  <si>
    <t>VERTEUIL-D'AGENAIS</t>
  </si>
  <si>
    <t>CHABESTAN</t>
  </si>
  <si>
    <t>VILLARS-FONTAINE</t>
  </si>
  <si>
    <t>NOTRE-DAME-DE-L'ISLE</t>
  </si>
  <si>
    <t>CEYRAS</t>
  </si>
  <si>
    <t>MARIGNY-LES-USAGES</t>
  </si>
  <si>
    <t>ROZEROTTE</t>
  </si>
  <si>
    <t>WATRONVILLE</t>
  </si>
  <si>
    <t>BARNAY</t>
  </si>
  <si>
    <t>GAJOUBERT</t>
  </si>
  <si>
    <t>ALENYA</t>
  </si>
  <si>
    <t>LOUVENCOURT</t>
  </si>
  <si>
    <t>ARGANCHY</t>
  </si>
  <si>
    <t>BEUVRON</t>
  </si>
  <si>
    <t>SAZERET</t>
  </si>
  <si>
    <t>LAGNEY</t>
  </si>
  <si>
    <t>HIBARETTE</t>
  </si>
  <si>
    <t>HUMIERES</t>
  </si>
  <si>
    <t>PEYRAUBE</t>
  </si>
  <si>
    <t>28100</t>
  </si>
  <si>
    <t>DREUX</t>
  </si>
  <si>
    <t>SAINT-CYR-DU-BAILLEUL</t>
  </si>
  <si>
    <t>SAINT-MARTIN-DE-JUILLERS</t>
  </si>
  <si>
    <t>ECRIENNES</t>
  </si>
  <si>
    <t>VAUCOURT</t>
  </si>
  <si>
    <t>LE BREUIL-EN-BESSIN</t>
  </si>
  <si>
    <t>SOLLIES-TOUCAS</t>
  </si>
  <si>
    <t>CHEVROCHES</t>
  </si>
  <si>
    <t>FRANCALMONT</t>
  </si>
  <si>
    <t>SAINT-ACHEUL</t>
  </si>
  <si>
    <t>SECHILIENNE</t>
  </si>
  <si>
    <t>VILLEBRAMAR</t>
  </si>
  <si>
    <t>VESCOURS</t>
  </si>
  <si>
    <t>BRINON-SUR-SAULDRE</t>
  </si>
  <si>
    <t>TROUSSEY</t>
  </si>
  <si>
    <t>14650</t>
  </si>
  <si>
    <t>CARPIQUET</t>
  </si>
  <si>
    <t>LUBRET-SAINT-LUC</t>
  </si>
  <si>
    <t>TREFFORT-CUISIAT</t>
  </si>
  <si>
    <t>LES PETITES-LOGES</t>
  </si>
  <si>
    <t>ZILLISHEIM</t>
  </si>
  <si>
    <t>CRISSE</t>
  </si>
  <si>
    <t>MEOLANS-REVEL</t>
  </si>
  <si>
    <t>DROUILLY</t>
  </si>
  <si>
    <t>DAMPIERRE-SUR-LE-DOUBS</t>
  </si>
  <si>
    <t>MECE</t>
  </si>
  <si>
    <t>POMPS</t>
  </si>
  <si>
    <t>POUILLY-SUR-SAONE</t>
  </si>
  <si>
    <t>JAULNY</t>
  </si>
  <si>
    <t>TETAIGNE</t>
  </si>
  <si>
    <t>SAINT-SENOUX</t>
  </si>
  <si>
    <t>LEDERGUES</t>
  </si>
  <si>
    <t>NABAS</t>
  </si>
  <si>
    <t>ANGLEMONT</t>
  </si>
  <si>
    <t>SAINT-CLAIR-SUR-LES-MONTS</t>
  </si>
  <si>
    <t>MONTREUIL-SUR-THONNANCE</t>
  </si>
  <si>
    <t>MONTREJEAU</t>
  </si>
  <si>
    <t>DOULAINCOURT-SAUCOURT</t>
  </si>
  <si>
    <t>LABOUHEYRE</t>
  </si>
  <si>
    <t>ORSINVAL</t>
  </si>
  <si>
    <t>COARRAZE</t>
  </si>
  <si>
    <t>BEYLONGUE</t>
  </si>
  <si>
    <t>SAINT-GEORGES-BUTTAVENT</t>
  </si>
  <si>
    <t>MOTTIER</t>
  </si>
  <si>
    <t>CUSSEY-SUR-L'OGNON</t>
  </si>
  <si>
    <t>LE BEAGE</t>
  </si>
  <si>
    <t>COMBERJON</t>
  </si>
  <si>
    <t>BOURG-LASTIC</t>
  </si>
  <si>
    <t>PONTCHARDON</t>
  </si>
  <si>
    <t>JEUX-LES-BARD</t>
  </si>
  <si>
    <t>MAUBERT-FONTAINE</t>
  </si>
  <si>
    <t>VERNOLS</t>
  </si>
  <si>
    <t>EAUCOURT-SUR-SOMME</t>
  </si>
  <si>
    <t>GERUGE</t>
  </si>
  <si>
    <t>GOURCHELLES</t>
  </si>
  <si>
    <t>SOULTZEREN</t>
  </si>
  <si>
    <t>NANCUISE</t>
  </si>
  <si>
    <t>GUILLERVAL</t>
  </si>
  <si>
    <t>SAINT-PANTALY-D'ANS</t>
  </si>
  <si>
    <t>LATOUR-EN-WOEVRE</t>
  </si>
  <si>
    <t>XAINTRAY</t>
  </si>
  <si>
    <t>BRUMETZ</t>
  </si>
  <si>
    <t>13170</t>
  </si>
  <si>
    <t>LES PENNES-MIRABEAU</t>
  </si>
  <si>
    <t>LES BIZOTS</t>
  </si>
  <si>
    <t>CILLY</t>
  </si>
  <si>
    <t>TREMENTINES</t>
  </si>
  <si>
    <t>48270</t>
  </si>
  <si>
    <t>MALBOUZON</t>
  </si>
  <si>
    <t>CHAMPMOTTEUX</t>
  </si>
  <si>
    <t>LES ROUGES-EAUX</t>
  </si>
  <si>
    <t>CHANTEMERLE</t>
  </si>
  <si>
    <t>VERDETS</t>
  </si>
  <si>
    <t>FOSSEMAGNE</t>
  </si>
  <si>
    <t>LA PYLE</t>
  </si>
  <si>
    <t>CENTRES</t>
  </si>
  <si>
    <t>TIGY</t>
  </si>
  <si>
    <t>CHANNES</t>
  </si>
  <si>
    <t>MONTVILLE</t>
  </si>
  <si>
    <t>PEYREMALE</t>
  </si>
  <si>
    <t>TOUCHAY</t>
  </si>
  <si>
    <t>RONNO</t>
  </si>
  <si>
    <t>CHATEAUFORT</t>
  </si>
  <si>
    <t>BETTAINVILLERS</t>
  </si>
  <si>
    <t>TOURAILLES</t>
  </si>
  <si>
    <t>RAINFREVILLE</t>
  </si>
  <si>
    <t>COUTIERES</t>
  </si>
  <si>
    <t>CHAUSSENANS</t>
  </si>
  <si>
    <t>FLAINVAL</t>
  </si>
  <si>
    <t>TRONCHOY</t>
  </si>
  <si>
    <t>PLOUNEOUR-TREZ</t>
  </si>
  <si>
    <t>BIARROTTE</t>
  </si>
  <si>
    <t>LE GRAND-LUCE</t>
  </si>
  <si>
    <t>ECHARCON</t>
  </si>
  <si>
    <t>FEUGAROLLES</t>
  </si>
  <si>
    <t>DOMECY-SUR-CURE</t>
  </si>
  <si>
    <t>77131</t>
  </si>
  <si>
    <t>TOUQUIN</t>
  </si>
  <si>
    <t>NESCHERS</t>
  </si>
  <si>
    <t>BOSC-BERENGER</t>
  </si>
  <si>
    <t>CRESPY-LE-NEUF</t>
  </si>
  <si>
    <t>SAINT-DENISCOURT</t>
  </si>
  <si>
    <t>MISON</t>
  </si>
  <si>
    <t>THORIGNY-SUR-LE-MIGNON</t>
  </si>
  <si>
    <t>LONGWY-SUR-LE-DOUBS</t>
  </si>
  <si>
    <t>95780</t>
  </si>
  <si>
    <t>LA ROCHE-GUYON</t>
  </si>
  <si>
    <t>SUNDHOFFEN</t>
  </si>
  <si>
    <t>TONNERRE</t>
  </si>
  <si>
    <t>SAUVE</t>
  </si>
  <si>
    <t>GUERMANTES</t>
  </si>
  <si>
    <t>TINTENIAC</t>
  </si>
  <si>
    <t>SARLAT-LA-CANEDA</t>
  </si>
  <si>
    <t>FRESNOIS-LA-MONTAGNE</t>
  </si>
  <si>
    <t>HAPPONVILLIERS</t>
  </si>
  <si>
    <t>SAINTE-FLORENCE</t>
  </si>
  <si>
    <t>SAINT-OUEN-EN-BRIE</t>
  </si>
  <si>
    <t>BUXIERES-LES-MINES</t>
  </si>
  <si>
    <t>SURQUES</t>
  </si>
  <si>
    <t>CRONCE</t>
  </si>
  <si>
    <t>SAINT-MANVIEU-BOCAGE</t>
  </si>
  <si>
    <t>COMPEYRE</t>
  </si>
  <si>
    <t>2A001</t>
  </si>
  <si>
    <t>AFA</t>
  </si>
  <si>
    <t>ILLARTEIN</t>
  </si>
  <si>
    <t>BOUVANTE</t>
  </si>
  <si>
    <t>FERRIERE-SUR-BEAULIEU</t>
  </si>
  <si>
    <t>FOUFFLIN-RICAMETZ</t>
  </si>
  <si>
    <t>AVRIGNY</t>
  </si>
  <si>
    <t>2B170</t>
  </si>
  <si>
    <t>MORSIGLIA</t>
  </si>
  <si>
    <t>SAINTE-BARBE-SUR-GAILLON</t>
  </si>
  <si>
    <t>BRABANT-LE-ROI</t>
  </si>
  <si>
    <t>ORDONNAC</t>
  </si>
  <si>
    <t>CAZAUX-SAVES</t>
  </si>
  <si>
    <t>BEAUCHAMPS-SUR-HUILLARD</t>
  </si>
  <si>
    <t>SAINT-SAMSON</t>
  </si>
  <si>
    <t>LA PUISAYE</t>
  </si>
  <si>
    <t>BRESOLETTES</t>
  </si>
  <si>
    <t>CEILLOUX</t>
  </si>
  <si>
    <t>JOUY-EN-PITHIVERAIS</t>
  </si>
  <si>
    <t>MONTALBA-LE-CHATEAU</t>
  </si>
  <si>
    <t>77420</t>
  </si>
  <si>
    <t>CHAMPS-SUR-MARNE</t>
  </si>
  <si>
    <t>CASTELNAU-BARBARENS</t>
  </si>
  <si>
    <t>BERENTZWILLER</t>
  </si>
  <si>
    <t>SALIVES</t>
  </si>
  <si>
    <t>MAIRE-LEVESCAULT</t>
  </si>
  <si>
    <t>THIOLIERES</t>
  </si>
  <si>
    <t>VILLE-SUR-ILLON</t>
  </si>
  <si>
    <t>LUYNES</t>
  </si>
  <si>
    <t>TAULE</t>
  </si>
  <si>
    <t>COLLOREC</t>
  </si>
  <si>
    <t>AUROUX</t>
  </si>
  <si>
    <t>SAINT-GERMAIN-DE-PASQUIER</t>
  </si>
  <si>
    <t>BOUTERVILLIERS</t>
  </si>
  <si>
    <t>GISAY-LA-COUDRE</t>
  </si>
  <si>
    <t>ASNIERES-SUR-OISE</t>
  </si>
  <si>
    <t>SAINT-USAGE</t>
  </si>
  <si>
    <t>HONDAINVILLE</t>
  </si>
  <si>
    <t>AUZOUVILLE-AUBERBOSC</t>
  </si>
  <si>
    <t>CHAVEYRIAT</t>
  </si>
  <si>
    <t>SAINT-DIZANT-DU-BOIS</t>
  </si>
  <si>
    <t>LES GUERREAUX</t>
  </si>
  <si>
    <t>VILLERS-SAINT-BARTHELEMY</t>
  </si>
  <si>
    <t>COIN-LES-CUVRY</t>
  </si>
  <si>
    <t>MURIANETTE</t>
  </si>
  <si>
    <t>SAINT-HILAIRE-SUR-RISLE</t>
  </si>
  <si>
    <t>PFALZWEYER</t>
  </si>
  <si>
    <t>SAINT-GANTON</t>
  </si>
  <si>
    <t>MONTIGNY-LES-CONDE</t>
  </si>
  <si>
    <t>ROUVROIS-SUR-OTHAIN</t>
  </si>
  <si>
    <t>ILE-D'HOUAT</t>
  </si>
  <si>
    <t>FAGET-ABBATIAL</t>
  </si>
  <si>
    <t>LOZE</t>
  </si>
  <si>
    <t>SAINT-CLAIR-SUR-L'ELLE</t>
  </si>
  <si>
    <t>BOISSEAU</t>
  </si>
  <si>
    <t>GEFFOSSES</t>
  </si>
  <si>
    <t>VEZILLON</t>
  </si>
  <si>
    <t>BIONCOURT</t>
  </si>
  <si>
    <t>LARMOR-BADEN</t>
  </si>
  <si>
    <t>LES AUTHIEUX-SUR-CALONNE</t>
  </si>
  <si>
    <t>VELLEMINFROY</t>
  </si>
  <si>
    <t>SAIZERAIS</t>
  </si>
  <si>
    <t>GERMAINVILLE</t>
  </si>
  <si>
    <t>LURCY-LEVIS</t>
  </si>
  <si>
    <t>VIREUX-MOLHAIN</t>
  </si>
  <si>
    <t>97360</t>
  </si>
  <si>
    <t>MANA</t>
  </si>
  <si>
    <t>CHANGEY</t>
  </si>
  <si>
    <t>PUY-SAINT-ANDRE</t>
  </si>
  <si>
    <t>CAMPHIN-EN-CAREMBAULT</t>
  </si>
  <si>
    <t>CHAMPNEUVILLE</t>
  </si>
  <si>
    <t>GRESSE-EN-VERCORS</t>
  </si>
  <si>
    <t>CHELAN</t>
  </si>
  <si>
    <t>SEMOUSSAC</t>
  </si>
  <si>
    <t>JENLAIN</t>
  </si>
  <si>
    <t>51200</t>
  </si>
  <si>
    <t>EPERNAY</t>
  </si>
  <si>
    <t>ASCOUX</t>
  </si>
  <si>
    <t>MEAULNE</t>
  </si>
  <si>
    <t>ANDEVILLE</t>
  </si>
  <si>
    <t>BOISNEY</t>
  </si>
  <si>
    <t>PANNESSIERES</t>
  </si>
  <si>
    <t>VILLENEUVE-LES-BEZIERS</t>
  </si>
  <si>
    <t>ETCHARRY</t>
  </si>
  <si>
    <t>CAVANAC</t>
  </si>
  <si>
    <t>91440</t>
  </si>
  <si>
    <t>BURES-SUR-YVETTE</t>
  </si>
  <si>
    <t>SAINT-AGNAN-SUR-SARTHE</t>
  </si>
  <si>
    <t>ECROMAGNY</t>
  </si>
  <si>
    <t>ORCIER</t>
  </si>
  <si>
    <t>59297</t>
  </si>
  <si>
    <t>VILLERS-GUISLAIN</t>
  </si>
  <si>
    <t>BOUZE-LES-BEAUNE</t>
  </si>
  <si>
    <t>SERQUIGNY</t>
  </si>
  <si>
    <t>MORCHIES</t>
  </si>
  <si>
    <t>HIRSINGUE</t>
  </si>
  <si>
    <t>NAVILLY</t>
  </si>
  <si>
    <t>RETHEUIL</t>
  </si>
  <si>
    <t>SAINT-CYR-LES-VIGNES</t>
  </si>
  <si>
    <t>VILLENAVE-PRES-BEARN</t>
  </si>
  <si>
    <t>CORNIL</t>
  </si>
  <si>
    <t>LISSEUIL</t>
  </si>
  <si>
    <t>49124</t>
  </si>
  <si>
    <t>LE PLESSIS-GRAMMOIRE</t>
  </si>
  <si>
    <t>9270</t>
  </si>
  <si>
    <t>ENSISHEIM</t>
  </si>
  <si>
    <t>NAGES</t>
  </si>
  <si>
    <t>SAINT-AUBIN-DES-GROIS</t>
  </si>
  <si>
    <t>SAINT-SIMON-DE-BORDES</t>
  </si>
  <si>
    <t>TRICOT</t>
  </si>
  <si>
    <t>IRE-LE-SEC</t>
  </si>
  <si>
    <t>JASSES</t>
  </si>
  <si>
    <t>TOURRETTES-SUR-LOUP</t>
  </si>
  <si>
    <t>LA FERTE</t>
  </si>
  <si>
    <t>CHATEAUNEUF-D'ENTRAUNES</t>
  </si>
  <si>
    <t>MANTALLOT</t>
  </si>
  <si>
    <t>MOLLEVILLE</t>
  </si>
  <si>
    <t>21600</t>
  </si>
  <si>
    <t>OUGES</t>
  </si>
  <si>
    <t>POUILLY-SUR-LOIRE</t>
  </si>
  <si>
    <t>CHAMPAGNE-ET-FONTAINE</t>
  </si>
  <si>
    <t>38960</t>
  </si>
  <si>
    <t>SAINT-ETIENNE-DE-CROSSEY</t>
  </si>
  <si>
    <t>OFFEMONT</t>
  </si>
  <si>
    <t>BOUVIERES</t>
  </si>
  <si>
    <t>ARGUEL</t>
  </si>
  <si>
    <t>SIMANDRE-SUR-SURAN</t>
  </si>
  <si>
    <t>PONT-SAINT-ESPRIT</t>
  </si>
  <si>
    <t>BEAUMONT-EN-CAMBRESIS</t>
  </si>
  <si>
    <t>SOMMAING</t>
  </si>
  <si>
    <t>BONNEFONT</t>
  </si>
  <si>
    <t>2B074</t>
  </si>
  <si>
    <t>CASANOVA</t>
  </si>
  <si>
    <t>SAINT-GIRONS-EN-BEARN</t>
  </si>
  <si>
    <t>13010</t>
  </si>
  <si>
    <t>MARSEILLE-10E--ARRONDISSEMENT</t>
  </si>
  <si>
    <t>MARIN</t>
  </si>
  <si>
    <t>CEPIE</t>
  </si>
  <si>
    <t>CHASTANIER</t>
  </si>
  <si>
    <t>NOTRE-DAME-DU-PRE</t>
  </si>
  <si>
    <t>MELAMARE</t>
  </si>
  <si>
    <t>MONTBLAINVILLE</t>
  </si>
  <si>
    <t>44380</t>
  </si>
  <si>
    <t>PORNICHET</t>
  </si>
  <si>
    <t>CHEMIRE-LE-GAUDIN</t>
  </si>
  <si>
    <t>AUTIGNY-LE-GRAND</t>
  </si>
  <si>
    <t>SAINT-SAUVEUR-LALANDE</t>
  </si>
  <si>
    <t>BEUREY-BAUGUAY</t>
  </si>
  <si>
    <t>UNVERRE</t>
  </si>
  <si>
    <t>ALLAIRE</t>
  </si>
  <si>
    <t>PONT-TRAMBOUZE</t>
  </si>
  <si>
    <t>MAURS</t>
  </si>
  <si>
    <t>SIOUVILLE-HAGUE</t>
  </si>
  <si>
    <t>LE PERRAY-EN-YVELINES</t>
  </si>
  <si>
    <t>COURDIMANCHE-SUR-ESSONNE</t>
  </si>
  <si>
    <t>RUDELLE</t>
  </si>
  <si>
    <t>CASTILLON-DU-GARD</t>
  </si>
  <si>
    <t>LURAY</t>
  </si>
  <si>
    <t>RUAN</t>
  </si>
  <si>
    <t>JAUNAY-CLAN</t>
  </si>
  <si>
    <t>SAINT-JULIEN-AUX-BOIS</t>
  </si>
  <si>
    <t>LE PLESSIS-LASTELLE</t>
  </si>
  <si>
    <t>87430</t>
  </si>
  <si>
    <t>VERNEUIL-SUR-VIENNE</t>
  </si>
  <si>
    <t>LA BARDE</t>
  </si>
  <si>
    <t>ANDELOT-BLANCHEVILLE</t>
  </si>
  <si>
    <t>NIAUX</t>
  </si>
  <si>
    <t>TURCKHEIM</t>
  </si>
  <si>
    <t>SAINT-REMY-LA-VARENNE</t>
  </si>
  <si>
    <t>CARREPUIS</t>
  </si>
  <si>
    <t>ACQUIGNY</t>
  </si>
  <si>
    <t>SAINT-ALBAN-DES-VILLARDS</t>
  </si>
  <si>
    <t>77133</t>
  </si>
  <si>
    <t>FERICY</t>
  </si>
  <si>
    <t>RICHTOLSHEIM</t>
  </si>
  <si>
    <t>SALIGNAC-EYVIGUES</t>
  </si>
  <si>
    <t>NEUFFONS</t>
  </si>
  <si>
    <t>FEISSONS-SUR-ISERE</t>
  </si>
  <si>
    <t>VEREAUX</t>
  </si>
  <si>
    <t>SIERVILLE</t>
  </si>
  <si>
    <t>DOULCON</t>
  </si>
  <si>
    <t>LA RIXOUSE</t>
  </si>
  <si>
    <t>LABERLIERE</t>
  </si>
  <si>
    <t>GESVRES-LE-CHAPITRE</t>
  </si>
  <si>
    <t>LA MAXE</t>
  </si>
  <si>
    <t>TRIMER</t>
  </si>
  <si>
    <t>COIFFY-LE-BAS</t>
  </si>
  <si>
    <t>MARIGNAC-LASPEYRES</t>
  </si>
  <si>
    <t>78330</t>
  </si>
  <si>
    <t>FONTENAY-LE-FLEURY</t>
  </si>
  <si>
    <t>ETRABONNE</t>
  </si>
  <si>
    <t>REVENTIN-VAUGRIS</t>
  </si>
  <si>
    <t>HUMEROEUILLE</t>
  </si>
  <si>
    <t>ROZIERES-EN-BEAUCE</t>
  </si>
  <si>
    <t>LIEPVRE</t>
  </si>
  <si>
    <t>ZAESSINGUE</t>
  </si>
  <si>
    <t>VEAUCHETTE</t>
  </si>
  <si>
    <t>MAREAU-AUX-PRES</t>
  </si>
  <si>
    <t>LARRAU</t>
  </si>
  <si>
    <t>MUSIGNY</t>
  </si>
  <si>
    <t>BEUZEVILLE</t>
  </si>
  <si>
    <t>GOUISE</t>
  </si>
  <si>
    <t>GYE-SUR-SEINE</t>
  </si>
  <si>
    <t>SIROS</t>
  </si>
  <si>
    <t>CORCY</t>
  </si>
  <si>
    <t>LA TOUR-DU-PIN</t>
  </si>
  <si>
    <t>MERSUAY</t>
  </si>
  <si>
    <t>LUBERSAC</t>
  </si>
  <si>
    <t>NONANCOURT</t>
  </si>
  <si>
    <t>SAULX-MARCHAIS</t>
  </si>
  <si>
    <t>MUTZENHOUSE</t>
  </si>
  <si>
    <t>LONGUENOE</t>
  </si>
  <si>
    <t>LAUTREC</t>
  </si>
  <si>
    <t>LA HAUTE-BEAUME</t>
  </si>
  <si>
    <t>STURZELBRONN</t>
  </si>
  <si>
    <t>VIEUX-MOULIN</t>
  </si>
  <si>
    <t>SAINTE-EUGENIE-DE-VILLENEUVE</t>
  </si>
  <si>
    <t>SELONCOURT</t>
  </si>
  <si>
    <t>SAINT-GEORGES-ARMONT</t>
  </si>
  <si>
    <t>SAVAS-MEPIN</t>
  </si>
  <si>
    <t>GIPCY</t>
  </si>
  <si>
    <t>CRASVILLE-LA-ROCQUEFORT</t>
  </si>
  <si>
    <t>ROUTES</t>
  </si>
  <si>
    <t>BERNARDVILLE</t>
  </si>
  <si>
    <t>GERMIGNONVILLE</t>
  </si>
  <si>
    <t>NAUJAC-SUR-MER</t>
  </si>
  <si>
    <t>SCRIGNAC</t>
  </si>
  <si>
    <t>DENEVRE</t>
  </si>
  <si>
    <t>CHALLAIN-LA-POTHERIE</t>
  </si>
  <si>
    <t>BRECEY</t>
  </si>
  <si>
    <t>SAINT-JAMMES</t>
  </si>
  <si>
    <t>CREVENEY</t>
  </si>
  <si>
    <t>CHAMBOST-ALLIERES</t>
  </si>
  <si>
    <t>BEAUMONT-EN-ARGONNE</t>
  </si>
  <si>
    <t>CAVILLON</t>
  </si>
  <si>
    <t>SEMONDANS</t>
  </si>
  <si>
    <t>GROSBOIS-LES-TICHEY</t>
  </si>
  <si>
    <t>MEILLARD</t>
  </si>
  <si>
    <t>BIELLE</t>
  </si>
  <si>
    <t>PALHERS</t>
  </si>
  <si>
    <t>EVRANGE</t>
  </si>
  <si>
    <t>CAMPIGNEULLES-LES-GRANDES</t>
  </si>
  <si>
    <t>VILLOTTE-SUR-AIRE</t>
  </si>
  <si>
    <t>TRESSANDANS</t>
  </si>
  <si>
    <t>MONTRIEUX-EN-SOLOGNE</t>
  </si>
  <si>
    <t>DOLE</t>
  </si>
  <si>
    <t>LURCY</t>
  </si>
  <si>
    <t>FONTENAY-DE-BOSSERY</t>
  </si>
  <si>
    <t>ENTRAMMES</t>
  </si>
  <si>
    <t>MEYRALS</t>
  </si>
  <si>
    <t>ALLIGNY-EN-MORVAN</t>
  </si>
  <si>
    <t>RI</t>
  </si>
  <si>
    <t>SEMOUTIERS-MONTSAON</t>
  </si>
  <si>
    <t>SAINT-DENIS-COMBARNAZAT</t>
  </si>
  <si>
    <t>LARCHE</t>
  </si>
  <si>
    <t>CHAMPGENETEUX</t>
  </si>
  <si>
    <t>NOGENTEL</t>
  </si>
  <si>
    <t>PLAN-D'AUPS-SAINTE-BAUME</t>
  </si>
  <si>
    <t>EPINAC</t>
  </si>
  <si>
    <t>PILLON</t>
  </si>
  <si>
    <t>GUDAS</t>
  </si>
  <si>
    <t>SEISSAN</t>
  </si>
  <si>
    <t>LENS-LESTANG</t>
  </si>
  <si>
    <t>CHANES</t>
  </si>
  <si>
    <t>SAINT-ANDRE-DE-BAGE</t>
  </si>
  <si>
    <t>GEMEAUX</t>
  </si>
  <si>
    <t>LE CHATELIER</t>
  </si>
  <si>
    <t>TREGARVAN</t>
  </si>
  <si>
    <t>KOEUR-LA-GRANDE</t>
  </si>
  <si>
    <t>SAINT-SIMON-DE-PELLOUAILLE</t>
  </si>
  <si>
    <t>GANGES</t>
  </si>
  <si>
    <t>VILLEBRUMIER</t>
  </si>
  <si>
    <t>SAINT-JEAN-FROIDMENTEL</t>
  </si>
  <si>
    <t>SAINTE-CERONNE-LES-MORTAGNE</t>
  </si>
  <si>
    <t>MONTSAPEY</t>
  </si>
  <si>
    <t>SOMMANT</t>
  </si>
  <si>
    <t>BUFFIGNECOURT</t>
  </si>
  <si>
    <t>RUSTENHART</t>
  </si>
  <si>
    <t>SOUILHE</t>
  </si>
  <si>
    <t>97231</t>
  </si>
  <si>
    <t>LE ROBERT</t>
  </si>
  <si>
    <t>LANGOLEN</t>
  </si>
  <si>
    <t>LE VIGNAU</t>
  </si>
  <si>
    <t>SAINT-LAURENT-LA-CONCHE</t>
  </si>
  <si>
    <t>PLEUBIAN</t>
  </si>
  <si>
    <t>ROUILLY</t>
  </si>
  <si>
    <t>RECEY-SUR-OURCE</t>
  </si>
  <si>
    <t>DENGUIN</t>
  </si>
  <si>
    <t>QUATREMARE</t>
  </si>
  <si>
    <t>WALSCHBRONN</t>
  </si>
  <si>
    <t>NOMECOURT</t>
  </si>
  <si>
    <t>ECHALOU</t>
  </si>
  <si>
    <t>83610</t>
  </si>
  <si>
    <t>COLLOBRIERES</t>
  </si>
  <si>
    <t>69130</t>
  </si>
  <si>
    <t>ECULLY</t>
  </si>
  <si>
    <t>LADOYE-SUR-SEILLE</t>
  </si>
  <si>
    <t>MONTILLY</t>
  </si>
  <si>
    <t>NANTEUIL-SUR-AISNE</t>
  </si>
  <si>
    <t>CURVALLE</t>
  </si>
  <si>
    <t>HALEINE</t>
  </si>
  <si>
    <t>ANCE</t>
  </si>
  <si>
    <t>BAZET</t>
  </si>
  <si>
    <t>HENANSAL</t>
  </si>
  <si>
    <t>SAINT-MARTIN-LE-GREARD</t>
  </si>
  <si>
    <t>VALENCE-D'ALBIGEOIS</t>
  </si>
  <si>
    <t>BORVILLE</t>
  </si>
  <si>
    <t>BOUVRESSE</t>
  </si>
  <si>
    <t>SAINT-MEDARD-D'AUNIS</t>
  </si>
  <si>
    <t>EUZET</t>
  </si>
  <si>
    <t>VAUCHOUX</t>
  </si>
  <si>
    <t>RICHERENCHES</t>
  </si>
  <si>
    <t>BROUZET-LES-ALES</t>
  </si>
  <si>
    <t>NIEDERSCHAEFFOLSHEIM</t>
  </si>
  <si>
    <t>YVECRIQUE</t>
  </si>
  <si>
    <t>CHARCHILLA</t>
  </si>
  <si>
    <t>FOLSCHVILLER</t>
  </si>
  <si>
    <t>MONTSEC</t>
  </si>
  <si>
    <t>2B250</t>
  </si>
  <si>
    <t>PRUNELLI-DI-CASACCONI</t>
  </si>
  <si>
    <t>TOURNOUS-DARRE</t>
  </si>
  <si>
    <t>GONNETOT</t>
  </si>
  <si>
    <t>SAINT-LEU-D'ESSERENT</t>
  </si>
  <si>
    <t>WAILLY-BEAUCAMP</t>
  </si>
  <si>
    <t>LATOUE</t>
  </si>
  <si>
    <t>GILLANCOURT</t>
  </si>
  <si>
    <t>VASSIEUX-EN-VERCORS</t>
  </si>
  <si>
    <t>CANDILLARGUES</t>
  </si>
  <si>
    <t>SURFONDS</t>
  </si>
  <si>
    <t>68540</t>
  </si>
  <si>
    <t>FELDKIRCH</t>
  </si>
  <si>
    <t>THOIRIA</t>
  </si>
  <si>
    <t>CLAIRVAUX-D'AVEYRON</t>
  </si>
  <si>
    <t>BRERY</t>
  </si>
  <si>
    <t>AULNOIS</t>
  </si>
  <si>
    <t>VALS-LES-BAINS</t>
  </si>
  <si>
    <t>COLOMBIER-LE-JEUNE</t>
  </si>
  <si>
    <t>MOLPRE</t>
  </si>
  <si>
    <t>MONTGAILLARD-DE-SALIES</t>
  </si>
  <si>
    <t>MESNAY</t>
  </si>
  <si>
    <t>SAINT-JUVIN</t>
  </si>
  <si>
    <t>CHATILLON-SOUS-LES-COTES</t>
  </si>
  <si>
    <t>LEZEY</t>
  </si>
  <si>
    <t>ROHRWILLER</t>
  </si>
  <si>
    <t>SUAUX</t>
  </si>
  <si>
    <t>VANVILLE</t>
  </si>
  <si>
    <t>OURTON</t>
  </si>
  <si>
    <t>CHEVROUX</t>
  </si>
  <si>
    <t>VILLAINES-LA-CARELLE</t>
  </si>
  <si>
    <t>PRENOUVELLON</t>
  </si>
  <si>
    <t>VIEUX-VILLEZ</t>
  </si>
  <si>
    <t>ERCHEU</t>
  </si>
  <si>
    <t>LES MENUS</t>
  </si>
  <si>
    <t>SAINT-GORGON</t>
  </si>
  <si>
    <t>REILHAGUET</t>
  </si>
  <si>
    <t>SARDENT</t>
  </si>
  <si>
    <t>LESCUNS</t>
  </si>
  <si>
    <t>LE VAL-SAINT-PERE</t>
  </si>
  <si>
    <t>SAINT-LOUET-SUR-SEULLES</t>
  </si>
  <si>
    <t>VILLEDUBERT</t>
  </si>
  <si>
    <t>59221</t>
  </si>
  <si>
    <t>BAUVIN</t>
  </si>
  <si>
    <t>LABASTIDE-SAINT-SERNIN</t>
  </si>
  <si>
    <t>MONTAGNAC-MONTPEZAT</t>
  </si>
  <si>
    <t>88510</t>
  </si>
  <si>
    <t>ELOYES</t>
  </si>
  <si>
    <t>TREGLAMUS</t>
  </si>
  <si>
    <t>LES TOURAILLES</t>
  </si>
  <si>
    <t>ROCHESSAUVE</t>
  </si>
  <si>
    <t>VITRY-AUX-LOGES</t>
  </si>
  <si>
    <t>DAOURS</t>
  </si>
  <si>
    <t>ESSEY-LA-COTE</t>
  </si>
  <si>
    <t>PUIMOISSON</t>
  </si>
  <si>
    <t>PLUVET</t>
  </si>
  <si>
    <t>SAINT-AUBIN-DU-DESERT</t>
  </si>
  <si>
    <t>68790</t>
  </si>
  <si>
    <t>MORSCHWILLER-LE-BAS</t>
  </si>
  <si>
    <t>GAVRAY</t>
  </si>
  <si>
    <t>CADIX</t>
  </si>
  <si>
    <t>DUGNY-SUR-MEUSE</t>
  </si>
  <si>
    <t>LES VANS</t>
  </si>
  <si>
    <t>GRENTHEVILLE</t>
  </si>
  <si>
    <t>COURLAOUX</t>
  </si>
  <si>
    <t>TEMPLEUX-LE-GUERARD</t>
  </si>
  <si>
    <t>CHARNAT</t>
  </si>
  <si>
    <t>SAINT-ANTONIN-DU-VAR</t>
  </si>
  <si>
    <t>LANDOUZY-LA-COUR</t>
  </si>
  <si>
    <t>SAINT-LACTENCIN</t>
  </si>
  <si>
    <t>SAINT-LARY</t>
  </si>
  <si>
    <t>ROZIERES-SUR-MOUZON</t>
  </si>
  <si>
    <t>CATTEVILLE</t>
  </si>
  <si>
    <t>CORNUSSE</t>
  </si>
  <si>
    <t>TOUVRE</t>
  </si>
  <si>
    <t>CHAMPAGNAC-DE-BELAIR</t>
  </si>
  <si>
    <t>VERBIESLES</t>
  </si>
  <si>
    <t>PLEUGUENEUC</t>
  </si>
  <si>
    <t>95240</t>
  </si>
  <si>
    <t>CORMEILLES-EN-PARISIS</t>
  </si>
  <si>
    <t>SALINS-LES-BAINS</t>
  </si>
  <si>
    <t>LA MOTTE-D'AIGUES</t>
  </si>
  <si>
    <t>WINGEN</t>
  </si>
  <si>
    <t>FOURCHES</t>
  </si>
  <si>
    <t>MONTFORT-L'AMAURY</t>
  </si>
  <si>
    <t>ASCHBACH</t>
  </si>
  <si>
    <t>LES ARDILLATS</t>
  </si>
  <si>
    <t>CHAMPSAC</t>
  </si>
  <si>
    <t>AUGERES</t>
  </si>
  <si>
    <t>LOUVENNE</t>
  </si>
  <si>
    <t>BRIANCON</t>
  </si>
  <si>
    <t>CHAUMERGY</t>
  </si>
  <si>
    <t>LA BREDE</t>
  </si>
  <si>
    <t>HOSTUN</t>
  </si>
  <si>
    <t>TRIMBACH</t>
  </si>
  <si>
    <t>SOUANCE-AU-PERCHE</t>
  </si>
  <si>
    <t>35740</t>
  </si>
  <si>
    <t>PACE</t>
  </si>
  <si>
    <t>MILHAC-DE-NONTRON</t>
  </si>
  <si>
    <t>ALBY-SUR-CHERAN</t>
  </si>
  <si>
    <t>COSSESSEVILLE</t>
  </si>
  <si>
    <t>POUZOLLES</t>
  </si>
  <si>
    <t>LONGUEVAL-BARBONVAL</t>
  </si>
  <si>
    <t>GRAND-COURONNE</t>
  </si>
  <si>
    <t>UFFHOLTZ</t>
  </si>
  <si>
    <t>NOZEROY</t>
  </si>
  <si>
    <t>CALVIGNAC</t>
  </si>
  <si>
    <t>LES ROISES</t>
  </si>
  <si>
    <t>GRENANT-LES-SOMBERNON</t>
  </si>
  <si>
    <t>BOURDONS-SUR-ROGNON</t>
  </si>
  <si>
    <t>SAINT-MARTIN-LARS-EN-SAINTE-HERMINE</t>
  </si>
  <si>
    <t>SIREUIL</t>
  </si>
  <si>
    <t>SAINT-JOUIN-DE-MARNES</t>
  </si>
  <si>
    <t>VOLVIC</t>
  </si>
  <si>
    <t>CRAPONNE</t>
  </si>
  <si>
    <t>SALLES-SUR-L'HERS</t>
  </si>
  <si>
    <t>JAUJAC</t>
  </si>
  <si>
    <t>SUSSARGUES</t>
  </si>
  <si>
    <t>CREST</t>
  </si>
  <si>
    <t>CHATILLON-SUR-OISE</t>
  </si>
  <si>
    <t>CHATEL-DE-JOUX</t>
  </si>
  <si>
    <t>PARDIES</t>
  </si>
  <si>
    <t>PLESCOP</t>
  </si>
  <si>
    <t>BOUQUEMAISON</t>
  </si>
  <si>
    <t>SAINTE-COLOME</t>
  </si>
  <si>
    <t>LE DELUGE</t>
  </si>
  <si>
    <t>XERMAMENIL</t>
  </si>
  <si>
    <t>DAMERAUCOURT</t>
  </si>
  <si>
    <t>HUNSPACH</t>
  </si>
  <si>
    <t>MENERVILLE</t>
  </si>
  <si>
    <t>94260</t>
  </si>
  <si>
    <t>MOIVRE</t>
  </si>
  <si>
    <t>JUSSY-CHAMPAGNE</t>
  </si>
  <si>
    <t>69730</t>
  </si>
  <si>
    <t>GENAY</t>
  </si>
  <si>
    <t>13008</t>
  </si>
  <si>
    <t>MARSEILLE--8E--ARRONDISSEMENT</t>
  </si>
  <si>
    <t>OSSUN</t>
  </si>
  <si>
    <t>FLOTTEMANVILLE</t>
  </si>
  <si>
    <t>CAMPAGNE-LES-GUINES</t>
  </si>
  <si>
    <t>CEIGNES</t>
  </si>
  <si>
    <t>PRADIERS</t>
  </si>
  <si>
    <t>COURBAN</t>
  </si>
  <si>
    <t>MIREMONT</t>
  </si>
  <si>
    <t>PUISELET-LE-MARAIS</t>
  </si>
  <si>
    <t>BANNEVILLE-SUR-AJON</t>
  </si>
  <si>
    <t>BESIGNAN</t>
  </si>
  <si>
    <t>73490</t>
  </si>
  <si>
    <t>LA RAVOIRE</t>
  </si>
  <si>
    <t>LE SAINT</t>
  </si>
  <si>
    <t>BROMONT-LAMOTHE</t>
  </si>
  <si>
    <t>BISSY-SUR-FLEY</t>
  </si>
  <si>
    <t>SAINT-AUBIN-D'ARQUENAY</t>
  </si>
  <si>
    <t>VOLGELSHEIM</t>
  </si>
  <si>
    <t>LE LEUY</t>
  </si>
  <si>
    <t>APREMONT-SUR-ALLIER</t>
  </si>
  <si>
    <t>OBTERRE</t>
  </si>
  <si>
    <t>LE COUDRAY-SAINT-GERMER</t>
  </si>
  <si>
    <t>BROYES</t>
  </si>
  <si>
    <t>SEBOURG</t>
  </si>
  <si>
    <t>SAINT-PERDOUX</t>
  </si>
  <si>
    <t>LE BOUCHET-SAINT-NICOLAS</t>
  </si>
  <si>
    <t>SAINT-PIERRE-LAFEUILLE</t>
  </si>
  <si>
    <t>MANTENAY-MONTLIN</t>
  </si>
  <si>
    <t>BULLOU</t>
  </si>
  <si>
    <t>VILLERS-CAMPSART</t>
  </si>
  <si>
    <t>76120</t>
  </si>
  <si>
    <t>LE GRAND-QUEVILLY</t>
  </si>
  <si>
    <t>JONCHERY-SUR-SUIPPE</t>
  </si>
  <si>
    <t>ESCARDES</t>
  </si>
  <si>
    <t>TANNERRE-EN-PUISAYE</t>
  </si>
  <si>
    <t>MONTENILS</t>
  </si>
  <si>
    <t>PLIEUX</t>
  </si>
  <si>
    <t>SARDAN</t>
  </si>
  <si>
    <t>SAINT-MAURICE-LES-CHATEAUNEUF</t>
  </si>
  <si>
    <t>PLANQUERY</t>
  </si>
  <si>
    <t>LANQUES-SUR-ROGNON</t>
  </si>
  <si>
    <t>BEFFU-ET-LE-MORTHOMME</t>
  </si>
  <si>
    <t>62224</t>
  </si>
  <si>
    <t>EQUIHEN-PLAGE</t>
  </si>
  <si>
    <t>WY-DIT-JOLI-VILLAGE</t>
  </si>
  <si>
    <t>BURGILLE</t>
  </si>
  <si>
    <t>BORS (CANTON DE MONTMOREAU-SAINT-CYBARD)</t>
  </si>
  <si>
    <t>PRASLIN</t>
  </si>
  <si>
    <t>BOULON</t>
  </si>
  <si>
    <t>CAZAUX-VILLECOMTAL</t>
  </si>
  <si>
    <t>CAMBO-LES-BAINS</t>
  </si>
  <si>
    <t>MONTHIEUX</t>
  </si>
  <si>
    <t>CHATEAUBRIANT</t>
  </si>
  <si>
    <t>FAVERGES</t>
  </si>
  <si>
    <t>BREITENBACH-HAUT-RHIN</t>
  </si>
  <si>
    <t>SAINT-AUBIN-LES-ELBEUF</t>
  </si>
  <si>
    <t>SAINT-MARTIN-DE-FUGERES</t>
  </si>
  <si>
    <t>85530</t>
  </si>
  <si>
    <t>LA BRUFFIERE</t>
  </si>
  <si>
    <t>LA THUILE</t>
  </si>
  <si>
    <t>CHAILLOUE</t>
  </si>
  <si>
    <t>SAINTE-OUENNE</t>
  </si>
  <si>
    <t>LA FAYE</t>
  </si>
  <si>
    <t>CHAMPSANGLARD</t>
  </si>
  <si>
    <t>AMPOIGNE</t>
  </si>
  <si>
    <t>ACCOLANS</t>
  </si>
  <si>
    <t>MAULETTE</t>
  </si>
  <si>
    <t>LICHERES-SUR-YONNE</t>
  </si>
  <si>
    <t>MAROLLES-EN-BRIE</t>
  </si>
  <si>
    <t>PONTEYRAUD</t>
  </si>
  <si>
    <t>GRANGES-LA-VILLE</t>
  </si>
  <si>
    <t>EYSSON</t>
  </si>
  <si>
    <t>VANY</t>
  </si>
  <si>
    <t>NARBEFONTAINE</t>
  </si>
  <si>
    <t>EPPING</t>
  </si>
  <si>
    <t>SAINT-SATURNIN-LES-AVIGNON</t>
  </si>
  <si>
    <t>AUDUN-LE-ROMAN</t>
  </si>
  <si>
    <t>HUDIMESNIL</t>
  </si>
  <si>
    <t>LES CERQUEUX</t>
  </si>
  <si>
    <t>CASSEL</t>
  </si>
  <si>
    <t>MONTMARTIN</t>
  </si>
  <si>
    <t>BRIGNON</t>
  </si>
  <si>
    <t>FLOCOURT</t>
  </si>
  <si>
    <t>BAUPTE</t>
  </si>
  <si>
    <t>TERREBASSE</t>
  </si>
  <si>
    <t>TARTARAS</t>
  </si>
  <si>
    <t>GLOMEL</t>
  </si>
  <si>
    <t>QUESTEMBERT</t>
  </si>
  <si>
    <t>VERPILLIERES-SUR-OURCE</t>
  </si>
  <si>
    <t>AZAT-LE-RIS</t>
  </si>
  <si>
    <t>AMBRICOURT</t>
  </si>
  <si>
    <t>SAINT-MATHURIN</t>
  </si>
  <si>
    <t>DOULEVANT-LE-CHATEAU</t>
  </si>
  <si>
    <t>76290</t>
  </si>
  <si>
    <t>MONTIVILLIERS</t>
  </si>
  <si>
    <t>LES ADJOTS</t>
  </si>
  <si>
    <t>BONNEVILLE-SUR-TOUQUES</t>
  </si>
  <si>
    <t>THEZIERS</t>
  </si>
  <si>
    <t>ORIGNY</t>
  </si>
  <si>
    <t>CHANALEILLES</t>
  </si>
  <si>
    <t>TIGEAUX</t>
  </si>
  <si>
    <t>LATRESNE</t>
  </si>
  <si>
    <t>CAULNES</t>
  </si>
  <si>
    <t>BEYREDE-JUMET</t>
  </si>
  <si>
    <t>LES GOULLES</t>
  </si>
  <si>
    <t>30132</t>
  </si>
  <si>
    <t>CAISSARGUES</t>
  </si>
  <si>
    <t>MONLEON-MAGNOAC</t>
  </si>
  <si>
    <t>OIRON</t>
  </si>
  <si>
    <t>SAINT-PRIEST-LIGOURE</t>
  </si>
  <si>
    <t>THIEULLOY-L'ABBAYE</t>
  </si>
  <si>
    <t>BOIGNY-SUR-BIONNE</t>
  </si>
  <si>
    <t>94100/94210</t>
  </si>
  <si>
    <t>SAINT-MAUR-DES-FOSSES</t>
  </si>
  <si>
    <t>CASTERA-VERDUZAN</t>
  </si>
  <si>
    <t>LARBONT</t>
  </si>
  <si>
    <t>EPAUX-BEZU</t>
  </si>
  <si>
    <t>VOUILLON</t>
  </si>
  <si>
    <t>LOUBES-BERNAC</t>
  </si>
  <si>
    <t>2B007</t>
  </si>
  <si>
    <t>ALBERTACCE</t>
  </si>
  <si>
    <t>SAINT-MARTIN-DE-RIBERAC</t>
  </si>
  <si>
    <t>SOUILLE</t>
  </si>
  <si>
    <t>SAINTE-SABINE</t>
  </si>
  <si>
    <t>SAINT-MARCAN</t>
  </si>
  <si>
    <t>BIZE-MINERVOIS</t>
  </si>
  <si>
    <t>FRANSURES</t>
  </si>
  <si>
    <t>CHAMPAGNAC-LE-VIEUX</t>
  </si>
  <si>
    <t>SADOURNIN</t>
  </si>
  <si>
    <t>SAINT-JOUIN-DE-MILLY</t>
  </si>
  <si>
    <t>SAINT-DENIS-LES-REBAIS</t>
  </si>
  <si>
    <t>LES BONDONS</t>
  </si>
  <si>
    <t>MONTBOUCHER</t>
  </si>
  <si>
    <t>CABANAC-SEGUENVILLE</t>
  </si>
  <si>
    <t>MAZINGHEM</t>
  </si>
  <si>
    <t>BOUCLANS</t>
  </si>
  <si>
    <t>BAYE</t>
  </si>
  <si>
    <t>SAINTE-MARGUERITE-SUR-DUCLAIR</t>
  </si>
  <si>
    <t>APPENANS</t>
  </si>
  <si>
    <t>LA LUCERNE-D'OUTREMER</t>
  </si>
  <si>
    <t>POIX</t>
  </si>
  <si>
    <t>POUCHARRAMET</t>
  </si>
  <si>
    <t>NIERGNIES</t>
  </si>
  <si>
    <t>CASTANDET</t>
  </si>
  <si>
    <t>PLASSAC</t>
  </si>
  <si>
    <t>VELLECHES</t>
  </si>
  <si>
    <t>TEMPLEUX-LA-FOSSE</t>
  </si>
  <si>
    <t>MOOSCH</t>
  </si>
  <si>
    <t>LESPESSES</t>
  </si>
  <si>
    <t>60100</t>
  </si>
  <si>
    <t>CREIL</t>
  </si>
  <si>
    <t>PAROY-EN-OTHE</t>
  </si>
  <si>
    <t>CROCQ</t>
  </si>
  <si>
    <t>LA COLLANCELLE</t>
  </si>
  <si>
    <t>BREZIERS</t>
  </si>
  <si>
    <t>SAINT-DENIS-DE-VAUX</t>
  </si>
  <si>
    <t>TREJOULS</t>
  </si>
  <si>
    <t>WAVRECHAIN-SOUS-FAULX</t>
  </si>
  <si>
    <t>MEDAVY</t>
  </si>
  <si>
    <t>ERLON</t>
  </si>
  <si>
    <t>PALAZINGES</t>
  </si>
  <si>
    <t>THORAME-BASSE</t>
  </si>
  <si>
    <t>FITILIEU</t>
  </si>
  <si>
    <t>SAUVILLERS-MONGIVAL</t>
  </si>
  <si>
    <t>DOMLOUP</t>
  </si>
  <si>
    <t>38860</t>
  </si>
  <si>
    <t>MONT-DE-LANS</t>
  </si>
  <si>
    <t>SEMENS</t>
  </si>
  <si>
    <t>LES MOUTIERS-EN-RETZ</t>
  </si>
  <si>
    <t>SAINT-PARDOUX-D'ARNET</t>
  </si>
  <si>
    <t>2B342</t>
  </si>
  <si>
    <t>VENTISERI</t>
  </si>
  <si>
    <t>CROIX-FONSOMME</t>
  </si>
  <si>
    <t>SAINT-CIERS-DE-CANESSE</t>
  </si>
  <si>
    <t>GIGNY-BUSSY</t>
  </si>
  <si>
    <t>CLEMENCEY</t>
  </si>
  <si>
    <t>SAINT-GERMAIN-LES-SENAILLY</t>
  </si>
  <si>
    <t>THOUROTTE</t>
  </si>
  <si>
    <t>AUX-AUSSAT</t>
  </si>
  <si>
    <t>SADROC</t>
  </si>
  <si>
    <t>AYRENS</t>
  </si>
  <si>
    <t>VILLARZEL-DU-RAZES</t>
  </si>
  <si>
    <t>SAINT-JULIEN-DE-COPPEL</t>
  </si>
  <si>
    <t>CAMPOURIEZ</t>
  </si>
  <si>
    <t>6810</t>
  </si>
  <si>
    <t>AURIBEAU-SUR-SIAGNE</t>
  </si>
  <si>
    <t>MARIGNY-EN-ORXOIS</t>
  </si>
  <si>
    <t>HUGLEVILLE-EN-CAUX</t>
  </si>
  <si>
    <t>2B302</t>
  </si>
  <si>
    <t>SAN-GIOVANNI-DI-MORIANI</t>
  </si>
  <si>
    <t>SAINTE-HONORINE-LA-CHARDONNE</t>
  </si>
  <si>
    <t>VALOJOULX</t>
  </si>
  <si>
    <t>CAZAUBON</t>
  </si>
  <si>
    <t>DOMFRONT</t>
  </si>
  <si>
    <t>LABATIE-D'ANDAURE</t>
  </si>
  <si>
    <t>AVERON-BERGELLE</t>
  </si>
  <si>
    <t>BRIATEXTE</t>
  </si>
  <si>
    <t>BECHAMPS</t>
  </si>
  <si>
    <t>LIZIERES</t>
  </si>
  <si>
    <t>JALEYRAC</t>
  </si>
  <si>
    <t>HELESMES</t>
  </si>
  <si>
    <t>SAINTE-ANNE-D'AURAY</t>
  </si>
  <si>
    <t>LA BOULAYE</t>
  </si>
  <si>
    <t>BLEQUIN</t>
  </si>
  <si>
    <t>MANEHOUVILLE</t>
  </si>
  <si>
    <t>FRENEY</t>
  </si>
  <si>
    <t>SURVILLE</t>
  </si>
  <si>
    <t>VERCHAIX</t>
  </si>
  <si>
    <t>MONCEL-SUR-SEILLE</t>
  </si>
  <si>
    <t>SAINT-JEAN-DE-VALERISCLE</t>
  </si>
  <si>
    <t>SAINT-CYR-SUR-MORIN</t>
  </si>
  <si>
    <t>VEZEZOUX</t>
  </si>
  <si>
    <t>59150</t>
  </si>
  <si>
    <t>WATTRELOS</t>
  </si>
  <si>
    <t>68530</t>
  </si>
  <si>
    <t>BUHL</t>
  </si>
  <si>
    <t>GENESLAY</t>
  </si>
  <si>
    <t>SAINT-VIAUD</t>
  </si>
  <si>
    <t>LAHAYVILLE</t>
  </si>
  <si>
    <t>SAINT-JEAN-SUR-TOURBE</t>
  </si>
  <si>
    <t>76140</t>
  </si>
  <si>
    <t>LE PETIT-QUEVILLY</t>
  </si>
  <si>
    <t>SICHAMPS</t>
  </si>
  <si>
    <t>SOUCIRAC</t>
  </si>
  <si>
    <t>VIEL-ARCY</t>
  </si>
  <si>
    <t>BOURNONCLE-SAINT-PIERRE</t>
  </si>
  <si>
    <t>BLERANCOURT</t>
  </si>
  <si>
    <t>MAZEROLLES-LE-SALIN</t>
  </si>
  <si>
    <t>29253</t>
  </si>
  <si>
    <t>ILE-DE-BATZ</t>
  </si>
  <si>
    <t>LOUBEYRAT</t>
  </si>
  <si>
    <t>MARLES-EN-BRIE</t>
  </si>
  <si>
    <t>SAINT-MARCELLIN-LES-VAISON</t>
  </si>
  <si>
    <t>74600</t>
  </si>
  <si>
    <t>MONTAGNY-LES-LANCHES</t>
  </si>
  <si>
    <t>POULIGNY-SAINT-PIERRE</t>
  </si>
  <si>
    <t>13360</t>
  </si>
  <si>
    <t>ROQUEVAIRE</t>
  </si>
  <si>
    <t>SAINT-CLAIR-DU-RHONE</t>
  </si>
  <si>
    <t>VERGT</t>
  </si>
  <si>
    <t>SAINT-LEGER-DE-PEYRE</t>
  </si>
  <si>
    <t>CHEVIGNY-EN-VALIERE</t>
  </si>
  <si>
    <t>CESARVILLE-DOSSAINVILLE</t>
  </si>
  <si>
    <t>SOISSONS</t>
  </si>
  <si>
    <t>LE PETIT-PRESSIGNY</t>
  </si>
  <si>
    <t>92430</t>
  </si>
  <si>
    <t>MARNES-LA-COQUETTE</t>
  </si>
  <si>
    <t>SAINT-JEAN-DE-LINIERES</t>
  </si>
  <si>
    <t>FINHAN</t>
  </si>
  <si>
    <t>CLETY</t>
  </si>
  <si>
    <t>LENTILLY</t>
  </si>
  <si>
    <t>MOLERE</t>
  </si>
  <si>
    <t>SAINT-PIERRE-DE-PLESGUEN</t>
  </si>
  <si>
    <t>CERENCES</t>
  </si>
  <si>
    <t>MORSAINS</t>
  </si>
  <si>
    <t>VILLERS-VERMONT</t>
  </si>
  <si>
    <t>MEILLERAY</t>
  </si>
  <si>
    <t>SAINT-GERMAIN-DE-FRESNEY</t>
  </si>
  <si>
    <t>BRASPARTS</t>
  </si>
  <si>
    <t>SAINT-MARTIN-DE-BOSCHERVILLE</t>
  </si>
  <si>
    <t>JUMIGNY</t>
  </si>
  <si>
    <t>BOISSY-LAMBERVILLE</t>
  </si>
  <si>
    <t>MONTREUIL-SUR-BARSE</t>
  </si>
  <si>
    <t>THORE-LA-ROCHETTE</t>
  </si>
  <si>
    <t>93290</t>
  </si>
  <si>
    <t>TREMBLAY-EN-FRANCE</t>
  </si>
  <si>
    <t>13112</t>
  </si>
  <si>
    <t>LA DESTROUSSE</t>
  </si>
  <si>
    <t>NOE-LES-MALLETS</t>
  </si>
  <si>
    <t>MANCENANS-LIZERNE</t>
  </si>
  <si>
    <t>SAINT-JEAN-DE-TREZY</t>
  </si>
  <si>
    <t>LOUBEDAT</t>
  </si>
  <si>
    <t>RIBES</t>
  </si>
  <si>
    <t>BORDES</t>
  </si>
  <si>
    <t>VILLERS-SUR-COUDUN</t>
  </si>
  <si>
    <t>ENGLANCOURT</t>
  </si>
  <si>
    <t>78240</t>
  </si>
  <si>
    <t>80850</t>
  </si>
  <si>
    <t>BERTEAUCOURT-LES-DAMES</t>
  </si>
  <si>
    <t>LE LOUROUX</t>
  </si>
  <si>
    <t>LIMOURS</t>
  </si>
  <si>
    <t>VALMESTROFF</t>
  </si>
  <si>
    <t>LUNEL-VIEL</t>
  </si>
  <si>
    <t>LA VILLENEUVE-EN-CHEVRIE</t>
  </si>
  <si>
    <t>2B361</t>
  </si>
  <si>
    <t>ZILIA</t>
  </si>
  <si>
    <t>LOUBRESSAC</t>
  </si>
  <si>
    <t>MOUTOUX</t>
  </si>
  <si>
    <t>LA HAYE-DE-CALLEVILLE</t>
  </si>
  <si>
    <t>SAINT-AUBIN-LE-DEPEINT</t>
  </si>
  <si>
    <t>CHAPEAU</t>
  </si>
  <si>
    <t>CONDE-SUR-ITON</t>
  </si>
  <si>
    <t>MERNEL</t>
  </si>
  <si>
    <t>54660</t>
  </si>
  <si>
    <t>BONA</t>
  </si>
  <si>
    <t>SAINT-ELIX</t>
  </si>
  <si>
    <t>ARANCOU</t>
  </si>
  <si>
    <t>CHAVANOZ</t>
  </si>
  <si>
    <t>BERBIGUIERES</t>
  </si>
  <si>
    <t>MOIDIEU-DETOURBE</t>
  </si>
  <si>
    <t>CLAIRFAYTS</t>
  </si>
  <si>
    <t>ALOXE-CORTON</t>
  </si>
  <si>
    <t>BOUSSY-SAINT-ANTOINE</t>
  </si>
  <si>
    <t>SARREINSMING</t>
  </si>
  <si>
    <t>PLOUGASTEL-DAOULAS</t>
  </si>
  <si>
    <t>SEICHEPREY</t>
  </si>
  <si>
    <t>EBERSVILLER</t>
  </si>
  <si>
    <t>SAINT-HILAIRE-LA-GRAVELLE</t>
  </si>
  <si>
    <t>BRIONNE</t>
  </si>
  <si>
    <t>CERNY-EN-LAONNOIS</t>
  </si>
  <si>
    <t>LA NEUVILLE-LES-WASIGNY</t>
  </si>
  <si>
    <t>GABARRET</t>
  </si>
  <si>
    <t>REBEUVILLE</t>
  </si>
  <si>
    <t>ROMAGNY-SOUS-ROUGEMONT</t>
  </si>
  <si>
    <t>SAINT-CHRISTOPHE-DE-VALAINS</t>
  </si>
  <si>
    <t>MONTBRAND</t>
  </si>
  <si>
    <t>BEGUIOS</t>
  </si>
  <si>
    <t>LES BOUCHOUX</t>
  </si>
  <si>
    <t>DIEDENDORF</t>
  </si>
  <si>
    <t>BEAUVAIS-SUR-MATHA</t>
  </si>
  <si>
    <t>PONTAVERT</t>
  </si>
  <si>
    <t>CHATEAUREDON</t>
  </si>
  <si>
    <t>PREFAILLES</t>
  </si>
  <si>
    <t>TOGNY-AUX-BOEUFS</t>
  </si>
  <si>
    <t>MAUVEZIN-DE-SAINTE-CROIX</t>
  </si>
  <si>
    <t>LA CHAPELLE-HERMIER</t>
  </si>
  <si>
    <t>EPINONVILLE</t>
  </si>
  <si>
    <t>SAINT-MARTIN-DE-FRAIGNEAU</t>
  </si>
  <si>
    <t>MONTOUSSE</t>
  </si>
  <si>
    <t>GUICHE</t>
  </si>
  <si>
    <t>AUROS</t>
  </si>
  <si>
    <t>RONVAUX</t>
  </si>
  <si>
    <t>HAUX</t>
  </si>
  <si>
    <t>SAINT-ANDEOL</t>
  </si>
  <si>
    <t>ORMESSON</t>
  </si>
  <si>
    <t>ILHARRE</t>
  </si>
  <si>
    <t>ROMESTAING</t>
  </si>
  <si>
    <t>DINGE</t>
  </si>
  <si>
    <t>SAON</t>
  </si>
  <si>
    <t>ORGEIX</t>
  </si>
  <si>
    <t>SAINT-GOBAIN</t>
  </si>
  <si>
    <t>SAINT-AUBIN-LE-CLOUD</t>
  </si>
  <si>
    <t>TOUFFLERS</t>
  </si>
  <si>
    <t>ARGOULES</t>
  </si>
  <si>
    <t>CLERY-SUR-SOMME</t>
  </si>
  <si>
    <t>BREHAL</t>
  </si>
  <si>
    <t>SPINCOURT</t>
  </si>
  <si>
    <t>HYEMONDANS</t>
  </si>
  <si>
    <t>COURGENT</t>
  </si>
  <si>
    <t>LOUCHATS</t>
  </si>
  <si>
    <t>LARRIVIERE-SAINT-SAVIN</t>
  </si>
  <si>
    <t>REIPERTSWILLER</t>
  </si>
  <si>
    <t>PAUILLAC</t>
  </si>
  <si>
    <t>77670</t>
  </si>
  <si>
    <t>VERNOU-LA-CELLE-SUR-SEINE</t>
  </si>
  <si>
    <t>MADAILLAN</t>
  </si>
  <si>
    <t>NOMMAY</t>
  </si>
  <si>
    <t>MONTGRU-SAINT-HILAIRE</t>
  </si>
  <si>
    <t>LE MESNIL-GUILLAUME</t>
  </si>
  <si>
    <t>SERANVILLERS-FORENVILLE</t>
  </si>
  <si>
    <t>AUDIGNON</t>
  </si>
  <si>
    <t>RAY-SUR-SAONE</t>
  </si>
  <si>
    <t>LES VOIVRES</t>
  </si>
  <si>
    <t>BENNECOURT</t>
  </si>
  <si>
    <t>ROCHE-LE-PEYROUX</t>
  </si>
  <si>
    <t>CLAVY-WARBY</t>
  </si>
  <si>
    <t>TROYE-D'ARIEGE</t>
  </si>
  <si>
    <t>SEMELAY</t>
  </si>
  <si>
    <t>ORIGNY-LE-ROUX</t>
  </si>
  <si>
    <t>PLIVOT</t>
  </si>
  <si>
    <t>MONTPON-MENESTEROL</t>
  </si>
  <si>
    <t>PUILAURENS</t>
  </si>
  <si>
    <t>ILLIFAUT</t>
  </si>
  <si>
    <t>BREUIL-LE-VERT</t>
  </si>
  <si>
    <t>VERNEUIL-L'ETANG</t>
  </si>
  <si>
    <t>SAINT-MARTIN-DU-VIEUX-BELLEME</t>
  </si>
  <si>
    <t>95520</t>
  </si>
  <si>
    <t>OSNY</t>
  </si>
  <si>
    <t>BEY-SUR-SEILLE</t>
  </si>
  <si>
    <t>SAINT-YRIEIX-LE-DEJALAT</t>
  </si>
  <si>
    <t>FETIGNY</t>
  </si>
  <si>
    <t>LE POET-EN-PERCIP</t>
  </si>
  <si>
    <t>FONTJONCOUSE</t>
  </si>
  <si>
    <t>SAINT-GILLES-DE-LA-NEUVILLE</t>
  </si>
  <si>
    <t>SOSPEL</t>
  </si>
  <si>
    <t>LE PIN-LA-GARENNE</t>
  </si>
  <si>
    <t>MAROILLES</t>
  </si>
  <si>
    <t>91460</t>
  </si>
  <si>
    <t>MARCOUSSIS</t>
  </si>
  <si>
    <t>97131</t>
  </si>
  <si>
    <t>PETIT-CANAL</t>
  </si>
  <si>
    <t>VIENNE-EN-BESSIN</t>
  </si>
  <si>
    <t>CHAMBRECY</t>
  </si>
  <si>
    <t>MONTIGNY-EN-OSTREVENT</t>
  </si>
  <si>
    <t>LA LATETTE</t>
  </si>
  <si>
    <t>MONTHENAULT</t>
  </si>
  <si>
    <t>SAINT-GERMAIN-DU-BOIS</t>
  </si>
  <si>
    <t>77150</t>
  </si>
  <si>
    <t>FEROLLES-ATTILLY</t>
  </si>
  <si>
    <t>HARPONVILLE</t>
  </si>
  <si>
    <t>WESTHALTEN</t>
  </si>
  <si>
    <t>LA FOUILLADE</t>
  </si>
  <si>
    <t>LE PLESSIS-L'EVEQUE</t>
  </si>
  <si>
    <t>DOMME</t>
  </si>
  <si>
    <t>PHAFFANS</t>
  </si>
  <si>
    <t>LEMBACH</t>
  </si>
  <si>
    <t>SAINT-GEORGES-D'AUNAY</t>
  </si>
  <si>
    <t>15210</t>
  </si>
  <si>
    <t>YDES</t>
  </si>
  <si>
    <t>DAMPJOUX</t>
  </si>
  <si>
    <t>FRAQUELFING</t>
  </si>
  <si>
    <t>ROQUEVIDAL</t>
  </si>
  <si>
    <t>VATHIMENIL</t>
  </si>
  <si>
    <t>SAINT-LAURENT-SOUS-COIRON</t>
  </si>
  <si>
    <t>POIGNY-LA-FORET</t>
  </si>
  <si>
    <t>CAROMB</t>
  </si>
  <si>
    <t>86000</t>
  </si>
  <si>
    <t>POITIERS</t>
  </si>
  <si>
    <t>LE MASSEGROS</t>
  </si>
  <si>
    <t>GAMARTHE</t>
  </si>
  <si>
    <t>BREGY</t>
  </si>
  <si>
    <t>GUSSAINVILLE</t>
  </si>
  <si>
    <t>35890</t>
  </si>
  <si>
    <t>BOURG-DES-COMPTES</t>
  </si>
  <si>
    <t>SAINTE-FOY-DE-PEYROLIERES</t>
  </si>
  <si>
    <t>ANGOVILLE</t>
  </si>
  <si>
    <t>6690</t>
  </si>
  <si>
    <t>TOURRETTE-LEVENS</t>
  </si>
  <si>
    <t>AMIGNY-ROUY</t>
  </si>
  <si>
    <t>75004</t>
  </si>
  <si>
    <t>PARIS-4E-ARRONDISSEMENT</t>
  </si>
  <si>
    <t>FAUCON-DU-CAIRE</t>
  </si>
  <si>
    <t>AVERMES</t>
  </si>
  <si>
    <t>CONSENVOYE</t>
  </si>
  <si>
    <t>RUAGES</t>
  </si>
  <si>
    <t>59169</t>
  </si>
  <si>
    <t>GOEULZIN</t>
  </si>
  <si>
    <t>SAINT-QUENTIN-DE-BARON</t>
  </si>
  <si>
    <t>VALONNE</t>
  </si>
  <si>
    <t>VERRICOURT</t>
  </si>
  <si>
    <t>LAUNOY</t>
  </si>
  <si>
    <t>HAMBLAIN-LES-PRES</t>
  </si>
  <si>
    <t>83300</t>
  </si>
  <si>
    <t>DRAGUIGNAN</t>
  </si>
  <si>
    <t>LEALVILLERS</t>
  </si>
  <si>
    <t>TAILLANT</t>
  </si>
  <si>
    <t>LA REPARA-AURIPLES</t>
  </si>
  <si>
    <t>33810</t>
  </si>
  <si>
    <t>AMBES</t>
  </si>
  <si>
    <t>FAUCON-DE-BARCELONNETTE</t>
  </si>
  <si>
    <t>CHAUVINCOURT-PROVEMONT</t>
  </si>
  <si>
    <t>CHESNOIS-AUBONCOURT</t>
  </si>
  <si>
    <t>SAINT-GERVAZY</t>
  </si>
  <si>
    <t>AIX-LES-BAINS</t>
  </si>
  <si>
    <t>BEAULIEU-EN-ARGONNE</t>
  </si>
  <si>
    <t>VILLARDEBELLE</t>
  </si>
  <si>
    <t>BOURDIC</t>
  </si>
  <si>
    <t>GOOS</t>
  </si>
  <si>
    <t>SAINT-SOULAN</t>
  </si>
  <si>
    <t>PLOMELIN</t>
  </si>
  <si>
    <t>NEUVILLE-SUR-TOUQUES</t>
  </si>
  <si>
    <t>CHATEAUDOUBLE</t>
  </si>
  <si>
    <t>SAINT-APOLLINAIRE-DE-RIAS</t>
  </si>
  <si>
    <t>SAINT-JULIEN-LES-VILLAS</t>
  </si>
  <si>
    <t>LA RESIE-SAINT-MARTIN</t>
  </si>
  <si>
    <t>MONTAGNY-LES-BUXY</t>
  </si>
  <si>
    <t>LANDEYRAT</t>
  </si>
  <si>
    <t>CHERMIGNAC</t>
  </si>
  <si>
    <t>PLEVIN</t>
  </si>
  <si>
    <t>VILLEFRANCHE-D'ALBIGEOIS</t>
  </si>
  <si>
    <t>CHEILLE</t>
  </si>
  <si>
    <t>OBERGAILBACH</t>
  </si>
  <si>
    <t>LA NEUVE-LYRE</t>
  </si>
  <si>
    <t>MOULAY</t>
  </si>
  <si>
    <t>BEAUMONT-SUR-VINGEANNE</t>
  </si>
  <si>
    <t>LE HAUT-CORLAY</t>
  </si>
  <si>
    <t>OLIZY-SUR-CHIERS</t>
  </si>
  <si>
    <t>DRACY-LES-COUCHES</t>
  </si>
  <si>
    <t>67980</t>
  </si>
  <si>
    <t>HANGENBIETEN</t>
  </si>
  <si>
    <t>PARENT</t>
  </si>
  <si>
    <t>ENTREMONT</t>
  </si>
  <si>
    <t>COURTENAY</t>
  </si>
  <si>
    <t>EMEVILLE</t>
  </si>
  <si>
    <t>VERNEIX</t>
  </si>
  <si>
    <t>GUEUDECOURT</t>
  </si>
  <si>
    <t>SAULX-LES-CHAMPLON</t>
  </si>
  <si>
    <t>DESSELING</t>
  </si>
  <si>
    <t>SINARD</t>
  </si>
  <si>
    <t>GROISES</t>
  </si>
  <si>
    <t>BOUTENAC</t>
  </si>
  <si>
    <t>LE POISLAY</t>
  </si>
  <si>
    <t>TERDEGHEM</t>
  </si>
  <si>
    <t>EOURRES</t>
  </si>
  <si>
    <t>LE MAS</t>
  </si>
  <si>
    <t>MESQUER</t>
  </si>
  <si>
    <t>BAZARNES</t>
  </si>
  <si>
    <t>PLAINES-SAINT-LANGE</t>
  </si>
  <si>
    <t>ITZAC</t>
  </si>
  <si>
    <t>SERVIERES</t>
  </si>
  <si>
    <t>VAUX-EN-BUGEY</t>
  </si>
  <si>
    <t>FESTALEMPS</t>
  </si>
  <si>
    <t>TALLARD</t>
  </si>
  <si>
    <t>NIVELLE</t>
  </si>
  <si>
    <t>CHALANDRAY</t>
  </si>
  <si>
    <t>SAINTE-BEUVE-EN-RIVIERE</t>
  </si>
  <si>
    <t>AUBETERRE</t>
  </si>
  <si>
    <t>2B339</t>
  </si>
  <si>
    <t>VALLICA</t>
  </si>
  <si>
    <t>LA CHAPELLE-SAINT-LAURIAN</t>
  </si>
  <si>
    <t>BERZE-LA-VILLE</t>
  </si>
  <si>
    <t>REVILLON</t>
  </si>
  <si>
    <t>62100</t>
  </si>
  <si>
    <t>CALAIS</t>
  </si>
  <si>
    <t>PARGNY-SUR-SAULX</t>
  </si>
  <si>
    <t>SAINT-CIERS-D'ABZAC</t>
  </si>
  <si>
    <t>LA FAURIE</t>
  </si>
  <si>
    <t>ISIGNY-SUR-MER</t>
  </si>
  <si>
    <t>ROIGLISE</t>
  </si>
  <si>
    <t>BOURG-DE-PEAGE</t>
  </si>
  <si>
    <t>GENOLHAC</t>
  </si>
  <si>
    <t>SAINT-PAUL-EN-CHABLAIS</t>
  </si>
  <si>
    <t>LA CHASSAGNE</t>
  </si>
  <si>
    <t>MOLRING</t>
  </si>
  <si>
    <t>COUTURE-SUR-LOIR</t>
  </si>
  <si>
    <t>VIMOUTIERS</t>
  </si>
  <si>
    <t>GLUIRAS</t>
  </si>
  <si>
    <t>VALMONT</t>
  </si>
  <si>
    <t>THEZAN-LES-BEZIERS</t>
  </si>
  <si>
    <t>THIOUVILLE</t>
  </si>
  <si>
    <t>PUSIGNAN</t>
  </si>
  <si>
    <t>BOUSIGNIES</t>
  </si>
  <si>
    <t>COURRENSAN</t>
  </si>
  <si>
    <t>VILLIERS-SAINT-BENOIT</t>
  </si>
  <si>
    <t>GAS</t>
  </si>
  <si>
    <t>SIRACOURT</t>
  </si>
  <si>
    <t>FONTAINE-LA-SORET</t>
  </si>
  <si>
    <t>SAINT-AULAIRE</t>
  </si>
  <si>
    <t>CARSAC-AILLAC</t>
  </si>
  <si>
    <t>SAINT-MARTIN-DU-TARTRE</t>
  </si>
  <si>
    <t>AYAT-SUR-SIOULE</t>
  </si>
  <si>
    <t>LIXHEIM</t>
  </si>
  <si>
    <t>LACOUR</t>
  </si>
  <si>
    <t>VIVIERES</t>
  </si>
  <si>
    <t>FREYCENET-LA-TOUR</t>
  </si>
  <si>
    <t>LE MESNIL-HARDRAY</t>
  </si>
  <si>
    <t>57175</t>
  </si>
  <si>
    <t>GANDRANGE</t>
  </si>
  <si>
    <t>ESSEY</t>
  </si>
  <si>
    <t>PONT-SAINTE-MAXENCE</t>
  </si>
  <si>
    <t>SAINT-CLEMENT-SUR-GUYE</t>
  </si>
  <si>
    <t>MONCEAUX</t>
  </si>
  <si>
    <t>ANGIREY</t>
  </si>
  <si>
    <t>ESPEYROUX</t>
  </si>
  <si>
    <t>MUIRANCOURT</t>
  </si>
  <si>
    <t>TRANGE</t>
  </si>
  <si>
    <t>PIERREFITTE-EN-CINGLAIS</t>
  </si>
  <si>
    <t>ROTALIER</t>
  </si>
  <si>
    <t>BARC</t>
  </si>
  <si>
    <t>VARREDDES</t>
  </si>
  <si>
    <t>CULMONT</t>
  </si>
  <si>
    <t>ADAST</t>
  </si>
  <si>
    <t>BOUVINES</t>
  </si>
  <si>
    <t>SAINT-ETIENNE-ESTRECHOUX</t>
  </si>
  <si>
    <t>NOYAL-CHATILLON-SUR-SEICHE</t>
  </si>
  <si>
    <t>BOUSSIERES</t>
  </si>
  <si>
    <t>MIREPEISSET</t>
  </si>
  <si>
    <t>LE TITRE</t>
  </si>
  <si>
    <t>AUGA</t>
  </si>
  <si>
    <t>VALDAMPIERRE</t>
  </si>
  <si>
    <t>57925</t>
  </si>
  <si>
    <t>DISTROFF</t>
  </si>
  <si>
    <t>SEMECOURT</t>
  </si>
  <si>
    <t>AMBERIEUX</t>
  </si>
  <si>
    <t>BAZINCOURT-SUR-SAULX</t>
  </si>
  <si>
    <t>OISY-LE-VERGER</t>
  </si>
  <si>
    <t>PETIT-PALAIS-ET-CORNEMPS</t>
  </si>
  <si>
    <t>HAUTE-VIGNEULLES</t>
  </si>
  <si>
    <t>CHESNY</t>
  </si>
  <si>
    <t>BOUSIGNIES-SUR-ROC</t>
  </si>
  <si>
    <t>SAINTE-CATHERINE</t>
  </si>
  <si>
    <t>SAINT-GERMAIN-D'ECTOT</t>
  </si>
  <si>
    <t>59168</t>
  </si>
  <si>
    <t>BOUSSOIS</t>
  </si>
  <si>
    <t>CONFLANS-SUR-LANTERNE</t>
  </si>
  <si>
    <t>94420</t>
  </si>
  <si>
    <t>LE PLESSIS-TREVISE</t>
  </si>
  <si>
    <t>LA VEUVE</t>
  </si>
  <si>
    <t>BEC-DE-MORTAGNE</t>
  </si>
  <si>
    <t>NOCE</t>
  </si>
  <si>
    <t>LA PELLERINE</t>
  </si>
  <si>
    <t>SAINT-ETIENNE-DES-CHAMPS</t>
  </si>
  <si>
    <t>PUYROLLAND</t>
  </si>
  <si>
    <t>SAINTE-EULALIE-D'EYMET</t>
  </si>
  <si>
    <t>VILLEMAGNE</t>
  </si>
  <si>
    <t>PULLAY</t>
  </si>
  <si>
    <t>CARLA-DE-ROQUEFORT</t>
  </si>
  <si>
    <t>MARCILLY-ET-DRACY</t>
  </si>
  <si>
    <t>77430</t>
  </si>
  <si>
    <t>CHAMPAGNE-SUR-SEINE</t>
  </si>
  <si>
    <t>SAINT-LUMINE-DE-CLISSON</t>
  </si>
  <si>
    <t>VICHEL</t>
  </si>
  <si>
    <t>REMUNGOL</t>
  </si>
  <si>
    <t>NEUVILLETTE-EN-CHARNIE</t>
  </si>
  <si>
    <t>MONTDAUPHIN</t>
  </si>
  <si>
    <t>BOURSIERES</t>
  </si>
  <si>
    <t>LA GIMOND</t>
  </si>
  <si>
    <t>METZERESCHE</t>
  </si>
  <si>
    <t>SAINTE-TREPHINE</t>
  </si>
  <si>
    <t>JUGY</t>
  </si>
  <si>
    <t>MONTESQUIEU-LAURAGAIS</t>
  </si>
  <si>
    <t>NIEULLE-SUR-SEUDRE</t>
  </si>
  <si>
    <t>RIEUPEYROUX</t>
  </si>
  <si>
    <t>LIMOUSIS</t>
  </si>
  <si>
    <t>ABLAIN-SAINT-NAZAIRE</t>
  </si>
  <si>
    <t>NERONDES</t>
  </si>
  <si>
    <t>CUISLES</t>
  </si>
  <si>
    <t>VOUE</t>
  </si>
  <si>
    <t>NOTRE-DAME-D'ESTREES</t>
  </si>
  <si>
    <t>SAINT-HILAIRE-LE-CHATEAU</t>
  </si>
  <si>
    <t>PONTCHARRAUD</t>
  </si>
  <si>
    <t>BOUGY</t>
  </si>
  <si>
    <t>TERREFONDREE</t>
  </si>
  <si>
    <t>SAINT-MAURICE-LES-COUCHES</t>
  </si>
  <si>
    <t>ARTEMARE</t>
  </si>
  <si>
    <t>MENIL-HERMEI</t>
  </si>
  <si>
    <t>MONTREUIL-JUIGNE</t>
  </si>
  <si>
    <t>VAIGES</t>
  </si>
  <si>
    <t>RAZAC-SUR-L'ISLE</t>
  </si>
  <si>
    <t>ASFELD</t>
  </si>
  <si>
    <t>ERINGHEM</t>
  </si>
  <si>
    <t>BUSSY-SAINT-MARTIN</t>
  </si>
  <si>
    <t>VERNOU-SUR-BRENNE</t>
  </si>
  <si>
    <t>20138</t>
  </si>
  <si>
    <t>2A098</t>
  </si>
  <si>
    <t>COTI-CHIAVARI</t>
  </si>
  <si>
    <t>MONTFLEUR</t>
  </si>
  <si>
    <t>VEREUX</t>
  </si>
  <si>
    <t>LIVRY</t>
  </si>
  <si>
    <t>MUN</t>
  </si>
  <si>
    <t>BANNALEC</t>
  </si>
  <si>
    <t>CHAVAROUX</t>
  </si>
  <si>
    <t>9340</t>
  </si>
  <si>
    <t>VERNIOLLE</t>
  </si>
  <si>
    <t>SAINT-JULIEN-MOLHESABATE</t>
  </si>
  <si>
    <t>LES ISLETTES</t>
  </si>
  <si>
    <t>LES GRANDES-LOGES</t>
  </si>
  <si>
    <t>VREGNY</t>
  </si>
  <si>
    <t>59920</t>
  </si>
  <si>
    <t>QUIEVRECHAIN</t>
  </si>
  <si>
    <t>SAINT-HILAIRE-LES-COURBES</t>
  </si>
  <si>
    <t>ARPENANS</t>
  </si>
  <si>
    <t>FONTENAY-SUR-CONIE</t>
  </si>
  <si>
    <t>SAINTRY-SUR-SEINE</t>
  </si>
  <si>
    <t>RUCA</t>
  </si>
  <si>
    <t>2830</t>
  </si>
  <si>
    <t>CUISE-LA-MOTTE</t>
  </si>
  <si>
    <t>ARMENTIERES</t>
  </si>
  <si>
    <t>OSLY-COURTIL</t>
  </si>
  <si>
    <t>MARRAY</t>
  </si>
  <si>
    <t>TARASCON-SUR-ARIEGE</t>
  </si>
  <si>
    <t>NEUILLY-LE-BISSON</t>
  </si>
  <si>
    <t>SAINT-HELEN</t>
  </si>
  <si>
    <t>HAUTVILLERS-OUVILLE</t>
  </si>
  <si>
    <t>MIONNAY</t>
  </si>
  <si>
    <t>HESMOND</t>
  </si>
  <si>
    <t>AUCHY-AU-BOIS</t>
  </si>
  <si>
    <t>LES MOITIERS-D'ALLONNE</t>
  </si>
  <si>
    <t>BERBERUST-LIAS</t>
  </si>
  <si>
    <t>BURY</t>
  </si>
  <si>
    <t>KERGRIST</t>
  </si>
  <si>
    <t>SOULANGY</t>
  </si>
  <si>
    <t>LERCOUL</t>
  </si>
  <si>
    <t>2B138</t>
  </si>
  <si>
    <t>LAVATOGGIO</t>
  </si>
  <si>
    <t>BRECHAUMONT</t>
  </si>
  <si>
    <t>NAIZIN</t>
  </si>
  <si>
    <t>VRELY</t>
  </si>
  <si>
    <t>HOUTKERQUE</t>
  </si>
  <si>
    <t>DIEULEFIT</t>
  </si>
  <si>
    <t>2B153</t>
  </si>
  <si>
    <t>MANSO</t>
  </si>
  <si>
    <t>BOUFFEMONT</t>
  </si>
  <si>
    <t>MURET-LE-CHATEAU</t>
  </si>
  <si>
    <t>LOUVOIS</t>
  </si>
  <si>
    <t>SOLEYMIEU</t>
  </si>
  <si>
    <t>SAINTE-REINE</t>
  </si>
  <si>
    <t>SAINT-REMY-SOUS-BROYES</t>
  </si>
  <si>
    <t>MENIL-LA-HORGNE</t>
  </si>
  <si>
    <t>VAUX-MARQUENNEVILLE</t>
  </si>
  <si>
    <t>COURTERANGES</t>
  </si>
  <si>
    <t>FAINS-LA-FOLIE</t>
  </si>
  <si>
    <t>THOURY</t>
  </si>
  <si>
    <t>LOIRON</t>
  </si>
  <si>
    <t>LAPRUGNE</t>
  </si>
  <si>
    <t>BELVEZE-DU-RAZES</t>
  </si>
  <si>
    <t>BOOFZHEIM</t>
  </si>
  <si>
    <t>OUCHES</t>
  </si>
  <si>
    <t>OSCHES</t>
  </si>
  <si>
    <t>LUMES</t>
  </si>
  <si>
    <t>CRESSAC-SAINT-GENIS</t>
  </si>
  <si>
    <t>GAHARD</t>
  </si>
  <si>
    <t>LABRETONIE</t>
  </si>
  <si>
    <t>TIBIRAN-JAUNAC</t>
  </si>
  <si>
    <t>DOMNOM-LES-DIEUZE</t>
  </si>
  <si>
    <t>LE PONDY</t>
  </si>
  <si>
    <t>97433</t>
  </si>
  <si>
    <t>SALAZIE</t>
  </si>
  <si>
    <t>WINTZENBACH</t>
  </si>
  <si>
    <t>42122</t>
  </si>
  <si>
    <t>SAINT-MARCEL-DE-FELINES</t>
  </si>
  <si>
    <t>CREVECOEUR-LE-PETIT</t>
  </si>
  <si>
    <t>BETHEMONT-LA-FORET</t>
  </si>
  <si>
    <t>BOUSSELANGE</t>
  </si>
  <si>
    <t>SAINT-OMER-EN-CHAUSSEE</t>
  </si>
  <si>
    <t>TALUYERS</t>
  </si>
  <si>
    <t>BILWISHEIM</t>
  </si>
  <si>
    <t>SAINT-GERMAIN-D'ESTEUIL</t>
  </si>
  <si>
    <t>EYGALIERS</t>
  </si>
  <si>
    <t>ANCTOVILLE-SUR-BOSCQ</t>
  </si>
  <si>
    <t>BALAGUERES</t>
  </si>
  <si>
    <t>TANTONVILLE</t>
  </si>
  <si>
    <t>13850</t>
  </si>
  <si>
    <t>GREASQUE</t>
  </si>
  <si>
    <t>MESLAND</t>
  </si>
  <si>
    <t>ISSAMOULENC</t>
  </si>
  <si>
    <t>CHIDRAC</t>
  </si>
  <si>
    <t>CHENNEBRUN</t>
  </si>
  <si>
    <t>RENAC</t>
  </si>
  <si>
    <t>SUZE</t>
  </si>
  <si>
    <t>MOISSAC</t>
  </si>
  <si>
    <t>LASSAY-SUR-CROISNE</t>
  </si>
  <si>
    <t>VOLONNE</t>
  </si>
  <si>
    <t>BRINCKHEIM</t>
  </si>
  <si>
    <t>LOUZES</t>
  </si>
  <si>
    <t>89380</t>
  </si>
  <si>
    <t>APPOIGNY</t>
  </si>
  <si>
    <t>VILLARD-NOTRE-DAME</t>
  </si>
  <si>
    <t>VILLE-EN-BLAISOIS</t>
  </si>
  <si>
    <t>29990</t>
  </si>
  <si>
    <t>ILE-DE-SEIN</t>
  </si>
  <si>
    <t>74240</t>
  </si>
  <si>
    <t>GAILLARD</t>
  </si>
  <si>
    <t>MORANVILLE</t>
  </si>
  <si>
    <t>LONGWY</t>
  </si>
  <si>
    <t>VALLABRIX</t>
  </si>
  <si>
    <t>EBOULEAU</t>
  </si>
  <si>
    <t>SAINTE-COLOMBE-SUR-L'HERS</t>
  </si>
  <si>
    <t>LES GRANGES-LE-ROI</t>
  </si>
  <si>
    <t>LES THUILES</t>
  </si>
  <si>
    <t>LUSSAC-LES-EGLISES</t>
  </si>
  <si>
    <t>BUISSON</t>
  </si>
  <si>
    <t>CITERNE</t>
  </si>
  <si>
    <t>EPINEAU-LES-VOVES</t>
  </si>
  <si>
    <t>CHARBONNAT</t>
  </si>
  <si>
    <t>SAINT-JURE</t>
  </si>
  <si>
    <t>CASES-DE-PENE</t>
  </si>
  <si>
    <t>MOUDEYRES</t>
  </si>
  <si>
    <t>RAUVILLE-LA-BIGOT</t>
  </si>
  <si>
    <t>SAINT-LOUP-LAMAIRE</t>
  </si>
  <si>
    <t>ABRIES</t>
  </si>
  <si>
    <t>CONNE-DE-LABARDE</t>
  </si>
  <si>
    <t>THAURON</t>
  </si>
  <si>
    <t>LA CHAPELLE-PALLUAU</t>
  </si>
  <si>
    <t>SAINT-CYR-DU-RONCERAY</t>
  </si>
  <si>
    <t>ASPRES-SUR-BUECH</t>
  </si>
  <si>
    <t>LES BARTHES</t>
  </si>
  <si>
    <t>FERDRUPT</t>
  </si>
  <si>
    <t>CORPS</t>
  </si>
  <si>
    <t>LESSARD-ET-LE-CHENE</t>
  </si>
  <si>
    <t>HEUSSE</t>
  </si>
  <si>
    <t>BOULANCOURT</t>
  </si>
  <si>
    <t>DIETWILLER</t>
  </si>
  <si>
    <t>LESCAR</t>
  </si>
  <si>
    <t>LESSAY</t>
  </si>
  <si>
    <t>SAINTE-MARIE-AU-BOSC</t>
  </si>
  <si>
    <t>97141</t>
  </si>
  <si>
    <t>VIEUX-FORT</t>
  </si>
  <si>
    <t>FLAXIEU</t>
  </si>
  <si>
    <t>COMBLES</t>
  </si>
  <si>
    <t>FRESNAY-LE-LONG</t>
  </si>
  <si>
    <t>SAINT-JACQUES</t>
  </si>
  <si>
    <t>SIBIRIL</t>
  </si>
  <si>
    <t>PLANCY-L'ABBAYE</t>
  </si>
  <si>
    <t>NANTEUIL</t>
  </si>
  <si>
    <t>ESCOUBES</t>
  </si>
  <si>
    <t>AFFRACOURT</t>
  </si>
  <si>
    <t>MAUVES-SUR-HUISNE</t>
  </si>
  <si>
    <t>95490</t>
  </si>
  <si>
    <t>VAUREAL</t>
  </si>
  <si>
    <t>VIMARCE</t>
  </si>
  <si>
    <t>GABARNAC</t>
  </si>
  <si>
    <t>BARBAISE</t>
  </si>
  <si>
    <t>MARGNY-SUR-MATZ</t>
  </si>
  <si>
    <t>LIERNAIS</t>
  </si>
  <si>
    <t>NANTEAU-SUR-ESSONNE</t>
  </si>
  <si>
    <t>SAINT-NIZIER-LE-BOUCHOUX</t>
  </si>
  <si>
    <t>ARMAUCOURT</t>
  </si>
  <si>
    <t>GOUMOIS</t>
  </si>
  <si>
    <t>RIGUEPEU</t>
  </si>
  <si>
    <t>LEMPTY</t>
  </si>
  <si>
    <t>LAHEYCOURT</t>
  </si>
  <si>
    <t>MIRVAUX</t>
  </si>
  <si>
    <t>GIMOUILLE</t>
  </si>
  <si>
    <t>ARSANS</t>
  </si>
  <si>
    <t>CUILLE</t>
  </si>
  <si>
    <t>VERNOIS-SUR-MANCE</t>
  </si>
  <si>
    <t>GRANDLUP-ET-FAY</t>
  </si>
  <si>
    <t>MAREST</t>
  </si>
  <si>
    <t>VAUXBONS</t>
  </si>
  <si>
    <t>CONDE-SUR-SARTHE</t>
  </si>
  <si>
    <t>MONTMANCON</t>
  </si>
  <si>
    <t>CLERMONT-LE-FORT</t>
  </si>
  <si>
    <t>CONQUES-SUR-ORBIEL</t>
  </si>
  <si>
    <t>LINIEZ</t>
  </si>
  <si>
    <t>GERGUEIL</t>
  </si>
  <si>
    <t>SAINT-HILAIRE-LUC</t>
  </si>
  <si>
    <t>92350</t>
  </si>
  <si>
    <t>LE PLESSIS-ROBINSON</t>
  </si>
  <si>
    <t>INJOUX-GENISSIAT</t>
  </si>
  <si>
    <t>ENCAUSSE-LES-THERMES</t>
  </si>
  <si>
    <t>84100</t>
  </si>
  <si>
    <t>UCHAUX</t>
  </si>
  <si>
    <t>TREVILLY</t>
  </si>
  <si>
    <t>ESLOURENTIES-DABAN</t>
  </si>
  <si>
    <t>LA LOGE-POMBLIN</t>
  </si>
  <si>
    <t>POMY</t>
  </si>
  <si>
    <t>LA NEUVILLE-AUX-LARRIS</t>
  </si>
  <si>
    <t>SAINT-DIDIER-DE-BIZONNES</t>
  </si>
  <si>
    <t>PEYRECAVE</t>
  </si>
  <si>
    <t>SAINT-PIERRE-DE-CHEVILLE</t>
  </si>
  <si>
    <t>76920</t>
  </si>
  <si>
    <t>AMFREVILLE-LA-MI-VOIE</t>
  </si>
  <si>
    <t>LE FRETY</t>
  </si>
  <si>
    <t>BOUSSIERES-SUR-SAMBRE</t>
  </si>
  <si>
    <t>SAUSSEMESNIL</t>
  </si>
  <si>
    <t>LOTTINGHEN</t>
  </si>
  <si>
    <t>SAINT-JEAN-LASSEILLE</t>
  </si>
  <si>
    <t>LAROQUEVIEILLE</t>
  </si>
  <si>
    <t>LE LESLAY</t>
  </si>
  <si>
    <t>LEYVAUX</t>
  </si>
  <si>
    <t>LE VAULMIER</t>
  </si>
  <si>
    <t>CONCORET</t>
  </si>
  <si>
    <t>LE BOURGUET</t>
  </si>
  <si>
    <t>AUDIGNY</t>
  </si>
  <si>
    <t>RECOLOGNE</t>
  </si>
  <si>
    <t>MEISTRATZHEIM</t>
  </si>
  <si>
    <t>78570</t>
  </si>
  <si>
    <t>CHANTELOUP-LES-VIGNES</t>
  </si>
  <si>
    <t>ATTILLONCOURT</t>
  </si>
  <si>
    <t>VILLEMBRAY</t>
  </si>
  <si>
    <t>NOISY-SUR-ECOLE</t>
  </si>
  <si>
    <t>PLESSIX-BALISSON</t>
  </si>
  <si>
    <t>COIGNEUX</t>
  </si>
  <si>
    <t>AURIEBAT</t>
  </si>
  <si>
    <t>84460</t>
  </si>
  <si>
    <t>CHEVAL-BLANC</t>
  </si>
  <si>
    <t>LES BORDES-AUMONT</t>
  </si>
  <si>
    <t>FRAPELLE</t>
  </si>
  <si>
    <t>MARSANGIS</t>
  </si>
  <si>
    <t>COGNAC</t>
  </si>
  <si>
    <t>VITTONCOURT</t>
  </si>
  <si>
    <t>MONS-EN-LAONNOIS</t>
  </si>
  <si>
    <t>13122</t>
  </si>
  <si>
    <t>VENTABREN</t>
  </si>
  <si>
    <t>BOUILLY</t>
  </si>
  <si>
    <t>CHANNAY</t>
  </si>
  <si>
    <t>PAUTAINES-AUGEVILLE</t>
  </si>
  <si>
    <t>LA CAPELLE-BALAGUIER</t>
  </si>
  <si>
    <t>TERJAT</t>
  </si>
  <si>
    <t>AUBENASSON</t>
  </si>
  <si>
    <t>LAFITTE</t>
  </si>
  <si>
    <t>HACQUEVILLE</t>
  </si>
  <si>
    <t>AMBERIEU-EN-BUGEY</t>
  </si>
  <si>
    <t>VILLARS-LES-BLAMONT</t>
  </si>
  <si>
    <t>CHALETTE-SUR-VOIRE</t>
  </si>
  <si>
    <t>21760</t>
  </si>
  <si>
    <t>LAMARCHE-SUR-SAONE</t>
  </si>
  <si>
    <t>VILLE-SUR-LUMES</t>
  </si>
  <si>
    <t>MERLES</t>
  </si>
  <si>
    <t>FONTCOUVERTE</t>
  </si>
  <si>
    <t>29360</t>
  </si>
  <si>
    <t>CLOHARS-CARNOET</t>
  </si>
  <si>
    <t>SAINT-GEORGES-DE-CHESNE</t>
  </si>
  <si>
    <t>LESSARD-EN-BRESSE</t>
  </si>
  <si>
    <t>LANDELLES</t>
  </si>
  <si>
    <t>SUSVILLE</t>
  </si>
  <si>
    <t>COIVERT</t>
  </si>
  <si>
    <t>MAILLERES</t>
  </si>
  <si>
    <t>ELENCOURT</t>
  </si>
  <si>
    <t>LOMBIA</t>
  </si>
  <si>
    <t>LE NIZAN</t>
  </si>
  <si>
    <t>FONTENAY-TRESIGNY</t>
  </si>
  <si>
    <t>LE MESNIL-ROGUES</t>
  </si>
  <si>
    <t>SAINT-OUEN-MARCHEFROY</t>
  </si>
  <si>
    <t>SAINT-AIGNAN-DE-COUPTRAIN</t>
  </si>
  <si>
    <t>MONTREUIL-SUR-BLAISE</t>
  </si>
  <si>
    <t>2B225</t>
  </si>
  <si>
    <t>PIETRA-DI-VERDE</t>
  </si>
  <si>
    <t>RAMICOURT</t>
  </si>
  <si>
    <t>SAINT-PRIVAT-DE-VALLONGUE</t>
  </si>
  <si>
    <t>AGONGES</t>
  </si>
  <si>
    <t>VIANNE</t>
  </si>
  <si>
    <t>MARCILLAC-LANVILLE</t>
  </si>
  <si>
    <t>SAINT-EXUPERY-LES-ROCHES</t>
  </si>
  <si>
    <t>L'EGUILLE</t>
  </si>
  <si>
    <t>FONTAINE-EN-DORMOIS</t>
  </si>
  <si>
    <t>BOURBON-LANCY</t>
  </si>
  <si>
    <t>FERRALS-LES-CORBIERES</t>
  </si>
  <si>
    <t>LE BUISSON-DE-CADOUIN</t>
  </si>
  <si>
    <t>LIGARDES</t>
  </si>
  <si>
    <t>HUMBERT</t>
  </si>
  <si>
    <t>CHAMBOURG-SUR-INDRE</t>
  </si>
  <si>
    <t>SOUANYAS</t>
  </si>
  <si>
    <t>NAHUJA</t>
  </si>
  <si>
    <t>BONNEMAISON</t>
  </si>
  <si>
    <t>COLOMBIERES-SUR-ORB</t>
  </si>
  <si>
    <t>BREZOLLES</t>
  </si>
  <si>
    <t>ROUY-LE-GRAND</t>
  </si>
  <si>
    <t>JUSSAC</t>
  </si>
  <si>
    <t>LEYNES</t>
  </si>
  <si>
    <t>WILLERVAL</t>
  </si>
  <si>
    <t>ARDENGOST</t>
  </si>
  <si>
    <t>RIGNY-SUR-ARROUX</t>
  </si>
  <si>
    <t>REBERGUES</t>
  </si>
  <si>
    <t>SAINT-PROJET-DE-SALERS</t>
  </si>
  <si>
    <t>MAZAUGUES</t>
  </si>
  <si>
    <t>TOUTRY</t>
  </si>
  <si>
    <t>TALMAY</t>
  </si>
  <si>
    <t>CHIGNY-LES-ROSES</t>
  </si>
  <si>
    <t>SAINT-SEURIN-DE-BOURG</t>
  </si>
  <si>
    <t>CHICOURT</t>
  </si>
  <si>
    <t>DAMOUZY</t>
  </si>
  <si>
    <t>MENARS</t>
  </si>
  <si>
    <t>ROSNOEN</t>
  </si>
  <si>
    <t>AVESSAC</t>
  </si>
  <si>
    <t>ARTHES</t>
  </si>
  <si>
    <t>PETOSSE</t>
  </si>
  <si>
    <t>SAINT-FORT</t>
  </si>
  <si>
    <t>SAINT-DONAT-SUR-L'HERBASSE</t>
  </si>
  <si>
    <t>HERPONT</t>
  </si>
  <si>
    <t>55430</t>
  </si>
  <si>
    <t>BELLEVILLE-SUR-MEUSE</t>
  </si>
  <si>
    <t>LES EYZIES-DE-TAYAC-SIREUIL</t>
  </si>
  <si>
    <t>LUXEUIL-LES-BAINS</t>
  </si>
  <si>
    <t>DAMBENOIS</t>
  </si>
  <si>
    <t>AUTHUILLE</t>
  </si>
  <si>
    <t>SENAUX</t>
  </si>
  <si>
    <t>LA JUMELLIERE</t>
  </si>
  <si>
    <t>CHAUDEBONNE</t>
  </si>
  <si>
    <t>LE PLESSIS-MACE</t>
  </si>
  <si>
    <t>MONTENOISON</t>
  </si>
  <si>
    <t>SAINT-GERMAIN-LAPRADE</t>
  </si>
  <si>
    <t>TROUVILLE-LA-HAULE</t>
  </si>
  <si>
    <t>SAINT-AUBIN-RIVIERE</t>
  </si>
  <si>
    <t>JONZAC</t>
  </si>
  <si>
    <t>FARNAY</t>
  </si>
  <si>
    <t>BARDOS</t>
  </si>
  <si>
    <t>SAINS-DU-NORD</t>
  </si>
  <si>
    <t>2B208</t>
  </si>
  <si>
    <t>PERELLI</t>
  </si>
  <si>
    <t>COURSAN-EN-OTHE</t>
  </si>
  <si>
    <t>CORBIGNY</t>
  </si>
  <si>
    <t>SAINT-GEORGES-SUR-ALLIER</t>
  </si>
  <si>
    <t>PERRIGNY-SUR-ARMANCON</t>
  </si>
  <si>
    <t>AUCEY-LA-PLAINE</t>
  </si>
  <si>
    <t>CELLES-EN-BASSIGNY</t>
  </si>
  <si>
    <t>LA FRANCHEVILLE</t>
  </si>
  <si>
    <t>SAINT-DIVY</t>
  </si>
  <si>
    <t>BOULAINCOURT</t>
  </si>
  <si>
    <t>MONDELANGE</t>
  </si>
  <si>
    <t>GLAGEON</t>
  </si>
  <si>
    <t>SAINT-PARDOUX-LA-CROISILLE</t>
  </si>
  <si>
    <t>SARE</t>
  </si>
  <si>
    <t>SAINT-ROMAIN-LE-NOBLE</t>
  </si>
  <si>
    <t>CHEVREAUX</t>
  </si>
  <si>
    <t>SATILLIEU</t>
  </si>
  <si>
    <t>MAILLEZAIS</t>
  </si>
  <si>
    <t>SIMARD</t>
  </si>
  <si>
    <t>MONTBREHAIN</t>
  </si>
  <si>
    <t>CONDOM</t>
  </si>
  <si>
    <t>SAINT-LEZIN</t>
  </si>
  <si>
    <t>ABREST</t>
  </si>
  <si>
    <t>VICQ-D'AURIBAT</t>
  </si>
  <si>
    <t>CRECY-EN-PONTHIEU</t>
  </si>
  <si>
    <t>BRAY-SUR-SOMME</t>
  </si>
  <si>
    <t>SAINT-MURY-MONTEYMOND</t>
  </si>
  <si>
    <t>LABERGEMENT-LES-AUXONNE</t>
  </si>
  <si>
    <t>DAMEREY</t>
  </si>
  <si>
    <t>ARCONCEY</t>
  </si>
  <si>
    <t>LES OMERGUES</t>
  </si>
  <si>
    <t>GRIVES</t>
  </si>
  <si>
    <t>MONTENACH</t>
  </si>
  <si>
    <t>APCHAT</t>
  </si>
  <si>
    <t>SAINT-BARTHELEMY-GROZON</t>
  </si>
  <si>
    <t>MORGEMOULIN</t>
  </si>
  <si>
    <t>VAL-D'AUZON</t>
  </si>
  <si>
    <t>POTELIERES</t>
  </si>
  <si>
    <t>TENDE</t>
  </si>
  <si>
    <t>FONTAINE-UTERTE</t>
  </si>
  <si>
    <t>SAINT-LAURENT-DE-CUVES</t>
  </si>
  <si>
    <t>VERNOIL-LE-FOURRIER</t>
  </si>
  <si>
    <t>JUTIGNY</t>
  </si>
  <si>
    <t>VENDELLES</t>
  </si>
  <si>
    <t>OLWISHEIM</t>
  </si>
  <si>
    <t>WILLER-SUR-THUR</t>
  </si>
  <si>
    <t>PELONNE</t>
  </si>
  <si>
    <t>SAINT-AUBIN-SUR-SCIE</t>
  </si>
  <si>
    <t>LUSCAN</t>
  </si>
  <si>
    <t>SOMBERNON</t>
  </si>
  <si>
    <t>URGOSSE</t>
  </si>
  <si>
    <t>LES TROIS-PIERRES</t>
  </si>
  <si>
    <t>ISPOURE</t>
  </si>
  <si>
    <t>LAFEUILLADE-EN-VEZIE</t>
  </si>
  <si>
    <t>BASSING</t>
  </si>
  <si>
    <t>BRENY</t>
  </si>
  <si>
    <t>DURAS</t>
  </si>
  <si>
    <t>BEAUFICEL-EN-LYONS</t>
  </si>
  <si>
    <t>LAVERCANTIERE</t>
  </si>
  <si>
    <t>SAINT-CALEZ-EN-SAOSNOIS</t>
  </si>
  <si>
    <t>SAINT-AMANT-DE-NOUERE</t>
  </si>
  <si>
    <t>PROUSSY</t>
  </si>
  <si>
    <t>LE TREMBLOIS</t>
  </si>
  <si>
    <t>MITTELBRONN</t>
  </si>
  <si>
    <t>CHAUMONT-DEVANT-DAMVILLERS</t>
  </si>
  <si>
    <t>CHEVRU</t>
  </si>
  <si>
    <t>ONANS</t>
  </si>
  <si>
    <t>SAINT-SYLVESTRE-CAPPEL</t>
  </si>
  <si>
    <t>PALINGES</t>
  </si>
  <si>
    <t>VORNAY</t>
  </si>
  <si>
    <t>CONCHY-LES-POTS</t>
  </si>
  <si>
    <t>LYS-SAINT-GEORGES</t>
  </si>
  <si>
    <t>BEUZEVILLETTE</t>
  </si>
  <si>
    <t>2A249</t>
  </si>
  <si>
    <t>PROPRIANO</t>
  </si>
  <si>
    <t>SAINTE-SUZANNE-SUR-VIRE</t>
  </si>
  <si>
    <t>BAVAY</t>
  </si>
  <si>
    <t>CESSEY</t>
  </si>
  <si>
    <t>83680</t>
  </si>
  <si>
    <t>LA GARDE-FREINET</t>
  </si>
  <si>
    <t>NOVIANT-AUX-PRES</t>
  </si>
  <si>
    <t>RECOULES-DE-FUMAS</t>
  </si>
  <si>
    <t>MOUILLY</t>
  </si>
  <si>
    <t>BEAUMONT-SARDOLLES</t>
  </si>
  <si>
    <t>COUSSAN</t>
  </si>
  <si>
    <t>MARIGNA-SUR-VALOUSE</t>
  </si>
  <si>
    <t>JOYEUSE</t>
  </si>
  <si>
    <t>CHEPOIX</t>
  </si>
  <si>
    <t>BEUVRIGNY</t>
  </si>
  <si>
    <t>ECLOSE</t>
  </si>
  <si>
    <t>BUSLOUP</t>
  </si>
  <si>
    <t>SAACY-SUR-MARNE</t>
  </si>
  <si>
    <t>SERRIERES-DE-BRIORD</t>
  </si>
  <si>
    <t>ANOUX</t>
  </si>
  <si>
    <t>JAULGONNE</t>
  </si>
  <si>
    <t>MEIGNE</t>
  </si>
  <si>
    <t>FERRIERES-LES-VERRERIES</t>
  </si>
  <si>
    <t>VERNET</t>
  </si>
  <si>
    <t>BOISVILLE-LA-SAINT-PERE</t>
  </si>
  <si>
    <t>HENVIC</t>
  </si>
  <si>
    <t>SAINT-THURIN</t>
  </si>
  <si>
    <t>MAUVES-SUR-LOIRE</t>
  </si>
  <si>
    <t>LONZAC</t>
  </si>
  <si>
    <t>VIEUX-ROUEN-SUR-BRESLE</t>
  </si>
  <si>
    <t>SAINT-MICHEL-DE-BOULOGNE</t>
  </si>
  <si>
    <t>MODENE</t>
  </si>
  <si>
    <t>VILLASAVARY</t>
  </si>
  <si>
    <t>BROUE</t>
  </si>
  <si>
    <t>GUEVENATTEN</t>
  </si>
  <si>
    <t>ESPARSAC</t>
  </si>
  <si>
    <t>ORBAIS-L'ABBAYE</t>
  </si>
  <si>
    <t>MIERY</t>
  </si>
  <si>
    <t>DOMANCY</t>
  </si>
  <si>
    <t>PARROY</t>
  </si>
  <si>
    <t>LA GENEVRAIE</t>
  </si>
  <si>
    <t>67960</t>
  </si>
  <si>
    <t>ENTZHEIM</t>
  </si>
  <si>
    <t>LATRONCHE</t>
  </si>
  <si>
    <t>TOURVILLE-SUR-SIENNE</t>
  </si>
  <si>
    <t>LAHOSSE</t>
  </si>
  <si>
    <t>ESSERTS-BLAY</t>
  </si>
  <si>
    <t>AUBEPIERRE-SUR-AUBE</t>
  </si>
  <si>
    <t>LARAMIERE</t>
  </si>
  <si>
    <t>MONTARCHER</t>
  </si>
  <si>
    <t>EQUEVILLEY</t>
  </si>
  <si>
    <t>CARTELEGUE</t>
  </si>
  <si>
    <t>NOUAN-LE-FUZELIER</t>
  </si>
  <si>
    <t>TOUDON</t>
  </si>
  <si>
    <t>PARASSY</t>
  </si>
  <si>
    <t>SAINT-CYR-EN-PAIL</t>
  </si>
  <si>
    <t>FRALIGNES</t>
  </si>
  <si>
    <t>GUINES</t>
  </si>
  <si>
    <t>JUZET-DE-LUCHON</t>
  </si>
  <si>
    <t>CIVENS</t>
  </si>
  <si>
    <t>MONTMARTIN-LE-HAUT</t>
  </si>
  <si>
    <t>BOURRET</t>
  </si>
  <si>
    <t>COUBISOU</t>
  </si>
  <si>
    <t>06600/06160</t>
  </si>
  <si>
    <t>ANTIBES</t>
  </si>
  <si>
    <t>CHOMERAC</t>
  </si>
  <si>
    <t>DREMIL-LAFAGE</t>
  </si>
  <si>
    <t>LA FOSSE-CORDUAN</t>
  </si>
  <si>
    <t>REMAISNIL</t>
  </si>
  <si>
    <t>PLOUISY</t>
  </si>
  <si>
    <t>NOIRLIEU</t>
  </si>
  <si>
    <t>34300</t>
  </si>
  <si>
    <t>AGDE</t>
  </si>
  <si>
    <t>DIEFMATTEN</t>
  </si>
  <si>
    <t>BOIS-D'ENNEBOURG</t>
  </si>
  <si>
    <t>RIBERAC</t>
  </si>
  <si>
    <t>BAGNOLS-EN-FORET</t>
  </si>
  <si>
    <t>CHAPELLE-DES-BOIS</t>
  </si>
  <si>
    <t>ANTIGNY-LA-VILLE</t>
  </si>
  <si>
    <t>NONARDS</t>
  </si>
  <si>
    <t>MOEUVRES</t>
  </si>
  <si>
    <t>CHAMPLITTE</t>
  </si>
  <si>
    <t>MARLIEUX</t>
  </si>
  <si>
    <t>VILLERS-LES-GUISE</t>
  </si>
  <si>
    <t>PORT-EN-BESSIN-HUPPAIN</t>
  </si>
  <si>
    <t>SAINT-BROING-LES-MOINES</t>
  </si>
  <si>
    <t>LESCOUET-GOUAREC</t>
  </si>
  <si>
    <t>VAIRE</t>
  </si>
  <si>
    <t>BEUGIN</t>
  </si>
  <si>
    <t>GEU</t>
  </si>
  <si>
    <t>MALAVILLERS</t>
  </si>
  <si>
    <t>MONTLIOT-ET-COURCELLES</t>
  </si>
  <si>
    <t>BEAUFAI</t>
  </si>
  <si>
    <t>BRETTEVILLE-SAINT-LAURENT</t>
  </si>
  <si>
    <t>MESANDANS</t>
  </si>
  <si>
    <t>2B227</t>
  </si>
  <si>
    <t>PIETRICAGGIO</t>
  </si>
  <si>
    <t>SAINT-CIBARD</t>
  </si>
  <si>
    <t>CHAUM</t>
  </si>
  <si>
    <t>PONTHOUX</t>
  </si>
  <si>
    <t>FONTAINE-LE-PIN</t>
  </si>
  <si>
    <t>PLOUBALAY</t>
  </si>
  <si>
    <t>59184</t>
  </si>
  <si>
    <t>SAINGHIN-EN-WEPPES</t>
  </si>
  <si>
    <t>PONCHES-ESTRUVAL</t>
  </si>
  <si>
    <t>SAINT-LAURENT-DE-LEVEZOU</t>
  </si>
  <si>
    <t>SAINT-AUVENT</t>
  </si>
  <si>
    <t>BOULIGNEY</t>
  </si>
  <si>
    <t>FINESTRET</t>
  </si>
  <si>
    <t>BANOS</t>
  </si>
  <si>
    <t>LE PAS</t>
  </si>
  <si>
    <t>BELLECHAUME</t>
  </si>
  <si>
    <t>LAGARDE-HACHAN</t>
  </si>
  <si>
    <t>PETIT-MARS</t>
  </si>
  <si>
    <t>CERS</t>
  </si>
  <si>
    <t>CHAMPSEVRAINE</t>
  </si>
  <si>
    <t>LE VIVIER</t>
  </si>
  <si>
    <t>MONTREAL-LA-CLUSE</t>
  </si>
  <si>
    <t>CHAPELLE-VIVIERS</t>
  </si>
  <si>
    <t>RUFFIGNE</t>
  </si>
  <si>
    <t>BERTREN</t>
  </si>
  <si>
    <t>SAINT-BENIN-DES-BOIS</t>
  </si>
  <si>
    <t>PRUGNY</t>
  </si>
  <si>
    <t>SAINT-LAURENT-DU-MONT</t>
  </si>
  <si>
    <t>ROCHEFORT-MONTAGNE</t>
  </si>
  <si>
    <t>LOUVIERES-EN-AUGE</t>
  </si>
  <si>
    <t>FRAISSE-SUR-AGOUT</t>
  </si>
  <si>
    <t>CUEBRIS</t>
  </si>
  <si>
    <t>SAINT-MARTIN-D'ABBAT</t>
  </si>
  <si>
    <t>57685</t>
  </si>
  <si>
    <t>AUGNY</t>
  </si>
  <si>
    <t>COMBRES-SOUS-LES-COTES</t>
  </si>
  <si>
    <t>EPINAY-SUR-ODON</t>
  </si>
  <si>
    <t>GRAY</t>
  </si>
  <si>
    <t>VILLERS-SUR-MER</t>
  </si>
  <si>
    <t>BREVILLE-LES-MONTS</t>
  </si>
  <si>
    <t>VERNOUX-EN-GATINE</t>
  </si>
  <si>
    <t>SAINT-NABOR</t>
  </si>
  <si>
    <t>COURCEROY</t>
  </si>
  <si>
    <t>BOURG-LE-COMTE</t>
  </si>
  <si>
    <t>LA PETITE-BOISSIERE</t>
  </si>
  <si>
    <t>COMBLESSAC</t>
  </si>
  <si>
    <t>ECURY-LE-REPOS</t>
  </si>
  <si>
    <t>VALENNES</t>
  </si>
  <si>
    <t>SAINTE-COLOMBE-DES-BOIS</t>
  </si>
  <si>
    <t>VERNOUX</t>
  </si>
  <si>
    <t>NORROY-LE-VENEUR</t>
  </si>
  <si>
    <t>GARIGNY</t>
  </si>
  <si>
    <t>SCHWEYEN</t>
  </si>
  <si>
    <t>THESY</t>
  </si>
  <si>
    <t>17940</t>
  </si>
  <si>
    <t>RIVEDOUX-PLAGE</t>
  </si>
  <si>
    <t>GILLOIS</t>
  </si>
  <si>
    <t>MONTREUIL-EN-CAUX</t>
  </si>
  <si>
    <t>RIVARENNES</t>
  </si>
  <si>
    <t>SAINT-JULIEN-LA-VETRE</t>
  </si>
  <si>
    <t>MARCILLY</t>
  </si>
  <si>
    <t>SAINT-MATRE</t>
  </si>
  <si>
    <t>LIVET-EN-SAOSNOIS</t>
  </si>
  <si>
    <t>69570</t>
  </si>
  <si>
    <t>DARDILLY</t>
  </si>
  <si>
    <t>GIJOUNET</t>
  </si>
  <si>
    <t>SAINT-LAURENT-NOUAN</t>
  </si>
  <si>
    <t>BOLAZEC</t>
  </si>
  <si>
    <t>BULLIGNY</t>
  </si>
  <si>
    <t>OLLANS</t>
  </si>
  <si>
    <t>MILHAVET</t>
  </si>
  <si>
    <t>SAINT-FRONT-SUR-LEMANCE</t>
  </si>
  <si>
    <t>MOINGS</t>
  </si>
  <si>
    <t>SAINT-SULPICE-DE-FALEYRENS</t>
  </si>
  <si>
    <t>MOYENCOURT-LES-POIX</t>
  </si>
  <si>
    <t>COURTALAIN</t>
  </si>
  <si>
    <t>LEULINGHEN-BERNES</t>
  </si>
  <si>
    <t>REJET-DE-BEAULIEU</t>
  </si>
  <si>
    <t>JAYAT</t>
  </si>
  <si>
    <t>FLOCQUES</t>
  </si>
  <si>
    <t>ANTOIGNE</t>
  </si>
  <si>
    <t>MORGNY</t>
  </si>
  <si>
    <t>PLOUGONVELIN</t>
  </si>
  <si>
    <t>BISSY-LA-MACONNAISE</t>
  </si>
  <si>
    <t>WARLAING</t>
  </si>
  <si>
    <t>CLUMANC</t>
  </si>
  <si>
    <t>AUPPEGARD</t>
  </si>
  <si>
    <t>VIF</t>
  </si>
  <si>
    <t>EGUELSHARDT</t>
  </si>
  <si>
    <t>TAURIGNAN-CASTET</t>
  </si>
  <si>
    <t>LACALM</t>
  </si>
  <si>
    <t>BETHENIVILLE</t>
  </si>
  <si>
    <t>SAINT-GENIES-BELLEVUE</t>
  </si>
  <si>
    <t>CRAINCOURT</t>
  </si>
  <si>
    <t>LA VILLENEUVE-AU-CHATELOT</t>
  </si>
  <si>
    <t>RECOURT</t>
  </si>
  <si>
    <t>GIEZ</t>
  </si>
  <si>
    <t>L'ETRAT</t>
  </si>
  <si>
    <t>SEDERON</t>
  </si>
  <si>
    <t>VALEINS</t>
  </si>
  <si>
    <t>LE MEMONT</t>
  </si>
  <si>
    <t>BALAZUC</t>
  </si>
  <si>
    <t>PUCHAY</t>
  </si>
  <si>
    <t>AMAYE-SUR-SEULLES</t>
  </si>
  <si>
    <t>SAINT-BEAUZELY</t>
  </si>
  <si>
    <t>SAINT-PE-DE-LEREN</t>
  </si>
  <si>
    <t>LADINHAC</t>
  </si>
  <si>
    <t>CHAIGNAY</t>
  </si>
  <si>
    <t>ETRIAC</t>
  </si>
  <si>
    <t>CHASSENEUIL-SUR-BONNIEURE</t>
  </si>
  <si>
    <t>COLROY-LA-GRANDE</t>
  </si>
  <si>
    <t>VILLY-LE-BOIS</t>
  </si>
  <si>
    <t>SAINT-ANDRE-DE-SEIGNANX</t>
  </si>
  <si>
    <t>HARDANGES</t>
  </si>
  <si>
    <t>SAINT-DENIS-DU-MAINE</t>
  </si>
  <si>
    <t>VILLARD-DE-LANS</t>
  </si>
  <si>
    <t>SAINT-AVE</t>
  </si>
  <si>
    <t>EGLISENEUVE-PRES-BILLOM</t>
  </si>
  <si>
    <t>SAINT-JEAN-CHAMBRE</t>
  </si>
  <si>
    <t>ARMENTIEUX</t>
  </si>
  <si>
    <t>SAINTE-JAMME-SUR-SARTHE</t>
  </si>
  <si>
    <t>CUNEL</t>
  </si>
  <si>
    <t>QUIEVRECOURT</t>
  </si>
  <si>
    <t>BRACH</t>
  </si>
  <si>
    <t>SAINT-SEVERIN-SUR-BOUTONNE</t>
  </si>
  <si>
    <t>VERSOLS-ET-LAPEYRE</t>
  </si>
  <si>
    <t>PONTARLIER</t>
  </si>
  <si>
    <t>SAUSSIGNAC</t>
  </si>
  <si>
    <t>OS-MARSILLON</t>
  </si>
  <si>
    <t>SAINT-AGNIN-SUR-BION</t>
  </si>
  <si>
    <t>TRANQUEVILLE-GRAUX</t>
  </si>
  <si>
    <t>OUANGANI</t>
  </si>
  <si>
    <t>VILLECOURT</t>
  </si>
  <si>
    <t>TREDANIEL</t>
  </si>
  <si>
    <t>CHATEAUVIEUX-LES-FOSSES</t>
  </si>
  <si>
    <t>ARZILLIERES-NEUVILLE</t>
  </si>
  <si>
    <t>QUIMPERLE</t>
  </si>
  <si>
    <t>VIGNOLES</t>
  </si>
  <si>
    <t>CREST-VOLAND</t>
  </si>
  <si>
    <t>LE GALLET</t>
  </si>
  <si>
    <t>OSSEY-LES-TROIS-MAISONS</t>
  </si>
  <si>
    <t>GOUVETS</t>
  </si>
  <si>
    <t>ABITAIN</t>
  </si>
  <si>
    <t>MOYAUX</t>
  </si>
  <si>
    <t>PIEGON</t>
  </si>
  <si>
    <t>DRAIX</t>
  </si>
  <si>
    <t>BARZY-EN-THIERACHE</t>
  </si>
  <si>
    <t>DIEFFENTHAL</t>
  </si>
  <si>
    <t>VARENNES-LE-GRAND</t>
  </si>
  <si>
    <t>LA CHAPELLE-GENESTE</t>
  </si>
  <si>
    <t>BESSAY</t>
  </si>
  <si>
    <t>PESCADOIRES</t>
  </si>
  <si>
    <t>69100</t>
  </si>
  <si>
    <t>VILLEURBANNE</t>
  </si>
  <si>
    <t>SERAZEREUX</t>
  </si>
  <si>
    <t>LOUBIERES</t>
  </si>
  <si>
    <t>ENNETIERES-EN-WEPPES</t>
  </si>
  <si>
    <t>SAINT-MARTIN-AUX-BUNEAUX</t>
  </si>
  <si>
    <t>AMANCY</t>
  </si>
  <si>
    <t>MAURON</t>
  </si>
  <si>
    <t>ROCHY-CONDE</t>
  </si>
  <si>
    <t>LA GAUBRETIERE</t>
  </si>
  <si>
    <t>LIOMER</t>
  </si>
  <si>
    <t>84350</t>
  </si>
  <si>
    <t>COURTHEZON</t>
  </si>
  <si>
    <t>GREZ</t>
  </si>
  <si>
    <t>66180</t>
  </si>
  <si>
    <t>VILLENEUVE-DE-LA-RAHO</t>
  </si>
  <si>
    <t>HAUT-MAUCO</t>
  </si>
  <si>
    <t>VESCHEIM</t>
  </si>
  <si>
    <t>MORGNY-LA-POMMERAYE</t>
  </si>
  <si>
    <t>HUEST</t>
  </si>
  <si>
    <t>CHIVY-LES-ETOUVELLES</t>
  </si>
  <si>
    <t>ABERGEMENT-LES-THESY</t>
  </si>
  <si>
    <t>RAVENEL</t>
  </si>
  <si>
    <t>MARANWEZ</t>
  </si>
  <si>
    <t>TREIGNAT</t>
  </si>
  <si>
    <t>DUCY-SAINTE-MARGUERITE</t>
  </si>
  <si>
    <t>CHENILLE-CHANGE</t>
  </si>
  <si>
    <t>OUVROUER-LES-CHAMPS</t>
  </si>
  <si>
    <t>THEVET-SAINT-JULIEN</t>
  </si>
  <si>
    <t>HOLLING</t>
  </si>
  <si>
    <t>LEVIGNAC</t>
  </si>
  <si>
    <t>GRENDELBRUCH</t>
  </si>
  <si>
    <t>BOIS-HIMONT</t>
  </si>
  <si>
    <t>GURGY-LE-CHATEAU</t>
  </si>
  <si>
    <t>MONTS-EN-BESSIN</t>
  </si>
  <si>
    <t>COLONDANNES</t>
  </si>
  <si>
    <t>CORANCY</t>
  </si>
  <si>
    <t>MONCHIET</t>
  </si>
  <si>
    <t>LA CHAPELLE-AUX-CHOUX</t>
  </si>
  <si>
    <t>16160</t>
  </si>
  <si>
    <t>GOND-PONTOUVRE</t>
  </si>
  <si>
    <t>AUZELLES</t>
  </si>
  <si>
    <t>5470</t>
  </si>
  <si>
    <t>AIGUILLES</t>
  </si>
  <si>
    <t>REUMONT</t>
  </si>
  <si>
    <t>CEZY</t>
  </si>
  <si>
    <t>CAZARIL-TAMBOURES</t>
  </si>
  <si>
    <t>REMICOURT</t>
  </si>
  <si>
    <t>MALOUY</t>
  </si>
  <si>
    <t>VILLENEUVE-SUR-FERE</t>
  </si>
  <si>
    <t>PREAUX-DU-PERCHE</t>
  </si>
  <si>
    <t>LE VIEIL-DAMPIERRE</t>
  </si>
  <si>
    <t>SAINT-LAURENT-DU-TENCEMENT</t>
  </si>
  <si>
    <t>MURBACH</t>
  </si>
  <si>
    <t>COMBES</t>
  </si>
  <si>
    <t>PRESEAU</t>
  </si>
  <si>
    <t>SAINT-LAURENT-DE-MURET</t>
  </si>
  <si>
    <t>ARMENTEULE</t>
  </si>
  <si>
    <t>NAUROY</t>
  </si>
  <si>
    <t>BUZIGNARGUES</t>
  </si>
  <si>
    <t>DEUX-VERGES</t>
  </si>
  <si>
    <t>GUITRY</t>
  </si>
  <si>
    <t>CAMPS-SAINT-MATHURIN-LEOBAZEL</t>
  </si>
  <si>
    <t>TREMBLAY-LES-VILLAGES</t>
  </si>
  <si>
    <t>LES YVETEAUX</t>
  </si>
  <si>
    <t>FONTRABIOUSE</t>
  </si>
  <si>
    <t>PONTAILLER-SUR-SAONE</t>
  </si>
  <si>
    <t>PLAINTEL</t>
  </si>
  <si>
    <t>ERCHIN</t>
  </si>
  <si>
    <t>ARGENTON-SUR-CREUSE</t>
  </si>
  <si>
    <t>PONT-DE-ROIDE</t>
  </si>
  <si>
    <t>MESNIL-RAOUL</t>
  </si>
  <si>
    <t>MAIRY-SUR-MARNE</t>
  </si>
  <si>
    <t>MONTCARET</t>
  </si>
  <si>
    <t>CHATEAUNEUF-VILLEVIEILLE</t>
  </si>
  <si>
    <t>ROUVRES-SOUS-MEILLY</t>
  </si>
  <si>
    <t>BEUSTE</t>
  </si>
  <si>
    <t>BOUYON</t>
  </si>
  <si>
    <t>GOUAIX</t>
  </si>
  <si>
    <t>CHILLAC</t>
  </si>
  <si>
    <t>CERNY-LES-BUCY</t>
  </si>
  <si>
    <t>PESMES</t>
  </si>
  <si>
    <t>94000</t>
  </si>
  <si>
    <t>CRETEIL</t>
  </si>
  <si>
    <t>NEUVILLE-DE-POITOU</t>
  </si>
  <si>
    <t>LE GAST</t>
  </si>
  <si>
    <t>MOISLAINS</t>
  </si>
  <si>
    <t>SAINT-ORENS-POUY-PETIT</t>
  </si>
  <si>
    <t>TERSANNES</t>
  </si>
  <si>
    <t>FRESNES-TILLOLOY</t>
  </si>
  <si>
    <t>97413</t>
  </si>
  <si>
    <t>CILAOS</t>
  </si>
  <si>
    <t>LES COSTES</t>
  </si>
  <si>
    <t>BUTTEAUX</t>
  </si>
  <si>
    <t>VACQUEYRAS</t>
  </si>
  <si>
    <t>MESNIL-SUR-L'ESTREE</t>
  </si>
  <si>
    <t>ROCQUANCOURT</t>
  </si>
  <si>
    <t>MESSIGNY-ET-VANTOUX</t>
  </si>
  <si>
    <t>42390</t>
  </si>
  <si>
    <t>MONTBAVIN</t>
  </si>
  <si>
    <t>PLEGUIEN</t>
  </si>
  <si>
    <t>LANDRES-ET-SAINT-GEORGES</t>
  </si>
  <si>
    <t>COATASCORN</t>
  </si>
  <si>
    <t>BLASSAC</t>
  </si>
  <si>
    <t>LE POIRE-SUR-VIE</t>
  </si>
  <si>
    <t>VILLERS-DEVANT-LE-THOUR</t>
  </si>
  <si>
    <t>LE VICEL</t>
  </si>
  <si>
    <t>LABOISSIERE-EN-THELLE</t>
  </si>
  <si>
    <t>JOUY-EN-ARGONNE</t>
  </si>
  <si>
    <t>DURTAL</t>
  </si>
  <si>
    <t>83740</t>
  </si>
  <si>
    <t>LA CADIERE-D'AZUR</t>
  </si>
  <si>
    <t>COGNA</t>
  </si>
  <si>
    <t>2B157</t>
  </si>
  <si>
    <t>MAZZOLA</t>
  </si>
  <si>
    <t>THIERVILLE</t>
  </si>
  <si>
    <t>NEUVEGLISE</t>
  </si>
  <si>
    <t>SAINT-PIERRE-LA-NOAILLE</t>
  </si>
  <si>
    <t>SAINT-ETIENNE-LES-REMIREMONT</t>
  </si>
  <si>
    <t>SAINT-LIZIER</t>
  </si>
  <si>
    <t>ETURQUERAYE</t>
  </si>
  <si>
    <t>LA RONDE-HAYE</t>
  </si>
  <si>
    <t>13114</t>
  </si>
  <si>
    <t>PUYLOUBIER</t>
  </si>
  <si>
    <t>LA FERRIERE-AU-DOYEN</t>
  </si>
  <si>
    <t>NADILLAC</t>
  </si>
  <si>
    <t>BEAUTOT</t>
  </si>
  <si>
    <t>63400</t>
  </si>
  <si>
    <t>CHAMALIERES</t>
  </si>
  <si>
    <t>HERPELMONT</t>
  </si>
  <si>
    <t>JOURSAC</t>
  </si>
  <si>
    <t>VILLEBAROU</t>
  </si>
  <si>
    <t>VIEUX-PONT</t>
  </si>
  <si>
    <t>LYAS</t>
  </si>
  <si>
    <t>TIGNIEU-JAMEYZIEU</t>
  </si>
  <si>
    <t>VOUTHON</t>
  </si>
  <si>
    <t>VINDRAC-ALAYRAC</t>
  </si>
  <si>
    <t>SAINT-DIZIER-EN-DIOIS</t>
  </si>
  <si>
    <t>LA CHAPELLE-DU-BOURGAY</t>
  </si>
  <si>
    <t>LE CHATEAU-D'ALMENECHES</t>
  </si>
  <si>
    <t>MONTJARDIN</t>
  </si>
  <si>
    <t>CHATEAU</t>
  </si>
  <si>
    <t>SAINT-SAUVEUR-DE-PIERREPONT</t>
  </si>
  <si>
    <t>SAVOYEUX</t>
  </si>
  <si>
    <t>LE TREMBLAY-OMONVILLE</t>
  </si>
  <si>
    <t>ETROCHEY</t>
  </si>
  <si>
    <t>DOMMARTIN-LA-CHAUSSEE</t>
  </si>
  <si>
    <t>VILLIERS-FOSSARD</t>
  </si>
  <si>
    <t>BERNADETS-DEBAT</t>
  </si>
  <si>
    <t>NOGENT-LE-ROTROU</t>
  </si>
  <si>
    <t>ARNAS</t>
  </si>
  <si>
    <t>CHALANCON</t>
  </si>
  <si>
    <t>BEAUCAMPS-LIGNY</t>
  </si>
  <si>
    <t>59174</t>
  </si>
  <si>
    <t>LA SENTINELLE</t>
  </si>
  <si>
    <t>SAINT-JEAN-DE-VERGES</t>
  </si>
  <si>
    <t>MIRIBEL-LES-ECHELLES</t>
  </si>
  <si>
    <t>BRUCAMPS</t>
  </si>
  <si>
    <t>VINASSAN</t>
  </si>
  <si>
    <t>AVELESGES</t>
  </si>
  <si>
    <t>BALESMES-SUR-MARNE</t>
  </si>
  <si>
    <t>89550</t>
  </si>
  <si>
    <t>COURGIVAUX</t>
  </si>
  <si>
    <t>CARNIN</t>
  </si>
  <si>
    <t>77920</t>
  </si>
  <si>
    <t>SAMOIS-SUR-SEINE</t>
  </si>
  <si>
    <t>CADEILHAN-TRACHERE</t>
  </si>
  <si>
    <t>CRULAI</t>
  </si>
  <si>
    <t>SAUVAT</t>
  </si>
  <si>
    <t>FEINS</t>
  </si>
  <si>
    <t>PAILLE</t>
  </si>
  <si>
    <t>ANTHEUIL-PORTES</t>
  </si>
  <si>
    <t>44580</t>
  </si>
  <si>
    <t>FRESNAY-EN-RETZ</t>
  </si>
  <si>
    <t>NOTRE-DAME-DE-BELLECOMBE</t>
  </si>
  <si>
    <t>MONTMORENCY-BEAUFORT</t>
  </si>
  <si>
    <t>62700</t>
  </si>
  <si>
    <t>BRUAY-LA-BUISSIERE</t>
  </si>
  <si>
    <t>BIESHEIM</t>
  </si>
  <si>
    <t>JUVIGNIES</t>
  </si>
  <si>
    <t>MONTBOUTON</t>
  </si>
  <si>
    <t>LUSSAN-ADEILHAC</t>
  </si>
  <si>
    <t>MENIL-HUBERT-EN-EXMES</t>
  </si>
  <si>
    <t>SEXEY-LES-BOIS</t>
  </si>
  <si>
    <t>EPENEDE</t>
  </si>
  <si>
    <t>MADRANGES</t>
  </si>
  <si>
    <t>NOUART</t>
  </si>
  <si>
    <t>TRELEVERN</t>
  </si>
  <si>
    <t>AGENVILLERS</t>
  </si>
  <si>
    <t>VILLEHERVIERS</t>
  </si>
  <si>
    <t>CAMPEL</t>
  </si>
  <si>
    <t>CONFOLENT-PORT-DIEU</t>
  </si>
  <si>
    <t>BOSC-LE-HARD</t>
  </si>
  <si>
    <t>SAULIEU</t>
  </si>
  <si>
    <t>CREMAREST</t>
  </si>
  <si>
    <t>HEURTEAUVILLE</t>
  </si>
  <si>
    <t>RIVE-DE-GIER</t>
  </si>
  <si>
    <t>SANXAY</t>
  </si>
  <si>
    <t>SIGOURNAIS</t>
  </si>
  <si>
    <t>BRIE-SOUS-BARBEZIEUX</t>
  </si>
  <si>
    <t>STERNENBERG</t>
  </si>
  <si>
    <t>ARDILLEUX</t>
  </si>
  <si>
    <t>SAINT-CORNIER-DES-LANDES</t>
  </si>
  <si>
    <t>SAINT-BERTHEVIN</t>
  </si>
  <si>
    <t>MONCONTOUR</t>
  </si>
  <si>
    <t>CHAPELON</t>
  </si>
  <si>
    <t>BOULEURS</t>
  </si>
  <si>
    <t>ERIZE-SAINT-DIZIER</t>
  </si>
  <si>
    <t>LA NEUVILLE-EN-BEINE</t>
  </si>
  <si>
    <t>MENETOU-RATEL</t>
  </si>
  <si>
    <t>JARNOSSE</t>
  </si>
  <si>
    <t>BONNY-SUR-LOIRE</t>
  </si>
  <si>
    <t>63110</t>
  </si>
  <si>
    <t>GUERNES</t>
  </si>
  <si>
    <t>ESTREES-MONS</t>
  </si>
  <si>
    <t>MESLAY-DU-MAINE</t>
  </si>
  <si>
    <t>SAINT-CYR-LA-CAMPAGNE</t>
  </si>
  <si>
    <t>LA CHAPELLE-DES-MARAIS</t>
  </si>
  <si>
    <t>AUTRECOURT-ET-POURRON</t>
  </si>
  <si>
    <t>ESPALEM</t>
  </si>
  <si>
    <t>MONT-D'ORIGNY</t>
  </si>
  <si>
    <t>BUSSUNARITS-SARRASQUETTE</t>
  </si>
  <si>
    <t>BRERES</t>
  </si>
  <si>
    <t>ALDUDES</t>
  </si>
  <si>
    <t>SAINT-BARTHELEMY-D'ANJOU</t>
  </si>
  <si>
    <t>BERLOU</t>
  </si>
  <si>
    <t>SAINT-BANDRY</t>
  </si>
  <si>
    <t>GRAINVILLE-SUR-RY</t>
  </si>
  <si>
    <t>CERANS-FOULLETOURTE</t>
  </si>
  <si>
    <t>69540</t>
  </si>
  <si>
    <t>IRIGNY</t>
  </si>
  <si>
    <t>ALAINCOURT-LA-COTE</t>
  </si>
  <si>
    <t>SAINT-MAIGNER</t>
  </si>
  <si>
    <t>NAUVAY</t>
  </si>
  <si>
    <t>APPENWIHR</t>
  </si>
  <si>
    <t>NIZAN-GESSE</t>
  </si>
  <si>
    <t>HOCQUIGNY</t>
  </si>
  <si>
    <t>THUILLEY-AUX-GROSEILLES</t>
  </si>
  <si>
    <t>GRAYE-ET-CHARNAY</t>
  </si>
  <si>
    <t>BOURGOUGNAGUE</t>
  </si>
  <si>
    <t>VERTAMBOZ</t>
  </si>
  <si>
    <t>GUERANDE</t>
  </si>
  <si>
    <t>IRANCY</t>
  </si>
  <si>
    <t>BLUSSANGEAUX</t>
  </si>
  <si>
    <t>CLAVEISOLLES</t>
  </si>
  <si>
    <t>SAINT-BAUZILLE-DE-PUTOIS</t>
  </si>
  <si>
    <t>BRANCEILLES</t>
  </si>
  <si>
    <t>MUHLBACH-SUR-MUNSTER</t>
  </si>
  <si>
    <t>LE PETIT-FOUGERAY</t>
  </si>
  <si>
    <t>SAINT-ARNOULT-DES-BOIS</t>
  </si>
  <si>
    <t>SOUVANS</t>
  </si>
  <si>
    <t>85620</t>
  </si>
  <si>
    <t>ROCHESERVIERE</t>
  </si>
  <si>
    <t>BUVILLY</t>
  </si>
  <si>
    <t>76470</t>
  </si>
  <si>
    <t>LE TREPORT</t>
  </si>
  <si>
    <t>VENTES-SAINT-REMY</t>
  </si>
  <si>
    <t>FONTENAILLES</t>
  </si>
  <si>
    <t>PAIZAY-NAUDOUIN-EMBOURIE</t>
  </si>
  <si>
    <t>SAINT-DENIS-DE-GASTINES</t>
  </si>
  <si>
    <t>COLOMIEU</t>
  </si>
  <si>
    <t>FRONTONAS</t>
  </si>
  <si>
    <t>MOUTHIERS-SUR-BOEME</t>
  </si>
  <si>
    <t>SAINT-CYR-MONTMALIN</t>
  </si>
  <si>
    <t>MEREY-VIEILLEY</t>
  </si>
  <si>
    <t>ARTZENHEIM</t>
  </si>
  <si>
    <t>BRUIS</t>
  </si>
  <si>
    <t>SAINT-WANDRILLE-RANCON</t>
  </si>
  <si>
    <t>LES MONCEAUX</t>
  </si>
  <si>
    <t>FITZ-JAMES</t>
  </si>
  <si>
    <t>TOURNON</t>
  </si>
  <si>
    <t>SAVIGNE</t>
  </si>
  <si>
    <t>CHAUVENCY-SAINT-HUBERT</t>
  </si>
  <si>
    <t>SAINT-SALVI-DE-CARCAVES</t>
  </si>
  <si>
    <t>SAULTAIN</t>
  </si>
  <si>
    <t>LA CHAPELLE-GLAIN</t>
  </si>
  <si>
    <t>FONTENOY-LE-CHATEAU</t>
  </si>
  <si>
    <t>CHADELEUF</t>
  </si>
  <si>
    <t>BONNEE</t>
  </si>
  <si>
    <t>WIESVILLER</t>
  </si>
  <si>
    <t>GAILLEFONTAINE</t>
  </si>
  <si>
    <t>LAURET</t>
  </si>
  <si>
    <t>ARDEUIL-ET-MONTFAUXELLES</t>
  </si>
  <si>
    <t>BETTELAINVILLE</t>
  </si>
  <si>
    <t>MONTREUX-VIEUX</t>
  </si>
  <si>
    <t>BESSEY-LA-COUR</t>
  </si>
  <si>
    <t>THURAGEAU</t>
  </si>
  <si>
    <t>RAYSSAC</t>
  </si>
  <si>
    <t>CLERON</t>
  </si>
  <si>
    <t>SAINT-HILAIRE-AU-TEMPLE</t>
  </si>
  <si>
    <t>BELVOIR</t>
  </si>
  <si>
    <t>HEUILLEY-SUR-SAONE</t>
  </si>
  <si>
    <t>ARBOURSE</t>
  </si>
  <si>
    <t>SOUVIGNE-SUR-SARTHE</t>
  </si>
  <si>
    <t>MASPARRAUTE</t>
  </si>
  <si>
    <t>PARTHENAY-DE-BRETAGNE</t>
  </si>
  <si>
    <t>VIGOULET-AUZIL</t>
  </si>
  <si>
    <t>LA CHAPELLE-CECELIN</t>
  </si>
  <si>
    <t>SAINTE-MONDANE</t>
  </si>
  <si>
    <t>2B036</t>
  </si>
  <si>
    <t>BIGORNO</t>
  </si>
  <si>
    <t>NOYEN-SUR-SEINE</t>
  </si>
  <si>
    <t>MAISONCELLES-PELVEY</t>
  </si>
  <si>
    <t>CHABRELOCHE</t>
  </si>
  <si>
    <t>MERLE-LEIGNEC</t>
  </si>
  <si>
    <t>BONNINGUES-LES-ARDRES</t>
  </si>
  <si>
    <t>SILLEGNY</t>
  </si>
  <si>
    <t>LE CROUAIS</t>
  </si>
  <si>
    <t>THELONNE</t>
  </si>
  <si>
    <t>NORROY-LES-PONT-A-MOUSSON</t>
  </si>
  <si>
    <t>MAGNY-SAINT-MEDARD</t>
  </si>
  <si>
    <t>BEAUMONT-DE-PERTUIS</t>
  </si>
  <si>
    <t>ERMENONVILLE-LA-PETITE</t>
  </si>
  <si>
    <t>ESCORAILLES</t>
  </si>
  <si>
    <t>BUCY-SAINT-LIPHARD</t>
  </si>
  <si>
    <t>JEANSAGNIERE</t>
  </si>
  <si>
    <t>SAINT-PLANTAIRE</t>
  </si>
  <si>
    <t>CHAPELLE-VOLAND</t>
  </si>
  <si>
    <t>SERMAMAGNY</t>
  </si>
  <si>
    <t>SAINT-LAURENT-DES-COMBES</t>
  </si>
  <si>
    <t>HARY</t>
  </si>
  <si>
    <t>GIMBREDE</t>
  </si>
  <si>
    <t>BUSSET</t>
  </si>
  <si>
    <t>PAREY-SAINT-CESAIRE</t>
  </si>
  <si>
    <t>LE SEGUR</t>
  </si>
  <si>
    <t>LANTAGES</t>
  </si>
  <si>
    <t>OCTEVILLE-SUR-MER</t>
  </si>
  <si>
    <t>BALAIVES-ET-BUTZ</t>
  </si>
  <si>
    <t>ARNAY-SOUS-VITTEAUX</t>
  </si>
  <si>
    <t>DENNEY</t>
  </si>
  <si>
    <t>PLEMET</t>
  </si>
  <si>
    <t>FONTAINE-SUR-SOMME</t>
  </si>
  <si>
    <t>WILLEMAN</t>
  </si>
  <si>
    <t>LA CHAPELLE-LAUNAY</t>
  </si>
  <si>
    <t>LA CAVALERIE</t>
  </si>
  <si>
    <t>DAMPIERRE-EN-BURLY</t>
  </si>
  <si>
    <t>BRAY-SUR-SEINE</t>
  </si>
  <si>
    <t>NOUVELLE-EGLISE</t>
  </si>
  <si>
    <t>LUGNY</t>
  </si>
  <si>
    <t>59162</t>
  </si>
  <si>
    <t>OSTRICOURT</t>
  </si>
  <si>
    <t>PLATS</t>
  </si>
  <si>
    <t>ESTIPOUY</t>
  </si>
  <si>
    <t>MORLET</t>
  </si>
  <si>
    <t>73290</t>
  </si>
  <si>
    <t>LA MOTTE-SERVOLEX</t>
  </si>
  <si>
    <t>SOSSAIS</t>
  </si>
  <si>
    <t>MOISVILLE</t>
  </si>
  <si>
    <t>VERDIGNY</t>
  </si>
  <si>
    <t>HONDSCHOOTE</t>
  </si>
  <si>
    <t>SAINT-MARTIN-SUR-ARMANCON</t>
  </si>
  <si>
    <t>VAYRES</t>
  </si>
  <si>
    <t>SAINT-GERMAIN-CHASSENAY</t>
  </si>
  <si>
    <t>WERENTZHOUSE</t>
  </si>
  <si>
    <t>LACHAPELLE-GRAILLOUSE</t>
  </si>
  <si>
    <t>VITREY</t>
  </si>
  <si>
    <t>LA FOLLETIERE</t>
  </si>
  <si>
    <t>SAINT-GERMAIN-DE-MARENCENNES</t>
  </si>
  <si>
    <t>GENESTON</t>
  </si>
  <si>
    <t>COCLOIS</t>
  </si>
  <si>
    <t>COAT-MEAL</t>
  </si>
  <si>
    <t>SAINT-GERMAIN-DE-MONTBRON</t>
  </si>
  <si>
    <t>34200</t>
  </si>
  <si>
    <t>SETE</t>
  </si>
  <si>
    <t>DINGY-EN-VUACHE</t>
  </si>
  <si>
    <t>LA COTE-D'AIME</t>
  </si>
  <si>
    <t>SAINT-PIERRE-DE-SALERNE</t>
  </si>
  <si>
    <t>SAINT-MICHEL-DE-FEINS</t>
  </si>
  <si>
    <t>VASSELAY</t>
  </si>
  <si>
    <t>LANTHENANS</t>
  </si>
  <si>
    <t>SAINT-BROLADRE</t>
  </si>
  <si>
    <t>BELMONT-SUR-VAIR</t>
  </si>
  <si>
    <t>MAROLS</t>
  </si>
  <si>
    <t>SOUSVILLE</t>
  </si>
  <si>
    <t>VAUMORT</t>
  </si>
  <si>
    <t>CHARTRENE</t>
  </si>
  <si>
    <t>DOMEVRE-SOUS-MONTFORT</t>
  </si>
  <si>
    <t>EPS</t>
  </si>
  <si>
    <t>WOIMBEY</t>
  </si>
  <si>
    <t>LANOBRE</t>
  </si>
  <si>
    <t>SAINT-CHRISTOLY-DE-BLAYE</t>
  </si>
  <si>
    <t>PLANCHER-LES-MINES</t>
  </si>
  <si>
    <t>SAINT-HILAIRE-LA-GERARD</t>
  </si>
  <si>
    <t>LUPPY</t>
  </si>
  <si>
    <t>LACHAPELLE-SOUS-CHAUX</t>
  </si>
  <si>
    <t>LE PECHEREAU</t>
  </si>
  <si>
    <t>LA BOUILLIE</t>
  </si>
  <si>
    <t>HERMEVILLE</t>
  </si>
  <si>
    <t>POULE-LES-ECHARMEAUX</t>
  </si>
  <si>
    <t>NEUVY-EN-MAUGES</t>
  </si>
  <si>
    <t>77300</t>
  </si>
  <si>
    <t>FONTAINEBLEAU</t>
  </si>
  <si>
    <t>LETHUIN</t>
  </si>
  <si>
    <t>77145</t>
  </si>
  <si>
    <t>MAY-EN-MULTIEN</t>
  </si>
  <si>
    <t>DAMELEVIERES</t>
  </si>
  <si>
    <t>CIVRAY-DE-TOURAINE</t>
  </si>
  <si>
    <t>MAREUIL-SUR-LAY-DISSAIS</t>
  </si>
  <si>
    <t>MALESHERBES</t>
  </si>
  <si>
    <t>LACAPELLE-DEL-FRAISSE</t>
  </si>
  <si>
    <t>MONTERFIL</t>
  </si>
  <si>
    <t>VAUX-SUR-SEULLES</t>
  </si>
  <si>
    <t>OMISSY</t>
  </si>
  <si>
    <t>BETBEZER-D'ARMAGNAC</t>
  </si>
  <si>
    <t>TAUSSAC</t>
  </si>
  <si>
    <t>LABASTIDE-EN-VAL</t>
  </si>
  <si>
    <t>91750</t>
  </si>
  <si>
    <t>CHAMPCUEIL</t>
  </si>
  <si>
    <t>BLAUDEIX</t>
  </si>
  <si>
    <t>FOUGAX-ET-BARRINEUF</t>
  </si>
  <si>
    <t>CRUZY-LE-CHATEL</t>
  </si>
  <si>
    <t>LES MESNEUX</t>
  </si>
  <si>
    <t>CURZAY-SUR-VONNE</t>
  </si>
  <si>
    <t>LE MESNIL-EN-VALLEE</t>
  </si>
  <si>
    <t>AMBLIE</t>
  </si>
  <si>
    <t>THIAUCOURT-REGNIEVILLE</t>
  </si>
  <si>
    <t>CISAI-SAINT-AUBIN</t>
  </si>
  <si>
    <t>JARS</t>
  </si>
  <si>
    <t>LE THIL-RIBERPRE</t>
  </si>
  <si>
    <t>RIOLS</t>
  </si>
  <si>
    <t>RAVES</t>
  </si>
  <si>
    <t>VIEUX-RUFFEC</t>
  </si>
  <si>
    <t>LOULANS-VERCHAMP</t>
  </si>
  <si>
    <t>JANVRY</t>
  </si>
  <si>
    <t>HARDENCOURT-COCHEREL</t>
  </si>
  <si>
    <t>DEGAGNAC</t>
  </si>
  <si>
    <t>AVESNES-EN-BRAY</t>
  </si>
  <si>
    <t>CHATILLON-SUR-SAONE</t>
  </si>
  <si>
    <t>VASSEL</t>
  </si>
  <si>
    <t>RICHE</t>
  </si>
  <si>
    <t>SAINT-LEGER-DU-VENTOUX</t>
  </si>
  <si>
    <t>MAUBOURGUET</t>
  </si>
  <si>
    <t>POINCY</t>
  </si>
  <si>
    <t>WIRY-AU-MONT</t>
  </si>
  <si>
    <t>VILLEDOMAIN</t>
  </si>
  <si>
    <t>BLAJAN</t>
  </si>
  <si>
    <t>DOMINOIS</t>
  </si>
  <si>
    <t>FROTEY-LES-LURE</t>
  </si>
  <si>
    <t>BERNAY-SAINT-MARTIN</t>
  </si>
  <si>
    <t>SAINTE-MARIE-EN-CHAUX</t>
  </si>
  <si>
    <t>78124</t>
  </si>
  <si>
    <t>MONTAINVILLE</t>
  </si>
  <si>
    <t>SAINT-JULIEN-BEYCHEVELLE</t>
  </si>
  <si>
    <t>BONNE</t>
  </si>
  <si>
    <t>OBERHOFFEN-LES-WISSEMBOURG</t>
  </si>
  <si>
    <t>ROCHEFORT-SAMSON</t>
  </si>
  <si>
    <t>BETPOUY</t>
  </si>
  <si>
    <t>PUISEUX-PONTOISE</t>
  </si>
  <si>
    <t>LA CHAPELLE-SUR-COISE</t>
  </si>
  <si>
    <t>BREUIL-BOIS-ROBERT</t>
  </si>
  <si>
    <t>MONTREUIL-SOUS-PEROUSE</t>
  </si>
  <si>
    <t>ETAGNAC</t>
  </si>
  <si>
    <t>EVRIGUET</t>
  </si>
  <si>
    <t>SAINTE-GEMME-LA-PLAINE</t>
  </si>
  <si>
    <t>AMBLENY</t>
  </si>
  <si>
    <t>LAFRAYE</t>
  </si>
  <si>
    <t>ORPHIN</t>
  </si>
  <si>
    <t>LA CHAPELLE-NEUVE</t>
  </si>
  <si>
    <t>VOIRES</t>
  </si>
  <si>
    <t>MONTLIVAULT</t>
  </si>
  <si>
    <t>CHAMPVOUX</t>
  </si>
  <si>
    <t>SENARPONT</t>
  </si>
  <si>
    <t>SAINT-JEAN-EN-VAL</t>
  </si>
  <si>
    <t>LA RENAUDIE</t>
  </si>
  <si>
    <t>BERAUT</t>
  </si>
  <si>
    <t>MIRABEL-ET-BLACONS</t>
  </si>
  <si>
    <t>CERCLES</t>
  </si>
  <si>
    <t>FONBEAUZARD</t>
  </si>
  <si>
    <t>LETRA</t>
  </si>
  <si>
    <t>LICHERES</t>
  </si>
  <si>
    <t>OFFEKERQUE</t>
  </si>
  <si>
    <t>DEOLS</t>
  </si>
  <si>
    <t>SAINT-BONNET-EN-CHAMPSAUR</t>
  </si>
  <si>
    <t>RUELISHEIM</t>
  </si>
  <si>
    <t>93140</t>
  </si>
  <si>
    <t>BONDY</t>
  </si>
  <si>
    <t>2B096</t>
  </si>
  <si>
    <t>CORTE</t>
  </si>
  <si>
    <t>CHAMBONCHARD</t>
  </si>
  <si>
    <t>JACQUE</t>
  </si>
  <si>
    <t>COURVILLE-SUR-EURE</t>
  </si>
  <si>
    <t>MONTMORILLON</t>
  </si>
  <si>
    <t>SAINT-SULPICE-DE-ROYAN</t>
  </si>
  <si>
    <t>SAINT-JEAN-SUR-VEYLE</t>
  </si>
  <si>
    <t>HESTROFF</t>
  </si>
  <si>
    <t>BIGNICOURT-SUR-MARNE</t>
  </si>
  <si>
    <t>SAINT-TRIVIER-DE-COURTES</t>
  </si>
  <si>
    <t>LA ROQUE-ALRIC</t>
  </si>
  <si>
    <t>LUZY-SUR-MARNE</t>
  </si>
  <si>
    <t>PERAY</t>
  </si>
  <si>
    <t>JOUDREVILLE</t>
  </si>
  <si>
    <t>LEDIGNAN</t>
  </si>
  <si>
    <t>ANTEZANT-LA-CHAPELLE</t>
  </si>
  <si>
    <t>SAINT-VICTOR-LA-RIVIERE</t>
  </si>
  <si>
    <t>VAREN</t>
  </si>
  <si>
    <t>MARCENAIS</t>
  </si>
  <si>
    <t>AUVERS-SOUS-MONTFAUCON</t>
  </si>
  <si>
    <t>30560</t>
  </si>
  <si>
    <t>SAINT-HILAIRE-DE-BRETHMAS</t>
  </si>
  <si>
    <t>ARQUIAN</t>
  </si>
  <si>
    <t>NANCRAS</t>
  </si>
  <si>
    <t>57565</t>
  </si>
  <si>
    <t>BROUDERDORFF</t>
  </si>
  <si>
    <t>BERNES</t>
  </si>
  <si>
    <t>LINY-DEVANT-DUN</t>
  </si>
  <si>
    <t>LA RIVIERE-ENVERSE</t>
  </si>
  <si>
    <t>CONCHY-SUR-CANCHE</t>
  </si>
  <si>
    <t>WADELINCOURT</t>
  </si>
  <si>
    <t>MARCILLAC-VALLON</t>
  </si>
  <si>
    <t>BEAUVAIS</t>
  </si>
  <si>
    <t>RAZAC-D'EYMET</t>
  </si>
  <si>
    <t>THIERY</t>
  </si>
  <si>
    <t>BARDOUVILLE</t>
  </si>
  <si>
    <t>VILLEDOUX</t>
  </si>
  <si>
    <t>MAZEROLLES-DU-RAZES</t>
  </si>
  <si>
    <t>VASSONVILLE</t>
  </si>
  <si>
    <t>CUZANCE</t>
  </si>
  <si>
    <t>VRITZ</t>
  </si>
  <si>
    <t>REITHOUSE</t>
  </si>
  <si>
    <t>CITOU</t>
  </si>
  <si>
    <t>THENON</t>
  </si>
  <si>
    <t>LA HALLOTIERE</t>
  </si>
  <si>
    <t>LABETS-BISCAY</t>
  </si>
  <si>
    <t>LACENAS</t>
  </si>
  <si>
    <t>MANDUEL</t>
  </si>
  <si>
    <t>LE PLESSIS-PLACY</t>
  </si>
  <si>
    <t>LONGPRE-LE-SEC</t>
  </si>
  <si>
    <t>LOUVEMONT</t>
  </si>
  <si>
    <t>GRANDRUPT</t>
  </si>
  <si>
    <t>FAINS-VEEL</t>
  </si>
  <si>
    <t>GUINDRECOURT-AUX-ORMES</t>
  </si>
  <si>
    <t>ESCOUTOUX</t>
  </si>
  <si>
    <t>GROSBREUIL</t>
  </si>
  <si>
    <t>FROVILLE</t>
  </si>
  <si>
    <t>LE POUT</t>
  </si>
  <si>
    <t>88440</t>
  </si>
  <si>
    <t>NOMEXY</t>
  </si>
  <si>
    <t>CHAMPCERIE</t>
  </si>
  <si>
    <t>MONCY</t>
  </si>
  <si>
    <t>85000</t>
  </si>
  <si>
    <t>LA ROCHE-SUR-YON</t>
  </si>
  <si>
    <t>LOTHEY</t>
  </si>
  <si>
    <t>FREAUVILLE</t>
  </si>
  <si>
    <t>LOUBAUT</t>
  </si>
  <si>
    <t>THIVARS</t>
  </si>
  <si>
    <t>HANVILLER</t>
  </si>
  <si>
    <t>LE LAUZET-UBAYE</t>
  </si>
  <si>
    <t>AZAY-LE-FERRON</t>
  </si>
  <si>
    <t>SMERMESNIL</t>
  </si>
  <si>
    <t>GEZ-EZ-ANGLES</t>
  </si>
  <si>
    <t>BIAUDOS</t>
  </si>
  <si>
    <t>COUIN</t>
  </si>
  <si>
    <t>ROQUESERIERE</t>
  </si>
  <si>
    <t>HITTE</t>
  </si>
  <si>
    <t>LE BOULVE</t>
  </si>
  <si>
    <t>SAINT-MARTIAL-ENTRAYGUES</t>
  </si>
  <si>
    <t>PLAUZAT</t>
  </si>
  <si>
    <t>CHAMPTOCE-SUR-LOIRE</t>
  </si>
  <si>
    <t>SAINT-QUENTIN-LES-CHARDONNETS</t>
  </si>
  <si>
    <t>OUSSE-SUZAN</t>
  </si>
  <si>
    <t>SAINT-PIERRE-LA-PALUD</t>
  </si>
  <si>
    <t>LA CROUPTE</t>
  </si>
  <si>
    <t>NEUVILLY-EN-ARGONNE</t>
  </si>
  <si>
    <t>PIEGROS-LA-CLASTRE</t>
  </si>
  <si>
    <t>BOURDEAU</t>
  </si>
  <si>
    <t>FOURQUES-SUR-GARONNE</t>
  </si>
  <si>
    <t>BERTIGNOLLES</t>
  </si>
  <si>
    <t>MAISONS-LES-CHAOURCE</t>
  </si>
  <si>
    <t>VALMUNSTER</t>
  </si>
  <si>
    <t>SAINT-GEORGES-DES-GROSEILLERS</t>
  </si>
  <si>
    <t>CHASSIGNELLES</t>
  </si>
  <si>
    <t>PLOUHA</t>
  </si>
  <si>
    <t>CRESSE</t>
  </si>
  <si>
    <t>2A363</t>
  </si>
  <si>
    <t>ZOZA</t>
  </si>
  <si>
    <t>BLINCOURT</t>
  </si>
  <si>
    <t>THORIGNY-SUR-OREUSE</t>
  </si>
  <si>
    <t>SIGOULES</t>
  </si>
  <si>
    <t>RADENAC</t>
  </si>
  <si>
    <t>CHEMINOT</t>
  </si>
  <si>
    <t>NONANT</t>
  </si>
  <si>
    <t>MARGAUX</t>
  </si>
  <si>
    <t>GUETHARY</t>
  </si>
  <si>
    <t>ESCOLIVES-SAINTE-CAMILLE</t>
  </si>
  <si>
    <t>SAINT-PIERRE-EYNAC</t>
  </si>
  <si>
    <t>REXINGEN</t>
  </si>
  <si>
    <t>ANISY</t>
  </si>
  <si>
    <t>DANCOURT</t>
  </si>
  <si>
    <t>L'HOME-CHAMONDOT</t>
  </si>
  <si>
    <t>THIZAY</t>
  </si>
  <si>
    <t>LA HAYE-SAINT-SYLVESTRE</t>
  </si>
  <si>
    <t>SAINT-GERMAIN-LE-GUILLAUME</t>
  </si>
  <si>
    <t>66620</t>
  </si>
  <si>
    <t>BROUILLA</t>
  </si>
  <si>
    <t>CHATILLON-SUR-LISON</t>
  </si>
  <si>
    <t>SAMPZON</t>
  </si>
  <si>
    <t>EYBENS</t>
  </si>
  <si>
    <t>LA MALENE</t>
  </si>
  <si>
    <t>CUGNAUX</t>
  </si>
  <si>
    <t>ANGOUME</t>
  </si>
  <si>
    <t>NANCRAY-SUR-RIMARDE</t>
  </si>
  <si>
    <t>NERNIER</t>
  </si>
  <si>
    <t>64121</t>
  </si>
  <si>
    <t>MONTARDON</t>
  </si>
  <si>
    <t>PRETIN</t>
  </si>
  <si>
    <t>CHISSERIA</t>
  </si>
  <si>
    <t>ALZON</t>
  </si>
  <si>
    <t>PRONDINES</t>
  </si>
  <si>
    <t>GRAISSAC</t>
  </si>
  <si>
    <t>HEM-HARDINVAL</t>
  </si>
  <si>
    <t>PERIERS-EN-AUGE</t>
  </si>
  <si>
    <t>SOULTZMATT</t>
  </si>
  <si>
    <t>VERRUE</t>
  </si>
  <si>
    <t>92210</t>
  </si>
  <si>
    <t>SAINT-CLOUD</t>
  </si>
  <si>
    <t>BOUZINCOURT</t>
  </si>
  <si>
    <t>BEUTIN</t>
  </si>
  <si>
    <t>HUNTING</t>
  </si>
  <si>
    <t>NOUATRE</t>
  </si>
  <si>
    <t>GRAINVILLE-LA-TEINTURIERE</t>
  </si>
  <si>
    <t>CAZENEUVE</t>
  </si>
  <si>
    <t>MEXIMIEUX</t>
  </si>
  <si>
    <t>VILLENEUVE-SUR-VERBERIE</t>
  </si>
  <si>
    <t>SAINT-MEDARD-LA-ROCHETTE</t>
  </si>
  <si>
    <t>MONTGUEUX</t>
  </si>
  <si>
    <t>PENNE</t>
  </si>
  <si>
    <t>MONCLAR</t>
  </si>
  <si>
    <t>SENAN</t>
  </si>
  <si>
    <t>ROLLAINVILLE</t>
  </si>
  <si>
    <t>ALCAY-ALCABEHETY-SUNHARETTE</t>
  </si>
  <si>
    <t>SAINT-PIERRE-DU-CHEMIN</t>
  </si>
  <si>
    <t>MANZAC-SUR-VERN</t>
  </si>
  <si>
    <t>GERBECOURT-ET-HAPLEMONT</t>
  </si>
  <si>
    <t>FORGES-LES-EAUX</t>
  </si>
  <si>
    <t>RANTECHAUX</t>
  </si>
  <si>
    <t>VIEUX-MANOIR</t>
  </si>
  <si>
    <t>MARNAC</t>
  </si>
  <si>
    <t>BUZANCAIS</t>
  </si>
  <si>
    <t>JUILLE</t>
  </si>
  <si>
    <t>SOMMANCOURT</t>
  </si>
  <si>
    <t>LASSAY-LES-CHATEAUX</t>
  </si>
  <si>
    <t>LACAPELLE-VIESCAMP</t>
  </si>
  <si>
    <t>FOULBEC</t>
  </si>
  <si>
    <t>SAINT-CREPIN-DE-RICHEMONT</t>
  </si>
  <si>
    <t>BEAUFORT-BLAVINCOURT</t>
  </si>
  <si>
    <t>ECOLE</t>
  </si>
  <si>
    <t>VOISCREVILLE</t>
  </si>
  <si>
    <t>DOUY-LA-RAMEE</t>
  </si>
  <si>
    <t>PLOUER-SUR-RANCE</t>
  </si>
  <si>
    <t>LA VILLENEUVE</t>
  </si>
  <si>
    <t>SIEURAC</t>
  </si>
  <si>
    <t>SAINT-AUBIN-LE-MONIAL</t>
  </si>
  <si>
    <t>94380</t>
  </si>
  <si>
    <t>BONNEUIL-SUR-MARNE</t>
  </si>
  <si>
    <t>SYLVANES</t>
  </si>
  <si>
    <t>PORT-DE-LANNE</t>
  </si>
  <si>
    <t>PARLY</t>
  </si>
  <si>
    <t>ERSTEIN</t>
  </si>
  <si>
    <t>SAINT-DENIS-DES-MURS</t>
  </si>
  <si>
    <t>BALDENHEIM</t>
  </si>
  <si>
    <t>LEUCHEY</t>
  </si>
  <si>
    <t>SAINT-NAUPHARY</t>
  </si>
  <si>
    <t>CARDONNETTE</t>
  </si>
  <si>
    <t>LAVOUTE-CHILHAC</t>
  </si>
  <si>
    <t>PETITMAGNY</t>
  </si>
  <si>
    <t>WIMY</t>
  </si>
  <si>
    <t>SOUEIX-ROGALLE</t>
  </si>
  <si>
    <t>MATIGNON</t>
  </si>
  <si>
    <t>LACQ</t>
  </si>
  <si>
    <t>59125</t>
  </si>
  <si>
    <t>TRITH-SAINT-LEGER</t>
  </si>
  <si>
    <t>PEILLONNEX</t>
  </si>
  <si>
    <t>LEVIGNY</t>
  </si>
  <si>
    <t>EMALLEVILLE</t>
  </si>
  <si>
    <t>84000</t>
  </si>
  <si>
    <t>AVIGNON</t>
  </si>
  <si>
    <t>ANOS</t>
  </si>
  <si>
    <t>RECLAINVILLE</t>
  </si>
  <si>
    <t>HUNDSBACH</t>
  </si>
  <si>
    <t>33120</t>
  </si>
  <si>
    <t>ARCACHON</t>
  </si>
  <si>
    <t>SAINT-ROMAIN-SUR-CHER</t>
  </si>
  <si>
    <t>XERTIGNY</t>
  </si>
  <si>
    <t>FRESNES-EN-TARDENOIS</t>
  </si>
  <si>
    <t>GLEIZE</t>
  </si>
  <si>
    <t>BOULT-SUR-SUIPPE</t>
  </si>
  <si>
    <t>BIRAC-SUR-TREC</t>
  </si>
  <si>
    <t>LA REOLE</t>
  </si>
  <si>
    <t>THELUS</t>
  </si>
  <si>
    <t>RAMPAN</t>
  </si>
  <si>
    <t>NOTRE-DAME-DU-PARC</t>
  </si>
  <si>
    <t>TRIZAC</t>
  </si>
  <si>
    <t>L'ECAILLE</t>
  </si>
  <si>
    <t>NEUILLAY-LES-BOIS</t>
  </si>
  <si>
    <t>JOSSE</t>
  </si>
  <si>
    <t>ARGUEIL</t>
  </si>
  <si>
    <t>MANCEY</t>
  </si>
  <si>
    <t>TOUTAINVILLE</t>
  </si>
  <si>
    <t>CREZANCY-EN-SANCERRE</t>
  </si>
  <si>
    <t>TREMOUILLES</t>
  </si>
  <si>
    <t>SAINT-LAMBERT-ET-MONT-DE-JEUX</t>
  </si>
  <si>
    <t>ALLOGNY</t>
  </si>
  <si>
    <t>SUSSAC</t>
  </si>
  <si>
    <t>BAVINCOURT</t>
  </si>
  <si>
    <t>CHOYE</t>
  </si>
  <si>
    <t>LIZERAY</t>
  </si>
  <si>
    <t>XAFFEVILLERS</t>
  </si>
  <si>
    <t>ORX</t>
  </si>
  <si>
    <t>CREVECOEUR-EN-BRIE</t>
  </si>
  <si>
    <t>SAINT-VENANT</t>
  </si>
  <si>
    <t>LAURIERE</t>
  </si>
  <si>
    <t>TARERACH</t>
  </si>
  <si>
    <t>HOMBOURG</t>
  </si>
  <si>
    <t>FONTAINES-EN-SOLOGNE</t>
  </si>
  <si>
    <t>CALOIRE</t>
  </si>
  <si>
    <t>BAUDONVILLIERS</t>
  </si>
  <si>
    <t>PONT-ET-MASSENE</t>
  </si>
  <si>
    <t>PAULHAGUET</t>
  </si>
  <si>
    <t>GRIMAUCOURT-PRES-SAMPIGNY</t>
  </si>
  <si>
    <t>LE BOURG-D'IRE</t>
  </si>
  <si>
    <t>LAMATH</t>
  </si>
  <si>
    <t>SAINTE-BARBE</t>
  </si>
  <si>
    <t>MAUSSAC</t>
  </si>
  <si>
    <t>MAGRIN</t>
  </si>
  <si>
    <t>REBREUVE-RANCHICOURT</t>
  </si>
  <si>
    <t>TROIS-PALIS</t>
  </si>
  <si>
    <t>OBERDORF-SPACHBACH</t>
  </si>
  <si>
    <t>CHERET</t>
  </si>
  <si>
    <t>SOUAL</t>
  </si>
  <si>
    <t>97436</t>
  </si>
  <si>
    <t>SAINT-LEU</t>
  </si>
  <si>
    <t>66270</t>
  </si>
  <si>
    <t>LE SOLER</t>
  </si>
  <si>
    <t>LE GUE-D'ALLERE</t>
  </si>
  <si>
    <t>ISSIRAC</t>
  </si>
  <si>
    <t>BUSSIERE-NOUVELLE</t>
  </si>
  <si>
    <t>HANDSCHUHEIM</t>
  </si>
  <si>
    <t>CUSSAC-SUR-LOIRE</t>
  </si>
  <si>
    <t>SAINT-ROMAIN-LA-VIRVEE</t>
  </si>
  <si>
    <t>CHAOUILLEY</t>
  </si>
  <si>
    <t>LETTEGUIVES</t>
  </si>
  <si>
    <t>SAINT-LARY-SOULAN</t>
  </si>
  <si>
    <t>BEUVRY-LA-FORET</t>
  </si>
  <si>
    <t>COLMIER-LE-BAS</t>
  </si>
  <si>
    <t>MUROLS</t>
  </si>
  <si>
    <t>PALLEVILLE</t>
  </si>
  <si>
    <t>SOULAIRE-ET-BOURG</t>
  </si>
  <si>
    <t>SOLOGNY</t>
  </si>
  <si>
    <t>SAINT-PAUL-SUR-UBAYE</t>
  </si>
  <si>
    <t>SAINT-JULIEN-LE-VENDOMOIS</t>
  </si>
  <si>
    <t>VOGLANS</t>
  </si>
  <si>
    <t>JOPPECOURT</t>
  </si>
  <si>
    <t>SEMOINE</t>
  </si>
  <si>
    <t>SAINT-NAZAIRE-SUR-CHARENTE</t>
  </si>
  <si>
    <t>LE FAULQ</t>
  </si>
  <si>
    <t>TAULIGNAN</t>
  </si>
  <si>
    <t>MAREUIL-SUR-AY</t>
  </si>
  <si>
    <t>54600</t>
  </si>
  <si>
    <t>VILLERS-LES-NANCY</t>
  </si>
  <si>
    <t>BUETHWILLER</t>
  </si>
  <si>
    <t>LA LLAGONNE</t>
  </si>
  <si>
    <t>CHANVILLE</t>
  </si>
  <si>
    <t>VEDRINES-SAINT-LOUP</t>
  </si>
  <si>
    <t>MOLINCHART</t>
  </si>
  <si>
    <t>VARZAY</t>
  </si>
  <si>
    <t>FAVRIEUX</t>
  </si>
  <si>
    <t>GANAGOBIE</t>
  </si>
  <si>
    <t>MAISONCELLE-TUILERIE</t>
  </si>
  <si>
    <t>VAZEILLES-PRES-SAUGUES</t>
  </si>
  <si>
    <t>ARBIGNY</t>
  </si>
  <si>
    <t>SAINT-PRIM</t>
  </si>
  <si>
    <t>MONTAUT-LES-CRENEAUX</t>
  </si>
  <si>
    <t>DIGOSVILLE</t>
  </si>
  <si>
    <t>ESPONDEILHAN</t>
  </si>
  <si>
    <t>95580</t>
  </si>
  <si>
    <t>LASSUR</t>
  </si>
  <si>
    <t>2B185</t>
  </si>
  <si>
    <t>OLETTA</t>
  </si>
  <si>
    <t>YPORT</t>
  </si>
  <si>
    <t>BEDEILHAC-ET-AYNAT</t>
  </si>
  <si>
    <t>SAINT-LEGER-DE-LA-MARTINIERE</t>
  </si>
  <si>
    <t>ESSOMES-SUR-MARNE</t>
  </si>
  <si>
    <t>MOIRON</t>
  </si>
  <si>
    <t>CABIDOS</t>
  </si>
  <si>
    <t>ARSAGUE</t>
  </si>
  <si>
    <t>JUILLAN</t>
  </si>
  <si>
    <t>SAINT-GERMAIN-LA-BLANCHE-HERBE</t>
  </si>
  <si>
    <t>LA SAUVE</t>
  </si>
  <si>
    <t>93430</t>
  </si>
  <si>
    <t>VILLETANEUSE</t>
  </si>
  <si>
    <t>SAINT-DIDIER-DES-BOIS</t>
  </si>
  <si>
    <t>AVESNES-EN-SAOSNOIS</t>
  </si>
  <si>
    <t>NANTILLY</t>
  </si>
  <si>
    <t>CALONNE-RICOUART</t>
  </si>
  <si>
    <t>MASSAGUEL</t>
  </si>
  <si>
    <t>SAILLY-LEZ-LANNOY</t>
  </si>
  <si>
    <t>ARRENS-MARSOUS</t>
  </si>
  <si>
    <t>CONIE-MOLITARD</t>
  </si>
  <si>
    <t>AULHAT-SAINT-PRIVAT</t>
  </si>
  <si>
    <t>MARCE</t>
  </si>
  <si>
    <t>LES NANS</t>
  </si>
  <si>
    <t>LE FIED</t>
  </si>
  <si>
    <t>AUBIGNE-SUR-LAYON</t>
  </si>
  <si>
    <t>SAINT-LAURENT-DE-LA-SALLE</t>
  </si>
  <si>
    <t>LA CHAUME</t>
  </si>
  <si>
    <t>OUZOUER-SUR-TREZEE</t>
  </si>
  <si>
    <t>CENEVIERES</t>
  </si>
  <si>
    <t>ROMENAY</t>
  </si>
  <si>
    <t>LE MESNIL-TOVE</t>
  </si>
  <si>
    <t>GOUX-LES-DAMBELIN</t>
  </si>
  <si>
    <t>FEL</t>
  </si>
  <si>
    <t>MEZIERES-SUR-OISE</t>
  </si>
  <si>
    <t>KESSELDORF</t>
  </si>
  <si>
    <t>LACHAU</t>
  </si>
  <si>
    <t>TOURNOUS-DEVANT</t>
  </si>
  <si>
    <t>LANDES</t>
  </si>
  <si>
    <t>RINGELDORF</t>
  </si>
  <si>
    <t>54114</t>
  </si>
  <si>
    <t>JEANDELAINCOURT</t>
  </si>
  <si>
    <t>62164</t>
  </si>
  <si>
    <t>AMBLETEUSE</t>
  </si>
  <si>
    <t>ROCHETOIRIN</t>
  </si>
  <si>
    <t>THIEZAC</t>
  </si>
  <si>
    <t>MAULDE</t>
  </si>
  <si>
    <t>CEAUX-EN-COUHE</t>
  </si>
  <si>
    <t>SAUTEL</t>
  </si>
  <si>
    <t>JORT</t>
  </si>
  <si>
    <t>CANDE-SUR-BEUVRON</t>
  </si>
  <si>
    <t>SAINT-FRANCOIS-LACROIX</t>
  </si>
  <si>
    <t>VIGNOUX-SOUS-LES-AIX</t>
  </si>
  <si>
    <t>FRESSANCOURT</t>
  </si>
  <si>
    <t>BEHASQUE-LAPISTE</t>
  </si>
  <si>
    <t>LANNEDERN</t>
  </si>
  <si>
    <t>VILLARGONDRAN</t>
  </si>
  <si>
    <t>BABY</t>
  </si>
  <si>
    <t>SAINT-JEOIRE</t>
  </si>
  <si>
    <t>LANTENOT</t>
  </si>
  <si>
    <t>NOHEDES</t>
  </si>
  <si>
    <t>SOURDON</t>
  </si>
  <si>
    <t>MANTES-LA-JOLIE</t>
  </si>
  <si>
    <t>LA CHAPELLE-SUR-OREUSE</t>
  </si>
  <si>
    <t>92160</t>
  </si>
  <si>
    <t>ANTONY</t>
  </si>
  <si>
    <t>LYOFFANS</t>
  </si>
  <si>
    <t>ARC-SUR-TILLE</t>
  </si>
  <si>
    <t>2B068</t>
  </si>
  <si>
    <t>CARTICASI</t>
  </si>
  <si>
    <t>LE MAYET-D'ECOLE</t>
  </si>
  <si>
    <t>THIS</t>
  </si>
  <si>
    <t>SAULX-LES-CHARTREUX</t>
  </si>
  <si>
    <t>ROSULT</t>
  </si>
  <si>
    <t>VILLY-SUR-YERES</t>
  </si>
  <si>
    <t>REYRIEUX</t>
  </si>
  <si>
    <t>CHERVES-CHATELARS</t>
  </si>
  <si>
    <t>54710</t>
  </si>
  <si>
    <t>LUDRES</t>
  </si>
  <si>
    <t>LA BASTIDE-DES-JOURDANS</t>
  </si>
  <si>
    <t>TREMERY</t>
  </si>
  <si>
    <t>DONZERE</t>
  </si>
  <si>
    <t>LAA-MONDRANS</t>
  </si>
  <si>
    <t>UPIE</t>
  </si>
  <si>
    <t>MONTGRADAIL</t>
  </si>
  <si>
    <t>APPEVILLE</t>
  </si>
  <si>
    <t>CRUZY</t>
  </si>
  <si>
    <t>ARGENTON-LES-VALLEES</t>
  </si>
  <si>
    <t>MALVAL</t>
  </si>
  <si>
    <t>ARRIGNY</t>
  </si>
  <si>
    <t>38138</t>
  </si>
  <si>
    <t>LES COTES-D'AREY</t>
  </si>
  <si>
    <t>OBERLAUTERBACH</t>
  </si>
  <si>
    <t>BOVEL</t>
  </si>
  <si>
    <t>TERMINIERS</t>
  </si>
  <si>
    <t>SOR</t>
  </si>
  <si>
    <t>LA CHAPELLE-TAILLEFERT</t>
  </si>
  <si>
    <t>ROMBIES-ET-MARCHIPONT</t>
  </si>
  <si>
    <t>POUILLY-SUR-SERRE</t>
  </si>
  <si>
    <t>SAINT-LEOPARDIN-D'AUGY</t>
  </si>
  <si>
    <t>DERCE</t>
  </si>
  <si>
    <t>RODEMACK</t>
  </si>
  <si>
    <t>MAIZEY</t>
  </si>
  <si>
    <t>CHAMP-D'OISEAU</t>
  </si>
  <si>
    <t>NOTRE-DAME-DE-COURSON</t>
  </si>
  <si>
    <t>CHAUDON-NORANTE</t>
  </si>
  <si>
    <t>FREVILLERS</t>
  </si>
  <si>
    <t>NEUVICQ-LE-CHATEAU</t>
  </si>
  <si>
    <t>SAINT-VICTOR-DES-OULES</t>
  </si>
  <si>
    <t>PLAIGNE</t>
  </si>
  <si>
    <t>CHAMPLECY</t>
  </si>
  <si>
    <t>EPERSY</t>
  </si>
  <si>
    <t>APREY</t>
  </si>
  <si>
    <t>ROLLEBOISE</t>
  </si>
  <si>
    <t>LACABAREDE</t>
  </si>
  <si>
    <t>PONCINS</t>
  </si>
  <si>
    <t>MONPAZIER</t>
  </si>
  <si>
    <t>SAUVETERRE-SAINT-DENIS</t>
  </si>
  <si>
    <t>MONDRAINVILLE</t>
  </si>
  <si>
    <t>25610</t>
  </si>
  <si>
    <t>ARC-ET-SENANS</t>
  </si>
  <si>
    <t>MASLACQ</t>
  </si>
  <si>
    <t>30380</t>
  </si>
  <si>
    <t>SAINT-CHRISTOL-LES-ALES</t>
  </si>
  <si>
    <t>MONTREUIL-BELLAY</t>
  </si>
  <si>
    <t>ROSIERS-DE-JUILLAC</t>
  </si>
  <si>
    <t>LE LION-D'ANGERS</t>
  </si>
  <si>
    <t>SASSENAGE</t>
  </si>
  <si>
    <t>RULLAC-SAINT-CIRQ</t>
  </si>
  <si>
    <t>CORMEILLES-EN-VEXIN</t>
  </si>
  <si>
    <t>LA BERNARDIERE</t>
  </si>
  <si>
    <t>OHIS</t>
  </si>
  <si>
    <t>MARNAND</t>
  </si>
  <si>
    <t>ESPEZEL</t>
  </si>
  <si>
    <t>VIDAILLAT</t>
  </si>
  <si>
    <t>SAINTE-HELENE-SUR-ISERE</t>
  </si>
  <si>
    <t>44116</t>
  </si>
  <si>
    <t>QUILLAN</t>
  </si>
  <si>
    <t>LANGOUET</t>
  </si>
  <si>
    <t>AVIGNONET-LAURAGAIS</t>
  </si>
  <si>
    <t>SALENTHAL</t>
  </si>
  <si>
    <t>THIGNONVILLE</t>
  </si>
  <si>
    <t>LEWARDE</t>
  </si>
  <si>
    <t>NEUVILLY</t>
  </si>
  <si>
    <t>CESSY</t>
  </si>
  <si>
    <t>SACY-LE-PETIT</t>
  </si>
  <si>
    <t>FLUQUIERES</t>
  </si>
  <si>
    <t>SAINT-SAUVEUR-DE-PUYNORMAND</t>
  </si>
  <si>
    <t>LA CROPTE</t>
  </si>
  <si>
    <t>VERPILLIERES</t>
  </si>
  <si>
    <t>ESPELUCHE</t>
  </si>
  <si>
    <t>SAINT-LAURENT-EN-GRANDVAUX</t>
  </si>
  <si>
    <t>BRETTEVILLE-DU-GRAND-CAUX</t>
  </si>
  <si>
    <t>NIEUL-LE-DOLENT</t>
  </si>
  <si>
    <t>PIERRECLOS</t>
  </si>
  <si>
    <t>84660</t>
  </si>
  <si>
    <t>RANZIERES</t>
  </si>
  <si>
    <t>MARS-SOUS-BOURCQ</t>
  </si>
  <si>
    <t>FREMIFONTAINE</t>
  </si>
  <si>
    <t>NEUILLAC</t>
  </si>
  <si>
    <t>AUMESSAS</t>
  </si>
  <si>
    <t>SAINT-MARCEL-BEL-ACCUEIL</t>
  </si>
  <si>
    <t>80136</t>
  </si>
  <si>
    <t>RIVERY</t>
  </si>
  <si>
    <t>SAINT-ETIENNE-DE-BRILLOUET</t>
  </si>
  <si>
    <t>GEMBRIE</t>
  </si>
  <si>
    <t>SAINT-LEGER-MAGNAZEIX</t>
  </si>
  <si>
    <t>17420</t>
  </si>
  <si>
    <t>SAINT-PALAIS-SUR-MER</t>
  </si>
  <si>
    <t>BILLANCELLES</t>
  </si>
  <si>
    <t>BERMESNIL</t>
  </si>
  <si>
    <t>EMBREVILLE</t>
  </si>
  <si>
    <t>RIGNY-USSE</t>
  </si>
  <si>
    <t>LESDINS</t>
  </si>
  <si>
    <t>MOUZIEYS-TEULET</t>
  </si>
  <si>
    <t>CEZAN</t>
  </si>
  <si>
    <t>SAINT-LATTIER</t>
  </si>
  <si>
    <t>CHARMANT</t>
  </si>
  <si>
    <t>CLAPIERS</t>
  </si>
  <si>
    <t>LAPLUME</t>
  </si>
  <si>
    <t>MARMOUILLE</t>
  </si>
  <si>
    <t>SOULOSSE-SOUS-SAINT-ELOPHE</t>
  </si>
  <si>
    <t>VILLENEUVE-SAINT-VISTRE-ET-VILLEVOTTE</t>
  </si>
  <si>
    <t>SAINT-MICHEL-D'HALESCOURT</t>
  </si>
  <si>
    <t>JOSSELIN</t>
  </si>
  <si>
    <t>MADECOURT</t>
  </si>
  <si>
    <t>VENTENAC-EN-MINERVOIS</t>
  </si>
  <si>
    <t>TRELOU-SUR-MARNE</t>
  </si>
  <si>
    <t>BOUSSES</t>
  </si>
  <si>
    <t>MERSCHWEILLER</t>
  </si>
  <si>
    <t>CADARSAC</t>
  </si>
  <si>
    <t>LUNAY</t>
  </si>
  <si>
    <t>HEILLY</t>
  </si>
  <si>
    <t>BRANDON</t>
  </si>
  <si>
    <t>SAINT-MOMELIN</t>
  </si>
  <si>
    <t>ESCAUNETS</t>
  </si>
  <si>
    <t>SAINT-GOUENO</t>
  </si>
  <si>
    <t>MONTIREAU</t>
  </si>
  <si>
    <t>MERY</t>
  </si>
  <si>
    <t>LA TRETOIRE</t>
  </si>
  <si>
    <t>FONTAINE-LE-COMTE</t>
  </si>
  <si>
    <t>AUDRESSELLES</t>
  </si>
  <si>
    <t>SAINT-JULIEN-SUR-DHEUNE</t>
  </si>
  <si>
    <t>DURANCE</t>
  </si>
  <si>
    <t>13890</t>
  </si>
  <si>
    <t>MOURIES</t>
  </si>
  <si>
    <t>ALLINGES</t>
  </si>
  <si>
    <t>VAUCLERC</t>
  </si>
  <si>
    <t>BOURDETTES</t>
  </si>
  <si>
    <t>LES EGLISES-D'ARGENTEUIL</t>
  </si>
  <si>
    <t>GRAND'RIVIERE</t>
  </si>
  <si>
    <t>RADINGHEM</t>
  </si>
  <si>
    <t>CRUX-LA-VILLE</t>
  </si>
  <si>
    <t>MIOSSENS-LANUSSE</t>
  </si>
  <si>
    <t>VESSEAUX</t>
  </si>
  <si>
    <t>SAUTO</t>
  </si>
  <si>
    <t>ALET-LES-BAINS</t>
  </si>
  <si>
    <t>CASTILLON-MASSAS</t>
  </si>
  <si>
    <t>NORDHEIM</t>
  </si>
  <si>
    <t>BREVILLE-SUR-MER</t>
  </si>
  <si>
    <t>95250</t>
  </si>
  <si>
    <t>BEAUCHAMP</t>
  </si>
  <si>
    <t>BOSSIEU</t>
  </si>
  <si>
    <t>BOSC-BENARD-COMMIN</t>
  </si>
  <si>
    <t>VILLE-SUR-COUSANCES</t>
  </si>
  <si>
    <t>TOURTROL</t>
  </si>
  <si>
    <t>FONTAINE-CHAALIS</t>
  </si>
  <si>
    <t>VIVIERS-DU-LAC</t>
  </si>
  <si>
    <t>TALLANS</t>
  </si>
  <si>
    <t>QUERQUEVILLE</t>
  </si>
  <si>
    <t>LAVALLEE</t>
  </si>
  <si>
    <t>MARCOUX</t>
  </si>
  <si>
    <t>MONTECH</t>
  </si>
  <si>
    <t>THANNENKIRCH</t>
  </si>
  <si>
    <t>JARMENIL</t>
  </si>
  <si>
    <t>SAINT-AVIT-SENIEUR</t>
  </si>
  <si>
    <t>AMBLAINVILLE</t>
  </si>
  <si>
    <t>VENTAVON</t>
  </si>
  <si>
    <t>CHATEAUBOURG</t>
  </si>
  <si>
    <t>CUISSY-ET-GENY</t>
  </si>
  <si>
    <t>SAINT-BAUZILLE-DE-LA-SYLVE</t>
  </si>
  <si>
    <t>LES DESERTS</t>
  </si>
  <si>
    <t>WISEPPE</t>
  </si>
  <si>
    <t>FINS</t>
  </si>
  <si>
    <t>SOUFFRIGNAC</t>
  </si>
  <si>
    <t>GRIVESNES</t>
  </si>
  <si>
    <t>URCIERS</t>
  </si>
  <si>
    <t>VILLESELVE</t>
  </si>
  <si>
    <t>SAINT-FORTUNAT-SUR-EYRIEUX</t>
  </si>
  <si>
    <t>XIVRAY-ET-MARVOISIN</t>
  </si>
  <si>
    <t>EUS</t>
  </si>
  <si>
    <t>77360</t>
  </si>
  <si>
    <t>VAIRES-SUR-MARNE</t>
  </si>
  <si>
    <t>SAINT-GERMAIN-DES-ESSOURTS</t>
  </si>
  <si>
    <t>VILLABON</t>
  </si>
  <si>
    <t>SAINT-CHRISTOPHE-EN-BAZELLE</t>
  </si>
  <si>
    <t>SAINT-ETIENNE-DE-FONTBELLON</t>
  </si>
  <si>
    <t>60560</t>
  </si>
  <si>
    <t>ORRY-LA-VILLE</t>
  </si>
  <si>
    <t>LEPANGES-SUR-VOLOGNE</t>
  </si>
  <si>
    <t>VERQUIGNEUL</t>
  </si>
  <si>
    <t>95540</t>
  </si>
  <si>
    <t>MERY-SUR-OISE</t>
  </si>
  <si>
    <t>LEHAUCOURT</t>
  </si>
  <si>
    <t>NEUNG-SUR-BEUVRON</t>
  </si>
  <si>
    <t>CORNY</t>
  </si>
  <si>
    <t>MONDOUBLEAU</t>
  </si>
  <si>
    <t>FILLINGES</t>
  </si>
  <si>
    <t>84490</t>
  </si>
  <si>
    <t>SAINT-SATURNIN-LES-APT</t>
  </si>
  <si>
    <t>LE HEZO</t>
  </si>
  <si>
    <t>VECKRING</t>
  </si>
  <si>
    <t>SAINT-JEAN-DE-SOUDAIN</t>
  </si>
  <si>
    <t>PEILLE</t>
  </si>
  <si>
    <t>MAEL-CARHAIX</t>
  </si>
  <si>
    <t>27000</t>
  </si>
  <si>
    <t>EVREUX</t>
  </si>
  <si>
    <t>LA RACINEUSE</t>
  </si>
  <si>
    <t>LE BOUCHAUD</t>
  </si>
  <si>
    <t>HOUDEMONT</t>
  </si>
  <si>
    <t>RAVILLE</t>
  </si>
  <si>
    <t>GAMARDE-LES-BAINS</t>
  </si>
  <si>
    <t>GRAVIERES</t>
  </si>
  <si>
    <t>BOEURS-EN-OTHE</t>
  </si>
  <si>
    <t>CHONVILLE-MALAUMONT</t>
  </si>
  <si>
    <t>ARTINS</t>
  </si>
  <si>
    <t>SAINT-EPAIN</t>
  </si>
  <si>
    <t>TRAINOU</t>
  </si>
  <si>
    <t>THILLOT</t>
  </si>
  <si>
    <t>VOLESVRES</t>
  </si>
  <si>
    <t>ARCES-DILO</t>
  </si>
  <si>
    <t>NEUREY-EN-VAUX</t>
  </si>
  <si>
    <t>CAMELIN</t>
  </si>
  <si>
    <t>EXMES</t>
  </si>
  <si>
    <t>90380</t>
  </si>
  <si>
    <t>ROPPE</t>
  </si>
  <si>
    <t>SAINT-EUSEBE-EN-CHAMPSAUR</t>
  </si>
  <si>
    <t>BOOTZHEIM</t>
  </si>
  <si>
    <t>CHATEAU-GUIBERT</t>
  </si>
  <si>
    <t>CHAMPAGNY</t>
  </si>
  <si>
    <t>EYVIRAT</t>
  </si>
  <si>
    <t>CALAN</t>
  </si>
  <si>
    <t>MELICOURT</t>
  </si>
  <si>
    <t>SAINTE-BAZEILLE</t>
  </si>
  <si>
    <t>BOUGNON</t>
  </si>
  <si>
    <t>CESSALES</t>
  </si>
  <si>
    <t>ALLENC</t>
  </si>
  <si>
    <t>MAIDIERES</t>
  </si>
  <si>
    <t>BOUDOU</t>
  </si>
  <si>
    <t>68830</t>
  </si>
  <si>
    <t>ODEREN</t>
  </si>
  <si>
    <t>VIELLE-AURE</t>
  </si>
  <si>
    <t>MIRIBEL</t>
  </si>
  <si>
    <t>AUBAINE</t>
  </si>
  <si>
    <t>PUYGROS</t>
  </si>
  <si>
    <t>PLOUZEVEDE</t>
  </si>
  <si>
    <t>HONSKIRCH</t>
  </si>
  <si>
    <t>SAINT-MARTIN-D'ARMAGNAC</t>
  </si>
  <si>
    <t>FAURILLES</t>
  </si>
  <si>
    <t>PALEY</t>
  </si>
  <si>
    <t>ECHALOT</t>
  </si>
  <si>
    <t>VILLAUDRIC</t>
  </si>
  <si>
    <t>SAINT-MAIXENT</t>
  </si>
  <si>
    <t>LAISSAC</t>
  </si>
  <si>
    <t>LORRIS</t>
  </si>
  <si>
    <t>BOUHANS-ET-FEURG</t>
  </si>
  <si>
    <t>CORBENAY</t>
  </si>
  <si>
    <t>VIEILLE-BRIOUDE</t>
  </si>
  <si>
    <t>ASTAFFORT</t>
  </si>
  <si>
    <t>SORTOSVILLE</t>
  </si>
  <si>
    <t>SAMSON</t>
  </si>
  <si>
    <t>BLAINVILLE-SUR-MER</t>
  </si>
  <si>
    <t>COURSEULLES-SUR-MER</t>
  </si>
  <si>
    <t>2A017</t>
  </si>
  <si>
    <t>APPIETTO</t>
  </si>
  <si>
    <t>MENDIONDE</t>
  </si>
  <si>
    <t>AUTOUILLET</t>
  </si>
  <si>
    <t>FOSSES-ET-BALEYSSAC</t>
  </si>
  <si>
    <t>LAVEYRON</t>
  </si>
  <si>
    <t>MELIGNY-LE-GRAND</t>
  </si>
  <si>
    <t>LOCON</t>
  </si>
  <si>
    <t>VILLEREAL</t>
  </si>
  <si>
    <t>SAINT-MARTIN-LABOUVAL</t>
  </si>
  <si>
    <t>SAINT-LOUP-CAMMAS</t>
  </si>
  <si>
    <t>BUGEAT</t>
  </si>
  <si>
    <t>TERNAND</t>
  </si>
  <si>
    <t>MARSANNAY-LE-BOIS</t>
  </si>
  <si>
    <t>FALS</t>
  </si>
  <si>
    <t>SEXEY-AUX-FORGES</t>
  </si>
  <si>
    <t>SAINT-JEAN-D'ARVEY</t>
  </si>
  <si>
    <t>CASTELNAU-MONTRATIER</t>
  </si>
  <si>
    <t>SAINT-ANDRE-DE-DOUBLE</t>
  </si>
  <si>
    <t>ENNORDRES</t>
  </si>
  <si>
    <t>PARENTY</t>
  </si>
  <si>
    <t>CIRES-LES-MELLO</t>
  </si>
  <si>
    <t>CHAMBLEY-BUSSIERES</t>
  </si>
  <si>
    <t>WACQUINGHEN</t>
  </si>
  <si>
    <t>30000/30900</t>
  </si>
  <si>
    <t>NIMES</t>
  </si>
  <si>
    <t>AIGUINES</t>
  </si>
  <si>
    <t>20231</t>
  </si>
  <si>
    <t>2B341</t>
  </si>
  <si>
    <t>VENACO</t>
  </si>
  <si>
    <t>MONT-SAXONNEX</t>
  </si>
  <si>
    <t>SAINT-CIERS-CHAMPAGNE</t>
  </si>
  <si>
    <t>ONOZ</t>
  </si>
  <si>
    <t>VIEU-D'IZENAVE</t>
  </si>
  <si>
    <t>SAINT-EUPHRAISE-ET-CLAIRIZET</t>
  </si>
  <si>
    <t>VERCOIRAN</t>
  </si>
  <si>
    <t>ARPHEUILLES-SAINT-PRIEST</t>
  </si>
  <si>
    <t>BASSAC</t>
  </si>
  <si>
    <t>AMATHAY-VESIGNEUX</t>
  </si>
  <si>
    <t>GRUYERES</t>
  </si>
  <si>
    <t>NUELLES</t>
  </si>
  <si>
    <t>BAON</t>
  </si>
  <si>
    <t>CERISY-LA-SALLE</t>
  </si>
  <si>
    <t>BROUCHAUD</t>
  </si>
  <si>
    <t>CHATELARD</t>
  </si>
  <si>
    <t>LUSSAGNET</t>
  </si>
  <si>
    <t>ALBERTVILLE</t>
  </si>
  <si>
    <t>LAFFITE-TOUPIERE</t>
  </si>
  <si>
    <t>BOISSEUILH</t>
  </si>
  <si>
    <t>FACHIN</t>
  </si>
  <si>
    <t>LIVRY-LOUVERCY</t>
  </si>
  <si>
    <t>SAINT-AOUT</t>
  </si>
  <si>
    <t>LOUVATANGE</t>
  </si>
  <si>
    <t>AUDINCOURT</t>
  </si>
  <si>
    <t>77127</t>
  </si>
  <si>
    <t>SAINT-GENEST-DE-CONTEST</t>
  </si>
  <si>
    <t>TRADES</t>
  </si>
  <si>
    <t>SAINT-MENGES</t>
  </si>
  <si>
    <t>AUZIELLE</t>
  </si>
  <si>
    <t>CHANTECORPS</t>
  </si>
  <si>
    <t>VALLET</t>
  </si>
  <si>
    <t>ZIMMERBACH</t>
  </si>
  <si>
    <t>CADEAC</t>
  </si>
  <si>
    <t>FLAMMERECOURT</t>
  </si>
  <si>
    <t>GIRONDELLE</t>
  </si>
  <si>
    <t>CROIX-MARE</t>
  </si>
  <si>
    <t>LONGRAYE</t>
  </si>
  <si>
    <t>BIZANET</t>
  </si>
  <si>
    <t>BRENOUX</t>
  </si>
  <si>
    <t>TIGNAC</t>
  </si>
  <si>
    <t>2B217</t>
  </si>
  <si>
    <t>PIAZZOLE</t>
  </si>
  <si>
    <t>MANCHECOURT</t>
  </si>
  <si>
    <t>PLESDER</t>
  </si>
  <si>
    <t>SAINT-SECONDIN</t>
  </si>
  <si>
    <t>MONTFORT-EN-CHALOSSE</t>
  </si>
  <si>
    <t>LISIEUX</t>
  </si>
  <si>
    <t>RACQUINGHEM</t>
  </si>
  <si>
    <t>62137</t>
  </si>
  <si>
    <t>COULOGNE</t>
  </si>
  <si>
    <t>VIOLOT</t>
  </si>
  <si>
    <t>TOURNY</t>
  </si>
  <si>
    <t>BOURNEZEAU</t>
  </si>
  <si>
    <t>LE MAY-SUR-EVRE</t>
  </si>
  <si>
    <t>REDENE</t>
  </si>
  <si>
    <t>OSSELLE</t>
  </si>
  <si>
    <t>VOUVANT</t>
  </si>
  <si>
    <t>DROUX</t>
  </si>
  <si>
    <t>SAINT-GEORGES-DE-REX</t>
  </si>
  <si>
    <t>VAUX-SUR-POLIGNY</t>
  </si>
  <si>
    <t>MAEL-PESTIVIEN</t>
  </si>
  <si>
    <t>FAIN-LES-MOUTIERS</t>
  </si>
  <si>
    <t>SAINT-SEINE</t>
  </si>
  <si>
    <t>TRELIVAN</t>
  </si>
  <si>
    <t>ORNON</t>
  </si>
  <si>
    <t>PLOUDALMEZEAU</t>
  </si>
  <si>
    <t>LES LOGES-EN-JOSAS</t>
  </si>
  <si>
    <t>CHEPTAINVILLE</t>
  </si>
  <si>
    <t>JULVECOURT</t>
  </si>
  <si>
    <t>FRETTEMEULE</t>
  </si>
  <si>
    <t>OSSEN</t>
  </si>
  <si>
    <t>84420</t>
  </si>
  <si>
    <t>PIOLENC</t>
  </si>
  <si>
    <t>CUSSAY</t>
  </si>
  <si>
    <t>FRETERIVE</t>
  </si>
  <si>
    <t>2B161</t>
  </si>
  <si>
    <t>MOITA</t>
  </si>
  <si>
    <t>PUYMERAS</t>
  </si>
  <si>
    <t>SAINT-VALERY-EN-CAUX</t>
  </si>
  <si>
    <t>LE CHASTANG</t>
  </si>
  <si>
    <t>LESCOUSSE</t>
  </si>
  <si>
    <t>6570</t>
  </si>
  <si>
    <t>SAINT-PAUL-DE-VENCE</t>
  </si>
  <si>
    <t>MONTSALIER</t>
  </si>
  <si>
    <t>LAMOTTE-WARFUSEE</t>
  </si>
  <si>
    <t>THANVILLE</t>
  </si>
  <si>
    <t>MOURIOUX-VIEILLEVILLE</t>
  </si>
  <si>
    <t>SAINT-JEAN-KERDANIEL</t>
  </si>
  <si>
    <t>CERONS</t>
  </si>
  <si>
    <t>66000/66100</t>
  </si>
  <si>
    <t>PERPIGNAN</t>
  </si>
  <si>
    <t>HABOUDANGE</t>
  </si>
  <si>
    <t>CORNAY</t>
  </si>
  <si>
    <t>LA BOSSE</t>
  </si>
  <si>
    <t>SAINT-SATUR</t>
  </si>
  <si>
    <t>LES AUTHIEUX</t>
  </si>
  <si>
    <t>SAINT-AMAND-MONTROND</t>
  </si>
  <si>
    <t>KANFEN</t>
  </si>
  <si>
    <t>BARZAN</t>
  </si>
  <si>
    <t>SAZILLY</t>
  </si>
  <si>
    <t>LA BRIONNE</t>
  </si>
  <si>
    <t>CAPPY</t>
  </si>
  <si>
    <t>BANASSAC</t>
  </si>
  <si>
    <t>VERNOSC-LES-ANNONAY</t>
  </si>
  <si>
    <t>CASTAGNAC</t>
  </si>
  <si>
    <t>VAL-D'EPY</t>
  </si>
  <si>
    <t>BERZE-LE-CHATEL</t>
  </si>
  <si>
    <t>MONTDORE</t>
  </si>
  <si>
    <t>LAPANOUSE</t>
  </si>
  <si>
    <t>68310</t>
  </si>
  <si>
    <t>WITTELSHEIM</t>
  </si>
  <si>
    <t>ROSPEZ</t>
  </si>
  <si>
    <t>COURPALAY</t>
  </si>
  <si>
    <t>MOREZ</t>
  </si>
  <si>
    <t>ENTRAGES</t>
  </si>
  <si>
    <t>LE CHAMP-SAINT-PERE</t>
  </si>
  <si>
    <t>BRETENIERES</t>
  </si>
  <si>
    <t>CUQ-TOULZA</t>
  </si>
  <si>
    <t>AUXONNE</t>
  </si>
  <si>
    <t>BASSUET</t>
  </si>
  <si>
    <t>SINDERES</t>
  </si>
  <si>
    <t>PORT-BRILLET</t>
  </si>
  <si>
    <t>66330</t>
  </si>
  <si>
    <t>CABESTANY</t>
  </si>
  <si>
    <t>RILHAC-TREIGNAC</t>
  </si>
  <si>
    <t>ERBEVILLER-SUR-AMEZULE</t>
  </si>
  <si>
    <t>GOURFALEUR</t>
  </si>
  <si>
    <t>MORVILLERS-SAINT-SATURNIN</t>
  </si>
  <si>
    <t>MOURVILLES-HAUTES</t>
  </si>
  <si>
    <t>TREIZE-SEPTIERS</t>
  </si>
  <si>
    <t>BOISSIERES</t>
  </si>
  <si>
    <t>2B054</t>
  </si>
  <si>
    <t>CAMPILE</t>
  </si>
  <si>
    <t>SAINT-GORGON-MAIN</t>
  </si>
  <si>
    <t>REMIREMONT</t>
  </si>
  <si>
    <t>MARGES</t>
  </si>
  <si>
    <t>EPANEY</t>
  </si>
  <si>
    <t>MARTHON</t>
  </si>
  <si>
    <t>ANHIERS</t>
  </si>
  <si>
    <t>OULCHY-LA-VILLE</t>
  </si>
  <si>
    <t>MARIMBAULT</t>
  </si>
  <si>
    <t>GASTINS</t>
  </si>
  <si>
    <t>VIVIERS-LES-MONTAGNES</t>
  </si>
  <si>
    <t>83140</t>
  </si>
  <si>
    <t>SIX-FOURS-LES-PLAGES</t>
  </si>
  <si>
    <t>SAINT-AVRE</t>
  </si>
  <si>
    <t>SAINT-MARTIN-DU-PUY</t>
  </si>
  <si>
    <t>SAINT-AUBIN-DE-LOCQUENAY</t>
  </si>
  <si>
    <t>JOLIMETZ</t>
  </si>
  <si>
    <t>78850</t>
  </si>
  <si>
    <t>THIVERVAL-GRIGNON</t>
  </si>
  <si>
    <t>ASSIGNY</t>
  </si>
  <si>
    <t>SAVIERES</t>
  </si>
  <si>
    <t>SAINT-FRAIMBAULT-DE-PRIERES</t>
  </si>
  <si>
    <t>LE MEIX</t>
  </si>
  <si>
    <t>97442</t>
  </si>
  <si>
    <t>SAINT-PHILIPPE</t>
  </si>
  <si>
    <t>LES MOUTIERS-EN-CINGLAIS</t>
  </si>
  <si>
    <t>FRANGY-EN-BRESSE</t>
  </si>
  <si>
    <t>MOULARES</t>
  </si>
  <si>
    <t>CHALAINES</t>
  </si>
  <si>
    <t>BOUVERANS</t>
  </si>
  <si>
    <t>LA CHAPELLE-REANVILLE</t>
  </si>
  <si>
    <t>14530</t>
  </si>
  <si>
    <t>LUC-SUR-MER</t>
  </si>
  <si>
    <t>COMBEROUGER</t>
  </si>
  <si>
    <t>SURGERES</t>
  </si>
  <si>
    <t>COESMES</t>
  </si>
  <si>
    <t>LES ECORCES</t>
  </si>
  <si>
    <t>LA JARD</t>
  </si>
  <si>
    <t>CONAN</t>
  </si>
  <si>
    <t>VILLEVENARD</t>
  </si>
  <si>
    <t>EECKE</t>
  </si>
  <si>
    <t>TREAL</t>
  </si>
  <si>
    <t>MARIEULLES</t>
  </si>
  <si>
    <t>60138</t>
  </si>
  <si>
    <t>CHIRY-OURSCAMP</t>
  </si>
  <si>
    <t>VILLEPORCHER</t>
  </si>
  <si>
    <t>MERLAS</t>
  </si>
  <si>
    <t>LE SAULCY</t>
  </si>
  <si>
    <t>OTTMARSHEIM</t>
  </si>
  <si>
    <t>LANDES-SUR-AJON</t>
  </si>
  <si>
    <t>RAON-SUR-PLAINE</t>
  </si>
  <si>
    <t>FRECHOU</t>
  </si>
  <si>
    <t>CREYS-MEPIEU</t>
  </si>
  <si>
    <t>REAL</t>
  </si>
  <si>
    <t>CHAPDEUIL</t>
  </si>
  <si>
    <t>LAURIE</t>
  </si>
  <si>
    <t>GARENCIERES</t>
  </si>
  <si>
    <t>AMAILLOUX</t>
  </si>
  <si>
    <t>TOUROUZELLE</t>
  </si>
  <si>
    <t>VERDUN-SUR-GARONNE</t>
  </si>
  <si>
    <t>CHALAUTRE-LA-PETITE</t>
  </si>
  <si>
    <t>4100</t>
  </si>
  <si>
    <t>MANOSQUE</t>
  </si>
  <si>
    <t>BRIGUEIL-LE-CHANTRE</t>
  </si>
  <si>
    <t>54410</t>
  </si>
  <si>
    <t>LANEUVEVILLE-DEVANT-NANCY</t>
  </si>
  <si>
    <t>LACHELLE</t>
  </si>
  <si>
    <t>RANCENAY</t>
  </si>
  <si>
    <t>QUENOCHE</t>
  </si>
  <si>
    <t>ARZAY</t>
  </si>
  <si>
    <t>SAINT-ETIENNE-DE-SAINT-GEOIRS</t>
  </si>
  <si>
    <t>SOULAINES-DHUYS</t>
  </si>
  <si>
    <t>SAINT-NICOLAS-LES-CITEAUX</t>
  </si>
  <si>
    <t>MANTEYER</t>
  </si>
  <si>
    <t>SERENT</t>
  </si>
  <si>
    <t>DISSE-SOUS-LE-LUDE</t>
  </si>
  <si>
    <t>VILLECROZE</t>
  </si>
  <si>
    <t>MAREIL-EN-CHAMPAGNE</t>
  </si>
  <si>
    <t>SAINT-CYR-EN-TALMONDAIS</t>
  </si>
  <si>
    <t>LANCHY</t>
  </si>
  <si>
    <t>CRANVES-SALES</t>
  </si>
  <si>
    <t>LAYRISSE</t>
  </si>
  <si>
    <t>LAVERSINE</t>
  </si>
  <si>
    <t>AVESNES</t>
  </si>
  <si>
    <t>TAUGON</t>
  </si>
  <si>
    <t>97112</t>
  </si>
  <si>
    <t>GRAND-BOURG</t>
  </si>
  <si>
    <t>DYO</t>
  </si>
  <si>
    <t>USSY-SUR-MARNE</t>
  </si>
  <si>
    <t>DANGU</t>
  </si>
  <si>
    <t>DAREIZE</t>
  </si>
  <si>
    <t>LOUVIGNE-DU-DESERT</t>
  </si>
  <si>
    <t>ESTOUBLON</t>
  </si>
  <si>
    <t>64340</t>
  </si>
  <si>
    <t>BOUCAU</t>
  </si>
  <si>
    <t>MONTAGOUDIN</t>
  </si>
  <si>
    <t>ESCOULOUBRE</t>
  </si>
  <si>
    <t>LOURENTIES</t>
  </si>
  <si>
    <t>CHAMALIERES-SUR-LOIRE</t>
  </si>
  <si>
    <t>VILLERS-AU-BOIS</t>
  </si>
  <si>
    <t>LANGUEDIAS</t>
  </si>
  <si>
    <t>SAINT-ANDRE-D'EMBRUN</t>
  </si>
  <si>
    <t>78830</t>
  </si>
  <si>
    <t>BULLION</t>
  </si>
  <si>
    <t>SEYNE</t>
  </si>
  <si>
    <t>BERNAC-DESSUS</t>
  </si>
  <si>
    <t>GUCHEN</t>
  </si>
  <si>
    <t>SAINT-CLEMENT-DE-LA-PLACE</t>
  </si>
  <si>
    <t>SAINT-GUILHEM-LE-DESERT</t>
  </si>
  <si>
    <t>ANTHIEN</t>
  </si>
  <si>
    <t>LOGE-FOUGEREUSE</t>
  </si>
  <si>
    <t>SAINT-CLEMENT-DES-LEVEES</t>
  </si>
  <si>
    <t>BERRWILLER</t>
  </si>
  <si>
    <t>SAINTE-MARGUERITE-DE-CARROUGES</t>
  </si>
  <si>
    <t>FENOLS</t>
  </si>
  <si>
    <t>MELLIONNEC</t>
  </si>
  <si>
    <t>MURES</t>
  </si>
  <si>
    <t>MONTGARDON</t>
  </si>
  <si>
    <t>BUHL-LORRAINE</t>
  </si>
  <si>
    <t>BAGNAC-SUR-CELE</t>
  </si>
  <si>
    <t>BRECHAMPS</t>
  </si>
  <si>
    <t>AIRION</t>
  </si>
  <si>
    <t>DUSSAC</t>
  </si>
  <si>
    <t>92130</t>
  </si>
  <si>
    <t>ISSY-LES-MOULINEAUX</t>
  </si>
  <si>
    <t>BENIVAY-OLLON</t>
  </si>
  <si>
    <t>32440</t>
  </si>
  <si>
    <t>CASTELNAU-D'AUZAN</t>
  </si>
  <si>
    <t>VILLENEUVE-SAINT-GERMAIN</t>
  </si>
  <si>
    <t>SAVIGNE-L'EVEQUE</t>
  </si>
  <si>
    <t>AUTREY-LE-VAY</t>
  </si>
  <si>
    <t>BRESTOT</t>
  </si>
  <si>
    <t>20119</t>
  </si>
  <si>
    <t>2A031</t>
  </si>
  <si>
    <t>BASTELICA</t>
  </si>
  <si>
    <t>MAZIROT</t>
  </si>
  <si>
    <t>JUMEAUX</t>
  </si>
  <si>
    <t>LA MAILLERAYE-SUR-SEINE</t>
  </si>
  <si>
    <t>CHAMBON-SUR-LAC</t>
  </si>
  <si>
    <t>SAINT-SALVADOU</t>
  </si>
  <si>
    <t>VAUCHAMPS</t>
  </si>
  <si>
    <t>LOUVIE-SOUBIRON</t>
  </si>
  <si>
    <t>CHAMPAGNE-LE-SEC</t>
  </si>
  <si>
    <t>BEAURECUEIL</t>
  </si>
  <si>
    <t>BAIX</t>
  </si>
  <si>
    <t>RIBENNES</t>
  </si>
  <si>
    <t>LIMANS</t>
  </si>
  <si>
    <t>97116</t>
  </si>
  <si>
    <t>POINTE-NOIRE</t>
  </si>
  <si>
    <t>PAGNOZ</t>
  </si>
  <si>
    <t>BERTONCOURT</t>
  </si>
  <si>
    <t>SAINT-MARTIN-DES-LAIS</t>
  </si>
  <si>
    <t>LINAC</t>
  </si>
  <si>
    <t>PRUNIERS</t>
  </si>
  <si>
    <t>FEIGNEUX</t>
  </si>
  <si>
    <t>MOITRON</t>
  </si>
  <si>
    <t>BACHAS</t>
  </si>
  <si>
    <t>MELINCOURT</t>
  </si>
  <si>
    <t>LAMOTHE-FENELON</t>
  </si>
  <si>
    <t>97139/97142</t>
  </si>
  <si>
    <t>LES ABYMES</t>
  </si>
  <si>
    <t>LINEXERT</t>
  </si>
  <si>
    <t>CHAMPAGNAC</t>
  </si>
  <si>
    <t>SAINT-FARGEAU</t>
  </si>
  <si>
    <t>FRASNE</t>
  </si>
  <si>
    <t>LALOURET-LAFFITEAU</t>
  </si>
  <si>
    <t>CHATEAU-ROUGE</t>
  </si>
  <si>
    <t>BEAUREPAIRE-SUR-SAMBRE</t>
  </si>
  <si>
    <t>SAINT-FRONT-DE-PRADOUX</t>
  </si>
  <si>
    <t>BERGHOLTZZELL</t>
  </si>
  <si>
    <t>MUZERAY</t>
  </si>
  <si>
    <t>MEULAN-EN-YVELINES</t>
  </si>
  <si>
    <t>88250</t>
  </si>
  <si>
    <t>LA BRESSE</t>
  </si>
  <si>
    <t>SAINT-SIGISMOND-DE-CLERMONT</t>
  </si>
  <si>
    <t>FELLUNS</t>
  </si>
  <si>
    <t>66680</t>
  </si>
  <si>
    <t>CANOHES</t>
  </si>
  <si>
    <t>REBAIS</t>
  </si>
  <si>
    <t>SAINT-MARTIN-D'AUBIGNY</t>
  </si>
  <si>
    <t>BANSAT</t>
  </si>
  <si>
    <t>LANVAUDAN</t>
  </si>
  <si>
    <t>LE MESNIL-DURAND</t>
  </si>
  <si>
    <t>ASPIN-AURE</t>
  </si>
  <si>
    <t>ASTE</t>
  </si>
  <si>
    <t>SOREL-EN-VIMEU</t>
  </si>
  <si>
    <t>PONT-D'OUILLY</t>
  </si>
  <si>
    <t>GASVILLE-OISEME</t>
  </si>
  <si>
    <t>HARCIGNY</t>
  </si>
  <si>
    <t>NOULENS</t>
  </si>
  <si>
    <t>95360</t>
  </si>
  <si>
    <t>MONTMAGNY</t>
  </si>
  <si>
    <t>HOUEYDETS</t>
  </si>
  <si>
    <t>CHARBONNIERES-LES-SAPINS</t>
  </si>
  <si>
    <t>33112</t>
  </si>
  <si>
    <t>SAINT-LAURENT-MEDOC</t>
  </si>
  <si>
    <t>COMPIGNY</t>
  </si>
  <si>
    <t>SARDON</t>
  </si>
  <si>
    <t>LES ABLEUVENETTES</t>
  </si>
  <si>
    <t>L'HOPITAL-LE-MERCIER</t>
  </si>
  <si>
    <t>DOUCHAPT</t>
  </si>
  <si>
    <t>RIBECOURT-LA-TOUR</t>
  </si>
  <si>
    <t>SAINT-PARRES-LES-VAUDES</t>
  </si>
  <si>
    <t>BURNHAUPT-LE-HAUT</t>
  </si>
  <si>
    <t>REMELFANG</t>
  </si>
  <si>
    <t>VILLENEUVE-LA-COMTESSE</t>
  </si>
  <si>
    <t>AUBIN-SAINT-VAAST</t>
  </si>
  <si>
    <t>TOUZAC</t>
  </si>
  <si>
    <t>MONBLANC</t>
  </si>
  <si>
    <t>LE BU-SUR-ROUVRES</t>
  </si>
  <si>
    <t>GIOUX</t>
  </si>
  <si>
    <t>MAYLIS</t>
  </si>
  <si>
    <t>PAULIN</t>
  </si>
  <si>
    <t>MAGNY-LA-CAMPAGNE</t>
  </si>
  <si>
    <t>SAUTERNES</t>
  </si>
  <si>
    <t>BERNOT</t>
  </si>
  <si>
    <t>HERLIES</t>
  </si>
  <si>
    <t>UCHON</t>
  </si>
  <si>
    <t>MORTREE</t>
  </si>
  <si>
    <t>BREAL-SOUS-MONTFORT</t>
  </si>
  <si>
    <t>FAUGUERNON</t>
  </si>
  <si>
    <t>WILLIERS</t>
  </si>
  <si>
    <t>VALENTIGNEY</t>
  </si>
  <si>
    <t>GRANDCHAMPS-DES-FONTAINES</t>
  </si>
  <si>
    <t>42150</t>
  </si>
  <si>
    <t>LA RICAMARIE</t>
  </si>
  <si>
    <t>BOSC-HYONS</t>
  </si>
  <si>
    <t>ALLAMONT</t>
  </si>
  <si>
    <t>SAINT-AUPRE</t>
  </si>
  <si>
    <t>67750</t>
  </si>
  <si>
    <t>SCHERWILLER</t>
  </si>
  <si>
    <t>ELESMES</t>
  </si>
  <si>
    <t>ARIES-ESPENAN</t>
  </si>
  <si>
    <t>TREBONS-DE-LUCHON</t>
  </si>
  <si>
    <t>NANTILLE</t>
  </si>
  <si>
    <t>GERPONVILLE</t>
  </si>
  <si>
    <t>LONGUERUE</t>
  </si>
  <si>
    <t>ROCHECHINARD</t>
  </si>
  <si>
    <t>CHAMPOSOULT</t>
  </si>
  <si>
    <t>RODES</t>
  </si>
  <si>
    <t>59700</t>
  </si>
  <si>
    <t>MARCQ-EN-BAROEUL</t>
  </si>
  <si>
    <t>FELDBACH</t>
  </si>
  <si>
    <t>BUCEELS</t>
  </si>
  <si>
    <t>FORCELLES-SAINT-GORGON</t>
  </si>
  <si>
    <t>BOURGNAC</t>
  </si>
  <si>
    <t>14200</t>
  </si>
  <si>
    <t>HEROUVILLE-SAINT-CLAIR</t>
  </si>
  <si>
    <t>VANDELEVILLE</t>
  </si>
  <si>
    <t>RUFFEY-LES-BEAUNE</t>
  </si>
  <si>
    <t>BARZUN</t>
  </si>
  <si>
    <t>MOULIDARS</t>
  </si>
  <si>
    <t>PEROUGES</t>
  </si>
  <si>
    <t>TINTURY</t>
  </si>
  <si>
    <t>BERTIGNAT</t>
  </si>
  <si>
    <t>MONCHY-HUMIERES</t>
  </si>
  <si>
    <t>LA MALMAISON</t>
  </si>
  <si>
    <t>BOISSEZON</t>
  </si>
  <si>
    <t>GARNERANS</t>
  </si>
  <si>
    <t>SEGURET</t>
  </si>
  <si>
    <t>ARTHON</t>
  </si>
  <si>
    <t>GURY</t>
  </si>
  <si>
    <t>SURIAUVILLE</t>
  </si>
  <si>
    <t>SAINT-JULIEN-DU-TERROUX</t>
  </si>
  <si>
    <t>LACELLE</t>
  </si>
  <si>
    <t>PIMORIN</t>
  </si>
  <si>
    <t>TRIE-CHATEAU</t>
  </si>
  <si>
    <t>BIVILLE-LA-BAIGNARDE</t>
  </si>
  <si>
    <t>POMAYROLS</t>
  </si>
  <si>
    <t>BOISYVON</t>
  </si>
  <si>
    <t>FESMY-LE-SART</t>
  </si>
  <si>
    <t>SEMERVILLE</t>
  </si>
  <si>
    <t>ALTECKENDORF</t>
  </si>
  <si>
    <t>SAINT-MARTIN-SAINTE-CATHERINE</t>
  </si>
  <si>
    <t>SOMLOIRE</t>
  </si>
  <si>
    <t>26320</t>
  </si>
  <si>
    <t>SAINT-MARCEL-LES-VALENCE</t>
  </si>
  <si>
    <t>PLOUNEVEZ-MOEDEC</t>
  </si>
  <si>
    <t>BEAUREGARD-VENDON</t>
  </si>
  <si>
    <t>BRATTE</t>
  </si>
  <si>
    <t>MASSAC</t>
  </si>
  <si>
    <t>MONTVICQ</t>
  </si>
  <si>
    <t>ARLEBOSC</t>
  </si>
  <si>
    <t>MACONGE</t>
  </si>
  <si>
    <t>49620</t>
  </si>
  <si>
    <t>22620</t>
  </si>
  <si>
    <t>PLOUBAZLANEC</t>
  </si>
  <si>
    <t>MAZUBY</t>
  </si>
  <si>
    <t>BUNEVILLE</t>
  </si>
  <si>
    <t>60180</t>
  </si>
  <si>
    <t>NOGENT-SUR-OISE</t>
  </si>
  <si>
    <t>TAXAT-SENAT</t>
  </si>
  <si>
    <t>NOTRE-DAME-D'ALIERMONT</t>
  </si>
  <si>
    <t>51350</t>
  </si>
  <si>
    <t>CORMONTREUIL</t>
  </si>
  <si>
    <t>SAINT-SEVER-DE-SAINTONGE</t>
  </si>
  <si>
    <t>SAINT-MARTIN-DE-BRETHENCOURT</t>
  </si>
  <si>
    <t>CHEMERY-SUR-BAR</t>
  </si>
  <si>
    <t>SAINT-VAAST-DIEPPEDALLE</t>
  </si>
  <si>
    <t>WANGEN</t>
  </si>
  <si>
    <t>SAINT-MICHEL-ET-CHANVEAUX</t>
  </si>
  <si>
    <t>CHASSEMY</t>
  </si>
  <si>
    <t>CAILLOUEL-CREPIGNY</t>
  </si>
  <si>
    <t>AMEL-SUR-L'ETANG</t>
  </si>
  <si>
    <t>NEUILLY-SOUS-CLERMONT</t>
  </si>
  <si>
    <t>LA NEUVILLE</t>
  </si>
  <si>
    <t>ASCOU</t>
  </si>
  <si>
    <t>VOREPPE</t>
  </si>
  <si>
    <t>CARLENCAS-ET-LEVAS</t>
  </si>
  <si>
    <t>MONCLAR-SUR-LOSSE</t>
  </si>
  <si>
    <t>VARAIGNES</t>
  </si>
  <si>
    <t>DOMESSIN</t>
  </si>
  <si>
    <t>GERBEROY</t>
  </si>
  <si>
    <t>ROSHEIM</t>
  </si>
  <si>
    <t>SUBLES</t>
  </si>
  <si>
    <t>MOIMAY</t>
  </si>
  <si>
    <t>BOSSET</t>
  </si>
  <si>
    <t>VRONCOURT</t>
  </si>
  <si>
    <t>EPFIG</t>
  </si>
  <si>
    <t>BLANQUEFORT-SUR-BRIOLANCE</t>
  </si>
  <si>
    <t>THOUARCE</t>
  </si>
  <si>
    <t>SERRES-SAINTE-MARIE</t>
  </si>
  <si>
    <t>MONTPELLIER-DE-MEDILLAN</t>
  </si>
  <si>
    <t>QUEMENEVEN</t>
  </si>
  <si>
    <t>VERNEIGES</t>
  </si>
  <si>
    <t>LA BENISSON-DIEU</t>
  </si>
  <si>
    <t>VIC-SUR-SEILLE</t>
  </si>
  <si>
    <t>SOTTEVILLE</t>
  </si>
  <si>
    <t>SAINTE-ORSE</t>
  </si>
  <si>
    <t>LA MOTTE-EN-BAUGES</t>
  </si>
  <si>
    <t>MASSAT</t>
  </si>
  <si>
    <t>VAUX-SUR-VIENNE</t>
  </si>
  <si>
    <t>TART-LE-HAUT</t>
  </si>
  <si>
    <t>CHARMONT-EN-BEAUCE</t>
  </si>
  <si>
    <t>RANGUEVAUX</t>
  </si>
  <si>
    <t>URAU</t>
  </si>
  <si>
    <t>SAINT-MACLOU-DE-FOLLEVILLE</t>
  </si>
  <si>
    <t>BARBAZAN-DEBAT</t>
  </si>
  <si>
    <t>BERVILLE-SUR-MER</t>
  </si>
  <si>
    <t>PLOMB</t>
  </si>
  <si>
    <t>NEUNKIRCHEN-LES-BOUZONVILLE</t>
  </si>
  <si>
    <t>SAINTE-MARIE-D'ALVEY</t>
  </si>
  <si>
    <t>SAINT-CIRICE</t>
  </si>
  <si>
    <t>CHAVORNAY</t>
  </si>
  <si>
    <t>GAZAUPOUY</t>
  </si>
  <si>
    <t>ALLAIN</t>
  </si>
  <si>
    <t>MONCETZ-LONGEVAS</t>
  </si>
  <si>
    <t>SORGEAT</t>
  </si>
  <si>
    <t>GAVISSE</t>
  </si>
  <si>
    <t>LEMBEYE</t>
  </si>
  <si>
    <t>VILLERS-ROTIN</t>
  </si>
  <si>
    <t>CHAUVAC-LAUX-MONTAUX</t>
  </si>
  <si>
    <t>COULOURS</t>
  </si>
  <si>
    <t>BEAUFREMONT</t>
  </si>
  <si>
    <t>CAUROY-LES-HERMONVILLE</t>
  </si>
  <si>
    <t>MEUX</t>
  </si>
  <si>
    <t>DUFFORT</t>
  </si>
  <si>
    <t>PREMEYZEL</t>
  </si>
  <si>
    <t>ESTAMPURES</t>
  </si>
  <si>
    <t>JUAYE-MONDAYE</t>
  </si>
  <si>
    <t>GOUDELIN</t>
  </si>
  <si>
    <t>91380</t>
  </si>
  <si>
    <t>CHILLY-MAZARIN</t>
  </si>
  <si>
    <t>CHASPUZAC</t>
  </si>
  <si>
    <t>TILQUES</t>
  </si>
  <si>
    <t>OUSSE</t>
  </si>
  <si>
    <t>93440</t>
  </si>
  <si>
    <t>DUGNY</t>
  </si>
  <si>
    <t>WASIGNY</t>
  </si>
  <si>
    <t>WAVRANS-SUR-L'AA</t>
  </si>
  <si>
    <t>BAZENS</t>
  </si>
  <si>
    <t>LE MONASTIER-PIN-MORIES</t>
  </si>
  <si>
    <t>VILLECIEN</t>
  </si>
  <si>
    <t>ESPEYRAC</t>
  </si>
  <si>
    <t>54350</t>
  </si>
  <si>
    <t>GRENIER-MONTGON</t>
  </si>
  <si>
    <t>LA TRONCHE</t>
  </si>
  <si>
    <t>VILLENEUVE-LA-GUYARD</t>
  </si>
  <si>
    <t>SAINT-ILLIERS-LA-VILLE</t>
  </si>
  <si>
    <t>ECUTIGNY</t>
  </si>
  <si>
    <t>SAINT-JACQUES-SUR-DARNETAL</t>
  </si>
  <si>
    <t>RUMERSHEIM-LE-HAUT</t>
  </si>
  <si>
    <t>REGNAUVILLE</t>
  </si>
  <si>
    <t>MEUNET-PLANCHES</t>
  </si>
  <si>
    <t>VERNEUGHEOL</t>
  </si>
  <si>
    <t>PLOUGUERNEAU</t>
  </si>
  <si>
    <t>LA VALLEE-MULATRE</t>
  </si>
  <si>
    <t>AILHON</t>
  </si>
  <si>
    <t>PERASSAY</t>
  </si>
  <si>
    <t>ROUGEUX</t>
  </si>
  <si>
    <t>FORTSCHWIHR</t>
  </si>
  <si>
    <t>73550</t>
  </si>
  <si>
    <t>LES ALLUES</t>
  </si>
  <si>
    <t>BUSSIERE-GALANT</t>
  </si>
  <si>
    <t>BRIENNE-LA-VIEILLE</t>
  </si>
  <si>
    <t>CREVECOEUR-SUR-L'ESCAUT</t>
  </si>
  <si>
    <t>CHARMONT-SOUS-BARBUISE</t>
  </si>
  <si>
    <t>CHEVERNY</t>
  </si>
  <si>
    <t>PUYDANIEL</t>
  </si>
  <si>
    <t>MOLINET</t>
  </si>
  <si>
    <t>LAUMESFELD</t>
  </si>
  <si>
    <t>FOREST-SUR-MARQUE</t>
  </si>
  <si>
    <t>VILLERS-COTTERETS</t>
  </si>
  <si>
    <t>LANGE</t>
  </si>
  <si>
    <t>LESQUIELLES-SAINT-GERMAIN</t>
  </si>
  <si>
    <t>19100</t>
  </si>
  <si>
    <t>BRIVE-LA-GAILLARDE</t>
  </si>
  <si>
    <t>DAMMARD</t>
  </si>
  <si>
    <t>BIARRE</t>
  </si>
  <si>
    <t>LACOURT-SAINT-PIERRE</t>
  </si>
  <si>
    <t>SAINT-VICTOUR</t>
  </si>
  <si>
    <t>CHAUMARD</t>
  </si>
  <si>
    <t>93110</t>
  </si>
  <si>
    <t>ROSNY-SOUS-BOIS</t>
  </si>
  <si>
    <t>16710</t>
  </si>
  <si>
    <t>SAINT-YRIEIX-SUR-CHARENTE</t>
  </si>
  <si>
    <t>MENIL-ERREUX</t>
  </si>
  <si>
    <t>ROAILLAN</t>
  </si>
  <si>
    <t>MAISDON-SUR-SEVRE</t>
  </si>
  <si>
    <t>COMBLES-EN-BARROIS</t>
  </si>
  <si>
    <t>SOUTERNON</t>
  </si>
  <si>
    <t>2A131</t>
  </si>
  <si>
    <t>GUAGNO</t>
  </si>
  <si>
    <t>NANGIS</t>
  </si>
  <si>
    <t>FRUGES</t>
  </si>
  <si>
    <t>SEQUEDIN</t>
  </si>
  <si>
    <t>JOU-SOUS-MONJOU</t>
  </si>
  <si>
    <t>TRAMONT-SAINT-ANDRE</t>
  </si>
  <si>
    <t>CHEVANNES-CHANGY</t>
  </si>
  <si>
    <t>HELETTE</t>
  </si>
  <si>
    <t>OISEMONT</t>
  </si>
  <si>
    <t>CORBERE</t>
  </si>
  <si>
    <t>PONT-D'HERY</t>
  </si>
  <si>
    <t>MARY-SUR-MARNE</t>
  </si>
  <si>
    <t>BURLATS</t>
  </si>
  <si>
    <t>AIGRE</t>
  </si>
  <si>
    <t>BAGNOLS-LES-BAINS</t>
  </si>
  <si>
    <t>VILLENEUVE-AU-CHEMIN</t>
  </si>
  <si>
    <t>SENTILLY</t>
  </si>
  <si>
    <t>CHUELLES</t>
  </si>
  <si>
    <t>SAINT-MAURICE-EN-QUERCY</t>
  </si>
  <si>
    <t>GROSBLIEDERSTROFF</t>
  </si>
  <si>
    <t>ANGOUSTRINE-VILLENEUVE-DES-ESCALDES</t>
  </si>
  <si>
    <t>TOLLENT</t>
  </si>
  <si>
    <t>PANCE</t>
  </si>
  <si>
    <t>SAINT-ROME-DE-TARN</t>
  </si>
  <si>
    <t>RONTIGNON</t>
  </si>
  <si>
    <t>BOSC-BENARD-CRESCY</t>
  </si>
  <si>
    <t>NEUVY-LE-ROI</t>
  </si>
  <si>
    <t>VERS-SUR-MEOUGE</t>
  </si>
  <si>
    <t>SAINT-ANTOINE-LA-FORET</t>
  </si>
  <si>
    <t>NIEUL-LES-SAINTES</t>
  </si>
  <si>
    <t>COURSON-LES-CARRIERES</t>
  </si>
  <si>
    <t>CHATELRAOULD-SAINT-LOUVENT</t>
  </si>
  <si>
    <t>MONTIERCHAUME</t>
  </si>
  <si>
    <t>SAINT-GERMAIN-ET-MONS</t>
  </si>
  <si>
    <t>MONTOULIEU-SAINT-BERNARD</t>
  </si>
  <si>
    <t>BRECHAINVILLE</t>
  </si>
  <si>
    <t>COURCELLES-LA-FORET</t>
  </si>
  <si>
    <t>SAINT-PHILBERT-DE-GRAND-LIEU</t>
  </si>
  <si>
    <t>TENCE</t>
  </si>
  <si>
    <t>DAMPIERRE-EN-BRESSE</t>
  </si>
  <si>
    <t>LA NEUVILLE-LES-DORENGT</t>
  </si>
  <si>
    <t>SAINT-VINCENT-DE-CONNEZAC</t>
  </si>
  <si>
    <t>UGINE</t>
  </si>
  <si>
    <t>NEUF-BRISACH</t>
  </si>
  <si>
    <t>DOMENE</t>
  </si>
  <si>
    <t>SAUVAIN</t>
  </si>
  <si>
    <t>RETONFEY</t>
  </si>
  <si>
    <t>SAINT-MARS-DE-COUTAIS</t>
  </si>
  <si>
    <t>MOUFFY</t>
  </si>
  <si>
    <t>SAINT-SULPICE-LE-GUERETOIS</t>
  </si>
  <si>
    <t>LE MONTELLIER</t>
  </si>
  <si>
    <t>ESNES-EN-ARGONNE</t>
  </si>
  <si>
    <t>VISONCOURT</t>
  </si>
  <si>
    <t>ROMAZIERES</t>
  </si>
  <si>
    <t>MITTLACH</t>
  </si>
  <si>
    <t>SEVIGNACQ</t>
  </si>
  <si>
    <t>SEPTEME</t>
  </si>
  <si>
    <t>JAINVILLOTTE</t>
  </si>
  <si>
    <t>QUEVILLONCOURT</t>
  </si>
  <si>
    <t>SAINT-PAUL-AUX-BOIS</t>
  </si>
  <si>
    <t>TOURNON-D'AGENAIS</t>
  </si>
  <si>
    <t>L'HERMITIERE</t>
  </si>
  <si>
    <t>TROSLY-BREUIL</t>
  </si>
  <si>
    <t>LA FERTE-CHEVRESIS</t>
  </si>
  <si>
    <t>SAINT-BONNET-PRES-ORCIVAL</t>
  </si>
  <si>
    <t>SAINT-VINCENT-DU-BOULAY</t>
  </si>
  <si>
    <t>NENIGAN</t>
  </si>
  <si>
    <t>HUBY-SAINT-LEU</t>
  </si>
  <si>
    <t>HADOL</t>
  </si>
  <si>
    <t>JUSSARUPT</t>
  </si>
  <si>
    <t>2B013</t>
  </si>
  <si>
    <t>ALZI</t>
  </si>
  <si>
    <t>SEMALENS</t>
  </si>
  <si>
    <t>SAINTE-LHEURINE</t>
  </si>
  <si>
    <t>43810</t>
  </si>
  <si>
    <t>ROCHE-EN-REGNIER</t>
  </si>
  <si>
    <t>MIRBEL</t>
  </si>
  <si>
    <t>GEORFANS</t>
  </si>
  <si>
    <t>VOUARCES</t>
  </si>
  <si>
    <t>BREZILHAC</t>
  </si>
  <si>
    <t>HEUILLEY-LE-GRAND</t>
  </si>
  <si>
    <t>SERMOYER</t>
  </si>
  <si>
    <t>MOLESME</t>
  </si>
  <si>
    <t>BIENVILLE</t>
  </si>
  <si>
    <t>VIRSON</t>
  </si>
  <si>
    <t>2A008</t>
  </si>
  <si>
    <t>ALBITRECCIA</t>
  </si>
  <si>
    <t>CHAUVE</t>
  </si>
  <si>
    <t>LE TERTRE-SAINT-DENIS</t>
  </si>
  <si>
    <t>BIDART</t>
  </si>
  <si>
    <t>COUDRES</t>
  </si>
  <si>
    <t>CRASVILLE-LA-MALLET</t>
  </si>
  <si>
    <t>FESTIEUX</t>
  </si>
  <si>
    <t>JOUY-LE-CHATEL</t>
  </si>
  <si>
    <t>ETAIS</t>
  </si>
  <si>
    <t>TURCEY</t>
  </si>
  <si>
    <t>RUBIGNY</t>
  </si>
  <si>
    <t>VILLARS-EN-AZOIS</t>
  </si>
  <si>
    <t>ROUFFIAC-DES-CORBIERES</t>
  </si>
  <si>
    <t>BOULEUSE</t>
  </si>
  <si>
    <t>ORCHES</t>
  </si>
  <si>
    <t>PRETOT-SAINTE-SUZANNE</t>
  </si>
  <si>
    <t>SAINT-DIZIER</t>
  </si>
  <si>
    <t>ACHIET-LE-GRAND</t>
  </si>
  <si>
    <t>NESTIER</t>
  </si>
  <si>
    <t>CHAMARANDES-CHOIGNES</t>
  </si>
  <si>
    <t>LANGUENAN</t>
  </si>
  <si>
    <t>DOMARIN</t>
  </si>
  <si>
    <t>SAINT-GEORGES-DE-BAROILLE</t>
  </si>
  <si>
    <t>CAP-D'AIL</t>
  </si>
  <si>
    <t>CALMONT</t>
  </si>
  <si>
    <t>SAINT-PIERRE-D'ARGENCON</t>
  </si>
  <si>
    <t>LUGLON</t>
  </si>
  <si>
    <t>LA CHAPELLE-ORTHEMALE</t>
  </si>
  <si>
    <t>LE TILLEUL-OTHON</t>
  </si>
  <si>
    <t>COUZE-ET-SAINT-FRONT</t>
  </si>
  <si>
    <t>PRANZAC</t>
  </si>
  <si>
    <t>ANGEOT</t>
  </si>
  <si>
    <t>CLAVEYSON</t>
  </si>
  <si>
    <t>91230</t>
  </si>
  <si>
    <t>MONTGERON</t>
  </si>
  <si>
    <t>95160</t>
  </si>
  <si>
    <t>MONTMORENCY</t>
  </si>
  <si>
    <t>LABASTIDE-VILLEFRANCHE</t>
  </si>
  <si>
    <t>LA GRIGONNAIS</t>
  </si>
  <si>
    <t>ROUMAGNE</t>
  </si>
  <si>
    <t>INGUINIEL</t>
  </si>
  <si>
    <t>TENCIN</t>
  </si>
  <si>
    <t>MUSSY-LA-FOSSE</t>
  </si>
  <si>
    <t>SAILLENARD</t>
  </si>
  <si>
    <t>SAINT-LOYER-DES-CHAMPS</t>
  </si>
  <si>
    <t>CASSUEJOULS</t>
  </si>
  <si>
    <t>VAOUR</t>
  </si>
  <si>
    <t>SAINTE-EUPHEMIE-SUR-OUVEZE</t>
  </si>
  <si>
    <t>MONT-DE-L'IF</t>
  </si>
  <si>
    <t>SIGALE</t>
  </si>
  <si>
    <t>POLLIAT</t>
  </si>
  <si>
    <t>HAGENBACH</t>
  </si>
  <si>
    <t>93230</t>
  </si>
  <si>
    <t>ROMAINVILLE</t>
  </si>
  <si>
    <t>CHASNANS</t>
  </si>
  <si>
    <t>SAINT-MAURICE-MONTCOURONNE</t>
  </si>
  <si>
    <t>97412</t>
  </si>
  <si>
    <t>BRAS-PANON</t>
  </si>
  <si>
    <t>MAULEON-LICHARRE</t>
  </si>
  <si>
    <t>REBOURGUIL</t>
  </si>
  <si>
    <t>BAVERANS</t>
  </si>
  <si>
    <t>SAINT-FOLQUIN</t>
  </si>
  <si>
    <t>LE POET-SIGILLAT</t>
  </si>
  <si>
    <t>SAINT-GINEIS-EN-COIRON</t>
  </si>
  <si>
    <t>CHAMPFLEUR</t>
  </si>
  <si>
    <t>SAINT-CERNIN-DE-LARCHE</t>
  </si>
  <si>
    <t>83550</t>
  </si>
  <si>
    <t>VIDAUBAN</t>
  </si>
  <si>
    <t>LA COUARDE</t>
  </si>
  <si>
    <t>SAINT-PIERRE-DE-MONS</t>
  </si>
  <si>
    <t>DAIX</t>
  </si>
  <si>
    <t>SAINT-CLEMENTIN</t>
  </si>
  <si>
    <t>PIERRE-CHATEL</t>
  </si>
  <si>
    <t>CIZOS</t>
  </si>
  <si>
    <t>85180</t>
  </si>
  <si>
    <t>CHATEAU-D'OLONNE</t>
  </si>
  <si>
    <t>GY-EN-SOLOGNE</t>
  </si>
  <si>
    <t>ROUPY</t>
  </si>
  <si>
    <t>AUVE</t>
  </si>
  <si>
    <t>SAINT-JEAN-DE-VAUX</t>
  </si>
  <si>
    <t>HIIS</t>
  </si>
  <si>
    <t>MARILLAC-LE-FRANC</t>
  </si>
  <si>
    <t>78340</t>
  </si>
  <si>
    <t>LES CLAYES-SOUS-BOIS</t>
  </si>
  <si>
    <t>GUERQUESALLES</t>
  </si>
  <si>
    <t>GADANCOURT</t>
  </si>
  <si>
    <t>BRILLECOURT</t>
  </si>
  <si>
    <t>PORTE-JOIE</t>
  </si>
  <si>
    <t>BRUSSEY</t>
  </si>
  <si>
    <t>LES CERQUEUX-SOUS-PASSAVANT</t>
  </si>
  <si>
    <t>SAINT-FROMOND</t>
  </si>
  <si>
    <t>MOUTERHOUSE</t>
  </si>
  <si>
    <t>EPIZON</t>
  </si>
  <si>
    <t>BOIS-NORMAND-PRES-LYRE</t>
  </si>
  <si>
    <t>5320</t>
  </si>
  <si>
    <t>LA GRAVE</t>
  </si>
  <si>
    <t>CAGNAC-LES-MINES</t>
  </si>
  <si>
    <t>ASTE-BEON</t>
  </si>
  <si>
    <t>CATIGNY</t>
  </si>
  <si>
    <t>NEUFMAISONS</t>
  </si>
  <si>
    <t>BAINS-LES-BAINS</t>
  </si>
  <si>
    <t>GOULET</t>
  </si>
  <si>
    <t>IPPECOURT</t>
  </si>
  <si>
    <t>ARC-EN-BARROIS</t>
  </si>
  <si>
    <t>BOUILH-DEVANT</t>
  </si>
  <si>
    <t>LACROIX-SUR-MEUSE</t>
  </si>
  <si>
    <t>VAUX-SUR-BLAISE</t>
  </si>
  <si>
    <t>SAINT-JEAN-DE-BEAUREGARD</t>
  </si>
  <si>
    <t>83143</t>
  </si>
  <si>
    <t>LE VAL</t>
  </si>
  <si>
    <t>MONTVERT</t>
  </si>
  <si>
    <t>LAVOUX</t>
  </si>
  <si>
    <t>PARAY-LE-MONIAL</t>
  </si>
  <si>
    <t>URCAY</t>
  </si>
  <si>
    <t>MARTINET</t>
  </si>
  <si>
    <t>MARIGNY-MARMANDE</t>
  </si>
  <si>
    <t>AVESNES-CHAUSSOY</t>
  </si>
  <si>
    <t>COURLEON</t>
  </si>
  <si>
    <t>GAMACHES</t>
  </si>
  <si>
    <t>ARGANCON</t>
  </si>
  <si>
    <t>BREGNIER-CORDON</t>
  </si>
  <si>
    <t>SAINT-GILDAS</t>
  </si>
  <si>
    <t>OGER</t>
  </si>
  <si>
    <t>2B313</t>
  </si>
  <si>
    <t>SAN-NICOLAO</t>
  </si>
  <si>
    <t>BERNEUIL-EN-BRAY</t>
  </si>
  <si>
    <t>SERRAVAL</t>
  </si>
  <si>
    <t>AMBLANS-ET-VELOTTE</t>
  </si>
  <si>
    <t>EVRECY</t>
  </si>
  <si>
    <t>ROCHEFORT-SUR-LOIRE</t>
  </si>
  <si>
    <t>SAINT-EVROULT-NOTRE-DAME-DU-BOIS</t>
  </si>
  <si>
    <t>SAINT-JEAN-DES-OLLIERES</t>
  </si>
  <si>
    <t>LA CHAPELLE-RAMBAUD</t>
  </si>
  <si>
    <t>SAINT-AUBIN-DE-BONNEVAL</t>
  </si>
  <si>
    <t>SAINT-SEBASTIEN-DE-MORSENT</t>
  </si>
  <si>
    <t>BONNETAN</t>
  </si>
  <si>
    <t>PLANCHEZ</t>
  </si>
  <si>
    <t>LES IFS</t>
  </si>
  <si>
    <t>BAS-LIEU</t>
  </si>
  <si>
    <t>MARTAINVILLE-EPREVILLE</t>
  </si>
  <si>
    <t>BETHON</t>
  </si>
  <si>
    <t>SAINT-PAUL-DE-VEZELIN</t>
  </si>
  <si>
    <t>VILLONS-LES-BUISSONS</t>
  </si>
  <si>
    <t>TRAVECY</t>
  </si>
  <si>
    <t>SAINT-PIERRE-DU-FRESNE</t>
  </si>
  <si>
    <t>SAINT-JEAN-DES-MAUVRETS</t>
  </si>
  <si>
    <t>44500</t>
  </si>
  <si>
    <t>LA BAULE-ESCOUBLAC</t>
  </si>
  <si>
    <t>VIVEROLS</t>
  </si>
  <si>
    <t>NOYAL-PONTIVY</t>
  </si>
  <si>
    <t>WALDOLWISHEIM</t>
  </si>
  <si>
    <t>STONNE</t>
  </si>
  <si>
    <t>FRAYSSINET-LE-GELAT</t>
  </si>
  <si>
    <t>COMBREE</t>
  </si>
  <si>
    <t>MARCHAUX</t>
  </si>
  <si>
    <t>AUBIGNY-LES-POTHEES</t>
  </si>
  <si>
    <t>MITTAINVILLIERS</t>
  </si>
  <si>
    <t>SAINT-CAPRAIS-DE-BORDEAUX</t>
  </si>
  <si>
    <t>59000/59160/59260/59777/59800</t>
  </si>
  <si>
    <t>LILLE</t>
  </si>
  <si>
    <t>BROGNARD</t>
  </si>
  <si>
    <t>LA MARTRE</t>
  </si>
  <si>
    <t>CAMBLANES-ET-MEYNAC</t>
  </si>
  <si>
    <t>GIF-SUR-YVETTE</t>
  </si>
  <si>
    <t>MONTJAUX</t>
  </si>
  <si>
    <t>VAUCHIGNON</t>
  </si>
  <si>
    <t>FRAZE</t>
  </si>
  <si>
    <t>PACY-SUR-EURE</t>
  </si>
  <si>
    <t>SAINT-AVIT-DE-SOULEGE</t>
  </si>
  <si>
    <t>CHEVRY-EN-SEREINE</t>
  </si>
  <si>
    <t>MONBAZILLAC</t>
  </si>
  <si>
    <t>VILLENEUVE-RENNEVILLE-CHEVIGNY</t>
  </si>
  <si>
    <t>VEZINNES</t>
  </si>
  <si>
    <t>RELEVANT</t>
  </si>
  <si>
    <t>LE MESNIL-AMELOT</t>
  </si>
  <si>
    <t>CHALMAISON</t>
  </si>
  <si>
    <t>31870</t>
  </si>
  <si>
    <t>LAGARDELLE-SUR-LEZE</t>
  </si>
  <si>
    <t>GARCHIZY</t>
  </si>
  <si>
    <t>59590</t>
  </si>
  <si>
    <t>RAISMES</t>
  </si>
  <si>
    <t>ORE</t>
  </si>
  <si>
    <t>BERLATS</t>
  </si>
  <si>
    <t>IBIGNY</t>
  </si>
  <si>
    <t>ANSERVILLE</t>
  </si>
  <si>
    <t>PREMIERFAIT</t>
  </si>
  <si>
    <t>HETTENSCHLAG</t>
  </si>
  <si>
    <t>LIERGUES</t>
  </si>
  <si>
    <t>63117</t>
  </si>
  <si>
    <t>CHAURIAT</t>
  </si>
  <si>
    <t>CARNEVILLE</t>
  </si>
  <si>
    <t>GRAND</t>
  </si>
  <si>
    <t>QUIBERON</t>
  </si>
  <si>
    <t>COULONGES-THOUARSAIS</t>
  </si>
  <si>
    <t>ACQUIN-WESTBECOURT</t>
  </si>
  <si>
    <t>BAISIEUX</t>
  </si>
  <si>
    <t>LES CHAMBRES</t>
  </si>
  <si>
    <t>LA BROSSE-MONTCEAUX</t>
  </si>
  <si>
    <t>MAS-GRENIER</t>
  </si>
  <si>
    <t>RAFFETOT</t>
  </si>
  <si>
    <t>JAULNAY</t>
  </si>
  <si>
    <t>BREILLY</t>
  </si>
  <si>
    <t>SAINT-JULIEN-DE-TOURSAC</t>
  </si>
  <si>
    <t>HARCY</t>
  </si>
  <si>
    <t>VIC-SOUS-THIL</t>
  </si>
  <si>
    <t>ROIFFIEUX</t>
  </si>
  <si>
    <t>SAINT-PALAIS-DU-NE</t>
  </si>
  <si>
    <t>CHAMPIEN</t>
  </si>
  <si>
    <t>VAXONCOURT</t>
  </si>
  <si>
    <t>NONZEVILLE</t>
  </si>
  <si>
    <t>SAINT-OYEN</t>
  </si>
  <si>
    <t>JETTINGEN</t>
  </si>
  <si>
    <t>ESPERAZA</t>
  </si>
  <si>
    <t>SINCENY</t>
  </si>
  <si>
    <t>L'EPINE-AUX-BOIS</t>
  </si>
  <si>
    <t>54129</t>
  </si>
  <si>
    <t>MAGNIERES</t>
  </si>
  <si>
    <t>SAINT-VICTOR-DE-MORESTEL</t>
  </si>
  <si>
    <t>2B116</t>
  </si>
  <si>
    <t>FOCICCHIA</t>
  </si>
  <si>
    <t>SAINT-LEGER-BRIDEREIX</t>
  </si>
  <si>
    <t>MONTMARTIN-SUR-MER</t>
  </si>
  <si>
    <t>ROUVRES-EN-MULTIEN</t>
  </si>
  <si>
    <t>LA HAUTEVILLE</t>
  </si>
  <si>
    <t>LA NOCLE-MAULAIX</t>
  </si>
  <si>
    <t>69600</t>
  </si>
  <si>
    <t>OULLINS</t>
  </si>
  <si>
    <t>77340</t>
  </si>
  <si>
    <t>PONTAULT-COMBAULT</t>
  </si>
  <si>
    <t>CAILLE</t>
  </si>
  <si>
    <t>BRUVILLE</t>
  </si>
  <si>
    <t>LE HANOUARD</t>
  </si>
  <si>
    <t>VORAY-SUR-L'OGNON</t>
  </si>
  <si>
    <t>VER-LES-CHARTRES</t>
  </si>
  <si>
    <t>SAINT-OUEN-LE-HOUX</t>
  </si>
  <si>
    <t>POMMERET</t>
  </si>
  <si>
    <t>COLLINEE</t>
  </si>
  <si>
    <t>CLERIEUX</t>
  </si>
  <si>
    <t>AOUSTE-SUR-SYE</t>
  </si>
  <si>
    <t>CHALANCEY</t>
  </si>
  <si>
    <t>LE LUHIER</t>
  </si>
  <si>
    <t>LA ROQUETTE-SUR-VAR</t>
  </si>
  <si>
    <t>MOLLKIRCH</t>
  </si>
  <si>
    <t>SAINT-LAURENT-LES-TOURS</t>
  </si>
  <si>
    <t>LA GONTERIE-BOULOUNEIX</t>
  </si>
  <si>
    <t>YENNE</t>
  </si>
  <si>
    <t>LA MOTTE-FANJAS</t>
  </si>
  <si>
    <t>LANDREMONT</t>
  </si>
  <si>
    <t>BALACET</t>
  </si>
  <si>
    <t>VILLENAVE-DE-RIONS</t>
  </si>
  <si>
    <t>AUNEUIL</t>
  </si>
  <si>
    <t>BEAUVAIN</t>
  </si>
  <si>
    <t>CONCORES</t>
  </si>
  <si>
    <t>DARNEY</t>
  </si>
  <si>
    <t>ROCHES-LES-BLAMONT</t>
  </si>
  <si>
    <t>LANDAVILLE</t>
  </si>
  <si>
    <t>MONTREUIL-EN-TOURAINE</t>
  </si>
  <si>
    <t>LES EPARGES</t>
  </si>
  <si>
    <t>SAINT-MARTIN-LA-CAMPAGNE</t>
  </si>
  <si>
    <t>CHENICOURT</t>
  </si>
  <si>
    <t>ARESSY</t>
  </si>
  <si>
    <t>TEYSSIEU</t>
  </si>
  <si>
    <t>LA FLOCELLIERE</t>
  </si>
  <si>
    <t>COURTELEVANT</t>
  </si>
  <si>
    <t>PLOGONNEC</t>
  </si>
  <si>
    <t>BEAUCOUZE</t>
  </si>
  <si>
    <t>CAUDEBEC-EN-CAUX</t>
  </si>
  <si>
    <t>NOUSTY</t>
  </si>
  <si>
    <t>LABEYRIE</t>
  </si>
  <si>
    <t>GUIGNECOURT</t>
  </si>
  <si>
    <t>DONTREIX</t>
  </si>
  <si>
    <t>BOSSANCOURT</t>
  </si>
  <si>
    <t>LADIGNAC-SUR-RONDELLES</t>
  </si>
  <si>
    <t>GAPENNES</t>
  </si>
  <si>
    <t>MONLAUR-BERNET</t>
  </si>
  <si>
    <t>MADIRAC</t>
  </si>
  <si>
    <t>VOUILLE-LES-MARAIS</t>
  </si>
  <si>
    <t>ISSOUDUN</t>
  </si>
  <si>
    <t>MOYEMONT</t>
  </si>
  <si>
    <t>LOCHES-SUR-OURCE</t>
  </si>
  <si>
    <t>57850</t>
  </si>
  <si>
    <t>DABO</t>
  </si>
  <si>
    <t>CULOZ</t>
  </si>
  <si>
    <t>LABASTIDE-ESPARBAIRENQUE</t>
  </si>
  <si>
    <t>FILLIERES</t>
  </si>
  <si>
    <t>TALMONT-SAINT-HILAIRE</t>
  </si>
  <si>
    <t>BIVIERS</t>
  </si>
  <si>
    <t>SARS-LE-BOIS</t>
  </si>
  <si>
    <t>SORTOSVILLE-EN-BEAUMONT</t>
  </si>
  <si>
    <t>LANGESSE</t>
  </si>
  <si>
    <t>VITRY-EN-ARTOIS</t>
  </si>
  <si>
    <t>GUILLAUMES</t>
  </si>
  <si>
    <t>BEYCHAC-ET-CAILLAU</t>
  </si>
  <si>
    <t>PUJAUDRAN</t>
  </si>
  <si>
    <t>PARCIEUX</t>
  </si>
  <si>
    <t>LANGY</t>
  </si>
  <si>
    <t>CUBLAC</t>
  </si>
  <si>
    <t>OLONZAC</t>
  </si>
  <si>
    <t>GASQUES</t>
  </si>
  <si>
    <t>DAMMARTIN-SUR-TIGEAUX</t>
  </si>
  <si>
    <t>CROSSAC</t>
  </si>
  <si>
    <t>2B105</t>
  </si>
  <si>
    <t>ERBAJOLO</t>
  </si>
  <si>
    <t>ACQ</t>
  </si>
  <si>
    <t>GRENAY</t>
  </si>
  <si>
    <t>VEBRET</t>
  </si>
  <si>
    <t>MIRAMONT-DE-COMMINGES</t>
  </si>
  <si>
    <t>LA CHAUMUSSE</t>
  </si>
  <si>
    <t>CAMBLIGNEUL</t>
  </si>
  <si>
    <t>COMMEAUX</t>
  </si>
  <si>
    <t>BATILLY-EN-GATINAIS</t>
  </si>
  <si>
    <t>KUTTOLSHEIM</t>
  </si>
  <si>
    <t>SAUGEOT</t>
  </si>
  <si>
    <t>MOUTIERS-SOUS-ARGENTON</t>
  </si>
  <si>
    <t>NOHANT-EN-GRACAY</t>
  </si>
  <si>
    <t>94300</t>
  </si>
  <si>
    <t>VINCENNES</t>
  </si>
  <si>
    <t>SAINT-JUST-SAUVAGE</t>
  </si>
  <si>
    <t>ARBORAS</t>
  </si>
  <si>
    <t>VIC-EN-BIGORRE</t>
  </si>
  <si>
    <t>SAINT-ABRAHAM</t>
  </si>
  <si>
    <t>FALCK</t>
  </si>
  <si>
    <t>DEVILLE</t>
  </si>
  <si>
    <t>DOMESSARGUES</t>
  </si>
  <si>
    <t>1570</t>
  </si>
  <si>
    <t>VESINES</t>
  </si>
  <si>
    <t>MEROUX</t>
  </si>
  <si>
    <t>SAINTE-CROIX-AUX-MINES</t>
  </si>
  <si>
    <t>ETAVES-ET-BOCQUIAUX</t>
  </si>
  <si>
    <t>MONTBOILLON</t>
  </si>
  <si>
    <t>LALINDE</t>
  </si>
  <si>
    <t>SAINT-JEAN-D'ANGLE</t>
  </si>
  <si>
    <t>LONGUEIL-SAINTE-MARIE</t>
  </si>
  <si>
    <t>MORTAIN</t>
  </si>
  <si>
    <t>SAXEL</t>
  </si>
  <si>
    <t>ILLOUD</t>
  </si>
  <si>
    <t>MONTCHARVOT</t>
  </si>
  <si>
    <t>OUROUER-LES-BOURDELINS</t>
  </si>
  <si>
    <t>ARTOLSHEIM</t>
  </si>
  <si>
    <t>MENNOUVEAUX</t>
  </si>
  <si>
    <t>TAMNIES</t>
  </si>
  <si>
    <t>VANDENESSE</t>
  </si>
  <si>
    <t>BRISSY-HAMEGICOURT</t>
  </si>
  <si>
    <t>PRIAIRES</t>
  </si>
  <si>
    <t>SAINT-MAY</t>
  </si>
  <si>
    <t>CHARNOIS</t>
  </si>
  <si>
    <t>FLEURY-SUR-ORNE</t>
  </si>
  <si>
    <t>ASSAY</t>
  </si>
  <si>
    <t>SERCY</t>
  </si>
  <si>
    <t>MOUAVILLE</t>
  </si>
  <si>
    <t>JARRIER</t>
  </si>
  <si>
    <t>FOUQUENIES</t>
  </si>
  <si>
    <t>YZEURE</t>
  </si>
  <si>
    <t>91680</t>
  </si>
  <si>
    <t>COURSON-MONTELOUP</t>
  </si>
  <si>
    <t>GRANDRUPT-DE-BAINS</t>
  </si>
  <si>
    <t>LES SIEGES</t>
  </si>
  <si>
    <t>GEMOZAC</t>
  </si>
  <si>
    <t>LA HOGUETTE</t>
  </si>
  <si>
    <t>CONS-SAINTE-COLOMBE</t>
  </si>
  <si>
    <t>GUIGNEN</t>
  </si>
  <si>
    <t>LESCURE</t>
  </si>
  <si>
    <t>BIANS-LES-USIERS</t>
  </si>
  <si>
    <t>LA CLUSE-ET-MIJOUX</t>
  </si>
  <si>
    <t>EPLY</t>
  </si>
  <si>
    <t>NANGY</t>
  </si>
  <si>
    <t>NEUILLE</t>
  </si>
  <si>
    <t>CHAILLY-EN-BIERE</t>
  </si>
  <si>
    <t>LA VOULTE-SUR-RHONE</t>
  </si>
  <si>
    <t>CLAVANS-EN-HAUT-OISANS</t>
  </si>
  <si>
    <t>EPAUMESNIL</t>
  </si>
  <si>
    <t>LAQUEUILLE</t>
  </si>
  <si>
    <t>PARGNY-SOUS-MUREAU</t>
  </si>
  <si>
    <t>PREGILBERT</t>
  </si>
  <si>
    <t>MONTAGUT</t>
  </si>
  <si>
    <t>LES INFOURNAS</t>
  </si>
  <si>
    <t>STIRING-WENDEL</t>
  </si>
  <si>
    <t>57455</t>
  </si>
  <si>
    <t>SEINGBOUSE</t>
  </si>
  <si>
    <t>BOURG-ARGENTAL</t>
  </si>
  <si>
    <t>ARTIGNOSC-SUR-VERDON</t>
  </si>
  <si>
    <t>ENTREVENNES</t>
  </si>
  <si>
    <t>HELFRANTZKIRCH</t>
  </si>
  <si>
    <t>LA CHAPELLE-JANSON</t>
  </si>
  <si>
    <t>SAINT-GENIS</t>
  </si>
  <si>
    <t>NEUVIC-ENTIER</t>
  </si>
  <si>
    <t>SAINT-CENERI-LE-GEREI</t>
  </si>
  <si>
    <t>ARCHAMPS</t>
  </si>
  <si>
    <t>CHANTEAU</t>
  </si>
  <si>
    <t>PLAINE</t>
  </si>
  <si>
    <t>PLOUENAN</t>
  </si>
  <si>
    <t>QUERENAING</t>
  </si>
  <si>
    <t>14760</t>
  </si>
  <si>
    <t>BRETTEVILLE-SUR-ODON</t>
  </si>
  <si>
    <t>ARRANCY</t>
  </si>
  <si>
    <t>PUYREAUX</t>
  </si>
  <si>
    <t>SAINT-AMANCET</t>
  </si>
  <si>
    <t>SAINT-SAUVEUR-DE-FLEE</t>
  </si>
  <si>
    <t>GENIS</t>
  </si>
  <si>
    <t>23290</t>
  </si>
  <si>
    <t>SAINT-PIERRE-DE-FURSAC</t>
  </si>
  <si>
    <t>ANDOUQUE</t>
  </si>
  <si>
    <t>2B184</t>
  </si>
  <si>
    <t>OLCANI</t>
  </si>
  <si>
    <t>VILLARD-REYMOND</t>
  </si>
  <si>
    <t>VENDEL</t>
  </si>
  <si>
    <t>VANVEY</t>
  </si>
  <si>
    <t>CRAPEAUMESNIL</t>
  </si>
  <si>
    <t>MONTPOTHIER</t>
  </si>
  <si>
    <t>MONTMEILLANT</t>
  </si>
  <si>
    <t>FRESNOY-LA-RIVIERE</t>
  </si>
  <si>
    <t>KERLAZ</t>
  </si>
  <si>
    <t>BERMICOURT</t>
  </si>
  <si>
    <t>RIANS</t>
  </si>
  <si>
    <t>44740</t>
  </si>
  <si>
    <t>BATZ-SUR-MER</t>
  </si>
  <si>
    <t>FERRIERES-SAINT-MARY</t>
  </si>
  <si>
    <t>VANLAY</t>
  </si>
  <si>
    <t>DONNAY</t>
  </si>
  <si>
    <t>AMES</t>
  </si>
  <si>
    <t>BERTRICOURT</t>
  </si>
  <si>
    <t>ROGNA</t>
  </si>
  <si>
    <t>YSSINGEAUX</t>
  </si>
  <si>
    <t>LABASTIDE-CEZERACQ</t>
  </si>
  <si>
    <t>LAVOURS</t>
  </si>
  <si>
    <t>91910</t>
  </si>
  <si>
    <t>SAINT-SULPICE-DE-FAVIERES</t>
  </si>
  <si>
    <t>SAINT-BENOIT-DU-SAULT</t>
  </si>
  <si>
    <t>BELLEGARDE-EN-DIOIS</t>
  </si>
  <si>
    <t>CUBELLES</t>
  </si>
  <si>
    <t>BOULOC</t>
  </si>
  <si>
    <t>VOUVRAY-SUR-HUISNE</t>
  </si>
  <si>
    <t>SAINT-GOAZEC</t>
  </si>
  <si>
    <t>LE HERON</t>
  </si>
  <si>
    <t>NORT-SUR-ERDRE</t>
  </si>
  <si>
    <t>SAINT-ROMANS</t>
  </si>
  <si>
    <t>RILLY-SUR-VIENNE</t>
  </si>
  <si>
    <t>FRONTENEX</t>
  </si>
  <si>
    <t>CIVRAC-DE-BLAYE</t>
  </si>
  <si>
    <t>MONTCOURT-FROMONVILLE</t>
  </si>
  <si>
    <t>LES MOERES</t>
  </si>
  <si>
    <t>SAINT-NAZAIRE-DE-PEZAN</t>
  </si>
  <si>
    <t>BETAILLE</t>
  </si>
  <si>
    <t>LE THEIL-BOCAGE</t>
  </si>
  <si>
    <t>2A360</t>
  </si>
  <si>
    <t>ZIGLIARA</t>
  </si>
  <si>
    <t>ELBACH</t>
  </si>
  <si>
    <t>FRISE</t>
  </si>
  <si>
    <t>SAINT-MARS-LA-JAILLE</t>
  </si>
  <si>
    <t>NANTOUILLET</t>
  </si>
  <si>
    <t>COURS-DE-MONSEGUR</t>
  </si>
  <si>
    <t>13310</t>
  </si>
  <si>
    <t>SAINT-MARTIN-DE-CRAU</t>
  </si>
  <si>
    <t>BEZE</t>
  </si>
  <si>
    <t>CLERMONT-EN-ARGONNE</t>
  </si>
  <si>
    <t>ANNEVILLE-SUR-SCIE</t>
  </si>
  <si>
    <t>PORCHEVILLE</t>
  </si>
  <si>
    <t>MORLAAS</t>
  </si>
  <si>
    <t>SAINTE-MARIE-DE-GOSSE</t>
  </si>
  <si>
    <t>LE GOURAY</t>
  </si>
  <si>
    <t>SAINT-POTAN</t>
  </si>
  <si>
    <t>FROUZINS</t>
  </si>
  <si>
    <t>LES HOPITAUX-VIEUX</t>
  </si>
  <si>
    <t>58450</t>
  </si>
  <si>
    <t>NEUVY-SUR-LOIRE</t>
  </si>
  <si>
    <t>SAINT-DENIS-LES-BOURG</t>
  </si>
  <si>
    <t>IMLING</t>
  </si>
  <si>
    <t>SAINT-HILAIRE-DE-COURT</t>
  </si>
  <si>
    <t>JEANMENIL</t>
  </si>
  <si>
    <t>VILLERS-LE-ROND</t>
  </si>
  <si>
    <t>42840</t>
  </si>
  <si>
    <t>COUFLENS</t>
  </si>
  <si>
    <t>57155</t>
  </si>
  <si>
    <t>MARLY</t>
  </si>
  <si>
    <t>LIEUCOURT</t>
  </si>
  <si>
    <t>CUBIERES</t>
  </si>
  <si>
    <t>CONTE</t>
  </si>
  <si>
    <t>SAINTE-VERTU</t>
  </si>
  <si>
    <t>CUZORN</t>
  </si>
  <si>
    <t>TARON-SADIRAC-VIELLENAVE</t>
  </si>
  <si>
    <t>LEMBERG</t>
  </si>
  <si>
    <t>56600</t>
  </si>
  <si>
    <t>LANESTER</t>
  </si>
  <si>
    <t>LARRAZET</t>
  </si>
  <si>
    <t>SAINT-ANDRE-DE-CHALENCON</t>
  </si>
  <si>
    <t>VILLERS-SAINT-PAUL</t>
  </si>
  <si>
    <t>MONTBETON</t>
  </si>
  <si>
    <t>RIAUCOURT</t>
  </si>
  <si>
    <t>SAINT-GEORGES-DE-LA-RIVIERE</t>
  </si>
  <si>
    <t>SAINT-JEAN-D'HERANS</t>
  </si>
  <si>
    <t>SAUCHY-CAUCHY</t>
  </si>
  <si>
    <t>CHIROLS</t>
  </si>
  <si>
    <t>DANJOUTIN</t>
  </si>
  <si>
    <t>80880</t>
  </si>
  <si>
    <t>SAINT-QUENTIN-LA-MOTTE-CROIX-AU-BAILLY</t>
  </si>
  <si>
    <t>WASSIGNY</t>
  </si>
  <si>
    <t>TRESCHENU-CREYERS</t>
  </si>
  <si>
    <t>LUCY</t>
  </si>
  <si>
    <t>NEYRON</t>
  </si>
  <si>
    <t>94450</t>
  </si>
  <si>
    <t>LIMEIL-BREVANNES</t>
  </si>
  <si>
    <t>JUSCORPS</t>
  </si>
  <si>
    <t>VILLAREMBERT</t>
  </si>
  <si>
    <t>2A262</t>
  </si>
  <si>
    <t>ROSAZIA</t>
  </si>
  <si>
    <t>TERNAT</t>
  </si>
  <si>
    <t>MODANE</t>
  </si>
  <si>
    <t>MARCILLAC-LA-CROISILLE</t>
  </si>
  <si>
    <t>SAINT-ALBIN-DE-VAULSERRE</t>
  </si>
  <si>
    <t>MORAS-EN-VALLOIRE</t>
  </si>
  <si>
    <t>LOUESME</t>
  </si>
  <si>
    <t>GIMEAUX</t>
  </si>
  <si>
    <t>PARDAILLAN</t>
  </si>
  <si>
    <t>SAINT-MARTIN-LES-SEYNE</t>
  </si>
  <si>
    <t>LES AIRES</t>
  </si>
  <si>
    <t>AVEIZIEUX</t>
  </si>
  <si>
    <t>REUGNY</t>
  </si>
  <si>
    <t>SEILH</t>
  </si>
  <si>
    <t>2A035</t>
  </si>
  <si>
    <t>BELVEDERE-CAMPOMORO</t>
  </si>
  <si>
    <t>LIGNAC</t>
  </si>
  <si>
    <t>LABASTIDE-MURAT</t>
  </si>
  <si>
    <t>PAIMBOEUF</t>
  </si>
  <si>
    <t>FRAMECOURT</t>
  </si>
  <si>
    <t>MARFAUX</t>
  </si>
  <si>
    <t>VILLERS-EN-VEXIN</t>
  </si>
  <si>
    <t>BAGNOLES-DE-L'ORNE</t>
  </si>
  <si>
    <t>CAUSSOLS</t>
  </si>
  <si>
    <t>SAINTE-BRIGITTE</t>
  </si>
  <si>
    <t>MIALET</t>
  </si>
  <si>
    <t>SAINT-SAUFLIEU</t>
  </si>
  <si>
    <t>GOGNEY</t>
  </si>
  <si>
    <t>SAINT-PARDOUX-ISAAC</t>
  </si>
  <si>
    <t>MILHAC</t>
  </si>
  <si>
    <t>95550</t>
  </si>
  <si>
    <t>BESSANCOURT</t>
  </si>
  <si>
    <t>SAINT-GERAUD-DE-CORPS</t>
  </si>
  <si>
    <t>ORION</t>
  </si>
  <si>
    <t>ABAUCOURT-HAUTECOURT</t>
  </si>
  <si>
    <t>66510</t>
  </si>
  <si>
    <t>BOUSTROFF</t>
  </si>
  <si>
    <t>LE DOULIEU</t>
  </si>
  <si>
    <t>2B015</t>
  </si>
  <si>
    <t>AMPRIANI</t>
  </si>
  <si>
    <t>LE PONT-CHRETIEN-CHABENET</t>
  </si>
  <si>
    <t>ESCOTS</t>
  </si>
  <si>
    <t>LEMUD</t>
  </si>
  <si>
    <t>CHAVAGNE</t>
  </si>
  <si>
    <t>LINZEUX</t>
  </si>
  <si>
    <t>VILLENEUVE-D'ENTRAUNES</t>
  </si>
  <si>
    <t>SAGNAT</t>
  </si>
  <si>
    <t>SAINT-ALLOUESTRE</t>
  </si>
  <si>
    <t>LA CHARITE-SUR-LOIRE</t>
  </si>
  <si>
    <t>LANDELEAU</t>
  </si>
  <si>
    <t>PORT-SAINTE-FOY-ET-PONCHAPT</t>
  </si>
  <si>
    <t>SAINT-SORLIN-DE-MORESTEL</t>
  </si>
  <si>
    <t>MOGEVILLE</t>
  </si>
  <si>
    <t>FRECHOU-FRECHET</t>
  </si>
  <si>
    <t>LE BOULLAY-THIERRY</t>
  </si>
  <si>
    <t>DARBONNAY</t>
  </si>
  <si>
    <t>LEMUY</t>
  </si>
  <si>
    <t>LE PIN-MURELET</t>
  </si>
  <si>
    <t>CHASSIECQ</t>
  </si>
  <si>
    <t>LA CHENALOTTE</t>
  </si>
  <si>
    <t>2A118</t>
  </si>
  <si>
    <t>FOZZANO</t>
  </si>
  <si>
    <t>PLENEE-JUGON</t>
  </si>
  <si>
    <t>LA VILLE-AUX-BOIS</t>
  </si>
  <si>
    <t>MORMANT-SUR-VERNISSON</t>
  </si>
  <si>
    <t>JAVAUGUES</t>
  </si>
  <si>
    <t>DAMPVALLEY-SAINT-PANCRAS</t>
  </si>
  <si>
    <t>ISSANS</t>
  </si>
  <si>
    <t>SAINT-AMAND-LONGPRE</t>
  </si>
  <si>
    <t>SEMBADEL</t>
  </si>
  <si>
    <t>CHATEAUBERNARD</t>
  </si>
  <si>
    <t>49480</t>
  </si>
  <si>
    <t>SAINT-SYLVAIN-D'ANJOU</t>
  </si>
  <si>
    <t>2B243</t>
  </si>
  <si>
    <t>POLVEROSO</t>
  </si>
  <si>
    <t>FORMIGNY</t>
  </si>
  <si>
    <t>LESCHEROLLES</t>
  </si>
  <si>
    <t>LORRY-LES-METZ</t>
  </si>
  <si>
    <t>LAUNAC</t>
  </si>
  <si>
    <t>SAINTE-SEVERE</t>
  </si>
  <si>
    <t>ROINVILLE</t>
  </si>
  <si>
    <t>ZIMMERSHEIM</t>
  </si>
  <si>
    <t>PONTOURS</t>
  </si>
  <si>
    <t>COLOMBE-LA-FOSSE</t>
  </si>
  <si>
    <t>FENAY</t>
  </si>
  <si>
    <t>LABERGEMENT-DU-NAVOIS</t>
  </si>
  <si>
    <t>LES ESSARTS-LES-SEZANNE</t>
  </si>
  <si>
    <t>ENGLEFONTAINE</t>
  </si>
  <si>
    <t>EQUEMAUVILLE</t>
  </si>
  <si>
    <t>TART-LE-BAS</t>
  </si>
  <si>
    <t>SCHWEIGHOUSE-SUR-MODER</t>
  </si>
  <si>
    <t>LOUPEIGNE</t>
  </si>
  <si>
    <t>FLETRANGE</t>
  </si>
  <si>
    <t>HEUDREVILLE-EN-LIEUVIN</t>
  </si>
  <si>
    <t>LE NOYER-EN-OUCHE</t>
  </si>
  <si>
    <t>NEUF-MARCHE</t>
  </si>
  <si>
    <t>CHEMIRE-SUR-SARTHE</t>
  </si>
  <si>
    <t>APCHON</t>
  </si>
  <si>
    <t>SERE-RUSTAING</t>
  </si>
  <si>
    <t>DINSAC</t>
  </si>
  <si>
    <t>BECOURT</t>
  </si>
  <si>
    <t>35960</t>
  </si>
  <si>
    <t>LE VIVIER-SUR-MER</t>
  </si>
  <si>
    <t>SAINT-JEAN-SUR-COUESNON</t>
  </si>
  <si>
    <t>MEAUX-LA-MONTAGNE</t>
  </si>
  <si>
    <t>MALBRANS</t>
  </si>
  <si>
    <t>94800</t>
  </si>
  <si>
    <t>VILLEJUIF</t>
  </si>
  <si>
    <t>VERNANTES</t>
  </si>
  <si>
    <t>NONVILLE</t>
  </si>
  <si>
    <t>SAINT-FLOVIER</t>
  </si>
  <si>
    <t>SAINT-GERMAIN-DE-LA-COUDRE</t>
  </si>
  <si>
    <t>PRETZ-EN-ARGONNE</t>
  </si>
  <si>
    <t>ORGEDEUIL</t>
  </si>
  <si>
    <t>LAVENAY</t>
  </si>
  <si>
    <t>BRIANTES</t>
  </si>
  <si>
    <t>LA BOURDINIERE-SAINT-LOUP</t>
  </si>
  <si>
    <t>SAINT-PEVER</t>
  </si>
  <si>
    <t>21000</t>
  </si>
  <si>
    <t>DIJON</t>
  </si>
  <si>
    <t>SOUMANS</t>
  </si>
  <si>
    <t>THENESOL</t>
  </si>
  <si>
    <t>VERLUS</t>
  </si>
  <si>
    <t>CHAINEE-DES-COUPIS</t>
  </si>
  <si>
    <t>LA LONGINE</t>
  </si>
  <si>
    <t>DOMPIERRE-SUR-CHALARONNE</t>
  </si>
  <si>
    <t>SAINT-CLAIR-DE-LA-TOUR</t>
  </si>
  <si>
    <t>62750</t>
  </si>
  <si>
    <t>LOOS-EN-GOHELLE</t>
  </si>
  <si>
    <t>BARIZEY</t>
  </si>
  <si>
    <t>VAUXBUIN</t>
  </si>
  <si>
    <t>TREMOINS</t>
  </si>
  <si>
    <t>NOELLET</t>
  </si>
  <si>
    <t>SAINT-GERMAIN-DE-LA-GRANGE</t>
  </si>
  <si>
    <t>WILLERONCOURT</t>
  </si>
  <si>
    <t>YMERAY</t>
  </si>
  <si>
    <t>BRETTE-LES-PINS</t>
  </si>
  <si>
    <t>RILLY-SUR-AISNE</t>
  </si>
  <si>
    <t>SAINT-NAZAIRE-DES-GARDIES</t>
  </si>
  <si>
    <t>DRUYE</t>
  </si>
  <si>
    <t>PIMPREZ</t>
  </si>
  <si>
    <t>LEMPDES-SUR-ALLAGNON</t>
  </si>
  <si>
    <t>BAYONVILLE</t>
  </si>
  <si>
    <t>LA CHAIZE-GIRAUD</t>
  </si>
  <si>
    <t>PORT-SAINT-PERE</t>
  </si>
  <si>
    <t>NIEUDAN</t>
  </si>
  <si>
    <t>SAINT-BENOIT-DES-OMBRES</t>
  </si>
  <si>
    <t>SAINT-BRICE-DE-LANDELLES</t>
  </si>
  <si>
    <t>MISCON</t>
  </si>
  <si>
    <t>ERNOLSHEIM-BRUCHE</t>
  </si>
  <si>
    <t>SAINT-REMY-DU-PLAIN</t>
  </si>
  <si>
    <t>PAROY-SUR-THOLON</t>
  </si>
  <si>
    <t>CHARMES-LA-GRANDE</t>
  </si>
  <si>
    <t>MOIREY-FLABAS-CREPION</t>
  </si>
  <si>
    <t>MERY-CORBON</t>
  </si>
  <si>
    <t>2A204</t>
  </si>
  <si>
    <t>PASTRICCIOLA</t>
  </si>
  <si>
    <t>SAINTE-COLOMBE-SUR-SEINE</t>
  </si>
  <si>
    <t>CUBLIZE</t>
  </si>
  <si>
    <t>REFFANNES</t>
  </si>
  <si>
    <t>LOUBEJAC</t>
  </si>
  <si>
    <t>OMPS</t>
  </si>
  <si>
    <t>FLAVIGNY-SUR-MOSELLE</t>
  </si>
  <si>
    <t>BEAUVALLON</t>
  </si>
  <si>
    <t>HOUQUETOT</t>
  </si>
  <si>
    <t>ROUELLES</t>
  </si>
  <si>
    <t>CHATEAU-BERNARD</t>
  </si>
  <si>
    <t>LONGES</t>
  </si>
  <si>
    <t>CHAMBLAY</t>
  </si>
  <si>
    <t>OFFIGNIES</t>
  </si>
  <si>
    <t>LIOCOURT</t>
  </si>
  <si>
    <t>AUTREMENCOURT</t>
  </si>
  <si>
    <t>DEHLINGEN</t>
  </si>
  <si>
    <t>WIMILLE</t>
  </si>
  <si>
    <t>VERRIE</t>
  </si>
  <si>
    <t>ECHALLON</t>
  </si>
  <si>
    <t>SAINT-LOUP-DU-DORAT</t>
  </si>
  <si>
    <t>MONBAHUS</t>
  </si>
  <si>
    <t>LAUTIGNAC</t>
  </si>
  <si>
    <t>REZAY</t>
  </si>
  <si>
    <t>LE MONT-SAINT-ADRIEN</t>
  </si>
  <si>
    <t>VARENNES-SUR-TECHE</t>
  </si>
  <si>
    <t>TROUVILLE</t>
  </si>
  <si>
    <t>SERRES-CASTET</t>
  </si>
  <si>
    <t>COULEUVRE</t>
  </si>
  <si>
    <t>SAINT-AMANS-SOULT</t>
  </si>
  <si>
    <t>LISSAC-SUR-COUZE</t>
  </si>
  <si>
    <t>VALS-DES-TILLES</t>
  </si>
  <si>
    <t>MONPRIMBLANC</t>
  </si>
  <si>
    <t>BOUCHEPORN</t>
  </si>
  <si>
    <t>BOSNORMAND</t>
  </si>
  <si>
    <t>SAINT-GENEST-SUR-ROSELLE</t>
  </si>
  <si>
    <t>LIERVILLE</t>
  </si>
  <si>
    <t>SAINT-QUANTIN-DE-RANCANNE</t>
  </si>
  <si>
    <t>PRESENTEVILLERS</t>
  </si>
  <si>
    <t>VERNOU-EN-SOLOGNE</t>
  </si>
  <si>
    <t>CASTETIS</t>
  </si>
  <si>
    <t>RISOUL</t>
  </si>
  <si>
    <t>GOUDOURVILLE</t>
  </si>
  <si>
    <t>OUVILLE</t>
  </si>
  <si>
    <t>MAROLLES-LES-BRAULTS</t>
  </si>
  <si>
    <t>81370</t>
  </si>
  <si>
    <t>TRIE-SUR-BAISE</t>
  </si>
  <si>
    <t>CRAINTILLEUX</t>
  </si>
  <si>
    <t>POUSSY-LA-CAMPAGNE</t>
  </si>
  <si>
    <t>25630</t>
  </si>
  <si>
    <t>BESAIN</t>
  </si>
  <si>
    <t>SAINT-SEROTIN</t>
  </si>
  <si>
    <t>MONTRESOR</t>
  </si>
  <si>
    <t>CAZEVIEILLE</t>
  </si>
  <si>
    <t>BRAMEVAQUE</t>
  </si>
  <si>
    <t>HAUTOT-L'AUVRAY</t>
  </si>
  <si>
    <t>ANNONVILLE</t>
  </si>
  <si>
    <t>AYDIUS</t>
  </si>
  <si>
    <t>MARCQ-EN-OSTREVENT</t>
  </si>
  <si>
    <t>SAINT-CLAIR-D'ARCEY</t>
  </si>
  <si>
    <t>WINGLES</t>
  </si>
  <si>
    <t>SAINT-NEXANS</t>
  </si>
  <si>
    <t>DANNEMOINE</t>
  </si>
  <si>
    <t>DAMAZAN</t>
  </si>
  <si>
    <t>SAINT-MAURICE-AUX-FORGES</t>
  </si>
  <si>
    <t>COMMENTRY</t>
  </si>
  <si>
    <t>CHENOISE</t>
  </si>
  <si>
    <t>VIGNEUX-DE-BRETAGNE</t>
  </si>
  <si>
    <t>NOUAINVILLE</t>
  </si>
  <si>
    <t>GUESNES</t>
  </si>
  <si>
    <t>LA CHAPELLE-SAINT-OUEN</t>
  </si>
  <si>
    <t>GRAND-VERLY</t>
  </si>
  <si>
    <t>OFFROICOURT</t>
  </si>
  <si>
    <t>HERBEVILLE</t>
  </si>
  <si>
    <t>FONTAINE-CHALENDRAY</t>
  </si>
  <si>
    <t>AMETTES</t>
  </si>
  <si>
    <t>SAINT-THOME</t>
  </si>
  <si>
    <t>GAROS</t>
  </si>
  <si>
    <t>VENDEGIES-AU-BOIS</t>
  </si>
  <si>
    <t>BLANDAINVILLE</t>
  </si>
  <si>
    <t>CHARLEVILLE-SOUS-BOIS</t>
  </si>
  <si>
    <t>30840</t>
  </si>
  <si>
    <t>MEYNES</t>
  </si>
  <si>
    <t>VIRSAC</t>
  </si>
  <si>
    <t>HENENCOURT</t>
  </si>
  <si>
    <t>FERRIERE-ET-LAFOLIE</t>
  </si>
  <si>
    <t>VILLERS-LE-CHATEAU</t>
  </si>
  <si>
    <t>SAINT-AIGNAN-GRANDLIEU</t>
  </si>
  <si>
    <t>CHILLE</t>
  </si>
  <si>
    <t>NEUREY-LES-LA-DEMIE</t>
  </si>
  <si>
    <t>NYER</t>
  </si>
  <si>
    <t>LES GRANDES-ARMOISES</t>
  </si>
  <si>
    <t>CAZAUX-LAYRISSE</t>
  </si>
  <si>
    <t>SAINT-CHELY-D'AUBRAC</t>
  </si>
  <si>
    <t>LIGNIERES-SUR-AIRE</t>
  </si>
  <si>
    <t>CUISSAI</t>
  </si>
  <si>
    <t>AINCILLE</t>
  </si>
  <si>
    <t>CASTELNOU</t>
  </si>
  <si>
    <t>SAINT-FERREOL-DES-COTES</t>
  </si>
  <si>
    <t>LA BAZOUGE-DE-CHEMERE</t>
  </si>
  <si>
    <t>ECORDAL</t>
  </si>
  <si>
    <t>TRUCHTERSHEIM</t>
  </si>
  <si>
    <t>SAINT-THELO</t>
  </si>
  <si>
    <t>MONTIGNY-SUR-ARMANCON</t>
  </si>
  <si>
    <t>RIMEIZE</t>
  </si>
  <si>
    <t>ETOGES</t>
  </si>
  <si>
    <t>TILLOLOY</t>
  </si>
  <si>
    <t>TAVEL</t>
  </si>
  <si>
    <t>94600</t>
  </si>
  <si>
    <t>CHOISY-LE-ROI</t>
  </si>
  <si>
    <t>ARNAY-LE-DUC</t>
  </si>
  <si>
    <t>SALLELES-CABARDES</t>
  </si>
  <si>
    <t>CONNIGIS</t>
  </si>
  <si>
    <t>LASTIC</t>
  </si>
  <si>
    <t>ANNET-SUR-MARNE</t>
  </si>
  <si>
    <t>ETREJUST</t>
  </si>
  <si>
    <t>FLEAC-SUR-SEUGNE</t>
  </si>
  <si>
    <t>MONTENESCOURT</t>
  </si>
  <si>
    <t>SAINT-JEAN-LA-POTERIE</t>
  </si>
  <si>
    <t>LEVARE</t>
  </si>
  <si>
    <t>KATZENTHAL</t>
  </si>
  <si>
    <t>LA CHAPELLE-MONTMOREAU</t>
  </si>
  <si>
    <t>NORDHOUSE</t>
  </si>
  <si>
    <t>CROUY-SAINT-PIERRE</t>
  </si>
  <si>
    <t>CENVES</t>
  </si>
  <si>
    <t>44220</t>
  </si>
  <si>
    <t>COUERON</t>
  </si>
  <si>
    <t>EPOYE</t>
  </si>
  <si>
    <t>NORREY-EN-AUGE</t>
  </si>
  <si>
    <t>ANTHY-SUR-LEMAN</t>
  </si>
  <si>
    <t>US</t>
  </si>
  <si>
    <t>BUSSIERE-SAINT-GEORGES</t>
  </si>
  <si>
    <t>SAINT-JULIEN-DE-LAMPON</t>
  </si>
  <si>
    <t>CLUNY</t>
  </si>
  <si>
    <t>SAINT-CHAMASSY</t>
  </si>
  <si>
    <t>SAINT-GERMAIN-LAVAL</t>
  </si>
  <si>
    <t>ERNEMONT-LA-VILLETTE</t>
  </si>
  <si>
    <t>BRENAS</t>
  </si>
  <si>
    <t>HERMANVILLE-SUR-MER</t>
  </si>
  <si>
    <t>LA CHEPPE</t>
  </si>
  <si>
    <t>HOULBEC-PRES-LE-GROS-THEIL</t>
  </si>
  <si>
    <t>LE CHILLOU</t>
  </si>
  <si>
    <t>13119</t>
  </si>
  <si>
    <t>SAINT-SAVOURNIN</t>
  </si>
  <si>
    <t>VABRES-L'ABBAYE</t>
  </si>
  <si>
    <t>YVETOT</t>
  </si>
  <si>
    <t>LACHALADE</t>
  </si>
  <si>
    <t>SAUSHEIM</t>
  </si>
  <si>
    <t>VILLERS-LA-COMBE</t>
  </si>
  <si>
    <t>BORT-L'ETANG</t>
  </si>
  <si>
    <t>LA NOE-BLANCHE</t>
  </si>
  <si>
    <t>MAYRES</t>
  </si>
  <si>
    <t>LAMELOUZE</t>
  </si>
  <si>
    <t>LA CELLE-CONDE</t>
  </si>
  <si>
    <t>BRANTES</t>
  </si>
  <si>
    <t>SAINT-ALBAN-EN-MONTAGNE</t>
  </si>
  <si>
    <t>VALLABREGUES</t>
  </si>
  <si>
    <t>NANTIAT</t>
  </si>
  <si>
    <t>CHEVENOZ</t>
  </si>
  <si>
    <t>LOUHANS</t>
  </si>
  <si>
    <t>DONCOURT-SUR-MEUSE</t>
  </si>
  <si>
    <t>LE VEURDRE</t>
  </si>
  <si>
    <t>COLAYRAC-SAINT-CIRQ</t>
  </si>
  <si>
    <t>LEZAT</t>
  </si>
  <si>
    <t>BRETAGNE-D'ARMAGNAC</t>
  </si>
  <si>
    <t>LICHANS-SUNHAR</t>
  </si>
  <si>
    <t>CHOUE</t>
  </si>
  <si>
    <t>DOMREMY-LANDEVILLE</t>
  </si>
  <si>
    <t>COISEVAUX</t>
  </si>
  <si>
    <t>ESTEZARGUES</t>
  </si>
  <si>
    <t>MUNCQ-NIEURLET</t>
  </si>
  <si>
    <t>LOUDERVIELLE</t>
  </si>
  <si>
    <t>BRANSLES</t>
  </si>
  <si>
    <t>VESDUN</t>
  </si>
  <si>
    <t>CARCANIERES</t>
  </si>
  <si>
    <t>CHALAUTRE-LA-GRANDE</t>
  </si>
  <si>
    <t>CASTELNER</t>
  </si>
  <si>
    <t>AUJARGUES</t>
  </si>
  <si>
    <t>CHILLY-SUR-SALINS</t>
  </si>
  <si>
    <t>CHATEAUNEUF-DE-BORDETTE</t>
  </si>
  <si>
    <t>CAMARET-SUR-AIGUES</t>
  </si>
  <si>
    <t>51000</t>
  </si>
  <si>
    <t>CHALONS-EN-CHAMPAGNE</t>
  </si>
  <si>
    <t>SAINT-LAURENT-LA-GATINE</t>
  </si>
  <si>
    <t>LE MESNIL-ESNARD</t>
  </si>
  <si>
    <t>SARRON</t>
  </si>
  <si>
    <t>CHARPONT</t>
  </si>
  <si>
    <t>NOTRE-DAME-DE-GRAVENCHON</t>
  </si>
  <si>
    <t>DIENNES-AUBIGNY</t>
  </si>
  <si>
    <t>VESVRES</t>
  </si>
  <si>
    <t>LABRUYERE-DORSA</t>
  </si>
  <si>
    <t>CHATILLON-SUR-INDRE</t>
  </si>
  <si>
    <t>MENIL-HUBERT-SUR-ORNE</t>
  </si>
  <si>
    <t>BEAUMERIE-SAINT-MARTIN</t>
  </si>
  <si>
    <t>GRIESBACH-AU-VAL</t>
  </si>
  <si>
    <t>LE VERT</t>
  </si>
  <si>
    <t>REYERSVILLER</t>
  </si>
  <si>
    <t>LESCHEROUX</t>
  </si>
  <si>
    <t>HILLION</t>
  </si>
  <si>
    <t>MERIGNIES</t>
  </si>
  <si>
    <t>56950</t>
  </si>
  <si>
    <t>CRACH</t>
  </si>
  <si>
    <t>MARIGNY-L'EGLISE</t>
  </si>
  <si>
    <t>59193</t>
  </si>
  <si>
    <t>ERQUINGHEM-LYS</t>
  </si>
  <si>
    <t>POURRAIN</t>
  </si>
  <si>
    <t>MUESPACH-LE-HAUT</t>
  </si>
  <si>
    <t>LAVAL-D'AIX</t>
  </si>
  <si>
    <t>BOUTIGNY</t>
  </si>
  <si>
    <t>ROY-BOISSY</t>
  </si>
  <si>
    <t>LE PERRON</t>
  </si>
  <si>
    <t>PERTHES-LES-BRIENNE</t>
  </si>
  <si>
    <t>PERGAIN-TAILLAC</t>
  </si>
  <si>
    <t>ARLET</t>
  </si>
  <si>
    <t>MURS-ERIGNE</t>
  </si>
  <si>
    <t>97480</t>
  </si>
  <si>
    <t>CHEVENNES</t>
  </si>
  <si>
    <t>CHEVIRE-LE-ROUGE</t>
  </si>
  <si>
    <t>VERLINCTHUN</t>
  </si>
  <si>
    <t>GUIZENGEARD</t>
  </si>
  <si>
    <t>GREZIEU-LA-VARENNE</t>
  </si>
  <si>
    <t>CARELLES</t>
  </si>
  <si>
    <t>SAINT-SYMPHORIEN-DES-MONTS</t>
  </si>
  <si>
    <t>MONTHELIE</t>
  </si>
  <si>
    <t>CHANEINS</t>
  </si>
  <si>
    <t>HOUPPEVILLE</t>
  </si>
  <si>
    <t>49112</t>
  </si>
  <si>
    <t>PELLOUAILLES-LES-VIGNES</t>
  </si>
  <si>
    <t>2B110</t>
  </si>
  <si>
    <t>FAVALELLO</t>
  </si>
  <si>
    <t>SIMPLE</t>
  </si>
  <si>
    <t>SAINT-ILPIZE</t>
  </si>
  <si>
    <t>FROIDECONCHE</t>
  </si>
  <si>
    <t>VILLERS-SOUS-CHALAMONT</t>
  </si>
  <si>
    <t>ROUSSAY</t>
  </si>
  <si>
    <t>VENESMES</t>
  </si>
  <si>
    <t>SAINT-JEAN-DE-BOURNAY</t>
  </si>
  <si>
    <t>CADARCET</t>
  </si>
  <si>
    <t>SEREZIN-DE-LA-TOUR</t>
  </si>
  <si>
    <t>ONTEX</t>
  </si>
  <si>
    <t>LEOUVILLE</t>
  </si>
  <si>
    <t>CATLLAR</t>
  </si>
  <si>
    <t>FREBUANS</t>
  </si>
  <si>
    <t>JUILLES</t>
  </si>
  <si>
    <t>FRETIN</t>
  </si>
  <si>
    <t>CHABRILLAN</t>
  </si>
  <si>
    <t>LA BAZOGE-MONTPINCON</t>
  </si>
  <si>
    <t>HAUT-DE-BOSDARROS</t>
  </si>
  <si>
    <t>DUMES</t>
  </si>
  <si>
    <t>NOVEANT-SUR-MOSELLE</t>
  </si>
  <si>
    <t>GERVANS</t>
  </si>
  <si>
    <t>PRATVIEL</t>
  </si>
  <si>
    <t>VALLOIRE</t>
  </si>
  <si>
    <t>SAMES</t>
  </si>
  <si>
    <t>VIREY-LE-GRAND</t>
  </si>
  <si>
    <t>BURGNAC</t>
  </si>
  <si>
    <t>DASLE</t>
  </si>
  <si>
    <t>LIGUGE</t>
  </si>
  <si>
    <t>BERUGES</t>
  </si>
  <si>
    <t>JALLANGES</t>
  </si>
  <si>
    <t>AZET</t>
  </si>
  <si>
    <t>75017</t>
  </si>
  <si>
    <t>PARIS-17E-ARRONDISSEMENT</t>
  </si>
  <si>
    <t>COURCELLES-SOUS-THOIX</t>
  </si>
  <si>
    <t>NOYELLES-SOUS-BELLONNE</t>
  </si>
  <si>
    <t>SAINT-PERAVY-LA-COLOMBE</t>
  </si>
  <si>
    <t>SEUZEY</t>
  </si>
  <si>
    <t>MORACHES</t>
  </si>
  <si>
    <t>SAINT-NICOLAS-DU-PELEM</t>
  </si>
  <si>
    <t>LES BOTTEREAUX</t>
  </si>
  <si>
    <t>BRAS-SUR-MEUSE</t>
  </si>
  <si>
    <t>ASNIERES-SUR-SAONE</t>
  </si>
  <si>
    <t>RUBERCY</t>
  </si>
  <si>
    <t>COUR-CHEVERNY</t>
  </si>
  <si>
    <t>2A197</t>
  </si>
  <si>
    <t>OSANI</t>
  </si>
  <si>
    <t>TOUTLEMONDE</t>
  </si>
  <si>
    <t>HEUCHIN</t>
  </si>
  <si>
    <t>FEURS</t>
  </si>
  <si>
    <t>SAINT-LAURENT-DE-LA-CABRERISSE</t>
  </si>
  <si>
    <t>DOMJULIEN</t>
  </si>
  <si>
    <t>MONT-SAINT-LEGER</t>
  </si>
  <si>
    <t>MINAUCOURT-LE-MESNIL-LES-HURLUS</t>
  </si>
  <si>
    <t>CHAUME-LES-BAIGNEUX</t>
  </si>
  <si>
    <t>GONEZ</t>
  </si>
  <si>
    <t>62196</t>
  </si>
  <si>
    <t>HESDIGNEUL-LES-BETHUNE</t>
  </si>
  <si>
    <t>FRANCOURVILLE</t>
  </si>
  <si>
    <t>VINCY-MANOEUVRE</t>
  </si>
  <si>
    <t>TRELISSAC</t>
  </si>
  <si>
    <t>TROISFONTAINES-LA-VILLE</t>
  </si>
  <si>
    <t>COLOMBEY-LES-DEUX-EGLISES</t>
  </si>
  <si>
    <t>AULNOIS-SOUS-LAON</t>
  </si>
  <si>
    <t>BESSINES-SUR-GARTEMPE</t>
  </si>
  <si>
    <t>88310</t>
  </si>
  <si>
    <t>VENTRON</t>
  </si>
  <si>
    <t>NOURRAY</t>
  </si>
  <si>
    <t>LUISETAINES</t>
  </si>
  <si>
    <t>MONTREUIL-SUR-EPTE</t>
  </si>
  <si>
    <t>CHAUMESNIL</t>
  </si>
  <si>
    <t>SAINT-MAURICE-DES-LIONS</t>
  </si>
  <si>
    <t>RAILLIMONT</t>
  </si>
  <si>
    <t>CLOUANGE</t>
  </si>
  <si>
    <t>BOISSY-SANS-AVOIR</t>
  </si>
  <si>
    <t>RAZE</t>
  </si>
  <si>
    <t>ROUGERIES</t>
  </si>
  <si>
    <t>BREHEVILLE</t>
  </si>
  <si>
    <t>OEYRELUY</t>
  </si>
  <si>
    <t>84360</t>
  </si>
  <si>
    <t>MERINDOL</t>
  </si>
  <si>
    <t>SAINTE-MAGNANCE</t>
  </si>
  <si>
    <t>PUGNY</t>
  </si>
  <si>
    <t>POCANCY</t>
  </si>
  <si>
    <t>OBERDORFF</t>
  </si>
  <si>
    <t>2B301</t>
  </si>
  <si>
    <t>SAN-GAVINO-DI-TENDA</t>
  </si>
  <si>
    <t>JONCOURT</t>
  </si>
  <si>
    <t>OINGT</t>
  </si>
  <si>
    <t>ETOUVANS</t>
  </si>
  <si>
    <t>20222</t>
  </si>
  <si>
    <t>2B043</t>
  </si>
  <si>
    <t>BRANDO</t>
  </si>
  <si>
    <t>78960</t>
  </si>
  <si>
    <t>VOISINS-LE-BRETONNEUX</t>
  </si>
  <si>
    <t>VAUFREY</t>
  </si>
  <si>
    <t>LUPCOURT</t>
  </si>
  <si>
    <t>SAINT-MARTIN-DE-LIXY</t>
  </si>
  <si>
    <t>2B364</t>
  </si>
  <si>
    <t>ZUANI</t>
  </si>
  <si>
    <t>66490</t>
  </si>
  <si>
    <t>SAINT-JEAN-PLA-DE-CORTS</t>
  </si>
  <si>
    <t>CLEMERY</t>
  </si>
  <si>
    <t>75007</t>
  </si>
  <si>
    <t>PARIS-7E-ARRONDISSEMENT</t>
  </si>
  <si>
    <t>VINSOBRES</t>
  </si>
  <si>
    <t>BETOUS</t>
  </si>
  <si>
    <t>CORVOL-D'EMBERNARD</t>
  </si>
  <si>
    <t>MARCILHAC-SUR-CELE</t>
  </si>
  <si>
    <t>VILLARODIN-BOURGET</t>
  </si>
  <si>
    <t>CHAMPAGNAT</t>
  </si>
  <si>
    <t>PERRIER</t>
  </si>
  <si>
    <t>CHEMENOT</t>
  </si>
  <si>
    <t>SOMMERVILLER</t>
  </si>
  <si>
    <t>MEYSSIES</t>
  </si>
  <si>
    <t>SAINTE-FEYRE</t>
  </si>
  <si>
    <t>SALLAGRIFFON</t>
  </si>
  <si>
    <t>OZEVILLE</t>
  </si>
  <si>
    <t>MAUGUIO</t>
  </si>
  <si>
    <t>BROC</t>
  </si>
  <si>
    <t>LA MANCELLIERE-SUR-VIRE</t>
  </si>
  <si>
    <t>DIEULOUARD</t>
  </si>
  <si>
    <t>TEIGNY</t>
  </si>
  <si>
    <t>GRESIGNY-SAINTE-REINE</t>
  </si>
  <si>
    <t>ARHANSUS</t>
  </si>
  <si>
    <t>CORPE</t>
  </si>
  <si>
    <t>95530</t>
  </si>
  <si>
    <t>LA FRETTE-SUR-SEINE</t>
  </si>
  <si>
    <t>PLAISSAN</t>
  </si>
  <si>
    <t>VAUXREZIS</t>
  </si>
  <si>
    <t>DOURBIES</t>
  </si>
  <si>
    <t>LASSICOURT</t>
  </si>
  <si>
    <t>ESCOUSSENS</t>
  </si>
  <si>
    <t>CUIRY-LES-CHAUDARDES</t>
  </si>
  <si>
    <t>CRE</t>
  </si>
  <si>
    <t>FESCAMPS</t>
  </si>
  <si>
    <t>ECOT-LA-COMBE</t>
  </si>
  <si>
    <t>VIEVIGNE</t>
  </si>
  <si>
    <t>PETIT-NOIR</t>
  </si>
  <si>
    <t>ANSACQ</t>
  </si>
  <si>
    <t>RYES</t>
  </si>
  <si>
    <t>VAVRAY-LE-GRAND</t>
  </si>
  <si>
    <t>IRISSARRY</t>
  </si>
  <si>
    <t>BELLEGARDE-DU-RAZES</t>
  </si>
  <si>
    <t>DOAZON</t>
  </si>
  <si>
    <t>LOUVERSEY</t>
  </si>
  <si>
    <t>LANTY-SUR-AUBE</t>
  </si>
  <si>
    <t>RIGNOSOT</t>
  </si>
  <si>
    <t>BALANSUN</t>
  </si>
  <si>
    <t>GERE-BELESTEN</t>
  </si>
  <si>
    <t>CONTAMINE-SUR-ARVE</t>
  </si>
  <si>
    <t>CAORCHES-SAINT-NICOLAS</t>
  </si>
  <si>
    <t>COUR-L'EVEQUE</t>
  </si>
  <si>
    <t>LECQUES</t>
  </si>
  <si>
    <t>CONDAL</t>
  </si>
  <si>
    <t>L'ILE-D'ELLE</t>
  </si>
  <si>
    <t>RONNET</t>
  </si>
  <si>
    <t>CEILHES-ET-ROCOZELS</t>
  </si>
  <si>
    <t>LA GOHANNIERE</t>
  </si>
  <si>
    <t>CHAMPEY-SUR-MOSELLE</t>
  </si>
  <si>
    <t>CAPELLE-LES-HESDIN</t>
  </si>
  <si>
    <t>CADILLON</t>
  </si>
  <si>
    <t>GOLFECH</t>
  </si>
  <si>
    <t>CIVRY-LA-FORET</t>
  </si>
  <si>
    <t>LABERGEMENT-FOIGNEY</t>
  </si>
  <si>
    <t>BONDAROY</t>
  </si>
  <si>
    <t>BEAUNE-D'ALLIER</t>
  </si>
  <si>
    <t>EGLINGEN</t>
  </si>
  <si>
    <t>CRONAT</t>
  </si>
  <si>
    <t>VACOGNES-NEUILLY</t>
  </si>
  <si>
    <t>MONTAIGU-LA-BRISETTE</t>
  </si>
  <si>
    <t>BREIL-SUR-ROYA</t>
  </si>
  <si>
    <t>AULNOY-LEZ-VALENCIENNES</t>
  </si>
  <si>
    <t>CHAVIGNON</t>
  </si>
  <si>
    <t>AUTINGUES</t>
  </si>
  <si>
    <t>SAINT-LAURENT-BRETAGNE</t>
  </si>
  <si>
    <t>OISLY</t>
  </si>
  <si>
    <t>LOSTANGES</t>
  </si>
  <si>
    <t>SARREWERDEN</t>
  </si>
  <si>
    <t>SAULMORY-ET-VILLEFRANCHE</t>
  </si>
  <si>
    <t>ALLIERES</t>
  </si>
  <si>
    <t>LILLEMER</t>
  </si>
  <si>
    <t>BOURGBARRE</t>
  </si>
  <si>
    <t>MUIDORGE</t>
  </si>
  <si>
    <t>2B319</t>
  </si>
  <si>
    <t>TALASANI</t>
  </si>
  <si>
    <t>OLETTE</t>
  </si>
  <si>
    <t>BELLICOURT</t>
  </si>
  <si>
    <t>SAINT-GELY-DU-FESC</t>
  </si>
  <si>
    <t>74000</t>
  </si>
  <si>
    <t>ANNECY</t>
  </si>
  <si>
    <t>FLACEY-EN-BRESSE</t>
  </si>
  <si>
    <t>ETRELLES</t>
  </si>
  <si>
    <t>29980</t>
  </si>
  <si>
    <t>ILE-TUDY</t>
  </si>
  <si>
    <t>SAINT-AUBIN-LE-VERTUEUX</t>
  </si>
  <si>
    <t>LAIZE-LA-VILLE</t>
  </si>
  <si>
    <t>LANQUAIS</t>
  </si>
  <si>
    <t>BIERVILLE</t>
  </si>
  <si>
    <t>RIMSDORF</t>
  </si>
  <si>
    <t>AIGREFEUILLE-SUR-MAINE</t>
  </si>
  <si>
    <t>GOUTRENS</t>
  </si>
  <si>
    <t>CORNE</t>
  </si>
  <si>
    <t>AULNAY-LA-RIVIERE</t>
  </si>
  <si>
    <t>MONTABARD</t>
  </si>
  <si>
    <t>SAINT-CHAPTES</t>
  </si>
  <si>
    <t>NEUVILLE-COPPEGUEULE</t>
  </si>
  <si>
    <t>LAROCHEMILLAY</t>
  </si>
  <si>
    <t>BOLSENHEIM</t>
  </si>
  <si>
    <t>MOUSSY-VERNEUIL</t>
  </si>
  <si>
    <t>MONTLEBON</t>
  </si>
  <si>
    <t>2A336</t>
  </si>
  <si>
    <t>VALLE-DI-MEZZANA</t>
  </si>
  <si>
    <t>SAINT-MARC-LE-BLANC</t>
  </si>
  <si>
    <t>MILLY-SUR-BRADON</t>
  </si>
  <si>
    <t>CHAMIGNY</t>
  </si>
  <si>
    <t>LAGOS</t>
  </si>
  <si>
    <t>13660</t>
  </si>
  <si>
    <t>ORGON</t>
  </si>
  <si>
    <t>CHAVERIA</t>
  </si>
  <si>
    <t>VILLERS-SUR-AUCHY</t>
  </si>
  <si>
    <t>ETROUSSAT</t>
  </si>
  <si>
    <t>31780</t>
  </si>
  <si>
    <t>CASTELGINEST</t>
  </si>
  <si>
    <t>MONCRABEAU</t>
  </si>
  <si>
    <t>ROCHONVILLERS</t>
  </si>
  <si>
    <t>DOMMARIE-EULMONT</t>
  </si>
  <si>
    <t>77640</t>
  </si>
  <si>
    <t>SIGNY-SIGNETS</t>
  </si>
  <si>
    <t>AUBEVILLE</t>
  </si>
  <si>
    <t>BISSEY-LA-COTE</t>
  </si>
  <si>
    <t>MUCHEDENT</t>
  </si>
  <si>
    <t>CHALLUY</t>
  </si>
  <si>
    <t>DOURLERS</t>
  </si>
  <si>
    <t>SENOTS</t>
  </si>
  <si>
    <t>CONTREXEVILLE</t>
  </si>
  <si>
    <t>PERONNAS</t>
  </si>
  <si>
    <t>20152</t>
  </si>
  <si>
    <t>2A285</t>
  </si>
  <si>
    <t>SORBOLLANO</t>
  </si>
  <si>
    <t>RAMONCHAMP</t>
  </si>
  <si>
    <t>42820</t>
  </si>
  <si>
    <t>AMBIERLE</t>
  </si>
  <si>
    <t>DAUENDORF</t>
  </si>
  <si>
    <t>AGNICOURT-ET-SECHELLES</t>
  </si>
  <si>
    <t>TRACY-LE-MONT</t>
  </si>
  <si>
    <t>DROMESNIL</t>
  </si>
  <si>
    <t>LA MEZIERE</t>
  </si>
  <si>
    <t>BROUSSEY-RAULECOURT</t>
  </si>
  <si>
    <t>LE VIBAL</t>
  </si>
  <si>
    <t>LA NOUAYE</t>
  </si>
  <si>
    <t>MOLIENS</t>
  </si>
  <si>
    <t>RECLONVILLE</t>
  </si>
  <si>
    <t>SARBAZAN</t>
  </si>
  <si>
    <t>BEAUMONT-LES-VALENCE</t>
  </si>
  <si>
    <t>BIONVILLE-SUR-NIED</t>
  </si>
  <si>
    <t>SAINT-MEDARD-D'EYRANS</t>
  </si>
  <si>
    <t>VILLERS-LES-ROYE</t>
  </si>
  <si>
    <t>ARGOEUVES</t>
  </si>
  <si>
    <t>GLANON</t>
  </si>
  <si>
    <t>SAINT-HILAIRE-LE-VOUHIS</t>
  </si>
  <si>
    <t>CINTHEAUX</t>
  </si>
  <si>
    <t>BAIGNES</t>
  </si>
  <si>
    <t>FALAISE</t>
  </si>
  <si>
    <t>OROUX</t>
  </si>
  <si>
    <t>ATTENSCHWILLER</t>
  </si>
  <si>
    <t>TOURTOIRAC</t>
  </si>
  <si>
    <t>TAPONAS</t>
  </si>
  <si>
    <t>EMPURANY</t>
  </si>
  <si>
    <t>CHANTRANS</t>
  </si>
  <si>
    <t>VILLERS-AUX-NOEUDS</t>
  </si>
  <si>
    <t>PAYROUX</t>
  </si>
  <si>
    <t>SOIGNOLLES-EN-BRIE</t>
  </si>
  <si>
    <t>MARLES-LES-MINES</t>
  </si>
  <si>
    <t>LA CABANASSE</t>
  </si>
  <si>
    <t>LUCHE-THOUARSAIS</t>
  </si>
  <si>
    <t>VERJON</t>
  </si>
  <si>
    <t>MARTOT</t>
  </si>
  <si>
    <t>HARCOURT</t>
  </si>
  <si>
    <t>THUN-L'EVEQUE</t>
  </si>
  <si>
    <t>ONAY</t>
  </si>
  <si>
    <t>SAINT-VICTOR-D'EPINE</t>
  </si>
  <si>
    <t>GUINARTHE-PARENTIES</t>
  </si>
  <si>
    <t>SAINT-JEAN-D'HEURS</t>
  </si>
  <si>
    <t>94340</t>
  </si>
  <si>
    <t>JOINVILLE-LE-PONT</t>
  </si>
  <si>
    <t>FLEURY-DEVANT-DOUAUMONT</t>
  </si>
  <si>
    <t>ROQUETTES</t>
  </si>
  <si>
    <t>SAINT-MAURICE-DU-DESERT</t>
  </si>
  <si>
    <t>NEUVILLER-LES-BADONVILLER</t>
  </si>
  <si>
    <t>MONTIGNAC-LE-COQ</t>
  </si>
  <si>
    <t>AMBONNAY</t>
  </si>
  <si>
    <t>CHAVANIAC-LAFAYETTE</t>
  </si>
  <si>
    <t>DARAZAC</t>
  </si>
  <si>
    <t>PRUNAY-LE-GILLON</t>
  </si>
  <si>
    <t>CHATEAUBLEAU</t>
  </si>
  <si>
    <t>CHAMBILLY</t>
  </si>
  <si>
    <t>ALBON</t>
  </si>
  <si>
    <t>SAINT-EMILAND</t>
  </si>
  <si>
    <t>DOUBS</t>
  </si>
  <si>
    <t>LOMBRES</t>
  </si>
  <si>
    <t>CONFOLENS</t>
  </si>
  <si>
    <t>REALVILLE</t>
  </si>
  <si>
    <t>SEMUR-EN-BRIONNAIS</t>
  </si>
  <si>
    <t>MERREY-SUR-ARCE</t>
  </si>
  <si>
    <t>MONTGOBERT</t>
  </si>
  <si>
    <t>PINTERVILLE</t>
  </si>
  <si>
    <t>ARC-LES-GRAY</t>
  </si>
  <si>
    <t>BRADIANCOURT</t>
  </si>
  <si>
    <t>COMMANA</t>
  </si>
  <si>
    <t>LONGSOLS</t>
  </si>
  <si>
    <t>BOISMORAND</t>
  </si>
  <si>
    <t>REHERREY</t>
  </si>
  <si>
    <t>LE FRECHE</t>
  </si>
  <si>
    <t>VELU</t>
  </si>
  <si>
    <t>ORIOLLES</t>
  </si>
  <si>
    <t>VILLERS-LA-FAYE</t>
  </si>
  <si>
    <t>TREMEUR</t>
  </si>
  <si>
    <t>93700</t>
  </si>
  <si>
    <t>DRANCY</t>
  </si>
  <si>
    <t>17390</t>
  </si>
  <si>
    <t>LA TREMBLADE</t>
  </si>
  <si>
    <t>EVILLERS</t>
  </si>
  <si>
    <t>TASSENIERES</t>
  </si>
  <si>
    <t>ITANCOURT</t>
  </si>
  <si>
    <t>5340</t>
  </si>
  <si>
    <t>PELVOUX</t>
  </si>
  <si>
    <t>LIESLE</t>
  </si>
  <si>
    <t>LHOR</t>
  </si>
  <si>
    <t>SAINT-GEORGES-DES-GARDES</t>
  </si>
  <si>
    <t>MONTSEGUR-SUR-LAUZON</t>
  </si>
  <si>
    <t>4870</t>
  </si>
  <si>
    <t>SAINT-MICHEL-L'OBSERVATOIRE</t>
  </si>
  <si>
    <t>EPREVILLE-EN-ROUMOIS</t>
  </si>
  <si>
    <t>16590</t>
  </si>
  <si>
    <t>TREZILIDE</t>
  </si>
  <si>
    <t>COMBRE</t>
  </si>
  <si>
    <t>SAINT-EBREMOND-DE-BONFOSSE</t>
  </si>
  <si>
    <t>LUPSAULT</t>
  </si>
  <si>
    <t>MONETAY-SUR-LOIRE</t>
  </si>
  <si>
    <t>BURES-EN-BRAY</t>
  </si>
  <si>
    <t>KRAUTERGERSHEIM</t>
  </si>
  <si>
    <t>SOMMECAISE</t>
  </si>
  <si>
    <t>CHATELBLANC</t>
  </si>
  <si>
    <t>MARCILLY-D'AZERGUES</t>
  </si>
  <si>
    <t>MOLPHEY</t>
  </si>
  <si>
    <t>AMBONIL</t>
  </si>
  <si>
    <t>62740</t>
  </si>
  <si>
    <t>FOUQUIERES-LES-LENS</t>
  </si>
  <si>
    <t>CHAMANT</t>
  </si>
  <si>
    <t>CAUSSINIOJOULS</t>
  </si>
  <si>
    <t>THOURON</t>
  </si>
  <si>
    <t>COMMERVEIL</t>
  </si>
  <si>
    <t>SOREZE</t>
  </si>
  <si>
    <t>VILLEZ-SOUS-BAILLEUL</t>
  </si>
  <si>
    <t>MORAINVILLIERS</t>
  </si>
  <si>
    <t>SAINT-MARCEAU</t>
  </si>
  <si>
    <t>MAISON-ROLAND</t>
  </si>
  <si>
    <t>VOUILLY</t>
  </si>
  <si>
    <t>THUES-ENTRE-VALLS</t>
  </si>
  <si>
    <t>CURIERES</t>
  </si>
  <si>
    <t>CUVERVILLE-SUR-YERES</t>
  </si>
  <si>
    <t>MORLAIX</t>
  </si>
  <si>
    <t>COURTRY</t>
  </si>
  <si>
    <t>2B053</t>
  </si>
  <si>
    <t>CAMPI</t>
  </si>
  <si>
    <t>BERNOUIL</t>
  </si>
  <si>
    <t>DIFFEMBACH-LES-HELLIMER</t>
  </si>
  <si>
    <t>CORROMBLES</t>
  </si>
  <si>
    <t>NOUZIERS</t>
  </si>
  <si>
    <t>48370</t>
  </si>
  <si>
    <t>SAINT-GERMAIN-DE-CALBERTE</t>
  </si>
  <si>
    <t>83700/83530</t>
  </si>
  <si>
    <t>VARENNE-SAINT-GERMAIN</t>
  </si>
  <si>
    <t>CREPAND</t>
  </si>
  <si>
    <t>MARBY</t>
  </si>
  <si>
    <t>SERAUMONT</t>
  </si>
  <si>
    <t>LUNERY</t>
  </si>
  <si>
    <t>BARCUS</t>
  </si>
  <si>
    <t>PONTCHARRA</t>
  </si>
  <si>
    <t>SAINTE-AURENCE-CAZAUX</t>
  </si>
  <si>
    <t>SOUGY</t>
  </si>
  <si>
    <t>SENCENAC-PUY-DE-FOURCHES</t>
  </si>
  <si>
    <t>TREMBLAY</t>
  </si>
  <si>
    <t>THOMIREY</t>
  </si>
  <si>
    <t>TOLLAINCOURT</t>
  </si>
  <si>
    <t>NANCLARS</t>
  </si>
  <si>
    <t>83660</t>
  </si>
  <si>
    <t>CARNOULES</t>
  </si>
  <si>
    <t>JOUY-MAUVOISIN</t>
  </si>
  <si>
    <t>PUTANGES-PONT-ECREPIN</t>
  </si>
  <si>
    <t>LANDSER</t>
  </si>
  <si>
    <t>CAMPS-SUR-L'ISLE</t>
  </si>
  <si>
    <t>SAINT-SYMPHORIEN-SUR-SAONE</t>
  </si>
  <si>
    <t>DETTEY</t>
  </si>
  <si>
    <t>NEVILLE</t>
  </si>
  <si>
    <t>GARDEFORT</t>
  </si>
  <si>
    <t>LES METAIRIES</t>
  </si>
  <si>
    <t>SAINT-GIROD</t>
  </si>
  <si>
    <t>ANGLURE-SOUS-DUN</t>
  </si>
  <si>
    <t>SAINVILLE</t>
  </si>
  <si>
    <t>NEUILLY-LE-BRIGNON</t>
  </si>
  <si>
    <t>BUTOT</t>
  </si>
  <si>
    <t>SAINT-MARTIN-DU-TILLEUL</t>
  </si>
  <si>
    <t>BARBEREY-SAINT-SULPICE</t>
  </si>
  <si>
    <t>SAINT-JOUAN-DES-GUERETS</t>
  </si>
  <si>
    <t>LUMBIN</t>
  </si>
  <si>
    <t>74580</t>
  </si>
  <si>
    <t>FRANCILLY-SELENCY</t>
  </si>
  <si>
    <t>ROYERES</t>
  </si>
  <si>
    <t>MARAVAT</t>
  </si>
  <si>
    <t>92400</t>
  </si>
  <si>
    <t>COURBEVOIE</t>
  </si>
  <si>
    <t>MAGNONCOURT</t>
  </si>
  <si>
    <t>59210</t>
  </si>
  <si>
    <t>COUDEKERQUE-BRANCHE</t>
  </si>
  <si>
    <t>SAINT-MARTIN-D'ORDON</t>
  </si>
  <si>
    <t>BOUGAINVILLE</t>
  </si>
  <si>
    <t>DESNES</t>
  </si>
  <si>
    <t>BROYE-AUBIGNEY-MONTSEUGNY</t>
  </si>
  <si>
    <t>BRASSEUSE</t>
  </si>
  <si>
    <t>TRAITIEFONTAINE</t>
  </si>
  <si>
    <t>COLOMBIER-LE-CARDINAL</t>
  </si>
  <si>
    <t>PUISEUX-EN-FRANCE</t>
  </si>
  <si>
    <t>BEAUMONT-SUR-DEME</t>
  </si>
  <si>
    <t>ORROUER</t>
  </si>
  <si>
    <t>SAINT-ELOY-LES-MINES</t>
  </si>
  <si>
    <t>CHATEAU-LANDON</t>
  </si>
  <si>
    <t>BATTRANS</t>
  </si>
  <si>
    <t>2B173</t>
  </si>
  <si>
    <t>MURO</t>
  </si>
  <si>
    <t>59410</t>
  </si>
  <si>
    <t>ANZIN</t>
  </si>
  <si>
    <t>MONBALEN</t>
  </si>
  <si>
    <t>ETALANTE</t>
  </si>
  <si>
    <t>AUGNAX</t>
  </si>
  <si>
    <t>GRANDE-RIVIERE</t>
  </si>
  <si>
    <t>SEIGNALENS</t>
  </si>
  <si>
    <t>DENEUVRE</t>
  </si>
  <si>
    <t>LA ROCHEPOT</t>
  </si>
  <si>
    <t>SAINT-AY</t>
  </si>
  <si>
    <t>LE TREMBLAY</t>
  </si>
  <si>
    <t>PEROLS-SUR-VEZERE</t>
  </si>
  <si>
    <t>PONSON-DESSUS</t>
  </si>
  <si>
    <t>38640</t>
  </si>
  <si>
    <t>VELLEGUINDRY-ET-LEVRECEY</t>
  </si>
  <si>
    <t>MAUVES</t>
  </si>
  <si>
    <t>PONTAUBERT</t>
  </si>
  <si>
    <t>COUFFOULENS</t>
  </si>
  <si>
    <t>LAFRESGUIMONT-SAINT-MARTIN</t>
  </si>
  <si>
    <t>CERIZAY</t>
  </si>
  <si>
    <t>ANDIGNE</t>
  </si>
  <si>
    <t>MANSEMPUY</t>
  </si>
  <si>
    <t>SILMONT</t>
  </si>
  <si>
    <t>PLEUDANIEL</t>
  </si>
  <si>
    <t>ECTOT-L'AUBER</t>
  </si>
  <si>
    <t>SEUIL</t>
  </si>
  <si>
    <t>VERIN</t>
  </si>
  <si>
    <t>UGNY-LE-GAY</t>
  </si>
  <si>
    <t>CHAMPOLY</t>
  </si>
  <si>
    <t>MONIEUX</t>
  </si>
  <si>
    <t>62670</t>
  </si>
  <si>
    <t>MAZINGARBE</t>
  </si>
  <si>
    <t>LAFERTE-SUR-AMANCE</t>
  </si>
  <si>
    <t>37250</t>
  </si>
  <si>
    <t>VEIGNE</t>
  </si>
  <si>
    <t>AUVILLIERS-EN-GATINAIS</t>
  </si>
  <si>
    <t>ADELANGE</t>
  </si>
  <si>
    <t>DUCLAIR</t>
  </si>
  <si>
    <t>59950</t>
  </si>
  <si>
    <t>AUBY</t>
  </si>
  <si>
    <t>LIGESCOURT</t>
  </si>
  <si>
    <t>19560</t>
  </si>
  <si>
    <t>SAINT-HILAIRE-PEYROUX</t>
  </si>
  <si>
    <t>CHIEULLES</t>
  </si>
  <si>
    <t>FESSY</t>
  </si>
  <si>
    <t>SAINT-FIACRE-SUR-MAINE</t>
  </si>
  <si>
    <t>CHALLES-LA-MONTAGNE</t>
  </si>
  <si>
    <t>SAINT-GENIES-DE-VARENSAL</t>
  </si>
  <si>
    <t>EPINOUZE</t>
  </si>
  <si>
    <t>IZON-LA-BRUISSE</t>
  </si>
  <si>
    <t>LUTTENBACH-PRES-MUNSTER</t>
  </si>
  <si>
    <t>FOUCRAINVILLE</t>
  </si>
  <si>
    <t>MONTREUIL-BONNIN</t>
  </si>
  <si>
    <t>MORVILLE-SUR-NIED</t>
  </si>
  <si>
    <t>VILLESEQUE</t>
  </si>
  <si>
    <t>CHATELLERAULT</t>
  </si>
  <si>
    <t>MORTZWILLER</t>
  </si>
  <si>
    <t>LA CLOTTE</t>
  </si>
  <si>
    <t>LAVAL-LE-PRIEURE</t>
  </si>
  <si>
    <t>LA GIETTAZ</t>
  </si>
  <si>
    <t>HAMELIN</t>
  </si>
  <si>
    <t>BEAUVOIS-EN-CAMBRESIS</t>
  </si>
  <si>
    <t>SAINT-PIERRE-SUR-ORTHE</t>
  </si>
  <si>
    <t>OYTIER-SAINT-OBLAS</t>
  </si>
  <si>
    <t>LES CASSES</t>
  </si>
  <si>
    <t>SAINT-MAURICE-LA-CLOUERE</t>
  </si>
  <si>
    <t>SOTTEVAST</t>
  </si>
  <si>
    <t>ESCOT</t>
  </si>
  <si>
    <t>CHICHE</t>
  </si>
  <si>
    <t>88190</t>
  </si>
  <si>
    <t>GOLBEY</t>
  </si>
  <si>
    <t>PERET</t>
  </si>
  <si>
    <t>PONTONX-SUR-L'ADOUR</t>
  </si>
  <si>
    <t>LABASTIDE-D'ARMAGNAC</t>
  </si>
  <si>
    <t>CAZOULS-D'HERAULT</t>
  </si>
  <si>
    <t>MESNIL-EN-ARROUAISE</t>
  </si>
  <si>
    <t>BESSAS</t>
  </si>
  <si>
    <t>POURLANS</t>
  </si>
  <si>
    <t>PLENISETTE</t>
  </si>
  <si>
    <t>DOUCHY-LES-MINES</t>
  </si>
  <si>
    <t>MEAUX</t>
  </si>
  <si>
    <t>CUVERGNON</t>
  </si>
  <si>
    <t>LA LOGE-AUX-CHEVRES</t>
  </si>
  <si>
    <t>LA LANDE-DE-LOUGE</t>
  </si>
  <si>
    <t>LA FOLIE</t>
  </si>
  <si>
    <t>MALANS</t>
  </si>
  <si>
    <t>SAINT-SAUVEUR-EN-PUISAYE</t>
  </si>
  <si>
    <t>11480</t>
  </si>
  <si>
    <t>LA PALME</t>
  </si>
  <si>
    <t>BONNAL</t>
  </si>
  <si>
    <t>WARLUZEL</t>
  </si>
  <si>
    <t>LA CHAPELLE-SAINT-ETIENNE</t>
  </si>
  <si>
    <t>RADON</t>
  </si>
  <si>
    <t>VILLEMORIN</t>
  </si>
  <si>
    <t>LOUBAJAC</t>
  </si>
  <si>
    <t>LA PENNE</t>
  </si>
  <si>
    <t>SAINT-PAUL-LIZONNE</t>
  </si>
  <si>
    <t>59288</t>
  </si>
  <si>
    <t>PREUX-AU-BOIS</t>
  </si>
  <si>
    <t>MONTCEAUX-LES-MEAUX</t>
  </si>
  <si>
    <t>HAYANGE</t>
  </si>
  <si>
    <t>68040</t>
  </si>
  <si>
    <t>INGERSHEIM</t>
  </si>
  <si>
    <t>COUBERT</t>
  </si>
  <si>
    <t>EPAGNE-EPAGNETTE</t>
  </si>
  <si>
    <t>LUSIGNAN-PETIT</t>
  </si>
  <si>
    <t>CHAMPFORGEUIL</t>
  </si>
  <si>
    <t>POYANS</t>
  </si>
  <si>
    <t>LANGOGNE</t>
  </si>
  <si>
    <t>MACONCOURT</t>
  </si>
  <si>
    <t>LA VERNAREDE</t>
  </si>
  <si>
    <t>ABIDOS</t>
  </si>
  <si>
    <t>FREYCENET-LA-CUCHE</t>
  </si>
  <si>
    <t>LACHAISE</t>
  </si>
  <si>
    <t>MARNAY-SUR-SEINE</t>
  </si>
  <si>
    <t>LIXY</t>
  </si>
  <si>
    <t>SAINT-AUBIN-SUR-AIRE</t>
  </si>
  <si>
    <t>BOISSY-L'AILLERIE</t>
  </si>
  <si>
    <t>SAINT-IGEAUX</t>
  </si>
  <si>
    <t>LAURIS</t>
  </si>
  <si>
    <t>SAINT-VITAL</t>
  </si>
  <si>
    <t>ARCIZANS-DESSUS</t>
  </si>
  <si>
    <t>95610</t>
  </si>
  <si>
    <t>ERAGNY</t>
  </si>
  <si>
    <t>LOUPFOUGERES</t>
  </si>
  <si>
    <t>SAINTE-SOLANGE</t>
  </si>
  <si>
    <t>MIETESHEIM</t>
  </si>
  <si>
    <t>COURGENARD</t>
  </si>
  <si>
    <t>TRILPORT</t>
  </si>
  <si>
    <t>NARP</t>
  </si>
  <si>
    <t>BROSSAY</t>
  </si>
  <si>
    <t>VALCIVIERES</t>
  </si>
  <si>
    <t>MAREY</t>
  </si>
  <si>
    <t>CHASSEY-LES-SCEY</t>
  </si>
  <si>
    <t>WITTERSDORF</t>
  </si>
  <si>
    <t>AVIRON</t>
  </si>
  <si>
    <t>BOSJEAN</t>
  </si>
  <si>
    <t>DAGLAN</t>
  </si>
  <si>
    <t>AUDOUVILLE-LA-HUBERT</t>
  </si>
  <si>
    <t>HORVILLE-EN-ORNOIS</t>
  </si>
  <si>
    <t>ETREPIGNY</t>
  </si>
  <si>
    <t>MONTOIS-LA-MONTAGNE</t>
  </si>
  <si>
    <t>LE RUSSEY</t>
  </si>
  <si>
    <t>SAINT-BONNET-DE-CRAY</t>
  </si>
  <si>
    <t>GUINCOURT</t>
  </si>
  <si>
    <t>PIERRE-LA-TREICHE</t>
  </si>
  <si>
    <t>CALORGUEN</t>
  </si>
  <si>
    <t>NESLE-LA-REPOSTE</t>
  </si>
  <si>
    <t>VITRAC-EN-VIADENE</t>
  </si>
  <si>
    <t>MEILLANT</t>
  </si>
  <si>
    <t>LOUGRES</t>
  </si>
  <si>
    <t>2B075</t>
  </si>
  <si>
    <t>CASEVECCHIE</t>
  </si>
  <si>
    <t>NAINVILLE-LES-ROCHES</t>
  </si>
  <si>
    <t>SCHLIERBACH</t>
  </si>
  <si>
    <t>FELINES-MINERVOIS</t>
  </si>
  <si>
    <t>CREMEAUX</t>
  </si>
  <si>
    <t>LE MESNIL-AU-GRAIN</t>
  </si>
  <si>
    <t>ARON</t>
  </si>
  <si>
    <t>RASIGUERES</t>
  </si>
  <si>
    <t>BIDESTROFF</t>
  </si>
  <si>
    <t>FLORAC</t>
  </si>
  <si>
    <t>SARRAGUZAN</t>
  </si>
  <si>
    <t>BREHAN</t>
  </si>
  <si>
    <t>CHATEAU-LA-VALLIERE</t>
  </si>
  <si>
    <t>BREAU</t>
  </si>
  <si>
    <t>SAINT-MALO-DE-BEIGNON</t>
  </si>
  <si>
    <t>SAINT-ETIENNE-SUR-USSON</t>
  </si>
  <si>
    <t>OUILLY-LE-TESSON</t>
  </si>
  <si>
    <t>SAINTE-MARGUERITE-DE-VIETTE</t>
  </si>
  <si>
    <t>DOMMARTIN-LE-FRANC</t>
  </si>
  <si>
    <t>BEZONVAUX</t>
  </si>
  <si>
    <t>VAUDEMONT</t>
  </si>
  <si>
    <t>LES PEINTURES</t>
  </si>
  <si>
    <t>MESNIL-SAINT-GEORGES</t>
  </si>
  <si>
    <t>MONTBERNARD</t>
  </si>
  <si>
    <t>IVREY</t>
  </si>
  <si>
    <t>ARMEAU</t>
  </si>
  <si>
    <t>ZUYDCOOTE</t>
  </si>
  <si>
    <t>SAINT-JEAN-DE-LA-HAIZE</t>
  </si>
  <si>
    <t>86480</t>
  </si>
  <si>
    <t>ROUILLE</t>
  </si>
  <si>
    <t>COURANT</t>
  </si>
  <si>
    <t>COURCELLES-EPAYELLES</t>
  </si>
  <si>
    <t>PANNECE</t>
  </si>
  <si>
    <t>BERNAY</t>
  </si>
  <si>
    <t>BENIFONTAINE</t>
  </si>
  <si>
    <t>14780</t>
  </si>
  <si>
    <t>LION-SUR-MER</t>
  </si>
  <si>
    <t>FROYELLES</t>
  </si>
  <si>
    <t>ETOUARS</t>
  </si>
  <si>
    <t>LACAPELLE-LIVRON</t>
  </si>
  <si>
    <t>SAUZE-VAUSSAIS</t>
  </si>
  <si>
    <t>CONDE-SUR-HUISNE</t>
  </si>
  <si>
    <t>BOURG-DU-BOST</t>
  </si>
  <si>
    <t>BLOU</t>
  </si>
  <si>
    <t>MALANGE</t>
  </si>
  <si>
    <t>ANVIN</t>
  </si>
  <si>
    <t>2B355</t>
  </si>
  <si>
    <t>VOLPAJOLA</t>
  </si>
  <si>
    <t>PLOUGOULM</t>
  </si>
  <si>
    <t>BERLISE</t>
  </si>
  <si>
    <t>DOUNOUX</t>
  </si>
  <si>
    <t>MEURCOURT</t>
  </si>
  <si>
    <t>PREGUILLAC</t>
  </si>
  <si>
    <t>CHORGES</t>
  </si>
  <si>
    <t>CHENE-ARNOULT</t>
  </si>
  <si>
    <t>COURCELLES-LE-COMTE</t>
  </si>
  <si>
    <t>LA ROQUE-BAIGNARD</t>
  </si>
  <si>
    <t>ARMISSAN</t>
  </si>
  <si>
    <t>SALEON</t>
  </si>
  <si>
    <t>VASPERVILLER</t>
  </si>
  <si>
    <t>ALLIGNY-COSNE</t>
  </si>
  <si>
    <t>CORNEBARRIEU</t>
  </si>
  <si>
    <t>LIEHON</t>
  </si>
  <si>
    <t>70220</t>
  </si>
  <si>
    <t>CHARMES-LA-COTE</t>
  </si>
  <si>
    <t>POUILLY-SUR-VINGEANNE</t>
  </si>
  <si>
    <t>MONTREUIL-L'ARGILLE</t>
  </si>
  <si>
    <t>SAINTE-ALAUZIE</t>
  </si>
  <si>
    <t>SAINT-JULIEN-DE-L'ESCAP</t>
  </si>
  <si>
    <t>SAINT-ANDRE-EN-MORVAN</t>
  </si>
  <si>
    <t>SAINT-JULIEN-CHAPTEUIL</t>
  </si>
  <si>
    <t>CHATELAY</t>
  </si>
  <si>
    <t>MONTMACHOUX</t>
  </si>
  <si>
    <t>LE SEURE</t>
  </si>
  <si>
    <t>GOMETZ-LA-VILLE</t>
  </si>
  <si>
    <t>OYRIERES</t>
  </si>
  <si>
    <t>CASTELNAU-CHALOSSE</t>
  </si>
  <si>
    <t>MARAY</t>
  </si>
  <si>
    <t>RONCHOIS</t>
  </si>
  <si>
    <t>CLERMONT-SOUBIRAN</t>
  </si>
  <si>
    <t>TROIS-FONDS</t>
  </si>
  <si>
    <t>MOLOY</t>
  </si>
  <si>
    <t>FRAILLICOURT</t>
  </si>
  <si>
    <t>2B109</t>
  </si>
  <si>
    <t>FARINOLE</t>
  </si>
  <si>
    <t>AURAY</t>
  </si>
  <si>
    <t>SEPT-FORGES</t>
  </si>
  <si>
    <t>93260</t>
  </si>
  <si>
    <t>LES LILAS</t>
  </si>
  <si>
    <t>LA BASTIDE-DE-BOUSIGNAC</t>
  </si>
  <si>
    <t>LA BACONNIERE</t>
  </si>
  <si>
    <t>SAINT-JEAN-POUDGE</t>
  </si>
  <si>
    <t>TROIS-FONTAINES-L'ABBAYE</t>
  </si>
  <si>
    <t>POMPIGNAN</t>
  </si>
  <si>
    <t>VITRAC-SAINT-VINCENT</t>
  </si>
  <si>
    <t>LE BRETHON</t>
  </si>
  <si>
    <t>MORANNES</t>
  </si>
  <si>
    <t>67820</t>
  </si>
  <si>
    <t>WITTISHEIM</t>
  </si>
  <si>
    <t>PEYZIEUX-SUR-SAONE</t>
  </si>
  <si>
    <t>FRANCAZAL</t>
  </si>
  <si>
    <t>COUDRECIEUX</t>
  </si>
  <si>
    <t>VILLEROMAIN</t>
  </si>
  <si>
    <t>NEUVILLE-PRES-SEES</t>
  </si>
  <si>
    <t>PRIGNAC-EN-MEDOC</t>
  </si>
  <si>
    <t>BINDERNHEIM</t>
  </si>
  <si>
    <t>MILLONFOSSE</t>
  </si>
  <si>
    <t>DOMPNAC</t>
  </si>
  <si>
    <t>SEMBOUES</t>
  </si>
  <si>
    <t>MAGNET</t>
  </si>
  <si>
    <t>BONNIERES-SUR-SEINE</t>
  </si>
  <si>
    <t>SERIGNY</t>
  </si>
  <si>
    <t>84440</t>
  </si>
  <si>
    <t>ROBION</t>
  </si>
  <si>
    <t>ROGECOURT</t>
  </si>
  <si>
    <t>PARIGNY-LES-VAUX</t>
  </si>
  <si>
    <t>LE VAL-DAVID</t>
  </si>
  <si>
    <t>PLOUVARA</t>
  </si>
  <si>
    <t>VENESTANVILLE</t>
  </si>
  <si>
    <t>MONTREUIL-SUR-LOZON</t>
  </si>
  <si>
    <t>CHALLES</t>
  </si>
  <si>
    <t>ROCAMADOUR</t>
  </si>
  <si>
    <t>BOSTENS</t>
  </si>
  <si>
    <t>MARCILLY-EN-BASSIGNY</t>
  </si>
  <si>
    <t>FONTAINE-LA-GUYON</t>
  </si>
  <si>
    <t>LIGRON</t>
  </si>
  <si>
    <t>FRIZON</t>
  </si>
  <si>
    <t>ISNEAUVILLE</t>
  </si>
  <si>
    <t>CLEYRAC</t>
  </si>
  <si>
    <t>TOLLEVAST</t>
  </si>
  <si>
    <t>MAULEON-D'ARMAGNAC</t>
  </si>
  <si>
    <t>COURPIERE</t>
  </si>
  <si>
    <t>SAINTE-LEOCADIE</t>
  </si>
  <si>
    <t>LATHUILE</t>
  </si>
  <si>
    <t>SAINT-SAUVEUR-LA-VALLEE</t>
  </si>
  <si>
    <t>CHOUILLY</t>
  </si>
  <si>
    <t>XAMONTARUPT</t>
  </si>
  <si>
    <t>MONT-DAUPHIN</t>
  </si>
  <si>
    <t>NEAU</t>
  </si>
  <si>
    <t>BOURGHELLES</t>
  </si>
  <si>
    <t>SAINT-CHRISTOPHE-DES-BARDES</t>
  </si>
  <si>
    <t>PIERREMONT-SUR-AMANCE</t>
  </si>
  <si>
    <t>CLARBEC</t>
  </si>
  <si>
    <t>SOUDEILLES</t>
  </si>
  <si>
    <t>LE POET</t>
  </si>
  <si>
    <t>MONTOULIEU</t>
  </si>
  <si>
    <t>VERNEUSSES</t>
  </si>
  <si>
    <t>URIMENIL</t>
  </si>
  <si>
    <t>BASSEUX</t>
  </si>
  <si>
    <t>ESTRABLIN</t>
  </si>
  <si>
    <t>RICARVILLE-DU-VAL</t>
  </si>
  <si>
    <t>MANONVILLER</t>
  </si>
  <si>
    <t>68128</t>
  </si>
  <si>
    <t>VILLAGE-NEUF</t>
  </si>
  <si>
    <t>LE PLESSIS-GRIMOULT</t>
  </si>
  <si>
    <t>MAILLY-RAINEVAL</t>
  </si>
  <si>
    <t>COISIA</t>
  </si>
  <si>
    <t>SAORGE</t>
  </si>
  <si>
    <t>SAINT-DENIS-DES-MONTS</t>
  </si>
  <si>
    <t>PAILHES</t>
  </si>
  <si>
    <t>VER-SUR-LAUNETTE</t>
  </si>
  <si>
    <t>CHAMBEON</t>
  </si>
  <si>
    <t>PONT-SCORFF</t>
  </si>
  <si>
    <t>94550</t>
  </si>
  <si>
    <t>CHEVILLY-LARUE</t>
  </si>
  <si>
    <t>SAINT-GERMAIN-DE-LA-RIVIERE</t>
  </si>
  <si>
    <t>BRUNELLES</t>
  </si>
  <si>
    <t>KIRRBERG</t>
  </si>
  <si>
    <t>69410</t>
  </si>
  <si>
    <t>CHAMPAGNE-AU-MONT-D'OR</t>
  </si>
  <si>
    <t>LADIVILLE</t>
  </si>
  <si>
    <t>MAFFRECOURT</t>
  </si>
  <si>
    <t>VANDRE</t>
  </si>
  <si>
    <t>BOUVIGNIES</t>
  </si>
  <si>
    <t>SAINT-MARTIN-SUR-LA-CHAMBRE</t>
  </si>
  <si>
    <t>ORNOLAC-USSAT-LES-BAINS</t>
  </si>
  <si>
    <t>RUEYRES</t>
  </si>
  <si>
    <t>SARAMON</t>
  </si>
  <si>
    <t>VILLANIERE</t>
  </si>
  <si>
    <t>CHABONS</t>
  </si>
  <si>
    <t>NOUZERINES</t>
  </si>
  <si>
    <t>LOULLE</t>
  </si>
  <si>
    <t>MILLY</t>
  </si>
  <si>
    <t>MISY-SUR-YONNE</t>
  </si>
  <si>
    <t>UZES</t>
  </si>
  <si>
    <t>FONTAINE-LES-BASSETS</t>
  </si>
  <si>
    <t>GARANOU</t>
  </si>
  <si>
    <t>HAUT-DU-THEM-CHATEAU-LAMBERT</t>
  </si>
  <si>
    <t>VENDINE</t>
  </si>
  <si>
    <t>40130</t>
  </si>
  <si>
    <t>CAPBRETON</t>
  </si>
  <si>
    <t>BUCY-LES-CERNY</t>
  </si>
  <si>
    <t>LA SAUNIERE</t>
  </si>
  <si>
    <t>REEZ-FOSSE-MARTIN</t>
  </si>
  <si>
    <t>TRICHEY</t>
  </si>
  <si>
    <t>SAINT-SYMPHORIEN-DES-BRUYERES</t>
  </si>
  <si>
    <t>AIGREFEUILLE-D'AUNIS</t>
  </si>
  <si>
    <t>YONCQ</t>
  </si>
  <si>
    <t>ORCHIES</t>
  </si>
  <si>
    <t>COMBLANCHIEN</t>
  </si>
  <si>
    <t>LES VILLETTES</t>
  </si>
  <si>
    <t>SAINT-GEORGES-D'AURAC</t>
  </si>
  <si>
    <t>39000</t>
  </si>
  <si>
    <t>LONS-LE-SAUNIER</t>
  </si>
  <si>
    <t>HIRSCHLAND</t>
  </si>
  <si>
    <t>MALANSAC</t>
  </si>
  <si>
    <t>CHAULGNES</t>
  </si>
  <si>
    <t>MAUZUN</t>
  </si>
  <si>
    <t>6950</t>
  </si>
  <si>
    <t>FALICON</t>
  </si>
  <si>
    <t>HERENGUERVILLE</t>
  </si>
  <si>
    <t>OISELAY-ET-GRACHAUX</t>
  </si>
  <si>
    <t>DOUILLY</t>
  </si>
  <si>
    <t>BOURBRIAC</t>
  </si>
  <si>
    <t>GRANES</t>
  </si>
  <si>
    <t>AUBERS</t>
  </si>
  <si>
    <t>PONTIVY</t>
  </si>
  <si>
    <t>PRAT-BONREPAUX</t>
  </si>
  <si>
    <t>SAINT-JEAN-DE-REBERVILLIERS</t>
  </si>
  <si>
    <t>NONHIGNY</t>
  </si>
  <si>
    <t>SAINT-SULPICE-DE-MAREUIL</t>
  </si>
  <si>
    <t>VAUGRIGNEUSE</t>
  </si>
  <si>
    <t>ZELLWILLER</t>
  </si>
  <si>
    <t>POINSON-LES-FAYL</t>
  </si>
  <si>
    <t>ENNEVELIN</t>
  </si>
  <si>
    <t>BRENOUILLE</t>
  </si>
  <si>
    <t>PERENCHIES</t>
  </si>
  <si>
    <t>FLEIGNEUX</t>
  </si>
  <si>
    <t>FRANCESCAS</t>
  </si>
  <si>
    <t>POISEUL-LA-VILLE-ET-LAPERRIERE</t>
  </si>
  <si>
    <t>MENILLES</t>
  </si>
  <si>
    <t>HABERE-POCHE</t>
  </si>
  <si>
    <t>LA ROCHETTE-DU-BUIS</t>
  </si>
  <si>
    <t>PUJO</t>
  </si>
  <si>
    <t>MONTBARROIS</t>
  </si>
  <si>
    <t>COUCOURON</t>
  </si>
  <si>
    <t>QUINTAL</t>
  </si>
  <si>
    <t>FIAC</t>
  </si>
  <si>
    <t>SAINT-JULIEN-D'ANCE</t>
  </si>
  <si>
    <t>FONTENERMONT</t>
  </si>
  <si>
    <t>NOIDANT-CHATENOY</t>
  </si>
  <si>
    <t>VALLON-EN-SULLY</t>
  </si>
  <si>
    <t>NIEDERENTZEN</t>
  </si>
  <si>
    <t>42000/42100/42230</t>
  </si>
  <si>
    <t>SAINT-ETIENNE</t>
  </si>
  <si>
    <t>LA COUR-MARIGNY</t>
  </si>
  <si>
    <t>BREVILLY</t>
  </si>
  <si>
    <t>SAUBRIGUES</t>
  </si>
  <si>
    <t>SAINT-LEONARD-EN-BEAUCE</t>
  </si>
  <si>
    <t>SARROUILLES</t>
  </si>
  <si>
    <t>VABRE</t>
  </si>
  <si>
    <t>ESCHBOURG</t>
  </si>
  <si>
    <t>GRAMMOND</t>
  </si>
  <si>
    <t>VALLIQUERVILLE</t>
  </si>
  <si>
    <t>CONFORT</t>
  </si>
  <si>
    <t>SAINT-JULIEN-D'ASSE</t>
  </si>
  <si>
    <t>NARNHAC</t>
  </si>
  <si>
    <t>TARQUIMPOL</t>
  </si>
  <si>
    <t>IVORY</t>
  </si>
  <si>
    <t>VOISINES</t>
  </si>
  <si>
    <t>LANRIGAN</t>
  </si>
  <si>
    <t>CUISERY</t>
  </si>
  <si>
    <t>LES NEYROLLES</t>
  </si>
  <si>
    <t>POLISY</t>
  </si>
  <si>
    <t>SAINT-MARTIN-LE-GAILLARD</t>
  </si>
  <si>
    <t>VILLENEUVE-SUR-VERE</t>
  </si>
  <si>
    <t>97439</t>
  </si>
  <si>
    <t>97137</t>
  </si>
  <si>
    <t>TERRE-DE-HAUT</t>
  </si>
  <si>
    <t>BOUELLES</t>
  </si>
  <si>
    <t>BAZOUGES-LA-PEROUSE</t>
  </si>
  <si>
    <t>SAINT-VRAIN</t>
  </si>
  <si>
    <t>DUN-SUR-MEUSE</t>
  </si>
  <si>
    <t>SAINT-DAUNES</t>
  </si>
  <si>
    <t>AURIONS-IDERNES</t>
  </si>
  <si>
    <t>SAINT-BONNET-DE-CHAVAGNE</t>
  </si>
  <si>
    <t>THIRAUCOURT</t>
  </si>
  <si>
    <t>PRENOIS</t>
  </si>
  <si>
    <t>SEVREY</t>
  </si>
  <si>
    <t>2B046</t>
  </si>
  <si>
    <t>CAGNANO</t>
  </si>
  <si>
    <t>CHAMPDENIERS-SAINT-DENIS</t>
  </si>
  <si>
    <t>BAREILLES</t>
  </si>
  <si>
    <t>VOEUIL-ET-GIGET</t>
  </si>
  <si>
    <t>CROUTELLE</t>
  </si>
  <si>
    <t>SAINT-AGATHON</t>
  </si>
  <si>
    <t>PECY</t>
  </si>
  <si>
    <t>CREUZIER-LE-NEUF</t>
  </si>
  <si>
    <t>VILLARD-LEGER</t>
  </si>
  <si>
    <t>OUZOUER-LE-MARCHE</t>
  </si>
  <si>
    <t>BARATIER</t>
  </si>
  <si>
    <t>BILLIEME</t>
  </si>
  <si>
    <t>TERTRY</t>
  </si>
  <si>
    <t>CHAUVIREY-LE-CHATEL</t>
  </si>
  <si>
    <t>VILDE-GUINGALAN</t>
  </si>
  <si>
    <t>AJAT</t>
  </si>
  <si>
    <t>VESLES-ET-CAUMONT</t>
  </si>
  <si>
    <t>94880</t>
  </si>
  <si>
    <t>NOISEAU</t>
  </si>
  <si>
    <t>FOUCARVILLE</t>
  </si>
  <si>
    <t>VALHUON</t>
  </si>
  <si>
    <t>TEMPLE-LAGUYON</t>
  </si>
  <si>
    <t>ECRETTEVILLE-SUR-MER</t>
  </si>
  <si>
    <t>BELMONT-BRETENOUX</t>
  </si>
  <si>
    <t>BOSGUERARD-DE-MARCOUVILLE</t>
  </si>
  <si>
    <t>77380</t>
  </si>
  <si>
    <t>COMBS-LA-VILLE</t>
  </si>
  <si>
    <t>IGNY-COMBLIZY</t>
  </si>
  <si>
    <t>FONTET</t>
  </si>
  <si>
    <t>CIVRAY-SUR-ESVES</t>
  </si>
  <si>
    <t>CAYROLS</t>
  </si>
  <si>
    <t>GRANDHAM</t>
  </si>
  <si>
    <t>ANNEVILLE-SUR-MER</t>
  </si>
  <si>
    <t>GENSAC-DE-BOULOGNE</t>
  </si>
  <si>
    <t>LE CATELIER</t>
  </si>
  <si>
    <t>COUFOULEUX</t>
  </si>
  <si>
    <t>VILLECHETIVE</t>
  </si>
  <si>
    <t>CHATELAUDREN</t>
  </si>
  <si>
    <t>SOUBREBOST</t>
  </si>
  <si>
    <t>CERQUEUX</t>
  </si>
  <si>
    <t>VONNAS</t>
  </si>
  <si>
    <t>MAISONNEUVE</t>
  </si>
  <si>
    <t>PRADES-LE-LEZ</t>
  </si>
  <si>
    <t>MAIXE</t>
  </si>
  <si>
    <t>MARFONTAINE</t>
  </si>
  <si>
    <t>LE GUE-DE-LA-CHAINE</t>
  </si>
  <si>
    <t>SAINT-GILLES-PLIGEAUX</t>
  </si>
  <si>
    <t>LES PONTETS</t>
  </si>
  <si>
    <t>BOIS-HERPIN</t>
  </si>
  <si>
    <t>BROUSSES-ET-VILLARET</t>
  </si>
  <si>
    <t>BRIOUZE</t>
  </si>
  <si>
    <t>SAINT-NICOLAS-DES-LAITIERS</t>
  </si>
  <si>
    <t>ORANGE</t>
  </si>
  <si>
    <t>ROMPON</t>
  </si>
  <si>
    <t>TOURTERON</t>
  </si>
  <si>
    <t>51450</t>
  </si>
  <si>
    <t>BETHENY</t>
  </si>
  <si>
    <t>FATINES</t>
  </si>
  <si>
    <t>OUERRE</t>
  </si>
  <si>
    <t>CORANCEZ</t>
  </si>
  <si>
    <t>LANVALLAY</t>
  </si>
  <si>
    <t>BACHY</t>
  </si>
  <si>
    <t>HINGES</t>
  </si>
  <si>
    <t>COLLEVILLE-SUR-MER</t>
  </si>
  <si>
    <t>MANTILLY</t>
  </si>
  <si>
    <t>LOQUEFFRET</t>
  </si>
  <si>
    <t>NONCOURT-SUR-LE-RONGEANT</t>
  </si>
  <si>
    <t>GLANNES</t>
  </si>
  <si>
    <t>YEBLERON</t>
  </si>
  <si>
    <t>COURLON</t>
  </si>
  <si>
    <t>JURIGNAC</t>
  </si>
  <si>
    <t>SONDERSDORF</t>
  </si>
  <si>
    <t>78100</t>
  </si>
  <si>
    <t>SAINT-GERMAIN-EN-LAYE</t>
  </si>
  <si>
    <t>RONQUEROLLES</t>
  </si>
  <si>
    <t>BERNATRE</t>
  </si>
  <si>
    <t>MAUSSANS</t>
  </si>
  <si>
    <t>SAINT-LAURENT-D'ANDENAY</t>
  </si>
  <si>
    <t>MASSOULES</t>
  </si>
  <si>
    <t>GRENOIS</t>
  </si>
  <si>
    <t>RIESPACH</t>
  </si>
  <si>
    <t>CHATEAULIN</t>
  </si>
  <si>
    <t>SAUVIGNY-LES-BOIS</t>
  </si>
  <si>
    <t>MONTHOIS</t>
  </si>
  <si>
    <t>92370</t>
  </si>
  <si>
    <t>CHAVILLE</t>
  </si>
  <si>
    <t>90600</t>
  </si>
  <si>
    <t>GRANDVILLARS</t>
  </si>
  <si>
    <t>MAISON-FEYNE</t>
  </si>
  <si>
    <t>SAINT-BON</t>
  </si>
  <si>
    <t>CRESSAT</t>
  </si>
  <si>
    <t>FLAGNAC</t>
  </si>
  <si>
    <t>ROGUES</t>
  </si>
  <si>
    <t>NOYALES</t>
  </si>
  <si>
    <t>PELLEVOISIN</t>
  </si>
  <si>
    <t>SAINT-COSME</t>
  </si>
  <si>
    <t>ORNES</t>
  </si>
  <si>
    <t>WINNEZEELE</t>
  </si>
  <si>
    <t>SAINT-JEAN-DE-LA-RIVIERE</t>
  </si>
  <si>
    <t>MAREUIL-SUR-ARNON</t>
  </si>
  <si>
    <t>BACILLY</t>
  </si>
  <si>
    <t>BAINCTHUN</t>
  </si>
  <si>
    <t>BONNEFONTAINE</t>
  </si>
  <si>
    <t>UREPEL</t>
  </si>
  <si>
    <t>BILLY-SOUS-MANGIENNES</t>
  </si>
  <si>
    <t>GOMBERGEAN</t>
  </si>
  <si>
    <t>MAREUIL-LES-MEAUX</t>
  </si>
  <si>
    <t>BRICY</t>
  </si>
  <si>
    <t>NOUZONVILLE</t>
  </si>
  <si>
    <t>CHAMOUILLAC</t>
  </si>
  <si>
    <t>SAINT-GENES-CHAMPESPE</t>
  </si>
  <si>
    <t>CHESSENAZ</t>
  </si>
  <si>
    <t>66700</t>
  </si>
  <si>
    <t>ARGELES-SUR-MER</t>
  </si>
  <si>
    <t>MERIGNAS</t>
  </si>
  <si>
    <t>RODERN</t>
  </si>
  <si>
    <t>CHAMMES</t>
  </si>
  <si>
    <t>LE LAC-D'ISSARLES</t>
  </si>
  <si>
    <t>EPIRY</t>
  </si>
  <si>
    <t>BAYENGHEM-LES-SENINGHEM</t>
  </si>
  <si>
    <t>LES VASTRES</t>
  </si>
  <si>
    <t>PAYROS-CAZAUTETS</t>
  </si>
  <si>
    <t>TROISGOTS</t>
  </si>
  <si>
    <t>20124</t>
  </si>
  <si>
    <t>2A362</t>
  </si>
  <si>
    <t>ZONZA</t>
  </si>
  <si>
    <t>EPIAIS-RHUS</t>
  </si>
  <si>
    <t>SAINT-LAURENT-DE-JOURDES</t>
  </si>
  <si>
    <t>CHAMBOULIVE</t>
  </si>
  <si>
    <t>ERIZE-LA-PETITE</t>
  </si>
  <si>
    <t>ANGECOURT</t>
  </si>
  <si>
    <t>LA CHAISE-BAUDOUIN</t>
  </si>
  <si>
    <t>CHAMAGNE</t>
  </si>
  <si>
    <t>SAINT-AMBREUIL</t>
  </si>
  <si>
    <t>SAINT-JEAN-D'EYRAUD</t>
  </si>
  <si>
    <t>SAINT-VICTOR-ROUZAUD</t>
  </si>
  <si>
    <t>SAINT-BAUZILLE-DE-MONTMEL</t>
  </si>
  <si>
    <t>PRETREVILLE</t>
  </si>
  <si>
    <t>ROSIERES-SUR-MANCE</t>
  </si>
  <si>
    <t>SAINT-SAUVEUR-LES-BRAY</t>
  </si>
  <si>
    <t>VANCE</t>
  </si>
  <si>
    <t>SAINT-CYR-SUR-MENTHON</t>
  </si>
  <si>
    <t>SAINT-JULIEN-DE-GRAS-CAPOU</t>
  </si>
  <si>
    <t>WEST-CAPPEL</t>
  </si>
  <si>
    <t>GERMAINES</t>
  </si>
  <si>
    <t>DENAZE</t>
  </si>
  <si>
    <t>MALAUSSANNE</t>
  </si>
  <si>
    <t>LOUIT</t>
  </si>
  <si>
    <t>LUCQ-DE-BEARN</t>
  </si>
  <si>
    <t>SAINT-LAURENT-DU-PONT</t>
  </si>
  <si>
    <t>69003</t>
  </si>
  <si>
    <t>LYON--3E--ARRONDISSEMENT</t>
  </si>
  <si>
    <t>ROCHETREJOUX</t>
  </si>
  <si>
    <t>VERCHOCQ</t>
  </si>
  <si>
    <t>FOISSY-SUR-VANNE</t>
  </si>
  <si>
    <t>RAINCHEVAL</t>
  </si>
  <si>
    <t>JAMBLES</t>
  </si>
  <si>
    <t>FUILLA</t>
  </si>
  <si>
    <t>OUST</t>
  </si>
  <si>
    <t>CORCELLES-FERRIERES</t>
  </si>
  <si>
    <t>11540</t>
  </si>
  <si>
    <t>ROQUEFORT-DES-CORBIERES</t>
  </si>
  <si>
    <t>CHASSAGNE-MONTRACHET</t>
  </si>
  <si>
    <t>CARNOET</t>
  </si>
  <si>
    <t>MOUTHE</t>
  </si>
  <si>
    <t>L'ISLE-BOUZON</t>
  </si>
  <si>
    <t>DONCHERY</t>
  </si>
  <si>
    <t>LE CHESNAY</t>
  </si>
  <si>
    <t>CREVIN</t>
  </si>
  <si>
    <t>CHEYSSIEU</t>
  </si>
  <si>
    <t>14360</t>
  </si>
  <si>
    <t>TROUVILLE-SUR-MER</t>
  </si>
  <si>
    <t>CREUZIER-LE-VIEUX</t>
  </si>
  <si>
    <t>BOULC</t>
  </si>
  <si>
    <t>CHAVENAT</t>
  </si>
  <si>
    <t>CHARVIEU-CHAVAGNEUX</t>
  </si>
  <si>
    <t>2B244</t>
  </si>
  <si>
    <t>POPOLASCA</t>
  </si>
  <si>
    <t>VILLIERS-EN-MORVAN</t>
  </si>
  <si>
    <t>GUGNEY-AUX-AULX</t>
  </si>
  <si>
    <t>BREUIL-LA-REORTE</t>
  </si>
  <si>
    <t>20165</t>
  </si>
  <si>
    <t>2A146</t>
  </si>
  <si>
    <t>LORETO-DI-TALLANO</t>
  </si>
  <si>
    <t>BELMONT-SUR-BUTTANT</t>
  </si>
  <si>
    <t>LE MENIL-BROUT</t>
  </si>
  <si>
    <t>RAMILLIES</t>
  </si>
  <si>
    <t>LES TOUCHES</t>
  </si>
  <si>
    <t>80122</t>
  </si>
  <si>
    <t>CHICHERY</t>
  </si>
  <si>
    <t>SAINT-MAURICE-L'EXIL</t>
  </si>
  <si>
    <t>ANTHE</t>
  </si>
  <si>
    <t>RUBEMPRE</t>
  </si>
  <si>
    <t>POUANCE</t>
  </si>
  <si>
    <t>ESCOUT</t>
  </si>
  <si>
    <t>95210</t>
  </si>
  <si>
    <t>ARAGON</t>
  </si>
  <si>
    <t>SORIGNY</t>
  </si>
  <si>
    <t>TOULIGNY</t>
  </si>
  <si>
    <t>JARDRES</t>
  </si>
  <si>
    <t>PISSOTTE</t>
  </si>
  <si>
    <t>MERY-PREMECY</t>
  </si>
  <si>
    <t>CHATILLON-LA-PALUD</t>
  </si>
  <si>
    <t>BICQUELEY</t>
  </si>
  <si>
    <t>BUSSY-LE-CHATEAU</t>
  </si>
  <si>
    <t>SAINT-MICHEL-DE-SAINT-GEOIRS</t>
  </si>
  <si>
    <t>PRUSLY-SUR-OURCE</t>
  </si>
  <si>
    <t>MERENVIELLE</t>
  </si>
  <si>
    <t>FEY-EN-HAYE</t>
  </si>
  <si>
    <t>PAREID</t>
  </si>
  <si>
    <t>OUSSIERES</t>
  </si>
  <si>
    <t>AVEIZE</t>
  </si>
  <si>
    <t>CHATEAUNEUF-VAL-SAINT-DONAT</t>
  </si>
  <si>
    <t>ECOUVIEZ</t>
  </si>
  <si>
    <t>BERTREVILLE-SAINT-OUEN</t>
  </si>
  <si>
    <t>RICHEVILLE</t>
  </si>
  <si>
    <t>MONTBAZON</t>
  </si>
  <si>
    <t>SAINT-PANCRE</t>
  </si>
  <si>
    <t>GROISSIAT</t>
  </si>
  <si>
    <t>42570</t>
  </si>
  <si>
    <t>SAINT-HEAND</t>
  </si>
  <si>
    <t>30400</t>
  </si>
  <si>
    <t>VILLENEUVE-LES-AVIGNON</t>
  </si>
  <si>
    <t>ARCIZAC-ADOUR</t>
  </si>
  <si>
    <t>CAMBERNON</t>
  </si>
  <si>
    <t>LA VILLE-DIEU-DU-TEMPLE</t>
  </si>
  <si>
    <t>FENEU</t>
  </si>
  <si>
    <t>MALVEZIE</t>
  </si>
  <si>
    <t>VILLERS-BRULIN</t>
  </si>
  <si>
    <t>SIONNE</t>
  </si>
  <si>
    <t>LAMOURA</t>
  </si>
  <si>
    <t>FONTAINE-ETOUPEFOUR</t>
  </si>
  <si>
    <t>GORSES</t>
  </si>
  <si>
    <t>TAISNIERES-EN-THIERACHE</t>
  </si>
  <si>
    <t>SAINT-MARTIN-DU-MESNIL-OURY</t>
  </si>
  <si>
    <t>DOMMARTIN-LE-COQ</t>
  </si>
  <si>
    <t>LA CHAPELLE-CRAONNAISE</t>
  </si>
  <si>
    <t>HEUGON</t>
  </si>
  <si>
    <t>CROIX-MOLIGNEAUX</t>
  </si>
  <si>
    <t>MAGNAC-LAVAL</t>
  </si>
  <si>
    <t>SAINT-LAURENT-DE-NESTE</t>
  </si>
  <si>
    <t>PISIEU</t>
  </si>
  <si>
    <t>PAYSSOUS</t>
  </si>
  <si>
    <t>AUCHEL</t>
  </si>
  <si>
    <t>SEUX</t>
  </si>
  <si>
    <t>JONCHERY</t>
  </si>
  <si>
    <t>SAINT-CORNEILLE</t>
  </si>
  <si>
    <t>ARBRISSEL</t>
  </si>
  <si>
    <t>SAINT-MARTIN-DE-SEIGNANX</t>
  </si>
  <si>
    <t>BETTRECHIES</t>
  </si>
  <si>
    <t>GOUVIX</t>
  </si>
  <si>
    <t>BLANZAY</t>
  </si>
  <si>
    <t>VERNIE</t>
  </si>
  <si>
    <t>PUGNAC</t>
  </si>
  <si>
    <t>HAIMPS</t>
  </si>
  <si>
    <t>SAINT-FORGET</t>
  </si>
  <si>
    <t>CUIRY-LES-IVIERS</t>
  </si>
  <si>
    <t>ELBEUF-SUR-ANDELLE</t>
  </si>
  <si>
    <t>MERILHEU</t>
  </si>
  <si>
    <t>GERARDMER</t>
  </si>
  <si>
    <t>BOISSET-LES-PREVANCHES</t>
  </si>
  <si>
    <t>PALOGNEUX</t>
  </si>
  <si>
    <t>GOUZANGREZ</t>
  </si>
  <si>
    <t>VAUDRECOURT</t>
  </si>
  <si>
    <t>SAINT-MONTAN</t>
  </si>
  <si>
    <t>NEAUPHE-SUR-DIVE</t>
  </si>
  <si>
    <t>FLAVIN</t>
  </si>
  <si>
    <t>PRETY</t>
  </si>
  <si>
    <t>WAVIGNIES</t>
  </si>
  <si>
    <t>CHARNOZ-SUR-AIN</t>
  </si>
  <si>
    <t>LA CELLE-GUENAND</t>
  </si>
  <si>
    <t>ALLAMPS</t>
  </si>
  <si>
    <t>BENAGUES</t>
  </si>
  <si>
    <t>TEILLOTS</t>
  </si>
  <si>
    <t>PLAIMBOIS-DU-MIROIR</t>
  </si>
  <si>
    <t>LAPRADE</t>
  </si>
  <si>
    <t>CORNEILLA-DE-CONFLENT</t>
  </si>
  <si>
    <t>SAINT-JULIEN-DU-SAULT</t>
  </si>
  <si>
    <t>LA CROIX-SUR-OURCQ</t>
  </si>
  <si>
    <t>MONCEAUX-EN-BESSIN</t>
  </si>
  <si>
    <t>PLOURAC'H</t>
  </si>
  <si>
    <t>NOTRE-DAME-DE-CENILLY</t>
  </si>
  <si>
    <t>VERFEUIL</t>
  </si>
  <si>
    <t>SAINT-YORRE</t>
  </si>
  <si>
    <t>72560</t>
  </si>
  <si>
    <t>CARDROC</t>
  </si>
  <si>
    <t>34810</t>
  </si>
  <si>
    <t>POMEROLS</t>
  </si>
  <si>
    <t>PEYRIERE</t>
  </si>
  <si>
    <t>LE LANDIN</t>
  </si>
  <si>
    <t>20114</t>
  </si>
  <si>
    <t>2A114</t>
  </si>
  <si>
    <t>FIGARI</t>
  </si>
  <si>
    <t>ROQUIAGUE</t>
  </si>
  <si>
    <t>MARCELCAVE</t>
  </si>
  <si>
    <t>POULIGNY-NOTRE-DAME</t>
  </si>
  <si>
    <t>CAMPAGNE-LES-BOULONNAIS</t>
  </si>
  <si>
    <t>KERNASCLEDEN</t>
  </si>
  <si>
    <t>CHAVANNES-SUR-SURAN</t>
  </si>
  <si>
    <t>MULCENT</t>
  </si>
  <si>
    <t>VIEUZOS</t>
  </si>
  <si>
    <t>VILLEDAIGNE</t>
  </si>
  <si>
    <t>SAINT-AUBIN-DES-COUDRAIS</t>
  </si>
  <si>
    <t>LA ROMIEU</t>
  </si>
  <si>
    <t>DEUX-EVAILLES</t>
  </si>
  <si>
    <t>ISSE</t>
  </si>
  <si>
    <t>ARGENTRE</t>
  </si>
  <si>
    <t>VITTARVILLE</t>
  </si>
  <si>
    <t>BOUAN</t>
  </si>
  <si>
    <t>ETAINHUS</t>
  </si>
  <si>
    <t>SEMOUSIES</t>
  </si>
  <si>
    <t>PONT-REMY</t>
  </si>
  <si>
    <t>ROULANS</t>
  </si>
  <si>
    <t>ECHENOZ-LE-SEC</t>
  </si>
  <si>
    <t>GIVENCHY-LE-NOBLE</t>
  </si>
  <si>
    <t>MONNET-LA-VILLE</t>
  </si>
  <si>
    <t>PAUVRES</t>
  </si>
  <si>
    <t>HONDOUVILLE</t>
  </si>
  <si>
    <t>MONT-DISSE</t>
  </si>
  <si>
    <t>MANNEVILLETTE</t>
  </si>
  <si>
    <t>DAMMARIE-SUR-LOING</t>
  </si>
  <si>
    <t>LOEUILLY</t>
  </si>
  <si>
    <t>LETTRET</t>
  </si>
  <si>
    <t>PLUMIEUX</t>
  </si>
  <si>
    <t>FONTENOTTE</t>
  </si>
  <si>
    <t>LA ROQUE-ESCLAPON</t>
  </si>
  <si>
    <t>CHAMPOUX</t>
  </si>
  <si>
    <t>CARBONNE</t>
  </si>
  <si>
    <t>25820</t>
  </si>
  <si>
    <t>LAISSEY</t>
  </si>
  <si>
    <t>OSSENX</t>
  </si>
  <si>
    <t>CHEVILLE</t>
  </si>
  <si>
    <t>COURCHAPON</t>
  </si>
  <si>
    <t>THIEL-SUR-ACOLIN</t>
  </si>
  <si>
    <t>LONGFOSSE</t>
  </si>
  <si>
    <t>ARRANCY-SUR-CRUSNE</t>
  </si>
  <si>
    <t>MEZERIAT</t>
  </si>
  <si>
    <t>VILOSNES-HARAUMONT</t>
  </si>
  <si>
    <t>ECHIRE</t>
  </si>
  <si>
    <t>LAUSSONNE</t>
  </si>
  <si>
    <t>REVELLES</t>
  </si>
  <si>
    <t>SAINT-ANDRE-SUR-CAILLY</t>
  </si>
  <si>
    <t>VIELLE-SOUBIRAN</t>
  </si>
  <si>
    <t>ECQUES</t>
  </si>
  <si>
    <t>BELLOY</t>
  </si>
  <si>
    <t>MASSUGAS</t>
  </si>
  <si>
    <t>ROUZEDE</t>
  </si>
  <si>
    <t>DOLLOT</t>
  </si>
  <si>
    <t>PLEURE</t>
  </si>
  <si>
    <t>QUESQUES</t>
  </si>
  <si>
    <t>HOHFRANKENHEIM</t>
  </si>
  <si>
    <t>ORMES-ET-VILLE</t>
  </si>
  <si>
    <t>MIGE</t>
  </si>
  <si>
    <t>COTTUN</t>
  </si>
  <si>
    <t>PREMIERES</t>
  </si>
  <si>
    <t>LANILDUT</t>
  </si>
  <si>
    <t>SAINT-LEGER-PRES-TROYES</t>
  </si>
  <si>
    <t>VEZINS-DE-LEVEZOU</t>
  </si>
  <si>
    <t>MONTAIGUT-SUR-SAVE</t>
  </si>
  <si>
    <t>MAGNAC-BOURG</t>
  </si>
  <si>
    <t>78430</t>
  </si>
  <si>
    <t>LOUVECIENNES</t>
  </si>
  <si>
    <t>BRULLIOLES</t>
  </si>
  <si>
    <t>HINSBOURG</t>
  </si>
  <si>
    <t>EAUX-PUISEAUX</t>
  </si>
  <si>
    <t>BEUGNEUX</t>
  </si>
  <si>
    <t>CROZET</t>
  </si>
  <si>
    <t>ERIZE-LA-BRULEE</t>
  </si>
  <si>
    <t>BOISSY-LES-PERCHE</t>
  </si>
  <si>
    <t>SAINT-LOUP-DES-VIGNES</t>
  </si>
  <si>
    <t>ECHEMIRE</t>
  </si>
  <si>
    <t>NEUFCHATEL-HARDELOT</t>
  </si>
  <si>
    <t>POINSON-LES-GRANCEY</t>
  </si>
  <si>
    <t>OHNENHEIM</t>
  </si>
  <si>
    <t>BELLE-EGLISE</t>
  </si>
  <si>
    <t>CAUCOURT</t>
  </si>
  <si>
    <t>NOUEILLES</t>
  </si>
  <si>
    <t>77200</t>
  </si>
  <si>
    <t>SOLEILHAS</t>
  </si>
  <si>
    <t>CARLA-BAYLE</t>
  </si>
  <si>
    <t>LAGNY</t>
  </si>
  <si>
    <t>NEUBLANS-ABERGEMENT</t>
  </si>
  <si>
    <t>LAMPAUL-PLOUARZEL</t>
  </si>
  <si>
    <t>BRAY-EN-VAL</t>
  </si>
  <si>
    <t>LA DOUZE</t>
  </si>
  <si>
    <t>BLAN</t>
  </si>
  <si>
    <t>VEZERONCE-CURTIN</t>
  </si>
  <si>
    <t>SAINT-PE-D'ARDET</t>
  </si>
  <si>
    <t>MOESLAINS</t>
  </si>
  <si>
    <t>EBLANGE</t>
  </si>
  <si>
    <t>BONREPOS-SUR-AUSSONNELLE</t>
  </si>
  <si>
    <t>MADIC</t>
  </si>
  <si>
    <t>LE PEGUE</t>
  </si>
  <si>
    <t>MHERE</t>
  </si>
  <si>
    <t>LOURDOUEIX-SAINT-MICHEL</t>
  </si>
  <si>
    <t>CLEON</t>
  </si>
  <si>
    <t>RIVEHAUTE</t>
  </si>
  <si>
    <t>ORLEIX</t>
  </si>
  <si>
    <t>PLUHERLIN</t>
  </si>
  <si>
    <t>BOURG-ARCHAMBAULT</t>
  </si>
  <si>
    <t>CHEVINCOURT</t>
  </si>
  <si>
    <t>SAINT-VIGOR-DES-MEZERETS</t>
  </si>
  <si>
    <t>CHATRES-SUR-CHER</t>
  </si>
  <si>
    <t>SAINT-JEAN-SAINT-NICOLAS</t>
  </si>
  <si>
    <t>VIALER</t>
  </si>
  <si>
    <t>AURIGNAC</t>
  </si>
  <si>
    <t>SAONE</t>
  </si>
  <si>
    <t>FOUDAY</t>
  </si>
  <si>
    <t>LAGAMAS</t>
  </si>
  <si>
    <t>SAINT-LAGER-BRESSAC</t>
  </si>
  <si>
    <t>MANHOUE</t>
  </si>
  <si>
    <t>KOESTLACH</t>
  </si>
  <si>
    <t>SAINT-GERMAIN-LA-POTERIE</t>
  </si>
  <si>
    <t>SAINT-POMPONT</t>
  </si>
  <si>
    <t>ECOT</t>
  </si>
  <si>
    <t>LA TERRISSE</t>
  </si>
  <si>
    <t>LAURAET</t>
  </si>
  <si>
    <t>BROUAINS</t>
  </si>
  <si>
    <t>JARSY</t>
  </si>
  <si>
    <t>VILLECOMTE</t>
  </si>
  <si>
    <t>CHAMPAGNE-VIGNY</t>
  </si>
  <si>
    <t>VILLIERS-SUR-YONNE</t>
  </si>
  <si>
    <t>20219</t>
  </si>
  <si>
    <t>2B171</t>
  </si>
  <si>
    <t>MURACCIOLE</t>
  </si>
  <si>
    <t>VATIERVILLE</t>
  </si>
  <si>
    <t>TENTELING</t>
  </si>
  <si>
    <t>BEYNAC</t>
  </si>
  <si>
    <t>CADEMENE</t>
  </si>
  <si>
    <t>VILLARGOIX</t>
  </si>
  <si>
    <t>DIERREY-SAINT-PIERRE</t>
  </si>
  <si>
    <t>ROCHETAILLEE</t>
  </si>
  <si>
    <t>SAINT-PIERRE-DE-BUZET</t>
  </si>
  <si>
    <t>BETTEGNEY-SAINT-BRICE</t>
  </si>
  <si>
    <t>AURADOU</t>
  </si>
  <si>
    <t>BARCILLONNETTE</t>
  </si>
  <si>
    <t>MAULE</t>
  </si>
  <si>
    <t>38670</t>
  </si>
  <si>
    <t>CHASSE-SUR-RHONE</t>
  </si>
  <si>
    <t>VILLETTE-SUR-AIN</t>
  </si>
  <si>
    <t>PLEYBER-CHRIST</t>
  </si>
  <si>
    <t>MARLENHEIM</t>
  </si>
  <si>
    <t>ROMILLY-SUR-SEINE</t>
  </si>
  <si>
    <t>LIMAY</t>
  </si>
  <si>
    <t>FRANCLENS</t>
  </si>
  <si>
    <t>PONT-LES-MOULINS</t>
  </si>
  <si>
    <t>L'ISLE-DE-NOE</t>
  </si>
  <si>
    <t>TARZY</t>
  </si>
  <si>
    <t>BRENAT</t>
  </si>
  <si>
    <t>ALLAS-LES-MINES</t>
  </si>
  <si>
    <t>SAINT-BERON</t>
  </si>
  <si>
    <t>MELLAC</t>
  </si>
  <si>
    <t>MARCILLAT-EN-COMBRAILLE</t>
  </si>
  <si>
    <t>CHEVAIGNE-DU-MAINE</t>
  </si>
  <si>
    <t>FORSTFELD</t>
  </si>
  <si>
    <t>BERMERING</t>
  </si>
  <si>
    <t>UNCEY-LE-FRANC</t>
  </si>
  <si>
    <t>JARRET</t>
  </si>
  <si>
    <t>SAINT-FERREOL-TRENTE-PAS</t>
  </si>
  <si>
    <t>GAILLERES</t>
  </si>
  <si>
    <t>BASSE-SUR-LE-RUPT</t>
  </si>
  <si>
    <t>BARBAZAN-DESSUS</t>
  </si>
  <si>
    <t>ARNAUD-GUILHEM</t>
  </si>
  <si>
    <t>BEGOLE</t>
  </si>
  <si>
    <t>LONGEVES</t>
  </si>
  <si>
    <t>BILLECUL</t>
  </si>
  <si>
    <t>TENEUR</t>
  </si>
  <si>
    <t>HEUILLEY-COTTON</t>
  </si>
  <si>
    <t>SCEAUX-DU-GATINAIS</t>
  </si>
  <si>
    <t>LAFERTE-SUR-AUBE</t>
  </si>
  <si>
    <t>SASSETOT-LE-MAUCONDUIT</t>
  </si>
  <si>
    <t>LISSIEU</t>
  </si>
  <si>
    <t>TARNES</t>
  </si>
  <si>
    <t>SAMPANS</t>
  </si>
  <si>
    <t>PRECY-SUR-VRIN</t>
  </si>
  <si>
    <t>CHAMPEAUX-ET-LA-CHAPELLE-POMMIER</t>
  </si>
  <si>
    <t>42480</t>
  </si>
  <si>
    <t>LA FOUILLOUSE</t>
  </si>
  <si>
    <t>SAINT-JACQUES-DES-ARRETS</t>
  </si>
  <si>
    <t>SAINT-MARTIAL-DE-VALETTE</t>
  </si>
  <si>
    <t>COSSE-D'ANJOU</t>
  </si>
  <si>
    <t>SAINT-NIZIER-DU-MOUCHEROTTE</t>
  </si>
  <si>
    <t>SERIS</t>
  </si>
  <si>
    <t>SAINT-LAURENT-DE-LA-PREE</t>
  </si>
  <si>
    <t>PALAMINY</t>
  </si>
  <si>
    <t>BEAURAINS-LES-NOYON</t>
  </si>
  <si>
    <t>LEY</t>
  </si>
  <si>
    <t>2A295</t>
  </si>
  <si>
    <t>SANT'ANDREA-D'ORCINO</t>
  </si>
  <si>
    <t>UFFHEIM</t>
  </si>
  <si>
    <t>LA TOUR-DE-SCAY</t>
  </si>
  <si>
    <t>FRONTENAC</t>
  </si>
  <si>
    <t>LA CHAPELLE-SUR-AVEYRON</t>
  </si>
  <si>
    <t>CHARQUEMONT</t>
  </si>
  <si>
    <t>HUCLIER</t>
  </si>
  <si>
    <t>VAUX-SUR-LUNAIN</t>
  </si>
  <si>
    <t>CLAIRY-SAULCHOIX</t>
  </si>
  <si>
    <t>SAINT-JULIEN-LE-FAUCON</t>
  </si>
  <si>
    <t>COURCELLES-AU-BOIS</t>
  </si>
  <si>
    <t>NEAC</t>
  </si>
  <si>
    <t>ARROMANCHES-LES-BAINS</t>
  </si>
  <si>
    <t>BRAIN-SUR-L'AUTHION</t>
  </si>
  <si>
    <t>FRESNEY-LE-PUCEUX</t>
  </si>
  <si>
    <t>BARCHAIN</t>
  </si>
  <si>
    <t>WARGNIES</t>
  </si>
  <si>
    <t>BISTROFF</t>
  </si>
  <si>
    <t>GONFREVILLE-L'ORCHER</t>
  </si>
  <si>
    <t>PLEUVEZAIN</t>
  </si>
  <si>
    <t>SAINT-RIRAND</t>
  </si>
  <si>
    <t>MAREUIL-CAUBERT</t>
  </si>
  <si>
    <t>BUIGNY-SAINT-MACLOU</t>
  </si>
  <si>
    <t>LANMODEZ</t>
  </si>
  <si>
    <t>NEUFMAISON</t>
  </si>
  <si>
    <t>PIERREFITTE-NESTALAS</t>
  </si>
  <si>
    <t>MONTANCY</t>
  </si>
  <si>
    <t>NEUVECELLE</t>
  </si>
  <si>
    <t>VEYSSILIEU</t>
  </si>
  <si>
    <t>SANCEY-LE-LONG</t>
  </si>
  <si>
    <t>PICHANGES</t>
  </si>
  <si>
    <t>CUMIES</t>
  </si>
  <si>
    <t>ANZEX</t>
  </si>
  <si>
    <t>MONTLEVICQ</t>
  </si>
  <si>
    <t>DRICOURT</t>
  </si>
  <si>
    <t>VARANGEVILLE</t>
  </si>
  <si>
    <t>BUISSARD</t>
  </si>
  <si>
    <t>CRIQUEBEUF-SUR-SEINE</t>
  </si>
  <si>
    <t>LE TRANGER</t>
  </si>
  <si>
    <t>LONGEVILLE</t>
  </si>
  <si>
    <t>83790</t>
  </si>
  <si>
    <t>PIGNANS</t>
  </si>
  <si>
    <t>DIANCEY</t>
  </si>
  <si>
    <t>CUSSAC-FORT-MEDOC</t>
  </si>
  <si>
    <t>BONNARD</t>
  </si>
  <si>
    <t>ARGELIERS</t>
  </si>
  <si>
    <t>MIERMAIGNE</t>
  </si>
  <si>
    <t>MOUILLERON-LE-CAPTIF</t>
  </si>
  <si>
    <t>MERVANS</t>
  </si>
  <si>
    <t>BERGESSERIN</t>
  </si>
  <si>
    <t>EVECQUEMONT</t>
  </si>
  <si>
    <t>CLERES</t>
  </si>
  <si>
    <t>TREVES</t>
  </si>
  <si>
    <t>SAINT-BRESSOU</t>
  </si>
  <si>
    <t>LIZIO</t>
  </si>
  <si>
    <t>CHIRE-EN-MONTREUIL</t>
  </si>
  <si>
    <t>LE CHATELET-SUR-SORMONNE</t>
  </si>
  <si>
    <t>THOISSIA</t>
  </si>
  <si>
    <t>SAINT-HILAIRE-LES-ANDRESIS</t>
  </si>
  <si>
    <t>AVERDOINGT</t>
  </si>
  <si>
    <t>FOUGARON</t>
  </si>
  <si>
    <t>AVREUIL</t>
  </si>
  <si>
    <t>GAUCHIN-VERLOINGT</t>
  </si>
  <si>
    <t>MANDRES-LA-COTE</t>
  </si>
  <si>
    <t>ARDELU</t>
  </si>
  <si>
    <t>LE PLESSIER-ROZAINVILLERS</t>
  </si>
  <si>
    <t>OUILLY-DU-HOULEY</t>
  </si>
  <si>
    <t>ALTWILLER</t>
  </si>
  <si>
    <t>RICHECOURT</t>
  </si>
  <si>
    <t>RENNES-LES-BAINS</t>
  </si>
  <si>
    <t>LIFFOL-LE-PETIT</t>
  </si>
  <si>
    <t>LES NOES</t>
  </si>
  <si>
    <t>2B346</t>
  </si>
  <si>
    <t>VESCOVATO</t>
  </si>
  <si>
    <t>CORVEISSIAT</t>
  </si>
  <si>
    <t>LUBILHAC</t>
  </si>
  <si>
    <t>ECKARTSWILLER</t>
  </si>
  <si>
    <t>GROSROUVRES</t>
  </si>
  <si>
    <t>SILLY-LA-POTERIE</t>
  </si>
  <si>
    <t>MOUTIER-ROZEILLE</t>
  </si>
  <si>
    <t>LES CHOUX</t>
  </si>
  <si>
    <t>SAINT-MARTIAL-DE-GIMEL</t>
  </si>
  <si>
    <t>CAMPISTROUS</t>
  </si>
  <si>
    <t>PLUSSULIEN</t>
  </si>
  <si>
    <t>SAINT-PIERRE-CHERIGNAT</t>
  </si>
  <si>
    <t>SAINT-JEAN-DES-CHAMPS</t>
  </si>
  <si>
    <t>38180</t>
  </si>
  <si>
    <t>SEYSSINS</t>
  </si>
  <si>
    <t>TRELANS</t>
  </si>
  <si>
    <t>DOMPREL</t>
  </si>
  <si>
    <t>BLANCEY</t>
  </si>
  <si>
    <t>SAINT-MARTIN-D'ONEY</t>
  </si>
  <si>
    <t>ERCKARTSWILLER</t>
  </si>
  <si>
    <t>NIELLES-LES-CALAIS</t>
  </si>
  <si>
    <t>BARALLE</t>
  </si>
  <si>
    <t>ARAMON</t>
  </si>
  <si>
    <t>60580</t>
  </si>
  <si>
    <t>COYE-LA-FORET</t>
  </si>
  <si>
    <t>MAMERS</t>
  </si>
  <si>
    <t>SAINT-PIERRE-BENOUVILLE</t>
  </si>
  <si>
    <t>CRILLON-LE-BRAVE</t>
  </si>
  <si>
    <t>VARNEVILLE-BRETTEVILLE</t>
  </si>
  <si>
    <t>ESSARS</t>
  </si>
  <si>
    <t>SOULANGIS</t>
  </si>
  <si>
    <t>SAINT-PAUL-EN-FORET</t>
  </si>
  <si>
    <t>97227</t>
  </si>
  <si>
    <t>ARSAC</t>
  </si>
  <si>
    <t>LEPAUD</t>
  </si>
  <si>
    <t>SOYANS</t>
  </si>
  <si>
    <t>BOESENBIESEN</t>
  </si>
  <si>
    <t>L'ISLE-EN-DODON</t>
  </si>
  <si>
    <t>SAINT-JEAN-DE-LA-FORET</t>
  </si>
  <si>
    <t>CHEVANCEAUX</t>
  </si>
  <si>
    <t>2B034</t>
  </si>
  <si>
    <t>BELGODERE</t>
  </si>
  <si>
    <t>COLOMBIER-FONTAINE</t>
  </si>
  <si>
    <t>ARDOIX</t>
  </si>
  <si>
    <t>LAVANS-VUILLAFANS</t>
  </si>
  <si>
    <t>SAINT-HERENT</t>
  </si>
  <si>
    <t>BOESEGHEM</t>
  </si>
  <si>
    <t>SAINT-JULIEN-DU-SERRE</t>
  </si>
  <si>
    <t>AIZAC</t>
  </si>
  <si>
    <t>GALARGUES</t>
  </si>
  <si>
    <t>SOULIGNONNE</t>
  </si>
  <si>
    <t>CAUNETTES-EN-VAL</t>
  </si>
  <si>
    <t>MONTHERME</t>
  </si>
  <si>
    <t>BORT-LES-ORGUES</t>
  </si>
  <si>
    <t>SAINT-MARTIN-DE-LERM</t>
  </si>
  <si>
    <t>CESSET</t>
  </si>
  <si>
    <t>PUGET</t>
  </si>
  <si>
    <t>DIANE-CAPELLE</t>
  </si>
  <si>
    <t>MOYRAZES</t>
  </si>
  <si>
    <t>94250</t>
  </si>
  <si>
    <t>GENTILLY</t>
  </si>
  <si>
    <t>RESTIGNE</t>
  </si>
  <si>
    <t>VARENNES-SUR-FOUZON</t>
  </si>
  <si>
    <t>BOURGEAUVILLE</t>
  </si>
  <si>
    <t>VILLEMOYENNE</t>
  </si>
  <si>
    <t>ANDRESY</t>
  </si>
  <si>
    <t>BROTTE-LES-LUXEUIL</t>
  </si>
  <si>
    <t>WISCHES</t>
  </si>
  <si>
    <t>VIRICELLES</t>
  </si>
  <si>
    <t>2B097</t>
  </si>
  <si>
    <t>COSTA</t>
  </si>
  <si>
    <t>MORVILLE-SUR-ANDELLE</t>
  </si>
  <si>
    <t>13830</t>
  </si>
  <si>
    <t>ROQUEFORT-LA-BEDOULE</t>
  </si>
  <si>
    <t>PARAY-LE-FRESIL</t>
  </si>
  <si>
    <t>SAINT-GERVAIS-D'AUVERGNE</t>
  </si>
  <si>
    <t>ERGNIES</t>
  </si>
  <si>
    <t>2B137</t>
  </si>
  <si>
    <t>LANO</t>
  </si>
  <si>
    <t>ETAMPES</t>
  </si>
  <si>
    <t>MONTAREN-ET-SAINT-MEDIERS</t>
  </si>
  <si>
    <t>LA ROCHE-VANNEAU</t>
  </si>
  <si>
    <t>TARGASSONNE</t>
  </si>
  <si>
    <t>BALIGNAC</t>
  </si>
  <si>
    <t>BUCY-LE-ROI</t>
  </si>
  <si>
    <t>CRAZANNES</t>
  </si>
  <si>
    <t>SAIRES</t>
  </si>
  <si>
    <t>LABASTIDE-BEAUVOIR</t>
  </si>
  <si>
    <t>ALLARMONT</t>
  </si>
  <si>
    <t>CHAVONNE</t>
  </si>
  <si>
    <t>SAINT-GENES-DE-BLAYE</t>
  </si>
  <si>
    <t>CHESSY-LES-PRES</t>
  </si>
  <si>
    <t>VILLESPASSANS</t>
  </si>
  <si>
    <t>PORTIEUX</t>
  </si>
  <si>
    <t>THIRE</t>
  </si>
  <si>
    <t>SAINT-SIMEON-DE-BRESSIEUX</t>
  </si>
  <si>
    <t>TREIX</t>
  </si>
  <si>
    <t>MONTSECRET</t>
  </si>
  <si>
    <t>2B135</t>
  </si>
  <si>
    <t>ISOLACCIO-DI-FIUMORBO</t>
  </si>
  <si>
    <t>VERCHIN</t>
  </si>
  <si>
    <t>ROUMARE</t>
  </si>
  <si>
    <t>RAVENOVILLE</t>
  </si>
  <si>
    <t>POUDIS</t>
  </si>
  <si>
    <t>LE CHATELET-EN-BRIE</t>
  </si>
  <si>
    <t>BOSGOUET</t>
  </si>
  <si>
    <t>BEUVARDES</t>
  </si>
  <si>
    <t>COUTICHES</t>
  </si>
  <si>
    <t>MONCASSIN</t>
  </si>
  <si>
    <t>SAINTE-COLOMBE-EN-BRUILHOIS</t>
  </si>
  <si>
    <t>MONTLAY-EN-AUXOIS</t>
  </si>
  <si>
    <t>HANNOCOURT</t>
  </si>
  <si>
    <t>SAINTE-MARIE-CAPPEL</t>
  </si>
  <si>
    <t>TABRE</t>
  </si>
  <si>
    <t>BAZICOURT</t>
  </si>
  <si>
    <t>WALDIGHOFEN</t>
  </si>
  <si>
    <t>BAY</t>
  </si>
  <si>
    <t>LA VANCELLE</t>
  </si>
  <si>
    <t>VILLY-LE-MARECHAL</t>
  </si>
  <si>
    <t>LE LIEGE</t>
  </si>
  <si>
    <t>ARZENS</t>
  </si>
  <si>
    <t>EULMONT</t>
  </si>
  <si>
    <t>QUANTILLY</t>
  </si>
  <si>
    <t>HAUMONT-PRES-SAMOGNEUX</t>
  </si>
  <si>
    <t>MAHERU</t>
  </si>
  <si>
    <t>2B082</t>
  </si>
  <si>
    <t>CASTINETA</t>
  </si>
  <si>
    <t>BAZOCHES-LES-HAUTES</t>
  </si>
  <si>
    <t>EPANNES</t>
  </si>
  <si>
    <t>SAINT-FLORIS</t>
  </si>
  <si>
    <t>MIJOUX</t>
  </si>
  <si>
    <t>SAINT-GIRONS-D'AIGUEVIVES</t>
  </si>
  <si>
    <t>SCHAEFFERSHEIM</t>
  </si>
  <si>
    <t>HEILTZ-L'EVEQUE</t>
  </si>
  <si>
    <t>BROUT-VERNET</t>
  </si>
  <si>
    <t>BRUEIL-EN-VEXIN</t>
  </si>
  <si>
    <t>SILLEY-AMANCEY</t>
  </si>
  <si>
    <t>MARCHEVILLE-EN-WOEVRE</t>
  </si>
  <si>
    <t>SAINT-BLAISE-LA-ROCHE</t>
  </si>
  <si>
    <t>SAINT-CYR-LA-ROCHE</t>
  </si>
  <si>
    <t>COLONFAY</t>
  </si>
  <si>
    <t>85690</t>
  </si>
  <si>
    <t>NOTRE-DAME-DE-MONTS</t>
  </si>
  <si>
    <t>SAINTE-MARGUERITE-D'ELLE</t>
  </si>
  <si>
    <t>CHABOTTES</t>
  </si>
  <si>
    <t>SAINT-M'HERVON</t>
  </si>
  <si>
    <t>62218</t>
  </si>
  <si>
    <t>LOISON-SOUS-LENS</t>
  </si>
  <si>
    <t>SAINT-MANVIEU-NORREY</t>
  </si>
  <si>
    <t>85490</t>
  </si>
  <si>
    <t>BENET</t>
  </si>
  <si>
    <t>JONS</t>
  </si>
  <si>
    <t>CHARANTONNAY</t>
  </si>
  <si>
    <t>TULLINS</t>
  </si>
  <si>
    <t>SAINT-FLORENT-DES-BOIS</t>
  </si>
  <si>
    <t>CHAGEY</t>
  </si>
  <si>
    <t>PEYRILLES</t>
  </si>
  <si>
    <t>VOLKSBERG</t>
  </si>
  <si>
    <t>JUVINAS</t>
  </si>
  <si>
    <t>HERBELLES</t>
  </si>
  <si>
    <t>COURTETAIN-ET-SALANS</t>
  </si>
  <si>
    <t>LA MEURDRAQUIERE</t>
  </si>
  <si>
    <t>RESSONS-L'ABBAYE</t>
  </si>
  <si>
    <t>SAINT-HILAIRE-DES-LANDES</t>
  </si>
  <si>
    <t>FRIAUCOURT</t>
  </si>
  <si>
    <t>VENANSAULT</t>
  </si>
  <si>
    <t>CHIRENS</t>
  </si>
  <si>
    <t>ARRAS-EN-LAVEDAN</t>
  </si>
  <si>
    <t>MONTDRAGON</t>
  </si>
  <si>
    <t>2A011</t>
  </si>
  <si>
    <t>ALTAGENE</t>
  </si>
  <si>
    <t>MALLING</t>
  </si>
  <si>
    <t>MAISONCELLES-EN-BRIE</t>
  </si>
  <si>
    <t>13390</t>
  </si>
  <si>
    <t>AURIOL</t>
  </si>
  <si>
    <t>SCIONZIER</t>
  </si>
  <si>
    <t>2A181</t>
  </si>
  <si>
    <t>OCANA</t>
  </si>
  <si>
    <t>JURE</t>
  </si>
  <si>
    <t>SAINT-AMOUR</t>
  </si>
  <si>
    <t>GOURDIEGES</t>
  </si>
  <si>
    <t>SAINT-AUBIN-DES-PREAUX</t>
  </si>
  <si>
    <t>LAGRAULET-DU-GERS</t>
  </si>
  <si>
    <t>SERIFONTAINE</t>
  </si>
  <si>
    <t>TOURNON-SUR-RHONE</t>
  </si>
  <si>
    <t>TECHE</t>
  </si>
  <si>
    <t>VIC-FEZENSAC</t>
  </si>
  <si>
    <t>FRIERES-FAILLOUEL</t>
  </si>
  <si>
    <t>MONTHAUT</t>
  </si>
  <si>
    <t>TAUXIGNY</t>
  </si>
  <si>
    <t>CRACHIER</t>
  </si>
  <si>
    <t>VAUX-ET-CHANTEGRUE</t>
  </si>
  <si>
    <t>SAINT-PIERRE-DE-NOGARET</t>
  </si>
  <si>
    <t>LA GRANDE-FOSSE</t>
  </si>
  <si>
    <t>SAINT-HILAIRE-DE-CHALEONS</t>
  </si>
  <si>
    <t>SACCOURVIELLE</t>
  </si>
  <si>
    <t>SAINT-FLORENT-SUR-CHER</t>
  </si>
  <si>
    <t>MONOBLET</t>
  </si>
  <si>
    <t>NEUILLY-SUR-EURE</t>
  </si>
  <si>
    <t>SAINT-PIERRE-DU-CHAMP</t>
  </si>
  <si>
    <t>THOLLET</t>
  </si>
  <si>
    <t>SAINPUITS</t>
  </si>
  <si>
    <t>ORBIGNY</t>
  </si>
  <si>
    <t>97440</t>
  </si>
  <si>
    <t>TOURVILLE-SUR-PONT-AUDEMER</t>
  </si>
  <si>
    <t>SAINT-MARTIN-DE-LA-MER</t>
  </si>
  <si>
    <t>PAISSY</t>
  </si>
  <si>
    <t>VILLIERS-LES-HAUTS</t>
  </si>
  <si>
    <t>MISEREY</t>
  </si>
  <si>
    <t>EVRES</t>
  </si>
  <si>
    <t>KERFOT</t>
  </si>
  <si>
    <t>FERIN</t>
  </si>
  <si>
    <t>LA ROCHE-L'ABEILLE</t>
  </si>
  <si>
    <t>BERLES-MONCHEL</t>
  </si>
  <si>
    <t>FIXEM</t>
  </si>
  <si>
    <t>SAINT-GERMAIN-DU-PLAIN</t>
  </si>
  <si>
    <t>33870</t>
  </si>
  <si>
    <t>ALBIEZ-MONTROND</t>
  </si>
  <si>
    <t>BERCENAY-EN-OTHE</t>
  </si>
  <si>
    <t>COHONS</t>
  </si>
  <si>
    <t>VILLUIS</t>
  </si>
  <si>
    <t>MORANCEZ</t>
  </si>
  <si>
    <t>BENEST</t>
  </si>
  <si>
    <t>CONILHAC-CORBIERES</t>
  </si>
  <si>
    <t>SABARAT</t>
  </si>
  <si>
    <t>TINCEY-ET-PONTREBEAU</t>
  </si>
  <si>
    <t>LESTELLE-DE-SAINT-MARTORY</t>
  </si>
  <si>
    <t>VILLERSEXEL</t>
  </si>
  <si>
    <t>MESANGER</t>
  </si>
  <si>
    <t>LA MOTTE-SAINT-MARTIN</t>
  </si>
  <si>
    <t>CHENEDOLLE</t>
  </si>
  <si>
    <t>PEYROULES</t>
  </si>
  <si>
    <t>MARCHESIEUX</t>
  </si>
  <si>
    <t>MEREAUCOURT</t>
  </si>
  <si>
    <t>LISSEY</t>
  </si>
  <si>
    <t>MONTCEAUX</t>
  </si>
  <si>
    <t>MISSY</t>
  </si>
  <si>
    <t>MONTAURE</t>
  </si>
  <si>
    <t>LES ALLEUX</t>
  </si>
  <si>
    <t>VOULON</t>
  </si>
  <si>
    <t>LES PLANCHES-PRES-ARBOIS</t>
  </si>
  <si>
    <t>LE FOUILLOUX</t>
  </si>
  <si>
    <t>LES ESSEINTES</t>
  </si>
  <si>
    <t>LA REMUEE</t>
  </si>
  <si>
    <t>KERLOUAN</t>
  </si>
  <si>
    <t>VERNASSAL</t>
  </si>
  <si>
    <t>LEES-ATHAS</t>
  </si>
  <si>
    <t>FIQUEFLEUR-EQUAINVILLE</t>
  </si>
  <si>
    <t>CASTELNAU-SUR-GUPIE</t>
  </si>
  <si>
    <t>LUC-ARMAU</t>
  </si>
  <si>
    <t>SARRIGNE</t>
  </si>
  <si>
    <t>SAINT-GERMAIN-D'ARCE</t>
  </si>
  <si>
    <t>OUGNEY-DOUVOT</t>
  </si>
  <si>
    <t>ASPERES</t>
  </si>
  <si>
    <t>BELVES-DE-CASTILLON</t>
  </si>
  <si>
    <t>2A160</t>
  </si>
  <si>
    <t>MOCA-CROCE</t>
  </si>
  <si>
    <t>ROUEZ</t>
  </si>
  <si>
    <t>POUANT</t>
  </si>
  <si>
    <t>ARZEMBOUY</t>
  </si>
  <si>
    <t>MARAINVILLE-SUR-MADON</t>
  </si>
  <si>
    <t>LA GRAVELLE</t>
  </si>
  <si>
    <t>MAIRE</t>
  </si>
  <si>
    <t>LE BREIL-SUR-MERIZE</t>
  </si>
  <si>
    <t>LES HOGUES</t>
  </si>
  <si>
    <t>59770</t>
  </si>
  <si>
    <t>RENNES-SUR-LOUE</t>
  </si>
  <si>
    <t>GREALOU</t>
  </si>
  <si>
    <t>LIGNIERES-ORGERES</t>
  </si>
  <si>
    <t>GUIGNEMICOURT</t>
  </si>
  <si>
    <t>BORDES-DE-RIVIERE</t>
  </si>
  <si>
    <t>LE MAYET-DE-MONTAGNE</t>
  </si>
  <si>
    <t>MARTIGNY-SUR-L'ANTE</t>
  </si>
  <si>
    <t>BAERENDORF</t>
  </si>
  <si>
    <t>GUIBEVILLE</t>
  </si>
  <si>
    <t>LA CROIX-HELLEAN</t>
  </si>
  <si>
    <t>ROUVENAC</t>
  </si>
  <si>
    <t>SAINT-CIRGUES-DE-JORDANNE</t>
  </si>
  <si>
    <t>LE TARTRE</t>
  </si>
  <si>
    <t>BRULANGE</t>
  </si>
  <si>
    <t>ARCY-SUR-CURE</t>
  </si>
  <si>
    <t>SOUEL</t>
  </si>
  <si>
    <t>SAINT-ROMAIN-D'AY</t>
  </si>
  <si>
    <t>TREFFLEAN</t>
  </si>
  <si>
    <t>RANG-DU-FLIERS</t>
  </si>
  <si>
    <t>86180</t>
  </si>
  <si>
    <t>TILLOY-FLORIVILLE</t>
  </si>
  <si>
    <t>ISLES-LES-VILLENOY</t>
  </si>
  <si>
    <t>BASSIGNAC</t>
  </si>
  <si>
    <t>FLIZE</t>
  </si>
  <si>
    <t>VILLEMORT</t>
  </si>
  <si>
    <t>LA CAPELLE-BONANCE</t>
  </si>
  <si>
    <t>SAINT-SILVAIN-BAS-LE-ROC</t>
  </si>
  <si>
    <t>LUCAY-LE-MALE</t>
  </si>
  <si>
    <t>VIENNE</t>
  </si>
  <si>
    <t>59495</t>
  </si>
  <si>
    <t>LEFFRINCKOUCKE</t>
  </si>
  <si>
    <t>ROBERT-MAGNY</t>
  </si>
  <si>
    <t>SAINT-CHRISTOPHE-DE-DOUBLE</t>
  </si>
  <si>
    <t>MONTUREUX-LES-BAULAY</t>
  </si>
  <si>
    <t>BRUEBACH</t>
  </si>
  <si>
    <t>SAINT-MARTIN-EN-GATINOIS</t>
  </si>
  <si>
    <t>MONTMIRAL</t>
  </si>
  <si>
    <t>MELISEY</t>
  </si>
  <si>
    <t>RETY</t>
  </si>
  <si>
    <t>PONT-DE-METZ</t>
  </si>
  <si>
    <t>LESPITEAU</t>
  </si>
  <si>
    <t>VAILHAUQUES</t>
  </si>
  <si>
    <t>SAINT-GERMAIN-LANGOT</t>
  </si>
  <si>
    <t>MONTENOIS</t>
  </si>
  <si>
    <t>MONTCHAUDE</t>
  </si>
  <si>
    <t>PAUNAT</t>
  </si>
  <si>
    <t>SEYSSES</t>
  </si>
  <si>
    <t>L'HERM</t>
  </si>
  <si>
    <t>DOSCHES</t>
  </si>
  <si>
    <t>RARAY</t>
  </si>
  <si>
    <t>ROUGNAT</t>
  </si>
  <si>
    <t>CHAUVIGNY</t>
  </si>
  <si>
    <t>TERSSAC</t>
  </si>
  <si>
    <t>MONTGESTY</t>
  </si>
  <si>
    <t>MEES</t>
  </si>
  <si>
    <t>69890</t>
  </si>
  <si>
    <t>LA TOUR-DE-SALVAGNY</t>
  </si>
  <si>
    <t>BRIENNE-LE-CHATEAU</t>
  </si>
  <si>
    <t>MAGALAS</t>
  </si>
  <si>
    <t>ASNIERES-SOUS-BOIS</t>
  </si>
  <si>
    <t>FRIEDOLSHEIM</t>
  </si>
  <si>
    <t>MESNIL-SOUS-VIENNE</t>
  </si>
  <si>
    <t>85660</t>
  </si>
  <si>
    <t>SAINT-PHILBERT-DE-BOUAINE</t>
  </si>
  <si>
    <t>GURCY-LE-CHATEL</t>
  </si>
  <si>
    <t>FONTAINE-LES-CROISILLES</t>
  </si>
  <si>
    <t>VOUZY</t>
  </si>
  <si>
    <t>MAISSE</t>
  </si>
  <si>
    <t>BANNOST-VILLEGAGNON</t>
  </si>
  <si>
    <t>ARBOUCAVE</t>
  </si>
  <si>
    <t>COULOUVRAY-BOISBENATRE</t>
  </si>
  <si>
    <t>LE THUIT</t>
  </si>
  <si>
    <t>MORTAGNE-DU-NORD</t>
  </si>
  <si>
    <t>CELLES-SUR-OURCE</t>
  </si>
  <si>
    <t>LACHY</t>
  </si>
  <si>
    <t>ANTICHAN</t>
  </si>
  <si>
    <t>CHATEAUNEUF-SUR-SARTHE</t>
  </si>
  <si>
    <t>SAINT-GENES-DU-RETZ</t>
  </si>
  <si>
    <t>ROUVRES-SUR-AUBE</t>
  </si>
  <si>
    <t>MIRADOUX</t>
  </si>
  <si>
    <t>1710</t>
  </si>
  <si>
    <t>CHAUDES-AIGUES</t>
  </si>
  <si>
    <t>ECRILLE</t>
  </si>
  <si>
    <t>ORCINAS</t>
  </si>
  <si>
    <t>HOUVILLE-EN-VEXIN</t>
  </si>
  <si>
    <t>MILLANCAY</t>
  </si>
  <si>
    <t>BRICQUEVILLE-SUR-MER</t>
  </si>
  <si>
    <t>CHIERRY</t>
  </si>
  <si>
    <t>SAINT-GERVAIS-SUR-COUCHES</t>
  </si>
  <si>
    <t>SIECQ</t>
  </si>
  <si>
    <t>JANCIGNY</t>
  </si>
  <si>
    <t>SAINT-ELIX-THEUX</t>
  </si>
  <si>
    <t>BAZOCHES-SUR-GUYONNE</t>
  </si>
  <si>
    <t>BAZINGHEN</t>
  </si>
  <si>
    <t>CHEZAL-BENOIT</t>
  </si>
  <si>
    <t>HURES-LA-PARADE</t>
  </si>
  <si>
    <t>VAUCHELLES-LES-DOMART</t>
  </si>
  <si>
    <t>HAMPIGNY</t>
  </si>
  <si>
    <t>MONTREUIL-DES-LANDES</t>
  </si>
  <si>
    <t>GRANDJEAN</t>
  </si>
  <si>
    <t>SAFFLOZ</t>
  </si>
  <si>
    <t>SALIGNEY</t>
  </si>
  <si>
    <t>CASTIN</t>
  </si>
  <si>
    <t>VILLE-LE-MARCLET</t>
  </si>
  <si>
    <t>LA BATIE-DES-FONDS</t>
  </si>
  <si>
    <t>TILLAY-LE-PENEUX</t>
  </si>
  <si>
    <t>WEITBRUCH</t>
  </si>
  <si>
    <t>SAINT-VICTOR-LA-COSTE</t>
  </si>
  <si>
    <t>OCTON</t>
  </si>
  <si>
    <t>BELLECOMBE-TARENDOL</t>
  </si>
  <si>
    <t>VILLEBICHOT</t>
  </si>
  <si>
    <t>LES CARS</t>
  </si>
  <si>
    <t>UHART-MIXE</t>
  </si>
  <si>
    <t>STUTZHEIM-OFFENHEIM</t>
  </si>
  <si>
    <t>COSNAC</t>
  </si>
  <si>
    <t>CAFFIERS</t>
  </si>
  <si>
    <t>LES TROIS-DOMAINES</t>
  </si>
  <si>
    <t>EUVY</t>
  </si>
  <si>
    <t>FLEURY-LES-AUBRAIS</t>
  </si>
  <si>
    <t>FONDAMENTE</t>
  </si>
  <si>
    <t>SAINT-AMAND-LES-EAUX</t>
  </si>
  <si>
    <t>UXEGNEY</t>
  </si>
  <si>
    <t>FUTEAU</t>
  </si>
  <si>
    <t>NUILLE-SUR-VICOIN</t>
  </si>
  <si>
    <t>SPONVILLE</t>
  </si>
  <si>
    <t>SAINT-JULIEN-DE-CASSAGNAS</t>
  </si>
  <si>
    <t>THORIGNY</t>
  </si>
  <si>
    <t>SEVIS</t>
  </si>
  <si>
    <t>LE MAS-D'AGENAIS</t>
  </si>
  <si>
    <t>NOUHANT</t>
  </si>
  <si>
    <t>MAREIL-SUR-LOIR</t>
  </si>
  <si>
    <t>FREVILLE</t>
  </si>
  <si>
    <t>LUZOIR</t>
  </si>
  <si>
    <t>2B187</t>
  </si>
  <si>
    <t>OLMETA-DI-CAPOCORSO</t>
  </si>
  <si>
    <t>LEROUVILLE</t>
  </si>
  <si>
    <t>VILLENAVE</t>
  </si>
  <si>
    <t>MOROGES</t>
  </si>
  <si>
    <t>SAINT-JEAN-TROLIMON</t>
  </si>
  <si>
    <t>SAINT-ANTOINE-D'AUBEROCHE</t>
  </si>
  <si>
    <t>SAINT-ESTEBEN</t>
  </si>
  <si>
    <t>SAINTE-FOI</t>
  </si>
  <si>
    <t>SAINT-LAON</t>
  </si>
  <si>
    <t>69800</t>
  </si>
  <si>
    <t>WACQUEMOULIN</t>
  </si>
  <si>
    <t>SAUVAGNAC</t>
  </si>
  <si>
    <t>LAILLE</t>
  </si>
  <si>
    <t>CORNOD</t>
  </si>
  <si>
    <t>27830</t>
  </si>
  <si>
    <t>NEAUFLES-SAINT-MARTIN</t>
  </si>
  <si>
    <t>LA ROUSSIERE</t>
  </si>
  <si>
    <t>SAINT-MAURICE-EN-RIVIERE</t>
  </si>
  <si>
    <t>SAINT-JEAN-ROURE</t>
  </si>
  <si>
    <t>LOUPLANDE</t>
  </si>
  <si>
    <t>SARLANDE</t>
  </si>
  <si>
    <t>13230</t>
  </si>
  <si>
    <t>PORT-SAINT-LOUIS-DU-RHONE</t>
  </si>
  <si>
    <t>TOCQUEVILLE-SUR-EU</t>
  </si>
  <si>
    <t>LA CELLE-SAINT-AVANT</t>
  </si>
  <si>
    <t>LES POULIERES</t>
  </si>
  <si>
    <t>TRONDES</t>
  </si>
  <si>
    <t>BEAUMAIS</t>
  </si>
  <si>
    <t>87350</t>
  </si>
  <si>
    <t>PANAZOL</t>
  </si>
  <si>
    <t>CASTELLET</t>
  </si>
  <si>
    <t>LA VERRIE</t>
  </si>
  <si>
    <t>LA MADELEINE-BOUVET</t>
  </si>
  <si>
    <t>MEALLET</t>
  </si>
  <si>
    <t>HOUDAN</t>
  </si>
  <si>
    <t>OBIES</t>
  </si>
  <si>
    <t>RUGLES</t>
  </si>
  <si>
    <t>PEY</t>
  </si>
  <si>
    <t>NEUVY-SAINT-SEPULCHRE</t>
  </si>
  <si>
    <t>HARTMANNSWILLER</t>
  </si>
  <si>
    <t>CAUSSENS</t>
  </si>
  <si>
    <t>LAMBALLE</t>
  </si>
  <si>
    <t>SAINT-ETIENNE-DE-CHIGNY</t>
  </si>
  <si>
    <t>SAINT-GEORGES-LAGRICOL</t>
  </si>
  <si>
    <t>AUTHIEULE</t>
  </si>
  <si>
    <t>PRISCES</t>
  </si>
  <si>
    <t>TOUET-DE-L'ESCARENE</t>
  </si>
  <si>
    <t>GERMINON</t>
  </si>
  <si>
    <t>SCHWERDORFF</t>
  </si>
  <si>
    <t>MONTSAUCHE-LES-SETTONS</t>
  </si>
  <si>
    <t>PUY-SAINT-EUSEBE</t>
  </si>
  <si>
    <t>RUFFIAC</t>
  </si>
  <si>
    <t>LE MESNIL-ROUXELIN</t>
  </si>
  <si>
    <t>CHAILLY-EN-GATINAIS</t>
  </si>
  <si>
    <t>HOUSSET</t>
  </si>
  <si>
    <t>EYBURIE</t>
  </si>
  <si>
    <t>ARDRES</t>
  </si>
  <si>
    <t>ARCEAU</t>
  </si>
  <si>
    <t>SAINT-MADEN</t>
  </si>
  <si>
    <t>SAINT-ULRICH</t>
  </si>
  <si>
    <t>LAUTERBOURG</t>
  </si>
  <si>
    <t>OFFOY</t>
  </si>
  <si>
    <t>SAINT-MAURICE-DE-LESTAPEL</t>
  </si>
  <si>
    <t>SAINT-AGNANT-DE-VERSILLAT</t>
  </si>
  <si>
    <t>POULAN-POUZOLS</t>
  </si>
  <si>
    <t>LAUZUN</t>
  </si>
  <si>
    <t>BENAMENIL</t>
  </si>
  <si>
    <t>MONTMORIN</t>
  </si>
  <si>
    <t>BURTHECOURT-AUX-CHENES</t>
  </si>
  <si>
    <t>ROYER</t>
  </si>
  <si>
    <t>ETERNOZ</t>
  </si>
  <si>
    <t>97354</t>
  </si>
  <si>
    <t>REMIRE-MONTJOLY</t>
  </si>
  <si>
    <t>LOHITZUN-OYHERCQ</t>
  </si>
  <si>
    <t>82710</t>
  </si>
  <si>
    <t>BRESSOLS</t>
  </si>
  <si>
    <t>LA JARNE</t>
  </si>
  <si>
    <t>BLAINCOURT-SUR-AUBE</t>
  </si>
  <si>
    <t>HUISMES</t>
  </si>
  <si>
    <t>MACHEREN</t>
  </si>
  <si>
    <t>LE LUART</t>
  </si>
  <si>
    <t>VARCES-ALLIERES-ET-RISSET</t>
  </si>
  <si>
    <t>13210</t>
  </si>
  <si>
    <t>SAINT-REMY-DE-PROVENCE</t>
  </si>
  <si>
    <t>RODALBE</t>
  </si>
  <si>
    <t>ROGGENHOUSE</t>
  </si>
  <si>
    <t>CEILLAC</t>
  </si>
  <si>
    <t>AUZOUVILLE-L'ESNEVAL</t>
  </si>
  <si>
    <t>COURMENIL</t>
  </si>
  <si>
    <t>PLOUESCAT</t>
  </si>
  <si>
    <t>BAZEILLES</t>
  </si>
  <si>
    <t>LES GONDS</t>
  </si>
  <si>
    <t>AGASSAC</t>
  </si>
  <si>
    <t>OIZE</t>
  </si>
  <si>
    <t>ARROU</t>
  </si>
  <si>
    <t>RANCHOT</t>
  </si>
  <si>
    <t>BADEFOLS-D'ANS</t>
  </si>
  <si>
    <t>IZAUT-DE-L'HOTEL</t>
  </si>
  <si>
    <t>CHITRAY</t>
  </si>
  <si>
    <t>SAINT-NIZIER-SOUS-CHARLIEU</t>
  </si>
  <si>
    <t>GAINNEVILLE</t>
  </si>
  <si>
    <t>CIEUTAT</t>
  </si>
  <si>
    <t>VILLENEUVE-LA-LIONNE</t>
  </si>
  <si>
    <t>FOREST-SAINT-JULIEN</t>
  </si>
  <si>
    <t>59237</t>
  </si>
  <si>
    <t>VERLINGHEM</t>
  </si>
  <si>
    <t>2B328</t>
  </si>
  <si>
    <t>TOX</t>
  </si>
  <si>
    <t>MONTESQUIOU</t>
  </si>
  <si>
    <t>SAINT-SAUVEUR-LE-VICOMTE</t>
  </si>
  <si>
    <t>COUVROT</t>
  </si>
  <si>
    <t>PREUTIN-HIGNY</t>
  </si>
  <si>
    <t>QUEMIGNY-POISOT</t>
  </si>
  <si>
    <t>CASTILLON-EN-AUGE</t>
  </si>
  <si>
    <t>CHENAS</t>
  </si>
  <si>
    <t>SERRES-GASTON</t>
  </si>
  <si>
    <t>BERGICOURT</t>
  </si>
  <si>
    <t>MARCILLY-EN-GAULT</t>
  </si>
  <si>
    <t>59215</t>
  </si>
  <si>
    <t>ABSCON</t>
  </si>
  <si>
    <t>LENGRONNE</t>
  </si>
  <si>
    <t>PIERREFITTE-SUR-SAULDRE</t>
  </si>
  <si>
    <t>84860</t>
  </si>
  <si>
    <t>CADEROUSSE</t>
  </si>
  <si>
    <t>CESNY-BOIS-HALBOUT</t>
  </si>
  <si>
    <t>CHAMPAGNE-MOUTON</t>
  </si>
  <si>
    <t>GELOUX</t>
  </si>
  <si>
    <t>CHATELLENOT</t>
  </si>
  <si>
    <t>SAINT-PARDOUX-LES-CARDS</t>
  </si>
  <si>
    <t>SENAILLAC-LAUZES</t>
  </si>
  <si>
    <t>ESTOHER</t>
  </si>
  <si>
    <t>SAINT-JEAN-KOURTZERODE</t>
  </si>
  <si>
    <t>LUSSERAY</t>
  </si>
  <si>
    <t>GRANDVAL</t>
  </si>
  <si>
    <t>LES AUTHIEUX-DU-PUITS</t>
  </si>
  <si>
    <t>SAINT-BONNET-DE-SALENDRINQUE</t>
  </si>
  <si>
    <t>BOUILLE-MENARD</t>
  </si>
  <si>
    <t>80970</t>
  </si>
  <si>
    <t>SAILLY-FLIBEAUCOURT</t>
  </si>
  <si>
    <t>OYONNAX</t>
  </si>
  <si>
    <t>MONTREUIL-SUR-LOIR</t>
  </si>
  <si>
    <t>TRAUBACH-LE-BAS</t>
  </si>
  <si>
    <t>NULLY</t>
  </si>
  <si>
    <t>SENS-BEAUJEU</t>
  </si>
  <si>
    <t>FUMAY</t>
  </si>
  <si>
    <t>CHAUFFOUR-LES-ETRECHY</t>
  </si>
  <si>
    <t>82390</t>
  </si>
  <si>
    <t>DURFORT-LACAPELETTE</t>
  </si>
  <si>
    <t>GOUDEX</t>
  </si>
  <si>
    <t>SAINT-LEGER-SOUS-MARGERIE</t>
  </si>
  <si>
    <t>MILLENCOURT-EN-PONTHIEU</t>
  </si>
  <si>
    <t>CORMENON</t>
  </si>
  <si>
    <t>MAILLAS</t>
  </si>
  <si>
    <t>SAINT-NIZIER-D'AZERGUES</t>
  </si>
  <si>
    <t>BOZOULS</t>
  </si>
  <si>
    <t>LE DESCHAUX</t>
  </si>
  <si>
    <t>OUSSOY-EN-GATINAIS</t>
  </si>
  <si>
    <t>LUITRE</t>
  </si>
  <si>
    <t>CUQUERON</t>
  </si>
  <si>
    <t>LEPUIX</t>
  </si>
  <si>
    <t>ARBONNE</t>
  </si>
  <si>
    <t>LAMENAY-SUR-LOIRE</t>
  </si>
  <si>
    <t>CULAN</t>
  </si>
  <si>
    <t>SOUDAT</t>
  </si>
  <si>
    <t>LE FOEIL</t>
  </si>
  <si>
    <t>BEALENCOURT</t>
  </si>
  <si>
    <t>73620</t>
  </si>
  <si>
    <t>HAUTELUCE</t>
  </si>
  <si>
    <t>BREITENAU</t>
  </si>
  <si>
    <t>LA BOURBOULE</t>
  </si>
  <si>
    <t>SAINT-PIERRE-DE-CLAIRAC</t>
  </si>
  <si>
    <t>FOSSEUSE</t>
  </si>
  <si>
    <t>ARNAVE</t>
  </si>
  <si>
    <t>ENTRECASTEAUX</t>
  </si>
  <si>
    <t>GRANGE-DE-VAIVRE</t>
  </si>
  <si>
    <t>LE MESNIL-LIEUBRAY</t>
  </si>
  <si>
    <t>L'ABERGEMENT-DE-VAREY</t>
  </si>
  <si>
    <t>SAINT-AIGNAN-SUR-RY</t>
  </si>
  <si>
    <t>BEAURAINVILLE</t>
  </si>
  <si>
    <t>TREHET</t>
  </si>
  <si>
    <t>RAUCOURT</t>
  </si>
  <si>
    <t>CODALET</t>
  </si>
  <si>
    <t>CONDE-LES-HERPY</t>
  </si>
  <si>
    <t>44000/44100/44200/44300</t>
  </si>
  <si>
    <t>NANTES</t>
  </si>
  <si>
    <t>SAINT-THUAL</t>
  </si>
  <si>
    <t>MONGAUSY</t>
  </si>
  <si>
    <t>SALEUX</t>
  </si>
  <si>
    <t>SINGLEYRAC</t>
  </si>
  <si>
    <t>BEYRIES</t>
  </si>
  <si>
    <t>VILLORCEAU</t>
  </si>
  <si>
    <t>FELINES-SUR-RIMANDOULE</t>
  </si>
  <si>
    <t>LESPINASSIERE</t>
  </si>
  <si>
    <t>LA CHAPELLE-DU-LOU</t>
  </si>
  <si>
    <t>CROIZET-SUR-GAND</t>
  </si>
  <si>
    <t>AUCHY-LA-MONTAGNE</t>
  </si>
  <si>
    <t>OINVILLE-SOUS-AUNEAU</t>
  </si>
  <si>
    <t>LACROPTE</t>
  </si>
  <si>
    <t>AMBRAULT</t>
  </si>
  <si>
    <t>THORIGNE-D'ANJOU</t>
  </si>
  <si>
    <t>FRESSE</t>
  </si>
  <si>
    <t>NITTING</t>
  </si>
  <si>
    <t>LUNAN</t>
  </si>
  <si>
    <t>VALROUFIE</t>
  </si>
  <si>
    <t>CASTETS-EN-DORTHE</t>
  </si>
  <si>
    <t>MARSANNAY-LA-COTE</t>
  </si>
  <si>
    <t>BRIENON-SUR-ARMANCON</t>
  </si>
  <si>
    <t>SAINT-HILAIRE-DE-VOUST</t>
  </si>
  <si>
    <t>WALLON-CAPPEL</t>
  </si>
  <si>
    <t>THEMINETTES</t>
  </si>
  <si>
    <t>LAURENAN</t>
  </si>
  <si>
    <t>GENNES-IVERGNY</t>
  </si>
  <si>
    <t>ARTALENS-SOUIN</t>
  </si>
  <si>
    <t>COLLONGES-SOUS-SALEVE</t>
  </si>
  <si>
    <t>SAINT-MICHEL-DE-FRONSAC</t>
  </si>
  <si>
    <t>GY-LES-NONAINS</t>
  </si>
  <si>
    <t>ROSIS</t>
  </si>
  <si>
    <t>HAUT-CLOCHER</t>
  </si>
  <si>
    <t>PELISSANNE</t>
  </si>
  <si>
    <t>LAVAL-SAINT-ROMAN</t>
  </si>
  <si>
    <t>GIROUSSENS</t>
  </si>
  <si>
    <t>2A090</t>
  </si>
  <si>
    <t>COGGIA</t>
  </si>
  <si>
    <t>SAINT-MARTIN-LE-BEAU</t>
  </si>
  <si>
    <t>BELARGA</t>
  </si>
  <si>
    <t>VILLENEUVE-MINERVOIS</t>
  </si>
  <si>
    <t>NIEDERSOULTZBACH</t>
  </si>
  <si>
    <t>CHAMPDEUIL</t>
  </si>
  <si>
    <t>ROMANSWILLER</t>
  </si>
  <si>
    <t>68360</t>
  </si>
  <si>
    <t>SOULTZ-HAUT-RHIN</t>
  </si>
  <si>
    <t>CHAMPVERT</t>
  </si>
  <si>
    <t>LA VESPIERE</t>
  </si>
  <si>
    <t>LOUDES</t>
  </si>
  <si>
    <t>MUR-DE-BARREZ</t>
  </si>
  <si>
    <t>SAINT-PIERRE-DU-MESNIL</t>
  </si>
  <si>
    <t>MINGOVAL</t>
  </si>
  <si>
    <t>DOURNON</t>
  </si>
  <si>
    <t>MASSABRAC</t>
  </si>
  <si>
    <t>AUMONT-AUBRAC</t>
  </si>
  <si>
    <t>COTTANCE</t>
  </si>
  <si>
    <t>LONGPONT</t>
  </si>
  <si>
    <t>59118</t>
  </si>
  <si>
    <t>WAMBRECHIES</t>
  </si>
  <si>
    <t>VILLECONIN</t>
  </si>
  <si>
    <t>ARGOL</t>
  </si>
  <si>
    <t>59350</t>
  </si>
  <si>
    <t>SAINT-ANDRE-LEZ-LILLE</t>
  </si>
  <si>
    <t>SAINT-JULIEN-LE-CHATEL</t>
  </si>
  <si>
    <t>SAINT-ANTONIN-SUR-BAYON</t>
  </si>
  <si>
    <t>69630</t>
  </si>
  <si>
    <t>CHAPONOST</t>
  </si>
  <si>
    <t>EYGALAYES</t>
  </si>
  <si>
    <t>RITZING</t>
  </si>
  <si>
    <t>LARRIBAR-SORHAPURU</t>
  </si>
  <si>
    <t>LORRY-MARDIGNY</t>
  </si>
  <si>
    <t>MARCILLY-LE-CHATEL</t>
  </si>
  <si>
    <t>CAILLA</t>
  </si>
  <si>
    <t>MESTES</t>
  </si>
  <si>
    <t>CARQUEFOU</t>
  </si>
  <si>
    <t>ERMENOUVILLE</t>
  </si>
  <si>
    <t>REHAINVILLER</t>
  </si>
  <si>
    <t>PONT-DU-CASSE</t>
  </si>
  <si>
    <t>DAUPHIN</t>
  </si>
  <si>
    <t>45590</t>
  </si>
  <si>
    <t>SAINT-CYR-EN-VAL</t>
  </si>
  <si>
    <t>BLANGY-SOUS-POIX</t>
  </si>
  <si>
    <t>MUTIGNEY</t>
  </si>
  <si>
    <t>SAINT-JULIEN-SUR-SARTHE</t>
  </si>
  <si>
    <t>87480</t>
  </si>
  <si>
    <t>SAINT-PRIEST-TAURION</t>
  </si>
  <si>
    <t>BIVILLE</t>
  </si>
  <si>
    <t>MOYON</t>
  </si>
  <si>
    <t>LA VICOMTE-SUR-RANCE</t>
  </si>
  <si>
    <t>LA VENDUE-MIGNOT</t>
  </si>
  <si>
    <t>SAINT-LEGER-SOUS-CHOLET</t>
  </si>
  <si>
    <t>MESNIL-DOMQUEUR</t>
  </si>
  <si>
    <t>TONNOY</t>
  </si>
  <si>
    <t>CHEF-BOUTONNE</t>
  </si>
  <si>
    <t>BOUGNEAU</t>
  </si>
  <si>
    <t>LA CHAPELLE-ERBREE</t>
  </si>
  <si>
    <t>8410</t>
  </si>
  <si>
    <t>BOULZICOURT</t>
  </si>
  <si>
    <t>ORNACIEUX</t>
  </si>
  <si>
    <t>VILLERS-CERNAY</t>
  </si>
  <si>
    <t>GRANCEY-LE-CHATEAU-NEUVELLE</t>
  </si>
  <si>
    <t>ROUDOUALLEC</t>
  </si>
  <si>
    <t>MANONCOURT-EN-VERMOIS</t>
  </si>
  <si>
    <t>JONVILLE-EN-WOEVRE</t>
  </si>
  <si>
    <t>SAINT-THOMAS-EN-ROYANS</t>
  </si>
  <si>
    <t>BICHES</t>
  </si>
  <si>
    <t>DOMPIERRE-SUR-YON</t>
  </si>
  <si>
    <t>PAIMPONT</t>
  </si>
  <si>
    <t>THIEFFRAIN</t>
  </si>
  <si>
    <t>OGNEVILLE</t>
  </si>
  <si>
    <t>LES ANGLES-SUR-CORREZE</t>
  </si>
  <si>
    <t>LORE</t>
  </si>
  <si>
    <t>MONTCORBON</t>
  </si>
  <si>
    <t>PERS-EN-GATINAIS</t>
  </si>
  <si>
    <t>78180</t>
  </si>
  <si>
    <t>MONTIGNY-LE-BRETONNEUX</t>
  </si>
  <si>
    <t>MORSALINES</t>
  </si>
  <si>
    <t>ARESCHES</t>
  </si>
  <si>
    <t>DAMVILLERS</t>
  </si>
  <si>
    <t>THELIS-LA-COMBE</t>
  </si>
  <si>
    <t>BOULOGNE</t>
  </si>
  <si>
    <t>INXENT</t>
  </si>
  <si>
    <t>BROQUIES</t>
  </si>
  <si>
    <t>LA BOISSIERE-SUR-EVRE</t>
  </si>
  <si>
    <t>ERNY-SAINT-JULIEN</t>
  </si>
  <si>
    <t>LORMAYE</t>
  </si>
  <si>
    <t>VILLERS-BRETONNEUX</t>
  </si>
  <si>
    <t>ESTEIL</t>
  </si>
  <si>
    <t>ALGRANGE</t>
  </si>
  <si>
    <t>75003</t>
  </si>
  <si>
    <t>PARIS-3E-ARRONDISSEMENT</t>
  </si>
  <si>
    <t>SAINT-APPOLINAIRE</t>
  </si>
  <si>
    <t>LA SAULCE</t>
  </si>
  <si>
    <t>HEUME-L'EGLISE</t>
  </si>
  <si>
    <t>GANZEVILLE</t>
  </si>
  <si>
    <t>SERMERSHEIM</t>
  </si>
  <si>
    <t>WATIGNY</t>
  </si>
  <si>
    <t>CIRFONTAINES-EN-AZOIS</t>
  </si>
  <si>
    <t>PETITEFONTAINE</t>
  </si>
  <si>
    <t>MOUROUX</t>
  </si>
  <si>
    <t>MASSIEU</t>
  </si>
  <si>
    <t>2B147</t>
  </si>
  <si>
    <t>LOZZI</t>
  </si>
  <si>
    <t>SAUVELADE</t>
  </si>
  <si>
    <t>CHAREZIER</t>
  </si>
  <si>
    <t>LINXE</t>
  </si>
  <si>
    <t>ORNEX</t>
  </si>
  <si>
    <t>RIENCOURT-LES-CAGNICOURT</t>
  </si>
  <si>
    <t>GUYANS-DURNES</t>
  </si>
  <si>
    <t>PIERRE-LEVEE</t>
  </si>
  <si>
    <t>LA CHAULME</t>
  </si>
  <si>
    <t>BRETIGNOLLES</t>
  </si>
  <si>
    <t>SAINT-CHRISTOPHE-EN-BRESSE</t>
  </si>
  <si>
    <t>PONTFAVERGER-MORONVILLIERS</t>
  </si>
  <si>
    <t>SAINT-JAL</t>
  </si>
  <si>
    <t>LA PANOUSE</t>
  </si>
  <si>
    <t>GAILHAN</t>
  </si>
  <si>
    <t>GROSLEE</t>
  </si>
  <si>
    <t>JOIGNY-SUR-MEUSE</t>
  </si>
  <si>
    <t>35770</t>
  </si>
  <si>
    <t>VERN-SUR-SEICHE</t>
  </si>
  <si>
    <t>SAIL-LES-BAINS</t>
  </si>
  <si>
    <t>MOSNAY</t>
  </si>
  <si>
    <t>CHATEAU-GAILLARD</t>
  </si>
  <si>
    <t>VILLERS-PATRAS</t>
  </si>
  <si>
    <t>SULIGNAT</t>
  </si>
  <si>
    <t>13980</t>
  </si>
  <si>
    <t>ALLEINS</t>
  </si>
  <si>
    <t>AVENAY-VAL-D'OR</t>
  </si>
  <si>
    <t>MICHELBACH</t>
  </si>
  <si>
    <t>22190</t>
  </si>
  <si>
    <t>PLERIN</t>
  </si>
  <si>
    <t>TOUJOUSE</t>
  </si>
  <si>
    <t>BOISSEY-LE-CHATEL</t>
  </si>
  <si>
    <t>LUBY-BETMONT</t>
  </si>
  <si>
    <t>VALIGNAT</t>
  </si>
  <si>
    <t>SAINT-VINCENT-SUR-GRAON</t>
  </si>
  <si>
    <t>SAINT-AMOUR-BELLEVUE</t>
  </si>
  <si>
    <t>ESSERT-ROMAND</t>
  </si>
  <si>
    <t>PERSQUEN</t>
  </si>
  <si>
    <t>NORRENT-FONTES</t>
  </si>
  <si>
    <t>MUTRECY</t>
  </si>
  <si>
    <t>SAINT-GEORGES-LA-POUGE</t>
  </si>
  <si>
    <t>SAINT-GERMAIN-L'AIGUILLER</t>
  </si>
  <si>
    <t>CARROS</t>
  </si>
  <si>
    <t>TREVERIEN</t>
  </si>
  <si>
    <t>MONT-LES-NEUFCHATEAU</t>
  </si>
  <si>
    <t>SAINT-CLEMENT-DE-REGNAT</t>
  </si>
  <si>
    <t>SAINT-GOBERT</t>
  </si>
  <si>
    <t>CUIRIEUX</t>
  </si>
  <si>
    <t>FRONTIGNAN</t>
  </si>
  <si>
    <t>FLEURY-SUR-ANDELLE</t>
  </si>
  <si>
    <t>SAVERNE</t>
  </si>
  <si>
    <t>SAINT-ROME-DE-CERNON</t>
  </si>
  <si>
    <t>LASFAILLADES</t>
  </si>
  <si>
    <t>COURCAY</t>
  </si>
  <si>
    <t>LESIGNY</t>
  </si>
  <si>
    <t>34740</t>
  </si>
  <si>
    <t>VENDARGUES</t>
  </si>
  <si>
    <t>LAPARADE</t>
  </si>
  <si>
    <t>OTTWILLER</t>
  </si>
  <si>
    <t>FLOURSIES</t>
  </si>
  <si>
    <t>POUY-SUR-VANNES</t>
  </si>
  <si>
    <t>13770</t>
  </si>
  <si>
    <t>VENELLES</t>
  </si>
  <si>
    <t>ESLEY</t>
  </si>
  <si>
    <t>BOISSY-LE-REPOS</t>
  </si>
  <si>
    <t>PEZARCHES</t>
  </si>
  <si>
    <t>VILLY-LE-PELLOUX</t>
  </si>
  <si>
    <t>FLEVILLE-DEVANT-NANCY</t>
  </si>
  <si>
    <t>MELRAND</t>
  </si>
  <si>
    <t>CESSERAS</t>
  </si>
  <si>
    <t>SAINT-SAULGE</t>
  </si>
  <si>
    <t>LE MONT-DIEU</t>
  </si>
  <si>
    <t>COURGOUL</t>
  </si>
  <si>
    <t>DAUSSE</t>
  </si>
  <si>
    <t>SAINT-MARTIAL-LE-MONT</t>
  </si>
  <si>
    <t>GRANCHAIN</t>
  </si>
  <si>
    <t>SAINT-LEGER-LES-MELEZES</t>
  </si>
  <si>
    <t>SISSY</t>
  </si>
  <si>
    <t>LA MOUCHE</t>
  </si>
  <si>
    <t>ANSAUVILLERS</t>
  </si>
  <si>
    <t>FAVERGES-DE-LA-TOUR</t>
  </si>
  <si>
    <t>LUCAY-LE-LIBRE</t>
  </si>
  <si>
    <t>SAINTE-RAMEE</t>
  </si>
  <si>
    <t>SAINT-GERMAIN-EN-COGLES</t>
  </si>
  <si>
    <t>SAINT-GERMAIN-DES-ANGLES</t>
  </si>
  <si>
    <t>SAINTE-GEMMES-SUR-LOIRE</t>
  </si>
  <si>
    <t>CHAVROCHES</t>
  </si>
  <si>
    <t>LA ROCHE-BERNARD</t>
  </si>
  <si>
    <t>BERSILLIES</t>
  </si>
  <si>
    <t>80410</t>
  </si>
  <si>
    <t>CAYEUX-SUR-MER</t>
  </si>
  <si>
    <t>CHAMBORIGAUD</t>
  </si>
  <si>
    <t>HERRY</t>
  </si>
  <si>
    <t>PENNAUTIER</t>
  </si>
  <si>
    <t>RAUCOURT-AU-BOIS</t>
  </si>
  <si>
    <t>PECHABOU</t>
  </si>
  <si>
    <t>BUCHELAY</t>
  </si>
  <si>
    <t>JAUX</t>
  </si>
  <si>
    <t>BAGARD</t>
  </si>
  <si>
    <t>LA CROIX-SUR-ROUDOULE</t>
  </si>
  <si>
    <t>VARENNES-CHANGY</t>
  </si>
  <si>
    <t>LE TRANSLAY</t>
  </si>
  <si>
    <t>ORPIERRE</t>
  </si>
  <si>
    <t>SAINT-AUBERT-SUR-ORNE</t>
  </si>
  <si>
    <t>TIVERNON</t>
  </si>
  <si>
    <t>MARCILLE-LA-VILLE</t>
  </si>
  <si>
    <t>BOURNOIS</t>
  </si>
  <si>
    <t>MEYMAC</t>
  </si>
  <si>
    <t>GELANNES</t>
  </si>
  <si>
    <t>TORCIEU</t>
  </si>
  <si>
    <t>HERGNIES</t>
  </si>
  <si>
    <t>LONGECOURT-EN-PLAINE</t>
  </si>
  <si>
    <t>ARZAL</t>
  </si>
  <si>
    <t>78711</t>
  </si>
  <si>
    <t>MANTES-LA-VILLE</t>
  </si>
  <si>
    <t>SAINT-FERREOL-D'AUROURE</t>
  </si>
  <si>
    <t>SAINTE-MARIE-OUTRE-L'EAU</t>
  </si>
  <si>
    <t>CHAMADELLE</t>
  </si>
  <si>
    <t>COUFFY-SUR-SARSONNE</t>
  </si>
  <si>
    <t>VILLARDS-D'HERIA</t>
  </si>
  <si>
    <t>LA TRUCHERE</t>
  </si>
  <si>
    <t>MONTCONY</t>
  </si>
  <si>
    <t>RENAY</t>
  </si>
  <si>
    <t>BEAUCROISSANT</t>
  </si>
  <si>
    <t>LE CHALARD</t>
  </si>
  <si>
    <t>LISLET</t>
  </si>
  <si>
    <t>COURTEMPIERRE</t>
  </si>
  <si>
    <t>AUSSOS</t>
  </si>
  <si>
    <t>CHARPENTRY</t>
  </si>
  <si>
    <t>OZOUER-LE-VOULGIS</t>
  </si>
  <si>
    <t>CHENEREILLES</t>
  </si>
  <si>
    <t>MASSERAC</t>
  </si>
  <si>
    <t>NEUVILLE-AU-BOIS</t>
  </si>
  <si>
    <t>OURDIS-COTDOUSSAN</t>
  </si>
  <si>
    <t>TAILHAC</t>
  </si>
  <si>
    <t>JOUHE</t>
  </si>
  <si>
    <t>LE FUGERET</t>
  </si>
  <si>
    <t>VERMANDOVILLERS</t>
  </si>
  <si>
    <t>LES HAUTES-RIVIERES</t>
  </si>
  <si>
    <t>LANDIVY</t>
  </si>
  <si>
    <t>OMONVILLE-LA-ROGUE</t>
  </si>
  <si>
    <t>MOLAMBOZ</t>
  </si>
  <si>
    <t>EMBRES-ET-CASTELMAURE</t>
  </si>
  <si>
    <t>BESNY-ET-LOIZY</t>
  </si>
  <si>
    <t>FERRIERE-LA-PETITE</t>
  </si>
  <si>
    <t>GUEMENE-PENFAO</t>
  </si>
  <si>
    <t>POUSSAN</t>
  </si>
  <si>
    <t>83220</t>
  </si>
  <si>
    <t>LE PRADET</t>
  </si>
  <si>
    <t>LES VALLOIS</t>
  </si>
  <si>
    <t>ALLONDRELLE-LA-MALMAISON</t>
  </si>
  <si>
    <t>BELVES</t>
  </si>
  <si>
    <t>13630</t>
  </si>
  <si>
    <t>EYRAGUES</t>
  </si>
  <si>
    <t>HAINVILLERS</t>
  </si>
  <si>
    <t>LA SAUVAGERE</t>
  </si>
  <si>
    <t>SAINT-JACUT-LES-PINS</t>
  </si>
  <si>
    <t>SASSEGNIES</t>
  </si>
  <si>
    <t>CHAPAIZE</t>
  </si>
  <si>
    <t>54850</t>
  </si>
  <si>
    <t>MESSEIN</t>
  </si>
  <si>
    <t>LUZARCHES</t>
  </si>
  <si>
    <t>CORRE</t>
  </si>
  <si>
    <t>FEISSONS-SUR-SALINS</t>
  </si>
  <si>
    <t>L'ALBENC</t>
  </si>
  <si>
    <t>MONTLANDON</t>
  </si>
  <si>
    <t>4860</t>
  </si>
  <si>
    <t>PIERREVERT</t>
  </si>
  <si>
    <t>SAINT-FREGANT</t>
  </si>
  <si>
    <t>BOISSETTES</t>
  </si>
  <si>
    <t>BRECTOUVILLE</t>
  </si>
  <si>
    <t>L'HONOR-DE-COS</t>
  </si>
  <si>
    <t>NOYELLES-LES-SECLIN</t>
  </si>
  <si>
    <t>DOCELLES</t>
  </si>
  <si>
    <t>SALLES-COURBATIES</t>
  </si>
  <si>
    <t>GODERVILLE</t>
  </si>
  <si>
    <t>2A282</t>
  </si>
  <si>
    <t>SOCCIA</t>
  </si>
  <si>
    <t>SAINT-HILAIRE-DU-MAINE</t>
  </si>
  <si>
    <t>CHAUSSOY-EPAGNY</t>
  </si>
  <si>
    <t>SAINT-EUSTACHE-LA-FORET</t>
  </si>
  <si>
    <t>SAINT-ELLIER-LES-BOIS</t>
  </si>
  <si>
    <t>BELMONTET</t>
  </si>
  <si>
    <t>SARROGNA</t>
  </si>
  <si>
    <t>EPLESSIER</t>
  </si>
  <si>
    <t>MALBUISSON</t>
  </si>
  <si>
    <t>FIGNIERES</t>
  </si>
  <si>
    <t>FLAIGNES-HAVYS</t>
  </si>
  <si>
    <t>NARCASTET</t>
  </si>
  <si>
    <t>RASTEAU</t>
  </si>
  <si>
    <t>EYMET</t>
  </si>
  <si>
    <t>14730</t>
  </si>
  <si>
    <t>GIBERVILLE</t>
  </si>
  <si>
    <t>SAINT-JEAN-SOLEYMIEUX</t>
  </si>
  <si>
    <t>MONTREUILLON</t>
  </si>
  <si>
    <t>LISBOURG</t>
  </si>
  <si>
    <t>BOHAIN-EN-VERMANDOIS</t>
  </si>
  <si>
    <t>LIMALONGES</t>
  </si>
  <si>
    <t>RUSS</t>
  </si>
  <si>
    <t>AZOUDANGE</t>
  </si>
  <si>
    <t>LA ROUAUDIERE</t>
  </si>
  <si>
    <t>ROSPORDEN</t>
  </si>
  <si>
    <t>SAINT-JULIEN-MONT-DENIS</t>
  </si>
  <si>
    <t>LARGEASSE</t>
  </si>
  <si>
    <t>VALLAN</t>
  </si>
  <si>
    <t>BACOURT</t>
  </si>
  <si>
    <t>MERS-SUR-INDRE</t>
  </si>
  <si>
    <t>VAULANDRY</t>
  </si>
  <si>
    <t>MARQUION</t>
  </si>
  <si>
    <t>RAINVILLERS</t>
  </si>
  <si>
    <t>COUBLUCQ</t>
  </si>
  <si>
    <t>SOCX</t>
  </si>
  <si>
    <t>DAVAYE</t>
  </si>
  <si>
    <t>VILLARD</t>
  </si>
  <si>
    <t>BENESSE-LES-DAX</t>
  </si>
  <si>
    <t>LURE</t>
  </si>
  <si>
    <t>CANTELEU</t>
  </si>
  <si>
    <t>SAINT-REMY-EN-MAUGES</t>
  </si>
  <si>
    <t>TREVRON</t>
  </si>
  <si>
    <t>DREUIL-LES-AMIENS</t>
  </si>
  <si>
    <t>SAINT-GENIS-LES-OLLIERES</t>
  </si>
  <si>
    <t>LAUBERT</t>
  </si>
  <si>
    <t>78480</t>
  </si>
  <si>
    <t>VERNEUIL-SUR-SEINE</t>
  </si>
  <si>
    <t>AUMONTZEY</t>
  </si>
  <si>
    <t>MARTRAGNY</t>
  </si>
  <si>
    <t>CHAMBRAY</t>
  </si>
  <si>
    <t>SERVANCHES</t>
  </si>
  <si>
    <t>CRAINVILLIERS</t>
  </si>
  <si>
    <t>SAINT-HILAIRE-LA-FORET</t>
  </si>
  <si>
    <t>HURBACHE</t>
  </si>
  <si>
    <t>BREXENT-ENOCQ</t>
  </si>
  <si>
    <t>COSLEDAA-LUBE-BOAST</t>
  </si>
  <si>
    <t>MONTREDON-DES-CORBIERES</t>
  </si>
  <si>
    <t>LE BONHOMME</t>
  </si>
  <si>
    <t>MONTGRAS</t>
  </si>
  <si>
    <t>DRULHE</t>
  </si>
  <si>
    <t>CASTELNAU-RIVIERE-BASSE</t>
  </si>
  <si>
    <t>GARENTREVILLE</t>
  </si>
  <si>
    <t>REQUISTA</t>
  </si>
  <si>
    <t>MONBEQUI</t>
  </si>
  <si>
    <t>LAVENTIE</t>
  </si>
  <si>
    <t>83420</t>
  </si>
  <si>
    <t>LA CROIX-VALMER</t>
  </si>
  <si>
    <t>UCHENTEIN</t>
  </si>
  <si>
    <t>REBREUVIETTE</t>
  </si>
  <si>
    <t>MARCIEUX</t>
  </si>
  <si>
    <t>SAINTE-POLE</t>
  </si>
  <si>
    <t>SAINT-MARD-DE-VAUX</t>
  </si>
  <si>
    <t>FORFRY</t>
  </si>
  <si>
    <t>SAINT-MARCEL-PAULEL</t>
  </si>
  <si>
    <t>2A326</t>
  </si>
  <si>
    <t>TOLLA</t>
  </si>
  <si>
    <t>MAUCOURT-SUR-ORNE</t>
  </si>
  <si>
    <t>DORE-L'EGLISE</t>
  </si>
  <si>
    <t>MONTILLOT</t>
  </si>
  <si>
    <t>LONGEVILLES-MONT-D'OR</t>
  </si>
  <si>
    <t>BREAL-SOUS-VITRE</t>
  </si>
  <si>
    <t>VALBELLE</t>
  </si>
  <si>
    <t>ALEXAIN</t>
  </si>
  <si>
    <t>BOUTEILLES-SAINT-SEBASTIEN</t>
  </si>
  <si>
    <t>BALLEE</t>
  </si>
  <si>
    <t>LAMONTJOIE</t>
  </si>
  <si>
    <t>MONTREVEL-EN-BRESSE</t>
  </si>
  <si>
    <t>63540</t>
  </si>
  <si>
    <t>ROMAGNAT</t>
  </si>
  <si>
    <t>LE QUESNOY</t>
  </si>
  <si>
    <t>AILLIANVILLE</t>
  </si>
  <si>
    <t>68950</t>
  </si>
  <si>
    <t>REININGUE</t>
  </si>
  <si>
    <t>SAINTE-SEGREE</t>
  </si>
  <si>
    <t>LUNEAU</t>
  </si>
  <si>
    <t>LOUVRECHY</t>
  </si>
  <si>
    <t>SACEY</t>
  </si>
  <si>
    <t>24650</t>
  </si>
  <si>
    <t>CHANCELADE</t>
  </si>
  <si>
    <t>91320</t>
  </si>
  <si>
    <t>WISSOUS</t>
  </si>
  <si>
    <t>BLANNAY</t>
  </si>
  <si>
    <t>MONTPERREUX</t>
  </si>
  <si>
    <t>PECH</t>
  </si>
  <si>
    <t>MAISON-MAUGIS</t>
  </si>
  <si>
    <t>FILLIEVRES</t>
  </si>
  <si>
    <t>SAINT-LAURENT-EN-ROYANS</t>
  </si>
  <si>
    <t>VILLIERS-SAINT-DENIS</t>
  </si>
  <si>
    <t>LANSLEBOURG-MONT-CENIS</t>
  </si>
  <si>
    <t>LES HERMITES</t>
  </si>
  <si>
    <t>VALPRIVAS</t>
  </si>
  <si>
    <t>ALLAS-CHAMPAGNE</t>
  </si>
  <si>
    <t>LA HAYE</t>
  </si>
  <si>
    <t>SAINT-ROME-DE-DOLAN</t>
  </si>
  <si>
    <t>AMIFONTAINE</t>
  </si>
  <si>
    <t>USSAT</t>
  </si>
  <si>
    <t>SAINT-GERMAIN-DU-TEIL</t>
  </si>
  <si>
    <t>FLEURIGNE</t>
  </si>
  <si>
    <t>CAUPENNE</t>
  </si>
  <si>
    <t>SANZEY</t>
  </si>
  <si>
    <t>97111</t>
  </si>
  <si>
    <t>MORNE-A-L'EAU</t>
  </si>
  <si>
    <t>FENEYROLS</t>
  </si>
  <si>
    <t>SAINT-GERVAIS-DU-PERRON</t>
  </si>
  <si>
    <t>LACROIX-BARREZ</t>
  </si>
  <si>
    <t>31880</t>
  </si>
  <si>
    <t>LA SALVETAT-SAINT-GILLES</t>
  </si>
  <si>
    <t>NIEDERNAI</t>
  </si>
  <si>
    <t>KERGRIST-MOELOU</t>
  </si>
  <si>
    <t>BOULOIRE</t>
  </si>
  <si>
    <t>DAMBRON</t>
  </si>
  <si>
    <t>LE POUJOL-SUR-ORB</t>
  </si>
  <si>
    <t>GENELARD</t>
  </si>
  <si>
    <t>ROUGEMONTOT</t>
  </si>
  <si>
    <t>97290</t>
  </si>
  <si>
    <t>LE MARIN</t>
  </si>
  <si>
    <t>MESNIL-PANNEVILLE</t>
  </si>
  <si>
    <t>DURENQUE</t>
  </si>
  <si>
    <t>50540</t>
  </si>
  <si>
    <t>ISIGNY-LE-BUAT</t>
  </si>
  <si>
    <t>95290</t>
  </si>
  <si>
    <t>L'ISLE-ADAM</t>
  </si>
  <si>
    <t>POLIGNE</t>
  </si>
  <si>
    <t>2B084</t>
  </si>
  <si>
    <t>CATERI</t>
  </si>
  <si>
    <t>CASTERA-LOUBIX</t>
  </si>
  <si>
    <t>FOULIGNY</t>
  </si>
  <si>
    <t>SAINT-SANTIN-CANTALES</t>
  </si>
  <si>
    <t>SAIVRES</t>
  </si>
  <si>
    <t>NEUVILLERS-SUR-FAVE</t>
  </si>
  <si>
    <t>CHAMPLAT-ET-BOUJACOURT</t>
  </si>
  <si>
    <t>PIERREFONDS</t>
  </si>
  <si>
    <t>SOURANS</t>
  </si>
  <si>
    <t>DOYET</t>
  </si>
  <si>
    <t>GELOS</t>
  </si>
  <si>
    <t>SAINT-ROCH-SUR-EGRENNE</t>
  </si>
  <si>
    <t>LIMENDOUS</t>
  </si>
  <si>
    <t>BRANCOURT-EN-LAONNOIS</t>
  </si>
  <si>
    <t>SEPTMONCEL</t>
  </si>
  <si>
    <t>GLAY</t>
  </si>
  <si>
    <t>LAVELANET-DE-COMMINGES</t>
  </si>
  <si>
    <t>BOURG-MADAME</t>
  </si>
  <si>
    <t>FUANS</t>
  </si>
  <si>
    <t>NIEUL-LE-VIROUIL</t>
  </si>
  <si>
    <t>VILLENEUVETTE</t>
  </si>
  <si>
    <t>BEILLE</t>
  </si>
  <si>
    <t>LE GIROUARD</t>
  </si>
  <si>
    <t>LES MAZURES</t>
  </si>
  <si>
    <t>ATTIN</t>
  </si>
  <si>
    <t>RAUCOURT-ET-FLABA</t>
  </si>
  <si>
    <t>WINTERSBOURG</t>
  </si>
  <si>
    <t>95390</t>
  </si>
  <si>
    <t>LUPIAC</t>
  </si>
  <si>
    <t>78750</t>
  </si>
  <si>
    <t>MAREIL-MARLY</t>
  </si>
  <si>
    <t>PRE-SAINT-MARTIN</t>
  </si>
  <si>
    <t>ESPLANTAS</t>
  </si>
  <si>
    <t>LA CHAPELLE-HUGON</t>
  </si>
  <si>
    <t>GUIMAEC</t>
  </si>
  <si>
    <t>UZAY-LE-VENON</t>
  </si>
  <si>
    <t>75006</t>
  </si>
  <si>
    <t>PARIS-6E-ARRONDISSEMENT</t>
  </si>
  <si>
    <t>LA BALME-DE-THUY</t>
  </si>
  <si>
    <t>SAINT-HILARION</t>
  </si>
  <si>
    <t>BEAUMONT-DU-VENTOUX</t>
  </si>
  <si>
    <t>BOUNIAGUES</t>
  </si>
  <si>
    <t>MARTRES-TOLOSANE</t>
  </si>
  <si>
    <t>SAINT-CYBARDEAUX</t>
  </si>
  <si>
    <t>LES CHAMPS-GERAUX</t>
  </si>
  <si>
    <t>ORGERES-EN-BEAUCE</t>
  </si>
  <si>
    <t>FOURNETS-LUISANS</t>
  </si>
  <si>
    <t>ESTOS</t>
  </si>
  <si>
    <t>VIVIERS-SUR-ARTAUT</t>
  </si>
  <si>
    <t>LANARVILY</t>
  </si>
  <si>
    <t>ORADOUR-SUR-GLANE</t>
  </si>
  <si>
    <t>OSMETS</t>
  </si>
  <si>
    <t>SAINT-MAXIMIN-LA-SAINTE-BAUME</t>
  </si>
  <si>
    <t>COURTENOT</t>
  </si>
  <si>
    <t>2A247</t>
  </si>
  <si>
    <t>PORTO-VECCHIO</t>
  </si>
  <si>
    <t>PORTE-PUYMORENS</t>
  </si>
  <si>
    <t>56740</t>
  </si>
  <si>
    <t>LOCMARIAQUER</t>
  </si>
  <si>
    <t>MONTCOY</t>
  </si>
  <si>
    <t>LAFITTE-SUR-LOT</t>
  </si>
  <si>
    <t>SAINT-FORGEOT</t>
  </si>
  <si>
    <t>SENEUJOLS</t>
  </si>
  <si>
    <t>62940</t>
  </si>
  <si>
    <t>HAILLICOURT</t>
  </si>
  <si>
    <t>BRUGNENS</t>
  </si>
  <si>
    <t>PRIZY</t>
  </si>
  <si>
    <t>ROPPENHEIM</t>
  </si>
  <si>
    <t>68920</t>
  </si>
  <si>
    <t>WINTZENHEIM</t>
  </si>
  <si>
    <t>MONESTIER-PORT-DIEU</t>
  </si>
  <si>
    <t>SARREGUEMINES</t>
  </si>
  <si>
    <t>LOUDET</t>
  </si>
  <si>
    <t>BANTOUZELLE</t>
  </si>
  <si>
    <t>PLASNE</t>
  </si>
  <si>
    <t>VIJON</t>
  </si>
  <si>
    <t>SAINT-MAIXENT-DE-BEUGNE</t>
  </si>
  <si>
    <t>SAINT-SAMSON-DE-LA-ROQUE</t>
  </si>
  <si>
    <t>BONNEVILLE-ET-SAINT-AVIT-DE-FUMADIERES</t>
  </si>
  <si>
    <t>OBERSTINZEL</t>
  </si>
  <si>
    <t>SAINT-ROMAIN-DE-POPEY</t>
  </si>
  <si>
    <t>FORCE</t>
  </si>
  <si>
    <t>QUATRE-CHAMPS</t>
  </si>
  <si>
    <t>CLEUVILLE</t>
  </si>
  <si>
    <t>62176</t>
  </si>
  <si>
    <t>CAMIERS</t>
  </si>
  <si>
    <t>CASTELNAU-DE-MEDOC</t>
  </si>
  <si>
    <t>THEZILLIEU</t>
  </si>
  <si>
    <t>BAILLEUL-SIR-BERTHOULT</t>
  </si>
  <si>
    <t>66450</t>
  </si>
  <si>
    <t>POLLESTRES</t>
  </si>
  <si>
    <t>GIRGOLS</t>
  </si>
  <si>
    <t>CHASSENEUIL</t>
  </si>
  <si>
    <t>LESCHERES</t>
  </si>
  <si>
    <t>93370</t>
  </si>
  <si>
    <t>MONTFERMEIL</t>
  </si>
  <si>
    <t>LIERNOLLES</t>
  </si>
  <si>
    <t>FONTENELLE-MONTBY</t>
  </si>
  <si>
    <t>ASNIERES-EN-POITOU</t>
  </si>
  <si>
    <t>LE CUING</t>
  </si>
  <si>
    <t>SEIGY</t>
  </si>
  <si>
    <t>VILLARS-LE-SEC</t>
  </si>
  <si>
    <t>CETON</t>
  </si>
  <si>
    <t>ESPINS</t>
  </si>
  <si>
    <t>LANDIRAS</t>
  </si>
  <si>
    <t>BOUCQ</t>
  </si>
  <si>
    <t>DAMPVALLEY-LES-COLOMBE</t>
  </si>
  <si>
    <t>PARPECAY</t>
  </si>
  <si>
    <t>SAINT-BONNET-DE-CHIRAC</t>
  </si>
  <si>
    <t>44120</t>
  </si>
  <si>
    <t>VERTOU</t>
  </si>
  <si>
    <t>VIERZY</t>
  </si>
  <si>
    <t>CASSAIGNES</t>
  </si>
  <si>
    <t>VILLEMOUTIERS</t>
  </si>
  <si>
    <t>SAINT-OUEN-SUR-LOIRE</t>
  </si>
  <si>
    <t>BRINGOLO</t>
  </si>
  <si>
    <t>CRUZILLE</t>
  </si>
  <si>
    <t>SEILLANS</t>
  </si>
  <si>
    <t>VARENNE-L'ARCONCE</t>
  </si>
  <si>
    <t>ETALON</t>
  </si>
  <si>
    <t>CANVILLE-LA-ROCQUE</t>
  </si>
  <si>
    <t>77151</t>
  </si>
  <si>
    <t>MONTCEAUX-LES-PROVINS</t>
  </si>
  <si>
    <t>PREAUX-SAINT-SEBASTIEN</t>
  </si>
  <si>
    <t>SAINT-ROMAIN-DE-JALIONAS</t>
  </si>
  <si>
    <t>CHALEZEULE</t>
  </si>
  <si>
    <t>MOLIERES-SUR-CEZE</t>
  </si>
  <si>
    <t>LA BREOLE</t>
  </si>
  <si>
    <t>ERVY-LE-CHATEL</t>
  </si>
  <si>
    <t>DIO-ET-VALQUIERES</t>
  </si>
  <si>
    <t>SAINT-SOUPLET-SUR-PY</t>
  </si>
  <si>
    <t>SAINT-JEAN-D'ANGELY</t>
  </si>
  <si>
    <t>TROUSSENCOURT</t>
  </si>
  <si>
    <t>LA LECHERE</t>
  </si>
  <si>
    <t>GUESSLING-HEMERING</t>
  </si>
  <si>
    <t>CERTILLEUX</t>
  </si>
  <si>
    <t>SAINT-MICHEL-LABADIE</t>
  </si>
  <si>
    <t>BIRIEUX</t>
  </si>
  <si>
    <t>TUPIGNY</t>
  </si>
  <si>
    <t>SAINT-DREZERY</t>
  </si>
  <si>
    <t>VECQUEVILLE</t>
  </si>
  <si>
    <t>SAINT-EDMOND</t>
  </si>
  <si>
    <t>VOIPREUX</t>
  </si>
  <si>
    <t>SERVIGNY-LES-RAVILLE</t>
  </si>
  <si>
    <t>LES CHAMPS-DE-LOSQUE</t>
  </si>
  <si>
    <t>SAINT-GERMAIN-LES-BELLES</t>
  </si>
  <si>
    <t>CREYSSAC</t>
  </si>
  <si>
    <t>COUPRU</t>
  </si>
  <si>
    <t>SAINT-BONNET-LES-OULES</t>
  </si>
  <si>
    <t>SALERS</t>
  </si>
  <si>
    <t>FOUR</t>
  </si>
  <si>
    <t>JALLERANGE</t>
  </si>
  <si>
    <t>LE RETAIL</t>
  </si>
  <si>
    <t>MONTIGNE-LES-RAIRIES</t>
  </si>
  <si>
    <t>TEUILLAC</t>
  </si>
  <si>
    <t>MAIMBEVILLE</t>
  </si>
  <si>
    <t>VERISSEY</t>
  </si>
  <si>
    <t>BILLY-SUR-AISNE</t>
  </si>
  <si>
    <t>FRESNE-LES-REIMS</t>
  </si>
  <si>
    <t>SAINTE-MARIE-LA-BLANCHE</t>
  </si>
  <si>
    <t>MARCHIENNES</t>
  </si>
  <si>
    <t>SAINT-MARTIN-DE-LANSUSCLE</t>
  </si>
  <si>
    <t>LA LONGUEVILLE</t>
  </si>
  <si>
    <t>HUBERVILLE</t>
  </si>
  <si>
    <t>SARREY</t>
  </si>
  <si>
    <t>SAINT-PIERRE-DU-PALAIS</t>
  </si>
  <si>
    <t>FRAISSE-DES-CORBIERES</t>
  </si>
  <si>
    <t>LIGNY-SUR-CANCHE</t>
  </si>
  <si>
    <t>WATTEN</t>
  </si>
  <si>
    <t>BEBING</t>
  </si>
  <si>
    <t>LE BLEYMARD</t>
  </si>
  <si>
    <t>VROVILLE</t>
  </si>
  <si>
    <t>83860</t>
  </si>
  <si>
    <t>NANS-LES-PINS</t>
  </si>
  <si>
    <t>LA HOUSSOYE</t>
  </si>
  <si>
    <t>XIROCOURT</t>
  </si>
  <si>
    <t>59128</t>
  </si>
  <si>
    <t>FLERS-EN-ESCREBIEUX</t>
  </si>
  <si>
    <t>RUBROUCK</t>
  </si>
  <si>
    <t>PRECEY</t>
  </si>
  <si>
    <t>CAMIRAN</t>
  </si>
  <si>
    <t>AUTRICOURT</t>
  </si>
  <si>
    <t>SAINT-PIERRE-DES-CHAMPS</t>
  </si>
  <si>
    <t>LA FOSSE-DE-TIGNE</t>
  </si>
  <si>
    <t>ROYERE-DE-VASSIVIERE</t>
  </si>
  <si>
    <t>SAINT-GEOURS-D'AURIBAT</t>
  </si>
  <si>
    <t>CHAILLE-LES-MARAIS</t>
  </si>
  <si>
    <t>PAMPELONNE</t>
  </si>
  <si>
    <t>BERGUES</t>
  </si>
  <si>
    <t>BUOUX</t>
  </si>
  <si>
    <t>EINCHEVILLE</t>
  </si>
  <si>
    <t>BONREPOS</t>
  </si>
  <si>
    <t>LE RECOUX</t>
  </si>
  <si>
    <t>LORNAY</t>
  </si>
  <si>
    <t>38070</t>
  </si>
  <si>
    <t>SAINT-QUENTIN-FALLAVIER</t>
  </si>
  <si>
    <t>GONNEVILLE-SUR-SCIE</t>
  </si>
  <si>
    <t>SEYCHES</t>
  </si>
  <si>
    <t>SAINT-CASSIN</t>
  </si>
  <si>
    <t>19460</t>
  </si>
  <si>
    <t>CLANSAYES</t>
  </si>
  <si>
    <t>LA MOTHE-ACHARD</t>
  </si>
  <si>
    <t>COMMELLE</t>
  </si>
  <si>
    <t>SAINT-MICAUD</t>
  </si>
  <si>
    <t>SAINT-DENIS-DE-PALIN</t>
  </si>
  <si>
    <t>TANAVELLE</t>
  </si>
  <si>
    <t>PARDINES</t>
  </si>
  <si>
    <t>BEZAUMONT</t>
  </si>
  <si>
    <t>GRANVILLE</t>
  </si>
  <si>
    <t>AILLEUX</t>
  </si>
  <si>
    <t>SAINT-VERAN</t>
  </si>
  <si>
    <t>CLERE-LES-PINS</t>
  </si>
  <si>
    <t>CUISEREY</t>
  </si>
  <si>
    <t>SAINT-QUENTIN-DES-ISLES</t>
  </si>
  <si>
    <t>LUSIGNY-SUR-OUCHE</t>
  </si>
  <si>
    <t>CHOZEAU</t>
  </si>
  <si>
    <t>MONCHY-SAINT-ELOI</t>
  </si>
  <si>
    <t>MAISONCELLES-LA-JOURDAN</t>
  </si>
  <si>
    <t>PROISSANS</t>
  </si>
  <si>
    <t>MAVES</t>
  </si>
  <si>
    <t>COIFFY-LE-HAUT</t>
  </si>
  <si>
    <t>GINESTET</t>
  </si>
  <si>
    <t>HERIMONCOURT</t>
  </si>
  <si>
    <t>VENDEMIAN</t>
  </si>
  <si>
    <t>LANDEAN</t>
  </si>
  <si>
    <t>BECHY</t>
  </si>
  <si>
    <t>GERDEREST</t>
  </si>
  <si>
    <t>AUBIGNY-AUX-KAISNES</t>
  </si>
  <si>
    <t>SAINT-LEGER-DES-VIGNES</t>
  </si>
  <si>
    <t>SAINT-SAUVEUR-D'EMALLEVILLE</t>
  </si>
  <si>
    <t>67113</t>
  </si>
  <si>
    <t>BLAESHEIM</t>
  </si>
  <si>
    <t>2B224</t>
  </si>
  <si>
    <t>PIETRACORBARA</t>
  </si>
  <si>
    <t>VAIRE-ARCIER</t>
  </si>
  <si>
    <t>TRAMERY</t>
  </si>
  <si>
    <t>BELLENAVES</t>
  </si>
  <si>
    <t>MARMANDE</t>
  </si>
  <si>
    <t>THEIZE</t>
  </si>
  <si>
    <t>CAUFFRY</t>
  </si>
  <si>
    <t>MALEMORT-DU-COMTAT</t>
  </si>
  <si>
    <t>GOUX</t>
  </si>
  <si>
    <t>MONTESQUIEU-VOLVESTRE</t>
  </si>
  <si>
    <t>LES BROUZILS</t>
  </si>
  <si>
    <t>BETONCOURT-SUR-MANCE</t>
  </si>
  <si>
    <t>PRESSIGNY-LES-PINS</t>
  </si>
  <si>
    <t>HAUTEVESNES</t>
  </si>
  <si>
    <t>LA BIOLLE</t>
  </si>
  <si>
    <t>SAINS-EN-AMIENOIS</t>
  </si>
  <si>
    <t>MONTMEYAN</t>
  </si>
  <si>
    <t>SOUTIERS</t>
  </si>
  <si>
    <t>84200</t>
  </si>
  <si>
    <t>CARPENTRAS</t>
  </si>
  <si>
    <t>HAUTEFONTAINE</t>
  </si>
  <si>
    <t>SAINT-LYE-LA-FORET</t>
  </si>
  <si>
    <t>ROHAN</t>
  </si>
  <si>
    <t>SAINT-JEAN-LA-BUSSIERE</t>
  </si>
  <si>
    <t>SAIGNON</t>
  </si>
  <si>
    <t>SARS-ET-ROSIERES</t>
  </si>
  <si>
    <t>TUZIE</t>
  </si>
  <si>
    <t>MONTOIR-DE-BRETAGNE</t>
  </si>
  <si>
    <t>CHADURIE</t>
  </si>
  <si>
    <t>SOMME-TOURBE</t>
  </si>
  <si>
    <t>SAINTE-FOY-DE-LONGAS</t>
  </si>
  <si>
    <t>CRY</t>
  </si>
  <si>
    <t>SAINT-JEAN-D'AIGUES-VIVES</t>
  </si>
  <si>
    <t>FROENINGEN</t>
  </si>
  <si>
    <t>SAINT-VIVIEN</t>
  </si>
  <si>
    <t>RUEIL-LA-GADELIERE</t>
  </si>
  <si>
    <t>VICQ-SUR-GARTEMPE</t>
  </si>
  <si>
    <t>CHASSEY-LE-CAMP</t>
  </si>
  <si>
    <t>URZY</t>
  </si>
  <si>
    <t>BARQUET</t>
  </si>
  <si>
    <t>LOUVAINES</t>
  </si>
  <si>
    <t>VILLARS-SUR-VAR</t>
  </si>
  <si>
    <t>MINZIER</t>
  </si>
  <si>
    <t>MONTANDON</t>
  </si>
  <si>
    <t>OULLES</t>
  </si>
  <si>
    <t>2A141</t>
  </si>
  <si>
    <t>LETIA</t>
  </si>
  <si>
    <t>ROGNY</t>
  </si>
  <si>
    <t>BENESSE-MAREMNE</t>
  </si>
  <si>
    <t>VOIRON</t>
  </si>
  <si>
    <t>SAINT-AUBERT</t>
  </si>
  <si>
    <t>LE BERSAC</t>
  </si>
  <si>
    <t>BEAUMONT-SUR-LEZE</t>
  </si>
  <si>
    <t>LES ULIS</t>
  </si>
  <si>
    <t>BREZE</t>
  </si>
  <si>
    <t>SAINT-PLANCARD</t>
  </si>
  <si>
    <t>MONTS-EN-TERNOIS</t>
  </si>
  <si>
    <t>TOURS-SUR-MEYMONT</t>
  </si>
  <si>
    <t>FREISTROFF</t>
  </si>
  <si>
    <t>MONTESCOT</t>
  </si>
  <si>
    <t>FAUX-MAZURAS</t>
  </si>
  <si>
    <t>FONTENAY-SUR-VEGRE</t>
  </si>
  <si>
    <t>PRUNAY-CASSEREAU</t>
  </si>
  <si>
    <t>SAINT-GEORGES-DES-HURTIERES</t>
  </si>
  <si>
    <t>SAINT-ANDRE-LE-GAZ</t>
  </si>
  <si>
    <t>33138</t>
  </si>
  <si>
    <t>LANTON</t>
  </si>
  <si>
    <t>DOUZENS</t>
  </si>
  <si>
    <t>HAUTAGET</t>
  </si>
  <si>
    <t>SAINT-MARTIN-EN-BRESSE</t>
  </si>
  <si>
    <t>97380</t>
  </si>
  <si>
    <t>OUANARY</t>
  </si>
  <si>
    <t>GROSSOUVRE</t>
  </si>
  <si>
    <t>CHARGEY-LES-GRAY</t>
  </si>
  <si>
    <t>BURIE</t>
  </si>
  <si>
    <t>BLAIGNAN</t>
  </si>
  <si>
    <t>VALLIERES-LES-GRANDES</t>
  </si>
  <si>
    <t>LESPERON</t>
  </si>
  <si>
    <t>BUZET-SUR-TARN</t>
  </si>
  <si>
    <t>TREVOUX</t>
  </si>
  <si>
    <t>VIC-LA-GARDIOLE</t>
  </si>
  <si>
    <t>TOURTENAY</t>
  </si>
  <si>
    <t>GRAMAZIE</t>
  </si>
  <si>
    <t>SERVIN</t>
  </si>
  <si>
    <t>SAINT-OUEN-DU-TILLEUL</t>
  </si>
  <si>
    <t>ESSON</t>
  </si>
  <si>
    <t>LA FERTE-GAUCHER</t>
  </si>
  <si>
    <t>MONTIGNY-LA-RESLE</t>
  </si>
  <si>
    <t>LA CAPELLE-LES-BOULOGNE</t>
  </si>
  <si>
    <t>BAIGTS-DE-BEARN</t>
  </si>
  <si>
    <t>MARTINVELLE</t>
  </si>
  <si>
    <t>ACHEUX-EN-VIMEU</t>
  </si>
  <si>
    <t>PAULIGNE</t>
  </si>
  <si>
    <t>LES CAMMAZES</t>
  </si>
  <si>
    <t>CASTETBON</t>
  </si>
  <si>
    <t>TROARN</t>
  </si>
  <si>
    <t>VERNEUIL-SUR-IGNERAIE</t>
  </si>
  <si>
    <t>LESTRADE-ET-THOUELS</t>
  </si>
  <si>
    <t>SAINT-PIERRE-DE-MANNEVILLE</t>
  </si>
  <si>
    <t>LITTENHEIM</t>
  </si>
  <si>
    <t>WALTENHEIM-SUR-ZORN</t>
  </si>
  <si>
    <t>SAINT-JULIEN-DE-CIVRY</t>
  </si>
  <si>
    <t>SAINT-HILAIRE-COTTES</t>
  </si>
  <si>
    <t>GOTEIN-LIBARRENX</t>
  </si>
  <si>
    <t>SOULAUCOURT-SUR-MOUZON</t>
  </si>
  <si>
    <t>SALLES-LAVALETTE</t>
  </si>
  <si>
    <t>CUSSY-LE-CHATEL</t>
  </si>
  <si>
    <t>69140</t>
  </si>
  <si>
    <t>RILLIEUX-LA-PAPE</t>
  </si>
  <si>
    <t>ALGOLSHEIM</t>
  </si>
  <si>
    <t>THENNES</t>
  </si>
  <si>
    <t>AUVERNAUX</t>
  </si>
  <si>
    <t>69340</t>
  </si>
  <si>
    <t>CONDEON</t>
  </si>
  <si>
    <t>LAIROUX</t>
  </si>
  <si>
    <t>GOURAINCOURT</t>
  </si>
  <si>
    <t>RHODON</t>
  </si>
  <si>
    <t>SAUVIGNY-LE-BEUREAL</t>
  </si>
  <si>
    <t>YQUEBEUF</t>
  </si>
  <si>
    <t>LA FERTE-VILLENEUIL</t>
  </si>
  <si>
    <t>LIHONS</t>
  </si>
  <si>
    <t>AUBIGNY-EN-LAONNOIS</t>
  </si>
  <si>
    <t>LE RONCENAY-AUTHENAY</t>
  </si>
  <si>
    <t>SAINT-FRAIMBAULT</t>
  </si>
  <si>
    <t>WOIREL</t>
  </si>
  <si>
    <t>SAINT-VINCENT-D'OLARGUES</t>
  </si>
  <si>
    <t>BUSSEROLLES</t>
  </si>
  <si>
    <t>PERNAY</t>
  </si>
  <si>
    <t>MAIZERY</t>
  </si>
  <si>
    <t>VIARMES</t>
  </si>
  <si>
    <t>CROUAY</t>
  </si>
  <si>
    <t>ROLLEVILLE</t>
  </si>
  <si>
    <t>SAINT-FRICHOUX</t>
  </si>
  <si>
    <t>NASTRINGUES</t>
  </si>
  <si>
    <t>HENDECOURT-LES-RANSART</t>
  </si>
  <si>
    <t>POULDREUZIC</t>
  </si>
  <si>
    <t>LE GUE-DE-LONGROI</t>
  </si>
  <si>
    <t>CORNY-MACHEROMENIL</t>
  </si>
  <si>
    <t>SERDINYA</t>
  </si>
  <si>
    <t>LASCLAVERIES</t>
  </si>
  <si>
    <t>BORS (CANTON DE BAIGNES-SAINTE-RADEGONDE)</t>
  </si>
  <si>
    <t>BOURGNEUF-EN-RETZ</t>
  </si>
  <si>
    <t>CHEMAUDIN</t>
  </si>
  <si>
    <t>AUBURE</t>
  </si>
  <si>
    <t>MEREVILLE</t>
  </si>
  <si>
    <t>BERNAVILLE</t>
  </si>
  <si>
    <t>CHAMPENARD</t>
  </si>
  <si>
    <t>ATHOSE</t>
  </si>
  <si>
    <t>MARC-LA-TOUR</t>
  </si>
  <si>
    <t>ETEIMBES</t>
  </si>
  <si>
    <t>MONT-DE-GALIE</t>
  </si>
  <si>
    <t>MONTBEUGNY</t>
  </si>
  <si>
    <t>LARREY</t>
  </si>
  <si>
    <t>GARTEMPE</t>
  </si>
  <si>
    <t>JOUCAS</t>
  </si>
  <si>
    <t>DOUDRAC</t>
  </si>
  <si>
    <t>BAINVILLE-SUR-MADON</t>
  </si>
  <si>
    <t>VILLEFRANCHE-SUR-CHER</t>
  </si>
  <si>
    <t>GUEREINS</t>
  </si>
  <si>
    <t>COLLAN</t>
  </si>
  <si>
    <t>ROUSSAYROLLES</t>
  </si>
  <si>
    <t>LUGNY-BOURBONNAIS</t>
  </si>
  <si>
    <t>MIELAN</t>
  </si>
  <si>
    <t>LE GRAND-BOURG</t>
  </si>
  <si>
    <t>TOUSSIEUX</t>
  </si>
  <si>
    <t>ARCHINGEAY</t>
  </si>
  <si>
    <t>SARDY-LES-EPIRY</t>
  </si>
  <si>
    <t>SURJOUX</t>
  </si>
  <si>
    <t>POURSIUGUES-BOUCOUE</t>
  </si>
  <si>
    <t>MOIRANS-EN-MONTAGNE</t>
  </si>
  <si>
    <t>SAINT-PIERRE-DU-JONQUET</t>
  </si>
  <si>
    <t>NIEDERHASLACH</t>
  </si>
  <si>
    <t>30121</t>
  </si>
  <si>
    <t>MUS</t>
  </si>
  <si>
    <t>MONTBAZIN</t>
  </si>
  <si>
    <t>FLACHERES</t>
  </si>
  <si>
    <t>AUJEURRES</t>
  </si>
  <si>
    <t>DORENGT</t>
  </si>
  <si>
    <t>TREFFIAGAT</t>
  </si>
  <si>
    <t>CRECY-LA-CHAPELLE</t>
  </si>
  <si>
    <t>68121</t>
  </si>
  <si>
    <t>URBES</t>
  </si>
  <si>
    <t>20164</t>
  </si>
  <si>
    <t>2A066</t>
  </si>
  <si>
    <t>CARGIACA</t>
  </si>
  <si>
    <t>59166</t>
  </si>
  <si>
    <t>BOUSBECQUE</t>
  </si>
  <si>
    <t>CARVILLE-LA-FOLLETIERE</t>
  </si>
  <si>
    <t>REQUEIL</t>
  </si>
  <si>
    <t>HAUDAINVILLE</t>
  </si>
  <si>
    <t>BEULOTTE-SAINT-LAURENT</t>
  </si>
  <si>
    <t>REUX</t>
  </si>
  <si>
    <t>AULAN</t>
  </si>
  <si>
    <t>AUTHEUIL-EN-VALOIS</t>
  </si>
  <si>
    <t>MOUSSAGES</t>
  </si>
  <si>
    <t>VESCLES</t>
  </si>
  <si>
    <t>2A091</t>
  </si>
  <si>
    <t>COGNOCOLI-MONTICCHI</t>
  </si>
  <si>
    <t>17740</t>
  </si>
  <si>
    <t>SAINTE-MARIE-DE-RE</t>
  </si>
  <si>
    <t>MONDION</t>
  </si>
  <si>
    <t>PICQUIGNY</t>
  </si>
  <si>
    <t>TERMES-D'ARMAGNAC</t>
  </si>
  <si>
    <t>LOUVIGNIES-QUESNOY</t>
  </si>
  <si>
    <t>CANISY</t>
  </si>
  <si>
    <t>LA DOMINELAIS</t>
  </si>
  <si>
    <t>GLERE</t>
  </si>
  <si>
    <t>PERRIGNY-LES-DIJON</t>
  </si>
  <si>
    <t>ROTTELSHEIM</t>
  </si>
  <si>
    <t>THEUVILLE-AUX-MAILLOTS</t>
  </si>
  <si>
    <t>VAXY</t>
  </si>
  <si>
    <t>LAUCOURT</t>
  </si>
  <si>
    <t>ROSBRUCK</t>
  </si>
  <si>
    <t>ROQUELAURE-SAINT-AUBIN</t>
  </si>
  <si>
    <t>2230</t>
  </si>
  <si>
    <t>FRESNOY-LE-GRAND</t>
  </si>
  <si>
    <t>MARCILLY-EN-VILLETTE</t>
  </si>
  <si>
    <t>VILLEPERROT</t>
  </si>
  <si>
    <t>ROCHEVILLE</t>
  </si>
  <si>
    <t>ROU-MARSON</t>
  </si>
  <si>
    <t>HOSTE</t>
  </si>
  <si>
    <t>PERDREAUVILLE</t>
  </si>
  <si>
    <t>SAINT-ETIENNE-DE-MAURS</t>
  </si>
  <si>
    <t>CHATEAU-CHERVIX</t>
  </si>
  <si>
    <t>LEGUILLAC-DE-CERCLES</t>
  </si>
  <si>
    <t>LABOUQUERIE</t>
  </si>
  <si>
    <t>LES BRUNELS</t>
  </si>
  <si>
    <t>MOULOTTE</t>
  </si>
  <si>
    <t>MANGIENNES</t>
  </si>
  <si>
    <t>BELFORT-SUR-REBENTY</t>
  </si>
  <si>
    <t>BURRET</t>
  </si>
  <si>
    <t>SAINT-GENEYS-PRES-SAINT-PAULIEN</t>
  </si>
  <si>
    <t>CRIQUETOT-LE-MAUCONDUIT</t>
  </si>
  <si>
    <t>SAINT-FERREOL-DE-COMMINGES</t>
  </si>
  <si>
    <t>AUBAZAT</t>
  </si>
  <si>
    <t>BEUSSENT</t>
  </si>
  <si>
    <t>50120</t>
  </si>
  <si>
    <t>EQUEURDREVILLE-HAINNEVILLE</t>
  </si>
  <si>
    <t>BOBITAL</t>
  </si>
  <si>
    <t>93800</t>
  </si>
  <si>
    <t>EPINAY-SUR-SEINE</t>
  </si>
  <si>
    <t>VILLERABLE</t>
  </si>
  <si>
    <t>GARCHY</t>
  </si>
  <si>
    <t>RAMBOUILLET</t>
  </si>
  <si>
    <t>TROSLY-LOIRE</t>
  </si>
  <si>
    <t>LE MESNIL-LE-ROI</t>
  </si>
  <si>
    <t>SEYNOD</t>
  </si>
  <si>
    <t>TEURTHEVILLE-HAGUE</t>
  </si>
  <si>
    <t>MEHONCOURT</t>
  </si>
  <si>
    <t>FOISSAC</t>
  </si>
  <si>
    <t>LUTTER</t>
  </si>
  <si>
    <t>MARTISSERRE</t>
  </si>
  <si>
    <t>CHOUAIN</t>
  </si>
  <si>
    <t>SERVILLE</t>
  </si>
  <si>
    <t>REPPE</t>
  </si>
  <si>
    <t>NOYELLES-SUR-ESCAUT</t>
  </si>
  <si>
    <t>MONTRELAIS</t>
  </si>
  <si>
    <t>13126</t>
  </si>
  <si>
    <t>VAUVENARGUES</t>
  </si>
  <si>
    <t>GIRMONT-VAL-D'AJOL</t>
  </si>
  <si>
    <t>LE VAUDREUIL</t>
  </si>
  <si>
    <t>BAGUER-MORVAN</t>
  </si>
  <si>
    <t>LIEURAC</t>
  </si>
  <si>
    <t>LIEFFRANS</t>
  </si>
  <si>
    <t>69005</t>
  </si>
  <si>
    <t>LYON--5E--ARRONDISSEMENT</t>
  </si>
  <si>
    <t>2A026</t>
  </si>
  <si>
    <t>AZILONE-AMPAZA</t>
  </si>
  <si>
    <t>2B292</t>
  </si>
  <si>
    <t>SANT'ANDREA-DI-BOZIO</t>
  </si>
  <si>
    <t>MONTGON</t>
  </si>
  <si>
    <t>ANDELOT-EN-MONTAGNE</t>
  </si>
  <si>
    <t>BAZAC</t>
  </si>
  <si>
    <t>AUBIE-ET-ESPESSAS</t>
  </si>
  <si>
    <t>33400</t>
  </si>
  <si>
    <t>TALENCE</t>
  </si>
  <si>
    <t>PRECORBIN</t>
  </si>
  <si>
    <t>DEAUX</t>
  </si>
  <si>
    <t>SAINT-CHRISTOPHE-SUR-GUIERS</t>
  </si>
  <si>
    <t>UNIEUX</t>
  </si>
  <si>
    <t>2B293</t>
  </si>
  <si>
    <t>SANT'ANDREA-DI-COTONE</t>
  </si>
  <si>
    <t>SAINT-COUTANT-LE-GRAND</t>
  </si>
  <si>
    <t>COURVAUDON</t>
  </si>
  <si>
    <t>BANTANGES</t>
  </si>
  <si>
    <t>BANVILLARS</t>
  </si>
  <si>
    <t>AUMERVAL</t>
  </si>
  <si>
    <t>BOURSIES</t>
  </si>
  <si>
    <t>BOURG-LE-ROI</t>
  </si>
  <si>
    <t>LA BATIE-ROLLAND</t>
  </si>
  <si>
    <t>MOITRON-SUR-SARTHE</t>
  </si>
  <si>
    <t>RENNEPONT</t>
  </si>
  <si>
    <t>TOURNEMIRE</t>
  </si>
  <si>
    <t>CRAIN</t>
  </si>
  <si>
    <t>ZITTERSHEIM</t>
  </si>
  <si>
    <t>TOULOUZETTE</t>
  </si>
  <si>
    <t>CREHANGE</t>
  </si>
  <si>
    <t>L'HOPITAL</t>
  </si>
  <si>
    <t>ESCLASSAN-LABASTIDE</t>
  </si>
  <si>
    <t>FOUCHY</t>
  </si>
  <si>
    <t>CHEZEAUX</t>
  </si>
  <si>
    <t>CUGNEY</t>
  </si>
  <si>
    <t>LABOURSE</t>
  </si>
  <si>
    <t>POTTE</t>
  </si>
  <si>
    <t>PERRECY-LES-FORGES</t>
  </si>
  <si>
    <t>59160</t>
  </si>
  <si>
    <t>CAPINGHEM</t>
  </si>
  <si>
    <t>LA CHARTRE-SUR-LE-LOIR</t>
  </si>
  <si>
    <t>VILLEFOLLET</t>
  </si>
  <si>
    <t>GETIGNE</t>
  </si>
  <si>
    <t>ASSAS</t>
  </si>
  <si>
    <t>BRETENIERE</t>
  </si>
  <si>
    <t>DISSAY-SOUS-COURCILLON</t>
  </si>
  <si>
    <t>BLINGEL</t>
  </si>
  <si>
    <t>GENOS</t>
  </si>
  <si>
    <t>NAVACELLES</t>
  </si>
  <si>
    <t>SAINTE-SABINE-BORN</t>
  </si>
  <si>
    <t>SERANDON</t>
  </si>
  <si>
    <t>PENNE-D'AGENAIS</t>
  </si>
  <si>
    <t>PERRIGNY-SUR-L'OGNON</t>
  </si>
  <si>
    <t>CLERAC</t>
  </si>
  <si>
    <t>LA CHAPELLE-AUX-CHASSES</t>
  </si>
  <si>
    <t>CHAON</t>
  </si>
  <si>
    <t>HERISSART</t>
  </si>
  <si>
    <t>MESSIMY</t>
  </si>
  <si>
    <t>MILLENCOURT</t>
  </si>
  <si>
    <t>CAIX</t>
  </si>
  <si>
    <t>VOLLORE-MONTAGNE</t>
  </si>
  <si>
    <t>CHAZEY-SUR-AIN</t>
  </si>
  <si>
    <t>CASTELNAU-D'ANGLES</t>
  </si>
  <si>
    <t>SAINTE-MARIE-DE-CUINES</t>
  </si>
  <si>
    <t>PLECHATEL</t>
  </si>
  <si>
    <t>LECTOURE</t>
  </si>
  <si>
    <t>GRANDVELLE-ET-LE-PERRENOT</t>
  </si>
  <si>
    <t>68170</t>
  </si>
  <si>
    <t>RIXHEIM</t>
  </si>
  <si>
    <t>SAINT-GERMAIN-D'ETABLES</t>
  </si>
  <si>
    <t>LOUESTAULT</t>
  </si>
  <si>
    <t>MORNAY</t>
  </si>
  <si>
    <t>54123</t>
  </si>
  <si>
    <t>VITERNE</t>
  </si>
  <si>
    <t>VAUCHASSIS</t>
  </si>
  <si>
    <t>SERRIGNY</t>
  </si>
  <si>
    <t>SALOME</t>
  </si>
  <si>
    <t>FEGERSHEIM</t>
  </si>
  <si>
    <t>ANICHE</t>
  </si>
  <si>
    <t>PONT-SUR-L'OGNON</t>
  </si>
  <si>
    <t>SEIGNY</t>
  </si>
  <si>
    <t>40600</t>
  </si>
  <si>
    <t>BISCARROSSE</t>
  </si>
  <si>
    <t>ARGENTINE</t>
  </si>
  <si>
    <t>OZOLLES</t>
  </si>
  <si>
    <t>KERBACH</t>
  </si>
  <si>
    <t>81230</t>
  </si>
  <si>
    <t>LACAUNE</t>
  </si>
  <si>
    <t>VIMINES</t>
  </si>
  <si>
    <t>AITON</t>
  </si>
  <si>
    <t>BESSON</t>
  </si>
  <si>
    <t>SAINT-BOINGT</t>
  </si>
  <si>
    <t>SAINT-AUBIN-DE-SCELLON</t>
  </si>
  <si>
    <t>BEIRE-LE-FORT</t>
  </si>
  <si>
    <t>CAMPAGNOLLES</t>
  </si>
  <si>
    <t>LA COPECHAGNIERE</t>
  </si>
  <si>
    <t>CHEMILLY-SUR-SEREIN</t>
  </si>
  <si>
    <t>MEZERVILLE</t>
  </si>
  <si>
    <t>FREHEL</t>
  </si>
  <si>
    <t>RENANSART</t>
  </si>
  <si>
    <t>AMBRUMESNIL</t>
  </si>
  <si>
    <t>GOUBERVILLE</t>
  </si>
  <si>
    <t>SAINTE-MARIE-LAUMONT</t>
  </si>
  <si>
    <t>LION-DEVANT-DUN</t>
  </si>
  <si>
    <t>ISLE-AUBIGNY</t>
  </si>
  <si>
    <t>REPAIX</t>
  </si>
  <si>
    <t>SEILHAN</t>
  </si>
  <si>
    <t>ESTAVAR</t>
  </si>
  <si>
    <t>VIONVILLE</t>
  </si>
  <si>
    <t>PONSON-DEBAT-POUTS</t>
  </si>
  <si>
    <t>VIROLLET</t>
  </si>
  <si>
    <t>LUZILLAT</t>
  </si>
  <si>
    <t>ONESSE-ET-LAHARIE</t>
  </si>
  <si>
    <t>THONNELLE</t>
  </si>
  <si>
    <t>EGLISOLLES</t>
  </si>
  <si>
    <t>BOIS-DE-GAND</t>
  </si>
  <si>
    <t>PLAINE-HAUTE</t>
  </si>
  <si>
    <t>GRAMBOIS</t>
  </si>
  <si>
    <t>HAUTE-ISLE</t>
  </si>
  <si>
    <t>PUGINIER</t>
  </si>
  <si>
    <t>L'ABERGEMENT-CLEMENCIAT</t>
  </si>
  <si>
    <t>SAINT-MAXENT</t>
  </si>
  <si>
    <t>VERTON</t>
  </si>
  <si>
    <t>ANCRETIEVILLE-SAINT-VICTOR</t>
  </si>
  <si>
    <t>MEYRIGNAC-L'EGLISE</t>
  </si>
  <si>
    <t>MONTAGNEY-SERVIGNEY</t>
  </si>
  <si>
    <t>CUSSEY-LES-FORGES</t>
  </si>
  <si>
    <t>LES THONS</t>
  </si>
  <si>
    <t>SAINT-BENOIT-EN-DIOIS</t>
  </si>
  <si>
    <t>HESBECOURT</t>
  </si>
  <si>
    <t>LANTOSQUE</t>
  </si>
  <si>
    <t>VIGEOIS</t>
  </si>
  <si>
    <t>FUISSE</t>
  </si>
  <si>
    <t>FROIDEVILLE</t>
  </si>
  <si>
    <t>AUBETERRE-SUR-DRONNE</t>
  </si>
  <si>
    <t>JOURS-LES-BAIGNEUX</t>
  </si>
  <si>
    <t>PAVILLY</t>
  </si>
  <si>
    <t>GLENAC</t>
  </si>
  <si>
    <t>FONTCLAIREAU</t>
  </si>
  <si>
    <t>PLOUYE</t>
  </si>
  <si>
    <t>SAINT-GERMAIN-DE-BELVES</t>
  </si>
  <si>
    <t>CLAIREFOUGERE</t>
  </si>
  <si>
    <t>MAROLLES-SUR-SEINE</t>
  </si>
  <si>
    <t>ARS-LAQUENEXY</t>
  </si>
  <si>
    <t>TARNAC</t>
  </si>
  <si>
    <t>CASTELNAU-DE-MONTMIRAL</t>
  </si>
  <si>
    <t>HASPELSCHIEDT</t>
  </si>
  <si>
    <t>PUY-SAINT-PIERRE</t>
  </si>
  <si>
    <t>BEINE</t>
  </si>
  <si>
    <t>BALLAY</t>
  </si>
  <si>
    <t>OUNANS</t>
  </si>
  <si>
    <t>CORNEVILLE-SUR-RISLE</t>
  </si>
  <si>
    <t>FLAYAT</t>
  </si>
  <si>
    <t>PAGNY-LA-BLANCHE-COTE</t>
  </si>
  <si>
    <t>LA CHEVILLOTTE</t>
  </si>
  <si>
    <t>LALANDE-DE-POMEROL</t>
  </si>
  <si>
    <t>TAVAUX</t>
  </si>
  <si>
    <t>ARQUETTES-EN-VAL</t>
  </si>
  <si>
    <t>ESCOBECQUES</t>
  </si>
  <si>
    <t>RENE</t>
  </si>
  <si>
    <t>TIERCE</t>
  </si>
  <si>
    <t>LA SELLE-LA-FORGE</t>
  </si>
  <si>
    <t>PIENNES-ONVILLERS</t>
  </si>
  <si>
    <t>THAUVENAY</t>
  </si>
  <si>
    <t>30111</t>
  </si>
  <si>
    <t>CONGENIES</t>
  </si>
  <si>
    <t>MONTFARVILLE</t>
  </si>
  <si>
    <t>LAVINCOURT</t>
  </si>
  <si>
    <t>WARSY</t>
  </si>
  <si>
    <t>POLINCOVE</t>
  </si>
  <si>
    <t>CHAZE-HENRY</t>
  </si>
  <si>
    <t>LUTZELBOURG</t>
  </si>
  <si>
    <t>TRIGNY</t>
  </si>
  <si>
    <t>SAINT-ROMAN-DE-MALEGARDE</t>
  </si>
  <si>
    <t>MONTGEY</t>
  </si>
  <si>
    <t>ARAUJUZON</t>
  </si>
  <si>
    <t>VILLEFRANCHE-DE-LONCHAT</t>
  </si>
  <si>
    <t>FOURTOU</t>
  </si>
  <si>
    <t>GERMAINVILLIERS</t>
  </si>
  <si>
    <t>MOUSSEAUX-LES-BRAY</t>
  </si>
  <si>
    <t>CUVILLY</t>
  </si>
  <si>
    <t>HAUTE-AVESNES</t>
  </si>
  <si>
    <t>SAINT-CYR-SUR-LE-RHONE</t>
  </si>
  <si>
    <t>VY-LES-RUPT</t>
  </si>
  <si>
    <t>CORSEUL</t>
  </si>
  <si>
    <t>CERVENS</t>
  </si>
  <si>
    <t>LAMOTHE-CAPDEVILLE</t>
  </si>
  <si>
    <t>BUGNICOURT</t>
  </si>
  <si>
    <t>BESNANS</t>
  </si>
  <si>
    <t>DOMMARTIN-LE-SAINT-PERE</t>
  </si>
  <si>
    <t>TRUCY</t>
  </si>
  <si>
    <t>SURY-ES-BOIS</t>
  </si>
  <si>
    <t>2B303</t>
  </si>
  <si>
    <t>SAN-GIULIANO</t>
  </si>
  <si>
    <t>ETRETAT</t>
  </si>
  <si>
    <t>RIUPEYROUS</t>
  </si>
  <si>
    <t>IHOLDY</t>
  </si>
  <si>
    <t>94200</t>
  </si>
  <si>
    <t>IVRY-SUR-SEINE</t>
  </si>
  <si>
    <t>SAUNAY</t>
  </si>
  <si>
    <t>GIGORS-ET-LOZERON</t>
  </si>
  <si>
    <t>EPENOY</t>
  </si>
  <si>
    <t>POISEUL</t>
  </si>
  <si>
    <t>SAINT-JEAN-DU-CASTILLONNAIS</t>
  </si>
  <si>
    <t>LA BAFFE</t>
  </si>
  <si>
    <t>LANOUEE</t>
  </si>
  <si>
    <t>TRIZAY-COUTRETOT-SAINT-SERGE</t>
  </si>
  <si>
    <t>ALBE</t>
  </si>
  <si>
    <t>GOXWILLER</t>
  </si>
  <si>
    <t>TAVANT</t>
  </si>
  <si>
    <t>LA CORNUAILLE</t>
  </si>
  <si>
    <t>L'ABSIE</t>
  </si>
  <si>
    <t>UHART-CIZE</t>
  </si>
  <si>
    <t>NOYALO</t>
  </si>
  <si>
    <t>LE VIEIL-BAUGE</t>
  </si>
  <si>
    <t>MONTVIRON</t>
  </si>
  <si>
    <t>PREIGNEY</t>
  </si>
  <si>
    <t>MESSERY</t>
  </si>
  <si>
    <t>NEUVILLE-LES-LOEUILLY</t>
  </si>
  <si>
    <t>SAINT-GENES-LA-TOURETTE</t>
  </si>
  <si>
    <t>CHAMP-LAURENT</t>
  </si>
  <si>
    <t>CERNAY-LA-VILLE</t>
  </si>
  <si>
    <t>BERRU</t>
  </si>
  <si>
    <t>MARILLET</t>
  </si>
  <si>
    <t>BAVINCHOVE</t>
  </si>
  <si>
    <t>LA BASTIDE-SUR-L'HERS</t>
  </si>
  <si>
    <t>CHENNEGY</t>
  </si>
  <si>
    <t>VIEUX-CHAMPAGNE</t>
  </si>
  <si>
    <t>MONTEGUT-EN-COUSERANS</t>
  </si>
  <si>
    <t>VENDEVILLE</t>
  </si>
  <si>
    <t>OUEILLOUX</t>
  </si>
  <si>
    <t>BETAUCOURT</t>
  </si>
  <si>
    <t>AUZAT-LA-COMBELLE</t>
  </si>
  <si>
    <t>COUVILLE</t>
  </si>
  <si>
    <t>FRANSECHES</t>
  </si>
  <si>
    <t>BOTZ-EN-MAUGES</t>
  </si>
  <si>
    <t>5240</t>
  </si>
  <si>
    <t>LA SALLE-LES-ALPES</t>
  </si>
  <si>
    <t>FEILLENS</t>
  </si>
  <si>
    <t>CHAS</t>
  </si>
  <si>
    <t>MOISSEY</t>
  </si>
  <si>
    <t>ANNELLES</t>
  </si>
  <si>
    <t>MICHELBACH-LE-HAUT</t>
  </si>
  <si>
    <t>13690</t>
  </si>
  <si>
    <t>GRAVESON</t>
  </si>
  <si>
    <t>MONTAGUDET</t>
  </si>
  <si>
    <t>SAINT-SEVERIN</t>
  </si>
  <si>
    <t>BEGUES</t>
  </si>
  <si>
    <t>THIANCOURT</t>
  </si>
  <si>
    <t>TOURVILLE-LA-CHAPELLE</t>
  </si>
  <si>
    <t>TREUX</t>
  </si>
  <si>
    <t>CALMOUTIER</t>
  </si>
  <si>
    <t>LE BOURG</t>
  </si>
  <si>
    <t>MERVENT</t>
  </si>
  <si>
    <t>GOURDAN-POLIGNAN</t>
  </si>
  <si>
    <t>ALLAN</t>
  </si>
  <si>
    <t>SAINT-JOSEPH-DES-BANCS</t>
  </si>
  <si>
    <t>JARGEAU</t>
  </si>
  <si>
    <t>PRIEZ</t>
  </si>
  <si>
    <t>SOPPE-LE-BAS</t>
  </si>
  <si>
    <t>COULAINES</t>
  </si>
  <si>
    <t>CHATEAUNEUF-VAL-DE-BARGIS</t>
  </si>
  <si>
    <t>PLUMAUGAT</t>
  </si>
  <si>
    <t>TILLE</t>
  </si>
  <si>
    <t>MANZIAT</t>
  </si>
  <si>
    <t>SAINT-DESIR</t>
  </si>
  <si>
    <t>SAINT-PIERREVILLERS</t>
  </si>
  <si>
    <t>ORCHAMPS</t>
  </si>
  <si>
    <t>ASSWILLER</t>
  </si>
  <si>
    <t>92270</t>
  </si>
  <si>
    <t>BOIS-COLOMBES</t>
  </si>
  <si>
    <t>VACQUEVILLE</t>
  </si>
  <si>
    <t>21300</t>
  </si>
  <si>
    <t>CHENOVE</t>
  </si>
  <si>
    <t>ALLEX</t>
  </si>
  <si>
    <t>CHALAIN-LE-COMTAL</t>
  </si>
  <si>
    <t>LANISCAT</t>
  </si>
  <si>
    <t>VOIMHAUT</t>
  </si>
  <si>
    <t>CHAMPIGNY-SUR-VEUDE</t>
  </si>
  <si>
    <t>GAUDIES</t>
  </si>
  <si>
    <t>VASTEVILLE</t>
  </si>
  <si>
    <t>TRECON</t>
  </si>
  <si>
    <t>FOULANGUES</t>
  </si>
  <si>
    <t>LAUROUX</t>
  </si>
  <si>
    <t>GORHEY</t>
  </si>
  <si>
    <t>CHEMILLE-SUR-INDROIS</t>
  </si>
  <si>
    <t>BERLES-AU-BOIS</t>
  </si>
  <si>
    <t>LES COSTES-GOZON</t>
  </si>
  <si>
    <t>ESPLAS</t>
  </si>
  <si>
    <t>CONDAT-SUR-GANAVEIX</t>
  </si>
  <si>
    <t>BISSEUIL</t>
  </si>
  <si>
    <t>VAL-DE-MERCY</t>
  </si>
  <si>
    <t>CHAMBON-LA-FORET</t>
  </si>
  <si>
    <t>67990</t>
  </si>
  <si>
    <t>OSTHOFFEN</t>
  </si>
  <si>
    <t>SERENAC</t>
  </si>
  <si>
    <t>MONDOUZIL</t>
  </si>
  <si>
    <t>LION-EN-BEAUCE</t>
  </si>
  <si>
    <t>LACOUR-D'ARCENAY</t>
  </si>
  <si>
    <t>NERIS-LES-BAINS</t>
  </si>
  <si>
    <t>AMANTY</t>
  </si>
  <si>
    <t>ESCAUDES</t>
  </si>
  <si>
    <t>BALAZE</t>
  </si>
  <si>
    <t>BOISSIA</t>
  </si>
  <si>
    <t>SAINT-QUENTIN-AU-BOSC</t>
  </si>
  <si>
    <t>AUDERVILLE</t>
  </si>
  <si>
    <t>BRUGUIERES</t>
  </si>
  <si>
    <t>HARSAULT</t>
  </si>
  <si>
    <t>EAUNES</t>
  </si>
  <si>
    <t>ANTOGNY-LE-TILLAC</t>
  </si>
  <si>
    <t>SAULCHERY</t>
  </si>
  <si>
    <t>COURCELLES-SAPICOURT</t>
  </si>
  <si>
    <t>ENTRE-DEUX-MONTS</t>
  </si>
  <si>
    <t>EFFIAT</t>
  </si>
  <si>
    <t>SURVILLIERS</t>
  </si>
  <si>
    <t>AVEUX</t>
  </si>
  <si>
    <t>VERGEAL</t>
  </si>
  <si>
    <t>MAS-SAINT-CHELY</t>
  </si>
  <si>
    <t>DIRAC</t>
  </si>
  <si>
    <t>NUITS</t>
  </si>
  <si>
    <t>PEYRIGNAC</t>
  </si>
  <si>
    <t>VIVES</t>
  </si>
  <si>
    <t>NIORT-DE-SAULT</t>
  </si>
  <si>
    <t>COGNAC-LA-FORET</t>
  </si>
  <si>
    <t>SALLES-DE-VILLEFAGNAN</t>
  </si>
  <si>
    <t>LAVIOLLE</t>
  </si>
  <si>
    <t>SAINT-ETIENNE-DE-FURSAC</t>
  </si>
  <si>
    <t>JUILLENAY</t>
  </si>
  <si>
    <t>LA GENEYTOUSE</t>
  </si>
  <si>
    <t>MARSAINVILLIERS</t>
  </si>
  <si>
    <t>LAVIRON</t>
  </si>
  <si>
    <t>ECRAMMEVILLE</t>
  </si>
  <si>
    <t>USSON-EN-FOREZ</t>
  </si>
  <si>
    <t>BORNAY</t>
  </si>
  <si>
    <t>6700</t>
  </si>
  <si>
    <t>SAINT-LAURENT-DU-VAR</t>
  </si>
  <si>
    <t>93200/93210</t>
  </si>
  <si>
    <t>COLLEVILLE</t>
  </si>
  <si>
    <t>TRONVILLE</t>
  </si>
  <si>
    <t>MIRMANDE</t>
  </si>
  <si>
    <t>BARBONVILLE</t>
  </si>
  <si>
    <t>16720</t>
  </si>
  <si>
    <t>SAINT-MEME-LES-CARRIERES</t>
  </si>
  <si>
    <t>67205</t>
  </si>
  <si>
    <t>OBERHAUSBERGEN</t>
  </si>
  <si>
    <t>ESCLAVELLES</t>
  </si>
  <si>
    <t>SAVENNIERES</t>
  </si>
  <si>
    <t>BERRIC</t>
  </si>
  <si>
    <t>BOURNAND</t>
  </si>
  <si>
    <t>LA FORET-DU-PARC</t>
  </si>
  <si>
    <t>LAPLEAU</t>
  </si>
  <si>
    <t>NIFFER</t>
  </si>
  <si>
    <t>TREBONS</t>
  </si>
  <si>
    <t>MONTESCOURT-LIZEROLLES</t>
  </si>
  <si>
    <t>CADRIEU</t>
  </si>
  <si>
    <t>AUBENCHEUL-AUX-BOIS</t>
  </si>
  <si>
    <t>LE CLAPIER</t>
  </si>
  <si>
    <t>COUSANCES-LES-FORGES</t>
  </si>
  <si>
    <t>TILLOY-LEZ-MARCHIENNES</t>
  </si>
  <si>
    <t>MIRABEL-AUX-BARONNIES</t>
  </si>
  <si>
    <t>GENNETINES</t>
  </si>
  <si>
    <t>SAINT-MEDARD-D'EXCIDEUIL</t>
  </si>
  <si>
    <t>BREY-ET-MAISON-DU-BOIS</t>
  </si>
  <si>
    <t>GRAINVILLE-LANGANNERIE</t>
  </si>
  <si>
    <t>LAVARS</t>
  </si>
  <si>
    <t>VILLE-SUR-ARCE</t>
  </si>
  <si>
    <t>ROQUEBRUN</t>
  </si>
  <si>
    <t>CHAROST</t>
  </si>
  <si>
    <t>QUEND</t>
  </si>
  <si>
    <t>FULIGNY</t>
  </si>
  <si>
    <t>CONTEVILLE-EN-TERNOIS</t>
  </si>
  <si>
    <t>VILLEFAGNAN</t>
  </si>
  <si>
    <t>BEUVEILLE</t>
  </si>
  <si>
    <t>FONTAINE-LA-MALLET</t>
  </si>
  <si>
    <t>PONTECOULANT</t>
  </si>
  <si>
    <t>THONAC</t>
  </si>
  <si>
    <t>ELETOT</t>
  </si>
  <si>
    <t>BIRKENWALD</t>
  </si>
  <si>
    <t>COMMER</t>
  </si>
  <si>
    <t>CHASEREY</t>
  </si>
  <si>
    <t>SAINT-LEGER-DES-BOIS</t>
  </si>
  <si>
    <t>PLAGNOLE</t>
  </si>
  <si>
    <t>78860</t>
  </si>
  <si>
    <t>SAINT-NOM-LA-BRETECHE</t>
  </si>
  <si>
    <t>MARTIGNY-LE-COMTE</t>
  </si>
  <si>
    <t>2A348</t>
  </si>
  <si>
    <t>VICO</t>
  </si>
  <si>
    <t>PUCH-D'AGENAIS</t>
  </si>
  <si>
    <t>MONFERRAN-PLAVES</t>
  </si>
  <si>
    <t>SAVIGNAC-DE-DURAS</t>
  </si>
  <si>
    <t>91210</t>
  </si>
  <si>
    <t>DRAVEIL</t>
  </si>
  <si>
    <t>VELLOREILLE-LES-CHOYE</t>
  </si>
  <si>
    <t>BAINS</t>
  </si>
  <si>
    <t>BOSROGER</t>
  </si>
  <si>
    <t>CHASPINHAC</t>
  </si>
  <si>
    <t>THILLOMBOIS</t>
  </si>
  <si>
    <t>MEZIERES-EN-BRENNE</t>
  </si>
  <si>
    <t>BAZENTIN</t>
  </si>
  <si>
    <t>CHATEAUNEUF-LES-BAINS</t>
  </si>
  <si>
    <t>SEXCLES</t>
  </si>
  <si>
    <t>BESMONT</t>
  </si>
  <si>
    <t>LA TIEULE</t>
  </si>
  <si>
    <t>CALMEILLES</t>
  </si>
  <si>
    <t>MONTHAULT</t>
  </si>
  <si>
    <t>LA VALLEE</t>
  </si>
  <si>
    <t>MANENT-MONTANE</t>
  </si>
  <si>
    <t>MONTENAY</t>
  </si>
  <si>
    <t>LA FERTE-SAINT-CYR</t>
  </si>
  <si>
    <t>MASSERET</t>
  </si>
  <si>
    <t>ETALONDES</t>
  </si>
  <si>
    <t>MASSALS</t>
  </si>
  <si>
    <t>25790</t>
  </si>
  <si>
    <t>LES GRAS</t>
  </si>
  <si>
    <t>BRAUX-SAINT-REMY</t>
  </si>
  <si>
    <t>BESSENAY</t>
  </si>
  <si>
    <t>MONCHEUX</t>
  </si>
  <si>
    <t>MALEGOUDE</t>
  </si>
  <si>
    <t>BERGNICOURT</t>
  </si>
  <si>
    <t>SAINT-CIERGUES</t>
  </si>
  <si>
    <t>GIRAC</t>
  </si>
  <si>
    <t>SAINT-CLAR</t>
  </si>
  <si>
    <t>VIAM</t>
  </si>
  <si>
    <t>BUSQUE</t>
  </si>
  <si>
    <t>SAINT-JEAN-DE-CEYRARGUES</t>
  </si>
  <si>
    <t>SAINT-MAMMES</t>
  </si>
  <si>
    <t>LESDAIN</t>
  </si>
  <si>
    <t>VALLERARGUES</t>
  </si>
  <si>
    <t>YVOIRE</t>
  </si>
  <si>
    <t>LE SEL-DE-BRETAGNE</t>
  </si>
  <si>
    <t>VILLE-EN-SELVE</t>
  </si>
  <si>
    <t>CORMES</t>
  </si>
  <si>
    <t>COURTEILLES</t>
  </si>
  <si>
    <t>COLLIGNY</t>
  </si>
  <si>
    <t>56550</t>
  </si>
  <si>
    <t>BELZ</t>
  </si>
  <si>
    <t>CACHEN</t>
  </si>
  <si>
    <t>BUXIERES-SUR-ARCE</t>
  </si>
  <si>
    <t>SILLY-EN-GOUFFERN</t>
  </si>
  <si>
    <t>VAULX-MILIEU</t>
  </si>
  <si>
    <t>LOSSE</t>
  </si>
  <si>
    <t>PONT-CROIX</t>
  </si>
  <si>
    <t>MONTBARD</t>
  </si>
  <si>
    <t>MAUROIS</t>
  </si>
  <si>
    <t>BESSE-ET-SAINT-ANASTAISE</t>
  </si>
  <si>
    <t>MEYRAS</t>
  </si>
  <si>
    <t>BUGNEIN</t>
  </si>
  <si>
    <t>HOUDELAINCOURT</t>
  </si>
  <si>
    <t>SAINT-GENIES-DE-MALGOIRES</t>
  </si>
  <si>
    <t>VAUX-LE-PENIL</t>
  </si>
  <si>
    <t>MERAS</t>
  </si>
  <si>
    <t>ARRAYOU-LAHITTE</t>
  </si>
  <si>
    <t>TREILLES-EN-GATINAIS</t>
  </si>
  <si>
    <t>DOM-LE-MESNIL</t>
  </si>
  <si>
    <t>DZAOUDZI</t>
  </si>
  <si>
    <t>SAINT-MARTIN-DE-SALENCEY</t>
  </si>
  <si>
    <t>MER</t>
  </si>
  <si>
    <t>SAINT-NIZIER-DE-FORNAS</t>
  </si>
  <si>
    <t>ORTONCOURT</t>
  </si>
  <si>
    <t>BEAUVENE</t>
  </si>
  <si>
    <t>SAINT-GERMAIN-DES-CHAMPS</t>
  </si>
  <si>
    <t>LABASTIDE-CLERMONT</t>
  </si>
  <si>
    <t>SEVIGNY</t>
  </si>
  <si>
    <t>MOLINS-SUR-AUBE</t>
  </si>
  <si>
    <t>RICHARVILLE</t>
  </si>
  <si>
    <t>GRIMAUCOURT-EN-WOEVRE</t>
  </si>
  <si>
    <t>LUZERET</t>
  </si>
  <si>
    <t>VILLEVALLIER</t>
  </si>
  <si>
    <t>FOUCART</t>
  </si>
  <si>
    <t>SULNIAC</t>
  </si>
  <si>
    <t>LA CHAPELLE-THOUARAULT</t>
  </si>
  <si>
    <t>SEREZIN-DU-RHONE</t>
  </si>
  <si>
    <t>SEAILLES</t>
  </si>
  <si>
    <t>LA CHAPELLE-NAUDE</t>
  </si>
  <si>
    <t>MORHANGE</t>
  </si>
  <si>
    <t>BALLORE</t>
  </si>
  <si>
    <t>LOMONT</t>
  </si>
  <si>
    <t>VITRIMONT</t>
  </si>
  <si>
    <t>VAULNAVEYS-LE-HAUT</t>
  </si>
  <si>
    <t>59148</t>
  </si>
  <si>
    <t>FLINES-LEZ-RACHES</t>
  </si>
  <si>
    <t>2A064</t>
  </si>
  <si>
    <t>CARDO-TORGIA</t>
  </si>
  <si>
    <t>FRESNOY-FOLNY</t>
  </si>
  <si>
    <t>MARVAL</t>
  </si>
  <si>
    <t>PUY-D'ARNAC</t>
  </si>
  <si>
    <t>POLAINCOURT-ET-CLAIREFONTAINE</t>
  </si>
  <si>
    <t>FRANSART</t>
  </si>
  <si>
    <t>VOREY</t>
  </si>
  <si>
    <t>CONDAC</t>
  </si>
  <si>
    <t>TREMONS</t>
  </si>
  <si>
    <t>ANTRENAS</t>
  </si>
  <si>
    <t>BETTENCOURT-RIVIERE</t>
  </si>
  <si>
    <t>SAINT-JEAN-DE-LA-RUELLE</t>
  </si>
  <si>
    <t>LIVRON</t>
  </si>
  <si>
    <t>JUVIGNE</t>
  </si>
  <si>
    <t>ARTIGUEMY</t>
  </si>
  <si>
    <t>L'ETANG-VERGY</t>
  </si>
  <si>
    <t>SAINT-AUBAN-D'OZE</t>
  </si>
  <si>
    <t>LA HAIE-TRAVERSAINE</t>
  </si>
  <si>
    <t>MELAGUES</t>
  </si>
  <si>
    <t>BILLIO</t>
  </si>
  <si>
    <t>VARANGES</t>
  </si>
  <si>
    <t>22960</t>
  </si>
  <si>
    <t>PLEDRAN</t>
  </si>
  <si>
    <t>MOMUY</t>
  </si>
  <si>
    <t>SAMEON</t>
  </si>
  <si>
    <t>16470</t>
  </si>
  <si>
    <t>TREHORENTEUC</t>
  </si>
  <si>
    <t>69650</t>
  </si>
  <si>
    <t>QUINCIEUX</t>
  </si>
  <si>
    <t>LA SELLE-CRAONNAISE</t>
  </si>
  <si>
    <t>SEMEZIES-CACHAN</t>
  </si>
  <si>
    <t>TAMNAY-EN-BAZOIS</t>
  </si>
  <si>
    <t>NAILLY</t>
  </si>
  <si>
    <t>CAUMONT-SUR-GARONNE</t>
  </si>
  <si>
    <t>BEAUFOU</t>
  </si>
  <si>
    <t>DIVION</t>
  </si>
  <si>
    <t>ANNEPONT</t>
  </si>
  <si>
    <t>BERNEX</t>
  </si>
  <si>
    <t>THOARD</t>
  </si>
  <si>
    <t>CONNANGLES</t>
  </si>
  <si>
    <t>RUMINGHEM</t>
  </si>
  <si>
    <t>PYS</t>
  </si>
  <si>
    <t>59243</t>
  </si>
  <si>
    <t>QUAROUBLE</t>
  </si>
  <si>
    <t>AUNAY-SOUS-AUNEAU</t>
  </si>
  <si>
    <t>MOURENX</t>
  </si>
  <si>
    <t>CANTOIS</t>
  </si>
  <si>
    <t>SAINT-CALAIS-DU-DESERT</t>
  </si>
  <si>
    <t>TANVILLE</t>
  </si>
  <si>
    <t>ABLON</t>
  </si>
  <si>
    <t>MONTRY</t>
  </si>
  <si>
    <t>BERTHEZ</t>
  </si>
  <si>
    <t>WIHR-AU-VAL</t>
  </si>
  <si>
    <t>LIVRE-LA-TOUCHE</t>
  </si>
  <si>
    <t>TREMOREL</t>
  </si>
  <si>
    <t>COLLANGES</t>
  </si>
  <si>
    <t>FAVEROLLES-LA-CAMPAGNE</t>
  </si>
  <si>
    <t>FRONTON</t>
  </si>
  <si>
    <t>MADIRAN</t>
  </si>
  <si>
    <t>69190</t>
  </si>
  <si>
    <t>SAINT-FONS</t>
  </si>
  <si>
    <t>PASSINS</t>
  </si>
  <si>
    <t>PALAJA</t>
  </si>
  <si>
    <t>BRIOD</t>
  </si>
  <si>
    <t>SAINT-JOUIN</t>
  </si>
  <si>
    <t>GRIEGES</t>
  </si>
  <si>
    <t>GAURIAGUET</t>
  </si>
  <si>
    <t>LAMOUILLY</t>
  </si>
  <si>
    <t>URBANYA</t>
  </si>
  <si>
    <t>SAINT-QUENTIN-SUR-INDROIS</t>
  </si>
  <si>
    <t>CESSON</t>
  </si>
  <si>
    <t>BUSSY-LE-GRAND</t>
  </si>
  <si>
    <t>PERNOIS</t>
  </si>
  <si>
    <t>CUIS</t>
  </si>
  <si>
    <t>ABBEVILLE-LES-CONFLANS</t>
  </si>
  <si>
    <t>MESVRES</t>
  </si>
  <si>
    <t>LA CHAPELLE-SOUS-UCHON</t>
  </si>
  <si>
    <t>GARDES-LE-PONTAROUX</t>
  </si>
  <si>
    <t>62280</t>
  </si>
  <si>
    <t>SAINT-MARTIN-BOULOGNE</t>
  </si>
  <si>
    <t>FLASSANS-SUR-ISSOLE</t>
  </si>
  <si>
    <t>NOUILHAN</t>
  </si>
  <si>
    <t>ROUSSES</t>
  </si>
  <si>
    <t>GUEUGNON</t>
  </si>
  <si>
    <t>FRAIS</t>
  </si>
  <si>
    <t>FOURMAGNAC</t>
  </si>
  <si>
    <t>COMBOURTILLE</t>
  </si>
  <si>
    <t>MARANGE-ZONDRANGE</t>
  </si>
  <si>
    <t>FOUESNANT</t>
  </si>
  <si>
    <t>LOYE-SUR-ARNON</t>
  </si>
  <si>
    <t>VALLEROY-AUX-SAULES</t>
  </si>
  <si>
    <t>LA BALME-D'EPY</t>
  </si>
  <si>
    <t>FRANXAULT</t>
  </si>
  <si>
    <t>SOULLES</t>
  </si>
  <si>
    <t>ROSCANVEL</t>
  </si>
  <si>
    <t>BERTANGLES</t>
  </si>
  <si>
    <t>LONGEVELLE-SUR-DOUBS</t>
  </si>
  <si>
    <t>CHAMOUILLE</t>
  </si>
  <si>
    <t>SAINT-PORCHAIRE</t>
  </si>
  <si>
    <t>SANSAN</t>
  </si>
  <si>
    <t>BEAUREGARD-DE-TERRASSON</t>
  </si>
  <si>
    <t>66240</t>
  </si>
  <si>
    <t>SAINT-ESTEVE</t>
  </si>
  <si>
    <t>2B052</t>
  </si>
  <si>
    <t>CAMPANA</t>
  </si>
  <si>
    <t>MENAUCOURT</t>
  </si>
  <si>
    <t>GIVRY-EN-ARGONNE</t>
  </si>
  <si>
    <t>LA REMAUDIERE</t>
  </si>
  <si>
    <t>DARBRES</t>
  </si>
  <si>
    <t>AVEZAN</t>
  </si>
  <si>
    <t>MARSONNAS</t>
  </si>
  <si>
    <t>MAYNAL</t>
  </si>
  <si>
    <t>SERMIERS</t>
  </si>
  <si>
    <t>RAVEAU</t>
  </si>
  <si>
    <t>CAMPS-LA-SOURCE</t>
  </si>
  <si>
    <t>THIEBLEMONT-FAREMONT</t>
  </si>
  <si>
    <t>VIGOUX</t>
  </si>
  <si>
    <t>CHARNECLES</t>
  </si>
  <si>
    <t>LASSOUTS</t>
  </si>
  <si>
    <t>LA CHAPELLE-ACHARD</t>
  </si>
  <si>
    <t>VULAINES-LES-PROVINS</t>
  </si>
  <si>
    <t>MENOUX</t>
  </si>
  <si>
    <t>BETTON-BETTONET</t>
  </si>
  <si>
    <t>AGEN-D'AVEYRON</t>
  </si>
  <si>
    <t>ATTANCOURT</t>
  </si>
  <si>
    <t>BEUGNY</t>
  </si>
  <si>
    <t>SORDE-L'ABBAYE</t>
  </si>
  <si>
    <t>COTIGNAC</t>
  </si>
  <si>
    <t>SAINT-NICOLAS-DE-PIERREPONT</t>
  </si>
  <si>
    <t>83000/83100/83200</t>
  </si>
  <si>
    <t>TOULON</t>
  </si>
  <si>
    <t>MONTGIROD</t>
  </si>
  <si>
    <t>GRAND'LANDES</t>
  </si>
  <si>
    <t>LAINES-AUX-BOIS</t>
  </si>
  <si>
    <t>RUVIGNY</t>
  </si>
  <si>
    <t>97200/97234</t>
  </si>
  <si>
    <t>FORT-DE-FRANCE</t>
  </si>
  <si>
    <t>SAINT-JUST-CHALEYSSIN</t>
  </si>
  <si>
    <t>ROZ-LANDRIEUX</t>
  </si>
  <si>
    <t>LOCOAL-MENDON</t>
  </si>
  <si>
    <t>BIGNICOURT</t>
  </si>
  <si>
    <t>CONCOURSON-SUR-LAYON</t>
  </si>
  <si>
    <t>SAINT-TROJAN</t>
  </si>
  <si>
    <t>CHANCAY</t>
  </si>
  <si>
    <t>58490</t>
  </si>
  <si>
    <t>SAINT-PARIZE-LE-CHATEL</t>
  </si>
  <si>
    <t>CALLEVILLE</t>
  </si>
  <si>
    <t>CHARCIER</t>
  </si>
  <si>
    <t>QUETTEVILLE</t>
  </si>
  <si>
    <t>TOMBLAINE</t>
  </si>
  <si>
    <t>10230</t>
  </si>
  <si>
    <t>MAILLY-LE-CAMP</t>
  </si>
  <si>
    <t>MOLEANS</t>
  </si>
  <si>
    <t>MOUSSEAUX-SUR-SEINE</t>
  </si>
  <si>
    <t>PLANZOLLES</t>
  </si>
  <si>
    <t>PLOUVIEN</t>
  </si>
  <si>
    <t>LAVAL-SUR-VOLOGNE</t>
  </si>
  <si>
    <t>HAIMS</t>
  </si>
  <si>
    <t>BRABANT-SUR-MEUSE</t>
  </si>
  <si>
    <t>LA HAUTE-CHAPELLE</t>
  </si>
  <si>
    <t>MONT-LES-SEURRE</t>
  </si>
  <si>
    <t>91100</t>
  </si>
  <si>
    <t>CORBEIL-ESSONNES</t>
  </si>
  <si>
    <t>SOST</t>
  </si>
  <si>
    <t>TERRAUBE</t>
  </si>
  <si>
    <t>VISMES</t>
  </si>
  <si>
    <t>CASTAIGNOS-SOUSLENS</t>
  </si>
  <si>
    <t>SAINT-GERMAIN-LE-VASSON</t>
  </si>
  <si>
    <t>MANRE</t>
  </si>
  <si>
    <t>SAINT-HIPPOLYTE-DU-FORT</t>
  </si>
  <si>
    <t>SAINT-MARTIN-AU-LAERT</t>
  </si>
  <si>
    <t>HINCKANGE</t>
  </si>
  <si>
    <t>SALINDRES</t>
  </si>
  <si>
    <t>SCHNECKENBUSCH</t>
  </si>
  <si>
    <t>ETERCY</t>
  </si>
  <si>
    <t>MASPIE-LALONQUERE-JUILLACQ</t>
  </si>
  <si>
    <t>LE DOURN</t>
  </si>
  <si>
    <t>CATHERVIELLE</t>
  </si>
  <si>
    <t>LIPOSTHEY</t>
  </si>
  <si>
    <t>CANTIN</t>
  </si>
  <si>
    <t>ORSAY</t>
  </si>
  <si>
    <t>BOLLWILLER</t>
  </si>
  <si>
    <t>ANTIST</t>
  </si>
  <si>
    <t>ORIOCOURT</t>
  </si>
  <si>
    <t>PUYLAUSIC</t>
  </si>
  <si>
    <t>CHAMEYRAT</t>
  </si>
  <si>
    <t>ARGELLIERS</t>
  </si>
  <si>
    <t>TIGNE</t>
  </si>
  <si>
    <t>SAINT-JUST-D'ARDECHE</t>
  </si>
  <si>
    <t>FROIDEVAUX</t>
  </si>
  <si>
    <t>LARGNY-SUR-AUTOMNE</t>
  </si>
  <si>
    <t>CAMIAC-ET-SAINT-DENIS</t>
  </si>
  <si>
    <t>PRINTZHEIM</t>
  </si>
  <si>
    <t>SAINT-GERMAIN-SUR-RENON</t>
  </si>
  <si>
    <t>CHAMP-SUR-BARSE</t>
  </si>
  <si>
    <t>SAINT-MICHEL-SUR-RHONE</t>
  </si>
  <si>
    <t>SAINT-PIERRE-LE-CHASTEL</t>
  </si>
  <si>
    <t>SAINT-JEAN-DE-CRIEULON</t>
  </si>
  <si>
    <t>LESPIELLE</t>
  </si>
  <si>
    <t>ERSTROFF</t>
  </si>
  <si>
    <t>DOLOMIEU</t>
  </si>
  <si>
    <t>OUDALLE</t>
  </si>
  <si>
    <t>MESNIL-LETTRE</t>
  </si>
  <si>
    <t>MONTILS</t>
  </si>
  <si>
    <t>LA BAZOCHE-GOUET</t>
  </si>
  <si>
    <t>TEISSIERES-DE-CORNET</t>
  </si>
  <si>
    <t>SAINT-PATERNE</t>
  </si>
  <si>
    <t>BASSE-RENTGEN</t>
  </si>
  <si>
    <t>PRE-SAINT-EVROULT</t>
  </si>
  <si>
    <t>CASTELBAJAC</t>
  </si>
  <si>
    <t>DINARD</t>
  </si>
  <si>
    <t>HERTZING</t>
  </si>
  <si>
    <t>OINVILLE-SAINT-LIPHARD</t>
  </si>
  <si>
    <t>VATRY</t>
  </si>
  <si>
    <t>BOURG-SAINT-ANDEOL</t>
  </si>
  <si>
    <t>HANNESCAMPS</t>
  </si>
  <si>
    <t>LONGUEIL</t>
  </si>
  <si>
    <t>VOUJEAUCOURT</t>
  </si>
  <si>
    <t>KERNILIS</t>
  </si>
  <si>
    <t>BERTREVILLE</t>
  </si>
  <si>
    <t>CORRIBERT</t>
  </si>
  <si>
    <t>SAINT-BAUDILLE-DE-LA-TOUR</t>
  </si>
  <si>
    <t>LALANDE-EN-SON</t>
  </si>
  <si>
    <t>BARGEME</t>
  </si>
  <si>
    <t>LACAZE</t>
  </si>
  <si>
    <t>PAYRIN-AUGMONTEL</t>
  </si>
  <si>
    <t>DAMPARIS</t>
  </si>
  <si>
    <t>PASSA</t>
  </si>
  <si>
    <t>GROFFLIERS</t>
  </si>
  <si>
    <t>RIVESALTES</t>
  </si>
  <si>
    <t>RUOMS</t>
  </si>
  <si>
    <t>ANGEAC-CHARENTE</t>
  </si>
  <si>
    <t>FEGREAC</t>
  </si>
  <si>
    <t>MEDONVILLE</t>
  </si>
  <si>
    <t>PARFONDRUPT</t>
  </si>
  <si>
    <t>HEBERVILLE</t>
  </si>
  <si>
    <t>VILLAINES-LA-JUHEL</t>
  </si>
  <si>
    <t>SAINT-ETIENNE-EN-COGLES</t>
  </si>
  <si>
    <t>CHARMENTRAY</t>
  </si>
  <si>
    <t>FONTIERS-CABARDES</t>
  </si>
  <si>
    <t>MARCIGNY-SOUS-THIL</t>
  </si>
  <si>
    <t>BELLEU</t>
  </si>
  <si>
    <t>LAVERNOSE-LACASSE</t>
  </si>
  <si>
    <t>VARENNES-EN-ARGONNE</t>
  </si>
  <si>
    <t>PONT-SAINT-MARD</t>
  </si>
  <si>
    <t>CHAMBON-SUR-DOLORE</t>
  </si>
  <si>
    <t>LE TAILLAN-MEDOC</t>
  </si>
  <si>
    <t>MAROLLES-EN-BEAUCE</t>
  </si>
  <si>
    <t>WIEGE-FATY</t>
  </si>
  <si>
    <t>SAINT-DIDIER-SUR-ARROUX</t>
  </si>
  <si>
    <t>MAISONNAY</t>
  </si>
  <si>
    <t>BONNEVEAU</t>
  </si>
  <si>
    <t>EPEAUTROLLES</t>
  </si>
  <si>
    <t>PRONLEROY</t>
  </si>
  <si>
    <t>BAS-EN-BASSET</t>
  </si>
  <si>
    <t>SAINT-MARTIN-DU-MANOIR</t>
  </si>
  <si>
    <t>VILLENEUVE-D'ALLIER</t>
  </si>
  <si>
    <t>SAINT-PATERNE-RACAN</t>
  </si>
  <si>
    <t>HARFLEUR</t>
  </si>
  <si>
    <t>LUE-EN-BAUGEOIS</t>
  </si>
  <si>
    <t>MERCUS-GARRABET</t>
  </si>
  <si>
    <t>MORMAISON</t>
  </si>
  <si>
    <t>MARLHES</t>
  </si>
  <si>
    <t>20171</t>
  </si>
  <si>
    <t>2A163</t>
  </si>
  <si>
    <t>MONACIA-D'AULLENE</t>
  </si>
  <si>
    <t>MOTEY-BESUCHE</t>
  </si>
  <si>
    <t>TEMPLEUVE</t>
  </si>
  <si>
    <t>PARCE-SUR-SARTHE</t>
  </si>
  <si>
    <t>TANUS</t>
  </si>
  <si>
    <t>MORSAIN</t>
  </si>
  <si>
    <t>STENAY</t>
  </si>
  <si>
    <t>FRICOURT</t>
  </si>
  <si>
    <t>ACHEN</t>
  </si>
  <si>
    <t>CABOURG</t>
  </si>
  <si>
    <t>MONT-ORMEL</t>
  </si>
  <si>
    <t>CHAUFOUR-LES-BONNIERES</t>
  </si>
  <si>
    <t>ORBEC</t>
  </si>
  <si>
    <t>LANMERIN</t>
  </si>
  <si>
    <t>NANCRAY</t>
  </si>
  <si>
    <t>ESCASSEFORT</t>
  </si>
  <si>
    <t>BRIGNOGAN-PLAGE</t>
  </si>
  <si>
    <t>VENDREST</t>
  </si>
  <si>
    <t>VITROLLES-EN-LUBERON</t>
  </si>
  <si>
    <t>SAINT-MAURICE-SUR-AVEYRON</t>
  </si>
  <si>
    <t>SAINT-AFFRIQUE</t>
  </si>
  <si>
    <t>SAINT-VINCENT-CRAMESNIL</t>
  </si>
  <si>
    <t>SAINT-PANTALEON-DE-LAPLEAU</t>
  </si>
  <si>
    <t>SAVIGNAC-DE-MIREMONT</t>
  </si>
  <si>
    <t>81380</t>
  </si>
  <si>
    <t>LESCURE-D'ALBIGEOIS</t>
  </si>
  <si>
    <t>MAGNANT</t>
  </si>
  <si>
    <t>VERDERONNE</t>
  </si>
  <si>
    <t>SAINT-PARDOUX-CORBIER</t>
  </si>
  <si>
    <t>DOUCY-EN-BAUGES</t>
  </si>
  <si>
    <t>PIERRE-MORAINS</t>
  </si>
  <si>
    <t>MERCENAC</t>
  </si>
  <si>
    <t>BOISSY-AUX-CAILLES</t>
  </si>
  <si>
    <t>SAINT-AMAND-EN-PUISAYE</t>
  </si>
  <si>
    <t>LA GENETE</t>
  </si>
  <si>
    <t>BREUCHOTTE</t>
  </si>
  <si>
    <t>2A272</t>
  </si>
  <si>
    <t>SARTENE</t>
  </si>
  <si>
    <t>VAUX-ROUILLAC</t>
  </si>
  <si>
    <t>VALFIN-SUR-VALOUSE</t>
  </si>
  <si>
    <t>PROUVY</t>
  </si>
  <si>
    <t>LANUEJOULS</t>
  </si>
  <si>
    <t>VILLEBOIS-LAVALETTE</t>
  </si>
  <si>
    <t>LIGNY-EN-CAMBRESIS</t>
  </si>
  <si>
    <t>MAILHOC</t>
  </si>
  <si>
    <t>VYT-LES-BELVOIR</t>
  </si>
  <si>
    <t>EYMEUX</t>
  </si>
  <si>
    <t>CHAMPFREMONT</t>
  </si>
  <si>
    <t>SASSEY</t>
  </si>
  <si>
    <t>ALMAYRAC</t>
  </si>
  <si>
    <t>GUEMENE-SUR-SCORFF</t>
  </si>
  <si>
    <t>TREFFIEUX</t>
  </si>
  <si>
    <t>VILLERS-SUR-TRIE</t>
  </si>
  <si>
    <t>TANCARVILLE</t>
  </si>
  <si>
    <t>CHALIERS</t>
  </si>
  <si>
    <t>GERSTHEIM</t>
  </si>
  <si>
    <t>SAINT-VALERY-SUR-SOMME</t>
  </si>
  <si>
    <t>LE SOUICH</t>
  </si>
  <si>
    <t>AIZECOURT-LE-HAUT</t>
  </si>
  <si>
    <t>SAINT-REMY-DES-LANDES</t>
  </si>
  <si>
    <t>QUERS</t>
  </si>
  <si>
    <t>JATXOU</t>
  </si>
  <si>
    <t>LA JEMAYE</t>
  </si>
  <si>
    <t>30127</t>
  </si>
  <si>
    <t>BEAUMONT-HAGUE</t>
  </si>
  <si>
    <t>TREMUSON</t>
  </si>
  <si>
    <t>FESSEVILLERS</t>
  </si>
  <si>
    <t>GIBLES</t>
  </si>
  <si>
    <t>TAVERNAY</t>
  </si>
  <si>
    <t>SAINT-CEZAIRE-SUR-SIAGNE</t>
  </si>
  <si>
    <t>DOMPIERRE-LES-EGLISES</t>
  </si>
  <si>
    <t>MONTUSSAN</t>
  </si>
  <si>
    <t>SAINT-LERY</t>
  </si>
  <si>
    <t>FOURONNES</t>
  </si>
  <si>
    <t>LES COMBES</t>
  </si>
  <si>
    <t>LA SAUZIERE-SAINT-JEAN</t>
  </si>
  <si>
    <t>BRICQUEVILLE-LA-BLOUETTE</t>
  </si>
  <si>
    <t>TAYAC</t>
  </si>
  <si>
    <t>BAINGHEN</t>
  </si>
  <si>
    <t>DAMIATTE</t>
  </si>
  <si>
    <t>LES AYNANS</t>
  </si>
  <si>
    <t>LES PINS</t>
  </si>
  <si>
    <t>SAINT-REVERIEN</t>
  </si>
  <si>
    <t>SERGENAUX</t>
  </si>
  <si>
    <t>LABRIHE</t>
  </si>
  <si>
    <t>EVAILLE</t>
  </si>
  <si>
    <t>CARNIERES</t>
  </si>
  <si>
    <t>CHELUN</t>
  </si>
  <si>
    <t>2A022</t>
  </si>
  <si>
    <t>ARRO</t>
  </si>
  <si>
    <t>ESTREES-LES-CRECY</t>
  </si>
  <si>
    <t>GRAVELOTTE</t>
  </si>
  <si>
    <t>CEZAIS</t>
  </si>
  <si>
    <t>MANDRES-SUR-VAIR</t>
  </si>
  <si>
    <t>CAMARADE</t>
  </si>
  <si>
    <t>56780</t>
  </si>
  <si>
    <t>ILE-AUX-MOINES</t>
  </si>
  <si>
    <t>SAVIGNY-EN-VERON</t>
  </si>
  <si>
    <t>BOREST</t>
  </si>
  <si>
    <t>78300</t>
  </si>
  <si>
    <t>POISSY</t>
  </si>
  <si>
    <t>BART</t>
  </si>
  <si>
    <t>VRIZY</t>
  </si>
  <si>
    <t>HON-HERGIES</t>
  </si>
  <si>
    <t>BAUNE</t>
  </si>
  <si>
    <t>GRAIGNES-MESNIL-ANGOT</t>
  </si>
  <si>
    <t>MASSEUBE</t>
  </si>
  <si>
    <t>GORZE</t>
  </si>
  <si>
    <t>PUYVERT</t>
  </si>
  <si>
    <t>GLANDON</t>
  </si>
  <si>
    <t>2B263</t>
  </si>
  <si>
    <t>ROSPIGLIANI</t>
  </si>
  <si>
    <t>MARIGNY-LE-CHATEL</t>
  </si>
  <si>
    <t>ODENAS</t>
  </si>
  <si>
    <t>ROUVRES-LES-VIGNES</t>
  </si>
  <si>
    <t>LA SAUSSAYE</t>
  </si>
  <si>
    <t>MARTINVAST</t>
  </si>
  <si>
    <t>BEHUARD</t>
  </si>
  <si>
    <t>MITTELHAUSEN</t>
  </si>
  <si>
    <t>SAINT-JULIEN-DU-PUY</t>
  </si>
  <si>
    <t>BURE-LES-TEMPLIERS</t>
  </si>
  <si>
    <t>MENIL</t>
  </si>
  <si>
    <t>MONDAVEZAN</t>
  </si>
  <si>
    <t>WOLSCHWILLER</t>
  </si>
  <si>
    <t>SAINT-GEORGES-DE-BOHON</t>
  </si>
  <si>
    <t>LESCOUT</t>
  </si>
  <si>
    <t>BERVILLE-SUR-SEINE</t>
  </si>
  <si>
    <t>ECHASSIERES</t>
  </si>
  <si>
    <t>97414</t>
  </si>
  <si>
    <t>ENTRE-DEUX</t>
  </si>
  <si>
    <t>SAINT-MICHEL-TUBOEUF</t>
  </si>
  <si>
    <t>BRUNVILLERS-LA-MOTTE</t>
  </si>
  <si>
    <t>VERNANTOIS</t>
  </si>
  <si>
    <t>HOUECOURT</t>
  </si>
  <si>
    <t>VAUDIGNY</t>
  </si>
  <si>
    <t>SAXI-BOURDON</t>
  </si>
  <si>
    <t>SAINT-JEAN-EN-ROYANS</t>
  </si>
  <si>
    <t>ECHINGHEN</t>
  </si>
  <si>
    <t>NOTRE-DAME-D'EPINE</t>
  </si>
  <si>
    <t>SIDIAILLES</t>
  </si>
  <si>
    <t>ASSON</t>
  </si>
  <si>
    <t>TRALAIGUES</t>
  </si>
  <si>
    <t>TRUCY-SUR-YONNE</t>
  </si>
  <si>
    <t>FONTAINE-MILON</t>
  </si>
  <si>
    <t>BOSC-EDELINE</t>
  </si>
  <si>
    <t>MANDRES-LES-ROSES</t>
  </si>
  <si>
    <t>SAINT-VIANCE</t>
  </si>
  <si>
    <t>SAINT-JEAN-DE-GONVILLE</t>
  </si>
  <si>
    <t>HEGENHEIM</t>
  </si>
  <si>
    <t>MALROY</t>
  </si>
  <si>
    <t>MORAND</t>
  </si>
  <si>
    <t>SAINT-PAUL-LES-ROMANS</t>
  </si>
  <si>
    <t>RUHANS</t>
  </si>
  <si>
    <t>BREUIL-MAGNE</t>
  </si>
  <si>
    <t>BRAGASSARGUES</t>
  </si>
  <si>
    <t>ESTREES-SAINT-DENIS</t>
  </si>
  <si>
    <t>JOUARRE</t>
  </si>
  <si>
    <t>MONTGAROULT</t>
  </si>
  <si>
    <t>SAINT-CRICQ-DU-GAVE</t>
  </si>
  <si>
    <t>CHAUX-LA-LOTIERE</t>
  </si>
  <si>
    <t>BEAUCHALOT</t>
  </si>
  <si>
    <t>LE BELIEU</t>
  </si>
  <si>
    <t>MAUREGNY-EN-HAYE</t>
  </si>
  <si>
    <t>DEHAULT</t>
  </si>
  <si>
    <t>BELVEZE</t>
  </si>
  <si>
    <t>MONTORY</t>
  </si>
  <si>
    <t>RANGEN</t>
  </si>
  <si>
    <t>SERRALONGUE</t>
  </si>
  <si>
    <t>NEUVILLE-SUR-OISE</t>
  </si>
  <si>
    <t>SAINT-GERMAIN-SUR-MORIN</t>
  </si>
  <si>
    <t>SORBIER</t>
  </si>
  <si>
    <t>MARAT</t>
  </si>
  <si>
    <t>95320</t>
  </si>
  <si>
    <t>SAINT-LEU-LA-FORET</t>
  </si>
  <si>
    <t>HERVELINGHEN</t>
  </si>
  <si>
    <t>77280</t>
  </si>
  <si>
    <t>OTHIS</t>
  </si>
  <si>
    <t>JEANCOURT</t>
  </si>
  <si>
    <t>DIEUDONNE</t>
  </si>
  <si>
    <t>LARCEVEAU-ARROS-CIBITS</t>
  </si>
  <si>
    <t>NERONDE</t>
  </si>
  <si>
    <t>SURY</t>
  </si>
  <si>
    <t>88540</t>
  </si>
  <si>
    <t>BUSSANG</t>
  </si>
  <si>
    <t>THORIGNE</t>
  </si>
  <si>
    <t>VERIA</t>
  </si>
  <si>
    <t>LUSSE</t>
  </si>
  <si>
    <t>CALAVANTE</t>
  </si>
  <si>
    <t>BETTLACH</t>
  </si>
  <si>
    <t>BUIRE</t>
  </si>
  <si>
    <t>DULLIN</t>
  </si>
  <si>
    <t>ANDLAU</t>
  </si>
  <si>
    <t>SAINT-CIRQ-LAPOPIE</t>
  </si>
  <si>
    <t>SAINT-PARDOUX-LE-VIEUX</t>
  </si>
  <si>
    <t>BARRY</t>
  </si>
  <si>
    <t>BIONVILLE</t>
  </si>
  <si>
    <t>SAINT-ETIENNE-SUR-CHALARONNE</t>
  </si>
  <si>
    <t>MONTRIGAUD</t>
  </si>
  <si>
    <t>CAZERES</t>
  </si>
  <si>
    <t>SAINT-ETIENNE-EN-DEVOLUY</t>
  </si>
  <si>
    <t>REUTENBOURG</t>
  </si>
  <si>
    <t>OURSEL-MAISON</t>
  </si>
  <si>
    <t>AYDAT</t>
  </si>
  <si>
    <t>JEUXEY</t>
  </si>
  <si>
    <t>OROER</t>
  </si>
  <si>
    <t>SAINT-ARAILLES</t>
  </si>
  <si>
    <t>AMOU</t>
  </si>
  <si>
    <t>LONGVIC</t>
  </si>
  <si>
    <t>ROMILLY-SUR-AIGRE</t>
  </si>
  <si>
    <t>ECHAY</t>
  </si>
  <si>
    <t>PLOUEC-DU-TRIEUX</t>
  </si>
  <si>
    <t>HARDANCOURT</t>
  </si>
  <si>
    <t>VILLES</t>
  </si>
  <si>
    <t>VACHERAUVILLE</t>
  </si>
  <si>
    <t>MENET</t>
  </si>
  <si>
    <t>AUBERIVES-EN-ROYANS</t>
  </si>
  <si>
    <t>ARTHENAS</t>
  </si>
  <si>
    <t>RUEDERBACH</t>
  </si>
  <si>
    <t>YSSAC-LA-TOURETTE</t>
  </si>
  <si>
    <t>76950</t>
  </si>
  <si>
    <t>LES GRANDES-VENTES</t>
  </si>
  <si>
    <t>VALDERIES</t>
  </si>
  <si>
    <t>SAINT-MARTIN-LE-VIEUX</t>
  </si>
  <si>
    <t>BURZY</t>
  </si>
  <si>
    <t>GAYE</t>
  </si>
  <si>
    <t>MONTAGNAC-D'AUBEROCHE</t>
  </si>
  <si>
    <t>VELLEXON-QUEUTREY-ET-VAUDEY</t>
  </si>
  <si>
    <t>DOMPTAIL-EN-L'AIR</t>
  </si>
  <si>
    <t>SAVOLLES</t>
  </si>
  <si>
    <t>REGNEVILLE-SUR-MER</t>
  </si>
  <si>
    <t>ROUCOURT</t>
  </si>
  <si>
    <t>ESMOULINS</t>
  </si>
  <si>
    <t>MAISONS-LES-SOULAINES</t>
  </si>
  <si>
    <t>GARLAN</t>
  </si>
  <si>
    <t>65420</t>
  </si>
  <si>
    <t>IBOS</t>
  </si>
  <si>
    <t>CHAUFOUR-NOTRE-DAME</t>
  </si>
  <si>
    <t>JAILLY-LES-MOULINS</t>
  </si>
  <si>
    <t>SAINT-PIERRE-DE-BOEUF</t>
  </si>
  <si>
    <t>MOULES-ET-BAUCELS</t>
  </si>
  <si>
    <t>FAUMONT</t>
  </si>
  <si>
    <t>SAINT-OUEN-DES-BESACES</t>
  </si>
  <si>
    <t>CHOILLEY-DARDENAY</t>
  </si>
  <si>
    <t>SERON</t>
  </si>
  <si>
    <t>CHENY</t>
  </si>
  <si>
    <t>BRUYERES-LE-CHATEL</t>
  </si>
  <si>
    <t>ROQUECOURBE</t>
  </si>
  <si>
    <t>LA POUEZE</t>
  </si>
  <si>
    <t>SAINT-ANDRE-DE-LIDON</t>
  </si>
  <si>
    <t>VALJOUZE</t>
  </si>
  <si>
    <t>NANCAY</t>
  </si>
  <si>
    <t>76580</t>
  </si>
  <si>
    <t>LE TRAIT</t>
  </si>
  <si>
    <t>CASTELFRANC</t>
  </si>
  <si>
    <t>BRETAGNOLLES</t>
  </si>
  <si>
    <t>BRASLOU</t>
  </si>
  <si>
    <t>TRONCHY</t>
  </si>
  <si>
    <t>BEYRIE-SUR-JOYEUSE</t>
  </si>
  <si>
    <t>ASQUINS</t>
  </si>
  <si>
    <t>FLAVIGNY-SUR-OZERAIN</t>
  </si>
  <si>
    <t>GIRONVILLE-SUR-ESSONNE</t>
  </si>
  <si>
    <t>UNIAS</t>
  </si>
  <si>
    <t>VILLEY-SAINT-ETIENNE</t>
  </si>
  <si>
    <t>GRAYSSAS</t>
  </si>
  <si>
    <t>LE BOURG-SAINT-LEONARD</t>
  </si>
  <si>
    <t>THEMINES</t>
  </si>
  <si>
    <t>PONTPOINT</t>
  </si>
  <si>
    <t>54810</t>
  </si>
  <si>
    <t>LONGLAVILLE</t>
  </si>
  <si>
    <t>LAUNSTROFF</t>
  </si>
  <si>
    <t>JEZAINVILLE</t>
  </si>
  <si>
    <t>NIDERVILLER</t>
  </si>
  <si>
    <t>62155</t>
  </si>
  <si>
    <t>MERLIMONT</t>
  </si>
  <si>
    <t>LARNOD</t>
  </si>
  <si>
    <t>CHEMERE-LE-ROI</t>
  </si>
  <si>
    <t>CLELLES</t>
  </si>
  <si>
    <t>SAINT-MARTIN-LA-MEANNE</t>
  </si>
  <si>
    <t>COURCELLES-LES-MONTBARD</t>
  </si>
  <si>
    <t>76980</t>
  </si>
  <si>
    <t>VEULES-LES-ROSES</t>
  </si>
  <si>
    <t>VULBENS</t>
  </si>
  <si>
    <t>93320</t>
  </si>
  <si>
    <t>LES PAVILLONS-SOUS-BOIS</t>
  </si>
  <si>
    <t>RIBAGNAC</t>
  </si>
  <si>
    <t>SAINT-ETIENNE-DU-GRES</t>
  </si>
  <si>
    <t>DESANDANS</t>
  </si>
  <si>
    <t>L'HOTELLERIE</t>
  </si>
  <si>
    <t>CONSAC</t>
  </si>
  <si>
    <t>BOULAUR</t>
  </si>
  <si>
    <t>MAREUIL-SUR-OURCQ</t>
  </si>
  <si>
    <t>JULLY-SUR-SARCE</t>
  </si>
  <si>
    <t>CREVECHAMPS</t>
  </si>
  <si>
    <t>AUBERMESNIL-BEAUMAIS</t>
  </si>
  <si>
    <t>LEDAT</t>
  </si>
  <si>
    <t>SAINT-PREUIL</t>
  </si>
  <si>
    <t>ABBANS-DESSOUS</t>
  </si>
  <si>
    <t>RETOURNAC</t>
  </si>
  <si>
    <t>ALENCON</t>
  </si>
  <si>
    <t>SAINT-JUST-IBARRE</t>
  </si>
  <si>
    <t>SAINT-YRIEIX-SOUS-AIXE</t>
  </si>
  <si>
    <t>LES ALLUETS-LE-ROI</t>
  </si>
  <si>
    <t>BALTZENHEIM</t>
  </si>
  <si>
    <t>LAGEON</t>
  </si>
  <si>
    <t>FLACOURT</t>
  </si>
  <si>
    <t>17890</t>
  </si>
  <si>
    <t>CHAILLEVETTE</t>
  </si>
  <si>
    <t>MARCILLY-LE-HAYER</t>
  </si>
  <si>
    <t>ARENTHON</t>
  </si>
  <si>
    <t>NOINTOT</t>
  </si>
  <si>
    <t>FROIDEFONTAINE</t>
  </si>
  <si>
    <t>BOLBEC</t>
  </si>
  <si>
    <t>BOUSSAIS</t>
  </si>
  <si>
    <t>LA FAGE-SAINT-JULIEN</t>
  </si>
  <si>
    <t>SAUMUR</t>
  </si>
  <si>
    <t>LOMMERANGE</t>
  </si>
  <si>
    <t>MELJAC</t>
  </si>
  <si>
    <t>TRELINS</t>
  </si>
  <si>
    <t>13821</t>
  </si>
  <si>
    <t>LA PENNE-SUR-HUVEAUNE</t>
  </si>
  <si>
    <t>BONVILLER</t>
  </si>
  <si>
    <t>SENLISSE</t>
  </si>
  <si>
    <t>VEZOT</t>
  </si>
  <si>
    <t>ISLES-LES-MELDEUSES</t>
  </si>
  <si>
    <t>LAMOTHE-CASSEL</t>
  </si>
  <si>
    <t>BEZ-ET-ESPARON</t>
  </si>
  <si>
    <t>MAGRIE</t>
  </si>
  <si>
    <t>SAINT-JOIRE</t>
  </si>
  <si>
    <t>BIERT</t>
  </si>
  <si>
    <t>ORDONNAZ</t>
  </si>
  <si>
    <t>BAILLARGUES</t>
  </si>
  <si>
    <t>CHATENEY</t>
  </si>
  <si>
    <t>CLASTRES</t>
  </si>
  <si>
    <t>FOIX</t>
  </si>
  <si>
    <t>LABRY</t>
  </si>
  <si>
    <t>MENDITTE</t>
  </si>
  <si>
    <t>VILLANDRAUT</t>
  </si>
  <si>
    <t>POTELLE</t>
  </si>
  <si>
    <t>PLOERDUT</t>
  </si>
  <si>
    <t>CHAMBOURCY</t>
  </si>
  <si>
    <t>BIHUCOURT</t>
  </si>
  <si>
    <t>MAZINGHIEN</t>
  </si>
  <si>
    <t>74220</t>
  </si>
  <si>
    <t>LA CLUSAZ</t>
  </si>
  <si>
    <t>SIGLOY</t>
  </si>
  <si>
    <t>LACOMMANDE</t>
  </si>
  <si>
    <t>PALLEGNEY</t>
  </si>
  <si>
    <t>VILLY-LE-MOUTIER</t>
  </si>
  <si>
    <t>BUZAN</t>
  </si>
  <si>
    <t>LOGELHEIM</t>
  </si>
  <si>
    <t>DAMBLAIN</t>
  </si>
  <si>
    <t>LAVERDINES</t>
  </si>
  <si>
    <t>AUBENTON</t>
  </si>
  <si>
    <t>THIBIVILLERS</t>
  </si>
  <si>
    <t>AUQUAINVILLE</t>
  </si>
  <si>
    <t>QUENNE</t>
  </si>
  <si>
    <t>SAINT-GERMAIN-AU-MONT-D'OR</t>
  </si>
  <si>
    <t>NEVY-SUR-SEILLE</t>
  </si>
  <si>
    <t>LANDEBAERON</t>
  </si>
  <si>
    <t>COULMIER-LE-SEC</t>
  </si>
  <si>
    <t>CORNIMONT</t>
  </si>
  <si>
    <t>LESCHES-EN-DIOIS</t>
  </si>
  <si>
    <t>MONBARDON</t>
  </si>
  <si>
    <t>ETRICOURT-MANANCOURT</t>
  </si>
  <si>
    <t>MONTERBLANC</t>
  </si>
  <si>
    <t>CHARPEY</t>
  </si>
  <si>
    <t>COURNIOU</t>
  </si>
  <si>
    <t>IZIER</t>
  </si>
  <si>
    <t>SUC-ET-SENTENAC</t>
  </si>
  <si>
    <t>MORANGLES</t>
  </si>
  <si>
    <t>CAPPEL</t>
  </si>
  <si>
    <t>COUDURES</t>
  </si>
  <si>
    <t>ALETTE</t>
  </si>
  <si>
    <t>PECHBUSQUE</t>
  </si>
  <si>
    <t>SOUPEX</t>
  </si>
  <si>
    <t>AUBONCOURT-VAUZELLES</t>
  </si>
  <si>
    <t>THERVAY</t>
  </si>
  <si>
    <t>VENTEUIL</t>
  </si>
  <si>
    <t>SAINT-REMY-SOUS-BARBUISE</t>
  </si>
  <si>
    <t>URCEL</t>
  </si>
  <si>
    <t>ARCHIGNY</t>
  </si>
  <si>
    <t>TREZIOUX</t>
  </si>
  <si>
    <t>VILLATE</t>
  </si>
  <si>
    <t>13810</t>
  </si>
  <si>
    <t>EYGALIERES</t>
  </si>
  <si>
    <t>POURU-AUX-BOIS</t>
  </si>
  <si>
    <t>ARX</t>
  </si>
  <si>
    <t>PUNEROT</t>
  </si>
  <si>
    <t>SIZUN</t>
  </si>
  <si>
    <t>FAHY-LES-AUTREY</t>
  </si>
  <si>
    <t>COMBRONDE</t>
  </si>
  <si>
    <t>MOTREFF</t>
  </si>
  <si>
    <t>TORIGNI-SUR-VIRE</t>
  </si>
  <si>
    <t>SAINT-LAURENT-D'OINGT</t>
  </si>
  <si>
    <t>60930</t>
  </si>
  <si>
    <t>BAILLEUL-SUR-THERAIN</t>
  </si>
  <si>
    <t>KINDWILLER</t>
  </si>
  <si>
    <t>PRECHACQ-JOSBAIG</t>
  </si>
  <si>
    <t>DEVROUZE</t>
  </si>
  <si>
    <t>CRAMOISY</t>
  </si>
  <si>
    <t>95310</t>
  </si>
  <si>
    <t>SAINT-OUEN-L'AUMONE</t>
  </si>
  <si>
    <t>VOUREY</t>
  </si>
  <si>
    <t>PONTIACQ-VIELLEPINTE</t>
  </si>
  <si>
    <t>CLOS-FONTAINE</t>
  </si>
  <si>
    <t>SASSENAY</t>
  </si>
  <si>
    <t>LE FOLGOET</t>
  </si>
  <si>
    <t>CHASSANT</t>
  </si>
  <si>
    <t>BASSILLON-VAUZE</t>
  </si>
  <si>
    <t>SAINT-JEAN-CAP-FERRAT</t>
  </si>
  <si>
    <t>DOMPIERRE-SUR-HELPE</t>
  </si>
  <si>
    <t>MONCEAUX-SUR-DORDOGNE</t>
  </si>
  <si>
    <t>FROMENTAL</t>
  </si>
  <si>
    <t>LE TREMBLAY-SUR-MAULDRE</t>
  </si>
  <si>
    <t>67112</t>
  </si>
  <si>
    <t>BREUSCHWICKERSHEIM</t>
  </si>
  <si>
    <t>AURIBEAU</t>
  </si>
  <si>
    <t>BAIVES</t>
  </si>
  <si>
    <t>RUILLE-EN-CHAMPAGNE</t>
  </si>
  <si>
    <t>HAYES</t>
  </si>
  <si>
    <t>REINHARDSMUNSTER</t>
  </si>
  <si>
    <t>IDRON</t>
  </si>
  <si>
    <t>BIDING</t>
  </si>
  <si>
    <t>PERQUIE</t>
  </si>
  <si>
    <t>JUVANCOURT</t>
  </si>
  <si>
    <t>VANDELAINVILLE</t>
  </si>
  <si>
    <t>SAINT-ANTHOT</t>
  </si>
  <si>
    <t>2A191</t>
  </si>
  <si>
    <t>OLMICCIA</t>
  </si>
  <si>
    <t>59810</t>
  </si>
  <si>
    <t>LESQUIN</t>
  </si>
  <si>
    <t>SEMMADON</t>
  </si>
  <si>
    <t>GENTELLES</t>
  </si>
  <si>
    <t>REULLE-VERGY</t>
  </si>
  <si>
    <t>SCEAUTRES</t>
  </si>
  <si>
    <t>SAINT-VAAST-D'EQUIQUEVILLE</t>
  </si>
  <si>
    <t>PLUZUNET</t>
  </si>
  <si>
    <t>AMBONVILLE</t>
  </si>
  <si>
    <t>COLMARS</t>
  </si>
  <si>
    <t>59179</t>
  </si>
  <si>
    <t>FENAIN</t>
  </si>
  <si>
    <t>CHARRE</t>
  </si>
  <si>
    <t>CREGOLS</t>
  </si>
  <si>
    <t>MONCEL-SUR-VAIR</t>
  </si>
  <si>
    <t>DAVEZIEUX</t>
  </si>
  <si>
    <t>BETTWILLER</t>
  </si>
  <si>
    <t>OUDINCOURT</t>
  </si>
  <si>
    <t>BRUERE-ALLICHAMPS</t>
  </si>
  <si>
    <t>JUIGNETTES</t>
  </si>
  <si>
    <t>VINANTES</t>
  </si>
  <si>
    <t>CHAMPAGNE-EN-VALROMEY</t>
  </si>
  <si>
    <t>VILLENAVE-D'ORNON</t>
  </si>
  <si>
    <t>LEPINAS</t>
  </si>
  <si>
    <t>ARGENS-MINERVOIS</t>
  </si>
  <si>
    <t>EPENSE</t>
  </si>
  <si>
    <t>ROUXEVILLE</t>
  </si>
  <si>
    <t>LE SARS</t>
  </si>
  <si>
    <t>SIGUER</t>
  </si>
  <si>
    <t>CHIGY</t>
  </si>
  <si>
    <t>AURIS</t>
  </si>
  <si>
    <t>ELVANGE</t>
  </si>
  <si>
    <t>PERROU</t>
  </si>
  <si>
    <t>SAINT-AUBIN-DE-TERREGATTE</t>
  </si>
  <si>
    <t>ARRAUTE-CHARRITTE</t>
  </si>
  <si>
    <t>LUZENAC</t>
  </si>
  <si>
    <t>LAMERAC</t>
  </si>
  <si>
    <t>MORLINCOURT</t>
  </si>
  <si>
    <t>BEAUTEVILLE</t>
  </si>
  <si>
    <t>PRIX-LES-MEZIERES</t>
  </si>
  <si>
    <t>VRAINCOURT</t>
  </si>
  <si>
    <t>LE PERTHUS</t>
  </si>
  <si>
    <t>DIGNY</t>
  </si>
  <si>
    <t>CHAMPROND-EN-PERCHET</t>
  </si>
  <si>
    <t>PORT-LE-GRAND</t>
  </si>
  <si>
    <t>MONTSERET</t>
  </si>
  <si>
    <t>VIMY</t>
  </si>
  <si>
    <t>MOLIETS-ET-MAA</t>
  </si>
  <si>
    <t>BROUENNES</t>
  </si>
  <si>
    <t>VAUDRY</t>
  </si>
  <si>
    <t>VAUREILLES</t>
  </si>
  <si>
    <t>PREMIAN</t>
  </si>
  <si>
    <t>CHATRES-LA-FORET</t>
  </si>
  <si>
    <t>MARCHEZAIS</t>
  </si>
  <si>
    <t>TRUGNY</t>
  </si>
  <si>
    <t>ROUGIERS</t>
  </si>
  <si>
    <t>2A258</t>
  </si>
  <si>
    <t>RENNO</t>
  </si>
  <si>
    <t>MENEAC</t>
  </si>
  <si>
    <t>91350</t>
  </si>
  <si>
    <t>VILLERS-ROBERT</t>
  </si>
  <si>
    <t>AUBVILLERS</t>
  </si>
  <si>
    <t>LA CHAPELLE-CARO</t>
  </si>
  <si>
    <t>GAUGEAC</t>
  </si>
  <si>
    <t>2B152</t>
  </si>
  <si>
    <t>LURI</t>
  </si>
  <si>
    <t>VALBONNAIS</t>
  </si>
  <si>
    <t>COMBEFA</t>
  </si>
  <si>
    <t>POULAINES</t>
  </si>
  <si>
    <t>SAINT-MELOIR-DES-BOIS</t>
  </si>
  <si>
    <t>ROSET-FLUANS</t>
  </si>
  <si>
    <t>DAMPIERRE-SUR-AVRE</t>
  </si>
  <si>
    <t>LA GRAND-COMBE</t>
  </si>
  <si>
    <t>JUIF</t>
  </si>
  <si>
    <t>NICEY</t>
  </si>
  <si>
    <t>PLOUGONVER</t>
  </si>
  <si>
    <t>TANINGES</t>
  </si>
  <si>
    <t>COULMIERS</t>
  </si>
  <si>
    <t>LE CHANGE</t>
  </si>
  <si>
    <t>VILLEBLEVIN</t>
  </si>
  <si>
    <t>SAINT-CENERE</t>
  </si>
  <si>
    <t>OLLEZY</t>
  </si>
  <si>
    <t>VILLERS-CHATEL</t>
  </si>
  <si>
    <t>JAULZY</t>
  </si>
  <si>
    <t>44570</t>
  </si>
  <si>
    <t>TRIGNAC</t>
  </si>
  <si>
    <t>MARCELLAZ</t>
  </si>
  <si>
    <t>DIEBOLSHEIM</t>
  </si>
  <si>
    <t>83490</t>
  </si>
  <si>
    <t>LE MUY</t>
  </si>
  <si>
    <t>PLOEMEL</t>
  </si>
  <si>
    <t>LANNERAY</t>
  </si>
  <si>
    <t>PAYRE</t>
  </si>
  <si>
    <t>THEZA</t>
  </si>
  <si>
    <t>DRUGEAC</t>
  </si>
  <si>
    <t>13470</t>
  </si>
  <si>
    <t>CARNOUX-EN-PROVENCE</t>
  </si>
  <si>
    <t>LE CROZET</t>
  </si>
  <si>
    <t>CUMIERES-LE-MORT-HOMME</t>
  </si>
  <si>
    <t>SAINT-GEORGES-SUR-CHER</t>
  </si>
  <si>
    <t>MIRVILLE</t>
  </si>
  <si>
    <t>VILLEGONGIS</t>
  </si>
  <si>
    <t>BREVAINVILLE</t>
  </si>
  <si>
    <t>ASCHERES-LE-MARCHE</t>
  </si>
  <si>
    <t>LE MONASTERE</t>
  </si>
  <si>
    <t>MARIGNIEU</t>
  </si>
  <si>
    <t>OLLOIX</t>
  </si>
  <si>
    <t>LANSARGUES</t>
  </si>
  <si>
    <t>LONGROY</t>
  </si>
  <si>
    <t>SAMPIGNY</t>
  </si>
  <si>
    <t>CRAYWICK</t>
  </si>
  <si>
    <t>HAN-LES-JUVIGNY</t>
  </si>
  <si>
    <t>MALONS-ET-ELZE</t>
  </si>
  <si>
    <t>CHAMPHOL</t>
  </si>
  <si>
    <t>LA FERTE-MACE</t>
  </si>
  <si>
    <t>CHAVANNES-LES-GRANDS</t>
  </si>
  <si>
    <t>MONTIGNY-LES-VESOUL</t>
  </si>
  <si>
    <t>OPPEDETTE</t>
  </si>
  <si>
    <t>MESLAY-LE-VIDAME</t>
  </si>
  <si>
    <t>MONTEREAU</t>
  </si>
  <si>
    <t>AICIRITS-CAMOU-SUHAST</t>
  </si>
  <si>
    <t>COURCELLES-SUR-VOIRE</t>
  </si>
  <si>
    <t>MISSECLE</t>
  </si>
  <si>
    <t>ARDIEGE</t>
  </si>
  <si>
    <t>ARS-EN-RE</t>
  </si>
  <si>
    <t>HENNEBONT</t>
  </si>
  <si>
    <t>HOHROD</t>
  </si>
  <si>
    <t>20200/20600</t>
  </si>
  <si>
    <t>2B033</t>
  </si>
  <si>
    <t>BASTIA</t>
  </si>
  <si>
    <t>ROEZE-SUR-SARTHE</t>
  </si>
  <si>
    <t>LE SOURN</t>
  </si>
  <si>
    <t>SAINT-DIDIER-EN-BRIONNAIS</t>
  </si>
  <si>
    <t>SAINT-NAZAIRE-EN-ROYANS</t>
  </si>
  <si>
    <t>SANGHEN</t>
  </si>
  <si>
    <t>ANNEZIN</t>
  </si>
  <si>
    <t>FANJEAUX</t>
  </si>
  <si>
    <t>CREMPIGNY-BONNEGUETE</t>
  </si>
  <si>
    <t>83260</t>
  </si>
  <si>
    <t>LA CRAU</t>
  </si>
  <si>
    <t>JAIGNES</t>
  </si>
  <si>
    <t>GRETZ-ARMAINVILLIERS</t>
  </si>
  <si>
    <t>CAMPLONG-D'AUDE</t>
  </si>
  <si>
    <t>ROUECOURT</t>
  </si>
  <si>
    <t>PUY-GUILLAUME</t>
  </si>
  <si>
    <t>VOULANGIS</t>
  </si>
  <si>
    <t>CHENEVELLES</t>
  </si>
  <si>
    <t>CALLAS</t>
  </si>
  <si>
    <t>BLESSY</t>
  </si>
  <si>
    <t>LABEAUME</t>
  </si>
  <si>
    <t>SAINT-MARTIN-DE-BOUBAUX</t>
  </si>
  <si>
    <t>CASCASTEL-DES-CORBIERES</t>
  </si>
  <si>
    <t>ROUFFIAC-TOLOSAN</t>
  </si>
  <si>
    <t>FEUILLA</t>
  </si>
  <si>
    <t>BOURDALAT</t>
  </si>
  <si>
    <t>CASSON</t>
  </si>
  <si>
    <t>LIEU-SAINT-AMAND</t>
  </si>
  <si>
    <t>BAILLEUL-LA-VALLEE</t>
  </si>
  <si>
    <t>WINGERSHEIM</t>
  </si>
  <si>
    <t>ARMILLAC</t>
  </si>
  <si>
    <t>SAINT-MARTIN-DE-LENNE</t>
  </si>
  <si>
    <t>SEIGNELAY</t>
  </si>
  <si>
    <t>THOUARS</t>
  </si>
  <si>
    <t>MALZY</t>
  </si>
  <si>
    <t>GRANDECOURT</t>
  </si>
  <si>
    <t>MAURESSARGUES</t>
  </si>
  <si>
    <t>FRASNAY-REUGNY</t>
  </si>
  <si>
    <t>SAZERAY</t>
  </si>
  <si>
    <t>SAINT-PIERRE-D'AURILLAC</t>
  </si>
  <si>
    <t>MONTALZAT</t>
  </si>
  <si>
    <t>COURRY</t>
  </si>
  <si>
    <t>BAYON-SUR-GIRONDE</t>
  </si>
  <si>
    <t>SOULAGES</t>
  </si>
  <si>
    <t>BRUNEMONT</t>
  </si>
  <si>
    <t>AMPUIS</t>
  </si>
  <si>
    <t>SUISSE</t>
  </si>
  <si>
    <t>GIGNAT</t>
  </si>
  <si>
    <t>NIJON</t>
  </si>
  <si>
    <t>TREGUIER</t>
  </si>
  <si>
    <t>LA CHAISE-DIEU</t>
  </si>
  <si>
    <t>85160</t>
  </si>
  <si>
    <t>SAINT-JEAN-DE-MONTS</t>
  </si>
  <si>
    <t>LAHAYMEIX</t>
  </si>
  <si>
    <t>4180</t>
  </si>
  <si>
    <t>TREIZE-VENTS</t>
  </si>
  <si>
    <t>2B219</t>
  </si>
  <si>
    <t>PIEDICROCE</t>
  </si>
  <si>
    <t>BIEFMORIN</t>
  </si>
  <si>
    <t>AUBERVILLE-LA-MANUEL</t>
  </si>
  <si>
    <t>LAFITOLE</t>
  </si>
  <si>
    <t>VEYRINES-DE-DOMME</t>
  </si>
  <si>
    <t>LA VIEILLE-LOYE</t>
  </si>
  <si>
    <t>PEGAIROLLES-DE-L'ESCALETTE</t>
  </si>
  <si>
    <t>SAINT-HILAIRE-BONNEVAL</t>
  </si>
  <si>
    <t>SAINT-MENGE</t>
  </si>
  <si>
    <t>NOVILLARD</t>
  </si>
  <si>
    <t>VELVING</t>
  </si>
  <si>
    <t>MONTFLOURS</t>
  </si>
  <si>
    <t>SAINT-ANTOINE-DE-BREUILH</t>
  </si>
  <si>
    <t>BRUSSIEU</t>
  </si>
  <si>
    <t>MERVILLER</t>
  </si>
  <si>
    <t>EMLINGEN</t>
  </si>
  <si>
    <t>38144</t>
  </si>
  <si>
    <t>NOTRE-DAME-DE-VAULX</t>
  </si>
  <si>
    <t>CHATILLON-LA-BORDE</t>
  </si>
  <si>
    <t>MONTIERAMEY</t>
  </si>
  <si>
    <t>ROCROI</t>
  </si>
  <si>
    <t>SAINT-GIBRIEN</t>
  </si>
  <si>
    <t>95600</t>
  </si>
  <si>
    <t>EAUBONNE</t>
  </si>
  <si>
    <t>BOZEL</t>
  </si>
  <si>
    <t>HODENC-EN-BRAY</t>
  </si>
  <si>
    <t>SOUMONT</t>
  </si>
  <si>
    <t>GRUGNY</t>
  </si>
  <si>
    <t>TAILLIS</t>
  </si>
  <si>
    <t>LE GENEST-SAINT-ISLE</t>
  </si>
  <si>
    <t>MARTIGNARGUES</t>
  </si>
  <si>
    <t>NOAILLAC</t>
  </si>
  <si>
    <t>GUILLOS</t>
  </si>
  <si>
    <t>VERDACHES</t>
  </si>
  <si>
    <t>SAINT-HIPPOLYTE-LE-GRAVEYRON</t>
  </si>
  <si>
    <t>SAINT-VINCENT-LA-CHATRE</t>
  </si>
  <si>
    <t>SAINT-GONDON</t>
  </si>
  <si>
    <t>LA ROTHIERE</t>
  </si>
  <si>
    <t>97410</t>
  </si>
  <si>
    <t>ANGICOURT</t>
  </si>
  <si>
    <t>MUTIGNY</t>
  </si>
  <si>
    <t>LA FORET-DE-TESSE</t>
  </si>
  <si>
    <t>93130</t>
  </si>
  <si>
    <t>NOISY-LE-SEC</t>
  </si>
  <si>
    <t>XAINTRAILLES</t>
  </si>
  <si>
    <t>LISLE-EN-BARROIS</t>
  </si>
  <si>
    <t>SORBON</t>
  </si>
  <si>
    <t>LEMMES</t>
  </si>
  <si>
    <t>GAVAUDUN</t>
  </si>
  <si>
    <t>VENDAT</t>
  </si>
  <si>
    <t>VONGNES</t>
  </si>
  <si>
    <t>MARINGUES</t>
  </si>
  <si>
    <t>GARINDEIN</t>
  </si>
  <si>
    <t>LIANCOURT</t>
  </si>
  <si>
    <t>BILTZHEIM</t>
  </si>
  <si>
    <t>MIRANDOL-BOURGNOUNAC</t>
  </si>
  <si>
    <t>NEANT-SUR-YVEL</t>
  </si>
  <si>
    <t>MIRAMONT-LATOUR</t>
  </si>
  <si>
    <t>CHAMPILLON</t>
  </si>
  <si>
    <t>59113</t>
  </si>
  <si>
    <t>SECLIN</t>
  </si>
  <si>
    <t>THENISY</t>
  </si>
  <si>
    <t>50100/50130</t>
  </si>
  <si>
    <t>CHERBOURG-OCTEVILLE</t>
  </si>
  <si>
    <t>CROUTOY</t>
  </si>
  <si>
    <t>SOULAN</t>
  </si>
  <si>
    <t>LARAGNE-MONTEGLIN</t>
  </si>
  <si>
    <t>PRUZILLY</t>
  </si>
  <si>
    <t>VERGONGHEON</t>
  </si>
  <si>
    <t>LE THIL</t>
  </si>
  <si>
    <t>SAINT-POUANGE</t>
  </si>
  <si>
    <t>LA SEAUVE-SUR-SEMENE</t>
  </si>
  <si>
    <t>LE BOUSQUET-D'ORB</t>
  </si>
  <si>
    <t>PETIT-CROIX</t>
  </si>
  <si>
    <t>33114</t>
  </si>
  <si>
    <t>LE BARP</t>
  </si>
  <si>
    <t>MEON</t>
  </si>
  <si>
    <t>34510</t>
  </si>
  <si>
    <t>FLORENSAC</t>
  </si>
  <si>
    <t>LA MADELEINE-SUR-LOING</t>
  </si>
  <si>
    <t>NAOURS</t>
  </si>
  <si>
    <t>DUHORT-BACHEN</t>
  </si>
  <si>
    <t>LUGY</t>
  </si>
  <si>
    <t>LINTHELLES</t>
  </si>
  <si>
    <t>30240</t>
  </si>
  <si>
    <t>LE GRAU-DU-ROI</t>
  </si>
  <si>
    <t>RETHOVILLE</t>
  </si>
  <si>
    <t>CHIMILIN</t>
  </si>
  <si>
    <t>MANCE</t>
  </si>
  <si>
    <t>AURIN</t>
  </si>
  <si>
    <t>ARRIEN</t>
  </si>
  <si>
    <t>CHAPET</t>
  </si>
  <si>
    <t>JUSTIAN</t>
  </si>
  <si>
    <t>VAUCHRETIEN</t>
  </si>
  <si>
    <t>VEUIL</t>
  </si>
  <si>
    <t>ARREAU</t>
  </si>
  <si>
    <t>VERSAINVILLE</t>
  </si>
  <si>
    <t>ROUVROY-EN-SANTERRE</t>
  </si>
  <si>
    <t>BUIRE-AU-BOIS</t>
  </si>
  <si>
    <t>GODENVILLERS</t>
  </si>
  <si>
    <t>OLLIERGUES</t>
  </si>
  <si>
    <t>SUTRIEU</t>
  </si>
  <si>
    <t>PLASSAY</t>
  </si>
  <si>
    <t>MONTCRESSON</t>
  </si>
  <si>
    <t>ESPALAIS</t>
  </si>
  <si>
    <t>SAINT-ELIER</t>
  </si>
  <si>
    <t>ROCQUEFORT</t>
  </si>
  <si>
    <t>BRIVES</t>
  </si>
  <si>
    <t>GLENIC</t>
  </si>
  <si>
    <t>UNCHAIR</t>
  </si>
  <si>
    <t>SAINTS-GEOSMES</t>
  </si>
  <si>
    <t>FRESSIN</t>
  </si>
  <si>
    <t>BOUILLAND</t>
  </si>
  <si>
    <t>SALIGNAC-DE-MIRAMBEAU</t>
  </si>
  <si>
    <t>PORQUERICOURT</t>
  </si>
  <si>
    <t>LAMAIDS</t>
  </si>
  <si>
    <t>PIERRELATTE</t>
  </si>
  <si>
    <t>56640</t>
  </si>
  <si>
    <t>ARZON</t>
  </si>
  <si>
    <t>TRIEMBACH-AU-VAL</t>
  </si>
  <si>
    <t>38920</t>
  </si>
  <si>
    <t>CROLLES</t>
  </si>
  <si>
    <t>SAINT-MAURICE-SUR-HUISNE</t>
  </si>
  <si>
    <t>NULLEMONT</t>
  </si>
  <si>
    <t>SAINT-PIERRE-LA-BOURLHONNE</t>
  </si>
  <si>
    <t>BARRET-DE-LIOURE</t>
  </si>
  <si>
    <t>CAMPS-EN-AMIENOIS</t>
  </si>
  <si>
    <t>GIBERCOURT</t>
  </si>
  <si>
    <t>ARBUS</t>
  </si>
  <si>
    <t>CHESLEY</t>
  </si>
  <si>
    <t>SAINT-GENIS-L'ARGENTIERE</t>
  </si>
  <si>
    <t>FRANQUEVILLE-SAINT-PIERRE</t>
  </si>
  <si>
    <t>ARCHIAC</t>
  </si>
  <si>
    <t>ARGENTIERES</t>
  </si>
  <si>
    <t>2B315</t>
  </si>
  <si>
    <t>SANTO-PIETRO-DI-VENACO</t>
  </si>
  <si>
    <t>MONTBRAS</t>
  </si>
  <si>
    <t>MEGEVETTE</t>
  </si>
  <si>
    <t>CHATENAY-EN-FRANCE</t>
  </si>
  <si>
    <t>D'HUISON-LONGUEVILLE</t>
  </si>
  <si>
    <t>BOIS-ARNAULT</t>
  </si>
  <si>
    <t>LEIGNEUX</t>
  </si>
  <si>
    <t>BRIZEAUX</t>
  </si>
  <si>
    <t>BOUHEY</t>
  </si>
  <si>
    <t>TILLENAY</t>
  </si>
  <si>
    <t>GAGEAC-ET-ROUILLAC</t>
  </si>
  <si>
    <t>13350</t>
  </si>
  <si>
    <t>INNIMOND</t>
  </si>
  <si>
    <t>WALLERS-EN-FAGNE</t>
  </si>
  <si>
    <t>VEZELISE</t>
  </si>
  <si>
    <t>VOISSANT</t>
  </si>
  <si>
    <t>SELLES-SUR-NAHON</t>
  </si>
  <si>
    <t>OZERAILLES</t>
  </si>
  <si>
    <t>BULAT-PESTIVIEN</t>
  </si>
  <si>
    <t>CIRON</t>
  </si>
  <si>
    <t>LE PUY-SAINTE-REPARADE</t>
  </si>
  <si>
    <t>DROSAY</t>
  </si>
  <si>
    <t>AUTHON-LA-PLAINE</t>
  </si>
  <si>
    <t>CASTELNAU-D'ARBIEU</t>
  </si>
  <si>
    <t>LA CHAPELLE-D'ABONDANCE</t>
  </si>
  <si>
    <t>GREUVILLE</t>
  </si>
  <si>
    <t>6360</t>
  </si>
  <si>
    <t>EZE</t>
  </si>
  <si>
    <t>REBECQUES</t>
  </si>
  <si>
    <t>MESANGUEVILLE</t>
  </si>
  <si>
    <t>TOURVILLE-SUR-ARQUES</t>
  </si>
  <si>
    <t>91770</t>
  </si>
  <si>
    <t>BARENTON-CEL</t>
  </si>
  <si>
    <t>LE MESNIL-SUR-BLANGY</t>
  </si>
  <si>
    <t>LA CHAPELLE-MONTABOURLET</t>
  </si>
  <si>
    <t>VARENNES-SAINT-HONORAT</t>
  </si>
  <si>
    <t>LE BOUCHON-SUR-SAULX</t>
  </si>
  <si>
    <t>FALGA</t>
  </si>
  <si>
    <t>L'OUDON</t>
  </si>
  <si>
    <t>2B356</t>
  </si>
  <si>
    <t>ZALANA</t>
  </si>
  <si>
    <t>LE PELLERIN</t>
  </si>
  <si>
    <t>SAUJON</t>
  </si>
  <si>
    <t>LOMPNAS</t>
  </si>
  <si>
    <t>OMERVILLE</t>
  </si>
  <si>
    <t>RIAVILLE</t>
  </si>
  <si>
    <t>TOUTENANT</t>
  </si>
  <si>
    <t>SAUVETERRE-DE-ROUERGUE</t>
  </si>
  <si>
    <t>65430</t>
  </si>
  <si>
    <t>SIREIX</t>
  </si>
  <si>
    <t>WOLFERSDORF</t>
  </si>
  <si>
    <t>SOLRINNES</t>
  </si>
  <si>
    <t>LA ROCHELLE-NORMANDE</t>
  </si>
  <si>
    <t>CHAMBON-LE-CHATEAU</t>
  </si>
  <si>
    <t>FAGNIERES</t>
  </si>
  <si>
    <t>GERDE</t>
  </si>
  <si>
    <t>MOTZ</t>
  </si>
  <si>
    <t>MESGRIGNY</t>
  </si>
  <si>
    <t>PIERREPONT-SUR-L'ARENTELE</t>
  </si>
  <si>
    <t>PEYRISSAC</t>
  </si>
  <si>
    <t>CERE</t>
  </si>
  <si>
    <t>OBERSOULTZBACH</t>
  </si>
  <si>
    <t>ECLY</t>
  </si>
  <si>
    <t>VAVRAY-LE-PETIT</t>
  </si>
  <si>
    <t>79180</t>
  </si>
  <si>
    <t>CHAURAY</t>
  </si>
  <si>
    <t>EDON</t>
  </si>
  <si>
    <t>JOLIVET</t>
  </si>
  <si>
    <t>LE BOUSQUET</t>
  </si>
  <si>
    <t>SAINT-JEAN-DE-MINERVOIS</t>
  </si>
  <si>
    <t>COUFFE</t>
  </si>
  <si>
    <t>ARBON</t>
  </si>
  <si>
    <t>CHAZELLES-SUR-ALBE</t>
  </si>
  <si>
    <t>SOINGS-EN-SOLOGNE</t>
  </si>
  <si>
    <t>BOUSSEVILLER</t>
  </si>
  <si>
    <t>SPERACEDES</t>
  </si>
  <si>
    <t>68400</t>
  </si>
  <si>
    <t>RIEDISHEIM</t>
  </si>
  <si>
    <t>BEAUGIES-SOUS-BOIS</t>
  </si>
  <si>
    <t>FOZIERES</t>
  </si>
  <si>
    <t>BRAYE-EN-LAONNOIS</t>
  </si>
  <si>
    <t>LA TOUCHE</t>
  </si>
  <si>
    <t>BINOS</t>
  </si>
  <si>
    <t>SAINT-HILAIRE-DE-BEAUVOIR</t>
  </si>
  <si>
    <t>NORVILLE</t>
  </si>
  <si>
    <t>LIGLET</t>
  </si>
  <si>
    <t>MARSALES</t>
  </si>
  <si>
    <t>LES CLOUZEAUX</t>
  </si>
  <si>
    <t>MONTRICHARD</t>
  </si>
  <si>
    <t>RANZEVELLE</t>
  </si>
  <si>
    <t>PERON</t>
  </si>
  <si>
    <t>COLOMBIER-EN-BRIONNAIS</t>
  </si>
  <si>
    <t>SMARVES</t>
  </si>
  <si>
    <t>DOURNAZAC</t>
  </si>
  <si>
    <t>PITHON</t>
  </si>
  <si>
    <t>SAINT-GRAVE</t>
  </si>
  <si>
    <t>BAUDRICOURT</t>
  </si>
  <si>
    <t>BRIORD</t>
  </si>
  <si>
    <t>SAINT-CERE</t>
  </si>
  <si>
    <t>LESTELLE-BETHARRAM</t>
  </si>
  <si>
    <t>TADEN</t>
  </si>
  <si>
    <t>MASCARVILLE</t>
  </si>
  <si>
    <t>MARSAT</t>
  </si>
  <si>
    <t>LA HAYE-DE-ROUTOT</t>
  </si>
  <si>
    <t>VILLERS-SUR-LE-ROULE</t>
  </si>
  <si>
    <t>POEUILLY</t>
  </si>
  <si>
    <t>SAINT-DONAN</t>
  </si>
  <si>
    <t>MESNIL-MAUGER</t>
  </si>
  <si>
    <t>BEAUME</t>
  </si>
  <si>
    <t>BEZOLLES</t>
  </si>
  <si>
    <t>AIX-EN-OTHE</t>
  </si>
  <si>
    <t>BALARUC-LE-VIEUX</t>
  </si>
  <si>
    <t>BRENAC</t>
  </si>
  <si>
    <t>SAINT-PIERRE-DE-JUILLERS</t>
  </si>
  <si>
    <t>MARANSIN</t>
  </si>
  <si>
    <t>ESTREE-CAUCHY</t>
  </si>
  <si>
    <t>SAINT-OUEN-DU-BREUIL</t>
  </si>
  <si>
    <t>SAINT-HILAIRE-SOUS-CHARLIEU</t>
  </si>
  <si>
    <t>59142</t>
  </si>
  <si>
    <t>VILLERS-OUTREAUX</t>
  </si>
  <si>
    <t>GALAPIAN</t>
  </si>
  <si>
    <t>VIVAISE</t>
  </si>
  <si>
    <t>LEVIS-SAINT-NOM</t>
  </si>
  <si>
    <t>ALBIGNAC</t>
  </si>
  <si>
    <t>ROGEVILLE</t>
  </si>
  <si>
    <t>HUNAWIHR</t>
  </si>
  <si>
    <t>CORRENCON-EN-VERCORS</t>
  </si>
  <si>
    <t>SAULT-BRENAZ</t>
  </si>
  <si>
    <t>SAINT-PIERRE-DU-BOSGUERARD</t>
  </si>
  <si>
    <t>GALFINGUE</t>
  </si>
  <si>
    <t>CRILLON</t>
  </si>
  <si>
    <t>35870</t>
  </si>
  <si>
    <t>LE MINIHIC-SUR-RANCE</t>
  </si>
  <si>
    <t>16800</t>
  </si>
  <si>
    <t>SOYAUX</t>
  </si>
  <si>
    <t>VERTAIZON</t>
  </si>
  <si>
    <t>ESCAZEAUX</t>
  </si>
  <si>
    <t>NICORPS</t>
  </si>
  <si>
    <t>PERNES-LES-FONTAINES</t>
  </si>
  <si>
    <t>LE BOCASSE</t>
  </si>
  <si>
    <t>BOISSET-ET-GAUJAC</t>
  </si>
  <si>
    <t>ERP</t>
  </si>
  <si>
    <t>BROUALAN</t>
  </si>
  <si>
    <t>MONTSEVEROUX</t>
  </si>
  <si>
    <t>LA PLAINE</t>
  </si>
  <si>
    <t>CERISY</t>
  </si>
  <si>
    <t>LUREUIL</t>
  </si>
  <si>
    <t>SANCE</t>
  </si>
  <si>
    <t>MATTEXEY</t>
  </si>
  <si>
    <t>JOUHET</t>
  </si>
  <si>
    <t>BEYRIE-EN-BEARN</t>
  </si>
  <si>
    <t>BERZIEUX</t>
  </si>
  <si>
    <t>CHERMIZY-AILLES</t>
  </si>
  <si>
    <t>GINESTAS</t>
  </si>
  <si>
    <t>COUTARNOUX</t>
  </si>
  <si>
    <t>BOISSY-FRESNOY</t>
  </si>
  <si>
    <t>SAINT-PAUL-DES-LANDES</t>
  </si>
  <si>
    <t>HANVOILE</t>
  </si>
  <si>
    <t>DURRENENTZEN</t>
  </si>
  <si>
    <t>97420</t>
  </si>
  <si>
    <t>MESNIL-SAINT-LOUP</t>
  </si>
  <si>
    <t>LA CHAPELLE-SAINT-REMY</t>
  </si>
  <si>
    <t>GESNES-LE-GANDELIN</t>
  </si>
  <si>
    <t>MOULT</t>
  </si>
  <si>
    <t>INGWILLER</t>
  </si>
  <si>
    <t>MENDIVE</t>
  </si>
  <si>
    <t>MONTIGNY-LE-GUESDIER</t>
  </si>
  <si>
    <t>CAUBIAC</t>
  </si>
  <si>
    <t>SAINTE-MARIE-A-PY</t>
  </si>
  <si>
    <t>MONTPOUILLAN</t>
  </si>
  <si>
    <t>COLINCAMPS</t>
  </si>
  <si>
    <t>44118</t>
  </si>
  <si>
    <t>LA CHEVROLIERE</t>
  </si>
  <si>
    <t>HAUTEFOND</t>
  </si>
  <si>
    <t>MESPUITS</t>
  </si>
  <si>
    <t>ROSTRENEN</t>
  </si>
  <si>
    <t>ESCLOTTES</t>
  </si>
  <si>
    <t>78220</t>
  </si>
  <si>
    <t>VIROFLAY</t>
  </si>
  <si>
    <t>URCEREY</t>
  </si>
  <si>
    <t>PEYRUSSE-GRANDE</t>
  </si>
  <si>
    <t>WETTOLSHEIM</t>
  </si>
  <si>
    <t>LE MELE-SUR-SARTHE</t>
  </si>
  <si>
    <t>SARRAGACHIES</t>
  </si>
  <si>
    <t>VILLESENEUX</t>
  </si>
  <si>
    <t>LES ARCS</t>
  </si>
  <si>
    <t>BEZAUDUN-SUR-BINE</t>
  </si>
  <si>
    <t>CHAMPIER</t>
  </si>
  <si>
    <t>DOLLON</t>
  </si>
  <si>
    <t>LOUPMONT</t>
  </si>
  <si>
    <t>25460</t>
  </si>
  <si>
    <t>ETUPES</t>
  </si>
  <si>
    <t>BERTHELANGE</t>
  </si>
  <si>
    <t>SAINT-SEURIN-DE-CADOURNE</t>
  </si>
  <si>
    <t>DONNENHEIM</t>
  </si>
  <si>
    <t>VOSNE-ROMANEE</t>
  </si>
  <si>
    <t>SAINT-MARCELLIN</t>
  </si>
  <si>
    <t>ROMILLY</t>
  </si>
  <si>
    <t>LE PLESSIS-BELLEVILLE</t>
  </si>
  <si>
    <t>DURMIGNAT</t>
  </si>
  <si>
    <t>FALLERON</t>
  </si>
  <si>
    <t>CRUGNY</t>
  </si>
  <si>
    <t>RUBESCOURT</t>
  </si>
  <si>
    <t>SAINT-MARTIN-LE-COLONEL</t>
  </si>
  <si>
    <t>SAINT-JEAN-DE-DAYE</t>
  </si>
  <si>
    <t>AUTHON-DU-PERCHE</t>
  </si>
  <si>
    <t>MARMEAUX</t>
  </si>
  <si>
    <t>EPIERRE</t>
  </si>
  <si>
    <t>VEAUNES</t>
  </si>
  <si>
    <t>SAULNAY</t>
  </si>
  <si>
    <t>LES MARCHES</t>
  </si>
  <si>
    <t>CHIRAC-BELLEVUE</t>
  </si>
  <si>
    <t>FAYMONT</t>
  </si>
  <si>
    <t>SAINT-ADRIEN</t>
  </si>
  <si>
    <t>MAGNY-CHATELARD</t>
  </si>
  <si>
    <t>MILLAS</t>
  </si>
  <si>
    <t>HALSTROFF</t>
  </si>
  <si>
    <t>PRUINES</t>
  </si>
  <si>
    <t>PUILLY-ET-CHARBEAUX</t>
  </si>
  <si>
    <t>SAINT-JEAN-DE-BEUGNE</t>
  </si>
  <si>
    <t>LAROQUE-DES-ARCS</t>
  </si>
  <si>
    <t>HALLINES</t>
  </si>
  <si>
    <t>SENTELIE</t>
  </si>
  <si>
    <t>SAINT-FUSCIEN</t>
  </si>
  <si>
    <t>CASTET</t>
  </si>
  <si>
    <t>LEZ</t>
  </si>
  <si>
    <t>ARNANCOURT</t>
  </si>
  <si>
    <t>ETALANS</t>
  </si>
  <si>
    <t>ROCHEFORT-DU-GARD</t>
  </si>
  <si>
    <t>ALLIER</t>
  </si>
  <si>
    <t>LA NEUVILLE-AUX-BOIS</t>
  </si>
  <si>
    <t>DIGNE-LES-BAINS</t>
  </si>
  <si>
    <t>SABALOS</t>
  </si>
  <si>
    <t>SAINT-CHRISTOPHE-ET-LE-LARIS</t>
  </si>
  <si>
    <t>MALMERSPACH</t>
  </si>
  <si>
    <t>MALISSARD</t>
  </si>
  <si>
    <t>CAZES-MONDENARD</t>
  </si>
  <si>
    <t>MARCILLOLES</t>
  </si>
  <si>
    <t>79250</t>
  </si>
  <si>
    <t>NUEIL-LES-AUBIERS</t>
  </si>
  <si>
    <t>PIN</t>
  </si>
  <si>
    <t>ALLONDANS</t>
  </si>
  <si>
    <t>MEREY-SOUS-MONTROND</t>
  </si>
  <si>
    <t>MESVES-SUR-LOIRE</t>
  </si>
  <si>
    <t>VEIGY-FONCENEX</t>
  </si>
  <si>
    <t>LACAPELLE-BIRON</t>
  </si>
  <si>
    <t>ESPAGNAC-SAINTE-EULALIE</t>
  </si>
  <si>
    <t>HEDE-BAZOUGES</t>
  </si>
  <si>
    <t>BUZY-DARMONT</t>
  </si>
  <si>
    <t>ROMANECHE-THORINS</t>
  </si>
  <si>
    <t>LA TRINITE-DE-REVILLE</t>
  </si>
  <si>
    <t>LUCY-LE-BOCAGE</t>
  </si>
  <si>
    <t>BROTTE-LES-RAY</t>
  </si>
  <si>
    <t>SAVIGNIES</t>
  </si>
  <si>
    <t>LE FOSSE</t>
  </si>
  <si>
    <t>ARDES</t>
  </si>
  <si>
    <t>PALIS</t>
  </si>
  <si>
    <t>42450</t>
  </si>
  <si>
    <t>SURY-LE-COMTAL</t>
  </si>
  <si>
    <t>MALLERET-BOUSSAC</t>
  </si>
  <si>
    <t>JONCHEREY</t>
  </si>
  <si>
    <t>CARLIPA</t>
  </si>
  <si>
    <t>RUYNES-EN-MARGERIDE</t>
  </si>
  <si>
    <t>SAINT-MATHIEU</t>
  </si>
  <si>
    <t>LEREN</t>
  </si>
  <si>
    <t>SAINT-PRIEST-LA-PLAINE</t>
  </si>
  <si>
    <t>SERY-MAGNEVAL</t>
  </si>
  <si>
    <t>SARPOURENX</t>
  </si>
  <si>
    <t>LAGUIAN-MAZOUS</t>
  </si>
  <si>
    <t>MENETREOL-SUR-SAULDRE</t>
  </si>
  <si>
    <t>NILVANGE</t>
  </si>
  <si>
    <t>ETREAUPONT</t>
  </si>
  <si>
    <t>MAISONCELLES-DU-MAINE</t>
  </si>
  <si>
    <t>LESBOIS</t>
  </si>
  <si>
    <t>MILLAU</t>
  </si>
  <si>
    <t>STETTEN</t>
  </si>
  <si>
    <t>AGME</t>
  </si>
  <si>
    <t>LALLEY</t>
  </si>
  <si>
    <t>RABLAY-SUR-LAYON</t>
  </si>
  <si>
    <t>LOUPPY-LE-CHATEAU</t>
  </si>
  <si>
    <t>KERGLOFF</t>
  </si>
  <si>
    <t>PEYREFITTE-DU-RAZES</t>
  </si>
  <si>
    <t>SAINT-AMANS-DE-PELLAGAL</t>
  </si>
  <si>
    <t>EPEIGNE-LES-BOIS</t>
  </si>
  <si>
    <t>SAINT-JULIEN-DE-PEYROLAS</t>
  </si>
  <si>
    <t>MEZIRE</t>
  </si>
  <si>
    <t>SALONNES</t>
  </si>
  <si>
    <t>FAVERAYE-MACHELLES</t>
  </si>
  <si>
    <t>BOULE-D'AMONT</t>
  </si>
  <si>
    <t>LE PERREON</t>
  </si>
  <si>
    <t>BISCHOFFSHEIM</t>
  </si>
  <si>
    <t>LE HEAULME</t>
  </si>
  <si>
    <t>BELLOY-SAINT-LEONARD</t>
  </si>
  <si>
    <t>MAREIL-SUR-MAULDRE</t>
  </si>
  <si>
    <t>LA GREE-SAINT-LAURENT</t>
  </si>
  <si>
    <t>BLOUSSON-SERIAN</t>
  </si>
  <si>
    <t>2B190</t>
  </si>
  <si>
    <t>OLMI-CAPPELLA</t>
  </si>
  <si>
    <t>VERS-SUR-SELLES</t>
  </si>
  <si>
    <t>MONTIGNAC-DE-LAUZUN</t>
  </si>
  <si>
    <t>SAINT-MARTIN-DE-NIGELLES</t>
  </si>
  <si>
    <t>WARHEM</t>
  </si>
  <si>
    <t>MONTOT-SUR-ROGNON</t>
  </si>
  <si>
    <t>SAULVAUX</t>
  </si>
  <si>
    <t>LE VERNET-SAINTE-MARGUERITE</t>
  </si>
  <si>
    <t>EUGENIE-LES-BAINS</t>
  </si>
  <si>
    <t>57815</t>
  </si>
  <si>
    <t>GONDREXANGE</t>
  </si>
  <si>
    <t>SAINT-PANDELON</t>
  </si>
  <si>
    <t>PERROUSE</t>
  </si>
  <si>
    <t>FOLGENSBOURG</t>
  </si>
  <si>
    <t>VAINS</t>
  </si>
  <si>
    <t>VILLERS-FAUCON</t>
  </si>
  <si>
    <t>ECHEVIS</t>
  </si>
  <si>
    <t>ANNAY-LA-COTE</t>
  </si>
  <si>
    <t>SEPX</t>
  </si>
  <si>
    <t>SAINT-JULIEN-PRES-BORT</t>
  </si>
  <si>
    <t>6220</t>
  </si>
  <si>
    <t>VALLAURIS</t>
  </si>
  <si>
    <t>SAINT-RAMBERT-EN-BUGEY</t>
  </si>
  <si>
    <t>LA GARNACHE</t>
  </si>
  <si>
    <t>MALAY-LE-PETIT</t>
  </si>
  <si>
    <t>VITRAY-EN-BEAUCE</t>
  </si>
  <si>
    <t>LISORES</t>
  </si>
  <si>
    <t>LESPARROU</t>
  </si>
  <si>
    <t>LINGHEM</t>
  </si>
  <si>
    <t>ABBEVILLERS</t>
  </si>
  <si>
    <t>LACHAPELLE-EN-BLAISY</t>
  </si>
  <si>
    <t>BOUILLON</t>
  </si>
  <si>
    <t>CHEYLARD-L'EVEQUE</t>
  </si>
  <si>
    <t>JAVRON-LES-CHAPELLES</t>
  </si>
  <si>
    <t>17670</t>
  </si>
  <si>
    <t>LA COUARDE-SUR-MER</t>
  </si>
  <si>
    <t>MARSEILLETTE</t>
  </si>
  <si>
    <t>BELLECOMBE-EN-BAUGES</t>
  </si>
  <si>
    <t>LANDELLES-ET-COUPIGNY</t>
  </si>
  <si>
    <t>LES PUJOLS</t>
  </si>
  <si>
    <t>MORTROUX</t>
  </si>
  <si>
    <t>SCIEZ</t>
  </si>
  <si>
    <t>LAUJUZAN</t>
  </si>
  <si>
    <t>69320</t>
  </si>
  <si>
    <t>FEYZIN</t>
  </si>
  <si>
    <t>LA ROSIERE</t>
  </si>
  <si>
    <t>MONTIGNE-LE-BRILLANT</t>
  </si>
  <si>
    <t>HEMILLY</t>
  </si>
  <si>
    <t>VILLEDOMER</t>
  </si>
  <si>
    <t>TREBES</t>
  </si>
  <si>
    <t>TARGET</t>
  </si>
  <si>
    <t>BRASC</t>
  </si>
  <si>
    <t>LAPENTY</t>
  </si>
  <si>
    <t>ARCAIS</t>
  </si>
  <si>
    <t>ROCHES-SUR-MARNE</t>
  </si>
  <si>
    <t>PREZ</t>
  </si>
  <si>
    <t>BLEURVILLE</t>
  </si>
  <si>
    <t>POUZOLS</t>
  </si>
  <si>
    <t>AGUILCOURT</t>
  </si>
  <si>
    <t>MONTAUDIN</t>
  </si>
  <si>
    <t>PALAU-DE-CERDAGNE</t>
  </si>
  <si>
    <t>2A103</t>
  </si>
  <si>
    <t>CUTTOLI-CORTICCHIATO</t>
  </si>
  <si>
    <t>SAINT-MARCEL-DU-PERIGORD</t>
  </si>
  <si>
    <t>CHARBONNIER-LES-MINES</t>
  </si>
  <si>
    <t>RAPSECOURT</t>
  </si>
  <si>
    <t>DOMPCEVRIN</t>
  </si>
  <si>
    <t>SAINT-MARTIN-L'AIGUILLON</t>
  </si>
  <si>
    <t>GRANDVILLERS</t>
  </si>
  <si>
    <t>DAGNY</t>
  </si>
  <si>
    <t>JUVILLE</t>
  </si>
  <si>
    <t>GERBECOURT</t>
  </si>
  <si>
    <t>MARGENCY</t>
  </si>
  <si>
    <t>MONNES</t>
  </si>
  <si>
    <t>TILHOUSE</t>
  </si>
  <si>
    <t>YVRAC-ET-MALLEYRAND</t>
  </si>
  <si>
    <t>MAGNY-LE-FREULE</t>
  </si>
  <si>
    <t>NESPOULS</t>
  </si>
  <si>
    <t>MARLENS</t>
  </si>
  <si>
    <t>VILLIERS-CHARLEMAGNE</t>
  </si>
  <si>
    <t>PARSAC</t>
  </si>
  <si>
    <t>COULONGES-LES-SABLONS</t>
  </si>
  <si>
    <t>ERMENONVILLE</t>
  </si>
  <si>
    <t>SAINT-BONNET-DE-MONTAUROUX</t>
  </si>
  <si>
    <t>63116</t>
  </si>
  <si>
    <t>BEAUREGARD-L'EVEQUE</t>
  </si>
  <si>
    <t>VINEZAC</t>
  </si>
  <si>
    <t>LASSEUBETAT</t>
  </si>
  <si>
    <t>PALISSE</t>
  </si>
  <si>
    <t>SAINT-PERAY</t>
  </si>
  <si>
    <t>2B354</t>
  </si>
  <si>
    <t>VIVARIO</t>
  </si>
  <si>
    <t>VINCEY</t>
  </si>
  <si>
    <t>SAINT-ANDELAIN</t>
  </si>
  <si>
    <t>SERLEY</t>
  </si>
  <si>
    <t>VINS-SUR-CARAMY</t>
  </si>
  <si>
    <t>CITEY</t>
  </si>
  <si>
    <t>LE LARDERET</t>
  </si>
  <si>
    <t>SEROCOURT</t>
  </si>
  <si>
    <t>MAINXE</t>
  </si>
  <si>
    <t>AUTRY</t>
  </si>
  <si>
    <t>BASSERCLES</t>
  </si>
  <si>
    <t>SAINT-PIERRE-DE-MEZOARGUES</t>
  </si>
  <si>
    <t>RAINNEVILLE</t>
  </si>
  <si>
    <t>PREMERY</t>
  </si>
  <si>
    <t>COURCHATON</t>
  </si>
  <si>
    <t>SEMIDE</t>
  </si>
  <si>
    <t>GAUDENT</t>
  </si>
  <si>
    <t>SAINT-JEAN-DU-PIN</t>
  </si>
  <si>
    <t>AMBON</t>
  </si>
  <si>
    <t>VALFROICOURT</t>
  </si>
  <si>
    <t>VALDIVIENNE</t>
  </si>
  <si>
    <t>BERNEVILLE</t>
  </si>
  <si>
    <t>MONTOURTIER</t>
  </si>
  <si>
    <t>BELLENOT-SOUS-POUILLY</t>
  </si>
  <si>
    <t>VERGRANNE</t>
  </si>
  <si>
    <t>EPEHY</t>
  </si>
  <si>
    <t>CORMOST</t>
  </si>
  <si>
    <t>VILLAMBLARD</t>
  </si>
  <si>
    <t>FAIMBE</t>
  </si>
  <si>
    <t>GODEWAERSVELDE</t>
  </si>
  <si>
    <t>SAINT-PAUL-DE-SERRE</t>
  </si>
  <si>
    <t>LES MAGNY</t>
  </si>
  <si>
    <t>SAINT-BONNET-LE-TRONCY</t>
  </si>
  <si>
    <t>AURIAC-DU-PERIGORD</t>
  </si>
  <si>
    <t>LE SAP-ANDRE</t>
  </si>
  <si>
    <t>FREBECOURT</t>
  </si>
  <si>
    <t>AURIAC-SUR-VENDINELLE</t>
  </si>
  <si>
    <t>NAMPCELLES-LA-COUR</t>
  </si>
  <si>
    <t>GRESIN</t>
  </si>
  <si>
    <t>LA BOURGONCE</t>
  </si>
  <si>
    <t>ULLY-SAINT-GEORGES</t>
  </si>
  <si>
    <t>LA RONDE</t>
  </si>
  <si>
    <t>MIELLIN</t>
  </si>
  <si>
    <t>MONTAIGU-DE-QUERCY</t>
  </si>
  <si>
    <t>PLEHEDEL</t>
  </si>
  <si>
    <t>CAVAGNAC</t>
  </si>
  <si>
    <t>SAINT-GERMAIN-DE-JOUX</t>
  </si>
  <si>
    <t>ROSENAU</t>
  </si>
  <si>
    <t>CHOREY-LES-BEAUNE</t>
  </si>
  <si>
    <t>2A270</t>
  </si>
  <si>
    <t>SARI-D'ORCINO</t>
  </si>
  <si>
    <t>ESCOUSSANS</t>
  </si>
  <si>
    <t>SEGROIS</t>
  </si>
  <si>
    <t>NISTOS</t>
  </si>
  <si>
    <t>BREUILAUFA</t>
  </si>
  <si>
    <t>ALLICHAMPS</t>
  </si>
  <si>
    <t>PREUILLY</t>
  </si>
  <si>
    <t>MAINSAT</t>
  </si>
  <si>
    <t>CHERVEIX-CUBAS</t>
  </si>
  <si>
    <t>COLMEN</t>
  </si>
  <si>
    <t>62480</t>
  </si>
  <si>
    <t>LE PORTEL</t>
  </si>
  <si>
    <t>GENNES-SUR-SEICHE</t>
  </si>
  <si>
    <t>FRESNIERES</t>
  </si>
  <si>
    <t>CHALLEX</t>
  </si>
  <si>
    <t>EVRY-GREGY-SUR-YERRE</t>
  </si>
  <si>
    <t>SASSEVILLE</t>
  </si>
  <si>
    <t>BONNELLES</t>
  </si>
  <si>
    <t>YVRENCHEUX</t>
  </si>
  <si>
    <t>SARNIGUET</t>
  </si>
  <si>
    <t>MONTAGNAC-SUR-LEDE</t>
  </si>
  <si>
    <t>AUBORD</t>
  </si>
  <si>
    <t>LE BOUCHET</t>
  </si>
  <si>
    <t>CORZE</t>
  </si>
  <si>
    <t>ALOS-SIBAS-ABENSE</t>
  </si>
  <si>
    <t>63119</t>
  </si>
  <si>
    <t>CHATEAUGAY</t>
  </si>
  <si>
    <t>MEURSAC</t>
  </si>
  <si>
    <t>SAINT-SYMPHORIEN-SUR-COUZE</t>
  </si>
  <si>
    <t>REMBERCOURT-SOMMAISNE</t>
  </si>
  <si>
    <t>VITREUX</t>
  </si>
  <si>
    <t>MONTIGNY-EN-MORVAN</t>
  </si>
  <si>
    <t>QUIBERVILLE</t>
  </si>
  <si>
    <t>PAZAYAC</t>
  </si>
  <si>
    <t>MORVAL</t>
  </si>
  <si>
    <t>BELLERAY</t>
  </si>
  <si>
    <t>BURSARD</t>
  </si>
  <si>
    <t>BAGAS</t>
  </si>
  <si>
    <t>SIXT-SUR-AFF</t>
  </si>
  <si>
    <t>VIOCOURT</t>
  </si>
  <si>
    <t>CRAMONT</t>
  </si>
  <si>
    <t>TOURNEDOS-SUR-SEINE</t>
  </si>
  <si>
    <t>MONTBLANC</t>
  </si>
  <si>
    <t>CRAN-GEVRIER</t>
  </si>
  <si>
    <t>LE VERDIER</t>
  </si>
  <si>
    <t>MENONCOURT</t>
  </si>
  <si>
    <t>VARENNES-SUR-AMANCE</t>
  </si>
  <si>
    <t>MOREY-SAINT-DENIS</t>
  </si>
  <si>
    <t>VILLENEUVE-D'AMONT</t>
  </si>
  <si>
    <t>LE CHATENET-EN-DOGNON</t>
  </si>
  <si>
    <t>VILLABE</t>
  </si>
  <si>
    <t>CESTAS</t>
  </si>
  <si>
    <t>RAVIGNY</t>
  </si>
  <si>
    <t>LE MAZIS</t>
  </si>
  <si>
    <t>MONNEVILLE</t>
  </si>
  <si>
    <t>SAINT-NICOLAS-AUX-BOIS</t>
  </si>
  <si>
    <t>SAINT-PARDOUX-MORTEROLLES</t>
  </si>
  <si>
    <t>SAINT-MICHEL-LOUBEJOU</t>
  </si>
  <si>
    <t>SAINT-BONNET-L'ENFANTIER</t>
  </si>
  <si>
    <t>VILLY-EN-TRODES</t>
  </si>
  <si>
    <t>SAINT-ANTOINE-DU-ROCHER</t>
  </si>
  <si>
    <t>45680</t>
  </si>
  <si>
    <t>DORDIVES</t>
  </si>
  <si>
    <t>TOURBES</t>
  </si>
  <si>
    <t>MOLLAU</t>
  </si>
  <si>
    <t>44880</t>
  </si>
  <si>
    <t>SAUTRON</t>
  </si>
  <si>
    <t>BOISLEUX-AU-MONT</t>
  </si>
  <si>
    <t>AMBACOURT</t>
  </si>
  <si>
    <t>LANGUEVOISIN-QUIQUERY</t>
  </si>
  <si>
    <t>FONTENET</t>
  </si>
  <si>
    <t>LA HOUSSAYE-EN-BRIE</t>
  </si>
  <si>
    <t>SAINT-LEGER-DES-PRES</t>
  </si>
  <si>
    <t>LA CHAPELLE-MONTMARTIN</t>
  </si>
  <si>
    <t>LANCIE</t>
  </si>
  <si>
    <t>NUZEJOULS</t>
  </si>
  <si>
    <t>VILLARS-LES-DOMBES</t>
  </si>
  <si>
    <t>ALBIGNY-SUR-SAONE</t>
  </si>
  <si>
    <t>GOURVILLETTE</t>
  </si>
  <si>
    <t>LOUROUX-DE-BEAUNE</t>
  </si>
  <si>
    <t>MONTAUBAN-DE-BRETAGNE</t>
  </si>
  <si>
    <t>SCILLE</t>
  </si>
  <si>
    <t>LA ROCHE-DE-GLUN</t>
  </si>
  <si>
    <t>EVAUX-LES-BAINS</t>
  </si>
  <si>
    <t>CASSAGNES-BEGONHES</t>
  </si>
  <si>
    <t>CHAMEANE</t>
  </si>
  <si>
    <t>CRAMANS</t>
  </si>
  <si>
    <t>REGNEVILLE-SUR-MEUSE</t>
  </si>
  <si>
    <t>2B079</t>
  </si>
  <si>
    <t>CASTELLO-DI-ROSTINO</t>
  </si>
  <si>
    <t>BASSUSSARRY</t>
  </si>
  <si>
    <t>KIRVILLER</t>
  </si>
  <si>
    <t>BAZUGUES</t>
  </si>
  <si>
    <t>SOYECOURT</t>
  </si>
  <si>
    <t>75014</t>
  </si>
  <si>
    <t>PARIS-14E-ARRONDISSEMENT</t>
  </si>
  <si>
    <t>CLEREY-SUR-BRENON</t>
  </si>
  <si>
    <t>SAINT-REMY-DU-VAL</t>
  </si>
  <si>
    <t>DOISSIN</t>
  </si>
  <si>
    <t>SAINT-AMAND-SUR-ORNAIN</t>
  </si>
  <si>
    <t>25960</t>
  </si>
  <si>
    <t>DELUZ</t>
  </si>
  <si>
    <t>63940</t>
  </si>
  <si>
    <t>MARSAC-EN-LIVRADOIS</t>
  </si>
  <si>
    <t>BELLEBAT</t>
  </si>
  <si>
    <t>VIENVILLE</t>
  </si>
  <si>
    <t>HASELBOURG</t>
  </si>
  <si>
    <t>FRAISSINES</t>
  </si>
  <si>
    <t>YZERON</t>
  </si>
  <si>
    <t>MOLAC</t>
  </si>
  <si>
    <t>MONTBOZON</t>
  </si>
  <si>
    <t>MERY-SUR-SEINE</t>
  </si>
  <si>
    <t>AGNIERES</t>
  </si>
  <si>
    <t>SAINT-CAPRAIS-DE-LERM</t>
  </si>
  <si>
    <t>VILLARD-D'HERY</t>
  </si>
  <si>
    <t>BARASTRE</t>
  </si>
  <si>
    <t>ALBEFEUILLE-LAGARDE</t>
  </si>
  <si>
    <t>BOSCAMNANT</t>
  </si>
  <si>
    <t>AVIGNONET</t>
  </si>
  <si>
    <t>BAZOILLES-SUR-MEUSE</t>
  </si>
  <si>
    <t>CENSY</t>
  </si>
  <si>
    <t>EROME</t>
  </si>
  <si>
    <t>MONTECHEROUX</t>
  </si>
  <si>
    <t>TESSY-SUR-VIRE</t>
  </si>
  <si>
    <t>CHARLIEU</t>
  </si>
  <si>
    <t>PEREYRES</t>
  </si>
  <si>
    <t>44720</t>
  </si>
  <si>
    <t>SAINT-JOACHIM</t>
  </si>
  <si>
    <t>PAULE</t>
  </si>
  <si>
    <t>MENOUVILLE</t>
  </si>
  <si>
    <t>ANDELAROCHE</t>
  </si>
  <si>
    <t>29259</t>
  </si>
  <si>
    <t>ILE-MOLENE</t>
  </si>
  <si>
    <t>94490</t>
  </si>
  <si>
    <t>ORMESSON-SUR-MARNE</t>
  </si>
  <si>
    <t>PLEINE-FOUGERES</t>
  </si>
  <si>
    <t>EPPES</t>
  </si>
  <si>
    <t>HEROUVILLETTE</t>
  </si>
  <si>
    <t>CHAHAIGNES</t>
  </si>
  <si>
    <t>AUDINGHEN</t>
  </si>
  <si>
    <t>MARRE</t>
  </si>
  <si>
    <t>40510</t>
  </si>
  <si>
    <t>SEIGNOSSE</t>
  </si>
  <si>
    <t>VICQ-EXEMPLET</t>
  </si>
  <si>
    <t>CHOISY-EN-BRIE</t>
  </si>
  <si>
    <t>LA SELLE-SUR-LE-BIED</t>
  </si>
  <si>
    <t>NEUVILLE-SAINT-AMAND</t>
  </si>
  <si>
    <t>PARLAN</t>
  </si>
  <si>
    <t>DAMMARTIN-LES-TEMPLIERS</t>
  </si>
  <si>
    <t>VAISON-LA-ROMAINE</t>
  </si>
  <si>
    <t>SOUDAY</t>
  </si>
  <si>
    <t>CORGOLOIN</t>
  </si>
  <si>
    <t>SARNOIS</t>
  </si>
  <si>
    <t>MONHOUDOU</t>
  </si>
  <si>
    <t>CODE INSEE</t>
  </si>
  <si>
    <t>VILLE minuscule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</si>
</sst>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\ [$€-1]"/>
    <numFmt numFmtId="165" formatCode="0&quot; €/m2&quot;"/>
    <numFmt numFmtId="166" formatCode="#,##0&quot;€&quot;"/>
  </numFmts>
  <fonts count="22">
    <font>
      <sz val="10.0"/>
      <color rgb="FF000000"/>
      <name val="Arial"/>
      <scheme val="minor"/>
    </font>
    <font>
      <color theme="1"/>
      <name val="Arial"/>
      <scheme val="minor"/>
    </font>
    <font>
      <sz val="12.0"/>
      <color theme="1"/>
      <name val="Arial"/>
      <scheme val="minor"/>
    </font>
    <font/>
    <font>
      <b/>
      <sz val="12.0"/>
      <color theme="1"/>
      <name val="Arial"/>
      <scheme val="minor"/>
    </font>
    <font>
      <i/>
      <color theme="1"/>
      <name val="Arial"/>
      <scheme val="minor"/>
    </font>
    <font>
      <sz val="9.0"/>
      <color theme="1"/>
      <name val="Arial"/>
      <scheme val="minor"/>
    </font>
    <font>
      <b/>
      <color rgb="FF999999"/>
      <name val="Arial"/>
      <scheme val="minor"/>
    </font>
    <font>
      <b/>
      <sz val="24.0"/>
      <color rgb="FF274E13"/>
      <name val="Arial"/>
      <scheme val="minor"/>
    </font>
    <font>
      <b/>
      <sz val="20.0"/>
      <color rgb="FF274E13"/>
      <name val="Arial"/>
      <scheme val="minor"/>
    </font>
    <font>
      <sz val="13.0"/>
      <color theme="1"/>
      <name val="Arial"/>
      <scheme val="minor"/>
    </font>
    <font>
      <sz val="24.0"/>
      <color theme="1"/>
      <name val="Arial"/>
      <scheme val="minor"/>
    </font>
    <font>
      <b/>
      <sz val="12.0"/>
      <color rgb="FF666666"/>
      <name val="Arial"/>
      <scheme val="minor"/>
    </font>
    <font>
      <b/>
      <sz val="11.0"/>
      <color rgb="FF666666"/>
      <name val="Arial"/>
      <scheme val="minor"/>
    </font>
    <font>
      <u/>
      <sz val="14.0"/>
      <color rgb="FF666666"/>
    </font>
    <font>
      <sz val="14.0"/>
      <color rgb="FF274E13"/>
      <name val="Arial"/>
      <scheme val="minor"/>
    </font>
    <font>
      <u/>
      <sz val="14.0"/>
      <color rgb="FF666666"/>
    </font>
    <font>
      <b/>
      <color theme="1"/>
      <name val="Arial"/>
      <scheme val="minor"/>
    </font>
    <font>
      <i/>
      <u/>
      <color rgb="FF0000FF"/>
    </font>
    <font>
      <sz val="11.0"/>
      <color rgb="FF000000"/>
      <name val="Inconsolata"/>
    </font>
    <font>
      <u/>
      <color rgb="FF0000FF"/>
    </font>
    <font>
      <u/>
      <color rgb="FF0000FF"/>
    </font>
  </fonts>
  <fills count="6">
    <fill>
      <patternFill patternType="none"/>
    </fill>
    <fill>
      <patternFill patternType="lightGray"/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</fills>
  <borders count="14">
    <border/>
    <border>
      <left style="thin">
        <color rgb="FF999999"/>
      </left>
      <top style="thin">
        <color rgb="FF999999"/>
      </top>
      <bottom style="thin">
        <color rgb="FF999999"/>
      </bottom>
    </border>
    <border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</border>
    <border>
      <right style="thin">
        <color rgb="FF999999"/>
      </right>
      <top style="thin">
        <color rgb="FF999999"/>
      </top>
    </border>
    <border>
      <left style="thin">
        <color rgb="FF999999"/>
      </left>
    </border>
    <border>
      <right style="thin">
        <color rgb="FF999999"/>
      </right>
    </border>
    <border>
      <left style="thin">
        <color rgb="FF999999"/>
      </left>
      <bottom style="thin">
        <color rgb="FF999999"/>
      </bottom>
    </border>
    <border>
      <right style="thin">
        <color rgb="FF999999"/>
      </right>
      <bottom style="thin">
        <color rgb="FF999999"/>
      </bottom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right style="thin">
        <color rgb="FF999999"/>
      </right>
      <bottom style="thin">
        <color rgb="FF999999"/>
      </bottom>
    </border>
    <border>
      <top style="thin">
        <color rgb="FF999999"/>
      </top>
    </border>
    <border>
      <bottom style="thin">
        <color rgb="FF999999"/>
      </bottom>
    </border>
  </borders>
  <cellStyleXfs count="1">
    <xf borderId="0" fillId="0" fontId="0" numFmtId="0" applyAlignment="1" applyFont="1"/>
  </cellStyleXfs>
  <cellXfs count="5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center"/>
    </xf>
    <xf borderId="1" fillId="2" fontId="2" numFmtId="0" xfId="0" applyAlignment="1" applyBorder="1" applyFill="1" applyFont="1">
      <alignment readingOrder="0" vertical="center"/>
    </xf>
    <xf borderId="2" fillId="0" fontId="3" numFmtId="0" xfId="0" applyBorder="1" applyFont="1"/>
    <xf borderId="3" fillId="0" fontId="3" numFmtId="0" xfId="0" applyBorder="1" applyFont="1"/>
    <xf borderId="0" fillId="0" fontId="2" numFmtId="0" xfId="0" applyAlignment="1" applyFont="1">
      <alignment vertical="center"/>
    </xf>
    <xf borderId="4" fillId="0" fontId="4" numFmtId="0" xfId="0" applyAlignment="1" applyBorder="1" applyFont="1">
      <alignment readingOrder="0" vertical="center"/>
    </xf>
    <xf borderId="5" fillId="3" fontId="2" numFmtId="3" xfId="0" applyAlignment="1" applyBorder="1" applyFill="1" applyFont="1" applyNumberFormat="1">
      <alignment readingOrder="0" vertical="center"/>
    </xf>
    <xf borderId="0" fillId="0" fontId="5" numFmtId="0" xfId="0" applyAlignment="1" applyFont="1">
      <alignment readingOrder="0" vertical="center"/>
    </xf>
    <xf borderId="6" fillId="0" fontId="4" numFmtId="0" xfId="0" applyAlignment="1" applyBorder="1" applyFont="1">
      <alignment readingOrder="0" vertical="center"/>
    </xf>
    <xf borderId="7" fillId="3" fontId="2" numFmtId="49" xfId="0" applyAlignment="1" applyBorder="1" applyFont="1" applyNumberFormat="1">
      <alignment horizontal="right" readingOrder="0" vertical="center"/>
    </xf>
    <xf borderId="0" fillId="0" fontId="1" numFmtId="0" xfId="0" applyFont="1"/>
    <xf borderId="7" fillId="3" fontId="2" numFmtId="3" xfId="0" applyAlignment="1" applyBorder="1" applyFont="1" applyNumberFormat="1">
      <alignment horizontal="right" readingOrder="0" vertical="center"/>
    </xf>
    <xf borderId="7" fillId="3" fontId="6" numFmtId="0" xfId="0" applyAlignment="1" applyBorder="1" applyFont="1">
      <alignment horizontal="right" readingOrder="0" vertical="center"/>
    </xf>
    <xf borderId="7" fillId="3" fontId="2" numFmtId="0" xfId="0" applyAlignment="1" applyBorder="1" applyFont="1">
      <alignment horizontal="right" readingOrder="0" vertical="center"/>
    </xf>
    <xf borderId="8" fillId="0" fontId="4" numFmtId="0" xfId="0" applyAlignment="1" applyBorder="1" applyFont="1">
      <alignment readingOrder="0" vertical="center"/>
    </xf>
    <xf borderId="9" fillId="3" fontId="2" numFmtId="0" xfId="0" applyAlignment="1" applyBorder="1" applyFont="1">
      <alignment horizontal="right" readingOrder="0" vertical="center"/>
    </xf>
    <xf borderId="10" fillId="0" fontId="7" numFmtId="0" xfId="0" applyAlignment="1" applyBorder="1" applyFont="1">
      <alignment horizontal="center" readingOrder="0" vertical="center"/>
    </xf>
    <xf borderId="10" fillId="4" fontId="8" numFmtId="164" xfId="0" applyAlignment="1" applyBorder="1" applyFill="1" applyFont="1" applyNumberFormat="1">
      <alignment horizontal="center" vertical="center"/>
    </xf>
    <xf borderId="10" fillId="4" fontId="9" numFmtId="165" xfId="0" applyAlignment="1" applyBorder="1" applyFont="1" applyNumberFormat="1">
      <alignment horizontal="center" readingOrder="0" vertical="center"/>
    </xf>
    <xf borderId="11" fillId="0" fontId="10" numFmtId="165" xfId="0" applyAlignment="1" applyBorder="1" applyFont="1" applyNumberFormat="1">
      <alignment horizontal="center" vertical="center"/>
    </xf>
    <xf borderId="4" fillId="2" fontId="11" numFmtId="0" xfId="0" applyAlignment="1" applyBorder="1" applyFont="1">
      <alignment horizontal="center" readingOrder="0"/>
    </xf>
    <xf borderId="12" fillId="2" fontId="12" numFmtId="0" xfId="0" applyAlignment="1" applyBorder="1" applyFont="1">
      <alignment horizontal="center" readingOrder="0" vertical="center"/>
    </xf>
    <xf borderId="12" fillId="0" fontId="3" numFmtId="0" xfId="0" applyBorder="1" applyFont="1"/>
    <xf borderId="5" fillId="0" fontId="3" numFmtId="0" xfId="0" applyBorder="1" applyFont="1"/>
    <xf borderId="6" fillId="2" fontId="1" numFmtId="0" xfId="0" applyBorder="1" applyFont="1"/>
    <xf borderId="0" fillId="2" fontId="13" numFmtId="0" xfId="0" applyAlignment="1" applyFont="1">
      <alignment horizontal="center" readingOrder="0" vertical="center"/>
    </xf>
    <xf borderId="7" fillId="2" fontId="13" numFmtId="0" xfId="0" applyAlignment="1" applyBorder="1" applyFont="1">
      <alignment horizontal="center" readingOrder="0" vertical="center"/>
    </xf>
    <xf borderId="6" fillId="2" fontId="14" numFmtId="166" xfId="0" applyAlignment="1" applyBorder="1" applyFont="1" applyNumberFormat="1">
      <alignment horizontal="center" vertical="center"/>
    </xf>
    <xf borderId="0" fillId="2" fontId="15" numFmtId="164" xfId="0" applyAlignment="1" applyFont="1" applyNumberFormat="1">
      <alignment horizontal="center" vertical="center"/>
    </xf>
    <xf borderId="7" fillId="2" fontId="15" numFmtId="164" xfId="0" applyAlignment="1" applyBorder="1" applyFont="1" applyNumberFormat="1">
      <alignment horizontal="center" vertical="center"/>
    </xf>
    <xf borderId="0" fillId="2" fontId="15" numFmtId="164" xfId="0" applyAlignment="1" applyFont="1" applyNumberFormat="1">
      <alignment horizontal="center" readingOrder="0" vertical="center"/>
    </xf>
    <xf borderId="7" fillId="2" fontId="15" numFmtId="164" xfId="0" applyAlignment="1" applyBorder="1" applyFont="1" applyNumberFormat="1">
      <alignment horizontal="center" readingOrder="0" vertical="center"/>
    </xf>
    <xf borderId="8" fillId="2" fontId="16" numFmtId="166" xfId="0" applyAlignment="1" applyBorder="1" applyFont="1" applyNumberFormat="1">
      <alignment horizontal="center" vertical="center"/>
    </xf>
    <xf borderId="13" fillId="2" fontId="15" numFmtId="164" xfId="0" applyAlignment="1" applyBorder="1" applyFont="1" applyNumberFormat="1">
      <alignment horizontal="center" vertical="center"/>
    </xf>
    <xf borderId="9" fillId="2" fontId="15" numFmtId="164" xfId="0" applyAlignment="1" applyBorder="1" applyFont="1" applyNumberFormat="1">
      <alignment horizontal="center" vertical="center"/>
    </xf>
    <xf borderId="0" fillId="0" fontId="17" numFmtId="0" xfId="0" applyAlignment="1" applyFont="1">
      <alignment readingOrder="0" shrinkToFit="0" wrapText="1"/>
    </xf>
    <xf borderId="0" fillId="0" fontId="1" numFmtId="9" xfId="0" applyAlignment="1" applyFont="1" applyNumberFormat="1">
      <alignment readingOrder="0"/>
    </xf>
    <xf borderId="0" fillId="0" fontId="1" numFmtId="0" xfId="0" applyAlignment="1" applyFont="1">
      <alignment readingOrder="0"/>
    </xf>
    <xf borderId="0" fillId="0" fontId="1" numFmtId="166" xfId="0" applyFont="1" applyNumberFormat="1"/>
    <xf borderId="0" fillId="0" fontId="1" numFmtId="4" xfId="0" applyFont="1" applyNumberFormat="1"/>
    <xf borderId="0" fillId="0" fontId="5" numFmtId="0" xfId="0" applyAlignment="1" applyFont="1">
      <alignment readingOrder="0"/>
    </xf>
    <xf borderId="0" fillId="0" fontId="18" numFmtId="0" xfId="0" applyFont="1"/>
    <xf borderId="0" fillId="5" fontId="19" numFmtId="4" xfId="0" applyAlignment="1" applyFill="1" applyFont="1" applyNumberFormat="1">
      <alignment readingOrder="0"/>
    </xf>
    <xf borderId="0" fillId="0" fontId="1" numFmtId="0" xfId="0" applyFont="1"/>
    <xf borderId="0" fillId="5" fontId="19" numFmtId="0" xfId="0" applyAlignment="1" applyFont="1">
      <alignment readingOrder="0"/>
    </xf>
    <xf borderId="0" fillId="0" fontId="20" numFmtId="0" xfId="0" applyFont="1"/>
    <xf borderId="0" fillId="0" fontId="21" numFmtId="0" xfId="0" applyAlignment="1" applyFont="1">
      <alignment readingOrder="0"/>
    </xf>
    <xf borderId="0" fillId="0" fontId="1" numFmtId="49" xfId="0" applyAlignment="1" applyFont="1" applyNumberFormat="1">
      <alignment readingOrder="0"/>
    </xf>
    <xf borderId="0" fillId="0" fontId="1" numFmtId="49" xfId="0" applyFont="1" applyNumberFormat="1"/>
    <xf borderId="0" fillId="5" fontId="19" numFmtId="49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8761D"/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2.63"/>
    <col customWidth="1" min="2" max="2" width="28.5"/>
    <col customWidth="1" min="3" max="3" width="25.63"/>
    <col customWidth="1" min="4" max="4" width="19.88"/>
    <col customWidth="1" min="5" max="5" width="18.0"/>
    <col customWidth="1" min="6" max="6" width="20.13"/>
  </cols>
  <sheetData>
    <row r="1">
      <c r="A1" s="1"/>
      <c r="B1" s="2" t="s">
        <v>0</v>
      </c>
      <c r="C1" s="3"/>
      <c r="D1" s="3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ht="11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ht="23.25" customHeight="1">
      <c r="A3" s="5"/>
      <c r="B3" s="6" t="s">
        <v>1</v>
      </c>
      <c r="C3" s="7">
        <v>24.0</v>
      </c>
      <c r="D3" s="8" t="s">
        <v>2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ht="23.25" customHeight="1">
      <c r="A4" s="5"/>
      <c r="B4" s="9" t="s">
        <v>3</v>
      </c>
      <c r="C4" s="10" t="s">
        <v>4</v>
      </c>
      <c r="D4" s="8" t="s">
        <v>5</v>
      </c>
      <c r="E4" s="1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ht="23.25" customHeight="1">
      <c r="A5" s="5"/>
      <c r="B5" s="9" t="s">
        <v>6</v>
      </c>
      <c r="C5" s="10" t="s">
        <v>7</v>
      </c>
      <c r="D5" s="11"/>
      <c r="E5" s="1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ht="23.25" customHeight="1">
      <c r="A6" s="5"/>
      <c r="B6" s="9" t="s">
        <v>8</v>
      </c>
      <c r="C6" s="12">
        <v>0.0</v>
      </c>
      <c r="D6" s="8" t="s">
        <v>9</v>
      </c>
      <c r="E6" s="1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ht="23.25" customHeight="1">
      <c r="A7" s="5"/>
      <c r="B7" s="9" t="s">
        <v>10</v>
      </c>
      <c r="C7" s="10" t="s">
        <v>11</v>
      </c>
      <c r="D7" s="11"/>
      <c r="E7" s="1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ht="23.25" customHeight="1">
      <c r="A8" s="5"/>
      <c r="B8" s="9" t="s">
        <v>12</v>
      </c>
      <c r="C8" s="13" t="s">
        <v>13</v>
      </c>
      <c r="D8" s="8" t="s">
        <v>14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ht="23.25" customHeight="1">
      <c r="A9" s="5"/>
      <c r="B9" s="9" t="s">
        <v>15</v>
      </c>
      <c r="C9" s="14" t="s">
        <v>16</v>
      </c>
      <c r="D9" s="8" t="s">
        <v>17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ht="23.25" customHeight="1">
      <c r="A10" s="5"/>
      <c r="B10" s="15" t="s">
        <v>18</v>
      </c>
      <c r="C10" s="16" t="s">
        <v>19</v>
      </c>
      <c r="D10" s="8" t="s">
        <v>20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ht="12.0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/>
      <c r="B12" s="17" t="s">
        <v>21</v>
      </c>
      <c r="C12" s="17" t="s">
        <v>22</v>
      </c>
      <c r="D12" s="17" t="s">
        <v>23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/>
      <c r="B13" s="18">
        <f>(D13*C3+(D13*(MIN(C6,'Paramètres'!F2)*'Paramètres'!E2))+if(C7="Oui",D13*'Paramètres'!D2,0)) * (1+if(C9="Haut",'Paramètres'!C2,if(C9="Bas",-'Paramètres'!C2,0))+if(C10="Plutôt meilleure",'Paramètres'!A2,if(C10="Plutôt moins bonne",-'Paramètres'!A2,0))+if(C5="Maison",'Paramètres'!B2,0))</f>
        <v>109494.84</v>
      </c>
      <c r="C13" s="19">
        <f>if(C3&gt;0,B13/C3,0)</f>
        <v>4562.285</v>
      </c>
      <c r="D13" s="20">
        <f>if(sum(D17:D20)&gt;0,AVERAGE(D17:D20)/C3,0)</f>
        <v>3342.333333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ht="12.0" customHeight="1">
      <c r="A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/>
      <c r="B15" s="21"/>
      <c r="C15" s="22" t="s">
        <v>24</v>
      </c>
      <c r="D15" s="23"/>
      <c r="E15" s="24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/>
      <c r="B16" s="25"/>
      <c r="C16" s="26" t="s">
        <v>25</v>
      </c>
      <c r="D16" s="26" t="s">
        <v>26</v>
      </c>
      <c r="E16" s="27" t="s">
        <v>27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/>
      <c r="B17" s="28" t="str">
        <f>HYPERLINK(Efficity!C11,"Efficity")</f>
        <v>Efficity</v>
      </c>
      <c r="C17" s="29">
        <f>IFNA(IF(C3*Efficity!C2&gt;0,C3*Efficity!C2,"-"),"-")</f>
        <v>52320</v>
      </c>
      <c r="D17" s="29">
        <f>IFNA(IF(C3*Efficity!B2&gt;0,C3*Efficity!B2,"-"),"-")</f>
        <v>77040</v>
      </c>
      <c r="E17" s="30">
        <f>IFNA(IF(C3*Efficity!C3&gt;0,C3*Efficity!C3,"-"),"-")</f>
        <v>108960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/>
      <c r="B18" s="28" t="str">
        <f>HYPERLINK('Le Figaro'!B4,"Le Figaro")</f>
        <v>Le Figaro</v>
      </c>
      <c r="C18" s="31">
        <f>IFNA(IF('Le Figaro'!C6*C3&gt;0,'Le Figaro'!C6*C3,"-"),"-")</f>
        <v>61248</v>
      </c>
      <c r="D18" s="29">
        <f>IFNA(IF('Le Figaro'!B5*C3&gt;0,'Le Figaro'!B5*C3,"-"),"-")</f>
        <v>85416</v>
      </c>
      <c r="E18" s="32">
        <f>IFNA(IF('Le Figaro'!C7*C3&gt;0,'Le Figaro'!C7*C3,"-"),"-")</f>
        <v>115320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/>
      <c r="B19" s="28" t="str">
        <f>HYPERLINK(Bienici!A2,"Bien ici")</f>
        <v>Bien ici</v>
      </c>
      <c r="C19" s="31" t="s">
        <v>28</v>
      </c>
      <c r="D19" s="29" t="str">
        <f>IFNA(IF(Bienici!B4*C3&gt;0,Bienici!B4*C3,"-"),"-")</f>
        <v>-</v>
      </c>
      <c r="E19" s="32" t="s">
        <v>28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/>
      <c r="B20" s="33" t="str">
        <f>HYPERLINK(Notaires!B1,"Notaires.fr")</f>
        <v>Notaires.fr</v>
      </c>
      <c r="C20" s="34">
        <f>IFNA(IF(Notaires!P5*C3&gt;0,Notaires!P5*C3,"-"),"-")</f>
        <v>63936</v>
      </c>
      <c r="D20" s="34">
        <f>IFNA(IF(Notaires!O5*C3&gt;0,Notaires!O5*C3,"-"),"-")</f>
        <v>78192</v>
      </c>
      <c r="E20" s="35">
        <f>IFNA(IF(Notaires!Q5*C3&gt;0,Notaires!Q5*C3,"-"),"-")</f>
        <v>92736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</row>
  </sheetData>
  <mergeCells count="2">
    <mergeCell ref="B1:E1"/>
    <mergeCell ref="C15:E15"/>
  </mergeCells>
  <dataValidations>
    <dataValidation type="list" allowBlank="1" showErrorMessage="1" sqref="C5">
      <formula1>"Appartement,Maison"</formula1>
    </dataValidation>
    <dataValidation type="list" allowBlank="1" showErrorMessage="1" sqref="C8">
      <formula1>'Recherche ville'!$A$2:$A$20</formula1>
    </dataValidation>
    <dataValidation type="list" allowBlank="1" showErrorMessage="1" sqref="C10">
      <formula1>"Plutôt meilleure,Dans la moyenne,Plutôt moins bonne"</formula1>
    </dataValidation>
    <dataValidation type="list" allowBlank="1" showErrorMessage="1" sqref="C7">
      <formula1>"Non,Oui"</formula1>
    </dataValidation>
    <dataValidation type="list" allowBlank="1" showErrorMessage="1" sqref="C9">
      <formula1>"Haut,Normal,Bas"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8761D"/>
    <outlinePr summaryBelow="0" summaryRight="0"/>
  </sheetPr>
  <sheetViews>
    <sheetView workbookViewId="0"/>
  </sheetViews>
  <sheetFormatPr customHeight="1" defaultColWidth="12.63" defaultRowHeight="15.75"/>
  <cols>
    <col customWidth="1" min="1" max="1" width="10.5"/>
    <col customWidth="1" min="2" max="2" width="10.88"/>
    <col customWidth="1" min="3" max="3" width="10.13"/>
    <col customWidth="1" min="4" max="4" width="17.0"/>
    <col customWidth="1" min="5" max="5" width="20.38"/>
  </cols>
  <sheetData>
    <row r="1">
      <c r="A1" s="36" t="s">
        <v>29</v>
      </c>
      <c r="B1" s="36" t="s">
        <v>30</v>
      </c>
      <c r="C1" s="36" t="s">
        <v>31</v>
      </c>
      <c r="D1" s="36" t="s">
        <v>32</v>
      </c>
      <c r="E1" s="36" t="s">
        <v>33</v>
      </c>
      <c r="F1" s="36" t="s">
        <v>34</v>
      </c>
    </row>
    <row r="2">
      <c r="A2" s="37">
        <v>0.14</v>
      </c>
      <c r="B2" s="37">
        <v>0.08</v>
      </c>
      <c r="C2" s="37">
        <v>0.05</v>
      </c>
      <c r="D2" s="38">
        <v>4.0</v>
      </c>
      <c r="E2" s="37">
        <v>0.35</v>
      </c>
      <c r="F2" s="38">
        <v>200.0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cols>
    <col customWidth="1" min="1" max="1" width="10.75"/>
    <col customWidth="1" min="2" max="2" width="21.88"/>
    <col customWidth="1" min="3" max="3" width="20.75"/>
    <col customWidth="1" min="4" max="4" width="20.63"/>
  </cols>
  <sheetData>
    <row r="1" ht="12.0" customHeight="1"/>
    <row r="2">
      <c r="A2" s="38" t="s">
        <v>35</v>
      </c>
      <c r="B2" s="39">
        <f>IFERROR(__xludf.DUMMYFUNCTION("IMPORTXML(C11,""//*/div[@class='squaremeter-head-price-details']/p/strong"")"),3210.0)</f>
        <v>3210</v>
      </c>
      <c r="C2" s="39">
        <f>IFERROR(__xludf.DUMMYFUNCTION("IMPORTXML(C11,""//*/div[@class='squaremeter-head-price-details']/div/p/strong"")"),2180.0)</f>
        <v>2180</v>
      </c>
      <c r="D2" s="38" t="s">
        <v>36</v>
      </c>
    </row>
    <row r="3">
      <c r="A3" s="38" t="s">
        <v>37</v>
      </c>
      <c r="B3" s="39">
        <f>IFERROR(__xludf.DUMMYFUNCTION("""COMPUTED_VALUE"""),2890.0)</f>
        <v>2890</v>
      </c>
      <c r="C3" s="39">
        <f>IFERROR(__xludf.DUMMYFUNCTION("""COMPUTED_VALUE"""),4540.0)</f>
        <v>4540</v>
      </c>
      <c r="D3" s="38" t="s">
        <v>38</v>
      </c>
    </row>
    <row r="4">
      <c r="B4" s="39">
        <f>IFERROR(__xludf.DUMMYFUNCTION("""COMPUTED_VALUE"""),3780.0)</f>
        <v>3780</v>
      </c>
      <c r="C4" s="39">
        <f>IFERROR(__xludf.DUMMYFUNCTION("""COMPUTED_VALUE"""),2140.0)</f>
        <v>2140</v>
      </c>
      <c r="D4" s="38" t="s">
        <v>39</v>
      </c>
    </row>
    <row r="5">
      <c r="B5" s="39">
        <f>IFERROR(__xludf.DUMMYFUNCTION("""COMPUTED_VALUE"""),3320.0)</f>
        <v>3320</v>
      </c>
      <c r="C5" s="39">
        <f>IFERROR(__xludf.DUMMYFUNCTION("""COMPUTED_VALUE"""),3950.0)</f>
        <v>3950</v>
      </c>
      <c r="D5" s="38" t="s">
        <v>40</v>
      </c>
    </row>
    <row r="6">
      <c r="B6" s="40"/>
      <c r="C6" s="40">
        <f>IFERROR(__xludf.DUMMYFUNCTION("""COMPUTED_VALUE"""),2980.0)</f>
        <v>2980</v>
      </c>
      <c r="D6" s="40" t="str">
        <f>IFERROR(__xludf.DUMMYFUNCTION("REGEXREPLACE(REGEXREPLACE(D2,""m2"",""""),""\D+"","""")"),"")</f>
        <v/>
      </c>
    </row>
    <row r="7">
      <c r="C7" s="39">
        <f>IFERROR(__xludf.DUMMYFUNCTION("""COMPUTED_VALUE"""),4900.0)</f>
        <v>4900</v>
      </c>
    </row>
    <row r="8">
      <c r="C8" s="39">
        <f>IFERROR(__xludf.DUMMYFUNCTION("""COMPUTED_VALUE"""),2580.0)</f>
        <v>2580</v>
      </c>
    </row>
    <row r="9">
      <c r="C9" s="39">
        <f>IFERROR(__xludf.DUMMYFUNCTION("""COMPUTED_VALUE"""),4060.0)</f>
        <v>4060</v>
      </c>
    </row>
    <row r="11">
      <c r="B11" s="41" t="s">
        <v>41</v>
      </c>
      <c r="C11" s="42" t="str">
        <f>"https://www.efficity.com/prix-immobilier-m2/v_"&amp;SUBSTITUTE(LOWER(Estimation!C8)," ","-")&amp;"_"&amp;LEFT(Estimation!C4,2)</f>
        <v>https://www.efficity.com/prix-immobilier-m2/v_angers_49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cols>
    <col customWidth="1" min="1" max="1" width="26.38"/>
    <col customWidth="1" min="2" max="2" width="19.38"/>
    <col customWidth="1" min="3" max="3" width="34.0"/>
  </cols>
  <sheetData>
    <row r="1" ht="12.0" customHeight="1"/>
    <row r="2">
      <c r="A2" s="42" t="str">
        <f>"https://www.bienici.com"&amp;B12</f>
        <v>https://www.bienici.com</v>
      </c>
      <c r="E2" s="38"/>
    </row>
    <row r="3">
      <c r="A3" s="38" t="s">
        <v>7</v>
      </c>
      <c r="B3" s="43" t="str">
        <f>IFERROR(__xludf.DUMMYFUNCTION("REGEXREPLACE(B7,""m2|€| |/|\D"", """")"),"")</f>
        <v/>
      </c>
      <c r="E3" s="38"/>
    </row>
    <row r="4">
      <c r="B4" s="40" t="str">
        <f>IFERROR(__xludf.DUMMYFUNCTION("REGEXREPLACE(A7,""m2|€| |/|\D"", """")"),"")</f>
        <v/>
      </c>
      <c r="E4" s="38"/>
    </row>
    <row r="5">
      <c r="E5" s="38"/>
    </row>
    <row r="6">
      <c r="A6" s="44" t="str">
        <f>IFERROR(__xludf.DUMMYFUNCTION("IMPORTXML(A2,""//div[@class='appart-info-line']"")"),"#N/A")</f>
        <v>#N/A</v>
      </c>
    </row>
    <row r="11">
      <c r="A11" s="44" t="str">
        <f>importJSON("https://www.bienici.com/prix-immobilier/searchplace/"&amp;'Recherche ville'!C2,"")</f>
        <v>#ERROR!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sheetData>
    <row r="3">
      <c r="A3" s="38" t="s">
        <v>42</v>
      </c>
      <c r="B3" s="45" t="str">
        <f>SUBSTITUTE(LOWER(Estimation!C8)," ","-")</f>
        <v>angers</v>
      </c>
    </row>
    <row r="4">
      <c r="A4" s="38" t="s">
        <v>43</v>
      </c>
      <c r="B4" s="46" t="str">
        <f>"https://immobilier.lefigaro.fr/prix-immobilier/"&amp;B3&amp;"/ville-"&amp;'Recherche ville'!B2</f>
        <v>https://immobilier.lefigaro.fr/prix-immobilier/angers/ville-49007</v>
      </c>
    </row>
    <row r="5">
      <c r="A5" s="38" t="s">
        <v>44</v>
      </c>
      <c r="B5" s="40" t="str">
        <f>IFERROR(__xludf.DUMMYFUNCTION("REGEXREPLACE(importXML(B4,""//*[@id='jStickySize']/div[3]/div[1]/strong""),""m2|€| |/"", """")"),"3559")</f>
        <v>3559</v>
      </c>
    </row>
    <row r="6">
      <c r="A6" s="44" t="str">
        <f>IFERROR(__xludf.DUMMYFUNCTION("importXML(B4,""/html/body/div[2]/div/div[2]/div[2]/div[1]/div/main/div/div/div[1]/div[6]/div[1]"")"),"Prix bas")</f>
        <v>Prix bas</v>
      </c>
      <c r="B6" s="44" t="str">
        <f>IFERROR(__xludf.DUMMYFUNCTION("""COMPUTED_VALUE""")," 2 552 €/m2 ")</f>
        <v> 2 552 €/m2 </v>
      </c>
      <c r="C6" s="44" t="str">
        <f>IFERROR(__xludf.DUMMYFUNCTION("REGEXREPLACE(B6,""m2|€| |/"", """")"),"2552")</f>
        <v>2552</v>
      </c>
    </row>
    <row r="7">
      <c r="A7" s="38" t="str">
        <f>IFERROR(__xludf.DUMMYFUNCTION("importXML(B4,""/html/body/div[2]/div/div[2]/div[2]/div[1]/div/main/div/div/div[1]/div[6]/div[3]"")"),"Prix haut")</f>
        <v>Prix haut</v>
      </c>
      <c r="B7" s="44" t="str">
        <f>IFERROR(__xludf.DUMMYFUNCTION("""COMPUTED_VALUE""")," 4 805 €/m2 ")</f>
        <v> 4 805 €/m2 </v>
      </c>
      <c r="C7" s="44" t="str">
        <f>IFERROR(__xludf.DUMMYFUNCTION("REGEXREPLACE(B7,""m2|€| |/"", """")"),"4805")</f>
        <v>4805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sheetData>
    <row r="1">
      <c r="A1" s="38" t="s">
        <v>45</v>
      </c>
      <c r="B1" s="47" t="str">
        <f>"https://www.immobilier.notaires.fr/fr/prix-immobilier?typeLocalisation=COMMUNE&amp;neuf=A&amp;codeInsee="&amp;'Recherche ville'!B2</f>
        <v>https://www.immobilier.notaires.fr/fr/prix-immobilier?typeLocalisation=COMMUNE&amp;neuf=A&amp;codeInsee=49007</v>
      </c>
    </row>
    <row r="2">
      <c r="A2" s="38" t="s">
        <v>43</v>
      </c>
      <c r="B2" s="46" t="str">
        <f>"https://www.immobilier.notaires.fr/pub-services/immodecret-stat1/v1/indicateurs?typeBien=AMA&amp;nivGeo=COMMUNE&amp;codeInsee="&amp;'Recherche ville'!B2&amp;"&amp;periode=1"</f>
        <v>https://www.immobilier.notaires.fr/pub-services/immodecret-stat1/v1/indicateurs?typeBien=AMA&amp;nivGeo=COMMUNE&amp;codeInsee=49007&amp;periode=1</v>
      </c>
    </row>
    <row r="4">
      <c r="A4" s="44" t="str">
        <f>importJSON(B2,"")</f>
        <v>Periode</v>
      </c>
      <c r="B4" s="44" t="s">
        <v>46</v>
      </c>
      <c r="C4" s="44" t="s">
        <v>47</v>
      </c>
      <c r="D4" s="44" t="s">
        <v>48</v>
      </c>
      <c r="E4" s="44" t="s">
        <v>49</v>
      </c>
      <c r="F4" s="44" t="s">
        <v>50</v>
      </c>
      <c r="G4" s="44" t="s">
        <v>51</v>
      </c>
      <c r="H4" s="44" t="s">
        <v>52</v>
      </c>
      <c r="I4" s="44" t="s">
        <v>53</v>
      </c>
      <c r="J4" s="44" t="s">
        <v>54</v>
      </c>
      <c r="K4" s="44" t="s">
        <v>55</v>
      </c>
      <c r="L4" s="44" t="s">
        <v>56</v>
      </c>
      <c r="M4" s="44" t="s">
        <v>57</v>
      </c>
      <c r="N4" s="44" t="s">
        <v>58</v>
      </c>
      <c r="O4" s="44" t="s">
        <v>59</v>
      </c>
      <c r="P4" s="44" t="s">
        <v>60</v>
      </c>
      <c r="Q4" s="44" t="s">
        <v>61</v>
      </c>
    </row>
    <row r="5">
      <c r="A5" s="44" t="s">
        <v>62</v>
      </c>
      <c r="B5" s="44" t="s">
        <v>63</v>
      </c>
      <c r="C5" s="44" t="s">
        <v>64</v>
      </c>
      <c r="D5" s="44" t="s">
        <v>64</v>
      </c>
      <c r="E5" s="44" t="s">
        <v>65</v>
      </c>
      <c r="F5" s="44" t="s">
        <v>66</v>
      </c>
      <c r="G5" s="44" t="s">
        <v>67</v>
      </c>
      <c r="H5" s="44" t="s">
        <v>68</v>
      </c>
      <c r="I5" s="44" t="s">
        <v>69</v>
      </c>
      <c r="J5" s="44" t="s">
        <v>70</v>
      </c>
      <c r="K5" s="44" t="s">
        <v>64</v>
      </c>
      <c r="L5" s="44" t="s">
        <v>64</v>
      </c>
      <c r="M5" s="44" t="s">
        <v>64</v>
      </c>
      <c r="N5" s="44" t="s">
        <v>71</v>
      </c>
      <c r="O5" s="44" t="s">
        <v>72</v>
      </c>
      <c r="P5" s="44" t="s">
        <v>73</v>
      </c>
      <c r="Q5" s="44" t="s">
        <v>74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cols>
    <col customWidth="1" min="1" max="1" width="14.25"/>
    <col customWidth="1" min="3" max="3" width="31.63"/>
    <col customWidth="1" min="4" max="5" width="24.13"/>
    <col customWidth="1" min="6" max="6" width="30.13"/>
    <col customWidth="1" min="7" max="7" width="18.5"/>
    <col customWidth="1" min="8" max="8" width="16.63"/>
  </cols>
  <sheetData>
    <row r="1">
      <c r="A1" s="38" t="s">
        <v>75</v>
      </c>
      <c r="B1" s="38" t="s">
        <v>76</v>
      </c>
      <c r="C1" s="38" t="s">
        <v>77</v>
      </c>
      <c r="D1" s="38" t="s">
        <v>78</v>
      </c>
      <c r="E1" s="38" t="s">
        <v>79</v>
      </c>
      <c r="F1" s="38" t="s">
        <v>80</v>
      </c>
      <c r="G1" s="38" t="s">
        <v>81</v>
      </c>
      <c r="H1" s="38" t="s">
        <v>82</v>
      </c>
    </row>
    <row r="2">
      <c r="A2" s="48" t="s">
        <v>83</v>
      </c>
      <c r="B2" s="38">
        <v>59416.0</v>
      </c>
      <c r="C2" s="38" t="s">
        <v>84</v>
      </c>
      <c r="D2" s="38" t="str">
        <f>IFERROR(__xludf.DUMMYFUNCTION("REGEXREPLACE(C2,""-\d+(.*)|--\d+(.*)"","""")"),"MORBECQUE")</f>
        <v>MORBECQUE</v>
      </c>
      <c r="E2" s="38" t="s">
        <v>85</v>
      </c>
      <c r="F2" s="38" t="s">
        <v>86</v>
      </c>
      <c r="G2" s="49" t="str">
        <f t="shared" ref="G2:G36746" si="1">IF(len(A2)&lt;5,"0"&amp;A2,A2)</f>
        <v>59190</v>
      </c>
      <c r="H2" s="49">
        <f t="shared" ref="H2:H36746" si="2">IF(LEN(B2)&lt;5,"0"&amp;B2,B2)</f>
        <v>59416</v>
      </c>
    </row>
    <row r="3">
      <c r="A3" s="48" t="s">
        <v>87</v>
      </c>
      <c r="B3" s="38">
        <v>22102.0</v>
      </c>
      <c r="C3" s="38" t="s">
        <v>88</v>
      </c>
      <c r="D3" s="38" t="str">
        <f>IFERROR(__xludf.DUMMYFUNCTION("REGEXREPLACE(C3,""-\d+(.*)|--\d+(.*)"","""")"),"LANGOURLA")</f>
        <v>LANGOURLA</v>
      </c>
      <c r="E3" s="38" t="s">
        <v>89</v>
      </c>
      <c r="F3" s="38" t="s">
        <v>90</v>
      </c>
      <c r="G3" s="49" t="str">
        <f t="shared" si="1"/>
        <v>22330</v>
      </c>
      <c r="H3" s="49">
        <f t="shared" si="2"/>
        <v>22102</v>
      </c>
    </row>
    <row r="4">
      <c r="A4" s="48" t="s">
        <v>91</v>
      </c>
      <c r="B4" s="38">
        <v>31225.0</v>
      </c>
      <c r="C4" s="38" t="s">
        <v>92</v>
      </c>
      <c r="D4" s="38" t="str">
        <f>IFERROR(__xludf.DUMMYFUNCTION("REGEXREPLACE(C4,""-\d+(.*)|--\d+(.*)"","""")"),"GOUTEVERNISSE")</f>
        <v>GOUTEVERNISSE</v>
      </c>
      <c r="E4" s="38" t="s">
        <v>93</v>
      </c>
      <c r="F4" s="38" t="s">
        <v>94</v>
      </c>
      <c r="G4" s="49" t="str">
        <f t="shared" si="1"/>
        <v>31310</v>
      </c>
      <c r="H4" s="49">
        <f t="shared" si="2"/>
        <v>31225</v>
      </c>
    </row>
    <row r="5">
      <c r="A5" s="48" t="s">
        <v>95</v>
      </c>
      <c r="B5" s="38">
        <v>23025.0</v>
      </c>
      <c r="C5" s="38" t="s">
        <v>96</v>
      </c>
      <c r="D5" s="38" t="str">
        <f>IFERROR(__xludf.DUMMYFUNCTION("REGEXREPLACE(C5,""-\d+(.*)|--\d+(.*)"","""")"),"BONNAT")</f>
        <v>BONNAT</v>
      </c>
      <c r="E5" s="38" t="s">
        <v>97</v>
      </c>
      <c r="F5" s="38" t="s">
        <v>98</v>
      </c>
      <c r="G5" s="49" t="str">
        <f t="shared" si="1"/>
        <v>23220</v>
      </c>
      <c r="H5" s="49">
        <f t="shared" si="2"/>
        <v>23025</v>
      </c>
    </row>
    <row r="6">
      <c r="A6" s="48" t="s">
        <v>99</v>
      </c>
      <c r="B6" s="38">
        <v>38522.0</v>
      </c>
      <c r="C6" s="38" t="s">
        <v>100</v>
      </c>
      <c r="D6" s="38" t="str">
        <f>IFERROR(__xludf.DUMMYFUNCTION("REGEXREPLACE(C6,""-\d+(.*)|--\d+(.*)"","""")"),"VALJOUFFREY")</f>
        <v>VALJOUFFREY</v>
      </c>
      <c r="E6" s="38" t="s">
        <v>101</v>
      </c>
      <c r="F6" s="38" t="s">
        <v>102</v>
      </c>
      <c r="G6" s="49" t="str">
        <f t="shared" si="1"/>
        <v>38740</v>
      </c>
      <c r="H6" s="49">
        <f t="shared" si="2"/>
        <v>38522</v>
      </c>
    </row>
    <row r="7">
      <c r="A7" s="48" t="s">
        <v>103</v>
      </c>
      <c r="B7" s="38">
        <v>21249.0</v>
      </c>
      <c r="C7" s="38" t="s">
        <v>104</v>
      </c>
      <c r="D7" s="38" t="str">
        <f>IFERROR(__xludf.DUMMYFUNCTION("REGEXREPLACE(C7,""-\d+(.*)|--\d+(.*)"","""")"),"ESBARRES")</f>
        <v>ESBARRES</v>
      </c>
      <c r="E7" s="38" t="s">
        <v>105</v>
      </c>
      <c r="F7" s="38" t="s">
        <v>106</v>
      </c>
      <c r="G7" s="49" t="str">
        <f t="shared" si="1"/>
        <v>21170</v>
      </c>
      <c r="H7" s="49">
        <f t="shared" si="2"/>
        <v>21249</v>
      </c>
    </row>
    <row r="8">
      <c r="A8" s="48" t="s">
        <v>107</v>
      </c>
      <c r="B8" s="38">
        <v>62893.0</v>
      </c>
      <c r="C8" s="38" t="s">
        <v>108</v>
      </c>
      <c r="D8" s="38" t="str">
        <f>IFERROR(__xludf.DUMMYFUNCTION("REGEXREPLACE(C8,""-\d+(.*)|--\d+(.*)"","""")"),"WIMEREUX")</f>
        <v>WIMEREUX</v>
      </c>
      <c r="E8" s="38" t="s">
        <v>109</v>
      </c>
      <c r="F8" s="38" t="s">
        <v>86</v>
      </c>
      <c r="G8" s="49" t="str">
        <f t="shared" si="1"/>
        <v>62930</v>
      </c>
      <c r="H8" s="49">
        <f t="shared" si="2"/>
        <v>62893</v>
      </c>
    </row>
    <row r="9">
      <c r="A9" s="48" t="s">
        <v>110</v>
      </c>
      <c r="B9" s="38">
        <v>60331.0</v>
      </c>
      <c r="C9" s="38" t="s">
        <v>111</v>
      </c>
      <c r="D9" s="38" t="str">
        <f>IFERROR(__xludf.DUMMYFUNCTION("REGEXREPLACE(C9,""-\d+(.*)|--\d+(.*)"","""")"),"LABOSSE")</f>
        <v>LABOSSE</v>
      </c>
      <c r="E9" s="38" t="s">
        <v>112</v>
      </c>
      <c r="F9" s="38" t="s">
        <v>113</v>
      </c>
      <c r="G9" s="49" t="str">
        <f t="shared" si="1"/>
        <v>60590</v>
      </c>
      <c r="H9" s="49">
        <f t="shared" si="2"/>
        <v>60331</v>
      </c>
    </row>
    <row r="10">
      <c r="A10" s="48" t="s">
        <v>114</v>
      </c>
      <c r="B10" s="38">
        <v>62625.0</v>
      </c>
      <c r="C10" s="38" t="s">
        <v>115</v>
      </c>
      <c r="D10" s="38" t="str">
        <f>IFERROR(__xludf.DUMMYFUNCTION("REGEXREPLACE(C10,""-\d+(.*)|--\d+(.*)"","""")"),"NOYELLES-LES-HUMIERES")</f>
        <v>NOYELLES-LES-HUMIERES</v>
      </c>
      <c r="E10" s="38" t="s">
        <v>109</v>
      </c>
      <c r="F10" s="38" t="s">
        <v>86</v>
      </c>
      <c r="G10" s="49" t="str">
        <f t="shared" si="1"/>
        <v>62770</v>
      </c>
      <c r="H10" s="49">
        <f t="shared" si="2"/>
        <v>62625</v>
      </c>
    </row>
    <row r="11">
      <c r="A11" s="48" t="s">
        <v>116</v>
      </c>
      <c r="B11" s="38">
        <v>34277.0</v>
      </c>
      <c r="C11" s="38" t="s">
        <v>117</v>
      </c>
      <c r="D11" s="38" t="str">
        <f>IFERROR(__xludf.DUMMYFUNCTION("REGEXREPLACE(C11,""-\d+(.*)|--\d+(.*)"","""")"),"SAINT-MAURICE-NAVACELLES")</f>
        <v>SAINT-MAURICE-NAVACELLES</v>
      </c>
      <c r="E11" s="38" t="s">
        <v>118</v>
      </c>
      <c r="F11" s="38" t="s">
        <v>119</v>
      </c>
      <c r="G11" s="49" t="str">
        <f t="shared" si="1"/>
        <v>34520</v>
      </c>
      <c r="H11" s="49">
        <f t="shared" si="2"/>
        <v>34277</v>
      </c>
    </row>
    <row r="12">
      <c r="A12" s="48" t="s">
        <v>120</v>
      </c>
      <c r="B12" s="38">
        <v>45149.0</v>
      </c>
      <c r="C12" s="38" t="s">
        <v>121</v>
      </c>
      <c r="D12" s="38" t="str">
        <f>IFERROR(__xludf.DUMMYFUNCTION("REGEXREPLACE(C12,""-\d+(.*)|--\d+(.*)"","""")"),"FOUCHEROLLES")</f>
        <v>FOUCHEROLLES</v>
      </c>
      <c r="E12" s="38" t="s">
        <v>122</v>
      </c>
      <c r="F12" s="38" t="s">
        <v>123</v>
      </c>
      <c r="G12" s="49" t="str">
        <f t="shared" si="1"/>
        <v>45320</v>
      </c>
      <c r="H12" s="49">
        <f t="shared" si="2"/>
        <v>45149</v>
      </c>
    </row>
    <row r="13">
      <c r="A13" s="48" t="s">
        <v>124</v>
      </c>
      <c r="B13" s="38">
        <v>26176.0</v>
      </c>
      <c r="C13" s="38" t="s">
        <v>125</v>
      </c>
      <c r="D13" s="38" t="str">
        <f>IFERROR(__xludf.DUMMYFUNCTION("REGEXREPLACE(C13,""-\d+(.*)|--\d+(.*)"","""")"),"MARSANNE")</f>
        <v>MARSANNE</v>
      </c>
      <c r="E13" s="38" t="s">
        <v>126</v>
      </c>
      <c r="F13" s="38" t="s">
        <v>102</v>
      </c>
      <c r="G13" s="49" t="str">
        <f t="shared" si="1"/>
        <v>26740</v>
      </c>
      <c r="H13" s="49">
        <f t="shared" si="2"/>
        <v>26176</v>
      </c>
    </row>
    <row r="14">
      <c r="A14" s="48" t="s">
        <v>127</v>
      </c>
      <c r="B14" s="38">
        <v>51130.0</v>
      </c>
      <c r="C14" s="38" t="s">
        <v>128</v>
      </c>
      <c r="D14" s="38" t="str">
        <f>IFERROR(__xludf.DUMMYFUNCTION("REGEXREPLACE(C14,""-\d+(.*)|--\d+(.*)"","""")"),"CHARMONT")</f>
        <v>CHARMONT</v>
      </c>
      <c r="E14" s="38" t="s">
        <v>129</v>
      </c>
      <c r="F14" s="38" t="s">
        <v>130</v>
      </c>
      <c r="G14" s="49" t="str">
        <f t="shared" si="1"/>
        <v>51330</v>
      </c>
      <c r="H14" s="49">
        <f t="shared" si="2"/>
        <v>51130</v>
      </c>
    </row>
    <row r="15">
      <c r="A15" s="48" t="s">
        <v>131</v>
      </c>
      <c r="B15" s="38">
        <v>76592.0</v>
      </c>
      <c r="C15" s="38" t="s">
        <v>132</v>
      </c>
      <c r="D15" s="38" t="str">
        <f>IFERROR(__xludf.DUMMYFUNCTION("REGEXREPLACE(C15,""-\d+(.*)|--\d+(.*)"","""")"),"SAINT-JEAN-DE-FOLLEVILLE")</f>
        <v>SAINT-JEAN-DE-FOLLEVILLE</v>
      </c>
      <c r="E15" s="38" t="s">
        <v>133</v>
      </c>
      <c r="F15" s="38" t="s">
        <v>134</v>
      </c>
      <c r="G15" s="49" t="str">
        <f t="shared" si="1"/>
        <v>76170</v>
      </c>
      <c r="H15" s="49">
        <f t="shared" si="2"/>
        <v>76592</v>
      </c>
    </row>
    <row r="16">
      <c r="A16" s="48" t="s">
        <v>135</v>
      </c>
      <c r="B16" s="38">
        <v>14556.0</v>
      </c>
      <c r="C16" s="38" t="s">
        <v>136</v>
      </c>
      <c r="D16" s="38" t="str">
        <f>IFERROR(__xludf.DUMMYFUNCTION("REGEXREPLACE(C16,""-\d+(.*)|--\d+(.*)"","""")"),"SAINT-ANDRE-SUR-ORNE")</f>
        <v>SAINT-ANDRE-SUR-ORNE</v>
      </c>
      <c r="E16" s="38" t="s">
        <v>137</v>
      </c>
      <c r="F16" s="38" t="s">
        <v>138</v>
      </c>
      <c r="G16" s="49" t="str">
        <f t="shared" si="1"/>
        <v>14320</v>
      </c>
      <c r="H16" s="49">
        <f t="shared" si="2"/>
        <v>14556</v>
      </c>
    </row>
    <row r="17">
      <c r="A17" s="48" t="s">
        <v>139</v>
      </c>
      <c r="B17" s="38">
        <v>61411.0</v>
      </c>
      <c r="C17" s="38" t="s">
        <v>140</v>
      </c>
      <c r="D17" s="38" t="str">
        <f>IFERROR(__xludf.DUMMYFUNCTION("REGEXREPLACE(C17,""-\d+(.*)|--\d+(.*)"","""")"),"SAINT-JOUIN-DE-BLAVOU")</f>
        <v>SAINT-JOUIN-DE-BLAVOU</v>
      </c>
      <c r="E17" s="38" t="s">
        <v>141</v>
      </c>
      <c r="F17" s="38" t="s">
        <v>138</v>
      </c>
      <c r="G17" s="49" t="str">
        <f t="shared" si="1"/>
        <v>61360</v>
      </c>
      <c r="H17" s="49">
        <f t="shared" si="2"/>
        <v>61411</v>
      </c>
    </row>
    <row r="18">
      <c r="A18" s="48" t="s">
        <v>142</v>
      </c>
      <c r="B18" s="38">
        <v>7060.0</v>
      </c>
      <c r="C18" s="38" t="s">
        <v>143</v>
      </c>
      <c r="D18" s="38" t="str">
        <f>IFERROR(__xludf.DUMMYFUNCTION("REGEXREPLACE(C18,""-\d+(.*)|--\d+(.*)"","""")"),"CHATEAUNEUF-DE-VERNOUX")</f>
        <v>CHATEAUNEUF-DE-VERNOUX</v>
      </c>
      <c r="E18" s="38" t="s">
        <v>144</v>
      </c>
      <c r="F18" s="38" t="s">
        <v>102</v>
      </c>
      <c r="G18" s="49" t="str">
        <f t="shared" si="1"/>
        <v>07240</v>
      </c>
      <c r="H18" s="49" t="str">
        <f t="shared" si="2"/>
        <v>07060</v>
      </c>
    </row>
    <row r="19">
      <c r="A19" s="48" t="s">
        <v>145</v>
      </c>
      <c r="B19" s="38">
        <v>10196.0</v>
      </c>
      <c r="C19" s="38" t="s">
        <v>146</v>
      </c>
      <c r="D19" s="38" t="str">
        <f>IFERROR(__xludf.DUMMYFUNCTION("REGEXREPLACE(C19,""-\d+(.*)|--\d+(.*)"","""")"),"LIGNIERES")</f>
        <v>LIGNIERES</v>
      </c>
      <c r="E19" s="38" t="s">
        <v>147</v>
      </c>
      <c r="F19" s="38" t="s">
        <v>130</v>
      </c>
      <c r="G19" s="49" t="str">
        <f t="shared" si="1"/>
        <v>10130</v>
      </c>
      <c r="H19" s="49">
        <f t="shared" si="2"/>
        <v>10196</v>
      </c>
    </row>
    <row r="20">
      <c r="A20" s="48" t="s">
        <v>148</v>
      </c>
      <c r="B20" s="38">
        <v>68062.0</v>
      </c>
      <c r="C20" s="38" t="s">
        <v>149</v>
      </c>
      <c r="D20" s="38" t="str">
        <f>IFERROR(__xludf.DUMMYFUNCTION("REGEXREPLACE(C20,""-\d+(.*)|--\d+(.*)"","""")"),"CARSPACH")</f>
        <v>CARSPACH</v>
      </c>
      <c r="E20" s="38" t="s">
        <v>150</v>
      </c>
      <c r="F20" s="38" t="s">
        <v>151</v>
      </c>
      <c r="G20" s="49" t="str">
        <f t="shared" si="1"/>
        <v>68130</v>
      </c>
      <c r="H20" s="49">
        <f t="shared" si="2"/>
        <v>68062</v>
      </c>
    </row>
    <row r="21">
      <c r="A21" s="48" t="s">
        <v>152</v>
      </c>
      <c r="B21" s="38">
        <v>48076.0</v>
      </c>
      <c r="C21" s="38" t="s">
        <v>153</v>
      </c>
      <c r="D21" s="38" t="str">
        <f>IFERROR(__xludf.DUMMYFUNCTION("REGEXREPLACE(C21,""-\d+(.*)|--\d+(.*)"","""")"),"JAVOLS")</f>
        <v>JAVOLS</v>
      </c>
      <c r="E21" s="38" t="s">
        <v>154</v>
      </c>
      <c r="F21" s="38" t="s">
        <v>119</v>
      </c>
      <c r="G21" s="49" t="str">
        <f t="shared" si="1"/>
        <v>48130</v>
      </c>
      <c r="H21" s="49">
        <f t="shared" si="2"/>
        <v>48076</v>
      </c>
    </row>
    <row r="22">
      <c r="A22" s="48" t="s">
        <v>155</v>
      </c>
      <c r="B22" s="38">
        <v>50345.0</v>
      </c>
      <c r="C22" s="38" t="s">
        <v>156</v>
      </c>
      <c r="D22" s="38" t="str">
        <f>IFERROR(__xludf.DUMMYFUNCTION("REGEXREPLACE(C22,""-\d+(.*)|--\d+(.*)"","""")"),"MONTHUCHON")</f>
        <v>MONTHUCHON</v>
      </c>
      <c r="E22" s="38" t="s">
        <v>157</v>
      </c>
      <c r="F22" s="38" t="s">
        <v>138</v>
      </c>
      <c r="G22" s="49" t="str">
        <f t="shared" si="1"/>
        <v>50200</v>
      </c>
      <c r="H22" s="49">
        <f t="shared" si="2"/>
        <v>50345</v>
      </c>
    </row>
    <row r="23">
      <c r="A23" s="48" t="s">
        <v>158</v>
      </c>
      <c r="B23" s="38">
        <v>3028.0</v>
      </c>
      <c r="C23" s="38" t="s">
        <v>159</v>
      </c>
      <c r="D23" s="38" t="str">
        <f>IFERROR(__xludf.DUMMYFUNCTION("REGEXREPLACE(C23,""-\d+(.*)|--\d+(.*)"","""")"),"BILLEZOIS")</f>
        <v>BILLEZOIS</v>
      </c>
      <c r="E23" s="38" t="s">
        <v>160</v>
      </c>
      <c r="F23" s="38" t="s">
        <v>161</v>
      </c>
      <c r="G23" s="49" t="str">
        <f t="shared" si="1"/>
        <v>03120</v>
      </c>
      <c r="H23" s="49" t="str">
        <f t="shared" si="2"/>
        <v>03028</v>
      </c>
    </row>
    <row r="24">
      <c r="A24" s="48" t="s">
        <v>162</v>
      </c>
      <c r="B24" s="38">
        <v>31317.0</v>
      </c>
      <c r="C24" s="38" t="s">
        <v>163</v>
      </c>
      <c r="D24" s="38" t="str">
        <f>IFERROR(__xludf.DUMMYFUNCTION("REGEXREPLACE(C24,""-\d+(.*)|--\d+(.*)"","""")"),"MARIGNAC-LASCLARES")</f>
        <v>MARIGNAC-LASCLARES</v>
      </c>
      <c r="E24" s="38" t="s">
        <v>93</v>
      </c>
      <c r="F24" s="38" t="s">
        <v>94</v>
      </c>
      <c r="G24" s="49" t="str">
        <f t="shared" si="1"/>
        <v>31430</v>
      </c>
      <c r="H24" s="49">
        <f t="shared" si="2"/>
        <v>31317</v>
      </c>
    </row>
    <row r="25">
      <c r="A25" s="48" t="s">
        <v>164</v>
      </c>
      <c r="B25" s="38">
        <v>42170.0</v>
      </c>
      <c r="C25" s="38" t="s">
        <v>165</v>
      </c>
      <c r="D25" s="38" t="str">
        <f>IFERROR(__xludf.DUMMYFUNCTION("REGEXREPLACE(C25,""-\d+(.*)|--\d+(.*)"","""")"),"PERREUX")</f>
        <v>PERREUX</v>
      </c>
      <c r="E25" s="38" t="s">
        <v>166</v>
      </c>
      <c r="F25" s="38" t="s">
        <v>102</v>
      </c>
      <c r="G25" s="49" t="str">
        <f t="shared" si="1"/>
        <v>42120</v>
      </c>
      <c r="H25" s="49">
        <f t="shared" si="2"/>
        <v>42170</v>
      </c>
    </row>
    <row r="26">
      <c r="A26" s="48" t="s">
        <v>167</v>
      </c>
      <c r="B26" s="38">
        <v>34045.0</v>
      </c>
      <c r="C26" s="38" t="s">
        <v>168</v>
      </c>
      <c r="D26" s="38" t="str">
        <f>IFERROR(__xludf.DUMMYFUNCTION("REGEXREPLACE(C26,""-\d+(.*)|--\d+(.*)"","""")"),"CABRIERES")</f>
        <v>CABRIERES</v>
      </c>
      <c r="E26" s="38" t="s">
        <v>118</v>
      </c>
      <c r="F26" s="38" t="s">
        <v>119</v>
      </c>
      <c r="G26" s="49" t="str">
        <f t="shared" si="1"/>
        <v>34800</v>
      </c>
      <c r="H26" s="49">
        <f t="shared" si="2"/>
        <v>34045</v>
      </c>
    </row>
    <row r="27">
      <c r="A27" s="48" t="s">
        <v>169</v>
      </c>
      <c r="B27" s="38">
        <v>14437.0</v>
      </c>
      <c r="C27" s="38" t="s">
        <v>170</v>
      </c>
      <c r="D27" s="38" t="str">
        <f>IFERROR(__xludf.DUMMYFUNCTION("REGEXREPLACE(C27,""-\d+(.*)|--\d+(.*)"","""")"),"MONDEVILLE")</f>
        <v>MONDEVILLE</v>
      </c>
      <c r="E27" s="38" t="s">
        <v>137</v>
      </c>
      <c r="F27" s="38" t="s">
        <v>138</v>
      </c>
      <c r="G27" s="49" t="str">
        <f t="shared" si="1"/>
        <v>14120</v>
      </c>
      <c r="H27" s="49">
        <f t="shared" si="2"/>
        <v>14437</v>
      </c>
    </row>
    <row r="28">
      <c r="A28" s="48" t="s">
        <v>171</v>
      </c>
      <c r="B28" s="38">
        <v>56124.0</v>
      </c>
      <c r="C28" s="38" t="s">
        <v>172</v>
      </c>
      <c r="D28" s="38" t="str">
        <f>IFERROR(__xludf.DUMMYFUNCTION("REGEXREPLACE(C28,""-\d+(.*)|--\d+(.*)"","""")"),"MALESTROIT")</f>
        <v>MALESTROIT</v>
      </c>
      <c r="E28" s="38" t="s">
        <v>173</v>
      </c>
      <c r="F28" s="38" t="s">
        <v>90</v>
      </c>
      <c r="G28" s="49" t="str">
        <f t="shared" si="1"/>
        <v>56140</v>
      </c>
      <c r="H28" s="49">
        <f t="shared" si="2"/>
        <v>56124</v>
      </c>
    </row>
    <row r="29">
      <c r="A29" s="48" t="s">
        <v>174</v>
      </c>
      <c r="B29" s="38">
        <v>29132.0</v>
      </c>
      <c r="C29" s="38" t="s">
        <v>175</v>
      </c>
      <c r="D29" s="38" t="str">
        <f>IFERROR(__xludf.DUMMYFUNCTION("REGEXREPLACE(C29,""-\d+(.*)|--\d+(.*)"","""")"),"LOCQUENOLE")</f>
        <v>LOCQUENOLE</v>
      </c>
      <c r="E29" s="38" t="s">
        <v>176</v>
      </c>
      <c r="F29" s="38" t="s">
        <v>90</v>
      </c>
      <c r="G29" s="49" t="str">
        <f t="shared" si="1"/>
        <v>29670</v>
      </c>
      <c r="H29" s="49">
        <f t="shared" si="2"/>
        <v>29132</v>
      </c>
    </row>
    <row r="30">
      <c r="A30" s="48" t="s">
        <v>177</v>
      </c>
      <c r="B30" s="38">
        <v>85289.0</v>
      </c>
      <c r="C30" s="38" t="s">
        <v>178</v>
      </c>
      <c r="D30" s="38" t="str">
        <f>IFERROR(__xludf.DUMMYFUNCTION("REGEXREPLACE(C30,""-\d+(.*)|--\d+(.*)"","""")"),"LA TARDIERE")</f>
        <v>LA TARDIERE</v>
      </c>
      <c r="E30" s="38" t="s">
        <v>179</v>
      </c>
      <c r="F30" s="38" t="s">
        <v>180</v>
      </c>
      <c r="G30" s="49" t="str">
        <f t="shared" si="1"/>
        <v>85120</v>
      </c>
      <c r="H30" s="49">
        <f t="shared" si="2"/>
        <v>85289</v>
      </c>
    </row>
    <row r="31">
      <c r="A31" s="48" t="s">
        <v>181</v>
      </c>
      <c r="B31" s="38">
        <v>51422.0</v>
      </c>
      <c r="C31" s="38" t="s">
        <v>182</v>
      </c>
      <c r="D31" s="38" t="str">
        <f>IFERROR(__xludf.DUMMYFUNCTION("REGEXREPLACE(C31,""-\d+(.*)|--\d+(.*)"","""")"),"PARGNY-LES-REIMS")</f>
        <v>PARGNY-LES-REIMS</v>
      </c>
      <c r="E31" s="38" t="s">
        <v>129</v>
      </c>
      <c r="F31" s="38" t="s">
        <v>130</v>
      </c>
      <c r="G31" s="49" t="str">
        <f t="shared" si="1"/>
        <v>51390</v>
      </c>
      <c r="H31" s="49">
        <f t="shared" si="2"/>
        <v>51422</v>
      </c>
    </row>
    <row r="32">
      <c r="A32" s="48" t="s">
        <v>183</v>
      </c>
      <c r="B32" s="38">
        <v>46257.0</v>
      </c>
      <c r="C32" s="38" t="s">
        <v>184</v>
      </c>
      <c r="D32" s="38" t="str">
        <f>IFERROR(__xludf.DUMMYFUNCTION("REGEXREPLACE(C32,""-\d+(.*)|--\d+(.*)"","""")"),"SAINT-CIRQ-MADELON")</f>
        <v>SAINT-CIRQ-MADELON</v>
      </c>
      <c r="E32" s="38" t="s">
        <v>185</v>
      </c>
      <c r="F32" s="38" t="s">
        <v>94</v>
      </c>
      <c r="G32" s="49" t="str">
        <f t="shared" si="1"/>
        <v>46300</v>
      </c>
      <c r="H32" s="49">
        <f t="shared" si="2"/>
        <v>46257</v>
      </c>
    </row>
    <row r="33">
      <c r="A33" s="48" t="s">
        <v>186</v>
      </c>
      <c r="B33" s="38">
        <v>41058.0</v>
      </c>
      <c r="C33" s="38" t="s">
        <v>187</v>
      </c>
      <c r="D33" s="38" t="str">
        <f>IFERROR(__xludf.DUMMYFUNCTION("REGEXREPLACE(C33,""-\d+(.*)|--\d+(.*)"","""")"),"CONCRIERS")</f>
        <v>CONCRIERS</v>
      </c>
      <c r="E33" s="38" t="s">
        <v>188</v>
      </c>
      <c r="F33" s="38" t="s">
        <v>123</v>
      </c>
      <c r="G33" s="49" t="str">
        <f t="shared" si="1"/>
        <v>41370</v>
      </c>
      <c r="H33" s="49">
        <f t="shared" si="2"/>
        <v>41058</v>
      </c>
    </row>
    <row r="34">
      <c r="A34" s="48" t="s">
        <v>189</v>
      </c>
      <c r="B34" s="38">
        <v>2366.0</v>
      </c>
      <c r="C34" s="38" t="s">
        <v>190</v>
      </c>
      <c r="D34" s="38" t="str">
        <f>IFERROR(__xludf.DUMMYFUNCTION("REGEXREPLACE(C34,""-\d+(.*)|--\d+(.*)"","""")"),"HANNAPES")</f>
        <v>HANNAPES</v>
      </c>
      <c r="E34" s="38" t="s">
        <v>191</v>
      </c>
      <c r="F34" s="38" t="s">
        <v>113</v>
      </c>
      <c r="G34" s="49" t="str">
        <f t="shared" si="1"/>
        <v>02510</v>
      </c>
      <c r="H34" s="49" t="str">
        <f t="shared" si="2"/>
        <v>02366</v>
      </c>
    </row>
    <row r="35">
      <c r="A35" s="48" t="s">
        <v>192</v>
      </c>
      <c r="B35" s="38">
        <v>88378.0</v>
      </c>
      <c r="C35" s="38" t="s">
        <v>193</v>
      </c>
      <c r="D35" s="38" t="str">
        <f>IFERROR(__xludf.DUMMYFUNCTION("REGEXREPLACE(C35,""-\d+(.*)|--\d+(.*)"","""")"),"REGNEY")</f>
        <v>REGNEY</v>
      </c>
      <c r="E35" s="38" t="s">
        <v>194</v>
      </c>
      <c r="F35" s="38" t="s">
        <v>195</v>
      </c>
      <c r="G35" s="49" t="str">
        <f t="shared" si="1"/>
        <v>88450</v>
      </c>
      <c r="H35" s="49">
        <f t="shared" si="2"/>
        <v>88378</v>
      </c>
    </row>
    <row r="36">
      <c r="A36" s="48" t="s">
        <v>196</v>
      </c>
      <c r="B36" s="38">
        <v>2378.0</v>
      </c>
      <c r="C36" s="38" t="s">
        <v>197</v>
      </c>
      <c r="D36" s="38" t="str">
        <f>IFERROR(__xludf.DUMMYFUNCTION("REGEXREPLACE(C36,""-\d+(.*)|--\d+(.*)"","""")"),"LA HERIE")</f>
        <v>LA HERIE</v>
      </c>
      <c r="E36" s="38" t="s">
        <v>191</v>
      </c>
      <c r="F36" s="38" t="s">
        <v>113</v>
      </c>
      <c r="G36" s="49" t="str">
        <f t="shared" si="1"/>
        <v>02500</v>
      </c>
      <c r="H36" s="49" t="str">
        <f t="shared" si="2"/>
        <v>02378</v>
      </c>
    </row>
    <row r="37">
      <c r="A37" s="48" t="s">
        <v>198</v>
      </c>
      <c r="B37" s="38">
        <v>65264.0</v>
      </c>
      <c r="C37" s="38" t="s">
        <v>199</v>
      </c>
      <c r="D37" s="38" t="str">
        <f>IFERROR(__xludf.DUMMYFUNCTION("REGEXREPLACE(C37,""-\d+(.*)|--\d+(.*)"","""")"),"LASCAZERES")</f>
        <v>LASCAZERES</v>
      </c>
      <c r="E37" s="38" t="s">
        <v>200</v>
      </c>
      <c r="F37" s="38" t="s">
        <v>94</v>
      </c>
      <c r="G37" s="49" t="str">
        <f t="shared" si="1"/>
        <v>65700</v>
      </c>
      <c r="H37" s="49">
        <f t="shared" si="2"/>
        <v>65264</v>
      </c>
    </row>
    <row r="38">
      <c r="A38" s="48" t="s">
        <v>201</v>
      </c>
      <c r="B38" s="38">
        <v>2211.0</v>
      </c>
      <c r="C38" s="38" t="s">
        <v>202</v>
      </c>
      <c r="D38" s="38" t="str">
        <f>IFERROR(__xludf.DUMMYFUNCTION("REGEXREPLACE(C38,""-\d+(.*)|--\d+(.*)"","""")"),"CONDE-SUR-SUIPPE")</f>
        <v>CONDE-SUR-SUIPPE</v>
      </c>
      <c r="E38" s="38" t="s">
        <v>191</v>
      </c>
      <c r="F38" s="38" t="s">
        <v>113</v>
      </c>
      <c r="G38" s="49" t="str">
        <f t="shared" si="1"/>
        <v>02190</v>
      </c>
      <c r="H38" s="49" t="str">
        <f t="shared" si="2"/>
        <v>02211</v>
      </c>
    </row>
    <row r="39">
      <c r="A39" s="48" t="s">
        <v>203</v>
      </c>
      <c r="B39" s="38">
        <v>37203.0</v>
      </c>
      <c r="C39" s="38" t="s">
        <v>204</v>
      </c>
      <c r="D39" s="38" t="str">
        <f>IFERROR(__xludf.DUMMYFUNCTION("REGEXREPLACE(C39,""-\d+(.*)|--\d+(.*)"","""")"),"ROCHECORBON")</f>
        <v>ROCHECORBON</v>
      </c>
      <c r="E39" s="38" t="s">
        <v>205</v>
      </c>
      <c r="F39" s="38" t="s">
        <v>123</v>
      </c>
      <c r="G39" s="49" t="str">
        <f t="shared" si="1"/>
        <v>37210</v>
      </c>
      <c r="H39" s="49">
        <f t="shared" si="2"/>
        <v>37203</v>
      </c>
    </row>
    <row r="40">
      <c r="A40" s="48" t="s">
        <v>206</v>
      </c>
      <c r="B40" s="38">
        <v>10151.0</v>
      </c>
      <c r="C40" s="38" t="s">
        <v>207</v>
      </c>
      <c r="D40" s="38" t="str">
        <f>IFERROR(__xludf.DUMMYFUNCTION("REGEXREPLACE(C40,""-\d+(.*)|--\d+(.*)"","""")"),"FONTAINE-LES-GRES")</f>
        <v>FONTAINE-LES-GRES</v>
      </c>
      <c r="E40" s="38" t="s">
        <v>147</v>
      </c>
      <c r="F40" s="38" t="s">
        <v>130</v>
      </c>
      <c r="G40" s="49" t="str">
        <f t="shared" si="1"/>
        <v>10280</v>
      </c>
      <c r="H40" s="49">
        <f t="shared" si="2"/>
        <v>10151</v>
      </c>
    </row>
    <row r="41">
      <c r="A41" s="48" t="s">
        <v>208</v>
      </c>
      <c r="B41" s="38">
        <v>67427.0</v>
      </c>
      <c r="C41" s="38" t="s">
        <v>209</v>
      </c>
      <c r="D41" s="38" t="str">
        <f>IFERROR(__xludf.DUMMYFUNCTION("REGEXREPLACE(C41,""-\d+(.*)|--\d+(.*)"","""")"),"SAINT-MAURICE")</f>
        <v>SAINT-MAURICE</v>
      </c>
      <c r="E41" s="38" t="s">
        <v>210</v>
      </c>
      <c r="F41" s="38" t="s">
        <v>151</v>
      </c>
      <c r="G41" s="49" t="str">
        <f t="shared" si="1"/>
        <v>67220</v>
      </c>
      <c r="H41" s="49">
        <f t="shared" si="2"/>
        <v>67427</v>
      </c>
    </row>
    <row r="42">
      <c r="A42" s="48" t="s">
        <v>211</v>
      </c>
      <c r="B42" s="38">
        <v>25017.0</v>
      </c>
      <c r="C42" s="38" t="s">
        <v>212</v>
      </c>
      <c r="D42" s="38" t="str">
        <f>IFERROR(__xludf.DUMMYFUNCTION("REGEXREPLACE(C42,""-\d+(.*)|--\d+(.*)"","""")"),"AMONDANS")</f>
        <v>AMONDANS</v>
      </c>
      <c r="E42" s="38" t="s">
        <v>213</v>
      </c>
      <c r="F42" s="38" t="s">
        <v>214</v>
      </c>
      <c r="G42" s="49" t="str">
        <f t="shared" si="1"/>
        <v>25330</v>
      </c>
      <c r="H42" s="49">
        <f t="shared" si="2"/>
        <v>25017</v>
      </c>
    </row>
    <row r="43">
      <c r="A43" s="48" t="s">
        <v>215</v>
      </c>
      <c r="B43" s="38">
        <v>2641.0</v>
      </c>
      <c r="C43" s="38" t="s">
        <v>216</v>
      </c>
      <c r="D43" s="38" t="str">
        <f>IFERROR(__xludf.DUMMYFUNCTION("REGEXREPLACE(C43,""-\d+(.*)|--\d+(.*)"","""")"),"RENNEVAL")</f>
        <v>RENNEVAL</v>
      </c>
      <c r="E43" s="38" t="s">
        <v>191</v>
      </c>
      <c r="F43" s="38" t="s">
        <v>113</v>
      </c>
      <c r="G43" s="49" t="str">
        <f t="shared" si="1"/>
        <v>02340</v>
      </c>
      <c r="H43" s="49" t="str">
        <f t="shared" si="2"/>
        <v>02641</v>
      </c>
    </row>
    <row r="44">
      <c r="A44" s="48" t="s">
        <v>217</v>
      </c>
      <c r="B44" s="38">
        <v>58045.0</v>
      </c>
      <c r="C44" s="38" t="s">
        <v>218</v>
      </c>
      <c r="D44" s="38" t="str">
        <f>IFERROR(__xludf.DUMMYFUNCTION("REGEXREPLACE(C44,""-\d+(.*)|--\d+(.*)"","""")"),"LA CELLE-SUR-NIEVRE")</f>
        <v>LA CELLE-SUR-NIEVRE</v>
      </c>
      <c r="E44" s="38" t="s">
        <v>219</v>
      </c>
      <c r="F44" s="38" t="s">
        <v>106</v>
      </c>
      <c r="G44" s="49" t="str">
        <f t="shared" si="1"/>
        <v>58700</v>
      </c>
      <c r="H44" s="49">
        <f t="shared" si="2"/>
        <v>58045</v>
      </c>
    </row>
    <row r="45">
      <c r="A45" s="48" t="s">
        <v>220</v>
      </c>
      <c r="B45" s="38">
        <v>67276.0</v>
      </c>
      <c r="C45" s="38" t="s">
        <v>221</v>
      </c>
      <c r="D45" s="38" t="str">
        <f>IFERROR(__xludf.DUMMYFUNCTION("REGEXREPLACE(C45,""-\d+(.*)|--\d+(.*)"","""")"),"LUTZELHOUSE")</f>
        <v>LUTZELHOUSE</v>
      </c>
      <c r="E45" s="38" t="s">
        <v>210</v>
      </c>
      <c r="F45" s="38" t="s">
        <v>151</v>
      </c>
      <c r="G45" s="49" t="str">
        <f t="shared" si="1"/>
        <v>67130</v>
      </c>
      <c r="H45" s="49">
        <f t="shared" si="2"/>
        <v>67276</v>
      </c>
    </row>
    <row r="46">
      <c r="A46" s="48" t="s">
        <v>222</v>
      </c>
      <c r="B46" s="38">
        <v>80329.0</v>
      </c>
      <c r="C46" s="38" t="s">
        <v>223</v>
      </c>
      <c r="D46" s="38" t="str">
        <f>IFERROR(__xludf.DUMMYFUNCTION("REGEXREPLACE(C46,""-\d+(.*)|--\d+(.*)"","""")"),"FORCEVILLE")</f>
        <v>FORCEVILLE</v>
      </c>
      <c r="E46" s="38" t="s">
        <v>224</v>
      </c>
      <c r="F46" s="38" t="s">
        <v>113</v>
      </c>
      <c r="G46" s="49" t="str">
        <f t="shared" si="1"/>
        <v>80560</v>
      </c>
      <c r="H46" s="49">
        <f t="shared" si="2"/>
        <v>80329</v>
      </c>
    </row>
    <row r="47">
      <c r="A47" s="48" t="s">
        <v>225</v>
      </c>
      <c r="B47" s="38">
        <v>6031.0</v>
      </c>
      <c r="C47" s="38" t="s">
        <v>226</v>
      </c>
      <c r="D47" s="38" t="str">
        <f>IFERROR(__xludf.DUMMYFUNCTION("REGEXREPLACE(C47,""-\d+(.*)|--\d+(.*)"","""")"),"CANTARON")</f>
        <v>CANTARON</v>
      </c>
      <c r="E47" s="38" t="s">
        <v>227</v>
      </c>
      <c r="F47" s="38" t="s">
        <v>228</v>
      </c>
      <c r="G47" s="49" t="str">
        <f t="shared" si="1"/>
        <v>06340</v>
      </c>
      <c r="H47" s="49" t="str">
        <f t="shared" si="2"/>
        <v>06031</v>
      </c>
    </row>
    <row r="48">
      <c r="A48" s="48" t="s">
        <v>229</v>
      </c>
      <c r="B48" s="38">
        <v>81024.0</v>
      </c>
      <c r="C48" s="38" t="s">
        <v>230</v>
      </c>
      <c r="D48" s="38" t="str">
        <f>IFERROR(__xludf.DUMMYFUNCTION("REGEXREPLACE(C48,""-\d+(.*)|--\d+(.*)"","""")"),"BEAUVAIS-SUR-TESCOU")</f>
        <v>BEAUVAIS-SUR-TESCOU</v>
      </c>
      <c r="E48" s="38" t="s">
        <v>231</v>
      </c>
      <c r="F48" s="38" t="s">
        <v>94</v>
      </c>
      <c r="G48" s="49" t="str">
        <f t="shared" si="1"/>
        <v>81630</v>
      </c>
      <c r="H48" s="49">
        <f t="shared" si="2"/>
        <v>81024</v>
      </c>
    </row>
    <row r="49">
      <c r="A49" s="48" t="s">
        <v>232</v>
      </c>
      <c r="B49" s="38">
        <v>52526.0</v>
      </c>
      <c r="C49" s="38" t="s">
        <v>233</v>
      </c>
      <c r="D49" s="38" t="str">
        <f>IFERROR(__xludf.DUMMYFUNCTION("REGEXREPLACE(C49,""-\d+(.*)|--\d+(.*)"","""")"),"VILLARS-SANTENOGE")</f>
        <v>VILLARS-SANTENOGE</v>
      </c>
      <c r="E49" s="38" t="s">
        <v>234</v>
      </c>
      <c r="F49" s="38" t="s">
        <v>130</v>
      </c>
      <c r="G49" s="49" t="str">
        <f t="shared" si="1"/>
        <v>52160</v>
      </c>
      <c r="H49" s="49">
        <f t="shared" si="2"/>
        <v>52526</v>
      </c>
    </row>
    <row r="50">
      <c r="A50" s="48" t="s">
        <v>142</v>
      </c>
      <c r="B50" s="38">
        <v>7338.0</v>
      </c>
      <c r="C50" s="38" t="s">
        <v>235</v>
      </c>
      <c r="D50" s="38" t="str">
        <f>IFERROR(__xludf.DUMMYFUNCTION("REGEXREPLACE(C50,""-\d+(.*)|--\d+(.*)"","""")"),"VERNOUX-EN-VIVARAIS")</f>
        <v>VERNOUX-EN-VIVARAIS</v>
      </c>
      <c r="E50" s="38" t="s">
        <v>144</v>
      </c>
      <c r="F50" s="38" t="s">
        <v>102</v>
      </c>
      <c r="G50" s="49" t="str">
        <f t="shared" si="1"/>
        <v>07240</v>
      </c>
      <c r="H50" s="49" t="str">
        <f t="shared" si="2"/>
        <v>07338</v>
      </c>
    </row>
    <row r="51">
      <c r="A51" s="48" t="s">
        <v>236</v>
      </c>
      <c r="B51" s="38">
        <v>9169.0</v>
      </c>
      <c r="C51" s="38" t="s">
        <v>237</v>
      </c>
      <c r="D51" s="38" t="str">
        <f>IFERROR(__xludf.DUMMYFUNCTION("REGEXREPLACE(C51,""-\d+(.*)|--\d+(.*)"","""")"),"LIMBRASSAC")</f>
        <v>LIMBRASSAC</v>
      </c>
      <c r="E51" s="38" t="s">
        <v>238</v>
      </c>
      <c r="F51" s="38" t="s">
        <v>94</v>
      </c>
      <c r="G51" s="49" t="str">
        <f t="shared" si="1"/>
        <v>09600</v>
      </c>
      <c r="H51" s="49" t="str">
        <f t="shared" si="2"/>
        <v>09169</v>
      </c>
    </row>
    <row r="52">
      <c r="A52" s="48" t="s">
        <v>239</v>
      </c>
      <c r="B52" s="38">
        <v>27663.0</v>
      </c>
      <c r="C52" s="38" t="s">
        <v>240</v>
      </c>
      <c r="D52" s="38" t="str">
        <f>IFERROR(__xludf.DUMMYFUNCTION("REGEXREPLACE(C52,""-\d+(.*)|--\d+(.*)"","""")"),"LE TRONCQ")</f>
        <v>LE TRONCQ</v>
      </c>
      <c r="E52" s="38" t="s">
        <v>241</v>
      </c>
      <c r="F52" s="38" t="s">
        <v>134</v>
      </c>
      <c r="G52" s="49" t="str">
        <f t="shared" si="1"/>
        <v>27110</v>
      </c>
      <c r="H52" s="49">
        <f t="shared" si="2"/>
        <v>27663</v>
      </c>
    </row>
    <row r="53">
      <c r="A53" s="48" t="s">
        <v>242</v>
      </c>
      <c r="B53" s="38">
        <v>77128.0</v>
      </c>
      <c r="C53" s="38" t="s">
        <v>243</v>
      </c>
      <c r="D53" s="38" t="str">
        <f>IFERROR(__xludf.DUMMYFUNCTION("REGEXREPLACE(C53,""-\d+(.*)|--\d+(.*)"","""")"),"COUILLY-PONT-AUX-DAMES")</f>
        <v>COUILLY-PONT-AUX-DAMES</v>
      </c>
      <c r="E53" s="38" t="s">
        <v>244</v>
      </c>
      <c r="F53" s="38" t="s">
        <v>245</v>
      </c>
      <c r="G53" s="49" t="str">
        <f t="shared" si="1"/>
        <v>77860</v>
      </c>
      <c r="H53" s="49">
        <f t="shared" si="2"/>
        <v>77128</v>
      </c>
    </row>
    <row r="54">
      <c r="A54" s="48" t="s">
        <v>246</v>
      </c>
      <c r="B54" s="38">
        <v>66071.0</v>
      </c>
      <c r="C54" s="38" t="s">
        <v>247</v>
      </c>
      <c r="D54" s="38" t="str">
        <f>IFERROR(__xludf.DUMMYFUNCTION("REGEXREPLACE(C54,""-\d+(.*)|--\d+(.*)"","""")"),"ESTAGEL")</f>
        <v>ESTAGEL</v>
      </c>
      <c r="E54" s="38" t="s">
        <v>248</v>
      </c>
      <c r="F54" s="38" t="s">
        <v>119</v>
      </c>
      <c r="G54" s="49" t="str">
        <f t="shared" si="1"/>
        <v>66310</v>
      </c>
      <c r="H54" s="49">
        <f t="shared" si="2"/>
        <v>66071</v>
      </c>
    </row>
    <row r="55">
      <c r="A55" s="48" t="s">
        <v>249</v>
      </c>
      <c r="B55" s="38">
        <v>47215.0</v>
      </c>
      <c r="C55" s="38" t="s">
        <v>250</v>
      </c>
      <c r="D55" s="38" t="str">
        <f>IFERROR(__xludf.DUMMYFUNCTION("REGEXREPLACE(C55,""-\d+(.*)|--\d+(.*)"","""")"),"PUJOLS")</f>
        <v>PUJOLS</v>
      </c>
      <c r="E55" s="38" t="s">
        <v>251</v>
      </c>
      <c r="F55" s="38" t="s">
        <v>252</v>
      </c>
      <c r="G55" s="49" t="str">
        <f t="shared" si="1"/>
        <v>47300</v>
      </c>
      <c r="H55" s="49">
        <f t="shared" si="2"/>
        <v>47215</v>
      </c>
    </row>
    <row r="56">
      <c r="A56" s="48" t="s">
        <v>253</v>
      </c>
      <c r="B56" s="38">
        <v>1026.0</v>
      </c>
      <c r="C56" s="38" t="s">
        <v>254</v>
      </c>
      <c r="D56" s="38" t="str">
        <f>IFERROR(__xludf.DUMMYFUNCTION("REGEXREPLACE(C56,""-\d+(.*)|--\d+(.*)"","""")"),"BAGE-LE-CHATEL")</f>
        <v>BAGE-LE-CHATEL</v>
      </c>
      <c r="E56" s="38" t="s">
        <v>255</v>
      </c>
      <c r="F56" s="38" t="s">
        <v>102</v>
      </c>
      <c r="G56" s="49" t="str">
        <f t="shared" si="1"/>
        <v>01380</v>
      </c>
      <c r="H56" s="49" t="str">
        <f t="shared" si="2"/>
        <v>01026</v>
      </c>
    </row>
    <row r="57">
      <c r="A57" s="48" t="s">
        <v>256</v>
      </c>
      <c r="B57" s="38">
        <v>36046.0</v>
      </c>
      <c r="C57" s="38" t="s">
        <v>257</v>
      </c>
      <c r="D57" s="38" t="str">
        <f>IFERROR(__xludf.DUMMYFUNCTION("REGEXREPLACE(C57,""-\d+(.*)|--\d+(.*)"","""")"),"LA CHATRE")</f>
        <v>LA CHATRE</v>
      </c>
      <c r="E57" s="38" t="s">
        <v>258</v>
      </c>
      <c r="F57" s="38" t="s">
        <v>123</v>
      </c>
      <c r="G57" s="49" t="str">
        <f t="shared" si="1"/>
        <v>36400</v>
      </c>
      <c r="H57" s="49">
        <f t="shared" si="2"/>
        <v>36046</v>
      </c>
    </row>
    <row r="58">
      <c r="A58" s="48" t="s">
        <v>259</v>
      </c>
      <c r="B58" s="38">
        <v>24028.0</v>
      </c>
      <c r="C58" s="38" t="s">
        <v>260</v>
      </c>
      <c r="D58" s="38" t="str">
        <f>IFERROR(__xludf.DUMMYFUNCTION("REGEXREPLACE(C58,""-\d+(.*)|--\d+(.*)"","""")"),"BEAUMONT-DU-PERIGORD")</f>
        <v>BEAUMONT-DU-PERIGORD</v>
      </c>
      <c r="E58" s="38" t="s">
        <v>261</v>
      </c>
      <c r="F58" s="38" t="s">
        <v>252</v>
      </c>
      <c r="G58" s="49" t="str">
        <f t="shared" si="1"/>
        <v>24440</v>
      </c>
      <c r="H58" s="49">
        <f t="shared" si="2"/>
        <v>24028</v>
      </c>
    </row>
    <row r="59">
      <c r="A59" s="48" t="s">
        <v>262</v>
      </c>
      <c r="B59" s="38">
        <v>9124.0</v>
      </c>
      <c r="C59" s="38" t="s">
        <v>263</v>
      </c>
      <c r="D59" s="38" t="str">
        <f>IFERROR(__xludf.DUMMYFUNCTION("REGEXREPLACE(C59,""-\d+(.*)|--\d+(.*)"","""")"),"LE FOSSAT")</f>
        <v>LE FOSSAT</v>
      </c>
      <c r="E59" s="38" t="s">
        <v>238</v>
      </c>
      <c r="F59" s="38" t="s">
        <v>94</v>
      </c>
      <c r="G59" s="49" t="str">
        <f t="shared" si="1"/>
        <v>09130</v>
      </c>
      <c r="H59" s="49" t="str">
        <f t="shared" si="2"/>
        <v>09124</v>
      </c>
    </row>
    <row r="60">
      <c r="A60" s="48" t="s">
        <v>264</v>
      </c>
      <c r="B60" s="38">
        <v>68113.0</v>
      </c>
      <c r="C60" s="38" t="s">
        <v>265</v>
      </c>
      <c r="D60" s="38" t="str">
        <f>IFERROR(__xludf.DUMMYFUNCTION("REGEXREPLACE(C60,""-\d+(.*)|--\d+(.*)"","""")"),"GUEMAR")</f>
        <v>GUEMAR</v>
      </c>
      <c r="E60" s="38" t="s">
        <v>150</v>
      </c>
      <c r="F60" s="38" t="s">
        <v>151</v>
      </c>
      <c r="G60" s="49" t="str">
        <f t="shared" si="1"/>
        <v>68970</v>
      </c>
      <c r="H60" s="49">
        <f t="shared" si="2"/>
        <v>68113</v>
      </c>
    </row>
    <row r="61">
      <c r="A61" s="48" t="s">
        <v>266</v>
      </c>
      <c r="B61" s="38">
        <v>64052.0</v>
      </c>
      <c r="C61" s="38" t="s">
        <v>267</v>
      </c>
      <c r="D61" s="38" t="str">
        <f>IFERROR(__xludf.DUMMYFUNCTION("REGEXREPLACE(C61,""-\d+(.*)|--\d+(.*)"","""")"),"ARRICAU-BORDES")</f>
        <v>ARRICAU-BORDES</v>
      </c>
      <c r="E61" s="38" t="s">
        <v>268</v>
      </c>
      <c r="F61" s="38" t="s">
        <v>252</v>
      </c>
      <c r="G61" s="49" t="str">
        <f t="shared" si="1"/>
        <v>64350</v>
      </c>
      <c r="H61" s="49">
        <f t="shared" si="2"/>
        <v>64052</v>
      </c>
    </row>
    <row r="62">
      <c r="A62" s="48" t="s">
        <v>269</v>
      </c>
      <c r="B62" s="38">
        <v>19118.0</v>
      </c>
      <c r="C62" s="38" t="s">
        <v>270</v>
      </c>
      <c r="D62" s="38" t="str">
        <f>IFERROR(__xludf.DUMMYFUNCTION("REGEXREPLACE(C62,""-\d+(.*)|--\d+(.*)"","""")"),"LE LONZAC")</f>
        <v>LE LONZAC</v>
      </c>
      <c r="E62" s="38" t="s">
        <v>271</v>
      </c>
      <c r="F62" s="38" t="s">
        <v>98</v>
      </c>
      <c r="G62" s="49" t="str">
        <f t="shared" si="1"/>
        <v>19470</v>
      </c>
      <c r="H62" s="49">
        <f t="shared" si="2"/>
        <v>19118</v>
      </c>
    </row>
    <row r="63">
      <c r="A63" s="48" t="s">
        <v>215</v>
      </c>
      <c r="B63" s="38">
        <v>2160.0</v>
      </c>
      <c r="C63" s="38" t="s">
        <v>272</v>
      </c>
      <c r="D63" s="38" t="str">
        <f>IFERROR(__xludf.DUMMYFUNCTION("REGEXREPLACE(C63,""-\d+(.*)|--\d+(.*)"","""")"),"CHAOURSE")</f>
        <v>CHAOURSE</v>
      </c>
      <c r="E63" s="38" t="s">
        <v>191</v>
      </c>
      <c r="F63" s="38" t="s">
        <v>113</v>
      </c>
      <c r="G63" s="49" t="str">
        <f t="shared" si="1"/>
        <v>02340</v>
      </c>
      <c r="H63" s="49" t="str">
        <f t="shared" si="2"/>
        <v>02160</v>
      </c>
    </row>
    <row r="64">
      <c r="A64" s="48" t="s">
        <v>273</v>
      </c>
      <c r="B64" s="38">
        <v>89334.0</v>
      </c>
      <c r="C64" s="38" t="s">
        <v>274</v>
      </c>
      <c r="D64" s="38" t="str">
        <f>IFERROR(__xludf.DUMMYFUNCTION("REGEXREPLACE(C64,""-\d+(.*)|--\d+(.*)"","""")"),"SAINT-AUBIN-CHATEAU-NEUF")</f>
        <v>SAINT-AUBIN-CHATEAU-NEUF</v>
      </c>
      <c r="E64" s="38" t="s">
        <v>275</v>
      </c>
      <c r="F64" s="38" t="s">
        <v>106</v>
      </c>
      <c r="G64" s="49" t="str">
        <f t="shared" si="1"/>
        <v>89110</v>
      </c>
      <c r="H64" s="49">
        <f t="shared" si="2"/>
        <v>89334</v>
      </c>
    </row>
    <row r="65">
      <c r="A65" s="48" t="s">
        <v>276</v>
      </c>
      <c r="B65" s="38">
        <v>11019.0</v>
      </c>
      <c r="C65" s="38" t="s">
        <v>277</v>
      </c>
      <c r="D65" s="38" t="str">
        <f>IFERROR(__xludf.DUMMYFUNCTION("REGEXREPLACE(C65,""-\d+(.*)|--\d+(.*)"","""")"),"AUNAT")</f>
        <v>AUNAT</v>
      </c>
      <c r="E65" s="38" t="s">
        <v>278</v>
      </c>
      <c r="F65" s="38" t="s">
        <v>119</v>
      </c>
      <c r="G65" s="49" t="str">
        <f t="shared" si="1"/>
        <v>11140</v>
      </c>
      <c r="H65" s="49">
        <f t="shared" si="2"/>
        <v>11019</v>
      </c>
    </row>
    <row r="66">
      <c r="A66" s="48" t="s">
        <v>279</v>
      </c>
      <c r="B66" s="38">
        <v>40162.0</v>
      </c>
      <c r="C66" s="38" t="s">
        <v>280</v>
      </c>
      <c r="D66" s="38" t="str">
        <f>IFERROR(__xludf.DUMMYFUNCTION("REGEXREPLACE(C66,""-\d+(.*)|--\d+(.*)"","""")"),"LUCBARDEZ-ET-BARGUES")</f>
        <v>LUCBARDEZ-ET-BARGUES</v>
      </c>
      <c r="E66" s="38" t="s">
        <v>281</v>
      </c>
      <c r="F66" s="38" t="s">
        <v>252</v>
      </c>
      <c r="G66" s="49" t="str">
        <f t="shared" si="1"/>
        <v>40090</v>
      </c>
      <c r="H66" s="49">
        <f t="shared" si="2"/>
        <v>40162</v>
      </c>
    </row>
    <row r="67">
      <c r="A67" s="48" t="s">
        <v>282</v>
      </c>
      <c r="B67" s="38">
        <v>46208.0</v>
      </c>
      <c r="C67" s="38" t="s">
        <v>283</v>
      </c>
      <c r="D67" s="38" t="str">
        <f>IFERROR(__xludf.DUMMYFUNCTION("REGEXREPLACE(C67,""-\d+(.*)|--\d+(.*)"","""")"),"MONTVALENT")</f>
        <v>MONTVALENT</v>
      </c>
      <c r="E67" s="38" t="s">
        <v>185</v>
      </c>
      <c r="F67" s="38" t="s">
        <v>94</v>
      </c>
      <c r="G67" s="49" t="str">
        <f t="shared" si="1"/>
        <v>46600</v>
      </c>
      <c r="H67" s="49">
        <f t="shared" si="2"/>
        <v>46208</v>
      </c>
    </row>
    <row r="68">
      <c r="A68" s="48" t="s">
        <v>284</v>
      </c>
      <c r="B68" s="38">
        <v>60538.0</v>
      </c>
      <c r="C68" s="38" t="s">
        <v>285</v>
      </c>
      <c r="D68" s="38" t="str">
        <f>IFERROR(__xludf.DUMMYFUNCTION("REGEXREPLACE(C68,""-\d+(.*)|--\d+(.*)"","""")"),"RICQUEBOURG")</f>
        <v>RICQUEBOURG</v>
      </c>
      <c r="E68" s="38" t="s">
        <v>112</v>
      </c>
      <c r="F68" s="38" t="s">
        <v>113</v>
      </c>
      <c r="G68" s="49" t="str">
        <f t="shared" si="1"/>
        <v>60490</v>
      </c>
      <c r="H68" s="49">
        <f t="shared" si="2"/>
        <v>60538</v>
      </c>
    </row>
    <row r="69">
      <c r="A69" s="48" t="s">
        <v>286</v>
      </c>
      <c r="B69" s="38">
        <v>68357.0</v>
      </c>
      <c r="C69" s="38" t="s">
        <v>287</v>
      </c>
      <c r="D69" s="38" t="str">
        <f>IFERROR(__xludf.DUMMYFUNCTION("REGEXREPLACE(C69,""-\d+(.*)|--\d+(.*)"","""")"),"WALTENHEIM")</f>
        <v>WALTENHEIM</v>
      </c>
      <c r="E69" s="38" t="s">
        <v>150</v>
      </c>
      <c r="F69" s="38" t="s">
        <v>151</v>
      </c>
      <c r="G69" s="49" t="str">
        <f t="shared" si="1"/>
        <v>68510</v>
      </c>
      <c r="H69" s="49">
        <f t="shared" si="2"/>
        <v>68357</v>
      </c>
    </row>
    <row r="70">
      <c r="A70" s="48" t="s">
        <v>288</v>
      </c>
      <c r="B70" s="38">
        <v>3282.0</v>
      </c>
      <c r="C70" s="38" t="s">
        <v>289</v>
      </c>
      <c r="D70" s="38" t="str">
        <f>IFERROR(__xludf.DUMMYFUNCTION("REGEXREPLACE(C70,""-\d+(.*)|--\d+(.*)"","""")"),"THENEUILLE")</f>
        <v>THENEUILLE</v>
      </c>
      <c r="E70" s="38" t="s">
        <v>160</v>
      </c>
      <c r="F70" s="38" t="s">
        <v>161</v>
      </c>
      <c r="G70" s="49" t="str">
        <f t="shared" si="1"/>
        <v>03350</v>
      </c>
      <c r="H70" s="49" t="str">
        <f t="shared" si="2"/>
        <v>03282</v>
      </c>
    </row>
    <row r="71">
      <c r="A71" s="48" t="s">
        <v>290</v>
      </c>
      <c r="B71" s="38">
        <v>85121.0</v>
      </c>
      <c r="C71" s="38" t="s">
        <v>291</v>
      </c>
      <c r="D71" s="38" t="str">
        <f>IFERROR(__xludf.DUMMYFUNCTION("REGEXREPLACE(C71,""-\d+(.*)|--\d+(.*)"","""")"),"LE LANGON")</f>
        <v>LE LANGON</v>
      </c>
      <c r="E71" s="38" t="s">
        <v>179</v>
      </c>
      <c r="F71" s="38" t="s">
        <v>180</v>
      </c>
      <c r="G71" s="49" t="str">
        <f t="shared" si="1"/>
        <v>85370</v>
      </c>
      <c r="H71" s="49">
        <f t="shared" si="2"/>
        <v>85121</v>
      </c>
    </row>
    <row r="72">
      <c r="A72" s="48" t="s">
        <v>292</v>
      </c>
      <c r="B72" s="38">
        <v>60685.0</v>
      </c>
      <c r="C72" s="38" t="s">
        <v>293</v>
      </c>
      <c r="D72" s="38" t="str">
        <f>IFERROR(__xludf.DUMMYFUNCTION("REGEXREPLACE(C72,""-\d+(.*)|--\d+(.*)"","""")"),"VILLERS-SAINT-SEPULCRE")</f>
        <v>VILLERS-SAINT-SEPULCRE</v>
      </c>
      <c r="E72" s="38" t="s">
        <v>112</v>
      </c>
      <c r="F72" s="38" t="s">
        <v>113</v>
      </c>
      <c r="G72" s="49" t="str">
        <f t="shared" si="1"/>
        <v>60134</v>
      </c>
      <c r="H72" s="49">
        <f t="shared" si="2"/>
        <v>60685</v>
      </c>
    </row>
    <row r="73">
      <c r="A73" s="48" t="s">
        <v>294</v>
      </c>
      <c r="B73" s="38">
        <v>40240.0</v>
      </c>
      <c r="C73" s="38" t="s">
        <v>295</v>
      </c>
      <c r="D73" s="38" t="str">
        <f>IFERROR(__xludf.DUMMYFUNCTION("REGEXREPLACE(C73,""-\d+(.*)|--\d+(.*)"","""")"),"RENUNG")</f>
        <v>RENUNG</v>
      </c>
      <c r="E73" s="38" t="s">
        <v>281</v>
      </c>
      <c r="F73" s="38" t="s">
        <v>252</v>
      </c>
      <c r="G73" s="49" t="str">
        <f t="shared" si="1"/>
        <v>40270</v>
      </c>
      <c r="H73" s="49">
        <f t="shared" si="2"/>
        <v>40240</v>
      </c>
    </row>
    <row r="74">
      <c r="A74" s="48" t="s">
        <v>296</v>
      </c>
      <c r="B74" s="38">
        <v>41127.0</v>
      </c>
      <c r="C74" s="38" t="s">
        <v>297</v>
      </c>
      <c r="D74" s="38" t="str">
        <f>IFERROR(__xludf.DUMMYFUNCTION("REGEXREPLACE(C74,""-\d+(.*)|--\d+(.*)"","""")"),"LA MAROLLE-EN-SOLOGNE")</f>
        <v>LA MAROLLE-EN-SOLOGNE</v>
      </c>
      <c r="E74" s="38" t="s">
        <v>188</v>
      </c>
      <c r="F74" s="38" t="s">
        <v>123</v>
      </c>
      <c r="G74" s="49" t="str">
        <f t="shared" si="1"/>
        <v>41210</v>
      </c>
      <c r="H74" s="49">
        <f t="shared" si="2"/>
        <v>41127</v>
      </c>
    </row>
    <row r="75">
      <c r="A75" s="48" t="s">
        <v>298</v>
      </c>
      <c r="B75" s="38">
        <v>28166.0</v>
      </c>
      <c r="C75" s="38" t="s">
        <v>299</v>
      </c>
      <c r="D75" s="38" t="str">
        <f>IFERROR(__xludf.DUMMYFUNCTION("REGEXREPLACE(C75,""-\d+(.*)|--\d+(.*)"","""")"),"FRIAIZE")</f>
        <v>FRIAIZE</v>
      </c>
      <c r="E75" s="38" t="s">
        <v>300</v>
      </c>
      <c r="F75" s="38" t="s">
        <v>123</v>
      </c>
      <c r="G75" s="49" t="str">
        <f t="shared" si="1"/>
        <v>28240</v>
      </c>
      <c r="H75" s="49">
        <f t="shared" si="2"/>
        <v>28166</v>
      </c>
    </row>
    <row r="76">
      <c r="A76" s="48" t="s">
        <v>301</v>
      </c>
      <c r="B76" s="38">
        <v>57657.0</v>
      </c>
      <c r="C76" s="38" t="s">
        <v>302</v>
      </c>
      <c r="D76" s="38" t="str">
        <f>IFERROR(__xludf.DUMMYFUNCTION("REGEXREPLACE(C76,""-\d+(.*)|--\d+(.*)"","""")"),"SOTZELING")</f>
        <v>SOTZELING</v>
      </c>
      <c r="E76" s="38" t="s">
        <v>303</v>
      </c>
      <c r="F76" s="38" t="s">
        <v>195</v>
      </c>
      <c r="G76" s="49" t="str">
        <f t="shared" si="1"/>
        <v>57170</v>
      </c>
      <c r="H76" s="49">
        <f t="shared" si="2"/>
        <v>57657</v>
      </c>
    </row>
    <row r="77">
      <c r="A77" s="48" t="s">
        <v>304</v>
      </c>
      <c r="B77" s="38">
        <v>73273.0</v>
      </c>
      <c r="C77" s="38" t="s">
        <v>305</v>
      </c>
      <c r="D77" s="38" t="str">
        <f>IFERROR(__xludf.DUMMYFUNCTION("REGEXREPLACE(C77,""-\d+(.*)|--\d+(.*)"","""")"),"SAINT-PIERRE-DE-CURTILLE")</f>
        <v>SAINT-PIERRE-DE-CURTILLE</v>
      </c>
      <c r="E77" s="38" t="s">
        <v>306</v>
      </c>
      <c r="F77" s="38" t="s">
        <v>102</v>
      </c>
      <c r="G77" s="49" t="str">
        <f t="shared" si="1"/>
        <v>73310</v>
      </c>
      <c r="H77" s="49">
        <f t="shared" si="2"/>
        <v>73273</v>
      </c>
    </row>
    <row r="78">
      <c r="A78" s="48" t="s">
        <v>307</v>
      </c>
      <c r="B78" s="38">
        <v>88015.0</v>
      </c>
      <c r="C78" s="38" t="s">
        <v>308</v>
      </c>
      <c r="D78" s="38" t="str">
        <f>IFERROR(__xludf.DUMMYFUNCTION("REGEXREPLACE(C78,""-\d+(.*)|--\d+(.*)"","""")"),"ATTIGNEVILLE")</f>
        <v>ATTIGNEVILLE</v>
      </c>
      <c r="E78" s="38" t="s">
        <v>194</v>
      </c>
      <c r="F78" s="38" t="s">
        <v>195</v>
      </c>
      <c r="G78" s="49" t="str">
        <f t="shared" si="1"/>
        <v>88300</v>
      </c>
      <c r="H78" s="49">
        <f t="shared" si="2"/>
        <v>88015</v>
      </c>
    </row>
    <row r="79">
      <c r="A79" s="48" t="s">
        <v>309</v>
      </c>
      <c r="B79" s="38">
        <v>48034.0</v>
      </c>
      <c r="C79" s="38" t="s">
        <v>310</v>
      </c>
      <c r="D79" s="38" t="str">
        <f>IFERROR(__xludf.DUMMYFUNCTION("REGEXREPLACE(C79,""-\d+(.*)|--\d+(.*)"","""")"),"LA CANOURGUE")</f>
        <v>LA CANOURGUE</v>
      </c>
      <c r="E79" s="38" t="s">
        <v>154</v>
      </c>
      <c r="F79" s="38" t="s">
        <v>119</v>
      </c>
      <c r="G79" s="49" t="str">
        <f t="shared" si="1"/>
        <v>48500</v>
      </c>
      <c r="H79" s="49">
        <f t="shared" si="2"/>
        <v>48034</v>
      </c>
    </row>
    <row r="80">
      <c r="A80" s="48" t="s">
        <v>311</v>
      </c>
      <c r="B80" s="38">
        <v>31340.0</v>
      </c>
      <c r="C80" s="38" t="s">
        <v>312</v>
      </c>
      <c r="D80" s="38" t="str">
        <f>IFERROR(__xludf.DUMMYFUNCTION("REGEXREPLACE(C80,""-\d+(.*)|--\d+(.*)"","""")"),"MERVILLA")</f>
        <v>MERVILLA</v>
      </c>
      <c r="E80" s="38" t="s">
        <v>93</v>
      </c>
      <c r="F80" s="38" t="s">
        <v>94</v>
      </c>
      <c r="G80" s="49" t="str">
        <f t="shared" si="1"/>
        <v>31320</v>
      </c>
      <c r="H80" s="49">
        <f t="shared" si="2"/>
        <v>31340</v>
      </c>
    </row>
    <row r="81">
      <c r="A81" s="48" t="s">
        <v>313</v>
      </c>
      <c r="B81" s="38">
        <v>59670.0</v>
      </c>
      <c r="C81" s="38" t="s">
        <v>314</v>
      </c>
      <c r="D81" s="38" t="str">
        <f>IFERROR(__xludf.DUMMYFUNCTION("REGEXREPLACE(C81,""-\d+(.*)|--\d+(.*)"","""")"),"DON")</f>
        <v>DON</v>
      </c>
      <c r="E81" s="38" t="s">
        <v>85</v>
      </c>
      <c r="F81" s="38" t="s">
        <v>86</v>
      </c>
      <c r="G81" s="49" t="str">
        <f t="shared" si="1"/>
        <v>59272</v>
      </c>
      <c r="H81" s="49">
        <f t="shared" si="2"/>
        <v>59670</v>
      </c>
    </row>
    <row r="82">
      <c r="A82" s="48" t="s">
        <v>315</v>
      </c>
      <c r="B82" s="38">
        <v>27403.0</v>
      </c>
      <c r="C82" s="38" t="s">
        <v>316</v>
      </c>
      <c r="D82" s="38" t="str">
        <f>IFERROR(__xludf.DUMMYFUNCTION("REGEXREPLACE(C82,""-\d+(.*)|--\d+(.*)"","""")"),"LE MESNIL-JOURDAIN")</f>
        <v>LE MESNIL-JOURDAIN</v>
      </c>
      <c r="E82" s="38" t="s">
        <v>241</v>
      </c>
      <c r="F82" s="38" t="s">
        <v>134</v>
      </c>
      <c r="G82" s="49" t="str">
        <f t="shared" si="1"/>
        <v>27400</v>
      </c>
      <c r="H82" s="49">
        <f t="shared" si="2"/>
        <v>27403</v>
      </c>
    </row>
    <row r="83">
      <c r="A83" s="48" t="s">
        <v>317</v>
      </c>
      <c r="B83" s="38">
        <v>74205.0</v>
      </c>
      <c r="C83" s="38" t="s">
        <v>318</v>
      </c>
      <c r="D83" s="38" t="str">
        <f>IFERROR(__xludf.DUMMYFUNCTION("REGEXREPLACE(C83,""-\d+(.*)|--\d+(.*)"","""")"),"ONNION")</f>
        <v>ONNION</v>
      </c>
      <c r="E83" s="38" t="s">
        <v>319</v>
      </c>
      <c r="F83" s="38" t="s">
        <v>102</v>
      </c>
      <c r="G83" s="49" t="str">
        <f t="shared" si="1"/>
        <v>74490</v>
      </c>
      <c r="H83" s="49">
        <f t="shared" si="2"/>
        <v>74205</v>
      </c>
    </row>
    <row r="84">
      <c r="A84" s="48" t="s">
        <v>320</v>
      </c>
      <c r="B84" s="38">
        <v>55194.0</v>
      </c>
      <c r="C84" s="38" t="s">
        <v>321</v>
      </c>
      <c r="D84" s="38" t="str">
        <f>IFERROR(__xludf.DUMMYFUNCTION("REGEXREPLACE(C84,""-\d+(.*)|--\d+(.*)"","""")"),"FOUCAUCOURT-SUR-THABAS")</f>
        <v>FOUCAUCOURT-SUR-THABAS</v>
      </c>
      <c r="E84" s="38" t="s">
        <v>322</v>
      </c>
      <c r="F84" s="38" t="s">
        <v>195</v>
      </c>
      <c r="G84" s="49" t="str">
        <f t="shared" si="1"/>
        <v>55250</v>
      </c>
      <c r="H84" s="49">
        <f t="shared" si="2"/>
        <v>55194</v>
      </c>
    </row>
    <row r="85">
      <c r="A85" s="48" t="s">
        <v>323</v>
      </c>
      <c r="B85" s="38">
        <v>52300.0</v>
      </c>
      <c r="C85" s="38" t="s">
        <v>324</v>
      </c>
      <c r="D85" s="38" t="str">
        <f>IFERROR(__xludf.DUMMYFUNCTION("REGEXREPLACE(C85,""-\d+(.*)|--\d+(.*)"","""")"),"MAGNEUX")</f>
        <v>MAGNEUX</v>
      </c>
      <c r="E85" s="38" t="s">
        <v>234</v>
      </c>
      <c r="F85" s="38" t="s">
        <v>130</v>
      </c>
      <c r="G85" s="49" t="str">
        <f t="shared" si="1"/>
        <v>52130</v>
      </c>
      <c r="H85" s="49">
        <f t="shared" si="2"/>
        <v>52300</v>
      </c>
    </row>
    <row r="86">
      <c r="A86" s="48" t="s">
        <v>325</v>
      </c>
      <c r="B86" s="38">
        <v>8046.0</v>
      </c>
      <c r="C86" s="38" t="s">
        <v>326</v>
      </c>
      <c r="D86" s="38" t="str">
        <f>IFERROR(__xludf.DUMMYFUNCTION("REGEXREPLACE(C86,""-\d+(.*)|--\d+(.*)"","""")"),"BANOGNE-RECOUVRANCE")</f>
        <v>BANOGNE-RECOUVRANCE</v>
      </c>
      <c r="E86" s="38" t="s">
        <v>327</v>
      </c>
      <c r="F86" s="38" t="s">
        <v>130</v>
      </c>
      <c r="G86" s="49" t="str">
        <f t="shared" si="1"/>
        <v>08220</v>
      </c>
      <c r="H86" s="49" t="str">
        <f t="shared" si="2"/>
        <v>08046</v>
      </c>
    </row>
    <row r="87">
      <c r="A87" s="48" t="s">
        <v>328</v>
      </c>
      <c r="B87" s="38">
        <v>2198.0</v>
      </c>
      <c r="C87" s="38" t="s">
        <v>329</v>
      </c>
      <c r="D87" s="38" t="str">
        <f>IFERROR(__xludf.DUMMYFUNCTION("REGEXREPLACE(C87,""-\d+(.*)|--\d+(.*)"","""")"),"CLAMECY")</f>
        <v>CLAMECY</v>
      </c>
      <c r="E87" s="38" t="s">
        <v>191</v>
      </c>
      <c r="F87" s="38" t="s">
        <v>113</v>
      </c>
      <c r="G87" s="49" t="str">
        <f t="shared" si="1"/>
        <v>02880</v>
      </c>
      <c r="H87" s="49" t="str">
        <f t="shared" si="2"/>
        <v>02198</v>
      </c>
    </row>
    <row r="88">
      <c r="A88" s="48" t="s">
        <v>330</v>
      </c>
      <c r="B88" s="38">
        <v>43004.0</v>
      </c>
      <c r="C88" s="38" t="s">
        <v>331</v>
      </c>
      <c r="D88" s="38" t="str">
        <f>IFERROR(__xludf.DUMMYFUNCTION("REGEXREPLACE(C88,""-\d+(.*)|--\d+(.*)"","""")"),"ALLEYRAC")</f>
        <v>ALLEYRAC</v>
      </c>
      <c r="E88" s="38" t="s">
        <v>332</v>
      </c>
      <c r="F88" s="38" t="s">
        <v>161</v>
      </c>
      <c r="G88" s="49" t="str">
        <f t="shared" si="1"/>
        <v>43150</v>
      </c>
      <c r="H88" s="49">
        <f t="shared" si="2"/>
        <v>43004</v>
      </c>
    </row>
    <row r="89">
      <c r="A89" s="48" t="s">
        <v>333</v>
      </c>
      <c r="B89" s="38">
        <v>43072.0</v>
      </c>
      <c r="C89" s="38" t="s">
        <v>334</v>
      </c>
      <c r="D89" s="38" t="str">
        <f>IFERROR(__xludf.DUMMYFUNCTION("REGEXREPLACE(C89,""-\d+(.*)|--\d+(.*)"","""")"),"LA CHOMETTE")</f>
        <v>LA CHOMETTE</v>
      </c>
      <c r="E89" s="38" t="s">
        <v>332</v>
      </c>
      <c r="F89" s="38" t="s">
        <v>161</v>
      </c>
      <c r="G89" s="49" t="str">
        <f t="shared" si="1"/>
        <v>43230</v>
      </c>
      <c r="H89" s="49">
        <f t="shared" si="2"/>
        <v>43072</v>
      </c>
    </row>
    <row r="90">
      <c r="A90" s="48" t="s">
        <v>335</v>
      </c>
      <c r="B90" s="38">
        <v>79306.0</v>
      </c>
      <c r="C90" s="38" t="s">
        <v>336</v>
      </c>
      <c r="D90" s="38" t="str">
        <f>IFERROR(__xludf.DUMMYFUNCTION("REGEXREPLACE(C90,""-\d+(.*)|--\d+(.*)"","""")"),"SAURAIS")</f>
        <v>SAURAIS</v>
      </c>
      <c r="E90" s="38" t="s">
        <v>337</v>
      </c>
      <c r="F90" s="38" t="s">
        <v>338</v>
      </c>
      <c r="G90" s="49" t="str">
        <f t="shared" si="1"/>
        <v>79200</v>
      </c>
      <c r="H90" s="49">
        <f t="shared" si="2"/>
        <v>79306</v>
      </c>
    </row>
    <row r="91">
      <c r="A91" s="48" t="s">
        <v>339</v>
      </c>
      <c r="B91" s="38">
        <v>93008.0</v>
      </c>
      <c r="C91" s="38" t="s">
        <v>340</v>
      </c>
      <c r="D91" s="38" t="str">
        <f>IFERROR(__xludf.DUMMYFUNCTION("REGEXREPLACE(C91,""-\d+(.*)|--\d+(.*)"","""")"),"BOBIGNY")</f>
        <v>BOBIGNY</v>
      </c>
      <c r="E91" s="38" t="s">
        <v>341</v>
      </c>
      <c r="F91" s="38" t="s">
        <v>245</v>
      </c>
      <c r="G91" s="49" t="str">
        <f t="shared" si="1"/>
        <v>93000</v>
      </c>
      <c r="H91" s="49">
        <f t="shared" si="2"/>
        <v>93008</v>
      </c>
    </row>
    <row r="92">
      <c r="A92" s="48" t="s">
        <v>342</v>
      </c>
      <c r="B92" s="38">
        <v>71371.0</v>
      </c>
      <c r="C92" s="38" t="s">
        <v>343</v>
      </c>
      <c r="D92" s="38" t="str">
        <f>IFERROR(__xludf.DUMMYFUNCTION("REGEXREPLACE(C92,""-\d+(.*)|--\d+(.*)"","""")"),"LA ROCHE-VINEUSE")</f>
        <v>LA ROCHE-VINEUSE</v>
      </c>
      <c r="E92" s="38" t="s">
        <v>344</v>
      </c>
      <c r="F92" s="38" t="s">
        <v>106</v>
      </c>
      <c r="G92" s="49" t="str">
        <f t="shared" si="1"/>
        <v>71960</v>
      </c>
      <c r="H92" s="49">
        <f t="shared" si="2"/>
        <v>71371</v>
      </c>
    </row>
    <row r="93">
      <c r="A93" s="48" t="s">
        <v>345</v>
      </c>
      <c r="B93" s="38">
        <v>35299.0</v>
      </c>
      <c r="C93" s="38" t="s">
        <v>346</v>
      </c>
      <c r="D93" s="38" t="str">
        <f>IFERROR(__xludf.DUMMYFUNCTION("REGEXREPLACE(C93,""-\d+(.*)|--\d+(.*)"","""")"),"SAINT-MELOIR-DES-ONDES")</f>
        <v>SAINT-MELOIR-DES-ONDES</v>
      </c>
      <c r="E93" s="38" t="s">
        <v>347</v>
      </c>
      <c r="F93" s="38" t="s">
        <v>90</v>
      </c>
      <c r="G93" s="49" t="str">
        <f t="shared" si="1"/>
        <v>35350</v>
      </c>
      <c r="H93" s="49">
        <f t="shared" si="2"/>
        <v>35299</v>
      </c>
    </row>
    <row r="94">
      <c r="A94" s="48" t="s">
        <v>348</v>
      </c>
      <c r="B94" s="38">
        <v>69192.0</v>
      </c>
      <c r="C94" s="38" t="s">
        <v>349</v>
      </c>
      <c r="D94" s="38" t="str">
        <f>IFERROR(__xludf.DUMMYFUNCTION("REGEXREPLACE(C94,""-\d+(.*)|--\d+(.*)"","""")"),"SAINT-CYR-LE-CHATOUX")</f>
        <v>SAINT-CYR-LE-CHATOUX</v>
      </c>
      <c r="E94" s="38" t="s">
        <v>350</v>
      </c>
      <c r="F94" s="38" t="s">
        <v>102</v>
      </c>
      <c r="G94" s="49" t="str">
        <f t="shared" si="1"/>
        <v>69870</v>
      </c>
      <c r="H94" s="49">
        <f t="shared" si="2"/>
        <v>69192</v>
      </c>
    </row>
    <row r="95">
      <c r="A95" s="48" t="s">
        <v>351</v>
      </c>
      <c r="B95" s="38">
        <v>63383.0</v>
      </c>
      <c r="C95" s="38" t="s">
        <v>352</v>
      </c>
      <c r="D95" s="38" t="str">
        <f>IFERROR(__xludf.DUMMYFUNCTION("REGEXREPLACE(C95,""-\d+(.*)|--\d+(.*)"","""")"),"SAINT-PIERRE-COLAMINE")</f>
        <v>SAINT-PIERRE-COLAMINE</v>
      </c>
      <c r="E95" s="38" t="s">
        <v>353</v>
      </c>
      <c r="F95" s="38" t="s">
        <v>161</v>
      </c>
      <c r="G95" s="49" t="str">
        <f t="shared" si="1"/>
        <v>63610</v>
      </c>
      <c r="H95" s="49">
        <f t="shared" si="2"/>
        <v>63383</v>
      </c>
    </row>
    <row r="96">
      <c r="A96" s="48" t="s">
        <v>354</v>
      </c>
      <c r="B96" s="38">
        <v>68246.0</v>
      </c>
      <c r="C96" s="38" t="s">
        <v>355</v>
      </c>
      <c r="D96" s="38" t="str">
        <f>IFERROR(__xludf.DUMMYFUNCTION("REGEXREPLACE(C96,""-\d+(.*)|--\d+(.*)"","""")"),"OBERSAASHEIM")</f>
        <v>OBERSAASHEIM</v>
      </c>
      <c r="E96" s="38" t="s">
        <v>150</v>
      </c>
      <c r="F96" s="38" t="s">
        <v>151</v>
      </c>
      <c r="G96" s="49" t="str">
        <f t="shared" si="1"/>
        <v>68600</v>
      </c>
      <c r="H96" s="49">
        <f t="shared" si="2"/>
        <v>68246</v>
      </c>
    </row>
    <row r="97">
      <c r="A97" s="48" t="s">
        <v>356</v>
      </c>
      <c r="B97" s="38">
        <v>48086.0</v>
      </c>
      <c r="C97" s="38" t="s">
        <v>357</v>
      </c>
      <c r="D97" s="38" t="str">
        <f>IFERROR(__xludf.DUMMYFUNCTION("REGEXREPLACE(C97,""-\d+(.*)|--\d+(.*)"","""")"),"LUC")</f>
        <v>LUC</v>
      </c>
      <c r="E97" s="38" t="s">
        <v>154</v>
      </c>
      <c r="F97" s="38" t="s">
        <v>119</v>
      </c>
      <c r="G97" s="49" t="str">
        <f t="shared" si="1"/>
        <v>48250</v>
      </c>
      <c r="H97" s="49">
        <f t="shared" si="2"/>
        <v>48086</v>
      </c>
    </row>
    <row r="98">
      <c r="A98" s="48" t="s">
        <v>358</v>
      </c>
      <c r="B98" s="38">
        <v>10270.0</v>
      </c>
      <c r="C98" s="38" t="s">
        <v>359</v>
      </c>
      <c r="D98" s="38" t="str">
        <f>IFERROR(__xludf.DUMMYFUNCTION("REGEXREPLACE(C98,""-\d+(.*)|--\d+(.*)"","""")"),"ONJON")</f>
        <v>ONJON</v>
      </c>
      <c r="E98" s="38" t="s">
        <v>147</v>
      </c>
      <c r="F98" s="38" t="s">
        <v>130</v>
      </c>
      <c r="G98" s="49" t="str">
        <f t="shared" si="1"/>
        <v>10220</v>
      </c>
      <c r="H98" s="49">
        <f t="shared" si="2"/>
        <v>10270</v>
      </c>
    </row>
    <row r="99">
      <c r="A99" s="48" t="s">
        <v>360</v>
      </c>
      <c r="B99" s="38">
        <v>78505.0</v>
      </c>
      <c r="C99" s="38" t="s">
        <v>361</v>
      </c>
      <c r="D99" s="38" t="str">
        <f>IFERROR(__xludf.DUMMYFUNCTION("REGEXREPLACE(C99,""-\d+(.*)|--\d+(.*)"","""")"),"PRUNAY-LE-TEMPLE")</f>
        <v>PRUNAY-LE-TEMPLE</v>
      </c>
      <c r="E99" s="38" t="s">
        <v>362</v>
      </c>
      <c r="F99" s="38" t="s">
        <v>245</v>
      </c>
      <c r="G99" s="49" t="str">
        <f t="shared" si="1"/>
        <v>78910</v>
      </c>
      <c r="H99" s="49">
        <f t="shared" si="2"/>
        <v>78505</v>
      </c>
    </row>
    <row r="100">
      <c r="A100" s="48" t="s">
        <v>363</v>
      </c>
      <c r="B100" s="38">
        <v>35289.0</v>
      </c>
      <c r="C100" s="38" t="s">
        <v>364</v>
      </c>
      <c r="D100" s="38" t="str">
        <f>IFERROR(__xludf.DUMMYFUNCTION("REGEXREPLACE(C100,""-\d+(.*)|--\d+(.*)"","""")"),"SAINT-MALO-DE-PHILY")</f>
        <v>SAINT-MALO-DE-PHILY</v>
      </c>
      <c r="E100" s="38" t="s">
        <v>347</v>
      </c>
      <c r="F100" s="38" t="s">
        <v>90</v>
      </c>
      <c r="G100" s="49" t="str">
        <f t="shared" si="1"/>
        <v>35480</v>
      </c>
      <c r="H100" s="49">
        <f t="shared" si="2"/>
        <v>35289</v>
      </c>
    </row>
    <row r="101">
      <c r="A101" s="48" t="s">
        <v>365</v>
      </c>
      <c r="B101" s="38">
        <v>50278.0</v>
      </c>
      <c r="C101" s="38" t="s">
        <v>366</v>
      </c>
      <c r="D101" s="38" t="str">
        <f>IFERROR(__xludf.DUMMYFUNCTION("REGEXREPLACE(C101,""-\d+(.*)|--\d+(.*)"","""")"),"LE LOREUR")</f>
        <v>LE LOREUR</v>
      </c>
      <c r="E101" s="38" t="s">
        <v>157</v>
      </c>
      <c r="F101" s="38" t="s">
        <v>138</v>
      </c>
      <c r="G101" s="49" t="str">
        <f t="shared" si="1"/>
        <v>50510</v>
      </c>
      <c r="H101" s="49">
        <f t="shared" si="2"/>
        <v>50278</v>
      </c>
    </row>
    <row r="102">
      <c r="A102" s="48" t="s">
        <v>367</v>
      </c>
      <c r="B102" s="38">
        <v>42311.0</v>
      </c>
      <c r="C102" s="38" t="s">
        <v>368</v>
      </c>
      <c r="D102" s="38" t="str">
        <f>IFERROR(__xludf.DUMMYFUNCTION("REGEXREPLACE(C102,""-\d+(.*)|--\d+(.*)"","""")"),"LA TOUR-EN-JAREZ")</f>
        <v>LA TOUR-EN-JAREZ</v>
      </c>
      <c r="E102" s="38" t="s">
        <v>166</v>
      </c>
      <c r="F102" s="38" t="s">
        <v>102</v>
      </c>
      <c r="G102" s="49" t="str">
        <f t="shared" si="1"/>
        <v>42580</v>
      </c>
      <c r="H102" s="49">
        <f t="shared" si="2"/>
        <v>42311</v>
      </c>
    </row>
    <row r="103">
      <c r="A103" s="48" t="s">
        <v>369</v>
      </c>
      <c r="B103" s="38">
        <v>63181.0</v>
      </c>
      <c r="C103" s="38" t="s">
        <v>370</v>
      </c>
      <c r="D103" s="38" t="str">
        <f>IFERROR(__xludf.DUMMYFUNCTION("REGEXREPLACE(C103,""-\d+(.*)|--\d+(.*)"","""")"),"JOZERAND")</f>
        <v>JOZERAND</v>
      </c>
      <c r="E103" s="38" t="s">
        <v>353</v>
      </c>
      <c r="F103" s="38" t="s">
        <v>161</v>
      </c>
      <c r="G103" s="49" t="str">
        <f t="shared" si="1"/>
        <v>63460</v>
      </c>
      <c r="H103" s="49">
        <f t="shared" si="2"/>
        <v>63181</v>
      </c>
    </row>
    <row r="104">
      <c r="A104" s="48" t="s">
        <v>266</v>
      </c>
      <c r="B104" s="38">
        <v>64236.0</v>
      </c>
      <c r="C104" s="38" t="s">
        <v>371</v>
      </c>
      <c r="D104" s="38" t="str">
        <f>IFERROR(__xludf.DUMMYFUNCTION("REGEXREPLACE(C104,""-\d+(.*)|--\d+(.*)"","""")"),"GAYON")</f>
        <v>GAYON</v>
      </c>
      <c r="E104" s="38" t="s">
        <v>268</v>
      </c>
      <c r="F104" s="38" t="s">
        <v>252</v>
      </c>
      <c r="G104" s="49" t="str">
        <f t="shared" si="1"/>
        <v>64350</v>
      </c>
      <c r="H104" s="49">
        <f t="shared" si="2"/>
        <v>64236</v>
      </c>
    </row>
    <row r="105">
      <c r="A105" s="48" t="s">
        <v>372</v>
      </c>
      <c r="B105" s="38">
        <v>29013.0</v>
      </c>
      <c r="C105" s="38" t="s">
        <v>373</v>
      </c>
      <c r="D105" s="38" t="str">
        <f>IFERROR(__xludf.DUMMYFUNCTION("REGEXREPLACE(C105,""-\d+(.*)|--\d+(.*)"","""")"),"BOTMEUR")</f>
        <v>BOTMEUR</v>
      </c>
      <c r="E105" s="38" t="s">
        <v>176</v>
      </c>
      <c r="F105" s="38" t="s">
        <v>90</v>
      </c>
      <c r="G105" s="49" t="str">
        <f t="shared" si="1"/>
        <v>29690</v>
      </c>
      <c r="H105" s="49">
        <f t="shared" si="2"/>
        <v>29013</v>
      </c>
    </row>
    <row r="106">
      <c r="A106" s="48" t="s">
        <v>374</v>
      </c>
      <c r="B106" s="38">
        <v>85093.0</v>
      </c>
      <c r="C106" s="38" t="s">
        <v>375</v>
      </c>
      <c r="D106" s="38" t="str">
        <f>IFERROR(__xludf.DUMMYFUNCTION("REGEXREPLACE(C106,""-\d+(.*)|--\d+(.*)"","""")"),"FOUGERE")</f>
        <v>FOUGERE</v>
      </c>
      <c r="E106" s="38" t="s">
        <v>179</v>
      </c>
      <c r="F106" s="38" t="s">
        <v>180</v>
      </c>
      <c r="G106" s="49" t="str">
        <f t="shared" si="1"/>
        <v>85480</v>
      </c>
      <c r="H106" s="49">
        <f t="shared" si="2"/>
        <v>85093</v>
      </c>
    </row>
    <row r="107">
      <c r="A107" s="48" t="s">
        <v>376</v>
      </c>
      <c r="B107" s="38">
        <v>73220.0</v>
      </c>
      <c r="C107" s="38" t="s">
        <v>377</v>
      </c>
      <c r="D107" s="38" t="str">
        <f>IFERROR(__xludf.DUMMYFUNCTION("REGEXREPLACE(C107,""-\d+(.*)|--\d+(.*)"","""")"),"SAINT-ALBAN-DES-HURTIERES")</f>
        <v>SAINT-ALBAN-DES-HURTIERES</v>
      </c>
      <c r="E107" s="38" t="s">
        <v>306</v>
      </c>
      <c r="F107" s="38" t="s">
        <v>102</v>
      </c>
      <c r="G107" s="49" t="str">
        <f t="shared" si="1"/>
        <v>73220</v>
      </c>
      <c r="H107" s="49">
        <f t="shared" si="2"/>
        <v>73220</v>
      </c>
    </row>
    <row r="108">
      <c r="A108" s="48" t="s">
        <v>378</v>
      </c>
      <c r="B108" s="38">
        <v>37119.0</v>
      </c>
      <c r="C108" s="38" t="s">
        <v>379</v>
      </c>
      <c r="D108" s="38" t="str">
        <f>IFERROR(__xludf.DUMMYFUNCTION("REGEXREPLACE(C108,""-\d+(.*)|--\d+(.*)"","""")"),"L'ILE-BOUCHARD")</f>
        <v>L'ILE-BOUCHARD</v>
      </c>
      <c r="E108" s="38" t="s">
        <v>205</v>
      </c>
      <c r="F108" s="38" t="s">
        <v>123</v>
      </c>
      <c r="G108" s="49" t="str">
        <f t="shared" si="1"/>
        <v>37220</v>
      </c>
      <c r="H108" s="49">
        <f t="shared" si="2"/>
        <v>37119</v>
      </c>
    </row>
    <row r="109">
      <c r="A109" s="48" t="s">
        <v>380</v>
      </c>
      <c r="B109" s="38">
        <v>80500.0</v>
      </c>
      <c r="C109" s="38" t="s">
        <v>381</v>
      </c>
      <c r="D109" s="38" t="str">
        <f>IFERROR(__xludf.DUMMYFUNCTION("REGEXREPLACE(C109,""-\d+(.*)|--\d+(.*)"","""")"),"MAISNIERES")</f>
        <v>MAISNIERES</v>
      </c>
      <c r="E109" s="38" t="s">
        <v>224</v>
      </c>
      <c r="F109" s="38" t="s">
        <v>113</v>
      </c>
      <c r="G109" s="49" t="str">
        <f t="shared" si="1"/>
        <v>80220</v>
      </c>
      <c r="H109" s="49">
        <f t="shared" si="2"/>
        <v>80500</v>
      </c>
    </row>
    <row r="110">
      <c r="A110" s="48" t="s">
        <v>382</v>
      </c>
      <c r="B110" s="38">
        <v>47041.0</v>
      </c>
      <c r="C110" s="38" t="s">
        <v>383</v>
      </c>
      <c r="D110" s="38" t="str">
        <f>IFERROR(__xludf.DUMMYFUNCTION("REGEXREPLACE(C110,""-\d+(.*)|--\d+(.*)"","""")"),"BRUCH")</f>
        <v>BRUCH</v>
      </c>
      <c r="E110" s="38" t="s">
        <v>251</v>
      </c>
      <c r="F110" s="38" t="s">
        <v>252</v>
      </c>
      <c r="G110" s="49" t="str">
        <f t="shared" si="1"/>
        <v>47130</v>
      </c>
      <c r="H110" s="49">
        <f t="shared" si="2"/>
        <v>47041</v>
      </c>
    </row>
    <row r="111">
      <c r="A111" s="48" t="s">
        <v>384</v>
      </c>
      <c r="B111" s="38">
        <v>55224.0</v>
      </c>
      <c r="C111" s="38" t="s">
        <v>385</v>
      </c>
      <c r="D111" s="38" t="str">
        <f>IFERROR(__xludf.DUMMYFUNCTION("REGEXREPLACE(C111,""-\d+(.*)|--\d+(.*)"","""")"),"HAIRONVILLE")</f>
        <v>HAIRONVILLE</v>
      </c>
      <c r="E111" s="38" t="s">
        <v>322</v>
      </c>
      <c r="F111" s="38" t="s">
        <v>195</v>
      </c>
      <c r="G111" s="49" t="str">
        <f t="shared" si="1"/>
        <v>55000</v>
      </c>
      <c r="H111" s="49">
        <f t="shared" si="2"/>
        <v>55224</v>
      </c>
    </row>
    <row r="112">
      <c r="A112" s="48" t="s">
        <v>386</v>
      </c>
      <c r="B112" s="38">
        <v>21126.0</v>
      </c>
      <c r="C112" s="38" t="s">
        <v>387</v>
      </c>
      <c r="D112" s="38" t="str">
        <f>IFERROR(__xludf.DUMMYFUNCTION("REGEXREPLACE(C112,""-\d+(.*)|--\d+(.*)"","""")"),"CESSEY-SUR-TILLE")</f>
        <v>CESSEY-SUR-TILLE</v>
      </c>
      <c r="E112" s="38" t="s">
        <v>105</v>
      </c>
      <c r="F112" s="38" t="s">
        <v>106</v>
      </c>
      <c r="G112" s="49" t="str">
        <f t="shared" si="1"/>
        <v>21110</v>
      </c>
      <c r="H112" s="49">
        <f t="shared" si="2"/>
        <v>21126</v>
      </c>
    </row>
    <row r="113">
      <c r="A113" s="48" t="s">
        <v>388</v>
      </c>
      <c r="B113" s="38">
        <v>19134.0</v>
      </c>
      <c r="C113" s="38" t="s">
        <v>389</v>
      </c>
      <c r="D113" s="38" t="str">
        <f>IFERROR(__xludf.DUMMYFUNCTION("REGEXREPLACE(C113,""-\d+(.*)|--\d+(.*)"","""")"),"MERLINES")</f>
        <v>MERLINES</v>
      </c>
      <c r="E113" s="38" t="s">
        <v>271</v>
      </c>
      <c r="F113" s="38" t="s">
        <v>98</v>
      </c>
      <c r="G113" s="49" t="str">
        <f t="shared" si="1"/>
        <v>19340</v>
      </c>
      <c r="H113" s="49">
        <f t="shared" si="2"/>
        <v>19134</v>
      </c>
    </row>
    <row r="114">
      <c r="A114" s="48" t="s">
        <v>390</v>
      </c>
      <c r="B114" s="38">
        <v>11408.0</v>
      </c>
      <c r="C114" s="38" t="s">
        <v>391</v>
      </c>
      <c r="D114" s="38" t="str">
        <f>IFERROR(__xludf.DUMMYFUNCTION("REGEXREPLACE(C114,""-\d+(.*)|--\d+(.*)"","""")"),"VERZEILLE")</f>
        <v>VERZEILLE</v>
      </c>
      <c r="E114" s="38" t="s">
        <v>278</v>
      </c>
      <c r="F114" s="38" t="s">
        <v>119</v>
      </c>
      <c r="G114" s="49" t="str">
        <f t="shared" si="1"/>
        <v>11250</v>
      </c>
      <c r="H114" s="49">
        <f t="shared" si="2"/>
        <v>11408</v>
      </c>
    </row>
    <row r="115">
      <c r="A115" s="48" t="s">
        <v>392</v>
      </c>
      <c r="B115" s="38">
        <v>35120.0</v>
      </c>
      <c r="C115" s="38" t="s">
        <v>393</v>
      </c>
      <c r="D115" s="38" t="str">
        <f>IFERROR(__xludf.DUMMYFUNCTION("REGEXREPLACE(C115,""-\d+(.*)|--\d+(.*)"","""")"),"GEVEZE")</f>
        <v>GEVEZE</v>
      </c>
      <c r="E115" s="38" t="s">
        <v>347</v>
      </c>
      <c r="F115" s="38" t="s">
        <v>90</v>
      </c>
      <c r="G115" s="49" t="str">
        <f t="shared" si="1"/>
        <v>35850</v>
      </c>
      <c r="H115" s="49">
        <f t="shared" si="2"/>
        <v>35120</v>
      </c>
    </row>
    <row r="116">
      <c r="A116" s="48" t="s">
        <v>394</v>
      </c>
      <c r="B116" s="38">
        <v>41175.0</v>
      </c>
      <c r="C116" s="38" t="s">
        <v>395</v>
      </c>
      <c r="D116" s="38" t="str">
        <f>IFERROR(__xludf.DUMMYFUNCTION("REGEXREPLACE(C116,""-\d+(.*)|--\d+(.*)"","""")"),"PEZOU")</f>
        <v>PEZOU</v>
      </c>
      <c r="E116" s="38" t="s">
        <v>188</v>
      </c>
      <c r="F116" s="38" t="s">
        <v>123</v>
      </c>
      <c r="G116" s="49" t="str">
        <f t="shared" si="1"/>
        <v>41100</v>
      </c>
      <c r="H116" s="49">
        <f t="shared" si="2"/>
        <v>41175</v>
      </c>
    </row>
    <row r="117">
      <c r="A117" s="48" t="s">
        <v>396</v>
      </c>
      <c r="B117" s="38">
        <v>71120.0</v>
      </c>
      <c r="C117" s="38" t="s">
        <v>397</v>
      </c>
      <c r="D117" s="38" t="str">
        <f>IFERROR(__xludf.DUMMYFUNCTION("REGEXREPLACE(C117,""-\d+(.*)|--\d+(.*)"","""")"),"CHAUFFAILLES")</f>
        <v>CHAUFFAILLES</v>
      </c>
      <c r="E117" s="38" t="s">
        <v>344</v>
      </c>
      <c r="F117" s="38" t="s">
        <v>106</v>
      </c>
      <c r="G117" s="49" t="str">
        <f t="shared" si="1"/>
        <v>71170</v>
      </c>
      <c r="H117" s="49">
        <f t="shared" si="2"/>
        <v>71120</v>
      </c>
    </row>
    <row r="118">
      <c r="A118" s="48" t="s">
        <v>398</v>
      </c>
      <c r="B118" s="38">
        <v>39427.0</v>
      </c>
      <c r="C118" s="38" t="s">
        <v>399</v>
      </c>
      <c r="D118" s="38" t="str">
        <f>IFERROR(__xludf.DUMMYFUNCTION("REGEXREPLACE(C118,""-\d+(.*)|--\d+(.*)"","""")"),"PLENISE")</f>
        <v>PLENISE</v>
      </c>
      <c r="E118" s="38" t="s">
        <v>400</v>
      </c>
      <c r="F118" s="38" t="s">
        <v>214</v>
      </c>
      <c r="G118" s="49" t="str">
        <f t="shared" si="1"/>
        <v>39250</v>
      </c>
      <c r="H118" s="49">
        <f t="shared" si="2"/>
        <v>39427</v>
      </c>
    </row>
    <row r="119">
      <c r="A119" s="48" t="s">
        <v>401</v>
      </c>
      <c r="B119" s="38">
        <v>24215.0</v>
      </c>
      <c r="C119" s="38" t="s">
        <v>402</v>
      </c>
      <c r="D119" s="38" t="str">
        <f>IFERROR(__xludf.DUMMYFUNCTION("REGEXREPLACE(C119,""-\d+(.*)|--\d+(.*)"","""")"),"JAYAC")</f>
        <v>JAYAC</v>
      </c>
      <c r="E119" s="38" t="s">
        <v>261</v>
      </c>
      <c r="F119" s="38" t="s">
        <v>252</v>
      </c>
      <c r="G119" s="49" t="str">
        <f t="shared" si="1"/>
        <v>24590</v>
      </c>
      <c r="H119" s="49">
        <f t="shared" si="2"/>
        <v>24215</v>
      </c>
    </row>
    <row r="120">
      <c r="A120" s="48" t="s">
        <v>403</v>
      </c>
      <c r="B120" s="38">
        <v>59443.0</v>
      </c>
      <c r="C120" s="38" t="s">
        <v>404</v>
      </c>
      <c r="D120" s="38" t="str">
        <f>IFERROR(__xludf.DUMMYFUNCTION("REGEXREPLACE(C120,""-\d+(.*)|--\d+(.*)"","""")"),"OCHTEZEELE")</f>
        <v>OCHTEZEELE</v>
      </c>
      <c r="E120" s="38" t="s">
        <v>85</v>
      </c>
      <c r="F120" s="38" t="s">
        <v>86</v>
      </c>
      <c r="G120" s="49" t="str">
        <f t="shared" si="1"/>
        <v>59670</v>
      </c>
      <c r="H120" s="49">
        <f t="shared" si="2"/>
        <v>59443</v>
      </c>
    </row>
    <row r="121">
      <c r="A121" s="48" t="s">
        <v>405</v>
      </c>
      <c r="B121" s="38">
        <v>79063.0</v>
      </c>
      <c r="C121" s="38" t="s">
        <v>406</v>
      </c>
      <c r="D121" s="38" t="str">
        <f>IFERROR(__xludf.DUMMYFUNCTION("REGEXREPLACE(C121,""-\d+(.*)|--\d+(.*)"","""")"),"CERSAY")</f>
        <v>CERSAY</v>
      </c>
      <c r="E121" s="38" t="s">
        <v>337</v>
      </c>
      <c r="F121" s="38" t="s">
        <v>338</v>
      </c>
      <c r="G121" s="49" t="str">
        <f t="shared" si="1"/>
        <v>79290</v>
      </c>
      <c r="H121" s="49">
        <f t="shared" si="2"/>
        <v>79063</v>
      </c>
    </row>
    <row r="122">
      <c r="A122" s="48" t="s">
        <v>407</v>
      </c>
      <c r="B122" s="38">
        <v>71159.0</v>
      </c>
      <c r="C122" s="38" t="s">
        <v>408</v>
      </c>
      <c r="D122" s="38" t="str">
        <f>IFERROR(__xludf.DUMMYFUNCTION("REGEXREPLACE(C122,""-\d+(.*)|--\d+(.*)"","""")"),"CULLES-LES-ROCHES")</f>
        <v>CULLES-LES-ROCHES</v>
      </c>
      <c r="E122" s="38" t="s">
        <v>344</v>
      </c>
      <c r="F122" s="38" t="s">
        <v>106</v>
      </c>
      <c r="G122" s="49" t="str">
        <f t="shared" si="1"/>
        <v>71460</v>
      </c>
      <c r="H122" s="49">
        <f t="shared" si="2"/>
        <v>71159</v>
      </c>
    </row>
    <row r="123">
      <c r="A123" s="48" t="s">
        <v>409</v>
      </c>
      <c r="B123" s="38">
        <v>31299.0</v>
      </c>
      <c r="C123" s="38" t="s">
        <v>410</v>
      </c>
      <c r="D123" s="38" t="str">
        <f>IFERROR(__xludf.DUMMYFUNCTION("REGEXREPLACE(C123,""-\d+(.*)|--\d+(.*)"","""")"),"LHERM")</f>
        <v>LHERM</v>
      </c>
      <c r="E123" s="38" t="s">
        <v>93</v>
      </c>
      <c r="F123" s="38" t="s">
        <v>94</v>
      </c>
      <c r="G123" s="49" t="str">
        <f t="shared" si="1"/>
        <v>31600</v>
      </c>
      <c r="H123" s="49">
        <f t="shared" si="2"/>
        <v>31299</v>
      </c>
    </row>
    <row r="124">
      <c r="A124" s="48" t="s">
        <v>411</v>
      </c>
      <c r="B124" s="38">
        <v>57134.0</v>
      </c>
      <c r="C124" s="38" t="s">
        <v>412</v>
      </c>
      <c r="D124" s="38" t="str">
        <f>IFERROR(__xludf.DUMMYFUNCTION("REGEXREPLACE(C124,""-\d+(.*)|--\d+(.*)"","""")"),"CHATEL-SAINT-GERMAIN")</f>
        <v>CHATEL-SAINT-GERMAIN</v>
      </c>
      <c r="E124" s="38" t="s">
        <v>303</v>
      </c>
      <c r="F124" s="38" t="s">
        <v>195</v>
      </c>
      <c r="G124" s="49" t="str">
        <f t="shared" si="1"/>
        <v>57160</v>
      </c>
      <c r="H124" s="49">
        <f t="shared" si="2"/>
        <v>57134</v>
      </c>
    </row>
    <row r="125">
      <c r="A125" s="48" t="s">
        <v>413</v>
      </c>
      <c r="B125" s="38">
        <v>35121.0</v>
      </c>
      <c r="C125" s="38" t="s">
        <v>414</v>
      </c>
      <c r="D125" s="38" t="str">
        <f>IFERROR(__xludf.DUMMYFUNCTION("REGEXREPLACE(C125,""-\d+(.*)|--\d+(.*)"","""")"),"GOSNE")</f>
        <v>GOSNE</v>
      </c>
      <c r="E125" s="38" t="s">
        <v>347</v>
      </c>
      <c r="F125" s="38" t="s">
        <v>90</v>
      </c>
      <c r="G125" s="49" t="str">
        <f t="shared" si="1"/>
        <v>35140</v>
      </c>
      <c r="H125" s="49">
        <f t="shared" si="2"/>
        <v>35121</v>
      </c>
    </row>
    <row r="126">
      <c r="A126" s="48" t="s">
        <v>415</v>
      </c>
      <c r="B126" s="38">
        <v>21363.0</v>
      </c>
      <c r="C126" s="38" t="s">
        <v>416</v>
      </c>
      <c r="D126" s="38" t="str">
        <f>IFERROR(__xludf.DUMMYFUNCTION("REGEXREPLACE(C126,""-\d+(.*)|--\d+(.*)"","""")"),"MAGNIEN")</f>
        <v>MAGNIEN</v>
      </c>
      <c r="E126" s="38" t="s">
        <v>105</v>
      </c>
      <c r="F126" s="38" t="s">
        <v>106</v>
      </c>
      <c r="G126" s="49" t="str">
        <f t="shared" si="1"/>
        <v>21230</v>
      </c>
      <c r="H126" s="49">
        <f t="shared" si="2"/>
        <v>21363</v>
      </c>
    </row>
    <row r="127">
      <c r="A127" s="48" t="s">
        <v>417</v>
      </c>
      <c r="B127" s="38">
        <v>1027.0</v>
      </c>
      <c r="C127" s="38" t="s">
        <v>418</v>
      </c>
      <c r="D127" s="38" t="str">
        <f>IFERROR(__xludf.DUMMYFUNCTION("REGEXREPLACE(C127,""-\d+(.*)|--\d+(.*)"","""")"),"BALAN")</f>
        <v>BALAN</v>
      </c>
      <c r="E127" s="38" t="s">
        <v>255</v>
      </c>
      <c r="F127" s="38" t="s">
        <v>102</v>
      </c>
      <c r="G127" s="49" t="str">
        <f t="shared" si="1"/>
        <v>01360</v>
      </c>
      <c r="H127" s="49" t="str">
        <f t="shared" si="2"/>
        <v>01027</v>
      </c>
    </row>
    <row r="128">
      <c r="A128" s="48" t="s">
        <v>419</v>
      </c>
      <c r="B128" s="38">
        <v>57484.0</v>
      </c>
      <c r="C128" s="38" t="s">
        <v>420</v>
      </c>
      <c r="D128" s="38" t="str">
        <f>IFERROR(__xludf.DUMMYFUNCTION("REGEXREPLACE(C128,""-\d+(.*)|--\d+(.*)"","""")"),"MORSBACH")</f>
        <v>MORSBACH</v>
      </c>
      <c r="E128" s="38" t="s">
        <v>303</v>
      </c>
      <c r="F128" s="38" t="s">
        <v>195</v>
      </c>
      <c r="G128" s="49" t="str">
        <f t="shared" si="1"/>
        <v>57600</v>
      </c>
      <c r="H128" s="49">
        <f t="shared" si="2"/>
        <v>57484</v>
      </c>
    </row>
    <row r="129">
      <c r="A129" s="48" t="s">
        <v>421</v>
      </c>
      <c r="B129" s="38">
        <v>25258.0</v>
      </c>
      <c r="C129" s="38" t="s">
        <v>422</v>
      </c>
      <c r="D129" s="38" t="str">
        <f>IFERROR(__xludf.DUMMYFUNCTION("REGEXREPLACE(C129,""-\d+(.*)|--\d+(.*)"","""")"),"FRANOIS")</f>
        <v>FRANOIS</v>
      </c>
      <c r="E129" s="38" t="s">
        <v>213</v>
      </c>
      <c r="F129" s="38" t="s">
        <v>214</v>
      </c>
      <c r="G129" s="49" t="str">
        <f t="shared" si="1"/>
        <v>25770</v>
      </c>
      <c r="H129" s="49">
        <f t="shared" si="2"/>
        <v>25258</v>
      </c>
    </row>
    <row r="130">
      <c r="A130" s="48" t="s">
        <v>423</v>
      </c>
      <c r="B130" s="38">
        <v>2734.0</v>
      </c>
      <c r="C130" s="38" t="s">
        <v>424</v>
      </c>
      <c r="D130" s="38" t="str">
        <f>IFERROR(__xludf.DUMMYFUNCTION("REGEXREPLACE(C130,""-\d+(.*)|--\d+(.*)"","""")"),"TAILLEFONTAINE")</f>
        <v>TAILLEFONTAINE</v>
      </c>
      <c r="E130" s="38" t="s">
        <v>191</v>
      </c>
      <c r="F130" s="38" t="s">
        <v>113</v>
      </c>
      <c r="G130" s="49" t="str">
        <f t="shared" si="1"/>
        <v>02600</v>
      </c>
      <c r="H130" s="49" t="str">
        <f t="shared" si="2"/>
        <v>02734</v>
      </c>
    </row>
    <row r="131">
      <c r="A131" s="48" t="s">
        <v>425</v>
      </c>
      <c r="B131" s="38">
        <v>88172.0</v>
      </c>
      <c r="C131" s="38" t="s">
        <v>426</v>
      </c>
      <c r="D131" s="38" t="str">
        <f>IFERROR(__xludf.DUMMYFUNCTION("REGEXREPLACE(C131,""-\d+(.*)|--\d+(.*)"","""")"),"FIMENIL")</f>
        <v>FIMENIL</v>
      </c>
      <c r="E131" s="38" t="s">
        <v>194</v>
      </c>
      <c r="F131" s="38" t="s">
        <v>195</v>
      </c>
      <c r="G131" s="49" t="str">
        <f t="shared" si="1"/>
        <v>88600</v>
      </c>
      <c r="H131" s="49">
        <f t="shared" si="2"/>
        <v>88172</v>
      </c>
    </row>
    <row r="132">
      <c r="A132" s="48" t="s">
        <v>427</v>
      </c>
      <c r="B132" s="38">
        <v>16012.0</v>
      </c>
      <c r="C132" s="38" t="s">
        <v>428</v>
      </c>
      <c r="D132" s="38" t="str">
        <f>IFERROR(__xludf.DUMMYFUNCTION("REGEXREPLACE(C132,""-\d+(.*)|--\d+(.*)"","""")"),"ANGEAC-CHAMPAGNE")</f>
        <v>ANGEAC-CHAMPAGNE</v>
      </c>
      <c r="E132" s="38" t="s">
        <v>429</v>
      </c>
      <c r="F132" s="38" t="s">
        <v>338</v>
      </c>
      <c r="G132" s="49" t="str">
        <f t="shared" si="1"/>
        <v>16130</v>
      </c>
      <c r="H132" s="49">
        <f t="shared" si="2"/>
        <v>16012</v>
      </c>
    </row>
    <row r="133">
      <c r="A133" s="48" t="s">
        <v>430</v>
      </c>
      <c r="B133" s="38">
        <v>2679.0</v>
      </c>
      <c r="C133" s="38" t="s">
        <v>431</v>
      </c>
      <c r="D133" s="38" t="str">
        <f>IFERROR(__xludf.DUMMYFUNCTION("REGEXREPLACE(C133,""-\d+(.*)|--\d+(.*)"","""")"),"SAINT-GENGOULPH")</f>
        <v>SAINT-GENGOULPH</v>
      </c>
      <c r="E133" s="38" t="s">
        <v>191</v>
      </c>
      <c r="F133" s="38" t="s">
        <v>113</v>
      </c>
      <c r="G133" s="49" t="str">
        <f t="shared" si="1"/>
        <v>02810</v>
      </c>
      <c r="H133" s="49" t="str">
        <f t="shared" si="2"/>
        <v>02679</v>
      </c>
    </row>
    <row r="134">
      <c r="A134" s="48" t="s">
        <v>432</v>
      </c>
      <c r="B134" s="38">
        <v>68040.0</v>
      </c>
      <c r="C134" s="38" t="s">
        <v>433</v>
      </c>
      <c r="D134" s="38" t="str">
        <f>IFERROR(__xludf.DUMMYFUNCTION("REGEXREPLACE(C134,""-\d+(.*)|--\d+(.*)"","""")"),"BITSCHWILLER-LES-THANN")</f>
        <v>BITSCHWILLER-LES-THANN</v>
      </c>
      <c r="E134" s="38" t="s">
        <v>150</v>
      </c>
      <c r="F134" s="38" t="s">
        <v>151</v>
      </c>
      <c r="G134" s="49" t="str">
        <f t="shared" si="1"/>
        <v>68620</v>
      </c>
      <c r="H134" s="49">
        <f t="shared" si="2"/>
        <v>68040</v>
      </c>
    </row>
    <row r="135">
      <c r="A135" s="48" t="s">
        <v>434</v>
      </c>
      <c r="B135" s="38">
        <v>55509.0</v>
      </c>
      <c r="C135" s="38" t="s">
        <v>435</v>
      </c>
      <c r="D135" s="38" t="str">
        <f>IFERROR(__xludf.DUMMYFUNCTION("REGEXREPLACE(C135,""-\d+(.*)|--\d+(.*)"","""")"),"THONNE-LE-THIL")</f>
        <v>THONNE-LE-THIL</v>
      </c>
      <c r="E135" s="38" t="s">
        <v>322</v>
      </c>
      <c r="F135" s="38" t="s">
        <v>195</v>
      </c>
      <c r="G135" s="49" t="str">
        <f t="shared" si="1"/>
        <v>55600</v>
      </c>
      <c r="H135" s="49">
        <f t="shared" si="2"/>
        <v>55509</v>
      </c>
    </row>
    <row r="136">
      <c r="A136" s="48" t="s">
        <v>436</v>
      </c>
      <c r="B136" s="38">
        <v>51008.0</v>
      </c>
      <c r="C136" s="38" t="s">
        <v>437</v>
      </c>
      <c r="D136" s="38" t="str">
        <f>IFERROR(__xludf.DUMMYFUNCTION("REGEXREPLACE(C136,""-\d+(.*)|--\d+(.*)"","""")"),"AMBRIERES")</f>
        <v>AMBRIERES</v>
      </c>
      <c r="E136" s="38" t="s">
        <v>129</v>
      </c>
      <c r="F136" s="38" t="s">
        <v>130</v>
      </c>
      <c r="G136" s="49" t="str">
        <f t="shared" si="1"/>
        <v>51290</v>
      </c>
      <c r="H136" s="49">
        <f t="shared" si="2"/>
        <v>51008</v>
      </c>
    </row>
    <row r="137">
      <c r="A137" s="48" t="s">
        <v>438</v>
      </c>
      <c r="B137" s="38">
        <v>32465.0</v>
      </c>
      <c r="C137" s="38" t="s">
        <v>439</v>
      </c>
      <c r="D137" s="38" t="str">
        <f>IFERROR(__xludf.DUMMYFUNCTION("REGEXREPLACE(C137,""-\d+(.*)|--\d+(.*)"","""")"),"VILLEFRANCHE")</f>
        <v>VILLEFRANCHE</v>
      </c>
      <c r="E137" s="38" t="s">
        <v>440</v>
      </c>
      <c r="F137" s="38" t="s">
        <v>94</v>
      </c>
      <c r="G137" s="49" t="str">
        <f t="shared" si="1"/>
        <v>32420</v>
      </c>
      <c r="H137" s="49">
        <f t="shared" si="2"/>
        <v>32465</v>
      </c>
    </row>
    <row r="138">
      <c r="A138" s="48" t="s">
        <v>441</v>
      </c>
      <c r="B138" s="38">
        <v>42339.0</v>
      </c>
      <c r="C138" s="38" t="s">
        <v>442</v>
      </c>
      <c r="D138" s="38" t="str">
        <f>IFERROR(__xludf.DUMMYFUNCTION("REGEXREPLACE(C138,""-\d+(.*)|--\d+(.*)"","""")"),"CHAUSSETERRE")</f>
        <v>CHAUSSETERRE</v>
      </c>
      <c r="E138" s="38" t="s">
        <v>166</v>
      </c>
      <c r="F138" s="38" t="s">
        <v>102</v>
      </c>
      <c r="G138" s="49" t="str">
        <f t="shared" si="1"/>
        <v>42430</v>
      </c>
      <c r="H138" s="49">
        <f t="shared" si="2"/>
        <v>42339</v>
      </c>
    </row>
    <row r="139">
      <c r="A139" s="48" t="s">
        <v>443</v>
      </c>
      <c r="B139" s="38">
        <v>24109.0</v>
      </c>
      <c r="C139" s="38" t="s">
        <v>444</v>
      </c>
      <c r="D139" s="38" t="str">
        <f>IFERROR(__xludf.DUMMYFUNCTION("REGEXREPLACE(C139,""-\d+(.*)|--\d+(.*)"","""")"),"LA CHAPELLE-GRESIGNAC")</f>
        <v>LA CHAPELLE-GRESIGNAC</v>
      </c>
      <c r="E139" s="38" t="s">
        <v>261</v>
      </c>
      <c r="F139" s="38" t="s">
        <v>252</v>
      </c>
      <c r="G139" s="49" t="str">
        <f t="shared" si="1"/>
        <v>24320</v>
      </c>
      <c r="H139" s="49">
        <f t="shared" si="2"/>
        <v>24109</v>
      </c>
    </row>
    <row r="140">
      <c r="A140" s="48" t="s">
        <v>445</v>
      </c>
      <c r="B140" s="38">
        <v>76504.0</v>
      </c>
      <c r="C140" s="38" t="s">
        <v>446</v>
      </c>
      <c r="D140" s="38" t="str">
        <f>IFERROR(__xludf.DUMMYFUNCTION("REGEXREPLACE(C140,""-\d+(.*)|--\d+(.*)"","""")"),"PLEINE-SEVE")</f>
        <v>PLEINE-SEVE</v>
      </c>
      <c r="E140" s="38" t="s">
        <v>133</v>
      </c>
      <c r="F140" s="38" t="s">
        <v>134</v>
      </c>
      <c r="G140" s="49" t="str">
        <f t="shared" si="1"/>
        <v>76460</v>
      </c>
      <c r="H140" s="49">
        <f t="shared" si="2"/>
        <v>76504</v>
      </c>
    </row>
    <row r="141">
      <c r="A141" s="48" t="s">
        <v>447</v>
      </c>
      <c r="B141" s="38">
        <v>88147.0</v>
      </c>
      <c r="C141" s="38" t="s">
        <v>448</v>
      </c>
      <c r="D141" s="38" t="str">
        <f>IFERROR(__xludf.DUMMYFUNCTION("REGEXREPLACE(C141,""-\d+(.*)|--\d+(.*)"","""")"),"DOMMARTIN-AUX-BOIS")</f>
        <v>DOMMARTIN-AUX-BOIS</v>
      </c>
      <c r="E141" s="38" t="s">
        <v>194</v>
      </c>
      <c r="F141" s="38" t="s">
        <v>195</v>
      </c>
      <c r="G141" s="49" t="str">
        <f t="shared" si="1"/>
        <v>88390</v>
      </c>
      <c r="H141" s="49">
        <f t="shared" si="2"/>
        <v>88147</v>
      </c>
    </row>
    <row r="142">
      <c r="A142" s="48" t="s">
        <v>443</v>
      </c>
      <c r="B142" s="38">
        <v>24038.0</v>
      </c>
      <c r="C142" s="38" t="s">
        <v>449</v>
      </c>
      <c r="D142" s="38" t="str">
        <f>IFERROR(__xludf.DUMMYFUNCTION("REGEXREPLACE(C142,""-\d+(.*)|--\d+(.*)"","""")"),"BERTRIC-BUREE")</f>
        <v>BERTRIC-BUREE</v>
      </c>
      <c r="E142" s="38" t="s">
        <v>261</v>
      </c>
      <c r="F142" s="38" t="s">
        <v>252</v>
      </c>
      <c r="G142" s="49" t="str">
        <f t="shared" si="1"/>
        <v>24320</v>
      </c>
      <c r="H142" s="49">
        <f t="shared" si="2"/>
        <v>24038</v>
      </c>
    </row>
    <row r="143">
      <c r="A143" s="48" t="s">
        <v>450</v>
      </c>
      <c r="B143" s="38">
        <v>71221.0</v>
      </c>
      <c r="C143" s="38" t="s">
        <v>451</v>
      </c>
      <c r="D143" s="38" t="str">
        <f>IFERROR(__xludf.DUMMYFUNCTION("REGEXREPLACE(C143,""-\d+(.*)|--\d+(.*)"","""")"),"GIVRY")</f>
        <v>GIVRY</v>
      </c>
      <c r="E143" s="38" t="s">
        <v>344</v>
      </c>
      <c r="F143" s="38" t="s">
        <v>106</v>
      </c>
      <c r="G143" s="49" t="str">
        <f t="shared" si="1"/>
        <v>71640</v>
      </c>
      <c r="H143" s="49">
        <f t="shared" si="2"/>
        <v>71221</v>
      </c>
    </row>
    <row r="144">
      <c r="A144" s="48" t="s">
        <v>452</v>
      </c>
      <c r="B144" s="38">
        <v>21396.0</v>
      </c>
      <c r="C144" s="38" t="s">
        <v>453</v>
      </c>
      <c r="D144" s="38" t="str">
        <f>IFERROR(__xludf.DUMMYFUNCTION("REGEXREPLACE(C144,""-\d+(.*)|--\d+(.*)"","""")"),"MAUVILLY")</f>
        <v>MAUVILLY</v>
      </c>
      <c r="E144" s="38" t="s">
        <v>105</v>
      </c>
      <c r="F144" s="38" t="s">
        <v>106</v>
      </c>
      <c r="G144" s="49" t="str">
        <f t="shared" si="1"/>
        <v>21510</v>
      </c>
      <c r="H144" s="49">
        <f t="shared" si="2"/>
        <v>21396</v>
      </c>
    </row>
    <row r="145">
      <c r="A145" s="48" t="s">
        <v>454</v>
      </c>
      <c r="B145" s="38">
        <v>71326.0</v>
      </c>
      <c r="C145" s="38" t="s">
        <v>455</v>
      </c>
      <c r="D145" s="38" t="str">
        <f>IFERROR(__xludf.DUMMYFUNCTION("REGEXREPLACE(C145,""-\d+(.*)|--\d+(.*)"","""")"),"MOUTHIER-EN-BRESSE")</f>
        <v>MOUTHIER-EN-BRESSE</v>
      </c>
      <c r="E145" s="38" t="s">
        <v>344</v>
      </c>
      <c r="F145" s="38" t="s">
        <v>106</v>
      </c>
      <c r="G145" s="49" t="str">
        <f t="shared" si="1"/>
        <v>71270</v>
      </c>
      <c r="H145" s="49">
        <f t="shared" si="2"/>
        <v>71326</v>
      </c>
    </row>
    <row r="146">
      <c r="A146" s="48" t="s">
        <v>456</v>
      </c>
      <c r="B146" s="38">
        <v>63392.0</v>
      </c>
      <c r="C146" s="38" t="s">
        <v>457</v>
      </c>
      <c r="D146" s="38" t="str">
        <f>IFERROR(__xludf.DUMMYFUNCTION("REGEXREPLACE(C146,""-\d+(.*)|--\d+(.*)"","""")"),"SAINT-REMY-DE-CHARGNAT")</f>
        <v>SAINT-REMY-DE-CHARGNAT</v>
      </c>
      <c r="E146" s="38" t="s">
        <v>353</v>
      </c>
      <c r="F146" s="38" t="s">
        <v>161</v>
      </c>
      <c r="G146" s="49" t="str">
        <f t="shared" si="1"/>
        <v>63500</v>
      </c>
      <c r="H146" s="49">
        <f t="shared" si="2"/>
        <v>63392</v>
      </c>
    </row>
    <row r="147">
      <c r="A147" s="48" t="s">
        <v>458</v>
      </c>
      <c r="B147" s="38">
        <v>34236.0</v>
      </c>
      <c r="C147" s="38" t="s">
        <v>459</v>
      </c>
      <c r="D147" s="38" t="str">
        <f>IFERROR(__xludf.DUMMYFUNCTION("REGEXREPLACE(C147,""-\d+(.*)|--\d+(.*)"","""")"),"ROUET")</f>
        <v>ROUET</v>
      </c>
      <c r="E147" s="38" t="s">
        <v>118</v>
      </c>
      <c r="F147" s="38" t="s">
        <v>119</v>
      </c>
      <c r="G147" s="49" t="str">
        <f t="shared" si="1"/>
        <v>34380</v>
      </c>
      <c r="H147" s="49">
        <f t="shared" si="2"/>
        <v>34236</v>
      </c>
    </row>
    <row r="148">
      <c r="A148" s="48" t="s">
        <v>460</v>
      </c>
      <c r="B148" s="38">
        <v>33276.0</v>
      </c>
      <c r="C148" s="38" t="s">
        <v>461</v>
      </c>
      <c r="D148" s="38" t="str">
        <f>IFERROR(__xludf.DUMMYFUNCTION("REGEXREPLACE(C148,""-\d+(.*)|--\d+(.*)"","""")"),"MASSEILLES")</f>
        <v>MASSEILLES</v>
      </c>
      <c r="E148" s="38" t="s">
        <v>462</v>
      </c>
      <c r="F148" s="38" t="s">
        <v>252</v>
      </c>
      <c r="G148" s="49" t="str">
        <f t="shared" si="1"/>
        <v>33690</v>
      </c>
      <c r="H148" s="49">
        <f t="shared" si="2"/>
        <v>33276</v>
      </c>
    </row>
    <row r="149">
      <c r="A149" s="48" t="s">
        <v>463</v>
      </c>
      <c r="B149" s="38">
        <v>12027.0</v>
      </c>
      <c r="C149" s="38" t="s">
        <v>464</v>
      </c>
      <c r="D149" s="38" t="str">
        <f>IFERROR(__xludf.DUMMYFUNCTION("REGEXREPLACE(C149,""-\d+(.*)|--\d+(.*)"","""")"),"BESSUEJOULS")</f>
        <v>BESSUEJOULS</v>
      </c>
      <c r="E149" s="38" t="s">
        <v>465</v>
      </c>
      <c r="F149" s="38" t="s">
        <v>94</v>
      </c>
      <c r="G149" s="49" t="str">
        <f t="shared" si="1"/>
        <v>12500</v>
      </c>
      <c r="H149" s="49">
        <f t="shared" si="2"/>
        <v>12027</v>
      </c>
    </row>
    <row r="150">
      <c r="A150" s="48" t="s">
        <v>466</v>
      </c>
      <c r="B150" s="38">
        <v>52156.0</v>
      </c>
      <c r="C150" s="38" t="s">
        <v>467</v>
      </c>
      <c r="D150" s="38" t="str">
        <f>IFERROR(__xludf.DUMMYFUNCTION("REGEXREPLACE(C150,""-\d+(.*)|--\d+(.*)"","""")"),"CUREL")</f>
        <v>CUREL</v>
      </c>
      <c r="E150" s="38" t="s">
        <v>234</v>
      </c>
      <c r="F150" s="38" t="s">
        <v>130</v>
      </c>
      <c r="G150" s="49" t="str">
        <f t="shared" si="1"/>
        <v>52300</v>
      </c>
      <c r="H150" s="49">
        <f t="shared" si="2"/>
        <v>52156</v>
      </c>
    </row>
    <row r="151">
      <c r="A151" s="48" t="s">
        <v>468</v>
      </c>
      <c r="B151" s="38">
        <v>26069.0</v>
      </c>
      <c r="C151" s="38" t="s">
        <v>469</v>
      </c>
      <c r="D151" s="38" t="str">
        <f>IFERROR(__xludf.DUMMYFUNCTION("REGEXREPLACE(C151,""-\d+(.*)|--\d+(.*)"","""")"),"CHAMALOC")</f>
        <v>CHAMALOC</v>
      </c>
      <c r="E151" s="38" t="s">
        <v>126</v>
      </c>
      <c r="F151" s="38" t="s">
        <v>102</v>
      </c>
      <c r="G151" s="49" t="str">
        <f t="shared" si="1"/>
        <v>26150</v>
      </c>
      <c r="H151" s="49">
        <f t="shared" si="2"/>
        <v>26069</v>
      </c>
    </row>
    <row r="152">
      <c r="A152" s="48" t="s">
        <v>470</v>
      </c>
      <c r="B152" s="38">
        <v>8481.0</v>
      </c>
      <c r="C152" s="38" t="s">
        <v>471</v>
      </c>
      <c r="D152" s="38" t="str">
        <f>IFERROR(__xludf.DUMMYFUNCTION("REGEXREPLACE(C152,""-\d+(.*)|--\d+(.*)"","""")"),"VILLERS-SUR-BAR")</f>
        <v>VILLERS-SUR-BAR</v>
      </c>
      <c r="E152" s="38" t="s">
        <v>327</v>
      </c>
      <c r="F152" s="38" t="s">
        <v>130</v>
      </c>
      <c r="G152" s="49" t="str">
        <f t="shared" si="1"/>
        <v>08350</v>
      </c>
      <c r="H152" s="49" t="str">
        <f t="shared" si="2"/>
        <v>08481</v>
      </c>
    </row>
    <row r="153">
      <c r="A153" s="48" t="s">
        <v>472</v>
      </c>
      <c r="B153" s="38">
        <v>60570.0</v>
      </c>
      <c r="C153" s="38" t="s">
        <v>473</v>
      </c>
      <c r="D153" s="38" t="str">
        <f>IFERROR(__xludf.DUMMYFUNCTION("REGEXREPLACE(C153,""-\d+(.*)|--\d+(.*)"","""")"),"SAINT-CREPIN-IBOUVILLERS")</f>
        <v>SAINT-CREPIN-IBOUVILLERS</v>
      </c>
      <c r="E153" s="38" t="s">
        <v>112</v>
      </c>
      <c r="F153" s="38" t="s">
        <v>113</v>
      </c>
      <c r="G153" s="49" t="str">
        <f t="shared" si="1"/>
        <v>60149</v>
      </c>
      <c r="H153" s="49">
        <f t="shared" si="2"/>
        <v>60570</v>
      </c>
    </row>
    <row r="154">
      <c r="A154" s="48" t="s">
        <v>474</v>
      </c>
      <c r="B154" s="38">
        <v>76115.0</v>
      </c>
      <c r="C154" s="38" t="s">
        <v>475</v>
      </c>
      <c r="D154" s="38" t="str">
        <f>IFERROR(__xludf.DUMMYFUNCTION("REGEXREPLACE(C154,""-\d+(.*)|--\d+(.*)"","""")"),"BOLLEVILLE")</f>
        <v>BOLLEVILLE</v>
      </c>
      <c r="E154" s="38" t="s">
        <v>133</v>
      </c>
      <c r="F154" s="38" t="s">
        <v>134</v>
      </c>
      <c r="G154" s="49" t="str">
        <f t="shared" si="1"/>
        <v>76210</v>
      </c>
      <c r="H154" s="49">
        <f t="shared" si="2"/>
        <v>76115</v>
      </c>
    </row>
    <row r="155">
      <c r="A155" s="48" t="s">
        <v>476</v>
      </c>
      <c r="B155" s="38">
        <v>35010.0</v>
      </c>
      <c r="C155" s="38" t="s">
        <v>477</v>
      </c>
      <c r="D155" s="38" t="str">
        <f>IFERROR(__xludf.DUMMYFUNCTION("REGEXREPLACE(C155,""-\d+(.*)|--\d+(.*)"","""")"),"BAGUER-PICAN")</f>
        <v>BAGUER-PICAN</v>
      </c>
      <c r="E155" s="38" t="s">
        <v>347</v>
      </c>
      <c r="F155" s="38" t="s">
        <v>90</v>
      </c>
      <c r="G155" s="49" t="str">
        <f t="shared" si="1"/>
        <v>35120</v>
      </c>
      <c r="H155" s="49">
        <f t="shared" si="2"/>
        <v>35010</v>
      </c>
    </row>
    <row r="156">
      <c r="A156" s="48" t="s">
        <v>478</v>
      </c>
      <c r="B156" s="38">
        <v>41241.0</v>
      </c>
      <c r="C156" s="38" t="s">
        <v>479</v>
      </c>
      <c r="D156" s="38" t="str">
        <f>IFERROR(__xludf.DUMMYFUNCTION("REGEXREPLACE(C156,""-\d+(.*)|--\d+(.*)"","""")"),"SELLES-SAINT-DENIS")</f>
        <v>SELLES-SAINT-DENIS</v>
      </c>
      <c r="E156" s="38" t="s">
        <v>188</v>
      </c>
      <c r="F156" s="38" t="s">
        <v>123</v>
      </c>
      <c r="G156" s="49" t="str">
        <f t="shared" si="1"/>
        <v>41300</v>
      </c>
      <c r="H156" s="49">
        <f t="shared" si="2"/>
        <v>41241</v>
      </c>
    </row>
    <row r="157">
      <c r="A157" s="48" t="s">
        <v>480</v>
      </c>
      <c r="B157" s="38">
        <v>3239.0</v>
      </c>
      <c r="C157" s="38" t="s">
        <v>481</v>
      </c>
      <c r="D157" s="38" t="str">
        <f>IFERROR(__xludf.DUMMYFUNCTION("REGEXREPLACE(C157,""-\d+(.*)|--\d+(.*)"","""")"),"SAINT-LEGER-SUR-VOUZANCE")</f>
        <v>SAINT-LEGER-SUR-VOUZANCE</v>
      </c>
      <c r="E157" s="38" t="s">
        <v>160</v>
      </c>
      <c r="F157" s="38" t="s">
        <v>161</v>
      </c>
      <c r="G157" s="49" t="str">
        <f t="shared" si="1"/>
        <v>03130</v>
      </c>
      <c r="H157" s="49" t="str">
        <f t="shared" si="2"/>
        <v>03239</v>
      </c>
    </row>
    <row r="158">
      <c r="A158" s="48" t="s">
        <v>482</v>
      </c>
      <c r="B158" s="38">
        <v>26259.0</v>
      </c>
      <c r="C158" s="38" t="s">
        <v>483</v>
      </c>
      <c r="D158" s="38" t="str">
        <f>IFERROR(__xludf.DUMMYFUNCTION("REGEXREPLACE(C158,""-\d+(.*)|--\d+(.*)"","""")"),"RATIERES")</f>
        <v>RATIERES</v>
      </c>
      <c r="E158" s="38" t="s">
        <v>126</v>
      </c>
      <c r="F158" s="38" t="s">
        <v>102</v>
      </c>
      <c r="G158" s="49" t="str">
        <f t="shared" si="1"/>
        <v>26330</v>
      </c>
      <c r="H158" s="49">
        <f t="shared" si="2"/>
        <v>26259</v>
      </c>
    </row>
    <row r="159">
      <c r="A159" s="48" t="s">
        <v>484</v>
      </c>
      <c r="B159" s="38">
        <v>16145.0</v>
      </c>
      <c r="C159" s="38" t="s">
        <v>485</v>
      </c>
      <c r="D159" s="38" t="str">
        <f>IFERROR(__xludf.DUMMYFUNCTION("REGEXREPLACE(C159,""-\d+(.*)|--\d+(.*)"","""")"),"FOUSSIGNAC")</f>
        <v>FOUSSIGNAC</v>
      </c>
      <c r="E159" s="38" t="s">
        <v>429</v>
      </c>
      <c r="F159" s="38" t="s">
        <v>338</v>
      </c>
      <c r="G159" s="49" t="str">
        <f t="shared" si="1"/>
        <v>16200</v>
      </c>
      <c r="H159" s="49">
        <f t="shared" si="2"/>
        <v>16145</v>
      </c>
    </row>
    <row r="160">
      <c r="A160" s="48" t="s">
        <v>486</v>
      </c>
      <c r="B160" s="38">
        <v>17174.0</v>
      </c>
      <c r="C160" s="38" t="s">
        <v>487</v>
      </c>
      <c r="D160" s="38" t="str">
        <f>IFERROR(__xludf.DUMMYFUNCTION("REGEXREPLACE(C160,""-\d+(.*)|--\d+(.*)"","""")"),"GENOUILLE")</f>
        <v>GENOUILLE</v>
      </c>
      <c r="E160" s="38" t="s">
        <v>488</v>
      </c>
      <c r="F160" s="38" t="s">
        <v>338</v>
      </c>
      <c r="G160" s="49" t="str">
        <f t="shared" si="1"/>
        <v>17430</v>
      </c>
      <c r="H160" s="49">
        <f t="shared" si="2"/>
        <v>17174</v>
      </c>
    </row>
    <row r="161">
      <c r="A161" s="48" t="s">
        <v>489</v>
      </c>
      <c r="B161" s="38">
        <v>9319.0</v>
      </c>
      <c r="C161" s="38" t="s">
        <v>490</v>
      </c>
      <c r="D161" s="38" t="str">
        <f>IFERROR(__xludf.DUMMYFUNCTION("REGEXREPLACE(C161,""-\d+(.*)|--\d+(.*)"","""")"),"UNZENT")</f>
        <v>UNZENT</v>
      </c>
      <c r="E161" s="38" t="s">
        <v>238</v>
      </c>
      <c r="F161" s="38" t="s">
        <v>94</v>
      </c>
      <c r="G161" s="49" t="str">
        <f t="shared" si="1"/>
        <v>09100</v>
      </c>
      <c r="H161" s="49" t="str">
        <f t="shared" si="2"/>
        <v>09319</v>
      </c>
    </row>
    <row r="162">
      <c r="A162" s="48" t="s">
        <v>491</v>
      </c>
      <c r="B162" s="38">
        <v>19113.0</v>
      </c>
      <c r="C162" s="38" t="s">
        <v>492</v>
      </c>
      <c r="D162" s="38" t="str">
        <f>IFERROR(__xludf.DUMMYFUNCTION("REGEXREPLACE(C162,""-\d+(.*)|--\d+(.*)"","""")"),"LIGINIAC")</f>
        <v>LIGINIAC</v>
      </c>
      <c r="E162" s="38" t="s">
        <v>271</v>
      </c>
      <c r="F162" s="38" t="s">
        <v>98</v>
      </c>
      <c r="G162" s="49" t="str">
        <f t="shared" si="1"/>
        <v>19160</v>
      </c>
      <c r="H162" s="49">
        <f t="shared" si="2"/>
        <v>19113</v>
      </c>
    </row>
    <row r="163">
      <c r="A163" s="48" t="s">
        <v>493</v>
      </c>
      <c r="B163" s="38">
        <v>28233.0</v>
      </c>
      <c r="C163" s="38" t="s">
        <v>494</v>
      </c>
      <c r="D163" s="38" t="str">
        <f>IFERROR(__xludf.DUMMYFUNCTION("REGEXREPLACE(C163,""-\d+(.*)|--\d+(.*)"","""")"),"MARBOUE")</f>
        <v>MARBOUE</v>
      </c>
      <c r="E163" s="38" t="s">
        <v>300</v>
      </c>
      <c r="F163" s="38" t="s">
        <v>123</v>
      </c>
      <c r="G163" s="49" t="str">
        <f t="shared" si="1"/>
        <v>28200</v>
      </c>
      <c r="H163" s="49">
        <f t="shared" si="2"/>
        <v>28233</v>
      </c>
    </row>
    <row r="164">
      <c r="A164" s="48" t="s">
        <v>495</v>
      </c>
      <c r="B164" s="38">
        <v>40157.0</v>
      </c>
      <c r="C164" s="38" t="s">
        <v>496</v>
      </c>
      <c r="D164" s="38" t="str">
        <f>IFERROR(__xludf.DUMMYFUNCTION("REGEXREPLACE(C164,""-\d+(.*)|--\d+(.*)"","""")"),"LIT-ET-MIXE")</f>
        <v>LIT-ET-MIXE</v>
      </c>
      <c r="E164" s="38" t="s">
        <v>281</v>
      </c>
      <c r="F164" s="38" t="s">
        <v>252</v>
      </c>
      <c r="G164" s="49" t="str">
        <f t="shared" si="1"/>
        <v>40170</v>
      </c>
      <c r="H164" s="49">
        <f t="shared" si="2"/>
        <v>40157</v>
      </c>
    </row>
    <row r="165">
      <c r="A165" s="48" t="s">
        <v>497</v>
      </c>
      <c r="B165" s="38">
        <v>62522.0</v>
      </c>
      <c r="C165" s="38" t="s">
        <v>498</v>
      </c>
      <c r="D165" s="38" t="str">
        <f>IFERROR(__xludf.DUMMYFUNCTION("REGEXREPLACE(C165,""-\d+(.*)|--\d+(.*)"","""")"),"LOISON-SUR-CREQUOISE")</f>
        <v>LOISON-SUR-CREQUOISE</v>
      </c>
      <c r="E165" s="38" t="s">
        <v>109</v>
      </c>
      <c r="F165" s="38" t="s">
        <v>86</v>
      </c>
      <c r="G165" s="49" t="str">
        <f t="shared" si="1"/>
        <v>62990</v>
      </c>
      <c r="H165" s="49">
        <f t="shared" si="2"/>
        <v>62522</v>
      </c>
    </row>
    <row r="166">
      <c r="A166" s="48" t="s">
        <v>499</v>
      </c>
      <c r="B166" s="38">
        <v>57003.0</v>
      </c>
      <c r="C166" s="38" t="s">
        <v>500</v>
      </c>
      <c r="D166" s="38" t="str">
        <f>IFERROR(__xludf.DUMMYFUNCTION("REGEXREPLACE(C166,""-\d+(.*)|--\d+(.*)"","""")"),"ABRESCHVILLER")</f>
        <v>ABRESCHVILLER</v>
      </c>
      <c r="E166" s="38" t="s">
        <v>303</v>
      </c>
      <c r="F166" s="38" t="s">
        <v>195</v>
      </c>
      <c r="G166" s="49" t="str">
        <f t="shared" si="1"/>
        <v>57560</v>
      </c>
      <c r="H166" s="49">
        <f t="shared" si="2"/>
        <v>57003</v>
      </c>
    </row>
    <row r="167">
      <c r="A167" s="48" t="s">
        <v>110</v>
      </c>
      <c r="B167" s="38">
        <v>60660.0</v>
      </c>
      <c r="C167" s="38" t="s">
        <v>501</v>
      </c>
      <c r="D167" s="38" t="str">
        <f>IFERROR(__xludf.DUMMYFUNCTION("REGEXREPLACE(C167,""-\d+(.*)|--\d+(.*)"","""")"),"LE VAUMAIN")</f>
        <v>LE VAUMAIN</v>
      </c>
      <c r="E167" s="38" t="s">
        <v>112</v>
      </c>
      <c r="F167" s="38" t="s">
        <v>113</v>
      </c>
      <c r="G167" s="49" t="str">
        <f t="shared" si="1"/>
        <v>60590</v>
      </c>
      <c r="H167" s="49">
        <f t="shared" si="2"/>
        <v>60660</v>
      </c>
    </row>
    <row r="168">
      <c r="A168" s="48" t="s">
        <v>502</v>
      </c>
      <c r="B168" s="38">
        <v>18063.0</v>
      </c>
      <c r="C168" s="38" t="s">
        <v>503</v>
      </c>
      <c r="D168" s="38" t="str">
        <f>IFERROR(__xludf.DUMMYFUNCTION("REGEXREPLACE(C168,""-\d+(.*)|--\d+(.*)"","""")"),"CHAVANNES")</f>
        <v>CHAVANNES</v>
      </c>
      <c r="E168" s="38" t="s">
        <v>504</v>
      </c>
      <c r="F168" s="38" t="s">
        <v>123</v>
      </c>
      <c r="G168" s="49" t="str">
        <f t="shared" si="1"/>
        <v>18190</v>
      </c>
      <c r="H168" s="49">
        <f t="shared" si="2"/>
        <v>18063</v>
      </c>
    </row>
    <row r="169">
      <c r="A169" s="48" t="s">
        <v>505</v>
      </c>
      <c r="B169" s="38">
        <v>12007.0</v>
      </c>
      <c r="C169" s="38" t="s">
        <v>506</v>
      </c>
      <c r="D169" s="38" t="str">
        <f>IFERROR(__xludf.DUMMYFUNCTION("REGEXREPLACE(C169,""-\d+(.*)|--\d+(.*)"","""")"),"AMBEYRAC")</f>
        <v>AMBEYRAC</v>
      </c>
      <c r="E169" s="38" t="s">
        <v>465</v>
      </c>
      <c r="F169" s="38" t="s">
        <v>94</v>
      </c>
      <c r="G169" s="49" t="str">
        <f t="shared" si="1"/>
        <v>12260</v>
      </c>
      <c r="H169" s="49">
        <f t="shared" si="2"/>
        <v>12007</v>
      </c>
    </row>
    <row r="170">
      <c r="A170" s="48" t="s">
        <v>507</v>
      </c>
      <c r="B170" s="38">
        <v>8244.0</v>
      </c>
      <c r="C170" s="38" t="s">
        <v>508</v>
      </c>
      <c r="D170" s="38" t="str">
        <f>IFERROR(__xludf.DUMMYFUNCTION("REGEXREPLACE(C170,""-\d+(.*)|--\d+(.*)"","""")"),"LAMETZ")</f>
        <v>LAMETZ</v>
      </c>
      <c r="E170" s="38" t="s">
        <v>327</v>
      </c>
      <c r="F170" s="38" t="s">
        <v>130</v>
      </c>
      <c r="G170" s="49" t="str">
        <f t="shared" si="1"/>
        <v>08130</v>
      </c>
      <c r="H170" s="49" t="str">
        <f t="shared" si="2"/>
        <v>08244</v>
      </c>
    </row>
    <row r="171">
      <c r="A171" s="48" t="s">
        <v>509</v>
      </c>
      <c r="B171" s="38">
        <v>28025.0</v>
      </c>
      <c r="C171" s="38" t="s">
        <v>510</v>
      </c>
      <c r="D171" s="38" t="str">
        <f>IFERROR(__xludf.DUMMYFUNCTION("REGEXREPLACE(C171,""-\d+(.*)|--\d+(.*)"","""")"),"BARMAINVILLE")</f>
        <v>BARMAINVILLE</v>
      </c>
      <c r="E171" s="38" t="s">
        <v>300</v>
      </c>
      <c r="F171" s="38" t="s">
        <v>123</v>
      </c>
      <c r="G171" s="49" t="str">
        <f t="shared" si="1"/>
        <v>28310</v>
      </c>
      <c r="H171" s="49">
        <f t="shared" si="2"/>
        <v>28025</v>
      </c>
    </row>
    <row r="172">
      <c r="A172" s="48" t="s">
        <v>511</v>
      </c>
      <c r="B172" s="38">
        <v>77204.0</v>
      </c>
      <c r="C172" s="38" t="s">
        <v>512</v>
      </c>
      <c r="D172" s="38" t="str">
        <f>IFERROR(__xludf.DUMMYFUNCTION("REGEXREPLACE(C172,""-\d+(.*)|--\d+(.*)"","""")"),"GERMIGNY-SOUS-COULOMBS")</f>
        <v>GERMIGNY-SOUS-COULOMBS</v>
      </c>
      <c r="E172" s="38" t="s">
        <v>244</v>
      </c>
      <c r="F172" s="38" t="s">
        <v>245</v>
      </c>
      <c r="G172" s="49" t="str">
        <f t="shared" si="1"/>
        <v>77840</v>
      </c>
      <c r="H172" s="49">
        <f t="shared" si="2"/>
        <v>77204</v>
      </c>
    </row>
    <row r="173">
      <c r="A173" s="48" t="s">
        <v>513</v>
      </c>
      <c r="B173" s="38">
        <v>76517.0</v>
      </c>
      <c r="C173" s="38" t="s">
        <v>514</v>
      </c>
      <c r="D173" s="38" t="str">
        <f>IFERROR(__xludf.DUMMYFUNCTION("REGEXREPLACE(C173,""-\d+(.*)|--\d+(.*)"","""")"),"QUINCAMPOIX")</f>
        <v>QUINCAMPOIX</v>
      </c>
      <c r="E173" s="38" t="s">
        <v>133</v>
      </c>
      <c r="F173" s="38" t="s">
        <v>134</v>
      </c>
      <c r="G173" s="49" t="str">
        <f t="shared" si="1"/>
        <v>76230</v>
      </c>
      <c r="H173" s="49">
        <f t="shared" si="2"/>
        <v>76517</v>
      </c>
    </row>
    <row r="174">
      <c r="A174" s="48" t="s">
        <v>489</v>
      </c>
      <c r="B174" s="38">
        <v>9022.0</v>
      </c>
      <c r="C174" s="38" t="s">
        <v>515</v>
      </c>
      <c r="D174" s="38" t="str">
        <f>IFERROR(__xludf.DUMMYFUNCTION("REGEXREPLACE(C174,""-\d+(.*)|--\d+(.*)"","""")"),"ARVIGNA")</f>
        <v>ARVIGNA</v>
      </c>
      <c r="E174" s="38" t="s">
        <v>238</v>
      </c>
      <c r="F174" s="38" t="s">
        <v>94</v>
      </c>
      <c r="G174" s="49" t="str">
        <f t="shared" si="1"/>
        <v>09100</v>
      </c>
      <c r="H174" s="49" t="str">
        <f t="shared" si="2"/>
        <v>09022</v>
      </c>
    </row>
    <row r="175">
      <c r="A175" s="48" t="s">
        <v>516</v>
      </c>
      <c r="B175" s="38">
        <v>53223.0</v>
      </c>
      <c r="C175" s="38" t="s">
        <v>517</v>
      </c>
      <c r="D175" s="38" t="str">
        <f>IFERROR(__xludf.DUMMYFUNCTION("REGEXREPLACE(C175,""-\d+(.*)|--\d+(.*)"","""")"),"SAINT-GERMAIN-DE-COULAMER")</f>
        <v>SAINT-GERMAIN-DE-COULAMER</v>
      </c>
      <c r="E175" s="38" t="s">
        <v>518</v>
      </c>
      <c r="F175" s="38" t="s">
        <v>180</v>
      </c>
      <c r="G175" s="49" t="str">
        <f t="shared" si="1"/>
        <v>53700</v>
      </c>
      <c r="H175" s="49">
        <f t="shared" si="2"/>
        <v>53223</v>
      </c>
    </row>
    <row r="176">
      <c r="A176" s="48" t="s">
        <v>519</v>
      </c>
      <c r="B176" s="38">
        <v>72249.0</v>
      </c>
      <c r="C176" s="38" t="s">
        <v>520</v>
      </c>
      <c r="D176" s="38" t="str">
        <f>IFERROR(__xludf.DUMMYFUNCTION("REGEXREPLACE(C176,""-\d+(.*)|--\d+(.*)"","""")"),"LA QUINTE")</f>
        <v>LA QUINTE</v>
      </c>
      <c r="E176" s="38" t="s">
        <v>521</v>
      </c>
      <c r="F176" s="38" t="s">
        <v>180</v>
      </c>
      <c r="G176" s="49" t="str">
        <f t="shared" si="1"/>
        <v>72550</v>
      </c>
      <c r="H176" s="49">
        <f t="shared" si="2"/>
        <v>72249</v>
      </c>
    </row>
    <row r="177">
      <c r="A177" s="48" t="s">
        <v>522</v>
      </c>
      <c r="B177" s="38">
        <v>39178.0</v>
      </c>
      <c r="C177" s="38" t="s">
        <v>523</v>
      </c>
      <c r="D177" s="38" t="str">
        <f>IFERROR(__xludf.DUMMYFUNCTION("REGEXREPLACE(C177,""-\d+(.*)|--\d+(.*)"","""")"),"CRANS")</f>
        <v>CRANS</v>
      </c>
      <c r="E177" s="38" t="s">
        <v>400</v>
      </c>
      <c r="F177" s="38" t="s">
        <v>214</v>
      </c>
      <c r="G177" s="49" t="str">
        <f t="shared" si="1"/>
        <v>39300</v>
      </c>
      <c r="H177" s="49">
        <f t="shared" si="2"/>
        <v>39178</v>
      </c>
    </row>
    <row r="178">
      <c r="A178" s="48" t="s">
        <v>524</v>
      </c>
      <c r="B178" s="38">
        <v>30085.0</v>
      </c>
      <c r="C178" s="38" t="s">
        <v>525</v>
      </c>
      <c r="D178" s="38" t="str">
        <f>IFERROR(__xludf.DUMMYFUNCTION("REGEXREPLACE(C178,""-\d+(.*)|--\d+(.*)"","""")"),"COLLIAS")</f>
        <v>COLLIAS</v>
      </c>
      <c r="E178" s="38" t="s">
        <v>526</v>
      </c>
      <c r="F178" s="38" t="s">
        <v>119</v>
      </c>
      <c r="G178" s="49" t="str">
        <f t="shared" si="1"/>
        <v>30210</v>
      </c>
      <c r="H178" s="49">
        <f t="shared" si="2"/>
        <v>30085</v>
      </c>
    </row>
    <row r="179">
      <c r="A179" s="48" t="s">
        <v>527</v>
      </c>
      <c r="B179" s="38">
        <v>86172.0</v>
      </c>
      <c r="C179" s="38" t="s">
        <v>528</v>
      </c>
      <c r="D179" s="38" t="str">
        <f>IFERROR(__xludf.DUMMYFUNCTION("REGEXREPLACE(C179,""-\d+(.*)|--\d+(.*)"","""")"),"MOUTERRE-SUR-BLOURDE")</f>
        <v>MOUTERRE-SUR-BLOURDE</v>
      </c>
      <c r="E179" s="38" t="s">
        <v>529</v>
      </c>
      <c r="F179" s="38" t="s">
        <v>338</v>
      </c>
      <c r="G179" s="49" t="str">
        <f t="shared" si="1"/>
        <v>86430</v>
      </c>
      <c r="H179" s="49">
        <f t="shared" si="2"/>
        <v>86172</v>
      </c>
    </row>
    <row r="180">
      <c r="A180" s="48" t="s">
        <v>148</v>
      </c>
      <c r="B180" s="38">
        <v>68353.0</v>
      </c>
      <c r="C180" s="38" t="s">
        <v>530</v>
      </c>
      <c r="D180" s="38" t="str">
        <f>IFERROR(__xludf.DUMMYFUNCTION("REGEXREPLACE(C180,""-\d+(.*)|--\d+(.*)"","""")"),"WAHLBACH")</f>
        <v>WAHLBACH</v>
      </c>
      <c r="E180" s="38" t="s">
        <v>150</v>
      </c>
      <c r="F180" s="38" t="s">
        <v>151</v>
      </c>
      <c r="G180" s="49" t="str">
        <f t="shared" si="1"/>
        <v>68130</v>
      </c>
      <c r="H180" s="49">
        <f t="shared" si="2"/>
        <v>68353</v>
      </c>
    </row>
    <row r="181">
      <c r="A181" s="48" t="s">
        <v>531</v>
      </c>
      <c r="B181" s="38">
        <v>38160.0</v>
      </c>
      <c r="C181" s="38" t="s">
        <v>532</v>
      </c>
      <c r="D181" s="38" t="str">
        <f>IFERROR(__xludf.DUMMYFUNCTION("REGEXREPLACE(C181,""-\d+(.*)|--\d+(.*)"","""")"),"EYZIN-PINET")</f>
        <v>EYZIN-PINET</v>
      </c>
      <c r="E181" s="38" t="s">
        <v>101</v>
      </c>
      <c r="F181" s="38" t="s">
        <v>102</v>
      </c>
      <c r="G181" s="49" t="str">
        <f t="shared" si="1"/>
        <v>38780</v>
      </c>
      <c r="H181" s="49">
        <f t="shared" si="2"/>
        <v>38160</v>
      </c>
    </row>
    <row r="182">
      <c r="A182" s="48" t="s">
        <v>533</v>
      </c>
      <c r="B182" s="38">
        <v>50476.0</v>
      </c>
      <c r="C182" s="38" t="s">
        <v>534</v>
      </c>
      <c r="D182" s="38" t="str">
        <f>IFERROR(__xludf.DUMMYFUNCTION("REGEXREPLACE(C182,""-\d+(.*)|--\d+(.*)"","""")"),"SAINT-GERMAIN-D'ELLE")</f>
        <v>SAINT-GERMAIN-D'ELLE</v>
      </c>
      <c r="E182" s="38" t="s">
        <v>157</v>
      </c>
      <c r="F182" s="38" t="s">
        <v>138</v>
      </c>
      <c r="G182" s="49" t="str">
        <f t="shared" si="1"/>
        <v>50810</v>
      </c>
      <c r="H182" s="49">
        <f t="shared" si="2"/>
        <v>50476</v>
      </c>
    </row>
    <row r="183">
      <c r="A183" s="48" t="s">
        <v>535</v>
      </c>
      <c r="B183" s="38">
        <v>36012.0</v>
      </c>
      <c r="C183" s="38" t="s">
        <v>536</v>
      </c>
      <c r="D183" s="38" t="str">
        <f>IFERROR(__xludf.DUMMYFUNCTION("REGEXREPLACE(C183,""-\d+(.*)|--\d+(.*)"","""")"),"BARAIZE")</f>
        <v>BARAIZE</v>
      </c>
      <c r="E183" s="38" t="s">
        <v>258</v>
      </c>
      <c r="F183" s="38" t="s">
        <v>123</v>
      </c>
      <c r="G183" s="49" t="str">
        <f t="shared" si="1"/>
        <v>36270</v>
      </c>
      <c r="H183" s="49">
        <f t="shared" si="2"/>
        <v>36012</v>
      </c>
    </row>
    <row r="184">
      <c r="A184" s="48" t="s">
        <v>537</v>
      </c>
      <c r="B184" s="38">
        <v>38093.0</v>
      </c>
      <c r="C184" s="38" t="s">
        <v>538</v>
      </c>
      <c r="D184" s="38" t="str">
        <f>IFERROR(__xludf.DUMMYFUNCTION("REGEXREPLACE(C184,""-\d+(.*)|--\d+(.*)"","""")"),"CHATENAY")</f>
        <v>CHATENAY</v>
      </c>
      <c r="E184" s="38" t="s">
        <v>101</v>
      </c>
      <c r="F184" s="38" t="s">
        <v>102</v>
      </c>
      <c r="G184" s="49" t="str">
        <f t="shared" si="1"/>
        <v>38980</v>
      </c>
      <c r="H184" s="49">
        <f t="shared" si="2"/>
        <v>38093</v>
      </c>
    </row>
    <row r="185">
      <c r="A185" s="48" t="s">
        <v>539</v>
      </c>
      <c r="B185" s="38">
        <v>95241.0</v>
      </c>
      <c r="C185" s="38" t="s">
        <v>540</v>
      </c>
      <c r="D185" s="38" t="str">
        <f>IFERROR(__xludf.DUMMYFUNCTION("REGEXREPLACE(C185,""-\d+(.*)|--\d+(.*)"","""")"),"FONTENAY-EN-PARISIS")</f>
        <v>FONTENAY-EN-PARISIS</v>
      </c>
      <c r="E185" s="38" t="s">
        <v>541</v>
      </c>
      <c r="F185" s="38" t="s">
        <v>245</v>
      </c>
      <c r="G185" s="49" t="str">
        <f t="shared" si="1"/>
        <v>95190</v>
      </c>
      <c r="H185" s="49">
        <f t="shared" si="2"/>
        <v>95241</v>
      </c>
    </row>
    <row r="186">
      <c r="A186" s="48" t="s">
        <v>542</v>
      </c>
      <c r="B186" s="38">
        <v>50199.0</v>
      </c>
      <c r="C186" s="38" t="s">
        <v>543</v>
      </c>
      <c r="D186" s="38" t="str">
        <f>IFERROR(__xludf.DUMMYFUNCTION("REGEXREPLACE(C186,""-\d+(.*)|--\d+(.*)"","""")"),"GENETS")</f>
        <v>GENETS</v>
      </c>
      <c r="E186" s="38" t="s">
        <v>157</v>
      </c>
      <c r="F186" s="38" t="s">
        <v>138</v>
      </c>
      <c r="G186" s="49" t="str">
        <f t="shared" si="1"/>
        <v>50530</v>
      </c>
      <c r="H186" s="49">
        <f t="shared" si="2"/>
        <v>50199</v>
      </c>
    </row>
    <row r="187">
      <c r="A187" s="48" t="s">
        <v>544</v>
      </c>
      <c r="B187" s="38">
        <v>57761.0</v>
      </c>
      <c r="C187" s="38" t="s">
        <v>545</v>
      </c>
      <c r="D187" s="38" t="str">
        <f>IFERROR(__xludf.DUMMYFUNCTION("REGEXREPLACE(C187,""-\d+(.*)|--\d+(.*)"","""")"),"ZILLING")</f>
        <v>ZILLING</v>
      </c>
      <c r="E187" s="38" t="s">
        <v>303</v>
      </c>
      <c r="F187" s="38" t="s">
        <v>195</v>
      </c>
      <c r="G187" s="49" t="str">
        <f t="shared" si="1"/>
        <v>57370</v>
      </c>
      <c r="H187" s="49">
        <f t="shared" si="2"/>
        <v>57761</v>
      </c>
    </row>
    <row r="188">
      <c r="A188" s="48" t="s">
        <v>546</v>
      </c>
      <c r="B188" s="38">
        <v>54474.0</v>
      </c>
      <c r="C188" s="38" t="s">
        <v>547</v>
      </c>
      <c r="D188" s="38" t="str">
        <f>IFERROR(__xludf.DUMMYFUNCTION("REGEXREPLACE(C188,""-\d+(.*)|--\d+(.*)"","""")"),"SAINTE-GENEVIEVE")</f>
        <v>SAINTE-GENEVIEVE</v>
      </c>
      <c r="E188" s="38" t="s">
        <v>548</v>
      </c>
      <c r="F188" s="38" t="s">
        <v>195</v>
      </c>
      <c r="G188" s="49" t="str">
        <f t="shared" si="1"/>
        <v>54700</v>
      </c>
      <c r="H188" s="49">
        <f t="shared" si="2"/>
        <v>54474</v>
      </c>
    </row>
    <row r="189">
      <c r="A189" s="48" t="s">
        <v>549</v>
      </c>
      <c r="B189" s="38">
        <v>55398.0</v>
      </c>
      <c r="C189" s="38" t="s">
        <v>550</v>
      </c>
      <c r="D189" s="38" t="str">
        <f>IFERROR(__xludf.DUMMYFUNCTION("REGEXREPLACE(C189,""-\d+(.*)|--\d+(.*)"","""")"),"PAGNY-SUR-MEUSE")</f>
        <v>PAGNY-SUR-MEUSE</v>
      </c>
      <c r="E189" s="38" t="s">
        <v>322</v>
      </c>
      <c r="F189" s="38" t="s">
        <v>195</v>
      </c>
      <c r="G189" s="49" t="str">
        <f t="shared" si="1"/>
        <v>55190</v>
      </c>
      <c r="H189" s="49">
        <f t="shared" si="2"/>
        <v>55398</v>
      </c>
    </row>
    <row r="190">
      <c r="A190" s="48" t="s">
        <v>551</v>
      </c>
      <c r="B190" s="38">
        <v>66220.0</v>
      </c>
      <c r="C190" s="38" t="s">
        <v>552</v>
      </c>
      <c r="D190" s="38" t="str">
        <f>IFERROR(__xludf.DUMMYFUNCTION("REGEXREPLACE(C190,""-\d+(.*)|--\d+(.*)"","""")"),"VALCEBOLLERE")</f>
        <v>VALCEBOLLERE</v>
      </c>
      <c r="E190" s="38" t="s">
        <v>248</v>
      </c>
      <c r="F190" s="38" t="s">
        <v>119</v>
      </c>
      <c r="G190" s="49" t="str">
        <f t="shared" si="1"/>
        <v>66340</v>
      </c>
      <c r="H190" s="49">
        <f t="shared" si="2"/>
        <v>66220</v>
      </c>
    </row>
    <row r="191">
      <c r="A191" s="48" t="s">
        <v>553</v>
      </c>
      <c r="B191" s="38">
        <v>85284.0</v>
      </c>
      <c r="C191" s="38" t="s">
        <v>554</v>
      </c>
      <c r="D191" s="38" t="str">
        <f>IFERROR(__xludf.DUMMYFUNCTION("REGEXREPLACE(C191,""-\d+(.*)|--\d+(.*)"","""")"),"SOULLANS")</f>
        <v>SOULLANS</v>
      </c>
      <c r="E191" s="38" t="s">
        <v>179</v>
      </c>
      <c r="F191" s="38" t="s">
        <v>180</v>
      </c>
      <c r="G191" s="49" t="str">
        <f t="shared" si="1"/>
        <v>85300</v>
      </c>
      <c r="H191" s="49">
        <f t="shared" si="2"/>
        <v>85284</v>
      </c>
    </row>
    <row r="192">
      <c r="A192" s="48" t="s">
        <v>555</v>
      </c>
      <c r="B192" s="38">
        <v>65047.0</v>
      </c>
      <c r="C192" s="38" t="s">
        <v>556</v>
      </c>
      <c r="D192" s="38" t="str">
        <f>IFERROR(__xludf.DUMMYFUNCTION("REGEXREPLACE(C192,""-\d+(.*)|--\d+(.*)"","""")"),"AUREILHAN")</f>
        <v>AUREILHAN</v>
      </c>
      <c r="E192" s="38" t="s">
        <v>200</v>
      </c>
      <c r="F192" s="38" t="s">
        <v>94</v>
      </c>
      <c r="G192" s="49" t="str">
        <f t="shared" si="1"/>
        <v>65800</v>
      </c>
      <c r="H192" s="49">
        <f t="shared" si="2"/>
        <v>65047</v>
      </c>
    </row>
    <row r="193">
      <c r="A193" s="48" t="s">
        <v>557</v>
      </c>
      <c r="B193" s="38">
        <v>16016.0</v>
      </c>
      <c r="C193" s="38" t="s">
        <v>558</v>
      </c>
      <c r="D193" s="38" t="str">
        <f>IFERROR(__xludf.DUMMYFUNCTION("REGEXREPLACE(C193,""-\d+(.*)|--\d+(.*)"","""")"),"ANSAC-SUR-VIENNE")</f>
        <v>ANSAC-SUR-VIENNE</v>
      </c>
      <c r="E193" s="38" t="s">
        <v>429</v>
      </c>
      <c r="F193" s="38" t="s">
        <v>338</v>
      </c>
      <c r="G193" s="49" t="str">
        <f t="shared" si="1"/>
        <v>16500</v>
      </c>
      <c r="H193" s="49">
        <f t="shared" si="2"/>
        <v>16016</v>
      </c>
    </row>
    <row r="194">
      <c r="A194" s="48" t="s">
        <v>559</v>
      </c>
      <c r="B194" s="38">
        <v>94018.0</v>
      </c>
      <c r="C194" s="38" t="s">
        <v>560</v>
      </c>
      <c r="D194" s="38" t="str">
        <f>IFERROR(__xludf.DUMMYFUNCTION("REGEXREPLACE(C194,""-\d+(.*)|--\d+(.*)"","""")"),"CHARENTON-LE-PONT")</f>
        <v>CHARENTON-LE-PONT</v>
      </c>
      <c r="E194" s="38" t="s">
        <v>561</v>
      </c>
      <c r="F194" s="38" t="s">
        <v>245</v>
      </c>
      <c r="G194" s="49" t="str">
        <f t="shared" si="1"/>
        <v>94220</v>
      </c>
      <c r="H194" s="49">
        <f t="shared" si="2"/>
        <v>94018</v>
      </c>
    </row>
    <row r="195">
      <c r="A195" s="48" t="s">
        <v>562</v>
      </c>
      <c r="B195" s="38">
        <v>54360.0</v>
      </c>
      <c r="C195" s="38" t="s">
        <v>563</v>
      </c>
      <c r="D195" s="38" t="str">
        <f>IFERROR(__xludf.DUMMYFUNCTION("REGEXREPLACE(C195,""-\d+(.*)|--\d+(.*)"","""")"),"MENIL-LA-TOUR")</f>
        <v>MENIL-LA-TOUR</v>
      </c>
      <c r="E195" s="38" t="s">
        <v>548</v>
      </c>
      <c r="F195" s="38" t="s">
        <v>195</v>
      </c>
      <c r="G195" s="49" t="str">
        <f t="shared" si="1"/>
        <v>54200</v>
      </c>
      <c r="H195" s="49">
        <f t="shared" si="2"/>
        <v>54360</v>
      </c>
    </row>
    <row r="196">
      <c r="A196" s="48" t="s">
        <v>564</v>
      </c>
      <c r="B196" s="38">
        <v>73149.0</v>
      </c>
      <c r="C196" s="38" t="s">
        <v>565</v>
      </c>
      <c r="D196" s="38" t="str">
        <f>IFERROR(__xludf.DUMMYFUNCTION("REGEXREPLACE(C196,""-\d+(.*)|--\d+(.*)"","""")"),"LUCEY")</f>
        <v>LUCEY</v>
      </c>
      <c r="E196" s="38" t="s">
        <v>306</v>
      </c>
      <c r="F196" s="38" t="s">
        <v>102</v>
      </c>
      <c r="G196" s="49" t="str">
        <f t="shared" si="1"/>
        <v>73170</v>
      </c>
      <c r="H196" s="49">
        <f t="shared" si="2"/>
        <v>73149</v>
      </c>
    </row>
    <row r="197">
      <c r="A197" s="48" t="s">
        <v>566</v>
      </c>
      <c r="B197" s="38">
        <v>23036.0</v>
      </c>
      <c r="C197" s="38" t="s">
        <v>567</v>
      </c>
      <c r="D197" s="38" t="str">
        <f>IFERROR(__xludf.DUMMYFUNCTION("REGEXREPLACE(C197,""-\d+(.*)|--\d+(.*)"","""")"),"BUSSIERE-DUNOISE")</f>
        <v>BUSSIERE-DUNOISE</v>
      </c>
      <c r="E197" s="38" t="s">
        <v>97</v>
      </c>
      <c r="F197" s="38" t="s">
        <v>98</v>
      </c>
      <c r="G197" s="49" t="str">
        <f t="shared" si="1"/>
        <v>23320</v>
      </c>
      <c r="H197" s="49">
        <f t="shared" si="2"/>
        <v>23036</v>
      </c>
    </row>
    <row r="198">
      <c r="A198" s="48" t="s">
        <v>568</v>
      </c>
      <c r="B198" s="38">
        <v>82077.0</v>
      </c>
      <c r="C198" s="38" t="s">
        <v>569</v>
      </c>
      <c r="D198" s="38" t="str">
        <f>IFERROR(__xludf.DUMMYFUNCTION("REGEXREPLACE(C198,""-\d+(.*)|--\d+(.*)"","""")"),"LABARTHE")</f>
        <v>LABARTHE</v>
      </c>
      <c r="E198" s="38" t="s">
        <v>570</v>
      </c>
      <c r="F198" s="38" t="s">
        <v>94</v>
      </c>
      <c r="G198" s="49" t="str">
        <f t="shared" si="1"/>
        <v>82220</v>
      </c>
      <c r="H198" s="49">
        <f t="shared" si="2"/>
        <v>82077</v>
      </c>
    </row>
    <row r="199">
      <c r="A199" s="48" t="s">
        <v>571</v>
      </c>
      <c r="B199" s="38">
        <v>55364.0</v>
      </c>
      <c r="C199" s="38" t="s">
        <v>572</v>
      </c>
      <c r="D199" s="38" t="str">
        <f>IFERROR(__xludf.DUMMYFUNCTION("REGEXREPLACE(C199,""-\d+(.*)|--\d+(.*)"","""")"),"MOUZAY")</f>
        <v>MOUZAY</v>
      </c>
      <c r="E199" s="38" t="s">
        <v>322</v>
      </c>
      <c r="F199" s="38" t="s">
        <v>195</v>
      </c>
      <c r="G199" s="49" t="str">
        <f t="shared" si="1"/>
        <v>55700</v>
      </c>
      <c r="H199" s="49">
        <f t="shared" si="2"/>
        <v>55364</v>
      </c>
    </row>
    <row r="200">
      <c r="A200" s="48" t="s">
        <v>573</v>
      </c>
      <c r="B200" s="38">
        <v>65111.0</v>
      </c>
      <c r="C200" s="38" t="s">
        <v>574</v>
      </c>
      <c r="D200" s="38" t="str">
        <f>IFERROR(__xludf.DUMMYFUNCTION("REGEXREPLACE(C200,""-\d+(.*)|--\d+(.*)"","""")"),"BULAN")</f>
        <v>BULAN</v>
      </c>
      <c r="E200" s="38" t="s">
        <v>200</v>
      </c>
      <c r="F200" s="38" t="s">
        <v>94</v>
      </c>
      <c r="G200" s="49" t="str">
        <f t="shared" si="1"/>
        <v>65130</v>
      </c>
      <c r="H200" s="49">
        <f t="shared" si="2"/>
        <v>65111</v>
      </c>
    </row>
    <row r="201">
      <c r="A201" s="48" t="s">
        <v>460</v>
      </c>
      <c r="B201" s="38">
        <v>33271.0</v>
      </c>
      <c r="C201" s="38" t="s">
        <v>575</v>
      </c>
      <c r="D201" s="38" t="str">
        <f>IFERROR(__xludf.DUMMYFUNCTION("REGEXREPLACE(C201,""-\d+(.*)|--\d+(.*)"","""")"),"MARIONS")</f>
        <v>MARIONS</v>
      </c>
      <c r="E201" s="38" t="s">
        <v>462</v>
      </c>
      <c r="F201" s="38" t="s">
        <v>252</v>
      </c>
      <c r="G201" s="49" t="str">
        <f t="shared" si="1"/>
        <v>33690</v>
      </c>
      <c r="H201" s="49">
        <f t="shared" si="2"/>
        <v>33271</v>
      </c>
    </row>
    <row r="202">
      <c r="A202" s="48" t="s">
        <v>576</v>
      </c>
      <c r="B202" s="38">
        <v>54233.0</v>
      </c>
      <c r="C202" s="38" t="s">
        <v>577</v>
      </c>
      <c r="D202" s="38" t="str">
        <f>IFERROR(__xludf.DUMMYFUNCTION("REGEXREPLACE(C202,""-\d+(.*)|--\d+(.*)"","""")"),"GONDREXON")</f>
        <v>GONDREXON</v>
      </c>
      <c r="E202" s="38" t="s">
        <v>548</v>
      </c>
      <c r="F202" s="38" t="s">
        <v>195</v>
      </c>
      <c r="G202" s="49" t="str">
        <f t="shared" si="1"/>
        <v>54450</v>
      </c>
      <c r="H202" s="49">
        <f t="shared" si="2"/>
        <v>54233</v>
      </c>
    </row>
    <row r="203">
      <c r="A203" s="48" t="s">
        <v>578</v>
      </c>
      <c r="B203" s="38">
        <v>52416.0</v>
      </c>
      <c r="C203" s="38" t="s">
        <v>579</v>
      </c>
      <c r="D203" s="38" t="str">
        <f>IFERROR(__xludf.DUMMYFUNCTION("REGEXREPLACE(C203,""-\d+(.*)|--\d+(.*)"","""")"),"RANGECOURT")</f>
        <v>RANGECOURT</v>
      </c>
      <c r="E203" s="38" t="s">
        <v>234</v>
      </c>
      <c r="F203" s="38" t="s">
        <v>130</v>
      </c>
      <c r="G203" s="49" t="str">
        <f t="shared" si="1"/>
        <v>52140</v>
      </c>
      <c r="H203" s="49">
        <f t="shared" si="2"/>
        <v>52416</v>
      </c>
    </row>
    <row r="204">
      <c r="A204" s="48" t="s">
        <v>580</v>
      </c>
      <c r="B204" s="38">
        <v>31404.0</v>
      </c>
      <c r="C204" s="38" t="s">
        <v>581</v>
      </c>
      <c r="D204" s="38" t="str">
        <f>IFERROR(__xludf.DUMMYFUNCTION("REGEXREPLACE(C204,""-\d+(.*)|--\d+(.*)"","""")"),"OO")</f>
        <v>OO</v>
      </c>
      <c r="E204" s="38" t="s">
        <v>93</v>
      </c>
      <c r="F204" s="38" t="s">
        <v>94</v>
      </c>
      <c r="G204" s="49" t="str">
        <f t="shared" si="1"/>
        <v>31110</v>
      </c>
      <c r="H204" s="49">
        <f t="shared" si="2"/>
        <v>31404</v>
      </c>
    </row>
    <row r="205">
      <c r="A205" s="48" t="s">
        <v>582</v>
      </c>
      <c r="B205" s="38">
        <v>39110.0</v>
      </c>
      <c r="C205" s="38" t="s">
        <v>583</v>
      </c>
      <c r="D205" s="38" t="str">
        <f>IFERROR(__xludf.DUMMYFUNCTION("REGEXREPLACE(C205,""-\d+(.*)|--\d+(.*)"","""")"),"LA CHARME")</f>
        <v>LA CHARME</v>
      </c>
      <c r="E205" s="38" t="s">
        <v>400</v>
      </c>
      <c r="F205" s="38" t="s">
        <v>214</v>
      </c>
      <c r="G205" s="49" t="str">
        <f t="shared" si="1"/>
        <v>39230</v>
      </c>
      <c r="H205" s="49">
        <f t="shared" si="2"/>
        <v>39110</v>
      </c>
    </row>
    <row r="206">
      <c r="A206" s="48" t="s">
        <v>584</v>
      </c>
      <c r="B206" s="38">
        <v>62597.0</v>
      </c>
      <c r="C206" s="38" t="s">
        <v>585</v>
      </c>
      <c r="D206" s="38" t="str">
        <f>IFERROR(__xludf.DUMMYFUNCTION("REGEXREPLACE(C206,""-\d+(.*)|--\d+(.*)"","""")"),"MOYENNEVILLE")</f>
        <v>MOYENNEVILLE</v>
      </c>
      <c r="E206" s="38" t="s">
        <v>109</v>
      </c>
      <c r="F206" s="38" t="s">
        <v>86</v>
      </c>
      <c r="G206" s="49" t="str">
        <f t="shared" si="1"/>
        <v>62121</v>
      </c>
      <c r="H206" s="49">
        <f t="shared" si="2"/>
        <v>62597</v>
      </c>
    </row>
    <row r="207">
      <c r="A207" s="48" t="s">
        <v>586</v>
      </c>
      <c r="B207" s="38">
        <v>67308.0</v>
      </c>
      <c r="C207" s="38" t="s">
        <v>587</v>
      </c>
      <c r="D207" s="38" t="str">
        <f>IFERROR(__xludf.DUMMYFUNCTION("REGEXREPLACE(C207,""-\d+(.*)|--\d+(.*)"","""")"),"MUNCHHAUSEN")</f>
        <v>MUNCHHAUSEN</v>
      </c>
      <c r="E207" s="38" t="s">
        <v>210</v>
      </c>
      <c r="F207" s="38" t="s">
        <v>151</v>
      </c>
      <c r="G207" s="49" t="str">
        <f t="shared" si="1"/>
        <v>67470</v>
      </c>
      <c r="H207" s="49">
        <f t="shared" si="2"/>
        <v>67308</v>
      </c>
    </row>
    <row r="208">
      <c r="A208" s="48" t="s">
        <v>588</v>
      </c>
      <c r="B208" s="38">
        <v>14149.0</v>
      </c>
      <c r="C208" s="38" t="s">
        <v>589</v>
      </c>
      <c r="D208" s="38" t="str">
        <f>IFERROR(__xludf.DUMMYFUNCTION("REGEXREPLACE(C208,""-\d+(.*)|--\d+(.*)"","""")"),"CESNY-AUX-VIGNES")</f>
        <v>CESNY-AUX-VIGNES</v>
      </c>
      <c r="E208" s="38" t="s">
        <v>137</v>
      </c>
      <c r="F208" s="38" t="s">
        <v>138</v>
      </c>
      <c r="G208" s="49" t="str">
        <f t="shared" si="1"/>
        <v>14270</v>
      </c>
      <c r="H208" s="49">
        <f t="shared" si="2"/>
        <v>14149</v>
      </c>
    </row>
    <row r="209">
      <c r="A209" s="48" t="s">
        <v>502</v>
      </c>
      <c r="B209" s="38">
        <v>18073.0</v>
      </c>
      <c r="C209" s="38" t="s">
        <v>590</v>
      </c>
      <c r="D209" s="38" t="str">
        <f>IFERROR(__xludf.DUMMYFUNCTION("REGEXREPLACE(C209,""-\d+(.*)|--\d+(.*)"","""")"),"CORQUOY")</f>
        <v>CORQUOY</v>
      </c>
      <c r="E209" s="38" t="s">
        <v>504</v>
      </c>
      <c r="F209" s="38" t="s">
        <v>123</v>
      </c>
      <c r="G209" s="49" t="str">
        <f t="shared" si="1"/>
        <v>18190</v>
      </c>
      <c r="H209" s="49">
        <f t="shared" si="2"/>
        <v>18073</v>
      </c>
    </row>
    <row r="210">
      <c r="A210" s="48" t="s">
        <v>591</v>
      </c>
      <c r="B210" s="38">
        <v>85033.0</v>
      </c>
      <c r="C210" s="38" t="s">
        <v>592</v>
      </c>
      <c r="D210" s="38" t="str">
        <f>IFERROR(__xludf.DUMMYFUNCTION("REGEXREPLACE(C210,""-\d+(.*)|--\d+(.*)"","""")"),"BOURNEAU")</f>
        <v>BOURNEAU</v>
      </c>
      <c r="E210" s="38" t="s">
        <v>179</v>
      </c>
      <c r="F210" s="38" t="s">
        <v>180</v>
      </c>
      <c r="G210" s="49" t="str">
        <f t="shared" si="1"/>
        <v>85200</v>
      </c>
      <c r="H210" s="49">
        <f t="shared" si="2"/>
        <v>85033</v>
      </c>
    </row>
    <row r="211">
      <c r="A211" s="48" t="s">
        <v>593</v>
      </c>
      <c r="B211" s="38">
        <v>29261.0</v>
      </c>
      <c r="C211" s="38" t="s">
        <v>594</v>
      </c>
      <c r="D211" s="38" t="str">
        <f>IFERROR(__xludf.DUMMYFUNCTION("REGEXREPLACE(C211,""-\d+(.*)|--\d+(.*)"","""")"),"SAINT-RIVOAL")</f>
        <v>SAINT-RIVOAL</v>
      </c>
      <c r="E211" s="38" t="s">
        <v>176</v>
      </c>
      <c r="F211" s="38" t="s">
        <v>90</v>
      </c>
      <c r="G211" s="49" t="str">
        <f t="shared" si="1"/>
        <v>29190</v>
      </c>
      <c r="H211" s="49">
        <f t="shared" si="2"/>
        <v>29261</v>
      </c>
    </row>
    <row r="212">
      <c r="A212" s="48" t="s">
        <v>595</v>
      </c>
      <c r="B212" s="38">
        <v>29086.0</v>
      </c>
      <c r="C212" s="38" t="s">
        <v>596</v>
      </c>
      <c r="D212" s="38" t="str">
        <f>IFERROR(__xludf.DUMMYFUNCTION("REGEXREPLACE(C212,""-\d+(.*)|--\d+(.*)"","""")"),"IRVILLAC")</f>
        <v>IRVILLAC</v>
      </c>
      <c r="E212" s="38" t="s">
        <v>176</v>
      </c>
      <c r="F212" s="38" t="s">
        <v>90</v>
      </c>
      <c r="G212" s="49" t="str">
        <f t="shared" si="1"/>
        <v>29460</v>
      </c>
      <c r="H212" s="49">
        <f t="shared" si="2"/>
        <v>29086</v>
      </c>
    </row>
    <row r="213">
      <c r="A213" s="48" t="s">
        <v>597</v>
      </c>
      <c r="B213" s="38">
        <v>31456.0</v>
      </c>
      <c r="C213" s="38" t="s">
        <v>598</v>
      </c>
      <c r="D213" s="38" t="str">
        <f>IFERROR(__xludf.DUMMYFUNCTION("REGEXREPLACE(C213,""-\d+(.*)|--\d+(.*)"","""")"),"RIOLAS")</f>
        <v>RIOLAS</v>
      </c>
      <c r="E213" s="38" t="s">
        <v>93</v>
      </c>
      <c r="F213" s="38" t="s">
        <v>94</v>
      </c>
      <c r="G213" s="49" t="str">
        <f t="shared" si="1"/>
        <v>31230</v>
      </c>
      <c r="H213" s="49">
        <f t="shared" si="2"/>
        <v>31456</v>
      </c>
    </row>
    <row r="214">
      <c r="A214" s="48" t="s">
        <v>599</v>
      </c>
      <c r="B214" s="38">
        <v>16169.0</v>
      </c>
      <c r="C214" s="38" t="s">
        <v>600</v>
      </c>
      <c r="D214" s="38" t="str">
        <f>IFERROR(__xludf.DUMMYFUNCTION("REGEXREPLACE(C214,""-\d+(.*)|--\d+(.*)"","""")"),"JAVREZAC")</f>
        <v>JAVREZAC</v>
      </c>
      <c r="E214" s="38" t="s">
        <v>429</v>
      </c>
      <c r="F214" s="38" t="s">
        <v>338</v>
      </c>
      <c r="G214" s="49" t="str">
        <f t="shared" si="1"/>
        <v>16100</v>
      </c>
      <c r="H214" s="49">
        <f t="shared" si="2"/>
        <v>16169</v>
      </c>
    </row>
    <row r="215">
      <c r="A215" s="48" t="s">
        <v>601</v>
      </c>
      <c r="B215" s="38">
        <v>51060.0</v>
      </c>
      <c r="C215" s="38" t="s">
        <v>602</v>
      </c>
      <c r="D215" s="38" t="str">
        <f>IFERROR(__xludf.DUMMYFUNCTION("REGEXREPLACE(C215,""-\d+(.*)|--\d+(.*)"","""")"),"BIGNICOURT-SUR-SAULX")</f>
        <v>BIGNICOURT-SUR-SAULX</v>
      </c>
      <c r="E215" s="38" t="s">
        <v>129</v>
      </c>
      <c r="F215" s="38" t="s">
        <v>130</v>
      </c>
      <c r="G215" s="49" t="str">
        <f t="shared" si="1"/>
        <v>51340</v>
      </c>
      <c r="H215" s="49">
        <f t="shared" si="2"/>
        <v>51060</v>
      </c>
    </row>
    <row r="216">
      <c r="A216" s="48" t="s">
        <v>603</v>
      </c>
      <c r="B216" s="38" t="s">
        <v>604</v>
      </c>
      <c r="C216" s="38" t="s">
        <v>605</v>
      </c>
      <c r="D216" s="38" t="str">
        <f>IFERROR(__xludf.DUMMYFUNCTION("REGEXREPLACE(C216,""-\d+(.*)|--\d+(.*)"","""")"),"SOLLACARO")</f>
        <v>SOLLACARO</v>
      </c>
      <c r="E216" s="38" t="s">
        <v>606</v>
      </c>
      <c r="F216" s="38" t="s">
        <v>607</v>
      </c>
      <c r="G216" s="49" t="str">
        <f t="shared" si="1"/>
        <v>20140</v>
      </c>
      <c r="H216" s="49" t="str">
        <f t="shared" si="2"/>
        <v>2A284</v>
      </c>
    </row>
    <row r="217">
      <c r="A217" s="48" t="s">
        <v>608</v>
      </c>
      <c r="B217" s="38">
        <v>74050.0</v>
      </c>
      <c r="C217" s="38" t="s">
        <v>609</v>
      </c>
      <c r="D217" s="38" t="str">
        <f>IFERROR(__xludf.DUMMYFUNCTION("REGEXREPLACE(C217,""-\d+(.*)|--\d+(.*)"","""")"),"BURDIGNIN")</f>
        <v>BURDIGNIN</v>
      </c>
      <c r="E217" s="38" t="s">
        <v>319</v>
      </c>
      <c r="F217" s="38" t="s">
        <v>102</v>
      </c>
      <c r="G217" s="49" t="str">
        <f t="shared" si="1"/>
        <v>74420</v>
      </c>
      <c r="H217" s="49">
        <f t="shared" si="2"/>
        <v>74050</v>
      </c>
    </row>
    <row r="218">
      <c r="A218" s="48" t="s">
        <v>610</v>
      </c>
      <c r="B218" s="38">
        <v>26337.0</v>
      </c>
      <c r="C218" s="38" t="s">
        <v>611</v>
      </c>
      <c r="D218" s="38" t="str">
        <f>IFERROR(__xludf.DUMMYFUNCTION("REGEXREPLACE(C218,""-\d+(.*)|--\d+(.*)"","""")"),"SAULCE-SUR-RHONE")</f>
        <v>SAULCE-SUR-RHONE</v>
      </c>
      <c r="E218" s="38" t="s">
        <v>126</v>
      </c>
      <c r="F218" s="38" t="s">
        <v>102</v>
      </c>
      <c r="G218" s="49" t="str">
        <f t="shared" si="1"/>
        <v>26270</v>
      </c>
      <c r="H218" s="49">
        <f t="shared" si="2"/>
        <v>26337</v>
      </c>
    </row>
    <row r="219">
      <c r="A219" s="48" t="s">
        <v>612</v>
      </c>
      <c r="B219" s="38">
        <v>69260.0</v>
      </c>
      <c r="C219" s="38" t="s">
        <v>613</v>
      </c>
      <c r="D219" s="38" t="str">
        <f>IFERROR(__xludf.DUMMYFUNCTION("REGEXREPLACE(C219,""-\d+(.*)|--\d+(.*)"","""")"),"VERNAISON")</f>
        <v>VERNAISON</v>
      </c>
      <c r="E219" s="38" t="s">
        <v>350</v>
      </c>
      <c r="F219" s="38" t="s">
        <v>102</v>
      </c>
      <c r="G219" s="49" t="str">
        <f t="shared" si="1"/>
        <v>69390</v>
      </c>
      <c r="H219" s="49">
        <f t="shared" si="2"/>
        <v>69260</v>
      </c>
    </row>
    <row r="220">
      <c r="A220" s="48" t="s">
        <v>614</v>
      </c>
      <c r="B220" s="38">
        <v>24316.0</v>
      </c>
      <c r="C220" s="38" t="s">
        <v>615</v>
      </c>
      <c r="D220" s="38" t="str">
        <f>IFERROR(__xludf.DUMMYFUNCTION("REGEXREPLACE(C220,""-\d+(.*)|--\d+(.*)"","""")"),"PARCOUL")</f>
        <v>PARCOUL</v>
      </c>
      <c r="E220" s="38" t="s">
        <v>261</v>
      </c>
      <c r="F220" s="38" t="s">
        <v>252</v>
      </c>
      <c r="G220" s="49" t="str">
        <f t="shared" si="1"/>
        <v>24410</v>
      </c>
      <c r="H220" s="49">
        <f t="shared" si="2"/>
        <v>24316</v>
      </c>
    </row>
    <row r="221">
      <c r="A221" s="48" t="s">
        <v>616</v>
      </c>
      <c r="B221" s="38">
        <v>89415.0</v>
      </c>
      <c r="C221" s="38" t="s">
        <v>617</v>
      </c>
      <c r="D221" s="38" t="str">
        <f>IFERROR(__xludf.DUMMYFUNCTION("REGEXREPLACE(C221,""-\d+(.*)|--\d+(.*)"","""")"),"THORY")</f>
        <v>THORY</v>
      </c>
      <c r="E221" s="38" t="s">
        <v>275</v>
      </c>
      <c r="F221" s="38" t="s">
        <v>106</v>
      </c>
      <c r="G221" s="49" t="str">
        <f t="shared" si="1"/>
        <v>89200</v>
      </c>
      <c r="H221" s="49">
        <f t="shared" si="2"/>
        <v>89415</v>
      </c>
    </row>
    <row r="222">
      <c r="A222" s="48" t="s">
        <v>618</v>
      </c>
      <c r="B222" s="38">
        <v>54529.0</v>
      </c>
      <c r="C222" s="38" t="s">
        <v>619</v>
      </c>
      <c r="D222" s="38" t="str">
        <f>IFERROR(__xludf.DUMMYFUNCTION("REGEXREPLACE(C222,""-\d+(.*)|--\d+(.*)"","""")"),"TRAMONT-EMY")</f>
        <v>TRAMONT-EMY</v>
      </c>
      <c r="E222" s="38" t="s">
        <v>548</v>
      </c>
      <c r="F222" s="38" t="s">
        <v>195</v>
      </c>
      <c r="G222" s="49" t="str">
        <f t="shared" si="1"/>
        <v>54115</v>
      </c>
      <c r="H222" s="49">
        <f t="shared" si="2"/>
        <v>54529</v>
      </c>
    </row>
    <row r="223">
      <c r="A223" s="48" t="s">
        <v>620</v>
      </c>
      <c r="B223" s="38">
        <v>86096.0</v>
      </c>
      <c r="C223" s="38" t="s">
        <v>621</v>
      </c>
      <c r="D223" s="38" t="str">
        <f>IFERROR(__xludf.DUMMYFUNCTION("REGEXREPLACE(C223,""-\d+(.*)|--\d+(.*)"","""")"),"DOUSSAY")</f>
        <v>DOUSSAY</v>
      </c>
      <c r="E223" s="38" t="s">
        <v>529</v>
      </c>
      <c r="F223" s="38" t="s">
        <v>338</v>
      </c>
      <c r="G223" s="49" t="str">
        <f t="shared" si="1"/>
        <v>86140</v>
      </c>
      <c r="H223" s="49">
        <f t="shared" si="2"/>
        <v>86096</v>
      </c>
    </row>
    <row r="224">
      <c r="A224" s="48" t="s">
        <v>622</v>
      </c>
      <c r="B224" s="38">
        <v>14087.0</v>
      </c>
      <c r="C224" s="38" t="s">
        <v>623</v>
      </c>
      <c r="D224" s="38" t="str">
        <f>IFERROR(__xludf.DUMMYFUNCTION("REGEXREPLACE(C224,""-\d+(.*)|--\d+(.*)"","""")"),"BONNOEIL")</f>
        <v>BONNOEIL</v>
      </c>
      <c r="E224" s="38" t="s">
        <v>137</v>
      </c>
      <c r="F224" s="38" t="s">
        <v>138</v>
      </c>
      <c r="G224" s="49" t="str">
        <f t="shared" si="1"/>
        <v>14700</v>
      </c>
      <c r="H224" s="49">
        <f t="shared" si="2"/>
        <v>14087</v>
      </c>
    </row>
    <row r="225">
      <c r="A225" s="48" t="s">
        <v>624</v>
      </c>
      <c r="B225" s="38">
        <v>67059.0</v>
      </c>
      <c r="C225" s="38" t="s">
        <v>625</v>
      </c>
      <c r="D225" s="38" t="str">
        <f>IFERROR(__xludf.DUMMYFUNCTION("REGEXREPLACE(C225,""-\d+(.*)|--\d+(.*)"","""")"),"BOURG-BRUCHE")</f>
        <v>BOURG-BRUCHE</v>
      </c>
      <c r="E225" s="38" t="s">
        <v>210</v>
      </c>
      <c r="F225" s="38" t="s">
        <v>151</v>
      </c>
      <c r="G225" s="49" t="str">
        <f t="shared" si="1"/>
        <v>67420</v>
      </c>
      <c r="H225" s="49">
        <f t="shared" si="2"/>
        <v>67059</v>
      </c>
    </row>
    <row r="226">
      <c r="A226" s="48" t="s">
        <v>626</v>
      </c>
      <c r="B226" s="38">
        <v>31358.0</v>
      </c>
      <c r="C226" s="38" t="s">
        <v>627</v>
      </c>
      <c r="D226" s="38" t="str">
        <f>IFERROR(__xludf.DUMMYFUNCTION("REGEXREPLACE(C226,""-\d+(.*)|--\d+(.*)"","""")"),"MONTASTRUC-LA-CONSEILLERE")</f>
        <v>MONTASTRUC-LA-CONSEILLERE</v>
      </c>
      <c r="E226" s="38" t="s">
        <v>93</v>
      </c>
      <c r="F226" s="38" t="s">
        <v>94</v>
      </c>
      <c r="G226" s="49" t="str">
        <f t="shared" si="1"/>
        <v>31380</v>
      </c>
      <c r="H226" s="49">
        <f t="shared" si="2"/>
        <v>31358</v>
      </c>
    </row>
    <row r="227">
      <c r="A227" s="48" t="s">
        <v>628</v>
      </c>
      <c r="B227" s="38">
        <v>45156.0</v>
      </c>
      <c r="C227" s="38" t="s">
        <v>629</v>
      </c>
      <c r="D227" s="38" t="str">
        <f>IFERROR(__xludf.DUMMYFUNCTION("REGEXREPLACE(C227,""-\d+(.*)|--\d+(.*)"","""")"),"GIROLLES")</f>
        <v>GIROLLES</v>
      </c>
      <c r="E227" s="38" t="s">
        <v>122</v>
      </c>
      <c r="F227" s="38" t="s">
        <v>123</v>
      </c>
      <c r="G227" s="49" t="str">
        <f t="shared" si="1"/>
        <v>45120</v>
      </c>
      <c r="H227" s="49">
        <f t="shared" si="2"/>
        <v>45156</v>
      </c>
    </row>
    <row r="228">
      <c r="A228" s="48" t="s">
        <v>630</v>
      </c>
      <c r="B228" s="38">
        <v>15101.0</v>
      </c>
      <c r="C228" s="38" t="s">
        <v>631</v>
      </c>
      <c r="D228" s="38" t="str">
        <f>IFERROR(__xludf.DUMMYFUNCTION("REGEXREPLACE(C228,""-\d+(.*)|--\d+(.*)"","""")"),"LAVEISSIERE")</f>
        <v>LAVEISSIERE</v>
      </c>
      <c r="E228" s="38" t="s">
        <v>632</v>
      </c>
      <c r="F228" s="38" t="s">
        <v>161</v>
      </c>
      <c r="G228" s="49" t="str">
        <f t="shared" si="1"/>
        <v>15300</v>
      </c>
      <c r="H228" s="49">
        <f t="shared" si="2"/>
        <v>15101</v>
      </c>
    </row>
    <row r="229">
      <c r="A229" s="48" t="s">
        <v>633</v>
      </c>
      <c r="B229" s="38">
        <v>85198.0</v>
      </c>
      <c r="C229" s="38" t="s">
        <v>634</v>
      </c>
      <c r="D229" s="38" t="str">
        <f>IFERROR(__xludf.DUMMYFUNCTION("REGEXREPLACE(C229,""-\d+(.*)|--\d+(.*)"","""")"),"SAINT-AUBIN-DES-ORMEAUX")</f>
        <v>SAINT-AUBIN-DES-ORMEAUX</v>
      </c>
      <c r="E229" s="38" t="s">
        <v>179</v>
      </c>
      <c r="F229" s="38" t="s">
        <v>180</v>
      </c>
      <c r="G229" s="49" t="str">
        <f t="shared" si="1"/>
        <v>85130</v>
      </c>
      <c r="H229" s="49">
        <f t="shared" si="2"/>
        <v>85198</v>
      </c>
    </row>
    <row r="230">
      <c r="A230" s="48" t="s">
        <v>635</v>
      </c>
      <c r="B230" s="38">
        <v>15126.0</v>
      </c>
      <c r="C230" s="38" t="s">
        <v>636</v>
      </c>
      <c r="D230" s="38" t="str">
        <f>IFERROR(__xludf.DUMMYFUNCTION("REGEXREPLACE(C230,""-\d+(.*)|--\d+(.*)"","""")"),"MOLEDES")</f>
        <v>MOLEDES</v>
      </c>
      <c r="E230" s="38" t="s">
        <v>632</v>
      </c>
      <c r="F230" s="38" t="s">
        <v>161</v>
      </c>
      <c r="G230" s="49" t="str">
        <f t="shared" si="1"/>
        <v>15500</v>
      </c>
      <c r="H230" s="49">
        <f t="shared" si="2"/>
        <v>15126</v>
      </c>
    </row>
    <row r="231">
      <c r="A231" s="48" t="s">
        <v>637</v>
      </c>
      <c r="B231" s="38">
        <v>1008.0</v>
      </c>
      <c r="C231" s="38" t="s">
        <v>638</v>
      </c>
      <c r="D231" s="38" t="str">
        <f>IFERROR(__xludf.DUMMYFUNCTION("REGEXREPLACE(C231,""-\d+(.*)|--\d+(.*)"","""")"),"AMBUTRIX")</f>
        <v>AMBUTRIX</v>
      </c>
      <c r="E231" s="38" t="s">
        <v>255</v>
      </c>
      <c r="F231" s="38" t="s">
        <v>102</v>
      </c>
      <c r="G231" s="49" t="str">
        <f t="shared" si="1"/>
        <v>01500</v>
      </c>
      <c r="H231" s="49" t="str">
        <f t="shared" si="2"/>
        <v>01008</v>
      </c>
    </row>
    <row r="232">
      <c r="A232" s="48" t="s">
        <v>639</v>
      </c>
      <c r="B232" s="38">
        <v>16144.0</v>
      </c>
      <c r="C232" s="38" t="s">
        <v>640</v>
      </c>
      <c r="D232" s="38" t="str">
        <f>IFERROR(__xludf.DUMMYFUNCTION("REGEXREPLACE(C232,""-\d+(.*)|--\d+(.*)"","""")"),"FOUQUEURE")</f>
        <v>FOUQUEURE</v>
      </c>
      <c r="E232" s="38" t="s">
        <v>429</v>
      </c>
      <c r="F232" s="38" t="s">
        <v>338</v>
      </c>
      <c r="G232" s="49" t="str">
        <f t="shared" si="1"/>
        <v>16140</v>
      </c>
      <c r="H232" s="49">
        <f t="shared" si="2"/>
        <v>16144</v>
      </c>
    </row>
    <row r="233">
      <c r="A233" s="48" t="s">
        <v>641</v>
      </c>
      <c r="B233" s="38">
        <v>54270.0</v>
      </c>
      <c r="C233" s="38" t="s">
        <v>642</v>
      </c>
      <c r="D233" s="38" t="str">
        <f>IFERROR(__xludf.DUMMYFUNCTION("REGEXREPLACE(C233,""-\d+(.*)|--\d+(.*)"","""")"),"HUSSIGNY-GODBRANGE")</f>
        <v>HUSSIGNY-GODBRANGE</v>
      </c>
      <c r="E233" s="38" t="s">
        <v>548</v>
      </c>
      <c r="F233" s="38" t="s">
        <v>195</v>
      </c>
      <c r="G233" s="49" t="str">
        <f t="shared" si="1"/>
        <v>54590</v>
      </c>
      <c r="H233" s="49">
        <f t="shared" si="2"/>
        <v>54270</v>
      </c>
    </row>
    <row r="234">
      <c r="A234" s="48" t="s">
        <v>643</v>
      </c>
      <c r="B234" s="38">
        <v>88529.0</v>
      </c>
      <c r="C234" s="38" t="s">
        <v>644</v>
      </c>
      <c r="D234" s="38" t="str">
        <f>IFERROR(__xludf.DUMMYFUNCTION("REGEXREPLACE(C234,""-\d+(.*)|--\d+(.*)"","""")"),"XARONVAL")</f>
        <v>XARONVAL</v>
      </c>
      <c r="E234" s="38" t="s">
        <v>194</v>
      </c>
      <c r="F234" s="38" t="s">
        <v>195</v>
      </c>
      <c r="G234" s="49" t="str">
        <f t="shared" si="1"/>
        <v>88130</v>
      </c>
      <c r="H234" s="49">
        <f t="shared" si="2"/>
        <v>88529</v>
      </c>
    </row>
    <row r="235">
      <c r="A235" s="48" t="s">
        <v>645</v>
      </c>
      <c r="B235" s="38">
        <v>57287.0</v>
      </c>
      <c r="C235" s="38" t="s">
        <v>646</v>
      </c>
      <c r="D235" s="38" t="str">
        <f>IFERROR(__xludf.DUMMYFUNCTION("REGEXREPLACE(C235,""-\d+(.*)|--\d+(.*)"","""")"),"BASSE-HAM")</f>
        <v>BASSE-HAM</v>
      </c>
      <c r="E235" s="38" t="s">
        <v>303</v>
      </c>
      <c r="F235" s="38" t="s">
        <v>195</v>
      </c>
      <c r="G235" s="49" t="str">
        <f t="shared" si="1"/>
        <v>57970</v>
      </c>
      <c r="H235" s="49">
        <f t="shared" si="2"/>
        <v>57287</v>
      </c>
    </row>
    <row r="236">
      <c r="A236" s="48" t="s">
        <v>647</v>
      </c>
      <c r="B236" s="38">
        <v>82184.0</v>
      </c>
      <c r="C236" s="38" t="s">
        <v>648</v>
      </c>
      <c r="D236" s="38" t="str">
        <f>IFERROR(__xludf.DUMMYFUNCTION("REGEXREPLACE(C236,""-\d+(.*)|--\d+(.*)"","""")"),"VAISSAC")</f>
        <v>VAISSAC</v>
      </c>
      <c r="E236" s="38" t="s">
        <v>570</v>
      </c>
      <c r="F236" s="38" t="s">
        <v>94</v>
      </c>
      <c r="G236" s="49" t="str">
        <f t="shared" si="1"/>
        <v>82800</v>
      </c>
      <c r="H236" s="49">
        <f t="shared" si="2"/>
        <v>82184</v>
      </c>
    </row>
    <row r="237">
      <c r="A237" s="48" t="s">
        <v>649</v>
      </c>
      <c r="B237" s="38">
        <v>24498.0</v>
      </c>
      <c r="C237" s="38" t="s">
        <v>650</v>
      </c>
      <c r="D237" s="38" t="str">
        <f>IFERROR(__xludf.DUMMYFUNCTION("REGEXREPLACE(C237,""-\d+(.*)|--\d+(.*)"","""")"),"SAINT-SAUD-LACOUSSIERE")</f>
        <v>SAINT-SAUD-LACOUSSIERE</v>
      </c>
      <c r="E237" s="38" t="s">
        <v>261</v>
      </c>
      <c r="F237" s="38" t="s">
        <v>252</v>
      </c>
      <c r="G237" s="49" t="str">
        <f t="shared" si="1"/>
        <v>24470</v>
      </c>
      <c r="H237" s="49">
        <f t="shared" si="2"/>
        <v>24498</v>
      </c>
    </row>
    <row r="238">
      <c r="A238" s="48" t="s">
        <v>651</v>
      </c>
      <c r="B238" s="38">
        <v>49230.0</v>
      </c>
      <c r="C238" s="38" t="s">
        <v>652</v>
      </c>
      <c r="D238" s="38" t="str">
        <f>IFERROR(__xludf.DUMMYFUNCTION("REGEXREPLACE(C238,""-\d+(.*)|--\d+(.*)"","""")"),"NOYANT-LA-PLAINE")</f>
        <v>NOYANT-LA-PLAINE</v>
      </c>
      <c r="E238" s="38" t="s">
        <v>653</v>
      </c>
      <c r="F238" s="38" t="s">
        <v>180</v>
      </c>
      <c r="G238" s="49" t="str">
        <f t="shared" si="1"/>
        <v>49700</v>
      </c>
      <c r="H238" s="49">
        <f t="shared" si="2"/>
        <v>49230</v>
      </c>
    </row>
    <row r="239">
      <c r="A239" s="48" t="s">
        <v>654</v>
      </c>
      <c r="B239" s="38">
        <v>8009.0</v>
      </c>
      <c r="C239" s="38" t="s">
        <v>655</v>
      </c>
      <c r="D239" s="38" t="str">
        <f>IFERROR(__xludf.DUMMYFUNCTION("REGEXREPLACE(C239,""-\d+(.*)|--\d+(.*)"","""")"),"AMBLIMONT")</f>
        <v>AMBLIMONT</v>
      </c>
      <c r="E239" s="38" t="s">
        <v>327</v>
      </c>
      <c r="F239" s="38" t="s">
        <v>130</v>
      </c>
      <c r="G239" s="49" t="str">
        <f t="shared" si="1"/>
        <v>08210</v>
      </c>
      <c r="H239" s="49" t="str">
        <f t="shared" si="2"/>
        <v>08009</v>
      </c>
    </row>
    <row r="240">
      <c r="A240" s="48" t="s">
        <v>656</v>
      </c>
      <c r="B240" s="38">
        <v>61448.0</v>
      </c>
      <c r="C240" s="38" t="s">
        <v>657</v>
      </c>
      <c r="D240" s="38" t="str">
        <f>IFERROR(__xludf.DUMMYFUNCTION("REGEXREPLACE(C240,""-\d+(.*)|--\d+(.*)"","""")"),"SAINT-PIERRE-LA-BRUYERE")</f>
        <v>SAINT-PIERRE-LA-BRUYERE</v>
      </c>
      <c r="E240" s="38" t="s">
        <v>141</v>
      </c>
      <c r="F240" s="38" t="s">
        <v>138</v>
      </c>
      <c r="G240" s="49" t="str">
        <f t="shared" si="1"/>
        <v>61340</v>
      </c>
      <c r="H240" s="49">
        <f t="shared" si="2"/>
        <v>61448</v>
      </c>
    </row>
    <row r="241">
      <c r="A241" s="48" t="s">
        <v>658</v>
      </c>
      <c r="B241" s="38">
        <v>62786.0</v>
      </c>
      <c r="C241" s="38" t="s">
        <v>659</v>
      </c>
      <c r="D241" s="38" t="str">
        <f>IFERROR(__xludf.DUMMYFUNCTION("REGEXREPLACE(C241,""-\d+(.*)|--\d+(.*)"","""")"),"SELLES")</f>
        <v>SELLES</v>
      </c>
      <c r="E241" s="38" t="s">
        <v>109</v>
      </c>
      <c r="F241" s="38" t="s">
        <v>86</v>
      </c>
      <c r="G241" s="49" t="str">
        <f t="shared" si="1"/>
        <v>62240</v>
      </c>
      <c r="H241" s="49">
        <f t="shared" si="2"/>
        <v>62786</v>
      </c>
    </row>
    <row r="242">
      <c r="A242" s="48" t="s">
        <v>660</v>
      </c>
      <c r="B242" s="38">
        <v>4171.0</v>
      </c>
      <c r="C242" s="38" t="s">
        <v>661</v>
      </c>
      <c r="D242" s="38" t="str">
        <f>IFERROR(__xludf.DUMMYFUNCTION("REGEXREPLACE(C242,""-\d+(.*)|--\d+(.*)"","""")"),"ROUGON")</f>
        <v>ROUGON</v>
      </c>
      <c r="E242" s="38" t="s">
        <v>662</v>
      </c>
      <c r="F242" s="38" t="s">
        <v>228</v>
      </c>
      <c r="G242" s="49" t="str">
        <f t="shared" si="1"/>
        <v>04120</v>
      </c>
      <c r="H242" s="49" t="str">
        <f t="shared" si="2"/>
        <v>04171</v>
      </c>
    </row>
    <row r="243">
      <c r="A243" s="48" t="s">
        <v>663</v>
      </c>
      <c r="B243" s="38">
        <v>86061.0</v>
      </c>
      <c r="C243" s="38" t="s">
        <v>664</v>
      </c>
      <c r="D243" s="38" t="str">
        <f>IFERROR(__xludf.DUMMYFUNCTION("REGEXREPLACE(C243,""-\d+(.*)|--\d+(.*)"","""")"),"CHARROUX")</f>
        <v>CHARROUX</v>
      </c>
      <c r="E243" s="38" t="s">
        <v>529</v>
      </c>
      <c r="F243" s="38" t="s">
        <v>338</v>
      </c>
      <c r="G243" s="49" t="str">
        <f t="shared" si="1"/>
        <v>86250</v>
      </c>
      <c r="H243" s="49">
        <f t="shared" si="2"/>
        <v>86061</v>
      </c>
    </row>
    <row r="244">
      <c r="A244" s="48" t="s">
        <v>665</v>
      </c>
      <c r="B244" s="38">
        <v>76398.0</v>
      </c>
      <c r="C244" s="38" t="s">
        <v>666</v>
      </c>
      <c r="D244" s="38" t="str">
        <f>IFERROR(__xludf.DUMMYFUNCTION("REGEXREPLACE(C244,""-\d+(.*)|--\d+(.*)"","""")"),"LOUVETOT")</f>
        <v>LOUVETOT</v>
      </c>
      <c r="E244" s="38" t="s">
        <v>133</v>
      </c>
      <c r="F244" s="38" t="s">
        <v>134</v>
      </c>
      <c r="G244" s="49" t="str">
        <f t="shared" si="1"/>
        <v>76490</v>
      </c>
      <c r="H244" s="49">
        <f t="shared" si="2"/>
        <v>76398</v>
      </c>
    </row>
    <row r="245">
      <c r="A245" s="48" t="s">
        <v>667</v>
      </c>
      <c r="B245" s="38">
        <v>64322.0</v>
      </c>
      <c r="C245" s="38" t="s">
        <v>668</v>
      </c>
      <c r="D245" s="38" t="str">
        <f>IFERROR(__xludf.DUMMYFUNCTION("REGEXREPLACE(C245,""-\d+(.*)|--\d+(.*)"","""")"),"LASSE")</f>
        <v>LASSE</v>
      </c>
      <c r="E245" s="38" t="s">
        <v>268</v>
      </c>
      <c r="F245" s="38" t="s">
        <v>252</v>
      </c>
      <c r="G245" s="49" t="str">
        <f t="shared" si="1"/>
        <v>64220</v>
      </c>
      <c r="H245" s="49">
        <f t="shared" si="2"/>
        <v>64322</v>
      </c>
    </row>
    <row r="246">
      <c r="A246" s="48" t="s">
        <v>669</v>
      </c>
      <c r="B246" s="38">
        <v>12023.0</v>
      </c>
      <c r="C246" s="38" t="s">
        <v>670</v>
      </c>
      <c r="D246" s="38" t="str">
        <f>IFERROR(__xludf.DUMMYFUNCTION("REGEXREPLACE(C246,""-\d+(.*)|--\d+(.*)"","""")"),"LA BASTIDE-SOLAGES")</f>
        <v>LA BASTIDE-SOLAGES</v>
      </c>
      <c r="E246" s="38" t="s">
        <v>465</v>
      </c>
      <c r="F246" s="38" t="s">
        <v>94</v>
      </c>
      <c r="G246" s="49" t="str">
        <f t="shared" si="1"/>
        <v>12550</v>
      </c>
      <c r="H246" s="49">
        <f t="shared" si="2"/>
        <v>12023</v>
      </c>
    </row>
    <row r="247">
      <c r="A247" s="48" t="s">
        <v>671</v>
      </c>
      <c r="B247" s="38">
        <v>21394.0</v>
      </c>
      <c r="C247" s="38" t="s">
        <v>672</v>
      </c>
      <c r="D247" s="38" t="str">
        <f>IFERROR(__xludf.DUMMYFUNCTION("REGEXREPLACE(C247,""-\d+(.*)|--\d+(.*)"","""")"),"MASSINGY-LES-SEMUR")</f>
        <v>MASSINGY-LES-SEMUR</v>
      </c>
      <c r="E247" s="38" t="s">
        <v>105</v>
      </c>
      <c r="F247" s="38" t="s">
        <v>106</v>
      </c>
      <c r="G247" s="49" t="str">
        <f t="shared" si="1"/>
        <v>21140</v>
      </c>
      <c r="H247" s="49">
        <f t="shared" si="2"/>
        <v>21394</v>
      </c>
    </row>
    <row r="248">
      <c r="A248" s="48" t="s">
        <v>208</v>
      </c>
      <c r="B248" s="38">
        <v>67063.0</v>
      </c>
      <c r="C248" s="38" t="s">
        <v>673</v>
      </c>
      <c r="D248" s="38" t="str">
        <f>IFERROR(__xludf.DUMMYFUNCTION("REGEXREPLACE(C248,""-\d+(.*)|--\d+(.*)"","""")"),"BREITENBACH")</f>
        <v>BREITENBACH</v>
      </c>
      <c r="E248" s="38" t="s">
        <v>210</v>
      </c>
      <c r="F248" s="38" t="s">
        <v>151</v>
      </c>
      <c r="G248" s="49" t="str">
        <f t="shared" si="1"/>
        <v>67220</v>
      </c>
      <c r="H248" s="49">
        <f t="shared" si="2"/>
        <v>67063</v>
      </c>
    </row>
    <row r="249">
      <c r="A249" s="48" t="s">
        <v>674</v>
      </c>
      <c r="B249" s="38">
        <v>49138.0</v>
      </c>
      <c r="C249" s="38" t="s">
        <v>675</v>
      </c>
      <c r="D249" s="38" t="str">
        <f>IFERROR(__xludf.DUMMYFUNCTION("REGEXREPLACE(C249,""-\d+(.*)|--\d+(.*)"","""")"),"FONTAINE-GUERIN")</f>
        <v>FONTAINE-GUERIN</v>
      </c>
      <c r="E249" s="38" t="s">
        <v>653</v>
      </c>
      <c r="F249" s="38" t="s">
        <v>180</v>
      </c>
      <c r="G249" s="49" t="str">
        <f t="shared" si="1"/>
        <v>49250</v>
      </c>
      <c r="H249" s="49">
        <f t="shared" si="2"/>
        <v>49138</v>
      </c>
    </row>
    <row r="250">
      <c r="A250" s="48" t="s">
        <v>676</v>
      </c>
      <c r="B250" s="38">
        <v>81278.0</v>
      </c>
      <c r="C250" s="38" t="s">
        <v>677</v>
      </c>
      <c r="D250" s="38" t="str">
        <f>IFERROR(__xludf.DUMMYFUNCTION("REGEXREPLACE(C250,""-\d+(.*)|--\d+(.*)"","""")"),"SAUVETERRE")</f>
        <v>SAUVETERRE</v>
      </c>
      <c r="E250" s="38" t="s">
        <v>231</v>
      </c>
      <c r="F250" s="38" t="s">
        <v>94</v>
      </c>
      <c r="G250" s="49" t="str">
        <f t="shared" si="1"/>
        <v>81240</v>
      </c>
      <c r="H250" s="49">
        <f t="shared" si="2"/>
        <v>81278</v>
      </c>
    </row>
    <row r="251">
      <c r="A251" s="48" t="s">
        <v>678</v>
      </c>
      <c r="B251" s="38" t="s">
        <v>679</v>
      </c>
      <c r="C251" s="38" t="s">
        <v>680</v>
      </c>
      <c r="D251" s="38" t="str">
        <f>IFERROR(__xludf.DUMMYFUNCTION("REGEXREPLACE(C251,""-\d+(.*)|--\d+(.*)"","""")"),"AJACCIO")</f>
        <v>AJACCIO</v>
      </c>
      <c r="E251" s="38" t="s">
        <v>606</v>
      </c>
      <c r="F251" s="38" t="s">
        <v>607</v>
      </c>
      <c r="G251" s="49" t="str">
        <f t="shared" si="1"/>
        <v>20000</v>
      </c>
      <c r="H251" s="49" t="str">
        <f t="shared" si="2"/>
        <v>2A004</v>
      </c>
    </row>
    <row r="252">
      <c r="A252" s="48" t="s">
        <v>681</v>
      </c>
      <c r="B252" s="38">
        <v>49243.0</v>
      </c>
      <c r="C252" s="38" t="s">
        <v>682</v>
      </c>
      <c r="D252" s="38" t="str">
        <f>IFERROR(__xludf.DUMMYFUNCTION("REGEXREPLACE(C252,""-\d+(.*)|--\d+(.*)"","""")"),"LA POITEVINIERE")</f>
        <v>LA POITEVINIERE</v>
      </c>
      <c r="E252" s="38" t="s">
        <v>653</v>
      </c>
      <c r="F252" s="38" t="s">
        <v>180</v>
      </c>
      <c r="G252" s="49" t="str">
        <f t="shared" si="1"/>
        <v>49510</v>
      </c>
      <c r="H252" s="49">
        <f t="shared" si="2"/>
        <v>49243</v>
      </c>
    </row>
    <row r="253">
      <c r="A253" s="48" t="s">
        <v>683</v>
      </c>
      <c r="B253" s="38">
        <v>64423.0</v>
      </c>
      <c r="C253" s="38" t="s">
        <v>684</v>
      </c>
      <c r="D253" s="38" t="str">
        <f>IFERROR(__xludf.DUMMYFUNCTION("REGEXREPLACE(C253,""-\d+(.*)|--\d+(.*)"","""")"),"ORAAS")</f>
        <v>ORAAS</v>
      </c>
      <c r="E253" s="38" t="s">
        <v>268</v>
      </c>
      <c r="F253" s="38" t="s">
        <v>252</v>
      </c>
      <c r="G253" s="49" t="str">
        <f t="shared" si="1"/>
        <v>64390</v>
      </c>
      <c r="H253" s="49">
        <f t="shared" si="2"/>
        <v>64423</v>
      </c>
    </row>
    <row r="254">
      <c r="A254" s="48" t="s">
        <v>685</v>
      </c>
      <c r="B254" s="38">
        <v>86202.0</v>
      </c>
      <c r="C254" s="38" t="s">
        <v>686</v>
      </c>
      <c r="D254" s="38" t="str">
        <f>IFERROR(__xludf.DUMMYFUNCTION("REGEXREPLACE(C254,""-\d+(.*)|--\d+(.*)"","""")"),"LA PUYE")</f>
        <v>LA PUYE</v>
      </c>
      <c r="E254" s="38" t="s">
        <v>529</v>
      </c>
      <c r="F254" s="38" t="s">
        <v>338</v>
      </c>
      <c r="G254" s="49" t="str">
        <f t="shared" si="1"/>
        <v>86260</v>
      </c>
      <c r="H254" s="49">
        <f t="shared" si="2"/>
        <v>86202</v>
      </c>
    </row>
    <row r="255">
      <c r="A255" s="48" t="s">
        <v>687</v>
      </c>
      <c r="B255" s="38">
        <v>59118.0</v>
      </c>
      <c r="C255" s="38" t="s">
        <v>688</v>
      </c>
      <c r="D255" s="38" t="str">
        <f>IFERROR(__xludf.DUMMYFUNCTION("REGEXREPLACE(C255,""-\d+(.*)|--\d+(.*)"","""")"),"BUSIGNY")</f>
        <v>BUSIGNY</v>
      </c>
      <c r="E255" s="38" t="s">
        <v>85</v>
      </c>
      <c r="F255" s="38" t="s">
        <v>86</v>
      </c>
      <c r="G255" s="49" t="str">
        <f t="shared" si="1"/>
        <v>59137</v>
      </c>
      <c r="H255" s="49">
        <f t="shared" si="2"/>
        <v>59118</v>
      </c>
    </row>
    <row r="256">
      <c r="A256" s="48" t="s">
        <v>689</v>
      </c>
      <c r="B256" s="38">
        <v>62836.0</v>
      </c>
      <c r="C256" s="38" t="s">
        <v>690</v>
      </c>
      <c r="D256" s="38" t="str">
        <f>IFERROR(__xludf.DUMMYFUNCTION("REGEXREPLACE(C256,""-\d+(.*)|--\d+(.*)"","""")"),"VAUDRICOURT")</f>
        <v>VAUDRICOURT</v>
      </c>
      <c r="E256" s="38" t="s">
        <v>109</v>
      </c>
      <c r="F256" s="38" t="s">
        <v>86</v>
      </c>
      <c r="G256" s="49" t="str">
        <f t="shared" si="1"/>
        <v>62131</v>
      </c>
      <c r="H256" s="49">
        <f t="shared" si="2"/>
        <v>62836</v>
      </c>
    </row>
    <row r="257">
      <c r="A257" s="48" t="s">
        <v>691</v>
      </c>
      <c r="B257" s="38">
        <v>64082.0</v>
      </c>
      <c r="C257" s="38" t="s">
        <v>692</v>
      </c>
      <c r="D257" s="38" t="str">
        <f>IFERROR(__xludf.DUMMYFUNCTION("REGEXREPLACE(C257,""-\d+(.*)|--\d+(.*)"","""")"),"AUTERRIVE")</f>
        <v>AUTERRIVE</v>
      </c>
      <c r="E257" s="38" t="s">
        <v>268</v>
      </c>
      <c r="F257" s="38" t="s">
        <v>252</v>
      </c>
      <c r="G257" s="49" t="str">
        <f t="shared" si="1"/>
        <v>64270</v>
      </c>
      <c r="H257" s="49">
        <f t="shared" si="2"/>
        <v>64082</v>
      </c>
    </row>
    <row r="258">
      <c r="A258" s="48" t="s">
        <v>693</v>
      </c>
      <c r="B258" s="38">
        <v>23154.0</v>
      </c>
      <c r="C258" s="38" t="s">
        <v>694</v>
      </c>
      <c r="D258" s="38" t="str">
        <f>IFERROR(__xludf.DUMMYFUNCTION("REGEXREPLACE(C258,""-\d+(.*)|--\d+(.*)"","""")"),"PIONNAT")</f>
        <v>PIONNAT</v>
      </c>
      <c r="E258" s="38" t="s">
        <v>97</v>
      </c>
      <c r="F258" s="38" t="s">
        <v>98</v>
      </c>
      <c r="G258" s="49" t="str">
        <f t="shared" si="1"/>
        <v>23140</v>
      </c>
      <c r="H258" s="49">
        <f t="shared" si="2"/>
        <v>23154</v>
      </c>
    </row>
    <row r="259">
      <c r="A259" s="48" t="s">
        <v>236</v>
      </c>
      <c r="B259" s="38">
        <v>9157.0</v>
      </c>
      <c r="C259" s="38" t="s">
        <v>695</v>
      </c>
      <c r="D259" s="38" t="str">
        <f>IFERROR(__xludf.DUMMYFUNCTION("REGEXREPLACE(C259,""-\d+(.*)|--\d+(.*)"","""")"),"LAROQUE-D'OLMES")</f>
        <v>LAROQUE-D'OLMES</v>
      </c>
      <c r="E259" s="38" t="s">
        <v>238</v>
      </c>
      <c r="F259" s="38" t="s">
        <v>94</v>
      </c>
      <c r="G259" s="49" t="str">
        <f t="shared" si="1"/>
        <v>09600</v>
      </c>
      <c r="H259" s="49" t="str">
        <f t="shared" si="2"/>
        <v>09157</v>
      </c>
    </row>
    <row r="260">
      <c r="A260" s="48" t="s">
        <v>696</v>
      </c>
      <c r="B260" s="38">
        <v>9041.0</v>
      </c>
      <c r="C260" s="38" t="s">
        <v>697</v>
      </c>
      <c r="D260" s="38" t="str">
        <f>IFERROR(__xludf.DUMMYFUNCTION("REGEXREPLACE(C260,""-\d+(.*)|--\d+(.*)"","""")"),"LA BASTIDE-DU-SALAT")</f>
        <v>LA BASTIDE-DU-SALAT</v>
      </c>
      <c r="E260" s="38" t="s">
        <v>238</v>
      </c>
      <c r="F260" s="38" t="s">
        <v>94</v>
      </c>
      <c r="G260" s="49" t="str">
        <f t="shared" si="1"/>
        <v>09160</v>
      </c>
      <c r="H260" s="49" t="str">
        <f t="shared" si="2"/>
        <v>09041</v>
      </c>
    </row>
    <row r="261">
      <c r="A261" s="48" t="s">
        <v>698</v>
      </c>
      <c r="B261" s="38">
        <v>11392.0</v>
      </c>
      <c r="C261" s="38" t="s">
        <v>699</v>
      </c>
      <c r="D261" s="38" t="str">
        <f>IFERROR(__xludf.DUMMYFUNCTION("REGEXREPLACE(C261,""-\d+(.*)|--\d+(.*)"","""")"),"TOURNISSAN")</f>
        <v>TOURNISSAN</v>
      </c>
      <c r="E261" s="38" t="s">
        <v>278</v>
      </c>
      <c r="F261" s="38" t="s">
        <v>119</v>
      </c>
      <c r="G261" s="49" t="str">
        <f t="shared" si="1"/>
        <v>11220</v>
      </c>
      <c r="H261" s="49">
        <f t="shared" si="2"/>
        <v>11392</v>
      </c>
    </row>
    <row r="262">
      <c r="A262" s="48" t="s">
        <v>700</v>
      </c>
      <c r="B262" s="38">
        <v>56166.0</v>
      </c>
      <c r="C262" s="38" t="s">
        <v>701</v>
      </c>
      <c r="D262" s="38" t="str">
        <f>IFERROR(__xludf.DUMMYFUNCTION("REGEXREPLACE(C262,""-\d+(.*)|--\d+(.*)"","""")"),"PLOUAY")</f>
        <v>PLOUAY</v>
      </c>
      <c r="E262" s="38" t="s">
        <v>173</v>
      </c>
      <c r="F262" s="38" t="s">
        <v>90</v>
      </c>
      <c r="G262" s="49" t="str">
        <f t="shared" si="1"/>
        <v>56240</v>
      </c>
      <c r="H262" s="49">
        <f t="shared" si="2"/>
        <v>56166</v>
      </c>
    </row>
    <row r="263">
      <c r="A263" s="48" t="s">
        <v>702</v>
      </c>
      <c r="B263" s="38">
        <v>31440.0</v>
      </c>
      <c r="C263" s="38" t="s">
        <v>703</v>
      </c>
      <c r="D263" s="38" t="str">
        <f>IFERROR(__xludf.DUMMYFUNCTION("REGEXREPLACE(C263,""-\d+(.*)|--\d+(.*)"","""")"),"PROUPIARY")</f>
        <v>PROUPIARY</v>
      </c>
      <c r="E263" s="38" t="s">
        <v>93</v>
      </c>
      <c r="F263" s="38" t="s">
        <v>94</v>
      </c>
      <c r="G263" s="49" t="str">
        <f t="shared" si="1"/>
        <v>31360</v>
      </c>
      <c r="H263" s="49">
        <f t="shared" si="2"/>
        <v>31440</v>
      </c>
    </row>
    <row r="264">
      <c r="A264" s="48" t="s">
        <v>704</v>
      </c>
      <c r="B264" s="38">
        <v>5084.0</v>
      </c>
      <c r="C264" s="38" t="s">
        <v>705</v>
      </c>
      <c r="D264" s="38" t="str">
        <f>IFERROR(__xludf.DUMMYFUNCTION("REGEXREPLACE(C264,""-\d+(.*)|--\d+(.*)"","""")"),"MONTGARDIN")</f>
        <v>MONTGARDIN</v>
      </c>
      <c r="E264" s="38" t="s">
        <v>706</v>
      </c>
      <c r="F264" s="38" t="s">
        <v>228</v>
      </c>
      <c r="G264" s="49" t="str">
        <f t="shared" si="1"/>
        <v>05230</v>
      </c>
      <c r="H264" s="49" t="str">
        <f t="shared" si="2"/>
        <v>05084</v>
      </c>
    </row>
    <row r="265">
      <c r="A265" s="48" t="s">
        <v>707</v>
      </c>
      <c r="B265" s="38">
        <v>61004.0</v>
      </c>
      <c r="C265" s="38" t="s">
        <v>708</v>
      </c>
      <c r="D265" s="38" t="str">
        <f>IFERROR(__xludf.DUMMYFUNCTION("REGEXREPLACE(C265,""-\d+(.*)|--\d+(.*)"","""")"),"ANTOIGNY")</f>
        <v>ANTOIGNY</v>
      </c>
      <c r="E265" s="38" t="s">
        <v>141</v>
      </c>
      <c r="F265" s="38" t="s">
        <v>138</v>
      </c>
      <c r="G265" s="49" t="str">
        <f t="shared" si="1"/>
        <v>61410</v>
      </c>
      <c r="H265" s="49">
        <f t="shared" si="2"/>
        <v>61004</v>
      </c>
    </row>
    <row r="266">
      <c r="A266" s="48" t="s">
        <v>709</v>
      </c>
      <c r="B266" s="38">
        <v>43214.0</v>
      </c>
      <c r="C266" s="38" t="s">
        <v>710</v>
      </c>
      <c r="D266" s="38" t="str">
        <f>IFERROR(__xludf.DUMMYFUNCTION("REGEXREPLACE(C266,""-\d+(.*)|--\d+(.*)"","""")"),"SAINT-PAL-DE-SENOUIRE")</f>
        <v>SAINT-PAL-DE-SENOUIRE</v>
      </c>
      <c r="E266" s="38" t="s">
        <v>332</v>
      </c>
      <c r="F266" s="38" t="s">
        <v>161</v>
      </c>
      <c r="G266" s="49" t="str">
        <f t="shared" si="1"/>
        <v>43160</v>
      </c>
      <c r="H266" s="49">
        <f t="shared" si="2"/>
        <v>43214</v>
      </c>
    </row>
    <row r="267">
      <c r="A267" s="48" t="s">
        <v>711</v>
      </c>
      <c r="B267" s="38">
        <v>49131.0</v>
      </c>
      <c r="C267" s="38" t="s">
        <v>712</v>
      </c>
      <c r="D267" s="38" t="str">
        <f>IFERROR(__xludf.DUMMYFUNCTION("REGEXREPLACE(C267,""-\d+(.*)|--\d+(.*)"","""")"),"EPIEDS")</f>
        <v>EPIEDS</v>
      </c>
      <c r="E267" s="38" t="s">
        <v>653</v>
      </c>
      <c r="F267" s="38" t="s">
        <v>180</v>
      </c>
      <c r="G267" s="49" t="str">
        <f t="shared" si="1"/>
        <v>49260</v>
      </c>
      <c r="H267" s="49">
        <f t="shared" si="2"/>
        <v>49131</v>
      </c>
    </row>
    <row r="268">
      <c r="A268" s="48" t="s">
        <v>713</v>
      </c>
      <c r="B268" s="38">
        <v>82153.0</v>
      </c>
      <c r="C268" s="38" t="s">
        <v>714</v>
      </c>
      <c r="D268" s="38" t="str">
        <f>IFERROR(__xludf.DUMMYFUNCTION("REGEXREPLACE(C268,""-\d+(.*)|--\d+(.*)"","""")"),"SAINT-AMANS-DU-PECH")</f>
        <v>SAINT-AMANS-DU-PECH</v>
      </c>
      <c r="E268" s="38" t="s">
        <v>570</v>
      </c>
      <c r="F268" s="38" t="s">
        <v>94</v>
      </c>
      <c r="G268" s="49" t="str">
        <f t="shared" si="1"/>
        <v>82150</v>
      </c>
      <c r="H268" s="49">
        <f t="shared" si="2"/>
        <v>82153</v>
      </c>
    </row>
    <row r="269">
      <c r="A269" s="48" t="s">
        <v>715</v>
      </c>
      <c r="B269" s="38">
        <v>88129.0</v>
      </c>
      <c r="C269" s="38" t="s">
        <v>716</v>
      </c>
      <c r="D269" s="38" t="str">
        <f>IFERROR(__xludf.DUMMYFUNCTION("REGEXREPLACE(C269,""-\d+(.*)|--\d+(.*)"","""")"),"DERBAMONT")</f>
        <v>DERBAMONT</v>
      </c>
      <c r="E269" s="38" t="s">
        <v>194</v>
      </c>
      <c r="F269" s="38" t="s">
        <v>195</v>
      </c>
      <c r="G269" s="49" t="str">
        <f t="shared" si="1"/>
        <v>88270</v>
      </c>
      <c r="H269" s="49">
        <f t="shared" si="2"/>
        <v>88129</v>
      </c>
    </row>
    <row r="270">
      <c r="A270" s="48" t="s">
        <v>717</v>
      </c>
      <c r="B270" s="38">
        <v>31187.0</v>
      </c>
      <c r="C270" s="38" t="s">
        <v>718</v>
      </c>
      <c r="D270" s="38" t="str">
        <f>IFERROR(__xludf.DUMMYFUNCTION("REGEXREPLACE(C270,""-\d+(.*)|--\d+(.*)"","""")"),"FONSORBES")</f>
        <v>FONSORBES</v>
      </c>
      <c r="E270" s="38" t="s">
        <v>93</v>
      </c>
      <c r="F270" s="38" t="s">
        <v>94</v>
      </c>
      <c r="G270" s="49" t="str">
        <f t="shared" si="1"/>
        <v>31470</v>
      </c>
      <c r="H270" s="49">
        <f t="shared" si="2"/>
        <v>31187</v>
      </c>
    </row>
    <row r="271">
      <c r="A271" s="48" t="s">
        <v>719</v>
      </c>
      <c r="B271" s="38">
        <v>8041.0</v>
      </c>
      <c r="C271" s="38" t="s">
        <v>720</v>
      </c>
      <c r="D271" s="38" t="str">
        <f>IFERROR(__xludf.DUMMYFUNCTION("REGEXREPLACE(C271,""-\d+(.*)|--\d+(.*)"","""")"),"BAALONS")</f>
        <v>BAALONS</v>
      </c>
      <c r="E271" s="38" t="s">
        <v>327</v>
      </c>
      <c r="F271" s="38" t="s">
        <v>130</v>
      </c>
      <c r="G271" s="49" t="str">
        <f t="shared" si="1"/>
        <v>08430</v>
      </c>
      <c r="H271" s="49" t="str">
        <f t="shared" si="2"/>
        <v>08041</v>
      </c>
    </row>
    <row r="272">
      <c r="A272" s="48" t="s">
        <v>721</v>
      </c>
      <c r="B272" s="38">
        <v>14239.0</v>
      </c>
      <c r="C272" s="38" t="s">
        <v>722</v>
      </c>
      <c r="D272" s="38" t="str">
        <f>IFERROR(__xludf.DUMMYFUNCTION("REGEXREPLACE(C272,""-\d+(.*)|--\d+(.*)"","""")"),"ENGLESQUEVILLE-LA-PERCEE")</f>
        <v>ENGLESQUEVILLE-LA-PERCEE</v>
      </c>
      <c r="E272" s="38" t="s">
        <v>137</v>
      </c>
      <c r="F272" s="38" t="s">
        <v>138</v>
      </c>
      <c r="G272" s="49" t="str">
        <f t="shared" si="1"/>
        <v>14710</v>
      </c>
      <c r="H272" s="49">
        <f t="shared" si="2"/>
        <v>14239</v>
      </c>
    </row>
    <row r="273">
      <c r="A273" s="48" t="s">
        <v>152</v>
      </c>
      <c r="B273" s="38">
        <v>48060.0</v>
      </c>
      <c r="C273" s="38" t="s">
        <v>723</v>
      </c>
      <c r="D273" s="38" t="str">
        <f>IFERROR(__xludf.DUMMYFUNCTION("REGEXREPLACE(C273,""-\d+(.*)|--\d+(.*)"","""")"),"FAU-DE-PEYRE")</f>
        <v>FAU-DE-PEYRE</v>
      </c>
      <c r="E273" s="38" t="s">
        <v>154</v>
      </c>
      <c r="F273" s="38" t="s">
        <v>119</v>
      </c>
      <c r="G273" s="49" t="str">
        <f t="shared" si="1"/>
        <v>48130</v>
      </c>
      <c r="H273" s="49">
        <f t="shared" si="2"/>
        <v>48060</v>
      </c>
    </row>
    <row r="274">
      <c r="A274" s="48" t="s">
        <v>724</v>
      </c>
      <c r="B274" s="38">
        <v>32254.0</v>
      </c>
      <c r="C274" s="38" t="s">
        <v>725</v>
      </c>
      <c r="D274" s="38" t="str">
        <f>IFERROR(__xludf.DUMMYFUNCTION("REGEXREPLACE(C274,""-\d+(.*)|--\d+(.*)"","""")"),"MIRAMONT-D'ASTARAC")</f>
        <v>MIRAMONT-D'ASTARAC</v>
      </c>
      <c r="E274" s="38" t="s">
        <v>440</v>
      </c>
      <c r="F274" s="38" t="s">
        <v>94</v>
      </c>
      <c r="G274" s="49" t="str">
        <f t="shared" si="1"/>
        <v>32300</v>
      </c>
      <c r="H274" s="49">
        <f t="shared" si="2"/>
        <v>32254</v>
      </c>
    </row>
    <row r="275">
      <c r="A275" s="48" t="s">
        <v>726</v>
      </c>
      <c r="B275" s="38">
        <v>54226.0</v>
      </c>
      <c r="C275" s="38" t="s">
        <v>727</v>
      </c>
      <c r="D275" s="38" t="str">
        <f>IFERROR(__xludf.DUMMYFUNCTION("REGEXREPLACE(C275,""-\d+(.*)|--\d+(.*)"","""")"),"GIBEAUMEIX")</f>
        <v>GIBEAUMEIX</v>
      </c>
      <c r="E275" s="38" t="s">
        <v>548</v>
      </c>
      <c r="F275" s="38" t="s">
        <v>195</v>
      </c>
      <c r="G275" s="49" t="str">
        <f t="shared" si="1"/>
        <v>54112</v>
      </c>
      <c r="H275" s="49">
        <f t="shared" si="2"/>
        <v>54226</v>
      </c>
    </row>
    <row r="276">
      <c r="A276" s="48" t="s">
        <v>728</v>
      </c>
      <c r="B276" s="38">
        <v>74056.0</v>
      </c>
      <c r="C276" s="38" t="s">
        <v>729</v>
      </c>
      <c r="D276" s="38" t="str">
        <f>IFERROR(__xludf.DUMMYFUNCTION("REGEXREPLACE(C276,""-\d+(.*)|--\d+(.*)"","""")"),"CHAMONIX-MONT-BLANC")</f>
        <v>CHAMONIX-MONT-BLANC</v>
      </c>
      <c r="E276" s="38" t="s">
        <v>319</v>
      </c>
      <c r="F276" s="38" t="s">
        <v>102</v>
      </c>
      <c r="G276" s="49" t="str">
        <f t="shared" si="1"/>
        <v>74400</v>
      </c>
      <c r="H276" s="49">
        <f t="shared" si="2"/>
        <v>74056</v>
      </c>
    </row>
    <row r="277">
      <c r="A277" s="48" t="s">
        <v>730</v>
      </c>
      <c r="B277" s="38">
        <v>48050.0</v>
      </c>
      <c r="C277" s="38" t="s">
        <v>731</v>
      </c>
      <c r="D277" s="38" t="str">
        <f>IFERROR(__xludf.DUMMYFUNCTION("REGEXREPLACE(C277,""-\d+(.*)|--\d+(.*)"","""")"),"COCURES")</f>
        <v>COCURES</v>
      </c>
      <c r="E277" s="38" t="s">
        <v>154</v>
      </c>
      <c r="F277" s="38" t="s">
        <v>119</v>
      </c>
      <c r="G277" s="49" t="str">
        <f t="shared" si="1"/>
        <v>48400</v>
      </c>
      <c r="H277" s="49">
        <f t="shared" si="2"/>
        <v>48050</v>
      </c>
    </row>
    <row r="278">
      <c r="A278" s="48" t="s">
        <v>732</v>
      </c>
      <c r="B278" s="38">
        <v>10130.0</v>
      </c>
      <c r="C278" s="38" t="s">
        <v>733</v>
      </c>
      <c r="D278" s="38" t="str">
        <f>IFERROR(__xludf.DUMMYFUNCTION("REGEXREPLACE(C278,""-\d+(.*)|--\d+(.*)"","""")"),"DOSNON")</f>
        <v>DOSNON</v>
      </c>
      <c r="E278" s="38" t="s">
        <v>147</v>
      </c>
      <c r="F278" s="38" t="s">
        <v>130</v>
      </c>
      <c r="G278" s="49" t="str">
        <f t="shared" si="1"/>
        <v>10700</v>
      </c>
      <c r="H278" s="49">
        <f t="shared" si="2"/>
        <v>10130</v>
      </c>
    </row>
    <row r="279">
      <c r="A279" s="48" t="s">
        <v>734</v>
      </c>
      <c r="B279" s="38">
        <v>54408.0</v>
      </c>
      <c r="C279" s="38" t="s">
        <v>735</v>
      </c>
      <c r="D279" s="38" t="str">
        <f>IFERROR(__xludf.DUMMYFUNCTION("REGEXREPLACE(C279,""-\d+(.*)|--\d+(.*)"","""")"),"OLLEY")</f>
        <v>OLLEY</v>
      </c>
      <c r="E279" s="38" t="s">
        <v>548</v>
      </c>
      <c r="F279" s="38" t="s">
        <v>195</v>
      </c>
      <c r="G279" s="49" t="str">
        <f t="shared" si="1"/>
        <v>54800</v>
      </c>
      <c r="H279" s="49">
        <f t="shared" si="2"/>
        <v>54408</v>
      </c>
    </row>
    <row r="280">
      <c r="A280" s="48" t="s">
        <v>736</v>
      </c>
      <c r="B280" s="38">
        <v>57547.0</v>
      </c>
      <c r="C280" s="38" t="s">
        <v>737</v>
      </c>
      <c r="D280" s="38" t="str">
        <f>IFERROR(__xludf.DUMMYFUNCTION("REGEXREPLACE(C280,""-\d+(.*)|--\d+(.*)"","""")"),"POMMERIEUX")</f>
        <v>POMMERIEUX</v>
      </c>
      <c r="E280" s="38" t="s">
        <v>303</v>
      </c>
      <c r="F280" s="38" t="s">
        <v>195</v>
      </c>
      <c r="G280" s="49" t="str">
        <f t="shared" si="1"/>
        <v>57420</v>
      </c>
      <c r="H280" s="49">
        <f t="shared" si="2"/>
        <v>57547</v>
      </c>
    </row>
    <row r="281">
      <c r="A281" s="48" t="s">
        <v>738</v>
      </c>
      <c r="B281" s="38">
        <v>59425.0</v>
      </c>
      <c r="C281" s="38" t="s">
        <v>739</v>
      </c>
      <c r="D281" s="38" t="str">
        <f>IFERROR(__xludf.DUMMYFUNCTION("REGEXREPLACE(C281,""-\d+(.*)|--\d+(.*)"","""")"),"NEUVILLE-EN-AVESNOIS")</f>
        <v>NEUVILLE-EN-AVESNOIS</v>
      </c>
      <c r="E281" s="38" t="s">
        <v>85</v>
      </c>
      <c r="F281" s="38" t="s">
        <v>86</v>
      </c>
      <c r="G281" s="49" t="str">
        <f t="shared" si="1"/>
        <v>59218</v>
      </c>
      <c r="H281" s="49">
        <f t="shared" si="2"/>
        <v>59425</v>
      </c>
    </row>
    <row r="282">
      <c r="A282" s="48" t="s">
        <v>740</v>
      </c>
      <c r="B282" s="38" t="s">
        <v>741</v>
      </c>
      <c r="C282" s="38" t="s">
        <v>742</v>
      </c>
      <c r="D282" s="38" t="str">
        <f>IFERROR(__xludf.DUMMYFUNCTION("REGEXREPLACE(C282,""-\d+(.*)|--\d+(.*)"","""")"),"MERIA")</f>
        <v>MERIA</v>
      </c>
      <c r="E282" s="38" t="s">
        <v>743</v>
      </c>
      <c r="F282" s="38" t="s">
        <v>607</v>
      </c>
      <c r="G282" s="49" t="str">
        <f t="shared" si="1"/>
        <v>20287</v>
      </c>
      <c r="H282" s="49" t="str">
        <f t="shared" si="2"/>
        <v>2B159</v>
      </c>
    </row>
    <row r="283">
      <c r="A283" s="48" t="s">
        <v>744</v>
      </c>
      <c r="B283" s="38">
        <v>14477.0</v>
      </c>
      <c r="C283" s="38" t="s">
        <v>745</v>
      </c>
      <c r="D283" s="38" t="str">
        <f>IFERROR(__xludf.DUMMYFUNCTION("REGEXREPLACE(C283,""-\d+(.*)|--\d+(.*)"","""")"),"ONDEFONTAINE")</f>
        <v>ONDEFONTAINE</v>
      </c>
      <c r="E283" s="38" t="s">
        <v>137</v>
      </c>
      <c r="F283" s="38" t="s">
        <v>138</v>
      </c>
      <c r="G283" s="49" t="str">
        <f t="shared" si="1"/>
        <v>14260</v>
      </c>
      <c r="H283" s="49">
        <f t="shared" si="2"/>
        <v>14477</v>
      </c>
    </row>
    <row r="284">
      <c r="A284" s="48" t="s">
        <v>746</v>
      </c>
      <c r="B284" s="38">
        <v>76163.0</v>
      </c>
      <c r="C284" s="38" t="s">
        <v>747</v>
      </c>
      <c r="D284" s="38" t="str">
        <f>IFERROR(__xludf.DUMMYFUNCTION("REGEXREPLACE(C284,""-\d+(.*)|--\d+(.*)"","""")"),"CATENAY")</f>
        <v>CATENAY</v>
      </c>
      <c r="E284" s="38" t="s">
        <v>133</v>
      </c>
      <c r="F284" s="38" t="s">
        <v>134</v>
      </c>
      <c r="G284" s="49" t="str">
        <f t="shared" si="1"/>
        <v>76116</v>
      </c>
      <c r="H284" s="49">
        <f t="shared" si="2"/>
        <v>76163</v>
      </c>
    </row>
    <row r="285">
      <c r="A285" s="48" t="s">
        <v>748</v>
      </c>
      <c r="B285" s="38">
        <v>60501.0</v>
      </c>
      <c r="C285" s="38" t="s">
        <v>749</v>
      </c>
      <c r="D285" s="38" t="str">
        <f>IFERROR(__xludf.DUMMYFUNCTION("REGEXREPLACE(C285,""-\d+(.*)|--\d+(.*)"","""")"),"LE PLESSIS-BRION")</f>
        <v>LE PLESSIS-BRION</v>
      </c>
      <c r="E285" s="38" t="s">
        <v>112</v>
      </c>
      <c r="F285" s="38" t="s">
        <v>113</v>
      </c>
      <c r="G285" s="49" t="str">
        <f t="shared" si="1"/>
        <v>60150</v>
      </c>
      <c r="H285" s="49">
        <f t="shared" si="2"/>
        <v>60501</v>
      </c>
    </row>
    <row r="286">
      <c r="A286" s="48" t="s">
        <v>750</v>
      </c>
      <c r="B286" s="38">
        <v>64207.0</v>
      </c>
      <c r="C286" s="38" t="s">
        <v>751</v>
      </c>
      <c r="D286" s="38" t="str">
        <f>IFERROR(__xludf.DUMMYFUNCTION("REGEXREPLACE(C286,""-\d+(.*)|--\d+(.*)"","""")"),"ESCOU")</f>
        <v>ESCOU</v>
      </c>
      <c r="E286" s="38" t="s">
        <v>268</v>
      </c>
      <c r="F286" s="38" t="s">
        <v>252</v>
      </c>
      <c r="G286" s="49" t="str">
        <f t="shared" si="1"/>
        <v>64870</v>
      </c>
      <c r="H286" s="49">
        <f t="shared" si="2"/>
        <v>64207</v>
      </c>
    </row>
    <row r="287">
      <c r="A287" s="48" t="s">
        <v>752</v>
      </c>
      <c r="B287" s="38">
        <v>42185.0</v>
      </c>
      <c r="C287" s="38" t="s">
        <v>753</v>
      </c>
      <c r="D287" s="38" t="str">
        <f>IFERROR(__xludf.DUMMYFUNCTION("REGEXREPLACE(C287,""-\d+(.*)|--\d+(.*)"","""")"),"RIVAS")</f>
        <v>RIVAS</v>
      </c>
      <c r="E287" s="38" t="s">
        <v>166</v>
      </c>
      <c r="F287" s="38" t="s">
        <v>102</v>
      </c>
      <c r="G287" s="49" t="str">
        <f t="shared" si="1"/>
        <v>42340</v>
      </c>
      <c r="H287" s="49">
        <f t="shared" si="2"/>
        <v>42185</v>
      </c>
    </row>
    <row r="288">
      <c r="A288" s="48" t="s">
        <v>754</v>
      </c>
      <c r="B288" s="38">
        <v>91546.0</v>
      </c>
      <c r="C288" s="38" t="s">
        <v>755</v>
      </c>
      <c r="D288" s="38" t="str">
        <f>IFERROR(__xludf.DUMMYFUNCTION("REGEXREPLACE(C288,""-\d+(.*)|--\d+(.*)"","""")"),"SAINT-CYR-SOUS-DOURDAN")</f>
        <v>SAINT-CYR-SOUS-DOURDAN</v>
      </c>
      <c r="E288" s="38" t="s">
        <v>756</v>
      </c>
      <c r="F288" s="38" t="s">
        <v>245</v>
      </c>
      <c r="G288" s="49" t="str">
        <f t="shared" si="1"/>
        <v>91410</v>
      </c>
      <c r="H288" s="49">
        <f t="shared" si="2"/>
        <v>91546</v>
      </c>
    </row>
    <row r="289">
      <c r="A289" s="48" t="s">
        <v>757</v>
      </c>
      <c r="B289" s="38">
        <v>44044.0</v>
      </c>
      <c r="C289" s="38" t="s">
        <v>758</v>
      </c>
      <c r="D289" s="38" t="str">
        <f>IFERROR(__xludf.DUMMYFUNCTION("REGEXREPLACE(C289,""-\d+(.*)|--\d+(.*)"","""")"),"CONQUEREUIL")</f>
        <v>CONQUEREUIL</v>
      </c>
      <c r="E289" s="38" t="s">
        <v>759</v>
      </c>
      <c r="F289" s="38" t="s">
        <v>180</v>
      </c>
      <c r="G289" s="49" t="str">
        <f t="shared" si="1"/>
        <v>44290</v>
      </c>
      <c r="H289" s="49">
        <f t="shared" si="2"/>
        <v>44044</v>
      </c>
    </row>
    <row r="290">
      <c r="A290" s="48" t="s">
        <v>760</v>
      </c>
      <c r="B290" s="38">
        <v>89349.0</v>
      </c>
      <c r="C290" s="38" t="s">
        <v>761</v>
      </c>
      <c r="D290" s="38" t="str">
        <f>IFERROR(__xludf.DUMMYFUNCTION("REGEXREPLACE(C290,""-\d+(.*)|--\d+(.*)"","""")"),"SAINT-LEGER-VAUBAN")</f>
        <v>SAINT-LEGER-VAUBAN</v>
      </c>
      <c r="E290" s="38" t="s">
        <v>275</v>
      </c>
      <c r="F290" s="38" t="s">
        <v>106</v>
      </c>
      <c r="G290" s="49" t="str">
        <f t="shared" si="1"/>
        <v>89630</v>
      </c>
      <c r="H290" s="49">
        <f t="shared" si="2"/>
        <v>89349</v>
      </c>
    </row>
    <row r="291">
      <c r="A291" s="48" t="s">
        <v>762</v>
      </c>
      <c r="B291" s="38">
        <v>65228.0</v>
      </c>
      <c r="C291" s="38" t="s">
        <v>763</v>
      </c>
      <c r="D291" s="38" t="str">
        <f>IFERROR(__xludf.DUMMYFUNCTION("REGEXREPLACE(C291,""-\d+(.*)|--\d+(.*)"","""")"),"ILHET")</f>
        <v>ILHET</v>
      </c>
      <c r="E291" s="38" t="s">
        <v>200</v>
      </c>
      <c r="F291" s="38" t="s">
        <v>94</v>
      </c>
      <c r="G291" s="49" t="str">
        <f t="shared" si="1"/>
        <v>65410</v>
      </c>
      <c r="H291" s="49">
        <f t="shared" si="2"/>
        <v>65228</v>
      </c>
    </row>
    <row r="292">
      <c r="A292" s="48" t="s">
        <v>211</v>
      </c>
      <c r="B292" s="38">
        <v>25489.0</v>
      </c>
      <c r="C292" s="38" t="s">
        <v>764</v>
      </c>
      <c r="D292" s="38" t="str">
        <f>IFERROR(__xludf.DUMMYFUNCTION("REGEXREPLACE(C292,""-\d+(.*)|--\d+(.*)"","""")"),"REUGNEY")</f>
        <v>REUGNEY</v>
      </c>
      <c r="E292" s="38" t="s">
        <v>213</v>
      </c>
      <c r="F292" s="38" t="s">
        <v>214</v>
      </c>
      <c r="G292" s="49" t="str">
        <f t="shared" si="1"/>
        <v>25330</v>
      </c>
      <c r="H292" s="49">
        <f t="shared" si="2"/>
        <v>25489</v>
      </c>
    </row>
    <row r="293">
      <c r="A293" s="48" t="s">
        <v>765</v>
      </c>
      <c r="B293" s="38">
        <v>89429.0</v>
      </c>
      <c r="C293" s="38" t="s">
        <v>766</v>
      </c>
      <c r="D293" s="38" t="str">
        <f>IFERROR(__xludf.DUMMYFUNCTION("REGEXREPLACE(C293,""-\d+(.*)|--\d+(.*)"","""")"),"VAREILLES")</f>
        <v>VAREILLES</v>
      </c>
      <c r="E293" s="38" t="s">
        <v>275</v>
      </c>
      <c r="F293" s="38" t="s">
        <v>106</v>
      </c>
      <c r="G293" s="49" t="str">
        <f t="shared" si="1"/>
        <v>89320</v>
      </c>
      <c r="H293" s="49">
        <f t="shared" si="2"/>
        <v>89429</v>
      </c>
    </row>
    <row r="294">
      <c r="A294" s="48" t="s">
        <v>767</v>
      </c>
      <c r="B294" s="38">
        <v>91629.0</v>
      </c>
      <c r="C294" s="38" t="s">
        <v>768</v>
      </c>
      <c r="D294" s="38" t="str">
        <f>IFERROR(__xludf.DUMMYFUNCTION("REGEXREPLACE(C294,""-\d+(.*)|--\d+(.*)"","""")"),"VALPUISEAUX")</f>
        <v>VALPUISEAUX</v>
      </c>
      <c r="E294" s="38" t="s">
        <v>756</v>
      </c>
      <c r="F294" s="38" t="s">
        <v>245</v>
      </c>
      <c r="G294" s="49" t="str">
        <f t="shared" si="1"/>
        <v>91720</v>
      </c>
      <c r="H294" s="49">
        <f t="shared" si="2"/>
        <v>91629</v>
      </c>
    </row>
    <row r="295">
      <c r="A295" s="48" t="s">
        <v>158</v>
      </c>
      <c r="B295" s="38">
        <v>3068.0</v>
      </c>
      <c r="C295" s="38" t="s">
        <v>769</v>
      </c>
      <c r="D295" s="38" t="str">
        <f>IFERROR(__xludf.DUMMYFUNCTION("REGEXREPLACE(C295,""-\d+(.*)|--\d+(.*)"","""")"),"CHATELUS")</f>
        <v>CHATELUS</v>
      </c>
      <c r="E295" s="38" t="s">
        <v>160</v>
      </c>
      <c r="F295" s="38" t="s">
        <v>161</v>
      </c>
      <c r="G295" s="49" t="str">
        <f t="shared" si="1"/>
        <v>03120</v>
      </c>
      <c r="H295" s="49" t="str">
        <f t="shared" si="2"/>
        <v>03068</v>
      </c>
    </row>
    <row r="296">
      <c r="A296" s="48" t="s">
        <v>681</v>
      </c>
      <c r="B296" s="38">
        <v>49162.0</v>
      </c>
      <c r="C296" s="38" t="s">
        <v>770</v>
      </c>
      <c r="D296" s="38" t="str">
        <f>IFERROR(__xludf.DUMMYFUNCTION("REGEXREPLACE(C296,""-\d+(.*)|--\d+(.*)"","""")"),"JALLAIS")</f>
        <v>JALLAIS</v>
      </c>
      <c r="E296" s="38" t="s">
        <v>653</v>
      </c>
      <c r="F296" s="38" t="s">
        <v>180</v>
      </c>
      <c r="G296" s="49" t="str">
        <f t="shared" si="1"/>
        <v>49510</v>
      </c>
      <c r="H296" s="49">
        <f t="shared" si="2"/>
        <v>49162</v>
      </c>
    </row>
    <row r="297">
      <c r="A297" s="48" t="s">
        <v>771</v>
      </c>
      <c r="B297" s="38">
        <v>60124.0</v>
      </c>
      <c r="C297" s="38" t="s">
        <v>772</v>
      </c>
      <c r="D297" s="38" t="str">
        <f>IFERROR(__xludf.DUMMYFUNCTION("REGEXREPLACE(C297,""-\d+(.*)|--\d+(.*)"","""")"),"CANDOR")</f>
        <v>CANDOR</v>
      </c>
      <c r="E297" s="38" t="s">
        <v>112</v>
      </c>
      <c r="F297" s="38" t="s">
        <v>113</v>
      </c>
      <c r="G297" s="49" t="str">
        <f t="shared" si="1"/>
        <v>60310</v>
      </c>
      <c r="H297" s="49">
        <f t="shared" si="2"/>
        <v>60124</v>
      </c>
    </row>
    <row r="298">
      <c r="A298" s="48" t="s">
        <v>773</v>
      </c>
      <c r="B298" s="38">
        <v>27343.0</v>
      </c>
      <c r="C298" s="38" t="s">
        <v>774</v>
      </c>
      <c r="D298" s="38" t="str">
        <f>IFERROR(__xludf.DUMMYFUNCTION("REGEXREPLACE(C298,""-\d+(.*)|--\d+(.*)"","""")"),"HOULBEC-COCHEREL")</f>
        <v>HOULBEC-COCHEREL</v>
      </c>
      <c r="E298" s="38" t="s">
        <v>241</v>
      </c>
      <c r="F298" s="38" t="s">
        <v>134</v>
      </c>
      <c r="G298" s="49" t="str">
        <f t="shared" si="1"/>
        <v>27120</v>
      </c>
      <c r="H298" s="49">
        <f t="shared" si="2"/>
        <v>27343</v>
      </c>
    </row>
    <row r="299">
      <c r="A299" s="48" t="s">
        <v>775</v>
      </c>
      <c r="B299" s="38">
        <v>14282.0</v>
      </c>
      <c r="C299" s="38" t="s">
        <v>776</v>
      </c>
      <c r="D299" s="38" t="str">
        <f>IFERROR(__xludf.DUMMYFUNCTION("REGEXREPLACE(C299,""-\d+(.*)|--\d+(.*)"","""")"),"FOULOGNES")</f>
        <v>FOULOGNES</v>
      </c>
      <c r="E299" s="38" t="s">
        <v>137</v>
      </c>
      <c r="F299" s="38" t="s">
        <v>138</v>
      </c>
      <c r="G299" s="49" t="str">
        <f t="shared" si="1"/>
        <v>14240</v>
      </c>
      <c r="H299" s="49">
        <f t="shared" si="2"/>
        <v>14282</v>
      </c>
    </row>
    <row r="300">
      <c r="A300" s="48" t="s">
        <v>777</v>
      </c>
      <c r="B300" s="38">
        <v>74287.0</v>
      </c>
      <c r="C300" s="38" t="s">
        <v>778</v>
      </c>
      <c r="D300" s="38" t="str">
        <f>IFERROR(__xludf.DUMMYFUNCTION("REGEXREPLACE(C300,""-\d+(.*)|--\d+(.*)"","""")"),"VAILLY")</f>
        <v>VAILLY</v>
      </c>
      <c r="E300" s="38" t="s">
        <v>319</v>
      </c>
      <c r="F300" s="38" t="s">
        <v>102</v>
      </c>
      <c r="G300" s="49" t="str">
        <f t="shared" si="1"/>
        <v>74470</v>
      </c>
      <c r="H300" s="49">
        <f t="shared" si="2"/>
        <v>74287</v>
      </c>
    </row>
    <row r="301">
      <c r="A301" s="48" t="s">
        <v>384</v>
      </c>
      <c r="B301" s="38">
        <v>55541.0</v>
      </c>
      <c r="C301" s="38" t="s">
        <v>779</v>
      </c>
      <c r="D301" s="38" t="str">
        <f>IFERROR(__xludf.DUMMYFUNCTION("REGEXREPLACE(C301,""-\d+(.*)|--\d+(.*)"","""")"),"VAVINCOURT")</f>
        <v>VAVINCOURT</v>
      </c>
      <c r="E301" s="38" t="s">
        <v>322</v>
      </c>
      <c r="F301" s="38" t="s">
        <v>195</v>
      </c>
      <c r="G301" s="49" t="str">
        <f t="shared" si="1"/>
        <v>55000</v>
      </c>
      <c r="H301" s="49">
        <f t="shared" si="2"/>
        <v>55541</v>
      </c>
    </row>
    <row r="302">
      <c r="A302" s="48" t="s">
        <v>667</v>
      </c>
      <c r="B302" s="38">
        <v>64484.0</v>
      </c>
      <c r="C302" s="38" t="s">
        <v>780</v>
      </c>
      <c r="D302" s="38" t="str">
        <f>IFERROR(__xludf.DUMMYFUNCTION("REGEXREPLACE(C302,""-\d+(.*)|--\d+(.*)"","""")"),"SAINT-JEAN-LE-VIEUX")</f>
        <v>SAINT-JEAN-LE-VIEUX</v>
      </c>
      <c r="E302" s="38" t="s">
        <v>268</v>
      </c>
      <c r="F302" s="38" t="s">
        <v>252</v>
      </c>
      <c r="G302" s="49" t="str">
        <f t="shared" si="1"/>
        <v>64220</v>
      </c>
      <c r="H302" s="49">
        <f t="shared" si="2"/>
        <v>64484</v>
      </c>
    </row>
    <row r="303">
      <c r="A303" s="48" t="s">
        <v>781</v>
      </c>
      <c r="B303" s="38">
        <v>65237.0</v>
      </c>
      <c r="C303" s="38" t="s">
        <v>782</v>
      </c>
      <c r="D303" s="38" t="str">
        <f>IFERROR(__xludf.DUMMYFUNCTION("REGEXREPLACE(C303,""-\d+(.*)|--\d+(.*)"","""")"),"JUNCALAS")</f>
        <v>JUNCALAS</v>
      </c>
      <c r="E303" s="38" t="s">
        <v>200</v>
      </c>
      <c r="F303" s="38" t="s">
        <v>94</v>
      </c>
      <c r="G303" s="49" t="str">
        <f t="shared" si="1"/>
        <v>65100</v>
      </c>
      <c r="H303" s="49">
        <f t="shared" si="2"/>
        <v>65237</v>
      </c>
    </row>
    <row r="304">
      <c r="A304" s="48" t="s">
        <v>783</v>
      </c>
      <c r="B304" s="38">
        <v>12034.0</v>
      </c>
      <c r="C304" s="38" t="s">
        <v>784</v>
      </c>
      <c r="D304" s="38" t="str">
        <f>IFERROR(__xludf.DUMMYFUNCTION("REGEXREPLACE(C304,""-\d+(.*)|--\d+(.*)"","""")"),"BRANDONNET")</f>
        <v>BRANDONNET</v>
      </c>
      <c r="E304" s="38" t="s">
        <v>465</v>
      </c>
      <c r="F304" s="38" t="s">
        <v>94</v>
      </c>
      <c r="G304" s="49" t="str">
        <f t="shared" si="1"/>
        <v>12350</v>
      </c>
      <c r="H304" s="49">
        <f t="shared" si="2"/>
        <v>12034</v>
      </c>
    </row>
    <row r="305">
      <c r="A305" s="48" t="s">
        <v>785</v>
      </c>
      <c r="B305" s="38">
        <v>33345.0</v>
      </c>
      <c r="C305" s="38" t="s">
        <v>786</v>
      </c>
      <c r="D305" s="38" t="str">
        <f>IFERROR(__xludf.DUMMYFUNCTION("REGEXREPLACE(C305,""-\d+(.*)|--\d+(.*)"","""")"),"LE PUY")</f>
        <v>LE PUY</v>
      </c>
      <c r="E305" s="38" t="s">
        <v>462</v>
      </c>
      <c r="F305" s="38" t="s">
        <v>252</v>
      </c>
      <c r="G305" s="49" t="str">
        <f t="shared" si="1"/>
        <v>33580</v>
      </c>
      <c r="H305" s="49">
        <f t="shared" si="2"/>
        <v>33345</v>
      </c>
    </row>
    <row r="306">
      <c r="A306" s="48" t="s">
        <v>787</v>
      </c>
      <c r="B306" s="38">
        <v>80001.0</v>
      </c>
      <c r="C306" s="38" t="s">
        <v>788</v>
      </c>
      <c r="D306" s="38" t="str">
        <f>IFERROR(__xludf.DUMMYFUNCTION("REGEXREPLACE(C306,""-\d+(.*)|--\d+(.*)"","""")"),"ABBEVILLE")</f>
        <v>ABBEVILLE</v>
      </c>
      <c r="E306" s="38" t="s">
        <v>224</v>
      </c>
      <c r="F306" s="38" t="s">
        <v>113</v>
      </c>
      <c r="G306" s="49" t="str">
        <f t="shared" si="1"/>
        <v>80100</v>
      </c>
      <c r="H306" s="49">
        <f t="shared" si="2"/>
        <v>80001</v>
      </c>
    </row>
    <row r="307">
      <c r="A307" s="48" t="s">
        <v>789</v>
      </c>
      <c r="B307" s="38">
        <v>10120.0</v>
      </c>
      <c r="C307" s="38" t="s">
        <v>790</v>
      </c>
      <c r="D307" s="38" t="str">
        <f>IFERROR(__xludf.DUMMYFUNCTION("REGEXREPLACE(C307,""-\d+(.*)|--\d+(.*)"","""")"),"CUSSANGY")</f>
        <v>CUSSANGY</v>
      </c>
      <c r="E307" s="38" t="s">
        <v>147</v>
      </c>
      <c r="F307" s="38" t="s">
        <v>130</v>
      </c>
      <c r="G307" s="49" t="str">
        <f t="shared" si="1"/>
        <v>10210</v>
      </c>
      <c r="H307" s="49">
        <f t="shared" si="2"/>
        <v>10120</v>
      </c>
    </row>
    <row r="308">
      <c r="A308" s="48" t="s">
        <v>152</v>
      </c>
      <c r="B308" s="38">
        <v>48183.0</v>
      </c>
      <c r="C308" s="38" t="s">
        <v>791</v>
      </c>
      <c r="D308" s="38" t="str">
        <f>IFERROR(__xludf.DUMMYFUNCTION("REGEXREPLACE(C308,""-\d+(.*)|--\d+(.*)"","""")"),"SAINT-SAUVEUR-DE-PEYRE")</f>
        <v>SAINT-SAUVEUR-DE-PEYRE</v>
      </c>
      <c r="E308" s="38" t="s">
        <v>154</v>
      </c>
      <c r="F308" s="38" t="s">
        <v>119</v>
      </c>
      <c r="G308" s="49" t="str">
        <f t="shared" si="1"/>
        <v>48130</v>
      </c>
      <c r="H308" s="49">
        <f t="shared" si="2"/>
        <v>48183</v>
      </c>
    </row>
    <row r="309">
      <c r="A309" s="48" t="s">
        <v>792</v>
      </c>
      <c r="B309" s="38">
        <v>2233.0</v>
      </c>
      <c r="C309" s="38" t="s">
        <v>793</v>
      </c>
      <c r="D309" s="38" t="str">
        <f>IFERROR(__xludf.DUMMYFUNCTION("REGEXREPLACE(C309,""-\d+(.*)|--\d+(.*)"","""")"),"CRAMAILLE")</f>
        <v>CRAMAILLE</v>
      </c>
      <c r="E309" s="38" t="s">
        <v>191</v>
      </c>
      <c r="F309" s="38" t="s">
        <v>113</v>
      </c>
      <c r="G309" s="49" t="str">
        <f t="shared" si="1"/>
        <v>02130</v>
      </c>
      <c r="H309" s="49" t="str">
        <f t="shared" si="2"/>
        <v>02233</v>
      </c>
    </row>
    <row r="310">
      <c r="A310" s="48" t="s">
        <v>794</v>
      </c>
      <c r="B310" s="38">
        <v>60399.0</v>
      </c>
      <c r="C310" s="38" t="s">
        <v>795</v>
      </c>
      <c r="D310" s="38" t="str">
        <f>IFERROR(__xludf.DUMMYFUNCTION("REGEXREPLACE(C310,""-\d+(.*)|--\d+(.*)"","""")"),"LE MESNIL-SAINT-FIRMIN")</f>
        <v>LE MESNIL-SAINT-FIRMIN</v>
      </c>
      <c r="E310" s="38" t="s">
        <v>112</v>
      </c>
      <c r="F310" s="38" t="s">
        <v>113</v>
      </c>
      <c r="G310" s="49" t="str">
        <f t="shared" si="1"/>
        <v>60120</v>
      </c>
      <c r="H310" s="49">
        <f t="shared" si="2"/>
        <v>60399</v>
      </c>
    </row>
    <row r="311">
      <c r="A311" s="48" t="s">
        <v>796</v>
      </c>
      <c r="B311" s="38">
        <v>89211.0</v>
      </c>
      <c r="C311" s="38" t="s">
        <v>797</v>
      </c>
      <c r="D311" s="38" t="str">
        <f>IFERROR(__xludf.DUMMYFUNCTION("REGEXREPLACE(C311,""-\d+(.*)|--\d+(.*)"","""")"),"JUNAY")</f>
        <v>JUNAY</v>
      </c>
      <c r="E311" s="38" t="s">
        <v>275</v>
      </c>
      <c r="F311" s="38" t="s">
        <v>106</v>
      </c>
      <c r="G311" s="49" t="str">
        <f t="shared" si="1"/>
        <v>89700</v>
      </c>
      <c r="H311" s="49">
        <f t="shared" si="2"/>
        <v>89211</v>
      </c>
    </row>
    <row r="312">
      <c r="A312" s="48" t="s">
        <v>798</v>
      </c>
      <c r="B312" s="38">
        <v>3310.0</v>
      </c>
      <c r="C312" s="38" t="s">
        <v>799</v>
      </c>
      <c r="D312" s="38" t="str">
        <f>IFERROR(__xludf.DUMMYFUNCTION("REGEXREPLACE(C312,""-\d+(.*)|--\d+(.*)"","""")"),"VICHY")</f>
        <v>VICHY</v>
      </c>
      <c r="E312" s="38" t="s">
        <v>160</v>
      </c>
      <c r="F312" s="38" t="s">
        <v>161</v>
      </c>
      <c r="G312" s="49" t="str">
        <f t="shared" si="1"/>
        <v>03200</v>
      </c>
      <c r="H312" s="49" t="str">
        <f t="shared" si="2"/>
        <v>03310</v>
      </c>
    </row>
    <row r="313">
      <c r="A313" s="48" t="s">
        <v>800</v>
      </c>
      <c r="B313" s="38">
        <v>60149.0</v>
      </c>
      <c r="C313" s="38" t="s">
        <v>801</v>
      </c>
      <c r="D313" s="38" t="str">
        <f>IFERROR(__xludf.DUMMYFUNCTION("REGEXREPLACE(C313,""-\d+(.*)|--\d+(.*)"","""")"),"CHEVRIERES")</f>
        <v>CHEVRIERES</v>
      </c>
      <c r="E313" s="38" t="s">
        <v>112</v>
      </c>
      <c r="F313" s="38" t="s">
        <v>113</v>
      </c>
      <c r="G313" s="49" t="str">
        <f t="shared" si="1"/>
        <v>60710</v>
      </c>
      <c r="H313" s="49">
        <f t="shared" si="2"/>
        <v>60149</v>
      </c>
    </row>
    <row r="314">
      <c r="A314" s="48" t="s">
        <v>580</v>
      </c>
      <c r="B314" s="38">
        <v>31508.0</v>
      </c>
      <c r="C314" s="38" t="s">
        <v>802</v>
      </c>
      <c r="D314" s="38" t="str">
        <f>IFERROR(__xludf.DUMMYFUNCTION("REGEXREPLACE(C314,""-\d+(.*)|--\d+(.*)"","""")"),"SAINT-PAUL-D'OUEIL")</f>
        <v>SAINT-PAUL-D'OUEIL</v>
      </c>
      <c r="E314" s="38" t="s">
        <v>93</v>
      </c>
      <c r="F314" s="38" t="s">
        <v>94</v>
      </c>
      <c r="G314" s="49" t="str">
        <f t="shared" si="1"/>
        <v>31110</v>
      </c>
      <c r="H314" s="49">
        <f t="shared" si="2"/>
        <v>31508</v>
      </c>
    </row>
    <row r="315">
      <c r="A315" s="48" t="s">
        <v>803</v>
      </c>
      <c r="B315" s="38">
        <v>1452.0</v>
      </c>
      <c r="C315" s="38" t="s">
        <v>804</v>
      </c>
      <c r="D315" s="38" t="str">
        <f>IFERROR(__xludf.DUMMYFUNCTION("REGEXREPLACE(C315,""-\d+(.*)|--\d+(.*)"","""")"),"VIRIEU-LE-GRAND")</f>
        <v>VIRIEU-LE-GRAND</v>
      </c>
      <c r="E315" s="38" t="s">
        <v>255</v>
      </c>
      <c r="F315" s="38" t="s">
        <v>102</v>
      </c>
      <c r="G315" s="49" t="str">
        <f t="shared" si="1"/>
        <v>01510</v>
      </c>
      <c r="H315" s="49" t="str">
        <f t="shared" si="2"/>
        <v>01452</v>
      </c>
    </row>
    <row r="316">
      <c r="A316" s="48" t="s">
        <v>805</v>
      </c>
      <c r="B316" s="38">
        <v>62632.0</v>
      </c>
      <c r="C316" s="38" t="s">
        <v>806</v>
      </c>
      <c r="D316" s="38" t="str">
        <f>IFERROR(__xludf.DUMMYFUNCTION("REGEXREPLACE(C316,""-\d+(.*)|--\d+(.*)"","""")"),"OBLINGHEM")</f>
        <v>OBLINGHEM</v>
      </c>
      <c r="E316" s="38" t="s">
        <v>109</v>
      </c>
      <c r="F316" s="38" t="s">
        <v>86</v>
      </c>
      <c r="G316" s="49" t="str">
        <f t="shared" si="1"/>
        <v>62920</v>
      </c>
      <c r="H316" s="49">
        <f t="shared" si="2"/>
        <v>62632</v>
      </c>
    </row>
    <row r="317">
      <c r="A317" s="48" t="s">
        <v>807</v>
      </c>
      <c r="B317" s="38">
        <v>68191.0</v>
      </c>
      <c r="C317" s="38" t="s">
        <v>808</v>
      </c>
      <c r="D317" s="38" t="str">
        <f>IFERROR(__xludf.DUMMYFUNCTION("REGEXREPLACE(C317,""-\d+(.*)|--\d+(.*)"","""")"),"LUEMSCHWILLER")</f>
        <v>LUEMSCHWILLER</v>
      </c>
      <c r="E317" s="38" t="s">
        <v>150</v>
      </c>
      <c r="F317" s="38" t="s">
        <v>151</v>
      </c>
      <c r="G317" s="49" t="str">
        <f t="shared" si="1"/>
        <v>68720</v>
      </c>
      <c r="H317" s="49">
        <f t="shared" si="2"/>
        <v>68191</v>
      </c>
    </row>
    <row r="318">
      <c r="A318" s="48" t="s">
        <v>809</v>
      </c>
      <c r="B318" s="38">
        <v>33392.0</v>
      </c>
      <c r="C318" s="38" t="s">
        <v>810</v>
      </c>
      <c r="D318" s="38" t="str">
        <f>IFERROR(__xludf.DUMMYFUNCTION("REGEXREPLACE(C318,""-\d+(.*)|--\d+(.*)"","""")"),"SAINTE-CROIX-DU-MONT")</f>
        <v>SAINTE-CROIX-DU-MONT</v>
      </c>
      <c r="E318" s="38" t="s">
        <v>462</v>
      </c>
      <c r="F318" s="38" t="s">
        <v>252</v>
      </c>
      <c r="G318" s="49" t="str">
        <f t="shared" si="1"/>
        <v>33410</v>
      </c>
      <c r="H318" s="49">
        <f t="shared" si="2"/>
        <v>33392</v>
      </c>
    </row>
    <row r="319">
      <c r="A319" s="48" t="s">
        <v>811</v>
      </c>
      <c r="B319" s="38">
        <v>83113.0</v>
      </c>
      <c r="C319" s="38" t="s">
        <v>812</v>
      </c>
      <c r="D319" s="38" t="str">
        <f>IFERROR(__xludf.DUMMYFUNCTION("REGEXREPLACE(C319,""-\d+(.*)|--\d+(.*)"","""")"),"SAINT-JULIEN")</f>
        <v>SAINT-JULIEN</v>
      </c>
      <c r="E319" s="38" t="s">
        <v>813</v>
      </c>
      <c r="F319" s="38" t="s">
        <v>228</v>
      </c>
      <c r="G319" s="49" t="str">
        <f t="shared" si="1"/>
        <v>83560</v>
      </c>
      <c r="H319" s="49">
        <f t="shared" si="2"/>
        <v>83113</v>
      </c>
    </row>
    <row r="320">
      <c r="A320" s="48" t="s">
        <v>814</v>
      </c>
      <c r="B320" s="38">
        <v>4138.0</v>
      </c>
      <c r="C320" s="38" t="s">
        <v>815</v>
      </c>
      <c r="D320" s="38" t="str">
        <f>IFERROR(__xludf.DUMMYFUNCTION("REGEXREPLACE(C320,""-\d+(.*)|--\d+(.*)"","""")"),"NIOZELLES")</f>
        <v>NIOZELLES</v>
      </c>
      <c r="E320" s="38" t="s">
        <v>662</v>
      </c>
      <c r="F320" s="38" t="s">
        <v>228</v>
      </c>
      <c r="G320" s="49" t="str">
        <f t="shared" si="1"/>
        <v>04300</v>
      </c>
      <c r="H320" s="49" t="str">
        <f t="shared" si="2"/>
        <v>04138</v>
      </c>
    </row>
    <row r="321">
      <c r="A321" s="48" t="s">
        <v>816</v>
      </c>
      <c r="B321" s="38">
        <v>11103.0</v>
      </c>
      <c r="C321" s="38" t="s">
        <v>817</v>
      </c>
      <c r="D321" s="38" t="str">
        <f>IFERROR(__xludf.DUMMYFUNCTION("REGEXREPLACE(C321,""-\d+(.*)|--\d+(.*)"","""")"),"COUIZA")</f>
        <v>COUIZA</v>
      </c>
      <c r="E321" s="38" t="s">
        <v>278</v>
      </c>
      <c r="F321" s="38" t="s">
        <v>119</v>
      </c>
      <c r="G321" s="49" t="str">
        <f t="shared" si="1"/>
        <v>11190</v>
      </c>
      <c r="H321" s="49">
        <f t="shared" si="2"/>
        <v>11103</v>
      </c>
    </row>
    <row r="322">
      <c r="A322" s="48" t="s">
        <v>696</v>
      </c>
      <c r="B322" s="38">
        <v>9208.0</v>
      </c>
      <c r="C322" s="38" t="s">
        <v>818</v>
      </c>
      <c r="D322" s="38" t="str">
        <f>IFERROR(__xludf.DUMMYFUNCTION("REGEXREPLACE(C322,""-\d+(.*)|--\d+(.*)"","""")"),"MONTGAUCH")</f>
        <v>MONTGAUCH</v>
      </c>
      <c r="E322" s="38" t="s">
        <v>238</v>
      </c>
      <c r="F322" s="38" t="s">
        <v>94</v>
      </c>
      <c r="G322" s="49" t="str">
        <f t="shared" si="1"/>
        <v>09160</v>
      </c>
      <c r="H322" s="49" t="str">
        <f t="shared" si="2"/>
        <v>09208</v>
      </c>
    </row>
    <row r="323">
      <c r="A323" s="48" t="s">
        <v>819</v>
      </c>
      <c r="B323" s="38">
        <v>77363.0</v>
      </c>
      <c r="C323" s="38" t="s">
        <v>820</v>
      </c>
      <c r="D323" s="38" t="str">
        <f>IFERROR(__xludf.DUMMYFUNCTION("REGEXREPLACE(C323,""-\d+(.*)|--\d+(.*)"","""")"),"LE PIN")</f>
        <v>LE PIN</v>
      </c>
      <c r="E323" s="38" t="s">
        <v>244</v>
      </c>
      <c r="F323" s="38" t="s">
        <v>245</v>
      </c>
      <c r="G323" s="49" t="str">
        <f t="shared" si="1"/>
        <v>77181</v>
      </c>
      <c r="H323" s="49">
        <f t="shared" si="2"/>
        <v>77363</v>
      </c>
    </row>
    <row r="324">
      <c r="A324" s="48" t="s">
        <v>821</v>
      </c>
      <c r="B324" s="38">
        <v>75056.0</v>
      </c>
      <c r="C324" s="38" t="s">
        <v>822</v>
      </c>
      <c r="D324" s="38" t="s">
        <v>822</v>
      </c>
      <c r="E324" s="38" t="s">
        <v>823</v>
      </c>
      <c r="F324" s="38" t="s">
        <v>245</v>
      </c>
      <c r="G324" s="49" t="str">
        <f t="shared" si="1"/>
        <v>75000</v>
      </c>
      <c r="H324" s="49">
        <f t="shared" si="2"/>
        <v>75056</v>
      </c>
    </row>
    <row r="325">
      <c r="A325" s="48" t="s">
        <v>824</v>
      </c>
      <c r="B325" s="38">
        <v>75110.0</v>
      </c>
      <c r="C325" s="38" t="s">
        <v>825</v>
      </c>
      <c r="D325" s="38" t="str">
        <f>IFERROR(__xludf.DUMMYFUNCTION("REGEXREPLACE(C325,""-\d+(.*)|--\d+(.*)"","""")"),"PARIS")</f>
        <v>PARIS</v>
      </c>
      <c r="E325" s="38" t="s">
        <v>823</v>
      </c>
      <c r="F325" s="38" t="s">
        <v>245</v>
      </c>
      <c r="G325" s="49" t="str">
        <f t="shared" si="1"/>
        <v>75010</v>
      </c>
      <c r="H325" s="49">
        <f t="shared" si="2"/>
        <v>75110</v>
      </c>
    </row>
    <row r="326">
      <c r="A326" s="48" t="s">
        <v>826</v>
      </c>
      <c r="B326" s="38">
        <v>21185.0</v>
      </c>
      <c r="C326" s="38" t="s">
        <v>827</v>
      </c>
      <c r="D326" s="38" t="str">
        <f>IFERROR(__xludf.DUMMYFUNCTION("REGEXREPLACE(C326,""-\d+(.*)|--\d+(.*)"","""")"),"COMBERTAULT")</f>
        <v>COMBERTAULT</v>
      </c>
      <c r="E326" s="38" t="s">
        <v>105</v>
      </c>
      <c r="F326" s="38" t="s">
        <v>106</v>
      </c>
      <c r="G326" s="49" t="str">
        <f t="shared" si="1"/>
        <v>21200</v>
      </c>
      <c r="H326" s="49">
        <f t="shared" si="2"/>
        <v>21185</v>
      </c>
    </row>
    <row r="327">
      <c r="A327" s="48" t="s">
        <v>828</v>
      </c>
      <c r="B327" s="38">
        <v>86186.0</v>
      </c>
      <c r="C327" s="38" t="s">
        <v>829</v>
      </c>
      <c r="D327" s="38" t="str">
        <f>IFERROR(__xludf.DUMMYFUNCTION("REGEXREPLACE(C327,""-\d+(.*)|--\d+(.*)"","""")"),"OYRE")</f>
        <v>OYRE</v>
      </c>
      <c r="E327" s="38" t="s">
        <v>529</v>
      </c>
      <c r="F327" s="38" t="s">
        <v>338</v>
      </c>
      <c r="G327" s="49" t="str">
        <f t="shared" si="1"/>
        <v>86220</v>
      </c>
      <c r="H327" s="49">
        <f t="shared" si="2"/>
        <v>86186</v>
      </c>
    </row>
    <row r="328">
      <c r="A328" s="48" t="s">
        <v>830</v>
      </c>
      <c r="B328" s="38">
        <v>68128.0</v>
      </c>
      <c r="C328" s="38" t="s">
        <v>831</v>
      </c>
      <c r="D328" s="38" t="str">
        <f>IFERROR(__xludf.DUMMYFUNCTION("REGEXREPLACE(C328,""-\d+(.*)|--\d+(.*)"","""")"),"HEIMERSDORF")</f>
        <v>HEIMERSDORF</v>
      </c>
      <c r="E328" s="38" t="s">
        <v>150</v>
      </c>
      <c r="F328" s="38" t="s">
        <v>151</v>
      </c>
      <c r="G328" s="49" t="str">
        <f t="shared" si="1"/>
        <v>68560</v>
      </c>
      <c r="H328" s="49">
        <f t="shared" si="2"/>
        <v>68128</v>
      </c>
    </row>
    <row r="329">
      <c r="A329" s="48" t="s">
        <v>832</v>
      </c>
      <c r="B329" s="38">
        <v>12303.0</v>
      </c>
      <c r="C329" s="38" t="s">
        <v>833</v>
      </c>
      <c r="D329" s="38" t="str">
        <f>IFERROR(__xludf.DUMMYFUNCTION("REGEXREPLACE(C329,""-\d+(.*)|--\d+(.*)"","""")"),"VIMENET")</f>
        <v>VIMENET</v>
      </c>
      <c r="E329" s="38" t="s">
        <v>465</v>
      </c>
      <c r="F329" s="38" t="s">
        <v>94</v>
      </c>
      <c r="G329" s="49" t="str">
        <f t="shared" si="1"/>
        <v>12310</v>
      </c>
      <c r="H329" s="49">
        <f t="shared" si="2"/>
        <v>12303</v>
      </c>
    </row>
    <row r="330">
      <c r="A330" s="48" t="s">
        <v>834</v>
      </c>
      <c r="B330" s="38">
        <v>25164.0</v>
      </c>
      <c r="C330" s="38" t="s">
        <v>835</v>
      </c>
      <c r="D330" s="38" t="str">
        <f>IFERROR(__xludf.DUMMYFUNCTION("REGEXREPLACE(C330,""-\d+(.*)|--\d+(.*)"","""")"),"CORCONDRAY")</f>
        <v>CORCONDRAY</v>
      </c>
      <c r="E330" s="38" t="s">
        <v>213</v>
      </c>
      <c r="F330" s="38" t="s">
        <v>214</v>
      </c>
      <c r="G330" s="49" t="str">
        <f t="shared" si="1"/>
        <v>25410</v>
      </c>
      <c r="H330" s="49">
        <f t="shared" si="2"/>
        <v>25164</v>
      </c>
    </row>
    <row r="331">
      <c r="A331" s="48" t="s">
        <v>836</v>
      </c>
      <c r="B331" s="38">
        <v>92063.0</v>
      </c>
      <c r="C331" s="38" t="s">
        <v>837</v>
      </c>
      <c r="D331" s="38" t="str">
        <f>IFERROR(__xludf.DUMMYFUNCTION("REGEXREPLACE(C331,""-\d+(.*)|--\d+(.*)"","""")"),"RUEIL-MALMAISON")</f>
        <v>RUEIL-MALMAISON</v>
      </c>
      <c r="E331" s="38" t="s">
        <v>838</v>
      </c>
      <c r="F331" s="38" t="s">
        <v>245</v>
      </c>
      <c r="G331" s="49" t="str">
        <f t="shared" si="1"/>
        <v>92500</v>
      </c>
      <c r="H331" s="49">
        <f t="shared" si="2"/>
        <v>92063</v>
      </c>
    </row>
    <row r="332">
      <c r="A332" s="48" t="s">
        <v>839</v>
      </c>
      <c r="B332" s="38">
        <v>62342.0</v>
      </c>
      <c r="C332" s="38" t="s">
        <v>840</v>
      </c>
      <c r="D332" s="38" t="str">
        <f>IFERROR(__xludf.DUMMYFUNCTION("REGEXREPLACE(C332,""-\d+(.*)|--\d+(.*)"","""")"),"FONTAINE-LES-BOULANS")</f>
        <v>FONTAINE-LES-BOULANS</v>
      </c>
      <c r="E332" s="38" t="s">
        <v>109</v>
      </c>
      <c r="F332" s="38" t="s">
        <v>86</v>
      </c>
      <c r="G332" s="49" t="str">
        <f t="shared" si="1"/>
        <v>62134</v>
      </c>
      <c r="H332" s="49">
        <f t="shared" si="2"/>
        <v>62342</v>
      </c>
    </row>
    <row r="333">
      <c r="A333" s="48" t="s">
        <v>841</v>
      </c>
      <c r="B333" s="38">
        <v>91340.0</v>
      </c>
      <c r="C333" s="38" t="s">
        <v>842</v>
      </c>
      <c r="D333" s="38" t="str">
        <f>IFERROR(__xludf.DUMMYFUNCTION("REGEXREPLACE(C333,""-\d+(.*)|--\d+(.*)"","""")"),"LISSES")</f>
        <v>LISSES</v>
      </c>
      <c r="E333" s="38" t="s">
        <v>756</v>
      </c>
      <c r="F333" s="38" t="s">
        <v>245</v>
      </c>
      <c r="G333" s="49" t="str">
        <f t="shared" si="1"/>
        <v>91090</v>
      </c>
      <c r="H333" s="49">
        <f t="shared" si="2"/>
        <v>91340</v>
      </c>
    </row>
    <row r="334">
      <c r="A334" s="48" t="s">
        <v>114</v>
      </c>
      <c r="B334" s="38">
        <v>62470.0</v>
      </c>
      <c r="C334" s="38" t="s">
        <v>843</v>
      </c>
      <c r="D334" s="38" t="str">
        <f>IFERROR(__xludf.DUMMYFUNCTION("REGEXREPLACE(C334,""-\d+(.*)|--\d+(.*)"","""")"),"INCOURT")</f>
        <v>INCOURT</v>
      </c>
      <c r="E334" s="38" t="s">
        <v>109</v>
      </c>
      <c r="F334" s="38" t="s">
        <v>86</v>
      </c>
      <c r="G334" s="49" t="str">
        <f t="shared" si="1"/>
        <v>62770</v>
      </c>
      <c r="H334" s="49">
        <f t="shared" si="2"/>
        <v>62470</v>
      </c>
    </row>
    <row r="335">
      <c r="A335" s="48" t="s">
        <v>844</v>
      </c>
      <c r="B335" s="38">
        <v>72238.0</v>
      </c>
      <c r="C335" s="38" t="s">
        <v>845</v>
      </c>
      <c r="D335" s="38" t="str">
        <f>IFERROR(__xludf.DUMMYFUNCTION("REGEXREPLACE(C335,""-\d+(.*)|--\d+(.*)"","""")"),"PIZIEUX")</f>
        <v>PIZIEUX</v>
      </c>
      <c r="E335" s="38" t="s">
        <v>521</v>
      </c>
      <c r="F335" s="38" t="s">
        <v>180</v>
      </c>
      <c r="G335" s="49" t="str">
        <f t="shared" si="1"/>
        <v>72600</v>
      </c>
      <c r="H335" s="49">
        <f t="shared" si="2"/>
        <v>72238</v>
      </c>
    </row>
    <row r="336">
      <c r="A336" s="48" t="s">
        <v>846</v>
      </c>
      <c r="B336" s="38">
        <v>44102.0</v>
      </c>
      <c r="C336" s="38" t="s">
        <v>847</v>
      </c>
      <c r="D336" s="38" t="str">
        <f>IFERROR(__xludf.DUMMYFUNCTION("REGEXREPLACE(C336,""-\d+(.*)|--\d+(.*)"","""")"),"MONTBERT")</f>
        <v>MONTBERT</v>
      </c>
      <c r="E336" s="38" t="s">
        <v>759</v>
      </c>
      <c r="F336" s="38" t="s">
        <v>180</v>
      </c>
      <c r="G336" s="49" t="str">
        <f t="shared" si="1"/>
        <v>44140</v>
      </c>
      <c r="H336" s="49">
        <f t="shared" si="2"/>
        <v>44102</v>
      </c>
    </row>
    <row r="337">
      <c r="A337" s="48" t="s">
        <v>771</v>
      </c>
      <c r="B337" s="38">
        <v>60126.0</v>
      </c>
      <c r="C337" s="38" t="s">
        <v>848</v>
      </c>
      <c r="D337" s="38" t="str">
        <f>IFERROR(__xludf.DUMMYFUNCTION("REGEXREPLACE(C337,""-\d+(.*)|--\d+(.*)"","""")"),"CANNECTANCOURT")</f>
        <v>CANNECTANCOURT</v>
      </c>
      <c r="E337" s="38" t="s">
        <v>112</v>
      </c>
      <c r="F337" s="38" t="s">
        <v>113</v>
      </c>
      <c r="G337" s="49" t="str">
        <f t="shared" si="1"/>
        <v>60310</v>
      </c>
      <c r="H337" s="49">
        <f t="shared" si="2"/>
        <v>60126</v>
      </c>
    </row>
    <row r="338">
      <c r="A338" s="48" t="s">
        <v>849</v>
      </c>
      <c r="B338" s="38">
        <v>51006.0</v>
      </c>
      <c r="C338" s="38" t="s">
        <v>850</v>
      </c>
      <c r="D338" s="38" t="str">
        <f>IFERROR(__xludf.DUMMYFUNCTION("REGEXREPLACE(C338,""-\d+(.*)|--\d+(.*)"","""")"),"ALLIANCELLES")</f>
        <v>ALLIANCELLES</v>
      </c>
      <c r="E338" s="38" t="s">
        <v>129</v>
      </c>
      <c r="F338" s="38" t="s">
        <v>130</v>
      </c>
      <c r="G338" s="49" t="str">
        <f t="shared" si="1"/>
        <v>51250</v>
      </c>
      <c r="H338" s="49">
        <f t="shared" si="2"/>
        <v>51006</v>
      </c>
    </row>
    <row r="339">
      <c r="A339" s="48" t="s">
        <v>851</v>
      </c>
      <c r="B339" s="38">
        <v>44144.0</v>
      </c>
      <c r="C339" s="38" t="s">
        <v>852</v>
      </c>
      <c r="D339" s="38" t="str">
        <f>IFERROR(__xludf.DUMMYFUNCTION("REGEXREPLACE(C339,""-\d+(.*)|--\d+(.*)"","""")"),"RIAILLE")</f>
        <v>RIAILLE</v>
      </c>
      <c r="E339" s="38" t="s">
        <v>759</v>
      </c>
      <c r="F339" s="38" t="s">
        <v>180</v>
      </c>
      <c r="G339" s="49" t="str">
        <f t="shared" si="1"/>
        <v>44440</v>
      </c>
      <c r="H339" s="49">
        <f t="shared" si="2"/>
        <v>44144</v>
      </c>
    </row>
    <row r="340">
      <c r="A340" s="48" t="s">
        <v>509</v>
      </c>
      <c r="B340" s="38">
        <v>28197.0</v>
      </c>
      <c r="C340" s="38" t="s">
        <v>853</v>
      </c>
      <c r="D340" s="38" t="str">
        <f>IFERROR(__xludf.DUMMYFUNCTION("REGEXREPLACE(C340,""-\d+(.*)|--\d+(.*)"","""")"),"INTREVILLE")</f>
        <v>INTREVILLE</v>
      </c>
      <c r="E340" s="38" t="s">
        <v>300</v>
      </c>
      <c r="F340" s="38" t="s">
        <v>123</v>
      </c>
      <c r="G340" s="49" t="str">
        <f t="shared" si="1"/>
        <v>28310</v>
      </c>
      <c r="H340" s="49">
        <f t="shared" si="2"/>
        <v>28197</v>
      </c>
    </row>
    <row r="341">
      <c r="A341" s="48" t="s">
        <v>854</v>
      </c>
      <c r="B341" s="38">
        <v>62792.0</v>
      </c>
      <c r="C341" s="38" t="s">
        <v>855</v>
      </c>
      <c r="D341" s="38" t="str">
        <f>IFERROR(__xludf.DUMMYFUNCTION("REGEXREPLACE(C341,""-\d+(.*)|--\d+(.*)"","""")"),"SERQUES")</f>
        <v>SERQUES</v>
      </c>
      <c r="E341" s="38" t="s">
        <v>109</v>
      </c>
      <c r="F341" s="38" t="s">
        <v>86</v>
      </c>
      <c r="G341" s="49" t="str">
        <f t="shared" si="1"/>
        <v>62910</v>
      </c>
      <c r="H341" s="49">
        <f t="shared" si="2"/>
        <v>62792</v>
      </c>
    </row>
    <row r="342">
      <c r="A342" s="48" t="s">
        <v>856</v>
      </c>
      <c r="B342" s="38">
        <v>43108.0</v>
      </c>
      <c r="C342" s="38" t="s">
        <v>857</v>
      </c>
      <c r="D342" s="38" t="str">
        <f>IFERROR(__xludf.DUMMYFUNCTION("REGEXREPLACE(C342,""-\d+(.*)|--\d+(.*)"","""")"),"JULLIANGES")</f>
        <v>JULLIANGES</v>
      </c>
      <c r="E342" s="38" t="s">
        <v>332</v>
      </c>
      <c r="F342" s="38" t="s">
        <v>161</v>
      </c>
      <c r="G342" s="49" t="str">
        <f t="shared" si="1"/>
        <v>43500</v>
      </c>
      <c r="H342" s="49">
        <f t="shared" si="2"/>
        <v>43108</v>
      </c>
    </row>
    <row r="343">
      <c r="A343" s="48" t="s">
        <v>858</v>
      </c>
      <c r="B343" s="38">
        <v>77308.0</v>
      </c>
      <c r="C343" s="38" t="s">
        <v>859</v>
      </c>
      <c r="D343" s="38" t="str">
        <f>IFERROR(__xludf.DUMMYFUNCTION("REGEXREPLACE(C343,""-\d+(.*)|--\d+(.*)"","""")"),"MONTGE-EN-GOELE")</f>
        <v>MONTGE-EN-GOELE</v>
      </c>
      <c r="E343" s="38" t="s">
        <v>244</v>
      </c>
      <c r="F343" s="38" t="s">
        <v>245</v>
      </c>
      <c r="G343" s="49" t="str">
        <f t="shared" si="1"/>
        <v>77230</v>
      </c>
      <c r="H343" s="49">
        <f t="shared" si="2"/>
        <v>77308</v>
      </c>
    </row>
    <row r="344">
      <c r="A344" s="48" t="s">
        <v>860</v>
      </c>
      <c r="B344" s="38">
        <v>80723.0</v>
      </c>
      <c r="C344" s="38" t="s">
        <v>861</v>
      </c>
      <c r="D344" s="38" t="str">
        <f>IFERROR(__xludf.DUMMYFUNCTION("REGEXREPLACE(C344,""-\d+(.*)|--\d+(.*)"","""")"),"SAISSEVAL")</f>
        <v>SAISSEVAL</v>
      </c>
      <c r="E344" s="38" t="s">
        <v>224</v>
      </c>
      <c r="F344" s="38" t="s">
        <v>113</v>
      </c>
      <c r="G344" s="49" t="str">
        <f t="shared" si="1"/>
        <v>80540</v>
      </c>
      <c r="H344" s="49">
        <f t="shared" si="2"/>
        <v>80723</v>
      </c>
    </row>
    <row r="345">
      <c r="A345" s="48" t="s">
        <v>862</v>
      </c>
      <c r="B345" s="38">
        <v>27606.0</v>
      </c>
      <c r="C345" s="38" t="s">
        <v>863</v>
      </c>
      <c r="D345" s="38" t="str">
        <f>IFERROR(__xludf.DUMMYFUNCTION("REGEXREPLACE(C345,""-\d+(.*)|--\d+(.*)"","""")"),"SAINT-SYMPHORIEN")</f>
        <v>SAINT-SYMPHORIEN</v>
      </c>
      <c r="E345" s="38" t="s">
        <v>241</v>
      </c>
      <c r="F345" s="38" t="s">
        <v>134</v>
      </c>
      <c r="G345" s="49" t="str">
        <f t="shared" si="1"/>
        <v>27500</v>
      </c>
      <c r="H345" s="49">
        <f t="shared" si="2"/>
        <v>27606</v>
      </c>
    </row>
    <row r="346">
      <c r="A346" s="48" t="s">
        <v>864</v>
      </c>
      <c r="B346" s="38">
        <v>38190.0</v>
      </c>
      <c r="C346" s="38" t="s">
        <v>865</v>
      </c>
      <c r="D346" s="38" t="str">
        <f>IFERROR(__xludf.DUMMYFUNCTION("REGEXREPLACE(C346,""-\d+(.*)|--\d+(.*)"","""")"),"HIERES-SUR-AMBY")</f>
        <v>HIERES-SUR-AMBY</v>
      </c>
      <c r="E346" s="38" t="s">
        <v>101</v>
      </c>
      <c r="F346" s="38" t="s">
        <v>102</v>
      </c>
      <c r="G346" s="49" t="str">
        <f t="shared" si="1"/>
        <v>38118</v>
      </c>
      <c r="H346" s="49">
        <f t="shared" si="2"/>
        <v>38190</v>
      </c>
    </row>
    <row r="347">
      <c r="A347" s="48" t="s">
        <v>866</v>
      </c>
      <c r="B347" s="38">
        <v>63031.0</v>
      </c>
      <c r="C347" s="38" t="s">
        <v>867</v>
      </c>
      <c r="D347" s="38" t="str">
        <f>IFERROR(__xludf.DUMMYFUNCTION("REGEXREPLACE(C347,""-\d+(.*)|--\d+(.*)"","""")"),"BEAULIEU")</f>
        <v>BEAULIEU</v>
      </c>
      <c r="E347" s="38" t="s">
        <v>353</v>
      </c>
      <c r="F347" s="38" t="s">
        <v>161</v>
      </c>
      <c r="G347" s="49" t="str">
        <f t="shared" si="1"/>
        <v>63570</v>
      </c>
      <c r="H347" s="49">
        <f t="shared" si="2"/>
        <v>63031</v>
      </c>
    </row>
    <row r="348">
      <c r="A348" s="48" t="s">
        <v>868</v>
      </c>
      <c r="B348" s="38">
        <v>33478.0</v>
      </c>
      <c r="C348" s="38" t="s">
        <v>869</v>
      </c>
      <c r="D348" s="38" t="str">
        <f>IFERROR(__xludf.DUMMYFUNCTION("REGEXREPLACE(C348,""-\d+(.*)|--\d+(.*)"","""")"),"SAINT-SEURIN-SUR-L'ISLE")</f>
        <v>SAINT-SEURIN-SUR-L'ISLE</v>
      </c>
      <c r="E348" s="38" t="s">
        <v>462</v>
      </c>
      <c r="F348" s="38" t="s">
        <v>252</v>
      </c>
      <c r="G348" s="49" t="str">
        <f t="shared" si="1"/>
        <v>33660</v>
      </c>
      <c r="H348" s="49">
        <f t="shared" si="2"/>
        <v>33478</v>
      </c>
    </row>
    <row r="349">
      <c r="A349" s="48" t="s">
        <v>870</v>
      </c>
      <c r="B349" s="38">
        <v>22204.0</v>
      </c>
      <c r="C349" s="38" t="s">
        <v>871</v>
      </c>
      <c r="D349" s="38" t="str">
        <f>IFERROR(__xludf.DUMMYFUNCTION("REGEXREPLACE(C349,""-\d+(.*)|--\d+(.*)"","""")"),"PLOEZAL")</f>
        <v>PLOEZAL</v>
      </c>
      <c r="E349" s="38" t="s">
        <v>89</v>
      </c>
      <c r="F349" s="38" t="s">
        <v>90</v>
      </c>
      <c r="G349" s="49" t="str">
        <f t="shared" si="1"/>
        <v>22260</v>
      </c>
      <c r="H349" s="49">
        <f t="shared" si="2"/>
        <v>22204</v>
      </c>
    </row>
    <row r="350">
      <c r="A350" s="48" t="s">
        <v>872</v>
      </c>
      <c r="B350" s="38">
        <v>35217.0</v>
      </c>
      <c r="C350" s="38" t="s">
        <v>873</v>
      </c>
      <c r="D350" s="38" t="str">
        <f>IFERROR(__xludf.DUMMYFUNCTION("REGEXREPLACE(C350,""-\d+(.*)|--\d+(.*)"","""")"),"LE PERTRE")</f>
        <v>LE PERTRE</v>
      </c>
      <c r="E350" s="38" t="s">
        <v>347</v>
      </c>
      <c r="F350" s="38" t="s">
        <v>90</v>
      </c>
      <c r="G350" s="49" t="str">
        <f t="shared" si="1"/>
        <v>35370</v>
      </c>
      <c r="H350" s="49">
        <f t="shared" si="2"/>
        <v>35217</v>
      </c>
    </row>
    <row r="351">
      <c r="A351" s="48" t="s">
        <v>874</v>
      </c>
      <c r="B351" s="38" t="s">
        <v>875</v>
      </c>
      <c r="C351" s="38" t="s">
        <v>876</v>
      </c>
      <c r="D351" s="38" t="str">
        <f>IFERROR(__xludf.DUMMYFUNCTION("REGEXREPLACE(C351,""-\d+(.*)|--\d+(.*)"","""")"),"PARATA")</f>
        <v>PARATA</v>
      </c>
      <c r="E351" s="38" t="s">
        <v>743</v>
      </c>
      <c r="F351" s="38" t="s">
        <v>607</v>
      </c>
      <c r="G351" s="49" t="str">
        <f t="shared" si="1"/>
        <v>20229</v>
      </c>
      <c r="H351" s="49" t="str">
        <f t="shared" si="2"/>
        <v>2B202</v>
      </c>
    </row>
    <row r="352">
      <c r="A352" s="48" t="s">
        <v>877</v>
      </c>
      <c r="B352" s="38">
        <v>57561.0</v>
      </c>
      <c r="C352" s="38" t="s">
        <v>878</v>
      </c>
      <c r="D352" s="38" t="str">
        <f>IFERROR(__xludf.DUMMYFUNCTION("REGEXREPLACE(C352,""-\d+(.*)|--\d+(.*)"","""")"),"RAHLING")</f>
        <v>RAHLING</v>
      </c>
      <c r="E352" s="38" t="s">
        <v>303</v>
      </c>
      <c r="F352" s="38" t="s">
        <v>195</v>
      </c>
      <c r="G352" s="49" t="str">
        <f t="shared" si="1"/>
        <v>57410</v>
      </c>
      <c r="H352" s="49">
        <f t="shared" si="2"/>
        <v>57561</v>
      </c>
    </row>
    <row r="353">
      <c r="A353" s="48" t="s">
        <v>879</v>
      </c>
      <c r="B353" s="38">
        <v>24359.0</v>
      </c>
      <c r="C353" s="38" t="s">
        <v>880</v>
      </c>
      <c r="D353" s="38" t="str">
        <f>IFERROR(__xludf.DUMMYFUNCTION("REGEXREPLACE(C353,""-\d+(.*)|--\d+(.*)"","""")"),"SADILLAC")</f>
        <v>SADILLAC</v>
      </c>
      <c r="E353" s="38" t="s">
        <v>261</v>
      </c>
      <c r="F353" s="38" t="s">
        <v>252</v>
      </c>
      <c r="G353" s="49" t="str">
        <f t="shared" si="1"/>
        <v>24500</v>
      </c>
      <c r="H353" s="49">
        <f t="shared" si="2"/>
        <v>24359</v>
      </c>
    </row>
    <row r="354">
      <c r="A354" s="48" t="s">
        <v>881</v>
      </c>
      <c r="B354" s="38">
        <v>25255.0</v>
      </c>
      <c r="C354" s="38" t="s">
        <v>882</v>
      </c>
      <c r="D354" s="38" t="str">
        <f>IFERROR(__xludf.DUMMYFUNCTION("REGEXREPLACE(C354,""-\d+(.*)|--\d+(.*)"","""")"),"FOURNET-BLANCHEROCHE")</f>
        <v>FOURNET-BLANCHEROCHE</v>
      </c>
      <c r="E354" s="38" t="s">
        <v>213</v>
      </c>
      <c r="F354" s="38" t="s">
        <v>214</v>
      </c>
      <c r="G354" s="49" t="str">
        <f t="shared" si="1"/>
        <v>25140</v>
      </c>
      <c r="H354" s="49">
        <f t="shared" si="2"/>
        <v>25255</v>
      </c>
    </row>
    <row r="355">
      <c r="A355" s="48" t="s">
        <v>883</v>
      </c>
      <c r="B355" s="38">
        <v>71504.0</v>
      </c>
      <c r="C355" s="38" t="s">
        <v>884</v>
      </c>
      <c r="D355" s="38" t="str">
        <f>IFERROR(__xludf.DUMMYFUNCTION("REGEXREPLACE(C355,""-\d+(.*)|--\d+(.*)"","""")"),"SAUNIERES")</f>
        <v>SAUNIERES</v>
      </c>
      <c r="E355" s="38" t="s">
        <v>344</v>
      </c>
      <c r="F355" s="38" t="s">
        <v>106</v>
      </c>
      <c r="G355" s="49" t="str">
        <f t="shared" si="1"/>
        <v>71350</v>
      </c>
      <c r="H355" s="49">
        <f t="shared" si="2"/>
        <v>71504</v>
      </c>
    </row>
    <row r="356">
      <c r="A356" s="48" t="s">
        <v>885</v>
      </c>
      <c r="B356" s="38">
        <v>71286.0</v>
      </c>
      <c r="C356" s="38" t="s">
        <v>886</v>
      </c>
      <c r="D356" s="38" t="str">
        <f>IFERROR(__xludf.DUMMYFUNCTION("REGEXREPLACE(C356,""-\d+(.*)|--\d+(.*)"","""")"),"MARY")</f>
        <v>MARY</v>
      </c>
      <c r="E356" s="38" t="s">
        <v>344</v>
      </c>
      <c r="F356" s="38" t="s">
        <v>106</v>
      </c>
      <c r="G356" s="49" t="str">
        <f t="shared" si="1"/>
        <v>71300</v>
      </c>
      <c r="H356" s="49">
        <f t="shared" si="2"/>
        <v>71286</v>
      </c>
    </row>
    <row r="357">
      <c r="A357" s="48" t="s">
        <v>887</v>
      </c>
      <c r="B357" s="38">
        <v>62608.0</v>
      </c>
      <c r="C357" s="38" t="s">
        <v>888</v>
      </c>
      <c r="D357" s="38" t="str">
        <f>IFERROR(__xludf.DUMMYFUNCTION("REGEXREPLACE(C357,""-\d+(.*)|--\d+(.*)"","""")"),"NEUVILLE-BOURJONVAL")</f>
        <v>NEUVILLE-BOURJONVAL</v>
      </c>
      <c r="E357" s="38" t="s">
        <v>109</v>
      </c>
      <c r="F357" s="38" t="s">
        <v>86</v>
      </c>
      <c r="G357" s="49" t="str">
        <f t="shared" si="1"/>
        <v>62124</v>
      </c>
      <c r="H357" s="49">
        <f t="shared" si="2"/>
        <v>62608</v>
      </c>
    </row>
    <row r="358">
      <c r="A358" s="48" t="s">
        <v>889</v>
      </c>
      <c r="B358" s="38">
        <v>30136.0</v>
      </c>
      <c r="C358" s="38" t="s">
        <v>890</v>
      </c>
      <c r="D358" s="38" t="str">
        <f>IFERROR(__xludf.DUMMYFUNCTION("REGEXREPLACE(C358,""-\d+(.*)|--\d+(.*)"","""")"),"JUNAS")</f>
        <v>JUNAS</v>
      </c>
      <c r="E358" s="38" t="s">
        <v>526</v>
      </c>
      <c r="F358" s="38" t="s">
        <v>119</v>
      </c>
      <c r="G358" s="49" t="str">
        <f t="shared" si="1"/>
        <v>30250</v>
      </c>
      <c r="H358" s="49">
        <f t="shared" si="2"/>
        <v>30136</v>
      </c>
    </row>
    <row r="359">
      <c r="A359" s="48" t="s">
        <v>891</v>
      </c>
      <c r="B359" s="38">
        <v>66043.0</v>
      </c>
      <c r="C359" s="38" t="s">
        <v>892</v>
      </c>
      <c r="D359" s="38" t="str">
        <f>IFERROR(__xludf.DUMMYFUNCTION("REGEXREPLACE(C359,""-\d+(.*)|--\d+(.*)"","""")"),"CASTEIL")</f>
        <v>CASTEIL</v>
      </c>
      <c r="E359" s="38" t="s">
        <v>248</v>
      </c>
      <c r="F359" s="38" t="s">
        <v>119</v>
      </c>
      <c r="G359" s="49" t="str">
        <f t="shared" si="1"/>
        <v>66820</v>
      </c>
      <c r="H359" s="49">
        <f t="shared" si="2"/>
        <v>66043</v>
      </c>
    </row>
    <row r="360">
      <c r="A360" s="48" t="s">
        <v>893</v>
      </c>
      <c r="B360" s="38">
        <v>91182.0</v>
      </c>
      <c r="C360" s="38" t="s">
        <v>894</v>
      </c>
      <c r="D360" s="38" t="str">
        <f>IFERROR(__xludf.DUMMYFUNCTION("REGEXREPLACE(C360,""-\d+(.*)|--\d+(.*)"","""")"),"COURCOURONNES")</f>
        <v>COURCOURONNES</v>
      </c>
      <c r="E360" s="38" t="s">
        <v>756</v>
      </c>
      <c r="F360" s="38" t="s">
        <v>245</v>
      </c>
      <c r="G360" s="49" t="str">
        <f t="shared" si="1"/>
        <v>91080</v>
      </c>
      <c r="H360" s="49">
        <f t="shared" si="2"/>
        <v>91182</v>
      </c>
    </row>
    <row r="361">
      <c r="A361" s="48" t="s">
        <v>895</v>
      </c>
      <c r="B361" s="38">
        <v>87086.0</v>
      </c>
      <c r="C361" s="38" t="s">
        <v>896</v>
      </c>
      <c r="D361" s="38" t="str">
        <f>IFERROR(__xludf.DUMMYFUNCTION("REGEXREPLACE(C361,""-\d+(.*)|--\d+(.*)"","""")"),"LINARDS")</f>
        <v>LINARDS</v>
      </c>
      <c r="E361" s="38" t="s">
        <v>897</v>
      </c>
      <c r="F361" s="38" t="s">
        <v>98</v>
      </c>
      <c r="G361" s="49" t="str">
        <f t="shared" si="1"/>
        <v>87130</v>
      </c>
      <c r="H361" s="49">
        <f t="shared" si="2"/>
        <v>87086</v>
      </c>
    </row>
    <row r="362">
      <c r="A362" s="48" t="s">
        <v>898</v>
      </c>
      <c r="B362" s="38">
        <v>54178.0</v>
      </c>
      <c r="C362" s="38" t="s">
        <v>899</v>
      </c>
      <c r="D362" s="38" t="str">
        <f>IFERROR(__xludf.DUMMYFUNCTION("REGEXREPLACE(C362,""-\d+(.*)|--\d+(.*)"","""")"),"EPIEZ-SUR-CHIERS")</f>
        <v>EPIEZ-SUR-CHIERS</v>
      </c>
      <c r="E362" s="38" t="s">
        <v>548</v>
      </c>
      <c r="F362" s="38" t="s">
        <v>195</v>
      </c>
      <c r="G362" s="49" t="str">
        <f t="shared" si="1"/>
        <v>54260</v>
      </c>
      <c r="H362" s="49">
        <f t="shared" si="2"/>
        <v>54178</v>
      </c>
    </row>
    <row r="363">
      <c r="A363" s="48" t="s">
        <v>900</v>
      </c>
      <c r="B363" s="38">
        <v>12219.0</v>
      </c>
      <c r="C363" s="38" t="s">
        <v>901</v>
      </c>
      <c r="D363" s="38" t="str">
        <f>IFERROR(__xludf.DUMMYFUNCTION("REGEXREPLACE(C363,""-\d+(.*)|--\d+(.*)"","""")"),"SAINTE-EULALIE-D'OLT")</f>
        <v>SAINTE-EULALIE-D'OLT</v>
      </c>
      <c r="E363" s="38" t="s">
        <v>465</v>
      </c>
      <c r="F363" s="38" t="s">
        <v>94</v>
      </c>
      <c r="G363" s="49" t="str">
        <f t="shared" si="1"/>
        <v>12130</v>
      </c>
      <c r="H363" s="49">
        <f t="shared" si="2"/>
        <v>12219</v>
      </c>
    </row>
    <row r="364">
      <c r="A364" s="48" t="s">
        <v>902</v>
      </c>
      <c r="B364" s="38">
        <v>21605.0</v>
      </c>
      <c r="C364" s="38" t="s">
        <v>903</v>
      </c>
      <c r="D364" s="38" t="str">
        <f>IFERROR(__xludf.DUMMYFUNCTION("REGEXREPLACE(C364,""-\d+(.*)|--\d+(.*)"","""")"),"SENNECEY-LES-DIJON")</f>
        <v>SENNECEY-LES-DIJON</v>
      </c>
      <c r="E364" s="38" t="s">
        <v>105</v>
      </c>
      <c r="F364" s="38" t="s">
        <v>106</v>
      </c>
      <c r="G364" s="49" t="str">
        <f t="shared" si="1"/>
        <v>21800</v>
      </c>
      <c r="H364" s="49">
        <f t="shared" si="2"/>
        <v>21605</v>
      </c>
    </row>
    <row r="365">
      <c r="A365" s="48" t="s">
        <v>904</v>
      </c>
      <c r="B365" s="38">
        <v>69135.0</v>
      </c>
      <c r="C365" s="38" t="s">
        <v>905</v>
      </c>
      <c r="D365" s="38" t="str">
        <f>IFERROR(__xludf.DUMMYFUNCTION("REGEXREPLACE(C365,""-\d+(.*)|--\d+(.*)"","""")"),"MONSOLS")</f>
        <v>MONSOLS</v>
      </c>
      <c r="E365" s="38" t="s">
        <v>350</v>
      </c>
      <c r="F365" s="38" t="s">
        <v>102</v>
      </c>
      <c r="G365" s="49" t="str">
        <f t="shared" si="1"/>
        <v>69860</v>
      </c>
      <c r="H365" s="49">
        <f t="shared" si="2"/>
        <v>69135</v>
      </c>
    </row>
    <row r="366">
      <c r="A366" s="48" t="s">
        <v>906</v>
      </c>
      <c r="B366" s="38">
        <v>59041.0</v>
      </c>
      <c r="C366" s="38" t="s">
        <v>907</v>
      </c>
      <c r="D366" s="38" t="str">
        <f>IFERROR(__xludf.DUMMYFUNCTION("REGEXREPLACE(C366,""-\d+(.*)|--\d+(.*)"","""")"),"BACHANT")</f>
        <v>BACHANT</v>
      </c>
      <c r="E366" s="38" t="s">
        <v>85</v>
      </c>
      <c r="F366" s="38" t="s">
        <v>86</v>
      </c>
      <c r="G366" s="49" t="str">
        <f t="shared" si="1"/>
        <v>59138</v>
      </c>
      <c r="H366" s="49">
        <f t="shared" si="2"/>
        <v>59041</v>
      </c>
    </row>
    <row r="367">
      <c r="A367" s="48" t="s">
        <v>908</v>
      </c>
      <c r="B367" s="38">
        <v>41126.0</v>
      </c>
      <c r="C367" s="38" t="s">
        <v>909</v>
      </c>
      <c r="D367" s="38" t="str">
        <f>IFERROR(__xludf.DUMMYFUNCTION("REGEXREPLACE(C367,""-\d+(.*)|--\d+(.*)"","""")"),"MAREUIL-SUR-CHER")</f>
        <v>MAREUIL-SUR-CHER</v>
      </c>
      <c r="E367" s="38" t="s">
        <v>188</v>
      </c>
      <c r="F367" s="38" t="s">
        <v>123</v>
      </c>
      <c r="G367" s="49" t="str">
        <f t="shared" si="1"/>
        <v>41110</v>
      </c>
      <c r="H367" s="49">
        <f t="shared" si="2"/>
        <v>41126</v>
      </c>
    </row>
    <row r="368">
      <c r="A368" s="48" t="s">
        <v>910</v>
      </c>
      <c r="B368" s="38">
        <v>32182.0</v>
      </c>
      <c r="C368" s="38" t="s">
        <v>911</v>
      </c>
      <c r="D368" s="38" t="str">
        <f>IFERROR(__xludf.DUMMYFUNCTION("REGEXREPLACE(C368,""-\d+(.*)|--\d+(.*)"","""")"),"LAHAS")</f>
        <v>LAHAS</v>
      </c>
      <c r="E368" s="38" t="s">
        <v>440</v>
      </c>
      <c r="F368" s="38" t="s">
        <v>94</v>
      </c>
      <c r="G368" s="49" t="str">
        <f t="shared" si="1"/>
        <v>32130</v>
      </c>
      <c r="H368" s="49">
        <f t="shared" si="2"/>
        <v>32182</v>
      </c>
    </row>
    <row r="369">
      <c r="A369" s="48" t="s">
        <v>912</v>
      </c>
      <c r="B369" s="38">
        <v>82087.0</v>
      </c>
      <c r="C369" s="38" t="s">
        <v>913</v>
      </c>
      <c r="D369" s="38" t="str">
        <f>IFERROR(__xludf.DUMMYFUNCTION("REGEXREPLACE(C369,""-\d+(.*)|--\d+(.*)"","""")"),"LAFRANCAISE")</f>
        <v>LAFRANCAISE</v>
      </c>
      <c r="E369" s="38" t="s">
        <v>570</v>
      </c>
      <c r="F369" s="38" t="s">
        <v>94</v>
      </c>
      <c r="G369" s="49" t="str">
        <f t="shared" si="1"/>
        <v>82130</v>
      </c>
      <c r="H369" s="49">
        <f t="shared" si="2"/>
        <v>82087</v>
      </c>
    </row>
    <row r="370">
      <c r="A370" s="48" t="s">
        <v>914</v>
      </c>
      <c r="B370" s="38">
        <v>35236.0</v>
      </c>
      <c r="C370" s="38" t="s">
        <v>915</v>
      </c>
      <c r="D370" s="38" t="str">
        <f>IFERROR(__xludf.DUMMYFUNCTION("REGEXREPLACE(C370,""-\d+(.*)|--\d+(.*)"","""")"),"REDON")</f>
        <v>REDON</v>
      </c>
      <c r="E370" s="38" t="s">
        <v>347</v>
      </c>
      <c r="F370" s="38" t="s">
        <v>90</v>
      </c>
      <c r="G370" s="49" t="str">
        <f t="shared" si="1"/>
        <v>35600</v>
      </c>
      <c r="H370" s="49">
        <f t="shared" si="2"/>
        <v>35236</v>
      </c>
    </row>
    <row r="371">
      <c r="A371" s="48" t="s">
        <v>916</v>
      </c>
      <c r="B371" s="38">
        <v>76737.0</v>
      </c>
      <c r="C371" s="38" t="s">
        <v>917</v>
      </c>
      <c r="D371" s="38" t="str">
        <f>IFERROR(__xludf.DUMMYFUNCTION("REGEXREPLACE(C371,""-\d+(.*)|--\d+(.*)"","""")"),"VIBEUF")</f>
        <v>VIBEUF</v>
      </c>
      <c r="E371" s="38" t="s">
        <v>133</v>
      </c>
      <c r="F371" s="38" t="s">
        <v>134</v>
      </c>
      <c r="G371" s="49" t="str">
        <f t="shared" si="1"/>
        <v>76760</v>
      </c>
      <c r="H371" s="49">
        <f t="shared" si="2"/>
        <v>76737</v>
      </c>
    </row>
    <row r="372">
      <c r="A372" s="48" t="s">
        <v>918</v>
      </c>
      <c r="B372" s="38">
        <v>59399.0</v>
      </c>
      <c r="C372" s="38" t="s">
        <v>919</v>
      </c>
      <c r="D372" s="38" t="str">
        <f>IFERROR(__xludf.DUMMYFUNCTION("REGEXREPLACE(C372,""-\d+(.*)|--\d+(.*)"","""")"),"MERRIS")</f>
        <v>MERRIS</v>
      </c>
      <c r="E372" s="38" t="s">
        <v>85</v>
      </c>
      <c r="F372" s="38" t="s">
        <v>86</v>
      </c>
      <c r="G372" s="49" t="str">
        <f t="shared" si="1"/>
        <v>59270</v>
      </c>
      <c r="H372" s="49">
        <f t="shared" si="2"/>
        <v>59399</v>
      </c>
    </row>
    <row r="373">
      <c r="A373" s="48" t="s">
        <v>920</v>
      </c>
      <c r="B373" s="38">
        <v>31270.0</v>
      </c>
      <c r="C373" s="38" t="s">
        <v>921</v>
      </c>
      <c r="D373" s="38" t="str">
        <f>IFERROR(__xludf.DUMMYFUNCTION("REGEXREPLACE(C373,""-\d+(.*)|--\d+(.*)"","""")"),"LANDORTHE")</f>
        <v>LANDORTHE</v>
      </c>
      <c r="E373" s="38" t="s">
        <v>93</v>
      </c>
      <c r="F373" s="38" t="s">
        <v>94</v>
      </c>
      <c r="G373" s="49" t="str">
        <f t="shared" si="1"/>
        <v>31800</v>
      </c>
      <c r="H373" s="49">
        <f t="shared" si="2"/>
        <v>31270</v>
      </c>
    </row>
    <row r="374">
      <c r="A374" s="48" t="s">
        <v>922</v>
      </c>
      <c r="B374" s="38">
        <v>76185.0</v>
      </c>
      <c r="C374" s="38" t="s">
        <v>923</v>
      </c>
      <c r="D374" s="38" t="str">
        <f>IFERROR(__xludf.DUMMYFUNCTION("REGEXREPLACE(C374,""-\d+(.*)|--\d+(.*)"","""")"),"COMPAINVILLE")</f>
        <v>COMPAINVILLE</v>
      </c>
      <c r="E374" s="38" t="s">
        <v>133</v>
      </c>
      <c r="F374" s="38" t="s">
        <v>134</v>
      </c>
      <c r="G374" s="49" t="str">
        <f t="shared" si="1"/>
        <v>76440</v>
      </c>
      <c r="H374" s="49">
        <f t="shared" si="2"/>
        <v>76185</v>
      </c>
    </row>
    <row r="375">
      <c r="A375" s="48" t="s">
        <v>924</v>
      </c>
      <c r="B375" s="38">
        <v>40180.0</v>
      </c>
      <c r="C375" s="38" t="s">
        <v>925</v>
      </c>
      <c r="D375" s="38" t="str">
        <f>IFERROR(__xludf.DUMMYFUNCTION("REGEXREPLACE(C375,""-\d+(.*)|--\d+(.*)"","""")"),"MEILHAN")</f>
        <v>MEILHAN</v>
      </c>
      <c r="E375" s="38" t="s">
        <v>281</v>
      </c>
      <c r="F375" s="38" t="s">
        <v>252</v>
      </c>
      <c r="G375" s="49" t="str">
        <f t="shared" si="1"/>
        <v>40400</v>
      </c>
      <c r="H375" s="49">
        <f t="shared" si="2"/>
        <v>40180</v>
      </c>
    </row>
    <row r="376">
      <c r="A376" s="48" t="s">
        <v>926</v>
      </c>
      <c r="B376" s="38">
        <v>43019.0</v>
      </c>
      <c r="C376" s="38" t="s">
        <v>927</v>
      </c>
      <c r="D376" s="38" t="str">
        <f>IFERROR(__xludf.DUMMYFUNCTION("REGEXREPLACE(C376,""-\d+(.*)|--\d+(.*)"","""")"),"BARGES")</f>
        <v>BARGES</v>
      </c>
      <c r="E376" s="38" t="s">
        <v>332</v>
      </c>
      <c r="F376" s="38" t="s">
        <v>161</v>
      </c>
      <c r="G376" s="49" t="str">
        <f t="shared" si="1"/>
        <v>43340</v>
      </c>
      <c r="H376" s="49">
        <f t="shared" si="2"/>
        <v>43019</v>
      </c>
    </row>
    <row r="377">
      <c r="A377" s="48" t="s">
        <v>928</v>
      </c>
      <c r="B377" s="38">
        <v>38293.0</v>
      </c>
      <c r="C377" s="38" t="s">
        <v>929</v>
      </c>
      <c r="D377" s="38" t="str">
        <f>IFERROR(__xludf.DUMMYFUNCTION("REGEXREPLACE(C377,""-\d+(.*)|--\d+(.*)"","""")"),"PANISSAGE")</f>
        <v>PANISSAGE</v>
      </c>
      <c r="E377" s="38" t="s">
        <v>101</v>
      </c>
      <c r="F377" s="38" t="s">
        <v>102</v>
      </c>
      <c r="G377" s="49" t="str">
        <f t="shared" si="1"/>
        <v>38730</v>
      </c>
      <c r="H377" s="49">
        <f t="shared" si="2"/>
        <v>38293</v>
      </c>
    </row>
    <row r="378">
      <c r="A378" s="48" t="s">
        <v>930</v>
      </c>
      <c r="B378" s="38">
        <v>32262.0</v>
      </c>
      <c r="C378" s="38" t="s">
        <v>931</v>
      </c>
      <c r="D378" s="38" t="str">
        <f>IFERROR(__xludf.DUMMYFUNCTION("REGEXREPLACE(C378,""-\d+(.*)|--\d+(.*)"","""")"),"MONBRUN")</f>
        <v>MONBRUN</v>
      </c>
      <c r="E378" s="38" t="s">
        <v>440</v>
      </c>
      <c r="F378" s="38" t="s">
        <v>94</v>
      </c>
      <c r="G378" s="49" t="str">
        <f t="shared" si="1"/>
        <v>32600</v>
      </c>
      <c r="H378" s="49">
        <f t="shared" si="2"/>
        <v>32262</v>
      </c>
    </row>
    <row r="379">
      <c r="A379" s="48" t="s">
        <v>932</v>
      </c>
      <c r="B379" s="38">
        <v>17071.0</v>
      </c>
      <c r="C379" s="38" t="s">
        <v>933</v>
      </c>
      <c r="D379" s="38" t="str">
        <f>IFERROR(__xludf.DUMMYFUNCTION("REGEXREPLACE(C379,""-\d+(.*)|--\d+(.*)"","""")"),"LA BROUSSE")</f>
        <v>LA BROUSSE</v>
      </c>
      <c r="E379" s="38" t="s">
        <v>488</v>
      </c>
      <c r="F379" s="38" t="s">
        <v>338</v>
      </c>
      <c r="G379" s="49" t="str">
        <f t="shared" si="1"/>
        <v>17160</v>
      </c>
      <c r="H379" s="49">
        <f t="shared" si="2"/>
        <v>17071</v>
      </c>
    </row>
    <row r="380">
      <c r="A380" s="48" t="s">
        <v>934</v>
      </c>
      <c r="B380" s="38">
        <v>49174.0</v>
      </c>
      <c r="C380" s="38" t="s">
        <v>935</v>
      </c>
      <c r="D380" s="38" t="str">
        <f>IFERROR(__xludf.DUMMYFUNCTION("REGEXREPLACE(C380,""-\d+(.*)|--\d+(.*)"","""")"),"LEZIGNE")</f>
        <v>LEZIGNE</v>
      </c>
      <c r="E380" s="38" t="s">
        <v>653</v>
      </c>
      <c r="F380" s="38" t="s">
        <v>180</v>
      </c>
      <c r="G380" s="49" t="str">
        <f t="shared" si="1"/>
        <v>49430</v>
      </c>
      <c r="H380" s="49">
        <f t="shared" si="2"/>
        <v>49174</v>
      </c>
    </row>
    <row r="381">
      <c r="A381" s="48" t="s">
        <v>936</v>
      </c>
      <c r="B381" s="38">
        <v>59547.0</v>
      </c>
      <c r="C381" s="38" t="s">
        <v>937</v>
      </c>
      <c r="D381" s="38" t="str">
        <f>IFERROR(__xludf.DUMMYFUNCTION("REGEXREPLACE(C381,""-\d+(.*)|--\d+(.*)"","""")"),"SAINT-VAAST-EN-CAMBRESIS")</f>
        <v>SAINT-VAAST-EN-CAMBRESIS</v>
      </c>
      <c r="E381" s="38" t="s">
        <v>85</v>
      </c>
      <c r="F381" s="38" t="s">
        <v>86</v>
      </c>
      <c r="G381" s="49" t="str">
        <f t="shared" si="1"/>
        <v>59188</v>
      </c>
      <c r="H381" s="49">
        <f t="shared" si="2"/>
        <v>59547</v>
      </c>
    </row>
    <row r="382">
      <c r="A382" s="48" t="s">
        <v>938</v>
      </c>
      <c r="B382" s="38">
        <v>9205.0</v>
      </c>
      <c r="C382" s="38" t="s">
        <v>939</v>
      </c>
      <c r="D382" s="38" t="str">
        <f>IFERROR(__xludf.DUMMYFUNCTION("REGEXREPLACE(C382,""-\d+(.*)|--\d+(.*)"","""")"),"MONTFA")</f>
        <v>MONTFA</v>
      </c>
      <c r="E382" s="38" t="s">
        <v>238</v>
      </c>
      <c r="F382" s="38" t="s">
        <v>94</v>
      </c>
      <c r="G382" s="49" t="str">
        <f t="shared" si="1"/>
        <v>09350</v>
      </c>
      <c r="H382" s="49" t="str">
        <f t="shared" si="2"/>
        <v>09205</v>
      </c>
    </row>
    <row r="383">
      <c r="A383" s="48" t="s">
        <v>940</v>
      </c>
      <c r="B383" s="38">
        <v>51294.0</v>
      </c>
      <c r="C383" s="38" t="s">
        <v>941</v>
      </c>
      <c r="D383" s="38" t="str">
        <f>IFERROR(__xludf.DUMMYFUNCTION("REGEXREPLACE(C383,""-\d+(.*)|--\d+(.*)"","""")"),"HOURGES")</f>
        <v>HOURGES</v>
      </c>
      <c r="E383" s="38" t="s">
        <v>129</v>
      </c>
      <c r="F383" s="38" t="s">
        <v>130</v>
      </c>
      <c r="G383" s="49" t="str">
        <f t="shared" si="1"/>
        <v>51140</v>
      </c>
      <c r="H383" s="49">
        <f t="shared" si="2"/>
        <v>51294</v>
      </c>
    </row>
    <row r="384">
      <c r="A384" s="48" t="s">
        <v>942</v>
      </c>
      <c r="B384" s="38">
        <v>2593.0</v>
      </c>
      <c r="C384" s="38" t="s">
        <v>943</v>
      </c>
      <c r="D384" s="38" t="str">
        <f>IFERROR(__xludf.DUMMYFUNCTION("REGEXREPLACE(C384,""-\d+(.*)|--\d+(.*)"","""")"),"PASLY")</f>
        <v>PASLY</v>
      </c>
      <c r="E384" s="38" t="s">
        <v>191</v>
      </c>
      <c r="F384" s="38" t="s">
        <v>113</v>
      </c>
      <c r="G384" s="49" t="str">
        <f t="shared" si="1"/>
        <v>02200</v>
      </c>
      <c r="H384" s="49" t="str">
        <f t="shared" si="2"/>
        <v>02593</v>
      </c>
    </row>
    <row r="385">
      <c r="A385" s="48" t="s">
        <v>944</v>
      </c>
      <c r="B385" s="38">
        <v>61497.0</v>
      </c>
      <c r="C385" s="38" t="s">
        <v>945</v>
      </c>
      <c r="D385" s="38" t="str">
        <f>IFERROR(__xludf.DUMMYFUNCTION("REGEXREPLACE(C385,""-\d+(.*)|--\d+(.*)"","""")"),"VALFRAMBERT")</f>
        <v>VALFRAMBERT</v>
      </c>
      <c r="E385" s="38" t="s">
        <v>141</v>
      </c>
      <c r="F385" s="38" t="s">
        <v>138</v>
      </c>
      <c r="G385" s="49" t="str">
        <f t="shared" si="1"/>
        <v>61250</v>
      </c>
      <c r="H385" s="49">
        <f t="shared" si="2"/>
        <v>61497</v>
      </c>
    </row>
    <row r="386">
      <c r="A386" s="48" t="s">
        <v>946</v>
      </c>
      <c r="B386" s="38">
        <v>81199.0</v>
      </c>
      <c r="C386" s="38" t="s">
        <v>947</v>
      </c>
      <c r="D386" s="38" t="str">
        <f>IFERROR(__xludf.DUMMYFUNCTION("REGEXREPLACE(C386,""-\d+(.*)|--\d+(.*)"","""")"),"PADIES")</f>
        <v>PADIES</v>
      </c>
      <c r="E386" s="38" t="s">
        <v>231</v>
      </c>
      <c r="F386" s="38" t="s">
        <v>94</v>
      </c>
      <c r="G386" s="49" t="str">
        <f t="shared" si="1"/>
        <v>81340</v>
      </c>
      <c r="H386" s="49">
        <f t="shared" si="2"/>
        <v>81199</v>
      </c>
    </row>
    <row r="387">
      <c r="A387" s="48" t="s">
        <v>948</v>
      </c>
      <c r="B387" s="38">
        <v>68200.0</v>
      </c>
      <c r="C387" s="38" t="s">
        <v>949</v>
      </c>
      <c r="D387" s="38" t="str">
        <f>IFERROR(__xludf.DUMMYFUNCTION("REGEXREPLACE(C387,""-\d+(.*)|--\d+(.*)"","""")"),"MANSPACH")</f>
        <v>MANSPACH</v>
      </c>
      <c r="E387" s="38" t="s">
        <v>150</v>
      </c>
      <c r="F387" s="38" t="s">
        <v>151</v>
      </c>
      <c r="G387" s="49" t="str">
        <f t="shared" si="1"/>
        <v>68210</v>
      </c>
      <c r="H387" s="49">
        <f t="shared" si="2"/>
        <v>68200</v>
      </c>
    </row>
    <row r="388">
      <c r="A388" s="48" t="s">
        <v>950</v>
      </c>
      <c r="B388" s="38">
        <v>95680.0</v>
      </c>
      <c r="C388" s="38" t="s">
        <v>951</v>
      </c>
      <c r="D388" s="38" t="str">
        <f>IFERROR(__xludf.DUMMYFUNCTION("REGEXREPLACE(C388,""-\d+(.*)|--\d+(.*)"","""")"),"VILLIERS-LE-BEL")</f>
        <v>VILLIERS-LE-BEL</v>
      </c>
      <c r="E388" s="38" t="s">
        <v>541</v>
      </c>
      <c r="F388" s="38" t="s">
        <v>245</v>
      </c>
      <c r="G388" s="49" t="str">
        <f t="shared" si="1"/>
        <v>95400</v>
      </c>
      <c r="H388" s="49">
        <f t="shared" si="2"/>
        <v>95680</v>
      </c>
    </row>
    <row r="389">
      <c r="A389" s="48" t="s">
        <v>952</v>
      </c>
      <c r="B389" s="38">
        <v>82066.0</v>
      </c>
      <c r="C389" s="38" t="s">
        <v>953</v>
      </c>
      <c r="D389" s="38" t="str">
        <f>IFERROR(__xludf.DUMMYFUNCTION("REGEXREPLACE(C389,""-\d+(.*)|--\d+(.*)"","""")"),"GENEBRIERES")</f>
        <v>GENEBRIERES</v>
      </c>
      <c r="E389" s="38" t="s">
        <v>570</v>
      </c>
      <c r="F389" s="38" t="s">
        <v>94</v>
      </c>
      <c r="G389" s="49" t="str">
        <f t="shared" si="1"/>
        <v>82230</v>
      </c>
      <c r="H389" s="49">
        <f t="shared" si="2"/>
        <v>82066</v>
      </c>
    </row>
    <row r="390">
      <c r="A390" s="48" t="s">
        <v>954</v>
      </c>
      <c r="B390" s="38">
        <v>70148.0</v>
      </c>
      <c r="C390" s="38" t="s">
        <v>955</v>
      </c>
      <c r="D390" s="38" t="str">
        <f>IFERROR(__xludf.DUMMYFUNCTION("REGEXREPLACE(C390,""-\d+(.*)|--\d+(.*)"","""")"),"CHEMILLY")</f>
        <v>CHEMILLY</v>
      </c>
      <c r="E390" s="38" t="s">
        <v>956</v>
      </c>
      <c r="F390" s="38" t="s">
        <v>214</v>
      </c>
      <c r="G390" s="49" t="str">
        <f t="shared" si="1"/>
        <v>70360</v>
      </c>
      <c r="H390" s="49">
        <f t="shared" si="2"/>
        <v>70148</v>
      </c>
    </row>
    <row r="391">
      <c r="A391" s="48" t="s">
        <v>436</v>
      </c>
      <c r="B391" s="38">
        <v>51219.0</v>
      </c>
      <c r="C391" s="38" t="s">
        <v>957</v>
      </c>
      <c r="D391" s="38" t="str">
        <f>IFERROR(__xludf.DUMMYFUNCTION("REGEXREPLACE(C391,""-\d+(.*)|--\d+(.*)"","""")"),"DROSNAY")</f>
        <v>DROSNAY</v>
      </c>
      <c r="E391" s="38" t="s">
        <v>129</v>
      </c>
      <c r="F391" s="38" t="s">
        <v>130</v>
      </c>
      <c r="G391" s="49" t="str">
        <f t="shared" si="1"/>
        <v>51290</v>
      </c>
      <c r="H391" s="49">
        <f t="shared" si="2"/>
        <v>51219</v>
      </c>
    </row>
    <row r="392">
      <c r="A392" s="48" t="s">
        <v>958</v>
      </c>
      <c r="B392" s="38">
        <v>71307.0</v>
      </c>
      <c r="C392" s="38" t="s">
        <v>959</v>
      </c>
      <c r="D392" s="38" t="str">
        <f>IFERROR(__xludf.DUMMYFUNCTION("REGEXREPLACE(C392,""-\d+(.*)|--\d+(.*)"","""")"),"MONTCEAUX-L'ETOILE")</f>
        <v>MONTCEAUX-L'ETOILE</v>
      </c>
      <c r="E392" s="38" t="s">
        <v>344</v>
      </c>
      <c r="F392" s="38" t="s">
        <v>106</v>
      </c>
      <c r="G392" s="49" t="str">
        <f t="shared" si="1"/>
        <v>71110</v>
      </c>
      <c r="H392" s="49">
        <f t="shared" si="2"/>
        <v>71307</v>
      </c>
    </row>
    <row r="393">
      <c r="A393" s="48" t="s">
        <v>960</v>
      </c>
      <c r="B393" s="38">
        <v>28332.0</v>
      </c>
      <c r="C393" s="38" t="s">
        <v>961</v>
      </c>
      <c r="D393" s="38" t="str">
        <f>IFERROR(__xludf.DUMMYFUNCTION("REGEXREPLACE(C393,""-\d+(.*)|--\d+(.*)"","""")"),"SAINTE-GEMME-MORONVAL")</f>
        <v>SAINTE-GEMME-MORONVAL</v>
      </c>
      <c r="E393" s="38" t="s">
        <v>300</v>
      </c>
      <c r="F393" s="38" t="s">
        <v>123</v>
      </c>
      <c r="G393" s="49" t="str">
        <f t="shared" si="1"/>
        <v>28500</v>
      </c>
      <c r="H393" s="49">
        <f t="shared" si="2"/>
        <v>28332</v>
      </c>
    </row>
    <row r="394">
      <c r="A394" s="48" t="s">
        <v>962</v>
      </c>
      <c r="B394" s="38">
        <v>24213.0</v>
      </c>
      <c r="C394" s="38" t="s">
        <v>963</v>
      </c>
      <c r="D394" s="38" t="str">
        <f>IFERROR(__xludf.DUMMYFUNCTION("REGEXREPLACE(C394,""-\d+(.*)|--\d+(.*)"","""")"),"JAURE")</f>
        <v>JAURE</v>
      </c>
      <c r="E394" s="38" t="s">
        <v>261</v>
      </c>
      <c r="F394" s="38" t="s">
        <v>252</v>
      </c>
      <c r="G394" s="49" t="str">
        <f t="shared" si="1"/>
        <v>24140</v>
      </c>
      <c r="H394" s="49">
        <f t="shared" si="2"/>
        <v>24213</v>
      </c>
    </row>
    <row r="395">
      <c r="A395" s="48" t="s">
        <v>964</v>
      </c>
      <c r="B395" s="38">
        <v>71193.0</v>
      </c>
      <c r="C395" s="38" t="s">
        <v>965</v>
      </c>
      <c r="D395" s="38" t="str">
        <f>IFERROR(__xludf.DUMMYFUNCTION("REGEXREPLACE(C395,""-\d+(.*)|--\d+(.*)"","""")"),"ETRIGNY")</f>
        <v>ETRIGNY</v>
      </c>
      <c r="E395" s="38" t="s">
        <v>344</v>
      </c>
      <c r="F395" s="38" t="s">
        <v>106</v>
      </c>
      <c r="G395" s="49" t="str">
        <f t="shared" si="1"/>
        <v>71240</v>
      </c>
      <c r="H395" s="49">
        <f t="shared" si="2"/>
        <v>71193</v>
      </c>
    </row>
    <row r="396">
      <c r="A396" s="48" t="s">
        <v>966</v>
      </c>
      <c r="B396" s="38">
        <v>70443.0</v>
      </c>
      <c r="C396" s="38" t="s">
        <v>967</v>
      </c>
      <c r="D396" s="38" t="str">
        <f>IFERROR(__xludf.DUMMYFUNCTION("REGEXREPLACE(C396,""-\d+(.*)|--\d+(.*)"","""")"),"LA GRANDE-RESIE")</f>
        <v>LA GRANDE-RESIE</v>
      </c>
      <c r="E396" s="38" t="s">
        <v>956</v>
      </c>
      <c r="F396" s="38" t="s">
        <v>214</v>
      </c>
      <c r="G396" s="49" t="str">
        <f t="shared" si="1"/>
        <v>70140</v>
      </c>
      <c r="H396" s="49">
        <f t="shared" si="2"/>
        <v>70443</v>
      </c>
    </row>
    <row r="397">
      <c r="A397" s="48" t="s">
        <v>968</v>
      </c>
      <c r="B397" s="38">
        <v>16401.0</v>
      </c>
      <c r="C397" s="38" t="s">
        <v>969</v>
      </c>
      <c r="D397" s="38" t="str">
        <f>IFERROR(__xludf.DUMMYFUNCTION("REGEXREPLACE(C397,""-\d+(.*)|--\d+(.*)"","""")"),"VERVANT")</f>
        <v>VERVANT</v>
      </c>
      <c r="E397" s="38" t="s">
        <v>429</v>
      </c>
      <c r="F397" s="38" t="s">
        <v>338</v>
      </c>
      <c r="G397" s="49" t="str">
        <f t="shared" si="1"/>
        <v>16330</v>
      </c>
      <c r="H397" s="49">
        <f t="shared" si="2"/>
        <v>16401</v>
      </c>
    </row>
    <row r="398">
      <c r="A398" s="48" t="s">
        <v>970</v>
      </c>
      <c r="B398" s="38">
        <v>2384.0</v>
      </c>
      <c r="C398" s="38" t="s">
        <v>971</v>
      </c>
      <c r="D398" s="38" t="str">
        <f>IFERROR(__xludf.DUMMYFUNCTION("REGEXREPLACE(C398,""-\d+(.*)|--\d+(.*)"","""")"),"HOURY")</f>
        <v>HOURY</v>
      </c>
      <c r="E398" s="38" t="s">
        <v>191</v>
      </c>
      <c r="F398" s="38" t="s">
        <v>113</v>
      </c>
      <c r="G398" s="49" t="str">
        <f t="shared" si="1"/>
        <v>02140</v>
      </c>
      <c r="H398" s="49" t="str">
        <f t="shared" si="2"/>
        <v>02384</v>
      </c>
    </row>
    <row r="399">
      <c r="A399" s="48" t="s">
        <v>972</v>
      </c>
      <c r="B399" s="38">
        <v>37212.0</v>
      </c>
      <c r="C399" s="38" t="s">
        <v>973</v>
      </c>
      <c r="D399" s="38" t="str">
        <f>IFERROR(__xludf.DUMMYFUNCTION("REGEXREPLACE(C399,""-\d+(.*)|--\d+(.*)"","""")"),"SAINTE-CATHERINE-DE-FIERBOIS")</f>
        <v>SAINTE-CATHERINE-DE-FIERBOIS</v>
      </c>
      <c r="E399" s="38" t="s">
        <v>205</v>
      </c>
      <c r="F399" s="38" t="s">
        <v>123</v>
      </c>
      <c r="G399" s="49" t="str">
        <f t="shared" si="1"/>
        <v>37800</v>
      </c>
      <c r="H399" s="49">
        <f t="shared" si="2"/>
        <v>37212</v>
      </c>
    </row>
    <row r="400">
      <c r="A400" s="48" t="s">
        <v>974</v>
      </c>
      <c r="B400" s="38">
        <v>83121.0</v>
      </c>
      <c r="C400" s="38" t="s">
        <v>975</v>
      </c>
      <c r="D400" s="38" t="str">
        <f>IFERROR(__xludf.DUMMYFUNCTION("REGEXREPLACE(C400,""-\d+(.*)|--\d+(.*)"","""")"),"SALERNES")</f>
        <v>SALERNES</v>
      </c>
      <c r="E400" s="38" t="s">
        <v>813</v>
      </c>
      <c r="F400" s="38" t="s">
        <v>228</v>
      </c>
      <c r="G400" s="49" t="str">
        <f t="shared" si="1"/>
        <v>83690</v>
      </c>
      <c r="H400" s="49">
        <f t="shared" si="2"/>
        <v>83121</v>
      </c>
    </row>
    <row r="401">
      <c r="A401" s="48" t="s">
        <v>976</v>
      </c>
      <c r="B401" s="38">
        <v>38306.0</v>
      </c>
      <c r="C401" s="38" t="s">
        <v>977</v>
      </c>
      <c r="D401" s="38" t="str">
        <f>IFERROR(__xludf.DUMMYFUNCTION("REGEXREPLACE(C401,""-\d+(.*)|--\d+(.*)"","""")"),"PINSOT")</f>
        <v>PINSOT</v>
      </c>
      <c r="E401" s="38" t="s">
        <v>101</v>
      </c>
      <c r="F401" s="38" t="s">
        <v>102</v>
      </c>
      <c r="G401" s="49" t="str">
        <f t="shared" si="1"/>
        <v>38580</v>
      </c>
      <c r="H401" s="49">
        <f t="shared" si="2"/>
        <v>38306</v>
      </c>
    </row>
    <row r="402">
      <c r="A402" s="48" t="s">
        <v>978</v>
      </c>
      <c r="B402" s="38">
        <v>13039.0</v>
      </c>
      <c r="C402" s="38" t="s">
        <v>979</v>
      </c>
      <c r="D402" s="38" t="str">
        <f>IFERROR(__xludf.DUMMYFUNCTION("REGEXREPLACE(C402,""-\d+(.*)|--\d+(.*)"","""")"),"FOS-SUR-MER")</f>
        <v>FOS-SUR-MER</v>
      </c>
      <c r="E402" s="38" t="s">
        <v>980</v>
      </c>
      <c r="F402" s="38" t="s">
        <v>228</v>
      </c>
      <c r="G402" s="49" t="str">
        <f t="shared" si="1"/>
        <v>13270</v>
      </c>
      <c r="H402" s="49">
        <f t="shared" si="2"/>
        <v>13039</v>
      </c>
    </row>
    <row r="403">
      <c r="A403" s="48" t="s">
        <v>981</v>
      </c>
      <c r="B403" s="38">
        <v>24270.0</v>
      </c>
      <c r="C403" s="38" t="s">
        <v>982</v>
      </c>
      <c r="D403" s="38" t="str">
        <f>IFERROR(__xludf.DUMMYFUNCTION("REGEXREPLACE(C403,""-\d+(.*)|--\d+(.*)"","""")"),"MILHAC-D'AUBEROCHE")</f>
        <v>MILHAC-D'AUBEROCHE</v>
      </c>
      <c r="E403" s="38" t="s">
        <v>261</v>
      </c>
      <c r="F403" s="38" t="s">
        <v>252</v>
      </c>
      <c r="G403" s="49" t="str">
        <f t="shared" si="1"/>
        <v>24330</v>
      </c>
      <c r="H403" s="49">
        <f t="shared" si="2"/>
        <v>24270</v>
      </c>
    </row>
    <row r="404">
      <c r="A404" s="48" t="s">
        <v>983</v>
      </c>
      <c r="B404" s="38">
        <v>52463.0</v>
      </c>
      <c r="C404" s="38" t="s">
        <v>984</v>
      </c>
      <c r="D404" s="38" t="str">
        <f>IFERROR(__xludf.DUMMYFUNCTION("REGEXREPLACE(C404,""-\d+(.*)|--\d+(.*)"","""")"),"SAUDRON")</f>
        <v>SAUDRON</v>
      </c>
      <c r="E404" s="38" t="s">
        <v>234</v>
      </c>
      <c r="F404" s="38" t="s">
        <v>130</v>
      </c>
      <c r="G404" s="49" t="str">
        <f t="shared" si="1"/>
        <v>52230</v>
      </c>
      <c r="H404" s="49">
        <f t="shared" si="2"/>
        <v>52463</v>
      </c>
    </row>
    <row r="405">
      <c r="A405" s="48" t="s">
        <v>985</v>
      </c>
      <c r="B405" s="38">
        <v>13116.0</v>
      </c>
      <c r="C405" s="38" t="s">
        <v>986</v>
      </c>
      <c r="D405" s="38" t="str">
        <f>IFERROR(__xludf.DUMMYFUNCTION("REGEXREPLACE(C405,""-\d+(.*)|--\d+(.*)"","""")"),"VERQUIERES")</f>
        <v>VERQUIERES</v>
      </c>
      <c r="E405" s="38" t="s">
        <v>980</v>
      </c>
      <c r="F405" s="38" t="s">
        <v>228</v>
      </c>
      <c r="G405" s="49" t="str">
        <f t="shared" si="1"/>
        <v>13670</v>
      </c>
      <c r="H405" s="49">
        <f t="shared" si="2"/>
        <v>13116</v>
      </c>
    </row>
    <row r="406">
      <c r="A406" s="48" t="s">
        <v>987</v>
      </c>
      <c r="B406" s="38">
        <v>40022.0</v>
      </c>
      <c r="C406" s="38" t="s">
        <v>988</v>
      </c>
      <c r="D406" s="38" t="str">
        <f>IFERROR(__xludf.DUMMYFUNCTION("REGEXREPLACE(C406,""-\d+(.*)|--\d+(.*)"","""")"),"BAHUS-SOUBIRAN")</f>
        <v>BAHUS-SOUBIRAN</v>
      </c>
      <c r="E406" s="38" t="s">
        <v>281</v>
      </c>
      <c r="F406" s="38" t="s">
        <v>252</v>
      </c>
      <c r="G406" s="49" t="str">
        <f t="shared" si="1"/>
        <v>40320</v>
      </c>
      <c r="H406" s="49">
        <f t="shared" si="2"/>
        <v>40022</v>
      </c>
    </row>
    <row r="407">
      <c r="A407" s="48" t="s">
        <v>989</v>
      </c>
      <c r="B407" s="38">
        <v>59365.0</v>
      </c>
      <c r="C407" s="38" t="s">
        <v>990</v>
      </c>
      <c r="D407" s="38" t="str">
        <f>IFERROR(__xludf.DUMMYFUNCTION("REGEXREPLACE(C407,""-\d+(.*)|--\d+(.*)"","""")"),"LOUVROIL")</f>
        <v>LOUVROIL</v>
      </c>
      <c r="E407" s="38" t="s">
        <v>85</v>
      </c>
      <c r="F407" s="38" t="s">
        <v>86</v>
      </c>
      <c r="G407" s="49" t="str">
        <f t="shared" si="1"/>
        <v>59720</v>
      </c>
      <c r="H407" s="49">
        <f t="shared" si="2"/>
        <v>59365</v>
      </c>
    </row>
    <row r="408">
      <c r="A408" s="48" t="s">
        <v>991</v>
      </c>
      <c r="B408" s="38">
        <v>87140.0</v>
      </c>
      <c r="C408" s="38" t="s">
        <v>992</v>
      </c>
      <c r="D408" s="38" t="str">
        <f>IFERROR(__xludf.DUMMYFUNCTION("REGEXREPLACE(C408,""-\d+(.*)|--\d+(.*)"","""")"),"SAINT-BRICE-SUR-VIENNE")</f>
        <v>SAINT-BRICE-SUR-VIENNE</v>
      </c>
      <c r="E408" s="38" t="s">
        <v>897</v>
      </c>
      <c r="F408" s="38" t="s">
        <v>98</v>
      </c>
      <c r="G408" s="49" t="str">
        <f t="shared" si="1"/>
        <v>87200</v>
      </c>
      <c r="H408" s="49">
        <f t="shared" si="2"/>
        <v>87140</v>
      </c>
    </row>
    <row r="409">
      <c r="A409" s="48" t="s">
        <v>993</v>
      </c>
      <c r="B409" s="38">
        <v>73301.0</v>
      </c>
      <c r="C409" s="38" t="s">
        <v>994</v>
      </c>
      <c r="D409" s="38" t="str">
        <f>IFERROR(__xludf.DUMMYFUNCTION("REGEXREPLACE(C409,""-\d+(.*)|--\d+(.*)"","""")"),"TREVIGNIN")</f>
        <v>TREVIGNIN</v>
      </c>
      <c r="E409" s="38" t="s">
        <v>306</v>
      </c>
      <c r="F409" s="38" t="s">
        <v>102</v>
      </c>
      <c r="G409" s="49" t="str">
        <f t="shared" si="1"/>
        <v>73100</v>
      </c>
      <c r="H409" s="49">
        <f t="shared" si="2"/>
        <v>73301</v>
      </c>
    </row>
    <row r="410">
      <c r="A410" s="48" t="s">
        <v>995</v>
      </c>
      <c r="B410" s="38">
        <v>31120.0</v>
      </c>
      <c r="C410" s="38" t="s">
        <v>996</v>
      </c>
      <c r="D410" s="38" t="str">
        <f>IFERROR(__xludf.DUMMYFUNCTION("REGEXREPLACE(C410,""-\d+(.*)|--\d+(.*)"","""")"),"LE CASTERA")</f>
        <v>LE CASTERA</v>
      </c>
      <c r="E410" s="38" t="s">
        <v>93</v>
      </c>
      <c r="F410" s="38" t="s">
        <v>94</v>
      </c>
      <c r="G410" s="49" t="str">
        <f t="shared" si="1"/>
        <v>31530</v>
      </c>
      <c r="H410" s="49">
        <f t="shared" si="2"/>
        <v>31120</v>
      </c>
    </row>
    <row r="411">
      <c r="A411" s="48" t="s">
        <v>997</v>
      </c>
      <c r="B411" s="38">
        <v>55456.0</v>
      </c>
      <c r="C411" s="38" t="s">
        <v>998</v>
      </c>
      <c r="D411" s="38" t="str">
        <f>IFERROR(__xludf.DUMMYFUNCTION("REGEXREPLACE(C411,""-\d+(.*)|--\d+(.*)"","""")"),"SAINT-GERMAIN-SUR-MEUSE")</f>
        <v>SAINT-GERMAIN-SUR-MEUSE</v>
      </c>
      <c r="E411" s="38" t="s">
        <v>322</v>
      </c>
      <c r="F411" s="38" t="s">
        <v>195</v>
      </c>
      <c r="G411" s="49" t="str">
        <f t="shared" si="1"/>
        <v>55140</v>
      </c>
      <c r="H411" s="49">
        <f t="shared" si="2"/>
        <v>55456</v>
      </c>
    </row>
    <row r="412">
      <c r="A412" s="48" t="s">
        <v>476</v>
      </c>
      <c r="B412" s="38">
        <v>35034.0</v>
      </c>
      <c r="C412" s="38" t="s">
        <v>999</v>
      </c>
      <c r="D412" s="38" t="str">
        <f>IFERROR(__xludf.DUMMYFUNCTION("REGEXREPLACE(C412,""-\d+(.*)|--\d+(.*)"","""")"),"LA BOUSSAC")</f>
        <v>LA BOUSSAC</v>
      </c>
      <c r="E412" s="38" t="s">
        <v>347</v>
      </c>
      <c r="F412" s="38" t="s">
        <v>90</v>
      </c>
      <c r="G412" s="49" t="str">
        <f t="shared" si="1"/>
        <v>35120</v>
      </c>
      <c r="H412" s="49">
        <f t="shared" si="2"/>
        <v>35034</v>
      </c>
    </row>
    <row r="413">
      <c r="A413" s="48" t="s">
        <v>1000</v>
      </c>
      <c r="B413" s="38">
        <v>70564.0</v>
      </c>
      <c r="C413" s="38" t="s">
        <v>1001</v>
      </c>
      <c r="D413" s="38" t="str">
        <f>IFERROR(__xludf.DUMMYFUNCTION("REGEXREPLACE(C413,""-\d+(.*)|--\d+(.*)"","""")"),"VILLERS-LES-LUXEUIL")</f>
        <v>VILLERS-LES-LUXEUIL</v>
      </c>
      <c r="E413" s="38" t="s">
        <v>956</v>
      </c>
      <c r="F413" s="38" t="s">
        <v>214</v>
      </c>
      <c r="G413" s="49" t="str">
        <f t="shared" si="1"/>
        <v>70300</v>
      </c>
      <c r="H413" s="49">
        <f t="shared" si="2"/>
        <v>70564</v>
      </c>
    </row>
    <row r="414">
      <c r="A414" s="48" t="s">
        <v>1002</v>
      </c>
      <c r="B414" s="38">
        <v>46207.0</v>
      </c>
      <c r="C414" s="38" t="s">
        <v>1003</v>
      </c>
      <c r="D414" s="38" t="str">
        <f>IFERROR(__xludf.DUMMYFUNCTION("REGEXREPLACE(C414,""-\d+(.*)|--\d+(.*)"","""")"),"MONTREDON")</f>
        <v>MONTREDON</v>
      </c>
      <c r="E414" s="38" t="s">
        <v>185</v>
      </c>
      <c r="F414" s="38" t="s">
        <v>94</v>
      </c>
      <c r="G414" s="49" t="str">
        <f t="shared" si="1"/>
        <v>46270</v>
      </c>
      <c r="H414" s="49">
        <f t="shared" si="2"/>
        <v>46207</v>
      </c>
    </row>
    <row r="415">
      <c r="A415" s="48" t="s">
        <v>1004</v>
      </c>
      <c r="B415" s="38">
        <v>71100.0</v>
      </c>
      <c r="C415" s="38" t="s">
        <v>1005</v>
      </c>
      <c r="D415" s="38" t="str">
        <f>IFERROR(__xludf.DUMMYFUNCTION("REGEXREPLACE(C415,""-\d+(.*)|--\d+(.*)"","""")"),"CHARDONNAY")</f>
        <v>CHARDONNAY</v>
      </c>
      <c r="E415" s="38" t="s">
        <v>344</v>
      </c>
      <c r="F415" s="38" t="s">
        <v>106</v>
      </c>
      <c r="G415" s="49" t="str">
        <f t="shared" si="1"/>
        <v>71700</v>
      </c>
      <c r="H415" s="49">
        <f t="shared" si="2"/>
        <v>71100</v>
      </c>
    </row>
    <row r="416">
      <c r="A416" s="48" t="s">
        <v>1006</v>
      </c>
      <c r="B416" s="38">
        <v>16060.0</v>
      </c>
      <c r="C416" s="38" t="s">
        <v>1007</v>
      </c>
      <c r="D416" s="38" t="str">
        <f>IFERROR(__xludf.DUMMYFUNCTION("REGEXREPLACE(C416,""-\d+(.*)|--\d+(.*)"","""")"),"BREVILLE")</f>
        <v>BREVILLE</v>
      </c>
      <c r="E416" s="38" t="s">
        <v>429</v>
      </c>
      <c r="F416" s="38" t="s">
        <v>338</v>
      </c>
      <c r="G416" s="49" t="str">
        <f t="shared" si="1"/>
        <v>16370</v>
      </c>
      <c r="H416" s="49">
        <f t="shared" si="2"/>
        <v>16060</v>
      </c>
    </row>
    <row r="417">
      <c r="A417" s="48" t="s">
        <v>1008</v>
      </c>
      <c r="B417" s="38">
        <v>2703.0</v>
      </c>
      <c r="C417" s="38" t="s">
        <v>1009</v>
      </c>
      <c r="D417" s="38" t="str">
        <f>IFERROR(__xludf.DUMMYFUNCTION("REGEXREPLACE(C417,""-\d+(.*)|--\d+(.*)"","""")"),"SEBONCOURT")</f>
        <v>SEBONCOURT</v>
      </c>
      <c r="E417" s="38" t="s">
        <v>191</v>
      </c>
      <c r="F417" s="38" t="s">
        <v>113</v>
      </c>
      <c r="G417" s="49" t="str">
        <f t="shared" si="1"/>
        <v>02110</v>
      </c>
      <c r="H417" s="49" t="str">
        <f t="shared" si="2"/>
        <v>02703</v>
      </c>
    </row>
    <row r="418">
      <c r="A418" s="48" t="s">
        <v>1010</v>
      </c>
      <c r="B418" s="38">
        <v>27057.0</v>
      </c>
      <c r="C418" s="38" t="s">
        <v>1011</v>
      </c>
      <c r="D418" s="38" t="str">
        <f>IFERROR(__xludf.DUMMYFUNCTION("REGEXREPLACE(C418,""-\d+(.*)|--\d+(.*)"","""")"),"BERNIENVILLE")</f>
        <v>BERNIENVILLE</v>
      </c>
      <c r="E418" s="38" t="s">
        <v>241</v>
      </c>
      <c r="F418" s="38" t="s">
        <v>134</v>
      </c>
      <c r="G418" s="49" t="str">
        <f t="shared" si="1"/>
        <v>27180</v>
      </c>
      <c r="H418" s="49">
        <f t="shared" si="2"/>
        <v>27057</v>
      </c>
    </row>
    <row r="419">
      <c r="A419" s="48" t="s">
        <v>1012</v>
      </c>
      <c r="B419" s="38">
        <v>21463.0</v>
      </c>
      <c r="C419" s="38" t="s">
        <v>1013</v>
      </c>
      <c r="D419" s="38" t="str">
        <f>IFERROR(__xludf.DUMMYFUNCTION("REGEXREPLACE(C419,""-\d+(.*)|--\d+(.*)"","""")"),"NORMIER")</f>
        <v>NORMIER</v>
      </c>
      <c r="E419" s="38" t="s">
        <v>105</v>
      </c>
      <c r="F419" s="38" t="s">
        <v>106</v>
      </c>
      <c r="G419" s="49" t="str">
        <f t="shared" si="1"/>
        <v>21390</v>
      </c>
      <c r="H419" s="49">
        <f t="shared" si="2"/>
        <v>21463</v>
      </c>
    </row>
    <row r="420">
      <c r="A420" s="48" t="s">
        <v>1014</v>
      </c>
      <c r="B420" s="38">
        <v>11318.0</v>
      </c>
      <c r="C420" s="38" t="s">
        <v>1015</v>
      </c>
      <c r="D420" s="38" t="str">
        <f>IFERROR(__xludf.DUMMYFUNCTION("REGEXREPLACE(C420,""-\d+(.*)|--\d+(.*)"","""")"),"ROQUECOURBE-MINERVOIS")</f>
        <v>ROQUECOURBE-MINERVOIS</v>
      </c>
      <c r="E420" s="38" t="s">
        <v>278</v>
      </c>
      <c r="F420" s="38" t="s">
        <v>119</v>
      </c>
      <c r="G420" s="49" t="str">
        <f t="shared" si="1"/>
        <v>11700</v>
      </c>
      <c r="H420" s="49">
        <f t="shared" si="2"/>
        <v>11318</v>
      </c>
    </row>
    <row r="421">
      <c r="A421" s="48" t="s">
        <v>1016</v>
      </c>
      <c r="B421" s="38">
        <v>28339.0</v>
      </c>
      <c r="C421" s="38" t="s">
        <v>1017</v>
      </c>
      <c r="D421" s="38" t="str">
        <f>IFERROR(__xludf.DUMMYFUNCTION("REGEXREPLACE(C421,""-\d+(.*)|--\d+(.*)"","""")"),"SAINT-GERMAIN-LE-GAILLARD")</f>
        <v>SAINT-GERMAIN-LE-GAILLARD</v>
      </c>
      <c r="E421" s="38" t="s">
        <v>300</v>
      </c>
      <c r="F421" s="38" t="s">
        <v>123</v>
      </c>
      <c r="G421" s="49" t="str">
        <f t="shared" si="1"/>
        <v>28190</v>
      </c>
      <c r="H421" s="49">
        <f t="shared" si="2"/>
        <v>28339</v>
      </c>
    </row>
    <row r="422">
      <c r="A422" s="48" t="s">
        <v>1018</v>
      </c>
      <c r="B422" s="38">
        <v>60367.0</v>
      </c>
      <c r="C422" s="38" t="s">
        <v>1019</v>
      </c>
      <c r="D422" s="38" t="str">
        <f>IFERROR(__xludf.DUMMYFUNCTION("REGEXREPLACE(C422,""-\d+(.*)|--\d+(.*)"","""")"),"LOCONVILLE")</f>
        <v>LOCONVILLE</v>
      </c>
      <c r="E422" s="38" t="s">
        <v>112</v>
      </c>
      <c r="F422" s="38" t="s">
        <v>113</v>
      </c>
      <c r="G422" s="49" t="str">
        <f t="shared" si="1"/>
        <v>60240</v>
      </c>
      <c r="H422" s="49">
        <f t="shared" si="2"/>
        <v>60367</v>
      </c>
    </row>
    <row r="423">
      <c r="A423" s="48" t="s">
        <v>1020</v>
      </c>
      <c r="B423" s="38">
        <v>1029.0</v>
      </c>
      <c r="C423" s="38" t="s">
        <v>1021</v>
      </c>
      <c r="D423" s="38" t="str">
        <f>IFERROR(__xludf.DUMMYFUNCTION("REGEXREPLACE(C423,""-\d+(.*)|--\d+(.*)"","""")"),"BEAUPONT")</f>
        <v>BEAUPONT</v>
      </c>
      <c r="E423" s="38" t="s">
        <v>255</v>
      </c>
      <c r="F423" s="38" t="s">
        <v>102</v>
      </c>
      <c r="G423" s="49" t="str">
        <f t="shared" si="1"/>
        <v>01270</v>
      </c>
      <c r="H423" s="49" t="str">
        <f t="shared" si="2"/>
        <v>01029</v>
      </c>
    </row>
    <row r="424">
      <c r="A424" s="48" t="s">
        <v>1022</v>
      </c>
      <c r="B424" s="38">
        <v>2494.0</v>
      </c>
      <c r="C424" s="38" t="s">
        <v>1023</v>
      </c>
      <c r="D424" s="38" t="str">
        <f>IFERROR(__xludf.DUMMYFUNCTION("REGEXREPLACE(C424,""-\d+(.*)|--\d+(.*)"","""")"),"MONCEAU-SUR-OISE")</f>
        <v>MONCEAU-SUR-OISE</v>
      </c>
      <c r="E424" s="38" t="s">
        <v>191</v>
      </c>
      <c r="F424" s="38" t="s">
        <v>113</v>
      </c>
      <c r="G424" s="49" t="str">
        <f t="shared" si="1"/>
        <v>02120</v>
      </c>
      <c r="H424" s="49" t="str">
        <f t="shared" si="2"/>
        <v>02494</v>
      </c>
    </row>
    <row r="425">
      <c r="A425" s="48" t="s">
        <v>1024</v>
      </c>
      <c r="B425" s="38">
        <v>84010.0</v>
      </c>
      <c r="C425" s="38" t="s">
        <v>1025</v>
      </c>
      <c r="D425" s="38" t="str">
        <f>IFERROR(__xludf.DUMMYFUNCTION("REGEXREPLACE(C425,""-\d+(.*)|--\d+(.*)"","""")"),"LA BASTIDONNE")</f>
        <v>LA BASTIDONNE</v>
      </c>
      <c r="E425" s="38" t="s">
        <v>1026</v>
      </c>
      <c r="F425" s="38" t="s">
        <v>228</v>
      </c>
      <c r="G425" s="49" t="str">
        <f t="shared" si="1"/>
        <v>84120</v>
      </c>
      <c r="H425" s="49">
        <f t="shared" si="2"/>
        <v>84010</v>
      </c>
    </row>
    <row r="426">
      <c r="A426" s="48" t="s">
        <v>1027</v>
      </c>
      <c r="B426" s="38">
        <v>1009.0</v>
      </c>
      <c r="C426" s="38" t="s">
        <v>1028</v>
      </c>
      <c r="D426" s="38" t="str">
        <f>IFERROR(__xludf.DUMMYFUNCTION("REGEXREPLACE(C426,""-\d+(.*)|--\d+(.*)"","""")"),"ANDERT-ET-CONDON")</f>
        <v>ANDERT-ET-CONDON</v>
      </c>
      <c r="E426" s="38" t="s">
        <v>255</v>
      </c>
      <c r="F426" s="38" t="s">
        <v>102</v>
      </c>
      <c r="G426" s="49" t="str">
        <f t="shared" si="1"/>
        <v>01300</v>
      </c>
      <c r="H426" s="49" t="str">
        <f t="shared" si="2"/>
        <v>01009</v>
      </c>
    </row>
    <row r="427">
      <c r="A427" s="48" t="s">
        <v>1029</v>
      </c>
      <c r="B427" s="38">
        <v>9135.0</v>
      </c>
      <c r="C427" s="38" t="s">
        <v>1030</v>
      </c>
      <c r="D427" s="38" t="str">
        <f>IFERROR(__xludf.DUMMYFUNCTION("REGEXREPLACE(C427,""-\d+(.*)|--\d+(.*)"","""")"),"GOULIER")</f>
        <v>GOULIER</v>
      </c>
      <c r="E427" s="38" t="s">
        <v>238</v>
      </c>
      <c r="F427" s="38" t="s">
        <v>94</v>
      </c>
      <c r="G427" s="49" t="str">
        <f t="shared" si="1"/>
        <v>09220</v>
      </c>
      <c r="H427" s="49" t="str">
        <f t="shared" si="2"/>
        <v>09135</v>
      </c>
    </row>
    <row r="428">
      <c r="A428" s="48" t="s">
        <v>1031</v>
      </c>
      <c r="B428" s="38">
        <v>2765.0</v>
      </c>
      <c r="C428" s="38" t="s">
        <v>1032</v>
      </c>
      <c r="D428" s="38" t="str">
        <f>IFERROR(__xludf.DUMMYFUNCTION("REGEXREPLACE(C428,""-\d+(.*)|--\d+(.*)"","""")"),"VAUCELLES-ET-BEFFECOURT")</f>
        <v>VAUCELLES-ET-BEFFECOURT</v>
      </c>
      <c r="E428" s="38" t="s">
        <v>191</v>
      </c>
      <c r="F428" s="38" t="s">
        <v>113</v>
      </c>
      <c r="G428" s="49" t="str">
        <f t="shared" si="1"/>
        <v>02000</v>
      </c>
      <c r="H428" s="49" t="str">
        <f t="shared" si="2"/>
        <v>02765</v>
      </c>
    </row>
    <row r="429">
      <c r="A429" s="48" t="s">
        <v>1033</v>
      </c>
      <c r="B429" s="38">
        <v>67542.0</v>
      </c>
      <c r="C429" s="38" t="s">
        <v>1034</v>
      </c>
      <c r="D429" s="38" t="str">
        <f>IFERROR(__xludf.DUMMYFUNCTION("REGEXREPLACE(C429,""-\d+(.*)|--\d+(.*)"","""")"),"WINTZENHEIM-KOCHERSBERG")</f>
        <v>WINTZENHEIM-KOCHERSBERG</v>
      </c>
      <c r="E429" s="38" t="s">
        <v>210</v>
      </c>
      <c r="F429" s="38" t="s">
        <v>151</v>
      </c>
      <c r="G429" s="49" t="str">
        <f t="shared" si="1"/>
        <v>67370</v>
      </c>
      <c r="H429" s="49">
        <f t="shared" si="2"/>
        <v>67542</v>
      </c>
    </row>
    <row r="430">
      <c r="A430" s="48" t="s">
        <v>783</v>
      </c>
      <c r="B430" s="38">
        <v>12136.0</v>
      </c>
      <c r="C430" s="38" t="s">
        <v>1035</v>
      </c>
      <c r="D430" s="38" t="str">
        <f>IFERROR(__xludf.DUMMYFUNCTION("REGEXREPLACE(C430,""-\d+(.*)|--\d+(.*)"","""")"),"MALEVILLE")</f>
        <v>MALEVILLE</v>
      </c>
      <c r="E430" s="38" t="s">
        <v>465</v>
      </c>
      <c r="F430" s="38" t="s">
        <v>94</v>
      </c>
      <c r="G430" s="49" t="str">
        <f t="shared" si="1"/>
        <v>12350</v>
      </c>
      <c r="H430" s="49">
        <f t="shared" si="2"/>
        <v>12136</v>
      </c>
    </row>
    <row r="431">
      <c r="A431" s="48" t="s">
        <v>1036</v>
      </c>
      <c r="B431" s="38">
        <v>57236.0</v>
      </c>
      <c r="C431" s="38" t="s">
        <v>1037</v>
      </c>
      <c r="D431" s="38" t="str">
        <f>IFERROR(__xludf.DUMMYFUNCTION("REGEXREPLACE(C431,""-\d+(.*)|--\d+(.*)"","""")"),"FREMERY")</f>
        <v>FREMERY</v>
      </c>
      <c r="E431" s="38" t="s">
        <v>303</v>
      </c>
      <c r="F431" s="38" t="s">
        <v>195</v>
      </c>
      <c r="G431" s="49" t="str">
        <f t="shared" si="1"/>
        <v>57590</v>
      </c>
      <c r="H431" s="49">
        <f t="shared" si="2"/>
        <v>57236</v>
      </c>
    </row>
    <row r="432">
      <c r="A432" s="48" t="s">
        <v>1038</v>
      </c>
      <c r="B432" s="38">
        <v>50108.0</v>
      </c>
      <c r="C432" s="38" t="s">
        <v>1039</v>
      </c>
      <c r="D432" s="38" t="str">
        <f>IFERROR(__xludf.DUMMYFUNCTION("REGEXREPLACE(C432,""-\d+(.*)|--\d+(.*)"","""")"),"CEAUX")</f>
        <v>CEAUX</v>
      </c>
      <c r="E432" s="38" t="s">
        <v>157</v>
      </c>
      <c r="F432" s="38" t="s">
        <v>138</v>
      </c>
      <c r="G432" s="49" t="str">
        <f t="shared" si="1"/>
        <v>50220</v>
      </c>
      <c r="H432" s="49">
        <f t="shared" si="2"/>
        <v>50108</v>
      </c>
    </row>
    <row r="433">
      <c r="A433" s="48" t="s">
        <v>1040</v>
      </c>
      <c r="B433" s="38">
        <v>62601.0</v>
      </c>
      <c r="C433" s="38" t="s">
        <v>1041</v>
      </c>
      <c r="D433" s="38" t="str">
        <f>IFERROR(__xludf.DUMMYFUNCTION("REGEXREPLACE(C433,""-\d+(.*)|--\d+(.*)"","""")"),"NEDONCHEL")</f>
        <v>NEDONCHEL</v>
      </c>
      <c r="E433" s="38" t="s">
        <v>109</v>
      </c>
      <c r="F433" s="38" t="s">
        <v>86</v>
      </c>
      <c r="G433" s="49" t="str">
        <f t="shared" si="1"/>
        <v>62550</v>
      </c>
      <c r="H433" s="49">
        <f t="shared" si="2"/>
        <v>62601</v>
      </c>
    </row>
    <row r="434">
      <c r="A434" s="48" t="s">
        <v>1042</v>
      </c>
      <c r="B434" s="38">
        <v>60587.0</v>
      </c>
      <c r="C434" s="38" t="s">
        <v>1043</v>
      </c>
      <c r="D434" s="38" t="str">
        <f>IFERROR(__xludf.DUMMYFUNCTION("REGEXREPLACE(C434,""-\d+(.*)|--\d+(.*)"","""")"),"SAINT-MARTIN-LONGUEAU")</f>
        <v>SAINT-MARTIN-LONGUEAU</v>
      </c>
      <c r="E434" s="38" t="s">
        <v>112</v>
      </c>
      <c r="F434" s="38" t="s">
        <v>113</v>
      </c>
      <c r="G434" s="49" t="str">
        <f t="shared" si="1"/>
        <v>60700</v>
      </c>
      <c r="H434" s="49">
        <f t="shared" si="2"/>
        <v>60587</v>
      </c>
    </row>
    <row r="435">
      <c r="A435" s="48" t="s">
        <v>1044</v>
      </c>
      <c r="B435" s="38">
        <v>63142.0</v>
      </c>
      <c r="C435" s="38" t="s">
        <v>1045</v>
      </c>
      <c r="D435" s="38" t="str">
        <f>IFERROR(__xludf.DUMMYFUNCTION("REGEXREPLACE(C435,""-\d+(.*)|--\d+(.*)"","""")"),"ECHANDELYS")</f>
        <v>ECHANDELYS</v>
      </c>
      <c r="E435" s="38" t="s">
        <v>353</v>
      </c>
      <c r="F435" s="38" t="s">
        <v>161</v>
      </c>
      <c r="G435" s="49" t="str">
        <f t="shared" si="1"/>
        <v>63980</v>
      </c>
      <c r="H435" s="49">
        <f t="shared" si="2"/>
        <v>63142</v>
      </c>
    </row>
    <row r="436">
      <c r="A436" s="48" t="s">
        <v>1046</v>
      </c>
      <c r="B436" s="38">
        <v>26128.0</v>
      </c>
      <c r="C436" s="38" t="s">
        <v>1047</v>
      </c>
      <c r="D436" s="38" t="str">
        <f>IFERROR(__xludf.DUMMYFUNCTION("REGEXREPLACE(C436,""-\d+(.*)|--\d+(.*)"","""")"),"EYGLUY-ESCOULIN")</f>
        <v>EYGLUY-ESCOULIN</v>
      </c>
      <c r="E436" s="38" t="s">
        <v>126</v>
      </c>
      <c r="F436" s="38" t="s">
        <v>102</v>
      </c>
      <c r="G436" s="49" t="str">
        <f t="shared" si="1"/>
        <v>26400</v>
      </c>
      <c r="H436" s="49">
        <f t="shared" si="2"/>
        <v>26128</v>
      </c>
    </row>
    <row r="437">
      <c r="A437" s="48" t="s">
        <v>1048</v>
      </c>
      <c r="B437" s="38">
        <v>24140.0</v>
      </c>
      <c r="C437" s="38" t="s">
        <v>1049</v>
      </c>
      <c r="D437" s="38" t="str">
        <f>IFERROR(__xludf.DUMMYFUNCTION("REGEXREPLACE(C437,""-\d+(.*)|--\d+(.*)"","""")"),"COURS-DE-PILE")</f>
        <v>COURS-DE-PILE</v>
      </c>
      <c r="E437" s="38" t="s">
        <v>261</v>
      </c>
      <c r="F437" s="38" t="s">
        <v>252</v>
      </c>
      <c r="G437" s="49" t="str">
        <f t="shared" si="1"/>
        <v>24520</v>
      </c>
      <c r="H437" s="49">
        <f t="shared" si="2"/>
        <v>24140</v>
      </c>
    </row>
    <row r="438">
      <c r="A438" s="48" t="s">
        <v>1050</v>
      </c>
      <c r="B438" s="38">
        <v>78190.0</v>
      </c>
      <c r="C438" s="38" t="s">
        <v>1051</v>
      </c>
      <c r="D438" s="38" t="str">
        <f>IFERROR(__xludf.DUMMYFUNCTION("REGEXREPLACE(C438,""-\d+(.*)|--\d+(.*)"","""")"),"CROISSY-SUR-SEINE")</f>
        <v>CROISSY-SUR-SEINE</v>
      </c>
      <c r="E438" s="38" t="s">
        <v>362</v>
      </c>
      <c r="F438" s="38" t="s">
        <v>245</v>
      </c>
      <c r="G438" s="49" t="str">
        <f t="shared" si="1"/>
        <v>78290</v>
      </c>
      <c r="H438" s="49">
        <f t="shared" si="2"/>
        <v>78190</v>
      </c>
    </row>
    <row r="439">
      <c r="A439" s="48" t="s">
        <v>1052</v>
      </c>
      <c r="B439" s="38">
        <v>75116.0</v>
      </c>
      <c r="C439" s="38" t="s">
        <v>1053</v>
      </c>
      <c r="D439" s="38" t="str">
        <f>IFERROR(__xludf.DUMMYFUNCTION("REGEXREPLACE(C439,""-\d+(.*)|--\d+(.*)"","""")"),"PARIS")</f>
        <v>PARIS</v>
      </c>
      <c r="E439" s="38" t="s">
        <v>823</v>
      </c>
      <c r="F439" s="38" t="s">
        <v>245</v>
      </c>
      <c r="G439" s="49" t="str">
        <f t="shared" si="1"/>
        <v>75016</v>
      </c>
      <c r="H439" s="49">
        <f t="shared" si="2"/>
        <v>75116</v>
      </c>
    </row>
    <row r="440">
      <c r="A440" s="48" t="s">
        <v>1054</v>
      </c>
      <c r="B440" s="38">
        <v>46228.0</v>
      </c>
      <c r="C440" s="38" t="s">
        <v>1055</v>
      </c>
      <c r="D440" s="38" t="str">
        <f>IFERROR(__xludf.DUMMYFUNCTION("REGEXREPLACE(C440,""-\d+(.*)|--\d+(.*)"","""")"),"PRUDHOMAT")</f>
        <v>PRUDHOMAT</v>
      </c>
      <c r="E440" s="38" t="s">
        <v>185</v>
      </c>
      <c r="F440" s="38" t="s">
        <v>94</v>
      </c>
      <c r="G440" s="49" t="str">
        <f t="shared" si="1"/>
        <v>46130</v>
      </c>
      <c r="H440" s="49">
        <f t="shared" si="2"/>
        <v>46228</v>
      </c>
    </row>
    <row r="441">
      <c r="A441" s="48" t="s">
        <v>1056</v>
      </c>
      <c r="B441" s="38">
        <v>11207.0</v>
      </c>
      <c r="C441" s="38" t="s">
        <v>1057</v>
      </c>
      <c r="D441" s="38" t="str">
        <f>IFERROR(__xludf.DUMMYFUNCTION("REGEXREPLACE(C441,""-\d+(.*)|--\d+(.*)"","""")"),"LOUPIA")</f>
        <v>LOUPIA</v>
      </c>
      <c r="E441" s="38" t="s">
        <v>278</v>
      </c>
      <c r="F441" s="38" t="s">
        <v>119</v>
      </c>
      <c r="G441" s="49" t="str">
        <f t="shared" si="1"/>
        <v>11300</v>
      </c>
      <c r="H441" s="49">
        <f t="shared" si="2"/>
        <v>11207</v>
      </c>
    </row>
    <row r="442">
      <c r="A442" s="48" t="s">
        <v>1058</v>
      </c>
      <c r="B442" s="38">
        <v>21475.0</v>
      </c>
      <c r="C442" s="38" t="s">
        <v>1059</v>
      </c>
      <c r="D442" s="38" t="str">
        <f>IFERROR(__xludf.DUMMYFUNCTION("REGEXREPLACE(C442,""-\d+(.*)|--\d+(.*)"","""")"),"PAGNY-LE-CHATEAU")</f>
        <v>PAGNY-LE-CHATEAU</v>
      </c>
      <c r="E442" s="38" t="s">
        <v>105</v>
      </c>
      <c r="F442" s="38" t="s">
        <v>106</v>
      </c>
      <c r="G442" s="49" t="str">
        <f t="shared" si="1"/>
        <v>21250</v>
      </c>
      <c r="H442" s="49">
        <f t="shared" si="2"/>
        <v>21475</v>
      </c>
    </row>
    <row r="443">
      <c r="A443" s="48" t="s">
        <v>1060</v>
      </c>
      <c r="B443" s="38">
        <v>57471.0</v>
      </c>
      <c r="C443" s="38" t="s">
        <v>1061</v>
      </c>
      <c r="D443" s="38" t="str">
        <f>IFERROR(__xludf.DUMMYFUNCTION("REGEXREPLACE(C443,""-\d+(.*)|--\d+(.*)"","""")"),"MOMERSTROFF")</f>
        <v>MOMERSTROFF</v>
      </c>
      <c r="E443" s="38" t="s">
        <v>303</v>
      </c>
      <c r="F443" s="38" t="s">
        <v>195</v>
      </c>
      <c r="G443" s="49" t="str">
        <f t="shared" si="1"/>
        <v>57220</v>
      </c>
      <c r="H443" s="49">
        <f t="shared" si="2"/>
        <v>57471</v>
      </c>
    </row>
    <row r="444">
      <c r="A444" s="48" t="s">
        <v>1054</v>
      </c>
      <c r="B444" s="38">
        <v>46097.0</v>
      </c>
      <c r="C444" s="38" t="s">
        <v>1062</v>
      </c>
      <c r="D444" s="38" t="str">
        <f>IFERROR(__xludf.DUMMYFUNCTION("REGEXREPLACE(C444,""-\d+(.*)|--\d+(.*)"","""")"),"ESTAL")</f>
        <v>ESTAL</v>
      </c>
      <c r="E444" s="38" t="s">
        <v>185</v>
      </c>
      <c r="F444" s="38" t="s">
        <v>94</v>
      </c>
      <c r="G444" s="49" t="str">
        <f t="shared" si="1"/>
        <v>46130</v>
      </c>
      <c r="H444" s="49">
        <f t="shared" si="2"/>
        <v>46097</v>
      </c>
    </row>
    <row r="445">
      <c r="A445" s="48" t="s">
        <v>1063</v>
      </c>
      <c r="B445" s="38" t="s">
        <v>1064</v>
      </c>
      <c r="C445" s="38" t="s">
        <v>1065</v>
      </c>
      <c r="D445" s="38" t="str">
        <f>IFERROR(__xludf.DUMMYFUNCTION("REGEXREPLACE(C445,""-\d+(.*)|--\d+(.*)"","""")"),"CENTURI")</f>
        <v>CENTURI</v>
      </c>
      <c r="E445" s="38" t="s">
        <v>743</v>
      </c>
      <c r="F445" s="38" t="s">
        <v>607</v>
      </c>
      <c r="G445" s="49" t="str">
        <f t="shared" si="1"/>
        <v>20238</v>
      </c>
      <c r="H445" s="49" t="str">
        <f t="shared" si="2"/>
        <v>2B086</v>
      </c>
    </row>
    <row r="446">
      <c r="A446" s="48" t="s">
        <v>1066</v>
      </c>
      <c r="B446" s="38">
        <v>49115.0</v>
      </c>
      <c r="C446" s="38" t="s">
        <v>1067</v>
      </c>
      <c r="D446" s="38" t="str">
        <f>IFERROR(__xludf.DUMMYFUNCTION("REGEXREPLACE(C446,""-\d+(.*)|--\d+(.*)"","""")"),"COUTURES")</f>
        <v>COUTURES</v>
      </c>
      <c r="E446" s="38" t="s">
        <v>653</v>
      </c>
      <c r="F446" s="38" t="s">
        <v>180</v>
      </c>
      <c r="G446" s="49" t="str">
        <f t="shared" si="1"/>
        <v>49320</v>
      </c>
      <c r="H446" s="49">
        <f t="shared" si="2"/>
        <v>49115</v>
      </c>
    </row>
    <row r="447">
      <c r="A447" s="48" t="s">
        <v>1068</v>
      </c>
      <c r="B447" s="38">
        <v>27072.0</v>
      </c>
      <c r="C447" s="38" t="s">
        <v>1069</v>
      </c>
      <c r="D447" s="38" t="str">
        <f>IFERROR(__xludf.DUMMYFUNCTION("REGEXREPLACE(C447,""-\d+(.*)|--\d+(.*)"","""")"),"BOIS-JEROME-SAINT-OUEN")</f>
        <v>BOIS-JEROME-SAINT-OUEN</v>
      </c>
      <c r="E447" s="38" t="s">
        <v>241</v>
      </c>
      <c r="F447" s="38" t="s">
        <v>134</v>
      </c>
      <c r="G447" s="49" t="str">
        <f t="shared" si="1"/>
        <v>27620</v>
      </c>
      <c r="H447" s="49">
        <f t="shared" si="2"/>
        <v>27072</v>
      </c>
    </row>
    <row r="448">
      <c r="A448" s="48" t="s">
        <v>1070</v>
      </c>
      <c r="B448" s="38">
        <v>39382.0</v>
      </c>
      <c r="C448" s="38" t="s">
        <v>1071</v>
      </c>
      <c r="D448" s="38" t="str">
        <f>IFERROR(__xludf.DUMMYFUNCTION("REGEXREPLACE(C448,""-\d+(.*)|--\d+(.*)"","""")"),"NANTEY")</f>
        <v>NANTEY</v>
      </c>
      <c r="E448" s="38" t="s">
        <v>400</v>
      </c>
      <c r="F448" s="38" t="s">
        <v>214</v>
      </c>
      <c r="G448" s="49" t="str">
        <f t="shared" si="1"/>
        <v>39160</v>
      </c>
      <c r="H448" s="49">
        <f t="shared" si="2"/>
        <v>39382</v>
      </c>
    </row>
    <row r="449">
      <c r="A449" s="48" t="s">
        <v>1072</v>
      </c>
      <c r="B449" s="38">
        <v>86237.0</v>
      </c>
      <c r="C449" s="38" t="s">
        <v>1073</v>
      </c>
      <c r="D449" s="38" t="str">
        <f>IFERROR(__xludf.DUMMYFUNCTION("REGEXREPLACE(C449,""-\d+(.*)|--\d+(.*)"","""")"),"SAINT-PIERRE-D'EXIDEUIL")</f>
        <v>SAINT-PIERRE-D'EXIDEUIL</v>
      </c>
      <c r="E449" s="38" t="s">
        <v>529</v>
      </c>
      <c r="F449" s="38" t="s">
        <v>338</v>
      </c>
      <c r="G449" s="49" t="str">
        <f t="shared" si="1"/>
        <v>86400</v>
      </c>
      <c r="H449" s="49">
        <f t="shared" si="2"/>
        <v>86237</v>
      </c>
    </row>
    <row r="450">
      <c r="A450" s="48" t="s">
        <v>1074</v>
      </c>
      <c r="B450" s="38">
        <v>27225.0</v>
      </c>
      <c r="C450" s="38" t="s">
        <v>1075</v>
      </c>
      <c r="D450" s="38" t="str">
        <f>IFERROR(__xludf.DUMMYFUNCTION("REGEXREPLACE(C450,""-\d+(.*)|--\d+(.*)"","""")"),"LES ESSARTS")</f>
        <v>LES ESSARTS</v>
      </c>
      <c r="E450" s="38" t="s">
        <v>241</v>
      </c>
      <c r="F450" s="38" t="s">
        <v>134</v>
      </c>
      <c r="G450" s="49" t="str">
        <f t="shared" si="1"/>
        <v>27240</v>
      </c>
      <c r="H450" s="49">
        <f t="shared" si="2"/>
        <v>27225</v>
      </c>
    </row>
    <row r="451">
      <c r="A451" s="48" t="s">
        <v>839</v>
      </c>
      <c r="B451" s="38">
        <v>62339.0</v>
      </c>
      <c r="C451" s="38" t="s">
        <v>1076</v>
      </c>
      <c r="D451" s="38" t="str">
        <f>IFERROR(__xludf.DUMMYFUNCTION("REGEXREPLACE(C451,""-\d+(.*)|--\d+(.*)"","""")"),"FLEURY")</f>
        <v>FLEURY</v>
      </c>
      <c r="E451" s="38" t="s">
        <v>109</v>
      </c>
      <c r="F451" s="38" t="s">
        <v>86</v>
      </c>
      <c r="G451" s="49" t="str">
        <f t="shared" si="1"/>
        <v>62134</v>
      </c>
      <c r="H451" s="49">
        <f t="shared" si="2"/>
        <v>62339</v>
      </c>
    </row>
    <row r="452">
      <c r="A452" s="48" t="s">
        <v>1077</v>
      </c>
      <c r="B452" s="38">
        <v>25003.0</v>
      </c>
      <c r="C452" s="38" t="s">
        <v>1078</v>
      </c>
      <c r="D452" s="38" t="str">
        <f>IFERROR(__xludf.DUMMYFUNCTION("REGEXREPLACE(C452,""-\d+(.*)|--\d+(.*)"","""")"),"ABBENANS")</f>
        <v>ABBENANS</v>
      </c>
      <c r="E452" s="38" t="s">
        <v>213</v>
      </c>
      <c r="F452" s="38" t="s">
        <v>214</v>
      </c>
      <c r="G452" s="49" t="str">
        <f t="shared" si="1"/>
        <v>25340</v>
      </c>
      <c r="H452" s="49">
        <f t="shared" si="2"/>
        <v>25003</v>
      </c>
    </row>
    <row r="453">
      <c r="A453" s="48" t="s">
        <v>1079</v>
      </c>
      <c r="B453" s="38">
        <v>24127.0</v>
      </c>
      <c r="C453" s="38" t="s">
        <v>1080</v>
      </c>
      <c r="D453" s="38" t="str">
        <f>IFERROR(__xludf.DUMMYFUNCTION("REGEXREPLACE(C453,""-\d+(.*)|--\d+(.*)"","""")"),"COLY")</f>
        <v>COLY</v>
      </c>
      <c r="E453" s="38" t="s">
        <v>261</v>
      </c>
      <c r="F453" s="38" t="s">
        <v>252</v>
      </c>
      <c r="G453" s="49" t="str">
        <f t="shared" si="1"/>
        <v>24120</v>
      </c>
      <c r="H453" s="49">
        <f t="shared" si="2"/>
        <v>24127</v>
      </c>
    </row>
    <row r="454">
      <c r="A454" s="48" t="s">
        <v>1081</v>
      </c>
      <c r="B454" s="38">
        <v>14223.0</v>
      </c>
      <c r="C454" s="38" t="s">
        <v>1082</v>
      </c>
      <c r="D454" s="38" t="str">
        <f>IFERROR(__xludf.DUMMYFUNCTION("REGEXREPLACE(C454,""-\d+(.*)|--\d+(.*)"","""")"),"LE DETROIT")</f>
        <v>LE DETROIT</v>
      </c>
      <c r="E454" s="38" t="s">
        <v>137</v>
      </c>
      <c r="F454" s="38" t="s">
        <v>138</v>
      </c>
      <c r="G454" s="49" t="str">
        <f t="shared" si="1"/>
        <v>14690</v>
      </c>
      <c r="H454" s="49">
        <f t="shared" si="2"/>
        <v>14223</v>
      </c>
    </row>
    <row r="455">
      <c r="A455" s="48" t="s">
        <v>1083</v>
      </c>
      <c r="B455" s="38">
        <v>60048.0</v>
      </c>
      <c r="C455" s="38" t="s">
        <v>1084</v>
      </c>
      <c r="D455" s="38" t="str">
        <f>IFERROR(__xludf.DUMMYFUNCTION("REGEXREPLACE(C455,""-\d+(.*)|--\d+(.*)"","""")"),"BAUGY")</f>
        <v>BAUGY</v>
      </c>
      <c r="E455" s="38" t="s">
        <v>112</v>
      </c>
      <c r="F455" s="38" t="s">
        <v>113</v>
      </c>
      <c r="G455" s="49" t="str">
        <f t="shared" si="1"/>
        <v>60113/60190</v>
      </c>
      <c r="H455" s="49">
        <f t="shared" si="2"/>
        <v>60048</v>
      </c>
    </row>
    <row r="456">
      <c r="A456" s="48" t="s">
        <v>1085</v>
      </c>
      <c r="B456" s="38">
        <v>55154.0</v>
      </c>
      <c r="C456" s="38" t="s">
        <v>1086</v>
      </c>
      <c r="D456" s="38" t="str">
        <f>IFERROR(__xludf.DUMMYFUNCTION("REGEXREPLACE(C456,""-\d+(.*)|--\d+(.*)"","""")"),"DIEUE-SUR-MEUSE")</f>
        <v>DIEUE-SUR-MEUSE</v>
      </c>
      <c r="E456" s="38" t="s">
        <v>322</v>
      </c>
      <c r="F456" s="38" t="s">
        <v>195</v>
      </c>
      <c r="G456" s="49" t="str">
        <f t="shared" si="1"/>
        <v>55320</v>
      </c>
      <c r="H456" s="49">
        <f t="shared" si="2"/>
        <v>55154</v>
      </c>
    </row>
    <row r="457">
      <c r="A457" s="48" t="s">
        <v>1087</v>
      </c>
      <c r="B457" s="38">
        <v>3044.0</v>
      </c>
      <c r="C457" s="38" t="s">
        <v>1088</v>
      </c>
      <c r="D457" s="38" t="str">
        <f>IFERROR(__xludf.DUMMYFUNCTION("REGEXREPLACE(C457,""-\d+(.*)|--\d+(.*)"","""")"),"BRUGHEAS")</f>
        <v>BRUGHEAS</v>
      </c>
      <c r="E457" s="38" t="s">
        <v>160</v>
      </c>
      <c r="F457" s="38" t="s">
        <v>161</v>
      </c>
      <c r="G457" s="49" t="str">
        <f t="shared" si="1"/>
        <v>03700</v>
      </c>
      <c r="H457" s="49" t="str">
        <f t="shared" si="2"/>
        <v>03044</v>
      </c>
    </row>
    <row r="458">
      <c r="A458" s="48" t="s">
        <v>1089</v>
      </c>
      <c r="B458" s="38">
        <v>67386.0</v>
      </c>
      <c r="C458" s="38" t="s">
        <v>1090</v>
      </c>
      <c r="D458" s="38" t="str">
        <f>IFERROR(__xludf.DUMMYFUNCTION("REGEXREPLACE(C458,""-\d+(.*)|--\d+(.*)"","""")"),"RAUWILLER")</f>
        <v>RAUWILLER</v>
      </c>
      <c r="E458" s="38" t="s">
        <v>210</v>
      </c>
      <c r="F458" s="38" t="s">
        <v>151</v>
      </c>
      <c r="G458" s="49" t="str">
        <f t="shared" si="1"/>
        <v>67320</v>
      </c>
      <c r="H458" s="49">
        <f t="shared" si="2"/>
        <v>67386</v>
      </c>
    </row>
    <row r="459">
      <c r="A459" s="48" t="s">
        <v>1091</v>
      </c>
      <c r="B459" s="38">
        <v>57055.0</v>
      </c>
      <c r="C459" s="38" t="s">
        <v>1092</v>
      </c>
      <c r="D459" s="38" t="str">
        <f>IFERROR(__xludf.DUMMYFUNCTION("REGEXREPLACE(C459,""-\d+(.*)|--\d+(.*)"","""")"),"BAZONCOURT")</f>
        <v>BAZONCOURT</v>
      </c>
      <c r="E459" s="38" t="s">
        <v>303</v>
      </c>
      <c r="F459" s="38" t="s">
        <v>195</v>
      </c>
      <c r="G459" s="49" t="str">
        <f t="shared" si="1"/>
        <v>57530</v>
      </c>
      <c r="H459" s="49">
        <f t="shared" si="2"/>
        <v>57055</v>
      </c>
    </row>
    <row r="460">
      <c r="A460" s="48" t="s">
        <v>1093</v>
      </c>
      <c r="B460" s="38">
        <v>62807.0</v>
      </c>
      <c r="C460" s="38" t="s">
        <v>1094</v>
      </c>
      <c r="D460" s="38" t="str">
        <f>IFERROR(__xludf.DUMMYFUNCTION("REGEXREPLACE(C460,""-\d+(.*)|--\d+(.*)"","""")"),"TATINGHEM")</f>
        <v>TATINGHEM</v>
      </c>
      <c r="E460" s="38" t="s">
        <v>109</v>
      </c>
      <c r="F460" s="38" t="s">
        <v>86</v>
      </c>
      <c r="G460" s="49" t="str">
        <f t="shared" si="1"/>
        <v>62500</v>
      </c>
      <c r="H460" s="49">
        <f t="shared" si="2"/>
        <v>62807</v>
      </c>
    </row>
    <row r="461">
      <c r="A461" s="48" t="s">
        <v>131</v>
      </c>
      <c r="B461" s="38">
        <v>76281.0</v>
      </c>
      <c r="C461" s="38" t="s">
        <v>1095</v>
      </c>
      <c r="D461" s="38" t="str">
        <f>IFERROR(__xludf.DUMMYFUNCTION("REGEXREPLACE(C461,""-\d+(.*)|--\d+(.*)"","""")"),"LA FRENAYE")</f>
        <v>LA FRENAYE</v>
      </c>
      <c r="E461" s="38" t="s">
        <v>133</v>
      </c>
      <c r="F461" s="38" t="s">
        <v>134</v>
      </c>
      <c r="G461" s="49" t="str">
        <f t="shared" si="1"/>
        <v>76170</v>
      </c>
      <c r="H461" s="49">
        <f t="shared" si="2"/>
        <v>76281</v>
      </c>
    </row>
    <row r="462">
      <c r="A462" s="48" t="s">
        <v>1096</v>
      </c>
      <c r="B462" s="38">
        <v>63184.0</v>
      </c>
      <c r="C462" s="38" t="s">
        <v>1097</v>
      </c>
      <c r="D462" s="38" t="str">
        <f>IFERROR(__xludf.DUMMYFUNCTION("REGEXREPLACE(C462,""-\d+(.*)|--\d+(.*)"","""")"),"LACHAUX")</f>
        <v>LACHAUX</v>
      </c>
      <c r="E462" s="38" t="s">
        <v>353</v>
      </c>
      <c r="F462" s="38" t="s">
        <v>161</v>
      </c>
      <c r="G462" s="49" t="str">
        <f t="shared" si="1"/>
        <v>63290</v>
      </c>
      <c r="H462" s="49">
        <f t="shared" si="2"/>
        <v>63184</v>
      </c>
    </row>
    <row r="463">
      <c r="A463" s="48" t="s">
        <v>1098</v>
      </c>
      <c r="B463" s="38">
        <v>60670.0</v>
      </c>
      <c r="C463" s="38" t="s">
        <v>1099</v>
      </c>
      <c r="D463" s="38" t="str">
        <f>IFERROR(__xludf.DUMMYFUNCTION("REGEXREPLACE(C463,""-\d+(.*)|--\d+(.*)"","""")"),"VERNEUIL-EN-HALATTE")</f>
        <v>VERNEUIL-EN-HALATTE</v>
      </c>
      <c r="E463" s="38" t="s">
        <v>112</v>
      </c>
      <c r="F463" s="38" t="s">
        <v>113</v>
      </c>
      <c r="G463" s="49" t="str">
        <f t="shared" si="1"/>
        <v>60550</v>
      </c>
      <c r="H463" s="49">
        <f t="shared" si="2"/>
        <v>60670</v>
      </c>
    </row>
    <row r="464">
      <c r="A464" s="48" t="s">
        <v>1100</v>
      </c>
      <c r="B464" s="38">
        <v>8484.0</v>
      </c>
      <c r="C464" s="38" t="s">
        <v>1101</v>
      </c>
      <c r="D464" s="38" t="str">
        <f>IFERROR(__xludf.DUMMYFUNCTION("REGEXREPLACE(C464,""-\d+(.*)|--\d+(.*)"","""")"),"VILLE-SUR-RETOURNE")</f>
        <v>VILLE-SUR-RETOURNE</v>
      </c>
      <c r="E464" s="38" t="s">
        <v>327</v>
      </c>
      <c r="F464" s="38" t="s">
        <v>130</v>
      </c>
      <c r="G464" s="49" t="str">
        <f t="shared" si="1"/>
        <v>08310</v>
      </c>
      <c r="H464" s="49" t="str">
        <f t="shared" si="2"/>
        <v>08484</v>
      </c>
    </row>
    <row r="465">
      <c r="A465" s="48" t="s">
        <v>1102</v>
      </c>
      <c r="B465" s="38">
        <v>35251.0</v>
      </c>
      <c r="C465" s="38" t="s">
        <v>1103</v>
      </c>
      <c r="D465" s="38" t="str">
        <f>IFERROR(__xludf.DUMMYFUNCTION("REGEXREPLACE(C465,""-\d+(.*)|--\d+(.*)"","""")"),"SAINT-AUBIN-D'AUBIGNE")</f>
        <v>SAINT-AUBIN-D'AUBIGNE</v>
      </c>
      <c r="E465" s="38" t="s">
        <v>347</v>
      </c>
      <c r="F465" s="38" t="s">
        <v>90</v>
      </c>
      <c r="G465" s="49" t="str">
        <f t="shared" si="1"/>
        <v>35250</v>
      </c>
      <c r="H465" s="49">
        <f t="shared" si="2"/>
        <v>35251</v>
      </c>
    </row>
    <row r="466">
      <c r="A466" s="48" t="s">
        <v>1104</v>
      </c>
      <c r="B466" s="38">
        <v>52321.0</v>
      </c>
      <c r="C466" s="38" t="s">
        <v>1105</v>
      </c>
      <c r="D466" s="38" t="str">
        <f>IFERROR(__xludf.DUMMYFUNCTION("REGEXREPLACE(C466,""-\d+(.*)|--\d+(.*)"","""")"),"MERTRUD")</f>
        <v>MERTRUD</v>
      </c>
      <c r="E466" s="38" t="s">
        <v>234</v>
      </c>
      <c r="F466" s="38" t="s">
        <v>130</v>
      </c>
      <c r="G466" s="49" t="str">
        <f t="shared" si="1"/>
        <v>52110</v>
      </c>
      <c r="H466" s="49">
        <f t="shared" si="2"/>
        <v>52321</v>
      </c>
    </row>
    <row r="467">
      <c r="A467" s="48" t="s">
        <v>1106</v>
      </c>
      <c r="B467" s="38">
        <v>14171.0</v>
      </c>
      <c r="C467" s="38" t="s">
        <v>1107</v>
      </c>
      <c r="D467" s="38" t="str">
        <f>IFERROR(__xludf.DUMMYFUNCTION("REGEXREPLACE(C467,""-\d+(.*)|--\d+(.*)"","""")"),"COMBRAY")</f>
        <v>COMBRAY</v>
      </c>
      <c r="E467" s="38" t="s">
        <v>137</v>
      </c>
      <c r="F467" s="38" t="s">
        <v>138</v>
      </c>
      <c r="G467" s="49" t="str">
        <f t="shared" si="1"/>
        <v>14220</v>
      </c>
      <c r="H467" s="49">
        <f t="shared" si="2"/>
        <v>14171</v>
      </c>
    </row>
    <row r="468">
      <c r="A468" s="48" t="s">
        <v>1108</v>
      </c>
      <c r="B468" s="38">
        <v>27176.0</v>
      </c>
      <c r="C468" s="38" t="s">
        <v>1109</v>
      </c>
      <c r="D468" s="38" t="str">
        <f>IFERROR(__xludf.DUMMYFUNCTION("REGEXREPLACE(C468,""-\d+(.*)|--\d+(.*)"","""")"),"COUDRAY")</f>
        <v>COUDRAY</v>
      </c>
      <c r="E468" s="38" t="s">
        <v>241</v>
      </c>
      <c r="F468" s="38" t="s">
        <v>134</v>
      </c>
      <c r="G468" s="49" t="str">
        <f t="shared" si="1"/>
        <v>27150</v>
      </c>
      <c r="H468" s="49">
        <f t="shared" si="2"/>
        <v>27176</v>
      </c>
    </row>
    <row r="469">
      <c r="A469" s="48" t="s">
        <v>1110</v>
      </c>
      <c r="B469" s="38">
        <v>50475.0</v>
      </c>
      <c r="C469" s="38" t="s">
        <v>1111</v>
      </c>
      <c r="D469" s="38" t="str">
        <f>IFERROR(__xludf.DUMMYFUNCTION("REGEXREPLACE(C469,""-\d+(.*)|--\d+(.*)"","""")"),"SAINT-GEORGES-MONTCOCQ")</f>
        <v>SAINT-GEORGES-MONTCOCQ</v>
      </c>
      <c r="E469" s="38" t="s">
        <v>157</v>
      </c>
      <c r="F469" s="38" t="s">
        <v>138</v>
      </c>
      <c r="G469" s="49" t="str">
        <f t="shared" si="1"/>
        <v>50000</v>
      </c>
      <c r="H469" s="49">
        <f t="shared" si="2"/>
        <v>50475</v>
      </c>
    </row>
    <row r="470">
      <c r="A470" s="48" t="s">
        <v>1112</v>
      </c>
      <c r="B470" s="38">
        <v>18234.0</v>
      </c>
      <c r="C470" s="38" t="s">
        <v>1113</v>
      </c>
      <c r="D470" s="38" t="str">
        <f>IFERROR(__xludf.DUMMYFUNCTION("REGEXREPLACE(C470,""-\d+(.*)|--\d+(.*)"","""")"),"SAINT-SATURNIN")</f>
        <v>SAINT-SATURNIN</v>
      </c>
      <c r="E470" s="38" t="s">
        <v>504</v>
      </c>
      <c r="F470" s="38" t="s">
        <v>123</v>
      </c>
      <c r="G470" s="49" t="str">
        <f t="shared" si="1"/>
        <v>18370</v>
      </c>
      <c r="H470" s="49">
        <f t="shared" si="2"/>
        <v>18234</v>
      </c>
    </row>
    <row r="471">
      <c r="A471" s="48" t="s">
        <v>1114</v>
      </c>
      <c r="B471" s="38">
        <v>2078.0</v>
      </c>
      <c r="C471" s="38" t="s">
        <v>1115</v>
      </c>
      <c r="D471" s="38" t="str">
        <f>IFERROR(__xludf.DUMMYFUNCTION("REGEXREPLACE(C471,""-\d+(.*)|--\d+(.*)"","""")"),"BESME")</f>
        <v>BESME</v>
      </c>
      <c r="E471" s="38" t="s">
        <v>191</v>
      </c>
      <c r="F471" s="38" t="s">
        <v>113</v>
      </c>
      <c r="G471" s="49" t="str">
        <f t="shared" si="1"/>
        <v>02300</v>
      </c>
      <c r="H471" s="49" t="str">
        <f t="shared" si="2"/>
        <v>02078</v>
      </c>
    </row>
    <row r="472">
      <c r="A472" s="48" t="s">
        <v>1116</v>
      </c>
      <c r="B472" s="38">
        <v>60631.0</v>
      </c>
      <c r="C472" s="38" t="s">
        <v>1117</v>
      </c>
      <c r="D472" s="38" t="str">
        <f>IFERROR(__xludf.DUMMYFUNCTION("REGEXREPLACE(C472,""-\d+(.*)|--\d+(.*)"","""")"),"THIERS-SUR-THEVE")</f>
        <v>THIERS-SUR-THEVE</v>
      </c>
      <c r="E472" s="38" t="s">
        <v>112</v>
      </c>
      <c r="F472" s="38" t="s">
        <v>113</v>
      </c>
      <c r="G472" s="49" t="str">
        <f t="shared" si="1"/>
        <v>60520</v>
      </c>
      <c r="H472" s="49">
        <f t="shared" si="2"/>
        <v>60631</v>
      </c>
    </row>
    <row r="473">
      <c r="A473" s="48" t="s">
        <v>1118</v>
      </c>
      <c r="B473" s="38">
        <v>50273.0</v>
      </c>
      <c r="C473" s="38" t="s">
        <v>1119</v>
      </c>
      <c r="D473" s="38" t="str">
        <f>IFERROR(__xludf.DUMMYFUNCTION("REGEXREPLACE(C473,""-\d+(.*)|--\d+(.*)"","""")"),"LITHAIRE")</f>
        <v>LITHAIRE</v>
      </c>
      <c r="E473" s="38" t="s">
        <v>157</v>
      </c>
      <c r="F473" s="38" t="s">
        <v>138</v>
      </c>
      <c r="G473" s="49" t="str">
        <f t="shared" si="1"/>
        <v>50250</v>
      </c>
      <c r="H473" s="49">
        <f t="shared" si="2"/>
        <v>50273</v>
      </c>
    </row>
    <row r="474">
      <c r="A474" s="48" t="s">
        <v>1120</v>
      </c>
      <c r="B474" s="38">
        <v>64172.0</v>
      </c>
      <c r="C474" s="38" t="s">
        <v>1121</v>
      </c>
      <c r="D474" s="38" t="str">
        <f>IFERROR(__xludf.DUMMYFUNCTION("REGEXREPLACE(C474,""-\d+(.*)|--\d+(.*)"","""")"),"CASTEIDE-CANDAU")</f>
        <v>CASTEIDE-CANDAU</v>
      </c>
      <c r="E474" s="38" t="s">
        <v>268</v>
      </c>
      <c r="F474" s="38" t="s">
        <v>252</v>
      </c>
      <c r="G474" s="49" t="str">
        <f t="shared" si="1"/>
        <v>64370</v>
      </c>
      <c r="H474" s="49">
        <f t="shared" si="2"/>
        <v>64172</v>
      </c>
    </row>
    <row r="475">
      <c r="A475" s="48" t="s">
        <v>1122</v>
      </c>
      <c r="B475" s="38">
        <v>18015.0</v>
      </c>
      <c r="C475" s="38" t="s">
        <v>1123</v>
      </c>
      <c r="D475" s="38" t="str">
        <f>IFERROR(__xludf.DUMMYFUNCTION("REGEXREPLACE(C475,""-\d+(.*)|--\d+(.*)"","""")"),"AUBIGNY-SUR-NERE")</f>
        <v>AUBIGNY-SUR-NERE</v>
      </c>
      <c r="E475" s="38" t="s">
        <v>504</v>
      </c>
      <c r="F475" s="38" t="s">
        <v>123</v>
      </c>
      <c r="G475" s="49" t="str">
        <f t="shared" si="1"/>
        <v>18700</v>
      </c>
      <c r="H475" s="49">
        <f t="shared" si="2"/>
        <v>18015</v>
      </c>
    </row>
    <row r="476">
      <c r="A476" s="48" t="s">
        <v>1124</v>
      </c>
      <c r="B476" s="38">
        <v>61290.0</v>
      </c>
      <c r="C476" s="38" t="s">
        <v>1125</v>
      </c>
      <c r="D476" s="38" t="str">
        <f>IFERROR(__xludf.DUMMYFUNCTION("REGEXREPLACE(C476,""-\d+(.*)|--\d+(.*)"","""")"),"MONTREUIL-AU-HOULME")</f>
        <v>MONTREUIL-AU-HOULME</v>
      </c>
      <c r="E476" s="38" t="s">
        <v>141</v>
      </c>
      <c r="F476" s="38" t="s">
        <v>138</v>
      </c>
      <c r="G476" s="49" t="str">
        <f t="shared" si="1"/>
        <v>61210</v>
      </c>
      <c r="H476" s="49">
        <f t="shared" si="2"/>
        <v>61290</v>
      </c>
    </row>
    <row r="477">
      <c r="A477" s="48" t="s">
        <v>1126</v>
      </c>
      <c r="B477" s="38">
        <v>44157.0</v>
      </c>
      <c r="C477" s="38" t="s">
        <v>1127</v>
      </c>
      <c r="D477" s="38" t="str">
        <f>IFERROR(__xludf.DUMMYFUNCTION("REGEXREPLACE(C477,""-\d+(.*)|--\d+(.*)"","""")"),"SAINT-ETIENNE-DE-MER-MORTE")</f>
        <v>SAINT-ETIENNE-DE-MER-MORTE</v>
      </c>
      <c r="E477" s="38" t="s">
        <v>759</v>
      </c>
      <c r="F477" s="38" t="s">
        <v>180</v>
      </c>
      <c r="G477" s="49" t="str">
        <f t="shared" si="1"/>
        <v>44270</v>
      </c>
      <c r="H477" s="49">
        <f t="shared" si="2"/>
        <v>44157</v>
      </c>
    </row>
    <row r="478">
      <c r="A478" s="48" t="s">
        <v>1128</v>
      </c>
      <c r="B478" s="38">
        <v>2600.0</v>
      </c>
      <c r="C478" s="38" t="s">
        <v>1129</v>
      </c>
      <c r="D478" s="38" t="str">
        <f>IFERROR(__xludf.DUMMYFUNCTION("REGEXREPLACE(C478,""-\d+(.*)|--\d+(.*)"","""")"),"PIERREPONT")</f>
        <v>PIERREPONT</v>
      </c>
      <c r="E478" s="38" t="s">
        <v>191</v>
      </c>
      <c r="F478" s="38" t="s">
        <v>113</v>
      </c>
      <c r="G478" s="49" t="str">
        <f t="shared" si="1"/>
        <v>02350</v>
      </c>
      <c r="H478" s="49" t="str">
        <f t="shared" si="2"/>
        <v>02600</v>
      </c>
    </row>
    <row r="479">
      <c r="A479" s="48" t="s">
        <v>1130</v>
      </c>
      <c r="B479" s="38">
        <v>71010.0</v>
      </c>
      <c r="C479" s="38" t="s">
        <v>1131</v>
      </c>
      <c r="D479" s="38" t="str">
        <f>IFERROR(__xludf.DUMMYFUNCTION("REGEXREPLACE(C479,""-\d+(.*)|--\d+(.*)"","""")"),"ANTULLY")</f>
        <v>ANTULLY</v>
      </c>
      <c r="E479" s="38" t="s">
        <v>344</v>
      </c>
      <c r="F479" s="38" t="s">
        <v>106</v>
      </c>
      <c r="G479" s="49" t="str">
        <f t="shared" si="1"/>
        <v>71400</v>
      </c>
      <c r="H479" s="49">
        <f t="shared" si="2"/>
        <v>71010</v>
      </c>
    </row>
    <row r="480">
      <c r="A480" s="48" t="s">
        <v>1132</v>
      </c>
      <c r="B480" s="38">
        <v>2427.0</v>
      </c>
      <c r="C480" s="38" t="s">
        <v>1133</v>
      </c>
      <c r="D480" s="38" t="str">
        <f>IFERROR(__xludf.DUMMYFUNCTION("REGEXREPLACE(C480,""-\d+(.*)|--\d+(.*)"","""")"),"LHUYS")</f>
        <v>LHUYS</v>
      </c>
      <c r="E480" s="38" t="s">
        <v>191</v>
      </c>
      <c r="F480" s="38" t="s">
        <v>113</v>
      </c>
      <c r="G480" s="49" t="str">
        <f t="shared" si="1"/>
        <v>02220</v>
      </c>
      <c r="H480" s="49" t="str">
        <f t="shared" si="2"/>
        <v>02427</v>
      </c>
    </row>
    <row r="481">
      <c r="A481" s="48" t="s">
        <v>974</v>
      </c>
      <c r="B481" s="38">
        <v>83139.0</v>
      </c>
      <c r="C481" s="38" t="s">
        <v>1134</v>
      </c>
      <c r="D481" s="38" t="str">
        <f>IFERROR(__xludf.DUMMYFUNCTION("REGEXREPLACE(C481,""-\d+(.*)|--\d+(.*)"","""")"),"TOURTOUR")</f>
        <v>TOURTOUR</v>
      </c>
      <c r="E481" s="38" t="s">
        <v>813</v>
      </c>
      <c r="F481" s="38" t="s">
        <v>228</v>
      </c>
      <c r="G481" s="49" t="str">
        <f t="shared" si="1"/>
        <v>83690</v>
      </c>
      <c r="H481" s="49">
        <f t="shared" si="2"/>
        <v>83139</v>
      </c>
    </row>
    <row r="482">
      <c r="A482" s="48" t="s">
        <v>1135</v>
      </c>
      <c r="B482" s="38">
        <v>79171.0</v>
      </c>
      <c r="C482" s="38" t="s">
        <v>1136</v>
      </c>
      <c r="D482" s="38" t="str">
        <f>IFERROR(__xludf.DUMMYFUNCTION("REGEXREPLACE(C482,""-\d+(.*)|--\d+(.*)"","""")"),"MAUZE-THOUARSAIS")</f>
        <v>MAUZE-THOUARSAIS</v>
      </c>
      <c r="E482" s="38" t="s">
        <v>337</v>
      </c>
      <c r="F482" s="38" t="s">
        <v>338</v>
      </c>
      <c r="G482" s="49" t="str">
        <f t="shared" si="1"/>
        <v>79100</v>
      </c>
      <c r="H482" s="49">
        <f t="shared" si="2"/>
        <v>79171</v>
      </c>
    </row>
    <row r="483">
      <c r="A483" s="48" t="s">
        <v>1137</v>
      </c>
      <c r="B483" s="38">
        <v>60296.0</v>
      </c>
      <c r="C483" s="38" t="s">
        <v>1138</v>
      </c>
      <c r="D483" s="38" t="str">
        <f>IFERROR(__xludf.DUMMYFUNCTION("REGEXREPLACE(C483,""-\d+(.*)|--\d+(.*)"","""")"),"HANNACHES")</f>
        <v>HANNACHES</v>
      </c>
      <c r="E483" s="38" t="s">
        <v>112</v>
      </c>
      <c r="F483" s="38" t="s">
        <v>113</v>
      </c>
      <c r="G483" s="49" t="str">
        <f t="shared" si="1"/>
        <v>60650</v>
      </c>
      <c r="H483" s="49">
        <f t="shared" si="2"/>
        <v>60296</v>
      </c>
    </row>
    <row r="484">
      <c r="A484" s="48" t="s">
        <v>1139</v>
      </c>
      <c r="B484" s="38">
        <v>29057.0</v>
      </c>
      <c r="C484" s="38" t="s">
        <v>1140</v>
      </c>
      <c r="D484" s="38" t="str">
        <f>IFERROR(__xludf.DUMMYFUNCTION("REGEXREPLACE(C484,""-\d+(.*)|--\d+(.*)"","""")"),"LA FORET-FOUESNANT")</f>
        <v>LA FORET-FOUESNANT</v>
      </c>
      <c r="E484" s="38" t="s">
        <v>176</v>
      </c>
      <c r="F484" s="38" t="s">
        <v>90</v>
      </c>
      <c r="G484" s="49" t="str">
        <f t="shared" si="1"/>
        <v>29940</v>
      </c>
      <c r="H484" s="49">
        <f t="shared" si="2"/>
        <v>29057</v>
      </c>
    </row>
    <row r="485">
      <c r="A485" s="48" t="s">
        <v>1141</v>
      </c>
      <c r="B485" s="38">
        <v>59565.0</v>
      </c>
      <c r="C485" s="38" t="s">
        <v>1142</v>
      </c>
      <c r="D485" s="38" t="str">
        <f>IFERROR(__xludf.DUMMYFUNCTION("REGEXREPLACE(C485,""-\d+(.*)|--\d+(.*)"","""")"),"SEPMERIES")</f>
        <v>SEPMERIES</v>
      </c>
      <c r="E485" s="38" t="s">
        <v>85</v>
      </c>
      <c r="F485" s="38" t="s">
        <v>86</v>
      </c>
      <c r="G485" s="49" t="str">
        <f t="shared" si="1"/>
        <v>59269</v>
      </c>
      <c r="H485" s="49">
        <f t="shared" si="2"/>
        <v>59565</v>
      </c>
    </row>
    <row r="486">
      <c r="A486" s="48" t="s">
        <v>1143</v>
      </c>
      <c r="B486" s="38">
        <v>52524.0</v>
      </c>
      <c r="C486" s="38" t="s">
        <v>1144</v>
      </c>
      <c r="D486" s="38" t="str">
        <f>IFERROR(__xludf.DUMMYFUNCTION("REGEXREPLACE(C486,""-\d+(.*)|--\d+(.*)"","""")"),"VIGNORY")</f>
        <v>VIGNORY</v>
      </c>
      <c r="E486" s="38" t="s">
        <v>234</v>
      </c>
      <c r="F486" s="38" t="s">
        <v>130</v>
      </c>
      <c r="G486" s="49" t="str">
        <f t="shared" si="1"/>
        <v>52320</v>
      </c>
      <c r="H486" s="49">
        <f t="shared" si="2"/>
        <v>52524</v>
      </c>
    </row>
    <row r="487">
      <c r="A487" s="48" t="s">
        <v>1145</v>
      </c>
      <c r="B487" s="38">
        <v>77371.0</v>
      </c>
      <c r="C487" s="38" t="s">
        <v>1146</v>
      </c>
      <c r="D487" s="38" t="str">
        <f>IFERROR(__xludf.DUMMYFUNCTION("REGEXREPLACE(C487,""-\d+(.*)|--\d+(.*)"","""")"),"POMMEUSE")</f>
        <v>POMMEUSE</v>
      </c>
      <c r="E487" s="38" t="s">
        <v>244</v>
      </c>
      <c r="F487" s="38" t="s">
        <v>245</v>
      </c>
      <c r="G487" s="49" t="str">
        <f t="shared" si="1"/>
        <v>77515</v>
      </c>
      <c r="H487" s="49">
        <f t="shared" si="2"/>
        <v>77371</v>
      </c>
    </row>
    <row r="488">
      <c r="A488" s="48" t="s">
        <v>1147</v>
      </c>
      <c r="B488" s="38">
        <v>37032.0</v>
      </c>
      <c r="C488" s="38" t="s">
        <v>1148</v>
      </c>
      <c r="D488" s="38" t="str">
        <f>IFERROR(__xludf.DUMMYFUNCTION("REGEXREPLACE(C488,""-\d+(.*)|--\d+(.*)"","""")"),"BOURNAN")</f>
        <v>BOURNAN</v>
      </c>
      <c r="E488" s="38" t="s">
        <v>205</v>
      </c>
      <c r="F488" s="38" t="s">
        <v>123</v>
      </c>
      <c r="G488" s="49" t="str">
        <f t="shared" si="1"/>
        <v>37240</v>
      </c>
      <c r="H488" s="49">
        <f t="shared" si="2"/>
        <v>37032</v>
      </c>
    </row>
    <row r="489">
      <c r="A489" s="48" t="s">
        <v>1149</v>
      </c>
      <c r="B489" s="38">
        <v>82191.0</v>
      </c>
      <c r="C489" s="38" t="s">
        <v>1150</v>
      </c>
      <c r="D489" s="38" t="str">
        <f>IFERROR(__xludf.DUMMYFUNCTION("REGEXREPLACE(C489,""-\d+(.*)|--\d+(.*)"","""")"),"VERFEIL")</f>
        <v>VERFEIL</v>
      </c>
      <c r="E489" s="38" t="s">
        <v>570</v>
      </c>
      <c r="F489" s="38" t="s">
        <v>94</v>
      </c>
      <c r="G489" s="49" t="str">
        <f t="shared" si="1"/>
        <v>82330</v>
      </c>
      <c r="H489" s="49">
        <f t="shared" si="2"/>
        <v>82191</v>
      </c>
    </row>
    <row r="490">
      <c r="A490" s="48" t="s">
        <v>1151</v>
      </c>
      <c r="B490" s="38">
        <v>58256.0</v>
      </c>
      <c r="C490" s="38" t="s">
        <v>1152</v>
      </c>
      <c r="D490" s="38" t="str">
        <f>IFERROR(__xludf.DUMMYFUNCTION("REGEXREPLACE(C490,""-\d+(.*)|--\d+(.*)"","""")"),"SAINT-MARTIN-SUR-NOHAIN")</f>
        <v>SAINT-MARTIN-SUR-NOHAIN</v>
      </c>
      <c r="E490" s="38" t="s">
        <v>219</v>
      </c>
      <c r="F490" s="38" t="s">
        <v>106</v>
      </c>
      <c r="G490" s="49" t="str">
        <f t="shared" si="1"/>
        <v>58150</v>
      </c>
      <c r="H490" s="49">
        <f t="shared" si="2"/>
        <v>58256</v>
      </c>
    </row>
    <row r="491">
      <c r="A491" s="48" t="s">
        <v>1153</v>
      </c>
      <c r="B491" s="38">
        <v>73309.0</v>
      </c>
      <c r="C491" s="38" t="s">
        <v>1154</v>
      </c>
      <c r="D491" s="38" t="str">
        <f>IFERROR(__xludf.DUMMYFUNCTION("REGEXREPLACE(C491,""-\d+(.*)|--\d+(.*)"","""")"),"VEREL-DE-MONTBEL")</f>
        <v>VEREL-DE-MONTBEL</v>
      </c>
      <c r="E491" s="38" t="s">
        <v>306</v>
      </c>
      <c r="F491" s="38" t="s">
        <v>102</v>
      </c>
      <c r="G491" s="49" t="str">
        <f t="shared" si="1"/>
        <v>73330</v>
      </c>
      <c r="H491" s="49">
        <f t="shared" si="2"/>
        <v>73309</v>
      </c>
    </row>
    <row r="492">
      <c r="A492" s="48" t="s">
        <v>1155</v>
      </c>
      <c r="B492" s="38">
        <v>67099.0</v>
      </c>
      <c r="C492" s="38" t="s">
        <v>1156</v>
      </c>
      <c r="D492" s="38" t="str">
        <f>IFERROR(__xludf.DUMMYFUNCTION("REGEXREPLACE(C492,""-\d+(.*)|--\d+(.*)"","""")"),"DOMFESSEL")</f>
        <v>DOMFESSEL</v>
      </c>
      <c r="E492" s="38" t="s">
        <v>210</v>
      </c>
      <c r="F492" s="38" t="s">
        <v>151</v>
      </c>
      <c r="G492" s="49" t="str">
        <f t="shared" si="1"/>
        <v>67430</v>
      </c>
      <c r="H492" s="49">
        <f t="shared" si="2"/>
        <v>67099</v>
      </c>
    </row>
    <row r="493">
      <c r="A493" s="48" t="s">
        <v>1157</v>
      </c>
      <c r="B493" s="38">
        <v>16160.0</v>
      </c>
      <c r="C493" s="38" t="s">
        <v>1158</v>
      </c>
      <c r="D493" s="38" t="str">
        <f>IFERROR(__xludf.DUMMYFUNCTION("REGEXREPLACE(C493,""-\d+(.*)|--\d+(.*)"","""")"),"GUIMPS")</f>
        <v>GUIMPS</v>
      </c>
      <c r="E493" s="38" t="s">
        <v>429</v>
      </c>
      <c r="F493" s="38" t="s">
        <v>338</v>
      </c>
      <c r="G493" s="49" t="str">
        <f t="shared" si="1"/>
        <v>16300</v>
      </c>
      <c r="H493" s="49">
        <f t="shared" si="2"/>
        <v>16160</v>
      </c>
    </row>
    <row r="494">
      <c r="A494" s="48" t="s">
        <v>1159</v>
      </c>
      <c r="B494" s="38">
        <v>60489.0</v>
      </c>
      <c r="C494" s="38" t="s">
        <v>1160</v>
      </c>
      <c r="D494" s="38" t="str">
        <f>IFERROR(__xludf.DUMMYFUNCTION("REGEXREPLACE(C494,""-\d+(.*)|--\d+(.*)"","""")"),"PEROY-LES-GOMBRIES")</f>
        <v>PEROY-LES-GOMBRIES</v>
      </c>
      <c r="E494" s="38" t="s">
        <v>112</v>
      </c>
      <c r="F494" s="38" t="s">
        <v>113</v>
      </c>
      <c r="G494" s="49" t="str">
        <f t="shared" si="1"/>
        <v>60440</v>
      </c>
      <c r="H494" s="49">
        <f t="shared" si="2"/>
        <v>60489</v>
      </c>
    </row>
    <row r="495">
      <c r="A495" s="48" t="s">
        <v>1161</v>
      </c>
      <c r="B495" s="38">
        <v>45293.0</v>
      </c>
      <c r="C495" s="38" t="s">
        <v>1162</v>
      </c>
      <c r="D495" s="38" t="str">
        <f>IFERROR(__xludf.DUMMYFUNCTION("REGEXREPLACE(C495,""-\d+(.*)|--\d+(.*)"","""")"),"SAINT-MAURICE-SUR-FESSARD")</f>
        <v>SAINT-MAURICE-SUR-FESSARD</v>
      </c>
      <c r="E495" s="38" t="s">
        <v>122</v>
      </c>
      <c r="F495" s="38" t="s">
        <v>123</v>
      </c>
      <c r="G495" s="49" t="str">
        <f t="shared" si="1"/>
        <v>45700</v>
      </c>
      <c r="H495" s="49">
        <f t="shared" si="2"/>
        <v>45293</v>
      </c>
    </row>
    <row r="496">
      <c r="A496" s="48" t="s">
        <v>1163</v>
      </c>
      <c r="B496" s="38" t="s">
        <v>1164</v>
      </c>
      <c r="C496" s="38" t="s">
        <v>1165</v>
      </c>
      <c r="D496" s="38" t="str">
        <f>IFERROR(__xludf.DUMMYFUNCTION("REGEXREPLACE(C496,""-\d+(.*)|--\d+(.*)"","""")"),"AULLENE")</f>
        <v>AULLENE</v>
      </c>
      <c r="E496" s="38" t="s">
        <v>606</v>
      </c>
      <c r="F496" s="38" t="s">
        <v>607</v>
      </c>
      <c r="G496" s="49" t="str">
        <f t="shared" si="1"/>
        <v>20116</v>
      </c>
      <c r="H496" s="49" t="str">
        <f t="shared" si="2"/>
        <v>2A024</v>
      </c>
    </row>
    <row r="497">
      <c r="A497" s="48" t="s">
        <v>1166</v>
      </c>
      <c r="B497" s="38">
        <v>9097.0</v>
      </c>
      <c r="C497" s="38" t="s">
        <v>1167</v>
      </c>
      <c r="D497" s="38" t="str">
        <f>IFERROR(__xludf.DUMMYFUNCTION("REGEXREPLACE(C497,""-\d+(.*)|--\d+(.*)"","""")"),"CLERMONT")</f>
        <v>CLERMONT</v>
      </c>
      <c r="E497" s="38" t="s">
        <v>238</v>
      </c>
      <c r="F497" s="38" t="s">
        <v>94</v>
      </c>
      <c r="G497" s="49" t="str">
        <f t="shared" si="1"/>
        <v>09420</v>
      </c>
      <c r="H497" s="49" t="str">
        <f t="shared" si="2"/>
        <v>09097</v>
      </c>
    </row>
    <row r="498">
      <c r="A498" s="48" t="s">
        <v>1168</v>
      </c>
      <c r="B498" s="38">
        <v>44135.0</v>
      </c>
      <c r="C498" s="38" t="s">
        <v>1169</v>
      </c>
      <c r="D498" s="38" t="str">
        <f>IFERROR(__xludf.DUMMYFUNCTION("REGEXREPLACE(C498,""-\d+(.*)|--\d+(.*)"","""")"),"LE POULIGUEN")</f>
        <v>LE POULIGUEN</v>
      </c>
      <c r="E498" s="38" t="s">
        <v>759</v>
      </c>
      <c r="F498" s="38" t="s">
        <v>180</v>
      </c>
      <c r="G498" s="49" t="str">
        <f t="shared" si="1"/>
        <v>44510</v>
      </c>
      <c r="H498" s="49">
        <f t="shared" si="2"/>
        <v>44135</v>
      </c>
    </row>
    <row r="499">
      <c r="A499" s="48" t="s">
        <v>1170</v>
      </c>
      <c r="B499" s="38">
        <v>14452.0</v>
      </c>
      <c r="C499" s="38" t="s">
        <v>1171</v>
      </c>
      <c r="D499" s="38" t="str">
        <f>IFERROR(__xludf.DUMMYFUNCTION("REGEXREPLACE(C499,""-\d+(.*)|--\d+(.*)"","""")"),"MORTEAUX-COULIBOEUF")</f>
        <v>MORTEAUX-COULIBOEUF</v>
      </c>
      <c r="E499" s="38" t="s">
        <v>137</v>
      </c>
      <c r="F499" s="38" t="s">
        <v>138</v>
      </c>
      <c r="G499" s="49" t="str">
        <f t="shared" si="1"/>
        <v>14620</v>
      </c>
      <c r="H499" s="49">
        <f t="shared" si="2"/>
        <v>14452</v>
      </c>
    </row>
    <row r="500">
      <c r="A500" s="48" t="s">
        <v>1172</v>
      </c>
      <c r="B500" s="38">
        <v>76551.0</v>
      </c>
      <c r="C500" s="38" t="s">
        <v>1173</v>
      </c>
      <c r="D500" s="38" t="str">
        <f>IFERROR(__xludf.DUMMYFUNCTION("REGEXREPLACE(C500,""-\d+(.*)|--\d+(.*)"","""")"),"SAINNEVILLE")</f>
        <v>SAINNEVILLE</v>
      </c>
      <c r="E500" s="38" t="s">
        <v>133</v>
      </c>
      <c r="F500" s="38" t="s">
        <v>134</v>
      </c>
      <c r="G500" s="49" t="str">
        <f t="shared" si="1"/>
        <v>76430</v>
      </c>
      <c r="H500" s="49">
        <f t="shared" si="2"/>
        <v>76551</v>
      </c>
    </row>
    <row r="501">
      <c r="A501" s="48" t="s">
        <v>1174</v>
      </c>
      <c r="B501" s="38">
        <v>51246.0</v>
      </c>
      <c r="C501" s="38" t="s">
        <v>1175</v>
      </c>
      <c r="D501" s="38" t="str">
        <f>IFERROR(__xludf.DUMMYFUNCTION("REGEXREPLACE(C501,""-\d+(.*)|--\d+(.*)"","""")"),"FAVRESSE")</f>
        <v>FAVRESSE</v>
      </c>
      <c r="E501" s="38" t="s">
        <v>129</v>
      </c>
      <c r="F501" s="38" t="s">
        <v>130</v>
      </c>
      <c r="G501" s="49" t="str">
        <f t="shared" si="1"/>
        <v>51300</v>
      </c>
      <c r="H501" s="49">
        <f t="shared" si="2"/>
        <v>51246</v>
      </c>
    </row>
    <row r="502">
      <c r="A502" s="48" t="s">
        <v>1176</v>
      </c>
      <c r="B502" s="38">
        <v>57465.0</v>
      </c>
      <c r="C502" s="38" t="s">
        <v>1177</v>
      </c>
      <c r="D502" s="38" t="str">
        <f>IFERROR(__xludf.DUMMYFUNCTION("REGEXREPLACE(C502,""-\d+(.*)|--\d+(.*)"","""")"),"METZERVISSE")</f>
        <v>METZERVISSE</v>
      </c>
      <c r="E502" s="38" t="s">
        <v>303</v>
      </c>
      <c r="F502" s="38" t="s">
        <v>195</v>
      </c>
      <c r="G502" s="49" t="str">
        <f t="shared" si="1"/>
        <v>57940</v>
      </c>
      <c r="H502" s="49">
        <f t="shared" si="2"/>
        <v>57465</v>
      </c>
    </row>
    <row r="503">
      <c r="A503" s="48" t="s">
        <v>1178</v>
      </c>
      <c r="B503" s="38">
        <v>1065.0</v>
      </c>
      <c r="C503" s="38" t="s">
        <v>1179</v>
      </c>
      <c r="D503" s="38" t="str">
        <f>IFERROR(__xludf.DUMMYFUNCTION("REGEXREPLACE(C503,""-\d+(.*)|--\d+(.*)"","""")"),"BUELLAS")</f>
        <v>BUELLAS</v>
      </c>
      <c r="E503" s="38" t="s">
        <v>255</v>
      </c>
      <c r="F503" s="38" t="s">
        <v>102</v>
      </c>
      <c r="G503" s="49" t="str">
        <f t="shared" si="1"/>
        <v>01310</v>
      </c>
      <c r="H503" s="49" t="str">
        <f t="shared" si="2"/>
        <v>01065</v>
      </c>
    </row>
    <row r="504">
      <c r="A504" s="48" t="s">
        <v>1180</v>
      </c>
      <c r="B504" s="38">
        <v>60123.0</v>
      </c>
      <c r="C504" s="38" t="s">
        <v>1181</v>
      </c>
      <c r="D504" s="38" t="str">
        <f>IFERROR(__xludf.DUMMYFUNCTION("REGEXREPLACE(C504,""-\d+(.*)|--\d+(.*)"","""")"),"CAMPREMY")</f>
        <v>CAMPREMY</v>
      </c>
      <c r="E504" s="38" t="s">
        <v>112</v>
      </c>
      <c r="F504" s="38" t="s">
        <v>113</v>
      </c>
      <c r="G504" s="49" t="str">
        <f t="shared" si="1"/>
        <v>60480</v>
      </c>
      <c r="H504" s="49">
        <f t="shared" si="2"/>
        <v>60123</v>
      </c>
    </row>
    <row r="505">
      <c r="A505" s="48" t="s">
        <v>1182</v>
      </c>
      <c r="B505" s="38">
        <v>67247.0</v>
      </c>
      <c r="C505" s="38" t="s">
        <v>1183</v>
      </c>
      <c r="D505" s="38" t="str">
        <f>IFERROR(__xludf.DUMMYFUNCTION("REGEXREPLACE(C505,""-\d+(.*)|--\d+(.*)"","""")"),"KOLBSHEIM")</f>
        <v>KOLBSHEIM</v>
      </c>
      <c r="E505" s="38" t="s">
        <v>210</v>
      </c>
      <c r="F505" s="38" t="s">
        <v>151</v>
      </c>
      <c r="G505" s="49" t="str">
        <f t="shared" si="1"/>
        <v>67120</v>
      </c>
      <c r="H505" s="49">
        <f t="shared" si="2"/>
        <v>67247</v>
      </c>
    </row>
    <row r="506">
      <c r="A506" s="48" t="s">
        <v>1184</v>
      </c>
      <c r="B506" s="38">
        <v>8217.0</v>
      </c>
      <c r="C506" s="38" t="s">
        <v>1185</v>
      </c>
      <c r="D506" s="38" t="str">
        <f>IFERROR(__xludf.DUMMYFUNCTION("REGEXREPLACE(C506,""-\d+(.*)|--\d+(.*)"","""")"),"HAULME")</f>
        <v>HAULME</v>
      </c>
      <c r="E506" s="38" t="s">
        <v>327</v>
      </c>
      <c r="F506" s="38" t="s">
        <v>130</v>
      </c>
      <c r="G506" s="49" t="str">
        <f t="shared" si="1"/>
        <v>08800</v>
      </c>
      <c r="H506" s="49" t="str">
        <f t="shared" si="2"/>
        <v>08217</v>
      </c>
    </row>
    <row r="507">
      <c r="A507" s="48" t="s">
        <v>1186</v>
      </c>
      <c r="B507" s="38">
        <v>16274.0</v>
      </c>
      <c r="C507" s="38" t="s">
        <v>1187</v>
      </c>
      <c r="D507" s="38" t="str">
        <f>IFERROR(__xludf.DUMMYFUNCTION("REGEXREPLACE(C507,""-\d+(.*)|--\d+(.*)"","""")"),"RANCOGNE")</f>
        <v>RANCOGNE</v>
      </c>
      <c r="E507" s="38" t="s">
        <v>429</v>
      </c>
      <c r="F507" s="38" t="s">
        <v>338</v>
      </c>
      <c r="G507" s="49" t="str">
        <f t="shared" si="1"/>
        <v>16110</v>
      </c>
      <c r="H507" s="49">
        <f t="shared" si="2"/>
        <v>16274</v>
      </c>
    </row>
    <row r="508">
      <c r="A508" s="48" t="s">
        <v>1188</v>
      </c>
      <c r="B508" s="38">
        <v>45309.0</v>
      </c>
      <c r="C508" s="38" t="s">
        <v>1189</v>
      </c>
      <c r="D508" s="38" t="str">
        <f>IFERROR(__xludf.DUMMYFUNCTION("REGEXREPLACE(C508,""-\d+(.*)|--\d+(.*)"","""")"),"SENNELY")</f>
        <v>SENNELY</v>
      </c>
      <c r="E508" s="38" t="s">
        <v>122</v>
      </c>
      <c r="F508" s="38" t="s">
        <v>123</v>
      </c>
      <c r="G508" s="49" t="str">
        <f t="shared" si="1"/>
        <v>45240</v>
      </c>
      <c r="H508" s="49">
        <f t="shared" si="2"/>
        <v>45309</v>
      </c>
    </row>
    <row r="509">
      <c r="A509" s="48" t="s">
        <v>1190</v>
      </c>
      <c r="B509" s="38">
        <v>41150.0</v>
      </c>
      <c r="C509" s="38" t="s">
        <v>1191</v>
      </c>
      <c r="D509" s="38" t="str">
        <f>IFERROR(__xludf.DUMMYFUNCTION("REGEXREPLACE(C509,""-\d+(.*)|--\d+(.*)"","""")"),"MONT-PRES-CHAMBORD")</f>
        <v>MONT-PRES-CHAMBORD</v>
      </c>
      <c r="E509" s="38" t="s">
        <v>188</v>
      </c>
      <c r="F509" s="38" t="s">
        <v>123</v>
      </c>
      <c r="G509" s="49" t="str">
        <f t="shared" si="1"/>
        <v>41250</v>
      </c>
      <c r="H509" s="49">
        <f t="shared" si="2"/>
        <v>41150</v>
      </c>
    </row>
    <row r="510">
      <c r="A510" s="48" t="s">
        <v>407</v>
      </c>
      <c r="B510" s="38">
        <v>71058.0</v>
      </c>
      <c r="C510" s="38" t="s">
        <v>1192</v>
      </c>
      <c r="D510" s="38" t="str">
        <f>IFERROR(__xludf.DUMMYFUNCTION("REGEXREPLACE(C510,""-\d+(.*)|--\d+(.*)"","""")"),"BRESSE-SUR-GROSNE")</f>
        <v>BRESSE-SUR-GROSNE</v>
      </c>
      <c r="E510" s="38" t="s">
        <v>344</v>
      </c>
      <c r="F510" s="38" t="s">
        <v>106</v>
      </c>
      <c r="G510" s="49" t="str">
        <f t="shared" si="1"/>
        <v>71460</v>
      </c>
      <c r="H510" s="49">
        <f t="shared" si="2"/>
        <v>71058</v>
      </c>
    </row>
    <row r="511">
      <c r="A511" s="48" t="s">
        <v>1193</v>
      </c>
      <c r="B511" s="38">
        <v>54255.0</v>
      </c>
      <c r="C511" s="38" t="s">
        <v>1194</v>
      </c>
      <c r="D511" s="38" t="str">
        <f>IFERROR(__xludf.DUMMYFUNCTION("REGEXREPLACE(C511,""-\d+(.*)|--\d+(.*)"","""")"),"HAUDONVILLE")</f>
        <v>HAUDONVILLE</v>
      </c>
      <c r="E511" s="38" t="s">
        <v>548</v>
      </c>
      <c r="F511" s="38" t="s">
        <v>195</v>
      </c>
      <c r="G511" s="49" t="str">
        <f t="shared" si="1"/>
        <v>54830</v>
      </c>
      <c r="H511" s="49">
        <f t="shared" si="2"/>
        <v>54255</v>
      </c>
    </row>
    <row r="512">
      <c r="A512" s="48" t="s">
        <v>1195</v>
      </c>
      <c r="B512" s="38">
        <v>80212.0</v>
      </c>
      <c r="C512" s="38" t="s">
        <v>1196</v>
      </c>
      <c r="D512" s="38" t="str">
        <f>IFERROR(__xludf.DUMMYFUNCTION("REGEXREPLACE(C512,""-\d+(.*)|--\d+(.*)"","""")"),"CORBIE")</f>
        <v>CORBIE</v>
      </c>
      <c r="E512" s="38" t="s">
        <v>224</v>
      </c>
      <c r="F512" s="38" t="s">
        <v>113</v>
      </c>
      <c r="G512" s="49" t="str">
        <f t="shared" si="1"/>
        <v>80800</v>
      </c>
      <c r="H512" s="49">
        <f t="shared" si="2"/>
        <v>80212</v>
      </c>
    </row>
    <row r="513">
      <c r="A513" s="48" t="s">
        <v>1197</v>
      </c>
      <c r="B513" s="38">
        <v>73074.0</v>
      </c>
      <c r="C513" s="38" t="s">
        <v>1198</v>
      </c>
      <c r="D513" s="38" t="str">
        <f>IFERROR(__xludf.DUMMYFUNCTION("REGEXREPLACE(C513,""-\d+(.*)|--\d+(.*)"","""")"),"LA CHAPELLE")</f>
        <v>LA CHAPELLE</v>
      </c>
      <c r="E513" s="38" t="s">
        <v>306</v>
      </c>
      <c r="F513" s="38" t="s">
        <v>102</v>
      </c>
      <c r="G513" s="49" t="str">
        <f t="shared" si="1"/>
        <v>73660</v>
      </c>
      <c r="H513" s="49">
        <f t="shared" si="2"/>
        <v>73074</v>
      </c>
    </row>
    <row r="514">
      <c r="A514" s="48" t="s">
        <v>1199</v>
      </c>
      <c r="B514" s="38">
        <v>55215.0</v>
      </c>
      <c r="C514" s="38" t="s">
        <v>1200</v>
      </c>
      <c r="D514" s="38" t="str">
        <f>IFERROR(__xludf.DUMMYFUNCTION("REGEXREPLACE(C514,""-\d+(.*)|--\d+(.*)"","""")"),"GONDRECOURT-LE-CHATEAU")</f>
        <v>GONDRECOURT-LE-CHATEAU</v>
      </c>
      <c r="E514" s="38" t="s">
        <v>322</v>
      </c>
      <c r="F514" s="38" t="s">
        <v>195</v>
      </c>
      <c r="G514" s="49" t="str">
        <f t="shared" si="1"/>
        <v>55130</v>
      </c>
      <c r="H514" s="49">
        <f t="shared" si="2"/>
        <v>55215</v>
      </c>
    </row>
    <row r="515">
      <c r="A515" s="48" t="s">
        <v>1201</v>
      </c>
      <c r="B515" s="38">
        <v>78296.0</v>
      </c>
      <c r="C515" s="38" t="s">
        <v>1202</v>
      </c>
      <c r="D515" s="38" t="str">
        <f>IFERROR(__xludf.DUMMYFUNCTION("REGEXREPLACE(C515,""-\d+(.*)|--\d+(.*)"","""")"),"GUITRANCOURT")</f>
        <v>GUITRANCOURT</v>
      </c>
      <c r="E515" s="38" t="s">
        <v>362</v>
      </c>
      <c r="F515" s="38" t="s">
        <v>245</v>
      </c>
      <c r="G515" s="49" t="str">
        <f t="shared" si="1"/>
        <v>78440</v>
      </c>
      <c r="H515" s="49">
        <f t="shared" si="2"/>
        <v>78296</v>
      </c>
    </row>
    <row r="516">
      <c r="A516" s="48" t="s">
        <v>1203</v>
      </c>
      <c r="B516" s="38">
        <v>17214.0</v>
      </c>
      <c r="C516" s="38" t="s">
        <v>1204</v>
      </c>
      <c r="D516" s="38" t="str">
        <f>IFERROR(__xludf.DUMMYFUNCTION("REGEXREPLACE(C516,""-\d+(.*)|--\d+(.*)"","""")"),"LUCHAT")</f>
        <v>LUCHAT</v>
      </c>
      <c r="E516" s="38" t="s">
        <v>488</v>
      </c>
      <c r="F516" s="38" t="s">
        <v>338</v>
      </c>
      <c r="G516" s="49" t="str">
        <f t="shared" si="1"/>
        <v>17600</v>
      </c>
      <c r="H516" s="49">
        <f t="shared" si="2"/>
        <v>17214</v>
      </c>
    </row>
    <row r="517">
      <c r="A517" s="48" t="s">
        <v>1205</v>
      </c>
      <c r="B517" s="38">
        <v>54392.0</v>
      </c>
      <c r="C517" s="38" t="s">
        <v>1206</v>
      </c>
      <c r="D517" s="38" t="str">
        <f>IFERROR(__xludf.DUMMYFUNCTION("REGEXREPLACE(C517,""-\d+(.*)|--\d+(.*)"","""")"),"MOUTROT")</f>
        <v>MOUTROT</v>
      </c>
      <c r="E517" s="38" t="s">
        <v>548</v>
      </c>
      <c r="F517" s="38" t="s">
        <v>195</v>
      </c>
      <c r="G517" s="49" t="str">
        <f t="shared" si="1"/>
        <v>54113</v>
      </c>
      <c r="H517" s="49">
        <f t="shared" si="2"/>
        <v>54392</v>
      </c>
    </row>
    <row r="518">
      <c r="A518" s="48" t="s">
        <v>452</v>
      </c>
      <c r="B518" s="38">
        <v>21415.0</v>
      </c>
      <c r="C518" s="38" t="s">
        <v>1207</v>
      </c>
      <c r="D518" s="38" t="str">
        <f>IFERROR(__xludf.DUMMYFUNCTION("REGEXREPLACE(C518,""-\d+(.*)|--\d+(.*)"","""")"),"MINOT")</f>
        <v>MINOT</v>
      </c>
      <c r="E518" s="38" t="s">
        <v>105</v>
      </c>
      <c r="F518" s="38" t="s">
        <v>106</v>
      </c>
      <c r="G518" s="49" t="str">
        <f t="shared" si="1"/>
        <v>21510</v>
      </c>
      <c r="H518" s="49">
        <f t="shared" si="2"/>
        <v>21415</v>
      </c>
    </row>
    <row r="519">
      <c r="A519" s="48" t="s">
        <v>1208</v>
      </c>
      <c r="B519" s="38">
        <v>32192.0</v>
      </c>
      <c r="C519" s="38" t="s">
        <v>1209</v>
      </c>
      <c r="D519" s="38" t="str">
        <f>IFERROR(__xludf.DUMMYFUNCTION("REGEXREPLACE(C519,""-\d+(.*)|--\d+(.*)"","""")"),"LANNUX")</f>
        <v>LANNUX</v>
      </c>
      <c r="E519" s="38" t="s">
        <v>440</v>
      </c>
      <c r="F519" s="38" t="s">
        <v>94</v>
      </c>
      <c r="G519" s="49" t="str">
        <f t="shared" si="1"/>
        <v>32400</v>
      </c>
      <c r="H519" s="49">
        <f t="shared" si="2"/>
        <v>32192</v>
      </c>
    </row>
    <row r="520">
      <c r="A520" s="48" t="s">
        <v>1210</v>
      </c>
      <c r="B520" s="38">
        <v>50169.0</v>
      </c>
      <c r="C520" s="38" t="s">
        <v>1211</v>
      </c>
      <c r="D520" s="38" t="str">
        <f>IFERROR(__xludf.DUMMYFUNCTION("REGEXREPLACE(C520,""-\d+(.*)|--\d+(.*)"","""")"),"ECAUSSEVILLE")</f>
        <v>ECAUSSEVILLE</v>
      </c>
      <c r="E520" s="38" t="s">
        <v>157</v>
      </c>
      <c r="F520" s="38" t="s">
        <v>138</v>
      </c>
      <c r="G520" s="49" t="str">
        <f t="shared" si="1"/>
        <v>50310</v>
      </c>
      <c r="H520" s="49">
        <f t="shared" si="2"/>
        <v>50169</v>
      </c>
    </row>
    <row r="521">
      <c r="A521" s="48" t="s">
        <v>1212</v>
      </c>
      <c r="B521" s="38">
        <v>11111.0</v>
      </c>
      <c r="C521" s="38" t="s">
        <v>1213</v>
      </c>
      <c r="D521" s="38" t="str">
        <f>IFERROR(__xludf.DUMMYFUNCTION("REGEXREPLACE(C521,""-\d+(.*)|--\d+(.*)"","""")"),"CRUSCADES")</f>
        <v>CRUSCADES</v>
      </c>
      <c r="E521" s="38" t="s">
        <v>278</v>
      </c>
      <c r="F521" s="38" t="s">
        <v>119</v>
      </c>
      <c r="G521" s="49" t="str">
        <f t="shared" si="1"/>
        <v>11200</v>
      </c>
      <c r="H521" s="49">
        <f t="shared" si="2"/>
        <v>11111</v>
      </c>
    </row>
    <row r="522">
      <c r="A522" s="48" t="s">
        <v>1214</v>
      </c>
      <c r="B522" s="38">
        <v>56215.0</v>
      </c>
      <c r="C522" s="38" t="s">
        <v>1215</v>
      </c>
      <c r="D522" s="38" t="str">
        <f>IFERROR(__xludf.DUMMYFUNCTION("REGEXREPLACE(C522,""-\d+(.*)|--\d+(.*)"","""")"),"SAINT-GONNERY")</f>
        <v>SAINT-GONNERY</v>
      </c>
      <c r="E522" s="38" t="s">
        <v>173</v>
      </c>
      <c r="F522" s="38" t="s">
        <v>90</v>
      </c>
      <c r="G522" s="49" t="str">
        <f t="shared" si="1"/>
        <v>56920</v>
      </c>
      <c r="H522" s="49">
        <f t="shared" si="2"/>
        <v>56215</v>
      </c>
    </row>
    <row r="523">
      <c r="A523" s="48" t="s">
        <v>1216</v>
      </c>
      <c r="B523" s="38">
        <v>21583.0</v>
      </c>
      <c r="C523" s="38" t="s">
        <v>1217</v>
      </c>
      <c r="D523" s="38" t="str">
        <f>IFERROR(__xludf.DUMMYFUNCTION("REGEXREPLACE(C523,""-\d+(.*)|--\d+(.*)"","""")"),"SANTOSSE")</f>
        <v>SANTOSSE</v>
      </c>
      <c r="E523" s="38" t="s">
        <v>105</v>
      </c>
      <c r="F523" s="38" t="s">
        <v>106</v>
      </c>
      <c r="G523" s="49" t="str">
        <f t="shared" si="1"/>
        <v>21340</v>
      </c>
      <c r="H523" s="49">
        <f t="shared" si="2"/>
        <v>21583</v>
      </c>
    </row>
    <row r="524">
      <c r="A524" s="48" t="s">
        <v>1218</v>
      </c>
      <c r="B524" s="38">
        <v>9094.0</v>
      </c>
      <c r="C524" s="38" t="s">
        <v>1219</v>
      </c>
      <c r="D524" s="38" t="str">
        <f>IFERROR(__xludf.DUMMYFUNCTION("REGEXREPLACE(C524,""-\d+(.*)|--\d+(.*)"","""")"),"CERIZOLS")</f>
        <v>CERIZOLS</v>
      </c>
      <c r="E524" s="38" t="s">
        <v>238</v>
      </c>
      <c r="F524" s="38" t="s">
        <v>94</v>
      </c>
      <c r="G524" s="49" t="str">
        <f t="shared" si="1"/>
        <v>09230</v>
      </c>
      <c r="H524" s="49" t="str">
        <f t="shared" si="2"/>
        <v>09094</v>
      </c>
    </row>
    <row r="525">
      <c r="A525" s="48" t="s">
        <v>1220</v>
      </c>
      <c r="B525" s="38">
        <v>76077.0</v>
      </c>
      <c r="C525" s="38" t="s">
        <v>1221</v>
      </c>
      <c r="D525" s="38" t="str">
        <f>IFERROR(__xludf.DUMMYFUNCTION("REGEXREPLACE(C525,""-\d+(.*)|--\d+(.*)"","""")"),"BENESVILLE")</f>
        <v>BENESVILLE</v>
      </c>
      <c r="E525" s="38" t="s">
        <v>133</v>
      </c>
      <c r="F525" s="38" t="s">
        <v>134</v>
      </c>
      <c r="G525" s="49" t="str">
        <f t="shared" si="1"/>
        <v>76560</v>
      </c>
      <c r="H525" s="49">
        <f t="shared" si="2"/>
        <v>76077</v>
      </c>
    </row>
    <row r="526">
      <c r="A526" s="48" t="s">
        <v>1222</v>
      </c>
      <c r="B526" s="38">
        <v>47008.0</v>
      </c>
      <c r="C526" s="38" t="s">
        <v>1223</v>
      </c>
      <c r="D526" s="38" t="str">
        <f>IFERROR(__xludf.DUMMYFUNCTION("REGEXREPLACE(C526,""-\d+(.*)|--\d+(.*)"","""")"),"AMBRUS")</f>
        <v>AMBRUS</v>
      </c>
      <c r="E526" s="38" t="s">
        <v>251</v>
      </c>
      <c r="F526" s="38" t="s">
        <v>252</v>
      </c>
      <c r="G526" s="49" t="str">
        <f t="shared" si="1"/>
        <v>47160</v>
      </c>
      <c r="H526" s="49">
        <f t="shared" si="2"/>
        <v>47008</v>
      </c>
    </row>
    <row r="527">
      <c r="A527" s="48" t="s">
        <v>1224</v>
      </c>
      <c r="B527" s="38">
        <v>18238.0</v>
      </c>
      <c r="C527" s="38" t="s">
        <v>1225</v>
      </c>
      <c r="D527" s="38" t="str">
        <f>IFERROR(__xludf.DUMMYFUNCTION("REGEXREPLACE(C527,""-\d+(.*)|--\d+(.*)"","""")"),"SAINT-VITTE")</f>
        <v>SAINT-VITTE</v>
      </c>
      <c r="E527" s="38" t="s">
        <v>504</v>
      </c>
      <c r="F527" s="38" t="s">
        <v>123</v>
      </c>
      <c r="G527" s="49" t="str">
        <f t="shared" si="1"/>
        <v>18360</v>
      </c>
      <c r="H527" s="49">
        <f t="shared" si="2"/>
        <v>18238</v>
      </c>
    </row>
    <row r="528">
      <c r="A528" s="48" t="s">
        <v>1226</v>
      </c>
      <c r="B528" s="38">
        <v>71243.0</v>
      </c>
      <c r="C528" s="38" t="s">
        <v>1227</v>
      </c>
      <c r="D528" s="38" t="str">
        <f>IFERROR(__xludf.DUMMYFUNCTION("REGEXREPLACE(C528,""-\d+(.*)|--\d+(.*)"","""")"),"JOUDES")</f>
        <v>JOUDES</v>
      </c>
      <c r="E528" s="38" t="s">
        <v>344</v>
      </c>
      <c r="F528" s="38" t="s">
        <v>106</v>
      </c>
      <c r="G528" s="49" t="str">
        <f t="shared" si="1"/>
        <v>71480</v>
      </c>
      <c r="H528" s="49">
        <f t="shared" si="2"/>
        <v>71243</v>
      </c>
    </row>
    <row r="529">
      <c r="A529" s="48" t="s">
        <v>1228</v>
      </c>
      <c r="B529" s="38">
        <v>34046.0</v>
      </c>
      <c r="C529" s="38" t="s">
        <v>1229</v>
      </c>
      <c r="D529" s="38" t="str">
        <f>IFERROR(__xludf.DUMMYFUNCTION("REGEXREPLACE(C529,""-\d+(.*)|--\d+(.*)"","""")"),"CAMBON-ET-SALVERGUES")</f>
        <v>CAMBON-ET-SALVERGUES</v>
      </c>
      <c r="E529" s="38" t="s">
        <v>118</v>
      </c>
      <c r="F529" s="38" t="s">
        <v>119</v>
      </c>
      <c r="G529" s="49" t="str">
        <f t="shared" si="1"/>
        <v>34330</v>
      </c>
      <c r="H529" s="49">
        <f t="shared" si="2"/>
        <v>34046</v>
      </c>
    </row>
    <row r="530">
      <c r="A530" s="48" t="s">
        <v>1081</v>
      </c>
      <c r="B530" s="38">
        <v>14427.0</v>
      </c>
      <c r="C530" s="38" t="s">
        <v>1230</v>
      </c>
      <c r="D530" s="38" t="str">
        <f>IFERROR(__xludf.DUMMYFUNCTION("REGEXREPLACE(C530,""-\d+(.*)|--\d+(.*)"","""")"),"LE MESNIL-VILLEMENT")</f>
        <v>LE MESNIL-VILLEMENT</v>
      </c>
      <c r="E530" s="38" t="s">
        <v>137</v>
      </c>
      <c r="F530" s="38" t="s">
        <v>138</v>
      </c>
      <c r="G530" s="49" t="str">
        <f t="shared" si="1"/>
        <v>14690</v>
      </c>
      <c r="H530" s="49">
        <f t="shared" si="2"/>
        <v>14427</v>
      </c>
    </row>
    <row r="531">
      <c r="A531" s="48" t="s">
        <v>1231</v>
      </c>
      <c r="B531" s="38">
        <v>13019.0</v>
      </c>
      <c r="C531" s="38" t="s">
        <v>1232</v>
      </c>
      <c r="D531" s="38" t="str">
        <f>IFERROR(__xludf.DUMMYFUNCTION("REGEXREPLACE(C531,""-\d+(.*)|--\d+(.*)"","""")"),"CABRIES")</f>
        <v>CABRIES</v>
      </c>
      <c r="E531" s="38" t="s">
        <v>980</v>
      </c>
      <c r="F531" s="38" t="s">
        <v>228</v>
      </c>
      <c r="G531" s="49" t="str">
        <f t="shared" si="1"/>
        <v>13480</v>
      </c>
      <c r="H531" s="49">
        <f t="shared" si="2"/>
        <v>13019</v>
      </c>
    </row>
    <row r="532">
      <c r="A532" s="48" t="s">
        <v>1233</v>
      </c>
      <c r="B532" s="38">
        <v>60662.0</v>
      </c>
      <c r="C532" s="38" t="s">
        <v>1234</v>
      </c>
      <c r="D532" s="38" t="str">
        <f>IFERROR(__xludf.DUMMYFUNCTION("REGEXREPLACE(C532,""-\d+(.*)|--\d+(.*)"","""")"),"LE VAUROUX")</f>
        <v>LE VAUROUX</v>
      </c>
      <c r="E532" s="38" t="s">
        <v>112</v>
      </c>
      <c r="F532" s="38" t="s">
        <v>113</v>
      </c>
      <c r="G532" s="49" t="str">
        <f t="shared" si="1"/>
        <v>60390</v>
      </c>
      <c r="H532" s="49">
        <f t="shared" si="2"/>
        <v>60662</v>
      </c>
    </row>
    <row r="533">
      <c r="A533" s="48" t="s">
        <v>1235</v>
      </c>
      <c r="B533" s="38">
        <v>80051.0</v>
      </c>
      <c r="C533" s="38" t="s">
        <v>1236</v>
      </c>
      <c r="D533" s="38" t="str">
        <f>IFERROR(__xludf.DUMMYFUNCTION("REGEXREPLACE(C533,""-\d+(.*)|--\d+(.*)"","""")"),"BAILLEUL")</f>
        <v>BAILLEUL</v>
      </c>
      <c r="E533" s="38" t="s">
        <v>224</v>
      </c>
      <c r="F533" s="38" t="s">
        <v>113</v>
      </c>
      <c r="G533" s="49" t="str">
        <f t="shared" si="1"/>
        <v>80490</v>
      </c>
      <c r="H533" s="49">
        <f t="shared" si="2"/>
        <v>80051</v>
      </c>
    </row>
    <row r="534">
      <c r="A534" s="48" t="s">
        <v>1237</v>
      </c>
      <c r="B534" s="38">
        <v>54371.0</v>
      </c>
      <c r="C534" s="38" t="s">
        <v>1238</v>
      </c>
      <c r="D534" s="38" t="str">
        <f>IFERROR(__xludf.DUMMYFUNCTION("REGEXREPLACE(C534,""-\d+(.*)|--\d+(.*)"","""")"),"MOINEVILLE")</f>
        <v>MOINEVILLE</v>
      </c>
      <c r="E534" s="38" t="s">
        <v>548</v>
      </c>
      <c r="F534" s="38" t="s">
        <v>195</v>
      </c>
      <c r="G534" s="49" t="str">
        <f t="shared" si="1"/>
        <v>54580</v>
      </c>
      <c r="H534" s="49">
        <f t="shared" si="2"/>
        <v>54371</v>
      </c>
    </row>
    <row r="535">
      <c r="A535" s="48" t="s">
        <v>1239</v>
      </c>
      <c r="B535" s="38">
        <v>2738.0</v>
      </c>
      <c r="C535" s="38" t="s">
        <v>1240</v>
      </c>
      <c r="D535" s="38" t="str">
        <f>IFERROR(__xludf.DUMMYFUNCTION("REGEXREPLACE(C535,""-\d+(.*)|--\d+(.*)"","""")"),"TERGNIER")</f>
        <v>TERGNIER</v>
      </c>
      <c r="E535" s="38" t="s">
        <v>191</v>
      </c>
      <c r="F535" s="38" t="s">
        <v>113</v>
      </c>
      <c r="G535" s="49" t="str">
        <f t="shared" si="1"/>
        <v>02700</v>
      </c>
      <c r="H535" s="49" t="str">
        <f t="shared" si="2"/>
        <v>02738</v>
      </c>
    </row>
    <row r="536">
      <c r="A536" s="48" t="s">
        <v>1241</v>
      </c>
      <c r="B536" s="38">
        <v>71579.0</v>
      </c>
      <c r="C536" s="38" t="s">
        <v>1242</v>
      </c>
      <c r="D536" s="38" t="str">
        <f>IFERROR(__xludf.DUMMYFUNCTION("REGEXREPLACE(C536,""-\d+(.*)|--\d+(.*)"","""")"),"VILLENEUVE-EN-MONTAGNE")</f>
        <v>VILLENEUVE-EN-MONTAGNE</v>
      </c>
      <c r="E536" s="38" t="s">
        <v>344</v>
      </c>
      <c r="F536" s="38" t="s">
        <v>106</v>
      </c>
      <c r="G536" s="49" t="str">
        <f t="shared" si="1"/>
        <v>71390</v>
      </c>
      <c r="H536" s="49">
        <f t="shared" si="2"/>
        <v>71579</v>
      </c>
    </row>
    <row r="537">
      <c r="A537" s="48" t="s">
        <v>1243</v>
      </c>
      <c r="B537" s="38">
        <v>15218.0</v>
      </c>
      <c r="C537" s="38" t="s">
        <v>1244</v>
      </c>
      <c r="D537" s="38" t="str">
        <f>IFERROR(__xludf.DUMMYFUNCTION("REGEXREPLACE(C537,""-\d+(.*)|--\d+(.*)"","""")"),"SAINT-VINCENT-DE-SALERS")</f>
        <v>SAINT-VINCENT-DE-SALERS</v>
      </c>
      <c r="E537" s="38" t="s">
        <v>632</v>
      </c>
      <c r="F537" s="38" t="s">
        <v>161</v>
      </c>
      <c r="G537" s="49" t="str">
        <f t="shared" si="1"/>
        <v>15380</v>
      </c>
      <c r="H537" s="49">
        <f t="shared" si="2"/>
        <v>15218</v>
      </c>
    </row>
    <row r="538">
      <c r="A538" s="48" t="s">
        <v>394</v>
      </c>
      <c r="B538" s="38">
        <v>41190.0</v>
      </c>
      <c r="C538" s="38" t="s">
        <v>1245</v>
      </c>
      <c r="D538" s="38" t="str">
        <f>IFERROR(__xludf.DUMMYFUNCTION("REGEXREPLACE(C538,""-\d+(.*)|--\d+(.*)"","""")"),"ROCE")</f>
        <v>ROCE</v>
      </c>
      <c r="E538" s="38" t="s">
        <v>188</v>
      </c>
      <c r="F538" s="38" t="s">
        <v>123</v>
      </c>
      <c r="G538" s="49" t="str">
        <f t="shared" si="1"/>
        <v>41100</v>
      </c>
      <c r="H538" s="49">
        <f t="shared" si="2"/>
        <v>41190</v>
      </c>
    </row>
    <row r="539">
      <c r="A539" s="48" t="s">
        <v>1246</v>
      </c>
      <c r="B539" s="38">
        <v>62827.0</v>
      </c>
      <c r="C539" s="38" t="s">
        <v>1247</v>
      </c>
      <c r="D539" s="38" t="str">
        <f>IFERROR(__xludf.DUMMYFUNCTION("REGEXREPLACE(C539,""-\d+(.*)|--\d+(.*)"","""")"),"TOURNEHEM-SUR-LA-HEM")</f>
        <v>TOURNEHEM-SUR-LA-HEM</v>
      </c>
      <c r="E539" s="38" t="s">
        <v>109</v>
      </c>
      <c r="F539" s="38" t="s">
        <v>86</v>
      </c>
      <c r="G539" s="49" t="str">
        <f t="shared" si="1"/>
        <v>62890</v>
      </c>
      <c r="H539" s="49">
        <f t="shared" si="2"/>
        <v>62827</v>
      </c>
    </row>
    <row r="540">
      <c r="A540" s="48" t="s">
        <v>1248</v>
      </c>
      <c r="B540" s="38">
        <v>6122.0</v>
      </c>
      <c r="C540" s="38" t="s">
        <v>1249</v>
      </c>
      <c r="D540" s="38" t="str">
        <f>IFERROR(__xludf.DUMMYFUNCTION("REGEXREPLACE(C540,""-\d+(.*)|--\d+(.*)"","""")"),"SAINT-JEANNET")</f>
        <v>SAINT-JEANNET</v>
      </c>
      <c r="E540" s="38" t="s">
        <v>227</v>
      </c>
      <c r="F540" s="38" t="s">
        <v>228</v>
      </c>
      <c r="G540" s="49" t="str">
        <f t="shared" si="1"/>
        <v>06640</v>
      </c>
      <c r="H540" s="49" t="str">
        <f t="shared" si="2"/>
        <v>06122</v>
      </c>
    </row>
    <row r="541">
      <c r="A541" s="48" t="s">
        <v>1250</v>
      </c>
      <c r="B541" s="38">
        <v>31539.0</v>
      </c>
      <c r="C541" s="38" t="s">
        <v>1251</v>
      </c>
      <c r="D541" s="38" t="str">
        <f>IFERROR(__xludf.DUMMYFUNCTION("REGEXREPLACE(C541,""-\d+(.*)|--\d+(.*)"","""")"),"SEDEILHAC")</f>
        <v>SEDEILHAC</v>
      </c>
      <c r="E541" s="38" t="s">
        <v>93</v>
      </c>
      <c r="F541" s="38" t="s">
        <v>94</v>
      </c>
      <c r="G541" s="49" t="str">
        <f t="shared" si="1"/>
        <v>31580</v>
      </c>
      <c r="H541" s="49">
        <f t="shared" si="2"/>
        <v>31539</v>
      </c>
    </row>
    <row r="542">
      <c r="A542" s="48" t="s">
        <v>1252</v>
      </c>
      <c r="B542" s="38">
        <v>72304.0</v>
      </c>
      <c r="C542" s="38" t="s">
        <v>1253</v>
      </c>
      <c r="D542" s="38" t="str">
        <f>IFERROR(__xludf.DUMMYFUNCTION("REGEXREPLACE(C542,""-\d+(.*)|--\d+(.*)"","""")"),"SAINTE-OSMANE")</f>
        <v>SAINTE-OSMANE</v>
      </c>
      <c r="E542" s="38" t="s">
        <v>521</v>
      </c>
      <c r="F542" s="38" t="s">
        <v>180</v>
      </c>
      <c r="G542" s="49" t="str">
        <f t="shared" si="1"/>
        <v>72120</v>
      </c>
      <c r="H542" s="49">
        <f t="shared" si="2"/>
        <v>72304</v>
      </c>
    </row>
    <row r="543">
      <c r="A543" s="48" t="s">
        <v>1254</v>
      </c>
      <c r="B543" s="38">
        <v>72111.0</v>
      </c>
      <c r="C543" s="38" t="s">
        <v>1255</v>
      </c>
      <c r="D543" s="38" t="str">
        <f>IFERROR(__xludf.DUMMYFUNCTION("REGEXREPLACE(C543,""-\d+(.*)|--\d+(.*)"","""")"),"CURES")</f>
        <v>CURES</v>
      </c>
      <c r="E543" s="38" t="s">
        <v>521</v>
      </c>
      <c r="F543" s="38" t="s">
        <v>180</v>
      </c>
      <c r="G543" s="49" t="str">
        <f t="shared" si="1"/>
        <v>72240</v>
      </c>
      <c r="H543" s="49">
        <f t="shared" si="2"/>
        <v>72111</v>
      </c>
    </row>
    <row r="544">
      <c r="A544" s="48" t="s">
        <v>1256</v>
      </c>
      <c r="B544" s="38">
        <v>87059.0</v>
      </c>
      <c r="C544" s="38" t="s">
        <v>1257</v>
      </c>
      <c r="D544" s="38" t="str">
        <f>IFERROR(__xludf.DUMMYFUNCTION("REGEXREPLACE(C544,""-\d+(.*)|--\d+(.*)"","""")"),"LE DORAT")</f>
        <v>LE DORAT</v>
      </c>
      <c r="E544" s="38" t="s">
        <v>897</v>
      </c>
      <c r="F544" s="38" t="s">
        <v>98</v>
      </c>
      <c r="G544" s="49" t="str">
        <f t="shared" si="1"/>
        <v>87210</v>
      </c>
      <c r="H544" s="49">
        <f t="shared" si="2"/>
        <v>87059</v>
      </c>
    </row>
    <row r="545">
      <c r="A545" s="48" t="s">
        <v>1258</v>
      </c>
      <c r="B545" s="38">
        <v>35234.0</v>
      </c>
      <c r="C545" s="38" t="s">
        <v>1259</v>
      </c>
      <c r="D545" s="38" t="str">
        <f>IFERROR(__xludf.DUMMYFUNCTION("REGEXREPLACE(C545,""-\d+(.*)|--\d+(.*)"","""")"),"QUEDILLAC")</f>
        <v>QUEDILLAC</v>
      </c>
      <c r="E545" s="38" t="s">
        <v>347</v>
      </c>
      <c r="F545" s="38" t="s">
        <v>90</v>
      </c>
      <c r="G545" s="49" t="str">
        <f t="shared" si="1"/>
        <v>35290</v>
      </c>
      <c r="H545" s="49">
        <f t="shared" si="2"/>
        <v>35234</v>
      </c>
    </row>
    <row r="546">
      <c r="A546" s="48" t="s">
        <v>1260</v>
      </c>
      <c r="B546" s="38">
        <v>84004.0</v>
      </c>
      <c r="C546" s="38" t="s">
        <v>1261</v>
      </c>
      <c r="D546" s="38" t="str">
        <f>IFERROR(__xludf.DUMMYFUNCTION("REGEXREPLACE(C546,""-\d+(.*)|--\d+(.*)"","""")"),"AUBIGNAN")</f>
        <v>AUBIGNAN</v>
      </c>
      <c r="E546" s="38" t="s">
        <v>1026</v>
      </c>
      <c r="F546" s="38" t="s">
        <v>228</v>
      </c>
      <c r="G546" s="49" t="str">
        <f t="shared" si="1"/>
        <v>84810</v>
      </c>
      <c r="H546" s="49">
        <f t="shared" si="2"/>
        <v>84004</v>
      </c>
    </row>
    <row r="547">
      <c r="A547" s="48" t="s">
        <v>1262</v>
      </c>
      <c r="B547" s="38">
        <v>11138.0</v>
      </c>
      <c r="C547" s="38" t="s">
        <v>1263</v>
      </c>
      <c r="D547" s="38" t="str">
        <f>IFERROR(__xludf.DUMMYFUNCTION("REGEXREPLACE(C547,""-\d+(.*)|--\d+(.*)"","""")"),"FENDEILLE")</f>
        <v>FENDEILLE</v>
      </c>
      <c r="E547" s="38" t="s">
        <v>278</v>
      </c>
      <c r="F547" s="38" t="s">
        <v>119</v>
      </c>
      <c r="G547" s="49" t="str">
        <f t="shared" si="1"/>
        <v>11400</v>
      </c>
      <c r="H547" s="49">
        <f t="shared" si="2"/>
        <v>11138</v>
      </c>
    </row>
    <row r="548">
      <c r="A548" s="48" t="s">
        <v>1264</v>
      </c>
      <c r="B548" s="38">
        <v>88358.0</v>
      </c>
      <c r="C548" s="38" t="s">
        <v>1265</v>
      </c>
      <c r="D548" s="38" t="str">
        <f>IFERROR(__xludf.DUMMYFUNCTION("REGEXREPLACE(C548,""-\d+(.*)|--\d+(.*)"","""")"),"POUXEUX")</f>
        <v>POUXEUX</v>
      </c>
      <c r="E548" s="38" t="s">
        <v>194</v>
      </c>
      <c r="F548" s="38" t="s">
        <v>195</v>
      </c>
      <c r="G548" s="49" t="str">
        <f t="shared" si="1"/>
        <v>88550</v>
      </c>
      <c r="H548" s="49">
        <f t="shared" si="2"/>
        <v>88358</v>
      </c>
    </row>
    <row r="549">
      <c r="A549" s="48" t="s">
        <v>1266</v>
      </c>
      <c r="B549" s="38">
        <v>67223.0</v>
      </c>
      <c r="C549" s="38" t="s">
        <v>1267</v>
      </c>
      <c r="D549" s="38" t="str">
        <f>IFERROR(__xludf.DUMMYFUNCTION("REGEXREPLACE(C549,""-\d+(.*)|--\d+(.*)"","""")"),"INNENHEIM")</f>
        <v>INNENHEIM</v>
      </c>
      <c r="E549" s="38" t="s">
        <v>210</v>
      </c>
      <c r="F549" s="38" t="s">
        <v>151</v>
      </c>
      <c r="G549" s="49" t="str">
        <f t="shared" si="1"/>
        <v>67880</v>
      </c>
      <c r="H549" s="49">
        <f t="shared" si="2"/>
        <v>67223</v>
      </c>
    </row>
    <row r="550">
      <c r="A550" s="48" t="s">
        <v>1268</v>
      </c>
      <c r="B550" s="38">
        <v>8291.0</v>
      </c>
      <c r="C550" s="38" t="s">
        <v>1269</v>
      </c>
      <c r="D550" s="38" t="str">
        <f>IFERROR(__xludf.DUMMYFUNCTION("REGEXREPLACE(C550,""-\d+(.*)|--\d+(.*)"","""")"),"MOGUES")</f>
        <v>MOGUES</v>
      </c>
      <c r="E550" s="38" t="s">
        <v>327</v>
      </c>
      <c r="F550" s="38" t="s">
        <v>130</v>
      </c>
      <c r="G550" s="49" t="str">
        <f t="shared" si="1"/>
        <v>08110</v>
      </c>
      <c r="H550" s="49" t="str">
        <f t="shared" si="2"/>
        <v>08291</v>
      </c>
    </row>
    <row r="551">
      <c r="A551" s="48" t="s">
        <v>1270</v>
      </c>
      <c r="B551" s="38">
        <v>57330.0</v>
      </c>
      <c r="C551" s="38" t="s">
        <v>1271</v>
      </c>
      <c r="D551" s="38" t="str">
        <f>IFERROR(__xludf.DUMMYFUNCTION("REGEXREPLACE(C551,""-\d+(.*)|--\d+(.*)"","""")"),"HOLVING")</f>
        <v>HOLVING</v>
      </c>
      <c r="E551" s="38" t="s">
        <v>303</v>
      </c>
      <c r="F551" s="38" t="s">
        <v>195</v>
      </c>
      <c r="G551" s="49" t="str">
        <f t="shared" si="1"/>
        <v>57510</v>
      </c>
      <c r="H551" s="49">
        <f t="shared" si="2"/>
        <v>57330</v>
      </c>
    </row>
    <row r="552">
      <c r="A552" s="48" t="s">
        <v>1272</v>
      </c>
      <c r="B552" s="38">
        <v>51415.0</v>
      </c>
      <c r="C552" s="38" t="s">
        <v>1273</v>
      </c>
      <c r="D552" s="38" t="str">
        <f>IFERROR(__xludf.DUMMYFUNCTION("REGEXREPLACE(C552,""-\d+(.*)|--\d+(.*)"","""")"),"OMEY")</f>
        <v>OMEY</v>
      </c>
      <c r="E552" s="38" t="s">
        <v>129</v>
      </c>
      <c r="F552" s="38" t="s">
        <v>130</v>
      </c>
      <c r="G552" s="49" t="str">
        <f t="shared" si="1"/>
        <v>51240</v>
      </c>
      <c r="H552" s="49">
        <f t="shared" si="2"/>
        <v>51415</v>
      </c>
    </row>
    <row r="553">
      <c r="A553" s="48" t="s">
        <v>1274</v>
      </c>
      <c r="B553" s="38">
        <v>33027.0</v>
      </c>
      <c r="C553" s="38" t="s">
        <v>1275</v>
      </c>
      <c r="D553" s="38" t="str">
        <f>IFERROR(__xludf.DUMMYFUNCTION("REGEXREPLACE(C553,""-\d+(.*)|--\d+(.*)"","""")"),"BARIE")</f>
        <v>BARIE</v>
      </c>
      <c r="E553" s="38" t="s">
        <v>462</v>
      </c>
      <c r="F553" s="38" t="s">
        <v>252</v>
      </c>
      <c r="G553" s="49" t="str">
        <f t="shared" si="1"/>
        <v>33190</v>
      </c>
      <c r="H553" s="49">
        <f t="shared" si="2"/>
        <v>33027</v>
      </c>
    </row>
    <row r="554">
      <c r="A554" s="48" t="s">
        <v>1276</v>
      </c>
      <c r="B554" s="38">
        <v>64074.0</v>
      </c>
      <c r="C554" s="38" t="s">
        <v>1277</v>
      </c>
      <c r="D554" s="38" t="str">
        <f>IFERROR(__xludf.DUMMYFUNCTION("REGEXREPLACE(C554,""-\d+(.*)|--\d+(.*)"","""")"),"AUBOUS")</f>
        <v>AUBOUS</v>
      </c>
      <c r="E554" s="38" t="s">
        <v>268</v>
      </c>
      <c r="F554" s="38" t="s">
        <v>252</v>
      </c>
      <c r="G554" s="49" t="str">
        <f t="shared" si="1"/>
        <v>64330</v>
      </c>
      <c r="H554" s="49">
        <f t="shared" si="2"/>
        <v>64074</v>
      </c>
    </row>
    <row r="555">
      <c r="A555" s="48" t="s">
        <v>1278</v>
      </c>
      <c r="B555" s="38">
        <v>83106.0</v>
      </c>
      <c r="C555" s="38" t="s">
        <v>1279</v>
      </c>
      <c r="D555" s="38" t="str">
        <f>IFERROR(__xludf.DUMMYFUNCTION("REGEXREPLACE(C555,""-\d+(.*)|--\d+(.*)"","""")"),"ROCBARON")</f>
        <v>ROCBARON</v>
      </c>
      <c r="E555" s="38" t="s">
        <v>813</v>
      </c>
      <c r="F555" s="38" t="s">
        <v>228</v>
      </c>
      <c r="G555" s="49" t="str">
        <f t="shared" si="1"/>
        <v>83136</v>
      </c>
      <c r="H555" s="49">
        <f t="shared" si="2"/>
        <v>83106</v>
      </c>
    </row>
    <row r="556">
      <c r="A556" s="48" t="s">
        <v>948</v>
      </c>
      <c r="B556" s="38">
        <v>68202.0</v>
      </c>
      <c r="C556" s="38" t="s">
        <v>1280</v>
      </c>
      <c r="D556" s="38" t="str">
        <f>IFERROR(__xludf.DUMMYFUNCTION("REGEXREPLACE(C556,""-\d+(.*)|--\d+(.*)"","""")"),"MERTZEN")</f>
        <v>MERTZEN</v>
      </c>
      <c r="E556" s="38" t="s">
        <v>150</v>
      </c>
      <c r="F556" s="38" t="s">
        <v>151</v>
      </c>
      <c r="G556" s="49" t="str">
        <f t="shared" si="1"/>
        <v>68210</v>
      </c>
      <c r="H556" s="49">
        <f t="shared" si="2"/>
        <v>68202</v>
      </c>
    </row>
    <row r="557">
      <c r="A557" s="48" t="s">
        <v>1281</v>
      </c>
      <c r="B557" s="38">
        <v>90023.0</v>
      </c>
      <c r="C557" s="38" t="s">
        <v>1282</v>
      </c>
      <c r="D557" s="38" t="str">
        <f>IFERROR(__xludf.DUMMYFUNCTION("REGEXREPLACE(C557,""-\d+(.*)|--\d+(.*)"","""")"),"CHAUX")</f>
        <v>CHAUX</v>
      </c>
      <c r="E557" s="38" t="s">
        <v>1283</v>
      </c>
      <c r="F557" s="38" t="s">
        <v>214</v>
      </c>
      <c r="G557" s="49" t="str">
        <f t="shared" si="1"/>
        <v>90330</v>
      </c>
      <c r="H557" s="49">
        <f t="shared" si="2"/>
        <v>90023</v>
      </c>
    </row>
    <row r="558">
      <c r="A558" s="48" t="s">
        <v>1284</v>
      </c>
      <c r="B558" s="38">
        <v>9166.0</v>
      </c>
      <c r="C558" s="38" t="s">
        <v>1285</v>
      </c>
      <c r="D558" s="38" t="str">
        <f>IFERROR(__xludf.DUMMYFUNCTION("REGEXREPLACE(C558,""-\d+(.*)|--\d+(.*)"","""")"),"LEYCHERT")</f>
        <v>LEYCHERT</v>
      </c>
      <c r="E558" s="38" t="s">
        <v>238</v>
      </c>
      <c r="F558" s="38" t="s">
        <v>94</v>
      </c>
      <c r="G558" s="49" t="str">
        <f t="shared" si="1"/>
        <v>09300</v>
      </c>
      <c r="H558" s="49" t="str">
        <f t="shared" si="2"/>
        <v>09166</v>
      </c>
    </row>
    <row r="559">
      <c r="A559" s="48" t="s">
        <v>1286</v>
      </c>
      <c r="B559" s="38">
        <v>47169.0</v>
      </c>
      <c r="C559" s="38" t="s">
        <v>1287</v>
      </c>
      <c r="D559" s="38" t="str">
        <f>IFERROR(__xludf.DUMMYFUNCTION("REGEXREPLACE(C559,""-\d+(.*)|--\d+(.*)"","""")"),"MOIRAX")</f>
        <v>MOIRAX</v>
      </c>
      <c r="E559" s="38" t="s">
        <v>251</v>
      </c>
      <c r="F559" s="38" t="s">
        <v>252</v>
      </c>
      <c r="G559" s="49" t="str">
        <f t="shared" si="1"/>
        <v>47310</v>
      </c>
      <c r="H559" s="49">
        <f t="shared" si="2"/>
        <v>47169</v>
      </c>
    </row>
    <row r="560">
      <c r="A560" s="48" t="s">
        <v>1288</v>
      </c>
      <c r="B560" s="38">
        <v>64301.0</v>
      </c>
      <c r="C560" s="38" t="s">
        <v>1289</v>
      </c>
      <c r="D560" s="38" t="str">
        <f>IFERROR(__xludf.DUMMYFUNCTION("REGEXREPLACE(C560,""-\d+(.*)|--\d+(.*)"","""")"),"LAGOR")</f>
        <v>LAGOR</v>
      </c>
      <c r="E560" s="38" t="s">
        <v>268</v>
      </c>
      <c r="F560" s="38" t="s">
        <v>252</v>
      </c>
      <c r="G560" s="49" t="str">
        <f t="shared" si="1"/>
        <v>64150</v>
      </c>
      <c r="H560" s="49">
        <f t="shared" si="2"/>
        <v>64301</v>
      </c>
    </row>
    <row r="561">
      <c r="A561" s="48" t="s">
        <v>1290</v>
      </c>
      <c r="B561" s="38">
        <v>21227.0</v>
      </c>
      <c r="C561" s="38" t="s">
        <v>1291</v>
      </c>
      <c r="D561" s="38" t="str">
        <f>IFERROR(__xludf.DUMMYFUNCTION("REGEXREPLACE(C561,""-\d+(.*)|--\d+(.*)"","""")"),"DAROIS")</f>
        <v>DAROIS</v>
      </c>
      <c r="E561" s="38" t="s">
        <v>105</v>
      </c>
      <c r="F561" s="38" t="s">
        <v>106</v>
      </c>
      <c r="G561" s="49" t="str">
        <f t="shared" si="1"/>
        <v>21121</v>
      </c>
      <c r="H561" s="49">
        <f t="shared" si="2"/>
        <v>21227</v>
      </c>
    </row>
    <row r="562">
      <c r="A562" s="48" t="s">
        <v>1161</v>
      </c>
      <c r="B562" s="38">
        <v>45247.0</v>
      </c>
      <c r="C562" s="38" t="s">
        <v>1292</v>
      </c>
      <c r="D562" s="38" t="str">
        <f>IFERROR(__xludf.DUMMYFUNCTION("REGEXREPLACE(C562,""-\d+(.*)|--\d+(.*)"","""")"),"PANNES")</f>
        <v>PANNES</v>
      </c>
      <c r="E562" s="38" t="s">
        <v>122</v>
      </c>
      <c r="F562" s="38" t="s">
        <v>123</v>
      </c>
      <c r="G562" s="49" t="str">
        <f t="shared" si="1"/>
        <v>45700</v>
      </c>
      <c r="H562" s="49">
        <f t="shared" si="2"/>
        <v>45247</v>
      </c>
    </row>
    <row r="563">
      <c r="A563" s="48" t="s">
        <v>1293</v>
      </c>
      <c r="B563" s="38">
        <v>25478.0</v>
      </c>
      <c r="C563" s="38" t="s">
        <v>1294</v>
      </c>
      <c r="D563" s="38" t="str">
        <f>IFERROR(__xludf.DUMMYFUNCTION("REGEXREPLACE(C563,""-\d+(.*)|--\d+(.*)"","""")"),"RANDEVILLERS")</f>
        <v>RANDEVILLERS</v>
      </c>
      <c r="E563" s="38" t="s">
        <v>213</v>
      </c>
      <c r="F563" s="38" t="s">
        <v>214</v>
      </c>
      <c r="G563" s="49" t="str">
        <f t="shared" si="1"/>
        <v>25430</v>
      </c>
      <c r="H563" s="49">
        <f t="shared" si="2"/>
        <v>25478</v>
      </c>
    </row>
    <row r="564">
      <c r="A564" s="48" t="s">
        <v>1295</v>
      </c>
      <c r="B564" s="38">
        <v>57108.0</v>
      </c>
      <c r="C564" s="38" t="s">
        <v>1296</v>
      </c>
      <c r="D564" s="38" t="str">
        <f>IFERROR(__xludf.DUMMYFUNCTION("REGEXREPLACE(C564,""-\d+(.*)|--\d+(.*)"","""")"),"BREIDENBACH")</f>
        <v>BREIDENBACH</v>
      </c>
      <c r="E564" s="38" t="s">
        <v>303</v>
      </c>
      <c r="F564" s="38" t="s">
        <v>195</v>
      </c>
      <c r="G564" s="49" t="str">
        <f t="shared" si="1"/>
        <v>57720</v>
      </c>
      <c r="H564" s="49">
        <f t="shared" si="2"/>
        <v>57108</v>
      </c>
    </row>
    <row r="565">
      <c r="A565" s="48" t="s">
        <v>773</v>
      </c>
      <c r="B565" s="38">
        <v>27326.0</v>
      </c>
      <c r="C565" s="38" t="s">
        <v>1297</v>
      </c>
      <c r="D565" s="38" t="str">
        <f>IFERROR(__xludf.DUMMYFUNCTION("REGEXREPLACE(C565,""-\d+(.*)|--\d+(.*)"","""")"),"HECOURT")</f>
        <v>HECOURT</v>
      </c>
      <c r="E565" s="38" t="s">
        <v>241</v>
      </c>
      <c r="F565" s="38" t="s">
        <v>134</v>
      </c>
      <c r="G565" s="49" t="str">
        <f t="shared" si="1"/>
        <v>27120</v>
      </c>
      <c r="H565" s="49">
        <f t="shared" si="2"/>
        <v>27326</v>
      </c>
    </row>
    <row r="566">
      <c r="A566" s="48" t="s">
        <v>1298</v>
      </c>
      <c r="B566" s="38">
        <v>38132.0</v>
      </c>
      <c r="C566" s="38" t="s">
        <v>1299</v>
      </c>
      <c r="D566" s="38" t="str">
        <f>IFERROR(__xludf.DUMMYFUNCTION("REGEXREPLACE(C566,""-\d+(.*)|--\d+(.*)"","""")"),"LES COTES-DE-CORPS")</f>
        <v>LES COTES-DE-CORPS</v>
      </c>
      <c r="E566" s="38" t="s">
        <v>101</v>
      </c>
      <c r="F566" s="38" t="s">
        <v>102</v>
      </c>
      <c r="G566" s="49" t="str">
        <f t="shared" si="1"/>
        <v>38970</v>
      </c>
      <c r="H566" s="49">
        <f t="shared" si="2"/>
        <v>38132</v>
      </c>
    </row>
    <row r="567">
      <c r="A567" s="48" t="s">
        <v>1300</v>
      </c>
      <c r="B567" s="38">
        <v>60177.0</v>
      </c>
      <c r="C567" s="38" t="s">
        <v>1301</v>
      </c>
      <c r="D567" s="38" t="str">
        <f>IFERROR(__xludf.DUMMYFUNCTION("REGEXREPLACE(C567,""-\d+(.*)|--\d+(.*)"","""")"),"CRESSONSACQ")</f>
        <v>CRESSONSACQ</v>
      </c>
      <c r="E567" s="38" t="s">
        <v>112</v>
      </c>
      <c r="F567" s="38" t="s">
        <v>113</v>
      </c>
      <c r="G567" s="49" t="str">
        <f t="shared" si="1"/>
        <v>60190</v>
      </c>
      <c r="H567" s="49">
        <f t="shared" si="2"/>
        <v>60177</v>
      </c>
    </row>
    <row r="568">
      <c r="A568" s="48" t="s">
        <v>1302</v>
      </c>
      <c r="B568" s="38">
        <v>38207.0</v>
      </c>
      <c r="C568" s="38" t="s">
        <v>1303</v>
      </c>
      <c r="D568" s="38" t="str">
        <f>IFERROR(__xludf.DUMMYFUNCTION("REGEXREPLACE(C568,""-\d+(.*)|--\d+(.*)"","""")"),"LAVALDENS")</f>
        <v>LAVALDENS</v>
      </c>
      <c r="E568" s="38" t="s">
        <v>101</v>
      </c>
      <c r="F568" s="38" t="s">
        <v>102</v>
      </c>
      <c r="G568" s="49" t="str">
        <f t="shared" si="1"/>
        <v>38350</v>
      </c>
      <c r="H568" s="49">
        <f t="shared" si="2"/>
        <v>38207</v>
      </c>
    </row>
    <row r="569">
      <c r="A569" s="48" t="s">
        <v>618</v>
      </c>
      <c r="B569" s="38">
        <v>54530.0</v>
      </c>
      <c r="C569" s="38" t="s">
        <v>1304</v>
      </c>
      <c r="D569" s="38" t="str">
        <f>IFERROR(__xludf.DUMMYFUNCTION("REGEXREPLACE(C569,""-\d+(.*)|--\d+(.*)"","""")"),"TRAMONT-LASSUS")</f>
        <v>TRAMONT-LASSUS</v>
      </c>
      <c r="E569" s="38" t="s">
        <v>548</v>
      </c>
      <c r="F569" s="38" t="s">
        <v>195</v>
      </c>
      <c r="G569" s="49" t="str">
        <f t="shared" si="1"/>
        <v>54115</v>
      </c>
      <c r="H569" s="49">
        <f t="shared" si="2"/>
        <v>54530</v>
      </c>
    </row>
    <row r="570">
      <c r="A570" s="48" t="s">
        <v>1305</v>
      </c>
      <c r="B570" s="38">
        <v>36052.0</v>
      </c>
      <c r="C570" s="38" t="s">
        <v>1306</v>
      </c>
      <c r="D570" s="38" t="str">
        <f>IFERROR(__xludf.DUMMYFUNCTION("REGEXREPLACE(C570,""-\d+(.*)|--\d+(.*)"","""")"),"CHOUDAY")</f>
        <v>CHOUDAY</v>
      </c>
      <c r="E570" s="38" t="s">
        <v>258</v>
      </c>
      <c r="F570" s="38" t="s">
        <v>123</v>
      </c>
      <c r="G570" s="49" t="str">
        <f t="shared" si="1"/>
        <v>36100</v>
      </c>
      <c r="H570" s="49">
        <f t="shared" si="2"/>
        <v>36052</v>
      </c>
    </row>
    <row r="571">
      <c r="A571" s="48" t="s">
        <v>1307</v>
      </c>
      <c r="B571" s="38">
        <v>43215.0</v>
      </c>
      <c r="C571" s="38" t="s">
        <v>1308</v>
      </c>
      <c r="D571" s="38" t="str">
        <f>IFERROR(__xludf.DUMMYFUNCTION("REGEXREPLACE(C571,""-\d+(.*)|--\d+(.*)"","""")"),"SAINT-PAUL-DE-TARTAS")</f>
        <v>SAINT-PAUL-DE-TARTAS</v>
      </c>
      <c r="E571" s="38" t="s">
        <v>332</v>
      </c>
      <c r="F571" s="38" t="s">
        <v>161</v>
      </c>
      <c r="G571" s="49" t="str">
        <f t="shared" si="1"/>
        <v>43420</v>
      </c>
      <c r="H571" s="49">
        <f t="shared" si="2"/>
        <v>43215</v>
      </c>
    </row>
    <row r="572">
      <c r="A572" s="48" t="s">
        <v>1295</v>
      </c>
      <c r="B572" s="38">
        <v>57393.0</v>
      </c>
      <c r="C572" s="38" t="s">
        <v>1309</v>
      </c>
      <c r="D572" s="38" t="str">
        <f>IFERROR(__xludf.DUMMYFUNCTION("REGEXREPLACE(C572,""-\d+(.*)|--\d+(.*)"","""")"),"LENGELSHEIM")</f>
        <v>LENGELSHEIM</v>
      </c>
      <c r="E572" s="38" t="s">
        <v>303</v>
      </c>
      <c r="F572" s="38" t="s">
        <v>195</v>
      </c>
      <c r="G572" s="49" t="str">
        <f t="shared" si="1"/>
        <v>57720</v>
      </c>
      <c r="H572" s="49">
        <f t="shared" si="2"/>
        <v>57393</v>
      </c>
    </row>
    <row r="573">
      <c r="A573" s="48" t="s">
        <v>1310</v>
      </c>
      <c r="B573" s="38">
        <v>25211.0</v>
      </c>
      <c r="C573" s="38" t="s">
        <v>1311</v>
      </c>
      <c r="D573" s="38" t="str">
        <f>IFERROR(__xludf.DUMMYFUNCTION("REGEXREPLACE(C573,""-\d+(.*)|--\d+(.*)"","""")"),"ECHEVANNES")</f>
        <v>ECHEVANNES</v>
      </c>
      <c r="E573" s="38" t="s">
        <v>213</v>
      </c>
      <c r="F573" s="38" t="s">
        <v>214</v>
      </c>
      <c r="G573" s="49" t="str">
        <f t="shared" si="1"/>
        <v>25580</v>
      </c>
      <c r="H573" s="49">
        <f t="shared" si="2"/>
        <v>25211</v>
      </c>
    </row>
    <row r="574">
      <c r="A574" s="48" t="s">
        <v>220</v>
      </c>
      <c r="B574" s="38">
        <v>67050.0</v>
      </c>
      <c r="C574" s="38" t="s">
        <v>1312</v>
      </c>
      <c r="D574" s="38" t="str">
        <f>IFERROR(__xludf.DUMMYFUNCTION("REGEXREPLACE(C574,""-\d+(.*)|--\d+(.*)"","""")"),"BLANCHERUPT")</f>
        <v>BLANCHERUPT</v>
      </c>
      <c r="E574" s="38" t="s">
        <v>210</v>
      </c>
      <c r="F574" s="38" t="s">
        <v>151</v>
      </c>
      <c r="G574" s="49" t="str">
        <f t="shared" si="1"/>
        <v>67130</v>
      </c>
      <c r="H574" s="49">
        <f t="shared" si="2"/>
        <v>67050</v>
      </c>
    </row>
    <row r="575">
      <c r="A575" s="48" t="s">
        <v>1313</v>
      </c>
      <c r="B575" s="38">
        <v>28140.0</v>
      </c>
      <c r="C575" s="38" t="s">
        <v>1314</v>
      </c>
      <c r="D575" s="38" t="str">
        <f>IFERROR(__xludf.DUMMYFUNCTION("REGEXREPLACE(C575,""-\d+(.*)|--\d+(.*)"","""")"),"EPERNON")</f>
        <v>EPERNON</v>
      </c>
      <c r="E575" s="38" t="s">
        <v>300</v>
      </c>
      <c r="F575" s="38" t="s">
        <v>123</v>
      </c>
      <c r="G575" s="49" t="str">
        <f t="shared" si="1"/>
        <v>28230</v>
      </c>
      <c r="H575" s="49">
        <f t="shared" si="2"/>
        <v>28140</v>
      </c>
    </row>
    <row r="576">
      <c r="A576" s="48" t="s">
        <v>1315</v>
      </c>
      <c r="B576" s="38">
        <v>19241.0</v>
      </c>
      <c r="C576" s="38" t="s">
        <v>1316</v>
      </c>
      <c r="D576" s="38" t="str">
        <f>IFERROR(__xludf.DUMMYFUNCTION("REGEXREPLACE(C576,""-\d+(.*)|--\d+(.*)"","""")"),"SAINT-SETIERS")</f>
        <v>SAINT-SETIERS</v>
      </c>
      <c r="E576" s="38" t="s">
        <v>271</v>
      </c>
      <c r="F576" s="38" t="s">
        <v>98</v>
      </c>
      <c r="G576" s="49" t="str">
        <f t="shared" si="1"/>
        <v>19290</v>
      </c>
      <c r="H576" s="49">
        <f t="shared" si="2"/>
        <v>19241</v>
      </c>
    </row>
    <row r="577">
      <c r="A577" s="48" t="s">
        <v>1317</v>
      </c>
      <c r="B577" s="38">
        <v>8467.0</v>
      </c>
      <c r="C577" s="38" t="s">
        <v>1318</v>
      </c>
      <c r="D577" s="38" t="str">
        <f>IFERROR(__xludf.DUMMYFUNCTION("REGEXREPLACE(C577,""-\d+(.*)|--\d+(.*)"","""")"),"VAUX-MONTREUIL")</f>
        <v>VAUX-MONTREUIL</v>
      </c>
      <c r="E577" s="38" t="s">
        <v>327</v>
      </c>
      <c r="F577" s="38" t="s">
        <v>130</v>
      </c>
      <c r="G577" s="49" t="str">
        <f t="shared" si="1"/>
        <v>08270</v>
      </c>
      <c r="H577" s="49" t="str">
        <f t="shared" si="2"/>
        <v>08467</v>
      </c>
    </row>
    <row r="578">
      <c r="A578" s="48" t="s">
        <v>1319</v>
      </c>
      <c r="B578" s="38">
        <v>58251.0</v>
      </c>
      <c r="C578" s="38" t="s">
        <v>1320</v>
      </c>
      <c r="D578" s="38" t="str">
        <f>IFERROR(__xludf.DUMMYFUNCTION("REGEXREPLACE(C578,""-\d+(.*)|--\d+(.*)"","""")"),"SAINT-LOUP")</f>
        <v>SAINT-LOUP</v>
      </c>
      <c r="E578" s="38" t="s">
        <v>219</v>
      </c>
      <c r="F578" s="38" t="s">
        <v>106</v>
      </c>
      <c r="G578" s="49" t="str">
        <f t="shared" si="1"/>
        <v>58200</v>
      </c>
      <c r="H578" s="49">
        <f t="shared" si="2"/>
        <v>58251</v>
      </c>
    </row>
    <row r="579">
      <c r="A579" s="48" t="s">
        <v>1321</v>
      </c>
      <c r="B579" s="38">
        <v>67545.0</v>
      </c>
      <c r="C579" s="38" t="s">
        <v>1322</v>
      </c>
      <c r="D579" s="38" t="str">
        <f>IFERROR(__xludf.DUMMYFUNCTION("REGEXREPLACE(C579,""-\d+(.*)|--\d+(.*)"","""")"),"WITTERNHEIM")</f>
        <v>WITTERNHEIM</v>
      </c>
      <c r="E579" s="38" t="s">
        <v>210</v>
      </c>
      <c r="F579" s="38" t="s">
        <v>151</v>
      </c>
      <c r="G579" s="49" t="str">
        <f t="shared" si="1"/>
        <v>67230</v>
      </c>
      <c r="H579" s="49">
        <f t="shared" si="2"/>
        <v>67545</v>
      </c>
    </row>
    <row r="580">
      <c r="A580" s="48" t="s">
        <v>1323</v>
      </c>
      <c r="B580" s="38">
        <v>21403.0</v>
      </c>
      <c r="C580" s="38" t="s">
        <v>1324</v>
      </c>
      <c r="D580" s="38" t="str">
        <f>IFERROR(__xludf.DUMMYFUNCTION("REGEXREPLACE(C580,""-\d+(.*)|--\d+(.*)"","""")"),"MENESSAIRE")</f>
        <v>MENESSAIRE</v>
      </c>
      <c r="E580" s="38" t="s">
        <v>105</v>
      </c>
      <c r="F580" s="38" t="s">
        <v>106</v>
      </c>
      <c r="G580" s="49" t="str">
        <f t="shared" si="1"/>
        <v>21430</v>
      </c>
      <c r="H580" s="49">
        <f t="shared" si="2"/>
        <v>21403</v>
      </c>
    </row>
    <row r="581">
      <c r="A581" s="48" t="s">
        <v>1325</v>
      </c>
      <c r="B581" s="38">
        <v>7151.0</v>
      </c>
      <c r="C581" s="38" t="s">
        <v>1326</v>
      </c>
      <c r="D581" s="38" t="str">
        <f>IFERROR(__xludf.DUMMYFUNCTION("REGEXREPLACE(C581,""-\d+(.*)|--\d+(.*)"","""")"),"MARS")</f>
        <v>MARS</v>
      </c>
      <c r="E581" s="38" t="s">
        <v>144</v>
      </c>
      <c r="F581" s="38" t="s">
        <v>102</v>
      </c>
      <c r="G581" s="49" t="str">
        <f t="shared" si="1"/>
        <v>07320</v>
      </c>
      <c r="H581" s="49" t="str">
        <f t="shared" si="2"/>
        <v>07151</v>
      </c>
    </row>
    <row r="582">
      <c r="A582" s="48" t="s">
        <v>1327</v>
      </c>
      <c r="B582" s="38">
        <v>51013.0</v>
      </c>
      <c r="C582" s="38" t="s">
        <v>1328</v>
      </c>
      <c r="D582" s="38" t="str">
        <f>IFERROR(__xludf.DUMMYFUNCTION("REGEXREPLACE(C582,""-\d+(.*)|--\d+(.*)"","""")"),"AOUGNY")</f>
        <v>AOUGNY</v>
      </c>
      <c r="E582" s="38" t="s">
        <v>129</v>
      </c>
      <c r="F582" s="38" t="s">
        <v>130</v>
      </c>
      <c r="G582" s="49" t="str">
        <f t="shared" si="1"/>
        <v>51170</v>
      </c>
      <c r="H582" s="49">
        <f t="shared" si="2"/>
        <v>51013</v>
      </c>
    </row>
    <row r="583">
      <c r="A583" s="48" t="s">
        <v>229</v>
      </c>
      <c r="B583" s="38">
        <v>81185.0</v>
      </c>
      <c r="C583" s="38" t="s">
        <v>1329</v>
      </c>
      <c r="D583" s="38" t="str">
        <f>IFERROR(__xludf.DUMMYFUNCTION("REGEXREPLACE(C583,""-\d+(.*)|--\d+(.*)"","""")"),"MONTVALEN")</f>
        <v>MONTVALEN</v>
      </c>
      <c r="E583" s="38" t="s">
        <v>231</v>
      </c>
      <c r="F583" s="38" t="s">
        <v>94</v>
      </c>
      <c r="G583" s="49" t="str">
        <f t="shared" si="1"/>
        <v>81630</v>
      </c>
      <c r="H583" s="49">
        <f t="shared" si="2"/>
        <v>81185</v>
      </c>
    </row>
    <row r="584">
      <c r="A584" s="48" t="s">
        <v>1330</v>
      </c>
      <c r="B584" s="38">
        <v>6092.0</v>
      </c>
      <c r="C584" s="38" t="s">
        <v>1331</v>
      </c>
      <c r="D584" s="38" t="str">
        <f>IFERROR(__xludf.DUMMYFUNCTION("REGEXREPLACE(C584,""-\d+(.*)|--\d+(.*)"","""")"),"PEILLON")</f>
        <v>PEILLON</v>
      </c>
      <c r="E584" s="38" t="s">
        <v>227</v>
      </c>
      <c r="F584" s="38" t="s">
        <v>228</v>
      </c>
      <c r="G584" s="49" t="str">
        <f t="shared" si="1"/>
        <v>06440</v>
      </c>
      <c r="H584" s="49" t="str">
        <f t="shared" si="2"/>
        <v>06092</v>
      </c>
    </row>
    <row r="585">
      <c r="A585" s="48" t="s">
        <v>1332</v>
      </c>
      <c r="B585" s="38">
        <v>51138.0</v>
      </c>
      <c r="C585" s="38" t="s">
        <v>1333</v>
      </c>
      <c r="D585" s="38" t="str">
        <f>IFERROR(__xludf.DUMMYFUNCTION("REGEXREPLACE(C585,""-\d+(.*)|--\d+(.*)"","""")"),"CHATRICES")</f>
        <v>CHATRICES</v>
      </c>
      <c r="E585" s="38" t="s">
        <v>129</v>
      </c>
      <c r="F585" s="38" t="s">
        <v>130</v>
      </c>
      <c r="G585" s="49" t="str">
        <f t="shared" si="1"/>
        <v>51800</v>
      </c>
      <c r="H585" s="49">
        <f t="shared" si="2"/>
        <v>51138</v>
      </c>
    </row>
    <row r="586">
      <c r="A586" s="48" t="s">
        <v>1334</v>
      </c>
      <c r="B586" s="38">
        <v>7005.0</v>
      </c>
      <c r="C586" s="38" t="s">
        <v>1335</v>
      </c>
      <c r="D586" s="38" t="str">
        <f>IFERROR(__xludf.DUMMYFUNCTION("REGEXREPLACE(C586,""-\d+(.*)|--\d+(.*)"","""")"),"ALBA-LA-ROMAINE")</f>
        <v>ALBA-LA-ROMAINE</v>
      </c>
      <c r="E586" s="38" t="s">
        <v>144</v>
      </c>
      <c r="F586" s="38" t="s">
        <v>102</v>
      </c>
      <c r="G586" s="49" t="str">
        <f t="shared" si="1"/>
        <v>07400</v>
      </c>
      <c r="H586" s="49" t="str">
        <f t="shared" si="2"/>
        <v>07005</v>
      </c>
    </row>
    <row r="587">
      <c r="A587" s="48" t="s">
        <v>1336</v>
      </c>
      <c r="B587" s="38">
        <v>33123.0</v>
      </c>
      <c r="C587" s="38" t="s">
        <v>1337</v>
      </c>
      <c r="D587" s="38" t="str">
        <f>IFERROR(__xludf.DUMMYFUNCTION("REGEXREPLACE(C587,""-\d+(.*)|--\d+(.*)"","""")"),"CEZAC")</f>
        <v>CEZAC</v>
      </c>
      <c r="E587" s="38" t="s">
        <v>462</v>
      </c>
      <c r="F587" s="38" t="s">
        <v>252</v>
      </c>
      <c r="G587" s="49" t="str">
        <f t="shared" si="1"/>
        <v>33620</v>
      </c>
      <c r="H587" s="49">
        <f t="shared" si="2"/>
        <v>33123</v>
      </c>
    </row>
    <row r="588">
      <c r="A588" s="48" t="s">
        <v>1338</v>
      </c>
      <c r="B588" s="38">
        <v>91434.0</v>
      </c>
      <c r="C588" s="38" t="s">
        <v>1339</v>
      </c>
      <c r="D588" s="38" t="str">
        <f>IFERROR(__xludf.DUMMYFUNCTION("REGEXREPLACE(C588,""-\d+(.*)|--\d+(.*)"","""")"),"MORSANG-SUR-ORGE")</f>
        <v>MORSANG-SUR-ORGE</v>
      </c>
      <c r="E588" s="38" t="s">
        <v>756</v>
      </c>
      <c r="F588" s="38" t="s">
        <v>245</v>
      </c>
      <c r="G588" s="49" t="str">
        <f t="shared" si="1"/>
        <v>91390</v>
      </c>
      <c r="H588" s="49">
        <f t="shared" si="2"/>
        <v>91434</v>
      </c>
    </row>
    <row r="589">
      <c r="A589" s="48" t="s">
        <v>601</v>
      </c>
      <c r="B589" s="38">
        <v>51218.0</v>
      </c>
      <c r="C589" s="38" t="s">
        <v>1340</v>
      </c>
      <c r="D589" s="38" t="str">
        <f>IFERROR(__xludf.DUMMYFUNCTION("REGEXREPLACE(C589,""-\d+(.*)|--\d+(.*)"","""")"),"VAL-DE-VIERE")</f>
        <v>VAL-DE-VIERE</v>
      </c>
      <c r="E589" s="38" t="s">
        <v>129</v>
      </c>
      <c r="F589" s="38" t="s">
        <v>130</v>
      </c>
      <c r="G589" s="49" t="str">
        <f t="shared" si="1"/>
        <v>51340</v>
      </c>
      <c r="H589" s="49">
        <f t="shared" si="2"/>
        <v>51218</v>
      </c>
    </row>
    <row r="590">
      <c r="A590" s="48" t="s">
        <v>1341</v>
      </c>
      <c r="B590" s="38">
        <v>14577.0</v>
      </c>
      <c r="C590" s="38" t="s">
        <v>1342</v>
      </c>
      <c r="D590" s="38" t="str">
        <f>IFERROR(__xludf.DUMMYFUNCTION("REGEXREPLACE(C590,""-\d+(.*)|--\d+(.*)"","""")"),"SAINT-GABRIEL-BRECY")</f>
        <v>SAINT-GABRIEL-BRECY</v>
      </c>
      <c r="E590" s="38" t="s">
        <v>137</v>
      </c>
      <c r="F590" s="38" t="s">
        <v>138</v>
      </c>
      <c r="G590" s="49" t="str">
        <f t="shared" si="1"/>
        <v>14480</v>
      </c>
      <c r="H590" s="49">
        <f t="shared" si="2"/>
        <v>14577</v>
      </c>
    </row>
    <row r="591">
      <c r="A591" s="48" t="s">
        <v>1343</v>
      </c>
      <c r="B591" s="38">
        <v>10060.0</v>
      </c>
      <c r="C591" s="38" t="s">
        <v>1344</v>
      </c>
      <c r="D591" s="38" t="str">
        <f>IFERROR(__xludf.DUMMYFUNCTION("REGEXREPLACE(C591,""-\d+(.*)|--\d+(.*)"","""")"),"BREVIANDES")</f>
        <v>BREVIANDES</v>
      </c>
      <c r="E591" s="38" t="s">
        <v>147</v>
      </c>
      <c r="F591" s="38" t="s">
        <v>130</v>
      </c>
      <c r="G591" s="49" t="str">
        <f t="shared" si="1"/>
        <v>10450</v>
      </c>
      <c r="H591" s="49">
        <f t="shared" si="2"/>
        <v>10060</v>
      </c>
    </row>
    <row r="592">
      <c r="A592" s="48" t="s">
        <v>1345</v>
      </c>
      <c r="B592" s="38">
        <v>46294.0</v>
      </c>
      <c r="C592" s="38" t="s">
        <v>1346</v>
      </c>
      <c r="D592" s="38" t="str">
        <f>IFERROR(__xludf.DUMMYFUNCTION("REGEXREPLACE(C592,""-\d+(.*)|--\d+(.*)"","""")"),"SAINT-SULPICE")</f>
        <v>SAINT-SULPICE</v>
      </c>
      <c r="E592" s="38" t="s">
        <v>185</v>
      </c>
      <c r="F592" s="38" t="s">
        <v>94</v>
      </c>
      <c r="G592" s="49" t="str">
        <f t="shared" si="1"/>
        <v>46160</v>
      </c>
      <c r="H592" s="49">
        <f t="shared" si="2"/>
        <v>46294</v>
      </c>
    </row>
    <row r="593">
      <c r="A593" s="48" t="s">
        <v>1347</v>
      </c>
      <c r="B593" s="38">
        <v>16339.0</v>
      </c>
      <c r="C593" s="38" t="s">
        <v>1348</v>
      </c>
      <c r="D593" s="38" t="str">
        <f>IFERROR(__xludf.DUMMYFUNCTION("REGEXREPLACE(C593,""-\d+(.*)|--\d+(.*)"","""")"),"AUGE-SAINT-MEDARD")</f>
        <v>AUGE-SAINT-MEDARD</v>
      </c>
      <c r="E593" s="38" t="s">
        <v>429</v>
      </c>
      <c r="F593" s="38" t="s">
        <v>338</v>
      </c>
      <c r="G593" s="49" t="str">
        <f t="shared" si="1"/>
        <v>16170</v>
      </c>
      <c r="H593" s="49">
        <f t="shared" si="2"/>
        <v>16339</v>
      </c>
    </row>
    <row r="594">
      <c r="A594" s="48" t="s">
        <v>685</v>
      </c>
      <c r="B594" s="38">
        <v>86236.0</v>
      </c>
      <c r="C594" s="38" t="s">
        <v>1349</v>
      </c>
      <c r="D594" s="38" t="str">
        <f>IFERROR(__xludf.DUMMYFUNCTION("REGEXREPLACE(C594,""-\d+(.*)|--\d+(.*)"","""")"),"SAINT-PIERRE-DE-MAILLE")</f>
        <v>SAINT-PIERRE-DE-MAILLE</v>
      </c>
      <c r="E594" s="38" t="s">
        <v>529</v>
      </c>
      <c r="F594" s="38" t="s">
        <v>338</v>
      </c>
      <c r="G594" s="49" t="str">
        <f t="shared" si="1"/>
        <v>86260</v>
      </c>
      <c r="H594" s="49">
        <f t="shared" si="2"/>
        <v>86236</v>
      </c>
    </row>
    <row r="595">
      <c r="A595" s="48" t="s">
        <v>1350</v>
      </c>
      <c r="B595" s="38">
        <v>92044.0</v>
      </c>
      <c r="C595" s="38" t="s">
        <v>1351</v>
      </c>
      <c r="D595" s="38" t="str">
        <f>IFERROR(__xludf.DUMMYFUNCTION("REGEXREPLACE(C595,""-\d+(.*)|--\d+(.*)"","""")"),"LEVALLOIS-PERRET")</f>
        <v>LEVALLOIS-PERRET</v>
      </c>
      <c r="E595" s="38" t="s">
        <v>838</v>
      </c>
      <c r="F595" s="38" t="s">
        <v>245</v>
      </c>
      <c r="G595" s="49" t="str">
        <f t="shared" si="1"/>
        <v>92300</v>
      </c>
      <c r="H595" s="49">
        <f t="shared" si="2"/>
        <v>92044</v>
      </c>
    </row>
    <row r="596">
      <c r="A596" s="48" t="s">
        <v>1352</v>
      </c>
      <c r="B596" s="38">
        <v>79303.0</v>
      </c>
      <c r="C596" s="38" t="s">
        <v>1353</v>
      </c>
      <c r="D596" s="38" t="str">
        <f>IFERROR(__xludf.DUMMYFUNCTION("REGEXREPLACE(C596,""-\d+(.*)|--\d+(.*)"","""")"),"SALLES")</f>
        <v>SALLES</v>
      </c>
      <c r="E596" s="38" t="s">
        <v>337</v>
      </c>
      <c r="F596" s="38" t="s">
        <v>338</v>
      </c>
      <c r="G596" s="49" t="str">
        <f t="shared" si="1"/>
        <v>79800</v>
      </c>
      <c r="H596" s="49">
        <f t="shared" si="2"/>
        <v>79303</v>
      </c>
    </row>
    <row r="597">
      <c r="A597" s="48" t="s">
        <v>1354</v>
      </c>
      <c r="B597" s="38">
        <v>28102.0</v>
      </c>
      <c r="C597" s="38" t="s">
        <v>1355</v>
      </c>
      <c r="D597" s="38" t="str">
        <f>IFERROR(__xludf.DUMMYFUNCTION("REGEXREPLACE(C597,""-\d+(.*)|--\d+(.*)"","""")"),"CLEVILLIERS")</f>
        <v>CLEVILLIERS</v>
      </c>
      <c r="E597" s="38" t="s">
        <v>300</v>
      </c>
      <c r="F597" s="38" t="s">
        <v>123</v>
      </c>
      <c r="G597" s="49" t="str">
        <f t="shared" si="1"/>
        <v>28300</v>
      </c>
      <c r="H597" s="49">
        <f t="shared" si="2"/>
        <v>28102</v>
      </c>
    </row>
    <row r="598">
      <c r="A598" s="48" t="s">
        <v>1356</v>
      </c>
      <c r="B598" s="38">
        <v>57500.0</v>
      </c>
      <c r="C598" s="38" t="s">
        <v>1357</v>
      </c>
      <c r="D598" s="38" t="str">
        <f>IFERROR(__xludf.DUMMYFUNCTION("REGEXREPLACE(C598,""-\d+(.*)|--\d+(.*)"","""")"),"NEUFMOULINS")</f>
        <v>NEUFMOULINS</v>
      </c>
      <c r="E598" s="38" t="s">
        <v>303</v>
      </c>
      <c r="F598" s="38" t="s">
        <v>195</v>
      </c>
      <c r="G598" s="49" t="str">
        <f t="shared" si="1"/>
        <v>57830</v>
      </c>
      <c r="H598" s="49">
        <f t="shared" si="2"/>
        <v>57500</v>
      </c>
    </row>
    <row r="599">
      <c r="A599" s="48" t="s">
        <v>1358</v>
      </c>
      <c r="B599" s="38">
        <v>81301.0</v>
      </c>
      <c r="C599" s="38" t="s">
        <v>1359</v>
      </c>
      <c r="D599" s="38" t="str">
        <f>IFERROR(__xludf.DUMMYFUNCTION("REGEXREPLACE(C599,""-\d+(.*)|--\d+(.*)"","""")"),"LE TRAVET")</f>
        <v>LE TRAVET</v>
      </c>
      <c r="E599" s="38" t="s">
        <v>231</v>
      </c>
      <c r="F599" s="38" t="s">
        <v>94</v>
      </c>
      <c r="G599" s="49" t="str">
        <f t="shared" si="1"/>
        <v>81120</v>
      </c>
      <c r="H599" s="49">
        <f t="shared" si="2"/>
        <v>81301</v>
      </c>
    </row>
    <row r="600">
      <c r="A600" s="48" t="s">
        <v>1360</v>
      </c>
      <c r="B600" s="38">
        <v>23127.0</v>
      </c>
      <c r="C600" s="38" t="s">
        <v>1361</v>
      </c>
      <c r="D600" s="38" t="str">
        <f>IFERROR(__xludf.DUMMYFUNCTION("REGEXREPLACE(C600,""-\d+(.*)|--\d+(.*)"","""")"),"MAUTES")</f>
        <v>MAUTES</v>
      </c>
      <c r="E600" s="38" t="s">
        <v>97</v>
      </c>
      <c r="F600" s="38" t="s">
        <v>98</v>
      </c>
      <c r="G600" s="49" t="str">
        <f t="shared" si="1"/>
        <v>23190</v>
      </c>
      <c r="H600" s="49">
        <f t="shared" si="2"/>
        <v>23127</v>
      </c>
    </row>
    <row r="601">
      <c r="A601" s="48" t="s">
        <v>1362</v>
      </c>
      <c r="B601" s="38">
        <v>34290.0</v>
      </c>
      <c r="C601" s="38" t="s">
        <v>1363</v>
      </c>
      <c r="D601" s="38" t="str">
        <f>IFERROR(__xludf.DUMMYFUNCTION("REGEXREPLACE(C601,""-\d+(.*)|--\d+(.*)"","""")"),"SAINT-VINCENT-DE-BARBEYRARGUES")</f>
        <v>SAINT-VINCENT-DE-BARBEYRARGUES</v>
      </c>
      <c r="E601" s="38" t="s">
        <v>118</v>
      </c>
      <c r="F601" s="38" t="s">
        <v>119</v>
      </c>
      <c r="G601" s="49" t="str">
        <f t="shared" si="1"/>
        <v>34730</v>
      </c>
      <c r="H601" s="49">
        <f t="shared" si="2"/>
        <v>34290</v>
      </c>
    </row>
    <row r="602">
      <c r="A602" s="48" t="s">
        <v>1364</v>
      </c>
      <c r="B602" s="38">
        <v>64203.0</v>
      </c>
      <c r="C602" s="38" t="s">
        <v>1365</v>
      </c>
      <c r="D602" s="38" t="str">
        <f>IFERROR(__xludf.DUMMYFUNCTION("REGEXREPLACE(C602,""-\d+(.*)|--\d+(.*)"","""")"),"DOUMY")</f>
        <v>DOUMY</v>
      </c>
      <c r="E602" s="38" t="s">
        <v>268</v>
      </c>
      <c r="F602" s="38" t="s">
        <v>252</v>
      </c>
      <c r="G602" s="49" t="str">
        <f t="shared" si="1"/>
        <v>64450</v>
      </c>
      <c r="H602" s="49">
        <f t="shared" si="2"/>
        <v>64203</v>
      </c>
    </row>
    <row r="603">
      <c r="A603" s="48" t="s">
        <v>1366</v>
      </c>
      <c r="B603" s="38">
        <v>59625.0</v>
      </c>
      <c r="C603" s="38" t="s">
        <v>1367</v>
      </c>
      <c r="D603" s="38" t="str">
        <f>IFERROR(__xludf.DUMMYFUNCTION("REGEXREPLACE(C603,""-\d+(.*)|--\d+(.*)"","""")"),"VILLERS-PLOUICH")</f>
        <v>VILLERS-PLOUICH</v>
      </c>
      <c r="E603" s="38" t="s">
        <v>85</v>
      </c>
      <c r="F603" s="38" t="s">
        <v>86</v>
      </c>
      <c r="G603" s="49" t="str">
        <f t="shared" si="1"/>
        <v>59231</v>
      </c>
      <c r="H603" s="49">
        <f t="shared" si="2"/>
        <v>59625</v>
      </c>
    </row>
    <row r="604">
      <c r="A604" s="48" t="s">
        <v>1368</v>
      </c>
      <c r="B604" s="38">
        <v>8256.0</v>
      </c>
      <c r="C604" s="38" t="s">
        <v>1369</v>
      </c>
      <c r="D604" s="38" t="str">
        <f>IFERROR(__xludf.DUMMYFUNCTION("REGEXREPLACE(C604,""-\d+(.*)|--\d+(.*)"","""")"),"LIRY")</f>
        <v>LIRY</v>
      </c>
      <c r="E604" s="38" t="s">
        <v>327</v>
      </c>
      <c r="F604" s="38" t="s">
        <v>130</v>
      </c>
      <c r="G604" s="49" t="str">
        <f t="shared" si="1"/>
        <v>08400</v>
      </c>
      <c r="H604" s="49" t="str">
        <f t="shared" si="2"/>
        <v>08256</v>
      </c>
    </row>
    <row r="605">
      <c r="A605" s="48" t="s">
        <v>1370</v>
      </c>
      <c r="B605" s="38">
        <v>10280.0</v>
      </c>
      <c r="C605" s="38" t="s">
        <v>1371</v>
      </c>
      <c r="D605" s="38" t="str">
        <f>IFERROR(__xludf.DUMMYFUNCTION("REGEXREPLACE(C605,""-\d+(.*)|--\d+(.*)"","""")"),"PARS-LES-ROMILLY")</f>
        <v>PARS-LES-ROMILLY</v>
      </c>
      <c r="E605" s="38" t="s">
        <v>147</v>
      </c>
      <c r="F605" s="38" t="s">
        <v>130</v>
      </c>
      <c r="G605" s="49" t="str">
        <f t="shared" si="1"/>
        <v>10100</v>
      </c>
      <c r="H605" s="49">
        <f t="shared" si="2"/>
        <v>10280</v>
      </c>
    </row>
    <row r="606">
      <c r="A606" s="48" t="s">
        <v>1372</v>
      </c>
      <c r="B606" s="38">
        <v>35347.0</v>
      </c>
      <c r="C606" s="38" t="s">
        <v>1373</v>
      </c>
      <c r="D606" s="38" t="str">
        <f>IFERROR(__xludf.DUMMYFUNCTION("REGEXREPLACE(C606,""-\d+(.*)|--\d+(.*)"","""")"),"VAL-D'IZE")</f>
        <v>VAL-D'IZE</v>
      </c>
      <c r="E606" s="38" t="s">
        <v>347</v>
      </c>
      <c r="F606" s="38" t="s">
        <v>90</v>
      </c>
      <c r="G606" s="49" t="str">
        <f t="shared" si="1"/>
        <v>35450</v>
      </c>
      <c r="H606" s="49">
        <f t="shared" si="2"/>
        <v>35347</v>
      </c>
    </row>
    <row r="607">
      <c r="A607" s="48" t="s">
        <v>1374</v>
      </c>
      <c r="B607" s="38">
        <v>79289.0</v>
      </c>
      <c r="C607" s="38" t="s">
        <v>1375</v>
      </c>
      <c r="D607" s="38" t="str">
        <f>IFERROR(__xludf.DUMMYFUNCTION("REGEXREPLACE(C607,""-\d+(.*)|--\d+(.*)"","""")"),"SAINT-PIERRE-DES-ECHAUBROGNES")</f>
        <v>SAINT-PIERRE-DES-ECHAUBROGNES</v>
      </c>
      <c r="E607" s="38" t="s">
        <v>337</v>
      </c>
      <c r="F607" s="38" t="s">
        <v>338</v>
      </c>
      <c r="G607" s="49" t="str">
        <f t="shared" si="1"/>
        <v>79700</v>
      </c>
      <c r="H607" s="49">
        <f t="shared" si="2"/>
        <v>79289</v>
      </c>
    </row>
    <row r="608">
      <c r="A608" s="48" t="s">
        <v>1376</v>
      </c>
      <c r="B608" s="38" t="s">
        <v>1377</v>
      </c>
      <c r="C608" s="38" t="s">
        <v>1378</v>
      </c>
      <c r="D608" s="38" t="str">
        <f>IFERROR(__xludf.DUMMYFUNCTION("REGEXREPLACE(C608,""-\d+(.*)|--\d+(.*)"","""")"),"PILA-CANALE")</f>
        <v>PILA-CANALE</v>
      </c>
      <c r="E608" s="38" t="s">
        <v>606</v>
      </c>
      <c r="F608" s="38" t="s">
        <v>607</v>
      </c>
      <c r="G608" s="49" t="str">
        <f t="shared" si="1"/>
        <v>20123</v>
      </c>
      <c r="H608" s="49" t="str">
        <f t="shared" si="2"/>
        <v>2A232</v>
      </c>
    </row>
    <row r="609">
      <c r="A609" s="48" t="s">
        <v>1379</v>
      </c>
      <c r="B609" s="38">
        <v>77390.0</v>
      </c>
      <c r="C609" s="38" t="s">
        <v>1380</v>
      </c>
      <c r="D609" s="38" t="str">
        <f>IFERROR(__xludf.DUMMYFUNCTION("REGEXREPLACE(C609,""-\d+(.*)|--\d+(.*)"","""")"),"ROISSY-EN-BRIE")</f>
        <v>ROISSY-EN-BRIE</v>
      </c>
      <c r="E609" s="38" t="s">
        <v>244</v>
      </c>
      <c r="F609" s="38" t="s">
        <v>245</v>
      </c>
      <c r="G609" s="49" t="str">
        <f t="shared" si="1"/>
        <v>77680</v>
      </c>
      <c r="H609" s="49">
        <f t="shared" si="2"/>
        <v>77390</v>
      </c>
    </row>
    <row r="610">
      <c r="A610" s="48" t="s">
        <v>1381</v>
      </c>
      <c r="B610" s="38">
        <v>62316.0</v>
      </c>
      <c r="C610" s="38" t="s">
        <v>1382</v>
      </c>
      <c r="D610" s="38" t="str">
        <f>IFERROR(__xludf.DUMMYFUNCTION("REGEXREPLACE(C610,""-\d+(.*)|--\d+(.*)"","""")"),"ESTREE-WAMIN")</f>
        <v>ESTREE-WAMIN</v>
      </c>
      <c r="E610" s="38" t="s">
        <v>109</v>
      </c>
      <c r="F610" s="38" t="s">
        <v>86</v>
      </c>
      <c r="G610" s="49" t="str">
        <f t="shared" si="1"/>
        <v>62810</v>
      </c>
      <c r="H610" s="49">
        <f t="shared" si="2"/>
        <v>62316</v>
      </c>
    </row>
    <row r="611">
      <c r="A611" s="48" t="s">
        <v>1383</v>
      </c>
      <c r="B611" s="38">
        <v>72009.0</v>
      </c>
      <c r="C611" s="38" t="s">
        <v>1384</v>
      </c>
      <c r="D611" s="38" t="str">
        <f>IFERROR(__xludf.DUMMYFUNCTION("REGEXREPLACE(C611,""-\d+(.*)|--\d+(.*)"","""")"),"ARTHEZE")</f>
        <v>ARTHEZE</v>
      </c>
      <c r="E611" s="38" t="s">
        <v>521</v>
      </c>
      <c r="F611" s="38" t="s">
        <v>180</v>
      </c>
      <c r="G611" s="49" t="str">
        <f t="shared" si="1"/>
        <v>72270</v>
      </c>
      <c r="H611" s="49">
        <f t="shared" si="2"/>
        <v>72009</v>
      </c>
    </row>
    <row r="612">
      <c r="A612" s="48" t="s">
        <v>1385</v>
      </c>
      <c r="B612" s="38">
        <v>17447.0</v>
      </c>
      <c r="C612" s="38" t="s">
        <v>1386</v>
      </c>
      <c r="D612" s="38" t="str">
        <f>IFERROR(__xludf.DUMMYFUNCTION("REGEXREPLACE(C612,""-\d+(.*)|--\d+(.*)"","""")"),"LE THOU")</f>
        <v>LE THOU</v>
      </c>
      <c r="E612" s="38" t="s">
        <v>488</v>
      </c>
      <c r="F612" s="38" t="s">
        <v>338</v>
      </c>
      <c r="G612" s="49" t="str">
        <f t="shared" si="1"/>
        <v>17290</v>
      </c>
      <c r="H612" s="49">
        <f t="shared" si="2"/>
        <v>17447</v>
      </c>
    </row>
    <row r="613">
      <c r="A613" s="48" t="s">
        <v>1387</v>
      </c>
      <c r="B613" s="38">
        <v>42063.0</v>
      </c>
      <c r="C613" s="38" t="s">
        <v>1388</v>
      </c>
      <c r="D613" s="38" t="str">
        <f>IFERROR(__xludf.DUMMYFUNCTION("REGEXREPLACE(C613,""-\d+(.*)|--\d+(.*)"","""")"),"CHIRASSIMONT")</f>
        <v>CHIRASSIMONT</v>
      </c>
      <c r="E613" s="38" t="s">
        <v>166</v>
      </c>
      <c r="F613" s="38" t="s">
        <v>102</v>
      </c>
      <c r="G613" s="49" t="str">
        <f t="shared" si="1"/>
        <v>42114</v>
      </c>
      <c r="H613" s="49">
        <f t="shared" si="2"/>
        <v>42063</v>
      </c>
    </row>
    <row r="614">
      <c r="A614" s="48" t="s">
        <v>1389</v>
      </c>
      <c r="B614" s="38">
        <v>5176.0</v>
      </c>
      <c r="C614" s="38" t="s">
        <v>1390</v>
      </c>
      <c r="D614" s="38" t="str">
        <f>IFERROR(__xludf.DUMMYFUNCTION("REGEXREPLACE(C614,""-\d+(.*)|--\d+(.*)"","""")"),"VALSERRES")</f>
        <v>VALSERRES</v>
      </c>
      <c r="E614" s="38" t="s">
        <v>706</v>
      </c>
      <c r="F614" s="38" t="s">
        <v>228</v>
      </c>
      <c r="G614" s="49" t="str">
        <f t="shared" si="1"/>
        <v>05130</v>
      </c>
      <c r="H614" s="49" t="str">
        <f t="shared" si="2"/>
        <v>05176</v>
      </c>
    </row>
    <row r="615">
      <c r="A615" s="48" t="s">
        <v>1391</v>
      </c>
      <c r="B615" s="38">
        <v>61356.0</v>
      </c>
      <c r="C615" s="38" t="s">
        <v>1392</v>
      </c>
      <c r="D615" s="38" t="str">
        <f>IFERROR(__xludf.DUMMYFUNCTION("REGEXREPLACE(C615,""-\d+(.*)|--\d+(.*)"","""")"),"LA ROUGE")</f>
        <v>LA ROUGE</v>
      </c>
      <c r="E615" s="38" t="s">
        <v>141</v>
      </c>
      <c r="F615" s="38" t="s">
        <v>138</v>
      </c>
      <c r="G615" s="49" t="str">
        <f t="shared" si="1"/>
        <v>61260</v>
      </c>
      <c r="H615" s="49">
        <f t="shared" si="2"/>
        <v>61356</v>
      </c>
    </row>
    <row r="616">
      <c r="A616" s="48" t="s">
        <v>1393</v>
      </c>
      <c r="B616" s="38">
        <v>25207.0</v>
      </c>
      <c r="C616" s="38" t="s">
        <v>1394</v>
      </c>
      <c r="D616" s="38" t="str">
        <f>IFERROR(__xludf.DUMMYFUNCTION("REGEXREPLACE(C616,""-\d+(.*)|--\d+(.*)"","""")"),"DUNG")</f>
        <v>DUNG</v>
      </c>
      <c r="E616" s="38" t="s">
        <v>213</v>
      </c>
      <c r="F616" s="38" t="s">
        <v>214</v>
      </c>
      <c r="G616" s="49" t="str">
        <f t="shared" si="1"/>
        <v>25550</v>
      </c>
      <c r="H616" s="49">
        <f t="shared" si="2"/>
        <v>25207</v>
      </c>
    </row>
    <row r="617">
      <c r="A617" s="48" t="s">
        <v>614</v>
      </c>
      <c r="B617" s="38">
        <v>24343.0</v>
      </c>
      <c r="C617" s="38" t="s">
        <v>1395</v>
      </c>
      <c r="D617" s="38" t="str">
        <f>IFERROR(__xludf.DUMMYFUNCTION("REGEXREPLACE(C617,""-\d+(.*)|--\d+(.*)"","""")"),"PUYMANGOU")</f>
        <v>PUYMANGOU</v>
      </c>
      <c r="E617" s="38" t="s">
        <v>261</v>
      </c>
      <c r="F617" s="38" t="s">
        <v>252</v>
      </c>
      <c r="G617" s="49" t="str">
        <f t="shared" si="1"/>
        <v>24410</v>
      </c>
      <c r="H617" s="49">
        <f t="shared" si="2"/>
        <v>24343</v>
      </c>
    </row>
    <row r="618">
      <c r="A618" s="48" t="s">
        <v>1396</v>
      </c>
      <c r="B618" s="38">
        <v>29108.0</v>
      </c>
      <c r="C618" s="38" t="s">
        <v>1397</v>
      </c>
      <c r="D618" s="38" t="str">
        <f>IFERROR(__xludf.DUMMYFUNCTION("REGEXREPLACE(C618,""-\d+(.*)|--\d+(.*)"","""")"),"LANDUDEC")</f>
        <v>LANDUDEC</v>
      </c>
      <c r="E618" s="38" t="s">
        <v>176</v>
      </c>
      <c r="F618" s="38" t="s">
        <v>90</v>
      </c>
      <c r="G618" s="49" t="str">
        <f t="shared" si="1"/>
        <v>29710</v>
      </c>
      <c r="H618" s="49">
        <f t="shared" si="2"/>
        <v>29108</v>
      </c>
    </row>
    <row r="619">
      <c r="A619" s="48" t="s">
        <v>1398</v>
      </c>
      <c r="B619" s="38">
        <v>45228.0</v>
      </c>
      <c r="C619" s="38" t="s">
        <v>1399</v>
      </c>
      <c r="D619" s="38" t="str">
        <f>IFERROR(__xludf.DUMMYFUNCTION("REGEXREPLACE(C619,""-\d+(.*)|--\d+(.*)"","""")"),"NIBELLE")</f>
        <v>NIBELLE</v>
      </c>
      <c r="E619" s="38" t="s">
        <v>122</v>
      </c>
      <c r="F619" s="38" t="s">
        <v>123</v>
      </c>
      <c r="G619" s="49" t="str">
        <f t="shared" si="1"/>
        <v>45340</v>
      </c>
      <c r="H619" s="49">
        <f t="shared" si="2"/>
        <v>45228</v>
      </c>
    </row>
    <row r="620">
      <c r="A620" s="48" t="s">
        <v>1400</v>
      </c>
      <c r="B620" s="38">
        <v>21244.0</v>
      </c>
      <c r="C620" s="38" t="s">
        <v>1401</v>
      </c>
      <c r="D620" s="38" t="str">
        <f>IFERROR(__xludf.DUMMYFUNCTION("REGEXREPLACE(C620,""-\d+(.*)|--\d+(.*)"","""")"),"EGUILLY")</f>
        <v>EGUILLY</v>
      </c>
      <c r="E620" s="38" t="s">
        <v>105</v>
      </c>
      <c r="F620" s="38" t="s">
        <v>106</v>
      </c>
      <c r="G620" s="49" t="str">
        <f t="shared" si="1"/>
        <v>21320</v>
      </c>
      <c r="H620" s="49">
        <f t="shared" si="2"/>
        <v>21244</v>
      </c>
    </row>
    <row r="621">
      <c r="A621" s="48" t="s">
        <v>1402</v>
      </c>
      <c r="B621" s="38">
        <v>44140.0</v>
      </c>
      <c r="C621" s="38" t="s">
        <v>1403</v>
      </c>
      <c r="D621" s="38" t="str">
        <f>IFERROR(__xludf.DUMMYFUNCTION("REGEXREPLACE(C621,""-\d+(.*)|--\d+(.*)"","""")"),"LA REGRIPPIERE")</f>
        <v>LA REGRIPPIERE</v>
      </c>
      <c r="E621" s="38" t="s">
        <v>759</v>
      </c>
      <c r="F621" s="38" t="s">
        <v>180</v>
      </c>
      <c r="G621" s="49" t="str">
        <f t="shared" si="1"/>
        <v>44330</v>
      </c>
      <c r="H621" s="49">
        <f t="shared" si="2"/>
        <v>44140</v>
      </c>
    </row>
    <row r="622">
      <c r="A622" s="48" t="s">
        <v>1404</v>
      </c>
      <c r="B622" s="38">
        <v>30021.0</v>
      </c>
      <c r="C622" s="38" t="s">
        <v>1405</v>
      </c>
      <c r="D622" s="38" t="str">
        <f>IFERROR(__xludf.DUMMYFUNCTION("REGEXREPLACE(C622,""-\d+(.*)|--\d+(.*)"","""")"),"AUBUSSARGUES")</f>
        <v>AUBUSSARGUES</v>
      </c>
      <c r="E622" s="38" t="s">
        <v>526</v>
      </c>
      <c r="F622" s="38" t="s">
        <v>119</v>
      </c>
      <c r="G622" s="49" t="str">
        <f t="shared" si="1"/>
        <v>30190</v>
      </c>
      <c r="H622" s="49">
        <f t="shared" si="2"/>
        <v>30021</v>
      </c>
    </row>
    <row r="623">
      <c r="A623" s="48" t="s">
        <v>1406</v>
      </c>
      <c r="B623" s="38">
        <v>71166.0</v>
      </c>
      <c r="C623" s="38" t="s">
        <v>1407</v>
      </c>
      <c r="D623" s="38" t="str">
        <f>IFERROR(__xludf.DUMMYFUNCTION("REGEXREPLACE(C623,""-\d+(.*)|--\d+(.*)"","""")"),"CUZY")</f>
        <v>CUZY</v>
      </c>
      <c r="E623" s="38" t="s">
        <v>344</v>
      </c>
      <c r="F623" s="38" t="s">
        <v>106</v>
      </c>
      <c r="G623" s="49" t="str">
        <f t="shared" si="1"/>
        <v>71320</v>
      </c>
      <c r="H623" s="49">
        <f t="shared" si="2"/>
        <v>71166</v>
      </c>
    </row>
    <row r="624">
      <c r="A624" s="48" t="s">
        <v>1408</v>
      </c>
      <c r="B624" s="38">
        <v>88436.0</v>
      </c>
      <c r="C624" s="38" t="s">
        <v>1409</v>
      </c>
      <c r="D624" s="38" t="str">
        <f>IFERROR(__xludf.DUMMYFUNCTION("REGEXREPLACE(C624,""-\d+(.*)|--\d+(.*)"","""")"),"SAINT-STAIL")</f>
        <v>SAINT-STAIL</v>
      </c>
      <c r="E624" s="38" t="s">
        <v>194</v>
      </c>
      <c r="F624" s="38" t="s">
        <v>195</v>
      </c>
      <c r="G624" s="49" t="str">
        <f t="shared" si="1"/>
        <v>88210</v>
      </c>
      <c r="H624" s="49">
        <f t="shared" si="2"/>
        <v>88436</v>
      </c>
    </row>
    <row r="625">
      <c r="A625" s="48" t="s">
        <v>1410</v>
      </c>
      <c r="B625" s="38">
        <v>44101.0</v>
      </c>
      <c r="C625" s="38" t="s">
        <v>1411</v>
      </c>
      <c r="D625" s="38" t="str">
        <f>IFERROR(__xludf.DUMMYFUNCTION("REGEXREPLACE(C625,""-\d+(.*)|--\d+(.*)"","""")"),"LA MONTAGNE")</f>
        <v>LA MONTAGNE</v>
      </c>
      <c r="E625" s="38" t="s">
        <v>759</v>
      </c>
      <c r="F625" s="38" t="s">
        <v>180</v>
      </c>
      <c r="G625" s="49" t="str">
        <f t="shared" si="1"/>
        <v>44620</v>
      </c>
      <c r="H625" s="49">
        <f t="shared" si="2"/>
        <v>44101</v>
      </c>
    </row>
    <row r="626">
      <c r="A626" s="48" t="s">
        <v>1104</v>
      </c>
      <c r="B626" s="38">
        <v>52066.0</v>
      </c>
      <c r="C626" s="38" t="s">
        <v>1412</v>
      </c>
      <c r="D626" s="38" t="str">
        <f>IFERROR(__xludf.DUMMYFUNCTION("REGEXREPLACE(C626,""-\d+(.*)|--\d+(.*)"","""")"),"BRACHAY")</f>
        <v>BRACHAY</v>
      </c>
      <c r="E626" s="38" t="s">
        <v>234</v>
      </c>
      <c r="F626" s="38" t="s">
        <v>130</v>
      </c>
      <c r="G626" s="49" t="str">
        <f t="shared" si="1"/>
        <v>52110</v>
      </c>
      <c r="H626" s="49">
        <f t="shared" si="2"/>
        <v>52066</v>
      </c>
    </row>
    <row r="627">
      <c r="A627" s="48" t="s">
        <v>983</v>
      </c>
      <c r="B627" s="38">
        <v>52004.0</v>
      </c>
      <c r="C627" s="38" t="s">
        <v>1413</v>
      </c>
      <c r="D627" s="38" t="str">
        <f>IFERROR(__xludf.DUMMYFUNCTION("REGEXREPLACE(C627,""-\d+(.*)|--\d+(.*)"","""")"),"AINGOULAINCOURT")</f>
        <v>AINGOULAINCOURT</v>
      </c>
      <c r="E627" s="38" t="s">
        <v>234</v>
      </c>
      <c r="F627" s="38" t="s">
        <v>130</v>
      </c>
      <c r="G627" s="49" t="str">
        <f t="shared" si="1"/>
        <v>52230</v>
      </c>
      <c r="H627" s="49">
        <f t="shared" si="2"/>
        <v>52004</v>
      </c>
    </row>
    <row r="628">
      <c r="A628" s="48" t="s">
        <v>698</v>
      </c>
      <c r="B628" s="38">
        <v>11386.0</v>
      </c>
      <c r="C628" s="38" t="s">
        <v>1414</v>
      </c>
      <c r="D628" s="38" t="str">
        <f>IFERROR(__xludf.DUMMYFUNCTION("REGEXREPLACE(C628,""-\d+(.*)|--\d+(.*)"","""")"),"TALAIRAN")</f>
        <v>TALAIRAN</v>
      </c>
      <c r="E628" s="38" t="s">
        <v>278</v>
      </c>
      <c r="F628" s="38" t="s">
        <v>119</v>
      </c>
      <c r="G628" s="49" t="str">
        <f t="shared" si="1"/>
        <v>11220</v>
      </c>
      <c r="H628" s="49">
        <f t="shared" si="2"/>
        <v>11386</v>
      </c>
    </row>
    <row r="629">
      <c r="A629" s="48" t="s">
        <v>1415</v>
      </c>
      <c r="B629" s="38">
        <v>5163.0</v>
      </c>
      <c r="C629" s="38" t="s">
        <v>1416</v>
      </c>
      <c r="D629" s="38" t="str">
        <f>IFERROR(__xludf.DUMMYFUNCTION("REGEXREPLACE(C629,""-\d+(.*)|--\d+(.*)"","""")"),"LE SAUZE-DU-LAC")</f>
        <v>LE SAUZE-DU-LAC</v>
      </c>
      <c r="E629" s="38" t="s">
        <v>706</v>
      </c>
      <c r="F629" s="38" t="s">
        <v>228</v>
      </c>
      <c r="G629" s="49" t="str">
        <f t="shared" si="1"/>
        <v>05160</v>
      </c>
      <c r="H629" s="49" t="str">
        <f t="shared" si="2"/>
        <v>05163</v>
      </c>
    </row>
    <row r="630">
      <c r="A630" s="48" t="s">
        <v>1220</v>
      </c>
      <c r="B630" s="38">
        <v>76483.0</v>
      </c>
      <c r="C630" s="38" t="s">
        <v>1417</v>
      </c>
      <c r="D630" s="38" t="str">
        <f>IFERROR(__xludf.DUMMYFUNCTION("REGEXREPLACE(C630,""-\d+(.*)|--\d+(.*)"","""")"),"OHERVILLE")</f>
        <v>OHERVILLE</v>
      </c>
      <c r="E630" s="38" t="s">
        <v>133</v>
      </c>
      <c r="F630" s="38" t="s">
        <v>134</v>
      </c>
      <c r="G630" s="49" t="str">
        <f t="shared" si="1"/>
        <v>76560</v>
      </c>
      <c r="H630" s="49">
        <f t="shared" si="2"/>
        <v>76483</v>
      </c>
    </row>
    <row r="631">
      <c r="A631" s="48" t="s">
        <v>1418</v>
      </c>
      <c r="B631" s="38">
        <v>36233.0</v>
      </c>
      <c r="C631" s="38" t="s">
        <v>1419</v>
      </c>
      <c r="D631" s="38" t="str">
        <f>IFERROR(__xludf.DUMMYFUNCTION("REGEXREPLACE(C631,""-\d+(.*)|--\d+(.*)"","""")"),"LA VERNELLE")</f>
        <v>LA VERNELLE</v>
      </c>
      <c r="E631" s="38" t="s">
        <v>258</v>
      </c>
      <c r="F631" s="38" t="s">
        <v>123</v>
      </c>
      <c r="G631" s="49" t="str">
        <f t="shared" si="1"/>
        <v>36600</v>
      </c>
      <c r="H631" s="49">
        <f t="shared" si="2"/>
        <v>36233</v>
      </c>
    </row>
    <row r="632">
      <c r="A632" s="48" t="s">
        <v>1420</v>
      </c>
      <c r="B632" s="38">
        <v>4065.0</v>
      </c>
      <c r="C632" s="38" t="s">
        <v>1421</v>
      </c>
      <c r="D632" s="38" t="str">
        <f>IFERROR(__xludf.DUMMYFUNCTION("REGEXREPLACE(C632,""-\d+(.*)|--\d+(.*)"","""")"),"CRUIS")</f>
        <v>CRUIS</v>
      </c>
      <c r="E632" s="38" t="s">
        <v>662</v>
      </c>
      <c r="F632" s="38" t="s">
        <v>228</v>
      </c>
      <c r="G632" s="49" t="str">
        <f t="shared" si="1"/>
        <v>04230</v>
      </c>
      <c r="H632" s="49" t="str">
        <f t="shared" si="2"/>
        <v>04065</v>
      </c>
    </row>
    <row r="633">
      <c r="A633" s="48" t="s">
        <v>1422</v>
      </c>
      <c r="B633" s="38">
        <v>14533.0</v>
      </c>
      <c r="C633" s="38" t="s">
        <v>1423</v>
      </c>
      <c r="D633" s="38" t="str">
        <f>IFERROR(__xludf.DUMMYFUNCTION("REGEXREPLACE(C633,""-\d+(.*)|--\d+(.*)"","""")"),"REPENTIGNY")</f>
        <v>REPENTIGNY</v>
      </c>
      <c r="E633" s="38" t="s">
        <v>137</v>
      </c>
      <c r="F633" s="38" t="s">
        <v>138</v>
      </c>
      <c r="G633" s="49" t="str">
        <f t="shared" si="1"/>
        <v>14340</v>
      </c>
      <c r="H633" s="49">
        <f t="shared" si="2"/>
        <v>14533</v>
      </c>
    </row>
    <row r="634">
      <c r="A634" s="48" t="s">
        <v>1424</v>
      </c>
      <c r="B634" s="38">
        <v>86094.0</v>
      </c>
      <c r="C634" s="38" t="s">
        <v>1425</v>
      </c>
      <c r="D634" s="38" t="str">
        <f>IFERROR(__xludf.DUMMYFUNCTION("REGEXREPLACE(C634,""-\d+(.*)|--\d+(.*)"","""")"),"DIENNE")</f>
        <v>DIENNE</v>
      </c>
      <c r="E634" s="38" t="s">
        <v>529</v>
      </c>
      <c r="F634" s="38" t="s">
        <v>338</v>
      </c>
      <c r="G634" s="49" t="str">
        <f t="shared" si="1"/>
        <v>86410</v>
      </c>
      <c r="H634" s="49">
        <f t="shared" si="2"/>
        <v>86094</v>
      </c>
    </row>
    <row r="635">
      <c r="A635" s="48" t="s">
        <v>1426</v>
      </c>
      <c r="B635" s="38">
        <v>61367.0</v>
      </c>
      <c r="C635" s="38" t="s">
        <v>1427</v>
      </c>
      <c r="D635" s="38" t="str">
        <f>IFERROR(__xludf.DUMMYFUNCTION("REGEXREPLACE(C635,""-\d+(.*)|--\d+(.*)"","""")"),"SAINT-AUBIN-DE-COURTERAIE")</f>
        <v>SAINT-AUBIN-DE-COURTERAIE</v>
      </c>
      <c r="E635" s="38" t="s">
        <v>141</v>
      </c>
      <c r="F635" s="38" t="s">
        <v>138</v>
      </c>
      <c r="G635" s="49" t="str">
        <f t="shared" si="1"/>
        <v>61560</v>
      </c>
      <c r="H635" s="49">
        <f t="shared" si="2"/>
        <v>61367</v>
      </c>
    </row>
    <row r="636">
      <c r="A636" s="48" t="s">
        <v>1428</v>
      </c>
      <c r="B636" s="38">
        <v>31170.0</v>
      </c>
      <c r="C636" s="38" t="s">
        <v>1429</v>
      </c>
      <c r="D636" s="38" t="str">
        <f>IFERROR(__xludf.DUMMYFUNCTION("REGEXREPLACE(C636,""-\d+(.*)|--\d+(.*)"","""")"),"ESCANECRABE")</f>
        <v>ESCANECRABE</v>
      </c>
      <c r="E636" s="38" t="s">
        <v>93</v>
      </c>
      <c r="F636" s="38" t="s">
        <v>94</v>
      </c>
      <c r="G636" s="49" t="str">
        <f t="shared" si="1"/>
        <v>31350</v>
      </c>
      <c r="H636" s="49">
        <f t="shared" si="2"/>
        <v>31170</v>
      </c>
    </row>
    <row r="637">
      <c r="A637" s="48" t="s">
        <v>734</v>
      </c>
      <c r="B637" s="38">
        <v>54253.0</v>
      </c>
      <c r="C637" s="38" t="s">
        <v>1430</v>
      </c>
      <c r="D637" s="38" t="str">
        <f>IFERROR(__xludf.DUMMYFUNCTION("REGEXREPLACE(C637,""-\d+(.*)|--\d+(.*)"","""")"),"HATRIZE")</f>
        <v>HATRIZE</v>
      </c>
      <c r="E637" s="38" t="s">
        <v>548</v>
      </c>
      <c r="F637" s="38" t="s">
        <v>195</v>
      </c>
      <c r="G637" s="49" t="str">
        <f t="shared" si="1"/>
        <v>54800</v>
      </c>
      <c r="H637" s="49">
        <f t="shared" si="2"/>
        <v>54253</v>
      </c>
    </row>
    <row r="638">
      <c r="A638" s="48" t="s">
        <v>1364</v>
      </c>
      <c r="B638" s="38">
        <v>64308.0</v>
      </c>
      <c r="C638" s="38" t="s">
        <v>1431</v>
      </c>
      <c r="D638" s="38" t="str">
        <f>IFERROR(__xludf.DUMMYFUNCTION("REGEXREPLACE(C638,""-\d+(.*)|--\d+(.*)"","""")"),"LALONQUETTE")</f>
        <v>LALONQUETTE</v>
      </c>
      <c r="E638" s="38" t="s">
        <v>268</v>
      </c>
      <c r="F638" s="38" t="s">
        <v>252</v>
      </c>
      <c r="G638" s="49" t="str">
        <f t="shared" si="1"/>
        <v>64450</v>
      </c>
      <c r="H638" s="49">
        <f t="shared" si="2"/>
        <v>64308</v>
      </c>
    </row>
    <row r="639">
      <c r="A639" s="48" t="s">
        <v>470</v>
      </c>
      <c r="B639" s="38">
        <v>8072.0</v>
      </c>
      <c r="C639" s="38" t="s">
        <v>1432</v>
      </c>
      <c r="D639" s="38" t="str">
        <f>IFERROR(__xludf.DUMMYFUNCTION("REGEXREPLACE(C639,""-\d+(.*)|--\d+(.*)"","""")"),"BOSSEVAL-ET-BRIANCOURT")</f>
        <v>BOSSEVAL-ET-BRIANCOURT</v>
      </c>
      <c r="E639" s="38" t="s">
        <v>327</v>
      </c>
      <c r="F639" s="38" t="s">
        <v>130</v>
      </c>
      <c r="G639" s="49" t="str">
        <f t="shared" si="1"/>
        <v>08350</v>
      </c>
      <c r="H639" s="49" t="str">
        <f t="shared" si="2"/>
        <v>08072</v>
      </c>
    </row>
    <row r="640">
      <c r="A640" s="48" t="s">
        <v>1433</v>
      </c>
      <c r="B640" s="38">
        <v>69034.0</v>
      </c>
      <c r="C640" s="38" t="s">
        <v>1434</v>
      </c>
      <c r="D640" s="38" t="str">
        <f>IFERROR(__xludf.DUMMYFUNCTION("REGEXREPLACE(C640,""-\d+(.*)|--\d+(.*)"","""")"),"CALUIRE-ET-CUIRE")</f>
        <v>CALUIRE-ET-CUIRE</v>
      </c>
      <c r="E640" s="38" t="s">
        <v>350</v>
      </c>
      <c r="F640" s="38" t="s">
        <v>102</v>
      </c>
      <c r="G640" s="49" t="str">
        <f t="shared" si="1"/>
        <v>69300</v>
      </c>
      <c r="H640" s="49">
        <f t="shared" si="2"/>
        <v>69034</v>
      </c>
    </row>
    <row r="641">
      <c r="A641" s="48" t="s">
        <v>1435</v>
      </c>
      <c r="B641" s="38">
        <v>14085.0</v>
      </c>
      <c r="C641" s="38" t="s">
        <v>1436</v>
      </c>
      <c r="D641" s="38" t="str">
        <f>IFERROR(__xludf.DUMMYFUNCTION("REGEXREPLACE(C641,""-\d+(.*)|--\d+(.*)"","""")"),"BONNEVILLE-LA-LOUVET")</f>
        <v>BONNEVILLE-LA-LOUVET</v>
      </c>
      <c r="E641" s="38" t="s">
        <v>137</v>
      </c>
      <c r="F641" s="38" t="s">
        <v>138</v>
      </c>
      <c r="G641" s="49" t="str">
        <f t="shared" si="1"/>
        <v>14130</v>
      </c>
      <c r="H641" s="49">
        <f t="shared" si="2"/>
        <v>14085</v>
      </c>
    </row>
    <row r="642">
      <c r="A642" s="48" t="s">
        <v>1437</v>
      </c>
      <c r="B642" s="38">
        <v>39279.0</v>
      </c>
      <c r="C642" s="38" t="s">
        <v>1438</v>
      </c>
      <c r="D642" s="38" t="str">
        <f>IFERROR(__xludf.DUMMYFUNCTION("REGEXREPLACE(C642,""-\d+(.*)|--\d+(.*)"","""")"),"LARNAUD")</f>
        <v>LARNAUD</v>
      </c>
      <c r="E642" s="38" t="s">
        <v>400</v>
      </c>
      <c r="F642" s="38" t="s">
        <v>214</v>
      </c>
      <c r="G642" s="49" t="str">
        <f t="shared" si="1"/>
        <v>39140</v>
      </c>
      <c r="H642" s="49">
        <f t="shared" si="2"/>
        <v>39279</v>
      </c>
    </row>
    <row r="643">
      <c r="A643" s="48" t="s">
        <v>1439</v>
      </c>
      <c r="B643" s="38">
        <v>28118.0</v>
      </c>
      <c r="C643" s="38" t="s">
        <v>1440</v>
      </c>
      <c r="D643" s="38" t="str">
        <f>IFERROR(__xludf.DUMMYFUNCTION("REGEXREPLACE(C643,""-\d+(.*)|--\d+(.*)"","""")"),"CROISILLES")</f>
        <v>CROISILLES</v>
      </c>
      <c r="E643" s="38" t="s">
        <v>300</v>
      </c>
      <c r="F643" s="38" t="s">
        <v>123</v>
      </c>
      <c r="G643" s="49" t="str">
        <f t="shared" si="1"/>
        <v>28210</v>
      </c>
      <c r="H643" s="49">
        <f t="shared" si="2"/>
        <v>28118</v>
      </c>
    </row>
    <row r="644">
      <c r="A644" s="48" t="s">
        <v>1441</v>
      </c>
      <c r="B644" s="38">
        <v>52108.0</v>
      </c>
      <c r="C644" s="38" t="s">
        <v>1442</v>
      </c>
      <c r="D644" s="38" t="str">
        <f>IFERROR(__xludf.DUMMYFUNCTION("REGEXREPLACE(C644,""-\d+(.*)|--\d+(.*)"","""")"),"CHARMES")</f>
        <v>CHARMES</v>
      </c>
      <c r="E644" s="38" t="s">
        <v>234</v>
      </c>
      <c r="F644" s="38" t="s">
        <v>130</v>
      </c>
      <c r="G644" s="49" t="str">
        <f t="shared" si="1"/>
        <v>52360</v>
      </c>
      <c r="H644" s="49">
        <f t="shared" si="2"/>
        <v>52108</v>
      </c>
    </row>
    <row r="645">
      <c r="A645" s="48" t="s">
        <v>1022</v>
      </c>
      <c r="B645" s="38">
        <v>2757.0</v>
      </c>
      <c r="C645" s="38" t="s">
        <v>1443</v>
      </c>
      <c r="D645" s="38" t="str">
        <f>IFERROR(__xludf.DUMMYFUNCTION("REGEXREPLACE(C645,""-\d+(.*)|--\d+(.*)"","""")"),"VADENCOURT")</f>
        <v>VADENCOURT</v>
      </c>
      <c r="E645" s="38" t="s">
        <v>191</v>
      </c>
      <c r="F645" s="38" t="s">
        <v>113</v>
      </c>
      <c r="G645" s="49" t="str">
        <f t="shared" si="1"/>
        <v>02120</v>
      </c>
      <c r="H645" s="49" t="str">
        <f t="shared" si="2"/>
        <v>02757</v>
      </c>
    </row>
    <row r="646">
      <c r="A646" s="48" t="s">
        <v>1444</v>
      </c>
      <c r="B646" s="38">
        <v>27386.0</v>
      </c>
      <c r="C646" s="38" t="s">
        <v>1445</v>
      </c>
      <c r="D646" s="38" t="str">
        <f>IFERROR(__xludf.DUMMYFUNCTION("REGEXREPLACE(C646,""-\d+(.*)|--\d+(.*)"","""")"),"LE MANOIR")</f>
        <v>LE MANOIR</v>
      </c>
      <c r="E646" s="38" t="s">
        <v>241</v>
      </c>
      <c r="F646" s="38" t="s">
        <v>134</v>
      </c>
      <c r="G646" s="49" t="str">
        <f t="shared" si="1"/>
        <v>27460</v>
      </c>
      <c r="H646" s="49">
        <f t="shared" si="2"/>
        <v>27386</v>
      </c>
    </row>
    <row r="647">
      <c r="A647" s="48" t="s">
        <v>1446</v>
      </c>
      <c r="B647" s="38">
        <v>76259.0</v>
      </c>
      <c r="C647" s="38" t="s">
        <v>1447</v>
      </c>
      <c r="D647" s="38" t="str">
        <f>IFERROR(__xludf.DUMMYFUNCTION("REGEXREPLACE(C647,""-\d+(.*)|--\d+(.*)"","""")"),"FECAMP")</f>
        <v>FECAMP</v>
      </c>
      <c r="E647" s="38" t="s">
        <v>133</v>
      </c>
      <c r="F647" s="38" t="s">
        <v>134</v>
      </c>
      <c r="G647" s="49" t="str">
        <f t="shared" si="1"/>
        <v>76400</v>
      </c>
      <c r="H647" s="49">
        <f t="shared" si="2"/>
        <v>76259</v>
      </c>
    </row>
    <row r="648">
      <c r="A648" s="48" t="s">
        <v>1448</v>
      </c>
      <c r="B648" s="38">
        <v>29270.0</v>
      </c>
      <c r="C648" s="38" t="s">
        <v>1449</v>
      </c>
      <c r="D648" s="38" t="str">
        <f>IFERROR(__xludf.DUMMYFUNCTION("REGEXREPLACE(C648,""-\d+(.*)|--\d+(.*)"","""")"),"SAINT-URBAIN")</f>
        <v>SAINT-URBAIN</v>
      </c>
      <c r="E648" s="38" t="s">
        <v>176</v>
      </c>
      <c r="F648" s="38" t="s">
        <v>90</v>
      </c>
      <c r="G648" s="49" t="str">
        <f t="shared" si="1"/>
        <v>29800</v>
      </c>
      <c r="H648" s="49">
        <f t="shared" si="2"/>
        <v>29270</v>
      </c>
    </row>
    <row r="649">
      <c r="A649" s="48" t="s">
        <v>1450</v>
      </c>
      <c r="B649" s="38">
        <v>50180.0</v>
      </c>
      <c r="C649" s="38" t="s">
        <v>1451</v>
      </c>
      <c r="D649" s="38" t="str">
        <f>IFERROR(__xludf.DUMMYFUNCTION("REGEXREPLACE(C649,""-\d+(.*)|--\d+(.*)"","""")"),"FERVACHES")</f>
        <v>FERVACHES</v>
      </c>
      <c r="E649" s="38" t="s">
        <v>157</v>
      </c>
      <c r="F649" s="38" t="s">
        <v>138</v>
      </c>
      <c r="G649" s="49" t="str">
        <f t="shared" si="1"/>
        <v>50420</v>
      </c>
      <c r="H649" s="49">
        <f t="shared" si="2"/>
        <v>50180</v>
      </c>
    </row>
    <row r="650">
      <c r="A650" s="48" t="s">
        <v>1452</v>
      </c>
      <c r="B650" s="38">
        <v>55200.0</v>
      </c>
      <c r="C650" s="38" t="s">
        <v>1453</v>
      </c>
      <c r="D650" s="38" t="str">
        <f>IFERROR(__xludf.DUMMYFUNCTION("REGEXREPLACE(C650,""-\d+(.*)|--\d+(.*)"","""")"),"FROMEREVILLE-LES-VALLONS")</f>
        <v>FROMEREVILLE-LES-VALLONS</v>
      </c>
      <c r="E650" s="38" t="s">
        <v>322</v>
      </c>
      <c r="F650" s="38" t="s">
        <v>195</v>
      </c>
      <c r="G650" s="49" t="str">
        <f t="shared" si="1"/>
        <v>55100</v>
      </c>
      <c r="H650" s="49">
        <f t="shared" si="2"/>
        <v>55200</v>
      </c>
    </row>
    <row r="651">
      <c r="A651" s="48" t="s">
        <v>1454</v>
      </c>
      <c r="B651" s="38">
        <v>60387.0</v>
      </c>
      <c r="C651" s="38" t="s">
        <v>1455</v>
      </c>
      <c r="D651" s="38" t="str">
        <f>IFERROR(__xludf.DUMMYFUNCTION("REGEXREPLACE(C651,""-\d+(.*)|--\d+(.*)"","""")"),"MARSEILLE-EN-BEAUVAISIS")</f>
        <v>MARSEILLE-EN-BEAUVAISIS</v>
      </c>
      <c r="E651" s="38" t="s">
        <v>112</v>
      </c>
      <c r="F651" s="38" t="s">
        <v>113</v>
      </c>
      <c r="G651" s="49" t="str">
        <f t="shared" si="1"/>
        <v>60690</v>
      </c>
      <c r="H651" s="49">
        <f t="shared" si="2"/>
        <v>60387</v>
      </c>
    </row>
    <row r="652">
      <c r="A652" s="48" t="s">
        <v>425</v>
      </c>
      <c r="B652" s="38">
        <v>88222.0</v>
      </c>
      <c r="C652" s="38" t="s">
        <v>1456</v>
      </c>
      <c r="D652" s="38" t="str">
        <f>IFERROR(__xludf.DUMMYFUNCTION("REGEXREPLACE(C652,""-\d+(.*)|--\d+(.*)"","""")"),"GUGNECOURT")</f>
        <v>GUGNECOURT</v>
      </c>
      <c r="E652" s="38" t="s">
        <v>194</v>
      </c>
      <c r="F652" s="38" t="s">
        <v>195</v>
      </c>
      <c r="G652" s="49" t="str">
        <f t="shared" si="1"/>
        <v>88600</v>
      </c>
      <c r="H652" s="49">
        <f t="shared" si="2"/>
        <v>88222</v>
      </c>
    </row>
    <row r="653">
      <c r="A653" s="48" t="s">
        <v>1457</v>
      </c>
      <c r="B653" s="38">
        <v>13108.0</v>
      </c>
      <c r="C653" s="38" t="s">
        <v>1458</v>
      </c>
      <c r="D653" s="38" t="str">
        <f>IFERROR(__xludf.DUMMYFUNCTION("REGEXREPLACE(C653,""-\d+(.*)|--\d+(.*)"","""")"),"TARASCON")</f>
        <v>TARASCON</v>
      </c>
      <c r="E653" s="38" t="s">
        <v>980</v>
      </c>
      <c r="F653" s="38" t="s">
        <v>228</v>
      </c>
      <c r="G653" s="49" t="str">
        <f t="shared" si="1"/>
        <v>13150</v>
      </c>
      <c r="H653" s="49">
        <f t="shared" si="2"/>
        <v>13108</v>
      </c>
    </row>
    <row r="654">
      <c r="A654" s="48" t="s">
        <v>1459</v>
      </c>
      <c r="B654" s="38">
        <v>29214.0</v>
      </c>
      <c r="C654" s="38" t="s">
        <v>1460</v>
      </c>
      <c r="D654" s="38" t="str">
        <f>IFERROR(__xludf.DUMMYFUNCTION("REGEXREPLACE(C654,""-\d+(.*)|--\d+(.*)"","""")"),"PLOVAN")</f>
        <v>PLOVAN</v>
      </c>
      <c r="E654" s="38" t="s">
        <v>176</v>
      </c>
      <c r="F654" s="38" t="s">
        <v>90</v>
      </c>
      <c r="G654" s="49" t="str">
        <f t="shared" si="1"/>
        <v>29720</v>
      </c>
      <c r="H654" s="49">
        <f t="shared" si="2"/>
        <v>29214</v>
      </c>
    </row>
    <row r="655">
      <c r="A655" s="48" t="s">
        <v>1126</v>
      </c>
      <c r="B655" s="38">
        <v>44087.0</v>
      </c>
      <c r="C655" s="38" t="s">
        <v>1461</v>
      </c>
      <c r="D655" s="38" t="str">
        <f>IFERROR(__xludf.DUMMYFUNCTION("REGEXREPLACE(C655,""-\d+(.*)|--\d+(.*)"","""")"),"MACHECOUL")</f>
        <v>MACHECOUL</v>
      </c>
      <c r="E655" s="38" t="s">
        <v>759</v>
      </c>
      <c r="F655" s="38" t="s">
        <v>180</v>
      </c>
      <c r="G655" s="49" t="str">
        <f t="shared" si="1"/>
        <v>44270</v>
      </c>
      <c r="H655" s="49">
        <f t="shared" si="2"/>
        <v>44087</v>
      </c>
    </row>
    <row r="656">
      <c r="A656" s="48" t="s">
        <v>1462</v>
      </c>
      <c r="B656" s="38">
        <v>11162.0</v>
      </c>
      <c r="C656" s="38" t="s">
        <v>1463</v>
      </c>
      <c r="D656" s="38" t="str">
        <f>IFERROR(__xludf.DUMMYFUNCTION("REGEXREPLACE(C656,""-\d+(.*)|--\d+(.*)"","""")"),"GENERVILLE")</f>
        <v>GENERVILLE</v>
      </c>
      <c r="E656" s="38" t="s">
        <v>278</v>
      </c>
      <c r="F656" s="38" t="s">
        <v>119</v>
      </c>
      <c r="G656" s="49" t="str">
        <f t="shared" si="1"/>
        <v>11270</v>
      </c>
      <c r="H656" s="49">
        <f t="shared" si="2"/>
        <v>11162</v>
      </c>
    </row>
    <row r="657">
      <c r="A657" s="48" t="s">
        <v>1464</v>
      </c>
      <c r="B657" s="38">
        <v>33260.0</v>
      </c>
      <c r="C657" s="38" t="s">
        <v>1465</v>
      </c>
      <c r="D657" s="38" t="str">
        <f>IFERROR(__xludf.DUMMYFUNCTION("REGEXREPLACE(C657,""-\d+(.*)|--\d+(.*)"","""")"),"LUGOS")</f>
        <v>LUGOS</v>
      </c>
      <c r="E657" s="38" t="s">
        <v>462</v>
      </c>
      <c r="F657" s="38" t="s">
        <v>252</v>
      </c>
      <c r="G657" s="49" t="str">
        <f t="shared" si="1"/>
        <v>33830</v>
      </c>
      <c r="H657" s="49">
        <f t="shared" si="2"/>
        <v>33260</v>
      </c>
    </row>
    <row r="658">
      <c r="A658" s="48" t="s">
        <v>1022</v>
      </c>
      <c r="B658" s="38">
        <v>2379.0</v>
      </c>
      <c r="C658" s="38" t="s">
        <v>1466</v>
      </c>
      <c r="D658" s="38" t="str">
        <f>IFERROR(__xludf.DUMMYFUNCTION("REGEXREPLACE(C658,""-\d+(.*)|--\d+(.*)"","""")"),"LE HERIE-LA-VIEVILLE")</f>
        <v>LE HERIE-LA-VIEVILLE</v>
      </c>
      <c r="E658" s="38" t="s">
        <v>191</v>
      </c>
      <c r="F658" s="38" t="s">
        <v>113</v>
      </c>
      <c r="G658" s="49" t="str">
        <f t="shared" si="1"/>
        <v>02120</v>
      </c>
      <c r="H658" s="49" t="str">
        <f t="shared" si="2"/>
        <v>02379</v>
      </c>
    </row>
    <row r="659">
      <c r="A659" s="48" t="s">
        <v>1467</v>
      </c>
      <c r="B659" s="38">
        <v>7011.0</v>
      </c>
      <c r="C659" s="38" t="s">
        <v>1468</v>
      </c>
      <c r="D659" s="38" t="str">
        <f>IFERROR(__xludf.DUMMYFUNCTION("REGEXREPLACE(C659,""-\d+(.*)|--\d+(.*)"","""")"),"ANTRAIGUES-SUR-VOLANE")</f>
        <v>ANTRAIGUES-SUR-VOLANE</v>
      </c>
      <c r="E659" s="38" t="s">
        <v>144</v>
      </c>
      <c r="F659" s="38" t="s">
        <v>102</v>
      </c>
      <c r="G659" s="49" t="str">
        <f t="shared" si="1"/>
        <v>07530</v>
      </c>
      <c r="H659" s="49" t="str">
        <f t="shared" si="2"/>
        <v>07011</v>
      </c>
    </row>
    <row r="660">
      <c r="A660" s="48" t="s">
        <v>1469</v>
      </c>
      <c r="B660" s="38">
        <v>71202.0</v>
      </c>
      <c r="C660" s="38" t="s">
        <v>1470</v>
      </c>
      <c r="D660" s="38" t="str">
        <f>IFERROR(__xludf.DUMMYFUNCTION("REGEXREPLACE(C660,""-\d+(.*)|--\d+(.*)"","""")"),"FONTAINES")</f>
        <v>FONTAINES</v>
      </c>
      <c r="E660" s="38" t="s">
        <v>344</v>
      </c>
      <c r="F660" s="38" t="s">
        <v>106</v>
      </c>
      <c r="G660" s="49" t="str">
        <f t="shared" si="1"/>
        <v>71150</v>
      </c>
      <c r="H660" s="49">
        <f t="shared" si="2"/>
        <v>71202</v>
      </c>
    </row>
    <row r="661">
      <c r="A661" s="48" t="s">
        <v>1471</v>
      </c>
      <c r="B661" s="38">
        <v>3308.0</v>
      </c>
      <c r="C661" s="38" t="s">
        <v>1472</v>
      </c>
      <c r="D661" s="38" t="str">
        <f>IFERROR(__xludf.DUMMYFUNCTION("REGEXREPLACE(C661,""-\d+(.*)|--\d+(.*)"","""")"),"VERNUSSE")</f>
        <v>VERNUSSE</v>
      </c>
      <c r="E661" s="38" t="s">
        <v>160</v>
      </c>
      <c r="F661" s="38" t="s">
        <v>161</v>
      </c>
      <c r="G661" s="49" t="str">
        <f t="shared" si="1"/>
        <v>03390</v>
      </c>
      <c r="H661" s="49" t="str">
        <f t="shared" si="2"/>
        <v>03308</v>
      </c>
    </row>
    <row r="662">
      <c r="A662" s="48" t="s">
        <v>1473</v>
      </c>
      <c r="B662" s="38">
        <v>50518.0</v>
      </c>
      <c r="C662" s="38" t="s">
        <v>1474</v>
      </c>
      <c r="D662" s="38" t="str">
        <f>IFERROR(__xludf.DUMMYFUNCTION("REGEXREPLACE(C662,""-\d+(.*)|--\d+(.*)"","""")"),"SAINT-MARTIN-LE-BOUILLANT")</f>
        <v>SAINT-MARTIN-LE-BOUILLANT</v>
      </c>
      <c r="E662" s="38" t="s">
        <v>157</v>
      </c>
      <c r="F662" s="38" t="s">
        <v>138</v>
      </c>
      <c r="G662" s="49" t="str">
        <f t="shared" si="1"/>
        <v>50800</v>
      </c>
      <c r="H662" s="49">
        <f t="shared" si="2"/>
        <v>50518</v>
      </c>
    </row>
    <row r="663">
      <c r="A663" s="48" t="s">
        <v>1475</v>
      </c>
      <c r="B663" s="38">
        <v>50456.0</v>
      </c>
      <c r="C663" s="38" t="s">
        <v>1476</v>
      </c>
      <c r="D663" s="38" t="str">
        <f>IFERROR(__xludf.DUMMYFUNCTION("REGEXREPLACE(C663,""-\d+(.*)|--\d+(.*)"","""")"),"SAINT-CLEMENT-RANCOUDRAY")</f>
        <v>SAINT-CLEMENT-RANCOUDRAY</v>
      </c>
      <c r="E663" s="38" t="s">
        <v>157</v>
      </c>
      <c r="F663" s="38" t="s">
        <v>138</v>
      </c>
      <c r="G663" s="49" t="str">
        <f t="shared" si="1"/>
        <v>50140</v>
      </c>
      <c r="H663" s="49">
        <f t="shared" si="2"/>
        <v>50456</v>
      </c>
    </row>
    <row r="664">
      <c r="A664" s="48" t="s">
        <v>1477</v>
      </c>
      <c r="B664" s="38">
        <v>61225.0</v>
      </c>
      <c r="C664" s="38" t="s">
        <v>1478</v>
      </c>
      <c r="D664" s="38" t="str">
        <f>IFERROR(__xludf.DUMMYFUNCTION("REGEXREPLACE(C664,""-\d+(.*)|--\d+(.*)"","""")"),"LIGNERES")</f>
        <v>LIGNERES</v>
      </c>
      <c r="E664" s="38" t="s">
        <v>141</v>
      </c>
      <c r="F664" s="38" t="s">
        <v>138</v>
      </c>
      <c r="G664" s="49" t="str">
        <f t="shared" si="1"/>
        <v>61240</v>
      </c>
      <c r="H664" s="49">
        <f t="shared" si="2"/>
        <v>61225</v>
      </c>
    </row>
    <row r="665">
      <c r="A665" s="48" t="s">
        <v>1479</v>
      </c>
      <c r="B665" s="38">
        <v>59088.0</v>
      </c>
      <c r="C665" s="38" t="s">
        <v>1480</v>
      </c>
      <c r="D665" s="38" t="str">
        <f>IFERROR(__xludf.DUMMYFUNCTION("REGEXREPLACE(C665,""-\d+(.*)|--\d+(.*)"","""")"),"BOIS-GRENIER")</f>
        <v>BOIS-GRENIER</v>
      </c>
      <c r="E665" s="38" t="s">
        <v>85</v>
      </c>
      <c r="F665" s="38" t="s">
        <v>86</v>
      </c>
      <c r="G665" s="49" t="str">
        <f t="shared" si="1"/>
        <v>59280</v>
      </c>
      <c r="H665" s="49">
        <f t="shared" si="2"/>
        <v>59088</v>
      </c>
    </row>
    <row r="666">
      <c r="A666" s="48" t="s">
        <v>1481</v>
      </c>
      <c r="B666" s="38">
        <v>2800.0</v>
      </c>
      <c r="C666" s="38" t="s">
        <v>1482</v>
      </c>
      <c r="D666" s="38" t="str">
        <f>IFERROR(__xludf.DUMMYFUNCTION("REGEXREPLACE(C666,""-\d+(.*)|--\d+(.*)"","""")"),"VIFFORT")</f>
        <v>VIFFORT</v>
      </c>
      <c r="E666" s="38" t="s">
        <v>191</v>
      </c>
      <c r="F666" s="38" t="s">
        <v>113</v>
      </c>
      <c r="G666" s="49" t="str">
        <f t="shared" si="1"/>
        <v>02540</v>
      </c>
      <c r="H666" s="49" t="str">
        <f t="shared" si="2"/>
        <v>02800</v>
      </c>
    </row>
    <row r="667">
      <c r="A667" s="48" t="s">
        <v>1483</v>
      </c>
      <c r="B667" s="38">
        <v>80654.0</v>
      </c>
      <c r="C667" s="38" t="s">
        <v>1484</v>
      </c>
      <c r="D667" s="38" t="str">
        <f>IFERROR(__xludf.DUMMYFUNCTION("REGEXREPLACE(C667,""-\d+(.*)|--\d+(.*)"","""")"),"QUESNOY-LE-MONTANT")</f>
        <v>QUESNOY-LE-MONTANT</v>
      </c>
      <c r="E667" s="38" t="s">
        <v>224</v>
      </c>
      <c r="F667" s="38" t="s">
        <v>113</v>
      </c>
      <c r="G667" s="49" t="str">
        <f t="shared" si="1"/>
        <v>80132</v>
      </c>
      <c r="H667" s="49">
        <f t="shared" si="2"/>
        <v>80654</v>
      </c>
    </row>
    <row r="668">
      <c r="A668" s="48" t="s">
        <v>1485</v>
      </c>
      <c r="B668" s="38">
        <v>21464.0</v>
      </c>
      <c r="C668" s="38" t="s">
        <v>1486</v>
      </c>
      <c r="D668" s="38" t="str">
        <f>IFERROR(__xludf.DUMMYFUNCTION("REGEXREPLACE(C668,""-\d+(.*)|--\d+(.*)"","""")"),"NUITS-SAINT-GEORGES")</f>
        <v>NUITS-SAINT-GEORGES</v>
      </c>
      <c r="E668" s="38" t="s">
        <v>105</v>
      </c>
      <c r="F668" s="38" t="s">
        <v>106</v>
      </c>
      <c r="G668" s="49" t="str">
        <f t="shared" si="1"/>
        <v>21700</v>
      </c>
      <c r="H668" s="49">
        <f t="shared" si="2"/>
        <v>21464</v>
      </c>
    </row>
    <row r="669">
      <c r="A669" s="48" t="s">
        <v>1487</v>
      </c>
      <c r="B669" s="38">
        <v>37282.0</v>
      </c>
      <c r="C669" s="38" t="s">
        <v>1488</v>
      </c>
      <c r="D669" s="38" t="str">
        <f>IFERROR(__xludf.DUMMYFUNCTION("REGEXREPLACE(C669,""-\d+(.*)|--\d+(.*)"","""")"),"YZEURES-SUR-CREUSE")</f>
        <v>YZEURES-SUR-CREUSE</v>
      </c>
      <c r="E669" s="38" t="s">
        <v>205</v>
      </c>
      <c r="F669" s="38" t="s">
        <v>123</v>
      </c>
      <c r="G669" s="49" t="str">
        <f t="shared" si="1"/>
        <v>37290</v>
      </c>
      <c r="H669" s="49">
        <f t="shared" si="2"/>
        <v>37282</v>
      </c>
    </row>
    <row r="670">
      <c r="A670" s="48" t="s">
        <v>1489</v>
      </c>
      <c r="B670" s="38">
        <v>80598.0</v>
      </c>
      <c r="C670" s="38" t="s">
        <v>1490</v>
      </c>
      <c r="D670" s="38" t="str">
        <f>IFERROR(__xludf.DUMMYFUNCTION("REGEXREPLACE(C670,""-\d+(.*)|--\d+(.*)"","""")"),"NOUVION")</f>
        <v>NOUVION</v>
      </c>
      <c r="E670" s="38" t="s">
        <v>224</v>
      </c>
      <c r="F670" s="38" t="s">
        <v>113</v>
      </c>
      <c r="G670" s="49" t="str">
        <f t="shared" si="1"/>
        <v>80860</v>
      </c>
      <c r="H670" s="49">
        <f t="shared" si="2"/>
        <v>80598</v>
      </c>
    </row>
    <row r="671">
      <c r="A671" s="48" t="s">
        <v>1491</v>
      </c>
      <c r="B671" s="38">
        <v>70489.0</v>
      </c>
      <c r="C671" s="38" t="s">
        <v>1492</v>
      </c>
      <c r="D671" s="38" t="str">
        <f>IFERROR(__xludf.DUMMYFUNCTION("REGEXREPLACE(C671,""-\d+(.*)|--\d+(.*)"","""")"),"SERVANCE")</f>
        <v>SERVANCE</v>
      </c>
      <c r="E671" s="38" t="s">
        <v>956</v>
      </c>
      <c r="F671" s="38" t="s">
        <v>214</v>
      </c>
      <c r="G671" s="49" t="str">
        <f t="shared" si="1"/>
        <v>70440</v>
      </c>
      <c r="H671" s="49">
        <f t="shared" si="2"/>
        <v>70489</v>
      </c>
    </row>
    <row r="672">
      <c r="A672" s="48" t="s">
        <v>1493</v>
      </c>
      <c r="B672" s="38">
        <v>58232.0</v>
      </c>
      <c r="C672" s="38" t="s">
        <v>1494</v>
      </c>
      <c r="D672" s="38" t="str">
        <f>IFERROR(__xludf.DUMMYFUNCTION("REGEXREPLACE(C672,""-\d+(.*)|--\d+(.*)"","""")"),"SAINT-BENIN-D'AZY")</f>
        <v>SAINT-BENIN-D'AZY</v>
      </c>
      <c r="E672" s="38" t="s">
        <v>219</v>
      </c>
      <c r="F672" s="38" t="s">
        <v>106</v>
      </c>
      <c r="G672" s="49" t="str">
        <f t="shared" si="1"/>
        <v>58270</v>
      </c>
      <c r="H672" s="49">
        <f t="shared" si="2"/>
        <v>58232</v>
      </c>
    </row>
    <row r="673">
      <c r="A673" s="48" t="s">
        <v>1495</v>
      </c>
      <c r="B673" s="38">
        <v>33460.0</v>
      </c>
      <c r="C673" s="38" t="s">
        <v>1496</v>
      </c>
      <c r="D673" s="38" t="str">
        <f>IFERROR(__xludf.DUMMYFUNCTION("REGEXREPLACE(C673,""-\d+(.*)|--\d+(.*)"","""")"),"SAINT-PEY-DE-CASTETS")</f>
        <v>SAINT-PEY-DE-CASTETS</v>
      </c>
      <c r="E673" s="38" t="s">
        <v>462</v>
      </c>
      <c r="F673" s="38" t="s">
        <v>252</v>
      </c>
      <c r="G673" s="49" t="str">
        <f t="shared" si="1"/>
        <v>33350</v>
      </c>
      <c r="H673" s="49">
        <f t="shared" si="2"/>
        <v>33460</v>
      </c>
    </row>
    <row r="674">
      <c r="A674" s="48" t="s">
        <v>1497</v>
      </c>
      <c r="B674" s="38">
        <v>83037.0</v>
      </c>
      <c r="C674" s="38" t="s">
        <v>1498</v>
      </c>
      <c r="D674" s="38" t="str">
        <f>IFERROR(__xludf.DUMMYFUNCTION("REGEXREPLACE(C674,""-\d+(.*)|--\d+(.*)"","""")"),"LA CELLE")</f>
        <v>LA CELLE</v>
      </c>
      <c r="E674" s="38" t="s">
        <v>813</v>
      </c>
      <c r="F674" s="38" t="s">
        <v>228</v>
      </c>
      <c r="G674" s="49" t="str">
        <f t="shared" si="1"/>
        <v>83170</v>
      </c>
      <c r="H674" s="49">
        <f t="shared" si="2"/>
        <v>83037</v>
      </c>
    </row>
    <row r="675">
      <c r="A675" s="48" t="s">
        <v>1499</v>
      </c>
      <c r="B675" s="38">
        <v>49292.0</v>
      </c>
      <c r="C675" s="38" t="s">
        <v>1500</v>
      </c>
      <c r="D675" s="38" t="str">
        <f>IFERROR(__xludf.DUMMYFUNCTION("REGEXREPLACE(C675,""-\d+(.*)|--\d+(.*)"","""")"),"SAINT-LAMBERT-DU-LATTAY")</f>
        <v>SAINT-LAMBERT-DU-LATTAY</v>
      </c>
      <c r="E675" s="38" t="s">
        <v>653</v>
      </c>
      <c r="F675" s="38" t="s">
        <v>180</v>
      </c>
      <c r="G675" s="49" t="str">
        <f t="shared" si="1"/>
        <v>49750</v>
      </c>
      <c r="H675" s="49">
        <f t="shared" si="2"/>
        <v>49292</v>
      </c>
    </row>
    <row r="676">
      <c r="A676" s="48" t="s">
        <v>1501</v>
      </c>
      <c r="B676" s="38">
        <v>39052.0</v>
      </c>
      <c r="C676" s="38" t="s">
        <v>1502</v>
      </c>
      <c r="D676" s="38" t="str">
        <f>IFERROR(__xludf.DUMMYFUNCTION("REGEXREPLACE(C676,""-\d+(.*)|--\d+(.*)"","""")"),"BIEF-DES-MAISONS")</f>
        <v>BIEF-DES-MAISONS</v>
      </c>
      <c r="E676" s="38" t="s">
        <v>400</v>
      </c>
      <c r="F676" s="38" t="s">
        <v>214</v>
      </c>
      <c r="G676" s="49" t="str">
        <f t="shared" si="1"/>
        <v>39150</v>
      </c>
      <c r="H676" s="49">
        <f t="shared" si="2"/>
        <v>39052</v>
      </c>
    </row>
    <row r="677">
      <c r="A677" s="48" t="s">
        <v>1503</v>
      </c>
      <c r="B677" s="38">
        <v>72165.0</v>
      </c>
      <c r="C677" s="38" t="s">
        <v>1504</v>
      </c>
      <c r="D677" s="38" t="str">
        <f>IFERROR(__xludf.DUMMYFUNCTION("REGEXREPLACE(C677,""-\d+(.*)|--\d+(.*)"","""")"),"LOMBRON")</f>
        <v>LOMBRON</v>
      </c>
      <c r="E677" s="38" t="s">
        <v>521</v>
      </c>
      <c r="F677" s="38" t="s">
        <v>180</v>
      </c>
      <c r="G677" s="49" t="str">
        <f t="shared" si="1"/>
        <v>72450</v>
      </c>
      <c r="H677" s="49">
        <f t="shared" si="2"/>
        <v>72165</v>
      </c>
    </row>
    <row r="678">
      <c r="A678" s="48" t="s">
        <v>1505</v>
      </c>
      <c r="B678" s="38">
        <v>81286.0</v>
      </c>
      <c r="C678" s="38" t="s">
        <v>1506</v>
      </c>
      <c r="D678" s="38" t="str">
        <f>IFERROR(__xludf.DUMMYFUNCTION("REGEXREPLACE(C678,""-\d+(.*)|--\d+(.*)"","""")"),"SERVIES")</f>
        <v>SERVIES</v>
      </c>
      <c r="E678" s="38" t="s">
        <v>231</v>
      </c>
      <c r="F678" s="38" t="s">
        <v>94</v>
      </c>
      <c r="G678" s="49" t="str">
        <f t="shared" si="1"/>
        <v>81220</v>
      </c>
      <c r="H678" s="49">
        <f t="shared" si="2"/>
        <v>81286</v>
      </c>
    </row>
    <row r="679">
      <c r="A679" s="48" t="s">
        <v>1507</v>
      </c>
      <c r="B679" s="38">
        <v>63337.0</v>
      </c>
      <c r="C679" s="38" t="s">
        <v>1508</v>
      </c>
      <c r="D679" s="38" t="str">
        <f>IFERROR(__xludf.DUMMYFUNCTION("REGEXREPLACE(C679,""-\d+(.*)|--\d+(.*)"","""")"),"SAINT-ELOY-LA-GLACIERE")</f>
        <v>SAINT-ELOY-LA-GLACIERE</v>
      </c>
      <c r="E679" s="38" t="s">
        <v>353</v>
      </c>
      <c r="F679" s="38" t="s">
        <v>161</v>
      </c>
      <c r="G679" s="49" t="str">
        <f t="shared" si="1"/>
        <v>63890</v>
      </c>
      <c r="H679" s="49">
        <f t="shared" si="2"/>
        <v>63337</v>
      </c>
    </row>
    <row r="680">
      <c r="A680" s="48" t="s">
        <v>1509</v>
      </c>
      <c r="B680" s="38">
        <v>12075.0</v>
      </c>
      <c r="C680" s="38" t="s">
        <v>1510</v>
      </c>
      <c r="D680" s="38" t="str">
        <f>IFERROR(__xludf.DUMMYFUNCTION("REGEXREPLACE(C680,""-\d+(.*)|--\d+(.*)"","""")"),"CONNAC")</f>
        <v>CONNAC</v>
      </c>
      <c r="E680" s="38" t="s">
        <v>465</v>
      </c>
      <c r="F680" s="38" t="s">
        <v>94</v>
      </c>
      <c r="G680" s="49" t="str">
        <f t="shared" si="1"/>
        <v>12170</v>
      </c>
      <c r="H680" s="49">
        <f t="shared" si="2"/>
        <v>12075</v>
      </c>
    </row>
    <row r="681">
      <c r="A681" s="48" t="s">
        <v>1511</v>
      </c>
      <c r="B681" s="38">
        <v>22319.0</v>
      </c>
      <c r="C681" s="38" t="s">
        <v>1512</v>
      </c>
      <c r="D681" s="38" t="str">
        <f>IFERROR(__xludf.DUMMYFUNCTION("REGEXREPLACE(C681,""-\d+(.*)|--\d+(.*)"","""")"),"SAINT-MICHEL-EN-GREVE")</f>
        <v>SAINT-MICHEL-EN-GREVE</v>
      </c>
      <c r="E681" s="38" t="s">
        <v>89</v>
      </c>
      <c r="F681" s="38" t="s">
        <v>90</v>
      </c>
      <c r="G681" s="49" t="str">
        <f t="shared" si="1"/>
        <v>22300</v>
      </c>
      <c r="H681" s="49">
        <f t="shared" si="2"/>
        <v>22319</v>
      </c>
    </row>
    <row r="682">
      <c r="A682" s="48" t="s">
        <v>460</v>
      </c>
      <c r="B682" s="38">
        <v>33113.0</v>
      </c>
      <c r="C682" s="38" t="s">
        <v>1513</v>
      </c>
      <c r="D682" s="38" t="str">
        <f>IFERROR(__xludf.DUMMYFUNCTION("REGEXREPLACE(C682,""-\d+(.*)|--\d+(.*)"","""")"),"CAUVIGNAC")</f>
        <v>CAUVIGNAC</v>
      </c>
      <c r="E682" s="38" t="s">
        <v>462</v>
      </c>
      <c r="F682" s="38" t="s">
        <v>252</v>
      </c>
      <c r="G682" s="49" t="str">
        <f t="shared" si="1"/>
        <v>33690</v>
      </c>
      <c r="H682" s="49">
        <f t="shared" si="2"/>
        <v>33113</v>
      </c>
    </row>
    <row r="683">
      <c r="A683" s="48" t="s">
        <v>1514</v>
      </c>
      <c r="B683" s="38">
        <v>70117.0</v>
      </c>
      <c r="C683" s="38" t="s">
        <v>1515</v>
      </c>
      <c r="D683" s="38" t="str">
        <f>IFERROR(__xludf.DUMMYFUNCTION("REGEXREPLACE(C683,""-\d+(.*)|--\d+(.*)"","""")"),"CHALONVILLARS")</f>
        <v>CHALONVILLARS</v>
      </c>
      <c r="E683" s="38" t="s">
        <v>956</v>
      </c>
      <c r="F683" s="38" t="s">
        <v>214</v>
      </c>
      <c r="G683" s="49" t="str">
        <f t="shared" si="1"/>
        <v>70400</v>
      </c>
      <c r="H683" s="49">
        <f t="shared" si="2"/>
        <v>70117</v>
      </c>
    </row>
    <row r="684">
      <c r="A684" s="48" t="s">
        <v>1516</v>
      </c>
      <c r="B684" s="38">
        <v>60141.0</v>
      </c>
      <c r="C684" s="38" t="s">
        <v>1517</v>
      </c>
      <c r="D684" s="38" t="str">
        <f>IFERROR(__xludf.DUMMYFUNCTION("REGEXREPLACE(C684,""-\d+(.*)|--\d+(.*)"","""")"),"CHANTILLY")</f>
        <v>CHANTILLY</v>
      </c>
      <c r="E684" s="38" t="s">
        <v>112</v>
      </c>
      <c r="F684" s="38" t="s">
        <v>113</v>
      </c>
      <c r="G684" s="49" t="str">
        <f t="shared" si="1"/>
        <v>60500</v>
      </c>
      <c r="H684" s="49">
        <f t="shared" si="2"/>
        <v>60141</v>
      </c>
    </row>
    <row r="685">
      <c r="A685" s="48" t="s">
        <v>1518</v>
      </c>
      <c r="B685" s="38">
        <v>88292.0</v>
      </c>
      <c r="C685" s="38" t="s">
        <v>1519</v>
      </c>
      <c r="D685" s="38" t="str">
        <f>IFERROR(__xludf.DUMMYFUNCTION("REGEXREPLACE(C685,""-\d+(.*)|--\d+(.*)"","""")"),"MATTAINCOURT")</f>
        <v>MATTAINCOURT</v>
      </c>
      <c r="E685" s="38" t="s">
        <v>194</v>
      </c>
      <c r="F685" s="38" t="s">
        <v>195</v>
      </c>
      <c r="G685" s="49" t="str">
        <f t="shared" si="1"/>
        <v>88500</v>
      </c>
      <c r="H685" s="49">
        <f t="shared" si="2"/>
        <v>88292</v>
      </c>
    </row>
    <row r="686">
      <c r="A686" s="48" t="s">
        <v>1520</v>
      </c>
      <c r="B686" s="38">
        <v>16242.0</v>
      </c>
      <c r="C686" s="38" t="s">
        <v>1521</v>
      </c>
      <c r="D686" s="38" t="str">
        <f>IFERROR(__xludf.DUMMYFUNCTION("REGEXREPLACE(C686,""-\d+(.*)|--\d+(.*)"","""")"),"NANTEUIL-EN-VALLEE")</f>
        <v>NANTEUIL-EN-VALLEE</v>
      </c>
      <c r="E686" s="38" t="s">
        <v>429</v>
      </c>
      <c r="F686" s="38" t="s">
        <v>338</v>
      </c>
      <c r="G686" s="49" t="str">
        <f t="shared" si="1"/>
        <v>16700</v>
      </c>
      <c r="H686" s="49">
        <f t="shared" si="2"/>
        <v>16242</v>
      </c>
    </row>
    <row r="687">
      <c r="A687" s="48" t="s">
        <v>1522</v>
      </c>
      <c r="B687" s="38">
        <v>32129.0</v>
      </c>
      <c r="C687" s="38" t="s">
        <v>1523</v>
      </c>
      <c r="D687" s="38" t="str">
        <f>IFERROR(__xludf.DUMMYFUNCTION("REGEXREPLACE(C687,""-\d+(.*)|--\d+(.*)"","""")"),"ESTRAMIAC")</f>
        <v>ESTRAMIAC</v>
      </c>
      <c r="E687" s="38" t="s">
        <v>440</v>
      </c>
      <c r="F687" s="38" t="s">
        <v>94</v>
      </c>
      <c r="G687" s="49" t="str">
        <f t="shared" si="1"/>
        <v>32380</v>
      </c>
      <c r="H687" s="49">
        <f t="shared" si="2"/>
        <v>32129</v>
      </c>
    </row>
    <row r="688">
      <c r="A688" s="48" t="s">
        <v>1524</v>
      </c>
      <c r="B688" s="38">
        <v>25589.0</v>
      </c>
      <c r="C688" s="38" t="s">
        <v>1525</v>
      </c>
      <c r="D688" s="38" t="str">
        <f>IFERROR(__xludf.DUMMYFUNCTION("REGEXREPLACE(C688,""-\d+(.*)|--\d+(.*)"","""")"),"VAUCLUSOTTE")</f>
        <v>VAUCLUSOTTE</v>
      </c>
      <c r="E688" s="38" t="s">
        <v>213</v>
      </c>
      <c r="F688" s="38" t="s">
        <v>214</v>
      </c>
      <c r="G688" s="49" t="str">
        <f t="shared" si="1"/>
        <v>25380</v>
      </c>
      <c r="H688" s="49">
        <f t="shared" si="2"/>
        <v>25589</v>
      </c>
    </row>
    <row r="689">
      <c r="A689" s="48" t="s">
        <v>1526</v>
      </c>
      <c r="B689" s="38">
        <v>60245.0</v>
      </c>
      <c r="C689" s="38" t="s">
        <v>1527</v>
      </c>
      <c r="D689" s="38" t="str">
        <f>IFERROR(__xludf.DUMMYFUNCTION("REGEXREPLACE(C689,""-\d+(.*)|--\d+(.*)"","""")"),"FORMERIE")</f>
        <v>FORMERIE</v>
      </c>
      <c r="E689" s="38" t="s">
        <v>112</v>
      </c>
      <c r="F689" s="38" t="s">
        <v>113</v>
      </c>
      <c r="G689" s="49" t="str">
        <f t="shared" si="1"/>
        <v>60220</v>
      </c>
      <c r="H689" s="49">
        <f t="shared" si="2"/>
        <v>60245</v>
      </c>
    </row>
    <row r="690">
      <c r="A690" s="48" t="s">
        <v>1528</v>
      </c>
      <c r="B690" s="38">
        <v>59175.0</v>
      </c>
      <c r="C690" s="38" t="s">
        <v>1529</v>
      </c>
      <c r="D690" s="38" t="str">
        <f>IFERROR(__xludf.DUMMYFUNCTION("REGEXREPLACE(C690,""-\d+(.*)|--\d+(.*)"","""")"),"DIMONT")</f>
        <v>DIMONT</v>
      </c>
      <c r="E690" s="38" t="s">
        <v>85</v>
      </c>
      <c r="F690" s="38" t="s">
        <v>86</v>
      </c>
      <c r="G690" s="49" t="str">
        <f t="shared" si="1"/>
        <v>59216</v>
      </c>
      <c r="H690" s="49">
        <f t="shared" si="2"/>
        <v>59175</v>
      </c>
    </row>
    <row r="691">
      <c r="A691" s="48" t="s">
        <v>215</v>
      </c>
      <c r="B691" s="38">
        <v>2802.0</v>
      </c>
      <c r="C691" s="38" t="s">
        <v>1530</v>
      </c>
      <c r="D691" s="38" t="str">
        <f>IFERROR(__xludf.DUMMYFUNCTION("REGEXREPLACE(C691,""-\d+(.*)|--\d+(.*)"","""")"),"LA VILLE-AUX-BOIS-LES-DIZY")</f>
        <v>LA VILLE-AUX-BOIS-LES-DIZY</v>
      </c>
      <c r="E691" s="38" t="s">
        <v>191</v>
      </c>
      <c r="F691" s="38" t="s">
        <v>113</v>
      </c>
      <c r="G691" s="49" t="str">
        <f t="shared" si="1"/>
        <v>02340</v>
      </c>
      <c r="H691" s="49" t="str">
        <f t="shared" si="2"/>
        <v>02802</v>
      </c>
    </row>
    <row r="692">
      <c r="A692" s="48" t="s">
        <v>1531</v>
      </c>
      <c r="B692" s="38">
        <v>65094.0</v>
      </c>
      <c r="C692" s="38" t="s">
        <v>1532</v>
      </c>
      <c r="D692" s="38" t="str">
        <f>IFERROR(__xludf.DUMMYFUNCTION("REGEXREPLACE(C692,""-\d+(.*)|--\d+(.*)"","""")"),"BIZOUS")</f>
        <v>BIZOUS</v>
      </c>
      <c r="E692" s="38" t="s">
        <v>200</v>
      </c>
      <c r="F692" s="38" t="s">
        <v>94</v>
      </c>
      <c r="G692" s="49" t="str">
        <f t="shared" si="1"/>
        <v>65150</v>
      </c>
      <c r="H692" s="49">
        <f t="shared" si="2"/>
        <v>65094</v>
      </c>
    </row>
    <row r="693">
      <c r="A693" s="48" t="s">
        <v>315</v>
      </c>
      <c r="B693" s="38">
        <v>27321.0</v>
      </c>
      <c r="C693" s="38" t="s">
        <v>1533</v>
      </c>
      <c r="D693" s="38" t="str">
        <f>IFERROR(__xludf.DUMMYFUNCTION("REGEXREPLACE(C693,""-\d+(.*)|--\d+(.*)"","""")"),"LA HAYE-LE-COMTE")</f>
        <v>LA HAYE-LE-COMTE</v>
      </c>
      <c r="E693" s="38" t="s">
        <v>241</v>
      </c>
      <c r="F693" s="38" t="s">
        <v>134</v>
      </c>
      <c r="G693" s="49" t="str">
        <f t="shared" si="1"/>
        <v>27400</v>
      </c>
      <c r="H693" s="49">
        <f t="shared" si="2"/>
        <v>27321</v>
      </c>
    </row>
    <row r="694">
      <c r="A694" s="48" t="s">
        <v>1534</v>
      </c>
      <c r="B694" s="38">
        <v>19266.0</v>
      </c>
      <c r="C694" s="38" t="s">
        <v>1535</v>
      </c>
      <c r="D694" s="38" t="str">
        <f>IFERROR(__xludf.DUMMYFUNCTION("REGEXREPLACE(C694,""-\d+(.*)|--\d+(.*)"","""")"),"THALAMY")</f>
        <v>THALAMY</v>
      </c>
      <c r="E694" s="38" t="s">
        <v>271</v>
      </c>
      <c r="F694" s="38" t="s">
        <v>98</v>
      </c>
      <c r="G694" s="49" t="str">
        <f t="shared" si="1"/>
        <v>19200</v>
      </c>
      <c r="H694" s="49">
        <f t="shared" si="2"/>
        <v>19266</v>
      </c>
    </row>
    <row r="695">
      <c r="A695" s="48" t="s">
        <v>1536</v>
      </c>
      <c r="B695" s="38">
        <v>43039.0</v>
      </c>
      <c r="C695" s="38" t="s">
        <v>1537</v>
      </c>
      <c r="D695" s="38" t="str">
        <f>IFERROR(__xludf.DUMMYFUNCTION("REGEXREPLACE(C695,""-\d+(.*)|--\d+(.*)"","""")"),"LE BRIGNON")</f>
        <v>LE BRIGNON</v>
      </c>
      <c r="E695" s="38" t="s">
        <v>332</v>
      </c>
      <c r="F695" s="38" t="s">
        <v>161</v>
      </c>
      <c r="G695" s="49" t="str">
        <f t="shared" si="1"/>
        <v>43370</v>
      </c>
      <c r="H695" s="49">
        <f t="shared" si="2"/>
        <v>43039</v>
      </c>
    </row>
    <row r="696">
      <c r="A696" s="48" t="s">
        <v>1538</v>
      </c>
      <c r="B696" s="38">
        <v>27590.0</v>
      </c>
      <c r="C696" s="38" t="s">
        <v>1539</v>
      </c>
      <c r="D696" s="38" t="str">
        <f>IFERROR(__xludf.DUMMYFUNCTION("REGEXREPLACE(C696,""-\d+(.*)|--\d+(.*)"","""")"),"SAINT-PIERRE-DE-CERNIERES")</f>
        <v>SAINT-PIERRE-DE-CERNIERES</v>
      </c>
      <c r="E696" s="38" t="s">
        <v>241</v>
      </c>
      <c r="F696" s="38" t="s">
        <v>134</v>
      </c>
      <c r="G696" s="49" t="str">
        <f t="shared" si="1"/>
        <v>27390</v>
      </c>
      <c r="H696" s="49">
        <f t="shared" si="2"/>
        <v>27590</v>
      </c>
    </row>
    <row r="697">
      <c r="A697" s="48" t="s">
        <v>1540</v>
      </c>
      <c r="B697" s="38">
        <v>70517.0</v>
      </c>
      <c r="C697" s="38" t="s">
        <v>1541</v>
      </c>
      <c r="D697" s="38" t="str">
        <f>IFERROR(__xludf.DUMMYFUNCTION("REGEXREPLACE(C697,""-\d+(.*)|--\d+(.*)"","""")"),"VALLEROIS-LORIOZ")</f>
        <v>VALLEROIS-LORIOZ</v>
      </c>
      <c r="E697" s="38" t="s">
        <v>956</v>
      </c>
      <c r="F697" s="38" t="s">
        <v>214</v>
      </c>
      <c r="G697" s="49" t="str">
        <f t="shared" si="1"/>
        <v>70000</v>
      </c>
      <c r="H697" s="49">
        <f t="shared" si="2"/>
        <v>70517</v>
      </c>
    </row>
    <row r="698">
      <c r="A698" s="48" t="s">
        <v>1542</v>
      </c>
      <c r="B698" s="38">
        <v>24261.0</v>
      </c>
      <c r="C698" s="38" t="s">
        <v>1543</v>
      </c>
      <c r="D698" s="38" t="str">
        <f>IFERROR(__xludf.DUMMYFUNCTION("REGEXREPLACE(C698,""-\d+(.*)|--\d+(.*)"","""")"),"MAUZENS-ET-MIREMONT")</f>
        <v>MAUZENS-ET-MIREMONT</v>
      </c>
      <c r="E698" s="38" t="s">
        <v>261</v>
      </c>
      <c r="F698" s="38" t="s">
        <v>252</v>
      </c>
      <c r="G698" s="49" t="str">
        <f t="shared" si="1"/>
        <v>24260</v>
      </c>
      <c r="H698" s="49">
        <f t="shared" si="2"/>
        <v>24261</v>
      </c>
    </row>
    <row r="699">
      <c r="A699" s="48" t="s">
        <v>1544</v>
      </c>
      <c r="B699" s="38">
        <v>2418.0</v>
      </c>
      <c r="C699" s="38" t="s">
        <v>1545</v>
      </c>
      <c r="D699" s="38" t="str">
        <f>IFERROR(__xludf.DUMMYFUNCTION("REGEXREPLACE(C699,""-\d+(.*)|--\d+(.*)"","""")"),"LERZY")</f>
        <v>LERZY</v>
      </c>
      <c r="E699" s="38" t="s">
        <v>191</v>
      </c>
      <c r="F699" s="38" t="s">
        <v>113</v>
      </c>
      <c r="G699" s="49" t="str">
        <f t="shared" si="1"/>
        <v>02260</v>
      </c>
      <c r="H699" s="49" t="str">
        <f t="shared" si="2"/>
        <v>02418</v>
      </c>
    </row>
    <row r="700">
      <c r="A700" s="48" t="s">
        <v>196</v>
      </c>
      <c r="B700" s="38">
        <v>2130.0</v>
      </c>
      <c r="C700" s="38" t="s">
        <v>1546</v>
      </c>
      <c r="D700" s="38" t="str">
        <f>IFERROR(__xludf.DUMMYFUNCTION("REGEXREPLACE(C700,""-\d+(.*)|--\d+(.*)"","""")"),"BUCILLY")</f>
        <v>BUCILLY</v>
      </c>
      <c r="E700" s="38" t="s">
        <v>191</v>
      </c>
      <c r="F700" s="38" t="s">
        <v>113</v>
      </c>
      <c r="G700" s="49" t="str">
        <f t="shared" si="1"/>
        <v>02500</v>
      </c>
      <c r="H700" s="49" t="str">
        <f t="shared" si="2"/>
        <v>02130</v>
      </c>
    </row>
    <row r="701">
      <c r="A701" s="48" t="s">
        <v>1547</v>
      </c>
      <c r="B701" s="38">
        <v>24033.0</v>
      </c>
      <c r="C701" s="38" t="s">
        <v>1548</v>
      </c>
      <c r="D701" s="38" t="str">
        <f>IFERROR(__xludf.DUMMYFUNCTION("REGEXREPLACE(C701,""-\d+(.*)|--\d+(.*)"","""")"),"BEAUSSAC")</f>
        <v>BEAUSSAC</v>
      </c>
      <c r="E701" s="38" t="s">
        <v>261</v>
      </c>
      <c r="F701" s="38" t="s">
        <v>252</v>
      </c>
      <c r="G701" s="49" t="str">
        <f t="shared" si="1"/>
        <v>24340</v>
      </c>
      <c r="H701" s="49">
        <f t="shared" si="2"/>
        <v>24033</v>
      </c>
    </row>
    <row r="702">
      <c r="A702" s="48" t="s">
        <v>1214</v>
      </c>
      <c r="B702" s="38">
        <v>56049.0</v>
      </c>
      <c r="C702" s="38" t="s">
        <v>1549</v>
      </c>
      <c r="D702" s="38" t="str">
        <f>IFERROR(__xludf.DUMMYFUNCTION("REGEXREPLACE(C702,""-\d+(.*)|--\d+(.*)"","""")"),"CROIXANVEC")</f>
        <v>CROIXANVEC</v>
      </c>
      <c r="E702" s="38" t="s">
        <v>173</v>
      </c>
      <c r="F702" s="38" t="s">
        <v>90</v>
      </c>
      <c r="G702" s="49" t="str">
        <f t="shared" si="1"/>
        <v>56920</v>
      </c>
      <c r="H702" s="49">
        <f t="shared" si="2"/>
        <v>56049</v>
      </c>
    </row>
    <row r="703">
      <c r="A703" s="48" t="s">
        <v>463</v>
      </c>
      <c r="B703" s="38">
        <v>12064.0</v>
      </c>
      <c r="C703" s="38" t="s">
        <v>1550</v>
      </c>
      <c r="D703" s="38" t="str">
        <f>IFERROR(__xludf.DUMMYFUNCTION("REGEXREPLACE(C703,""-\d+(.*)|--\d+(.*)"","""")"),"LE CAYROL")</f>
        <v>LE CAYROL</v>
      </c>
      <c r="E703" s="38" t="s">
        <v>465</v>
      </c>
      <c r="F703" s="38" t="s">
        <v>94</v>
      </c>
      <c r="G703" s="49" t="str">
        <f t="shared" si="1"/>
        <v>12500</v>
      </c>
      <c r="H703" s="49">
        <f t="shared" si="2"/>
        <v>12064</v>
      </c>
    </row>
    <row r="704">
      <c r="A704" s="48" t="s">
        <v>394</v>
      </c>
      <c r="B704" s="38">
        <v>41226.0</v>
      </c>
      <c r="C704" s="38" t="s">
        <v>1551</v>
      </c>
      <c r="D704" s="38" t="str">
        <f>IFERROR(__xludf.DUMMYFUNCTION("REGEXREPLACE(C704,""-\d+(.*)|--\d+(.*)"","""")"),"SAINT-OUEN")</f>
        <v>SAINT-OUEN</v>
      </c>
      <c r="E704" s="38" t="s">
        <v>188</v>
      </c>
      <c r="F704" s="38" t="s">
        <v>123</v>
      </c>
      <c r="G704" s="49" t="str">
        <f t="shared" si="1"/>
        <v>41100</v>
      </c>
      <c r="H704" s="49">
        <f t="shared" si="2"/>
        <v>41226</v>
      </c>
    </row>
    <row r="705">
      <c r="A705" s="48" t="s">
        <v>1552</v>
      </c>
      <c r="B705" s="38">
        <v>53151.0</v>
      </c>
      <c r="C705" s="38" t="s">
        <v>1553</v>
      </c>
      <c r="D705" s="38" t="str">
        <f>IFERROR(__xludf.DUMMYFUNCTION("REGEXREPLACE(C705,""-\d+(.*)|--\d+(.*)"","""")"),"MERAL")</f>
        <v>MERAL</v>
      </c>
      <c r="E705" s="38" t="s">
        <v>518</v>
      </c>
      <c r="F705" s="38" t="s">
        <v>180</v>
      </c>
      <c r="G705" s="49" t="str">
        <f t="shared" si="1"/>
        <v>53230</v>
      </c>
      <c r="H705" s="49">
        <f t="shared" si="2"/>
        <v>53151</v>
      </c>
    </row>
    <row r="706">
      <c r="A706" s="48" t="s">
        <v>1018</v>
      </c>
      <c r="B706" s="38">
        <v>60659.0</v>
      </c>
      <c r="C706" s="38" t="s">
        <v>1554</v>
      </c>
      <c r="D706" s="38" t="str">
        <f>IFERROR(__xludf.DUMMYFUNCTION("REGEXREPLACE(C706,""-\d+(.*)|--\d+(.*)"","""")"),"VAUDANCOURT")</f>
        <v>VAUDANCOURT</v>
      </c>
      <c r="E706" s="38" t="s">
        <v>112</v>
      </c>
      <c r="F706" s="38" t="s">
        <v>113</v>
      </c>
      <c r="G706" s="49" t="str">
        <f t="shared" si="1"/>
        <v>60240</v>
      </c>
      <c r="H706" s="49">
        <f t="shared" si="2"/>
        <v>60659</v>
      </c>
    </row>
    <row r="707">
      <c r="A707" s="48" t="s">
        <v>1555</v>
      </c>
      <c r="B707" s="38">
        <v>52500.0</v>
      </c>
      <c r="C707" s="38" t="s">
        <v>1556</v>
      </c>
      <c r="D707" s="38" t="str">
        <f>IFERROR(__xludf.DUMMYFUNCTION("REGEXREPLACE(C707,""-\d+(.*)|--\d+(.*)"","""")"),"VALCOURT")</f>
        <v>VALCOURT</v>
      </c>
      <c r="E707" s="38" t="s">
        <v>234</v>
      </c>
      <c r="F707" s="38" t="s">
        <v>130</v>
      </c>
      <c r="G707" s="49" t="str">
        <f t="shared" si="1"/>
        <v>52100</v>
      </c>
      <c r="H707" s="49">
        <f t="shared" si="2"/>
        <v>52500</v>
      </c>
    </row>
    <row r="708">
      <c r="A708" s="48" t="s">
        <v>1557</v>
      </c>
      <c r="B708" s="38">
        <v>5144.0</v>
      </c>
      <c r="C708" s="38" t="s">
        <v>1558</v>
      </c>
      <c r="D708" s="38" t="str">
        <f>IFERROR(__xludf.DUMMYFUNCTION("REGEXREPLACE(C708,""-\d+(.*)|--\d+(.*)"","""")"),"SAINT-JACQUES-EN-VALGODEMARD")</f>
        <v>SAINT-JACQUES-EN-VALGODEMARD</v>
      </c>
      <c r="E708" s="38" t="s">
        <v>706</v>
      </c>
      <c r="F708" s="38" t="s">
        <v>228</v>
      </c>
      <c r="G708" s="49" t="str">
        <f t="shared" si="1"/>
        <v>05800</v>
      </c>
      <c r="H708" s="49" t="str">
        <f t="shared" si="2"/>
        <v>05144</v>
      </c>
    </row>
    <row r="709">
      <c r="A709" s="48" t="s">
        <v>1027</v>
      </c>
      <c r="B709" s="38">
        <v>1268.0</v>
      </c>
      <c r="C709" s="38" t="s">
        <v>1559</v>
      </c>
      <c r="D709" s="38" t="str">
        <f>IFERROR(__xludf.DUMMYFUNCTION("REGEXREPLACE(C709,""-\d+(.*)|--\d+(.*)"","""")"),"MURS-ET-GELIGNIEUX")</f>
        <v>MURS-ET-GELIGNIEUX</v>
      </c>
      <c r="E709" s="38" t="s">
        <v>255</v>
      </c>
      <c r="F709" s="38" t="s">
        <v>102</v>
      </c>
      <c r="G709" s="49" t="str">
        <f t="shared" si="1"/>
        <v>01300</v>
      </c>
      <c r="H709" s="49" t="str">
        <f t="shared" si="2"/>
        <v>01268</v>
      </c>
    </row>
    <row r="710">
      <c r="A710" s="48" t="s">
        <v>1560</v>
      </c>
      <c r="B710" s="38">
        <v>14303.0</v>
      </c>
      <c r="C710" s="38" t="s">
        <v>1561</v>
      </c>
      <c r="D710" s="38" t="str">
        <f>IFERROR(__xludf.DUMMYFUNCTION("REGEXREPLACE(C710,""-\d+(.*)|--\d+(.*)"","""")"),"GLOS")</f>
        <v>GLOS</v>
      </c>
      <c r="E710" s="38" t="s">
        <v>137</v>
      </c>
      <c r="F710" s="38" t="s">
        <v>138</v>
      </c>
      <c r="G710" s="49" t="str">
        <f t="shared" si="1"/>
        <v>14100</v>
      </c>
      <c r="H710" s="49">
        <f t="shared" si="2"/>
        <v>14303</v>
      </c>
    </row>
    <row r="711">
      <c r="A711" s="48" t="s">
        <v>1562</v>
      </c>
      <c r="B711" s="38">
        <v>24299.0</v>
      </c>
      <c r="C711" s="38" t="s">
        <v>1563</v>
      </c>
      <c r="D711" s="38" t="str">
        <f>IFERROR(__xludf.DUMMYFUNCTION("REGEXREPLACE(C711,""-\d+(.*)|--\d+(.*)"","""")"),"MUSSIDAN")</f>
        <v>MUSSIDAN</v>
      </c>
      <c r="E711" s="38" t="s">
        <v>261</v>
      </c>
      <c r="F711" s="38" t="s">
        <v>252</v>
      </c>
      <c r="G711" s="49" t="str">
        <f t="shared" si="1"/>
        <v>24400</v>
      </c>
      <c r="H711" s="49">
        <f t="shared" si="2"/>
        <v>24299</v>
      </c>
    </row>
    <row r="712">
      <c r="A712" s="48" t="s">
        <v>1564</v>
      </c>
      <c r="B712" s="38">
        <v>45225.0</v>
      </c>
      <c r="C712" s="38" t="s">
        <v>1565</v>
      </c>
      <c r="D712" s="38" t="str">
        <f>IFERROR(__xludf.DUMMYFUNCTION("REGEXREPLACE(C712,""-\d+(.*)|--\d+(.*)"","""")"),"LA NEUVILLE-SUR-ESSONNE")</f>
        <v>LA NEUVILLE-SUR-ESSONNE</v>
      </c>
      <c r="E712" s="38" t="s">
        <v>122</v>
      </c>
      <c r="F712" s="38" t="s">
        <v>123</v>
      </c>
      <c r="G712" s="49" t="str">
        <f t="shared" si="1"/>
        <v>45390</v>
      </c>
      <c r="H712" s="49">
        <f t="shared" si="2"/>
        <v>45225</v>
      </c>
    </row>
    <row r="713">
      <c r="A713" s="48" t="s">
        <v>1566</v>
      </c>
      <c r="B713" s="38">
        <v>29212.0</v>
      </c>
      <c r="C713" s="38" t="s">
        <v>1567</v>
      </c>
      <c r="D713" s="38" t="str">
        <f>IFERROR(__xludf.DUMMYFUNCTION("REGEXREPLACE(C713,""-\d+(.*)|--\d+(.*)"","""")"),"PLOUZANE")</f>
        <v>PLOUZANE</v>
      </c>
      <c r="E713" s="38" t="s">
        <v>176</v>
      </c>
      <c r="F713" s="38" t="s">
        <v>90</v>
      </c>
      <c r="G713" s="49" t="str">
        <f t="shared" si="1"/>
        <v>29280</v>
      </c>
      <c r="H713" s="49">
        <f t="shared" si="2"/>
        <v>29212</v>
      </c>
    </row>
    <row r="714">
      <c r="A714" s="48" t="s">
        <v>1568</v>
      </c>
      <c r="B714" s="38">
        <v>36116.0</v>
      </c>
      <c r="C714" s="38" t="s">
        <v>1569</v>
      </c>
      <c r="D714" s="38" t="str">
        <f>IFERROR(__xludf.DUMMYFUNCTION("REGEXREPLACE(C714,""-\d+(.*)|--\d+(.*)"","""")"),"MENETREOLS-SOUS-VATAN")</f>
        <v>MENETREOLS-SOUS-VATAN</v>
      </c>
      <c r="E714" s="38" t="s">
        <v>258</v>
      </c>
      <c r="F714" s="38" t="s">
        <v>123</v>
      </c>
      <c r="G714" s="49" t="str">
        <f t="shared" si="1"/>
        <v>36150</v>
      </c>
      <c r="H714" s="49">
        <f t="shared" si="2"/>
        <v>36116</v>
      </c>
    </row>
    <row r="715">
      <c r="A715" s="48" t="s">
        <v>1570</v>
      </c>
      <c r="B715" s="38">
        <v>16037.0</v>
      </c>
      <c r="C715" s="38" t="s">
        <v>1571</v>
      </c>
      <c r="D715" s="38" t="str">
        <f>IFERROR(__xludf.DUMMYFUNCTION("REGEXREPLACE(C715,""-\d+(.*)|--\d+(.*)"","""")"),"BELLON")</f>
        <v>BELLON</v>
      </c>
      <c r="E715" s="38" t="s">
        <v>429</v>
      </c>
      <c r="F715" s="38" t="s">
        <v>338</v>
      </c>
      <c r="G715" s="49" t="str">
        <f t="shared" si="1"/>
        <v>16210</v>
      </c>
      <c r="H715" s="49">
        <f t="shared" si="2"/>
        <v>16037</v>
      </c>
    </row>
    <row r="716">
      <c r="A716" s="48" t="s">
        <v>1572</v>
      </c>
      <c r="B716" s="38">
        <v>32007.0</v>
      </c>
      <c r="C716" s="38" t="s">
        <v>1573</v>
      </c>
      <c r="D716" s="38" t="str">
        <f>IFERROR(__xludf.DUMMYFUNCTION("REGEXREPLACE(C716,""-\d+(.*)|--\d+(.*)"","""")"),"ARDIZAS")</f>
        <v>ARDIZAS</v>
      </c>
      <c r="E716" s="38" t="s">
        <v>440</v>
      </c>
      <c r="F716" s="38" t="s">
        <v>94</v>
      </c>
      <c r="G716" s="49" t="str">
        <f t="shared" si="1"/>
        <v>32430</v>
      </c>
      <c r="H716" s="49">
        <f t="shared" si="2"/>
        <v>32007</v>
      </c>
    </row>
    <row r="717">
      <c r="A717" s="48" t="s">
        <v>1574</v>
      </c>
      <c r="B717" s="38">
        <v>10318.0</v>
      </c>
      <c r="C717" s="38" t="s">
        <v>1575</v>
      </c>
      <c r="D717" s="38" t="str">
        <f>IFERROR(__xludf.DUMMYFUNCTION("REGEXREPLACE(C717,""-\d+(.*)|--\d+(.*)"","""")"),"RIGNY-LA-NONNEUSE")</f>
        <v>RIGNY-LA-NONNEUSE</v>
      </c>
      <c r="E717" s="38" t="s">
        <v>147</v>
      </c>
      <c r="F717" s="38" t="s">
        <v>130</v>
      </c>
      <c r="G717" s="49" t="str">
        <f t="shared" si="1"/>
        <v>10290</v>
      </c>
      <c r="H717" s="49">
        <f t="shared" si="2"/>
        <v>10318</v>
      </c>
    </row>
    <row r="718">
      <c r="A718" s="48" t="s">
        <v>1576</v>
      </c>
      <c r="B718" s="38" t="s">
        <v>1577</v>
      </c>
      <c r="C718" s="38" t="s">
        <v>1578</v>
      </c>
      <c r="D718" s="38" t="str">
        <f>IFERROR(__xludf.DUMMYFUNCTION("REGEXREPLACE(C718,""-\d+(.*)|--\d+(.*)"","""")"),"MELA")</f>
        <v>MELA</v>
      </c>
      <c r="E718" s="38" t="s">
        <v>606</v>
      </c>
      <c r="F718" s="38" t="s">
        <v>607</v>
      </c>
      <c r="G718" s="49" t="str">
        <f t="shared" si="1"/>
        <v>20112</v>
      </c>
      <c r="H718" s="49" t="str">
        <f t="shared" si="2"/>
        <v>2A158</v>
      </c>
    </row>
    <row r="719">
      <c r="A719" s="48" t="s">
        <v>1579</v>
      </c>
      <c r="B719" s="38">
        <v>63290.0</v>
      </c>
      <c r="C719" s="38" t="s">
        <v>1580</v>
      </c>
      <c r="D719" s="38" t="str">
        <f>IFERROR(__xludf.DUMMYFUNCTION("REGEXREPLACE(C719,""-\d+(.*)|--\d+(.*)"","""")"),"PULVERIERES")</f>
        <v>PULVERIERES</v>
      </c>
      <c r="E719" s="38" t="s">
        <v>353</v>
      </c>
      <c r="F719" s="38" t="s">
        <v>161</v>
      </c>
      <c r="G719" s="49" t="str">
        <f t="shared" si="1"/>
        <v>63230</v>
      </c>
      <c r="H719" s="49">
        <f t="shared" si="2"/>
        <v>63290</v>
      </c>
    </row>
    <row r="720">
      <c r="A720" s="48" t="s">
        <v>1332</v>
      </c>
      <c r="B720" s="38">
        <v>51424.0</v>
      </c>
      <c r="C720" s="38" t="s">
        <v>1581</v>
      </c>
      <c r="D720" s="38" t="str">
        <f>IFERROR(__xludf.DUMMYFUNCTION("REGEXREPLACE(C720,""-\d+(.*)|--\d+(.*)"","""")"),"PASSAVANT-EN-ARGONNE")</f>
        <v>PASSAVANT-EN-ARGONNE</v>
      </c>
      <c r="E720" s="38" t="s">
        <v>129</v>
      </c>
      <c r="F720" s="38" t="s">
        <v>130</v>
      </c>
      <c r="G720" s="49" t="str">
        <f t="shared" si="1"/>
        <v>51800</v>
      </c>
      <c r="H720" s="49">
        <f t="shared" si="2"/>
        <v>51424</v>
      </c>
    </row>
    <row r="721">
      <c r="A721" s="48" t="s">
        <v>1582</v>
      </c>
      <c r="B721" s="38">
        <v>45015.0</v>
      </c>
      <c r="C721" s="38" t="s">
        <v>1583</v>
      </c>
      <c r="D721" s="38" t="str">
        <f>IFERROR(__xludf.DUMMYFUNCTION("REGEXREPLACE(C721,""-\d+(.*)|--\d+(.*)"","""")"),"AUTRUY-SUR-JUINE")</f>
        <v>AUTRUY-SUR-JUINE</v>
      </c>
      <c r="E721" s="38" t="s">
        <v>122</v>
      </c>
      <c r="F721" s="38" t="s">
        <v>123</v>
      </c>
      <c r="G721" s="49" t="str">
        <f t="shared" si="1"/>
        <v>45480</v>
      </c>
      <c r="H721" s="49">
        <f t="shared" si="2"/>
        <v>45015</v>
      </c>
    </row>
    <row r="722">
      <c r="A722" s="48" t="s">
        <v>425</v>
      </c>
      <c r="B722" s="38">
        <v>88512.0</v>
      </c>
      <c r="C722" s="38" t="s">
        <v>1584</v>
      </c>
      <c r="D722" s="38" t="str">
        <f>IFERROR(__xludf.DUMMYFUNCTION("REGEXREPLACE(C722,""-\d+(.*)|--\d+(.*)"","""")"),"VIMENIL")</f>
        <v>VIMENIL</v>
      </c>
      <c r="E722" s="38" t="s">
        <v>194</v>
      </c>
      <c r="F722" s="38" t="s">
        <v>195</v>
      </c>
      <c r="G722" s="49" t="str">
        <f t="shared" si="1"/>
        <v>88600</v>
      </c>
      <c r="H722" s="49">
        <f t="shared" si="2"/>
        <v>88512</v>
      </c>
    </row>
    <row r="723">
      <c r="A723" s="48" t="s">
        <v>1585</v>
      </c>
      <c r="B723" s="38">
        <v>12046.0</v>
      </c>
      <c r="C723" s="38" t="s">
        <v>1586</v>
      </c>
      <c r="D723" s="38" t="str">
        <f>IFERROR(__xludf.DUMMYFUNCTION("REGEXREPLACE(C723,""-\d+(.*)|--\d+(.*)"","""")"),"CAMJAC")</f>
        <v>CAMJAC</v>
      </c>
      <c r="E723" s="38" t="s">
        <v>465</v>
      </c>
      <c r="F723" s="38" t="s">
        <v>94</v>
      </c>
      <c r="G723" s="49" t="str">
        <f t="shared" si="1"/>
        <v>12800</v>
      </c>
      <c r="H723" s="49">
        <f t="shared" si="2"/>
        <v>12046</v>
      </c>
    </row>
    <row r="724">
      <c r="A724" s="48" t="s">
        <v>1400</v>
      </c>
      <c r="B724" s="38">
        <v>21176.0</v>
      </c>
      <c r="C724" s="38" t="s">
        <v>1587</v>
      </c>
      <c r="D724" s="38" t="str">
        <f>IFERROR(__xludf.DUMMYFUNCTION("REGEXREPLACE(C724,""-\d+(.*)|--\d+(.*)"","""")"),"CIVRY-EN-MONTAGNE")</f>
        <v>CIVRY-EN-MONTAGNE</v>
      </c>
      <c r="E724" s="38" t="s">
        <v>105</v>
      </c>
      <c r="F724" s="38" t="s">
        <v>106</v>
      </c>
      <c r="G724" s="49" t="str">
        <f t="shared" si="1"/>
        <v>21320</v>
      </c>
      <c r="H724" s="49">
        <f t="shared" si="2"/>
        <v>21176</v>
      </c>
    </row>
    <row r="725">
      <c r="A725" s="48" t="s">
        <v>1588</v>
      </c>
      <c r="B725" s="38">
        <v>9025.0</v>
      </c>
      <c r="C725" s="38" t="s">
        <v>1589</v>
      </c>
      <c r="D725" s="38" t="str">
        <f>IFERROR(__xludf.DUMMYFUNCTION("REGEXREPLACE(C725,""-\d+(.*)|--\d+(.*)"","""")"),"AUCAZEIN")</f>
        <v>AUCAZEIN</v>
      </c>
      <c r="E725" s="38" t="s">
        <v>238</v>
      </c>
      <c r="F725" s="38" t="s">
        <v>94</v>
      </c>
      <c r="G725" s="49" t="str">
        <f t="shared" si="1"/>
        <v>09800</v>
      </c>
      <c r="H725" s="49" t="str">
        <f t="shared" si="2"/>
        <v>09025</v>
      </c>
    </row>
    <row r="726">
      <c r="A726" s="48" t="s">
        <v>1590</v>
      </c>
      <c r="B726" s="38">
        <v>33025.0</v>
      </c>
      <c r="C726" s="38" t="s">
        <v>1591</v>
      </c>
      <c r="D726" s="38" t="str">
        <f>IFERROR(__xludf.DUMMYFUNCTION("REGEXREPLACE(C726,""-\d+(.*)|--\d+(.*)"","""")"),"BAIGNEAUX")</f>
        <v>BAIGNEAUX</v>
      </c>
      <c r="E726" s="38" t="s">
        <v>462</v>
      </c>
      <c r="F726" s="38" t="s">
        <v>252</v>
      </c>
      <c r="G726" s="49" t="str">
        <f t="shared" si="1"/>
        <v>33760</v>
      </c>
      <c r="H726" s="49">
        <f t="shared" si="2"/>
        <v>33025</v>
      </c>
    </row>
    <row r="727">
      <c r="A727" s="48" t="s">
        <v>1592</v>
      </c>
      <c r="B727" s="38">
        <v>40236.0</v>
      </c>
      <c r="C727" s="38" t="s">
        <v>1593</v>
      </c>
      <c r="D727" s="38" t="str">
        <f>IFERROR(__xludf.DUMMYFUNCTION("REGEXREPLACE(C727,""-\d+(.*)|--\d+(.*)"","""")"),"POYARTIN")</f>
        <v>POYARTIN</v>
      </c>
      <c r="E727" s="38" t="s">
        <v>281</v>
      </c>
      <c r="F727" s="38" t="s">
        <v>252</v>
      </c>
      <c r="G727" s="49" t="str">
        <f t="shared" si="1"/>
        <v>40380</v>
      </c>
      <c r="H727" s="49">
        <f t="shared" si="2"/>
        <v>40236</v>
      </c>
    </row>
    <row r="728">
      <c r="A728" s="48" t="s">
        <v>1594</v>
      </c>
      <c r="B728" s="38">
        <v>45130.0</v>
      </c>
      <c r="C728" s="38" t="s">
        <v>1595</v>
      </c>
      <c r="D728" s="38" t="str">
        <f>IFERROR(__xludf.DUMMYFUNCTION("REGEXREPLACE(C728,""-\d+(.*)|--\d+(.*)"","""")"),"DRY")</f>
        <v>DRY</v>
      </c>
      <c r="E728" s="38" t="s">
        <v>122</v>
      </c>
      <c r="F728" s="38" t="s">
        <v>123</v>
      </c>
      <c r="G728" s="49" t="str">
        <f t="shared" si="1"/>
        <v>45370</v>
      </c>
      <c r="H728" s="49">
        <f t="shared" si="2"/>
        <v>45130</v>
      </c>
    </row>
    <row r="729">
      <c r="A729" s="48" t="s">
        <v>1596</v>
      </c>
      <c r="B729" s="38">
        <v>59252.0</v>
      </c>
      <c r="C729" s="38" t="s">
        <v>1597</v>
      </c>
      <c r="D729" s="38" t="str">
        <f>IFERROR(__xludf.DUMMYFUNCTION("REGEXREPLACE(C729,""-\d+(.*)|--\d+(.*)"","""")"),"FRELINGHIEN")</f>
        <v>FRELINGHIEN</v>
      </c>
      <c r="E729" s="38" t="s">
        <v>85</v>
      </c>
      <c r="F729" s="38" t="s">
        <v>86</v>
      </c>
      <c r="G729" s="49" t="str">
        <f t="shared" si="1"/>
        <v>59236</v>
      </c>
      <c r="H729" s="49">
        <f t="shared" si="2"/>
        <v>59252</v>
      </c>
    </row>
    <row r="730">
      <c r="A730" s="48" t="s">
        <v>1598</v>
      </c>
      <c r="B730" s="38">
        <v>77530.0</v>
      </c>
      <c r="C730" s="38" t="s">
        <v>1599</v>
      </c>
      <c r="D730" s="38" t="str">
        <f>IFERROR(__xludf.DUMMYFUNCTION("REGEXREPLACE(C730,""-\d+(.*)|--\d+(.*)"","""")"),"VOULTON")</f>
        <v>VOULTON</v>
      </c>
      <c r="E730" s="38" t="s">
        <v>244</v>
      </c>
      <c r="F730" s="38" t="s">
        <v>245</v>
      </c>
      <c r="G730" s="49" t="str">
        <f t="shared" si="1"/>
        <v>77560</v>
      </c>
      <c r="H730" s="49">
        <f t="shared" si="2"/>
        <v>77530</v>
      </c>
    </row>
    <row r="731">
      <c r="A731" s="48" t="s">
        <v>630</v>
      </c>
      <c r="B731" s="38">
        <v>15263.0</v>
      </c>
      <c r="C731" s="38" t="s">
        <v>1600</v>
      </c>
      <c r="D731" s="38" t="str">
        <f>IFERROR(__xludf.DUMMYFUNCTION("REGEXREPLACE(C731,""-\d+(.*)|--\d+(.*)"","""")"),"VIRARGUES")</f>
        <v>VIRARGUES</v>
      </c>
      <c r="E731" s="38" t="s">
        <v>632</v>
      </c>
      <c r="F731" s="38" t="s">
        <v>161</v>
      </c>
      <c r="G731" s="49" t="str">
        <f t="shared" si="1"/>
        <v>15300</v>
      </c>
      <c r="H731" s="49">
        <f t="shared" si="2"/>
        <v>15263</v>
      </c>
    </row>
    <row r="732">
      <c r="A732" s="48" t="s">
        <v>1601</v>
      </c>
      <c r="B732" s="38">
        <v>72186.0</v>
      </c>
      <c r="C732" s="38" t="s">
        <v>1602</v>
      </c>
      <c r="D732" s="38" t="str">
        <f>IFERROR(__xludf.DUMMYFUNCTION("REGEXREPLACE(C732,""-\d+(.*)|--\d+(.*)"","""")"),"MARESCHE")</f>
        <v>MARESCHE</v>
      </c>
      <c r="E732" s="38" t="s">
        <v>521</v>
      </c>
      <c r="F732" s="38" t="s">
        <v>180</v>
      </c>
      <c r="G732" s="49" t="str">
        <f t="shared" si="1"/>
        <v>72170</v>
      </c>
      <c r="H732" s="49">
        <f t="shared" si="2"/>
        <v>72186</v>
      </c>
    </row>
    <row r="733">
      <c r="A733" s="48" t="s">
        <v>1603</v>
      </c>
      <c r="B733" s="38">
        <v>25561.0</v>
      </c>
      <c r="C733" s="38" t="s">
        <v>1604</v>
      </c>
      <c r="D733" s="38" t="str">
        <f>IFERROR(__xludf.DUMMYFUNCTION("REGEXREPLACE(C733,""-\d+(.*)|--\d+(.*)"","""")"),"THORAISE")</f>
        <v>THORAISE</v>
      </c>
      <c r="E733" s="38" t="s">
        <v>213</v>
      </c>
      <c r="F733" s="38" t="s">
        <v>214</v>
      </c>
      <c r="G733" s="49" t="str">
        <f t="shared" si="1"/>
        <v>25320</v>
      </c>
      <c r="H733" s="49">
        <f t="shared" si="2"/>
        <v>25561</v>
      </c>
    </row>
    <row r="734">
      <c r="A734" s="48" t="s">
        <v>1605</v>
      </c>
      <c r="B734" s="38">
        <v>17127.0</v>
      </c>
      <c r="C734" s="38" t="s">
        <v>1606</v>
      </c>
      <c r="D734" s="38" t="str">
        <f>IFERROR(__xludf.DUMMYFUNCTION("REGEXREPLACE(C734,""-\d+(.*)|--\d+(.*)"","""")"),"COURCON")</f>
        <v>COURCON</v>
      </c>
      <c r="E734" s="38" t="s">
        <v>488</v>
      </c>
      <c r="F734" s="38" t="s">
        <v>338</v>
      </c>
      <c r="G734" s="49" t="str">
        <f t="shared" si="1"/>
        <v>17170</v>
      </c>
      <c r="H734" s="49">
        <f t="shared" si="2"/>
        <v>17127</v>
      </c>
    </row>
    <row r="735">
      <c r="A735" s="48" t="s">
        <v>1607</v>
      </c>
      <c r="B735" s="38">
        <v>81312.0</v>
      </c>
      <c r="C735" s="38" t="s">
        <v>1608</v>
      </c>
      <c r="D735" s="38" t="str">
        <f>IFERROR(__xludf.DUMMYFUNCTION("REGEXREPLACE(C735,""-\d+(.*)|--\d+(.*)"","""")"),"VERDALLE")</f>
        <v>VERDALLE</v>
      </c>
      <c r="E735" s="38" t="s">
        <v>231</v>
      </c>
      <c r="F735" s="38" t="s">
        <v>94</v>
      </c>
      <c r="G735" s="49" t="str">
        <f t="shared" si="1"/>
        <v>81110</v>
      </c>
      <c r="H735" s="49">
        <f t="shared" si="2"/>
        <v>81312</v>
      </c>
    </row>
    <row r="736">
      <c r="A736" s="48" t="s">
        <v>1609</v>
      </c>
      <c r="B736" s="38">
        <v>30071.0</v>
      </c>
      <c r="C736" s="38" t="s">
        <v>1610</v>
      </c>
      <c r="D736" s="38" t="str">
        <f>IFERROR(__xludf.DUMMYFUNCTION("REGEXREPLACE(C736,""-\d+(.*)|--\d+(.*)"","""")"),"CASSAGNOLES")</f>
        <v>CASSAGNOLES</v>
      </c>
      <c r="E736" s="38" t="s">
        <v>526</v>
      </c>
      <c r="F736" s="38" t="s">
        <v>119</v>
      </c>
      <c r="G736" s="49" t="str">
        <f t="shared" si="1"/>
        <v>30350</v>
      </c>
      <c r="H736" s="49">
        <f t="shared" si="2"/>
        <v>30071</v>
      </c>
    </row>
    <row r="737">
      <c r="A737" s="48" t="s">
        <v>1611</v>
      </c>
      <c r="B737" s="38">
        <v>51193.0</v>
      </c>
      <c r="C737" s="38" t="s">
        <v>1612</v>
      </c>
      <c r="D737" s="38" t="str">
        <f>IFERROR(__xludf.DUMMYFUNCTION("REGEXREPLACE(C737,""-\d+(.*)|--\d+(.*)"","""")"),"COURTISOLS")</f>
        <v>COURTISOLS</v>
      </c>
      <c r="E737" s="38" t="s">
        <v>129</v>
      </c>
      <c r="F737" s="38" t="s">
        <v>130</v>
      </c>
      <c r="G737" s="49" t="str">
        <f t="shared" si="1"/>
        <v>51460</v>
      </c>
      <c r="H737" s="49">
        <f t="shared" si="2"/>
        <v>51193</v>
      </c>
    </row>
    <row r="738">
      <c r="A738" s="48" t="s">
        <v>1613</v>
      </c>
      <c r="B738" s="38">
        <v>38379.0</v>
      </c>
      <c r="C738" s="38" t="s">
        <v>1614</v>
      </c>
      <c r="D738" s="38" t="str">
        <f>IFERROR(__xludf.DUMMYFUNCTION("REGEXREPLACE(C738,""-\d+(.*)|--\d+(.*)"","""")"),"SAINT-CLAIR-SUR-GALAURE")</f>
        <v>SAINT-CLAIR-SUR-GALAURE</v>
      </c>
      <c r="E738" s="38" t="s">
        <v>101</v>
      </c>
      <c r="F738" s="38" t="s">
        <v>102</v>
      </c>
      <c r="G738" s="49" t="str">
        <f t="shared" si="1"/>
        <v>38940</v>
      </c>
      <c r="H738" s="49">
        <f t="shared" si="2"/>
        <v>38379</v>
      </c>
    </row>
    <row r="739">
      <c r="A739" s="48" t="s">
        <v>1415</v>
      </c>
      <c r="B739" s="38">
        <v>5164.0</v>
      </c>
      <c r="C739" s="38" t="s">
        <v>1615</v>
      </c>
      <c r="D739" s="38" t="str">
        <f>IFERROR(__xludf.DUMMYFUNCTION("REGEXREPLACE(C739,""-\d+(.*)|--\d+(.*)"","""")"),"SAVINES-LE-LAC")</f>
        <v>SAVINES-LE-LAC</v>
      </c>
      <c r="E739" s="38" t="s">
        <v>706</v>
      </c>
      <c r="F739" s="38" t="s">
        <v>228</v>
      </c>
      <c r="G739" s="49" t="str">
        <f t="shared" si="1"/>
        <v>05160</v>
      </c>
      <c r="H739" s="49" t="str">
        <f t="shared" si="2"/>
        <v>05164</v>
      </c>
    </row>
    <row r="740">
      <c r="A740" s="48" t="s">
        <v>1616</v>
      </c>
      <c r="B740" s="38">
        <v>10160.0</v>
      </c>
      <c r="C740" s="38" t="s">
        <v>1617</v>
      </c>
      <c r="D740" s="38" t="str">
        <f>IFERROR(__xludf.DUMMYFUNCTION("REGEXREPLACE(C740,""-\d+(.*)|--\d+(.*)"","""")"),"FRAVAUX")</f>
        <v>FRAVAUX</v>
      </c>
      <c r="E740" s="38" t="s">
        <v>147</v>
      </c>
      <c r="F740" s="38" t="s">
        <v>130</v>
      </c>
      <c r="G740" s="49" t="str">
        <f t="shared" si="1"/>
        <v>10200</v>
      </c>
      <c r="H740" s="49">
        <f t="shared" si="2"/>
        <v>10160</v>
      </c>
    </row>
    <row r="741">
      <c r="A741" s="48" t="s">
        <v>1618</v>
      </c>
      <c r="B741" s="38">
        <v>11372.0</v>
      </c>
      <c r="C741" s="38" t="s">
        <v>1619</v>
      </c>
      <c r="D741" s="38" t="str">
        <f>IFERROR(__xludf.DUMMYFUNCTION("REGEXREPLACE(C741,""-\d+(.*)|--\d+(.*)"","""")"),"SALSIGNE")</f>
        <v>SALSIGNE</v>
      </c>
      <c r="E741" s="38" t="s">
        <v>278</v>
      </c>
      <c r="F741" s="38" t="s">
        <v>119</v>
      </c>
      <c r="G741" s="49" t="str">
        <f t="shared" si="1"/>
        <v>11600</v>
      </c>
      <c r="H741" s="49">
        <f t="shared" si="2"/>
        <v>11372</v>
      </c>
    </row>
    <row r="742">
      <c r="A742" s="48" t="s">
        <v>127</v>
      </c>
      <c r="B742" s="38">
        <v>51608.0</v>
      </c>
      <c r="C742" s="38" t="s">
        <v>1620</v>
      </c>
      <c r="D742" s="38" t="str">
        <f>IFERROR(__xludf.DUMMYFUNCTION("REGEXREPLACE(C742,""-\d+(.*)|--\d+(.*)"","""")"),"VERNANCOURT")</f>
        <v>VERNANCOURT</v>
      </c>
      <c r="E742" s="38" t="s">
        <v>129</v>
      </c>
      <c r="F742" s="38" t="s">
        <v>130</v>
      </c>
      <c r="G742" s="49" t="str">
        <f t="shared" si="1"/>
        <v>51330</v>
      </c>
      <c r="H742" s="49">
        <f t="shared" si="2"/>
        <v>51608</v>
      </c>
    </row>
    <row r="743">
      <c r="A743" s="48" t="s">
        <v>1621</v>
      </c>
      <c r="B743" s="38">
        <v>64062.0</v>
      </c>
      <c r="C743" s="38" t="s">
        <v>1622</v>
      </c>
      <c r="D743" s="38" t="str">
        <f>IFERROR(__xludf.DUMMYFUNCTION("REGEXREPLACE(C743,""-\d+(.*)|--\d+(.*)"","""")"),"ARUDY")</f>
        <v>ARUDY</v>
      </c>
      <c r="E743" s="38" t="s">
        <v>268</v>
      </c>
      <c r="F743" s="38" t="s">
        <v>252</v>
      </c>
      <c r="G743" s="49" t="str">
        <f t="shared" si="1"/>
        <v>64260</v>
      </c>
      <c r="H743" s="49">
        <f t="shared" si="2"/>
        <v>64062</v>
      </c>
    </row>
    <row r="744">
      <c r="A744" s="48" t="s">
        <v>1345</v>
      </c>
      <c r="B744" s="38">
        <v>46056.0</v>
      </c>
      <c r="C744" s="38" t="s">
        <v>1623</v>
      </c>
      <c r="D744" s="38" t="str">
        <f>IFERROR(__xludf.DUMMYFUNCTION("REGEXREPLACE(C744,""-\d+(.*)|--\d+(.*)"","""")"),"CARAYAC")</f>
        <v>CARAYAC</v>
      </c>
      <c r="E744" s="38" t="s">
        <v>185</v>
      </c>
      <c r="F744" s="38" t="s">
        <v>94</v>
      </c>
      <c r="G744" s="49" t="str">
        <f t="shared" si="1"/>
        <v>46160</v>
      </c>
      <c r="H744" s="49">
        <f t="shared" si="2"/>
        <v>46056</v>
      </c>
    </row>
    <row r="745">
      <c r="A745" s="48" t="s">
        <v>1624</v>
      </c>
      <c r="B745" s="38">
        <v>34139.0</v>
      </c>
      <c r="C745" s="38" t="s">
        <v>1625</v>
      </c>
      <c r="D745" s="38" t="str">
        <f>IFERROR(__xludf.DUMMYFUNCTION("REGEXREPLACE(C745,""-\d+(.*)|--\d+(.*)"","""")"),"LIEURAN-LES-BEZIERS")</f>
        <v>LIEURAN-LES-BEZIERS</v>
      </c>
      <c r="E745" s="38" t="s">
        <v>118</v>
      </c>
      <c r="F745" s="38" t="s">
        <v>119</v>
      </c>
      <c r="G745" s="49" t="str">
        <f t="shared" si="1"/>
        <v>34290</v>
      </c>
      <c r="H745" s="49">
        <f t="shared" si="2"/>
        <v>34139</v>
      </c>
    </row>
    <row r="746">
      <c r="A746" s="48" t="s">
        <v>1626</v>
      </c>
      <c r="B746" s="38">
        <v>44070.0</v>
      </c>
      <c r="C746" s="38" t="s">
        <v>1627</v>
      </c>
      <c r="D746" s="38" t="str">
        <f>IFERROR(__xludf.DUMMYFUNCTION("REGEXREPLACE(C746,""-\d+(.*)|--\d+(.*)"","""")"),"LA HAIE-FOUASSIERE")</f>
        <v>LA HAIE-FOUASSIERE</v>
      </c>
      <c r="E746" s="38" t="s">
        <v>759</v>
      </c>
      <c r="F746" s="38" t="s">
        <v>180</v>
      </c>
      <c r="G746" s="49" t="str">
        <f t="shared" si="1"/>
        <v>44690</v>
      </c>
      <c r="H746" s="49">
        <f t="shared" si="2"/>
        <v>44070</v>
      </c>
    </row>
    <row r="747">
      <c r="A747" s="48" t="s">
        <v>1628</v>
      </c>
      <c r="B747" s="38">
        <v>70436.0</v>
      </c>
      <c r="C747" s="38" t="s">
        <v>1629</v>
      </c>
      <c r="D747" s="38" t="str">
        <f>IFERROR(__xludf.DUMMYFUNCTION("REGEXREPLACE(C747,""-\d+(.*)|--\d+(.*)"","""")"),"RAINCOURT")</f>
        <v>RAINCOURT</v>
      </c>
      <c r="E747" s="38" t="s">
        <v>956</v>
      </c>
      <c r="F747" s="38" t="s">
        <v>214</v>
      </c>
      <c r="G747" s="49" t="str">
        <f t="shared" si="1"/>
        <v>70500</v>
      </c>
      <c r="H747" s="49">
        <f t="shared" si="2"/>
        <v>70436</v>
      </c>
    </row>
    <row r="748">
      <c r="A748" s="48" t="s">
        <v>1630</v>
      </c>
      <c r="B748" s="38">
        <v>57239.0</v>
      </c>
      <c r="C748" s="38" t="s">
        <v>1631</v>
      </c>
      <c r="D748" s="38" t="str">
        <f>IFERROR(__xludf.DUMMYFUNCTION("REGEXREPLACE(C748,""-\d+(.*)|--\d+(.*)"","""")"),"FREYBOUSE")</f>
        <v>FREYBOUSE</v>
      </c>
      <c r="E748" s="38" t="s">
        <v>303</v>
      </c>
      <c r="F748" s="38" t="s">
        <v>195</v>
      </c>
      <c r="G748" s="49" t="str">
        <f t="shared" si="1"/>
        <v>57660</v>
      </c>
      <c r="H748" s="49">
        <f t="shared" si="2"/>
        <v>57239</v>
      </c>
    </row>
    <row r="749">
      <c r="A749" s="48" t="s">
        <v>1632</v>
      </c>
      <c r="B749" s="38">
        <v>63209.0</v>
      </c>
      <c r="C749" s="38" t="s">
        <v>1633</v>
      </c>
      <c r="D749" s="38" t="str">
        <f>IFERROR(__xludf.DUMMYFUNCTION("REGEXREPLACE(C749,""-\d+(.*)|--\d+(.*)"","""")"),"MAREUGHEOL")</f>
        <v>MAREUGHEOL</v>
      </c>
      <c r="E749" s="38" t="s">
        <v>353</v>
      </c>
      <c r="F749" s="38" t="s">
        <v>161</v>
      </c>
      <c r="G749" s="49" t="str">
        <f t="shared" si="1"/>
        <v>63340</v>
      </c>
      <c r="H749" s="49">
        <f t="shared" si="2"/>
        <v>63209</v>
      </c>
    </row>
    <row r="750">
      <c r="A750" s="48" t="s">
        <v>1634</v>
      </c>
      <c r="B750" s="38">
        <v>64320.0</v>
      </c>
      <c r="C750" s="38" t="s">
        <v>1635</v>
      </c>
      <c r="D750" s="38" t="str">
        <f>IFERROR(__xludf.DUMMYFUNCTION("REGEXREPLACE(C750,""-\d+(.*)|--\d+(.*)"","""")"),"LARUNS")</f>
        <v>LARUNS</v>
      </c>
      <c r="E750" s="38" t="s">
        <v>268</v>
      </c>
      <c r="F750" s="38" t="s">
        <v>252</v>
      </c>
      <c r="G750" s="49" t="str">
        <f t="shared" si="1"/>
        <v>64440</v>
      </c>
      <c r="H750" s="49">
        <f t="shared" si="2"/>
        <v>64320</v>
      </c>
    </row>
    <row r="751">
      <c r="A751" s="48" t="s">
        <v>1636</v>
      </c>
      <c r="B751" s="38">
        <v>14012.0</v>
      </c>
      <c r="C751" s="38" t="s">
        <v>1637</v>
      </c>
      <c r="D751" s="38" t="str">
        <f>IFERROR(__xludf.DUMMYFUNCTION("REGEXREPLACE(C751,""-\d+(.*)|--\d+(.*)"","""")"),"ANGERVILLE")</f>
        <v>ANGERVILLE</v>
      </c>
      <c r="E751" s="38" t="s">
        <v>137</v>
      </c>
      <c r="F751" s="38" t="s">
        <v>138</v>
      </c>
      <c r="G751" s="49" t="str">
        <f t="shared" si="1"/>
        <v>14430</v>
      </c>
      <c r="H751" s="49">
        <f t="shared" si="2"/>
        <v>14012</v>
      </c>
    </row>
    <row r="752">
      <c r="A752" s="48" t="s">
        <v>1638</v>
      </c>
      <c r="B752" s="38">
        <v>70238.0</v>
      </c>
      <c r="C752" s="38" t="s">
        <v>1639</v>
      </c>
      <c r="D752" s="38" t="str">
        <f>IFERROR(__xludf.DUMMYFUNCTION("REGEXREPLACE(C752,""-\d+(.*)|--\d+(.*)"","""")"),"FLEUREY-LES-SAINT-LOUP")</f>
        <v>FLEUREY-LES-SAINT-LOUP</v>
      </c>
      <c r="E752" s="38" t="s">
        <v>956</v>
      </c>
      <c r="F752" s="38" t="s">
        <v>214</v>
      </c>
      <c r="G752" s="49" t="str">
        <f t="shared" si="1"/>
        <v>70800</v>
      </c>
      <c r="H752" s="49">
        <f t="shared" si="2"/>
        <v>70238</v>
      </c>
    </row>
    <row r="753">
      <c r="A753" s="48" t="s">
        <v>1435</v>
      </c>
      <c r="B753" s="38">
        <v>14177.0</v>
      </c>
      <c r="C753" s="38" t="s">
        <v>1640</v>
      </c>
      <c r="D753" s="38" t="str">
        <f>IFERROR(__xludf.DUMMYFUNCTION("REGEXREPLACE(C753,""-\d+(.*)|--\d+(.*)"","""")"),"COQUAINVILLIERS")</f>
        <v>COQUAINVILLIERS</v>
      </c>
      <c r="E753" s="38" t="s">
        <v>137</v>
      </c>
      <c r="F753" s="38" t="s">
        <v>138</v>
      </c>
      <c r="G753" s="49" t="str">
        <f t="shared" si="1"/>
        <v>14130</v>
      </c>
      <c r="H753" s="49">
        <f t="shared" si="2"/>
        <v>14177</v>
      </c>
    </row>
    <row r="754">
      <c r="A754" s="48" t="s">
        <v>1641</v>
      </c>
      <c r="B754" s="38">
        <v>18102.0</v>
      </c>
      <c r="C754" s="38" t="s">
        <v>1642</v>
      </c>
      <c r="D754" s="38" t="str">
        <f>IFERROR(__xludf.DUMMYFUNCTION("REGEXREPLACE(C754,""-\d+(.*)|--\d+(.*)"","""")"),"GIVARDON")</f>
        <v>GIVARDON</v>
      </c>
      <c r="E754" s="38" t="s">
        <v>504</v>
      </c>
      <c r="F754" s="38" t="s">
        <v>123</v>
      </c>
      <c r="G754" s="49" t="str">
        <f t="shared" si="1"/>
        <v>18600</v>
      </c>
      <c r="H754" s="49">
        <f t="shared" si="2"/>
        <v>18102</v>
      </c>
    </row>
    <row r="755">
      <c r="A755" s="48" t="s">
        <v>771</v>
      </c>
      <c r="B755" s="38">
        <v>60127.0</v>
      </c>
      <c r="C755" s="38" t="s">
        <v>1643</v>
      </c>
      <c r="D755" s="38" t="str">
        <f>IFERROR(__xludf.DUMMYFUNCTION("REGEXREPLACE(C755,""-\d+(.*)|--\d+(.*)"","""")"),"CANNY-SUR-MATZ")</f>
        <v>CANNY-SUR-MATZ</v>
      </c>
      <c r="E755" s="38" t="s">
        <v>112</v>
      </c>
      <c r="F755" s="38" t="s">
        <v>113</v>
      </c>
      <c r="G755" s="49" t="str">
        <f t="shared" si="1"/>
        <v>60310</v>
      </c>
      <c r="H755" s="49">
        <f t="shared" si="2"/>
        <v>60127</v>
      </c>
    </row>
    <row r="756">
      <c r="A756" s="48" t="s">
        <v>1644</v>
      </c>
      <c r="B756" s="38">
        <v>21488.0</v>
      </c>
      <c r="C756" s="38" t="s">
        <v>1645</v>
      </c>
      <c r="D756" s="38" t="str">
        <f>IFERROR(__xludf.DUMMYFUNCTION("REGEXREPLACE(C756,""-\d+(.*)|--\d+(.*)"","""")"),"POINCON-LES-LARREY")</f>
        <v>POINCON-LES-LARREY</v>
      </c>
      <c r="E756" s="38" t="s">
        <v>105</v>
      </c>
      <c r="F756" s="38" t="s">
        <v>106</v>
      </c>
      <c r="G756" s="49" t="str">
        <f t="shared" si="1"/>
        <v>21330</v>
      </c>
      <c r="H756" s="49">
        <f t="shared" si="2"/>
        <v>21488</v>
      </c>
    </row>
    <row r="757">
      <c r="A757" s="48" t="s">
        <v>1646</v>
      </c>
      <c r="B757" s="38">
        <v>24518.0</v>
      </c>
      <c r="C757" s="38" t="s">
        <v>1647</v>
      </c>
      <c r="D757" s="38" t="str">
        <f>IFERROR(__xludf.DUMMYFUNCTION("REGEXREPLACE(C757,""-\d+(.*)|--\d+(.*)"","""")"),"SALON")</f>
        <v>SALON</v>
      </c>
      <c r="E757" s="38" t="s">
        <v>261</v>
      </c>
      <c r="F757" s="38" t="s">
        <v>252</v>
      </c>
      <c r="G757" s="49" t="str">
        <f t="shared" si="1"/>
        <v>24380</v>
      </c>
      <c r="H757" s="49">
        <f t="shared" si="2"/>
        <v>24518</v>
      </c>
    </row>
    <row r="758">
      <c r="A758" s="48" t="s">
        <v>1307</v>
      </c>
      <c r="B758" s="38">
        <v>43180.0</v>
      </c>
      <c r="C758" s="38" t="s">
        <v>1648</v>
      </c>
      <c r="D758" s="38" t="str">
        <f>IFERROR(__xludf.DUMMYFUNCTION("REGEXREPLACE(C758,""-\d+(.*)|--\d+(.*)"","""")"),"SAINT-ETIENNE-DU-VIGAN")</f>
        <v>SAINT-ETIENNE-DU-VIGAN</v>
      </c>
      <c r="E758" s="38" t="s">
        <v>332</v>
      </c>
      <c r="F758" s="38" t="s">
        <v>161</v>
      </c>
      <c r="G758" s="49" t="str">
        <f t="shared" si="1"/>
        <v>43420</v>
      </c>
      <c r="H758" s="49">
        <f t="shared" si="2"/>
        <v>43180</v>
      </c>
    </row>
    <row r="759">
      <c r="A759" s="48" t="s">
        <v>1649</v>
      </c>
      <c r="B759" s="38">
        <v>27010.0</v>
      </c>
      <c r="C759" s="38" t="s">
        <v>1650</v>
      </c>
      <c r="D759" s="38" t="str">
        <f>IFERROR(__xludf.DUMMYFUNCTION("REGEXREPLACE(C759,""-\d+(.*)|--\d+(.*)"","""")"),"AMECOURT")</f>
        <v>AMECOURT</v>
      </c>
      <c r="E759" s="38" t="s">
        <v>241</v>
      </c>
      <c r="F759" s="38" t="s">
        <v>134</v>
      </c>
      <c r="G759" s="49" t="str">
        <f t="shared" si="1"/>
        <v>27140</v>
      </c>
      <c r="H759" s="49">
        <f t="shared" si="2"/>
        <v>27010</v>
      </c>
    </row>
    <row r="760">
      <c r="A760" s="48" t="s">
        <v>1542</v>
      </c>
      <c r="B760" s="38">
        <v>24076.0</v>
      </c>
      <c r="C760" s="38" t="s">
        <v>1651</v>
      </c>
      <c r="D760" s="38" t="str">
        <f>IFERROR(__xludf.DUMMYFUNCTION("REGEXREPLACE(C760,""-\d+(.*)|--\d+(.*)"","""")"),"CAMPAGNE")</f>
        <v>CAMPAGNE</v>
      </c>
      <c r="E760" s="38" t="s">
        <v>261</v>
      </c>
      <c r="F760" s="38" t="s">
        <v>252</v>
      </c>
      <c r="G760" s="49" t="str">
        <f t="shared" si="1"/>
        <v>24260</v>
      </c>
      <c r="H760" s="49">
        <f t="shared" si="2"/>
        <v>24076</v>
      </c>
    </row>
    <row r="761">
      <c r="A761" s="48" t="s">
        <v>1652</v>
      </c>
      <c r="B761" s="38">
        <v>59523.0</v>
      </c>
      <c r="C761" s="38" t="s">
        <v>1653</v>
      </c>
      <c r="D761" s="38" t="str">
        <f>IFERROR(__xludf.DUMMYFUNCTION("REGEXREPLACE(C761,""-\d+(.*)|--\d+(.*)"","""")"),"SAINGHIN-EN-MELANTOIS")</f>
        <v>SAINGHIN-EN-MELANTOIS</v>
      </c>
      <c r="E761" s="38" t="s">
        <v>85</v>
      </c>
      <c r="F761" s="38" t="s">
        <v>86</v>
      </c>
      <c r="G761" s="49" t="str">
        <f t="shared" si="1"/>
        <v>59262</v>
      </c>
      <c r="H761" s="49">
        <f t="shared" si="2"/>
        <v>59523</v>
      </c>
    </row>
    <row r="762">
      <c r="A762" s="48" t="s">
        <v>1654</v>
      </c>
      <c r="B762" s="38">
        <v>72358.0</v>
      </c>
      <c r="C762" s="38" t="s">
        <v>1655</v>
      </c>
      <c r="D762" s="38" t="str">
        <f>IFERROR(__xludf.DUMMYFUNCTION("REGEXREPLACE(C762,""-\d+(.*)|--\d+(.*)"","""")"),"THORIGNE-SUR-DUE")</f>
        <v>THORIGNE-SUR-DUE</v>
      </c>
      <c r="E762" s="38" t="s">
        <v>521</v>
      </c>
      <c r="F762" s="38" t="s">
        <v>180</v>
      </c>
      <c r="G762" s="49" t="str">
        <f t="shared" si="1"/>
        <v>72160</v>
      </c>
      <c r="H762" s="49">
        <f t="shared" si="2"/>
        <v>72358</v>
      </c>
    </row>
    <row r="763">
      <c r="A763" s="48" t="s">
        <v>1656</v>
      </c>
      <c r="B763" s="38">
        <v>80780.0</v>
      </c>
      <c r="C763" s="38" t="s">
        <v>690</v>
      </c>
      <c r="D763" s="38" t="str">
        <f>IFERROR(__xludf.DUMMYFUNCTION("REGEXREPLACE(C763,""-\d+(.*)|--\d+(.*)"","""")"),"VAUDRICOURT")</f>
        <v>VAUDRICOURT</v>
      </c>
      <c r="E763" s="38" t="s">
        <v>224</v>
      </c>
      <c r="F763" s="38" t="s">
        <v>113</v>
      </c>
      <c r="G763" s="49" t="str">
        <f t="shared" si="1"/>
        <v>80230</v>
      </c>
      <c r="H763" s="49">
        <f t="shared" si="2"/>
        <v>80780</v>
      </c>
    </row>
    <row r="764">
      <c r="A764" s="48" t="s">
        <v>796</v>
      </c>
      <c r="B764" s="38">
        <v>89153.0</v>
      </c>
      <c r="C764" s="38" t="s">
        <v>1657</v>
      </c>
      <c r="D764" s="38" t="str">
        <f>IFERROR(__xludf.DUMMYFUNCTION("REGEXREPLACE(C764,""-\d+(.*)|--\d+(.*)"","""")"),"EPINEUIL")</f>
        <v>EPINEUIL</v>
      </c>
      <c r="E764" s="38" t="s">
        <v>275</v>
      </c>
      <c r="F764" s="38" t="s">
        <v>106</v>
      </c>
      <c r="G764" s="49" t="str">
        <f t="shared" si="1"/>
        <v>89700</v>
      </c>
      <c r="H764" s="49">
        <f t="shared" si="2"/>
        <v>89153</v>
      </c>
    </row>
    <row r="765">
      <c r="A765" s="48" t="s">
        <v>839</v>
      </c>
      <c r="B765" s="38">
        <v>62303.0</v>
      </c>
      <c r="C765" s="38" t="s">
        <v>1658</v>
      </c>
      <c r="D765" s="38" t="str">
        <f>IFERROR(__xludf.DUMMYFUNCTION("REGEXREPLACE(C765,""-\d+(.*)|--\d+(.*)"","""")"),"ERIN")</f>
        <v>ERIN</v>
      </c>
      <c r="E765" s="38" t="s">
        <v>109</v>
      </c>
      <c r="F765" s="38" t="s">
        <v>86</v>
      </c>
      <c r="G765" s="49" t="str">
        <f t="shared" si="1"/>
        <v>62134</v>
      </c>
      <c r="H765" s="49">
        <f t="shared" si="2"/>
        <v>62303</v>
      </c>
    </row>
    <row r="766">
      <c r="A766" s="48" t="s">
        <v>1659</v>
      </c>
      <c r="B766" s="38">
        <v>45155.0</v>
      </c>
      <c r="C766" s="38" t="s">
        <v>1660</v>
      </c>
      <c r="D766" s="38" t="str">
        <f>IFERROR(__xludf.DUMMYFUNCTION("REGEXREPLACE(C766,""-\d+(.*)|--\d+(.*)"","""")"),"GIEN")</f>
        <v>GIEN</v>
      </c>
      <c r="E766" s="38" t="s">
        <v>122</v>
      </c>
      <c r="F766" s="38" t="s">
        <v>123</v>
      </c>
      <c r="G766" s="49" t="str">
        <f t="shared" si="1"/>
        <v>45500</v>
      </c>
      <c r="H766" s="49">
        <f t="shared" si="2"/>
        <v>45155</v>
      </c>
    </row>
    <row r="767">
      <c r="A767" s="48" t="s">
        <v>1661</v>
      </c>
      <c r="B767" s="38">
        <v>36136.0</v>
      </c>
      <c r="C767" s="38" t="s">
        <v>1662</v>
      </c>
      <c r="D767" s="38" t="str">
        <f>IFERROR(__xludf.DUMMYFUNCTION("REGEXREPLACE(C767,""-\d+(.*)|--\d+(.*)"","""")"),"MURS")</f>
        <v>MURS</v>
      </c>
      <c r="E767" s="38" t="s">
        <v>258</v>
      </c>
      <c r="F767" s="38" t="s">
        <v>123</v>
      </c>
      <c r="G767" s="49" t="str">
        <f t="shared" si="1"/>
        <v>36700</v>
      </c>
      <c r="H767" s="49">
        <f t="shared" si="2"/>
        <v>36136</v>
      </c>
    </row>
    <row r="768">
      <c r="A768" s="48" t="s">
        <v>1663</v>
      </c>
      <c r="B768" s="38">
        <v>88294.0</v>
      </c>
      <c r="C768" s="38" t="s">
        <v>1664</v>
      </c>
      <c r="D768" s="38" t="str">
        <f>IFERROR(__xludf.DUMMYFUNCTION("REGEXREPLACE(C768,""-\d+(.*)|--\d+(.*)"","""")"),"MAZELEY")</f>
        <v>MAZELEY</v>
      </c>
      <c r="E768" s="38" t="s">
        <v>194</v>
      </c>
      <c r="F768" s="38" t="s">
        <v>195</v>
      </c>
      <c r="G768" s="49" t="str">
        <f t="shared" si="1"/>
        <v>88150</v>
      </c>
      <c r="H768" s="49">
        <f t="shared" si="2"/>
        <v>88294</v>
      </c>
    </row>
    <row r="769">
      <c r="A769" s="48" t="s">
        <v>1665</v>
      </c>
      <c r="B769" s="38">
        <v>22318.0</v>
      </c>
      <c r="C769" s="38" t="s">
        <v>1666</v>
      </c>
      <c r="D769" s="38" t="str">
        <f>IFERROR(__xludf.DUMMYFUNCTION("REGEXREPLACE(C769,""-\d+(.*)|--\d+(.*)"","""")"),"SAINT-MICHEL-DE-PLELAN")</f>
        <v>SAINT-MICHEL-DE-PLELAN</v>
      </c>
      <c r="E769" s="38" t="s">
        <v>89</v>
      </c>
      <c r="F769" s="38" t="s">
        <v>90</v>
      </c>
      <c r="G769" s="49" t="str">
        <f t="shared" si="1"/>
        <v>22980</v>
      </c>
      <c r="H769" s="49">
        <f t="shared" si="2"/>
        <v>22318</v>
      </c>
    </row>
    <row r="770">
      <c r="A770" s="48" t="s">
        <v>1667</v>
      </c>
      <c r="B770" s="38">
        <v>38050.0</v>
      </c>
      <c r="C770" s="38" t="s">
        <v>1668</v>
      </c>
      <c r="D770" s="38" t="str">
        <f>IFERROR(__xludf.DUMMYFUNCTION("REGEXREPLACE(C770,""-\d+(.*)|--\d+(.*)"","""")"),"LE BOUCHAGE")</f>
        <v>LE BOUCHAGE</v>
      </c>
      <c r="E770" s="38" t="s">
        <v>101</v>
      </c>
      <c r="F770" s="38" t="s">
        <v>102</v>
      </c>
      <c r="G770" s="49" t="str">
        <f t="shared" si="1"/>
        <v>38510</v>
      </c>
      <c r="H770" s="49">
        <f t="shared" si="2"/>
        <v>38050</v>
      </c>
    </row>
    <row r="771">
      <c r="A771" s="48" t="s">
        <v>1669</v>
      </c>
      <c r="B771" s="38">
        <v>21522.0</v>
      </c>
      <c r="C771" s="38" t="s">
        <v>1670</v>
      </c>
      <c r="D771" s="38" t="str">
        <f>IFERROR(__xludf.DUMMYFUNCTION("REGEXREPLACE(C771,""-\d+(.*)|--\d+(.*)"","""")"),"RENEVE")</f>
        <v>RENEVE</v>
      </c>
      <c r="E771" s="38" t="s">
        <v>105</v>
      </c>
      <c r="F771" s="38" t="s">
        <v>106</v>
      </c>
      <c r="G771" s="49" t="str">
        <f t="shared" si="1"/>
        <v>21310</v>
      </c>
      <c r="H771" s="49">
        <f t="shared" si="2"/>
        <v>21522</v>
      </c>
    </row>
    <row r="772">
      <c r="A772" s="48" t="s">
        <v>1671</v>
      </c>
      <c r="B772" s="38">
        <v>81017.0</v>
      </c>
      <c r="C772" s="38" t="s">
        <v>1672</v>
      </c>
      <c r="D772" s="38" t="str">
        <f>IFERROR(__xludf.DUMMYFUNCTION("REGEXREPLACE(C772,""-\d+(.*)|--\d+(.*)"","""")"),"ARIFAT")</f>
        <v>ARIFAT</v>
      </c>
      <c r="E772" s="38" t="s">
        <v>231</v>
      </c>
      <c r="F772" s="38" t="s">
        <v>94</v>
      </c>
      <c r="G772" s="49" t="str">
        <f t="shared" si="1"/>
        <v>81360</v>
      </c>
      <c r="H772" s="49">
        <f t="shared" si="2"/>
        <v>81017</v>
      </c>
    </row>
    <row r="773">
      <c r="A773" s="48" t="s">
        <v>1673</v>
      </c>
      <c r="B773" s="38">
        <v>5060.0</v>
      </c>
      <c r="C773" s="38" t="s">
        <v>1674</v>
      </c>
      <c r="D773" s="38" t="str">
        <f>IFERROR(__xludf.DUMMYFUNCTION("REGEXREPLACE(C773,""-\d+(.*)|--\d+(.*)"","""")"),"FURMEYER")</f>
        <v>FURMEYER</v>
      </c>
      <c r="E773" s="38" t="s">
        <v>706</v>
      </c>
      <c r="F773" s="38" t="s">
        <v>228</v>
      </c>
      <c r="G773" s="49" t="str">
        <f t="shared" si="1"/>
        <v>05400</v>
      </c>
      <c r="H773" s="49" t="str">
        <f t="shared" si="2"/>
        <v>05060</v>
      </c>
    </row>
    <row r="774">
      <c r="A774" s="48" t="s">
        <v>1675</v>
      </c>
      <c r="B774" s="38">
        <v>45087.0</v>
      </c>
      <c r="C774" s="38" t="s">
        <v>1676</v>
      </c>
      <c r="D774" s="38" t="str">
        <f>IFERROR(__xludf.DUMMYFUNCTION("REGEXREPLACE(C774,""-\d+(.*)|--\d+(.*)"","""")"),"CHATILLON-SUR-LOIRE")</f>
        <v>CHATILLON-SUR-LOIRE</v>
      </c>
      <c r="E774" s="38" t="s">
        <v>122</v>
      </c>
      <c r="F774" s="38" t="s">
        <v>123</v>
      </c>
      <c r="G774" s="49" t="str">
        <f t="shared" si="1"/>
        <v>45360</v>
      </c>
      <c r="H774" s="49">
        <f t="shared" si="2"/>
        <v>45087</v>
      </c>
    </row>
    <row r="775">
      <c r="A775" s="48" t="s">
        <v>1677</v>
      </c>
      <c r="B775" s="38">
        <v>59419.0</v>
      </c>
      <c r="C775" s="38" t="s">
        <v>1678</v>
      </c>
      <c r="D775" s="38" t="str">
        <f>IFERROR(__xludf.DUMMYFUNCTION("REGEXREPLACE(C775,""-\d+(.*)|--\d+(.*)"","""")"),"MOUCHIN")</f>
        <v>MOUCHIN</v>
      </c>
      <c r="E775" s="38" t="s">
        <v>85</v>
      </c>
      <c r="F775" s="38" t="s">
        <v>86</v>
      </c>
      <c r="G775" s="49" t="str">
        <f t="shared" si="1"/>
        <v>59310</v>
      </c>
      <c r="H775" s="49">
        <f t="shared" si="2"/>
        <v>59419</v>
      </c>
    </row>
    <row r="776">
      <c r="A776" s="48" t="s">
        <v>1679</v>
      </c>
      <c r="B776" s="38">
        <v>51285.0</v>
      </c>
      <c r="C776" s="38" t="s">
        <v>1680</v>
      </c>
      <c r="D776" s="38" t="str">
        <f>IFERROR(__xludf.DUMMYFUNCTION("REGEXREPLACE(C776,""-\d+(.*)|--\d+(.*)"","""")"),"HAUSSIMONT")</f>
        <v>HAUSSIMONT</v>
      </c>
      <c r="E776" s="38" t="s">
        <v>129</v>
      </c>
      <c r="F776" s="38" t="s">
        <v>130</v>
      </c>
      <c r="G776" s="49" t="str">
        <f t="shared" si="1"/>
        <v>51320</v>
      </c>
      <c r="H776" s="49">
        <f t="shared" si="2"/>
        <v>51285</v>
      </c>
    </row>
    <row r="777">
      <c r="A777" s="48" t="s">
        <v>1681</v>
      </c>
      <c r="B777" s="38">
        <v>80049.0</v>
      </c>
      <c r="C777" s="38" t="s">
        <v>1682</v>
      </c>
      <c r="D777" s="38" t="str">
        <f>IFERROR(__xludf.DUMMYFUNCTION("REGEXREPLACE(C777,""-\d+(.*)|--\d+(.*)"","""")"),"AYENCOURT")</f>
        <v>AYENCOURT</v>
      </c>
      <c r="E777" s="38" t="s">
        <v>224</v>
      </c>
      <c r="F777" s="38" t="s">
        <v>113</v>
      </c>
      <c r="G777" s="49" t="str">
        <f t="shared" si="1"/>
        <v>80500</v>
      </c>
      <c r="H777" s="49">
        <f t="shared" si="2"/>
        <v>80049</v>
      </c>
    </row>
    <row r="778">
      <c r="A778" s="48" t="s">
        <v>1683</v>
      </c>
      <c r="B778" s="38">
        <v>78125.0</v>
      </c>
      <c r="C778" s="38" t="s">
        <v>1684</v>
      </c>
      <c r="D778" s="38" t="str">
        <f>IFERROR(__xludf.DUMMYFUNCTION("REGEXREPLACE(C778,""-\d+(.*)|--\d+(.*)"","""")"),"LA CELLE-LES-BORDES")</f>
        <v>LA CELLE-LES-BORDES</v>
      </c>
      <c r="E778" s="38" t="s">
        <v>362</v>
      </c>
      <c r="F778" s="38" t="s">
        <v>245</v>
      </c>
      <c r="G778" s="49" t="str">
        <f t="shared" si="1"/>
        <v>78720</v>
      </c>
      <c r="H778" s="49">
        <f t="shared" si="2"/>
        <v>78125</v>
      </c>
    </row>
    <row r="779">
      <c r="A779" s="48" t="s">
        <v>1418</v>
      </c>
      <c r="B779" s="38">
        <v>36228.0</v>
      </c>
      <c r="C779" s="38" t="s">
        <v>1685</v>
      </c>
      <c r="D779" s="38" t="str">
        <f>IFERROR(__xludf.DUMMYFUNCTION("REGEXREPLACE(C779,""-\d+(.*)|--\d+(.*)"","""")"),"VALENCAY")</f>
        <v>VALENCAY</v>
      </c>
      <c r="E779" s="38" t="s">
        <v>258</v>
      </c>
      <c r="F779" s="38" t="s">
        <v>123</v>
      </c>
      <c r="G779" s="49" t="str">
        <f t="shared" si="1"/>
        <v>36600</v>
      </c>
      <c r="H779" s="49">
        <f t="shared" si="2"/>
        <v>36228</v>
      </c>
    </row>
    <row r="780">
      <c r="A780" s="48" t="s">
        <v>1686</v>
      </c>
      <c r="B780" s="38">
        <v>51396.0</v>
      </c>
      <c r="C780" s="38" t="s">
        <v>1687</v>
      </c>
      <c r="D780" s="38" t="str">
        <f>IFERROR(__xludf.DUMMYFUNCTION("REGEXREPLACE(C780,""-\d+(.*)|--\d+(.*)"","""")"),"NESLE-LE-REPONS")</f>
        <v>NESLE-LE-REPONS</v>
      </c>
      <c r="E780" s="38" t="s">
        <v>129</v>
      </c>
      <c r="F780" s="38" t="s">
        <v>130</v>
      </c>
      <c r="G780" s="49" t="str">
        <f t="shared" si="1"/>
        <v>51700</v>
      </c>
      <c r="H780" s="49">
        <f t="shared" si="2"/>
        <v>51396</v>
      </c>
    </row>
    <row r="781">
      <c r="A781" s="48" t="s">
        <v>1688</v>
      </c>
      <c r="B781" s="38">
        <v>76033.0</v>
      </c>
      <c r="C781" s="38" t="s">
        <v>1689</v>
      </c>
      <c r="D781" s="38" t="str">
        <f>IFERROR(__xludf.DUMMYFUNCTION("REGEXREPLACE(C781,""-\d+(.*)|--\d+(.*)"","""")"),"AUBERVILLE-LA-RENAULT")</f>
        <v>AUBERVILLE-LA-RENAULT</v>
      </c>
      <c r="E781" s="38" t="s">
        <v>133</v>
      </c>
      <c r="F781" s="38" t="s">
        <v>134</v>
      </c>
      <c r="G781" s="49" t="str">
        <f t="shared" si="1"/>
        <v>76110</v>
      </c>
      <c r="H781" s="49">
        <f t="shared" si="2"/>
        <v>76033</v>
      </c>
    </row>
    <row r="782">
      <c r="A782" s="48" t="s">
        <v>1690</v>
      </c>
      <c r="B782" s="38">
        <v>53263.0</v>
      </c>
      <c r="C782" s="38" t="s">
        <v>1691</v>
      </c>
      <c r="D782" s="38" t="str">
        <f>IFERROR(__xludf.DUMMYFUNCTION("REGEXREPLACE(C782,""-\d+(.*)|--\d+(.*)"","""")"),"THUBOEUF")</f>
        <v>THUBOEUF</v>
      </c>
      <c r="E782" s="38" t="s">
        <v>518</v>
      </c>
      <c r="F782" s="38" t="s">
        <v>180</v>
      </c>
      <c r="G782" s="49" t="str">
        <f t="shared" si="1"/>
        <v>53110</v>
      </c>
      <c r="H782" s="49">
        <f t="shared" si="2"/>
        <v>53263</v>
      </c>
    </row>
    <row r="783">
      <c r="A783" s="48" t="s">
        <v>781</v>
      </c>
      <c r="B783" s="38">
        <v>65236.0</v>
      </c>
      <c r="C783" s="38" t="s">
        <v>1692</v>
      </c>
      <c r="D783" s="38" t="str">
        <f>IFERROR(__xludf.DUMMYFUNCTION("REGEXREPLACE(C783,""-\d+(.*)|--\d+(.*)"","""")"),"JULOS")</f>
        <v>JULOS</v>
      </c>
      <c r="E783" s="38" t="s">
        <v>200</v>
      </c>
      <c r="F783" s="38" t="s">
        <v>94</v>
      </c>
      <c r="G783" s="49" t="str">
        <f t="shared" si="1"/>
        <v>65100</v>
      </c>
      <c r="H783" s="49">
        <f t="shared" si="2"/>
        <v>65236</v>
      </c>
    </row>
    <row r="784">
      <c r="A784" s="48" t="s">
        <v>1693</v>
      </c>
      <c r="B784" s="38">
        <v>24567.0</v>
      </c>
      <c r="C784" s="38" t="s">
        <v>1694</v>
      </c>
      <c r="D784" s="38" t="str">
        <f>IFERROR(__xludf.DUMMYFUNCTION("REGEXREPLACE(C784,""-\d+(.*)|--\d+(.*)"","""")"),"VAUNAC")</f>
        <v>VAUNAC</v>
      </c>
      <c r="E784" s="38" t="s">
        <v>261</v>
      </c>
      <c r="F784" s="38" t="s">
        <v>252</v>
      </c>
      <c r="G784" s="49" t="str">
        <f t="shared" si="1"/>
        <v>24800</v>
      </c>
      <c r="H784" s="49">
        <f t="shared" si="2"/>
        <v>24567</v>
      </c>
    </row>
    <row r="785">
      <c r="A785" s="48" t="s">
        <v>1695</v>
      </c>
      <c r="B785" s="38">
        <v>80451.0</v>
      </c>
      <c r="C785" s="38" t="s">
        <v>1696</v>
      </c>
      <c r="D785" s="38" t="str">
        <f>IFERROR(__xludf.DUMMYFUNCTION("REGEXREPLACE(C785,""-\d+(.*)|--\d+(.*)"","""")"),"IRLES")</f>
        <v>IRLES</v>
      </c>
      <c r="E785" s="38" t="s">
        <v>224</v>
      </c>
      <c r="F785" s="38" t="s">
        <v>113</v>
      </c>
      <c r="G785" s="49" t="str">
        <f t="shared" si="1"/>
        <v>80300</v>
      </c>
      <c r="H785" s="49">
        <f t="shared" si="2"/>
        <v>80451</v>
      </c>
    </row>
    <row r="786">
      <c r="A786" s="48" t="s">
        <v>1697</v>
      </c>
      <c r="B786" s="38">
        <v>39027.0</v>
      </c>
      <c r="C786" s="38" t="s">
        <v>1698</v>
      </c>
      <c r="D786" s="38" t="str">
        <f>IFERROR(__xludf.DUMMYFUNCTION("REGEXREPLACE(C786,""-\d+(.*)|--\d+(.*)"","""")"),"AUGISEY")</f>
        <v>AUGISEY</v>
      </c>
      <c r="E786" s="38" t="s">
        <v>400</v>
      </c>
      <c r="F786" s="38" t="s">
        <v>214</v>
      </c>
      <c r="G786" s="49" t="str">
        <f t="shared" si="1"/>
        <v>39270</v>
      </c>
      <c r="H786" s="49">
        <f t="shared" si="2"/>
        <v>39027</v>
      </c>
    </row>
    <row r="787">
      <c r="A787" s="48" t="s">
        <v>1161</v>
      </c>
      <c r="B787" s="38">
        <v>45185.0</v>
      </c>
      <c r="C787" s="38" t="s">
        <v>1699</v>
      </c>
      <c r="D787" s="38" t="str">
        <f>IFERROR(__xludf.DUMMYFUNCTION("REGEXREPLACE(C787,""-\d+(.*)|--\d+(.*)"","""")"),"LOMBREUIL")</f>
        <v>LOMBREUIL</v>
      </c>
      <c r="E787" s="38" t="s">
        <v>122</v>
      </c>
      <c r="F787" s="38" t="s">
        <v>123</v>
      </c>
      <c r="G787" s="49" t="str">
        <f t="shared" si="1"/>
        <v>45700</v>
      </c>
      <c r="H787" s="49">
        <f t="shared" si="2"/>
        <v>45185</v>
      </c>
    </row>
    <row r="788">
      <c r="A788" s="48" t="s">
        <v>1700</v>
      </c>
      <c r="B788" s="38">
        <v>35092.0</v>
      </c>
      <c r="C788" s="38" t="s">
        <v>1701</v>
      </c>
      <c r="D788" s="38" t="str">
        <f>IFERROR(__xludf.DUMMYFUNCTION("REGEXREPLACE(C788,""-\d+(.*)|--\d+(.*)"","""")"),"CUGUEN")</f>
        <v>CUGUEN</v>
      </c>
      <c r="E788" s="38" t="s">
        <v>347</v>
      </c>
      <c r="F788" s="38" t="s">
        <v>90</v>
      </c>
      <c r="G788" s="49" t="str">
        <f t="shared" si="1"/>
        <v>35270</v>
      </c>
      <c r="H788" s="49">
        <f t="shared" si="2"/>
        <v>35092</v>
      </c>
    </row>
    <row r="789">
      <c r="A789" s="48" t="s">
        <v>1702</v>
      </c>
      <c r="B789" s="38">
        <v>77309.0</v>
      </c>
      <c r="C789" s="38" t="s">
        <v>1703</v>
      </c>
      <c r="D789" s="38" t="str">
        <f>IFERROR(__xludf.DUMMYFUNCTION("REGEXREPLACE(C789,""-\d+(.*)|--\d+(.*)"","""")"),"MONTHYON")</f>
        <v>MONTHYON</v>
      </c>
      <c r="E789" s="38" t="s">
        <v>244</v>
      </c>
      <c r="F789" s="38" t="s">
        <v>245</v>
      </c>
      <c r="G789" s="49" t="str">
        <f t="shared" si="1"/>
        <v>77122</v>
      </c>
      <c r="H789" s="49">
        <f t="shared" si="2"/>
        <v>77309</v>
      </c>
    </row>
    <row r="790">
      <c r="A790" s="48" t="s">
        <v>1704</v>
      </c>
      <c r="B790" s="38">
        <v>48097.0</v>
      </c>
      <c r="C790" s="38" t="s">
        <v>1705</v>
      </c>
      <c r="D790" s="38" t="str">
        <f>IFERROR(__xludf.DUMMYFUNCTION("REGEXREPLACE(C790,""-\d+(.*)|--\d+(.*)"","""")"),"MOISSAC-VALLEE-FRANCAISE")</f>
        <v>MOISSAC-VALLEE-FRANCAISE</v>
      </c>
      <c r="E790" s="38" t="s">
        <v>154</v>
      </c>
      <c r="F790" s="38" t="s">
        <v>119</v>
      </c>
      <c r="G790" s="49" t="str">
        <f t="shared" si="1"/>
        <v>48110</v>
      </c>
      <c r="H790" s="49">
        <f t="shared" si="2"/>
        <v>48097</v>
      </c>
    </row>
    <row r="791">
      <c r="A791" s="48" t="s">
        <v>1706</v>
      </c>
      <c r="B791" s="38">
        <v>50369.0</v>
      </c>
      <c r="C791" s="38" t="s">
        <v>1707</v>
      </c>
      <c r="D791" s="38" t="str">
        <f>IFERROR(__xludf.DUMMYFUNCTION("REGEXREPLACE(C791,""-\d+(.*)|--\d+(.*)"","""")"),"NEGREVILLE")</f>
        <v>NEGREVILLE</v>
      </c>
      <c r="E791" s="38" t="s">
        <v>157</v>
      </c>
      <c r="F791" s="38" t="s">
        <v>138</v>
      </c>
      <c r="G791" s="49" t="str">
        <f t="shared" si="1"/>
        <v>50260</v>
      </c>
      <c r="H791" s="49">
        <f t="shared" si="2"/>
        <v>50369</v>
      </c>
    </row>
    <row r="792">
      <c r="A792" s="48" t="s">
        <v>1708</v>
      </c>
      <c r="B792" s="38">
        <v>63246.0</v>
      </c>
      <c r="C792" s="38" t="s">
        <v>1709</v>
      </c>
      <c r="D792" s="38" t="str">
        <f>IFERROR(__xludf.DUMMYFUNCTION("REGEXREPLACE(C792,""-\d+(.*)|--\d+(.*)"","""")"),"MURAT-LE-QUAIRE")</f>
        <v>MURAT-LE-QUAIRE</v>
      </c>
      <c r="E792" s="38" t="s">
        <v>353</v>
      </c>
      <c r="F792" s="38" t="s">
        <v>161</v>
      </c>
      <c r="G792" s="49" t="str">
        <f t="shared" si="1"/>
        <v>63150</v>
      </c>
      <c r="H792" s="49">
        <f t="shared" si="2"/>
        <v>63246</v>
      </c>
    </row>
    <row r="793">
      <c r="A793" s="48" t="s">
        <v>1710</v>
      </c>
      <c r="B793" s="38">
        <v>24326.0</v>
      </c>
      <c r="C793" s="38" t="s">
        <v>1711</v>
      </c>
      <c r="D793" s="38" t="str">
        <f>IFERROR(__xludf.DUMMYFUNCTION("REGEXREPLACE(C793,""-\d+(.*)|--\d+(.*)"","""")"),"PEYZAC-LE-MOUSTIER")</f>
        <v>PEYZAC-LE-MOUSTIER</v>
      </c>
      <c r="E793" s="38" t="s">
        <v>261</v>
      </c>
      <c r="F793" s="38" t="s">
        <v>252</v>
      </c>
      <c r="G793" s="49" t="str">
        <f t="shared" si="1"/>
        <v>24620</v>
      </c>
      <c r="H793" s="49">
        <f t="shared" si="2"/>
        <v>24326</v>
      </c>
    </row>
    <row r="794">
      <c r="A794" s="48" t="s">
        <v>1252</v>
      </c>
      <c r="B794" s="38">
        <v>72272.0</v>
      </c>
      <c r="C794" s="38" t="s">
        <v>1712</v>
      </c>
      <c r="D794" s="38" t="str">
        <f>IFERROR(__xludf.DUMMYFUNCTION("REGEXREPLACE(C794,""-\d+(.*)|--\d+(.*)"","""")"),"SAINTE-CEROTTE")</f>
        <v>SAINTE-CEROTTE</v>
      </c>
      <c r="E794" s="38" t="s">
        <v>521</v>
      </c>
      <c r="F794" s="38" t="s">
        <v>180</v>
      </c>
      <c r="G794" s="49" t="str">
        <f t="shared" si="1"/>
        <v>72120</v>
      </c>
      <c r="H794" s="49">
        <f t="shared" si="2"/>
        <v>72272</v>
      </c>
    </row>
    <row r="795">
      <c r="A795" s="48" t="s">
        <v>1713</v>
      </c>
      <c r="B795" s="38">
        <v>36068.0</v>
      </c>
      <c r="C795" s="38" t="s">
        <v>1714</v>
      </c>
      <c r="D795" s="38" t="str">
        <f>IFERROR(__xludf.DUMMYFUNCTION("REGEXREPLACE(C795,""-\d+(.*)|--\d+(.*)"","""")"),"DUN-LE-POELIER")</f>
        <v>DUN-LE-POELIER</v>
      </c>
      <c r="E795" s="38" t="s">
        <v>258</v>
      </c>
      <c r="F795" s="38" t="s">
        <v>123</v>
      </c>
      <c r="G795" s="49" t="str">
        <f t="shared" si="1"/>
        <v>36210</v>
      </c>
      <c r="H795" s="49">
        <f t="shared" si="2"/>
        <v>36068</v>
      </c>
    </row>
    <row r="796">
      <c r="A796" s="48" t="s">
        <v>468</v>
      </c>
      <c r="B796" s="38">
        <v>26299.0</v>
      </c>
      <c r="C796" s="38" t="s">
        <v>1715</v>
      </c>
      <c r="D796" s="38" t="str">
        <f>IFERROR(__xludf.DUMMYFUNCTION("REGEXREPLACE(C796,""-\d+(.*)|--\d+(.*)"","""")"),"SAINTE-CROIX")</f>
        <v>SAINTE-CROIX</v>
      </c>
      <c r="E796" s="38" t="s">
        <v>126</v>
      </c>
      <c r="F796" s="38" t="s">
        <v>102</v>
      </c>
      <c r="G796" s="49" t="str">
        <f t="shared" si="1"/>
        <v>26150</v>
      </c>
      <c r="H796" s="49">
        <f t="shared" si="2"/>
        <v>26299</v>
      </c>
    </row>
    <row r="797">
      <c r="A797" s="48" t="s">
        <v>1716</v>
      </c>
      <c r="B797" s="38">
        <v>38323.0</v>
      </c>
      <c r="C797" s="38" t="s">
        <v>1717</v>
      </c>
      <c r="D797" s="38" t="str">
        <f>IFERROR(__xludf.DUMMYFUNCTION("REGEXREPLACE(C797,""-\d+(.*)|--\d+(.*)"","""")"),"PRESSINS")</f>
        <v>PRESSINS</v>
      </c>
      <c r="E797" s="38" t="s">
        <v>101</v>
      </c>
      <c r="F797" s="38" t="s">
        <v>102</v>
      </c>
      <c r="G797" s="49" t="str">
        <f t="shared" si="1"/>
        <v>38480</v>
      </c>
      <c r="H797" s="49">
        <f t="shared" si="2"/>
        <v>38323</v>
      </c>
    </row>
    <row r="798">
      <c r="A798" s="48" t="s">
        <v>1718</v>
      </c>
      <c r="B798" s="38">
        <v>43102.0</v>
      </c>
      <c r="C798" s="38" t="s">
        <v>1719</v>
      </c>
      <c r="D798" s="38" t="str">
        <f>IFERROR(__xludf.DUMMYFUNCTION("REGEXREPLACE(C798,""-\d+(.*)|--\d+(.*)"","""")"),"GRAZAC")</f>
        <v>GRAZAC</v>
      </c>
      <c r="E798" s="38" t="s">
        <v>332</v>
      </c>
      <c r="F798" s="38" t="s">
        <v>161</v>
      </c>
      <c r="G798" s="49" t="str">
        <f t="shared" si="1"/>
        <v>43200</v>
      </c>
      <c r="H798" s="49">
        <f t="shared" si="2"/>
        <v>43102</v>
      </c>
    </row>
    <row r="799">
      <c r="A799" s="48" t="s">
        <v>1036</v>
      </c>
      <c r="B799" s="38">
        <v>57040.0</v>
      </c>
      <c r="C799" s="38" t="s">
        <v>1720</v>
      </c>
      <c r="D799" s="38" t="str">
        <f>IFERROR(__xludf.DUMMYFUNCTION("REGEXREPLACE(C799,""-\d+(.*)|--\d+(.*)"","""")"),"AULNOIS-SUR-SEILLE")</f>
        <v>AULNOIS-SUR-SEILLE</v>
      </c>
      <c r="E799" s="38" t="s">
        <v>303</v>
      </c>
      <c r="F799" s="38" t="s">
        <v>195</v>
      </c>
      <c r="G799" s="49" t="str">
        <f t="shared" si="1"/>
        <v>57590</v>
      </c>
      <c r="H799" s="49">
        <f t="shared" si="2"/>
        <v>57040</v>
      </c>
    </row>
    <row r="800">
      <c r="A800" s="48" t="s">
        <v>1721</v>
      </c>
      <c r="B800" s="38">
        <v>33533.0</v>
      </c>
      <c r="C800" s="38" t="s">
        <v>1722</v>
      </c>
      <c r="D800" s="38" t="str">
        <f>IFERROR(__xludf.DUMMYFUNCTION("REGEXREPLACE(C800,""-\d+(.*)|--\d+(.*)"","""")"),"TOULENNE")</f>
        <v>TOULENNE</v>
      </c>
      <c r="E800" s="38" t="s">
        <v>462</v>
      </c>
      <c r="F800" s="38" t="s">
        <v>252</v>
      </c>
      <c r="G800" s="49" t="str">
        <f t="shared" si="1"/>
        <v>33210</v>
      </c>
      <c r="H800" s="49">
        <f t="shared" si="2"/>
        <v>33533</v>
      </c>
    </row>
    <row r="801">
      <c r="A801" s="48" t="s">
        <v>452</v>
      </c>
      <c r="B801" s="38">
        <v>21052.0</v>
      </c>
      <c r="C801" s="38" t="s">
        <v>867</v>
      </c>
      <c r="D801" s="38" t="str">
        <f>IFERROR(__xludf.DUMMYFUNCTION("REGEXREPLACE(C801,""-\d+(.*)|--\d+(.*)"","""")"),"BEAULIEU")</f>
        <v>BEAULIEU</v>
      </c>
      <c r="E801" s="38" t="s">
        <v>105</v>
      </c>
      <c r="F801" s="38" t="s">
        <v>106</v>
      </c>
      <c r="G801" s="49" t="str">
        <f t="shared" si="1"/>
        <v>21510</v>
      </c>
      <c r="H801" s="49">
        <f t="shared" si="2"/>
        <v>21052</v>
      </c>
    </row>
    <row r="802">
      <c r="A802" s="48" t="s">
        <v>1634</v>
      </c>
      <c r="B802" s="38">
        <v>64110.0</v>
      </c>
      <c r="C802" s="38" t="s">
        <v>1723</v>
      </c>
      <c r="D802" s="38" t="str">
        <f>IFERROR(__xludf.DUMMYFUNCTION("REGEXREPLACE(C802,""-\d+(.*)|--\d+(.*)"","""")"),"BEOST")</f>
        <v>BEOST</v>
      </c>
      <c r="E802" s="38" t="s">
        <v>268</v>
      </c>
      <c r="F802" s="38" t="s">
        <v>252</v>
      </c>
      <c r="G802" s="49" t="str">
        <f t="shared" si="1"/>
        <v>64440</v>
      </c>
      <c r="H802" s="49">
        <f t="shared" si="2"/>
        <v>64110</v>
      </c>
    </row>
    <row r="803">
      <c r="A803" s="48" t="s">
        <v>1724</v>
      </c>
      <c r="B803" s="38">
        <v>26179.0</v>
      </c>
      <c r="C803" s="38" t="s">
        <v>1725</v>
      </c>
      <c r="D803" s="38" t="str">
        <f>IFERROR(__xludf.DUMMYFUNCTION("REGEXREPLACE(C803,""-\d+(.*)|--\d+(.*)"","""")"),"MERCUROL")</f>
        <v>MERCUROL</v>
      </c>
      <c r="E803" s="38" t="s">
        <v>126</v>
      </c>
      <c r="F803" s="38" t="s">
        <v>102</v>
      </c>
      <c r="G803" s="49" t="str">
        <f t="shared" si="1"/>
        <v>26600</v>
      </c>
      <c r="H803" s="49">
        <f t="shared" si="2"/>
        <v>26179</v>
      </c>
    </row>
    <row r="804">
      <c r="A804" s="48" t="s">
        <v>1726</v>
      </c>
      <c r="B804" s="38">
        <v>14554.0</v>
      </c>
      <c r="C804" s="38" t="s">
        <v>1727</v>
      </c>
      <c r="D804" s="38" t="str">
        <f>IFERROR(__xludf.DUMMYFUNCTION("REGEXREPLACE(C804,""-\d+(.*)|--\d+(.*)"","""")"),"SAINT-AIGNAN-DE-CRAMESNIL")</f>
        <v>SAINT-AIGNAN-DE-CRAMESNIL</v>
      </c>
      <c r="E804" s="38" t="s">
        <v>137</v>
      </c>
      <c r="F804" s="38" t="s">
        <v>138</v>
      </c>
      <c r="G804" s="49" t="str">
        <f t="shared" si="1"/>
        <v>14540</v>
      </c>
      <c r="H804" s="49">
        <f t="shared" si="2"/>
        <v>14554</v>
      </c>
    </row>
    <row r="805">
      <c r="A805" s="48" t="s">
        <v>1728</v>
      </c>
      <c r="B805" s="38">
        <v>45139.0</v>
      </c>
      <c r="C805" s="38" t="s">
        <v>1729</v>
      </c>
      <c r="D805" s="38" t="str">
        <f>IFERROR(__xludf.DUMMYFUNCTION("REGEXREPLACE(C805,""-\d+(.*)|--\d+(.*)"","""")"),"ESTOUY")</f>
        <v>ESTOUY</v>
      </c>
      <c r="E805" s="38" t="s">
        <v>122</v>
      </c>
      <c r="F805" s="38" t="s">
        <v>123</v>
      </c>
      <c r="G805" s="49" t="str">
        <f t="shared" si="1"/>
        <v>45300</v>
      </c>
      <c r="H805" s="49">
        <f t="shared" si="2"/>
        <v>45139</v>
      </c>
    </row>
    <row r="806">
      <c r="A806" s="48" t="s">
        <v>388</v>
      </c>
      <c r="B806" s="38">
        <v>19083.0</v>
      </c>
      <c r="C806" s="38" t="s">
        <v>1730</v>
      </c>
      <c r="D806" s="38" t="str">
        <f>IFERROR(__xludf.DUMMYFUNCTION("REGEXREPLACE(C806,""-\d+(.*)|--\d+(.*)"","""")"),"FEYT")</f>
        <v>FEYT</v>
      </c>
      <c r="E806" s="38" t="s">
        <v>271</v>
      </c>
      <c r="F806" s="38" t="s">
        <v>98</v>
      </c>
      <c r="G806" s="49" t="str">
        <f t="shared" si="1"/>
        <v>19340</v>
      </c>
      <c r="H806" s="49">
        <f t="shared" si="2"/>
        <v>19083</v>
      </c>
    </row>
    <row r="807">
      <c r="A807" s="48" t="s">
        <v>1731</v>
      </c>
      <c r="B807" s="38">
        <v>38282.0</v>
      </c>
      <c r="C807" s="38" t="s">
        <v>1732</v>
      </c>
      <c r="D807" s="38" t="str">
        <f>IFERROR(__xludf.DUMMYFUNCTION("REGEXREPLACE(C807,""-\d+(.*)|--\d+(.*)"","""")"),"OPTEVOZ")</f>
        <v>OPTEVOZ</v>
      </c>
      <c r="E807" s="38" t="s">
        <v>101</v>
      </c>
      <c r="F807" s="38" t="s">
        <v>102</v>
      </c>
      <c r="G807" s="49" t="str">
        <f t="shared" si="1"/>
        <v>38460</v>
      </c>
      <c r="H807" s="49">
        <f t="shared" si="2"/>
        <v>38282</v>
      </c>
    </row>
    <row r="808">
      <c r="A808" s="48" t="s">
        <v>1733</v>
      </c>
      <c r="B808" s="38">
        <v>23066.0</v>
      </c>
      <c r="C808" s="38" t="s">
        <v>1734</v>
      </c>
      <c r="D808" s="38" t="str">
        <f>IFERROR(__xludf.DUMMYFUNCTION("REGEXREPLACE(C808,""-\d+(.*)|--\d+(.*)"","""")"),"LE COMPAS")</f>
        <v>LE COMPAS</v>
      </c>
      <c r="E808" s="38" t="s">
        <v>97</v>
      </c>
      <c r="F808" s="38" t="s">
        <v>98</v>
      </c>
      <c r="G808" s="49" t="str">
        <f t="shared" si="1"/>
        <v>23700</v>
      </c>
      <c r="H808" s="49">
        <f t="shared" si="2"/>
        <v>23066</v>
      </c>
    </row>
    <row r="809">
      <c r="A809" s="48" t="s">
        <v>1735</v>
      </c>
      <c r="B809" s="38">
        <v>97362.0</v>
      </c>
      <c r="C809" s="38" t="s">
        <v>1736</v>
      </c>
      <c r="D809" s="38" t="str">
        <f>IFERROR(__xludf.DUMMYFUNCTION("REGEXREPLACE(C809,""-\d+(.*)|--\d+(.*)"","""")"),"PAPAICHTON")</f>
        <v>PAPAICHTON</v>
      </c>
      <c r="E809" s="38" t="s">
        <v>1737</v>
      </c>
      <c r="F809" s="38" t="s">
        <v>1737</v>
      </c>
      <c r="G809" s="49" t="str">
        <f t="shared" si="1"/>
        <v>97316</v>
      </c>
      <c r="H809" s="49">
        <f t="shared" si="2"/>
        <v>97362</v>
      </c>
    </row>
    <row r="810">
      <c r="A810" s="48" t="s">
        <v>1738</v>
      </c>
      <c r="B810" s="38">
        <v>33541.0</v>
      </c>
      <c r="C810" s="38" t="s">
        <v>1739</v>
      </c>
      <c r="D810" s="38" t="str">
        <f>IFERROR(__xludf.DUMMYFUNCTION("REGEXREPLACE(C810,""-\d+(.*)|--\d+(.*)"","""")"),"VENSAC")</f>
        <v>VENSAC</v>
      </c>
      <c r="E810" s="38" t="s">
        <v>462</v>
      </c>
      <c r="F810" s="38" t="s">
        <v>252</v>
      </c>
      <c r="G810" s="49" t="str">
        <f t="shared" si="1"/>
        <v>33590</v>
      </c>
      <c r="H810" s="49">
        <f t="shared" si="2"/>
        <v>33541</v>
      </c>
    </row>
    <row r="811">
      <c r="A811" s="48" t="s">
        <v>1740</v>
      </c>
      <c r="B811" s="38">
        <v>26310.0</v>
      </c>
      <c r="C811" s="38" t="s">
        <v>1741</v>
      </c>
      <c r="D811" s="38" t="str">
        <f>IFERROR(__xludf.DUMMYFUNCTION("REGEXREPLACE(C811,""-\d+(.*)|--\d+(.*)"","""")"),"SAINT-LAURENT-D'ONAY")</f>
        <v>SAINT-LAURENT-D'ONAY</v>
      </c>
      <c r="E811" s="38" t="s">
        <v>126</v>
      </c>
      <c r="F811" s="38" t="s">
        <v>102</v>
      </c>
      <c r="G811" s="49" t="str">
        <f t="shared" si="1"/>
        <v>26350</v>
      </c>
      <c r="H811" s="49">
        <f t="shared" si="2"/>
        <v>26310</v>
      </c>
    </row>
    <row r="812">
      <c r="A812" s="48" t="s">
        <v>1742</v>
      </c>
      <c r="B812" s="38">
        <v>21666.0</v>
      </c>
      <c r="C812" s="38" t="s">
        <v>1743</v>
      </c>
      <c r="D812" s="38" t="str">
        <f>IFERROR(__xludf.DUMMYFUNCTION("REGEXREPLACE(C812,""-\d+(.*)|--\d+(.*)"","""")"),"VERNOT")</f>
        <v>VERNOT</v>
      </c>
      <c r="E812" s="38" t="s">
        <v>105</v>
      </c>
      <c r="F812" s="38" t="s">
        <v>106</v>
      </c>
      <c r="G812" s="49" t="str">
        <f t="shared" si="1"/>
        <v>21120</v>
      </c>
      <c r="H812" s="49">
        <f t="shared" si="2"/>
        <v>21666</v>
      </c>
    </row>
    <row r="813">
      <c r="A813" s="48" t="s">
        <v>1744</v>
      </c>
      <c r="B813" s="38">
        <v>31444.0</v>
      </c>
      <c r="C813" s="38" t="s">
        <v>1745</v>
      </c>
      <c r="D813" s="38" t="str">
        <f>IFERROR(__xludf.DUMMYFUNCTION("REGEXREPLACE(C813,""-\d+(.*)|--\d+(.*)"","""")"),"PUYSSEGUR")</f>
        <v>PUYSSEGUR</v>
      </c>
      <c r="E813" s="38" t="s">
        <v>93</v>
      </c>
      <c r="F813" s="38" t="s">
        <v>94</v>
      </c>
      <c r="G813" s="49" t="str">
        <f t="shared" si="1"/>
        <v>31480</v>
      </c>
      <c r="H813" s="49">
        <f t="shared" si="2"/>
        <v>31444</v>
      </c>
    </row>
    <row r="814">
      <c r="A814" s="48" t="s">
        <v>1746</v>
      </c>
      <c r="B814" s="38">
        <v>62147.0</v>
      </c>
      <c r="C814" s="38" t="s">
        <v>1747</v>
      </c>
      <c r="D814" s="38" t="str">
        <f>IFERROR(__xludf.DUMMYFUNCTION("REGEXREPLACE(C814,""-\d+(.*)|--\d+(.*)"","""")"),"BOIRY-SAINTE-RICTRUDE")</f>
        <v>BOIRY-SAINTE-RICTRUDE</v>
      </c>
      <c r="E814" s="38" t="s">
        <v>109</v>
      </c>
      <c r="F814" s="38" t="s">
        <v>86</v>
      </c>
      <c r="G814" s="49" t="str">
        <f t="shared" si="1"/>
        <v>62175</v>
      </c>
      <c r="H814" s="49">
        <f t="shared" si="2"/>
        <v>62147</v>
      </c>
    </row>
    <row r="815">
      <c r="A815" s="48" t="s">
        <v>1748</v>
      </c>
      <c r="B815" s="38">
        <v>30206.0</v>
      </c>
      <c r="C815" s="38" t="s">
        <v>1749</v>
      </c>
      <c r="D815" s="38" t="str">
        <f>IFERROR(__xludf.DUMMYFUNCTION("REGEXREPLACE(C815,""-\d+(.*)|--\d+(.*)"","""")"),"POULX")</f>
        <v>POULX</v>
      </c>
      <c r="E815" s="38" t="s">
        <v>526</v>
      </c>
      <c r="F815" s="38" t="s">
        <v>119</v>
      </c>
      <c r="G815" s="49" t="str">
        <f t="shared" si="1"/>
        <v>30320</v>
      </c>
      <c r="H815" s="49">
        <f t="shared" si="2"/>
        <v>30206</v>
      </c>
    </row>
    <row r="816">
      <c r="A816" s="48" t="s">
        <v>1750</v>
      </c>
      <c r="B816" s="38">
        <v>37059.0</v>
      </c>
      <c r="C816" s="38" t="s">
        <v>1751</v>
      </c>
      <c r="D816" s="38" t="str">
        <f>IFERROR(__xludf.DUMMYFUNCTION("REGEXREPLACE(C816,""-\d+(.*)|--\d+(.*)"","""")"),"CHARENTILLY")</f>
        <v>CHARENTILLY</v>
      </c>
      <c r="E816" s="38" t="s">
        <v>205</v>
      </c>
      <c r="F816" s="38" t="s">
        <v>123</v>
      </c>
      <c r="G816" s="49" t="str">
        <f t="shared" si="1"/>
        <v>37390</v>
      </c>
      <c r="H816" s="49">
        <f t="shared" si="2"/>
        <v>37059</v>
      </c>
    </row>
    <row r="817">
      <c r="A817" s="48" t="s">
        <v>1752</v>
      </c>
      <c r="B817" s="38">
        <v>49096.0</v>
      </c>
      <c r="C817" s="38" t="s">
        <v>1753</v>
      </c>
      <c r="D817" s="38" t="str">
        <f>IFERROR(__xludf.DUMMYFUNCTION("REGEXREPLACE(C817,""-\d+(.*)|--\d+(.*)"","""")"),"CHERRE")</f>
        <v>CHERRE</v>
      </c>
      <c r="E817" s="38" t="s">
        <v>653</v>
      </c>
      <c r="F817" s="38" t="s">
        <v>180</v>
      </c>
      <c r="G817" s="49" t="str">
        <f t="shared" si="1"/>
        <v>49330</v>
      </c>
      <c r="H817" s="49">
        <f t="shared" si="2"/>
        <v>49096</v>
      </c>
    </row>
    <row r="818">
      <c r="A818" s="48" t="s">
        <v>1754</v>
      </c>
      <c r="B818" s="38">
        <v>14359.0</v>
      </c>
      <c r="C818" s="38" t="s">
        <v>1755</v>
      </c>
      <c r="D818" s="38" t="str">
        <f>IFERROR(__xludf.DUMMYFUNCTION("REGEXREPLACE(C818,""-\d+(.*)|--\d+(.*)"","""")"),"LECAUDE")</f>
        <v>LECAUDE</v>
      </c>
      <c r="E818" s="38" t="s">
        <v>137</v>
      </c>
      <c r="F818" s="38" t="s">
        <v>138</v>
      </c>
      <c r="G818" s="49" t="str">
        <f t="shared" si="1"/>
        <v>14140</v>
      </c>
      <c r="H818" s="49">
        <f t="shared" si="2"/>
        <v>14359</v>
      </c>
    </row>
    <row r="819">
      <c r="A819" s="48" t="s">
        <v>1756</v>
      </c>
      <c r="B819" s="38">
        <v>28032.0</v>
      </c>
      <c r="C819" s="38" t="s">
        <v>1757</v>
      </c>
      <c r="D819" s="38" t="str">
        <f>IFERROR(__xludf.DUMMYFUNCTION("REGEXREPLACE(C819,""-\d+(.*)|--\d+(.*)"","""")"),"BEAUVILLIERS")</f>
        <v>BEAUVILLIERS</v>
      </c>
      <c r="E819" s="38" t="s">
        <v>300</v>
      </c>
      <c r="F819" s="38" t="s">
        <v>123</v>
      </c>
      <c r="G819" s="49" t="str">
        <f t="shared" si="1"/>
        <v>28150</v>
      </c>
      <c r="H819" s="49">
        <f t="shared" si="2"/>
        <v>28032</v>
      </c>
    </row>
    <row r="820">
      <c r="A820" s="48" t="s">
        <v>1758</v>
      </c>
      <c r="B820" s="38">
        <v>65145.0</v>
      </c>
      <c r="C820" s="38" t="s">
        <v>1759</v>
      </c>
      <c r="D820" s="38" t="str">
        <f>IFERROR(__xludf.DUMMYFUNCTION("REGEXREPLACE(C820,""-\d+(.*)|--\d+(.*)"","""")"),"CHEZE")</f>
        <v>CHEZE</v>
      </c>
      <c r="E820" s="38" t="s">
        <v>200</v>
      </c>
      <c r="F820" s="38" t="s">
        <v>94</v>
      </c>
      <c r="G820" s="49" t="str">
        <f t="shared" si="1"/>
        <v>65120</v>
      </c>
      <c r="H820" s="49">
        <f t="shared" si="2"/>
        <v>65145</v>
      </c>
    </row>
    <row r="821">
      <c r="A821" s="48" t="s">
        <v>1760</v>
      </c>
      <c r="B821" s="38" t="s">
        <v>1761</v>
      </c>
      <c r="C821" s="38" t="s">
        <v>1762</v>
      </c>
      <c r="D821" s="38" t="str">
        <f>IFERROR(__xludf.DUMMYFUNCTION("REGEXREPLACE(C821,""-\d+(.*)|--\d+(.*)"","""")"),"POGGIO-D'OLETTA")</f>
        <v>POGGIO-D'OLETTA</v>
      </c>
      <c r="E821" s="38" t="s">
        <v>743</v>
      </c>
      <c r="F821" s="38" t="s">
        <v>607</v>
      </c>
      <c r="G821" s="49" t="str">
        <f t="shared" si="1"/>
        <v>20232</v>
      </c>
      <c r="H821" s="49" t="str">
        <f t="shared" si="2"/>
        <v>2B239</v>
      </c>
    </row>
    <row r="822">
      <c r="A822" s="48" t="s">
        <v>1763</v>
      </c>
      <c r="B822" s="38">
        <v>76069.0</v>
      </c>
      <c r="C822" s="38" t="s">
        <v>1764</v>
      </c>
      <c r="D822" s="38" t="str">
        <f>IFERROR(__xludf.DUMMYFUNCTION("REGEXREPLACE(C822,""-\d+(.*)|--\d+(.*)"","""")"),"BELBEUF")</f>
        <v>BELBEUF</v>
      </c>
      <c r="E822" s="38" t="s">
        <v>133</v>
      </c>
      <c r="F822" s="38" t="s">
        <v>134</v>
      </c>
      <c r="G822" s="49" t="str">
        <f t="shared" si="1"/>
        <v>76240</v>
      </c>
      <c r="H822" s="49">
        <f t="shared" si="2"/>
        <v>76069</v>
      </c>
    </row>
    <row r="823">
      <c r="A823" s="48" t="s">
        <v>239</v>
      </c>
      <c r="B823" s="38">
        <v>27354.0</v>
      </c>
      <c r="C823" s="38" t="s">
        <v>1765</v>
      </c>
      <c r="D823" s="38" t="str">
        <f>IFERROR(__xludf.DUMMYFUNCTION("REGEXREPLACE(C823,""-\d+(.*)|--\d+(.*)"","""")"),"IVILLE")</f>
        <v>IVILLE</v>
      </c>
      <c r="E823" s="38" t="s">
        <v>241</v>
      </c>
      <c r="F823" s="38" t="s">
        <v>134</v>
      </c>
      <c r="G823" s="49" t="str">
        <f t="shared" si="1"/>
        <v>27110</v>
      </c>
      <c r="H823" s="49">
        <f t="shared" si="2"/>
        <v>27354</v>
      </c>
    </row>
    <row r="824">
      <c r="A824" s="48" t="s">
        <v>1766</v>
      </c>
      <c r="B824" s="38">
        <v>2333.0</v>
      </c>
      <c r="C824" s="38" t="s">
        <v>1767</v>
      </c>
      <c r="D824" s="38" t="str">
        <f>IFERROR(__xludf.DUMMYFUNCTION("REGEXREPLACE(C824,""-\d+(.*)|--\d+(.*)"","""")"),"FRESNES")</f>
        <v>FRESNES</v>
      </c>
      <c r="E824" s="38" t="s">
        <v>191</v>
      </c>
      <c r="F824" s="38" t="s">
        <v>113</v>
      </c>
      <c r="G824" s="49" t="str">
        <f t="shared" si="1"/>
        <v>02380</v>
      </c>
      <c r="H824" s="49" t="str">
        <f t="shared" si="2"/>
        <v>02333</v>
      </c>
    </row>
    <row r="825">
      <c r="A825" s="48" t="s">
        <v>1768</v>
      </c>
      <c r="B825" s="38">
        <v>53218.0</v>
      </c>
      <c r="C825" s="38" t="s">
        <v>1769</v>
      </c>
      <c r="D825" s="38" t="str">
        <f>IFERROR(__xludf.DUMMYFUNCTION("REGEXREPLACE(C825,""-\d+(.*)|--\d+(.*)"","""")"),"SAINTE-GEMMES-LE-ROBERT")</f>
        <v>SAINTE-GEMMES-LE-ROBERT</v>
      </c>
      <c r="E825" s="38" t="s">
        <v>518</v>
      </c>
      <c r="F825" s="38" t="s">
        <v>180</v>
      </c>
      <c r="G825" s="49" t="str">
        <f t="shared" si="1"/>
        <v>53600</v>
      </c>
      <c r="H825" s="49">
        <f t="shared" si="2"/>
        <v>53218</v>
      </c>
    </row>
    <row r="826">
      <c r="A826" s="48" t="s">
        <v>1770</v>
      </c>
      <c r="B826" s="38">
        <v>57701.0</v>
      </c>
      <c r="C826" s="38" t="s">
        <v>1771</v>
      </c>
      <c r="D826" s="38" t="str">
        <f>IFERROR(__xludf.DUMMYFUNCTION("REGEXREPLACE(C826,""-\d+(.*)|--\d+(.*)"","""")"),"VAUX")</f>
        <v>VAUX</v>
      </c>
      <c r="E826" s="38" t="s">
        <v>303</v>
      </c>
      <c r="F826" s="38" t="s">
        <v>195</v>
      </c>
      <c r="G826" s="49" t="str">
        <f t="shared" si="1"/>
        <v>57130</v>
      </c>
      <c r="H826" s="49">
        <f t="shared" si="2"/>
        <v>57701</v>
      </c>
    </row>
    <row r="827">
      <c r="A827" s="48" t="s">
        <v>1772</v>
      </c>
      <c r="B827" s="38">
        <v>53247.0</v>
      </c>
      <c r="C827" s="38" t="s">
        <v>1773</v>
      </c>
      <c r="D827" s="38" t="str">
        <f>IFERROR(__xludf.DUMMYFUNCTION("REGEXREPLACE(C827,""-\d+(.*)|--\d+(.*)"","""")"),"SAINT-PIERRE-LA-COUR")</f>
        <v>SAINT-PIERRE-LA-COUR</v>
      </c>
      <c r="E827" s="38" t="s">
        <v>518</v>
      </c>
      <c r="F827" s="38" t="s">
        <v>180</v>
      </c>
      <c r="G827" s="49" t="str">
        <f t="shared" si="1"/>
        <v>53410</v>
      </c>
      <c r="H827" s="49">
        <f t="shared" si="2"/>
        <v>53247</v>
      </c>
    </row>
    <row r="828">
      <c r="A828" s="48" t="s">
        <v>1774</v>
      </c>
      <c r="B828" s="38">
        <v>28080.0</v>
      </c>
      <c r="C828" s="38" t="s">
        <v>1775</v>
      </c>
      <c r="D828" s="38" t="str">
        <f>IFERROR(__xludf.DUMMYFUNCTION("REGEXREPLACE(C828,""-\d+(.*)|--\d+(.*)"","""")"),"CHARBONNIERES")</f>
        <v>CHARBONNIERES</v>
      </c>
      <c r="E828" s="38" t="s">
        <v>300</v>
      </c>
      <c r="F828" s="38" t="s">
        <v>123</v>
      </c>
      <c r="G828" s="49" t="str">
        <f t="shared" si="1"/>
        <v>28330</v>
      </c>
      <c r="H828" s="49">
        <f t="shared" si="2"/>
        <v>28080</v>
      </c>
    </row>
    <row r="829">
      <c r="A829" s="48" t="s">
        <v>309</v>
      </c>
      <c r="B829" s="38">
        <v>48085.0</v>
      </c>
      <c r="C829" s="38" t="s">
        <v>1776</v>
      </c>
      <c r="D829" s="38" t="str">
        <f>IFERROR(__xludf.DUMMYFUNCTION("REGEXREPLACE(C829,""-\d+(.*)|--\d+(.*)"","""")"),"LAVAL-DU-TARN")</f>
        <v>LAVAL-DU-TARN</v>
      </c>
      <c r="E829" s="38" t="s">
        <v>154</v>
      </c>
      <c r="F829" s="38" t="s">
        <v>119</v>
      </c>
      <c r="G829" s="49" t="str">
        <f t="shared" si="1"/>
        <v>48500</v>
      </c>
      <c r="H829" s="49">
        <f t="shared" si="2"/>
        <v>48085</v>
      </c>
    </row>
    <row r="830">
      <c r="A830" s="48" t="s">
        <v>1777</v>
      </c>
      <c r="B830" s="38">
        <v>10204.0</v>
      </c>
      <c r="C830" s="38" t="s">
        <v>1778</v>
      </c>
      <c r="D830" s="38" t="str">
        <f>IFERROR(__xludf.DUMMYFUNCTION("REGEXREPLACE(C830,""-\d+(.*)|--\d+(.*)"","""")"),"LONGEVILLE-SUR-MOGNE")</f>
        <v>LONGEVILLE-SUR-MOGNE</v>
      </c>
      <c r="E830" s="38" t="s">
        <v>147</v>
      </c>
      <c r="F830" s="38" t="s">
        <v>130</v>
      </c>
      <c r="G830" s="49" t="str">
        <f t="shared" si="1"/>
        <v>10320</v>
      </c>
      <c r="H830" s="49">
        <f t="shared" si="2"/>
        <v>10204</v>
      </c>
    </row>
    <row r="831">
      <c r="A831" s="48" t="s">
        <v>1779</v>
      </c>
      <c r="B831" s="38">
        <v>90017.0</v>
      </c>
      <c r="C831" s="38" t="s">
        <v>1780</v>
      </c>
      <c r="D831" s="38" t="str">
        <f>IFERROR(__xludf.DUMMYFUNCTION("REGEXREPLACE(C831,""-\d+(.*)|--\d+(.*)"","""")"),"BOUROGNE")</f>
        <v>BOUROGNE</v>
      </c>
      <c r="E831" s="38" t="s">
        <v>1283</v>
      </c>
      <c r="F831" s="38" t="s">
        <v>214</v>
      </c>
      <c r="G831" s="49" t="str">
        <f t="shared" si="1"/>
        <v>90140</v>
      </c>
      <c r="H831" s="49">
        <f t="shared" si="2"/>
        <v>90017</v>
      </c>
    </row>
    <row r="832">
      <c r="A832" s="48" t="s">
        <v>1781</v>
      </c>
      <c r="B832" s="38">
        <v>27608.0</v>
      </c>
      <c r="C832" s="38" t="s">
        <v>1782</v>
      </c>
      <c r="D832" s="38" t="str">
        <f>IFERROR(__xludf.DUMMYFUNCTION("REGEXREPLACE(C832,""-\d+(.*)|--\d+(.*)"","""")"),"SAINT-VICTOR-DE-CHRETIENVILLE")</f>
        <v>SAINT-VICTOR-DE-CHRETIENVILLE</v>
      </c>
      <c r="E832" s="38" t="s">
        <v>241</v>
      </c>
      <c r="F832" s="38" t="s">
        <v>134</v>
      </c>
      <c r="G832" s="49" t="str">
        <f t="shared" si="1"/>
        <v>27300</v>
      </c>
      <c r="H832" s="49">
        <f t="shared" si="2"/>
        <v>27608</v>
      </c>
    </row>
    <row r="833">
      <c r="A833" s="48" t="s">
        <v>1783</v>
      </c>
      <c r="B833" s="38">
        <v>60314.0</v>
      </c>
      <c r="C833" s="38" t="s">
        <v>1784</v>
      </c>
      <c r="D833" s="38" t="str">
        <f>IFERROR(__xludf.DUMMYFUNCTION("REGEXREPLACE(C833,""-\d+(.*)|--\d+(.*)"","""")"),"HETOMESNIL")</f>
        <v>HETOMESNIL</v>
      </c>
      <c r="E833" s="38" t="s">
        <v>112</v>
      </c>
      <c r="F833" s="38" t="s">
        <v>113</v>
      </c>
      <c r="G833" s="49" t="str">
        <f t="shared" si="1"/>
        <v>60360</v>
      </c>
      <c r="H833" s="49">
        <f t="shared" si="2"/>
        <v>60314</v>
      </c>
    </row>
    <row r="834">
      <c r="A834" s="48" t="s">
        <v>1785</v>
      </c>
      <c r="B834" s="38">
        <v>42192.0</v>
      </c>
      <c r="C834" s="38" t="s">
        <v>1786</v>
      </c>
      <c r="D834" s="38" t="str">
        <f>IFERROR(__xludf.DUMMYFUNCTION("REGEXREPLACE(C834,""-\d+(.*)|--\d+(.*)"","""")"),"ROZIER-COTES-D'AUREC")</f>
        <v>ROZIER-COTES-D'AUREC</v>
      </c>
      <c r="E834" s="38" t="s">
        <v>166</v>
      </c>
      <c r="F834" s="38" t="s">
        <v>102</v>
      </c>
      <c r="G834" s="49" t="str">
        <f t="shared" si="1"/>
        <v>42380</v>
      </c>
      <c r="H834" s="49">
        <f t="shared" si="2"/>
        <v>42192</v>
      </c>
    </row>
    <row r="835">
      <c r="A835" s="48" t="s">
        <v>1787</v>
      </c>
      <c r="B835" s="38">
        <v>62569.0</v>
      </c>
      <c r="C835" s="38" t="s">
        <v>1788</v>
      </c>
      <c r="D835" s="38" t="str">
        <f>IFERROR(__xludf.DUMMYFUNCTION("REGEXREPLACE(C835,""-\d+(.*)|--\d+(.*)"","""")"),"MERCK-SAINT-LIEVIN")</f>
        <v>MERCK-SAINT-LIEVIN</v>
      </c>
      <c r="E835" s="38" t="s">
        <v>109</v>
      </c>
      <c r="F835" s="38" t="s">
        <v>86</v>
      </c>
      <c r="G835" s="49" t="str">
        <f t="shared" si="1"/>
        <v>62560</v>
      </c>
      <c r="H835" s="49">
        <f t="shared" si="2"/>
        <v>62569</v>
      </c>
    </row>
    <row r="836">
      <c r="A836" s="48" t="s">
        <v>325</v>
      </c>
      <c r="B836" s="38">
        <v>8465.0</v>
      </c>
      <c r="C836" s="38" t="s">
        <v>1789</v>
      </c>
      <c r="D836" s="38" t="str">
        <f>IFERROR(__xludf.DUMMYFUNCTION("REGEXREPLACE(C836,""-\d+(.*)|--\d+(.*)"","""")"),"VAUX-LES-RUBIGNY")</f>
        <v>VAUX-LES-RUBIGNY</v>
      </c>
      <c r="E836" s="38" t="s">
        <v>327</v>
      </c>
      <c r="F836" s="38" t="s">
        <v>130</v>
      </c>
      <c r="G836" s="49" t="str">
        <f t="shared" si="1"/>
        <v>08220</v>
      </c>
      <c r="H836" s="49" t="str">
        <f t="shared" si="2"/>
        <v>08465</v>
      </c>
    </row>
    <row r="837">
      <c r="A837" s="48" t="s">
        <v>1790</v>
      </c>
      <c r="B837" s="38">
        <v>67074.0</v>
      </c>
      <c r="C837" s="38" t="s">
        <v>1791</v>
      </c>
      <c r="D837" s="38" t="str">
        <f>IFERROR(__xludf.DUMMYFUNCTION("REGEXREPLACE(C837,""-\d+(.*)|--\d+(.*)"","""")"),"CLEEBOURG")</f>
        <v>CLEEBOURG</v>
      </c>
      <c r="E837" s="38" t="s">
        <v>210</v>
      </c>
      <c r="F837" s="38" t="s">
        <v>151</v>
      </c>
      <c r="G837" s="49" t="str">
        <f t="shared" si="1"/>
        <v>67160</v>
      </c>
      <c r="H837" s="49">
        <f t="shared" si="2"/>
        <v>67074</v>
      </c>
    </row>
    <row r="838">
      <c r="A838" s="48" t="s">
        <v>1792</v>
      </c>
      <c r="B838" s="38">
        <v>1216.0</v>
      </c>
      <c r="C838" s="38" t="s">
        <v>1793</v>
      </c>
      <c r="D838" s="38" t="str">
        <f>IFERROR(__xludf.DUMMYFUNCTION("REGEXREPLACE(C838,""-\d+(.*)|--\d+(.*)"","""")"),"LHUIS")</f>
        <v>LHUIS</v>
      </c>
      <c r="E838" s="38" t="s">
        <v>255</v>
      </c>
      <c r="F838" s="38" t="s">
        <v>102</v>
      </c>
      <c r="G838" s="49" t="str">
        <f t="shared" si="1"/>
        <v>01680</v>
      </c>
      <c r="H838" s="49" t="str">
        <f t="shared" si="2"/>
        <v>01216</v>
      </c>
    </row>
    <row r="839">
      <c r="A839" s="48" t="s">
        <v>1794</v>
      </c>
      <c r="B839" s="38">
        <v>64238.0</v>
      </c>
      <c r="C839" s="38" t="s">
        <v>1795</v>
      </c>
      <c r="D839" s="38" t="str">
        <f>IFERROR(__xludf.DUMMYFUNCTION("REGEXREPLACE(C839,""-\d+(.*)|--\d+(.*)"","""")"),"GER")</f>
        <v>GER</v>
      </c>
      <c r="E839" s="38" t="s">
        <v>268</v>
      </c>
      <c r="F839" s="38" t="s">
        <v>252</v>
      </c>
      <c r="G839" s="49" t="str">
        <f t="shared" si="1"/>
        <v>64530</v>
      </c>
      <c r="H839" s="49">
        <f t="shared" si="2"/>
        <v>64238</v>
      </c>
    </row>
    <row r="840">
      <c r="A840" s="48" t="s">
        <v>1796</v>
      </c>
      <c r="B840" s="38">
        <v>31306.0</v>
      </c>
      <c r="C840" s="38" t="s">
        <v>1797</v>
      </c>
      <c r="D840" s="38" t="str">
        <f>IFERROR(__xludf.DUMMYFUNCTION("REGEXREPLACE(C840,""-\d+(.*)|--\d+(.*)"","""")"),"LOURDE")</f>
        <v>LOURDE</v>
      </c>
      <c r="E840" s="38" t="s">
        <v>93</v>
      </c>
      <c r="F840" s="38" t="s">
        <v>94</v>
      </c>
      <c r="G840" s="49" t="str">
        <f t="shared" si="1"/>
        <v>31510</v>
      </c>
      <c r="H840" s="49">
        <f t="shared" si="2"/>
        <v>31306</v>
      </c>
    </row>
    <row r="841">
      <c r="A841" s="48" t="s">
        <v>1798</v>
      </c>
      <c r="B841" s="38">
        <v>28271.0</v>
      </c>
      <c r="C841" s="38" t="s">
        <v>1799</v>
      </c>
      <c r="D841" s="38" t="str">
        <f>IFERROR(__xludf.DUMMYFUNCTION("REGEXREPLACE(C841,""-\d+(.*)|--\d+(.*)"","""")"),"MORVILLIERS")</f>
        <v>MORVILLIERS</v>
      </c>
      <c r="E841" s="38" t="s">
        <v>300</v>
      </c>
      <c r="F841" s="38" t="s">
        <v>123</v>
      </c>
      <c r="G841" s="49" t="str">
        <f t="shared" si="1"/>
        <v>28340</v>
      </c>
      <c r="H841" s="49">
        <f t="shared" si="2"/>
        <v>28271</v>
      </c>
    </row>
    <row r="842">
      <c r="A842" s="48" t="s">
        <v>1800</v>
      </c>
      <c r="B842" s="38">
        <v>88243.0</v>
      </c>
      <c r="C842" s="38" t="s">
        <v>1801</v>
      </c>
      <c r="D842" s="38" t="str">
        <f>IFERROR(__xludf.DUMMYFUNCTION("REGEXREPLACE(C842,""-\d+(.*)|--\d+(.*)"","""")"),"HOUSSERAS")</f>
        <v>HOUSSERAS</v>
      </c>
      <c r="E842" s="38" t="s">
        <v>194</v>
      </c>
      <c r="F842" s="38" t="s">
        <v>195</v>
      </c>
      <c r="G842" s="49" t="str">
        <f t="shared" si="1"/>
        <v>88700</v>
      </c>
      <c r="H842" s="49">
        <f t="shared" si="2"/>
        <v>88243</v>
      </c>
    </row>
    <row r="843">
      <c r="A843" s="48" t="s">
        <v>1802</v>
      </c>
      <c r="B843" s="38">
        <v>53134.0</v>
      </c>
      <c r="C843" s="38" t="s">
        <v>1803</v>
      </c>
      <c r="D843" s="38" t="str">
        <f>IFERROR(__xludf.DUMMYFUNCTION("REGEXREPLACE(C843,""-\d+(.*)|--\d+(.*)"","""")"),"LIVET")</f>
        <v>LIVET</v>
      </c>
      <c r="E843" s="38" t="s">
        <v>518</v>
      </c>
      <c r="F843" s="38" t="s">
        <v>180</v>
      </c>
      <c r="G843" s="49" t="str">
        <f t="shared" si="1"/>
        <v>53150</v>
      </c>
      <c r="H843" s="49">
        <f t="shared" si="2"/>
        <v>53134</v>
      </c>
    </row>
    <row r="844">
      <c r="A844" s="48" t="s">
        <v>1804</v>
      </c>
      <c r="B844" s="38">
        <v>78108.0</v>
      </c>
      <c r="C844" s="38" t="s">
        <v>1805</v>
      </c>
      <c r="D844" s="38" t="str">
        <f>IFERROR(__xludf.DUMMYFUNCTION("REGEXREPLACE(C844,""-\d+(.*)|--\d+(.*)"","""")"),"LES BREVIAIRES")</f>
        <v>LES BREVIAIRES</v>
      </c>
      <c r="E844" s="38" t="s">
        <v>362</v>
      </c>
      <c r="F844" s="38" t="s">
        <v>245</v>
      </c>
      <c r="G844" s="49" t="str">
        <f t="shared" si="1"/>
        <v>78610</v>
      </c>
      <c r="H844" s="49">
        <f t="shared" si="2"/>
        <v>78108</v>
      </c>
    </row>
    <row r="845">
      <c r="A845" s="48" t="s">
        <v>1806</v>
      </c>
      <c r="B845" s="38">
        <v>90094.0</v>
      </c>
      <c r="C845" s="38" t="s">
        <v>1807</v>
      </c>
      <c r="D845" s="38" t="str">
        <f>IFERROR(__xludf.DUMMYFUNCTION("REGEXREPLACE(C845,""-\d+(.*)|--\d+(.*)"","""")"),"SEVENANS")</f>
        <v>SEVENANS</v>
      </c>
      <c r="E845" s="38" t="s">
        <v>1283</v>
      </c>
      <c r="F845" s="38" t="s">
        <v>214</v>
      </c>
      <c r="G845" s="49" t="str">
        <f t="shared" si="1"/>
        <v>90400</v>
      </c>
      <c r="H845" s="49">
        <f t="shared" si="2"/>
        <v>90094</v>
      </c>
    </row>
    <row r="846">
      <c r="A846" s="48" t="s">
        <v>1808</v>
      </c>
      <c r="B846" s="38">
        <v>93015.0</v>
      </c>
      <c r="C846" s="38" t="s">
        <v>1809</v>
      </c>
      <c r="D846" s="38" t="str">
        <f>IFERROR(__xludf.DUMMYFUNCTION("REGEXREPLACE(C846,""-\d+(.*)|--\d+(.*)"","""")"),"COUBRON")</f>
        <v>COUBRON</v>
      </c>
      <c r="E846" s="38" t="s">
        <v>341</v>
      </c>
      <c r="F846" s="38" t="s">
        <v>245</v>
      </c>
      <c r="G846" s="49" t="str">
        <f t="shared" si="1"/>
        <v>93470</v>
      </c>
      <c r="H846" s="49">
        <f t="shared" si="2"/>
        <v>93015</v>
      </c>
    </row>
    <row r="847">
      <c r="A847" s="48" t="s">
        <v>1810</v>
      </c>
      <c r="B847" s="38">
        <v>23105.0</v>
      </c>
      <c r="C847" s="38" t="s">
        <v>1811</v>
      </c>
      <c r="D847" s="38" t="str">
        <f>IFERROR(__xludf.DUMMYFUNCTION("REGEXREPLACE(C847,""-\d+(.*)|--\d+(.*)"","""")"),"LAVAVEIX-LES-MINES")</f>
        <v>LAVAVEIX-LES-MINES</v>
      </c>
      <c r="E847" s="38" t="s">
        <v>97</v>
      </c>
      <c r="F847" s="38" t="s">
        <v>98</v>
      </c>
      <c r="G847" s="49" t="str">
        <f t="shared" si="1"/>
        <v>23150</v>
      </c>
      <c r="H847" s="49">
        <f t="shared" si="2"/>
        <v>23105</v>
      </c>
    </row>
    <row r="848">
      <c r="A848" s="48" t="s">
        <v>1812</v>
      </c>
      <c r="B848" s="38">
        <v>51378.0</v>
      </c>
      <c r="C848" s="38" t="s">
        <v>1813</v>
      </c>
      <c r="D848" s="38" t="str">
        <f>IFERROR(__xludf.DUMMYFUNCTION("REGEXREPLACE(C848,""-\d+(.*)|--\d+(.*)"","""")"),"MONTHELON")</f>
        <v>MONTHELON</v>
      </c>
      <c r="E848" s="38" t="s">
        <v>129</v>
      </c>
      <c r="F848" s="38" t="s">
        <v>130</v>
      </c>
      <c r="G848" s="49" t="str">
        <f t="shared" si="1"/>
        <v>51530</v>
      </c>
      <c r="H848" s="49">
        <f t="shared" si="2"/>
        <v>51378</v>
      </c>
    </row>
    <row r="849">
      <c r="A849" s="48" t="s">
        <v>1814</v>
      </c>
      <c r="B849" s="38">
        <v>91657.0</v>
      </c>
      <c r="C849" s="38" t="s">
        <v>1815</v>
      </c>
      <c r="D849" s="38" t="str">
        <f>IFERROR(__xludf.DUMMYFUNCTION("REGEXREPLACE(C849,""-\d+(.*)|--\d+(.*)"","""")"),"VIGNEUX-SUR-SEINE")</f>
        <v>VIGNEUX-SUR-SEINE</v>
      </c>
      <c r="E849" s="38" t="s">
        <v>756</v>
      </c>
      <c r="F849" s="38" t="s">
        <v>245</v>
      </c>
      <c r="G849" s="49" t="str">
        <f t="shared" si="1"/>
        <v>91270</v>
      </c>
      <c r="H849" s="49">
        <f t="shared" si="2"/>
        <v>91657</v>
      </c>
    </row>
    <row r="850">
      <c r="A850" s="48" t="s">
        <v>566</v>
      </c>
      <c r="B850" s="38">
        <v>23242.0</v>
      </c>
      <c r="C850" s="38" t="s">
        <v>1816</v>
      </c>
      <c r="D850" s="38" t="str">
        <f>IFERROR(__xludf.DUMMYFUNCTION("REGEXREPLACE(C850,""-\d+(.*)|--\d+(.*)"","""")"),"SAINT-SILVAIN-MONTAIGUT")</f>
        <v>SAINT-SILVAIN-MONTAIGUT</v>
      </c>
      <c r="E850" s="38" t="s">
        <v>97</v>
      </c>
      <c r="F850" s="38" t="s">
        <v>98</v>
      </c>
      <c r="G850" s="49" t="str">
        <f t="shared" si="1"/>
        <v>23320</v>
      </c>
      <c r="H850" s="49">
        <f t="shared" si="2"/>
        <v>23242</v>
      </c>
    </row>
    <row r="851">
      <c r="A851" s="48" t="s">
        <v>1817</v>
      </c>
      <c r="B851" s="38">
        <v>31368.0</v>
      </c>
      <c r="C851" s="38" t="s">
        <v>1818</v>
      </c>
      <c r="D851" s="38" t="str">
        <f>IFERROR(__xludf.DUMMYFUNCTION("REGEXREPLACE(C851,""-\d+(.*)|--\d+(.*)"","""")"),"MONTCLAR-LAURAGAIS")</f>
        <v>MONTCLAR-LAURAGAIS</v>
      </c>
      <c r="E851" s="38" t="s">
        <v>93</v>
      </c>
      <c r="F851" s="38" t="s">
        <v>94</v>
      </c>
      <c r="G851" s="49" t="str">
        <f t="shared" si="1"/>
        <v>31290</v>
      </c>
      <c r="H851" s="49">
        <f t="shared" si="2"/>
        <v>31368</v>
      </c>
    </row>
    <row r="852">
      <c r="A852" s="48" t="s">
        <v>1819</v>
      </c>
      <c r="B852" s="38">
        <v>16157.0</v>
      </c>
      <c r="C852" s="38" t="s">
        <v>1820</v>
      </c>
      <c r="D852" s="38" t="str">
        <f>IFERROR(__xludf.DUMMYFUNCTION("REGEXREPLACE(C852,""-\d+(.*)|--\d+(.*)"","""")"),"LE GRAND-MADIEU")</f>
        <v>LE GRAND-MADIEU</v>
      </c>
      <c r="E852" s="38" t="s">
        <v>429</v>
      </c>
      <c r="F852" s="38" t="s">
        <v>338</v>
      </c>
      <c r="G852" s="49" t="str">
        <f t="shared" si="1"/>
        <v>16450</v>
      </c>
      <c r="H852" s="49">
        <f t="shared" si="2"/>
        <v>16157</v>
      </c>
    </row>
    <row r="853">
      <c r="A853" s="48" t="s">
        <v>1821</v>
      </c>
      <c r="B853" s="38">
        <v>3268.0</v>
      </c>
      <c r="C853" s="38" t="s">
        <v>1822</v>
      </c>
      <c r="D853" s="38" t="str">
        <f>IFERROR(__xludf.DUMMYFUNCTION("REGEXREPLACE(C853,""-\d+(.*)|--\d+(.*)"","""")"),"SAULZET")</f>
        <v>SAULZET</v>
      </c>
      <c r="E853" s="38" t="s">
        <v>160</v>
      </c>
      <c r="F853" s="38" t="s">
        <v>161</v>
      </c>
      <c r="G853" s="49" t="str">
        <f t="shared" si="1"/>
        <v>03800</v>
      </c>
      <c r="H853" s="49" t="str">
        <f t="shared" si="2"/>
        <v>03268</v>
      </c>
    </row>
    <row r="854">
      <c r="A854" s="48" t="s">
        <v>1823</v>
      </c>
      <c r="B854" s="38">
        <v>48016.0</v>
      </c>
      <c r="C854" s="38" t="s">
        <v>1824</v>
      </c>
      <c r="D854" s="38" t="str">
        <f>IFERROR(__xludf.DUMMYFUNCTION("REGEXREPLACE(C854,""-\d+(.*)|--\d+(.*)"","""")"),"BALSIEGES")</f>
        <v>BALSIEGES</v>
      </c>
      <c r="E854" s="38" t="s">
        <v>154</v>
      </c>
      <c r="F854" s="38" t="s">
        <v>119</v>
      </c>
      <c r="G854" s="49" t="str">
        <f t="shared" si="1"/>
        <v>48000</v>
      </c>
      <c r="H854" s="49">
        <f t="shared" si="2"/>
        <v>48016</v>
      </c>
    </row>
    <row r="855">
      <c r="A855" s="48" t="s">
        <v>1825</v>
      </c>
      <c r="B855" s="38">
        <v>64002.0</v>
      </c>
      <c r="C855" s="38" t="s">
        <v>1826</v>
      </c>
      <c r="D855" s="38" t="str">
        <f>IFERROR(__xludf.DUMMYFUNCTION("REGEXREPLACE(C855,""-\d+(.*)|--\d+(.*)"","""")"),"ABERE")</f>
        <v>ABERE</v>
      </c>
      <c r="E855" s="38" t="s">
        <v>268</v>
      </c>
      <c r="F855" s="38" t="s">
        <v>252</v>
      </c>
      <c r="G855" s="49" t="str">
        <f t="shared" si="1"/>
        <v>64160</v>
      </c>
      <c r="H855" s="49">
        <f t="shared" si="2"/>
        <v>64002</v>
      </c>
    </row>
    <row r="856">
      <c r="A856" s="48" t="s">
        <v>1827</v>
      </c>
      <c r="B856" s="38">
        <v>77424.0</v>
      </c>
      <c r="C856" s="38" t="s">
        <v>1828</v>
      </c>
      <c r="D856" s="38" t="str">
        <f>IFERROR(__xludf.DUMMYFUNCTION("REGEXREPLACE(C856,""-\d+(.*)|--\d+(.*)"","""")"),"SAINT-MARTIN-DU-BOSCHET")</f>
        <v>SAINT-MARTIN-DU-BOSCHET</v>
      </c>
      <c r="E856" s="38" t="s">
        <v>244</v>
      </c>
      <c r="F856" s="38" t="s">
        <v>245</v>
      </c>
      <c r="G856" s="49" t="str">
        <f t="shared" si="1"/>
        <v>77320</v>
      </c>
      <c r="H856" s="49">
        <f t="shared" si="2"/>
        <v>77424</v>
      </c>
    </row>
    <row r="857">
      <c r="A857" s="48" t="s">
        <v>1829</v>
      </c>
      <c r="B857" s="38">
        <v>59111.0</v>
      </c>
      <c r="C857" s="38" t="s">
        <v>1830</v>
      </c>
      <c r="D857" s="38" t="str">
        <f>IFERROR(__xludf.DUMMYFUNCTION("REGEXREPLACE(C857,""-\d+(.*)|--\d+(.*)"","""")"),"BROXEELE")</f>
        <v>BROXEELE</v>
      </c>
      <c r="E857" s="38" t="s">
        <v>85</v>
      </c>
      <c r="F857" s="38" t="s">
        <v>86</v>
      </c>
      <c r="G857" s="49" t="str">
        <f t="shared" si="1"/>
        <v>59470</v>
      </c>
      <c r="H857" s="49">
        <f t="shared" si="2"/>
        <v>59111</v>
      </c>
    </row>
    <row r="858">
      <c r="A858" s="48" t="s">
        <v>1831</v>
      </c>
      <c r="B858" s="38">
        <v>30152.0</v>
      </c>
      <c r="C858" s="38" t="s">
        <v>1832</v>
      </c>
      <c r="D858" s="38" t="str">
        <f>IFERROR(__xludf.DUMMYFUNCTION("REGEXREPLACE(C858,""-\d+(.*)|--\d+(.*)"","""")"),"LES MAGES")</f>
        <v>LES MAGES</v>
      </c>
      <c r="E858" s="38" t="s">
        <v>526</v>
      </c>
      <c r="F858" s="38" t="s">
        <v>119</v>
      </c>
      <c r="G858" s="49" t="str">
        <f t="shared" si="1"/>
        <v>30960</v>
      </c>
      <c r="H858" s="49">
        <f t="shared" si="2"/>
        <v>30152</v>
      </c>
    </row>
    <row r="859">
      <c r="A859" s="48" t="s">
        <v>1833</v>
      </c>
      <c r="B859" s="38">
        <v>31271.0</v>
      </c>
      <c r="C859" s="38" t="s">
        <v>1834</v>
      </c>
      <c r="D859" s="38" t="str">
        <f>IFERROR(__xludf.DUMMYFUNCTION("REGEXREPLACE(C859,""-\d+(.*)|--\d+(.*)"","""")"),"LANTA")</f>
        <v>LANTA</v>
      </c>
      <c r="E859" s="38" t="s">
        <v>93</v>
      </c>
      <c r="F859" s="38" t="s">
        <v>94</v>
      </c>
      <c r="G859" s="49" t="str">
        <f t="shared" si="1"/>
        <v>31570</v>
      </c>
      <c r="H859" s="49">
        <f t="shared" si="2"/>
        <v>31271</v>
      </c>
    </row>
    <row r="860">
      <c r="A860" s="48" t="s">
        <v>1835</v>
      </c>
      <c r="B860" s="38">
        <v>76562.0</v>
      </c>
      <c r="C860" s="38" t="s">
        <v>1836</v>
      </c>
      <c r="D860" s="38" t="str">
        <f>IFERROR(__xludf.DUMMYFUNCTION("REGEXREPLACE(C860,""-\d+(.*)|--\d+(.*)"","""")"),"SAINT-AUBIN-LE-CAUF")</f>
        <v>SAINT-AUBIN-LE-CAUF</v>
      </c>
      <c r="E860" s="38" t="s">
        <v>133</v>
      </c>
      <c r="F860" s="38" t="s">
        <v>134</v>
      </c>
      <c r="G860" s="49" t="str">
        <f t="shared" si="1"/>
        <v>76510</v>
      </c>
      <c r="H860" s="49">
        <f t="shared" si="2"/>
        <v>76562</v>
      </c>
    </row>
    <row r="861">
      <c r="A861" s="48" t="s">
        <v>522</v>
      </c>
      <c r="B861" s="38">
        <v>39364.0</v>
      </c>
      <c r="C861" s="38" t="s">
        <v>1837</v>
      </c>
      <c r="D861" s="38" t="str">
        <f>IFERROR(__xludf.DUMMYFUNCTION("REGEXREPLACE(C861,""-\d+(.*)|--\d+(.*)"","""")"),"MONTROND")</f>
        <v>MONTROND</v>
      </c>
      <c r="E861" s="38" t="s">
        <v>400</v>
      </c>
      <c r="F861" s="38" t="s">
        <v>214</v>
      </c>
      <c r="G861" s="49" t="str">
        <f t="shared" si="1"/>
        <v>39300</v>
      </c>
      <c r="H861" s="49">
        <f t="shared" si="2"/>
        <v>39364</v>
      </c>
    </row>
    <row r="862">
      <c r="A862" s="48" t="s">
        <v>1838</v>
      </c>
      <c r="B862" s="38">
        <v>82161.0</v>
      </c>
      <c r="C862" s="38" t="s">
        <v>1839</v>
      </c>
      <c r="D862" s="38" t="str">
        <f>IFERROR(__xludf.DUMMYFUNCTION("REGEXREPLACE(C862,""-\d+(.*)|--\d+(.*)"","""")"),"SAINT-ETIENNE-DE-TULMONT")</f>
        <v>SAINT-ETIENNE-DE-TULMONT</v>
      </c>
      <c r="E862" s="38" t="s">
        <v>570</v>
      </c>
      <c r="F862" s="38" t="s">
        <v>94</v>
      </c>
      <c r="G862" s="49" t="str">
        <f t="shared" si="1"/>
        <v>82410</v>
      </c>
      <c r="H862" s="49">
        <f t="shared" si="2"/>
        <v>82161</v>
      </c>
    </row>
    <row r="863">
      <c r="A863" s="48" t="s">
        <v>155</v>
      </c>
      <c r="B863" s="38">
        <v>50624.0</v>
      </c>
      <c r="C863" s="38" t="s">
        <v>1840</v>
      </c>
      <c r="D863" s="38" t="str">
        <f>IFERROR(__xludf.DUMMYFUNCTION("REGEXREPLACE(C863,""-\d+(.*)|--\d+(.*)"","""")"),"LA VENDELEE")</f>
        <v>LA VENDELEE</v>
      </c>
      <c r="E863" s="38" t="s">
        <v>157</v>
      </c>
      <c r="F863" s="38" t="s">
        <v>138</v>
      </c>
      <c r="G863" s="49" t="str">
        <f t="shared" si="1"/>
        <v>50200</v>
      </c>
      <c r="H863" s="49">
        <f t="shared" si="2"/>
        <v>50624</v>
      </c>
    </row>
    <row r="864">
      <c r="A864" s="48" t="s">
        <v>1841</v>
      </c>
      <c r="B864" s="38">
        <v>27472.0</v>
      </c>
      <c r="C864" s="38" t="s">
        <v>1842</v>
      </c>
      <c r="D864" s="38" t="str">
        <f>IFERROR(__xludf.DUMMYFUNCTION("REGEXREPLACE(C864,""-\d+(.*)|--\d+(.*)"","""")"),"PORTES")</f>
        <v>PORTES</v>
      </c>
      <c r="E864" s="38" t="s">
        <v>241</v>
      </c>
      <c r="F864" s="38" t="s">
        <v>134</v>
      </c>
      <c r="G864" s="49" t="str">
        <f t="shared" si="1"/>
        <v>27190</v>
      </c>
      <c r="H864" s="49">
        <f t="shared" si="2"/>
        <v>27472</v>
      </c>
    </row>
    <row r="865">
      <c r="A865" s="48" t="s">
        <v>1843</v>
      </c>
      <c r="B865" s="38">
        <v>71132.0</v>
      </c>
      <c r="C865" s="38" t="s">
        <v>1844</v>
      </c>
      <c r="D865" s="38" t="str">
        <f>IFERROR(__xludf.DUMMYFUNCTION("REGEXREPLACE(C865,""-\d+(.*)|--\d+(.*)"","""")"),"CIRY-LE-NOBLE")</f>
        <v>CIRY-LE-NOBLE</v>
      </c>
      <c r="E865" s="38" t="s">
        <v>344</v>
      </c>
      <c r="F865" s="38" t="s">
        <v>106</v>
      </c>
      <c r="G865" s="49" t="str">
        <f t="shared" si="1"/>
        <v>71420</v>
      </c>
      <c r="H865" s="49">
        <f t="shared" si="2"/>
        <v>71132</v>
      </c>
    </row>
    <row r="866">
      <c r="A866" s="48" t="s">
        <v>1845</v>
      </c>
      <c r="B866" s="38">
        <v>79134.0</v>
      </c>
      <c r="C866" s="38" t="s">
        <v>1846</v>
      </c>
      <c r="D866" s="38" t="str">
        <f>IFERROR(__xludf.DUMMYFUNCTION("REGEXREPLACE(C866,""-\d+(.*)|--\d+(.*)"","""")"),"GLENAY")</f>
        <v>GLENAY</v>
      </c>
      <c r="E866" s="38" t="s">
        <v>337</v>
      </c>
      <c r="F866" s="38" t="s">
        <v>338</v>
      </c>
      <c r="G866" s="49" t="str">
        <f t="shared" si="1"/>
        <v>79330</v>
      </c>
      <c r="H866" s="49">
        <f t="shared" si="2"/>
        <v>79134</v>
      </c>
    </row>
    <row r="867">
      <c r="A867" s="48" t="s">
        <v>645</v>
      </c>
      <c r="B867" s="38">
        <v>57370.0</v>
      </c>
      <c r="C867" s="38" t="s">
        <v>1847</v>
      </c>
      <c r="D867" s="38" t="str">
        <f>IFERROR(__xludf.DUMMYFUNCTION("REGEXREPLACE(C867,""-\d+(.*)|--\d+(.*)"","""")"),"KOENIGSMACKER")</f>
        <v>KOENIGSMACKER</v>
      </c>
      <c r="E867" s="38" t="s">
        <v>303</v>
      </c>
      <c r="F867" s="38" t="s">
        <v>195</v>
      </c>
      <c r="G867" s="49" t="str">
        <f t="shared" si="1"/>
        <v>57970</v>
      </c>
      <c r="H867" s="49">
        <f t="shared" si="2"/>
        <v>57370</v>
      </c>
    </row>
    <row r="868">
      <c r="A868" s="48" t="s">
        <v>1848</v>
      </c>
      <c r="B868" s="38">
        <v>15260.0</v>
      </c>
      <c r="C868" s="38" t="s">
        <v>1849</v>
      </c>
      <c r="D868" s="38" t="str">
        <f>IFERROR(__xludf.DUMMYFUNCTION("REGEXREPLACE(C868,""-\d+(.*)|--\d+(.*)"","""")"),"VIEILLEVIE")</f>
        <v>VIEILLEVIE</v>
      </c>
      <c r="E868" s="38" t="s">
        <v>632</v>
      </c>
      <c r="F868" s="38" t="s">
        <v>161</v>
      </c>
      <c r="G868" s="49" t="str">
        <f t="shared" si="1"/>
        <v>15120</v>
      </c>
      <c r="H868" s="49">
        <f t="shared" si="2"/>
        <v>15260</v>
      </c>
    </row>
    <row r="869">
      <c r="A869" s="48" t="s">
        <v>1850</v>
      </c>
      <c r="B869" s="38">
        <v>48072.0</v>
      </c>
      <c r="C869" s="38" t="s">
        <v>1851</v>
      </c>
      <c r="D869" s="38" t="str">
        <f>IFERROR(__xludf.DUMMYFUNCTION("REGEXREPLACE(C869,""-\d+(.*)|--\d+(.*)"","""")"),"GREZES")</f>
        <v>GREZES</v>
      </c>
      <c r="E869" s="38" t="s">
        <v>154</v>
      </c>
      <c r="F869" s="38" t="s">
        <v>119</v>
      </c>
      <c r="G869" s="49" t="str">
        <f t="shared" si="1"/>
        <v>48100</v>
      </c>
      <c r="H869" s="49">
        <f t="shared" si="2"/>
        <v>48072</v>
      </c>
    </row>
    <row r="870">
      <c r="A870" s="48" t="s">
        <v>1852</v>
      </c>
      <c r="B870" s="38">
        <v>57760.0</v>
      </c>
      <c r="C870" s="38" t="s">
        <v>1853</v>
      </c>
      <c r="D870" s="38" t="str">
        <f>IFERROR(__xludf.DUMMYFUNCTION("REGEXREPLACE(C870,""-\d+(.*)|--\d+(.*)"","""")"),"ZETTING")</f>
        <v>ZETTING</v>
      </c>
      <c r="E870" s="38" t="s">
        <v>303</v>
      </c>
      <c r="F870" s="38" t="s">
        <v>195</v>
      </c>
      <c r="G870" s="49" t="str">
        <f t="shared" si="1"/>
        <v>57905</v>
      </c>
      <c r="H870" s="49">
        <f t="shared" si="2"/>
        <v>57760</v>
      </c>
    </row>
    <row r="871">
      <c r="A871" s="48" t="s">
        <v>1688</v>
      </c>
      <c r="B871" s="38">
        <v>76603.0</v>
      </c>
      <c r="C871" s="38" t="s">
        <v>1854</v>
      </c>
      <c r="D871" s="38" t="str">
        <f>IFERROR(__xludf.DUMMYFUNCTION("REGEXREPLACE(C871,""-\d+(.*)|--\d+(.*)"","""")"),"SAINT-MACLOU-LA-BRIERE")</f>
        <v>SAINT-MACLOU-LA-BRIERE</v>
      </c>
      <c r="E871" s="38" t="s">
        <v>133</v>
      </c>
      <c r="F871" s="38" t="s">
        <v>134</v>
      </c>
      <c r="G871" s="49" t="str">
        <f t="shared" si="1"/>
        <v>76110</v>
      </c>
      <c r="H871" s="49">
        <f t="shared" si="2"/>
        <v>76603</v>
      </c>
    </row>
    <row r="872">
      <c r="A872" s="48" t="s">
        <v>1855</v>
      </c>
      <c r="B872" s="38">
        <v>72161.0</v>
      </c>
      <c r="C872" s="38" t="s">
        <v>1856</v>
      </c>
      <c r="D872" s="38" t="str">
        <f>IFERROR(__xludf.DUMMYFUNCTION("REGEXREPLACE(C872,""-\d+(.*)|--\d+(.*)"","""")"),"LHOMME")</f>
        <v>LHOMME</v>
      </c>
      <c r="E872" s="38" t="s">
        <v>521</v>
      </c>
      <c r="F872" s="38" t="s">
        <v>180</v>
      </c>
      <c r="G872" s="49" t="str">
        <f t="shared" si="1"/>
        <v>72340</v>
      </c>
      <c r="H872" s="49">
        <f t="shared" si="2"/>
        <v>72161</v>
      </c>
    </row>
    <row r="873">
      <c r="A873" s="48" t="s">
        <v>1857</v>
      </c>
      <c r="B873" s="38">
        <v>4013.0</v>
      </c>
      <c r="C873" s="38" t="s">
        <v>1858</v>
      </c>
      <c r="D873" s="38" t="str">
        <f>IFERROR(__xludf.DUMMYFUNCTION("REGEXREPLACE(C873,""-\d+(.*)|--\d+(.*)"","""")"),"AUBIGNOSC")</f>
        <v>AUBIGNOSC</v>
      </c>
      <c r="E873" s="38" t="s">
        <v>662</v>
      </c>
      <c r="F873" s="38" t="s">
        <v>228</v>
      </c>
      <c r="G873" s="49" t="str">
        <f t="shared" si="1"/>
        <v>04200</v>
      </c>
      <c r="H873" s="49" t="str">
        <f t="shared" si="2"/>
        <v>04013</v>
      </c>
    </row>
    <row r="874">
      <c r="A874" s="48" t="s">
        <v>1859</v>
      </c>
      <c r="B874" s="38">
        <v>88490.0</v>
      </c>
      <c r="C874" s="38" t="s">
        <v>1860</v>
      </c>
      <c r="D874" s="38" t="str">
        <f>IFERROR(__xludf.DUMMYFUNCTION("REGEXREPLACE(C874,""-\d+(.*)|--\d+(.*)"","""")"),"VALLEROY-LE-SEC")</f>
        <v>VALLEROY-LE-SEC</v>
      </c>
      <c r="E874" s="38" t="s">
        <v>194</v>
      </c>
      <c r="F874" s="38" t="s">
        <v>195</v>
      </c>
      <c r="G874" s="49" t="str">
        <f t="shared" si="1"/>
        <v>88800</v>
      </c>
      <c r="H874" s="49">
        <f t="shared" si="2"/>
        <v>88490</v>
      </c>
    </row>
    <row r="875">
      <c r="A875" s="48" t="s">
        <v>1861</v>
      </c>
      <c r="B875" s="38">
        <v>46095.0</v>
      </c>
      <c r="C875" s="38" t="s">
        <v>1862</v>
      </c>
      <c r="D875" s="38" t="str">
        <f>IFERROR(__xludf.DUMMYFUNCTION("REGEXREPLACE(C875,""-\d+(.*)|--\d+(.*)"","""")"),"ESPERE")</f>
        <v>ESPERE</v>
      </c>
      <c r="E875" s="38" t="s">
        <v>185</v>
      </c>
      <c r="F875" s="38" t="s">
        <v>94</v>
      </c>
      <c r="G875" s="49" t="str">
        <f t="shared" si="1"/>
        <v>46090</v>
      </c>
      <c r="H875" s="49">
        <f t="shared" si="2"/>
        <v>46095</v>
      </c>
    </row>
    <row r="876">
      <c r="A876" s="48" t="s">
        <v>1089</v>
      </c>
      <c r="B876" s="38">
        <v>67105.0</v>
      </c>
      <c r="C876" s="38" t="s">
        <v>1863</v>
      </c>
      <c r="D876" s="38" t="str">
        <f>IFERROR(__xludf.DUMMYFUNCTION("REGEXREPLACE(C876,""-\d+(.*)|--\d+(.*)"","""")"),"DRULINGEN")</f>
        <v>DRULINGEN</v>
      </c>
      <c r="E876" s="38" t="s">
        <v>210</v>
      </c>
      <c r="F876" s="38" t="s">
        <v>151</v>
      </c>
      <c r="G876" s="49" t="str">
        <f t="shared" si="1"/>
        <v>67320</v>
      </c>
      <c r="H876" s="49">
        <f t="shared" si="2"/>
        <v>67105</v>
      </c>
    </row>
    <row r="877">
      <c r="A877" s="48" t="s">
        <v>1864</v>
      </c>
      <c r="B877" s="38">
        <v>70395.0</v>
      </c>
      <c r="C877" s="38" t="s">
        <v>1865</v>
      </c>
      <c r="D877" s="38" t="str">
        <f>IFERROR(__xludf.DUMMYFUNCTION("REGEXREPLACE(C877,""-\d+(.*)|--\d+(.*)"","""")"),"OPPENANS")</f>
        <v>OPPENANS</v>
      </c>
      <c r="E877" s="38" t="s">
        <v>956</v>
      </c>
      <c r="F877" s="38" t="s">
        <v>214</v>
      </c>
      <c r="G877" s="49" t="str">
        <f t="shared" si="1"/>
        <v>70110</v>
      </c>
      <c r="H877" s="49">
        <f t="shared" si="2"/>
        <v>70395</v>
      </c>
    </row>
    <row r="878">
      <c r="A878" s="48" t="s">
        <v>1866</v>
      </c>
      <c r="B878" s="38">
        <v>61146.0</v>
      </c>
      <c r="C878" s="38" t="s">
        <v>1867</v>
      </c>
      <c r="D878" s="38" t="str">
        <f>IFERROR(__xludf.DUMMYFUNCTION("REGEXREPLACE(C878,""-\d+(.*)|--\d+(.*)"","""")"),"DOMPIERRE")</f>
        <v>DOMPIERRE</v>
      </c>
      <c r="E878" s="38" t="s">
        <v>141</v>
      </c>
      <c r="F878" s="38" t="s">
        <v>138</v>
      </c>
      <c r="G878" s="49" t="str">
        <f t="shared" si="1"/>
        <v>61700</v>
      </c>
      <c r="H878" s="49">
        <f t="shared" si="2"/>
        <v>61146</v>
      </c>
    </row>
    <row r="879">
      <c r="A879" s="48" t="s">
        <v>1868</v>
      </c>
      <c r="B879" s="38">
        <v>86246.0</v>
      </c>
      <c r="C879" s="38" t="s">
        <v>1869</v>
      </c>
      <c r="D879" s="38" t="str">
        <f>IFERROR(__xludf.DUMMYFUNCTION("REGEXREPLACE(C879,""-\d+(.*)|--\d+(.*)"","""")"),"SAINT-SAVIN")</f>
        <v>SAINT-SAVIN</v>
      </c>
      <c r="E879" s="38" t="s">
        <v>529</v>
      </c>
      <c r="F879" s="38" t="s">
        <v>338</v>
      </c>
      <c r="G879" s="49" t="str">
        <f t="shared" si="1"/>
        <v>86310</v>
      </c>
      <c r="H879" s="49">
        <f t="shared" si="2"/>
        <v>86246</v>
      </c>
    </row>
    <row r="880">
      <c r="A880" s="48" t="s">
        <v>1870</v>
      </c>
      <c r="B880" s="38">
        <v>37185.0</v>
      </c>
      <c r="C880" s="38" t="s">
        <v>1871</v>
      </c>
      <c r="D880" s="38" t="str">
        <f>IFERROR(__xludf.DUMMYFUNCTION("REGEXREPLACE(C880,""-\d+(.*)|--\d+(.*)"","""")"),"POCE-SUR-CISSE")</f>
        <v>POCE-SUR-CISSE</v>
      </c>
      <c r="E880" s="38" t="s">
        <v>205</v>
      </c>
      <c r="F880" s="38" t="s">
        <v>123</v>
      </c>
      <c r="G880" s="49" t="str">
        <f t="shared" si="1"/>
        <v>37530</v>
      </c>
      <c r="H880" s="49">
        <f t="shared" si="2"/>
        <v>37185</v>
      </c>
    </row>
    <row r="881">
      <c r="A881" s="48" t="s">
        <v>1872</v>
      </c>
      <c r="B881" s="38">
        <v>80496.0</v>
      </c>
      <c r="C881" s="38" t="s">
        <v>1873</v>
      </c>
      <c r="D881" s="38" t="str">
        <f>IFERROR(__xludf.DUMMYFUNCTION("REGEXREPLACE(C881,""-\d+(.*)|--\d+(.*)"","""")"),"MACHIEL")</f>
        <v>MACHIEL</v>
      </c>
      <c r="E881" s="38" t="s">
        <v>224</v>
      </c>
      <c r="F881" s="38" t="s">
        <v>113</v>
      </c>
      <c r="G881" s="49" t="str">
        <f t="shared" si="1"/>
        <v>80150</v>
      </c>
      <c r="H881" s="49">
        <f t="shared" si="2"/>
        <v>80496</v>
      </c>
    </row>
    <row r="882">
      <c r="A882" s="48" t="s">
        <v>1874</v>
      </c>
      <c r="B882" s="38">
        <v>73200.0</v>
      </c>
      <c r="C882" s="38" t="s">
        <v>1875</v>
      </c>
      <c r="D882" s="38" t="str">
        <f>IFERROR(__xludf.DUMMYFUNCTION("REGEXREPLACE(C882,""-\d+(.*)|--\d+(.*)"","""")"),"PLANAISE")</f>
        <v>PLANAISE</v>
      </c>
      <c r="E882" s="38" t="s">
        <v>306</v>
      </c>
      <c r="F882" s="38" t="s">
        <v>102</v>
      </c>
      <c r="G882" s="49" t="str">
        <f t="shared" si="1"/>
        <v>73800</v>
      </c>
      <c r="H882" s="49">
        <f t="shared" si="2"/>
        <v>73200</v>
      </c>
    </row>
    <row r="883">
      <c r="A883" s="48" t="s">
        <v>1665</v>
      </c>
      <c r="B883" s="38">
        <v>22097.0</v>
      </c>
      <c r="C883" s="38" t="s">
        <v>1876</v>
      </c>
      <c r="D883" s="38" t="str">
        <f>IFERROR(__xludf.DUMMYFUNCTION("REGEXREPLACE(C883,""-\d+(.*)|--\d+(.*)"","""")"),"LA LANDEC")</f>
        <v>LA LANDEC</v>
      </c>
      <c r="E883" s="38" t="s">
        <v>89</v>
      </c>
      <c r="F883" s="38" t="s">
        <v>90</v>
      </c>
      <c r="G883" s="49" t="str">
        <f t="shared" si="1"/>
        <v>22980</v>
      </c>
      <c r="H883" s="49">
        <f t="shared" si="2"/>
        <v>22097</v>
      </c>
    </row>
    <row r="884">
      <c r="A884" s="48" t="s">
        <v>434</v>
      </c>
      <c r="B884" s="38">
        <v>55034.0</v>
      </c>
      <c r="C884" s="38" t="s">
        <v>1877</v>
      </c>
      <c r="D884" s="38" t="str">
        <f>IFERROR(__xludf.DUMMYFUNCTION("REGEXREPLACE(C884,""-\d+(.*)|--\d+(.*)"","""")"),"BAZEILLES-SUR-OTHAIN")</f>
        <v>BAZEILLES-SUR-OTHAIN</v>
      </c>
      <c r="E884" s="38" t="s">
        <v>322</v>
      </c>
      <c r="F884" s="38" t="s">
        <v>195</v>
      </c>
      <c r="G884" s="49" t="str">
        <f t="shared" si="1"/>
        <v>55600</v>
      </c>
      <c r="H884" s="49">
        <f t="shared" si="2"/>
        <v>55034</v>
      </c>
    </row>
    <row r="885">
      <c r="A885" s="48" t="s">
        <v>1878</v>
      </c>
      <c r="B885" s="38">
        <v>14565.0</v>
      </c>
      <c r="C885" s="38" t="s">
        <v>1879</v>
      </c>
      <c r="D885" s="38" t="str">
        <f>IFERROR(__xludf.DUMMYFUNCTION("REGEXREPLACE(C885,""-\d+(.*)|--\d+(.*)"","""")"),"SAINT-COME-DE-FRESNE")</f>
        <v>SAINT-COME-DE-FRESNE</v>
      </c>
      <c r="E885" s="38" t="s">
        <v>137</v>
      </c>
      <c r="F885" s="38" t="s">
        <v>138</v>
      </c>
      <c r="G885" s="49" t="str">
        <f t="shared" si="1"/>
        <v>14960</v>
      </c>
      <c r="H885" s="49">
        <f t="shared" si="2"/>
        <v>14565</v>
      </c>
    </row>
    <row r="886">
      <c r="A886" s="48" t="s">
        <v>110</v>
      </c>
      <c r="B886" s="38">
        <v>60626.0</v>
      </c>
      <c r="C886" s="38" t="s">
        <v>1880</v>
      </c>
      <c r="D886" s="38" t="str">
        <f>IFERROR(__xludf.DUMMYFUNCTION("REGEXREPLACE(C886,""-\d+(.*)|--\d+(.*)"","""")"),"TALMONTIERS")</f>
        <v>TALMONTIERS</v>
      </c>
      <c r="E886" s="38" t="s">
        <v>112</v>
      </c>
      <c r="F886" s="38" t="s">
        <v>113</v>
      </c>
      <c r="G886" s="49" t="str">
        <f t="shared" si="1"/>
        <v>60590</v>
      </c>
      <c r="H886" s="49">
        <f t="shared" si="2"/>
        <v>60626</v>
      </c>
    </row>
    <row r="887">
      <c r="A887" s="48" t="s">
        <v>1881</v>
      </c>
      <c r="B887" s="38">
        <v>69086.0</v>
      </c>
      <c r="C887" s="38" t="s">
        <v>1882</v>
      </c>
      <c r="D887" s="38" t="str">
        <f>IFERROR(__xludf.DUMMYFUNCTION("REGEXREPLACE(C887,""-\d+(.*)|--\d+(.*)"","""")"),"FLEURIEUX-SUR-L'ARBRESLE")</f>
        <v>FLEURIEUX-SUR-L'ARBRESLE</v>
      </c>
      <c r="E887" s="38" t="s">
        <v>350</v>
      </c>
      <c r="F887" s="38" t="s">
        <v>102</v>
      </c>
      <c r="G887" s="49" t="str">
        <f t="shared" si="1"/>
        <v>69210</v>
      </c>
      <c r="H887" s="49">
        <f t="shared" si="2"/>
        <v>69086</v>
      </c>
    </row>
    <row r="888">
      <c r="A888" s="48" t="s">
        <v>1883</v>
      </c>
      <c r="B888" s="38">
        <v>39235.0</v>
      </c>
      <c r="C888" s="38" t="s">
        <v>1884</v>
      </c>
      <c r="D888" s="38" t="str">
        <f>IFERROR(__xludf.DUMMYFUNCTION("REGEXREPLACE(C888,""-\d+(.*)|--\d+(.*)"","""")"),"FRAISANS")</f>
        <v>FRAISANS</v>
      </c>
      <c r="E888" s="38" t="s">
        <v>400</v>
      </c>
      <c r="F888" s="38" t="s">
        <v>214</v>
      </c>
      <c r="G888" s="49" t="str">
        <f t="shared" si="1"/>
        <v>39700</v>
      </c>
      <c r="H888" s="49">
        <f t="shared" si="2"/>
        <v>39235</v>
      </c>
    </row>
    <row r="889">
      <c r="A889" s="48" t="s">
        <v>1885</v>
      </c>
      <c r="B889" s="38">
        <v>27208.0</v>
      </c>
      <c r="C889" s="38" t="s">
        <v>1886</v>
      </c>
      <c r="D889" s="38" t="str">
        <f>IFERROR(__xludf.DUMMYFUNCTION("REGEXREPLACE(C889,""-\d+(.*)|--\d+(.*)"","""")"),"DURANVILLE")</f>
        <v>DURANVILLE</v>
      </c>
      <c r="E889" s="38" t="s">
        <v>241</v>
      </c>
      <c r="F889" s="38" t="s">
        <v>134</v>
      </c>
      <c r="G889" s="49" t="str">
        <f t="shared" si="1"/>
        <v>27230</v>
      </c>
      <c r="H889" s="49">
        <f t="shared" si="2"/>
        <v>27208</v>
      </c>
    </row>
    <row r="890">
      <c r="A890" s="48" t="s">
        <v>1887</v>
      </c>
      <c r="B890" s="38">
        <v>88450.0</v>
      </c>
      <c r="C890" s="38" t="s">
        <v>1888</v>
      </c>
      <c r="D890" s="38" t="str">
        <f>IFERROR(__xludf.DUMMYFUNCTION("REGEXREPLACE(C890,""-\d+(.*)|--\d+(.*)"","""")"),"SENAIDE")</f>
        <v>SENAIDE</v>
      </c>
      <c r="E890" s="38" t="s">
        <v>194</v>
      </c>
      <c r="F890" s="38" t="s">
        <v>195</v>
      </c>
      <c r="G890" s="49" t="str">
        <f t="shared" si="1"/>
        <v>88320</v>
      </c>
      <c r="H890" s="49">
        <f t="shared" si="2"/>
        <v>88450</v>
      </c>
    </row>
    <row r="891">
      <c r="A891" s="48" t="s">
        <v>1889</v>
      </c>
      <c r="B891" s="38">
        <v>25073.0</v>
      </c>
      <c r="C891" s="38" t="s">
        <v>1890</v>
      </c>
      <c r="D891" s="38" t="str">
        <f>IFERROR(__xludf.DUMMYFUNCTION("REGEXREPLACE(C891,""-\d+(.*)|--\d+(.*)"","""")"),"BONNAY")</f>
        <v>BONNAY</v>
      </c>
      <c r="E891" s="38" t="s">
        <v>213</v>
      </c>
      <c r="F891" s="38" t="s">
        <v>214</v>
      </c>
      <c r="G891" s="49" t="str">
        <f t="shared" si="1"/>
        <v>25870</v>
      </c>
      <c r="H891" s="49">
        <f t="shared" si="2"/>
        <v>25073</v>
      </c>
    </row>
    <row r="892">
      <c r="A892" s="48" t="s">
        <v>262</v>
      </c>
      <c r="B892" s="38">
        <v>9083.0</v>
      </c>
      <c r="C892" s="38" t="s">
        <v>1891</v>
      </c>
      <c r="D892" s="38" t="str">
        <f>IFERROR(__xludf.DUMMYFUNCTION("REGEXREPLACE(C892,""-\d+(.*)|--\d+(.*)"","""")"),"CASTERAS")</f>
        <v>CASTERAS</v>
      </c>
      <c r="E892" s="38" t="s">
        <v>238</v>
      </c>
      <c r="F892" s="38" t="s">
        <v>94</v>
      </c>
      <c r="G892" s="49" t="str">
        <f t="shared" si="1"/>
        <v>09130</v>
      </c>
      <c r="H892" s="49" t="str">
        <f t="shared" si="2"/>
        <v>09083</v>
      </c>
    </row>
    <row r="893">
      <c r="A893" s="48" t="s">
        <v>1892</v>
      </c>
      <c r="B893" s="38">
        <v>67177.0</v>
      </c>
      <c r="C893" s="38" t="s">
        <v>1893</v>
      </c>
      <c r="D893" s="38" t="str">
        <f>IFERROR(__xludf.DUMMYFUNCTION("REGEXREPLACE(C893,""-\d+(.*)|--\d+(.*)"","""")"),"GUNSTETT")</f>
        <v>GUNSTETT</v>
      </c>
      <c r="E893" s="38" t="s">
        <v>210</v>
      </c>
      <c r="F893" s="38" t="s">
        <v>151</v>
      </c>
      <c r="G893" s="49" t="str">
        <f t="shared" si="1"/>
        <v>67360</v>
      </c>
      <c r="H893" s="49">
        <f t="shared" si="2"/>
        <v>67177</v>
      </c>
    </row>
    <row r="894">
      <c r="A894" s="48" t="s">
        <v>1894</v>
      </c>
      <c r="B894" s="38">
        <v>10009.0</v>
      </c>
      <c r="C894" s="38" t="s">
        <v>1895</v>
      </c>
      <c r="D894" s="38" t="str">
        <f>IFERROR(__xludf.DUMMYFUNCTION("REGEXREPLACE(C894,""-\d+(.*)|--\d+(.*)"","""")"),"ARRELLES")</f>
        <v>ARRELLES</v>
      </c>
      <c r="E894" s="38" t="s">
        <v>147</v>
      </c>
      <c r="F894" s="38" t="s">
        <v>130</v>
      </c>
      <c r="G894" s="49" t="str">
        <f t="shared" si="1"/>
        <v>10340</v>
      </c>
      <c r="H894" s="49">
        <f t="shared" si="2"/>
        <v>10009</v>
      </c>
    </row>
    <row r="895">
      <c r="A895" s="48" t="s">
        <v>1896</v>
      </c>
      <c r="B895" s="38">
        <v>51450.0</v>
      </c>
      <c r="C895" s="38" t="s">
        <v>1897</v>
      </c>
      <c r="D895" s="38" t="str">
        <f>IFERROR(__xludf.DUMMYFUNCTION("REGEXREPLACE(C895,""-\d+(.*)|--\d+(.*)"","""")"),"PUISIEULX")</f>
        <v>PUISIEULX</v>
      </c>
      <c r="E895" s="38" t="s">
        <v>129</v>
      </c>
      <c r="F895" s="38" t="s">
        <v>130</v>
      </c>
      <c r="G895" s="49" t="str">
        <f t="shared" si="1"/>
        <v>51500</v>
      </c>
      <c r="H895" s="49">
        <f t="shared" si="2"/>
        <v>51450</v>
      </c>
    </row>
    <row r="896">
      <c r="A896" s="48" t="s">
        <v>1898</v>
      </c>
      <c r="B896" s="38">
        <v>31220.0</v>
      </c>
      <c r="C896" s="38" t="s">
        <v>1899</v>
      </c>
      <c r="D896" s="38" t="str">
        <f>IFERROR(__xludf.DUMMYFUNCTION("REGEXREPLACE(C896,""-\d+(.*)|--\d+(.*)"","""")"),"GIBEL")</f>
        <v>GIBEL</v>
      </c>
      <c r="E896" s="38" t="s">
        <v>93</v>
      </c>
      <c r="F896" s="38" t="s">
        <v>94</v>
      </c>
      <c r="G896" s="49" t="str">
        <f t="shared" si="1"/>
        <v>31560</v>
      </c>
      <c r="H896" s="49">
        <f t="shared" si="2"/>
        <v>31220</v>
      </c>
    </row>
    <row r="897">
      <c r="A897" s="48" t="s">
        <v>1900</v>
      </c>
      <c r="B897" s="38">
        <v>45031.0</v>
      </c>
      <c r="C897" s="38" t="s">
        <v>1901</v>
      </c>
      <c r="D897" s="38" t="str">
        <f>IFERROR(__xludf.DUMMYFUNCTION("REGEXREPLACE(C897,""-\d+(.*)|--\d+(.*)"","""")"),"BELLEGARDE")</f>
        <v>BELLEGARDE</v>
      </c>
      <c r="E897" s="38" t="s">
        <v>122</v>
      </c>
      <c r="F897" s="38" t="s">
        <v>123</v>
      </c>
      <c r="G897" s="49" t="str">
        <f t="shared" si="1"/>
        <v>45270</v>
      </c>
      <c r="H897" s="49">
        <f t="shared" si="2"/>
        <v>45031</v>
      </c>
    </row>
    <row r="898">
      <c r="A898" s="48" t="s">
        <v>868</v>
      </c>
      <c r="B898" s="38">
        <v>33373.0</v>
      </c>
      <c r="C898" s="38" t="s">
        <v>1902</v>
      </c>
      <c r="D898" s="38" t="str">
        <f>IFERROR(__xludf.DUMMYFUNCTION("REGEXREPLACE(C898,""-\d+(.*)|--\d+(.*)"","""")"),"SAINT-ANTOINE-SUR-L'ISLE")</f>
        <v>SAINT-ANTOINE-SUR-L'ISLE</v>
      </c>
      <c r="E898" s="38" t="s">
        <v>462</v>
      </c>
      <c r="F898" s="38" t="s">
        <v>252</v>
      </c>
      <c r="G898" s="49" t="str">
        <f t="shared" si="1"/>
        <v>33660</v>
      </c>
      <c r="H898" s="49">
        <f t="shared" si="2"/>
        <v>33373</v>
      </c>
    </row>
    <row r="899">
      <c r="A899" s="48" t="s">
        <v>1903</v>
      </c>
      <c r="B899" s="38">
        <v>10315.0</v>
      </c>
      <c r="C899" s="38" t="s">
        <v>1904</v>
      </c>
      <c r="D899" s="38" t="str">
        <f>IFERROR(__xludf.DUMMYFUNCTION("REGEXREPLACE(C899,""-\d+(.*)|--\d+(.*)"","""")"),"RANCES")</f>
        <v>RANCES</v>
      </c>
      <c r="E899" s="38" t="s">
        <v>147</v>
      </c>
      <c r="F899" s="38" t="s">
        <v>130</v>
      </c>
      <c r="G899" s="49" t="str">
        <f t="shared" si="1"/>
        <v>10500</v>
      </c>
      <c r="H899" s="49">
        <f t="shared" si="2"/>
        <v>10315</v>
      </c>
    </row>
    <row r="900">
      <c r="A900" s="48" t="s">
        <v>1905</v>
      </c>
      <c r="B900" s="38">
        <v>29128.0</v>
      </c>
      <c r="C900" s="38" t="s">
        <v>1906</v>
      </c>
      <c r="D900" s="38" t="str">
        <f>IFERROR(__xludf.DUMMYFUNCTION("REGEXREPLACE(C900,""-\d+(.*)|--\d+(.*)"","""")"),"LOC-EGUINER")</f>
        <v>LOC-EGUINER</v>
      </c>
      <c r="E900" s="38" t="s">
        <v>176</v>
      </c>
      <c r="F900" s="38" t="s">
        <v>90</v>
      </c>
      <c r="G900" s="49" t="str">
        <f t="shared" si="1"/>
        <v>29400</v>
      </c>
      <c r="H900" s="49">
        <f t="shared" si="2"/>
        <v>29128</v>
      </c>
    </row>
    <row r="901">
      <c r="A901" s="48" t="s">
        <v>1887</v>
      </c>
      <c r="B901" s="38">
        <v>88289.0</v>
      </c>
      <c r="C901" s="38" t="s">
        <v>1907</v>
      </c>
      <c r="D901" s="38" t="str">
        <f>IFERROR(__xludf.DUMMYFUNCTION("REGEXREPLACE(C901,""-\d+(.*)|--\d+(.*)"","""")"),"MARTIGNY-LES-BAINS")</f>
        <v>MARTIGNY-LES-BAINS</v>
      </c>
      <c r="E901" s="38" t="s">
        <v>194</v>
      </c>
      <c r="F901" s="38" t="s">
        <v>195</v>
      </c>
      <c r="G901" s="49" t="str">
        <f t="shared" si="1"/>
        <v>88320</v>
      </c>
      <c r="H901" s="49">
        <f t="shared" si="2"/>
        <v>88289</v>
      </c>
    </row>
    <row r="902">
      <c r="A902" s="48" t="s">
        <v>1908</v>
      </c>
      <c r="B902" s="38">
        <v>62580.0</v>
      </c>
      <c r="C902" s="38" t="s">
        <v>1909</v>
      </c>
      <c r="D902" s="38" t="str">
        <f>IFERROR(__xludf.DUMMYFUNCTION("REGEXREPLACE(C902,""-\d+(.*)|--\d+(.*)"","""")"),"MONCHY-BRETON")</f>
        <v>MONCHY-BRETON</v>
      </c>
      <c r="E902" s="38" t="s">
        <v>109</v>
      </c>
      <c r="F902" s="38" t="s">
        <v>86</v>
      </c>
      <c r="G902" s="49" t="str">
        <f t="shared" si="1"/>
        <v>62127</v>
      </c>
      <c r="H902" s="49">
        <f t="shared" si="2"/>
        <v>62580</v>
      </c>
    </row>
    <row r="903">
      <c r="A903" s="48" t="s">
        <v>1598</v>
      </c>
      <c r="B903" s="38">
        <v>77396.0</v>
      </c>
      <c r="C903" s="38" t="s">
        <v>1910</v>
      </c>
      <c r="D903" s="38" t="str">
        <f>IFERROR(__xludf.DUMMYFUNCTION("REGEXREPLACE(C903,""-\d+(.*)|--\d+(.*)"","""")"),"RUPEREUX")</f>
        <v>RUPEREUX</v>
      </c>
      <c r="E903" s="38" t="s">
        <v>244</v>
      </c>
      <c r="F903" s="38" t="s">
        <v>245</v>
      </c>
      <c r="G903" s="49" t="str">
        <f t="shared" si="1"/>
        <v>77560</v>
      </c>
      <c r="H903" s="49">
        <f t="shared" si="2"/>
        <v>77396</v>
      </c>
    </row>
    <row r="904">
      <c r="A904" s="48" t="s">
        <v>1911</v>
      </c>
      <c r="B904" s="38">
        <v>85130.0</v>
      </c>
      <c r="C904" s="38" t="s">
        <v>1912</v>
      </c>
      <c r="D904" s="38" t="str">
        <f>IFERROR(__xludf.DUMMYFUNCTION("REGEXREPLACE(C904,""-\d+(.*)|--\d+(.*)"","""")"),"MACHE")</f>
        <v>MACHE</v>
      </c>
      <c r="E904" s="38" t="s">
        <v>179</v>
      </c>
      <c r="F904" s="38" t="s">
        <v>180</v>
      </c>
      <c r="G904" s="49" t="str">
        <f t="shared" si="1"/>
        <v>85190</v>
      </c>
      <c r="H904" s="49">
        <f t="shared" si="2"/>
        <v>85130</v>
      </c>
    </row>
    <row r="905">
      <c r="A905" s="48" t="s">
        <v>1913</v>
      </c>
      <c r="B905" s="38">
        <v>63171.0</v>
      </c>
      <c r="C905" s="38" t="s">
        <v>1914</v>
      </c>
      <c r="D905" s="38" t="str">
        <f>IFERROR(__xludf.DUMMYFUNCTION("REGEXREPLACE(C905,""-\d+(.*)|--\d+(.*)"","""")"),"GOUTTIERES")</f>
        <v>GOUTTIERES</v>
      </c>
      <c r="E905" s="38" t="s">
        <v>353</v>
      </c>
      <c r="F905" s="38" t="s">
        <v>161</v>
      </c>
      <c r="G905" s="49" t="str">
        <f t="shared" si="1"/>
        <v>63390</v>
      </c>
      <c r="H905" s="49">
        <f t="shared" si="2"/>
        <v>63171</v>
      </c>
    </row>
    <row r="906">
      <c r="A906" s="48" t="s">
        <v>1332</v>
      </c>
      <c r="B906" s="38">
        <v>51399.0</v>
      </c>
      <c r="C906" s="38" t="s">
        <v>1915</v>
      </c>
      <c r="D906" s="38" t="str">
        <f>IFERROR(__xludf.DUMMYFUNCTION("REGEXREPLACE(C906,""-\d+(.*)|--\d+(.*)"","""")"),"LA NEUVILLE-AU-PONT")</f>
        <v>LA NEUVILLE-AU-PONT</v>
      </c>
      <c r="E906" s="38" t="s">
        <v>129</v>
      </c>
      <c r="F906" s="38" t="s">
        <v>130</v>
      </c>
      <c r="G906" s="49" t="str">
        <f t="shared" si="1"/>
        <v>51800</v>
      </c>
      <c r="H906" s="49">
        <f t="shared" si="2"/>
        <v>51399</v>
      </c>
    </row>
    <row r="907">
      <c r="A907" s="48" t="s">
        <v>1916</v>
      </c>
      <c r="B907" s="38">
        <v>78321.0</v>
      </c>
      <c r="C907" s="38" t="s">
        <v>1917</v>
      </c>
      <c r="D907" s="38" t="str">
        <f>IFERROR(__xludf.DUMMYFUNCTION("REGEXREPLACE(C907,""-\d+(.*)|--\d+(.*)"","""")"),"JOUARS-PONTCHARTRAIN")</f>
        <v>JOUARS-PONTCHARTRAIN</v>
      </c>
      <c r="E907" s="38" t="s">
        <v>362</v>
      </c>
      <c r="F907" s="38" t="s">
        <v>245</v>
      </c>
      <c r="G907" s="49" t="str">
        <f t="shared" si="1"/>
        <v>78760</v>
      </c>
      <c r="H907" s="49">
        <f t="shared" si="2"/>
        <v>78321</v>
      </c>
    </row>
    <row r="908">
      <c r="A908" s="48" t="s">
        <v>1918</v>
      </c>
      <c r="B908" s="38">
        <v>10222.0</v>
      </c>
      <c r="C908" s="38" t="s">
        <v>1919</v>
      </c>
      <c r="D908" s="38" t="str">
        <f>IFERROR(__xludf.DUMMYFUNCTION("REGEXREPLACE(C908,""-\d+(.*)|--\d+(.*)"","""")"),"MARAYE-EN-OTHE")</f>
        <v>MARAYE-EN-OTHE</v>
      </c>
      <c r="E908" s="38" t="s">
        <v>147</v>
      </c>
      <c r="F908" s="38" t="s">
        <v>130</v>
      </c>
      <c r="G908" s="49" t="str">
        <f t="shared" si="1"/>
        <v>10160</v>
      </c>
      <c r="H908" s="49">
        <f t="shared" si="2"/>
        <v>10222</v>
      </c>
    </row>
    <row r="909">
      <c r="A909" s="48" t="s">
        <v>1872</v>
      </c>
      <c r="B909" s="38">
        <v>80808.0</v>
      </c>
      <c r="C909" s="38" t="s">
        <v>1920</v>
      </c>
      <c r="D909" s="38" t="str">
        <f>IFERROR(__xludf.DUMMYFUNCTION("REGEXREPLACE(C909,""-\d+(.*)|--\d+(.*)"","""")"),"VIRONCHAUX")</f>
        <v>VIRONCHAUX</v>
      </c>
      <c r="E909" s="38" t="s">
        <v>224</v>
      </c>
      <c r="F909" s="38" t="s">
        <v>113</v>
      </c>
      <c r="G909" s="49" t="str">
        <f t="shared" si="1"/>
        <v>80150</v>
      </c>
      <c r="H909" s="49">
        <f t="shared" si="2"/>
        <v>80808</v>
      </c>
    </row>
    <row r="910">
      <c r="A910" s="48" t="s">
        <v>1921</v>
      </c>
      <c r="B910" s="38">
        <v>2659.0</v>
      </c>
      <c r="C910" s="38" t="s">
        <v>1922</v>
      </c>
      <c r="D910" s="38" t="str">
        <f>IFERROR(__xludf.DUMMYFUNCTION("REGEXREPLACE(C910,""-\d+(.*)|--\d+(.*)"","""")"),"ROUVROY")</f>
        <v>ROUVROY</v>
      </c>
      <c r="E910" s="38" t="s">
        <v>191</v>
      </c>
      <c r="F910" s="38" t="s">
        <v>113</v>
      </c>
      <c r="G910" s="49" t="str">
        <f t="shared" si="1"/>
        <v>02100</v>
      </c>
      <c r="H910" s="49" t="str">
        <f t="shared" si="2"/>
        <v>02659</v>
      </c>
    </row>
    <row r="911">
      <c r="A911" s="48" t="s">
        <v>1923</v>
      </c>
      <c r="B911" s="38">
        <v>60524.0</v>
      </c>
      <c r="C911" s="38" t="s">
        <v>1924</v>
      </c>
      <c r="D911" s="38" t="str">
        <f>IFERROR(__xludf.DUMMYFUNCTION("REGEXREPLACE(C911,""-\d+(.*)|--\d+(.*)"","""")"),"RANTIGNY")</f>
        <v>RANTIGNY</v>
      </c>
      <c r="E911" s="38" t="s">
        <v>112</v>
      </c>
      <c r="F911" s="38" t="s">
        <v>113</v>
      </c>
      <c r="G911" s="49" t="str">
        <f t="shared" si="1"/>
        <v>60290</v>
      </c>
      <c r="H911" s="49">
        <f t="shared" si="2"/>
        <v>60524</v>
      </c>
    </row>
    <row r="912">
      <c r="A912" s="48" t="s">
        <v>1531</v>
      </c>
      <c r="B912" s="38">
        <v>65093.0</v>
      </c>
      <c r="C912" s="38" t="s">
        <v>1925</v>
      </c>
      <c r="D912" s="38" t="str">
        <f>IFERROR(__xludf.DUMMYFUNCTION("REGEXREPLACE(C912,""-\d+(.*)|--\d+(.*)"","""")"),"BIZE")</f>
        <v>BIZE</v>
      </c>
      <c r="E912" s="38" t="s">
        <v>200</v>
      </c>
      <c r="F912" s="38" t="s">
        <v>94</v>
      </c>
      <c r="G912" s="49" t="str">
        <f t="shared" si="1"/>
        <v>65150</v>
      </c>
      <c r="H912" s="49">
        <f t="shared" si="2"/>
        <v>65093</v>
      </c>
    </row>
    <row r="913">
      <c r="A913" s="48" t="s">
        <v>1926</v>
      </c>
      <c r="B913" s="38">
        <v>28315.0</v>
      </c>
      <c r="C913" s="38" t="s">
        <v>1927</v>
      </c>
      <c r="D913" s="38" t="str">
        <f>IFERROR(__xludf.DUMMYFUNCTION("REGEXREPLACE(C913,""-\d+(.*)|--\d+(.*)"","""")"),"REVERCOURT")</f>
        <v>REVERCOURT</v>
      </c>
      <c r="E913" s="38" t="s">
        <v>300</v>
      </c>
      <c r="F913" s="38" t="s">
        <v>123</v>
      </c>
      <c r="G913" s="49" t="str">
        <f t="shared" si="1"/>
        <v>28270</v>
      </c>
      <c r="H913" s="49">
        <f t="shared" si="2"/>
        <v>28315</v>
      </c>
    </row>
    <row r="914">
      <c r="A914" s="48" t="s">
        <v>1928</v>
      </c>
      <c r="B914" s="38">
        <v>1335.0</v>
      </c>
      <c r="C914" s="38" t="s">
        <v>1929</v>
      </c>
      <c r="D914" s="38" t="str">
        <f>IFERROR(__xludf.DUMMYFUNCTION("REGEXREPLACE(C914,""-\d+(.*)|--\d+(.*)"","""")"),"SAINT-ANDRE-LE-BOUCHOUX")</f>
        <v>SAINT-ANDRE-LE-BOUCHOUX</v>
      </c>
      <c r="E914" s="38" t="s">
        <v>255</v>
      </c>
      <c r="F914" s="38" t="s">
        <v>102</v>
      </c>
      <c r="G914" s="49" t="str">
        <f t="shared" si="1"/>
        <v>01240</v>
      </c>
      <c r="H914" s="49" t="str">
        <f t="shared" si="2"/>
        <v>01335</v>
      </c>
    </row>
    <row r="915">
      <c r="A915" s="48" t="s">
        <v>1930</v>
      </c>
      <c r="B915" s="38">
        <v>28089.0</v>
      </c>
      <c r="C915" s="38" t="s">
        <v>1931</v>
      </c>
      <c r="D915" s="38" t="str">
        <f>IFERROR(__xludf.DUMMYFUNCTION("REGEXREPLACE(C915,""-\d+(.*)|--\d+(.*)"","""")"),"CHATEAUNEUF-EN-THYMERAIS")</f>
        <v>CHATEAUNEUF-EN-THYMERAIS</v>
      </c>
      <c r="E915" s="38" t="s">
        <v>300</v>
      </c>
      <c r="F915" s="38" t="s">
        <v>123</v>
      </c>
      <c r="G915" s="49" t="str">
        <f t="shared" si="1"/>
        <v>28170</v>
      </c>
      <c r="H915" s="49">
        <f t="shared" si="2"/>
        <v>28089</v>
      </c>
    </row>
    <row r="916">
      <c r="A916" s="48" t="s">
        <v>1932</v>
      </c>
      <c r="B916" s="38">
        <v>70254.0</v>
      </c>
      <c r="C916" s="38" t="s">
        <v>1933</v>
      </c>
      <c r="D916" s="38" t="str">
        <f>IFERROR(__xludf.DUMMYFUNCTION("REGEXREPLACE(C916,""-\d+(.*)|--\d+(.*)"","""")"),"FREDERIC-FONTAINE")</f>
        <v>FREDERIC-FONTAINE</v>
      </c>
      <c r="E916" s="38" t="s">
        <v>956</v>
      </c>
      <c r="F916" s="38" t="s">
        <v>214</v>
      </c>
      <c r="G916" s="49" t="str">
        <f t="shared" si="1"/>
        <v>70200</v>
      </c>
      <c r="H916" s="49">
        <f t="shared" si="2"/>
        <v>70254</v>
      </c>
    </row>
    <row r="917">
      <c r="A917" s="48" t="s">
        <v>1272</v>
      </c>
      <c r="B917" s="38">
        <v>51178.0</v>
      </c>
      <c r="C917" s="38" t="s">
        <v>1934</v>
      </c>
      <c r="D917" s="38" t="str">
        <f>IFERROR(__xludf.DUMMYFUNCTION("REGEXREPLACE(C917,""-\d+(.*)|--\d+(.*)"","""")"),"COUPETZ")</f>
        <v>COUPETZ</v>
      </c>
      <c r="E917" s="38" t="s">
        <v>129</v>
      </c>
      <c r="F917" s="38" t="s">
        <v>130</v>
      </c>
      <c r="G917" s="49" t="str">
        <f t="shared" si="1"/>
        <v>51240</v>
      </c>
      <c r="H917" s="49">
        <f t="shared" si="2"/>
        <v>51178</v>
      </c>
    </row>
    <row r="918">
      <c r="A918" s="48" t="s">
        <v>1935</v>
      </c>
      <c r="B918" s="38">
        <v>48198.0</v>
      </c>
      <c r="C918" s="38" t="s">
        <v>1936</v>
      </c>
      <c r="D918" s="38" t="str">
        <f>IFERROR(__xludf.DUMMYFUNCTION("REGEXREPLACE(C918,""-\d+(.*)|--\d+(.*)"","""")"),"VILLEFORT")</f>
        <v>VILLEFORT</v>
      </c>
      <c r="E918" s="38" t="s">
        <v>154</v>
      </c>
      <c r="F918" s="38" t="s">
        <v>119</v>
      </c>
      <c r="G918" s="49" t="str">
        <f t="shared" si="1"/>
        <v>48800</v>
      </c>
      <c r="H918" s="49">
        <f t="shared" si="2"/>
        <v>48198</v>
      </c>
    </row>
    <row r="919">
      <c r="A919" s="48" t="s">
        <v>794</v>
      </c>
      <c r="B919" s="38">
        <v>60436.0</v>
      </c>
      <c r="C919" s="38" t="s">
        <v>1937</v>
      </c>
      <c r="D919" s="38" t="str">
        <f>IFERROR(__xludf.DUMMYFUNCTION("REGEXREPLACE(C919,""-\d+(.*)|--\d+(.*)"","""")"),"MORY-MONTCRUX")</f>
        <v>MORY-MONTCRUX</v>
      </c>
      <c r="E919" s="38" t="s">
        <v>112</v>
      </c>
      <c r="F919" s="38" t="s">
        <v>113</v>
      </c>
      <c r="G919" s="49" t="str">
        <f t="shared" si="1"/>
        <v>60120</v>
      </c>
      <c r="H919" s="49">
        <f t="shared" si="2"/>
        <v>60436</v>
      </c>
    </row>
    <row r="920">
      <c r="A920" s="48" t="s">
        <v>1938</v>
      </c>
      <c r="B920" s="38">
        <v>55525.0</v>
      </c>
      <c r="C920" s="38" t="s">
        <v>1939</v>
      </c>
      <c r="D920" s="38" t="str">
        <f>IFERROR(__xludf.DUMMYFUNCTION("REGEXREPLACE(C920,""-\d+(.*)|--\d+(.*)"","""")"),"VADELAINCOURT")</f>
        <v>VADELAINCOURT</v>
      </c>
      <c r="E920" s="38" t="s">
        <v>322</v>
      </c>
      <c r="F920" s="38" t="s">
        <v>195</v>
      </c>
      <c r="G920" s="49" t="str">
        <f t="shared" si="1"/>
        <v>55220</v>
      </c>
      <c r="H920" s="49">
        <f t="shared" si="2"/>
        <v>55525</v>
      </c>
    </row>
    <row r="921">
      <c r="A921" s="48" t="s">
        <v>1940</v>
      </c>
      <c r="B921" s="38">
        <v>51412.0</v>
      </c>
      <c r="C921" s="38" t="s">
        <v>1941</v>
      </c>
      <c r="D921" s="38" t="str">
        <f>IFERROR(__xludf.DUMMYFUNCTION("REGEXREPLACE(C921,""-\d+(.*)|--\d+(.*)"","""")"),"OGNES")</f>
        <v>OGNES</v>
      </c>
      <c r="E921" s="38" t="s">
        <v>129</v>
      </c>
      <c r="F921" s="38" t="s">
        <v>130</v>
      </c>
      <c r="G921" s="49" t="str">
        <f t="shared" si="1"/>
        <v>51230</v>
      </c>
      <c r="H921" s="49">
        <f t="shared" si="2"/>
        <v>51412</v>
      </c>
    </row>
    <row r="922">
      <c r="A922" s="48" t="s">
        <v>1926</v>
      </c>
      <c r="B922" s="38">
        <v>28087.0</v>
      </c>
      <c r="C922" s="38" t="s">
        <v>1942</v>
      </c>
      <c r="D922" s="38" t="str">
        <f>IFERROR(__xludf.DUMMYFUNCTION("REGEXREPLACE(C922,""-\d+(.*)|--\d+(.*)"","""")"),"CHATAINCOURT")</f>
        <v>CHATAINCOURT</v>
      </c>
      <c r="E922" s="38" t="s">
        <v>300</v>
      </c>
      <c r="F922" s="38" t="s">
        <v>123</v>
      </c>
      <c r="G922" s="49" t="str">
        <f t="shared" si="1"/>
        <v>28270</v>
      </c>
      <c r="H922" s="49">
        <f t="shared" si="2"/>
        <v>28087</v>
      </c>
    </row>
    <row r="923">
      <c r="A923" s="48" t="s">
        <v>1928</v>
      </c>
      <c r="B923" s="38">
        <v>1383.0</v>
      </c>
      <c r="C923" s="38" t="s">
        <v>1943</v>
      </c>
      <c r="D923" s="38" t="str">
        <f>IFERROR(__xludf.DUMMYFUNCTION("REGEXREPLACE(C923,""-\d+(.*)|--\d+(.*)"","""")"),"SAINT-PAUL-DE-VARAX")</f>
        <v>SAINT-PAUL-DE-VARAX</v>
      </c>
      <c r="E923" s="38" t="s">
        <v>255</v>
      </c>
      <c r="F923" s="38" t="s">
        <v>102</v>
      </c>
      <c r="G923" s="49" t="str">
        <f t="shared" si="1"/>
        <v>01240</v>
      </c>
      <c r="H923" s="49" t="str">
        <f t="shared" si="2"/>
        <v>01383</v>
      </c>
    </row>
    <row r="924">
      <c r="A924" s="48" t="s">
        <v>1889</v>
      </c>
      <c r="B924" s="38">
        <v>25557.0</v>
      </c>
      <c r="C924" s="38" t="s">
        <v>1944</v>
      </c>
      <c r="D924" s="38" t="str">
        <f>IFERROR(__xludf.DUMMYFUNCTION("REGEXREPLACE(C924,""-\d+(.*)|--\d+(.*)"","""")"),"TALLENAY")</f>
        <v>TALLENAY</v>
      </c>
      <c r="E924" s="38" t="s">
        <v>213</v>
      </c>
      <c r="F924" s="38" t="s">
        <v>214</v>
      </c>
      <c r="G924" s="49" t="str">
        <f t="shared" si="1"/>
        <v>25870</v>
      </c>
      <c r="H924" s="49">
        <f t="shared" si="2"/>
        <v>25557</v>
      </c>
    </row>
    <row r="925">
      <c r="A925" s="48" t="s">
        <v>1132</v>
      </c>
      <c r="B925" s="38">
        <v>2735.0</v>
      </c>
      <c r="C925" s="38" t="s">
        <v>1945</v>
      </c>
      <c r="D925" s="38" t="str">
        <f>IFERROR(__xludf.DUMMYFUNCTION("REGEXREPLACE(C925,""-\d+(.*)|--\d+(.*)"","""")"),"TANNIERES")</f>
        <v>TANNIERES</v>
      </c>
      <c r="E925" s="38" t="s">
        <v>191</v>
      </c>
      <c r="F925" s="38" t="s">
        <v>113</v>
      </c>
      <c r="G925" s="49" t="str">
        <f t="shared" si="1"/>
        <v>02220</v>
      </c>
      <c r="H925" s="49" t="str">
        <f t="shared" si="2"/>
        <v>02735</v>
      </c>
    </row>
    <row r="926">
      <c r="A926" s="48" t="s">
        <v>1616</v>
      </c>
      <c r="B926" s="38">
        <v>10126.0</v>
      </c>
      <c r="C926" s="38" t="s">
        <v>1946</v>
      </c>
      <c r="D926" s="38" t="str">
        <f>IFERROR(__xludf.DUMMYFUNCTION("REGEXREPLACE(C926,""-\d+(.*)|--\d+(.*)"","""")"),"DOLANCOURT")</f>
        <v>DOLANCOURT</v>
      </c>
      <c r="E926" s="38" t="s">
        <v>147</v>
      </c>
      <c r="F926" s="38" t="s">
        <v>130</v>
      </c>
      <c r="G926" s="49" t="str">
        <f t="shared" si="1"/>
        <v>10200</v>
      </c>
      <c r="H926" s="49">
        <f t="shared" si="2"/>
        <v>10126</v>
      </c>
    </row>
    <row r="927">
      <c r="A927" s="48" t="s">
        <v>1947</v>
      </c>
      <c r="B927" s="38">
        <v>52304.0</v>
      </c>
      <c r="C927" s="38" t="s">
        <v>1948</v>
      </c>
      <c r="D927" s="38" t="str">
        <f>IFERROR(__xludf.DUMMYFUNCTION("REGEXREPLACE(C927,""-\d+(.*)|--\d+(.*)"","""")"),"MALAINCOURT-SUR-MEUSE")</f>
        <v>MALAINCOURT-SUR-MEUSE</v>
      </c>
      <c r="E927" s="38" t="s">
        <v>234</v>
      </c>
      <c r="F927" s="38" t="s">
        <v>130</v>
      </c>
      <c r="G927" s="49" t="str">
        <f t="shared" si="1"/>
        <v>52150</v>
      </c>
      <c r="H927" s="49">
        <f t="shared" si="2"/>
        <v>52304</v>
      </c>
    </row>
    <row r="928">
      <c r="A928" s="48" t="s">
        <v>1949</v>
      </c>
      <c r="B928" s="38">
        <v>32237.0</v>
      </c>
      <c r="C928" s="38" t="s">
        <v>1950</v>
      </c>
      <c r="D928" s="38" t="str">
        <f>IFERROR(__xludf.DUMMYFUNCTION("REGEXREPLACE(C928,""-\d+(.*)|--\d+(.*)"","""")"),"MARSAN")</f>
        <v>MARSAN</v>
      </c>
      <c r="E928" s="38" t="s">
        <v>440</v>
      </c>
      <c r="F928" s="38" t="s">
        <v>94</v>
      </c>
      <c r="G928" s="49" t="str">
        <f t="shared" si="1"/>
        <v>32270</v>
      </c>
      <c r="H928" s="49">
        <f t="shared" si="2"/>
        <v>32237</v>
      </c>
    </row>
    <row r="929">
      <c r="A929" s="48" t="s">
        <v>1951</v>
      </c>
      <c r="B929" s="38">
        <v>66168.0</v>
      </c>
      <c r="C929" s="38" t="s">
        <v>1952</v>
      </c>
      <c r="D929" s="38" t="str">
        <f>IFERROR(__xludf.DUMMYFUNCTION("REGEXREPLACE(C929,""-\d+(.*)|--\d+(.*)"","""")"),"SAINT-ANDRE")</f>
        <v>SAINT-ANDRE</v>
      </c>
      <c r="E929" s="38" t="s">
        <v>248</v>
      </c>
      <c r="F929" s="38" t="s">
        <v>119</v>
      </c>
      <c r="G929" s="49" t="str">
        <f t="shared" si="1"/>
        <v>66690</v>
      </c>
      <c r="H929" s="49">
        <f t="shared" si="2"/>
        <v>66168</v>
      </c>
    </row>
    <row r="930">
      <c r="A930" s="48" t="s">
        <v>1953</v>
      </c>
      <c r="B930" s="38">
        <v>36173.0</v>
      </c>
      <c r="C930" s="38" t="s">
        <v>1954</v>
      </c>
      <c r="D930" s="38" t="str">
        <f>IFERROR(__xludf.DUMMYFUNCTION("REGEXREPLACE(C930,""-\d+(.*)|--\d+(.*)"","""")"),"ROSNAY")</f>
        <v>ROSNAY</v>
      </c>
      <c r="E930" s="38" t="s">
        <v>258</v>
      </c>
      <c r="F930" s="38" t="s">
        <v>123</v>
      </c>
      <c r="G930" s="49" t="str">
        <f t="shared" si="1"/>
        <v>36300</v>
      </c>
      <c r="H930" s="49">
        <f t="shared" si="2"/>
        <v>36173</v>
      </c>
    </row>
    <row r="931">
      <c r="A931" s="48" t="s">
        <v>1955</v>
      </c>
      <c r="B931" s="38">
        <v>40310.0</v>
      </c>
      <c r="C931" s="38" t="s">
        <v>1956</v>
      </c>
      <c r="D931" s="38" t="str">
        <f>IFERROR(__xludf.DUMMYFUNCTION("REGEXREPLACE(C931,""-\d+(.*)|--\d+(.*)"","""")"),"SOUSTONS")</f>
        <v>SOUSTONS</v>
      </c>
      <c r="E931" s="38" t="s">
        <v>281</v>
      </c>
      <c r="F931" s="38" t="s">
        <v>252</v>
      </c>
      <c r="G931" s="49" t="str">
        <f t="shared" si="1"/>
        <v>40140</v>
      </c>
      <c r="H931" s="49">
        <f t="shared" si="2"/>
        <v>40310</v>
      </c>
    </row>
    <row r="932">
      <c r="A932" s="48" t="s">
        <v>1957</v>
      </c>
      <c r="B932" s="38">
        <v>12273.0</v>
      </c>
      <c r="C932" s="38" t="s">
        <v>1958</v>
      </c>
      <c r="D932" s="38" t="str">
        <f>IFERROR(__xludf.DUMMYFUNCTION("REGEXREPLACE(C932,""-\d+(.*)|--\d+(.*)"","""")"),"SOULAGES-BONNEVAL")</f>
        <v>SOULAGES-BONNEVAL</v>
      </c>
      <c r="E932" s="38" t="s">
        <v>465</v>
      </c>
      <c r="F932" s="38" t="s">
        <v>94</v>
      </c>
      <c r="G932" s="49" t="str">
        <f t="shared" si="1"/>
        <v>12210</v>
      </c>
      <c r="H932" s="49">
        <f t="shared" si="2"/>
        <v>12273</v>
      </c>
    </row>
    <row r="933">
      <c r="A933" s="48" t="s">
        <v>1959</v>
      </c>
      <c r="B933" s="38">
        <v>82130.0</v>
      </c>
      <c r="C933" s="38" t="s">
        <v>1960</v>
      </c>
      <c r="D933" s="38" t="str">
        <f>IFERROR(__xludf.DUMMYFUNCTION("REGEXREPLACE(C933,""-\d+(.*)|--\d+(.*)"","""")"),"MONTJOI")</f>
        <v>MONTJOI</v>
      </c>
      <c r="E933" s="38" t="s">
        <v>570</v>
      </c>
      <c r="F933" s="38" t="s">
        <v>94</v>
      </c>
      <c r="G933" s="49" t="str">
        <f t="shared" si="1"/>
        <v>82400</v>
      </c>
      <c r="H933" s="49">
        <f t="shared" si="2"/>
        <v>82130</v>
      </c>
    </row>
    <row r="934">
      <c r="A934" s="48" t="s">
        <v>1961</v>
      </c>
      <c r="B934" s="38">
        <v>33074.0</v>
      </c>
      <c r="C934" s="38" t="s">
        <v>1962</v>
      </c>
      <c r="D934" s="38" t="str">
        <f>IFERROR(__xludf.DUMMYFUNCTION("REGEXREPLACE(C934,""-\d+(.*)|--\d+(.*)"","""")"),"BROUQUEYRAN")</f>
        <v>BROUQUEYRAN</v>
      </c>
      <c r="E934" s="38" t="s">
        <v>462</v>
      </c>
      <c r="F934" s="38" t="s">
        <v>252</v>
      </c>
      <c r="G934" s="49" t="str">
        <f t="shared" si="1"/>
        <v>33124</v>
      </c>
      <c r="H934" s="49">
        <f t="shared" si="2"/>
        <v>33074</v>
      </c>
    </row>
    <row r="935">
      <c r="A935" s="48" t="s">
        <v>1321</v>
      </c>
      <c r="B935" s="38">
        <v>67216.0</v>
      </c>
      <c r="C935" s="38" t="s">
        <v>1963</v>
      </c>
      <c r="D935" s="38" t="str">
        <f>IFERROR(__xludf.DUMMYFUNCTION("REGEXREPLACE(C935,""-\d+(.*)|--\d+(.*)"","""")"),"HUTTENHEIM")</f>
        <v>HUTTENHEIM</v>
      </c>
      <c r="E935" s="38" t="s">
        <v>210</v>
      </c>
      <c r="F935" s="38" t="s">
        <v>151</v>
      </c>
      <c r="G935" s="49" t="str">
        <f t="shared" si="1"/>
        <v>67230</v>
      </c>
      <c r="H935" s="49">
        <f t="shared" si="2"/>
        <v>67216</v>
      </c>
    </row>
    <row r="936">
      <c r="A936" s="48" t="s">
        <v>1964</v>
      </c>
      <c r="B936" s="38">
        <v>26090.0</v>
      </c>
      <c r="C936" s="38" t="s">
        <v>1965</v>
      </c>
      <c r="D936" s="38" t="str">
        <f>IFERROR(__xludf.DUMMYFUNCTION("REGEXREPLACE(C936,""-\d+(.*)|--\d+(.*)"","""")"),"LA CHAUDIERE")</f>
        <v>LA CHAUDIERE</v>
      </c>
      <c r="E936" s="38" t="s">
        <v>126</v>
      </c>
      <c r="F936" s="38" t="s">
        <v>102</v>
      </c>
      <c r="G936" s="49" t="str">
        <f t="shared" si="1"/>
        <v>26340</v>
      </c>
      <c r="H936" s="49">
        <f t="shared" si="2"/>
        <v>26090</v>
      </c>
    </row>
    <row r="937">
      <c r="A937" s="48" t="s">
        <v>1966</v>
      </c>
      <c r="B937" s="38">
        <v>2473.0</v>
      </c>
      <c r="C937" s="38" t="s">
        <v>1967</v>
      </c>
      <c r="D937" s="38" t="str">
        <f>IFERROR(__xludf.DUMMYFUNCTION("REGEXREPLACE(C937,""-\d+(.*)|--\d+(.*)"","""")"),"MAYOT")</f>
        <v>MAYOT</v>
      </c>
      <c r="E937" s="38" t="s">
        <v>191</v>
      </c>
      <c r="F937" s="38" t="s">
        <v>113</v>
      </c>
      <c r="G937" s="49" t="str">
        <f t="shared" si="1"/>
        <v>02800</v>
      </c>
      <c r="H937" s="49" t="str">
        <f t="shared" si="2"/>
        <v>02473</v>
      </c>
    </row>
    <row r="938">
      <c r="A938" s="48" t="s">
        <v>1968</v>
      </c>
      <c r="B938" s="38">
        <v>52347.0</v>
      </c>
      <c r="C938" s="38" t="s">
        <v>1969</v>
      </c>
      <c r="D938" s="38" t="str">
        <f>IFERROR(__xludf.DUMMYFUNCTION("REGEXREPLACE(C938,""-\d+(.*)|--\d+(.*)"","""")"),"NARCY")</f>
        <v>NARCY</v>
      </c>
      <c r="E938" s="38" t="s">
        <v>234</v>
      </c>
      <c r="F938" s="38" t="s">
        <v>130</v>
      </c>
      <c r="G938" s="49" t="str">
        <f t="shared" si="1"/>
        <v>52170</v>
      </c>
      <c r="H938" s="49">
        <f t="shared" si="2"/>
        <v>52347</v>
      </c>
    </row>
    <row r="939">
      <c r="A939" s="48" t="s">
        <v>1970</v>
      </c>
      <c r="B939" s="38">
        <v>74289.0</v>
      </c>
      <c r="C939" s="38" t="s">
        <v>1971</v>
      </c>
      <c r="D939" s="38" t="str">
        <f>IFERROR(__xludf.DUMMYFUNCTION("REGEXREPLACE(C939,""-\d+(.*)|--\d+(.*)"","""")"),"VALLIERES")</f>
        <v>VALLIERES</v>
      </c>
      <c r="E939" s="38" t="s">
        <v>319</v>
      </c>
      <c r="F939" s="38" t="s">
        <v>102</v>
      </c>
      <c r="G939" s="49" t="str">
        <f t="shared" si="1"/>
        <v>74150</v>
      </c>
      <c r="H939" s="49">
        <f t="shared" si="2"/>
        <v>74289</v>
      </c>
    </row>
    <row r="940">
      <c r="A940" s="48" t="s">
        <v>1972</v>
      </c>
      <c r="B940" s="38">
        <v>57603.0</v>
      </c>
      <c r="C940" s="38" t="s">
        <v>1973</v>
      </c>
      <c r="D940" s="38" t="str">
        <f>IFERROR(__xludf.DUMMYFUNCTION("REGEXREPLACE(C940,""-\d+(.*)|--\d+(.*)"","""")"),"RUSSANGE")</f>
        <v>RUSSANGE</v>
      </c>
      <c r="E940" s="38" t="s">
        <v>303</v>
      </c>
      <c r="F940" s="38" t="s">
        <v>195</v>
      </c>
      <c r="G940" s="49" t="str">
        <f t="shared" si="1"/>
        <v>57390</v>
      </c>
      <c r="H940" s="49">
        <f t="shared" si="2"/>
        <v>57603</v>
      </c>
    </row>
    <row r="941">
      <c r="A941" s="48" t="s">
        <v>1974</v>
      </c>
      <c r="B941" s="38">
        <v>59358.0</v>
      </c>
      <c r="C941" s="38" t="s">
        <v>1975</v>
      </c>
      <c r="D941" s="38" t="str">
        <f>IFERROR(__xludf.DUMMYFUNCTION("REGEXREPLACE(C941,""-\d+(.*)|--\d+(.*)"","""")"),"LOOBERGHE")</f>
        <v>LOOBERGHE</v>
      </c>
      <c r="E941" s="38" t="s">
        <v>85</v>
      </c>
      <c r="F941" s="38" t="s">
        <v>86</v>
      </c>
      <c r="G941" s="49" t="str">
        <f t="shared" si="1"/>
        <v>59630</v>
      </c>
      <c r="H941" s="49">
        <f t="shared" si="2"/>
        <v>59358</v>
      </c>
    </row>
    <row r="942">
      <c r="A942" s="48" t="s">
        <v>1976</v>
      </c>
      <c r="B942" s="38">
        <v>1160.0</v>
      </c>
      <c r="C942" s="38" t="s">
        <v>1977</v>
      </c>
      <c r="D942" s="38" t="str">
        <f>IFERROR(__xludf.DUMMYFUNCTION("REGEXREPLACE(C942,""-\d+(.*)|--\d+(.*)"","""")"),"FERNEY-VOLTAIRE")</f>
        <v>FERNEY-VOLTAIRE</v>
      </c>
      <c r="E942" s="38" t="s">
        <v>255</v>
      </c>
      <c r="F942" s="38" t="s">
        <v>102</v>
      </c>
      <c r="G942" s="49" t="str">
        <f t="shared" si="1"/>
        <v>01210</v>
      </c>
      <c r="H942" s="49" t="str">
        <f t="shared" si="2"/>
        <v>01160</v>
      </c>
    </row>
    <row r="943">
      <c r="A943" s="48" t="s">
        <v>1978</v>
      </c>
      <c r="B943" s="38">
        <v>88208.0</v>
      </c>
      <c r="C943" s="38" t="s">
        <v>1979</v>
      </c>
      <c r="D943" s="38" t="str">
        <f>IFERROR(__xludf.DUMMYFUNCTION("REGEXREPLACE(C943,""-\d+(.*)|--\d+(.*)"","""")"),"GODONCOURT")</f>
        <v>GODONCOURT</v>
      </c>
      <c r="E943" s="38" t="s">
        <v>194</v>
      </c>
      <c r="F943" s="38" t="s">
        <v>195</v>
      </c>
      <c r="G943" s="49" t="str">
        <f t="shared" si="1"/>
        <v>88410</v>
      </c>
      <c r="H943" s="49">
        <f t="shared" si="2"/>
        <v>88208</v>
      </c>
    </row>
    <row r="944">
      <c r="A944" s="48" t="s">
        <v>1980</v>
      </c>
      <c r="B944" s="38">
        <v>45169.0</v>
      </c>
      <c r="C944" s="38" t="s">
        <v>1981</v>
      </c>
      <c r="D944" s="38" t="str">
        <f>IFERROR(__xludf.DUMMYFUNCTION("REGEXREPLACE(C944,""-\d+(.*)|--\d+(.*)"","""")"),"INGRE")</f>
        <v>INGRE</v>
      </c>
      <c r="E944" s="38" t="s">
        <v>122</v>
      </c>
      <c r="F944" s="38" t="s">
        <v>123</v>
      </c>
      <c r="G944" s="49" t="str">
        <f t="shared" si="1"/>
        <v>45140</v>
      </c>
      <c r="H944" s="49">
        <f t="shared" si="2"/>
        <v>45169</v>
      </c>
    </row>
    <row r="945">
      <c r="A945" s="48" t="s">
        <v>1982</v>
      </c>
      <c r="B945" s="38">
        <v>60320.0</v>
      </c>
      <c r="C945" s="38" t="s">
        <v>1983</v>
      </c>
      <c r="D945" s="38" t="str">
        <f>IFERROR(__xludf.DUMMYFUNCTION("REGEXREPLACE(C945,""-\d+(.*)|--\d+(.*)"","""")"),"IVORS")</f>
        <v>IVORS</v>
      </c>
      <c r="E945" s="38" t="s">
        <v>112</v>
      </c>
      <c r="F945" s="38" t="s">
        <v>113</v>
      </c>
      <c r="G945" s="49" t="str">
        <f t="shared" si="1"/>
        <v>60141</v>
      </c>
      <c r="H945" s="49">
        <f t="shared" si="2"/>
        <v>60320</v>
      </c>
    </row>
    <row r="946">
      <c r="A946" s="48" t="s">
        <v>1984</v>
      </c>
      <c r="B946" s="38">
        <v>76057.0</v>
      </c>
      <c r="C946" s="38" t="s">
        <v>1985</v>
      </c>
      <c r="D946" s="38" t="str">
        <f>IFERROR(__xludf.DUMMYFUNCTION("REGEXREPLACE(C946,""-\d+(.*)|--\d+(.*)"","""")"),"BARENTIN")</f>
        <v>BARENTIN</v>
      </c>
      <c r="E946" s="38" t="s">
        <v>133</v>
      </c>
      <c r="F946" s="38" t="s">
        <v>134</v>
      </c>
      <c r="G946" s="49" t="str">
        <f t="shared" si="1"/>
        <v>76360</v>
      </c>
      <c r="H946" s="49">
        <f t="shared" si="2"/>
        <v>76057</v>
      </c>
    </row>
    <row r="947">
      <c r="A947" s="48" t="s">
        <v>1986</v>
      </c>
      <c r="B947" s="38">
        <v>79200.0</v>
      </c>
      <c r="C947" s="38" t="s">
        <v>1987</v>
      </c>
      <c r="D947" s="38" t="str">
        <f>IFERROR(__xludf.DUMMYFUNCTION("REGEXREPLACE(C947,""-\d+(.*)|--\d+(.*)"","""")"),"PAMPLIE")</f>
        <v>PAMPLIE</v>
      </c>
      <c r="E947" s="38" t="s">
        <v>337</v>
      </c>
      <c r="F947" s="38" t="s">
        <v>338</v>
      </c>
      <c r="G947" s="49" t="str">
        <f t="shared" si="1"/>
        <v>79220</v>
      </c>
      <c r="H947" s="49">
        <f t="shared" si="2"/>
        <v>79200</v>
      </c>
    </row>
    <row r="948">
      <c r="A948" s="48" t="s">
        <v>834</v>
      </c>
      <c r="B948" s="38">
        <v>25466.0</v>
      </c>
      <c r="C948" s="38" t="s">
        <v>1988</v>
      </c>
      <c r="D948" s="38" t="str">
        <f>IFERROR(__xludf.DUMMYFUNCTION("REGEXREPLACE(C948,""-\d+(.*)|--\d+(.*)"","""")"),"POUILLEY-FRANCAIS")</f>
        <v>POUILLEY-FRANCAIS</v>
      </c>
      <c r="E948" s="38" t="s">
        <v>213</v>
      </c>
      <c r="F948" s="38" t="s">
        <v>214</v>
      </c>
      <c r="G948" s="49" t="str">
        <f t="shared" si="1"/>
        <v>25410</v>
      </c>
      <c r="H948" s="49">
        <f t="shared" si="2"/>
        <v>25466</v>
      </c>
    </row>
    <row r="949">
      <c r="A949" s="48" t="s">
        <v>1989</v>
      </c>
      <c r="B949" s="38">
        <v>60396.0</v>
      </c>
      <c r="C949" s="38" t="s">
        <v>1990</v>
      </c>
      <c r="D949" s="38" t="str">
        <f>IFERROR(__xludf.DUMMYFUNCTION("REGEXREPLACE(C949,""-\d+(.*)|--\d+(.*)"","""")"),"MERY-LA-BATAILLE")</f>
        <v>MERY-LA-BATAILLE</v>
      </c>
      <c r="E949" s="38" t="s">
        <v>112</v>
      </c>
      <c r="F949" s="38" t="s">
        <v>113</v>
      </c>
      <c r="G949" s="49" t="str">
        <f t="shared" si="1"/>
        <v>60420</v>
      </c>
      <c r="H949" s="49">
        <f t="shared" si="2"/>
        <v>60396</v>
      </c>
    </row>
    <row r="950">
      <c r="A950" s="48" t="s">
        <v>1991</v>
      </c>
      <c r="B950" s="38">
        <v>54200.0</v>
      </c>
      <c r="C950" s="38" t="s">
        <v>1992</v>
      </c>
      <c r="D950" s="38" t="str">
        <f>IFERROR(__xludf.DUMMYFUNCTION("REGEXREPLACE(C950,""-\d+(.*)|--\d+(.*)"","""")"),"FLIREY")</f>
        <v>FLIREY</v>
      </c>
      <c r="E950" s="38" t="s">
        <v>548</v>
      </c>
      <c r="F950" s="38" t="s">
        <v>195</v>
      </c>
      <c r="G950" s="49" t="str">
        <f t="shared" si="1"/>
        <v>54470</v>
      </c>
      <c r="H950" s="49">
        <f t="shared" si="2"/>
        <v>54200</v>
      </c>
    </row>
    <row r="951">
      <c r="A951" s="48" t="s">
        <v>1993</v>
      </c>
      <c r="B951" s="38">
        <v>2468.0</v>
      </c>
      <c r="C951" s="38" t="s">
        <v>1994</v>
      </c>
      <c r="D951" s="38" t="str">
        <f>IFERROR(__xludf.DUMMYFUNCTION("REGEXREPLACE(C951,""-\d+(.*)|--\d+(.*)"","""")"),"MARLE")</f>
        <v>MARLE</v>
      </c>
      <c r="E951" s="38" t="s">
        <v>191</v>
      </c>
      <c r="F951" s="38" t="s">
        <v>113</v>
      </c>
      <c r="G951" s="49" t="str">
        <f t="shared" si="1"/>
        <v>02250</v>
      </c>
      <c r="H951" s="49" t="str">
        <f t="shared" si="2"/>
        <v>02468</v>
      </c>
    </row>
    <row r="952">
      <c r="A952" s="48" t="s">
        <v>1995</v>
      </c>
      <c r="B952" s="38">
        <v>77031.0</v>
      </c>
      <c r="C952" s="38" t="s">
        <v>1996</v>
      </c>
      <c r="D952" s="38" t="str">
        <f>IFERROR(__xludf.DUMMYFUNCTION("REGEXREPLACE(C952,""-\d+(.*)|--\d+(.*)"","""")"),"BERNAY-VILBERT")</f>
        <v>BERNAY-VILBERT</v>
      </c>
      <c r="E952" s="38" t="s">
        <v>244</v>
      </c>
      <c r="F952" s="38" t="s">
        <v>245</v>
      </c>
      <c r="G952" s="49" t="str">
        <f t="shared" si="1"/>
        <v>77540</v>
      </c>
      <c r="H952" s="49">
        <f t="shared" si="2"/>
        <v>77031</v>
      </c>
    </row>
    <row r="953">
      <c r="A953" s="48" t="s">
        <v>1997</v>
      </c>
      <c r="B953" s="38">
        <v>21433.0</v>
      </c>
      <c r="C953" s="38" t="s">
        <v>1998</v>
      </c>
      <c r="D953" s="38" t="str">
        <f>IFERROR(__xludf.DUMMYFUNCTION("REGEXREPLACE(C953,""-\d+(.*)|--\d+(.*)"","""")"),"MONTIGNY-MORNAY-VILLENEUVE-SUR-VINGEANNE")</f>
        <v>MONTIGNY-MORNAY-VILLENEUVE-SUR-VINGEANNE</v>
      </c>
      <c r="E953" s="38" t="s">
        <v>105</v>
      </c>
      <c r="F953" s="38" t="s">
        <v>106</v>
      </c>
      <c r="G953" s="49" t="str">
        <f t="shared" si="1"/>
        <v>21610</v>
      </c>
      <c r="H953" s="49">
        <f t="shared" si="2"/>
        <v>21433</v>
      </c>
    </row>
    <row r="954">
      <c r="A954" s="48" t="s">
        <v>1999</v>
      </c>
      <c r="B954" s="38">
        <v>2669.0</v>
      </c>
      <c r="C954" s="38" t="s">
        <v>2000</v>
      </c>
      <c r="D954" s="38" t="str">
        <f>IFERROR(__xludf.DUMMYFUNCTION("REGEXREPLACE(C954,""-\d+(.*)|--\d+(.*)"","""")"),"SAINT-AGNAN")</f>
        <v>SAINT-AGNAN</v>
      </c>
      <c r="E954" s="38" t="s">
        <v>191</v>
      </c>
      <c r="F954" s="38" t="s">
        <v>113</v>
      </c>
      <c r="G954" s="49" t="str">
        <f t="shared" si="1"/>
        <v>02330</v>
      </c>
      <c r="H954" s="49" t="str">
        <f t="shared" si="2"/>
        <v>02669</v>
      </c>
    </row>
    <row r="955">
      <c r="A955" s="48" t="s">
        <v>887</v>
      </c>
      <c r="B955" s="38">
        <v>62572.0</v>
      </c>
      <c r="C955" s="38" t="s">
        <v>2001</v>
      </c>
      <c r="D955" s="38" t="str">
        <f>IFERROR(__xludf.DUMMYFUNCTION("REGEXREPLACE(C955,""-\d+(.*)|--\d+(.*)"","""")"),"METZ-EN-COUTURE")</f>
        <v>METZ-EN-COUTURE</v>
      </c>
      <c r="E955" s="38" t="s">
        <v>109</v>
      </c>
      <c r="F955" s="38" t="s">
        <v>86</v>
      </c>
      <c r="G955" s="49" t="str">
        <f t="shared" si="1"/>
        <v>62124</v>
      </c>
      <c r="H955" s="49">
        <f t="shared" si="2"/>
        <v>62572</v>
      </c>
    </row>
    <row r="956">
      <c r="A956" s="48" t="s">
        <v>2002</v>
      </c>
      <c r="B956" s="38">
        <v>57683.0</v>
      </c>
      <c r="C956" s="38" t="s">
        <v>2003</v>
      </c>
      <c r="D956" s="38" t="str">
        <f>IFERROR(__xludf.DUMMYFUNCTION("REGEXREPLACE(C956,""-\d+(.*)|--\d+(.*)"","""")"),"UCKANGE")</f>
        <v>UCKANGE</v>
      </c>
      <c r="E956" s="38" t="s">
        <v>303</v>
      </c>
      <c r="F956" s="38" t="s">
        <v>195</v>
      </c>
      <c r="G956" s="49" t="str">
        <f t="shared" si="1"/>
        <v>57270</v>
      </c>
      <c r="H956" s="49">
        <f t="shared" si="2"/>
        <v>57683</v>
      </c>
    </row>
    <row r="957">
      <c r="A957" s="48" t="s">
        <v>2004</v>
      </c>
      <c r="B957" s="38">
        <v>88107.0</v>
      </c>
      <c r="C957" s="38" t="s">
        <v>2005</v>
      </c>
      <c r="D957" s="38" t="str">
        <f>IFERROR(__xludf.DUMMYFUNCTION("REGEXREPLACE(C957,""-\d+(.*)|--\d+(.*)"","""")"),"CLEREY-LA-COTE")</f>
        <v>CLEREY-LA-COTE</v>
      </c>
      <c r="E957" s="38" t="s">
        <v>194</v>
      </c>
      <c r="F957" s="38" t="s">
        <v>195</v>
      </c>
      <c r="G957" s="49" t="str">
        <f t="shared" si="1"/>
        <v>88630</v>
      </c>
      <c r="H957" s="49">
        <f t="shared" si="2"/>
        <v>88107</v>
      </c>
    </row>
    <row r="958">
      <c r="A958" s="48" t="s">
        <v>2006</v>
      </c>
      <c r="B958" s="38">
        <v>73047.0</v>
      </c>
      <c r="C958" s="38" t="s">
        <v>2007</v>
      </c>
      <c r="D958" s="38" t="str">
        <f>IFERROR(__xludf.DUMMYFUNCTION("REGEXREPLACE(C958,""-\d+(.*)|--\d+(.*)"","""")"),"BONNEVAL-SUR-ARC")</f>
        <v>BONNEVAL-SUR-ARC</v>
      </c>
      <c r="E958" s="38" t="s">
        <v>306</v>
      </c>
      <c r="F958" s="38" t="s">
        <v>102</v>
      </c>
      <c r="G958" s="49" t="str">
        <f t="shared" si="1"/>
        <v>73480</v>
      </c>
      <c r="H958" s="49">
        <f t="shared" si="2"/>
        <v>73047</v>
      </c>
    </row>
    <row r="959">
      <c r="A959" s="48" t="s">
        <v>2008</v>
      </c>
      <c r="B959" s="38">
        <v>46108.0</v>
      </c>
      <c r="C959" s="38" t="s">
        <v>2009</v>
      </c>
      <c r="D959" s="38" t="str">
        <f>IFERROR(__xludf.DUMMYFUNCTION("REGEXREPLACE(C959,""-\d+(.*)|--\d+(.*)"","""")"),"FONS")</f>
        <v>FONS</v>
      </c>
      <c r="E959" s="38" t="s">
        <v>185</v>
      </c>
      <c r="F959" s="38" t="s">
        <v>94</v>
      </c>
      <c r="G959" s="49" t="str">
        <f t="shared" si="1"/>
        <v>46100</v>
      </c>
      <c r="H959" s="49">
        <f t="shared" si="2"/>
        <v>46108</v>
      </c>
    </row>
    <row r="960">
      <c r="A960" s="48" t="s">
        <v>2010</v>
      </c>
      <c r="B960" s="38">
        <v>49324.0</v>
      </c>
      <c r="C960" s="38" t="s">
        <v>2011</v>
      </c>
      <c r="D960" s="38" t="str">
        <f>IFERROR(__xludf.DUMMYFUNCTION("REGEXREPLACE(C960,""-\d+(.*)|--\d+(.*)"","""")"),"LA SALLE-ET-CHAPELLE-AUBRY")</f>
        <v>LA SALLE-ET-CHAPELLE-AUBRY</v>
      </c>
      <c r="E960" s="38" t="s">
        <v>653</v>
      </c>
      <c r="F960" s="38" t="s">
        <v>180</v>
      </c>
      <c r="G960" s="49" t="str">
        <f t="shared" si="1"/>
        <v>49110</v>
      </c>
      <c r="H960" s="49">
        <f t="shared" si="2"/>
        <v>49324</v>
      </c>
    </row>
    <row r="961">
      <c r="A961" s="48" t="s">
        <v>1182</v>
      </c>
      <c r="B961" s="38">
        <v>67108.0</v>
      </c>
      <c r="C961" s="38" t="s">
        <v>2012</v>
      </c>
      <c r="D961" s="38" t="str">
        <f>IFERROR(__xludf.DUMMYFUNCTION("REGEXREPLACE(C961,""-\d+(.*)|--\d+(.*)"","""")"),"DUPPIGHEIM")</f>
        <v>DUPPIGHEIM</v>
      </c>
      <c r="E961" s="38" t="s">
        <v>210</v>
      </c>
      <c r="F961" s="38" t="s">
        <v>151</v>
      </c>
      <c r="G961" s="49" t="str">
        <f t="shared" si="1"/>
        <v>67120</v>
      </c>
      <c r="H961" s="49">
        <f t="shared" si="2"/>
        <v>67108</v>
      </c>
    </row>
    <row r="962">
      <c r="A962" s="48" t="s">
        <v>1272</v>
      </c>
      <c r="B962" s="38">
        <v>51260.0</v>
      </c>
      <c r="C962" s="38" t="s">
        <v>2013</v>
      </c>
      <c r="D962" s="38" t="str">
        <f>IFERROR(__xludf.DUMMYFUNCTION("REGEXREPLACE(C962,""-\d+(.*)|--\d+(.*)"","""")"),"LE FRESNE")</f>
        <v>LE FRESNE</v>
      </c>
      <c r="E962" s="38" t="s">
        <v>129</v>
      </c>
      <c r="F962" s="38" t="s">
        <v>130</v>
      </c>
      <c r="G962" s="49" t="str">
        <f t="shared" si="1"/>
        <v>51240</v>
      </c>
      <c r="H962" s="49">
        <f t="shared" si="2"/>
        <v>51260</v>
      </c>
    </row>
    <row r="963">
      <c r="A963" s="48" t="s">
        <v>2014</v>
      </c>
      <c r="B963" s="38">
        <v>57499.0</v>
      </c>
      <c r="C963" s="38" t="s">
        <v>2015</v>
      </c>
      <c r="D963" s="38" t="str">
        <f>IFERROR(__xludf.DUMMYFUNCTION("REGEXREPLACE(C963,""-\d+(.*)|--\d+(.*)"","""")"),"NEUFGRANGE")</f>
        <v>NEUFGRANGE</v>
      </c>
      <c r="E963" s="38" t="s">
        <v>303</v>
      </c>
      <c r="F963" s="38" t="s">
        <v>195</v>
      </c>
      <c r="G963" s="49" t="str">
        <f t="shared" si="1"/>
        <v>57910</v>
      </c>
      <c r="H963" s="49">
        <f t="shared" si="2"/>
        <v>57499</v>
      </c>
    </row>
    <row r="964">
      <c r="A964" s="48" t="s">
        <v>2016</v>
      </c>
      <c r="B964" s="38">
        <v>50159.0</v>
      </c>
      <c r="C964" s="38" t="s">
        <v>2017</v>
      </c>
      <c r="D964" s="38" t="str">
        <f>IFERROR(__xludf.DUMMYFUNCTION("REGEXREPLACE(C964,""-\d+(.*)|--\d+(.*)"","""")"),"DANGY")</f>
        <v>DANGY</v>
      </c>
      <c r="E964" s="38" t="s">
        <v>157</v>
      </c>
      <c r="F964" s="38" t="s">
        <v>138</v>
      </c>
      <c r="G964" s="49" t="str">
        <f t="shared" si="1"/>
        <v>50750</v>
      </c>
      <c r="H964" s="49">
        <f t="shared" si="2"/>
        <v>50159</v>
      </c>
    </row>
    <row r="965">
      <c r="A965" s="48" t="s">
        <v>1646</v>
      </c>
      <c r="B965" s="38">
        <v>24208.0</v>
      </c>
      <c r="C965" s="38" t="s">
        <v>2018</v>
      </c>
      <c r="D965" s="38" t="str">
        <f>IFERROR(__xludf.DUMMYFUNCTION("REGEXREPLACE(C965,""-\d+(.*)|--\d+(.*)"","""")"),"GRUN-BORDAS")</f>
        <v>GRUN-BORDAS</v>
      </c>
      <c r="E965" s="38" t="s">
        <v>261</v>
      </c>
      <c r="F965" s="38" t="s">
        <v>252</v>
      </c>
      <c r="G965" s="49" t="str">
        <f t="shared" si="1"/>
        <v>24380</v>
      </c>
      <c r="H965" s="49">
        <f t="shared" si="2"/>
        <v>24208</v>
      </c>
    </row>
    <row r="966">
      <c r="A966" s="48" t="s">
        <v>2019</v>
      </c>
      <c r="B966" s="38">
        <v>90043.0</v>
      </c>
      <c r="C966" s="38" t="s">
        <v>2020</v>
      </c>
      <c r="D966" s="38" t="str">
        <f>IFERROR(__xludf.DUMMYFUNCTION("REGEXREPLACE(C966,""-\d+(.*)|--\d+(.*)"","""")"),"FAVEROIS")</f>
        <v>FAVEROIS</v>
      </c>
      <c r="E966" s="38" t="s">
        <v>1283</v>
      </c>
      <c r="F966" s="38" t="s">
        <v>214</v>
      </c>
      <c r="G966" s="49" t="str">
        <f t="shared" si="1"/>
        <v>90100</v>
      </c>
      <c r="H966" s="49">
        <f t="shared" si="2"/>
        <v>90043</v>
      </c>
    </row>
    <row r="967">
      <c r="A967" s="48" t="s">
        <v>2021</v>
      </c>
      <c r="B967" s="38">
        <v>97109.0</v>
      </c>
      <c r="C967" s="38" t="s">
        <v>2022</v>
      </c>
      <c r="D967" s="38" t="str">
        <f>IFERROR(__xludf.DUMMYFUNCTION("REGEXREPLACE(C967,""-\d+(.*)|--\d+(.*)"","""")"),"GOURBEYRE")</f>
        <v>GOURBEYRE</v>
      </c>
      <c r="E967" s="38" t="s">
        <v>2023</v>
      </c>
      <c r="F967" s="38" t="s">
        <v>2023</v>
      </c>
      <c r="G967" s="49" t="str">
        <f t="shared" si="1"/>
        <v>97113</v>
      </c>
      <c r="H967" s="49">
        <f t="shared" si="2"/>
        <v>97109</v>
      </c>
    </row>
    <row r="968">
      <c r="A968" s="48" t="s">
        <v>162</v>
      </c>
      <c r="B968" s="38">
        <v>31119.0</v>
      </c>
      <c r="C968" s="38" t="s">
        <v>2024</v>
      </c>
      <c r="D968" s="38" t="str">
        <f>IFERROR(__xludf.DUMMYFUNCTION("REGEXREPLACE(C968,""-\d+(.*)|--\d+(.*)"","""")"),"CASTELNAU-PICAMPEAU")</f>
        <v>CASTELNAU-PICAMPEAU</v>
      </c>
      <c r="E968" s="38" t="s">
        <v>93</v>
      </c>
      <c r="F968" s="38" t="s">
        <v>94</v>
      </c>
      <c r="G968" s="49" t="str">
        <f t="shared" si="1"/>
        <v>31430</v>
      </c>
      <c r="H968" s="49">
        <f t="shared" si="2"/>
        <v>31119</v>
      </c>
    </row>
    <row r="969">
      <c r="A969" s="48" t="s">
        <v>2025</v>
      </c>
      <c r="B969" s="38">
        <v>34123.0</v>
      </c>
      <c r="C969" s="38" t="s">
        <v>2026</v>
      </c>
      <c r="D969" s="38" t="str">
        <f>IFERROR(__xludf.DUMMYFUNCTION("REGEXREPLACE(C969,""-\d+(.*)|--\d+(.*)"","""")"),"JUVIGNAC")</f>
        <v>JUVIGNAC</v>
      </c>
      <c r="E969" s="38" t="s">
        <v>118</v>
      </c>
      <c r="F969" s="38" t="s">
        <v>119</v>
      </c>
      <c r="G969" s="49" t="str">
        <f t="shared" si="1"/>
        <v>34990</v>
      </c>
      <c r="H969" s="49">
        <f t="shared" si="2"/>
        <v>34123</v>
      </c>
    </row>
    <row r="970">
      <c r="A970" s="48" t="s">
        <v>2027</v>
      </c>
      <c r="B970" s="38">
        <v>77285.0</v>
      </c>
      <c r="C970" s="38" t="s">
        <v>2028</v>
      </c>
      <c r="D970" s="38" t="str">
        <f>IFERROR(__xludf.DUMMYFUNCTION("REGEXREPLACE(C970,""-\d+(.*)|--\d+(.*)"","""")"),"LE MEE-SUR-SEINE")</f>
        <v>LE MEE-SUR-SEINE</v>
      </c>
      <c r="E970" s="38" t="s">
        <v>244</v>
      </c>
      <c r="F970" s="38" t="s">
        <v>245</v>
      </c>
      <c r="G970" s="49" t="str">
        <f t="shared" si="1"/>
        <v>77350</v>
      </c>
      <c r="H970" s="49">
        <f t="shared" si="2"/>
        <v>77285</v>
      </c>
    </row>
    <row r="971">
      <c r="A971" s="48" t="s">
        <v>2029</v>
      </c>
      <c r="B971" s="38">
        <v>50249.0</v>
      </c>
      <c r="C971" s="38" t="s">
        <v>2030</v>
      </c>
      <c r="D971" s="38" t="str">
        <f>IFERROR(__xludf.DUMMYFUNCTION("REGEXREPLACE(C971,""-\d+(.*)|--\d+(.*)"","""")"),"HOUESVILLE")</f>
        <v>HOUESVILLE</v>
      </c>
      <c r="E971" s="38" t="s">
        <v>157</v>
      </c>
      <c r="F971" s="38" t="s">
        <v>138</v>
      </c>
      <c r="G971" s="49" t="str">
        <f t="shared" si="1"/>
        <v>50480</v>
      </c>
      <c r="H971" s="49">
        <f t="shared" si="2"/>
        <v>50249</v>
      </c>
    </row>
    <row r="972">
      <c r="A972" s="48" t="s">
        <v>2031</v>
      </c>
      <c r="B972" s="38">
        <v>62393.0</v>
      </c>
      <c r="C972" s="38" t="s">
        <v>2032</v>
      </c>
      <c r="D972" s="38" t="str">
        <f>IFERROR(__xludf.DUMMYFUNCTION("REGEXREPLACE(C972,""-\d+(.*)|--\d+(.*)"","""")"),"GUEMPS")</f>
        <v>GUEMPS</v>
      </c>
      <c r="E972" s="38" t="s">
        <v>109</v>
      </c>
      <c r="F972" s="38" t="s">
        <v>86</v>
      </c>
      <c r="G972" s="49" t="str">
        <f t="shared" si="1"/>
        <v>62370</v>
      </c>
      <c r="H972" s="49">
        <f t="shared" si="2"/>
        <v>62393</v>
      </c>
    </row>
    <row r="973">
      <c r="A973" s="48" t="s">
        <v>2033</v>
      </c>
      <c r="B973" s="38">
        <v>18284.0</v>
      </c>
      <c r="C973" s="38" t="s">
        <v>2034</v>
      </c>
      <c r="D973" s="38" t="str">
        <f>IFERROR(__xludf.DUMMYFUNCTION("REGEXREPLACE(C973,""-\d+(.*)|--\d+(.*)"","""")"),"VILLEGENON")</f>
        <v>VILLEGENON</v>
      </c>
      <c r="E973" s="38" t="s">
        <v>504</v>
      </c>
      <c r="F973" s="38" t="s">
        <v>123</v>
      </c>
      <c r="G973" s="49" t="str">
        <f t="shared" si="1"/>
        <v>18260</v>
      </c>
      <c r="H973" s="49">
        <f t="shared" si="2"/>
        <v>18284</v>
      </c>
    </row>
    <row r="974">
      <c r="A974" s="48" t="s">
        <v>2035</v>
      </c>
      <c r="B974" s="38">
        <v>64046.0</v>
      </c>
      <c r="C974" s="38" t="s">
        <v>2036</v>
      </c>
      <c r="D974" s="38" t="str">
        <f>IFERROR(__xludf.DUMMYFUNCTION("REGEXREPLACE(C974,""-\d+(.*)|--\d+(.*)"","""")"),"ARMENDARITS")</f>
        <v>ARMENDARITS</v>
      </c>
      <c r="E974" s="38" t="s">
        <v>268</v>
      </c>
      <c r="F974" s="38" t="s">
        <v>252</v>
      </c>
      <c r="G974" s="49" t="str">
        <f t="shared" si="1"/>
        <v>64640</v>
      </c>
      <c r="H974" s="49">
        <f t="shared" si="2"/>
        <v>64046</v>
      </c>
    </row>
    <row r="975">
      <c r="A975" s="48" t="s">
        <v>1542</v>
      </c>
      <c r="B975" s="38">
        <v>24377.0</v>
      </c>
      <c r="C975" s="38" t="s">
        <v>2037</v>
      </c>
      <c r="D975" s="38" t="str">
        <f>IFERROR(__xludf.DUMMYFUNCTION("REGEXREPLACE(C975,""-\d+(.*)|--\d+(.*)"","""")"),"SAINT-AVIT-DE-VIALARD")</f>
        <v>SAINT-AVIT-DE-VIALARD</v>
      </c>
      <c r="E975" s="38" t="s">
        <v>261</v>
      </c>
      <c r="F975" s="38" t="s">
        <v>252</v>
      </c>
      <c r="G975" s="49" t="str">
        <f t="shared" si="1"/>
        <v>24260</v>
      </c>
      <c r="H975" s="49">
        <f t="shared" si="2"/>
        <v>24377</v>
      </c>
    </row>
    <row r="976">
      <c r="A976" s="48" t="s">
        <v>2038</v>
      </c>
      <c r="B976" s="38">
        <v>62043.0</v>
      </c>
      <c r="C976" s="38" t="s">
        <v>2039</v>
      </c>
      <c r="D976" s="38" t="str">
        <f>IFERROR(__xludf.DUMMYFUNCTION("REGEXREPLACE(C976,""-\d+(.*)|--\d+(.*)"","""")"),"LES ATTAQUES")</f>
        <v>LES ATTAQUES</v>
      </c>
      <c r="E976" s="38" t="s">
        <v>109</v>
      </c>
      <c r="F976" s="38" t="s">
        <v>86</v>
      </c>
      <c r="G976" s="49" t="str">
        <f t="shared" si="1"/>
        <v>62730</v>
      </c>
      <c r="H976" s="49">
        <f t="shared" si="2"/>
        <v>62043</v>
      </c>
    </row>
    <row r="977">
      <c r="A977" s="48" t="s">
        <v>2040</v>
      </c>
      <c r="B977" s="38">
        <v>59529.0</v>
      </c>
      <c r="C977" s="38" t="s">
        <v>2041</v>
      </c>
      <c r="D977" s="38" t="str">
        <f>IFERROR(__xludf.DUMMYFUNCTION("REGEXREPLACE(C977,""-\d+(.*)|--\d+(.*)"","""")"),"SAINT-AUBIN")</f>
        <v>SAINT-AUBIN</v>
      </c>
      <c r="E977" s="38" t="s">
        <v>85</v>
      </c>
      <c r="F977" s="38" t="s">
        <v>86</v>
      </c>
      <c r="G977" s="49" t="str">
        <f t="shared" si="1"/>
        <v>59440</v>
      </c>
      <c r="H977" s="49">
        <f t="shared" si="2"/>
        <v>59529</v>
      </c>
    </row>
    <row r="978">
      <c r="A978" s="48" t="s">
        <v>2042</v>
      </c>
      <c r="B978" s="38">
        <v>80186.0</v>
      </c>
      <c r="C978" s="38" t="s">
        <v>2043</v>
      </c>
      <c r="D978" s="38" t="str">
        <f>IFERROR(__xludf.DUMMYFUNCTION("REGEXREPLACE(C978,""-\d+(.*)|--\d+(.*)"","""")"),"CHAULNES")</f>
        <v>CHAULNES</v>
      </c>
      <c r="E978" s="38" t="s">
        <v>224</v>
      </c>
      <c r="F978" s="38" t="s">
        <v>113</v>
      </c>
      <c r="G978" s="49" t="str">
        <f t="shared" si="1"/>
        <v>80320</v>
      </c>
      <c r="H978" s="49">
        <f t="shared" si="2"/>
        <v>80186</v>
      </c>
    </row>
    <row r="979">
      <c r="A979" s="48" t="s">
        <v>1526</v>
      </c>
      <c r="B979" s="38">
        <v>60596.0</v>
      </c>
      <c r="C979" s="38" t="s">
        <v>2044</v>
      </c>
      <c r="D979" s="38" t="str">
        <f>IFERROR(__xludf.DUMMYFUNCTION("REGEXREPLACE(C979,""-\d+(.*)|--\d+(.*)"","""")"),"SAINT-SAMSON-LA-POTERIE")</f>
        <v>SAINT-SAMSON-LA-POTERIE</v>
      </c>
      <c r="E979" s="38" t="s">
        <v>112</v>
      </c>
      <c r="F979" s="38" t="s">
        <v>113</v>
      </c>
      <c r="G979" s="49" t="str">
        <f t="shared" si="1"/>
        <v>60220</v>
      </c>
      <c r="H979" s="49">
        <f t="shared" si="2"/>
        <v>60596</v>
      </c>
    </row>
    <row r="980">
      <c r="A980" s="48" t="s">
        <v>2045</v>
      </c>
      <c r="B980" s="38">
        <v>39227.0</v>
      </c>
      <c r="C980" s="38" t="s">
        <v>2046</v>
      </c>
      <c r="D980" s="38" t="str">
        <f>IFERROR(__xludf.DUMMYFUNCTION("REGEXREPLACE(C980,""-\d+(.*)|--\d+(.*)"","""")"),"FONCINE-LE-BAS")</f>
        <v>FONCINE-LE-BAS</v>
      </c>
      <c r="E980" s="38" t="s">
        <v>400</v>
      </c>
      <c r="F980" s="38" t="s">
        <v>214</v>
      </c>
      <c r="G980" s="49" t="str">
        <f t="shared" si="1"/>
        <v>39520</v>
      </c>
      <c r="H980" s="49">
        <f t="shared" si="2"/>
        <v>39227</v>
      </c>
    </row>
    <row r="981">
      <c r="A981" s="48" t="s">
        <v>2047</v>
      </c>
      <c r="B981" s="38">
        <v>62876.0</v>
      </c>
      <c r="C981" s="38" t="s">
        <v>2048</v>
      </c>
      <c r="D981" s="38" t="str">
        <f>IFERROR(__xludf.DUMMYFUNCTION("REGEXREPLACE(C981,""-\d+(.*)|--\d+(.*)"","""")"),"WARLENCOURT-EAUCOURT")</f>
        <v>WARLENCOURT-EAUCOURT</v>
      </c>
      <c r="E981" s="38" t="s">
        <v>109</v>
      </c>
      <c r="F981" s="38" t="s">
        <v>86</v>
      </c>
      <c r="G981" s="49" t="str">
        <f t="shared" si="1"/>
        <v>62450</v>
      </c>
      <c r="H981" s="49">
        <f t="shared" si="2"/>
        <v>62876</v>
      </c>
    </row>
    <row r="982">
      <c r="A982" s="48" t="s">
        <v>2049</v>
      </c>
      <c r="B982" s="38">
        <v>29040.0</v>
      </c>
      <c r="C982" s="38" t="s">
        <v>2050</v>
      </c>
      <c r="D982" s="38" t="str">
        <f>IFERROR(__xludf.DUMMYFUNCTION("REGEXREPLACE(C982,""-\d+(.*)|--\d+(.*)"","""")"),"LE CONQUET")</f>
        <v>LE CONQUET</v>
      </c>
      <c r="E982" s="38" t="s">
        <v>176</v>
      </c>
      <c r="F982" s="38" t="s">
        <v>90</v>
      </c>
      <c r="G982" s="49" t="str">
        <f t="shared" si="1"/>
        <v>29217</v>
      </c>
      <c r="H982" s="49">
        <f t="shared" si="2"/>
        <v>29040</v>
      </c>
    </row>
    <row r="983">
      <c r="A983" s="48" t="s">
        <v>516</v>
      </c>
      <c r="B983" s="38">
        <v>53085.0</v>
      </c>
      <c r="C983" s="38" t="s">
        <v>2051</v>
      </c>
      <c r="D983" s="38" t="str">
        <f>IFERROR(__xludf.DUMMYFUNCTION("REGEXREPLACE(C983,""-\d+(.*)|--\d+(.*)"","""")"),"CRENNES-SUR-FRAUBEE")</f>
        <v>CRENNES-SUR-FRAUBEE</v>
      </c>
      <c r="E983" s="38" t="s">
        <v>518</v>
      </c>
      <c r="F983" s="38" t="s">
        <v>180</v>
      </c>
      <c r="G983" s="49" t="str">
        <f t="shared" si="1"/>
        <v>53700</v>
      </c>
      <c r="H983" s="49">
        <f t="shared" si="2"/>
        <v>53085</v>
      </c>
    </row>
    <row r="984">
      <c r="A984" s="48" t="s">
        <v>2052</v>
      </c>
      <c r="B984" s="38">
        <v>80408.0</v>
      </c>
      <c r="C984" s="38" t="s">
        <v>2053</v>
      </c>
      <c r="D984" s="38" t="str">
        <f>IFERROR(__xludf.DUMMYFUNCTION("REGEXREPLACE(C984,""-\d+(.*)|--\d+(.*)"","""")"),"HALLOY-LES-PERNOIS")</f>
        <v>HALLOY-LES-PERNOIS</v>
      </c>
      <c r="E984" s="38" t="s">
        <v>224</v>
      </c>
      <c r="F984" s="38" t="s">
        <v>113</v>
      </c>
      <c r="G984" s="49" t="str">
        <f t="shared" si="1"/>
        <v>80670</v>
      </c>
      <c r="H984" s="49">
        <f t="shared" si="2"/>
        <v>80408</v>
      </c>
    </row>
    <row r="985">
      <c r="A985" s="48" t="s">
        <v>960</v>
      </c>
      <c r="B985" s="38">
        <v>28267.0</v>
      </c>
      <c r="C985" s="38" t="s">
        <v>2054</v>
      </c>
      <c r="D985" s="38" t="str">
        <f>IFERROR(__xludf.DUMMYFUNCTION("REGEXREPLACE(C985,""-\d+(.*)|--\d+(.*)"","""")"),"MONTREUIL")</f>
        <v>MONTREUIL</v>
      </c>
      <c r="E985" s="38" t="s">
        <v>300</v>
      </c>
      <c r="F985" s="38" t="s">
        <v>123</v>
      </c>
      <c r="G985" s="49" t="str">
        <f t="shared" si="1"/>
        <v>28500</v>
      </c>
      <c r="H985" s="49">
        <f t="shared" si="2"/>
        <v>28267</v>
      </c>
    </row>
    <row r="986">
      <c r="A986" s="48" t="s">
        <v>2055</v>
      </c>
      <c r="B986" s="38">
        <v>4018.0</v>
      </c>
      <c r="C986" s="38" t="s">
        <v>2056</v>
      </c>
      <c r="D986" s="38" t="str">
        <f>IFERROR(__xludf.DUMMYFUNCTION("REGEXREPLACE(C986,""-\d+(.*)|--\d+(.*)"","""")"),"BANON")</f>
        <v>BANON</v>
      </c>
      <c r="E986" s="38" t="s">
        <v>662</v>
      </c>
      <c r="F986" s="38" t="s">
        <v>228</v>
      </c>
      <c r="G986" s="49" t="str">
        <f t="shared" si="1"/>
        <v>04150</v>
      </c>
      <c r="H986" s="49" t="str">
        <f t="shared" si="2"/>
        <v>04018</v>
      </c>
    </row>
    <row r="987">
      <c r="A987" s="48" t="s">
        <v>2057</v>
      </c>
      <c r="B987" s="38">
        <v>89102.0</v>
      </c>
      <c r="C987" s="38" t="s">
        <v>2058</v>
      </c>
      <c r="D987" s="38" t="str">
        <f>IFERROR(__xludf.DUMMYFUNCTION("REGEXREPLACE(C987,""-\d+(.*)|--\d+(.*)"","""")"),"CHEVANNES")</f>
        <v>CHEVANNES</v>
      </c>
      <c r="E987" s="38" t="s">
        <v>275</v>
      </c>
      <c r="F987" s="38" t="s">
        <v>106</v>
      </c>
      <c r="G987" s="49" t="str">
        <f t="shared" si="1"/>
        <v>89240</v>
      </c>
      <c r="H987" s="49">
        <f t="shared" si="2"/>
        <v>89102</v>
      </c>
    </row>
    <row r="988">
      <c r="A988" s="48" t="s">
        <v>2059</v>
      </c>
      <c r="B988" s="38">
        <v>37125.0</v>
      </c>
      <c r="C988" s="38" t="s">
        <v>2060</v>
      </c>
      <c r="D988" s="38" t="str">
        <f>IFERROR(__xludf.DUMMYFUNCTION("REGEXREPLACE(C988,""-\d+(.*)|--\d+(.*)"","""")"),"LEMERE")</f>
        <v>LEMERE</v>
      </c>
      <c r="E988" s="38" t="s">
        <v>205</v>
      </c>
      <c r="F988" s="38" t="s">
        <v>123</v>
      </c>
      <c r="G988" s="49" t="str">
        <f t="shared" si="1"/>
        <v>37120</v>
      </c>
      <c r="H988" s="49">
        <f t="shared" si="2"/>
        <v>37125</v>
      </c>
    </row>
    <row r="989">
      <c r="A989" s="48" t="s">
        <v>2061</v>
      </c>
      <c r="B989" s="38">
        <v>21084.0</v>
      </c>
      <c r="C989" s="38" t="s">
        <v>2062</v>
      </c>
      <c r="D989" s="38" t="str">
        <f>IFERROR(__xludf.DUMMYFUNCTION("REGEXREPLACE(C989,""-\d+(.*)|--\d+(.*)"","""")"),"SOURCE-SEINE")</f>
        <v>SOURCE-SEINE</v>
      </c>
      <c r="E989" s="38" t="s">
        <v>105</v>
      </c>
      <c r="F989" s="38" t="s">
        <v>106</v>
      </c>
      <c r="G989" s="49" t="str">
        <f t="shared" si="1"/>
        <v>21690</v>
      </c>
      <c r="H989" s="49">
        <f t="shared" si="2"/>
        <v>21084</v>
      </c>
    </row>
    <row r="990">
      <c r="A990" s="48" t="s">
        <v>2063</v>
      </c>
      <c r="B990" s="38">
        <v>43003.0</v>
      </c>
      <c r="C990" s="38" t="s">
        <v>2064</v>
      </c>
      <c r="D990" s="38" t="str">
        <f>IFERROR(__xludf.DUMMYFUNCTION("REGEXREPLACE(C990,""-\d+(.*)|--\d+(.*)"","""")"),"ALLEGRE")</f>
        <v>ALLEGRE</v>
      </c>
      <c r="E990" s="38" t="s">
        <v>332</v>
      </c>
      <c r="F990" s="38" t="s">
        <v>161</v>
      </c>
      <c r="G990" s="49" t="str">
        <f t="shared" si="1"/>
        <v>43270</v>
      </c>
      <c r="H990" s="49">
        <f t="shared" si="2"/>
        <v>43003</v>
      </c>
    </row>
    <row r="991">
      <c r="A991" s="48" t="s">
        <v>2065</v>
      </c>
      <c r="B991" s="38">
        <v>11170.0</v>
      </c>
      <c r="C991" s="38" t="s">
        <v>2066</v>
      </c>
      <c r="D991" s="38" t="str">
        <f>IFERROR(__xludf.DUMMYFUNCTION("REGEXREPLACE(C991,""-\d+(.*)|--\d+(.*)"","""")"),"GRUISSAN")</f>
        <v>GRUISSAN</v>
      </c>
      <c r="E991" s="38" t="s">
        <v>278</v>
      </c>
      <c r="F991" s="38" t="s">
        <v>119</v>
      </c>
      <c r="G991" s="49" t="str">
        <f t="shared" si="1"/>
        <v>11430</v>
      </c>
      <c r="H991" s="49">
        <f t="shared" si="2"/>
        <v>11170</v>
      </c>
    </row>
    <row r="992">
      <c r="A992" s="48" t="s">
        <v>2067</v>
      </c>
      <c r="B992" s="38">
        <v>18212.0</v>
      </c>
      <c r="C992" s="38" t="s">
        <v>2068</v>
      </c>
      <c r="D992" s="38" t="str">
        <f>IFERROR(__xludf.DUMMYFUNCTION("REGEXREPLACE(C992,""-\d+(.*)|--\d+(.*)"","""")"),"SAINT-GERMAIN-DES-BOIS")</f>
        <v>SAINT-GERMAIN-DES-BOIS</v>
      </c>
      <c r="E992" s="38" t="s">
        <v>504</v>
      </c>
      <c r="F992" s="38" t="s">
        <v>123</v>
      </c>
      <c r="G992" s="49" t="str">
        <f t="shared" si="1"/>
        <v>18340</v>
      </c>
      <c r="H992" s="49">
        <f t="shared" si="2"/>
        <v>18212</v>
      </c>
    </row>
    <row r="993">
      <c r="A993" s="48" t="s">
        <v>2069</v>
      </c>
      <c r="B993" s="38">
        <v>47291.0</v>
      </c>
      <c r="C993" s="38" t="s">
        <v>2070</v>
      </c>
      <c r="D993" s="38" t="str">
        <f>IFERROR(__xludf.DUMMYFUNCTION("REGEXREPLACE(C993,""-\d+(.*)|--\d+(.*)"","""")"),"LA SAUVETAT-SUR-LEDE")</f>
        <v>LA SAUVETAT-SUR-LEDE</v>
      </c>
      <c r="E993" s="38" t="s">
        <v>251</v>
      </c>
      <c r="F993" s="38" t="s">
        <v>252</v>
      </c>
      <c r="G993" s="49" t="str">
        <f t="shared" si="1"/>
        <v>47150</v>
      </c>
      <c r="H993" s="49">
        <f t="shared" si="2"/>
        <v>47291</v>
      </c>
    </row>
    <row r="994">
      <c r="A994" s="48" t="s">
        <v>2071</v>
      </c>
      <c r="B994" s="38">
        <v>58299.0</v>
      </c>
      <c r="C994" s="38" t="s">
        <v>2072</v>
      </c>
      <c r="D994" s="38" t="str">
        <f>IFERROR(__xludf.DUMMYFUNCTION("REGEXREPLACE(C994,""-\d+(.*)|--\d+(.*)"","""")"),"TRUCY-L'ORGUEILLEUX")</f>
        <v>TRUCY-L'ORGUEILLEUX</v>
      </c>
      <c r="E994" s="38" t="s">
        <v>219</v>
      </c>
      <c r="F994" s="38" t="s">
        <v>106</v>
      </c>
      <c r="G994" s="49" t="str">
        <f t="shared" si="1"/>
        <v>58460</v>
      </c>
      <c r="H994" s="49">
        <f t="shared" si="2"/>
        <v>58299</v>
      </c>
    </row>
    <row r="995">
      <c r="A995" s="48" t="s">
        <v>2073</v>
      </c>
      <c r="B995" s="38">
        <v>8023.0</v>
      </c>
      <c r="C995" s="38" t="s">
        <v>2074</v>
      </c>
      <c r="D995" s="38" t="str">
        <f>IFERROR(__xludf.DUMMYFUNCTION("REGEXREPLACE(C995,""-\d+(.*)|--\d+(.*)"","""")"),"ARTAISE-LE-VIVIER")</f>
        <v>ARTAISE-LE-VIVIER</v>
      </c>
      <c r="E995" s="38" t="s">
        <v>327</v>
      </c>
      <c r="F995" s="38" t="s">
        <v>130</v>
      </c>
      <c r="G995" s="49" t="str">
        <f t="shared" si="1"/>
        <v>08390</v>
      </c>
      <c r="H995" s="49" t="str">
        <f t="shared" si="2"/>
        <v>08023</v>
      </c>
    </row>
    <row r="996">
      <c r="A996" s="48" t="s">
        <v>2075</v>
      </c>
      <c r="B996" s="38">
        <v>46170.0</v>
      </c>
      <c r="C996" s="38" t="s">
        <v>2076</v>
      </c>
      <c r="D996" s="38" t="str">
        <f>IFERROR(__xludf.DUMMYFUNCTION("REGEXREPLACE(C996,""-\d+(.*)|--\d+(.*)"","""")"),"LEYME")</f>
        <v>LEYME</v>
      </c>
      <c r="E996" s="38" t="s">
        <v>185</v>
      </c>
      <c r="F996" s="38" t="s">
        <v>94</v>
      </c>
      <c r="G996" s="49" t="str">
        <f t="shared" si="1"/>
        <v>46120</v>
      </c>
      <c r="H996" s="49">
        <f t="shared" si="2"/>
        <v>46170</v>
      </c>
    </row>
    <row r="997">
      <c r="A997" s="48" t="s">
        <v>2077</v>
      </c>
      <c r="B997" s="38">
        <v>8022.0</v>
      </c>
      <c r="C997" s="38" t="s">
        <v>2078</v>
      </c>
      <c r="D997" s="38" t="str">
        <f>IFERROR(__xludf.DUMMYFUNCTION("REGEXREPLACE(C997,""-\d+(.*)|--\d+(.*)"","""")"),"ARREUX")</f>
        <v>ARREUX</v>
      </c>
      <c r="E997" s="38" t="s">
        <v>327</v>
      </c>
      <c r="F997" s="38" t="s">
        <v>130</v>
      </c>
      <c r="G997" s="49" t="str">
        <f t="shared" si="1"/>
        <v>08090</v>
      </c>
      <c r="H997" s="49" t="str">
        <f t="shared" si="2"/>
        <v>08022</v>
      </c>
    </row>
    <row r="998">
      <c r="A998" s="48" t="s">
        <v>2079</v>
      </c>
      <c r="B998" s="38">
        <v>92033.0</v>
      </c>
      <c r="C998" s="38" t="s">
        <v>2080</v>
      </c>
      <c r="D998" s="38" t="str">
        <f>IFERROR(__xludf.DUMMYFUNCTION("REGEXREPLACE(C998,""-\d+(.*)|--\d+(.*)"","""")"),"GARCHES")</f>
        <v>GARCHES</v>
      </c>
      <c r="E998" s="38" t="s">
        <v>838</v>
      </c>
      <c r="F998" s="38" t="s">
        <v>245</v>
      </c>
      <c r="G998" s="49" t="str">
        <f t="shared" si="1"/>
        <v>92380</v>
      </c>
      <c r="H998" s="49">
        <f t="shared" si="2"/>
        <v>92033</v>
      </c>
    </row>
    <row r="999">
      <c r="A999" s="48" t="s">
        <v>2081</v>
      </c>
      <c r="B999" s="38">
        <v>4226.0</v>
      </c>
      <c r="C999" s="38" t="s">
        <v>2082</v>
      </c>
      <c r="D999" s="38" t="str">
        <f>IFERROR(__xludf.DUMMYFUNCTION("REGEXREPLACE(C999,""-\d+(.*)|--\d+(.*)"","""")"),"UVERNET-FOURS")</f>
        <v>UVERNET-FOURS</v>
      </c>
      <c r="E999" s="38" t="s">
        <v>662</v>
      </c>
      <c r="F999" s="38" t="s">
        <v>228</v>
      </c>
      <c r="G999" s="49" t="str">
        <f t="shared" si="1"/>
        <v>04400</v>
      </c>
      <c r="H999" s="49" t="str">
        <f t="shared" si="2"/>
        <v>04226</v>
      </c>
    </row>
    <row r="1000">
      <c r="A1000" s="48" t="s">
        <v>2083</v>
      </c>
      <c r="B1000" s="38">
        <v>17145.0</v>
      </c>
      <c r="C1000" s="38" t="s">
        <v>2084</v>
      </c>
      <c r="D1000" s="38" t="str">
        <f>IFERROR(__xludf.DUMMYFUNCTION("REGEXREPLACE(C1000,""-\d+(.*)|--\d+(.*)"","""")"),"ECHEBRUNE")</f>
        <v>ECHEBRUNE</v>
      </c>
      <c r="E1000" s="38" t="s">
        <v>488</v>
      </c>
      <c r="F1000" s="38" t="s">
        <v>338</v>
      </c>
      <c r="G1000" s="49" t="str">
        <f t="shared" si="1"/>
        <v>17800</v>
      </c>
      <c r="H1000" s="49">
        <f t="shared" si="2"/>
        <v>17145</v>
      </c>
    </row>
    <row r="1001">
      <c r="A1001" s="48" t="s">
        <v>1590</v>
      </c>
      <c r="B1001" s="38">
        <v>33258.0</v>
      </c>
      <c r="C1001" s="38" t="s">
        <v>2085</v>
      </c>
      <c r="D1001" s="38" t="str">
        <f>IFERROR(__xludf.DUMMYFUNCTION("REGEXREPLACE(C1001,""-\d+(.*)|--\d+(.*)"","""")"),"LUGASSON")</f>
        <v>LUGASSON</v>
      </c>
      <c r="E1001" s="38" t="s">
        <v>462</v>
      </c>
      <c r="F1001" s="38" t="s">
        <v>252</v>
      </c>
      <c r="G1001" s="49" t="str">
        <f t="shared" si="1"/>
        <v>33760</v>
      </c>
      <c r="H1001" s="49">
        <f t="shared" si="2"/>
        <v>33258</v>
      </c>
    </row>
    <row r="1002">
      <c r="A1002" s="48" t="s">
        <v>434</v>
      </c>
      <c r="B1002" s="38">
        <v>55410.0</v>
      </c>
      <c r="C1002" s="38" t="s">
        <v>2086</v>
      </c>
      <c r="D1002" s="38" t="str">
        <f>IFERROR(__xludf.DUMMYFUNCTION("REGEXREPLACE(C1002,""-\d+(.*)|--\d+(.*)"","""")"),"QUINCY-LANDZECOURT")</f>
        <v>QUINCY-LANDZECOURT</v>
      </c>
      <c r="E1002" s="38" t="s">
        <v>322</v>
      </c>
      <c r="F1002" s="38" t="s">
        <v>195</v>
      </c>
      <c r="G1002" s="49" t="str">
        <f t="shared" si="1"/>
        <v>55600</v>
      </c>
      <c r="H1002" s="49">
        <f t="shared" si="2"/>
        <v>55410</v>
      </c>
    </row>
    <row r="1003">
      <c r="A1003" s="48" t="s">
        <v>2087</v>
      </c>
      <c r="B1003" s="38">
        <v>88181.0</v>
      </c>
      <c r="C1003" s="38" t="s">
        <v>2088</v>
      </c>
      <c r="D1003" s="38" t="str">
        <f>IFERROR(__xludf.DUMMYFUNCTION("REGEXREPLACE(C1003,""-\d+(.*)|--\d+(.*)"","""")"),"FRAIZE")</f>
        <v>FRAIZE</v>
      </c>
      <c r="E1003" s="38" t="s">
        <v>194</v>
      </c>
      <c r="F1003" s="38" t="s">
        <v>195</v>
      </c>
      <c r="G1003" s="49" t="str">
        <f t="shared" si="1"/>
        <v>88230</v>
      </c>
      <c r="H1003" s="49">
        <f t="shared" si="2"/>
        <v>88181</v>
      </c>
    </row>
    <row r="1004">
      <c r="A1004" s="48" t="s">
        <v>1966</v>
      </c>
      <c r="B1004" s="38">
        <v>2059.0</v>
      </c>
      <c r="C1004" s="38" t="s">
        <v>2089</v>
      </c>
      <c r="D1004" s="38" t="str">
        <f>IFERROR(__xludf.DUMMYFUNCTION("REGEXREPLACE(C1004,""-\d+(.*)|--\d+(.*)"","""")"),"BEAUTOR")</f>
        <v>BEAUTOR</v>
      </c>
      <c r="E1004" s="38" t="s">
        <v>191</v>
      </c>
      <c r="F1004" s="38" t="s">
        <v>113</v>
      </c>
      <c r="G1004" s="49" t="str">
        <f t="shared" si="1"/>
        <v>02800</v>
      </c>
      <c r="H1004" s="49" t="str">
        <f t="shared" si="2"/>
        <v>02059</v>
      </c>
    </row>
    <row r="1005">
      <c r="A1005" s="48" t="s">
        <v>2090</v>
      </c>
      <c r="B1005" s="38">
        <v>67146.0</v>
      </c>
      <c r="C1005" s="38" t="s">
        <v>2091</v>
      </c>
      <c r="D1005" s="38" t="str">
        <f>IFERROR(__xludf.DUMMYFUNCTION("REGEXREPLACE(C1005,""-\d+(.*)|--\d+(.*)"","""")"),"FRIESENHEIM")</f>
        <v>FRIESENHEIM</v>
      </c>
      <c r="E1005" s="38" t="s">
        <v>210</v>
      </c>
      <c r="F1005" s="38" t="s">
        <v>151</v>
      </c>
      <c r="G1005" s="49" t="str">
        <f t="shared" si="1"/>
        <v>67860</v>
      </c>
      <c r="H1005" s="49">
        <f t="shared" si="2"/>
        <v>67146</v>
      </c>
    </row>
    <row r="1006">
      <c r="A1006" s="48" t="s">
        <v>1829</v>
      </c>
      <c r="B1006" s="38">
        <v>59210.0</v>
      </c>
      <c r="C1006" s="38" t="s">
        <v>2092</v>
      </c>
      <c r="D1006" s="38" t="str">
        <f>IFERROR(__xludf.DUMMYFUNCTION("REGEXREPLACE(C1006,""-\d+(.*)|--\d+(.*)"","""")"),"ESQUELBECQ")</f>
        <v>ESQUELBECQ</v>
      </c>
      <c r="E1006" s="38" t="s">
        <v>85</v>
      </c>
      <c r="F1006" s="38" t="s">
        <v>86</v>
      </c>
      <c r="G1006" s="49" t="str">
        <f t="shared" si="1"/>
        <v>59470</v>
      </c>
      <c r="H1006" s="49">
        <f t="shared" si="2"/>
        <v>59210</v>
      </c>
    </row>
    <row r="1007">
      <c r="A1007" s="48" t="s">
        <v>2093</v>
      </c>
      <c r="B1007" s="38">
        <v>69167.0</v>
      </c>
      <c r="C1007" s="38" t="s">
        <v>2094</v>
      </c>
      <c r="D1007" s="38" t="str">
        <f>IFERROR(__xludf.DUMMYFUNCTION("REGEXREPLACE(C1007,""-\d+(.*)|--\d+(.*)"","""")"),"RIVOLET")</f>
        <v>RIVOLET</v>
      </c>
      <c r="E1007" s="38" t="s">
        <v>350</v>
      </c>
      <c r="F1007" s="38" t="s">
        <v>102</v>
      </c>
      <c r="G1007" s="49" t="str">
        <f t="shared" si="1"/>
        <v>69640</v>
      </c>
      <c r="H1007" s="49">
        <f t="shared" si="2"/>
        <v>69167</v>
      </c>
    </row>
    <row r="1008">
      <c r="A1008" s="48" t="s">
        <v>2095</v>
      </c>
      <c r="B1008" s="38">
        <v>72284.0</v>
      </c>
      <c r="C1008" s="38" t="s">
        <v>2096</v>
      </c>
      <c r="D1008" s="38" t="str">
        <f>IFERROR(__xludf.DUMMYFUNCTION("REGEXREPLACE(C1008,""-\d+(.*)|--\d+(.*)"","""")"),"SAINT-GERMAIN-SUR-SARTHE")</f>
        <v>SAINT-GERMAIN-SUR-SARTHE</v>
      </c>
      <c r="E1008" s="38" t="s">
        <v>521</v>
      </c>
      <c r="F1008" s="38" t="s">
        <v>180</v>
      </c>
      <c r="G1008" s="49" t="str">
        <f t="shared" si="1"/>
        <v>72130</v>
      </c>
      <c r="H1008" s="49">
        <f t="shared" si="2"/>
        <v>72284</v>
      </c>
    </row>
    <row r="1009">
      <c r="A1009" s="48" t="s">
        <v>2097</v>
      </c>
      <c r="B1009" s="38">
        <v>42221.0</v>
      </c>
      <c r="C1009" s="38" t="s">
        <v>2098</v>
      </c>
      <c r="D1009" s="38" t="str">
        <f>IFERROR(__xludf.DUMMYFUNCTION("REGEXREPLACE(C1009,""-\d+(.*)|--\d+(.*)"","""")"),"SAINTE-FOY-SAINT-SULPICE")</f>
        <v>SAINTE-FOY-SAINT-SULPICE</v>
      </c>
      <c r="E1009" s="38" t="s">
        <v>166</v>
      </c>
      <c r="F1009" s="38" t="s">
        <v>102</v>
      </c>
      <c r="G1009" s="49" t="str">
        <f t="shared" si="1"/>
        <v>42110</v>
      </c>
      <c r="H1009" s="49">
        <f t="shared" si="2"/>
        <v>42221</v>
      </c>
    </row>
    <row r="1010">
      <c r="A1010" s="48" t="s">
        <v>354</v>
      </c>
      <c r="B1010" s="38">
        <v>68379.0</v>
      </c>
      <c r="C1010" s="38" t="s">
        <v>2099</v>
      </c>
      <c r="D1010" s="38" t="str">
        <f>IFERROR(__xludf.DUMMYFUNCTION("REGEXREPLACE(C1010,""-\d+(.*)|--\d+(.*)"","""")"),"WOLFGANTZEN")</f>
        <v>WOLFGANTZEN</v>
      </c>
      <c r="E1010" s="38" t="s">
        <v>150</v>
      </c>
      <c r="F1010" s="38" t="s">
        <v>151</v>
      </c>
      <c r="G1010" s="49" t="str">
        <f t="shared" si="1"/>
        <v>68600</v>
      </c>
      <c r="H1010" s="49">
        <f t="shared" si="2"/>
        <v>68379</v>
      </c>
    </row>
    <row r="1011">
      <c r="A1011" s="48" t="s">
        <v>2100</v>
      </c>
      <c r="B1011" s="38">
        <v>14380.0</v>
      </c>
      <c r="C1011" s="38" t="s">
        <v>2101</v>
      </c>
      <c r="D1011" s="38" t="str">
        <f>IFERROR(__xludf.DUMMYFUNCTION("REGEXREPLACE(C1011,""-\d+(.*)|--\d+(.*)"","""")"),"LOUCELLES")</f>
        <v>LOUCELLES</v>
      </c>
      <c r="E1011" s="38" t="s">
        <v>137</v>
      </c>
      <c r="F1011" s="38" t="s">
        <v>138</v>
      </c>
      <c r="G1011" s="49" t="str">
        <f t="shared" si="1"/>
        <v>14250</v>
      </c>
      <c r="H1011" s="49">
        <f t="shared" si="2"/>
        <v>14380</v>
      </c>
    </row>
    <row r="1012">
      <c r="A1012" s="48" t="s">
        <v>2006</v>
      </c>
      <c r="B1012" s="38">
        <v>73040.0</v>
      </c>
      <c r="C1012" s="38" t="s">
        <v>2102</v>
      </c>
      <c r="D1012" s="38" t="str">
        <f>IFERROR(__xludf.DUMMYFUNCTION("REGEXREPLACE(C1012,""-\d+(.*)|--\d+(.*)"","""")"),"BESSANS")</f>
        <v>BESSANS</v>
      </c>
      <c r="E1012" s="38" t="s">
        <v>306</v>
      </c>
      <c r="F1012" s="38" t="s">
        <v>102</v>
      </c>
      <c r="G1012" s="49" t="str">
        <f t="shared" si="1"/>
        <v>73480</v>
      </c>
      <c r="H1012" s="49">
        <f t="shared" si="2"/>
        <v>73040</v>
      </c>
    </row>
    <row r="1013">
      <c r="A1013" s="48" t="s">
        <v>2103</v>
      </c>
      <c r="B1013" s="38">
        <v>54206.0</v>
      </c>
      <c r="C1013" s="38" t="s">
        <v>2104</v>
      </c>
      <c r="D1013" s="38" t="str">
        <f>IFERROR(__xludf.DUMMYFUNCTION("REGEXREPLACE(C1013,""-\d+(.*)|--\d+(.*)"","""")"),"FRAIMBOIS")</f>
        <v>FRAIMBOIS</v>
      </c>
      <c r="E1013" s="38" t="s">
        <v>548</v>
      </c>
      <c r="F1013" s="38" t="s">
        <v>195</v>
      </c>
      <c r="G1013" s="49" t="str">
        <f t="shared" si="1"/>
        <v>54300</v>
      </c>
      <c r="H1013" s="49">
        <f t="shared" si="2"/>
        <v>54206</v>
      </c>
    </row>
    <row r="1014">
      <c r="A1014" s="48" t="s">
        <v>1889</v>
      </c>
      <c r="B1014" s="38">
        <v>25153.0</v>
      </c>
      <c r="C1014" s="38" t="s">
        <v>2105</v>
      </c>
      <c r="D1014" s="38" t="str">
        <f>IFERROR(__xludf.DUMMYFUNCTION("REGEXREPLACE(C1014,""-\d+(.*)|--\d+(.*)"","""")"),"CHEVROZ")</f>
        <v>CHEVROZ</v>
      </c>
      <c r="E1014" s="38" t="s">
        <v>213</v>
      </c>
      <c r="F1014" s="38" t="s">
        <v>214</v>
      </c>
      <c r="G1014" s="49" t="str">
        <f t="shared" si="1"/>
        <v>25870</v>
      </c>
      <c r="H1014" s="49">
        <f t="shared" si="2"/>
        <v>25153</v>
      </c>
    </row>
    <row r="1015">
      <c r="A1015" s="48" t="s">
        <v>2106</v>
      </c>
      <c r="B1015" s="38">
        <v>18139.0</v>
      </c>
      <c r="C1015" s="38" t="s">
        <v>2107</v>
      </c>
      <c r="D1015" s="38" t="str">
        <f>IFERROR(__xludf.DUMMYFUNCTION("REGEXREPLACE(C1015,""-\d+(.*)|--\d+(.*)"","""")"),"MARSEILLES-LES-AUBIGNY")</f>
        <v>MARSEILLES-LES-AUBIGNY</v>
      </c>
      <c r="E1015" s="38" t="s">
        <v>504</v>
      </c>
      <c r="F1015" s="38" t="s">
        <v>123</v>
      </c>
      <c r="G1015" s="49" t="str">
        <f t="shared" si="1"/>
        <v>18320</v>
      </c>
      <c r="H1015" s="49">
        <f t="shared" si="2"/>
        <v>18139</v>
      </c>
    </row>
    <row r="1016">
      <c r="A1016" s="48" t="s">
        <v>1272</v>
      </c>
      <c r="B1016" s="38">
        <v>51616.0</v>
      </c>
      <c r="C1016" s="38" t="s">
        <v>2108</v>
      </c>
      <c r="D1016" s="38" t="str">
        <f>IFERROR(__xludf.DUMMYFUNCTION("REGEXREPLACE(C1016,""-\d+(.*)|--\d+(.*)"","""")"),"VESIGNEUL-SUR-MARNE")</f>
        <v>VESIGNEUL-SUR-MARNE</v>
      </c>
      <c r="E1016" s="38" t="s">
        <v>129</v>
      </c>
      <c r="F1016" s="38" t="s">
        <v>130</v>
      </c>
      <c r="G1016" s="49" t="str">
        <f t="shared" si="1"/>
        <v>51240</v>
      </c>
      <c r="H1016" s="49">
        <f t="shared" si="2"/>
        <v>51616</v>
      </c>
    </row>
    <row r="1017">
      <c r="A1017" s="48" t="s">
        <v>2109</v>
      </c>
      <c r="B1017" s="38">
        <v>29221.0</v>
      </c>
      <c r="C1017" s="38" t="s">
        <v>2110</v>
      </c>
      <c r="D1017" s="38" t="str">
        <f>IFERROR(__xludf.DUMMYFUNCTION("REGEXREPLACE(C1017,""-\d+(.*)|--\d+(.*)"","""")"),"PORSPODER")</f>
        <v>PORSPODER</v>
      </c>
      <c r="E1017" s="38" t="s">
        <v>176</v>
      </c>
      <c r="F1017" s="38" t="s">
        <v>90</v>
      </c>
      <c r="G1017" s="49" t="str">
        <f t="shared" si="1"/>
        <v>29840</v>
      </c>
      <c r="H1017" s="49">
        <f t="shared" si="2"/>
        <v>29221</v>
      </c>
    </row>
    <row r="1018">
      <c r="A1018" s="48" t="s">
        <v>2111</v>
      </c>
      <c r="B1018" s="38">
        <v>77155.0</v>
      </c>
      <c r="C1018" s="38" t="s">
        <v>2112</v>
      </c>
      <c r="D1018" s="38" t="str">
        <f>IFERROR(__xludf.DUMMYFUNCTION("REGEXREPLACE(C1018,""-\d+(.*)|--\d+(.*)"","""")"),"DAMPMART")</f>
        <v>DAMPMART</v>
      </c>
      <c r="E1018" s="38" t="s">
        <v>244</v>
      </c>
      <c r="F1018" s="38" t="s">
        <v>245</v>
      </c>
      <c r="G1018" s="49" t="str">
        <f t="shared" si="1"/>
        <v>77400</v>
      </c>
      <c r="H1018" s="49">
        <f t="shared" si="2"/>
        <v>77155</v>
      </c>
    </row>
    <row r="1019">
      <c r="A1019" s="48" t="s">
        <v>1428</v>
      </c>
      <c r="B1019" s="38">
        <v>31510.0</v>
      </c>
      <c r="C1019" s="38" t="s">
        <v>2113</v>
      </c>
      <c r="D1019" s="38" t="str">
        <f>IFERROR(__xludf.DUMMYFUNCTION("REGEXREPLACE(C1019,""-\d+(.*)|--\d+(.*)"","""")"),"SAINT-PE-DELBOSC")</f>
        <v>SAINT-PE-DELBOSC</v>
      </c>
      <c r="E1019" s="38" t="s">
        <v>93</v>
      </c>
      <c r="F1019" s="38" t="s">
        <v>94</v>
      </c>
      <c r="G1019" s="49" t="str">
        <f t="shared" si="1"/>
        <v>31350</v>
      </c>
      <c r="H1019" s="49">
        <f t="shared" si="2"/>
        <v>31510</v>
      </c>
    </row>
    <row r="1020">
      <c r="A1020" s="48" t="s">
        <v>505</v>
      </c>
      <c r="B1020" s="38">
        <v>12175.0</v>
      </c>
      <c r="C1020" s="38" t="s">
        <v>2114</v>
      </c>
      <c r="D1020" s="38" t="str">
        <f>IFERROR(__xludf.DUMMYFUNCTION("REGEXREPLACE(C1020,""-\d+(.*)|--\d+(.*)"","""")"),"OLS-ET-RINHODES")</f>
        <v>OLS-ET-RINHODES</v>
      </c>
      <c r="E1020" s="38" t="s">
        <v>465</v>
      </c>
      <c r="F1020" s="38" t="s">
        <v>94</v>
      </c>
      <c r="G1020" s="49" t="str">
        <f t="shared" si="1"/>
        <v>12260</v>
      </c>
      <c r="H1020" s="49">
        <f t="shared" si="2"/>
        <v>12175</v>
      </c>
    </row>
    <row r="1021">
      <c r="A1021" s="48" t="s">
        <v>482</v>
      </c>
      <c r="B1021" s="38">
        <v>26083.0</v>
      </c>
      <c r="C1021" s="38" t="s">
        <v>2115</v>
      </c>
      <c r="D1021" s="38" t="str">
        <f>IFERROR(__xludf.DUMMYFUNCTION("REGEXREPLACE(C1021,""-\d+(.*)|--\d+(.*)"","""")"),"CHATEAUNEUF-DE-GALAURE")</f>
        <v>CHATEAUNEUF-DE-GALAURE</v>
      </c>
      <c r="E1021" s="38" t="s">
        <v>126</v>
      </c>
      <c r="F1021" s="38" t="s">
        <v>102</v>
      </c>
      <c r="G1021" s="49" t="str">
        <f t="shared" si="1"/>
        <v>26330</v>
      </c>
      <c r="H1021" s="49">
        <f t="shared" si="2"/>
        <v>26083</v>
      </c>
    </row>
    <row r="1022">
      <c r="A1022" s="48" t="s">
        <v>2116</v>
      </c>
      <c r="B1022" s="38">
        <v>26043.0</v>
      </c>
      <c r="C1022" s="38" t="s">
        <v>2117</v>
      </c>
      <c r="D1022" s="38" t="str">
        <f>IFERROR(__xludf.DUMMYFUNCTION("REGEXREPLACE(C1022,""-\d+(.*)|--\d+(.*)"","""")"),"BEAUVOISIN")</f>
        <v>BEAUVOISIN</v>
      </c>
      <c r="E1022" s="38" t="s">
        <v>126</v>
      </c>
      <c r="F1022" s="38" t="s">
        <v>102</v>
      </c>
      <c r="G1022" s="49" t="str">
        <f t="shared" si="1"/>
        <v>26170</v>
      </c>
      <c r="H1022" s="49">
        <f t="shared" si="2"/>
        <v>26043</v>
      </c>
    </row>
    <row r="1023">
      <c r="A1023" s="48" t="s">
        <v>2118</v>
      </c>
      <c r="B1023" s="38">
        <v>35097.0</v>
      </c>
      <c r="C1023" s="38" t="s">
        <v>2119</v>
      </c>
      <c r="D1023" s="38" t="str">
        <f>IFERROR(__xludf.DUMMYFUNCTION("REGEXREPLACE(C1023,""-\d+(.*)|--\d+(.*)"","""")"),"DOMALAIN")</f>
        <v>DOMALAIN</v>
      </c>
      <c r="E1023" s="38" t="s">
        <v>347</v>
      </c>
      <c r="F1023" s="38" t="s">
        <v>90</v>
      </c>
      <c r="G1023" s="49" t="str">
        <f t="shared" si="1"/>
        <v>35680</v>
      </c>
      <c r="H1023" s="49">
        <f t="shared" si="2"/>
        <v>35097</v>
      </c>
    </row>
    <row r="1024">
      <c r="A1024" s="48" t="s">
        <v>2120</v>
      </c>
      <c r="B1024" s="38">
        <v>50402.0</v>
      </c>
      <c r="C1024" s="38" t="s">
        <v>2121</v>
      </c>
      <c r="D1024" s="38" t="str">
        <f>IFERROR(__xludf.DUMMYFUNCTION("REGEXREPLACE(C1024,""-\d+(.*)|--\d+(.*)"","""")"),"LES PIEUX")</f>
        <v>LES PIEUX</v>
      </c>
      <c r="E1024" s="38" t="s">
        <v>157</v>
      </c>
      <c r="F1024" s="38" t="s">
        <v>138</v>
      </c>
      <c r="G1024" s="49" t="str">
        <f t="shared" si="1"/>
        <v>50340</v>
      </c>
      <c r="H1024" s="49">
        <f t="shared" si="2"/>
        <v>50402</v>
      </c>
    </row>
    <row r="1025">
      <c r="A1025" s="48" t="s">
        <v>2122</v>
      </c>
      <c r="B1025" s="38">
        <v>7346.0</v>
      </c>
      <c r="C1025" s="38" t="s">
        <v>2123</v>
      </c>
      <c r="D1025" s="38" t="str">
        <f>IFERROR(__xludf.DUMMYFUNCTION("REGEXREPLACE(C1025,""-\d+(.*)|--\d+(.*)"","""")"),"VIVIERS")</f>
        <v>VIVIERS</v>
      </c>
      <c r="E1025" s="38" t="s">
        <v>144</v>
      </c>
      <c r="F1025" s="38" t="s">
        <v>102</v>
      </c>
      <c r="G1025" s="49" t="str">
        <f t="shared" si="1"/>
        <v>07220</v>
      </c>
      <c r="H1025" s="49" t="str">
        <f t="shared" si="2"/>
        <v>07346</v>
      </c>
    </row>
    <row r="1026">
      <c r="A1026" s="48" t="s">
        <v>2124</v>
      </c>
      <c r="B1026" s="38">
        <v>10119.0</v>
      </c>
      <c r="C1026" s="38" t="s">
        <v>2125</v>
      </c>
      <c r="D1026" s="38" t="str">
        <f>IFERROR(__xludf.DUMMYFUNCTION("REGEXREPLACE(C1026,""-\d+(.*)|--\d+(.*)"","""")"),"CUNFIN")</f>
        <v>CUNFIN</v>
      </c>
      <c r="E1026" s="38" t="s">
        <v>147</v>
      </c>
      <c r="F1026" s="38" t="s">
        <v>130</v>
      </c>
      <c r="G1026" s="49" t="str">
        <f t="shared" si="1"/>
        <v>10360</v>
      </c>
      <c r="H1026" s="49">
        <f t="shared" si="2"/>
        <v>10119</v>
      </c>
    </row>
    <row r="1027">
      <c r="A1027" s="48" t="s">
        <v>2126</v>
      </c>
      <c r="B1027" s="38">
        <v>59217.0</v>
      </c>
      <c r="C1027" s="38" t="s">
        <v>2127</v>
      </c>
      <c r="D1027" s="38" t="str">
        <f>IFERROR(__xludf.DUMMYFUNCTION("REGEXREPLACE(C1027,""-\d+(.*)|--\d+(.*)"","""")"),"ETH")</f>
        <v>ETH</v>
      </c>
      <c r="E1027" s="38" t="s">
        <v>85</v>
      </c>
      <c r="F1027" s="38" t="s">
        <v>86</v>
      </c>
      <c r="G1027" s="49" t="str">
        <f t="shared" si="1"/>
        <v>59144</v>
      </c>
      <c r="H1027" s="49">
        <f t="shared" si="2"/>
        <v>59217</v>
      </c>
    </row>
    <row r="1028">
      <c r="A1028" s="48" t="s">
        <v>2128</v>
      </c>
      <c r="B1028" s="38">
        <v>2778.0</v>
      </c>
      <c r="C1028" s="38" t="s">
        <v>2129</v>
      </c>
      <c r="D1028" s="38" t="str">
        <f>IFERROR(__xludf.DUMMYFUNCTION("REGEXREPLACE(C1028,""-\d+(.*)|--\d+(.*)"","""")"),"VENDRESSE-BEAULNE")</f>
        <v>VENDRESSE-BEAULNE</v>
      </c>
      <c r="E1028" s="38" t="s">
        <v>191</v>
      </c>
      <c r="F1028" s="38" t="s">
        <v>113</v>
      </c>
      <c r="G1028" s="49" t="str">
        <f t="shared" si="1"/>
        <v>02160</v>
      </c>
      <c r="H1028" s="49" t="str">
        <f t="shared" si="2"/>
        <v>02778</v>
      </c>
    </row>
    <row r="1029">
      <c r="A1029" s="48" t="s">
        <v>2130</v>
      </c>
      <c r="B1029" s="38">
        <v>62729.0</v>
      </c>
      <c r="C1029" s="38" t="s">
        <v>2131</v>
      </c>
      <c r="D1029" s="38" t="str">
        <f>IFERROR(__xludf.DUMMYFUNCTION("REGEXREPLACE(C1029,""-\d+(.*)|--\d+(.*)"","""")"),"RUMILLY")</f>
        <v>RUMILLY</v>
      </c>
      <c r="E1029" s="38" t="s">
        <v>109</v>
      </c>
      <c r="F1029" s="38" t="s">
        <v>86</v>
      </c>
      <c r="G1029" s="49" t="str">
        <f t="shared" si="1"/>
        <v>62650</v>
      </c>
      <c r="H1029" s="49">
        <f t="shared" si="2"/>
        <v>62729</v>
      </c>
    </row>
    <row r="1030">
      <c r="A1030" s="48" t="s">
        <v>2132</v>
      </c>
      <c r="B1030" s="38">
        <v>61069.0</v>
      </c>
      <c r="C1030" s="38" t="s">
        <v>2133</v>
      </c>
      <c r="D1030" s="38" t="str">
        <f>IFERROR(__xludf.DUMMYFUNCTION("REGEXREPLACE(C1030,""-\d+(.*)|--\d+(.*)"","""")"),"CAHAN")</f>
        <v>CAHAN</v>
      </c>
      <c r="E1030" s="38" t="s">
        <v>141</v>
      </c>
      <c r="F1030" s="38" t="s">
        <v>138</v>
      </c>
      <c r="G1030" s="49" t="str">
        <f t="shared" si="1"/>
        <v>61430</v>
      </c>
      <c r="H1030" s="49">
        <f t="shared" si="2"/>
        <v>61069</v>
      </c>
    </row>
    <row r="1031">
      <c r="A1031" s="48" t="s">
        <v>2134</v>
      </c>
      <c r="B1031" s="38">
        <v>97311.0</v>
      </c>
      <c r="C1031" s="38" t="s">
        <v>2135</v>
      </c>
      <c r="D1031" s="38" t="str">
        <f>IFERROR(__xludf.DUMMYFUNCTION("REGEXREPLACE(C1031,""-\d+(.*)|--\d+(.*)"","""")"),"SAINT-LAURENT-DU-MARONI")</f>
        <v>SAINT-LAURENT-DU-MARONI</v>
      </c>
      <c r="E1031" s="38" t="s">
        <v>1737</v>
      </c>
      <c r="F1031" s="38" t="s">
        <v>1737</v>
      </c>
      <c r="G1031" s="49" t="str">
        <f t="shared" si="1"/>
        <v>97320</v>
      </c>
      <c r="H1031" s="49">
        <f t="shared" si="2"/>
        <v>97311</v>
      </c>
    </row>
    <row r="1032">
      <c r="A1032" s="48" t="s">
        <v>2136</v>
      </c>
      <c r="B1032" s="38">
        <v>52278.0</v>
      </c>
      <c r="C1032" s="38" t="s">
        <v>2137</v>
      </c>
      <c r="D1032" s="38" t="str">
        <f>IFERROR(__xludf.DUMMYFUNCTION("REGEXREPLACE(C1032,""-\d+(.*)|--\d+(.*)"","""")"),"LAVILLENEUVE-AU-ROI")</f>
        <v>LAVILLENEUVE-AU-ROI</v>
      </c>
      <c r="E1032" s="38" t="s">
        <v>234</v>
      </c>
      <c r="F1032" s="38" t="s">
        <v>130</v>
      </c>
      <c r="G1032" s="49" t="str">
        <f t="shared" si="1"/>
        <v>52330</v>
      </c>
      <c r="H1032" s="49">
        <f t="shared" si="2"/>
        <v>52278</v>
      </c>
    </row>
    <row r="1033">
      <c r="A1033" s="48" t="s">
        <v>1100</v>
      </c>
      <c r="B1033" s="38">
        <v>8239.0</v>
      </c>
      <c r="C1033" s="38" t="s">
        <v>2138</v>
      </c>
      <c r="D1033" s="38" t="str">
        <f>IFERROR(__xludf.DUMMYFUNCTION("REGEXREPLACE(C1033,""-\d+(.*)|--\d+(.*)"","""")"),"JUNIVILLE")</f>
        <v>JUNIVILLE</v>
      </c>
      <c r="E1033" s="38" t="s">
        <v>327</v>
      </c>
      <c r="F1033" s="38" t="s">
        <v>130</v>
      </c>
      <c r="G1033" s="49" t="str">
        <f t="shared" si="1"/>
        <v>08310</v>
      </c>
      <c r="H1033" s="49" t="str">
        <f t="shared" si="2"/>
        <v>08239</v>
      </c>
    </row>
    <row r="1034">
      <c r="A1034" s="48" t="s">
        <v>2139</v>
      </c>
      <c r="B1034" s="38">
        <v>72110.0</v>
      </c>
      <c r="C1034" s="38" t="s">
        <v>2140</v>
      </c>
      <c r="D1034" s="38" t="str">
        <f>IFERROR(__xludf.DUMMYFUNCTION("REGEXREPLACE(C1034,""-\d+(.*)|--\d+(.*)"","""")"),"CROSMIERES")</f>
        <v>CROSMIERES</v>
      </c>
      <c r="E1034" s="38" t="s">
        <v>521</v>
      </c>
      <c r="F1034" s="38" t="s">
        <v>180</v>
      </c>
      <c r="G1034" s="49" t="str">
        <f t="shared" si="1"/>
        <v>72200</v>
      </c>
      <c r="H1034" s="49">
        <f t="shared" si="2"/>
        <v>72110</v>
      </c>
    </row>
    <row r="1035">
      <c r="A1035" s="48" t="s">
        <v>2141</v>
      </c>
      <c r="B1035" s="38">
        <v>80340.0</v>
      </c>
      <c r="C1035" s="38" t="s">
        <v>2142</v>
      </c>
      <c r="D1035" s="38" t="str">
        <f>IFERROR(__xludf.DUMMYFUNCTION("REGEXREPLACE(C1035,""-\d+(.*)|--\d+(.*)"","""")"),"FOURCIGNY")</f>
        <v>FOURCIGNY</v>
      </c>
      <c r="E1035" s="38" t="s">
        <v>224</v>
      </c>
      <c r="F1035" s="38" t="s">
        <v>113</v>
      </c>
      <c r="G1035" s="49" t="str">
        <f t="shared" si="1"/>
        <v>80290</v>
      </c>
      <c r="H1035" s="49">
        <f t="shared" si="2"/>
        <v>80340</v>
      </c>
    </row>
    <row r="1036">
      <c r="A1036" s="48" t="s">
        <v>2143</v>
      </c>
      <c r="B1036" s="38">
        <v>95134.0</v>
      </c>
      <c r="C1036" s="38" t="s">
        <v>2144</v>
      </c>
      <c r="D1036" s="38" t="str">
        <f>IFERROR(__xludf.DUMMYFUNCTION("REGEXREPLACE(C1036,""-\d+(.*)|--\d+(.*)"","""")"),"CHAMPAGNE-SUR-OISE")</f>
        <v>CHAMPAGNE-SUR-OISE</v>
      </c>
      <c r="E1036" s="38" t="s">
        <v>541</v>
      </c>
      <c r="F1036" s="38" t="s">
        <v>245</v>
      </c>
      <c r="G1036" s="49" t="str">
        <f t="shared" si="1"/>
        <v>95660</v>
      </c>
      <c r="H1036" s="49">
        <f t="shared" si="2"/>
        <v>95134</v>
      </c>
    </row>
    <row r="1037">
      <c r="A1037" s="48" t="s">
        <v>2145</v>
      </c>
      <c r="B1037" s="38">
        <v>89419.0</v>
      </c>
      <c r="C1037" s="38" t="s">
        <v>2146</v>
      </c>
      <c r="D1037" s="38" t="str">
        <f>IFERROR(__xludf.DUMMYFUNCTION("REGEXREPLACE(C1037,""-\d+(.*)|--\d+(.*)"","""")"),"TOUCY")</f>
        <v>TOUCY</v>
      </c>
      <c r="E1037" s="38" t="s">
        <v>275</v>
      </c>
      <c r="F1037" s="38" t="s">
        <v>106</v>
      </c>
      <c r="G1037" s="49" t="str">
        <f t="shared" si="1"/>
        <v>89130</v>
      </c>
      <c r="H1037" s="49">
        <f t="shared" si="2"/>
        <v>89419</v>
      </c>
    </row>
    <row r="1038">
      <c r="A1038" s="48" t="s">
        <v>454</v>
      </c>
      <c r="B1038" s="38">
        <v>71254.0</v>
      </c>
      <c r="C1038" s="38" t="s">
        <v>2147</v>
      </c>
      <c r="D1038" s="38" t="str">
        <f>IFERROR(__xludf.DUMMYFUNCTION("REGEXREPLACE(C1038,""-\d+(.*)|--\d+(.*)"","""")"),"LAYS-SUR-LE-DOUBS")</f>
        <v>LAYS-SUR-LE-DOUBS</v>
      </c>
      <c r="E1038" s="38" t="s">
        <v>344</v>
      </c>
      <c r="F1038" s="38" t="s">
        <v>106</v>
      </c>
      <c r="G1038" s="49" t="str">
        <f t="shared" si="1"/>
        <v>71270</v>
      </c>
      <c r="H1038" s="49">
        <f t="shared" si="2"/>
        <v>71254</v>
      </c>
    </row>
    <row r="1039">
      <c r="A1039" s="48" t="s">
        <v>1616</v>
      </c>
      <c r="B1039" s="38">
        <v>10306.0</v>
      </c>
      <c r="C1039" s="38" t="s">
        <v>2148</v>
      </c>
      <c r="D1039" s="38" t="str">
        <f>IFERROR(__xludf.DUMMYFUNCTION("REGEXREPLACE(C1039,""-\d+(.*)|--\d+(.*)"","""")"),"PROVERVILLE")</f>
        <v>PROVERVILLE</v>
      </c>
      <c r="E1039" s="38" t="s">
        <v>147</v>
      </c>
      <c r="F1039" s="38" t="s">
        <v>130</v>
      </c>
      <c r="G1039" s="49" t="str">
        <f t="shared" si="1"/>
        <v>10200</v>
      </c>
      <c r="H1039" s="49">
        <f t="shared" si="2"/>
        <v>10306</v>
      </c>
    </row>
    <row r="1040">
      <c r="A1040" s="48" t="s">
        <v>2149</v>
      </c>
      <c r="B1040" s="38">
        <v>83102.0</v>
      </c>
      <c r="C1040" s="38" t="s">
        <v>2150</v>
      </c>
      <c r="D1040" s="38" t="str">
        <f>IFERROR(__xludf.DUMMYFUNCTION("REGEXREPLACE(C1040,""-\d+(.*)|--\d+(.*)"","""")"),"REGUSSE")</f>
        <v>REGUSSE</v>
      </c>
      <c r="E1040" s="38" t="s">
        <v>813</v>
      </c>
      <c r="F1040" s="38" t="s">
        <v>228</v>
      </c>
      <c r="G1040" s="49" t="str">
        <f t="shared" si="1"/>
        <v>83630</v>
      </c>
      <c r="H1040" s="49">
        <f t="shared" si="2"/>
        <v>83102</v>
      </c>
    </row>
    <row r="1041">
      <c r="A1041" s="48" t="s">
        <v>236</v>
      </c>
      <c r="B1041" s="38">
        <v>9107.0</v>
      </c>
      <c r="C1041" s="38" t="s">
        <v>2151</v>
      </c>
      <c r="D1041" s="38" t="str">
        <f>IFERROR(__xludf.DUMMYFUNCTION("REGEXREPLACE(C1041,""-\d+(.*)|--\d+(.*)"","""")"),"DUN")</f>
        <v>DUN</v>
      </c>
      <c r="E1041" s="38" t="s">
        <v>238</v>
      </c>
      <c r="F1041" s="38" t="s">
        <v>94</v>
      </c>
      <c r="G1041" s="49" t="str">
        <f t="shared" si="1"/>
        <v>09600</v>
      </c>
      <c r="H1041" s="49" t="str">
        <f t="shared" si="2"/>
        <v>09107</v>
      </c>
    </row>
    <row r="1042">
      <c r="A1042" s="48" t="s">
        <v>2152</v>
      </c>
      <c r="B1042" s="38">
        <v>30258.0</v>
      </c>
      <c r="C1042" s="38" t="s">
        <v>2153</v>
      </c>
      <c r="D1042" s="38" t="str">
        <f>IFERROR(__xludf.DUMMYFUNCTION("REGEXREPLACE(C1042,""-\d+(.*)|--\d+(.*)"","""")"),"SAINT-GILLES")</f>
        <v>SAINT-GILLES</v>
      </c>
      <c r="E1042" s="38" t="s">
        <v>526</v>
      </c>
      <c r="F1042" s="38" t="s">
        <v>119</v>
      </c>
      <c r="G1042" s="49" t="str">
        <f t="shared" si="1"/>
        <v>30800</v>
      </c>
      <c r="H1042" s="49">
        <f t="shared" si="2"/>
        <v>30258</v>
      </c>
    </row>
    <row r="1043">
      <c r="A1043" s="48" t="s">
        <v>2154</v>
      </c>
      <c r="B1043" s="38">
        <v>62032.0</v>
      </c>
      <c r="C1043" s="38" t="s">
        <v>2155</v>
      </c>
      <c r="D1043" s="38" t="str">
        <f>IFERROR(__xludf.DUMMYFUNCTION("REGEXREPLACE(C1043,""-\d+(.*)|--\d+(.*)"","""")"),"ANGRES")</f>
        <v>ANGRES</v>
      </c>
      <c r="E1043" s="38" t="s">
        <v>109</v>
      </c>
      <c r="F1043" s="38" t="s">
        <v>86</v>
      </c>
      <c r="G1043" s="49" t="str">
        <f t="shared" si="1"/>
        <v>62143</v>
      </c>
      <c r="H1043" s="49">
        <f t="shared" si="2"/>
        <v>62032</v>
      </c>
    </row>
    <row r="1044">
      <c r="A1044" s="48" t="s">
        <v>2156</v>
      </c>
      <c r="B1044" s="38">
        <v>26190.0</v>
      </c>
      <c r="C1044" s="38" t="s">
        <v>2157</v>
      </c>
      <c r="D1044" s="38" t="str">
        <f>IFERROR(__xludf.DUMMYFUNCTION("REGEXREPLACE(C1044,""-\d+(.*)|--\d+(.*)"","""")"),"MONTAULIEU")</f>
        <v>MONTAULIEU</v>
      </c>
      <c r="E1044" s="38" t="s">
        <v>126</v>
      </c>
      <c r="F1044" s="38" t="s">
        <v>102</v>
      </c>
      <c r="G1044" s="49" t="str">
        <f t="shared" si="1"/>
        <v>26110</v>
      </c>
      <c r="H1044" s="49">
        <f t="shared" si="2"/>
        <v>26190</v>
      </c>
    </row>
    <row r="1045">
      <c r="A1045" s="48" t="s">
        <v>480</v>
      </c>
      <c r="B1045" s="38">
        <v>3196.0</v>
      </c>
      <c r="C1045" s="38" t="s">
        <v>2158</v>
      </c>
      <c r="D1045" s="38" t="str">
        <f>IFERROR(__xludf.DUMMYFUNCTION("REGEXREPLACE(C1045,""-\d+(.*)|--\d+(.*)"","""")"),"NEUILLY-EN-DONJON")</f>
        <v>NEUILLY-EN-DONJON</v>
      </c>
      <c r="E1045" s="38" t="s">
        <v>160</v>
      </c>
      <c r="F1045" s="38" t="s">
        <v>161</v>
      </c>
      <c r="G1045" s="49" t="str">
        <f t="shared" si="1"/>
        <v>03130</v>
      </c>
      <c r="H1045" s="49" t="str">
        <f t="shared" si="2"/>
        <v>03196</v>
      </c>
    </row>
    <row r="1046">
      <c r="A1046" s="48" t="s">
        <v>2159</v>
      </c>
      <c r="B1046" s="38">
        <v>57676.0</v>
      </c>
      <c r="C1046" s="38" t="s">
        <v>2160</v>
      </c>
      <c r="D1046" s="38" t="str">
        <f>IFERROR(__xludf.DUMMYFUNCTION("REGEXREPLACE(C1046,""-\d+(.*)|--\d+(.*)"","""")"),"TRAGNY")</f>
        <v>TRAGNY</v>
      </c>
      <c r="E1046" s="38" t="s">
        <v>303</v>
      </c>
      <c r="F1046" s="38" t="s">
        <v>195</v>
      </c>
      <c r="G1046" s="49" t="str">
        <f t="shared" si="1"/>
        <v>57580</v>
      </c>
      <c r="H1046" s="49">
        <f t="shared" si="2"/>
        <v>57676</v>
      </c>
    </row>
    <row r="1047">
      <c r="A1047" s="48" t="s">
        <v>658</v>
      </c>
      <c r="B1047" s="38">
        <v>62896.0</v>
      </c>
      <c r="C1047" s="38" t="s">
        <v>2161</v>
      </c>
      <c r="D1047" s="38" t="str">
        <f>IFERROR(__xludf.DUMMYFUNCTION("REGEXREPLACE(C1047,""-\d+(.*)|--\d+(.*)"","""")"),"WIRWIGNES")</f>
        <v>WIRWIGNES</v>
      </c>
      <c r="E1047" s="38" t="s">
        <v>109</v>
      </c>
      <c r="F1047" s="38" t="s">
        <v>86</v>
      </c>
      <c r="G1047" s="49" t="str">
        <f t="shared" si="1"/>
        <v>62240</v>
      </c>
      <c r="H1047" s="49">
        <f t="shared" si="2"/>
        <v>62896</v>
      </c>
    </row>
    <row r="1048">
      <c r="A1048" s="48" t="s">
        <v>2162</v>
      </c>
      <c r="B1048" s="38">
        <v>26257.0</v>
      </c>
      <c r="C1048" s="38" t="s">
        <v>2163</v>
      </c>
      <c r="D1048" s="38" t="str">
        <f>IFERROR(__xludf.DUMMYFUNCTION("REGEXREPLACE(C1048,""-\d+(.*)|--\d+(.*)"","""")"),"PUYGIRON")</f>
        <v>PUYGIRON</v>
      </c>
      <c r="E1048" s="38" t="s">
        <v>126</v>
      </c>
      <c r="F1048" s="38" t="s">
        <v>102</v>
      </c>
      <c r="G1048" s="49" t="str">
        <f t="shared" si="1"/>
        <v>26160</v>
      </c>
      <c r="H1048" s="49">
        <f t="shared" si="2"/>
        <v>26257</v>
      </c>
    </row>
    <row r="1049">
      <c r="A1049" s="48" t="s">
        <v>2164</v>
      </c>
      <c r="B1049" s="38">
        <v>63043.0</v>
      </c>
      <c r="C1049" s="38" t="s">
        <v>2165</v>
      </c>
      <c r="D1049" s="38" t="str">
        <f>IFERROR(__xludf.DUMMYFUNCTION("REGEXREPLACE(C1049,""-\d+(.*)|--\d+(.*)"","""")"),"BLOT-L'EGLISE")</f>
        <v>BLOT-L'EGLISE</v>
      </c>
      <c r="E1049" s="38" t="s">
        <v>353</v>
      </c>
      <c r="F1049" s="38" t="s">
        <v>161</v>
      </c>
      <c r="G1049" s="49" t="str">
        <f t="shared" si="1"/>
        <v>63440</v>
      </c>
      <c r="H1049" s="49">
        <f t="shared" si="2"/>
        <v>63043</v>
      </c>
    </row>
    <row r="1050">
      <c r="A1050" s="48" t="s">
        <v>2166</v>
      </c>
      <c r="B1050" s="38">
        <v>86152.0</v>
      </c>
      <c r="C1050" s="38" t="s">
        <v>2167</v>
      </c>
      <c r="D1050" s="38" t="str">
        <f>IFERROR(__xludf.DUMMYFUNCTION("REGEXREPLACE(C1050,""-\d+(.*)|--\d+(.*)"","""")"),"MAUPREVOIR")</f>
        <v>MAUPREVOIR</v>
      </c>
      <c r="E1050" s="38" t="s">
        <v>529</v>
      </c>
      <c r="F1050" s="38" t="s">
        <v>338</v>
      </c>
      <c r="G1050" s="49" t="str">
        <f t="shared" si="1"/>
        <v>86460</v>
      </c>
      <c r="H1050" s="49">
        <f t="shared" si="2"/>
        <v>86152</v>
      </c>
    </row>
    <row r="1051">
      <c r="A1051" s="48" t="s">
        <v>2168</v>
      </c>
      <c r="B1051" s="38">
        <v>77388.0</v>
      </c>
      <c r="C1051" s="38" t="s">
        <v>2169</v>
      </c>
      <c r="D1051" s="38" t="str">
        <f>IFERROR(__xludf.DUMMYFUNCTION("REGEXREPLACE(C1051,""-\d+(.*)|--\d+(.*)"","""")"),"REUIL-EN-BRIE")</f>
        <v>REUIL-EN-BRIE</v>
      </c>
      <c r="E1051" s="38" t="s">
        <v>244</v>
      </c>
      <c r="F1051" s="38" t="s">
        <v>245</v>
      </c>
      <c r="G1051" s="49" t="str">
        <f t="shared" si="1"/>
        <v>77260</v>
      </c>
      <c r="H1051" s="49">
        <f t="shared" si="2"/>
        <v>77388</v>
      </c>
    </row>
    <row r="1052">
      <c r="A1052" s="48" t="s">
        <v>2170</v>
      </c>
      <c r="B1052" s="38">
        <v>80150.0</v>
      </c>
      <c r="C1052" s="38" t="s">
        <v>2171</v>
      </c>
      <c r="D1052" s="38" t="str">
        <f>IFERROR(__xludf.DUMMYFUNCTION("REGEXREPLACE(C1052,""-\d+(.*)|--\d+(.*)"","""")"),"BUIRE-COURCELLES")</f>
        <v>BUIRE-COURCELLES</v>
      </c>
      <c r="E1052" s="38" t="s">
        <v>224</v>
      </c>
      <c r="F1052" s="38" t="s">
        <v>113</v>
      </c>
      <c r="G1052" s="49" t="str">
        <f t="shared" si="1"/>
        <v>80200</v>
      </c>
      <c r="H1052" s="49">
        <f t="shared" si="2"/>
        <v>80150</v>
      </c>
    </row>
    <row r="1053">
      <c r="A1053" s="48" t="s">
        <v>2172</v>
      </c>
      <c r="B1053" s="38">
        <v>73244.0</v>
      </c>
      <c r="C1053" s="38" t="s">
        <v>2173</v>
      </c>
      <c r="D1053" s="38" t="str">
        <f>IFERROR(__xludf.DUMMYFUNCTION("REGEXREPLACE(C1053,""-\d+(.*)|--\d+(.*)"","""")"),"SAINT-JEAN-DE-BELLEVILLE")</f>
        <v>SAINT-JEAN-DE-BELLEVILLE</v>
      </c>
      <c r="E1053" s="38" t="s">
        <v>306</v>
      </c>
      <c r="F1053" s="38" t="s">
        <v>102</v>
      </c>
      <c r="G1053" s="49" t="str">
        <f t="shared" si="1"/>
        <v>73440</v>
      </c>
      <c r="H1053" s="49">
        <f t="shared" si="2"/>
        <v>73244</v>
      </c>
    </row>
    <row r="1054">
      <c r="A1054" s="48" t="s">
        <v>2174</v>
      </c>
      <c r="B1054" s="38">
        <v>35143.0</v>
      </c>
      <c r="C1054" s="38" t="s">
        <v>2175</v>
      </c>
      <c r="D1054" s="38" t="str">
        <f>IFERROR(__xludf.DUMMYFUNCTION("REGEXREPLACE(C1054,""-\d+(.*)|--\d+(.*)"","""")"),"LANDUJAN")</f>
        <v>LANDUJAN</v>
      </c>
      <c r="E1054" s="38" t="s">
        <v>347</v>
      </c>
      <c r="F1054" s="38" t="s">
        <v>90</v>
      </c>
      <c r="G1054" s="49" t="str">
        <f t="shared" si="1"/>
        <v>35360</v>
      </c>
      <c r="H1054" s="49">
        <f t="shared" si="2"/>
        <v>35143</v>
      </c>
    </row>
    <row r="1055">
      <c r="A1055" s="48" t="s">
        <v>2176</v>
      </c>
      <c r="B1055" s="38">
        <v>62416.0</v>
      </c>
      <c r="C1055" s="38" t="s">
        <v>2177</v>
      </c>
      <c r="D1055" s="38" t="str">
        <f>IFERROR(__xludf.DUMMYFUNCTION("REGEXREPLACE(C1055,""-\d+(.*)|--\d+(.*)"","""")"),"HAUTECLOQUE")</f>
        <v>HAUTECLOQUE</v>
      </c>
      <c r="E1055" s="38" t="s">
        <v>109</v>
      </c>
      <c r="F1055" s="38" t="s">
        <v>86</v>
      </c>
      <c r="G1055" s="49" t="str">
        <f t="shared" si="1"/>
        <v>62130</v>
      </c>
      <c r="H1055" s="49">
        <f t="shared" si="2"/>
        <v>62416</v>
      </c>
    </row>
    <row r="1056">
      <c r="A1056" s="48" t="s">
        <v>2178</v>
      </c>
      <c r="B1056" s="38">
        <v>6018.0</v>
      </c>
      <c r="C1056" s="38" t="s">
        <v>2179</v>
      </c>
      <c r="D1056" s="38" t="str">
        <f>IFERROR(__xludf.DUMMYFUNCTION("REGEXREPLACE(C1056,""-\d+(.*)|--\d+(.*)"","""")"),"BIOT")</f>
        <v>BIOT</v>
      </c>
      <c r="E1056" s="38" t="s">
        <v>227</v>
      </c>
      <c r="F1056" s="38" t="s">
        <v>228</v>
      </c>
      <c r="G1056" s="49" t="str">
        <f t="shared" si="1"/>
        <v>06410</v>
      </c>
      <c r="H1056" s="49" t="str">
        <f t="shared" si="2"/>
        <v>06018</v>
      </c>
    </row>
    <row r="1057">
      <c r="A1057" s="48" t="s">
        <v>1511</v>
      </c>
      <c r="B1057" s="38">
        <v>22113.0</v>
      </c>
      <c r="C1057" s="38" t="s">
        <v>2180</v>
      </c>
      <c r="D1057" s="38" t="str">
        <f>IFERROR(__xludf.DUMMYFUNCTION("REGEXREPLACE(C1057,""-\d+(.*)|--\d+(.*)"","""")"),"LANNION")</f>
        <v>LANNION</v>
      </c>
      <c r="E1057" s="38" t="s">
        <v>89</v>
      </c>
      <c r="F1057" s="38" t="s">
        <v>90</v>
      </c>
      <c r="G1057" s="49" t="str">
        <f t="shared" si="1"/>
        <v>22300</v>
      </c>
      <c r="H1057" s="49">
        <f t="shared" si="2"/>
        <v>22113</v>
      </c>
    </row>
    <row r="1058">
      <c r="A1058" s="48" t="s">
        <v>1636</v>
      </c>
      <c r="B1058" s="38">
        <v>14743.0</v>
      </c>
      <c r="C1058" s="38" t="s">
        <v>2181</v>
      </c>
      <c r="D1058" s="38" t="str">
        <f>IFERROR(__xludf.DUMMYFUNCTION("REGEXREPLACE(C1058,""-\d+(.*)|--\d+(.*)"","""")"),"VICTOT-PONTFOL")</f>
        <v>VICTOT-PONTFOL</v>
      </c>
      <c r="E1058" s="38" t="s">
        <v>137</v>
      </c>
      <c r="F1058" s="38" t="s">
        <v>138</v>
      </c>
      <c r="G1058" s="49" t="str">
        <f t="shared" si="1"/>
        <v>14430</v>
      </c>
      <c r="H1058" s="49">
        <f t="shared" si="2"/>
        <v>14743</v>
      </c>
    </row>
    <row r="1059">
      <c r="A1059" s="48" t="s">
        <v>2182</v>
      </c>
      <c r="B1059" s="38">
        <v>89308.0</v>
      </c>
      <c r="C1059" s="38" t="s">
        <v>2183</v>
      </c>
      <c r="D1059" s="38" t="str">
        <f>IFERROR(__xludf.DUMMYFUNCTION("REGEXREPLACE(C1059,""-\d+(.*)|--\d+(.*)"","""")"),"PONT-SUR-VANNE")</f>
        <v>PONT-SUR-VANNE</v>
      </c>
      <c r="E1059" s="38" t="s">
        <v>275</v>
      </c>
      <c r="F1059" s="38" t="s">
        <v>106</v>
      </c>
      <c r="G1059" s="49" t="str">
        <f t="shared" si="1"/>
        <v>89190</v>
      </c>
      <c r="H1059" s="49">
        <f t="shared" si="2"/>
        <v>89308</v>
      </c>
    </row>
    <row r="1060">
      <c r="A1060" s="48" t="s">
        <v>2184</v>
      </c>
      <c r="B1060" s="38">
        <v>45082.0</v>
      </c>
      <c r="C1060" s="38" t="s">
        <v>2185</v>
      </c>
      <c r="D1060" s="38" t="str">
        <f>IFERROR(__xludf.DUMMYFUNCTION("REGEXREPLACE(C1060,""-\d+(.*)|--\d+(.*)"","""")"),"CHATEAUNEUF-SUR-LOIRE")</f>
        <v>CHATEAUNEUF-SUR-LOIRE</v>
      </c>
      <c r="E1060" s="38" t="s">
        <v>122</v>
      </c>
      <c r="F1060" s="38" t="s">
        <v>123</v>
      </c>
      <c r="G1060" s="49" t="str">
        <f t="shared" si="1"/>
        <v>45110</v>
      </c>
      <c r="H1060" s="49">
        <f t="shared" si="2"/>
        <v>45082</v>
      </c>
    </row>
    <row r="1061">
      <c r="A1061" s="48" t="s">
        <v>2186</v>
      </c>
      <c r="B1061" s="38">
        <v>26381.0</v>
      </c>
      <c r="C1061" s="38" t="s">
        <v>2187</v>
      </c>
      <c r="D1061" s="38" t="str">
        <f>IFERROR(__xludf.DUMMYFUNCTION("REGEXREPLACE(C1061,""-\d+(.*)|--\d+(.*)"","""")"),"JAILLANS")</f>
        <v>JAILLANS</v>
      </c>
      <c r="E1061" s="38" t="s">
        <v>126</v>
      </c>
      <c r="F1061" s="38" t="s">
        <v>102</v>
      </c>
      <c r="G1061" s="49" t="str">
        <f t="shared" si="1"/>
        <v>26300</v>
      </c>
      <c r="H1061" s="49">
        <f t="shared" si="2"/>
        <v>26381</v>
      </c>
    </row>
    <row r="1062">
      <c r="A1062" s="48" t="s">
        <v>2188</v>
      </c>
      <c r="B1062" s="38">
        <v>18109.0</v>
      </c>
      <c r="C1062" s="38" t="s">
        <v>2189</v>
      </c>
      <c r="D1062" s="38" t="str">
        <f>IFERROR(__xludf.DUMMYFUNCTION("REGEXREPLACE(C1062,""-\d+(.*)|--\d+(.*)"","""")"),"HENRICHEMONT")</f>
        <v>HENRICHEMONT</v>
      </c>
      <c r="E1062" s="38" t="s">
        <v>504</v>
      </c>
      <c r="F1062" s="38" t="s">
        <v>123</v>
      </c>
      <c r="G1062" s="49" t="str">
        <f t="shared" si="1"/>
        <v>18250</v>
      </c>
      <c r="H1062" s="49">
        <f t="shared" si="2"/>
        <v>18109</v>
      </c>
    </row>
    <row r="1063">
      <c r="A1063" s="48" t="s">
        <v>2190</v>
      </c>
      <c r="B1063" s="38">
        <v>10284.0</v>
      </c>
      <c r="C1063" s="38" t="s">
        <v>2191</v>
      </c>
      <c r="D1063" s="38" t="str">
        <f>IFERROR(__xludf.DUMMYFUNCTION("REGEXREPLACE(C1063,""-\d+(.*)|--\d+(.*)"","""")"),"PERIGNY-LA-ROSE")</f>
        <v>PERIGNY-LA-ROSE</v>
      </c>
      <c r="E1063" s="38" t="s">
        <v>147</v>
      </c>
      <c r="F1063" s="38" t="s">
        <v>130</v>
      </c>
      <c r="G1063" s="49" t="str">
        <f t="shared" si="1"/>
        <v>10400</v>
      </c>
      <c r="H1063" s="49">
        <f t="shared" si="2"/>
        <v>10284</v>
      </c>
    </row>
    <row r="1064">
      <c r="A1064" s="48" t="s">
        <v>2192</v>
      </c>
      <c r="B1064" s="38">
        <v>42308.0</v>
      </c>
      <c r="C1064" s="38" t="s">
        <v>2193</v>
      </c>
      <c r="D1064" s="38" t="str">
        <f>IFERROR(__xludf.DUMMYFUNCTION("REGEXREPLACE(C1064,""-\d+(.*)|--\d+(.*)"","""")"),"LA TERRASSE-SUR-DORLAY")</f>
        <v>LA TERRASSE-SUR-DORLAY</v>
      </c>
      <c r="E1064" s="38" t="s">
        <v>166</v>
      </c>
      <c r="F1064" s="38" t="s">
        <v>102</v>
      </c>
      <c r="G1064" s="49" t="str">
        <f t="shared" si="1"/>
        <v>42740</v>
      </c>
      <c r="H1064" s="49">
        <f t="shared" si="2"/>
        <v>42308</v>
      </c>
    </row>
    <row r="1065">
      <c r="A1065" s="48" t="s">
        <v>2194</v>
      </c>
      <c r="B1065" s="38">
        <v>38487.0</v>
      </c>
      <c r="C1065" s="38" t="s">
        <v>2195</v>
      </c>
      <c r="D1065" s="38" t="str">
        <f>IFERROR(__xludf.DUMMYFUNCTION("REGEXREPLACE(C1065,""-\d+(.*)|--\d+(.*)"","""")"),"SEYSSUEL")</f>
        <v>SEYSSUEL</v>
      </c>
      <c r="E1065" s="38" t="s">
        <v>101</v>
      </c>
      <c r="F1065" s="38" t="s">
        <v>102</v>
      </c>
      <c r="G1065" s="49" t="str">
        <f t="shared" si="1"/>
        <v>38200</v>
      </c>
      <c r="H1065" s="49">
        <f t="shared" si="2"/>
        <v>38487</v>
      </c>
    </row>
    <row r="1066">
      <c r="A1066" s="48" t="s">
        <v>307</v>
      </c>
      <c r="B1066" s="38">
        <v>88104.0</v>
      </c>
      <c r="C1066" s="38" t="s">
        <v>2196</v>
      </c>
      <c r="D1066" s="38" t="str">
        <f>IFERROR(__xludf.DUMMYFUNCTION("REGEXREPLACE(C1066,""-\d+(.*)|--\d+(.*)"","""")"),"CIRCOURT-SUR-MOUZON")</f>
        <v>CIRCOURT-SUR-MOUZON</v>
      </c>
      <c r="E1066" s="38" t="s">
        <v>194</v>
      </c>
      <c r="F1066" s="38" t="s">
        <v>195</v>
      </c>
      <c r="G1066" s="49" t="str">
        <f t="shared" si="1"/>
        <v>88300</v>
      </c>
      <c r="H1066" s="49">
        <f t="shared" si="2"/>
        <v>88104</v>
      </c>
    </row>
    <row r="1067">
      <c r="A1067" s="48" t="s">
        <v>1978</v>
      </c>
      <c r="B1067" s="38">
        <v>88272.0</v>
      </c>
      <c r="C1067" s="38" t="s">
        <v>2197</v>
      </c>
      <c r="D1067" s="38" t="str">
        <f>IFERROR(__xludf.DUMMYFUNCTION("REGEXREPLACE(C1067,""-\d+(.*)|--\d+(.*)"","""")"),"LIRONCOURT")</f>
        <v>LIRONCOURT</v>
      </c>
      <c r="E1067" s="38" t="s">
        <v>194</v>
      </c>
      <c r="F1067" s="38" t="s">
        <v>195</v>
      </c>
      <c r="G1067" s="49" t="str">
        <f t="shared" si="1"/>
        <v>88410</v>
      </c>
      <c r="H1067" s="49">
        <f t="shared" si="2"/>
        <v>88272</v>
      </c>
    </row>
    <row r="1068">
      <c r="A1068" s="48" t="s">
        <v>524</v>
      </c>
      <c r="B1068" s="38">
        <v>30212.0</v>
      </c>
      <c r="C1068" s="38" t="s">
        <v>2198</v>
      </c>
      <c r="D1068" s="38" t="str">
        <f>IFERROR(__xludf.DUMMYFUNCTION("REGEXREPLACE(C1068,""-\d+(.*)|--\d+(.*)"","""")"),"REMOULINS")</f>
        <v>REMOULINS</v>
      </c>
      <c r="E1068" s="38" t="s">
        <v>526</v>
      </c>
      <c r="F1068" s="38" t="s">
        <v>119</v>
      </c>
      <c r="G1068" s="49" t="str">
        <f t="shared" si="1"/>
        <v>30210</v>
      </c>
      <c r="H1068" s="49">
        <f t="shared" si="2"/>
        <v>30212</v>
      </c>
    </row>
    <row r="1069">
      <c r="A1069" s="48" t="s">
        <v>181</v>
      </c>
      <c r="B1069" s="38">
        <v>51657.0</v>
      </c>
      <c r="C1069" s="38" t="s">
        <v>2199</v>
      </c>
      <c r="D1069" s="38" t="str">
        <f>IFERROR(__xludf.DUMMYFUNCTION("REGEXREPLACE(C1069,""-\d+(.*)|--\d+(.*)"","""")"),"VRIGNY")</f>
        <v>VRIGNY</v>
      </c>
      <c r="E1069" s="38" t="s">
        <v>129</v>
      </c>
      <c r="F1069" s="38" t="s">
        <v>130</v>
      </c>
      <c r="G1069" s="49" t="str">
        <f t="shared" si="1"/>
        <v>51390</v>
      </c>
      <c r="H1069" s="49">
        <f t="shared" si="2"/>
        <v>51657</v>
      </c>
    </row>
    <row r="1070">
      <c r="A1070" s="48" t="s">
        <v>1203</v>
      </c>
      <c r="B1070" s="38">
        <v>17445.0</v>
      </c>
      <c r="C1070" s="38" t="s">
        <v>2200</v>
      </c>
      <c r="D1070" s="38" t="str">
        <f>IFERROR(__xludf.DUMMYFUNCTION("REGEXREPLACE(C1070,""-\d+(.*)|--\d+(.*)"","""")"),"THEZAC")</f>
        <v>THEZAC</v>
      </c>
      <c r="E1070" s="38" t="s">
        <v>488</v>
      </c>
      <c r="F1070" s="38" t="s">
        <v>338</v>
      </c>
      <c r="G1070" s="49" t="str">
        <f t="shared" si="1"/>
        <v>17600</v>
      </c>
      <c r="H1070" s="49">
        <f t="shared" si="2"/>
        <v>17445</v>
      </c>
    </row>
    <row r="1071">
      <c r="A1071" s="48" t="s">
        <v>2201</v>
      </c>
      <c r="B1071" s="38">
        <v>32028.0</v>
      </c>
      <c r="C1071" s="38" t="s">
        <v>2202</v>
      </c>
      <c r="D1071" s="38" t="str">
        <f>IFERROR(__xludf.DUMMYFUNCTION("REGEXREPLACE(C1071,""-\d+(.*)|--\d+(.*)"","""")"),"BARCUGNAN")</f>
        <v>BARCUGNAN</v>
      </c>
      <c r="E1071" s="38" t="s">
        <v>440</v>
      </c>
      <c r="F1071" s="38" t="s">
        <v>94</v>
      </c>
      <c r="G1071" s="49" t="str">
        <f t="shared" si="1"/>
        <v>32170</v>
      </c>
      <c r="H1071" s="49">
        <f t="shared" si="2"/>
        <v>32028</v>
      </c>
    </row>
    <row r="1072">
      <c r="A1072" s="48" t="s">
        <v>249</v>
      </c>
      <c r="B1072" s="38">
        <v>47237.0</v>
      </c>
      <c r="C1072" s="38" t="s">
        <v>2203</v>
      </c>
      <c r="D1072" s="38" t="str">
        <f>IFERROR(__xludf.DUMMYFUNCTION("REGEXREPLACE(C1072,""-\d+(.*)|--\d+(.*)"","""")"),"SAINTE-COLOMBE-DE-VILLENEUVE")</f>
        <v>SAINTE-COLOMBE-DE-VILLENEUVE</v>
      </c>
      <c r="E1072" s="38" t="s">
        <v>251</v>
      </c>
      <c r="F1072" s="38" t="s">
        <v>252</v>
      </c>
      <c r="G1072" s="49" t="str">
        <f t="shared" si="1"/>
        <v>47300</v>
      </c>
      <c r="H1072" s="49">
        <f t="shared" si="2"/>
        <v>47237</v>
      </c>
    </row>
    <row r="1073">
      <c r="A1073" s="48" t="s">
        <v>2204</v>
      </c>
      <c r="B1073" s="38">
        <v>42168.0</v>
      </c>
      <c r="C1073" s="38" t="s">
        <v>2205</v>
      </c>
      <c r="D1073" s="38" t="str">
        <f>IFERROR(__xludf.DUMMYFUNCTION("REGEXREPLACE(C1073,""-\d+(.*)|--\d+(.*)"","""")"),"PELUSSIN")</f>
        <v>PELUSSIN</v>
      </c>
      <c r="E1073" s="38" t="s">
        <v>166</v>
      </c>
      <c r="F1073" s="38" t="s">
        <v>102</v>
      </c>
      <c r="G1073" s="49" t="str">
        <f t="shared" si="1"/>
        <v>42410</v>
      </c>
      <c r="H1073" s="49">
        <f t="shared" si="2"/>
        <v>42168</v>
      </c>
    </row>
    <row r="1074">
      <c r="A1074" s="48" t="s">
        <v>145</v>
      </c>
      <c r="B1074" s="38">
        <v>10122.0</v>
      </c>
      <c r="C1074" s="38" t="s">
        <v>2206</v>
      </c>
      <c r="D1074" s="38" t="str">
        <f>IFERROR(__xludf.DUMMYFUNCTION("REGEXREPLACE(C1074,""-\d+(.*)|--\d+(.*)"","""")"),"DAVREY")</f>
        <v>DAVREY</v>
      </c>
      <c r="E1074" s="38" t="s">
        <v>147</v>
      </c>
      <c r="F1074" s="38" t="s">
        <v>130</v>
      </c>
      <c r="G1074" s="49" t="str">
        <f t="shared" si="1"/>
        <v>10130</v>
      </c>
      <c r="H1074" s="49">
        <f t="shared" si="2"/>
        <v>10122</v>
      </c>
    </row>
    <row r="1075">
      <c r="A1075" s="48" t="s">
        <v>926</v>
      </c>
      <c r="B1075" s="38">
        <v>43160.0</v>
      </c>
      <c r="C1075" s="38" t="s">
        <v>2207</v>
      </c>
      <c r="D1075" s="38" t="str">
        <f>IFERROR(__xludf.DUMMYFUNCTION("REGEXREPLACE(C1075,""-\d+(.*)|--\d+(.*)"","""")"),"RAURET")</f>
        <v>RAURET</v>
      </c>
      <c r="E1075" s="38" t="s">
        <v>332</v>
      </c>
      <c r="F1075" s="38" t="s">
        <v>161</v>
      </c>
      <c r="G1075" s="49" t="str">
        <f t="shared" si="1"/>
        <v>43340</v>
      </c>
      <c r="H1075" s="49">
        <f t="shared" si="2"/>
        <v>43160</v>
      </c>
    </row>
    <row r="1076">
      <c r="A1076" s="48" t="s">
        <v>2208</v>
      </c>
      <c r="B1076" s="38">
        <v>55244.0</v>
      </c>
      <c r="C1076" s="38" t="s">
        <v>2209</v>
      </c>
      <c r="D1076" s="38" t="str">
        <f>IFERROR(__xludf.DUMMYFUNCTION("REGEXREPLACE(C1076,""-\d+(.*)|--\d+(.*)"","""")"),"HERMEVILLE-EN-WOEVRE")</f>
        <v>HERMEVILLE-EN-WOEVRE</v>
      </c>
      <c r="E1076" s="38" t="s">
        <v>322</v>
      </c>
      <c r="F1076" s="38" t="s">
        <v>195</v>
      </c>
      <c r="G1076" s="49" t="str">
        <f t="shared" si="1"/>
        <v>55400</v>
      </c>
      <c r="H1076" s="49">
        <f t="shared" si="2"/>
        <v>55244</v>
      </c>
    </row>
    <row r="1077">
      <c r="A1077" s="48" t="s">
        <v>2210</v>
      </c>
      <c r="B1077" s="38">
        <v>38185.0</v>
      </c>
      <c r="C1077" s="38" t="s">
        <v>2211</v>
      </c>
      <c r="D1077" s="38" t="str">
        <f>IFERROR(__xludf.DUMMYFUNCTION("REGEXREPLACE(C1077,""-\d+(.*)|--\d+(.*)"","""")"),"GRENOBLE")</f>
        <v>GRENOBLE</v>
      </c>
      <c r="E1077" s="38" t="s">
        <v>101</v>
      </c>
      <c r="F1077" s="38" t="s">
        <v>102</v>
      </c>
      <c r="G1077" s="49" t="str">
        <f t="shared" si="1"/>
        <v>38000/38100</v>
      </c>
      <c r="H1077" s="49">
        <f t="shared" si="2"/>
        <v>38185</v>
      </c>
    </row>
    <row r="1078">
      <c r="A1078" s="48" t="s">
        <v>1721</v>
      </c>
      <c r="B1078" s="38">
        <v>33164.0</v>
      </c>
      <c r="C1078" s="38" t="s">
        <v>2212</v>
      </c>
      <c r="D1078" s="38" t="str">
        <f>IFERROR(__xludf.DUMMYFUNCTION("REGEXREPLACE(C1078,""-\d+(.*)|--\d+(.*)"","""")"),"FARGUES")</f>
        <v>FARGUES</v>
      </c>
      <c r="E1078" s="38" t="s">
        <v>462</v>
      </c>
      <c r="F1078" s="38" t="s">
        <v>252</v>
      </c>
      <c r="G1078" s="49" t="str">
        <f t="shared" si="1"/>
        <v>33210</v>
      </c>
      <c r="H1078" s="49">
        <f t="shared" si="2"/>
        <v>33164</v>
      </c>
    </row>
    <row r="1079">
      <c r="A1079" s="48" t="s">
        <v>2213</v>
      </c>
      <c r="B1079" s="38">
        <v>59422.0</v>
      </c>
      <c r="C1079" s="38" t="s">
        <v>2214</v>
      </c>
      <c r="D1079" s="38" t="str">
        <f>IFERROR(__xludf.DUMMYFUNCTION("REGEXREPLACE(C1079,""-\d+(.*)|--\d+(.*)"","""")"),"NAVES")</f>
        <v>NAVES</v>
      </c>
      <c r="E1079" s="38" t="s">
        <v>85</v>
      </c>
      <c r="F1079" s="38" t="s">
        <v>86</v>
      </c>
      <c r="G1079" s="49" t="str">
        <f t="shared" si="1"/>
        <v>59161</v>
      </c>
      <c r="H1079" s="49">
        <f t="shared" si="2"/>
        <v>59422</v>
      </c>
    </row>
    <row r="1080">
      <c r="A1080" s="48" t="s">
        <v>2215</v>
      </c>
      <c r="B1080" s="38">
        <v>64528.0</v>
      </c>
      <c r="C1080" s="38" t="s">
        <v>2216</v>
      </c>
      <c r="D1080" s="38" t="str">
        <f>IFERROR(__xludf.DUMMYFUNCTION("REGEXREPLACE(C1080,""-\d+(.*)|--\d+(.*)"","""")"),"SUHESCUN")</f>
        <v>SUHESCUN</v>
      </c>
      <c r="E1080" s="38" t="s">
        <v>268</v>
      </c>
      <c r="F1080" s="38" t="s">
        <v>252</v>
      </c>
      <c r="G1080" s="49" t="str">
        <f t="shared" si="1"/>
        <v>64780</v>
      </c>
      <c r="H1080" s="49">
        <f t="shared" si="2"/>
        <v>64528</v>
      </c>
    </row>
    <row r="1081">
      <c r="A1081" s="48" t="s">
        <v>2217</v>
      </c>
      <c r="B1081" s="38">
        <v>24395.0</v>
      </c>
      <c r="C1081" s="38" t="s">
        <v>2218</v>
      </c>
      <c r="D1081" s="38" t="str">
        <f>IFERROR(__xludf.DUMMYFUNCTION("REGEXREPLACE(C1081,""-\d+(.*)|--\d+(.*)"","""")"),"SAINT-CYBRANET")</f>
        <v>SAINT-CYBRANET</v>
      </c>
      <c r="E1081" s="38" t="s">
        <v>261</v>
      </c>
      <c r="F1081" s="38" t="s">
        <v>252</v>
      </c>
      <c r="G1081" s="49" t="str">
        <f t="shared" si="1"/>
        <v>24250</v>
      </c>
      <c r="H1081" s="49">
        <f t="shared" si="2"/>
        <v>24395</v>
      </c>
    </row>
    <row r="1082">
      <c r="A1082" s="48" t="s">
        <v>2219</v>
      </c>
      <c r="B1082" s="38">
        <v>2231.0</v>
      </c>
      <c r="C1082" s="38" t="s">
        <v>2220</v>
      </c>
      <c r="D1082" s="38" t="str">
        <f>IFERROR(__xludf.DUMMYFUNCTION("REGEXREPLACE(C1082,""-\d+(.*)|--\d+(.*)"","""")"),"COUVRON-ET-AUMENCOURT")</f>
        <v>COUVRON-ET-AUMENCOURT</v>
      </c>
      <c r="E1082" s="38" t="s">
        <v>191</v>
      </c>
      <c r="F1082" s="38" t="s">
        <v>113</v>
      </c>
      <c r="G1082" s="49" t="str">
        <f t="shared" si="1"/>
        <v>02270</v>
      </c>
      <c r="H1082" s="49" t="str">
        <f t="shared" si="2"/>
        <v>02231</v>
      </c>
    </row>
    <row r="1083">
      <c r="A1083" s="48" t="s">
        <v>2128</v>
      </c>
      <c r="B1083" s="38">
        <v>2811.0</v>
      </c>
      <c r="C1083" s="38" t="s">
        <v>2221</v>
      </c>
      <c r="D1083" s="38" t="str">
        <f>IFERROR(__xludf.DUMMYFUNCTION("REGEXREPLACE(C1083,""-\d+(.*)|--\d+(.*)"","""")"),"VILLERS-EN-PRAYERES")</f>
        <v>VILLERS-EN-PRAYERES</v>
      </c>
      <c r="E1083" s="38" t="s">
        <v>191</v>
      </c>
      <c r="F1083" s="38" t="s">
        <v>113</v>
      </c>
      <c r="G1083" s="49" t="str">
        <f t="shared" si="1"/>
        <v>02160</v>
      </c>
      <c r="H1083" s="49" t="str">
        <f t="shared" si="2"/>
        <v>02811</v>
      </c>
    </row>
    <row r="1084">
      <c r="A1084" s="48" t="s">
        <v>2222</v>
      </c>
      <c r="B1084" s="38">
        <v>92019.0</v>
      </c>
      <c r="C1084" s="38" t="s">
        <v>2223</v>
      </c>
      <c r="D1084" s="38" t="str">
        <f>IFERROR(__xludf.DUMMYFUNCTION("REGEXREPLACE(C1084,""-\d+(.*)|--\d+(.*)"","""")"),"CHATENAY-MALABRY")</f>
        <v>CHATENAY-MALABRY</v>
      </c>
      <c r="E1084" s="38" t="s">
        <v>838</v>
      </c>
      <c r="F1084" s="38" t="s">
        <v>245</v>
      </c>
      <c r="G1084" s="49" t="str">
        <f t="shared" si="1"/>
        <v>92290</v>
      </c>
      <c r="H1084" s="49">
        <f t="shared" si="2"/>
        <v>92019</v>
      </c>
    </row>
    <row r="1085">
      <c r="A1085" s="48" t="s">
        <v>1774</v>
      </c>
      <c r="B1085" s="38">
        <v>28376.0</v>
      </c>
      <c r="C1085" s="38" t="s">
        <v>2224</v>
      </c>
      <c r="D1085" s="38" t="str">
        <f>IFERROR(__xludf.DUMMYFUNCTION("REGEXREPLACE(C1085,""-\d+(.*)|--\d+(.*)"","""")"),"SOIZE")</f>
        <v>SOIZE</v>
      </c>
      <c r="E1085" s="38" t="s">
        <v>300</v>
      </c>
      <c r="F1085" s="38" t="s">
        <v>123</v>
      </c>
      <c r="G1085" s="49" t="str">
        <f t="shared" si="1"/>
        <v>28330</v>
      </c>
      <c r="H1085" s="49">
        <f t="shared" si="2"/>
        <v>28376</v>
      </c>
    </row>
    <row r="1086">
      <c r="A1086" s="48" t="s">
        <v>2225</v>
      </c>
      <c r="B1086" s="38">
        <v>22327.0</v>
      </c>
      <c r="C1086" s="38" t="s">
        <v>2226</v>
      </c>
      <c r="D1086" s="38" t="str">
        <f>IFERROR(__xludf.DUMMYFUNCTION("REGEXREPLACE(C1086,""-\d+(.*)|--\d+(.*)"","""")"),"SAINT-SAMSON-SUR-RANCE")</f>
        <v>SAINT-SAMSON-SUR-RANCE</v>
      </c>
      <c r="E1086" s="38" t="s">
        <v>89</v>
      </c>
      <c r="F1086" s="38" t="s">
        <v>90</v>
      </c>
      <c r="G1086" s="49" t="str">
        <f t="shared" si="1"/>
        <v>22100</v>
      </c>
      <c r="H1086" s="49">
        <f t="shared" si="2"/>
        <v>22327</v>
      </c>
    </row>
    <row r="1087">
      <c r="A1087" s="48" t="s">
        <v>2227</v>
      </c>
      <c r="B1087" s="38">
        <v>74104.0</v>
      </c>
      <c r="C1087" s="38" t="s">
        <v>2228</v>
      </c>
      <c r="D1087" s="38" t="str">
        <f>IFERROR(__xludf.DUMMYFUNCTION("REGEXREPLACE(C1087,""-\d+(.*)|--\d+(.*)"","""")"),"DOUSSARD")</f>
        <v>DOUSSARD</v>
      </c>
      <c r="E1087" s="38" t="s">
        <v>319</v>
      </c>
      <c r="F1087" s="38" t="s">
        <v>102</v>
      </c>
      <c r="G1087" s="49" t="str">
        <f t="shared" si="1"/>
        <v>74210</v>
      </c>
      <c r="H1087" s="49">
        <f t="shared" si="2"/>
        <v>74104</v>
      </c>
    </row>
    <row r="1088">
      <c r="A1088" s="48" t="s">
        <v>2229</v>
      </c>
      <c r="B1088" s="38">
        <v>64456.0</v>
      </c>
      <c r="C1088" s="38" t="s">
        <v>2230</v>
      </c>
      <c r="D1088" s="38" t="str">
        <f>IFERROR(__xludf.DUMMYFUNCTION("REGEXREPLACE(C1088,""-\d+(.*)|--\d+(.*)"","""")"),"POULIACQ")</f>
        <v>POULIACQ</v>
      </c>
      <c r="E1088" s="38" t="s">
        <v>268</v>
      </c>
      <c r="F1088" s="38" t="s">
        <v>252</v>
      </c>
      <c r="G1088" s="49" t="str">
        <f t="shared" si="1"/>
        <v>64410</v>
      </c>
      <c r="H1088" s="49">
        <f t="shared" si="2"/>
        <v>64456</v>
      </c>
    </row>
    <row r="1089">
      <c r="A1089" s="48" t="s">
        <v>1493</v>
      </c>
      <c r="B1089" s="38">
        <v>58031.0</v>
      </c>
      <c r="C1089" s="38" t="s">
        <v>2231</v>
      </c>
      <c r="D1089" s="38" t="str">
        <f>IFERROR(__xludf.DUMMYFUNCTION("REGEXREPLACE(C1089,""-\d+(.*)|--\d+(.*)"","""")"),"BILLY-CHEVANNES")</f>
        <v>BILLY-CHEVANNES</v>
      </c>
      <c r="E1089" s="38" t="s">
        <v>219</v>
      </c>
      <c r="F1089" s="38" t="s">
        <v>106</v>
      </c>
      <c r="G1089" s="49" t="str">
        <f t="shared" si="1"/>
        <v>58270</v>
      </c>
      <c r="H1089" s="49">
        <f t="shared" si="2"/>
        <v>58031</v>
      </c>
    </row>
    <row r="1090">
      <c r="A1090" s="48" t="s">
        <v>2232</v>
      </c>
      <c r="B1090" s="38">
        <v>77498.0</v>
      </c>
      <c r="C1090" s="38" t="s">
        <v>2233</v>
      </c>
      <c r="D1090" s="38" t="str">
        <f>IFERROR(__xludf.DUMMYFUNCTION("REGEXREPLACE(C1090,""-\d+(.*)|--\d+(.*)"","""")"),"VIGNELY")</f>
        <v>VIGNELY</v>
      </c>
      <c r="E1090" s="38" t="s">
        <v>244</v>
      </c>
      <c r="F1090" s="38" t="s">
        <v>245</v>
      </c>
      <c r="G1090" s="49" t="str">
        <f t="shared" si="1"/>
        <v>77450</v>
      </c>
      <c r="H1090" s="49">
        <f t="shared" si="2"/>
        <v>77498</v>
      </c>
    </row>
    <row r="1091">
      <c r="A1091" s="48" t="s">
        <v>2234</v>
      </c>
      <c r="B1091" s="38">
        <v>30292.0</v>
      </c>
      <c r="C1091" s="38" t="s">
        <v>2235</v>
      </c>
      <c r="D1091" s="38" t="str">
        <f>IFERROR(__xludf.DUMMYFUNCTION("REGEXREPLACE(C1091,""-\d+(.*)|--\d+(.*)"","""")"),"SAINT-PONS-LA-CALM")</f>
        <v>SAINT-PONS-LA-CALM</v>
      </c>
      <c r="E1091" s="38" t="s">
        <v>526</v>
      </c>
      <c r="F1091" s="38" t="s">
        <v>119</v>
      </c>
      <c r="G1091" s="49" t="str">
        <f t="shared" si="1"/>
        <v>30330</v>
      </c>
      <c r="H1091" s="49">
        <f t="shared" si="2"/>
        <v>30292</v>
      </c>
    </row>
    <row r="1092">
      <c r="A1092" s="48" t="s">
        <v>1716</v>
      </c>
      <c r="B1092" s="38">
        <v>38343.0</v>
      </c>
      <c r="C1092" s="38" t="s">
        <v>2236</v>
      </c>
      <c r="D1092" s="38" t="str">
        <f>IFERROR(__xludf.DUMMYFUNCTION("REGEXREPLACE(C1092,""-\d+(.*)|--\d+(.*)"","""")"),"ROMAGNIEU")</f>
        <v>ROMAGNIEU</v>
      </c>
      <c r="E1092" s="38" t="s">
        <v>101</v>
      </c>
      <c r="F1092" s="38" t="s">
        <v>102</v>
      </c>
      <c r="G1092" s="49" t="str">
        <f t="shared" si="1"/>
        <v>38480</v>
      </c>
      <c r="H1092" s="49">
        <f t="shared" si="2"/>
        <v>38343</v>
      </c>
    </row>
    <row r="1093">
      <c r="A1093" s="48" t="s">
        <v>2237</v>
      </c>
      <c r="B1093" s="38">
        <v>45142.0</v>
      </c>
      <c r="C1093" s="38" t="s">
        <v>2238</v>
      </c>
      <c r="D1093" s="38" t="str">
        <f>IFERROR(__xludf.DUMMYFUNCTION("REGEXREPLACE(C1093,""-\d+(.*)|--\d+(.*)"","""")"),"FAY-AUX-LOGES")</f>
        <v>FAY-AUX-LOGES</v>
      </c>
      <c r="E1093" s="38" t="s">
        <v>122</v>
      </c>
      <c r="F1093" s="38" t="s">
        <v>123</v>
      </c>
      <c r="G1093" s="49" t="str">
        <f t="shared" si="1"/>
        <v>45450</v>
      </c>
      <c r="H1093" s="49">
        <f t="shared" si="2"/>
        <v>45142</v>
      </c>
    </row>
    <row r="1094">
      <c r="A1094" s="48" t="s">
        <v>2239</v>
      </c>
      <c r="B1094" s="38">
        <v>87161.0</v>
      </c>
      <c r="C1094" s="38" t="s">
        <v>2240</v>
      </c>
      <c r="D1094" s="38" t="str">
        <f>IFERROR(__xludf.DUMMYFUNCTION("REGEXREPLACE(C1094,""-\d+(.*)|--\d+(.*)"","""")"),"SAINT-LEONARD-DE-NOBLAT")</f>
        <v>SAINT-LEONARD-DE-NOBLAT</v>
      </c>
      <c r="E1094" s="38" t="s">
        <v>897</v>
      </c>
      <c r="F1094" s="38" t="s">
        <v>98</v>
      </c>
      <c r="G1094" s="49" t="str">
        <f t="shared" si="1"/>
        <v>87400</v>
      </c>
      <c r="H1094" s="49">
        <f t="shared" si="2"/>
        <v>87161</v>
      </c>
    </row>
    <row r="1095">
      <c r="A1095" s="48" t="s">
        <v>2241</v>
      </c>
      <c r="B1095" s="38">
        <v>3233.0</v>
      </c>
      <c r="C1095" s="38" t="s">
        <v>2242</v>
      </c>
      <c r="D1095" s="38" t="str">
        <f>IFERROR(__xludf.DUMMYFUNCTION("REGEXREPLACE(C1095,""-\d+(.*)|--\d+(.*)"","""")"),"SAINT-GENEST")</f>
        <v>SAINT-GENEST</v>
      </c>
      <c r="E1095" s="38" t="s">
        <v>160</v>
      </c>
      <c r="F1095" s="38" t="s">
        <v>161</v>
      </c>
      <c r="G1095" s="49" t="str">
        <f t="shared" si="1"/>
        <v>03310</v>
      </c>
      <c r="H1095" s="49" t="str">
        <f t="shared" si="2"/>
        <v>03233</v>
      </c>
    </row>
    <row r="1096">
      <c r="A1096" s="48" t="s">
        <v>2243</v>
      </c>
      <c r="B1096" s="38">
        <v>17471.0</v>
      </c>
      <c r="C1096" s="38" t="s">
        <v>2244</v>
      </c>
      <c r="D1096" s="38" t="str">
        <f>IFERROR(__xludf.DUMMYFUNCTION("REGEXREPLACE(C1096,""-\d+(.*)|--\d+(.*)"","""")"),"LA VILLEDIEU")</f>
        <v>LA VILLEDIEU</v>
      </c>
      <c r="E1096" s="38" t="s">
        <v>488</v>
      </c>
      <c r="F1096" s="38" t="s">
        <v>338</v>
      </c>
      <c r="G1096" s="49" t="str">
        <f t="shared" si="1"/>
        <v>17470</v>
      </c>
      <c r="H1096" s="49">
        <f t="shared" si="2"/>
        <v>17471</v>
      </c>
    </row>
    <row r="1097">
      <c r="A1097" s="48" t="s">
        <v>2245</v>
      </c>
      <c r="B1097" s="38">
        <v>74134.0</v>
      </c>
      <c r="C1097" s="38" t="s">
        <v>2246</v>
      </c>
      <c r="D1097" s="38" t="str">
        <f>IFERROR(__xludf.DUMMYFUNCTION("REGEXREPLACE(C1097,""-\d+(.*)|--\d+(.*)"","""")"),"LES GETS")</f>
        <v>LES GETS</v>
      </c>
      <c r="E1097" s="38" t="s">
        <v>319</v>
      </c>
      <c r="F1097" s="38" t="s">
        <v>102</v>
      </c>
      <c r="G1097" s="49" t="str">
        <f t="shared" si="1"/>
        <v>74260</v>
      </c>
      <c r="H1097" s="49">
        <f t="shared" si="2"/>
        <v>74134</v>
      </c>
    </row>
    <row r="1098">
      <c r="A1098" s="48" t="s">
        <v>2247</v>
      </c>
      <c r="B1098" s="38">
        <v>59266.0</v>
      </c>
      <c r="C1098" s="38" t="s">
        <v>2248</v>
      </c>
      <c r="D1098" s="38" t="str">
        <f>IFERROR(__xludf.DUMMYFUNCTION("REGEXREPLACE(C1098,""-\d+(.*)|--\d+(.*)"","""")"),"GONDECOURT")</f>
        <v>GONDECOURT</v>
      </c>
      <c r="E1098" s="38" t="s">
        <v>85</v>
      </c>
      <c r="F1098" s="38" t="s">
        <v>86</v>
      </c>
      <c r="G1098" s="49" t="str">
        <f t="shared" si="1"/>
        <v>59147</v>
      </c>
      <c r="H1098" s="49">
        <f t="shared" si="2"/>
        <v>59266</v>
      </c>
    </row>
    <row r="1099">
      <c r="A1099" s="48" t="s">
        <v>2249</v>
      </c>
      <c r="B1099" s="38">
        <v>14663.0</v>
      </c>
      <c r="C1099" s="38" t="s">
        <v>2250</v>
      </c>
      <c r="D1099" s="38" t="str">
        <f>IFERROR(__xludf.DUMMYFUNCTION("REGEXREPLACE(C1099,""-\d+(.*)|--\d+(.*)"","""")"),"SAINT-VIGOR-LE-GRAND")</f>
        <v>SAINT-VIGOR-LE-GRAND</v>
      </c>
      <c r="E1099" s="38" t="s">
        <v>137</v>
      </c>
      <c r="F1099" s="38" t="s">
        <v>138</v>
      </c>
      <c r="G1099" s="49" t="str">
        <f t="shared" si="1"/>
        <v>14400</v>
      </c>
      <c r="H1099" s="49">
        <f t="shared" si="2"/>
        <v>14663</v>
      </c>
    </row>
    <row r="1100">
      <c r="A1100" s="48" t="s">
        <v>2251</v>
      </c>
      <c r="B1100" s="38">
        <v>2426.0</v>
      </c>
      <c r="C1100" s="38" t="s">
        <v>2252</v>
      </c>
      <c r="D1100" s="38" t="str">
        <f>IFERROR(__xludf.DUMMYFUNCTION("REGEXREPLACE(C1100,""-\d+(.*)|--\d+(.*)"","""")"),"LEVERGIES")</f>
        <v>LEVERGIES</v>
      </c>
      <c r="E1100" s="38" t="s">
        <v>191</v>
      </c>
      <c r="F1100" s="38" t="s">
        <v>113</v>
      </c>
      <c r="G1100" s="49" t="str">
        <f t="shared" si="1"/>
        <v>02420</v>
      </c>
      <c r="H1100" s="49" t="str">
        <f t="shared" si="2"/>
        <v>02426</v>
      </c>
    </row>
    <row r="1101">
      <c r="A1101" s="48" t="s">
        <v>1831</v>
      </c>
      <c r="B1101" s="38">
        <v>30253.0</v>
      </c>
      <c r="C1101" s="38" t="s">
        <v>2253</v>
      </c>
      <c r="D1101" s="38" t="str">
        <f>IFERROR(__xludf.DUMMYFUNCTION("REGEXREPLACE(C1101,""-\d+(.*)|--\d+(.*)"","""")"),"SAINT-FLORENT-SUR-AUZONNET")</f>
        <v>SAINT-FLORENT-SUR-AUZONNET</v>
      </c>
      <c r="E1101" s="38" t="s">
        <v>526</v>
      </c>
      <c r="F1101" s="38" t="s">
        <v>119</v>
      </c>
      <c r="G1101" s="49" t="str">
        <f t="shared" si="1"/>
        <v>30960</v>
      </c>
      <c r="H1101" s="49">
        <f t="shared" si="2"/>
        <v>30253</v>
      </c>
    </row>
    <row r="1102">
      <c r="A1102" s="48" t="s">
        <v>2254</v>
      </c>
      <c r="B1102" s="38">
        <v>62428.0</v>
      </c>
      <c r="C1102" s="38" t="s">
        <v>2255</v>
      </c>
      <c r="D1102" s="38" t="str">
        <f>IFERROR(__xludf.DUMMYFUNCTION("REGEXREPLACE(C1102,""-\d+(.*)|--\d+(.*)"","""")"),"HENIN-SUR-COJEUL")</f>
        <v>HENIN-SUR-COJEUL</v>
      </c>
      <c r="E1102" s="38" t="s">
        <v>109</v>
      </c>
      <c r="F1102" s="38" t="s">
        <v>86</v>
      </c>
      <c r="G1102" s="49" t="str">
        <f t="shared" si="1"/>
        <v>62128</v>
      </c>
      <c r="H1102" s="49">
        <f t="shared" si="2"/>
        <v>62428</v>
      </c>
    </row>
    <row r="1103">
      <c r="A1103" s="48" t="s">
        <v>499</v>
      </c>
      <c r="B1103" s="38">
        <v>57461.0</v>
      </c>
      <c r="C1103" s="38" t="s">
        <v>2256</v>
      </c>
      <c r="D1103" s="38" t="str">
        <f>IFERROR(__xludf.DUMMYFUNCTION("REGEXREPLACE(C1103,""-\d+(.*)|--\d+(.*)"","""")"),"METAIRIES-SAINT-QUIRIN")</f>
        <v>METAIRIES-SAINT-QUIRIN</v>
      </c>
      <c r="E1103" s="38" t="s">
        <v>303</v>
      </c>
      <c r="F1103" s="38" t="s">
        <v>195</v>
      </c>
      <c r="G1103" s="49" t="str">
        <f t="shared" si="1"/>
        <v>57560</v>
      </c>
      <c r="H1103" s="49">
        <f t="shared" si="2"/>
        <v>57461</v>
      </c>
    </row>
    <row r="1104">
      <c r="A1104" s="48" t="s">
        <v>2257</v>
      </c>
      <c r="B1104" s="38">
        <v>80100.0</v>
      </c>
      <c r="C1104" s="38" t="s">
        <v>2258</v>
      </c>
      <c r="D1104" s="38" t="str">
        <f>IFERROR(__xludf.DUMMYFUNCTION("REGEXREPLACE(C1104,""-\d+(.*)|--\d+(.*)"","""")"),"BETTENCOURT-SAINT-OUEN")</f>
        <v>BETTENCOURT-SAINT-OUEN</v>
      </c>
      <c r="E1104" s="38" t="s">
        <v>224</v>
      </c>
      <c r="F1104" s="38" t="s">
        <v>113</v>
      </c>
      <c r="G1104" s="49" t="str">
        <f t="shared" si="1"/>
        <v>80610</v>
      </c>
      <c r="H1104" s="49">
        <f t="shared" si="2"/>
        <v>80100</v>
      </c>
    </row>
    <row r="1105">
      <c r="A1105" s="48" t="s">
        <v>2259</v>
      </c>
      <c r="B1105" s="38">
        <v>22262.0</v>
      </c>
      <c r="C1105" s="38" t="s">
        <v>2260</v>
      </c>
      <c r="D1105" s="38" t="str">
        <f>IFERROR(__xludf.DUMMYFUNCTION("REGEXREPLACE(C1105,""-\d+(.*)|--\d+(.*)"","""")"),"QUINTIN")</f>
        <v>QUINTIN</v>
      </c>
      <c r="E1105" s="38" t="s">
        <v>89</v>
      </c>
      <c r="F1105" s="38" t="s">
        <v>90</v>
      </c>
      <c r="G1105" s="49" t="str">
        <f t="shared" si="1"/>
        <v>22800</v>
      </c>
      <c r="H1105" s="49">
        <f t="shared" si="2"/>
        <v>22262</v>
      </c>
    </row>
    <row r="1106">
      <c r="A1106" s="48" t="s">
        <v>2261</v>
      </c>
      <c r="B1106" s="38">
        <v>9280.0</v>
      </c>
      <c r="C1106" s="38" t="s">
        <v>2262</v>
      </c>
      <c r="D1106" s="38" t="str">
        <f>IFERROR(__xludf.DUMMYFUNCTION("REGEXREPLACE(C1106,""-\d+(.*)|--\d+(.*)"","""")"),"SAURAT")</f>
        <v>SAURAT</v>
      </c>
      <c r="E1106" s="38" t="s">
        <v>238</v>
      </c>
      <c r="F1106" s="38" t="s">
        <v>94</v>
      </c>
      <c r="G1106" s="49" t="str">
        <f t="shared" si="1"/>
        <v>09400</v>
      </c>
      <c r="H1106" s="49" t="str">
        <f t="shared" si="2"/>
        <v>09280</v>
      </c>
    </row>
    <row r="1107">
      <c r="A1107" s="48" t="s">
        <v>1693</v>
      </c>
      <c r="B1107" s="38">
        <v>24134.0</v>
      </c>
      <c r="C1107" s="38" t="s">
        <v>2263</v>
      </c>
      <c r="D1107" s="38" t="str">
        <f>IFERROR(__xludf.DUMMYFUNCTION("REGEXREPLACE(C1107,""-\d+(.*)|--\d+(.*)"","""")"),"CORGNAC-SUR-L'ISLE")</f>
        <v>CORGNAC-SUR-L'ISLE</v>
      </c>
      <c r="E1107" s="38" t="s">
        <v>261</v>
      </c>
      <c r="F1107" s="38" t="s">
        <v>252</v>
      </c>
      <c r="G1107" s="49" t="str">
        <f t="shared" si="1"/>
        <v>24800</v>
      </c>
      <c r="H1107" s="49">
        <f t="shared" si="2"/>
        <v>24134</v>
      </c>
    </row>
    <row r="1108">
      <c r="A1108" s="48" t="s">
        <v>2264</v>
      </c>
      <c r="B1108" s="38">
        <v>45226.0</v>
      </c>
      <c r="C1108" s="38" t="s">
        <v>2265</v>
      </c>
      <c r="D1108" s="38" t="str">
        <f>IFERROR(__xludf.DUMMYFUNCTION("REGEXREPLACE(C1108,""-\d+(.*)|--\d+(.*)"","""")"),"NEUVY-EN-SULLIAS")</f>
        <v>NEUVY-EN-SULLIAS</v>
      </c>
      <c r="E1108" s="38" t="s">
        <v>122</v>
      </c>
      <c r="F1108" s="38" t="s">
        <v>123</v>
      </c>
      <c r="G1108" s="49" t="str">
        <f t="shared" si="1"/>
        <v>45510</v>
      </c>
      <c r="H1108" s="49">
        <f t="shared" si="2"/>
        <v>45226</v>
      </c>
    </row>
    <row r="1109">
      <c r="A1109" s="48" t="s">
        <v>2266</v>
      </c>
      <c r="B1109" s="38">
        <v>55465.0</v>
      </c>
      <c r="C1109" s="38" t="s">
        <v>2267</v>
      </c>
      <c r="D1109" s="38" t="str">
        <f>IFERROR(__xludf.DUMMYFUNCTION("REGEXREPLACE(C1109,""-\d+(.*)|--\d+(.*)"","""")"),"SAINT-REMY-LA-CALONNE")</f>
        <v>SAINT-REMY-LA-CALONNE</v>
      </c>
      <c r="E1109" s="38" t="s">
        <v>322</v>
      </c>
      <c r="F1109" s="38" t="s">
        <v>195</v>
      </c>
      <c r="G1109" s="49" t="str">
        <f t="shared" si="1"/>
        <v>55160</v>
      </c>
      <c r="H1109" s="49">
        <f t="shared" si="2"/>
        <v>55465</v>
      </c>
    </row>
    <row r="1110">
      <c r="A1110" s="48" t="s">
        <v>2268</v>
      </c>
      <c r="B1110" s="38">
        <v>55115.0</v>
      </c>
      <c r="C1110" s="38" t="s">
        <v>2269</v>
      </c>
      <c r="D1110" s="38" t="str">
        <f>IFERROR(__xludf.DUMMYFUNCTION("REGEXREPLACE(C1110,""-\d+(.*)|--\d+(.*)"","""")"),"CIERGES-SOUS-MONTFAUCON")</f>
        <v>CIERGES-SOUS-MONTFAUCON</v>
      </c>
      <c r="E1110" s="38" t="s">
        <v>322</v>
      </c>
      <c r="F1110" s="38" t="s">
        <v>195</v>
      </c>
      <c r="G1110" s="49" t="str">
        <f t="shared" si="1"/>
        <v>55270</v>
      </c>
      <c r="H1110" s="49">
        <f t="shared" si="2"/>
        <v>55115</v>
      </c>
    </row>
    <row r="1111">
      <c r="A1111" s="48" t="s">
        <v>2270</v>
      </c>
      <c r="B1111" s="38">
        <v>32118.0</v>
      </c>
      <c r="C1111" s="38" t="s">
        <v>2271</v>
      </c>
      <c r="D1111" s="38" t="str">
        <f>IFERROR(__xludf.DUMMYFUNCTION("REGEXREPLACE(C1111,""-\d+(.*)|--\d+(.*)"","""")"),"DURBAN")</f>
        <v>DURBAN</v>
      </c>
      <c r="E1111" s="38" t="s">
        <v>440</v>
      </c>
      <c r="F1111" s="38" t="s">
        <v>94</v>
      </c>
      <c r="G1111" s="49" t="str">
        <f t="shared" si="1"/>
        <v>32260</v>
      </c>
      <c r="H1111" s="49">
        <f t="shared" si="2"/>
        <v>32118</v>
      </c>
    </row>
    <row r="1112">
      <c r="A1112" s="48" t="s">
        <v>2272</v>
      </c>
      <c r="B1112" s="38">
        <v>27586.0</v>
      </c>
      <c r="C1112" s="38" t="s">
        <v>2273</v>
      </c>
      <c r="D1112" s="38" t="str">
        <f>IFERROR(__xludf.DUMMYFUNCTION("REGEXREPLACE(C1112,""-\d+(.*)|--\d+(.*)"","""")"),"SAINT-PHILBERT-SUR-BOISSEY")</f>
        <v>SAINT-PHILBERT-SUR-BOISSEY</v>
      </c>
      <c r="E1112" s="38" t="s">
        <v>241</v>
      </c>
      <c r="F1112" s="38" t="s">
        <v>134</v>
      </c>
      <c r="G1112" s="49" t="str">
        <f t="shared" si="1"/>
        <v>27520</v>
      </c>
      <c r="H1112" s="49">
        <f t="shared" si="2"/>
        <v>27586</v>
      </c>
    </row>
    <row r="1113">
      <c r="A1113" s="48" t="s">
        <v>2274</v>
      </c>
      <c r="B1113" s="38">
        <v>48100.0</v>
      </c>
      <c r="C1113" s="38" t="s">
        <v>2275</v>
      </c>
      <c r="D1113" s="38" t="str">
        <f>IFERROR(__xludf.DUMMYFUNCTION("REGEXREPLACE(C1113,""-\d+(.*)|--\d+(.*)"","""")"),"MONTBEL")</f>
        <v>MONTBEL</v>
      </c>
      <c r="E1113" s="38" t="s">
        <v>154</v>
      </c>
      <c r="F1113" s="38" t="s">
        <v>119</v>
      </c>
      <c r="G1113" s="49" t="str">
        <f t="shared" si="1"/>
        <v>48170</v>
      </c>
      <c r="H1113" s="49">
        <f t="shared" si="2"/>
        <v>48100</v>
      </c>
    </row>
    <row r="1114">
      <c r="A1114" s="48" t="s">
        <v>2276</v>
      </c>
      <c r="B1114" s="38">
        <v>47114.0</v>
      </c>
      <c r="C1114" s="38" t="s">
        <v>2277</v>
      </c>
      <c r="D1114" s="38" t="str">
        <f>IFERROR(__xludf.DUMMYFUNCTION("REGEXREPLACE(C1114,""-\d+(.*)|--\d+(.*)"","""")"),"GREZET-CAVAGNAN")</f>
        <v>GREZET-CAVAGNAN</v>
      </c>
      <c r="E1114" s="38" t="s">
        <v>251</v>
      </c>
      <c r="F1114" s="38" t="s">
        <v>252</v>
      </c>
      <c r="G1114" s="49" t="str">
        <f t="shared" si="1"/>
        <v>47250</v>
      </c>
      <c r="H1114" s="49">
        <f t="shared" si="2"/>
        <v>47114</v>
      </c>
    </row>
    <row r="1115">
      <c r="A1115" s="48" t="s">
        <v>2278</v>
      </c>
      <c r="B1115" s="38">
        <v>80671.0</v>
      </c>
      <c r="C1115" s="38" t="s">
        <v>2279</v>
      </c>
      <c r="D1115" s="38" t="str">
        <f>IFERROR(__xludf.DUMMYFUNCTION("REGEXREPLACE(C1115,""-\d+(.*)|--\d+(.*)"","""")"),"RIBEAUCOURT")</f>
        <v>RIBEAUCOURT</v>
      </c>
      <c r="E1115" s="38" t="s">
        <v>224</v>
      </c>
      <c r="F1115" s="38" t="s">
        <v>113</v>
      </c>
      <c r="G1115" s="49" t="str">
        <f t="shared" si="1"/>
        <v>80620</v>
      </c>
      <c r="H1115" s="49">
        <f t="shared" si="2"/>
        <v>80671</v>
      </c>
    </row>
    <row r="1116">
      <c r="A1116" s="48" t="s">
        <v>2280</v>
      </c>
      <c r="B1116" s="38">
        <v>97232.0</v>
      </c>
      <c r="C1116" s="38" t="s">
        <v>2281</v>
      </c>
      <c r="D1116" s="38" t="str">
        <f>IFERROR(__xludf.DUMMYFUNCTION("REGEXREPLACE(C1116,""-\d+(.*)|--\d+(.*)"","""")"),"LE VAUCLIN")</f>
        <v>LE VAUCLIN</v>
      </c>
      <c r="E1116" s="38" t="s">
        <v>2282</v>
      </c>
      <c r="F1116" s="38" t="s">
        <v>2282</v>
      </c>
      <c r="G1116" s="49" t="str">
        <f t="shared" si="1"/>
        <v>97280</v>
      </c>
      <c r="H1116" s="49">
        <f t="shared" si="2"/>
        <v>97232</v>
      </c>
    </row>
    <row r="1117">
      <c r="A1117" s="48" t="s">
        <v>877</v>
      </c>
      <c r="B1117" s="38">
        <v>57074.0</v>
      </c>
      <c r="C1117" s="38" t="s">
        <v>2283</v>
      </c>
      <c r="D1117" s="38" t="str">
        <f>IFERROR(__xludf.DUMMYFUNCTION("REGEXREPLACE(C1117,""-\d+(.*)|--\d+(.*)"","""")"),"BETTVILLER")</f>
        <v>BETTVILLER</v>
      </c>
      <c r="E1117" s="38" t="s">
        <v>303</v>
      </c>
      <c r="F1117" s="38" t="s">
        <v>195</v>
      </c>
      <c r="G1117" s="49" t="str">
        <f t="shared" si="1"/>
        <v>57410</v>
      </c>
      <c r="H1117" s="49">
        <f t="shared" si="2"/>
        <v>57074</v>
      </c>
    </row>
    <row r="1118">
      <c r="A1118" s="48" t="s">
        <v>721</v>
      </c>
      <c r="B1118" s="38">
        <v>14107.0</v>
      </c>
      <c r="C1118" s="38" t="s">
        <v>2284</v>
      </c>
      <c r="D1118" s="38" t="str">
        <f>IFERROR(__xludf.DUMMYFUNCTION("REGEXREPLACE(C1118,""-\d+(.*)|--\d+(.*)"","""")"),"BRICQUEVILLE")</f>
        <v>BRICQUEVILLE</v>
      </c>
      <c r="E1118" s="38" t="s">
        <v>137</v>
      </c>
      <c r="F1118" s="38" t="s">
        <v>138</v>
      </c>
      <c r="G1118" s="49" t="str">
        <f t="shared" si="1"/>
        <v>14710</v>
      </c>
      <c r="H1118" s="49">
        <f t="shared" si="2"/>
        <v>14107</v>
      </c>
    </row>
    <row r="1119">
      <c r="A1119" s="48" t="s">
        <v>2285</v>
      </c>
      <c r="B1119" s="38">
        <v>23093.0</v>
      </c>
      <c r="C1119" s="38" t="s">
        <v>2286</v>
      </c>
      <c r="D1119" s="38" t="str">
        <f>IFERROR(__xludf.DUMMYFUNCTION("REGEXREPLACE(C1119,""-\d+(.*)|--\d+(.*)"","""")"),"GOUZON")</f>
        <v>GOUZON</v>
      </c>
      <c r="E1119" s="38" t="s">
        <v>97</v>
      </c>
      <c r="F1119" s="38" t="s">
        <v>98</v>
      </c>
      <c r="G1119" s="49" t="str">
        <f t="shared" si="1"/>
        <v>23230</v>
      </c>
      <c r="H1119" s="49">
        <f t="shared" si="2"/>
        <v>23093</v>
      </c>
    </row>
    <row r="1120">
      <c r="A1120" s="48" t="s">
        <v>1679</v>
      </c>
      <c r="B1120" s="38">
        <v>51555.0</v>
      </c>
      <c r="C1120" s="38" t="s">
        <v>2287</v>
      </c>
      <c r="D1120" s="38" t="str">
        <f>IFERROR(__xludf.DUMMYFUNCTION("REGEXREPLACE(C1120,""-\d+(.*)|--\d+(.*)"","""")"),"SOUDE")</f>
        <v>SOUDE</v>
      </c>
      <c r="E1120" s="38" t="s">
        <v>129</v>
      </c>
      <c r="F1120" s="38" t="s">
        <v>130</v>
      </c>
      <c r="G1120" s="49" t="str">
        <f t="shared" si="1"/>
        <v>51320</v>
      </c>
      <c r="H1120" s="49">
        <f t="shared" si="2"/>
        <v>51555</v>
      </c>
    </row>
    <row r="1121">
      <c r="A1121" s="48" t="s">
        <v>2288</v>
      </c>
      <c r="B1121" s="38">
        <v>81156.0</v>
      </c>
      <c r="C1121" s="38" t="s">
        <v>2289</v>
      </c>
      <c r="D1121" s="38" t="str">
        <f>IFERROR(__xludf.DUMMYFUNCTION("REGEXREPLACE(C1121,""-\d+(.*)|--\d+(.*)"","""")"),"MARSSAC-SUR-TARN")</f>
        <v>MARSSAC-SUR-TARN</v>
      </c>
      <c r="E1121" s="38" t="s">
        <v>231</v>
      </c>
      <c r="F1121" s="38" t="s">
        <v>94</v>
      </c>
      <c r="G1121" s="49" t="str">
        <f t="shared" si="1"/>
        <v>81150</v>
      </c>
      <c r="H1121" s="49">
        <f t="shared" si="2"/>
        <v>81156</v>
      </c>
    </row>
    <row r="1122">
      <c r="A1122" s="48" t="s">
        <v>2290</v>
      </c>
      <c r="B1122" s="38">
        <v>38556.0</v>
      </c>
      <c r="C1122" s="38" t="s">
        <v>2291</v>
      </c>
      <c r="D1122" s="38" t="str">
        <f>IFERROR(__xludf.DUMMYFUNCTION("REGEXREPLACE(C1122,""-\d+(.*)|--\d+(.*)"","""")"),"VILLE-SOUS-ANJOU")</f>
        <v>VILLE-SOUS-ANJOU</v>
      </c>
      <c r="E1122" s="38" t="s">
        <v>101</v>
      </c>
      <c r="F1122" s="38" t="s">
        <v>102</v>
      </c>
      <c r="G1122" s="49" t="str">
        <f t="shared" si="1"/>
        <v>38150</v>
      </c>
      <c r="H1122" s="49">
        <f t="shared" si="2"/>
        <v>38556</v>
      </c>
    </row>
    <row r="1123">
      <c r="A1123" s="48" t="s">
        <v>2292</v>
      </c>
      <c r="B1123" s="38">
        <v>76583.0</v>
      </c>
      <c r="C1123" s="38" t="s">
        <v>2293</v>
      </c>
      <c r="D1123" s="38" t="str">
        <f>IFERROR(__xludf.DUMMYFUNCTION("REGEXREPLACE(C1123,""-\d+(.*)|--\d+(.*)"","""")"),"SAINT-GERMAIN-SOUS-CAILLY")</f>
        <v>SAINT-GERMAIN-SOUS-CAILLY</v>
      </c>
      <c r="E1123" s="38" t="s">
        <v>133</v>
      </c>
      <c r="F1123" s="38" t="s">
        <v>134</v>
      </c>
      <c r="G1123" s="49" t="str">
        <f t="shared" si="1"/>
        <v>76690</v>
      </c>
      <c r="H1123" s="49">
        <f t="shared" si="2"/>
        <v>76583</v>
      </c>
    </row>
    <row r="1124">
      <c r="A1124" s="48" t="s">
        <v>2294</v>
      </c>
      <c r="B1124" s="38">
        <v>87090.0</v>
      </c>
      <c r="C1124" s="38" t="s">
        <v>2295</v>
      </c>
      <c r="D1124" s="38" t="str">
        <f>IFERROR(__xludf.DUMMYFUNCTION("REGEXREPLACE(C1124,""-\d+(.*)|--\d+(.*)"","""")"),"MAILHAC-SUR-BENAIZE")</f>
        <v>MAILHAC-SUR-BENAIZE</v>
      </c>
      <c r="E1124" s="38" t="s">
        <v>897</v>
      </c>
      <c r="F1124" s="38" t="s">
        <v>98</v>
      </c>
      <c r="G1124" s="49" t="str">
        <f t="shared" si="1"/>
        <v>87160</v>
      </c>
      <c r="H1124" s="49">
        <f t="shared" si="2"/>
        <v>87090</v>
      </c>
    </row>
    <row r="1125">
      <c r="A1125" s="48" t="s">
        <v>2296</v>
      </c>
      <c r="B1125" s="38">
        <v>47231.0</v>
      </c>
      <c r="C1125" s="38" t="s">
        <v>2297</v>
      </c>
      <c r="D1125" s="38" t="str">
        <f>IFERROR(__xludf.DUMMYFUNCTION("REGEXREPLACE(C1125,""-\d+(.*)|--\d+(.*)"","""")"),"SAINT-AVIT")</f>
        <v>SAINT-AVIT</v>
      </c>
      <c r="E1125" s="38" t="s">
        <v>251</v>
      </c>
      <c r="F1125" s="38" t="s">
        <v>252</v>
      </c>
      <c r="G1125" s="49" t="str">
        <f t="shared" si="1"/>
        <v>47350</v>
      </c>
      <c r="H1125" s="49">
        <f t="shared" si="2"/>
        <v>47231</v>
      </c>
    </row>
    <row r="1126">
      <c r="A1126" s="48" t="s">
        <v>2298</v>
      </c>
      <c r="B1126" s="38">
        <v>85019.0</v>
      </c>
      <c r="C1126" s="38" t="s">
        <v>2299</v>
      </c>
      <c r="D1126" s="38" t="str">
        <f>IFERROR(__xludf.DUMMYFUNCTION("REGEXREPLACE(C1126,""-\d+(.*)|--\d+(.*)"","""")"),"BELLEVILLE-SUR-VIE")</f>
        <v>BELLEVILLE-SUR-VIE</v>
      </c>
      <c r="E1126" s="38" t="s">
        <v>179</v>
      </c>
      <c r="F1126" s="38" t="s">
        <v>180</v>
      </c>
      <c r="G1126" s="49" t="str">
        <f t="shared" si="1"/>
        <v>85170</v>
      </c>
      <c r="H1126" s="49">
        <f t="shared" si="2"/>
        <v>85019</v>
      </c>
    </row>
    <row r="1127">
      <c r="A1127" s="48" t="s">
        <v>2300</v>
      </c>
      <c r="B1127" s="38">
        <v>28298.0</v>
      </c>
      <c r="C1127" s="38" t="s">
        <v>2301</v>
      </c>
      <c r="D1127" s="38" t="str">
        <f>IFERROR(__xludf.DUMMYFUNCTION("REGEXREPLACE(C1127,""-\d+(.*)|--\d+(.*)"","""")"),"PIERRES")</f>
        <v>PIERRES</v>
      </c>
      <c r="E1127" s="38" t="s">
        <v>300</v>
      </c>
      <c r="F1127" s="38" t="s">
        <v>123</v>
      </c>
      <c r="G1127" s="49" t="str">
        <f t="shared" si="1"/>
        <v>28130</v>
      </c>
      <c r="H1127" s="49">
        <f t="shared" si="2"/>
        <v>28298</v>
      </c>
    </row>
    <row r="1128">
      <c r="A1128" s="48" t="s">
        <v>2302</v>
      </c>
      <c r="B1128" s="38">
        <v>47296.0</v>
      </c>
      <c r="C1128" s="38" t="s">
        <v>2303</v>
      </c>
      <c r="D1128" s="38" t="str">
        <f>IFERROR(__xludf.DUMMYFUNCTION("REGEXREPLACE(C1128,""-\d+(.*)|--\d+(.*)"","""")"),"SEGALAS")</f>
        <v>SEGALAS</v>
      </c>
      <c r="E1128" s="38" t="s">
        <v>251</v>
      </c>
      <c r="F1128" s="38" t="s">
        <v>252</v>
      </c>
      <c r="G1128" s="49" t="str">
        <f t="shared" si="1"/>
        <v>47410</v>
      </c>
      <c r="H1128" s="49">
        <f t="shared" si="2"/>
        <v>47296</v>
      </c>
    </row>
    <row r="1129">
      <c r="A1129" s="48" t="s">
        <v>1372</v>
      </c>
      <c r="B1129" s="38">
        <v>35101.0</v>
      </c>
      <c r="C1129" s="38" t="s">
        <v>2304</v>
      </c>
      <c r="D1129" s="38" t="str">
        <f>IFERROR(__xludf.DUMMYFUNCTION("REGEXREPLACE(C1129,""-\d+(.*)|--\d+(.*)"","""")"),"DOURDAIN")</f>
        <v>DOURDAIN</v>
      </c>
      <c r="E1129" s="38" t="s">
        <v>347</v>
      </c>
      <c r="F1129" s="38" t="s">
        <v>90</v>
      </c>
      <c r="G1129" s="49" t="str">
        <f t="shared" si="1"/>
        <v>35450</v>
      </c>
      <c r="H1129" s="49">
        <f t="shared" si="2"/>
        <v>35101</v>
      </c>
    </row>
    <row r="1130">
      <c r="A1130" s="48" t="s">
        <v>1752</v>
      </c>
      <c r="B1130" s="38">
        <v>49170.0</v>
      </c>
      <c r="C1130" s="38" t="s">
        <v>2305</v>
      </c>
      <c r="D1130" s="38" t="str">
        <f>IFERROR(__xludf.DUMMYFUNCTION("REGEXREPLACE(C1130,""-\d+(.*)|--\d+(.*)"","""")"),"JUVARDEIL")</f>
        <v>JUVARDEIL</v>
      </c>
      <c r="E1130" s="38" t="s">
        <v>653</v>
      </c>
      <c r="F1130" s="38" t="s">
        <v>180</v>
      </c>
      <c r="G1130" s="49" t="str">
        <f t="shared" si="1"/>
        <v>49330</v>
      </c>
      <c r="H1130" s="49">
        <f t="shared" si="2"/>
        <v>49170</v>
      </c>
    </row>
    <row r="1131">
      <c r="A1131" s="48" t="s">
        <v>1199</v>
      </c>
      <c r="B1131" s="38">
        <v>55574.0</v>
      </c>
      <c r="C1131" s="38" t="s">
        <v>2306</v>
      </c>
      <c r="D1131" s="38" t="str">
        <f>IFERROR(__xludf.DUMMYFUNCTION("REGEXREPLACE(C1131,""-\d+(.*)|--\d+(.*)"","""")"),"VOUTHON-BAS")</f>
        <v>VOUTHON-BAS</v>
      </c>
      <c r="E1131" s="38" t="s">
        <v>322</v>
      </c>
      <c r="F1131" s="38" t="s">
        <v>195</v>
      </c>
      <c r="G1131" s="49" t="str">
        <f t="shared" si="1"/>
        <v>55130</v>
      </c>
      <c r="H1131" s="49">
        <f t="shared" si="2"/>
        <v>55574</v>
      </c>
    </row>
    <row r="1132">
      <c r="A1132" s="48" t="s">
        <v>734</v>
      </c>
      <c r="B1132" s="38">
        <v>54353.0</v>
      </c>
      <c r="C1132" s="38" t="s">
        <v>2307</v>
      </c>
      <c r="D1132" s="38" t="str">
        <f>IFERROR(__xludf.DUMMYFUNCTION("REGEXREPLACE(C1132,""-\d+(.*)|--\d+(.*)"","""")"),"MARS-LA-TOUR")</f>
        <v>MARS-LA-TOUR</v>
      </c>
      <c r="E1132" s="38" t="s">
        <v>548</v>
      </c>
      <c r="F1132" s="38" t="s">
        <v>195</v>
      </c>
      <c r="G1132" s="49" t="str">
        <f t="shared" si="1"/>
        <v>54800</v>
      </c>
      <c r="H1132" s="49">
        <f t="shared" si="2"/>
        <v>54353</v>
      </c>
    </row>
    <row r="1133">
      <c r="A1133" s="48" t="s">
        <v>2308</v>
      </c>
      <c r="B1133" s="38">
        <v>33145.0</v>
      </c>
      <c r="C1133" s="38" t="s">
        <v>2309</v>
      </c>
      <c r="D1133" s="38" t="str">
        <f>IFERROR(__xludf.DUMMYFUNCTION("REGEXREPLACE(C1133,""-\d+(.*)|--\d+(.*)"","""")"),"CURSAN")</f>
        <v>CURSAN</v>
      </c>
      <c r="E1133" s="38" t="s">
        <v>462</v>
      </c>
      <c r="F1133" s="38" t="s">
        <v>252</v>
      </c>
      <c r="G1133" s="49" t="str">
        <f t="shared" si="1"/>
        <v>33670</v>
      </c>
      <c r="H1133" s="49">
        <f t="shared" si="2"/>
        <v>33145</v>
      </c>
    </row>
    <row r="1134">
      <c r="A1134" s="48" t="s">
        <v>2310</v>
      </c>
      <c r="B1134" s="38">
        <v>60167.0</v>
      </c>
      <c r="C1134" s="38" t="s">
        <v>2311</v>
      </c>
      <c r="D1134" s="38" t="str">
        <f>IFERROR(__xludf.DUMMYFUNCTION("REGEXREPLACE(C1134,""-\d+(.*)|--\d+(.*)"","""")"),"COULOISY")</f>
        <v>COULOISY</v>
      </c>
      <c r="E1134" s="38" t="s">
        <v>112</v>
      </c>
      <c r="F1134" s="38" t="s">
        <v>113</v>
      </c>
      <c r="G1134" s="49" t="str">
        <f t="shared" si="1"/>
        <v>60350</v>
      </c>
      <c r="H1134" s="49">
        <f t="shared" si="2"/>
        <v>60167</v>
      </c>
    </row>
    <row r="1135">
      <c r="A1135" s="48" t="s">
        <v>2312</v>
      </c>
      <c r="B1135" s="38">
        <v>67129.0</v>
      </c>
      <c r="C1135" s="38" t="s">
        <v>2313</v>
      </c>
      <c r="D1135" s="38" t="str">
        <f>IFERROR(__xludf.DUMMYFUNCTION("REGEXREPLACE(C1135,""-\d+(.*)|--\d+(.*)"","""")"),"ERNOLSHEIM-LES-SAVERNE")</f>
        <v>ERNOLSHEIM-LES-SAVERNE</v>
      </c>
      <c r="E1135" s="38" t="s">
        <v>210</v>
      </c>
      <c r="F1135" s="38" t="s">
        <v>151</v>
      </c>
      <c r="G1135" s="49" t="str">
        <f t="shared" si="1"/>
        <v>67330</v>
      </c>
      <c r="H1135" s="49">
        <f t="shared" si="2"/>
        <v>67129</v>
      </c>
    </row>
    <row r="1136">
      <c r="A1136" s="48" t="s">
        <v>2314</v>
      </c>
      <c r="B1136" s="38">
        <v>3100.0</v>
      </c>
      <c r="C1136" s="38" t="s">
        <v>2315</v>
      </c>
      <c r="D1136" s="38" t="str">
        <f>IFERROR(__xludf.DUMMYFUNCTION("REGEXREPLACE(C1136,""-\d+(.*)|--\d+(.*)"","""")"),"DIOU")</f>
        <v>DIOU</v>
      </c>
      <c r="E1136" s="38" t="s">
        <v>160</v>
      </c>
      <c r="F1136" s="38" t="s">
        <v>161</v>
      </c>
      <c r="G1136" s="49" t="str">
        <f t="shared" si="1"/>
        <v>03290</v>
      </c>
      <c r="H1136" s="49" t="str">
        <f t="shared" si="2"/>
        <v>03100</v>
      </c>
    </row>
    <row r="1137">
      <c r="A1137" s="48" t="s">
        <v>2316</v>
      </c>
      <c r="B1137" s="38">
        <v>25604.0</v>
      </c>
      <c r="C1137" s="38" t="s">
        <v>2317</v>
      </c>
      <c r="D1137" s="38" t="str">
        <f>IFERROR(__xludf.DUMMYFUNCTION("REGEXREPLACE(C1137,""-\d+(.*)|--\d+(.*)"","""")"),"VERNE")</f>
        <v>VERNE</v>
      </c>
      <c r="E1137" s="38" t="s">
        <v>213</v>
      </c>
      <c r="F1137" s="38" t="s">
        <v>214</v>
      </c>
      <c r="G1137" s="49" t="str">
        <f t="shared" si="1"/>
        <v>25110</v>
      </c>
      <c r="H1137" s="49">
        <f t="shared" si="2"/>
        <v>25604</v>
      </c>
    </row>
    <row r="1138">
      <c r="A1138" s="48" t="s">
        <v>2318</v>
      </c>
      <c r="B1138" s="38">
        <v>43022.0</v>
      </c>
      <c r="C1138" s="38" t="s">
        <v>2319</v>
      </c>
      <c r="D1138" s="38" t="str">
        <f>IFERROR(__xludf.DUMMYFUNCTION("REGEXREPLACE(C1138,""-\d+(.*)|--\d+(.*)"","""")"),"BEAUMONT")</f>
        <v>BEAUMONT</v>
      </c>
      <c r="E1138" s="38" t="s">
        <v>332</v>
      </c>
      <c r="F1138" s="38" t="s">
        <v>161</v>
      </c>
      <c r="G1138" s="49" t="str">
        <f t="shared" si="1"/>
        <v>43100</v>
      </c>
      <c r="H1138" s="49">
        <f t="shared" si="2"/>
        <v>43022</v>
      </c>
    </row>
    <row r="1139">
      <c r="A1139" s="48" t="s">
        <v>2320</v>
      </c>
      <c r="B1139" s="38">
        <v>74055.0</v>
      </c>
      <c r="C1139" s="38" t="s">
        <v>2321</v>
      </c>
      <c r="D1139" s="38" t="str">
        <f>IFERROR(__xludf.DUMMYFUNCTION("REGEXREPLACE(C1139,""-\d+(.*)|--\d+(.*)"","""")"),"CHALLONGES")</f>
        <v>CHALLONGES</v>
      </c>
      <c r="E1139" s="38" t="s">
        <v>319</v>
      </c>
      <c r="F1139" s="38" t="s">
        <v>102</v>
      </c>
      <c r="G1139" s="49" t="str">
        <f t="shared" si="1"/>
        <v>74910</v>
      </c>
      <c r="H1139" s="49">
        <f t="shared" si="2"/>
        <v>74055</v>
      </c>
    </row>
    <row r="1140">
      <c r="A1140" s="48" t="s">
        <v>1008</v>
      </c>
      <c r="B1140" s="38">
        <v>2488.0</v>
      </c>
      <c r="C1140" s="38" t="s">
        <v>2322</v>
      </c>
      <c r="D1140" s="38" t="str">
        <f>IFERROR(__xludf.DUMMYFUNCTION("REGEXREPLACE(C1140,""-\d+(.*)|--\d+(.*)"","""")"),"MOLAIN")</f>
        <v>MOLAIN</v>
      </c>
      <c r="E1140" s="38" t="s">
        <v>191</v>
      </c>
      <c r="F1140" s="38" t="s">
        <v>113</v>
      </c>
      <c r="G1140" s="49" t="str">
        <f t="shared" si="1"/>
        <v>02110</v>
      </c>
      <c r="H1140" s="49" t="str">
        <f t="shared" si="2"/>
        <v>02488</v>
      </c>
    </row>
    <row r="1141">
      <c r="A1141" s="48" t="s">
        <v>1300</v>
      </c>
      <c r="B1141" s="38">
        <v>60210.0</v>
      </c>
      <c r="C1141" s="38" t="s">
        <v>2323</v>
      </c>
      <c r="D1141" s="38" t="str">
        <f>IFERROR(__xludf.DUMMYFUNCTION("REGEXREPLACE(C1141,""-\d+(.*)|--\d+(.*)"","""")"),"EPINEUSE")</f>
        <v>EPINEUSE</v>
      </c>
      <c r="E1141" s="38" t="s">
        <v>112</v>
      </c>
      <c r="F1141" s="38" t="s">
        <v>113</v>
      </c>
      <c r="G1141" s="49" t="str">
        <f t="shared" si="1"/>
        <v>60190</v>
      </c>
      <c r="H1141" s="49">
        <f t="shared" si="2"/>
        <v>60210</v>
      </c>
    </row>
    <row r="1142">
      <c r="A1142" s="48" t="s">
        <v>2324</v>
      </c>
      <c r="B1142" s="38">
        <v>27059.0</v>
      </c>
      <c r="C1142" s="38" t="s">
        <v>2325</v>
      </c>
      <c r="D1142" s="38" t="str">
        <f>IFERROR(__xludf.DUMMYFUNCTION("REGEXREPLACE(C1142,""-\d+(.*)|--\d+(.*)"","""")"),"BERNOUVILLE")</f>
        <v>BERNOUVILLE</v>
      </c>
      <c r="E1142" s="38" t="s">
        <v>241</v>
      </c>
      <c r="F1142" s="38" t="s">
        <v>134</v>
      </c>
      <c r="G1142" s="49" t="str">
        <f t="shared" si="1"/>
        <v>27660</v>
      </c>
      <c r="H1142" s="49">
        <f t="shared" si="2"/>
        <v>27059</v>
      </c>
    </row>
    <row r="1143">
      <c r="A1143" s="48" t="s">
        <v>2326</v>
      </c>
      <c r="B1143" s="38">
        <v>54050.0</v>
      </c>
      <c r="C1143" s="38" t="s">
        <v>2327</v>
      </c>
      <c r="D1143" s="38" t="str">
        <f>IFERROR(__xludf.DUMMYFUNCTION("REGEXREPLACE(C1143,""-\d+(.*)|--\d+(.*)"","""")"),"BATHELEMONT")</f>
        <v>BATHELEMONT</v>
      </c>
      <c r="E1143" s="38" t="s">
        <v>548</v>
      </c>
      <c r="F1143" s="38" t="s">
        <v>195</v>
      </c>
      <c r="G1143" s="49" t="str">
        <f t="shared" si="1"/>
        <v>54370</v>
      </c>
      <c r="H1143" s="49">
        <f t="shared" si="2"/>
        <v>54050</v>
      </c>
    </row>
    <row r="1144">
      <c r="A1144" s="48" t="s">
        <v>2328</v>
      </c>
      <c r="B1144" s="38">
        <v>57035.0</v>
      </c>
      <c r="C1144" s="38" t="s">
        <v>2329</v>
      </c>
      <c r="D1144" s="38" t="str">
        <f>IFERROR(__xludf.DUMMYFUNCTION("REGEXREPLACE(C1144,""-\d+(.*)|--\d+(.*)"","""")"),"ASSENONCOURT")</f>
        <v>ASSENONCOURT</v>
      </c>
      <c r="E1144" s="38" t="s">
        <v>303</v>
      </c>
      <c r="F1144" s="38" t="s">
        <v>195</v>
      </c>
      <c r="G1144" s="49" t="str">
        <f t="shared" si="1"/>
        <v>57260</v>
      </c>
      <c r="H1144" s="49">
        <f t="shared" si="2"/>
        <v>57035</v>
      </c>
    </row>
    <row r="1145">
      <c r="A1145" s="48" t="s">
        <v>2330</v>
      </c>
      <c r="B1145" s="38">
        <v>65021.0</v>
      </c>
      <c r="C1145" s="38" t="s">
        <v>2331</v>
      </c>
      <c r="D1145" s="38" t="str">
        <f>IFERROR(__xludf.DUMMYFUNCTION("REGEXREPLACE(C1145,""-\d+(.*)|--\d+(.*)"","""")"),"ARCIZANS-AVANT")</f>
        <v>ARCIZANS-AVANT</v>
      </c>
      <c r="E1145" s="38" t="s">
        <v>200</v>
      </c>
      <c r="F1145" s="38" t="s">
        <v>94</v>
      </c>
      <c r="G1145" s="49" t="str">
        <f t="shared" si="1"/>
        <v>65400</v>
      </c>
      <c r="H1145" s="49">
        <f t="shared" si="2"/>
        <v>65021</v>
      </c>
    </row>
    <row r="1146">
      <c r="A1146" s="48" t="s">
        <v>2332</v>
      </c>
      <c r="B1146" s="38">
        <v>81116.0</v>
      </c>
      <c r="C1146" s="38" t="s">
        <v>2333</v>
      </c>
      <c r="D1146" s="38" t="str">
        <f>IFERROR(__xludf.DUMMYFUNCTION("REGEXREPLACE(C1146,""-\d+(.*)|--\d+(.*)"","""")"),"LABASTIDE-SAINT-GEORGES")</f>
        <v>LABASTIDE-SAINT-GEORGES</v>
      </c>
      <c r="E1146" s="38" t="s">
        <v>231</v>
      </c>
      <c r="F1146" s="38" t="s">
        <v>94</v>
      </c>
      <c r="G1146" s="49" t="str">
        <f t="shared" si="1"/>
        <v>81500</v>
      </c>
      <c r="H1146" s="49">
        <f t="shared" si="2"/>
        <v>81116</v>
      </c>
    </row>
    <row r="1147">
      <c r="A1147" s="48" t="s">
        <v>2334</v>
      </c>
      <c r="B1147" s="38">
        <v>46066.0</v>
      </c>
      <c r="C1147" s="38" t="s">
        <v>2335</v>
      </c>
      <c r="D1147" s="38" t="str">
        <f>IFERROR(__xludf.DUMMYFUNCTION("REGEXREPLACE(C1147,""-\d+(.*)|--\d+(.*)"","""")"),"CAZALS")</f>
        <v>CAZALS</v>
      </c>
      <c r="E1147" s="38" t="s">
        <v>185</v>
      </c>
      <c r="F1147" s="38" t="s">
        <v>94</v>
      </c>
      <c r="G1147" s="49" t="str">
        <f t="shared" si="1"/>
        <v>46250</v>
      </c>
      <c r="H1147" s="49">
        <f t="shared" si="2"/>
        <v>46066</v>
      </c>
    </row>
    <row r="1148">
      <c r="A1148" s="48" t="s">
        <v>2336</v>
      </c>
      <c r="B1148" s="38">
        <v>58252.0</v>
      </c>
      <c r="C1148" s="38" t="s">
        <v>2337</v>
      </c>
      <c r="D1148" s="38" t="str">
        <f>IFERROR(__xludf.DUMMYFUNCTION("REGEXREPLACE(C1148,""-\d+(.*)|--\d+(.*)"","""")"),"SAINT-MALO-EN-DONZIOIS")</f>
        <v>SAINT-MALO-EN-DONZIOIS</v>
      </c>
      <c r="E1148" s="38" t="s">
        <v>219</v>
      </c>
      <c r="F1148" s="38" t="s">
        <v>106</v>
      </c>
      <c r="G1148" s="49" t="str">
        <f t="shared" si="1"/>
        <v>58350</v>
      </c>
      <c r="H1148" s="49">
        <f t="shared" si="2"/>
        <v>58252</v>
      </c>
    </row>
    <row r="1149">
      <c r="A1149" s="48" t="s">
        <v>2338</v>
      </c>
      <c r="B1149" s="38">
        <v>8074.0</v>
      </c>
      <c r="C1149" s="38" t="s">
        <v>2339</v>
      </c>
      <c r="D1149" s="38" t="str">
        <f>IFERROR(__xludf.DUMMYFUNCTION("REGEXREPLACE(C1149,""-\d+(.*)|--\d+(.*)"","""")"),"BOUCONVILLE")</f>
        <v>BOUCONVILLE</v>
      </c>
      <c r="E1149" s="38" t="s">
        <v>327</v>
      </c>
      <c r="F1149" s="38" t="s">
        <v>130</v>
      </c>
      <c r="G1149" s="49" t="str">
        <f t="shared" si="1"/>
        <v>08250</v>
      </c>
      <c r="H1149" s="49" t="str">
        <f t="shared" si="2"/>
        <v>08074</v>
      </c>
    </row>
    <row r="1150">
      <c r="A1150" s="48" t="s">
        <v>2340</v>
      </c>
      <c r="B1150" s="38">
        <v>21520.0</v>
      </c>
      <c r="C1150" s="38" t="s">
        <v>2341</v>
      </c>
      <c r="D1150" s="38" t="str">
        <f>IFERROR(__xludf.DUMMYFUNCTION("REGEXREPLACE(C1150,""-\d+(.*)|--\d+(.*)"","""")"),"REMILLY-EN-MONTAGNE")</f>
        <v>REMILLY-EN-MONTAGNE</v>
      </c>
      <c r="E1150" s="38" t="s">
        <v>105</v>
      </c>
      <c r="F1150" s="38" t="s">
        <v>106</v>
      </c>
      <c r="G1150" s="49" t="str">
        <f t="shared" si="1"/>
        <v>21540</v>
      </c>
      <c r="H1150" s="49">
        <f t="shared" si="2"/>
        <v>21520</v>
      </c>
    </row>
    <row r="1151">
      <c r="A1151" s="48" t="s">
        <v>2342</v>
      </c>
      <c r="B1151" s="38">
        <v>11281.0</v>
      </c>
      <c r="C1151" s="38" t="s">
        <v>2343</v>
      </c>
      <c r="D1151" s="38" t="str">
        <f>IFERROR(__xludf.DUMMYFUNCTION("REGEXREPLACE(C1151,""-\d+(.*)|--\d+(.*)"","""")"),"PEXIORA")</f>
        <v>PEXIORA</v>
      </c>
      <c r="E1151" s="38" t="s">
        <v>278</v>
      </c>
      <c r="F1151" s="38" t="s">
        <v>119</v>
      </c>
      <c r="G1151" s="49" t="str">
        <f t="shared" si="1"/>
        <v>11150</v>
      </c>
      <c r="H1151" s="49">
        <f t="shared" si="2"/>
        <v>11281</v>
      </c>
    </row>
    <row r="1152">
      <c r="A1152" s="48" t="s">
        <v>2344</v>
      </c>
      <c r="B1152" s="38">
        <v>2574.0</v>
      </c>
      <c r="C1152" s="38" t="s">
        <v>2345</v>
      </c>
      <c r="D1152" s="38" t="str">
        <f>IFERROR(__xludf.DUMMYFUNCTION("REGEXREPLACE(C1152,""-\d+(.*)|--\d+(.*)"","""")"),"ORIGNY-EN-THIERACHE")</f>
        <v>ORIGNY-EN-THIERACHE</v>
      </c>
      <c r="E1152" s="38" t="s">
        <v>191</v>
      </c>
      <c r="F1152" s="38" t="s">
        <v>113</v>
      </c>
      <c r="G1152" s="49" t="str">
        <f t="shared" si="1"/>
        <v>02550</v>
      </c>
      <c r="H1152" s="49" t="str">
        <f t="shared" si="2"/>
        <v>02574</v>
      </c>
    </row>
    <row r="1153">
      <c r="A1153" s="48" t="s">
        <v>2346</v>
      </c>
      <c r="B1153" s="38">
        <v>4062.0</v>
      </c>
      <c r="C1153" s="38" t="s">
        <v>2347</v>
      </c>
      <c r="D1153" s="38" t="str">
        <f>IFERROR(__xludf.DUMMYFUNCTION("REGEXREPLACE(C1153,""-\d+(.*)|--\d+(.*)"","""")"),"LA CONDAMINE-CHATELARD")</f>
        <v>LA CONDAMINE-CHATELARD</v>
      </c>
      <c r="E1153" s="38" t="s">
        <v>662</v>
      </c>
      <c r="F1153" s="38" t="s">
        <v>228</v>
      </c>
      <c r="G1153" s="49" t="str">
        <f t="shared" si="1"/>
        <v>04530</v>
      </c>
      <c r="H1153" s="49" t="str">
        <f t="shared" si="2"/>
        <v>04062</v>
      </c>
    </row>
    <row r="1154">
      <c r="A1154" s="48" t="s">
        <v>1790</v>
      </c>
      <c r="B1154" s="38">
        <v>67351.0</v>
      </c>
      <c r="C1154" s="38" t="s">
        <v>2348</v>
      </c>
      <c r="D1154" s="38" t="str">
        <f>IFERROR(__xludf.DUMMYFUNCTION("REGEXREPLACE(C1154,""-\d+(.*)|--\d+(.*)"","""")"),"SEEBACH")</f>
        <v>SEEBACH</v>
      </c>
      <c r="E1154" s="38" t="s">
        <v>210</v>
      </c>
      <c r="F1154" s="38" t="s">
        <v>151</v>
      </c>
      <c r="G1154" s="49" t="str">
        <f t="shared" si="1"/>
        <v>67160</v>
      </c>
      <c r="H1154" s="49">
        <f t="shared" si="2"/>
        <v>67351</v>
      </c>
    </row>
    <row r="1155">
      <c r="A1155" s="48" t="s">
        <v>2349</v>
      </c>
      <c r="B1155" s="38">
        <v>62429.0</v>
      </c>
      <c r="C1155" s="38" t="s">
        <v>2350</v>
      </c>
      <c r="D1155" s="38" t="str">
        <f>IFERROR(__xludf.DUMMYFUNCTION("REGEXREPLACE(C1155,""-\d+(.*)|--\d+(.*)"","""")"),"HENNEVEUX")</f>
        <v>HENNEVEUX</v>
      </c>
      <c r="E1155" s="38" t="s">
        <v>109</v>
      </c>
      <c r="F1155" s="38" t="s">
        <v>86</v>
      </c>
      <c r="G1155" s="49" t="str">
        <f t="shared" si="1"/>
        <v>62142</v>
      </c>
      <c r="H1155" s="49">
        <f t="shared" si="2"/>
        <v>62429</v>
      </c>
    </row>
    <row r="1156">
      <c r="A1156" s="48" t="s">
        <v>2351</v>
      </c>
      <c r="B1156" s="38">
        <v>81248.0</v>
      </c>
      <c r="C1156" s="38" t="s">
        <v>2352</v>
      </c>
      <c r="D1156" s="38" t="str">
        <f>IFERROR(__xludf.DUMMYFUNCTION("REGEXREPLACE(C1156,""-\d+(.*)|--\d+(.*)"","""")"),"SAINT-GAUZENS")</f>
        <v>SAINT-GAUZENS</v>
      </c>
      <c r="E1156" s="38" t="s">
        <v>231</v>
      </c>
      <c r="F1156" s="38" t="s">
        <v>94</v>
      </c>
      <c r="G1156" s="49" t="str">
        <f t="shared" si="1"/>
        <v>81390</v>
      </c>
      <c r="H1156" s="49">
        <f t="shared" si="2"/>
        <v>81248</v>
      </c>
    </row>
    <row r="1157">
      <c r="A1157" s="48" t="s">
        <v>2353</v>
      </c>
      <c r="B1157" s="38">
        <v>13028.0</v>
      </c>
      <c r="C1157" s="38" t="s">
        <v>2354</v>
      </c>
      <c r="D1157" s="38" t="str">
        <f>IFERROR(__xludf.DUMMYFUNCTION("REGEXREPLACE(C1157,""-\d+(.*)|--\d+(.*)"","""")"),"LA CIOTAT")</f>
        <v>LA CIOTAT</v>
      </c>
      <c r="E1157" s="38" t="s">
        <v>980</v>
      </c>
      <c r="F1157" s="38" t="s">
        <v>228</v>
      </c>
      <c r="G1157" s="49" t="str">
        <f t="shared" si="1"/>
        <v>13600</v>
      </c>
      <c r="H1157" s="49">
        <f t="shared" si="2"/>
        <v>13028</v>
      </c>
    </row>
    <row r="1158">
      <c r="A1158" s="48" t="s">
        <v>2229</v>
      </c>
      <c r="B1158" s="38">
        <v>64557.0</v>
      </c>
      <c r="C1158" s="38" t="s">
        <v>2355</v>
      </c>
      <c r="D1158" s="38" t="str">
        <f>IFERROR(__xludf.DUMMYFUNCTION("REGEXREPLACE(C1158,""-\d+(.*)|--\d+(.*)"","""")"),"VIGNES")</f>
        <v>VIGNES</v>
      </c>
      <c r="E1158" s="38" t="s">
        <v>268</v>
      </c>
      <c r="F1158" s="38" t="s">
        <v>252</v>
      </c>
      <c r="G1158" s="49" t="str">
        <f t="shared" si="1"/>
        <v>64410</v>
      </c>
      <c r="H1158" s="49">
        <f t="shared" si="2"/>
        <v>64557</v>
      </c>
    </row>
    <row r="1159">
      <c r="A1159" s="48" t="s">
        <v>1579</v>
      </c>
      <c r="B1159" s="38">
        <v>63238.0</v>
      </c>
      <c r="C1159" s="38" t="s">
        <v>2356</v>
      </c>
      <c r="D1159" s="38" t="str">
        <f>IFERROR(__xludf.DUMMYFUNCTION("REGEXREPLACE(C1159,""-\d+(.*)|--\d+(.*)"","""")"),"MONTFERMY")</f>
        <v>MONTFERMY</v>
      </c>
      <c r="E1159" s="38" t="s">
        <v>353</v>
      </c>
      <c r="F1159" s="38" t="s">
        <v>161</v>
      </c>
      <c r="G1159" s="49" t="str">
        <f t="shared" si="1"/>
        <v>63230</v>
      </c>
      <c r="H1159" s="49">
        <f t="shared" si="2"/>
        <v>63238</v>
      </c>
    </row>
    <row r="1160">
      <c r="A1160" s="48" t="s">
        <v>2357</v>
      </c>
      <c r="B1160" s="38">
        <v>46297.0</v>
      </c>
      <c r="C1160" s="38" t="s">
        <v>2358</v>
      </c>
      <c r="D1160" s="38" t="str">
        <f>IFERROR(__xludf.DUMMYFUNCTION("REGEXREPLACE(C1160,""-\d+(.*)|--\d+(.*)"","""")"),"SALVIAC")</f>
        <v>SALVIAC</v>
      </c>
      <c r="E1160" s="38" t="s">
        <v>185</v>
      </c>
      <c r="F1160" s="38" t="s">
        <v>94</v>
      </c>
      <c r="G1160" s="49" t="str">
        <f t="shared" si="1"/>
        <v>46340</v>
      </c>
      <c r="H1160" s="49">
        <f t="shared" si="2"/>
        <v>46297</v>
      </c>
    </row>
    <row r="1161">
      <c r="A1161" s="48" t="s">
        <v>1252</v>
      </c>
      <c r="B1161" s="38">
        <v>72269.0</v>
      </c>
      <c r="C1161" s="38" t="s">
        <v>2359</v>
      </c>
      <c r="D1161" s="38" t="str">
        <f>IFERROR(__xludf.DUMMYFUNCTION("REGEXREPLACE(C1161,""-\d+(.*)|--\d+(.*)"","""")"),"SAINT-CALAIS")</f>
        <v>SAINT-CALAIS</v>
      </c>
      <c r="E1161" s="38" t="s">
        <v>521</v>
      </c>
      <c r="F1161" s="38" t="s">
        <v>180</v>
      </c>
      <c r="G1161" s="49" t="str">
        <f t="shared" si="1"/>
        <v>72120</v>
      </c>
      <c r="H1161" s="49">
        <f t="shared" si="2"/>
        <v>72269</v>
      </c>
    </row>
    <row r="1162">
      <c r="A1162" s="48" t="s">
        <v>2360</v>
      </c>
      <c r="B1162" s="38">
        <v>79293.0</v>
      </c>
      <c r="C1162" s="38" t="s">
        <v>2361</v>
      </c>
      <c r="D1162" s="38" t="str">
        <f>IFERROR(__xludf.DUMMYFUNCTION("REGEXREPLACE(C1162,""-\d+(.*)|--\d+(.*)"","""")"),"SAINT-REMY")</f>
        <v>SAINT-REMY</v>
      </c>
      <c r="E1162" s="38" t="s">
        <v>337</v>
      </c>
      <c r="F1162" s="38" t="s">
        <v>338</v>
      </c>
      <c r="G1162" s="49" t="str">
        <f t="shared" si="1"/>
        <v>79410</v>
      </c>
      <c r="H1162" s="49">
        <f t="shared" si="2"/>
        <v>79293</v>
      </c>
    </row>
    <row r="1163">
      <c r="A1163" s="48" t="s">
        <v>2362</v>
      </c>
      <c r="B1163" s="38">
        <v>14584.0</v>
      </c>
      <c r="C1163" s="38" t="s">
        <v>2363</v>
      </c>
      <c r="D1163" s="38" t="str">
        <f>IFERROR(__xludf.DUMMYFUNCTION("REGEXREPLACE(C1163,""-\d+(.*)|--\d+(.*)"","""")"),"SAINT-GERMAIN-DE-TALLEVENDE-LA-LANDE-VAUMONT")</f>
        <v>SAINT-GERMAIN-DE-TALLEVENDE-LA-LANDE-VAUMONT</v>
      </c>
      <c r="E1163" s="38" t="s">
        <v>137</v>
      </c>
      <c r="F1163" s="38" t="s">
        <v>138</v>
      </c>
      <c r="G1163" s="49" t="str">
        <f t="shared" si="1"/>
        <v>14500</v>
      </c>
      <c r="H1163" s="49">
        <f t="shared" si="2"/>
        <v>14584</v>
      </c>
    </row>
    <row r="1164">
      <c r="A1164" s="48" t="s">
        <v>2318</v>
      </c>
      <c r="B1164" s="38">
        <v>43001.0</v>
      </c>
      <c r="C1164" s="38" t="s">
        <v>2364</v>
      </c>
      <c r="D1164" s="38" t="str">
        <f>IFERROR(__xludf.DUMMYFUNCTION("REGEXREPLACE(C1164,""-\d+(.*)|--\d+(.*)"","""")"),"AGNAT")</f>
        <v>AGNAT</v>
      </c>
      <c r="E1164" s="38" t="s">
        <v>332</v>
      </c>
      <c r="F1164" s="38" t="s">
        <v>161</v>
      </c>
      <c r="G1164" s="49" t="str">
        <f t="shared" si="1"/>
        <v>43100</v>
      </c>
      <c r="H1164" s="49">
        <f t="shared" si="2"/>
        <v>43001</v>
      </c>
    </row>
    <row r="1165">
      <c r="A1165" s="48" t="s">
        <v>1046</v>
      </c>
      <c r="B1165" s="38">
        <v>26035.0</v>
      </c>
      <c r="C1165" s="38" t="s">
        <v>2365</v>
      </c>
      <c r="D1165" s="38" t="str">
        <f>IFERROR(__xludf.DUMMYFUNCTION("REGEXREPLACE(C1165,""-\d+(.*)|--\d+(.*)"","""")"),"BEAUFORT-SUR-GERVANNE")</f>
        <v>BEAUFORT-SUR-GERVANNE</v>
      </c>
      <c r="E1165" s="38" t="s">
        <v>126</v>
      </c>
      <c r="F1165" s="38" t="s">
        <v>102</v>
      </c>
      <c r="G1165" s="49" t="str">
        <f t="shared" si="1"/>
        <v>26400</v>
      </c>
      <c r="H1165" s="49">
        <f t="shared" si="2"/>
        <v>26035</v>
      </c>
    </row>
    <row r="1166">
      <c r="A1166" s="48" t="s">
        <v>2366</v>
      </c>
      <c r="B1166" s="38">
        <v>29294.0</v>
      </c>
      <c r="C1166" s="38" t="s">
        <v>2367</v>
      </c>
      <c r="D1166" s="38" t="str">
        <f>IFERROR(__xludf.DUMMYFUNCTION("REGEXREPLACE(C1166,""-\d+(.*)|--\d+(.*)"","""")"),"LE TREHOU")</f>
        <v>LE TREHOU</v>
      </c>
      <c r="E1166" s="38" t="s">
        <v>176</v>
      </c>
      <c r="F1166" s="38" t="s">
        <v>90</v>
      </c>
      <c r="G1166" s="49" t="str">
        <f t="shared" si="1"/>
        <v>29450</v>
      </c>
      <c r="H1166" s="49">
        <f t="shared" si="2"/>
        <v>29294</v>
      </c>
    </row>
    <row r="1167">
      <c r="A1167" s="48" t="s">
        <v>2368</v>
      </c>
      <c r="B1167" s="38">
        <v>65180.0</v>
      </c>
      <c r="C1167" s="38" t="s">
        <v>2369</v>
      </c>
      <c r="D1167" s="38" t="str">
        <f>IFERROR(__xludf.DUMMYFUNCTION("REGEXREPLACE(C1167,""-\d+(.*)|--\d+(.*)"","""")"),"FRECHET-AURE")</f>
        <v>FRECHET-AURE</v>
      </c>
      <c r="E1167" s="38" t="s">
        <v>200</v>
      </c>
      <c r="F1167" s="38" t="s">
        <v>94</v>
      </c>
      <c r="G1167" s="49" t="str">
        <f t="shared" si="1"/>
        <v>65240</v>
      </c>
      <c r="H1167" s="49">
        <f t="shared" si="2"/>
        <v>65180</v>
      </c>
    </row>
    <row r="1168">
      <c r="A1168" s="48" t="s">
        <v>2370</v>
      </c>
      <c r="B1168" s="38">
        <v>33112.0</v>
      </c>
      <c r="C1168" s="38" t="s">
        <v>2371</v>
      </c>
      <c r="D1168" s="38" t="str">
        <f>IFERROR(__xludf.DUMMYFUNCTION("REGEXREPLACE(C1168,""-\d+(.*)|--\d+(.*)"","""")"),"CAUMONT")</f>
        <v>CAUMONT</v>
      </c>
      <c r="E1168" s="38" t="s">
        <v>462</v>
      </c>
      <c r="F1168" s="38" t="s">
        <v>252</v>
      </c>
      <c r="G1168" s="49" t="str">
        <f t="shared" si="1"/>
        <v>33540</v>
      </c>
      <c r="H1168" s="49">
        <f t="shared" si="2"/>
        <v>33112</v>
      </c>
    </row>
    <row r="1169">
      <c r="A1169" s="48" t="s">
        <v>1777</v>
      </c>
      <c r="B1169" s="38">
        <v>10425.0</v>
      </c>
      <c r="C1169" s="38" t="s">
        <v>2372</v>
      </c>
      <c r="D1169" s="38" t="str">
        <f>IFERROR(__xludf.DUMMYFUNCTION("REGEXREPLACE(C1169,""-\d+(.*)|--\d+(.*)"","""")"),"VILLERY")</f>
        <v>VILLERY</v>
      </c>
      <c r="E1169" s="38" t="s">
        <v>147</v>
      </c>
      <c r="F1169" s="38" t="s">
        <v>130</v>
      </c>
      <c r="G1169" s="49" t="str">
        <f t="shared" si="1"/>
        <v>10320</v>
      </c>
      <c r="H1169" s="49">
        <f t="shared" si="2"/>
        <v>10425</v>
      </c>
    </row>
    <row r="1170">
      <c r="A1170" s="48" t="s">
        <v>1298</v>
      </c>
      <c r="B1170" s="38">
        <v>38008.0</v>
      </c>
      <c r="C1170" s="38" t="s">
        <v>2373</v>
      </c>
      <c r="D1170" s="38" t="str">
        <f>IFERROR(__xludf.DUMMYFUNCTION("REGEXREPLACE(C1170,""-\d+(.*)|--\d+(.*)"","""")"),"AMBEL")</f>
        <v>AMBEL</v>
      </c>
      <c r="E1170" s="38" t="s">
        <v>101</v>
      </c>
      <c r="F1170" s="38" t="s">
        <v>102</v>
      </c>
      <c r="G1170" s="49" t="str">
        <f t="shared" si="1"/>
        <v>38970</v>
      </c>
      <c r="H1170" s="49">
        <f t="shared" si="2"/>
        <v>38008</v>
      </c>
    </row>
    <row r="1171">
      <c r="A1171" s="48" t="s">
        <v>2374</v>
      </c>
      <c r="B1171" s="38">
        <v>58050.0</v>
      </c>
      <c r="C1171" s="38" t="s">
        <v>2375</v>
      </c>
      <c r="D1171" s="38" t="str">
        <f>IFERROR(__xludf.DUMMYFUNCTION("REGEXREPLACE(C1171,""-\d+(.*)|--\d+(.*)"","""")"),"CHALLEMENT")</f>
        <v>CHALLEMENT</v>
      </c>
      <c r="E1171" s="38" t="s">
        <v>219</v>
      </c>
      <c r="F1171" s="38" t="s">
        <v>106</v>
      </c>
      <c r="G1171" s="49" t="str">
        <f t="shared" si="1"/>
        <v>58420</v>
      </c>
      <c r="H1171" s="49">
        <f t="shared" si="2"/>
        <v>58050</v>
      </c>
    </row>
    <row r="1172">
      <c r="A1172" s="48" t="s">
        <v>2376</v>
      </c>
      <c r="B1172" s="38">
        <v>79339.0</v>
      </c>
      <c r="C1172" s="38" t="s">
        <v>2377</v>
      </c>
      <c r="D1172" s="38" t="str">
        <f>IFERROR(__xludf.DUMMYFUNCTION("REGEXREPLACE(C1172,""-\d+(.*)|--\d+(.*)"","""")"),"VASLES")</f>
        <v>VASLES</v>
      </c>
      <c r="E1172" s="38" t="s">
        <v>337</v>
      </c>
      <c r="F1172" s="38" t="s">
        <v>338</v>
      </c>
      <c r="G1172" s="49" t="str">
        <f t="shared" si="1"/>
        <v>79340</v>
      </c>
      <c r="H1172" s="49">
        <f t="shared" si="2"/>
        <v>79339</v>
      </c>
    </row>
    <row r="1173">
      <c r="A1173" s="48" t="s">
        <v>1883</v>
      </c>
      <c r="B1173" s="38">
        <v>39039.0</v>
      </c>
      <c r="C1173" s="38" t="s">
        <v>2378</v>
      </c>
      <c r="D1173" s="38" t="str">
        <f>IFERROR(__xludf.DUMMYFUNCTION("REGEXREPLACE(C1173,""-\d+(.*)|--\d+(.*)"","""")"),"LA BARRE")</f>
        <v>LA BARRE</v>
      </c>
      <c r="E1173" s="38" t="s">
        <v>400</v>
      </c>
      <c r="F1173" s="38" t="s">
        <v>214</v>
      </c>
      <c r="G1173" s="49" t="str">
        <f t="shared" si="1"/>
        <v>39700</v>
      </c>
      <c r="H1173" s="49">
        <f t="shared" si="2"/>
        <v>39039</v>
      </c>
    </row>
    <row r="1174">
      <c r="A1174" s="48" t="s">
        <v>2379</v>
      </c>
      <c r="B1174" s="38">
        <v>65075.0</v>
      </c>
      <c r="C1174" s="38" t="s">
        <v>2380</v>
      </c>
      <c r="D1174" s="38" t="str">
        <f>IFERROR(__xludf.DUMMYFUNCTION("REGEXREPLACE(C1174,""-\d+(.*)|--\d+(.*)"","""")"),"BAZUS-AURE")</f>
        <v>BAZUS-AURE</v>
      </c>
      <c r="E1174" s="38" t="s">
        <v>200</v>
      </c>
      <c r="F1174" s="38" t="s">
        <v>94</v>
      </c>
      <c r="G1174" s="49" t="str">
        <f t="shared" si="1"/>
        <v>65170</v>
      </c>
      <c r="H1174" s="49">
        <f t="shared" si="2"/>
        <v>65075</v>
      </c>
    </row>
    <row r="1175">
      <c r="A1175" s="48" t="s">
        <v>2004</v>
      </c>
      <c r="B1175" s="38">
        <v>88255.0</v>
      </c>
      <c r="C1175" s="38" t="s">
        <v>2381</v>
      </c>
      <c r="D1175" s="38" t="str">
        <f>IFERROR(__xludf.DUMMYFUNCTION("REGEXREPLACE(C1175,""-\d+(.*)|--\d+(.*)"","""")"),"JUBAINVILLE")</f>
        <v>JUBAINVILLE</v>
      </c>
      <c r="E1175" s="38" t="s">
        <v>194</v>
      </c>
      <c r="F1175" s="38" t="s">
        <v>195</v>
      </c>
      <c r="G1175" s="49" t="str">
        <f t="shared" si="1"/>
        <v>88630</v>
      </c>
      <c r="H1175" s="49">
        <f t="shared" si="2"/>
        <v>88255</v>
      </c>
    </row>
    <row r="1176">
      <c r="A1176" s="48" t="s">
        <v>2382</v>
      </c>
      <c r="B1176" s="38">
        <v>54223.0</v>
      </c>
      <c r="C1176" s="38" t="s">
        <v>2383</v>
      </c>
      <c r="D1176" s="38" t="str">
        <f>IFERROR(__xludf.DUMMYFUNCTION("REGEXREPLACE(C1176,""-\d+(.*)|--\d+(.*)"","""")"),"GERMINY")</f>
        <v>GERMINY</v>
      </c>
      <c r="E1176" s="38" t="s">
        <v>548</v>
      </c>
      <c r="F1176" s="38" t="s">
        <v>195</v>
      </c>
      <c r="G1176" s="49" t="str">
        <f t="shared" si="1"/>
        <v>54170</v>
      </c>
      <c r="H1176" s="49">
        <f t="shared" si="2"/>
        <v>54223</v>
      </c>
    </row>
    <row r="1177">
      <c r="A1177" s="48" t="s">
        <v>2384</v>
      </c>
      <c r="B1177" s="38">
        <v>21345.0</v>
      </c>
      <c r="C1177" s="38" t="s">
        <v>2385</v>
      </c>
      <c r="D1177" s="38" t="str">
        <f>IFERROR(__xludf.DUMMYFUNCTION("REGEXREPLACE(C1177,""-\d+(.*)|--\d+(.*)"","""")"),"LERY")</f>
        <v>LERY</v>
      </c>
      <c r="E1177" s="38" t="s">
        <v>105</v>
      </c>
      <c r="F1177" s="38" t="s">
        <v>106</v>
      </c>
      <c r="G1177" s="49" t="str">
        <f t="shared" si="1"/>
        <v>21440</v>
      </c>
      <c r="H1177" s="49">
        <f t="shared" si="2"/>
        <v>21345</v>
      </c>
    </row>
    <row r="1178">
      <c r="A1178" s="48" t="s">
        <v>573</v>
      </c>
      <c r="B1178" s="38">
        <v>65054.0</v>
      </c>
      <c r="C1178" s="38" t="s">
        <v>2386</v>
      </c>
      <c r="D1178" s="38" t="str">
        <f>IFERROR(__xludf.DUMMYFUNCTION("REGEXREPLACE(C1178,""-\d+(.*)|--\d+(.*)"","""")"),"AVEZAC-PRAT-LAHITTE")</f>
        <v>AVEZAC-PRAT-LAHITTE</v>
      </c>
      <c r="E1178" s="38" t="s">
        <v>200</v>
      </c>
      <c r="F1178" s="38" t="s">
        <v>94</v>
      </c>
      <c r="G1178" s="49" t="str">
        <f t="shared" si="1"/>
        <v>65130</v>
      </c>
      <c r="H1178" s="49">
        <f t="shared" si="2"/>
        <v>65054</v>
      </c>
    </row>
    <row r="1179">
      <c r="A1179" s="48" t="s">
        <v>2387</v>
      </c>
      <c r="B1179" s="38">
        <v>42290.0</v>
      </c>
      <c r="C1179" s="38" t="s">
        <v>2388</v>
      </c>
      <c r="D1179" s="38" t="str">
        <f>IFERROR(__xludf.DUMMYFUNCTION("REGEXREPLACE(C1179,""-\d+(.*)|--\d+(.*)"","""")"),"SAINT-THOMAS-LA-GARDE")</f>
        <v>SAINT-THOMAS-LA-GARDE</v>
      </c>
      <c r="E1179" s="38" t="s">
        <v>166</v>
      </c>
      <c r="F1179" s="38" t="s">
        <v>102</v>
      </c>
      <c r="G1179" s="49" t="str">
        <f t="shared" si="1"/>
        <v>42600</v>
      </c>
      <c r="H1179" s="49">
        <f t="shared" si="2"/>
        <v>42290</v>
      </c>
    </row>
    <row r="1180">
      <c r="A1180" s="48" t="s">
        <v>2389</v>
      </c>
      <c r="B1180" s="38">
        <v>64178.0</v>
      </c>
      <c r="C1180" s="38" t="s">
        <v>2390</v>
      </c>
      <c r="D1180" s="38" t="str">
        <f>IFERROR(__xludf.DUMMYFUNCTION("REGEXREPLACE(C1180,""-\d+(.*)|--\d+(.*)"","""")"),"CASTETNAU-CAMBLONG")</f>
        <v>CASTETNAU-CAMBLONG</v>
      </c>
      <c r="E1180" s="38" t="s">
        <v>268</v>
      </c>
      <c r="F1180" s="38" t="s">
        <v>252</v>
      </c>
      <c r="G1180" s="49" t="str">
        <f t="shared" si="1"/>
        <v>64190</v>
      </c>
      <c r="H1180" s="49">
        <f t="shared" si="2"/>
        <v>64178</v>
      </c>
    </row>
    <row r="1181">
      <c r="A1181" s="48" t="s">
        <v>2391</v>
      </c>
      <c r="B1181" s="38">
        <v>51525.0</v>
      </c>
      <c r="C1181" s="38" t="s">
        <v>2392</v>
      </c>
      <c r="D1181" s="38" t="str">
        <f>IFERROR(__xludf.DUMMYFUNCTION("REGEXREPLACE(C1181,""-\d+(.*)|--\d+(.*)"","""")"),"SARRY")</f>
        <v>SARRY</v>
      </c>
      <c r="E1181" s="38" t="s">
        <v>129</v>
      </c>
      <c r="F1181" s="38" t="s">
        <v>130</v>
      </c>
      <c r="G1181" s="49" t="str">
        <f t="shared" si="1"/>
        <v>51520</v>
      </c>
      <c r="H1181" s="49">
        <f t="shared" si="2"/>
        <v>51525</v>
      </c>
    </row>
    <row r="1182">
      <c r="A1182" s="48" t="s">
        <v>2393</v>
      </c>
      <c r="B1182" s="38">
        <v>38523.0</v>
      </c>
      <c r="C1182" s="38" t="s">
        <v>2394</v>
      </c>
      <c r="D1182" s="38" t="str">
        <f>IFERROR(__xludf.DUMMYFUNCTION("REGEXREPLACE(C1182,""-\d+(.*)|--\d+(.*)"","""")"),"VARACIEUX")</f>
        <v>VARACIEUX</v>
      </c>
      <c r="E1182" s="38" t="s">
        <v>101</v>
      </c>
      <c r="F1182" s="38" t="s">
        <v>102</v>
      </c>
      <c r="G1182" s="49" t="str">
        <f t="shared" si="1"/>
        <v>38470</v>
      </c>
      <c r="H1182" s="49">
        <f t="shared" si="2"/>
        <v>38523</v>
      </c>
    </row>
    <row r="1183">
      <c r="A1183" s="48" t="s">
        <v>409</v>
      </c>
      <c r="B1183" s="38">
        <v>31269.0</v>
      </c>
      <c r="C1183" s="38" t="s">
        <v>2395</v>
      </c>
      <c r="D1183" s="38" t="str">
        <f>IFERROR(__xludf.DUMMYFUNCTION("REGEXREPLACE(C1183,""-\d+(.*)|--\d+(.*)"","""")"),"LAMASQUERE")</f>
        <v>LAMASQUERE</v>
      </c>
      <c r="E1183" s="38" t="s">
        <v>93</v>
      </c>
      <c r="F1183" s="38" t="s">
        <v>94</v>
      </c>
      <c r="G1183" s="49" t="str">
        <f t="shared" si="1"/>
        <v>31600</v>
      </c>
      <c r="H1183" s="49">
        <f t="shared" si="2"/>
        <v>31269</v>
      </c>
    </row>
    <row r="1184">
      <c r="A1184" s="48" t="s">
        <v>1114</v>
      </c>
      <c r="B1184" s="38">
        <v>2631.0</v>
      </c>
      <c r="C1184" s="38" t="s">
        <v>2396</v>
      </c>
      <c r="D1184" s="38" t="str">
        <f>IFERROR(__xludf.DUMMYFUNCTION("REGEXREPLACE(C1184,""-\d+(.*)|--\d+(.*)"","""")"),"QUIERZY")</f>
        <v>QUIERZY</v>
      </c>
      <c r="E1184" s="38" t="s">
        <v>191</v>
      </c>
      <c r="F1184" s="38" t="s">
        <v>113</v>
      </c>
      <c r="G1184" s="49" t="str">
        <f t="shared" si="1"/>
        <v>02300</v>
      </c>
      <c r="H1184" s="49" t="str">
        <f t="shared" si="2"/>
        <v>02631</v>
      </c>
    </row>
    <row r="1185">
      <c r="A1185" s="48" t="s">
        <v>2397</v>
      </c>
      <c r="B1185" s="38">
        <v>97134.0</v>
      </c>
      <c r="C1185" s="38" t="s">
        <v>2398</v>
      </c>
      <c r="D1185" s="38" t="str">
        <f>IFERROR(__xludf.DUMMYFUNCTION("REGEXREPLACE(C1185,""-\d+(.*)|--\d+(.*)"","""")"),"VIEUX-HABITANTS")</f>
        <v>VIEUX-HABITANTS</v>
      </c>
      <c r="E1185" s="38" t="s">
        <v>2023</v>
      </c>
      <c r="F1185" s="38" t="s">
        <v>2023</v>
      </c>
      <c r="G1185" s="49" t="str">
        <f t="shared" si="1"/>
        <v>97119</v>
      </c>
      <c r="H1185" s="49">
        <f t="shared" si="2"/>
        <v>97134</v>
      </c>
    </row>
    <row r="1186">
      <c r="A1186" s="48" t="s">
        <v>1646</v>
      </c>
      <c r="B1186" s="38">
        <v>24576.0</v>
      </c>
      <c r="C1186" s="38" t="s">
        <v>2399</v>
      </c>
      <c r="D1186" s="38" t="str">
        <f>IFERROR(__xludf.DUMMYFUNCTION("REGEXREPLACE(C1186,""-\d+(.*)|--\d+(.*)"","""")"),"VEYRINES-DE-VERGT")</f>
        <v>VEYRINES-DE-VERGT</v>
      </c>
      <c r="E1186" s="38" t="s">
        <v>261</v>
      </c>
      <c r="F1186" s="38" t="s">
        <v>252</v>
      </c>
      <c r="G1186" s="49" t="str">
        <f t="shared" si="1"/>
        <v>24380</v>
      </c>
      <c r="H1186" s="49">
        <f t="shared" si="2"/>
        <v>24576</v>
      </c>
    </row>
    <row r="1187">
      <c r="A1187" s="48" t="s">
        <v>2400</v>
      </c>
      <c r="B1187" s="38">
        <v>25310.0</v>
      </c>
      <c r="C1187" s="38" t="s">
        <v>2401</v>
      </c>
      <c r="D1187" s="38" t="str">
        <f>IFERROR(__xludf.DUMMYFUNCTION("REGEXREPLACE(C1187,""-\d+(.*)|--\d+(.*)"","""")"),"HUANNE-MONTMARTIN")</f>
        <v>HUANNE-MONTMARTIN</v>
      </c>
      <c r="E1187" s="38" t="s">
        <v>213</v>
      </c>
      <c r="F1187" s="38" t="s">
        <v>214</v>
      </c>
      <c r="G1187" s="49" t="str">
        <f t="shared" si="1"/>
        <v>25680</v>
      </c>
      <c r="H1187" s="49">
        <f t="shared" si="2"/>
        <v>25310</v>
      </c>
    </row>
    <row r="1188">
      <c r="A1188" s="48" t="s">
        <v>2402</v>
      </c>
      <c r="B1188" s="38">
        <v>68325.0</v>
      </c>
      <c r="C1188" s="38" t="s">
        <v>2403</v>
      </c>
      <c r="D1188" s="38" t="str">
        <f>IFERROR(__xludf.DUMMYFUNCTION("REGEXREPLACE(C1188,""-\d+(.*)|--\d+(.*)"","""")"),"STEINSOULTZ")</f>
        <v>STEINSOULTZ</v>
      </c>
      <c r="E1188" s="38" t="s">
        <v>150</v>
      </c>
      <c r="F1188" s="38" t="s">
        <v>151</v>
      </c>
      <c r="G1188" s="49" t="str">
        <f t="shared" si="1"/>
        <v>68640</v>
      </c>
      <c r="H1188" s="49">
        <f t="shared" si="2"/>
        <v>68325</v>
      </c>
    </row>
    <row r="1189">
      <c r="A1189" s="48" t="s">
        <v>2404</v>
      </c>
      <c r="B1189" s="38">
        <v>31355.0</v>
      </c>
      <c r="C1189" s="38" t="s">
        <v>2405</v>
      </c>
      <c r="D1189" s="38" t="str">
        <f>IFERROR(__xludf.DUMMYFUNCTION("REGEXREPLACE(C1189,""-\d+(.*)|--\d+(.*)"","""")"),"MONS")</f>
        <v>MONS</v>
      </c>
      <c r="E1189" s="38" t="s">
        <v>93</v>
      </c>
      <c r="F1189" s="38" t="s">
        <v>94</v>
      </c>
      <c r="G1189" s="49" t="str">
        <f t="shared" si="1"/>
        <v>31280</v>
      </c>
      <c r="H1189" s="49">
        <f t="shared" si="2"/>
        <v>31355</v>
      </c>
    </row>
    <row r="1190">
      <c r="A1190" s="48" t="s">
        <v>2406</v>
      </c>
      <c r="B1190" s="38">
        <v>55521.0</v>
      </c>
      <c r="C1190" s="38" t="s">
        <v>2407</v>
      </c>
      <c r="D1190" s="38" t="str">
        <f>IFERROR(__xludf.DUMMYFUNCTION("REGEXREPLACE(C1190,""-\d+(.*)|--\d+(.*)"","""")"),"TROYON")</f>
        <v>TROYON</v>
      </c>
      <c r="E1190" s="38" t="s">
        <v>322</v>
      </c>
      <c r="F1190" s="38" t="s">
        <v>195</v>
      </c>
      <c r="G1190" s="49" t="str">
        <f t="shared" si="1"/>
        <v>55300</v>
      </c>
      <c r="H1190" s="49">
        <f t="shared" si="2"/>
        <v>55521</v>
      </c>
    </row>
    <row r="1191">
      <c r="A1191" s="48" t="s">
        <v>2408</v>
      </c>
      <c r="B1191" s="38">
        <v>30300.0</v>
      </c>
      <c r="C1191" s="38" t="s">
        <v>2409</v>
      </c>
      <c r="D1191" s="38" t="str">
        <f>IFERROR(__xludf.DUMMYFUNCTION("REGEXREPLACE(C1191,""-\d+(.*)|--\d+(.*)"","""")"),"SAINT-THEODORIT")</f>
        <v>SAINT-THEODORIT</v>
      </c>
      <c r="E1191" s="38" t="s">
        <v>526</v>
      </c>
      <c r="F1191" s="38" t="s">
        <v>119</v>
      </c>
      <c r="G1191" s="49" t="str">
        <f t="shared" si="1"/>
        <v>30260</v>
      </c>
      <c r="H1191" s="49">
        <f t="shared" si="2"/>
        <v>30300</v>
      </c>
    </row>
    <row r="1192">
      <c r="A1192" s="48" t="s">
        <v>2047</v>
      </c>
      <c r="B1192" s="38">
        <v>62708.0</v>
      </c>
      <c r="C1192" s="38" t="s">
        <v>2410</v>
      </c>
      <c r="D1192" s="38" t="str">
        <f>IFERROR(__xludf.DUMMYFUNCTION("REGEXREPLACE(C1192,""-\d+(.*)|--\d+(.*)"","""")"),"RIENCOURT-LES-BAPAUME")</f>
        <v>RIENCOURT-LES-BAPAUME</v>
      </c>
      <c r="E1192" s="38" t="s">
        <v>109</v>
      </c>
      <c r="F1192" s="38" t="s">
        <v>86</v>
      </c>
      <c r="G1192" s="49" t="str">
        <f t="shared" si="1"/>
        <v>62450</v>
      </c>
      <c r="H1192" s="49">
        <f t="shared" si="2"/>
        <v>62708</v>
      </c>
    </row>
    <row r="1193">
      <c r="A1193" s="48" t="s">
        <v>2411</v>
      </c>
      <c r="B1193" s="38">
        <v>37126.0</v>
      </c>
      <c r="C1193" s="38" t="s">
        <v>2412</v>
      </c>
      <c r="D1193" s="38" t="str">
        <f>IFERROR(__xludf.DUMMYFUNCTION("REGEXREPLACE(C1193,""-\d+(.*)|--\d+(.*)"","""")"),"LERNE")</f>
        <v>LERNE</v>
      </c>
      <c r="E1193" s="38" t="s">
        <v>205</v>
      </c>
      <c r="F1193" s="38" t="s">
        <v>123</v>
      </c>
      <c r="G1193" s="49" t="str">
        <f t="shared" si="1"/>
        <v>37500</v>
      </c>
      <c r="H1193" s="49">
        <f t="shared" si="2"/>
        <v>37126</v>
      </c>
    </row>
    <row r="1194">
      <c r="A1194" s="48" t="s">
        <v>2413</v>
      </c>
      <c r="B1194" s="38">
        <v>72357.0</v>
      </c>
      <c r="C1194" s="38" t="s">
        <v>2414</v>
      </c>
      <c r="D1194" s="38" t="str">
        <f>IFERROR(__xludf.DUMMYFUNCTION("REGEXREPLACE(C1194,""-\d+(.*)|--\d+(.*)"","""")"),"THOREE-LES-PINS")</f>
        <v>THOREE-LES-PINS</v>
      </c>
      <c r="E1194" s="38" t="s">
        <v>521</v>
      </c>
      <c r="F1194" s="38" t="s">
        <v>180</v>
      </c>
      <c r="G1194" s="49" t="str">
        <f t="shared" si="1"/>
        <v>72800</v>
      </c>
      <c r="H1194" s="49">
        <f t="shared" si="2"/>
        <v>72357</v>
      </c>
    </row>
    <row r="1195">
      <c r="A1195" s="48" t="s">
        <v>1947</v>
      </c>
      <c r="B1195" s="38">
        <v>52225.0</v>
      </c>
      <c r="C1195" s="38" t="s">
        <v>2415</v>
      </c>
      <c r="D1195" s="38" t="str">
        <f>IFERROR(__xludf.DUMMYFUNCTION("REGEXREPLACE(C1195,""-\d+(.*)|--\d+(.*)"","""")"),"GONCOURT")</f>
        <v>GONCOURT</v>
      </c>
      <c r="E1195" s="38" t="s">
        <v>234</v>
      </c>
      <c r="F1195" s="38" t="s">
        <v>130</v>
      </c>
      <c r="G1195" s="49" t="str">
        <f t="shared" si="1"/>
        <v>52150</v>
      </c>
      <c r="H1195" s="49">
        <f t="shared" si="2"/>
        <v>52225</v>
      </c>
    </row>
    <row r="1196">
      <c r="A1196" s="48" t="s">
        <v>2141</v>
      </c>
      <c r="B1196" s="38">
        <v>80460.0</v>
      </c>
      <c r="C1196" s="38" t="s">
        <v>2416</v>
      </c>
      <c r="D1196" s="38" t="str">
        <f>IFERROR(__xludf.DUMMYFUNCTION("REGEXREPLACE(C1196,""-\d+(.*)|--\d+(.*)"","""")"),"LAMARONDE")</f>
        <v>LAMARONDE</v>
      </c>
      <c r="E1196" s="38" t="s">
        <v>224</v>
      </c>
      <c r="F1196" s="38" t="s">
        <v>113</v>
      </c>
      <c r="G1196" s="49" t="str">
        <f t="shared" si="1"/>
        <v>80290</v>
      </c>
      <c r="H1196" s="49">
        <f t="shared" si="2"/>
        <v>80460</v>
      </c>
    </row>
    <row r="1197">
      <c r="A1197" s="48" t="s">
        <v>2417</v>
      </c>
      <c r="B1197" s="38">
        <v>73232.0</v>
      </c>
      <c r="C1197" s="38" t="s">
        <v>2418</v>
      </c>
      <c r="D1197" s="38" t="str">
        <f>IFERROR(__xludf.DUMMYFUNCTION("REGEXREPLACE(C1197,""-\d+(.*)|--\d+(.*)"","""")"),"SAINTE-FOY-TARENTAISE")</f>
        <v>SAINTE-FOY-TARENTAISE</v>
      </c>
      <c r="E1197" s="38" t="s">
        <v>306</v>
      </c>
      <c r="F1197" s="38" t="s">
        <v>102</v>
      </c>
      <c r="G1197" s="49" t="str">
        <f t="shared" si="1"/>
        <v>73640</v>
      </c>
      <c r="H1197" s="49">
        <f t="shared" si="2"/>
        <v>73232</v>
      </c>
    </row>
    <row r="1198">
      <c r="A1198" s="48" t="s">
        <v>2419</v>
      </c>
      <c r="B1198" s="38">
        <v>58208.0</v>
      </c>
      <c r="C1198" s="38" t="s">
        <v>2420</v>
      </c>
      <c r="D1198" s="38" t="str">
        <f>IFERROR(__xludf.DUMMYFUNCTION("REGEXREPLACE(C1198,""-\d+(.*)|--\d+(.*)"","""")"),"PAZY")</f>
        <v>PAZY</v>
      </c>
      <c r="E1198" s="38" t="s">
        <v>219</v>
      </c>
      <c r="F1198" s="38" t="s">
        <v>106</v>
      </c>
      <c r="G1198" s="49" t="str">
        <f t="shared" si="1"/>
        <v>58800</v>
      </c>
      <c r="H1198" s="49">
        <f t="shared" si="2"/>
        <v>58208</v>
      </c>
    </row>
    <row r="1199">
      <c r="A1199" s="48" t="s">
        <v>2421</v>
      </c>
      <c r="B1199" s="38">
        <v>4137.0</v>
      </c>
      <c r="C1199" s="38" t="s">
        <v>2422</v>
      </c>
      <c r="D1199" s="38" t="str">
        <f>IFERROR(__xludf.DUMMYFUNCTION("REGEXREPLACE(C1199,""-\d+(.*)|--\d+(.*)"","""")"),"NIBLES")</f>
        <v>NIBLES</v>
      </c>
      <c r="E1199" s="38" t="s">
        <v>662</v>
      </c>
      <c r="F1199" s="38" t="s">
        <v>228</v>
      </c>
      <c r="G1199" s="49" t="str">
        <f t="shared" si="1"/>
        <v>04250</v>
      </c>
      <c r="H1199" s="49" t="str">
        <f t="shared" si="2"/>
        <v>04137</v>
      </c>
    </row>
    <row r="1200">
      <c r="A1200" s="48" t="s">
        <v>2423</v>
      </c>
      <c r="B1200" s="38">
        <v>26135.0</v>
      </c>
      <c r="C1200" s="38" t="s">
        <v>2424</v>
      </c>
      <c r="D1200" s="38" t="str">
        <f>IFERROR(__xludf.DUMMYFUNCTION("REGEXREPLACE(C1200,""-\d+(.*)|--\d+(.*)"","""")"),"FERRASSIERES")</f>
        <v>FERRASSIERES</v>
      </c>
      <c r="E1200" s="38" t="s">
        <v>126</v>
      </c>
      <c r="F1200" s="38" t="s">
        <v>102</v>
      </c>
      <c r="G1200" s="49" t="str">
        <f t="shared" si="1"/>
        <v>26570</v>
      </c>
      <c r="H1200" s="49">
        <f t="shared" si="2"/>
        <v>26135</v>
      </c>
    </row>
    <row r="1201">
      <c r="A1201" s="48" t="s">
        <v>2425</v>
      </c>
      <c r="B1201" s="38">
        <v>50532.0</v>
      </c>
      <c r="C1201" s="38" t="s">
        <v>2426</v>
      </c>
      <c r="D1201" s="38" t="str">
        <f>IFERROR(__xludf.DUMMYFUNCTION("REGEXREPLACE(C1201,""-\d+(.*)|--\d+(.*)"","""")"),"SAINT-PAIR-SUR-MER")</f>
        <v>SAINT-PAIR-SUR-MER</v>
      </c>
      <c r="E1201" s="38" t="s">
        <v>157</v>
      </c>
      <c r="F1201" s="38" t="s">
        <v>138</v>
      </c>
      <c r="G1201" s="49" t="str">
        <f t="shared" si="1"/>
        <v>50380</v>
      </c>
      <c r="H1201" s="49">
        <f t="shared" si="2"/>
        <v>50532</v>
      </c>
    </row>
    <row r="1202">
      <c r="A1202" s="48" t="s">
        <v>2427</v>
      </c>
      <c r="B1202" s="38">
        <v>47161.0</v>
      </c>
      <c r="C1202" s="38" t="s">
        <v>2428</v>
      </c>
      <c r="D1202" s="38" t="str">
        <f>IFERROR(__xludf.DUMMYFUNCTION("REGEXREPLACE(C1202,""-\d+(.*)|--\d+(.*)"","""")"),"MASSELS")</f>
        <v>MASSELS</v>
      </c>
      <c r="E1202" s="38" t="s">
        <v>251</v>
      </c>
      <c r="F1202" s="38" t="s">
        <v>252</v>
      </c>
      <c r="G1202" s="49" t="str">
        <f t="shared" si="1"/>
        <v>47140</v>
      </c>
      <c r="H1202" s="49">
        <f t="shared" si="2"/>
        <v>47161</v>
      </c>
    </row>
    <row r="1203">
      <c r="A1203" s="48" t="s">
        <v>2429</v>
      </c>
      <c r="B1203" s="38">
        <v>63256.0</v>
      </c>
      <c r="C1203" s="38" t="s">
        <v>2430</v>
      </c>
      <c r="D1203" s="38" t="str">
        <f>IFERROR(__xludf.DUMMYFUNCTION("REGEXREPLACE(C1203,""-\d+(.*)|--\d+(.*)"","""")"),"NOVACELLES")</f>
        <v>NOVACELLES</v>
      </c>
      <c r="E1203" s="38" t="s">
        <v>353</v>
      </c>
      <c r="F1203" s="38" t="s">
        <v>161</v>
      </c>
      <c r="G1203" s="49" t="str">
        <f t="shared" si="1"/>
        <v>63220</v>
      </c>
      <c r="H1203" s="49">
        <f t="shared" si="2"/>
        <v>63256</v>
      </c>
    </row>
    <row r="1204">
      <c r="A1204" s="48" t="s">
        <v>2431</v>
      </c>
      <c r="B1204" s="38">
        <v>27376.0</v>
      </c>
      <c r="C1204" s="38" t="s">
        <v>2432</v>
      </c>
      <c r="D1204" s="38" t="str">
        <f>IFERROR(__xludf.DUMMYFUNCTION("REGEXREPLACE(C1204,""-\d+(.*)|--\d+(.*)"","""")"),"LOUYE")</f>
        <v>LOUYE</v>
      </c>
      <c r="E1204" s="38" t="s">
        <v>241</v>
      </c>
      <c r="F1204" s="38" t="s">
        <v>134</v>
      </c>
      <c r="G1204" s="49" t="str">
        <f t="shared" si="1"/>
        <v>27650</v>
      </c>
      <c r="H1204" s="49">
        <f t="shared" si="2"/>
        <v>27376</v>
      </c>
    </row>
    <row r="1205">
      <c r="A1205" s="48" t="s">
        <v>2433</v>
      </c>
      <c r="B1205" s="38">
        <v>70252.0</v>
      </c>
      <c r="C1205" s="38" t="s">
        <v>2434</v>
      </c>
      <c r="D1205" s="38" t="str">
        <f>IFERROR(__xludf.DUMMYFUNCTION("REGEXREPLACE(C1205,""-\d+(.*)|--\d+(.*)"","""")"),"FRAMONT")</f>
        <v>FRAMONT</v>
      </c>
      <c r="E1205" s="38" t="s">
        <v>956</v>
      </c>
      <c r="F1205" s="38" t="s">
        <v>214</v>
      </c>
      <c r="G1205" s="49" t="str">
        <f t="shared" si="1"/>
        <v>70600</v>
      </c>
      <c r="H1205" s="49">
        <f t="shared" si="2"/>
        <v>70252</v>
      </c>
    </row>
    <row r="1206">
      <c r="A1206" s="48" t="s">
        <v>2435</v>
      </c>
      <c r="B1206" s="38">
        <v>7015.0</v>
      </c>
      <c r="C1206" s="38" t="s">
        <v>2436</v>
      </c>
      <c r="D1206" s="38" t="str">
        <f>IFERROR(__xludf.DUMMYFUNCTION("REGEXREPLACE(C1206,""-\d+(.*)|--\d+(.*)"","""")"),"ARRAS-SUR-RHONE")</f>
        <v>ARRAS-SUR-RHONE</v>
      </c>
      <c r="E1206" s="38" t="s">
        <v>144</v>
      </c>
      <c r="F1206" s="38" t="s">
        <v>102</v>
      </c>
      <c r="G1206" s="49" t="str">
        <f t="shared" si="1"/>
        <v>07370</v>
      </c>
      <c r="H1206" s="49" t="str">
        <f t="shared" si="2"/>
        <v>07015</v>
      </c>
    </row>
    <row r="1207">
      <c r="A1207" s="48" t="s">
        <v>2081</v>
      </c>
      <c r="B1207" s="38">
        <v>4195.0</v>
      </c>
      <c r="C1207" s="38" t="s">
        <v>2437</v>
      </c>
      <c r="D1207" s="38" t="str">
        <f>IFERROR(__xludf.DUMMYFUNCTION("REGEXREPLACE(C1207,""-\d+(.*)|--\d+(.*)"","""")"),"SAINT-PONS")</f>
        <v>SAINT-PONS</v>
      </c>
      <c r="E1207" s="38" t="s">
        <v>662</v>
      </c>
      <c r="F1207" s="38" t="s">
        <v>228</v>
      </c>
      <c r="G1207" s="49" t="str">
        <f t="shared" si="1"/>
        <v>04400</v>
      </c>
      <c r="H1207" s="49" t="str">
        <f t="shared" si="2"/>
        <v>04195</v>
      </c>
    </row>
    <row r="1208">
      <c r="A1208" s="48" t="s">
        <v>2438</v>
      </c>
      <c r="B1208" s="38">
        <v>64162.0</v>
      </c>
      <c r="C1208" s="38" t="s">
        <v>2439</v>
      </c>
      <c r="D1208" s="38" t="str">
        <f>IFERROR(__xludf.DUMMYFUNCTION("REGEXREPLACE(C1208,""-\d+(.*)|--\d+(.*)"","""")"),"CAMOU-CIHIGUE")</f>
        <v>CAMOU-CIHIGUE</v>
      </c>
      <c r="E1208" s="38" t="s">
        <v>268</v>
      </c>
      <c r="F1208" s="38" t="s">
        <v>252</v>
      </c>
      <c r="G1208" s="49" t="str">
        <f t="shared" si="1"/>
        <v>64470</v>
      </c>
      <c r="H1208" s="49">
        <f t="shared" si="2"/>
        <v>64162</v>
      </c>
    </row>
    <row r="1209">
      <c r="A1209" s="48" t="s">
        <v>2266</v>
      </c>
      <c r="B1209" s="38">
        <v>55406.0</v>
      </c>
      <c r="C1209" s="38" t="s">
        <v>2440</v>
      </c>
      <c r="D1209" s="38" t="str">
        <f>IFERROR(__xludf.DUMMYFUNCTION("REGEXREPLACE(C1209,""-\d+(.*)|--\d+(.*)"","""")"),"PINTHEVILLE")</f>
        <v>PINTHEVILLE</v>
      </c>
      <c r="E1209" s="38" t="s">
        <v>322</v>
      </c>
      <c r="F1209" s="38" t="s">
        <v>195</v>
      </c>
      <c r="G1209" s="49" t="str">
        <f t="shared" si="1"/>
        <v>55160</v>
      </c>
      <c r="H1209" s="49">
        <f t="shared" si="2"/>
        <v>55406</v>
      </c>
    </row>
    <row r="1210">
      <c r="A1210" s="48" t="s">
        <v>2296</v>
      </c>
      <c r="B1210" s="38">
        <v>47126.0</v>
      </c>
      <c r="C1210" s="38" t="s">
        <v>2441</v>
      </c>
      <c r="D1210" s="38" t="str">
        <f>IFERROR(__xludf.DUMMYFUNCTION("REGEXREPLACE(C1210,""-\d+(.*)|--\d+(.*)"","""")"),"LACHAPELLE")</f>
        <v>LACHAPELLE</v>
      </c>
      <c r="E1210" s="38" t="s">
        <v>251</v>
      </c>
      <c r="F1210" s="38" t="s">
        <v>252</v>
      </c>
      <c r="G1210" s="49" t="str">
        <f t="shared" si="1"/>
        <v>47350</v>
      </c>
      <c r="H1210" s="49">
        <f t="shared" si="2"/>
        <v>47126</v>
      </c>
    </row>
    <row r="1211">
      <c r="A1211" s="48" t="s">
        <v>966</v>
      </c>
      <c r="B1211" s="38">
        <v>70510.0</v>
      </c>
      <c r="C1211" s="38" t="s">
        <v>2442</v>
      </c>
      <c r="D1211" s="38" t="str">
        <f>IFERROR(__xludf.DUMMYFUNCTION("REGEXREPLACE(C1211,""-\d+(.*)|--\d+(.*)"","""")"),"VADANS")</f>
        <v>VADANS</v>
      </c>
      <c r="E1211" s="38" t="s">
        <v>956</v>
      </c>
      <c r="F1211" s="38" t="s">
        <v>214</v>
      </c>
      <c r="G1211" s="49" t="str">
        <f t="shared" si="1"/>
        <v>70140</v>
      </c>
      <c r="H1211" s="49">
        <f t="shared" si="2"/>
        <v>70510</v>
      </c>
    </row>
    <row r="1212">
      <c r="A1212" s="48" t="s">
        <v>208</v>
      </c>
      <c r="B1212" s="38">
        <v>67280.0</v>
      </c>
      <c r="C1212" s="38" t="s">
        <v>2443</v>
      </c>
      <c r="D1212" s="38" t="str">
        <f>IFERROR(__xludf.DUMMYFUNCTION("REGEXREPLACE(C1212,""-\d+(.*)|--\d+(.*)"","""")"),"MAISONSGOUTTE")</f>
        <v>MAISONSGOUTTE</v>
      </c>
      <c r="E1212" s="38" t="s">
        <v>210</v>
      </c>
      <c r="F1212" s="38" t="s">
        <v>151</v>
      </c>
      <c r="G1212" s="49" t="str">
        <f t="shared" si="1"/>
        <v>67220</v>
      </c>
      <c r="H1212" s="49">
        <f t="shared" si="2"/>
        <v>67280</v>
      </c>
    </row>
    <row r="1213">
      <c r="A1213" s="48" t="s">
        <v>2444</v>
      </c>
      <c r="B1213" s="38">
        <v>68251.0</v>
      </c>
      <c r="C1213" s="38" t="s">
        <v>2445</v>
      </c>
      <c r="D1213" s="38" t="str">
        <f>IFERROR(__xludf.DUMMYFUNCTION("REGEXREPLACE(C1213,""-\d+(.*)|--\d+(.*)"","""")"),"OSENBACH")</f>
        <v>OSENBACH</v>
      </c>
      <c r="E1213" s="38" t="s">
        <v>150</v>
      </c>
      <c r="F1213" s="38" t="s">
        <v>151</v>
      </c>
      <c r="G1213" s="49" t="str">
        <f t="shared" si="1"/>
        <v>68570</v>
      </c>
      <c r="H1213" s="49">
        <f t="shared" si="2"/>
        <v>68251</v>
      </c>
    </row>
    <row r="1214">
      <c r="A1214" s="48" t="s">
        <v>2393</v>
      </c>
      <c r="B1214" s="38">
        <v>38117.0</v>
      </c>
      <c r="C1214" s="38" t="s">
        <v>2446</v>
      </c>
      <c r="D1214" s="38" t="str">
        <f>IFERROR(__xludf.DUMMYFUNCTION("REGEXREPLACE(C1214,""-\d+(.*)|--\d+(.*)"","""")"),"COGNIN-LES-GORGES")</f>
        <v>COGNIN-LES-GORGES</v>
      </c>
      <c r="E1214" s="38" t="s">
        <v>101</v>
      </c>
      <c r="F1214" s="38" t="s">
        <v>102</v>
      </c>
      <c r="G1214" s="49" t="str">
        <f t="shared" si="1"/>
        <v>38470</v>
      </c>
      <c r="H1214" s="49">
        <f t="shared" si="2"/>
        <v>38117</v>
      </c>
    </row>
    <row r="1215">
      <c r="A1215" s="48" t="s">
        <v>2447</v>
      </c>
      <c r="B1215" s="38">
        <v>42027.0</v>
      </c>
      <c r="C1215" s="38" t="s">
        <v>2448</v>
      </c>
      <c r="D1215" s="38" t="str">
        <f>IFERROR(__xludf.DUMMYFUNCTION("REGEXREPLACE(C1215,""-\d+(.*)|--\d+(.*)"","""")"),"BULLY")</f>
        <v>BULLY</v>
      </c>
      <c r="E1215" s="38" t="s">
        <v>166</v>
      </c>
      <c r="F1215" s="38" t="s">
        <v>102</v>
      </c>
      <c r="G1215" s="49" t="str">
        <f t="shared" si="1"/>
        <v>42260</v>
      </c>
      <c r="H1215" s="49">
        <f t="shared" si="2"/>
        <v>42027</v>
      </c>
    </row>
    <row r="1216">
      <c r="A1216" s="48" t="s">
        <v>2449</v>
      </c>
      <c r="B1216" s="38">
        <v>12200.0</v>
      </c>
      <c r="C1216" s="38" t="s">
        <v>2450</v>
      </c>
      <c r="D1216" s="38" t="str">
        <f>IFERROR(__xludf.DUMMYFUNCTION("REGEXREPLACE(C1216,""-\d+(.*)|--\d+(.*)"","""")"),"RIVIERE-SUR-TARN")</f>
        <v>RIVIERE-SUR-TARN</v>
      </c>
      <c r="E1216" s="38" t="s">
        <v>465</v>
      </c>
      <c r="F1216" s="38" t="s">
        <v>94</v>
      </c>
      <c r="G1216" s="49" t="str">
        <f t="shared" si="1"/>
        <v>12640</v>
      </c>
      <c r="H1216" s="49">
        <f t="shared" si="2"/>
        <v>12200</v>
      </c>
    </row>
    <row r="1217">
      <c r="A1217" s="48" t="s">
        <v>2451</v>
      </c>
      <c r="B1217" s="38">
        <v>31261.0</v>
      </c>
      <c r="C1217" s="38" t="s">
        <v>2452</v>
      </c>
      <c r="D1217" s="38" t="str">
        <f>IFERROR(__xludf.DUMMYFUNCTION("REGEXREPLACE(C1217,""-\d+(.*)|--\d+(.*)"","""")"),"LAFITTE-VIGORDANE")</f>
        <v>LAFITTE-VIGORDANE</v>
      </c>
      <c r="E1217" s="38" t="s">
        <v>93</v>
      </c>
      <c r="F1217" s="38" t="s">
        <v>94</v>
      </c>
      <c r="G1217" s="49" t="str">
        <f t="shared" si="1"/>
        <v>31390</v>
      </c>
      <c r="H1217" s="49">
        <f t="shared" si="2"/>
        <v>31261</v>
      </c>
    </row>
    <row r="1218">
      <c r="A1218" s="48" t="s">
        <v>2453</v>
      </c>
      <c r="B1218" s="38">
        <v>17369.0</v>
      </c>
      <c r="C1218" s="38" t="s">
        <v>2454</v>
      </c>
      <c r="D1218" s="38" t="str">
        <f>IFERROR(__xludf.DUMMYFUNCTION("REGEXREPLACE(C1218,""-\d+(.*)|--\d+(.*)"","""")"),"SAINT-MARTIN-DE-RE")</f>
        <v>SAINT-MARTIN-DE-RE</v>
      </c>
      <c r="E1218" s="38" t="s">
        <v>488</v>
      </c>
      <c r="F1218" s="38" t="s">
        <v>338</v>
      </c>
      <c r="G1218" s="49" t="str">
        <f t="shared" si="1"/>
        <v>17410</v>
      </c>
      <c r="H1218" s="49">
        <f t="shared" si="2"/>
        <v>17369</v>
      </c>
    </row>
    <row r="1219">
      <c r="A1219" s="48" t="s">
        <v>2455</v>
      </c>
      <c r="B1219" s="38">
        <v>73176.0</v>
      </c>
      <c r="C1219" s="38" t="s">
        <v>2456</v>
      </c>
      <c r="D1219" s="38" t="str">
        <f>IFERROR(__xludf.DUMMYFUNCTION("REGEXREPLACE(C1219,""-\d+(.*)|--\d+(.*)"","""")"),"MONTVALEZAN")</f>
        <v>MONTVALEZAN</v>
      </c>
      <c r="E1219" s="38" t="s">
        <v>306</v>
      </c>
      <c r="F1219" s="38" t="s">
        <v>102</v>
      </c>
      <c r="G1219" s="49" t="str">
        <f t="shared" si="1"/>
        <v>73700</v>
      </c>
      <c r="H1219" s="49">
        <f t="shared" si="2"/>
        <v>73176</v>
      </c>
    </row>
    <row r="1220">
      <c r="A1220" s="48" t="s">
        <v>2457</v>
      </c>
      <c r="B1220" s="38">
        <v>17384.0</v>
      </c>
      <c r="C1220" s="38" t="s">
        <v>2458</v>
      </c>
      <c r="D1220" s="38" t="str">
        <f>IFERROR(__xludf.DUMMYFUNCTION("REGEXREPLACE(C1220,""-\d+(.*)|--\d+(.*)"","""")"),"SAINT-PIERRE-DE-L'ISLE")</f>
        <v>SAINT-PIERRE-DE-L'ISLE</v>
      </c>
      <c r="E1220" s="38" t="s">
        <v>488</v>
      </c>
      <c r="F1220" s="38" t="s">
        <v>338</v>
      </c>
      <c r="G1220" s="49" t="str">
        <f t="shared" si="1"/>
        <v>17330</v>
      </c>
      <c r="H1220" s="49">
        <f t="shared" si="2"/>
        <v>17384</v>
      </c>
    </row>
    <row r="1221">
      <c r="A1221" s="48" t="s">
        <v>2459</v>
      </c>
      <c r="B1221" s="38" t="s">
        <v>2460</v>
      </c>
      <c r="C1221" s="38" t="s">
        <v>2461</v>
      </c>
      <c r="D1221" s="38" t="str">
        <f>IFERROR(__xludf.DUMMYFUNCTION("REGEXREPLACE(C1221,""-\d+(.*)|--\d+(.*)"","""")"),"SAN-DAMIANO")</f>
        <v>SAN-DAMIANO</v>
      </c>
      <c r="E1221" s="38" t="s">
        <v>743</v>
      </c>
      <c r="F1221" s="38" t="s">
        <v>607</v>
      </c>
      <c r="G1221" s="49" t="str">
        <f t="shared" si="1"/>
        <v>20213</v>
      </c>
      <c r="H1221" s="49" t="str">
        <f t="shared" si="2"/>
        <v>2B297</v>
      </c>
    </row>
    <row r="1222">
      <c r="A1222" s="48" t="s">
        <v>2462</v>
      </c>
      <c r="B1222" s="38">
        <v>1386.0</v>
      </c>
      <c r="C1222" s="38" t="s">
        <v>2463</v>
      </c>
      <c r="D1222" s="38" t="str">
        <f>IFERROR(__xludf.DUMMYFUNCTION("REGEXREPLACE(C1222,""-\d+(.*)|--\d+(.*)"","""")"),"SAINT-SORLIN-EN-BUGEY")</f>
        <v>SAINT-SORLIN-EN-BUGEY</v>
      </c>
      <c r="E1222" s="38" t="s">
        <v>255</v>
      </c>
      <c r="F1222" s="38" t="s">
        <v>102</v>
      </c>
      <c r="G1222" s="49" t="str">
        <f t="shared" si="1"/>
        <v>01150</v>
      </c>
      <c r="H1222" s="49" t="str">
        <f t="shared" si="2"/>
        <v>01386</v>
      </c>
    </row>
    <row r="1223">
      <c r="A1223" s="48" t="s">
        <v>1104</v>
      </c>
      <c r="B1223" s="38">
        <v>52284.0</v>
      </c>
      <c r="C1223" s="38" t="s">
        <v>2464</v>
      </c>
      <c r="D1223" s="38" t="str">
        <f>IFERROR(__xludf.DUMMYFUNCTION("REGEXREPLACE(C1223,""-\d+(.*)|--\d+(.*)"","""")"),"LESCHERES-SUR-LE-BLAISERON")</f>
        <v>LESCHERES-SUR-LE-BLAISERON</v>
      </c>
      <c r="E1223" s="38" t="s">
        <v>234</v>
      </c>
      <c r="F1223" s="38" t="s">
        <v>130</v>
      </c>
      <c r="G1223" s="49" t="str">
        <f t="shared" si="1"/>
        <v>52110</v>
      </c>
      <c r="H1223" s="49">
        <f t="shared" si="2"/>
        <v>52284</v>
      </c>
    </row>
    <row r="1224">
      <c r="A1224" s="48" t="s">
        <v>2465</v>
      </c>
      <c r="B1224" s="38">
        <v>35354.0</v>
      </c>
      <c r="C1224" s="38" t="s">
        <v>2466</v>
      </c>
      <c r="D1224" s="38" t="str">
        <f>IFERROR(__xludf.DUMMYFUNCTION("REGEXREPLACE(C1224,""-\d+(.*)|--\d+(.*)"","""")"),"VIEUX-VIEL")</f>
        <v>VIEUX-VIEL</v>
      </c>
      <c r="E1224" s="38" t="s">
        <v>347</v>
      </c>
      <c r="F1224" s="38" t="s">
        <v>90</v>
      </c>
      <c r="G1224" s="49" t="str">
        <f t="shared" si="1"/>
        <v>35610</v>
      </c>
      <c r="H1224" s="49">
        <f t="shared" si="2"/>
        <v>35354</v>
      </c>
    </row>
    <row r="1225">
      <c r="A1225" s="48" t="s">
        <v>2467</v>
      </c>
      <c r="B1225" s="38">
        <v>35147.0</v>
      </c>
      <c r="C1225" s="38" t="s">
        <v>2468</v>
      </c>
      <c r="D1225" s="38" t="str">
        <f>IFERROR(__xludf.DUMMYFUNCTION("REGEXREPLACE(C1225,""-\d+(.*)|--\d+(.*)"","""")"),"LANHELIN")</f>
        <v>LANHELIN</v>
      </c>
      <c r="E1225" s="38" t="s">
        <v>347</v>
      </c>
      <c r="F1225" s="38" t="s">
        <v>90</v>
      </c>
      <c r="G1225" s="49" t="str">
        <f t="shared" si="1"/>
        <v>35720</v>
      </c>
      <c r="H1225" s="49">
        <f t="shared" si="2"/>
        <v>35147</v>
      </c>
    </row>
    <row r="1226">
      <c r="A1226" s="48" t="s">
        <v>2469</v>
      </c>
      <c r="B1226" s="38">
        <v>8429.0</v>
      </c>
      <c r="C1226" s="38" t="s">
        <v>2470</v>
      </c>
      <c r="D1226" s="38" t="str">
        <f>IFERROR(__xludf.DUMMYFUNCTION("REGEXREPLACE(C1226,""-\d+(.*)|--\d+(.*)"","""")"),"SORMONNE")</f>
        <v>SORMONNE</v>
      </c>
      <c r="E1226" s="38" t="s">
        <v>327</v>
      </c>
      <c r="F1226" s="38" t="s">
        <v>130</v>
      </c>
      <c r="G1226" s="49" t="str">
        <f t="shared" si="1"/>
        <v>08150</v>
      </c>
      <c r="H1226" s="49" t="str">
        <f t="shared" si="2"/>
        <v>08429</v>
      </c>
    </row>
    <row r="1227">
      <c r="A1227" s="48" t="s">
        <v>2471</v>
      </c>
      <c r="B1227" s="38">
        <v>11262.0</v>
      </c>
      <c r="C1227" s="38" t="s">
        <v>2472</v>
      </c>
      <c r="D1227" s="38" t="str">
        <f>IFERROR(__xludf.DUMMYFUNCTION("REGEXREPLACE(C1227,""-\d+(.*)|--\d+(.*)"","""")"),"NARBONNE")</f>
        <v>NARBONNE</v>
      </c>
      <c r="E1227" s="38" t="s">
        <v>278</v>
      </c>
      <c r="F1227" s="38" t="s">
        <v>119</v>
      </c>
      <c r="G1227" s="49" t="str">
        <f t="shared" si="1"/>
        <v>11100</v>
      </c>
      <c r="H1227" s="49">
        <f t="shared" si="2"/>
        <v>11262</v>
      </c>
    </row>
    <row r="1228">
      <c r="A1228" s="48" t="s">
        <v>2473</v>
      </c>
      <c r="B1228" s="38">
        <v>69236.0</v>
      </c>
      <c r="C1228" s="38" t="s">
        <v>2474</v>
      </c>
      <c r="D1228" s="38" t="str">
        <f>IFERROR(__xludf.DUMMYFUNCTION("REGEXREPLACE(C1228,""-\d+(.*)|--\d+(.*)"","""")"),"SAINT-ROMAIN-EN-GIER")</f>
        <v>SAINT-ROMAIN-EN-GIER</v>
      </c>
      <c r="E1228" s="38" t="s">
        <v>350</v>
      </c>
      <c r="F1228" s="38" t="s">
        <v>102</v>
      </c>
      <c r="G1228" s="49" t="str">
        <f t="shared" si="1"/>
        <v>69700</v>
      </c>
      <c r="H1228" s="49">
        <f t="shared" si="2"/>
        <v>69236</v>
      </c>
    </row>
    <row r="1229">
      <c r="A1229" s="48" t="s">
        <v>2475</v>
      </c>
      <c r="B1229" s="38">
        <v>25108.0</v>
      </c>
      <c r="C1229" s="38" t="s">
        <v>2476</v>
      </c>
      <c r="D1229" s="38" t="str">
        <f>IFERROR(__xludf.DUMMYFUNCTION("REGEXREPLACE(C1229,""-\d+(.*)|--\d+(.*)"","""")"),"CERNAY-L'EGLISE")</f>
        <v>CERNAY-L'EGLISE</v>
      </c>
      <c r="E1229" s="38" t="s">
        <v>213</v>
      </c>
      <c r="F1229" s="38" t="s">
        <v>214</v>
      </c>
      <c r="G1229" s="49" t="str">
        <f t="shared" si="1"/>
        <v>25120</v>
      </c>
      <c r="H1229" s="49">
        <f t="shared" si="2"/>
        <v>25108</v>
      </c>
    </row>
    <row r="1230">
      <c r="A1230" s="48" t="s">
        <v>2477</v>
      </c>
      <c r="B1230" s="38">
        <v>76635.0</v>
      </c>
      <c r="C1230" s="38" t="s">
        <v>2478</v>
      </c>
      <c r="D1230" s="38" t="str">
        <f>IFERROR(__xludf.DUMMYFUNCTION("REGEXREPLACE(C1230,""-\d+(.*)|--\d+(.*)"","""")"),"SAINT-PIERRE-DES-JONQUIERES")</f>
        <v>SAINT-PIERRE-DES-JONQUIERES</v>
      </c>
      <c r="E1230" s="38" t="s">
        <v>133</v>
      </c>
      <c r="F1230" s="38" t="s">
        <v>134</v>
      </c>
      <c r="G1230" s="49" t="str">
        <f t="shared" si="1"/>
        <v>76660</v>
      </c>
      <c r="H1230" s="49">
        <f t="shared" si="2"/>
        <v>76635</v>
      </c>
    </row>
    <row r="1231">
      <c r="A1231" s="48" t="s">
        <v>2479</v>
      </c>
      <c r="B1231" s="38">
        <v>45321.0</v>
      </c>
      <c r="C1231" s="38" t="s">
        <v>2480</v>
      </c>
      <c r="D1231" s="38" t="str">
        <f>IFERROR(__xludf.DUMMYFUNCTION("REGEXREPLACE(C1231,""-\d+(.*)|--\d+(.*)"","""")"),"THIMORY")</f>
        <v>THIMORY</v>
      </c>
      <c r="E1231" s="38" t="s">
        <v>122</v>
      </c>
      <c r="F1231" s="38" t="s">
        <v>123</v>
      </c>
      <c r="G1231" s="49" t="str">
        <f t="shared" si="1"/>
        <v>45260</v>
      </c>
      <c r="H1231" s="49">
        <f t="shared" si="2"/>
        <v>45321</v>
      </c>
    </row>
    <row r="1232">
      <c r="A1232" s="48" t="s">
        <v>454</v>
      </c>
      <c r="B1232" s="38">
        <v>71262.0</v>
      </c>
      <c r="C1232" s="38" t="s">
        <v>2481</v>
      </c>
      <c r="D1232" s="38" t="str">
        <f>IFERROR(__xludf.DUMMYFUNCTION("REGEXREPLACE(C1232,""-\d+(.*)|--\d+(.*)"","""")"),"LONGEPIERRE")</f>
        <v>LONGEPIERRE</v>
      </c>
      <c r="E1232" s="38" t="s">
        <v>344</v>
      </c>
      <c r="F1232" s="38" t="s">
        <v>106</v>
      </c>
      <c r="G1232" s="49" t="str">
        <f t="shared" si="1"/>
        <v>71270</v>
      </c>
      <c r="H1232" s="49">
        <f t="shared" si="2"/>
        <v>71262</v>
      </c>
    </row>
    <row r="1233">
      <c r="A1233" s="48" t="s">
        <v>2482</v>
      </c>
      <c r="B1233" s="38">
        <v>28175.0</v>
      </c>
      <c r="C1233" s="38" t="s">
        <v>2483</v>
      </c>
      <c r="D1233" s="38" t="str">
        <f>IFERROR(__xludf.DUMMYFUNCTION("REGEXREPLACE(C1233,""-\d+(.*)|--\d+(.*)"","""")"),"LA GAUDAINE")</f>
        <v>LA GAUDAINE</v>
      </c>
      <c r="E1233" s="38" t="s">
        <v>300</v>
      </c>
      <c r="F1233" s="38" t="s">
        <v>123</v>
      </c>
      <c r="G1233" s="49" t="str">
        <f t="shared" si="1"/>
        <v>28400</v>
      </c>
      <c r="H1233" s="49">
        <f t="shared" si="2"/>
        <v>28175</v>
      </c>
    </row>
    <row r="1234">
      <c r="A1234" s="48" t="s">
        <v>1949</v>
      </c>
      <c r="B1234" s="38">
        <v>32056.0</v>
      </c>
      <c r="C1234" s="38" t="s">
        <v>2484</v>
      </c>
      <c r="D1234" s="38" t="str">
        <f>IFERROR(__xludf.DUMMYFUNCTION("REGEXREPLACE(C1234,""-\d+(.*)|--\d+(.*)"","""")"),"BLANQUEFORT")</f>
        <v>BLANQUEFORT</v>
      </c>
      <c r="E1234" s="38" t="s">
        <v>440</v>
      </c>
      <c r="F1234" s="38" t="s">
        <v>94</v>
      </c>
      <c r="G1234" s="49" t="str">
        <f t="shared" si="1"/>
        <v>32270</v>
      </c>
      <c r="H1234" s="49">
        <f t="shared" si="2"/>
        <v>32056</v>
      </c>
    </row>
    <row r="1235">
      <c r="A1235" s="48" t="s">
        <v>2485</v>
      </c>
      <c r="B1235" s="38">
        <v>78349.0</v>
      </c>
      <c r="C1235" s="38" t="s">
        <v>2486</v>
      </c>
      <c r="D1235" s="38" t="str">
        <f>IFERROR(__xludf.DUMMYFUNCTION("REGEXREPLACE(C1235,""-\d+(.*)|--\d+(.*)"","""")"),"LONGVILLIERS")</f>
        <v>LONGVILLIERS</v>
      </c>
      <c r="E1235" s="38" t="s">
        <v>362</v>
      </c>
      <c r="F1235" s="38" t="s">
        <v>245</v>
      </c>
      <c r="G1235" s="49" t="str">
        <f t="shared" si="1"/>
        <v>78730</v>
      </c>
      <c r="H1235" s="49">
        <f t="shared" si="2"/>
        <v>78349</v>
      </c>
    </row>
    <row r="1236">
      <c r="A1236" s="48" t="s">
        <v>2487</v>
      </c>
      <c r="B1236" s="38">
        <v>70113.0</v>
      </c>
      <c r="C1236" s="38" t="s">
        <v>2488</v>
      </c>
      <c r="D1236" s="38" t="str">
        <f>IFERROR(__xludf.DUMMYFUNCTION("REGEXREPLACE(C1236,""-\d+(.*)|--\d+(.*)"","""")"),"CENANS")</f>
        <v>CENANS</v>
      </c>
      <c r="E1236" s="38" t="s">
        <v>956</v>
      </c>
      <c r="F1236" s="38" t="s">
        <v>214</v>
      </c>
      <c r="G1236" s="49" t="str">
        <f t="shared" si="1"/>
        <v>70230</v>
      </c>
      <c r="H1236" s="49">
        <f t="shared" si="2"/>
        <v>70113</v>
      </c>
    </row>
    <row r="1237">
      <c r="A1237" s="48" t="s">
        <v>2489</v>
      </c>
      <c r="B1237" s="38">
        <v>13102.0</v>
      </c>
      <c r="C1237" s="38" t="s">
        <v>2490</v>
      </c>
      <c r="D1237" s="38" t="str">
        <f>IFERROR(__xludf.DUMMYFUNCTION("REGEXREPLACE(C1237,""-\d+(.*)|--\d+(.*)"","""")"),"SAINT-VICTORET")</f>
        <v>SAINT-VICTORET</v>
      </c>
      <c r="E1237" s="38" t="s">
        <v>980</v>
      </c>
      <c r="F1237" s="38" t="s">
        <v>228</v>
      </c>
      <c r="G1237" s="49" t="str">
        <f t="shared" si="1"/>
        <v>13730</v>
      </c>
      <c r="H1237" s="49">
        <f t="shared" si="2"/>
        <v>13102</v>
      </c>
    </row>
    <row r="1238">
      <c r="A1238" s="48" t="s">
        <v>2491</v>
      </c>
      <c r="B1238" s="38">
        <v>46311.0</v>
      </c>
      <c r="C1238" s="38" t="s">
        <v>2492</v>
      </c>
      <c r="D1238" s="38" t="str">
        <f>IFERROR(__xludf.DUMMYFUNCTION("REGEXREPLACE(C1238,""-\d+(.*)|--\d+(.*)"","""")"),"SOUSCEYRAC")</f>
        <v>SOUSCEYRAC</v>
      </c>
      <c r="E1238" s="38" t="s">
        <v>185</v>
      </c>
      <c r="F1238" s="38" t="s">
        <v>94</v>
      </c>
      <c r="G1238" s="49" t="str">
        <f t="shared" si="1"/>
        <v>46190</v>
      </c>
      <c r="H1238" s="49">
        <f t="shared" si="2"/>
        <v>46311</v>
      </c>
    </row>
    <row r="1239">
      <c r="A1239" s="48" t="s">
        <v>2493</v>
      </c>
      <c r="B1239" s="38">
        <v>25406.0</v>
      </c>
      <c r="C1239" s="38" t="s">
        <v>2494</v>
      </c>
      <c r="D1239" s="38" t="str">
        <f>IFERROR(__xludf.DUMMYFUNCTION("REGEXREPLACE(C1239,""-\d+(.*)|--\d+(.*)"","""")"),"MONTROND-LE-CHATEAU")</f>
        <v>MONTROND-LE-CHATEAU</v>
      </c>
      <c r="E1239" s="38" t="s">
        <v>213</v>
      </c>
      <c r="F1239" s="38" t="s">
        <v>214</v>
      </c>
      <c r="G1239" s="49" t="str">
        <f t="shared" si="1"/>
        <v>25660</v>
      </c>
      <c r="H1239" s="49">
        <f t="shared" si="2"/>
        <v>25406</v>
      </c>
    </row>
    <row r="1240">
      <c r="A1240" s="48" t="s">
        <v>2495</v>
      </c>
      <c r="B1240" s="38">
        <v>41246.0</v>
      </c>
      <c r="C1240" s="38" t="s">
        <v>2496</v>
      </c>
      <c r="D1240" s="38" t="str">
        <f>IFERROR(__xludf.DUMMYFUNCTION("REGEXREPLACE(C1240,""-\d+(.*)|--\d+(.*)"","""")"),"SEUR")</f>
        <v>SEUR</v>
      </c>
      <c r="E1240" s="38" t="s">
        <v>188</v>
      </c>
      <c r="F1240" s="38" t="s">
        <v>123</v>
      </c>
      <c r="G1240" s="49" t="str">
        <f t="shared" si="1"/>
        <v>41120</v>
      </c>
      <c r="H1240" s="49">
        <f t="shared" si="2"/>
        <v>41246</v>
      </c>
    </row>
    <row r="1241">
      <c r="A1241" s="48" t="s">
        <v>2497</v>
      </c>
      <c r="B1241" s="38">
        <v>56027.0</v>
      </c>
      <c r="C1241" s="38" t="s">
        <v>2498</v>
      </c>
      <c r="D1241" s="38" t="str">
        <f>IFERROR(__xludf.DUMMYFUNCTION("REGEXREPLACE(C1241,""-\d+(.*)|--\d+(.*)"","""")"),"BULEON")</f>
        <v>BULEON</v>
      </c>
      <c r="E1241" s="38" t="s">
        <v>173</v>
      </c>
      <c r="F1241" s="38" t="s">
        <v>90</v>
      </c>
      <c r="G1241" s="49" t="str">
        <f t="shared" si="1"/>
        <v>56420</v>
      </c>
      <c r="H1241" s="49">
        <f t="shared" si="2"/>
        <v>56027</v>
      </c>
    </row>
    <row r="1242">
      <c r="A1242" s="48" t="s">
        <v>557</v>
      </c>
      <c r="B1242" s="38">
        <v>16322.0</v>
      </c>
      <c r="C1242" s="38" t="s">
        <v>2499</v>
      </c>
      <c r="D1242" s="38" t="str">
        <f>IFERROR(__xludf.DUMMYFUNCTION("REGEXREPLACE(C1242,""-\d+(.*)|--\d+(.*)"","""")"),"SAINT-GERMAIN-DE-CONFOLENS")</f>
        <v>SAINT-GERMAIN-DE-CONFOLENS</v>
      </c>
      <c r="E1242" s="38" t="s">
        <v>429</v>
      </c>
      <c r="F1242" s="38" t="s">
        <v>338</v>
      </c>
      <c r="G1242" s="49" t="str">
        <f t="shared" si="1"/>
        <v>16500</v>
      </c>
      <c r="H1242" s="49">
        <f t="shared" si="2"/>
        <v>16322</v>
      </c>
    </row>
    <row r="1243">
      <c r="A1243" s="48" t="s">
        <v>522</v>
      </c>
      <c r="B1243" s="38">
        <v>39554.0</v>
      </c>
      <c r="C1243" s="38" t="s">
        <v>2500</v>
      </c>
      <c r="D1243" s="38" t="str">
        <f>IFERROR(__xludf.DUMMYFUNCTION("REGEXREPLACE(C1243,""-\d+(.*)|--\d+(.*)"","""")"),"VERS-EN-MONTAGNE")</f>
        <v>VERS-EN-MONTAGNE</v>
      </c>
      <c r="E1243" s="38" t="s">
        <v>400</v>
      </c>
      <c r="F1243" s="38" t="s">
        <v>214</v>
      </c>
      <c r="G1243" s="49" t="str">
        <f t="shared" si="1"/>
        <v>39300</v>
      </c>
      <c r="H1243" s="49">
        <f t="shared" si="2"/>
        <v>39554</v>
      </c>
    </row>
    <row r="1244">
      <c r="A1244" s="48" t="s">
        <v>2501</v>
      </c>
      <c r="B1244" s="38">
        <v>31389.0</v>
      </c>
      <c r="C1244" s="38" t="s">
        <v>2502</v>
      </c>
      <c r="D1244" s="38" t="str">
        <f>IFERROR(__xludf.DUMMYFUNCTION("REGEXREPLACE(C1244,""-\d+(.*)|--\d+(.*)"","""")"),"MONTRABE")</f>
        <v>MONTRABE</v>
      </c>
      <c r="E1244" s="38" t="s">
        <v>93</v>
      </c>
      <c r="F1244" s="38" t="s">
        <v>94</v>
      </c>
      <c r="G1244" s="49" t="str">
        <f t="shared" si="1"/>
        <v>31850</v>
      </c>
      <c r="H1244" s="49">
        <f t="shared" si="2"/>
        <v>31389</v>
      </c>
    </row>
    <row r="1245">
      <c r="A1245" s="48" t="s">
        <v>2503</v>
      </c>
      <c r="B1245" s="38">
        <v>33047.0</v>
      </c>
      <c r="C1245" s="38" t="s">
        <v>2504</v>
      </c>
      <c r="D1245" s="38" t="str">
        <f>IFERROR(__xludf.DUMMYFUNCTION("REGEXREPLACE(C1245,""-\d+(.*)|--\d+(.*)"","""")"),"BERSON")</f>
        <v>BERSON</v>
      </c>
      <c r="E1245" s="38" t="s">
        <v>462</v>
      </c>
      <c r="F1245" s="38" t="s">
        <v>252</v>
      </c>
      <c r="G1245" s="49" t="str">
        <f t="shared" si="1"/>
        <v>33390</v>
      </c>
      <c r="H1245" s="49">
        <f t="shared" si="2"/>
        <v>33047</v>
      </c>
    </row>
    <row r="1246">
      <c r="A1246" s="48" t="s">
        <v>1483</v>
      </c>
      <c r="B1246" s="38">
        <v>80163.0</v>
      </c>
      <c r="C1246" s="38" t="s">
        <v>2505</v>
      </c>
      <c r="D1246" s="38" t="str">
        <f>IFERROR(__xludf.DUMMYFUNCTION("REGEXREPLACE(C1246,""-\d+(.*)|--\d+(.*)"","""")"),"CAMBRON")</f>
        <v>CAMBRON</v>
      </c>
      <c r="E1246" s="38" t="s">
        <v>224</v>
      </c>
      <c r="F1246" s="38" t="s">
        <v>113</v>
      </c>
      <c r="G1246" s="49" t="str">
        <f t="shared" si="1"/>
        <v>80132</v>
      </c>
      <c r="H1246" s="49">
        <f t="shared" si="2"/>
        <v>80163</v>
      </c>
    </row>
    <row r="1247">
      <c r="A1247" s="48" t="s">
        <v>2506</v>
      </c>
      <c r="B1247" s="38">
        <v>80237.0</v>
      </c>
      <c r="C1247" s="38" t="s">
        <v>2507</v>
      </c>
      <c r="D1247" s="38" t="str">
        <f>IFERROR(__xludf.DUMMYFUNCTION("REGEXREPLACE(C1247,""-\d+(.*)|--\d+(.*)"","""")"),"DEMUIN")</f>
        <v>DEMUIN</v>
      </c>
      <c r="E1247" s="38" t="s">
        <v>224</v>
      </c>
      <c r="F1247" s="38" t="s">
        <v>113</v>
      </c>
      <c r="G1247" s="49" t="str">
        <f t="shared" si="1"/>
        <v>80110</v>
      </c>
      <c r="H1247" s="49">
        <f t="shared" si="2"/>
        <v>80237</v>
      </c>
    </row>
    <row r="1248">
      <c r="A1248" s="48" t="s">
        <v>2508</v>
      </c>
      <c r="B1248" s="38">
        <v>1005.0</v>
      </c>
      <c r="C1248" s="38" t="s">
        <v>2509</v>
      </c>
      <c r="D1248" s="38" t="str">
        <f>IFERROR(__xludf.DUMMYFUNCTION("REGEXREPLACE(C1248,""-\d+(.*)|--\d+(.*)"","""")"),"AMBERIEUX-EN-DOMBES")</f>
        <v>AMBERIEUX-EN-DOMBES</v>
      </c>
      <c r="E1248" s="38" t="s">
        <v>255</v>
      </c>
      <c r="F1248" s="38" t="s">
        <v>102</v>
      </c>
      <c r="G1248" s="49" t="str">
        <f t="shared" si="1"/>
        <v>01330</v>
      </c>
      <c r="H1248" s="49" t="str">
        <f t="shared" si="2"/>
        <v>01005</v>
      </c>
    </row>
    <row r="1249">
      <c r="A1249" s="48" t="s">
        <v>2510</v>
      </c>
      <c r="B1249" s="38">
        <v>22028.0</v>
      </c>
      <c r="C1249" s="38" t="s">
        <v>2511</v>
      </c>
      <c r="D1249" s="38" t="str">
        <f>IFERROR(__xludf.DUMMYFUNCTION("REGEXREPLACE(C1249,""-\d+(.*)|--\d+(.*)"","""")"),"CAMLEZ")</f>
        <v>CAMLEZ</v>
      </c>
      <c r="E1249" s="38" t="s">
        <v>89</v>
      </c>
      <c r="F1249" s="38" t="s">
        <v>90</v>
      </c>
      <c r="G1249" s="49" t="str">
        <f t="shared" si="1"/>
        <v>22450</v>
      </c>
      <c r="H1249" s="49">
        <f t="shared" si="2"/>
        <v>22028</v>
      </c>
    </row>
    <row r="1250">
      <c r="A1250" s="48" t="s">
        <v>2512</v>
      </c>
      <c r="B1250" s="38">
        <v>57340.0</v>
      </c>
      <c r="C1250" s="38" t="s">
        <v>2513</v>
      </c>
      <c r="D1250" s="38" t="str">
        <f>IFERROR(__xludf.DUMMYFUNCTION("REGEXREPLACE(C1250,""-\d+(.*)|--\d+(.*)"","""")"),"HUNDLING")</f>
        <v>HUNDLING</v>
      </c>
      <c r="E1250" s="38" t="s">
        <v>303</v>
      </c>
      <c r="F1250" s="38" t="s">
        <v>195</v>
      </c>
      <c r="G1250" s="49" t="str">
        <f t="shared" si="1"/>
        <v>57990</v>
      </c>
      <c r="H1250" s="49">
        <f t="shared" si="2"/>
        <v>57340</v>
      </c>
    </row>
    <row r="1251">
      <c r="A1251" s="48" t="s">
        <v>328</v>
      </c>
      <c r="B1251" s="38">
        <v>2131.0</v>
      </c>
      <c r="C1251" s="38" t="s">
        <v>2514</v>
      </c>
      <c r="D1251" s="38" t="str">
        <f>IFERROR(__xludf.DUMMYFUNCTION("REGEXREPLACE(C1251,""-\d+(.*)|--\d+(.*)"","""")"),"BUCY-LE-LONG")</f>
        <v>BUCY-LE-LONG</v>
      </c>
      <c r="E1251" s="38" t="s">
        <v>191</v>
      </c>
      <c r="F1251" s="38" t="s">
        <v>113</v>
      </c>
      <c r="G1251" s="49" t="str">
        <f t="shared" si="1"/>
        <v>02880</v>
      </c>
      <c r="H1251" s="49" t="str">
        <f t="shared" si="2"/>
        <v>02131</v>
      </c>
    </row>
    <row r="1252">
      <c r="A1252" s="48" t="s">
        <v>2515</v>
      </c>
      <c r="B1252" s="38">
        <v>87023.0</v>
      </c>
      <c r="C1252" s="38" t="s">
        <v>2516</v>
      </c>
      <c r="D1252" s="38" t="str">
        <f>IFERROR(__xludf.DUMMYFUNCTION("REGEXREPLACE(C1252,""-\d+(.*)|--\d+(.*)"","""")"),"LE BUIS")</f>
        <v>LE BUIS</v>
      </c>
      <c r="E1252" s="38" t="s">
        <v>897</v>
      </c>
      <c r="F1252" s="38" t="s">
        <v>98</v>
      </c>
      <c r="G1252" s="49" t="str">
        <f t="shared" si="1"/>
        <v>87140</v>
      </c>
      <c r="H1252" s="49">
        <f t="shared" si="2"/>
        <v>87023</v>
      </c>
    </row>
    <row r="1253">
      <c r="A1253" s="48" t="s">
        <v>2517</v>
      </c>
      <c r="B1253" s="38">
        <v>6097.0</v>
      </c>
      <c r="C1253" s="38" t="s">
        <v>2518</v>
      </c>
      <c r="D1253" s="38" t="str">
        <f>IFERROR(__xludf.DUMMYFUNCTION("REGEXREPLACE(C1253,""-\d+(.*)|--\d+(.*)"","""")"),"PIERREFEU")</f>
        <v>PIERREFEU</v>
      </c>
      <c r="E1253" s="38" t="s">
        <v>227</v>
      </c>
      <c r="F1253" s="38" t="s">
        <v>228</v>
      </c>
      <c r="G1253" s="49" t="str">
        <f t="shared" si="1"/>
        <v>06910</v>
      </c>
      <c r="H1253" s="49" t="str">
        <f t="shared" si="2"/>
        <v>06097</v>
      </c>
    </row>
    <row r="1254">
      <c r="A1254" s="48" t="s">
        <v>2519</v>
      </c>
      <c r="B1254" s="38">
        <v>80681.0</v>
      </c>
      <c r="C1254" s="38" t="s">
        <v>2520</v>
      </c>
      <c r="D1254" s="38" t="str">
        <f>IFERROR(__xludf.DUMMYFUNCTION("REGEXREPLACE(C1254,""-\d+(.*)|--\d+(.*)"","""")"),"ROUVREL")</f>
        <v>ROUVREL</v>
      </c>
      <c r="E1254" s="38" t="s">
        <v>224</v>
      </c>
      <c r="F1254" s="38" t="s">
        <v>113</v>
      </c>
      <c r="G1254" s="49" t="str">
        <f t="shared" si="1"/>
        <v>80250</v>
      </c>
      <c r="H1254" s="49">
        <f t="shared" si="2"/>
        <v>80681</v>
      </c>
    </row>
    <row r="1255">
      <c r="A1255" s="48" t="s">
        <v>2521</v>
      </c>
      <c r="B1255" s="38">
        <v>28169.0</v>
      </c>
      <c r="C1255" s="38" t="s">
        <v>2522</v>
      </c>
      <c r="D1255" s="38" t="str">
        <f>IFERROR(__xludf.DUMMYFUNCTION("REGEXREPLACE(C1255,""-\d+(.*)|--\d+(.*)"","""")"),"GARANCIERES-EN-BEAUCE")</f>
        <v>GARANCIERES-EN-BEAUCE</v>
      </c>
      <c r="E1255" s="38" t="s">
        <v>300</v>
      </c>
      <c r="F1255" s="38" t="s">
        <v>123</v>
      </c>
      <c r="G1255" s="49" t="str">
        <f t="shared" si="1"/>
        <v>28700</v>
      </c>
      <c r="H1255" s="49">
        <f t="shared" si="2"/>
        <v>28169</v>
      </c>
    </row>
    <row r="1256">
      <c r="A1256" s="48" t="s">
        <v>2523</v>
      </c>
      <c r="B1256" s="38">
        <v>46204.0</v>
      </c>
      <c r="C1256" s="38" t="s">
        <v>2524</v>
      </c>
      <c r="D1256" s="38" t="str">
        <f>IFERROR(__xludf.DUMMYFUNCTION("REGEXREPLACE(C1256,""-\d+(.*)|--\d+(.*)"","""")"),"MONTFAUCON")</f>
        <v>MONTFAUCON</v>
      </c>
      <c r="E1256" s="38" t="s">
        <v>185</v>
      </c>
      <c r="F1256" s="38" t="s">
        <v>94</v>
      </c>
      <c r="G1256" s="49" t="str">
        <f t="shared" si="1"/>
        <v>46240</v>
      </c>
      <c r="H1256" s="49">
        <f t="shared" si="2"/>
        <v>46204</v>
      </c>
    </row>
    <row r="1257">
      <c r="A1257" s="48" t="s">
        <v>1293</v>
      </c>
      <c r="B1257" s="38">
        <v>25595.0</v>
      </c>
      <c r="C1257" s="38" t="s">
        <v>2525</v>
      </c>
      <c r="D1257" s="38" t="str">
        <f>IFERROR(__xludf.DUMMYFUNCTION("REGEXREPLACE(C1257,""-\d+(.*)|--\d+(.*)"","""")"),"VELLEROT-LES-BELVOIR")</f>
        <v>VELLEROT-LES-BELVOIR</v>
      </c>
      <c r="E1257" s="38" t="s">
        <v>213</v>
      </c>
      <c r="F1257" s="38" t="s">
        <v>214</v>
      </c>
      <c r="G1257" s="49" t="str">
        <f t="shared" si="1"/>
        <v>25430</v>
      </c>
      <c r="H1257" s="49">
        <f t="shared" si="2"/>
        <v>25595</v>
      </c>
    </row>
    <row r="1258">
      <c r="A1258" s="48" t="s">
        <v>2526</v>
      </c>
      <c r="B1258" s="38">
        <v>70198.0</v>
      </c>
      <c r="C1258" s="38" t="s">
        <v>2527</v>
      </c>
      <c r="D1258" s="38" t="str">
        <f>IFERROR(__xludf.DUMMYFUNCTION("REGEXREPLACE(C1258,""-\d+(.*)|--\d+(.*)"","""")"),"DAMPIERRE-SUR-SALON")</f>
        <v>DAMPIERRE-SUR-SALON</v>
      </c>
      <c r="E1258" s="38" t="s">
        <v>956</v>
      </c>
      <c r="F1258" s="38" t="s">
        <v>214</v>
      </c>
      <c r="G1258" s="49" t="str">
        <f t="shared" si="1"/>
        <v>70180</v>
      </c>
      <c r="H1258" s="49">
        <f t="shared" si="2"/>
        <v>70198</v>
      </c>
    </row>
    <row r="1259">
      <c r="A1259" s="48" t="s">
        <v>2328</v>
      </c>
      <c r="B1259" s="38">
        <v>57161.0</v>
      </c>
      <c r="C1259" s="38" t="s">
        <v>2528</v>
      </c>
      <c r="D1259" s="38" t="str">
        <f>IFERROR(__xludf.DUMMYFUNCTION("REGEXREPLACE(C1259,""-\d+(.*)|--\d+(.*)"","""")"),"CUTTING")</f>
        <v>CUTTING</v>
      </c>
      <c r="E1259" s="38" t="s">
        <v>303</v>
      </c>
      <c r="F1259" s="38" t="s">
        <v>195</v>
      </c>
      <c r="G1259" s="49" t="str">
        <f t="shared" si="1"/>
        <v>57260</v>
      </c>
      <c r="H1259" s="49">
        <f t="shared" si="2"/>
        <v>57161</v>
      </c>
    </row>
    <row r="1260">
      <c r="A1260" s="48" t="s">
        <v>2087</v>
      </c>
      <c r="B1260" s="38">
        <v>88106.0</v>
      </c>
      <c r="C1260" s="38" t="s">
        <v>2529</v>
      </c>
      <c r="D1260" s="38" t="str">
        <f>IFERROR(__xludf.DUMMYFUNCTION("REGEXREPLACE(C1260,""-\d+(.*)|--\d+(.*)"","""")"),"BAN-SUR-MEURTHE-CLEFCY")</f>
        <v>BAN-SUR-MEURTHE-CLEFCY</v>
      </c>
      <c r="E1260" s="38" t="s">
        <v>194</v>
      </c>
      <c r="F1260" s="38" t="s">
        <v>195</v>
      </c>
      <c r="G1260" s="49" t="str">
        <f t="shared" si="1"/>
        <v>88230</v>
      </c>
      <c r="H1260" s="49">
        <f t="shared" si="2"/>
        <v>88106</v>
      </c>
    </row>
    <row r="1261">
      <c r="A1261" s="48" t="s">
        <v>2530</v>
      </c>
      <c r="B1261" s="38">
        <v>79061.0</v>
      </c>
      <c r="C1261" s="38" t="s">
        <v>2531</v>
      </c>
      <c r="D1261" s="38" t="str">
        <f>IFERROR(__xludf.DUMMYFUNCTION("REGEXREPLACE(C1261,""-\d+(.*)|--\d+(.*)"","""")"),"CELLES-SUR-BELLE")</f>
        <v>CELLES-SUR-BELLE</v>
      </c>
      <c r="E1261" s="38" t="s">
        <v>337</v>
      </c>
      <c r="F1261" s="38" t="s">
        <v>338</v>
      </c>
      <c r="G1261" s="49" t="str">
        <f t="shared" si="1"/>
        <v>79370</v>
      </c>
      <c r="H1261" s="49">
        <f t="shared" si="2"/>
        <v>79061</v>
      </c>
    </row>
    <row r="1262">
      <c r="A1262" s="48" t="s">
        <v>2532</v>
      </c>
      <c r="B1262" s="38">
        <v>51254.0</v>
      </c>
      <c r="C1262" s="38" t="s">
        <v>2533</v>
      </c>
      <c r="D1262" s="38" t="str">
        <f>IFERROR(__xludf.DUMMYFUNCTION("REGEXREPLACE(C1262,""-\d+(.*)|--\d+(.*)"","""")"),"FONTAINE-DENIS-NUISY")</f>
        <v>FONTAINE-DENIS-NUISY</v>
      </c>
      <c r="E1262" s="38" t="s">
        <v>129</v>
      </c>
      <c r="F1262" s="38" t="s">
        <v>130</v>
      </c>
      <c r="G1262" s="49" t="str">
        <f t="shared" si="1"/>
        <v>51120</v>
      </c>
      <c r="H1262" s="49">
        <f t="shared" si="2"/>
        <v>51254</v>
      </c>
    </row>
    <row r="1263">
      <c r="A1263" s="48" t="s">
        <v>2534</v>
      </c>
      <c r="B1263" s="38">
        <v>27382.0</v>
      </c>
      <c r="C1263" s="38" t="s">
        <v>2535</v>
      </c>
      <c r="D1263" s="38" t="str">
        <f>IFERROR(__xludf.DUMMYFUNCTION("REGEXREPLACE(C1263,""-\d+(.*)|--\d+(.*)"","""")"),"MANDEVILLE")</f>
        <v>MANDEVILLE</v>
      </c>
      <c r="E1263" s="38" t="s">
        <v>241</v>
      </c>
      <c r="F1263" s="38" t="s">
        <v>134</v>
      </c>
      <c r="G1263" s="49" t="str">
        <f t="shared" si="1"/>
        <v>27370</v>
      </c>
      <c r="H1263" s="49">
        <f t="shared" si="2"/>
        <v>27382</v>
      </c>
    </row>
    <row r="1264">
      <c r="A1264" s="48" t="s">
        <v>2536</v>
      </c>
      <c r="B1264" s="38">
        <v>29061.0</v>
      </c>
      <c r="C1264" s="38" t="s">
        <v>2537</v>
      </c>
      <c r="D1264" s="38" t="str">
        <f>IFERROR(__xludf.DUMMYFUNCTION("REGEXREPLACE(C1264,""-\d+(.*)|--\d+(.*)"","""")"),"GOUESNOU")</f>
        <v>GOUESNOU</v>
      </c>
      <c r="E1264" s="38" t="s">
        <v>176</v>
      </c>
      <c r="F1264" s="38" t="s">
        <v>90</v>
      </c>
      <c r="G1264" s="49" t="str">
        <f t="shared" si="1"/>
        <v>29850</v>
      </c>
      <c r="H1264" s="49">
        <f t="shared" si="2"/>
        <v>29061</v>
      </c>
    </row>
    <row r="1265">
      <c r="A1265" s="48" t="s">
        <v>2538</v>
      </c>
      <c r="B1265" s="38">
        <v>12148.0</v>
      </c>
      <c r="C1265" s="38" t="s">
        <v>2539</v>
      </c>
      <c r="D1265" s="38" t="str">
        <f>IFERROR(__xludf.DUMMYFUNCTION("REGEXREPLACE(C1265,""-\d+(.*)|--\d+(.*)"","""")"),"MONTBAZENS")</f>
        <v>MONTBAZENS</v>
      </c>
      <c r="E1265" s="38" t="s">
        <v>465</v>
      </c>
      <c r="F1265" s="38" t="s">
        <v>94</v>
      </c>
      <c r="G1265" s="49" t="str">
        <f t="shared" si="1"/>
        <v>12220</v>
      </c>
      <c r="H1265" s="49">
        <f t="shared" si="2"/>
        <v>12148</v>
      </c>
    </row>
    <row r="1266">
      <c r="A1266" s="48" t="s">
        <v>2540</v>
      </c>
      <c r="B1266" s="38">
        <v>2099.0</v>
      </c>
      <c r="C1266" s="38" t="s">
        <v>2541</v>
      </c>
      <c r="D1266" s="38" t="str">
        <f>IFERROR(__xludf.DUMMYFUNCTION("REGEXREPLACE(C1266,""-\d+(.*)|--\d+(.*)"","""")"),"BONNESVALYN")</f>
        <v>BONNESVALYN</v>
      </c>
      <c r="E1266" s="38" t="s">
        <v>191</v>
      </c>
      <c r="F1266" s="38" t="s">
        <v>113</v>
      </c>
      <c r="G1266" s="49" t="str">
        <f t="shared" si="1"/>
        <v>02400</v>
      </c>
      <c r="H1266" s="49" t="str">
        <f t="shared" si="2"/>
        <v>02099</v>
      </c>
    </row>
    <row r="1267">
      <c r="A1267" s="48" t="s">
        <v>760</v>
      </c>
      <c r="B1267" s="38">
        <v>89089.0</v>
      </c>
      <c r="C1267" s="38" t="s">
        <v>2542</v>
      </c>
      <c r="D1267" s="38" t="str">
        <f>IFERROR(__xludf.DUMMYFUNCTION("REGEXREPLACE(C1267,""-\d+(.*)|--\d+(.*)"","""")"),"CHASTELLUX-SUR-CURE")</f>
        <v>CHASTELLUX-SUR-CURE</v>
      </c>
      <c r="E1267" s="38" t="s">
        <v>275</v>
      </c>
      <c r="F1267" s="38" t="s">
        <v>106</v>
      </c>
      <c r="G1267" s="49" t="str">
        <f t="shared" si="1"/>
        <v>89630</v>
      </c>
      <c r="H1267" s="49">
        <f t="shared" si="2"/>
        <v>89089</v>
      </c>
    </row>
    <row r="1268">
      <c r="A1268" s="48" t="s">
        <v>597</v>
      </c>
      <c r="B1268" s="38">
        <v>31522.0</v>
      </c>
      <c r="C1268" s="38" t="s">
        <v>2543</v>
      </c>
      <c r="D1268" s="38" t="str">
        <f>IFERROR(__xludf.DUMMYFUNCTION("REGEXREPLACE(C1268,""-\d+(.*)|--\d+(.*)"","""")"),"SALERM")</f>
        <v>SALERM</v>
      </c>
      <c r="E1268" s="38" t="s">
        <v>93</v>
      </c>
      <c r="F1268" s="38" t="s">
        <v>94</v>
      </c>
      <c r="G1268" s="49" t="str">
        <f t="shared" si="1"/>
        <v>31230</v>
      </c>
      <c r="H1268" s="49">
        <f t="shared" si="2"/>
        <v>31522</v>
      </c>
    </row>
    <row r="1269">
      <c r="A1269" s="48" t="s">
        <v>522</v>
      </c>
      <c r="B1269" s="38">
        <v>39543.0</v>
      </c>
      <c r="C1269" s="38" t="s">
        <v>2544</v>
      </c>
      <c r="D1269" s="38" t="str">
        <f>IFERROR(__xludf.DUMMYFUNCTION("REGEXREPLACE(C1269,""-\d+(.*)|--\d+(.*)"","""")"),"VANNOZ")</f>
        <v>VANNOZ</v>
      </c>
      <c r="E1269" s="38" t="s">
        <v>400</v>
      </c>
      <c r="F1269" s="38" t="s">
        <v>214</v>
      </c>
      <c r="G1269" s="49" t="str">
        <f t="shared" si="1"/>
        <v>39300</v>
      </c>
      <c r="H1269" s="49">
        <f t="shared" si="2"/>
        <v>39543</v>
      </c>
    </row>
    <row r="1270">
      <c r="A1270" s="48" t="s">
        <v>2545</v>
      </c>
      <c r="B1270" s="38">
        <v>26362.0</v>
      </c>
      <c r="C1270" s="38" t="s">
        <v>2546</v>
      </c>
      <c r="D1270" s="38" t="str">
        <f>IFERROR(__xludf.DUMMYFUNCTION("REGEXREPLACE(C1270,""-\d+(.*)|--\d+(.*)"","""")"),"VALENCE")</f>
        <v>VALENCE</v>
      </c>
      <c r="E1270" s="38" t="s">
        <v>126</v>
      </c>
      <c r="F1270" s="38" t="s">
        <v>102</v>
      </c>
      <c r="G1270" s="49" t="str">
        <f t="shared" si="1"/>
        <v>26000</v>
      </c>
      <c r="H1270" s="49">
        <f t="shared" si="2"/>
        <v>26362</v>
      </c>
    </row>
    <row r="1271">
      <c r="A1271" s="48" t="s">
        <v>2547</v>
      </c>
      <c r="B1271" s="38">
        <v>8035.0</v>
      </c>
      <c r="C1271" s="38" t="s">
        <v>2548</v>
      </c>
      <c r="D1271" s="38" t="str">
        <f>IFERROR(__xludf.DUMMYFUNCTION("REGEXREPLACE(C1271,""-\d+(.*)|--\d+(.*)"","""")"),"AUTRUCHE")</f>
        <v>AUTRUCHE</v>
      </c>
      <c r="E1271" s="38" t="s">
        <v>327</v>
      </c>
      <c r="F1271" s="38" t="s">
        <v>130</v>
      </c>
      <c r="G1271" s="49" t="str">
        <f t="shared" si="1"/>
        <v>08240</v>
      </c>
      <c r="H1271" s="49" t="str">
        <f t="shared" si="2"/>
        <v>08035</v>
      </c>
    </row>
    <row r="1272">
      <c r="A1272" s="48" t="s">
        <v>2549</v>
      </c>
      <c r="B1272" s="38">
        <v>55044.0</v>
      </c>
      <c r="C1272" s="38" t="s">
        <v>2550</v>
      </c>
      <c r="D1272" s="38" t="str">
        <f>IFERROR(__xludf.DUMMYFUNCTION("REGEXREPLACE(C1272,""-\d+(.*)|--\d+(.*)"","""")"),"BELRAIN")</f>
        <v>BELRAIN</v>
      </c>
      <c r="E1272" s="38" t="s">
        <v>322</v>
      </c>
      <c r="F1272" s="38" t="s">
        <v>195</v>
      </c>
      <c r="G1272" s="49" t="str">
        <f t="shared" si="1"/>
        <v>55260</v>
      </c>
      <c r="H1272" s="49">
        <f t="shared" si="2"/>
        <v>55044</v>
      </c>
    </row>
    <row r="1273">
      <c r="A1273" s="48" t="s">
        <v>2186</v>
      </c>
      <c r="B1273" s="38">
        <v>26088.0</v>
      </c>
      <c r="C1273" s="38" t="s">
        <v>2551</v>
      </c>
      <c r="D1273" s="38" t="str">
        <f>IFERROR(__xludf.DUMMYFUNCTION("REGEXREPLACE(C1273,""-\d+(.*)|--\d+(.*)"","""")"),"CHATUZANGE-LE-GOUBET")</f>
        <v>CHATUZANGE-LE-GOUBET</v>
      </c>
      <c r="E1273" s="38" t="s">
        <v>126</v>
      </c>
      <c r="F1273" s="38" t="s">
        <v>102</v>
      </c>
      <c r="G1273" s="49" t="str">
        <f t="shared" si="1"/>
        <v>26300</v>
      </c>
      <c r="H1273" s="49">
        <f t="shared" si="2"/>
        <v>26088</v>
      </c>
    </row>
    <row r="1274">
      <c r="A1274" s="48" t="s">
        <v>2552</v>
      </c>
      <c r="B1274" s="38">
        <v>30229.0</v>
      </c>
      <c r="C1274" s="38" t="s">
        <v>2553</v>
      </c>
      <c r="D1274" s="38" t="str">
        <f>IFERROR(__xludf.DUMMYFUNCTION("REGEXREPLACE(C1274,""-\d+(.*)|--\d+(.*)"","""")"),"SAINT-ANDRE-DE-MAJENCOULES")</f>
        <v>SAINT-ANDRE-DE-MAJENCOULES</v>
      </c>
      <c r="E1274" s="38" t="s">
        <v>526</v>
      </c>
      <c r="F1274" s="38" t="s">
        <v>119</v>
      </c>
      <c r="G1274" s="49" t="str">
        <f t="shared" si="1"/>
        <v>30570</v>
      </c>
      <c r="H1274" s="49">
        <f t="shared" si="2"/>
        <v>30229</v>
      </c>
    </row>
    <row r="1275">
      <c r="A1275" s="48" t="s">
        <v>2554</v>
      </c>
      <c r="B1275" s="38">
        <v>95535.0</v>
      </c>
      <c r="C1275" s="38" t="s">
        <v>2555</v>
      </c>
      <c r="D1275" s="38" t="str">
        <f>IFERROR(__xludf.DUMMYFUNCTION("REGEXREPLACE(C1275,""-\d+(.*)|--\d+(.*)"","""")"),"SAGY")</f>
        <v>SAGY</v>
      </c>
      <c r="E1275" s="38" t="s">
        <v>541</v>
      </c>
      <c r="F1275" s="38" t="s">
        <v>245</v>
      </c>
      <c r="G1275" s="49" t="str">
        <f t="shared" si="1"/>
        <v>95450</v>
      </c>
      <c r="H1275" s="49">
        <f t="shared" si="2"/>
        <v>95535</v>
      </c>
    </row>
    <row r="1276">
      <c r="A1276" s="48" t="s">
        <v>2556</v>
      </c>
      <c r="B1276" s="38">
        <v>35353.0</v>
      </c>
      <c r="C1276" s="38" t="s">
        <v>2557</v>
      </c>
      <c r="D1276" s="38" t="str">
        <f>IFERROR(__xludf.DUMMYFUNCTION("REGEXREPLACE(C1276,""-\d+(.*)|--\d+(.*)"","""")"),"VEZIN-LE-COQUET")</f>
        <v>VEZIN-LE-COQUET</v>
      </c>
      <c r="E1276" s="38" t="s">
        <v>347</v>
      </c>
      <c r="F1276" s="38" t="s">
        <v>90</v>
      </c>
      <c r="G1276" s="49" t="str">
        <f t="shared" si="1"/>
        <v>35132</v>
      </c>
      <c r="H1276" s="49">
        <f t="shared" si="2"/>
        <v>35353</v>
      </c>
    </row>
    <row r="1277">
      <c r="A1277" s="48" t="s">
        <v>2558</v>
      </c>
      <c r="B1277" s="38">
        <v>16090.0</v>
      </c>
      <c r="C1277" s="38" t="s">
        <v>2559</v>
      </c>
      <c r="D1277" s="38" t="str">
        <f>IFERROR(__xludf.DUMMYFUNCTION("REGEXREPLACE(C1277,""-\d+(.*)|--\d+(.*)"","""")"),"CHATEAUNEUF-SUR-CHARENTE")</f>
        <v>CHATEAUNEUF-SUR-CHARENTE</v>
      </c>
      <c r="E1277" s="38" t="s">
        <v>429</v>
      </c>
      <c r="F1277" s="38" t="s">
        <v>338</v>
      </c>
      <c r="G1277" s="49" t="str">
        <f t="shared" si="1"/>
        <v>16120</v>
      </c>
      <c r="H1277" s="49">
        <f t="shared" si="2"/>
        <v>16090</v>
      </c>
    </row>
    <row r="1278">
      <c r="A1278" s="48" t="s">
        <v>2560</v>
      </c>
      <c r="B1278" s="38">
        <v>73222.0</v>
      </c>
      <c r="C1278" s="38" t="s">
        <v>2561</v>
      </c>
      <c r="D1278" s="38" t="str">
        <f>IFERROR(__xludf.DUMMYFUNCTION("REGEXREPLACE(C1278,""-\d+(.*)|--\d+(.*)"","""")"),"SAINT-ALBAN-LEYSSE")</f>
        <v>SAINT-ALBAN-LEYSSE</v>
      </c>
      <c r="E1278" s="38" t="s">
        <v>306</v>
      </c>
      <c r="F1278" s="38" t="s">
        <v>102</v>
      </c>
      <c r="G1278" s="49" t="str">
        <f t="shared" si="1"/>
        <v>73230</v>
      </c>
      <c r="H1278" s="49">
        <f t="shared" si="2"/>
        <v>73222</v>
      </c>
    </row>
    <row r="1279">
      <c r="A1279" s="48" t="s">
        <v>2549</v>
      </c>
      <c r="B1279" s="38">
        <v>55108.0</v>
      </c>
      <c r="C1279" s="38" t="s">
        <v>2562</v>
      </c>
      <c r="D1279" s="38" t="str">
        <f>IFERROR(__xludf.DUMMYFUNCTION("REGEXREPLACE(C1279,""-\d+(.*)|--\d+(.*)"","""")"),"CHAUMONT-SUR-AIRE")</f>
        <v>CHAUMONT-SUR-AIRE</v>
      </c>
      <c r="E1279" s="38" t="s">
        <v>322</v>
      </c>
      <c r="F1279" s="38" t="s">
        <v>195</v>
      </c>
      <c r="G1279" s="49" t="str">
        <f t="shared" si="1"/>
        <v>55260</v>
      </c>
      <c r="H1279" s="49">
        <f t="shared" si="2"/>
        <v>55108</v>
      </c>
    </row>
    <row r="1280">
      <c r="A1280" s="48" t="s">
        <v>2563</v>
      </c>
      <c r="B1280" s="38">
        <v>76109.0</v>
      </c>
      <c r="C1280" s="38" t="s">
        <v>2564</v>
      </c>
      <c r="D1280" s="38" t="str">
        <f>IFERROR(__xludf.DUMMYFUNCTION("REGEXREPLACE(C1280,""-\d+(.*)|--\d+(.*)"","""")"),"BOIS-HEROULT")</f>
        <v>BOIS-HEROULT</v>
      </c>
      <c r="E1280" s="38" t="s">
        <v>133</v>
      </c>
      <c r="F1280" s="38" t="s">
        <v>134</v>
      </c>
      <c r="G1280" s="49" t="str">
        <f t="shared" si="1"/>
        <v>76750</v>
      </c>
      <c r="H1280" s="49">
        <f t="shared" si="2"/>
        <v>76109</v>
      </c>
    </row>
    <row r="1281">
      <c r="A1281" s="48" t="s">
        <v>2565</v>
      </c>
      <c r="B1281" s="38">
        <v>44006.0</v>
      </c>
      <c r="C1281" s="38" t="s">
        <v>2566</v>
      </c>
      <c r="D1281" s="38" t="str">
        <f>IFERROR(__xludf.DUMMYFUNCTION("REGEXREPLACE(C1281,""-\d+(.*)|--\d+(.*)"","""")"),"ASSERAC")</f>
        <v>ASSERAC</v>
      </c>
      <c r="E1281" s="38" t="s">
        <v>759</v>
      </c>
      <c r="F1281" s="38" t="s">
        <v>180</v>
      </c>
      <c r="G1281" s="49" t="str">
        <f t="shared" si="1"/>
        <v>44410</v>
      </c>
      <c r="H1281" s="49">
        <f t="shared" si="2"/>
        <v>44006</v>
      </c>
    </row>
    <row r="1282">
      <c r="A1282" s="48" t="s">
        <v>2567</v>
      </c>
      <c r="B1282" s="38">
        <v>6072.0</v>
      </c>
      <c r="C1282" s="38" t="s">
        <v>2568</v>
      </c>
      <c r="D1282" s="38" t="str">
        <f>IFERROR(__xludf.DUMMYFUNCTION("REGEXREPLACE(C1282,""-\d+(.*)|--\d+(.*)"","""")"),"ILONSE")</f>
        <v>ILONSE</v>
      </c>
      <c r="E1282" s="38" t="s">
        <v>227</v>
      </c>
      <c r="F1282" s="38" t="s">
        <v>228</v>
      </c>
      <c r="G1282" s="49" t="str">
        <f t="shared" si="1"/>
        <v>06420</v>
      </c>
      <c r="H1282" s="49" t="str">
        <f t="shared" si="2"/>
        <v>06072</v>
      </c>
    </row>
    <row r="1283">
      <c r="A1283" s="48" t="s">
        <v>2569</v>
      </c>
      <c r="B1283" s="38">
        <v>49041.0</v>
      </c>
      <c r="C1283" s="38" t="s">
        <v>2570</v>
      </c>
      <c r="D1283" s="38" t="str">
        <f>IFERROR(__xludf.DUMMYFUNCTION("REGEXREPLACE(C1283,""-\d+(.*)|--\d+(.*)"","""")"),"BRAIN-SUR-ALLONNES")</f>
        <v>BRAIN-SUR-ALLONNES</v>
      </c>
      <c r="E1283" s="38" t="s">
        <v>653</v>
      </c>
      <c r="F1283" s="38" t="s">
        <v>180</v>
      </c>
      <c r="G1283" s="49" t="str">
        <f t="shared" si="1"/>
        <v>49650</v>
      </c>
      <c r="H1283" s="49">
        <f t="shared" si="2"/>
        <v>49041</v>
      </c>
    </row>
    <row r="1284">
      <c r="A1284" s="48" t="s">
        <v>2571</v>
      </c>
      <c r="B1284" s="38">
        <v>61453.0</v>
      </c>
      <c r="C1284" s="38" t="s">
        <v>2572</v>
      </c>
      <c r="D1284" s="38" t="str">
        <f>IFERROR(__xludf.DUMMYFUNCTION("REGEXREPLACE(C1284,""-\d+(.*)|--\d+(.*)"","""")"),"SAINT-SAUVEUR-DE-CARROUGES")</f>
        <v>SAINT-SAUVEUR-DE-CARROUGES</v>
      </c>
      <c r="E1284" s="38" t="s">
        <v>141</v>
      </c>
      <c r="F1284" s="38" t="s">
        <v>138</v>
      </c>
      <c r="G1284" s="49" t="str">
        <f t="shared" si="1"/>
        <v>61320</v>
      </c>
      <c r="H1284" s="49">
        <f t="shared" si="2"/>
        <v>61453</v>
      </c>
    </row>
    <row r="1285">
      <c r="A1285" s="48" t="s">
        <v>2573</v>
      </c>
      <c r="B1285" s="38">
        <v>31515.0</v>
      </c>
      <c r="C1285" s="38" t="s">
        <v>2574</v>
      </c>
      <c r="D1285" s="38" t="str">
        <f>IFERROR(__xludf.DUMMYFUNCTION("REGEXREPLACE(C1285,""-\d+(.*)|--\d+(.*)"","""")"),"SAINT-RUSTICE")</f>
        <v>SAINT-RUSTICE</v>
      </c>
      <c r="E1285" s="38" t="s">
        <v>93</v>
      </c>
      <c r="F1285" s="38" t="s">
        <v>94</v>
      </c>
      <c r="G1285" s="49" t="str">
        <f t="shared" si="1"/>
        <v>31620</v>
      </c>
      <c r="H1285" s="49">
        <f t="shared" si="2"/>
        <v>31515</v>
      </c>
    </row>
    <row r="1286">
      <c r="A1286" s="48" t="s">
        <v>2575</v>
      </c>
      <c r="B1286" s="38">
        <v>91248.0</v>
      </c>
      <c r="C1286" s="38" t="s">
        <v>2576</v>
      </c>
      <c r="D1286" s="38" t="str">
        <f>IFERROR(__xludf.DUMMYFUNCTION("REGEXREPLACE(C1286,""-\d+(.*)|--\d+(.*)"","""")"),"LA FORET-SAINTE-CROIX")</f>
        <v>LA FORET-SAINTE-CROIX</v>
      </c>
      <c r="E1286" s="38" t="s">
        <v>756</v>
      </c>
      <c r="F1286" s="38" t="s">
        <v>245</v>
      </c>
      <c r="G1286" s="49" t="str">
        <f t="shared" si="1"/>
        <v>91150</v>
      </c>
      <c r="H1286" s="49">
        <f t="shared" si="2"/>
        <v>91248</v>
      </c>
    </row>
    <row r="1287">
      <c r="A1287" s="48" t="s">
        <v>2577</v>
      </c>
      <c r="B1287" s="38">
        <v>34341.0</v>
      </c>
      <c r="C1287" s="38" t="s">
        <v>2578</v>
      </c>
      <c r="D1287" s="38" t="str">
        <f>IFERROR(__xludf.DUMMYFUNCTION("REGEXREPLACE(C1287,""-\d+(.*)|--\d+(.*)"","""")"),"VILLEVEYRAC")</f>
        <v>VILLEVEYRAC</v>
      </c>
      <c r="E1287" s="38" t="s">
        <v>118</v>
      </c>
      <c r="F1287" s="38" t="s">
        <v>119</v>
      </c>
      <c r="G1287" s="49" t="str">
        <f t="shared" si="1"/>
        <v>34560</v>
      </c>
      <c r="H1287" s="49">
        <f t="shared" si="2"/>
        <v>34341</v>
      </c>
    </row>
    <row r="1288">
      <c r="A1288" s="48" t="s">
        <v>2579</v>
      </c>
      <c r="B1288" s="38">
        <v>32041.0</v>
      </c>
      <c r="C1288" s="38" t="s">
        <v>1901</v>
      </c>
      <c r="D1288" s="38" t="str">
        <f>IFERROR(__xludf.DUMMYFUNCTION("REGEXREPLACE(C1288,""-\d+(.*)|--\d+(.*)"","""")"),"BELLEGARDE")</f>
        <v>BELLEGARDE</v>
      </c>
      <c r="E1288" s="38" t="s">
        <v>440</v>
      </c>
      <c r="F1288" s="38" t="s">
        <v>94</v>
      </c>
      <c r="G1288" s="49" t="str">
        <f t="shared" si="1"/>
        <v>32140</v>
      </c>
      <c r="H1288" s="49">
        <f t="shared" si="2"/>
        <v>32041</v>
      </c>
    </row>
    <row r="1289">
      <c r="A1289" s="48" t="s">
        <v>2580</v>
      </c>
      <c r="B1289" s="38">
        <v>83105.0</v>
      </c>
      <c r="C1289" s="38" t="s">
        <v>2581</v>
      </c>
      <c r="D1289" s="38" t="str">
        <f>IFERROR(__xludf.DUMMYFUNCTION("REGEXREPLACE(C1289,""-\d+(.*)|--\d+(.*)"","""")"),"RIBOUX")</f>
        <v>RIBOUX</v>
      </c>
      <c r="E1289" s="38" t="s">
        <v>813</v>
      </c>
      <c r="F1289" s="38" t="s">
        <v>228</v>
      </c>
      <c r="G1289" s="49" t="str">
        <f t="shared" si="1"/>
        <v>13780</v>
      </c>
      <c r="H1289" s="49">
        <f t="shared" si="2"/>
        <v>83105</v>
      </c>
    </row>
    <row r="1290">
      <c r="A1290" s="48" t="s">
        <v>2582</v>
      </c>
      <c r="B1290" s="38">
        <v>14761.0</v>
      </c>
      <c r="C1290" s="38" t="s">
        <v>2583</v>
      </c>
      <c r="D1290" s="38" t="str">
        <f>IFERROR(__xludf.DUMMYFUNCTION("REGEXREPLACE(C1290,""-\d+(.*)|--\d+(.*)"","""")"),"VIMONT")</f>
        <v>VIMONT</v>
      </c>
      <c r="E1290" s="38" t="s">
        <v>137</v>
      </c>
      <c r="F1290" s="38" t="s">
        <v>138</v>
      </c>
      <c r="G1290" s="49" t="str">
        <f t="shared" si="1"/>
        <v>14370</v>
      </c>
      <c r="H1290" s="49">
        <f t="shared" si="2"/>
        <v>14761</v>
      </c>
    </row>
    <row r="1291">
      <c r="A1291" s="48" t="s">
        <v>2584</v>
      </c>
      <c r="B1291" s="38">
        <v>49260.0</v>
      </c>
      <c r="C1291" s="38" t="s">
        <v>2585</v>
      </c>
      <c r="D1291" s="38" t="str">
        <f>IFERROR(__xludf.DUMMYFUNCTION("REGEXREPLACE(C1291,""-\d+(.*)|--\d+(.*)"","""")"),"LA ROMAGNE")</f>
        <v>LA ROMAGNE</v>
      </c>
      <c r="E1291" s="38" t="s">
        <v>653</v>
      </c>
      <c r="F1291" s="38" t="s">
        <v>180</v>
      </c>
      <c r="G1291" s="49" t="str">
        <f t="shared" si="1"/>
        <v>49740</v>
      </c>
      <c r="H1291" s="49">
        <f t="shared" si="2"/>
        <v>49260</v>
      </c>
    </row>
    <row r="1292">
      <c r="A1292" s="48" t="s">
        <v>1861</v>
      </c>
      <c r="B1292" s="38">
        <v>46322.0</v>
      </c>
      <c r="C1292" s="38" t="s">
        <v>2586</v>
      </c>
      <c r="D1292" s="38" t="str">
        <f>IFERROR(__xludf.DUMMYFUNCTION("REGEXREPLACE(C1292,""-\d+(.*)|--\d+(.*)"","""")"),"TRESPOUX-RASSIELS")</f>
        <v>TRESPOUX-RASSIELS</v>
      </c>
      <c r="E1292" s="38" t="s">
        <v>185</v>
      </c>
      <c r="F1292" s="38" t="s">
        <v>94</v>
      </c>
      <c r="G1292" s="49" t="str">
        <f t="shared" si="1"/>
        <v>46090</v>
      </c>
      <c r="H1292" s="49">
        <f t="shared" si="2"/>
        <v>46322</v>
      </c>
    </row>
    <row r="1293">
      <c r="A1293" s="48" t="s">
        <v>2587</v>
      </c>
      <c r="B1293" s="38">
        <v>60516.0</v>
      </c>
      <c r="C1293" s="38" t="s">
        <v>2588</v>
      </c>
      <c r="D1293" s="38" t="str">
        <f>IFERROR(__xludf.DUMMYFUNCTION("REGEXREPLACE(C1293,""-\d+(.*)|--\d+(.*)"","""")"),"PUISEUX-EN-BRAY")</f>
        <v>PUISEUX-EN-BRAY</v>
      </c>
      <c r="E1293" s="38" t="s">
        <v>112</v>
      </c>
      <c r="F1293" s="38" t="s">
        <v>113</v>
      </c>
      <c r="G1293" s="49" t="str">
        <f t="shared" si="1"/>
        <v>60850</v>
      </c>
      <c r="H1293" s="49">
        <f t="shared" si="2"/>
        <v>60516</v>
      </c>
    </row>
    <row r="1294">
      <c r="A1294" s="48" t="s">
        <v>1742</v>
      </c>
      <c r="B1294" s="38">
        <v>21286.0</v>
      </c>
      <c r="C1294" s="38" t="s">
        <v>2589</v>
      </c>
      <c r="D1294" s="38" t="str">
        <f>IFERROR(__xludf.DUMMYFUNCTION("REGEXREPLACE(C1294,""-\d+(.*)|--\d+(.*)"","""")"),"FRENOIS")</f>
        <v>FRENOIS</v>
      </c>
      <c r="E1294" s="38" t="s">
        <v>105</v>
      </c>
      <c r="F1294" s="38" t="s">
        <v>106</v>
      </c>
      <c r="G1294" s="49" t="str">
        <f t="shared" si="1"/>
        <v>21120</v>
      </c>
      <c r="H1294" s="49">
        <f t="shared" si="2"/>
        <v>21286</v>
      </c>
    </row>
    <row r="1295">
      <c r="A1295" s="48" t="s">
        <v>2590</v>
      </c>
      <c r="B1295" s="38">
        <v>83053.0</v>
      </c>
      <c r="C1295" s="38" t="s">
        <v>2591</v>
      </c>
      <c r="D1295" s="38" t="str">
        <f>IFERROR(__xludf.DUMMYFUNCTION("REGEXREPLACE(C1295,""-\d+(.*)|--\d+(.*)"","""")"),"EVENOS")</f>
        <v>EVENOS</v>
      </c>
      <c r="E1295" s="38" t="s">
        <v>813</v>
      </c>
      <c r="F1295" s="38" t="s">
        <v>228</v>
      </c>
      <c r="G1295" s="49" t="str">
        <f t="shared" si="1"/>
        <v>83330</v>
      </c>
      <c r="H1295" s="49">
        <f t="shared" si="2"/>
        <v>83053</v>
      </c>
    </row>
    <row r="1296">
      <c r="A1296" s="48" t="s">
        <v>2592</v>
      </c>
      <c r="B1296" s="38">
        <v>34047.0</v>
      </c>
      <c r="C1296" s="38" t="s">
        <v>2593</v>
      </c>
      <c r="D1296" s="38" t="str">
        <f>IFERROR(__xludf.DUMMYFUNCTION("REGEXREPLACE(C1296,""-\d+(.*)|--\d+(.*)"","""")"),"CAMPAGNAN")</f>
        <v>CAMPAGNAN</v>
      </c>
      <c r="E1296" s="38" t="s">
        <v>118</v>
      </c>
      <c r="F1296" s="38" t="s">
        <v>119</v>
      </c>
      <c r="G1296" s="49" t="str">
        <f t="shared" si="1"/>
        <v>34230</v>
      </c>
      <c r="H1296" s="49">
        <f t="shared" si="2"/>
        <v>34047</v>
      </c>
    </row>
    <row r="1297">
      <c r="A1297" s="48" t="s">
        <v>2594</v>
      </c>
      <c r="B1297" s="38">
        <v>69036.0</v>
      </c>
      <c r="C1297" s="38" t="s">
        <v>2595</v>
      </c>
      <c r="D1297" s="38" t="str">
        <f>IFERROR(__xludf.DUMMYFUNCTION("REGEXREPLACE(C1297,""-\d+(.*)|--\d+(.*)"","""")"),"CERCIE")</f>
        <v>CERCIE</v>
      </c>
      <c r="E1297" s="38" t="s">
        <v>350</v>
      </c>
      <c r="F1297" s="38" t="s">
        <v>102</v>
      </c>
      <c r="G1297" s="49" t="str">
        <f t="shared" si="1"/>
        <v>69220</v>
      </c>
      <c r="H1297" s="49">
        <f t="shared" si="2"/>
        <v>69036</v>
      </c>
    </row>
    <row r="1298">
      <c r="A1298" s="48" t="s">
        <v>2596</v>
      </c>
      <c r="B1298" s="38">
        <v>77108.0</v>
      </c>
      <c r="C1298" s="38" t="s">
        <v>2597</v>
      </c>
      <c r="D1298" s="38" t="str">
        <f>IFERROR(__xludf.DUMMYFUNCTION("REGEXREPLACE(C1298,""-\d+(.*)|--\d+(.*)"","""")"),"CHELLES")</f>
        <v>CHELLES</v>
      </c>
      <c r="E1298" s="38" t="s">
        <v>244</v>
      </c>
      <c r="F1298" s="38" t="s">
        <v>245</v>
      </c>
      <c r="G1298" s="49" t="str">
        <f t="shared" si="1"/>
        <v>77500</v>
      </c>
      <c r="H1298" s="49">
        <f t="shared" si="2"/>
        <v>77108</v>
      </c>
    </row>
    <row r="1299">
      <c r="A1299" s="48" t="s">
        <v>2598</v>
      </c>
      <c r="B1299" s="38">
        <v>56234.0</v>
      </c>
      <c r="C1299" s="38" t="s">
        <v>2599</v>
      </c>
      <c r="D1299" s="38" t="str">
        <f>IFERROR(__xludf.DUMMYFUNCTION("REGEXREPLACE(C1299,""-\d+(.*)|--\d+(.*)"","""")"),"SAINT-PIERRE-QUIBERON")</f>
        <v>SAINT-PIERRE-QUIBERON</v>
      </c>
      <c r="E1299" s="38" t="s">
        <v>173</v>
      </c>
      <c r="F1299" s="38" t="s">
        <v>90</v>
      </c>
      <c r="G1299" s="49" t="str">
        <f t="shared" si="1"/>
        <v>56510</v>
      </c>
      <c r="H1299" s="49">
        <f t="shared" si="2"/>
        <v>56234</v>
      </c>
    </row>
    <row r="1300">
      <c r="A1300" s="48" t="s">
        <v>2600</v>
      </c>
      <c r="B1300" s="38">
        <v>60362.0</v>
      </c>
      <c r="C1300" s="38" t="s">
        <v>2601</v>
      </c>
      <c r="D1300" s="38" t="str">
        <f>IFERROR(__xludf.DUMMYFUNCTION("REGEXREPLACE(C1300,""-\d+(.*)|--\d+(.*)"","""")"),"LIBERMONT")</f>
        <v>LIBERMONT</v>
      </c>
      <c r="E1300" s="38" t="s">
        <v>112</v>
      </c>
      <c r="F1300" s="38" t="s">
        <v>113</v>
      </c>
      <c r="G1300" s="49" t="str">
        <f t="shared" si="1"/>
        <v>60640</v>
      </c>
      <c r="H1300" s="49">
        <f t="shared" si="2"/>
        <v>60362</v>
      </c>
    </row>
    <row r="1301">
      <c r="A1301" s="48" t="s">
        <v>2602</v>
      </c>
      <c r="B1301" s="38">
        <v>42212.0</v>
      </c>
      <c r="C1301" s="38" t="s">
        <v>2603</v>
      </c>
      <c r="D1301" s="38" t="str">
        <f>IFERROR(__xludf.DUMMYFUNCTION("REGEXREPLACE(C1301,""-\d+(.*)|--\d+(.*)"","""")"),"SAINT-CYR-DE-FAVIERES")</f>
        <v>SAINT-CYR-DE-FAVIERES</v>
      </c>
      <c r="E1301" s="38" t="s">
        <v>166</v>
      </c>
      <c r="F1301" s="38" t="s">
        <v>102</v>
      </c>
      <c r="G1301" s="49" t="str">
        <f t="shared" si="1"/>
        <v>42123</v>
      </c>
      <c r="H1301" s="49">
        <f t="shared" si="2"/>
        <v>42212</v>
      </c>
    </row>
    <row r="1302">
      <c r="A1302" s="48" t="s">
        <v>918</v>
      </c>
      <c r="B1302" s="38">
        <v>59401.0</v>
      </c>
      <c r="C1302" s="38" t="s">
        <v>2604</v>
      </c>
      <c r="D1302" s="38" t="str">
        <f>IFERROR(__xludf.DUMMYFUNCTION("REGEXREPLACE(C1302,""-\d+(.*)|--\d+(.*)"","""")"),"METEREN")</f>
        <v>METEREN</v>
      </c>
      <c r="E1302" s="38" t="s">
        <v>85</v>
      </c>
      <c r="F1302" s="38" t="s">
        <v>86</v>
      </c>
      <c r="G1302" s="49" t="str">
        <f t="shared" si="1"/>
        <v>59270</v>
      </c>
      <c r="H1302" s="49">
        <f t="shared" si="2"/>
        <v>59401</v>
      </c>
    </row>
    <row r="1303">
      <c r="A1303" s="48" t="s">
        <v>2605</v>
      </c>
      <c r="B1303" s="38">
        <v>39506.0</v>
      </c>
      <c r="C1303" s="38" t="s">
        <v>2606</v>
      </c>
      <c r="D1303" s="38" t="str">
        <f>IFERROR(__xludf.DUMMYFUNCTION("REGEXREPLACE(C1303,""-\d+(.*)|--\d+(.*)"","""")"),"SAVIGNA")</f>
        <v>SAVIGNA</v>
      </c>
      <c r="E1303" s="38" t="s">
        <v>400</v>
      </c>
      <c r="F1303" s="38" t="s">
        <v>214</v>
      </c>
      <c r="G1303" s="49" t="str">
        <f t="shared" si="1"/>
        <v>39240</v>
      </c>
      <c r="H1303" s="49">
        <f t="shared" si="2"/>
        <v>39506</v>
      </c>
    </row>
    <row r="1304">
      <c r="A1304" s="48" t="s">
        <v>1900</v>
      </c>
      <c r="B1304" s="38">
        <v>45178.0</v>
      </c>
      <c r="C1304" s="38" t="s">
        <v>2607</v>
      </c>
      <c r="D1304" s="38" t="str">
        <f>IFERROR(__xludf.DUMMYFUNCTION("REGEXREPLACE(C1304,""-\d+(.*)|--\d+(.*)"","""")"),"LADON")</f>
        <v>LADON</v>
      </c>
      <c r="E1304" s="38" t="s">
        <v>122</v>
      </c>
      <c r="F1304" s="38" t="s">
        <v>123</v>
      </c>
      <c r="G1304" s="49" t="str">
        <f t="shared" si="1"/>
        <v>45270</v>
      </c>
      <c r="H1304" s="49">
        <f t="shared" si="2"/>
        <v>45178</v>
      </c>
    </row>
    <row r="1305">
      <c r="A1305" s="48" t="s">
        <v>2608</v>
      </c>
      <c r="B1305" s="38">
        <v>24079.0</v>
      </c>
      <c r="C1305" s="38" t="s">
        <v>2609</v>
      </c>
      <c r="D1305" s="38" t="str">
        <f>IFERROR(__xludf.DUMMYFUNCTION("REGEXREPLACE(C1305,""-\d+(.*)|--\d+(.*)"","""")"),"CANTILLAC")</f>
        <v>CANTILLAC</v>
      </c>
      <c r="E1305" s="38" t="s">
        <v>261</v>
      </c>
      <c r="F1305" s="38" t="s">
        <v>252</v>
      </c>
      <c r="G1305" s="49" t="str">
        <f t="shared" si="1"/>
        <v>24530</v>
      </c>
      <c r="H1305" s="49">
        <f t="shared" si="2"/>
        <v>24079</v>
      </c>
    </row>
    <row r="1306">
      <c r="A1306" s="48" t="s">
        <v>376</v>
      </c>
      <c r="B1306" s="38">
        <v>73212.0</v>
      </c>
      <c r="C1306" s="38" t="s">
        <v>2610</v>
      </c>
      <c r="D1306" s="38" t="str">
        <f>IFERROR(__xludf.DUMMYFUNCTION("REGEXREPLACE(C1306,""-\d+(.*)|--\d+(.*)"","""")"),"RANDENS")</f>
        <v>RANDENS</v>
      </c>
      <c r="E1306" s="38" t="s">
        <v>306</v>
      </c>
      <c r="F1306" s="38" t="s">
        <v>102</v>
      </c>
      <c r="G1306" s="49" t="str">
        <f t="shared" si="1"/>
        <v>73220</v>
      </c>
      <c r="H1306" s="49">
        <f t="shared" si="2"/>
        <v>73212</v>
      </c>
    </row>
    <row r="1307">
      <c r="A1307" s="48" t="s">
        <v>2611</v>
      </c>
      <c r="B1307" s="38">
        <v>40237.0</v>
      </c>
      <c r="C1307" s="38" t="s">
        <v>2612</v>
      </c>
      <c r="D1307" s="38" t="str">
        <f>IFERROR(__xludf.DUMMYFUNCTION("REGEXREPLACE(C1307,""-\d+(.*)|--\d+(.*)"","""")"),"PRECHACQ-LES-BAINS")</f>
        <v>PRECHACQ-LES-BAINS</v>
      </c>
      <c r="E1307" s="38" t="s">
        <v>281</v>
      </c>
      <c r="F1307" s="38" t="s">
        <v>252</v>
      </c>
      <c r="G1307" s="49" t="str">
        <f t="shared" si="1"/>
        <v>40465</v>
      </c>
      <c r="H1307" s="49">
        <f t="shared" si="2"/>
        <v>40237</v>
      </c>
    </row>
    <row r="1308">
      <c r="A1308" s="48" t="s">
        <v>2613</v>
      </c>
      <c r="B1308" s="38">
        <v>47130.0</v>
      </c>
      <c r="C1308" s="38" t="s">
        <v>2614</v>
      </c>
      <c r="D1308" s="38" t="str">
        <f>IFERROR(__xludf.DUMMYFUNCTION("REGEXREPLACE(C1308,""-\d+(.*)|--\d+(.*)"","""")"),"LAGRUERE")</f>
        <v>LAGRUERE</v>
      </c>
      <c r="E1308" s="38" t="s">
        <v>251</v>
      </c>
      <c r="F1308" s="38" t="s">
        <v>252</v>
      </c>
      <c r="G1308" s="49" t="str">
        <f t="shared" si="1"/>
        <v>47400</v>
      </c>
      <c r="H1308" s="49">
        <f t="shared" si="2"/>
        <v>47130</v>
      </c>
    </row>
    <row r="1309">
      <c r="A1309" s="48" t="s">
        <v>1986</v>
      </c>
      <c r="B1309" s="38">
        <v>79070.0</v>
      </c>
      <c r="C1309" s="38" t="s">
        <v>2615</v>
      </c>
      <c r="D1309" s="38" t="str">
        <f>IFERROR(__xludf.DUMMYFUNCTION("REGEXREPLACE(C1309,""-\d+(.*)|--\d+(.*)"","""")"),"LA CHAPELLE-BATON")</f>
        <v>LA CHAPELLE-BATON</v>
      </c>
      <c r="E1309" s="38" t="s">
        <v>337</v>
      </c>
      <c r="F1309" s="38" t="s">
        <v>338</v>
      </c>
      <c r="G1309" s="49" t="str">
        <f t="shared" si="1"/>
        <v>79220</v>
      </c>
      <c r="H1309" s="49">
        <f t="shared" si="2"/>
        <v>79070</v>
      </c>
    </row>
    <row r="1310">
      <c r="A1310" s="48" t="s">
        <v>1582</v>
      </c>
      <c r="B1310" s="38">
        <v>45005.0</v>
      </c>
      <c r="C1310" s="38" t="s">
        <v>2616</v>
      </c>
      <c r="D1310" s="38" t="str">
        <f>IFERROR(__xludf.DUMMYFUNCTION("REGEXREPLACE(C1310,""-\d+(.*)|--\d+(.*)"","""")"),"ANDONVILLE")</f>
        <v>ANDONVILLE</v>
      </c>
      <c r="E1310" s="38" t="s">
        <v>122</v>
      </c>
      <c r="F1310" s="38" t="s">
        <v>123</v>
      </c>
      <c r="G1310" s="49" t="str">
        <f t="shared" si="1"/>
        <v>45480</v>
      </c>
      <c r="H1310" s="49">
        <f t="shared" si="2"/>
        <v>45005</v>
      </c>
    </row>
    <row r="1311">
      <c r="A1311" s="48" t="s">
        <v>2617</v>
      </c>
      <c r="B1311" s="38">
        <v>89420.0</v>
      </c>
      <c r="C1311" s="38" t="s">
        <v>2618</v>
      </c>
      <c r="D1311" s="38" t="str">
        <f>IFERROR(__xludf.DUMMYFUNCTION("REGEXREPLACE(C1311,""-\d+(.*)|--\d+(.*)"","""")"),"TREIGNY")</f>
        <v>TREIGNY</v>
      </c>
      <c r="E1311" s="38" t="s">
        <v>275</v>
      </c>
      <c r="F1311" s="38" t="s">
        <v>106</v>
      </c>
      <c r="G1311" s="49" t="str">
        <f t="shared" si="1"/>
        <v>89520</v>
      </c>
      <c r="H1311" s="49">
        <f t="shared" si="2"/>
        <v>89420</v>
      </c>
    </row>
    <row r="1312">
      <c r="A1312" s="48" t="s">
        <v>2619</v>
      </c>
      <c r="B1312" s="38">
        <v>71522.0</v>
      </c>
      <c r="C1312" s="38" t="s">
        <v>2620</v>
      </c>
      <c r="D1312" s="38" t="str">
        <f>IFERROR(__xludf.DUMMYFUNCTION("REGEXREPLACE(C1312,""-\d+(.*)|--\d+(.*)"","""")"),"SIMANDRE")</f>
        <v>SIMANDRE</v>
      </c>
      <c r="E1312" s="38" t="s">
        <v>344</v>
      </c>
      <c r="F1312" s="38" t="s">
        <v>106</v>
      </c>
      <c r="G1312" s="49" t="str">
        <f t="shared" si="1"/>
        <v>71290</v>
      </c>
      <c r="H1312" s="49">
        <f t="shared" si="2"/>
        <v>71522</v>
      </c>
    </row>
    <row r="1313">
      <c r="A1313" s="48" t="s">
        <v>1616</v>
      </c>
      <c r="B1313" s="38">
        <v>10250.0</v>
      </c>
      <c r="C1313" s="38" t="s">
        <v>2621</v>
      </c>
      <c r="D1313" s="38" t="str">
        <f>IFERROR(__xludf.DUMMYFUNCTION("REGEXREPLACE(C1313,""-\d+(.*)|--\d+(.*)"","""")"),"MONTIER-EN-L'ISLE")</f>
        <v>MONTIER-EN-L'ISLE</v>
      </c>
      <c r="E1313" s="38" t="s">
        <v>147</v>
      </c>
      <c r="F1313" s="38" t="s">
        <v>130</v>
      </c>
      <c r="G1313" s="49" t="str">
        <f t="shared" si="1"/>
        <v>10200</v>
      </c>
      <c r="H1313" s="49">
        <f t="shared" si="2"/>
        <v>10250</v>
      </c>
    </row>
    <row r="1314">
      <c r="A1314" s="48" t="s">
        <v>1740</v>
      </c>
      <c r="B1314" s="38">
        <v>26297.0</v>
      </c>
      <c r="C1314" s="38" t="s">
        <v>2622</v>
      </c>
      <c r="D1314" s="38" t="str">
        <f>IFERROR(__xludf.DUMMYFUNCTION("REGEXREPLACE(C1314,""-\d+(.*)|--\d+(.*)"","""")"),"SAINT-BONNET-DE-VALCLERIEUX")</f>
        <v>SAINT-BONNET-DE-VALCLERIEUX</v>
      </c>
      <c r="E1314" s="38" t="s">
        <v>126</v>
      </c>
      <c r="F1314" s="38" t="s">
        <v>102</v>
      </c>
      <c r="G1314" s="49" t="str">
        <f t="shared" si="1"/>
        <v>26350</v>
      </c>
      <c r="H1314" s="49">
        <f t="shared" si="2"/>
        <v>26297</v>
      </c>
    </row>
    <row r="1315">
      <c r="A1315" s="48" t="s">
        <v>2623</v>
      </c>
      <c r="B1315" s="38">
        <v>86017.0</v>
      </c>
      <c r="C1315" s="38" t="s">
        <v>2624</v>
      </c>
      <c r="D1315" s="38" t="str">
        <f>IFERROR(__xludf.DUMMYFUNCTION("REGEXREPLACE(C1315,""-\d+(.*)|--\d+(.*)"","""")"),"AYRON")</f>
        <v>AYRON</v>
      </c>
      <c r="E1315" s="38" t="s">
        <v>529</v>
      </c>
      <c r="F1315" s="38" t="s">
        <v>338</v>
      </c>
      <c r="G1315" s="49" t="str">
        <f t="shared" si="1"/>
        <v>86190</v>
      </c>
      <c r="H1315" s="49">
        <f t="shared" si="2"/>
        <v>86017</v>
      </c>
    </row>
    <row r="1316">
      <c r="A1316" s="48" t="s">
        <v>2625</v>
      </c>
      <c r="B1316" s="38">
        <v>30151.0</v>
      </c>
      <c r="C1316" s="38" t="s">
        <v>2626</v>
      </c>
      <c r="D1316" s="38" t="str">
        <f>IFERROR(__xludf.DUMMYFUNCTION("REGEXREPLACE(C1316,""-\d+(.*)|--\d+(.*)"","""")"),"LUSSAN")</f>
        <v>LUSSAN</v>
      </c>
      <c r="E1316" s="38" t="s">
        <v>526</v>
      </c>
      <c r="F1316" s="38" t="s">
        <v>119</v>
      </c>
      <c r="G1316" s="49" t="str">
        <f t="shared" si="1"/>
        <v>30580</v>
      </c>
      <c r="H1316" s="49">
        <f t="shared" si="2"/>
        <v>30151</v>
      </c>
    </row>
    <row r="1317">
      <c r="A1317" s="48" t="s">
        <v>930</v>
      </c>
      <c r="B1317" s="38">
        <v>32339.0</v>
      </c>
      <c r="C1317" s="38" t="s">
        <v>2627</v>
      </c>
      <c r="D1317" s="38" t="str">
        <f>IFERROR(__xludf.DUMMYFUNCTION("REGEXREPLACE(C1317,""-\d+(.*)|--\d+(.*)"","""")"),"RAZENGUES")</f>
        <v>RAZENGUES</v>
      </c>
      <c r="E1317" s="38" t="s">
        <v>440</v>
      </c>
      <c r="F1317" s="38" t="s">
        <v>94</v>
      </c>
      <c r="G1317" s="49" t="str">
        <f t="shared" si="1"/>
        <v>32600</v>
      </c>
      <c r="H1317" s="49">
        <f t="shared" si="2"/>
        <v>32339</v>
      </c>
    </row>
    <row r="1318">
      <c r="A1318" s="48" t="s">
        <v>2628</v>
      </c>
      <c r="B1318" s="38">
        <v>19163.0</v>
      </c>
      <c r="C1318" s="38" t="s">
        <v>2629</v>
      </c>
      <c r="D1318" s="38" t="str">
        <f>IFERROR(__xludf.DUMMYFUNCTION("REGEXREPLACE(C1318,""-\d+(.*)|--\d+(.*)"","""")"),"LE PESCHER")</f>
        <v>LE PESCHER</v>
      </c>
      <c r="E1318" s="38" t="s">
        <v>271</v>
      </c>
      <c r="F1318" s="38" t="s">
        <v>98</v>
      </c>
      <c r="G1318" s="49" t="str">
        <f t="shared" si="1"/>
        <v>19190</v>
      </c>
      <c r="H1318" s="49">
        <f t="shared" si="2"/>
        <v>19163</v>
      </c>
    </row>
    <row r="1319">
      <c r="A1319" s="48" t="s">
        <v>2349</v>
      </c>
      <c r="B1319" s="38">
        <v>62022.0</v>
      </c>
      <c r="C1319" s="38" t="s">
        <v>2630</v>
      </c>
      <c r="D1319" s="38" t="str">
        <f>IFERROR(__xludf.DUMMYFUNCTION("REGEXREPLACE(C1319,""-\d+(.*)|--\d+(.*)"","""")"),"ALINCTHUN")</f>
        <v>ALINCTHUN</v>
      </c>
      <c r="E1319" s="38" t="s">
        <v>109</v>
      </c>
      <c r="F1319" s="38" t="s">
        <v>86</v>
      </c>
      <c r="G1319" s="49" t="str">
        <f t="shared" si="1"/>
        <v>62142</v>
      </c>
      <c r="H1319" s="49">
        <f t="shared" si="2"/>
        <v>62022</v>
      </c>
    </row>
    <row r="1320">
      <c r="A1320" s="48" t="s">
        <v>2631</v>
      </c>
      <c r="B1320" s="38">
        <v>64012.0</v>
      </c>
      <c r="C1320" s="38" t="s">
        <v>2632</v>
      </c>
      <c r="D1320" s="38" t="str">
        <f>IFERROR(__xludf.DUMMYFUNCTION("REGEXREPLACE(C1320,""-\d+(.*)|--\d+(.*)"","""")"),"AINHARP")</f>
        <v>AINHARP</v>
      </c>
      <c r="E1320" s="38" t="s">
        <v>268</v>
      </c>
      <c r="F1320" s="38" t="s">
        <v>252</v>
      </c>
      <c r="G1320" s="49" t="str">
        <f t="shared" si="1"/>
        <v>64130</v>
      </c>
      <c r="H1320" s="49">
        <f t="shared" si="2"/>
        <v>64012</v>
      </c>
    </row>
    <row r="1321">
      <c r="A1321" s="48" t="s">
        <v>2633</v>
      </c>
      <c r="B1321" s="38" t="s">
        <v>2634</v>
      </c>
      <c r="C1321" s="38" t="s">
        <v>2635</v>
      </c>
      <c r="D1321" s="38" t="str">
        <f>IFERROR(__xludf.DUMMYFUNCTION("REGEXREPLACE(C1321,""-\d+(.*)|--\d+(.*)"","""")"),"EVISA")</f>
        <v>EVISA</v>
      </c>
      <c r="E1321" s="38" t="s">
        <v>606</v>
      </c>
      <c r="F1321" s="38" t="s">
        <v>607</v>
      </c>
      <c r="G1321" s="49" t="str">
        <f t="shared" si="1"/>
        <v>20126</v>
      </c>
      <c r="H1321" s="49" t="str">
        <f t="shared" si="2"/>
        <v>2A108</v>
      </c>
    </row>
    <row r="1322">
      <c r="A1322" s="48" t="s">
        <v>298</v>
      </c>
      <c r="B1322" s="38">
        <v>28232.0</v>
      </c>
      <c r="C1322" s="38" t="s">
        <v>2636</v>
      </c>
      <c r="D1322" s="38" t="str">
        <f>IFERROR(__xludf.DUMMYFUNCTION("REGEXREPLACE(C1322,""-\d+(.*)|--\d+(.*)"","""")"),"MANOU")</f>
        <v>MANOU</v>
      </c>
      <c r="E1322" s="38" t="s">
        <v>300</v>
      </c>
      <c r="F1322" s="38" t="s">
        <v>123</v>
      </c>
      <c r="G1322" s="49" t="str">
        <f t="shared" si="1"/>
        <v>28240</v>
      </c>
      <c r="H1322" s="49">
        <f t="shared" si="2"/>
        <v>28232</v>
      </c>
    </row>
    <row r="1323">
      <c r="A1323" s="48" t="s">
        <v>2254</v>
      </c>
      <c r="B1323" s="38">
        <v>62761.0</v>
      </c>
      <c r="C1323" s="38" t="s">
        <v>2637</v>
      </c>
      <c r="D1323" s="38" t="str">
        <f>IFERROR(__xludf.DUMMYFUNCTION("REGEXREPLACE(C1323,""-\d+(.*)|--\d+(.*)"","""")"),"SAINT-MARTIN-SUR-COJEUL")</f>
        <v>SAINT-MARTIN-SUR-COJEUL</v>
      </c>
      <c r="E1323" s="38" t="s">
        <v>109</v>
      </c>
      <c r="F1323" s="38" t="s">
        <v>86</v>
      </c>
      <c r="G1323" s="49" t="str">
        <f t="shared" si="1"/>
        <v>62128</v>
      </c>
      <c r="H1323" s="49">
        <f t="shared" si="2"/>
        <v>62761</v>
      </c>
    </row>
    <row r="1324">
      <c r="A1324" s="48" t="s">
        <v>2638</v>
      </c>
      <c r="B1324" s="38">
        <v>56219.0</v>
      </c>
      <c r="C1324" s="38" t="s">
        <v>2639</v>
      </c>
      <c r="D1324" s="38" t="str">
        <f>IFERROR(__xludf.DUMMYFUNCTION("REGEXREPLACE(C1324,""-\d+(.*)|--\d+(.*)"","""")"),"SAINT-GUYOMARD")</f>
        <v>SAINT-GUYOMARD</v>
      </c>
      <c r="E1324" s="38" t="s">
        <v>173</v>
      </c>
      <c r="F1324" s="38" t="s">
        <v>90</v>
      </c>
      <c r="G1324" s="49" t="str">
        <f t="shared" si="1"/>
        <v>56460</v>
      </c>
      <c r="H1324" s="49">
        <f t="shared" si="2"/>
        <v>56219</v>
      </c>
    </row>
    <row r="1325">
      <c r="A1325" s="48" t="s">
        <v>2640</v>
      </c>
      <c r="B1325" s="38">
        <v>58034.0</v>
      </c>
      <c r="C1325" s="38" t="s">
        <v>2641</v>
      </c>
      <c r="D1325" s="38" t="str">
        <f>IFERROR(__xludf.DUMMYFUNCTION("REGEXREPLACE(C1325,""-\d+(.*)|--\d+(.*)"","""")"),"BLISMES")</f>
        <v>BLISMES</v>
      </c>
      <c r="E1325" s="38" t="s">
        <v>219</v>
      </c>
      <c r="F1325" s="38" t="s">
        <v>106</v>
      </c>
      <c r="G1325" s="49" t="str">
        <f t="shared" si="1"/>
        <v>58120</v>
      </c>
      <c r="H1325" s="49">
        <f t="shared" si="2"/>
        <v>58034</v>
      </c>
    </row>
    <row r="1326">
      <c r="A1326" s="48" t="s">
        <v>2642</v>
      </c>
      <c r="B1326" s="38">
        <v>37115.0</v>
      </c>
      <c r="C1326" s="38" t="s">
        <v>2643</v>
      </c>
      <c r="D1326" s="38" t="str">
        <f>IFERROR(__xludf.DUMMYFUNCTION("REGEXREPLACE(C1326,""-\d+(.*)|--\d+(.*)"","""")"),"DESCARTES")</f>
        <v>DESCARTES</v>
      </c>
      <c r="E1326" s="38" t="s">
        <v>205</v>
      </c>
      <c r="F1326" s="38" t="s">
        <v>123</v>
      </c>
      <c r="G1326" s="49" t="str">
        <f t="shared" si="1"/>
        <v>37160</v>
      </c>
      <c r="H1326" s="49">
        <f t="shared" si="2"/>
        <v>37115</v>
      </c>
    </row>
    <row r="1327">
      <c r="A1327" s="48" t="s">
        <v>2644</v>
      </c>
      <c r="B1327" s="38">
        <v>14407.0</v>
      </c>
      <c r="C1327" s="38" t="s">
        <v>2645</v>
      </c>
      <c r="D1327" s="38" t="str">
        <f>IFERROR(__xludf.DUMMYFUNCTION("REGEXREPLACE(C1327,""-\d+(.*)|--\d+(.*)"","""")"),"MATHIEU")</f>
        <v>MATHIEU</v>
      </c>
      <c r="E1327" s="38" t="s">
        <v>137</v>
      </c>
      <c r="F1327" s="38" t="s">
        <v>138</v>
      </c>
      <c r="G1327" s="49" t="str">
        <f t="shared" si="1"/>
        <v>14920</v>
      </c>
      <c r="H1327" s="49">
        <f t="shared" si="2"/>
        <v>14407</v>
      </c>
    </row>
    <row r="1328">
      <c r="A1328" s="48" t="s">
        <v>1262</v>
      </c>
      <c r="B1328" s="38">
        <v>11175.0</v>
      </c>
      <c r="C1328" s="38" t="s">
        <v>2646</v>
      </c>
      <c r="D1328" s="38" t="str">
        <f>IFERROR(__xludf.DUMMYFUNCTION("REGEXREPLACE(C1328,""-\d+(.*)|--\d+(.*)"","""")"),"ISSEL")</f>
        <v>ISSEL</v>
      </c>
      <c r="E1328" s="38" t="s">
        <v>278</v>
      </c>
      <c r="F1328" s="38" t="s">
        <v>119</v>
      </c>
      <c r="G1328" s="49" t="str">
        <f t="shared" si="1"/>
        <v>11400</v>
      </c>
      <c r="H1328" s="49">
        <f t="shared" si="2"/>
        <v>11175</v>
      </c>
    </row>
    <row r="1329">
      <c r="A1329" s="48" t="s">
        <v>1381</v>
      </c>
      <c r="B1329" s="38">
        <v>62084.0</v>
      </c>
      <c r="C1329" s="38" t="s">
        <v>2647</v>
      </c>
      <c r="D1329" s="38" t="str">
        <f>IFERROR(__xludf.DUMMYFUNCTION("REGEXREPLACE(C1329,""-\d+(.*)|--\d+(.*)"","""")"),"BARLY")</f>
        <v>BARLY</v>
      </c>
      <c r="E1329" s="38" t="s">
        <v>109</v>
      </c>
      <c r="F1329" s="38" t="s">
        <v>86</v>
      </c>
      <c r="G1329" s="49" t="str">
        <f t="shared" si="1"/>
        <v>62810</v>
      </c>
      <c r="H1329" s="49">
        <f t="shared" si="2"/>
        <v>62084</v>
      </c>
    </row>
    <row r="1330">
      <c r="A1330" s="48" t="s">
        <v>2648</v>
      </c>
      <c r="B1330" s="38">
        <v>45234.0</v>
      </c>
      <c r="C1330" s="38" t="s">
        <v>2649</v>
      </c>
      <c r="D1330" s="38" t="str">
        <f>IFERROR(__xludf.DUMMYFUNCTION("REGEXREPLACE(C1330,""-\d+(.*)|--\d+(.*)"","""")"),"ORLEANS")</f>
        <v>ORLEANS</v>
      </c>
      <c r="E1330" s="38" t="s">
        <v>122</v>
      </c>
      <c r="F1330" s="38" t="s">
        <v>123</v>
      </c>
      <c r="G1330" s="49" t="str">
        <f t="shared" si="1"/>
        <v>45000/45100</v>
      </c>
      <c r="H1330" s="49">
        <f t="shared" si="2"/>
        <v>45234</v>
      </c>
    </row>
    <row r="1331">
      <c r="A1331" s="48" t="s">
        <v>2650</v>
      </c>
      <c r="B1331" s="38">
        <v>65214.0</v>
      </c>
      <c r="C1331" s="38" t="s">
        <v>2651</v>
      </c>
      <c r="D1331" s="38" t="str">
        <f>IFERROR(__xludf.DUMMYFUNCTION("REGEXREPLACE(C1331,""-\d+(.*)|--\d+(.*)"","""")"),"HACHAN")</f>
        <v>HACHAN</v>
      </c>
      <c r="E1331" s="38" t="s">
        <v>200</v>
      </c>
      <c r="F1331" s="38" t="s">
        <v>94</v>
      </c>
      <c r="G1331" s="49" t="str">
        <f t="shared" si="1"/>
        <v>65230</v>
      </c>
      <c r="H1331" s="49">
        <f t="shared" si="2"/>
        <v>65214</v>
      </c>
    </row>
    <row r="1332">
      <c r="A1332" s="48" t="s">
        <v>2652</v>
      </c>
      <c r="B1332" s="38">
        <v>84067.0</v>
      </c>
      <c r="C1332" s="38" t="s">
        <v>2653</v>
      </c>
      <c r="D1332" s="38" t="str">
        <f>IFERROR(__xludf.DUMMYFUNCTION("REGEXREPLACE(C1332,""-\d+(.*)|--\d+(.*)"","""")"),"LORIOL-DU-COMTAT")</f>
        <v>LORIOL-DU-COMTAT</v>
      </c>
      <c r="E1332" s="38" t="s">
        <v>1026</v>
      </c>
      <c r="F1332" s="38" t="s">
        <v>228</v>
      </c>
      <c r="G1332" s="49" t="str">
        <f t="shared" si="1"/>
        <v>84870</v>
      </c>
      <c r="H1332" s="49">
        <f t="shared" si="2"/>
        <v>84067</v>
      </c>
    </row>
    <row r="1333">
      <c r="A1333" s="48" t="s">
        <v>266</v>
      </c>
      <c r="B1333" s="38">
        <v>64446.0</v>
      </c>
      <c r="C1333" s="38" t="s">
        <v>2654</v>
      </c>
      <c r="D1333" s="38" t="str">
        <f>IFERROR(__xludf.DUMMYFUNCTION("REGEXREPLACE(C1333,""-\d+(.*)|--\d+(.*)"","""")"),"PEYRELONGUE-ABOS")</f>
        <v>PEYRELONGUE-ABOS</v>
      </c>
      <c r="E1333" s="38" t="s">
        <v>268</v>
      </c>
      <c r="F1333" s="38" t="s">
        <v>252</v>
      </c>
      <c r="G1333" s="49" t="str">
        <f t="shared" si="1"/>
        <v>64350</v>
      </c>
      <c r="H1333" s="49">
        <f t="shared" si="2"/>
        <v>64446</v>
      </c>
    </row>
    <row r="1334">
      <c r="A1334" s="48" t="s">
        <v>2655</v>
      </c>
      <c r="B1334" s="38">
        <v>52170.0</v>
      </c>
      <c r="C1334" s="38" t="s">
        <v>2656</v>
      </c>
      <c r="D1334" s="38" t="str">
        <f>IFERROR(__xludf.DUMMYFUNCTION("REGEXREPLACE(C1334,""-\d+(.*)|--\d+(.*)"","""")"),"DOMMARIEN")</f>
        <v>DOMMARIEN</v>
      </c>
      <c r="E1334" s="38" t="s">
        <v>234</v>
      </c>
      <c r="F1334" s="38" t="s">
        <v>130</v>
      </c>
      <c r="G1334" s="49" t="str">
        <f t="shared" si="1"/>
        <v>52190</v>
      </c>
      <c r="H1334" s="49">
        <f t="shared" si="2"/>
        <v>52170</v>
      </c>
    </row>
    <row r="1335">
      <c r="A1335" s="48" t="s">
        <v>2657</v>
      </c>
      <c r="B1335" s="38">
        <v>59209.0</v>
      </c>
      <c r="C1335" s="38" t="s">
        <v>2658</v>
      </c>
      <c r="D1335" s="38" t="str">
        <f>IFERROR(__xludf.DUMMYFUNCTION("REGEXREPLACE(C1335,""-\d+(.*)|--\d+(.*)"","""")"),"ESNES")</f>
        <v>ESNES</v>
      </c>
      <c r="E1335" s="38" t="s">
        <v>85</v>
      </c>
      <c r="F1335" s="38" t="s">
        <v>86</v>
      </c>
      <c r="G1335" s="49" t="str">
        <f t="shared" si="1"/>
        <v>59127</v>
      </c>
      <c r="H1335" s="49">
        <f t="shared" si="2"/>
        <v>59209</v>
      </c>
    </row>
    <row r="1336">
      <c r="A1336" s="48" t="s">
        <v>2659</v>
      </c>
      <c r="B1336" s="38">
        <v>80798.0</v>
      </c>
      <c r="C1336" s="38" t="s">
        <v>2660</v>
      </c>
      <c r="D1336" s="38" t="str">
        <f>IFERROR(__xludf.DUMMYFUNCTION("REGEXREPLACE(C1336,""-\d+(.*)|--\d+(.*)"","""")"),"VILLERS-BOCAGE")</f>
        <v>VILLERS-BOCAGE</v>
      </c>
      <c r="E1336" s="38" t="s">
        <v>224</v>
      </c>
      <c r="F1336" s="38" t="s">
        <v>113</v>
      </c>
      <c r="G1336" s="49" t="str">
        <f t="shared" si="1"/>
        <v>80260</v>
      </c>
      <c r="H1336" s="49">
        <f t="shared" si="2"/>
        <v>80798</v>
      </c>
    </row>
    <row r="1337">
      <c r="A1337" s="48" t="s">
        <v>2661</v>
      </c>
      <c r="B1337" s="38">
        <v>50006.0</v>
      </c>
      <c r="C1337" s="38" t="s">
        <v>2662</v>
      </c>
      <c r="D1337" s="38" t="str">
        <f>IFERROR(__xludf.DUMMYFUNCTION("REGEXREPLACE(C1337,""-\d+(.*)|--\d+(.*)"","""")"),"AMIGNY")</f>
        <v>AMIGNY</v>
      </c>
      <c r="E1337" s="38" t="s">
        <v>157</v>
      </c>
      <c r="F1337" s="38" t="s">
        <v>138</v>
      </c>
      <c r="G1337" s="49" t="str">
        <f t="shared" si="1"/>
        <v>50620</v>
      </c>
      <c r="H1337" s="49">
        <f t="shared" si="2"/>
        <v>50006</v>
      </c>
    </row>
    <row r="1338">
      <c r="A1338" s="48" t="s">
        <v>2249</v>
      </c>
      <c r="B1338" s="38">
        <v>14453.0</v>
      </c>
      <c r="C1338" s="38" t="s">
        <v>2663</v>
      </c>
      <c r="D1338" s="38" t="str">
        <f>IFERROR(__xludf.DUMMYFUNCTION("REGEXREPLACE(C1338,""-\d+(.*)|--\d+(.*)"","""")"),"MOSLES")</f>
        <v>MOSLES</v>
      </c>
      <c r="E1338" s="38" t="s">
        <v>137</v>
      </c>
      <c r="F1338" s="38" t="s">
        <v>138</v>
      </c>
      <c r="G1338" s="49" t="str">
        <f t="shared" si="1"/>
        <v>14400</v>
      </c>
      <c r="H1338" s="49">
        <f t="shared" si="2"/>
        <v>14453</v>
      </c>
    </row>
    <row r="1339">
      <c r="A1339" s="48" t="s">
        <v>2664</v>
      </c>
      <c r="B1339" s="38">
        <v>87141.0</v>
      </c>
      <c r="C1339" s="38" t="s">
        <v>2665</v>
      </c>
      <c r="D1339" s="38" t="str">
        <f>IFERROR(__xludf.DUMMYFUNCTION("REGEXREPLACE(C1339,""-\d+(.*)|--\d+(.*)"","""")"),"SAINT-CYR")</f>
        <v>SAINT-CYR</v>
      </c>
      <c r="E1339" s="38" t="s">
        <v>897</v>
      </c>
      <c r="F1339" s="38" t="s">
        <v>98</v>
      </c>
      <c r="G1339" s="49" t="str">
        <f t="shared" si="1"/>
        <v>87310</v>
      </c>
      <c r="H1339" s="49">
        <f t="shared" si="2"/>
        <v>87141</v>
      </c>
    </row>
    <row r="1340">
      <c r="A1340" s="48" t="s">
        <v>2666</v>
      </c>
      <c r="B1340" s="38">
        <v>34078.0</v>
      </c>
      <c r="C1340" s="38" t="s">
        <v>2667</v>
      </c>
      <c r="D1340" s="38" t="str">
        <f>IFERROR(__xludf.DUMMYFUNCTION("REGEXREPLACE(C1340,""-\d+(.*)|--\d+(.*)"","""")"),"CLARET")</f>
        <v>CLARET</v>
      </c>
      <c r="E1340" s="38" t="s">
        <v>118</v>
      </c>
      <c r="F1340" s="38" t="s">
        <v>119</v>
      </c>
      <c r="G1340" s="49" t="str">
        <f t="shared" si="1"/>
        <v>34270</v>
      </c>
      <c r="H1340" s="49">
        <f t="shared" si="2"/>
        <v>34078</v>
      </c>
    </row>
    <row r="1341">
      <c r="A1341" s="48" t="s">
        <v>2668</v>
      </c>
      <c r="B1341" s="38">
        <v>55208.0</v>
      </c>
      <c r="C1341" s="38" t="s">
        <v>2669</v>
      </c>
      <c r="D1341" s="38" t="str">
        <f>IFERROR(__xludf.DUMMYFUNCTION("REGEXREPLACE(C1341,""-\d+(.*)|--\d+(.*)"","""")"),"GESNES-EN-ARGONNE")</f>
        <v>GESNES-EN-ARGONNE</v>
      </c>
      <c r="E1341" s="38" t="s">
        <v>322</v>
      </c>
      <c r="F1341" s="38" t="s">
        <v>195</v>
      </c>
      <c r="G1341" s="49" t="str">
        <f t="shared" si="1"/>
        <v>55110</v>
      </c>
      <c r="H1341" s="49">
        <f t="shared" si="2"/>
        <v>55208</v>
      </c>
    </row>
    <row r="1342">
      <c r="A1342" s="48" t="s">
        <v>489</v>
      </c>
      <c r="B1342" s="38">
        <v>9145.0</v>
      </c>
      <c r="C1342" s="38" t="s">
        <v>2670</v>
      </c>
      <c r="D1342" s="38" t="str">
        <f>IFERROR(__xludf.DUMMYFUNCTION("REGEXREPLACE(C1342,""-\d+(.*)|--\d+(.*)"","""")"),"LES ISSARDS")</f>
        <v>LES ISSARDS</v>
      </c>
      <c r="E1342" s="38" t="s">
        <v>238</v>
      </c>
      <c r="F1342" s="38" t="s">
        <v>94</v>
      </c>
      <c r="G1342" s="49" t="str">
        <f t="shared" si="1"/>
        <v>09100</v>
      </c>
      <c r="H1342" s="49" t="str">
        <f t="shared" si="2"/>
        <v>09145</v>
      </c>
    </row>
    <row r="1343">
      <c r="A1343" s="48" t="s">
        <v>2671</v>
      </c>
      <c r="B1343" s="38">
        <v>65189.0</v>
      </c>
      <c r="C1343" s="38" t="s">
        <v>2672</v>
      </c>
      <c r="D1343" s="38" t="str">
        <f>IFERROR(__xludf.DUMMYFUNCTION("REGEXREPLACE(C1343,""-\d+(.*)|--\d+(.*)"","""")"),"GAYAN")</f>
        <v>GAYAN</v>
      </c>
      <c r="E1343" s="38" t="s">
        <v>200</v>
      </c>
      <c r="F1343" s="38" t="s">
        <v>94</v>
      </c>
      <c r="G1343" s="49" t="str">
        <f t="shared" si="1"/>
        <v>65320</v>
      </c>
      <c r="H1343" s="49">
        <f t="shared" si="2"/>
        <v>65189</v>
      </c>
    </row>
    <row r="1344">
      <c r="A1344" s="48" t="s">
        <v>2673</v>
      </c>
      <c r="B1344" s="38">
        <v>3076.0</v>
      </c>
      <c r="C1344" s="38" t="s">
        <v>2674</v>
      </c>
      <c r="D1344" s="38" t="str">
        <f>IFERROR(__xludf.DUMMYFUNCTION("REGEXREPLACE(C1344,""-\d+(.*)|--\d+(.*)"","""")"),"CHEZY")</f>
        <v>CHEZY</v>
      </c>
      <c r="E1344" s="38" t="s">
        <v>160</v>
      </c>
      <c r="F1344" s="38" t="s">
        <v>161</v>
      </c>
      <c r="G1344" s="49" t="str">
        <f t="shared" si="1"/>
        <v>03230</v>
      </c>
      <c r="H1344" s="49" t="str">
        <f t="shared" si="2"/>
        <v>03076</v>
      </c>
    </row>
    <row r="1345">
      <c r="A1345" s="48" t="s">
        <v>2675</v>
      </c>
      <c r="B1345" s="38">
        <v>44220.0</v>
      </c>
      <c r="C1345" s="38" t="s">
        <v>2676</v>
      </c>
      <c r="D1345" s="38" t="str">
        <f>IFERROR(__xludf.DUMMYFUNCTION("REGEXREPLACE(C1345,""-\d+(.*)|--\d+(.*)"","""")"),"VUE")</f>
        <v>VUE</v>
      </c>
      <c r="E1345" s="38" t="s">
        <v>759</v>
      </c>
      <c r="F1345" s="38" t="s">
        <v>180</v>
      </c>
      <c r="G1345" s="49" t="str">
        <f t="shared" si="1"/>
        <v>44640</v>
      </c>
      <c r="H1345" s="49">
        <f t="shared" si="2"/>
        <v>44220</v>
      </c>
    </row>
    <row r="1346">
      <c r="A1346" s="48" t="s">
        <v>1235</v>
      </c>
      <c r="B1346" s="38">
        <v>80406.0</v>
      </c>
      <c r="C1346" s="38" t="s">
        <v>2677</v>
      </c>
      <c r="D1346" s="38" t="str">
        <f>IFERROR(__xludf.DUMMYFUNCTION("REGEXREPLACE(C1346,""-\d+(.*)|--\d+(.*)"","""")"),"HALLENCOURT")</f>
        <v>HALLENCOURT</v>
      </c>
      <c r="E1346" s="38" t="s">
        <v>224</v>
      </c>
      <c r="F1346" s="38" t="s">
        <v>113</v>
      </c>
      <c r="G1346" s="49" t="str">
        <f t="shared" si="1"/>
        <v>80490</v>
      </c>
      <c r="H1346" s="49">
        <f t="shared" si="2"/>
        <v>80406</v>
      </c>
    </row>
    <row r="1347">
      <c r="A1347" s="48" t="s">
        <v>2678</v>
      </c>
      <c r="B1347" s="38">
        <v>8202.0</v>
      </c>
      <c r="C1347" s="38" t="s">
        <v>2679</v>
      </c>
      <c r="D1347" s="38" t="str">
        <f>IFERROR(__xludf.DUMMYFUNCTION("REGEXREPLACE(C1347,""-\d+(.*)|--\d+(.*)"","""")"),"GUE-D'HOSSUS")</f>
        <v>GUE-D'HOSSUS</v>
      </c>
      <c r="E1347" s="38" t="s">
        <v>327</v>
      </c>
      <c r="F1347" s="38" t="s">
        <v>130</v>
      </c>
      <c r="G1347" s="49" t="str">
        <f t="shared" si="1"/>
        <v>08230</v>
      </c>
      <c r="H1347" s="49" t="str">
        <f t="shared" si="2"/>
        <v>08202</v>
      </c>
    </row>
    <row r="1348">
      <c r="A1348" s="48" t="s">
        <v>1841</v>
      </c>
      <c r="B1348" s="38">
        <v>27568.0</v>
      </c>
      <c r="C1348" s="38" t="s">
        <v>2680</v>
      </c>
      <c r="D1348" s="38" t="str">
        <f>IFERROR(__xludf.DUMMYFUNCTION("REGEXREPLACE(C1348,""-\d+(.*)|--\d+(.*)"","""")"),"SAINTE-MARTHE")</f>
        <v>SAINTE-MARTHE</v>
      </c>
      <c r="E1348" s="38" t="s">
        <v>241</v>
      </c>
      <c r="F1348" s="38" t="s">
        <v>134</v>
      </c>
      <c r="G1348" s="49" t="str">
        <f t="shared" si="1"/>
        <v>27190</v>
      </c>
      <c r="H1348" s="49">
        <f t="shared" si="2"/>
        <v>27568</v>
      </c>
    </row>
    <row r="1349">
      <c r="A1349" s="48" t="s">
        <v>2681</v>
      </c>
      <c r="B1349" s="38">
        <v>67525.0</v>
      </c>
      <c r="C1349" s="38" t="s">
        <v>2682</v>
      </c>
      <c r="D1349" s="38" t="str">
        <f>IFERROR(__xludf.DUMMYFUNCTION("REGEXREPLACE(C1349,""-\d+(.*)|--\d+(.*)"","""")"),"WESTHOFFEN")</f>
        <v>WESTHOFFEN</v>
      </c>
      <c r="E1349" s="38" t="s">
        <v>210</v>
      </c>
      <c r="F1349" s="38" t="s">
        <v>151</v>
      </c>
      <c r="G1349" s="49" t="str">
        <f t="shared" si="1"/>
        <v>67310</v>
      </c>
      <c r="H1349" s="49">
        <f t="shared" si="2"/>
        <v>67525</v>
      </c>
    </row>
    <row r="1350">
      <c r="A1350" s="48" t="s">
        <v>2683</v>
      </c>
      <c r="B1350" s="38">
        <v>81196.0</v>
      </c>
      <c r="C1350" s="38" t="s">
        <v>2684</v>
      </c>
      <c r="D1350" s="38" t="str">
        <f>IFERROR(__xludf.DUMMYFUNCTION("REGEXREPLACE(C1350,""-\d+(.*)|--\d+(.*)"","""")"),"NOAILHAC")</f>
        <v>NOAILHAC</v>
      </c>
      <c r="E1350" s="38" t="s">
        <v>231</v>
      </c>
      <c r="F1350" s="38" t="s">
        <v>94</v>
      </c>
      <c r="G1350" s="49" t="str">
        <f t="shared" si="1"/>
        <v>81490</v>
      </c>
      <c r="H1350" s="49">
        <f t="shared" si="2"/>
        <v>81196</v>
      </c>
    </row>
    <row r="1351">
      <c r="A1351" s="48" t="s">
        <v>2685</v>
      </c>
      <c r="B1351" s="38" t="s">
        <v>2686</v>
      </c>
      <c r="C1351" s="38" t="s">
        <v>2687</v>
      </c>
      <c r="D1351" s="38" t="str">
        <f>IFERROR(__xludf.DUMMYFUNCTION("REGEXREPLACE(C1351,""-\d+(.*)|--\d+(.*)"","""")"),"BALOGNA")</f>
        <v>BALOGNA</v>
      </c>
      <c r="E1351" s="38" t="s">
        <v>606</v>
      </c>
      <c r="F1351" s="38" t="s">
        <v>607</v>
      </c>
      <c r="G1351" s="49" t="str">
        <f t="shared" si="1"/>
        <v>20160</v>
      </c>
      <c r="H1351" s="49" t="str">
        <f t="shared" si="2"/>
        <v>2A028</v>
      </c>
    </row>
    <row r="1352">
      <c r="A1352" s="48" t="s">
        <v>2688</v>
      </c>
      <c r="B1352" s="38">
        <v>36047.0</v>
      </c>
      <c r="C1352" s="38" t="s">
        <v>2689</v>
      </c>
      <c r="D1352" s="38" t="str">
        <f>IFERROR(__xludf.DUMMYFUNCTION("REGEXREPLACE(C1352,""-\d+(.*)|--\d+(.*)"","""")"),"LA CHATRE-LANGLIN")</f>
        <v>LA CHATRE-LANGLIN</v>
      </c>
      <c r="E1352" s="38" t="s">
        <v>258</v>
      </c>
      <c r="F1352" s="38" t="s">
        <v>123</v>
      </c>
      <c r="G1352" s="49" t="str">
        <f t="shared" si="1"/>
        <v>36170</v>
      </c>
      <c r="H1352" s="49">
        <f t="shared" si="2"/>
        <v>36047</v>
      </c>
    </row>
    <row r="1353">
      <c r="A1353" s="48" t="s">
        <v>676</v>
      </c>
      <c r="B1353" s="38">
        <v>81231.0</v>
      </c>
      <c r="C1353" s="38" t="s">
        <v>2690</v>
      </c>
      <c r="D1353" s="38" t="str">
        <f>IFERROR(__xludf.DUMMYFUNCTION("REGEXREPLACE(C1353,""-\d+(.*)|--\d+(.*)"","""")"),"ROUAIROUX")</f>
        <v>ROUAIROUX</v>
      </c>
      <c r="E1353" s="38" t="s">
        <v>231</v>
      </c>
      <c r="F1353" s="38" t="s">
        <v>94</v>
      </c>
      <c r="G1353" s="49" t="str">
        <f t="shared" si="1"/>
        <v>81240</v>
      </c>
      <c r="H1353" s="49">
        <f t="shared" si="2"/>
        <v>81231</v>
      </c>
    </row>
    <row r="1354">
      <c r="A1354" s="48" t="s">
        <v>386</v>
      </c>
      <c r="B1354" s="38">
        <v>21621.0</v>
      </c>
      <c r="C1354" s="38" t="s">
        <v>2691</v>
      </c>
      <c r="D1354" s="38" t="str">
        <f>IFERROR(__xludf.DUMMYFUNCTION("REGEXREPLACE(C1354,""-\d+(.*)|--\d+(.*)"","""")"),"TART-L'ABBAYE")</f>
        <v>TART-L'ABBAYE</v>
      </c>
      <c r="E1354" s="38" t="s">
        <v>105</v>
      </c>
      <c r="F1354" s="38" t="s">
        <v>106</v>
      </c>
      <c r="G1354" s="49" t="str">
        <f t="shared" si="1"/>
        <v>21110</v>
      </c>
      <c r="H1354" s="49">
        <f t="shared" si="2"/>
        <v>21621</v>
      </c>
    </row>
    <row r="1355">
      <c r="A1355" s="48" t="s">
        <v>2692</v>
      </c>
      <c r="B1355" s="38">
        <v>67340.0</v>
      </c>
      <c r="C1355" s="38" t="s">
        <v>2693</v>
      </c>
      <c r="D1355" s="38" t="str">
        <f>IFERROR(__xludf.DUMMYFUNCTION("REGEXREPLACE(C1355,""-\d+(.*)|--\d+(.*)"","""")"),"OBERBRONN")</f>
        <v>OBERBRONN</v>
      </c>
      <c r="E1355" s="38" t="s">
        <v>210</v>
      </c>
      <c r="F1355" s="38" t="s">
        <v>151</v>
      </c>
      <c r="G1355" s="49" t="str">
        <f t="shared" si="1"/>
        <v>67110</v>
      </c>
      <c r="H1355" s="49">
        <f t="shared" si="2"/>
        <v>67340</v>
      </c>
    </row>
    <row r="1356">
      <c r="A1356" s="48" t="s">
        <v>2694</v>
      </c>
      <c r="B1356" s="38" t="s">
        <v>2695</v>
      </c>
      <c r="C1356" s="38" t="s">
        <v>2696</v>
      </c>
      <c r="D1356" s="38" t="str">
        <f>IFERROR(__xludf.DUMMYFUNCTION("REGEXREPLACE(C1356,""-\d+(.*)|--\d+(.*)"","""")"),"GHISONACCIA")</f>
        <v>GHISONACCIA</v>
      </c>
      <c r="E1356" s="38" t="s">
        <v>743</v>
      </c>
      <c r="F1356" s="38" t="s">
        <v>607</v>
      </c>
      <c r="G1356" s="49" t="str">
        <f t="shared" si="1"/>
        <v>20240</v>
      </c>
      <c r="H1356" s="49" t="str">
        <f t="shared" si="2"/>
        <v>2B123</v>
      </c>
    </row>
    <row r="1357">
      <c r="A1357" s="48" t="s">
        <v>2697</v>
      </c>
      <c r="B1357" s="38">
        <v>61049.0</v>
      </c>
      <c r="C1357" s="38" t="s">
        <v>2698</v>
      </c>
      <c r="D1357" s="38" t="str">
        <f>IFERROR(__xludf.DUMMYFUNCTION("REGEXREPLACE(C1357,""-\d+(.*)|--\d+(.*)"","""")"),"BOISSEI-LA-LANDE")</f>
        <v>BOISSEI-LA-LANDE</v>
      </c>
      <c r="E1357" s="38" t="s">
        <v>141</v>
      </c>
      <c r="F1357" s="38" t="s">
        <v>138</v>
      </c>
      <c r="G1357" s="49" t="str">
        <f t="shared" si="1"/>
        <v>61570</v>
      </c>
      <c r="H1357" s="49">
        <f t="shared" si="2"/>
        <v>61049</v>
      </c>
    </row>
    <row r="1358">
      <c r="A1358" s="48" t="s">
        <v>2699</v>
      </c>
      <c r="B1358" s="38">
        <v>79049.0</v>
      </c>
      <c r="C1358" s="38" t="s">
        <v>2700</v>
      </c>
      <c r="D1358" s="38" t="str">
        <f>IFERROR(__xludf.DUMMYFUNCTION("REGEXREPLACE(C1358,""-\d+(.*)|--\d+(.*)"","""")"),"BRESSUIRE")</f>
        <v>BRESSUIRE</v>
      </c>
      <c r="E1358" s="38" t="s">
        <v>337</v>
      </c>
      <c r="F1358" s="38" t="s">
        <v>338</v>
      </c>
      <c r="G1358" s="49" t="str">
        <f t="shared" si="1"/>
        <v>79300</v>
      </c>
      <c r="H1358" s="49">
        <f t="shared" si="2"/>
        <v>79049</v>
      </c>
    </row>
    <row r="1359">
      <c r="A1359" s="48" t="s">
        <v>2701</v>
      </c>
      <c r="B1359" s="38">
        <v>17450.0</v>
      </c>
      <c r="C1359" s="38" t="s">
        <v>2702</v>
      </c>
      <c r="D1359" s="38" t="str">
        <f>IFERROR(__xludf.DUMMYFUNCTION("REGEXREPLACE(C1359,""-\d+(.*)|--\d+(.*)"","""")"),"TORXE")</f>
        <v>TORXE</v>
      </c>
      <c r="E1359" s="38" t="s">
        <v>488</v>
      </c>
      <c r="F1359" s="38" t="s">
        <v>338</v>
      </c>
      <c r="G1359" s="49" t="str">
        <f t="shared" si="1"/>
        <v>17380</v>
      </c>
      <c r="H1359" s="49">
        <f t="shared" si="2"/>
        <v>17450</v>
      </c>
    </row>
    <row r="1360">
      <c r="A1360" s="48" t="s">
        <v>2703</v>
      </c>
      <c r="B1360" s="38">
        <v>69178.0</v>
      </c>
      <c r="C1360" s="38" t="s">
        <v>2704</v>
      </c>
      <c r="D1360" s="38" t="str">
        <f>IFERROR(__xludf.DUMMYFUNCTION("REGEXREPLACE(C1360,""-\d+(.*)|--\d+(.*)"","""")"),"SOUZY")</f>
        <v>SOUZY</v>
      </c>
      <c r="E1360" s="38" t="s">
        <v>350</v>
      </c>
      <c r="F1360" s="38" t="s">
        <v>102</v>
      </c>
      <c r="G1360" s="49" t="str">
        <f t="shared" si="1"/>
        <v>69610</v>
      </c>
      <c r="H1360" s="49">
        <f t="shared" si="2"/>
        <v>69178</v>
      </c>
    </row>
    <row r="1361">
      <c r="A1361" s="48" t="s">
        <v>2705</v>
      </c>
      <c r="B1361" s="38">
        <v>77520.0</v>
      </c>
      <c r="C1361" s="38" t="s">
        <v>2706</v>
      </c>
      <c r="D1361" s="38" t="str">
        <f>IFERROR(__xludf.DUMMYFUNCTION("REGEXREPLACE(C1361,""-\d+(.*)|--\d+(.*)"","""")"),"VILLIERS-SOUS-GREZ")</f>
        <v>VILLIERS-SOUS-GREZ</v>
      </c>
      <c r="E1361" s="38" t="s">
        <v>244</v>
      </c>
      <c r="F1361" s="38" t="s">
        <v>245</v>
      </c>
      <c r="G1361" s="49" t="str">
        <f t="shared" si="1"/>
        <v>77760</v>
      </c>
      <c r="H1361" s="49">
        <f t="shared" si="2"/>
        <v>77520</v>
      </c>
    </row>
    <row r="1362">
      <c r="A1362" s="48" t="s">
        <v>2300</v>
      </c>
      <c r="B1362" s="38">
        <v>28417.0</v>
      </c>
      <c r="C1362" s="38" t="s">
        <v>2707</v>
      </c>
      <c r="D1362" s="38" t="str">
        <f>IFERROR(__xludf.DUMMYFUNCTION("REGEXREPLACE(C1362,""-\d+(.*)|--\d+(.*)"","""")"),"VILLIERS-LE-MORHIER")</f>
        <v>VILLIERS-LE-MORHIER</v>
      </c>
      <c r="E1362" s="38" t="s">
        <v>300</v>
      </c>
      <c r="F1362" s="38" t="s">
        <v>123</v>
      </c>
      <c r="G1362" s="49" t="str">
        <f t="shared" si="1"/>
        <v>28130</v>
      </c>
      <c r="H1362" s="49">
        <f t="shared" si="2"/>
        <v>28417</v>
      </c>
    </row>
    <row r="1363">
      <c r="A1363" s="48" t="s">
        <v>2708</v>
      </c>
      <c r="B1363" s="38">
        <v>70010.0</v>
      </c>
      <c r="C1363" s="38" t="s">
        <v>2709</v>
      </c>
      <c r="D1363" s="38" t="str">
        <f>IFERROR(__xludf.DUMMYFUNCTION("REGEXREPLACE(C1363,""-\d+(.*)|--\d+(.*)"","""")"),"ALAINCOURT")</f>
        <v>ALAINCOURT</v>
      </c>
      <c r="E1363" s="38" t="s">
        <v>956</v>
      </c>
      <c r="F1363" s="38" t="s">
        <v>214</v>
      </c>
      <c r="G1363" s="49" t="str">
        <f t="shared" si="1"/>
        <v>70210</v>
      </c>
      <c r="H1363" s="49">
        <f t="shared" si="2"/>
        <v>70010</v>
      </c>
    </row>
    <row r="1364">
      <c r="A1364" s="48" t="s">
        <v>2710</v>
      </c>
      <c r="B1364" s="38">
        <v>68184.0</v>
      </c>
      <c r="C1364" s="38" t="s">
        <v>2711</v>
      </c>
      <c r="D1364" s="38" t="str">
        <f>IFERROR(__xludf.DUMMYFUNCTION("REGEXREPLACE(C1364,""-\d+(.*)|--\d+(.*)"","""")"),"LIEBSDORF")</f>
        <v>LIEBSDORF</v>
      </c>
      <c r="E1364" s="38" t="s">
        <v>150</v>
      </c>
      <c r="F1364" s="38" t="s">
        <v>151</v>
      </c>
      <c r="G1364" s="49" t="str">
        <f t="shared" si="1"/>
        <v>68480</v>
      </c>
      <c r="H1364" s="49">
        <f t="shared" si="2"/>
        <v>68184</v>
      </c>
    </row>
    <row r="1365">
      <c r="A1365" s="48" t="s">
        <v>2712</v>
      </c>
      <c r="B1365" s="38">
        <v>72277.0</v>
      </c>
      <c r="C1365" s="38" t="s">
        <v>2713</v>
      </c>
      <c r="D1365" s="38" t="str">
        <f>IFERROR(__xludf.DUMMYFUNCTION("REGEXREPLACE(C1365,""-\d+(.*)|--\d+(.*)"","""")"),"SAINT-DENIS-DES-COUDRAIS")</f>
        <v>SAINT-DENIS-DES-COUDRAIS</v>
      </c>
      <c r="E1365" s="38" t="s">
        <v>521</v>
      </c>
      <c r="F1365" s="38" t="s">
        <v>180</v>
      </c>
      <c r="G1365" s="49" t="str">
        <f t="shared" si="1"/>
        <v>72110</v>
      </c>
      <c r="H1365" s="49">
        <f t="shared" si="2"/>
        <v>72277</v>
      </c>
    </row>
    <row r="1366">
      <c r="A1366" s="48" t="s">
        <v>2714</v>
      </c>
      <c r="B1366" s="38">
        <v>61126.0</v>
      </c>
      <c r="C1366" s="38" t="s">
        <v>2715</v>
      </c>
      <c r="D1366" s="38" t="str">
        <f>IFERROR(__xludf.DUMMYFUNCTION("REGEXREPLACE(C1366,""-\d+(.*)|--\d+(.*)"","""")"),"COULONGES-SUR-SARTHE")</f>
        <v>COULONGES-SUR-SARTHE</v>
      </c>
      <c r="E1366" s="38" t="s">
        <v>141</v>
      </c>
      <c r="F1366" s="38" t="s">
        <v>138</v>
      </c>
      <c r="G1366" s="49" t="str">
        <f t="shared" si="1"/>
        <v>61170</v>
      </c>
      <c r="H1366" s="49">
        <f t="shared" si="2"/>
        <v>61126</v>
      </c>
    </row>
    <row r="1367">
      <c r="A1367" s="48" t="s">
        <v>1352</v>
      </c>
      <c r="B1367" s="38">
        <v>79042.0</v>
      </c>
      <c r="C1367" s="38" t="s">
        <v>2716</v>
      </c>
      <c r="D1367" s="38" t="str">
        <f>IFERROR(__xludf.DUMMYFUNCTION("REGEXREPLACE(C1367,""-\d+(.*)|--\d+(.*)"","""")"),"BOUGON")</f>
        <v>BOUGON</v>
      </c>
      <c r="E1367" s="38" t="s">
        <v>337</v>
      </c>
      <c r="F1367" s="38" t="s">
        <v>338</v>
      </c>
      <c r="G1367" s="49" t="str">
        <f t="shared" si="1"/>
        <v>79800</v>
      </c>
      <c r="H1367" s="49">
        <f t="shared" si="2"/>
        <v>79042</v>
      </c>
    </row>
    <row r="1368">
      <c r="A1368" s="48" t="s">
        <v>509</v>
      </c>
      <c r="B1368" s="38">
        <v>28199.0</v>
      </c>
      <c r="C1368" s="38" t="s">
        <v>2717</v>
      </c>
      <c r="D1368" s="38" t="str">
        <f>IFERROR(__xludf.DUMMYFUNCTION("REGEXREPLACE(C1368,""-\d+(.*)|--\d+(.*)"","""")"),"JANVILLE")</f>
        <v>JANVILLE</v>
      </c>
      <c r="E1368" s="38" t="s">
        <v>300</v>
      </c>
      <c r="F1368" s="38" t="s">
        <v>123</v>
      </c>
      <c r="G1368" s="49" t="str">
        <f t="shared" si="1"/>
        <v>28310</v>
      </c>
      <c r="H1368" s="49">
        <f t="shared" si="2"/>
        <v>28199</v>
      </c>
    </row>
    <row r="1369">
      <c r="A1369" s="48" t="s">
        <v>2389</v>
      </c>
      <c r="B1369" s="38">
        <v>64529.0</v>
      </c>
      <c r="C1369" s="38" t="s">
        <v>2718</v>
      </c>
      <c r="D1369" s="38" t="str">
        <f>IFERROR(__xludf.DUMMYFUNCTION("REGEXREPLACE(C1369,""-\d+(.*)|--\d+(.*)"","""")"),"SUS")</f>
        <v>SUS</v>
      </c>
      <c r="E1369" s="38" t="s">
        <v>268</v>
      </c>
      <c r="F1369" s="38" t="s">
        <v>252</v>
      </c>
      <c r="G1369" s="49" t="str">
        <f t="shared" si="1"/>
        <v>64190</v>
      </c>
      <c r="H1369" s="49">
        <f t="shared" si="2"/>
        <v>64529</v>
      </c>
    </row>
    <row r="1370">
      <c r="A1370" s="48" t="s">
        <v>2719</v>
      </c>
      <c r="B1370" s="38">
        <v>95219.0</v>
      </c>
      <c r="C1370" s="38" t="s">
        <v>2720</v>
      </c>
      <c r="D1370" s="38" t="str">
        <f>IFERROR(__xludf.DUMMYFUNCTION("REGEXREPLACE(C1370,""-\d+(.*)|--\d+(.*)"","""")"),"ERMONT")</f>
        <v>ERMONT</v>
      </c>
      <c r="E1370" s="38" t="s">
        <v>541</v>
      </c>
      <c r="F1370" s="38" t="s">
        <v>245</v>
      </c>
      <c r="G1370" s="49" t="str">
        <f t="shared" si="1"/>
        <v>95120</v>
      </c>
      <c r="H1370" s="49">
        <f t="shared" si="2"/>
        <v>95219</v>
      </c>
    </row>
    <row r="1371">
      <c r="A1371" s="48" t="s">
        <v>2721</v>
      </c>
      <c r="B1371" s="38">
        <v>26086.0</v>
      </c>
      <c r="C1371" s="38" t="s">
        <v>2722</v>
      </c>
      <c r="D1371" s="38" t="str">
        <f>IFERROR(__xludf.DUMMYFUNCTION("REGEXREPLACE(C1371,""-\d+(.*)|--\d+(.*)"","""")"),"CHATILLON-EN-DIOIS")</f>
        <v>CHATILLON-EN-DIOIS</v>
      </c>
      <c r="E1371" s="38" t="s">
        <v>126</v>
      </c>
      <c r="F1371" s="38" t="s">
        <v>102</v>
      </c>
      <c r="G1371" s="49" t="str">
        <f t="shared" si="1"/>
        <v>26410</v>
      </c>
      <c r="H1371" s="49">
        <f t="shared" si="2"/>
        <v>26086</v>
      </c>
    </row>
    <row r="1372">
      <c r="A1372" s="48" t="s">
        <v>2723</v>
      </c>
      <c r="B1372" s="38">
        <v>50284.0</v>
      </c>
      <c r="C1372" s="38" t="s">
        <v>2724</v>
      </c>
      <c r="D1372" s="38" t="str">
        <f>IFERROR(__xludf.DUMMYFUNCTION("REGEXREPLACE(C1372,""-\d+(.*)|--\d+(.*)"","""")"),"MACEY")</f>
        <v>MACEY</v>
      </c>
      <c r="E1372" s="38" t="s">
        <v>157</v>
      </c>
      <c r="F1372" s="38" t="s">
        <v>138</v>
      </c>
      <c r="G1372" s="49" t="str">
        <f t="shared" si="1"/>
        <v>50170</v>
      </c>
      <c r="H1372" s="49">
        <f t="shared" si="2"/>
        <v>50284</v>
      </c>
    </row>
    <row r="1373">
      <c r="A1373" s="48" t="s">
        <v>2300</v>
      </c>
      <c r="B1373" s="38">
        <v>28423.0</v>
      </c>
      <c r="C1373" s="38" t="s">
        <v>2725</v>
      </c>
      <c r="D1373" s="38" t="str">
        <f>IFERROR(__xludf.DUMMYFUNCTION("REGEXREPLACE(C1373,""-\d+(.*)|--\d+(.*)"","""")"),"YERMENONVILLE")</f>
        <v>YERMENONVILLE</v>
      </c>
      <c r="E1373" s="38" t="s">
        <v>300</v>
      </c>
      <c r="F1373" s="38" t="s">
        <v>123</v>
      </c>
      <c r="G1373" s="49" t="str">
        <f t="shared" si="1"/>
        <v>28130</v>
      </c>
      <c r="H1373" s="49">
        <f t="shared" si="2"/>
        <v>28423</v>
      </c>
    </row>
    <row r="1374">
      <c r="A1374" s="48" t="s">
        <v>2726</v>
      </c>
      <c r="B1374" s="38">
        <v>46244.0</v>
      </c>
      <c r="C1374" s="38" t="s">
        <v>2727</v>
      </c>
      <c r="D1374" s="38" t="str">
        <f>IFERROR(__xludf.DUMMYFUNCTION("REGEXREPLACE(C1374,""-\d+(.*)|--\d+(.*)"","""")"),"SABADEL-LATRONQUIERE")</f>
        <v>SABADEL-LATRONQUIERE</v>
      </c>
      <c r="E1374" s="38" t="s">
        <v>185</v>
      </c>
      <c r="F1374" s="38" t="s">
        <v>94</v>
      </c>
      <c r="G1374" s="49" t="str">
        <f t="shared" si="1"/>
        <v>46210</v>
      </c>
      <c r="H1374" s="49">
        <f t="shared" si="2"/>
        <v>46244</v>
      </c>
    </row>
    <row r="1375">
      <c r="A1375" s="48" t="s">
        <v>2728</v>
      </c>
      <c r="B1375" s="38">
        <v>38171.0</v>
      </c>
      <c r="C1375" s="38" t="s">
        <v>2729</v>
      </c>
      <c r="D1375" s="38" t="str">
        <f>IFERROR(__xludf.DUMMYFUNCTION("REGEXREPLACE(C1375,""-\d+(.*)|--\d+(.*)"","""")"),"LA FORTERESSE")</f>
        <v>LA FORTERESSE</v>
      </c>
      <c r="E1375" s="38" t="s">
        <v>101</v>
      </c>
      <c r="F1375" s="38" t="s">
        <v>102</v>
      </c>
      <c r="G1375" s="49" t="str">
        <f t="shared" si="1"/>
        <v>38590</v>
      </c>
      <c r="H1375" s="49">
        <f t="shared" si="2"/>
        <v>38171</v>
      </c>
    </row>
    <row r="1376">
      <c r="A1376" s="48" t="s">
        <v>2730</v>
      </c>
      <c r="B1376" s="38">
        <v>22128.0</v>
      </c>
      <c r="C1376" s="38" t="s">
        <v>2731</v>
      </c>
      <c r="D1376" s="38" t="str">
        <f>IFERROR(__xludf.DUMMYFUNCTION("REGEXREPLACE(C1376,""-\d+(.*)|--\d+(.*)"","""")"),"LOCARN")</f>
        <v>LOCARN</v>
      </c>
      <c r="E1376" s="38" t="s">
        <v>89</v>
      </c>
      <c r="F1376" s="38" t="s">
        <v>90</v>
      </c>
      <c r="G1376" s="49" t="str">
        <f t="shared" si="1"/>
        <v>22340</v>
      </c>
      <c r="H1376" s="49">
        <f t="shared" si="2"/>
        <v>22128</v>
      </c>
    </row>
    <row r="1377">
      <c r="A1377" s="48" t="s">
        <v>2732</v>
      </c>
      <c r="B1377" s="38">
        <v>93074.0</v>
      </c>
      <c r="C1377" s="38" t="s">
        <v>2733</v>
      </c>
      <c r="D1377" s="38" t="str">
        <f>IFERROR(__xludf.DUMMYFUNCTION("REGEXREPLACE(C1377,""-\d+(.*)|--\d+(.*)"","""")"),"VAUJOURS")</f>
        <v>VAUJOURS</v>
      </c>
      <c r="E1377" s="38" t="s">
        <v>341</v>
      </c>
      <c r="F1377" s="38" t="s">
        <v>245</v>
      </c>
      <c r="G1377" s="49" t="str">
        <f t="shared" si="1"/>
        <v>93410</v>
      </c>
      <c r="H1377" s="49">
        <f t="shared" si="2"/>
        <v>93074</v>
      </c>
    </row>
    <row r="1378">
      <c r="A1378" s="48" t="s">
        <v>2734</v>
      </c>
      <c r="B1378" s="38">
        <v>89442.0</v>
      </c>
      <c r="C1378" s="38" t="s">
        <v>2735</v>
      </c>
      <c r="D1378" s="38" t="str">
        <f>IFERROR(__xludf.DUMMYFUNCTION("REGEXREPLACE(C1378,""-\d+(.*)|--\d+(.*)"","""")"),"VERNOY")</f>
        <v>VERNOY</v>
      </c>
      <c r="E1378" s="38" t="s">
        <v>275</v>
      </c>
      <c r="F1378" s="38" t="s">
        <v>106</v>
      </c>
      <c r="G1378" s="49" t="str">
        <f t="shared" si="1"/>
        <v>89150</v>
      </c>
      <c r="H1378" s="49">
        <f t="shared" si="2"/>
        <v>89442</v>
      </c>
    </row>
    <row r="1379">
      <c r="A1379" s="48" t="s">
        <v>2736</v>
      </c>
      <c r="B1379" s="38">
        <v>89404.0</v>
      </c>
      <c r="C1379" s="38" t="s">
        <v>2737</v>
      </c>
      <c r="D1379" s="38" t="str">
        <f>IFERROR(__xludf.DUMMYFUNCTION("REGEXREPLACE(C1379,""-\d+(.*)|--\d+(.*)"","""")"),"SUBLIGNY")</f>
        <v>SUBLIGNY</v>
      </c>
      <c r="E1379" s="38" t="s">
        <v>275</v>
      </c>
      <c r="F1379" s="38" t="s">
        <v>106</v>
      </c>
      <c r="G1379" s="49" t="str">
        <f t="shared" si="1"/>
        <v>89100</v>
      </c>
      <c r="H1379" s="49">
        <f t="shared" si="2"/>
        <v>89404</v>
      </c>
    </row>
    <row r="1380">
      <c r="A1380" s="48" t="s">
        <v>2738</v>
      </c>
      <c r="B1380" s="38">
        <v>69270.0</v>
      </c>
      <c r="C1380" s="38" t="s">
        <v>2739</v>
      </c>
      <c r="D1380" s="38" t="str">
        <f>IFERROR(__xludf.DUMMYFUNCTION("REGEXREPLACE(C1380,""-\d+(.*)|--\d+(.*)"","""")"),"CHAPONNAY")</f>
        <v>CHAPONNAY</v>
      </c>
      <c r="E1380" s="38" t="s">
        <v>350</v>
      </c>
      <c r="F1380" s="38" t="s">
        <v>102</v>
      </c>
      <c r="G1380" s="49" t="str">
        <f t="shared" si="1"/>
        <v>69970</v>
      </c>
      <c r="H1380" s="49">
        <f t="shared" si="2"/>
        <v>69270</v>
      </c>
    </row>
    <row r="1381">
      <c r="A1381" s="48" t="s">
        <v>2740</v>
      </c>
      <c r="B1381" s="38">
        <v>46020.0</v>
      </c>
      <c r="C1381" s="38" t="s">
        <v>2741</v>
      </c>
      <c r="D1381" s="38" t="str">
        <f>IFERROR(__xludf.DUMMYFUNCTION("REGEXREPLACE(C1381,""-\d+(.*)|--\d+(.*)"","""")"),"BEAUREGARD")</f>
        <v>BEAUREGARD</v>
      </c>
      <c r="E1381" s="38" t="s">
        <v>185</v>
      </c>
      <c r="F1381" s="38" t="s">
        <v>94</v>
      </c>
      <c r="G1381" s="49" t="str">
        <f t="shared" si="1"/>
        <v>46260</v>
      </c>
      <c r="H1381" s="49">
        <f t="shared" si="2"/>
        <v>46020</v>
      </c>
    </row>
    <row r="1382">
      <c r="A1382" s="48" t="s">
        <v>2742</v>
      </c>
      <c r="B1382" s="38">
        <v>57630.0</v>
      </c>
      <c r="C1382" s="38" t="s">
        <v>2743</v>
      </c>
      <c r="D1382" s="38" t="str">
        <f>IFERROR(__xludf.DUMMYFUNCTION("REGEXREPLACE(C1382,""-\d+(.*)|--\d+(.*)"","""")"),"SARREBOURG")</f>
        <v>SARREBOURG</v>
      </c>
      <c r="E1382" s="38" t="s">
        <v>303</v>
      </c>
      <c r="F1382" s="38" t="s">
        <v>195</v>
      </c>
      <c r="G1382" s="49" t="str">
        <f t="shared" si="1"/>
        <v>57400</v>
      </c>
      <c r="H1382" s="49">
        <f t="shared" si="2"/>
        <v>57630</v>
      </c>
    </row>
    <row r="1383">
      <c r="A1383" s="48" t="s">
        <v>2744</v>
      </c>
      <c r="B1383" s="38">
        <v>17152.0</v>
      </c>
      <c r="C1383" s="38" t="s">
        <v>2745</v>
      </c>
      <c r="D1383" s="38" t="str">
        <f>IFERROR(__xludf.DUMMYFUNCTION("REGEXREPLACE(C1383,""-\d+(.*)|--\d+(.*)"","""")"),"EPARGNES")</f>
        <v>EPARGNES</v>
      </c>
      <c r="E1383" s="38" t="s">
        <v>488</v>
      </c>
      <c r="F1383" s="38" t="s">
        <v>338</v>
      </c>
      <c r="G1383" s="49" t="str">
        <f t="shared" si="1"/>
        <v>17120</v>
      </c>
      <c r="H1383" s="49">
        <f t="shared" si="2"/>
        <v>17152</v>
      </c>
    </row>
    <row r="1384">
      <c r="A1384" s="48" t="s">
        <v>2746</v>
      </c>
      <c r="B1384" s="38">
        <v>38061.0</v>
      </c>
      <c r="C1384" s="38" t="s">
        <v>2747</v>
      </c>
      <c r="D1384" s="38" t="str">
        <f>IFERROR(__xludf.DUMMYFUNCTION("REGEXREPLACE(C1384,""-\d+(.*)|--\d+(.*)"","""")"),"LA BUISSE")</f>
        <v>LA BUISSE</v>
      </c>
      <c r="E1384" s="38" t="s">
        <v>101</v>
      </c>
      <c r="F1384" s="38" t="s">
        <v>102</v>
      </c>
      <c r="G1384" s="49" t="str">
        <f t="shared" si="1"/>
        <v>38500</v>
      </c>
      <c r="H1384" s="49">
        <f t="shared" si="2"/>
        <v>38061</v>
      </c>
    </row>
    <row r="1385">
      <c r="A1385" s="48" t="s">
        <v>2748</v>
      </c>
      <c r="B1385" s="38">
        <v>32009.0</v>
      </c>
      <c r="C1385" s="38" t="s">
        <v>2749</v>
      </c>
      <c r="D1385" s="38" t="str">
        <f>IFERROR(__xludf.DUMMYFUNCTION("REGEXREPLACE(C1385,""-\d+(.*)|--\d+(.*)"","""")"),"ARMOUS-ET-CAU")</f>
        <v>ARMOUS-ET-CAU</v>
      </c>
      <c r="E1385" s="38" t="s">
        <v>440</v>
      </c>
      <c r="F1385" s="38" t="s">
        <v>94</v>
      </c>
      <c r="G1385" s="49" t="str">
        <f t="shared" si="1"/>
        <v>32230</v>
      </c>
      <c r="H1385" s="49">
        <f t="shared" si="2"/>
        <v>32009</v>
      </c>
    </row>
    <row r="1386">
      <c r="A1386" s="48" t="s">
        <v>1628</v>
      </c>
      <c r="B1386" s="38">
        <v>70074.0</v>
      </c>
      <c r="C1386" s="38" t="s">
        <v>2750</v>
      </c>
      <c r="D1386" s="38" t="str">
        <f>IFERROR(__xludf.DUMMYFUNCTION("REGEXREPLACE(C1386,""-\d+(.*)|--\d+(.*)"","""")"),"BLONDEFONTAINE")</f>
        <v>BLONDEFONTAINE</v>
      </c>
      <c r="E1386" s="38" t="s">
        <v>956</v>
      </c>
      <c r="F1386" s="38" t="s">
        <v>214</v>
      </c>
      <c r="G1386" s="49" t="str">
        <f t="shared" si="1"/>
        <v>70500</v>
      </c>
      <c r="H1386" s="49">
        <f t="shared" si="2"/>
        <v>70074</v>
      </c>
    </row>
    <row r="1387">
      <c r="A1387" s="48" t="s">
        <v>2751</v>
      </c>
      <c r="B1387" s="38">
        <v>92020.0</v>
      </c>
      <c r="C1387" s="38" t="s">
        <v>2752</v>
      </c>
      <c r="D1387" s="38" t="str">
        <f>IFERROR(__xludf.DUMMYFUNCTION("REGEXREPLACE(C1387,""-\d+(.*)|--\d+(.*)"","""")"),"CHATILLON")</f>
        <v>CHATILLON</v>
      </c>
      <c r="E1387" s="38" t="s">
        <v>838</v>
      </c>
      <c r="F1387" s="38" t="s">
        <v>245</v>
      </c>
      <c r="G1387" s="49" t="str">
        <f t="shared" si="1"/>
        <v>92320</v>
      </c>
      <c r="H1387" s="49">
        <f t="shared" si="2"/>
        <v>92020</v>
      </c>
    </row>
    <row r="1388">
      <c r="A1388" s="48" t="s">
        <v>2031</v>
      </c>
      <c r="B1388" s="38">
        <v>62621.0</v>
      </c>
      <c r="C1388" s="38" t="s">
        <v>2753</v>
      </c>
      <c r="D1388" s="38" t="str">
        <f>IFERROR(__xludf.DUMMYFUNCTION("REGEXREPLACE(C1388,""-\d+(.*)|--\d+(.*)"","""")"),"NORTKERQUE")</f>
        <v>NORTKERQUE</v>
      </c>
      <c r="E1388" s="38" t="s">
        <v>109</v>
      </c>
      <c r="F1388" s="38" t="s">
        <v>86</v>
      </c>
      <c r="G1388" s="49" t="str">
        <f t="shared" si="1"/>
        <v>62370</v>
      </c>
      <c r="H1388" s="49">
        <f t="shared" si="2"/>
        <v>62621</v>
      </c>
    </row>
    <row r="1389">
      <c r="A1389" s="48" t="s">
        <v>1989</v>
      </c>
      <c r="B1389" s="38">
        <v>60564.0</v>
      </c>
      <c r="C1389" s="38" t="s">
        <v>2754</v>
      </c>
      <c r="D1389" s="38" t="str">
        <f>IFERROR(__xludf.DUMMYFUNCTION("REGEXREPLACE(C1389,""-\d+(.*)|--\d+(.*)"","""")"),"SAINS-MORAINVILLERS")</f>
        <v>SAINS-MORAINVILLERS</v>
      </c>
      <c r="E1389" s="38" t="s">
        <v>112</v>
      </c>
      <c r="F1389" s="38" t="s">
        <v>113</v>
      </c>
      <c r="G1389" s="49" t="str">
        <f t="shared" si="1"/>
        <v>60420</v>
      </c>
      <c r="H1389" s="49">
        <f t="shared" si="2"/>
        <v>60564</v>
      </c>
    </row>
    <row r="1390">
      <c r="A1390" s="48" t="s">
        <v>2755</v>
      </c>
      <c r="B1390" s="38">
        <v>60672.0</v>
      </c>
      <c r="C1390" s="38" t="s">
        <v>2756</v>
      </c>
      <c r="D1390" s="38" t="str">
        <f>IFERROR(__xludf.DUMMYFUNCTION("REGEXREPLACE(C1390,""-\d+(.*)|--\d+(.*)"","""")"),"VEZ")</f>
        <v>VEZ</v>
      </c>
      <c r="E1390" s="38" t="s">
        <v>112</v>
      </c>
      <c r="F1390" s="38" t="s">
        <v>113</v>
      </c>
      <c r="G1390" s="49" t="str">
        <f t="shared" si="1"/>
        <v>60117</v>
      </c>
      <c r="H1390" s="49">
        <f t="shared" si="2"/>
        <v>60672</v>
      </c>
    </row>
    <row r="1391">
      <c r="A1391" s="48" t="s">
        <v>2757</v>
      </c>
      <c r="B1391" s="38">
        <v>24297.0</v>
      </c>
      <c r="C1391" s="38" t="s">
        <v>2758</v>
      </c>
      <c r="D1391" s="38" t="str">
        <f>IFERROR(__xludf.DUMMYFUNCTION("REGEXREPLACE(C1391,""-\d+(.*)|--\d+(.*)"","""")"),"MOULIN-NEUF")</f>
        <v>MOULIN-NEUF</v>
      </c>
      <c r="E1391" s="38" t="s">
        <v>261</v>
      </c>
      <c r="F1391" s="38" t="s">
        <v>252</v>
      </c>
      <c r="G1391" s="49" t="str">
        <f t="shared" si="1"/>
        <v>24700</v>
      </c>
      <c r="H1391" s="49">
        <f t="shared" si="2"/>
        <v>24297</v>
      </c>
    </row>
    <row r="1392">
      <c r="A1392" s="48" t="s">
        <v>1132</v>
      </c>
      <c r="B1392" s="38">
        <v>2714.0</v>
      </c>
      <c r="C1392" s="38" t="s">
        <v>2759</v>
      </c>
      <c r="D1392" s="38" t="str">
        <f>IFERROR(__xludf.DUMMYFUNCTION("REGEXREPLACE(C1392,""-\d+(.*)|--\d+(.*)"","""")"),"SERMOISE")</f>
        <v>SERMOISE</v>
      </c>
      <c r="E1392" s="38" t="s">
        <v>191</v>
      </c>
      <c r="F1392" s="38" t="s">
        <v>113</v>
      </c>
      <c r="G1392" s="49" t="str">
        <f t="shared" si="1"/>
        <v>02220</v>
      </c>
      <c r="H1392" s="49" t="str">
        <f t="shared" si="2"/>
        <v>02714</v>
      </c>
    </row>
    <row r="1393">
      <c r="A1393" s="48" t="s">
        <v>91</v>
      </c>
      <c r="B1393" s="38">
        <v>31312.0</v>
      </c>
      <c r="C1393" s="38" t="s">
        <v>2760</v>
      </c>
      <c r="D1393" s="38" t="str">
        <f>IFERROR(__xludf.DUMMYFUNCTION("REGEXREPLACE(C1393,""-\d+(.*)|--\d+(.*)"","""")"),"MAILHOLAS")</f>
        <v>MAILHOLAS</v>
      </c>
      <c r="E1393" s="38" t="s">
        <v>93</v>
      </c>
      <c r="F1393" s="38" t="s">
        <v>94</v>
      </c>
      <c r="G1393" s="49" t="str">
        <f t="shared" si="1"/>
        <v>31310</v>
      </c>
      <c r="H1393" s="49">
        <f t="shared" si="2"/>
        <v>31312</v>
      </c>
    </row>
    <row r="1394">
      <c r="A1394" s="48" t="s">
        <v>2761</v>
      </c>
      <c r="B1394" s="38">
        <v>7163.0</v>
      </c>
      <c r="C1394" s="38" t="s">
        <v>2762</v>
      </c>
      <c r="D1394" s="38" t="str">
        <f>IFERROR(__xludf.DUMMYFUNCTION("REGEXREPLACE(C1394,""-\d+(.*)|--\d+(.*)"","""")"),"MONTSELGUES")</f>
        <v>MONTSELGUES</v>
      </c>
      <c r="E1394" s="38" t="s">
        <v>144</v>
      </c>
      <c r="F1394" s="38" t="s">
        <v>102</v>
      </c>
      <c r="G1394" s="49" t="str">
        <f t="shared" si="1"/>
        <v>07140</v>
      </c>
      <c r="H1394" s="49" t="str">
        <f t="shared" si="2"/>
        <v>07163</v>
      </c>
    </row>
    <row r="1395">
      <c r="A1395" s="48" t="s">
        <v>2763</v>
      </c>
      <c r="B1395" s="38">
        <v>47004.0</v>
      </c>
      <c r="C1395" s="38" t="s">
        <v>2764</v>
      </c>
      <c r="D1395" s="38" t="str">
        <f>IFERROR(__xludf.DUMMYFUNCTION("REGEXREPLACE(C1395,""-\d+(.*)|--\d+(.*)"","""")"),"AIGUILLON")</f>
        <v>AIGUILLON</v>
      </c>
      <c r="E1395" s="38" t="s">
        <v>251</v>
      </c>
      <c r="F1395" s="38" t="s">
        <v>252</v>
      </c>
      <c r="G1395" s="49" t="str">
        <f t="shared" si="1"/>
        <v>47190</v>
      </c>
      <c r="H1395" s="49">
        <f t="shared" si="2"/>
        <v>47004</v>
      </c>
    </row>
    <row r="1396">
      <c r="A1396" s="48" t="s">
        <v>1241</v>
      </c>
      <c r="B1396" s="38">
        <v>71296.0</v>
      </c>
      <c r="C1396" s="38" t="s">
        <v>2765</v>
      </c>
      <c r="D1396" s="38" t="str">
        <f>IFERROR(__xludf.DUMMYFUNCTION("REGEXREPLACE(C1396,""-\d+(.*)|--\d+(.*)"","""")"),"MESSEY-SUR-GROSNE")</f>
        <v>MESSEY-SUR-GROSNE</v>
      </c>
      <c r="E1396" s="38" t="s">
        <v>344</v>
      </c>
      <c r="F1396" s="38" t="s">
        <v>106</v>
      </c>
      <c r="G1396" s="49" t="str">
        <f t="shared" si="1"/>
        <v>71390</v>
      </c>
      <c r="H1396" s="49">
        <f t="shared" si="2"/>
        <v>71296</v>
      </c>
    </row>
    <row r="1397">
      <c r="A1397" s="48" t="s">
        <v>2766</v>
      </c>
      <c r="B1397" s="38">
        <v>2587.0</v>
      </c>
      <c r="C1397" s="38" t="s">
        <v>2767</v>
      </c>
      <c r="D1397" s="38" t="str">
        <f>IFERROR(__xludf.DUMMYFUNCTION("REGEXREPLACE(C1397,""-\d+(.*)|--\d+(.*)"","""")"),"PARFONDRU")</f>
        <v>PARFONDRU</v>
      </c>
      <c r="E1397" s="38" t="s">
        <v>191</v>
      </c>
      <c r="F1397" s="38" t="s">
        <v>113</v>
      </c>
      <c r="G1397" s="49" t="str">
        <f t="shared" si="1"/>
        <v>02840</v>
      </c>
      <c r="H1397" s="49" t="str">
        <f t="shared" si="2"/>
        <v>02587</v>
      </c>
    </row>
    <row r="1398">
      <c r="A1398" s="48" t="s">
        <v>2170</v>
      </c>
      <c r="B1398" s="38">
        <v>80240.0</v>
      </c>
      <c r="C1398" s="38" t="s">
        <v>2768</v>
      </c>
      <c r="D1398" s="38" t="str">
        <f>IFERROR(__xludf.DUMMYFUNCTION("REGEXREPLACE(C1398,""-\d+(.*)|--\d+(.*)"","""")"),"DOINGT")</f>
        <v>DOINGT</v>
      </c>
      <c r="E1398" s="38" t="s">
        <v>224</v>
      </c>
      <c r="F1398" s="38" t="s">
        <v>113</v>
      </c>
      <c r="G1398" s="49" t="str">
        <f t="shared" si="1"/>
        <v>80200</v>
      </c>
      <c r="H1398" s="49">
        <f t="shared" si="2"/>
        <v>80240</v>
      </c>
    </row>
    <row r="1399">
      <c r="A1399" s="48" t="s">
        <v>721</v>
      </c>
      <c r="B1399" s="38">
        <v>14551.0</v>
      </c>
      <c r="C1399" s="38" t="s">
        <v>2769</v>
      </c>
      <c r="D1399" s="38" t="str">
        <f>IFERROR(__xludf.DUMMYFUNCTION("REGEXREPLACE(C1399,""-\d+(.*)|--\d+(.*)"","""")"),"RUSSY")</f>
        <v>RUSSY</v>
      </c>
      <c r="E1399" s="38" t="s">
        <v>137</v>
      </c>
      <c r="F1399" s="38" t="s">
        <v>138</v>
      </c>
      <c r="G1399" s="49" t="str">
        <f t="shared" si="1"/>
        <v>14710</v>
      </c>
      <c r="H1399" s="49">
        <f t="shared" si="2"/>
        <v>14551</v>
      </c>
    </row>
    <row r="1400">
      <c r="A1400" s="48" t="s">
        <v>2770</v>
      </c>
      <c r="B1400" s="38">
        <v>25622.0</v>
      </c>
      <c r="C1400" s="38" t="s">
        <v>2771</v>
      </c>
      <c r="D1400" s="38" t="str">
        <f>IFERROR(__xludf.DUMMYFUNCTION("REGEXREPLACE(C1400,""-\d+(.*)|--\d+(.*)"","""")"),"VILLERS-BUZON")</f>
        <v>VILLERS-BUZON</v>
      </c>
      <c r="E1400" s="38" t="s">
        <v>213</v>
      </c>
      <c r="F1400" s="38" t="s">
        <v>214</v>
      </c>
      <c r="G1400" s="49" t="str">
        <f t="shared" si="1"/>
        <v>25170</v>
      </c>
      <c r="H1400" s="49">
        <f t="shared" si="2"/>
        <v>25622</v>
      </c>
    </row>
    <row r="1401">
      <c r="A1401" s="48" t="s">
        <v>2170</v>
      </c>
      <c r="B1401" s="38">
        <v>80701.0</v>
      </c>
      <c r="C1401" s="38" t="s">
        <v>2772</v>
      </c>
      <c r="D1401" s="38" t="str">
        <f>IFERROR(__xludf.DUMMYFUNCTION("REGEXREPLACE(C1401,""-\d+(.*)|--\d+(.*)"","""")"),"SAINT-CHRIST-BRIOST")</f>
        <v>SAINT-CHRIST-BRIOST</v>
      </c>
      <c r="E1401" s="38" t="s">
        <v>224</v>
      </c>
      <c r="F1401" s="38" t="s">
        <v>113</v>
      </c>
      <c r="G1401" s="49" t="str">
        <f t="shared" si="1"/>
        <v>80200</v>
      </c>
      <c r="H1401" s="49">
        <f t="shared" si="2"/>
        <v>80701</v>
      </c>
    </row>
    <row r="1402">
      <c r="A1402" s="48" t="s">
        <v>2773</v>
      </c>
      <c r="B1402" s="38">
        <v>21511.0</v>
      </c>
      <c r="C1402" s="38" t="s">
        <v>2774</v>
      </c>
      <c r="D1402" s="38" t="str">
        <f>IFERROR(__xludf.DUMMYFUNCTION("REGEXREPLACE(C1402,""-\d+(.*)|--\d+(.*)"","""")"),"PUITS")</f>
        <v>PUITS</v>
      </c>
      <c r="E1402" s="38" t="s">
        <v>105</v>
      </c>
      <c r="F1402" s="38" t="s">
        <v>106</v>
      </c>
      <c r="G1402" s="49" t="str">
        <f t="shared" si="1"/>
        <v>21400</v>
      </c>
      <c r="H1402" s="49">
        <f t="shared" si="2"/>
        <v>21511</v>
      </c>
    </row>
    <row r="1403">
      <c r="A1403" s="48" t="s">
        <v>2775</v>
      </c>
      <c r="B1403" s="38">
        <v>59055.0</v>
      </c>
      <c r="C1403" s="38" t="s">
        <v>2776</v>
      </c>
      <c r="D1403" s="38" t="str">
        <f>IFERROR(__xludf.DUMMYFUNCTION("REGEXREPLACE(C1403,""-\d+(.*)|--\d+(.*)"","""")"),"BAZUEL")</f>
        <v>BAZUEL</v>
      </c>
      <c r="E1403" s="38" t="s">
        <v>85</v>
      </c>
      <c r="F1403" s="38" t="s">
        <v>86</v>
      </c>
      <c r="G1403" s="49" t="str">
        <f t="shared" si="1"/>
        <v>59360</v>
      </c>
      <c r="H1403" s="49">
        <f t="shared" si="2"/>
        <v>59055</v>
      </c>
    </row>
    <row r="1404">
      <c r="A1404" s="48" t="s">
        <v>1243</v>
      </c>
      <c r="B1404" s="38">
        <v>15066.0</v>
      </c>
      <c r="C1404" s="38" t="s">
        <v>2777</v>
      </c>
      <c r="D1404" s="38" t="str">
        <f>IFERROR(__xludf.DUMMYFUNCTION("REGEXREPLACE(C1404,""-\d+(.*)|--\d+(.*)"","""")"),"LE FALGOUX")</f>
        <v>LE FALGOUX</v>
      </c>
      <c r="E1404" s="38" t="s">
        <v>632</v>
      </c>
      <c r="F1404" s="38" t="s">
        <v>161</v>
      </c>
      <c r="G1404" s="49" t="str">
        <f t="shared" si="1"/>
        <v>15380</v>
      </c>
      <c r="H1404" s="49">
        <f t="shared" si="2"/>
        <v>15066</v>
      </c>
    </row>
    <row r="1405">
      <c r="A1405" s="48" t="s">
        <v>1391</v>
      </c>
      <c r="B1405" s="38">
        <v>61246.0</v>
      </c>
      <c r="C1405" s="38" t="s">
        <v>2778</v>
      </c>
      <c r="D1405" s="38" t="str">
        <f>IFERROR(__xludf.DUMMYFUNCTION("REGEXREPLACE(C1405,""-\d+(.*)|--\d+(.*)"","""")"),"MALE")</f>
        <v>MALE</v>
      </c>
      <c r="E1405" s="38" t="s">
        <v>141</v>
      </c>
      <c r="F1405" s="38" t="s">
        <v>138</v>
      </c>
      <c r="G1405" s="49" t="str">
        <f t="shared" si="1"/>
        <v>61260</v>
      </c>
      <c r="H1405" s="49">
        <f t="shared" si="2"/>
        <v>61246</v>
      </c>
    </row>
    <row r="1406">
      <c r="A1406" s="48" t="s">
        <v>2779</v>
      </c>
      <c r="B1406" s="38">
        <v>80526.0</v>
      </c>
      <c r="C1406" s="38" t="s">
        <v>2780</v>
      </c>
      <c r="D1406" s="38" t="str">
        <f>IFERROR(__xludf.DUMMYFUNCTION("REGEXREPLACE(C1406,""-\d+(.*)|--\d+(.*)"","""")"),"LE MEILLARD")</f>
        <v>LE MEILLARD</v>
      </c>
      <c r="E1406" s="38" t="s">
        <v>224</v>
      </c>
      <c r="F1406" s="38" t="s">
        <v>113</v>
      </c>
      <c r="G1406" s="49" t="str">
        <f t="shared" si="1"/>
        <v>80370</v>
      </c>
      <c r="H1406" s="49">
        <f t="shared" si="2"/>
        <v>80526</v>
      </c>
    </row>
    <row r="1407">
      <c r="A1407" s="48" t="s">
        <v>2781</v>
      </c>
      <c r="B1407" s="38">
        <v>6005.0</v>
      </c>
      <c r="C1407" s="38" t="s">
        <v>2782</v>
      </c>
      <c r="D1407" s="38" t="str">
        <f>IFERROR(__xludf.DUMMYFUNCTION("REGEXREPLACE(C1407,""-\d+(.*)|--\d+(.*)"","""")"),"ASCROS")</f>
        <v>ASCROS</v>
      </c>
      <c r="E1407" s="38" t="s">
        <v>227</v>
      </c>
      <c r="F1407" s="38" t="s">
        <v>228</v>
      </c>
      <c r="G1407" s="49" t="str">
        <f t="shared" si="1"/>
        <v>06260</v>
      </c>
      <c r="H1407" s="49" t="str">
        <f t="shared" si="2"/>
        <v>06005</v>
      </c>
    </row>
    <row r="1408">
      <c r="A1408" s="48" t="s">
        <v>2783</v>
      </c>
      <c r="B1408" s="38">
        <v>31431.0</v>
      </c>
      <c r="C1408" s="38" t="s">
        <v>2784</v>
      </c>
      <c r="D1408" s="38" t="str">
        <f>IFERROR(__xludf.DUMMYFUNCTION("REGEXREPLACE(C1408,""-\d+(.*)|--\d+(.*)"","""")"),"PORTET-D'ASPET")</f>
        <v>PORTET-D'ASPET</v>
      </c>
      <c r="E1408" s="38" t="s">
        <v>93</v>
      </c>
      <c r="F1408" s="38" t="s">
        <v>94</v>
      </c>
      <c r="G1408" s="49" t="str">
        <f t="shared" si="1"/>
        <v>31160</v>
      </c>
      <c r="H1408" s="49">
        <f t="shared" si="2"/>
        <v>31431</v>
      </c>
    </row>
    <row r="1409">
      <c r="A1409" s="48" t="s">
        <v>1721</v>
      </c>
      <c r="B1409" s="38">
        <v>33130.0</v>
      </c>
      <c r="C1409" s="38" t="s">
        <v>2785</v>
      </c>
      <c r="D1409" s="38" t="str">
        <f>IFERROR(__xludf.DUMMYFUNCTION("REGEXREPLACE(C1409,""-\d+(.*)|--\d+(.*)"","""")"),"COIMERES")</f>
        <v>COIMERES</v>
      </c>
      <c r="E1409" s="38" t="s">
        <v>462</v>
      </c>
      <c r="F1409" s="38" t="s">
        <v>252</v>
      </c>
      <c r="G1409" s="49" t="str">
        <f t="shared" si="1"/>
        <v>33210</v>
      </c>
      <c r="H1409" s="49">
        <f t="shared" si="2"/>
        <v>33130</v>
      </c>
    </row>
    <row r="1410">
      <c r="A1410" s="48" t="s">
        <v>2786</v>
      </c>
      <c r="B1410" s="38">
        <v>14068.0</v>
      </c>
      <c r="C1410" s="38" t="s">
        <v>2787</v>
      </c>
      <c r="D1410" s="38" t="str">
        <f>IFERROR(__xludf.DUMMYFUNCTION("REGEXREPLACE(C1410,""-\d+(.*)|--\d+(.*)"","""")"),"BIEVILLE-BEUVILLE")</f>
        <v>BIEVILLE-BEUVILLE</v>
      </c>
      <c r="E1410" s="38" t="s">
        <v>137</v>
      </c>
      <c r="F1410" s="38" t="s">
        <v>138</v>
      </c>
      <c r="G1410" s="49" t="str">
        <f t="shared" si="1"/>
        <v>14112</v>
      </c>
      <c r="H1410" s="49">
        <f t="shared" si="2"/>
        <v>14068</v>
      </c>
    </row>
    <row r="1411">
      <c r="A1411" s="48" t="s">
        <v>2788</v>
      </c>
      <c r="B1411" s="38">
        <v>35157.0</v>
      </c>
      <c r="C1411" s="38" t="s">
        <v>2789</v>
      </c>
      <c r="D1411" s="38" t="str">
        <f>IFERROR(__xludf.DUMMYFUNCTION("REGEXREPLACE(C1411,""-\d+(.*)|--\d+(.*)"","""")"),"LE LOROUX")</f>
        <v>LE LOROUX</v>
      </c>
      <c r="E1411" s="38" t="s">
        <v>347</v>
      </c>
      <c r="F1411" s="38" t="s">
        <v>90</v>
      </c>
      <c r="G1411" s="49" t="str">
        <f t="shared" si="1"/>
        <v>35133</v>
      </c>
      <c r="H1411" s="49">
        <f t="shared" si="2"/>
        <v>35157</v>
      </c>
    </row>
    <row r="1412">
      <c r="A1412" s="48" t="s">
        <v>2790</v>
      </c>
      <c r="B1412" s="38">
        <v>40055.0</v>
      </c>
      <c r="C1412" s="38" t="s">
        <v>2791</v>
      </c>
      <c r="D1412" s="38" t="str">
        <f>IFERROR(__xludf.DUMMYFUNCTION("REGEXREPLACE(C1412,""-\d+(.*)|--\d+(.*)"","""")"),"BRETAGNE-DE-MARSAN")</f>
        <v>BRETAGNE-DE-MARSAN</v>
      </c>
      <c r="E1412" s="38" t="s">
        <v>281</v>
      </c>
      <c r="F1412" s="38" t="s">
        <v>252</v>
      </c>
      <c r="G1412" s="49" t="str">
        <f t="shared" si="1"/>
        <v>40280</v>
      </c>
      <c r="H1412" s="49">
        <f t="shared" si="2"/>
        <v>40055</v>
      </c>
    </row>
    <row r="1413">
      <c r="A1413" s="48" t="s">
        <v>2792</v>
      </c>
      <c r="B1413" s="38">
        <v>58287.0</v>
      </c>
      <c r="C1413" s="38" t="s">
        <v>2793</v>
      </c>
      <c r="D1413" s="38" t="str">
        <f>IFERROR(__xludf.DUMMYFUNCTION("REGEXREPLACE(C1413,""-\d+(.*)|--\d+(.*)"","""")"),"TAZILLY")</f>
        <v>TAZILLY</v>
      </c>
      <c r="E1413" s="38" t="s">
        <v>219</v>
      </c>
      <c r="F1413" s="38" t="s">
        <v>106</v>
      </c>
      <c r="G1413" s="49" t="str">
        <f t="shared" si="1"/>
        <v>58170</v>
      </c>
      <c r="H1413" s="49">
        <f t="shared" si="2"/>
        <v>58287</v>
      </c>
    </row>
    <row r="1414">
      <c r="A1414" s="48" t="s">
        <v>2794</v>
      </c>
      <c r="B1414" s="38">
        <v>39073.0</v>
      </c>
      <c r="C1414" s="38" t="s">
        <v>2795</v>
      </c>
      <c r="D1414" s="38" t="str">
        <f>IFERROR(__xludf.DUMMYFUNCTION("REGEXREPLACE(C1414,""-\d+(.*)|--\d+(.*)"","""")"),"BRAINANS")</f>
        <v>BRAINANS</v>
      </c>
      <c r="E1414" s="38" t="s">
        <v>400</v>
      </c>
      <c r="F1414" s="38" t="s">
        <v>214</v>
      </c>
      <c r="G1414" s="49" t="str">
        <f t="shared" si="1"/>
        <v>39800</v>
      </c>
      <c r="H1414" s="49">
        <f t="shared" si="2"/>
        <v>39073</v>
      </c>
    </row>
    <row r="1415">
      <c r="A1415" s="48" t="s">
        <v>2796</v>
      </c>
      <c r="B1415" s="38">
        <v>7312.0</v>
      </c>
      <c r="C1415" s="38" t="s">
        <v>2797</v>
      </c>
      <c r="D1415" s="38" t="str">
        <f>IFERROR(__xludf.DUMMYFUNCTION("REGEXREPLACE(C1415,""-\d+(.*)|--\d+(.*)"","""")"),"SECHERAS")</f>
        <v>SECHERAS</v>
      </c>
      <c r="E1415" s="38" t="s">
        <v>144</v>
      </c>
      <c r="F1415" s="38" t="s">
        <v>102</v>
      </c>
      <c r="G1415" s="49" t="str">
        <f t="shared" si="1"/>
        <v>07610</v>
      </c>
      <c r="H1415" s="49" t="str">
        <f t="shared" si="2"/>
        <v>07312</v>
      </c>
    </row>
    <row r="1416">
      <c r="A1416" s="48" t="s">
        <v>1518</v>
      </c>
      <c r="B1416" s="38">
        <v>88354.0</v>
      </c>
      <c r="C1416" s="38" t="s">
        <v>2798</v>
      </c>
      <c r="D1416" s="38" t="str">
        <f>IFERROR(__xludf.DUMMYFUNCTION("REGEXREPLACE(C1416,""-\d+(.*)|--\d+(.*)"","""")"),"PONT-SUR-MADON")</f>
        <v>PONT-SUR-MADON</v>
      </c>
      <c r="E1416" s="38" t="s">
        <v>194</v>
      </c>
      <c r="F1416" s="38" t="s">
        <v>195</v>
      </c>
      <c r="G1416" s="49" t="str">
        <f t="shared" si="1"/>
        <v>88500</v>
      </c>
      <c r="H1416" s="49">
        <f t="shared" si="2"/>
        <v>88354</v>
      </c>
    </row>
    <row r="1417">
      <c r="A1417" s="48" t="s">
        <v>1180</v>
      </c>
      <c r="B1417" s="38">
        <v>60390.0</v>
      </c>
      <c r="C1417" s="38" t="s">
        <v>2799</v>
      </c>
      <c r="D1417" s="38" t="str">
        <f>IFERROR(__xludf.DUMMYFUNCTION("REGEXREPLACE(C1417,""-\d+(.*)|--\d+(.*)"","""")"),"MAULERS")</f>
        <v>MAULERS</v>
      </c>
      <c r="E1417" s="38" t="s">
        <v>112</v>
      </c>
      <c r="F1417" s="38" t="s">
        <v>113</v>
      </c>
      <c r="G1417" s="49" t="str">
        <f t="shared" si="1"/>
        <v>60480</v>
      </c>
      <c r="H1417" s="49">
        <f t="shared" si="2"/>
        <v>60390</v>
      </c>
    </row>
    <row r="1418">
      <c r="A1418" s="48" t="s">
        <v>2800</v>
      </c>
      <c r="B1418" s="38">
        <v>77504.0</v>
      </c>
      <c r="C1418" s="38" t="s">
        <v>2801</v>
      </c>
      <c r="D1418" s="38" t="str">
        <f>IFERROR(__xludf.DUMMYFUNCTION("REGEXREPLACE(C1418,""-\d+(.*)|--\d+(.*)"","""")"),"VILLEMARECHAL")</f>
        <v>VILLEMARECHAL</v>
      </c>
      <c r="E1418" s="38" t="s">
        <v>244</v>
      </c>
      <c r="F1418" s="38" t="s">
        <v>245</v>
      </c>
      <c r="G1418" s="49" t="str">
        <f t="shared" si="1"/>
        <v>77710</v>
      </c>
      <c r="H1418" s="49">
        <f t="shared" si="2"/>
        <v>77504</v>
      </c>
    </row>
    <row r="1419">
      <c r="A1419" s="48" t="s">
        <v>215</v>
      </c>
      <c r="B1419" s="38">
        <v>2200.0</v>
      </c>
      <c r="C1419" s="38" t="s">
        <v>2802</v>
      </c>
      <c r="D1419" s="38" t="str">
        <f>IFERROR(__xludf.DUMMYFUNCTION("REGEXREPLACE(C1419,""-\d+(.*)|--\d+(.*)"","""")"),"CLERMONT-LES-FERMES")</f>
        <v>CLERMONT-LES-FERMES</v>
      </c>
      <c r="E1419" s="38" t="s">
        <v>191</v>
      </c>
      <c r="F1419" s="38" t="s">
        <v>113</v>
      </c>
      <c r="G1419" s="49" t="str">
        <f t="shared" si="1"/>
        <v>02340</v>
      </c>
      <c r="H1419" s="49" t="str">
        <f t="shared" si="2"/>
        <v>02200</v>
      </c>
    </row>
    <row r="1420">
      <c r="A1420" s="48" t="s">
        <v>2803</v>
      </c>
      <c r="B1420" s="38">
        <v>80418.0</v>
      </c>
      <c r="C1420" s="38" t="s">
        <v>2804</v>
      </c>
      <c r="D1420" s="38" t="str">
        <f>IFERROR(__xludf.DUMMYFUNCTION("REGEXREPLACE(C1420,""-\d+(.*)|--\d+(.*)"","""")"),"HARDECOURT-AUX-BOIS")</f>
        <v>HARDECOURT-AUX-BOIS</v>
      </c>
      <c r="E1420" s="38" t="s">
        <v>224</v>
      </c>
      <c r="F1420" s="38" t="s">
        <v>113</v>
      </c>
      <c r="G1420" s="49" t="str">
        <f t="shared" si="1"/>
        <v>80360</v>
      </c>
      <c r="H1420" s="49">
        <f t="shared" si="2"/>
        <v>80418</v>
      </c>
    </row>
    <row r="1421">
      <c r="A1421" s="48" t="s">
        <v>2805</v>
      </c>
      <c r="B1421" s="38">
        <v>23213.0</v>
      </c>
      <c r="C1421" s="38" t="s">
        <v>2806</v>
      </c>
      <c r="D1421" s="38" t="str">
        <f>IFERROR(__xludf.DUMMYFUNCTION("REGEXREPLACE(C1421,""-\d+(.*)|--\d+(.*)"","""")"),"SAINT-MARIEN")</f>
        <v>SAINT-MARIEN</v>
      </c>
      <c r="E1421" s="38" t="s">
        <v>97</v>
      </c>
      <c r="F1421" s="38" t="s">
        <v>98</v>
      </c>
      <c r="G1421" s="49" t="str">
        <f t="shared" si="1"/>
        <v>23600</v>
      </c>
      <c r="H1421" s="49">
        <f t="shared" si="2"/>
        <v>23213</v>
      </c>
    </row>
    <row r="1422">
      <c r="A1422" s="48" t="s">
        <v>2807</v>
      </c>
      <c r="B1422" s="38">
        <v>81001.0</v>
      </c>
      <c r="C1422" s="38" t="s">
        <v>2808</v>
      </c>
      <c r="D1422" s="38" t="str">
        <f>IFERROR(__xludf.DUMMYFUNCTION("REGEXREPLACE(C1422,""-\d+(.*)|--\d+(.*)"","""")"),"AGUTS")</f>
        <v>AGUTS</v>
      </c>
      <c r="E1422" s="38" t="s">
        <v>231</v>
      </c>
      <c r="F1422" s="38" t="s">
        <v>94</v>
      </c>
      <c r="G1422" s="49" t="str">
        <f t="shared" si="1"/>
        <v>81470</v>
      </c>
      <c r="H1422" s="49">
        <f t="shared" si="2"/>
        <v>81001</v>
      </c>
    </row>
    <row r="1423">
      <c r="A1423" s="48" t="s">
        <v>2809</v>
      </c>
      <c r="B1423" s="38">
        <v>77085.0</v>
      </c>
      <c r="C1423" s="38" t="s">
        <v>2810</v>
      </c>
      <c r="D1423" s="38" t="str">
        <f>IFERROR(__xludf.DUMMYFUNCTION("REGEXREPLACE(C1423,""-\d+(.*)|--\d+(.*)"","""")"),"CHANTELOUP-EN-BRIE")</f>
        <v>CHANTELOUP-EN-BRIE</v>
      </c>
      <c r="E1423" s="38" t="s">
        <v>244</v>
      </c>
      <c r="F1423" s="38" t="s">
        <v>245</v>
      </c>
      <c r="G1423" s="49" t="str">
        <f t="shared" si="1"/>
        <v>77600</v>
      </c>
      <c r="H1423" s="49">
        <f t="shared" si="2"/>
        <v>77085</v>
      </c>
    </row>
    <row r="1424">
      <c r="A1424" s="48" t="s">
        <v>1262</v>
      </c>
      <c r="B1424" s="38">
        <v>11284.0</v>
      </c>
      <c r="C1424" s="38" t="s">
        <v>2811</v>
      </c>
      <c r="D1424" s="38" t="str">
        <f>IFERROR(__xludf.DUMMYFUNCTION("REGEXREPLACE(C1424,""-\d+(.*)|--\d+(.*)"","""")"),"PEYRENS")</f>
        <v>PEYRENS</v>
      </c>
      <c r="E1424" s="38" t="s">
        <v>278</v>
      </c>
      <c r="F1424" s="38" t="s">
        <v>119</v>
      </c>
      <c r="G1424" s="49" t="str">
        <f t="shared" si="1"/>
        <v>11400</v>
      </c>
      <c r="H1424" s="49">
        <f t="shared" si="2"/>
        <v>11284</v>
      </c>
    </row>
    <row r="1425">
      <c r="A1425" s="48" t="s">
        <v>2812</v>
      </c>
      <c r="B1425" s="38">
        <v>61296.0</v>
      </c>
      <c r="C1425" s="38" t="s">
        <v>2813</v>
      </c>
      <c r="D1425" s="38" t="str">
        <f>IFERROR(__xludf.DUMMYFUNCTION("REGEXREPLACE(C1425,""-\d+(.*)|--\d+(.*)"","""")"),"MOULICENT")</f>
        <v>MOULICENT</v>
      </c>
      <c r="E1425" s="38" t="s">
        <v>141</v>
      </c>
      <c r="F1425" s="38" t="s">
        <v>138</v>
      </c>
      <c r="G1425" s="49" t="str">
        <f t="shared" si="1"/>
        <v>61290</v>
      </c>
      <c r="H1425" s="49">
        <f t="shared" si="2"/>
        <v>61296</v>
      </c>
    </row>
    <row r="1426">
      <c r="A1426" s="48" t="s">
        <v>2814</v>
      </c>
      <c r="B1426" s="38">
        <v>45322.0</v>
      </c>
      <c r="C1426" s="38" t="s">
        <v>2815</v>
      </c>
      <c r="D1426" s="38" t="str">
        <f>IFERROR(__xludf.DUMMYFUNCTION("REGEXREPLACE(C1426,""-\d+(.*)|--\d+(.*)"","""")"),"THORAILLES")</f>
        <v>THORAILLES</v>
      </c>
      <c r="E1426" s="38" t="s">
        <v>122</v>
      </c>
      <c r="F1426" s="38" t="s">
        <v>123</v>
      </c>
      <c r="G1426" s="49" t="str">
        <f t="shared" si="1"/>
        <v>45210</v>
      </c>
      <c r="H1426" s="49">
        <f t="shared" si="2"/>
        <v>45322</v>
      </c>
    </row>
    <row r="1427">
      <c r="A1427" s="48" t="s">
        <v>1861</v>
      </c>
      <c r="B1427" s="38">
        <v>46077.0</v>
      </c>
      <c r="C1427" s="38" t="s">
        <v>2816</v>
      </c>
      <c r="D1427" s="38" t="str">
        <f>IFERROR(__xludf.DUMMYFUNCTION("REGEXREPLACE(C1427,""-\d+(.*)|--\d+(.*)"","""")"),"COURS")</f>
        <v>COURS</v>
      </c>
      <c r="E1427" s="38" t="s">
        <v>185</v>
      </c>
      <c r="F1427" s="38" t="s">
        <v>94</v>
      </c>
      <c r="G1427" s="49" t="str">
        <f t="shared" si="1"/>
        <v>46090</v>
      </c>
      <c r="H1427" s="49">
        <f t="shared" si="2"/>
        <v>46077</v>
      </c>
    </row>
    <row r="1428">
      <c r="A1428" s="48" t="s">
        <v>2817</v>
      </c>
      <c r="B1428" s="38">
        <v>64400.0</v>
      </c>
      <c r="C1428" s="38" t="s">
        <v>2818</v>
      </c>
      <c r="D1428" s="38" t="str">
        <f>IFERROR(__xludf.DUMMYFUNCTION("REGEXREPLACE(C1428,""-\d+(.*)|--\d+(.*)"","""")"),"MONTAUT")</f>
        <v>MONTAUT</v>
      </c>
      <c r="E1428" s="38" t="s">
        <v>268</v>
      </c>
      <c r="F1428" s="38" t="s">
        <v>252</v>
      </c>
      <c r="G1428" s="49" t="str">
        <f t="shared" si="1"/>
        <v>64800</v>
      </c>
      <c r="H1428" s="49">
        <f t="shared" si="2"/>
        <v>64400</v>
      </c>
    </row>
    <row r="1429">
      <c r="A1429" s="48" t="s">
        <v>1667</v>
      </c>
      <c r="B1429" s="38">
        <v>38261.0</v>
      </c>
      <c r="C1429" s="38" t="s">
        <v>2819</v>
      </c>
      <c r="D1429" s="38" t="str">
        <f>IFERROR(__xludf.DUMMYFUNCTION("REGEXREPLACE(C1429,""-\d+(.*)|--\d+(.*)"","""")"),"MORESTEL")</f>
        <v>MORESTEL</v>
      </c>
      <c r="E1429" s="38" t="s">
        <v>101</v>
      </c>
      <c r="F1429" s="38" t="s">
        <v>102</v>
      </c>
      <c r="G1429" s="49" t="str">
        <f t="shared" si="1"/>
        <v>38510</v>
      </c>
      <c r="H1429" s="49">
        <f t="shared" si="2"/>
        <v>38261</v>
      </c>
    </row>
    <row r="1430">
      <c r="A1430" s="48" t="s">
        <v>2820</v>
      </c>
      <c r="B1430" s="38">
        <v>2514.0</v>
      </c>
      <c r="C1430" s="38" t="s">
        <v>2821</v>
      </c>
      <c r="D1430" s="38" t="str">
        <f>IFERROR(__xludf.DUMMYFUNCTION("REGEXREPLACE(C1430,""-\d+(.*)|--\d+(.*)"","""")"),"MONTIGNY-LENGRAIN")</f>
        <v>MONTIGNY-LENGRAIN</v>
      </c>
      <c r="E1430" s="38" t="s">
        <v>191</v>
      </c>
      <c r="F1430" s="38" t="s">
        <v>113</v>
      </c>
      <c r="G1430" s="49" t="str">
        <f t="shared" si="1"/>
        <v>02290</v>
      </c>
      <c r="H1430" s="49" t="str">
        <f t="shared" si="2"/>
        <v>02514</v>
      </c>
    </row>
    <row r="1431">
      <c r="A1431" s="48" t="s">
        <v>2334</v>
      </c>
      <c r="B1431" s="38">
        <v>46126.0</v>
      </c>
      <c r="C1431" s="38" t="s">
        <v>2822</v>
      </c>
      <c r="D1431" s="38" t="str">
        <f>IFERROR(__xludf.DUMMYFUNCTION("REGEXREPLACE(C1431,""-\d+(.*)|--\d+(.*)"","""")"),"GOUJOUNAC")</f>
        <v>GOUJOUNAC</v>
      </c>
      <c r="E1431" s="38" t="s">
        <v>185</v>
      </c>
      <c r="F1431" s="38" t="s">
        <v>94</v>
      </c>
      <c r="G1431" s="49" t="str">
        <f t="shared" si="1"/>
        <v>46250</v>
      </c>
      <c r="H1431" s="49">
        <f t="shared" si="2"/>
        <v>46126</v>
      </c>
    </row>
    <row r="1432">
      <c r="A1432" s="48" t="s">
        <v>658</v>
      </c>
      <c r="B1432" s="38">
        <v>62268.0</v>
      </c>
      <c r="C1432" s="38" t="s">
        <v>2823</v>
      </c>
      <c r="D1432" s="38" t="str">
        <f>IFERROR(__xludf.DUMMYFUNCTION("REGEXREPLACE(C1432,""-\d+(.*)|--\d+(.*)"","""")"),"DESVRES")</f>
        <v>DESVRES</v>
      </c>
      <c r="E1432" s="38" t="s">
        <v>109</v>
      </c>
      <c r="F1432" s="38" t="s">
        <v>86</v>
      </c>
      <c r="G1432" s="49" t="str">
        <f t="shared" si="1"/>
        <v>62240</v>
      </c>
      <c r="H1432" s="49">
        <f t="shared" si="2"/>
        <v>62268</v>
      </c>
    </row>
    <row r="1433">
      <c r="A1433" s="48" t="s">
        <v>2824</v>
      </c>
      <c r="B1433" s="38">
        <v>25537.0</v>
      </c>
      <c r="C1433" s="38" t="s">
        <v>2825</v>
      </c>
      <c r="D1433" s="38" t="str">
        <f>IFERROR(__xludf.DUMMYFUNCTION("REGEXREPLACE(C1433,""-\d+(.*)|--\d+(.*)"","""")"),"SCEY-MAISIERES")</f>
        <v>SCEY-MAISIERES</v>
      </c>
      <c r="E1433" s="38" t="s">
        <v>213</v>
      </c>
      <c r="F1433" s="38" t="s">
        <v>214</v>
      </c>
      <c r="G1433" s="49" t="str">
        <f t="shared" si="1"/>
        <v>25290</v>
      </c>
      <c r="H1433" s="49">
        <f t="shared" si="2"/>
        <v>25537</v>
      </c>
    </row>
    <row r="1434">
      <c r="A1434" s="48" t="s">
        <v>2826</v>
      </c>
      <c r="B1434" s="38">
        <v>60229.0</v>
      </c>
      <c r="C1434" s="38" t="s">
        <v>2827</v>
      </c>
      <c r="D1434" s="38" t="str">
        <f>IFERROR(__xludf.DUMMYFUNCTION("REGEXREPLACE(C1434,""-\d+(.*)|--\d+(.*)"","""")"),"LE FAYEL")</f>
        <v>LE FAYEL</v>
      </c>
      <c r="E1434" s="38" t="s">
        <v>112</v>
      </c>
      <c r="F1434" s="38" t="s">
        <v>113</v>
      </c>
      <c r="G1434" s="49" t="str">
        <f t="shared" si="1"/>
        <v>60680</v>
      </c>
      <c r="H1434" s="49">
        <f t="shared" si="2"/>
        <v>60229</v>
      </c>
    </row>
    <row r="1435">
      <c r="A1435" s="48" t="s">
        <v>895</v>
      </c>
      <c r="B1435" s="38">
        <v>87147.0</v>
      </c>
      <c r="C1435" s="38" t="s">
        <v>2828</v>
      </c>
      <c r="D1435" s="38" t="str">
        <f>IFERROR(__xludf.DUMMYFUNCTION("REGEXREPLACE(C1435,""-\d+(.*)|--\d+(.*)"","""")"),"SAINT-GILLES-LES-FORETS")</f>
        <v>SAINT-GILLES-LES-FORETS</v>
      </c>
      <c r="E1435" s="38" t="s">
        <v>897</v>
      </c>
      <c r="F1435" s="38" t="s">
        <v>98</v>
      </c>
      <c r="G1435" s="49" t="str">
        <f t="shared" si="1"/>
        <v>87130</v>
      </c>
      <c r="H1435" s="49">
        <f t="shared" si="2"/>
        <v>87147</v>
      </c>
    </row>
    <row r="1436">
      <c r="A1436" s="48" t="s">
        <v>2812</v>
      </c>
      <c r="B1436" s="38">
        <v>61220.0</v>
      </c>
      <c r="C1436" s="38" t="s">
        <v>2829</v>
      </c>
      <c r="D1436" s="38" t="str">
        <f>IFERROR(__xludf.DUMMYFUNCTION("REGEXREPLACE(C1436,""-\d+(.*)|--\d+(.*)"","""")"),"LA LANDE-SUR-EURE")</f>
        <v>LA LANDE-SUR-EURE</v>
      </c>
      <c r="E1436" s="38" t="s">
        <v>141</v>
      </c>
      <c r="F1436" s="38" t="s">
        <v>138</v>
      </c>
      <c r="G1436" s="49" t="str">
        <f t="shared" si="1"/>
        <v>61290</v>
      </c>
      <c r="H1436" s="49">
        <f t="shared" si="2"/>
        <v>61220</v>
      </c>
    </row>
    <row r="1437">
      <c r="A1437" s="48" t="s">
        <v>2830</v>
      </c>
      <c r="B1437" s="38">
        <v>86214.0</v>
      </c>
      <c r="C1437" s="38" t="s">
        <v>2831</v>
      </c>
      <c r="D1437" s="38" t="str">
        <f>IFERROR(__xludf.DUMMYFUNCTION("REGEXREPLACE(C1437,""-\d+(.*)|--\d+(.*)"","""")"),"SAINT-BENOIT")</f>
        <v>SAINT-BENOIT</v>
      </c>
      <c r="E1437" s="38" t="s">
        <v>529</v>
      </c>
      <c r="F1437" s="38" t="s">
        <v>338</v>
      </c>
      <c r="G1437" s="49" t="str">
        <f t="shared" si="1"/>
        <v>86280</v>
      </c>
      <c r="H1437" s="49">
        <f t="shared" si="2"/>
        <v>86214</v>
      </c>
    </row>
    <row r="1438">
      <c r="A1438" s="48" t="s">
        <v>2755</v>
      </c>
      <c r="B1438" s="38">
        <v>60561.0</v>
      </c>
      <c r="C1438" s="38" t="s">
        <v>2832</v>
      </c>
      <c r="D1438" s="38" t="str">
        <f>IFERROR(__xludf.DUMMYFUNCTION("REGEXREPLACE(C1438,""-\d+(.*)|--\d+(.*)"","""")"),"RUSSY-BEMONT")</f>
        <v>RUSSY-BEMONT</v>
      </c>
      <c r="E1438" s="38" t="s">
        <v>112</v>
      </c>
      <c r="F1438" s="38" t="s">
        <v>113</v>
      </c>
      <c r="G1438" s="49" t="str">
        <f t="shared" si="1"/>
        <v>60117</v>
      </c>
      <c r="H1438" s="49">
        <f t="shared" si="2"/>
        <v>60561</v>
      </c>
    </row>
    <row r="1439">
      <c r="A1439" s="48" t="s">
        <v>2833</v>
      </c>
      <c r="B1439" s="38">
        <v>77211.0</v>
      </c>
      <c r="C1439" s="38" t="s">
        <v>2834</v>
      </c>
      <c r="D1439" s="38" t="str">
        <f>IFERROR(__xludf.DUMMYFUNCTION("REGEXREPLACE(C1439,""-\d+(.*)|--\d+(.*)"","""")"),"GRANDPUITS-BAILLY-CARROIS")</f>
        <v>GRANDPUITS-BAILLY-CARROIS</v>
      </c>
      <c r="E1439" s="38" t="s">
        <v>244</v>
      </c>
      <c r="F1439" s="38" t="s">
        <v>245</v>
      </c>
      <c r="G1439" s="49" t="str">
        <f t="shared" si="1"/>
        <v>77720</v>
      </c>
      <c r="H1439" s="49">
        <f t="shared" si="2"/>
        <v>77211</v>
      </c>
    </row>
    <row r="1440">
      <c r="A1440" s="48" t="s">
        <v>2835</v>
      </c>
      <c r="B1440" s="38">
        <v>18251.0</v>
      </c>
      <c r="C1440" s="38" t="s">
        <v>2836</v>
      </c>
      <c r="D1440" s="38" t="str">
        <f>IFERROR(__xludf.DUMMYFUNCTION("REGEXREPLACE(C1440,""-\d+(.*)|--\d+(.*)"","""")"),"SEVRY")</f>
        <v>SEVRY</v>
      </c>
      <c r="E1440" s="38" t="s">
        <v>504</v>
      </c>
      <c r="F1440" s="38" t="s">
        <v>123</v>
      </c>
      <c r="G1440" s="49" t="str">
        <f t="shared" si="1"/>
        <v>18140</v>
      </c>
      <c r="H1440" s="49">
        <f t="shared" si="2"/>
        <v>18251</v>
      </c>
    </row>
    <row r="1441">
      <c r="A1441" s="48" t="s">
        <v>2837</v>
      </c>
      <c r="B1441" s="38">
        <v>17295.0</v>
      </c>
      <c r="C1441" s="38" t="s">
        <v>2838</v>
      </c>
      <c r="D1441" s="38" t="str">
        <f>IFERROR(__xludf.DUMMYFUNCTION("REGEXREPLACE(C1441,""-\d+(.*)|--\d+(.*)"","""")"),"REAUX")</f>
        <v>REAUX</v>
      </c>
      <c r="E1441" s="38" t="s">
        <v>488</v>
      </c>
      <c r="F1441" s="38" t="s">
        <v>338</v>
      </c>
      <c r="G1441" s="49" t="str">
        <f t="shared" si="1"/>
        <v>17500</v>
      </c>
      <c r="H1441" s="49">
        <f t="shared" si="2"/>
        <v>17295</v>
      </c>
    </row>
    <row r="1442">
      <c r="A1442" s="48" t="s">
        <v>2839</v>
      </c>
      <c r="B1442" s="38">
        <v>60088.0</v>
      </c>
      <c r="C1442" s="38" t="s">
        <v>2840</v>
      </c>
      <c r="D1442" s="38" t="str">
        <f>IFERROR(__xludf.DUMMYFUNCTION("REGEXREPLACE(C1442,""-\d+(.*)|--\d+(.*)"","""")"),"BORNEL")</f>
        <v>BORNEL</v>
      </c>
      <c r="E1442" s="38" t="s">
        <v>112</v>
      </c>
      <c r="F1442" s="38" t="s">
        <v>113</v>
      </c>
      <c r="G1442" s="49" t="str">
        <f t="shared" si="1"/>
        <v>60540</v>
      </c>
      <c r="H1442" s="49">
        <f t="shared" si="2"/>
        <v>60088</v>
      </c>
    </row>
    <row r="1443">
      <c r="A1443" s="48" t="s">
        <v>1953</v>
      </c>
      <c r="B1443" s="38">
        <v>36178.0</v>
      </c>
      <c r="C1443" s="38" t="s">
        <v>2841</v>
      </c>
      <c r="D1443" s="38" t="str">
        <f>IFERROR(__xludf.DUMMYFUNCTION("REGEXREPLACE(C1443,""-\d+(.*)|--\d+(.*)"","""")"),"SAINT-AIGNY")</f>
        <v>SAINT-AIGNY</v>
      </c>
      <c r="E1443" s="38" t="s">
        <v>258</v>
      </c>
      <c r="F1443" s="38" t="s">
        <v>123</v>
      </c>
      <c r="G1443" s="49" t="str">
        <f t="shared" si="1"/>
        <v>36300</v>
      </c>
      <c r="H1443" s="49">
        <f t="shared" si="2"/>
        <v>36178</v>
      </c>
    </row>
    <row r="1444">
      <c r="A1444" s="48" t="s">
        <v>2290</v>
      </c>
      <c r="B1444" s="38">
        <v>38468.0</v>
      </c>
      <c r="C1444" s="38" t="s">
        <v>2842</v>
      </c>
      <c r="D1444" s="38" t="str">
        <f>IFERROR(__xludf.DUMMYFUNCTION("REGEXREPLACE(C1444,""-\d+(.*)|--\d+(.*)"","""")"),"SALAISE-SUR-SANNE")</f>
        <v>SALAISE-SUR-SANNE</v>
      </c>
      <c r="E1444" s="38" t="s">
        <v>101</v>
      </c>
      <c r="F1444" s="38" t="s">
        <v>102</v>
      </c>
      <c r="G1444" s="49" t="str">
        <f t="shared" si="1"/>
        <v>38150</v>
      </c>
      <c r="H1444" s="49">
        <f t="shared" si="2"/>
        <v>38468</v>
      </c>
    </row>
    <row r="1445">
      <c r="A1445" s="48" t="s">
        <v>889</v>
      </c>
      <c r="B1445" s="38">
        <v>30352.0</v>
      </c>
      <c r="C1445" s="38" t="s">
        <v>2843</v>
      </c>
      <c r="D1445" s="38" t="str">
        <f>IFERROR(__xludf.DUMMYFUNCTION("REGEXREPLACE(C1445,""-\d+(.*)|--\d+(.*)"","""")"),"VILLEVIEILLE")</f>
        <v>VILLEVIEILLE</v>
      </c>
      <c r="E1445" s="38" t="s">
        <v>526</v>
      </c>
      <c r="F1445" s="38" t="s">
        <v>119</v>
      </c>
      <c r="G1445" s="49" t="str">
        <f t="shared" si="1"/>
        <v>30250</v>
      </c>
      <c r="H1445" s="49">
        <f t="shared" si="2"/>
        <v>30352</v>
      </c>
    </row>
    <row r="1446">
      <c r="A1446" s="48" t="s">
        <v>2714</v>
      </c>
      <c r="B1446" s="38">
        <v>61266.0</v>
      </c>
      <c r="C1446" s="38" t="s">
        <v>2844</v>
      </c>
      <c r="D1446" s="38" t="str">
        <f>IFERROR(__xludf.DUMMYFUNCTION("REGEXREPLACE(C1446,""-\d+(.*)|--\d+(.*)"","""")"),"LE MENIL-GUYON")</f>
        <v>LE MENIL-GUYON</v>
      </c>
      <c r="E1446" s="38" t="s">
        <v>141</v>
      </c>
      <c r="F1446" s="38" t="s">
        <v>138</v>
      </c>
      <c r="G1446" s="49" t="str">
        <f t="shared" si="1"/>
        <v>61170</v>
      </c>
      <c r="H1446" s="49">
        <f t="shared" si="2"/>
        <v>61266</v>
      </c>
    </row>
    <row r="1447">
      <c r="A1447" s="48" t="s">
        <v>2845</v>
      </c>
      <c r="B1447" s="38" t="s">
        <v>2846</v>
      </c>
      <c r="C1447" s="38" t="s">
        <v>2847</v>
      </c>
      <c r="D1447" s="38" t="str">
        <f>IFERROR(__xludf.DUMMYFUNCTION("REGEXREPLACE(C1447,""-\d+(.*)|--\d+(.*)"","""")"),"CHIATRA")</f>
        <v>CHIATRA</v>
      </c>
      <c r="E1447" s="38" t="s">
        <v>743</v>
      </c>
      <c r="F1447" s="38" t="s">
        <v>607</v>
      </c>
      <c r="G1447" s="49" t="str">
        <f t="shared" si="1"/>
        <v>20230</v>
      </c>
      <c r="H1447" s="49" t="str">
        <f t="shared" si="2"/>
        <v>2B088</v>
      </c>
    </row>
    <row r="1448">
      <c r="A1448" s="48" t="s">
        <v>2848</v>
      </c>
      <c r="B1448" s="38">
        <v>51045.0</v>
      </c>
      <c r="C1448" s="38" t="s">
        <v>2849</v>
      </c>
      <c r="D1448" s="38" t="str">
        <f>IFERROR(__xludf.DUMMYFUNCTION("REGEXREPLACE(C1448,""-\d+(.*)|--\d+(.*)"","""")"),"BEAUNAY")</f>
        <v>BEAUNAY</v>
      </c>
      <c r="E1448" s="38" t="s">
        <v>129</v>
      </c>
      <c r="F1448" s="38" t="s">
        <v>130</v>
      </c>
      <c r="G1448" s="49" t="str">
        <f t="shared" si="1"/>
        <v>51270</v>
      </c>
      <c r="H1448" s="49">
        <f t="shared" si="2"/>
        <v>51045</v>
      </c>
    </row>
    <row r="1449">
      <c r="A1449" s="48" t="s">
        <v>991</v>
      </c>
      <c r="B1449" s="38">
        <v>87164.0</v>
      </c>
      <c r="C1449" s="38" t="s">
        <v>2850</v>
      </c>
      <c r="D1449" s="38" t="str">
        <f>IFERROR(__xludf.DUMMYFUNCTION("REGEXREPLACE(C1449,""-\d+(.*)|--\d+(.*)"","""")"),"SAINT-MARTIN-DE-JUSSAC")</f>
        <v>SAINT-MARTIN-DE-JUSSAC</v>
      </c>
      <c r="E1449" s="38" t="s">
        <v>897</v>
      </c>
      <c r="F1449" s="38" t="s">
        <v>98</v>
      </c>
      <c r="G1449" s="49" t="str">
        <f t="shared" si="1"/>
        <v>87200</v>
      </c>
      <c r="H1449" s="49">
        <f t="shared" si="2"/>
        <v>87164</v>
      </c>
    </row>
    <row r="1450">
      <c r="A1450" s="48" t="s">
        <v>2851</v>
      </c>
      <c r="B1450" s="38">
        <v>41222.0</v>
      </c>
      <c r="C1450" s="38" t="s">
        <v>1320</v>
      </c>
      <c r="D1450" s="38" t="str">
        <f>IFERROR(__xludf.DUMMYFUNCTION("REGEXREPLACE(C1450,""-\d+(.*)|--\d+(.*)"","""")"),"SAINT-LOUP")</f>
        <v>SAINT-LOUP</v>
      </c>
      <c r="E1450" s="38" t="s">
        <v>188</v>
      </c>
      <c r="F1450" s="38" t="s">
        <v>123</v>
      </c>
      <c r="G1450" s="49" t="str">
        <f t="shared" si="1"/>
        <v>41320</v>
      </c>
      <c r="H1450" s="49">
        <f t="shared" si="2"/>
        <v>41222</v>
      </c>
    </row>
    <row r="1451">
      <c r="A1451" s="48" t="s">
        <v>1721</v>
      </c>
      <c r="B1451" s="38">
        <v>33060.0</v>
      </c>
      <c r="C1451" s="38" t="s">
        <v>2852</v>
      </c>
      <c r="D1451" s="38" t="str">
        <f>IFERROR(__xludf.DUMMYFUNCTION("REGEXREPLACE(C1451,""-\d+(.*)|--\d+(.*)"","""")"),"BOMMES")</f>
        <v>BOMMES</v>
      </c>
      <c r="E1451" s="38" t="s">
        <v>462</v>
      </c>
      <c r="F1451" s="38" t="s">
        <v>252</v>
      </c>
      <c r="G1451" s="49" t="str">
        <f t="shared" si="1"/>
        <v>33210</v>
      </c>
      <c r="H1451" s="49">
        <f t="shared" si="2"/>
        <v>33060</v>
      </c>
    </row>
    <row r="1452">
      <c r="A1452" s="48" t="s">
        <v>2853</v>
      </c>
      <c r="B1452" s="38">
        <v>36232.0</v>
      </c>
      <c r="C1452" s="38" t="s">
        <v>2854</v>
      </c>
      <c r="D1452" s="38" t="str">
        <f>IFERROR(__xludf.DUMMYFUNCTION("REGEXREPLACE(C1452,""-\d+(.*)|--\d+(.*)"","""")"),"VENDOEUVRES")</f>
        <v>VENDOEUVRES</v>
      </c>
      <c r="E1452" s="38" t="s">
        <v>258</v>
      </c>
      <c r="F1452" s="38" t="s">
        <v>123</v>
      </c>
      <c r="G1452" s="49" t="str">
        <f t="shared" si="1"/>
        <v>36500</v>
      </c>
      <c r="H1452" s="49">
        <f t="shared" si="2"/>
        <v>36232</v>
      </c>
    </row>
    <row r="1453">
      <c r="A1453" s="48" t="s">
        <v>2855</v>
      </c>
      <c r="B1453" s="38">
        <v>97308.0</v>
      </c>
      <c r="C1453" s="38" t="s">
        <v>2856</v>
      </c>
      <c r="D1453" s="38" t="str">
        <f>IFERROR(__xludf.DUMMYFUNCTION("REGEXREPLACE(C1453,""-\d+(.*)|--\d+(.*)"","""")"),"SAINT-GEORGES")</f>
        <v>SAINT-GEORGES</v>
      </c>
      <c r="E1453" s="38" t="s">
        <v>1737</v>
      </c>
      <c r="F1453" s="38" t="s">
        <v>1737</v>
      </c>
      <c r="G1453" s="49" t="str">
        <f t="shared" si="1"/>
        <v>97313</v>
      </c>
      <c r="H1453" s="49">
        <f t="shared" si="2"/>
        <v>97308</v>
      </c>
    </row>
    <row r="1454">
      <c r="A1454" s="48" t="s">
        <v>2668</v>
      </c>
      <c r="B1454" s="38">
        <v>55349.0</v>
      </c>
      <c r="C1454" s="38" t="s">
        <v>2857</v>
      </c>
      <c r="D1454" s="38" t="str">
        <f>IFERROR(__xludf.DUMMYFUNCTION("REGEXREPLACE(C1454,""-\d+(.*)|--\d+(.*)"","""")"),"MONTIGNY-DEVANT-SASSEY")</f>
        <v>MONTIGNY-DEVANT-SASSEY</v>
      </c>
      <c r="E1454" s="38" t="s">
        <v>322</v>
      </c>
      <c r="F1454" s="38" t="s">
        <v>195</v>
      </c>
      <c r="G1454" s="49" t="str">
        <f t="shared" si="1"/>
        <v>55110</v>
      </c>
      <c r="H1454" s="49">
        <f t="shared" si="2"/>
        <v>55349</v>
      </c>
    </row>
    <row r="1455">
      <c r="A1455" s="48" t="s">
        <v>1155</v>
      </c>
      <c r="B1455" s="38">
        <v>67514.0</v>
      </c>
      <c r="C1455" s="38" t="s">
        <v>2858</v>
      </c>
      <c r="D1455" s="38" t="str">
        <f>IFERROR(__xludf.DUMMYFUNCTION("REGEXREPLACE(C1455,""-\d+(.*)|--\d+(.*)"","""")"),"WALDHAMBACH")</f>
        <v>WALDHAMBACH</v>
      </c>
      <c r="E1455" s="38" t="s">
        <v>210</v>
      </c>
      <c r="F1455" s="38" t="s">
        <v>151</v>
      </c>
      <c r="G1455" s="49" t="str">
        <f t="shared" si="1"/>
        <v>67430</v>
      </c>
      <c r="H1455" s="49">
        <f t="shared" si="2"/>
        <v>67514</v>
      </c>
    </row>
    <row r="1456">
      <c r="A1456" s="48" t="s">
        <v>2859</v>
      </c>
      <c r="B1456" s="38">
        <v>22229.0</v>
      </c>
      <c r="C1456" s="38" t="s">
        <v>2860</v>
      </c>
      <c r="D1456" s="38" t="str">
        <f>IFERROR(__xludf.DUMMYFUNCTION("REGEXREPLACE(C1456,""-\d+(.*)|--\d+(.*)"","""")"),"PLOUNEVEZ-QUINTIN")</f>
        <v>PLOUNEVEZ-QUINTIN</v>
      </c>
      <c r="E1456" s="38" t="s">
        <v>89</v>
      </c>
      <c r="F1456" s="38" t="s">
        <v>90</v>
      </c>
      <c r="G1456" s="49" t="str">
        <f t="shared" si="1"/>
        <v>22110</v>
      </c>
      <c r="H1456" s="49">
        <f t="shared" si="2"/>
        <v>22229</v>
      </c>
    </row>
    <row r="1457">
      <c r="A1457" s="48" t="s">
        <v>2861</v>
      </c>
      <c r="B1457" s="38">
        <v>62671.0</v>
      </c>
      <c r="C1457" s="38" t="s">
        <v>2862</v>
      </c>
      <c r="D1457" s="38" t="str">
        <f>IFERROR(__xludf.DUMMYFUNCTION("REGEXREPLACE(C1457,""-\d+(.*)|--\d+(.*)"","""")"),"PRONVILLE")</f>
        <v>PRONVILLE</v>
      </c>
      <c r="E1457" s="38" t="s">
        <v>109</v>
      </c>
      <c r="F1457" s="38" t="s">
        <v>86</v>
      </c>
      <c r="G1457" s="49" t="str">
        <f t="shared" si="1"/>
        <v>62860</v>
      </c>
      <c r="H1457" s="49">
        <f t="shared" si="2"/>
        <v>62671</v>
      </c>
    </row>
    <row r="1458">
      <c r="A1458" s="48" t="s">
        <v>2863</v>
      </c>
      <c r="B1458" s="38">
        <v>97602.0</v>
      </c>
      <c r="C1458" s="38" t="s">
        <v>2864</v>
      </c>
      <c r="D1458" s="38" t="str">
        <f>IFERROR(__xludf.DUMMYFUNCTION("REGEXREPLACE(C1458,""-\d+(.*)|--\d+(.*)"","""")"),"BANDRABOUA")</f>
        <v>BANDRABOUA</v>
      </c>
      <c r="E1458" s="38" t="s">
        <v>2865</v>
      </c>
      <c r="F1458" s="38" t="s">
        <v>2865</v>
      </c>
      <c r="G1458" s="49" t="str">
        <f t="shared" si="1"/>
        <v>97650</v>
      </c>
      <c r="H1458" s="49">
        <f t="shared" si="2"/>
        <v>97602</v>
      </c>
    </row>
    <row r="1459">
      <c r="A1459" s="48" t="s">
        <v>2866</v>
      </c>
      <c r="B1459" s="38">
        <v>31451.0</v>
      </c>
      <c r="C1459" s="38" t="s">
        <v>2867</v>
      </c>
      <c r="D1459" s="38" t="str">
        <f>IFERROR(__xludf.DUMMYFUNCTION("REGEXREPLACE(C1459,""-\d+(.*)|--\d+(.*)"","""")"),"REVEL")</f>
        <v>REVEL</v>
      </c>
      <c r="E1459" s="38" t="s">
        <v>93</v>
      </c>
      <c r="F1459" s="38" t="s">
        <v>94</v>
      </c>
      <c r="G1459" s="49" t="str">
        <f t="shared" si="1"/>
        <v>31250</v>
      </c>
      <c r="H1459" s="49">
        <f t="shared" si="2"/>
        <v>31451</v>
      </c>
    </row>
    <row r="1460">
      <c r="A1460" s="48" t="s">
        <v>2868</v>
      </c>
      <c r="B1460" s="38">
        <v>80473.0</v>
      </c>
      <c r="C1460" s="38" t="s">
        <v>2869</v>
      </c>
      <c r="D1460" s="38" t="str">
        <f>IFERROR(__xludf.DUMMYFUNCTION("REGEXREPLACE(C1460,""-\d+(.*)|--\d+(.*)"","""")"),"LIANCOURT-FOSSE")</f>
        <v>LIANCOURT-FOSSE</v>
      </c>
      <c r="E1460" s="38" t="s">
        <v>224</v>
      </c>
      <c r="F1460" s="38" t="s">
        <v>113</v>
      </c>
      <c r="G1460" s="49" t="str">
        <f t="shared" si="1"/>
        <v>80700</v>
      </c>
      <c r="H1460" s="49">
        <f t="shared" si="2"/>
        <v>80473</v>
      </c>
    </row>
    <row r="1461">
      <c r="A1461" s="48" t="s">
        <v>920</v>
      </c>
      <c r="B1461" s="38">
        <v>31483.0</v>
      </c>
      <c r="C1461" s="38" t="s">
        <v>2870</v>
      </c>
      <c r="D1461" s="38" t="str">
        <f>IFERROR(__xludf.DUMMYFUNCTION("REGEXREPLACE(C1461,""-\d+(.*)|--\d+(.*)"","""")"),"SAINT-GAUDENS")</f>
        <v>SAINT-GAUDENS</v>
      </c>
      <c r="E1461" s="38" t="s">
        <v>93</v>
      </c>
      <c r="F1461" s="38" t="s">
        <v>94</v>
      </c>
      <c r="G1461" s="49" t="str">
        <f t="shared" si="1"/>
        <v>31800</v>
      </c>
      <c r="H1461" s="49">
        <f t="shared" si="2"/>
        <v>31483</v>
      </c>
    </row>
    <row r="1462">
      <c r="A1462" s="48" t="s">
        <v>2871</v>
      </c>
      <c r="B1462" s="38">
        <v>66024.0</v>
      </c>
      <c r="C1462" s="38" t="s">
        <v>2872</v>
      </c>
      <c r="D1462" s="38" t="str">
        <f>IFERROR(__xludf.DUMMYFUNCTION("REGEXREPLACE(C1462,""-\d+(.*)|--\d+(.*)"","""")"),"LE BOULOU")</f>
        <v>LE BOULOU</v>
      </c>
      <c r="E1462" s="38" t="s">
        <v>248</v>
      </c>
      <c r="F1462" s="38" t="s">
        <v>119</v>
      </c>
      <c r="G1462" s="49" t="str">
        <f t="shared" si="1"/>
        <v>66160</v>
      </c>
      <c r="H1462" s="49">
        <f t="shared" si="2"/>
        <v>66024</v>
      </c>
    </row>
    <row r="1463">
      <c r="A1463" s="48" t="s">
        <v>330</v>
      </c>
      <c r="B1463" s="38">
        <v>43101.0</v>
      </c>
      <c r="C1463" s="38" t="s">
        <v>2873</v>
      </c>
      <c r="D1463" s="38" t="str">
        <f>IFERROR(__xludf.DUMMYFUNCTION("REGEXREPLACE(C1463,""-\d+(.*)|--\d+(.*)"","""")"),"GOUDET")</f>
        <v>GOUDET</v>
      </c>
      <c r="E1463" s="38" t="s">
        <v>332</v>
      </c>
      <c r="F1463" s="38" t="s">
        <v>161</v>
      </c>
      <c r="G1463" s="49" t="str">
        <f t="shared" si="1"/>
        <v>43150</v>
      </c>
      <c r="H1463" s="49">
        <f t="shared" si="2"/>
        <v>43101</v>
      </c>
    </row>
    <row r="1464">
      <c r="A1464" s="48" t="s">
        <v>654</v>
      </c>
      <c r="B1464" s="38">
        <v>8466.0</v>
      </c>
      <c r="C1464" s="38" t="s">
        <v>2874</v>
      </c>
      <c r="D1464" s="38" t="str">
        <f>IFERROR(__xludf.DUMMYFUNCTION("REGEXREPLACE(C1464,""-\d+(.*)|--\d+(.*)"","""")"),"VAUX-LES-MOUZON")</f>
        <v>VAUX-LES-MOUZON</v>
      </c>
      <c r="E1464" s="38" t="s">
        <v>327</v>
      </c>
      <c r="F1464" s="38" t="s">
        <v>130</v>
      </c>
      <c r="G1464" s="49" t="str">
        <f t="shared" si="1"/>
        <v>08210</v>
      </c>
      <c r="H1464" s="49" t="str">
        <f t="shared" si="2"/>
        <v>08466</v>
      </c>
    </row>
    <row r="1465">
      <c r="A1465" s="48" t="s">
        <v>2875</v>
      </c>
      <c r="B1465" s="38">
        <v>39099.0</v>
      </c>
      <c r="C1465" s="38" t="s">
        <v>2876</v>
      </c>
      <c r="D1465" s="38" t="str">
        <f>IFERROR(__xludf.DUMMYFUNCTION("REGEXREPLACE(C1465,""-\d+(.*)|--\d+(.*)"","""")"),"CHAMPDIVERS")</f>
        <v>CHAMPDIVERS</v>
      </c>
      <c r="E1465" s="38" t="s">
        <v>400</v>
      </c>
      <c r="F1465" s="38" t="s">
        <v>214</v>
      </c>
      <c r="G1465" s="49" t="str">
        <f t="shared" si="1"/>
        <v>39500</v>
      </c>
      <c r="H1465" s="49">
        <f t="shared" si="2"/>
        <v>39099</v>
      </c>
    </row>
    <row r="1466">
      <c r="A1466" s="48" t="s">
        <v>2877</v>
      </c>
      <c r="B1466" s="38">
        <v>4240.0</v>
      </c>
      <c r="C1466" s="38" t="s">
        <v>2878</v>
      </c>
      <c r="D1466" s="38" t="str">
        <f>IFERROR(__xludf.DUMMYFUNCTION("REGEXREPLACE(C1466,""-\d+(.*)|--\d+(.*)"","""")"),"VILLARS-COLMARS")</f>
        <v>VILLARS-COLMARS</v>
      </c>
      <c r="E1466" s="38" t="s">
        <v>662</v>
      </c>
      <c r="F1466" s="38" t="s">
        <v>228</v>
      </c>
      <c r="G1466" s="49" t="str">
        <f t="shared" si="1"/>
        <v>04370</v>
      </c>
      <c r="H1466" s="49" t="str">
        <f t="shared" si="2"/>
        <v>04240</v>
      </c>
    </row>
    <row r="1467">
      <c r="A1467" s="48" t="s">
        <v>1151</v>
      </c>
      <c r="B1467" s="38">
        <v>58248.0</v>
      </c>
      <c r="C1467" s="38" t="s">
        <v>2879</v>
      </c>
      <c r="D1467" s="38" t="str">
        <f>IFERROR(__xludf.DUMMYFUNCTION("REGEXREPLACE(C1467,""-\d+(.*)|--\d+(.*)"","""")"),"SAINT-LAURENT-L'ABBAYE")</f>
        <v>SAINT-LAURENT-L'ABBAYE</v>
      </c>
      <c r="E1467" s="38" t="s">
        <v>219</v>
      </c>
      <c r="F1467" s="38" t="s">
        <v>106</v>
      </c>
      <c r="G1467" s="49" t="str">
        <f t="shared" si="1"/>
        <v>58150</v>
      </c>
      <c r="H1467" s="49">
        <f t="shared" si="2"/>
        <v>58248</v>
      </c>
    </row>
    <row r="1468">
      <c r="A1468" s="48" t="s">
        <v>2880</v>
      </c>
      <c r="B1468" s="38">
        <v>67237.0</v>
      </c>
      <c r="C1468" s="38" t="s">
        <v>2881</v>
      </c>
      <c r="D1468" s="38" t="str">
        <f>IFERROR(__xludf.DUMMYFUNCTION("REGEXREPLACE(C1468,""-\d+(.*)|--\d+(.*)"","""")"),"KILSTETT")</f>
        <v>KILSTETT</v>
      </c>
      <c r="E1468" s="38" t="s">
        <v>210</v>
      </c>
      <c r="F1468" s="38" t="s">
        <v>151</v>
      </c>
      <c r="G1468" s="49" t="str">
        <f t="shared" si="1"/>
        <v>67840</v>
      </c>
      <c r="H1468" s="49">
        <f t="shared" si="2"/>
        <v>67237</v>
      </c>
    </row>
    <row r="1469">
      <c r="A1469" s="48" t="s">
        <v>2882</v>
      </c>
      <c r="B1469" s="38">
        <v>76147.0</v>
      </c>
      <c r="C1469" s="38" t="s">
        <v>2448</v>
      </c>
      <c r="D1469" s="38" t="str">
        <f>IFERROR(__xludf.DUMMYFUNCTION("REGEXREPLACE(C1469,""-\d+(.*)|--\d+(.*)"","""")"),"BULLY")</f>
        <v>BULLY</v>
      </c>
      <c r="E1469" s="38" t="s">
        <v>133</v>
      </c>
      <c r="F1469" s="38" t="s">
        <v>134</v>
      </c>
      <c r="G1469" s="49" t="str">
        <f t="shared" si="1"/>
        <v>76270</v>
      </c>
      <c r="H1469" s="49">
        <f t="shared" si="2"/>
        <v>76147</v>
      </c>
    </row>
    <row r="1470">
      <c r="A1470" s="48" t="s">
        <v>1679</v>
      </c>
      <c r="B1470" s="38">
        <v>51508.0</v>
      </c>
      <c r="C1470" s="38" t="s">
        <v>2883</v>
      </c>
      <c r="D1470" s="38" t="str">
        <f>IFERROR(__xludf.DUMMYFUNCTION("REGEXREPLACE(C1470,""-\d+(.*)|--\d+(.*)"","""")"),"SAINT-OUEN-DOMPROT")</f>
        <v>SAINT-OUEN-DOMPROT</v>
      </c>
      <c r="E1470" s="38" t="s">
        <v>129</v>
      </c>
      <c r="F1470" s="38" t="s">
        <v>130</v>
      </c>
      <c r="G1470" s="49" t="str">
        <f t="shared" si="1"/>
        <v>51320</v>
      </c>
      <c r="H1470" s="49">
        <f t="shared" si="2"/>
        <v>51508</v>
      </c>
    </row>
    <row r="1471">
      <c r="A1471" s="48" t="s">
        <v>2884</v>
      </c>
      <c r="B1471" s="38">
        <v>57061.0</v>
      </c>
      <c r="C1471" s="38" t="s">
        <v>2885</v>
      </c>
      <c r="D1471" s="38" t="str">
        <f>IFERROR(__xludf.DUMMYFUNCTION("REGEXREPLACE(C1471,""-\d+(.*)|--\d+(.*)"","""")"),"BENING-LES-SAINT-AVOLD")</f>
        <v>BENING-LES-SAINT-AVOLD</v>
      </c>
      <c r="E1471" s="38" t="s">
        <v>303</v>
      </c>
      <c r="F1471" s="38" t="s">
        <v>195</v>
      </c>
      <c r="G1471" s="49" t="str">
        <f t="shared" si="1"/>
        <v>57800</v>
      </c>
      <c r="H1471" s="49">
        <f t="shared" si="2"/>
        <v>57061</v>
      </c>
    </row>
    <row r="1472">
      <c r="A1472" s="48" t="s">
        <v>2886</v>
      </c>
      <c r="B1472" s="38">
        <v>89458.0</v>
      </c>
      <c r="C1472" s="38" t="s">
        <v>2887</v>
      </c>
      <c r="D1472" s="38" t="str">
        <f>IFERROR(__xludf.DUMMYFUNCTION("REGEXREPLACE(C1472,""-\d+(.*)|--\d+(.*)"","""")"),"VILLENAVOTTE")</f>
        <v>VILLENAVOTTE</v>
      </c>
      <c r="E1472" s="38" t="s">
        <v>275</v>
      </c>
      <c r="F1472" s="38" t="s">
        <v>106</v>
      </c>
      <c r="G1472" s="49" t="str">
        <f t="shared" si="1"/>
        <v>89140</v>
      </c>
      <c r="H1472" s="49">
        <f t="shared" si="2"/>
        <v>89458</v>
      </c>
    </row>
    <row r="1473">
      <c r="A1473" s="48" t="s">
        <v>2888</v>
      </c>
      <c r="B1473" s="38">
        <v>2214.0</v>
      </c>
      <c r="C1473" s="38" t="s">
        <v>2889</v>
      </c>
      <c r="D1473" s="38" t="str">
        <f>IFERROR(__xludf.DUMMYFUNCTION("REGEXREPLACE(C1473,""-\d+(.*)|--\d+(.*)"","""")"),"CONTESCOURT")</f>
        <v>CONTESCOURT</v>
      </c>
      <c r="E1473" s="38" t="s">
        <v>191</v>
      </c>
      <c r="F1473" s="38" t="s">
        <v>113</v>
      </c>
      <c r="G1473" s="49" t="str">
        <f t="shared" si="1"/>
        <v>02680</v>
      </c>
      <c r="H1473" s="49" t="str">
        <f t="shared" si="2"/>
        <v>02214</v>
      </c>
    </row>
    <row r="1474">
      <c r="A1474" s="48" t="s">
        <v>284</v>
      </c>
      <c r="B1474" s="38">
        <v>60093.0</v>
      </c>
      <c r="C1474" s="38" t="s">
        <v>2890</v>
      </c>
      <c r="D1474" s="38" t="str">
        <f>IFERROR(__xludf.DUMMYFUNCTION("REGEXREPLACE(C1474,""-\d+(.*)|--\d+(.*)"","""")"),"BOULOGNE-LA-GRASSE")</f>
        <v>BOULOGNE-LA-GRASSE</v>
      </c>
      <c r="E1474" s="38" t="s">
        <v>112</v>
      </c>
      <c r="F1474" s="38" t="s">
        <v>113</v>
      </c>
      <c r="G1474" s="49" t="str">
        <f t="shared" si="1"/>
        <v>60490</v>
      </c>
      <c r="H1474" s="49">
        <f t="shared" si="2"/>
        <v>60093</v>
      </c>
    </row>
    <row r="1475">
      <c r="A1475" s="48" t="s">
        <v>2891</v>
      </c>
      <c r="B1475" s="38">
        <v>12299.0</v>
      </c>
      <c r="C1475" s="38" t="s">
        <v>2892</v>
      </c>
      <c r="D1475" s="38" t="str">
        <f>IFERROR(__xludf.DUMMYFUNCTION("REGEXREPLACE(C1475,""-\d+(.*)|--\d+(.*)"","""")"),"VILLEFRANCHE-DE-PANAT")</f>
        <v>VILLEFRANCHE-DE-PANAT</v>
      </c>
      <c r="E1475" s="38" t="s">
        <v>465</v>
      </c>
      <c r="F1475" s="38" t="s">
        <v>94</v>
      </c>
      <c r="G1475" s="49" t="str">
        <f t="shared" si="1"/>
        <v>12430</v>
      </c>
      <c r="H1475" s="49">
        <f t="shared" si="2"/>
        <v>12299</v>
      </c>
    </row>
    <row r="1476">
      <c r="A1476" s="48" t="s">
        <v>2893</v>
      </c>
      <c r="B1476" s="38">
        <v>27478.0</v>
      </c>
      <c r="C1476" s="38" t="s">
        <v>2894</v>
      </c>
      <c r="D1476" s="38" t="str">
        <f>IFERROR(__xludf.DUMMYFUNCTION("REGEXREPLACE(C1476,""-\d+(.*)|--\d+(.*)"","""")"),"PREY")</f>
        <v>PREY</v>
      </c>
      <c r="E1476" s="38" t="s">
        <v>241</v>
      </c>
      <c r="F1476" s="38" t="s">
        <v>134</v>
      </c>
      <c r="G1476" s="49" t="str">
        <f t="shared" si="1"/>
        <v>27220</v>
      </c>
      <c r="H1476" s="49">
        <f t="shared" si="2"/>
        <v>27478</v>
      </c>
    </row>
    <row r="1477">
      <c r="A1477" s="48" t="s">
        <v>2895</v>
      </c>
      <c r="B1477" s="38">
        <v>13207.0</v>
      </c>
      <c r="C1477" s="38" t="s">
        <v>2896</v>
      </c>
      <c r="D1477" s="38" t="str">
        <f>IFERROR(__xludf.DUMMYFUNCTION("REGEXREPLACE(C1477,""-\d+(.*)|--\d+(.*)"","""")"),"MARSEILLE")</f>
        <v>MARSEILLE</v>
      </c>
      <c r="E1477" s="38" t="s">
        <v>980</v>
      </c>
      <c r="F1477" s="38" t="s">
        <v>228</v>
      </c>
      <c r="G1477" s="49" t="str">
        <f t="shared" si="1"/>
        <v>13007</v>
      </c>
      <c r="H1477" s="49">
        <f t="shared" si="2"/>
        <v>13207</v>
      </c>
    </row>
    <row r="1478">
      <c r="A1478" s="48" t="s">
        <v>2897</v>
      </c>
      <c r="B1478" s="38">
        <v>7041.0</v>
      </c>
      <c r="C1478" s="38" t="s">
        <v>2898</v>
      </c>
      <c r="D1478" s="38" t="str">
        <f>IFERROR(__xludf.DUMMYFUNCTION("REGEXREPLACE(C1478,""-\d+(.*)|--\d+(.*)"","""")"),"BOULIEU-LES-ANNONAY")</f>
        <v>BOULIEU-LES-ANNONAY</v>
      </c>
      <c r="E1478" s="38" t="s">
        <v>144</v>
      </c>
      <c r="F1478" s="38" t="s">
        <v>102</v>
      </c>
      <c r="G1478" s="49" t="str">
        <f t="shared" si="1"/>
        <v>07100</v>
      </c>
      <c r="H1478" s="49" t="str">
        <f t="shared" si="2"/>
        <v>07041</v>
      </c>
    </row>
    <row r="1479">
      <c r="A1479" s="48" t="s">
        <v>2899</v>
      </c>
      <c r="B1479" s="38">
        <v>15085.0</v>
      </c>
      <c r="C1479" s="38" t="s">
        <v>2900</v>
      </c>
      <c r="D1479" s="38" t="str">
        <f>IFERROR(__xludf.DUMMYFUNCTION("REGEXREPLACE(C1479,""-\d+(.*)|--\d+(.*)"","""")"),"LABROUSSE")</f>
        <v>LABROUSSE</v>
      </c>
      <c r="E1479" s="38" t="s">
        <v>632</v>
      </c>
      <c r="F1479" s="38" t="s">
        <v>161</v>
      </c>
      <c r="G1479" s="49" t="str">
        <f t="shared" si="1"/>
        <v>15130</v>
      </c>
      <c r="H1479" s="49">
        <f t="shared" si="2"/>
        <v>15085</v>
      </c>
    </row>
    <row r="1480">
      <c r="A1480" s="48" t="s">
        <v>2901</v>
      </c>
      <c r="B1480" s="38">
        <v>87125.0</v>
      </c>
      <c r="C1480" s="38" t="s">
        <v>2902</v>
      </c>
      <c r="D1480" s="38" t="str">
        <f>IFERROR(__xludf.DUMMYFUNCTION("REGEXREPLACE(C1480,""-\d+(.*)|--\d+(.*)"","""")"),"RILHAC-RANCON")</f>
        <v>RILHAC-RANCON</v>
      </c>
      <c r="E1480" s="38" t="s">
        <v>897</v>
      </c>
      <c r="F1480" s="38" t="s">
        <v>98</v>
      </c>
      <c r="G1480" s="49" t="str">
        <f t="shared" si="1"/>
        <v>87570</v>
      </c>
      <c r="H1480" s="49">
        <f t="shared" si="2"/>
        <v>87125</v>
      </c>
    </row>
    <row r="1481">
      <c r="A1481" s="48" t="s">
        <v>2903</v>
      </c>
      <c r="B1481" s="38">
        <v>85002.0</v>
      </c>
      <c r="C1481" s="38" t="s">
        <v>2904</v>
      </c>
      <c r="D1481" s="38" t="str">
        <f>IFERROR(__xludf.DUMMYFUNCTION("REGEXREPLACE(C1481,""-\d+(.*)|--\d+(.*)"","""")"),"L'AIGUILLON-SUR-VIE")</f>
        <v>L'AIGUILLON-SUR-VIE</v>
      </c>
      <c r="E1481" s="38" t="s">
        <v>179</v>
      </c>
      <c r="F1481" s="38" t="s">
        <v>180</v>
      </c>
      <c r="G1481" s="49" t="str">
        <f t="shared" si="1"/>
        <v>85220</v>
      </c>
      <c r="H1481" s="49">
        <f t="shared" si="2"/>
        <v>85002</v>
      </c>
    </row>
    <row r="1482">
      <c r="A1482" s="48" t="s">
        <v>2905</v>
      </c>
      <c r="B1482" s="38">
        <v>21036.0</v>
      </c>
      <c r="C1482" s="38" t="s">
        <v>2906</v>
      </c>
      <c r="D1482" s="38" t="str">
        <f>IFERROR(__xludf.DUMMYFUNCTION("REGEXREPLACE(C1482,""-\d+(.*)|--\d+(.*)"","""")"),"AUXANT")</f>
        <v>AUXANT</v>
      </c>
      <c r="E1482" s="38" t="s">
        <v>105</v>
      </c>
      <c r="F1482" s="38" t="s">
        <v>106</v>
      </c>
      <c r="G1482" s="49" t="str">
        <f t="shared" si="1"/>
        <v>21360</v>
      </c>
      <c r="H1482" s="49">
        <f t="shared" si="2"/>
        <v>21036</v>
      </c>
    </row>
    <row r="1483">
      <c r="A1483" s="48" t="s">
        <v>2907</v>
      </c>
      <c r="B1483" s="38">
        <v>22058.0</v>
      </c>
      <c r="C1483" s="38" t="s">
        <v>2908</v>
      </c>
      <c r="D1483" s="38" t="str">
        <f>IFERROR(__xludf.DUMMYFUNCTION("REGEXREPLACE(C1483,""-\d+(.*)|--\d+(.*)"","""")"),"LA FERRIERE")</f>
        <v>LA FERRIERE</v>
      </c>
      <c r="E1483" s="38" t="s">
        <v>89</v>
      </c>
      <c r="F1483" s="38" t="s">
        <v>90</v>
      </c>
      <c r="G1483" s="49" t="str">
        <f t="shared" si="1"/>
        <v>22210</v>
      </c>
      <c r="H1483" s="49">
        <f t="shared" si="2"/>
        <v>22058</v>
      </c>
    </row>
    <row r="1484">
      <c r="A1484" s="48" t="s">
        <v>2909</v>
      </c>
      <c r="B1484" s="38">
        <v>44025.0</v>
      </c>
      <c r="C1484" s="38" t="s">
        <v>2910</v>
      </c>
      <c r="D1484" s="38" t="str">
        <f>IFERROR(__xludf.DUMMYFUNCTION("REGEXREPLACE(C1484,""-\d+(.*)|--\d+(.*)"","""")"),"CAMPBON")</f>
        <v>CAMPBON</v>
      </c>
      <c r="E1484" s="38" t="s">
        <v>759</v>
      </c>
      <c r="F1484" s="38" t="s">
        <v>180</v>
      </c>
      <c r="G1484" s="49" t="str">
        <f t="shared" si="1"/>
        <v>44750</v>
      </c>
      <c r="H1484" s="49">
        <f t="shared" si="2"/>
        <v>44025</v>
      </c>
    </row>
    <row r="1485">
      <c r="A1485" s="48" t="s">
        <v>2911</v>
      </c>
      <c r="B1485" s="38">
        <v>57752.0</v>
      </c>
      <c r="C1485" s="38" t="s">
        <v>2912</v>
      </c>
      <c r="D1485" s="38" t="str">
        <f>IFERROR(__xludf.DUMMYFUNCTION("REGEXREPLACE(C1485,""-\d+(.*)|--\d+(.*)"","""")"),"WOUSTVILLER")</f>
        <v>WOUSTVILLER</v>
      </c>
      <c r="E1485" s="38" t="s">
        <v>303</v>
      </c>
      <c r="F1485" s="38" t="s">
        <v>195</v>
      </c>
      <c r="G1485" s="49" t="str">
        <f t="shared" si="1"/>
        <v>57915</v>
      </c>
      <c r="H1485" s="49">
        <f t="shared" si="2"/>
        <v>57752</v>
      </c>
    </row>
    <row r="1486">
      <c r="A1486" s="48" t="s">
        <v>1626</v>
      </c>
      <c r="B1486" s="38">
        <v>44100.0</v>
      </c>
      <c r="C1486" s="38" t="s">
        <v>2913</v>
      </c>
      <c r="D1486" s="38" t="str">
        <f>IFERROR(__xludf.DUMMYFUNCTION("REGEXREPLACE(C1486,""-\d+(.*)|--\d+(.*)"","""")"),"MONNIERES")</f>
        <v>MONNIERES</v>
      </c>
      <c r="E1486" s="38" t="s">
        <v>759</v>
      </c>
      <c r="F1486" s="38" t="s">
        <v>180</v>
      </c>
      <c r="G1486" s="49" t="str">
        <f t="shared" si="1"/>
        <v>44690</v>
      </c>
      <c r="H1486" s="49">
        <f t="shared" si="2"/>
        <v>44100</v>
      </c>
    </row>
    <row r="1487">
      <c r="A1487" s="48" t="s">
        <v>777</v>
      </c>
      <c r="B1487" s="38">
        <v>74032.0</v>
      </c>
      <c r="C1487" s="38" t="s">
        <v>2914</v>
      </c>
      <c r="D1487" s="38" t="str">
        <f>IFERROR(__xludf.DUMMYFUNCTION("REGEXREPLACE(C1487,""-\d+(.*)|--\d+(.*)"","""")"),"BELLEVAUX")</f>
        <v>BELLEVAUX</v>
      </c>
      <c r="E1487" s="38" t="s">
        <v>319</v>
      </c>
      <c r="F1487" s="38" t="s">
        <v>102</v>
      </c>
      <c r="G1487" s="49" t="str">
        <f t="shared" si="1"/>
        <v>74470</v>
      </c>
      <c r="H1487" s="49">
        <f t="shared" si="2"/>
        <v>74032</v>
      </c>
    </row>
    <row r="1488">
      <c r="A1488" s="48" t="s">
        <v>2915</v>
      </c>
      <c r="B1488" s="38">
        <v>79304.0</v>
      </c>
      <c r="C1488" s="38" t="s">
        <v>2916</v>
      </c>
      <c r="D1488" s="38" t="str">
        <f>IFERROR(__xludf.DUMMYFUNCTION("REGEXREPLACE(C1488,""-\d+(.*)|--\d+(.*)"","""")"),"SANSAIS")</f>
        <v>SANSAIS</v>
      </c>
      <c r="E1488" s="38" t="s">
        <v>337</v>
      </c>
      <c r="F1488" s="38" t="s">
        <v>338</v>
      </c>
      <c r="G1488" s="49" t="str">
        <f t="shared" si="1"/>
        <v>79270</v>
      </c>
      <c r="H1488" s="49">
        <f t="shared" si="2"/>
        <v>79304</v>
      </c>
    </row>
    <row r="1489">
      <c r="A1489" s="48" t="s">
        <v>2917</v>
      </c>
      <c r="B1489" s="38">
        <v>49010.0</v>
      </c>
      <c r="C1489" s="38" t="s">
        <v>2918</v>
      </c>
      <c r="D1489" s="38" t="str">
        <f>IFERROR(__xludf.DUMMYFUNCTION("REGEXREPLACE(C1489,""-\d+(.*)|--\d+(.*)"","""")"),"ARMAILLE")</f>
        <v>ARMAILLE</v>
      </c>
      <c r="E1489" s="38" t="s">
        <v>653</v>
      </c>
      <c r="F1489" s="38" t="s">
        <v>180</v>
      </c>
      <c r="G1489" s="49" t="str">
        <f t="shared" si="1"/>
        <v>49420</v>
      </c>
      <c r="H1489" s="49">
        <f t="shared" si="2"/>
        <v>49010</v>
      </c>
    </row>
    <row r="1490">
      <c r="A1490" s="48" t="s">
        <v>691</v>
      </c>
      <c r="B1490" s="38">
        <v>64499.0</v>
      </c>
      <c r="C1490" s="38" t="s">
        <v>2919</v>
      </c>
      <c r="D1490" s="38" t="str">
        <f>IFERROR(__xludf.DUMMYFUNCTION("REGEXREPLACE(C1490,""-\d+(.*)|--\d+(.*)"","""")"),"SALIES-DE-BEARN")</f>
        <v>SALIES-DE-BEARN</v>
      </c>
      <c r="E1490" s="38" t="s">
        <v>268</v>
      </c>
      <c r="F1490" s="38" t="s">
        <v>252</v>
      </c>
      <c r="G1490" s="49" t="str">
        <f t="shared" si="1"/>
        <v>64270</v>
      </c>
      <c r="H1490" s="49">
        <f t="shared" si="2"/>
        <v>64499</v>
      </c>
    </row>
    <row r="1491">
      <c r="A1491" s="48" t="s">
        <v>2920</v>
      </c>
      <c r="B1491" s="38">
        <v>62175.0</v>
      </c>
      <c r="C1491" s="38" t="s">
        <v>2921</v>
      </c>
      <c r="D1491" s="38" t="str">
        <f>IFERROR(__xludf.DUMMYFUNCTION("REGEXREPLACE(C1491,""-\d+(.*)|--\d+(.*)"","""")"),"BREVILLERS")</f>
        <v>BREVILLERS</v>
      </c>
      <c r="E1491" s="38" t="s">
        <v>109</v>
      </c>
      <c r="F1491" s="38" t="s">
        <v>86</v>
      </c>
      <c r="G1491" s="49" t="str">
        <f t="shared" si="1"/>
        <v>62140</v>
      </c>
      <c r="H1491" s="49">
        <f t="shared" si="2"/>
        <v>62175</v>
      </c>
    </row>
    <row r="1492">
      <c r="A1492" s="48" t="s">
        <v>2922</v>
      </c>
      <c r="B1492" s="38">
        <v>5116.0</v>
      </c>
      <c r="C1492" s="38" t="s">
        <v>2923</v>
      </c>
      <c r="D1492" s="38" t="str">
        <f>IFERROR(__xludf.DUMMYFUNCTION("REGEXREPLACE(C1492,""-\d+(.*)|--\d+(.*)"","""")"),"REOTIER")</f>
        <v>REOTIER</v>
      </c>
      <c r="E1492" s="38" t="s">
        <v>706</v>
      </c>
      <c r="F1492" s="38" t="s">
        <v>228</v>
      </c>
      <c r="G1492" s="49" t="str">
        <f t="shared" si="1"/>
        <v>05600</v>
      </c>
      <c r="H1492" s="49" t="str">
        <f t="shared" si="2"/>
        <v>05116</v>
      </c>
    </row>
    <row r="1493">
      <c r="A1493" s="48" t="s">
        <v>2924</v>
      </c>
      <c r="B1493" s="38">
        <v>8133.0</v>
      </c>
      <c r="C1493" s="38" t="s">
        <v>2925</v>
      </c>
      <c r="D1493" s="38" t="str">
        <f>IFERROR(__xludf.DUMMYFUNCTION("REGEXREPLACE(C1493,""-\d+(.*)|--\d+(.*)"","""")"),"COUCY")</f>
        <v>COUCY</v>
      </c>
      <c r="E1493" s="38" t="s">
        <v>327</v>
      </c>
      <c r="F1493" s="38" t="s">
        <v>130</v>
      </c>
      <c r="G1493" s="49" t="str">
        <f t="shared" si="1"/>
        <v>08300</v>
      </c>
      <c r="H1493" s="49" t="str">
        <f t="shared" si="2"/>
        <v>08133</v>
      </c>
    </row>
    <row r="1494">
      <c r="A1494" s="48" t="s">
        <v>983</v>
      </c>
      <c r="B1494" s="38">
        <v>52376.0</v>
      </c>
      <c r="C1494" s="38" t="s">
        <v>2926</v>
      </c>
      <c r="D1494" s="38" t="str">
        <f>IFERROR(__xludf.DUMMYFUNCTION("REGEXREPLACE(C1494,""-\d+(.*)|--\d+(.*)"","""")"),"PANSEY")</f>
        <v>PANSEY</v>
      </c>
      <c r="E1494" s="38" t="s">
        <v>234</v>
      </c>
      <c r="F1494" s="38" t="s">
        <v>130</v>
      </c>
      <c r="G1494" s="49" t="str">
        <f t="shared" si="1"/>
        <v>52230</v>
      </c>
      <c r="H1494" s="49">
        <f t="shared" si="2"/>
        <v>52376</v>
      </c>
    </row>
    <row r="1495">
      <c r="A1495" s="48" t="s">
        <v>2927</v>
      </c>
      <c r="B1495" s="38">
        <v>29176.0</v>
      </c>
      <c r="C1495" s="38" t="s">
        <v>2928</v>
      </c>
      <c r="D1495" s="38" t="str">
        <f>IFERROR(__xludf.DUMMYFUNCTION("REGEXREPLACE(C1495,""-\d+(.*)|--\d+(.*)"","""")"),"PLONEVEZ-PORZAY")</f>
        <v>PLONEVEZ-PORZAY</v>
      </c>
      <c r="E1495" s="38" t="s">
        <v>176</v>
      </c>
      <c r="F1495" s="38" t="s">
        <v>90</v>
      </c>
      <c r="G1495" s="49" t="str">
        <f t="shared" si="1"/>
        <v>29550</v>
      </c>
      <c r="H1495" s="49">
        <f t="shared" si="2"/>
        <v>29176</v>
      </c>
    </row>
    <row r="1496">
      <c r="A1496" s="48" t="s">
        <v>2929</v>
      </c>
      <c r="B1496" s="38">
        <v>97303.0</v>
      </c>
      <c r="C1496" s="38" t="s">
        <v>2930</v>
      </c>
      <c r="D1496" s="38" t="str">
        <f>IFERROR(__xludf.DUMMYFUNCTION("REGEXREPLACE(C1496,""-\d+(.*)|--\d+(.*)"","""")"),"IRACOUBO")</f>
        <v>IRACOUBO</v>
      </c>
      <c r="E1496" s="38" t="s">
        <v>1737</v>
      </c>
      <c r="F1496" s="38" t="s">
        <v>1737</v>
      </c>
      <c r="G1496" s="49" t="str">
        <f t="shared" si="1"/>
        <v>97350</v>
      </c>
      <c r="H1496" s="49">
        <f t="shared" si="2"/>
        <v>97303</v>
      </c>
    </row>
    <row r="1497">
      <c r="A1497" s="48" t="s">
        <v>2931</v>
      </c>
      <c r="B1497" s="38">
        <v>63254.0</v>
      </c>
      <c r="C1497" s="38" t="s">
        <v>2932</v>
      </c>
      <c r="D1497" s="38" t="str">
        <f>IFERROR(__xludf.DUMMYFUNCTION("REGEXREPLACE(C1497,""-\d+(.*)|--\d+(.*)"","""")"),"NOHANENT")</f>
        <v>NOHANENT</v>
      </c>
      <c r="E1497" s="38" t="s">
        <v>353</v>
      </c>
      <c r="F1497" s="38" t="s">
        <v>161</v>
      </c>
      <c r="G1497" s="49" t="str">
        <f t="shared" si="1"/>
        <v>63830</v>
      </c>
      <c r="H1497" s="49">
        <f t="shared" si="2"/>
        <v>63254</v>
      </c>
    </row>
    <row r="1498">
      <c r="A1498" s="48" t="s">
        <v>1031</v>
      </c>
      <c r="B1498" s="38">
        <v>2407.0</v>
      </c>
      <c r="C1498" s="38" t="s">
        <v>2933</v>
      </c>
      <c r="D1498" s="38" t="str">
        <f>IFERROR(__xludf.DUMMYFUNCTION("REGEXREPLACE(C1498,""-\d+(.*)|--\d+(.*)"","""")"),"LANISCOURT")</f>
        <v>LANISCOURT</v>
      </c>
      <c r="E1498" s="38" t="s">
        <v>191</v>
      </c>
      <c r="F1498" s="38" t="s">
        <v>113</v>
      </c>
      <c r="G1498" s="49" t="str">
        <f t="shared" si="1"/>
        <v>02000</v>
      </c>
      <c r="H1498" s="49" t="str">
        <f t="shared" si="2"/>
        <v>02407</v>
      </c>
    </row>
    <row r="1499">
      <c r="A1499" s="48" t="s">
        <v>2934</v>
      </c>
      <c r="B1499" s="38">
        <v>78520.0</v>
      </c>
      <c r="C1499" s="38" t="s">
        <v>2935</v>
      </c>
      <c r="D1499" s="38" t="str">
        <f>IFERROR(__xludf.DUMMYFUNCTION("REGEXREPLACE(C1499,""-\d+(.*)|--\d+(.*)"","""")"),"RICHEBOURG")</f>
        <v>RICHEBOURG</v>
      </c>
      <c r="E1499" s="38" t="s">
        <v>362</v>
      </c>
      <c r="F1499" s="38" t="s">
        <v>245</v>
      </c>
      <c r="G1499" s="49" t="str">
        <f t="shared" si="1"/>
        <v>78550</v>
      </c>
      <c r="H1499" s="49">
        <f t="shared" si="2"/>
        <v>78520</v>
      </c>
    </row>
    <row r="1500">
      <c r="A1500" s="48" t="s">
        <v>162</v>
      </c>
      <c r="B1500" s="38">
        <v>31370.0</v>
      </c>
      <c r="C1500" s="38" t="s">
        <v>2936</v>
      </c>
      <c r="D1500" s="38" t="str">
        <f>IFERROR(__xludf.DUMMYFUNCTION("REGEXREPLACE(C1500,""-\d+(.*)|--\d+(.*)"","""")"),"MONTEGUT-BOURJAC")</f>
        <v>MONTEGUT-BOURJAC</v>
      </c>
      <c r="E1500" s="38" t="s">
        <v>93</v>
      </c>
      <c r="F1500" s="38" t="s">
        <v>94</v>
      </c>
      <c r="G1500" s="49" t="str">
        <f t="shared" si="1"/>
        <v>31430</v>
      </c>
      <c r="H1500" s="49">
        <f t="shared" si="2"/>
        <v>31370</v>
      </c>
    </row>
    <row r="1501">
      <c r="A1501" s="48" t="s">
        <v>2937</v>
      </c>
      <c r="B1501" s="38">
        <v>73207.0</v>
      </c>
      <c r="C1501" s="38" t="s">
        <v>2938</v>
      </c>
      <c r="D1501" s="38" t="str">
        <f>IFERROR(__xludf.DUMMYFUNCTION("REGEXREPLACE(C1501,""-\d+(.*)|--\d+(.*)"","""")"),"PRESLE")</f>
        <v>PRESLE</v>
      </c>
      <c r="E1501" s="38" t="s">
        <v>306</v>
      </c>
      <c r="F1501" s="38" t="s">
        <v>102</v>
      </c>
      <c r="G1501" s="49" t="str">
        <f t="shared" si="1"/>
        <v>73110</v>
      </c>
      <c r="H1501" s="49">
        <f t="shared" si="2"/>
        <v>73207</v>
      </c>
    </row>
    <row r="1502">
      <c r="A1502" s="48" t="s">
        <v>1408</v>
      </c>
      <c r="B1502" s="38">
        <v>88362.0</v>
      </c>
      <c r="C1502" s="38" t="s">
        <v>2939</v>
      </c>
      <c r="D1502" s="38" t="str">
        <f>IFERROR(__xludf.DUMMYFUNCTION("REGEXREPLACE(C1502,""-\d+(.*)|--\d+(.*)"","""")"),"LE PUID")</f>
        <v>LE PUID</v>
      </c>
      <c r="E1502" s="38" t="s">
        <v>194</v>
      </c>
      <c r="F1502" s="38" t="s">
        <v>195</v>
      </c>
      <c r="G1502" s="49" t="str">
        <f t="shared" si="1"/>
        <v>88210</v>
      </c>
      <c r="H1502" s="49">
        <f t="shared" si="2"/>
        <v>88362</v>
      </c>
    </row>
    <row r="1503">
      <c r="A1503" s="48" t="s">
        <v>2940</v>
      </c>
      <c r="B1503" s="38">
        <v>53012.0</v>
      </c>
      <c r="C1503" s="38" t="s">
        <v>2941</v>
      </c>
      <c r="D1503" s="38" t="str">
        <f>IFERROR(__xludf.DUMMYFUNCTION("REGEXREPLACE(C1503,""-\d+(.*)|--\d+(.*)"","""")"),"ATHEE")</f>
        <v>ATHEE</v>
      </c>
      <c r="E1503" s="38" t="s">
        <v>518</v>
      </c>
      <c r="F1503" s="38" t="s">
        <v>180</v>
      </c>
      <c r="G1503" s="49" t="str">
        <f t="shared" si="1"/>
        <v>53400</v>
      </c>
      <c r="H1503" s="49">
        <f t="shared" si="2"/>
        <v>53012</v>
      </c>
    </row>
    <row r="1504">
      <c r="A1504" s="48" t="s">
        <v>2942</v>
      </c>
      <c r="B1504" s="38">
        <v>14655.0</v>
      </c>
      <c r="C1504" s="38" t="s">
        <v>2943</v>
      </c>
      <c r="D1504" s="38" t="str">
        <f>IFERROR(__xludf.DUMMYFUNCTION("REGEXREPLACE(C1504,""-\d+(.*)|--\d+(.*)"","""")"),"SAINT-PIERRE-TARENTAINE")</f>
        <v>SAINT-PIERRE-TARENTAINE</v>
      </c>
      <c r="E1504" s="38" t="s">
        <v>137</v>
      </c>
      <c r="F1504" s="38" t="s">
        <v>138</v>
      </c>
      <c r="G1504" s="49" t="str">
        <f t="shared" si="1"/>
        <v>14350</v>
      </c>
      <c r="H1504" s="49">
        <f t="shared" si="2"/>
        <v>14655</v>
      </c>
    </row>
    <row r="1505">
      <c r="A1505" s="48" t="s">
        <v>1368</v>
      </c>
      <c r="B1505" s="38">
        <v>8489.0</v>
      </c>
      <c r="C1505" s="38" t="s">
        <v>2944</v>
      </c>
      <c r="D1505" s="38" t="str">
        <f>IFERROR(__xludf.DUMMYFUNCTION("REGEXREPLACE(C1505,""-\d+(.*)|--\d+(.*)"","""")"),"VONCQ")</f>
        <v>VONCQ</v>
      </c>
      <c r="E1505" s="38" t="s">
        <v>327</v>
      </c>
      <c r="F1505" s="38" t="s">
        <v>130</v>
      </c>
      <c r="G1505" s="49" t="str">
        <f t="shared" si="1"/>
        <v>08400</v>
      </c>
      <c r="H1505" s="49" t="str">
        <f t="shared" si="2"/>
        <v>08489</v>
      </c>
    </row>
    <row r="1506">
      <c r="A1506" s="48" t="s">
        <v>1272</v>
      </c>
      <c r="B1506" s="38">
        <v>51259.0</v>
      </c>
      <c r="C1506" s="38" t="s">
        <v>2945</v>
      </c>
      <c r="D1506" s="38" t="str">
        <f>IFERROR(__xludf.DUMMYFUNCTION("REGEXREPLACE(C1506,""-\d+(.*)|--\d+(.*)"","""")"),"FRANCHEVILLE")</f>
        <v>FRANCHEVILLE</v>
      </c>
      <c r="E1506" s="38" t="s">
        <v>129</v>
      </c>
      <c r="F1506" s="38" t="s">
        <v>130</v>
      </c>
      <c r="G1506" s="49" t="str">
        <f t="shared" si="1"/>
        <v>51240</v>
      </c>
      <c r="H1506" s="49">
        <f t="shared" si="2"/>
        <v>51259</v>
      </c>
    </row>
    <row r="1507">
      <c r="A1507" s="48" t="s">
        <v>2946</v>
      </c>
      <c r="B1507" s="38">
        <v>51486.0</v>
      </c>
      <c r="C1507" s="38" t="s">
        <v>2947</v>
      </c>
      <c r="D1507" s="38" t="str">
        <f>IFERROR(__xludf.DUMMYFUNCTION("REGEXREPLACE(C1507,""-\d+(.*)|--\d+(.*)"","""")"),"SAINT-HILAIRE-LE-GRAND")</f>
        <v>SAINT-HILAIRE-LE-GRAND</v>
      </c>
      <c r="E1507" s="38" t="s">
        <v>129</v>
      </c>
      <c r="F1507" s="38" t="s">
        <v>130</v>
      </c>
      <c r="G1507" s="49" t="str">
        <f t="shared" si="1"/>
        <v>51600</v>
      </c>
      <c r="H1507" s="49">
        <f t="shared" si="2"/>
        <v>51486</v>
      </c>
    </row>
    <row r="1508">
      <c r="A1508" s="48" t="s">
        <v>1857</v>
      </c>
      <c r="B1508" s="38">
        <v>4016.0</v>
      </c>
      <c r="C1508" s="38" t="s">
        <v>2948</v>
      </c>
      <c r="D1508" s="38" t="str">
        <f>IFERROR(__xludf.DUMMYFUNCTION("REGEXREPLACE(C1508,""-\d+(.*)|--\d+(.*)"","""")"),"AUTHON")</f>
        <v>AUTHON</v>
      </c>
      <c r="E1508" s="38" t="s">
        <v>662</v>
      </c>
      <c r="F1508" s="38" t="s">
        <v>228</v>
      </c>
      <c r="G1508" s="49" t="str">
        <f t="shared" si="1"/>
        <v>04200</v>
      </c>
      <c r="H1508" s="49" t="str">
        <f t="shared" si="2"/>
        <v>04016</v>
      </c>
    </row>
    <row r="1509">
      <c r="A1509" s="48" t="s">
        <v>2949</v>
      </c>
      <c r="B1509" s="38">
        <v>27143.0</v>
      </c>
      <c r="C1509" s="38" t="s">
        <v>2950</v>
      </c>
      <c r="D1509" s="38" t="str">
        <f>IFERROR(__xludf.DUMMYFUNCTION("REGEXREPLACE(C1509,""-\d+(.*)|--\d+(.*)"","""")"),"CHAMPIGNOLLES")</f>
        <v>CHAMPIGNOLLES</v>
      </c>
      <c r="E1509" s="38" t="s">
        <v>241</v>
      </c>
      <c r="F1509" s="38" t="s">
        <v>134</v>
      </c>
      <c r="G1509" s="49" t="str">
        <f t="shared" si="1"/>
        <v>27330</v>
      </c>
      <c r="H1509" s="49">
        <f t="shared" si="2"/>
        <v>27143</v>
      </c>
    </row>
    <row r="1510">
      <c r="A1510" s="48" t="s">
        <v>1628</v>
      </c>
      <c r="B1510" s="38">
        <v>70359.0</v>
      </c>
      <c r="C1510" s="38" t="s">
        <v>2951</v>
      </c>
      <c r="D1510" s="38" t="str">
        <f>IFERROR(__xludf.DUMMYFUNCTION("REGEXREPLACE(C1510,""-\d+(.*)|--\d+(.*)"","""")"),"MONTCOURT")</f>
        <v>MONTCOURT</v>
      </c>
      <c r="E1510" s="38" t="s">
        <v>956</v>
      </c>
      <c r="F1510" s="38" t="s">
        <v>214</v>
      </c>
      <c r="G1510" s="49" t="str">
        <f t="shared" si="1"/>
        <v>70500</v>
      </c>
      <c r="H1510" s="49">
        <f t="shared" si="2"/>
        <v>70359</v>
      </c>
    </row>
    <row r="1511">
      <c r="A1511" s="48" t="s">
        <v>2136</v>
      </c>
      <c r="B1511" s="38">
        <v>52253.0</v>
      </c>
      <c r="C1511" s="38" t="s">
        <v>2952</v>
      </c>
      <c r="D1511" s="38" t="str">
        <f>IFERROR(__xludf.DUMMYFUNCTION("REGEXREPLACE(C1511,""-\d+(.*)|--\d+(.*)"","""")"),"JUZENNECOURT")</f>
        <v>JUZENNECOURT</v>
      </c>
      <c r="E1511" s="38" t="s">
        <v>234</v>
      </c>
      <c r="F1511" s="38" t="s">
        <v>130</v>
      </c>
      <c r="G1511" s="49" t="str">
        <f t="shared" si="1"/>
        <v>52330</v>
      </c>
      <c r="H1511" s="49">
        <f t="shared" si="2"/>
        <v>52253</v>
      </c>
    </row>
    <row r="1512">
      <c r="A1512" s="48" t="s">
        <v>1812</v>
      </c>
      <c r="B1512" s="38">
        <v>51196.0</v>
      </c>
      <c r="C1512" s="38" t="s">
        <v>2953</v>
      </c>
      <c r="D1512" s="38" t="str">
        <f>IFERROR(__xludf.DUMMYFUNCTION("REGEXREPLACE(C1512,""-\d+(.*)|--\d+(.*)"","""")"),"CRAMANT")</f>
        <v>CRAMANT</v>
      </c>
      <c r="E1512" s="38" t="s">
        <v>129</v>
      </c>
      <c r="F1512" s="38" t="s">
        <v>130</v>
      </c>
      <c r="G1512" s="49" t="str">
        <f t="shared" si="1"/>
        <v>51530</v>
      </c>
      <c r="H1512" s="49">
        <f t="shared" si="2"/>
        <v>51196</v>
      </c>
    </row>
    <row r="1513">
      <c r="A1513" s="48" t="s">
        <v>2631</v>
      </c>
      <c r="B1513" s="38">
        <v>64424.0</v>
      </c>
      <c r="C1513" s="38" t="s">
        <v>2954</v>
      </c>
      <c r="D1513" s="38" t="str">
        <f>IFERROR(__xludf.DUMMYFUNCTION("REGEXREPLACE(C1513,""-\d+(.*)|--\d+(.*)"","""")"),"ORDIARP")</f>
        <v>ORDIARP</v>
      </c>
      <c r="E1513" s="38" t="s">
        <v>268</v>
      </c>
      <c r="F1513" s="38" t="s">
        <v>252</v>
      </c>
      <c r="G1513" s="49" t="str">
        <f t="shared" si="1"/>
        <v>64130</v>
      </c>
      <c r="H1513" s="49">
        <f t="shared" si="2"/>
        <v>64424</v>
      </c>
    </row>
    <row r="1514">
      <c r="A1514" s="48" t="s">
        <v>2955</v>
      </c>
      <c r="B1514" s="38">
        <v>76054.0</v>
      </c>
      <c r="C1514" s="38" t="s">
        <v>2956</v>
      </c>
      <c r="D1514" s="38" t="str">
        <f>IFERROR(__xludf.DUMMYFUNCTION("REGEXREPLACE(C1514,""-\d+(.*)|--\d+(.*)"","""")"),"BAILLY-EN-RIVIERE")</f>
        <v>BAILLY-EN-RIVIERE</v>
      </c>
      <c r="E1514" s="38" t="s">
        <v>133</v>
      </c>
      <c r="F1514" s="38" t="s">
        <v>134</v>
      </c>
      <c r="G1514" s="49" t="str">
        <f t="shared" si="1"/>
        <v>76630</v>
      </c>
      <c r="H1514" s="49">
        <f t="shared" si="2"/>
        <v>76054</v>
      </c>
    </row>
    <row r="1515">
      <c r="A1515" s="48" t="s">
        <v>2957</v>
      </c>
      <c r="B1515" s="38">
        <v>86107.0</v>
      </c>
      <c r="C1515" s="38" t="s">
        <v>2958</v>
      </c>
      <c r="D1515" s="38" t="str">
        <f>IFERROR(__xludf.DUMMYFUNCTION("REGEXREPLACE(C1515,""-\d+(.*)|--\d+(.*)"","""")"),"GOUEX")</f>
        <v>GOUEX</v>
      </c>
      <c r="E1515" s="38" t="s">
        <v>529</v>
      </c>
      <c r="F1515" s="38" t="s">
        <v>338</v>
      </c>
      <c r="G1515" s="49" t="str">
        <f t="shared" si="1"/>
        <v>86320</v>
      </c>
      <c r="H1515" s="49">
        <f t="shared" si="2"/>
        <v>86107</v>
      </c>
    </row>
    <row r="1516">
      <c r="A1516" s="48" t="s">
        <v>1114</v>
      </c>
      <c r="B1516" s="38">
        <v>2034.0</v>
      </c>
      <c r="C1516" s="38" t="s">
        <v>2959</v>
      </c>
      <c r="D1516" s="38" t="str">
        <f>IFERROR(__xludf.DUMMYFUNCTION("REGEXREPLACE(C1516,""-\d+(.*)|--\d+(.*)"","""")"),"AUDIGNICOURT")</f>
        <v>AUDIGNICOURT</v>
      </c>
      <c r="E1516" s="38" t="s">
        <v>191</v>
      </c>
      <c r="F1516" s="38" t="s">
        <v>113</v>
      </c>
      <c r="G1516" s="49" t="str">
        <f t="shared" si="1"/>
        <v>02300</v>
      </c>
      <c r="H1516" s="49" t="str">
        <f t="shared" si="2"/>
        <v>02034</v>
      </c>
    </row>
    <row r="1517">
      <c r="A1517" s="48" t="s">
        <v>2960</v>
      </c>
      <c r="B1517" s="38">
        <v>86173.0</v>
      </c>
      <c r="C1517" s="38" t="s">
        <v>2961</v>
      </c>
      <c r="D1517" s="38" t="str">
        <f>IFERROR(__xludf.DUMMYFUNCTION("REGEXREPLACE(C1517,""-\d+(.*)|--\d+(.*)"","""")"),"MOUTERRE-SILLY")</f>
        <v>MOUTERRE-SILLY</v>
      </c>
      <c r="E1517" s="38" t="s">
        <v>529</v>
      </c>
      <c r="F1517" s="38" t="s">
        <v>338</v>
      </c>
      <c r="G1517" s="49" t="str">
        <f t="shared" si="1"/>
        <v>86200</v>
      </c>
      <c r="H1517" s="49">
        <f t="shared" si="2"/>
        <v>86173</v>
      </c>
    </row>
    <row r="1518">
      <c r="A1518" s="48" t="s">
        <v>2579</v>
      </c>
      <c r="B1518" s="38">
        <v>32304.0</v>
      </c>
      <c r="C1518" s="38" t="s">
        <v>2962</v>
      </c>
      <c r="D1518" s="38" t="str">
        <f>IFERROR(__xludf.DUMMYFUNCTION("REGEXREPLACE(C1518,""-\d+(.*)|--\d+(.*)"","""")"),"PANASSAC")</f>
        <v>PANASSAC</v>
      </c>
      <c r="E1518" s="38" t="s">
        <v>440</v>
      </c>
      <c r="F1518" s="38" t="s">
        <v>94</v>
      </c>
      <c r="G1518" s="49" t="str">
        <f t="shared" si="1"/>
        <v>32140</v>
      </c>
      <c r="H1518" s="49">
        <f t="shared" si="2"/>
        <v>32304</v>
      </c>
    </row>
    <row r="1519">
      <c r="A1519" s="48" t="s">
        <v>2963</v>
      </c>
      <c r="B1519" s="38">
        <v>34039.0</v>
      </c>
      <c r="C1519" s="38" t="s">
        <v>2964</v>
      </c>
      <c r="D1519" s="38" t="str">
        <f>IFERROR(__xludf.DUMMYFUNCTION("REGEXREPLACE(C1519,""-\d+(.*)|--\d+(.*)"","""")"),"BOUZIGUES")</f>
        <v>BOUZIGUES</v>
      </c>
      <c r="E1519" s="38" t="s">
        <v>118</v>
      </c>
      <c r="F1519" s="38" t="s">
        <v>119</v>
      </c>
      <c r="G1519" s="49" t="str">
        <f t="shared" si="1"/>
        <v>34140</v>
      </c>
      <c r="H1519" s="49">
        <f t="shared" si="2"/>
        <v>34039</v>
      </c>
    </row>
    <row r="1520">
      <c r="A1520" s="48" t="s">
        <v>2851</v>
      </c>
      <c r="B1520" s="38">
        <v>41135.0</v>
      </c>
      <c r="C1520" s="38" t="s">
        <v>2965</v>
      </c>
      <c r="D1520" s="38" t="str">
        <f>IFERROR(__xludf.DUMMYFUNCTION("REGEXREPLACE(C1520,""-\d+(.*)|--\d+(.*)"","""")"),"MENNETOU-SUR-CHER")</f>
        <v>MENNETOU-SUR-CHER</v>
      </c>
      <c r="E1520" s="38" t="s">
        <v>188</v>
      </c>
      <c r="F1520" s="38" t="s">
        <v>123</v>
      </c>
      <c r="G1520" s="49" t="str">
        <f t="shared" si="1"/>
        <v>41320</v>
      </c>
      <c r="H1520" s="49">
        <f t="shared" si="2"/>
        <v>41135</v>
      </c>
    </row>
    <row r="1521">
      <c r="A1521" s="48" t="s">
        <v>2966</v>
      </c>
      <c r="B1521" s="38">
        <v>85240.0</v>
      </c>
      <c r="C1521" s="38" t="s">
        <v>2967</v>
      </c>
      <c r="D1521" s="38" t="str">
        <f>IFERROR(__xludf.DUMMYFUNCTION("REGEXREPLACE(C1521,""-\d+(.*)|--\d+(.*)"","""")"),"SAINT-MALO-DU-BOIS")</f>
        <v>SAINT-MALO-DU-BOIS</v>
      </c>
      <c r="E1521" s="38" t="s">
        <v>179</v>
      </c>
      <c r="F1521" s="38" t="s">
        <v>180</v>
      </c>
      <c r="G1521" s="49" t="str">
        <f t="shared" si="1"/>
        <v>85590</v>
      </c>
      <c r="H1521" s="49">
        <f t="shared" si="2"/>
        <v>85240</v>
      </c>
    </row>
    <row r="1522">
      <c r="A1522" s="48" t="s">
        <v>2968</v>
      </c>
      <c r="B1522" s="38">
        <v>45206.0</v>
      </c>
      <c r="C1522" s="38" t="s">
        <v>2969</v>
      </c>
      <c r="D1522" s="38" t="str">
        <f>IFERROR(__xludf.DUMMYFUNCTION("REGEXREPLACE(C1522,""-\d+(.*)|--\d+(.*)"","""")"),"MIGNERES")</f>
        <v>MIGNERES</v>
      </c>
      <c r="E1522" s="38" t="s">
        <v>122</v>
      </c>
      <c r="F1522" s="38" t="s">
        <v>123</v>
      </c>
      <c r="G1522" s="49" t="str">
        <f t="shared" si="1"/>
        <v>45490</v>
      </c>
      <c r="H1522" s="49">
        <f t="shared" si="2"/>
        <v>45206</v>
      </c>
    </row>
    <row r="1523">
      <c r="A1523" s="48" t="s">
        <v>1212</v>
      </c>
      <c r="B1523" s="38">
        <v>11067.0</v>
      </c>
      <c r="C1523" s="38" t="s">
        <v>2970</v>
      </c>
      <c r="D1523" s="38" t="str">
        <f>IFERROR(__xludf.DUMMYFUNCTION("REGEXREPLACE(C1523,""-\d+(.*)|--\d+(.*)"","""")"),"CANET")</f>
        <v>CANET</v>
      </c>
      <c r="E1523" s="38" t="s">
        <v>278</v>
      </c>
      <c r="F1523" s="38" t="s">
        <v>119</v>
      </c>
      <c r="G1523" s="49" t="str">
        <f t="shared" si="1"/>
        <v>11200</v>
      </c>
      <c r="H1523" s="49">
        <f t="shared" si="2"/>
        <v>11067</v>
      </c>
    </row>
    <row r="1524">
      <c r="A1524" s="48" t="s">
        <v>1122</v>
      </c>
      <c r="B1524" s="38">
        <v>18170.0</v>
      </c>
      <c r="C1524" s="38" t="s">
        <v>2971</v>
      </c>
      <c r="D1524" s="38" t="str">
        <f>IFERROR(__xludf.DUMMYFUNCTION("REGEXREPLACE(C1524,""-\d+(.*)|--\d+(.*)"","""")"),"OIZON")</f>
        <v>OIZON</v>
      </c>
      <c r="E1524" s="38" t="s">
        <v>504</v>
      </c>
      <c r="F1524" s="38" t="s">
        <v>123</v>
      </c>
      <c r="G1524" s="49" t="str">
        <f t="shared" si="1"/>
        <v>18700</v>
      </c>
      <c r="H1524" s="49">
        <f t="shared" si="2"/>
        <v>18170</v>
      </c>
    </row>
    <row r="1525">
      <c r="A1525" s="48" t="s">
        <v>1205</v>
      </c>
      <c r="B1525" s="38">
        <v>54146.0</v>
      </c>
      <c r="C1525" s="38" t="s">
        <v>2972</v>
      </c>
      <c r="D1525" s="38" t="str">
        <f>IFERROR(__xludf.DUMMYFUNCTION("REGEXREPLACE(C1525,""-\d+(.*)|--\d+(.*)"","""")"),"CREZILLES")</f>
        <v>CREZILLES</v>
      </c>
      <c r="E1525" s="38" t="s">
        <v>548</v>
      </c>
      <c r="F1525" s="38" t="s">
        <v>195</v>
      </c>
      <c r="G1525" s="49" t="str">
        <f t="shared" si="1"/>
        <v>54113</v>
      </c>
      <c r="H1525" s="49">
        <f t="shared" si="2"/>
        <v>54146</v>
      </c>
    </row>
    <row r="1526">
      <c r="A1526" s="48" t="s">
        <v>2558</v>
      </c>
      <c r="B1526" s="38">
        <v>16204.0</v>
      </c>
      <c r="C1526" s="38" t="s">
        <v>2973</v>
      </c>
      <c r="D1526" s="38" t="str">
        <f>IFERROR(__xludf.DUMMYFUNCTION("REGEXREPLACE(C1526,""-\d+(.*)|--\d+(.*)"","""")"),"MALAVILLE")</f>
        <v>MALAVILLE</v>
      </c>
      <c r="E1526" s="38" t="s">
        <v>429</v>
      </c>
      <c r="F1526" s="38" t="s">
        <v>338</v>
      </c>
      <c r="G1526" s="49" t="str">
        <f t="shared" si="1"/>
        <v>16120</v>
      </c>
      <c r="H1526" s="49">
        <f t="shared" si="2"/>
        <v>16204</v>
      </c>
    </row>
    <row r="1527">
      <c r="A1527" s="48" t="s">
        <v>2974</v>
      </c>
      <c r="B1527" s="38">
        <v>40278.0</v>
      </c>
      <c r="C1527" s="38" t="s">
        <v>2975</v>
      </c>
      <c r="D1527" s="38" t="str">
        <f>IFERROR(__xludf.DUMMYFUNCTION("REGEXREPLACE(C1527,""-\d+(.*)|--\d+(.*)"","""")"),"SAINT-PAUL-EN-BORN")</f>
        <v>SAINT-PAUL-EN-BORN</v>
      </c>
      <c r="E1527" s="38" t="s">
        <v>281</v>
      </c>
      <c r="F1527" s="38" t="s">
        <v>252</v>
      </c>
      <c r="G1527" s="49" t="str">
        <f t="shared" si="1"/>
        <v>40200</v>
      </c>
      <c r="H1527" s="49">
        <f t="shared" si="2"/>
        <v>40278</v>
      </c>
    </row>
    <row r="1528">
      <c r="A1528" s="48" t="s">
        <v>2976</v>
      </c>
      <c r="B1528" s="38">
        <v>14131.0</v>
      </c>
      <c r="C1528" s="38" t="s">
        <v>2977</v>
      </c>
      <c r="D1528" s="38" t="str">
        <f>IFERROR(__xludf.DUMMYFUNCTION("REGEXREPLACE(C1528,""-\d+(.*)|--\d+(.*)"","""")"),"CANAPVILLE")</f>
        <v>CANAPVILLE</v>
      </c>
      <c r="E1528" s="38" t="s">
        <v>137</v>
      </c>
      <c r="F1528" s="38" t="s">
        <v>138</v>
      </c>
      <c r="G1528" s="49" t="str">
        <f t="shared" si="1"/>
        <v>14800</v>
      </c>
      <c r="H1528" s="49">
        <f t="shared" si="2"/>
        <v>14131</v>
      </c>
    </row>
    <row r="1529">
      <c r="A1529" s="48" t="s">
        <v>2978</v>
      </c>
      <c r="B1529" s="38">
        <v>91461.0</v>
      </c>
      <c r="C1529" s="38" t="s">
        <v>2979</v>
      </c>
      <c r="D1529" s="38" t="str">
        <f>IFERROR(__xludf.DUMMYFUNCTION("REGEXREPLACE(C1529,""-\d+(.*)|--\d+(.*)"","""")"),"OLLAINVILLE")</f>
        <v>OLLAINVILLE</v>
      </c>
      <c r="E1529" s="38" t="s">
        <v>756</v>
      </c>
      <c r="F1529" s="38" t="s">
        <v>245</v>
      </c>
      <c r="G1529" s="49" t="str">
        <f t="shared" si="1"/>
        <v>91340</v>
      </c>
      <c r="H1529" s="49">
        <f t="shared" si="2"/>
        <v>91461</v>
      </c>
    </row>
    <row r="1530">
      <c r="A1530" s="48" t="s">
        <v>2217</v>
      </c>
      <c r="B1530" s="38">
        <v>24355.0</v>
      </c>
      <c r="C1530" s="38" t="s">
        <v>2980</v>
      </c>
      <c r="D1530" s="38" t="str">
        <f>IFERROR(__xludf.DUMMYFUNCTION("REGEXREPLACE(C1530,""-\d+(.*)|--\d+(.*)"","""")"),"LA ROQUE-GAGEAC")</f>
        <v>LA ROQUE-GAGEAC</v>
      </c>
      <c r="E1530" s="38" t="s">
        <v>261</v>
      </c>
      <c r="F1530" s="38" t="s">
        <v>252</v>
      </c>
      <c r="G1530" s="49" t="str">
        <f t="shared" si="1"/>
        <v>24250</v>
      </c>
      <c r="H1530" s="49">
        <f t="shared" si="2"/>
        <v>24355</v>
      </c>
    </row>
    <row r="1531">
      <c r="A1531" s="48" t="s">
        <v>2981</v>
      </c>
      <c r="B1531" s="38">
        <v>21266.0</v>
      </c>
      <c r="C1531" s="38" t="s">
        <v>2982</v>
      </c>
      <c r="D1531" s="38" t="str">
        <f>IFERROR(__xludf.DUMMYFUNCTION("REGEXREPLACE(C1531,""-\d+(.*)|--\d+(.*)"","""")"),"FLACEY")</f>
        <v>FLACEY</v>
      </c>
      <c r="E1531" s="38" t="s">
        <v>105</v>
      </c>
      <c r="F1531" s="38" t="s">
        <v>106</v>
      </c>
      <c r="G1531" s="49" t="str">
        <f t="shared" si="1"/>
        <v>21490</v>
      </c>
      <c r="H1531" s="49">
        <f t="shared" si="2"/>
        <v>21266</v>
      </c>
    </row>
    <row r="1532">
      <c r="A1532" s="48" t="s">
        <v>2983</v>
      </c>
      <c r="B1532" s="38">
        <v>86032.0</v>
      </c>
      <c r="C1532" s="38" t="s">
        <v>2984</v>
      </c>
      <c r="D1532" s="38" t="str">
        <f>IFERROR(__xludf.DUMMYFUNCTION("REGEXREPLACE(C1532,""-\d+(.*)|--\d+(.*)"","""")"),"BONNEUIL-MATOURS")</f>
        <v>BONNEUIL-MATOURS</v>
      </c>
      <c r="E1532" s="38" t="s">
        <v>529</v>
      </c>
      <c r="F1532" s="38" t="s">
        <v>338</v>
      </c>
      <c r="G1532" s="49" t="str">
        <f t="shared" si="1"/>
        <v>86210</v>
      </c>
      <c r="H1532" s="49">
        <f t="shared" si="2"/>
        <v>86032</v>
      </c>
    </row>
    <row r="1533">
      <c r="A1533" s="48" t="s">
        <v>732</v>
      </c>
      <c r="B1533" s="38">
        <v>10430.0</v>
      </c>
      <c r="C1533" s="38" t="s">
        <v>2985</v>
      </c>
      <c r="D1533" s="38" t="str">
        <f>IFERROR(__xludf.DUMMYFUNCTION("REGEXREPLACE(C1533,""-\d+(.*)|--\d+(.*)"","""")"),"VILLIERS-HERBISSE")</f>
        <v>VILLIERS-HERBISSE</v>
      </c>
      <c r="E1533" s="38" t="s">
        <v>147</v>
      </c>
      <c r="F1533" s="38" t="s">
        <v>130</v>
      </c>
      <c r="G1533" s="49" t="str">
        <f t="shared" si="1"/>
        <v>10700</v>
      </c>
      <c r="H1533" s="49">
        <f t="shared" si="2"/>
        <v>10430</v>
      </c>
    </row>
    <row r="1534">
      <c r="A1534" s="48" t="s">
        <v>1731</v>
      </c>
      <c r="B1534" s="38">
        <v>38515.0</v>
      </c>
      <c r="C1534" s="38" t="s">
        <v>2986</v>
      </c>
      <c r="D1534" s="38" t="str">
        <f>IFERROR(__xludf.DUMMYFUNCTION("REGEXREPLACE(C1534,""-\d+(.*)|--\d+(.*)"","""")"),"TREPT")</f>
        <v>TREPT</v>
      </c>
      <c r="E1534" s="38" t="s">
        <v>101</v>
      </c>
      <c r="F1534" s="38" t="s">
        <v>102</v>
      </c>
      <c r="G1534" s="49" t="str">
        <f t="shared" si="1"/>
        <v>38460</v>
      </c>
      <c r="H1534" s="49">
        <f t="shared" si="2"/>
        <v>38515</v>
      </c>
    </row>
    <row r="1535">
      <c r="A1535" s="48" t="s">
        <v>2987</v>
      </c>
      <c r="B1535" s="38">
        <v>63284.0</v>
      </c>
      <c r="C1535" s="38" t="s">
        <v>2988</v>
      </c>
      <c r="D1535" s="38" t="str">
        <f>IFERROR(__xludf.DUMMYFUNCTION("REGEXREPLACE(C1535,""-\d+(.*)|--\d+(.*)"","""")"),"PONT-DU-CHATEAU")</f>
        <v>PONT-DU-CHATEAU</v>
      </c>
      <c r="E1535" s="38" t="s">
        <v>353</v>
      </c>
      <c r="F1535" s="38" t="s">
        <v>161</v>
      </c>
      <c r="G1535" s="49" t="str">
        <f t="shared" si="1"/>
        <v>63430</v>
      </c>
      <c r="H1535" s="49">
        <f t="shared" si="2"/>
        <v>63284</v>
      </c>
    </row>
    <row r="1536">
      <c r="A1536" s="48" t="s">
        <v>2989</v>
      </c>
      <c r="B1536" s="38">
        <v>70050.0</v>
      </c>
      <c r="C1536" s="38" t="s">
        <v>2378</v>
      </c>
      <c r="D1536" s="38" t="str">
        <f>IFERROR(__xludf.DUMMYFUNCTION("REGEXREPLACE(C1536,""-\d+(.*)|--\d+(.*)"","""")"),"LA BARRE")</f>
        <v>LA BARRE</v>
      </c>
      <c r="E1536" s="38" t="s">
        <v>956</v>
      </c>
      <c r="F1536" s="38" t="s">
        <v>214</v>
      </c>
      <c r="G1536" s="49" t="str">
        <f t="shared" si="1"/>
        <v>70190</v>
      </c>
      <c r="H1536" s="49">
        <f t="shared" si="2"/>
        <v>70050</v>
      </c>
    </row>
    <row r="1537">
      <c r="A1537" s="48" t="s">
        <v>856</v>
      </c>
      <c r="B1537" s="38">
        <v>43080.0</v>
      </c>
      <c r="C1537" s="38" t="s">
        <v>2990</v>
      </c>
      <c r="D1537" s="38" t="str">
        <f>IFERROR(__xludf.DUMMYFUNCTION("REGEXREPLACE(C1537,""-\d+(.*)|--\d+(.*)"","""")"),"CRAPONNE-SUR-ARZON")</f>
        <v>CRAPONNE-SUR-ARZON</v>
      </c>
      <c r="E1537" s="38" t="s">
        <v>332</v>
      </c>
      <c r="F1537" s="38" t="s">
        <v>161</v>
      </c>
      <c r="G1537" s="49" t="str">
        <f t="shared" si="1"/>
        <v>43500</v>
      </c>
      <c r="H1537" s="49">
        <f t="shared" si="2"/>
        <v>43080</v>
      </c>
    </row>
    <row r="1538">
      <c r="A1538" s="48" t="s">
        <v>874</v>
      </c>
      <c r="B1538" s="38" t="s">
        <v>2991</v>
      </c>
      <c r="C1538" s="38" t="s">
        <v>2992</v>
      </c>
      <c r="D1538" s="38" t="str">
        <f>IFERROR(__xludf.DUMMYFUNCTION("REGEXREPLACE(C1538,""-\d+(.*)|--\d+(.*)"","""")"),"RAPAGGIO")</f>
        <v>RAPAGGIO</v>
      </c>
      <c r="E1538" s="38" t="s">
        <v>743</v>
      </c>
      <c r="F1538" s="38" t="s">
        <v>607</v>
      </c>
      <c r="G1538" s="49" t="str">
        <f t="shared" si="1"/>
        <v>20229</v>
      </c>
      <c r="H1538" s="49" t="str">
        <f t="shared" si="2"/>
        <v>2B256</v>
      </c>
    </row>
    <row r="1539">
      <c r="A1539" s="48" t="s">
        <v>2993</v>
      </c>
      <c r="B1539" s="38">
        <v>66029.0</v>
      </c>
      <c r="C1539" s="38" t="s">
        <v>2994</v>
      </c>
      <c r="D1539" s="38" t="str">
        <f>IFERROR(__xludf.DUMMYFUNCTION("REGEXREPLACE(C1539,""-\d+(.*)|--\d+(.*)"","""")"),"CAIXAS")</f>
        <v>CAIXAS</v>
      </c>
      <c r="E1539" s="38" t="s">
        <v>248</v>
      </c>
      <c r="F1539" s="38" t="s">
        <v>119</v>
      </c>
      <c r="G1539" s="49" t="str">
        <f t="shared" si="1"/>
        <v>66300</v>
      </c>
      <c r="H1539" s="49">
        <f t="shared" si="2"/>
        <v>66029</v>
      </c>
    </row>
    <row r="1540">
      <c r="A1540" s="48" t="s">
        <v>2995</v>
      </c>
      <c r="B1540" s="38">
        <v>28409.0</v>
      </c>
      <c r="C1540" s="38" t="s">
        <v>2996</v>
      </c>
      <c r="D1540" s="38" t="str">
        <f>IFERROR(__xludf.DUMMYFUNCTION("REGEXREPLACE(C1540,""-\d+(.*)|--\d+(.*)"","""")"),"VIEUVICQ")</f>
        <v>VIEUVICQ</v>
      </c>
      <c r="E1540" s="38" t="s">
        <v>300</v>
      </c>
      <c r="F1540" s="38" t="s">
        <v>123</v>
      </c>
      <c r="G1540" s="49" t="str">
        <f t="shared" si="1"/>
        <v>28120</v>
      </c>
      <c r="H1540" s="49">
        <f t="shared" si="2"/>
        <v>28409</v>
      </c>
    </row>
    <row r="1541">
      <c r="A1541" s="48" t="s">
        <v>1889</v>
      </c>
      <c r="B1541" s="38">
        <v>25133.0</v>
      </c>
      <c r="C1541" s="38" t="s">
        <v>2997</v>
      </c>
      <c r="D1541" s="38" t="str">
        <f>IFERROR(__xludf.DUMMYFUNCTION("REGEXREPLACE(C1541,""-\d+(.*)|--\d+(.*)"","""")"),"CHATILLON-LE-DUC")</f>
        <v>CHATILLON-LE-DUC</v>
      </c>
      <c r="E1541" s="38" t="s">
        <v>213</v>
      </c>
      <c r="F1541" s="38" t="s">
        <v>214</v>
      </c>
      <c r="G1541" s="49" t="str">
        <f t="shared" si="1"/>
        <v>25870</v>
      </c>
      <c r="H1541" s="49">
        <f t="shared" si="2"/>
        <v>25133</v>
      </c>
    </row>
    <row r="1542">
      <c r="A1542" s="48" t="s">
        <v>2998</v>
      </c>
      <c r="B1542" s="38">
        <v>1370.0</v>
      </c>
      <c r="C1542" s="38" t="s">
        <v>2999</v>
      </c>
      <c r="D1542" s="38" t="str">
        <f>IFERROR(__xludf.DUMMYFUNCTION("REGEXREPLACE(C1542,""-\d+(.*)|--\d+(.*)"","""")"),"SAINT-LAURENT-SUR-SAONE")</f>
        <v>SAINT-LAURENT-SUR-SAONE</v>
      </c>
      <c r="E1542" s="38" t="s">
        <v>255</v>
      </c>
      <c r="F1542" s="38" t="s">
        <v>102</v>
      </c>
      <c r="G1542" s="49" t="str">
        <f t="shared" si="1"/>
        <v>01750</v>
      </c>
      <c r="H1542" s="49" t="str">
        <f t="shared" si="2"/>
        <v>01370</v>
      </c>
    </row>
    <row r="1543">
      <c r="A1543" s="48" t="s">
        <v>3000</v>
      </c>
      <c r="B1543" s="38">
        <v>23084.0</v>
      </c>
      <c r="C1543" s="38" t="s">
        <v>3001</v>
      </c>
      <c r="D1543" s="38" t="str">
        <f>IFERROR(__xludf.DUMMYFUNCTION("REGEXREPLACE(C1543,""-\d+(.*)|--\d+(.*)"","""")"),"LA FORET-DU-TEMPLE")</f>
        <v>LA FORET-DU-TEMPLE</v>
      </c>
      <c r="E1543" s="38" t="s">
        <v>97</v>
      </c>
      <c r="F1543" s="38" t="s">
        <v>98</v>
      </c>
      <c r="G1543" s="49" t="str">
        <f t="shared" si="1"/>
        <v>23360</v>
      </c>
      <c r="H1543" s="49">
        <f t="shared" si="2"/>
        <v>23084</v>
      </c>
    </row>
    <row r="1544">
      <c r="A1544" s="48" t="s">
        <v>3002</v>
      </c>
      <c r="B1544" s="38">
        <v>43234.0</v>
      </c>
      <c r="C1544" s="38" t="s">
        <v>3003</v>
      </c>
      <c r="D1544" s="38" t="str">
        <f>IFERROR(__xludf.DUMMYFUNCTION("REGEXREPLACE(C1544,""-\d+(.*)|--\d+(.*)"","""")"),"SAUGUES")</f>
        <v>SAUGUES</v>
      </c>
      <c r="E1544" s="38" t="s">
        <v>332</v>
      </c>
      <c r="F1544" s="38" t="s">
        <v>161</v>
      </c>
      <c r="G1544" s="49" t="str">
        <f t="shared" si="1"/>
        <v>43170</v>
      </c>
      <c r="H1544" s="49">
        <f t="shared" si="2"/>
        <v>43234</v>
      </c>
    </row>
    <row r="1545">
      <c r="A1545" s="48" t="s">
        <v>1132</v>
      </c>
      <c r="B1545" s="38">
        <v>2263.0</v>
      </c>
      <c r="C1545" s="38" t="s">
        <v>3004</v>
      </c>
      <c r="D1545" s="38" t="str">
        <f>IFERROR(__xludf.DUMMYFUNCTION("REGEXREPLACE(C1545,""-\d+(.*)|--\d+(.*)"","""")"),"DHUIZEL")</f>
        <v>DHUIZEL</v>
      </c>
      <c r="E1545" s="38" t="s">
        <v>191</v>
      </c>
      <c r="F1545" s="38" t="s">
        <v>113</v>
      </c>
      <c r="G1545" s="49" t="str">
        <f t="shared" si="1"/>
        <v>02220</v>
      </c>
      <c r="H1545" s="49" t="str">
        <f t="shared" si="2"/>
        <v>02263</v>
      </c>
    </row>
    <row r="1546">
      <c r="A1546" s="48" t="s">
        <v>3005</v>
      </c>
      <c r="B1546" s="38">
        <v>44221.0</v>
      </c>
      <c r="C1546" s="38" t="s">
        <v>3006</v>
      </c>
      <c r="D1546" s="38" t="str">
        <f>IFERROR(__xludf.DUMMYFUNCTION("REGEXREPLACE(C1546,""-\d+(.*)|--\d+(.*)"","""")"),"LA CHEVALLERAIS")</f>
        <v>LA CHEVALLERAIS</v>
      </c>
      <c r="E1546" s="38" t="s">
        <v>759</v>
      </c>
      <c r="F1546" s="38" t="s">
        <v>180</v>
      </c>
      <c r="G1546" s="49" t="str">
        <f t="shared" si="1"/>
        <v>44810</v>
      </c>
      <c r="H1546" s="49">
        <f t="shared" si="2"/>
        <v>44221</v>
      </c>
    </row>
    <row r="1547">
      <c r="A1547" s="48" t="s">
        <v>2159</v>
      </c>
      <c r="B1547" s="38">
        <v>57029.0</v>
      </c>
      <c r="C1547" s="38" t="s">
        <v>3007</v>
      </c>
      <c r="D1547" s="38" t="str">
        <f>IFERROR(__xludf.DUMMYFUNCTION("REGEXREPLACE(C1547,""-\d+(.*)|--\d+(.*)"","""")"),"ARRIANCE")</f>
        <v>ARRIANCE</v>
      </c>
      <c r="E1547" s="38" t="s">
        <v>303</v>
      </c>
      <c r="F1547" s="38" t="s">
        <v>195</v>
      </c>
      <c r="G1547" s="49" t="str">
        <f t="shared" si="1"/>
        <v>57580</v>
      </c>
      <c r="H1547" s="49">
        <f t="shared" si="2"/>
        <v>57029</v>
      </c>
    </row>
    <row r="1548">
      <c r="A1548" s="48" t="s">
        <v>1014</v>
      </c>
      <c r="B1548" s="38">
        <v>11301.0</v>
      </c>
      <c r="C1548" s="38" t="s">
        <v>3008</v>
      </c>
      <c r="D1548" s="38" t="str">
        <f>IFERROR(__xludf.DUMMYFUNCTION("REGEXREPLACE(C1548,""-\d+(.*)|--\d+(.*)"","""")"),"PUICHERIC")</f>
        <v>PUICHERIC</v>
      </c>
      <c r="E1548" s="38" t="s">
        <v>278</v>
      </c>
      <c r="F1548" s="38" t="s">
        <v>119</v>
      </c>
      <c r="G1548" s="49" t="str">
        <f t="shared" si="1"/>
        <v>11700</v>
      </c>
      <c r="H1548" s="49">
        <f t="shared" si="2"/>
        <v>11301</v>
      </c>
    </row>
    <row r="1549">
      <c r="A1549" s="48" t="s">
        <v>3009</v>
      </c>
      <c r="B1549" s="38">
        <v>11384.0</v>
      </c>
      <c r="C1549" s="38" t="s">
        <v>3010</v>
      </c>
      <c r="D1549" s="38" t="str">
        <f>IFERROR(__xludf.DUMMYFUNCTION("REGEXREPLACE(C1549,""-\d+(.*)|--\d+(.*)"","""")"),"SOULATGE")</f>
        <v>SOULATGE</v>
      </c>
      <c r="E1549" s="38" t="s">
        <v>278</v>
      </c>
      <c r="F1549" s="38" t="s">
        <v>119</v>
      </c>
      <c r="G1549" s="49" t="str">
        <f t="shared" si="1"/>
        <v>11330</v>
      </c>
      <c r="H1549" s="49">
        <f t="shared" si="2"/>
        <v>11384</v>
      </c>
    </row>
    <row r="1550">
      <c r="A1550" s="48" t="s">
        <v>3011</v>
      </c>
      <c r="B1550" s="38">
        <v>63395.0</v>
      </c>
      <c r="C1550" s="38" t="s">
        <v>3012</v>
      </c>
      <c r="D1550" s="38" t="str">
        <f>IFERROR(__xludf.DUMMYFUNCTION("REGEXREPLACE(C1550,""-\d+(.*)|--\d+(.*)"","""")"),"SAINT-SANDOUX")</f>
        <v>SAINT-SANDOUX</v>
      </c>
      <c r="E1550" s="38" t="s">
        <v>353</v>
      </c>
      <c r="F1550" s="38" t="s">
        <v>161</v>
      </c>
      <c r="G1550" s="49" t="str">
        <f t="shared" si="1"/>
        <v>63450</v>
      </c>
      <c r="H1550" s="49">
        <f t="shared" si="2"/>
        <v>63395</v>
      </c>
    </row>
    <row r="1551">
      <c r="A1551" s="48" t="s">
        <v>3013</v>
      </c>
      <c r="B1551" s="38">
        <v>48057.0</v>
      </c>
      <c r="C1551" s="38" t="s">
        <v>3014</v>
      </c>
      <c r="D1551" s="38" t="str">
        <f>IFERROR(__xludf.DUMMYFUNCTION("REGEXREPLACE(C1551,""-\d+(.*)|--\d+(.*)"","""")"),"ESTABLES")</f>
        <v>ESTABLES</v>
      </c>
      <c r="E1551" s="38" t="s">
        <v>154</v>
      </c>
      <c r="F1551" s="38" t="s">
        <v>119</v>
      </c>
      <c r="G1551" s="49" t="str">
        <f t="shared" si="1"/>
        <v>48700</v>
      </c>
      <c r="H1551" s="49">
        <f t="shared" si="2"/>
        <v>48057</v>
      </c>
    </row>
    <row r="1552">
      <c r="A1552" s="48" t="s">
        <v>3015</v>
      </c>
      <c r="B1552" s="38">
        <v>16094.0</v>
      </c>
      <c r="C1552" s="38" t="s">
        <v>3016</v>
      </c>
      <c r="D1552" s="38" t="str">
        <f>IFERROR(__xludf.DUMMYFUNCTION("REGEXREPLACE(C1552,""-\d+(.*)|--\d+(.*)"","""")"),"CHENOMMET")</f>
        <v>CHENOMMET</v>
      </c>
      <c r="E1552" s="38" t="s">
        <v>429</v>
      </c>
      <c r="F1552" s="38" t="s">
        <v>338</v>
      </c>
      <c r="G1552" s="49" t="str">
        <f t="shared" si="1"/>
        <v>16460</v>
      </c>
      <c r="H1552" s="49">
        <f t="shared" si="2"/>
        <v>16094</v>
      </c>
    </row>
    <row r="1553">
      <c r="A1553" s="48" t="s">
        <v>3017</v>
      </c>
      <c r="B1553" s="38">
        <v>1037.0</v>
      </c>
      <c r="C1553" s="38" t="s">
        <v>3018</v>
      </c>
      <c r="D1553" s="38" t="str">
        <f>IFERROR(__xludf.DUMMYFUNCTION("REGEXREPLACE(C1553,""-\d+(.*)|--\d+(.*)"","""")"),"BENONCES")</f>
        <v>BENONCES</v>
      </c>
      <c r="E1553" s="38" t="s">
        <v>255</v>
      </c>
      <c r="F1553" s="38" t="s">
        <v>102</v>
      </c>
      <c r="G1553" s="49" t="str">
        <f t="shared" si="1"/>
        <v>01470</v>
      </c>
      <c r="H1553" s="49" t="str">
        <f t="shared" si="2"/>
        <v>01037</v>
      </c>
    </row>
    <row r="1554">
      <c r="A1554" s="48" t="s">
        <v>597</v>
      </c>
      <c r="B1554" s="38">
        <v>31347.0</v>
      </c>
      <c r="C1554" s="38" t="s">
        <v>3019</v>
      </c>
      <c r="D1554" s="38" t="str">
        <f>IFERROR(__xludf.DUMMYFUNCTION("REGEXREPLACE(C1554,""-\d+(.*)|--\d+(.*)"","""")"),"MOLAS")</f>
        <v>MOLAS</v>
      </c>
      <c r="E1554" s="38" t="s">
        <v>93</v>
      </c>
      <c r="F1554" s="38" t="s">
        <v>94</v>
      </c>
      <c r="G1554" s="49" t="str">
        <f t="shared" si="1"/>
        <v>31230</v>
      </c>
      <c r="H1554" s="49">
        <f t="shared" si="2"/>
        <v>31347</v>
      </c>
    </row>
    <row r="1555">
      <c r="A1555" s="48" t="s">
        <v>578</v>
      </c>
      <c r="B1555" s="38">
        <v>52275.0</v>
      </c>
      <c r="C1555" s="38" t="s">
        <v>3020</v>
      </c>
      <c r="D1555" s="38" t="str">
        <f>IFERROR(__xludf.DUMMYFUNCTION("REGEXREPLACE(C1555,""-\d+(.*)|--\d+(.*)"","""")"),"LAVERNOY")</f>
        <v>LAVERNOY</v>
      </c>
      <c r="E1555" s="38" t="s">
        <v>234</v>
      </c>
      <c r="F1555" s="38" t="s">
        <v>130</v>
      </c>
      <c r="G1555" s="49" t="str">
        <f t="shared" si="1"/>
        <v>52140</v>
      </c>
      <c r="H1555" s="49">
        <f t="shared" si="2"/>
        <v>52275</v>
      </c>
    </row>
    <row r="1556">
      <c r="A1556" s="48" t="s">
        <v>2170</v>
      </c>
      <c r="B1556" s="38">
        <v>80239.0</v>
      </c>
      <c r="C1556" s="38" t="s">
        <v>3021</v>
      </c>
      <c r="D1556" s="38" t="str">
        <f>IFERROR(__xludf.DUMMYFUNCTION("REGEXREPLACE(C1556,""-\d+(.*)|--\d+(.*)"","""")"),"DEVISE")</f>
        <v>DEVISE</v>
      </c>
      <c r="E1556" s="38" t="s">
        <v>224</v>
      </c>
      <c r="F1556" s="38" t="s">
        <v>113</v>
      </c>
      <c r="G1556" s="49" t="str">
        <f t="shared" si="1"/>
        <v>80200</v>
      </c>
      <c r="H1556" s="49">
        <f t="shared" si="2"/>
        <v>80239</v>
      </c>
    </row>
    <row r="1557">
      <c r="A1557" s="48" t="s">
        <v>3022</v>
      </c>
      <c r="B1557" s="38">
        <v>14433.0</v>
      </c>
      <c r="C1557" s="38" t="s">
        <v>3023</v>
      </c>
      <c r="D1557" s="38" t="str">
        <f>IFERROR(__xludf.DUMMYFUNCTION("REGEXREPLACE(C1557,""-\d+(.*)|--\d+(.*)"","""")"),"MITTOIS")</f>
        <v>MITTOIS</v>
      </c>
      <c r="E1557" s="38" t="s">
        <v>137</v>
      </c>
      <c r="F1557" s="38" t="s">
        <v>138</v>
      </c>
      <c r="G1557" s="49" t="str">
        <f t="shared" si="1"/>
        <v>14170</v>
      </c>
      <c r="H1557" s="49">
        <f t="shared" si="2"/>
        <v>14433</v>
      </c>
    </row>
    <row r="1558">
      <c r="A1558" s="48" t="s">
        <v>3024</v>
      </c>
      <c r="B1558" s="38">
        <v>91044.0</v>
      </c>
      <c r="C1558" s="38" t="s">
        <v>3025</v>
      </c>
      <c r="D1558" s="38" t="str">
        <f>IFERROR(__xludf.DUMMYFUNCTION("REGEXREPLACE(C1558,""-\d+(.*)|--\d+(.*)"","""")"),"BALLAINVILLIERS")</f>
        <v>BALLAINVILLIERS</v>
      </c>
      <c r="E1558" s="38" t="s">
        <v>756</v>
      </c>
      <c r="F1558" s="38" t="s">
        <v>245</v>
      </c>
      <c r="G1558" s="49" t="str">
        <f t="shared" si="1"/>
        <v>91160</v>
      </c>
      <c r="H1558" s="49">
        <f t="shared" si="2"/>
        <v>91044</v>
      </c>
    </row>
    <row r="1559">
      <c r="A1559" s="48" t="s">
        <v>3026</v>
      </c>
      <c r="B1559" s="38">
        <v>2072.0</v>
      </c>
      <c r="C1559" s="38" t="s">
        <v>3027</v>
      </c>
      <c r="D1559" s="38" t="str">
        <f>IFERROR(__xludf.DUMMYFUNCTION("REGEXREPLACE(C1559,""-\d+(.*)|--\d+(.*)"","""")"),"BERRIEUX")</f>
        <v>BERRIEUX</v>
      </c>
      <c r="E1559" s="38" t="s">
        <v>191</v>
      </c>
      <c r="F1559" s="38" t="s">
        <v>113</v>
      </c>
      <c r="G1559" s="49" t="str">
        <f t="shared" si="1"/>
        <v>02820</v>
      </c>
      <c r="H1559" s="49" t="str">
        <f t="shared" si="2"/>
        <v>02072</v>
      </c>
    </row>
    <row r="1560">
      <c r="A1560" s="48" t="s">
        <v>3028</v>
      </c>
      <c r="B1560" s="38">
        <v>21521.0</v>
      </c>
      <c r="C1560" s="38" t="s">
        <v>3029</v>
      </c>
      <c r="D1560" s="38" t="str">
        <f>IFERROR(__xludf.DUMMYFUNCTION("REGEXREPLACE(C1560,""-\d+(.*)|--\d+(.*)"","""")"),"REMILLY-SUR-TILLE")</f>
        <v>REMILLY-SUR-TILLE</v>
      </c>
      <c r="E1560" s="38" t="s">
        <v>105</v>
      </c>
      <c r="F1560" s="38" t="s">
        <v>106</v>
      </c>
      <c r="G1560" s="49" t="str">
        <f t="shared" si="1"/>
        <v>21560</v>
      </c>
      <c r="H1560" s="49">
        <f t="shared" si="2"/>
        <v>21521</v>
      </c>
    </row>
    <row r="1561">
      <c r="A1561" s="48" t="s">
        <v>2668</v>
      </c>
      <c r="B1561" s="38">
        <v>55078.0</v>
      </c>
      <c r="C1561" s="38" t="s">
        <v>3030</v>
      </c>
      <c r="D1561" s="38" t="str">
        <f>IFERROR(__xludf.DUMMYFUNCTION("REGEXREPLACE(C1561,""-\d+(.*)|--\d+(.*)"","""")"),"BRIEULLES-SUR-MEUSE")</f>
        <v>BRIEULLES-SUR-MEUSE</v>
      </c>
      <c r="E1561" s="38" t="s">
        <v>322</v>
      </c>
      <c r="F1561" s="38" t="s">
        <v>195</v>
      </c>
      <c r="G1561" s="49" t="str">
        <f t="shared" si="1"/>
        <v>55110</v>
      </c>
      <c r="H1561" s="49">
        <f t="shared" si="2"/>
        <v>55078</v>
      </c>
    </row>
    <row r="1562">
      <c r="A1562" s="48" t="s">
        <v>3031</v>
      </c>
      <c r="B1562" s="38">
        <v>21557.0</v>
      </c>
      <c r="C1562" s="38" t="s">
        <v>3032</v>
      </c>
      <c r="D1562" s="38" t="str">
        <f>IFERROR(__xludf.DUMMYFUNCTION("REGEXREPLACE(C1562,""-\d+(.*)|--\d+(.*)"","""")"),"SAINT-MARC-SUR-SEINE")</f>
        <v>SAINT-MARC-SUR-SEINE</v>
      </c>
      <c r="E1562" s="38" t="s">
        <v>105</v>
      </c>
      <c r="F1562" s="38" t="s">
        <v>106</v>
      </c>
      <c r="G1562" s="49" t="str">
        <f t="shared" si="1"/>
        <v>21450</v>
      </c>
      <c r="H1562" s="49">
        <f t="shared" si="2"/>
        <v>21557</v>
      </c>
    </row>
    <row r="1563">
      <c r="A1563" s="48" t="s">
        <v>1203</v>
      </c>
      <c r="B1563" s="38">
        <v>17119.0</v>
      </c>
      <c r="C1563" s="38" t="s">
        <v>3033</v>
      </c>
      <c r="D1563" s="38" t="str">
        <f>IFERROR(__xludf.DUMMYFUNCTION("REGEXREPLACE(C1563,""-\d+(.*)|--\d+(.*)"","""")"),"CORME-ECLUSE")</f>
        <v>CORME-ECLUSE</v>
      </c>
      <c r="E1563" s="38" t="s">
        <v>488</v>
      </c>
      <c r="F1563" s="38" t="s">
        <v>338</v>
      </c>
      <c r="G1563" s="49" t="str">
        <f t="shared" si="1"/>
        <v>17600</v>
      </c>
      <c r="H1563" s="49">
        <f t="shared" si="2"/>
        <v>17119</v>
      </c>
    </row>
    <row r="1564">
      <c r="A1564" s="48" t="s">
        <v>2130</v>
      </c>
      <c r="B1564" s="38">
        <v>62168.0</v>
      </c>
      <c r="C1564" s="38" t="s">
        <v>3034</v>
      </c>
      <c r="D1564" s="38" t="str">
        <f>IFERROR(__xludf.DUMMYFUNCTION("REGEXREPLACE(C1564,""-\d+(.*)|--\d+(.*)"","""")"),"BOURTHES")</f>
        <v>BOURTHES</v>
      </c>
      <c r="E1564" s="38" t="s">
        <v>109</v>
      </c>
      <c r="F1564" s="38" t="s">
        <v>86</v>
      </c>
      <c r="G1564" s="49" t="str">
        <f t="shared" si="1"/>
        <v>62650</v>
      </c>
      <c r="H1564" s="49">
        <f t="shared" si="2"/>
        <v>62168</v>
      </c>
    </row>
    <row r="1565">
      <c r="A1565" s="48" t="s">
        <v>2406</v>
      </c>
      <c r="B1565" s="38">
        <v>55463.0</v>
      </c>
      <c r="C1565" s="38" t="s">
        <v>3035</v>
      </c>
      <c r="D1565" s="38" t="str">
        <f>IFERROR(__xludf.DUMMYFUNCTION("REGEXREPLACE(C1565,""-\d+(.*)|--\d+(.*)"","""")"),"SAINT-MIHIEL")</f>
        <v>SAINT-MIHIEL</v>
      </c>
      <c r="E1565" s="38" t="s">
        <v>322</v>
      </c>
      <c r="F1565" s="38" t="s">
        <v>195</v>
      </c>
      <c r="G1565" s="49" t="str">
        <f t="shared" si="1"/>
        <v>55300</v>
      </c>
      <c r="H1565" s="49">
        <f t="shared" si="2"/>
        <v>55463</v>
      </c>
    </row>
    <row r="1566">
      <c r="A1566" s="48" t="s">
        <v>3036</v>
      </c>
      <c r="B1566" s="38">
        <v>61505.0</v>
      </c>
      <c r="C1566" s="38" t="s">
        <v>3037</v>
      </c>
      <c r="D1566" s="38" t="str">
        <f>IFERROR(__xludf.DUMMYFUNCTION("REGEXREPLACE(C1566,""-\d+(.*)|--\d+(.*)"","""")"),"VILLEDIEU-LES-BAILLEUL")</f>
        <v>VILLEDIEU-LES-BAILLEUL</v>
      </c>
      <c r="E1566" s="38" t="s">
        <v>141</v>
      </c>
      <c r="F1566" s="38" t="s">
        <v>138</v>
      </c>
      <c r="G1566" s="49" t="str">
        <f t="shared" si="1"/>
        <v>61160</v>
      </c>
      <c r="H1566" s="49">
        <f t="shared" si="2"/>
        <v>61505</v>
      </c>
    </row>
    <row r="1567">
      <c r="A1567" s="48" t="s">
        <v>828</v>
      </c>
      <c r="B1567" s="38">
        <v>86195.0</v>
      </c>
      <c r="C1567" s="38" t="s">
        <v>3038</v>
      </c>
      <c r="D1567" s="38" t="str">
        <f>IFERROR(__xludf.DUMMYFUNCTION("REGEXREPLACE(C1567,""-\d+(.*)|--\d+(.*)"","""")"),"PORT-DE-PILES")</f>
        <v>PORT-DE-PILES</v>
      </c>
      <c r="E1567" s="38" t="s">
        <v>529</v>
      </c>
      <c r="F1567" s="38" t="s">
        <v>338</v>
      </c>
      <c r="G1567" s="49" t="str">
        <f t="shared" si="1"/>
        <v>86220</v>
      </c>
      <c r="H1567" s="49">
        <f t="shared" si="2"/>
        <v>86195</v>
      </c>
    </row>
    <row r="1568">
      <c r="A1568" s="48" t="s">
        <v>3039</v>
      </c>
      <c r="B1568" s="38">
        <v>76596.0</v>
      </c>
      <c r="C1568" s="38" t="s">
        <v>3040</v>
      </c>
      <c r="D1568" s="38" t="str">
        <f>IFERROR(__xludf.DUMMYFUNCTION("REGEXREPLACE(C1568,""-\d+(.*)|--\d+(.*)"","""")"),"SAINT-LAURENT-DE-BREVEDENT")</f>
        <v>SAINT-LAURENT-DE-BREVEDENT</v>
      </c>
      <c r="E1568" s="38" t="s">
        <v>133</v>
      </c>
      <c r="F1568" s="38" t="s">
        <v>134</v>
      </c>
      <c r="G1568" s="49" t="str">
        <f t="shared" si="1"/>
        <v>76700</v>
      </c>
      <c r="H1568" s="49">
        <f t="shared" si="2"/>
        <v>76596</v>
      </c>
    </row>
    <row r="1569">
      <c r="A1569" s="48" t="s">
        <v>946</v>
      </c>
      <c r="B1569" s="38">
        <v>81122.0</v>
      </c>
      <c r="C1569" s="38" t="s">
        <v>3041</v>
      </c>
      <c r="D1569" s="38" t="str">
        <f>IFERROR(__xludf.DUMMYFUNCTION("REGEXREPLACE(C1569,""-\d+(.*)|--\d+(.*)"","""")"),"LACAPELLE-PINET")</f>
        <v>LACAPELLE-PINET</v>
      </c>
      <c r="E1569" s="38" t="s">
        <v>231</v>
      </c>
      <c r="F1569" s="38" t="s">
        <v>94</v>
      </c>
      <c r="G1569" s="49" t="str">
        <f t="shared" si="1"/>
        <v>81340</v>
      </c>
      <c r="H1569" s="49">
        <f t="shared" si="2"/>
        <v>81122</v>
      </c>
    </row>
    <row r="1570">
      <c r="A1570" s="48" t="s">
        <v>3042</v>
      </c>
      <c r="B1570" s="38">
        <v>95197.0</v>
      </c>
      <c r="C1570" s="38" t="s">
        <v>3043</v>
      </c>
      <c r="D1570" s="38" t="str">
        <f>IFERROR(__xludf.DUMMYFUNCTION("REGEXREPLACE(C1570,""-\d+(.*)|--\d+(.*)"","""")"),"DEUIL-LA-BARRE")</f>
        <v>DEUIL-LA-BARRE</v>
      </c>
      <c r="E1570" s="38" t="s">
        <v>541</v>
      </c>
      <c r="F1570" s="38" t="s">
        <v>245</v>
      </c>
      <c r="G1570" s="49" t="str">
        <f t="shared" si="1"/>
        <v>95170</v>
      </c>
      <c r="H1570" s="49">
        <f t="shared" si="2"/>
        <v>95197</v>
      </c>
    </row>
    <row r="1571">
      <c r="A1571" s="48" t="s">
        <v>3044</v>
      </c>
      <c r="B1571" s="38">
        <v>88503.0</v>
      </c>
      <c r="C1571" s="38" t="s">
        <v>3045</v>
      </c>
      <c r="D1571" s="38" t="str">
        <f>IFERROR(__xludf.DUMMYFUNCTION("REGEXREPLACE(C1571,""-\d+(.*)|--\d+(.*)"","""")"),"VEXAINCOURT")</f>
        <v>VEXAINCOURT</v>
      </c>
      <c r="E1571" s="38" t="s">
        <v>194</v>
      </c>
      <c r="F1571" s="38" t="s">
        <v>195</v>
      </c>
      <c r="G1571" s="49" t="str">
        <f t="shared" si="1"/>
        <v>88110</v>
      </c>
      <c r="H1571" s="49">
        <f t="shared" si="2"/>
        <v>88503</v>
      </c>
    </row>
    <row r="1572">
      <c r="A1572" s="48" t="s">
        <v>3046</v>
      </c>
      <c r="B1572" s="38">
        <v>70305.0</v>
      </c>
      <c r="C1572" s="38" t="s">
        <v>3047</v>
      </c>
      <c r="D1572" s="38" t="str">
        <f>IFERROR(__xludf.DUMMYFUNCTION("REGEXREPLACE(C1572,""-\d+(.*)|--\d+(.*)"","""")"),"LOEUILLEY")</f>
        <v>LOEUILLEY</v>
      </c>
      <c r="E1572" s="38" t="s">
        <v>956</v>
      </c>
      <c r="F1572" s="38" t="s">
        <v>214</v>
      </c>
      <c r="G1572" s="49" t="str">
        <f t="shared" si="1"/>
        <v>70100</v>
      </c>
      <c r="H1572" s="49">
        <f t="shared" si="2"/>
        <v>70305</v>
      </c>
    </row>
    <row r="1573">
      <c r="A1573" s="48" t="s">
        <v>3048</v>
      </c>
      <c r="B1573" s="38">
        <v>21546.0</v>
      </c>
      <c r="C1573" s="38" t="s">
        <v>3049</v>
      </c>
      <c r="D1573" s="38" t="str">
        <f>IFERROR(__xludf.DUMMYFUNCTION("REGEXREPLACE(C1573,""-\d+(.*)|--\d+(.*)"","""")"),"SAINT-DIDIER")</f>
        <v>SAINT-DIDIER</v>
      </c>
      <c r="E1573" s="38" t="s">
        <v>105</v>
      </c>
      <c r="F1573" s="38" t="s">
        <v>106</v>
      </c>
      <c r="G1573" s="49" t="str">
        <f t="shared" si="1"/>
        <v>21210</v>
      </c>
      <c r="H1573" s="49">
        <f t="shared" si="2"/>
        <v>21546</v>
      </c>
    </row>
    <row r="1574">
      <c r="A1574" s="48" t="s">
        <v>3050</v>
      </c>
      <c r="B1574" s="38">
        <v>11352.0</v>
      </c>
      <c r="C1574" s="38" t="s">
        <v>3051</v>
      </c>
      <c r="D1574" s="38" t="str">
        <f>IFERROR(__xludf.DUMMYFUNCTION("REGEXREPLACE(C1574,""-\d+(.*)|--\d+(.*)"","""")"),"SAINT-LOUIS-ET-PARAHOU")</f>
        <v>SAINT-LOUIS-ET-PARAHOU</v>
      </c>
      <c r="E1574" s="38" t="s">
        <v>278</v>
      </c>
      <c r="F1574" s="38" t="s">
        <v>119</v>
      </c>
      <c r="G1574" s="49" t="str">
        <f t="shared" si="1"/>
        <v>11500</v>
      </c>
      <c r="H1574" s="49">
        <f t="shared" si="2"/>
        <v>11352</v>
      </c>
    </row>
    <row r="1575">
      <c r="A1575" s="48" t="s">
        <v>3052</v>
      </c>
      <c r="B1575" s="38">
        <v>44169.0</v>
      </c>
      <c r="C1575" s="38" t="s">
        <v>3053</v>
      </c>
      <c r="D1575" s="38" t="str">
        <f>IFERROR(__xludf.DUMMYFUNCTION("REGEXREPLACE(C1575,""-\d+(.*)|--\d+(.*)"","""")"),"SAINT-JULIEN-DE-CONCELLES")</f>
        <v>SAINT-JULIEN-DE-CONCELLES</v>
      </c>
      <c r="E1575" s="38" t="s">
        <v>759</v>
      </c>
      <c r="F1575" s="38" t="s">
        <v>180</v>
      </c>
      <c r="G1575" s="49" t="str">
        <f t="shared" si="1"/>
        <v>44450</v>
      </c>
      <c r="H1575" s="49">
        <f t="shared" si="2"/>
        <v>44169</v>
      </c>
    </row>
    <row r="1576">
      <c r="A1576" s="48" t="s">
        <v>944</v>
      </c>
      <c r="B1576" s="38">
        <v>61509.0</v>
      </c>
      <c r="C1576" s="38" t="s">
        <v>3054</v>
      </c>
      <c r="D1576" s="38" t="str">
        <f>IFERROR(__xludf.DUMMYFUNCTION("REGEXREPLACE(C1576,""-\d+(.*)|--\d+(.*)"","""")"),"VINGT-HANAPS")</f>
        <v>VINGT-HANAPS</v>
      </c>
      <c r="E1576" s="38" t="s">
        <v>141</v>
      </c>
      <c r="F1576" s="38" t="s">
        <v>138</v>
      </c>
      <c r="G1576" s="49" t="str">
        <f t="shared" si="1"/>
        <v>61250</v>
      </c>
      <c r="H1576" s="49">
        <f t="shared" si="2"/>
        <v>61509</v>
      </c>
    </row>
    <row r="1577">
      <c r="A1577" s="48" t="s">
        <v>1008</v>
      </c>
      <c r="B1577" s="38">
        <v>2618.0</v>
      </c>
      <c r="C1577" s="38" t="s">
        <v>3055</v>
      </c>
      <c r="D1577" s="38" t="str">
        <f>IFERROR(__xludf.DUMMYFUNCTION("REGEXREPLACE(C1577,""-\d+(.*)|--\d+(.*)"","""")"),"PREMONT")</f>
        <v>PREMONT</v>
      </c>
      <c r="E1577" s="38" t="s">
        <v>191</v>
      </c>
      <c r="F1577" s="38" t="s">
        <v>113</v>
      </c>
      <c r="G1577" s="49" t="str">
        <f t="shared" si="1"/>
        <v>02110</v>
      </c>
      <c r="H1577" s="49" t="str">
        <f t="shared" si="2"/>
        <v>02618</v>
      </c>
    </row>
    <row r="1578">
      <c r="A1578" s="48" t="s">
        <v>3056</v>
      </c>
      <c r="B1578" s="38">
        <v>24508.0</v>
      </c>
      <c r="C1578" s="38" t="s">
        <v>3057</v>
      </c>
      <c r="D1578" s="38" t="str">
        <f>IFERROR(__xludf.DUMMYFUNCTION("REGEXREPLACE(C1578,""-\d+(.*)|--\d+(.*)"","""")"),"SAINT-VICTOR")</f>
        <v>SAINT-VICTOR</v>
      </c>
      <c r="E1578" s="38" t="s">
        <v>261</v>
      </c>
      <c r="F1578" s="38" t="s">
        <v>252</v>
      </c>
      <c r="G1578" s="49" t="str">
        <f t="shared" si="1"/>
        <v>24350</v>
      </c>
      <c r="H1578" s="49">
        <f t="shared" si="2"/>
        <v>24508</v>
      </c>
    </row>
    <row r="1579">
      <c r="A1579" s="48" t="s">
        <v>1679</v>
      </c>
      <c r="B1579" s="38">
        <v>51550.0</v>
      </c>
      <c r="C1579" s="38" t="s">
        <v>3058</v>
      </c>
      <c r="D1579" s="38" t="str">
        <f>IFERROR(__xludf.DUMMYFUNCTION("REGEXREPLACE(C1579,""-\d+(.*)|--\d+(.*)"","""")"),"SOMPUIS")</f>
        <v>SOMPUIS</v>
      </c>
      <c r="E1579" s="38" t="s">
        <v>129</v>
      </c>
      <c r="F1579" s="38" t="s">
        <v>130</v>
      </c>
      <c r="G1579" s="49" t="str">
        <f t="shared" si="1"/>
        <v>51320</v>
      </c>
      <c r="H1579" s="49">
        <f t="shared" si="2"/>
        <v>51550</v>
      </c>
    </row>
    <row r="1580">
      <c r="A1580" s="48" t="s">
        <v>3059</v>
      </c>
      <c r="B1580" s="38">
        <v>89176.0</v>
      </c>
      <c r="C1580" s="38" t="s">
        <v>3060</v>
      </c>
      <c r="D1580" s="38" t="str">
        <f>IFERROR(__xludf.DUMMYFUNCTION("REGEXREPLACE(C1580,""-\d+(.*)|--\d+(.*)"","""")"),"FONTENAY-PRES-VEZELAY")</f>
        <v>FONTENAY-PRES-VEZELAY</v>
      </c>
      <c r="E1580" s="38" t="s">
        <v>275</v>
      </c>
      <c r="F1580" s="38" t="s">
        <v>106</v>
      </c>
      <c r="G1580" s="49" t="str">
        <f t="shared" si="1"/>
        <v>89450</v>
      </c>
      <c r="H1580" s="49">
        <f t="shared" si="2"/>
        <v>89176</v>
      </c>
    </row>
    <row r="1581">
      <c r="A1581" s="48" t="s">
        <v>3061</v>
      </c>
      <c r="B1581" s="38">
        <v>71491.0</v>
      </c>
      <c r="C1581" s="38" t="s">
        <v>3062</v>
      </c>
      <c r="D1581" s="38" t="str">
        <f>IFERROR(__xludf.DUMMYFUNCTION("REGEXREPLACE(C1581,""-\d+(.*)|--\d+(.*)"","""")"),"SAINT-YAN")</f>
        <v>SAINT-YAN</v>
      </c>
      <c r="E1581" s="38" t="s">
        <v>344</v>
      </c>
      <c r="F1581" s="38" t="s">
        <v>106</v>
      </c>
      <c r="G1581" s="49" t="str">
        <f t="shared" si="1"/>
        <v>71600</v>
      </c>
      <c r="H1581" s="49">
        <f t="shared" si="2"/>
        <v>71491</v>
      </c>
    </row>
    <row r="1582">
      <c r="A1582" s="48" t="s">
        <v>3063</v>
      </c>
      <c r="B1582" s="38">
        <v>54495.0</v>
      </c>
      <c r="C1582" s="38" t="s">
        <v>3064</v>
      </c>
      <c r="D1582" s="38" t="str">
        <f>IFERROR(__xludf.DUMMYFUNCTION("REGEXREPLACE(C1582,""-\d+(.*)|--\d+(.*)"","""")"),"SAULXURES-LES-NANCY")</f>
        <v>SAULXURES-LES-NANCY</v>
      </c>
      <c r="E1582" s="38" t="s">
        <v>548</v>
      </c>
      <c r="F1582" s="38" t="s">
        <v>195</v>
      </c>
      <c r="G1582" s="49" t="str">
        <f t="shared" si="1"/>
        <v>54420</v>
      </c>
      <c r="H1582" s="49">
        <f t="shared" si="2"/>
        <v>54495</v>
      </c>
    </row>
    <row r="1583">
      <c r="A1583" s="48" t="s">
        <v>3065</v>
      </c>
      <c r="B1583" s="38">
        <v>7054.0</v>
      </c>
      <c r="C1583" s="38" t="s">
        <v>3066</v>
      </c>
      <c r="D1583" s="38" t="str">
        <f>IFERROR(__xludf.DUMMYFUNCTION("REGEXREPLACE(C1583,""-\d+(.*)|--\d+(.*)"","""")"),"CHANEAC")</f>
        <v>CHANEAC</v>
      </c>
      <c r="E1583" s="38" t="s">
        <v>144</v>
      </c>
      <c r="F1583" s="38" t="s">
        <v>102</v>
      </c>
      <c r="G1583" s="49" t="str">
        <f t="shared" si="1"/>
        <v>07310</v>
      </c>
      <c r="H1583" s="49" t="str">
        <f t="shared" si="2"/>
        <v>07054</v>
      </c>
    </row>
    <row r="1584">
      <c r="A1584" s="48" t="s">
        <v>1325</v>
      </c>
      <c r="B1584" s="38">
        <v>7249.0</v>
      </c>
      <c r="C1584" s="38" t="s">
        <v>3067</v>
      </c>
      <c r="D1584" s="38" t="str">
        <f>IFERROR(__xludf.DUMMYFUNCTION("REGEXREPLACE(C1584,""-\d+(.*)|--\d+(.*)"","""")"),"SAINT-JEURE-D'ANDAURE")</f>
        <v>SAINT-JEURE-D'ANDAURE</v>
      </c>
      <c r="E1584" s="38" t="s">
        <v>144</v>
      </c>
      <c r="F1584" s="38" t="s">
        <v>102</v>
      </c>
      <c r="G1584" s="49" t="str">
        <f t="shared" si="1"/>
        <v>07320</v>
      </c>
      <c r="H1584" s="49" t="str">
        <f t="shared" si="2"/>
        <v>07249</v>
      </c>
    </row>
    <row r="1585">
      <c r="A1585" s="48" t="s">
        <v>1310</v>
      </c>
      <c r="B1585" s="38">
        <v>25610.0</v>
      </c>
      <c r="C1585" s="38" t="s">
        <v>3068</v>
      </c>
      <c r="D1585" s="38" t="str">
        <f>IFERROR(__xludf.DUMMYFUNCTION("REGEXREPLACE(C1585,""-\d+(.*)|--\d+(.*)"","""")"),"VERRIERES-DU-GROSBOIS")</f>
        <v>VERRIERES-DU-GROSBOIS</v>
      </c>
      <c r="E1585" s="38" t="s">
        <v>213</v>
      </c>
      <c r="F1585" s="38" t="s">
        <v>214</v>
      </c>
      <c r="G1585" s="49" t="str">
        <f t="shared" si="1"/>
        <v>25580</v>
      </c>
      <c r="H1585" s="49">
        <f t="shared" si="2"/>
        <v>25610</v>
      </c>
    </row>
    <row r="1586">
      <c r="A1586" s="48" t="s">
        <v>3069</v>
      </c>
      <c r="B1586" s="38">
        <v>68201.0</v>
      </c>
      <c r="C1586" s="38" t="s">
        <v>3070</v>
      </c>
      <c r="D1586" s="38" t="str">
        <f>IFERROR(__xludf.DUMMYFUNCTION("REGEXREPLACE(C1586,""-\d+(.*)|--\d+(.*)"","""")"),"MASEVAUX")</f>
        <v>MASEVAUX</v>
      </c>
      <c r="E1586" s="38" t="s">
        <v>150</v>
      </c>
      <c r="F1586" s="38" t="s">
        <v>151</v>
      </c>
      <c r="G1586" s="49" t="str">
        <f t="shared" si="1"/>
        <v>68290</v>
      </c>
      <c r="H1586" s="49">
        <f t="shared" si="2"/>
        <v>68201</v>
      </c>
    </row>
    <row r="1587">
      <c r="A1587" s="48" t="s">
        <v>3071</v>
      </c>
      <c r="B1587" s="38">
        <v>59277.0</v>
      </c>
      <c r="C1587" s="38" t="s">
        <v>3072</v>
      </c>
      <c r="D1587" s="38" t="str">
        <f>IFERROR(__xludf.DUMMYFUNCTION("REGEXREPLACE(C1587,""-\d+(.*)|--\d+(.*)"","""")"),"GUSSIGNIES")</f>
        <v>GUSSIGNIES</v>
      </c>
      <c r="E1587" s="38" t="s">
        <v>85</v>
      </c>
      <c r="F1587" s="38" t="s">
        <v>86</v>
      </c>
      <c r="G1587" s="49" t="str">
        <f t="shared" si="1"/>
        <v>59570</v>
      </c>
      <c r="H1587" s="49">
        <f t="shared" si="2"/>
        <v>59277</v>
      </c>
    </row>
    <row r="1588">
      <c r="A1588" s="48" t="s">
        <v>3073</v>
      </c>
      <c r="B1588" s="38">
        <v>87113.0</v>
      </c>
      <c r="C1588" s="38" t="s">
        <v>3074</v>
      </c>
      <c r="D1588" s="38" t="str">
        <f>IFERROR(__xludf.DUMMYFUNCTION("REGEXREPLACE(C1588,""-\d+(.*)|--\d+(.*)"","""")"),"LE PALAIS-SUR-VIENNE")</f>
        <v>LE PALAIS-SUR-VIENNE</v>
      </c>
      <c r="E1588" s="38" t="s">
        <v>897</v>
      </c>
      <c r="F1588" s="38" t="s">
        <v>98</v>
      </c>
      <c r="G1588" s="49" t="str">
        <f t="shared" si="1"/>
        <v>87410</v>
      </c>
      <c r="H1588" s="49">
        <f t="shared" si="2"/>
        <v>87113</v>
      </c>
    </row>
    <row r="1589">
      <c r="A1589" s="48" t="s">
        <v>3075</v>
      </c>
      <c r="B1589" s="38">
        <v>46144.0</v>
      </c>
      <c r="C1589" s="38" t="s">
        <v>3076</v>
      </c>
      <c r="D1589" s="38" t="str">
        <f>IFERROR(__xludf.DUMMYFUNCTION("REGEXREPLACE(C1589,""-\d+(.*)|--\d+(.*)"","""")"),"LACAVE")</f>
        <v>LACAVE</v>
      </c>
      <c r="E1589" s="38" t="s">
        <v>185</v>
      </c>
      <c r="F1589" s="38" t="s">
        <v>94</v>
      </c>
      <c r="G1589" s="49" t="str">
        <f t="shared" si="1"/>
        <v>46200</v>
      </c>
      <c r="H1589" s="49">
        <f t="shared" si="2"/>
        <v>46144</v>
      </c>
    </row>
    <row r="1590">
      <c r="A1590" s="48" t="s">
        <v>3077</v>
      </c>
      <c r="B1590" s="38">
        <v>32399.0</v>
      </c>
      <c r="C1590" s="38" t="s">
        <v>3078</v>
      </c>
      <c r="D1590" s="38" t="str">
        <f>IFERROR(__xludf.DUMMYFUNCTION("REGEXREPLACE(C1590,""-\d+(.*)|--\d+(.*)"","""")"),"SAINT-ORENS")</f>
        <v>SAINT-ORENS</v>
      </c>
      <c r="E1590" s="38" t="s">
        <v>440</v>
      </c>
      <c r="F1590" s="38" t="s">
        <v>94</v>
      </c>
      <c r="G1590" s="49" t="str">
        <f t="shared" si="1"/>
        <v>32120</v>
      </c>
      <c r="H1590" s="49">
        <f t="shared" si="2"/>
        <v>32399</v>
      </c>
    </row>
    <row r="1591">
      <c r="A1591" s="48" t="s">
        <v>1184</v>
      </c>
      <c r="B1591" s="38">
        <v>8456.0</v>
      </c>
      <c r="C1591" s="38" t="s">
        <v>3079</v>
      </c>
      <c r="D1591" s="38" t="str">
        <f>IFERROR(__xludf.DUMMYFUNCTION("REGEXREPLACE(C1591,""-\d+(.*)|--\d+(.*)"","""")"),"TOURNAVAUX")</f>
        <v>TOURNAVAUX</v>
      </c>
      <c r="E1591" s="38" t="s">
        <v>327</v>
      </c>
      <c r="F1591" s="38" t="s">
        <v>130</v>
      </c>
      <c r="G1591" s="49" t="str">
        <f t="shared" si="1"/>
        <v>08800</v>
      </c>
      <c r="H1591" s="49" t="str">
        <f t="shared" si="2"/>
        <v>08456</v>
      </c>
    </row>
    <row r="1592">
      <c r="A1592" s="48" t="s">
        <v>3080</v>
      </c>
      <c r="B1592" s="38">
        <v>71421.0</v>
      </c>
      <c r="C1592" s="38" t="s">
        <v>3081</v>
      </c>
      <c r="D1592" s="38" t="str">
        <f>IFERROR(__xludf.DUMMYFUNCTION("REGEXREPLACE(C1592,""-\d+(.*)|--\d+(.*)"","""")"),"SAINT-GERMAIN-EN-BRIONNAIS")</f>
        <v>SAINT-GERMAIN-EN-BRIONNAIS</v>
      </c>
      <c r="E1592" s="38" t="s">
        <v>344</v>
      </c>
      <c r="F1592" s="38" t="s">
        <v>106</v>
      </c>
      <c r="G1592" s="49" t="str">
        <f t="shared" si="1"/>
        <v>71800</v>
      </c>
      <c r="H1592" s="49">
        <f t="shared" si="2"/>
        <v>71421</v>
      </c>
    </row>
    <row r="1593">
      <c r="A1593" s="48" t="s">
        <v>1953</v>
      </c>
      <c r="B1593" s="38">
        <v>36058.0</v>
      </c>
      <c r="C1593" s="38" t="s">
        <v>3082</v>
      </c>
      <c r="D1593" s="38" t="str">
        <f>IFERROR(__xludf.DUMMYFUNCTION("REGEXREPLACE(C1593,""-\d+(.*)|--\d+(.*)"","""")"),"CONCREMIERS")</f>
        <v>CONCREMIERS</v>
      </c>
      <c r="E1593" s="38" t="s">
        <v>258</v>
      </c>
      <c r="F1593" s="38" t="s">
        <v>123</v>
      </c>
      <c r="G1593" s="49" t="str">
        <f t="shared" si="1"/>
        <v>36300</v>
      </c>
      <c r="H1593" s="49">
        <f t="shared" si="2"/>
        <v>36058</v>
      </c>
    </row>
    <row r="1594">
      <c r="A1594" s="48" t="s">
        <v>307</v>
      </c>
      <c r="B1594" s="38">
        <v>88474.0</v>
      </c>
      <c r="C1594" s="38" t="s">
        <v>3083</v>
      </c>
      <c r="D1594" s="38" t="str">
        <f>IFERROR(__xludf.DUMMYFUNCTION("REGEXREPLACE(C1594,""-\d+(.*)|--\d+(.*)"","""")"),"TILLEUX")</f>
        <v>TILLEUX</v>
      </c>
      <c r="E1594" s="38" t="s">
        <v>194</v>
      </c>
      <c r="F1594" s="38" t="s">
        <v>195</v>
      </c>
      <c r="G1594" s="49" t="str">
        <f t="shared" si="1"/>
        <v>88300</v>
      </c>
      <c r="H1594" s="49">
        <f t="shared" si="2"/>
        <v>88474</v>
      </c>
    </row>
    <row r="1595">
      <c r="A1595" s="48" t="s">
        <v>239</v>
      </c>
      <c r="B1595" s="38">
        <v>27224.0</v>
      </c>
      <c r="C1595" s="38" t="s">
        <v>3084</v>
      </c>
      <c r="D1595" s="38" t="str">
        <f>IFERROR(__xludf.DUMMYFUNCTION("REGEXREPLACE(C1595,""-\d+(.*)|--\d+(.*)"","""")"),"EPREVILLE-PRES-LE-NEUBOURG")</f>
        <v>EPREVILLE-PRES-LE-NEUBOURG</v>
      </c>
      <c r="E1595" s="38" t="s">
        <v>241</v>
      </c>
      <c r="F1595" s="38" t="s">
        <v>134</v>
      </c>
      <c r="G1595" s="49" t="str">
        <f t="shared" si="1"/>
        <v>27110</v>
      </c>
      <c r="H1595" s="49">
        <f t="shared" si="2"/>
        <v>27224</v>
      </c>
    </row>
    <row r="1596">
      <c r="A1596" s="48" t="s">
        <v>328</v>
      </c>
      <c r="B1596" s="38">
        <v>2537.0</v>
      </c>
      <c r="C1596" s="38" t="s">
        <v>3085</v>
      </c>
      <c r="D1596" s="38" t="str">
        <f>IFERROR(__xludf.DUMMYFUNCTION("REGEXREPLACE(C1596,""-\d+(.*)|--\d+(.*)"","""")"),"NANTEUIL-LA-FOSSE")</f>
        <v>NANTEUIL-LA-FOSSE</v>
      </c>
      <c r="E1596" s="38" t="s">
        <v>191</v>
      </c>
      <c r="F1596" s="38" t="s">
        <v>113</v>
      </c>
      <c r="G1596" s="49" t="str">
        <f t="shared" si="1"/>
        <v>02880</v>
      </c>
      <c r="H1596" s="49" t="str">
        <f t="shared" si="2"/>
        <v>02537</v>
      </c>
    </row>
    <row r="1597">
      <c r="A1597" s="48" t="s">
        <v>1518</v>
      </c>
      <c r="B1597" s="38">
        <v>88002.0</v>
      </c>
      <c r="C1597" s="38" t="s">
        <v>3086</v>
      </c>
      <c r="D1597" s="38" t="str">
        <f>IFERROR(__xludf.DUMMYFUNCTION("REGEXREPLACE(C1597,""-\d+(.*)|--\d+(.*)"","""")"),"AHEVILLE")</f>
        <v>AHEVILLE</v>
      </c>
      <c r="E1597" s="38" t="s">
        <v>194</v>
      </c>
      <c r="F1597" s="38" t="s">
        <v>195</v>
      </c>
      <c r="G1597" s="49" t="str">
        <f t="shared" si="1"/>
        <v>88500</v>
      </c>
      <c r="H1597" s="49">
        <f t="shared" si="2"/>
        <v>88002</v>
      </c>
    </row>
    <row r="1598">
      <c r="A1598" s="48" t="s">
        <v>3087</v>
      </c>
      <c r="B1598" s="38">
        <v>64216.0</v>
      </c>
      <c r="C1598" s="38" t="s">
        <v>3088</v>
      </c>
      <c r="D1598" s="38" t="str">
        <f>IFERROR(__xludf.DUMMYFUNCTION("REGEXREPLACE(C1598,""-\d+(.*)|--\d+(.*)"","""")"),"ESPOEY")</f>
        <v>ESPOEY</v>
      </c>
      <c r="E1598" s="38" t="s">
        <v>268</v>
      </c>
      <c r="F1598" s="38" t="s">
        <v>252</v>
      </c>
      <c r="G1598" s="49" t="str">
        <f t="shared" si="1"/>
        <v>64420</v>
      </c>
      <c r="H1598" s="49">
        <f t="shared" si="2"/>
        <v>64216</v>
      </c>
    </row>
    <row r="1599">
      <c r="A1599" s="48" t="s">
        <v>3089</v>
      </c>
      <c r="B1599" s="38">
        <v>18019.0</v>
      </c>
      <c r="C1599" s="38" t="s">
        <v>3090</v>
      </c>
      <c r="D1599" s="38" t="str">
        <f>IFERROR(__xludf.DUMMYFUNCTION("REGEXREPLACE(C1599,""-\d+(.*)|--\d+(.*)"","""")"),"AZY")</f>
        <v>AZY</v>
      </c>
      <c r="E1599" s="38" t="s">
        <v>504</v>
      </c>
      <c r="F1599" s="38" t="s">
        <v>123</v>
      </c>
      <c r="G1599" s="49" t="str">
        <f t="shared" si="1"/>
        <v>18220</v>
      </c>
      <c r="H1599" s="49">
        <f t="shared" si="2"/>
        <v>18019</v>
      </c>
    </row>
    <row r="1600">
      <c r="A1600" s="48" t="s">
        <v>3091</v>
      </c>
      <c r="B1600" s="38">
        <v>97129.0</v>
      </c>
      <c r="C1600" s="38" t="s">
        <v>3092</v>
      </c>
      <c r="D1600" s="38" t="str">
        <f>IFERROR(__xludf.DUMMYFUNCTION("REGEXREPLACE(C1600,""-\d+(.*)|--\d+(.*)"","""")"),"SAINTE-ROSE")</f>
        <v>SAINTE-ROSE</v>
      </c>
      <c r="E1600" s="38" t="s">
        <v>2023</v>
      </c>
      <c r="F1600" s="38" t="s">
        <v>2023</v>
      </c>
      <c r="G1600" s="49" t="str">
        <f t="shared" si="1"/>
        <v>97115</v>
      </c>
      <c r="H1600" s="49">
        <f t="shared" si="2"/>
        <v>97129</v>
      </c>
    </row>
    <row r="1601">
      <c r="A1601" s="48" t="s">
        <v>3093</v>
      </c>
      <c r="B1601" s="38">
        <v>57434.0</v>
      </c>
      <c r="C1601" s="38" t="s">
        <v>3094</v>
      </c>
      <c r="D1601" s="38" t="str">
        <f>IFERROR(__xludf.DUMMYFUNCTION("REGEXREPLACE(C1601,""-\d+(.*)|--\d+(.*)"","""")"),"MAIZIERES-LES-VIC")</f>
        <v>MAIZIERES-LES-VIC</v>
      </c>
      <c r="E1601" s="38" t="s">
        <v>303</v>
      </c>
      <c r="F1601" s="38" t="s">
        <v>195</v>
      </c>
      <c r="G1601" s="49" t="str">
        <f t="shared" si="1"/>
        <v>57810</v>
      </c>
      <c r="H1601" s="49">
        <f t="shared" si="2"/>
        <v>57434</v>
      </c>
    </row>
    <row r="1602">
      <c r="A1602" s="48" t="s">
        <v>1220</v>
      </c>
      <c r="B1602" s="38">
        <v>76679.0</v>
      </c>
      <c r="C1602" s="38" t="s">
        <v>3095</v>
      </c>
      <c r="D1602" s="38" t="str">
        <f>IFERROR(__xludf.DUMMYFUNCTION("REGEXREPLACE(C1602,""-\d+(.*)|--\d+(.*)"","""")"),"SOMMESNIL")</f>
        <v>SOMMESNIL</v>
      </c>
      <c r="E1602" s="38" t="s">
        <v>133</v>
      </c>
      <c r="F1602" s="38" t="s">
        <v>134</v>
      </c>
      <c r="G1602" s="49" t="str">
        <f t="shared" si="1"/>
        <v>76560</v>
      </c>
      <c r="H1602" s="49">
        <f t="shared" si="2"/>
        <v>76679</v>
      </c>
    </row>
    <row r="1603">
      <c r="A1603" s="48" t="s">
        <v>3096</v>
      </c>
      <c r="B1603" s="38">
        <v>62645.0</v>
      </c>
      <c r="C1603" s="38" t="s">
        <v>3097</v>
      </c>
      <c r="D1603" s="38" t="str">
        <f>IFERROR(__xludf.DUMMYFUNCTION("REGEXREPLACE(C1603,""-\d+(.*)|--\d+(.*)"","""")"),"OYE-PLAGE")</f>
        <v>OYE-PLAGE</v>
      </c>
      <c r="E1603" s="38" t="s">
        <v>109</v>
      </c>
      <c r="F1603" s="38" t="s">
        <v>86</v>
      </c>
      <c r="G1603" s="49" t="str">
        <f t="shared" si="1"/>
        <v>62215</v>
      </c>
      <c r="H1603" s="49">
        <f t="shared" si="2"/>
        <v>62645</v>
      </c>
    </row>
    <row r="1604">
      <c r="A1604" s="48" t="s">
        <v>3098</v>
      </c>
      <c r="B1604" s="38">
        <v>59319.0</v>
      </c>
      <c r="C1604" s="38" t="s">
        <v>3099</v>
      </c>
      <c r="D1604" s="38" t="str">
        <f>IFERROR(__xludf.DUMMYFUNCTION("REGEXREPLACE(C1604,""-\d+(.*)|--\d+(.*)"","""")"),"HOYMILLE")</f>
        <v>HOYMILLE</v>
      </c>
      <c r="E1604" s="38" t="s">
        <v>85</v>
      </c>
      <c r="F1604" s="38" t="s">
        <v>86</v>
      </c>
      <c r="G1604" s="49" t="str">
        <f t="shared" si="1"/>
        <v>59492</v>
      </c>
      <c r="H1604" s="49">
        <f t="shared" si="2"/>
        <v>59319</v>
      </c>
    </row>
    <row r="1605">
      <c r="A1605" s="48" t="s">
        <v>3100</v>
      </c>
      <c r="B1605" s="38">
        <v>7138.0</v>
      </c>
      <c r="C1605" s="38" t="s">
        <v>3101</v>
      </c>
      <c r="D1605" s="38" t="str">
        <f>IFERROR(__xludf.DUMMYFUNCTION("REGEXREPLACE(C1605,""-\d+(.*)|--\d+(.*)"","""")"),"LAVILLEDIEU")</f>
        <v>LAVILLEDIEU</v>
      </c>
      <c r="E1605" s="38" t="s">
        <v>144</v>
      </c>
      <c r="F1605" s="38" t="s">
        <v>102</v>
      </c>
      <c r="G1605" s="49" t="str">
        <f t="shared" si="1"/>
        <v>07170</v>
      </c>
      <c r="H1605" s="49" t="str">
        <f t="shared" si="2"/>
        <v>07138</v>
      </c>
    </row>
    <row r="1606">
      <c r="A1606" s="48" t="s">
        <v>3102</v>
      </c>
      <c r="B1606" s="38">
        <v>55407.0</v>
      </c>
      <c r="C1606" s="38" t="s">
        <v>3103</v>
      </c>
      <c r="D1606" s="38" t="str">
        <f>IFERROR(__xludf.DUMMYFUNCTION("REGEXREPLACE(C1606,""-\d+(.*)|--\d+(.*)"","""")"),"PONT-SUR-MEUSE")</f>
        <v>PONT-SUR-MEUSE</v>
      </c>
      <c r="E1606" s="38" t="s">
        <v>322</v>
      </c>
      <c r="F1606" s="38" t="s">
        <v>195</v>
      </c>
      <c r="G1606" s="49" t="str">
        <f t="shared" si="1"/>
        <v>55200</v>
      </c>
      <c r="H1606" s="49">
        <f t="shared" si="2"/>
        <v>55407</v>
      </c>
    </row>
    <row r="1607">
      <c r="A1607" s="48" t="s">
        <v>3104</v>
      </c>
      <c r="B1607" s="38">
        <v>14237.0</v>
      </c>
      <c r="C1607" s="38" t="s">
        <v>3105</v>
      </c>
      <c r="D1607" s="38" t="str">
        <f>IFERROR(__xludf.DUMMYFUNCTION("REGEXREPLACE(C1607,""-\d+(.*)|--\d+(.*)"","""")"),"EMIEVILLE")</f>
        <v>EMIEVILLE</v>
      </c>
      <c r="E1607" s="38" t="s">
        <v>137</v>
      </c>
      <c r="F1607" s="38" t="s">
        <v>138</v>
      </c>
      <c r="G1607" s="49" t="str">
        <f t="shared" si="1"/>
        <v>14630</v>
      </c>
      <c r="H1607" s="49">
        <f t="shared" si="2"/>
        <v>14237</v>
      </c>
    </row>
    <row r="1608">
      <c r="A1608" s="48" t="s">
        <v>2419</v>
      </c>
      <c r="B1608" s="38">
        <v>58159.0</v>
      </c>
      <c r="C1608" s="38" t="s">
        <v>3106</v>
      </c>
      <c r="D1608" s="38" t="str">
        <f>IFERROR(__xludf.DUMMYFUNCTION("REGEXREPLACE(C1608,""-\d+(.*)|--\d+(.*)"","""")"),"MARIGNY-SUR-YONNE")</f>
        <v>MARIGNY-SUR-YONNE</v>
      </c>
      <c r="E1608" s="38" t="s">
        <v>219</v>
      </c>
      <c r="F1608" s="38" t="s">
        <v>106</v>
      </c>
      <c r="G1608" s="49" t="str">
        <f t="shared" si="1"/>
        <v>58800</v>
      </c>
      <c r="H1608" s="49">
        <f t="shared" si="2"/>
        <v>58159</v>
      </c>
    </row>
    <row r="1609">
      <c r="A1609" s="48" t="s">
        <v>3107</v>
      </c>
      <c r="B1609" s="38">
        <v>45279.0</v>
      </c>
      <c r="C1609" s="38" t="s">
        <v>3108</v>
      </c>
      <c r="D1609" s="38" t="str">
        <f>IFERROR(__xludf.DUMMYFUNCTION("REGEXREPLACE(C1609,""-\d+(.*)|--\d+(.*)"","""")"),"SAINT-GERMAIN-DES-PRES")</f>
        <v>SAINT-GERMAIN-DES-PRES</v>
      </c>
      <c r="E1609" s="38" t="s">
        <v>122</v>
      </c>
      <c r="F1609" s="38" t="s">
        <v>123</v>
      </c>
      <c r="G1609" s="49" t="str">
        <f t="shared" si="1"/>
        <v>45220</v>
      </c>
      <c r="H1609" s="49">
        <f t="shared" si="2"/>
        <v>45279</v>
      </c>
    </row>
    <row r="1610">
      <c r="A1610" s="48" t="s">
        <v>3109</v>
      </c>
      <c r="B1610" s="38">
        <v>9282.0</v>
      </c>
      <c r="C1610" s="38" t="s">
        <v>3110</v>
      </c>
      <c r="D1610" s="38" t="str">
        <f>IFERROR(__xludf.DUMMYFUNCTION("REGEXREPLACE(C1610,""-\d+(.*)|--\d+(.*)"","""")"),"SAVERDUN")</f>
        <v>SAVERDUN</v>
      </c>
      <c r="E1610" s="38" t="s">
        <v>238</v>
      </c>
      <c r="F1610" s="38" t="s">
        <v>94</v>
      </c>
      <c r="G1610" s="49" t="str">
        <f t="shared" si="1"/>
        <v>09700</v>
      </c>
      <c r="H1610" s="49" t="str">
        <f t="shared" si="2"/>
        <v>09282</v>
      </c>
    </row>
    <row r="1611">
      <c r="A1611" s="48" t="s">
        <v>2190</v>
      </c>
      <c r="B1611" s="38">
        <v>10020.0</v>
      </c>
      <c r="C1611" s="38" t="s">
        <v>3111</v>
      </c>
      <c r="D1611" s="38" t="str">
        <f>IFERROR(__xludf.DUMMYFUNCTION("REGEXREPLACE(C1611,""-\d+(.*)|--\d+(.*)"","""")"),"AVANT-LES-MARCILLY")</f>
        <v>AVANT-LES-MARCILLY</v>
      </c>
      <c r="E1611" s="38" t="s">
        <v>147</v>
      </c>
      <c r="F1611" s="38" t="s">
        <v>130</v>
      </c>
      <c r="G1611" s="49" t="str">
        <f t="shared" si="1"/>
        <v>10400</v>
      </c>
      <c r="H1611" s="49">
        <f t="shared" si="2"/>
        <v>10020</v>
      </c>
    </row>
    <row r="1612">
      <c r="A1612" s="48" t="s">
        <v>1439</v>
      </c>
      <c r="B1612" s="38">
        <v>28275.0</v>
      </c>
      <c r="C1612" s="38" t="s">
        <v>3112</v>
      </c>
      <c r="D1612" s="38" t="str">
        <f>IFERROR(__xludf.DUMMYFUNCTION("REGEXREPLACE(C1612,""-\d+(.*)|--\d+(.*)"","""")"),"NERON")</f>
        <v>NERON</v>
      </c>
      <c r="E1612" s="38" t="s">
        <v>300</v>
      </c>
      <c r="F1612" s="38" t="s">
        <v>123</v>
      </c>
      <c r="G1612" s="49" t="str">
        <f t="shared" si="1"/>
        <v>28210</v>
      </c>
      <c r="H1612" s="49">
        <f t="shared" si="2"/>
        <v>28275</v>
      </c>
    </row>
    <row r="1613">
      <c r="A1613" s="48" t="s">
        <v>1370</v>
      </c>
      <c r="B1613" s="38">
        <v>10341.0</v>
      </c>
      <c r="C1613" s="38" t="s">
        <v>3113</v>
      </c>
      <c r="D1613" s="38" t="str">
        <f>IFERROR(__xludf.DUMMYFUNCTION("REGEXREPLACE(C1613,""-\d+(.*)|--\d+(.*)"","""")"),"SAINT-HILAIRE-SOUS-ROMILLY")</f>
        <v>SAINT-HILAIRE-SOUS-ROMILLY</v>
      </c>
      <c r="E1613" s="38" t="s">
        <v>147</v>
      </c>
      <c r="F1613" s="38" t="s">
        <v>130</v>
      </c>
      <c r="G1613" s="49" t="str">
        <f t="shared" si="1"/>
        <v>10100</v>
      </c>
      <c r="H1613" s="49">
        <f t="shared" si="2"/>
        <v>10341</v>
      </c>
    </row>
    <row r="1614">
      <c r="A1614" s="48" t="s">
        <v>3114</v>
      </c>
      <c r="B1614" s="38">
        <v>54084.0</v>
      </c>
      <c r="C1614" s="38" t="s">
        <v>3115</v>
      </c>
      <c r="D1614" s="38" t="str">
        <f>IFERROR(__xludf.DUMMYFUNCTION("REGEXREPLACE(C1614,""-\d+(.*)|--\d+(.*)"","""")"),"MONT-BONVILLERS")</f>
        <v>MONT-BONVILLERS</v>
      </c>
      <c r="E1614" s="38" t="s">
        <v>548</v>
      </c>
      <c r="F1614" s="38" t="s">
        <v>195</v>
      </c>
      <c r="G1614" s="49" t="str">
        <f t="shared" si="1"/>
        <v>54111</v>
      </c>
      <c r="H1614" s="49">
        <f t="shared" si="2"/>
        <v>54084</v>
      </c>
    </row>
    <row r="1615">
      <c r="A1615" s="48" t="s">
        <v>3116</v>
      </c>
      <c r="B1615" s="38">
        <v>91079.0</v>
      </c>
      <c r="C1615" s="38" t="s">
        <v>3117</v>
      </c>
      <c r="D1615" s="38" t="str">
        <f>IFERROR(__xludf.DUMMYFUNCTION("REGEXREPLACE(C1615,""-\d+(.*)|--\d+(.*)"","""")"),"BOISSY-LA-RIVIERE")</f>
        <v>BOISSY-LA-RIVIERE</v>
      </c>
      <c r="E1615" s="38" t="s">
        <v>756</v>
      </c>
      <c r="F1615" s="38" t="s">
        <v>245</v>
      </c>
      <c r="G1615" s="49" t="str">
        <f t="shared" si="1"/>
        <v>91690</v>
      </c>
      <c r="H1615" s="49">
        <f t="shared" si="2"/>
        <v>91079</v>
      </c>
    </row>
    <row r="1616">
      <c r="A1616" s="48" t="s">
        <v>3118</v>
      </c>
      <c r="B1616" s="38">
        <v>46245.0</v>
      </c>
      <c r="C1616" s="38" t="s">
        <v>3119</v>
      </c>
      <c r="D1616" s="38" t="str">
        <f>IFERROR(__xludf.DUMMYFUNCTION("REGEXREPLACE(C1616,""-\d+(.*)|--\d+(.*)"","""")"),"SABADEL-LAUZES")</f>
        <v>SABADEL-LAUZES</v>
      </c>
      <c r="E1616" s="38" t="s">
        <v>185</v>
      </c>
      <c r="F1616" s="38" t="s">
        <v>94</v>
      </c>
      <c r="G1616" s="49" t="str">
        <f t="shared" si="1"/>
        <v>46360</v>
      </c>
      <c r="H1616" s="49">
        <f t="shared" si="2"/>
        <v>46245</v>
      </c>
    </row>
    <row r="1617">
      <c r="A1617" s="48" t="s">
        <v>3120</v>
      </c>
      <c r="B1617" s="38">
        <v>10316.0</v>
      </c>
      <c r="C1617" s="38" t="s">
        <v>3121</v>
      </c>
      <c r="D1617" s="38" t="str">
        <f>IFERROR(__xludf.DUMMYFUNCTION("REGEXREPLACE(C1617,""-\d+(.*)|--\d+(.*)"","""")"),"RHEGES")</f>
        <v>RHEGES</v>
      </c>
      <c r="E1617" s="38" t="s">
        <v>147</v>
      </c>
      <c r="F1617" s="38" t="s">
        <v>130</v>
      </c>
      <c r="G1617" s="49" t="str">
        <f t="shared" si="1"/>
        <v>10170</v>
      </c>
      <c r="H1617" s="49">
        <f t="shared" si="2"/>
        <v>10316</v>
      </c>
    </row>
    <row r="1618">
      <c r="A1618" s="48" t="s">
        <v>3122</v>
      </c>
      <c r="B1618" s="38">
        <v>57636.0</v>
      </c>
      <c r="C1618" s="38" t="s">
        <v>3123</v>
      </c>
      <c r="D1618" s="38" t="str">
        <f>IFERROR(__xludf.DUMMYFUNCTION("REGEXREPLACE(C1618,""-\d+(.*)|--\d+(.*)"","""")"),"SCHMITTVILLER")</f>
        <v>SCHMITTVILLER</v>
      </c>
      <c r="E1618" s="38" t="s">
        <v>303</v>
      </c>
      <c r="F1618" s="38" t="s">
        <v>195</v>
      </c>
      <c r="G1618" s="49" t="str">
        <f t="shared" si="1"/>
        <v>57412</v>
      </c>
      <c r="H1618" s="49">
        <f t="shared" si="2"/>
        <v>57636</v>
      </c>
    </row>
    <row r="1619">
      <c r="A1619" s="48" t="s">
        <v>564</v>
      </c>
      <c r="B1619" s="38">
        <v>73245.0</v>
      </c>
      <c r="C1619" s="38" t="s">
        <v>3124</v>
      </c>
      <c r="D1619" s="38" t="str">
        <f>IFERROR(__xludf.DUMMYFUNCTION("REGEXREPLACE(C1619,""-\d+(.*)|--\d+(.*)"","""")"),"SAINT-JEAN-DE-CHEVELU")</f>
        <v>SAINT-JEAN-DE-CHEVELU</v>
      </c>
      <c r="E1619" s="38" t="s">
        <v>306</v>
      </c>
      <c r="F1619" s="38" t="s">
        <v>102</v>
      </c>
      <c r="G1619" s="49" t="str">
        <f t="shared" si="1"/>
        <v>73170</v>
      </c>
      <c r="H1619" s="49">
        <f t="shared" si="2"/>
        <v>73245</v>
      </c>
    </row>
    <row r="1620">
      <c r="A1620" s="48" t="s">
        <v>3125</v>
      </c>
      <c r="B1620" s="38">
        <v>12287.0</v>
      </c>
      <c r="C1620" s="38" t="s">
        <v>3126</v>
      </c>
      <c r="D1620" s="38" t="str">
        <f>IFERROR(__xludf.DUMMYFUNCTION("REGEXREPLACE(C1620,""-\d+(.*)|--\d+(.*)"","""")"),"VAILHOURLES")</f>
        <v>VAILHOURLES</v>
      </c>
      <c r="E1620" s="38" t="s">
        <v>465</v>
      </c>
      <c r="F1620" s="38" t="s">
        <v>94</v>
      </c>
      <c r="G1620" s="49" t="str">
        <f t="shared" si="1"/>
        <v>12200</v>
      </c>
      <c r="H1620" s="49">
        <f t="shared" si="2"/>
        <v>12287</v>
      </c>
    </row>
    <row r="1621">
      <c r="A1621" s="48" t="s">
        <v>3127</v>
      </c>
      <c r="B1621" s="38">
        <v>70228.0</v>
      </c>
      <c r="C1621" s="38" t="s">
        <v>3128</v>
      </c>
      <c r="D1621" s="38" t="str">
        <f>IFERROR(__xludf.DUMMYFUNCTION("REGEXREPLACE(C1621,""-\d+(.*)|--\d+(.*)"","""")"),"FAVERNEY")</f>
        <v>FAVERNEY</v>
      </c>
      <c r="E1621" s="38" t="s">
        <v>956</v>
      </c>
      <c r="F1621" s="38" t="s">
        <v>214</v>
      </c>
      <c r="G1621" s="49" t="str">
        <f t="shared" si="1"/>
        <v>70160</v>
      </c>
      <c r="H1621" s="49">
        <f t="shared" si="2"/>
        <v>70228</v>
      </c>
    </row>
    <row r="1622">
      <c r="A1622" s="48" t="s">
        <v>3129</v>
      </c>
      <c r="B1622" s="38">
        <v>18076.0</v>
      </c>
      <c r="C1622" s="38" t="s">
        <v>3130</v>
      </c>
      <c r="D1622" s="38" t="str">
        <f>IFERROR(__xludf.DUMMYFUNCTION("REGEXREPLACE(C1622,""-\d+(.*)|--\d+(.*)"","""")"),"COUST")</f>
        <v>COUST</v>
      </c>
      <c r="E1622" s="38" t="s">
        <v>504</v>
      </c>
      <c r="F1622" s="38" t="s">
        <v>123</v>
      </c>
      <c r="G1622" s="49" t="str">
        <f t="shared" si="1"/>
        <v>18210</v>
      </c>
      <c r="H1622" s="49">
        <f t="shared" si="2"/>
        <v>18076</v>
      </c>
    </row>
    <row r="1623">
      <c r="A1623" s="48" t="s">
        <v>3131</v>
      </c>
      <c r="B1623" s="38">
        <v>50231.0</v>
      </c>
      <c r="C1623" s="38" t="s">
        <v>3132</v>
      </c>
      <c r="D1623" s="38" t="str">
        <f>IFERROR(__xludf.DUMMYFUNCTION("REGEXREPLACE(C1623,""-\d+(.*)|--\d+(.*)"","""")"),"HAUTEVILLE-SUR-MER")</f>
        <v>HAUTEVILLE-SUR-MER</v>
      </c>
      <c r="E1623" s="38" t="s">
        <v>157</v>
      </c>
      <c r="F1623" s="38" t="s">
        <v>138</v>
      </c>
      <c r="G1623" s="49" t="str">
        <f t="shared" si="1"/>
        <v>50590</v>
      </c>
      <c r="H1623" s="49">
        <f t="shared" si="2"/>
        <v>50231</v>
      </c>
    </row>
    <row r="1624">
      <c r="A1624" s="48" t="s">
        <v>3133</v>
      </c>
      <c r="B1624" s="38">
        <v>79091.0</v>
      </c>
      <c r="C1624" s="38" t="s">
        <v>3134</v>
      </c>
      <c r="D1624" s="38" t="str">
        <f>IFERROR(__xludf.DUMMYFUNCTION("REGEXREPLACE(C1624,""-\d+(.*)|--\d+(.*)"","""")"),"CIRIERES")</f>
        <v>CIRIERES</v>
      </c>
      <c r="E1624" s="38" t="s">
        <v>337</v>
      </c>
      <c r="F1624" s="38" t="s">
        <v>338</v>
      </c>
      <c r="G1624" s="49" t="str">
        <f t="shared" si="1"/>
        <v>79140</v>
      </c>
      <c r="H1624" s="49">
        <f t="shared" si="2"/>
        <v>79091</v>
      </c>
    </row>
    <row r="1625">
      <c r="A1625" s="48" t="s">
        <v>3135</v>
      </c>
      <c r="B1625" s="38">
        <v>12234.0</v>
      </c>
      <c r="C1625" s="38" t="s">
        <v>3136</v>
      </c>
      <c r="D1625" s="38" t="str">
        <f>IFERROR(__xludf.DUMMYFUNCTION("REGEXREPLACE(C1625,""-\d+(.*)|--\d+(.*)"","""")"),"SAINTE-JULIETTE-SUR-VIAUR")</f>
        <v>SAINTE-JULIETTE-SUR-VIAUR</v>
      </c>
      <c r="E1625" s="38" t="s">
        <v>465</v>
      </c>
      <c r="F1625" s="38" t="s">
        <v>94</v>
      </c>
      <c r="G1625" s="49" t="str">
        <f t="shared" si="1"/>
        <v>12120</v>
      </c>
      <c r="H1625" s="49">
        <f t="shared" si="2"/>
        <v>12234</v>
      </c>
    </row>
    <row r="1626">
      <c r="A1626" s="48" t="s">
        <v>3137</v>
      </c>
      <c r="B1626" s="38">
        <v>67196.0</v>
      </c>
      <c r="C1626" s="38" t="s">
        <v>3138</v>
      </c>
      <c r="D1626" s="38" t="str">
        <f>IFERROR(__xludf.DUMMYFUNCTION("REGEXREPLACE(C1626,""-\d+(.*)|--\d+(.*)"","""")"),"HILSENHEIM")</f>
        <v>HILSENHEIM</v>
      </c>
      <c r="E1626" s="38" t="s">
        <v>210</v>
      </c>
      <c r="F1626" s="38" t="s">
        <v>151</v>
      </c>
      <c r="G1626" s="49" t="str">
        <f t="shared" si="1"/>
        <v>67600</v>
      </c>
      <c r="H1626" s="49">
        <f t="shared" si="2"/>
        <v>67196</v>
      </c>
    </row>
    <row r="1627">
      <c r="A1627" s="48" t="s">
        <v>2326</v>
      </c>
      <c r="B1627" s="38">
        <v>54445.0</v>
      </c>
      <c r="C1627" s="38" t="s">
        <v>3139</v>
      </c>
      <c r="D1627" s="38" t="str">
        <f>IFERROR(__xludf.DUMMYFUNCTION("REGEXREPLACE(C1627,""-\d+(.*)|--\d+(.*)"","""")"),"RAVILLE-SUR-SANON")</f>
        <v>RAVILLE-SUR-SANON</v>
      </c>
      <c r="E1627" s="38" t="s">
        <v>548</v>
      </c>
      <c r="F1627" s="38" t="s">
        <v>195</v>
      </c>
      <c r="G1627" s="49" t="str">
        <f t="shared" si="1"/>
        <v>54370</v>
      </c>
      <c r="H1627" s="49">
        <f t="shared" si="2"/>
        <v>54445</v>
      </c>
    </row>
    <row r="1628">
      <c r="A1628" s="48" t="s">
        <v>591</v>
      </c>
      <c r="B1628" s="38">
        <v>85009.0</v>
      </c>
      <c r="C1628" s="38" t="s">
        <v>3140</v>
      </c>
      <c r="D1628" s="38" t="str">
        <f>IFERROR(__xludf.DUMMYFUNCTION("REGEXREPLACE(C1628,""-\d+(.*)|--\d+(.*)"","""")"),"AUZAY")</f>
        <v>AUZAY</v>
      </c>
      <c r="E1628" s="38" t="s">
        <v>179</v>
      </c>
      <c r="F1628" s="38" t="s">
        <v>180</v>
      </c>
      <c r="G1628" s="49" t="str">
        <f t="shared" si="1"/>
        <v>85200</v>
      </c>
      <c r="H1628" s="49">
        <f t="shared" si="2"/>
        <v>85009</v>
      </c>
    </row>
    <row r="1629">
      <c r="A1629" s="48" t="s">
        <v>266</v>
      </c>
      <c r="B1629" s="38">
        <v>64210.0</v>
      </c>
      <c r="C1629" s="38" t="s">
        <v>3141</v>
      </c>
      <c r="D1629" s="38" t="str">
        <f>IFERROR(__xludf.DUMMYFUNCTION("REGEXREPLACE(C1629,""-\d+(.*)|--\d+(.*)"","""")"),"ESCURES")</f>
        <v>ESCURES</v>
      </c>
      <c r="E1629" s="38" t="s">
        <v>268</v>
      </c>
      <c r="F1629" s="38" t="s">
        <v>252</v>
      </c>
      <c r="G1629" s="49" t="str">
        <f t="shared" si="1"/>
        <v>64350</v>
      </c>
      <c r="H1629" s="49">
        <f t="shared" si="2"/>
        <v>64210</v>
      </c>
    </row>
    <row r="1630">
      <c r="A1630" s="48" t="s">
        <v>2571</v>
      </c>
      <c r="B1630" s="38">
        <v>61271.0</v>
      </c>
      <c r="C1630" s="38" t="s">
        <v>3142</v>
      </c>
      <c r="D1630" s="38" t="str">
        <f>IFERROR(__xludf.DUMMYFUNCTION("REGEXREPLACE(C1630,""-\d+(.*)|--\d+(.*)"","""")"),"LE MENIL-SCELLEUR")</f>
        <v>LE MENIL-SCELLEUR</v>
      </c>
      <c r="E1630" s="38" t="s">
        <v>141</v>
      </c>
      <c r="F1630" s="38" t="s">
        <v>138</v>
      </c>
      <c r="G1630" s="49" t="str">
        <f t="shared" si="1"/>
        <v>61320</v>
      </c>
      <c r="H1630" s="49">
        <f t="shared" si="2"/>
        <v>61271</v>
      </c>
    </row>
    <row r="1631">
      <c r="A1631" s="48" t="s">
        <v>1114</v>
      </c>
      <c r="B1631" s="38">
        <v>2056.0</v>
      </c>
      <c r="C1631" s="38" t="s">
        <v>3143</v>
      </c>
      <c r="D1631" s="38" t="str">
        <f>IFERROR(__xludf.DUMMYFUNCTION("REGEXREPLACE(C1631,""-\d+(.*)|--\d+(.*)"","""")"),"BEAUMONT-EN-BEINE")</f>
        <v>BEAUMONT-EN-BEINE</v>
      </c>
      <c r="E1631" s="38" t="s">
        <v>191</v>
      </c>
      <c r="F1631" s="38" t="s">
        <v>113</v>
      </c>
      <c r="G1631" s="49" t="str">
        <f t="shared" si="1"/>
        <v>02300</v>
      </c>
      <c r="H1631" s="49" t="str">
        <f t="shared" si="2"/>
        <v>02056</v>
      </c>
    </row>
    <row r="1632">
      <c r="A1632" s="48" t="s">
        <v>1295</v>
      </c>
      <c r="B1632" s="38">
        <v>57196.0</v>
      </c>
      <c r="C1632" s="38" t="s">
        <v>3144</v>
      </c>
      <c r="D1632" s="38" t="str">
        <f>IFERROR(__xludf.DUMMYFUNCTION("REGEXREPLACE(C1632,""-\d+(.*)|--\d+(.*)"","""")"),"ERCHING")</f>
        <v>ERCHING</v>
      </c>
      <c r="E1632" s="38" t="s">
        <v>303</v>
      </c>
      <c r="F1632" s="38" t="s">
        <v>195</v>
      </c>
      <c r="G1632" s="49" t="str">
        <f t="shared" si="1"/>
        <v>57720</v>
      </c>
      <c r="H1632" s="49">
        <f t="shared" si="2"/>
        <v>57196</v>
      </c>
    </row>
    <row r="1633">
      <c r="A1633" s="48" t="s">
        <v>3145</v>
      </c>
      <c r="B1633" s="38">
        <v>63121.0</v>
      </c>
      <c r="C1633" s="38" t="s">
        <v>3146</v>
      </c>
      <c r="D1633" s="38" t="str">
        <f>IFERROR(__xludf.DUMMYFUNCTION("REGEXREPLACE(C1633,""-\d+(.*)|--\d+(.*)"","""")"),"COUDES")</f>
        <v>COUDES</v>
      </c>
      <c r="E1633" s="38" t="s">
        <v>353</v>
      </c>
      <c r="F1633" s="38" t="s">
        <v>161</v>
      </c>
      <c r="G1633" s="49" t="str">
        <f t="shared" si="1"/>
        <v>63114</v>
      </c>
      <c r="H1633" s="49">
        <f t="shared" si="2"/>
        <v>63121</v>
      </c>
    </row>
    <row r="1634">
      <c r="A1634" s="48" t="s">
        <v>3147</v>
      </c>
      <c r="B1634" s="38">
        <v>68156.0</v>
      </c>
      <c r="C1634" s="38" t="s">
        <v>3148</v>
      </c>
      <c r="D1634" s="38" t="str">
        <f>IFERROR(__xludf.DUMMYFUNCTION("REGEXREPLACE(C1634,""-\d+(.*)|--\d+(.*)"","""")"),"ISSENHEIM")</f>
        <v>ISSENHEIM</v>
      </c>
      <c r="E1634" s="38" t="s">
        <v>150</v>
      </c>
      <c r="F1634" s="38" t="s">
        <v>151</v>
      </c>
      <c r="G1634" s="49" t="str">
        <f t="shared" si="1"/>
        <v>68500</v>
      </c>
      <c r="H1634" s="49">
        <f t="shared" si="2"/>
        <v>68156</v>
      </c>
    </row>
    <row r="1635">
      <c r="A1635" s="48" t="s">
        <v>3149</v>
      </c>
      <c r="B1635" s="38">
        <v>69244.0</v>
      </c>
      <c r="C1635" s="38" t="s">
        <v>3150</v>
      </c>
      <c r="D1635" s="38" t="str">
        <f>IFERROR(__xludf.DUMMYFUNCTION("REGEXREPLACE(C1635,""-\d+(.*)|--\d+(.*)"","""")"),"TASSIN-LA-DEMI-LUNE")</f>
        <v>TASSIN-LA-DEMI-LUNE</v>
      </c>
      <c r="E1635" s="38" t="s">
        <v>350</v>
      </c>
      <c r="F1635" s="38" t="s">
        <v>102</v>
      </c>
      <c r="G1635" s="49" t="str">
        <f t="shared" si="1"/>
        <v>69160</v>
      </c>
      <c r="H1635" s="49">
        <f t="shared" si="2"/>
        <v>69244</v>
      </c>
    </row>
    <row r="1636">
      <c r="A1636" s="48" t="s">
        <v>962</v>
      </c>
      <c r="B1636" s="38">
        <v>24414.0</v>
      </c>
      <c r="C1636" s="38" t="s">
        <v>3151</v>
      </c>
      <c r="D1636" s="38" t="str">
        <f>IFERROR(__xludf.DUMMYFUNCTION("REGEXREPLACE(C1636,""-\d+(.*)|--\d+(.*)"","""")"),"SAINT-GEORGES-DE-MONTCLARD")</f>
        <v>SAINT-GEORGES-DE-MONTCLARD</v>
      </c>
      <c r="E1636" s="38" t="s">
        <v>261</v>
      </c>
      <c r="F1636" s="38" t="s">
        <v>252</v>
      </c>
      <c r="G1636" s="49" t="str">
        <f t="shared" si="1"/>
        <v>24140</v>
      </c>
      <c r="H1636" s="49">
        <f t="shared" si="2"/>
        <v>24414</v>
      </c>
    </row>
    <row r="1637">
      <c r="A1637" s="48" t="s">
        <v>3152</v>
      </c>
      <c r="B1637" s="38">
        <v>7166.0</v>
      </c>
      <c r="C1637" s="38" t="s">
        <v>3153</v>
      </c>
      <c r="D1637" s="38" t="str">
        <f>IFERROR(__xludf.DUMMYFUNCTION("REGEXREPLACE(C1637,""-\d+(.*)|--\d+(.*)"","""")"),"NOZIERES")</f>
        <v>NOZIERES</v>
      </c>
      <c r="E1637" s="38" t="s">
        <v>144</v>
      </c>
      <c r="F1637" s="38" t="s">
        <v>102</v>
      </c>
      <c r="G1637" s="49" t="str">
        <f t="shared" si="1"/>
        <v>07270</v>
      </c>
      <c r="H1637" s="49" t="str">
        <f t="shared" si="2"/>
        <v>07166</v>
      </c>
    </row>
    <row r="1638">
      <c r="A1638" s="48" t="s">
        <v>3154</v>
      </c>
      <c r="B1638" s="38">
        <v>15228.0</v>
      </c>
      <c r="C1638" s="38" t="s">
        <v>3155</v>
      </c>
      <c r="D1638" s="38" t="str">
        <f>IFERROR(__xludf.DUMMYFUNCTION("REGEXREPLACE(C1638,""-\d+(.*)|--\d+(.*)"","""")"),"SIRAN")</f>
        <v>SIRAN</v>
      </c>
      <c r="E1638" s="38" t="s">
        <v>632</v>
      </c>
      <c r="F1638" s="38" t="s">
        <v>161</v>
      </c>
      <c r="G1638" s="49" t="str">
        <f t="shared" si="1"/>
        <v>15150</v>
      </c>
      <c r="H1638" s="49">
        <f t="shared" si="2"/>
        <v>15228</v>
      </c>
    </row>
    <row r="1639">
      <c r="A1639" s="48" t="s">
        <v>3156</v>
      </c>
      <c r="B1639" s="38">
        <v>77162.0</v>
      </c>
      <c r="C1639" s="38" t="s">
        <v>3157</v>
      </c>
      <c r="D1639" s="38" t="str">
        <f>IFERROR(__xludf.DUMMYFUNCTION("REGEXREPLACE(C1639,""-\d+(.*)|--\d+(.*)"","""")"),"DOUE")</f>
        <v>DOUE</v>
      </c>
      <c r="E1639" s="38" t="s">
        <v>244</v>
      </c>
      <c r="F1639" s="38" t="s">
        <v>245</v>
      </c>
      <c r="G1639" s="49" t="str">
        <f t="shared" si="1"/>
        <v>77510</v>
      </c>
      <c r="H1639" s="49">
        <f t="shared" si="2"/>
        <v>77162</v>
      </c>
    </row>
    <row r="1640">
      <c r="A1640" s="48" t="s">
        <v>3158</v>
      </c>
      <c r="B1640" s="38">
        <v>50375.0</v>
      </c>
      <c r="C1640" s="38" t="s">
        <v>3159</v>
      </c>
      <c r="D1640" s="38" t="str">
        <f>IFERROR(__xludf.DUMMYFUNCTION("REGEXREPLACE(C1640,""-\d+(.*)|--\d+(.*)"","""")"),"NEVILLE-SUR-MER")</f>
        <v>NEVILLE-SUR-MER</v>
      </c>
      <c r="E1640" s="38" t="s">
        <v>157</v>
      </c>
      <c r="F1640" s="38" t="s">
        <v>138</v>
      </c>
      <c r="G1640" s="49" t="str">
        <f t="shared" si="1"/>
        <v>50330</v>
      </c>
      <c r="H1640" s="49">
        <f t="shared" si="2"/>
        <v>50375</v>
      </c>
    </row>
    <row r="1641">
      <c r="A1641" s="48" t="s">
        <v>2993</v>
      </c>
      <c r="B1641" s="38">
        <v>66214.0</v>
      </c>
      <c r="C1641" s="38" t="s">
        <v>3160</v>
      </c>
      <c r="D1641" s="38" t="str">
        <f>IFERROR(__xludf.DUMMYFUNCTION("REGEXREPLACE(C1641,""-\d+(.*)|--\d+(.*)"","""")"),"TRESSERRE")</f>
        <v>TRESSERRE</v>
      </c>
      <c r="E1641" s="38" t="s">
        <v>248</v>
      </c>
      <c r="F1641" s="38" t="s">
        <v>119</v>
      </c>
      <c r="G1641" s="49" t="str">
        <f t="shared" si="1"/>
        <v>66300</v>
      </c>
      <c r="H1641" s="49">
        <f t="shared" si="2"/>
        <v>66214</v>
      </c>
    </row>
    <row r="1642">
      <c r="A1642" s="48" t="s">
        <v>3161</v>
      </c>
      <c r="B1642" s="38">
        <v>70153.0</v>
      </c>
      <c r="C1642" s="38" t="s">
        <v>3162</v>
      </c>
      <c r="D1642" s="38" t="str">
        <f>IFERROR(__xludf.DUMMYFUNCTION("REGEXREPLACE(C1642,""-\d+(.*)|--\d+(.*)"","""")"),"CINTREY")</f>
        <v>CINTREY</v>
      </c>
      <c r="E1642" s="38" t="s">
        <v>956</v>
      </c>
      <c r="F1642" s="38" t="s">
        <v>214</v>
      </c>
      <c r="G1642" s="49" t="str">
        <f t="shared" si="1"/>
        <v>70120</v>
      </c>
      <c r="H1642" s="49">
        <f t="shared" si="2"/>
        <v>70153</v>
      </c>
    </row>
    <row r="1643">
      <c r="A1643" s="48" t="s">
        <v>3163</v>
      </c>
      <c r="B1643" s="38">
        <v>28028.0</v>
      </c>
      <c r="C1643" s="38" t="s">
        <v>3164</v>
      </c>
      <c r="D1643" s="38" t="str">
        <f>IFERROR(__xludf.DUMMYFUNCTION("REGEXREPLACE(C1643,""-\d+(.*)|--\d+(.*)"","""")"),"BAZOCHES-EN-DUNOIS")</f>
        <v>BAZOCHES-EN-DUNOIS</v>
      </c>
      <c r="E1643" s="38" t="s">
        <v>300</v>
      </c>
      <c r="F1643" s="38" t="s">
        <v>123</v>
      </c>
      <c r="G1643" s="49" t="str">
        <f t="shared" si="1"/>
        <v>28140</v>
      </c>
      <c r="H1643" s="49">
        <f t="shared" si="2"/>
        <v>28028</v>
      </c>
    </row>
    <row r="1644">
      <c r="A1644" s="48" t="s">
        <v>3165</v>
      </c>
      <c r="B1644" s="38">
        <v>11396.0</v>
      </c>
      <c r="C1644" s="38" t="s">
        <v>3166</v>
      </c>
      <c r="D1644" s="38" t="str">
        <f>IFERROR(__xludf.DUMMYFUNCTION("REGEXREPLACE(C1644,""-\d+(.*)|--\d+(.*)"","""")"),"TRAUSSE")</f>
        <v>TRAUSSE</v>
      </c>
      <c r="E1644" s="38" t="s">
        <v>278</v>
      </c>
      <c r="F1644" s="38" t="s">
        <v>119</v>
      </c>
      <c r="G1644" s="49" t="str">
        <f t="shared" si="1"/>
        <v>11160</v>
      </c>
      <c r="H1644" s="49">
        <f t="shared" si="2"/>
        <v>11396</v>
      </c>
    </row>
    <row r="1645">
      <c r="A1645" s="48" t="s">
        <v>3167</v>
      </c>
      <c r="B1645" s="38">
        <v>33243.0</v>
      </c>
      <c r="C1645" s="38" t="s">
        <v>3168</v>
      </c>
      <c r="D1645" s="38" t="str">
        <f>IFERROR(__xludf.DUMMYFUNCTION("REGEXREPLACE(C1645,""-\d+(.*)|--\d+(.*)"","""")"),"LIBOURNE")</f>
        <v>LIBOURNE</v>
      </c>
      <c r="E1645" s="38" t="s">
        <v>462</v>
      </c>
      <c r="F1645" s="38" t="s">
        <v>252</v>
      </c>
      <c r="G1645" s="49" t="str">
        <f t="shared" si="1"/>
        <v>33500</v>
      </c>
      <c r="H1645" s="49">
        <f t="shared" si="2"/>
        <v>33243</v>
      </c>
    </row>
    <row r="1646">
      <c r="A1646" s="48" t="s">
        <v>1825</v>
      </c>
      <c r="B1646" s="38">
        <v>64516.0</v>
      </c>
      <c r="C1646" s="38" t="s">
        <v>3169</v>
      </c>
      <c r="D1646" s="38" t="str">
        <f>IFERROR(__xludf.DUMMYFUNCTION("REGEXREPLACE(C1646,""-\d+(.*)|--\d+(.*)"","""")"),"SEDZERE")</f>
        <v>SEDZERE</v>
      </c>
      <c r="E1646" s="38" t="s">
        <v>268</v>
      </c>
      <c r="F1646" s="38" t="s">
        <v>252</v>
      </c>
      <c r="G1646" s="49" t="str">
        <f t="shared" si="1"/>
        <v>64160</v>
      </c>
      <c r="H1646" s="49">
        <f t="shared" si="2"/>
        <v>64516</v>
      </c>
    </row>
    <row r="1647">
      <c r="A1647" s="48" t="s">
        <v>2940</v>
      </c>
      <c r="B1647" s="38">
        <v>53148.0</v>
      </c>
      <c r="C1647" s="38" t="s">
        <v>3170</v>
      </c>
      <c r="D1647" s="38" t="str">
        <f>IFERROR(__xludf.DUMMYFUNCTION("REGEXREPLACE(C1647,""-\d+(.*)|--\d+(.*)"","""")"),"MEE")</f>
        <v>MEE</v>
      </c>
      <c r="E1647" s="38" t="s">
        <v>518</v>
      </c>
      <c r="F1647" s="38" t="s">
        <v>180</v>
      </c>
      <c r="G1647" s="49" t="str">
        <f t="shared" si="1"/>
        <v>53400</v>
      </c>
      <c r="H1647" s="49">
        <f t="shared" si="2"/>
        <v>53148</v>
      </c>
    </row>
    <row r="1648">
      <c r="A1648" s="48" t="s">
        <v>1656</v>
      </c>
      <c r="B1648" s="38">
        <v>80618.0</v>
      </c>
      <c r="C1648" s="38" t="s">
        <v>3171</v>
      </c>
      <c r="D1648" s="38" t="str">
        <f>IFERROR(__xludf.DUMMYFUNCTION("REGEXREPLACE(C1648,""-\d+(.*)|--\d+(.*)"","""")"),"PENDE")</f>
        <v>PENDE</v>
      </c>
      <c r="E1648" s="38" t="s">
        <v>224</v>
      </c>
      <c r="F1648" s="38" t="s">
        <v>113</v>
      </c>
      <c r="G1648" s="49" t="str">
        <f t="shared" si="1"/>
        <v>80230</v>
      </c>
      <c r="H1648" s="49">
        <f t="shared" si="2"/>
        <v>80618</v>
      </c>
    </row>
    <row r="1649">
      <c r="A1649" s="48" t="s">
        <v>3172</v>
      </c>
      <c r="B1649" s="38">
        <v>28051.0</v>
      </c>
      <c r="C1649" s="38" t="s">
        <v>3173</v>
      </c>
      <c r="D1649" s="38" t="str">
        <f>IFERROR(__xludf.DUMMYFUNCTION("REGEXREPLACE(C1649,""-\d+(.*)|--\d+(.*)"","""")"),"BONNEVAL")</f>
        <v>BONNEVAL</v>
      </c>
      <c r="E1649" s="38" t="s">
        <v>300</v>
      </c>
      <c r="F1649" s="38" t="s">
        <v>123</v>
      </c>
      <c r="G1649" s="49" t="str">
        <f t="shared" si="1"/>
        <v>28800</v>
      </c>
      <c r="H1649" s="49">
        <f t="shared" si="2"/>
        <v>28051</v>
      </c>
    </row>
    <row r="1650">
      <c r="A1650" s="48" t="s">
        <v>796</v>
      </c>
      <c r="B1650" s="38">
        <v>89417.0</v>
      </c>
      <c r="C1650" s="38" t="s">
        <v>3174</v>
      </c>
      <c r="D1650" s="38" t="str">
        <f>IFERROR(__xludf.DUMMYFUNCTION("REGEXREPLACE(C1650,""-\d+(.*)|--\d+(.*)"","""")"),"TISSEY")</f>
        <v>TISSEY</v>
      </c>
      <c r="E1650" s="38" t="s">
        <v>275</v>
      </c>
      <c r="F1650" s="38" t="s">
        <v>106</v>
      </c>
      <c r="G1650" s="49" t="str">
        <f t="shared" si="1"/>
        <v>89700</v>
      </c>
      <c r="H1650" s="49">
        <f t="shared" si="2"/>
        <v>89417</v>
      </c>
    </row>
    <row r="1651">
      <c r="A1651" s="48" t="s">
        <v>3175</v>
      </c>
      <c r="B1651" s="38">
        <v>65048.0</v>
      </c>
      <c r="C1651" s="38" t="s">
        <v>3176</v>
      </c>
      <c r="D1651" s="38" t="str">
        <f>IFERROR(__xludf.DUMMYFUNCTION("REGEXREPLACE(C1651,""-\d+(.*)|--\d+(.*)"","""")"),"AURENSAN")</f>
        <v>AURENSAN</v>
      </c>
      <c r="E1651" s="38" t="s">
        <v>200</v>
      </c>
      <c r="F1651" s="38" t="s">
        <v>94</v>
      </c>
      <c r="G1651" s="49" t="str">
        <f t="shared" si="1"/>
        <v>65390</v>
      </c>
      <c r="H1651" s="49">
        <f t="shared" si="2"/>
        <v>65048</v>
      </c>
    </row>
    <row r="1652">
      <c r="A1652" s="48" t="s">
        <v>2794</v>
      </c>
      <c r="B1652" s="38">
        <v>39049.0</v>
      </c>
      <c r="C1652" s="38" t="s">
        <v>3177</v>
      </c>
      <c r="D1652" s="38" t="str">
        <f>IFERROR(__xludf.DUMMYFUNCTION("REGEXREPLACE(C1652,""-\d+(.*)|--\d+(.*)"","""")"),"BERSAILLIN")</f>
        <v>BERSAILLIN</v>
      </c>
      <c r="E1652" s="38" t="s">
        <v>400</v>
      </c>
      <c r="F1652" s="38" t="s">
        <v>214</v>
      </c>
      <c r="G1652" s="49" t="str">
        <f t="shared" si="1"/>
        <v>39800</v>
      </c>
      <c r="H1652" s="49">
        <f t="shared" si="2"/>
        <v>39049</v>
      </c>
    </row>
    <row r="1653">
      <c r="A1653" s="48" t="s">
        <v>719</v>
      </c>
      <c r="B1653" s="38">
        <v>8095.0</v>
      </c>
      <c r="C1653" s="38" t="s">
        <v>3178</v>
      </c>
      <c r="D1653" s="38" t="str">
        <f>IFERROR(__xludf.DUMMYFUNCTION("REGEXREPLACE(C1653,""-\d+(.*)|--\d+(.*)"","""")"),"CHAGNY")</f>
        <v>CHAGNY</v>
      </c>
      <c r="E1653" s="38" t="s">
        <v>327</v>
      </c>
      <c r="F1653" s="38" t="s">
        <v>130</v>
      </c>
      <c r="G1653" s="49" t="str">
        <f t="shared" si="1"/>
        <v>08430</v>
      </c>
      <c r="H1653" s="49" t="str">
        <f t="shared" si="2"/>
        <v>08095</v>
      </c>
    </row>
    <row r="1654">
      <c r="A1654" s="48" t="s">
        <v>1940</v>
      </c>
      <c r="B1654" s="38">
        <v>51324.0</v>
      </c>
      <c r="C1654" s="38" t="s">
        <v>3179</v>
      </c>
      <c r="D1654" s="38" t="str">
        <f>IFERROR(__xludf.DUMMYFUNCTION("REGEXREPLACE(C1654,""-\d+(.*)|--\d+(.*)"","""")"),"LINTHES")</f>
        <v>LINTHES</v>
      </c>
      <c r="E1654" s="38" t="s">
        <v>129</v>
      </c>
      <c r="F1654" s="38" t="s">
        <v>130</v>
      </c>
      <c r="G1654" s="49" t="str">
        <f t="shared" si="1"/>
        <v>51230</v>
      </c>
      <c r="H1654" s="49">
        <f t="shared" si="2"/>
        <v>51324</v>
      </c>
    </row>
    <row r="1655">
      <c r="A1655" s="48" t="s">
        <v>3180</v>
      </c>
      <c r="B1655" s="38">
        <v>60637.0</v>
      </c>
      <c r="C1655" s="38" t="s">
        <v>3181</v>
      </c>
      <c r="D1655" s="38" t="str">
        <f>IFERROR(__xludf.DUMMYFUNCTION("REGEXREPLACE(C1655,""-\d+(.*)|--\d+(.*)"","""")"),"THURY-EN-VALOIS")</f>
        <v>THURY-EN-VALOIS</v>
      </c>
      <c r="E1655" s="38" t="s">
        <v>112</v>
      </c>
      <c r="F1655" s="38" t="s">
        <v>113</v>
      </c>
      <c r="G1655" s="49" t="str">
        <f t="shared" si="1"/>
        <v>60890</v>
      </c>
      <c r="H1655" s="49">
        <f t="shared" si="2"/>
        <v>60637</v>
      </c>
    </row>
    <row r="1656">
      <c r="A1656" s="48" t="s">
        <v>3182</v>
      </c>
      <c r="B1656" s="38">
        <v>80487.0</v>
      </c>
      <c r="C1656" s="38" t="s">
        <v>3183</v>
      </c>
      <c r="D1656" s="38" t="str">
        <f>IFERROR(__xludf.DUMMYFUNCTION("REGEXREPLACE(C1656,""-\d+(.*)|--\d+(.*)"","""")"),"LONGAVESNES")</f>
        <v>LONGAVESNES</v>
      </c>
      <c r="E1656" s="38" t="s">
        <v>224</v>
      </c>
      <c r="F1656" s="38" t="s">
        <v>113</v>
      </c>
      <c r="G1656" s="49" t="str">
        <f t="shared" si="1"/>
        <v>80240</v>
      </c>
      <c r="H1656" s="49">
        <f t="shared" si="2"/>
        <v>80487</v>
      </c>
    </row>
    <row r="1657">
      <c r="A1657" s="48" t="s">
        <v>3184</v>
      </c>
      <c r="B1657" s="38">
        <v>36084.0</v>
      </c>
      <c r="C1657" s="38" t="s">
        <v>3185</v>
      </c>
      <c r="D1657" s="38" t="str">
        <f>IFERROR(__xludf.DUMMYFUNCTION("REGEXREPLACE(C1657,""-\d+(.*)|--\d+(.*)"","""")"),"GOURNAY")</f>
        <v>GOURNAY</v>
      </c>
      <c r="E1657" s="38" t="s">
        <v>258</v>
      </c>
      <c r="F1657" s="38" t="s">
        <v>123</v>
      </c>
      <c r="G1657" s="49" t="str">
        <f t="shared" si="1"/>
        <v>36230</v>
      </c>
      <c r="H1657" s="49">
        <f t="shared" si="2"/>
        <v>36084</v>
      </c>
    </row>
    <row r="1658">
      <c r="A1658" s="48" t="s">
        <v>3186</v>
      </c>
      <c r="B1658" s="38">
        <v>59489.0</v>
      </c>
      <c r="C1658" s="38" t="s">
        <v>3187</v>
      </c>
      <c r="D1658" s="38" t="str">
        <f>IFERROR(__xludf.DUMMYFUNCTION("REGEXREPLACE(C1658,""-\d+(.*)|--\d+(.*)"","""")"),"RAIMBEAUCOURT")</f>
        <v>RAIMBEAUCOURT</v>
      </c>
      <c r="E1658" s="38" t="s">
        <v>85</v>
      </c>
      <c r="F1658" s="38" t="s">
        <v>86</v>
      </c>
      <c r="G1658" s="49" t="str">
        <f t="shared" si="1"/>
        <v>59283</v>
      </c>
      <c r="H1658" s="49">
        <f t="shared" si="2"/>
        <v>59489</v>
      </c>
    </row>
    <row r="1659">
      <c r="A1659" s="48" t="s">
        <v>698</v>
      </c>
      <c r="B1659" s="38">
        <v>11314.0</v>
      </c>
      <c r="C1659" s="38" t="s">
        <v>3188</v>
      </c>
      <c r="D1659" s="38" t="str">
        <f>IFERROR(__xludf.DUMMYFUNCTION("REGEXREPLACE(C1659,""-\d+(.*)|--\d+(.*)"","""")"),"RIEUX-EN-VAL")</f>
        <v>RIEUX-EN-VAL</v>
      </c>
      <c r="E1659" s="38" t="s">
        <v>278</v>
      </c>
      <c r="F1659" s="38" t="s">
        <v>119</v>
      </c>
      <c r="G1659" s="49" t="str">
        <f t="shared" si="1"/>
        <v>11220</v>
      </c>
      <c r="H1659" s="49">
        <f t="shared" si="2"/>
        <v>11314</v>
      </c>
    </row>
    <row r="1660">
      <c r="A1660" s="48" t="s">
        <v>208</v>
      </c>
      <c r="B1660" s="38">
        <v>67426.0</v>
      </c>
      <c r="C1660" s="38" t="s">
        <v>3189</v>
      </c>
      <c r="D1660" s="38" t="str">
        <f>IFERROR(__xludf.DUMMYFUNCTION("REGEXREPLACE(C1660,""-\d+(.*)|--\d+(.*)"","""")"),"SAINT-MARTIN")</f>
        <v>SAINT-MARTIN</v>
      </c>
      <c r="E1660" s="38" t="s">
        <v>210</v>
      </c>
      <c r="F1660" s="38" t="s">
        <v>151</v>
      </c>
      <c r="G1660" s="49" t="str">
        <f t="shared" si="1"/>
        <v>67220</v>
      </c>
      <c r="H1660" s="49">
        <f t="shared" si="2"/>
        <v>67426</v>
      </c>
    </row>
    <row r="1661">
      <c r="A1661" s="48" t="s">
        <v>3190</v>
      </c>
      <c r="B1661" s="38">
        <v>70580.0</v>
      </c>
      <c r="C1661" s="38" t="s">
        <v>3191</v>
      </c>
      <c r="D1661" s="38" t="str">
        <f>IFERROR(__xludf.DUMMYFUNCTION("REGEXREPLACE(C1661,""-\d+(.*)|--\d+(.*)"","""")"),"VY-LE-FERROUX")</f>
        <v>VY-LE-FERROUX</v>
      </c>
      <c r="E1661" s="38" t="s">
        <v>956</v>
      </c>
      <c r="F1661" s="38" t="s">
        <v>214</v>
      </c>
      <c r="G1661" s="49" t="str">
        <f t="shared" si="1"/>
        <v>70130</v>
      </c>
      <c r="H1661" s="49">
        <f t="shared" si="2"/>
        <v>70580</v>
      </c>
    </row>
    <row r="1662">
      <c r="A1662" s="48" t="s">
        <v>1889</v>
      </c>
      <c r="B1662" s="38">
        <v>25200.0</v>
      </c>
      <c r="C1662" s="38" t="s">
        <v>3192</v>
      </c>
      <c r="D1662" s="38" t="str">
        <f>IFERROR(__xludf.DUMMYFUNCTION("REGEXREPLACE(C1662,""-\d+(.*)|--\d+(.*)"","""")"),"DEVECEY")</f>
        <v>DEVECEY</v>
      </c>
      <c r="E1662" s="38" t="s">
        <v>213</v>
      </c>
      <c r="F1662" s="38" t="s">
        <v>214</v>
      </c>
      <c r="G1662" s="49" t="str">
        <f t="shared" si="1"/>
        <v>25870</v>
      </c>
      <c r="H1662" s="49">
        <f t="shared" si="2"/>
        <v>25200</v>
      </c>
    </row>
    <row r="1663">
      <c r="A1663" s="48" t="s">
        <v>1850</v>
      </c>
      <c r="B1663" s="38">
        <v>48103.0</v>
      </c>
      <c r="C1663" s="38" t="s">
        <v>3193</v>
      </c>
      <c r="D1663" s="38" t="str">
        <f>IFERROR(__xludf.DUMMYFUNCTION("REGEXREPLACE(C1663,""-\d+(.*)|--\d+(.*)"","""")"),"MONTRODAT")</f>
        <v>MONTRODAT</v>
      </c>
      <c r="E1663" s="38" t="s">
        <v>154</v>
      </c>
      <c r="F1663" s="38" t="s">
        <v>119</v>
      </c>
      <c r="G1663" s="49" t="str">
        <f t="shared" si="1"/>
        <v>48100</v>
      </c>
      <c r="H1663" s="49">
        <f t="shared" si="2"/>
        <v>48103</v>
      </c>
    </row>
    <row r="1664">
      <c r="A1664" s="48" t="s">
        <v>3194</v>
      </c>
      <c r="B1664" s="38">
        <v>89096.0</v>
      </c>
      <c r="C1664" s="38" t="s">
        <v>3195</v>
      </c>
      <c r="D1664" s="38" t="str">
        <f>IFERROR(__xludf.DUMMYFUNCTION("REGEXREPLACE(C1664,""-\d+(.*)|--\d+(.*)"","""")"),"CHEMILLY-SUR-YONNE")</f>
        <v>CHEMILLY-SUR-YONNE</v>
      </c>
      <c r="E1664" s="38" t="s">
        <v>275</v>
      </c>
      <c r="F1664" s="38" t="s">
        <v>106</v>
      </c>
      <c r="G1664" s="49" t="str">
        <f t="shared" si="1"/>
        <v>89250</v>
      </c>
      <c r="H1664" s="49">
        <f t="shared" si="2"/>
        <v>89096</v>
      </c>
    </row>
    <row r="1665">
      <c r="A1665" s="48" t="s">
        <v>3196</v>
      </c>
      <c r="B1665" s="38">
        <v>1254.0</v>
      </c>
      <c r="C1665" s="38" t="s">
        <v>3197</v>
      </c>
      <c r="D1665" s="38" t="str">
        <f>IFERROR(__xludf.DUMMYFUNCTION("REGEXREPLACE(C1665,""-\d+(.*)|--\d+(.*)"","""")"),"MONTAGNAT")</f>
        <v>MONTAGNAT</v>
      </c>
      <c r="E1665" s="38" t="s">
        <v>255</v>
      </c>
      <c r="F1665" s="38" t="s">
        <v>102</v>
      </c>
      <c r="G1665" s="49" t="str">
        <f t="shared" si="1"/>
        <v>01250</v>
      </c>
      <c r="H1665" s="49" t="str">
        <f t="shared" si="2"/>
        <v>01254</v>
      </c>
    </row>
    <row r="1666">
      <c r="A1666" s="48" t="s">
        <v>3198</v>
      </c>
      <c r="B1666" s="38">
        <v>32402.0</v>
      </c>
      <c r="C1666" s="38" t="s">
        <v>3199</v>
      </c>
      <c r="D1666" s="38" t="str">
        <f>IFERROR(__xludf.DUMMYFUNCTION("REGEXREPLACE(C1666,""-\d+(.*)|--\d+(.*)"","""")"),"SAINT-PAUL-DE-BAISE")</f>
        <v>SAINT-PAUL-DE-BAISE</v>
      </c>
      <c r="E1666" s="38" t="s">
        <v>440</v>
      </c>
      <c r="F1666" s="38" t="s">
        <v>94</v>
      </c>
      <c r="G1666" s="49" t="str">
        <f t="shared" si="1"/>
        <v>32190</v>
      </c>
      <c r="H1666" s="49">
        <f t="shared" si="2"/>
        <v>32402</v>
      </c>
    </row>
    <row r="1667">
      <c r="A1667" s="48" t="s">
        <v>430</v>
      </c>
      <c r="B1667" s="38">
        <v>2512.0</v>
      </c>
      <c r="C1667" s="38" t="s">
        <v>3200</v>
      </c>
      <c r="D1667" s="38" t="str">
        <f>IFERROR(__xludf.DUMMYFUNCTION("REGEXREPLACE(C1667,""-\d+(.*)|--\d+(.*)"","""")"),"MONTIGNY-L'ALLIER")</f>
        <v>MONTIGNY-L'ALLIER</v>
      </c>
      <c r="E1667" s="38" t="s">
        <v>191</v>
      </c>
      <c r="F1667" s="38" t="s">
        <v>113</v>
      </c>
      <c r="G1667" s="49" t="str">
        <f t="shared" si="1"/>
        <v>02810</v>
      </c>
      <c r="H1667" s="49" t="str">
        <f t="shared" si="2"/>
        <v>02512</v>
      </c>
    </row>
    <row r="1668">
      <c r="A1668" s="48" t="s">
        <v>3201</v>
      </c>
      <c r="B1668" s="38">
        <v>79118.0</v>
      </c>
      <c r="C1668" s="38" t="s">
        <v>3202</v>
      </c>
      <c r="D1668" s="38" t="str">
        <f>IFERROR(__xludf.DUMMYFUNCTION("REGEXREPLACE(C1668,""-\d+(.*)|--\d+(.*)"","""")"),"FENERY")</f>
        <v>FENERY</v>
      </c>
      <c r="E1668" s="38" t="s">
        <v>337</v>
      </c>
      <c r="F1668" s="38" t="s">
        <v>338</v>
      </c>
      <c r="G1668" s="49" t="str">
        <f t="shared" si="1"/>
        <v>79450</v>
      </c>
      <c r="H1668" s="49">
        <f t="shared" si="2"/>
        <v>79118</v>
      </c>
    </row>
    <row r="1669">
      <c r="A1669" s="48" t="s">
        <v>3203</v>
      </c>
      <c r="B1669" s="38">
        <v>35326.0</v>
      </c>
      <c r="C1669" s="38" t="s">
        <v>3204</v>
      </c>
      <c r="D1669" s="38" t="str">
        <f>IFERROR(__xludf.DUMMYFUNCTION("REGEXREPLACE(C1669,""-\d+(.*)|--\d+(.*)"","""")"),"SENS-DE-BRETAGNE")</f>
        <v>SENS-DE-BRETAGNE</v>
      </c>
      <c r="E1669" s="38" t="s">
        <v>347</v>
      </c>
      <c r="F1669" s="38" t="s">
        <v>90</v>
      </c>
      <c r="G1669" s="49" t="str">
        <f t="shared" si="1"/>
        <v>35490</v>
      </c>
      <c r="H1669" s="49">
        <f t="shared" si="2"/>
        <v>35326</v>
      </c>
    </row>
    <row r="1670">
      <c r="A1670" s="48" t="s">
        <v>407</v>
      </c>
      <c r="B1670" s="38">
        <v>71427.0</v>
      </c>
      <c r="C1670" s="38" t="s">
        <v>3205</v>
      </c>
      <c r="D1670" s="38" t="str">
        <f>IFERROR(__xludf.DUMMYFUNCTION("REGEXREPLACE(C1670,""-\d+(.*)|--\d+(.*)"","""")"),"SAINT-HURUGE")</f>
        <v>SAINT-HURUGE</v>
      </c>
      <c r="E1670" s="38" t="s">
        <v>344</v>
      </c>
      <c r="F1670" s="38" t="s">
        <v>106</v>
      </c>
      <c r="G1670" s="49" t="str">
        <f t="shared" si="1"/>
        <v>71460</v>
      </c>
      <c r="H1670" s="49">
        <f t="shared" si="2"/>
        <v>71427</v>
      </c>
    </row>
    <row r="1671">
      <c r="A1671" s="48" t="s">
        <v>3206</v>
      </c>
      <c r="B1671" s="38">
        <v>40140.0</v>
      </c>
      <c r="C1671" s="38" t="s">
        <v>3207</v>
      </c>
      <c r="D1671" s="38" t="str">
        <f>IFERROR(__xludf.DUMMYFUNCTION("REGEXREPLACE(C1671,""-\d+(.*)|--\d+(.*)"","""")"),"LAGRANGE")</f>
        <v>LAGRANGE</v>
      </c>
      <c r="E1671" s="38" t="s">
        <v>281</v>
      </c>
      <c r="F1671" s="38" t="s">
        <v>252</v>
      </c>
      <c r="G1671" s="49" t="str">
        <f t="shared" si="1"/>
        <v>40240</v>
      </c>
      <c r="H1671" s="49">
        <f t="shared" si="2"/>
        <v>40140</v>
      </c>
    </row>
    <row r="1672">
      <c r="A1672" s="48" t="s">
        <v>3208</v>
      </c>
      <c r="B1672" s="38">
        <v>80410.0</v>
      </c>
      <c r="C1672" s="38" t="s">
        <v>3209</v>
      </c>
      <c r="D1672" s="38" t="str">
        <f>IFERROR(__xludf.DUMMYFUNCTION("REGEXREPLACE(C1672,""-\d+(.*)|--\d+(.*)"","""")"),"HAM")</f>
        <v>HAM</v>
      </c>
      <c r="E1672" s="38" t="s">
        <v>224</v>
      </c>
      <c r="F1672" s="38" t="s">
        <v>113</v>
      </c>
      <c r="G1672" s="49" t="str">
        <f t="shared" si="1"/>
        <v>80400</v>
      </c>
      <c r="H1672" s="49">
        <f t="shared" si="2"/>
        <v>80410</v>
      </c>
    </row>
    <row r="1673">
      <c r="A1673" s="48" t="s">
        <v>3210</v>
      </c>
      <c r="B1673" s="38">
        <v>74137.0</v>
      </c>
      <c r="C1673" s="38" t="s">
        <v>3211</v>
      </c>
      <c r="D1673" s="38" t="str">
        <f>IFERROR(__xludf.DUMMYFUNCTION("REGEXREPLACE(C1673,""-\d+(.*)|--\d+(.*)"","""")"),"GROISY")</f>
        <v>GROISY</v>
      </c>
      <c r="E1673" s="38" t="s">
        <v>319</v>
      </c>
      <c r="F1673" s="38" t="s">
        <v>102</v>
      </c>
      <c r="G1673" s="49" t="str">
        <f t="shared" si="1"/>
        <v>74570</v>
      </c>
      <c r="H1673" s="49">
        <f t="shared" si="2"/>
        <v>74137</v>
      </c>
    </row>
    <row r="1674">
      <c r="A1674" s="48" t="s">
        <v>3212</v>
      </c>
      <c r="B1674" s="38">
        <v>64007.0</v>
      </c>
      <c r="C1674" s="38" t="s">
        <v>3213</v>
      </c>
      <c r="D1674" s="38" t="str">
        <f>IFERROR(__xludf.DUMMYFUNCTION("REGEXREPLACE(C1674,""-\d+(.*)|--\d+(.*)"","""")"),"AGNOS")</f>
        <v>AGNOS</v>
      </c>
      <c r="E1674" s="38" t="s">
        <v>268</v>
      </c>
      <c r="F1674" s="38" t="s">
        <v>252</v>
      </c>
      <c r="G1674" s="49" t="str">
        <f t="shared" si="1"/>
        <v>64400</v>
      </c>
      <c r="H1674" s="49">
        <f t="shared" si="2"/>
        <v>64007</v>
      </c>
    </row>
    <row r="1675">
      <c r="A1675" s="48" t="s">
        <v>3214</v>
      </c>
      <c r="B1675" s="38">
        <v>36205.0</v>
      </c>
      <c r="C1675" s="38" t="s">
        <v>3215</v>
      </c>
      <c r="D1675" s="38" t="str">
        <f>IFERROR(__xludf.DUMMYFUNCTION("REGEXREPLACE(C1675,""-\d+(.*)|--\d+(.*)"","""")"),"SAINT-PIERRE-DE-JARDS")</f>
        <v>SAINT-PIERRE-DE-JARDS</v>
      </c>
      <c r="E1675" s="38" t="s">
        <v>258</v>
      </c>
      <c r="F1675" s="38" t="s">
        <v>123</v>
      </c>
      <c r="G1675" s="49" t="str">
        <f t="shared" si="1"/>
        <v>36260</v>
      </c>
      <c r="H1675" s="49">
        <f t="shared" si="2"/>
        <v>36205</v>
      </c>
    </row>
    <row r="1676">
      <c r="A1676" s="48" t="s">
        <v>2619</v>
      </c>
      <c r="B1676" s="38">
        <v>71365.0</v>
      </c>
      <c r="C1676" s="38" t="s">
        <v>3216</v>
      </c>
      <c r="D1676" s="38" t="str">
        <f>IFERROR(__xludf.DUMMYFUNCTION("REGEXREPLACE(C1676,""-\d+(.*)|--\d+(.*)"","""")"),"RANCY")</f>
        <v>RANCY</v>
      </c>
      <c r="E1676" s="38" t="s">
        <v>344</v>
      </c>
      <c r="F1676" s="38" t="s">
        <v>106</v>
      </c>
      <c r="G1676" s="49" t="str">
        <f t="shared" si="1"/>
        <v>71290</v>
      </c>
      <c r="H1676" s="49">
        <f t="shared" si="2"/>
        <v>71365</v>
      </c>
    </row>
    <row r="1677">
      <c r="A1677" s="48" t="s">
        <v>3217</v>
      </c>
      <c r="B1677" s="38">
        <v>22040.0</v>
      </c>
      <c r="C1677" s="38" t="s">
        <v>3218</v>
      </c>
      <c r="D1677" s="38" t="str">
        <f>IFERROR(__xludf.DUMMYFUNCTION("REGEXREPLACE(C1677,""-\d+(.*)|--\d+(.*)"","""")"),"COADOUT")</f>
        <v>COADOUT</v>
      </c>
      <c r="E1677" s="38" t="s">
        <v>89</v>
      </c>
      <c r="F1677" s="38" t="s">
        <v>90</v>
      </c>
      <c r="G1677" s="49" t="str">
        <f t="shared" si="1"/>
        <v>22970</v>
      </c>
      <c r="H1677" s="49">
        <f t="shared" si="2"/>
        <v>22040</v>
      </c>
    </row>
    <row r="1678">
      <c r="A1678" s="48" t="s">
        <v>3219</v>
      </c>
      <c r="B1678" s="38">
        <v>22020.0</v>
      </c>
      <c r="C1678" s="38" t="s">
        <v>3220</v>
      </c>
      <c r="D1678" s="38" t="str">
        <f>IFERROR(__xludf.DUMMYFUNCTION("REGEXREPLACE(C1678,""-\d+(.*)|--\d+(.*)"","""")"),"BROONS")</f>
        <v>BROONS</v>
      </c>
      <c r="E1678" s="38" t="s">
        <v>89</v>
      </c>
      <c r="F1678" s="38" t="s">
        <v>90</v>
      </c>
      <c r="G1678" s="49" t="str">
        <f t="shared" si="1"/>
        <v>22250</v>
      </c>
      <c r="H1678" s="49">
        <f t="shared" si="2"/>
        <v>22020</v>
      </c>
    </row>
    <row r="1679">
      <c r="A1679" s="48" t="s">
        <v>622</v>
      </c>
      <c r="B1679" s="38">
        <v>14467.0</v>
      </c>
      <c r="C1679" s="38" t="s">
        <v>3221</v>
      </c>
      <c r="D1679" s="38" t="str">
        <f>IFERROR(__xludf.DUMMYFUNCTION("REGEXREPLACE(C1679,""-\d+(.*)|--\d+(.*)"","""")"),"NORON-L'ABBAYE")</f>
        <v>NORON-L'ABBAYE</v>
      </c>
      <c r="E1679" s="38" t="s">
        <v>137</v>
      </c>
      <c r="F1679" s="38" t="s">
        <v>138</v>
      </c>
      <c r="G1679" s="49" t="str">
        <f t="shared" si="1"/>
        <v>14700</v>
      </c>
      <c r="H1679" s="49">
        <f t="shared" si="2"/>
        <v>14467</v>
      </c>
    </row>
    <row r="1680">
      <c r="A1680" s="48" t="s">
        <v>2219</v>
      </c>
      <c r="B1680" s="38">
        <v>2529.0</v>
      </c>
      <c r="C1680" s="38" t="s">
        <v>3222</v>
      </c>
      <c r="D1680" s="38" t="str">
        <f>IFERROR(__xludf.DUMMYFUNCTION("REGEXREPLACE(C1680,""-\d+(.*)|--\d+(.*)"","""")"),"MORTIERS")</f>
        <v>MORTIERS</v>
      </c>
      <c r="E1680" s="38" t="s">
        <v>191</v>
      </c>
      <c r="F1680" s="38" t="s">
        <v>113</v>
      </c>
      <c r="G1680" s="49" t="str">
        <f t="shared" si="1"/>
        <v>02270</v>
      </c>
      <c r="H1680" s="49" t="str">
        <f t="shared" si="2"/>
        <v>02529</v>
      </c>
    </row>
    <row r="1681">
      <c r="A1681" s="48" t="s">
        <v>1777</v>
      </c>
      <c r="B1681" s="38">
        <v>10198.0</v>
      </c>
      <c r="C1681" s="38" t="s">
        <v>3223</v>
      </c>
      <c r="D1681" s="38" t="str">
        <f>IFERROR(__xludf.DUMMYFUNCTION("REGEXREPLACE(C1681,""-\d+(.*)|--\d+(.*)"","""")"),"LIREY")</f>
        <v>LIREY</v>
      </c>
      <c r="E1681" s="38" t="s">
        <v>147</v>
      </c>
      <c r="F1681" s="38" t="s">
        <v>130</v>
      </c>
      <c r="G1681" s="49" t="str">
        <f t="shared" si="1"/>
        <v>10320</v>
      </c>
      <c r="H1681" s="49">
        <f t="shared" si="2"/>
        <v>10198</v>
      </c>
    </row>
    <row r="1682">
      <c r="A1682" s="48" t="s">
        <v>3224</v>
      </c>
      <c r="B1682" s="38">
        <v>54142.0</v>
      </c>
      <c r="C1682" s="38" t="s">
        <v>3225</v>
      </c>
      <c r="D1682" s="38" t="str">
        <f>IFERROR(__xludf.DUMMYFUNCTION("REGEXREPLACE(C1682,""-\d+(.*)|--\d+(.*)"","""")"),"CRANTENOY")</f>
        <v>CRANTENOY</v>
      </c>
      <c r="E1682" s="38" t="s">
        <v>548</v>
      </c>
      <c r="F1682" s="38" t="s">
        <v>195</v>
      </c>
      <c r="G1682" s="49" t="str">
        <f t="shared" si="1"/>
        <v>54740</v>
      </c>
      <c r="H1682" s="49">
        <f t="shared" si="2"/>
        <v>54142</v>
      </c>
    </row>
    <row r="1683">
      <c r="A1683" s="48" t="s">
        <v>3226</v>
      </c>
      <c r="B1683" s="38">
        <v>61094.0</v>
      </c>
      <c r="C1683" s="38" t="s">
        <v>3227</v>
      </c>
      <c r="D1683" s="38" t="str">
        <f>IFERROR(__xludf.DUMMYFUNCTION("REGEXREPLACE(C1683,""-\d+(.*)|--\d+(.*)"","""")"),"LA CHAPELLE-AU-MOINE")</f>
        <v>LA CHAPELLE-AU-MOINE</v>
      </c>
      <c r="E1683" s="38" t="s">
        <v>141</v>
      </c>
      <c r="F1683" s="38" t="s">
        <v>138</v>
      </c>
      <c r="G1683" s="49" t="str">
        <f t="shared" si="1"/>
        <v>61100</v>
      </c>
      <c r="H1683" s="49">
        <f t="shared" si="2"/>
        <v>61094</v>
      </c>
    </row>
    <row r="1684">
      <c r="A1684" s="48" t="s">
        <v>2389</v>
      </c>
      <c r="B1684" s="38">
        <v>64033.0</v>
      </c>
      <c r="C1684" s="38" t="s">
        <v>3228</v>
      </c>
      <c r="D1684" s="38" t="str">
        <f>IFERROR(__xludf.DUMMYFUNCTION("REGEXREPLACE(C1684,""-\d+(.*)|--\d+(.*)"","""")"),"ARAUX")</f>
        <v>ARAUX</v>
      </c>
      <c r="E1684" s="38" t="s">
        <v>268</v>
      </c>
      <c r="F1684" s="38" t="s">
        <v>252</v>
      </c>
      <c r="G1684" s="49" t="str">
        <f t="shared" si="1"/>
        <v>64190</v>
      </c>
      <c r="H1684" s="49">
        <f t="shared" si="2"/>
        <v>64033</v>
      </c>
    </row>
    <row r="1685">
      <c r="A1685" s="48" t="s">
        <v>3229</v>
      </c>
      <c r="B1685" s="38">
        <v>76681.0</v>
      </c>
      <c r="C1685" s="38" t="s">
        <v>3230</v>
      </c>
      <c r="D1685" s="38" t="str">
        <f>IFERROR(__xludf.DUMMYFUNCTION("REGEXREPLACE(C1685,""-\d+(.*)|--\d+(.*)"","""")"),"SOTTEVILLE-LES-ROUEN")</f>
        <v>SOTTEVILLE-LES-ROUEN</v>
      </c>
      <c r="E1685" s="38" t="s">
        <v>133</v>
      </c>
      <c r="F1685" s="38" t="s">
        <v>134</v>
      </c>
      <c r="G1685" s="49" t="str">
        <f t="shared" si="1"/>
        <v>76300</v>
      </c>
      <c r="H1685" s="49">
        <f t="shared" si="2"/>
        <v>76681</v>
      </c>
    </row>
    <row r="1686">
      <c r="A1686" s="48" t="s">
        <v>3231</v>
      </c>
      <c r="B1686" s="38">
        <v>67309.0</v>
      </c>
      <c r="C1686" s="38" t="s">
        <v>3232</v>
      </c>
      <c r="D1686" s="38" t="str">
        <f>IFERROR(__xludf.DUMMYFUNCTION("REGEXREPLACE(C1686,""-\d+(.*)|--\d+(.*)"","""")"),"MUNDOLSHEIM")</f>
        <v>MUNDOLSHEIM</v>
      </c>
      <c r="E1686" s="38" t="s">
        <v>210</v>
      </c>
      <c r="F1686" s="38" t="s">
        <v>151</v>
      </c>
      <c r="G1686" s="49" t="str">
        <f t="shared" si="1"/>
        <v>67450</v>
      </c>
      <c r="H1686" s="49">
        <f t="shared" si="2"/>
        <v>67309</v>
      </c>
    </row>
    <row r="1687">
      <c r="A1687" s="48" t="s">
        <v>3233</v>
      </c>
      <c r="B1687" s="38">
        <v>54532.0</v>
      </c>
      <c r="C1687" s="38" t="s">
        <v>3234</v>
      </c>
      <c r="D1687" s="38" t="str">
        <f>IFERROR(__xludf.DUMMYFUNCTION("REGEXREPLACE(C1687,""-\d+(.*)|--\d+(.*)"","""")"),"TREMBLECOURT")</f>
        <v>TREMBLECOURT</v>
      </c>
      <c r="E1687" s="38" t="s">
        <v>548</v>
      </c>
      <c r="F1687" s="38" t="s">
        <v>195</v>
      </c>
      <c r="G1687" s="49" t="str">
        <f t="shared" si="1"/>
        <v>54385</v>
      </c>
      <c r="H1687" s="49">
        <f t="shared" si="2"/>
        <v>54532</v>
      </c>
    </row>
    <row r="1688">
      <c r="A1688" s="48" t="s">
        <v>858</v>
      </c>
      <c r="B1688" s="38">
        <v>77259.0</v>
      </c>
      <c r="C1688" s="38" t="s">
        <v>3235</v>
      </c>
      <c r="D1688" s="38" t="str">
        <f>IFERROR(__xludf.DUMMYFUNCTION("REGEXREPLACE(C1688,""-\d+(.*)|--\d+(.*)"","""")"),"LONGPERRIER")</f>
        <v>LONGPERRIER</v>
      </c>
      <c r="E1688" s="38" t="s">
        <v>244</v>
      </c>
      <c r="F1688" s="38" t="s">
        <v>245</v>
      </c>
      <c r="G1688" s="49" t="str">
        <f t="shared" si="1"/>
        <v>77230</v>
      </c>
      <c r="H1688" s="49">
        <f t="shared" si="2"/>
        <v>77259</v>
      </c>
    </row>
    <row r="1689">
      <c r="A1689" s="48" t="s">
        <v>3236</v>
      </c>
      <c r="B1689" s="38">
        <v>63014.0</v>
      </c>
      <c r="C1689" s="38" t="s">
        <v>3237</v>
      </c>
      <c r="D1689" s="38" t="str">
        <f>IFERROR(__xludf.DUMMYFUNCTION("REGEXREPLACE(C1689,""-\d+(.*)|--\d+(.*)"","""")"),"AUBIERE")</f>
        <v>AUBIERE</v>
      </c>
      <c r="E1689" s="38" t="s">
        <v>353</v>
      </c>
      <c r="F1689" s="38" t="s">
        <v>161</v>
      </c>
      <c r="G1689" s="49" t="str">
        <f t="shared" si="1"/>
        <v>63170</v>
      </c>
      <c r="H1689" s="49">
        <f t="shared" si="2"/>
        <v>63014</v>
      </c>
    </row>
    <row r="1690">
      <c r="A1690" s="48" t="s">
        <v>3238</v>
      </c>
      <c r="B1690" s="38">
        <v>61151.0</v>
      </c>
      <c r="C1690" s="38" t="s">
        <v>3239</v>
      </c>
      <c r="D1690" s="38" t="str">
        <f>IFERROR(__xludf.DUMMYFUNCTION("REGEXREPLACE(C1690,""-\d+(.*)|--\d+(.*)"","""")"),"ECORCEI")</f>
        <v>ECORCEI</v>
      </c>
      <c r="E1690" s="38" t="s">
        <v>141</v>
      </c>
      <c r="F1690" s="38" t="s">
        <v>138</v>
      </c>
      <c r="G1690" s="49" t="str">
        <f t="shared" si="1"/>
        <v>61270</v>
      </c>
      <c r="H1690" s="49">
        <f t="shared" si="2"/>
        <v>61151</v>
      </c>
    </row>
    <row r="1691">
      <c r="A1691" s="48" t="s">
        <v>3240</v>
      </c>
      <c r="B1691" s="38">
        <v>27388.0</v>
      </c>
      <c r="C1691" s="38" t="s">
        <v>3241</v>
      </c>
      <c r="D1691" s="38" t="str">
        <f>IFERROR(__xludf.DUMMYFUNCTION("REGEXREPLACE(C1691,""-\d+(.*)|--\d+(.*)"","""")"),"MARAIS-VERNIER")</f>
        <v>MARAIS-VERNIER</v>
      </c>
      <c r="E1691" s="38" t="s">
        <v>241</v>
      </c>
      <c r="F1691" s="38" t="s">
        <v>134</v>
      </c>
      <c r="G1691" s="49" t="str">
        <f t="shared" si="1"/>
        <v>27680</v>
      </c>
      <c r="H1691" s="49">
        <f t="shared" si="2"/>
        <v>27388</v>
      </c>
    </row>
    <row r="1692">
      <c r="A1692" s="48" t="s">
        <v>3242</v>
      </c>
      <c r="B1692" s="38">
        <v>2397.0</v>
      </c>
      <c r="C1692" s="38" t="s">
        <v>3243</v>
      </c>
      <c r="D1692" s="38" t="str">
        <f>IFERROR(__xludf.DUMMYFUNCTION("REGEXREPLACE(C1692,""-\d+(.*)|--\d+(.*)"","""")"),"JUSSY")</f>
        <v>JUSSY</v>
      </c>
      <c r="E1692" s="38" t="s">
        <v>191</v>
      </c>
      <c r="F1692" s="38" t="s">
        <v>113</v>
      </c>
      <c r="G1692" s="49" t="str">
        <f t="shared" si="1"/>
        <v>02480</v>
      </c>
      <c r="H1692" s="49" t="str">
        <f t="shared" si="2"/>
        <v>02397</v>
      </c>
    </row>
    <row r="1693">
      <c r="A1693" s="48" t="s">
        <v>3244</v>
      </c>
      <c r="B1693" s="38">
        <v>27299.0</v>
      </c>
      <c r="C1693" s="38" t="s">
        <v>3245</v>
      </c>
      <c r="D1693" s="38" t="str">
        <f>IFERROR(__xludf.DUMMYFUNCTION("REGEXREPLACE(C1693,""-\d+(.*)|--\d+(.*)"","""")"),"GRAVIGNY")</f>
        <v>GRAVIGNY</v>
      </c>
      <c r="E1693" s="38" t="s">
        <v>241</v>
      </c>
      <c r="F1693" s="38" t="s">
        <v>134</v>
      </c>
      <c r="G1693" s="49" t="str">
        <f t="shared" si="1"/>
        <v>27930</v>
      </c>
      <c r="H1693" s="49">
        <f t="shared" si="2"/>
        <v>27299</v>
      </c>
    </row>
    <row r="1694">
      <c r="A1694" s="48" t="s">
        <v>3246</v>
      </c>
      <c r="B1694" s="38">
        <v>9005.0</v>
      </c>
      <c r="C1694" s="38" t="s">
        <v>3247</v>
      </c>
      <c r="D1694" s="38" t="str">
        <f>IFERROR(__xludf.DUMMYFUNCTION("REGEXREPLACE(C1694,""-\d+(.*)|--\d+(.*)"","""")"),"ALEU")</f>
        <v>ALEU</v>
      </c>
      <c r="E1694" s="38" t="s">
        <v>238</v>
      </c>
      <c r="F1694" s="38" t="s">
        <v>94</v>
      </c>
      <c r="G1694" s="49" t="str">
        <f t="shared" si="1"/>
        <v>09320</v>
      </c>
      <c r="H1694" s="49" t="str">
        <f t="shared" si="2"/>
        <v>09005</v>
      </c>
    </row>
    <row r="1695">
      <c r="A1695" s="48" t="s">
        <v>3248</v>
      </c>
      <c r="B1695" s="38">
        <v>97616.0</v>
      </c>
      <c r="C1695" s="38" t="s">
        <v>3249</v>
      </c>
      <c r="D1695" s="38" t="str">
        <f>IFERROR(__xludf.DUMMYFUNCTION("REGEXREPLACE(C1695,""-\d+(.*)|--\d+(.*)"","""")"),"SADA")</f>
        <v>SADA</v>
      </c>
      <c r="E1695" s="38" t="s">
        <v>2865</v>
      </c>
      <c r="F1695" s="38" t="s">
        <v>2865</v>
      </c>
      <c r="G1695" s="49" t="str">
        <f t="shared" si="1"/>
        <v>97640</v>
      </c>
      <c r="H1695" s="49">
        <f t="shared" si="2"/>
        <v>97616</v>
      </c>
    </row>
    <row r="1696">
      <c r="A1696" s="48" t="s">
        <v>3250</v>
      </c>
      <c r="B1696" s="38">
        <v>59299.0</v>
      </c>
      <c r="C1696" s="38" t="s">
        <v>3251</v>
      </c>
      <c r="D1696" s="38" t="str">
        <f>IFERROR(__xludf.DUMMYFUNCTION("REGEXREPLACE(C1696,""-\d+(.*)|--\d+(.*)"","""")"),"HEM")</f>
        <v>HEM</v>
      </c>
      <c r="E1696" s="38" t="s">
        <v>85</v>
      </c>
      <c r="F1696" s="38" t="s">
        <v>86</v>
      </c>
      <c r="G1696" s="49" t="str">
        <f t="shared" si="1"/>
        <v>59510</v>
      </c>
      <c r="H1696" s="49">
        <f t="shared" si="2"/>
        <v>59299</v>
      </c>
    </row>
    <row r="1697">
      <c r="A1697" s="48" t="s">
        <v>3252</v>
      </c>
      <c r="B1697" s="38">
        <v>63374.0</v>
      </c>
      <c r="C1697" s="38" t="s">
        <v>3253</v>
      </c>
      <c r="D1697" s="38" t="str">
        <f>IFERROR(__xludf.DUMMYFUNCTION("REGEXREPLACE(C1697,""-\d+(.*)|--\d+(.*)"","""")"),"SAINT-MARTIN-DES-OLMES")</f>
        <v>SAINT-MARTIN-DES-OLMES</v>
      </c>
      <c r="E1697" s="38" t="s">
        <v>353</v>
      </c>
      <c r="F1697" s="38" t="s">
        <v>161</v>
      </c>
      <c r="G1697" s="49" t="str">
        <f t="shared" si="1"/>
        <v>63600</v>
      </c>
      <c r="H1697" s="49">
        <f t="shared" si="2"/>
        <v>63374</v>
      </c>
    </row>
    <row r="1698">
      <c r="A1698" s="48" t="s">
        <v>3254</v>
      </c>
      <c r="B1698" s="38">
        <v>43163.0</v>
      </c>
      <c r="C1698" s="38" t="s">
        <v>3255</v>
      </c>
      <c r="D1698" s="38" t="str">
        <f>IFERROR(__xludf.DUMMYFUNCTION("REGEXREPLACE(C1698,""-\d+(.*)|--\d+(.*)"","""")"),"RIOTORD")</f>
        <v>RIOTORD</v>
      </c>
      <c r="E1698" s="38" t="s">
        <v>332</v>
      </c>
      <c r="F1698" s="38" t="s">
        <v>161</v>
      </c>
      <c r="G1698" s="49" t="str">
        <f t="shared" si="1"/>
        <v>43220</v>
      </c>
      <c r="H1698" s="49">
        <f t="shared" si="2"/>
        <v>43163</v>
      </c>
    </row>
    <row r="1699">
      <c r="A1699" s="48" t="s">
        <v>3256</v>
      </c>
      <c r="B1699" s="38">
        <v>36061.0</v>
      </c>
      <c r="C1699" s="38" t="s">
        <v>3257</v>
      </c>
      <c r="D1699" s="38" t="str">
        <f>IFERROR(__xludf.DUMMYFUNCTION("REGEXREPLACE(C1699,""-\d+(.*)|--\d+(.*)"","""")"),"CROZON-SUR-VAUVRE")</f>
        <v>CROZON-SUR-VAUVRE</v>
      </c>
      <c r="E1699" s="38" t="s">
        <v>258</v>
      </c>
      <c r="F1699" s="38" t="s">
        <v>123</v>
      </c>
      <c r="G1699" s="49" t="str">
        <f t="shared" si="1"/>
        <v>36140</v>
      </c>
      <c r="H1699" s="49">
        <f t="shared" si="2"/>
        <v>36061</v>
      </c>
    </row>
    <row r="1700">
      <c r="A1700" s="48" t="s">
        <v>3258</v>
      </c>
      <c r="B1700" s="38">
        <v>2720.0</v>
      </c>
      <c r="C1700" s="38" t="s">
        <v>3259</v>
      </c>
      <c r="D1700" s="38" t="str">
        <f>IFERROR(__xludf.DUMMYFUNCTION("REGEXREPLACE(C1700,""-\d+(.*)|--\d+(.*)"","""")"),"SISSONNE")</f>
        <v>SISSONNE</v>
      </c>
      <c r="E1700" s="38" t="s">
        <v>191</v>
      </c>
      <c r="F1700" s="38" t="s">
        <v>113</v>
      </c>
      <c r="G1700" s="49" t="str">
        <f t="shared" si="1"/>
        <v>02150</v>
      </c>
      <c r="H1700" s="49" t="str">
        <f t="shared" si="2"/>
        <v>02720</v>
      </c>
    </row>
    <row r="1701">
      <c r="A1701" s="48" t="s">
        <v>3260</v>
      </c>
      <c r="B1701" s="38">
        <v>3289.0</v>
      </c>
      <c r="C1701" s="38" t="s">
        <v>3261</v>
      </c>
      <c r="D1701" s="38" t="str">
        <f>IFERROR(__xludf.DUMMYFUNCTION("REGEXREPLACE(C1701,""-\d+(.*)|--\d+(.*)"","""")"),"TRETEAU")</f>
        <v>TRETEAU</v>
      </c>
      <c r="E1701" s="38" t="s">
        <v>160</v>
      </c>
      <c r="F1701" s="38" t="s">
        <v>161</v>
      </c>
      <c r="G1701" s="49" t="str">
        <f t="shared" si="1"/>
        <v>03220</v>
      </c>
      <c r="H1701" s="49" t="str">
        <f t="shared" si="2"/>
        <v>03289</v>
      </c>
    </row>
    <row r="1702">
      <c r="A1702" s="48" t="s">
        <v>3262</v>
      </c>
      <c r="B1702" s="38">
        <v>3179.0</v>
      </c>
      <c r="C1702" s="38" t="s">
        <v>3263</v>
      </c>
      <c r="D1702" s="38" t="str">
        <f>IFERROR(__xludf.DUMMYFUNCTION("REGEXREPLACE(C1702,""-\d+(.*)|--\d+(.*)"","""")"),"MONTAIGU-LE-BLIN")</f>
        <v>MONTAIGU-LE-BLIN</v>
      </c>
      <c r="E1702" s="38" t="s">
        <v>160</v>
      </c>
      <c r="F1702" s="38" t="s">
        <v>161</v>
      </c>
      <c r="G1702" s="49" t="str">
        <f t="shared" si="1"/>
        <v>03150</v>
      </c>
      <c r="H1702" s="49" t="str">
        <f t="shared" si="2"/>
        <v>03179</v>
      </c>
    </row>
    <row r="1703">
      <c r="A1703" s="48" t="s">
        <v>3264</v>
      </c>
      <c r="B1703" s="38">
        <v>69162.0</v>
      </c>
      <c r="C1703" s="38" t="s">
        <v>3265</v>
      </c>
      <c r="D1703" s="38" t="str">
        <f>IFERROR(__xludf.DUMMYFUNCTION("REGEXREPLACE(C1703,""-\d+(.*)|--\d+(.*)"","""")"),"QUINCIE-EN-BEAUJOLAIS")</f>
        <v>QUINCIE-EN-BEAUJOLAIS</v>
      </c>
      <c r="E1703" s="38" t="s">
        <v>350</v>
      </c>
      <c r="F1703" s="38" t="s">
        <v>102</v>
      </c>
      <c r="G1703" s="49" t="str">
        <f t="shared" si="1"/>
        <v>69430</v>
      </c>
      <c r="H1703" s="49">
        <f t="shared" si="2"/>
        <v>69162</v>
      </c>
    </row>
    <row r="1704">
      <c r="A1704" s="48" t="s">
        <v>3266</v>
      </c>
      <c r="B1704" s="38">
        <v>55326.0</v>
      </c>
      <c r="C1704" s="38" t="s">
        <v>3267</v>
      </c>
      <c r="D1704" s="38" t="str">
        <f>IFERROR(__xludf.DUMMYFUNCTION("REGEXREPLACE(C1704,""-\d+(.*)|--\d+(.*)"","""")"),"MAULAN")</f>
        <v>MAULAN</v>
      </c>
      <c r="E1704" s="38" t="s">
        <v>322</v>
      </c>
      <c r="F1704" s="38" t="s">
        <v>195</v>
      </c>
      <c r="G1704" s="49" t="str">
        <f t="shared" si="1"/>
        <v>55500</v>
      </c>
      <c r="H1704" s="49">
        <f t="shared" si="2"/>
        <v>55326</v>
      </c>
    </row>
    <row r="1705">
      <c r="A1705" s="48" t="s">
        <v>3268</v>
      </c>
      <c r="B1705" s="38">
        <v>82052.0</v>
      </c>
      <c r="C1705" s="38" t="s">
        <v>3269</v>
      </c>
      <c r="D1705" s="38" t="str">
        <f>IFERROR(__xludf.DUMMYFUNCTION("REGEXREPLACE(C1705,""-\d+(.*)|--\d+(.*)"","""")"),"ESCATALENS")</f>
        <v>ESCATALENS</v>
      </c>
      <c r="E1705" s="38" t="s">
        <v>570</v>
      </c>
      <c r="F1705" s="38" t="s">
        <v>94</v>
      </c>
      <c r="G1705" s="49" t="str">
        <f t="shared" si="1"/>
        <v>82700</v>
      </c>
      <c r="H1705" s="49">
        <f t="shared" si="2"/>
        <v>82052</v>
      </c>
    </row>
    <row r="1706">
      <c r="A1706" s="48" t="s">
        <v>208</v>
      </c>
      <c r="B1706" s="38">
        <v>67022.0</v>
      </c>
      <c r="C1706" s="38" t="s">
        <v>3270</v>
      </c>
      <c r="D1706" s="38" t="str">
        <f>IFERROR(__xludf.DUMMYFUNCTION("REGEXREPLACE(C1706,""-\d+(.*)|--\d+(.*)"","""")"),"BASSEMBERG")</f>
        <v>BASSEMBERG</v>
      </c>
      <c r="E1706" s="38" t="s">
        <v>210</v>
      </c>
      <c r="F1706" s="38" t="s">
        <v>151</v>
      </c>
      <c r="G1706" s="49" t="str">
        <f t="shared" si="1"/>
        <v>67220</v>
      </c>
      <c r="H1706" s="49">
        <f t="shared" si="2"/>
        <v>67022</v>
      </c>
    </row>
    <row r="1707">
      <c r="A1707" s="48" t="s">
        <v>3271</v>
      </c>
      <c r="B1707" s="38">
        <v>22343.0</v>
      </c>
      <c r="C1707" s="38" t="s">
        <v>3272</v>
      </c>
      <c r="D1707" s="38" t="str">
        <f>IFERROR(__xludf.DUMMYFUNCTION("REGEXREPLACE(C1707,""-\d+(.*)|--\d+(.*)"","""")"),"TREBEURDEN")</f>
        <v>TREBEURDEN</v>
      </c>
      <c r="E1707" s="38" t="s">
        <v>89</v>
      </c>
      <c r="F1707" s="38" t="s">
        <v>90</v>
      </c>
      <c r="G1707" s="49" t="str">
        <f t="shared" si="1"/>
        <v>22560</v>
      </c>
      <c r="H1707" s="49">
        <f t="shared" si="2"/>
        <v>22343</v>
      </c>
    </row>
    <row r="1708">
      <c r="A1708" s="48" t="s">
        <v>3273</v>
      </c>
      <c r="B1708" s="38">
        <v>59280.0</v>
      </c>
      <c r="C1708" s="38" t="s">
        <v>3274</v>
      </c>
      <c r="D1708" s="38" t="str">
        <f>IFERROR(__xludf.DUMMYFUNCTION("REGEXREPLACE(C1708,""-\d+(.*)|--\d+(.*)"","""")"),"HAMEL")</f>
        <v>HAMEL</v>
      </c>
      <c r="E1708" s="38" t="s">
        <v>85</v>
      </c>
      <c r="F1708" s="38" t="s">
        <v>86</v>
      </c>
      <c r="G1708" s="49" t="str">
        <f t="shared" si="1"/>
        <v>59151</v>
      </c>
      <c r="H1708" s="49">
        <f t="shared" si="2"/>
        <v>59280</v>
      </c>
    </row>
    <row r="1709">
      <c r="A1709" s="48" t="s">
        <v>3275</v>
      </c>
      <c r="B1709" s="38">
        <v>59517.0</v>
      </c>
      <c r="C1709" s="38" t="s">
        <v>3276</v>
      </c>
      <c r="D1709" s="38" t="str">
        <f>IFERROR(__xludf.DUMMYFUNCTION("REGEXREPLACE(C1709,""-\d+(.*)|--\d+(.*)"","""")"),"LES RUES-DES-VIGNES")</f>
        <v>LES RUES-DES-VIGNES</v>
      </c>
      <c r="E1709" s="38" t="s">
        <v>85</v>
      </c>
      <c r="F1709" s="38" t="s">
        <v>86</v>
      </c>
      <c r="G1709" s="49" t="str">
        <f t="shared" si="1"/>
        <v>59258</v>
      </c>
      <c r="H1709" s="49">
        <f t="shared" si="2"/>
        <v>59517</v>
      </c>
    </row>
    <row r="1710">
      <c r="A1710" s="48" t="s">
        <v>3277</v>
      </c>
      <c r="B1710" s="38">
        <v>29205.0</v>
      </c>
      <c r="C1710" s="38" t="s">
        <v>3278</v>
      </c>
      <c r="D1710" s="38" t="str">
        <f>IFERROR(__xludf.DUMMYFUNCTION("REGEXREPLACE(C1710,""-\d+(.*)|--\d+(.*)"","""")"),"PLOUNEVEZEL")</f>
        <v>PLOUNEVEZEL</v>
      </c>
      <c r="E1710" s="38" t="s">
        <v>176</v>
      </c>
      <c r="F1710" s="38" t="s">
        <v>90</v>
      </c>
      <c r="G1710" s="49" t="str">
        <f t="shared" si="1"/>
        <v>29270</v>
      </c>
      <c r="H1710" s="49">
        <f t="shared" si="2"/>
        <v>29205</v>
      </c>
    </row>
    <row r="1711">
      <c r="A1711" s="48" t="s">
        <v>3279</v>
      </c>
      <c r="B1711" s="38">
        <v>26324.0</v>
      </c>
      <c r="C1711" s="38" t="s">
        <v>3280</v>
      </c>
      <c r="D1711" s="38" t="str">
        <f>IFERROR(__xludf.DUMMYFUNCTION("REGEXREPLACE(C1711,""-\d+(.*)|--\d+(.*)"","""")"),"SAINT-PAUL-TROIS-CHATEAUX")</f>
        <v>SAINT-PAUL-TROIS-CHATEAUX</v>
      </c>
      <c r="E1711" s="38" t="s">
        <v>126</v>
      </c>
      <c r="F1711" s="38" t="s">
        <v>102</v>
      </c>
      <c r="G1711" s="49" t="str">
        <f t="shared" si="1"/>
        <v>26130</v>
      </c>
      <c r="H1711" s="49">
        <f t="shared" si="2"/>
        <v>26324</v>
      </c>
    </row>
    <row r="1712">
      <c r="A1712" s="48" t="s">
        <v>3281</v>
      </c>
      <c r="B1712" s="38">
        <v>40114.0</v>
      </c>
      <c r="C1712" s="38" t="s">
        <v>3282</v>
      </c>
      <c r="D1712" s="38" t="str">
        <f>IFERROR(__xludf.DUMMYFUNCTION("REGEXREPLACE(C1712,""-\d+(.*)|--\d+(.*)"","""")"),"GOURBERA")</f>
        <v>GOURBERA</v>
      </c>
      <c r="E1712" s="38" t="s">
        <v>281</v>
      </c>
      <c r="F1712" s="38" t="s">
        <v>252</v>
      </c>
      <c r="G1712" s="49" t="str">
        <f t="shared" si="1"/>
        <v>40990</v>
      </c>
      <c r="H1712" s="49">
        <f t="shared" si="2"/>
        <v>40114</v>
      </c>
    </row>
    <row r="1713">
      <c r="A1713" s="48" t="s">
        <v>3283</v>
      </c>
      <c r="B1713" s="38">
        <v>52428.0</v>
      </c>
      <c r="C1713" s="38" t="s">
        <v>3284</v>
      </c>
      <c r="D1713" s="38" t="str">
        <f>IFERROR(__xludf.DUMMYFUNCTION("REGEXREPLACE(C1713,""-\d+(.*)|--\d+(.*)"","""")"),"ROCHEFORT-SUR-LA-COTE")</f>
        <v>ROCHEFORT-SUR-LA-COTE</v>
      </c>
      <c r="E1713" s="38" t="s">
        <v>234</v>
      </c>
      <c r="F1713" s="38" t="s">
        <v>130</v>
      </c>
      <c r="G1713" s="49" t="str">
        <f t="shared" si="1"/>
        <v>52700</v>
      </c>
      <c r="H1713" s="49">
        <f t="shared" si="2"/>
        <v>52428</v>
      </c>
    </row>
    <row r="1714">
      <c r="A1714" s="48" t="s">
        <v>3285</v>
      </c>
      <c r="B1714" s="38">
        <v>92004.0</v>
      </c>
      <c r="C1714" s="38" t="s">
        <v>3286</v>
      </c>
      <c r="D1714" s="38" t="str">
        <f>IFERROR(__xludf.DUMMYFUNCTION("REGEXREPLACE(C1714,""-\d+(.*)|--\d+(.*)"","""")"),"ASNIERES-SUR-SEINE")</f>
        <v>ASNIERES-SUR-SEINE</v>
      </c>
      <c r="E1714" s="38" t="s">
        <v>838</v>
      </c>
      <c r="F1714" s="38" t="s">
        <v>245</v>
      </c>
      <c r="G1714" s="49" t="str">
        <f t="shared" si="1"/>
        <v>92600</v>
      </c>
      <c r="H1714" s="49">
        <f t="shared" si="2"/>
        <v>92004</v>
      </c>
    </row>
    <row r="1715">
      <c r="A1715" s="48" t="s">
        <v>3287</v>
      </c>
      <c r="B1715" s="38">
        <v>1364.0</v>
      </c>
      <c r="C1715" s="38" t="s">
        <v>3288</v>
      </c>
      <c r="D1715" s="38" t="str">
        <f>IFERROR(__xludf.DUMMYFUNCTION("REGEXREPLACE(C1715,""-\d+(.*)|--\d+(.*)"","""")"),"SAINT-JEAN-SUR-REYSSOUZE")</f>
        <v>SAINT-JEAN-SUR-REYSSOUZE</v>
      </c>
      <c r="E1715" s="38" t="s">
        <v>255</v>
      </c>
      <c r="F1715" s="38" t="s">
        <v>102</v>
      </c>
      <c r="G1715" s="49" t="str">
        <f t="shared" si="1"/>
        <v>01560</v>
      </c>
      <c r="H1715" s="49" t="str">
        <f t="shared" si="2"/>
        <v>01364</v>
      </c>
    </row>
    <row r="1716">
      <c r="A1716" s="48" t="s">
        <v>3289</v>
      </c>
      <c r="B1716" s="38">
        <v>50337.0</v>
      </c>
      <c r="C1716" s="38" t="s">
        <v>3290</v>
      </c>
      <c r="D1716" s="38" t="str">
        <f>IFERROR(__xludf.DUMMYFUNCTION("REGEXREPLACE(C1716,""-\d+(.*)|--\d+(.*)"","""")"),"MONTANEL")</f>
        <v>MONTANEL</v>
      </c>
      <c r="E1716" s="38" t="s">
        <v>157</v>
      </c>
      <c r="F1716" s="38" t="s">
        <v>138</v>
      </c>
      <c r="G1716" s="49" t="str">
        <f t="shared" si="1"/>
        <v>50240</v>
      </c>
      <c r="H1716" s="49">
        <f t="shared" si="2"/>
        <v>50337</v>
      </c>
    </row>
    <row r="1717">
      <c r="A1717" s="48" t="s">
        <v>3291</v>
      </c>
      <c r="B1717" s="38">
        <v>3010.0</v>
      </c>
      <c r="C1717" s="38" t="s">
        <v>3292</v>
      </c>
      <c r="D1717" s="38" t="str">
        <f>IFERROR(__xludf.DUMMYFUNCTION("REGEXREPLACE(C1717,""-\d+(.*)|--\d+(.*)"","""")"),"AUDES")</f>
        <v>AUDES</v>
      </c>
      <c r="E1717" s="38" t="s">
        <v>160</v>
      </c>
      <c r="F1717" s="38" t="s">
        <v>161</v>
      </c>
      <c r="G1717" s="49" t="str">
        <f t="shared" si="1"/>
        <v>03190</v>
      </c>
      <c r="H1717" s="49" t="str">
        <f t="shared" si="2"/>
        <v>03010</v>
      </c>
    </row>
    <row r="1718">
      <c r="A1718" s="48" t="s">
        <v>3293</v>
      </c>
      <c r="B1718" s="38">
        <v>73029.0</v>
      </c>
      <c r="C1718" s="38" t="s">
        <v>3294</v>
      </c>
      <c r="D1718" s="38" t="str">
        <f>IFERROR(__xludf.DUMMYFUNCTION("REGEXREPLACE(C1718,""-\d+(.*)|--\d+(.*)"","""")"),"BARBERAZ")</f>
        <v>BARBERAZ</v>
      </c>
      <c r="E1718" s="38" t="s">
        <v>306</v>
      </c>
      <c r="F1718" s="38" t="s">
        <v>102</v>
      </c>
      <c r="G1718" s="49" t="str">
        <f t="shared" si="1"/>
        <v>73000</v>
      </c>
      <c r="H1718" s="49">
        <f t="shared" si="2"/>
        <v>73029</v>
      </c>
    </row>
    <row r="1719">
      <c r="A1719" s="48" t="s">
        <v>3295</v>
      </c>
      <c r="B1719" s="38">
        <v>76081.0</v>
      </c>
      <c r="C1719" s="38" t="s">
        <v>3296</v>
      </c>
      <c r="D1719" s="38" t="str">
        <f>IFERROR(__xludf.DUMMYFUNCTION("REGEXREPLACE(C1719,""-\d+(.*)|--\d+(.*)"","""")"),"BERNEVAL-LE-GRAND")</f>
        <v>BERNEVAL-LE-GRAND</v>
      </c>
      <c r="E1719" s="38" t="s">
        <v>133</v>
      </c>
      <c r="F1719" s="38" t="s">
        <v>134</v>
      </c>
      <c r="G1719" s="49" t="str">
        <f t="shared" si="1"/>
        <v>76370</v>
      </c>
      <c r="H1719" s="49">
        <f t="shared" si="2"/>
        <v>76081</v>
      </c>
    </row>
    <row r="1720">
      <c r="A1720" s="48" t="s">
        <v>3297</v>
      </c>
      <c r="B1720" s="38">
        <v>41051.0</v>
      </c>
      <c r="C1720" s="38" t="s">
        <v>3298</v>
      </c>
      <c r="D1720" s="38" t="str">
        <f>IFERROR(__xludf.DUMMYFUNCTION("REGEXREPLACE(C1720,""-\d+(.*)|--\d+(.*)"","""")"),"CHISSAY-EN-TOURAINE")</f>
        <v>CHISSAY-EN-TOURAINE</v>
      </c>
      <c r="E1720" s="38" t="s">
        <v>188</v>
      </c>
      <c r="F1720" s="38" t="s">
        <v>123</v>
      </c>
      <c r="G1720" s="49" t="str">
        <f t="shared" si="1"/>
        <v>41400</v>
      </c>
      <c r="H1720" s="49">
        <f t="shared" si="2"/>
        <v>41051</v>
      </c>
    </row>
    <row r="1721">
      <c r="A1721" s="48" t="s">
        <v>3299</v>
      </c>
      <c r="B1721" s="38">
        <v>39413.0</v>
      </c>
      <c r="C1721" s="38" t="s">
        <v>3300</v>
      </c>
      <c r="D1721" s="38" t="str">
        <f>IFERROR(__xludf.DUMMYFUNCTION("REGEXREPLACE(C1721,""-\d+(.*)|--\d+(.*)"","""")"),"LA PESSE")</f>
        <v>LA PESSE</v>
      </c>
      <c r="E1721" s="38" t="s">
        <v>400</v>
      </c>
      <c r="F1721" s="38" t="s">
        <v>214</v>
      </c>
      <c r="G1721" s="49" t="str">
        <f t="shared" si="1"/>
        <v>39370</v>
      </c>
      <c r="H1721" s="49">
        <f t="shared" si="2"/>
        <v>39413</v>
      </c>
    </row>
    <row r="1722">
      <c r="A1722" s="48" t="s">
        <v>3301</v>
      </c>
      <c r="B1722" s="38">
        <v>58309.0</v>
      </c>
      <c r="C1722" s="38" t="s">
        <v>3302</v>
      </c>
      <c r="D1722" s="38" t="str">
        <f>IFERROR(__xludf.DUMMYFUNCTION("REGEXREPLACE(C1722,""-\d+(.*)|--\d+(.*)"","""")"),"VILLAPOURCON")</f>
        <v>VILLAPOURCON</v>
      </c>
      <c r="E1722" s="38" t="s">
        <v>219</v>
      </c>
      <c r="F1722" s="38" t="s">
        <v>106</v>
      </c>
      <c r="G1722" s="49" t="str">
        <f t="shared" si="1"/>
        <v>58370</v>
      </c>
      <c r="H1722" s="49">
        <f t="shared" si="2"/>
        <v>58309</v>
      </c>
    </row>
    <row r="1723">
      <c r="A1723" s="48" t="s">
        <v>3303</v>
      </c>
      <c r="B1723" s="38">
        <v>55162.0</v>
      </c>
      <c r="C1723" s="38" t="s">
        <v>3304</v>
      </c>
      <c r="D1723" s="38" t="str">
        <f>IFERROR(__xludf.DUMMYFUNCTION("REGEXREPLACE(C1723,""-\d+(.*)|--\d+(.*)"","""")"),"DOMREMY-LA-CANNE")</f>
        <v>DOMREMY-LA-CANNE</v>
      </c>
      <c r="E1723" s="38" t="s">
        <v>322</v>
      </c>
      <c r="F1723" s="38" t="s">
        <v>195</v>
      </c>
      <c r="G1723" s="49" t="str">
        <f t="shared" si="1"/>
        <v>55240</v>
      </c>
      <c r="H1723" s="49">
        <f t="shared" si="2"/>
        <v>55162</v>
      </c>
    </row>
    <row r="1724">
      <c r="A1724" s="48" t="s">
        <v>3305</v>
      </c>
      <c r="B1724" s="38">
        <v>24084.0</v>
      </c>
      <c r="C1724" s="38" t="s">
        <v>3306</v>
      </c>
      <c r="D1724" s="38" t="str">
        <f>IFERROR(__xludf.DUMMYFUNCTION("REGEXREPLACE(C1724,""-\d+(.*)|--\d+(.*)"","""")"),"CARVES")</f>
        <v>CARVES</v>
      </c>
      <c r="E1724" s="38" t="s">
        <v>261</v>
      </c>
      <c r="F1724" s="38" t="s">
        <v>252</v>
      </c>
      <c r="G1724" s="49" t="str">
        <f t="shared" si="1"/>
        <v>24170</v>
      </c>
      <c r="H1724" s="49">
        <f t="shared" si="2"/>
        <v>24084</v>
      </c>
    </row>
    <row r="1725">
      <c r="A1725" s="48" t="s">
        <v>3307</v>
      </c>
      <c r="B1725" s="38">
        <v>65385.0</v>
      </c>
      <c r="C1725" s="38" t="s">
        <v>3308</v>
      </c>
      <c r="D1725" s="38" t="str">
        <f>IFERROR(__xludf.DUMMYFUNCTION("REGEXREPLACE(C1725,""-\d+(.*)|--\d+(.*)"","""")"),"SAINT-ARROMAN")</f>
        <v>SAINT-ARROMAN</v>
      </c>
      <c r="E1725" s="38" t="s">
        <v>200</v>
      </c>
      <c r="F1725" s="38" t="s">
        <v>94</v>
      </c>
      <c r="G1725" s="49" t="str">
        <f t="shared" si="1"/>
        <v>65250</v>
      </c>
      <c r="H1725" s="49">
        <f t="shared" si="2"/>
        <v>65385</v>
      </c>
    </row>
    <row r="1726">
      <c r="A1726" s="48" t="s">
        <v>580</v>
      </c>
      <c r="B1726" s="38">
        <v>31335.0</v>
      </c>
      <c r="C1726" s="38" t="s">
        <v>3309</v>
      </c>
      <c r="D1726" s="38" t="str">
        <f>IFERROR(__xludf.DUMMYFUNCTION("REGEXREPLACE(C1726,""-\d+(.*)|--\d+(.*)"","""")"),"MAYREGNE")</f>
        <v>MAYREGNE</v>
      </c>
      <c r="E1726" s="38" t="s">
        <v>93</v>
      </c>
      <c r="F1726" s="38" t="s">
        <v>94</v>
      </c>
      <c r="G1726" s="49" t="str">
        <f t="shared" si="1"/>
        <v>31110</v>
      </c>
      <c r="H1726" s="49">
        <f t="shared" si="2"/>
        <v>31335</v>
      </c>
    </row>
    <row r="1727">
      <c r="A1727" s="48" t="s">
        <v>335</v>
      </c>
      <c r="B1727" s="38">
        <v>79208.0</v>
      </c>
      <c r="C1727" s="38" t="s">
        <v>3310</v>
      </c>
      <c r="D1727" s="38" t="str">
        <f>IFERROR(__xludf.DUMMYFUNCTION("REGEXREPLACE(C1727,""-\d+(.*)|--\d+(.*)"","""")"),"LA PEYRATTE")</f>
        <v>LA PEYRATTE</v>
      </c>
      <c r="E1727" s="38" t="s">
        <v>337</v>
      </c>
      <c r="F1727" s="38" t="s">
        <v>338</v>
      </c>
      <c r="G1727" s="49" t="str">
        <f t="shared" si="1"/>
        <v>79200</v>
      </c>
      <c r="H1727" s="49">
        <f t="shared" si="2"/>
        <v>79208</v>
      </c>
    </row>
    <row r="1728">
      <c r="A1728" s="48" t="s">
        <v>3311</v>
      </c>
      <c r="B1728" s="38">
        <v>19044.0</v>
      </c>
      <c r="C1728" s="38" t="s">
        <v>3312</v>
      </c>
      <c r="D1728" s="38" t="str">
        <f>IFERROR(__xludf.DUMMYFUNCTION("REGEXREPLACE(C1728,""-\d+(.*)|--\d+(.*)"","""")"),"LA CHAPELLE-AUX-SAINTS")</f>
        <v>LA CHAPELLE-AUX-SAINTS</v>
      </c>
      <c r="E1728" s="38" t="s">
        <v>271</v>
      </c>
      <c r="F1728" s="38" t="s">
        <v>98</v>
      </c>
      <c r="G1728" s="49" t="str">
        <f t="shared" si="1"/>
        <v>19120</v>
      </c>
      <c r="H1728" s="49">
        <f t="shared" si="2"/>
        <v>19044</v>
      </c>
    </row>
    <row r="1729">
      <c r="A1729" s="48" t="s">
        <v>3313</v>
      </c>
      <c r="B1729" s="38">
        <v>2289.0</v>
      </c>
      <c r="C1729" s="38" t="s">
        <v>3314</v>
      </c>
      <c r="D1729" s="38" t="str">
        <f>IFERROR(__xludf.DUMMYFUNCTION("REGEXREPLACE(C1729,""-\d+(.*)|--\d+(.*)"","""")"),"ESSISES")</f>
        <v>ESSISES</v>
      </c>
      <c r="E1729" s="38" t="s">
        <v>191</v>
      </c>
      <c r="F1729" s="38" t="s">
        <v>113</v>
      </c>
      <c r="G1729" s="49" t="str">
        <f t="shared" si="1"/>
        <v>02570</v>
      </c>
      <c r="H1729" s="49" t="str">
        <f t="shared" si="2"/>
        <v>02289</v>
      </c>
    </row>
    <row r="1730">
      <c r="A1730" s="48" t="s">
        <v>3315</v>
      </c>
      <c r="B1730" s="38">
        <v>12044.0</v>
      </c>
      <c r="C1730" s="38" t="s">
        <v>3316</v>
      </c>
      <c r="D1730" s="38" t="str">
        <f>IFERROR(__xludf.DUMMYFUNCTION("REGEXREPLACE(C1730,""-\d+(.*)|--\d+(.*)"","""")"),"CAMARES")</f>
        <v>CAMARES</v>
      </c>
      <c r="E1730" s="38" t="s">
        <v>465</v>
      </c>
      <c r="F1730" s="38" t="s">
        <v>94</v>
      </c>
      <c r="G1730" s="49" t="str">
        <f t="shared" si="1"/>
        <v>12360</v>
      </c>
      <c r="H1730" s="49">
        <f t="shared" si="2"/>
        <v>12044</v>
      </c>
    </row>
    <row r="1731">
      <c r="A1731" s="48" t="s">
        <v>3317</v>
      </c>
      <c r="B1731" s="38">
        <v>1040.0</v>
      </c>
      <c r="C1731" s="38" t="s">
        <v>3318</v>
      </c>
      <c r="D1731" s="38" t="str">
        <f>IFERROR(__xludf.DUMMYFUNCTION("REGEXREPLACE(C1731,""-\d+(.*)|--\d+(.*)"","""")"),"BEREZIAT")</f>
        <v>BEREZIAT</v>
      </c>
      <c r="E1731" s="38" t="s">
        <v>255</v>
      </c>
      <c r="F1731" s="38" t="s">
        <v>102</v>
      </c>
      <c r="G1731" s="49" t="str">
        <f t="shared" si="1"/>
        <v>01340</v>
      </c>
      <c r="H1731" s="49" t="str">
        <f t="shared" si="2"/>
        <v>01040</v>
      </c>
    </row>
    <row r="1732">
      <c r="A1732" s="48" t="s">
        <v>3319</v>
      </c>
      <c r="B1732" s="38">
        <v>95633.0</v>
      </c>
      <c r="C1732" s="38" t="s">
        <v>3320</v>
      </c>
      <c r="D1732" s="38" t="str">
        <f>IFERROR(__xludf.DUMMYFUNCTION("REGEXREPLACE(C1732,""-\d+(.*)|--\d+(.*)"","""")"),"VAUDHERLAND")</f>
        <v>VAUDHERLAND</v>
      </c>
      <c r="E1732" s="38" t="s">
        <v>541</v>
      </c>
      <c r="F1732" s="38" t="s">
        <v>245</v>
      </c>
      <c r="G1732" s="49" t="str">
        <f t="shared" si="1"/>
        <v>95500</v>
      </c>
      <c r="H1732" s="49">
        <f t="shared" si="2"/>
        <v>95633</v>
      </c>
    </row>
    <row r="1733">
      <c r="A1733" s="48" t="s">
        <v>3321</v>
      </c>
      <c r="B1733" s="38">
        <v>47037.0</v>
      </c>
      <c r="C1733" s="38" t="s">
        <v>3322</v>
      </c>
      <c r="D1733" s="38" t="str">
        <f>IFERROR(__xludf.DUMMYFUNCTION("REGEXREPLACE(C1733,""-\d+(.*)|--\d+(.*)"","""")"),"BOURNEL")</f>
        <v>BOURNEL</v>
      </c>
      <c r="E1733" s="38" t="s">
        <v>251</v>
      </c>
      <c r="F1733" s="38" t="s">
        <v>252</v>
      </c>
      <c r="G1733" s="49" t="str">
        <f t="shared" si="1"/>
        <v>47210</v>
      </c>
      <c r="H1733" s="49">
        <f t="shared" si="2"/>
        <v>47037</v>
      </c>
    </row>
    <row r="1734">
      <c r="A1734" s="48" t="s">
        <v>1241</v>
      </c>
      <c r="B1734" s="38">
        <v>71485.0</v>
      </c>
      <c r="C1734" s="38" t="s">
        <v>3323</v>
      </c>
      <c r="D1734" s="38" t="str">
        <f>IFERROR(__xludf.DUMMYFUNCTION("REGEXREPLACE(C1734,""-\d+(.*)|--\d+(.*)"","""")"),"SAINT-VALLERIN")</f>
        <v>SAINT-VALLERIN</v>
      </c>
      <c r="E1734" s="38" t="s">
        <v>344</v>
      </c>
      <c r="F1734" s="38" t="s">
        <v>106</v>
      </c>
      <c r="G1734" s="49" t="str">
        <f t="shared" si="1"/>
        <v>71390</v>
      </c>
      <c r="H1734" s="49">
        <f t="shared" si="2"/>
        <v>71485</v>
      </c>
    </row>
    <row r="1735">
      <c r="A1735" s="48" t="s">
        <v>3324</v>
      </c>
      <c r="B1735" s="38">
        <v>62332.0</v>
      </c>
      <c r="C1735" s="38" t="s">
        <v>3325</v>
      </c>
      <c r="D1735" s="38" t="str">
        <f>IFERROR(__xludf.DUMMYFUNCTION("REGEXREPLACE(C1735,""-\d+(.*)|--\d+(.*)"","""")"),"FICHEUX")</f>
        <v>FICHEUX</v>
      </c>
      <c r="E1735" s="38" t="s">
        <v>109</v>
      </c>
      <c r="F1735" s="38" t="s">
        <v>86</v>
      </c>
      <c r="G1735" s="49" t="str">
        <f t="shared" si="1"/>
        <v>62173</v>
      </c>
      <c r="H1735" s="49">
        <f t="shared" si="2"/>
        <v>62332</v>
      </c>
    </row>
    <row r="1736">
      <c r="A1736" s="48" t="s">
        <v>1128</v>
      </c>
      <c r="B1736" s="38">
        <v>2097.0</v>
      </c>
      <c r="C1736" s="38" t="s">
        <v>3326</v>
      </c>
      <c r="D1736" s="38" t="str">
        <f>IFERROR(__xludf.DUMMYFUNCTION("REGEXREPLACE(C1736,""-\d+(.*)|--\d+(.*)"","""")"),"BONCOURT")</f>
        <v>BONCOURT</v>
      </c>
      <c r="E1736" s="38" t="s">
        <v>191</v>
      </c>
      <c r="F1736" s="38" t="s">
        <v>113</v>
      </c>
      <c r="G1736" s="49" t="str">
        <f t="shared" si="1"/>
        <v>02350</v>
      </c>
      <c r="H1736" s="49" t="str">
        <f t="shared" si="2"/>
        <v>02097</v>
      </c>
    </row>
    <row r="1737">
      <c r="A1737" s="48" t="s">
        <v>2326</v>
      </c>
      <c r="B1737" s="38">
        <v>54053.0</v>
      </c>
      <c r="C1737" s="38" t="s">
        <v>3327</v>
      </c>
      <c r="D1737" s="38" t="str">
        <f>IFERROR(__xludf.DUMMYFUNCTION("REGEXREPLACE(C1737,""-\d+(.*)|--\d+(.*)"","""")"),"BAUZEMONT")</f>
        <v>BAUZEMONT</v>
      </c>
      <c r="E1737" s="38" t="s">
        <v>548</v>
      </c>
      <c r="F1737" s="38" t="s">
        <v>195</v>
      </c>
      <c r="G1737" s="49" t="str">
        <f t="shared" si="1"/>
        <v>54370</v>
      </c>
      <c r="H1737" s="49">
        <f t="shared" si="2"/>
        <v>54053</v>
      </c>
    </row>
    <row r="1738">
      <c r="A1738" s="48" t="s">
        <v>3015</v>
      </c>
      <c r="B1738" s="38">
        <v>16356.0</v>
      </c>
      <c r="C1738" s="38" t="s">
        <v>3328</v>
      </c>
      <c r="D1738" s="38" t="str">
        <f>IFERROR(__xludf.DUMMYFUNCTION("REGEXREPLACE(C1738,""-\d+(.*)|--\d+(.*)"","""")"),"SAINT-SULPICE-DE-RUFFEC")</f>
        <v>SAINT-SULPICE-DE-RUFFEC</v>
      </c>
      <c r="E1738" s="38" t="s">
        <v>429</v>
      </c>
      <c r="F1738" s="38" t="s">
        <v>338</v>
      </c>
      <c r="G1738" s="49" t="str">
        <f t="shared" si="1"/>
        <v>16460</v>
      </c>
      <c r="H1738" s="49">
        <f t="shared" si="2"/>
        <v>16356</v>
      </c>
    </row>
    <row r="1739">
      <c r="A1739" s="48" t="s">
        <v>3329</v>
      </c>
      <c r="B1739" s="38">
        <v>60629.0</v>
      </c>
      <c r="C1739" s="38" t="s">
        <v>3330</v>
      </c>
      <c r="D1739" s="38" t="str">
        <f>IFERROR(__xludf.DUMMYFUNCTION("REGEXREPLACE(C1739,""-\d+(.*)|--\d+(.*)"","""")"),"THERINES")</f>
        <v>THERINES</v>
      </c>
      <c r="E1739" s="38" t="s">
        <v>112</v>
      </c>
      <c r="F1739" s="38" t="s">
        <v>113</v>
      </c>
      <c r="G1739" s="49" t="str">
        <f t="shared" si="1"/>
        <v>60380</v>
      </c>
      <c r="H1739" s="49">
        <f t="shared" si="2"/>
        <v>60629</v>
      </c>
    </row>
    <row r="1740">
      <c r="A1740" s="48" t="s">
        <v>2176</v>
      </c>
      <c r="B1740" s="38">
        <v>62539.0</v>
      </c>
      <c r="C1740" s="38" t="s">
        <v>3331</v>
      </c>
      <c r="D1740" s="38" t="str">
        <f>IFERROR(__xludf.DUMMYFUNCTION("REGEXREPLACE(C1740,""-\d+(.*)|--\d+(.*)"","""")"),"MAISNIL")</f>
        <v>MAISNIL</v>
      </c>
      <c r="E1740" s="38" t="s">
        <v>109</v>
      </c>
      <c r="F1740" s="38" t="s">
        <v>86</v>
      </c>
      <c r="G1740" s="49" t="str">
        <f t="shared" si="1"/>
        <v>62130</v>
      </c>
      <c r="H1740" s="49">
        <f t="shared" si="2"/>
        <v>62539</v>
      </c>
    </row>
    <row r="1741">
      <c r="A1741" s="48" t="s">
        <v>608</v>
      </c>
      <c r="B1741" s="38">
        <v>74037.0</v>
      </c>
      <c r="C1741" s="38" t="s">
        <v>3332</v>
      </c>
      <c r="D1741" s="38" t="str">
        <f>IFERROR(__xludf.DUMMYFUNCTION("REGEXREPLACE(C1741,""-\d+(.*)|--\d+(.*)"","""")"),"BOEGE")</f>
        <v>BOEGE</v>
      </c>
      <c r="E1741" s="38" t="s">
        <v>319</v>
      </c>
      <c r="F1741" s="38" t="s">
        <v>102</v>
      </c>
      <c r="G1741" s="49" t="str">
        <f t="shared" si="1"/>
        <v>74420</v>
      </c>
      <c r="H1741" s="49">
        <f t="shared" si="2"/>
        <v>74037</v>
      </c>
    </row>
    <row r="1742">
      <c r="A1742" s="48" t="s">
        <v>3333</v>
      </c>
      <c r="B1742" s="38">
        <v>44001.0</v>
      </c>
      <c r="C1742" s="38" t="s">
        <v>3334</v>
      </c>
      <c r="D1742" s="38" t="str">
        <f>IFERROR(__xludf.DUMMYFUNCTION("REGEXREPLACE(C1742,""-\d+(.*)|--\d+(.*)"","""")"),"ABBARETZ")</f>
        <v>ABBARETZ</v>
      </c>
      <c r="E1742" s="38" t="s">
        <v>759</v>
      </c>
      <c r="F1742" s="38" t="s">
        <v>180</v>
      </c>
      <c r="G1742" s="49" t="str">
        <f t="shared" si="1"/>
        <v>44170</v>
      </c>
      <c r="H1742" s="49">
        <f t="shared" si="2"/>
        <v>44001</v>
      </c>
    </row>
    <row r="1743">
      <c r="A1743" s="48" t="s">
        <v>3335</v>
      </c>
      <c r="B1743" s="38">
        <v>53107.0</v>
      </c>
      <c r="C1743" s="38" t="s">
        <v>3336</v>
      </c>
      <c r="D1743" s="38" t="str">
        <f>IFERROR(__xludf.DUMMYFUNCTION("REGEXREPLACE(C1743,""-\d+(.*)|--\d+(.*)"","""")"),"GORRON")</f>
        <v>GORRON</v>
      </c>
      <c r="E1743" s="38" t="s">
        <v>518</v>
      </c>
      <c r="F1743" s="38" t="s">
        <v>180</v>
      </c>
      <c r="G1743" s="49" t="str">
        <f t="shared" si="1"/>
        <v>53120</v>
      </c>
      <c r="H1743" s="49">
        <f t="shared" si="2"/>
        <v>53107</v>
      </c>
    </row>
    <row r="1744">
      <c r="A1744" s="48" t="s">
        <v>3337</v>
      </c>
      <c r="B1744" s="38">
        <v>34114.0</v>
      </c>
      <c r="C1744" s="38" t="s">
        <v>3338</v>
      </c>
      <c r="D1744" s="38" t="str">
        <f>IFERROR(__xludf.DUMMYFUNCTION("REGEXREPLACE(C1744,""-\d+(.*)|--\d+(.*)"","""")"),"GIGNAC")</f>
        <v>GIGNAC</v>
      </c>
      <c r="E1744" s="38" t="s">
        <v>118</v>
      </c>
      <c r="F1744" s="38" t="s">
        <v>119</v>
      </c>
      <c r="G1744" s="49" t="str">
        <f t="shared" si="1"/>
        <v>34150</v>
      </c>
      <c r="H1744" s="49">
        <f t="shared" si="2"/>
        <v>34114</v>
      </c>
    </row>
    <row r="1745">
      <c r="A1745" s="48" t="s">
        <v>3339</v>
      </c>
      <c r="B1745" s="38">
        <v>67021.0</v>
      </c>
      <c r="C1745" s="38" t="s">
        <v>3340</v>
      </c>
      <c r="D1745" s="38" t="str">
        <f>IFERROR(__xludf.DUMMYFUNCTION("REGEXREPLACE(C1745,""-\d+(.*)|--\d+(.*)"","""")"),"BARR")</f>
        <v>BARR</v>
      </c>
      <c r="E1745" s="38" t="s">
        <v>210</v>
      </c>
      <c r="F1745" s="38" t="s">
        <v>151</v>
      </c>
      <c r="G1745" s="49" t="str">
        <f t="shared" si="1"/>
        <v>67140</v>
      </c>
      <c r="H1745" s="49">
        <f t="shared" si="2"/>
        <v>67021</v>
      </c>
    </row>
    <row r="1746">
      <c r="A1746" s="48" t="s">
        <v>3341</v>
      </c>
      <c r="B1746" s="38">
        <v>25142.0</v>
      </c>
      <c r="C1746" s="38" t="s">
        <v>3342</v>
      </c>
      <c r="D1746" s="38" t="str">
        <f>IFERROR(__xludf.DUMMYFUNCTION("REGEXREPLACE(C1746,""-\d+(.*)|--\d+(.*)"","""")"),"CHAUX-NEUVE")</f>
        <v>CHAUX-NEUVE</v>
      </c>
      <c r="E1746" s="38" t="s">
        <v>213</v>
      </c>
      <c r="F1746" s="38" t="s">
        <v>214</v>
      </c>
      <c r="G1746" s="49" t="str">
        <f t="shared" si="1"/>
        <v>25240</v>
      </c>
      <c r="H1746" s="49">
        <f t="shared" si="2"/>
        <v>25142</v>
      </c>
    </row>
    <row r="1747">
      <c r="A1747" s="48" t="s">
        <v>2605</v>
      </c>
      <c r="B1747" s="38">
        <v>39137.0</v>
      </c>
      <c r="C1747" s="38" t="s">
        <v>3343</v>
      </c>
      <c r="D1747" s="38" t="str">
        <f>IFERROR(__xludf.DUMMYFUNCTION("REGEXREPLACE(C1747,""-\d+(.*)|--\d+(.*)"","""")"),"CHEMILLA")</f>
        <v>CHEMILLA</v>
      </c>
      <c r="E1747" s="38" t="s">
        <v>400</v>
      </c>
      <c r="F1747" s="38" t="s">
        <v>214</v>
      </c>
      <c r="G1747" s="49" t="str">
        <f t="shared" si="1"/>
        <v>39240</v>
      </c>
      <c r="H1747" s="49">
        <f t="shared" si="2"/>
        <v>39137</v>
      </c>
    </row>
    <row r="1748">
      <c r="A1748" s="48" t="s">
        <v>3344</v>
      </c>
      <c r="B1748" s="38">
        <v>76080.0</v>
      </c>
      <c r="C1748" s="38" t="s">
        <v>3345</v>
      </c>
      <c r="D1748" s="38" t="str">
        <f>IFERROR(__xludf.DUMMYFUNCTION("REGEXREPLACE(C1748,""-\d+(.*)|--\d+(.*)"","""")"),"BERMONVILLE")</f>
        <v>BERMONVILLE</v>
      </c>
      <c r="E1748" s="38" t="s">
        <v>133</v>
      </c>
      <c r="F1748" s="38" t="s">
        <v>134</v>
      </c>
      <c r="G1748" s="49" t="str">
        <f t="shared" si="1"/>
        <v>76640</v>
      </c>
      <c r="H1748" s="49">
        <f t="shared" si="2"/>
        <v>76080</v>
      </c>
    </row>
    <row r="1749">
      <c r="A1749" s="48" t="s">
        <v>3346</v>
      </c>
      <c r="B1749" s="38">
        <v>65061.0</v>
      </c>
      <c r="C1749" s="38" t="s">
        <v>3347</v>
      </c>
      <c r="D1749" s="38" t="str">
        <f>IFERROR(__xludf.DUMMYFUNCTION("REGEXREPLACE(C1749,""-\d+(.*)|--\d+(.*)"","""")"),"BARBACHEN")</f>
        <v>BARBACHEN</v>
      </c>
      <c r="E1749" s="38" t="s">
        <v>200</v>
      </c>
      <c r="F1749" s="38" t="s">
        <v>94</v>
      </c>
      <c r="G1749" s="49" t="str">
        <f t="shared" si="1"/>
        <v>65140</v>
      </c>
      <c r="H1749" s="49">
        <f t="shared" si="2"/>
        <v>65061</v>
      </c>
    </row>
    <row r="1750">
      <c r="A1750" s="48" t="s">
        <v>1332</v>
      </c>
      <c r="B1750" s="38">
        <v>51610.0</v>
      </c>
      <c r="C1750" s="38" t="s">
        <v>3348</v>
      </c>
      <c r="D1750" s="38" t="str">
        <f>IFERROR(__xludf.DUMMYFUNCTION("REGEXREPLACE(C1750,""-\d+(.*)|--\d+(.*)"","""")"),"VERRIERES")</f>
        <v>VERRIERES</v>
      </c>
      <c r="E1750" s="38" t="s">
        <v>129</v>
      </c>
      <c r="F1750" s="38" t="s">
        <v>130</v>
      </c>
      <c r="G1750" s="49" t="str">
        <f t="shared" si="1"/>
        <v>51800</v>
      </c>
      <c r="H1750" s="49">
        <f t="shared" si="2"/>
        <v>51610</v>
      </c>
    </row>
    <row r="1751">
      <c r="A1751" s="48" t="s">
        <v>3349</v>
      </c>
      <c r="B1751" s="38">
        <v>34335.0</v>
      </c>
      <c r="C1751" s="38" t="s">
        <v>3350</v>
      </c>
      <c r="D1751" s="38" t="str">
        <f>IFERROR(__xludf.DUMMYFUNCTION("REGEXREPLACE(C1751,""-\d+(.*)|--\d+(.*)"","""")"),"VILLEMAGNE-L'ARGENTIERE")</f>
        <v>VILLEMAGNE-L'ARGENTIERE</v>
      </c>
      <c r="E1751" s="38" t="s">
        <v>118</v>
      </c>
      <c r="F1751" s="38" t="s">
        <v>119</v>
      </c>
      <c r="G1751" s="49" t="str">
        <f t="shared" si="1"/>
        <v>34600</v>
      </c>
      <c r="H1751" s="49">
        <f t="shared" si="2"/>
        <v>34335</v>
      </c>
    </row>
    <row r="1752">
      <c r="A1752" s="48" t="s">
        <v>3351</v>
      </c>
      <c r="B1752" s="38">
        <v>69257.0</v>
      </c>
      <c r="C1752" s="38" t="s">
        <v>3352</v>
      </c>
      <c r="D1752" s="38" t="str">
        <f>IFERROR(__xludf.DUMMYFUNCTION("REGEXREPLACE(C1752,""-\d+(.*)|--\d+(.*)"","""")"),"VAUX-EN-BEAUJOLAIS")</f>
        <v>VAUX-EN-BEAUJOLAIS</v>
      </c>
      <c r="E1752" s="38" t="s">
        <v>350</v>
      </c>
      <c r="F1752" s="38" t="s">
        <v>102</v>
      </c>
      <c r="G1752" s="49" t="str">
        <f t="shared" si="1"/>
        <v>69460</v>
      </c>
      <c r="H1752" s="49">
        <f t="shared" si="2"/>
        <v>69257</v>
      </c>
    </row>
    <row r="1753">
      <c r="A1753" s="48" t="s">
        <v>3353</v>
      </c>
      <c r="B1753" s="38">
        <v>61150.0</v>
      </c>
      <c r="C1753" s="38" t="s">
        <v>3354</v>
      </c>
      <c r="D1753" s="38" t="str">
        <f>IFERROR(__xludf.DUMMYFUNCTION("REGEXREPLACE(C1753,""-\d+(.*)|--\d+(.*)"","""")"),"ECHAUFFOUR")</f>
        <v>ECHAUFFOUR</v>
      </c>
      <c r="E1753" s="38" t="s">
        <v>141</v>
      </c>
      <c r="F1753" s="38" t="s">
        <v>138</v>
      </c>
      <c r="G1753" s="49" t="str">
        <f t="shared" si="1"/>
        <v>61370</v>
      </c>
      <c r="H1753" s="49">
        <f t="shared" si="2"/>
        <v>61150</v>
      </c>
    </row>
    <row r="1754">
      <c r="A1754" s="48" t="s">
        <v>2145</v>
      </c>
      <c r="B1754" s="38">
        <v>89221.0</v>
      </c>
      <c r="C1754" s="38" t="s">
        <v>3355</v>
      </c>
      <c r="D1754" s="38" t="str">
        <f>IFERROR(__xludf.DUMMYFUNCTION("REGEXREPLACE(C1754,""-\d+(.*)|--\d+(.*)"","""")"),"LEUGNY")</f>
        <v>LEUGNY</v>
      </c>
      <c r="E1754" s="38" t="s">
        <v>275</v>
      </c>
      <c r="F1754" s="38" t="s">
        <v>106</v>
      </c>
      <c r="G1754" s="49" t="str">
        <f t="shared" si="1"/>
        <v>89130</v>
      </c>
      <c r="H1754" s="49">
        <f t="shared" si="2"/>
        <v>89221</v>
      </c>
    </row>
    <row r="1755">
      <c r="A1755" s="48" t="s">
        <v>3356</v>
      </c>
      <c r="B1755" s="38">
        <v>85154.0</v>
      </c>
      <c r="C1755" s="38" t="s">
        <v>3357</v>
      </c>
      <c r="D1755" s="38" t="str">
        <f>IFERROR(__xludf.DUMMYFUNCTION("REGEXREPLACE(C1755,""-\d+(.*)|--\d+(.*)"","""")"),"MOUILLERON-EN-PAREDS")</f>
        <v>MOUILLERON-EN-PAREDS</v>
      </c>
      <c r="E1755" s="38" t="s">
        <v>179</v>
      </c>
      <c r="F1755" s="38" t="s">
        <v>180</v>
      </c>
      <c r="G1755" s="49" t="str">
        <f t="shared" si="1"/>
        <v>85390</v>
      </c>
      <c r="H1755" s="49">
        <f t="shared" si="2"/>
        <v>85154</v>
      </c>
    </row>
    <row r="1756">
      <c r="A1756" s="48" t="s">
        <v>2182</v>
      </c>
      <c r="B1756" s="38">
        <v>89359.0</v>
      </c>
      <c r="C1756" s="38" t="s">
        <v>3358</v>
      </c>
      <c r="D1756" s="38" t="str">
        <f>IFERROR(__xludf.DUMMYFUNCTION("REGEXREPLACE(C1756,""-\d+(.*)|--\d+(.*)"","""")"),"SAINT-MAURICE-AUX-RICHES-HOMMES")</f>
        <v>SAINT-MAURICE-AUX-RICHES-HOMMES</v>
      </c>
      <c r="E1756" s="38" t="s">
        <v>275</v>
      </c>
      <c r="F1756" s="38" t="s">
        <v>106</v>
      </c>
      <c r="G1756" s="49" t="str">
        <f t="shared" si="1"/>
        <v>89190</v>
      </c>
      <c r="H1756" s="49">
        <f t="shared" si="2"/>
        <v>89359</v>
      </c>
    </row>
    <row r="1757">
      <c r="A1757" s="48" t="s">
        <v>3359</v>
      </c>
      <c r="B1757" s="38">
        <v>9197.0</v>
      </c>
      <c r="C1757" s="38" t="s">
        <v>3360</v>
      </c>
      <c r="D1757" s="38" t="str">
        <f>IFERROR(__xludf.DUMMYFUNCTION("REGEXREPLACE(C1757,""-\d+(.*)|--\d+(.*)"","""")"),"MONTAILLOU")</f>
        <v>MONTAILLOU</v>
      </c>
      <c r="E1757" s="38" t="s">
        <v>238</v>
      </c>
      <c r="F1757" s="38" t="s">
        <v>94</v>
      </c>
      <c r="G1757" s="49" t="str">
        <f t="shared" si="1"/>
        <v>09110</v>
      </c>
      <c r="H1757" s="49" t="str">
        <f t="shared" si="2"/>
        <v>09197</v>
      </c>
    </row>
    <row r="1758">
      <c r="A1758" s="48" t="s">
        <v>3361</v>
      </c>
      <c r="B1758" s="38">
        <v>56173.0</v>
      </c>
      <c r="C1758" s="38" t="s">
        <v>3362</v>
      </c>
      <c r="D1758" s="38" t="str">
        <f>IFERROR(__xludf.DUMMYFUNCTION("REGEXREPLACE(C1758,""-\d+(.*)|--\d+(.*)"","""")"),"PLUMELIAU")</f>
        <v>PLUMELIAU</v>
      </c>
      <c r="E1758" s="38" t="s">
        <v>173</v>
      </c>
      <c r="F1758" s="38" t="s">
        <v>90</v>
      </c>
      <c r="G1758" s="49" t="str">
        <f t="shared" si="1"/>
        <v>56930</v>
      </c>
      <c r="H1758" s="49">
        <f t="shared" si="2"/>
        <v>56173</v>
      </c>
    </row>
    <row r="1759">
      <c r="A1759" s="48" t="s">
        <v>573</v>
      </c>
      <c r="B1759" s="38">
        <v>65135.0</v>
      </c>
      <c r="C1759" s="38" t="s">
        <v>3363</v>
      </c>
      <c r="D1759" s="38" t="str">
        <f>IFERROR(__xludf.DUMMYFUNCTION("REGEXREPLACE(C1759,""-\d+(.*)|--\d+(.*)"","""")"),"CASTILLON")</f>
        <v>CASTILLON</v>
      </c>
      <c r="E1759" s="38" t="s">
        <v>200</v>
      </c>
      <c r="F1759" s="38" t="s">
        <v>94</v>
      </c>
      <c r="G1759" s="49" t="str">
        <f t="shared" si="1"/>
        <v>65130</v>
      </c>
      <c r="H1759" s="49">
        <f t="shared" si="2"/>
        <v>65135</v>
      </c>
    </row>
    <row r="1760">
      <c r="A1760" s="48" t="s">
        <v>3364</v>
      </c>
      <c r="B1760" s="38">
        <v>62788.0</v>
      </c>
      <c r="C1760" s="38" t="s">
        <v>3365</v>
      </c>
      <c r="D1760" s="38" t="str">
        <f>IFERROR(__xludf.DUMMYFUNCTION("REGEXREPLACE(C1760,""-\d+(.*)|--\d+(.*)"","""")"),"SENINGHEM")</f>
        <v>SENINGHEM</v>
      </c>
      <c r="E1760" s="38" t="s">
        <v>109</v>
      </c>
      <c r="F1760" s="38" t="s">
        <v>86</v>
      </c>
      <c r="G1760" s="49" t="str">
        <f t="shared" si="1"/>
        <v>62380</v>
      </c>
      <c r="H1760" s="49">
        <f t="shared" si="2"/>
        <v>62788</v>
      </c>
    </row>
    <row r="1761">
      <c r="A1761" s="48" t="s">
        <v>3366</v>
      </c>
      <c r="B1761" s="38">
        <v>47163.0</v>
      </c>
      <c r="C1761" s="38" t="s">
        <v>3367</v>
      </c>
      <c r="D1761" s="38" t="str">
        <f>IFERROR(__xludf.DUMMYFUNCTION("REGEXREPLACE(C1761,""-\d+(.*)|--\d+(.*)"","""")"),"MAUVEZIN-SUR-GUPIE")</f>
        <v>MAUVEZIN-SUR-GUPIE</v>
      </c>
      <c r="E1761" s="38" t="s">
        <v>251</v>
      </c>
      <c r="F1761" s="38" t="s">
        <v>252</v>
      </c>
      <c r="G1761" s="49" t="str">
        <f t="shared" si="1"/>
        <v>47200</v>
      </c>
      <c r="H1761" s="49">
        <f t="shared" si="2"/>
        <v>47163</v>
      </c>
    </row>
    <row r="1762">
      <c r="A1762" s="48" t="s">
        <v>3368</v>
      </c>
      <c r="B1762" s="38">
        <v>61103.0</v>
      </c>
      <c r="C1762" s="38" t="s">
        <v>3369</v>
      </c>
      <c r="D1762" s="38" t="str">
        <f>IFERROR(__xludf.DUMMYFUNCTION("REGEXREPLACE(C1762,""-\d+(.*)|--\d+(.*)"","""")"),"CHAUMONT")</f>
        <v>CHAUMONT</v>
      </c>
      <c r="E1762" s="38" t="s">
        <v>141</v>
      </c>
      <c r="F1762" s="38" t="s">
        <v>138</v>
      </c>
      <c r="G1762" s="49" t="str">
        <f t="shared" si="1"/>
        <v>61230</v>
      </c>
      <c r="H1762" s="49">
        <f t="shared" si="2"/>
        <v>61103</v>
      </c>
    </row>
    <row r="1763">
      <c r="A1763" s="48" t="s">
        <v>3370</v>
      </c>
      <c r="B1763" s="38">
        <v>72342.0</v>
      </c>
      <c r="C1763" s="38" t="s">
        <v>3371</v>
      </c>
      <c r="D1763" s="38" t="str">
        <f>IFERROR(__xludf.DUMMYFUNCTION("REGEXREPLACE(C1763,""-\d+(.*)|--\d+(.*)"","""")"),"SOUVIGNE-SUR-MEME")</f>
        <v>SOUVIGNE-SUR-MEME</v>
      </c>
      <c r="E1763" s="38" t="s">
        <v>521</v>
      </c>
      <c r="F1763" s="38" t="s">
        <v>180</v>
      </c>
      <c r="G1763" s="49" t="str">
        <f t="shared" si="1"/>
        <v>72400</v>
      </c>
      <c r="H1763" s="49">
        <f t="shared" si="2"/>
        <v>72342</v>
      </c>
    </row>
    <row r="1764">
      <c r="A1764" s="48" t="s">
        <v>3372</v>
      </c>
      <c r="B1764" s="38">
        <v>59074.0</v>
      </c>
      <c r="C1764" s="38" t="s">
        <v>3373</v>
      </c>
      <c r="D1764" s="38" t="str">
        <f>IFERROR(__xludf.DUMMYFUNCTION("REGEXREPLACE(C1764,""-\d+(.*)|--\d+(.*)"","""")"),"BERTRY")</f>
        <v>BERTRY</v>
      </c>
      <c r="E1764" s="38" t="s">
        <v>85</v>
      </c>
      <c r="F1764" s="38" t="s">
        <v>86</v>
      </c>
      <c r="G1764" s="49" t="str">
        <f t="shared" si="1"/>
        <v>59980</v>
      </c>
      <c r="H1764" s="49">
        <f t="shared" si="2"/>
        <v>59074</v>
      </c>
    </row>
    <row r="1765">
      <c r="A1765" s="48" t="s">
        <v>301</v>
      </c>
      <c r="B1765" s="38">
        <v>57126.0</v>
      </c>
      <c r="C1765" s="38" t="s">
        <v>3374</v>
      </c>
      <c r="D1765" s="38" t="str">
        <f>IFERROR(__xludf.DUMMYFUNCTION("REGEXREPLACE(C1765,""-\d+(.*)|--\d+(.*)"","""")"),"CHAMBREY")</f>
        <v>CHAMBREY</v>
      </c>
      <c r="E1765" s="38" t="s">
        <v>303</v>
      </c>
      <c r="F1765" s="38" t="s">
        <v>195</v>
      </c>
      <c r="G1765" s="49" t="str">
        <f t="shared" si="1"/>
        <v>57170</v>
      </c>
      <c r="H1765" s="49">
        <f t="shared" si="2"/>
        <v>57126</v>
      </c>
    </row>
    <row r="1766">
      <c r="A1766" s="48" t="s">
        <v>3375</v>
      </c>
      <c r="B1766" s="38">
        <v>24162.0</v>
      </c>
      <c r="C1766" s="38" t="s">
        <v>3376</v>
      </c>
      <c r="D1766" s="38" t="str">
        <f>IFERROR(__xludf.DUMMYFUNCTION("REGEXREPLACE(C1766,""-\d+(.*)|--\d+(.*)"","""")"),"ESCOIRE")</f>
        <v>ESCOIRE</v>
      </c>
      <c r="E1766" s="38" t="s">
        <v>261</v>
      </c>
      <c r="F1766" s="38" t="s">
        <v>252</v>
      </c>
      <c r="G1766" s="49" t="str">
        <f t="shared" si="1"/>
        <v>24420</v>
      </c>
      <c r="H1766" s="49">
        <f t="shared" si="2"/>
        <v>24162</v>
      </c>
    </row>
    <row r="1767">
      <c r="A1767" s="48" t="s">
        <v>3377</v>
      </c>
      <c r="B1767" s="38">
        <v>62323.0</v>
      </c>
      <c r="C1767" s="38" t="s">
        <v>3378</v>
      </c>
      <c r="D1767" s="38" t="str">
        <f>IFERROR(__xludf.DUMMYFUNCTION("REGEXREPLACE(C1767,""-\d+(.*)|--\d+(.*)"","""")"),"FAMPOUX")</f>
        <v>FAMPOUX</v>
      </c>
      <c r="E1767" s="38" t="s">
        <v>109</v>
      </c>
      <c r="F1767" s="38" t="s">
        <v>86</v>
      </c>
      <c r="G1767" s="49" t="str">
        <f t="shared" si="1"/>
        <v>62118</v>
      </c>
      <c r="H1767" s="49">
        <f t="shared" si="2"/>
        <v>62323</v>
      </c>
    </row>
    <row r="1768">
      <c r="A1768" s="48" t="s">
        <v>3379</v>
      </c>
      <c r="B1768" s="38">
        <v>54461.0</v>
      </c>
      <c r="C1768" s="38" t="s">
        <v>3380</v>
      </c>
      <c r="D1768" s="38" t="str">
        <f>IFERROR(__xludf.DUMMYFUNCTION("REGEXREPLACE(C1768,""-\d+(.*)|--\d+(.*)"","""")"),"ROMAIN")</f>
        <v>ROMAIN</v>
      </c>
      <c r="E1768" s="38" t="s">
        <v>548</v>
      </c>
      <c r="F1768" s="38" t="s">
        <v>195</v>
      </c>
      <c r="G1768" s="49" t="str">
        <f t="shared" si="1"/>
        <v>54360</v>
      </c>
      <c r="H1768" s="49">
        <f t="shared" si="2"/>
        <v>54461</v>
      </c>
    </row>
    <row r="1769">
      <c r="A1769" s="48" t="s">
        <v>2379</v>
      </c>
      <c r="B1769" s="38">
        <v>65208.0</v>
      </c>
      <c r="C1769" s="38" t="s">
        <v>3381</v>
      </c>
      <c r="D1769" s="38" t="str">
        <f>IFERROR(__xludf.DUMMYFUNCTION("REGEXREPLACE(C1769,""-\d+(.*)|--\d+(.*)"","""")"),"GRAILHEN")</f>
        <v>GRAILHEN</v>
      </c>
      <c r="E1769" s="38" t="s">
        <v>200</v>
      </c>
      <c r="F1769" s="38" t="s">
        <v>94</v>
      </c>
      <c r="G1769" s="49" t="str">
        <f t="shared" si="1"/>
        <v>65170</v>
      </c>
      <c r="H1769" s="49">
        <f t="shared" si="2"/>
        <v>65208</v>
      </c>
    </row>
    <row r="1770">
      <c r="A1770" s="48" t="s">
        <v>3382</v>
      </c>
      <c r="B1770" s="38">
        <v>41040.0</v>
      </c>
      <c r="C1770" s="38" t="s">
        <v>3383</v>
      </c>
      <c r="D1770" s="38" t="str">
        <f>IFERROR(__xludf.DUMMYFUNCTION("REGEXREPLACE(C1770,""-\d+(.*)|--\d+(.*)"","""")"),"LA CHAPELLE-VENDOMOISE")</f>
        <v>LA CHAPELLE-VENDOMOISE</v>
      </c>
      <c r="E1770" s="38" t="s">
        <v>188</v>
      </c>
      <c r="F1770" s="38" t="s">
        <v>123</v>
      </c>
      <c r="G1770" s="49" t="str">
        <f t="shared" si="1"/>
        <v>41330</v>
      </c>
      <c r="H1770" s="49">
        <f t="shared" si="2"/>
        <v>41040</v>
      </c>
    </row>
    <row r="1771">
      <c r="A1771" s="48" t="s">
        <v>2773</v>
      </c>
      <c r="B1771" s="38">
        <v>21706.0</v>
      </c>
      <c r="C1771" s="38" t="s">
        <v>3384</v>
      </c>
      <c r="D1771" s="38" t="str">
        <f>IFERROR(__xludf.DUMMYFUNCTION("REGEXREPLACE(C1771,""-\d+(.*)|--\d+(.*)"","""")"),"VILLOTTE-SUR-OURCE")</f>
        <v>VILLOTTE-SUR-OURCE</v>
      </c>
      <c r="E1771" s="38" t="s">
        <v>105</v>
      </c>
      <c r="F1771" s="38" t="s">
        <v>106</v>
      </c>
      <c r="G1771" s="49" t="str">
        <f t="shared" si="1"/>
        <v>21400</v>
      </c>
      <c r="H1771" s="49">
        <f t="shared" si="2"/>
        <v>21706</v>
      </c>
    </row>
    <row r="1772">
      <c r="A1772" s="48" t="s">
        <v>3385</v>
      </c>
      <c r="B1772" s="38">
        <v>87191.0</v>
      </c>
      <c r="C1772" s="38" t="s">
        <v>3386</v>
      </c>
      <c r="D1772" s="38" t="str">
        <f>IFERROR(__xludf.DUMMYFUNCTION("REGEXREPLACE(C1772,""-\d+(.*)|--\d+(.*)"","""")"),"SEREILHAC")</f>
        <v>SEREILHAC</v>
      </c>
      <c r="E1772" s="38" t="s">
        <v>897</v>
      </c>
      <c r="F1772" s="38" t="s">
        <v>98</v>
      </c>
      <c r="G1772" s="49" t="str">
        <f t="shared" si="1"/>
        <v>87620</v>
      </c>
      <c r="H1772" s="49">
        <f t="shared" si="2"/>
        <v>87191</v>
      </c>
    </row>
    <row r="1773">
      <c r="A1773" s="48" t="s">
        <v>3387</v>
      </c>
      <c r="B1773" s="38">
        <v>34176.0</v>
      </c>
      <c r="C1773" s="38" t="s">
        <v>3388</v>
      </c>
      <c r="D1773" s="38" t="str">
        <f>IFERROR(__xludf.DUMMYFUNCTION("REGEXREPLACE(C1773,""-\d+(.*)|--\d+(.*)"","""")"),"MUDAISON")</f>
        <v>MUDAISON</v>
      </c>
      <c r="E1773" s="38" t="s">
        <v>118</v>
      </c>
      <c r="F1773" s="38" t="s">
        <v>119</v>
      </c>
      <c r="G1773" s="49" t="str">
        <f t="shared" si="1"/>
        <v>34130</v>
      </c>
      <c r="H1773" s="49">
        <f t="shared" si="2"/>
        <v>34176</v>
      </c>
    </row>
    <row r="1774">
      <c r="A1774" s="48" t="s">
        <v>3389</v>
      </c>
      <c r="B1774" s="38">
        <v>33290.0</v>
      </c>
      <c r="C1774" s="38" t="s">
        <v>3390</v>
      </c>
      <c r="D1774" s="38" t="str">
        <f>IFERROR(__xludf.DUMMYFUNCTION("REGEXREPLACE(C1774,""-\d+(.*)|--\d+(.*)"","""")"),"MONTAGNE")</f>
        <v>MONTAGNE</v>
      </c>
      <c r="E1774" s="38" t="s">
        <v>462</v>
      </c>
      <c r="F1774" s="38" t="s">
        <v>252</v>
      </c>
      <c r="G1774" s="49" t="str">
        <f t="shared" si="1"/>
        <v>33570</v>
      </c>
      <c r="H1774" s="49">
        <f t="shared" si="2"/>
        <v>33290</v>
      </c>
    </row>
    <row r="1775">
      <c r="A1775" s="48" t="s">
        <v>3391</v>
      </c>
      <c r="B1775" s="38">
        <v>14509.0</v>
      </c>
      <c r="C1775" s="38" t="s">
        <v>3392</v>
      </c>
      <c r="D1775" s="38" t="str">
        <f>IFERROR(__xludf.DUMMYFUNCTION("REGEXREPLACE(C1775,""-\d+(.*)|--\d+(.*)"","""")"),"PLUMETOT")</f>
        <v>PLUMETOT</v>
      </c>
      <c r="E1775" s="38" t="s">
        <v>137</v>
      </c>
      <c r="F1775" s="38" t="s">
        <v>138</v>
      </c>
      <c r="G1775" s="49" t="str">
        <f t="shared" si="1"/>
        <v>14440</v>
      </c>
      <c r="H1775" s="49">
        <f t="shared" si="2"/>
        <v>14509</v>
      </c>
    </row>
    <row r="1776">
      <c r="A1776" s="48" t="s">
        <v>1978</v>
      </c>
      <c r="B1776" s="38">
        <v>88377.0</v>
      </c>
      <c r="C1776" s="38" t="s">
        <v>3393</v>
      </c>
      <c r="D1776" s="38" t="str">
        <f>IFERROR(__xludf.DUMMYFUNCTION("REGEXREPLACE(C1776,""-\d+(.*)|--\d+(.*)"","""")"),"REGNEVELLE")</f>
        <v>REGNEVELLE</v>
      </c>
      <c r="E1776" s="38" t="s">
        <v>194</v>
      </c>
      <c r="F1776" s="38" t="s">
        <v>195</v>
      </c>
      <c r="G1776" s="49" t="str">
        <f t="shared" si="1"/>
        <v>88410</v>
      </c>
      <c r="H1776" s="49">
        <f t="shared" si="2"/>
        <v>88377</v>
      </c>
    </row>
    <row r="1777">
      <c r="A1777" s="48" t="s">
        <v>522</v>
      </c>
      <c r="B1777" s="38">
        <v>39281.0</v>
      </c>
      <c r="C1777" s="38" t="s">
        <v>3394</v>
      </c>
      <c r="D1777" s="38" t="str">
        <f>IFERROR(__xludf.DUMMYFUNCTION("REGEXREPLACE(C1777,""-\d+(.*)|--\d+(.*)"","""")"),"LE LATET")</f>
        <v>LE LATET</v>
      </c>
      <c r="E1777" s="38" t="s">
        <v>400</v>
      </c>
      <c r="F1777" s="38" t="s">
        <v>214</v>
      </c>
      <c r="G1777" s="49" t="str">
        <f t="shared" si="1"/>
        <v>39300</v>
      </c>
      <c r="H1777" s="49">
        <f t="shared" si="2"/>
        <v>39281</v>
      </c>
    </row>
    <row r="1778">
      <c r="A1778" s="48" t="s">
        <v>3395</v>
      </c>
      <c r="B1778" s="38">
        <v>40200.0</v>
      </c>
      <c r="C1778" s="38" t="s">
        <v>3396</v>
      </c>
      <c r="D1778" s="38" t="str">
        <f>IFERROR(__xludf.DUMMYFUNCTION("REGEXREPLACE(C1778,""-\d+(.*)|--\d+(.*)"","""")"),"MOUSTEY")</f>
        <v>MOUSTEY</v>
      </c>
      <c r="E1778" s="38" t="s">
        <v>281</v>
      </c>
      <c r="F1778" s="38" t="s">
        <v>252</v>
      </c>
      <c r="G1778" s="49" t="str">
        <f t="shared" si="1"/>
        <v>40410</v>
      </c>
      <c r="H1778" s="49">
        <f t="shared" si="2"/>
        <v>40200</v>
      </c>
    </row>
    <row r="1779">
      <c r="A1779" s="48" t="s">
        <v>3397</v>
      </c>
      <c r="B1779" s="38">
        <v>52190.0</v>
      </c>
      <c r="C1779" s="38" t="s">
        <v>3398</v>
      </c>
      <c r="D1779" s="38" t="str">
        <f>IFERROR(__xludf.DUMMYFUNCTION("REGEXREPLACE(C1779,""-\d+(.*)|--\d+(.*)"","""")"),"ESNOUVEAUX")</f>
        <v>ESNOUVEAUX</v>
      </c>
      <c r="E1779" s="38" t="s">
        <v>234</v>
      </c>
      <c r="F1779" s="38" t="s">
        <v>130</v>
      </c>
      <c r="G1779" s="49" t="str">
        <f t="shared" si="1"/>
        <v>52340</v>
      </c>
      <c r="H1779" s="49">
        <f t="shared" si="2"/>
        <v>52190</v>
      </c>
    </row>
    <row r="1780">
      <c r="A1780" s="48" t="s">
        <v>948</v>
      </c>
      <c r="B1780" s="38">
        <v>68105.0</v>
      </c>
      <c r="C1780" s="38" t="s">
        <v>3399</v>
      </c>
      <c r="D1780" s="38" t="str">
        <f>IFERROR(__xludf.DUMMYFUNCTION("REGEXREPLACE(C1780,""-\d+(.*)|--\d+(.*)"","""")"),"GILDWILLER")</f>
        <v>GILDWILLER</v>
      </c>
      <c r="E1780" s="38" t="s">
        <v>150</v>
      </c>
      <c r="F1780" s="38" t="s">
        <v>151</v>
      </c>
      <c r="G1780" s="49" t="str">
        <f t="shared" si="1"/>
        <v>68210</v>
      </c>
      <c r="H1780" s="49">
        <f t="shared" si="2"/>
        <v>68105</v>
      </c>
    </row>
    <row r="1781">
      <c r="A1781" s="48" t="s">
        <v>3400</v>
      </c>
      <c r="B1781" s="38">
        <v>89118.0</v>
      </c>
      <c r="C1781" s="38" t="s">
        <v>3401</v>
      </c>
      <c r="D1781" s="38" t="str">
        <f>IFERROR(__xludf.DUMMYFUNCTION("REGEXREPLACE(C1781,""-\d+(.*)|--\d+(.*)"","""")"),"COULANGES-LA-VINEUSE")</f>
        <v>COULANGES-LA-VINEUSE</v>
      </c>
      <c r="E1781" s="38" t="s">
        <v>275</v>
      </c>
      <c r="F1781" s="38" t="s">
        <v>106</v>
      </c>
      <c r="G1781" s="49" t="str">
        <f t="shared" si="1"/>
        <v>89580</v>
      </c>
      <c r="H1781" s="49">
        <f t="shared" si="2"/>
        <v>89118</v>
      </c>
    </row>
    <row r="1782">
      <c r="A1782" s="48" t="s">
        <v>2387</v>
      </c>
      <c r="B1782" s="38">
        <v>42188.0</v>
      </c>
      <c r="C1782" s="38" t="s">
        <v>3402</v>
      </c>
      <c r="D1782" s="38" t="str">
        <f>IFERROR(__xludf.DUMMYFUNCTION("REGEXREPLACE(C1782,""-\d+(.*)|--\d+(.*)"","""")"),"ROCHE")</f>
        <v>ROCHE</v>
      </c>
      <c r="E1782" s="38" t="s">
        <v>166</v>
      </c>
      <c r="F1782" s="38" t="s">
        <v>102</v>
      </c>
      <c r="G1782" s="49" t="str">
        <f t="shared" si="1"/>
        <v>42600</v>
      </c>
      <c r="H1782" s="49">
        <f t="shared" si="2"/>
        <v>42188</v>
      </c>
    </row>
    <row r="1783">
      <c r="A1783" s="48" t="s">
        <v>854</v>
      </c>
      <c r="B1783" s="38">
        <v>62595.0</v>
      </c>
      <c r="C1783" s="38" t="s">
        <v>3403</v>
      </c>
      <c r="D1783" s="38" t="str">
        <f>IFERROR(__xludf.DUMMYFUNCTION("REGEXREPLACE(C1783,""-\d+(.*)|--\d+(.*)"","""")"),"MOULLE")</f>
        <v>MOULLE</v>
      </c>
      <c r="E1783" s="38" t="s">
        <v>109</v>
      </c>
      <c r="F1783" s="38" t="s">
        <v>86</v>
      </c>
      <c r="G1783" s="49" t="str">
        <f t="shared" si="1"/>
        <v>62910</v>
      </c>
      <c r="H1783" s="49">
        <f t="shared" si="2"/>
        <v>62595</v>
      </c>
    </row>
    <row r="1784">
      <c r="A1784" s="48" t="s">
        <v>3404</v>
      </c>
      <c r="B1784" s="38">
        <v>39185.0</v>
      </c>
      <c r="C1784" s="38" t="s">
        <v>3405</v>
      </c>
      <c r="D1784" s="38" t="str">
        <f>IFERROR(__xludf.DUMMYFUNCTION("REGEXREPLACE(C1784,""-\d+(.*)|--\d+(.*)"","""")"),"CUISIA")</f>
        <v>CUISIA</v>
      </c>
      <c r="E1784" s="38" t="s">
        <v>400</v>
      </c>
      <c r="F1784" s="38" t="s">
        <v>214</v>
      </c>
      <c r="G1784" s="49" t="str">
        <f t="shared" si="1"/>
        <v>39190</v>
      </c>
      <c r="H1784" s="49">
        <f t="shared" si="2"/>
        <v>39185</v>
      </c>
    </row>
    <row r="1785">
      <c r="A1785" s="48" t="s">
        <v>509</v>
      </c>
      <c r="B1785" s="38">
        <v>28164.0</v>
      </c>
      <c r="C1785" s="38" t="s">
        <v>3406</v>
      </c>
      <c r="D1785" s="38" t="str">
        <f>IFERROR(__xludf.DUMMYFUNCTION("REGEXREPLACE(C1785,""-\d+(.*)|--\d+(.*)"","""")"),"FRESNAY-L'EVEQUE")</f>
        <v>FRESNAY-L'EVEQUE</v>
      </c>
      <c r="E1785" s="38" t="s">
        <v>300</v>
      </c>
      <c r="F1785" s="38" t="s">
        <v>123</v>
      </c>
      <c r="G1785" s="49" t="str">
        <f t="shared" si="1"/>
        <v>28310</v>
      </c>
      <c r="H1785" s="49">
        <f t="shared" si="2"/>
        <v>28164</v>
      </c>
    </row>
    <row r="1786">
      <c r="A1786" s="48" t="s">
        <v>3407</v>
      </c>
      <c r="B1786" s="38">
        <v>38225.0</v>
      </c>
      <c r="C1786" s="38" t="s">
        <v>3408</v>
      </c>
      <c r="D1786" s="38" t="str">
        <f>IFERROR(__xludf.DUMMYFUNCTION("REGEXREPLACE(C1786,""-\d+(.*)|--\d+(.*)"","""")"),"MEAUDRE")</f>
        <v>MEAUDRE</v>
      </c>
      <c r="E1786" s="38" t="s">
        <v>101</v>
      </c>
      <c r="F1786" s="38" t="s">
        <v>102</v>
      </c>
      <c r="G1786" s="49" t="str">
        <f t="shared" si="1"/>
        <v>38112</v>
      </c>
      <c r="H1786" s="49">
        <f t="shared" si="2"/>
        <v>38225</v>
      </c>
    </row>
    <row r="1787">
      <c r="A1787" s="48" t="s">
        <v>1226</v>
      </c>
      <c r="B1787" s="38">
        <v>71157.0</v>
      </c>
      <c r="C1787" s="38" t="s">
        <v>3409</v>
      </c>
      <c r="D1787" s="38" t="str">
        <f>IFERROR(__xludf.DUMMYFUNCTION("REGEXREPLACE(C1787,""-\d+(.*)|--\d+(.*)"","""")"),"CUISEAUX")</f>
        <v>CUISEAUX</v>
      </c>
      <c r="E1787" s="38" t="s">
        <v>344</v>
      </c>
      <c r="F1787" s="38" t="s">
        <v>106</v>
      </c>
      <c r="G1787" s="49" t="str">
        <f t="shared" si="1"/>
        <v>71480</v>
      </c>
      <c r="H1787" s="49">
        <f t="shared" si="2"/>
        <v>71157</v>
      </c>
    </row>
    <row r="1788">
      <c r="A1788" s="48" t="s">
        <v>2937</v>
      </c>
      <c r="B1788" s="38">
        <v>73021.0</v>
      </c>
      <c r="C1788" s="38" t="s">
        <v>3410</v>
      </c>
      <c r="D1788" s="38" t="str">
        <f>IFERROR(__xludf.DUMMYFUNCTION("REGEXREPLACE(C1788,""-\d+(.*)|--\d+(.*)"","""")"),"ARVILLARD")</f>
        <v>ARVILLARD</v>
      </c>
      <c r="E1788" s="38" t="s">
        <v>306</v>
      </c>
      <c r="F1788" s="38" t="s">
        <v>102</v>
      </c>
      <c r="G1788" s="49" t="str">
        <f t="shared" si="1"/>
        <v>73110</v>
      </c>
      <c r="H1788" s="49">
        <f t="shared" si="2"/>
        <v>73021</v>
      </c>
    </row>
    <row r="1789">
      <c r="A1789" s="48" t="s">
        <v>3411</v>
      </c>
      <c r="B1789" s="38">
        <v>40001.0</v>
      </c>
      <c r="C1789" s="38" t="s">
        <v>3412</v>
      </c>
      <c r="D1789" s="38" t="str">
        <f>IFERROR(__xludf.DUMMYFUNCTION("REGEXREPLACE(C1789,""-\d+(.*)|--\d+(.*)"","""")"),"AIRE-SUR-L'ADOUR")</f>
        <v>AIRE-SUR-L'ADOUR</v>
      </c>
      <c r="E1789" s="38" t="s">
        <v>281</v>
      </c>
      <c r="F1789" s="38" t="s">
        <v>252</v>
      </c>
      <c r="G1789" s="49" t="str">
        <f t="shared" si="1"/>
        <v>40800</v>
      </c>
      <c r="H1789" s="49">
        <f t="shared" si="2"/>
        <v>40001</v>
      </c>
    </row>
    <row r="1790">
      <c r="A1790" s="48" t="s">
        <v>3413</v>
      </c>
      <c r="B1790" s="38" t="s">
        <v>3414</v>
      </c>
      <c r="C1790" s="38" t="s">
        <v>3415</v>
      </c>
      <c r="D1790" s="38" t="str">
        <f>IFERROR(__xludf.DUMMYFUNCTION("REGEXREPLACE(C1790,""-\d+(.*)|--\d+(.*)"","""")"),"CASTIRLA")</f>
        <v>CASTIRLA</v>
      </c>
      <c r="E1790" s="38" t="s">
        <v>743</v>
      </c>
      <c r="F1790" s="38" t="s">
        <v>607</v>
      </c>
      <c r="G1790" s="49" t="str">
        <f t="shared" si="1"/>
        <v>20236</v>
      </c>
      <c r="H1790" s="49" t="str">
        <f t="shared" si="2"/>
        <v>2B083</v>
      </c>
    </row>
    <row r="1791">
      <c r="A1791" s="48" t="s">
        <v>2243</v>
      </c>
      <c r="B1791" s="38">
        <v>17101.0</v>
      </c>
      <c r="C1791" s="38" t="s">
        <v>3416</v>
      </c>
      <c r="D1791" s="38" t="str">
        <f>IFERROR(__xludf.DUMMYFUNCTION("REGEXREPLACE(C1791,""-\d+(.*)|--\d+(.*)"","""")"),"CHERBONNIERES")</f>
        <v>CHERBONNIERES</v>
      </c>
      <c r="E1791" s="38" t="s">
        <v>488</v>
      </c>
      <c r="F1791" s="38" t="s">
        <v>338</v>
      </c>
      <c r="G1791" s="49" t="str">
        <f t="shared" si="1"/>
        <v>17470</v>
      </c>
      <c r="H1791" s="49">
        <f t="shared" si="2"/>
        <v>17101</v>
      </c>
    </row>
    <row r="1792">
      <c r="A1792" s="48" t="s">
        <v>1796</v>
      </c>
      <c r="B1792" s="38">
        <v>31207.0</v>
      </c>
      <c r="C1792" s="38" t="s">
        <v>3417</v>
      </c>
      <c r="D1792" s="38" t="str">
        <f>IFERROR(__xludf.DUMMYFUNCTION("REGEXREPLACE(C1792,""-\d+(.*)|--\d+(.*)"","""")"),"GALIE")</f>
        <v>GALIE</v>
      </c>
      <c r="E1792" s="38" t="s">
        <v>93</v>
      </c>
      <c r="F1792" s="38" t="s">
        <v>94</v>
      </c>
      <c r="G1792" s="49" t="str">
        <f t="shared" si="1"/>
        <v>31510</v>
      </c>
      <c r="H1792" s="49">
        <f t="shared" si="2"/>
        <v>31207</v>
      </c>
    </row>
    <row r="1793">
      <c r="A1793" s="48" t="s">
        <v>3418</v>
      </c>
      <c r="B1793" s="38">
        <v>47247.0</v>
      </c>
      <c r="C1793" s="38" t="s">
        <v>3419</v>
      </c>
      <c r="D1793" s="38" t="str">
        <f>IFERROR(__xludf.DUMMYFUNCTION("REGEXREPLACE(C1793,""-\d+(.*)|--\d+(.*)"","""")"),"SAINT-JEAN-DE-DURAS")</f>
        <v>SAINT-JEAN-DE-DURAS</v>
      </c>
      <c r="E1793" s="38" t="s">
        <v>251</v>
      </c>
      <c r="F1793" s="38" t="s">
        <v>252</v>
      </c>
      <c r="G1793" s="49" t="str">
        <f t="shared" si="1"/>
        <v>47120</v>
      </c>
      <c r="H1793" s="49">
        <f t="shared" si="2"/>
        <v>47247</v>
      </c>
    </row>
    <row r="1794">
      <c r="A1794" s="48" t="s">
        <v>1295</v>
      </c>
      <c r="B1794" s="38">
        <v>57421.0</v>
      </c>
      <c r="C1794" s="38" t="s">
        <v>3420</v>
      </c>
      <c r="D1794" s="38" t="str">
        <f>IFERROR(__xludf.DUMMYFUNCTION("REGEXREPLACE(C1794,""-\d+(.*)|--\d+(.*)"","""")"),"LOUTZVILLER")</f>
        <v>LOUTZVILLER</v>
      </c>
      <c r="E1794" s="38" t="s">
        <v>303</v>
      </c>
      <c r="F1794" s="38" t="s">
        <v>195</v>
      </c>
      <c r="G1794" s="49" t="str">
        <f t="shared" si="1"/>
        <v>57720</v>
      </c>
      <c r="H1794" s="49">
        <f t="shared" si="2"/>
        <v>57421</v>
      </c>
    </row>
    <row r="1795">
      <c r="A1795" s="48" t="s">
        <v>1040</v>
      </c>
      <c r="B1795" s="38">
        <v>62344.0</v>
      </c>
      <c r="C1795" s="38" t="s">
        <v>3421</v>
      </c>
      <c r="D1795" s="38" t="str">
        <f>IFERROR(__xludf.DUMMYFUNCTION("REGEXREPLACE(C1795,""-\d+(.*)|--\d+(.*)"","""")"),"FONTAINE-LES-HERMANS")</f>
        <v>FONTAINE-LES-HERMANS</v>
      </c>
      <c r="E1795" s="38" t="s">
        <v>109</v>
      </c>
      <c r="F1795" s="38" t="s">
        <v>86</v>
      </c>
      <c r="G1795" s="49" t="str">
        <f t="shared" si="1"/>
        <v>62550</v>
      </c>
      <c r="H1795" s="49">
        <f t="shared" si="2"/>
        <v>62344</v>
      </c>
    </row>
    <row r="1796">
      <c r="A1796" s="48" t="s">
        <v>3422</v>
      </c>
      <c r="B1796" s="38">
        <v>32138.0</v>
      </c>
      <c r="C1796" s="38" t="s">
        <v>3423</v>
      </c>
      <c r="D1796" s="38" t="str">
        <f>IFERROR(__xludf.DUMMYFUNCTION("REGEXREPLACE(C1796,""-\d+(.*)|--\d+(.*)"","""")"),"GARRAVET")</f>
        <v>GARRAVET</v>
      </c>
      <c r="E1796" s="38" t="s">
        <v>440</v>
      </c>
      <c r="F1796" s="38" t="s">
        <v>94</v>
      </c>
      <c r="G1796" s="49" t="str">
        <f t="shared" si="1"/>
        <v>32220</v>
      </c>
      <c r="H1796" s="49">
        <f t="shared" si="2"/>
        <v>32138</v>
      </c>
    </row>
    <row r="1797">
      <c r="A1797" s="48" t="s">
        <v>3424</v>
      </c>
      <c r="B1797" s="38">
        <v>10209.0</v>
      </c>
      <c r="C1797" s="38" t="s">
        <v>3425</v>
      </c>
      <c r="D1797" s="38" t="str">
        <f>IFERROR(__xludf.DUMMYFUNCTION("REGEXREPLACE(C1797,""-\d+(.*)|--\d+(.*)"","""")"),"LUSIGNY-SUR-BARSE")</f>
        <v>LUSIGNY-SUR-BARSE</v>
      </c>
      <c r="E1797" s="38" t="s">
        <v>147</v>
      </c>
      <c r="F1797" s="38" t="s">
        <v>130</v>
      </c>
      <c r="G1797" s="49" t="str">
        <f t="shared" si="1"/>
        <v>10270</v>
      </c>
      <c r="H1797" s="49">
        <f t="shared" si="2"/>
        <v>10209</v>
      </c>
    </row>
    <row r="1798">
      <c r="A1798" s="48" t="s">
        <v>3426</v>
      </c>
      <c r="B1798" s="38">
        <v>57308.0</v>
      </c>
      <c r="C1798" s="38" t="s">
        <v>3427</v>
      </c>
      <c r="D1798" s="38" t="str">
        <f>IFERROR(__xludf.DUMMYFUNCTION("REGEXREPLACE(C1798,""-\d+(.*)|--\d+(.*)"","""")"),"HAZEMBOURG")</f>
        <v>HAZEMBOURG</v>
      </c>
      <c r="E1798" s="38" t="s">
        <v>303</v>
      </c>
      <c r="F1798" s="38" t="s">
        <v>195</v>
      </c>
      <c r="G1798" s="49" t="str">
        <f t="shared" si="1"/>
        <v>57430</v>
      </c>
      <c r="H1798" s="49">
        <f t="shared" si="2"/>
        <v>57308</v>
      </c>
    </row>
    <row r="1799">
      <c r="A1799" s="48" t="s">
        <v>3428</v>
      </c>
      <c r="B1799" s="38">
        <v>64475.0</v>
      </c>
      <c r="C1799" s="38" t="s">
        <v>3429</v>
      </c>
      <c r="D1799" s="38" t="str">
        <f>IFERROR(__xludf.DUMMYFUNCTION("REGEXREPLACE(C1799,""-\d+(.*)|--\d+(.*)"","""")"),"SAINTE-ENGRACE")</f>
        <v>SAINTE-ENGRACE</v>
      </c>
      <c r="E1799" s="38" t="s">
        <v>268</v>
      </c>
      <c r="F1799" s="38" t="s">
        <v>252</v>
      </c>
      <c r="G1799" s="49" t="str">
        <f t="shared" si="1"/>
        <v>64560</v>
      </c>
      <c r="H1799" s="49">
        <f t="shared" si="2"/>
        <v>64475</v>
      </c>
    </row>
    <row r="1800">
      <c r="A1800" s="48" t="s">
        <v>3430</v>
      </c>
      <c r="B1800" s="38">
        <v>84116.0</v>
      </c>
      <c r="C1800" s="38" t="s">
        <v>3431</v>
      </c>
      <c r="D1800" s="38" t="str">
        <f>IFERROR(__xludf.DUMMYFUNCTION("REGEXREPLACE(C1800,""-\d+(.*)|--\d+(.*)"","""")"),"SAINT-ROMAIN-EN-VIENNOIS")</f>
        <v>SAINT-ROMAIN-EN-VIENNOIS</v>
      </c>
      <c r="E1800" s="38" t="s">
        <v>1026</v>
      </c>
      <c r="F1800" s="38" t="s">
        <v>228</v>
      </c>
      <c r="G1800" s="49" t="str">
        <f t="shared" si="1"/>
        <v>84110</v>
      </c>
      <c r="H1800" s="49">
        <f t="shared" si="2"/>
        <v>84116</v>
      </c>
    </row>
    <row r="1801">
      <c r="A1801" s="48" t="s">
        <v>3432</v>
      </c>
      <c r="B1801" s="38">
        <v>64064.0</v>
      </c>
      <c r="C1801" s="38" t="s">
        <v>3433</v>
      </c>
      <c r="D1801" s="38" t="str">
        <f>IFERROR(__xludf.DUMMYFUNCTION("REGEXREPLACE(C1801,""-\d+(.*)|--\d+(.*)"","""")"),"ASASP-ARROS")</f>
        <v>ASASP-ARROS</v>
      </c>
      <c r="E1801" s="38" t="s">
        <v>268</v>
      </c>
      <c r="F1801" s="38" t="s">
        <v>252</v>
      </c>
      <c r="G1801" s="49" t="str">
        <f t="shared" si="1"/>
        <v>64660</v>
      </c>
      <c r="H1801" s="49">
        <f t="shared" si="2"/>
        <v>64064</v>
      </c>
    </row>
    <row r="1802">
      <c r="A1802" s="48" t="s">
        <v>3434</v>
      </c>
      <c r="B1802" s="38">
        <v>11026.0</v>
      </c>
      <c r="C1802" s="38" t="s">
        <v>3435</v>
      </c>
      <c r="D1802" s="38" t="str">
        <f>IFERROR(__xludf.DUMMYFUNCTION("REGEXREPLACE(C1802,""-\d+(.*)|--\d+(.*)"","""")"),"BARAIGNE")</f>
        <v>BARAIGNE</v>
      </c>
      <c r="E1802" s="38" t="s">
        <v>278</v>
      </c>
      <c r="F1802" s="38" t="s">
        <v>119</v>
      </c>
      <c r="G1802" s="49" t="str">
        <f t="shared" si="1"/>
        <v>11410</v>
      </c>
      <c r="H1802" s="49">
        <f t="shared" si="2"/>
        <v>11026</v>
      </c>
    </row>
    <row r="1803">
      <c r="A1803" s="48" t="s">
        <v>3436</v>
      </c>
      <c r="B1803" s="38">
        <v>33198.0</v>
      </c>
      <c r="C1803" s="38" t="s">
        <v>3437</v>
      </c>
      <c r="D1803" s="38" t="str">
        <f>IFERROR(__xludf.DUMMYFUNCTION("REGEXREPLACE(C1803,""-\d+(.*)|--\d+(.*)"","""")"),"GUITRES")</f>
        <v>GUITRES</v>
      </c>
      <c r="E1803" s="38" t="s">
        <v>462</v>
      </c>
      <c r="F1803" s="38" t="s">
        <v>252</v>
      </c>
      <c r="G1803" s="49" t="str">
        <f t="shared" si="1"/>
        <v>33230</v>
      </c>
      <c r="H1803" s="49">
        <f t="shared" si="2"/>
        <v>33198</v>
      </c>
    </row>
    <row r="1804">
      <c r="A1804" s="48" t="s">
        <v>1250</v>
      </c>
      <c r="B1804" s="38">
        <v>31078.0</v>
      </c>
      <c r="C1804" s="38" t="s">
        <v>3438</v>
      </c>
      <c r="D1804" s="38" t="str">
        <f>IFERROR(__xludf.DUMMYFUNCTION("REGEXREPLACE(C1804,""-\d+(.*)|--\d+(.*)"","""")"),"BOUDRAC")</f>
        <v>BOUDRAC</v>
      </c>
      <c r="E1804" s="38" t="s">
        <v>93</v>
      </c>
      <c r="F1804" s="38" t="s">
        <v>94</v>
      </c>
      <c r="G1804" s="49" t="str">
        <f t="shared" si="1"/>
        <v>31580</v>
      </c>
      <c r="H1804" s="49">
        <f t="shared" si="2"/>
        <v>31078</v>
      </c>
    </row>
    <row r="1805">
      <c r="A1805" s="48" t="s">
        <v>3439</v>
      </c>
      <c r="B1805" s="38">
        <v>86264.0</v>
      </c>
      <c r="C1805" s="38" t="s">
        <v>3440</v>
      </c>
      <c r="D1805" s="38" t="str">
        <f>IFERROR(__xludf.DUMMYFUNCTION("REGEXREPLACE(C1805,""-\d+(.*)|--\d+(.*)"","""")"),"SOMMIERES-DU-CLAIN")</f>
        <v>SOMMIERES-DU-CLAIN</v>
      </c>
      <c r="E1805" s="38" t="s">
        <v>529</v>
      </c>
      <c r="F1805" s="38" t="s">
        <v>338</v>
      </c>
      <c r="G1805" s="49" t="str">
        <f t="shared" si="1"/>
        <v>86160</v>
      </c>
      <c r="H1805" s="49">
        <f t="shared" si="2"/>
        <v>86264</v>
      </c>
    </row>
    <row r="1806">
      <c r="A1806" s="48" t="s">
        <v>3441</v>
      </c>
      <c r="B1806" s="38">
        <v>7130.0</v>
      </c>
      <c r="C1806" s="38" t="s">
        <v>3442</v>
      </c>
      <c r="D1806" s="38" t="str">
        <f>IFERROR(__xludf.DUMMYFUNCTION("REGEXREPLACE(C1806,""-\d+(.*)|--\d+(.*)"","""")"),"LANARCE")</f>
        <v>LANARCE</v>
      </c>
      <c r="E1806" s="38" t="s">
        <v>144</v>
      </c>
      <c r="F1806" s="38" t="s">
        <v>102</v>
      </c>
      <c r="G1806" s="49" t="str">
        <f t="shared" si="1"/>
        <v>07660</v>
      </c>
      <c r="H1806" s="49" t="str">
        <f t="shared" si="2"/>
        <v>07130</v>
      </c>
    </row>
    <row r="1807">
      <c r="A1807" s="48" t="s">
        <v>468</v>
      </c>
      <c r="B1807" s="38">
        <v>26359.0</v>
      </c>
      <c r="C1807" s="38" t="s">
        <v>3443</v>
      </c>
      <c r="D1807" s="38" t="str">
        <f>IFERROR(__xludf.DUMMYFUNCTION("REGEXREPLACE(C1807,""-\d+(.*)|--\d+(.*)"","""")"),"VACHERES-EN-QUINT")</f>
        <v>VACHERES-EN-QUINT</v>
      </c>
      <c r="E1807" s="38" t="s">
        <v>126</v>
      </c>
      <c r="F1807" s="38" t="s">
        <v>102</v>
      </c>
      <c r="G1807" s="49" t="str">
        <f t="shared" si="1"/>
        <v>26150</v>
      </c>
      <c r="H1807" s="49">
        <f t="shared" si="2"/>
        <v>26359</v>
      </c>
    </row>
    <row r="1808">
      <c r="A1808" s="48" t="s">
        <v>3444</v>
      </c>
      <c r="B1808" s="38">
        <v>38419.0</v>
      </c>
      <c r="C1808" s="38" t="s">
        <v>3445</v>
      </c>
      <c r="D1808" s="38" t="str">
        <f>IFERROR(__xludf.DUMMYFUNCTION("REGEXREPLACE(C1808,""-\d+(.*)|--\d+(.*)"","""")"),"SAINT-MARTIN-DE-CLELLES")</f>
        <v>SAINT-MARTIN-DE-CLELLES</v>
      </c>
      <c r="E1808" s="38" t="s">
        <v>101</v>
      </c>
      <c r="F1808" s="38" t="s">
        <v>102</v>
      </c>
      <c r="G1808" s="49" t="str">
        <f t="shared" si="1"/>
        <v>38930</v>
      </c>
      <c r="H1808" s="49">
        <f t="shared" si="2"/>
        <v>38419</v>
      </c>
    </row>
    <row r="1809">
      <c r="A1809" s="48" t="s">
        <v>3446</v>
      </c>
      <c r="B1809" s="38">
        <v>21548.0</v>
      </c>
      <c r="C1809" s="38" t="s">
        <v>3447</v>
      </c>
      <c r="D1809" s="38" t="str">
        <f>IFERROR(__xludf.DUMMYFUNCTION("REGEXREPLACE(C1809,""-\d+(.*)|--\d+(.*)"","""")"),"SAINT-GERMAIN-DE-MODEON")</f>
        <v>SAINT-GERMAIN-DE-MODEON</v>
      </c>
      <c r="E1809" s="38" t="s">
        <v>105</v>
      </c>
      <c r="F1809" s="38" t="s">
        <v>106</v>
      </c>
      <c r="G1809" s="49" t="str">
        <f t="shared" si="1"/>
        <v>21530</v>
      </c>
      <c r="H1809" s="49">
        <f t="shared" si="2"/>
        <v>21548</v>
      </c>
    </row>
    <row r="1810">
      <c r="A1810" s="48" t="s">
        <v>3448</v>
      </c>
      <c r="B1810" s="38">
        <v>65270.0</v>
      </c>
      <c r="C1810" s="38" t="s">
        <v>3449</v>
      </c>
      <c r="D1810" s="38" t="str">
        <f>IFERROR(__xludf.DUMMYFUNCTION("REGEXREPLACE(C1810,""-\d+(.*)|--\d+(.*)"","""")"),"LESPOUEY")</f>
        <v>LESPOUEY</v>
      </c>
      <c r="E1810" s="38" t="s">
        <v>200</v>
      </c>
      <c r="F1810" s="38" t="s">
        <v>94</v>
      </c>
      <c r="G1810" s="49" t="str">
        <f t="shared" si="1"/>
        <v>65190</v>
      </c>
      <c r="H1810" s="49">
        <f t="shared" si="2"/>
        <v>65270</v>
      </c>
    </row>
    <row r="1811">
      <c r="A1811" s="48" t="s">
        <v>3450</v>
      </c>
      <c r="B1811" s="38">
        <v>60021.0</v>
      </c>
      <c r="C1811" s="38" t="s">
        <v>3451</v>
      </c>
      <c r="D1811" s="38" t="str">
        <f>IFERROR(__xludf.DUMMYFUNCTION("REGEXREPLACE(C1811,""-\d+(.*)|--\d+(.*)"","""")"),"APPILLY")</f>
        <v>APPILLY</v>
      </c>
      <c r="E1811" s="38" t="s">
        <v>112</v>
      </c>
      <c r="F1811" s="38" t="s">
        <v>113</v>
      </c>
      <c r="G1811" s="49" t="str">
        <f t="shared" si="1"/>
        <v>60400</v>
      </c>
      <c r="H1811" s="49">
        <f t="shared" si="2"/>
        <v>60021</v>
      </c>
    </row>
    <row r="1812">
      <c r="A1812" s="48" t="s">
        <v>3452</v>
      </c>
      <c r="B1812" s="38">
        <v>36112.0</v>
      </c>
      <c r="C1812" s="38" t="s">
        <v>3453</v>
      </c>
      <c r="D1812" s="38" t="str">
        <f>IFERROR(__xludf.DUMMYFUNCTION("REGEXREPLACE(C1812,""-\d+(.*)|--\d+(.*)"","""")"),"MARON")</f>
        <v>MARON</v>
      </c>
      <c r="E1812" s="38" t="s">
        <v>258</v>
      </c>
      <c r="F1812" s="38" t="s">
        <v>123</v>
      </c>
      <c r="G1812" s="49" t="str">
        <f t="shared" si="1"/>
        <v>36120</v>
      </c>
      <c r="H1812" s="49">
        <f t="shared" si="2"/>
        <v>36112</v>
      </c>
    </row>
    <row r="1813">
      <c r="A1813" s="48" t="s">
        <v>3226</v>
      </c>
      <c r="B1813" s="38">
        <v>61353.0</v>
      </c>
      <c r="C1813" s="38" t="s">
        <v>3454</v>
      </c>
      <c r="D1813" s="38" t="str">
        <f>IFERROR(__xludf.DUMMYFUNCTION("REGEXREPLACE(C1813,""-\d+(.*)|--\d+(.*)"","""")"),"RONFEUGERAI")</f>
        <v>RONFEUGERAI</v>
      </c>
      <c r="E1813" s="38" t="s">
        <v>141</v>
      </c>
      <c r="F1813" s="38" t="s">
        <v>138</v>
      </c>
      <c r="G1813" s="49" t="str">
        <f t="shared" si="1"/>
        <v>61100</v>
      </c>
      <c r="H1813" s="49">
        <f t="shared" si="2"/>
        <v>61353</v>
      </c>
    </row>
    <row r="1814">
      <c r="A1814" s="48" t="s">
        <v>1157</v>
      </c>
      <c r="B1814" s="38">
        <v>16028.0</v>
      </c>
      <c r="C1814" s="38" t="s">
        <v>3455</v>
      </c>
      <c r="D1814" s="38" t="str">
        <f>IFERROR(__xludf.DUMMYFUNCTION("REGEXREPLACE(C1814,""-\d+(.*)|--\d+(.*)"","""")"),"BARBEZIEUX-SAINT-HILAIRE")</f>
        <v>BARBEZIEUX-SAINT-HILAIRE</v>
      </c>
      <c r="E1814" s="38" t="s">
        <v>429</v>
      </c>
      <c r="F1814" s="38" t="s">
        <v>338</v>
      </c>
      <c r="G1814" s="49" t="str">
        <f t="shared" si="1"/>
        <v>16300</v>
      </c>
      <c r="H1814" s="49">
        <f t="shared" si="2"/>
        <v>16028</v>
      </c>
    </row>
    <row r="1815">
      <c r="A1815" s="48" t="s">
        <v>1557</v>
      </c>
      <c r="B1815" s="38">
        <v>5142.0</v>
      </c>
      <c r="C1815" s="38" t="s">
        <v>3456</v>
      </c>
      <c r="D1815" s="38" t="str">
        <f>IFERROR(__xludf.DUMMYFUNCTION("REGEXREPLACE(C1815,""-\d+(.*)|--\d+(.*)"","""")"),"SAINT-FIRMIN")</f>
        <v>SAINT-FIRMIN</v>
      </c>
      <c r="E1815" s="38" t="s">
        <v>706</v>
      </c>
      <c r="F1815" s="38" t="s">
        <v>228</v>
      </c>
      <c r="G1815" s="49" t="str">
        <f t="shared" si="1"/>
        <v>05800</v>
      </c>
      <c r="H1815" s="49" t="str">
        <f t="shared" si="2"/>
        <v>05142</v>
      </c>
    </row>
    <row r="1816">
      <c r="A1816" s="48" t="s">
        <v>1435</v>
      </c>
      <c r="B1816" s="38">
        <v>14563.0</v>
      </c>
      <c r="C1816" s="38" t="s">
        <v>3457</v>
      </c>
      <c r="D1816" s="38" t="str">
        <f>IFERROR(__xludf.DUMMYFUNCTION("REGEXREPLACE(C1816,""-\d+(.*)|--\d+(.*)"","""")"),"SAINT-BENOIT-D'HEBERTOT")</f>
        <v>SAINT-BENOIT-D'HEBERTOT</v>
      </c>
      <c r="E1816" s="38" t="s">
        <v>137</v>
      </c>
      <c r="F1816" s="38" t="s">
        <v>138</v>
      </c>
      <c r="G1816" s="49" t="str">
        <f t="shared" si="1"/>
        <v>14130</v>
      </c>
      <c r="H1816" s="49">
        <f t="shared" si="2"/>
        <v>14563</v>
      </c>
    </row>
    <row r="1817">
      <c r="A1817" s="48" t="s">
        <v>3458</v>
      </c>
      <c r="B1817" s="38">
        <v>52274.0</v>
      </c>
      <c r="C1817" s="38" t="s">
        <v>3459</v>
      </c>
      <c r="D1817" s="38" t="str">
        <f>IFERROR(__xludf.DUMMYFUNCTION("REGEXREPLACE(C1817,""-\d+(.*)|--\d+(.*)"","""")"),"LATRECEY-ORMOY-SUR-AUBE")</f>
        <v>LATRECEY-ORMOY-SUR-AUBE</v>
      </c>
      <c r="E1817" s="38" t="s">
        <v>234</v>
      </c>
      <c r="F1817" s="38" t="s">
        <v>130</v>
      </c>
      <c r="G1817" s="49" t="str">
        <f t="shared" si="1"/>
        <v>52120</v>
      </c>
      <c r="H1817" s="49">
        <f t="shared" si="2"/>
        <v>52274</v>
      </c>
    </row>
    <row r="1818">
      <c r="A1818" s="48" t="s">
        <v>1145</v>
      </c>
      <c r="B1818" s="38">
        <v>77400.0</v>
      </c>
      <c r="C1818" s="38" t="s">
        <v>3460</v>
      </c>
      <c r="D1818" s="38" t="str">
        <f>IFERROR(__xludf.DUMMYFUNCTION("REGEXREPLACE(C1818,""-\d+(.*)|--\d+(.*)"","""")"),"SAINT-AUGUSTIN")</f>
        <v>SAINT-AUGUSTIN</v>
      </c>
      <c r="E1818" s="38" t="s">
        <v>244</v>
      </c>
      <c r="F1818" s="38" t="s">
        <v>245</v>
      </c>
      <c r="G1818" s="49" t="str">
        <f t="shared" si="1"/>
        <v>77515</v>
      </c>
      <c r="H1818" s="49">
        <f t="shared" si="2"/>
        <v>77400</v>
      </c>
    </row>
    <row r="1819">
      <c r="A1819" s="48" t="s">
        <v>1114</v>
      </c>
      <c r="B1819" s="38">
        <v>2542.0</v>
      </c>
      <c r="C1819" s="38" t="s">
        <v>3461</v>
      </c>
      <c r="D1819" s="38" t="str">
        <f>IFERROR(__xludf.DUMMYFUNCTION("REGEXREPLACE(C1819,""-\d+(.*)|--\d+(.*)"","""")"),"NEUFLIEUX")</f>
        <v>NEUFLIEUX</v>
      </c>
      <c r="E1819" s="38" t="s">
        <v>191</v>
      </c>
      <c r="F1819" s="38" t="s">
        <v>113</v>
      </c>
      <c r="G1819" s="49" t="str">
        <f t="shared" si="1"/>
        <v>02300</v>
      </c>
      <c r="H1819" s="49" t="str">
        <f t="shared" si="2"/>
        <v>02542</v>
      </c>
    </row>
    <row r="1820">
      <c r="A1820" s="48" t="s">
        <v>3462</v>
      </c>
      <c r="B1820" s="38">
        <v>66012.0</v>
      </c>
      <c r="C1820" s="38" t="s">
        <v>3463</v>
      </c>
      <c r="D1820" s="38" t="str">
        <f>IFERROR(__xludf.DUMMYFUNCTION("REGEXREPLACE(C1820,""-\d+(.*)|--\d+(.*)"","""")"),"BAHO")</f>
        <v>BAHO</v>
      </c>
      <c r="E1820" s="38" t="s">
        <v>248</v>
      </c>
      <c r="F1820" s="38" t="s">
        <v>119</v>
      </c>
      <c r="G1820" s="49" t="str">
        <f t="shared" si="1"/>
        <v>66540</v>
      </c>
      <c r="H1820" s="49">
        <f t="shared" si="2"/>
        <v>66012</v>
      </c>
    </row>
    <row r="1821">
      <c r="A1821" s="48" t="s">
        <v>844</v>
      </c>
      <c r="B1821" s="38">
        <v>72326.0</v>
      </c>
      <c r="C1821" s="38" t="s">
        <v>3464</v>
      </c>
      <c r="D1821" s="38" t="str">
        <f>IFERROR(__xludf.DUMMYFUNCTION("REGEXREPLACE(C1821,""-\d+(.*)|--\d+(.*)"","""")"),"SAOSNES")</f>
        <v>SAOSNES</v>
      </c>
      <c r="E1821" s="38" t="s">
        <v>521</v>
      </c>
      <c r="F1821" s="38" t="s">
        <v>180</v>
      </c>
      <c r="G1821" s="49" t="str">
        <f t="shared" si="1"/>
        <v>72600</v>
      </c>
      <c r="H1821" s="49">
        <f t="shared" si="2"/>
        <v>72326</v>
      </c>
    </row>
    <row r="1822">
      <c r="A1822" s="48" t="s">
        <v>3465</v>
      </c>
      <c r="B1822" s="38">
        <v>11204.0</v>
      </c>
      <c r="C1822" s="38" t="s">
        <v>3466</v>
      </c>
      <c r="D1822" s="38" t="str">
        <f>IFERROR(__xludf.DUMMYFUNCTION("REGEXREPLACE(C1822,""-\d+(.*)|--\d+(.*)"","""")"),"LIGNAIROLLES")</f>
        <v>LIGNAIROLLES</v>
      </c>
      <c r="E1822" s="38" t="s">
        <v>278</v>
      </c>
      <c r="F1822" s="38" t="s">
        <v>119</v>
      </c>
      <c r="G1822" s="49" t="str">
        <f t="shared" si="1"/>
        <v>11240</v>
      </c>
      <c r="H1822" s="49">
        <f t="shared" si="2"/>
        <v>11204</v>
      </c>
    </row>
    <row r="1823">
      <c r="A1823" s="48" t="s">
        <v>3467</v>
      </c>
      <c r="B1823" s="38">
        <v>72378.0</v>
      </c>
      <c r="C1823" s="38" t="s">
        <v>3468</v>
      </c>
      <c r="D1823" s="38" t="str">
        <f>IFERROR(__xludf.DUMMYFUNCTION("REGEXREPLACE(C1823,""-\d+(.*)|--\d+(.*)"","""")"),"VION")</f>
        <v>VION</v>
      </c>
      <c r="E1823" s="38" t="s">
        <v>521</v>
      </c>
      <c r="F1823" s="38" t="s">
        <v>180</v>
      </c>
      <c r="G1823" s="49" t="str">
        <f t="shared" si="1"/>
        <v>72300</v>
      </c>
      <c r="H1823" s="49">
        <f t="shared" si="2"/>
        <v>72378</v>
      </c>
    </row>
    <row r="1824">
      <c r="A1824" s="48" t="s">
        <v>3469</v>
      </c>
      <c r="B1824" s="38">
        <v>74288.0</v>
      </c>
      <c r="C1824" s="38" t="s">
        <v>3470</v>
      </c>
      <c r="D1824" s="38" t="str">
        <f>IFERROR(__xludf.DUMMYFUNCTION("REGEXREPLACE(C1824,""-\d+(.*)|--\d+(.*)"","""")"),"VALLEIRY")</f>
        <v>VALLEIRY</v>
      </c>
      <c r="E1824" s="38" t="s">
        <v>319</v>
      </c>
      <c r="F1824" s="38" t="s">
        <v>102</v>
      </c>
      <c r="G1824" s="49" t="str">
        <f t="shared" si="1"/>
        <v>74520</v>
      </c>
      <c r="H1824" s="49">
        <f t="shared" si="2"/>
        <v>74288</v>
      </c>
    </row>
    <row r="1825">
      <c r="A1825" s="48" t="s">
        <v>1903</v>
      </c>
      <c r="B1825" s="38">
        <v>10072.0</v>
      </c>
      <c r="C1825" s="38" t="s">
        <v>3471</v>
      </c>
      <c r="D1825" s="38" t="str">
        <f>IFERROR(__xludf.DUMMYFUNCTION("REGEXREPLACE(C1825,""-\d+(.*)|--\d+(.*)"","""")"),"LA CHAISE")</f>
        <v>LA CHAISE</v>
      </c>
      <c r="E1825" s="38" t="s">
        <v>147</v>
      </c>
      <c r="F1825" s="38" t="s">
        <v>130</v>
      </c>
      <c r="G1825" s="49" t="str">
        <f t="shared" si="1"/>
        <v>10500</v>
      </c>
      <c r="H1825" s="49">
        <f t="shared" si="2"/>
        <v>10072</v>
      </c>
    </row>
    <row r="1826">
      <c r="A1826" s="48" t="s">
        <v>2701</v>
      </c>
      <c r="B1826" s="38">
        <v>17321.0</v>
      </c>
      <c r="C1826" s="38" t="s">
        <v>3472</v>
      </c>
      <c r="D1826" s="38" t="str">
        <f>IFERROR(__xludf.DUMMYFUNCTION("REGEXREPLACE(C1826,""-\d+(.*)|--\d+(.*)"","""")"),"SAINT-CREPIN")</f>
        <v>SAINT-CREPIN</v>
      </c>
      <c r="E1826" s="38" t="s">
        <v>488</v>
      </c>
      <c r="F1826" s="38" t="s">
        <v>338</v>
      </c>
      <c r="G1826" s="49" t="str">
        <f t="shared" si="1"/>
        <v>17380</v>
      </c>
      <c r="H1826" s="49">
        <f t="shared" si="2"/>
        <v>17321</v>
      </c>
    </row>
    <row r="1827">
      <c r="A1827" s="48" t="s">
        <v>3473</v>
      </c>
      <c r="B1827" s="38">
        <v>69128.0</v>
      </c>
      <c r="C1827" s="38" t="s">
        <v>3474</v>
      </c>
      <c r="D1827" s="38" t="str">
        <f>IFERROR(__xludf.DUMMYFUNCTION("REGEXREPLACE(C1827,""-\d+(.*)|--\d+(.*)"","""")"),"MARDORE")</f>
        <v>MARDORE</v>
      </c>
      <c r="E1827" s="38" t="s">
        <v>350</v>
      </c>
      <c r="F1827" s="38" t="s">
        <v>102</v>
      </c>
      <c r="G1827" s="49" t="str">
        <f t="shared" si="1"/>
        <v>69240</v>
      </c>
      <c r="H1827" s="49">
        <f t="shared" si="2"/>
        <v>69128</v>
      </c>
    </row>
    <row r="1828">
      <c r="A1828" s="48" t="s">
        <v>3475</v>
      </c>
      <c r="B1828" s="38">
        <v>35080.0</v>
      </c>
      <c r="C1828" s="38" t="s">
        <v>3476</v>
      </c>
      <c r="D1828" s="38" t="str">
        <f>IFERROR(__xludf.DUMMYFUNCTION("REGEXREPLACE(C1828,""-\d+(.*)|--\d+(.*)"","""")"),"CINTRE")</f>
        <v>CINTRE</v>
      </c>
      <c r="E1828" s="38" t="s">
        <v>347</v>
      </c>
      <c r="F1828" s="38" t="s">
        <v>90</v>
      </c>
      <c r="G1828" s="49" t="str">
        <f t="shared" si="1"/>
        <v>35310</v>
      </c>
      <c r="H1828" s="49">
        <f t="shared" si="2"/>
        <v>35080</v>
      </c>
    </row>
    <row r="1829">
      <c r="A1829" s="48" t="s">
        <v>2029</v>
      </c>
      <c r="B1829" s="38">
        <v>50373.0</v>
      </c>
      <c r="C1829" s="38" t="s">
        <v>3477</v>
      </c>
      <c r="D1829" s="38" t="str">
        <f>IFERROR(__xludf.DUMMYFUNCTION("REGEXREPLACE(C1829,""-\d+(.*)|--\d+(.*)"","""")"),"NEUVILLE-AU-PLAIN")</f>
        <v>NEUVILLE-AU-PLAIN</v>
      </c>
      <c r="E1829" s="38" t="s">
        <v>157</v>
      </c>
      <c r="F1829" s="38" t="s">
        <v>138</v>
      </c>
      <c r="G1829" s="49" t="str">
        <f t="shared" si="1"/>
        <v>50480</v>
      </c>
      <c r="H1829" s="49">
        <f t="shared" si="2"/>
        <v>50373</v>
      </c>
    </row>
    <row r="1830">
      <c r="A1830" s="48" t="s">
        <v>3478</v>
      </c>
      <c r="B1830" s="38">
        <v>76026.0</v>
      </c>
      <c r="C1830" s="38" t="s">
        <v>3479</v>
      </c>
      <c r="D1830" s="38" t="str">
        <f>IFERROR(__xludf.DUMMYFUNCTION("REGEXREPLACE(C1830,""-\d+(.*)|--\d+(.*)"","""")"),"ARQUES-LA-BATAILLE")</f>
        <v>ARQUES-LA-BATAILLE</v>
      </c>
      <c r="E1830" s="38" t="s">
        <v>133</v>
      </c>
      <c r="F1830" s="38" t="s">
        <v>134</v>
      </c>
      <c r="G1830" s="49" t="str">
        <f t="shared" si="1"/>
        <v>76880</v>
      </c>
      <c r="H1830" s="49">
        <f t="shared" si="2"/>
        <v>76026</v>
      </c>
    </row>
    <row r="1831">
      <c r="A1831" s="48" t="s">
        <v>3480</v>
      </c>
      <c r="B1831" s="38">
        <v>94058.0</v>
      </c>
      <c r="C1831" s="38" t="s">
        <v>3481</v>
      </c>
      <c r="D1831" s="38" t="str">
        <f>IFERROR(__xludf.DUMMYFUNCTION("REGEXREPLACE(C1831,""-\d+(.*)|--\d+(.*)"","""")"),"LE PERREUX-SUR-MARNE")</f>
        <v>LE PERREUX-SUR-MARNE</v>
      </c>
      <c r="E1831" s="38" t="s">
        <v>561</v>
      </c>
      <c r="F1831" s="38" t="s">
        <v>245</v>
      </c>
      <c r="G1831" s="49" t="str">
        <f t="shared" si="1"/>
        <v>94170</v>
      </c>
      <c r="H1831" s="49">
        <f t="shared" si="2"/>
        <v>94058</v>
      </c>
    </row>
    <row r="1832">
      <c r="A1832" s="48" t="s">
        <v>3382</v>
      </c>
      <c r="B1832" s="38">
        <v>41281.0</v>
      </c>
      <c r="C1832" s="38" t="s">
        <v>3482</v>
      </c>
      <c r="D1832" s="38" t="str">
        <f>IFERROR(__xludf.DUMMYFUNCTION("REGEXREPLACE(C1832,""-\d+(.*)|--\d+(.*)"","""")"),"VILLEFRANCOEUR")</f>
        <v>VILLEFRANCOEUR</v>
      </c>
      <c r="E1832" s="38" t="s">
        <v>188</v>
      </c>
      <c r="F1832" s="38" t="s">
        <v>123</v>
      </c>
      <c r="G1832" s="49" t="str">
        <f t="shared" si="1"/>
        <v>41330</v>
      </c>
      <c r="H1832" s="49">
        <f t="shared" si="2"/>
        <v>41281</v>
      </c>
    </row>
    <row r="1833">
      <c r="A1833" s="48" t="s">
        <v>3483</v>
      </c>
      <c r="B1833" s="38">
        <v>77289.0</v>
      </c>
      <c r="C1833" s="38" t="s">
        <v>3484</v>
      </c>
      <c r="D1833" s="38" t="str">
        <f>IFERROR(__xludf.DUMMYFUNCTION("REGEXREPLACE(C1833,""-\d+(.*)|--\d+(.*)"","""")"),"MELZ-SUR-SEINE")</f>
        <v>MELZ-SUR-SEINE</v>
      </c>
      <c r="E1833" s="38" t="s">
        <v>244</v>
      </c>
      <c r="F1833" s="38" t="s">
        <v>245</v>
      </c>
      <c r="G1833" s="49" t="str">
        <f t="shared" si="1"/>
        <v>77171</v>
      </c>
      <c r="H1833" s="49">
        <f t="shared" si="2"/>
        <v>77289</v>
      </c>
    </row>
    <row r="1834">
      <c r="A1834" s="48" t="s">
        <v>1137</v>
      </c>
      <c r="B1834" s="38">
        <v>60333.0</v>
      </c>
      <c r="C1834" s="38" t="s">
        <v>3485</v>
      </c>
      <c r="D1834" s="38" t="str">
        <f>IFERROR(__xludf.DUMMYFUNCTION("REGEXREPLACE(C1834,""-\d+(.*)|--\d+(.*)"","""")"),"LACHAPELLE-AUX-POTS")</f>
        <v>LACHAPELLE-AUX-POTS</v>
      </c>
      <c r="E1834" s="38" t="s">
        <v>112</v>
      </c>
      <c r="F1834" s="38" t="s">
        <v>113</v>
      </c>
      <c r="G1834" s="49" t="str">
        <f t="shared" si="1"/>
        <v>60650</v>
      </c>
      <c r="H1834" s="49">
        <f t="shared" si="2"/>
        <v>60333</v>
      </c>
    </row>
    <row r="1835">
      <c r="A1835" s="48" t="s">
        <v>3486</v>
      </c>
      <c r="B1835" s="38">
        <v>76509.0</v>
      </c>
      <c r="C1835" s="38" t="s">
        <v>3487</v>
      </c>
      <c r="D1835" s="38" t="str">
        <f>IFERROR(__xludf.DUMMYFUNCTION("REGEXREPLACE(C1835,""-\d+(.*)|--\d+(.*)"","""")"),"PREAUX")</f>
        <v>PREAUX</v>
      </c>
      <c r="E1835" s="38" t="s">
        <v>133</v>
      </c>
      <c r="F1835" s="38" t="s">
        <v>134</v>
      </c>
      <c r="G1835" s="49" t="str">
        <f t="shared" si="1"/>
        <v>76160</v>
      </c>
      <c r="H1835" s="49">
        <f t="shared" si="2"/>
        <v>76509</v>
      </c>
    </row>
    <row r="1836">
      <c r="A1836" s="48" t="s">
        <v>3488</v>
      </c>
      <c r="B1836" s="38">
        <v>67202.0</v>
      </c>
      <c r="C1836" s="38" t="s">
        <v>3489</v>
      </c>
      <c r="D1836" s="38" t="str">
        <f>IFERROR(__xludf.DUMMYFUNCTION("REGEXREPLACE(C1836,""-\d+(.*)|--\d+(.*)"","""")"),"HOCHFELDEN")</f>
        <v>HOCHFELDEN</v>
      </c>
      <c r="E1836" s="38" t="s">
        <v>210</v>
      </c>
      <c r="F1836" s="38" t="s">
        <v>151</v>
      </c>
      <c r="G1836" s="49" t="str">
        <f t="shared" si="1"/>
        <v>67270</v>
      </c>
      <c r="H1836" s="49">
        <f t="shared" si="2"/>
        <v>67202</v>
      </c>
    </row>
    <row r="1837">
      <c r="A1837" s="48" t="s">
        <v>1989</v>
      </c>
      <c r="B1837" s="38">
        <v>60503.0</v>
      </c>
      <c r="C1837" s="38" t="s">
        <v>3490</v>
      </c>
      <c r="D1837" s="38" t="str">
        <f>IFERROR(__xludf.DUMMYFUNCTION("REGEXREPLACE(C1837,""-\d+(.*)|--\d+(.*)"","""")"),"LE PLOYRON")</f>
        <v>LE PLOYRON</v>
      </c>
      <c r="E1837" s="38" t="s">
        <v>112</v>
      </c>
      <c r="F1837" s="38" t="s">
        <v>113</v>
      </c>
      <c r="G1837" s="49" t="str">
        <f t="shared" si="1"/>
        <v>60420</v>
      </c>
      <c r="H1837" s="49">
        <f t="shared" si="2"/>
        <v>60503</v>
      </c>
    </row>
    <row r="1838">
      <c r="A1838" s="48" t="s">
        <v>456</v>
      </c>
      <c r="B1838" s="38">
        <v>63054.0</v>
      </c>
      <c r="C1838" s="38" t="s">
        <v>3491</v>
      </c>
      <c r="D1838" s="38" t="str">
        <f>IFERROR(__xludf.DUMMYFUNCTION("REGEXREPLACE(C1838,""-\d+(.*)|--\d+(.*)"","""")"),"LE BROC")</f>
        <v>LE BROC</v>
      </c>
      <c r="E1838" s="38" t="s">
        <v>353</v>
      </c>
      <c r="F1838" s="38" t="s">
        <v>161</v>
      </c>
      <c r="G1838" s="49" t="str">
        <f t="shared" si="1"/>
        <v>63500</v>
      </c>
      <c r="H1838" s="49">
        <f t="shared" si="2"/>
        <v>63054</v>
      </c>
    </row>
    <row r="1839">
      <c r="A1839" s="48" t="s">
        <v>2659</v>
      </c>
      <c r="B1839" s="38">
        <v>80020.0</v>
      </c>
      <c r="C1839" s="38" t="s">
        <v>3492</v>
      </c>
      <c r="D1839" s="38" t="str">
        <f>IFERROR(__xludf.DUMMYFUNCTION("REGEXREPLACE(C1839,""-\d+(.*)|--\d+(.*)"","""")"),"ALLONVILLE")</f>
        <v>ALLONVILLE</v>
      </c>
      <c r="E1839" s="38" t="s">
        <v>224</v>
      </c>
      <c r="F1839" s="38" t="s">
        <v>113</v>
      </c>
      <c r="G1839" s="49" t="str">
        <f t="shared" si="1"/>
        <v>80260</v>
      </c>
      <c r="H1839" s="49">
        <f t="shared" si="2"/>
        <v>80020</v>
      </c>
    </row>
    <row r="1840">
      <c r="A1840" s="48" t="s">
        <v>3493</v>
      </c>
      <c r="B1840" s="38">
        <v>22162.0</v>
      </c>
      <c r="C1840" s="38" t="s">
        <v>3494</v>
      </c>
      <c r="D1840" s="38" t="str">
        <f>IFERROR(__xludf.DUMMYFUNCTION("REGEXREPLACE(C1840,""-\d+(.*)|--\d+(.*)"","""")"),"PAIMPOL")</f>
        <v>PAIMPOL</v>
      </c>
      <c r="E1840" s="38" t="s">
        <v>89</v>
      </c>
      <c r="F1840" s="38" t="s">
        <v>90</v>
      </c>
      <c r="G1840" s="49" t="str">
        <f t="shared" si="1"/>
        <v>22500</v>
      </c>
      <c r="H1840" s="49">
        <f t="shared" si="2"/>
        <v>22162</v>
      </c>
    </row>
    <row r="1841">
      <c r="A1841" s="48" t="s">
        <v>814</v>
      </c>
      <c r="B1841" s="38">
        <v>4111.0</v>
      </c>
      <c r="C1841" s="38" t="s">
        <v>3495</v>
      </c>
      <c r="D1841" s="38" t="str">
        <f>IFERROR(__xludf.DUMMYFUNCTION("REGEXREPLACE(C1841,""-\d+(.*)|--\d+(.*)"","""")"),"MANE")</f>
        <v>MANE</v>
      </c>
      <c r="E1841" s="38" t="s">
        <v>662</v>
      </c>
      <c r="F1841" s="38" t="s">
        <v>228</v>
      </c>
      <c r="G1841" s="49" t="str">
        <f t="shared" si="1"/>
        <v>04300</v>
      </c>
      <c r="H1841" s="49" t="str">
        <f t="shared" si="2"/>
        <v>04111</v>
      </c>
    </row>
    <row r="1842">
      <c r="A1842" s="48" t="s">
        <v>1518</v>
      </c>
      <c r="B1842" s="38">
        <v>88304.0</v>
      </c>
      <c r="C1842" s="38" t="s">
        <v>3496</v>
      </c>
      <c r="D1842" s="38" t="str">
        <f>IFERROR(__xludf.DUMMYFUNCTION("REGEXREPLACE(C1842,""-\d+(.*)|--\d+(.*)"","""")"),"MIRECOURT")</f>
        <v>MIRECOURT</v>
      </c>
      <c r="E1842" s="38" t="s">
        <v>194</v>
      </c>
      <c r="F1842" s="38" t="s">
        <v>195</v>
      </c>
      <c r="G1842" s="49" t="str">
        <f t="shared" si="1"/>
        <v>88500</v>
      </c>
      <c r="H1842" s="49">
        <f t="shared" si="2"/>
        <v>88304</v>
      </c>
    </row>
    <row r="1843">
      <c r="A1843" s="48" t="s">
        <v>906</v>
      </c>
      <c r="B1843" s="38">
        <v>59467.0</v>
      </c>
      <c r="C1843" s="38" t="s">
        <v>3497</v>
      </c>
      <c r="D1843" s="38" t="str">
        <f>IFERROR(__xludf.DUMMYFUNCTION("REGEXREPLACE(C1843,""-\d+(.*)|--\d+(.*)"","""")"),"PONT-SUR-SAMBRE")</f>
        <v>PONT-SUR-SAMBRE</v>
      </c>
      <c r="E1843" s="38" t="s">
        <v>85</v>
      </c>
      <c r="F1843" s="38" t="s">
        <v>86</v>
      </c>
      <c r="G1843" s="49" t="str">
        <f t="shared" si="1"/>
        <v>59138</v>
      </c>
      <c r="H1843" s="49">
        <f t="shared" si="2"/>
        <v>59467</v>
      </c>
    </row>
    <row r="1844">
      <c r="A1844" s="48" t="s">
        <v>3498</v>
      </c>
      <c r="B1844" s="38">
        <v>38256.0</v>
      </c>
      <c r="C1844" s="38" t="s">
        <v>3499</v>
      </c>
      <c r="D1844" s="38" t="str">
        <f>IFERROR(__xludf.DUMMYFUNCTION("REGEXREPLACE(C1844,""-\d+(.*)|--\d+(.*)"","""")"),"MONTFERRAT")</f>
        <v>MONTFERRAT</v>
      </c>
      <c r="E1844" s="38" t="s">
        <v>101</v>
      </c>
      <c r="F1844" s="38" t="s">
        <v>102</v>
      </c>
      <c r="G1844" s="49" t="str">
        <f t="shared" si="1"/>
        <v>38620</v>
      </c>
      <c r="H1844" s="49">
        <f t="shared" si="2"/>
        <v>38256</v>
      </c>
    </row>
    <row r="1845">
      <c r="A1845" s="48" t="s">
        <v>3500</v>
      </c>
      <c r="B1845" s="38">
        <v>38406.0</v>
      </c>
      <c r="C1845" s="38" t="s">
        <v>3501</v>
      </c>
      <c r="D1845" s="38" t="str">
        <f>IFERROR(__xludf.DUMMYFUNCTION("REGEXREPLACE(C1845,""-\d+(.*)|--\d+(.*)"","""")"),"SAINT-JULIEN-DE-L'HERMS")</f>
        <v>SAINT-JULIEN-DE-L'HERMS</v>
      </c>
      <c r="E1845" s="38" t="s">
        <v>101</v>
      </c>
      <c r="F1845" s="38" t="s">
        <v>102</v>
      </c>
      <c r="G1845" s="49" t="str">
        <f t="shared" si="1"/>
        <v>38122</v>
      </c>
      <c r="H1845" s="49">
        <f t="shared" si="2"/>
        <v>38406</v>
      </c>
    </row>
    <row r="1846">
      <c r="A1846" s="48" t="s">
        <v>3502</v>
      </c>
      <c r="B1846" s="38">
        <v>22254.0</v>
      </c>
      <c r="C1846" s="38" t="s">
        <v>3503</v>
      </c>
      <c r="D1846" s="38" t="str">
        <f>IFERROR(__xludf.DUMMYFUNCTION("REGEXREPLACE(C1846,""-\d+(.*)|--\d+(.*)"","""")"),"PRAT")</f>
        <v>PRAT</v>
      </c>
      <c r="E1846" s="38" t="s">
        <v>89</v>
      </c>
      <c r="F1846" s="38" t="s">
        <v>90</v>
      </c>
      <c r="G1846" s="49" t="str">
        <f t="shared" si="1"/>
        <v>22140</v>
      </c>
      <c r="H1846" s="49">
        <f t="shared" si="2"/>
        <v>22254</v>
      </c>
    </row>
    <row r="1847">
      <c r="A1847" s="48" t="s">
        <v>3504</v>
      </c>
      <c r="B1847" s="38">
        <v>42035.0</v>
      </c>
      <c r="C1847" s="38" t="s">
        <v>3505</v>
      </c>
      <c r="D1847" s="38" t="str">
        <f>IFERROR(__xludf.DUMMYFUNCTION("REGEXREPLACE(C1847,""-\d+(.*)|--\d+(.*)"","""")"),"CEZAY")</f>
        <v>CEZAY</v>
      </c>
      <c r="E1847" s="38" t="s">
        <v>166</v>
      </c>
      <c r="F1847" s="38" t="s">
        <v>102</v>
      </c>
      <c r="G1847" s="49" t="str">
        <f t="shared" si="1"/>
        <v>42130</v>
      </c>
      <c r="H1847" s="49">
        <f t="shared" si="2"/>
        <v>42035</v>
      </c>
    </row>
    <row r="1848">
      <c r="A1848" s="48" t="s">
        <v>3506</v>
      </c>
      <c r="B1848" s="38">
        <v>16046.0</v>
      </c>
      <c r="C1848" s="38" t="s">
        <v>3507</v>
      </c>
      <c r="D1848" s="38" t="str">
        <f>IFERROR(__xludf.DUMMYFUNCTION("REGEXREPLACE(C1848,""-\d+(.*)|--\d+(.*)"","""")"),"BLANZAC-PORCHERESSE")</f>
        <v>BLANZAC-PORCHERESSE</v>
      </c>
      <c r="E1848" s="38" t="s">
        <v>429</v>
      </c>
      <c r="F1848" s="38" t="s">
        <v>338</v>
      </c>
      <c r="G1848" s="49" t="str">
        <f t="shared" si="1"/>
        <v>16250</v>
      </c>
      <c r="H1848" s="49">
        <f t="shared" si="2"/>
        <v>16046</v>
      </c>
    </row>
    <row r="1849">
      <c r="A1849" s="48" t="s">
        <v>3508</v>
      </c>
      <c r="B1849" s="38">
        <v>51271.0</v>
      </c>
      <c r="C1849" s="38" t="s">
        <v>3509</v>
      </c>
      <c r="D1849" s="38" t="str">
        <f>IFERROR(__xludf.DUMMYFUNCTION("REGEXREPLACE(C1849,""-\d+(.*)|--\d+(.*)"","""")"),"GIONGES")</f>
        <v>GIONGES</v>
      </c>
      <c r="E1849" s="38" t="s">
        <v>129</v>
      </c>
      <c r="F1849" s="38" t="s">
        <v>130</v>
      </c>
      <c r="G1849" s="49" t="str">
        <f t="shared" si="1"/>
        <v>51130</v>
      </c>
      <c r="H1849" s="49">
        <f t="shared" si="2"/>
        <v>51271</v>
      </c>
    </row>
    <row r="1850">
      <c r="A1850" s="48" t="s">
        <v>3510</v>
      </c>
      <c r="B1850" s="38">
        <v>78217.0</v>
      </c>
      <c r="C1850" s="38" t="s">
        <v>3511</v>
      </c>
      <c r="D1850" s="38" t="str">
        <f>IFERROR(__xludf.DUMMYFUNCTION("REGEXREPLACE(C1850,""-\d+(.*)|--\d+(.*)"","""")"),"EPONE")</f>
        <v>EPONE</v>
      </c>
      <c r="E1850" s="38" t="s">
        <v>362</v>
      </c>
      <c r="F1850" s="38" t="s">
        <v>245</v>
      </c>
      <c r="G1850" s="49" t="str">
        <f t="shared" si="1"/>
        <v>78680</v>
      </c>
      <c r="H1850" s="49">
        <f t="shared" si="2"/>
        <v>78217</v>
      </c>
    </row>
    <row r="1851">
      <c r="A1851" s="48" t="s">
        <v>1991</v>
      </c>
      <c r="B1851" s="38">
        <v>54087.0</v>
      </c>
      <c r="C1851" s="38" t="s">
        <v>3512</v>
      </c>
      <c r="D1851" s="38" t="str">
        <f>IFERROR(__xludf.DUMMYFUNCTION("REGEXREPLACE(C1851,""-\d+(.*)|--\d+(.*)"","""")"),"BOUILLONVILLE")</f>
        <v>BOUILLONVILLE</v>
      </c>
      <c r="E1851" s="38" t="s">
        <v>548</v>
      </c>
      <c r="F1851" s="38" t="s">
        <v>195</v>
      </c>
      <c r="G1851" s="49" t="str">
        <f t="shared" si="1"/>
        <v>54470</v>
      </c>
      <c r="H1851" s="49">
        <f t="shared" si="2"/>
        <v>54087</v>
      </c>
    </row>
    <row r="1852">
      <c r="A1852" s="48" t="s">
        <v>1693</v>
      </c>
      <c r="B1852" s="38">
        <v>24551.0</v>
      </c>
      <c r="C1852" s="38" t="s">
        <v>3513</v>
      </c>
      <c r="D1852" s="38" t="str">
        <f>IFERROR(__xludf.DUMMYFUNCTION("REGEXREPLACE(C1852,""-\d+(.*)|--\d+(.*)"","""")"),"THIVIERS")</f>
        <v>THIVIERS</v>
      </c>
      <c r="E1852" s="38" t="s">
        <v>261</v>
      </c>
      <c r="F1852" s="38" t="s">
        <v>252</v>
      </c>
      <c r="G1852" s="49" t="str">
        <f t="shared" si="1"/>
        <v>24800</v>
      </c>
      <c r="H1852" s="49">
        <f t="shared" si="2"/>
        <v>24551</v>
      </c>
    </row>
    <row r="1853">
      <c r="A1853" s="48" t="s">
        <v>3050</v>
      </c>
      <c r="B1853" s="38">
        <v>11306.0</v>
      </c>
      <c r="C1853" s="38" t="s">
        <v>3514</v>
      </c>
      <c r="D1853" s="38" t="str">
        <f>IFERROR(__xludf.DUMMYFUNCTION("REGEXREPLACE(C1853,""-\d+(.*)|--\d+(.*)"","""")"),"QUIRBAJOU")</f>
        <v>QUIRBAJOU</v>
      </c>
      <c r="E1853" s="38" t="s">
        <v>278</v>
      </c>
      <c r="F1853" s="38" t="s">
        <v>119</v>
      </c>
      <c r="G1853" s="49" t="str">
        <f t="shared" si="1"/>
        <v>11500</v>
      </c>
      <c r="H1853" s="49">
        <f t="shared" si="2"/>
        <v>11306</v>
      </c>
    </row>
    <row r="1854">
      <c r="A1854" s="48" t="s">
        <v>3515</v>
      </c>
      <c r="B1854" s="38">
        <v>26087.0</v>
      </c>
      <c r="C1854" s="38" t="s">
        <v>3516</v>
      </c>
      <c r="D1854" s="38" t="str">
        <f>IFERROR(__xludf.DUMMYFUNCTION("REGEXREPLACE(C1854,""-\d+(.*)|--\d+(.*)"","""")"),"CHATILLON-SAINT-JEAN")</f>
        <v>CHATILLON-SAINT-JEAN</v>
      </c>
      <c r="E1854" s="38" t="s">
        <v>126</v>
      </c>
      <c r="F1854" s="38" t="s">
        <v>102</v>
      </c>
      <c r="G1854" s="49" t="str">
        <f t="shared" si="1"/>
        <v>26750</v>
      </c>
      <c r="H1854" s="49">
        <f t="shared" si="2"/>
        <v>26087</v>
      </c>
    </row>
    <row r="1855">
      <c r="A1855" s="48" t="s">
        <v>3517</v>
      </c>
      <c r="B1855" s="38">
        <v>49295.0</v>
      </c>
      <c r="C1855" s="38" t="s">
        <v>3518</v>
      </c>
      <c r="D1855" s="38" t="str">
        <f>IFERROR(__xludf.DUMMYFUNCTION("REGEXREPLACE(C1855,""-\d+(.*)|--\d+(.*)"","""")"),"SAINT-LAURENT-DE-LA-PLAINE")</f>
        <v>SAINT-LAURENT-DE-LA-PLAINE</v>
      </c>
      <c r="E1855" s="38" t="s">
        <v>653</v>
      </c>
      <c r="F1855" s="38" t="s">
        <v>180</v>
      </c>
      <c r="G1855" s="49" t="str">
        <f t="shared" si="1"/>
        <v>49290</v>
      </c>
      <c r="H1855" s="49">
        <f t="shared" si="2"/>
        <v>49295</v>
      </c>
    </row>
    <row r="1856">
      <c r="A1856" s="48" t="s">
        <v>3519</v>
      </c>
      <c r="B1856" s="38">
        <v>15153.0</v>
      </c>
      <c r="C1856" s="38" t="s">
        <v>3520</v>
      </c>
      <c r="D1856" s="38" t="str">
        <f>IFERROR(__xludf.DUMMYFUNCTION("REGEXREPLACE(C1856,""-\d+(.*)|--\d+(.*)"","""")"),"PLEAUX")</f>
        <v>PLEAUX</v>
      </c>
      <c r="E1856" s="38" t="s">
        <v>632</v>
      </c>
      <c r="F1856" s="38" t="s">
        <v>161</v>
      </c>
      <c r="G1856" s="49" t="str">
        <f t="shared" si="1"/>
        <v>15700</v>
      </c>
      <c r="H1856" s="49">
        <f t="shared" si="2"/>
        <v>15153</v>
      </c>
    </row>
    <row r="1857">
      <c r="A1857" s="48" t="s">
        <v>2292</v>
      </c>
      <c r="B1857" s="38">
        <v>76247.0</v>
      </c>
      <c r="C1857" s="38" t="s">
        <v>3521</v>
      </c>
      <c r="D1857" s="38" t="str">
        <f>IFERROR(__xludf.DUMMYFUNCTION("REGEXREPLACE(C1857,""-\d+(.*)|--\d+(.*)"","""")"),"ESTEVILLE")</f>
        <v>ESTEVILLE</v>
      </c>
      <c r="E1857" s="38" t="s">
        <v>133</v>
      </c>
      <c r="F1857" s="38" t="s">
        <v>134</v>
      </c>
      <c r="G1857" s="49" t="str">
        <f t="shared" si="1"/>
        <v>76690</v>
      </c>
      <c r="H1857" s="49">
        <f t="shared" si="2"/>
        <v>76247</v>
      </c>
    </row>
    <row r="1858">
      <c r="A1858" s="48" t="s">
        <v>2370</v>
      </c>
      <c r="B1858" s="38">
        <v>33278.0</v>
      </c>
      <c r="C1858" s="38" t="s">
        <v>3522</v>
      </c>
      <c r="D1858" s="38" t="str">
        <f>IFERROR(__xludf.DUMMYFUNCTION("REGEXREPLACE(C1858,""-\d+(.*)|--\d+(.*)"","""")"),"MAURIAC")</f>
        <v>MAURIAC</v>
      </c>
      <c r="E1858" s="38" t="s">
        <v>462</v>
      </c>
      <c r="F1858" s="38" t="s">
        <v>252</v>
      </c>
      <c r="G1858" s="49" t="str">
        <f t="shared" si="1"/>
        <v>33540</v>
      </c>
      <c r="H1858" s="49">
        <f t="shared" si="2"/>
        <v>33278</v>
      </c>
    </row>
    <row r="1859">
      <c r="A1859" s="48" t="s">
        <v>3523</v>
      </c>
      <c r="B1859" s="38">
        <v>31104.0</v>
      </c>
      <c r="C1859" s="38" t="s">
        <v>3524</v>
      </c>
      <c r="D1859" s="38" t="str">
        <f>IFERROR(__xludf.DUMMYFUNCTION("REGEXREPLACE(C1859,""-\d+(.*)|--\d+(.*)"","""")"),"CAPENS")</f>
        <v>CAPENS</v>
      </c>
      <c r="E1859" s="38" t="s">
        <v>93</v>
      </c>
      <c r="F1859" s="38" t="s">
        <v>94</v>
      </c>
      <c r="G1859" s="49" t="str">
        <f t="shared" si="1"/>
        <v>31410</v>
      </c>
      <c r="H1859" s="49">
        <f t="shared" si="2"/>
        <v>31104</v>
      </c>
    </row>
    <row r="1860">
      <c r="A1860" s="48" t="s">
        <v>972</v>
      </c>
      <c r="B1860" s="38">
        <v>37176.0</v>
      </c>
      <c r="C1860" s="38" t="s">
        <v>3525</v>
      </c>
      <c r="D1860" s="38" t="str">
        <f>IFERROR(__xludf.DUMMYFUNCTION("REGEXREPLACE(C1860,""-\d+(.*)|--\d+(.*)"","""")"),"NOYANT-DE-TOURAINE")</f>
        <v>NOYANT-DE-TOURAINE</v>
      </c>
      <c r="E1860" s="38" t="s">
        <v>205</v>
      </c>
      <c r="F1860" s="38" t="s">
        <v>123</v>
      </c>
      <c r="G1860" s="49" t="str">
        <f t="shared" si="1"/>
        <v>37800</v>
      </c>
      <c r="H1860" s="49">
        <f t="shared" si="2"/>
        <v>37176</v>
      </c>
    </row>
    <row r="1861">
      <c r="A1861" s="48" t="s">
        <v>3526</v>
      </c>
      <c r="B1861" s="38">
        <v>66171.0</v>
      </c>
      <c r="C1861" s="38" t="s">
        <v>3527</v>
      </c>
      <c r="D1861" s="38" t="str">
        <f>IFERROR(__xludf.DUMMYFUNCTION("REGEXREPLACE(C1861,""-\d+(.*)|--\d+(.*)"","""")"),"SAINT-CYPRIEN")</f>
        <v>SAINT-CYPRIEN</v>
      </c>
      <c r="E1861" s="38" t="s">
        <v>248</v>
      </c>
      <c r="F1861" s="38" t="s">
        <v>119</v>
      </c>
      <c r="G1861" s="49" t="str">
        <f t="shared" si="1"/>
        <v>66750</v>
      </c>
      <c r="H1861" s="49">
        <f t="shared" si="2"/>
        <v>66171</v>
      </c>
    </row>
    <row r="1862">
      <c r="A1862" s="48" t="s">
        <v>507</v>
      </c>
      <c r="B1862" s="38">
        <v>8238.0</v>
      </c>
      <c r="C1862" s="38" t="s">
        <v>3528</v>
      </c>
      <c r="D1862" s="38" t="str">
        <f>IFERROR(__xludf.DUMMYFUNCTION("REGEXREPLACE(C1862,""-\d+(.*)|--\d+(.*)"","""")"),"JONVAL")</f>
        <v>JONVAL</v>
      </c>
      <c r="E1862" s="38" t="s">
        <v>327</v>
      </c>
      <c r="F1862" s="38" t="s">
        <v>130</v>
      </c>
      <c r="G1862" s="49" t="str">
        <f t="shared" si="1"/>
        <v>08130</v>
      </c>
      <c r="H1862" s="49" t="str">
        <f t="shared" si="2"/>
        <v>08238</v>
      </c>
    </row>
    <row r="1863">
      <c r="A1863" s="48" t="s">
        <v>2170</v>
      </c>
      <c r="B1863" s="38">
        <v>80115.0</v>
      </c>
      <c r="C1863" s="38" t="s">
        <v>3529</v>
      </c>
      <c r="D1863" s="38" t="str">
        <f>IFERROR(__xludf.DUMMYFUNCTION("REGEXREPLACE(C1863,""-\d+(.*)|--\d+(.*)"","""")"),"BOUCHAVESNES-BERGEN")</f>
        <v>BOUCHAVESNES-BERGEN</v>
      </c>
      <c r="E1863" s="38" t="s">
        <v>224</v>
      </c>
      <c r="F1863" s="38" t="s">
        <v>113</v>
      </c>
      <c r="G1863" s="49" t="str">
        <f t="shared" si="1"/>
        <v>80200</v>
      </c>
      <c r="H1863" s="49">
        <f t="shared" si="2"/>
        <v>80115</v>
      </c>
    </row>
    <row r="1864">
      <c r="A1864" s="48" t="s">
        <v>3530</v>
      </c>
      <c r="B1864" s="38">
        <v>44179.0</v>
      </c>
      <c r="C1864" s="38" t="s">
        <v>3531</v>
      </c>
      <c r="D1864" s="38" t="str">
        <f>IFERROR(__xludf.DUMMYFUNCTION("REGEXREPLACE(C1864,""-\d+(.*)|--\d+(.*)"","""")"),"SAINT-MARS-DU-DESERT")</f>
        <v>SAINT-MARS-DU-DESERT</v>
      </c>
      <c r="E1864" s="38" t="s">
        <v>759</v>
      </c>
      <c r="F1864" s="38" t="s">
        <v>180</v>
      </c>
      <c r="G1864" s="49" t="str">
        <f t="shared" si="1"/>
        <v>44850</v>
      </c>
      <c r="H1864" s="49">
        <f t="shared" si="2"/>
        <v>44179</v>
      </c>
    </row>
    <row r="1865">
      <c r="A1865" s="48" t="s">
        <v>3532</v>
      </c>
      <c r="B1865" s="38">
        <v>2075.0</v>
      </c>
      <c r="C1865" s="38" t="s">
        <v>3533</v>
      </c>
      <c r="D1865" s="38" t="str">
        <f>IFERROR(__xludf.DUMMYFUNCTION("REGEXREPLACE(C1865,""-\d+(.*)|--\d+(.*)"","""")"),"BERTHENICOURT")</f>
        <v>BERTHENICOURT</v>
      </c>
      <c r="E1865" s="38" t="s">
        <v>191</v>
      </c>
      <c r="F1865" s="38" t="s">
        <v>113</v>
      </c>
      <c r="G1865" s="49" t="str">
        <f t="shared" si="1"/>
        <v>02240</v>
      </c>
      <c r="H1865" s="49" t="str">
        <f t="shared" si="2"/>
        <v>02075</v>
      </c>
    </row>
    <row r="1866">
      <c r="A1866" s="48" t="s">
        <v>2699</v>
      </c>
      <c r="B1866" s="38">
        <v>79038.0</v>
      </c>
      <c r="C1866" s="38" t="s">
        <v>3534</v>
      </c>
      <c r="D1866" s="38" t="str">
        <f>IFERROR(__xludf.DUMMYFUNCTION("REGEXREPLACE(C1866,""-\d+(.*)|--\d+(.*)"","""")"),"BOISME")</f>
        <v>BOISME</v>
      </c>
      <c r="E1866" s="38" t="s">
        <v>337</v>
      </c>
      <c r="F1866" s="38" t="s">
        <v>338</v>
      </c>
      <c r="G1866" s="49" t="str">
        <f t="shared" si="1"/>
        <v>79300</v>
      </c>
      <c r="H1866" s="49">
        <f t="shared" si="2"/>
        <v>79038</v>
      </c>
    </row>
    <row r="1867">
      <c r="A1867" s="48" t="s">
        <v>1800</v>
      </c>
      <c r="B1867" s="38">
        <v>88021.0</v>
      </c>
      <c r="C1867" s="38" t="s">
        <v>3535</v>
      </c>
      <c r="D1867" s="38" t="str">
        <f>IFERROR(__xludf.DUMMYFUNCTION("REGEXREPLACE(C1867,""-\d+(.*)|--\d+(.*)"","""")"),"AUTREY")</f>
        <v>AUTREY</v>
      </c>
      <c r="E1867" s="38" t="s">
        <v>194</v>
      </c>
      <c r="F1867" s="38" t="s">
        <v>195</v>
      </c>
      <c r="G1867" s="49" t="str">
        <f t="shared" si="1"/>
        <v>88700</v>
      </c>
      <c r="H1867" s="49">
        <f t="shared" si="2"/>
        <v>88021</v>
      </c>
    </row>
    <row r="1868">
      <c r="A1868" s="48" t="s">
        <v>3024</v>
      </c>
      <c r="B1868" s="38">
        <v>91136.0</v>
      </c>
      <c r="C1868" s="38" t="s">
        <v>3536</v>
      </c>
      <c r="D1868" s="38" t="str">
        <f>IFERROR(__xludf.DUMMYFUNCTION("REGEXREPLACE(C1868,""-\d+(.*)|--\d+(.*)"","""")"),"CHAMPLAN")</f>
        <v>CHAMPLAN</v>
      </c>
      <c r="E1868" s="38" t="s">
        <v>756</v>
      </c>
      <c r="F1868" s="38" t="s">
        <v>245</v>
      </c>
      <c r="G1868" s="49" t="str">
        <f t="shared" si="1"/>
        <v>91160</v>
      </c>
      <c r="H1868" s="49">
        <f t="shared" si="2"/>
        <v>91136</v>
      </c>
    </row>
    <row r="1869">
      <c r="A1869" s="48" t="s">
        <v>946</v>
      </c>
      <c r="B1869" s="38">
        <v>81089.0</v>
      </c>
      <c r="C1869" s="38" t="s">
        <v>3537</v>
      </c>
      <c r="D1869" s="38" t="str">
        <f>IFERROR(__xludf.DUMMYFUNCTION("REGEXREPLACE(C1869,""-\d+(.*)|--\d+(.*)"","""")"),"FAUSSERGUES")</f>
        <v>FAUSSERGUES</v>
      </c>
      <c r="E1869" s="38" t="s">
        <v>231</v>
      </c>
      <c r="F1869" s="38" t="s">
        <v>94</v>
      </c>
      <c r="G1869" s="49" t="str">
        <f t="shared" si="1"/>
        <v>81340</v>
      </c>
      <c r="H1869" s="49">
        <f t="shared" si="2"/>
        <v>81089</v>
      </c>
    </row>
    <row r="1870">
      <c r="A1870" s="48" t="s">
        <v>2095</v>
      </c>
      <c r="B1870" s="38">
        <v>72138.0</v>
      </c>
      <c r="C1870" s="38" t="s">
        <v>3538</v>
      </c>
      <c r="D1870" s="38" t="str">
        <f>IFERROR(__xludf.DUMMYFUNCTION("REGEXREPLACE(C1870,""-\d+(.*)|--\d+(.*)"","""")"),"FRESNAY-SUR-SARTHE")</f>
        <v>FRESNAY-SUR-SARTHE</v>
      </c>
      <c r="E1870" s="38" t="s">
        <v>521</v>
      </c>
      <c r="F1870" s="38" t="s">
        <v>180</v>
      </c>
      <c r="G1870" s="49" t="str">
        <f t="shared" si="1"/>
        <v>72130</v>
      </c>
      <c r="H1870" s="49">
        <f t="shared" si="2"/>
        <v>72138</v>
      </c>
    </row>
    <row r="1871">
      <c r="A1871" s="48" t="s">
        <v>3539</v>
      </c>
      <c r="B1871" s="38">
        <v>54368.0</v>
      </c>
      <c r="C1871" s="38" t="s">
        <v>3540</v>
      </c>
      <c r="D1871" s="38" t="str">
        <f>IFERROR(__xludf.DUMMYFUNCTION("REGEXREPLACE(C1871,""-\d+(.*)|--\d+(.*)"","""")"),"MIGNEVILLE")</f>
        <v>MIGNEVILLE</v>
      </c>
      <c r="E1871" s="38" t="s">
        <v>548</v>
      </c>
      <c r="F1871" s="38" t="s">
        <v>195</v>
      </c>
      <c r="G1871" s="49" t="str">
        <f t="shared" si="1"/>
        <v>54540</v>
      </c>
      <c r="H1871" s="49">
        <f t="shared" si="2"/>
        <v>54368</v>
      </c>
    </row>
    <row r="1872">
      <c r="A1872" s="48" t="s">
        <v>3541</v>
      </c>
      <c r="B1872" s="38">
        <v>32330.0</v>
      </c>
      <c r="C1872" s="38" t="s">
        <v>3542</v>
      </c>
      <c r="D1872" s="38" t="str">
        <f>IFERROR(__xludf.DUMMYFUNCTION("REGEXREPLACE(C1872,""-\d+(.*)|--\d+(.*)"","""")"),"PRECHAC-SUR-ADOUR")</f>
        <v>PRECHAC-SUR-ADOUR</v>
      </c>
      <c r="E1872" s="38" t="s">
        <v>440</v>
      </c>
      <c r="F1872" s="38" t="s">
        <v>94</v>
      </c>
      <c r="G1872" s="49" t="str">
        <f t="shared" si="1"/>
        <v>32160</v>
      </c>
      <c r="H1872" s="49">
        <f t="shared" si="2"/>
        <v>32330</v>
      </c>
    </row>
    <row r="1873">
      <c r="A1873" s="48" t="s">
        <v>3543</v>
      </c>
      <c r="B1873" s="38">
        <v>81120.0</v>
      </c>
      <c r="C1873" s="38" t="s">
        <v>3544</v>
      </c>
      <c r="D1873" s="38" t="str">
        <f>IFERROR(__xludf.DUMMYFUNCTION("REGEXREPLACE(C1873,""-\d+(.*)|--\d+(.*)"","""")"),"LABRUGUIERE")</f>
        <v>LABRUGUIERE</v>
      </c>
      <c r="E1873" s="38" t="s">
        <v>231</v>
      </c>
      <c r="F1873" s="38" t="s">
        <v>94</v>
      </c>
      <c r="G1873" s="49" t="str">
        <f t="shared" si="1"/>
        <v>81290</v>
      </c>
      <c r="H1873" s="49">
        <f t="shared" si="2"/>
        <v>81120</v>
      </c>
    </row>
    <row r="1874">
      <c r="A1874" s="48" t="s">
        <v>3545</v>
      </c>
      <c r="B1874" s="38">
        <v>17129.0</v>
      </c>
      <c r="C1874" s="38" t="s">
        <v>3546</v>
      </c>
      <c r="D1874" s="38" t="str">
        <f>IFERROR(__xludf.DUMMYFUNCTION("REGEXREPLACE(C1874,""-\d+(.*)|--\d+(.*)"","""")"),"COURPIGNAC")</f>
        <v>COURPIGNAC</v>
      </c>
      <c r="E1874" s="38" t="s">
        <v>488</v>
      </c>
      <c r="F1874" s="38" t="s">
        <v>338</v>
      </c>
      <c r="G1874" s="49" t="str">
        <f t="shared" si="1"/>
        <v>17130</v>
      </c>
      <c r="H1874" s="49">
        <f t="shared" si="2"/>
        <v>17129</v>
      </c>
    </row>
    <row r="1875">
      <c r="A1875" s="48" t="s">
        <v>910</v>
      </c>
      <c r="B1875" s="38">
        <v>32410.0</v>
      </c>
      <c r="C1875" s="38" t="s">
        <v>3547</v>
      </c>
      <c r="D1875" s="38" t="str">
        <f>IFERROR(__xludf.DUMMYFUNCTION("REGEXREPLACE(C1875,""-\d+(.*)|--\d+(.*)"","""")"),"SAMATAN")</f>
        <v>SAMATAN</v>
      </c>
      <c r="E1875" s="38" t="s">
        <v>440</v>
      </c>
      <c r="F1875" s="38" t="s">
        <v>94</v>
      </c>
      <c r="G1875" s="49" t="str">
        <f t="shared" si="1"/>
        <v>32130</v>
      </c>
      <c r="H1875" s="49">
        <f t="shared" si="2"/>
        <v>32410</v>
      </c>
    </row>
    <row r="1876">
      <c r="A1876" s="48" t="s">
        <v>3548</v>
      </c>
      <c r="B1876" s="38">
        <v>95682.0</v>
      </c>
      <c r="C1876" s="38" t="s">
        <v>3549</v>
      </c>
      <c r="D1876" s="38" t="str">
        <f>IFERROR(__xludf.DUMMYFUNCTION("REGEXREPLACE(C1876,""-\d+(.*)|--\d+(.*)"","""")"),"VILLIERS-LE-SEC")</f>
        <v>VILLIERS-LE-SEC</v>
      </c>
      <c r="E1876" s="38" t="s">
        <v>541</v>
      </c>
      <c r="F1876" s="38" t="s">
        <v>245</v>
      </c>
      <c r="G1876" s="49" t="str">
        <f t="shared" si="1"/>
        <v>95720</v>
      </c>
      <c r="H1876" s="49">
        <f t="shared" si="2"/>
        <v>95682</v>
      </c>
    </row>
    <row r="1877">
      <c r="A1877" s="48" t="s">
        <v>3550</v>
      </c>
      <c r="B1877" s="38">
        <v>79078.0</v>
      </c>
      <c r="C1877" s="38" t="s">
        <v>3551</v>
      </c>
      <c r="D1877" s="38" t="str">
        <f>IFERROR(__xludf.DUMMYFUNCTION("REGEXREPLACE(C1877,""-\d+(.*)|--\d+(.*)"","""")"),"PRISSE-LA-CHARRIERE")</f>
        <v>PRISSE-LA-CHARRIERE</v>
      </c>
      <c r="E1877" s="38" t="s">
        <v>337</v>
      </c>
      <c r="F1877" s="38" t="s">
        <v>338</v>
      </c>
      <c r="G1877" s="49" t="str">
        <f t="shared" si="1"/>
        <v>79360</v>
      </c>
      <c r="H1877" s="49">
        <f t="shared" si="2"/>
        <v>79078</v>
      </c>
    </row>
    <row r="1878">
      <c r="A1878" s="48" t="s">
        <v>1018</v>
      </c>
      <c r="B1878" s="38">
        <v>60080.0</v>
      </c>
      <c r="C1878" s="38" t="s">
        <v>3552</v>
      </c>
      <c r="D1878" s="38" t="str">
        <f>IFERROR(__xludf.DUMMYFUNCTION("REGEXREPLACE(C1878,""-\d+(.*)|--\d+(.*)"","""")"),"BOISSY-LE-BOIS")</f>
        <v>BOISSY-LE-BOIS</v>
      </c>
      <c r="E1878" s="38" t="s">
        <v>112</v>
      </c>
      <c r="F1878" s="38" t="s">
        <v>113</v>
      </c>
      <c r="G1878" s="49" t="str">
        <f t="shared" si="1"/>
        <v>60240</v>
      </c>
      <c r="H1878" s="49">
        <f t="shared" si="2"/>
        <v>60080</v>
      </c>
    </row>
    <row r="1879">
      <c r="A1879" s="48" t="s">
        <v>3553</v>
      </c>
      <c r="B1879" s="38">
        <v>34129.0</v>
      </c>
      <c r="C1879" s="38" t="s">
        <v>3554</v>
      </c>
      <c r="D1879" s="38" t="str">
        <f>IFERROR(__xludf.DUMMYFUNCTION("REGEXREPLACE(C1879,""-\d+(.*)|--\d+(.*)"","""")"),"LATTES")</f>
        <v>LATTES</v>
      </c>
      <c r="E1879" s="38" t="s">
        <v>118</v>
      </c>
      <c r="F1879" s="38" t="s">
        <v>119</v>
      </c>
      <c r="G1879" s="49" t="str">
        <f t="shared" si="1"/>
        <v>34970</v>
      </c>
      <c r="H1879" s="49">
        <f t="shared" si="2"/>
        <v>34129</v>
      </c>
    </row>
    <row r="1880">
      <c r="A1880" s="48" t="s">
        <v>2554</v>
      </c>
      <c r="B1880" s="38">
        <v>95610.0</v>
      </c>
      <c r="C1880" s="38" t="s">
        <v>3555</v>
      </c>
      <c r="D1880" s="38" t="str">
        <f>IFERROR(__xludf.DUMMYFUNCTION("REGEXREPLACE(C1880,""-\d+(.*)|--\d+(.*)"","""")"),"THEMERICOURT")</f>
        <v>THEMERICOURT</v>
      </c>
      <c r="E1880" s="38" t="s">
        <v>541</v>
      </c>
      <c r="F1880" s="38" t="s">
        <v>245</v>
      </c>
      <c r="G1880" s="49" t="str">
        <f t="shared" si="1"/>
        <v>95450</v>
      </c>
      <c r="H1880" s="49">
        <f t="shared" si="2"/>
        <v>95610</v>
      </c>
    </row>
    <row r="1881">
      <c r="A1881" s="48" t="s">
        <v>360</v>
      </c>
      <c r="B1881" s="38">
        <v>78053.0</v>
      </c>
      <c r="C1881" s="38" t="s">
        <v>3556</v>
      </c>
      <c r="D1881" s="38" t="str">
        <f>IFERROR(__xludf.DUMMYFUNCTION("REGEXREPLACE(C1881,""-\d+(.*)|--\d+(.*)"","""")"),"BEHOUST")</f>
        <v>BEHOUST</v>
      </c>
      <c r="E1881" s="38" t="s">
        <v>362</v>
      </c>
      <c r="F1881" s="38" t="s">
        <v>245</v>
      </c>
      <c r="G1881" s="49" t="str">
        <f t="shared" si="1"/>
        <v>78910</v>
      </c>
      <c r="H1881" s="49">
        <f t="shared" si="2"/>
        <v>78053</v>
      </c>
    </row>
    <row r="1882">
      <c r="A1882" s="48" t="s">
        <v>2370</v>
      </c>
      <c r="B1882" s="38">
        <v>33057.0</v>
      </c>
      <c r="C1882" s="38" t="s">
        <v>3557</v>
      </c>
      <c r="D1882" s="38" t="str">
        <f>IFERROR(__xludf.DUMMYFUNCTION("REGEXREPLACE(C1882,""-\d+(.*)|--\d+(.*)"","""")"),"BLASIMON")</f>
        <v>BLASIMON</v>
      </c>
      <c r="E1882" s="38" t="s">
        <v>462</v>
      </c>
      <c r="F1882" s="38" t="s">
        <v>252</v>
      </c>
      <c r="G1882" s="49" t="str">
        <f t="shared" si="1"/>
        <v>33540</v>
      </c>
      <c r="H1882" s="49">
        <f t="shared" si="2"/>
        <v>33057</v>
      </c>
    </row>
    <row r="1883">
      <c r="A1883" s="48" t="s">
        <v>3558</v>
      </c>
      <c r="B1883" s="38">
        <v>80781.0</v>
      </c>
      <c r="C1883" s="38" t="s">
        <v>3559</v>
      </c>
      <c r="D1883" s="38" t="str">
        <f>IFERROR(__xludf.DUMMYFUNCTION("REGEXREPLACE(C1883,""-\d+(.*)|--\d+(.*)"","""")"),"VAUVILLERS")</f>
        <v>VAUVILLERS</v>
      </c>
      <c r="E1883" s="38" t="s">
        <v>224</v>
      </c>
      <c r="F1883" s="38" t="s">
        <v>113</v>
      </c>
      <c r="G1883" s="49" t="str">
        <f t="shared" si="1"/>
        <v>80131</v>
      </c>
      <c r="H1883" s="49">
        <f t="shared" si="2"/>
        <v>80781</v>
      </c>
    </row>
    <row r="1884">
      <c r="A1884" s="48" t="s">
        <v>1628</v>
      </c>
      <c r="B1884" s="38">
        <v>70267.0</v>
      </c>
      <c r="C1884" s="38" t="s">
        <v>3560</v>
      </c>
      <c r="D1884" s="38" t="str">
        <f>IFERROR(__xludf.DUMMYFUNCTION("REGEXREPLACE(C1884,""-\d+(.*)|--\d+(.*)"","""")"),"GEVIGNEY-ET-MERCEY")</f>
        <v>GEVIGNEY-ET-MERCEY</v>
      </c>
      <c r="E1884" s="38" t="s">
        <v>956</v>
      </c>
      <c r="F1884" s="38" t="s">
        <v>214</v>
      </c>
      <c r="G1884" s="49" t="str">
        <f t="shared" si="1"/>
        <v>70500</v>
      </c>
      <c r="H1884" s="49">
        <f t="shared" si="2"/>
        <v>70267</v>
      </c>
    </row>
    <row r="1885">
      <c r="A1885" s="48" t="s">
        <v>1728</v>
      </c>
      <c r="B1885" s="38">
        <v>45246.0</v>
      </c>
      <c r="C1885" s="38" t="s">
        <v>3561</v>
      </c>
      <c r="D1885" s="38" t="str">
        <f>IFERROR(__xludf.DUMMYFUNCTION("REGEXREPLACE(C1885,""-\d+(.*)|--\d+(.*)"","""")"),"PANNECIERES")</f>
        <v>PANNECIERES</v>
      </c>
      <c r="E1885" s="38" t="s">
        <v>122</v>
      </c>
      <c r="F1885" s="38" t="s">
        <v>123</v>
      </c>
      <c r="G1885" s="49" t="str">
        <f t="shared" si="1"/>
        <v>45300</v>
      </c>
      <c r="H1885" s="49">
        <f t="shared" si="2"/>
        <v>45246</v>
      </c>
    </row>
    <row r="1886">
      <c r="A1886" s="48" t="s">
        <v>3562</v>
      </c>
      <c r="B1886" s="38">
        <v>2614.0</v>
      </c>
      <c r="C1886" s="38" t="s">
        <v>3563</v>
      </c>
      <c r="D1886" s="38" t="str">
        <f>IFERROR(__xludf.DUMMYFUNCTION("REGEXREPLACE(C1886,""-\d+(.*)|--\d+(.*)"","""")"),"PONTRU")</f>
        <v>PONTRU</v>
      </c>
      <c r="E1886" s="38" t="s">
        <v>191</v>
      </c>
      <c r="F1886" s="38" t="s">
        <v>113</v>
      </c>
      <c r="G1886" s="49" t="str">
        <f t="shared" si="1"/>
        <v>02490</v>
      </c>
      <c r="H1886" s="49" t="str">
        <f t="shared" si="2"/>
        <v>02614</v>
      </c>
    </row>
    <row r="1887">
      <c r="A1887" s="48" t="s">
        <v>3564</v>
      </c>
      <c r="B1887" s="38">
        <v>83136.0</v>
      </c>
      <c r="C1887" s="38" t="s">
        <v>3565</v>
      </c>
      <c r="D1887" s="38" t="str">
        <f>IFERROR(__xludf.DUMMYFUNCTION("REGEXREPLACE(C1887,""-\d+(.*)|--\d+(.*)"","""")"),"LE THORONET")</f>
        <v>LE THORONET</v>
      </c>
      <c r="E1887" s="38" t="s">
        <v>813</v>
      </c>
      <c r="F1887" s="38" t="s">
        <v>228</v>
      </c>
      <c r="G1887" s="49" t="str">
        <f t="shared" si="1"/>
        <v>83340</v>
      </c>
      <c r="H1887" s="49">
        <f t="shared" si="2"/>
        <v>83136</v>
      </c>
    </row>
    <row r="1888">
      <c r="A1888" s="48" t="s">
        <v>3566</v>
      </c>
      <c r="B1888" s="38">
        <v>3238.0</v>
      </c>
      <c r="C1888" s="38" t="s">
        <v>3567</v>
      </c>
      <c r="D1888" s="38" t="str">
        <f>IFERROR(__xludf.DUMMYFUNCTION("REGEXREPLACE(C1888,""-\d+(.*)|--\d+(.*)"","""")"),"SAINT-HILAIRE")</f>
        <v>SAINT-HILAIRE</v>
      </c>
      <c r="E1888" s="38" t="s">
        <v>160</v>
      </c>
      <c r="F1888" s="38" t="s">
        <v>161</v>
      </c>
      <c r="G1888" s="49" t="str">
        <f t="shared" si="1"/>
        <v>03440</v>
      </c>
      <c r="H1888" s="49" t="str">
        <f t="shared" si="2"/>
        <v>03238</v>
      </c>
    </row>
    <row r="1889">
      <c r="A1889" s="48" t="s">
        <v>3568</v>
      </c>
      <c r="B1889" s="38">
        <v>89108.0</v>
      </c>
      <c r="C1889" s="38" t="s">
        <v>3569</v>
      </c>
      <c r="D1889" s="38" t="str">
        <f>IFERROR(__xludf.DUMMYFUNCTION("REGEXREPLACE(C1889,""-\d+(.*)|--\d+(.*)"","""")"),"CHITRY")</f>
        <v>CHITRY</v>
      </c>
      <c r="E1889" s="38" t="s">
        <v>275</v>
      </c>
      <c r="F1889" s="38" t="s">
        <v>106</v>
      </c>
      <c r="G1889" s="49" t="str">
        <f t="shared" si="1"/>
        <v>89530</v>
      </c>
      <c r="H1889" s="49">
        <f t="shared" si="2"/>
        <v>89108</v>
      </c>
    </row>
    <row r="1890">
      <c r="A1890" s="48" t="s">
        <v>3570</v>
      </c>
      <c r="B1890" s="38">
        <v>76257.0</v>
      </c>
      <c r="C1890" s="38" t="s">
        <v>3571</v>
      </c>
      <c r="D1890" s="38" t="str">
        <f>IFERROR(__xludf.DUMMYFUNCTION("REGEXREPLACE(C1890,""-\d+(.*)|--\d+(.*)"","""")"),"FALLENCOURT")</f>
        <v>FALLENCOURT</v>
      </c>
      <c r="E1890" s="38" t="s">
        <v>133</v>
      </c>
      <c r="F1890" s="38" t="s">
        <v>134</v>
      </c>
      <c r="G1890" s="49" t="str">
        <f t="shared" si="1"/>
        <v>76340</v>
      </c>
      <c r="H1890" s="49">
        <f t="shared" si="2"/>
        <v>76257</v>
      </c>
    </row>
    <row r="1891">
      <c r="A1891" s="48" t="s">
        <v>3572</v>
      </c>
      <c r="B1891" s="38">
        <v>63469.0</v>
      </c>
      <c r="C1891" s="38" t="s">
        <v>3573</v>
      </c>
      <c r="D1891" s="38" t="str">
        <f>IFERROR(__xludf.DUMMYFUNCTION("REGEXREPLACE(C1891,""-\d+(.*)|--\d+(.*)"","""")"),"VOLLORE-VILLE")</f>
        <v>VOLLORE-VILLE</v>
      </c>
      <c r="E1891" s="38" t="s">
        <v>353</v>
      </c>
      <c r="F1891" s="38" t="s">
        <v>161</v>
      </c>
      <c r="G1891" s="49" t="str">
        <f t="shared" si="1"/>
        <v>63120</v>
      </c>
      <c r="H1891" s="49">
        <f t="shared" si="2"/>
        <v>63469</v>
      </c>
    </row>
    <row r="1892">
      <c r="A1892" s="48" t="s">
        <v>3574</v>
      </c>
      <c r="B1892" s="38">
        <v>19242.0</v>
      </c>
      <c r="C1892" s="38" t="s">
        <v>3575</v>
      </c>
      <c r="D1892" s="38" t="str">
        <f>IFERROR(__xludf.DUMMYFUNCTION("REGEXREPLACE(C1892,""-\d+(.*)|--\d+(.*)"","""")"),"SAINT-SOLVE")</f>
        <v>SAINT-SOLVE</v>
      </c>
      <c r="E1892" s="38" t="s">
        <v>271</v>
      </c>
      <c r="F1892" s="38" t="s">
        <v>98</v>
      </c>
      <c r="G1892" s="49" t="str">
        <f t="shared" si="1"/>
        <v>19130</v>
      </c>
      <c r="H1892" s="49">
        <f t="shared" si="2"/>
        <v>19242</v>
      </c>
    </row>
    <row r="1893">
      <c r="A1893" s="48" t="s">
        <v>3576</v>
      </c>
      <c r="B1893" s="38">
        <v>63153.0</v>
      </c>
      <c r="C1893" s="38" t="s">
        <v>3577</v>
      </c>
      <c r="D1893" s="38" t="str">
        <f>IFERROR(__xludf.DUMMYFUNCTION("REGEXREPLACE(C1893,""-\d+(.*)|--\d+(.*)"","""")"),"ESPINCHAL")</f>
        <v>ESPINCHAL</v>
      </c>
      <c r="E1893" s="38" t="s">
        <v>353</v>
      </c>
      <c r="F1893" s="38" t="s">
        <v>161</v>
      </c>
      <c r="G1893" s="49" t="str">
        <f t="shared" si="1"/>
        <v>63850</v>
      </c>
      <c r="H1893" s="49">
        <f t="shared" si="2"/>
        <v>63153</v>
      </c>
    </row>
    <row r="1894">
      <c r="A1894" s="48" t="s">
        <v>3578</v>
      </c>
      <c r="B1894" s="38">
        <v>72150.0</v>
      </c>
      <c r="C1894" s="38" t="s">
        <v>3579</v>
      </c>
      <c r="D1894" s="38" t="str">
        <f>IFERROR(__xludf.DUMMYFUNCTION("REGEXREPLACE(C1894,""-\d+(.*)|--\d+(.*)"","""")"),"JOUE-L'ABBE")</f>
        <v>JOUE-L'ABBE</v>
      </c>
      <c r="E1894" s="38" t="s">
        <v>521</v>
      </c>
      <c r="F1894" s="38" t="s">
        <v>180</v>
      </c>
      <c r="G1894" s="49" t="str">
        <f t="shared" si="1"/>
        <v>72380</v>
      </c>
      <c r="H1894" s="49">
        <f t="shared" si="2"/>
        <v>72150</v>
      </c>
    </row>
    <row r="1895">
      <c r="A1895" s="48" t="s">
        <v>456</v>
      </c>
      <c r="B1895" s="38">
        <v>63160.0</v>
      </c>
      <c r="C1895" s="38" t="s">
        <v>3580</v>
      </c>
      <c r="D1895" s="38" t="str">
        <f>IFERROR(__xludf.DUMMYFUNCTION("REGEXREPLACE(C1895,""-\d+(.*)|--\d+(.*)"","""")"),"FLAT")</f>
        <v>FLAT</v>
      </c>
      <c r="E1895" s="38" t="s">
        <v>353</v>
      </c>
      <c r="F1895" s="38" t="s">
        <v>161</v>
      </c>
      <c r="G1895" s="49" t="str">
        <f t="shared" si="1"/>
        <v>63500</v>
      </c>
      <c r="H1895" s="49">
        <f t="shared" si="2"/>
        <v>63160</v>
      </c>
    </row>
    <row r="1896">
      <c r="A1896" s="48" t="s">
        <v>3581</v>
      </c>
      <c r="B1896" s="38">
        <v>54482.0</v>
      </c>
      <c r="C1896" s="38" t="s">
        <v>3582</v>
      </c>
      <c r="D1896" s="38" t="str">
        <f>IFERROR(__xludf.DUMMYFUNCTION("REGEXREPLACE(C1896,""-\d+(.*)|--\d+(.*)"","""")"),"SAINT-MAX")</f>
        <v>SAINT-MAX</v>
      </c>
      <c r="E1896" s="38" t="s">
        <v>548</v>
      </c>
      <c r="F1896" s="38" t="s">
        <v>195</v>
      </c>
      <c r="G1896" s="49" t="str">
        <f t="shared" si="1"/>
        <v>54130</v>
      </c>
      <c r="H1896" s="49">
        <f t="shared" si="2"/>
        <v>54482</v>
      </c>
    </row>
    <row r="1897">
      <c r="A1897" s="48" t="s">
        <v>3583</v>
      </c>
      <c r="B1897" s="38">
        <v>7082.0</v>
      </c>
      <c r="C1897" s="38" t="s">
        <v>3584</v>
      </c>
      <c r="D1897" s="38" t="str">
        <f>IFERROR(__xludf.DUMMYFUNCTION("REGEXREPLACE(C1897,""-\d+(.*)|--\d+(.*)"","""")"),"DORNAS")</f>
        <v>DORNAS</v>
      </c>
      <c r="E1897" s="38" t="s">
        <v>144</v>
      </c>
      <c r="F1897" s="38" t="s">
        <v>102</v>
      </c>
      <c r="G1897" s="49" t="str">
        <f t="shared" si="1"/>
        <v>07160</v>
      </c>
      <c r="H1897" s="49" t="str">
        <f t="shared" si="2"/>
        <v>07082</v>
      </c>
    </row>
    <row r="1898">
      <c r="A1898" s="48" t="s">
        <v>1964</v>
      </c>
      <c r="B1898" s="38">
        <v>26321.0</v>
      </c>
      <c r="C1898" s="38" t="s">
        <v>3585</v>
      </c>
      <c r="D1898" s="38" t="str">
        <f>IFERROR(__xludf.DUMMYFUNCTION("REGEXREPLACE(C1898,""-\d+(.*)|--\d+(.*)"","""")"),"SAINT-NAZAIRE-LE-DESERT")</f>
        <v>SAINT-NAZAIRE-LE-DESERT</v>
      </c>
      <c r="E1898" s="38" t="s">
        <v>126</v>
      </c>
      <c r="F1898" s="38" t="s">
        <v>102</v>
      </c>
      <c r="G1898" s="49" t="str">
        <f t="shared" si="1"/>
        <v>26340</v>
      </c>
      <c r="H1898" s="49">
        <f t="shared" si="2"/>
        <v>26321</v>
      </c>
    </row>
    <row r="1899">
      <c r="A1899" s="48" t="s">
        <v>851</v>
      </c>
      <c r="B1899" s="38">
        <v>44207.0</v>
      </c>
      <c r="C1899" s="38" t="s">
        <v>3586</v>
      </c>
      <c r="D1899" s="38" t="str">
        <f>IFERROR(__xludf.DUMMYFUNCTION("REGEXREPLACE(C1899,""-\d+(.*)|--\d+(.*)"","""")"),"TRANS-SUR-ERDRE")</f>
        <v>TRANS-SUR-ERDRE</v>
      </c>
      <c r="E1899" s="38" t="s">
        <v>759</v>
      </c>
      <c r="F1899" s="38" t="s">
        <v>180</v>
      </c>
      <c r="G1899" s="49" t="str">
        <f t="shared" si="1"/>
        <v>44440</v>
      </c>
      <c r="H1899" s="49">
        <f t="shared" si="2"/>
        <v>44207</v>
      </c>
    </row>
    <row r="1900">
      <c r="A1900" s="48" t="s">
        <v>3587</v>
      </c>
      <c r="B1900" s="38">
        <v>14305.0</v>
      </c>
      <c r="C1900" s="38" t="s">
        <v>3588</v>
      </c>
      <c r="D1900" s="38" t="str">
        <f>IFERROR(__xludf.DUMMYFUNCTION("REGEXREPLACE(C1900,""-\d+(.*)|--\d+(.*)"","""")"),"GONNEVILLE-SUR-MER")</f>
        <v>GONNEVILLE-SUR-MER</v>
      </c>
      <c r="E1900" s="38" t="s">
        <v>137</v>
      </c>
      <c r="F1900" s="38" t="s">
        <v>138</v>
      </c>
      <c r="G1900" s="49" t="str">
        <f t="shared" si="1"/>
        <v>14510</v>
      </c>
      <c r="H1900" s="49">
        <f t="shared" si="2"/>
        <v>14305</v>
      </c>
    </row>
    <row r="1901">
      <c r="A1901" s="48" t="s">
        <v>1276</v>
      </c>
      <c r="B1901" s="38">
        <v>64408.0</v>
      </c>
      <c r="C1901" s="38" t="s">
        <v>3589</v>
      </c>
      <c r="D1901" s="38" t="str">
        <f>IFERROR(__xludf.DUMMYFUNCTION("REGEXREPLACE(C1901,""-\d+(.*)|--\d+(.*)"","""")"),"MOUHOUS")</f>
        <v>MOUHOUS</v>
      </c>
      <c r="E1901" s="38" t="s">
        <v>268</v>
      </c>
      <c r="F1901" s="38" t="s">
        <v>252</v>
      </c>
      <c r="G1901" s="49" t="str">
        <f t="shared" si="1"/>
        <v>64330</v>
      </c>
      <c r="H1901" s="49">
        <f t="shared" si="2"/>
        <v>64408</v>
      </c>
    </row>
    <row r="1902">
      <c r="A1902" s="48" t="s">
        <v>3590</v>
      </c>
      <c r="B1902" s="38">
        <v>76404.0</v>
      </c>
      <c r="C1902" s="38" t="s">
        <v>3591</v>
      </c>
      <c r="D1902" s="38" t="str">
        <f>IFERROR(__xludf.DUMMYFUNCTION("REGEXREPLACE(C1902,""-\d+(.*)|--\d+(.*)"","""")"),"MANEGLISE")</f>
        <v>MANEGLISE</v>
      </c>
      <c r="E1902" s="38" t="s">
        <v>133</v>
      </c>
      <c r="F1902" s="38" t="s">
        <v>134</v>
      </c>
      <c r="G1902" s="49" t="str">
        <f t="shared" si="1"/>
        <v>76133</v>
      </c>
      <c r="H1902" s="49">
        <f t="shared" si="2"/>
        <v>76404</v>
      </c>
    </row>
    <row r="1903">
      <c r="A1903" s="48" t="s">
        <v>3592</v>
      </c>
      <c r="B1903" s="38">
        <v>91326.0</v>
      </c>
      <c r="C1903" s="38" t="s">
        <v>3593</v>
      </c>
      <c r="D1903" s="38" t="str">
        <f>IFERROR(__xludf.DUMMYFUNCTION("REGEXREPLACE(C1903,""-\d+(.*)|--\d+(.*)"","""")"),"JUVISY-SUR-ORGE")</f>
        <v>JUVISY-SUR-ORGE</v>
      </c>
      <c r="E1903" s="38" t="s">
        <v>756</v>
      </c>
      <c r="F1903" s="38" t="s">
        <v>245</v>
      </c>
      <c r="G1903" s="49" t="str">
        <f t="shared" si="1"/>
        <v>91260</v>
      </c>
      <c r="H1903" s="49">
        <f t="shared" si="2"/>
        <v>91326</v>
      </c>
    </row>
    <row r="1904">
      <c r="A1904" s="48" t="s">
        <v>3594</v>
      </c>
      <c r="B1904" s="38">
        <v>59281.0</v>
      </c>
      <c r="C1904" s="38" t="s">
        <v>3595</v>
      </c>
      <c r="D1904" s="38" t="str">
        <f>IFERROR(__xludf.DUMMYFUNCTION("REGEXREPLACE(C1904,""-\d+(.*)|--\d+(.*)"","""")"),"HANTAY")</f>
        <v>HANTAY</v>
      </c>
      <c r="E1904" s="38" t="s">
        <v>85</v>
      </c>
      <c r="F1904" s="38" t="s">
        <v>86</v>
      </c>
      <c r="G1904" s="49" t="str">
        <f t="shared" si="1"/>
        <v>59496</v>
      </c>
      <c r="H1904" s="49">
        <f t="shared" si="2"/>
        <v>59281</v>
      </c>
    </row>
    <row r="1905">
      <c r="A1905" s="48" t="s">
        <v>3596</v>
      </c>
      <c r="B1905" s="38">
        <v>25254.0</v>
      </c>
      <c r="C1905" s="38" t="s">
        <v>3597</v>
      </c>
      <c r="D1905" s="38" t="str">
        <f>IFERROR(__xludf.DUMMYFUNCTION("REGEXREPLACE(C1905,""-\d+(.*)|--\d+(.*)"","""")"),"LES FOURGS")</f>
        <v>LES FOURGS</v>
      </c>
      <c r="E1905" s="38" t="s">
        <v>213</v>
      </c>
      <c r="F1905" s="38" t="s">
        <v>214</v>
      </c>
      <c r="G1905" s="49" t="str">
        <f t="shared" si="1"/>
        <v>25300</v>
      </c>
      <c r="H1905" s="49">
        <f t="shared" si="2"/>
        <v>25254</v>
      </c>
    </row>
    <row r="1906">
      <c r="A1906" s="48" t="s">
        <v>3598</v>
      </c>
      <c r="B1906" s="38">
        <v>7223.0</v>
      </c>
      <c r="C1906" s="38" t="s">
        <v>3599</v>
      </c>
      <c r="D1906" s="38" t="str">
        <f>IFERROR(__xludf.DUMMYFUNCTION("REGEXREPLACE(C1906,""-\d+(.*)|--\d+(.*)"","""")"),"SAINT-CIRGUES-DE-PRADES")</f>
        <v>SAINT-CIRGUES-DE-PRADES</v>
      </c>
      <c r="E1906" s="38" t="s">
        <v>144</v>
      </c>
      <c r="F1906" s="38" t="s">
        <v>102</v>
      </c>
      <c r="G1906" s="49" t="str">
        <f t="shared" si="1"/>
        <v>07380</v>
      </c>
      <c r="H1906" s="49" t="str">
        <f t="shared" si="2"/>
        <v>07223</v>
      </c>
    </row>
    <row r="1907">
      <c r="A1907" s="48" t="s">
        <v>3289</v>
      </c>
      <c r="B1907" s="38">
        <v>50347.0</v>
      </c>
      <c r="C1907" s="38" t="s">
        <v>3600</v>
      </c>
      <c r="D1907" s="38" t="str">
        <f>IFERROR(__xludf.DUMMYFUNCTION("REGEXREPLACE(C1907,""-\d+(.*)|--\d+(.*)"","""")"),"MONTJOIE-SAINT-MARTIN")</f>
        <v>MONTJOIE-SAINT-MARTIN</v>
      </c>
      <c r="E1907" s="38" t="s">
        <v>157</v>
      </c>
      <c r="F1907" s="38" t="s">
        <v>138</v>
      </c>
      <c r="G1907" s="49" t="str">
        <f t="shared" si="1"/>
        <v>50240</v>
      </c>
      <c r="H1907" s="49">
        <f t="shared" si="2"/>
        <v>50347</v>
      </c>
    </row>
    <row r="1908">
      <c r="A1908" s="48" t="s">
        <v>3329</v>
      </c>
      <c r="B1908" s="38">
        <v>60623.0</v>
      </c>
      <c r="C1908" s="38" t="s">
        <v>3601</v>
      </c>
      <c r="D1908" s="38" t="str">
        <f>IFERROR(__xludf.DUMMYFUNCTION("REGEXREPLACE(C1908,""-\d+(.*)|--\d+(.*)"","""")"),"SONGEONS")</f>
        <v>SONGEONS</v>
      </c>
      <c r="E1908" s="38" t="s">
        <v>112</v>
      </c>
      <c r="F1908" s="38" t="s">
        <v>113</v>
      </c>
      <c r="G1908" s="49" t="str">
        <f t="shared" si="1"/>
        <v>60380</v>
      </c>
      <c r="H1908" s="49">
        <f t="shared" si="2"/>
        <v>60623</v>
      </c>
    </row>
    <row r="1909">
      <c r="A1909" s="48" t="s">
        <v>2495</v>
      </c>
      <c r="B1909" s="38">
        <v>41147.0</v>
      </c>
      <c r="C1909" s="38" t="s">
        <v>3602</v>
      </c>
      <c r="D1909" s="38" t="str">
        <f>IFERROR(__xludf.DUMMYFUNCTION("REGEXREPLACE(C1909,""-\d+(.*)|--\d+(.*)"","""")"),"LES MONTILS")</f>
        <v>LES MONTILS</v>
      </c>
      <c r="E1909" s="38" t="s">
        <v>188</v>
      </c>
      <c r="F1909" s="38" t="s">
        <v>123</v>
      </c>
      <c r="G1909" s="49" t="str">
        <f t="shared" si="1"/>
        <v>41120</v>
      </c>
      <c r="H1909" s="49">
        <f t="shared" si="2"/>
        <v>41147</v>
      </c>
    </row>
    <row r="1910">
      <c r="A1910" s="48" t="s">
        <v>3603</v>
      </c>
      <c r="B1910" s="38">
        <v>24466.0</v>
      </c>
      <c r="C1910" s="38" t="s">
        <v>3604</v>
      </c>
      <c r="D1910" s="38" t="str">
        <f>IFERROR(__xludf.DUMMYFUNCTION("REGEXREPLACE(C1910,""-\d+(.*)|--\d+(.*)"","""")"),"SAINT-MICHEL-DE-MONTAIGNE")</f>
        <v>SAINT-MICHEL-DE-MONTAIGNE</v>
      </c>
      <c r="E1910" s="38" t="s">
        <v>261</v>
      </c>
      <c r="F1910" s="38" t="s">
        <v>252</v>
      </c>
      <c r="G1910" s="49" t="str">
        <f t="shared" si="1"/>
        <v>24230</v>
      </c>
      <c r="H1910" s="49">
        <f t="shared" si="2"/>
        <v>24466</v>
      </c>
    </row>
    <row r="1911">
      <c r="A1911" s="48" t="s">
        <v>3434</v>
      </c>
      <c r="B1911" s="38">
        <v>11334.0</v>
      </c>
      <c r="C1911" s="38" t="s">
        <v>3605</v>
      </c>
      <c r="D1911" s="38" t="str">
        <f>IFERROR(__xludf.DUMMYFUNCTION("REGEXREPLACE(C1911,""-\d+(.*)|--\d+(.*)"","""")"),"SAINTE-CAMELLE")</f>
        <v>SAINTE-CAMELLE</v>
      </c>
      <c r="E1911" s="38" t="s">
        <v>278</v>
      </c>
      <c r="F1911" s="38" t="s">
        <v>119</v>
      </c>
      <c r="G1911" s="49" t="str">
        <f t="shared" si="1"/>
        <v>11410</v>
      </c>
      <c r="H1911" s="49">
        <f t="shared" si="2"/>
        <v>11334</v>
      </c>
    </row>
    <row r="1912">
      <c r="A1912" s="48" t="s">
        <v>3606</v>
      </c>
      <c r="B1912" s="38">
        <v>67023.0</v>
      </c>
      <c r="C1912" s="38" t="s">
        <v>3607</v>
      </c>
      <c r="D1912" s="38" t="str">
        <f>IFERROR(__xludf.DUMMYFUNCTION("REGEXREPLACE(C1912,""-\d+(.*)|--\d+(.*)"","""")"),"BATZENDORF")</f>
        <v>BATZENDORF</v>
      </c>
      <c r="E1912" s="38" t="s">
        <v>210</v>
      </c>
      <c r="F1912" s="38" t="s">
        <v>151</v>
      </c>
      <c r="G1912" s="49" t="str">
        <f t="shared" si="1"/>
        <v>67500</v>
      </c>
      <c r="H1912" s="49">
        <f t="shared" si="2"/>
        <v>67023</v>
      </c>
    </row>
    <row r="1913">
      <c r="A1913" s="48" t="s">
        <v>2342</v>
      </c>
      <c r="B1913" s="38">
        <v>11438.0</v>
      </c>
      <c r="C1913" s="38" t="s">
        <v>3608</v>
      </c>
      <c r="D1913" s="38" t="str">
        <f>IFERROR(__xludf.DUMMYFUNCTION("REGEXREPLACE(C1913,""-\d+(.*)|--\d+(.*)"","""")"),"VILLESISCLE")</f>
        <v>VILLESISCLE</v>
      </c>
      <c r="E1913" s="38" t="s">
        <v>278</v>
      </c>
      <c r="F1913" s="38" t="s">
        <v>119</v>
      </c>
      <c r="G1913" s="49" t="str">
        <f t="shared" si="1"/>
        <v>11150</v>
      </c>
      <c r="H1913" s="49">
        <f t="shared" si="2"/>
        <v>11438</v>
      </c>
    </row>
    <row r="1914">
      <c r="A1914" s="48" t="s">
        <v>3609</v>
      </c>
      <c r="B1914" s="38">
        <v>22069.0</v>
      </c>
      <c r="C1914" s="38" t="s">
        <v>3610</v>
      </c>
      <c r="D1914" s="38" t="str">
        <f>IFERROR(__xludf.DUMMYFUNCTION("REGEXREPLACE(C1914,""-\d+(.*)|--\d+(.*)"","""")"),"GUENROC")</f>
        <v>GUENROC</v>
      </c>
      <c r="E1914" s="38" t="s">
        <v>89</v>
      </c>
      <c r="F1914" s="38" t="s">
        <v>90</v>
      </c>
      <c r="G1914" s="49" t="str">
        <f t="shared" si="1"/>
        <v>22350</v>
      </c>
      <c r="H1914" s="49">
        <f t="shared" si="2"/>
        <v>22069</v>
      </c>
    </row>
    <row r="1915">
      <c r="A1915" s="48" t="s">
        <v>1770</v>
      </c>
      <c r="B1915" s="38">
        <v>57707.0</v>
      </c>
      <c r="C1915" s="38" t="s">
        <v>3611</v>
      </c>
      <c r="D1915" s="38" t="str">
        <f>IFERROR(__xludf.DUMMYFUNCTION("REGEXREPLACE(C1915,""-\d+(.*)|--\d+(.*)"","""")"),"VERNEVILLE")</f>
        <v>VERNEVILLE</v>
      </c>
      <c r="E1915" s="38" t="s">
        <v>303</v>
      </c>
      <c r="F1915" s="38" t="s">
        <v>195</v>
      </c>
      <c r="G1915" s="49" t="str">
        <f t="shared" si="1"/>
        <v>57130</v>
      </c>
      <c r="H1915" s="49">
        <f t="shared" si="2"/>
        <v>57707</v>
      </c>
    </row>
    <row r="1916">
      <c r="A1916" s="48" t="s">
        <v>3612</v>
      </c>
      <c r="B1916" s="38">
        <v>60028.0</v>
      </c>
      <c r="C1916" s="38" t="s">
        <v>3613</v>
      </c>
      <c r="D1916" s="38" t="str">
        <f>IFERROR(__xludf.DUMMYFUNCTION("REGEXREPLACE(C1916,""-\d+(.*)|--\d+(.*)"","""")"),"AUMONT-EN-HALATTE")</f>
        <v>AUMONT-EN-HALATTE</v>
      </c>
      <c r="E1916" s="38" t="s">
        <v>112</v>
      </c>
      <c r="F1916" s="38" t="s">
        <v>113</v>
      </c>
      <c r="G1916" s="49" t="str">
        <f t="shared" si="1"/>
        <v>60300</v>
      </c>
      <c r="H1916" s="49">
        <f t="shared" si="2"/>
        <v>60028</v>
      </c>
    </row>
    <row r="1917">
      <c r="A1917" s="48" t="s">
        <v>3614</v>
      </c>
      <c r="B1917" s="38">
        <v>59354.0</v>
      </c>
      <c r="C1917" s="38" t="s">
        <v>3615</v>
      </c>
      <c r="D1917" s="38" t="str">
        <f>IFERROR(__xludf.DUMMYFUNCTION("REGEXREPLACE(C1917,""-\d+(.*)|--\d+(.*)"","""")"),"LOFFRE")</f>
        <v>LOFFRE</v>
      </c>
      <c r="E1917" s="38" t="s">
        <v>85</v>
      </c>
      <c r="F1917" s="38" t="s">
        <v>86</v>
      </c>
      <c r="G1917" s="49" t="str">
        <f t="shared" si="1"/>
        <v>59182</v>
      </c>
      <c r="H1917" s="49">
        <f t="shared" si="2"/>
        <v>59354</v>
      </c>
    </row>
    <row r="1918">
      <c r="A1918" s="48" t="s">
        <v>3329</v>
      </c>
      <c r="B1918" s="38">
        <v>60214.0</v>
      </c>
      <c r="C1918" s="38" t="s">
        <v>3616</v>
      </c>
      <c r="D1918" s="38" t="str">
        <f>IFERROR(__xludf.DUMMYFUNCTION("REGEXREPLACE(C1918,""-\d+(.*)|--\d+(.*)"","""")"),"ERNEMONT-BOUTAVENT")</f>
        <v>ERNEMONT-BOUTAVENT</v>
      </c>
      <c r="E1918" s="38" t="s">
        <v>112</v>
      </c>
      <c r="F1918" s="38" t="s">
        <v>113</v>
      </c>
      <c r="G1918" s="49" t="str">
        <f t="shared" si="1"/>
        <v>60380</v>
      </c>
      <c r="H1918" s="49">
        <f t="shared" si="2"/>
        <v>60214</v>
      </c>
    </row>
    <row r="1919">
      <c r="A1919" s="48" t="s">
        <v>239</v>
      </c>
      <c r="B1919" s="38">
        <v>27486.0</v>
      </c>
      <c r="C1919" s="38" t="s">
        <v>3617</v>
      </c>
      <c r="D1919" s="38" t="str">
        <f>IFERROR(__xludf.DUMMYFUNCTION("REGEXREPLACE(C1919,""-\d+(.*)|--\d+(.*)"","""")"),"QUITTEBEUF")</f>
        <v>QUITTEBEUF</v>
      </c>
      <c r="E1919" s="38" t="s">
        <v>241</v>
      </c>
      <c r="F1919" s="38" t="s">
        <v>134</v>
      </c>
      <c r="G1919" s="49" t="str">
        <f t="shared" si="1"/>
        <v>27110</v>
      </c>
      <c r="H1919" s="49">
        <f t="shared" si="2"/>
        <v>27486</v>
      </c>
    </row>
    <row r="1920">
      <c r="A1920" s="48" t="s">
        <v>3618</v>
      </c>
      <c r="B1920" s="38">
        <v>31017.0</v>
      </c>
      <c r="C1920" s="38" t="s">
        <v>3619</v>
      </c>
      <c r="D1920" s="38" t="str">
        <f>IFERROR(__xludf.DUMMYFUNCTION("REGEXREPLACE(C1920,""-\d+(.*)|--\d+(.*)"","""")"),"ARLOS")</f>
        <v>ARLOS</v>
      </c>
      <c r="E1920" s="38" t="s">
        <v>93</v>
      </c>
      <c r="F1920" s="38" t="s">
        <v>94</v>
      </c>
      <c r="G1920" s="49" t="str">
        <f t="shared" si="1"/>
        <v>31440</v>
      </c>
      <c r="H1920" s="49">
        <f t="shared" si="2"/>
        <v>31017</v>
      </c>
    </row>
    <row r="1921">
      <c r="A1921" s="48" t="s">
        <v>730</v>
      </c>
      <c r="B1921" s="38">
        <v>48020.0</v>
      </c>
      <c r="C1921" s="38" t="s">
        <v>3620</v>
      </c>
      <c r="D1921" s="38" t="str">
        <f>IFERROR(__xludf.DUMMYFUNCTION("REGEXREPLACE(C1921,""-\d+(.*)|--\d+(.*)"","""")"),"BASSURELS")</f>
        <v>BASSURELS</v>
      </c>
      <c r="E1921" s="38" t="s">
        <v>154</v>
      </c>
      <c r="F1921" s="38" t="s">
        <v>119</v>
      </c>
      <c r="G1921" s="49" t="str">
        <f t="shared" si="1"/>
        <v>48400</v>
      </c>
      <c r="H1921" s="49">
        <f t="shared" si="2"/>
        <v>48020</v>
      </c>
    </row>
    <row r="1922">
      <c r="A1922" s="48" t="s">
        <v>3621</v>
      </c>
      <c r="B1922" s="38">
        <v>52119.0</v>
      </c>
      <c r="C1922" s="38" t="s">
        <v>3622</v>
      </c>
      <c r="D1922" s="38" t="str">
        <f>IFERROR(__xludf.DUMMYFUNCTION("REGEXREPLACE(C1922,""-\d+(.*)|--\d+(.*)"","""")"),"CHAUDENAY")</f>
        <v>CHAUDENAY</v>
      </c>
      <c r="E1922" s="38" t="s">
        <v>234</v>
      </c>
      <c r="F1922" s="38" t="s">
        <v>130</v>
      </c>
      <c r="G1922" s="49" t="str">
        <f t="shared" si="1"/>
        <v>52600</v>
      </c>
      <c r="H1922" s="49">
        <f t="shared" si="2"/>
        <v>52119</v>
      </c>
    </row>
    <row r="1923">
      <c r="A1923" s="48" t="s">
        <v>2382</v>
      </c>
      <c r="B1923" s="38">
        <v>54500.0</v>
      </c>
      <c r="C1923" s="38" t="s">
        <v>3623</v>
      </c>
      <c r="D1923" s="38" t="str">
        <f>IFERROR(__xludf.DUMMYFUNCTION("REGEXREPLACE(C1923,""-\d+(.*)|--\d+(.*)"","""")"),"SELAINCOURT")</f>
        <v>SELAINCOURT</v>
      </c>
      <c r="E1923" s="38" t="s">
        <v>548</v>
      </c>
      <c r="F1923" s="38" t="s">
        <v>195</v>
      </c>
      <c r="G1923" s="49" t="str">
        <f t="shared" si="1"/>
        <v>54170</v>
      </c>
      <c r="H1923" s="49">
        <f t="shared" si="2"/>
        <v>54500</v>
      </c>
    </row>
    <row r="1924">
      <c r="A1924" s="48" t="s">
        <v>3624</v>
      </c>
      <c r="B1924" s="38">
        <v>39010.0</v>
      </c>
      <c r="C1924" s="38" t="s">
        <v>3625</v>
      </c>
      <c r="D1924" s="38" t="str">
        <f>IFERROR(__xludf.DUMMYFUNCTION("REGEXREPLACE(C1924,""-\d+(.*)|--\d+(.*)"","""")"),"ANDELOT-MORVAL")</f>
        <v>ANDELOT-MORVAL</v>
      </c>
      <c r="E1924" s="38" t="s">
        <v>400</v>
      </c>
      <c r="F1924" s="38" t="s">
        <v>214</v>
      </c>
      <c r="G1924" s="49" t="str">
        <f t="shared" si="1"/>
        <v>39320</v>
      </c>
      <c r="H1924" s="49">
        <f t="shared" si="2"/>
        <v>39010</v>
      </c>
    </row>
    <row r="1925">
      <c r="A1925" s="48" t="s">
        <v>3626</v>
      </c>
      <c r="B1925" s="38">
        <v>57649.0</v>
      </c>
      <c r="C1925" s="38" t="s">
        <v>3627</v>
      </c>
      <c r="D1925" s="38" t="str">
        <f>IFERROR(__xludf.DUMMYFUNCTION("REGEXREPLACE(C1925,""-\d+(.*)|--\d+(.*)"","""")"),"SERVIGNY-LES-SAINTE-BARBE")</f>
        <v>SERVIGNY-LES-SAINTE-BARBE</v>
      </c>
      <c r="E1925" s="38" t="s">
        <v>303</v>
      </c>
      <c r="F1925" s="38" t="s">
        <v>195</v>
      </c>
      <c r="G1925" s="49" t="str">
        <f t="shared" si="1"/>
        <v>57640</v>
      </c>
      <c r="H1925" s="49">
        <f t="shared" si="2"/>
        <v>57649</v>
      </c>
    </row>
    <row r="1926">
      <c r="A1926" s="48" t="s">
        <v>3628</v>
      </c>
      <c r="B1926" s="38">
        <v>16066.0</v>
      </c>
      <c r="C1926" s="38" t="s">
        <v>3629</v>
      </c>
      <c r="D1926" s="38" t="str">
        <f>IFERROR(__xludf.DUMMYFUNCTION("REGEXREPLACE(C1926,""-\d+(.*)|--\d+(.*)"","""")"),"BROSSAC")</f>
        <v>BROSSAC</v>
      </c>
      <c r="E1926" s="38" t="s">
        <v>429</v>
      </c>
      <c r="F1926" s="38" t="s">
        <v>338</v>
      </c>
      <c r="G1926" s="49" t="str">
        <f t="shared" si="1"/>
        <v>16480</v>
      </c>
      <c r="H1926" s="49">
        <f t="shared" si="2"/>
        <v>16066</v>
      </c>
    </row>
    <row r="1927">
      <c r="A1927" s="48" t="s">
        <v>1959</v>
      </c>
      <c r="B1927" s="38">
        <v>82138.0</v>
      </c>
      <c r="C1927" s="38" t="s">
        <v>3630</v>
      </c>
      <c r="D1927" s="38" t="str">
        <f>IFERROR(__xludf.DUMMYFUNCTION("REGEXREPLACE(C1927,""-\d+(.*)|--\d+(.*)"","""")"),"PERVILLE")</f>
        <v>PERVILLE</v>
      </c>
      <c r="E1927" s="38" t="s">
        <v>570</v>
      </c>
      <c r="F1927" s="38" t="s">
        <v>94</v>
      </c>
      <c r="G1927" s="49" t="str">
        <f t="shared" si="1"/>
        <v>82400</v>
      </c>
      <c r="H1927" s="49">
        <f t="shared" si="2"/>
        <v>82138</v>
      </c>
    </row>
    <row r="1928">
      <c r="A1928" s="48" t="s">
        <v>3631</v>
      </c>
      <c r="B1928" s="38">
        <v>38194.0</v>
      </c>
      <c r="C1928" s="38" t="s">
        <v>3632</v>
      </c>
      <c r="D1928" s="38" t="str">
        <f>IFERROR(__xludf.DUMMYFUNCTION("REGEXREPLACE(C1928,""-\d+(.*)|--\d+(.*)"","""")"),"IZEAUX")</f>
        <v>IZEAUX</v>
      </c>
      <c r="E1928" s="38" t="s">
        <v>101</v>
      </c>
      <c r="F1928" s="38" t="s">
        <v>102</v>
      </c>
      <c r="G1928" s="49" t="str">
        <f t="shared" si="1"/>
        <v>38140</v>
      </c>
      <c r="H1928" s="49">
        <f t="shared" si="2"/>
        <v>38194</v>
      </c>
    </row>
    <row r="1929">
      <c r="A1929" s="48" t="s">
        <v>3633</v>
      </c>
      <c r="B1929" s="38">
        <v>48062.0</v>
      </c>
      <c r="C1929" s="38" t="s">
        <v>3634</v>
      </c>
      <c r="D1929" s="38" t="str">
        <f>IFERROR(__xludf.DUMMYFUNCTION("REGEXREPLACE(C1929,""-\d+(.*)|--\d+(.*)"","""")"),"FONTANES")</f>
        <v>FONTANES</v>
      </c>
      <c r="E1929" s="38" t="s">
        <v>154</v>
      </c>
      <c r="F1929" s="38" t="s">
        <v>119</v>
      </c>
      <c r="G1929" s="49" t="str">
        <f t="shared" si="1"/>
        <v>48300</v>
      </c>
      <c r="H1929" s="49">
        <f t="shared" si="2"/>
        <v>48062</v>
      </c>
    </row>
    <row r="1930">
      <c r="A1930" s="48" t="s">
        <v>3635</v>
      </c>
      <c r="B1930" s="38">
        <v>16231.0</v>
      </c>
      <c r="C1930" s="38" t="s">
        <v>3636</v>
      </c>
      <c r="D1930" s="38" t="str">
        <f>IFERROR(__xludf.DUMMYFUNCTION("REGEXREPLACE(C1930,""-\d+(.*)|--\d+(.*)"","""")"),"MONTROLLET")</f>
        <v>MONTROLLET</v>
      </c>
      <c r="E1930" s="38" t="s">
        <v>429</v>
      </c>
      <c r="F1930" s="38" t="s">
        <v>338</v>
      </c>
      <c r="G1930" s="49" t="str">
        <f t="shared" si="1"/>
        <v>16420</v>
      </c>
      <c r="H1930" s="49">
        <f t="shared" si="2"/>
        <v>16231</v>
      </c>
    </row>
    <row r="1931">
      <c r="A1931" s="48" t="s">
        <v>3637</v>
      </c>
      <c r="B1931" s="38">
        <v>63265.0</v>
      </c>
      <c r="C1931" s="38" t="s">
        <v>3638</v>
      </c>
      <c r="D1931" s="38" t="str">
        <f>IFERROR(__xludf.DUMMYFUNCTION("REGEXREPLACE(C1931,""-\d+(.*)|--\d+(.*)"","""")"),"ORLEAT")</f>
        <v>ORLEAT</v>
      </c>
      <c r="E1931" s="38" t="s">
        <v>353</v>
      </c>
      <c r="F1931" s="38" t="s">
        <v>161</v>
      </c>
      <c r="G1931" s="49" t="str">
        <f t="shared" si="1"/>
        <v>63190</v>
      </c>
      <c r="H1931" s="49">
        <f t="shared" si="2"/>
        <v>63265</v>
      </c>
    </row>
    <row r="1932">
      <c r="A1932" s="48" t="s">
        <v>803</v>
      </c>
      <c r="B1932" s="38">
        <v>1316.0</v>
      </c>
      <c r="C1932" s="38" t="s">
        <v>3639</v>
      </c>
      <c r="D1932" s="38" t="str">
        <f>IFERROR(__xludf.DUMMYFUNCTION("REGEXREPLACE(C1932,""-\d+(.*)|--\d+(.*)"","""")"),"PUGIEU")</f>
        <v>PUGIEU</v>
      </c>
      <c r="E1932" s="38" t="s">
        <v>255</v>
      </c>
      <c r="F1932" s="38" t="s">
        <v>102</v>
      </c>
      <c r="G1932" s="49" t="str">
        <f t="shared" si="1"/>
        <v>01510</v>
      </c>
      <c r="H1932" s="49" t="str">
        <f t="shared" si="2"/>
        <v>01316</v>
      </c>
    </row>
    <row r="1933">
      <c r="A1933" s="48" t="s">
        <v>454</v>
      </c>
      <c r="B1933" s="38">
        <v>71029.0</v>
      </c>
      <c r="C1933" s="38" t="s">
        <v>3640</v>
      </c>
      <c r="D1933" s="38" t="str">
        <f>IFERROR(__xludf.DUMMYFUNCTION("REGEXREPLACE(C1933,""-\d+(.*)|--\d+(.*)"","""")"),"BELLEVESVRE")</f>
        <v>BELLEVESVRE</v>
      </c>
      <c r="E1933" s="38" t="s">
        <v>344</v>
      </c>
      <c r="F1933" s="38" t="s">
        <v>106</v>
      </c>
      <c r="G1933" s="49" t="str">
        <f t="shared" si="1"/>
        <v>71270</v>
      </c>
      <c r="H1933" s="49">
        <f t="shared" si="2"/>
        <v>71029</v>
      </c>
    </row>
    <row r="1934">
      <c r="A1934" s="48" t="s">
        <v>145</v>
      </c>
      <c r="B1934" s="38">
        <v>10312.0</v>
      </c>
      <c r="C1934" s="38" t="s">
        <v>3641</v>
      </c>
      <c r="D1934" s="38" t="str">
        <f>IFERROR(__xludf.DUMMYFUNCTION("REGEXREPLACE(C1934,""-\d+(.*)|--\d+(.*)"","""")"),"RACINES")</f>
        <v>RACINES</v>
      </c>
      <c r="E1934" s="38" t="s">
        <v>147</v>
      </c>
      <c r="F1934" s="38" t="s">
        <v>130</v>
      </c>
      <c r="G1934" s="49" t="str">
        <f t="shared" si="1"/>
        <v>10130</v>
      </c>
      <c r="H1934" s="49">
        <f t="shared" si="2"/>
        <v>10312</v>
      </c>
    </row>
    <row r="1935">
      <c r="A1935" s="48" t="s">
        <v>3642</v>
      </c>
      <c r="B1935" s="38">
        <v>22072.0</v>
      </c>
      <c r="C1935" s="38" t="s">
        <v>3643</v>
      </c>
      <c r="D1935" s="38" t="str">
        <f>IFERROR(__xludf.DUMMYFUNCTION("REGEXREPLACE(C1935,""-\d+(.*)|--\d+(.*)"","""")"),"GURUNHUEL")</f>
        <v>GURUNHUEL</v>
      </c>
      <c r="E1935" s="38" t="s">
        <v>89</v>
      </c>
      <c r="F1935" s="38" t="s">
        <v>90</v>
      </c>
      <c r="G1935" s="49" t="str">
        <f t="shared" si="1"/>
        <v>22390</v>
      </c>
      <c r="H1935" s="49">
        <f t="shared" si="2"/>
        <v>22072</v>
      </c>
    </row>
    <row r="1936">
      <c r="A1936" s="48" t="s">
        <v>3644</v>
      </c>
      <c r="B1936" s="38">
        <v>87156.0</v>
      </c>
      <c r="C1936" s="38" t="s">
        <v>3645</v>
      </c>
      <c r="D1936" s="38" t="str">
        <f>IFERROR(__xludf.DUMMYFUNCTION("REGEXREPLACE(C1936,""-\d+(.*)|--\d+(.*)"","""")"),"SAINT-JUST-LE-MARTEL")</f>
        <v>SAINT-JUST-LE-MARTEL</v>
      </c>
      <c r="E1936" s="38" t="s">
        <v>897</v>
      </c>
      <c r="F1936" s="38" t="s">
        <v>98</v>
      </c>
      <c r="G1936" s="49" t="str">
        <f t="shared" si="1"/>
        <v>87590</v>
      </c>
      <c r="H1936" s="49">
        <f t="shared" si="2"/>
        <v>87156</v>
      </c>
    </row>
    <row r="1937">
      <c r="A1937" s="48" t="s">
        <v>1728</v>
      </c>
      <c r="B1937" s="38">
        <v>45195.0</v>
      </c>
      <c r="C1937" s="38" t="s">
        <v>3646</v>
      </c>
      <c r="D1937" s="38" t="str">
        <f>IFERROR(__xludf.DUMMYFUNCTION("REGEXREPLACE(C1937,""-\d+(.*)|--\d+(.*)"","""")"),"MAREAU-AUX-BOIS")</f>
        <v>MAREAU-AUX-BOIS</v>
      </c>
      <c r="E1937" s="38" t="s">
        <v>122</v>
      </c>
      <c r="F1937" s="38" t="s">
        <v>123</v>
      </c>
      <c r="G1937" s="49" t="str">
        <f t="shared" si="1"/>
        <v>45300</v>
      </c>
      <c r="H1937" s="49">
        <f t="shared" si="2"/>
        <v>45195</v>
      </c>
    </row>
    <row r="1938">
      <c r="A1938" s="48" t="s">
        <v>1976</v>
      </c>
      <c r="B1938" s="38">
        <v>1435.0</v>
      </c>
      <c r="C1938" s="38" t="s">
        <v>3647</v>
      </c>
      <c r="D1938" s="38" t="str">
        <f>IFERROR(__xludf.DUMMYFUNCTION("REGEXREPLACE(C1938,""-\d+(.*)|--\d+(.*)"","""")"),"VERSONNEX")</f>
        <v>VERSONNEX</v>
      </c>
      <c r="E1938" s="38" t="s">
        <v>255</v>
      </c>
      <c r="F1938" s="38" t="s">
        <v>102</v>
      </c>
      <c r="G1938" s="49" t="str">
        <f t="shared" si="1"/>
        <v>01210</v>
      </c>
      <c r="H1938" s="49" t="str">
        <f t="shared" si="2"/>
        <v>01435</v>
      </c>
    </row>
    <row r="1939">
      <c r="A1939" s="48" t="s">
        <v>3648</v>
      </c>
      <c r="B1939" s="38">
        <v>29075.0</v>
      </c>
      <c r="C1939" s="38" t="s">
        <v>3649</v>
      </c>
      <c r="D1939" s="38" t="str">
        <f>IFERROR(__xludf.DUMMYFUNCTION("REGEXREPLACE(C1939,""-\d+(.*)|--\d+(.*)"","""")"),"GUIPAVAS")</f>
        <v>GUIPAVAS</v>
      </c>
      <c r="E1939" s="38" t="s">
        <v>176</v>
      </c>
      <c r="F1939" s="38" t="s">
        <v>90</v>
      </c>
      <c r="G1939" s="49" t="str">
        <f t="shared" si="1"/>
        <v>29490</v>
      </c>
      <c r="H1939" s="49">
        <f t="shared" si="2"/>
        <v>29075</v>
      </c>
    </row>
    <row r="1940">
      <c r="A1940" s="48" t="s">
        <v>284</v>
      </c>
      <c r="B1940" s="38">
        <v>60434.0</v>
      </c>
      <c r="C1940" s="38" t="s">
        <v>3650</v>
      </c>
      <c r="D1940" s="38" t="str">
        <f>IFERROR(__xludf.DUMMYFUNCTION("REGEXREPLACE(C1940,""-\d+(.*)|--\d+(.*)"","""")"),"MORTEMER")</f>
        <v>MORTEMER</v>
      </c>
      <c r="E1940" s="38" t="s">
        <v>112</v>
      </c>
      <c r="F1940" s="38" t="s">
        <v>113</v>
      </c>
      <c r="G1940" s="49" t="str">
        <f t="shared" si="1"/>
        <v>60490</v>
      </c>
      <c r="H1940" s="49">
        <f t="shared" si="2"/>
        <v>60434</v>
      </c>
    </row>
    <row r="1941">
      <c r="A1941" s="48" t="s">
        <v>3651</v>
      </c>
      <c r="B1941" s="38">
        <v>19173.0</v>
      </c>
      <c r="C1941" s="38" t="s">
        <v>3652</v>
      </c>
      <c r="D1941" s="38" t="str">
        <f>IFERROR(__xludf.DUMMYFUNCTION("REGEXREPLACE(C1941,""-\d+(.*)|--\d+(.*)"","""")"),"RILHAC-XAINTRIE")</f>
        <v>RILHAC-XAINTRIE</v>
      </c>
      <c r="E1941" s="38" t="s">
        <v>271</v>
      </c>
      <c r="F1941" s="38" t="s">
        <v>98</v>
      </c>
      <c r="G1941" s="49" t="str">
        <f t="shared" si="1"/>
        <v>19220</v>
      </c>
      <c r="H1941" s="49">
        <f t="shared" si="2"/>
        <v>19173</v>
      </c>
    </row>
    <row r="1942">
      <c r="A1942" s="48" t="s">
        <v>3653</v>
      </c>
      <c r="B1942" s="38">
        <v>61054.0</v>
      </c>
      <c r="C1942" s="38" t="s">
        <v>3654</v>
      </c>
      <c r="D1942" s="38" t="str">
        <f>IFERROR(__xludf.DUMMYFUNCTION("REGEXREPLACE(C1942,""-\d+(.*)|--\d+(.*)"","""")"),"LE BOSC-RENOULT")</f>
        <v>LE BOSC-RENOULT</v>
      </c>
      <c r="E1942" s="38" t="s">
        <v>141</v>
      </c>
      <c r="F1942" s="38" t="s">
        <v>138</v>
      </c>
      <c r="G1942" s="49" t="str">
        <f t="shared" si="1"/>
        <v>61470</v>
      </c>
      <c r="H1942" s="49">
        <f t="shared" si="2"/>
        <v>61054</v>
      </c>
    </row>
    <row r="1943">
      <c r="A1943" s="48" t="s">
        <v>3655</v>
      </c>
      <c r="B1943" s="38">
        <v>51171.0</v>
      </c>
      <c r="C1943" s="38" t="s">
        <v>3656</v>
      </c>
      <c r="D1943" s="38" t="str">
        <f>IFERROR(__xludf.DUMMYFUNCTION("REGEXREPLACE(C1943,""-\d+(.*)|--\d+(.*)"","""")"),"CORMICY")</f>
        <v>CORMICY</v>
      </c>
      <c r="E1943" s="38" t="s">
        <v>129</v>
      </c>
      <c r="F1943" s="38" t="s">
        <v>130</v>
      </c>
      <c r="G1943" s="49" t="str">
        <f t="shared" si="1"/>
        <v>51220</v>
      </c>
      <c r="H1943" s="49">
        <f t="shared" si="2"/>
        <v>51171</v>
      </c>
    </row>
    <row r="1944">
      <c r="A1944" s="48" t="s">
        <v>3244</v>
      </c>
      <c r="B1944" s="38">
        <v>27504.0</v>
      </c>
      <c r="C1944" s="38" t="s">
        <v>3657</v>
      </c>
      <c r="D1944" s="38" t="str">
        <f>IFERROR(__xludf.DUMMYFUNCTION("REGEXREPLACE(C1944,""-\d+(.*)|--\d+(.*)"","""")"),"SACQUENVILLE")</f>
        <v>SACQUENVILLE</v>
      </c>
      <c r="E1944" s="38" t="s">
        <v>241</v>
      </c>
      <c r="F1944" s="38" t="s">
        <v>134</v>
      </c>
      <c r="G1944" s="49" t="str">
        <f t="shared" si="1"/>
        <v>27930</v>
      </c>
      <c r="H1944" s="49">
        <f t="shared" si="2"/>
        <v>27504</v>
      </c>
    </row>
    <row r="1945">
      <c r="A1945" s="48" t="s">
        <v>2946</v>
      </c>
      <c r="B1945" s="38">
        <v>51515.0</v>
      </c>
      <c r="C1945" s="38" t="s">
        <v>3658</v>
      </c>
      <c r="D1945" s="38" t="str">
        <f>IFERROR(__xludf.DUMMYFUNCTION("REGEXREPLACE(C1945,""-\d+(.*)|--\d+(.*)"","""")"),"SAINT-REMY-SUR-BUSSY")</f>
        <v>SAINT-REMY-SUR-BUSSY</v>
      </c>
      <c r="E1945" s="38" t="s">
        <v>129</v>
      </c>
      <c r="F1945" s="38" t="s">
        <v>130</v>
      </c>
      <c r="G1945" s="49" t="str">
        <f t="shared" si="1"/>
        <v>51600</v>
      </c>
      <c r="H1945" s="49">
        <f t="shared" si="2"/>
        <v>51515</v>
      </c>
    </row>
    <row r="1946">
      <c r="A1946" s="48" t="s">
        <v>3659</v>
      </c>
      <c r="B1946" s="38">
        <v>40297.0</v>
      </c>
      <c r="C1946" s="38" t="s">
        <v>3660</v>
      </c>
      <c r="D1946" s="38" t="str">
        <f>IFERROR(__xludf.DUMMYFUNCTION("REGEXREPLACE(C1946,""-\d+(.*)|--\d+(.*)"","""")"),"LE SEN")</f>
        <v>LE SEN</v>
      </c>
      <c r="E1946" s="38" t="s">
        <v>281</v>
      </c>
      <c r="F1946" s="38" t="s">
        <v>252</v>
      </c>
      <c r="G1946" s="49" t="str">
        <f t="shared" si="1"/>
        <v>40420</v>
      </c>
      <c r="H1946" s="49">
        <f t="shared" si="2"/>
        <v>40297</v>
      </c>
    </row>
    <row r="1947">
      <c r="A1947" s="48" t="s">
        <v>3337</v>
      </c>
      <c r="B1947" s="38">
        <v>34267.0</v>
      </c>
      <c r="C1947" s="38" t="s">
        <v>3661</v>
      </c>
      <c r="D1947" s="38" t="str">
        <f>IFERROR(__xludf.DUMMYFUNCTION("REGEXREPLACE(C1947,""-\d+(.*)|--\d+(.*)"","""")"),"SAINT-JEAN-DE-FOS")</f>
        <v>SAINT-JEAN-DE-FOS</v>
      </c>
      <c r="E1947" s="38" t="s">
        <v>118</v>
      </c>
      <c r="F1947" s="38" t="s">
        <v>119</v>
      </c>
      <c r="G1947" s="49" t="str">
        <f t="shared" si="1"/>
        <v>34150</v>
      </c>
      <c r="H1947" s="49">
        <f t="shared" si="2"/>
        <v>34267</v>
      </c>
    </row>
    <row r="1948">
      <c r="A1948" s="48" t="s">
        <v>3662</v>
      </c>
      <c r="B1948" s="38">
        <v>80183.0</v>
      </c>
      <c r="C1948" s="38" t="s">
        <v>3663</v>
      </c>
      <c r="D1948" s="38" t="str">
        <f>IFERROR(__xludf.DUMMYFUNCTION("REGEXREPLACE(C1948,""-\d+(.*)|--\d+(.*)"","""")"),"CERISY-BULEUX")</f>
        <v>CERISY-BULEUX</v>
      </c>
      <c r="E1948" s="38" t="s">
        <v>224</v>
      </c>
      <c r="F1948" s="38" t="s">
        <v>113</v>
      </c>
      <c r="G1948" s="49" t="str">
        <f t="shared" si="1"/>
        <v>80140</v>
      </c>
      <c r="H1948" s="49">
        <f t="shared" si="2"/>
        <v>80183</v>
      </c>
    </row>
    <row r="1949">
      <c r="A1949" s="48" t="s">
        <v>1477</v>
      </c>
      <c r="B1949" s="38">
        <v>61264.0</v>
      </c>
      <c r="C1949" s="38" t="s">
        <v>3664</v>
      </c>
      <c r="D1949" s="38" t="str">
        <f>IFERROR(__xludf.DUMMYFUNCTION("REGEXREPLACE(C1949,""-\d+(.*)|--\d+(.*)"","""")"),"MENIL-FROGER")</f>
        <v>MENIL-FROGER</v>
      </c>
      <c r="E1949" s="38" t="s">
        <v>141</v>
      </c>
      <c r="F1949" s="38" t="s">
        <v>138</v>
      </c>
      <c r="G1949" s="49" t="str">
        <f t="shared" si="1"/>
        <v>61240</v>
      </c>
      <c r="H1949" s="49">
        <f t="shared" si="2"/>
        <v>61264</v>
      </c>
    </row>
    <row r="1950">
      <c r="A1950" s="48" t="s">
        <v>1441</v>
      </c>
      <c r="B1950" s="38">
        <v>52280.0</v>
      </c>
      <c r="C1950" s="38" t="s">
        <v>3665</v>
      </c>
      <c r="D1950" s="38" t="str">
        <f>IFERROR(__xludf.DUMMYFUNCTION("REGEXREPLACE(C1950,""-\d+(.*)|--\d+(.*)"","""")"),"LECEY")</f>
        <v>LECEY</v>
      </c>
      <c r="E1950" s="38" t="s">
        <v>234</v>
      </c>
      <c r="F1950" s="38" t="s">
        <v>130</v>
      </c>
      <c r="G1950" s="49" t="str">
        <f t="shared" si="1"/>
        <v>52360</v>
      </c>
      <c r="H1950" s="49">
        <f t="shared" si="2"/>
        <v>52280</v>
      </c>
    </row>
    <row r="1951">
      <c r="A1951" s="48" t="s">
        <v>3666</v>
      </c>
      <c r="B1951" s="38">
        <v>21681.0</v>
      </c>
      <c r="C1951" s="38" t="s">
        <v>3667</v>
      </c>
      <c r="D1951" s="38" t="str">
        <f>IFERROR(__xludf.DUMMYFUNCTION("REGEXREPLACE(C1951,""-\d+(.*)|--\d+(.*)"","""")"),"VIEUX-CHATEAU")</f>
        <v>VIEUX-CHATEAU</v>
      </c>
      <c r="E1951" s="38" t="s">
        <v>105</v>
      </c>
      <c r="F1951" s="38" t="s">
        <v>106</v>
      </c>
      <c r="G1951" s="49" t="str">
        <f t="shared" si="1"/>
        <v>21460</v>
      </c>
      <c r="H1951" s="49">
        <f t="shared" si="2"/>
        <v>21681</v>
      </c>
    </row>
    <row r="1952">
      <c r="A1952" s="48" t="s">
        <v>3668</v>
      </c>
      <c r="B1952" s="38">
        <v>65316.0</v>
      </c>
      <c r="C1952" s="38" t="s">
        <v>3669</v>
      </c>
      <c r="D1952" s="38" t="str">
        <f>IFERROR(__xludf.DUMMYFUNCTION("REGEXREPLACE(C1952,""-\d+(.*)|--\d+(.*)"","""")"),"MONLONG")</f>
        <v>MONLONG</v>
      </c>
      <c r="E1952" s="38" t="s">
        <v>200</v>
      </c>
      <c r="F1952" s="38" t="s">
        <v>94</v>
      </c>
      <c r="G1952" s="49" t="str">
        <f t="shared" si="1"/>
        <v>65670</v>
      </c>
      <c r="H1952" s="49">
        <f t="shared" si="2"/>
        <v>65316</v>
      </c>
    </row>
    <row r="1953">
      <c r="A1953" s="48" t="s">
        <v>3670</v>
      </c>
      <c r="B1953" s="38">
        <v>83069.0</v>
      </c>
      <c r="C1953" s="38" t="s">
        <v>3671</v>
      </c>
      <c r="D1953" s="38" t="str">
        <f>IFERROR(__xludf.DUMMYFUNCTION("REGEXREPLACE(C1953,""-\d+(.*)|--\d+(.*)"","""")"),"HYERES")</f>
        <v>HYERES</v>
      </c>
      <c r="E1953" s="38" t="s">
        <v>813</v>
      </c>
      <c r="F1953" s="38" t="s">
        <v>228</v>
      </c>
      <c r="G1953" s="49" t="str">
        <f t="shared" si="1"/>
        <v>83400</v>
      </c>
      <c r="H1953" s="49">
        <f t="shared" si="2"/>
        <v>83069</v>
      </c>
    </row>
    <row r="1954">
      <c r="A1954" s="48" t="s">
        <v>3672</v>
      </c>
      <c r="B1954" s="38">
        <v>80205.0</v>
      </c>
      <c r="C1954" s="38" t="s">
        <v>3673</v>
      </c>
      <c r="D1954" s="38" t="str">
        <f>IFERROR(__xludf.DUMMYFUNCTION("REGEXREPLACE(C1954,""-\d+(.*)|--\d+(.*)"","""")"),"CONDE-FOLIE")</f>
        <v>CONDE-FOLIE</v>
      </c>
      <c r="E1954" s="38" t="s">
        <v>224</v>
      </c>
      <c r="F1954" s="38" t="s">
        <v>113</v>
      </c>
      <c r="G1954" s="49" t="str">
        <f t="shared" si="1"/>
        <v>80890</v>
      </c>
      <c r="H1954" s="49">
        <f t="shared" si="2"/>
        <v>80205</v>
      </c>
    </row>
    <row r="1955">
      <c r="A1955" s="48" t="s">
        <v>2400</v>
      </c>
      <c r="B1955" s="38">
        <v>25419.0</v>
      </c>
      <c r="C1955" s="38" t="s">
        <v>3674</v>
      </c>
      <c r="D1955" s="38" t="str">
        <f>IFERROR(__xludf.DUMMYFUNCTION("REGEXREPLACE(C1955,""-\d+(.*)|--\d+(.*)"","""")"),"NANS")</f>
        <v>NANS</v>
      </c>
      <c r="E1955" s="38" t="s">
        <v>213</v>
      </c>
      <c r="F1955" s="38" t="s">
        <v>214</v>
      </c>
      <c r="G1955" s="49" t="str">
        <f t="shared" si="1"/>
        <v>25680</v>
      </c>
      <c r="H1955" s="49">
        <f t="shared" si="2"/>
        <v>25419</v>
      </c>
    </row>
    <row r="1956">
      <c r="A1956" s="48" t="s">
        <v>3675</v>
      </c>
      <c r="B1956" s="38">
        <v>58116.0</v>
      </c>
      <c r="C1956" s="38" t="s">
        <v>3676</v>
      </c>
      <c r="D1956" s="38" t="str">
        <f>IFERROR(__xludf.DUMMYFUNCTION("REGEXREPLACE(C1956,""-\d+(.*)|--\d+(.*)"","""")"),"FLEZ-CUZY")</f>
        <v>FLEZ-CUZY</v>
      </c>
      <c r="E1956" s="38" t="s">
        <v>219</v>
      </c>
      <c r="F1956" s="38" t="s">
        <v>106</v>
      </c>
      <c r="G1956" s="49" t="str">
        <f t="shared" si="1"/>
        <v>58190</v>
      </c>
      <c r="H1956" s="49">
        <f t="shared" si="2"/>
        <v>58116</v>
      </c>
    </row>
    <row r="1957">
      <c r="A1957" s="48" t="s">
        <v>3677</v>
      </c>
      <c r="B1957" s="38">
        <v>89464.0</v>
      </c>
      <c r="C1957" s="38" t="s">
        <v>3678</v>
      </c>
      <c r="D1957" s="38" t="str">
        <f>IFERROR(__xludf.DUMMYFUNCTION("REGEXREPLACE(C1957,""-\d+(.*)|--\d+(.*)"","""")"),"VILLENEUVE-SUR-YONNE")</f>
        <v>VILLENEUVE-SUR-YONNE</v>
      </c>
      <c r="E1957" s="38" t="s">
        <v>275</v>
      </c>
      <c r="F1957" s="38" t="s">
        <v>106</v>
      </c>
      <c r="G1957" s="49" t="str">
        <f t="shared" si="1"/>
        <v>89500</v>
      </c>
      <c r="H1957" s="49">
        <f t="shared" si="2"/>
        <v>89464</v>
      </c>
    </row>
    <row r="1958">
      <c r="A1958" s="48" t="s">
        <v>2290</v>
      </c>
      <c r="B1958" s="38">
        <v>38003.0</v>
      </c>
      <c r="C1958" s="38" t="s">
        <v>3679</v>
      </c>
      <c r="D1958" s="38" t="str">
        <f>IFERROR(__xludf.DUMMYFUNCTION("REGEXREPLACE(C1958,""-\d+(.*)|--\d+(.*)"","""")"),"AGNIN")</f>
        <v>AGNIN</v>
      </c>
      <c r="E1958" s="38" t="s">
        <v>101</v>
      </c>
      <c r="F1958" s="38" t="s">
        <v>102</v>
      </c>
      <c r="G1958" s="49" t="str">
        <f t="shared" si="1"/>
        <v>38150</v>
      </c>
      <c r="H1958" s="49">
        <f t="shared" si="2"/>
        <v>38003</v>
      </c>
    </row>
    <row r="1959">
      <c r="A1959" s="48" t="s">
        <v>643</v>
      </c>
      <c r="B1959" s="38">
        <v>88024.0</v>
      </c>
      <c r="C1959" s="38" t="s">
        <v>3680</v>
      </c>
      <c r="D1959" s="38" t="str">
        <f>IFERROR(__xludf.DUMMYFUNCTION("REGEXREPLACE(C1959,""-\d+(.*)|--\d+(.*)"","""")"),"AVRAINVILLE")</f>
        <v>AVRAINVILLE</v>
      </c>
      <c r="E1959" s="38" t="s">
        <v>194</v>
      </c>
      <c r="F1959" s="38" t="s">
        <v>195</v>
      </c>
      <c r="G1959" s="49" t="str">
        <f t="shared" si="1"/>
        <v>88130</v>
      </c>
      <c r="H1959" s="49">
        <f t="shared" si="2"/>
        <v>88024</v>
      </c>
    </row>
    <row r="1960">
      <c r="A1960" s="48" t="s">
        <v>3681</v>
      </c>
      <c r="B1960" s="38">
        <v>39550.0</v>
      </c>
      <c r="C1960" s="38" t="s">
        <v>3682</v>
      </c>
      <c r="D1960" s="38" t="str">
        <f>IFERROR(__xludf.DUMMYFUNCTION("REGEXREPLACE(C1960,""-\d+(.*)|--\d+(.*)"","""")"),"VERGES")</f>
        <v>VERGES</v>
      </c>
      <c r="E1960" s="38" t="s">
        <v>400</v>
      </c>
      <c r="F1960" s="38" t="s">
        <v>214</v>
      </c>
      <c r="G1960" s="49" t="str">
        <f t="shared" si="1"/>
        <v>39570</v>
      </c>
      <c r="H1960" s="49">
        <f t="shared" si="2"/>
        <v>39550</v>
      </c>
    </row>
    <row r="1961">
      <c r="A1961" s="48" t="s">
        <v>3683</v>
      </c>
      <c r="B1961" s="38">
        <v>58112.0</v>
      </c>
      <c r="C1961" s="38" t="s">
        <v>3684</v>
      </c>
      <c r="D1961" s="38" t="str">
        <f>IFERROR(__xludf.DUMMYFUNCTION("REGEXREPLACE(C1961,""-\d+(.*)|--\d+(.*)"","""")"),"LA FERMETE")</f>
        <v>LA FERMETE</v>
      </c>
      <c r="E1961" s="38" t="s">
        <v>219</v>
      </c>
      <c r="F1961" s="38" t="s">
        <v>106</v>
      </c>
      <c r="G1961" s="49" t="str">
        <f t="shared" si="1"/>
        <v>58160</v>
      </c>
      <c r="H1961" s="49">
        <f t="shared" si="2"/>
        <v>58112</v>
      </c>
    </row>
    <row r="1962">
      <c r="A1962" s="48" t="s">
        <v>2888</v>
      </c>
      <c r="B1962" s="38">
        <v>2142.0</v>
      </c>
      <c r="C1962" s="38" t="s">
        <v>3685</v>
      </c>
      <c r="D1962" s="38" t="str">
        <f>IFERROR(__xludf.DUMMYFUNCTION("REGEXREPLACE(C1962,""-\d+(.*)|--\d+(.*)"","""")"),"CASTRES")</f>
        <v>CASTRES</v>
      </c>
      <c r="E1962" s="38" t="s">
        <v>191</v>
      </c>
      <c r="F1962" s="38" t="s">
        <v>113</v>
      </c>
      <c r="G1962" s="49" t="str">
        <f t="shared" si="1"/>
        <v>02680</v>
      </c>
      <c r="H1962" s="49" t="str">
        <f t="shared" si="2"/>
        <v>02142</v>
      </c>
    </row>
    <row r="1963">
      <c r="A1963" s="48" t="s">
        <v>3036</v>
      </c>
      <c r="B1963" s="38">
        <v>61291.0</v>
      </c>
      <c r="C1963" s="38" t="s">
        <v>3686</v>
      </c>
      <c r="D1963" s="38" t="str">
        <f>IFERROR(__xludf.DUMMYFUNCTION("REGEXREPLACE(C1963,""-\d+(.*)|--\d+(.*)"","""")"),"MONTREUIL-LA-CAMBE")</f>
        <v>MONTREUIL-LA-CAMBE</v>
      </c>
      <c r="E1963" s="38" t="s">
        <v>141</v>
      </c>
      <c r="F1963" s="38" t="s">
        <v>138</v>
      </c>
      <c r="G1963" s="49" t="str">
        <f t="shared" si="1"/>
        <v>61160</v>
      </c>
      <c r="H1963" s="49">
        <f t="shared" si="2"/>
        <v>61291</v>
      </c>
    </row>
    <row r="1964">
      <c r="A1964" s="48" t="s">
        <v>3687</v>
      </c>
      <c r="B1964" s="38">
        <v>53262.0</v>
      </c>
      <c r="C1964" s="38" t="s">
        <v>3688</v>
      </c>
      <c r="D1964" s="38" t="str">
        <f>IFERROR(__xludf.DUMMYFUNCTION("REGEXREPLACE(C1964,""-\d+(.*)|--\d+(.*)"","""")"),"SOULGE-SUR-OUETTE")</f>
        <v>SOULGE-SUR-OUETTE</v>
      </c>
      <c r="E1964" s="38" t="s">
        <v>518</v>
      </c>
      <c r="F1964" s="38" t="s">
        <v>180</v>
      </c>
      <c r="G1964" s="49" t="str">
        <f t="shared" si="1"/>
        <v>53210</v>
      </c>
      <c r="H1964" s="49">
        <f t="shared" si="2"/>
        <v>53262</v>
      </c>
    </row>
    <row r="1965">
      <c r="A1965" s="48" t="s">
        <v>3689</v>
      </c>
      <c r="B1965" s="38">
        <v>1356.0</v>
      </c>
      <c r="C1965" s="38" t="s">
        <v>3690</v>
      </c>
      <c r="D1965" s="38" t="str">
        <f>IFERROR(__xludf.DUMMYFUNCTION("REGEXREPLACE(C1965,""-\d+(.*)|--\d+(.*)"","""")"),"SAINT-GEORGES-SUR-RENON")</f>
        <v>SAINT-GEORGES-SUR-RENON</v>
      </c>
      <c r="E1965" s="38" t="s">
        <v>255</v>
      </c>
      <c r="F1965" s="38" t="s">
        <v>102</v>
      </c>
      <c r="G1965" s="49" t="str">
        <f t="shared" si="1"/>
        <v>01400</v>
      </c>
      <c r="H1965" s="49" t="str">
        <f t="shared" si="2"/>
        <v>01356</v>
      </c>
    </row>
    <row r="1966">
      <c r="A1966" s="48" t="s">
        <v>3691</v>
      </c>
      <c r="B1966" s="38">
        <v>64171.0</v>
      </c>
      <c r="C1966" s="38" t="s">
        <v>3692</v>
      </c>
      <c r="D1966" s="38" t="str">
        <f>IFERROR(__xludf.DUMMYFUNCTION("REGEXREPLACE(C1966,""-\d+(.*)|--\d+(.*)"","""")"),"CASTEIDE-CAMI")</f>
        <v>CASTEIDE-CAMI</v>
      </c>
      <c r="E1966" s="38" t="s">
        <v>268</v>
      </c>
      <c r="F1966" s="38" t="s">
        <v>252</v>
      </c>
      <c r="G1966" s="49" t="str">
        <f t="shared" si="1"/>
        <v>64170</v>
      </c>
      <c r="H1966" s="49">
        <f t="shared" si="2"/>
        <v>64171</v>
      </c>
    </row>
    <row r="1967">
      <c r="A1967" s="48" t="s">
        <v>3693</v>
      </c>
      <c r="B1967" s="38">
        <v>24075.0</v>
      </c>
      <c r="C1967" s="38" t="s">
        <v>3694</v>
      </c>
      <c r="D1967" s="38" t="str">
        <f>IFERROR(__xludf.DUMMYFUNCTION("REGEXREPLACE(C1967,""-\d+(.*)|--\d+(.*)"","""")"),"CAMPAGNAC-LES-QUERCY")</f>
        <v>CAMPAGNAC-LES-QUERCY</v>
      </c>
      <c r="E1967" s="38" t="s">
        <v>261</v>
      </c>
      <c r="F1967" s="38" t="s">
        <v>252</v>
      </c>
      <c r="G1967" s="49" t="str">
        <f t="shared" si="1"/>
        <v>24550</v>
      </c>
      <c r="H1967" s="49">
        <f t="shared" si="2"/>
        <v>24075</v>
      </c>
    </row>
    <row r="1968">
      <c r="A1968" s="48" t="s">
        <v>3137</v>
      </c>
      <c r="B1968" s="38">
        <v>67362.0</v>
      </c>
      <c r="C1968" s="38" t="s">
        <v>3695</v>
      </c>
      <c r="D1968" s="38" t="str">
        <f>IFERROR(__xludf.DUMMYFUNCTION("REGEXREPLACE(C1968,""-\d+(.*)|--\d+(.*)"","""")"),"ORSCHWILLER")</f>
        <v>ORSCHWILLER</v>
      </c>
      <c r="E1968" s="38" t="s">
        <v>210</v>
      </c>
      <c r="F1968" s="38" t="s">
        <v>151</v>
      </c>
      <c r="G1968" s="49" t="str">
        <f t="shared" si="1"/>
        <v>67600</v>
      </c>
      <c r="H1968" s="49">
        <f t="shared" si="2"/>
        <v>67362</v>
      </c>
    </row>
    <row r="1969">
      <c r="A1969" s="48" t="s">
        <v>3696</v>
      </c>
      <c r="B1969" s="38">
        <v>78681.0</v>
      </c>
      <c r="C1969" s="38" t="s">
        <v>3697</v>
      </c>
      <c r="D1969" s="38" t="str">
        <f>IFERROR(__xludf.DUMMYFUNCTION("REGEXREPLACE(C1969,""-\d+(.*)|--\d+(.*)"","""")"),"VILLIERS-LE-MAHIEU")</f>
        <v>VILLIERS-LE-MAHIEU</v>
      </c>
      <c r="E1969" s="38" t="s">
        <v>362</v>
      </c>
      <c r="F1969" s="38" t="s">
        <v>245</v>
      </c>
      <c r="G1969" s="49" t="str">
        <f t="shared" si="1"/>
        <v>78770</v>
      </c>
      <c r="H1969" s="49">
        <f t="shared" si="2"/>
        <v>78681</v>
      </c>
    </row>
    <row r="1970">
      <c r="A1970" s="48" t="s">
        <v>3329</v>
      </c>
      <c r="B1970" s="38">
        <v>60699.0</v>
      </c>
      <c r="C1970" s="38" t="s">
        <v>3698</v>
      </c>
      <c r="D1970" s="38" t="str">
        <f>IFERROR(__xludf.DUMMYFUNCTION("REGEXREPLACE(C1970,""-\d+(.*)|--\d+(.*)"","""")"),"WAMBEZ")</f>
        <v>WAMBEZ</v>
      </c>
      <c r="E1970" s="38" t="s">
        <v>112</v>
      </c>
      <c r="F1970" s="38" t="s">
        <v>113</v>
      </c>
      <c r="G1970" s="49" t="str">
        <f t="shared" si="1"/>
        <v>60380</v>
      </c>
      <c r="H1970" s="49">
        <f t="shared" si="2"/>
        <v>60699</v>
      </c>
    </row>
    <row r="1971">
      <c r="A1971" s="48" t="s">
        <v>3699</v>
      </c>
      <c r="B1971" s="38">
        <v>18032.0</v>
      </c>
      <c r="C1971" s="38" t="s">
        <v>3700</v>
      </c>
      <c r="D1971" s="38" t="str">
        <f>IFERROR(__xludf.DUMMYFUNCTION("REGEXREPLACE(C1971,""-\d+(.*)|--\d+(.*)"","""")"),"BOULLERET")</f>
        <v>BOULLERET</v>
      </c>
      <c r="E1971" s="38" t="s">
        <v>504</v>
      </c>
      <c r="F1971" s="38" t="s">
        <v>123</v>
      </c>
      <c r="G1971" s="49" t="str">
        <f t="shared" si="1"/>
        <v>18240</v>
      </c>
      <c r="H1971" s="49">
        <f t="shared" si="2"/>
        <v>18032</v>
      </c>
    </row>
    <row r="1972">
      <c r="A1972" s="48" t="s">
        <v>3206</v>
      </c>
      <c r="B1972" s="38">
        <v>40267.0</v>
      </c>
      <c r="C1972" s="38" t="s">
        <v>3701</v>
      </c>
      <c r="D1972" s="38" t="str">
        <f>IFERROR(__xludf.DUMMYFUNCTION("REGEXREPLACE(C1972,""-\d+(.*)|--\d+(.*)"","""")"),"SAINT-JUSTIN")</f>
        <v>SAINT-JUSTIN</v>
      </c>
      <c r="E1972" s="38" t="s">
        <v>281</v>
      </c>
      <c r="F1972" s="38" t="s">
        <v>252</v>
      </c>
      <c r="G1972" s="49" t="str">
        <f t="shared" si="1"/>
        <v>40240</v>
      </c>
      <c r="H1972" s="49">
        <f t="shared" si="2"/>
        <v>40267</v>
      </c>
    </row>
    <row r="1973">
      <c r="A1973" s="48" t="s">
        <v>3702</v>
      </c>
      <c r="B1973" s="38">
        <v>77138.0</v>
      </c>
      <c r="C1973" s="38" t="s">
        <v>3703</v>
      </c>
      <c r="D1973" s="38" t="str">
        <f>IFERROR(__xludf.DUMMYFUNCTION("REGEXREPLACE(C1973,""-\d+(.*)|--\d+(.*)"","""")"),"COURTOMER")</f>
        <v>COURTOMER</v>
      </c>
      <c r="E1973" s="38" t="s">
        <v>244</v>
      </c>
      <c r="F1973" s="38" t="s">
        <v>245</v>
      </c>
      <c r="G1973" s="49" t="str">
        <f t="shared" si="1"/>
        <v>77390</v>
      </c>
      <c r="H1973" s="49">
        <f t="shared" si="2"/>
        <v>77138</v>
      </c>
    </row>
    <row r="1974">
      <c r="A1974" s="48" t="s">
        <v>3704</v>
      </c>
      <c r="B1974" s="38">
        <v>2758.0</v>
      </c>
      <c r="C1974" s="38" t="s">
        <v>3705</v>
      </c>
      <c r="D1974" s="38" t="str">
        <f>IFERROR(__xludf.DUMMYFUNCTION("REGEXREPLACE(C1974,""-\d+(.*)|--\d+(.*)"","""")"),"VAILLY-SUR-AISNE")</f>
        <v>VAILLY-SUR-AISNE</v>
      </c>
      <c r="E1974" s="38" t="s">
        <v>191</v>
      </c>
      <c r="F1974" s="38" t="s">
        <v>113</v>
      </c>
      <c r="G1974" s="49" t="str">
        <f t="shared" si="1"/>
        <v>02370</v>
      </c>
      <c r="H1974" s="49" t="str">
        <f t="shared" si="2"/>
        <v>02758</v>
      </c>
    </row>
    <row r="1975">
      <c r="A1975" s="48" t="s">
        <v>3706</v>
      </c>
      <c r="B1975" s="38">
        <v>77236.0</v>
      </c>
      <c r="C1975" s="38" t="s">
        <v>3707</v>
      </c>
      <c r="D1975" s="38" t="str">
        <f>IFERROR(__xludf.DUMMYFUNCTION("REGEXREPLACE(C1975,""-\d+(.*)|--\d+(.*)"","""")"),"JAULNES")</f>
        <v>JAULNES</v>
      </c>
      <c r="E1975" s="38" t="s">
        <v>244</v>
      </c>
      <c r="F1975" s="38" t="s">
        <v>245</v>
      </c>
      <c r="G1975" s="49" t="str">
        <f t="shared" si="1"/>
        <v>77480</v>
      </c>
      <c r="H1975" s="49">
        <f t="shared" si="2"/>
        <v>77236</v>
      </c>
    </row>
    <row r="1976">
      <c r="A1976" s="48" t="s">
        <v>1810</v>
      </c>
      <c r="B1976" s="38">
        <v>23118.0</v>
      </c>
      <c r="C1976" s="38" t="s">
        <v>3708</v>
      </c>
      <c r="D1976" s="38" t="str">
        <f>IFERROR(__xludf.DUMMYFUNCTION("REGEXREPLACE(C1976,""-\d+(.*)|--\d+(.*)"","""")"),"MAISONNISSES")</f>
        <v>MAISONNISSES</v>
      </c>
      <c r="E1976" s="38" t="s">
        <v>97</v>
      </c>
      <c r="F1976" s="38" t="s">
        <v>98</v>
      </c>
      <c r="G1976" s="49" t="str">
        <f t="shared" si="1"/>
        <v>23150</v>
      </c>
      <c r="H1976" s="49">
        <f t="shared" si="2"/>
        <v>23118</v>
      </c>
    </row>
    <row r="1977">
      <c r="A1977" s="48" t="s">
        <v>2650</v>
      </c>
      <c r="B1977" s="38">
        <v>65263.0</v>
      </c>
      <c r="C1977" s="38" t="s">
        <v>3709</v>
      </c>
      <c r="D1977" s="38" t="str">
        <f>IFERROR(__xludf.DUMMYFUNCTION("REGEXREPLACE(C1977,""-\d+(.*)|--\d+(.*)"","""")"),"LARROQUE")</f>
        <v>LARROQUE</v>
      </c>
      <c r="E1977" s="38" t="s">
        <v>200</v>
      </c>
      <c r="F1977" s="38" t="s">
        <v>94</v>
      </c>
      <c r="G1977" s="49" t="str">
        <f t="shared" si="1"/>
        <v>65230</v>
      </c>
      <c r="H1977" s="49">
        <f t="shared" si="2"/>
        <v>65263</v>
      </c>
    </row>
    <row r="1978">
      <c r="A1978" s="48" t="s">
        <v>2820</v>
      </c>
      <c r="B1978" s="38">
        <v>2326.0</v>
      </c>
      <c r="C1978" s="38" t="s">
        <v>3710</v>
      </c>
      <c r="D1978" s="38" t="str">
        <f>IFERROR(__xludf.DUMMYFUNCTION("REGEXREPLACE(C1978,""-\d+(.*)|--\d+(.*)"","""")"),"FONTENOY")</f>
        <v>FONTENOY</v>
      </c>
      <c r="E1978" s="38" t="s">
        <v>191</v>
      </c>
      <c r="F1978" s="38" t="s">
        <v>113</v>
      </c>
      <c r="G1978" s="49" t="str">
        <f t="shared" si="1"/>
        <v>02290</v>
      </c>
      <c r="H1978" s="49" t="str">
        <f t="shared" si="2"/>
        <v>02326</v>
      </c>
    </row>
    <row r="1979">
      <c r="A1979" s="48" t="s">
        <v>3711</v>
      </c>
      <c r="B1979" s="38">
        <v>21641.0</v>
      </c>
      <c r="C1979" s="38" t="s">
        <v>3712</v>
      </c>
      <c r="D1979" s="38" t="str">
        <f>IFERROR(__xludf.DUMMYFUNCTION("REGEXREPLACE(C1979,""-\d+(.*)|--\d+(.*)"","""")"),"TOUILLON")</f>
        <v>TOUILLON</v>
      </c>
      <c r="E1979" s="38" t="s">
        <v>105</v>
      </c>
      <c r="F1979" s="38" t="s">
        <v>106</v>
      </c>
      <c r="G1979" s="49" t="str">
        <f t="shared" si="1"/>
        <v>21500</v>
      </c>
      <c r="H1979" s="49">
        <f t="shared" si="2"/>
        <v>21641</v>
      </c>
    </row>
    <row r="1980">
      <c r="A1980" s="48" t="s">
        <v>2942</v>
      </c>
      <c r="B1980" s="38">
        <v>14443.0</v>
      </c>
      <c r="C1980" s="38" t="s">
        <v>3713</v>
      </c>
      <c r="D1980" s="38" t="str">
        <f>IFERROR(__xludf.DUMMYFUNCTION("REGEXREPLACE(C1980,""-\d+(.*)|--\d+(.*)"","""")"),"MONTCHAUVET")</f>
        <v>MONTCHAUVET</v>
      </c>
      <c r="E1980" s="38" t="s">
        <v>137</v>
      </c>
      <c r="F1980" s="38" t="s">
        <v>138</v>
      </c>
      <c r="G1980" s="49" t="str">
        <f t="shared" si="1"/>
        <v>14350</v>
      </c>
      <c r="H1980" s="49">
        <f t="shared" si="2"/>
        <v>14443</v>
      </c>
    </row>
    <row r="1981">
      <c r="A1981" s="48" t="s">
        <v>3714</v>
      </c>
      <c r="B1981" s="38">
        <v>28222.0</v>
      </c>
      <c r="C1981" s="38" t="s">
        <v>3715</v>
      </c>
      <c r="D1981" s="38" t="str">
        <f>IFERROR(__xludf.DUMMYFUNCTION("REGEXREPLACE(C1981,""-\d+(.*)|--\d+(.*)"","""")"),"LUPLANTE")</f>
        <v>LUPLANTE</v>
      </c>
      <c r="E1981" s="38" t="s">
        <v>300</v>
      </c>
      <c r="F1981" s="38" t="s">
        <v>123</v>
      </c>
      <c r="G1981" s="49" t="str">
        <f t="shared" si="1"/>
        <v>28360</v>
      </c>
      <c r="H1981" s="49">
        <f t="shared" si="2"/>
        <v>28222</v>
      </c>
    </row>
    <row r="1982">
      <c r="A1982" s="48" t="s">
        <v>3716</v>
      </c>
      <c r="B1982" s="38">
        <v>57273.0</v>
      </c>
      <c r="C1982" s="38" t="s">
        <v>3717</v>
      </c>
      <c r="D1982" s="38" t="str">
        <f>IFERROR(__xludf.DUMMYFUNCTION("REGEXREPLACE(C1982,""-\d+(.*)|--\d+(.*)"","""")"),"GUERSTLING")</f>
        <v>GUERSTLING</v>
      </c>
      <c r="E1982" s="38" t="s">
        <v>303</v>
      </c>
      <c r="F1982" s="38" t="s">
        <v>195</v>
      </c>
      <c r="G1982" s="49" t="str">
        <f t="shared" si="1"/>
        <v>57320</v>
      </c>
      <c r="H1982" s="49">
        <f t="shared" si="2"/>
        <v>57273</v>
      </c>
    </row>
    <row r="1983">
      <c r="A1983" s="48" t="s">
        <v>3718</v>
      </c>
      <c r="B1983" s="38">
        <v>62074.0</v>
      </c>
      <c r="C1983" s="38" t="s">
        <v>3719</v>
      </c>
      <c r="D1983" s="38" t="str">
        <f>IFERROR(__xludf.DUMMYFUNCTION("REGEXREPLACE(C1983,""-\d+(.*)|--\d+(.*)"","""")"),"BAILLEULVAL")</f>
        <v>BAILLEULVAL</v>
      </c>
      <c r="E1983" s="38" t="s">
        <v>109</v>
      </c>
      <c r="F1983" s="38" t="s">
        <v>86</v>
      </c>
      <c r="G1983" s="49" t="str">
        <f t="shared" si="1"/>
        <v>62123</v>
      </c>
      <c r="H1983" s="49">
        <f t="shared" si="2"/>
        <v>62074</v>
      </c>
    </row>
    <row r="1984">
      <c r="A1984" s="48" t="s">
        <v>486</v>
      </c>
      <c r="B1984" s="38">
        <v>17246.0</v>
      </c>
      <c r="C1984" s="38" t="s">
        <v>3720</v>
      </c>
      <c r="D1984" s="38" t="str">
        <f>IFERROR(__xludf.DUMMYFUNCTION("REGEXREPLACE(C1984,""-\d+(.*)|--\d+(.*)"","""")"),"MORAGNE")</f>
        <v>MORAGNE</v>
      </c>
      <c r="E1984" s="38" t="s">
        <v>488</v>
      </c>
      <c r="F1984" s="38" t="s">
        <v>338</v>
      </c>
      <c r="G1984" s="49" t="str">
        <f t="shared" si="1"/>
        <v>17430</v>
      </c>
      <c r="H1984" s="49">
        <f t="shared" si="2"/>
        <v>17246</v>
      </c>
    </row>
    <row r="1985">
      <c r="A1985" s="48" t="s">
        <v>3721</v>
      </c>
      <c r="B1985" s="38">
        <v>71097.0</v>
      </c>
      <c r="C1985" s="38" t="s">
        <v>3722</v>
      </c>
      <c r="D1985" s="38" t="str">
        <f>IFERROR(__xludf.DUMMYFUNCTION("REGEXREPLACE(C1985,""-\d+(.*)|--\d+(.*)"","""")"),"LA CHAPELLE-THECLE")</f>
        <v>LA CHAPELLE-THECLE</v>
      </c>
      <c r="E1985" s="38" t="s">
        <v>344</v>
      </c>
      <c r="F1985" s="38" t="s">
        <v>106</v>
      </c>
      <c r="G1985" s="49" t="str">
        <f t="shared" si="1"/>
        <v>71470</v>
      </c>
      <c r="H1985" s="49">
        <f t="shared" si="2"/>
        <v>71097</v>
      </c>
    </row>
    <row r="1986">
      <c r="A1986" s="48" t="s">
        <v>3723</v>
      </c>
      <c r="B1986" s="38">
        <v>54333.0</v>
      </c>
      <c r="C1986" s="38" t="s">
        <v>3724</v>
      </c>
      <c r="D1986" s="38" t="str">
        <f>IFERROR(__xludf.DUMMYFUNCTION("REGEXREPLACE(C1986,""-\d+(.*)|--\d+(.*)"","""")"),"MAILLY-SUR-SEILLE")</f>
        <v>MAILLY-SUR-SEILLE</v>
      </c>
      <c r="E1986" s="38" t="s">
        <v>548</v>
      </c>
      <c r="F1986" s="38" t="s">
        <v>195</v>
      </c>
      <c r="G1986" s="49" t="str">
        <f t="shared" si="1"/>
        <v>54610</v>
      </c>
      <c r="H1986" s="49">
        <f t="shared" si="2"/>
        <v>54333</v>
      </c>
    </row>
    <row r="1987">
      <c r="A1987" s="48" t="s">
        <v>3725</v>
      </c>
      <c r="B1987" s="38">
        <v>50128.0</v>
      </c>
      <c r="C1987" s="38" t="s">
        <v>3726</v>
      </c>
      <c r="D1987" s="38" t="str">
        <f>IFERROR(__xludf.DUMMYFUNCTION("REGEXREPLACE(C1987,""-\d+(.*)|--\d+(.*)"","""")"),"LE CHEFRESNE")</f>
        <v>LE CHEFRESNE</v>
      </c>
      <c r="E1987" s="38" t="s">
        <v>157</v>
      </c>
      <c r="F1987" s="38" t="s">
        <v>138</v>
      </c>
      <c r="G1987" s="49" t="str">
        <f t="shared" si="1"/>
        <v>50410</v>
      </c>
      <c r="H1987" s="49">
        <f t="shared" si="2"/>
        <v>50128</v>
      </c>
    </row>
    <row r="1988">
      <c r="A1988" s="48" t="s">
        <v>3727</v>
      </c>
      <c r="B1988" s="38">
        <v>59444.0</v>
      </c>
      <c r="C1988" s="38" t="s">
        <v>3728</v>
      </c>
      <c r="D1988" s="38" t="str">
        <f>IFERROR(__xludf.DUMMYFUNCTION("REGEXREPLACE(C1988,""-\d+(.*)|--\d+(.*)"","""")"),"ODOMEZ")</f>
        <v>ODOMEZ</v>
      </c>
      <c r="E1988" s="38" t="s">
        <v>85</v>
      </c>
      <c r="F1988" s="38" t="s">
        <v>86</v>
      </c>
      <c r="G1988" s="49" t="str">
        <f t="shared" si="1"/>
        <v>59970</v>
      </c>
      <c r="H1988" s="49">
        <f t="shared" si="2"/>
        <v>59444</v>
      </c>
    </row>
    <row r="1989">
      <c r="A1989" s="48" t="s">
        <v>3729</v>
      </c>
      <c r="B1989" s="38">
        <v>32183.0</v>
      </c>
      <c r="C1989" s="38" t="s">
        <v>3730</v>
      </c>
      <c r="D1989" s="38" t="str">
        <f>IFERROR(__xludf.DUMMYFUNCTION("REGEXREPLACE(C1989,""-\d+(.*)|--\d+(.*)"","""")"),"LAHITTE")</f>
        <v>LAHITTE</v>
      </c>
      <c r="E1989" s="38" t="s">
        <v>440</v>
      </c>
      <c r="F1989" s="38" t="s">
        <v>94</v>
      </c>
      <c r="G1989" s="49" t="str">
        <f t="shared" si="1"/>
        <v>32810</v>
      </c>
      <c r="H1989" s="49">
        <f t="shared" si="2"/>
        <v>32183</v>
      </c>
    </row>
    <row r="1990">
      <c r="A1990" s="48" t="s">
        <v>3731</v>
      </c>
      <c r="B1990" s="38">
        <v>4012.0</v>
      </c>
      <c r="C1990" s="38" t="s">
        <v>3732</v>
      </c>
      <c r="D1990" s="38" t="str">
        <f>IFERROR(__xludf.DUMMYFUNCTION("REGEXREPLACE(C1990,""-\d+(.*)|--\d+(.*)"","""")"),"AUBENAS-LES-ALPES")</f>
        <v>AUBENAS-LES-ALPES</v>
      </c>
      <c r="E1990" s="38" t="s">
        <v>662</v>
      </c>
      <c r="F1990" s="38" t="s">
        <v>228</v>
      </c>
      <c r="G1990" s="49" t="str">
        <f t="shared" si="1"/>
        <v>04110</v>
      </c>
      <c r="H1990" s="49" t="str">
        <f t="shared" si="2"/>
        <v>04012</v>
      </c>
    </row>
    <row r="1991">
      <c r="A1991" s="48" t="s">
        <v>3733</v>
      </c>
      <c r="B1991" s="38">
        <v>78344.0</v>
      </c>
      <c r="C1991" s="38" t="s">
        <v>3734</v>
      </c>
      <c r="D1991" s="38" t="str">
        <f>IFERROR(__xludf.DUMMYFUNCTION("REGEXREPLACE(C1991,""-\d+(.*)|--\d+(.*)"","""")"),"LOMMOYE")</f>
        <v>LOMMOYE</v>
      </c>
      <c r="E1991" s="38" t="s">
        <v>362</v>
      </c>
      <c r="F1991" s="38" t="s">
        <v>245</v>
      </c>
      <c r="G1991" s="49" t="str">
        <f t="shared" si="1"/>
        <v>78270</v>
      </c>
      <c r="H1991" s="49">
        <f t="shared" si="2"/>
        <v>78344</v>
      </c>
    </row>
    <row r="1992">
      <c r="A1992" s="48" t="s">
        <v>3735</v>
      </c>
      <c r="B1992" s="38">
        <v>28250.0</v>
      </c>
      <c r="C1992" s="38" t="s">
        <v>3736</v>
      </c>
      <c r="D1992" s="38" t="str">
        <f>IFERROR(__xludf.DUMMYFUNCTION("REGEXREPLACE(C1992,""-\d+(.*)|--\d+(.*)"","""")"),"MEZIERES-AU-PERCHE")</f>
        <v>MEZIERES-AU-PERCHE</v>
      </c>
      <c r="E1992" s="38" t="s">
        <v>300</v>
      </c>
      <c r="F1992" s="38" t="s">
        <v>123</v>
      </c>
      <c r="G1992" s="49" t="str">
        <f t="shared" si="1"/>
        <v>28160</v>
      </c>
      <c r="H1992" s="49">
        <f t="shared" si="2"/>
        <v>28250</v>
      </c>
    </row>
    <row r="1993">
      <c r="A1993" s="48" t="s">
        <v>148</v>
      </c>
      <c r="B1993" s="38">
        <v>68356.0</v>
      </c>
      <c r="C1993" s="38" t="s">
        <v>3737</v>
      </c>
      <c r="D1993" s="38" t="str">
        <f>IFERROR(__xludf.DUMMYFUNCTION("REGEXREPLACE(C1993,""-\d+(.*)|--\d+(.*)"","""")"),"WALHEIM")</f>
        <v>WALHEIM</v>
      </c>
      <c r="E1993" s="38" t="s">
        <v>150</v>
      </c>
      <c r="F1993" s="38" t="s">
        <v>151</v>
      </c>
      <c r="G1993" s="49" t="str">
        <f t="shared" si="1"/>
        <v>68130</v>
      </c>
      <c r="H1993" s="49">
        <f t="shared" si="2"/>
        <v>68356</v>
      </c>
    </row>
    <row r="1994">
      <c r="A1994" s="48" t="s">
        <v>1372</v>
      </c>
      <c r="B1994" s="38">
        <v>35141.0</v>
      </c>
      <c r="C1994" s="38" t="s">
        <v>3738</v>
      </c>
      <c r="D1994" s="38" t="str">
        <f>IFERROR(__xludf.DUMMYFUNCTION("REGEXREPLACE(C1994,""-\d+(.*)|--\d+(.*)"","""")"),"LANDAVRAN")</f>
        <v>LANDAVRAN</v>
      </c>
      <c r="E1994" s="38" t="s">
        <v>347</v>
      </c>
      <c r="F1994" s="38" t="s">
        <v>90</v>
      </c>
      <c r="G1994" s="49" t="str">
        <f t="shared" si="1"/>
        <v>35450</v>
      </c>
      <c r="H1994" s="49">
        <f t="shared" si="2"/>
        <v>35141</v>
      </c>
    </row>
    <row r="1995">
      <c r="A1995" s="48" t="s">
        <v>3198</v>
      </c>
      <c r="B1995" s="38">
        <v>32456.0</v>
      </c>
      <c r="C1995" s="38" t="s">
        <v>3739</v>
      </c>
      <c r="D1995" s="38" t="str">
        <f>IFERROR(__xludf.DUMMYFUNCTION("REGEXREPLACE(C1995,""-\d+(.*)|--\d+(.*)"","""")"),"TUDELLE")</f>
        <v>TUDELLE</v>
      </c>
      <c r="E1995" s="38" t="s">
        <v>440</v>
      </c>
      <c r="F1995" s="38" t="s">
        <v>94</v>
      </c>
      <c r="G1995" s="49" t="str">
        <f t="shared" si="1"/>
        <v>32190</v>
      </c>
      <c r="H1995" s="49">
        <f t="shared" si="2"/>
        <v>32456</v>
      </c>
    </row>
    <row r="1996">
      <c r="A1996" s="48" t="s">
        <v>1630</v>
      </c>
      <c r="B1996" s="38">
        <v>57536.0</v>
      </c>
      <c r="C1996" s="38" t="s">
        <v>3740</v>
      </c>
      <c r="D1996" s="38" t="str">
        <f>IFERROR(__xludf.DUMMYFUNCTION("REGEXREPLACE(C1996,""-\d+(.*)|--\d+(.*)"","""")"),"PETIT-TENQUIN")</f>
        <v>PETIT-TENQUIN</v>
      </c>
      <c r="E1996" s="38" t="s">
        <v>303</v>
      </c>
      <c r="F1996" s="38" t="s">
        <v>195</v>
      </c>
      <c r="G1996" s="49" t="str">
        <f t="shared" si="1"/>
        <v>57660</v>
      </c>
      <c r="H1996" s="49">
        <f t="shared" si="2"/>
        <v>57536</v>
      </c>
    </row>
    <row r="1997">
      <c r="A1997" s="48" t="s">
        <v>571</v>
      </c>
      <c r="B1997" s="38">
        <v>55018.0</v>
      </c>
      <c r="C1997" s="38" t="s">
        <v>3741</v>
      </c>
      <c r="D1997" s="38" t="str">
        <f>IFERROR(__xludf.DUMMYFUNCTION("REGEXREPLACE(C1997,""-\d+(.*)|--\d+(.*)"","""")"),"AUTREVILLE-SAINT-LAMBERT")</f>
        <v>AUTREVILLE-SAINT-LAMBERT</v>
      </c>
      <c r="E1997" s="38" t="s">
        <v>322</v>
      </c>
      <c r="F1997" s="38" t="s">
        <v>195</v>
      </c>
      <c r="G1997" s="49" t="str">
        <f t="shared" si="1"/>
        <v>55700</v>
      </c>
      <c r="H1997" s="49">
        <f t="shared" si="2"/>
        <v>55018</v>
      </c>
    </row>
    <row r="1998">
      <c r="A1998" s="48" t="s">
        <v>765</v>
      </c>
      <c r="B1998" s="38">
        <v>89181.0</v>
      </c>
      <c r="C1998" s="38" t="s">
        <v>3742</v>
      </c>
      <c r="D1998" s="38" t="str">
        <f>IFERROR(__xludf.DUMMYFUNCTION("REGEXREPLACE(C1998,""-\d+(.*)|--\d+(.*)"","""")"),"FOURNAUDIN")</f>
        <v>FOURNAUDIN</v>
      </c>
      <c r="E1998" s="38" t="s">
        <v>275</v>
      </c>
      <c r="F1998" s="38" t="s">
        <v>106</v>
      </c>
      <c r="G1998" s="49" t="str">
        <f t="shared" si="1"/>
        <v>89320</v>
      </c>
      <c r="H1998" s="49">
        <f t="shared" si="2"/>
        <v>89181</v>
      </c>
    </row>
    <row r="1999">
      <c r="A1999" s="48" t="s">
        <v>3743</v>
      </c>
      <c r="B1999" s="38">
        <v>27497.0</v>
      </c>
      <c r="C1999" s="38" t="s">
        <v>3744</v>
      </c>
      <c r="D1999" s="38" t="str">
        <f>IFERROR(__xludf.DUMMYFUNCTION("REGEXREPLACE(C1999,""-\d+(.*)|--\d+(.*)"","""")"),"ROUGEMONTIERS")</f>
        <v>ROUGEMONTIERS</v>
      </c>
      <c r="E1999" s="38" t="s">
        <v>241</v>
      </c>
      <c r="F1999" s="38" t="s">
        <v>134</v>
      </c>
      <c r="G1999" s="49" t="str">
        <f t="shared" si="1"/>
        <v>27350</v>
      </c>
      <c r="H1999" s="49">
        <f t="shared" si="2"/>
        <v>27497</v>
      </c>
    </row>
    <row r="2000">
      <c r="A2000" s="48" t="s">
        <v>1132</v>
      </c>
      <c r="B2000" s="38">
        <v>2421.0</v>
      </c>
      <c r="C2000" s="38" t="s">
        <v>3745</v>
      </c>
      <c r="D2000" s="38" t="str">
        <f>IFERROR(__xludf.DUMMYFUNCTION("REGEXREPLACE(C2000,""-\d+(.*)|--\d+(.*)"","""")"),"LESGES")</f>
        <v>LESGES</v>
      </c>
      <c r="E2000" s="38" t="s">
        <v>191</v>
      </c>
      <c r="F2000" s="38" t="s">
        <v>113</v>
      </c>
      <c r="G2000" s="49" t="str">
        <f t="shared" si="1"/>
        <v>02220</v>
      </c>
      <c r="H2000" s="49" t="str">
        <f t="shared" si="2"/>
        <v>02421</v>
      </c>
    </row>
    <row r="2001">
      <c r="A2001" s="48" t="s">
        <v>2807</v>
      </c>
      <c r="B2001" s="38">
        <v>81214.0</v>
      </c>
      <c r="C2001" s="38" t="s">
        <v>3746</v>
      </c>
      <c r="D2001" s="38" t="str">
        <f>IFERROR(__xludf.DUMMYFUNCTION("REGEXREPLACE(C2001,""-\d+(.*)|--\d+(.*)"","""")"),"PUECHOURSI")</f>
        <v>PUECHOURSI</v>
      </c>
      <c r="E2001" s="38" t="s">
        <v>231</v>
      </c>
      <c r="F2001" s="38" t="s">
        <v>94</v>
      </c>
      <c r="G2001" s="49" t="str">
        <f t="shared" si="1"/>
        <v>81470</v>
      </c>
      <c r="H2001" s="49">
        <f t="shared" si="2"/>
        <v>81214</v>
      </c>
    </row>
    <row r="2002">
      <c r="A2002" s="48" t="s">
        <v>3747</v>
      </c>
      <c r="B2002" s="38">
        <v>52197.0</v>
      </c>
      <c r="C2002" s="38" t="s">
        <v>3748</v>
      </c>
      <c r="D2002" s="38" t="str">
        <f>IFERROR(__xludf.DUMMYFUNCTION("REGEXREPLACE(C2002,""-\d+(.*)|--\d+(.*)"","""")"),"FAYL-BILLOT")</f>
        <v>FAYL-BILLOT</v>
      </c>
      <c r="E2002" s="38" t="s">
        <v>234</v>
      </c>
      <c r="F2002" s="38" t="s">
        <v>130</v>
      </c>
      <c r="G2002" s="49" t="str">
        <f t="shared" si="1"/>
        <v>52500</v>
      </c>
      <c r="H2002" s="49">
        <f t="shared" si="2"/>
        <v>52197</v>
      </c>
    </row>
    <row r="2003">
      <c r="A2003" s="48" t="s">
        <v>2773</v>
      </c>
      <c r="B2003" s="38">
        <v>21455.0</v>
      </c>
      <c r="C2003" s="38" t="s">
        <v>3749</v>
      </c>
      <c r="D2003" s="38" t="str">
        <f>IFERROR(__xludf.DUMMYFUNCTION("REGEXREPLACE(C2003,""-\d+(.*)|--\d+(.*)"","""")"),"NOD-SUR-SEINE")</f>
        <v>NOD-SUR-SEINE</v>
      </c>
      <c r="E2003" s="38" t="s">
        <v>105</v>
      </c>
      <c r="F2003" s="38" t="s">
        <v>106</v>
      </c>
      <c r="G2003" s="49" t="str">
        <f t="shared" si="1"/>
        <v>21400</v>
      </c>
      <c r="H2003" s="49">
        <f t="shared" si="2"/>
        <v>21455</v>
      </c>
    </row>
    <row r="2004">
      <c r="A2004" s="48" t="s">
        <v>3750</v>
      </c>
      <c r="B2004" s="38">
        <v>47152.0</v>
      </c>
      <c r="C2004" s="38" t="s">
        <v>3751</v>
      </c>
      <c r="D2004" s="38" t="str">
        <f>IFERROR(__xludf.DUMMYFUNCTION("REGEXREPLACE(C2004,""-\d+(.*)|--\d+(.*)"","""")"),"LOUGRATTE")</f>
        <v>LOUGRATTE</v>
      </c>
      <c r="E2004" s="38" t="s">
        <v>251</v>
      </c>
      <c r="F2004" s="38" t="s">
        <v>252</v>
      </c>
      <c r="G2004" s="49" t="str">
        <f t="shared" si="1"/>
        <v>47290</v>
      </c>
      <c r="H2004" s="49">
        <f t="shared" si="2"/>
        <v>47152</v>
      </c>
    </row>
    <row r="2005">
      <c r="A2005" s="48" t="s">
        <v>1368</v>
      </c>
      <c r="B2005" s="38">
        <v>8431.0</v>
      </c>
      <c r="C2005" s="38" t="s">
        <v>3752</v>
      </c>
      <c r="D2005" s="38" t="str">
        <f>IFERROR(__xludf.DUMMYFUNCTION("REGEXREPLACE(C2005,""-\d+(.*)|--\d+(.*)"","""")"),"SUGNY")</f>
        <v>SUGNY</v>
      </c>
      <c r="E2005" s="38" t="s">
        <v>327</v>
      </c>
      <c r="F2005" s="38" t="s">
        <v>130</v>
      </c>
      <c r="G2005" s="49" t="str">
        <f t="shared" si="1"/>
        <v>08400</v>
      </c>
      <c r="H2005" s="49" t="str">
        <f t="shared" si="2"/>
        <v>08431</v>
      </c>
    </row>
    <row r="2006">
      <c r="A2006" s="48" t="s">
        <v>3753</v>
      </c>
      <c r="B2006" s="38">
        <v>18121.0</v>
      </c>
      <c r="C2006" s="38" t="s">
        <v>3754</v>
      </c>
      <c r="D2006" s="38" t="str">
        <f>IFERROR(__xludf.DUMMYFUNCTION("REGEXREPLACE(C2006,""-\d+(.*)|--\d+(.*)"","""")"),"LANTAN")</f>
        <v>LANTAN</v>
      </c>
      <c r="E2006" s="38" t="s">
        <v>504</v>
      </c>
      <c r="F2006" s="38" t="s">
        <v>123</v>
      </c>
      <c r="G2006" s="49" t="str">
        <f t="shared" si="1"/>
        <v>18130</v>
      </c>
      <c r="H2006" s="49">
        <f t="shared" si="2"/>
        <v>18121</v>
      </c>
    </row>
    <row r="2007">
      <c r="A2007" s="48" t="s">
        <v>3755</v>
      </c>
      <c r="B2007" s="38">
        <v>76089.0</v>
      </c>
      <c r="C2007" s="38" t="s">
        <v>3756</v>
      </c>
      <c r="D2007" s="38" t="str">
        <f>IFERROR(__xludf.DUMMYFUNCTION("REGEXREPLACE(C2007,""-\d+(.*)|--\d+(.*)"","""")"),"BETTEVILLE")</f>
        <v>BETTEVILLE</v>
      </c>
      <c r="E2007" s="38" t="s">
        <v>133</v>
      </c>
      <c r="F2007" s="38" t="s">
        <v>134</v>
      </c>
      <c r="G2007" s="49" t="str">
        <f t="shared" si="1"/>
        <v>76190</v>
      </c>
      <c r="H2007" s="49">
        <f t="shared" si="2"/>
        <v>76089</v>
      </c>
    </row>
    <row r="2008">
      <c r="A2008" s="48" t="s">
        <v>2176</v>
      </c>
      <c r="B2008" s="38">
        <v>62633.0</v>
      </c>
      <c r="C2008" s="38" t="s">
        <v>3757</v>
      </c>
      <c r="D2008" s="38" t="str">
        <f>IFERROR(__xludf.DUMMYFUNCTION("REGEXREPLACE(C2008,""-\d+(.*)|--\d+(.*)"","""")"),"OEUF-EN-TERNOIS")</f>
        <v>OEUF-EN-TERNOIS</v>
      </c>
      <c r="E2008" s="38" t="s">
        <v>109</v>
      </c>
      <c r="F2008" s="38" t="s">
        <v>86</v>
      </c>
      <c r="G2008" s="49" t="str">
        <f t="shared" si="1"/>
        <v>62130</v>
      </c>
      <c r="H2008" s="49">
        <f t="shared" si="2"/>
        <v>62633</v>
      </c>
    </row>
    <row r="2009">
      <c r="A2009" s="48" t="s">
        <v>511</v>
      </c>
      <c r="B2009" s="38">
        <v>77148.0</v>
      </c>
      <c r="C2009" s="38" t="s">
        <v>3758</v>
      </c>
      <c r="D2009" s="38" t="str">
        <f>IFERROR(__xludf.DUMMYFUNCTION("REGEXREPLACE(C2009,""-\d+(.*)|--\d+(.*)"","""")"),"CROUY-SUR-OURCQ")</f>
        <v>CROUY-SUR-OURCQ</v>
      </c>
      <c r="E2009" s="38" t="s">
        <v>244</v>
      </c>
      <c r="F2009" s="38" t="s">
        <v>245</v>
      </c>
      <c r="G2009" s="49" t="str">
        <f t="shared" si="1"/>
        <v>77840</v>
      </c>
      <c r="H2009" s="49">
        <f t="shared" si="2"/>
        <v>77148</v>
      </c>
    </row>
    <row r="2010">
      <c r="A2010" s="48" t="s">
        <v>3759</v>
      </c>
      <c r="B2010" s="38">
        <v>17285.0</v>
      </c>
      <c r="C2010" s="38" t="s">
        <v>3760</v>
      </c>
      <c r="D2010" s="38" t="str">
        <f>IFERROR(__xludf.DUMMYFUNCTION("REGEXREPLACE(C2010,""-\d+(.*)|--\d+(.*)"","""")"),"PORT-D'ENVAUX")</f>
        <v>PORT-D'ENVAUX</v>
      </c>
      <c r="E2010" s="38" t="s">
        <v>488</v>
      </c>
      <c r="F2010" s="38" t="s">
        <v>338</v>
      </c>
      <c r="G2010" s="49" t="str">
        <f t="shared" si="1"/>
        <v>17350</v>
      </c>
      <c r="H2010" s="49">
        <f t="shared" si="2"/>
        <v>17285</v>
      </c>
    </row>
    <row r="2011">
      <c r="A2011" s="48" t="s">
        <v>3761</v>
      </c>
      <c r="B2011" s="38">
        <v>50365.0</v>
      </c>
      <c r="C2011" s="38" t="s">
        <v>3762</v>
      </c>
      <c r="D2011" s="38" t="str">
        <f>IFERROR(__xludf.DUMMYFUNCTION("REGEXREPLACE(C2011,""-\d+(.*)|--\d+(.*)"","""")"),"MUNEVILLE-SUR-MER")</f>
        <v>MUNEVILLE-SUR-MER</v>
      </c>
      <c r="E2011" s="38" t="s">
        <v>157</v>
      </c>
      <c r="F2011" s="38" t="s">
        <v>138</v>
      </c>
      <c r="G2011" s="49" t="str">
        <f t="shared" si="1"/>
        <v>50290</v>
      </c>
      <c r="H2011" s="49">
        <f t="shared" si="2"/>
        <v>50365</v>
      </c>
    </row>
    <row r="2012">
      <c r="A2012" s="48" t="s">
        <v>3763</v>
      </c>
      <c r="B2012" s="38">
        <v>76335.0</v>
      </c>
      <c r="C2012" s="38" t="s">
        <v>3764</v>
      </c>
      <c r="D2012" s="38" t="str">
        <f>IFERROR(__xludf.DUMMYFUNCTION("REGEXREPLACE(C2012,""-\d+(.*)|--\d+(.*)"","""")"),"GUEUTTEVILLE")</f>
        <v>GUEUTTEVILLE</v>
      </c>
      <c r="E2012" s="38" t="s">
        <v>133</v>
      </c>
      <c r="F2012" s="38" t="s">
        <v>134</v>
      </c>
      <c r="G2012" s="49" t="str">
        <f t="shared" si="1"/>
        <v>76890</v>
      </c>
      <c r="H2012" s="49">
        <f t="shared" si="2"/>
        <v>76335</v>
      </c>
    </row>
    <row r="2013">
      <c r="A2013" s="48" t="s">
        <v>1688</v>
      </c>
      <c r="B2013" s="38">
        <v>76213.0</v>
      </c>
      <c r="C2013" s="38" t="s">
        <v>3765</v>
      </c>
      <c r="D2013" s="38" t="str">
        <f>IFERROR(__xludf.DUMMYFUNCTION("REGEXREPLACE(C2013,""-\d+(.*)|--\d+(.*)"","""")"),"DAUBEUF-SERVILLE")</f>
        <v>DAUBEUF-SERVILLE</v>
      </c>
      <c r="E2013" s="38" t="s">
        <v>133</v>
      </c>
      <c r="F2013" s="38" t="s">
        <v>134</v>
      </c>
      <c r="G2013" s="49" t="str">
        <f t="shared" si="1"/>
        <v>76110</v>
      </c>
      <c r="H2013" s="49">
        <f t="shared" si="2"/>
        <v>76213</v>
      </c>
    </row>
    <row r="2014">
      <c r="A2014" s="48" t="s">
        <v>1284</v>
      </c>
      <c r="B2014" s="38">
        <v>9336.0</v>
      </c>
      <c r="C2014" s="38" t="s">
        <v>3766</v>
      </c>
      <c r="D2014" s="38" t="str">
        <f>IFERROR(__xludf.DUMMYFUNCTION("REGEXREPLACE(C2014,""-\d+(.*)|--\d+(.*)"","""")"),"VILLENEUVE-D'OLMES")</f>
        <v>VILLENEUVE-D'OLMES</v>
      </c>
      <c r="E2014" s="38" t="s">
        <v>238</v>
      </c>
      <c r="F2014" s="38" t="s">
        <v>94</v>
      </c>
      <c r="G2014" s="49" t="str">
        <f t="shared" si="1"/>
        <v>09300</v>
      </c>
      <c r="H2014" s="49" t="str">
        <f t="shared" si="2"/>
        <v>09336</v>
      </c>
    </row>
    <row r="2015">
      <c r="A2015" s="48" t="s">
        <v>2406</v>
      </c>
      <c r="B2015" s="38">
        <v>55229.0</v>
      </c>
      <c r="C2015" s="38" t="s">
        <v>3767</v>
      </c>
      <c r="D2015" s="38" t="str">
        <f>IFERROR(__xludf.DUMMYFUNCTION("REGEXREPLACE(C2015,""-\d+(.*)|--\d+(.*)"","""")"),"HAN-SUR-MEUSE")</f>
        <v>HAN-SUR-MEUSE</v>
      </c>
      <c r="E2015" s="38" t="s">
        <v>322</v>
      </c>
      <c r="F2015" s="38" t="s">
        <v>195</v>
      </c>
      <c r="G2015" s="49" t="str">
        <f t="shared" si="1"/>
        <v>55300</v>
      </c>
      <c r="H2015" s="49">
        <f t="shared" si="2"/>
        <v>55229</v>
      </c>
    </row>
    <row r="2016">
      <c r="A2016" s="48" t="s">
        <v>546</v>
      </c>
      <c r="B2016" s="38">
        <v>54431.0</v>
      </c>
      <c r="C2016" s="38" t="s">
        <v>3768</v>
      </c>
      <c r="D2016" s="38" t="str">
        <f>IFERROR(__xludf.DUMMYFUNCTION("REGEXREPLACE(C2016,""-\d+(.*)|--\d+(.*)"","""")"),"PONT-A-MOUSSON")</f>
        <v>PONT-A-MOUSSON</v>
      </c>
      <c r="E2016" s="38" t="s">
        <v>548</v>
      </c>
      <c r="F2016" s="38" t="s">
        <v>195</v>
      </c>
      <c r="G2016" s="49" t="str">
        <f t="shared" si="1"/>
        <v>54700</v>
      </c>
      <c r="H2016" s="49">
        <f t="shared" si="2"/>
        <v>54431</v>
      </c>
    </row>
    <row r="2017">
      <c r="A2017" s="48" t="s">
        <v>2710</v>
      </c>
      <c r="B2017" s="38">
        <v>68259.0</v>
      </c>
      <c r="C2017" s="38" t="s">
        <v>3769</v>
      </c>
      <c r="D2017" s="38" t="str">
        <f>IFERROR(__xludf.DUMMYFUNCTION("REGEXREPLACE(C2017,""-\d+(.*)|--\d+(.*)"","""")"),"RAEDERSDORF")</f>
        <v>RAEDERSDORF</v>
      </c>
      <c r="E2017" s="38" t="s">
        <v>150</v>
      </c>
      <c r="F2017" s="38" t="s">
        <v>151</v>
      </c>
      <c r="G2017" s="49" t="str">
        <f t="shared" si="1"/>
        <v>68480</v>
      </c>
      <c r="H2017" s="49">
        <f t="shared" si="2"/>
        <v>68259</v>
      </c>
    </row>
    <row r="2018">
      <c r="A2018" s="48" t="s">
        <v>3723</v>
      </c>
      <c r="B2018" s="38">
        <v>54001.0</v>
      </c>
      <c r="C2018" s="38" t="s">
        <v>3770</v>
      </c>
      <c r="D2018" s="38" t="str">
        <f>IFERROR(__xludf.DUMMYFUNCTION("REGEXREPLACE(C2018,""-\d+(.*)|--\d+(.*)"","""")"),"ABAUCOURT")</f>
        <v>ABAUCOURT</v>
      </c>
      <c r="E2018" s="38" t="s">
        <v>548</v>
      </c>
      <c r="F2018" s="38" t="s">
        <v>195</v>
      </c>
      <c r="G2018" s="49" t="str">
        <f t="shared" si="1"/>
        <v>54610</v>
      </c>
      <c r="H2018" s="49">
        <f t="shared" si="2"/>
        <v>54001</v>
      </c>
    </row>
    <row r="2019">
      <c r="A2019" s="48" t="s">
        <v>616</v>
      </c>
      <c r="B2019" s="38">
        <v>89378.0</v>
      </c>
      <c r="C2019" s="38" t="s">
        <v>3771</v>
      </c>
      <c r="D2019" s="38" t="str">
        <f>IFERROR(__xludf.DUMMYFUNCTION("REGEXREPLACE(C2019,""-\d+(.*)|--\d+(.*)"","""")"),"SAUVIGNY-LE-BOIS")</f>
        <v>SAUVIGNY-LE-BOIS</v>
      </c>
      <c r="E2019" s="38" t="s">
        <v>275</v>
      </c>
      <c r="F2019" s="38" t="s">
        <v>106</v>
      </c>
      <c r="G2019" s="49" t="str">
        <f t="shared" si="1"/>
        <v>89200</v>
      </c>
      <c r="H2019" s="49">
        <f t="shared" si="2"/>
        <v>89378</v>
      </c>
    </row>
    <row r="2020">
      <c r="A2020" s="48" t="s">
        <v>3772</v>
      </c>
      <c r="B2020" s="38">
        <v>45008.0</v>
      </c>
      <c r="C2020" s="38" t="s">
        <v>3773</v>
      </c>
      <c r="D2020" s="38" t="str">
        <f>IFERROR(__xludf.DUMMYFUNCTION("REGEXREPLACE(C2020,""-\d+(.*)|--\d+(.*)"","""")"),"ARTENAY")</f>
        <v>ARTENAY</v>
      </c>
      <c r="E2020" s="38" t="s">
        <v>122</v>
      </c>
      <c r="F2020" s="38" t="s">
        <v>123</v>
      </c>
      <c r="G2020" s="49" t="str">
        <f t="shared" si="1"/>
        <v>45410</v>
      </c>
      <c r="H2020" s="49">
        <f t="shared" si="2"/>
        <v>45008</v>
      </c>
    </row>
    <row r="2021">
      <c r="A2021" s="48" t="s">
        <v>3774</v>
      </c>
      <c r="B2021" s="38">
        <v>74111.0</v>
      </c>
      <c r="C2021" s="38" t="s">
        <v>3775</v>
      </c>
      <c r="D2021" s="38" t="str">
        <f>IFERROR(__xludf.DUMMYFUNCTION("REGEXREPLACE(C2021,""-\d+(.*)|--\d+(.*)"","""")"),"ENTREVERNES")</f>
        <v>ENTREVERNES</v>
      </c>
      <c r="E2021" s="38" t="s">
        <v>319</v>
      </c>
      <c r="F2021" s="38" t="s">
        <v>102</v>
      </c>
      <c r="G2021" s="49" t="str">
        <f t="shared" si="1"/>
        <v>74410</v>
      </c>
      <c r="H2021" s="49">
        <f t="shared" si="2"/>
        <v>74111</v>
      </c>
    </row>
    <row r="2022">
      <c r="A2022" s="48" t="s">
        <v>3776</v>
      </c>
      <c r="B2022" s="38">
        <v>15254.0</v>
      </c>
      <c r="C2022" s="38" t="s">
        <v>3777</v>
      </c>
      <c r="D2022" s="38" t="str">
        <f>IFERROR(__xludf.DUMMYFUNCTION("REGEXREPLACE(C2022,""-\d+(.*)|--\d+(.*)"","""")"),"VEYRIERES")</f>
        <v>VEYRIERES</v>
      </c>
      <c r="E2022" s="38" t="s">
        <v>632</v>
      </c>
      <c r="F2022" s="38" t="s">
        <v>161</v>
      </c>
      <c r="G2022" s="49" t="str">
        <f t="shared" si="1"/>
        <v>15350</v>
      </c>
      <c r="H2022" s="49">
        <f t="shared" si="2"/>
        <v>15254</v>
      </c>
    </row>
    <row r="2023">
      <c r="A2023" s="48" t="s">
        <v>3778</v>
      </c>
      <c r="B2023" s="38">
        <v>62557.0</v>
      </c>
      <c r="C2023" s="38" t="s">
        <v>3779</v>
      </c>
      <c r="D2023" s="38" t="str">
        <f>IFERROR(__xludf.DUMMYFUNCTION("REGEXREPLACE(C2023,""-\d+(.*)|--\d+(.*)"","""")"),"MAROEUIL")</f>
        <v>MAROEUIL</v>
      </c>
      <c r="E2023" s="38" t="s">
        <v>109</v>
      </c>
      <c r="F2023" s="38" t="s">
        <v>86</v>
      </c>
      <c r="G2023" s="49" t="str">
        <f t="shared" si="1"/>
        <v>62161</v>
      </c>
      <c r="H2023" s="49">
        <f t="shared" si="2"/>
        <v>62557</v>
      </c>
    </row>
    <row r="2024">
      <c r="A2024" s="48" t="s">
        <v>3780</v>
      </c>
      <c r="B2024" s="38">
        <v>50463.0</v>
      </c>
      <c r="C2024" s="38" t="s">
        <v>3781</v>
      </c>
      <c r="D2024" s="38" t="str">
        <f>IFERROR(__xludf.DUMMYFUNCTION("REGEXREPLACE(C2024,""-\d+(.*)|--\d+(.*)"","""")"),"SAINT-DENIS-LE-GAST")</f>
        <v>SAINT-DENIS-LE-GAST</v>
      </c>
      <c r="E2024" s="38" t="s">
        <v>157</v>
      </c>
      <c r="F2024" s="38" t="s">
        <v>138</v>
      </c>
      <c r="G2024" s="49" t="str">
        <f t="shared" si="1"/>
        <v>50450</v>
      </c>
      <c r="H2024" s="49">
        <f t="shared" si="2"/>
        <v>50463</v>
      </c>
    </row>
    <row r="2025">
      <c r="A2025" s="48" t="s">
        <v>2742</v>
      </c>
      <c r="B2025" s="38">
        <v>57180.0</v>
      </c>
      <c r="C2025" s="38" t="s">
        <v>3782</v>
      </c>
      <c r="D2025" s="38" t="str">
        <f>IFERROR(__xludf.DUMMYFUNCTION("REGEXREPLACE(C2025,""-\d+(.*)|--\d+(.*)"","""")"),"DOLVING")</f>
        <v>DOLVING</v>
      </c>
      <c r="E2025" s="38" t="s">
        <v>303</v>
      </c>
      <c r="F2025" s="38" t="s">
        <v>195</v>
      </c>
      <c r="G2025" s="49" t="str">
        <f t="shared" si="1"/>
        <v>57400</v>
      </c>
      <c r="H2025" s="49">
        <f t="shared" si="2"/>
        <v>57180</v>
      </c>
    </row>
    <row r="2026">
      <c r="A2026" s="48" t="s">
        <v>3783</v>
      </c>
      <c r="B2026" s="38">
        <v>62337.0</v>
      </c>
      <c r="C2026" s="38" t="s">
        <v>3784</v>
      </c>
      <c r="D2026" s="38" t="str">
        <f>IFERROR(__xludf.DUMMYFUNCTION("REGEXREPLACE(C2026,""-\d+(.*)|--\d+(.*)"","""")"),"FLERS")</f>
        <v>FLERS</v>
      </c>
      <c r="E2026" s="38" t="s">
        <v>109</v>
      </c>
      <c r="F2026" s="38" t="s">
        <v>86</v>
      </c>
      <c r="G2026" s="49" t="str">
        <f t="shared" si="1"/>
        <v>62270</v>
      </c>
      <c r="H2026" s="49">
        <f t="shared" si="2"/>
        <v>62337</v>
      </c>
    </row>
    <row r="2027">
      <c r="A2027" s="48" t="s">
        <v>3337</v>
      </c>
      <c r="B2027" s="38">
        <v>34010.0</v>
      </c>
      <c r="C2027" s="38" t="s">
        <v>3785</v>
      </c>
      <c r="D2027" s="38" t="str">
        <f>IFERROR(__xludf.DUMMYFUNCTION("REGEXREPLACE(C2027,""-\d+(.*)|--\d+(.*)"","""")"),"ANIANE")</f>
        <v>ANIANE</v>
      </c>
      <c r="E2027" s="38" t="s">
        <v>118</v>
      </c>
      <c r="F2027" s="38" t="s">
        <v>119</v>
      </c>
      <c r="G2027" s="49" t="str">
        <f t="shared" si="1"/>
        <v>34150</v>
      </c>
      <c r="H2027" s="49">
        <f t="shared" si="2"/>
        <v>34010</v>
      </c>
    </row>
    <row r="2028">
      <c r="A2028" s="48" t="s">
        <v>3031</v>
      </c>
      <c r="B2028" s="38">
        <v>21011.0</v>
      </c>
      <c r="C2028" s="38" t="s">
        <v>3786</v>
      </c>
      <c r="D2028" s="38" t="str">
        <f>IFERROR(__xludf.DUMMYFUNCTION("REGEXREPLACE(C2028,""-\d+(.*)|--\d+(.*)"","""")"),"AMPILLY-LES-BORDES")</f>
        <v>AMPILLY-LES-BORDES</v>
      </c>
      <c r="E2028" s="38" t="s">
        <v>105</v>
      </c>
      <c r="F2028" s="38" t="s">
        <v>106</v>
      </c>
      <c r="G2028" s="49" t="str">
        <f t="shared" si="1"/>
        <v>21450</v>
      </c>
      <c r="H2028" s="49">
        <f t="shared" si="2"/>
        <v>21011</v>
      </c>
    </row>
    <row r="2029">
      <c r="A2029" s="48" t="s">
        <v>3787</v>
      </c>
      <c r="B2029" s="38">
        <v>33200.0</v>
      </c>
      <c r="C2029" s="38" t="s">
        <v>3788</v>
      </c>
      <c r="D2029" s="38" t="str">
        <f>IFERROR(__xludf.DUMMYFUNCTION("REGEXREPLACE(C2029,""-\d+(.*)|--\d+(.*)"","""")"),"LE HAILLAN")</f>
        <v>LE HAILLAN</v>
      </c>
      <c r="E2029" s="38" t="s">
        <v>462</v>
      </c>
      <c r="F2029" s="38" t="s">
        <v>252</v>
      </c>
      <c r="G2029" s="49" t="str">
        <f t="shared" si="1"/>
        <v>33185</v>
      </c>
      <c r="H2029" s="49">
        <f t="shared" si="2"/>
        <v>33200</v>
      </c>
    </row>
    <row r="2030">
      <c r="A2030" s="48" t="s">
        <v>3789</v>
      </c>
      <c r="B2030" s="38">
        <v>51023.0</v>
      </c>
      <c r="C2030" s="38" t="s">
        <v>3790</v>
      </c>
      <c r="D2030" s="38" t="str">
        <f>IFERROR(__xludf.DUMMYFUNCTION("REGEXREPLACE(C2030,""-\d+(.*)|--\d+(.*)"","""")"),"AULNAY-SUR-MARNE")</f>
        <v>AULNAY-SUR-MARNE</v>
      </c>
      <c r="E2030" s="38" t="s">
        <v>129</v>
      </c>
      <c r="F2030" s="38" t="s">
        <v>130</v>
      </c>
      <c r="G2030" s="49" t="str">
        <f t="shared" si="1"/>
        <v>51150</v>
      </c>
      <c r="H2030" s="49">
        <f t="shared" si="2"/>
        <v>51023</v>
      </c>
    </row>
    <row r="2031">
      <c r="A2031" s="48" t="s">
        <v>3791</v>
      </c>
      <c r="B2031" s="38">
        <v>59075.0</v>
      </c>
      <c r="C2031" s="38" t="s">
        <v>3792</v>
      </c>
      <c r="D2031" s="38" t="str">
        <f>IFERROR(__xludf.DUMMYFUNCTION("REGEXREPLACE(C2031,""-\d+(.*)|--\d+(.*)"","""")"),"BETHENCOURT")</f>
        <v>BETHENCOURT</v>
      </c>
      <c r="E2031" s="38" t="s">
        <v>85</v>
      </c>
      <c r="F2031" s="38" t="s">
        <v>86</v>
      </c>
      <c r="G2031" s="49" t="str">
        <f t="shared" si="1"/>
        <v>59540</v>
      </c>
      <c r="H2031" s="49">
        <f t="shared" si="2"/>
        <v>59075</v>
      </c>
    </row>
    <row r="2032">
      <c r="A2032" s="48" t="s">
        <v>3793</v>
      </c>
      <c r="B2032" s="38">
        <v>86254.0</v>
      </c>
      <c r="C2032" s="38" t="s">
        <v>3794</v>
      </c>
      <c r="D2032" s="38" t="str">
        <f>IFERROR(__xludf.DUMMYFUNCTION("REGEXREPLACE(C2032,""-\d+(.*)|--\d+(.*)"","""")"),"SAULGE")</f>
        <v>SAULGE</v>
      </c>
      <c r="E2032" s="38" t="s">
        <v>529</v>
      </c>
      <c r="F2032" s="38" t="s">
        <v>338</v>
      </c>
      <c r="G2032" s="49" t="str">
        <f t="shared" si="1"/>
        <v>86500</v>
      </c>
      <c r="H2032" s="49">
        <f t="shared" si="2"/>
        <v>86254</v>
      </c>
    </row>
    <row r="2033">
      <c r="A2033" s="48" t="s">
        <v>3795</v>
      </c>
      <c r="B2033" s="38">
        <v>24016.0</v>
      </c>
      <c r="C2033" s="38" t="s">
        <v>3796</v>
      </c>
      <c r="D2033" s="38" t="str">
        <f>IFERROR(__xludf.DUMMYFUNCTION("REGEXREPLACE(C2033,""-\d+(.*)|--\d+(.*)"","""")"),"AUGIGNAC")</f>
        <v>AUGIGNAC</v>
      </c>
      <c r="E2033" s="38" t="s">
        <v>261</v>
      </c>
      <c r="F2033" s="38" t="s">
        <v>252</v>
      </c>
      <c r="G2033" s="49" t="str">
        <f t="shared" si="1"/>
        <v>24300</v>
      </c>
      <c r="H2033" s="49">
        <f t="shared" si="2"/>
        <v>24016</v>
      </c>
    </row>
    <row r="2034">
      <c r="A2034" s="48" t="s">
        <v>2264</v>
      </c>
      <c r="B2034" s="38">
        <v>45331.0</v>
      </c>
      <c r="C2034" s="38" t="s">
        <v>3797</v>
      </c>
      <c r="D2034" s="38" t="str">
        <f>IFERROR(__xludf.DUMMYFUNCTION("REGEXREPLACE(C2034,""-\d+(.*)|--\d+(.*)"","""")"),"VANNES-SUR-COSSON")</f>
        <v>VANNES-SUR-COSSON</v>
      </c>
      <c r="E2034" s="38" t="s">
        <v>122</v>
      </c>
      <c r="F2034" s="38" t="s">
        <v>123</v>
      </c>
      <c r="G2034" s="49" t="str">
        <f t="shared" si="1"/>
        <v>45510</v>
      </c>
      <c r="H2034" s="49">
        <f t="shared" si="2"/>
        <v>45331</v>
      </c>
    </row>
    <row r="2035">
      <c r="A2035" s="48" t="s">
        <v>3798</v>
      </c>
      <c r="B2035" s="38">
        <v>85145.0</v>
      </c>
      <c r="C2035" s="38" t="s">
        <v>3799</v>
      </c>
      <c r="D2035" s="38" t="str">
        <f>IFERROR(__xludf.DUMMYFUNCTION("REGEXREPLACE(C2035,""-\d+(.*)|--\d+(.*)"","""")"),"MONSIREIGNE")</f>
        <v>MONSIREIGNE</v>
      </c>
      <c r="E2035" s="38" t="s">
        <v>179</v>
      </c>
      <c r="F2035" s="38" t="s">
        <v>180</v>
      </c>
      <c r="G2035" s="49" t="str">
        <f t="shared" si="1"/>
        <v>85110</v>
      </c>
      <c r="H2035" s="49">
        <f t="shared" si="2"/>
        <v>85145</v>
      </c>
    </row>
    <row r="2036">
      <c r="A2036" s="48" t="s">
        <v>3800</v>
      </c>
      <c r="B2036" s="38">
        <v>35168.0</v>
      </c>
      <c r="C2036" s="38" t="s">
        <v>3801</v>
      </c>
      <c r="D2036" s="38" t="str">
        <f>IFERROR(__xludf.DUMMYFUNCTION("REGEXREPLACE(C2036,""-\d+(.*)|--\d+(.*)"","""")"),"MAURE-DE-BRETAGNE")</f>
        <v>MAURE-DE-BRETAGNE</v>
      </c>
      <c r="E2036" s="38" t="s">
        <v>347</v>
      </c>
      <c r="F2036" s="38" t="s">
        <v>90</v>
      </c>
      <c r="G2036" s="49" t="str">
        <f t="shared" si="1"/>
        <v>35330</v>
      </c>
      <c r="H2036" s="49">
        <f t="shared" si="2"/>
        <v>35168</v>
      </c>
    </row>
    <row r="2037">
      <c r="A2037" s="48" t="s">
        <v>3802</v>
      </c>
      <c r="B2037" s="38">
        <v>90019.0</v>
      </c>
      <c r="C2037" s="38" t="s">
        <v>3803</v>
      </c>
      <c r="D2037" s="38" t="str">
        <f>IFERROR(__xludf.DUMMYFUNCTION("REGEXREPLACE(C2037,""-\d+(.*)|--\d+(.*)"","""")"),"BRETAGNE")</f>
        <v>BRETAGNE</v>
      </c>
      <c r="E2037" s="38" t="s">
        <v>1283</v>
      </c>
      <c r="F2037" s="38" t="s">
        <v>214</v>
      </c>
      <c r="G2037" s="49" t="str">
        <f t="shared" si="1"/>
        <v>90130</v>
      </c>
      <c r="H2037" s="49">
        <f t="shared" si="2"/>
        <v>90019</v>
      </c>
    </row>
    <row r="2038">
      <c r="A2038" s="48" t="s">
        <v>3804</v>
      </c>
      <c r="B2038" s="38">
        <v>80264.0</v>
      </c>
      <c r="C2038" s="38" t="s">
        <v>3805</v>
      </c>
      <c r="D2038" s="38" t="str">
        <f>IFERROR(__xludf.DUMMYFUNCTION("REGEXREPLACE(C2038,""-\d+(.*)|--\d+(.*)"","""")"),"ECLUSIER-VAUX")</f>
        <v>ECLUSIER-VAUX</v>
      </c>
      <c r="E2038" s="38" t="s">
        <v>224</v>
      </c>
      <c r="F2038" s="38" t="s">
        <v>113</v>
      </c>
      <c r="G2038" s="49" t="str">
        <f t="shared" si="1"/>
        <v>80340</v>
      </c>
      <c r="H2038" s="49">
        <f t="shared" si="2"/>
        <v>80264</v>
      </c>
    </row>
    <row r="2039">
      <c r="A2039" s="48" t="s">
        <v>3806</v>
      </c>
      <c r="B2039" s="38">
        <v>7047.0</v>
      </c>
      <c r="C2039" s="38" t="s">
        <v>3807</v>
      </c>
      <c r="D2039" s="38" t="str">
        <f>IFERROR(__xludf.DUMMYFUNCTION("REGEXREPLACE(C2039,""-\d+(.*)|--\d+(.*)"","""")"),"CELLIER-DU-LUC")</f>
        <v>CELLIER-DU-LUC</v>
      </c>
      <c r="E2039" s="38" t="s">
        <v>144</v>
      </c>
      <c r="F2039" s="38" t="s">
        <v>102</v>
      </c>
      <c r="G2039" s="49" t="str">
        <f t="shared" si="1"/>
        <v>07590</v>
      </c>
      <c r="H2039" s="49" t="str">
        <f t="shared" si="2"/>
        <v>07047</v>
      </c>
    </row>
    <row r="2040">
      <c r="A2040" s="48" t="s">
        <v>3808</v>
      </c>
      <c r="B2040" s="38">
        <v>86112.0</v>
      </c>
      <c r="C2040" s="38" t="s">
        <v>3809</v>
      </c>
      <c r="D2040" s="38" t="str">
        <f>IFERROR(__xludf.DUMMYFUNCTION("REGEXREPLACE(C2040,""-\d+(.*)|--\d+(.*)"","""")"),"L'ISLE-JOURDAIN")</f>
        <v>L'ISLE-JOURDAIN</v>
      </c>
      <c r="E2040" s="38" t="s">
        <v>529</v>
      </c>
      <c r="F2040" s="38" t="s">
        <v>338</v>
      </c>
      <c r="G2040" s="49" t="str">
        <f t="shared" si="1"/>
        <v>86150</v>
      </c>
      <c r="H2040" s="49">
        <f t="shared" si="2"/>
        <v>86112</v>
      </c>
    </row>
    <row r="2041">
      <c r="A2041" s="48" t="s">
        <v>3810</v>
      </c>
      <c r="B2041" s="38">
        <v>77089.0</v>
      </c>
      <c r="C2041" s="38" t="s">
        <v>3811</v>
      </c>
      <c r="D2041" s="38" t="str">
        <f>IFERROR(__xludf.DUMMYFUNCTION("REGEXREPLACE(C2041,""-\d+(.*)|--\d+(.*)"","""")"),"LA CHAPELLE-RABLAIS")</f>
        <v>LA CHAPELLE-RABLAIS</v>
      </c>
      <c r="E2041" s="38" t="s">
        <v>244</v>
      </c>
      <c r="F2041" s="38" t="s">
        <v>245</v>
      </c>
      <c r="G2041" s="49" t="str">
        <f t="shared" si="1"/>
        <v>77370</v>
      </c>
      <c r="H2041" s="49">
        <f t="shared" si="2"/>
        <v>77089</v>
      </c>
    </row>
    <row r="2042">
      <c r="A2042" s="48" t="s">
        <v>3812</v>
      </c>
      <c r="B2042" s="38">
        <v>71494.0</v>
      </c>
      <c r="C2042" s="38" t="s">
        <v>3813</v>
      </c>
      <c r="D2042" s="38" t="str">
        <f>IFERROR(__xludf.DUMMYFUNCTION("REGEXREPLACE(C2042,""-\d+(.*)|--\d+(.*)"","""")"),"LA SALLE")</f>
        <v>LA SALLE</v>
      </c>
      <c r="E2042" s="38" t="s">
        <v>344</v>
      </c>
      <c r="F2042" s="38" t="s">
        <v>106</v>
      </c>
      <c r="G2042" s="49" t="str">
        <f t="shared" si="1"/>
        <v>71260</v>
      </c>
      <c r="H2042" s="49">
        <f t="shared" si="2"/>
        <v>71494</v>
      </c>
    </row>
    <row r="2043">
      <c r="A2043" s="48" t="s">
        <v>3814</v>
      </c>
      <c r="B2043" s="38">
        <v>71279.0</v>
      </c>
      <c r="C2043" s="38" t="s">
        <v>3815</v>
      </c>
      <c r="D2043" s="38" t="str">
        <f>IFERROR(__xludf.DUMMYFUNCTION("REGEXREPLACE(C2043,""-\d+(.*)|--\d+(.*)"","""")"),"MARIZY")</f>
        <v>MARIZY</v>
      </c>
      <c r="E2043" s="38" t="s">
        <v>344</v>
      </c>
      <c r="F2043" s="38" t="s">
        <v>106</v>
      </c>
      <c r="G2043" s="49" t="str">
        <f t="shared" si="1"/>
        <v>71220</v>
      </c>
      <c r="H2043" s="49">
        <f t="shared" si="2"/>
        <v>71279</v>
      </c>
    </row>
    <row r="2044">
      <c r="A2044" s="48" t="s">
        <v>3816</v>
      </c>
      <c r="B2044" s="38">
        <v>25494.0</v>
      </c>
      <c r="C2044" s="38" t="s">
        <v>3817</v>
      </c>
      <c r="D2044" s="38" t="str">
        <f>IFERROR(__xludf.DUMMYFUNCTION("REGEXREPLACE(C2044,""-\d+(.*)|--\d+(.*)"","""")"),"ROCHEJEAN")</f>
        <v>ROCHEJEAN</v>
      </c>
      <c r="E2044" s="38" t="s">
        <v>213</v>
      </c>
      <c r="F2044" s="38" t="s">
        <v>214</v>
      </c>
      <c r="G2044" s="49" t="str">
        <f t="shared" si="1"/>
        <v>25370</v>
      </c>
      <c r="H2044" s="49">
        <f t="shared" si="2"/>
        <v>25494</v>
      </c>
    </row>
    <row r="2045">
      <c r="A2045" s="48" t="s">
        <v>1616</v>
      </c>
      <c r="B2045" s="38">
        <v>10033.0</v>
      </c>
      <c r="C2045" s="38" t="s">
        <v>3818</v>
      </c>
      <c r="D2045" s="38" t="str">
        <f>IFERROR(__xludf.DUMMYFUNCTION("REGEXREPLACE(C2045,""-\d+(.*)|--\d+(.*)"","""")"),"BAR-SUR-AUBE")</f>
        <v>BAR-SUR-AUBE</v>
      </c>
      <c r="E2045" s="38" t="s">
        <v>147</v>
      </c>
      <c r="F2045" s="38" t="s">
        <v>130</v>
      </c>
      <c r="G2045" s="49" t="str">
        <f t="shared" si="1"/>
        <v>10200</v>
      </c>
      <c r="H2045" s="49">
        <f t="shared" si="2"/>
        <v>10033</v>
      </c>
    </row>
    <row r="2046">
      <c r="A2046" s="48" t="s">
        <v>3819</v>
      </c>
      <c r="B2046" s="38">
        <v>38272.0</v>
      </c>
      <c r="C2046" s="38" t="s">
        <v>3820</v>
      </c>
      <c r="D2046" s="38" t="str">
        <f>IFERROR(__xludf.DUMMYFUNCTION("REGEXREPLACE(C2046,""-\d+(.*)|--\d+(.*)"","""")"),"MURINAIS")</f>
        <v>MURINAIS</v>
      </c>
      <c r="E2046" s="38" t="s">
        <v>101</v>
      </c>
      <c r="F2046" s="38" t="s">
        <v>102</v>
      </c>
      <c r="G2046" s="49" t="str">
        <f t="shared" si="1"/>
        <v>38160</v>
      </c>
      <c r="H2046" s="49">
        <f t="shared" si="2"/>
        <v>38272</v>
      </c>
    </row>
    <row r="2047">
      <c r="A2047" s="48" t="s">
        <v>3821</v>
      </c>
      <c r="B2047" s="38">
        <v>57166.0</v>
      </c>
      <c r="C2047" s="38" t="s">
        <v>3822</v>
      </c>
      <c r="D2047" s="38" t="str">
        <f>IFERROR(__xludf.DUMMYFUNCTION("REGEXREPLACE(C2047,""-\d+(.*)|--\d+(.*)"","""")"),"DALHAIN")</f>
        <v>DALHAIN</v>
      </c>
      <c r="E2047" s="38" t="s">
        <v>303</v>
      </c>
      <c r="F2047" s="38" t="s">
        <v>195</v>
      </c>
      <c r="G2047" s="49" t="str">
        <f t="shared" si="1"/>
        <v>57340</v>
      </c>
      <c r="H2047" s="49">
        <f t="shared" si="2"/>
        <v>57166</v>
      </c>
    </row>
    <row r="2048">
      <c r="A2048" s="48" t="s">
        <v>1233</v>
      </c>
      <c r="B2048" s="38">
        <v>60054.0</v>
      </c>
      <c r="C2048" s="38" t="s">
        <v>3823</v>
      </c>
      <c r="D2048" s="38" t="str">
        <f>IFERROR(__xludf.DUMMYFUNCTION("REGEXREPLACE(C2048,""-\d+(.*)|--\d+(.*)"","""")"),"BEAUMONT-LES-NONAINS")</f>
        <v>BEAUMONT-LES-NONAINS</v>
      </c>
      <c r="E2048" s="38" t="s">
        <v>112</v>
      </c>
      <c r="F2048" s="38" t="s">
        <v>113</v>
      </c>
      <c r="G2048" s="49" t="str">
        <f t="shared" si="1"/>
        <v>60390</v>
      </c>
      <c r="H2048" s="49">
        <f t="shared" si="2"/>
        <v>60054</v>
      </c>
    </row>
    <row r="2049">
      <c r="A2049" s="48" t="s">
        <v>3244</v>
      </c>
      <c r="B2049" s="38">
        <v>27401.0</v>
      </c>
      <c r="C2049" s="38" t="s">
        <v>3824</v>
      </c>
      <c r="D2049" s="38" t="str">
        <f>IFERROR(__xludf.DUMMYFUNCTION("REGEXREPLACE(C2049,""-\d+(.*)|--\d+(.*)"","""")"),"LE MESNIL-FUGUET")</f>
        <v>LE MESNIL-FUGUET</v>
      </c>
      <c r="E2049" s="38" t="s">
        <v>241</v>
      </c>
      <c r="F2049" s="38" t="s">
        <v>134</v>
      </c>
      <c r="G2049" s="49" t="str">
        <f t="shared" si="1"/>
        <v>27930</v>
      </c>
      <c r="H2049" s="49">
        <f t="shared" si="2"/>
        <v>27401</v>
      </c>
    </row>
    <row r="2050">
      <c r="A2050" s="48" t="s">
        <v>3372</v>
      </c>
      <c r="B2050" s="38">
        <v>59604.0</v>
      </c>
      <c r="C2050" s="38" t="s">
        <v>3825</v>
      </c>
      <c r="D2050" s="38" t="str">
        <f>IFERROR(__xludf.DUMMYFUNCTION("REGEXREPLACE(C2050,""-\d+(.*)|--\d+(.*)"","""")"),"TROISVILLES")</f>
        <v>TROISVILLES</v>
      </c>
      <c r="E2050" s="38" t="s">
        <v>85</v>
      </c>
      <c r="F2050" s="38" t="s">
        <v>86</v>
      </c>
      <c r="G2050" s="49" t="str">
        <f t="shared" si="1"/>
        <v>59980</v>
      </c>
      <c r="H2050" s="49">
        <f t="shared" si="2"/>
        <v>59604</v>
      </c>
    </row>
    <row r="2051">
      <c r="A2051" s="48" t="s">
        <v>356</v>
      </c>
      <c r="B2051" s="38">
        <v>48040.0</v>
      </c>
      <c r="C2051" s="38" t="s">
        <v>3826</v>
      </c>
      <c r="D2051" s="38" t="str">
        <f>IFERROR(__xludf.DUMMYFUNCTION("REGEXREPLACE(C2051,""-\d+(.*)|--\d+(.*)"","""")"),"CHASSERADES")</f>
        <v>CHASSERADES</v>
      </c>
      <c r="E2051" s="38" t="s">
        <v>154</v>
      </c>
      <c r="F2051" s="38" t="s">
        <v>119</v>
      </c>
      <c r="G2051" s="49" t="str">
        <f t="shared" si="1"/>
        <v>48250</v>
      </c>
      <c r="H2051" s="49">
        <f t="shared" si="2"/>
        <v>48040</v>
      </c>
    </row>
    <row r="2052">
      <c r="A2052" s="48" t="s">
        <v>3827</v>
      </c>
      <c r="B2052" s="38">
        <v>58278.0</v>
      </c>
      <c r="C2052" s="38" t="s">
        <v>3828</v>
      </c>
      <c r="D2052" s="38" t="str">
        <f>IFERROR(__xludf.DUMMYFUNCTION("REGEXREPLACE(C2052,""-\d+(.*)|--\d+(.*)"","""")"),"SERMOISE-SUR-LOIRE")</f>
        <v>SERMOISE-SUR-LOIRE</v>
      </c>
      <c r="E2052" s="38" t="s">
        <v>219</v>
      </c>
      <c r="F2052" s="38" t="s">
        <v>106</v>
      </c>
      <c r="G2052" s="49" t="str">
        <f t="shared" si="1"/>
        <v>58000</v>
      </c>
      <c r="H2052" s="49">
        <f t="shared" si="2"/>
        <v>58278</v>
      </c>
    </row>
    <row r="2053">
      <c r="A2053" s="48" t="s">
        <v>2650</v>
      </c>
      <c r="B2053" s="38">
        <v>65136.0</v>
      </c>
      <c r="C2053" s="38" t="s">
        <v>3829</v>
      </c>
      <c r="D2053" s="38" t="str">
        <f>IFERROR(__xludf.DUMMYFUNCTION("REGEXREPLACE(C2053,""-\d+(.*)|--\d+(.*)"","""")"),"CAUBOUS")</f>
        <v>CAUBOUS</v>
      </c>
      <c r="E2053" s="38" t="s">
        <v>200</v>
      </c>
      <c r="F2053" s="38" t="s">
        <v>94</v>
      </c>
      <c r="G2053" s="49" t="str">
        <f t="shared" si="1"/>
        <v>65230</v>
      </c>
      <c r="H2053" s="49">
        <f t="shared" si="2"/>
        <v>65136</v>
      </c>
    </row>
    <row r="2054">
      <c r="A2054" s="48" t="s">
        <v>286</v>
      </c>
      <c r="B2054" s="38">
        <v>68103.0</v>
      </c>
      <c r="C2054" s="38" t="s">
        <v>3830</v>
      </c>
      <c r="D2054" s="38" t="str">
        <f>IFERROR(__xludf.DUMMYFUNCTION("REGEXREPLACE(C2054,""-\d+(.*)|--\d+(.*)"","""")"),"GEISPITZEN")</f>
        <v>GEISPITZEN</v>
      </c>
      <c r="E2054" s="38" t="s">
        <v>150</v>
      </c>
      <c r="F2054" s="38" t="s">
        <v>151</v>
      </c>
      <c r="G2054" s="49" t="str">
        <f t="shared" si="1"/>
        <v>68510</v>
      </c>
      <c r="H2054" s="49">
        <f t="shared" si="2"/>
        <v>68103</v>
      </c>
    </row>
    <row r="2055">
      <c r="A2055" s="48" t="s">
        <v>3831</v>
      </c>
      <c r="B2055" s="38">
        <v>63280.0</v>
      </c>
      <c r="C2055" s="38" t="s">
        <v>3832</v>
      </c>
      <c r="D2055" s="38" t="str">
        <f>IFERROR(__xludf.DUMMYFUNCTION("REGEXREPLACE(C2055,""-\d+(.*)|--\d+(.*)"","""")"),"PIGNOLS")</f>
        <v>PIGNOLS</v>
      </c>
      <c r="E2055" s="38" t="s">
        <v>353</v>
      </c>
      <c r="F2055" s="38" t="s">
        <v>161</v>
      </c>
      <c r="G2055" s="49" t="str">
        <f t="shared" si="1"/>
        <v>63270</v>
      </c>
      <c r="H2055" s="49">
        <f t="shared" si="2"/>
        <v>63280</v>
      </c>
    </row>
    <row r="2056">
      <c r="A2056" s="48" t="s">
        <v>3833</v>
      </c>
      <c r="B2056" s="38">
        <v>84147.0</v>
      </c>
      <c r="C2056" s="38" t="s">
        <v>3834</v>
      </c>
      <c r="D2056" s="38" t="str">
        <f>IFERROR(__xludf.DUMMYFUNCTION("REGEXREPLACE(C2056,""-\d+(.*)|--\d+(.*)"","""")"),"VILLELAURE")</f>
        <v>VILLELAURE</v>
      </c>
      <c r="E2056" s="38" t="s">
        <v>1026</v>
      </c>
      <c r="F2056" s="38" t="s">
        <v>228</v>
      </c>
      <c r="G2056" s="49" t="str">
        <f t="shared" si="1"/>
        <v>84530</v>
      </c>
      <c r="H2056" s="49">
        <f t="shared" si="2"/>
        <v>84147</v>
      </c>
    </row>
    <row r="2057">
      <c r="A2057" s="48" t="s">
        <v>3835</v>
      </c>
      <c r="B2057" s="38">
        <v>25362.0</v>
      </c>
      <c r="C2057" s="38" t="s">
        <v>3836</v>
      </c>
      <c r="D2057" s="38" t="str">
        <f>IFERROR(__xludf.DUMMYFUNCTION("REGEXREPLACE(C2057,""-\d+(.*)|--\d+(.*)"","""")"),"MALPAS")</f>
        <v>MALPAS</v>
      </c>
      <c r="E2057" s="38" t="s">
        <v>213</v>
      </c>
      <c r="F2057" s="38" t="s">
        <v>214</v>
      </c>
      <c r="G2057" s="49" t="str">
        <f t="shared" si="1"/>
        <v>25160</v>
      </c>
      <c r="H2057" s="49">
        <f t="shared" si="2"/>
        <v>25362</v>
      </c>
    </row>
    <row r="2058">
      <c r="A2058" s="48" t="s">
        <v>2130</v>
      </c>
      <c r="B2058" s="38">
        <v>62296.0</v>
      </c>
      <c r="C2058" s="38" t="s">
        <v>3837</v>
      </c>
      <c r="D2058" s="38" t="str">
        <f>IFERROR(__xludf.DUMMYFUNCTION("REGEXREPLACE(C2058,""-\d+(.*)|--\d+(.*)"","""")"),"ENQUIN-SUR-BAILLONS")</f>
        <v>ENQUIN-SUR-BAILLONS</v>
      </c>
      <c r="E2058" s="38" t="s">
        <v>109</v>
      </c>
      <c r="F2058" s="38" t="s">
        <v>86</v>
      </c>
      <c r="G2058" s="49" t="str">
        <f t="shared" si="1"/>
        <v>62650</v>
      </c>
      <c r="H2058" s="49">
        <f t="shared" si="2"/>
        <v>62296</v>
      </c>
    </row>
    <row r="2059">
      <c r="A2059" s="48" t="s">
        <v>3838</v>
      </c>
      <c r="B2059" s="38">
        <v>27538.0</v>
      </c>
      <c r="C2059" s="38" t="s">
        <v>3839</v>
      </c>
      <c r="D2059" s="38" t="str">
        <f>IFERROR(__xludf.DUMMYFUNCTION("REGEXREPLACE(C2059,""-\d+(.*)|--\d+(.*)"","""")"),"SAINT-ETIENNE-L'ALLIER")</f>
        <v>SAINT-ETIENNE-L'ALLIER</v>
      </c>
      <c r="E2059" s="38" t="s">
        <v>241</v>
      </c>
      <c r="F2059" s="38" t="s">
        <v>134</v>
      </c>
      <c r="G2059" s="49" t="str">
        <f t="shared" si="1"/>
        <v>27450</v>
      </c>
      <c r="H2059" s="49">
        <f t="shared" si="2"/>
        <v>27538</v>
      </c>
    </row>
    <row r="2060">
      <c r="A2060" s="48" t="s">
        <v>3840</v>
      </c>
      <c r="B2060" s="38">
        <v>72334.0</v>
      </c>
      <c r="C2060" s="38" t="s">
        <v>3841</v>
      </c>
      <c r="D2060" s="38" t="str">
        <f>IFERROR(__xludf.DUMMYFUNCTION("REGEXREPLACE(C2060,""-\d+(.*)|--\d+(.*)"","""")"),"SILLE-LE-GUILLAUME")</f>
        <v>SILLE-LE-GUILLAUME</v>
      </c>
      <c r="E2060" s="38" t="s">
        <v>521</v>
      </c>
      <c r="F2060" s="38" t="s">
        <v>180</v>
      </c>
      <c r="G2060" s="49" t="str">
        <f t="shared" si="1"/>
        <v>72140</v>
      </c>
      <c r="H2060" s="49">
        <f t="shared" si="2"/>
        <v>72334</v>
      </c>
    </row>
    <row r="2061">
      <c r="A2061" s="48" t="s">
        <v>3842</v>
      </c>
      <c r="B2061" s="38">
        <v>88320.0</v>
      </c>
      <c r="C2061" s="38" t="s">
        <v>3843</v>
      </c>
      <c r="D2061" s="38" t="str">
        <f>IFERROR(__xludf.DUMMYFUNCTION("REGEXREPLACE(C2061,""-\d+(.*)|--\d+(.*)"","""")"),"NAYEMONT-LES-FOSSES")</f>
        <v>NAYEMONT-LES-FOSSES</v>
      </c>
      <c r="E2061" s="38" t="s">
        <v>194</v>
      </c>
      <c r="F2061" s="38" t="s">
        <v>195</v>
      </c>
      <c r="G2061" s="49" t="str">
        <f t="shared" si="1"/>
        <v>88100</v>
      </c>
      <c r="H2061" s="49">
        <f t="shared" si="2"/>
        <v>88320</v>
      </c>
    </row>
    <row r="2062">
      <c r="A2062" s="48" t="s">
        <v>715</v>
      </c>
      <c r="B2062" s="38">
        <v>88069.0</v>
      </c>
      <c r="C2062" s="38" t="s">
        <v>3844</v>
      </c>
      <c r="D2062" s="38" t="str">
        <f>IFERROR(__xludf.DUMMYFUNCTION("REGEXREPLACE(C2062,""-\d+(.*)|--\d+(.*)"","""")"),"BOUXIERES-AUX-BOIS")</f>
        <v>BOUXIERES-AUX-BOIS</v>
      </c>
      <c r="E2062" s="38" t="s">
        <v>194</v>
      </c>
      <c r="F2062" s="38" t="s">
        <v>195</v>
      </c>
      <c r="G2062" s="49" t="str">
        <f t="shared" si="1"/>
        <v>88270</v>
      </c>
      <c r="H2062" s="49">
        <f t="shared" si="2"/>
        <v>88069</v>
      </c>
    </row>
    <row r="2063">
      <c r="A2063" s="48" t="s">
        <v>509</v>
      </c>
      <c r="B2063" s="38">
        <v>28243.0</v>
      </c>
      <c r="C2063" s="38" t="s">
        <v>3845</v>
      </c>
      <c r="D2063" s="38" t="str">
        <f>IFERROR(__xludf.DUMMYFUNCTION("REGEXREPLACE(C2063,""-\d+(.*)|--\d+(.*)"","""")"),"MEROUVILLE")</f>
        <v>MEROUVILLE</v>
      </c>
      <c r="E2063" s="38" t="s">
        <v>300</v>
      </c>
      <c r="F2063" s="38" t="s">
        <v>123</v>
      </c>
      <c r="G2063" s="49" t="str">
        <f t="shared" si="1"/>
        <v>28310</v>
      </c>
      <c r="H2063" s="49">
        <f t="shared" si="2"/>
        <v>28243</v>
      </c>
    </row>
    <row r="2064">
      <c r="A2064" s="48" t="s">
        <v>3846</v>
      </c>
      <c r="B2064" s="38">
        <v>19040.0</v>
      </c>
      <c r="C2064" s="38" t="s">
        <v>3847</v>
      </c>
      <c r="D2064" s="38" t="str">
        <f>IFERROR(__xludf.DUMMYFUNCTION("REGEXREPLACE(C2064,""-\d+(.*)|--\d+(.*)"","""")"),"CHAMPAGNAC-LA-PRUNE")</f>
        <v>CHAMPAGNAC-LA-PRUNE</v>
      </c>
      <c r="E2064" s="38" t="s">
        <v>271</v>
      </c>
      <c r="F2064" s="38" t="s">
        <v>98</v>
      </c>
      <c r="G2064" s="49" t="str">
        <f t="shared" si="1"/>
        <v>19320</v>
      </c>
      <c r="H2064" s="49">
        <f t="shared" si="2"/>
        <v>19040</v>
      </c>
    </row>
    <row r="2065">
      <c r="A2065" s="48" t="s">
        <v>3848</v>
      </c>
      <c r="B2065" s="38">
        <v>89227.0</v>
      </c>
      <c r="C2065" s="38" t="s">
        <v>3849</v>
      </c>
      <c r="D2065" s="38" t="str">
        <f>IFERROR(__xludf.DUMMYFUNCTION("REGEXREPLACE(C2065,""-\d+(.*)|--\d+(.*)"","""")"),"LIGNY-LE-CHATEL")</f>
        <v>LIGNY-LE-CHATEL</v>
      </c>
      <c r="E2065" s="38" t="s">
        <v>275</v>
      </c>
      <c r="F2065" s="38" t="s">
        <v>106</v>
      </c>
      <c r="G2065" s="49" t="str">
        <f t="shared" si="1"/>
        <v>89144</v>
      </c>
      <c r="H2065" s="49">
        <f t="shared" si="2"/>
        <v>89227</v>
      </c>
    </row>
    <row r="2066">
      <c r="A2066" s="48" t="s">
        <v>2721</v>
      </c>
      <c r="B2066" s="38">
        <v>26142.0</v>
      </c>
      <c r="C2066" s="38" t="s">
        <v>3850</v>
      </c>
      <c r="D2066" s="38" t="str">
        <f>IFERROR(__xludf.DUMMYFUNCTION("REGEXREPLACE(C2066,""-\d+(.*)|--\d+(.*)"","""")"),"GLANDAGE")</f>
        <v>GLANDAGE</v>
      </c>
      <c r="E2066" s="38" t="s">
        <v>126</v>
      </c>
      <c r="F2066" s="38" t="s">
        <v>102</v>
      </c>
      <c r="G2066" s="49" t="str">
        <f t="shared" si="1"/>
        <v>26410</v>
      </c>
      <c r="H2066" s="49">
        <f t="shared" si="2"/>
        <v>26142</v>
      </c>
    </row>
    <row r="2067">
      <c r="A2067" s="48" t="s">
        <v>3851</v>
      </c>
      <c r="B2067" s="38">
        <v>59107.0</v>
      </c>
      <c r="C2067" s="38" t="s">
        <v>3852</v>
      </c>
      <c r="D2067" s="38" t="str">
        <f>IFERROR(__xludf.DUMMYFUNCTION("REGEXREPLACE(C2067,""-\d+(.*)|--\d+(.*)"","""")"),"BRAY-DUNES")</f>
        <v>BRAY-DUNES</v>
      </c>
      <c r="E2067" s="38" t="s">
        <v>85</v>
      </c>
      <c r="F2067" s="38" t="s">
        <v>86</v>
      </c>
      <c r="G2067" s="49" t="str">
        <f t="shared" si="1"/>
        <v>59123</v>
      </c>
      <c r="H2067" s="49">
        <f t="shared" si="2"/>
        <v>59107</v>
      </c>
    </row>
    <row r="2068">
      <c r="A2068" s="48" t="s">
        <v>3853</v>
      </c>
      <c r="B2068" s="38">
        <v>71273.0</v>
      </c>
      <c r="C2068" s="38" t="s">
        <v>3854</v>
      </c>
      <c r="D2068" s="38" t="str">
        <f>IFERROR(__xludf.DUMMYFUNCTION("REGEXREPLACE(C2068,""-\d+(.*)|--\d+(.*)"","""")"),"MALTAT")</f>
        <v>MALTAT</v>
      </c>
      <c r="E2068" s="38" t="s">
        <v>344</v>
      </c>
      <c r="F2068" s="38" t="s">
        <v>106</v>
      </c>
      <c r="G2068" s="49" t="str">
        <f t="shared" si="1"/>
        <v>71140</v>
      </c>
      <c r="H2068" s="49">
        <f t="shared" si="2"/>
        <v>71273</v>
      </c>
    </row>
    <row r="2069">
      <c r="A2069" s="48" t="s">
        <v>3855</v>
      </c>
      <c r="B2069" s="38">
        <v>12241.0</v>
      </c>
      <c r="C2069" s="38" t="s">
        <v>3856</v>
      </c>
      <c r="D2069" s="38" t="str">
        <f>IFERROR(__xludf.DUMMYFUNCTION("REGEXREPLACE(C2069,""-\d+(.*)|--\d+(.*)"","""")"),"SAINTE-RADEGONDE")</f>
        <v>SAINTE-RADEGONDE</v>
      </c>
      <c r="E2069" s="38" t="s">
        <v>465</v>
      </c>
      <c r="F2069" s="38" t="s">
        <v>94</v>
      </c>
      <c r="G2069" s="49" t="str">
        <f t="shared" si="1"/>
        <v>12850</v>
      </c>
      <c r="H2069" s="49">
        <f t="shared" si="2"/>
        <v>12241</v>
      </c>
    </row>
    <row r="2070">
      <c r="A2070" s="48" t="s">
        <v>3857</v>
      </c>
      <c r="B2070" s="38">
        <v>12260.0</v>
      </c>
      <c r="C2070" s="38" t="s">
        <v>3858</v>
      </c>
      <c r="D2070" s="38" t="str">
        <f>IFERROR(__xludf.DUMMYFUNCTION("REGEXREPLACE(C2070,""-\d+(.*)|--\d+(.*)"","""")"),"SAUCLIERES")</f>
        <v>SAUCLIERES</v>
      </c>
      <c r="E2070" s="38" t="s">
        <v>465</v>
      </c>
      <c r="F2070" s="38" t="s">
        <v>94</v>
      </c>
      <c r="G2070" s="49" t="str">
        <f t="shared" si="1"/>
        <v>12230</v>
      </c>
      <c r="H2070" s="49">
        <f t="shared" si="2"/>
        <v>12260</v>
      </c>
    </row>
    <row r="2071">
      <c r="A2071" s="48" t="s">
        <v>3735</v>
      </c>
      <c r="B2071" s="38">
        <v>28127.0</v>
      </c>
      <c r="C2071" s="38" t="s">
        <v>3859</v>
      </c>
      <c r="D2071" s="38" t="str">
        <f>IFERROR(__xludf.DUMMYFUNCTION("REGEXREPLACE(C2071,""-\d+(.*)|--\d+(.*)"","""")"),"DANGEAU")</f>
        <v>DANGEAU</v>
      </c>
      <c r="E2071" s="38" t="s">
        <v>300</v>
      </c>
      <c r="F2071" s="38" t="s">
        <v>123</v>
      </c>
      <c r="G2071" s="49" t="str">
        <f t="shared" si="1"/>
        <v>28160</v>
      </c>
      <c r="H2071" s="49">
        <f t="shared" si="2"/>
        <v>28127</v>
      </c>
    </row>
    <row r="2072">
      <c r="A2072" s="48" t="s">
        <v>401</v>
      </c>
      <c r="B2072" s="38">
        <v>24301.0</v>
      </c>
      <c r="C2072" s="38" t="s">
        <v>3860</v>
      </c>
      <c r="D2072" s="38" t="str">
        <f>IFERROR(__xludf.DUMMYFUNCTION("REGEXREPLACE(C2072,""-\d+(.*)|--\d+(.*)"","""")"),"NADAILLAC")</f>
        <v>NADAILLAC</v>
      </c>
      <c r="E2072" s="38" t="s">
        <v>261</v>
      </c>
      <c r="F2072" s="38" t="s">
        <v>252</v>
      </c>
      <c r="G2072" s="49" t="str">
        <f t="shared" si="1"/>
        <v>24590</v>
      </c>
      <c r="H2072" s="49">
        <f t="shared" si="2"/>
        <v>24301</v>
      </c>
    </row>
    <row r="2073">
      <c r="A2073" s="48" t="s">
        <v>3861</v>
      </c>
      <c r="B2073" s="38">
        <v>68376.0</v>
      </c>
      <c r="C2073" s="38" t="s">
        <v>3862</v>
      </c>
      <c r="D2073" s="38" t="str">
        <f>IFERROR(__xludf.DUMMYFUNCTION("REGEXREPLACE(C2073,""-\d+(.*)|--\d+(.*)"","""")"),"WITTENHEIM")</f>
        <v>WITTENHEIM</v>
      </c>
      <c r="E2073" s="38" t="s">
        <v>150</v>
      </c>
      <c r="F2073" s="38" t="s">
        <v>151</v>
      </c>
      <c r="G2073" s="49" t="str">
        <f t="shared" si="1"/>
        <v>68270</v>
      </c>
      <c r="H2073" s="49">
        <f t="shared" si="2"/>
        <v>68376</v>
      </c>
    </row>
    <row r="2074">
      <c r="A2074" s="48" t="s">
        <v>3863</v>
      </c>
      <c r="B2074" s="38">
        <v>1199.0</v>
      </c>
      <c r="C2074" s="38" t="s">
        <v>3864</v>
      </c>
      <c r="D2074" s="38" t="str">
        <f>IFERROR(__xludf.DUMMYFUNCTION("REGEXREPLACE(C2074,""-\d+(.*)|--\d+(.*)"","""")"),"JUJURIEUX")</f>
        <v>JUJURIEUX</v>
      </c>
      <c r="E2074" s="38" t="s">
        <v>255</v>
      </c>
      <c r="F2074" s="38" t="s">
        <v>102</v>
      </c>
      <c r="G2074" s="49" t="str">
        <f t="shared" si="1"/>
        <v>01640</v>
      </c>
      <c r="H2074" s="49" t="str">
        <f t="shared" si="2"/>
        <v>01199</v>
      </c>
    </row>
    <row r="2075">
      <c r="A2075" s="48" t="s">
        <v>1634</v>
      </c>
      <c r="B2075" s="38">
        <v>64204.0</v>
      </c>
      <c r="C2075" s="38" t="s">
        <v>3865</v>
      </c>
      <c r="D2075" s="38" t="str">
        <f>IFERROR(__xludf.DUMMYFUNCTION("REGEXREPLACE(C2075,""-\d+(.*)|--\d+(.*)"","""")"),"EAUX-BONNES")</f>
        <v>EAUX-BONNES</v>
      </c>
      <c r="E2075" s="38" t="s">
        <v>268</v>
      </c>
      <c r="F2075" s="38" t="s">
        <v>252</v>
      </c>
      <c r="G2075" s="49" t="str">
        <f t="shared" si="1"/>
        <v>64440</v>
      </c>
      <c r="H2075" s="49">
        <f t="shared" si="2"/>
        <v>64204</v>
      </c>
    </row>
    <row r="2076">
      <c r="A2076" s="48" t="s">
        <v>1887</v>
      </c>
      <c r="B2076" s="38">
        <v>88392.0</v>
      </c>
      <c r="C2076" s="38" t="s">
        <v>3866</v>
      </c>
      <c r="D2076" s="38" t="str">
        <f>IFERROR(__xludf.DUMMYFUNCTION("REGEXREPLACE(C2076,""-\d+(.*)|--\d+(.*)"","""")"),"ROCOURT")</f>
        <v>ROCOURT</v>
      </c>
      <c r="E2076" s="38" t="s">
        <v>194</v>
      </c>
      <c r="F2076" s="38" t="s">
        <v>195</v>
      </c>
      <c r="G2076" s="49" t="str">
        <f t="shared" si="1"/>
        <v>88320</v>
      </c>
      <c r="H2076" s="49">
        <f t="shared" si="2"/>
        <v>88392</v>
      </c>
    </row>
    <row r="2077">
      <c r="A2077" s="48" t="s">
        <v>3867</v>
      </c>
      <c r="B2077" s="38">
        <v>35227.0</v>
      </c>
      <c r="C2077" s="38" t="s">
        <v>3868</v>
      </c>
      <c r="D2077" s="38" t="str">
        <f>IFERROR(__xludf.DUMMYFUNCTION("REGEXREPLACE(C2077,""-\d+(.*)|--\d+(.*)"","""")"),"PLEUMELEUC")</f>
        <v>PLEUMELEUC</v>
      </c>
      <c r="E2077" s="38" t="s">
        <v>347</v>
      </c>
      <c r="F2077" s="38" t="s">
        <v>90</v>
      </c>
      <c r="G2077" s="49" t="str">
        <f t="shared" si="1"/>
        <v>35137</v>
      </c>
      <c r="H2077" s="49">
        <f t="shared" si="2"/>
        <v>35227</v>
      </c>
    </row>
    <row r="2078">
      <c r="A2078" s="48" t="s">
        <v>3869</v>
      </c>
      <c r="B2078" s="38">
        <v>21450.0</v>
      </c>
      <c r="C2078" s="38" t="s">
        <v>3870</v>
      </c>
      <c r="D2078" s="38" t="str">
        <f>IFERROR(__xludf.DUMMYFUNCTION("REGEXREPLACE(C2078,""-\d+(.*)|--\d+(.*)"","""")"),"NANTOUX")</f>
        <v>NANTOUX</v>
      </c>
      <c r="E2078" s="38" t="s">
        <v>105</v>
      </c>
      <c r="F2078" s="38" t="s">
        <v>106</v>
      </c>
      <c r="G2078" s="49" t="str">
        <f t="shared" si="1"/>
        <v>21190</v>
      </c>
      <c r="H2078" s="49">
        <f t="shared" si="2"/>
        <v>21450</v>
      </c>
    </row>
    <row r="2079">
      <c r="A2079" s="48" t="s">
        <v>2532</v>
      </c>
      <c r="B2079" s="38">
        <v>51451.0</v>
      </c>
      <c r="C2079" s="38" t="s">
        <v>3871</v>
      </c>
      <c r="D2079" s="38" t="str">
        <f>IFERROR(__xludf.DUMMYFUNCTION("REGEXREPLACE(C2079,""-\d+(.*)|--\d+(.*)"","""")"),"QUEUDES")</f>
        <v>QUEUDES</v>
      </c>
      <c r="E2079" s="38" t="s">
        <v>129</v>
      </c>
      <c r="F2079" s="38" t="s">
        <v>130</v>
      </c>
      <c r="G2079" s="49" t="str">
        <f t="shared" si="1"/>
        <v>51120</v>
      </c>
      <c r="H2079" s="49">
        <f t="shared" si="2"/>
        <v>51451</v>
      </c>
    </row>
    <row r="2080">
      <c r="A2080" s="48" t="s">
        <v>1953</v>
      </c>
      <c r="B2080" s="38">
        <v>36087.0</v>
      </c>
      <c r="C2080" s="38" t="s">
        <v>3872</v>
      </c>
      <c r="D2080" s="38" t="str">
        <f>IFERROR(__xludf.DUMMYFUNCTION("REGEXREPLACE(C2080,""-\d+(.*)|--\d+(.*)"","""")"),"INGRANDES")</f>
        <v>INGRANDES</v>
      </c>
      <c r="E2080" s="38" t="s">
        <v>258</v>
      </c>
      <c r="F2080" s="38" t="s">
        <v>123</v>
      </c>
      <c r="G2080" s="49" t="str">
        <f t="shared" si="1"/>
        <v>36300</v>
      </c>
      <c r="H2080" s="49">
        <f t="shared" si="2"/>
        <v>36087</v>
      </c>
    </row>
    <row r="2081">
      <c r="A2081" s="48" t="s">
        <v>2069</v>
      </c>
      <c r="B2081" s="38">
        <v>47124.0</v>
      </c>
      <c r="C2081" s="38" t="s">
        <v>3873</v>
      </c>
      <c r="D2081" s="38" t="str">
        <f>IFERROR(__xludf.DUMMYFUNCTION("REGEXREPLACE(C2081,""-\d+(.*)|--\d+(.*)"","""")"),"LACAUSSADE")</f>
        <v>LACAUSSADE</v>
      </c>
      <c r="E2081" s="38" t="s">
        <v>251</v>
      </c>
      <c r="F2081" s="38" t="s">
        <v>252</v>
      </c>
      <c r="G2081" s="49" t="str">
        <f t="shared" si="1"/>
        <v>47150</v>
      </c>
      <c r="H2081" s="49">
        <f t="shared" si="2"/>
        <v>47124</v>
      </c>
    </row>
    <row r="2082">
      <c r="A2082" s="48" t="s">
        <v>3874</v>
      </c>
      <c r="B2082" s="38">
        <v>97114.0</v>
      </c>
      <c r="C2082" s="38" t="s">
        <v>3875</v>
      </c>
      <c r="D2082" s="38" t="str">
        <f>IFERROR(__xludf.DUMMYFUNCTION("REGEXREPLACE(C2082,""-\d+(.*)|--\d+(.*)"","""")"),"GOYAVE")</f>
        <v>GOYAVE</v>
      </c>
      <c r="E2082" s="38" t="s">
        <v>2023</v>
      </c>
      <c r="F2082" s="38" t="s">
        <v>2023</v>
      </c>
      <c r="G2082" s="49" t="str">
        <f t="shared" si="1"/>
        <v>97128</v>
      </c>
      <c r="H2082" s="49">
        <f t="shared" si="2"/>
        <v>97114</v>
      </c>
    </row>
    <row r="2083">
      <c r="A2083" s="48" t="s">
        <v>2312</v>
      </c>
      <c r="B2083" s="38">
        <v>67061.0</v>
      </c>
      <c r="C2083" s="38" t="s">
        <v>3876</v>
      </c>
      <c r="D2083" s="38" t="str">
        <f>IFERROR(__xludf.DUMMYFUNCTION("REGEXREPLACE(C2083,""-\d+(.*)|--\d+(.*)"","""")"),"BOUXWILLER")</f>
        <v>BOUXWILLER</v>
      </c>
      <c r="E2083" s="38" t="s">
        <v>210</v>
      </c>
      <c r="F2083" s="38" t="s">
        <v>151</v>
      </c>
      <c r="G2083" s="49" t="str">
        <f t="shared" si="1"/>
        <v>67330</v>
      </c>
      <c r="H2083" s="49">
        <f t="shared" si="2"/>
        <v>67061</v>
      </c>
    </row>
    <row r="2084">
      <c r="A2084" s="48" t="s">
        <v>2705</v>
      </c>
      <c r="B2084" s="38">
        <v>77477.0</v>
      </c>
      <c r="C2084" s="38" t="s">
        <v>3877</v>
      </c>
      <c r="D2084" s="38" t="str">
        <f>IFERROR(__xludf.DUMMYFUNCTION("REGEXREPLACE(C2084,""-\d+(.*)|--\d+(.*)"","""")"),"URY")</f>
        <v>URY</v>
      </c>
      <c r="E2084" s="38" t="s">
        <v>244</v>
      </c>
      <c r="F2084" s="38" t="s">
        <v>245</v>
      </c>
      <c r="G2084" s="49" t="str">
        <f t="shared" si="1"/>
        <v>77760</v>
      </c>
      <c r="H2084" s="49">
        <f t="shared" si="2"/>
        <v>77477</v>
      </c>
    </row>
    <row r="2085">
      <c r="A2085" s="48" t="s">
        <v>3878</v>
      </c>
      <c r="B2085" s="38">
        <v>80368.0</v>
      </c>
      <c r="C2085" s="38" t="s">
        <v>3879</v>
      </c>
      <c r="D2085" s="38" t="str">
        <f>IFERROR(__xludf.DUMMYFUNCTION("REGEXREPLACE(C2085,""-\d+(.*)|--\d+(.*)"","""")"),"FRIVILLE-ESCARBOTIN")</f>
        <v>FRIVILLE-ESCARBOTIN</v>
      </c>
      <c r="E2085" s="38" t="s">
        <v>224</v>
      </c>
      <c r="F2085" s="38" t="s">
        <v>113</v>
      </c>
      <c r="G2085" s="49" t="str">
        <f t="shared" si="1"/>
        <v>80130</v>
      </c>
      <c r="H2085" s="49">
        <f t="shared" si="2"/>
        <v>80368</v>
      </c>
    </row>
    <row r="2086">
      <c r="A2086" s="48" t="s">
        <v>3880</v>
      </c>
      <c r="B2086" s="38">
        <v>88319.0</v>
      </c>
      <c r="C2086" s="38" t="s">
        <v>3881</v>
      </c>
      <c r="D2086" s="38" t="str">
        <f>IFERROR(__xludf.DUMMYFUNCTION("REGEXREPLACE(C2086,""-\d+(.*)|--\d+(.*)"","""")"),"MOYENMOUTIER")</f>
        <v>MOYENMOUTIER</v>
      </c>
      <c r="E2086" s="38" t="s">
        <v>194</v>
      </c>
      <c r="F2086" s="38" t="s">
        <v>195</v>
      </c>
      <c r="G2086" s="49" t="str">
        <f t="shared" si="1"/>
        <v>88420</v>
      </c>
      <c r="H2086" s="49">
        <f t="shared" si="2"/>
        <v>88319</v>
      </c>
    </row>
    <row r="2087">
      <c r="A2087" s="48" t="s">
        <v>3882</v>
      </c>
      <c r="B2087" s="38">
        <v>62313.0</v>
      </c>
      <c r="C2087" s="38" t="s">
        <v>3883</v>
      </c>
      <c r="D2087" s="38" t="str">
        <f>IFERROR(__xludf.DUMMYFUNCTION("REGEXREPLACE(C2087,""-\d+(.*)|--\d+(.*)"","""")"),"ESTREE-BLANCHE")</f>
        <v>ESTREE-BLANCHE</v>
      </c>
      <c r="E2087" s="38" t="s">
        <v>109</v>
      </c>
      <c r="F2087" s="38" t="s">
        <v>86</v>
      </c>
      <c r="G2087" s="49" t="str">
        <f t="shared" si="1"/>
        <v>62145</v>
      </c>
      <c r="H2087" s="49">
        <f t="shared" si="2"/>
        <v>62313</v>
      </c>
    </row>
    <row r="2088">
      <c r="A2088" s="48" t="s">
        <v>2563</v>
      </c>
      <c r="B2088" s="38">
        <v>76127.0</v>
      </c>
      <c r="C2088" s="38" t="s">
        <v>3884</v>
      </c>
      <c r="D2088" s="38" t="str">
        <f>IFERROR(__xludf.DUMMYFUNCTION("REGEXREPLACE(C2088,""-\d+(.*)|--\d+(.*)"","""")"),"BOSC-ROGER-SUR-BUCHY")</f>
        <v>BOSC-ROGER-SUR-BUCHY</v>
      </c>
      <c r="E2088" s="38" t="s">
        <v>133</v>
      </c>
      <c r="F2088" s="38" t="s">
        <v>134</v>
      </c>
      <c r="G2088" s="49" t="str">
        <f t="shared" si="1"/>
        <v>76750</v>
      </c>
      <c r="H2088" s="49">
        <f t="shared" si="2"/>
        <v>76127</v>
      </c>
    </row>
    <row r="2089">
      <c r="A2089" s="48" t="s">
        <v>3885</v>
      </c>
      <c r="B2089" s="38">
        <v>53194.0</v>
      </c>
      <c r="C2089" s="38" t="s">
        <v>3886</v>
      </c>
      <c r="D2089" s="38" t="str">
        <f>IFERROR(__xludf.DUMMYFUNCTION("REGEXREPLACE(C2089,""-\d+(.*)|--\d+(.*)"","""")"),"RUILLE-LE-GRAVELAIS")</f>
        <v>RUILLE-LE-GRAVELAIS</v>
      </c>
      <c r="E2089" s="38" t="s">
        <v>518</v>
      </c>
      <c r="F2089" s="38" t="s">
        <v>180</v>
      </c>
      <c r="G2089" s="49" t="str">
        <f t="shared" si="1"/>
        <v>53320</v>
      </c>
      <c r="H2089" s="49">
        <f t="shared" si="2"/>
        <v>53194</v>
      </c>
    </row>
    <row r="2090">
      <c r="A2090" s="48" t="s">
        <v>3887</v>
      </c>
      <c r="B2090" s="38">
        <v>84050.0</v>
      </c>
      <c r="C2090" s="38" t="s">
        <v>3888</v>
      </c>
      <c r="D2090" s="38" t="str">
        <f>IFERROR(__xludf.DUMMYFUNCTION("REGEXREPLACE(C2090,""-\d+(.*)|--\d+(.*)"","""")"),"GORDES")</f>
        <v>GORDES</v>
      </c>
      <c r="E2090" s="38" t="s">
        <v>1026</v>
      </c>
      <c r="F2090" s="38" t="s">
        <v>228</v>
      </c>
      <c r="G2090" s="49" t="str">
        <f t="shared" si="1"/>
        <v>84220</v>
      </c>
      <c r="H2090" s="49">
        <f t="shared" si="2"/>
        <v>84050</v>
      </c>
    </row>
    <row r="2091">
      <c r="A2091" s="48" t="s">
        <v>3889</v>
      </c>
      <c r="B2091" s="38">
        <v>87136.0</v>
      </c>
      <c r="C2091" s="38" t="s">
        <v>3890</v>
      </c>
      <c r="D2091" s="38" t="str">
        <f>IFERROR(__xludf.DUMMYFUNCTION("REGEXREPLACE(C2091,""-\d+(.*)|--\d+(.*)"","""")"),"SAINT-BARBANT")</f>
        <v>SAINT-BARBANT</v>
      </c>
      <c r="E2091" s="38" t="s">
        <v>897</v>
      </c>
      <c r="F2091" s="38" t="s">
        <v>98</v>
      </c>
      <c r="G2091" s="49" t="str">
        <f t="shared" si="1"/>
        <v>87330</v>
      </c>
      <c r="H2091" s="49">
        <f t="shared" si="2"/>
        <v>87136</v>
      </c>
    </row>
    <row r="2092">
      <c r="A2092" s="48" t="s">
        <v>3346</v>
      </c>
      <c r="B2092" s="38">
        <v>65254.0</v>
      </c>
      <c r="C2092" s="38" t="s">
        <v>3891</v>
      </c>
      <c r="D2092" s="38" t="str">
        <f>IFERROR(__xludf.DUMMYFUNCTION("REGEXREPLACE(C2092,""-\d+(.*)|--\d+(.*)"","""")"),"LAMEAC")</f>
        <v>LAMEAC</v>
      </c>
      <c r="E2092" s="38" t="s">
        <v>200</v>
      </c>
      <c r="F2092" s="38" t="s">
        <v>94</v>
      </c>
      <c r="G2092" s="49" t="str">
        <f t="shared" si="1"/>
        <v>65140</v>
      </c>
      <c r="H2092" s="49">
        <f t="shared" si="2"/>
        <v>65254</v>
      </c>
    </row>
    <row r="2093">
      <c r="A2093" s="48" t="s">
        <v>3892</v>
      </c>
      <c r="B2093" s="38">
        <v>42096.0</v>
      </c>
      <c r="C2093" s="38" t="s">
        <v>3634</v>
      </c>
      <c r="D2093" s="38" t="str">
        <f>IFERROR(__xludf.DUMMYFUNCTION("REGEXREPLACE(C2093,""-\d+(.*)|--\d+(.*)"","""")"),"FONTANES")</f>
        <v>FONTANES</v>
      </c>
      <c r="E2093" s="38" t="s">
        <v>166</v>
      </c>
      <c r="F2093" s="38" t="s">
        <v>102</v>
      </c>
      <c r="G2093" s="49" t="str">
        <f t="shared" si="1"/>
        <v>42140</v>
      </c>
      <c r="H2093" s="49">
        <f t="shared" si="2"/>
        <v>42096</v>
      </c>
    </row>
    <row r="2094">
      <c r="A2094" s="48" t="s">
        <v>2201</v>
      </c>
      <c r="B2094" s="38">
        <v>32275.0</v>
      </c>
      <c r="C2094" s="38" t="s">
        <v>3893</v>
      </c>
      <c r="D2094" s="38" t="str">
        <f>IFERROR(__xludf.DUMMYFUNCTION("REGEXREPLACE(C2094,""-\d+(.*)|--\d+(.*)"","""")"),"MONPARDIAC")</f>
        <v>MONPARDIAC</v>
      </c>
      <c r="E2094" s="38" t="s">
        <v>440</v>
      </c>
      <c r="F2094" s="38" t="s">
        <v>94</v>
      </c>
      <c r="G2094" s="49" t="str">
        <f t="shared" si="1"/>
        <v>32170</v>
      </c>
      <c r="H2094" s="49">
        <f t="shared" si="2"/>
        <v>32275</v>
      </c>
    </row>
    <row r="2095">
      <c r="A2095" s="48" t="s">
        <v>1435</v>
      </c>
      <c r="B2095" s="38">
        <v>14399.0</v>
      </c>
      <c r="C2095" s="38" t="s">
        <v>3894</v>
      </c>
      <c r="D2095" s="38" t="str">
        <f>IFERROR(__xludf.DUMMYFUNCTION("REGEXREPLACE(C2095,""-\d+(.*)|--\d+(.*)"","""")"),"MANNEVILLE-LA-PIPARD")</f>
        <v>MANNEVILLE-LA-PIPARD</v>
      </c>
      <c r="E2095" s="38" t="s">
        <v>137</v>
      </c>
      <c r="F2095" s="38" t="s">
        <v>138</v>
      </c>
      <c r="G2095" s="49" t="str">
        <f t="shared" si="1"/>
        <v>14130</v>
      </c>
      <c r="H2095" s="49">
        <f t="shared" si="2"/>
        <v>14399</v>
      </c>
    </row>
    <row r="2096">
      <c r="A2096" s="48" t="s">
        <v>419</v>
      </c>
      <c r="B2096" s="38">
        <v>57222.0</v>
      </c>
      <c r="C2096" s="38" t="s">
        <v>3895</v>
      </c>
      <c r="D2096" s="38" t="str">
        <f>IFERROR(__xludf.DUMMYFUNCTION("REGEXREPLACE(C2096,""-\d+(.*)|--\d+(.*)"","""")"),"FOLKLING")</f>
        <v>FOLKLING</v>
      </c>
      <c r="E2096" s="38" t="s">
        <v>303</v>
      </c>
      <c r="F2096" s="38" t="s">
        <v>195</v>
      </c>
      <c r="G2096" s="49" t="str">
        <f t="shared" si="1"/>
        <v>57600</v>
      </c>
      <c r="H2096" s="49">
        <f t="shared" si="2"/>
        <v>57222</v>
      </c>
    </row>
    <row r="2097">
      <c r="A2097" s="48" t="s">
        <v>3896</v>
      </c>
      <c r="B2097" s="38">
        <v>13087.0</v>
      </c>
      <c r="C2097" s="38" t="s">
        <v>3897</v>
      </c>
      <c r="D2097" s="38" t="str">
        <f>IFERROR(__xludf.DUMMYFUNCTION("REGEXREPLACE(C2097,""-\d+(.*)|--\d+(.*)"","""")"),"ROUSSET")</f>
        <v>ROUSSET</v>
      </c>
      <c r="E2097" s="38" t="s">
        <v>980</v>
      </c>
      <c r="F2097" s="38" t="s">
        <v>228</v>
      </c>
      <c r="G2097" s="49" t="str">
        <f t="shared" si="1"/>
        <v>13790</v>
      </c>
      <c r="H2097" s="49">
        <f t="shared" si="2"/>
        <v>13087</v>
      </c>
    </row>
    <row r="2098">
      <c r="A2098" s="48" t="s">
        <v>3898</v>
      </c>
      <c r="B2098" s="38">
        <v>65252.0</v>
      </c>
      <c r="C2098" s="38" t="s">
        <v>3899</v>
      </c>
      <c r="D2098" s="38" t="str">
        <f>IFERROR(__xludf.DUMMYFUNCTION("REGEXREPLACE(C2098,""-\d+(.*)|--\d+(.*)"","""")"),"LAMARQUE-PONTACQ")</f>
        <v>LAMARQUE-PONTACQ</v>
      </c>
      <c r="E2098" s="38" t="s">
        <v>200</v>
      </c>
      <c r="F2098" s="38" t="s">
        <v>94</v>
      </c>
      <c r="G2098" s="49" t="str">
        <f t="shared" si="1"/>
        <v>65380</v>
      </c>
      <c r="H2098" s="49">
        <f t="shared" si="2"/>
        <v>65252</v>
      </c>
    </row>
    <row r="2099">
      <c r="A2099" s="48" t="s">
        <v>3900</v>
      </c>
      <c r="B2099" s="38">
        <v>2413.0</v>
      </c>
      <c r="C2099" s="38" t="s">
        <v>3901</v>
      </c>
      <c r="D2099" s="38" t="str">
        <f>IFERROR(__xludf.DUMMYFUNCTION("REGEXREPLACE(C2099,""-\d+(.*)|--\d+(.*)"","""")"),"LAVAL-EN-LAONNOIS")</f>
        <v>LAVAL-EN-LAONNOIS</v>
      </c>
      <c r="E2099" s="38" t="s">
        <v>191</v>
      </c>
      <c r="F2099" s="38" t="s">
        <v>113</v>
      </c>
      <c r="G2099" s="49" t="str">
        <f t="shared" si="1"/>
        <v>02860</v>
      </c>
      <c r="H2099" s="49" t="str">
        <f t="shared" si="2"/>
        <v>02413</v>
      </c>
    </row>
    <row r="2100">
      <c r="A2100" s="48" t="s">
        <v>3902</v>
      </c>
      <c r="B2100" s="38">
        <v>63426.0</v>
      </c>
      <c r="C2100" s="38" t="s">
        <v>3903</v>
      </c>
      <c r="D2100" s="38" t="str">
        <f>IFERROR(__xludf.DUMMYFUNCTION("REGEXREPLACE(C2100,""-\d+(.*)|--\d+(.*)"","""")"),"TAUVES")</f>
        <v>TAUVES</v>
      </c>
      <c r="E2100" s="38" t="s">
        <v>353</v>
      </c>
      <c r="F2100" s="38" t="s">
        <v>161</v>
      </c>
      <c r="G2100" s="49" t="str">
        <f t="shared" si="1"/>
        <v>63690</v>
      </c>
      <c r="H2100" s="49">
        <f t="shared" si="2"/>
        <v>63426</v>
      </c>
    </row>
    <row r="2101">
      <c r="A2101" s="48" t="s">
        <v>3904</v>
      </c>
      <c r="B2101" s="38">
        <v>43260.0</v>
      </c>
      <c r="C2101" s="38" t="s">
        <v>3905</v>
      </c>
      <c r="D2101" s="38" t="str">
        <f>IFERROR(__xludf.DUMMYFUNCTION("REGEXREPLACE(C2101,""-\d+(.*)|--\d+(.*)"","""")"),"LE VERNET")</f>
        <v>LE VERNET</v>
      </c>
      <c r="E2101" s="38" t="s">
        <v>332</v>
      </c>
      <c r="F2101" s="38" t="s">
        <v>161</v>
      </c>
      <c r="G2101" s="49" t="str">
        <f t="shared" si="1"/>
        <v>43320</v>
      </c>
      <c r="H2101" s="49">
        <f t="shared" si="2"/>
        <v>43260</v>
      </c>
    </row>
    <row r="2102">
      <c r="A2102" s="48" t="s">
        <v>3906</v>
      </c>
      <c r="B2102" s="38">
        <v>24442.0</v>
      </c>
      <c r="C2102" s="38" t="s">
        <v>3907</v>
      </c>
      <c r="D2102" s="38" t="str">
        <f>IFERROR(__xludf.DUMMYFUNCTION("REGEXREPLACE(C2102,""-\d+(.*)|--\d+(.*)"","""")"),"SAINT-LEON-SUR-L'ISLE")</f>
        <v>SAINT-LEON-SUR-L'ISLE</v>
      </c>
      <c r="E2102" s="38" t="s">
        <v>261</v>
      </c>
      <c r="F2102" s="38" t="s">
        <v>252</v>
      </c>
      <c r="G2102" s="49" t="str">
        <f t="shared" si="1"/>
        <v>24110</v>
      </c>
      <c r="H2102" s="49">
        <f t="shared" si="2"/>
        <v>24442</v>
      </c>
    </row>
    <row r="2103">
      <c r="A2103" s="48" t="s">
        <v>3908</v>
      </c>
      <c r="B2103" s="38">
        <v>59038.0</v>
      </c>
      <c r="C2103" s="38" t="s">
        <v>3909</v>
      </c>
      <c r="D2103" s="38" t="str">
        <f>IFERROR(__xludf.DUMMYFUNCTION("REGEXREPLACE(C2103,""-\d+(.*)|--\d+(.*)"","""")"),"AVESNES-LE-SEC")</f>
        <v>AVESNES-LE-SEC</v>
      </c>
      <c r="E2103" s="38" t="s">
        <v>85</v>
      </c>
      <c r="F2103" s="38" t="s">
        <v>86</v>
      </c>
      <c r="G2103" s="49" t="str">
        <f t="shared" si="1"/>
        <v>59296</v>
      </c>
      <c r="H2103" s="49">
        <f t="shared" si="2"/>
        <v>59038</v>
      </c>
    </row>
    <row r="2104">
      <c r="A2104" s="48" t="s">
        <v>3821</v>
      </c>
      <c r="B2104" s="38">
        <v>57059.0</v>
      </c>
      <c r="C2104" s="38" t="s">
        <v>3910</v>
      </c>
      <c r="D2104" s="38" t="str">
        <f>IFERROR(__xludf.DUMMYFUNCTION("REGEXREPLACE(C2104,""-\d+(.*)|--\d+(.*)"","""")"),"BELLANGE")</f>
        <v>BELLANGE</v>
      </c>
      <c r="E2104" s="38" t="s">
        <v>303</v>
      </c>
      <c r="F2104" s="38" t="s">
        <v>195</v>
      </c>
      <c r="G2104" s="49" t="str">
        <f t="shared" si="1"/>
        <v>57340</v>
      </c>
      <c r="H2104" s="49">
        <f t="shared" si="2"/>
        <v>57059</v>
      </c>
    </row>
    <row r="2105">
      <c r="A2105" s="48" t="s">
        <v>952</v>
      </c>
      <c r="B2105" s="38">
        <v>82192.0</v>
      </c>
      <c r="C2105" s="38" t="s">
        <v>3911</v>
      </c>
      <c r="D2105" s="38" t="str">
        <f>IFERROR(__xludf.DUMMYFUNCTION("REGEXREPLACE(C2105,""-\d+(.*)|--\d+(.*)"","""")"),"VERLHAC-TESCOU")</f>
        <v>VERLHAC-TESCOU</v>
      </c>
      <c r="E2105" s="38" t="s">
        <v>570</v>
      </c>
      <c r="F2105" s="38" t="s">
        <v>94</v>
      </c>
      <c r="G2105" s="49" t="str">
        <f t="shared" si="1"/>
        <v>82230</v>
      </c>
      <c r="H2105" s="49">
        <f t="shared" si="2"/>
        <v>82192</v>
      </c>
    </row>
    <row r="2106">
      <c r="A2106" s="48" t="s">
        <v>3912</v>
      </c>
      <c r="B2106" s="38">
        <v>38466.0</v>
      </c>
      <c r="C2106" s="38" t="s">
        <v>3913</v>
      </c>
      <c r="D2106" s="38" t="str">
        <f>IFERROR(__xludf.DUMMYFUNCTION("REGEXREPLACE(C2106,""-\d+(.*)|--\d+(.*)"","""")"),"SAINT-VINCENT-DE-MERCUZE")</f>
        <v>SAINT-VINCENT-DE-MERCUZE</v>
      </c>
      <c r="E2106" s="38" t="s">
        <v>101</v>
      </c>
      <c r="F2106" s="38" t="s">
        <v>102</v>
      </c>
      <c r="G2106" s="49" t="str">
        <f t="shared" si="1"/>
        <v>38660</v>
      </c>
      <c r="H2106" s="49">
        <f t="shared" si="2"/>
        <v>38466</v>
      </c>
    </row>
    <row r="2107">
      <c r="A2107" s="48" t="s">
        <v>3914</v>
      </c>
      <c r="B2107" s="38">
        <v>34326.0</v>
      </c>
      <c r="C2107" s="38" t="s">
        <v>3915</v>
      </c>
      <c r="D2107" s="38" t="str">
        <f>IFERROR(__xludf.DUMMYFUNCTION("REGEXREPLACE(C2107,""-\d+(.*)|--\d+(.*)"","""")"),"VELIEUX")</f>
        <v>VELIEUX</v>
      </c>
      <c r="E2107" s="38" t="s">
        <v>118</v>
      </c>
      <c r="F2107" s="38" t="s">
        <v>119</v>
      </c>
      <c r="G2107" s="49" t="str">
        <f t="shared" si="1"/>
        <v>34220</v>
      </c>
      <c r="H2107" s="49">
        <f t="shared" si="2"/>
        <v>34326</v>
      </c>
    </row>
    <row r="2108">
      <c r="A2108" s="48" t="s">
        <v>3916</v>
      </c>
      <c r="B2108" s="38">
        <v>85226.0</v>
      </c>
      <c r="C2108" s="38" t="s">
        <v>3917</v>
      </c>
      <c r="D2108" s="38" t="str">
        <f>IFERROR(__xludf.DUMMYFUNCTION("REGEXREPLACE(C2108,""-\d+(.*)|--\d+(.*)"","""")"),"SAINT-HILAIRE-DE-RIEZ")</f>
        <v>SAINT-HILAIRE-DE-RIEZ</v>
      </c>
      <c r="E2108" s="38" t="s">
        <v>179</v>
      </c>
      <c r="F2108" s="38" t="s">
        <v>180</v>
      </c>
      <c r="G2108" s="49" t="str">
        <f t="shared" si="1"/>
        <v>85270</v>
      </c>
      <c r="H2108" s="49">
        <f t="shared" si="2"/>
        <v>85226</v>
      </c>
    </row>
    <row r="2109">
      <c r="A2109" s="48" t="s">
        <v>323</v>
      </c>
      <c r="B2109" s="38">
        <v>52413.0</v>
      </c>
      <c r="C2109" s="38" t="s">
        <v>3918</v>
      </c>
      <c r="D2109" s="38" t="str">
        <f>IFERROR(__xludf.DUMMYFUNCTION("REGEXREPLACE(C2109,""-\d+(.*)|--\d+(.*)"","""")"),"RACHECOURT-SUZEMONT")</f>
        <v>RACHECOURT-SUZEMONT</v>
      </c>
      <c r="E2109" s="38" t="s">
        <v>234</v>
      </c>
      <c r="F2109" s="38" t="s">
        <v>130</v>
      </c>
      <c r="G2109" s="49" t="str">
        <f t="shared" si="1"/>
        <v>52130</v>
      </c>
      <c r="H2109" s="49">
        <f t="shared" si="2"/>
        <v>52413</v>
      </c>
    </row>
    <row r="2110">
      <c r="A2110" s="48" t="s">
        <v>3662</v>
      </c>
      <c r="B2110" s="38">
        <v>80343.0</v>
      </c>
      <c r="C2110" s="38" t="s">
        <v>3919</v>
      </c>
      <c r="D2110" s="38" t="str">
        <f>IFERROR(__xludf.DUMMYFUNCTION("REGEXREPLACE(C2110,""-\d+(.*)|--\d+(.*)"","""")"),"FRAMICOURT")</f>
        <v>FRAMICOURT</v>
      </c>
      <c r="E2110" s="38" t="s">
        <v>224</v>
      </c>
      <c r="F2110" s="38" t="s">
        <v>113</v>
      </c>
      <c r="G2110" s="49" t="str">
        <f t="shared" si="1"/>
        <v>80140</v>
      </c>
      <c r="H2110" s="49">
        <f t="shared" si="2"/>
        <v>80343</v>
      </c>
    </row>
    <row r="2111">
      <c r="A2111" s="48" t="s">
        <v>3920</v>
      </c>
      <c r="B2111" s="38">
        <v>50080.0</v>
      </c>
      <c r="C2111" s="38" t="s">
        <v>3921</v>
      </c>
      <c r="D2111" s="38" t="str">
        <f>IFERROR(__xludf.DUMMYFUNCTION("REGEXREPLACE(C2111,""-\d+(.*)|--\d+(.*)"","""")"),"BREVANDS")</f>
        <v>BREVANDS</v>
      </c>
      <c r="E2111" s="38" t="s">
        <v>157</v>
      </c>
      <c r="F2111" s="38" t="s">
        <v>138</v>
      </c>
      <c r="G2111" s="49" t="str">
        <f t="shared" si="1"/>
        <v>50500</v>
      </c>
      <c r="H2111" s="49">
        <f t="shared" si="2"/>
        <v>50080</v>
      </c>
    </row>
    <row r="2112">
      <c r="A2112" s="48" t="s">
        <v>3922</v>
      </c>
      <c r="B2112" s="38">
        <v>49179.0</v>
      </c>
      <c r="C2112" s="38" t="s">
        <v>3923</v>
      </c>
      <c r="D2112" s="38" t="str">
        <f>IFERROR(__xludf.DUMMYFUNCTION("REGEXREPLACE(C2112,""-\d+(.*)|--\d+(.*)"","""")"),"LE LONGERON")</f>
        <v>LE LONGERON</v>
      </c>
      <c r="E2112" s="38" t="s">
        <v>653</v>
      </c>
      <c r="F2112" s="38" t="s">
        <v>180</v>
      </c>
      <c r="G2112" s="49" t="str">
        <f t="shared" si="1"/>
        <v>49710</v>
      </c>
      <c r="H2112" s="49">
        <f t="shared" si="2"/>
        <v>49179</v>
      </c>
    </row>
    <row r="2113">
      <c r="A2113" s="48" t="s">
        <v>3924</v>
      </c>
      <c r="B2113" s="38">
        <v>81251.0</v>
      </c>
      <c r="C2113" s="38" t="s">
        <v>3108</v>
      </c>
      <c r="D2113" s="38" t="str">
        <f>IFERROR(__xludf.DUMMYFUNCTION("REGEXREPLACE(C2113,""-\d+(.*)|--\d+(.*)"","""")"),"SAINT-GERMAIN-DES-PRES")</f>
        <v>SAINT-GERMAIN-DES-PRES</v>
      </c>
      <c r="E2113" s="38" t="s">
        <v>231</v>
      </c>
      <c r="F2113" s="38" t="s">
        <v>94</v>
      </c>
      <c r="G2113" s="49" t="str">
        <f t="shared" si="1"/>
        <v>81700</v>
      </c>
      <c r="H2113" s="49">
        <f t="shared" si="2"/>
        <v>81251</v>
      </c>
    </row>
    <row r="2114">
      <c r="A2114" s="48" t="s">
        <v>3925</v>
      </c>
      <c r="B2114" s="38">
        <v>41062.0</v>
      </c>
      <c r="C2114" s="38" t="s">
        <v>3926</v>
      </c>
      <c r="D2114" s="38" t="str">
        <f>IFERROR(__xludf.DUMMYFUNCTION("REGEXREPLACE(C2114,""-\d+(.*)|--\d+(.*)"","""")"),"COUDDES")</f>
        <v>COUDDES</v>
      </c>
      <c r="E2114" s="38" t="s">
        <v>188</v>
      </c>
      <c r="F2114" s="38" t="s">
        <v>123</v>
      </c>
      <c r="G2114" s="49" t="str">
        <f t="shared" si="1"/>
        <v>41700</v>
      </c>
      <c r="H2114" s="49">
        <f t="shared" si="2"/>
        <v>41062</v>
      </c>
    </row>
    <row r="2115">
      <c r="A2115" s="48" t="s">
        <v>296</v>
      </c>
      <c r="B2115" s="38">
        <v>41083.0</v>
      </c>
      <c r="C2115" s="38" t="s">
        <v>3927</v>
      </c>
      <c r="D2115" s="38" t="str">
        <f>IFERROR(__xludf.DUMMYFUNCTION("REGEXREPLACE(C2115,""-\d+(.*)|--\d+(.*)"","""")"),"LA FERTE-BEAUHARNAIS")</f>
        <v>LA FERTE-BEAUHARNAIS</v>
      </c>
      <c r="E2115" s="38" t="s">
        <v>188</v>
      </c>
      <c r="F2115" s="38" t="s">
        <v>123</v>
      </c>
      <c r="G2115" s="49" t="str">
        <f t="shared" si="1"/>
        <v>41210</v>
      </c>
      <c r="H2115" s="49">
        <f t="shared" si="2"/>
        <v>41083</v>
      </c>
    </row>
    <row r="2116">
      <c r="A2116" s="48" t="s">
        <v>3928</v>
      </c>
      <c r="B2116" s="38">
        <v>78003.0</v>
      </c>
      <c r="C2116" s="38" t="s">
        <v>3929</v>
      </c>
      <c r="D2116" s="38" t="str">
        <f>IFERROR(__xludf.DUMMYFUNCTION("REGEXREPLACE(C2116,""-\d+(.*)|--\d+(.*)"","""")"),"ABLIS")</f>
        <v>ABLIS</v>
      </c>
      <c r="E2116" s="38" t="s">
        <v>362</v>
      </c>
      <c r="F2116" s="38" t="s">
        <v>245</v>
      </c>
      <c r="G2116" s="49" t="str">
        <f t="shared" si="1"/>
        <v>78660</v>
      </c>
      <c r="H2116" s="49">
        <f t="shared" si="2"/>
        <v>78003</v>
      </c>
    </row>
    <row r="2117">
      <c r="A2117" s="48" t="s">
        <v>3930</v>
      </c>
      <c r="B2117" s="38">
        <v>12116.0</v>
      </c>
      <c r="C2117" s="38" t="s">
        <v>3931</v>
      </c>
      <c r="D2117" s="38" t="str">
        <f>IFERROR(__xludf.DUMMYFUNCTION("REGEXREPLACE(C2117,""-\d+(.*)|--\d+(.*)"","""")"),"HUPARLAC")</f>
        <v>HUPARLAC</v>
      </c>
      <c r="E2117" s="38" t="s">
        <v>465</v>
      </c>
      <c r="F2117" s="38" t="s">
        <v>94</v>
      </c>
      <c r="G2117" s="49" t="str">
        <f t="shared" si="1"/>
        <v>12460</v>
      </c>
      <c r="H2117" s="49">
        <f t="shared" si="2"/>
        <v>12116</v>
      </c>
    </row>
    <row r="2118">
      <c r="A2118" s="48" t="s">
        <v>3932</v>
      </c>
      <c r="B2118" s="38">
        <v>61006.0</v>
      </c>
      <c r="C2118" s="38" t="s">
        <v>3933</v>
      </c>
      <c r="D2118" s="38" t="str">
        <f>IFERROR(__xludf.DUMMYFUNCTION("REGEXREPLACE(C2118,""-\d+(.*)|--\d+(.*)"","""")"),"ARGENTAN")</f>
        <v>ARGENTAN</v>
      </c>
      <c r="E2118" s="38" t="s">
        <v>141</v>
      </c>
      <c r="F2118" s="38" t="s">
        <v>138</v>
      </c>
      <c r="G2118" s="49" t="str">
        <f t="shared" si="1"/>
        <v>61200</v>
      </c>
      <c r="H2118" s="49">
        <f t="shared" si="2"/>
        <v>61006</v>
      </c>
    </row>
    <row r="2119">
      <c r="A2119" s="48" t="s">
        <v>3934</v>
      </c>
      <c r="B2119" s="38">
        <v>3320.0</v>
      </c>
      <c r="C2119" s="38" t="s">
        <v>3935</v>
      </c>
      <c r="D2119" s="38" t="str">
        <f>IFERROR(__xludf.DUMMYFUNCTION("REGEXREPLACE(C2119,""-\d+(.*)|--\d+(.*)"","""")"),"YGRANDE")</f>
        <v>YGRANDE</v>
      </c>
      <c r="E2119" s="38" t="s">
        <v>160</v>
      </c>
      <c r="F2119" s="38" t="s">
        <v>161</v>
      </c>
      <c r="G2119" s="49" t="str">
        <f t="shared" si="1"/>
        <v>03160</v>
      </c>
      <c r="H2119" s="49" t="str">
        <f t="shared" si="2"/>
        <v>03320</v>
      </c>
    </row>
    <row r="2120">
      <c r="A2120" s="48" t="s">
        <v>1661</v>
      </c>
      <c r="B2120" s="38">
        <v>36188.0</v>
      </c>
      <c r="C2120" s="38" t="s">
        <v>3936</v>
      </c>
      <c r="D2120" s="38" t="str">
        <f>IFERROR(__xludf.DUMMYFUNCTION("REGEXREPLACE(C2120,""-\d+(.*)|--\d+(.*)"","""")"),"SAINT-CYRAN-DU-JAMBOT")</f>
        <v>SAINT-CYRAN-DU-JAMBOT</v>
      </c>
      <c r="E2120" s="38" t="s">
        <v>258</v>
      </c>
      <c r="F2120" s="38" t="s">
        <v>123</v>
      </c>
      <c r="G2120" s="49" t="str">
        <f t="shared" si="1"/>
        <v>36700</v>
      </c>
      <c r="H2120" s="49">
        <f t="shared" si="2"/>
        <v>36188</v>
      </c>
    </row>
    <row r="2121">
      <c r="A2121" s="48" t="s">
        <v>3937</v>
      </c>
      <c r="B2121" s="38">
        <v>18166.0</v>
      </c>
      <c r="C2121" s="38" t="s">
        <v>3938</v>
      </c>
      <c r="D2121" s="38" t="str">
        <f>IFERROR(__xludf.DUMMYFUNCTION("REGEXREPLACE(C2121,""-\d+(.*)|--\d+(.*)"","""")"),"NOHANT-EN-GOUT")</f>
        <v>NOHANT-EN-GOUT</v>
      </c>
      <c r="E2121" s="38" t="s">
        <v>504</v>
      </c>
      <c r="F2121" s="38" t="s">
        <v>123</v>
      </c>
      <c r="G2121" s="49" t="str">
        <f t="shared" si="1"/>
        <v>18390</v>
      </c>
      <c r="H2121" s="49">
        <f t="shared" si="2"/>
        <v>18166</v>
      </c>
    </row>
    <row r="2122">
      <c r="A2122" s="48" t="s">
        <v>3194</v>
      </c>
      <c r="B2122" s="38">
        <v>89268.0</v>
      </c>
      <c r="C2122" s="38" t="s">
        <v>3939</v>
      </c>
      <c r="D2122" s="38" t="str">
        <f>IFERROR(__xludf.DUMMYFUNCTION("REGEXREPLACE(C2122,""-\d+(.*)|--\d+(.*)"","""")"),"MONT-SAINT-SULPICE")</f>
        <v>MONT-SAINT-SULPICE</v>
      </c>
      <c r="E2122" s="38" t="s">
        <v>275</v>
      </c>
      <c r="F2122" s="38" t="s">
        <v>106</v>
      </c>
      <c r="G2122" s="49" t="str">
        <f t="shared" si="1"/>
        <v>89250</v>
      </c>
      <c r="H2122" s="49">
        <f t="shared" si="2"/>
        <v>89268</v>
      </c>
    </row>
    <row r="2123">
      <c r="A2123" s="48" t="s">
        <v>2820</v>
      </c>
      <c r="B2123" s="38">
        <v>2071.0</v>
      </c>
      <c r="C2123" s="38" t="s">
        <v>3940</v>
      </c>
      <c r="D2123" s="38" t="str">
        <f>IFERROR(__xludf.DUMMYFUNCTION("REGEXREPLACE(C2123,""-\d+(.*)|--\d+(.*)"","""")"),"BERNY-RIVIERE")</f>
        <v>BERNY-RIVIERE</v>
      </c>
      <c r="E2123" s="38" t="s">
        <v>191</v>
      </c>
      <c r="F2123" s="38" t="s">
        <v>113</v>
      </c>
      <c r="G2123" s="49" t="str">
        <f t="shared" si="1"/>
        <v>02290</v>
      </c>
      <c r="H2123" s="49" t="str">
        <f t="shared" si="2"/>
        <v>02071</v>
      </c>
    </row>
    <row r="2124">
      <c r="A2124" s="48" t="s">
        <v>3530</v>
      </c>
      <c r="B2124" s="38">
        <v>44082.0</v>
      </c>
      <c r="C2124" s="38" t="s">
        <v>3941</v>
      </c>
      <c r="D2124" s="38" t="str">
        <f>IFERROR(__xludf.DUMMYFUNCTION("REGEXREPLACE(C2124,""-\d+(.*)|--\d+(.*)"","""")"),"LIGNE")</f>
        <v>LIGNE</v>
      </c>
      <c r="E2124" s="38" t="s">
        <v>759</v>
      </c>
      <c r="F2124" s="38" t="s">
        <v>180</v>
      </c>
      <c r="G2124" s="49" t="str">
        <f t="shared" si="1"/>
        <v>44850</v>
      </c>
      <c r="H2124" s="49">
        <f t="shared" si="2"/>
        <v>44082</v>
      </c>
    </row>
    <row r="2125">
      <c r="A2125" s="48" t="s">
        <v>3262</v>
      </c>
      <c r="B2125" s="38">
        <v>3215.0</v>
      </c>
      <c r="C2125" s="38" t="s">
        <v>3942</v>
      </c>
      <c r="D2125" s="38" t="str">
        <f>IFERROR(__xludf.DUMMYFUNCTION("REGEXREPLACE(C2125,""-\d+(.*)|--\d+(.*)"","""")"),"RONGERES")</f>
        <v>RONGERES</v>
      </c>
      <c r="E2125" s="38" t="s">
        <v>160</v>
      </c>
      <c r="F2125" s="38" t="s">
        <v>161</v>
      </c>
      <c r="G2125" s="49" t="str">
        <f t="shared" si="1"/>
        <v>03150</v>
      </c>
      <c r="H2125" s="49" t="str">
        <f t="shared" si="2"/>
        <v>03215</v>
      </c>
    </row>
    <row r="2126">
      <c r="A2126" s="48" t="s">
        <v>3943</v>
      </c>
      <c r="B2126" s="38">
        <v>15242.0</v>
      </c>
      <c r="C2126" s="38" t="s">
        <v>3944</v>
      </c>
      <c r="D2126" s="38" t="str">
        <f>IFERROR(__xludf.DUMMYFUNCTION("REGEXREPLACE(C2126,""-\d+(.*)|--\d+(.*)"","""")"),"LE TRIOULOU")</f>
        <v>LE TRIOULOU</v>
      </c>
      <c r="E2126" s="38" t="s">
        <v>632</v>
      </c>
      <c r="F2126" s="38" t="s">
        <v>161</v>
      </c>
      <c r="G2126" s="49" t="str">
        <f t="shared" si="1"/>
        <v>15600</v>
      </c>
      <c r="H2126" s="49">
        <f t="shared" si="2"/>
        <v>15242</v>
      </c>
    </row>
    <row r="2127">
      <c r="A2127" s="48" t="s">
        <v>3945</v>
      </c>
      <c r="B2127" s="38">
        <v>34273.0</v>
      </c>
      <c r="C2127" s="38" t="s">
        <v>3946</v>
      </c>
      <c r="D2127" s="38" t="str">
        <f>IFERROR(__xludf.DUMMYFUNCTION("REGEXREPLACE(C2127,""-\d+(.*)|--\d+(.*)"","""")"),"SAINT-MARTIN-DE-L'ARCON")</f>
        <v>SAINT-MARTIN-DE-L'ARCON</v>
      </c>
      <c r="E2127" s="38" t="s">
        <v>118</v>
      </c>
      <c r="F2127" s="38" t="s">
        <v>119</v>
      </c>
      <c r="G2127" s="49" t="str">
        <f t="shared" si="1"/>
        <v>34390</v>
      </c>
      <c r="H2127" s="49">
        <f t="shared" si="2"/>
        <v>34273</v>
      </c>
    </row>
    <row r="2128">
      <c r="A2128" s="48" t="s">
        <v>445</v>
      </c>
      <c r="B2128" s="38">
        <v>76336.0</v>
      </c>
      <c r="C2128" s="38" t="s">
        <v>3947</v>
      </c>
      <c r="D2128" s="38" t="str">
        <f>IFERROR(__xludf.DUMMYFUNCTION("REGEXREPLACE(C2128,""-\d+(.*)|--\d+(.*)"","""")"),"GUEUTTEVILLE-LES-GRES")</f>
        <v>GUEUTTEVILLE-LES-GRES</v>
      </c>
      <c r="E2128" s="38" t="s">
        <v>133</v>
      </c>
      <c r="F2128" s="38" t="s">
        <v>134</v>
      </c>
      <c r="G2128" s="49" t="str">
        <f t="shared" si="1"/>
        <v>76460</v>
      </c>
      <c r="H2128" s="49">
        <f t="shared" si="2"/>
        <v>76336</v>
      </c>
    </row>
    <row r="2129">
      <c r="A2129" s="48" t="s">
        <v>3948</v>
      </c>
      <c r="B2129" s="38">
        <v>21123.0</v>
      </c>
      <c r="C2129" s="38" t="s">
        <v>3949</v>
      </c>
      <c r="D2129" s="38" t="str">
        <f>IFERROR(__xludf.DUMMYFUNCTION("REGEXREPLACE(C2129,""-\d+(.*)|--\d+(.*)"","""")"),"BUXEROLLES")</f>
        <v>BUXEROLLES</v>
      </c>
      <c r="E2129" s="38" t="s">
        <v>105</v>
      </c>
      <c r="F2129" s="38" t="s">
        <v>106</v>
      </c>
      <c r="G2129" s="49" t="str">
        <f t="shared" si="1"/>
        <v>21290</v>
      </c>
      <c r="H2129" s="49">
        <f t="shared" si="2"/>
        <v>21123</v>
      </c>
    </row>
    <row r="2130">
      <c r="A2130" s="48" t="s">
        <v>669</v>
      </c>
      <c r="B2130" s="38">
        <v>12141.0</v>
      </c>
      <c r="C2130" s="38" t="s">
        <v>3950</v>
      </c>
      <c r="D2130" s="38" t="str">
        <f>IFERROR(__xludf.DUMMYFUNCTION("REGEXREPLACE(C2130,""-\d+(.*)|--\d+(.*)"","""")"),"MARTRIN")</f>
        <v>MARTRIN</v>
      </c>
      <c r="E2130" s="38" t="s">
        <v>465</v>
      </c>
      <c r="F2130" s="38" t="s">
        <v>94</v>
      </c>
      <c r="G2130" s="49" t="str">
        <f t="shared" si="1"/>
        <v>12550</v>
      </c>
      <c r="H2130" s="49">
        <f t="shared" si="2"/>
        <v>12141</v>
      </c>
    </row>
    <row r="2131">
      <c r="A2131" s="48" t="s">
        <v>3951</v>
      </c>
      <c r="B2131" s="38">
        <v>24002.0</v>
      </c>
      <c r="C2131" s="38" t="s">
        <v>3952</v>
      </c>
      <c r="D2131" s="38" t="str">
        <f>IFERROR(__xludf.DUMMYFUNCTION("REGEXREPLACE(C2131,""-\d+(.*)|--\d+(.*)"","""")"),"AGONAC")</f>
        <v>AGONAC</v>
      </c>
      <c r="E2131" s="38" t="s">
        <v>261</v>
      </c>
      <c r="F2131" s="38" t="s">
        <v>252</v>
      </c>
      <c r="G2131" s="49" t="str">
        <f t="shared" si="1"/>
        <v>24460</v>
      </c>
      <c r="H2131" s="49">
        <f t="shared" si="2"/>
        <v>24002</v>
      </c>
    </row>
    <row r="2132">
      <c r="A2132" s="48" t="s">
        <v>944</v>
      </c>
      <c r="B2132" s="38">
        <v>61202.0</v>
      </c>
      <c r="C2132" s="38" t="s">
        <v>3953</v>
      </c>
      <c r="D2132" s="38" t="str">
        <f>IFERROR(__xludf.DUMMYFUNCTION("REGEXREPLACE(C2132,""-\d+(.*)|--\d+(.*)"","""")"),"HAUTERIVE")</f>
        <v>HAUTERIVE</v>
      </c>
      <c r="E2132" s="38" t="s">
        <v>141</v>
      </c>
      <c r="F2132" s="38" t="s">
        <v>138</v>
      </c>
      <c r="G2132" s="49" t="str">
        <f t="shared" si="1"/>
        <v>61250</v>
      </c>
      <c r="H2132" s="49">
        <f t="shared" si="2"/>
        <v>61202</v>
      </c>
    </row>
    <row r="2133">
      <c r="A2133" s="48" t="s">
        <v>2592</v>
      </c>
      <c r="B2133" s="38">
        <v>34281.0</v>
      </c>
      <c r="C2133" s="38" t="s">
        <v>3954</v>
      </c>
      <c r="D2133" s="38" t="str">
        <f>IFERROR(__xludf.DUMMYFUNCTION("REGEXREPLACE(C2133,""-\d+(.*)|--\d+(.*)"","""")"),"SAINT-PARGOIRE")</f>
        <v>SAINT-PARGOIRE</v>
      </c>
      <c r="E2133" s="38" t="s">
        <v>118</v>
      </c>
      <c r="F2133" s="38" t="s">
        <v>119</v>
      </c>
      <c r="G2133" s="49" t="str">
        <f t="shared" si="1"/>
        <v>34230</v>
      </c>
      <c r="H2133" s="49">
        <f t="shared" si="2"/>
        <v>34281</v>
      </c>
    </row>
    <row r="2134">
      <c r="A2134" s="48" t="s">
        <v>3955</v>
      </c>
      <c r="B2134" s="38">
        <v>62411.0</v>
      </c>
      <c r="C2134" s="38" t="s">
        <v>3956</v>
      </c>
      <c r="D2134" s="38" t="str">
        <f>IFERROR(__xludf.DUMMYFUNCTION("REGEXREPLACE(C2134,""-\d+(.*)|--\d+(.*)"","""")"),"HARAVESNES")</f>
        <v>HARAVESNES</v>
      </c>
      <c r="E2134" s="38" t="s">
        <v>109</v>
      </c>
      <c r="F2134" s="38" t="s">
        <v>86</v>
      </c>
      <c r="G2134" s="49" t="str">
        <f t="shared" si="1"/>
        <v>62390</v>
      </c>
      <c r="H2134" s="49">
        <f t="shared" si="2"/>
        <v>62411</v>
      </c>
    </row>
    <row r="2135">
      <c r="A2135" s="48" t="s">
        <v>155</v>
      </c>
      <c r="B2135" s="38">
        <v>50573.0</v>
      </c>
      <c r="C2135" s="38" t="s">
        <v>3957</v>
      </c>
      <c r="D2135" s="38" t="str">
        <f>IFERROR(__xludf.DUMMYFUNCTION("REGEXREPLACE(C2135,""-\d+(.*)|--\d+(.*)"","""")"),"SERVIGNY")</f>
        <v>SERVIGNY</v>
      </c>
      <c r="E2135" s="38" t="s">
        <v>157</v>
      </c>
      <c r="F2135" s="38" t="s">
        <v>138</v>
      </c>
      <c r="G2135" s="49" t="str">
        <f t="shared" si="1"/>
        <v>50200</v>
      </c>
      <c r="H2135" s="49">
        <f t="shared" si="2"/>
        <v>50573</v>
      </c>
    </row>
    <row r="2136">
      <c r="A2136" s="48" t="s">
        <v>3958</v>
      </c>
      <c r="B2136" s="38">
        <v>31056.0</v>
      </c>
      <c r="C2136" s="38" t="s">
        <v>3959</v>
      </c>
      <c r="D2136" s="38" t="str">
        <f>IFERROR(__xludf.DUMMYFUNCTION("REGEXREPLACE(C2136,""-\d+(.*)|--\d+(.*)"","""")"),"BEAUZELLE")</f>
        <v>BEAUZELLE</v>
      </c>
      <c r="E2136" s="38" t="s">
        <v>93</v>
      </c>
      <c r="F2136" s="38" t="s">
        <v>94</v>
      </c>
      <c r="G2136" s="49" t="str">
        <f t="shared" si="1"/>
        <v>31700</v>
      </c>
      <c r="H2136" s="49">
        <f t="shared" si="2"/>
        <v>31056</v>
      </c>
    </row>
    <row r="2137">
      <c r="A2137" s="48" t="s">
        <v>1452</v>
      </c>
      <c r="B2137" s="38">
        <v>55276.0</v>
      </c>
      <c r="C2137" s="38" t="s">
        <v>3960</v>
      </c>
      <c r="D2137" s="38" t="str">
        <f>IFERROR(__xludf.DUMMYFUNCTION("REGEXREPLACE(C2137,""-\d+(.*)|--\d+(.*)"","""")"),"LANDRECOURT-LEMPIRE")</f>
        <v>LANDRECOURT-LEMPIRE</v>
      </c>
      <c r="E2137" s="38" t="s">
        <v>322</v>
      </c>
      <c r="F2137" s="38" t="s">
        <v>195</v>
      </c>
      <c r="G2137" s="49" t="str">
        <f t="shared" si="1"/>
        <v>55100</v>
      </c>
      <c r="H2137" s="49">
        <f t="shared" si="2"/>
        <v>55276</v>
      </c>
    </row>
    <row r="2138">
      <c r="A2138" s="48" t="s">
        <v>3961</v>
      </c>
      <c r="B2138" s="38">
        <v>19270.0</v>
      </c>
      <c r="C2138" s="38" t="s">
        <v>3962</v>
      </c>
      <c r="D2138" s="38" t="str">
        <f>IFERROR(__xludf.DUMMYFUNCTION("REGEXREPLACE(C2138,""-\d+(.*)|--\d+(.*)"","""")"),"TROCHE")</f>
        <v>TROCHE</v>
      </c>
      <c r="E2138" s="38" t="s">
        <v>271</v>
      </c>
      <c r="F2138" s="38" t="s">
        <v>98</v>
      </c>
      <c r="G2138" s="49" t="str">
        <f t="shared" si="1"/>
        <v>19230</v>
      </c>
      <c r="H2138" s="49">
        <f t="shared" si="2"/>
        <v>19270</v>
      </c>
    </row>
    <row r="2139">
      <c r="A2139" s="48" t="s">
        <v>551</v>
      </c>
      <c r="B2139" s="38">
        <v>66130.0</v>
      </c>
      <c r="C2139" s="38" t="s">
        <v>3963</v>
      </c>
      <c r="D2139" s="38" t="str">
        <f>IFERROR(__xludf.DUMMYFUNCTION("REGEXREPLACE(C2139,""-\d+(.*)|--\d+(.*)"","""")"),"OSSEJA")</f>
        <v>OSSEJA</v>
      </c>
      <c r="E2139" s="38" t="s">
        <v>248</v>
      </c>
      <c r="F2139" s="38" t="s">
        <v>119</v>
      </c>
      <c r="G2139" s="49" t="str">
        <f t="shared" si="1"/>
        <v>66340</v>
      </c>
      <c r="H2139" s="49">
        <f t="shared" si="2"/>
        <v>66130</v>
      </c>
    </row>
    <row r="2140">
      <c r="A2140" s="48" t="s">
        <v>715</v>
      </c>
      <c r="B2140" s="38">
        <v>88288.0</v>
      </c>
      <c r="C2140" s="38" t="s">
        <v>3964</v>
      </c>
      <c r="D2140" s="38" t="str">
        <f>IFERROR(__xludf.DUMMYFUNCTION("REGEXREPLACE(C2140,""-\d+(.*)|--\d+(.*)"","""")"),"MARONCOURT")</f>
        <v>MARONCOURT</v>
      </c>
      <c r="E2140" s="38" t="s">
        <v>194</v>
      </c>
      <c r="F2140" s="38" t="s">
        <v>195</v>
      </c>
      <c r="G2140" s="49" t="str">
        <f t="shared" si="1"/>
        <v>88270</v>
      </c>
      <c r="H2140" s="49">
        <f t="shared" si="2"/>
        <v>88288</v>
      </c>
    </row>
    <row r="2141">
      <c r="A2141" s="48" t="s">
        <v>3965</v>
      </c>
      <c r="B2141" s="38">
        <v>33239.0</v>
      </c>
      <c r="C2141" s="38" t="s">
        <v>3966</v>
      </c>
      <c r="D2141" s="38" t="str">
        <f>IFERROR(__xludf.DUMMYFUNCTION("REGEXREPLACE(C2141,""-\d+(.*)|--\d+(.*)"","""")"),"LERM-ET-MUSSET")</f>
        <v>LERM-ET-MUSSET</v>
      </c>
      <c r="E2141" s="38" t="s">
        <v>462</v>
      </c>
      <c r="F2141" s="38" t="s">
        <v>252</v>
      </c>
      <c r="G2141" s="49" t="str">
        <f t="shared" si="1"/>
        <v>33840</v>
      </c>
      <c r="H2141" s="49">
        <f t="shared" si="2"/>
        <v>33239</v>
      </c>
    </row>
    <row r="2142">
      <c r="A2142" s="48" t="s">
        <v>3967</v>
      </c>
      <c r="B2142" s="38">
        <v>50220.0</v>
      </c>
      <c r="C2142" s="38" t="s">
        <v>3968</v>
      </c>
      <c r="D2142" s="38" t="str">
        <f>IFERROR(__xludf.DUMMYFUNCTION("REGEXREPLACE(C2142,""-\d+(.*)|--\d+(.*)"","""")"),"GREVILLE-HAGUE")</f>
        <v>GREVILLE-HAGUE</v>
      </c>
      <c r="E2142" s="38" t="s">
        <v>157</v>
      </c>
      <c r="F2142" s="38" t="s">
        <v>138</v>
      </c>
      <c r="G2142" s="49" t="str">
        <f t="shared" si="1"/>
        <v>50440</v>
      </c>
      <c r="H2142" s="49">
        <f t="shared" si="2"/>
        <v>50220</v>
      </c>
    </row>
    <row r="2143">
      <c r="A2143" s="48" t="s">
        <v>2208</v>
      </c>
      <c r="B2143" s="38">
        <v>55057.0</v>
      </c>
      <c r="C2143" s="38" t="s">
        <v>3969</v>
      </c>
      <c r="D2143" s="38" t="str">
        <f>IFERROR(__xludf.DUMMYFUNCTION("REGEXREPLACE(C2143,""-\d+(.*)|--\d+(.*)"","""")"),"BOINVILLE-EN-WOEVRE")</f>
        <v>BOINVILLE-EN-WOEVRE</v>
      </c>
      <c r="E2143" s="38" t="s">
        <v>322</v>
      </c>
      <c r="F2143" s="38" t="s">
        <v>195</v>
      </c>
      <c r="G2143" s="49" t="str">
        <f t="shared" si="1"/>
        <v>55400</v>
      </c>
      <c r="H2143" s="49">
        <f t="shared" si="2"/>
        <v>55057</v>
      </c>
    </row>
    <row r="2144">
      <c r="A2144" s="48" t="s">
        <v>2413</v>
      </c>
      <c r="B2144" s="38">
        <v>72176.0</v>
      </c>
      <c r="C2144" s="38" t="s">
        <v>3970</v>
      </c>
      <c r="D2144" s="38" t="str">
        <f>IFERROR(__xludf.DUMMYFUNCTION("REGEXREPLACE(C2144,""-\d+(.*)|--\d+(.*)"","""")"),"LE LUDE")</f>
        <v>LE LUDE</v>
      </c>
      <c r="E2144" s="38" t="s">
        <v>521</v>
      </c>
      <c r="F2144" s="38" t="s">
        <v>180</v>
      </c>
      <c r="G2144" s="49" t="str">
        <f t="shared" si="1"/>
        <v>72800</v>
      </c>
      <c r="H2144" s="49">
        <f t="shared" si="2"/>
        <v>72176</v>
      </c>
    </row>
    <row r="2145">
      <c r="A2145" s="48" t="s">
        <v>3971</v>
      </c>
      <c r="B2145" s="38">
        <v>97213.0</v>
      </c>
      <c r="C2145" s="38" t="s">
        <v>3972</v>
      </c>
      <c r="D2145" s="38" t="str">
        <f>IFERROR(__xludf.DUMMYFUNCTION("REGEXREPLACE(C2145,""-\d+(.*)|--\d+(.*)"","""")"),"LE LAMENTIN")</f>
        <v>LE LAMENTIN</v>
      </c>
      <c r="E2145" s="38" t="s">
        <v>2282</v>
      </c>
      <c r="F2145" s="38" t="s">
        <v>2282</v>
      </c>
      <c r="G2145" s="49" t="str">
        <f t="shared" si="1"/>
        <v>97232</v>
      </c>
      <c r="H2145" s="49">
        <f t="shared" si="2"/>
        <v>97213</v>
      </c>
    </row>
    <row r="2146">
      <c r="A2146" s="48" t="s">
        <v>3973</v>
      </c>
      <c r="B2146" s="38">
        <v>33228.0</v>
      </c>
      <c r="C2146" s="38" t="s">
        <v>3974</v>
      </c>
      <c r="D2146" s="38" t="str">
        <f>IFERROR(__xludf.DUMMYFUNCTION("REGEXREPLACE(C2146,""-\d+(.*)|--\d+(.*)"","""")"),"LANSAC")</f>
        <v>LANSAC</v>
      </c>
      <c r="E2146" s="38" t="s">
        <v>462</v>
      </c>
      <c r="F2146" s="38" t="s">
        <v>252</v>
      </c>
      <c r="G2146" s="49" t="str">
        <f t="shared" si="1"/>
        <v>33710</v>
      </c>
      <c r="H2146" s="49">
        <f t="shared" si="2"/>
        <v>33228</v>
      </c>
    </row>
    <row r="2147">
      <c r="A2147" s="48" t="s">
        <v>3975</v>
      </c>
      <c r="B2147" s="38">
        <v>19166.0</v>
      </c>
      <c r="C2147" s="38" t="s">
        <v>3976</v>
      </c>
      <c r="D2147" s="38" t="str">
        <f>IFERROR(__xludf.DUMMYFUNCTION("REGEXREPLACE(C2147,""-\d+(.*)|--\d+(.*)"","""")"),"PIERREFITTE")</f>
        <v>PIERREFITTE</v>
      </c>
      <c r="E2147" s="38" t="s">
        <v>271</v>
      </c>
      <c r="F2147" s="38" t="s">
        <v>98</v>
      </c>
      <c r="G2147" s="49" t="str">
        <f t="shared" si="1"/>
        <v>19450</v>
      </c>
      <c r="H2147" s="49">
        <f t="shared" si="2"/>
        <v>19166</v>
      </c>
    </row>
    <row r="2148">
      <c r="A2148" s="48" t="s">
        <v>2678</v>
      </c>
      <c r="B2148" s="38">
        <v>8436.0</v>
      </c>
      <c r="C2148" s="38" t="s">
        <v>3977</v>
      </c>
      <c r="D2148" s="38" t="str">
        <f>IFERROR(__xludf.DUMMYFUNCTION("REGEXREPLACE(C2148,""-\d+(.*)|--\d+(.*)"","""")"),"TAILLETTE")</f>
        <v>TAILLETTE</v>
      </c>
      <c r="E2148" s="38" t="s">
        <v>327</v>
      </c>
      <c r="F2148" s="38" t="s">
        <v>130</v>
      </c>
      <c r="G2148" s="49" t="str">
        <f t="shared" si="1"/>
        <v>08230</v>
      </c>
      <c r="H2148" s="49" t="str">
        <f t="shared" si="2"/>
        <v>08436</v>
      </c>
    </row>
    <row r="2149">
      <c r="A2149" s="48" t="s">
        <v>3978</v>
      </c>
      <c r="B2149" s="38">
        <v>21013.0</v>
      </c>
      <c r="C2149" s="38" t="s">
        <v>3979</v>
      </c>
      <c r="D2149" s="38" t="str">
        <f>IFERROR(__xludf.DUMMYFUNCTION("REGEXREPLACE(C2149,""-\d+(.*)|--\d+(.*)"","""")"),"ANCEY")</f>
        <v>ANCEY</v>
      </c>
      <c r="E2149" s="38" t="s">
        <v>105</v>
      </c>
      <c r="F2149" s="38" t="s">
        <v>106</v>
      </c>
      <c r="G2149" s="49" t="str">
        <f t="shared" si="1"/>
        <v>21410</v>
      </c>
      <c r="H2149" s="49">
        <f t="shared" si="2"/>
        <v>21013</v>
      </c>
    </row>
    <row r="2150">
      <c r="A2150" s="48" t="s">
        <v>3980</v>
      </c>
      <c r="B2150" s="38">
        <v>71045.0</v>
      </c>
      <c r="C2150" s="38" t="s">
        <v>3981</v>
      </c>
      <c r="D2150" s="38" t="str">
        <f>IFERROR(__xludf.DUMMYFUNCTION("REGEXREPLACE(C2150,""-\d+(.*)|--\d+(.*)"","""")"),"BOUHANS")</f>
        <v>BOUHANS</v>
      </c>
      <c r="E2150" s="38" t="s">
        <v>344</v>
      </c>
      <c r="F2150" s="38" t="s">
        <v>106</v>
      </c>
      <c r="G2150" s="49" t="str">
        <f t="shared" si="1"/>
        <v>71330</v>
      </c>
      <c r="H2150" s="49">
        <f t="shared" si="2"/>
        <v>71045</v>
      </c>
    </row>
    <row r="2151">
      <c r="A2151" s="48" t="s">
        <v>415</v>
      </c>
      <c r="B2151" s="38">
        <v>21325.0</v>
      </c>
      <c r="C2151" s="38" t="s">
        <v>3982</v>
      </c>
      <c r="D2151" s="38" t="str">
        <f>IFERROR(__xludf.DUMMYFUNCTION("REGEXREPLACE(C2151,""-\d+(.*)|--\d+(.*)"","""")"),"JOUEY")</f>
        <v>JOUEY</v>
      </c>
      <c r="E2151" s="38" t="s">
        <v>105</v>
      </c>
      <c r="F2151" s="38" t="s">
        <v>106</v>
      </c>
      <c r="G2151" s="49" t="str">
        <f t="shared" si="1"/>
        <v>21230</v>
      </c>
      <c r="H2151" s="49">
        <f t="shared" si="2"/>
        <v>21325</v>
      </c>
    </row>
    <row r="2152">
      <c r="A2152" s="48" t="s">
        <v>3983</v>
      </c>
      <c r="B2152" s="38">
        <v>67366.0</v>
      </c>
      <c r="C2152" s="38" t="s">
        <v>3984</v>
      </c>
      <c r="D2152" s="38" t="str">
        <f>IFERROR(__xludf.DUMMYFUNCTION("REGEXREPLACE(C2152,""-\d+(.*)|--\d+(.*)"","""")"),"OTTERSTHAL")</f>
        <v>OTTERSTHAL</v>
      </c>
      <c r="E2152" s="38" t="s">
        <v>210</v>
      </c>
      <c r="F2152" s="38" t="s">
        <v>151</v>
      </c>
      <c r="G2152" s="49" t="str">
        <f t="shared" si="1"/>
        <v>67700</v>
      </c>
      <c r="H2152" s="49">
        <f t="shared" si="2"/>
        <v>67366</v>
      </c>
    </row>
    <row r="2153">
      <c r="A2153" s="48" t="s">
        <v>1514</v>
      </c>
      <c r="B2153" s="38">
        <v>70547.0</v>
      </c>
      <c r="C2153" s="38" t="s">
        <v>3985</v>
      </c>
      <c r="D2153" s="38" t="str">
        <f>IFERROR(__xludf.DUMMYFUNCTION("REGEXREPLACE(C2153,""-\d+(.*)|--\d+(.*)"","""")"),"VERLANS")</f>
        <v>VERLANS</v>
      </c>
      <c r="E2153" s="38" t="s">
        <v>956</v>
      </c>
      <c r="F2153" s="38" t="s">
        <v>214</v>
      </c>
      <c r="G2153" s="49" t="str">
        <f t="shared" si="1"/>
        <v>70400</v>
      </c>
      <c r="H2153" s="49">
        <f t="shared" si="2"/>
        <v>70547</v>
      </c>
    </row>
    <row r="2154">
      <c r="A2154" s="48" t="s">
        <v>3986</v>
      </c>
      <c r="B2154" s="38">
        <v>62118.0</v>
      </c>
      <c r="C2154" s="38" t="s">
        <v>3987</v>
      </c>
      <c r="D2154" s="38" t="str">
        <f>IFERROR(__xludf.DUMMYFUNCTION("REGEXREPLACE(C2154,""-\d+(.*)|--\d+(.*)"","""")"),"BETHONSART")</f>
        <v>BETHONSART</v>
      </c>
      <c r="E2154" s="38" t="s">
        <v>109</v>
      </c>
      <c r="F2154" s="38" t="s">
        <v>86</v>
      </c>
      <c r="G2154" s="49" t="str">
        <f t="shared" si="1"/>
        <v>62690</v>
      </c>
      <c r="H2154" s="49">
        <f t="shared" si="2"/>
        <v>62118</v>
      </c>
    </row>
    <row r="2155">
      <c r="A2155" s="48" t="s">
        <v>3988</v>
      </c>
      <c r="B2155" s="38">
        <v>51488.0</v>
      </c>
      <c r="C2155" s="38" t="s">
        <v>3989</v>
      </c>
      <c r="D2155" s="38" t="str">
        <f>IFERROR(__xludf.DUMMYFUNCTION("REGEXREPLACE(C2155,""-\d+(.*)|--\d+(.*)"","""")"),"SAINT-IMOGES")</f>
        <v>SAINT-IMOGES</v>
      </c>
      <c r="E2155" s="38" t="s">
        <v>129</v>
      </c>
      <c r="F2155" s="38" t="s">
        <v>130</v>
      </c>
      <c r="G2155" s="49" t="str">
        <f t="shared" si="1"/>
        <v>51160</v>
      </c>
      <c r="H2155" s="49">
        <f t="shared" si="2"/>
        <v>51488</v>
      </c>
    </row>
    <row r="2156">
      <c r="A2156" s="48" t="s">
        <v>3990</v>
      </c>
      <c r="B2156" s="38">
        <v>2569.0</v>
      </c>
      <c r="C2156" s="38" t="s">
        <v>3991</v>
      </c>
      <c r="D2156" s="38" t="str">
        <f>IFERROR(__xludf.DUMMYFUNCTION("REGEXREPLACE(C2156,""-\d+(.*)|--\d+(.*)"","""")"),"OISY")</f>
        <v>OISY</v>
      </c>
      <c r="E2156" s="38" t="s">
        <v>191</v>
      </c>
      <c r="F2156" s="38" t="s">
        <v>113</v>
      </c>
      <c r="G2156" s="49" t="str">
        <f t="shared" si="1"/>
        <v>02450</v>
      </c>
      <c r="H2156" s="49" t="str">
        <f t="shared" si="2"/>
        <v>02569</v>
      </c>
    </row>
    <row r="2157">
      <c r="A2157" s="48" t="s">
        <v>3992</v>
      </c>
      <c r="B2157" s="38">
        <v>46193.0</v>
      </c>
      <c r="C2157" s="38" t="s">
        <v>3993</v>
      </c>
      <c r="D2157" s="38" t="str">
        <f>IFERROR(__xludf.DUMMYFUNCTION("REGEXREPLACE(C2157,""-\d+(.*)|--\d+(.*)"","""")"),"MIERS")</f>
        <v>MIERS</v>
      </c>
      <c r="E2157" s="38" t="s">
        <v>185</v>
      </c>
      <c r="F2157" s="38" t="s">
        <v>94</v>
      </c>
      <c r="G2157" s="49" t="str">
        <f t="shared" si="1"/>
        <v>46500</v>
      </c>
      <c r="H2157" s="49">
        <f t="shared" si="2"/>
        <v>46193</v>
      </c>
    </row>
    <row r="2158">
      <c r="A2158" s="48" t="s">
        <v>3994</v>
      </c>
      <c r="B2158" s="38">
        <v>38382.0</v>
      </c>
      <c r="C2158" s="38" t="s">
        <v>3995</v>
      </c>
      <c r="D2158" s="38" t="str">
        <f>IFERROR(__xludf.DUMMYFUNCTION("REGEXREPLACE(C2158,""-\d+(.*)|--\d+(.*)"","""")"),"SAINT-EGREVE")</f>
        <v>SAINT-EGREVE</v>
      </c>
      <c r="E2158" s="38" t="s">
        <v>101</v>
      </c>
      <c r="F2158" s="38" t="s">
        <v>102</v>
      </c>
      <c r="G2158" s="49" t="str">
        <f t="shared" si="1"/>
        <v>38120</v>
      </c>
      <c r="H2158" s="49">
        <f t="shared" si="2"/>
        <v>38382</v>
      </c>
    </row>
    <row r="2159">
      <c r="A2159" s="48" t="s">
        <v>732</v>
      </c>
      <c r="B2159" s="38">
        <v>10380.0</v>
      </c>
      <c r="C2159" s="38" t="s">
        <v>3996</v>
      </c>
      <c r="D2159" s="38" t="str">
        <f>IFERROR(__xludf.DUMMYFUNCTION("REGEXREPLACE(C2159,""-\d+(.*)|--\d+(.*)"","""")"),"TORCY-LE-PETIT")</f>
        <v>TORCY-LE-PETIT</v>
      </c>
      <c r="E2159" s="38" t="s">
        <v>147</v>
      </c>
      <c r="F2159" s="38" t="s">
        <v>130</v>
      </c>
      <c r="G2159" s="49" t="str">
        <f t="shared" si="1"/>
        <v>10700</v>
      </c>
      <c r="H2159" s="49">
        <f t="shared" si="2"/>
        <v>10380</v>
      </c>
    </row>
    <row r="2160">
      <c r="A2160" s="48" t="s">
        <v>1695</v>
      </c>
      <c r="B2160" s="38">
        <v>80052.0</v>
      </c>
      <c r="C2160" s="38" t="s">
        <v>3997</v>
      </c>
      <c r="D2160" s="38" t="str">
        <f>IFERROR(__xludf.DUMMYFUNCTION("REGEXREPLACE(C2160,""-\d+(.*)|--\d+(.*)"","""")"),"BAIZIEUX")</f>
        <v>BAIZIEUX</v>
      </c>
      <c r="E2160" s="38" t="s">
        <v>224</v>
      </c>
      <c r="F2160" s="38" t="s">
        <v>113</v>
      </c>
      <c r="G2160" s="49" t="str">
        <f t="shared" si="1"/>
        <v>80300</v>
      </c>
      <c r="H2160" s="49">
        <f t="shared" si="2"/>
        <v>80052</v>
      </c>
    </row>
    <row r="2161">
      <c r="A2161" s="48" t="s">
        <v>3998</v>
      </c>
      <c r="B2161" s="38">
        <v>73211.0</v>
      </c>
      <c r="C2161" s="38" t="s">
        <v>3999</v>
      </c>
      <c r="D2161" s="38" t="str">
        <f>IFERROR(__xludf.DUMMYFUNCTION("REGEXREPLACE(C2161,""-\d+(.*)|--\d+(.*)"","""")"),"QUEIGE")</f>
        <v>QUEIGE</v>
      </c>
      <c r="E2161" s="38" t="s">
        <v>306</v>
      </c>
      <c r="F2161" s="38" t="s">
        <v>102</v>
      </c>
      <c r="G2161" s="49" t="str">
        <f t="shared" si="1"/>
        <v>73720</v>
      </c>
      <c r="H2161" s="49">
        <f t="shared" si="2"/>
        <v>73211</v>
      </c>
    </row>
    <row r="2162">
      <c r="A2162" s="48" t="s">
        <v>4000</v>
      </c>
      <c r="B2162" s="38">
        <v>42042.0</v>
      </c>
      <c r="C2162" s="38" t="s">
        <v>4001</v>
      </c>
      <c r="D2162" s="38" t="str">
        <f>IFERROR(__xludf.DUMMYFUNCTION("REGEXREPLACE(C2162,""-\d+(.*)|--\d+(.*)"","""")"),"CHAMBLES")</f>
        <v>CHAMBLES</v>
      </c>
      <c r="E2162" s="38" t="s">
        <v>166</v>
      </c>
      <c r="F2162" s="38" t="s">
        <v>102</v>
      </c>
      <c r="G2162" s="49" t="str">
        <f t="shared" si="1"/>
        <v>42170</v>
      </c>
      <c r="H2162" s="49">
        <f t="shared" si="2"/>
        <v>42042</v>
      </c>
    </row>
    <row r="2163">
      <c r="A2163" s="48" t="s">
        <v>4002</v>
      </c>
      <c r="B2163" s="38">
        <v>51299.0</v>
      </c>
      <c r="C2163" s="38" t="s">
        <v>4003</v>
      </c>
      <c r="D2163" s="38" t="str">
        <f>IFERROR(__xludf.DUMMYFUNCTION("REGEXREPLACE(C2163,""-\d+(.*)|--\d+(.*)"","""")"),"ISLES-SUR-SUIPPE")</f>
        <v>ISLES-SUR-SUIPPE</v>
      </c>
      <c r="E2163" s="38" t="s">
        <v>129</v>
      </c>
      <c r="F2163" s="38" t="s">
        <v>130</v>
      </c>
      <c r="G2163" s="49" t="str">
        <f t="shared" si="1"/>
        <v>51110</v>
      </c>
      <c r="H2163" s="49">
        <f t="shared" si="2"/>
        <v>51299</v>
      </c>
    </row>
    <row r="2164">
      <c r="A2164" s="48" t="s">
        <v>603</v>
      </c>
      <c r="B2164" s="38" t="s">
        <v>4004</v>
      </c>
      <c r="C2164" s="38" t="s">
        <v>4005</v>
      </c>
      <c r="D2164" s="38" t="str">
        <f>IFERROR(__xludf.DUMMYFUNCTION("REGEXREPLACE(C2164,""-\d+(.*)|--\d+(.*)"","""")"),"CASALABRIVA")</f>
        <v>CASALABRIVA</v>
      </c>
      <c r="E2164" s="38" t="s">
        <v>606</v>
      </c>
      <c r="F2164" s="38" t="s">
        <v>607</v>
      </c>
      <c r="G2164" s="49" t="str">
        <f t="shared" si="1"/>
        <v>20140</v>
      </c>
      <c r="H2164" s="49" t="str">
        <f t="shared" si="2"/>
        <v>2A071</v>
      </c>
    </row>
    <row r="2165">
      <c r="A2165" s="48" t="s">
        <v>4006</v>
      </c>
      <c r="B2165" s="38">
        <v>67268.0</v>
      </c>
      <c r="C2165" s="38" t="s">
        <v>4007</v>
      </c>
      <c r="D2165" s="38" t="str">
        <f>IFERROR(__xludf.DUMMYFUNCTION("REGEXREPLACE(C2165,""-\d+(.*)|--\d+(.*)"","""")"),"LIPSHEIM")</f>
        <v>LIPSHEIM</v>
      </c>
      <c r="E2165" s="38" t="s">
        <v>210</v>
      </c>
      <c r="F2165" s="38" t="s">
        <v>151</v>
      </c>
      <c r="G2165" s="49" t="str">
        <f t="shared" si="1"/>
        <v>67640</v>
      </c>
      <c r="H2165" s="49">
        <f t="shared" si="2"/>
        <v>67268</v>
      </c>
    </row>
    <row r="2166">
      <c r="A2166" s="48" t="s">
        <v>4008</v>
      </c>
      <c r="B2166" s="38">
        <v>65123.0</v>
      </c>
      <c r="C2166" s="38" t="s">
        <v>4009</v>
      </c>
      <c r="D2166" s="38" t="str">
        <f>IFERROR(__xludf.DUMMYFUNCTION("REGEXREPLACE(C2166,""-\d+(.*)|--\d+(.*)"","""")"),"CAMPAN")</f>
        <v>CAMPAN</v>
      </c>
      <c r="E2166" s="38" t="s">
        <v>200</v>
      </c>
      <c r="F2166" s="38" t="s">
        <v>94</v>
      </c>
      <c r="G2166" s="49" t="str">
        <f t="shared" si="1"/>
        <v>65710</v>
      </c>
      <c r="H2166" s="49">
        <f t="shared" si="2"/>
        <v>65123</v>
      </c>
    </row>
    <row r="2167">
      <c r="A2167" s="48" t="s">
        <v>452</v>
      </c>
      <c r="B2167" s="38">
        <v>21526.0</v>
      </c>
      <c r="C2167" s="38" t="s">
        <v>4010</v>
      </c>
      <c r="D2167" s="38" t="str">
        <f>IFERROR(__xludf.DUMMYFUNCTION("REGEXREPLACE(C2167,""-\d+(.*)|--\d+(.*)"","""")"),"ROCHEFORT-SUR-BREVON")</f>
        <v>ROCHEFORT-SUR-BREVON</v>
      </c>
      <c r="E2167" s="38" t="s">
        <v>105</v>
      </c>
      <c r="F2167" s="38" t="s">
        <v>106</v>
      </c>
      <c r="G2167" s="49" t="str">
        <f t="shared" si="1"/>
        <v>21510</v>
      </c>
      <c r="H2167" s="49">
        <f t="shared" si="2"/>
        <v>21526</v>
      </c>
    </row>
    <row r="2168">
      <c r="A2168" s="48" t="s">
        <v>4011</v>
      </c>
      <c r="B2168" s="38">
        <v>80627.0</v>
      </c>
      <c r="C2168" s="38" t="s">
        <v>4012</v>
      </c>
      <c r="D2168" s="38" t="str">
        <f>IFERROR(__xludf.DUMMYFUNCTION("REGEXREPLACE(C2168,""-\d+(.*)|--\d+(.*)"","""")"),"PLACHY-BUYON")</f>
        <v>PLACHY-BUYON</v>
      </c>
      <c r="E2168" s="38" t="s">
        <v>224</v>
      </c>
      <c r="F2168" s="38" t="s">
        <v>113</v>
      </c>
      <c r="G2168" s="49" t="str">
        <f t="shared" si="1"/>
        <v>80160</v>
      </c>
      <c r="H2168" s="49">
        <f t="shared" si="2"/>
        <v>80627</v>
      </c>
    </row>
    <row r="2169">
      <c r="A2169" s="48" t="s">
        <v>4013</v>
      </c>
      <c r="B2169" s="38">
        <v>9292.0</v>
      </c>
      <c r="C2169" s="38" t="s">
        <v>4014</v>
      </c>
      <c r="D2169" s="38" t="str">
        <f>IFERROR(__xludf.DUMMYFUNCTION("REGEXREPLACE(C2169,""-\d+(.*)|--\d+(.*)"","""")"),"SENTENAC-DE-SEROU")</f>
        <v>SENTENAC-DE-SEROU</v>
      </c>
      <c r="E2169" s="38" t="s">
        <v>238</v>
      </c>
      <c r="F2169" s="38" t="s">
        <v>94</v>
      </c>
      <c r="G2169" s="49" t="str">
        <f t="shared" si="1"/>
        <v>09240</v>
      </c>
      <c r="H2169" s="49" t="str">
        <f t="shared" si="2"/>
        <v>09292</v>
      </c>
    </row>
    <row r="2170">
      <c r="A2170" s="48" t="s">
        <v>4015</v>
      </c>
      <c r="B2170" s="38">
        <v>68230.0</v>
      </c>
      <c r="C2170" s="38" t="s">
        <v>4016</v>
      </c>
      <c r="D2170" s="38" t="str">
        <f>IFERROR(__xludf.DUMMYFUNCTION("REGEXREPLACE(C2170,""-\d+(.*)|--\d+(.*)"","""")"),"NAMBSHEIM")</f>
        <v>NAMBSHEIM</v>
      </c>
      <c r="E2170" s="38" t="s">
        <v>150</v>
      </c>
      <c r="F2170" s="38" t="s">
        <v>151</v>
      </c>
      <c r="G2170" s="49" t="str">
        <f t="shared" si="1"/>
        <v>68740</v>
      </c>
      <c r="H2170" s="49">
        <f t="shared" si="2"/>
        <v>68230</v>
      </c>
    </row>
    <row r="2171">
      <c r="A2171" s="48" t="s">
        <v>328</v>
      </c>
      <c r="B2171" s="38">
        <v>2424.0</v>
      </c>
      <c r="C2171" s="38" t="s">
        <v>4017</v>
      </c>
      <c r="D2171" s="38" t="str">
        <f>IFERROR(__xludf.DUMMYFUNCTION("REGEXREPLACE(C2171,""-\d+(.*)|--\d+(.*)"","""")"),"LEURY")</f>
        <v>LEURY</v>
      </c>
      <c r="E2171" s="38" t="s">
        <v>191</v>
      </c>
      <c r="F2171" s="38" t="s">
        <v>113</v>
      </c>
      <c r="G2171" s="49" t="str">
        <f t="shared" si="1"/>
        <v>02880</v>
      </c>
      <c r="H2171" s="49" t="str">
        <f t="shared" si="2"/>
        <v>02424</v>
      </c>
    </row>
    <row r="2172">
      <c r="A2172" s="48" t="s">
        <v>4018</v>
      </c>
      <c r="B2172" s="38">
        <v>55382.0</v>
      </c>
      <c r="C2172" s="38" t="s">
        <v>4019</v>
      </c>
      <c r="D2172" s="38" t="str">
        <f>IFERROR(__xludf.DUMMYFUNCTION("REGEXREPLACE(C2172,""-\d+(.*)|--\d+(.*)"","""")"),"NEUVILLE-SUR-ORNAIN")</f>
        <v>NEUVILLE-SUR-ORNAIN</v>
      </c>
      <c r="E2172" s="38" t="s">
        <v>322</v>
      </c>
      <c r="F2172" s="38" t="s">
        <v>195</v>
      </c>
      <c r="G2172" s="49" t="str">
        <f t="shared" si="1"/>
        <v>55800</v>
      </c>
      <c r="H2172" s="49">
        <f t="shared" si="2"/>
        <v>55382</v>
      </c>
    </row>
    <row r="2173">
      <c r="A2173" s="48" t="s">
        <v>1027</v>
      </c>
      <c r="B2173" s="38">
        <v>1117.0</v>
      </c>
      <c r="C2173" s="38" t="s">
        <v>4020</v>
      </c>
      <c r="D2173" s="38" t="str">
        <f>IFERROR(__xludf.DUMMYFUNCTION("REGEXREPLACE(C2173,""-\d+(.*)|--\d+(.*)"","""")"),"CONZIEU")</f>
        <v>CONZIEU</v>
      </c>
      <c r="E2173" s="38" t="s">
        <v>255</v>
      </c>
      <c r="F2173" s="38" t="s">
        <v>102</v>
      </c>
      <c r="G2173" s="49" t="str">
        <f t="shared" si="1"/>
        <v>01300</v>
      </c>
      <c r="H2173" s="49" t="str">
        <f t="shared" si="2"/>
        <v>01117</v>
      </c>
    </row>
    <row r="2174">
      <c r="A2174" s="48" t="s">
        <v>3662</v>
      </c>
      <c r="B2174" s="38">
        <v>80662.0</v>
      </c>
      <c r="C2174" s="38" t="s">
        <v>4021</v>
      </c>
      <c r="D2174" s="38" t="str">
        <f>IFERROR(__xludf.DUMMYFUNCTION("REGEXREPLACE(C2174,""-\d+(.*)|--\d+(.*)"","""")"),"RAMBURELLES")</f>
        <v>RAMBURELLES</v>
      </c>
      <c r="E2174" s="38" t="s">
        <v>224</v>
      </c>
      <c r="F2174" s="38" t="s">
        <v>113</v>
      </c>
      <c r="G2174" s="49" t="str">
        <f t="shared" si="1"/>
        <v>80140</v>
      </c>
      <c r="H2174" s="49">
        <f t="shared" si="2"/>
        <v>80662</v>
      </c>
    </row>
    <row r="2175">
      <c r="A2175" s="48" t="s">
        <v>4022</v>
      </c>
      <c r="B2175" s="38">
        <v>62382.0</v>
      </c>
      <c r="C2175" s="38" t="s">
        <v>4023</v>
      </c>
      <c r="D2175" s="38" t="str">
        <f>IFERROR(__xludf.DUMMYFUNCTION("REGEXREPLACE(C2175,""-\d+(.*)|--\d+(.*)"","""")"),"GOUY-SAINT-ANDRE")</f>
        <v>GOUY-SAINT-ANDRE</v>
      </c>
      <c r="E2175" s="38" t="s">
        <v>109</v>
      </c>
      <c r="F2175" s="38" t="s">
        <v>86</v>
      </c>
      <c r="G2175" s="49" t="str">
        <f t="shared" si="1"/>
        <v>62870</v>
      </c>
      <c r="H2175" s="49">
        <f t="shared" si="2"/>
        <v>62382</v>
      </c>
    </row>
    <row r="2176">
      <c r="A2176" s="48" t="s">
        <v>4024</v>
      </c>
      <c r="B2176" s="38" t="s">
        <v>4025</v>
      </c>
      <c r="C2176" s="38" t="s">
        <v>4026</v>
      </c>
      <c r="D2176" s="38" t="str">
        <f>IFERROR(__xludf.DUMMYFUNCTION("REGEXREPLACE(C2176,""-\d+(.*)|--\d+(.*)"","""")"),"RUTALI")</f>
        <v>RUTALI</v>
      </c>
      <c r="E2176" s="38" t="s">
        <v>743</v>
      </c>
      <c r="F2176" s="38" t="s">
        <v>607</v>
      </c>
      <c r="G2176" s="49" t="str">
        <f t="shared" si="1"/>
        <v>20239</v>
      </c>
      <c r="H2176" s="49" t="str">
        <f t="shared" si="2"/>
        <v>2B265</v>
      </c>
    </row>
    <row r="2177">
      <c r="A2177" s="48" t="s">
        <v>2794</v>
      </c>
      <c r="B2177" s="38">
        <v>39535.0</v>
      </c>
      <c r="C2177" s="38" t="s">
        <v>4027</v>
      </c>
      <c r="D2177" s="38" t="str">
        <f>IFERROR(__xludf.DUMMYFUNCTION("REGEXREPLACE(C2177,""-\d+(.*)|--\d+(.*)"","""")"),"TOURMONT")</f>
        <v>TOURMONT</v>
      </c>
      <c r="E2177" s="38" t="s">
        <v>400</v>
      </c>
      <c r="F2177" s="38" t="s">
        <v>214</v>
      </c>
      <c r="G2177" s="49" t="str">
        <f t="shared" si="1"/>
        <v>39800</v>
      </c>
      <c r="H2177" s="49">
        <f t="shared" si="2"/>
        <v>39535</v>
      </c>
    </row>
    <row r="2178">
      <c r="A2178" s="48" t="s">
        <v>4028</v>
      </c>
      <c r="B2178" s="38">
        <v>76282.0</v>
      </c>
      <c r="C2178" s="38" t="s">
        <v>4029</v>
      </c>
      <c r="D2178" s="38" t="str">
        <f>IFERROR(__xludf.DUMMYFUNCTION("REGEXREPLACE(C2178,""-\d+(.*)|--\d+(.*)"","""")"),"FRENEUSE")</f>
        <v>FRENEUSE</v>
      </c>
      <c r="E2178" s="38" t="s">
        <v>133</v>
      </c>
      <c r="F2178" s="38" t="s">
        <v>134</v>
      </c>
      <c r="G2178" s="49" t="str">
        <f t="shared" si="1"/>
        <v>76410</v>
      </c>
      <c r="H2178" s="49">
        <f t="shared" si="2"/>
        <v>76282</v>
      </c>
    </row>
    <row r="2179">
      <c r="A2179" s="48" t="s">
        <v>4030</v>
      </c>
      <c r="B2179" s="38">
        <v>16293.0</v>
      </c>
      <c r="C2179" s="38" t="s">
        <v>4031</v>
      </c>
      <c r="D2179" s="38" t="str">
        <f>IFERROR(__xludf.DUMMYFUNCTION("REGEXREPLACE(C2179,""-\d+(.*)|--\d+(.*)"","""")"),"SAINT-ADJUTORY")</f>
        <v>SAINT-ADJUTORY</v>
      </c>
      <c r="E2179" s="38" t="s">
        <v>429</v>
      </c>
      <c r="F2179" s="38" t="s">
        <v>338</v>
      </c>
      <c r="G2179" s="49" t="str">
        <f t="shared" si="1"/>
        <v>16310</v>
      </c>
      <c r="H2179" s="49">
        <f t="shared" si="2"/>
        <v>16293</v>
      </c>
    </row>
    <row r="2180">
      <c r="A2180" s="48" t="s">
        <v>4032</v>
      </c>
      <c r="B2180" s="38">
        <v>17374.0</v>
      </c>
      <c r="C2180" s="38" t="s">
        <v>4033</v>
      </c>
      <c r="D2180" s="38" t="str">
        <f>IFERROR(__xludf.DUMMYFUNCTION("REGEXREPLACE(C2180,""-\d+(.*)|--\d+(.*)"","""")"),"SAINTE-MEME")</f>
        <v>SAINTE-MEME</v>
      </c>
      <c r="E2180" s="38" t="s">
        <v>488</v>
      </c>
      <c r="F2180" s="38" t="s">
        <v>338</v>
      </c>
      <c r="G2180" s="49" t="str">
        <f t="shared" si="1"/>
        <v>17770</v>
      </c>
      <c r="H2180" s="49">
        <f t="shared" si="2"/>
        <v>17374</v>
      </c>
    </row>
    <row r="2181">
      <c r="A2181" s="48" t="s">
        <v>1381</v>
      </c>
      <c r="B2181" s="38">
        <v>62798.0</v>
      </c>
      <c r="C2181" s="38" t="s">
        <v>4034</v>
      </c>
      <c r="D2181" s="38" t="str">
        <f>IFERROR(__xludf.DUMMYFUNCTION("REGEXREPLACE(C2181,""-\d+(.*)|--\d+(.*)"","""")"),"SOMBRIN")</f>
        <v>SOMBRIN</v>
      </c>
      <c r="E2181" s="38" t="s">
        <v>109</v>
      </c>
      <c r="F2181" s="38" t="s">
        <v>86</v>
      </c>
      <c r="G2181" s="49" t="str">
        <f t="shared" si="1"/>
        <v>62810</v>
      </c>
      <c r="H2181" s="49">
        <f t="shared" si="2"/>
        <v>62798</v>
      </c>
    </row>
    <row r="2182">
      <c r="A2182" s="48" t="s">
        <v>401</v>
      </c>
      <c r="B2182" s="38">
        <v>24412.0</v>
      </c>
      <c r="C2182" s="38" t="s">
        <v>4035</v>
      </c>
      <c r="D2182" s="38" t="str">
        <f>IFERROR(__xludf.DUMMYFUNCTION("REGEXREPLACE(C2182,""-\d+(.*)|--\d+(.*)"","""")"),"SAINT-GENIES")</f>
        <v>SAINT-GENIES</v>
      </c>
      <c r="E2182" s="38" t="s">
        <v>261</v>
      </c>
      <c r="F2182" s="38" t="s">
        <v>252</v>
      </c>
      <c r="G2182" s="49" t="str">
        <f t="shared" si="1"/>
        <v>24590</v>
      </c>
      <c r="H2182" s="49">
        <f t="shared" si="2"/>
        <v>24412</v>
      </c>
    </row>
    <row r="2183">
      <c r="A2183" s="48" t="s">
        <v>4036</v>
      </c>
      <c r="B2183" s="38">
        <v>49217.0</v>
      </c>
      <c r="C2183" s="38" t="s">
        <v>4037</v>
      </c>
      <c r="D2183" s="38" t="str">
        <f>IFERROR(__xludf.DUMMYFUNCTION("REGEXREPLACE(C2183,""-\d+(.*)|--\d+(.*)"","""")"),"MONTREUIL-SUR-MAINE")</f>
        <v>MONTREUIL-SUR-MAINE</v>
      </c>
      <c r="E2183" s="38" t="s">
        <v>653</v>
      </c>
      <c r="F2183" s="38" t="s">
        <v>180</v>
      </c>
      <c r="G2183" s="49" t="str">
        <f t="shared" si="1"/>
        <v>49220</v>
      </c>
      <c r="H2183" s="49">
        <f t="shared" si="2"/>
        <v>49217</v>
      </c>
    </row>
    <row r="2184">
      <c r="A2184" s="48" t="s">
        <v>3819</v>
      </c>
      <c r="B2184" s="38">
        <v>38036.0</v>
      </c>
      <c r="C2184" s="38" t="s">
        <v>4038</v>
      </c>
      <c r="D2184" s="38" t="str">
        <f>IFERROR(__xludf.DUMMYFUNCTION("REGEXREPLACE(C2184,""-\d+(.*)|--\d+(.*)"","""")"),"BEAUVOIR-EN-ROYANS")</f>
        <v>BEAUVOIR-EN-ROYANS</v>
      </c>
      <c r="E2184" s="38" t="s">
        <v>101</v>
      </c>
      <c r="F2184" s="38" t="s">
        <v>102</v>
      </c>
      <c r="G2184" s="49" t="str">
        <f t="shared" si="1"/>
        <v>38160</v>
      </c>
      <c r="H2184" s="49">
        <f t="shared" si="2"/>
        <v>38036</v>
      </c>
    </row>
    <row r="2185">
      <c r="A2185" s="48" t="s">
        <v>2955</v>
      </c>
      <c r="B2185" s="38">
        <v>76301.0</v>
      </c>
      <c r="C2185" s="38" t="s">
        <v>4039</v>
      </c>
      <c r="D2185" s="38" t="str">
        <f>IFERROR(__xludf.DUMMYFUNCTION("REGEXREPLACE(C2185,""-\d+(.*)|--\d+(.*)"","""")"),"GLICOURT")</f>
        <v>GLICOURT</v>
      </c>
      <c r="E2185" s="38" t="s">
        <v>133</v>
      </c>
      <c r="F2185" s="38" t="s">
        <v>134</v>
      </c>
      <c r="G2185" s="49" t="str">
        <f t="shared" si="1"/>
        <v>76630</v>
      </c>
      <c r="H2185" s="49">
        <f t="shared" si="2"/>
        <v>76301</v>
      </c>
    </row>
    <row r="2186">
      <c r="A2186" s="48" t="s">
        <v>4013</v>
      </c>
      <c r="B2186" s="38">
        <v>9042.0</v>
      </c>
      <c r="C2186" s="38" t="s">
        <v>4040</v>
      </c>
      <c r="D2186" s="38" t="str">
        <f>IFERROR(__xludf.DUMMYFUNCTION("REGEXREPLACE(C2186,""-\d+(.*)|--\d+(.*)"","""")"),"LA BASTIDE-DE-SEROU")</f>
        <v>LA BASTIDE-DE-SEROU</v>
      </c>
      <c r="E2186" s="38" t="s">
        <v>238</v>
      </c>
      <c r="F2186" s="38" t="s">
        <v>94</v>
      </c>
      <c r="G2186" s="49" t="str">
        <f t="shared" si="1"/>
        <v>09240</v>
      </c>
      <c r="H2186" s="49" t="str">
        <f t="shared" si="2"/>
        <v>09042</v>
      </c>
    </row>
    <row r="2187">
      <c r="A2187" s="48" t="s">
        <v>4041</v>
      </c>
      <c r="B2187" s="38">
        <v>13027.0</v>
      </c>
      <c r="C2187" s="38" t="s">
        <v>4042</v>
      </c>
      <c r="D2187" s="38" t="str">
        <f>IFERROR(__xludf.DUMMYFUNCTION("REGEXREPLACE(C2187,""-\d+(.*)|--\d+(.*)"","""")"),"CHATEAURENARD")</f>
        <v>CHATEAURENARD</v>
      </c>
      <c r="E2187" s="38" t="s">
        <v>980</v>
      </c>
      <c r="F2187" s="38" t="s">
        <v>228</v>
      </c>
      <c r="G2187" s="49" t="str">
        <f t="shared" si="1"/>
        <v>13160</v>
      </c>
      <c r="H2187" s="49">
        <f t="shared" si="2"/>
        <v>13027</v>
      </c>
    </row>
    <row r="2188">
      <c r="A2188" s="48" t="s">
        <v>3992</v>
      </c>
      <c r="B2188" s="38">
        <v>46003.0</v>
      </c>
      <c r="C2188" s="38" t="s">
        <v>4043</v>
      </c>
      <c r="D2188" s="38" t="str">
        <f>IFERROR(__xludf.DUMMYFUNCTION("REGEXREPLACE(C2188,""-\d+(.*)|--\d+(.*)"","""")"),"ALVIGNAC")</f>
        <v>ALVIGNAC</v>
      </c>
      <c r="E2188" s="38" t="s">
        <v>185</v>
      </c>
      <c r="F2188" s="38" t="s">
        <v>94</v>
      </c>
      <c r="G2188" s="49" t="str">
        <f t="shared" si="1"/>
        <v>46500</v>
      </c>
      <c r="H2188" s="49">
        <f t="shared" si="2"/>
        <v>46003</v>
      </c>
    </row>
    <row r="2189">
      <c r="A2189" s="48" t="s">
        <v>4044</v>
      </c>
      <c r="B2189" s="38">
        <v>52479.0</v>
      </c>
      <c r="C2189" s="38" t="s">
        <v>4045</v>
      </c>
      <c r="D2189" s="38" t="str">
        <f>IFERROR(__xludf.DUMMYFUNCTION("REGEXREPLACE(C2189,""-\d+(.*)|--\d+(.*)"","""")"),"SOMMEVOIRE")</f>
        <v>SOMMEVOIRE</v>
      </c>
      <c r="E2189" s="38" t="s">
        <v>234</v>
      </c>
      <c r="F2189" s="38" t="s">
        <v>130</v>
      </c>
      <c r="G2189" s="49" t="str">
        <f t="shared" si="1"/>
        <v>52220</v>
      </c>
      <c r="H2189" s="49">
        <f t="shared" si="2"/>
        <v>52479</v>
      </c>
    </row>
    <row r="2190">
      <c r="A2190" s="48" t="s">
        <v>1611</v>
      </c>
      <c r="B2190" s="38">
        <v>51476.0</v>
      </c>
      <c r="C2190" s="38" t="s">
        <v>4046</v>
      </c>
      <c r="D2190" s="38" t="str">
        <f>IFERROR(__xludf.DUMMYFUNCTION("REGEXREPLACE(C2190,""-\d+(.*)|--\d+(.*)"","""")"),"SAINT-ETIENNE-AU-TEMPLE")</f>
        <v>SAINT-ETIENNE-AU-TEMPLE</v>
      </c>
      <c r="E2190" s="38" t="s">
        <v>129</v>
      </c>
      <c r="F2190" s="38" t="s">
        <v>130</v>
      </c>
      <c r="G2190" s="49" t="str">
        <f t="shared" si="1"/>
        <v>51460</v>
      </c>
      <c r="H2190" s="49">
        <f t="shared" si="2"/>
        <v>51476</v>
      </c>
    </row>
    <row r="2191">
      <c r="A2191" s="48" t="s">
        <v>4011</v>
      </c>
      <c r="B2191" s="38">
        <v>80211.0</v>
      </c>
      <c r="C2191" s="38" t="s">
        <v>4047</v>
      </c>
      <c r="D2191" s="38" t="str">
        <f>IFERROR(__xludf.DUMMYFUNCTION("REGEXREPLACE(C2191,""-\d+(.*)|--\d+(.*)"","""")"),"CONTY")</f>
        <v>CONTY</v>
      </c>
      <c r="E2191" s="38" t="s">
        <v>224</v>
      </c>
      <c r="F2191" s="38" t="s">
        <v>113</v>
      </c>
      <c r="G2191" s="49" t="str">
        <f t="shared" si="1"/>
        <v>80160</v>
      </c>
      <c r="H2191" s="49">
        <f t="shared" si="2"/>
        <v>80211</v>
      </c>
    </row>
    <row r="2192">
      <c r="A2192" s="48" t="s">
        <v>425</v>
      </c>
      <c r="B2192" s="38">
        <v>88502.0</v>
      </c>
      <c r="C2192" s="38" t="s">
        <v>4048</v>
      </c>
      <c r="D2192" s="38" t="str">
        <f>IFERROR(__xludf.DUMMYFUNCTION("REGEXREPLACE(C2192,""-\d+(.*)|--\d+(.*)"","""")"),"VERVEZELLE")</f>
        <v>VERVEZELLE</v>
      </c>
      <c r="E2192" s="38" t="s">
        <v>194</v>
      </c>
      <c r="F2192" s="38" t="s">
        <v>195</v>
      </c>
      <c r="G2192" s="49" t="str">
        <f t="shared" si="1"/>
        <v>88600</v>
      </c>
      <c r="H2192" s="49">
        <f t="shared" si="2"/>
        <v>88502</v>
      </c>
    </row>
    <row r="2193">
      <c r="A2193" s="48" t="s">
        <v>2628</v>
      </c>
      <c r="B2193" s="38">
        <v>19105.0</v>
      </c>
      <c r="C2193" s="38" t="s">
        <v>4049</v>
      </c>
      <c r="D2193" s="38" t="str">
        <f>IFERROR(__xludf.DUMMYFUNCTION("REGEXREPLACE(C2193,""-\d+(.*)|--\d+(.*)"","""")"),"LANTEUIL")</f>
        <v>LANTEUIL</v>
      </c>
      <c r="E2193" s="38" t="s">
        <v>271</v>
      </c>
      <c r="F2193" s="38" t="s">
        <v>98</v>
      </c>
      <c r="G2193" s="49" t="str">
        <f t="shared" si="1"/>
        <v>19190</v>
      </c>
      <c r="H2193" s="49">
        <f t="shared" si="2"/>
        <v>19105</v>
      </c>
    </row>
    <row r="2194">
      <c r="A2194" s="48" t="s">
        <v>4050</v>
      </c>
      <c r="B2194" s="38">
        <v>31572.0</v>
      </c>
      <c r="C2194" s="38" t="s">
        <v>4051</v>
      </c>
      <c r="D2194" s="38" t="str">
        <f>IFERROR(__xludf.DUMMYFUNCTION("REGEXREPLACE(C2194,""-\d+(.*)|--\d+(.*)"","""")"),"VENERQUE")</f>
        <v>VENERQUE</v>
      </c>
      <c r="E2194" s="38" t="s">
        <v>93</v>
      </c>
      <c r="F2194" s="38" t="s">
        <v>94</v>
      </c>
      <c r="G2194" s="49" t="str">
        <f t="shared" si="1"/>
        <v>31810</v>
      </c>
      <c r="H2194" s="49">
        <f t="shared" si="2"/>
        <v>31572</v>
      </c>
    </row>
    <row r="2195">
      <c r="A2195" s="48" t="s">
        <v>3452</v>
      </c>
      <c r="B2195" s="38">
        <v>36005.0</v>
      </c>
      <c r="C2195" s="38" t="s">
        <v>4052</v>
      </c>
      <c r="D2195" s="38" t="str">
        <f>IFERROR(__xludf.DUMMYFUNCTION("REGEXREPLACE(C2195,""-\d+(.*)|--\d+(.*)"","""")"),"ARDENTES")</f>
        <v>ARDENTES</v>
      </c>
      <c r="E2195" s="38" t="s">
        <v>258</v>
      </c>
      <c r="F2195" s="38" t="s">
        <v>123</v>
      </c>
      <c r="G2195" s="49" t="str">
        <f t="shared" si="1"/>
        <v>36120</v>
      </c>
      <c r="H2195" s="49">
        <f t="shared" si="2"/>
        <v>36005</v>
      </c>
    </row>
    <row r="2196">
      <c r="A2196" s="48" t="s">
        <v>480</v>
      </c>
      <c r="B2196" s="38">
        <v>3014.0</v>
      </c>
      <c r="C2196" s="38" t="s">
        <v>4053</v>
      </c>
      <c r="D2196" s="38" t="str">
        <f>IFERROR(__xludf.DUMMYFUNCTION("REGEXREPLACE(C2196,""-\d+(.*)|--\d+(.*)"","""")"),"AVRILLY")</f>
        <v>AVRILLY</v>
      </c>
      <c r="E2196" s="38" t="s">
        <v>160</v>
      </c>
      <c r="F2196" s="38" t="s">
        <v>161</v>
      </c>
      <c r="G2196" s="49" t="str">
        <f t="shared" si="1"/>
        <v>03130</v>
      </c>
      <c r="H2196" s="49" t="str">
        <f t="shared" si="2"/>
        <v>03014</v>
      </c>
    </row>
    <row r="2197">
      <c r="A2197" s="48" t="s">
        <v>4054</v>
      </c>
      <c r="B2197" s="38">
        <v>88275.0</v>
      </c>
      <c r="C2197" s="38" t="s">
        <v>4055</v>
      </c>
      <c r="D2197" s="38" t="str">
        <f>IFERROR(__xludf.DUMMYFUNCTION("REGEXREPLACE(C2197,""-\d+(.*)|--\d+(.*)"","""")"),"LUBINE")</f>
        <v>LUBINE</v>
      </c>
      <c r="E2197" s="38" t="s">
        <v>194</v>
      </c>
      <c r="F2197" s="38" t="s">
        <v>195</v>
      </c>
      <c r="G2197" s="49" t="str">
        <f t="shared" si="1"/>
        <v>88490</v>
      </c>
      <c r="H2197" s="49">
        <f t="shared" si="2"/>
        <v>88275</v>
      </c>
    </row>
    <row r="2198">
      <c r="A2198" s="48" t="s">
        <v>4056</v>
      </c>
      <c r="B2198" s="38">
        <v>16214.0</v>
      </c>
      <c r="C2198" s="38" t="s">
        <v>4057</v>
      </c>
      <c r="D2198" s="38" t="str">
        <f>IFERROR(__xludf.DUMMYFUNCTION("REGEXREPLACE(C2198,""-\d+(.*)|--\d+(.*)"","""")"),"MAZIERES")</f>
        <v>MAZIERES</v>
      </c>
      <c r="E2198" s="38" t="s">
        <v>429</v>
      </c>
      <c r="F2198" s="38" t="s">
        <v>338</v>
      </c>
      <c r="G2198" s="49" t="str">
        <f t="shared" si="1"/>
        <v>16270</v>
      </c>
      <c r="H2198" s="49">
        <f t="shared" si="2"/>
        <v>16214</v>
      </c>
    </row>
    <row r="2199">
      <c r="A2199" s="48" t="s">
        <v>320</v>
      </c>
      <c r="B2199" s="38">
        <v>55517.0</v>
      </c>
      <c r="C2199" s="38" t="s">
        <v>4058</v>
      </c>
      <c r="D2199" s="38" t="str">
        <f>IFERROR(__xludf.DUMMYFUNCTION("REGEXREPLACE(C2199,""-\d+(.*)|--\d+(.*)"","""")"),"SEUIL-D'ARGONNE")</f>
        <v>SEUIL-D'ARGONNE</v>
      </c>
      <c r="E2199" s="38" t="s">
        <v>322</v>
      </c>
      <c r="F2199" s="38" t="s">
        <v>195</v>
      </c>
      <c r="G2199" s="49" t="str">
        <f t="shared" si="1"/>
        <v>55250</v>
      </c>
      <c r="H2199" s="49">
        <f t="shared" si="2"/>
        <v>55517</v>
      </c>
    </row>
    <row r="2200">
      <c r="A2200" s="48" t="s">
        <v>2176</v>
      </c>
      <c r="B2200" s="38">
        <v>62813.0</v>
      </c>
      <c r="C2200" s="38" t="s">
        <v>4059</v>
      </c>
      <c r="D2200" s="38" t="str">
        <f>IFERROR(__xludf.DUMMYFUNCTION("REGEXREPLACE(C2200,""-\d+(.*)|--\d+(.*)"","""")"),"LA THIEULOYE")</f>
        <v>LA THIEULOYE</v>
      </c>
      <c r="E2200" s="38" t="s">
        <v>109</v>
      </c>
      <c r="F2200" s="38" t="s">
        <v>86</v>
      </c>
      <c r="G2200" s="49" t="str">
        <f t="shared" si="1"/>
        <v>62130</v>
      </c>
      <c r="H2200" s="49">
        <f t="shared" si="2"/>
        <v>62813</v>
      </c>
    </row>
    <row r="2201">
      <c r="A2201" s="48" t="s">
        <v>3508</v>
      </c>
      <c r="B2201" s="38">
        <v>51154.0</v>
      </c>
      <c r="C2201" s="38" t="s">
        <v>4060</v>
      </c>
      <c r="D2201" s="38" t="str">
        <f>IFERROR(__xludf.DUMMYFUNCTION("REGEXREPLACE(C2201,""-\d+(.*)|--\d+(.*)"","""")"),"CLAMANGES")</f>
        <v>CLAMANGES</v>
      </c>
      <c r="E2201" s="38" t="s">
        <v>129</v>
      </c>
      <c r="F2201" s="38" t="s">
        <v>130</v>
      </c>
      <c r="G2201" s="49" t="str">
        <f t="shared" si="1"/>
        <v>51130</v>
      </c>
      <c r="H2201" s="49">
        <f t="shared" si="2"/>
        <v>51154</v>
      </c>
    </row>
    <row r="2202">
      <c r="A2202" s="48" t="s">
        <v>522</v>
      </c>
      <c r="B2202" s="38">
        <v>39356.0</v>
      </c>
      <c r="C2202" s="38" t="s">
        <v>4061</v>
      </c>
      <c r="D2202" s="38" t="str">
        <f>IFERROR(__xludf.DUMMYFUNCTION("REGEXREPLACE(C2202,""-\d+(.*)|--\d+(.*)"","""")"),"MONTIGNY-SUR-L'AIN")</f>
        <v>MONTIGNY-SUR-L'AIN</v>
      </c>
      <c r="E2202" s="38" t="s">
        <v>400</v>
      </c>
      <c r="F2202" s="38" t="s">
        <v>214</v>
      </c>
      <c r="G2202" s="49" t="str">
        <f t="shared" si="1"/>
        <v>39300</v>
      </c>
      <c r="H2202" s="49">
        <f t="shared" si="2"/>
        <v>39356</v>
      </c>
    </row>
    <row r="2203">
      <c r="A2203" s="48" t="s">
        <v>4062</v>
      </c>
      <c r="B2203" s="38">
        <v>50265.0</v>
      </c>
      <c r="C2203" s="38" t="s">
        <v>4063</v>
      </c>
      <c r="D2203" s="38" t="str">
        <f>IFERROR(__xludf.DUMMYFUNCTION("REGEXREPLACE(C2203,""-\d+(.*)|--\d+(.*)"","""")"),"LAULNE")</f>
        <v>LAULNE</v>
      </c>
      <c r="E2203" s="38" t="s">
        <v>157</v>
      </c>
      <c r="F2203" s="38" t="s">
        <v>138</v>
      </c>
      <c r="G2203" s="49" t="str">
        <f t="shared" si="1"/>
        <v>50430</v>
      </c>
      <c r="H2203" s="49">
        <f t="shared" si="2"/>
        <v>50265</v>
      </c>
    </row>
    <row r="2204">
      <c r="A2204" s="48" t="s">
        <v>1020</v>
      </c>
      <c r="B2204" s="38">
        <v>1296.0</v>
      </c>
      <c r="C2204" s="38" t="s">
        <v>4064</v>
      </c>
      <c r="D2204" s="38" t="str">
        <f>IFERROR(__xludf.DUMMYFUNCTION("REGEXREPLACE(C2204,""-\d+(.*)|--\d+(.*)"","""")"),"PIRAJOUX")</f>
        <v>PIRAJOUX</v>
      </c>
      <c r="E2204" s="38" t="s">
        <v>255</v>
      </c>
      <c r="F2204" s="38" t="s">
        <v>102</v>
      </c>
      <c r="G2204" s="49" t="str">
        <f t="shared" si="1"/>
        <v>01270</v>
      </c>
      <c r="H2204" s="49" t="str">
        <f t="shared" si="2"/>
        <v>01296</v>
      </c>
    </row>
    <row r="2205">
      <c r="A2205" s="48" t="s">
        <v>4065</v>
      </c>
      <c r="B2205" s="38">
        <v>21707.0</v>
      </c>
      <c r="C2205" s="38" t="s">
        <v>4066</v>
      </c>
      <c r="D2205" s="38" t="str">
        <f>IFERROR(__xludf.DUMMYFUNCTION("REGEXREPLACE(C2205,""-\d+(.*)|--\d+(.*)"","""")"),"VILLY-EN-AUXOIS")</f>
        <v>VILLY-EN-AUXOIS</v>
      </c>
      <c r="E2205" s="38" t="s">
        <v>105</v>
      </c>
      <c r="F2205" s="38" t="s">
        <v>106</v>
      </c>
      <c r="G2205" s="49" t="str">
        <f t="shared" si="1"/>
        <v>21350</v>
      </c>
      <c r="H2205" s="49">
        <f t="shared" si="2"/>
        <v>21707</v>
      </c>
    </row>
    <row r="2206">
      <c r="A2206" s="48" t="s">
        <v>964</v>
      </c>
      <c r="B2206" s="38">
        <v>71089.0</v>
      </c>
      <c r="C2206" s="38" t="s">
        <v>4067</v>
      </c>
      <c r="D2206" s="38" t="str">
        <f>IFERROR(__xludf.DUMMYFUNCTION("REGEXREPLACE(C2206,""-\d+(.*)|--\d+(.*)"","""")"),"LA CHAPELLE-DE-BRAGNY")</f>
        <v>LA CHAPELLE-DE-BRAGNY</v>
      </c>
      <c r="E2206" s="38" t="s">
        <v>344</v>
      </c>
      <c r="F2206" s="38" t="s">
        <v>106</v>
      </c>
      <c r="G2206" s="49" t="str">
        <f t="shared" si="1"/>
        <v>71240</v>
      </c>
      <c r="H2206" s="49">
        <f t="shared" si="2"/>
        <v>71089</v>
      </c>
    </row>
    <row r="2207">
      <c r="A2207" s="48" t="s">
        <v>3418</v>
      </c>
      <c r="B2207" s="38">
        <v>47059.0</v>
      </c>
      <c r="C2207" s="38" t="s">
        <v>4068</v>
      </c>
      <c r="D2207" s="38" t="str">
        <f>IFERROR(__xludf.DUMMYFUNCTION("REGEXREPLACE(C2207,""-\d+(.*)|--\d+(.*)"","""")"),"CAUBON-SAINT-SAUVEUR")</f>
        <v>CAUBON-SAINT-SAUVEUR</v>
      </c>
      <c r="E2207" s="38" t="s">
        <v>251</v>
      </c>
      <c r="F2207" s="38" t="s">
        <v>252</v>
      </c>
      <c r="G2207" s="49" t="str">
        <f t="shared" si="1"/>
        <v>47120</v>
      </c>
      <c r="H2207" s="49">
        <f t="shared" si="2"/>
        <v>47059</v>
      </c>
    </row>
    <row r="2208">
      <c r="A2208" s="48" t="s">
        <v>1980</v>
      </c>
      <c r="B2208" s="38">
        <v>45046.0</v>
      </c>
      <c r="C2208" s="38" t="s">
        <v>4069</v>
      </c>
      <c r="D2208" s="38" t="str">
        <f>IFERROR(__xludf.DUMMYFUNCTION("REGEXREPLACE(C2208,""-\d+(.*)|--\d+(.*)"","""")"),"BOULAY-LES-BARRES")</f>
        <v>BOULAY-LES-BARRES</v>
      </c>
      <c r="E2208" s="38" t="s">
        <v>122</v>
      </c>
      <c r="F2208" s="38" t="s">
        <v>123</v>
      </c>
      <c r="G2208" s="49" t="str">
        <f t="shared" si="1"/>
        <v>45140</v>
      </c>
      <c r="H2208" s="49">
        <f t="shared" si="2"/>
        <v>45046</v>
      </c>
    </row>
    <row r="2209">
      <c r="A2209" s="48" t="s">
        <v>2993</v>
      </c>
      <c r="B2209" s="38">
        <v>66211.0</v>
      </c>
      <c r="C2209" s="38" t="s">
        <v>4070</v>
      </c>
      <c r="D2209" s="38" t="str">
        <f>IFERROR(__xludf.DUMMYFUNCTION("REGEXREPLACE(C2209,""-\d+(.*)|--\d+(.*)"","""")"),"TORDERES")</f>
        <v>TORDERES</v>
      </c>
      <c r="E2209" s="38" t="s">
        <v>248</v>
      </c>
      <c r="F2209" s="38" t="s">
        <v>119</v>
      </c>
      <c r="G2209" s="49" t="str">
        <f t="shared" si="1"/>
        <v>66300</v>
      </c>
      <c r="H2209" s="49">
        <f t="shared" si="2"/>
        <v>66211</v>
      </c>
    </row>
    <row r="2210">
      <c r="A2210" s="48" t="s">
        <v>4071</v>
      </c>
      <c r="B2210" s="38">
        <v>66127.0</v>
      </c>
      <c r="C2210" s="38" t="s">
        <v>4072</v>
      </c>
      <c r="D2210" s="38" t="str">
        <f>IFERROR(__xludf.DUMMYFUNCTION("REGEXREPLACE(C2210,""-\d+(.*)|--\d+(.*)"","""")"),"OPOUL-PERILLOS")</f>
        <v>OPOUL-PERILLOS</v>
      </c>
      <c r="E2210" s="38" t="s">
        <v>248</v>
      </c>
      <c r="F2210" s="38" t="s">
        <v>119</v>
      </c>
      <c r="G2210" s="49" t="str">
        <f t="shared" si="1"/>
        <v>66600</v>
      </c>
      <c r="H2210" s="49">
        <f t="shared" si="2"/>
        <v>66127</v>
      </c>
    </row>
    <row r="2211">
      <c r="A2211" s="48" t="s">
        <v>4073</v>
      </c>
      <c r="B2211" s="38">
        <v>11367.0</v>
      </c>
      <c r="C2211" s="38" t="s">
        <v>4074</v>
      </c>
      <c r="D2211" s="38" t="str">
        <f>IFERROR(__xludf.DUMMYFUNCTION("REGEXREPLACE(C2211,""-\d+(.*)|--\d+(.*)"","""")"),"SAISSAC")</f>
        <v>SAISSAC</v>
      </c>
      <c r="E2211" s="38" t="s">
        <v>278</v>
      </c>
      <c r="F2211" s="38" t="s">
        <v>119</v>
      </c>
      <c r="G2211" s="49" t="str">
        <f t="shared" si="1"/>
        <v>11310</v>
      </c>
      <c r="H2211" s="49">
        <f t="shared" si="2"/>
        <v>11367</v>
      </c>
    </row>
    <row r="2212">
      <c r="A2212" s="48" t="s">
        <v>4075</v>
      </c>
      <c r="B2212" s="38">
        <v>59027.0</v>
      </c>
      <c r="C2212" s="38" t="s">
        <v>4076</v>
      </c>
      <c r="D2212" s="38" t="str">
        <f>IFERROR(__xludf.DUMMYFUNCTION("REGEXREPLACE(C2212,""-\d+(.*)|--\d+(.*)"","""")"),"AUBRY-DU-HAINAUT")</f>
        <v>AUBRY-DU-HAINAUT</v>
      </c>
      <c r="E2212" s="38" t="s">
        <v>85</v>
      </c>
      <c r="F2212" s="38" t="s">
        <v>86</v>
      </c>
      <c r="G2212" s="49" t="str">
        <f t="shared" si="1"/>
        <v>59494</v>
      </c>
      <c r="H2212" s="49">
        <f t="shared" si="2"/>
        <v>59027</v>
      </c>
    </row>
    <row r="2213">
      <c r="A2213" s="48" t="s">
        <v>4077</v>
      </c>
      <c r="B2213" s="38">
        <v>90091.0</v>
      </c>
      <c r="C2213" s="38" t="s">
        <v>4078</v>
      </c>
      <c r="D2213" s="38" t="str">
        <f>IFERROR(__xludf.DUMMYFUNCTION("REGEXREPLACE(C2213,""-\d+(.*)|--\d+(.*)"","""")"),"SAINT-GERMAIN-LE-CHATELET")</f>
        <v>SAINT-GERMAIN-LE-CHATELET</v>
      </c>
      <c r="E2213" s="38" t="s">
        <v>1283</v>
      </c>
      <c r="F2213" s="38" t="s">
        <v>214</v>
      </c>
      <c r="G2213" s="49" t="str">
        <f t="shared" si="1"/>
        <v>90110</v>
      </c>
      <c r="H2213" s="49">
        <f t="shared" si="2"/>
        <v>90091</v>
      </c>
    </row>
    <row r="2214">
      <c r="A2214" s="48" t="s">
        <v>4079</v>
      </c>
      <c r="B2214" s="38">
        <v>1155.0</v>
      </c>
      <c r="C2214" s="38" t="s">
        <v>4080</v>
      </c>
      <c r="D2214" s="38" t="str">
        <f>IFERROR(__xludf.DUMMYFUNCTION("REGEXREPLACE(C2214,""-\d+(.*)|--\d+(.*)"","""")"),"EVOSGES")</f>
        <v>EVOSGES</v>
      </c>
      <c r="E2214" s="38" t="s">
        <v>255</v>
      </c>
      <c r="F2214" s="38" t="s">
        <v>102</v>
      </c>
      <c r="G2214" s="49" t="str">
        <f t="shared" si="1"/>
        <v>01230</v>
      </c>
      <c r="H2214" s="49" t="str">
        <f t="shared" si="2"/>
        <v>01155</v>
      </c>
    </row>
    <row r="2215">
      <c r="A2215" s="48" t="s">
        <v>2130</v>
      </c>
      <c r="B2215" s="38">
        <v>62017.0</v>
      </c>
      <c r="C2215" s="38" t="s">
        <v>4081</v>
      </c>
      <c r="D2215" s="38" t="str">
        <f>IFERROR(__xludf.DUMMYFUNCTION("REGEXREPLACE(C2215,""-\d+(.*)|--\d+(.*)"","""")"),"AIX-EN-ERGNY")</f>
        <v>AIX-EN-ERGNY</v>
      </c>
      <c r="E2215" s="38" t="s">
        <v>109</v>
      </c>
      <c r="F2215" s="38" t="s">
        <v>86</v>
      </c>
      <c r="G2215" s="49" t="str">
        <f t="shared" si="1"/>
        <v>62650</v>
      </c>
      <c r="H2215" s="49">
        <f t="shared" si="2"/>
        <v>62017</v>
      </c>
    </row>
    <row r="2216">
      <c r="A2216" s="48" t="s">
        <v>4082</v>
      </c>
      <c r="B2216" s="38">
        <v>95584.0</v>
      </c>
      <c r="C2216" s="38" t="s">
        <v>4083</v>
      </c>
      <c r="D2216" s="38" t="str">
        <f>IFERROR(__xludf.DUMMYFUNCTION("REGEXREPLACE(C2216,""-\d+(.*)|--\d+(.*)"","""")"),"SANTEUIL")</f>
        <v>SANTEUIL</v>
      </c>
      <c r="E2216" s="38" t="s">
        <v>541</v>
      </c>
      <c r="F2216" s="38" t="s">
        <v>245</v>
      </c>
      <c r="G2216" s="49" t="str">
        <f t="shared" si="1"/>
        <v>95640</v>
      </c>
      <c r="H2216" s="49">
        <f t="shared" si="2"/>
        <v>95584</v>
      </c>
    </row>
    <row r="2217">
      <c r="A2217" s="48" t="s">
        <v>4084</v>
      </c>
      <c r="B2217" s="38">
        <v>54274.0</v>
      </c>
      <c r="C2217" s="38" t="s">
        <v>4085</v>
      </c>
      <c r="D2217" s="38" t="str">
        <f>IFERROR(__xludf.DUMMYFUNCTION("REGEXREPLACE(C2217,""-\d+(.*)|--\d+(.*)"","""")"),"JARVILLE-LA-MALGRANGE")</f>
        <v>JARVILLE-LA-MALGRANGE</v>
      </c>
      <c r="E2217" s="38" t="s">
        <v>548</v>
      </c>
      <c r="F2217" s="38" t="s">
        <v>195</v>
      </c>
      <c r="G2217" s="49" t="str">
        <f t="shared" si="1"/>
        <v>54140</v>
      </c>
      <c r="H2217" s="49">
        <f t="shared" si="2"/>
        <v>54274</v>
      </c>
    </row>
    <row r="2218">
      <c r="A2218" s="48" t="s">
        <v>4086</v>
      </c>
      <c r="B2218" s="38">
        <v>79280.0</v>
      </c>
      <c r="C2218" s="38" t="s">
        <v>4087</v>
      </c>
      <c r="D2218" s="38" t="str">
        <f>IFERROR(__xludf.DUMMYFUNCTION("REGEXREPLACE(C2218,""-\d+(.*)|--\d+(.*)"","""")"),"SAINT-MAURICE-LA-FOUGEREUSE")</f>
        <v>SAINT-MAURICE-LA-FOUGEREUSE</v>
      </c>
      <c r="E2218" s="38" t="s">
        <v>337</v>
      </c>
      <c r="F2218" s="38" t="s">
        <v>338</v>
      </c>
      <c r="G2218" s="49" t="str">
        <f t="shared" si="1"/>
        <v>79150</v>
      </c>
      <c r="H2218" s="49">
        <f t="shared" si="2"/>
        <v>79280</v>
      </c>
    </row>
    <row r="2219">
      <c r="A2219" s="48" t="s">
        <v>4088</v>
      </c>
      <c r="B2219" s="38">
        <v>39239.0</v>
      </c>
      <c r="C2219" s="38" t="s">
        <v>4089</v>
      </c>
      <c r="D2219" s="38" t="str">
        <f>IFERROR(__xludf.DUMMYFUNCTION("REGEXREPLACE(C2219,""-\d+(.*)|--\d+(.*)"","""")"),"LA FRASNEE")</f>
        <v>LA FRASNEE</v>
      </c>
      <c r="E2219" s="38" t="s">
        <v>400</v>
      </c>
      <c r="F2219" s="38" t="s">
        <v>214</v>
      </c>
      <c r="G2219" s="49" t="str">
        <f t="shared" si="1"/>
        <v>39130</v>
      </c>
      <c r="H2219" s="49">
        <f t="shared" si="2"/>
        <v>39239</v>
      </c>
    </row>
    <row r="2220">
      <c r="A2220" s="48" t="s">
        <v>4090</v>
      </c>
      <c r="B2220" s="38">
        <v>48172.0</v>
      </c>
      <c r="C2220" s="38" t="s">
        <v>4091</v>
      </c>
      <c r="D2220" s="38" t="str">
        <f>IFERROR(__xludf.DUMMYFUNCTION("REGEXREPLACE(C2220,""-\d+(.*)|--\d+(.*)"","""")"),"SAINT-MAURICE-DE-VENTALON")</f>
        <v>SAINT-MAURICE-DE-VENTALON</v>
      </c>
      <c r="E2220" s="38" t="s">
        <v>154</v>
      </c>
      <c r="F2220" s="38" t="s">
        <v>119</v>
      </c>
      <c r="G2220" s="49" t="str">
        <f t="shared" si="1"/>
        <v>48220</v>
      </c>
      <c r="H2220" s="49">
        <f t="shared" si="2"/>
        <v>48172</v>
      </c>
    </row>
    <row r="2221">
      <c r="A2221" s="48" t="s">
        <v>4092</v>
      </c>
      <c r="B2221" s="38">
        <v>17275.0</v>
      </c>
      <c r="C2221" s="38" t="s">
        <v>4093</v>
      </c>
      <c r="D2221" s="38" t="str">
        <f>IFERROR(__xludf.DUMMYFUNCTION("REGEXREPLACE(C2221,""-\d+(.*)|--\d+(.*)"","""")"),"PESSINES")</f>
        <v>PESSINES</v>
      </c>
      <c r="E2221" s="38" t="s">
        <v>488</v>
      </c>
      <c r="F2221" s="38" t="s">
        <v>338</v>
      </c>
      <c r="G2221" s="49" t="str">
        <f t="shared" si="1"/>
        <v>17810</v>
      </c>
      <c r="H2221" s="49">
        <f t="shared" si="2"/>
        <v>17275</v>
      </c>
    </row>
    <row r="2222">
      <c r="A2222" s="48" t="s">
        <v>3800</v>
      </c>
      <c r="B2222" s="38">
        <v>35311.0</v>
      </c>
      <c r="C2222" s="38" t="s">
        <v>4094</v>
      </c>
      <c r="D2222" s="38" t="str">
        <f>IFERROR(__xludf.DUMMYFUNCTION("REGEXREPLACE(C2222,""-\d+(.*)|--\d+(.*)"","""")"),"SAINT-SEGLIN")</f>
        <v>SAINT-SEGLIN</v>
      </c>
      <c r="E2222" s="38" t="s">
        <v>347</v>
      </c>
      <c r="F2222" s="38" t="s">
        <v>90</v>
      </c>
      <c r="G2222" s="49" t="str">
        <f t="shared" si="1"/>
        <v>35330</v>
      </c>
      <c r="H2222" s="49">
        <f t="shared" si="2"/>
        <v>35311</v>
      </c>
    </row>
    <row r="2223">
      <c r="A2223" s="48" t="s">
        <v>4095</v>
      </c>
      <c r="B2223" s="38">
        <v>23194.0</v>
      </c>
      <c r="C2223" s="38" t="s">
        <v>4096</v>
      </c>
      <c r="D2223" s="38" t="str">
        <f>IFERROR(__xludf.DUMMYFUNCTION("REGEXREPLACE(C2223,""-\d+(.*)|--\d+(.*)"","""")"),"SAINTE-FEYRE-LA-MONTAGNE")</f>
        <v>SAINTE-FEYRE-LA-MONTAGNE</v>
      </c>
      <c r="E2223" s="38" t="s">
        <v>97</v>
      </c>
      <c r="F2223" s="38" t="s">
        <v>98</v>
      </c>
      <c r="G2223" s="49" t="str">
        <f t="shared" si="1"/>
        <v>23500</v>
      </c>
      <c r="H2223" s="49">
        <f t="shared" si="2"/>
        <v>23194</v>
      </c>
    </row>
    <row r="2224">
      <c r="A2224" s="48" t="s">
        <v>4097</v>
      </c>
      <c r="B2224" s="38">
        <v>50391.0</v>
      </c>
      <c r="C2224" s="38" t="s">
        <v>4098</v>
      </c>
      <c r="D2224" s="38" t="str">
        <f>IFERROR(__xludf.DUMMYFUNCTION("REGEXREPLACE(C2224,""-\d+(.*)|--\d+(.*)"","""")"),"PARIGNY")</f>
        <v>PARIGNY</v>
      </c>
      <c r="E2224" s="38" t="s">
        <v>157</v>
      </c>
      <c r="F2224" s="38" t="s">
        <v>138</v>
      </c>
      <c r="G2224" s="49" t="str">
        <f t="shared" si="1"/>
        <v>50600</v>
      </c>
      <c r="H2224" s="49">
        <f t="shared" si="2"/>
        <v>50391</v>
      </c>
    </row>
    <row r="2225">
      <c r="A2225" s="48" t="s">
        <v>4099</v>
      </c>
      <c r="B2225" s="38">
        <v>12012.0</v>
      </c>
      <c r="C2225" s="38" t="s">
        <v>4100</v>
      </c>
      <c r="D2225" s="38" t="str">
        <f>IFERROR(__xludf.DUMMYFUNCTION("REGEXREPLACE(C2225,""-\d+(.*)|--\d+(.*)"","""")"),"ASPRIERES")</f>
        <v>ASPRIERES</v>
      </c>
      <c r="E2225" s="38" t="s">
        <v>465</v>
      </c>
      <c r="F2225" s="38" t="s">
        <v>94</v>
      </c>
      <c r="G2225" s="49" t="str">
        <f t="shared" si="1"/>
        <v>12700</v>
      </c>
      <c r="H2225" s="49">
        <f t="shared" si="2"/>
        <v>12012</v>
      </c>
    </row>
    <row r="2226">
      <c r="A2226" s="48" t="s">
        <v>4101</v>
      </c>
      <c r="B2226" s="38">
        <v>30117.0</v>
      </c>
      <c r="C2226" s="38" t="s">
        <v>4102</v>
      </c>
      <c r="D2226" s="38" t="str">
        <f>IFERROR(__xludf.DUMMYFUNCTION("REGEXREPLACE(C2226,""-\d+(.*)|--\d+(.*)"","""")"),"FOURQUES")</f>
        <v>FOURQUES</v>
      </c>
      <c r="E2226" s="38" t="s">
        <v>526</v>
      </c>
      <c r="F2226" s="38" t="s">
        <v>119</v>
      </c>
      <c r="G2226" s="49" t="str">
        <f t="shared" si="1"/>
        <v>30300</v>
      </c>
      <c r="H2226" s="49">
        <f t="shared" si="2"/>
        <v>30117</v>
      </c>
    </row>
    <row r="2227">
      <c r="A2227" s="48" t="s">
        <v>962</v>
      </c>
      <c r="B2227" s="38">
        <v>24426.0</v>
      </c>
      <c r="C2227" s="38" t="s">
        <v>4103</v>
      </c>
      <c r="D2227" s="38" t="str">
        <f>IFERROR(__xludf.DUMMYFUNCTION("REGEXREPLACE(C2227,""-\d+(.*)|--\d+(.*)"","""")"),"SAINT-JEAN-D'ESTISSAC")</f>
        <v>SAINT-JEAN-D'ESTISSAC</v>
      </c>
      <c r="E2227" s="38" t="s">
        <v>261</v>
      </c>
      <c r="F2227" s="38" t="s">
        <v>252</v>
      </c>
      <c r="G2227" s="49" t="str">
        <f t="shared" si="1"/>
        <v>24140</v>
      </c>
      <c r="H2227" s="49">
        <f t="shared" si="2"/>
        <v>24426</v>
      </c>
    </row>
    <row r="2228">
      <c r="A2228" s="48" t="s">
        <v>1422</v>
      </c>
      <c r="B2228" s="38">
        <v>14126.0</v>
      </c>
      <c r="C2228" s="38" t="s">
        <v>4104</v>
      </c>
      <c r="D2228" s="38" t="str">
        <f>IFERROR(__xludf.DUMMYFUNCTION("REGEXREPLACE(C2228,""-\d+(.*)|--\d+(.*)"","""")"),"CAMBREMER")</f>
        <v>CAMBREMER</v>
      </c>
      <c r="E2228" s="38" t="s">
        <v>137</v>
      </c>
      <c r="F2228" s="38" t="s">
        <v>138</v>
      </c>
      <c r="G2228" s="49" t="str">
        <f t="shared" si="1"/>
        <v>14340</v>
      </c>
      <c r="H2228" s="49">
        <f t="shared" si="2"/>
        <v>14126</v>
      </c>
    </row>
    <row r="2229">
      <c r="A2229" s="48" t="s">
        <v>2814</v>
      </c>
      <c r="B2229" s="38">
        <v>45189.0</v>
      </c>
      <c r="C2229" s="38" t="s">
        <v>4105</v>
      </c>
      <c r="D2229" s="38" t="str">
        <f>IFERROR(__xludf.DUMMYFUNCTION("REGEXREPLACE(C2229,""-\d+(.*)|--\d+(.*)"","""")"),"LOUZOUER")</f>
        <v>LOUZOUER</v>
      </c>
      <c r="E2229" s="38" t="s">
        <v>122</v>
      </c>
      <c r="F2229" s="38" t="s">
        <v>123</v>
      </c>
      <c r="G2229" s="49" t="str">
        <f t="shared" si="1"/>
        <v>45210</v>
      </c>
      <c r="H2229" s="49">
        <f t="shared" si="2"/>
        <v>45189</v>
      </c>
    </row>
    <row r="2230">
      <c r="A2230" s="48" t="s">
        <v>1038</v>
      </c>
      <c r="B2230" s="38">
        <v>50317.0</v>
      </c>
      <c r="C2230" s="38" t="s">
        <v>4106</v>
      </c>
      <c r="D2230" s="38" t="str">
        <f>IFERROR(__xludf.DUMMYFUNCTION("REGEXREPLACE(C2230,""-\d+(.*)|--\d+(.*)"","""")"),"LE MESNIL-OZENNE")</f>
        <v>LE MESNIL-OZENNE</v>
      </c>
      <c r="E2230" s="38" t="s">
        <v>157</v>
      </c>
      <c r="F2230" s="38" t="s">
        <v>138</v>
      </c>
      <c r="G2230" s="49" t="str">
        <f t="shared" si="1"/>
        <v>50220</v>
      </c>
      <c r="H2230" s="49">
        <f t="shared" si="2"/>
        <v>50317</v>
      </c>
    </row>
    <row r="2231">
      <c r="A2231" s="48" t="s">
        <v>1827</v>
      </c>
      <c r="B2231" s="38">
        <v>77066.0</v>
      </c>
      <c r="C2231" s="38" t="s">
        <v>4107</v>
      </c>
      <c r="D2231" s="38" t="str">
        <f>IFERROR(__xludf.DUMMYFUNCTION("REGEXREPLACE(C2231,""-\d+(.*)|--\d+(.*)"","""")"),"CERNEUX")</f>
        <v>CERNEUX</v>
      </c>
      <c r="E2231" s="38" t="s">
        <v>244</v>
      </c>
      <c r="F2231" s="38" t="s">
        <v>245</v>
      </c>
      <c r="G2231" s="49" t="str">
        <f t="shared" si="1"/>
        <v>77320</v>
      </c>
      <c r="H2231" s="49">
        <f t="shared" si="2"/>
        <v>77066</v>
      </c>
    </row>
    <row r="2232">
      <c r="A2232" s="48" t="s">
        <v>4108</v>
      </c>
      <c r="B2232" s="38" t="s">
        <v>4109</v>
      </c>
      <c r="C2232" s="38" t="s">
        <v>4110</v>
      </c>
      <c r="D2232" s="38" t="str">
        <f>IFERROR(__xludf.DUMMYFUNCTION("REGEXREPLACE(C2232,""-\d+(.*)|--\d+(.*)"","""")"),"MONTICELLO")</f>
        <v>MONTICELLO</v>
      </c>
      <c r="E2232" s="38" t="s">
        <v>743</v>
      </c>
      <c r="F2232" s="38" t="s">
        <v>607</v>
      </c>
      <c r="G2232" s="49" t="str">
        <f t="shared" si="1"/>
        <v>20220</v>
      </c>
      <c r="H2232" s="49" t="str">
        <f t="shared" si="2"/>
        <v>2B168</v>
      </c>
    </row>
    <row r="2233">
      <c r="A2233" s="48" t="s">
        <v>1562</v>
      </c>
      <c r="B2233" s="38">
        <v>24234.0</v>
      </c>
      <c r="C2233" s="38" t="s">
        <v>4111</v>
      </c>
      <c r="D2233" s="38" t="str">
        <f>IFERROR(__xludf.DUMMYFUNCTION("REGEXREPLACE(C2233,""-\d+(.*)|--\d+(.*)"","""")"),"LES LECHES")</f>
        <v>LES LECHES</v>
      </c>
      <c r="E2233" s="38" t="s">
        <v>261</v>
      </c>
      <c r="F2233" s="38" t="s">
        <v>252</v>
      </c>
      <c r="G2233" s="49" t="str">
        <f t="shared" si="1"/>
        <v>24400</v>
      </c>
      <c r="H2233" s="49">
        <f t="shared" si="2"/>
        <v>24234</v>
      </c>
    </row>
    <row r="2234">
      <c r="A2234" s="48" t="s">
        <v>1796</v>
      </c>
      <c r="B2234" s="38">
        <v>31009.0</v>
      </c>
      <c r="C2234" s="38" t="s">
        <v>4112</v>
      </c>
      <c r="D2234" s="38" t="str">
        <f>IFERROR(__xludf.DUMMYFUNCTION("REGEXREPLACE(C2234,""-\d+(.*)|--\d+(.*)"","""")"),"ANTICHAN-DE-FRONTIGNES")</f>
        <v>ANTICHAN-DE-FRONTIGNES</v>
      </c>
      <c r="E2234" s="38" t="s">
        <v>93</v>
      </c>
      <c r="F2234" s="38" t="s">
        <v>94</v>
      </c>
      <c r="G2234" s="49" t="str">
        <f t="shared" si="1"/>
        <v>31510</v>
      </c>
      <c r="H2234" s="49">
        <f t="shared" si="2"/>
        <v>31009</v>
      </c>
    </row>
    <row r="2235">
      <c r="A2235" s="48" t="s">
        <v>3723</v>
      </c>
      <c r="B2235" s="38">
        <v>54517.0</v>
      </c>
      <c r="C2235" s="38" t="s">
        <v>4113</v>
      </c>
      <c r="D2235" s="38" t="str">
        <f>IFERROR(__xludf.DUMMYFUNCTION("REGEXREPLACE(C2235,""-\d+(.*)|--\d+(.*)"","""")"),"THEZEY-SAINT-MARTIN")</f>
        <v>THEZEY-SAINT-MARTIN</v>
      </c>
      <c r="E2235" s="38" t="s">
        <v>548</v>
      </c>
      <c r="F2235" s="38" t="s">
        <v>195</v>
      </c>
      <c r="G2235" s="49" t="str">
        <f t="shared" si="1"/>
        <v>54610</v>
      </c>
      <c r="H2235" s="49">
        <f t="shared" si="2"/>
        <v>54517</v>
      </c>
    </row>
    <row r="2236">
      <c r="A2236" s="48" t="s">
        <v>2130</v>
      </c>
      <c r="B2236" s="38">
        <v>62886.0</v>
      </c>
      <c r="C2236" s="38" t="s">
        <v>4114</v>
      </c>
      <c r="D2236" s="38" t="str">
        <f>IFERROR(__xludf.DUMMYFUNCTION("REGEXREPLACE(C2236,""-\d+(.*)|--\d+(.*)"","""")"),"WICQUINGHEM")</f>
        <v>WICQUINGHEM</v>
      </c>
      <c r="E2236" s="38" t="s">
        <v>109</v>
      </c>
      <c r="F2236" s="38" t="s">
        <v>86</v>
      </c>
      <c r="G2236" s="49" t="str">
        <f t="shared" si="1"/>
        <v>62650</v>
      </c>
      <c r="H2236" s="49">
        <f t="shared" si="2"/>
        <v>62886</v>
      </c>
    </row>
    <row r="2237">
      <c r="A2237" s="48" t="s">
        <v>1182</v>
      </c>
      <c r="B2237" s="38">
        <v>67554.0</v>
      </c>
      <c r="C2237" s="38" t="s">
        <v>4115</v>
      </c>
      <c r="D2237" s="38" t="str">
        <f>IFERROR(__xludf.DUMMYFUNCTION("REGEXREPLACE(C2237,""-\d+(.*)|--\d+(.*)"","""")"),"WOLXHEIM")</f>
        <v>WOLXHEIM</v>
      </c>
      <c r="E2237" s="38" t="s">
        <v>210</v>
      </c>
      <c r="F2237" s="38" t="s">
        <v>151</v>
      </c>
      <c r="G2237" s="49" t="str">
        <f t="shared" si="1"/>
        <v>67120</v>
      </c>
      <c r="H2237" s="49">
        <f t="shared" si="2"/>
        <v>67554</v>
      </c>
    </row>
    <row r="2238">
      <c r="A2238" s="48" t="s">
        <v>4116</v>
      </c>
      <c r="B2238" s="38">
        <v>18136.0</v>
      </c>
      <c r="C2238" s="38" t="s">
        <v>4117</v>
      </c>
      <c r="D2238" s="38" t="str">
        <f>IFERROR(__xludf.DUMMYFUNCTION("REGEXREPLACE(C2238,""-\d+(.*)|--\d+(.*)"","""")"),"MARCAIS")</f>
        <v>MARCAIS</v>
      </c>
      <c r="E2238" s="38" t="s">
        <v>504</v>
      </c>
      <c r="F2238" s="38" t="s">
        <v>123</v>
      </c>
      <c r="G2238" s="49" t="str">
        <f t="shared" si="1"/>
        <v>18170</v>
      </c>
      <c r="H2238" s="49">
        <f t="shared" si="2"/>
        <v>18136</v>
      </c>
    </row>
    <row r="2239">
      <c r="A2239" s="48" t="s">
        <v>1686</v>
      </c>
      <c r="B2239" s="38">
        <v>51012.0</v>
      </c>
      <c r="C2239" s="38" t="s">
        <v>4118</v>
      </c>
      <c r="D2239" s="38" t="str">
        <f>IFERROR(__xludf.DUMMYFUNCTION("REGEXREPLACE(C2239,""-\d+(.*)|--\d+(.*)"","""")"),"ANTHENAY")</f>
        <v>ANTHENAY</v>
      </c>
      <c r="E2239" s="38" t="s">
        <v>129</v>
      </c>
      <c r="F2239" s="38" t="s">
        <v>130</v>
      </c>
      <c r="G2239" s="49" t="str">
        <f t="shared" si="1"/>
        <v>51700</v>
      </c>
      <c r="H2239" s="49">
        <f t="shared" si="2"/>
        <v>51012</v>
      </c>
    </row>
    <row r="2240">
      <c r="A2240" s="48" t="s">
        <v>4119</v>
      </c>
      <c r="B2240" s="38">
        <v>36144.0</v>
      </c>
      <c r="C2240" s="38" t="s">
        <v>4120</v>
      </c>
      <c r="D2240" s="38" t="str">
        <f>IFERROR(__xludf.DUMMYFUNCTION("REGEXREPLACE(C2240,""-\d+(.*)|--\d+(.*)"","""")"),"NURET-LE-FERRON")</f>
        <v>NURET-LE-FERRON</v>
      </c>
      <c r="E2240" s="38" t="s">
        <v>258</v>
      </c>
      <c r="F2240" s="38" t="s">
        <v>123</v>
      </c>
      <c r="G2240" s="49" t="str">
        <f t="shared" si="1"/>
        <v>36800</v>
      </c>
      <c r="H2240" s="49">
        <f t="shared" si="2"/>
        <v>36144</v>
      </c>
    </row>
    <row r="2241">
      <c r="A2241" s="48" t="s">
        <v>4121</v>
      </c>
      <c r="B2241" s="38">
        <v>11009.0</v>
      </c>
      <c r="C2241" s="38" t="s">
        <v>4122</v>
      </c>
      <c r="D2241" s="38" t="str">
        <f>IFERROR(__xludf.DUMMYFUNCTION("REGEXREPLACE(C2241,""-\d+(.*)|--\d+(.*)"","""")"),"ALZONNE")</f>
        <v>ALZONNE</v>
      </c>
      <c r="E2241" s="38" t="s">
        <v>278</v>
      </c>
      <c r="F2241" s="38" t="s">
        <v>119</v>
      </c>
      <c r="G2241" s="49" t="str">
        <f t="shared" si="1"/>
        <v>11170</v>
      </c>
      <c r="H2241" s="49">
        <f t="shared" si="2"/>
        <v>11009</v>
      </c>
    </row>
    <row r="2242">
      <c r="A2242" s="48" t="s">
        <v>4123</v>
      </c>
      <c r="B2242" s="38">
        <v>60490.0</v>
      </c>
      <c r="C2242" s="38" t="s">
        <v>4124</v>
      </c>
      <c r="D2242" s="38" t="str">
        <f>IFERROR(__xludf.DUMMYFUNCTION("REGEXREPLACE(C2242,""-\d+(.*)|--\d+(.*)"","""")"),"PIERREFITTE-EN-BEAUVAISIS")</f>
        <v>PIERREFITTE-EN-BEAUVAISIS</v>
      </c>
      <c r="E2242" s="38" t="s">
        <v>112</v>
      </c>
      <c r="F2242" s="38" t="s">
        <v>113</v>
      </c>
      <c r="G2242" s="49" t="str">
        <f t="shared" si="1"/>
        <v>60112</v>
      </c>
      <c r="H2242" s="49">
        <f t="shared" si="2"/>
        <v>60490</v>
      </c>
    </row>
    <row r="2243">
      <c r="A2243" s="48" t="s">
        <v>4125</v>
      </c>
      <c r="B2243" s="38">
        <v>19067.0</v>
      </c>
      <c r="C2243" s="38" t="s">
        <v>4126</v>
      </c>
      <c r="D2243" s="38" t="str">
        <f>IFERROR(__xludf.DUMMYFUNCTION("REGEXREPLACE(C2243,""-\d+(.*)|--\d+(.*)"","""")"),"CUREMONTE")</f>
        <v>CUREMONTE</v>
      </c>
      <c r="E2243" s="38" t="s">
        <v>271</v>
      </c>
      <c r="F2243" s="38" t="s">
        <v>98</v>
      </c>
      <c r="G2243" s="49" t="str">
        <f t="shared" si="1"/>
        <v>19500</v>
      </c>
      <c r="H2243" s="49">
        <f t="shared" si="2"/>
        <v>19067</v>
      </c>
    </row>
    <row r="2244">
      <c r="A2244" s="48" t="s">
        <v>311</v>
      </c>
      <c r="B2244" s="38">
        <v>31113.0</v>
      </c>
      <c r="C2244" s="38" t="s">
        <v>4127</v>
      </c>
      <c r="D2244" s="38" t="str">
        <f>IFERROR(__xludf.DUMMYFUNCTION("REGEXREPLACE(C2244,""-\d+(.*)|--\d+(.*)"","""")"),"CASTANET-TOLOSAN")</f>
        <v>CASTANET-TOLOSAN</v>
      </c>
      <c r="E2244" s="38" t="s">
        <v>93</v>
      </c>
      <c r="F2244" s="38" t="s">
        <v>94</v>
      </c>
      <c r="G2244" s="49" t="str">
        <f t="shared" si="1"/>
        <v>31320</v>
      </c>
      <c r="H2244" s="49">
        <f t="shared" si="2"/>
        <v>31113</v>
      </c>
    </row>
    <row r="2245">
      <c r="A2245" s="48" t="s">
        <v>1534</v>
      </c>
      <c r="B2245" s="38">
        <v>19199.0</v>
      </c>
      <c r="C2245" s="38" t="s">
        <v>4128</v>
      </c>
      <c r="D2245" s="38" t="str">
        <f>IFERROR(__xludf.DUMMYFUNCTION("REGEXREPLACE(C2245,""-\d+(.*)|--\d+(.*)"","""")"),"SAINT-ETIENNE-AUX-CLOS")</f>
        <v>SAINT-ETIENNE-AUX-CLOS</v>
      </c>
      <c r="E2245" s="38" t="s">
        <v>271</v>
      </c>
      <c r="F2245" s="38" t="s">
        <v>98</v>
      </c>
      <c r="G2245" s="49" t="str">
        <f t="shared" si="1"/>
        <v>19200</v>
      </c>
      <c r="H2245" s="49">
        <f t="shared" si="2"/>
        <v>19199</v>
      </c>
    </row>
    <row r="2246">
      <c r="A2246" s="48" t="s">
        <v>4129</v>
      </c>
      <c r="B2246" s="38">
        <v>3012.0</v>
      </c>
      <c r="C2246" s="38" t="s">
        <v>4130</v>
      </c>
      <c r="D2246" s="38" t="str">
        <f>IFERROR(__xludf.DUMMYFUNCTION("REGEXREPLACE(C2246,""-\d+(.*)|--\d+(.*)"","""")"),"AUTRY-ISSARDS")</f>
        <v>AUTRY-ISSARDS</v>
      </c>
      <c r="E2246" s="38" t="s">
        <v>160</v>
      </c>
      <c r="F2246" s="38" t="s">
        <v>161</v>
      </c>
      <c r="G2246" s="49" t="str">
        <f t="shared" si="1"/>
        <v>03210</v>
      </c>
      <c r="H2246" s="49" t="str">
        <f t="shared" si="2"/>
        <v>03012</v>
      </c>
    </row>
    <row r="2247">
      <c r="A2247" s="48" t="s">
        <v>4131</v>
      </c>
      <c r="B2247" s="38">
        <v>27433.0</v>
      </c>
      <c r="C2247" s="38" t="s">
        <v>4132</v>
      </c>
      <c r="D2247" s="38" t="str">
        <f>IFERROR(__xludf.DUMMYFUNCTION("REGEXREPLACE(C2247,""-\d+(.*)|--\d+(.*)"","""")"),"NEUVILLE-SUR-AUTHOU")</f>
        <v>NEUVILLE-SUR-AUTHOU</v>
      </c>
      <c r="E2247" s="38" t="s">
        <v>241</v>
      </c>
      <c r="F2247" s="38" t="s">
        <v>134</v>
      </c>
      <c r="G2247" s="49" t="str">
        <f t="shared" si="1"/>
        <v>27800</v>
      </c>
      <c r="H2247" s="49">
        <f t="shared" si="2"/>
        <v>27433</v>
      </c>
    </row>
    <row r="2248">
      <c r="A2248" s="48" t="s">
        <v>2168</v>
      </c>
      <c r="B2248" s="38">
        <v>77448.0</v>
      </c>
      <c r="C2248" s="38" t="s">
        <v>4133</v>
      </c>
      <c r="D2248" s="38" t="str">
        <f>IFERROR(__xludf.DUMMYFUNCTION("REGEXREPLACE(C2248,""-\d+(.*)|--\d+(.*)"","""")"),"SEPT-SORTS")</f>
        <v>SEPT-SORTS</v>
      </c>
      <c r="E2248" s="38" t="s">
        <v>244</v>
      </c>
      <c r="F2248" s="38" t="s">
        <v>245</v>
      </c>
      <c r="G2248" s="49" t="str">
        <f t="shared" si="1"/>
        <v>77260</v>
      </c>
      <c r="H2248" s="49">
        <f t="shared" si="2"/>
        <v>77448</v>
      </c>
    </row>
    <row r="2249">
      <c r="A2249" s="48" t="s">
        <v>4134</v>
      </c>
      <c r="B2249" s="38">
        <v>80063.0</v>
      </c>
      <c r="C2249" s="38" t="s">
        <v>4135</v>
      </c>
      <c r="D2249" s="38" t="str">
        <f>IFERROR(__xludf.DUMMYFUNCTION("REGEXREPLACE(C2249,""-\d+(.*)|--\d+(.*)"","""")"),"BEAUCHAMPS")</f>
        <v>BEAUCHAMPS</v>
      </c>
      <c r="E2249" s="38" t="s">
        <v>224</v>
      </c>
      <c r="F2249" s="38" t="s">
        <v>113</v>
      </c>
      <c r="G2249" s="49" t="str">
        <f t="shared" si="1"/>
        <v>80770</v>
      </c>
      <c r="H2249" s="49">
        <f t="shared" si="2"/>
        <v>80063</v>
      </c>
    </row>
    <row r="2250">
      <c r="A2250" s="48" t="s">
        <v>4136</v>
      </c>
      <c r="B2250" s="38">
        <v>45029.0</v>
      </c>
      <c r="C2250" s="38" t="s">
        <v>4137</v>
      </c>
      <c r="D2250" s="38" t="str">
        <f>IFERROR(__xludf.DUMMYFUNCTION("REGEXREPLACE(C2250,""-\d+(.*)|--\d+(.*)"","""")"),"BEAULIEU-SUR-LOIRE")</f>
        <v>BEAULIEU-SUR-LOIRE</v>
      </c>
      <c r="E2250" s="38" t="s">
        <v>122</v>
      </c>
      <c r="F2250" s="38" t="s">
        <v>123</v>
      </c>
      <c r="G2250" s="49" t="str">
        <f t="shared" si="1"/>
        <v>45630</v>
      </c>
      <c r="H2250" s="49">
        <f t="shared" si="2"/>
        <v>45029</v>
      </c>
    </row>
    <row r="2251">
      <c r="A2251" s="48" t="s">
        <v>480</v>
      </c>
      <c r="B2251" s="38">
        <v>3142.0</v>
      </c>
      <c r="C2251" s="38" t="s">
        <v>4138</v>
      </c>
      <c r="D2251" s="38" t="str">
        <f>IFERROR(__xludf.DUMMYFUNCTION("REGEXREPLACE(C2251,""-\d+(.*)|--\d+(.*)"","""")"),"LENAX")</f>
        <v>LENAX</v>
      </c>
      <c r="E2251" s="38" t="s">
        <v>160</v>
      </c>
      <c r="F2251" s="38" t="s">
        <v>161</v>
      </c>
      <c r="G2251" s="49" t="str">
        <f t="shared" si="1"/>
        <v>03130</v>
      </c>
      <c r="H2251" s="49" t="str">
        <f t="shared" si="2"/>
        <v>03142</v>
      </c>
    </row>
    <row r="2252">
      <c r="A2252" s="48" t="s">
        <v>3069</v>
      </c>
      <c r="B2252" s="38">
        <v>68045.0</v>
      </c>
      <c r="C2252" s="38" t="s">
        <v>4139</v>
      </c>
      <c r="D2252" s="38" t="str">
        <f>IFERROR(__xludf.DUMMYFUNCTION("REGEXREPLACE(C2252,""-\d+(.*)|--\d+(.*)"","""")"),"BOURBACH-LE-BAS")</f>
        <v>BOURBACH-LE-BAS</v>
      </c>
      <c r="E2252" s="38" t="s">
        <v>150</v>
      </c>
      <c r="F2252" s="38" t="s">
        <v>151</v>
      </c>
      <c r="G2252" s="49" t="str">
        <f t="shared" si="1"/>
        <v>68290</v>
      </c>
      <c r="H2252" s="49">
        <f t="shared" si="2"/>
        <v>68045</v>
      </c>
    </row>
    <row r="2253">
      <c r="A2253" s="48" t="s">
        <v>4140</v>
      </c>
      <c r="B2253" s="38">
        <v>54468.0</v>
      </c>
      <c r="C2253" s="38" t="s">
        <v>4141</v>
      </c>
      <c r="D2253" s="38" t="str">
        <f>IFERROR(__xludf.DUMMYFUNCTION("REGEXREPLACE(C2253,""-\d+(.*)|--\d+(.*)"","""")"),"SAFFAIS")</f>
        <v>SAFFAIS</v>
      </c>
      <c r="E2253" s="38" t="s">
        <v>548</v>
      </c>
      <c r="F2253" s="38" t="s">
        <v>195</v>
      </c>
      <c r="G2253" s="49" t="str">
        <f t="shared" si="1"/>
        <v>54210</v>
      </c>
      <c r="H2253" s="49">
        <f t="shared" si="2"/>
        <v>54468</v>
      </c>
    </row>
    <row r="2254">
      <c r="A2254" s="48" t="s">
        <v>4142</v>
      </c>
      <c r="B2254" s="38">
        <v>16283.0</v>
      </c>
      <c r="C2254" s="38" t="s">
        <v>4143</v>
      </c>
      <c r="D2254" s="38" t="str">
        <f>IFERROR(__xludf.DUMMYFUNCTION("REGEXREPLACE(C2254,""-\d+(.*)|--\d+(.*)"","""")"),"RONSENAC")</f>
        <v>RONSENAC</v>
      </c>
      <c r="E2254" s="38" t="s">
        <v>429</v>
      </c>
      <c r="F2254" s="38" t="s">
        <v>338</v>
      </c>
      <c r="G2254" s="49" t="str">
        <f t="shared" si="1"/>
        <v>16320</v>
      </c>
      <c r="H2254" s="49">
        <f t="shared" si="2"/>
        <v>16283</v>
      </c>
    </row>
    <row r="2255">
      <c r="A2255" s="48" t="s">
        <v>415</v>
      </c>
      <c r="B2255" s="38">
        <v>21334.0</v>
      </c>
      <c r="C2255" s="38" t="s">
        <v>4144</v>
      </c>
      <c r="D2255" s="38" t="str">
        <f>IFERROR(__xludf.DUMMYFUNCTION("REGEXREPLACE(C2255,""-\d+(.*)|--\d+(.*)"","""")"),"LACANCHE")</f>
        <v>LACANCHE</v>
      </c>
      <c r="E2255" s="38" t="s">
        <v>105</v>
      </c>
      <c r="F2255" s="38" t="s">
        <v>106</v>
      </c>
      <c r="G2255" s="49" t="str">
        <f t="shared" si="1"/>
        <v>21230</v>
      </c>
      <c r="H2255" s="49">
        <f t="shared" si="2"/>
        <v>21334</v>
      </c>
    </row>
    <row r="2256">
      <c r="A2256" s="48" t="s">
        <v>4145</v>
      </c>
      <c r="B2256" s="38">
        <v>46232.0</v>
      </c>
      <c r="C2256" s="38" t="s">
        <v>4146</v>
      </c>
      <c r="D2256" s="38" t="str">
        <f>IFERROR(__xludf.DUMMYFUNCTION("REGEXREPLACE(C2256,""-\d+(.*)|--\d+(.*)"","""")"),"LES QUATRE-ROUTES-DU-LOT")</f>
        <v>LES QUATRE-ROUTES-DU-LOT</v>
      </c>
      <c r="E2256" s="38" t="s">
        <v>185</v>
      </c>
      <c r="F2256" s="38" t="s">
        <v>94</v>
      </c>
      <c r="G2256" s="49" t="str">
        <f t="shared" si="1"/>
        <v>46110</v>
      </c>
      <c r="H2256" s="49">
        <f t="shared" si="2"/>
        <v>46232</v>
      </c>
    </row>
    <row r="2257">
      <c r="A2257" s="48" t="s">
        <v>958</v>
      </c>
      <c r="B2257" s="38">
        <v>71573.0</v>
      </c>
      <c r="C2257" s="38" t="s">
        <v>4147</v>
      </c>
      <c r="D2257" s="38" t="str">
        <f>IFERROR(__xludf.DUMMYFUNCTION("REGEXREPLACE(C2257,""-\d+(.*)|--\d+(.*)"","""")"),"VERSAUGUES")</f>
        <v>VERSAUGUES</v>
      </c>
      <c r="E2257" s="38" t="s">
        <v>344</v>
      </c>
      <c r="F2257" s="38" t="s">
        <v>106</v>
      </c>
      <c r="G2257" s="49" t="str">
        <f t="shared" si="1"/>
        <v>71110</v>
      </c>
      <c r="H2257" s="49">
        <f t="shared" si="2"/>
        <v>71573</v>
      </c>
    </row>
    <row r="2258">
      <c r="A2258" s="48" t="s">
        <v>2917</v>
      </c>
      <c r="B2258" s="38">
        <v>49056.0</v>
      </c>
      <c r="C2258" s="38" t="s">
        <v>4148</v>
      </c>
      <c r="D2258" s="38" t="str">
        <f>IFERROR(__xludf.DUMMYFUNCTION("REGEXREPLACE(C2258,""-\d+(.*)|--\d+(.*)"","""")"),"CARBAY")</f>
        <v>CARBAY</v>
      </c>
      <c r="E2258" s="38" t="s">
        <v>653</v>
      </c>
      <c r="F2258" s="38" t="s">
        <v>180</v>
      </c>
      <c r="G2258" s="49" t="str">
        <f t="shared" si="1"/>
        <v>49420</v>
      </c>
      <c r="H2258" s="49">
        <f t="shared" si="2"/>
        <v>49056</v>
      </c>
    </row>
    <row r="2259">
      <c r="A2259" s="48" t="s">
        <v>390</v>
      </c>
      <c r="B2259" s="38">
        <v>11415.0</v>
      </c>
      <c r="C2259" s="38" t="s">
        <v>4149</v>
      </c>
      <c r="D2259" s="38" t="str">
        <f>IFERROR(__xludf.DUMMYFUNCTION("REGEXREPLACE(C2259,""-\d+(.*)|--\d+(.*)"","""")"),"VILLAR-SAINT-ANSELME")</f>
        <v>VILLAR-SAINT-ANSELME</v>
      </c>
      <c r="E2259" s="38" t="s">
        <v>278</v>
      </c>
      <c r="F2259" s="38" t="s">
        <v>119</v>
      </c>
      <c r="G2259" s="49" t="str">
        <f t="shared" si="1"/>
        <v>11250</v>
      </c>
      <c r="H2259" s="49">
        <f t="shared" si="2"/>
        <v>11415</v>
      </c>
    </row>
    <row r="2260">
      <c r="A2260" s="48" t="s">
        <v>2201</v>
      </c>
      <c r="B2260" s="38">
        <v>32126.0</v>
      </c>
      <c r="C2260" s="38" t="s">
        <v>4150</v>
      </c>
      <c r="D2260" s="38" t="str">
        <f>IFERROR(__xludf.DUMMYFUNCTION("REGEXREPLACE(C2260,""-\d+(.*)|--\d+(.*)"","""")"),"ESTAMPES")</f>
        <v>ESTAMPES</v>
      </c>
      <c r="E2260" s="38" t="s">
        <v>440</v>
      </c>
      <c r="F2260" s="38" t="s">
        <v>94</v>
      </c>
      <c r="G2260" s="49" t="str">
        <f t="shared" si="1"/>
        <v>32170</v>
      </c>
      <c r="H2260" s="49">
        <f t="shared" si="2"/>
        <v>32126</v>
      </c>
    </row>
    <row r="2261">
      <c r="A2261" s="48" t="s">
        <v>3986</v>
      </c>
      <c r="B2261" s="38">
        <v>62816.0</v>
      </c>
      <c r="C2261" s="38" t="s">
        <v>4151</v>
      </c>
      <c r="D2261" s="38" t="str">
        <f>IFERROR(__xludf.DUMMYFUNCTION("REGEXREPLACE(C2261,""-\d+(.*)|--\d+(.*)"","""")"),"TILLOY-LES-HERMAVILLE")</f>
        <v>TILLOY-LES-HERMAVILLE</v>
      </c>
      <c r="E2261" s="38" t="s">
        <v>109</v>
      </c>
      <c r="F2261" s="38" t="s">
        <v>86</v>
      </c>
      <c r="G2261" s="49" t="str">
        <f t="shared" si="1"/>
        <v>62690</v>
      </c>
      <c r="H2261" s="49">
        <f t="shared" si="2"/>
        <v>62816</v>
      </c>
    </row>
    <row r="2262">
      <c r="A2262" s="48" t="s">
        <v>4152</v>
      </c>
      <c r="B2262" s="38">
        <v>11145.0</v>
      </c>
      <c r="C2262" s="38" t="s">
        <v>1076</v>
      </c>
      <c r="D2262" s="38" t="str">
        <f>IFERROR(__xludf.DUMMYFUNCTION("REGEXREPLACE(C2262,""-\d+(.*)|--\d+(.*)"","""")"),"FLEURY")</f>
        <v>FLEURY</v>
      </c>
      <c r="E2262" s="38" t="s">
        <v>278</v>
      </c>
      <c r="F2262" s="38" t="s">
        <v>119</v>
      </c>
      <c r="G2262" s="49" t="str">
        <f t="shared" si="1"/>
        <v>11560</v>
      </c>
      <c r="H2262" s="49">
        <f t="shared" si="2"/>
        <v>11145</v>
      </c>
    </row>
    <row r="2263">
      <c r="A2263" s="48" t="s">
        <v>2582</v>
      </c>
      <c r="B2263" s="38">
        <v>14163.0</v>
      </c>
      <c r="C2263" s="38" t="s">
        <v>4153</v>
      </c>
      <c r="D2263" s="38" t="str">
        <f>IFERROR(__xludf.DUMMYFUNCTION("REGEXREPLACE(C2263,""-\d+(.*)|--\d+(.*)"","""")"),"CLEVILLE")</f>
        <v>CLEVILLE</v>
      </c>
      <c r="E2263" s="38" t="s">
        <v>137</v>
      </c>
      <c r="F2263" s="38" t="s">
        <v>138</v>
      </c>
      <c r="G2263" s="49" t="str">
        <f t="shared" si="1"/>
        <v>14370</v>
      </c>
      <c r="H2263" s="49">
        <f t="shared" si="2"/>
        <v>14163</v>
      </c>
    </row>
    <row r="2264">
      <c r="A2264" s="48" t="s">
        <v>4154</v>
      </c>
      <c r="B2264" s="38">
        <v>27240.0</v>
      </c>
      <c r="C2264" s="38" t="s">
        <v>4155</v>
      </c>
      <c r="D2264" s="38" t="str">
        <f>IFERROR(__xludf.DUMMYFUNCTION("REGEXREPLACE(C2264,""-\d+(.*)|--\d+(.*)"","""")"),"LA FERRIERE-SUR-RISLE")</f>
        <v>LA FERRIERE-SUR-RISLE</v>
      </c>
      <c r="E2264" s="38" t="s">
        <v>241</v>
      </c>
      <c r="F2264" s="38" t="s">
        <v>134</v>
      </c>
      <c r="G2264" s="49" t="str">
        <f t="shared" si="1"/>
        <v>27760</v>
      </c>
      <c r="H2264" s="49">
        <f t="shared" si="2"/>
        <v>27240</v>
      </c>
    </row>
    <row r="2265">
      <c r="A2265" s="48" t="s">
        <v>1268</v>
      </c>
      <c r="B2265" s="38">
        <v>8336.0</v>
      </c>
      <c r="C2265" s="38" t="s">
        <v>4156</v>
      </c>
      <c r="D2265" s="38" t="str">
        <f>IFERROR(__xludf.DUMMYFUNCTION("REGEXREPLACE(C2265,""-\d+(.*)|--\d+(.*)"","""")"),"OSNES")</f>
        <v>OSNES</v>
      </c>
      <c r="E2265" s="38" t="s">
        <v>327</v>
      </c>
      <c r="F2265" s="38" t="s">
        <v>130</v>
      </c>
      <c r="G2265" s="49" t="str">
        <f t="shared" si="1"/>
        <v>08110</v>
      </c>
      <c r="H2265" s="49" t="str">
        <f t="shared" si="2"/>
        <v>08336</v>
      </c>
    </row>
    <row r="2266">
      <c r="A2266" s="48" t="s">
        <v>2705</v>
      </c>
      <c r="B2266" s="38">
        <v>77386.0</v>
      </c>
      <c r="C2266" s="38" t="s">
        <v>4157</v>
      </c>
      <c r="D2266" s="38" t="str">
        <f>IFERROR(__xludf.DUMMYFUNCTION("REGEXREPLACE(C2266,""-\d+(.*)|--\d+(.*)"","""")"),"RECLOSES")</f>
        <v>RECLOSES</v>
      </c>
      <c r="E2266" s="38" t="s">
        <v>244</v>
      </c>
      <c r="F2266" s="38" t="s">
        <v>245</v>
      </c>
      <c r="G2266" s="49" t="str">
        <f t="shared" si="1"/>
        <v>77760</v>
      </c>
      <c r="H2266" s="49">
        <f t="shared" si="2"/>
        <v>77386</v>
      </c>
    </row>
    <row r="2267">
      <c r="A2267" s="48" t="s">
        <v>4158</v>
      </c>
      <c r="B2267" s="38">
        <v>38295.0</v>
      </c>
      <c r="C2267" s="38" t="s">
        <v>4159</v>
      </c>
      <c r="D2267" s="38" t="str">
        <f>IFERROR(__xludf.DUMMYFUNCTION("REGEXREPLACE(C2267,""-\d+(.*)|--\d+(.*)"","""")"),"PARMILIEU")</f>
        <v>PARMILIEU</v>
      </c>
      <c r="E2267" s="38" t="s">
        <v>101</v>
      </c>
      <c r="F2267" s="38" t="s">
        <v>102</v>
      </c>
      <c r="G2267" s="49" t="str">
        <f t="shared" si="1"/>
        <v>38390</v>
      </c>
      <c r="H2267" s="49">
        <f t="shared" si="2"/>
        <v>38295</v>
      </c>
    </row>
    <row r="2268">
      <c r="A2268" s="48" t="s">
        <v>794</v>
      </c>
      <c r="B2268" s="38">
        <v>60283.0</v>
      </c>
      <c r="C2268" s="38" t="s">
        <v>4160</v>
      </c>
      <c r="D2268" s="38" t="str">
        <f>IFERROR(__xludf.DUMMYFUNCTION("REGEXREPLACE(C2268,""-\d+(.*)|--\d+(.*)"","""")"),"GOUY-LES-GROSEILLERS")</f>
        <v>GOUY-LES-GROSEILLERS</v>
      </c>
      <c r="E2268" s="38" t="s">
        <v>112</v>
      </c>
      <c r="F2268" s="38" t="s">
        <v>113</v>
      </c>
      <c r="G2268" s="49" t="str">
        <f t="shared" si="1"/>
        <v>60120</v>
      </c>
      <c r="H2268" s="49">
        <f t="shared" si="2"/>
        <v>60283</v>
      </c>
    </row>
    <row r="2269">
      <c r="A2269" s="48" t="s">
        <v>4161</v>
      </c>
      <c r="B2269" s="38">
        <v>59288.0</v>
      </c>
      <c r="C2269" s="38" t="s">
        <v>4162</v>
      </c>
      <c r="D2269" s="38" t="str">
        <f>IFERROR(__xludf.DUMMYFUNCTION("REGEXREPLACE(C2269,""-\d+(.*)|--\d+(.*)"","""")"),"HAULCHIN")</f>
        <v>HAULCHIN</v>
      </c>
      <c r="E2269" s="38" t="s">
        <v>85</v>
      </c>
      <c r="F2269" s="38" t="s">
        <v>86</v>
      </c>
      <c r="G2269" s="49" t="str">
        <f t="shared" si="1"/>
        <v>59121</v>
      </c>
      <c r="H2269" s="49">
        <f t="shared" si="2"/>
        <v>59288</v>
      </c>
    </row>
    <row r="2270">
      <c r="A2270" s="48" t="s">
        <v>3224</v>
      </c>
      <c r="B2270" s="38">
        <v>54307.0</v>
      </c>
      <c r="C2270" s="38" t="s">
        <v>4163</v>
      </c>
      <c r="D2270" s="38" t="str">
        <f>IFERROR(__xludf.DUMMYFUNCTION("REGEXREPLACE(C2270,""-\d+(.*)|--\d+(.*)"","""")"),"LEBEUVILLE")</f>
        <v>LEBEUVILLE</v>
      </c>
      <c r="E2270" s="38" t="s">
        <v>548</v>
      </c>
      <c r="F2270" s="38" t="s">
        <v>195</v>
      </c>
      <c r="G2270" s="49" t="str">
        <f t="shared" si="1"/>
        <v>54740</v>
      </c>
      <c r="H2270" s="49">
        <f t="shared" si="2"/>
        <v>54307</v>
      </c>
    </row>
    <row r="2271">
      <c r="A2271" s="48" t="s">
        <v>1014</v>
      </c>
      <c r="B2271" s="38">
        <v>11022.0</v>
      </c>
      <c r="C2271" s="38" t="s">
        <v>4164</v>
      </c>
      <c r="D2271" s="38" t="str">
        <f>IFERROR(__xludf.DUMMYFUNCTION("REGEXREPLACE(C2271,""-\d+(.*)|--\d+(.*)"","""")"),"AZILLE")</f>
        <v>AZILLE</v>
      </c>
      <c r="E2271" s="38" t="s">
        <v>278</v>
      </c>
      <c r="F2271" s="38" t="s">
        <v>119</v>
      </c>
      <c r="G2271" s="49" t="str">
        <f t="shared" si="1"/>
        <v>11700</v>
      </c>
      <c r="H2271" s="49">
        <f t="shared" si="2"/>
        <v>11022</v>
      </c>
    </row>
    <row r="2272">
      <c r="A2272" s="48" t="s">
        <v>4165</v>
      </c>
      <c r="B2272" s="38">
        <v>46324.0</v>
      </c>
      <c r="C2272" s="38" t="s">
        <v>4166</v>
      </c>
      <c r="D2272" s="38" t="str">
        <f>IFERROR(__xludf.DUMMYFUNCTION("REGEXREPLACE(C2272,""-\d+(.*)|--\d+(.*)"","""")"),"UZECH")</f>
        <v>UZECH</v>
      </c>
      <c r="E2272" s="38" t="s">
        <v>185</v>
      </c>
      <c r="F2272" s="38" t="s">
        <v>94</v>
      </c>
      <c r="G2272" s="49" t="str">
        <f t="shared" si="1"/>
        <v>46310</v>
      </c>
      <c r="H2272" s="49">
        <f t="shared" si="2"/>
        <v>46324</v>
      </c>
    </row>
    <row r="2273">
      <c r="A2273" s="48" t="s">
        <v>1270</v>
      </c>
      <c r="B2273" s="38">
        <v>57325.0</v>
      </c>
      <c r="C2273" s="38" t="s">
        <v>4167</v>
      </c>
      <c r="D2273" s="38" t="str">
        <f>IFERROR(__xludf.DUMMYFUNCTION("REGEXREPLACE(C2273,""-\d+(.*)|--\d+(.*)"","""")"),"HILSPRICH")</f>
        <v>HILSPRICH</v>
      </c>
      <c r="E2273" s="38" t="s">
        <v>303</v>
      </c>
      <c r="F2273" s="38" t="s">
        <v>195</v>
      </c>
      <c r="G2273" s="49" t="str">
        <f t="shared" si="1"/>
        <v>57510</v>
      </c>
      <c r="H2273" s="49">
        <f t="shared" si="2"/>
        <v>57325</v>
      </c>
    </row>
    <row r="2274">
      <c r="A2274" s="48" t="s">
        <v>4168</v>
      </c>
      <c r="B2274" s="38">
        <v>1170.0</v>
      </c>
      <c r="C2274" s="38" t="s">
        <v>4169</v>
      </c>
      <c r="D2274" s="38" t="str">
        <f>IFERROR(__xludf.DUMMYFUNCTION("REGEXREPLACE(C2274,""-\d+(.*)|--\d+(.*)"","""")"),"BEARD-GEOVREISSIAT")</f>
        <v>BEARD-GEOVREISSIAT</v>
      </c>
      <c r="E2274" s="38" t="s">
        <v>255</v>
      </c>
      <c r="F2274" s="38" t="s">
        <v>102</v>
      </c>
      <c r="G2274" s="49" t="str">
        <f t="shared" si="1"/>
        <v>01460</v>
      </c>
      <c r="H2274" s="49" t="str">
        <f t="shared" si="2"/>
        <v>01170</v>
      </c>
    </row>
    <row r="2275">
      <c r="A2275" s="48" t="s">
        <v>4170</v>
      </c>
      <c r="B2275" s="38">
        <v>37074.0</v>
      </c>
      <c r="C2275" s="38" t="s">
        <v>4171</v>
      </c>
      <c r="D2275" s="38" t="str">
        <f>IFERROR(__xludf.DUMMYFUNCTION("REGEXREPLACE(C2275,""-\d+(.*)|--\d+(.*)"","""")"),"CHOUZE-SUR-LOIRE")</f>
        <v>CHOUZE-SUR-LOIRE</v>
      </c>
      <c r="E2275" s="38" t="s">
        <v>205</v>
      </c>
      <c r="F2275" s="38" t="s">
        <v>123</v>
      </c>
      <c r="G2275" s="49" t="str">
        <f t="shared" si="1"/>
        <v>37140</v>
      </c>
      <c r="H2275" s="49">
        <f t="shared" si="2"/>
        <v>37074</v>
      </c>
    </row>
    <row r="2276">
      <c r="A2276" s="48" t="s">
        <v>1940</v>
      </c>
      <c r="B2276" s="38">
        <v>51091.0</v>
      </c>
      <c r="C2276" s="38" t="s">
        <v>4172</v>
      </c>
      <c r="D2276" s="38" t="str">
        <f>IFERROR(__xludf.DUMMYFUNCTION("REGEXREPLACE(C2276,""-\d+(.*)|--\d+(.*)"","""")"),"BROUSSY-LE-PETIT")</f>
        <v>BROUSSY-LE-PETIT</v>
      </c>
      <c r="E2276" s="38" t="s">
        <v>129</v>
      </c>
      <c r="F2276" s="38" t="s">
        <v>130</v>
      </c>
      <c r="G2276" s="49" t="str">
        <f t="shared" si="1"/>
        <v>51230</v>
      </c>
      <c r="H2276" s="49">
        <f t="shared" si="2"/>
        <v>51091</v>
      </c>
    </row>
    <row r="2277">
      <c r="A2277" s="48" t="s">
        <v>4173</v>
      </c>
      <c r="B2277" s="38">
        <v>25305.0</v>
      </c>
      <c r="C2277" s="38" t="s">
        <v>4174</v>
      </c>
      <c r="D2277" s="38" t="str">
        <f>IFERROR(__xludf.DUMMYFUNCTION("REGEXREPLACE(C2277,""-\d+(.*)|--\d+(.*)"","""")"),"L'HOPITAL-DU-GROSBOIS")</f>
        <v>L'HOPITAL-DU-GROSBOIS</v>
      </c>
      <c r="E2277" s="38" t="s">
        <v>213</v>
      </c>
      <c r="F2277" s="38" t="s">
        <v>214</v>
      </c>
      <c r="G2277" s="49" t="str">
        <f t="shared" si="1"/>
        <v>25620</v>
      </c>
      <c r="H2277" s="49">
        <f t="shared" si="2"/>
        <v>25305</v>
      </c>
    </row>
    <row r="2278">
      <c r="A2278" s="48" t="s">
        <v>2190</v>
      </c>
      <c r="B2278" s="38">
        <v>10169.0</v>
      </c>
      <c r="C2278" s="38" t="s">
        <v>4175</v>
      </c>
      <c r="D2278" s="38" t="str">
        <f>IFERROR(__xludf.DUMMYFUNCTION("REGEXREPLACE(C2278,""-\d+(.*)|--\d+(.*)"","""")"),"GUMERY")</f>
        <v>GUMERY</v>
      </c>
      <c r="E2278" s="38" t="s">
        <v>147</v>
      </c>
      <c r="F2278" s="38" t="s">
        <v>130</v>
      </c>
      <c r="G2278" s="49" t="str">
        <f t="shared" si="1"/>
        <v>10400</v>
      </c>
      <c r="H2278" s="49">
        <f t="shared" si="2"/>
        <v>10169</v>
      </c>
    </row>
    <row r="2279">
      <c r="A2279" s="48" t="s">
        <v>4176</v>
      </c>
      <c r="B2279" s="38">
        <v>41206.0</v>
      </c>
      <c r="C2279" s="38" t="s">
        <v>4177</v>
      </c>
      <c r="D2279" s="38" t="str">
        <f>IFERROR(__xludf.DUMMYFUNCTION("REGEXREPLACE(C2279,""-\d+(.*)|--\d+(.*)"","""")"),"SAINT-DENIS-SUR-LOIRE")</f>
        <v>SAINT-DENIS-SUR-LOIRE</v>
      </c>
      <c r="E2279" s="38" t="s">
        <v>188</v>
      </c>
      <c r="F2279" s="38" t="s">
        <v>123</v>
      </c>
      <c r="G2279" s="49" t="str">
        <f t="shared" si="1"/>
        <v>41000</v>
      </c>
      <c r="H2279" s="49">
        <f t="shared" si="2"/>
        <v>41206</v>
      </c>
    </row>
    <row r="2280">
      <c r="A2280" s="48" t="s">
        <v>4178</v>
      </c>
      <c r="B2280" s="38">
        <v>25559.0</v>
      </c>
      <c r="C2280" s="38" t="s">
        <v>4179</v>
      </c>
      <c r="D2280" s="38" t="str">
        <f>IFERROR(__xludf.DUMMYFUNCTION("REGEXREPLACE(C2280,""-\d+(.*)|--\d+(.*)"","""")"),"THIEBOUHANS")</f>
        <v>THIEBOUHANS</v>
      </c>
      <c r="E2280" s="38" t="s">
        <v>213</v>
      </c>
      <c r="F2280" s="38" t="s">
        <v>214</v>
      </c>
      <c r="G2280" s="49" t="str">
        <f t="shared" si="1"/>
        <v>25470</v>
      </c>
      <c r="H2280" s="49">
        <f t="shared" si="2"/>
        <v>25559</v>
      </c>
    </row>
    <row r="2281">
      <c r="A2281" s="48" t="s">
        <v>597</v>
      </c>
      <c r="B2281" s="38">
        <v>31443.0</v>
      </c>
      <c r="C2281" s="38" t="s">
        <v>4180</v>
      </c>
      <c r="D2281" s="38" t="str">
        <f>IFERROR(__xludf.DUMMYFUNCTION("REGEXREPLACE(C2281,""-\d+(.*)|--\d+(.*)"","""")"),"PUYMAURIN")</f>
        <v>PUYMAURIN</v>
      </c>
      <c r="E2281" s="38" t="s">
        <v>93</v>
      </c>
      <c r="F2281" s="38" t="s">
        <v>94</v>
      </c>
      <c r="G2281" s="49" t="str">
        <f t="shared" si="1"/>
        <v>31230</v>
      </c>
      <c r="H2281" s="49">
        <f t="shared" si="2"/>
        <v>31443</v>
      </c>
    </row>
    <row r="2282">
      <c r="A2282" s="48" t="s">
        <v>4181</v>
      </c>
      <c r="B2282" s="38">
        <v>89267.0</v>
      </c>
      <c r="C2282" s="38" t="s">
        <v>4182</v>
      </c>
      <c r="D2282" s="38" t="str">
        <f>IFERROR(__xludf.DUMMYFUNCTION("REGEXREPLACE(C2282,""-\d+(.*)|--\d+(.*)"","""")"),"MONTREAL")</f>
        <v>MONTREAL</v>
      </c>
      <c r="E2282" s="38" t="s">
        <v>275</v>
      </c>
      <c r="F2282" s="38" t="s">
        <v>106</v>
      </c>
      <c r="G2282" s="49" t="str">
        <f t="shared" si="1"/>
        <v>89420</v>
      </c>
      <c r="H2282" s="49">
        <f t="shared" si="2"/>
        <v>89267</v>
      </c>
    </row>
    <row r="2283">
      <c r="A2283" s="48" t="s">
        <v>4183</v>
      </c>
      <c r="B2283" s="38">
        <v>13203.0</v>
      </c>
      <c r="C2283" s="38" t="s">
        <v>4184</v>
      </c>
      <c r="D2283" s="38" t="str">
        <f>IFERROR(__xludf.DUMMYFUNCTION("REGEXREPLACE(C2283,""-\d+(.*)|--\d+(.*)"","""")"),"MARSEILLE")</f>
        <v>MARSEILLE</v>
      </c>
      <c r="E2283" s="38" t="s">
        <v>980</v>
      </c>
      <c r="F2283" s="38" t="s">
        <v>228</v>
      </c>
      <c r="G2283" s="49" t="str">
        <f t="shared" si="1"/>
        <v>13003</v>
      </c>
      <c r="H2283" s="49">
        <f t="shared" si="2"/>
        <v>13203</v>
      </c>
    </row>
    <row r="2284">
      <c r="A2284" s="48" t="s">
        <v>4185</v>
      </c>
      <c r="B2284" s="38">
        <v>30325.0</v>
      </c>
      <c r="C2284" s="38" t="s">
        <v>4186</v>
      </c>
      <c r="D2284" s="38" t="str">
        <f>IFERROR(__xludf.DUMMYFUNCTION("REGEXREPLACE(C2284,""-\d+(.*)|--\d+(.*)"","""")"),"SUMENE")</f>
        <v>SUMENE</v>
      </c>
      <c r="E2284" s="38" t="s">
        <v>526</v>
      </c>
      <c r="F2284" s="38" t="s">
        <v>119</v>
      </c>
      <c r="G2284" s="49" t="str">
        <f t="shared" si="1"/>
        <v>30440</v>
      </c>
      <c r="H2284" s="49">
        <f t="shared" si="2"/>
        <v>30325</v>
      </c>
    </row>
    <row r="2285">
      <c r="A2285" s="48" t="s">
        <v>1462</v>
      </c>
      <c r="B2285" s="38">
        <v>11312.0</v>
      </c>
      <c r="C2285" s="38" t="s">
        <v>4187</v>
      </c>
      <c r="D2285" s="38" t="str">
        <f>IFERROR(__xludf.DUMMYFUNCTION("REGEXREPLACE(C2285,""-\d+(.*)|--\d+(.*)"","""")"),"RIBOUISSE")</f>
        <v>RIBOUISSE</v>
      </c>
      <c r="E2285" s="38" t="s">
        <v>278</v>
      </c>
      <c r="F2285" s="38" t="s">
        <v>119</v>
      </c>
      <c r="G2285" s="49" t="str">
        <f t="shared" si="1"/>
        <v>11270</v>
      </c>
      <c r="H2285" s="49">
        <f t="shared" si="2"/>
        <v>11312</v>
      </c>
    </row>
    <row r="2286">
      <c r="A2286" s="48" t="s">
        <v>4188</v>
      </c>
      <c r="B2286" s="38">
        <v>92025.0</v>
      </c>
      <c r="C2286" s="38" t="s">
        <v>4189</v>
      </c>
      <c r="D2286" s="38" t="str">
        <f>IFERROR(__xludf.DUMMYFUNCTION("REGEXREPLACE(C2286,""-\d+(.*)|--\d+(.*)"","""")"),"COLOMBES")</f>
        <v>COLOMBES</v>
      </c>
      <c r="E2286" s="38" t="s">
        <v>838</v>
      </c>
      <c r="F2286" s="38" t="s">
        <v>245</v>
      </c>
      <c r="G2286" s="49" t="str">
        <f t="shared" si="1"/>
        <v>92700</v>
      </c>
      <c r="H2286" s="49">
        <f t="shared" si="2"/>
        <v>92025</v>
      </c>
    </row>
    <row r="2287">
      <c r="A2287" s="48" t="s">
        <v>1547</v>
      </c>
      <c r="B2287" s="38">
        <v>24403.0</v>
      </c>
      <c r="C2287" s="38" t="s">
        <v>4190</v>
      </c>
      <c r="D2287" s="38" t="str">
        <f>IFERROR(__xludf.DUMMYFUNCTION("REGEXREPLACE(C2287,""-\d+(.*)|--\d+(.*)"","""")"),"SAINT-FELIX-DE-BOURDEILLES")</f>
        <v>SAINT-FELIX-DE-BOURDEILLES</v>
      </c>
      <c r="E2287" s="38" t="s">
        <v>261</v>
      </c>
      <c r="F2287" s="38" t="s">
        <v>252</v>
      </c>
      <c r="G2287" s="49" t="str">
        <f t="shared" si="1"/>
        <v>24340</v>
      </c>
      <c r="H2287" s="49">
        <f t="shared" si="2"/>
        <v>24403</v>
      </c>
    </row>
    <row r="2288">
      <c r="A2288" s="48" t="s">
        <v>4191</v>
      </c>
      <c r="B2288" s="38">
        <v>77255.0</v>
      </c>
      <c r="C2288" s="38" t="s">
        <v>4192</v>
      </c>
      <c r="D2288" s="38" t="str">
        <f>IFERROR(__xludf.DUMMYFUNCTION("REGEXREPLACE(C2288,""-\d+(.*)|--\d+(.*)"","""")"),"LIVRY-SUR-SEINE")</f>
        <v>LIVRY-SUR-SEINE</v>
      </c>
      <c r="E2288" s="38" t="s">
        <v>244</v>
      </c>
      <c r="F2288" s="38" t="s">
        <v>245</v>
      </c>
      <c r="G2288" s="49" t="str">
        <f t="shared" si="1"/>
        <v>77000</v>
      </c>
      <c r="H2288" s="49">
        <f t="shared" si="2"/>
        <v>77255</v>
      </c>
    </row>
    <row r="2289">
      <c r="A2289" s="48" t="s">
        <v>4193</v>
      </c>
      <c r="B2289" s="38">
        <v>17062.0</v>
      </c>
      <c r="C2289" s="38" t="s">
        <v>4194</v>
      </c>
      <c r="D2289" s="38" t="str">
        <f>IFERROR(__xludf.DUMMYFUNCTION("REGEXREPLACE(C2289,""-\d+(.*)|--\d+(.*)"","""")"),"BRESDON")</f>
        <v>BRESDON</v>
      </c>
      <c r="E2289" s="38" t="s">
        <v>488</v>
      </c>
      <c r="F2289" s="38" t="s">
        <v>338</v>
      </c>
      <c r="G2289" s="49" t="str">
        <f t="shared" si="1"/>
        <v>17490</v>
      </c>
      <c r="H2289" s="49">
        <f t="shared" si="2"/>
        <v>17062</v>
      </c>
    </row>
    <row r="2290">
      <c r="A2290" s="48" t="s">
        <v>2886</v>
      </c>
      <c r="B2290" s="38">
        <v>89480.0</v>
      </c>
      <c r="C2290" s="38" t="s">
        <v>4195</v>
      </c>
      <c r="D2290" s="38" t="str">
        <f>IFERROR(__xludf.DUMMYFUNCTION("REGEXREPLACE(C2290,""-\d+(.*)|--\d+(.*)"","""")"),"VINNEUF")</f>
        <v>VINNEUF</v>
      </c>
      <c r="E2290" s="38" t="s">
        <v>275</v>
      </c>
      <c r="F2290" s="38" t="s">
        <v>106</v>
      </c>
      <c r="G2290" s="49" t="str">
        <f t="shared" si="1"/>
        <v>89140</v>
      </c>
      <c r="H2290" s="49">
        <f t="shared" si="2"/>
        <v>89480</v>
      </c>
    </row>
    <row r="2291">
      <c r="A2291" s="48" t="s">
        <v>4196</v>
      </c>
      <c r="B2291" s="38">
        <v>8194.0</v>
      </c>
      <c r="C2291" s="38" t="s">
        <v>4197</v>
      </c>
      <c r="D2291" s="38" t="str">
        <f>IFERROR(__xludf.DUMMYFUNCTION("REGEXREPLACE(C2291,""-\d+(.*)|--\d+(.*)"","""")"),"GLAIRE")</f>
        <v>GLAIRE</v>
      </c>
      <c r="E2291" s="38" t="s">
        <v>327</v>
      </c>
      <c r="F2291" s="38" t="s">
        <v>130</v>
      </c>
      <c r="G2291" s="49" t="str">
        <f t="shared" si="1"/>
        <v>08200</v>
      </c>
      <c r="H2291" s="49" t="str">
        <f t="shared" si="2"/>
        <v>08194</v>
      </c>
    </row>
    <row r="2292">
      <c r="A2292" s="48" t="s">
        <v>1012</v>
      </c>
      <c r="B2292" s="38">
        <v>21505.0</v>
      </c>
      <c r="C2292" s="38" t="s">
        <v>4198</v>
      </c>
      <c r="D2292" s="38" t="str">
        <f>IFERROR(__xludf.DUMMYFUNCTION("REGEXREPLACE(C2292,""-\d+(.*)|--\d+(.*)"","""")"),"PRECY-SOUS-THIL")</f>
        <v>PRECY-SOUS-THIL</v>
      </c>
      <c r="E2292" s="38" t="s">
        <v>105</v>
      </c>
      <c r="F2292" s="38" t="s">
        <v>106</v>
      </c>
      <c r="G2292" s="49" t="str">
        <f t="shared" si="1"/>
        <v>21390</v>
      </c>
      <c r="H2292" s="49">
        <f t="shared" si="2"/>
        <v>21505</v>
      </c>
    </row>
    <row r="2293">
      <c r="A2293" s="48" t="s">
        <v>4199</v>
      </c>
      <c r="B2293" s="38">
        <v>17287.0</v>
      </c>
      <c r="C2293" s="38" t="s">
        <v>4200</v>
      </c>
      <c r="D2293" s="38" t="str">
        <f>IFERROR(__xludf.DUMMYFUNCTION("REGEXREPLACE(C2293,""-\d+(.*)|--\d+(.*)"","""")"),"POUILLAC")</f>
        <v>POUILLAC</v>
      </c>
      <c r="E2293" s="38" t="s">
        <v>488</v>
      </c>
      <c r="F2293" s="38" t="s">
        <v>338</v>
      </c>
      <c r="G2293" s="49" t="str">
        <f t="shared" si="1"/>
        <v>17210</v>
      </c>
      <c r="H2293" s="49">
        <f t="shared" si="2"/>
        <v>17287</v>
      </c>
    </row>
    <row r="2294">
      <c r="A2294" s="48" t="s">
        <v>1493</v>
      </c>
      <c r="B2294" s="38">
        <v>58269.0</v>
      </c>
      <c r="C2294" s="38" t="s">
        <v>1346</v>
      </c>
      <c r="D2294" s="38" t="str">
        <f>IFERROR(__xludf.DUMMYFUNCTION("REGEXREPLACE(C2294,""-\d+(.*)|--\d+(.*)"","""")"),"SAINT-SULPICE")</f>
        <v>SAINT-SULPICE</v>
      </c>
      <c r="E2294" s="38" t="s">
        <v>219</v>
      </c>
      <c r="F2294" s="38" t="s">
        <v>106</v>
      </c>
      <c r="G2294" s="49" t="str">
        <f t="shared" si="1"/>
        <v>58270</v>
      </c>
      <c r="H2294" s="49">
        <f t="shared" si="2"/>
        <v>58269</v>
      </c>
    </row>
    <row r="2295">
      <c r="A2295" s="48" t="s">
        <v>3666</v>
      </c>
      <c r="B2295" s="38">
        <v>21282.0</v>
      </c>
      <c r="C2295" s="38" t="s">
        <v>4201</v>
      </c>
      <c r="D2295" s="38" t="str">
        <f>IFERROR(__xludf.DUMMYFUNCTION("REGEXREPLACE(C2295,""-\d+(.*)|--\d+(.*)"","""")"),"FORLEANS")</f>
        <v>FORLEANS</v>
      </c>
      <c r="E2295" s="38" t="s">
        <v>105</v>
      </c>
      <c r="F2295" s="38" t="s">
        <v>106</v>
      </c>
      <c r="G2295" s="49" t="str">
        <f t="shared" si="1"/>
        <v>21460</v>
      </c>
      <c r="H2295" s="49">
        <f t="shared" si="2"/>
        <v>21282</v>
      </c>
    </row>
    <row r="2296">
      <c r="A2296" s="48" t="s">
        <v>2029</v>
      </c>
      <c r="B2296" s="38">
        <v>50517.0</v>
      </c>
      <c r="C2296" s="38" t="s">
        <v>4202</v>
      </c>
      <c r="D2296" s="38" t="str">
        <f>IFERROR(__xludf.DUMMYFUNCTION("REGEXREPLACE(C2296,""-\d+(.*)|--\d+(.*)"","""")"),"SAINT-MARTIN-DE-VARREVILLE")</f>
        <v>SAINT-MARTIN-DE-VARREVILLE</v>
      </c>
      <c r="E2296" s="38" t="s">
        <v>157</v>
      </c>
      <c r="F2296" s="38" t="s">
        <v>138</v>
      </c>
      <c r="G2296" s="49" t="str">
        <f t="shared" si="1"/>
        <v>50480</v>
      </c>
      <c r="H2296" s="49">
        <f t="shared" si="2"/>
        <v>50517</v>
      </c>
    </row>
    <row r="2297">
      <c r="A2297" s="48" t="s">
        <v>4203</v>
      </c>
      <c r="B2297" s="38">
        <v>77418.0</v>
      </c>
      <c r="C2297" s="38" t="s">
        <v>4204</v>
      </c>
      <c r="D2297" s="38" t="str">
        <f>IFERROR(__xludf.DUMMYFUNCTION("REGEXREPLACE(C2297,""-\d+(.*)|--\d+(.*)"","""")"),"SAINT-LOUP-DE-NAUD")</f>
        <v>SAINT-LOUP-DE-NAUD</v>
      </c>
      <c r="E2297" s="38" t="s">
        <v>244</v>
      </c>
      <c r="F2297" s="38" t="s">
        <v>245</v>
      </c>
      <c r="G2297" s="49" t="str">
        <f t="shared" si="1"/>
        <v>77650</v>
      </c>
      <c r="H2297" s="49">
        <f t="shared" si="2"/>
        <v>77418</v>
      </c>
    </row>
    <row r="2298">
      <c r="A2298" s="48" t="s">
        <v>4205</v>
      </c>
      <c r="B2298" s="38">
        <v>66212.0</v>
      </c>
      <c r="C2298" s="38" t="s">
        <v>4206</v>
      </c>
      <c r="D2298" s="38" t="str">
        <f>IFERROR(__xludf.DUMMYFUNCTION("REGEXREPLACE(C2298,""-\d+(.*)|--\d+(.*)"","""")"),"TORREILLES")</f>
        <v>TORREILLES</v>
      </c>
      <c r="E2298" s="38" t="s">
        <v>248</v>
      </c>
      <c r="F2298" s="38" t="s">
        <v>119</v>
      </c>
      <c r="G2298" s="49" t="str">
        <f t="shared" si="1"/>
        <v>66440</v>
      </c>
      <c r="H2298" s="49">
        <f t="shared" si="2"/>
        <v>66212</v>
      </c>
    </row>
    <row r="2299">
      <c r="A2299" s="48" t="s">
        <v>2697</v>
      </c>
      <c r="B2299" s="38">
        <v>61039.0</v>
      </c>
      <c r="C2299" s="38" t="s">
        <v>4207</v>
      </c>
      <c r="D2299" s="38" t="str">
        <f>IFERROR(__xludf.DUMMYFUNCTION("REGEXREPLACE(C2299,""-\d+(.*)|--\d+(.*)"","""")"),"LA BELLIERE")</f>
        <v>LA BELLIERE</v>
      </c>
      <c r="E2299" s="38" t="s">
        <v>141</v>
      </c>
      <c r="F2299" s="38" t="s">
        <v>138</v>
      </c>
      <c r="G2299" s="49" t="str">
        <f t="shared" si="1"/>
        <v>61570</v>
      </c>
      <c r="H2299" s="49">
        <f t="shared" si="2"/>
        <v>61039</v>
      </c>
    </row>
    <row r="2300">
      <c r="A2300" s="48" t="s">
        <v>2029</v>
      </c>
      <c r="B2300" s="38">
        <v>50103.0</v>
      </c>
      <c r="C2300" s="38" t="s">
        <v>4208</v>
      </c>
      <c r="D2300" s="38" t="str">
        <f>IFERROR(__xludf.DUMMYFUNCTION("REGEXREPLACE(C2300,""-\d+(.*)|--\d+(.*)"","""")"),"CARQUEBUT")</f>
        <v>CARQUEBUT</v>
      </c>
      <c r="E2300" s="38" t="s">
        <v>157</v>
      </c>
      <c r="F2300" s="38" t="s">
        <v>138</v>
      </c>
      <c r="G2300" s="49" t="str">
        <f t="shared" si="1"/>
        <v>50480</v>
      </c>
      <c r="H2300" s="49">
        <f t="shared" si="2"/>
        <v>50103</v>
      </c>
    </row>
    <row r="2301">
      <c r="A2301" s="48" t="s">
        <v>3628</v>
      </c>
      <c r="B2301" s="38">
        <v>16365.0</v>
      </c>
      <c r="C2301" s="38" t="s">
        <v>4209</v>
      </c>
      <c r="D2301" s="38" t="str">
        <f>IFERROR(__xludf.DUMMYFUNCTION("REGEXREPLACE(C2301,""-\d+(.*)|--\d+(.*)"","""")"),"SAUVIGNAC")</f>
        <v>SAUVIGNAC</v>
      </c>
      <c r="E2301" s="38" t="s">
        <v>429</v>
      </c>
      <c r="F2301" s="38" t="s">
        <v>338</v>
      </c>
      <c r="G2301" s="49" t="str">
        <f t="shared" si="1"/>
        <v>16480</v>
      </c>
      <c r="H2301" s="49">
        <f t="shared" si="2"/>
        <v>16365</v>
      </c>
    </row>
    <row r="2302">
      <c r="A2302" s="48" t="s">
        <v>4210</v>
      </c>
      <c r="B2302" s="38">
        <v>71280.0</v>
      </c>
      <c r="C2302" s="38" t="s">
        <v>4211</v>
      </c>
      <c r="D2302" s="38" t="str">
        <f>IFERROR(__xludf.DUMMYFUNCTION("REGEXREPLACE(C2302,""-\d+(.*)|--\d+(.*)"","""")"),"MARLY-SOUS-ISSY")</f>
        <v>MARLY-SOUS-ISSY</v>
      </c>
      <c r="E2302" s="38" t="s">
        <v>344</v>
      </c>
      <c r="F2302" s="38" t="s">
        <v>106</v>
      </c>
      <c r="G2302" s="49" t="str">
        <f t="shared" si="1"/>
        <v>71760</v>
      </c>
      <c r="H2302" s="49">
        <f t="shared" si="2"/>
        <v>71280</v>
      </c>
    </row>
    <row r="2303">
      <c r="A2303" s="48" t="s">
        <v>643</v>
      </c>
      <c r="B2303" s="38">
        <v>88070.0</v>
      </c>
      <c r="C2303" s="38" t="s">
        <v>4212</v>
      </c>
      <c r="D2303" s="38" t="str">
        <f>IFERROR(__xludf.DUMMYFUNCTION("REGEXREPLACE(C2303,""-\d+(.*)|--\d+(.*)"","""")"),"BOUXURULLES")</f>
        <v>BOUXURULLES</v>
      </c>
      <c r="E2303" s="38" t="s">
        <v>194</v>
      </c>
      <c r="F2303" s="38" t="s">
        <v>195</v>
      </c>
      <c r="G2303" s="49" t="str">
        <f t="shared" si="1"/>
        <v>88130</v>
      </c>
      <c r="H2303" s="49">
        <f t="shared" si="2"/>
        <v>88070</v>
      </c>
    </row>
    <row r="2304">
      <c r="A2304" s="48" t="s">
        <v>4213</v>
      </c>
      <c r="B2304" s="38">
        <v>7168.0</v>
      </c>
      <c r="C2304" s="38" t="s">
        <v>4214</v>
      </c>
      <c r="D2304" s="38" t="str">
        <f>IFERROR(__xludf.DUMMYFUNCTION("REGEXREPLACE(C2304,""-\d+(.*)|--\d+(.*)"","""")"),"ORGNAC-L'AVEN")</f>
        <v>ORGNAC-L'AVEN</v>
      </c>
      <c r="E2304" s="38" t="s">
        <v>144</v>
      </c>
      <c r="F2304" s="38" t="s">
        <v>102</v>
      </c>
      <c r="G2304" s="49" t="str">
        <f t="shared" si="1"/>
        <v>07150</v>
      </c>
      <c r="H2304" s="49" t="str">
        <f t="shared" si="2"/>
        <v>07168</v>
      </c>
    </row>
    <row r="2305">
      <c r="A2305" s="48" t="s">
        <v>4215</v>
      </c>
      <c r="B2305" s="38">
        <v>27525.0</v>
      </c>
      <c r="C2305" s="38" t="s">
        <v>4216</v>
      </c>
      <c r="D2305" s="38" t="str">
        <f>IFERROR(__xludf.DUMMYFUNCTION("REGEXREPLACE(C2305,""-\d+(.*)|--\d+(.*)"","""")"),"SAINTE-COLOMBE-PRES-VERNON")</f>
        <v>SAINTE-COLOMBE-PRES-VERNON</v>
      </c>
      <c r="E2305" s="38" t="s">
        <v>241</v>
      </c>
      <c r="F2305" s="38" t="s">
        <v>134</v>
      </c>
      <c r="G2305" s="49" t="str">
        <f t="shared" si="1"/>
        <v>27950</v>
      </c>
      <c r="H2305" s="49">
        <f t="shared" si="2"/>
        <v>27525</v>
      </c>
    </row>
    <row r="2306">
      <c r="A2306" s="48" t="s">
        <v>4217</v>
      </c>
      <c r="B2306" s="38">
        <v>7278.0</v>
      </c>
      <c r="C2306" s="38" t="s">
        <v>4218</v>
      </c>
      <c r="D2306" s="38" t="str">
        <f>IFERROR(__xludf.DUMMYFUNCTION("REGEXREPLACE(C2306,""-\d+(.*)|--\d+(.*)"","""")"),"SAINT-MICHEL-DE-CHABRILLANOUX")</f>
        <v>SAINT-MICHEL-DE-CHABRILLANOUX</v>
      </c>
      <c r="E2306" s="38" t="s">
        <v>144</v>
      </c>
      <c r="F2306" s="38" t="s">
        <v>102</v>
      </c>
      <c r="G2306" s="49" t="str">
        <f t="shared" si="1"/>
        <v>07360</v>
      </c>
      <c r="H2306" s="49" t="str">
        <f t="shared" si="2"/>
        <v>07278</v>
      </c>
    </row>
    <row r="2307">
      <c r="A2307" s="48" t="s">
        <v>2989</v>
      </c>
      <c r="B2307" s="38">
        <v>70507.0</v>
      </c>
      <c r="C2307" s="38" t="s">
        <v>4219</v>
      </c>
      <c r="D2307" s="38" t="str">
        <f>IFERROR(__xludf.DUMMYFUNCTION("REGEXREPLACE(C2307,""-\d+(.*)|--\d+(.*)"","""")"),"TRESILLEY")</f>
        <v>TRESILLEY</v>
      </c>
      <c r="E2307" s="38" t="s">
        <v>956</v>
      </c>
      <c r="F2307" s="38" t="s">
        <v>214</v>
      </c>
      <c r="G2307" s="49" t="str">
        <f t="shared" si="1"/>
        <v>70190</v>
      </c>
      <c r="H2307" s="49">
        <f t="shared" si="2"/>
        <v>70507</v>
      </c>
    </row>
    <row r="2308">
      <c r="A2308" s="48" t="s">
        <v>4220</v>
      </c>
      <c r="B2308" s="38">
        <v>35331.0</v>
      </c>
      <c r="C2308" s="38" t="s">
        <v>4221</v>
      </c>
      <c r="D2308" s="38" t="str">
        <f>IFERROR(__xludf.DUMMYFUNCTION("REGEXREPLACE(C2308,""-\d+(.*)|--\d+(.*)"","""")"),"TALENSAC")</f>
        <v>TALENSAC</v>
      </c>
      <c r="E2308" s="38" t="s">
        <v>347</v>
      </c>
      <c r="F2308" s="38" t="s">
        <v>90</v>
      </c>
      <c r="G2308" s="49" t="str">
        <f t="shared" si="1"/>
        <v>35160</v>
      </c>
      <c r="H2308" s="49">
        <f t="shared" si="2"/>
        <v>35331</v>
      </c>
    </row>
    <row r="2309">
      <c r="A2309" s="48" t="s">
        <v>3172</v>
      </c>
      <c r="B2309" s="38">
        <v>28176.0</v>
      </c>
      <c r="C2309" s="38" t="s">
        <v>4222</v>
      </c>
      <c r="D2309" s="38" t="str">
        <f>IFERROR(__xludf.DUMMYFUNCTION("REGEXREPLACE(C2309,""-\d+(.*)|--\d+(.*)"","""")"),"LE GAULT-SAINT-DENIS")</f>
        <v>LE GAULT-SAINT-DENIS</v>
      </c>
      <c r="E2309" s="38" t="s">
        <v>300</v>
      </c>
      <c r="F2309" s="38" t="s">
        <v>123</v>
      </c>
      <c r="G2309" s="49" t="str">
        <f t="shared" si="1"/>
        <v>28800</v>
      </c>
      <c r="H2309" s="49">
        <f t="shared" si="2"/>
        <v>28176</v>
      </c>
    </row>
    <row r="2310">
      <c r="A2310" s="48" t="s">
        <v>719</v>
      </c>
      <c r="B2310" s="38">
        <v>8283.0</v>
      </c>
      <c r="C2310" s="38" t="s">
        <v>4223</v>
      </c>
      <c r="D2310" s="38" t="str">
        <f>IFERROR(__xludf.DUMMYFUNCTION("REGEXREPLACE(C2310,""-\d+(.*)|--\d+(.*)"","""")"),"MAZERNY")</f>
        <v>MAZERNY</v>
      </c>
      <c r="E2310" s="38" t="s">
        <v>327</v>
      </c>
      <c r="F2310" s="38" t="s">
        <v>130</v>
      </c>
      <c r="G2310" s="49" t="str">
        <f t="shared" si="1"/>
        <v>08430</v>
      </c>
      <c r="H2310" s="49" t="str">
        <f t="shared" si="2"/>
        <v>08283</v>
      </c>
    </row>
    <row r="2311">
      <c r="A2311" s="48" t="s">
        <v>4224</v>
      </c>
      <c r="B2311" s="38">
        <v>29161.0</v>
      </c>
      <c r="C2311" s="38" t="s">
        <v>4225</v>
      </c>
      <c r="D2311" s="38" t="str">
        <f>IFERROR(__xludf.DUMMYFUNCTION("REGEXREPLACE(C2311,""-\d+(.*)|--\d+(.*)"","""")"),"PLEUVEN")</f>
        <v>PLEUVEN</v>
      </c>
      <c r="E2311" s="38" t="s">
        <v>176</v>
      </c>
      <c r="F2311" s="38" t="s">
        <v>90</v>
      </c>
      <c r="G2311" s="49" t="str">
        <f t="shared" si="1"/>
        <v>29170</v>
      </c>
      <c r="H2311" s="49">
        <f t="shared" si="2"/>
        <v>29161</v>
      </c>
    </row>
    <row r="2312">
      <c r="A2312" s="48" t="s">
        <v>3541</v>
      </c>
      <c r="B2312" s="38">
        <v>32036.0</v>
      </c>
      <c r="C2312" s="38" t="s">
        <v>4226</v>
      </c>
      <c r="D2312" s="38" t="str">
        <f>IFERROR(__xludf.DUMMYFUNCTION("REGEXREPLACE(C2312,""-\d+(.*)|--\d+(.*)"","""")"),"BEAUMARCHES")</f>
        <v>BEAUMARCHES</v>
      </c>
      <c r="E2312" s="38" t="s">
        <v>440</v>
      </c>
      <c r="F2312" s="38" t="s">
        <v>94</v>
      </c>
      <c r="G2312" s="49" t="str">
        <f t="shared" si="1"/>
        <v>32160</v>
      </c>
      <c r="H2312" s="49">
        <f t="shared" si="2"/>
        <v>32036</v>
      </c>
    </row>
    <row r="2313">
      <c r="A2313" s="48" t="s">
        <v>4227</v>
      </c>
      <c r="B2313" s="38">
        <v>22007.0</v>
      </c>
      <c r="C2313" s="38" t="s">
        <v>4228</v>
      </c>
      <c r="D2313" s="38" t="str">
        <f>IFERROR(__xludf.DUMMYFUNCTION("REGEXREPLACE(C2313,""-\d+(.*)|--\d+(.*)"","""")"),"BINIC")</f>
        <v>BINIC</v>
      </c>
      <c r="E2313" s="38" t="s">
        <v>89</v>
      </c>
      <c r="F2313" s="38" t="s">
        <v>90</v>
      </c>
      <c r="G2313" s="49" t="str">
        <f t="shared" si="1"/>
        <v>22520</v>
      </c>
      <c r="H2313" s="49">
        <f t="shared" si="2"/>
        <v>22007</v>
      </c>
    </row>
    <row r="2314">
      <c r="A2314" s="48" t="s">
        <v>1354</v>
      </c>
      <c r="B2314" s="38">
        <v>28163.0</v>
      </c>
      <c r="C2314" s="38" t="s">
        <v>4229</v>
      </c>
      <c r="D2314" s="38" t="str">
        <f>IFERROR(__xludf.DUMMYFUNCTION("REGEXREPLACE(C2314,""-\d+(.*)|--\d+(.*)"","""")"),"FRESNAY-LE-GILMERT")</f>
        <v>FRESNAY-LE-GILMERT</v>
      </c>
      <c r="E2314" s="38" t="s">
        <v>300</v>
      </c>
      <c r="F2314" s="38" t="s">
        <v>123</v>
      </c>
      <c r="G2314" s="49" t="str">
        <f t="shared" si="1"/>
        <v>28300</v>
      </c>
      <c r="H2314" s="49">
        <f t="shared" si="2"/>
        <v>28163</v>
      </c>
    </row>
    <row r="2315">
      <c r="A2315" s="48" t="s">
        <v>2103</v>
      </c>
      <c r="B2315" s="38">
        <v>54329.0</v>
      </c>
      <c r="C2315" s="38" t="s">
        <v>4230</v>
      </c>
      <c r="D2315" s="38" t="str">
        <f>IFERROR(__xludf.DUMMYFUNCTION("REGEXREPLACE(C2315,""-\d+(.*)|--\d+(.*)"","""")"),"LUNEVILLE")</f>
        <v>LUNEVILLE</v>
      </c>
      <c r="E2315" s="38" t="s">
        <v>548</v>
      </c>
      <c r="F2315" s="38" t="s">
        <v>195</v>
      </c>
      <c r="G2315" s="49" t="str">
        <f t="shared" si="1"/>
        <v>54300</v>
      </c>
      <c r="H2315" s="49">
        <f t="shared" si="2"/>
        <v>54329</v>
      </c>
    </row>
    <row r="2316">
      <c r="A2316" s="48" t="s">
        <v>4231</v>
      </c>
      <c r="B2316" s="38">
        <v>68178.0</v>
      </c>
      <c r="C2316" s="38" t="s">
        <v>4232</v>
      </c>
      <c r="D2316" s="38" t="str">
        <f>IFERROR(__xludf.DUMMYFUNCTION("REGEXREPLACE(C2316,""-\d+(.*)|--\d+(.*)"","""")"),"LAUTENBACHZELL")</f>
        <v>LAUTENBACHZELL</v>
      </c>
      <c r="E2316" s="38" t="s">
        <v>150</v>
      </c>
      <c r="F2316" s="38" t="s">
        <v>151</v>
      </c>
      <c r="G2316" s="49" t="str">
        <f t="shared" si="1"/>
        <v>68610</v>
      </c>
      <c r="H2316" s="49">
        <f t="shared" si="2"/>
        <v>68178</v>
      </c>
    </row>
    <row r="2317">
      <c r="A2317" s="48" t="s">
        <v>1446</v>
      </c>
      <c r="B2317" s="38">
        <v>76706.0</v>
      </c>
      <c r="C2317" s="38" t="s">
        <v>4233</v>
      </c>
      <c r="D2317" s="38" t="str">
        <f>IFERROR(__xludf.DUMMYFUNCTION("REGEXREPLACE(C2317,""-\d+(.*)|--\d+(.*)"","""")"),"TOURVILLE-LES-IFS")</f>
        <v>TOURVILLE-LES-IFS</v>
      </c>
      <c r="E2317" s="38" t="s">
        <v>133</v>
      </c>
      <c r="F2317" s="38" t="s">
        <v>134</v>
      </c>
      <c r="G2317" s="49" t="str">
        <f t="shared" si="1"/>
        <v>76400</v>
      </c>
      <c r="H2317" s="49">
        <f t="shared" si="2"/>
        <v>76706</v>
      </c>
    </row>
    <row r="2318">
      <c r="A2318" s="48" t="s">
        <v>3675</v>
      </c>
      <c r="B2318" s="38">
        <v>58165.0</v>
      </c>
      <c r="C2318" s="38" t="s">
        <v>4234</v>
      </c>
      <c r="D2318" s="38" t="str">
        <f>IFERROR(__xludf.DUMMYFUNCTION("REGEXREPLACE(C2318,""-\d+(.*)|--\d+(.*)"","""")"),"METZ-LE-COMTE")</f>
        <v>METZ-LE-COMTE</v>
      </c>
      <c r="E2318" s="38" t="s">
        <v>219</v>
      </c>
      <c r="F2318" s="38" t="s">
        <v>106</v>
      </c>
      <c r="G2318" s="49" t="str">
        <f t="shared" si="1"/>
        <v>58190</v>
      </c>
      <c r="H2318" s="49">
        <f t="shared" si="2"/>
        <v>58165</v>
      </c>
    </row>
    <row r="2319">
      <c r="A2319" s="48" t="s">
        <v>4235</v>
      </c>
      <c r="B2319" s="38">
        <v>50531.0</v>
      </c>
      <c r="C2319" s="38" t="s">
        <v>4236</v>
      </c>
      <c r="D2319" s="38" t="str">
        <f>IFERROR(__xludf.DUMMYFUNCTION("REGEXREPLACE(C2319,""-\d+(.*)|--\d+(.*)"","""")"),"SAINT-OVIN")</f>
        <v>SAINT-OVIN</v>
      </c>
      <c r="E2319" s="38" t="s">
        <v>157</v>
      </c>
      <c r="F2319" s="38" t="s">
        <v>138</v>
      </c>
      <c r="G2319" s="49" t="str">
        <f t="shared" si="1"/>
        <v>50300</v>
      </c>
      <c r="H2319" s="49">
        <f t="shared" si="2"/>
        <v>50531</v>
      </c>
    </row>
    <row r="2320">
      <c r="A2320" s="48" t="s">
        <v>2100</v>
      </c>
      <c r="B2320" s="38">
        <v>14661.0</v>
      </c>
      <c r="C2320" s="38" t="s">
        <v>4237</v>
      </c>
      <c r="D2320" s="38" t="str">
        <f>IFERROR(__xludf.DUMMYFUNCTION("REGEXREPLACE(C2320,""-\d+(.*)|--\d+(.*)"","""")"),"SAINT-VAAST-SUR-SEULLES")</f>
        <v>SAINT-VAAST-SUR-SEULLES</v>
      </c>
      <c r="E2320" s="38" t="s">
        <v>137</v>
      </c>
      <c r="F2320" s="38" t="s">
        <v>138</v>
      </c>
      <c r="G2320" s="49" t="str">
        <f t="shared" si="1"/>
        <v>14250</v>
      </c>
      <c r="H2320" s="49">
        <f t="shared" si="2"/>
        <v>14661</v>
      </c>
    </row>
    <row r="2321">
      <c r="A2321" s="48" t="s">
        <v>4238</v>
      </c>
      <c r="B2321" s="38">
        <v>54577.0</v>
      </c>
      <c r="C2321" s="38" t="s">
        <v>4239</v>
      </c>
      <c r="D2321" s="38" t="str">
        <f>IFERROR(__xludf.DUMMYFUNCTION("REGEXREPLACE(C2321,""-\d+(.*)|--\d+(.*)"","""")"),"VILLERS-LES-MOIVRONS")</f>
        <v>VILLERS-LES-MOIVRONS</v>
      </c>
      <c r="E2321" s="38" t="s">
        <v>548</v>
      </c>
      <c r="F2321" s="38" t="s">
        <v>195</v>
      </c>
      <c r="G2321" s="49" t="str">
        <f t="shared" si="1"/>
        <v>54760</v>
      </c>
      <c r="H2321" s="49">
        <f t="shared" si="2"/>
        <v>54577</v>
      </c>
    </row>
    <row r="2322">
      <c r="A2322" s="48" t="s">
        <v>167</v>
      </c>
      <c r="B2322" s="38">
        <v>34138.0</v>
      </c>
      <c r="C2322" s="38" t="s">
        <v>4240</v>
      </c>
      <c r="D2322" s="38" t="str">
        <f>IFERROR(__xludf.DUMMYFUNCTION("REGEXREPLACE(C2322,""-\d+(.*)|--\d+(.*)"","""")"),"LIEURAN-CABRIERES")</f>
        <v>LIEURAN-CABRIERES</v>
      </c>
      <c r="E2322" s="38" t="s">
        <v>118</v>
      </c>
      <c r="F2322" s="38" t="s">
        <v>119</v>
      </c>
      <c r="G2322" s="49" t="str">
        <f t="shared" si="1"/>
        <v>34800</v>
      </c>
      <c r="H2322" s="49">
        <f t="shared" si="2"/>
        <v>34138</v>
      </c>
    </row>
    <row r="2323">
      <c r="A2323" s="48" t="s">
        <v>4241</v>
      </c>
      <c r="B2323" s="38">
        <v>13211.0</v>
      </c>
      <c r="C2323" s="38" t="s">
        <v>4242</v>
      </c>
      <c r="D2323" s="38" t="str">
        <f>IFERROR(__xludf.DUMMYFUNCTION("REGEXREPLACE(C2323,""-\d+(.*)|--\d+(.*)"","""")"),"MARSEILLE")</f>
        <v>MARSEILLE</v>
      </c>
      <c r="E2323" s="38" t="s">
        <v>980</v>
      </c>
      <c r="F2323" s="38" t="s">
        <v>228</v>
      </c>
      <c r="G2323" s="49" t="str">
        <f t="shared" si="1"/>
        <v>13011</v>
      </c>
      <c r="H2323" s="49">
        <f t="shared" si="2"/>
        <v>13211</v>
      </c>
    </row>
    <row r="2324">
      <c r="A2324" s="48" t="s">
        <v>4243</v>
      </c>
      <c r="B2324" s="38">
        <v>22285.0</v>
      </c>
      <c r="C2324" s="38" t="s">
        <v>4244</v>
      </c>
      <c r="D2324" s="38" t="str">
        <f>IFERROR(__xludf.DUMMYFUNCTION("REGEXREPLACE(C2324,""-\d+(.*)|--\d+(.*)"","""")"),"SAINT-CONNEC")</f>
        <v>SAINT-CONNEC</v>
      </c>
      <c r="E2324" s="38" t="s">
        <v>89</v>
      </c>
      <c r="F2324" s="38" t="s">
        <v>90</v>
      </c>
      <c r="G2324" s="49" t="str">
        <f t="shared" si="1"/>
        <v>22530</v>
      </c>
      <c r="H2324" s="49">
        <f t="shared" si="2"/>
        <v>22285</v>
      </c>
    </row>
    <row r="2325">
      <c r="A2325" s="48" t="s">
        <v>4245</v>
      </c>
      <c r="B2325" s="38">
        <v>50196.0</v>
      </c>
      <c r="C2325" s="38" t="s">
        <v>4246</v>
      </c>
      <c r="D2325" s="38" t="str">
        <f>IFERROR(__xludf.DUMMYFUNCTION("REGEXREPLACE(C2325,""-\d+(.*)|--\d+(.*)"","""")"),"GATTEVILLE-LE-PHARE")</f>
        <v>GATTEVILLE-LE-PHARE</v>
      </c>
      <c r="E2325" s="38" t="s">
        <v>157</v>
      </c>
      <c r="F2325" s="38" t="s">
        <v>138</v>
      </c>
      <c r="G2325" s="49" t="str">
        <f t="shared" si="1"/>
        <v>50760</v>
      </c>
      <c r="H2325" s="49">
        <f t="shared" si="2"/>
        <v>50196</v>
      </c>
    </row>
    <row r="2326">
      <c r="A2326" s="48" t="s">
        <v>4247</v>
      </c>
      <c r="B2326" s="38">
        <v>59497.0</v>
      </c>
      <c r="C2326" s="38" t="s">
        <v>4248</v>
      </c>
      <c r="D2326" s="38" t="str">
        <f>IFERROR(__xludf.DUMMYFUNCTION("REGEXREPLACE(C2326,""-\d+(.*)|--\d+(.*)"","""")"),"RENESCURE")</f>
        <v>RENESCURE</v>
      </c>
      <c r="E2326" s="38" t="s">
        <v>85</v>
      </c>
      <c r="F2326" s="38" t="s">
        <v>86</v>
      </c>
      <c r="G2326" s="49" t="str">
        <f t="shared" si="1"/>
        <v>59173</v>
      </c>
      <c r="H2326" s="49">
        <f t="shared" si="2"/>
        <v>59497</v>
      </c>
    </row>
    <row r="2327">
      <c r="A2327" s="48" t="s">
        <v>4249</v>
      </c>
      <c r="B2327" s="38">
        <v>38068.0</v>
      </c>
      <c r="C2327" s="38" t="s">
        <v>4250</v>
      </c>
      <c r="D2327" s="38" t="str">
        <f>IFERROR(__xludf.DUMMYFUNCTION("REGEXREPLACE(C2327,""-\d+(.*)|--\d+(.*)"","""")"),"CHAMPAGNIER")</f>
        <v>CHAMPAGNIER</v>
      </c>
      <c r="E2327" s="38" t="s">
        <v>101</v>
      </c>
      <c r="F2327" s="38" t="s">
        <v>102</v>
      </c>
      <c r="G2327" s="49" t="str">
        <f t="shared" si="1"/>
        <v>38800</v>
      </c>
      <c r="H2327" s="49">
        <f t="shared" si="2"/>
        <v>38068</v>
      </c>
    </row>
    <row r="2328">
      <c r="A2328" s="48" t="s">
        <v>3750</v>
      </c>
      <c r="B2328" s="38">
        <v>47265.0</v>
      </c>
      <c r="C2328" s="38" t="s">
        <v>4251</v>
      </c>
      <c r="D2328" s="38" t="str">
        <f>IFERROR(__xludf.DUMMYFUNCTION("REGEXREPLACE(C2328,""-\d+(.*)|--\d+(.*)"","""")"),"SAINT-PASTOUR")</f>
        <v>SAINT-PASTOUR</v>
      </c>
      <c r="E2328" s="38" t="s">
        <v>251</v>
      </c>
      <c r="F2328" s="38" t="s">
        <v>252</v>
      </c>
      <c r="G2328" s="49" t="str">
        <f t="shared" si="1"/>
        <v>47290</v>
      </c>
      <c r="H2328" s="49">
        <f t="shared" si="2"/>
        <v>47265</v>
      </c>
    </row>
    <row r="2329">
      <c r="A2329" s="48" t="s">
        <v>4252</v>
      </c>
      <c r="B2329" s="38">
        <v>77018.0</v>
      </c>
      <c r="C2329" s="38" t="s">
        <v>4253</v>
      </c>
      <c r="D2329" s="38" t="str">
        <f>IFERROR(__xludf.DUMMYFUNCTION("REGEXREPLACE(C2329,""-\d+(.*)|--\d+(.*)"","""")"),"BAILLY-ROMAINVILLIERS")</f>
        <v>BAILLY-ROMAINVILLIERS</v>
      </c>
      <c r="E2329" s="38" t="s">
        <v>244</v>
      </c>
      <c r="F2329" s="38" t="s">
        <v>245</v>
      </c>
      <c r="G2329" s="49" t="str">
        <f t="shared" si="1"/>
        <v>77700</v>
      </c>
      <c r="H2329" s="49">
        <f t="shared" si="2"/>
        <v>77018</v>
      </c>
    </row>
    <row r="2330">
      <c r="A2330" s="48" t="s">
        <v>127</v>
      </c>
      <c r="B2330" s="38">
        <v>51132.0</v>
      </c>
      <c r="C2330" s="38" t="s">
        <v>4254</v>
      </c>
      <c r="D2330" s="38" t="str">
        <f>IFERROR(__xludf.DUMMYFUNCTION("REGEXREPLACE(C2330,""-\d+(.*)|--\d+(.*)"","""")"),"LES CHARMONTOIS")</f>
        <v>LES CHARMONTOIS</v>
      </c>
      <c r="E2330" s="38" t="s">
        <v>129</v>
      </c>
      <c r="F2330" s="38" t="s">
        <v>130</v>
      </c>
      <c r="G2330" s="49" t="str">
        <f t="shared" si="1"/>
        <v>51330</v>
      </c>
      <c r="H2330" s="49">
        <f t="shared" si="2"/>
        <v>51132</v>
      </c>
    </row>
    <row r="2331">
      <c r="A2331" s="48" t="s">
        <v>2330</v>
      </c>
      <c r="B2331" s="38">
        <v>65393.0</v>
      </c>
      <c r="C2331" s="38" t="s">
        <v>4255</v>
      </c>
      <c r="D2331" s="38" t="str">
        <f>IFERROR(__xludf.DUMMYFUNCTION("REGEXREPLACE(C2331,""-\d+(.*)|--\d+(.*)"","""")"),"SAINT-PASTOUS")</f>
        <v>SAINT-PASTOUS</v>
      </c>
      <c r="E2331" s="38" t="s">
        <v>200</v>
      </c>
      <c r="F2331" s="38" t="s">
        <v>94</v>
      </c>
      <c r="G2331" s="49" t="str">
        <f t="shared" si="1"/>
        <v>65400</v>
      </c>
      <c r="H2331" s="49">
        <f t="shared" si="2"/>
        <v>65393</v>
      </c>
    </row>
    <row r="2332">
      <c r="A2332" s="48" t="s">
        <v>3689</v>
      </c>
      <c r="B2332" s="38">
        <v>1272.0</v>
      </c>
      <c r="C2332" s="38" t="s">
        <v>4256</v>
      </c>
      <c r="D2332" s="38" t="str">
        <f>IFERROR(__xludf.DUMMYFUNCTION("REGEXREPLACE(C2332,""-\d+(.*)|--\d+(.*)"","""")"),"NEUVILLE-LES-DAMES")</f>
        <v>NEUVILLE-LES-DAMES</v>
      </c>
      <c r="E2332" s="38" t="s">
        <v>255</v>
      </c>
      <c r="F2332" s="38" t="s">
        <v>102</v>
      </c>
      <c r="G2332" s="49" t="str">
        <f t="shared" si="1"/>
        <v>01400</v>
      </c>
      <c r="H2332" s="49" t="str">
        <f t="shared" si="2"/>
        <v>01272</v>
      </c>
    </row>
    <row r="2333">
      <c r="A2333" s="48" t="s">
        <v>3986</v>
      </c>
      <c r="B2333" s="38">
        <v>62477.0</v>
      </c>
      <c r="C2333" s="38" t="s">
        <v>4257</v>
      </c>
      <c r="D2333" s="38" t="str">
        <f>IFERROR(__xludf.DUMMYFUNCTION("REGEXREPLACE(C2333,""-\d+(.*)|--\d+(.*)"","""")"),"IZEL-LES-HAMEAU")</f>
        <v>IZEL-LES-HAMEAU</v>
      </c>
      <c r="E2333" s="38" t="s">
        <v>109</v>
      </c>
      <c r="F2333" s="38" t="s">
        <v>86</v>
      </c>
      <c r="G2333" s="49" t="str">
        <f t="shared" si="1"/>
        <v>62690</v>
      </c>
      <c r="H2333" s="49">
        <f t="shared" si="2"/>
        <v>62477</v>
      </c>
    </row>
    <row r="2334">
      <c r="A2334" s="48" t="s">
        <v>342</v>
      </c>
      <c r="B2334" s="38">
        <v>71126.0</v>
      </c>
      <c r="C2334" s="38" t="s">
        <v>4258</v>
      </c>
      <c r="D2334" s="38" t="str">
        <f>IFERROR(__xludf.DUMMYFUNCTION("REGEXREPLACE(C2334,""-\d+(.*)|--\d+(.*)"","""")"),"CHEVAGNY-LES-CHEVRIERES")</f>
        <v>CHEVAGNY-LES-CHEVRIERES</v>
      </c>
      <c r="E2334" s="38" t="s">
        <v>344</v>
      </c>
      <c r="F2334" s="38" t="s">
        <v>106</v>
      </c>
      <c r="G2334" s="49" t="str">
        <f t="shared" si="1"/>
        <v>71960</v>
      </c>
      <c r="H2334" s="49">
        <f t="shared" si="2"/>
        <v>71126</v>
      </c>
    </row>
    <row r="2335">
      <c r="A2335" s="48" t="s">
        <v>4259</v>
      </c>
      <c r="B2335" s="38">
        <v>32149.0</v>
      </c>
      <c r="C2335" s="38" t="s">
        <v>4260</v>
      </c>
      <c r="D2335" s="38" t="str">
        <f>IFERROR(__xludf.DUMMYFUNCTION("REGEXREPLACE(C2335,""-\d+(.*)|--\d+(.*)"","""")"),"GONDRIN")</f>
        <v>GONDRIN</v>
      </c>
      <c r="E2335" s="38" t="s">
        <v>440</v>
      </c>
      <c r="F2335" s="38" t="s">
        <v>94</v>
      </c>
      <c r="G2335" s="49" t="str">
        <f t="shared" si="1"/>
        <v>32330</v>
      </c>
      <c r="H2335" s="49">
        <f t="shared" si="2"/>
        <v>32149</v>
      </c>
    </row>
    <row r="2336">
      <c r="A2336" s="48" t="s">
        <v>4261</v>
      </c>
      <c r="B2336" s="38">
        <v>34203.0</v>
      </c>
      <c r="C2336" s="38" t="s">
        <v>4262</v>
      </c>
      <c r="D2336" s="38" t="str">
        <f>IFERROR(__xludf.DUMMYFUNCTION("REGEXREPLACE(C2336,""-\d+(.*)|--\d+(.*)"","""")"),"PINET")</f>
        <v>PINET</v>
      </c>
      <c r="E2336" s="38" t="s">
        <v>118</v>
      </c>
      <c r="F2336" s="38" t="s">
        <v>119</v>
      </c>
      <c r="G2336" s="49" t="str">
        <f t="shared" si="1"/>
        <v>34850</v>
      </c>
      <c r="H2336" s="49">
        <f t="shared" si="2"/>
        <v>34203</v>
      </c>
    </row>
    <row r="2337">
      <c r="A2337" s="48" t="s">
        <v>1452</v>
      </c>
      <c r="B2337" s="38">
        <v>55468.0</v>
      </c>
      <c r="C2337" s="38" t="s">
        <v>4263</v>
      </c>
      <c r="D2337" s="38" t="str">
        <f>IFERROR(__xludf.DUMMYFUNCTION("REGEXREPLACE(C2337,""-\d+(.*)|--\d+(.*)"","""")"),"SAMOGNEUX")</f>
        <v>SAMOGNEUX</v>
      </c>
      <c r="E2337" s="38" t="s">
        <v>322</v>
      </c>
      <c r="F2337" s="38" t="s">
        <v>195</v>
      </c>
      <c r="G2337" s="49" t="str">
        <f t="shared" si="1"/>
        <v>55100</v>
      </c>
      <c r="H2337" s="49">
        <f t="shared" si="2"/>
        <v>55468</v>
      </c>
    </row>
    <row r="2338">
      <c r="A2338" s="48" t="s">
        <v>4264</v>
      </c>
      <c r="B2338" s="38">
        <v>69082.0</v>
      </c>
      <c r="C2338" s="38" t="s">
        <v>4265</v>
      </c>
      <c r="D2338" s="38" t="str">
        <f>IFERROR(__xludf.DUMMYFUNCTION("REGEXREPLACE(C2338,""-\d+(.*)|--\d+(.*)"","""")"),"EMERINGES")</f>
        <v>EMERINGES</v>
      </c>
      <c r="E2338" s="38" t="s">
        <v>350</v>
      </c>
      <c r="F2338" s="38" t="s">
        <v>102</v>
      </c>
      <c r="G2338" s="49" t="str">
        <f t="shared" si="1"/>
        <v>69840</v>
      </c>
      <c r="H2338" s="49">
        <f t="shared" si="2"/>
        <v>69082</v>
      </c>
    </row>
    <row r="2339">
      <c r="A2339" s="48" t="s">
        <v>887</v>
      </c>
      <c r="B2339" s="38">
        <v>62493.0</v>
      </c>
      <c r="C2339" s="38" t="s">
        <v>4266</v>
      </c>
      <c r="D2339" s="38" t="str">
        <f>IFERROR(__xludf.DUMMYFUNCTION("REGEXREPLACE(C2339,""-\d+(.*)|--\d+(.*)"","""")"),"LEBUCQUIERE")</f>
        <v>LEBUCQUIERE</v>
      </c>
      <c r="E2339" s="38" t="s">
        <v>109</v>
      </c>
      <c r="F2339" s="38" t="s">
        <v>86</v>
      </c>
      <c r="G2339" s="49" t="str">
        <f t="shared" si="1"/>
        <v>62124</v>
      </c>
      <c r="H2339" s="49">
        <f t="shared" si="2"/>
        <v>62493</v>
      </c>
    </row>
    <row r="2340">
      <c r="A2340" s="48" t="s">
        <v>4267</v>
      </c>
      <c r="B2340" s="38">
        <v>62862.0</v>
      </c>
      <c r="C2340" s="38" t="s">
        <v>4268</v>
      </c>
      <c r="D2340" s="38" t="str">
        <f>IFERROR(__xludf.DUMMYFUNCTION("REGEXREPLACE(C2340,""-\d+(.*)|--\d+(.*)"","""")"),"VINCLY")</f>
        <v>VINCLY</v>
      </c>
      <c r="E2340" s="38" t="s">
        <v>109</v>
      </c>
      <c r="F2340" s="38" t="s">
        <v>86</v>
      </c>
      <c r="G2340" s="49" t="str">
        <f t="shared" si="1"/>
        <v>62310</v>
      </c>
      <c r="H2340" s="49">
        <f t="shared" si="2"/>
        <v>62862</v>
      </c>
    </row>
    <row r="2341">
      <c r="A2341" s="48" t="s">
        <v>3036</v>
      </c>
      <c r="B2341" s="38">
        <v>61009.0</v>
      </c>
      <c r="C2341" s="38" t="s">
        <v>4269</v>
      </c>
      <c r="D2341" s="38" t="str">
        <f>IFERROR(__xludf.DUMMYFUNCTION("REGEXREPLACE(C2341,""-\d+(.*)|--\d+(.*)"","""")"),"AUBRY-EN-EXMES")</f>
        <v>AUBRY-EN-EXMES</v>
      </c>
      <c r="E2341" s="38" t="s">
        <v>141</v>
      </c>
      <c r="F2341" s="38" t="s">
        <v>138</v>
      </c>
      <c r="G2341" s="49" t="str">
        <f t="shared" si="1"/>
        <v>61160</v>
      </c>
      <c r="H2341" s="49">
        <f t="shared" si="2"/>
        <v>61009</v>
      </c>
    </row>
    <row r="2342">
      <c r="A2342" s="48" t="s">
        <v>4270</v>
      </c>
      <c r="B2342" s="38">
        <v>76229.0</v>
      </c>
      <c r="C2342" s="38" t="s">
        <v>4271</v>
      </c>
      <c r="D2342" s="38" t="str">
        <f>IFERROR(__xludf.DUMMYFUNCTION("REGEXREPLACE(C2342,""-\d+(.*)|--\d+(.*)"","""")"),"ELBEUF-EN-BRAY")</f>
        <v>ELBEUF-EN-BRAY</v>
      </c>
      <c r="E2342" s="38" t="s">
        <v>133</v>
      </c>
      <c r="F2342" s="38" t="s">
        <v>134</v>
      </c>
      <c r="G2342" s="49" t="str">
        <f t="shared" si="1"/>
        <v>76220</v>
      </c>
      <c r="H2342" s="49">
        <f t="shared" si="2"/>
        <v>76229</v>
      </c>
    </row>
    <row r="2343">
      <c r="A2343" s="48" t="s">
        <v>1520</v>
      </c>
      <c r="B2343" s="38">
        <v>16321.0</v>
      </c>
      <c r="C2343" s="38" t="s">
        <v>2856</v>
      </c>
      <c r="D2343" s="38" t="str">
        <f>IFERROR(__xludf.DUMMYFUNCTION("REGEXREPLACE(C2343,""-\d+(.*)|--\d+(.*)"","""")"),"SAINT-GEORGES")</f>
        <v>SAINT-GEORGES</v>
      </c>
      <c r="E2343" s="38" t="s">
        <v>429</v>
      </c>
      <c r="F2343" s="38" t="s">
        <v>338</v>
      </c>
      <c r="G2343" s="49" t="str">
        <f t="shared" si="1"/>
        <v>16700</v>
      </c>
      <c r="H2343" s="49">
        <f t="shared" si="2"/>
        <v>16321</v>
      </c>
    </row>
    <row r="2344">
      <c r="A2344" s="48" t="s">
        <v>4272</v>
      </c>
      <c r="B2344" s="38">
        <v>76024.0</v>
      </c>
      <c r="C2344" s="38" t="s">
        <v>4273</v>
      </c>
      <c r="D2344" s="38" t="str">
        <f>IFERROR(__xludf.DUMMYFUNCTION("REGEXREPLACE(C2344,""-\d+(.*)|--\d+(.*)"","""")"),"ARDOUVAL")</f>
        <v>ARDOUVAL</v>
      </c>
      <c r="E2344" s="38" t="s">
        <v>133</v>
      </c>
      <c r="F2344" s="38" t="s">
        <v>134</v>
      </c>
      <c r="G2344" s="49" t="str">
        <f t="shared" si="1"/>
        <v>76680</v>
      </c>
      <c r="H2344" s="49">
        <f t="shared" si="2"/>
        <v>76024</v>
      </c>
    </row>
    <row r="2345">
      <c r="A2345" s="48" t="s">
        <v>4274</v>
      </c>
      <c r="B2345" s="38">
        <v>52318.0</v>
      </c>
      <c r="C2345" s="38" t="s">
        <v>4275</v>
      </c>
      <c r="D2345" s="38" t="str">
        <f>IFERROR(__xludf.DUMMYFUNCTION("REGEXREPLACE(C2345,""-\d+(.*)|--\d+(.*)"","""")"),"MELAY")</f>
        <v>MELAY</v>
      </c>
      <c r="E2345" s="38" t="s">
        <v>234</v>
      </c>
      <c r="F2345" s="38" t="s">
        <v>130</v>
      </c>
      <c r="G2345" s="49" t="str">
        <f t="shared" si="1"/>
        <v>52400</v>
      </c>
      <c r="H2345" s="49">
        <f t="shared" si="2"/>
        <v>52318</v>
      </c>
    </row>
    <row r="2346">
      <c r="A2346" s="48" t="s">
        <v>1341</v>
      </c>
      <c r="B2346" s="38">
        <v>14196.0</v>
      </c>
      <c r="C2346" s="38" t="s">
        <v>4276</v>
      </c>
      <c r="D2346" s="38" t="str">
        <f>IFERROR(__xludf.DUMMYFUNCTION("REGEXREPLACE(C2346,""-\d+(.*)|--\d+(.*)"","""")"),"CREPON")</f>
        <v>CREPON</v>
      </c>
      <c r="E2346" s="38" t="s">
        <v>137</v>
      </c>
      <c r="F2346" s="38" t="s">
        <v>138</v>
      </c>
      <c r="G2346" s="49" t="str">
        <f t="shared" si="1"/>
        <v>14480</v>
      </c>
      <c r="H2346" s="49">
        <f t="shared" si="2"/>
        <v>14196</v>
      </c>
    </row>
    <row r="2347">
      <c r="A2347" s="48" t="s">
        <v>4277</v>
      </c>
      <c r="B2347" s="38">
        <v>63279.0</v>
      </c>
      <c r="C2347" s="38" t="s">
        <v>4278</v>
      </c>
      <c r="D2347" s="38" t="str">
        <f>IFERROR(__xludf.DUMMYFUNCTION("REGEXREPLACE(C2347,""-\d+(.*)|--\d+(.*)"","""")"),"PICHERANDE")</f>
        <v>PICHERANDE</v>
      </c>
      <c r="E2347" s="38" t="s">
        <v>353</v>
      </c>
      <c r="F2347" s="38" t="s">
        <v>161</v>
      </c>
      <c r="G2347" s="49" t="str">
        <f t="shared" si="1"/>
        <v>63113</v>
      </c>
      <c r="H2347" s="49">
        <f t="shared" si="2"/>
        <v>63279</v>
      </c>
    </row>
    <row r="2348">
      <c r="A2348" s="48" t="s">
        <v>2993</v>
      </c>
      <c r="B2348" s="38">
        <v>66207.0</v>
      </c>
      <c r="C2348" s="38" t="s">
        <v>4279</v>
      </c>
      <c r="D2348" s="38" t="str">
        <f>IFERROR(__xludf.DUMMYFUNCTION("REGEXREPLACE(C2348,""-\d+(.*)|--\d+(.*)"","""")"),"TERRATS")</f>
        <v>TERRATS</v>
      </c>
      <c r="E2348" s="38" t="s">
        <v>248</v>
      </c>
      <c r="F2348" s="38" t="s">
        <v>119</v>
      </c>
      <c r="G2348" s="49" t="str">
        <f t="shared" si="1"/>
        <v>66300</v>
      </c>
      <c r="H2348" s="49">
        <f t="shared" si="2"/>
        <v>66207</v>
      </c>
    </row>
    <row r="2349">
      <c r="A2349" s="48" t="s">
        <v>2657</v>
      </c>
      <c r="B2349" s="38">
        <v>59631.0</v>
      </c>
      <c r="C2349" s="38" t="s">
        <v>4280</v>
      </c>
      <c r="D2349" s="38" t="str">
        <f>IFERROR(__xludf.DUMMYFUNCTION("REGEXREPLACE(C2349,""-\d+(.*)|--\d+(.*)"","""")"),"WALINCOURT-SELVIGNY")</f>
        <v>WALINCOURT-SELVIGNY</v>
      </c>
      <c r="E2349" s="38" t="s">
        <v>85</v>
      </c>
      <c r="F2349" s="38" t="s">
        <v>86</v>
      </c>
      <c r="G2349" s="49" t="str">
        <f t="shared" si="1"/>
        <v>59127</v>
      </c>
      <c r="H2349" s="49">
        <f t="shared" si="2"/>
        <v>59631</v>
      </c>
    </row>
    <row r="2350">
      <c r="A2350" s="48" t="s">
        <v>124</v>
      </c>
      <c r="B2350" s="38">
        <v>26102.0</v>
      </c>
      <c r="C2350" s="38" t="s">
        <v>4281</v>
      </c>
      <c r="D2350" s="38" t="str">
        <f>IFERROR(__xludf.DUMMYFUNCTION("REGEXREPLACE(C2350,""-\d+(.*)|--\d+(.*)"","""")"),"CONDILLAC")</f>
        <v>CONDILLAC</v>
      </c>
      <c r="E2350" s="38" t="s">
        <v>126</v>
      </c>
      <c r="F2350" s="38" t="s">
        <v>102</v>
      </c>
      <c r="G2350" s="49" t="str">
        <f t="shared" si="1"/>
        <v>26740</v>
      </c>
      <c r="H2350" s="49">
        <f t="shared" si="2"/>
        <v>26102</v>
      </c>
    </row>
    <row r="2351">
      <c r="A2351" s="48" t="s">
        <v>542</v>
      </c>
      <c r="B2351" s="38">
        <v>50496.0</v>
      </c>
      <c r="C2351" s="38" t="s">
        <v>4282</v>
      </c>
      <c r="D2351" s="38" t="str">
        <f>IFERROR(__xludf.DUMMYFUNCTION("REGEXREPLACE(C2351,""-\d+(.*)|--\d+(.*)"","""")"),"SAINT-JEAN-LE-THOMAS")</f>
        <v>SAINT-JEAN-LE-THOMAS</v>
      </c>
      <c r="E2351" s="38" t="s">
        <v>157</v>
      </c>
      <c r="F2351" s="38" t="s">
        <v>138</v>
      </c>
      <c r="G2351" s="49" t="str">
        <f t="shared" si="1"/>
        <v>50530</v>
      </c>
      <c r="H2351" s="49">
        <f t="shared" si="2"/>
        <v>50496</v>
      </c>
    </row>
    <row r="2352">
      <c r="A2352" s="48" t="s">
        <v>4283</v>
      </c>
      <c r="B2352" s="38">
        <v>7172.0</v>
      </c>
      <c r="C2352" s="38" t="s">
        <v>4284</v>
      </c>
      <c r="D2352" s="38" t="str">
        <f>IFERROR(__xludf.DUMMYFUNCTION("REGEXREPLACE(C2352,""-\d+(.*)|--\d+(.*)"","""")"),"PEAUGRES")</f>
        <v>PEAUGRES</v>
      </c>
      <c r="E2352" s="38" t="s">
        <v>144</v>
      </c>
      <c r="F2352" s="38" t="s">
        <v>102</v>
      </c>
      <c r="G2352" s="49" t="str">
        <f t="shared" si="1"/>
        <v>07340</v>
      </c>
      <c r="H2352" s="49" t="str">
        <f t="shared" si="2"/>
        <v>07172</v>
      </c>
    </row>
    <row r="2353">
      <c r="A2353" s="48" t="s">
        <v>4285</v>
      </c>
      <c r="B2353" s="38">
        <v>83107.0</v>
      </c>
      <c r="C2353" s="38" t="s">
        <v>4286</v>
      </c>
      <c r="D2353" s="38" t="str">
        <f>IFERROR(__xludf.DUMMYFUNCTION("REGEXREPLACE(C2353,""-\d+(.*)|--\d+(.*)"","""")"),"ROQUEBRUNE-SUR-ARGENS")</f>
        <v>ROQUEBRUNE-SUR-ARGENS</v>
      </c>
      <c r="E2353" s="38" t="s">
        <v>813</v>
      </c>
      <c r="F2353" s="38" t="s">
        <v>228</v>
      </c>
      <c r="G2353" s="49" t="str">
        <f t="shared" si="1"/>
        <v>83520</v>
      </c>
      <c r="H2353" s="49">
        <f t="shared" si="2"/>
        <v>83107</v>
      </c>
    </row>
    <row r="2354">
      <c r="A2354" s="48" t="s">
        <v>4287</v>
      </c>
      <c r="B2354" s="38">
        <v>62734.0</v>
      </c>
      <c r="C2354" s="38" t="s">
        <v>4288</v>
      </c>
      <c r="D2354" s="38" t="str">
        <f>IFERROR(__xludf.DUMMYFUNCTION("REGEXREPLACE(C2354,""-\d+(.*)|--\d+(.*)"","""")"),"SAILLY-EN-OSTREVENT")</f>
        <v>SAILLY-EN-OSTREVENT</v>
      </c>
      <c r="E2354" s="38" t="s">
        <v>109</v>
      </c>
      <c r="F2354" s="38" t="s">
        <v>86</v>
      </c>
      <c r="G2354" s="49" t="str">
        <f t="shared" si="1"/>
        <v>62490</v>
      </c>
      <c r="H2354" s="49">
        <f t="shared" si="2"/>
        <v>62734</v>
      </c>
    </row>
    <row r="2355">
      <c r="A2355" s="48" t="s">
        <v>470</v>
      </c>
      <c r="B2355" s="38">
        <v>8492.0</v>
      </c>
      <c r="C2355" s="38" t="s">
        <v>4289</v>
      </c>
      <c r="D2355" s="38" t="str">
        <f>IFERROR(__xludf.DUMMYFUNCTION("REGEXREPLACE(C2355,""-\d+(.*)|--\d+(.*)"","""")"),"VRIGNE-MEUSE")</f>
        <v>VRIGNE-MEUSE</v>
      </c>
      <c r="E2355" s="38" t="s">
        <v>327</v>
      </c>
      <c r="F2355" s="38" t="s">
        <v>130</v>
      </c>
      <c r="G2355" s="49" t="str">
        <f t="shared" si="1"/>
        <v>08350</v>
      </c>
      <c r="H2355" s="49" t="str">
        <f t="shared" si="2"/>
        <v>08492</v>
      </c>
    </row>
    <row r="2356">
      <c r="A2356" s="48" t="s">
        <v>4290</v>
      </c>
      <c r="B2356" s="38">
        <v>69140.0</v>
      </c>
      <c r="C2356" s="38" t="s">
        <v>4291</v>
      </c>
      <c r="D2356" s="38" t="str">
        <f>IFERROR(__xludf.DUMMYFUNCTION("REGEXREPLACE(C2356,""-\d+(.*)|--\d+(.*)"","""")"),"MORANCE")</f>
        <v>MORANCE</v>
      </c>
      <c r="E2356" s="38" t="s">
        <v>350</v>
      </c>
      <c r="F2356" s="38" t="s">
        <v>102</v>
      </c>
      <c r="G2356" s="49" t="str">
        <f t="shared" si="1"/>
        <v>69480</v>
      </c>
      <c r="H2356" s="49">
        <f t="shared" si="2"/>
        <v>69140</v>
      </c>
    </row>
    <row r="2357">
      <c r="A2357" s="48" t="s">
        <v>4292</v>
      </c>
      <c r="B2357" s="38">
        <v>74131.0</v>
      </c>
      <c r="C2357" s="38" t="s">
        <v>4293</v>
      </c>
      <c r="D2357" s="38" t="str">
        <f>IFERROR(__xludf.DUMMYFUNCTION("REGEXREPLACE(C2357,""-\d+(.*)|--\d+(.*)"","""")"),"FRANGY")</f>
        <v>FRANGY</v>
      </c>
      <c r="E2357" s="38" t="s">
        <v>319</v>
      </c>
      <c r="F2357" s="38" t="s">
        <v>102</v>
      </c>
      <c r="G2357" s="49" t="str">
        <f t="shared" si="1"/>
        <v>74270</v>
      </c>
      <c r="H2357" s="49">
        <f t="shared" si="2"/>
        <v>74131</v>
      </c>
    </row>
    <row r="2358">
      <c r="A2358" s="48" t="s">
        <v>2435</v>
      </c>
      <c r="B2358" s="38">
        <v>7308.0</v>
      </c>
      <c r="C2358" s="38" t="s">
        <v>4294</v>
      </c>
      <c r="D2358" s="38" t="str">
        <f>IFERROR(__xludf.DUMMYFUNCTION("REGEXREPLACE(C2358,""-\d+(.*)|--\d+(.*)"","""")"),"SARRAS")</f>
        <v>SARRAS</v>
      </c>
      <c r="E2358" s="38" t="s">
        <v>144</v>
      </c>
      <c r="F2358" s="38" t="s">
        <v>102</v>
      </c>
      <c r="G2358" s="49" t="str">
        <f t="shared" si="1"/>
        <v>07370</v>
      </c>
      <c r="H2358" s="49" t="str">
        <f t="shared" si="2"/>
        <v>07308</v>
      </c>
    </row>
    <row r="2359">
      <c r="A2359" s="48" t="s">
        <v>4295</v>
      </c>
      <c r="B2359" s="38">
        <v>40197.0</v>
      </c>
      <c r="C2359" s="38" t="s">
        <v>4296</v>
      </c>
      <c r="D2359" s="38" t="str">
        <f>IFERROR(__xludf.DUMMYFUNCTION("REGEXREPLACE(C2359,""-\d+(.*)|--\d+(.*)"","""")"),"MORCENX")</f>
        <v>MORCENX</v>
      </c>
      <c r="E2359" s="38" t="s">
        <v>281</v>
      </c>
      <c r="F2359" s="38" t="s">
        <v>252</v>
      </c>
      <c r="G2359" s="49" t="str">
        <f t="shared" si="1"/>
        <v>40110</v>
      </c>
      <c r="H2359" s="49">
        <f t="shared" si="2"/>
        <v>40197</v>
      </c>
    </row>
    <row r="2360">
      <c r="A2360" s="48" t="s">
        <v>3389</v>
      </c>
      <c r="B2360" s="38">
        <v>33173.0</v>
      </c>
      <c r="C2360" s="38" t="s">
        <v>4297</v>
      </c>
      <c r="D2360" s="38" t="str">
        <f>IFERROR(__xludf.DUMMYFUNCTION("REGEXREPLACE(C2360,""-\d+(.*)|--\d+(.*)"","""")"),"FRANCS")</f>
        <v>FRANCS</v>
      </c>
      <c r="E2360" s="38" t="s">
        <v>462</v>
      </c>
      <c r="F2360" s="38" t="s">
        <v>252</v>
      </c>
      <c r="G2360" s="49" t="str">
        <f t="shared" si="1"/>
        <v>33570</v>
      </c>
      <c r="H2360" s="49">
        <f t="shared" si="2"/>
        <v>33173</v>
      </c>
    </row>
    <row r="2361">
      <c r="A2361" s="48" t="s">
        <v>3683</v>
      </c>
      <c r="B2361" s="38">
        <v>58105.0</v>
      </c>
      <c r="C2361" s="38" t="s">
        <v>4298</v>
      </c>
      <c r="D2361" s="38" t="str">
        <f>IFERROR(__xludf.DUMMYFUNCTION("REGEXREPLACE(C2361,""-\d+(.*)|--\d+(.*)"","""")"),"DRUY-PARIGNY")</f>
        <v>DRUY-PARIGNY</v>
      </c>
      <c r="E2361" s="38" t="s">
        <v>219</v>
      </c>
      <c r="F2361" s="38" t="s">
        <v>106</v>
      </c>
      <c r="G2361" s="49" t="str">
        <f t="shared" si="1"/>
        <v>58160</v>
      </c>
      <c r="H2361" s="49">
        <f t="shared" si="2"/>
        <v>58105</v>
      </c>
    </row>
    <row r="2362">
      <c r="A2362" s="48" t="s">
        <v>1008</v>
      </c>
      <c r="B2362" s="38">
        <v>2112.0</v>
      </c>
      <c r="C2362" s="38" t="s">
        <v>4299</v>
      </c>
      <c r="D2362" s="38" t="str">
        <f>IFERROR(__xludf.DUMMYFUNCTION("REGEXREPLACE(C2362,""-\d+(.*)|--\d+(.*)"","""")"),"BRANCOURT-LE-GRAND")</f>
        <v>BRANCOURT-LE-GRAND</v>
      </c>
      <c r="E2362" s="38" t="s">
        <v>191</v>
      </c>
      <c r="F2362" s="38" t="s">
        <v>113</v>
      </c>
      <c r="G2362" s="49" t="str">
        <f t="shared" si="1"/>
        <v>02110</v>
      </c>
      <c r="H2362" s="49" t="str">
        <f t="shared" si="2"/>
        <v>02112</v>
      </c>
    </row>
    <row r="2363">
      <c r="A2363" s="48" t="s">
        <v>4300</v>
      </c>
      <c r="B2363" s="38">
        <v>63179.0</v>
      </c>
      <c r="C2363" s="38" t="s">
        <v>4301</v>
      </c>
      <c r="D2363" s="38" t="str">
        <f>IFERROR(__xludf.DUMMYFUNCTION("REGEXREPLACE(C2363,""-\d+(.*)|--\d+(.*)"","""")"),"JOB")</f>
        <v>JOB</v>
      </c>
      <c r="E2363" s="38" t="s">
        <v>353</v>
      </c>
      <c r="F2363" s="38" t="s">
        <v>161</v>
      </c>
      <c r="G2363" s="49" t="str">
        <f t="shared" si="1"/>
        <v>63990</v>
      </c>
      <c r="H2363" s="49">
        <f t="shared" si="2"/>
        <v>63179</v>
      </c>
    </row>
    <row r="2364">
      <c r="A2364" s="48" t="s">
        <v>4302</v>
      </c>
      <c r="B2364" s="38">
        <v>35283.0</v>
      </c>
      <c r="C2364" s="38" t="s">
        <v>4303</v>
      </c>
      <c r="D2364" s="38" t="str">
        <f>IFERROR(__xludf.DUMMYFUNCTION("REGEXREPLACE(C2364,""-\d+(.*)|--\d+(.*)"","""")"),"SAINT-JEAN-SUR-VILAINE")</f>
        <v>SAINT-JEAN-SUR-VILAINE</v>
      </c>
      <c r="E2364" s="38" t="s">
        <v>347</v>
      </c>
      <c r="F2364" s="38" t="s">
        <v>90</v>
      </c>
      <c r="G2364" s="49" t="str">
        <f t="shared" si="1"/>
        <v>35220</v>
      </c>
      <c r="H2364" s="49">
        <f t="shared" si="2"/>
        <v>35283</v>
      </c>
    </row>
    <row r="2365">
      <c r="A2365" s="48" t="s">
        <v>4304</v>
      </c>
      <c r="B2365" s="38">
        <v>44078.0</v>
      </c>
      <c r="C2365" s="38" t="s">
        <v>4305</v>
      </c>
      <c r="D2365" s="38" t="str">
        <f>IFERROR(__xludf.DUMMYFUNCTION("REGEXREPLACE(C2365,""-\d+(.*)|--\d+(.*)"","""")"),"JUIGNE-DES-MOUTIERS")</f>
        <v>JUIGNE-DES-MOUTIERS</v>
      </c>
      <c r="E2365" s="38" t="s">
        <v>759</v>
      </c>
      <c r="F2365" s="38" t="s">
        <v>180</v>
      </c>
      <c r="G2365" s="49" t="str">
        <f t="shared" si="1"/>
        <v>44670</v>
      </c>
      <c r="H2365" s="49">
        <f t="shared" si="2"/>
        <v>44078</v>
      </c>
    </row>
    <row r="2366">
      <c r="A2366" s="48" t="s">
        <v>1310</v>
      </c>
      <c r="B2366" s="38">
        <v>25424.0</v>
      </c>
      <c r="C2366" s="38" t="s">
        <v>4306</v>
      </c>
      <c r="D2366" s="38" t="str">
        <f>IFERROR(__xludf.DUMMYFUNCTION("REGEXREPLACE(C2366,""-\d+(.*)|--\d+(.*)"","""")"),"NODS")</f>
        <v>NODS</v>
      </c>
      <c r="E2366" s="38" t="s">
        <v>213</v>
      </c>
      <c r="F2366" s="38" t="s">
        <v>214</v>
      </c>
      <c r="G2366" s="49" t="str">
        <f t="shared" si="1"/>
        <v>25580</v>
      </c>
      <c r="H2366" s="49">
        <f t="shared" si="2"/>
        <v>25424</v>
      </c>
    </row>
    <row r="2367">
      <c r="A2367" s="48" t="s">
        <v>1681</v>
      </c>
      <c r="B2367" s="38">
        <v>80032.0</v>
      </c>
      <c r="C2367" s="38" t="s">
        <v>4307</v>
      </c>
      <c r="D2367" s="38" t="str">
        <f>IFERROR(__xludf.DUMMYFUNCTION("REGEXREPLACE(C2367,""-\d+(.*)|--\d+(.*)"","""")"),"ASSAINVILLERS")</f>
        <v>ASSAINVILLERS</v>
      </c>
      <c r="E2367" s="38" t="s">
        <v>224</v>
      </c>
      <c r="F2367" s="38" t="s">
        <v>113</v>
      </c>
      <c r="G2367" s="49" t="str">
        <f t="shared" si="1"/>
        <v>80500</v>
      </c>
      <c r="H2367" s="49">
        <f t="shared" si="2"/>
        <v>80032</v>
      </c>
    </row>
    <row r="2368">
      <c r="A2368" s="48" t="s">
        <v>4308</v>
      </c>
      <c r="B2368" s="38" t="s">
        <v>4309</v>
      </c>
      <c r="C2368" s="38" t="s">
        <v>4310</v>
      </c>
      <c r="D2368" s="38" t="str">
        <f>IFERROR(__xludf.DUMMYFUNCTION("REGEXREPLACE(C2368,""-\d+(.*)|--\d+(.*)"","""")"),"BUSTANICO")</f>
        <v>BUSTANICO</v>
      </c>
      <c r="E2368" s="38" t="s">
        <v>743</v>
      </c>
      <c r="F2368" s="38" t="s">
        <v>607</v>
      </c>
      <c r="G2368" s="49" t="str">
        <f t="shared" si="1"/>
        <v>20212</v>
      </c>
      <c r="H2368" s="49" t="str">
        <f t="shared" si="2"/>
        <v>2B045</v>
      </c>
    </row>
    <row r="2369">
      <c r="A2369" s="48" t="s">
        <v>4311</v>
      </c>
      <c r="B2369" s="38">
        <v>47003.0</v>
      </c>
      <c r="C2369" s="38" t="s">
        <v>4312</v>
      </c>
      <c r="D2369" s="38" t="str">
        <f>IFERROR(__xludf.DUMMYFUNCTION("REGEXREPLACE(C2369,""-\d+(.*)|--\d+(.*)"","""")"),"AGNAC")</f>
        <v>AGNAC</v>
      </c>
      <c r="E2369" s="38" t="s">
        <v>251</v>
      </c>
      <c r="F2369" s="38" t="s">
        <v>252</v>
      </c>
      <c r="G2369" s="49" t="str">
        <f t="shared" si="1"/>
        <v>47800</v>
      </c>
      <c r="H2369" s="49">
        <f t="shared" si="2"/>
        <v>47003</v>
      </c>
    </row>
    <row r="2370">
      <c r="A2370" s="48" t="s">
        <v>3718</v>
      </c>
      <c r="B2370" s="38">
        <v>62874.0</v>
      </c>
      <c r="C2370" s="38" t="s">
        <v>4313</v>
      </c>
      <c r="D2370" s="38" t="str">
        <f>IFERROR(__xludf.DUMMYFUNCTION("REGEXREPLACE(C2370,""-\d+(.*)|--\d+(.*)"","""")"),"WANQUETIN")</f>
        <v>WANQUETIN</v>
      </c>
      <c r="E2370" s="38" t="s">
        <v>109</v>
      </c>
      <c r="F2370" s="38" t="s">
        <v>86</v>
      </c>
      <c r="G2370" s="49" t="str">
        <f t="shared" si="1"/>
        <v>62123</v>
      </c>
      <c r="H2370" s="49">
        <f t="shared" si="2"/>
        <v>62874</v>
      </c>
    </row>
    <row r="2371">
      <c r="A2371" s="48" t="s">
        <v>3080</v>
      </c>
      <c r="B2371" s="38">
        <v>71116.0</v>
      </c>
      <c r="C2371" s="38" t="s">
        <v>538</v>
      </c>
      <c r="D2371" s="38" t="str">
        <f>IFERROR(__xludf.DUMMYFUNCTION("REGEXREPLACE(C2371,""-\d+(.*)|--\d+(.*)"","""")"),"CHATENAY")</f>
        <v>CHATENAY</v>
      </c>
      <c r="E2371" s="38" t="s">
        <v>344</v>
      </c>
      <c r="F2371" s="38" t="s">
        <v>106</v>
      </c>
      <c r="G2371" s="49" t="str">
        <f t="shared" si="1"/>
        <v>71800</v>
      </c>
      <c r="H2371" s="49">
        <f t="shared" si="2"/>
        <v>71116</v>
      </c>
    </row>
    <row r="2372">
      <c r="A2372" s="48" t="s">
        <v>4314</v>
      </c>
      <c r="B2372" s="38">
        <v>7264.0</v>
      </c>
      <c r="C2372" s="38" t="s">
        <v>4315</v>
      </c>
      <c r="D2372" s="38" t="str">
        <f>IFERROR(__xludf.DUMMYFUNCTION("REGEXREPLACE(C2372,""-\d+(.*)|--\d+(.*)"","""")"),"SAINT-MARCEL-D'ARDECHE")</f>
        <v>SAINT-MARCEL-D'ARDECHE</v>
      </c>
      <c r="E2372" s="38" t="s">
        <v>144</v>
      </c>
      <c r="F2372" s="38" t="s">
        <v>102</v>
      </c>
      <c r="G2372" s="49" t="str">
        <f t="shared" si="1"/>
        <v>07700</v>
      </c>
      <c r="H2372" s="49" t="str">
        <f t="shared" si="2"/>
        <v>07264</v>
      </c>
    </row>
    <row r="2373">
      <c r="A2373" s="48" t="s">
        <v>4316</v>
      </c>
      <c r="B2373" s="38">
        <v>49006.0</v>
      </c>
      <c r="C2373" s="38" t="s">
        <v>4317</v>
      </c>
      <c r="D2373" s="38" t="str">
        <f>IFERROR(__xludf.DUMMYFUNCTION("REGEXREPLACE(C2373,""-\d+(.*)|--\d+(.*)"","""")"),"ANDREZE")</f>
        <v>ANDREZE</v>
      </c>
      <c r="E2373" s="38" t="s">
        <v>653</v>
      </c>
      <c r="F2373" s="38" t="s">
        <v>180</v>
      </c>
      <c r="G2373" s="49" t="str">
        <f t="shared" si="1"/>
        <v>49600</v>
      </c>
      <c r="H2373" s="49">
        <f t="shared" si="2"/>
        <v>49006</v>
      </c>
    </row>
    <row r="2374">
      <c r="A2374" s="48" t="s">
        <v>2575</v>
      </c>
      <c r="B2374" s="38">
        <v>91112.0</v>
      </c>
      <c r="C2374" s="38" t="s">
        <v>4318</v>
      </c>
      <c r="D2374" s="38" t="str">
        <f>IFERROR(__xludf.DUMMYFUNCTION("REGEXREPLACE(C2374,""-\d+(.*)|--\d+(.*)"","""")"),"BROUY")</f>
        <v>BROUY</v>
      </c>
      <c r="E2374" s="38" t="s">
        <v>756</v>
      </c>
      <c r="F2374" s="38" t="s">
        <v>245</v>
      </c>
      <c r="G2374" s="49" t="str">
        <f t="shared" si="1"/>
        <v>91150</v>
      </c>
      <c r="H2374" s="49">
        <f t="shared" si="2"/>
        <v>91112</v>
      </c>
    </row>
    <row r="2375">
      <c r="A2375" s="48" t="s">
        <v>4319</v>
      </c>
      <c r="B2375" s="38">
        <v>6086.0</v>
      </c>
      <c r="C2375" s="38" t="s">
        <v>4320</v>
      </c>
      <c r="D2375" s="38" t="str">
        <f>IFERROR(__xludf.DUMMYFUNCTION("REGEXREPLACE(C2375,""-\d+(.*)|--\d+(.*)"","""")"),"MOULINET")</f>
        <v>MOULINET</v>
      </c>
      <c r="E2375" s="38" t="s">
        <v>227</v>
      </c>
      <c r="F2375" s="38" t="s">
        <v>228</v>
      </c>
      <c r="G2375" s="49" t="str">
        <f t="shared" si="1"/>
        <v>06380</v>
      </c>
      <c r="H2375" s="49" t="str">
        <f t="shared" si="2"/>
        <v>06086</v>
      </c>
    </row>
    <row r="2376">
      <c r="A2376" s="48" t="s">
        <v>4321</v>
      </c>
      <c r="B2376" s="38">
        <v>29011.0</v>
      </c>
      <c r="C2376" s="38" t="s">
        <v>4322</v>
      </c>
      <c r="D2376" s="38" t="str">
        <f>IFERROR(__xludf.DUMMYFUNCTION("REGEXREPLACE(C2376,""-\d+(.*)|--\d+(.*)"","""")"),"BOHARS")</f>
        <v>BOHARS</v>
      </c>
      <c r="E2376" s="38" t="s">
        <v>176</v>
      </c>
      <c r="F2376" s="38" t="s">
        <v>90</v>
      </c>
      <c r="G2376" s="49" t="str">
        <f t="shared" si="1"/>
        <v>29820</v>
      </c>
      <c r="H2376" s="49">
        <f t="shared" si="2"/>
        <v>29011</v>
      </c>
    </row>
    <row r="2377">
      <c r="A2377" s="48" t="s">
        <v>4323</v>
      </c>
      <c r="B2377" s="38">
        <v>30242.0</v>
      </c>
      <c r="C2377" s="38" t="s">
        <v>4324</v>
      </c>
      <c r="D2377" s="38" t="str">
        <f>IFERROR(__xludf.DUMMYFUNCTION("REGEXREPLACE(C2377,""-\d+(.*)|--\d+(.*)"","""")"),"SAINT-CHRISTOL-DE-RODIERES")</f>
        <v>SAINT-CHRISTOL-DE-RODIERES</v>
      </c>
      <c r="E2377" s="38" t="s">
        <v>526</v>
      </c>
      <c r="F2377" s="38" t="s">
        <v>119</v>
      </c>
      <c r="G2377" s="49" t="str">
        <f t="shared" si="1"/>
        <v>30760</v>
      </c>
      <c r="H2377" s="49">
        <f t="shared" si="2"/>
        <v>30242</v>
      </c>
    </row>
    <row r="2378">
      <c r="A2378" s="48" t="s">
        <v>1843</v>
      </c>
      <c r="B2378" s="38">
        <v>71334.0</v>
      </c>
      <c r="C2378" s="38" t="s">
        <v>4325</v>
      </c>
      <c r="D2378" s="38" t="str">
        <f>IFERROR(__xludf.DUMMYFUNCTION("REGEXREPLACE(C2378,""-\d+(.*)|--\d+(.*)"","""")"),"OUDRY")</f>
        <v>OUDRY</v>
      </c>
      <c r="E2378" s="38" t="s">
        <v>344</v>
      </c>
      <c r="F2378" s="38" t="s">
        <v>106</v>
      </c>
      <c r="G2378" s="49" t="str">
        <f t="shared" si="1"/>
        <v>71420</v>
      </c>
      <c r="H2378" s="49">
        <f t="shared" si="2"/>
        <v>71334</v>
      </c>
    </row>
    <row r="2379">
      <c r="A2379" s="48" t="s">
        <v>4326</v>
      </c>
      <c r="B2379" s="38">
        <v>46103.0</v>
      </c>
      <c r="C2379" s="38" t="s">
        <v>4327</v>
      </c>
      <c r="D2379" s="38" t="str">
        <f>IFERROR(__xludf.DUMMYFUNCTION("REGEXREPLACE(C2379,""-\d+(.*)|--\d+(.*)"","""")"),"FLAUGNAC")</f>
        <v>FLAUGNAC</v>
      </c>
      <c r="E2379" s="38" t="s">
        <v>185</v>
      </c>
      <c r="F2379" s="38" t="s">
        <v>94</v>
      </c>
      <c r="G2379" s="49" t="str">
        <f t="shared" si="1"/>
        <v>46170</v>
      </c>
      <c r="H2379" s="49">
        <f t="shared" si="2"/>
        <v>46103</v>
      </c>
    </row>
    <row r="2380">
      <c r="A2380" s="48" t="s">
        <v>4328</v>
      </c>
      <c r="B2380" s="38">
        <v>70366.0</v>
      </c>
      <c r="C2380" s="38" t="s">
        <v>4329</v>
      </c>
      <c r="D2380" s="38" t="str">
        <f>IFERROR(__xludf.DUMMYFUNCTION("REGEXREPLACE(C2380,""-\d+(.*)|--\d+(.*)"","""")"),"VILLERS-CHEMIN-ET-MONT-LES-ETRELLES")</f>
        <v>VILLERS-CHEMIN-ET-MONT-LES-ETRELLES</v>
      </c>
      <c r="E2380" s="38" t="s">
        <v>956</v>
      </c>
      <c r="F2380" s="38" t="s">
        <v>214</v>
      </c>
      <c r="G2380" s="49" t="str">
        <f t="shared" si="1"/>
        <v>70700</v>
      </c>
      <c r="H2380" s="49">
        <f t="shared" si="2"/>
        <v>70366</v>
      </c>
    </row>
    <row r="2381">
      <c r="A2381" s="48" t="s">
        <v>4330</v>
      </c>
      <c r="B2381" s="38">
        <v>39283.0</v>
      </c>
      <c r="C2381" s="38" t="s">
        <v>4331</v>
      </c>
      <c r="D2381" s="38" t="str">
        <f>IFERROR(__xludf.DUMMYFUNCTION("REGEXREPLACE(C2381,""-\d+(.*)|--\d+(.*)"","""")"),"LAVANCIA-EPERCY")</f>
        <v>LAVANCIA-EPERCY</v>
      </c>
      <c r="E2381" s="38" t="s">
        <v>400</v>
      </c>
      <c r="F2381" s="38" t="s">
        <v>214</v>
      </c>
      <c r="G2381" s="49" t="str">
        <f t="shared" si="1"/>
        <v>01590</v>
      </c>
      <c r="H2381" s="49">
        <f t="shared" si="2"/>
        <v>39283</v>
      </c>
    </row>
    <row r="2382">
      <c r="A2382" s="48" t="s">
        <v>4332</v>
      </c>
      <c r="B2382" s="38">
        <v>24413.0</v>
      </c>
      <c r="C2382" s="38" t="s">
        <v>4333</v>
      </c>
      <c r="D2382" s="38" t="str">
        <f>IFERROR(__xludf.DUMMYFUNCTION("REGEXREPLACE(C2382,""-\d+(.*)|--\d+(.*)"","""")"),"SAINT-GEORGES-BLANCANEIX")</f>
        <v>SAINT-GEORGES-BLANCANEIX</v>
      </c>
      <c r="E2382" s="38" t="s">
        <v>261</v>
      </c>
      <c r="F2382" s="38" t="s">
        <v>252</v>
      </c>
      <c r="G2382" s="49" t="str">
        <f t="shared" si="1"/>
        <v>24130</v>
      </c>
      <c r="H2382" s="49">
        <f t="shared" si="2"/>
        <v>24413</v>
      </c>
    </row>
    <row r="2383">
      <c r="A2383" s="48" t="s">
        <v>4334</v>
      </c>
      <c r="B2383" s="38">
        <v>3265.0</v>
      </c>
      <c r="C2383" s="38" t="s">
        <v>4335</v>
      </c>
      <c r="D2383" s="38" t="str">
        <f>IFERROR(__xludf.DUMMYFUNCTION("REGEXREPLACE(C2383,""-\d+(.*)|--\d+(.*)"","""")"),"SALIGNY-SUR-ROUDON")</f>
        <v>SALIGNY-SUR-ROUDON</v>
      </c>
      <c r="E2383" s="38" t="s">
        <v>160</v>
      </c>
      <c r="F2383" s="38" t="s">
        <v>161</v>
      </c>
      <c r="G2383" s="49" t="str">
        <f t="shared" si="1"/>
        <v>03470</v>
      </c>
      <c r="H2383" s="49" t="str">
        <f t="shared" si="2"/>
        <v>03265</v>
      </c>
    </row>
    <row r="2384">
      <c r="A2384" s="48" t="s">
        <v>4336</v>
      </c>
      <c r="B2384" s="38">
        <v>83071.0</v>
      </c>
      <c r="C2384" s="38" t="s">
        <v>4337</v>
      </c>
      <c r="D2384" s="38" t="str">
        <f>IFERROR(__xludf.DUMMYFUNCTION("REGEXREPLACE(C2384,""-\d+(.*)|--\d+(.*)"","""")"),"LA LONDE-LES-MAURES")</f>
        <v>LA LONDE-LES-MAURES</v>
      </c>
      <c r="E2384" s="38" t="s">
        <v>813</v>
      </c>
      <c r="F2384" s="38" t="s">
        <v>228</v>
      </c>
      <c r="G2384" s="49" t="str">
        <f t="shared" si="1"/>
        <v>83250</v>
      </c>
      <c r="H2384" s="49">
        <f t="shared" si="2"/>
        <v>83071</v>
      </c>
    </row>
    <row r="2385">
      <c r="A2385" s="48" t="s">
        <v>4338</v>
      </c>
      <c r="B2385" s="38">
        <v>70011.0</v>
      </c>
      <c r="C2385" s="38" t="s">
        <v>4339</v>
      </c>
      <c r="D2385" s="38" t="str">
        <f>IFERROR(__xludf.DUMMYFUNCTION("REGEXREPLACE(C2385,""-\d+(.*)|--\d+(.*)"","""")"),"AMAGE")</f>
        <v>AMAGE</v>
      </c>
      <c r="E2385" s="38" t="s">
        <v>956</v>
      </c>
      <c r="F2385" s="38" t="s">
        <v>214</v>
      </c>
      <c r="G2385" s="49" t="str">
        <f t="shared" si="1"/>
        <v>70280</v>
      </c>
      <c r="H2385" s="49">
        <f t="shared" si="2"/>
        <v>70011</v>
      </c>
    </row>
    <row r="2386">
      <c r="A2386" s="48" t="s">
        <v>4340</v>
      </c>
      <c r="B2386" s="38">
        <v>33411.0</v>
      </c>
      <c r="C2386" s="38" t="s">
        <v>4341</v>
      </c>
      <c r="D2386" s="38" t="str">
        <f>IFERROR(__xludf.DUMMYFUNCTION("REGEXREPLACE(C2386,""-\d+(.*)|--\d+(.*)"","""")"),"SAINT-GERMAIN-DE-GRAVE")</f>
        <v>SAINT-GERMAIN-DE-GRAVE</v>
      </c>
      <c r="E2386" s="38" t="s">
        <v>462</v>
      </c>
      <c r="F2386" s="38" t="s">
        <v>252</v>
      </c>
      <c r="G2386" s="49" t="str">
        <f t="shared" si="1"/>
        <v>33490</v>
      </c>
      <c r="H2386" s="49">
        <f t="shared" si="2"/>
        <v>33411</v>
      </c>
    </row>
    <row r="2387">
      <c r="A2387" s="48" t="s">
        <v>229</v>
      </c>
      <c r="B2387" s="38">
        <v>81272.0</v>
      </c>
      <c r="C2387" s="38" t="s">
        <v>4342</v>
      </c>
      <c r="D2387" s="38" t="str">
        <f>IFERROR(__xludf.DUMMYFUNCTION("REGEXREPLACE(C2387,""-\d+(.*)|--\d+(.*)"","""")"),"SAINT-URCISSE")</f>
        <v>SAINT-URCISSE</v>
      </c>
      <c r="E2387" s="38" t="s">
        <v>231</v>
      </c>
      <c r="F2387" s="38" t="s">
        <v>94</v>
      </c>
      <c r="G2387" s="49" t="str">
        <f t="shared" si="1"/>
        <v>81630</v>
      </c>
      <c r="H2387" s="49">
        <f t="shared" si="2"/>
        <v>81272</v>
      </c>
    </row>
    <row r="2388">
      <c r="A2388" s="48" t="s">
        <v>932</v>
      </c>
      <c r="B2388" s="38">
        <v>17290.0</v>
      </c>
      <c r="C2388" s="38" t="s">
        <v>4343</v>
      </c>
      <c r="D2388" s="38" t="str">
        <f>IFERROR(__xludf.DUMMYFUNCTION("REGEXREPLACE(C2388,""-\d+(.*)|--\d+(.*)"","""")"),"PRIGNAC")</f>
        <v>PRIGNAC</v>
      </c>
      <c r="E2388" s="38" t="s">
        <v>488</v>
      </c>
      <c r="F2388" s="38" t="s">
        <v>338</v>
      </c>
      <c r="G2388" s="49" t="str">
        <f t="shared" si="1"/>
        <v>17160</v>
      </c>
      <c r="H2388" s="49">
        <f t="shared" si="2"/>
        <v>17290</v>
      </c>
    </row>
    <row r="2389">
      <c r="A2389" s="48" t="s">
        <v>4344</v>
      </c>
      <c r="B2389" s="38">
        <v>14705.0</v>
      </c>
      <c r="C2389" s="38" t="s">
        <v>4345</v>
      </c>
      <c r="D2389" s="38" t="str">
        <f>IFERROR(__xludf.DUMMYFUNCTION("REGEXREPLACE(C2389,""-\d+(.*)|--\d+(.*)"","""")"),"TOURNIERES")</f>
        <v>TOURNIERES</v>
      </c>
      <c r="E2389" s="38" t="s">
        <v>137</v>
      </c>
      <c r="F2389" s="38" t="s">
        <v>138</v>
      </c>
      <c r="G2389" s="49" t="str">
        <f t="shared" si="1"/>
        <v>14330</v>
      </c>
      <c r="H2389" s="49">
        <f t="shared" si="2"/>
        <v>14705</v>
      </c>
    </row>
    <row r="2390">
      <c r="A2390" s="48" t="s">
        <v>4346</v>
      </c>
      <c r="B2390" s="38">
        <v>27137.0</v>
      </c>
      <c r="C2390" s="38" t="s">
        <v>4347</v>
      </c>
      <c r="D2390" s="38" t="str">
        <f>IFERROR(__xludf.DUMMYFUNCTION("REGEXREPLACE(C2390,""-\d+(.*)|--\d+(.*)"","""")"),"CHAISE-DIEU-DU-THEIL")</f>
        <v>CHAISE-DIEU-DU-THEIL</v>
      </c>
      <c r="E2390" s="38" t="s">
        <v>241</v>
      </c>
      <c r="F2390" s="38" t="s">
        <v>134</v>
      </c>
      <c r="G2390" s="49" t="str">
        <f t="shared" si="1"/>
        <v>27580</v>
      </c>
      <c r="H2390" s="49">
        <f t="shared" si="2"/>
        <v>27137</v>
      </c>
    </row>
    <row r="2391">
      <c r="A2391" s="48" t="s">
        <v>2219</v>
      </c>
      <c r="B2391" s="38">
        <v>2261.0</v>
      </c>
      <c r="C2391" s="38" t="s">
        <v>4348</v>
      </c>
      <c r="D2391" s="38" t="str">
        <f>IFERROR(__xludf.DUMMYFUNCTION("REGEXREPLACE(C2391,""-\d+(.*)|--\d+(.*)"","""")"),"DERCY")</f>
        <v>DERCY</v>
      </c>
      <c r="E2391" s="38" t="s">
        <v>191</v>
      </c>
      <c r="F2391" s="38" t="s">
        <v>113</v>
      </c>
      <c r="G2391" s="49" t="str">
        <f t="shared" si="1"/>
        <v>02270</v>
      </c>
      <c r="H2391" s="49" t="str">
        <f t="shared" si="2"/>
        <v>02261</v>
      </c>
    </row>
    <row r="2392">
      <c r="A2392" s="48" t="s">
        <v>2882</v>
      </c>
      <c r="B2392" s="38">
        <v>76459.0</v>
      </c>
      <c r="C2392" s="38" t="s">
        <v>4349</v>
      </c>
      <c r="D2392" s="38" t="str">
        <f>IFERROR(__xludf.DUMMYFUNCTION("REGEXREPLACE(C2392,""-\d+(.*)|--\d+(.*)"","""")"),"NESLE-HODENG")</f>
        <v>NESLE-HODENG</v>
      </c>
      <c r="E2392" s="38" t="s">
        <v>133</v>
      </c>
      <c r="F2392" s="38" t="s">
        <v>134</v>
      </c>
      <c r="G2392" s="49" t="str">
        <f t="shared" si="1"/>
        <v>76270</v>
      </c>
      <c r="H2392" s="49">
        <f t="shared" si="2"/>
        <v>76459</v>
      </c>
    </row>
    <row r="2393">
      <c r="A2393" s="48" t="s">
        <v>546</v>
      </c>
      <c r="B2393" s="38">
        <v>54091.0</v>
      </c>
      <c r="C2393" s="38" t="s">
        <v>4350</v>
      </c>
      <c r="D2393" s="38" t="str">
        <f>IFERROR(__xludf.DUMMYFUNCTION("REGEXREPLACE(C2393,""-\d+(.*)|--\d+(.*)"","""")"),"BOUXIERES-SOUS-FROIDMONT")</f>
        <v>BOUXIERES-SOUS-FROIDMONT</v>
      </c>
      <c r="E2393" s="38" t="s">
        <v>548</v>
      </c>
      <c r="F2393" s="38" t="s">
        <v>195</v>
      </c>
      <c r="G2393" s="49" t="str">
        <f t="shared" si="1"/>
        <v>54700</v>
      </c>
      <c r="H2393" s="49">
        <f t="shared" si="2"/>
        <v>54091</v>
      </c>
    </row>
    <row r="2394">
      <c r="A2394" s="48" t="s">
        <v>2868</v>
      </c>
      <c r="B2394" s="38">
        <v>80508.0</v>
      </c>
      <c r="C2394" s="38" t="s">
        <v>4351</v>
      </c>
      <c r="D2394" s="38" t="str">
        <f>IFERROR(__xludf.DUMMYFUNCTION("REGEXREPLACE(C2394,""-\d+(.*)|--\d+(.*)"","""")"),"MARCHE-ALLOUARDE")</f>
        <v>MARCHE-ALLOUARDE</v>
      </c>
      <c r="E2394" s="38" t="s">
        <v>224</v>
      </c>
      <c r="F2394" s="38" t="s">
        <v>113</v>
      </c>
      <c r="G2394" s="49" t="str">
        <f t="shared" si="1"/>
        <v>80700</v>
      </c>
      <c r="H2394" s="49">
        <f t="shared" si="2"/>
        <v>80508</v>
      </c>
    </row>
    <row r="2395">
      <c r="A2395" s="48" t="s">
        <v>4352</v>
      </c>
      <c r="B2395" s="38">
        <v>81098.0</v>
      </c>
      <c r="C2395" s="38" t="s">
        <v>4353</v>
      </c>
      <c r="D2395" s="38" t="str">
        <f>IFERROR(__xludf.DUMMYFUNCTION("REGEXREPLACE(C2395,""-\d+(.*)|--\d+(.*)"","""")"),"FREJEVILLE")</f>
        <v>FREJEVILLE</v>
      </c>
      <c r="E2395" s="38" t="s">
        <v>231</v>
      </c>
      <c r="F2395" s="38" t="s">
        <v>94</v>
      </c>
      <c r="G2395" s="49" t="str">
        <f t="shared" si="1"/>
        <v>81570</v>
      </c>
      <c r="H2395" s="49">
        <f t="shared" si="2"/>
        <v>81098</v>
      </c>
    </row>
    <row r="2396">
      <c r="A2396" s="48" t="s">
        <v>4354</v>
      </c>
      <c r="B2396" s="38">
        <v>72057.0</v>
      </c>
      <c r="C2396" s="38" t="s">
        <v>4355</v>
      </c>
      <c r="D2396" s="38" t="str">
        <f>IFERROR(__xludf.DUMMYFUNCTION("REGEXREPLACE(C2396,""-\d+(.*)|--\d+(.*)"","""")"),"CHAMPROND")</f>
        <v>CHAMPROND</v>
      </c>
      <c r="E2396" s="38" t="s">
        <v>521</v>
      </c>
      <c r="F2396" s="38" t="s">
        <v>180</v>
      </c>
      <c r="G2396" s="49" t="str">
        <f t="shared" si="1"/>
        <v>72320</v>
      </c>
      <c r="H2396" s="49">
        <f t="shared" si="2"/>
        <v>72057</v>
      </c>
    </row>
    <row r="2397">
      <c r="A2397" s="48" t="s">
        <v>1022</v>
      </c>
      <c r="B2397" s="38">
        <v>2244.0</v>
      </c>
      <c r="C2397" s="38" t="s">
        <v>4356</v>
      </c>
      <c r="D2397" s="38" t="str">
        <f>IFERROR(__xludf.DUMMYFUNCTION("REGEXREPLACE(C2397,""-\d+(.*)|--\d+(.*)"","""")"),"CRUPILLY")</f>
        <v>CRUPILLY</v>
      </c>
      <c r="E2397" s="38" t="s">
        <v>191</v>
      </c>
      <c r="F2397" s="38" t="s">
        <v>113</v>
      </c>
      <c r="G2397" s="49" t="str">
        <f t="shared" si="1"/>
        <v>02120</v>
      </c>
      <c r="H2397" s="49" t="str">
        <f t="shared" si="2"/>
        <v>02244</v>
      </c>
    </row>
    <row r="2398">
      <c r="A2398" s="48" t="s">
        <v>3725</v>
      </c>
      <c r="B2398" s="38">
        <v>50225.0</v>
      </c>
      <c r="C2398" s="38" t="s">
        <v>4357</v>
      </c>
      <c r="D2398" s="38" t="str">
        <f>IFERROR(__xludf.DUMMYFUNCTION("REGEXREPLACE(C2398,""-\d+(.*)|--\d+(.*)"","""")"),"LE GUISLAIN")</f>
        <v>LE GUISLAIN</v>
      </c>
      <c r="E2398" s="38" t="s">
        <v>157</v>
      </c>
      <c r="F2398" s="38" t="s">
        <v>138</v>
      </c>
      <c r="G2398" s="49" t="str">
        <f t="shared" si="1"/>
        <v>50410</v>
      </c>
      <c r="H2398" s="49">
        <f t="shared" si="2"/>
        <v>50225</v>
      </c>
    </row>
    <row r="2399">
      <c r="A2399" s="48" t="s">
        <v>4358</v>
      </c>
      <c r="B2399" s="38">
        <v>74109.0</v>
      </c>
      <c r="C2399" s="38" t="s">
        <v>4359</v>
      </c>
      <c r="D2399" s="38" t="str">
        <f>IFERROR(__xludf.DUMMYFUNCTION("REGEXREPLACE(C2399,""-\d+(.*)|--\d+(.*)"","""")"),"ELOISE")</f>
        <v>ELOISE</v>
      </c>
      <c r="E2399" s="38" t="s">
        <v>319</v>
      </c>
      <c r="F2399" s="38" t="s">
        <v>102</v>
      </c>
      <c r="G2399" s="49" t="str">
        <f t="shared" si="1"/>
        <v>01200</v>
      </c>
      <c r="H2399" s="49">
        <f t="shared" si="2"/>
        <v>74109</v>
      </c>
    </row>
    <row r="2400">
      <c r="A2400" s="48" t="s">
        <v>4360</v>
      </c>
      <c r="B2400" s="38" t="s">
        <v>4361</v>
      </c>
      <c r="C2400" s="38" t="s">
        <v>4362</v>
      </c>
      <c r="D2400" s="38" t="str">
        <f>IFERROR(__xludf.DUMMYFUNCTION("REGEXREPLACE(C2400,""-\d+(.*)|--\d+(.*)"","""")"),"SERRA-DI-FIUMORBO")</f>
        <v>SERRA-DI-FIUMORBO</v>
      </c>
      <c r="E2400" s="38" t="s">
        <v>743</v>
      </c>
      <c r="F2400" s="38" t="s">
        <v>607</v>
      </c>
      <c r="G2400" s="49" t="str">
        <f t="shared" si="1"/>
        <v>20243</v>
      </c>
      <c r="H2400" s="49" t="str">
        <f t="shared" si="2"/>
        <v>2B277</v>
      </c>
    </row>
    <row r="2401">
      <c r="A2401" s="48" t="s">
        <v>1302</v>
      </c>
      <c r="B2401" s="38">
        <v>38273.0</v>
      </c>
      <c r="C2401" s="38" t="s">
        <v>4363</v>
      </c>
      <c r="D2401" s="38" t="str">
        <f>IFERROR(__xludf.DUMMYFUNCTION("REGEXREPLACE(C2401,""-\d+(.*)|--\d+(.*)"","""")"),"NANTES-EN-RATIER")</f>
        <v>NANTES-EN-RATIER</v>
      </c>
      <c r="E2401" s="38" t="s">
        <v>101</v>
      </c>
      <c r="F2401" s="38" t="s">
        <v>102</v>
      </c>
      <c r="G2401" s="49" t="str">
        <f t="shared" si="1"/>
        <v>38350</v>
      </c>
      <c r="H2401" s="49">
        <f t="shared" si="2"/>
        <v>38273</v>
      </c>
    </row>
    <row r="2402">
      <c r="A2402" s="48" t="s">
        <v>4364</v>
      </c>
      <c r="B2402" s="38">
        <v>78245.0</v>
      </c>
      <c r="C2402" s="38" t="s">
        <v>4365</v>
      </c>
      <c r="D2402" s="38" t="str">
        <f>IFERROR(__xludf.DUMMYFUNCTION("REGEXREPLACE(C2402,""-\d+(.*)|--\d+(.*)"","""")"),"FONTENAY-MAUVOISIN")</f>
        <v>FONTENAY-MAUVOISIN</v>
      </c>
      <c r="E2402" s="38" t="s">
        <v>362</v>
      </c>
      <c r="F2402" s="38" t="s">
        <v>245</v>
      </c>
      <c r="G2402" s="49" t="str">
        <f t="shared" si="1"/>
        <v>78200</v>
      </c>
      <c r="H2402" s="49">
        <f t="shared" si="2"/>
        <v>78245</v>
      </c>
    </row>
    <row r="2403">
      <c r="A2403" s="48" t="s">
        <v>1560</v>
      </c>
      <c r="B2403" s="38">
        <v>14487.0</v>
      </c>
      <c r="C2403" s="38" t="s">
        <v>4366</v>
      </c>
      <c r="D2403" s="38" t="str">
        <f>IFERROR(__xludf.DUMMYFUNCTION("REGEXREPLACE(C2403,""-\d+(.*)|--\d+(.*)"","""")"),"OUILLY-LE-VICOMTE")</f>
        <v>OUILLY-LE-VICOMTE</v>
      </c>
      <c r="E2403" s="38" t="s">
        <v>137</v>
      </c>
      <c r="F2403" s="38" t="s">
        <v>138</v>
      </c>
      <c r="G2403" s="49" t="str">
        <f t="shared" si="1"/>
        <v>14100</v>
      </c>
      <c r="H2403" s="49">
        <f t="shared" si="2"/>
        <v>14487</v>
      </c>
    </row>
    <row r="2404">
      <c r="A2404" s="48" t="s">
        <v>1706</v>
      </c>
      <c r="B2404" s="38">
        <v>50520.0</v>
      </c>
      <c r="C2404" s="38" t="s">
        <v>4367</v>
      </c>
      <c r="D2404" s="38" t="str">
        <f>IFERROR(__xludf.DUMMYFUNCTION("REGEXREPLACE(C2404,""-\d+(.*)|--\d+(.*)"","""")"),"SAINT-MARTIN-LE-HEBERT")</f>
        <v>SAINT-MARTIN-LE-HEBERT</v>
      </c>
      <c r="E2404" s="38" t="s">
        <v>157</v>
      </c>
      <c r="F2404" s="38" t="s">
        <v>138</v>
      </c>
      <c r="G2404" s="49" t="str">
        <f t="shared" si="1"/>
        <v>50260</v>
      </c>
      <c r="H2404" s="49">
        <f t="shared" si="2"/>
        <v>50520</v>
      </c>
    </row>
    <row r="2405">
      <c r="A2405" s="48" t="s">
        <v>2563</v>
      </c>
      <c r="B2405" s="38">
        <v>76571.0</v>
      </c>
      <c r="C2405" s="38" t="s">
        <v>4368</v>
      </c>
      <c r="D2405" s="38" t="str">
        <f>IFERROR(__xludf.DUMMYFUNCTION("REGEXREPLACE(C2405,""-\d+(.*)|--\d+(.*)"","""")"),"SAINTE-CROIX-SUR-BUCHY")</f>
        <v>SAINTE-CROIX-SUR-BUCHY</v>
      </c>
      <c r="E2405" s="38" t="s">
        <v>133</v>
      </c>
      <c r="F2405" s="38" t="s">
        <v>134</v>
      </c>
      <c r="G2405" s="49" t="str">
        <f t="shared" si="1"/>
        <v>76750</v>
      </c>
      <c r="H2405" s="49">
        <f t="shared" si="2"/>
        <v>76571</v>
      </c>
    </row>
    <row r="2406">
      <c r="A2406" s="48" t="s">
        <v>1861</v>
      </c>
      <c r="B2406" s="38">
        <v>46007.0</v>
      </c>
      <c r="C2406" s="38" t="s">
        <v>4369</v>
      </c>
      <c r="D2406" s="38" t="str">
        <f>IFERROR(__xludf.DUMMYFUNCTION("REGEXREPLACE(C2406,""-\d+(.*)|--\d+(.*)"","""")"),"ARCAMBAL")</f>
        <v>ARCAMBAL</v>
      </c>
      <c r="E2406" s="38" t="s">
        <v>185</v>
      </c>
      <c r="F2406" s="38" t="s">
        <v>94</v>
      </c>
      <c r="G2406" s="49" t="str">
        <f t="shared" si="1"/>
        <v>46090</v>
      </c>
      <c r="H2406" s="49">
        <f t="shared" si="2"/>
        <v>46007</v>
      </c>
    </row>
    <row r="2407">
      <c r="A2407" s="48" t="s">
        <v>948</v>
      </c>
      <c r="B2407" s="38">
        <v>68214.0</v>
      </c>
      <c r="C2407" s="38" t="s">
        <v>4370</v>
      </c>
      <c r="D2407" s="38" t="str">
        <f>IFERROR(__xludf.DUMMYFUNCTION("REGEXREPLACE(C2407,""-\d+(.*)|--\d+(.*)"","""")"),"MONTREUX-JEUNE")</f>
        <v>MONTREUX-JEUNE</v>
      </c>
      <c r="E2407" s="38" t="s">
        <v>150</v>
      </c>
      <c r="F2407" s="38" t="s">
        <v>151</v>
      </c>
      <c r="G2407" s="49" t="str">
        <f t="shared" si="1"/>
        <v>68210</v>
      </c>
      <c r="H2407" s="49">
        <f t="shared" si="2"/>
        <v>68214</v>
      </c>
    </row>
    <row r="2408">
      <c r="A2408" s="48" t="s">
        <v>484</v>
      </c>
      <c r="B2408" s="38">
        <v>16369.0</v>
      </c>
      <c r="C2408" s="38" t="s">
        <v>4371</v>
      </c>
      <c r="D2408" s="38" t="str">
        <f>IFERROR(__xludf.DUMMYFUNCTION("REGEXREPLACE(C2408,""-\d+(.*)|--\d+(.*)"","""")"),"SIGOGNE")</f>
        <v>SIGOGNE</v>
      </c>
      <c r="E2408" s="38" t="s">
        <v>429</v>
      </c>
      <c r="F2408" s="38" t="s">
        <v>338</v>
      </c>
      <c r="G2408" s="49" t="str">
        <f t="shared" si="1"/>
        <v>16200</v>
      </c>
      <c r="H2408" s="49">
        <f t="shared" si="2"/>
        <v>16369</v>
      </c>
    </row>
    <row r="2409">
      <c r="A2409" s="48" t="s">
        <v>450</v>
      </c>
      <c r="B2409" s="38">
        <v>71292.0</v>
      </c>
      <c r="C2409" s="38" t="s">
        <v>4372</v>
      </c>
      <c r="D2409" s="38" t="str">
        <f>IFERROR(__xludf.DUMMYFUNCTION("REGEXREPLACE(C2409,""-\d+(.*)|--\d+(.*)"","""")"),"MELLECEY")</f>
        <v>MELLECEY</v>
      </c>
      <c r="E2409" s="38" t="s">
        <v>344</v>
      </c>
      <c r="F2409" s="38" t="s">
        <v>106</v>
      </c>
      <c r="G2409" s="49" t="str">
        <f t="shared" si="1"/>
        <v>71640</v>
      </c>
      <c r="H2409" s="49">
        <f t="shared" si="2"/>
        <v>71292</v>
      </c>
    </row>
    <row r="2410">
      <c r="A2410" s="48" t="s">
        <v>4373</v>
      </c>
      <c r="B2410" s="38">
        <v>82046.0</v>
      </c>
      <c r="C2410" s="38" t="s">
        <v>1067</v>
      </c>
      <c r="D2410" s="38" t="str">
        <f>IFERROR(__xludf.DUMMYFUNCTION("REGEXREPLACE(C2410,""-\d+(.*)|--\d+(.*)"","""")"),"COUTURES")</f>
        <v>COUTURES</v>
      </c>
      <c r="E2410" s="38" t="s">
        <v>570</v>
      </c>
      <c r="F2410" s="38" t="s">
        <v>94</v>
      </c>
      <c r="G2410" s="49" t="str">
        <f t="shared" si="1"/>
        <v>82210</v>
      </c>
      <c r="H2410" s="49">
        <f t="shared" si="2"/>
        <v>82046</v>
      </c>
    </row>
    <row r="2411">
      <c r="A2411" s="48" t="s">
        <v>3706</v>
      </c>
      <c r="B2411" s="38">
        <v>77325.0</v>
      </c>
      <c r="C2411" s="38" t="s">
        <v>4374</v>
      </c>
      <c r="D2411" s="38" t="str">
        <f>IFERROR(__xludf.DUMMYFUNCTION("REGEXREPLACE(C2411,""-\d+(.*)|--\d+(.*)"","""")"),"MOUY-SUR-SEINE")</f>
        <v>MOUY-SUR-SEINE</v>
      </c>
      <c r="E2411" s="38" t="s">
        <v>244</v>
      </c>
      <c r="F2411" s="38" t="s">
        <v>245</v>
      </c>
      <c r="G2411" s="49" t="str">
        <f t="shared" si="1"/>
        <v>77480</v>
      </c>
      <c r="H2411" s="49">
        <f t="shared" si="2"/>
        <v>77325</v>
      </c>
    </row>
    <row r="2412">
      <c r="A2412" s="48" t="s">
        <v>4375</v>
      </c>
      <c r="B2412" s="38">
        <v>27603.0</v>
      </c>
      <c r="C2412" s="38" t="s">
        <v>4376</v>
      </c>
      <c r="D2412" s="38" t="str">
        <f>IFERROR(__xludf.DUMMYFUNCTION("REGEXREPLACE(C2412,""-\d+(.*)|--\d+(.*)"","""")"),"SAINT-SIMEON")</f>
        <v>SAINT-SIMEON</v>
      </c>
      <c r="E2412" s="38" t="s">
        <v>241</v>
      </c>
      <c r="F2412" s="38" t="s">
        <v>134</v>
      </c>
      <c r="G2412" s="49" t="str">
        <f t="shared" si="1"/>
        <v>27560</v>
      </c>
      <c r="H2412" s="49">
        <f t="shared" si="2"/>
        <v>27603</v>
      </c>
    </row>
    <row r="2413">
      <c r="A2413" s="48" t="s">
        <v>4377</v>
      </c>
      <c r="B2413" s="38">
        <v>31093.0</v>
      </c>
      <c r="C2413" s="38" t="s">
        <v>4378</v>
      </c>
      <c r="D2413" s="38" t="str">
        <f>IFERROR(__xludf.DUMMYFUNCTION("REGEXREPLACE(C2413,""-\d+(.*)|--\d+(.*)"","""")"),"LE BURGAUD")</f>
        <v>LE BURGAUD</v>
      </c>
      <c r="E2413" s="38" t="s">
        <v>93</v>
      </c>
      <c r="F2413" s="38" t="s">
        <v>94</v>
      </c>
      <c r="G2413" s="49" t="str">
        <f t="shared" si="1"/>
        <v>31330</v>
      </c>
      <c r="H2413" s="49">
        <f t="shared" si="2"/>
        <v>31093</v>
      </c>
    </row>
    <row r="2414">
      <c r="A2414" s="48" t="s">
        <v>4379</v>
      </c>
      <c r="B2414" s="38">
        <v>25056.0</v>
      </c>
      <c r="C2414" s="38" t="s">
        <v>4380</v>
      </c>
      <c r="D2414" s="38" t="str">
        <f>IFERROR(__xludf.DUMMYFUNCTION("REGEXREPLACE(C2414,""-\d+(.*)|--\d+(.*)"","""")"),"BESANCON")</f>
        <v>BESANCON</v>
      </c>
      <c r="E2414" s="38" t="s">
        <v>213</v>
      </c>
      <c r="F2414" s="38" t="s">
        <v>214</v>
      </c>
      <c r="G2414" s="49" t="str">
        <f t="shared" si="1"/>
        <v>25000</v>
      </c>
      <c r="H2414" s="49">
        <f t="shared" si="2"/>
        <v>25056</v>
      </c>
    </row>
    <row r="2415">
      <c r="A2415" s="48" t="s">
        <v>4381</v>
      </c>
      <c r="B2415" s="38">
        <v>82150.0</v>
      </c>
      <c r="C2415" s="38" t="s">
        <v>4382</v>
      </c>
      <c r="D2415" s="38" t="str">
        <f>IFERROR(__xludf.DUMMYFUNCTION("REGEXREPLACE(C2415,""-\d+(.*)|--\d+(.*)"","""")"),"REYNIES")</f>
        <v>REYNIES</v>
      </c>
      <c r="E2415" s="38" t="s">
        <v>570</v>
      </c>
      <c r="F2415" s="38" t="s">
        <v>94</v>
      </c>
      <c r="G2415" s="49" t="str">
        <f t="shared" si="1"/>
        <v>82370</v>
      </c>
      <c r="H2415" s="49">
        <f t="shared" si="2"/>
        <v>82150</v>
      </c>
    </row>
    <row r="2416">
      <c r="A2416" s="48" t="s">
        <v>1022</v>
      </c>
      <c r="B2416" s="38">
        <v>2629.0</v>
      </c>
      <c r="C2416" s="38" t="s">
        <v>4383</v>
      </c>
      <c r="D2416" s="38" t="str">
        <f>IFERROR(__xludf.DUMMYFUNCTION("REGEXREPLACE(C2416,""-\d+(.*)|--\d+(.*)"","""")"),"PUISIEUX-ET-CLANLIEU")</f>
        <v>PUISIEUX-ET-CLANLIEU</v>
      </c>
      <c r="E2416" s="38" t="s">
        <v>191</v>
      </c>
      <c r="F2416" s="38" t="s">
        <v>113</v>
      </c>
      <c r="G2416" s="49" t="str">
        <f t="shared" si="1"/>
        <v>02120</v>
      </c>
      <c r="H2416" s="49" t="str">
        <f t="shared" si="2"/>
        <v>02629</v>
      </c>
    </row>
    <row r="2417">
      <c r="A2417" s="48" t="s">
        <v>4384</v>
      </c>
      <c r="B2417" s="38">
        <v>41219.0</v>
      </c>
      <c r="C2417" s="38" t="s">
        <v>4385</v>
      </c>
      <c r="D2417" s="38" t="str">
        <f>IFERROR(__xludf.DUMMYFUNCTION("REGEXREPLACE(C2417,""-\d+(.*)|--\d+(.*)"","""")"),"SAINT-LAURENT-DES-BOIS")</f>
        <v>SAINT-LAURENT-DES-BOIS</v>
      </c>
      <c r="E2417" s="38" t="s">
        <v>188</v>
      </c>
      <c r="F2417" s="38" t="s">
        <v>123</v>
      </c>
      <c r="G2417" s="49" t="str">
        <f t="shared" si="1"/>
        <v>41240</v>
      </c>
      <c r="H2417" s="49">
        <f t="shared" si="2"/>
        <v>41219</v>
      </c>
    </row>
    <row r="2418">
      <c r="A2418" s="48" t="s">
        <v>4386</v>
      </c>
      <c r="B2418" s="38">
        <v>5122.0</v>
      </c>
      <c r="C2418" s="38" t="s">
        <v>4387</v>
      </c>
      <c r="D2418" s="38" t="str">
        <f>IFERROR(__xludf.DUMMYFUNCTION("REGEXREPLACE(C2418,""-\d+(.*)|--\d+(.*)"","""")"),"LA ROCHE-DE-RAME")</f>
        <v>LA ROCHE-DE-RAME</v>
      </c>
      <c r="E2418" s="38" t="s">
        <v>706</v>
      </c>
      <c r="F2418" s="38" t="s">
        <v>228</v>
      </c>
      <c r="G2418" s="49" t="str">
        <f t="shared" si="1"/>
        <v>05310</v>
      </c>
      <c r="H2418" s="49" t="str">
        <f t="shared" si="2"/>
        <v>05122</v>
      </c>
    </row>
    <row r="2419">
      <c r="A2419" s="48" t="s">
        <v>4388</v>
      </c>
      <c r="B2419" s="38">
        <v>31505.0</v>
      </c>
      <c r="C2419" s="38" t="s">
        <v>4389</v>
      </c>
      <c r="D2419" s="38" t="str">
        <f>IFERROR(__xludf.DUMMYFUNCTION("REGEXREPLACE(C2419,""-\d+(.*)|--\d+(.*)"","""")"),"SAINT-MICHEL")</f>
        <v>SAINT-MICHEL</v>
      </c>
      <c r="E2419" s="38" t="s">
        <v>93</v>
      </c>
      <c r="F2419" s="38" t="s">
        <v>94</v>
      </c>
      <c r="G2419" s="49" t="str">
        <f t="shared" si="1"/>
        <v>31220</v>
      </c>
      <c r="H2419" s="49">
        <f t="shared" si="2"/>
        <v>31505</v>
      </c>
    </row>
    <row r="2420">
      <c r="A2420" s="48" t="s">
        <v>1315</v>
      </c>
      <c r="B2420" s="38">
        <v>19052.0</v>
      </c>
      <c r="C2420" s="38" t="s">
        <v>4390</v>
      </c>
      <c r="D2420" s="38" t="str">
        <f>IFERROR(__xludf.DUMMYFUNCTION("REGEXREPLACE(C2420,""-\d+(.*)|--\d+(.*)"","""")"),"CHAVANAC")</f>
        <v>CHAVANAC</v>
      </c>
      <c r="E2420" s="38" t="s">
        <v>271</v>
      </c>
      <c r="F2420" s="38" t="s">
        <v>98</v>
      </c>
      <c r="G2420" s="49" t="str">
        <f t="shared" si="1"/>
        <v>19290</v>
      </c>
      <c r="H2420" s="49">
        <f t="shared" si="2"/>
        <v>19052</v>
      </c>
    </row>
    <row r="2421">
      <c r="A2421" s="48" t="s">
        <v>2059</v>
      </c>
      <c r="B2421" s="38">
        <v>37105.0</v>
      </c>
      <c r="C2421" s="38" t="s">
        <v>4391</v>
      </c>
      <c r="D2421" s="38" t="str">
        <f>IFERROR(__xludf.DUMMYFUNCTION("REGEXREPLACE(C2421,""-\d+(.*)|--\d+(.*)"","""")"),"FAYE-LA-VINEUSE")</f>
        <v>FAYE-LA-VINEUSE</v>
      </c>
      <c r="E2421" s="38" t="s">
        <v>205</v>
      </c>
      <c r="F2421" s="38" t="s">
        <v>123</v>
      </c>
      <c r="G2421" s="49" t="str">
        <f t="shared" si="1"/>
        <v>37120</v>
      </c>
      <c r="H2421" s="49">
        <f t="shared" si="2"/>
        <v>37105</v>
      </c>
    </row>
    <row r="2422">
      <c r="A2422" s="48" t="s">
        <v>4392</v>
      </c>
      <c r="B2422" s="38">
        <v>59606.0</v>
      </c>
      <c r="C2422" s="38" t="s">
        <v>4393</v>
      </c>
      <c r="D2422" s="38" t="str">
        <f>IFERROR(__xludf.DUMMYFUNCTION("REGEXREPLACE(C2422,""-\d+(.*)|--\d+(.*)"","""")"),"VALENCIENNES")</f>
        <v>VALENCIENNES</v>
      </c>
      <c r="E2422" s="38" t="s">
        <v>85</v>
      </c>
      <c r="F2422" s="38" t="s">
        <v>86</v>
      </c>
      <c r="G2422" s="49" t="str">
        <f t="shared" si="1"/>
        <v>59300</v>
      </c>
      <c r="H2422" s="49">
        <f t="shared" si="2"/>
        <v>59606</v>
      </c>
    </row>
    <row r="2423">
      <c r="A2423" s="48" t="s">
        <v>3102</v>
      </c>
      <c r="B2423" s="38">
        <v>55258.0</v>
      </c>
      <c r="C2423" s="38" t="s">
        <v>4394</v>
      </c>
      <c r="D2423" s="38" t="str">
        <f>IFERROR(__xludf.DUMMYFUNCTION("REGEXREPLACE(C2423,""-\d+(.*)|--\d+(.*)"","""")"),"GEVILLE")</f>
        <v>GEVILLE</v>
      </c>
      <c r="E2423" s="38" t="s">
        <v>322</v>
      </c>
      <c r="F2423" s="38" t="s">
        <v>195</v>
      </c>
      <c r="G2423" s="49" t="str">
        <f t="shared" si="1"/>
        <v>55200</v>
      </c>
      <c r="H2423" s="49">
        <f t="shared" si="2"/>
        <v>55258</v>
      </c>
    </row>
    <row r="2424">
      <c r="A2424" s="48" t="s">
        <v>4199</v>
      </c>
      <c r="B2424" s="38">
        <v>17095.0</v>
      </c>
      <c r="C2424" s="38" t="s">
        <v>4395</v>
      </c>
      <c r="D2424" s="38" t="str">
        <f>IFERROR(__xludf.DUMMYFUNCTION("REGEXREPLACE(C2424,""-\d+(.*)|--\d+(.*)"","""")"),"CHATENET")</f>
        <v>CHATENET</v>
      </c>
      <c r="E2424" s="38" t="s">
        <v>488</v>
      </c>
      <c r="F2424" s="38" t="s">
        <v>338</v>
      </c>
      <c r="G2424" s="49" t="str">
        <f t="shared" si="1"/>
        <v>17210</v>
      </c>
      <c r="H2424" s="49">
        <f t="shared" si="2"/>
        <v>17095</v>
      </c>
    </row>
    <row r="2425">
      <c r="A2425" s="48" t="s">
        <v>1031</v>
      </c>
      <c r="B2425" s="38">
        <v>2046.0</v>
      </c>
      <c r="C2425" s="38" t="s">
        <v>4396</v>
      </c>
      <c r="D2425" s="38" t="str">
        <f>IFERROR(__xludf.DUMMYFUNCTION("REGEXREPLACE(C2425,""-\d+(.*)|--\d+(.*)"","""")"),"BARENTON-BUGNY")</f>
        <v>BARENTON-BUGNY</v>
      </c>
      <c r="E2425" s="38" t="s">
        <v>191</v>
      </c>
      <c r="F2425" s="38" t="s">
        <v>113</v>
      </c>
      <c r="G2425" s="49" t="str">
        <f t="shared" si="1"/>
        <v>02000</v>
      </c>
      <c r="H2425" s="49" t="str">
        <f t="shared" si="2"/>
        <v>02046</v>
      </c>
    </row>
    <row r="2426">
      <c r="A2426" s="48" t="s">
        <v>4397</v>
      </c>
      <c r="B2426" s="38">
        <v>43240.0</v>
      </c>
      <c r="C2426" s="38" t="s">
        <v>4398</v>
      </c>
      <c r="D2426" s="38" t="str">
        <f>IFERROR(__xludf.DUMMYFUNCTION("REGEXREPLACE(C2426,""-\d+(.*)|--\d+(.*)"","""")"),"SOLIGNAC-SOUS-ROCHE")</f>
        <v>SOLIGNAC-SOUS-ROCHE</v>
      </c>
      <c r="E2426" s="38" t="s">
        <v>332</v>
      </c>
      <c r="F2426" s="38" t="s">
        <v>161</v>
      </c>
      <c r="G2426" s="49" t="str">
        <f t="shared" si="1"/>
        <v>43130</v>
      </c>
      <c r="H2426" s="49">
        <f t="shared" si="2"/>
        <v>43240</v>
      </c>
    </row>
    <row r="2427">
      <c r="A2427" s="48" t="s">
        <v>222</v>
      </c>
      <c r="B2427" s="38">
        <v>80057.0</v>
      </c>
      <c r="C2427" s="38" t="s">
        <v>4399</v>
      </c>
      <c r="D2427" s="38" t="str">
        <f>IFERROR(__xludf.DUMMYFUNCTION("REGEXREPLACE(C2427,""-\d+(.*)|--\d+(.*)"","""")"),"BAYENCOURT")</f>
        <v>BAYENCOURT</v>
      </c>
      <c r="E2427" s="38" t="s">
        <v>224</v>
      </c>
      <c r="F2427" s="38" t="s">
        <v>113</v>
      </c>
      <c r="G2427" s="49" t="str">
        <f t="shared" si="1"/>
        <v>80560</v>
      </c>
      <c r="H2427" s="49">
        <f t="shared" si="2"/>
        <v>80057</v>
      </c>
    </row>
    <row r="2428">
      <c r="A2428" s="48" t="s">
        <v>4400</v>
      </c>
      <c r="B2428" s="38">
        <v>66067.0</v>
      </c>
      <c r="C2428" s="38" t="s">
        <v>4401</v>
      </c>
      <c r="D2428" s="38" t="str">
        <f>IFERROR(__xludf.DUMMYFUNCTION("REGEXREPLACE(C2428,""-\d+(.*)|--\d+(.*)"","""")"),"ERR")</f>
        <v>ERR</v>
      </c>
      <c r="E2428" s="38" t="s">
        <v>248</v>
      </c>
      <c r="F2428" s="38" t="s">
        <v>119</v>
      </c>
      <c r="G2428" s="49" t="str">
        <f t="shared" si="1"/>
        <v>66800</v>
      </c>
      <c r="H2428" s="49">
        <f t="shared" si="2"/>
        <v>66067</v>
      </c>
    </row>
    <row r="2429">
      <c r="A2429" s="48" t="s">
        <v>4402</v>
      </c>
      <c r="B2429" s="38">
        <v>54488.0</v>
      </c>
      <c r="C2429" s="38" t="s">
        <v>4403</v>
      </c>
      <c r="D2429" s="38" t="str">
        <f>IFERROR(__xludf.DUMMYFUNCTION("REGEXREPLACE(C2429,""-\d+(.*)|--\d+(.*)"","""")"),"SAINT-SAUVEUR")</f>
        <v>SAINT-SAUVEUR</v>
      </c>
      <c r="E2429" s="38" t="s">
        <v>548</v>
      </c>
      <c r="F2429" s="38" t="s">
        <v>195</v>
      </c>
      <c r="G2429" s="49" t="str">
        <f t="shared" si="1"/>
        <v>54480</v>
      </c>
      <c r="H2429" s="49">
        <f t="shared" si="2"/>
        <v>54488</v>
      </c>
    </row>
    <row r="2430">
      <c r="A2430" s="48" t="s">
        <v>2905</v>
      </c>
      <c r="B2430" s="38">
        <v>21120.0</v>
      </c>
      <c r="C2430" s="38" t="s">
        <v>4404</v>
      </c>
      <c r="D2430" s="38" t="str">
        <f>IFERROR(__xludf.DUMMYFUNCTION("REGEXREPLACE(C2430,""-\d+(.*)|--\d+(.*)"","""")"),"LA BUSSIERE-SUR-OUCHE")</f>
        <v>LA BUSSIERE-SUR-OUCHE</v>
      </c>
      <c r="E2430" s="38" t="s">
        <v>105</v>
      </c>
      <c r="F2430" s="38" t="s">
        <v>106</v>
      </c>
      <c r="G2430" s="49" t="str">
        <f t="shared" si="1"/>
        <v>21360</v>
      </c>
      <c r="H2430" s="49">
        <f t="shared" si="2"/>
        <v>21120</v>
      </c>
    </row>
    <row r="2431">
      <c r="A2431" s="48" t="s">
        <v>2132</v>
      </c>
      <c r="B2431" s="38">
        <v>61444.0</v>
      </c>
      <c r="C2431" s="38" t="s">
        <v>4405</v>
      </c>
      <c r="D2431" s="38" t="str">
        <f>IFERROR(__xludf.DUMMYFUNCTION("REGEXREPLACE(C2431,""-\d+(.*)|--\d+(.*)"","""")"),"SAINT-PHILBERT-SUR-ORNE")</f>
        <v>SAINT-PHILBERT-SUR-ORNE</v>
      </c>
      <c r="E2431" s="38" t="s">
        <v>141</v>
      </c>
      <c r="F2431" s="38" t="s">
        <v>138</v>
      </c>
      <c r="G2431" s="49" t="str">
        <f t="shared" si="1"/>
        <v>61430</v>
      </c>
      <c r="H2431" s="49">
        <f t="shared" si="2"/>
        <v>61444</v>
      </c>
    </row>
    <row r="2432">
      <c r="A2432" s="48" t="s">
        <v>4406</v>
      </c>
      <c r="B2432" s="38">
        <v>76625.0</v>
      </c>
      <c r="C2432" s="38" t="s">
        <v>4407</v>
      </c>
      <c r="D2432" s="38" t="str">
        <f>IFERROR(__xludf.DUMMYFUNCTION("REGEXREPLACE(C2432,""-\d+(.*)|--\d+(.*)"","""")"),"SAINT-NICOLAS-DE-BLIQUETUIT")</f>
        <v>SAINT-NICOLAS-DE-BLIQUETUIT</v>
      </c>
      <c r="E2432" s="38" t="s">
        <v>133</v>
      </c>
      <c r="F2432" s="38" t="s">
        <v>134</v>
      </c>
      <c r="G2432" s="49" t="str">
        <f t="shared" si="1"/>
        <v>76940</v>
      </c>
      <c r="H2432" s="49">
        <f t="shared" si="2"/>
        <v>76625</v>
      </c>
    </row>
    <row r="2433">
      <c r="A2433" s="48" t="s">
        <v>3283</v>
      </c>
      <c r="B2433" s="38">
        <v>52313.0</v>
      </c>
      <c r="C2433" s="38" t="s">
        <v>4408</v>
      </c>
      <c r="D2433" s="38" t="str">
        <f>IFERROR(__xludf.DUMMYFUNCTION("REGEXREPLACE(C2433,""-\d+(.*)|--\d+(.*)"","""")"),"MAREILLES")</f>
        <v>MAREILLES</v>
      </c>
      <c r="E2433" s="38" t="s">
        <v>234</v>
      </c>
      <c r="F2433" s="38" t="s">
        <v>130</v>
      </c>
      <c r="G2433" s="49" t="str">
        <f t="shared" si="1"/>
        <v>52700</v>
      </c>
      <c r="H2433" s="49">
        <f t="shared" si="2"/>
        <v>52313</v>
      </c>
    </row>
    <row r="2434">
      <c r="A2434" s="48" t="s">
        <v>4409</v>
      </c>
      <c r="B2434" s="38" t="s">
        <v>4410</v>
      </c>
      <c r="C2434" s="38" t="s">
        <v>4411</v>
      </c>
      <c r="D2434" s="38" t="str">
        <f>IFERROR(__xludf.DUMMYFUNCTION("REGEXREPLACE(C2434,""-\d+(.*)|--\d+(.*)"","""")"),"CIAMANNACCE")</f>
        <v>CIAMANNACCE</v>
      </c>
      <c r="E2434" s="38" t="s">
        <v>606</v>
      </c>
      <c r="F2434" s="38" t="s">
        <v>607</v>
      </c>
      <c r="G2434" s="49" t="str">
        <f t="shared" si="1"/>
        <v>20134</v>
      </c>
      <c r="H2434" s="49" t="str">
        <f t="shared" si="2"/>
        <v>2A089</v>
      </c>
    </row>
    <row r="2435">
      <c r="A2435" s="48" t="s">
        <v>4412</v>
      </c>
      <c r="B2435" s="38">
        <v>68117.0</v>
      </c>
      <c r="C2435" s="38" t="s">
        <v>4413</v>
      </c>
      <c r="D2435" s="38" t="str">
        <f>IFERROR(__xludf.DUMMYFUNCTION("REGEXREPLACE(C2435,""-\d+(.*)|--\d+(.*)"","""")"),"GUNSBACH")</f>
        <v>GUNSBACH</v>
      </c>
      <c r="E2435" s="38" t="s">
        <v>150</v>
      </c>
      <c r="F2435" s="38" t="s">
        <v>151</v>
      </c>
      <c r="G2435" s="49" t="str">
        <f t="shared" si="1"/>
        <v>68140</v>
      </c>
      <c r="H2435" s="49">
        <f t="shared" si="2"/>
        <v>68117</v>
      </c>
    </row>
    <row r="2436">
      <c r="A2436" s="48" t="s">
        <v>4414</v>
      </c>
      <c r="B2436" s="38">
        <v>75109.0</v>
      </c>
      <c r="C2436" s="38" t="s">
        <v>4415</v>
      </c>
      <c r="D2436" s="38" t="str">
        <f>IFERROR(__xludf.DUMMYFUNCTION("REGEXREPLACE(C2436,""-\d+(.*)|--\d+(.*)"","""")"),"PARIS")</f>
        <v>PARIS</v>
      </c>
      <c r="E2436" s="38" t="s">
        <v>823</v>
      </c>
      <c r="F2436" s="38" t="s">
        <v>245</v>
      </c>
      <c r="G2436" s="49" t="str">
        <f t="shared" si="1"/>
        <v>75009</v>
      </c>
      <c r="H2436" s="49">
        <f t="shared" si="2"/>
        <v>75109</v>
      </c>
    </row>
    <row r="2437">
      <c r="A2437" s="48" t="s">
        <v>4416</v>
      </c>
      <c r="B2437" s="38">
        <v>56028.0</v>
      </c>
      <c r="C2437" s="38" t="s">
        <v>4417</v>
      </c>
      <c r="D2437" s="38" t="str">
        <f>IFERROR(__xludf.DUMMYFUNCTION("REGEXREPLACE(C2437,""-\d+(.*)|--\d+(.*)"","""")"),"CADEN")</f>
        <v>CADEN</v>
      </c>
      <c r="E2437" s="38" t="s">
        <v>173</v>
      </c>
      <c r="F2437" s="38" t="s">
        <v>90</v>
      </c>
      <c r="G2437" s="49" t="str">
        <f t="shared" si="1"/>
        <v>56220</v>
      </c>
      <c r="H2437" s="49">
        <f t="shared" si="2"/>
        <v>56028</v>
      </c>
    </row>
    <row r="2438">
      <c r="A2438" s="48" t="s">
        <v>4418</v>
      </c>
      <c r="B2438" s="38">
        <v>42118.0</v>
      </c>
      <c r="C2438" s="38" t="s">
        <v>4419</v>
      </c>
      <c r="D2438" s="38" t="str">
        <f>IFERROR(__xludf.DUMMYFUNCTION("REGEXREPLACE(C2438,""-\d+(.*)|--\d+(.*)"","""")"),"LAY")</f>
        <v>LAY</v>
      </c>
      <c r="E2438" s="38" t="s">
        <v>166</v>
      </c>
      <c r="F2438" s="38" t="s">
        <v>102</v>
      </c>
      <c r="G2438" s="49" t="str">
        <f t="shared" si="1"/>
        <v>42470</v>
      </c>
      <c r="H2438" s="49">
        <f t="shared" si="2"/>
        <v>42118</v>
      </c>
    </row>
    <row r="2439">
      <c r="A2439" s="48" t="s">
        <v>4420</v>
      </c>
      <c r="B2439" s="38">
        <v>31215.0</v>
      </c>
      <c r="C2439" s="38" t="s">
        <v>4421</v>
      </c>
      <c r="D2439" s="38" t="str">
        <f>IFERROR(__xludf.DUMMYFUNCTION("REGEXREPLACE(C2439,""-\d+(.*)|--\d+(.*)"","""")"),"GAURE")</f>
        <v>GAURE</v>
      </c>
      <c r="E2439" s="38" t="s">
        <v>93</v>
      </c>
      <c r="F2439" s="38" t="s">
        <v>94</v>
      </c>
      <c r="G2439" s="49" t="str">
        <f t="shared" si="1"/>
        <v>31590</v>
      </c>
      <c r="H2439" s="49">
        <f t="shared" si="2"/>
        <v>31215</v>
      </c>
    </row>
    <row r="2440">
      <c r="A2440" s="48" t="s">
        <v>4422</v>
      </c>
      <c r="B2440" s="38">
        <v>59487.0</v>
      </c>
      <c r="C2440" s="38" t="s">
        <v>4423</v>
      </c>
      <c r="D2440" s="38" t="str">
        <f>IFERROR(__xludf.DUMMYFUNCTION("REGEXREPLACE(C2440,""-\d+(.*)|--\d+(.*)"","""")"),"RADINGHEM-EN-WEPPES")</f>
        <v>RADINGHEM-EN-WEPPES</v>
      </c>
      <c r="E2440" s="38" t="s">
        <v>85</v>
      </c>
      <c r="F2440" s="38" t="s">
        <v>86</v>
      </c>
      <c r="G2440" s="49" t="str">
        <f t="shared" si="1"/>
        <v>59320</v>
      </c>
      <c r="H2440" s="49">
        <f t="shared" si="2"/>
        <v>59487</v>
      </c>
    </row>
    <row r="2441">
      <c r="A2441" s="48" t="s">
        <v>4424</v>
      </c>
      <c r="B2441" s="38">
        <v>69142.0</v>
      </c>
      <c r="C2441" s="38" t="s">
        <v>4425</v>
      </c>
      <c r="D2441" s="38" t="str">
        <f>IFERROR(__xludf.DUMMYFUNCTION("REGEXREPLACE(C2441,""-\d+(.*)|--\d+(.*)"","""")"),"LA MULATIERE")</f>
        <v>LA MULATIERE</v>
      </c>
      <c r="E2441" s="38" t="s">
        <v>350</v>
      </c>
      <c r="F2441" s="38" t="s">
        <v>102</v>
      </c>
      <c r="G2441" s="49" t="str">
        <f t="shared" si="1"/>
        <v>69350</v>
      </c>
      <c r="H2441" s="49">
        <f t="shared" si="2"/>
        <v>69142</v>
      </c>
    </row>
    <row r="2442">
      <c r="A2442" s="48" t="s">
        <v>1968</v>
      </c>
      <c r="B2442" s="38">
        <v>52203.0</v>
      </c>
      <c r="C2442" s="38" t="s">
        <v>4426</v>
      </c>
      <c r="D2442" s="38" t="str">
        <f>IFERROR(__xludf.DUMMYFUNCTION("REGEXREPLACE(C2442,""-\d+(.*)|--\d+(.*)"","""")"),"FONTAINES-SUR-MARNE")</f>
        <v>FONTAINES-SUR-MARNE</v>
      </c>
      <c r="E2442" s="38" t="s">
        <v>234</v>
      </c>
      <c r="F2442" s="38" t="s">
        <v>130</v>
      </c>
      <c r="G2442" s="49" t="str">
        <f t="shared" si="1"/>
        <v>52170</v>
      </c>
      <c r="H2442" s="49">
        <f t="shared" si="2"/>
        <v>52203</v>
      </c>
    </row>
    <row r="2443">
      <c r="A2443" s="48" t="s">
        <v>1046</v>
      </c>
      <c r="B2443" s="38">
        <v>26144.0</v>
      </c>
      <c r="C2443" s="38" t="s">
        <v>4427</v>
      </c>
      <c r="D2443" s="38" t="str">
        <f>IFERROR(__xludf.DUMMYFUNCTION("REGEXREPLACE(C2443,""-\d+(.*)|--\d+(.*)"","""")"),"GRANE")</f>
        <v>GRANE</v>
      </c>
      <c r="E2443" s="38" t="s">
        <v>126</v>
      </c>
      <c r="F2443" s="38" t="s">
        <v>102</v>
      </c>
      <c r="G2443" s="49" t="str">
        <f t="shared" si="1"/>
        <v>26400</v>
      </c>
      <c r="H2443" s="49">
        <f t="shared" si="2"/>
        <v>26144</v>
      </c>
    </row>
    <row r="2444">
      <c r="A2444" s="48" t="s">
        <v>4428</v>
      </c>
      <c r="B2444" s="38">
        <v>72082.0</v>
      </c>
      <c r="C2444" s="38" t="s">
        <v>4429</v>
      </c>
      <c r="D2444" s="38" t="str">
        <f>IFERROR(__xludf.DUMMYFUNCTION("REGEXREPLACE(C2444,""-\d+(.*)|--\d+(.*)"","""")"),"LE CHEVAIN")</f>
        <v>LE CHEVAIN</v>
      </c>
      <c r="E2444" s="38" t="s">
        <v>521</v>
      </c>
      <c r="F2444" s="38" t="s">
        <v>180</v>
      </c>
      <c r="G2444" s="49" t="str">
        <f t="shared" si="1"/>
        <v>72610</v>
      </c>
      <c r="H2444" s="49">
        <f t="shared" si="2"/>
        <v>72082</v>
      </c>
    </row>
    <row r="2445">
      <c r="A2445" s="48" t="s">
        <v>1132</v>
      </c>
      <c r="B2445" s="38">
        <v>2581.0</v>
      </c>
      <c r="C2445" s="38" t="s">
        <v>4430</v>
      </c>
      <c r="D2445" s="38" t="str">
        <f>IFERROR(__xludf.DUMMYFUNCTION("REGEXREPLACE(C2445,""-\d+(.*)|--\d+(.*)"","""")"),"PAARS")</f>
        <v>PAARS</v>
      </c>
      <c r="E2445" s="38" t="s">
        <v>191</v>
      </c>
      <c r="F2445" s="38" t="s">
        <v>113</v>
      </c>
      <c r="G2445" s="49" t="str">
        <f t="shared" si="1"/>
        <v>02220</v>
      </c>
      <c r="H2445" s="49" t="str">
        <f t="shared" si="2"/>
        <v>02581</v>
      </c>
    </row>
    <row r="2446">
      <c r="A2446" s="48" t="s">
        <v>4431</v>
      </c>
      <c r="B2446" s="38">
        <v>32351.0</v>
      </c>
      <c r="C2446" s="38" t="s">
        <v>4432</v>
      </c>
      <c r="D2446" s="38" t="str">
        <f>IFERROR(__xludf.DUMMYFUNCTION("REGEXREPLACE(C2446,""-\d+(.*)|--\d+(.*)"","""")"),"ROQUES")</f>
        <v>ROQUES</v>
      </c>
      <c r="E2446" s="38" t="s">
        <v>440</v>
      </c>
      <c r="F2446" s="38" t="s">
        <v>94</v>
      </c>
      <c r="G2446" s="49" t="str">
        <f t="shared" si="1"/>
        <v>32310</v>
      </c>
      <c r="H2446" s="49">
        <f t="shared" si="2"/>
        <v>32351</v>
      </c>
    </row>
    <row r="2447">
      <c r="A2447" s="48" t="s">
        <v>4013</v>
      </c>
      <c r="B2447" s="38">
        <v>9212.0</v>
      </c>
      <c r="C2447" s="38" t="s">
        <v>4433</v>
      </c>
      <c r="D2447" s="38" t="str">
        <f>IFERROR(__xludf.DUMMYFUNCTION("REGEXREPLACE(C2447,""-\d+(.*)|--\d+(.*)"","""")"),"MONTSERON")</f>
        <v>MONTSERON</v>
      </c>
      <c r="E2447" s="38" t="s">
        <v>238</v>
      </c>
      <c r="F2447" s="38" t="s">
        <v>94</v>
      </c>
      <c r="G2447" s="49" t="str">
        <f t="shared" si="1"/>
        <v>09240</v>
      </c>
      <c r="H2447" s="49" t="str">
        <f t="shared" si="2"/>
        <v>09212</v>
      </c>
    </row>
    <row r="2448">
      <c r="A2448" s="48" t="s">
        <v>4434</v>
      </c>
      <c r="B2448" s="38">
        <v>31414.0</v>
      </c>
      <c r="C2448" s="38" t="s">
        <v>4435</v>
      </c>
      <c r="D2448" s="38" t="str">
        <f>IFERROR(__xludf.DUMMYFUNCTION("REGEXREPLACE(C2448,""-\d+(.*)|--\d+(.*)"","""")"),"PEYRISSAS")</f>
        <v>PEYRISSAS</v>
      </c>
      <c r="E2448" s="38" t="s">
        <v>93</v>
      </c>
      <c r="F2448" s="38" t="s">
        <v>94</v>
      </c>
      <c r="G2448" s="49" t="str">
        <f t="shared" si="1"/>
        <v>31420</v>
      </c>
      <c r="H2448" s="49">
        <f t="shared" si="2"/>
        <v>31414</v>
      </c>
    </row>
    <row r="2449">
      <c r="A2449" s="48" t="s">
        <v>434</v>
      </c>
      <c r="B2449" s="38">
        <v>55510.0</v>
      </c>
      <c r="C2449" s="38" t="s">
        <v>4436</v>
      </c>
      <c r="D2449" s="38" t="str">
        <f>IFERROR(__xludf.DUMMYFUNCTION("REGEXREPLACE(C2449,""-\d+(.*)|--\d+(.*)"","""")"),"THONNE-LES-PRES")</f>
        <v>THONNE-LES-PRES</v>
      </c>
      <c r="E2449" s="38" t="s">
        <v>322</v>
      </c>
      <c r="F2449" s="38" t="s">
        <v>195</v>
      </c>
      <c r="G2449" s="49" t="str">
        <f t="shared" si="1"/>
        <v>55600</v>
      </c>
      <c r="H2449" s="49">
        <f t="shared" si="2"/>
        <v>55510</v>
      </c>
    </row>
    <row r="2450">
      <c r="A2450" s="48" t="s">
        <v>4437</v>
      </c>
      <c r="B2450" s="38">
        <v>90008.0</v>
      </c>
      <c r="C2450" s="38" t="s">
        <v>4438</v>
      </c>
      <c r="D2450" s="38" t="str">
        <f>IFERROR(__xludf.DUMMYFUNCTION("REGEXREPLACE(C2450,""-\d+(.*)|--\d+(.*)"","""")"),"BAVILLIERS")</f>
        <v>BAVILLIERS</v>
      </c>
      <c r="E2450" s="38" t="s">
        <v>1283</v>
      </c>
      <c r="F2450" s="38" t="s">
        <v>214</v>
      </c>
      <c r="G2450" s="49" t="str">
        <f t="shared" si="1"/>
        <v>90800</v>
      </c>
      <c r="H2450" s="49">
        <f t="shared" si="2"/>
        <v>90008</v>
      </c>
    </row>
    <row r="2451">
      <c r="A2451" s="48" t="s">
        <v>3711</v>
      </c>
      <c r="B2451" s="38">
        <v>21259.0</v>
      </c>
      <c r="C2451" s="38" t="s">
        <v>4439</v>
      </c>
      <c r="D2451" s="38" t="str">
        <f>IFERROR(__xludf.DUMMYFUNCTION("REGEXREPLACE(C2451,""-\d+(.*)|--\d+(.*)"","""")"),"FAIN-LES-MONTBARD")</f>
        <v>FAIN-LES-MONTBARD</v>
      </c>
      <c r="E2451" s="38" t="s">
        <v>105</v>
      </c>
      <c r="F2451" s="38" t="s">
        <v>106</v>
      </c>
      <c r="G2451" s="49" t="str">
        <f t="shared" si="1"/>
        <v>21500</v>
      </c>
      <c r="H2451" s="49">
        <f t="shared" si="2"/>
        <v>21259</v>
      </c>
    </row>
    <row r="2452">
      <c r="A2452" s="48" t="s">
        <v>456</v>
      </c>
      <c r="B2452" s="38">
        <v>63178.0</v>
      </c>
      <c r="C2452" s="38" t="s">
        <v>4440</v>
      </c>
      <c r="D2452" s="38" t="str">
        <f>IFERROR(__xludf.DUMMYFUNCTION("REGEXREPLACE(C2452,""-\d+(.*)|--\d+(.*)"","""")"),"ISSOIRE")</f>
        <v>ISSOIRE</v>
      </c>
      <c r="E2452" s="38" t="s">
        <v>353</v>
      </c>
      <c r="F2452" s="38" t="s">
        <v>161</v>
      </c>
      <c r="G2452" s="49" t="str">
        <f t="shared" si="1"/>
        <v>63500</v>
      </c>
      <c r="H2452" s="49">
        <f t="shared" si="2"/>
        <v>63178</v>
      </c>
    </row>
    <row r="2453">
      <c r="A2453" s="48" t="s">
        <v>4441</v>
      </c>
      <c r="B2453" s="38">
        <v>6151.0</v>
      </c>
      <c r="C2453" s="38" t="s">
        <v>4442</v>
      </c>
      <c r="D2453" s="38" t="str">
        <f>IFERROR(__xludf.DUMMYFUNCTION("REGEXREPLACE(C2453,""-\d+(.*)|--\d+(.*)"","""")"),"UTELLE")</f>
        <v>UTELLE</v>
      </c>
      <c r="E2453" s="38" t="s">
        <v>227</v>
      </c>
      <c r="F2453" s="38" t="s">
        <v>228</v>
      </c>
      <c r="G2453" s="49" t="str">
        <f t="shared" si="1"/>
        <v>06450</v>
      </c>
      <c r="H2453" s="49" t="str">
        <f t="shared" si="2"/>
        <v>06151</v>
      </c>
    </row>
    <row r="2454">
      <c r="A2454" s="48" t="s">
        <v>4443</v>
      </c>
      <c r="B2454" s="38">
        <v>27552.0</v>
      </c>
      <c r="C2454" s="38" t="s">
        <v>4444</v>
      </c>
      <c r="D2454" s="38" t="str">
        <f>IFERROR(__xludf.DUMMYFUNCTION("REGEXREPLACE(C2454,""-\d+(.*)|--\d+(.*)"","""")"),"SAINT-JEAN-DU-THENNEY")</f>
        <v>SAINT-JEAN-DU-THENNEY</v>
      </c>
      <c r="E2454" s="38" t="s">
        <v>241</v>
      </c>
      <c r="F2454" s="38" t="s">
        <v>134</v>
      </c>
      <c r="G2454" s="49" t="str">
        <f t="shared" si="1"/>
        <v>27270</v>
      </c>
      <c r="H2454" s="49">
        <f t="shared" si="2"/>
        <v>27552</v>
      </c>
    </row>
    <row r="2455">
      <c r="A2455" s="48" t="s">
        <v>4445</v>
      </c>
      <c r="B2455" s="38">
        <v>30274.0</v>
      </c>
      <c r="C2455" s="38" t="s">
        <v>4446</v>
      </c>
      <c r="D2455" s="38" t="str">
        <f>IFERROR(__xludf.DUMMYFUNCTION("REGEXREPLACE(C2455,""-\d+(.*)|--\d+(.*)"","""")"),"SAINT-JULIEN-LES-ROSIERS")</f>
        <v>SAINT-JULIEN-LES-ROSIERS</v>
      </c>
      <c r="E2455" s="38" t="s">
        <v>526</v>
      </c>
      <c r="F2455" s="38" t="s">
        <v>119</v>
      </c>
      <c r="G2455" s="49" t="str">
        <f t="shared" si="1"/>
        <v>30340</v>
      </c>
      <c r="H2455" s="49">
        <f t="shared" si="2"/>
        <v>30274</v>
      </c>
    </row>
    <row r="2456">
      <c r="A2456" s="48" t="s">
        <v>4447</v>
      </c>
      <c r="B2456" s="38">
        <v>39248.0</v>
      </c>
      <c r="C2456" s="38" t="s">
        <v>4448</v>
      </c>
      <c r="D2456" s="38" t="str">
        <f>IFERROR(__xludf.DUMMYFUNCTION("REGEXREPLACE(C2456,""-\d+(.*)|--\d+(.*)"","""")"),"GERAISE")</f>
        <v>GERAISE</v>
      </c>
      <c r="E2456" s="38" t="s">
        <v>400</v>
      </c>
      <c r="F2456" s="38" t="s">
        <v>214</v>
      </c>
      <c r="G2456" s="49" t="str">
        <f t="shared" si="1"/>
        <v>39110</v>
      </c>
      <c r="H2456" s="49">
        <f t="shared" si="2"/>
        <v>39248</v>
      </c>
    </row>
    <row r="2457">
      <c r="A2457" s="48" t="s">
        <v>1091</v>
      </c>
      <c r="B2457" s="38">
        <v>57523.0</v>
      </c>
      <c r="C2457" s="38" t="s">
        <v>4449</v>
      </c>
      <c r="D2457" s="38" t="str">
        <f>IFERROR(__xludf.DUMMYFUNCTION("REGEXREPLACE(C2457,""-\d+(.*)|--\d+(.*)"","""")"),"OGY")</f>
        <v>OGY</v>
      </c>
      <c r="E2457" s="38" t="s">
        <v>303</v>
      </c>
      <c r="F2457" s="38" t="s">
        <v>195</v>
      </c>
      <c r="G2457" s="49" t="str">
        <f t="shared" si="1"/>
        <v>57530</v>
      </c>
      <c r="H2457" s="49">
        <f t="shared" si="2"/>
        <v>57523</v>
      </c>
    </row>
    <row r="2458">
      <c r="A2458" s="48" t="s">
        <v>4450</v>
      </c>
      <c r="B2458" s="38">
        <v>34170.0</v>
      </c>
      <c r="C2458" s="38" t="s">
        <v>4451</v>
      </c>
      <c r="D2458" s="38" t="str">
        <f>IFERROR(__xludf.DUMMYFUNCTION("REGEXREPLACE(C2458,""-\d+(.*)|--\d+(.*)"","""")"),"MONTOULIERS")</f>
        <v>MONTOULIERS</v>
      </c>
      <c r="E2458" s="38" t="s">
        <v>118</v>
      </c>
      <c r="F2458" s="38" t="s">
        <v>119</v>
      </c>
      <c r="G2458" s="49" t="str">
        <f t="shared" si="1"/>
        <v>34310</v>
      </c>
      <c r="H2458" s="49">
        <f t="shared" si="2"/>
        <v>34170</v>
      </c>
    </row>
    <row r="2459">
      <c r="A2459" s="48" t="s">
        <v>502</v>
      </c>
      <c r="B2459" s="38">
        <v>18221.0</v>
      </c>
      <c r="C2459" s="38" t="s">
        <v>4452</v>
      </c>
      <c r="D2459" s="38" t="str">
        <f>IFERROR(__xludf.DUMMYFUNCTION("REGEXREPLACE(C2459,""-\d+(.*)|--\d+(.*)"","""")"),"SAINT-LOUP-DES-CHAUMES")</f>
        <v>SAINT-LOUP-DES-CHAUMES</v>
      </c>
      <c r="E2459" s="38" t="s">
        <v>504</v>
      </c>
      <c r="F2459" s="38" t="s">
        <v>123</v>
      </c>
      <c r="G2459" s="49" t="str">
        <f t="shared" si="1"/>
        <v>18190</v>
      </c>
      <c r="H2459" s="49">
        <f t="shared" si="2"/>
        <v>18221</v>
      </c>
    </row>
    <row r="2460">
      <c r="A2460" s="48" t="s">
        <v>4453</v>
      </c>
      <c r="B2460" s="38">
        <v>52011.0</v>
      </c>
      <c r="C2460" s="38" t="s">
        <v>4454</v>
      </c>
      <c r="D2460" s="38" t="str">
        <f>IFERROR(__xludf.DUMMYFUNCTION("REGEXREPLACE(C2460,""-\d+(.*)|--\d+(.*)"","""")"),"ANNEVILLE-LA-PRAIRIE")</f>
        <v>ANNEVILLE-LA-PRAIRIE</v>
      </c>
      <c r="E2460" s="38" t="s">
        <v>234</v>
      </c>
      <c r="F2460" s="38" t="s">
        <v>130</v>
      </c>
      <c r="G2460" s="49" t="str">
        <f t="shared" si="1"/>
        <v>52310</v>
      </c>
      <c r="H2460" s="49">
        <f t="shared" si="2"/>
        <v>52011</v>
      </c>
    </row>
    <row r="2461">
      <c r="A2461" s="48" t="s">
        <v>4455</v>
      </c>
      <c r="B2461" s="38">
        <v>1333.0</v>
      </c>
      <c r="C2461" s="38" t="s">
        <v>4456</v>
      </c>
      <c r="D2461" s="38" t="str">
        <f>IFERROR(__xludf.DUMMYFUNCTION("REGEXREPLACE(C2461,""-\d+(.*)|--\d+(.*)"","""")"),"SAINT-ANDRE-DE-CORCY")</f>
        <v>SAINT-ANDRE-DE-CORCY</v>
      </c>
      <c r="E2461" s="38" t="s">
        <v>255</v>
      </c>
      <c r="F2461" s="38" t="s">
        <v>102</v>
      </c>
      <c r="G2461" s="49" t="str">
        <f t="shared" si="1"/>
        <v>01390</v>
      </c>
      <c r="H2461" s="49" t="str">
        <f t="shared" si="2"/>
        <v>01333</v>
      </c>
    </row>
    <row r="2462">
      <c r="A2462" s="48" t="s">
        <v>4457</v>
      </c>
      <c r="B2462" s="38">
        <v>80337.0</v>
      </c>
      <c r="C2462" s="38" t="s">
        <v>4458</v>
      </c>
      <c r="D2462" s="38" t="str">
        <f>IFERROR(__xludf.DUMMYFUNCTION("REGEXREPLACE(C2462,""-\d+(.*)|--\d+(.*)"","""")"),"FOUENCAMPS")</f>
        <v>FOUENCAMPS</v>
      </c>
      <c r="E2462" s="38" t="s">
        <v>224</v>
      </c>
      <c r="F2462" s="38" t="s">
        <v>113</v>
      </c>
      <c r="G2462" s="49" t="str">
        <f t="shared" si="1"/>
        <v>80440</v>
      </c>
      <c r="H2462" s="49">
        <f t="shared" si="2"/>
        <v>80337</v>
      </c>
    </row>
    <row r="2463">
      <c r="A2463" s="48" t="s">
        <v>4459</v>
      </c>
      <c r="B2463" s="38">
        <v>63120.0</v>
      </c>
      <c r="C2463" s="38" t="s">
        <v>4460</v>
      </c>
      <c r="D2463" s="38" t="str">
        <f>IFERROR(__xludf.DUMMYFUNCTION("REGEXREPLACE(C2463,""-\d+(.*)|--\d+(.*)"","""")"),"CORENT")</f>
        <v>CORENT</v>
      </c>
      <c r="E2463" s="38" t="s">
        <v>353</v>
      </c>
      <c r="F2463" s="38" t="s">
        <v>161</v>
      </c>
      <c r="G2463" s="49" t="str">
        <f t="shared" si="1"/>
        <v>63730</v>
      </c>
      <c r="H2463" s="49">
        <f t="shared" si="2"/>
        <v>63120</v>
      </c>
    </row>
    <row r="2464">
      <c r="A2464" s="48" t="s">
        <v>3161</v>
      </c>
      <c r="B2464" s="38">
        <v>70373.0</v>
      </c>
      <c r="C2464" s="38" t="s">
        <v>4461</v>
      </c>
      <c r="D2464" s="38" t="str">
        <f>IFERROR(__xludf.DUMMYFUNCTION("REGEXREPLACE(C2464,""-\d+(.*)|--\d+(.*)"","""")"),"LA ROCHE-MOREY")</f>
        <v>LA ROCHE-MOREY</v>
      </c>
      <c r="E2464" s="38" t="s">
        <v>956</v>
      </c>
      <c r="F2464" s="38" t="s">
        <v>214</v>
      </c>
      <c r="G2464" s="49" t="str">
        <f t="shared" si="1"/>
        <v>70120</v>
      </c>
      <c r="H2464" s="49">
        <f t="shared" si="2"/>
        <v>70373</v>
      </c>
    </row>
    <row r="2465">
      <c r="A2465" s="48" t="s">
        <v>4462</v>
      </c>
      <c r="B2465" s="38">
        <v>79188.0</v>
      </c>
      <c r="C2465" s="38" t="s">
        <v>4463</v>
      </c>
      <c r="D2465" s="38" t="str">
        <f>IFERROR(__xludf.DUMMYFUNCTION("REGEXREPLACE(C2465,""-\d+(.*)|--\d+(.*)"","""")"),"MOUTIERS-SOUS-CHANTEMERLE")</f>
        <v>MOUTIERS-SOUS-CHANTEMERLE</v>
      </c>
      <c r="E2465" s="38" t="s">
        <v>337</v>
      </c>
      <c r="F2465" s="38" t="s">
        <v>338</v>
      </c>
      <c r="G2465" s="49" t="str">
        <f t="shared" si="1"/>
        <v>79320</v>
      </c>
      <c r="H2465" s="49">
        <f t="shared" si="2"/>
        <v>79188</v>
      </c>
    </row>
    <row r="2466">
      <c r="A2466" s="48" t="s">
        <v>4464</v>
      </c>
      <c r="B2466" s="38">
        <v>63113.0</v>
      </c>
      <c r="C2466" s="38" t="s">
        <v>4465</v>
      </c>
      <c r="D2466" s="38" t="str">
        <f>IFERROR(__xludf.DUMMYFUNCTION("REGEXREPLACE(C2466,""-\d+(.*)|--\d+(.*)"","""")"),"CLERMONT-FERRAND")</f>
        <v>CLERMONT-FERRAND</v>
      </c>
      <c r="E2466" s="38" t="s">
        <v>353</v>
      </c>
      <c r="F2466" s="38" t="s">
        <v>161</v>
      </c>
      <c r="G2466" s="49" t="str">
        <f t="shared" si="1"/>
        <v>63000/63100</v>
      </c>
      <c r="H2466" s="49">
        <f t="shared" si="2"/>
        <v>63113</v>
      </c>
    </row>
    <row r="2467">
      <c r="A2467" s="48" t="s">
        <v>2740</v>
      </c>
      <c r="B2467" s="38">
        <v>46328.0</v>
      </c>
      <c r="C2467" s="38" t="s">
        <v>4466</v>
      </c>
      <c r="D2467" s="38" t="str">
        <f>IFERROR(__xludf.DUMMYFUNCTION("REGEXREPLACE(C2467,""-\d+(.*)|--\d+(.*)"","""")"),"VARAIRE")</f>
        <v>VARAIRE</v>
      </c>
      <c r="E2467" s="38" t="s">
        <v>185</v>
      </c>
      <c r="F2467" s="38" t="s">
        <v>94</v>
      </c>
      <c r="G2467" s="49" t="str">
        <f t="shared" si="1"/>
        <v>46260</v>
      </c>
      <c r="H2467" s="49">
        <f t="shared" si="2"/>
        <v>46328</v>
      </c>
    </row>
    <row r="2468">
      <c r="A2468" s="48" t="s">
        <v>4467</v>
      </c>
      <c r="B2468" s="38">
        <v>53222.0</v>
      </c>
      <c r="C2468" s="38" t="s">
        <v>4468</v>
      </c>
      <c r="D2468" s="38" t="str">
        <f>IFERROR(__xludf.DUMMYFUNCTION("REGEXREPLACE(C2468,""-\d+(.*)|--\d+(.*)"","""")"),"SAINT-GERMAIN-D'ANXURE")</f>
        <v>SAINT-GERMAIN-D'ANXURE</v>
      </c>
      <c r="E2468" s="38" t="s">
        <v>518</v>
      </c>
      <c r="F2468" s="38" t="s">
        <v>180</v>
      </c>
      <c r="G2468" s="49" t="str">
        <f t="shared" si="1"/>
        <v>53240</v>
      </c>
      <c r="H2468" s="49">
        <f t="shared" si="2"/>
        <v>53222</v>
      </c>
    </row>
    <row r="2469">
      <c r="A2469" s="48" t="s">
        <v>4469</v>
      </c>
      <c r="B2469" s="38">
        <v>83133.0</v>
      </c>
      <c r="C2469" s="38" t="s">
        <v>4470</v>
      </c>
      <c r="D2469" s="38" t="str">
        <f>IFERROR(__xludf.DUMMYFUNCTION("REGEXREPLACE(C2469,""-\d+(.*)|--\d+(.*)"","""")"),"TANNERON")</f>
        <v>TANNERON</v>
      </c>
      <c r="E2469" s="38" t="s">
        <v>813</v>
      </c>
      <c r="F2469" s="38" t="s">
        <v>228</v>
      </c>
      <c r="G2469" s="49" t="str">
        <f t="shared" si="1"/>
        <v>83440</v>
      </c>
      <c r="H2469" s="49">
        <f t="shared" si="2"/>
        <v>83133</v>
      </c>
    </row>
    <row r="2470">
      <c r="A2470" s="48" t="s">
        <v>3370</v>
      </c>
      <c r="B2470" s="38">
        <v>72038.0</v>
      </c>
      <c r="C2470" s="38" t="s">
        <v>4471</v>
      </c>
      <c r="D2470" s="38" t="str">
        <f>IFERROR(__xludf.DUMMYFUNCTION("REGEXREPLACE(C2470,""-\d+(.*)|--\d+(.*)"","""")"),"BOESSE-LE-SEC")</f>
        <v>BOESSE-LE-SEC</v>
      </c>
      <c r="E2470" s="38" t="s">
        <v>521</v>
      </c>
      <c r="F2470" s="38" t="s">
        <v>180</v>
      </c>
      <c r="G2470" s="49" t="str">
        <f t="shared" si="1"/>
        <v>72400</v>
      </c>
      <c r="H2470" s="49">
        <f t="shared" si="2"/>
        <v>72038</v>
      </c>
    </row>
    <row r="2471">
      <c r="A2471" s="48" t="s">
        <v>3349</v>
      </c>
      <c r="B2471" s="38">
        <v>34200.0</v>
      </c>
      <c r="C2471" s="38" t="s">
        <v>4472</v>
      </c>
      <c r="D2471" s="38" t="str">
        <f>IFERROR(__xludf.DUMMYFUNCTION("REGEXREPLACE(C2471,""-\d+(.*)|--\d+(.*)"","""")"),"PEZENES-LES-MINES")</f>
        <v>PEZENES-LES-MINES</v>
      </c>
      <c r="E2471" s="38" t="s">
        <v>118</v>
      </c>
      <c r="F2471" s="38" t="s">
        <v>119</v>
      </c>
      <c r="G2471" s="49" t="str">
        <f t="shared" si="1"/>
        <v>34600</v>
      </c>
      <c r="H2471" s="49">
        <f t="shared" si="2"/>
        <v>34200</v>
      </c>
    </row>
    <row r="2472">
      <c r="A2472" s="48" t="s">
        <v>4473</v>
      </c>
      <c r="B2472" s="38">
        <v>5018.0</v>
      </c>
      <c r="C2472" s="38" t="s">
        <v>4474</v>
      </c>
      <c r="D2472" s="38" t="str">
        <f>IFERROR(__xludf.DUMMYFUNCTION("REGEXREPLACE(C2472,""-\d+(.*)|--\d+(.*)"","""")"),"LA BATIE-VIEILLE")</f>
        <v>LA BATIE-VIEILLE</v>
      </c>
      <c r="E2472" s="38" t="s">
        <v>706</v>
      </c>
      <c r="F2472" s="38" t="s">
        <v>228</v>
      </c>
      <c r="G2472" s="49" t="str">
        <f t="shared" si="1"/>
        <v>05000</v>
      </c>
      <c r="H2472" s="49" t="str">
        <f t="shared" si="2"/>
        <v>05018</v>
      </c>
    </row>
    <row r="2473">
      <c r="A2473" s="48" t="s">
        <v>509</v>
      </c>
      <c r="B2473" s="38">
        <v>28184.0</v>
      </c>
      <c r="C2473" s="38" t="s">
        <v>4475</v>
      </c>
      <c r="D2473" s="38" t="str">
        <f>IFERROR(__xludf.DUMMYFUNCTION("REGEXREPLACE(C2473,""-\d+(.*)|--\d+(.*)"","""")"),"GOUILLONS")</f>
        <v>GOUILLONS</v>
      </c>
      <c r="E2473" s="38" t="s">
        <v>300</v>
      </c>
      <c r="F2473" s="38" t="s">
        <v>123</v>
      </c>
      <c r="G2473" s="49" t="str">
        <f t="shared" si="1"/>
        <v>28310</v>
      </c>
      <c r="H2473" s="49">
        <f t="shared" si="2"/>
        <v>28184</v>
      </c>
    </row>
    <row r="2474">
      <c r="A2474" s="48" t="s">
        <v>3046</v>
      </c>
      <c r="B2474" s="38">
        <v>70043.0</v>
      </c>
      <c r="C2474" s="38" t="s">
        <v>4476</v>
      </c>
      <c r="D2474" s="38" t="str">
        <f>IFERROR(__xludf.DUMMYFUNCTION("REGEXREPLACE(C2474,""-\d+(.*)|--\d+(.*)"","""")"),"AUVET-ET-LA-CHAPELOTTE")</f>
        <v>AUVET-ET-LA-CHAPELOTTE</v>
      </c>
      <c r="E2474" s="38" t="s">
        <v>956</v>
      </c>
      <c r="F2474" s="38" t="s">
        <v>214</v>
      </c>
      <c r="G2474" s="49" t="str">
        <f t="shared" si="1"/>
        <v>70100</v>
      </c>
      <c r="H2474" s="49">
        <f t="shared" si="2"/>
        <v>70043</v>
      </c>
    </row>
    <row r="2475">
      <c r="A2475" s="48" t="s">
        <v>4477</v>
      </c>
      <c r="B2475" s="38">
        <v>59410.0</v>
      </c>
      <c r="C2475" s="38" t="s">
        <v>4478</v>
      </c>
      <c r="D2475" s="38" t="str">
        <f>IFERROR(__xludf.DUMMYFUNCTION("REGEXREPLACE(C2475,""-\d+(.*)|--\d+(.*)"","""")"),"MONS-EN-BAROEUL")</f>
        <v>MONS-EN-BAROEUL</v>
      </c>
      <c r="E2475" s="38" t="s">
        <v>85</v>
      </c>
      <c r="F2475" s="38" t="s">
        <v>86</v>
      </c>
      <c r="G2475" s="49" t="str">
        <f t="shared" si="1"/>
        <v>59370</v>
      </c>
      <c r="H2475" s="49">
        <f t="shared" si="2"/>
        <v>59410</v>
      </c>
    </row>
    <row r="2476">
      <c r="A2476" s="48" t="s">
        <v>3154</v>
      </c>
      <c r="B2476" s="38">
        <v>15057.0</v>
      </c>
      <c r="C2476" s="38" t="s">
        <v>4479</v>
      </c>
      <c r="D2476" s="38" t="str">
        <f>IFERROR(__xludf.DUMMYFUNCTION("REGEXREPLACE(C2476,""-\d+(.*)|--\d+(.*)"","""")"),"CROS-DE-MONTVERT")</f>
        <v>CROS-DE-MONTVERT</v>
      </c>
      <c r="E2476" s="38" t="s">
        <v>632</v>
      </c>
      <c r="F2476" s="38" t="s">
        <v>161</v>
      </c>
      <c r="G2476" s="49" t="str">
        <f t="shared" si="1"/>
        <v>15150</v>
      </c>
      <c r="H2476" s="49">
        <f t="shared" si="2"/>
        <v>15057</v>
      </c>
    </row>
    <row r="2477">
      <c r="A2477" s="48" t="s">
        <v>1008</v>
      </c>
      <c r="B2477" s="38">
        <v>2647.0</v>
      </c>
      <c r="C2477" s="38" t="s">
        <v>4480</v>
      </c>
      <c r="D2477" s="38" t="str">
        <f>IFERROR(__xludf.DUMMYFUNCTION("REGEXREPLACE(C2477,""-\d+(.*)|--\d+(.*)"","""")"),"RIBEAUVILLE")</f>
        <v>RIBEAUVILLE</v>
      </c>
      <c r="E2477" s="38" t="s">
        <v>191</v>
      </c>
      <c r="F2477" s="38" t="s">
        <v>113</v>
      </c>
      <c r="G2477" s="49" t="str">
        <f t="shared" si="1"/>
        <v>02110</v>
      </c>
      <c r="H2477" s="49" t="str">
        <f t="shared" si="2"/>
        <v>02647</v>
      </c>
    </row>
    <row r="2478">
      <c r="A2478" s="48" t="s">
        <v>4481</v>
      </c>
      <c r="B2478" s="38">
        <v>66095.0</v>
      </c>
      <c r="C2478" s="38" t="s">
        <v>4482</v>
      </c>
      <c r="D2478" s="38" t="str">
        <f>IFERROR(__xludf.DUMMYFUNCTION("REGEXREPLACE(C2478,""-\d+(.*)|--\d+(.*)"","""")"),"LATOUR-DE-CAROL")</f>
        <v>LATOUR-DE-CAROL</v>
      </c>
      <c r="E2478" s="38" t="s">
        <v>248</v>
      </c>
      <c r="F2478" s="38" t="s">
        <v>119</v>
      </c>
      <c r="G2478" s="49" t="str">
        <f t="shared" si="1"/>
        <v>66760</v>
      </c>
      <c r="H2478" s="49">
        <f t="shared" si="2"/>
        <v>66095</v>
      </c>
    </row>
    <row r="2479">
      <c r="A2479" s="48" t="s">
        <v>4483</v>
      </c>
      <c r="B2479" s="38">
        <v>4032.0</v>
      </c>
      <c r="C2479" s="38" t="s">
        <v>4484</v>
      </c>
      <c r="D2479" s="38" t="str">
        <f>IFERROR(__xludf.DUMMYFUNCTION("REGEXREPLACE(C2479,""-\d+(.*)|--\d+(.*)"","""")"),"BRAUX")</f>
        <v>BRAUX</v>
      </c>
      <c r="E2479" s="38" t="s">
        <v>662</v>
      </c>
      <c r="F2479" s="38" t="s">
        <v>228</v>
      </c>
      <c r="G2479" s="49" t="str">
        <f t="shared" si="1"/>
        <v>04240</v>
      </c>
      <c r="H2479" s="49" t="str">
        <f t="shared" si="2"/>
        <v>04032</v>
      </c>
    </row>
    <row r="2480">
      <c r="A2480" s="48" t="s">
        <v>1582</v>
      </c>
      <c r="B2480" s="38">
        <v>45088.0</v>
      </c>
      <c r="C2480" s="38" t="s">
        <v>4485</v>
      </c>
      <c r="D2480" s="38" t="str">
        <f>IFERROR(__xludf.DUMMYFUNCTION("REGEXREPLACE(C2480,""-\d+(.*)|--\d+(.*)"","""")"),"CHAUSSY")</f>
        <v>CHAUSSY</v>
      </c>
      <c r="E2480" s="38" t="s">
        <v>122</v>
      </c>
      <c r="F2480" s="38" t="s">
        <v>123</v>
      </c>
      <c r="G2480" s="49" t="str">
        <f t="shared" si="1"/>
        <v>45480</v>
      </c>
      <c r="H2480" s="49">
        <f t="shared" si="2"/>
        <v>45088</v>
      </c>
    </row>
    <row r="2481">
      <c r="A2481" s="48" t="s">
        <v>1128</v>
      </c>
      <c r="B2481" s="38">
        <v>2486.0</v>
      </c>
      <c r="C2481" s="38" t="s">
        <v>4486</v>
      </c>
      <c r="D2481" s="38" t="str">
        <f>IFERROR(__xludf.DUMMYFUNCTION("REGEXREPLACE(C2481,""-\d+(.*)|--\d+(.*)"","""")"),"MISSY-LES-PIERREPONT")</f>
        <v>MISSY-LES-PIERREPONT</v>
      </c>
      <c r="E2481" s="38" t="s">
        <v>191</v>
      </c>
      <c r="F2481" s="38" t="s">
        <v>113</v>
      </c>
      <c r="G2481" s="49" t="str">
        <f t="shared" si="1"/>
        <v>02350</v>
      </c>
      <c r="H2481" s="49" t="str">
        <f t="shared" si="2"/>
        <v>02486</v>
      </c>
    </row>
    <row r="2482">
      <c r="A2482" s="48" t="s">
        <v>4487</v>
      </c>
      <c r="B2482" s="38">
        <v>62846.0</v>
      </c>
      <c r="C2482" s="38" t="s">
        <v>4488</v>
      </c>
      <c r="D2482" s="38" t="str">
        <f>IFERROR(__xludf.DUMMYFUNCTION("REGEXREPLACE(C2482,""-\d+(.*)|--\d+(.*)"","""")"),"VERMELLES")</f>
        <v>VERMELLES</v>
      </c>
      <c r="E2482" s="38" t="s">
        <v>109</v>
      </c>
      <c r="F2482" s="38" t="s">
        <v>86</v>
      </c>
      <c r="G2482" s="49" t="str">
        <f t="shared" si="1"/>
        <v>62980</v>
      </c>
      <c r="H2482" s="49">
        <f t="shared" si="2"/>
        <v>62846</v>
      </c>
    </row>
    <row r="2483">
      <c r="A2483" s="48" t="s">
        <v>301</v>
      </c>
      <c r="B2483" s="38">
        <v>57018.0</v>
      </c>
      <c r="C2483" s="38" t="s">
        <v>4489</v>
      </c>
      <c r="D2483" s="38" t="str">
        <f>IFERROR(__xludf.DUMMYFUNCTION("REGEXREPLACE(C2483,""-\d+(.*)|--\d+(.*)"","""")"),"AMELECOURT")</f>
        <v>AMELECOURT</v>
      </c>
      <c r="E2483" s="38" t="s">
        <v>303</v>
      </c>
      <c r="F2483" s="38" t="s">
        <v>195</v>
      </c>
      <c r="G2483" s="49" t="str">
        <f t="shared" si="1"/>
        <v>57170</v>
      </c>
      <c r="H2483" s="49">
        <f t="shared" si="2"/>
        <v>57018</v>
      </c>
    </row>
    <row r="2484">
      <c r="A2484" s="48" t="s">
        <v>4490</v>
      </c>
      <c r="B2484" s="38">
        <v>6025.0</v>
      </c>
      <c r="C2484" s="38" t="s">
        <v>3491</v>
      </c>
      <c r="D2484" s="38" t="str">
        <f>IFERROR(__xludf.DUMMYFUNCTION("REGEXREPLACE(C2484,""-\d+(.*)|--\d+(.*)"","""")"),"LE BROC")</f>
        <v>LE BROC</v>
      </c>
      <c r="E2484" s="38" t="s">
        <v>227</v>
      </c>
      <c r="F2484" s="38" t="s">
        <v>228</v>
      </c>
      <c r="G2484" s="49" t="str">
        <f t="shared" si="1"/>
        <v>06510</v>
      </c>
      <c r="H2484" s="49" t="str">
        <f t="shared" si="2"/>
        <v>06025</v>
      </c>
    </row>
    <row r="2485">
      <c r="A2485" s="48" t="s">
        <v>1114</v>
      </c>
      <c r="B2485" s="38">
        <v>2173.0</v>
      </c>
      <c r="C2485" s="38" t="s">
        <v>4491</v>
      </c>
      <c r="D2485" s="38" t="str">
        <f>IFERROR(__xludf.DUMMYFUNCTION("REGEXREPLACE(C2485,""-\d+(.*)|--\d+(.*)"","""")"),"CHAUNY")</f>
        <v>CHAUNY</v>
      </c>
      <c r="E2485" s="38" t="s">
        <v>191</v>
      </c>
      <c r="F2485" s="38" t="s">
        <v>113</v>
      </c>
      <c r="G2485" s="49" t="str">
        <f t="shared" si="1"/>
        <v>02300</v>
      </c>
      <c r="H2485" s="49" t="str">
        <f t="shared" si="2"/>
        <v>02173</v>
      </c>
    </row>
    <row r="2486">
      <c r="A2486" s="48" t="s">
        <v>1356</v>
      </c>
      <c r="B2486" s="38">
        <v>57583.0</v>
      </c>
      <c r="C2486" s="38" t="s">
        <v>4492</v>
      </c>
      <c r="D2486" s="38" t="str">
        <f>IFERROR(__xludf.DUMMYFUNCTION("REGEXREPLACE(C2486,""-\d+(.*)|--\d+(.*)"","""")"),"RICHEVAL")</f>
        <v>RICHEVAL</v>
      </c>
      <c r="E2486" s="38" t="s">
        <v>303</v>
      </c>
      <c r="F2486" s="38" t="s">
        <v>195</v>
      </c>
      <c r="G2486" s="49" t="str">
        <f t="shared" si="1"/>
        <v>57830</v>
      </c>
      <c r="H2486" s="49">
        <f t="shared" si="2"/>
        <v>57583</v>
      </c>
    </row>
    <row r="2487">
      <c r="A2487" s="48" t="s">
        <v>1514</v>
      </c>
      <c r="B2487" s="38">
        <v>70248.0</v>
      </c>
      <c r="C2487" s="38" t="s">
        <v>4493</v>
      </c>
      <c r="D2487" s="38" t="str">
        <f>IFERROR(__xludf.DUMMYFUNCTION("REGEXREPLACE(C2487,""-\d+(.*)|--\d+(.*)"","""")"),"FRAHIER-ET-CHATEBIER")</f>
        <v>FRAHIER-ET-CHATEBIER</v>
      </c>
      <c r="E2487" s="38" t="s">
        <v>956</v>
      </c>
      <c r="F2487" s="38" t="s">
        <v>214</v>
      </c>
      <c r="G2487" s="49" t="str">
        <f t="shared" si="1"/>
        <v>70400</v>
      </c>
      <c r="H2487" s="49">
        <f t="shared" si="2"/>
        <v>70248</v>
      </c>
    </row>
    <row r="2488">
      <c r="A2488" s="48" t="s">
        <v>3450</v>
      </c>
      <c r="B2488" s="38">
        <v>60603.0</v>
      </c>
      <c r="C2488" s="38" t="s">
        <v>4494</v>
      </c>
      <c r="D2488" s="38" t="str">
        <f>IFERROR(__xludf.DUMMYFUNCTION("REGEXREPLACE(C2488,""-\d+(.*)|--\d+(.*)"","""")"),"SALENCY")</f>
        <v>SALENCY</v>
      </c>
      <c r="E2488" s="38" t="s">
        <v>112</v>
      </c>
      <c r="F2488" s="38" t="s">
        <v>113</v>
      </c>
      <c r="G2488" s="49" t="str">
        <f t="shared" si="1"/>
        <v>60400</v>
      </c>
      <c r="H2488" s="49">
        <f t="shared" si="2"/>
        <v>60603</v>
      </c>
    </row>
    <row r="2489">
      <c r="A2489" s="48" t="s">
        <v>2376</v>
      </c>
      <c r="B2489" s="38">
        <v>79124.0</v>
      </c>
      <c r="C2489" s="38" t="s">
        <v>4495</v>
      </c>
      <c r="D2489" s="38" t="str">
        <f>IFERROR(__xludf.DUMMYFUNCTION("REGEXREPLACE(C2489,""-\d+(.*)|--\d+(.*)"","""")"),"LES FORGES")</f>
        <v>LES FORGES</v>
      </c>
      <c r="E2489" s="38" t="s">
        <v>337</v>
      </c>
      <c r="F2489" s="38" t="s">
        <v>338</v>
      </c>
      <c r="G2489" s="49" t="str">
        <f t="shared" si="1"/>
        <v>79340</v>
      </c>
      <c r="H2489" s="49">
        <f t="shared" si="2"/>
        <v>79124</v>
      </c>
    </row>
    <row r="2490">
      <c r="A2490" s="48" t="s">
        <v>1903</v>
      </c>
      <c r="B2490" s="38">
        <v>10304.0</v>
      </c>
      <c r="C2490" s="38" t="s">
        <v>4496</v>
      </c>
      <c r="D2490" s="38" t="str">
        <f>IFERROR(__xludf.DUMMYFUNCTION("REGEXREPLACE(C2490,""-\d+(.*)|--\d+(.*)"","""")"),"PRECY-SAINT-MARTIN")</f>
        <v>PRECY-SAINT-MARTIN</v>
      </c>
      <c r="E2490" s="38" t="s">
        <v>147</v>
      </c>
      <c r="F2490" s="38" t="s">
        <v>130</v>
      </c>
      <c r="G2490" s="49" t="str">
        <f t="shared" si="1"/>
        <v>10500</v>
      </c>
      <c r="H2490" s="49">
        <f t="shared" si="2"/>
        <v>10304</v>
      </c>
    </row>
    <row r="2491">
      <c r="A2491" s="48" t="s">
        <v>4497</v>
      </c>
      <c r="B2491" s="38">
        <v>25029.0</v>
      </c>
      <c r="C2491" s="38" t="s">
        <v>4498</v>
      </c>
      <c r="D2491" s="38" t="str">
        <f>IFERROR(__xludf.DUMMYFUNCTION("REGEXREPLACE(C2491,""-\d+(.*)|--\d+(.*)"","""")"),"AUBONNE")</f>
        <v>AUBONNE</v>
      </c>
      <c r="E2491" s="38" t="s">
        <v>213</v>
      </c>
      <c r="F2491" s="38" t="s">
        <v>214</v>
      </c>
      <c r="G2491" s="49" t="str">
        <f t="shared" si="1"/>
        <v>25520</v>
      </c>
      <c r="H2491" s="49">
        <f t="shared" si="2"/>
        <v>25029</v>
      </c>
    </row>
    <row r="2492">
      <c r="A2492" s="48" t="s">
        <v>4499</v>
      </c>
      <c r="B2492" s="38">
        <v>25507.0</v>
      </c>
      <c r="C2492" s="38" t="s">
        <v>4500</v>
      </c>
      <c r="D2492" s="38" t="str">
        <f>IFERROR(__xludf.DUMMYFUNCTION("REGEXREPLACE(C2492,""-\d+(.*)|--\d+(.*)"","""")"),"ROUHE")</f>
        <v>ROUHE</v>
      </c>
      <c r="E2492" s="38" t="s">
        <v>213</v>
      </c>
      <c r="F2492" s="38" t="s">
        <v>214</v>
      </c>
      <c r="G2492" s="49" t="str">
        <f t="shared" si="1"/>
        <v>25440</v>
      </c>
      <c r="H2492" s="49">
        <f t="shared" si="2"/>
        <v>25507</v>
      </c>
    </row>
    <row r="2493">
      <c r="A2493" s="48" t="s">
        <v>3307</v>
      </c>
      <c r="B2493" s="38">
        <v>65231.0</v>
      </c>
      <c r="C2493" s="38" t="s">
        <v>4501</v>
      </c>
      <c r="D2493" s="38" t="str">
        <f>IFERROR(__xludf.DUMMYFUNCTION("REGEXREPLACE(C2493,""-\d+(.*)|--\d+(.*)"","""")"),"IZAUX")</f>
        <v>IZAUX</v>
      </c>
      <c r="E2493" s="38" t="s">
        <v>200</v>
      </c>
      <c r="F2493" s="38" t="s">
        <v>94</v>
      </c>
      <c r="G2493" s="49" t="str">
        <f t="shared" si="1"/>
        <v>65250</v>
      </c>
      <c r="H2493" s="49">
        <f t="shared" si="2"/>
        <v>65231</v>
      </c>
    </row>
    <row r="2494">
      <c r="A2494" s="48" t="s">
        <v>981</v>
      </c>
      <c r="B2494" s="38">
        <v>24044.0</v>
      </c>
      <c r="C2494" s="38" t="s">
        <v>4502</v>
      </c>
      <c r="D2494" s="38" t="str">
        <f>IFERROR(__xludf.DUMMYFUNCTION("REGEXREPLACE(C2494,""-\d+(.*)|--\d+(.*)"","""")"),"BLIS-ET-BORN")</f>
        <v>BLIS-ET-BORN</v>
      </c>
      <c r="E2494" s="38" t="s">
        <v>261</v>
      </c>
      <c r="F2494" s="38" t="s">
        <v>252</v>
      </c>
      <c r="G2494" s="49" t="str">
        <f t="shared" si="1"/>
        <v>24330</v>
      </c>
      <c r="H2494" s="49">
        <f t="shared" si="2"/>
        <v>24044</v>
      </c>
    </row>
    <row r="2495">
      <c r="A2495" s="48" t="s">
        <v>2937</v>
      </c>
      <c r="B2495" s="38">
        <v>73217.0</v>
      </c>
      <c r="C2495" s="38" t="s">
        <v>4503</v>
      </c>
      <c r="D2495" s="38" t="str">
        <f>IFERROR(__xludf.DUMMYFUNCTION("REGEXREPLACE(C2495,""-\d+(.*)|--\d+(.*)"","""")"),"ROTHERENS")</f>
        <v>ROTHERENS</v>
      </c>
      <c r="E2495" s="38" t="s">
        <v>306</v>
      </c>
      <c r="F2495" s="38" t="s">
        <v>102</v>
      </c>
      <c r="G2495" s="49" t="str">
        <f t="shared" si="1"/>
        <v>73110</v>
      </c>
      <c r="H2495" s="49">
        <f t="shared" si="2"/>
        <v>73217</v>
      </c>
    </row>
    <row r="2496">
      <c r="A2496" s="48" t="s">
        <v>4504</v>
      </c>
      <c r="B2496" s="38">
        <v>40053.0</v>
      </c>
      <c r="C2496" s="38" t="s">
        <v>4505</v>
      </c>
      <c r="D2496" s="38" t="str">
        <f>IFERROR(__xludf.DUMMYFUNCTION("REGEXREPLACE(C2496,""-\d+(.*)|--\d+(.*)"","""")"),"BOURRIOT-BERGONCE")</f>
        <v>BOURRIOT-BERGONCE</v>
      </c>
      <c r="E2496" s="38" t="s">
        <v>281</v>
      </c>
      <c r="F2496" s="38" t="s">
        <v>252</v>
      </c>
      <c r="G2496" s="49" t="str">
        <f t="shared" si="1"/>
        <v>40120</v>
      </c>
      <c r="H2496" s="49">
        <f t="shared" si="2"/>
        <v>40053</v>
      </c>
    </row>
    <row r="2497">
      <c r="A2497" s="48" t="s">
        <v>4506</v>
      </c>
      <c r="B2497" s="38">
        <v>7052.0</v>
      </c>
      <c r="C2497" s="38" t="s">
        <v>4507</v>
      </c>
      <c r="D2497" s="38" t="str">
        <f>IFERROR(__xludf.DUMMYFUNCTION("REGEXREPLACE(C2497,""-\d+(.*)|--\d+(.*)"","""")"),"CHAMPIS")</f>
        <v>CHAMPIS</v>
      </c>
      <c r="E2497" s="38" t="s">
        <v>144</v>
      </c>
      <c r="F2497" s="38" t="s">
        <v>102</v>
      </c>
      <c r="G2497" s="49" t="str">
        <f t="shared" si="1"/>
        <v>07440</v>
      </c>
      <c r="H2497" s="49" t="str">
        <f t="shared" si="2"/>
        <v>07052</v>
      </c>
    </row>
    <row r="2498">
      <c r="A2498" s="48" t="s">
        <v>4508</v>
      </c>
      <c r="B2498" s="38">
        <v>77168.0</v>
      </c>
      <c r="C2498" s="38" t="s">
        <v>4509</v>
      </c>
      <c r="D2498" s="38" t="str">
        <f>IFERROR(__xludf.DUMMYFUNCTION("REGEXREPLACE(C2498,""-\d+(.*)|--\d+(.*)"","""")"),"EGREVILLE")</f>
        <v>EGREVILLE</v>
      </c>
      <c r="E2498" s="38" t="s">
        <v>244</v>
      </c>
      <c r="F2498" s="38" t="s">
        <v>245</v>
      </c>
      <c r="G2498" s="49" t="str">
        <f t="shared" si="1"/>
        <v>77620</v>
      </c>
      <c r="H2498" s="49">
        <f t="shared" si="2"/>
        <v>77168</v>
      </c>
    </row>
    <row r="2499">
      <c r="A2499" s="48" t="s">
        <v>4510</v>
      </c>
      <c r="B2499" s="38">
        <v>29076.0</v>
      </c>
      <c r="C2499" s="38" t="s">
        <v>4511</v>
      </c>
      <c r="D2499" s="38" t="str">
        <f>IFERROR(__xludf.DUMMYFUNCTION("REGEXREPLACE(C2499,""-\d+(.*)|--\d+(.*)"","""")"),"GUIPRONVEL")</f>
        <v>GUIPRONVEL</v>
      </c>
      <c r="E2499" s="38" t="s">
        <v>176</v>
      </c>
      <c r="F2499" s="38" t="s">
        <v>90</v>
      </c>
      <c r="G2499" s="49" t="str">
        <f t="shared" si="1"/>
        <v>29290</v>
      </c>
      <c r="H2499" s="49">
        <f t="shared" si="2"/>
        <v>29076</v>
      </c>
    </row>
    <row r="2500">
      <c r="A2500" s="48" t="s">
        <v>4512</v>
      </c>
      <c r="B2500" s="38">
        <v>86273.0</v>
      </c>
      <c r="C2500" s="38" t="s">
        <v>4513</v>
      </c>
      <c r="D2500" s="38" t="str">
        <f>IFERROR(__xludf.DUMMYFUNCTION("REGEXREPLACE(C2500,""-\d+(.*)|--\d+(.*)"","""")"),"LA TRIMOUILLE")</f>
        <v>LA TRIMOUILLE</v>
      </c>
      <c r="E2500" s="38" t="s">
        <v>529</v>
      </c>
      <c r="F2500" s="38" t="s">
        <v>338</v>
      </c>
      <c r="G2500" s="49" t="str">
        <f t="shared" si="1"/>
        <v>86290</v>
      </c>
      <c r="H2500" s="49">
        <f t="shared" si="2"/>
        <v>86273</v>
      </c>
    </row>
    <row r="2501">
      <c r="A2501" s="48" t="s">
        <v>1518</v>
      </c>
      <c r="B2501" s="38">
        <v>88139.0</v>
      </c>
      <c r="C2501" s="38" t="s">
        <v>4514</v>
      </c>
      <c r="D2501" s="38" t="str">
        <f>IFERROR(__xludf.DUMMYFUNCTION("REGEXREPLACE(C2501,""-\d+(.*)|--\d+(.*)"","""")"),"DOMBASLE-EN-XAINTOIS")</f>
        <v>DOMBASLE-EN-XAINTOIS</v>
      </c>
      <c r="E2501" s="38" t="s">
        <v>194</v>
      </c>
      <c r="F2501" s="38" t="s">
        <v>195</v>
      </c>
      <c r="G2501" s="49" t="str">
        <f t="shared" si="1"/>
        <v>88500</v>
      </c>
      <c r="H2501" s="49">
        <f t="shared" si="2"/>
        <v>88139</v>
      </c>
    </row>
    <row r="2502">
      <c r="A2502" s="48" t="s">
        <v>4515</v>
      </c>
      <c r="B2502" s="38">
        <v>67118.0</v>
      </c>
      <c r="C2502" s="38" t="s">
        <v>4516</v>
      </c>
      <c r="D2502" s="38" t="str">
        <f>IFERROR(__xludf.DUMMYFUNCTION("REGEXREPLACE(C2502,""-\d+(.*)|--\d+(.*)"","""")"),"ECKBOLSHEIM")</f>
        <v>ECKBOLSHEIM</v>
      </c>
      <c r="E2502" s="38" t="s">
        <v>210</v>
      </c>
      <c r="F2502" s="38" t="s">
        <v>151</v>
      </c>
      <c r="G2502" s="49" t="str">
        <f t="shared" si="1"/>
        <v>67201</v>
      </c>
      <c r="H2502" s="49">
        <f t="shared" si="2"/>
        <v>67118</v>
      </c>
    </row>
    <row r="2503">
      <c r="A2503" s="48" t="s">
        <v>4517</v>
      </c>
      <c r="B2503" s="38">
        <v>58036.0</v>
      </c>
      <c r="C2503" s="38" t="s">
        <v>4518</v>
      </c>
      <c r="D2503" s="38" t="str">
        <f>IFERROR(__xludf.DUMMYFUNCTION("REGEXREPLACE(C2503,""-\d+(.*)|--\d+(.*)"","""")"),"BOUHY")</f>
        <v>BOUHY</v>
      </c>
      <c r="E2503" s="38" t="s">
        <v>219</v>
      </c>
      <c r="F2503" s="38" t="s">
        <v>106</v>
      </c>
      <c r="G2503" s="49" t="str">
        <f t="shared" si="1"/>
        <v>58310</v>
      </c>
      <c r="H2503" s="49">
        <f t="shared" si="2"/>
        <v>58036</v>
      </c>
    </row>
    <row r="2504">
      <c r="A2504" s="48" t="s">
        <v>4519</v>
      </c>
      <c r="B2504" s="38">
        <v>26104.0</v>
      </c>
      <c r="C2504" s="38" t="s">
        <v>4520</v>
      </c>
      <c r="D2504" s="38" t="str">
        <f>IFERROR(__xludf.DUMMYFUNCTION("REGEXREPLACE(C2504,""-\d+(.*)|--\d+(.*)"","""")"),"CORNILLAC")</f>
        <v>CORNILLAC</v>
      </c>
      <c r="E2504" s="38" t="s">
        <v>126</v>
      </c>
      <c r="F2504" s="38" t="s">
        <v>102</v>
      </c>
      <c r="G2504" s="49" t="str">
        <f t="shared" si="1"/>
        <v>26510</v>
      </c>
      <c r="H2504" s="49">
        <f t="shared" si="2"/>
        <v>26104</v>
      </c>
    </row>
    <row r="2505">
      <c r="A2505" s="48" t="s">
        <v>2893</v>
      </c>
      <c r="B2505" s="38">
        <v>27555.0</v>
      </c>
      <c r="C2505" s="38" t="s">
        <v>4385</v>
      </c>
      <c r="D2505" s="38" t="str">
        <f>IFERROR(__xludf.DUMMYFUNCTION("REGEXREPLACE(C2505,""-\d+(.*)|--\d+(.*)"","""")"),"SAINT-LAURENT-DES-BOIS")</f>
        <v>SAINT-LAURENT-DES-BOIS</v>
      </c>
      <c r="E2505" s="38" t="s">
        <v>241</v>
      </c>
      <c r="F2505" s="38" t="s">
        <v>134</v>
      </c>
      <c r="G2505" s="49" t="str">
        <f t="shared" si="1"/>
        <v>27220</v>
      </c>
      <c r="H2505" s="49">
        <f t="shared" si="2"/>
        <v>27555</v>
      </c>
    </row>
    <row r="2506">
      <c r="A2506" s="48" t="s">
        <v>4521</v>
      </c>
      <c r="B2506" s="38">
        <v>5098.0</v>
      </c>
      <c r="C2506" s="38" t="s">
        <v>4522</v>
      </c>
      <c r="D2506" s="38" t="str">
        <f>IFERROR(__xludf.DUMMYFUNCTION("REGEXREPLACE(C2506,""-\d+(.*)|--\d+(.*)"","""")"),"LES ORRES")</f>
        <v>LES ORRES</v>
      </c>
      <c r="E2506" s="38" t="s">
        <v>706</v>
      </c>
      <c r="F2506" s="38" t="s">
        <v>228</v>
      </c>
      <c r="G2506" s="49" t="str">
        <f t="shared" si="1"/>
        <v>05200</v>
      </c>
      <c r="H2506" s="49" t="str">
        <f t="shared" si="2"/>
        <v>05098</v>
      </c>
    </row>
    <row r="2507">
      <c r="A2507" s="48" t="s">
        <v>507</v>
      </c>
      <c r="B2507" s="38">
        <v>8010.0</v>
      </c>
      <c r="C2507" s="38" t="s">
        <v>4523</v>
      </c>
      <c r="D2507" s="38" t="str">
        <f>IFERROR(__xludf.DUMMYFUNCTION("REGEXREPLACE(C2507,""-\d+(.*)|--\d+(.*)"","""")"),"AMBLY-FLEURY")</f>
        <v>AMBLY-FLEURY</v>
      </c>
      <c r="E2507" s="38" t="s">
        <v>327</v>
      </c>
      <c r="F2507" s="38" t="s">
        <v>130</v>
      </c>
      <c r="G2507" s="49" t="str">
        <f t="shared" si="1"/>
        <v>08130</v>
      </c>
      <c r="H2507" s="49" t="str">
        <f t="shared" si="2"/>
        <v>08010</v>
      </c>
    </row>
    <row r="2508">
      <c r="A2508" s="48" t="s">
        <v>1999</v>
      </c>
      <c r="B2508" s="38">
        <v>2518.0</v>
      </c>
      <c r="C2508" s="38" t="s">
        <v>4524</v>
      </c>
      <c r="D2508" s="38" t="str">
        <f>IFERROR(__xludf.DUMMYFUNCTION("REGEXREPLACE(C2508,""-\d+(.*)|--\d+(.*)"","""")"),"MONTLEVON")</f>
        <v>MONTLEVON</v>
      </c>
      <c r="E2508" s="38" t="s">
        <v>191</v>
      </c>
      <c r="F2508" s="38" t="s">
        <v>113</v>
      </c>
      <c r="G2508" s="49" t="str">
        <f t="shared" si="1"/>
        <v>02330</v>
      </c>
      <c r="H2508" s="49" t="str">
        <f t="shared" si="2"/>
        <v>02518</v>
      </c>
    </row>
    <row r="2509">
      <c r="A2509" s="48" t="s">
        <v>4287</v>
      </c>
      <c r="B2509" s="38">
        <v>62825.0</v>
      </c>
      <c r="C2509" s="38" t="s">
        <v>4525</v>
      </c>
      <c r="D2509" s="38" t="str">
        <f>IFERROR(__xludf.DUMMYFUNCTION("REGEXREPLACE(C2509,""-\d+(.*)|--\d+(.*)"","""")"),"TORTEQUESNE")</f>
        <v>TORTEQUESNE</v>
      </c>
      <c r="E2509" s="38" t="s">
        <v>109</v>
      </c>
      <c r="F2509" s="38" t="s">
        <v>86</v>
      </c>
      <c r="G2509" s="49" t="str">
        <f t="shared" si="1"/>
        <v>62490</v>
      </c>
      <c r="H2509" s="49">
        <f t="shared" si="2"/>
        <v>62825</v>
      </c>
    </row>
    <row r="2510">
      <c r="A2510" s="48" t="s">
        <v>4526</v>
      </c>
      <c r="B2510" s="38">
        <v>23266.0</v>
      </c>
      <c r="C2510" s="38" t="s">
        <v>4527</v>
      </c>
      <c r="D2510" s="38" t="str">
        <f>IFERROR(__xludf.DUMMYFUNCTION("REGEXREPLACE(C2510,""-\d+(.*)|--\d+(.*)"","""")"),"LA VILLETELLE")</f>
        <v>LA VILLETELLE</v>
      </c>
      <c r="E2510" s="38" t="s">
        <v>97</v>
      </c>
      <c r="F2510" s="38" t="s">
        <v>98</v>
      </c>
      <c r="G2510" s="49" t="str">
        <f t="shared" si="1"/>
        <v>23260</v>
      </c>
      <c r="H2510" s="49">
        <f t="shared" si="2"/>
        <v>23266</v>
      </c>
    </row>
    <row r="2511">
      <c r="A2511" s="48" t="s">
        <v>2111</v>
      </c>
      <c r="B2511" s="38">
        <v>77372.0</v>
      </c>
      <c r="C2511" s="38" t="s">
        <v>4528</v>
      </c>
      <c r="D2511" s="38" t="str">
        <f>IFERROR(__xludf.DUMMYFUNCTION("REGEXREPLACE(C2511,""-\d+(.*)|--\d+(.*)"","""")"),"POMPONNE")</f>
        <v>POMPONNE</v>
      </c>
      <c r="E2511" s="38" t="s">
        <v>244</v>
      </c>
      <c r="F2511" s="38" t="s">
        <v>245</v>
      </c>
      <c r="G2511" s="49" t="str">
        <f t="shared" si="1"/>
        <v>77400</v>
      </c>
      <c r="H2511" s="49">
        <f t="shared" si="2"/>
        <v>77372</v>
      </c>
    </row>
    <row r="2512">
      <c r="A2512" s="48" t="s">
        <v>208</v>
      </c>
      <c r="B2512" s="38">
        <v>67499.0</v>
      </c>
      <c r="C2512" s="38" t="s">
        <v>4529</v>
      </c>
      <c r="D2512" s="38" t="str">
        <f>IFERROR(__xludf.DUMMYFUNCTION("REGEXREPLACE(C2512,""-\d+(.*)|--\d+(.*)"","""")"),"URBEIS")</f>
        <v>URBEIS</v>
      </c>
      <c r="E2512" s="38" t="s">
        <v>210</v>
      </c>
      <c r="F2512" s="38" t="s">
        <v>151</v>
      </c>
      <c r="G2512" s="49" t="str">
        <f t="shared" si="1"/>
        <v>67220</v>
      </c>
      <c r="H2512" s="49">
        <f t="shared" si="2"/>
        <v>67499</v>
      </c>
    </row>
    <row r="2513">
      <c r="A2513" s="48" t="s">
        <v>4530</v>
      </c>
      <c r="B2513" s="38">
        <v>11370.0</v>
      </c>
      <c r="C2513" s="38" t="s">
        <v>4531</v>
      </c>
      <c r="D2513" s="38" t="str">
        <f>IFERROR(__xludf.DUMMYFUNCTION("REGEXREPLACE(C2513,""-\d+(.*)|--\d+(.*)"","""")"),"SALLES-D'AUDE")</f>
        <v>SALLES-D'AUDE</v>
      </c>
      <c r="E2513" s="38" t="s">
        <v>278</v>
      </c>
      <c r="F2513" s="38" t="s">
        <v>119</v>
      </c>
      <c r="G2513" s="49" t="str">
        <f t="shared" si="1"/>
        <v>11110</v>
      </c>
      <c r="H2513" s="49">
        <f t="shared" si="2"/>
        <v>11370</v>
      </c>
    </row>
    <row r="2514">
      <c r="A2514" s="48" t="s">
        <v>854</v>
      </c>
      <c r="B2514" s="38">
        <v>62592.0</v>
      </c>
      <c r="C2514" s="38" t="s">
        <v>4532</v>
      </c>
      <c r="D2514" s="38" t="str">
        <f>IFERROR(__xludf.DUMMYFUNCTION("REGEXREPLACE(C2514,""-\d+(.*)|--\d+(.*)"","""")"),"MORINGHEM")</f>
        <v>MORINGHEM</v>
      </c>
      <c r="E2514" s="38" t="s">
        <v>109</v>
      </c>
      <c r="F2514" s="38" t="s">
        <v>86</v>
      </c>
      <c r="G2514" s="49" t="str">
        <f t="shared" si="1"/>
        <v>62910</v>
      </c>
      <c r="H2514" s="49">
        <f t="shared" si="2"/>
        <v>62592</v>
      </c>
    </row>
    <row r="2515">
      <c r="A2515" s="48" t="s">
        <v>2251</v>
      </c>
      <c r="B2515" s="38">
        <v>2808.0</v>
      </c>
      <c r="C2515" s="38" t="s">
        <v>4533</v>
      </c>
      <c r="D2515" s="38" t="str">
        <f>IFERROR(__xludf.DUMMYFUNCTION("REGEXREPLACE(C2515,""-\d+(.*)|--\d+(.*)"","""")"),"VILLERET")</f>
        <v>VILLERET</v>
      </c>
      <c r="E2515" s="38" t="s">
        <v>191</v>
      </c>
      <c r="F2515" s="38" t="s">
        <v>113</v>
      </c>
      <c r="G2515" s="49" t="str">
        <f t="shared" si="1"/>
        <v>02420</v>
      </c>
      <c r="H2515" s="49" t="str">
        <f t="shared" si="2"/>
        <v>02808</v>
      </c>
    </row>
    <row r="2516">
      <c r="A2516" s="48" t="s">
        <v>4534</v>
      </c>
      <c r="B2516" s="38">
        <v>33318.0</v>
      </c>
      <c r="C2516" s="38" t="s">
        <v>4535</v>
      </c>
      <c r="D2516" s="38" t="str">
        <f>IFERROR(__xludf.DUMMYFUNCTION("REGEXREPLACE(C2516,""-\d+(.*)|--\d+(.*)"","""")"),"PESSAC")</f>
        <v>PESSAC</v>
      </c>
      <c r="E2516" s="38" t="s">
        <v>462</v>
      </c>
      <c r="F2516" s="38" t="s">
        <v>252</v>
      </c>
      <c r="G2516" s="49" t="str">
        <f t="shared" si="1"/>
        <v>33600</v>
      </c>
      <c r="H2516" s="49">
        <f t="shared" si="2"/>
        <v>33318</v>
      </c>
    </row>
    <row r="2517">
      <c r="A2517" s="48" t="s">
        <v>4536</v>
      </c>
      <c r="B2517" s="38">
        <v>77045.0</v>
      </c>
      <c r="C2517" s="38" t="s">
        <v>4537</v>
      </c>
      <c r="D2517" s="38" t="str">
        <f>IFERROR(__xludf.DUMMYFUNCTION("REGEXREPLACE(C2517,""-\d+(.*)|--\d+(.*)"","""")"),"BOUGLIGNY")</f>
        <v>BOUGLIGNY</v>
      </c>
      <c r="E2517" s="38" t="s">
        <v>244</v>
      </c>
      <c r="F2517" s="38" t="s">
        <v>245</v>
      </c>
      <c r="G2517" s="49" t="str">
        <f t="shared" si="1"/>
        <v>77570</v>
      </c>
      <c r="H2517" s="49">
        <f t="shared" si="2"/>
        <v>77045</v>
      </c>
    </row>
    <row r="2518">
      <c r="A2518" s="48" t="s">
        <v>711</v>
      </c>
      <c r="B2518" s="38">
        <v>49291.0</v>
      </c>
      <c r="C2518" s="38" t="s">
        <v>4538</v>
      </c>
      <c r="D2518" s="38" t="str">
        <f>IFERROR(__xludf.DUMMYFUNCTION("REGEXREPLACE(C2518,""-\d+(.*)|--\d+(.*)"","""")"),"SAINT-JUST-SUR-DIVE")</f>
        <v>SAINT-JUST-SUR-DIVE</v>
      </c>
      <c r="E2518" s="38" t="s">
        <v>653</v>
      </c>
      <c r="F2518" s="38" t="s">
        <v>180</v>
      </c>
      <c r="G2518" s="49" t="str">
        <f t="shared" si="1"/>
        <v>49260</v>
      </c>
      <c r="H2518" s="49">
        <f t="shared" si="2"/>
        <v>49291</v>
      </c>
    </row>
    <row r="2519">
      <c r="A2519" s="48" t="s">
        <v>4539</v>
      </c>
      <c r="B2519" s="38">
        <v>56169.0</v>
      </c>
      <c r="C2519" s="38" t="s">
        <v>4540</v>
      </c>
      <c r="D2519" s="38" t="str">
        <f>IFERROR(__xludf.DUMMYFUNCTION("REGEXREPLACE(C2519,""-\d+(.*)|--\d+(.*)"","""")"),"PLOUHINEC")</f>
        <v>PLOUHINEC</v>
      </c>
      <c r="E2519" s="38" t="s">
        <v>173</v>
      </c>
      <c r="F2519" s="38" t="s">
        <v>90</v>
      </c>
      <c r="G2519" s="49" t="str">
        <f t="shared" si="1"/>
        <v>56680</v>
      </c>
      <c r="H2519" s="49">
        <f t="shared" si="2"/>
        <v>56169</v>
      </c>
    </row>
    <row r="2520">
      <c r="A2520" s="48" t="s">
        <v>3291</v>
      </c>
      <c r="B2520" s="38">
        <v>3303.0</v>
      </c>
      <c r="C2520" s="38" t="s">
        <v>4541</v>
      </c>
      <c r="D2520" s="38" t="str">
        <f>IFERROR(__xludf.DUMMYFUNCTION("REGEXREPLACE(C2520,""-\d+(.*)|--\d+(.*)"","""")"),"VENAS")</f>
        <v>VENAS</v>
      </c>
      <c r="E2520" s="38" t="s">
        <v>160</v>
      </c>
      <c r="F2520" s="38" t="s">
        <v>161</v>
      </c>
      <c r="G2520" s="49" t="str">
        <f t="shared" si="1"/>
        <v>03190</v>
      </c>
      <c r="H2520" s="49" t="str">
        <f t="shared" si="2"/>
        <v>03303</v>
      </c>
    </row>
    <row r="2521">
      <c r="A2521" s="48" t="s">
        <v>3212</v>
      </c>
      <c r="B2521" s="38">
        <v>64409.0</v>
      </c>
      <c r="C2521" s="38" t="s">
        <v>4542</v>
      </c>
      <c r="D2521" s="38" t="str">
        <f>IFERROR(__xludf.DUMMYFUNCTION("REGEXREPLACE(C2521,""-\d+(.*)|--\d+(.*)"","""")"),"MOUMOUR")</f>
        <v>MOUMOUR</v>
      </c>
      <c r="E2521" s="38" t="s">
        <v>268</v>
      </c>
      <c r="F2521" s="38" t="s">
        <v>252</v>
      </c>
      <c r="G2521" s="49" t="str">
        <f t="shared" si="1"/>
        <v>64400</v>
      </c>
      <c r="H2521" s="49">
        <f t="shared" si="2"/>
        <v>64409</v>
      </c>
    </row>
    <row r="2522">
      <c r="A2522" s="48" t="s">
        <v>4543</v>
      </c>
      <c r="B2522" s="38">
        <v>64228.0</v>
      </c>
      <c r="C2522" s="38" t="s">
        <v>4544</v>
      </c>
      <c r="D2522" s="38" t="str">
        <f>IFERROR(__xludf.DUMMYFUNCTION("REGEXREPLACE(C2522,""-\d+(.*)|--\d+(.*)"","""")"),"GABAT")</f>
        <v>GABAT</v>
      </c>
      <c r="E2522" s="38" t="s">
        <v>268</v>
      </c>
      <c r="F2522" s="38" t="s">
        <v>252</v>
      </c>
      <c r="G2522" s="49" t="str">
        <f t="shared" si="1"/>
        <v>64120</v>
      </c>
      <c r="H2522" s="49">
        <f t="shared" si="2"/>
        <v>64228</v>
      </c>
    </row>
    <row r="2523">
      <c r="A2523" s="48" t="s">
        <v>4545</v>
      </c>
      <c r="B2523" s="38">
        <v>54351.0</v>
      </c>
      <c r="C2523" s="38" t="s">
        <v>4546</v>
      </c>
      <c r="D2523" s="38" t="str">
        <f>IFERROR(__xludf.DUMMYFUNCTION("REGEXREPLACE(C2523,""-\d+(.*)|--\d+(.*)"","""")"),"MARBACHE")</f>
        <v>MARBACHE</v>
      </c>
      <c r="E2523" s="38" t="s">
        <v>548</v>
      </c>
      <c r="F2523" s="38" t="s">
        <v>195</v>
      </c>
      <c r="G2523" s="49" t="str">
        <f t="shared" si="1"/>
        <v>54820</v>
      </c>
      <c r="H2523" s="49">
        <f t="shared" si="2"/>
        <v>54351</v>
      </c>
    </row>
    <row r="2524">
      <c r="A2524" s="48" t="s">
        <v>3069</v>
      </c>
      <c r="B2524" s="38">
        <v>68179.0</v>
      </c>
      <c r="C2524" s="38" t="s">
        <v>4547</v>
      </c>
      <c r="D2524" s="38" t="str">
        <f>IFERROR(__xludf.DUMMYFUNCTION("REGEXREPLACE(C2524,""-\d+(.*)|--\d+(.*)"","""")"),"LAUW")</f>
        <v>LAUW</v>
      </c>
      <c r="E2524" s="38" t="s">
        <v>150</v>
      </c>
      <c r="F2524" s="38" t="s">
        <v>151</v>
      </c>
      <c r="G2524" s="49" t="str">
        <f t="shared" si="1"/>
        <v>68290</v>
      </c>
      <c r="H2524" s="49">
        <f t="shared" si="2"/>
        <v>68179</v>
      </c>
    </row>
    <row r="2525">
      <c r="A2525" s="48" t="s">
        <v>3391</v>
      </c>
      <c r="B2525" s="38">
        <v>14062.0</v>
      </c>
      <c r="C2525" s="38" t="s">
        <v>4548</v>
      </c>
      <c r="D2525" s="38" t="str">
        <f>IFERROR(__xludf.DUMMYFUNCTION("REGEXREPLACE(C2525,""-\d+(.*)|--\d+(.*)"","""")"),"BENY-SUR-MER")</f>
        <v>BENY-SUR-MER</v>
      </c>
      <c r="E2525" s="38" t="s">
        <v>137</v>
      </c>
      <c r="F2525" s="38" t="s">
        <v>138</v>
      </c>
      <c r="G2525" s="49" t="str">
        <f t="shared" si="1"/>
        <v>14440</v>
      </c>
      <c r="H2525" s="49">
        <f t="shared" si="2"/>
        <v>14062</v>
      </c>
    </row>
    <row r="2526">
      <c r="A2526" s="48" t="s">
        <v>2694</v>
      </c>
      <c r="B2526" s="38" t="s">
        <v>4549</v>
      </c>
      <c r="C2526" s="38" t="s">
        <v>4550</v>
      </c>
      <c r="D2526" s="38" t="str">
        <f>IFERROR(__xludf.DUMMYFUNCTION("REGEXREPLACE(C2526,""-\d+(.*)|--\d+(.*)"","""")"),"CHISA")</f>
        <v>CHISA</v>
      </c>
      <c r="E2526" s="38" t="s">
        <v>743</v>
      </c>
      <c r="F2526" s="38" t="s">
        <v>607</v>
      </c>
      <c r="G2526" s="49" t="str">
        <f t="shared" si="1"/>
        <v>20240</v>
      </c>
      <c r="H2526" s="49" t="str">
        <f t="shared" si="2"/>
        <v>2B366</v>
      </c>
    </row>
    <row r="2527">
      <c r="A2527" s="48" t="s">
        <v>4551</v>
      </c>
      <c r="B2527" s="38">
        <v>67339.0</v>
      </c>
      <c r="C2527" s="38" t="s">
        <v>4552</v>
      </c>
      <c r="D2527" s="38" t="str">
        <f>IFERROR(__xludf.DUMMYFUNCTION("REGEXREPLACE(C2527,""-\d+(.*)|--\d+(.*)"","""")"),"BETSCHDORF")</f>
        <v>BETSCHDORF</v>
      </c>
      <c r="E2527" s="38" t="s">
        <v>210</v>
      </c>
      <c r="F2527" s="38" t="s">
        <v>151</v>
      </c>
      <c r="G2527" s="49" t="str">
        <f t="shared" si="1"/>
        <v>67660</v>
      </c>
      <c r="H2527" s="49">
        <f t="shared" si="2"/>
        <v>67339</v>
      </c>
    </row>
    <row r="2528">
      <c r="A2528" s="48" t="s">
        <v>4553</v>
      </c>
      <c r="B2528" s="38">
        <v>56017.0</v>
      </c>
      <c r="C2528" s="38" t="s">
        <v>4554</v>
      </c>
      <c r="D2528" s="38" t="str">
        <f>IFERROR(__xludf.DUMMYFUNCTION("REGEXREPLACE(C2528,""-\d+(.*)|--\d+(.*)"","""")"),"BIGNAN")</f>
        <v>BIGNAN</v>
      </c>
      <c r="E2528" s="38" t="s">
        <v>173</v>
      </c>
      <c r="F2528" s="38" t="s">
        <v>90</v>
      </c>
      <c r="G2528" s="49" t="str">
        <f t="shared" si="1"/>
        <v>56500</v>
      </c>
      <c r="H2528" s="49">
        <f t="shared" si="2"/>
        <v>56017</v>
      </c>
    </row>
    <row r="2529">
      <c r="A2529" s="48" t="s">
        <v>4555</v>
      </c>
      <c r="B2529" s="38">
        <v>80318.0</v>
      </c>
      <c r="C2529" s="38" t="s">
        <v>4556</v>
      </c>
      <c r="D2529" s="38" t="str">
        <f>IFERROR(__xludf.DUMMYFUNCTION("REGEXREPLACE(C2529,""-\d+(.*)|--\d+(.*)"","""")"),"FLIXECOURT")</f>
        <v>FLIXECOURT</v>
      </c>
      <c r="E2529" s="38" t="s">
        <v>224</v>
      </c>
      <c r="F2529" s="38" t="s">
        <v>113</v>
      </c>
      <c r="G2529" s="49" t="str">
        <f t="shared" si="1"/>
        <v>80420</v>
      </c>
      <c r="H2529" s="49">
        <f t="shared" si="2"/>
        <v>80318</v>
      </c>
    </row>
    <row r="2530">
      <c r="A2530" s="48" t="s">
        <v>4557</v>
      </c>
      <c r="B2530" s="38">
        <v>46061.0</v>
      </c>
      <c r="C2530" s="38" t="s">
        <v>4558</v>
      </c>
      <c r="D2530" s="38" t="str">
        <f>IFERROR(__xludf.DUMMYFUNCTION("REGEXREPLACE(C2530,""-\d+(.*)|--\d+(.*)"","""")"),"CASSAGNES")</f>
        <v>CASSAGNES</v>
      </c>
      <c r="E2530" s="38" t="s">
        <v>185</v>
      </c>
      <c r="F2530" s="38" t="s">
        <v>94</v>
      </c>
      <c r="G2530" s="49" t="str">
        <f t="shared" si="1"/>
        <v>46700</v>
      </c>
      <c r="H2530" s="49">
        <f t="shared" si="2"/>
        <v>46061</v>
      </c>
    </row>
    <row r="2531">
      <c r="A2531" s="48" t="s">
        <v>4559</v>
      </c>
      <c r="B2531" s="38">
        <v>72310.0</v>
      </c>
      <c r="C2531" s="38" t="s">
        <v>4560</v>
      </c>
      <c r="D2531" s="38" t="str">
        <f>IFERROR(__xludf.DUMMYFUNCTION("REGEXREPLACE(C2531,""-\d+(.*)|--\d+(.*)"","""")"),"SAINT-PAVACE")</f>
        <v>SAINT-PAVACE</v>
      </c>
      <c r="E2531" s="38" t="s">
        <v>521</v>
      </c>
      <c r="F2531" s="38" t="s">
        <v>180</v>
      </c>
      <c r="G2531" s="49" t="str">
        <f t="shared" si="1"/>
        <v>72190</v>
      </c>
      <c r="H2531" s="49">
        <f t="shared" si="2"/>
        <v>72310</v>
      </c>
    </row>
    <row r="2532">
      <c r="A2532" s="48" t="s">
        <v>4561</v>
      </c>
      <c r="B2532" s="38">
        <v>79343.0</v>
      </c>
      <c r="C2532" s="38" t="s">
        <v>4562</v>
      </c>
      <c r="D2532" s="38" t="str">
        <f>IFERROR(__xludf.DUMMYFUNCTION("REGEXREPLACE(C2532,""-\d+(.*)|--\d+(.*)"","""")"),"VERNOUX-SUR-BOUTONNE")</f>
        <v>VERNOUX-SUR-BOUTONNE</v>
      </c>
      <c r="E2532" s="38" t="s">
        <v>337</v>
      </c>
      <c r="F2532" s="38" t="s">
        <v>338</v>
      </c>
      <c r="G2532" s="49" t="str">
        <f t="shared" si="1"/>
        <v>79170</v>
      </c>
      <c r="H2532" s="49">
        <f t="shared" si="2"/>
        <v>79343</v>
      </c>
    </row>
    <row r="2533">
      <c r="A2533" s="48" t="s">
        <v>4563</v>
      </c>
      <c r="B2533" s="38">
        <v>38547.0</v>
      </c>
      <c r="C2533" s="38" t="s">
        <v>4564</v>
      </c>
      <c r="D2533" s="38" t="str">
        <f>IFERROR(__xludf.DUMMYFUNCTION("REGEXREPLACE(C2533,""-\d+(.*)|--\d+(.*)"","""")"),"VILLARD-BONNOT")</f>
        <v>VILLARD-BONNOT</v>
      </c>
      <c r="E2533" s="38" t="s">
        <v>101</v>
      </c>
      <c r="F2533" s="38" t="s">
        <v>102</v>
      </c>
      <c r="G2533" s="49" t="str">
        <f t="shared" si="1"/>
        <v>38190</v>
      </c>
      <c r="H2533" s="49">
        <f t="shared" si="2"/>
        <v>38547</v>
      </c>
    </row>
    <row r="2534">
      <c r="A2534" s="48" t="s">
        <v>4193</v>
      </c>
      <c r="B2534" s="38">
        <v>17217.0</v>
      </c>
      <c r="C2534" s="38" t="s">
        <v>4565</v>
      </c>
      <c r="D2534" s="38" t="str">
        <f>IFERROR(__xludf.DUMMYFUNCTION("REGEXREPLACE(C2534,""-\d+(.*)|--\d+(.*)"","""")"),"MACQUEVILLE")</f>
        <v>MACQUEVILLE</v>
      </c>
      <c r="E2534" s="38" t="s">
        <v>488</v>
      </c>
      <c r="F2534" s="38" t="s">
        <v>338</v>
      </c>
      <c r="G2534" s="49" t="str">
        <f t="shared" si="1"/>
        <v>17490</v>
      </c>
      <c r="H2534" s="49">
        <f t="shared" si="2"/>
        <v>17217</v>
      </c>
    </row>
    <row r="2535">
      <c r="A2535" s="48" t="s">
        <v>4566</v>
      </c>
      <c r="B2535" s="38">
        <v>24441.0</v>
      </c>
      <c r="C2535" s="38" t="s">
        <v>4567</v>
      </c>
      <c r="D2535" s="38" t="str">
        <f>IFERROR(__xludf.DUMMYFUNCTION("REGEXREPLACE(C2535,""-\d+(.*)|--\d+(.*)"","""")"),"SAINT-LEON-D'ISSIGEAC")</f>
        <v>SAINT-LEON-D'ISSIGEAC</v>
      </c>
      <c r="E2535" s="38" t="s">
        <v>261</v>
      </c>
      <c r="F2535" s="38" t="s">
        <v>252</v>
      </c>
      <c r="G2535" s="49" t="str">
        <f t="shared" si="1"/>
        <v>24560</v>
      </c>
      <c r="H2535" s="49">
        <f t="shared" si="2"/>
        <v>24441</v>
      </c>
    </row>
    <row r="2536">
      <c r="A2536" s="48" t="s">
        <v>4568</v>
      </c>
      <c r="B2536" s="38">
        <v>32060.0</v>
      </c>
      <c r="C2536" s="38" t="s">
        <v>4569</v>
      </c>
      <c r="D2536" s="38" t="str">
        <f>IFERROR(__xludf.DUMMYFUNCTION("REGEXREPLACE(C2536,""-\d+(.*)|--\d+(.*)"","""")"),"BOUCAGNERES")</f>
        <v>BOUCAGNERES</v>
      </c>
      <c r="E2536" s="38" t="s">
        <v>440</v>
      </c>
      <c r="F2536" s="38" t="s">
        <v>94</v>
      </c>
      <c r="G2536" s="49" t="str">
        <f t="shared" si="1"/>
        <v>32550</v>
      </c>
      <c r="H2536" s="49">
        <f t="shared" si="2"/>
        <v>32060</v>
      </c>
    </row>
    <row r="2537">
      <c r="A2537" s="48" t="s">
        <v>4570</v>
      </c>
      <c r="B2537" s="38">
        <v>57165.0</v>
      </c>
      <c r="C2537" s="38" t="s">
        <v>4571</v>
      </c>
      <c r="D2537" s="38" t="str">
        <f>IFERROR(__xludf.DUMMYFUNCTION("REGEXREPLACE(C2537,""-\d+(.*)|--\d+(.*)"","""")"),"DALEM")</f>
        <v>DALEM</v>
      </c>
      <c r="E2537" s="38" t="s">
        <v>303</v>
      </c>
      <c r="F2537" s="38" t="s">
        <v>195</v>
      </c>
      <c r="G2537" s="49" t="str">
        <f t="shared" si="1"/>
        <v>57550</v>
      </c>
      <c r="H2537" s="49">
        <f t="shared" si="2"/>
        <v>57165</v>
      </c>
    </row>
    <row r="2538">
      <c r="A2538" s="48" t="s">
        <v>2334</v>
      </c>
      <c r="B2538" s="38">
        <v>46222.0</v>
      </c>
      <c r="C2538" s="38" t="s">
        <v>4572</v>
      </c>
      <c r="D2538" s="38" t="str">
        <f>IFERROR(__xludf.DUMMYFUNCTION("REGEXREPLACE(C2538,""-\d+(.*)|--\d+(.*)"","""")"),"POMAREDE")</f>
        <v>POMAREDE</v>
      </c>
      <c r="E2538" s="38" t="s">
        <v>185</v>
      </c>
      <c r="F2538" s="38" t="s">
        <v>94</v>
      </c>
      <c r="G2538" s="49" t="str">
        <f t="shared" si="1"/>
        <v>46250</v>
      </c>
      <c r="H2538" s="49">
        <f t="shared" si="2"/>
        <v>46222</v>
      </c>
    </row>
    <row r="2539">
      <c r="A2539" s="48" t="s">
        <v>4573</v>
      </c>
      <c r="B2539" s="38">
        <v>73262.0</v>
      </c>
      <c r="C2539" s="38" t="s">
        <v>4574</v>
      </c>
      <c r="D2539" s="38" t="str">
        <f>IFERROR(__xludf.DUMMYFUNCTION("REGEXREPLACE(C2539,""-\d+(.*)|--\d+(.*)"","""")"),"SAINT-NICOLAS-LA-CHAPELLE")</f>
        <v>SAINT-NICOLAS-LA-CHAPELLE</v>
      </c>
      <c r="E2539" s="38" t="s">
        <v>306</v>
      </c>
      <c r="F2539" s="38" t="s">
        <v>102</v>
      </c>
      <c r="G2539" s="49" t="str">
        <f t="shared" si="1"/>
        <v>73590</v>
      </c>
      <c r="H2539" s="49">
        <f t="shared" si="2"/>
        <v>73262</v>
      </c>
    </row>
    <row r="2540">
      <c r="A2540" s="48" t="s">
        <v>4140</v>
      </c>
      <c r="B2540" s="38">
        <v>54483.0</v>
      </c>
      <c r="C2540" s="38" t="s">
        <v>4575</v>
      </c>
      <c r="D2540" s="38" t="str">
        <f>IFERROR(__xludf.DUMMYFUNCTION("REGEXREPLACE(C2540,""-\d+(.*)|--\d+(.*)"","""")"),"SAINT-NICOLAS-DE-PORT")</f>
        <v>SAINT-NICOLAS-DE-PORT</v>
      </c>
      <c r="E2540" s="38" t="s">
        <v>548</v>
      </c>
      <c r="F2540" s="38" t="s">
        <v>195</v>
      </c>
      <c r="G2540" s="49" t="str">
        <f t="shared" si="1"/>
        <v>54210</v>
      </c>
      <c r="H2540" s="49">
        <f t="shared" si="2"/>
        <v>54483</v>
      </c>
    </row>
    <row r="2541">
      <c r="A2541" s="48" t="s">
        <v>4576</v>
      </c>
      <c r="B2541" s="38">
        <v>34087.0</v>
      </c>
      <c r="C2541" s="38" t="s">
        <v>4577</v>
      </c>
      <c r="D2541" s="38" t="str">
        <f>IFERROR(__xludf.DUMMYFUNCTION("REGEXREPLACE(C2541,""-\d+(.*)|--\d+(.*)"","""")"),"COURNONSEC")</f>
        <v>COURNONSEC</v>
      </c>
      <c r="E2541" s="38" t="s">
        <v>118</v>
      </c>
      <c r="F2541" s="38" t="s">
        <v>119</v>
      </c>
      <c r="G2541" s="49" t="str">
        <f t="shared" si="1"/>
        <v>34660</v>
      </c>
      <c r="H2541" s="49">
        <f t="shared" si="2"/>
        <v>34087</v>
      </c>
    </row>
    <row r="2542">
      <c r="A2542" s="48" t="s">
        <v>3109</v>
      </c>
      <c r="B2542" s="38">
        <v>9067.0</v>
      </c>
      <c r="C2542" s="38" t="s">
        <v>4578</v>
      </c>
      <c r="D2542" s="38" t="str">
        <f>IFERROR(__xludf.DUMMYFUNCTION("REGEXREPLACE(C2542,""-\d+(.*)|--\d+(.*)"","""")"),"BRIE")</f>
        <v>BRIE</v>
      </c>
      <c r="E2542" s="38" t="s">
        <v>238</v>
      </c>
      <c r="F2542" s="38" t="s">
        <v>94</v>
      </c>
      <c r="G2542" s="49" t="str">
        <f t="shared" si="1"/>
        <v>09700</v>
      </c>
      <c r="H2542" s="49" t="str">
        <f t="shared" si="2"/>
        <v>09067</v>
      </c>
    </row>
    <row r="2543">
      <c r="A2543" s="48" t="s">
        <v>4579</v>
      </c>
      <c r="B2543" s="38">
        <v>81302.0</v>
      </c>
      <c r="C2543" s="38" t="s">
        <v>4580</v>
      </c>
      <c r="D2543" s="38" t="str">
        <f>IFERROR(__xludf.DUMMYFUNCTION("REGEXREPLACE(C2543,""-\d+(.*)|--\d+(.*)"","""")"),"TREBAN")</f>
        <v>TREBAN</v>
      </c>
      <c r="E2543" s="38" t="s">
        <v>231</v>
      </c>
      <c r="F2543" s="38" t="s">
        <v>94</v>
      </c>
      <c r="G2543" s="49" t="str">
        <f t="shared" si="1"/>
        <v>81190</v>
      </c>
      <c r="H2543" s="49">
        <f t="shared" si="2"/>
        <v>81302</v>
      </c>
    </row>
    <row r="2544">
      <c r="A2544" s="48" t="s">
        <v>4581</v>
      </c>
      <c r="B2544" s="38">
        <v>79220.0</v>
      </c>
      <c r="C2544" s="38" t="s">
        <v>4582</v>
      </c>
      <c r="D2544" s="38" t="str">
        <f>IFERROR(__xludf.DUMMYFUNCTION("REGEXREPLACE(C2544,""-\d+(.*)|--\d+(.*)"","""")"),"PRIN-DEYRANCON")</f>
        <v>PRIN-DEYRANCON</v>
      </c>
      <c r="E2544" s="38" t="s">
        <v>337</v>
      </c>
      <c r="F2544" s="38" t="s">
        <v>338</v>
      </c>
      <c r="G2544" s="49" t="str">
        <f t="shared" si="1"/>
        <v>79210</v>
      </c>
      <c r="H2544" s="49">
        <f t="shared" si="2"/>
        <v>79220</v>
      </c>
    </row>
    <row r="2545">
      <c r="A2545" s="48" t="s">
        <v>4583</v>
      </c>
      <c r="B2545" s="38">
        <v>17140.0</v>
      </c>
      <c r="C2545" s="38" t="s">
        <v>4584</v>
      </c>
      <c r="D2545" s="38" t="str">
        <f>IFERROR(__xludf.DUMMYFUNCTION("REGEXREPLACE(C2545,""-\d+(.*)|--\d+(.*)"","""")"),"DOLUS-D'OLERON")</f>
        <v>DOLUS-D'OLERON</v>
      </c>
      <c r="E2545" s="38" t="s">
        <v>488</v>
      </c>
      <c r="F2545" s="38" t="s">
        <v>338</v>
      </c>
      <c r="G2545" s="49" t="str">
        <f t="shared" si="1"/>
        <v>17550</v>
      </c>
      <c r="H2545" s="49">
        <f t="shared" si="2"/>
        <v>17140</v>
      </c>
    </row>
    <row r="2546">
      <c r="A2546" s="48" t="s">
        <v>3244</v>
      </c>
      <c r="B2546" s="38">
        <v>27033.0</v>
      </c>
      <c r="C2546" s="38" t="s">
        <v>4585</v>
      </c>
      <c r="D2546" s="38" t="str">
        <f>IFERROR(__xludf.DUMMYFUNCTION("REGEXREPLACE(C2546,""-\d+(.*)|--\d+(.*)"","""")"),"BACQUEPUIS")</f>
        <v>BACQUEPUIS</v>
      </c>
      <c r="E2546" s="38" t="s">
        <v>241</v>
      </c>
      <c r="F2546" s="38" t="s">
        <v>134</v>
      </c>
      <c r="G2546" s="49" t="str">
        <f t="shared" si="1"/>
        <v>27930</v>
      </c>
      <c r="H2546" s="49">
        <f t="shared" si="2"/>
        <v>27033</v>
      </c>
    </row>
    <row r="2547">
      <c r="A2547" s="48" t="s">
        <v>4586</v>
      </c>
      <c r="B2547" s="38">
        <v>40190.0</v>
      </c>
      <c r="C2547" s="38" t="s">
        <v>4587</v>
      </c>
      <c r="D2547" s="38" t="str">
        <f>IFERROR(__xludf.DUMMYFUNCTION("REGEXREPLACE(C2547,""-\d+(.*)|--\d+(.*)"","""")"),"MONSEGUR")</f>
        <v>MONSEGUR</v>
      </c>
      <c r="E2547" s="38" t="s">
        <v>281</v>
      </c>
      <c r="F2547" s="38" t="s">
        <v>252</v>
      </c>
      <c r="G2547" s="49" t="str">
        <f t="shared" si="1"/>
        <v>40700</v>
      </c>
      <c r="H2547" s="49">
        <f t="shared" si="2"/>
        <v>40190</v>
      </c>
    </row>
    <row r="2548">
      <c r="A2548" s="48" t="s">
        <v>1220</v>
      </c>
      <c r="B2548" s="38">
        <v>76730.0</v>
      </c>
      <c r="C2548" s="38" t="s">
        <v>4588</v>
      </c>
      <c r="D2548" s="38" t="str">
        <f>IFERROR(__xludf.DUMMYFUNCTION("REGEXREPLACE(C2548,""-\d+(.*)|--\d+(.*)"","""")"),"VEAUVILLE-LES-QUELLES")</f>
        <v>VEAUVILLE-LES-QUELLES</v>
      </c>
      <c r="E2548" s="38" t="s">
        <v>133</v>
      </c>
      <c r="F2548" s="38" t="s">
        <v>134</v>
      </c>
      <c r="G2548" s="49" t="str">
        <f t="shared" si="1"/>
        <v>76560</v>
      </c>
      <c r="H2548" s="49">
        <f t="shared" si="2"/>
        <v>76730</v>
      </c>
    </row>
    <row r="2549">
      <c r="A2549" s="48" t="s">
        <v>4589</v>
      </c>
      <c r="B2549" s="38">
        <v>41242.0</v>
      </c>
      <c r="C2549" s="38" t="s">
        <v>4590</v>
      </c>
      <c r="D2549" s="38" t="str">
        <f>IFERROR(__xludf.DUMMYFUNCTION("REGEXREPLACE(C2549,""-\d+(.*)|--\d+(.*)"","""")"),"SELLES-SUR-CHER")</f>
        <v>SELLES-SUR-CHER</v>
      </c>
      <c r="E2549" s="38" t="s">
        <v>188</v>
      </c>
      <c r="F2549" s="38" t="s">
        <v>123</v>
      </c>
      <c r="G2549" s="49" t="str">
        <f t="shared" si="1"/>
        <v>41130</v>
      </c>
      <c r="H2549" s="49">
        <f t="shared" si="2"/>
        <v>41242</v>
      </c>
    </row>
    <row r="2550">
      <c r="A2550" s="48" t="s">
        <v>1483</v>
      </c>
      <c r="B2550" s="38">
        <v>80444.0</v>
      </c>
      <c r="C2550" s="38" t="s">
        <v>4591</v>
      </c>
      <c r="D2550" s="38" t="str">
        <f>IFERROR(__xludf.DUMMYFUNCTION("REGEXREPLACE(C2550,""-\d+(.*)|--\d+(.*)"","""")"),"HUCHENNEVILLE")</f>
        <v>HUCHENNEVILLE</v>
      </c>
      <c r="E2550" s="38" t="s">
        <v>224</v>
      </c>
      <c r="F2550" s="38" t="s">
        <v>113</v>
      </c>
      <c r="G2550" s="49" t="str">
        <f t="shared" si="1"/>
        <v>80132</v>
      </c>
      <c r="H2550" s="49">
        <f t="shared" si="2"/>
        <v>80444</v>
      </c>
    </row>
    <row r="2551">
      <c r="A2551" s="48" t="s">
        <v>4592</v>
      </c>
      <c r="B2551" s="38">
        <v>26261.0</v>
      </c>
      <c r="C2551" s="38" t="s">
        <v>4593</v>
      </c>
      <c r="D2551" s="38" t="str">
        <f>IFERROR(__xludf.DUMMYFUNCTION("REGEXREPLACE(C2551,""-\d+(.*)|--\d+(.*)"","""")"),"REAUVILLE")</f>
        <v>REAUVILLE</v>
      </c>
      <c r="E2551" s="38" t="s">
        <v>126</v>
      </c>
      <c r="F2551" s="38" t="s">
        <v>102</v>
      </c>
      <c r="G2551" s="49" t="str">
        <f t="shared" si="1"/>
        <v>26230</v>
      </c>
      <c r="H2551" s="49">
        <f t="shared" si="2"/>
        <v>26261</v>
      </c>
    </row>
    <row r="2552">
      <c r="A2552" s="48" t="s">
        <v>4594</v>
      </c>
      <c r="B2552" s="38">
        <v>62052.0</v>
      </c>
      <c r="C2552" s="38" t="s">
        <v>4595</v>
      </c>
      <c r="D2552" s="38" t="str">
        <f>IFERROR(__xludf.DUMMYFUNCTION("REGEXREPLACE(C2552,""-\d+(.*)|--\d+(.*)"","""")"),"AUDEMBERT")</f>
        <v>AUDEMBERT</v>
      </c>
      <c r="E2552" s="38" t="s">
        <v>109</v>
      </c>
      <c r="F2552" s="38" t="s">
        <v>86</v>
      </c>
      <c r="G2552" s="49" t="str">
        <f t="shared" si="1"/>
        <v>62250</v>
      </c>
      <c r="H2552" s="49">
        <f t="shared" si="2"/>
        <v>62052</v>
      </c>
    </row>
    <row r="2553">
      <c r="A2553" s="48" t="s">
        <v>4596</v>
      </c>
      <c r="B2553" s="38">
        <v>2533.0</v>
      </c>
      <c r="C2553" s="38" t="s">
        <v>4597</v>
      </c>
      <c r="D2553" s="38" t="str">
        <f>IFERROR(__xludf.DUMMYFUNCTION("REGEXREPLACE(C2553,""-\d+(.*)|--\d+(.*)"","""")"),"MURET-ET-CROUTTES")</f>
        <v>MURET-ET-CROUTTES</v>
      </c>
      <c r="E2553" s="38" t="s">
        <v>191</v>
      </c>
      <c r="F2553" s="38" t="s">
        <v>113</v>
      </c>
      <c r="G2553" s="49" t="str">
        <f t="shared" si="1"/>
        <v>02210</v>
      </c>
      <c r="H2553" s="49" t="str">
        <f t="shared" si="2"/>
        <v>02533</v>
      </c>
    </row>
    <row r="2554">
      <c r="A2554" s="48" t="s">
        <v>734</v>
      </c>
      <c r="B2554" s="38">
        <v>54136.0</v>
      </c>
      <c r="C2554" s="38" t="s">
        <v>4598</v>
      </c>
      <c r="D2554" s="38" t="str">
        <f>IFERROR(__xludf.DUMMYFUNCTION("REGEXREPLACE(C2554,""-\d+(.*)|--\d+(.*)"","""")"),"CONFLANS-EN-JARNISY")</f>
        <v>CONFLANS-EN-JARNISY</v>
      </c>
      <c r="E2554" s="38" t="s">
        <v>548</v>
      </c>
      <c r="F2554" s="38" t="s">
        <v>195</v>
      </c>
      <c r="G2554" s="49" t="str">
        <f t="shared" si="1"/>
        <v>54800</v>
      </c>
      <c r="H2554" s="49">
        <f t="shared" si="2"/>
        <v>54136</v>
      </c>
    </row>
    <row r="2555">
      <c r="A2555" s="48" t="s">
        <v>4599</v>
      </c>
      <c r="B2555" s="38">
        <v>70286.0</v>
      </c>
      <c r="C2555" s="38" t="s">
        <v>4600</v>
      </c>
      <c r="D2555" s="38" t="str">
        <f>IFERROR(__xludf.DUMMYFUNCTION("REGEXREPLACE(C2555,""-\d+(.*)|--\d+(.*)"","""")"),"HUGIER")</f>
        <v>HUGIER</v>
      </c>
      <c r="E2555" s="38" t="s">
        <v>956</v>
      </c>
      <c r="F2555" s="38" t="s">
        <v>214</v>
      </c>
      <c r="G2555" s="49" t="str">
        <f t="shared" si="1"/>
        <v>70150</v>
      </c>
      <c r="H2555" s="49">
        <f t="shared" si="2"/>
        <v>70286</v>
      </c>
    </row>
    <row r="2556">
      <c r="A2556" s="48" t="s">
        <v>531</v>
      </c>
      <c r="B2556" s="38">
        <v>38318.0</v>
      </c>
      <c r="C2556" s="38" t="s">
        <v>4601</v>
      </c>
      <c r="D2556" s="38" t="str">
        <f>IFERROR(__xludf.DUMMYFUNCTION("REGEXREPLACE(C2556,""-\d+(.*)|--\d+(.*)"","""")"),"PONT-EVEQUE")</f>
        <v>PONT-EVEQUE</v>
      </c>
      <c r="E2556" s="38" t="s">
        <v>101</v>
      </c>
      <c r="F2556" s="38" t="s">
        <v>102</v>
      </c>
      <c r="G2556" s="49" t="str">
        <f t="shared" si="1"/>
        <v>38780</v>
      </c>
      <c r="H2556" s="49">
        <f t="shared" si="2"/>
        <v>38318</v>
      </c>
    </row>
    <row r="2557">
      <c r="A2557" s="48" t="s">
        <v>1866</v>
      </c>
      <c r="B2557" s="38">
        <v>61369.0</v>
      </c>
      <c r="C2557" s="38" t="s">
        <v>4602</v>
      </c>
      <c r="D2557" s="38" t="str">
        <f>IFERROR(__xludf.DUMMYFUNCTION("REGEXREPLACE(C2557,""-\d+(.*)|--\d+(.*)"","""")"),"SAINT-BOMER-LES-FORGES")</f>
        <v>SAINT-BOMER-LES-FORGES</v>
      </c>
      <c r="E2557" s="38" t="s">
        <v>141</v>
      </c>
      <c r="F2557" s="38" t="s">
        <v>138</v>
      </c>
      <c r="G2557" s="49" t="str">
        <f t="shared" si="1"/>
        <v>61700</v>
      </c>
      <c r="H2557" s="49">
        <f t="shared" si="2"/>
        <v>61369</v>
      </c>
    </row>
    <row r="2558">
      <c r="A2558" s="48" t="s">
        <v>386</v>
      </c>
      <c r="B2558" s="38">
        <v>21261.0</v>
      </c>
      <c r="C2558" s="38" t="s">
        <v>4603</v>
      </c>
      <c r="D2558" s="38" t="str">
        <f>IFERROR(__xludf.DUMMYFUNCTION("REGEXREPLACE(C2558,""-\d+(.*)|--\d+(.*)"","""")"),"FAUVERNEY")</f>
        <v>FAUVERNEY</v>
      </c>
      <c r="E2558" s="38" t="s">
        <v>105</v>
      </c>
      <c r="F2558" s="38" t="s">
        <v>106</v>
      </c>
      <c r="G2558" s="49" t="str">
        <f t="shared" si="1"/>
        <v>21110</v>
      </c>
      <c r="H2558" s="49">
        <f t="shared" si="2"/>
        <v>21261</v>
      </c>
    </row>
    <row r="2559">
      <c r="A2559" s="48" t="s">
        <v>1493</v>
      </c>
      <c r="B2559" s="38">
        <v>58113.0</v>
      </c>
      <c r="C2559" s="38" t="s">
        <v>4604</v>
      </c>
      <c r="D2559" s="38" t="str">
        <f>IFERROR(__xludf.DUMMYFUNCTION("REGEXREPLACE(C2559,""-\d+(.*)|--\d+(.*)"","""")"),"FERTREVE")</f>
        <v>FERTREVE</v>
      </c>
      <c r="E2559" s="38" t="s">
        <v>219</v>
      </c>
      <c r="F2559" s="38" t="s">
        <v>106</v>
      </c>
      <c r="G2559" s="49" t="str">
        <f t="shared" si="1"/>
        <v>58270</v>
      </c>
      <c r="H2559" s="49">
        <f t="shared" si="2"/>
        <v>58113</v>
      </c>
    </row>
    <row r="2560">
      <c r="A2560" s="48" t="s">
        <v>4605</v>
      </c>
      <c r="B2560" s="38">
        <v>39030.0</v>
      </c>
      <c r="C2560" s="38" t="s">
        <v>4606</v>
      </c>
      <c r="D2560" s="38" t="str">
        <f>IFERROR(__xludf.DUMMYFUNCTION("REGEXREPLACE(C2560,""-\d+(.*)|--\d+(.*)"","""")"),"AUTHUME")</f>
        <v>AUTHUME</v>
      </c>
      <c r="E2560" s="38" t="s">
        <v>400</v>
      </c>
      <c r="F2560" s="38" t="s">
        <v>214</v>
      </c>
      <c r="G2560" s="49" t="str">
        <f t="shared" si="1"/>
        <v>39100</v>
      </c>
      <c r="H2560" s="49">
        <f t="shared" si="2"/>
        <v>39030</v>
      </c>
    </row>
    <row r="2561">
      <c r="A2561" s="48" t="s">
        <v>4065</v>
      </c>
      <c r="B2561" s="38">
        <v>21576.0</v>
      </c>
      <c r="C2561" s="38" t="s">
        <v>4607</v>
      </c>
      <c r="D2561" s="38" t="str">
        <f>IFERROR(__xludf.DUMMYFUNCTION("REGEXREPLACE(C2561,""-\d+(.*)|--\d+(.*)"","""")"),"SAINT-THIBAULT")</f>
        <v>SAINT-THIBAULT</v>
      </c>
      <c r="E2561" s="38" t="s">
        <v>105</v>
      </c>
      <c r="F2561" s="38" t="s">
        <v>106</v>
      </c>
      <c r="G2561" s="49" t="str">
        <f t="shared" si="1"/>
        <v>21350</v>
      </c>
      <c r="H2561" s="49">
        <f t="shared" si="2"/>
        <v>21576</v>
      </c>
    </row>
    <row r="2562">
      <c r="A2562" s="48" t="s">
        <v>2491</v>
      </c>
      <c r="B2562" s="38">
        <v>46071.0</v>
      </c>
      <c r="C2562" s="38" t="s">
        <v>4608</v>
      </c>
      <c r="D2562" s="38" t="str">
        <f>IFERROR(__xludf.DUMMYFUNCTION("REGEXREPLACE(C2562,""-\d+(.*)|--\d+(.*)"","""")"),"COMIAC")</f>
        <v>COMIAC</v>
      </c>
      <c r="E2562" s="38" t="s">
        <v>185</v>
      </c>
      <c r="F2562" s="38" t="s">
        <v>94</v>
      </c>
      <c r="G2562" s="49" t="str">
        <f t="shared" si="1"/>
        <v>46190</v>
      </c>
      <c r="H2562" s="49">
        <f t="shared" si="2"/>
        <v>46071</v>
      </c>
    </row>
    <row r="2563">
      <c r="A2563" s="48" t="s">
        <v>4609</v>
      </c>
      <c r="B2563" s="38">
        <v>61102.0</v>
      </c>
      <c r="C2563" s="38" t="s">
        <v>4610</v>
      </c>
      <c r="D2563" s="38" t="str">
        <f>IFERROR(__xludf.DUMMYFUNCTION("REGEXREPLACE(C2563,""-\d+(.*)|--\d+(.*)"","""")"),"LE CHATELLIER")</f>
        <v>LE CHATELLIER</v>
      </c>
      <c r="E2563" s="38" t="s">
        <v>141</v>
      </c>
      <c r="F2563" s="38" t="s">
        <v>138</v>
      </c>
      <c r="G2563" s="49" t="str">
        <f t="shared" si="1"/>
        <v>61450</v>
      </c>
      <c r="H2563" s="49">
        <f t="shared" si="2"/>
        <v>61102</v>
      </c>
    </row>
    <row r="2564">
      <c r="A2564" s="48" t="s">
        <v>1728</v>
      </c>
      <c r="B2564" s="38">
        <v>45348.0</v>
      </c>
      <c r="C2564" s="38" t="s">
        <v>4611</v>
      </c>
      <c r="D2564" s="38" t="str">
        <f>IFERROR(__xludf.DUMMYFUNCTION("REGEXREPLACE(C2564,""-\d+(.*)|--\d+(.*)"","""")"),"YEVRE-LA-VILLE")</f>
        <v>YEVRE-LA-VILLE</v>
      </c>
      <c r="E2564" s="38" t="s">
        <v>122</v>
      </c>
      <c r="F2564" s="38" t="s">
        <v>123</v>
      </c>
      <c r="G2564" s="49" t="str">
        <f t="shared" si="1"/>
        <v>45300</v>
      </c>
      <c r="H2564" s="49">
        <f t="shared" si="2"/>
        <v>45348</v>
      </c>
    </row>
    <row r="2565">
      <c r="A2565" s="48" t="s">
        <v>4612</v>
      </c>
      <c r="B2565" s="38">
        <v>3040.0</v>
      </c>
      <c r="C2565" s="38" t="s">
        <v>4613</v>
      </c>
      <c r="D2565" s="38" t="str">
        <f>IFERROR(__xludf.DUMMYFUNCTION("REGEXREPLACE(C2565,""-\d+(.*)|--\d+(.*)"","""")"),"BRESSOLLES")</f>
        <v>BRESSOLLES</v>
      </c>
      <c r="E2565" s="38" t="s">
        <v>160</v>
      </c>
      <c r="F2565" s="38" t="s">
        <v>161</v>
      </c>
      <c r="G2565" s="49" t="str">
        <f t="shared" si="1"/>
        <v>03000</v>
      </c>
      <c r="H2565" s="49" t="str">
        <f t="shared" si="2"/>
        <v>03040</v>
      </c>
    </row>
    <row r="2566">
      <c r="A2566" s="48" t="s">
        <v>4614</v>
      </c>
      <c r="B2566" s="38">
        <v>78655.0</v>
      </c>
      <c r="C2566" s="38" t="s">
        <v>4615</v>
      </c>
      <c r="D2566" s="38" t="str">
        <f>IFERROR(__xludf.DUMMYFUNCTION("REGEXREPLACE(C2566,""-\d+(.*)|--\d+(.*)"","""")"),"VIEILLE-EGLISE-EN-YVELINES")</f>
        <v>VIEILLE-EGLISE-EN-YVELINES</v>
      </c>
      <c r="E2566" s="38" t="s">
        <v>362</v>
      </c>
      <c r="F2566" s="38" t="s">
        <v>245</v>
      </c>
      <c r="G2566" s="49" t="str">
        <f t="shared" si="1"/>
        <v>78125</v>
      </c>
      <c r="H2566" s="49">
        <f t="shared" si="2"/>
        <v>78655</v>
      </c>
    </row>
    <row r="2567">
      <c r="A2567" s="48" t="s">
        <v>1222</v>
      </c>
      <c r="B2567" s="38">
        <v>47177.0</v>
      </c>
      <c r="C2567" s="38" t="s">
        <v>4616</v>
      </c>
      <c r="D2567" s="38" t="str">
        <f>IFERROR(__xludf.DUMMYFUNCTION("REGEXREPLACE(C2567,""-\d+(.*)|--\d+(.*)"","""")"),"MONHEURT")</f>
        <v>MONHEURT</v>
      </c>
      <c r="E2567" s="38" t="s">
        <v>251</v>
      </c>
      <c r="F2567" s="38" t="s">
        <v>252</v>
      </c>
      <c r="G2567" s="49" t="str">
        <f t="shared" si="1"/>
        <v>47160</v>
      </c>
      <c r="H2567" s="49">
        <f t="shared" si="2"/>
        <v>47177</v>
      </c>
    </row>
    <row r="2568">
      <c r="A2568" s="48" t="s">
        <v>4617</v>
      </c>
      <c r="B2568" s="38">
        <v>15049.0</v>
      </c>
      <c r="C2568" s="38" t="s">
        <v>4618</v>
      </c>
      <c r="D2568" s="38" t="str">
        <f>IFERROR(__xludf.DUMMYFUNCTION("REGEXREPLACE(C2568,""-\d+(.*)|--\d+(.*)"","""")"),"CHEYLADE")</f>
        <v>CHEYLADE</v>
      </c>
      <c r="E2568" s="38" t="s">
        <v>632</v>
      </c>
      <c r="F2568" s="38" t="s">
        <v>161</v>
      </c>
      <c r="G2568" s="49" t="str">
        <f t="shared" si="1"/>
        <v>15400</v>
      </c>
      <c r="H2568" s="49">
        <f t="shared" si="2"/>
        <v>15049</v>
      </c>
    </row>
    <row r="2569">
      <c r="A2569" s="48" t="s">
        <v>2423</v>
      </c>
      <c r="B2569" s="38">
        <v>26263.0</v>
      </c>
      <c r="C2569" s="38" t="s">
        <v>4619</v>
      </c>
      <c r="D2569" s="38" t="str">
        <f>IFERROR(__xludf.DUMMYFUNCTION("REGEXREPLACE(C2569,""-\d+(.*)|--\d+(.*)"","""")"),"REILHANETTE")</f>
        <v>REILHANETTE</v>
      </c>
      <c r="E2569" s="38" t="s">
        <v>126</v>
      </c>
      <c r="F2569" s="38" t="s">
        <v>102</v>
      </c>
      <c r="G2569" s="49" t="str">
        <f t="shared" si="1"/>
        <v>26570</v>
      </c>
      <c r="H2569" s="49">
        <f t="shared" si="2"/>
        <v>26263</v>
      </c>
    </row>
    <row r="2570">
      <c r="A2570" s="48" t="s">
        <v>4620</v>
      </c>
      <c r="B2570" s="38">
        <v>12054.0</v>
      </c>
      <c r="C2570" s="38" t="s">
        <v>4621</v>
      </c>
      <c r="D2570" s="38" t="str">
        <f>IFERROR(__xludf.DUMMYFUNCTION("REGEXREPLACE(C2570,""-\d+(.*)|--\d+(.*)"","""")"),"LA CAPELLE-BLEYS")</f>
        <v>LA CAPELLE-BLEYS</v>
      </c>
      <c r="E2570" s="38" t="s">
        <v>465</v>
      </c>
      <c r="F2570" s="38" t="s">
        <v>94</v>
      </c>
      <c r="G2570" s="49" t="str">
        <f t="shared" si="1"/>
        <v>12240</v>
      </c>
      <c r="H2570" s="49">
        <f t="shared" si="2"/>
        <v>12054</v>
      </c>
    </row>
    <row r="2571">
      <c r="A2571" s="48" t="s">
        <v>4622</v>
      </c>
      <c r="B2571" s="38">
        <v>45300.0</v>
      </c>
      <c r="C2571" s="38" t="s">
        <v>4623</v>
      </c>
      <c r="D2571" s="38" t="str">
        <f>IFERROR(__xludf.DUMMYFUNCTION("REGEXREPLACE(C2571,""-\d+(.*)|--\d+(.*)"","""")"),"SANDILLON")</f>
        <v>SANDILLON</v>
      </c>
      <c r="E2571" s="38" t="s">
        <v>122</v>
      </c>
      <c r="F2571" s="38" t="s">
        <v>123</v>
      </c>
      <c r="G2571" s="49" t="str">
        <f t="shared" si="1"/>
        <v>45640</v>
      </c>
      <c r="H2571" s="49">
        <f t="shared" si="2"/>
        <v>45300</v>
      </c>
    </row>
    <row r="2572">
      <c r="A2572" s="48" t="s">
        <v>4624</v>
      </c>
      <c r="B2572" s="38">
        <v>74124.0</v>
      </c>
      <c r="C2572" s="38" t="s">
        <v>4625</v>
      </c>
      <c r="D2572" s="38" t="str">
        <f>IFERROR(__xludf.DUMMYFUNCTION("REGEXREPLACE(C2572,""-\d+(.*)|--\d+(.*)"","""")"),"FEIGERES")</f>
        <v>FEIGERES</v>
      </c>
      <c r="E2572" s="38" t="s">
        <v>319</v>
      </c>
      <c r="F2572" s="38" t="s">
        <v>102</v>
      </c>
      <c r="G2572" s="49" t="str">
        <f t="shared" si="1"/>
        <v>74160</v>
      </c>
      <c r="H2572" s="49">
        <f t="shared" si="2"/>
        <v>74124</v>
      </c>
    </row>
    <row r="2573">
      <c r="A2573" s="48" t="s">
        <v>4626</v>
      </c>
      <c r="B2573" s="38">
        <v>16059.0</v>
      </c>
      <c r="C2573" s="38" t="s">
        <v>4627</v>
      </c>
      <c r="D2573" s="38" t="str">
        <f>IFERROR(__xludf.DUMMYFUNCTION("REGEXREPLACE(C2573,""-\d+(.*)|--\d+(.*)"","""")"),"BRETTES")</f>
        <v>BRETTES</v>
      </c>
      <c r="E2573" s="38" t="s">
        <v>429</v>
      </c>
      <c r="F2573" s="38" t="s">
        <v>338</v>
      </c>
      <c r="G2573" s="49" t="str">
        <f t="shared" si="1"/>
        <v>16240</v>
      </c>
      <c r="H2573" s="49">
        <f t="shared" si="2"/>
        <v>16059</v>
      </c>
    </row>
    <row r="2574">
      <c r="A2574" s="48" t="s">
        <v>1601</v>
      </c>
      <c r="B2574" s="38">
        <v>72029.0</v>
      </c>
      <c r="C2574" s="38" t="s">
        <v>4628</v>
      </c>
      <c r="D2574" s="38" t="str">
        <f>IFERROR(__xludf.DUMMYFUNCTION("REGEXREPLACE(C2574,""-\d+(.*)|--\d+(.*)"","""")"),"BEAUMONT-SUR-SARTHE")</f>
        <v>BEAUMONT-SUR-SARTHE</v>
      </c>
      <c r="E2574" s="38" t="s">
        <v>521</v>
      </c>
      <c r="F2574" s="38" t="s">
        <v>180</v>
      </c>
      <c r="G2574" s="49" t="str">
        <f t="shared" si="1"/>
        <v>72170</v>
      </c>
      <c r="H2574" s="49">
        <f t="shared" si="2"/>
        <v>72029</v>
      </c>
    </row>
    <row r="2575">
      <c r="A2575" s="48" t="s">
        <v>4629</v>
      </c>
      <c r="B2575" s="38">
        <v>59646.0</v>
      </c>
      <c r="C2575" s="38" t="s">
        <v>4630</v>
      </c>
      <c r="D2575" s="38" t="str">
        <f>IFERROR(__xludf.DUMMYFUNCTION("REGEXREPLACE(C2575,""-\d+(.*)|--\d+(.*)"","""")"),"WASQUEHAL")</f>
        <v>WASQUEHAL</v>
      </c>
      <c r="E2575" s="38" t="s">
        <v>85</v>
      </c>
      <c r="F2575" s="38" t="s">
        <v>86</v>
      </c>
      <c r="G2575" s="49" t="str">
        <f t="shared" si="1"/>
        <v>59290</v>
      </c>
      <c r="H2575" s="49">
        <f t="shared" si="2"/>
        <v>59646</v>
      </c>
    </row>
    <row r="2576">
      <c r="A2576" s="48" t="s">
        <v>715</v>
      </c>
      <c r="B2576" s="38">
        <v>88365.0</v>
      </c>
      <c r="C2576" s="38" t="s">
        <v>4631</v>
      </c>
      <c r="D2576" s="38" t="str">
        <f>IFERROR(__xludf.DUMMYFUNCTION("REGEXREPLACE(C2576,""-\d+(.*)|--\d+(.*)"","""")"),"RACECOURT")</f>
        <v>RACECOURT</v>
      </c>
      <c r="E2576" s="38" t="s">
        <v>194</v>
      </c>
      <c r="F2576" s="38" t="s">
        <v>195</v>
      </c>
      <c r="G2576" s="49" t="str">
        <f t="shared" si="1"/>
        <v>88270</v>
      </c>
      <c r="H2576" s="49">
        <f t="shared" si="2"/>
        <v>88365</v>
      </c>
    </row>
    <row r="2577">
      <c r="A2577" s="48" t="s">
        <v>415</v>
      </c>
      <c r="B2577" s="38">
        <v>21715.0</v>
      </c>
      <c r="C2577" s="38" t="s">
        <v>4632</v>
      </c>
      <c r="D2577" s="38" t="str">
        <f>IFERROR(__xludf.DUMMYFUNCTION("REGEXREPLACE(C2577,""-\d+(.*)|--\d+(.*)"","""")"),"VOUDENAY")</f>
        <v>VOUDENAY</v>
      </c>
      <c r="E2577" s="38" t="s">
        <v>105</v>
      </c>
      <c r="F2577" s="38" t="s">
        <v>106</v>
      </c>
      <c r="G2577" s="49" t="str">
        <f t="shared" si="1"/>
        <v>21230</v>
      </c>
      <c r="H2577" s="49">
        <f t="shared" si="2"/>
        <v>21715</v>
      </c>
    </row>
    <row r="2578">
      <c r="A2578" s="48" t="s">
        <v>3307</v>
      </c>
      <c r="B2578" s="38">
        <v>65069.0</v>
      </c>
      <c r="C2578" s="38" t="s">
        <v>4633</v>
      </c>
      <c r="D2578" s="38" t="str">
        <f>IFERROR(__xludf.DUMMYFUNCTION("REGEXREPLACE(C2578,""-\d+(.*)|--\d+(.*)"","""")"),"LA BARTHE-DE-NESTE")</f>
        <v>LA BARTHE-DE-NESTE</v>
      </c>
      <c r="E2578" s="38" t="s">
        <v>200</v>
      </c>
      <c r="F2578" s="38" t="s">
        <v>94</v>
      </c>
      <c r="G2578" s="49" t="str">
        <f t="shared" si="1"/>
        <v>65250</v>
      </c>
      <c r="H2578" s="49">
        <f t="shared" si="2"/>
        <v>65069</v>
      </c>
    </row>
    <row r="2579">
      <c r="A2579" s="48" t="s">
        <v>4123</v>
      </c>
      <c r="B2579" s="38">
        <v>60310.0</v>
      </c>
      <c r="C2579" s="38" t="s">
        <v>4634</v>
      </c>
      <c r="D2579" s="38" t="str">
        <f>IFERROR(__xludf.DUMMYFUNCTION("REGEXREPLACE(C2579,""-\d+(.*)|--\d+(.*)"","""")"),"HERCHIES")</f>
        <v>HERCHIES</v>
      </c>
      <c r="E2579" s="38" t="s">
        <v>112</v>
      </c>
      <c r="F2579" s="38" t="s">
        <v>113</v>
      </c>
      <c r="G2579" s="49" t="str">
        <f t="shared" si="1"/>
        <v>60112</v>
      </c>
      <c r="H2579" s="49">
        <f t="shared" si="2"/>
        <v>60310</v>
      </c>
    </row>
    <row r="2580">
      <c r="A2580" s="48" t="s">
        <v>208</v>
      </c>
      <c r="B2580" s="38">
        <v>67255.0</v>
      </c>
      <c r="C2580" s="38" t="s">
        <v>4635</v>
      </c>
      <c r="D2580" s="38" t="str">
        <f>IFERROR(__xludf.DUMMYFUNCTION("REGEXREPLACE(C2580,""-\d+(.*)|--\d+(.*)"","""")"),"LALAYE")</f>
        <v>LALAYE</v>
      </c>
      <c r="E2580" s="38" t="s">
        <v>210</v>
      </c>
      <c r="F2580" s="38" t="s">
        <v>151</v>
      </c>
      <c r="G2580" s="49" t="str">
        <f t="shared" si="1"/>
        <v>67220</v>
      </c>
      <c r="H2580" s="49">
        <f t="shared" si="2"/>
        <v>67255</v>
      </c>
    </row>
    <row r="2581">
      <c r="A2581" s="48" t="s">
        <v>1756</v>
      </c>
      <c r="B2581" s="38">
        <v>28297.0</v>
      </c>
      <c r="C2581" s="38" t="s">
        <v>4636</v>
      </c>
      <c r="D2581" s="38" t="str">
        <f>IFERROR(__xludf.DUMMYFUNCTION("REGEXREPLACE(C2581,""-\d+(.*)|--\d+(.*)"","""")"),"PEZY")</f>
        <v>PEZY</v>
      </c>
      <c r="E2581" s="38" t="s">
        <v>300</v>
      </c>
      <c r="F2581" s="38" t="s">
        <v>123</v>
      </c>
      <c r="G2581" s="49" t="str">
        <f t="shared" si="1"/>
        <v>28150</v>
      </c>
      <c r="H2581" s="49">
        <f t="shared" si="2"/>
        <v>28297</v>
      </c>
    </row>
    <row r="2582">
      <c r="A2582" s="48" t="s">
        <v>4637</v>
      </c>
      <c r="B2582" s="38">
        <v>34329.0</v>
      </c>
      <c r="C2582" s="38" t="s">
        <v>4638</v>
      </c>
      <c r="D2582" s="38" t="str">
        <f>IFERROR(__xludf.DUMMYFUNCTION("REGEXREPLACE(C2582,""-\d+(.*)|--\d+(.*)"","""")"),"VENDRES")</f>
        <v>VENDRES</v>
      </c>
      <c r="E2582" s="38" t="s">
        <v>118</v>
      </c>
      <c r="F2582" s="38" t="s">
        <v>119</v>
      </c>
      <c r="G2582" s="49" t="str">
        <f t="shared" si="1"/>
        <v>34350</v>
      </c>
      <c r="H2582" s="49">
        <f t="shared" si="2"/>
        <v>34329</v>
      </c>
    </row>
    <row r="2583">
      <c r="A2583" s="48" t="s">
        <v>622</v>
      </c>
      <c r="B2583" s="38">
        <v>14751.0</v>
      </c>
      <c r="C2583" s="38" t="s">
        <v>4639</v>
      </c>
      <c r="D2583" s="38" t="str">
        <f>IFERROR(__xludf.DUMMYFUNCTION("REGEXREPLACE(C2583,""-\d+(.*)|--\d+(.*)"","""")"),"VIGNATS")</f>
        <v>VIGNATS</v>
      </c>
      <c r="E2583" s="38" t="s">
        <v>137</v>
      </c>
      <c r="F2583" s="38" t="s">
        <v>138</v>
      </c>
      <c r="G2583" s="49" t="str">
        <f t="shared" si="1"/>
        <v>14700</v>
      </c>
      <c r="H2583" s="49">
        <f t="shared" si="2"/>
        <v>14751</v>
      </c>
    </row>
    <row r="2584">
      <c r="A2584" s="48" t="s">
        <v>2290</v>
      </c>
      <c r="B2584" s="38">
        <v>38496.0</v>
      </c>
      <c r="C2584" s="38" t="s">
        <v>4640</v>
      </c>
      <c r="D2584" s="38" t="str">
        <f>IFERROR(__xludf.DUMMYFUNCTION("REGEXREPLACE(C2584,""-\d+(.*)|--\d+(.*)"","""")"),"SONNAY")</f>
        <v>SONNAY</v>
      </c>
      <c r="E2584" s="38" t="s">
        <v>101</v>
      </c>
      <c r="F2584" s="38" t="s">
        <v>102</v>
      </c>
      <c r="G2584" s="49" t="str">
        <f t="shared" si="1"/>
        <v>38150</v>
      </c>
      <c r="H2584" s="49">
        <f t="shared" si="2"/>
        <v>38496</v>
      </c>
    </row>
    <row r="2585">
      <c r="A2585" s="48" t="s">
        <v>1686</v>
      </c>
      <c r="B2585" s="38">
        <v>51309.0</v>
      </c>
      <c r="C2585" s="38" t="s">
        <v>4641</v>
      </c>
      <c r="D2585" s="38" t="str">
        <f>IFERROR(__xludf.DUMMYFUNCTION("REGEXREPLACE(C2585,""-\d+(.*)|--\d+(.*)"","""")"),"JONQUERY")</f>
        <v>JONQUERY</v>
      </c>
      <c r="E2585" s="38" t="s">
        <v>129</v>
      </c>
      <c r="F2585" s="38" t="s">
        <v>130</v>
      </c>
      <c r="G2585" s="49" t="str">
        <f t="shared" si="1"/>
        <v>51700</v>
      </c>
      <c r="H2585" s="49">
        <f t="shared" si="2"/>
        <v>51309</v>
      </c>
    </row>
    <row r="2586">
      <c r="A2586" s="48" t="s">
        <v>4642</v>
      </c>
      <c r="B2586" s="38">
        <v>21169.0</v>
      </c>
      <c r="C2586" s="38" t="s">
        <v>2058</v>
      </c>
      <c r="D2586" s="38" t="str">
        <f>IFERROR(__xludf.DUMMYFUNCTION("REGEXREPLACE(C2586,""-\d+(.*)|--\d+(.*)"","""")"),"CHEVANNES")</f>
        <v>CHEVANNES</v>
      </c>
      <c r="E2586" s="38" t="s">
        <v>105</v>
      </c>
      <c r="F2586" s="38" t="s">
        <v>106</v>
      </c>
      <c r="G2586" s="49" t="str">
        <f t="shared" si="1"/>
        <v>21220</v>
      </c>
      <c r="H2586" s="49">
        <f t="shared" si="2"/>
        <v>21169</v>
      </c>
    </row>
    <row r="2587">
      <c r="A2587" s="48" t="s">
        <v>932</v>
      </c>
      <c r="B2587" s="38">
        <v>17029.0</v>
      </c>
      <c r="C2587" s="38" t="s">
        <v>4643</v>
      </c>
      <c r="D2587" s="38" t="str">
        <f>IFERROR(__xludf.DUMMYFUNCTION("REGEXREPLACE(C2587,""-\d+(.*)|--\d+(.*)"","""")"),"BAGNIZEAU")</f>
        <v>BAGNIZEAU</v>
      </c>
      <c r="E2587" s="38" t="s">
        <v>488</v>
      </c>
      <c r="F2587" s="38" t="s">
        <v>338</v>
      </c>
      <c r="G2587" s="49" t="str">
        <f t="shared" si="1"/>
        <v>17160</v>
      </c>
      <c r="H2587" s="49">
        <f t="shared" si="2"/>
        <v>17029</v>
      </c>
    </row>
    <row r="2588">
      <c r="A2588" s="48" t="s">
        <v>4644</v>
      </c>
      <c r="B2588" s="38">
        <v>46301.0</v>
      </c>
      <c r="C2588" s="38" t="s">
        <v>4645</v>
      </c>
      <c r="D2588" s="38" t="str">
        <f>IFERROR(__xludf.DUMMYFUNCTION("REGEXREPLACE(C2588,""-\d+(.*)|--\d+(.*)"","""")"),"SAUZET")</f>
        <v>SAUZET</v>
      </c>
      <c r="E2588" s="38" t="s">
        <v>185</v>
      </c>
      <c r="F2588" s="38" t="s">
        <v>94</v>
      </c>
      <c r="G2588" s="49" t="str">
        <f t="shared" si="1"/>
        <v>46140</v>
      </c>
      <c r="H2588" s="49">
        <f t="shared" si="2"/>
        <v>46301</v>
      </c>
    </row>
    <row r="2589">
      <c r="A2589" s="48" t="s">
        <v>4646</v>
      </c>
      <c r="B2589" s="38">
        <v>79029.0</v>
      </c>
      <c r="C2589" s="38" t="s">
        <v>4647</v>
      </c>
      <c r="D2589" s="38" t="str">
        <f>IFERROR(__xludf.DUMMYFUNCTION("REGEXREPLACE(C2589,""-\d+(.*)|--\d+(.*)"","""")"),"BEAULIEU-SOUS-PARTHENAY")</f>
        <v>BEAULIEU-SOUS-PARTHENAY</v>
      </c>
      <c r="E2589" s="38" t="s">
        <v>337</v>
      </c>
      <c r="F2589" s="38" t="s">
        <v>338</v>
      </c>
      <c r="G2589" s="49" t="str">
        <f t="shared" si="1"/>
        <v>79420</v>
      </c>
      <c r="H2589" s="49">
        <f t="shared" si="2"/>
        <v>79029</v>
      </c>
    </row>
    <row r="2590">
      <c r="A2590" s="48" t="s">
        <v>4648</v>
      </c>
      <c r="B2590" s="38">
        <v>54570.0</v>
      </c>
      <c r="C2590" s="38" t="s">
        <v>4649</v>
      </c>
      <c r="D2590" s="38" t="str">
        <f>IFERROR(__xludf.DUMMYFUNCTION("REGEXREPLACE(C2590,""-\d+(.*)|--\d+(.*)"","""")"),"VILLECEY-SUR-MAD")</f>
        <v>VILLECEY-SUR-MAD</v>
      </c>
      <c r="E2590" s="38" t="s">
        <v>548</v>
      </c>
      <c r="F2590" s="38" t="s">
        <v>195</v>
      </c>
      <c r="G2590" s="49" t="str">
        <f t="shared" si="1"/>
        <v>54890</v>
      </c>
      <c r="H2590" s="49">
        <f t="shared" si="2"/>
        <v>54570</v>
      </c>
    </row>
    <row r="2591">
      <c r="A2591" s="48" t="s">
        <v>4650</v>
      </c>
      <c r="B2591" s="38">
        <v>47044.0</v>
      </c>
      <c r="C2591" s="38" t="s">
        <v>4651</v>
      </c>
      <c r="D2591" s="38" t="str">
        <f>IFERROR(__xludf.DUMMYFUNCTION("REGEXREPLACE(C2591,""-\d+(.*)|--\d+(.*)"","""")"),"CAHUZAC")</f>
        <v>CAHUZAC</v>
      </c>
      <c r="E2591" s="38" t="s">
        <v>251</v>
      </c>
      <c r="F2591" s="38" t="s">
        <v>252</v>
      </c>
      <c r="G2591" s="49" t="str">
        <f t="shared" si="1"/>
        <v>47330</v>
      </c>
      <c r="H2591" s="49">
        <f t="shared" si="2"/>
        <v>47044</v>
      </c>
    </row>
    <row r="2592">
      <c r="A2592" s="48" t="s">
        <v>1250</v>
      </c>
      <c r="B2592" s="38">
        <v>31289.0</v>
      </c>
      <c r="C2592" s="38" t="s">
        <v>4652</v>
      </c>
      <c r="D2592" s="38" t="str">
        <f>IFERROR(__xludf.DUMMYFUNCTION("REGEXREPLACE(C2592,""-\d+(.*)|--\d+(.*)"","""")"),"LECUSSAN")</f>
        <v>LECUSSAN</v>
      </c>
      <c r="E2592" s="38" t="s">
        <v>93</v>
      </c>
      <c r="F2592" s="38" t="s">
        <v>94</v>
      </c>
      <c r="G2592" s="49" t="str">
        <f t="shared" si="1"/>
        <v>31580</v>
      </c>
      <c r="H2592" s="49">
        <f t="shared" si="2"/>
        <v>31289</v>
      </c>
    </row>
    <row r="2593">
      <c r="A2593" s="48" t="s">
        <v>3196</v>
      </c>
      <c r="B2593" s="38">
        <v>1106.0</v>
      </c>
      <c r="C2593" s="38" t="s">
        <v>4653</v>
      </c>
      <c r="D2593" s="38" t="str">
        <f>IFERROR(__xludf.DUMMYFUNCTION("REGEXREPLACE(C2593,""-\d+(.*)|--\d+(.*)"","""")"),"CIZE")</f>
        <v>CIZE</v>
      </c>
      <c r="E2593" s="38" t="s">
        <v>255</v>
      </c>
      <c r="F2593" s="38" t="s">
        <v>102</v>
      </c>
      <c r="G2593" s="49" t="str">
        <f t="shared" si="1"/>
        <v>01250</v>
      </c>
      <c r="H2593" s="49" t="str">
        <f t="shared" si="2"/>
        <v>01106</v>
      </c>
    </row>
    <row r="2594">
      <c r="A2594" s="48" t="s">
        <v>2503</v>
      </c>
      <c r="B2594" s="38">
        <v>33477.0</v>
      </c>
      <c r="C2594" s="38" t="s">
        <v>4654</v>
      </c>
      <c r="D2594" s="38" t="str">
        <f>IFERROR(__xludf.DUMMYFUNCTION("REGEXREPLACE(C2594,""-\d+(.*)|--\d+(.*)"","""")"),"SAINT-SEURIN-DE-CURSAC")</f>
        <v>SAINT-SEURIN-DE-CURSAC</v>
      </c>
      <c r="E2594" s="38" t="s">
        <v>462</v>
      </c>
      <c r="F2594" s="38" t="s">
        <v>252</v>
      </c>
      <c r="G2594" s="49" t="str">
        <f t="shared" si="1"/>
        <v>33390</v>
      </c>
      <c r="H2594" s="49">
        <f t="shared" si="2"/>
        <v>33477</v>
      </c>
    </row>
    <row r="2595">
      <c r="A2595" s="48" t="s">
        <v>3900</v>
      </c>
      <c r="B2595" s="38">
        <v>2102.0</v>
      </c>
      <c r="C2595" s="38" t="s">
        <v>4655</v>
      </c>
      <c r="D2595" s="38" t="str">
        <f>IFERROR(__xludf.DUMMYFUNCTION("REGEXREPLACE(C2595,""-\d+(.*)|--\d+(.*)"","""")"),"BOUCONVILLE-VAUCLAIR")</f>
        <v>BOUCONVILLE-VAUCLAIR</v>
      </c>
      <c r="E2595" s="38" t="s">
        <v>191</v>
      </c>
      <c r="F2595" s="38" t="s">
        <v>113</v>
      </c>
      <c r="G2595" s="49" t="str">
        <f t="shared" si="1"/>
        <v>02860</v>
      </c>
      <c r="H2595" s="49" t="str">
        <f t="shared" si="2"/>
        <v>02102</v>
      </c>
    </row>
    <row r="2596">
      <c r="A2596" s="48" t="s">
        <v>2521</v>
      </c>
      <c r="B2596" s="38">
        <v>28073.0</v>
      </c>
      <c r="C2596" s="38" t="s">
        <v>4656</v>
      </c>
      <c r="D2596" s="38" t="str">
        <f>IFERROR(__xludf.DUMMYFUNCTION("REGEXREPLACE(C2596,""-\d+(.*)|--\d+(.*)"","""")"),"CHAMPSERU")</f>
        <v>CHAMPSERU</v>
      </c>
      <c r="E2596" s="38" t="s">
        <v>300</v>
      </c>
      <c r="F2596" s="38" t="s">
        <v>123</v>
      </c>
      <c r="G2596" s="49" t="str">
        <f t="shared" si="1"/>
        <v>28700</v>
      </c>
      <c r="H2596" s="49">
        <f t="shared" si="2"/>
        <v>28073</v>
      </c>
    </row>
    <row r="2597">
      <c r="A2597" s="48" t="s">
        <v>201</v>
      </c>
      <c r="B2597" s="38">
        <v>2627.0</v>
      </c>
      <c r="C2597" s="38" t="s">
        <v>4657</v>
      </c>
      <c r="D2597" s="38" t="str">
        <f>IFERROR(__xludf.DUMMYFUNCTION("REGEXREPLACE(C2597,""-\d+(.*)|--\d+(.*)"","""")"),"PROVISEUX-ET-PLESNOY")</f>
        <v>PROVISEUX-ET-PLESNOY</v>
      </c>
      <c r="E2597" s="38" t="s">
        <v>191</v>
      </c>
      <c r="F2597" s="38" t="s">
        <v>113</v>
      </c>
      <c r="G2597" s="49" t="str">
        <f t="shared" si="1"/>
        <v>02190</v>
      </c>
      <c r="H2597" s="49" t="str">
        <f t="shared" si="2"/>
        <v>02627</v>
      </c>
    </row>
    <row r="2598">
      <c r="A2598" s="48" t="s">
        <v>1060</v>
      </c>
      <c r="B2598" s="38">
        <v>57599.0</v>
      </c>
      <c r="C2598" s="38" t="s">
        <v>4658</v>
      </c>
      <c r="D2598" s="38" t="str">
        <f>IFERROR(__xludf.DUMMYFUNCTION("REGEXREPLACE(C2598,""-\d+(.*)|--\d+(.*)"","""")"),"ROUPELDANGE")</f>
        <v>ROUPELDANGE</v>
      </c>
      <c r="E2598" s="38" t="s">
        <v>303</v>
      </c>
      <c r="F2598" s="38" t="s">
        <v>195</v>
      </c>
      <c r="G2598" s="49" t="str">
        <f t="shared" si="1"/>
        <v>57220</v>
      </c>
      <c r="H2598" s="49">
        <f t="shared" si="2"/>
        <v>57599</v>
      </c>
    </row>
    <row r="2599">
      <c r="A2599" s="48" t="s">
        <v>4659</v>
      </c>
      <c r="B2599" s="38">
        <v>32392.0</v>
      </c>
      <c r="C2599" s="38" t="s">
        <v>4660</v>
      </c>
      <c r="D2599" s="38" t="str">
        <f>IFERROR(__xludf.DUMMYFUNCTION("REGEXREPLACE(C2599,""-\d+(.*)|--\d+(.*)"","""")"),"SAINT-MARTIN-GIMOIS")</f>
        <v>SAINT-MARTIN-GIMOIS</v>
      </c>
      <c r="E2599" s="38" t="s">
        <v>440</v>
      </c>
      <c r="F2599" s="38" t="s">
        <v>94</v>
      </c>
      <c r="G2599" s="49" t="str">
        <f t="shared" si="1"/>
        <v>32450</v>
      </c>
      <c r="H2599" s="49">
        <f t="shared" si="2"/>
        <v>32392</v>
      </c>
    </row>
    <row r="2600">
      <c r="A2600" s="48" t="s">
        <v>4661</v>
      </c>
      <c r="B2600" s="38">
        <v>62419.0</v>
      </c>
      <c r="C2600" s="38" t="s">
        <v>4662</v>
      </c>
      <c r="D2600" s="38" t="str">
        <f>IFERROR(__xludf.DUMMYFUNCTION("REGEXREPLACE(C2600,""-\d+(.*)|--\d+(.*)"","""")"),"HAUT-LOQUIN")</f>
        <v>HAUT-LOQUIN</v>
      </c>
      <c r="E2600" s="38" t="s">
        <v>109</v>
      </c>
      <c r="F2600" s="38" t="s">
        <v>86</v>
      </c>
      <c r="G2600" s="49" t="str">
        <f t="shared" si="1"/>
        <v>62850</v>
      </c>
      <c r="H2600" s="49">
        <f t="shared" si="2"/>
        <v>62419</v>
      </c>
    </row>
    <row r="2601">
      <c r="A2601" s="48" t="s">
        <v>4663</v>
      </c>
      <c r="B2601" s="38">
        <v>12186.0</v>
      </c>
      <c r="C2601" s="38" t="s">
        <v>4664</v>
      </c>
      <c r="D2601" s="38" t="str">
        <f>IFERROR(__xludf.DUMMYFUNCTION("REGEXREPLACE(C2601,""-\d+(.*)|--\d+(.*)"","""")"),"POUSTHOMY")</f>
        <v>POUSTHOMY</v>
      </c>
      <c r="E2601" s="38" t="s">
        <v>465</v>
      </c>
      <c r="F2601" s="38" t="s">
        <v>94</v>
      </c>
      <c r="G2601" s="49" t="str">
        <f t="shared" si="1"/>
        <v>12380</v>
      </c>
      <c r="H2601" s="49">
        <f t="shared" si="2"/>
        <v>12186</v>
      </c>
    </row>
    <row r="2602">
      <c r="A2602" s="48" t="s">
        <v>4665</v>
      </c>
      <c r="B2602" s="38">
        <v>16077.0</v>
      </c>
      <c r="C2602" s="38" t="s">
        <v>4666</v>
      </c>
      <c r="D2602" s="38" t="str">
        <f>IFERROR(__xludf.DUMMYFUNCTION("REGEXREPLACE(C2602,""-\d+(.*)|--\d+(.*)"","""")"),"CHAMPMILLON")</f>
        <v>CHAMPMILLON</v>
      </c>
      <c r="E2602" s="38" t="s">
        <v>429</v>
      </c>
      <c r="F2602" s="38" t="s">
        <v>338</v>
      </c>
      <c r="G2602" s="49" t="str">
        <f t="shared" si="1"/>
        <v>16290</v>
      </c>
      <c r="H2602" s="49">
        <f t="shared" si="2"/>
        <v>16077</v>
      </c>
    </row>
    <row r="2603">
      <c r="A2603" s="48" t="s">
        <v>298</v>
      </c>
      <c r="B2603" s="38">
        <v>28033.0</v>
      </c>
      <c r="C2603" s="38" t="s">
        <v>4667</v>
      </c>
      <c r="D2603" s="38" t="str">
        <f>IFERROR(__xludf.DUMMYFUNCTION("REGEXREPLACE(C2603,""-\d+(.*)|--\d+(.*)"","""")"),"BELHOMERT-GUEHOUVILLE")</f>
        <v>BELHOMERT-GUEHOUVILLE</v>
      </c>
      <c r="E2603" s="38" t="s">
        <v>300</v>
      </c>
      <c r="F2603" s="38" t="s">
        <v>123</v>
      </c>
      <c r="G2603" s="49" t="str">
        <f t="shared" si="1"/>
        <v>28240</v>
      </c>
      <c r="H2603" s="49">
        <f t="shared" si="2"/>
        <v>28033</v>
      </c>
    </row>
    <row r="2604">
      <c r="A2604" s="48" t="s">
        <v>4668</v>
      </c>
      <c r="B2604" s="38">
        <v>88091.0</v>
      </c>
      <c r="C2604" s="38" t="s">
        <v>4669</v>
      </c>
      <c r="D2604" s="38" t="str">
        <f>IFERROR(__xludf.DUMMYFUNCTION("REGEXREPLACE(C2604,""-\d+(.*)|--\d+(.*)"","""")"),"CHARMOIS-DEVANT-BRUYERES")</f>
        <v>CHARMOIS-DEVANT-BRUYERES</v>
      </c>
      <c r="E2604" s="38" t="s">
        <v>194</v>
      </c>
      <c r="F2604" s="38" t="s">
        <v>195</v>
      </c>
      <c r="G2604" s="49" t="str">
        <f t="shared" si="1"/>
        <v>88460</v>
      </c>
      <c r="H2604" s="49">
        <f t="shared" si="2"/>
        <v>88091</v>
      </c>
    </row>
    <row r="2605">
      <c r="A2605" s="48" t="s">
        <v>2128</v>
      </c>
      <c r="B2605" s="38">
        <v>2235.0</v>
      </c>
      <c r="C2605" s="38" t="s">
        <v>4670</v>
      </c>
      <c r="D2605" s="38" t="str">
        <f>IFERROR(__xludf.DUMMYFUNCTION("REGEXREPLACE(C2605,""-\d+(.*)|--\d+(.*)"","""")"),"CRAONNELLE")</f>
        <v>CRAONNELLE</v>
      </c>
      <c r="E2605" s="38" t="s">
        <v>191</v>
      </c>
      <c r="F2605" s="38" t="s">
        <v>113</v>
      </c>
      <c r="G2605" s="49" t="str">
        <f t="shared" si="1"/>
        <v>02160</v>
      </c>
      <c r="H2605" s="49" t="str">
        <f t="shared" si="2"/>
        <v>02235</v>
      </c>
    </row>
    <row r="2606">
      <c r="A2606" s="48" t="s">
        <v>4671</v>
      </c>
      <c r="B2606" s="38">
        <v>59302.0</v>
      </c>
      <c r="C2606" s="38" t="s">
        <v>4672</v>
      </c>
      <c r="D2606" s="38" t="str">
        <f>IFERROR(__xludf.DUMMYFUNCTION("REGEXREPLACE(C2606,""-\d+(.*)|--\d+(.*)"","""")"),"HERIN")</f>
        <v>HERIN</v>
      </c>
      <c r="E2606" s="38" t="s">
        <v>85</v>
      </c>
      <c r="F2606" s="38" t="s">
        <v>86</v>
      </c>
      <c r="G2606" s="49" t="str">
        <f t="shared" si="1"/>
        <v>59195</v>
      </c>
      <c r="H2606" s="49">
        <f t="shared" si="2"/>
        <v>59302</v>
      </c>
    </row>
    <row r="2607">
      <c r="A2607" s="48" t="s">
        <v>2073</v>
      </c>
      <c r="B2607" s="38">
        <v>8116.0</v>
      </c>
      <c r="C2607" s="38" t="s">
        <v>4673</v>
      </c>
      <c r="D2607" s="38" t="str">
        <f>IFERROR(__xludf.DUMMYFUNCTION("REGEXREPLACE(C2607,""-\d+(.*)|--\d+(.*)"","""")"),"LE CHESNE")</f>
        <v>LE CHESNE</v>
      </c>
      <c r="E2607" s="38" t="s">
        <v>327</v>
      </c>
      <c r="F2607" s="38" t="s">
        <v>130</v>
      </c>
      <c r="G2607" s="49" t="str">
        <f t="shared" si="1"/>
        <v>08390</v>
      </c>
      <c r="H2607" s="49" t="str">
        <f t="shared" si="2"/>
        <v>08116</v>
      </c>
    </row>
    <row r="2608">
      <c r="A2608" s="48" t="s">
        <v>3065</v>
      </c>
      <c r="B2608" s="38">
        <v>7195.0</v>
      </c>
      <c r="C2608" s="38" t="s">
        <v>4674</v>
      </c>
      <c r="D2608" s="38" t="str">
        <f>IFERROR(__xludf.DUMMYFUNCTION("REGEXREPLACE(C2608,""-\d+(.*)|--\d+(.*)"","""")"),"LA ROCHETTE")</f>
        <v>LA ROCHETTE</v>
      </c>
      <c r="E2608" s="38" t="s">
        <v>144</v>
      </c>
      <c r="F2608" s="38" t="s">
        <v>102</v>
      </c>
      <c r="G2608" s="49" t="str">
        <f t="shared" si="1"/>
        <v>07310</v>
      </c>
      <c r="H2608" s="49" t="str">
        <f t="shared" si="2"/>
        <v>07195</v>
      </c>
    </row>
    <row r="2609">
      <c r="A2609" s="48" t="s">
        <v>1695</v>
      </c>
      <c r="B2609" s="38">
        <v>80069.0</v>
      </c>
      <c r="C2609" s="38" t="s">
        <v>4675</v>
      </c>
      <c r="D2609" s="38" t="str">
        <f>IFERROR(__xludf.DUMMYFUNCTION("REGEXREPLACE(C2609,""-\d+(.*)|--\d+(.*)"","""")"),"BEAUMONT-HAMEL")</f>
        <v>BEAUMONT-HAMEL</v>
      </c>
      <c r="E2609" s="38" t="s">
        <v>224</v>
      </c>
      <c r="F2609" s="38" t="s">
        <v>113</v>
      </c>
      <c r="G2609" s="49" t="str">
        <f t="shared" si="1"/>
        <v>80300</v>
      </c>
      <c r="H2609" s="49">
        <f t="shared" si="2"/>
        <v>80069</v>
      </c>
    </row>
    <row r="2610">
      <c r="A2610" s="48" t="s">
        <v>4676</v>
      </c>
      <c r="B2610" s="38">
        <v>48001.0</v>
      </c>
      <c r="C2610" s="38" t="s">
        <v>4677</v>
      </c>
      <c r="D2610" s="38" t="str">
        <f>IFERROR(__xludf.DUMMYFUNCTION("REGEXREPLACE(C2610,""-\d+(.*)|--\d+(.*)"","""")"),"ALBARET-LE-COMTAL")</f>
        <v>ALBARET-LE-COMTAL</v>
      </c>
      <c r="E2610" s="38" t="s">
        <v>154</v>
      </c>
      <c r="F2610" s="38" t="s">
        <v>119</v>
      </c>
      <c r="G2610" s="49" t="str">
        <f t="shared" si="1"/>
        <v>48310</v>
      </c>
      <c r="H2610" s="49">
        <f t="shared" si="2"/>
        <v>48001</v>
      </c>
    </row>
    <row r="2611">
      <c r="A2611" s="48" t="s">
        <v>286</v>
      </c>
      <c r="B2611" s="38">
        <v>68198.0</v>
      </c>
      <c r="C2611" s="38" t="s">
        <v>4678</v>
      </c>
      <c r="D2611" s="38" t="str">
        <f>IFERROR(__xludf.DUMMYFUNCTION("REGEXREPLACE(C2611,""-\d+(.*)|--\d+(.*)"","""")"),"MAGSTATT-LE-HAUT")</f>
        <v>MAGSTATT-LE-HAUT</v>
      </c>
      <c r="E2611" s="38" t="s">
        <v>150</v>
      </c>
      <c r="F2611" s="38" t="s">
        <v>151</v>
      </c>
      <c r="G2611" s="49" t="str">
        <f t="shared" si="1"/>
        <v>68510</v>
      </c>
      <c r="H2611" s="49">
        <f t="shared" si="2"/>
        <v>68198</v>
      </c>
    </row>
    <row r="2612">
      <c r="A2612" s="48" t="s">
        <v>4679</v>
      </c>
      <c r="B2612" s="38">
        <v>17125.0</v>
      </c>
      <c r="C2612" s="38" t="s">
        <v>4680</v>
      </c>
      <c r="D2612" s="38" t="str">
        <f>IFERROR(__xludf.DUMMYFUNCTION("REGEXREPLACE(C2612,""-\d+(.*)|--\d+(.*)"","""")"),"COURCELLES")</f>
        <v>COURCELLES</v>
      </c>
      <c r="E2612" s="38" t="s">
        <v>488</v>
      </c>
      <c r="F2612" s="38" t="s">
        <v>338</v>
      </c>
      <c r="G2612" s="49" t="str">
        <f t="shared" si="1"/>
        <v>17400</v>
      </c>
      <c r="H2612" s="49">
        <f t="shared" si="2"/>
        <v>17125</v>
      </c>
    </row>
    <row r="2613">
      <c r="A2613" s="48" t="s">
        <v>1091</v>
      </c>
      <c r="B2613" s="38">
        <v>57145.0</v>
      </c>
      <c r="C2613" s="38" t="s">
        <v>4681</v>
      </c>
      <c r="D2613" s="38" t="str">
        <f>IFERROR(__xludf.DUMMYFUNCTION("REGEXREPLACE(C2613,""-\d+(.*)|--\d+(.*)"","""")"),"COINCY")</f>
        <v>COINCY</v>
      </c>
      <c r="E2613" s="38" t="s">
        <v>303</v>
      </c>
      <c r="F2613" s="38" t="s">
        <v>195</v>
      </c>
      <c r="G2613" s="49" t="str">
        <f t="shared" si="1"/>
        <v>57530</v>
      </c>
      <c r="H2613" s="49">
        <f t="shared" si="2"/>
        <v>57145</v>
      </c>
    </row>
    <row r="2614">
      <c r="A2614" s="48" t="s">
        <v>4682</v>
      </c>
      <c r="B2614" s="38">
        <v>50430.0</v>
      </c>
      <c r="C2614" s="38" t="s">
        <v>4683</v>
      </c>
      <c r="D2614" s="38" t="str">
        <f>IFERROR(__xludf.DUMMYFUNCTION("REGEXREPLACE(C2614,""-\d+(.*)|--\d+(.*)"","""")"),"REIGNEVILLE-BOCAGE")</f>
        <v>REIGNEVILLE-BOCAGE</v>
      </c>
      <c r="E2614" s="38" t="s">
        <v>157</v>
      </c>
      <c r="F2614" s="38" t="s">
        <v>138</v>
      </c>
      <c r="G2614" s="49" t="str">
        <f t="shared" si="1"/>
        <v>50390</v>
      </c>
      <c r="H2614" s="49">
        <f t="shared" si="2"/>
        <v>50430</v>
      </c>
    </row>
    <row r="2615">
      <c r="A2615" s="48" t="s">
        <v>4684</v>
      </c>
      <c r="B2615" s="38">
        <v>91180.0</v>
      </c>
      <c r="C2615" s="38" t="s">
        <v>4685</v>
      </c>
      <c r="D2615" s="38" t="str">
        <f>IFERROR(__xludf.DUMMYFUNCTION("REGEXREPLACE(C2615,""-\d+(.*)|--\d+(.*)"","""")"),"COURANCES")</f>
        <v>COURANCES</v>
      </c>
      <c r="E2615" s="38" t="s">
        <v>756</v>
      </c>
      <c r="F2615" s="38" t="s">
        <v>245</v>
      </c>
      <c r="G2615" s="49" t="str">
        <f t="shared" si="1"/>
        <v>91490</v>
      </c>
      <c r="H2615" s="49">
        <f t="shared" si="2"/>
        <v>91180</v>
      </c>
    </row>
    <row r="2616">
      <c r="A2616" s="48" t="s">
        <v>4686</v>
      </c>
      <c r="B2616" s="38">
        <v>77226.0</v>
      </c>
      <c r="C2616" s="38" t="s">
        <v>4687</v>
      </c>
      <c r="D2616" s="38" t="str">
        <f>IFERROR(__xludf.DUMMYFUNCTION("REGEXREPLACE(C2616,""-\d+(.*)|--\d+(.*)"","""")"),"HERICY")</f>
        <v>HERICY</v>
      </c>
      <c r="E2616" s="38" t="s">
        <v>244</v>
      </c>
      <c r="F2616" s="38" t="s">
        <v>245</v>
      </c>
      <c r="G2616" s="49" t="str">
        <f t="shared" si="1"/>
        <v>77850</v>
      </c>
      <c r="H2616" s="49">
        <f t="shared" si="2"/>
        <v>77226</v>
      </c>
    </row>
    <row r="2617">
      <c r="A2617" s="48" t="s">
        <v>2081</v>
      </c>
      <c r="B2617" s="38">
        <v>4019.0</v>
      </c>
      <c r="C2617" s="38" t="s">
        <v>4688</v>
      </c>
      <c r="D2617" s="38" t="str">
        <f>IFERROR(__xludf.DUMMYFUNCTION("REGEXREPLACE(C2617,""-\d+(.*)|--\d+(.*)"","""")"),"BARCELONNETTE")</f>
        <v>BARCELONNETTE</v>
      </c>
      <c r="E2617" s="38" t="s">
        <v>662</v>
      </c>
      <c r="F2617" s="38" t="s">
        <v>228</v>
      </c>
      <c r="G2617" s="49" t="str">
        <f t="shared" si="1"/>
        <v>04400</v>
      </c>
      <c r="H2617" s="49" t="str">
        <f t="shared" si="2"/>
        <v>04019</v>
      </c>
    </row>
    <row r="2618">
      <c r="A2618" s="48" t="s">
        <v>1601</v>
      </c>
      <c r="B2618" s="38">
        <v>72362.0</v>
      </c>
      <c r="C2618" s="38" t="s">
        <v>4689</v>
      </c>
      <c r="D2618" s="38" t="str">
        <f>IFERROR(__xludf.DUMMYFUNCTION("REGEXREPLACE(C2618,""-\d+(.*)|--\d+(.*)"","""")"),"LE TRONCHET")</f>
        <v>LE TRONCHET</v>
      </c>
      <c r="E2618" s="38" t="s">
        <v>521</v>
      </c>
      <c r="F2618" s="38" t="s">
        <v>180</v>
      </c>
      <c r="G2618" s="49" t="str">
        <f t="shared" si="1"/>
        <v>72170</v>
      </c>
      <c r="H2618" s="49">
        <f t="shared" si="2"/>
        <v>72362</v>
      </c>
    </row>
    <row r="2619">
      <c r="A2619" s="48" t="s">
        <v>1272</v>
      </c>
      <c r="B2619" s="38">
        <v>51354.0</v>
      </c>
      <c r="C2619" s="38" t="s">
        <v>4690</v>
      </c>
      <c r="D2619" s="38" t="str">
        <f>IFERROR(__xludf.DUMMYFUNCTION("REGEXREPLACE(C2619,""-\d+(.*)|--\d+(.*)"","""")"),"MARSON")</f>
        <v>MARSON</v>
      </c>
      <c r="E2619" s="38" t="s">
        <v>129</v>
      </c>
      <c r="F2619" s="38" t="s">
        <v>130</v>
      </c>
      <c r="G2619" s="49" t="str">
        <f t="shared" si="1"/>
        <v>51240</v>
      </c>
      <c r="H2619" s="49">
        <f t="shared" si="2"/>
        <v>51354</v>
      </c>
    </row>
    <row r="2620">
      <c r="A2620" s="48" t="s">
        <v>696</v>
      </c>
      <c r="B2620" s="38">
        <v>9086.0</v>
      </c>
      <c r="C2620" s="38" t="s">
        <v>2371</v>
      </c>
      <c r="D2620" s="38" t="str">
        <f>IFERROR(__xludf.DUMMYFUNCTION("REGEXREPLACE(C2620,""-\d+(.*)|--\d+(.*)"","""")"),"CAUMONT")</f>
        <v>CAUMONT</v>
      </c>
      <c r="E2620" s="38" t="s">
        <v>238</v>
      </c>
      <c r="F2620" s="38" t="s">
        <v>94</v>
      </c>
      <c r="G2620" s="49" t="str">
        <f t="shared" si="1"/>
        <v>09160</v>
      </c>
      <c r="H2620" s="49" t="str">
        <f t="shared" si="2"/>
        <v>09086</v>
      </c>
    </row>
    <row r="2621">
      <c r="A2621" s="48" t="s">
        <v>970</v>
      </c>
      <c r="B2621" s="38">
        <v>2688.0</v>
      </c>
      <c r="C2621" s="38" t="s">
        <v>4691</v>
      </c>
      <c r="D2621" s="38" t="str">
        <f>IFERROR(__xludf.DUMMYFUNCTION("REGEXREPLACE(C2621,""-\d+(.*)|--\d+(.*)"","""")"),"SAINT-PIERRE-LES-FRANQUEVILLE")</f>
        <v>SAINT-PIERRE-LES-FRANQUEVILLE</v>
      </c>
      <c r="E2621" s="38" t="s">
        <v>191</v>
      </c>
      <c r="F2621" s="38" t="s">
        <v>113</v>
      </c>
      <c r="G2621" s="49" t="str">
        <f t="shared" si="1"/>
        <v>02140</v>
      </c>
      <c r="H2621" s="49" t="str">
        <f t="shared" si="2"/>
        <v>02688</v>
      </c>
    </row>
    <row r="2622">
      <c r="A2622" s="48" t="s">
        <v>4692</v>
      </c>
      <c r="B2622" s="38">
        <v>35255.0</v>
      </c>
      <c r="C2622" s="38" t="s">
        <v>4693</v>
      </c>
      <c r="D2622" s="38" t="str">
        <f>IFERROR(__xludf.DUMMYFUNCTION("REGEXREPLACE(C2622,""-\d+(.*)|--\d+(.*)"","""")"),"SAINT-BENOIT-DES-ONDES")</f>
        <v>SAINT-BENOIT-DES-ONDES</v>
      </c>
      <c r="E2622" s="38" t="s">
        <v>347</v>
      </c>
      <c r="F2622" s="38" t="s">
        <v>90</v>
      </c>
      <c r="G2622" s="49" t="str">
        <f t="shared" si="1"/>
        <v>35114</v>
      </c>
      <c r="H2622" s="49">
        <f t="shared" si="2"/>
        <v>35255</v>
      </c>
    </row>
    <row r="2623">
      <c r="A2623" s="48" t="s">
        <v>127</v>
      </c>
      <c r="B2623" s="38">
        <v>51549.0</v>
      </c>
      <c r="C2623" s="38" t="s">
        <v>4694</v>
      </c>
      <c r="D2623" s="38" t="str">
        <f>IFERROR(__xludf.DUMMYFUNCTION("REGEXREPLACE(C2623,""-\d+(.*)|--\d+(.*)"","""")"),"SOMME-YEVRE")</f>
        <v>SOMME-YEVRE</v>
      </c>
      <c r="E2623" s="38" t="s">
        <v>129</v>
      </c>
      <c r="F2623" s="38" t="s">
        <v>130</v>
      </c>
      <c r="G2623" s="49" t="str">
        <f t="shared" si="1"/>
        <v>51330</v>
      </c>
      <c r="H2623" s="49">
        <f t="shared" si="2"/>
        <v>51549</v>
      </c>
    </row>
    <row r="2624">
      <c r="A2624" s="48" t="s">
        <v>4695</v>
      </c>
      <c r="B2624" s="38">
        <v>36111.0</v>
      </c>
      <c r="C2624" s="38" t="s">
        <v>4696</v>
      </c>
      <c r="D2624" s="38" t="str">
        <f>IFERROR(__xludf.DUMMYFUNCTION("REGEXREPLACE(C2624,""-\d+(.*)|--\d+(.*)"","""")"),"MALICORNAY")</f>
        <v>MALICORNAY</v>
      </c>
      <c r="E2624" s="38" t="s">
        <v>258</v>
      </c>
      <c r="F2624" s="38" t="s">
        <v>123</v>
      </c>
      <c r="G2624" s="49" t="str">
        <f t="shared" si="1"/>
        <v>36340</v>
      </c>
      <c r="H2624" s="49">
        <f t="shared" si="2"/>
        <v>36111</v>
      </c>
    </row>
    <row r="2625">
      <c r="A2625" s="48" t="s">
        <v>4697</v>
      </c>
      <c r="B2625" s="38">
        <v>67207.0</v>
      </c>
      <c r="C2625" s="38" t="s">
        <v>4698</v>
      </c>
      <c r="D2625" s="38" t="str">
        <f>IFERROR(__xludf.DUMMYFUNCTION("REGEXREPLACE(C2625,""-\d+(.*)|--\d+(.*)"","""")"),"HOHATZENHEIM")</f>
        <v>HOHATZENHEIM</v>
      </c>
      <c r="E2625" s="38" t="s">
        <v>210</v>
      </c>
      <c r="F2625" s="38" t="s">
        <v>151</v>
      </c>
      <c r="G2625" s="49" t="str">
        <f t="shared" si="1"/>
        <v>67170</v>
      </c>
      <c r="H2625" s="49">
        <f t="shared" si="2"/>
        <v>67207</v>
      </c>
    </row>
    <row r="2626">
      <c r="A2626" s="48" t="s">
        <v>4699</v>
      </c>
      <c r="B2626" s="38">
        <v>53146.0</v>
      </c>
      <c r="C2626" s="38" t="s">
        <v>4700</v>
      </c>
      <c r="D2626" s="38" t="str">
        <f>IFERROR(__xludf.DUMMYFUNCTION("REGEXREPLACE(C2626,""-\d+(.*)|--\d+(.*)"","""")"),"MARTIGNE-SUR-MAYENNE")</f>
        <v>MARTIGNE-SUR-MAYENNE</v>
      </c>
      <c r="E2626" s="38" t="s">
        <v>518</v>
      </c>
      <c r="F2626" s="38" t="s">
        <v>180</v>
      </c>
      <c r="G2626" s="49" t="str">
        <f t="shared" si="1"/>
        <v>53470</v>
      </c>
      <c r="H2626" s="49">
        <f t="shared" si="2"/>
        <v>53146</v>
      </c>
    </row>
    <row r="2627">
      <c r="A2627" s="48" t="s">
        <v>4701</v>
      </c>
      <c r="B2627" s="38">
        <v>62422.0</v>
      </c>
      <c r="C2627" s="38" t="s">
        <v>4702</v>
      </c>
      <c r="D2627" s="38" t="str">
        <f>IFERROR(__xludf.DUMMYFUNCTION("REGEXREPLACE(C2627,""-\d+(.*)|--\d+(.*)"","""")"),"HEBUTERNE")</f>
        <v>HEBUTERNE</v>
      </c>
      <c r="E2627" s="38" t="s">
        <v>109</v>
      </c>
      <c r="F2627" s="38" t="s">
        <v>86</v>
      </c>
      <c r="G2627" s="49" t="str">
        <f t="shared" si="1"/>
        <v>62111</v>
      </c>
      <c r="H2627" s="49">
        <f t="shared" si="2"/>
        <v>62422</v>
      </c>
    </row>
    <row r="2628">
      <c r="A2628" s="48" t="s">
        <v>4703</v>
      </c>
      <c r="B2628" s="38">
        <v>66104.0</v>
      </c>
      <c r="C2628" s="38" t="s">
        <v>4704</v>
      </c>
      <c r="D2628" s="38" t="str">
        <f>IFERROR(__xludf.DUMMYFUNCTION("REGEXREPLACE(C2628,""-\d+(.*)|--\d+(.*)"","""")"),"LOS MASOS")</f>
        <v>LOS MASOS</v>
      </c>
      <c r="E2628" s="38" t="s">
        <v>248</v>
      </c>
      <c r="F2628" s="38" t="s">
        <v>119</v>
      </c>
      <c r="G2628" s="49" t="str">
        <f t="shared" si="1"/>
        <v>66500</v>
      </c>
      <c r="H2628" s="49">
        <f t="shared" si="2"/>
        <v>66104</v>
      </c>
    </row>
    <row r="2629">
      <c r="A2629" s="48" t="s">
        <v>3391</v>
      </c>
      <c r="B2629" s="38">
        <v>14197.0</v>
      </c>
      <c r="C2629" s="38" t="s">
        <v>4705</v>
      </c>
      <c r="D2629" s="38" t="str">
        <f>IFERROR(__xludf.DUMMYFUNCTION("REGEXREPLACE(C2629,""-\d+(.*)|--\d+(.*)"","""")"),"CRESSERONS")</f>
        <v>CRESSERONS</v>
      </c>
      <c r="E2629" s="38" t="s">
        <v>137</v>
      </c>
      <c r="F2629" s="38" t="s">
        <v>138</v>
      </c>
      <c r="G2629" s="49" t="str">
        <f t="shared" si="1"/>
        <v>14440</v>
      </c>
      <c r="H2629" s="49">
        <f t="shared" si="2"/>
        <v>14197</v>
      </c>
    </row>
    <row r="2630">
      <c r="A2630" s="48" t="s">
        <v>4706</v>
      </c>
      <c r="B2630" s="38">
        <v>74146.0</v>
      </c>
      <c r="C2630" s="38" t="s">
        <v>4707</v>
      </c>
      <c r="D2630" s="38" t="str">
        <f>IFERROR(__xludf.DUMMYFUNCTION("REGEXREPLACE(C2630,""-\d+(.*)|--\d+(.*)"","""")"),"LARRINGES")</f>
        <v>LARRINGES</v>
      </c>
      <c r="E2630" s="38" t="s">
        <v>319</v>
      </c>
      <c r="F2630" s="38" t="s">
        <v>102</v>
      </c>
      <c r="G2630" s="49" t="str">
        <f t="shared" si="1"/>
        <v>74500</v>
      </c>
      <c r="H2630" s="49">
        <f t="shared" si="2"/>
        <v>74146</v>
      </c>
    </row>
    <row r="2631">
      <c r="A2631" s="48" t="s">
        <v>591</v>
      </c>
      <c r="B2631" s="38">
        <v>85044.0</v>
      </c>
      <c r="C2631" s="38" t="s">
        <v>4708</v>
      </c>
      <c r="D2631" s="38" t="str">
        <f>IFERROR(__xludf.DUMMYFUNCTION("REGEXREPLACE(C2631,""-\d+(.*)|--\d+(.*)"","""")"),"CHAIX")</f>
        <v>CHAIX</v>
      </c>
      <c r="E2631" s="38" t="s">
        <v>179</v>
      </c>
      <c r="F2631" s="38" t="s">
        <v>180</v>
      </c>
      <c r="G2631" s="49" t="str">
        <f t="shared" si="1"/>
        <v>85200</v>
      </c>
      <c r="H2631" s="49">
        <f t="shared" si="2"/>
        <v>85044</v>
      </c>
    </row>
    <row r="2632">
      <c r="A2632" s="48" t="s">
        <v>4709</v>
      </c>
      <c r="B2632" s="38">
        <v>95166.0</v>
      </c>
      <c r="C2632" s="38" t="s">
        <v>4710</v>
      </c>
      <c r="D2632" s="38" t="str">
        <f>IFERROR(__xludf.DUMMYFUNCTION("REGEXREPLACE(C2632,""-\d+(.*)|--\d+(.*)"","""")"),"CLERY-EN-VEXIN")</f>
        <v>CLERY-EN-VEXIN</v>
      </c>
      <c r="E2632" s="38" t="s">
        <v>541</v>
      </c>
      <c r="F2632" s="38" t="s">
        <v>245</v>
      </c>
      <c r="G2632" s="49" t="str">
        <f t="shared" si="1"/>
        <v>95420</v>
      </c>
      <c r="H2632" s="49">
        <f t="shared" si="2"/>
        <v>95166</v>
      </c>
    </row>
    <row r="2633">
      <c r="A2633" s="48" t="s">
        <v>4711</v>
      </c>
      <c r="B2633" s="38">
        <v>88244.0</v>
      </c>
      <c r="C2633" s="38" t="s">
        <v>4712</v>
      </c>
      <c r="D2633" s="38" t="str">
        <f>IFERROR(__xludf.DUMMYFUNCTION("REGEXREPLACE(C2633,""-\d+(.*)|--\d+(.*)"","""")"),"LA HOUSSIERE")</f>
        <v>LA HOUSSIERE</v>
      </c>
      <c r="E2633" s="38" t="s">
        <v>194</v>
      </c>
      <c r="F2633" s="38" t="s">
        <v>195</v>
      </c>
      <c r="G2633" s="49" t="str">
        <f t="shared" si="1"/>
        <v>88430</v>
      </c>
      <c r="H2633" s="49">
        <f t="shared" si="2"/>
        <v>88244</v>
      </c>
    </row>
    <row r="2634">
      <c r="A2634" s="48" t="s">
        <v>3488</v>
      </c>
      <c r="B2634" s="38">
        <v>67444.0</v>
      </c>
      <c r="C2634" s="38" t="s">
        <v>4713</v>
      </c>
      <c r="D2634" s="38" t="str">
        <f>IFERROR(__xludf.DUMMYFUNCTION("REGEXREPLACE(C2634,""-\d+(.*)|--\d+(.*)"","""")"),"SCHERLENHEIM")</f>
        <v>SCHERLENHEIM</v>
      </c>
      <c r="E2634" s="38" t="s">
        <v>210</v>
      </c>
      <c r="F2634" s="38" t="s">
        <v>151</v>
      </c>
      <c r="G2634" s="49" t="str">
        <f t="shared" si="1"/>
        <v>67270</v>
      </c>
      <c r="H2634" s="49">
        <f t="shared" si="2"/>
        <v>67444</v>
      </c>
    </row>
    <row r="2635">
      <c r="A2635" s="48" t="s">
        <v>1327</v>
      </c>
      <c r="B2635" s="38">
        <v>51014.0</v>
      </c>
      <c r="C2635" s="38" t="s">
        <v>4714</v>
      </c>
      <c r="D2635" s="38" t="str">
        <f>IFERROR(__xludf.DUMMYFUNCTION("REGEXREPLACE(C2635,""-\d+(.*)|--\d+(.*)"","""")"),"ARCIS-LE-PONSART")</f>
        <v>ARCIS-LE-PONSART</v>
      </c>
      <c r="E2635" s="38" t="s">
        <v>129</v>
      </c>
      <c r="F2635" s="38" t="s">
        <v>130</v>
      </c>
      <c r="G2635" s="49" t="str">
        <f t="shared" si="1"/>
        <v>51170</v>
      </c>
      <c r="H2635" s="49">
        <f t="shared" si="2"/>
        <v>51014</v>
      </c>
    </row>
    <row r="2636">
      <c r="A2636" s="48" t="s">
        <v>4715</v>
      </c>
      <c r="B2636" s="38">
        <v>74238.0</v>
      </c>
      <c r="C2636" s="38" t="s">
        <v>4716</v>
      </c>
      <c r="D2636" s="38" t="str">
        <f>IFERROR(__xludf.DUMMYFUNCTION("REGEXREPLACE(C2636,""-\d+(.*)|--\d+(.*)"","""")"),"SAINT-JEAN-D'AULPS")</f>
        <v>SAINT-JEAN-D'AULPS</v>
      </c>
      <c r="E2636" s="38" t="s">
        <v>319</v>
      </c>
      <c r="F2636" s="38" t="s">
        <v>102</v>
      </c>
      <c r="G2636" s="49" t="str">
        <f t="shared" si="1"/>
        <v>74430</v>
      </c>
      <c r="H2636" s="49">
        <f t="shared" si="2"/>
        <v>74238</v>
      </c>
    </row>
    <row r="2637">
      <c r="A2637" s="48" t="s">
        <v>4199</v>
      </c>
      <c r="B2637" s="38">
        <v>17038.0</v>
      </c>
      <c r="C2637" s="38" t="s">
        <v>4717</v>
      </c>
      <c r="D2637" s="38" t="str">
        <f>IFERROR(__xludf.DUMMYFUNCTION("REGEXREPLACE(C2637,""-\d+(.*)|--\d+(.*)"","""")"),"BEDENAC")</f>
        <v>BEDENAC</v>
      </c>
      <c r="E2637" s="38" t="s">
        <v>488</v>
      </c>
      <c r="F2637" s="38" t="s">
        <v>338</v>
      </c>
      <c r="G2637" s="49" t="str">
        <f t="shared" si="1"/>
        <v>17210</v>
      </c>
      <c r="H2637" s="49">
        <f t="shared" si="2"/>
        <v>17038</v>
      </c>
    </row>
    <row r="2638">
      <c r="A2638" s="48" t="s">
        <v>4718</v>
      </c>
      <c r="B2638" s="38">
        <v>79103.0</v>
      </c>
      <c r="C2638" s="38" t="s">
        <v>4719</v>
      </c>
      <c r="D2638" s="38" t="str">
        <f>IFERROR(__xludf.DUMMYFUNCTION("REGEXREPLACE(C2638,""-\d+(.*)|--\d+(.*)"","""")"),"COURLAY")</f>
        <v>COURLAY</v>
      </c>
      <c r="E2638" s="38" t="s">
        <v>337</v>
      </c>
      <c r="F2638" s="38" t="s">
        <v>338</v>
      </c>
      <c r="G2638" s="49" t="str">
        <f t="shared" si="1"/>
        <v>79440</v>
      </c>
      <c r="H2638" s="49">
        <f t="shared" si="2"/>
        <v>79103</v>
      </c>
    </row>
    <row r="2639">
      <c r="A2639" s="48" t="s">
        <v>3005</v>
      </c>
      <c r="B2639" s="38">
        <v>44073.0</v>
      </c>
      <c r="C2639" s="38" t="s">
        <v>4720</v>
      </c>
      <c r="D2639" s="38" t="str">
        <f>IFERROR(__xludf.DUMMYFUNCTION("REGEXREPLACE(C2639,""-\d+(.*)|--\d+(.*)"","""")"),"HERIC")</f>
        <v>HERIC</v>
      </c>
      <c r="E2639" s="38" t="s">
        <v>759</v>
      </c>
      <c r="F2639" s="38" t="s">
        <v>180</v>
      </c>
      <c r="G2639" s="49" t="str">
        <f t="shared" si="1"/>
        <v>44810</v>
      </c>
      <c r="H2639" s="49">
        <f t="shared" si="2"/>
        <v>44073</v>
      </c>
    </row>
    <row r="2640">
      <c r="A2640" s="48" t="s">
        <v>1174</v>
      </c>
      <c r="B2640" s="38">
        <v>51184.0</v>
      </c>
      <c r="C2640" s="38" t="s">
        <v>4721</v>
      </c>
      <c r="D2640" s="38" t="str">
        <f>IFERROR(__xludf.DUMMYFUNCTION("REGEXREPLACE(C2640,""-\d+(.*)|--\d+(.*)"","""")"),"COURDEMANGES")</f>
        <v>COURDEMANGES</v>
      </c>
      <c r="E2640" s="38" t="s">
        <v>129</v>
      </c>
      <c r="F2640" s="38" t="s">
        <v>130</v>
      </c>
      <c r="G2640" s="49" t="str">
        <f t="shared" si="1"/>
        <v>51300</v>
      </c>
      <c r="H2640" s="49">
        <f t="shared" si="2"/>
        <v>51184</v>
      </c>
    </row>
    <row r="2641">
      <c r="A2641" s="48" t="s">
        <v>4722</v>
      </c>
      <c r="B2641" s="38">
        <v>81283.0</v>
      </c>
      <c r="C2641" s="38" t="s">
        <v>4723</v>
      </c>
      <c r="D2641" s="38" t="str">
        <f>IFERROR(__xludf.DUMMYFUNCTION("REGEXREPLACE(C2641,""-\d+(.*)|--\d+(.*)"","""")"),"SENOUILLAC")</f>
        <v>SENOUILLAC</v>
      </c>
      <c r="E2641" s="38" t="s">
        <v>231</v>
      </c>
      <c r="F2641" s="38" t="s">
        <v>94</v>
      </c>
      <c r="G2641" s="49" t="str">
        <f t="shared" si="1"/>
        <v>81600</v>
      </c>
      <c r="H2641" s="49">
        <f t="shared" si="2"/>
        <v>81283</v>
      </c>
    </row>
    <row r="2642">
      <c r="A2642" s="48" t="s">
        <v>4724</v>
      </c>
      <c r="B2642" s="38">
        <v>59183.0</v>
      </c>
      <c r="C2642" s="38" t="s">
        <v>4725</v>
      </c>
      <c r="D2642" s="38" t="str">
        <f>IFERROR(__xludf.DUMMYFUNCTION("REGEXREPLACE(C2642,""-\d+(.*)|--\d+(.*)"","""")"),"DUNKERQUE")</f>
        <v>DUNKERQUE</v>
      </c>
      <c r="E2642" s="38" t="s">
        <v>85</v>
      </c>
      <c r="F2642" s="38" t="s">
        <v>86</v>
      </c>
      <c r="G2642" s="49" t="str">
        <f t="shared" si="1"/>
        <v>59140/59240/59430/59640/59279</v>
      </c>
      <c r="H2642" s="49">
        <f t="shared" si="2"/>
        <v>59183</v>
      </c>
    </row>
    <row r="2643">
      <c r="A2643" s="48" t="s">
        <v>3819</v>
      </c>
      <c r="B2643" s="38">
        <v>38245.0</v>
      </c>
      <c r="C2643" s="38" t="s">
        <v>3390</v>
      </c>
      <c r="D2643" s="38" t="str">
        <f>IFERROR(__xludf.DUMMYFUNCTION("REGEXREPLACE(C2643,""-\d+(.*)|--\d+(.*)"","""")"),"MONTAGNE")</f>
        <v>MONTAGNE</v>
      </c>
      <c r="E2643" s="38" t="s">
        <v>101</v>
      </c>
      <c r="F2643" s="38" t="s">
        <v>102</v>
      </c>
      <c r="G2643" s="49" t="str">
        <f t="shared" si="1"/>
        <v>38160</v>
      </c>
      <c r="H2643" s="49">
        <f t="shared" si="2"/>
        <v>38245</v>
      </c>
    </row>
    <row r="2644">
      <c r="A2644" s="48" t="s">
        <v>3217</v>
      </c>
      <c r="B2644" s="38">
        <v>22225.0</v>
      </c>
      <c r="C2644" s="38" t="s">
        <v>4726</v>
      </c>
      <c r="D2644" s="38" t="str">
        <f>IFERROR(__xludf.DUMMYFUNCTION("REGEXREPLACE(C2644,""-\d+(.*)|--\d+(.*)"","""")"),"PLOUMAGOAR")</f>
        <v>PLOUMAGOAR</v>
      </c>
      <c r="E2644" s="38" t="s">
        <v>89</v>
      </c>
      <c r="F2644" s="38" t="s">
        <v>90</v>
      </c>
      <c r="G2644" s="49" t="str">
        <f t="shared" si="1"/>
        <v>22970</v>
      </c>
      <c r="H2644" s="49">
        <f t="shared" si="2"/>
        <v>22225</v>
      </c>
    </row>
    <row r="2645">
      <c r="A2645" s="48" t="s">
        <v>2116</v>
      </c>
      <c r="B2645" s="38">
        <v>26278.0</v>
      </c>
      <c r="C2645" s="38" t="s">
        <v>4727</v>
      </c>
      <c r="D2645" s="38" t="str">
        <f>IFERROR(__xludf.DUMMYFUNCTION("REGEXREPLACE(C2645,""-\d+(.*)|--\d+(.*)"","""")"),"LA ROCHE-SUR-LE-BUIS")</f>
        <v>LA ROCHE-SUR-LE-BUIS</v>
      </c>
      <c r="E2645" s="38" t="s">
        <v>126</v>
      </c>
      <c r="F2645" s="38" t="s">
        <v>102</v>
      </c>
      <c r="G2645" s="49" t="str">
        <f t="shared" si="1"/>
        <v>26170</v>
      </c>
      <c r="H2645" s="49">
        <f t="shared" si="2"/>
        <v>26278</v>
      </c>
    </row>
    <row r="2646">
      <c r="A2646" s="48" t="s">
        <v>4728</v>
      </c>
      <c r="B2646" s="38">
        <v>37013.0</v>
      </c>
      <c r="C2646" s="38" t="s">
        <v>4729</v>
      </c>
      <c r="D2646" s="38" t="str">
        <f>IFERROR(__xludf.DUMMYFUNCTION("REGEXREPLACE(C2646,""-\d+(.*)|--\d+(.*)"","""")"),"AVRILLE-LES-PONCEAUX")</f>
        <v>AVRILLE-LES-PONCEAUX</v>
      </c>
      <c r="E2646" s="38" t="s">
        <v>205</v>
      </c>
      <c r="F2646" s="38" t="s">
        <v>123</v>
      </c>
      <c r="G2646" s="49" t="str">
        <f t="shared" si="1"/>
        <v>37340</v>
      </c>
      <c r="H2646" s="49">
        <f t="shared" si="2"/>
        <v>37013</v>
      </c>
    </row>
    <row r="2647">
      <c r="A2647" s="48" t="s">
        <v>4730</v>
      </c>
      <c r="B2647" s="38">
        <v>74169.0</v>
      </c>
      <c r="C2647" s="38" t="s">
        <v>4731</v>
      </c>
      <c r="D2647" s="38" t="str">
        <f>IFERROR(__xludf.DUMMYFUNCTION("REGEXREPLACE(C2647,""-\d+(.*)|--\d+(.*)"","""")"),"MARNAZ")</f>
        <v>MARNAZ</v>
      </c>
      <c r="E2647" s="38" t="s">
        <v>319</v>
      </c>
      <c r="F2647" s="38" t="s">
        <v>102</v>
      </c>
      <c r="G2647" s="49" t="str">
        <f t="shared" si="1"/>
        <v>74460</v>
      </c>
      <c r="H2647" s="49">
        <f t="shared" si="2"/>
        <v>74169</v>
      </c>
    </row>
    <row r="2648">
      <c r="A2648" s="48" t="s">
        <v>2905</v>
      </c>
      <c r="B2648" s="38">
        <v>21184.0</v>
      </c>
      <c r="C2648" s="38" t="s">
        <v>4732</v>
      </c>
      <c r="D2648" s="38" t="str">
        <f>IFERROR(__xludf.DUMMYFUNCTION("REGEXREPLACE(C2648,""-\d+(.*)|--\d+(.*)"","""")"),"COLOMBIER")</f>
        <v>COLOMBIER</v>
      </c>
      <c r="E2648" s="38" t="s">
        <v>105</v>
      </c>
      <c r="F2648" s="38" t="s">
        <v>106</v>
      </c>
      <c r="G2648" s="49" t="str">
        <f t="shared" si="1"/>
        <v>21360</v>
      </c>
      <c r="H2648" s="49">
        <f t="shared" si="2"/>
        <v>21184</v>
      </c>
    </row>
    <row r="2649">
      <c r="A2649" s="48" t="s">
        <v>4733</v>
      </c>
      <c r="B2649" s="38">
        <v>38348.0</v>
      </c>
      <c r="C2649" s="38" t="s">
        <v>4734</v>
      </c>
      <c r="D2649" s="38" t="str">
        <f>IFERROR(__xludf.DUMMYFUNCTION("REGEXREPLACE(C2649,""-\d+(.*)|--\d+(.*)"","""")"),"RUY")</f>
        <v>RUY</v>
      </c>
      <c r="E2649" s="38" t="s">
        <v>101</v>
      </c>
      <c r="F2649" s="38" t="s">
        <v>102</v>
      </c>
      <c r="G2649" s="49" t="str">
        <f t="shared" si="1"/>
        <v>38300</v>
      </c>
      <c r="H2649" s="49">
        <f t="shared" si="2"/>
        <v>38348</v>
      </c>
    </row>
    <row r="2650">
      <c r="A2650" s="48" t="s">
        <v>3238</v>
      </c>
      <c r="B2650" s="38">
        <v>61100.0</v>
      </c>
      <c r="C2650" s="38" t="s">
        <v>4735</v>
      </c>
      <c r="D2650" s="38" t="str">
        <f>IFERROR(__xludf.DUMMYFUNCTION("REGEXREPLACE(C2650,""-\d+(.*)|--\d+(.*)"","""")"),"LA CHAPELLE-VIEL")</f>
        <v>LA CHAPELLE-VIEL</v>
      </c>
      <c r="E2650" s="38" t="s">
        <v>141</v>
      </c>
      <c r="F2650" s="38" t="s">
        <v>138</v>
      </c>
      <c r="G2650" s="49" t="str">
        <f t="shared" si="1"/>
        <v>61270</v>
      </c>
      <c r="H2650" s="49">
        <f t="shared" si="2"/>
        <v>61100</v>
      </c>
    </row>
    <row r="2651">
      <c r="A2651" s="48" t="s">
        <v>4736</v>
      </c>
      <c r="B2651" s="38">
        <v>78455.0</v>
      </c>
      <c r="C2651" s="38" t="s">
        <v>4737</v>
      </c>
      <c r="D2651" s="38" t="str">
        <f>IFERROR(__xludf.DUMMYFUNCTION("REGEXREPLACE(C2651,""-\d+(.*)|--\d+(.*)"","""")"),"NOISY-LE-ROI")</f>
        <v>NOISY-LE-ROI</v>
      </c>
      <c r="E2651" s="38" t="s">
        <v>362</v>
      </c>
      <c r="F2651" s="38" t="s">
        <v>245</v>
      </c>
      <c r="G2651" s="49" t="str">
        <f t="shared" si="1"/>
        <v>78590</v>
      </c>
      <c r="H2651" s="49">
        <f t="shared" si="2"/>
        <v>78455</v>
      </c>
    </row>
    <row r="2652">
      <c r="A2652" s="48" t="s">
        <v>4738</v>
      </c>
      <c r="B2652" s="38">
        <v>53051.0</v>
      </c>
      <c r="C2652" s="38" t="s">
        <v>4739</v>
      </c>
      <c r="D2652" s="38" t="str">
        <f>IFERROR(__xludf.DUMMYFUNCTION("REGEXREPLACE(C2652,""-\d+(.*)|--\d+(.*)"","""")"),"CHAMPEON")</f>
        <v>CHAMPEON</v>
      </c>
      <c r="E2652" s="38" t="s">
        <v>518</v>
      </c>
      <c r="F2652" s="38" t="s">
        <v>180</v>
      </c>
      <c r="G2652" s="49" t="str">
        <f t="shared" si="1"/>
        <v>53640</v>
      </c>
      <c r="H2652" s="49">
        <f t="shared" si="2"/>
        <v>53051</v>
      </c>
    </row>
    <row r="2653">
      <c r="A2653" s="48" t="s">
        <v>1214</v>
      </c>
      <c r="B2653" s="38">
        <v>56092.0</v>
      </c>
      <c r="C2653" s="38" t="s">
        <v>4740</v>
      </c>
      <c r="D2653" s="38" t="str">
        <f>IFERROR(__xludf.DUMMYFUNCTION("REGEXREPLACE(C2653,""-\d+(.*)|--\d+(.*)"","""")"),"KERFOURN")</f>
        <v>KERFOURN</v>
      </c>
      <c r="E2653" s="38" t="s">
        <v>173</v>
      </c>
      <c r="F2653" s="38" t="s">
        <v>90</v>
      </c>
      <c r="G2653" s="49" t="str">
        <f t="shared" si="1"/>
        <v>56920</v>
      </c>
      <c r="H2653" s="49">
        <f t="shared" si="2"/>
        <v>56092</v>
      </c>
    </row>
    <row r="2654">
      <c r="A2654" s="48" t="s">
        <v>4741</v>
      </c>
      <c r="B2654" s="38">
        <v>56008.0</v>
      </c>
      <c r="C2654" s="38" t="s">
        <v>4742</v>
      </c>
      <c r="D2654" s="38" t="str">
        <f>IFERROR(__xludf.DUMMYFUNCTION("REGEXREPLACE(C2654,""-\d+(.*)|--\d+(.*)"","""")"),"BADEN")</f>
        <v>BADEN</v>
      </c>
      <c r="E2654" s="38" t="s">
        <v>173</v>
      </c>
      <c r="F2654" s="38" t="s">
        <v>90</v>
      </c>
      <c r="G2654" s="49" t="str">
        <f t="shared" si="1"/>
        <v>56870</v>
      </c>
      <c r="H2654" s="49">
        <f t="shared" si="2"/>
        <v>56008</v>
      </c>
    </row>
    <row r="2655">
      <c r="A2655" s="48" t="s">
        <v>3904</v>
      </c>
      <c r="B2655" s="38">
        <v>43229.0</v>
      </c>
      <c r="C2655" s="38" t="s">
        <v>4743</v>
      </c>
      <c r="D2655" s="38" t="str">
        <f>IFERROR(__xludf.DUMMYFUNCTION("REGEXREPLACE(C2655,""-\d+(.*)|--\d+(.*)"","""")"),"SAINT-VIDAL")</f>
        <v>SAINT-VIDAL</v>
      </c>
      <c r="E2655" s="38" t="s">
        <v>332</v>
      </c>
      <c r="F2655" s="38" t="s">
        <v>161</v>
      </c>
      <c r="G2655" s="49" t="str">
        <f t="shared" si="1"/>
        <v>43320</v>
      </c>
      <c r="H2655" s="49">
        <f t="shared" si="2"/>
        <v>43229</v>
      </c>
    </row>
    <row r="2656">
      <c r="A2656" s="48" t="s">
        <v>1540</v>
      </c>
      <c r="B2656" s="38">
        <v>70358.0</v>
      </c>
      <c r="C2656" s="38" t="s">
        <v>4744</v>
      </c>
      <c r="D2656" s="38" t="str">
        <f>IFERROR(__xludf.DUMMYFUNCTION("REGEXREPLACE(C2656,""-\d+(.*)|--\d+(.*)"","""")"),"MONTCEY")</f>
        <v>MONTCEY</v>
      </c>
      <c r="E2656" s="38" t="s">
        <v>956</v>
      </c>
      <c r="F2656" s="38" t="s">
        <v>214</v>
      </c>
      <c r="G2656" s="49" t="str">
        <f t="shared" si="1"/>
        <v>70000</v>
      </c>
      <c r="H2656" s="49">
        <f t="shared" si="2"/>
        <v>70358</v>
      </c>
    </row>
    <row r="2657">
      <c r="A2657" s="48" t="s">
        <v>4745</v>
      </c>
      <c r="B2657" s="38">
        <v>1133.0</v>
      </c>
      <c r="C2657" s="38" t="s">
        <v>4746</v>
      </c>
      <c r="D2657" s="38" t="str">
        <f>IFERROR(__xludf.DUMMYFUNCTION("REGEXREPLACE(C2657,""-\d+(.*)|--\d+(.*)"","""")"),"CRESSIN-ROCHEFORT")</f>
        <v>CRESSIN-ROCHEFORT</v>
      </c>
      <c r="E2657" s="38" t="s">
        <v>255</v>
      </c>
      <c r="F2657" s="38" t="s">
        <v>102</v>
      </c>
      <c r="G2657" s="49" t="str">
        <f t="shared" si="1"/>
        <v>01350</v>
      </c>
      <c r="H2657" s="49" t="str">
        <f t="shared" si="2"/>
        <v>01133</v>
      </c>
    </row>
    <row r="2658">
      <c r="A2658" s="48" t="s">
        <v>771</v>
      </c>
      <c r="B2658" s="38">
        <v>60632.0</v>
      </c>
      <c r="C2658" s="38" t="s">
        <v>4747</v>
      </c>
      <c r="D2658" s="38" t="str">
        <f>IFERROR(__xludf.DUMMYFUNCTION("REGEXREPLACE(C2658,""-\d+(.*)|--\d+(.*)"","""")"),"THIESCOURT")</f>
        <v>THIESCOURT</v>
      </c>
      <c r="E2658" s="38" t="s">
        <v>112</v>
      </c>
      <c r="F2658" s="38" t="s">
        <v>113</v>
      </c>
      <c r="G2658" s="49" t="str">
        <f t="shared" si="1"/>
        <v>60310</v>
      </c>
      <c r="H2658" s="49">
        <f t="shared" si="2"/>
        <v>60632</v>
      </c>
    </row>
    <row r="2659">
      <c r="A2659" s="48" t="s">
        <v>4748</v>
      </c>
      <c r="B2659" s="38">
        <v>77257.0</v>
      </c>
      <c r="C2659" s="38" t="s">
        <v>4749</v>
      </c>
      <c r="D2659" s="38" t="str">
        <f>IFERROR(__xludf.DUMMYFUNCTION("REGEXREPLACE(C2659,""-\d+(.*)|--\d+(.*)"","""")"),"LIZY-SUR-OURCQ")</f>
        <v>LIZY-SUR-OURCQ</v>
      </c>
      <c r="E2659" s="38" t="s">
        <v>244</v>
      </c>
      <c r="F2659" s="38" t="s">
        <v>245</v>
      </c>
      <c r="G2659" s="49" t="str">
        <f t="shared" si="1"/>
        <v>77440</v>
      </c>
      <c r="H2659" s="49">
        <f t="shared" si="2"/>
        <v>77257</v>
      </c>
    </row>
    <row r="2660">
      <c r="A2660" s="48" t="s">
        <v>4750</v>
      </c>
      <c r="B2660" s="38">
        <v>56101.0</v>
      </c>
      <c r="C2660" s="38" t="s">
        <v>4751</v>
      </c>
      <c r="D2660" s="38" t="str">
        <f>IFERROR(__xludf.DUMMYFUNCTION("REGEXREPLACE(C2660,""-\d+(.*)|--\d+(.*)"","""")"),"LANGUIDIC")</f>
        <v>LANGUIDIC</v>
      </c>
      <c r="E2660" s="38" t="s">
        <v>173</v>
      </c>
      <c r="F2660" s="38" t="s">
        <v>90</v>
      </c>
      <c r="G2660" s="49" t="str">
        <f t="shared" si="1"/>
        <v>56440</v>
      </c>
      <c r="H2660" s="49">
        <f t="shared" si="2"/>
        <v>56101</v>
      </c>
    </row>
    <row r="2661">
      <c r="A2661" s="48" t="s">
        <v>4752</v>
      </c>
      <c r="B2661" s="38">
        <v>33099.0</v>
      </c>
      <c r="C2661" s="38" t="s">
        <v>4753</v>
      </c>
      <c r="D2661" s="38" t="str">
        <f>IFERROR(__xludf.DUMMYFUNCTION("REGEXREPLACE(C2661,""-\d+(.*)|--\d+(.*)"","""")"),"CARIGNAN-DE-BORDEAUX")</f>
        <v>CARIGNAN-DE-BORDEAUX</v>
      </c>
      <c r="E2661" s="38" t="s">
        <v>462</v>
      </c>
      <c r="F2661" s="38" t="s">
        <v>252</v>
      </c>
      <c r="G2661" s="49" t="str">
        <f t="shared" si="1"/>
        <v>33360</v>
      </c>
      <c r="H2661" s="49">
        <f t="shared" si="2"/>
        <v>33099</v>
      </c>
    </row>
    <row r="2662">
      <c r="A2662" s="48" t="s">
        <v>4754</v>
      </c>
      <c r="B2662" s="38">
        <v>12032.0</v>
      </c>
      <c r="C2662" s="38" t="s">
        <v>4755</v>
      </c>
      <c r="D2662" s="38" t="str">
        <f>IFERROR(__xludf.DUMMYFUNCTION("REGEXREPLACE(C2662,""-\d+(.*)|--\d+(.*)"","""")"),"BOUSSAC")</f>
        <v>BOUSSAC</v>
      </c>
      <c r="E2662" s="38" t="s">
        <v>465</v>
      </c>
      <c r="F2662" s="38" t="s">
        <v>94</v>
      </c>
      <c r="G2662" s="49" t="str">
        <f t="shared" si="1"/>
        <v>12160</v>
      </c>
      <c r="H2662" s="49">
        <f t="shared" si="2"/>
        <v>12032</v>
      </c>
    </row>
    <row r="2663">
      <c r="A2663" s="48" t="s">
        <v>3116</v>
      </c>
      <c r="B2663" s="38">
        <v>91544.0</v>
      </c>
      <c r="C2663" s="38" t="s">
        <v>4756</v>
      </c>
      <c r="D2663" s="38" t="str">
        <f>IFERROR(__xludf.DUMMYFUNCTION("REGEXREPLACE(C2663,""-\d+(.*)|--\d+(.*)"","""")"),"SAINT-CYR-LA-RIVIERE")</f>
        <v>SAINT-CYR-LA-RIVIERE</v>
      </c>
      <c r="E2663" s="38" t="s">
        <v>756</v>
      </c>
      <c r="F2663" s="38" t="s">
        <v>245</v>
      </c>
      <c r="G2663" s="49" t="str">
        <f t="shared" si="1"/>
        <v>91690</v>
      </c>
      <c r="H2663" s="49">
        <f t="shared" si="2"/>
        <v>91544</v>
      </c>
    </row>
    <row r="2664">
      <c r="A2664" s="48" t="s">
        <v>1964</v>
      </c>
      <c r="B2664" s="38">
        <v>26289.0</v>
      </c>
      <c r="C2664" s="38" t="s">
        <v>4757</v>
      </c>
      <c r="D2664" s="38" t="str">
        <f>IFERROR(__xludf.DUMMYFUNCTION("REGEXREPLACE(C2664,""-\d+(.*)|--\d+(.*)"","""")"),"SAILLANS")</f>
        <v>SAILLANS</v>
      </c>
      <c r="E2664" s="38" t="s">
        <v>126</v>
      </c>
      <c r="F2664" s="38" t="s">
        <v>102</v>
      </c>
      <c r="G2664" s="49" t="str">
        <f t="shared" si="1"/>
        <v>26340</v>
      </c>
      <c r="H2664" s="49">
        <f t="shared" si="2"/>
        <v>26289</v>
      </c>
    </row>
    <row r="2665">
      <c r="A2665" s="48" t="s">
        <v>721</v>
      </c>
      <c r="B2665" s="38">
        <v>14622.0</v>
      </c>
      <c r="C2665" s="38" t="s">
        <v>4758</v>
      </c>
      <c r="D2665" s="38" t="str">
        <f>IFERROR(__xludf.DUMMYFUNCTION("REGEXREPLACE(C2665,""-\d+(.*)|--\d+(.*)"","""")"),"SAINT-MARTIN-DE-BLAGNY")</f>
        <v>SAINT-MARTIN-DE-BLAGNY</v>
      </c>
      <c r="E2665" s="38" t="s">
        <v>137</v>
      </c>
      <c r="F2665" s="38" t="s">
        <v>138</v>
      </c>
      <c r="G2665" s="49" t="str">
        <f t="shared" si="1"/>
        <v>14710</v>
      </c>
      <c r="H2665" s="49">
        <f t="shared" si="2"/>
        <v>14622</v>
      </c>
    </row>
    <row r="2666">
      <c r="A2666" s="48" t="s">
        <v>4123</v>
      </c>
      <c r="B2666" s="38">
        <v>60084.0</v>
      </c>
      <c r="C2666" s="38" t="s">
        <v>4759</v>
      </c>
      <c r="D2666" s="38" t="str">
        <f>IFERROR(__xludf.DUMMYFUNCTION("REGEXREPLACE(C2666,""-\d+(.*)|--\d+(.*)"","""")"),"BONNIERES")</f>
        <v>BONNIERES</v>
      </c>
      <c r="E2666" s="38" t="s">
        <v>112</v>
      </c>
      <c r="F2666" s="38" t="s">
        <v>113</v>
      </c>
      <c r="G2666" s="49" t="str">
        <f t="shared" si="1"/>
        <v>60112</v>
      </c>
      <c r="H2666" s="49">
        <f t="shared" si="2"/>
        <v>60084</v>
      </c>
    </row>
    <row r="2667">
      <c r="A2667" s="48" t="s">
        <v>4760</v>
      </c>
      <c r="B2667" s="38">
        <v>59421.0</v>
      </c>
      <c r="C2667" s="38" t="s">
        <v>4761</v>
      </c>
      <c r="D2667" s="38" t="str">
        <f>IFERROR(__xludf.DUMMYFUNCTION("REGEXREPLACE(C2667,""-\d+(.*)|--\d+(.*)"","""")"),"MOUVAUX")</f>
        <v>MOUVAUX</v>
      </c>
      <c r="E2667" s="38" t="s">
        <v>85</v>
      </c>
      <c r="F2667" s="38" t="s">
        <v>86</v>
      </c>
      <c r="G2667" s="49" t="str">
        <f t="shared" si="1"/>
        <v>59420</v>
      </c>
      <c r="H2667" s="49">
        <f t="shared" si="2"/>
        <v>59421</v>
      </c>
    </row>
    <row r="2668">
      <c r="A2668" s="48" t="s">
        <v>4599</v>
      </c>
      <c r="B2668" s="38">
        <v>70119.0</v>
      </c>
      <c r="C2668" s="38" t="s">
        <v>4762</v>
      </c>
      <c r="D2668" s="38" t="str">
        <f>IFERROR(__xludf.DUMMYFUNCTION("REGEXREPLACE(C2668,""-\d+(.*)|--\d+(.*)"","""")"),"CHAMBORNAY-LES-PIN")</f>
        <v>CHAMBORNAY-LES-PIN</v>
      </c>
      <c r="E2668" s="38" t="s">
        <v>956</v>
      </c>
      <c r="F2668" s="38" t="s">
        <v>214</v>
      </c>
      <c r="G2668" s="49" t="str">
        <f t="shared" si="1"/>
        <v>70150</v>
      </c>
      <c r="H2668" s="49">
        <f t="shared" si="2"/>
        <v>70119</v>
      </c>
    </row>
    <row r="2669">
      <c r="A2669" s="48" t="s">
        <v>4605</v>
      </c>
      <c r="B2669" s="38">
        <v>39150.0</v>
      </c>
      <c r="C2669" s="38" t="s">
        <v>4763</v>
      </c>
      <c r="D2669" s="38" t="str">
        <f>IFERROR(__xludf.DUMMYFUNCTION("REGEXREPLACE(C2669,""-\d+(.*)|--\d+(.*)"","""")"),"CHOISEY")</f>
        <v>CHOISEY</v>
      </c>
      <c r="E2669" s="38" t="s">
        <v>400</v>
      </c>
      <c r="F2669" s="38" t="s">
        <v>214</v>
      </c>
      <c r="G2669" s="49" t="str">
        <f t="shared" si="1"/>
        <v>39100</v>
      </c>
      <c r="H2669" s="49">
        <f t="shared" si="2"/>
        <v>39150</v>
      </c>
    </row>
    <row r="2670">
      <c r="A2670" s="48" t="s">
        <v>4764</v>
      </c>
      <c r="B2670" s="38">
        <v>63463.0</v>
      </c>
      <c r="C2670" s="38" t="s">
        <v>4765</v>
      </c>
      <c r="D2670" s="38" t="str">
        <f>IFERROR(__xludf.DUMMYFUNCTION("REGEXREPLACE(C2670,""-\d+(.*)|--\d+(.*)"","""")"),"VISCOMTAT")</f>
        <v>VISCOMTAT</v>
      </c>
      <c r="E2670" s="38" t="s">
        <v>353</v>
      </c>
      <c r="F2670" s="38" t="s">
        <v>161</v>
      </c>
      <c r="G2670" s="49" t="str">
        <f t="shared" si="1"/>
        <v>63250</v>
      </c>
      <c r="H2670" s="49">
        <f t="shared" si="2"/>
        <v>63463</v>
      </c>
    </row>
    <row r="2671">
      <c r="A2671" s="48" t="s">
        <v>4766</v>
      </c>
      <c r="B2671" s="38">
        <v>64073.0</v>
      </c>
      <c r="C2671" s="38" t="s">
        <v>4767</v>
      </c>
      <c r="D2671" s="38" t="str">
        <f>IFERROR(__xludf.DUMMYFUNCTION("REGEXREPLACE(C2671,""-\d+(.*)|--\d+(.*)"","""")"),"AUBIN")</f>
        <v>AUBIN</v>
      </c>
      <c r="E2671" s="38" t="s">
        <v>268</v>
      </c>
      <c r="F2671" s="38" t="s">
        <v>252</v>
      </c>
      <c r="G2671" s="49" t="str">
        <f t="shared" si="1"/>
        <v>64230</v>
      </c>
      <c r="H2671" s="49">
        <f t="shared" si="2"/>
        <v>64073</v>
      </c>
    </row>
    <row r="2672">
      <c r="A2672" s="48" t="s">
        <v>4768</v>
      </c>
      <c r="B2672" s="38">
        <v>6075.0</v>
      </c>
      <c r="C2672" s="38" t="s">
        <v>4769</v>
      </c>
      <c r="D2672" s="38" t="str">
        <f>IFERROR(__xludf.DUMMYFUNCTION("REGEXREPLACE(C2672,""-\d+(.*)|--\d+(.*)"","""")"),"LEVENS")</f>
        <v>LEVENS</v>
      </c>
      <c r="E2672" s="38" t="s">
        <v>227</v>
      </c>
      <c r="F2672" s="38" t="s">
        <v>228</v>
      </c>
      <c r="G2672" s="49" t="str">
        <f t="shared" si="1"/>
        <v>06670</v>
      </c>
      <c r="H2672" s="49" t="str">
        <f t="shared" si="2"/>
        <v>06075</v>
      </c>
    </row>
    <row r="2673">
      <c r="A2673" s="48" t="s">
        <v>2389</v>
      </c>
      <c r="B2673" s="38">
        <v>64555.0</v>
      </c>
      <c r="C2673" s="38" t="s">
        <v>4770</v>
      </c>
      <c r="D2673" s="38" t="str">
        <f>IFERROR(__xludf.DUMMYFUNCTION("REGEXREPLACE(C2673,""-\d+(.*)|--\d+(.*)"","""")"),"VIELLENAVE-DE-NAVARRENX")</f>
        <v>VIELLENAVE-DE-NAVARRENX</v>
      </c>
      <c r="E2673" s="38" t="s">
        <v>268</v>
      </c>
      <c r="F2673" s="38" t="s">
        <v>252</v>
      </c>
      <c r="G2673" s="49" t="str">
        <f t="shared" si="1"/>
        <v>64190</v>
      </c>
      <c r="H2673" s="49">
        <f t="shared" si="2"/>
        <v>64555</v>
      </c>
    </row>
    <row r="2674">
      <c r="A2674" s="48" t="s">
        <v>889</v>
      </c>
      <c r="B2674" s="38">
        <v>30324.0</v>
      </c>
      <c r="C2674" s="38" t="s">
        <v>4771</v>
      </c>
      <c r="D2674" s="38" t="str">
        <f>IFERROR(__xludf.DUMMYFUNCTION("REGEXREPLACE(C2674,""-\d+(.*)|--\d+(.*)"","""")"),"SOUVIGNARGUES")</f>
        <v>SOUVIGNARGUES</v>
      </c>
      <c r="E2674" s="38" t="s">
        <v>526</v>
      </c>
      <c r="F2674" s="38" t="s">
        <v>119</v>
      </c>
      <c r="G2674" s="49" t="str">
        <f t="shared" si="1"/>
        <v>30250</v>
      </c>
      <c r="H2674" s="49">
        <f t="shared" si="2"/>
        <v>30324</v>
      </c>
    </row>
    <row r="2675">
      <c r="A2675" s="48" t="s">
        <v>4420</v>
      </c>
      <c r="B2675" s="38">
        <v>31511.0</v>
      </c>
      <c r="C2675" s="38" t="s">
        <v>4772</v>
      </c>
      <c r="D2675" s="38" t="str">
        <f>IFERROR(__xludf.DUMMYFUNCTION("REGEXREPLACE(C2675,""-\d+(.*)|--\d+(.*)"","""")"),"SAINT-PIERRE")</f>
        <v>SAINT-PIERRE</v>
      </c>
      <c r="E2675" s="38" t="s">
        <v>93</v>
      </c>
      <c r="F2675" s="38" t="s">
        <v>94</v>
      </c>
      <c r="G2675" s="49" t="str">
        <f t="shared" si="1"/>
        <v>31590</v>
      </c>
      <c r="H2675" s="49">
        <f t="shared" si="2"/>
        <v>31511</v>
      </c>
    </row>
    <row r="2676">
      <c r="A2676" s="48" t="s">
        <v>4773</v>
      </c>
      <c r="B2676" s="38">
        <v>87034.0</v>
      </c>
      <c r="C2676" s="38" t="s">
        <v>4774</v>
      </c>
      <c r="D2676" s="38" t="str">
        <f>IFERROR(__xludf.DUMMYFUNCTION("REGEXREPLACE(C2676,""-\d+(.*)|--\d+(.*)"","""")"),"CHAMPAGNAC-LA-RIVIERE")</f>
        <v>CHAMPAGNAC-LA-RIVIERE</v>
      </c>
      <c r="E2676" s="38" t="s">
        <v>897</v>
      </c>
      <c r="F2676" s="38" t="s">
        <v>98</v>
      </c>
      <c r="G2676" s="49" t="str">
        <f t="shared" si="1"/>
        <v>87150</v>
      </c>
      <c r="H2676" s="49">
        <f t="shared" si="2"/>
        <v>87034</v>
      </c>
    </row>
    <row r="2677">
      <c r="A2677" s="48" t="s">
        <v>4775</v>
      </c>
      <c r="B2677" s="38">
        <v>12291.0</v>
      </c>
      <c r="C2677" s="38" t="s">
        <v>3348</v>
      </c>
      <c r="D2677" s="38" t="str">
        <f>IFERROR(__xludf.DUMMYFUNCTION("REGEXREPLACE(C2677,""-\d+(.*)|--\d+(.*)"","""")"),"VERRIERES")</f>
        <v>VERRIERES</v>
      </c>
      <c r="E2677" s="38" t="s">
        <v>465</v>
      </c>
      <c r="F2677" s="38" t="s">
        <v>94</v>
      </c>
      <c r="G2677" s="49" t="str">
        <f t="shared" si="1"/>
        <v>12520</v>
      </c>
      <c r="H2677" s="49">
        <f t="shared" si="2"/>
        <v>12291</v>
      </c>
    </row>
    <row r="2678">
      <c r="A2678" s="48" t="s">
        <v>2600</v>
      </c>
      <c r="B2678" s="38">
        <v>60291.0</v>
      </c>
      <c r="C2678" s="38" t="s">
        <v>4776</v>
      </c>
      <c r="D2678" s="38" t="str">
        <f>IFERROR(__xludf.DUMMYFUNCTION("REGEXREPLACE(C2678,""-\d+(.*)|--\d+(.*)"","""")"),"GUISCARD")</f>
        <v>GUISCARD</v>
      </c>
      <c r="E2678" s="38" t="s">
        <v>112</v>
      </c>
      <c r="F2678" s="38" t="s">
        <v>113</v>
      </c>
      <c r="G2678" s="49" t="str">
        <f t="shared" si="1"/>
        <v>60640</v>
      </c>
      <c r="H2678" s="49">
        <f t="shared" si="2"/>
        <v>60291</v>
      </c>
    </row>
    <row r="2679">
      <c r="A2679" s="48" t="s">
        <v>4777</v>
      </c>
      <c r="B2679" s="38">
        <v>97102.0</v>
      </c>
      <c r="C2679" s="38" t="s">
        <v>4778</v>
      </c>
      <c r="D2679" s="38" t="str">
        <f>IFERROR(__xludf.DUMMYFUNCTION("REGEXREPLACE(C2679,""-\d+(.*)|--\d+(.*)"","""")"),"ANSE-BERTRAND")</f>
        <v>ANSE-BERTRAND</v>
      </c>
      <c r="E2679" s="38" t="s">
        <v>2023</v>
      </c>
      <c r="F2679" s="38" t="s">
        <v>2023</v>
      </c>
      <c r="G2679" s="49" t="str">
        <f t="shared" si="1"/>
        <v>97121</v>
      </c>
      <c r="H2679" s="49">
        <f t="shared" si="2"/>
        <v>97102</v>
      </c>
    </row>
    <row r="2680">
      <c r="A2680" s="48" t="s">
        <v>4779</v>
      </c>
      <c r="B2680" s="38">
        <v>28180.0</v>
      </c>
      <c r="C2680" s="38" t="s">
        <v>4780</v>
      </c>
      <c r="D2680" s="38" t="str">
        <f>IFERROR(__xludf.DUMMYFUNCTION("REGEXREPLACE(C2680,""-\d+(.*)|--\d+(.*)"","""")"),"GILLES")</f>
        <v>GILLES</v>
      </c>
      <c r="E2680" s="38" t="s">
        <v>300</v>
      </c>
      <c r="F2680" s="38" t="s">
        <v>123</v>
      </c>
      <c r="G2680" s="49" t="str">
        <f t="shared" si="1"/>
        <v>28260</v>
      </c>
      <c r="H2680" s="49">
        <f t="shared" si="2"/>
        <v>28180</v>
      </c>
    </row>
    <row r="2681">
      <c r="A2681" s="48" t="s">
        <v>3892</v>
      </c>
      <c r="B2681" s="38">
        <v>42216.0</v>
      </c>
      <c r="C2681" s="38" t="s">
        <v>4781</v>
      </c>
      <c r="D2681" s="38" t="str">
        <f>IFERROR(__xludf.DUMMYFUNCTION("REGEXREPLACE(C2681,""-\d+(.*)|--\d+(.*)"","""")"),"SAINT-DENIS-SUR-COISE")</f>
        <v>SAINT-DENIS-SUR-COISE</v>
      </c>
      <c r="E2681" s="38" t="s">
        <v>166</v>
      </c>
      <c r="F2681" s="38" t="s">
        <v>102</v>
      </c>
      <c r="G2681" s="49" t="str">
        <f t="shared" si="1"/>
        <v>42140</v>
      </c>
      <c r="H2681" s="49">
        <f t="shared" si="2"/>
        <v>42216</v>
      </c>
    </row>
    <row r="2682">
      <c r="A2682" s="48" t="s">
        <v>630</v>
      </c>
      <c r="B2682" s="38">
        <v>15102.0</v>
      </c>
      <c r="C2682" s="38" t="s">
        <v>4782</v>
      </c>
      <c r="D2682" s="38" t="str">
        <f>IFERROR(__xludf.DUMMYFUNCTION("REGEXREPLACE(C2682,""-\d+(.*)|--\d+(.*)"","""")"),"LAVIGERIE")</f>
        <v>LAVIGERIE</v>
      </c>
      <c r="E2682" s="38" t="s">
        <v>632</v>
      </c>
      <c r="F2682" s="38" t="s">
        <v>161</v>
      </c>
      <c r="G2682" s="49" t="str">
        <f t="shared" si="1"/>
        <v>15300</v>
      </c>
      <c r="H2682" s="49">
        <f t="shared" si="2"/>
        <v>15102</v>
      </c>
    </row>
    <row r="2683">
      <c r="A2683" s="48" t="s">
        <v>1056</v>
      </c>
      <c r="B2683" s="38">
        <v>11046.0</v>
      </c>
      <c r="C2683" s="38" t="s">
        <v>4783</v>
      </c>
      <c r="D2683" s="38" t="str">
        <f>IFERROR(__xludf.DUMMYFUNCTION("REGEXREPLACE(C2683,""-\d+(.*)|--\d+(.*)"","""")"),"BOURIGEOLE")</f>
        <v>BOURIGEOLE</v>
      </c>
      <c r="E2683" s="38" t="s">
        <v>278</v>
      </c>
      <c r="F2683" s="38" t="s">
        <v>119</v>
      </c>
      <c r="G2683" s="49" t="str">
        <f t="shared" si="1"/>
        <v>11300</v>
      </c>
      <c r="H2683" s="49">
        <f t="shared" si="2"/>
        <v>11046</v>
      </c>
    </row>
    <row r="2684">
      <c r="A2684" s="48" t="s">
        <v>4784</v>
      </c>
      <c r="B2684" s="38">
        <v>24114.0</v>
      </c>
      <c r="C2684" s="38" t="s">
        <v>4785</v>
      </c>
      <c r="D2684" s="38" t="str">
        <f>IFERROR(__xludf.DUMMYFUNCTION("REGEXREPLACE(C2684,""-\d+(.*)|--\d+(.*)"","""")"),"CHASSAIGNES")</f>
        <v>CHASSAIGNES</v>
      </c>
      <c r="E2684" s="38" t="s">
        <v>261</v>
      </c>
      <c r="F2684" s="38" t="s">
        <v>252</v>
      </c>
      <c r="G2684" s="49" t="str">
        <f t="shared" si="1"/>
        <v>24600</v>
      </c>
      <c r="H2684" s="49">
        <f t="shared" si="2"/>
        <v>24114</v>
      </c>
    </row>
    <row r="2685">
      <c r="A2685" s="48" t="s">
        <v>4504</v>
      </c>
      <c r="B2685" s="38">
        <v>40137.0</v>
      </c>
      <c r="C2685" s="38" t="s">
        <v>4786</v>
      </c>
      <c r="D2685" s="38" t="str">
        <f>IFERROR(__xludf.DUMMYFUNCTION("REGEXREPLACE(C2685,""-\d+(.*)|--\d+(.*)"","""")"),"LACQUY")</f>
        <v>LACQUY</v>
      </c>
      <c r="E2685" s="38" t="s">
        <v>281</v>
      </c>
      <c r="F2685" s="38" t="s">
        <v>252</v>
      </c>
      <c r="G2685" s="49" t="str">
        <f t="shared" si="1"/>
        <v>40120</v>
      </c>
      <c r="H2685" s="49">
        <f t="shared" si="2"/>
        <v>40137</v>
      </c>
    </row>
    <row r="2686">
      <c r="A2686" s="48" t="s">
        <v>4787</v>
      </c>
      <c r="B2686" s="38">
        <v>62654.0</v>
      </c>
      <c r="C2686" s="38" t="s">
        <v>4788</v>
      </c>
      <c r="D2686" s="38" t="str">
        <f>IFERROR(__xludf.DUMMYFUNCTION("REGEXREPLACE(C2686,""-\d+(.*)|--\d+(.*)"","""")"),"PEUPLINGUES")</f>
        <v>PEUPLINGUES</v>
      </c>
      <c r="E2686" s="38" t="s">
        <v>109</v>
      </c>
      <c r="F2686" s="38" t="s">
        <v>86</v>
      </c>
      <c r="G2686" s="49" t="str">
        <f t="shared" si="1"/>
        <v>62231</v>
      </c>
      <c r="H2686" s="49">
        <f t="shared" si="2"/>
        <v>62654</v>
      </c>
    </row>
    <row r="2687">
      <c r="A2687" s="48" t="s">
        <v>298</v>
      </c>
      <c r="B2687" s="38">
        <v>28401.0</v>
      </c>
      <c r="C2687" s="38" t="s">
        <v>4789</v>
      </c>
      <c r="D2687" s="38" t="str">
        <f>IFERROR(__xludf.DUMMYFUNCTION("REGEXREPLACE(C2687,""-\d+(.*)|--\d+(.*)"","""")"),"VAUPILLON")</f>
        <v>VAUPILLON</v>
      </c>
      <c r="E2687" s="38" t="s">
        <v>300</v>
      </c>
      <c r="F2687" s="38" t="s">
        <v>123</v>
      </c>
      <c r="G2687" s="49" t="str">
        <f t="shared" si="1"/>
        <v>28240</v>
      </c>
      <c r="H2687" s="49">
        <f t="shared" si="2"/>
        <v>28401</v>
      </c>
    </row>
    <row r="2688">
      <c r="A2688" s="48" t="s">
        <v>4790</v>
      </c>
      <c r="B2688" s="38">
        <v>67480.0</v>
      </c>
      <c r="C2688" s="38" t="s">
        <v>4791</v>
      </c>
      <c r="D2688" s="38" t="str">
        <f>IFERROR(__xludf.DUMMYFUNCTION("REGEXREPLACE(C2688,""-\d+(.*)|--\d+(.*)"","""")"),"STILL")</f>
        <v>STILL</v>
      </c>
      <c r="E2688" s="38" t="s">
        <v>210</v>
      </c>
      <c r="F2688" s="38" t="s">
        <v>151</v>
      </c>
      <c r="G2688" s="49" t="str">
        <f t="shared" si="1"/>
        <v>67190</v>
      </c>
      <c r="H2688" s="49">
        <f t="shared" si="2"/>
        <v>67480</v>
      </c>
    </row>
    <row r="2689">
      <c r="A2689" s="48" t="s">
        <v>2411</v>
      </c>
      <c r="B2689" s="38">
        <v>37042.0</v>
      </c>
      <c r="C2689" s="38" t="s">
        <v>4792</v>
      </c>
      <c r="D2689" s="38" t="str">
        <f>IFERROR(__xludf.DUMMYFUNCTION("REGEXREPLACE(C2689,""-\d+(.*)|--\d+(.*)"","""")"),"CANDES-SAINT-MARTIN")</f>
        <v>CANDES-SAINT-MARTIN</v>
      </c>
      <c r="E2689" s="38" t="s">
        <v>205</v>
      </c>
      <c r="F2689" s="38" t="s">
        <v>123</v>
      </c>
      <c r="G2689" s="49" t="str">
        <f t="shared" si="1"/>
        <v>37500</v>
      </c>
      <c r="H2689" s="49">
        <f t="shared" si="2"/>
        <v>37042</v>
      </c>
    </row>
    <row r="2690">
      <c r="A2690" s="48" t="s">
        <v>4793</v>
      </c>
      <c r="B2690" s="38">
        <v>51599.0</v>
      </c>
      <c r="C2690" s="38" t="s">
        <v>4794</v>
      </c>
      <c r="D2690" s="38" t="str">
        <f>IFERROR(__xludf.DUMMYFUNCTION("REGEXREPLACE(C2690,""-\d+(.*)|--\d+(.*)"","""")"),"VAUDEMANGE")</f>
        <v>VAUDEMANGE</v>
      </c>
      <c r="E2690" s="38" t="s">
        <v>129</v>
      </c>
      <c r="F2690" s="38" t="s">
        <v>130</v>
      </c>
      <c r="G2690" s="49" t="str">
        <f t="shared" si="1"/>
        <v>51380</v>
      </c>
      <c r="H2690" s="49">
        <f t="shared" si="2"/>
        <v>51599</v>
      </c>
    </row>
    <row r="2691">
      <c r="A2691" s="48" t="s">
        <v>1509</v>
      </c>
      <c r="B2691" s="38">
        <v>12267.0</v>
      </c>
      <c r="C2691" s="38" t="s">
        <v>4795</v>
      </c>
      <c r="D2691" s="38" t="str">
        <f>IFERROR(__xludf.DUMMYFUNCTION("REGEXREPLACE(C2691,""-\d+(.*)|--\d+(.*)"","""")"),"LA SELVE")</f>
        <v>LA SELVE</v>
      </c>
      <c r="E2691" s="38" t="s">
        <v>465</v>
      </c>
      <c r="F2691" s="38" t="s">
        <v>94</v>
      </c>
      <c r="G2691" s="49" t="str">
        <f t="shared" si="1"/>
        <v>12170</v>
      </c>
      <c r="H2691" s="49">
        <f t="shared" si="2"/>
        <v>12267</v>
      </c>
    </row>
    <row r="2692">
      <c r="A2692" s="48" t="s">
        <v>717</v>
      </c>
      <c r="B2692" s="38">
        <v>31101.0</v>
      </c>
      <c r="C2692" s="38" t="s">
        <v>4796</v>
      </c>
      <c r="D2692" s="38" t="str">
        <f>IFERROR(__xludf.DUMMYFUNCTION("REGEXREPLACE(C2692,""-\d+(.*)|--\d+(.*)"","""")"),"CAMBERNARD")</f>
        <v>CAMBERNARD</v>
      </c>
      <c r="E2692" s="38" t="s">
        <v>93</v>
      </c>
      <c r="F2692" s="38" t="s">
        <v>94</v>
      </c>
      <c r="G2692" s="49" t="str">
        <f t="shared" si="1"/>
        <v>31470</v>
      </c>
      <c r="H2692" s="49">
        <f t="shared" si="2"/>
        <v>31101</v>
      </c>
    </row>
    <row r="2693">
      <c r="A2693" s="48" t="s">
        <v>4797</v>
      </c>
      <c r="B2693" s="38">
        <v>30052.0</v>
      </c>
      <c r="C2693" s="38" t="s">
        <v>4798</v>
      </c>
      <c r="D2693" s="38" t="str">
        <f>IFERROR(__xludf.DUMMYFUNCTION("REGEXREPLACE(C2693,""-\d+(.*)|--\d+(.*)"","""")"),"BREAU-ET-SALAGOSSE")</f>
        <v>BREAU-ET-SALAGOSSE</v>
      </c>
      <c r="E2693" s="38" t="s">
        <v>526</v>
      </c>
      <c r="F2693" s="38" t="s">
        <v>119</v>
      </c>
      <c r="G2693" s="49" t="str">
        <f t="shared" si="1"/>
        <v>30120</v>
      </c>
      <c r="H2693" s="49">
        <f t="shared" si="2"/>
        <v>30052</v>
      </c>
    </row>
    <row r="2694">
      <c r="A2694" s="48" t="s">
        <v>4799</v>
      </c>
      <c r="B2694" s="38">
        <v>38277.0</v>
      </c>
      <c r="C2694" s="38" t="s">
        <v>4800</v>
      </c>
      <c r="D2694" s="38" t="str">
        <f>IFERROR(__xludf.DUMMYFUNCTION("REGEXREPLACE(C2694,""-\d+(.*)|--\d+(.*)"","""")"),"NOTRE-DAME-DE-COMMIERS")</f>
        <v>NOTRE-DAME-DE-COMMIERS</v>
      </c>
      <c r="E2694" s="38" t="s">
        <v>101</v>
      </c>
      <c r="F2694" s="38" t="s">
        <v>102</v>
      </c>
      <c r="G2694" s="49" t="str">
        <f t="shared" si="1"/>
        <v>38450</v>
      </c>
      <c r="H2694" s="49">
        <f t="shared" si="2"/>
        <v>38277</v>
      </c>
    </row>
    <row r="2695">
      <c r="A2695" s="48" t="s">
        <v>4801</v>
      </c>
      <c r="B2695" s="38">
        <v>54493.0</v>
      </c>
      <c r="C2695" s="38" t="s">
        <v>4802</v>
      </c>
      <c r="D2695" s="38" t="str">
        <f>IFERROR(__xludf.DUMMYFUNCTION("REGEXREPLACE(C2695,""-\d+(.*)|--\d+(.*)"","""")"),"SAULNES")</f>
        <v>SAULNES</v>
      </c>
      <c r="E2695" s="38" t="s">
        <v>548</v>
      </c>
      <c r="F2695" s="38" t="s">
        <v>195</v>
      </c>
      <c r="G2695" s="49" t="str">
        <f t="shared" si="1"/>
        <v>54650</v>
      </c>
      <c r="H2695" s="49">
        <f t="shared" si="2"/>
        <v>54493</v>
      </c>
    </row>
    <row r="2696">
      <c r="A2696" s="48" t="s">
        <v>4803</v>
      </c>
      <c r="B2696" s="38">
        <v>33503.0</v>
      </c>
      <c r="C2696" s="38" t="s">
        <v>4804</v>
      </c>
      <c r="D2696" s="38" t="str">
        <f>IFERROR(__xludf.DUMMYFUNCTION("REGEXREPLACE(C2696,""-\d+(.*)|--\d+(.*)"","""")"),"SAUMOS")</f>
        <v>SAUMOS</v>
      </c>
      <c r="E2696" s="38" t="s">
        <v>462</v>
      </c>
      <c r="F2696" s="38" t="s">
        <v>252</v>
      </c>
      <c r="G2696" s="49" t="str">
        <f t="shared" si="1"/>
        <v>33680</v>
      </c>
      <c r="H2696" s="49">
        <f t="shared" si="2"/>
        <v>33503</v>
      </c>
    </row>
    <row r="2697">
      <c r="A2697" s="48" t="s">
        <v>4805</v>
      </c>
      <c r="B2697" s="38">
        <v>31426.0</v>
      </c>
      <c r="C2697" s="38" t="s">
        <v>4806</v>
      </c>
      <c r="D2697" s="38" t="str">
        <f>IFERROR(__xludf.DUMMYFUNCTION("REGEXREPLACE(C2697,""-\d+(.*)|--\d+(.*)"","""")"),"POINTIS-DE-RIVIERE")</f>
        <v>POINTIS-DE-RIVIERE</v>
      </c>
      <c r="E2697" s="38" t="s">
        <v>93</v>
      </c>
      <c r="F2697" s="38" t="s">
        <v>94</v>
      </c>
      <c r="G2697" s="49" t="str">
        <f t="shared" si="1"/>
        <v>31210</v>
      </c>
      <c r="H2697" s="49">
        <f t="shared" si="2"/>
        <v>31426</v>
      </c>
    </row>
    <row r="2698">
      <c r="A2698" s="48" t="s">
        <v>4807</v>
      </c>
      <c r="B2698" s="38">
        <v>76123.0</v>
      </c>
      <c r="C2698" s="38" t="s">
        <v>4808</v>
      </c>
      <c r="D2698" s="38" t="str">
        <f>IFERROR(__xludf.DUMMYFUNCTION("REGEXREPLACE(C2698,""-\d+(.*)|--\d+(.*)"","""")"),"BOSC-GUERARD-SAINT-ADRIEN")</f>
        <v>BOSC-GUERARD-SAINT-ADRIEN</v>
      </c>
      <c r="E2698" s="38" t="s">
        <v>133</v>
      </c>
      <c r="F2698" s="38" t="s">
        <v>134</v>
      </c>
      <c r="G2698" s="49" t="str">
        <f t="shared" si="1"/>
        <v>76710</v>
      </c>
      <c r="H2698" s="49">
        <f t="shared" si="2"/>
        <v>76123</v>
      </c>
    </row>
    <row r="2699">
      <c r="A2699" s="48" t="s">
        <v>663</v>
      </c>
      <c r="B2699" s="38">
        <v>86266.0</v>
      </c>
      <c r="C2699" s="38" t="s">
        <v>4809</v>
      </c>
      <c r="D2699" s="38" t="str">
        <f>IFERROR(__xludf.DUMMYFUNCTION("REGEXREPLACE(C2699,""-\d+(.*)|--\d+(.*)"","""")"),"SURIN")</f>
        <v>SURIN</v>
      </c>
      <c r="E2699" s="38" t="s">
        <v>529</v>
      </c>
      <c r="F2699" s="38" t="s">
        <v>338</v>
      </c>
      <c r="G2699" s="49" t="str">
        <f t="shared" si="1"/>
        <v>86250</v>
      </c>
      <c r="H2699" s="49">
        <f t="shared" si="2"/>
        <v>86266</v>
      </c>
    </row>
    <row r="2700">
      <c r="A2700" s="48" t="s">
        <v>2095</v>
      </c>
      <c r="B2700" s="38">
        <v>72305.0</v>
      </c>
      <c r="C2700" s="38" t="s">
        <v>4810</v>
      </c>
      <c r="D2700" s="38" t="str">
        <f>IFERROR(__xludf.DUMMYFUNCTION("REGEXREPLACE(C2700,""-\d+(.*)|--\d+(.*)"","""")"),"SAINT-OUEN-DE-MIMBRE")</f>
        <v>SAINT-OUEN-DE-MIMBRE</v>
      </c>
      <c r="E2700" s="38" t="s">
        <v>521</v>
      </c>
      <c r="F2700" s="38" t="s">
        <v>180</v>
      </c>
      <c r="G2700" s="49" t="str">
        <f t="shared" si="1"/>
        <v>72130</v>
      </c>
      <c r="H2700" s="49">
        <f t="shared" si="2"/>
        <v>72305</v>
      </c>
    </row>
    <row r="2701">
      <c r="A2701" s="48" t="s">
        <v>4811</v>
      </c>
      <c r="B2701" s="38">
        <v>54547.0</v>
      </c>
      <c r="C2701" s="38" t="s">
        <v>4812</v>
      </c>
      <c r="D2701" s="38" t="str">
        <f>IFERROR(__xludf.DUMMYFUNCTION("REGEXREPLACE(C2701,""-\d+(.*)|--\d+(.*)"","""")"),"VANDOEUVRE-LES-NANCY")</f>
        <v>VANDOEUVRE-LES-NANCY</v>
      </c>
      <c r="E2701" s="38" t="s">
        <v>548</v>
      </c>
      <c r="F2701" s="38" t="s">
        <v>195</v>
      </c>
      <c r="G2701" s="49" t="str">
        <f t="shared" si="1"/>
        <v>54500</v>
      </c>
      <c r="H2701" s="49">
        <f t="shared" si="2"/>
        <v>54547</v>
      </c>
    </row>
    <row r="2702">
      <c r="A2702" s="48" t="s">
        <v>1641</v>
      </c>
      <c r="B2702" s="38">
        <v>18242.0</v>
      </c>
      <c r="C2702" s="38" t="s">
        <v>4813</v>
      </c>
      <c r="D2702" s="38" t="str">
        <f>IFERROR(__xludf.DUMMYFUNCTION("REGEXREPLACE(C2702,""-\d+(.*)|--\d+(.*)"","""")"),"SANCOINS")</f>
        <v>SANCOINS</v>
      </c>
      <c r="E2702" s="38" t="s">
        <v>504</v>
      </c>
      <c r="F2702" s="38" t="s">
        <v>123</v>
      </c>
      <c r="G2702" s="49" t="str">
        <f t="shared" si="1"/>
        <v>18600</v>
      </c>
      <c r="H2702" s="49">
        <f t="shared" si="2"/>
        <v>18242</v>
      </c>
    </row>
    <row r="2703">
      <c r="A2703" s="48" t="s">
        <v>4814</v>
      </c>
      <c r="B2703" s="38">
        <v>57092.0</v>
      </c>
      <c r="C2703" s="38" t="s">
        <v>4815</v>
      </c>
      <c r="D2703" s="38" t="str">
        <f>IFERROR(__xludf.DUMMYFUNCTION("REGEXREPLACE(C2703,""-\d+(.*)|--\d+(.*)"","""")"),"BLIES-EBERSING")</f>
        <v>BLIES-EBERSING</v>
      </c>
      <c r="E2703" s="38" t="s">
        <v>303</v>
      </c>
      <c r="F2703" s="38" t="s">
        <v>195</v>
      </c>
      <c r="G2703" s="49" t="str">
        <f t="shared" si="1"/>
        <v>57200</v>
      </c>
      <c r="H2703" s="49">
        <f t="shared" si="2"/>
        <v>57092</v>
      </c>
    </row>
    <row r="2704">
      <c r="A2704" s="48" t="s">
        <v>1000</v>
      </c>
      <c r="B2704" s="38">
        <v>70541.0</v>
      </c>
      <c r="C2704" s="38" t="s">
        <v>4816</v>
      </c>
      <c r="D2704" s="38" t="str">
        <f>IFERROR(__xludf.DUMMYFUNCTION("REGEXREPLACE(C2704,""-\d+(.*)|--\d+(.*)"","""")"),"VELORCEY")</f>
        <v>VELORCEY</v>
      </c>
      <c r="E2704" s="38" t="s">
        <v>956</v>
      </c>
      <c r="F2704" s="38" t="s">
        <v>214</v>
      </c>
      <c r="G2704" s="49" t="str">
        <f t="shared" si="1"/>
        <v>70300</v>
      </c>
      <c r="H2704" s="49">
        <f t="shared" si="2"/>
        <v>70541</v>
      </c>
    </row>
    <row r="2705">
      <c r="A2705" s="48" t="s">
        <v>3167</v>
      </c>
      <c r="B2705" s="38">
        <v>33052.0</v>
      </c>
      <c r="C2705" s="38" t="s">
        <v>4817</v>
      </c>
      <c r="D2705" s="38" t="str">
        <f>IFERROR(__xludf.DUMMYFUNCTION("REGEXREPLACE(C2705,""-\d+(.*)|--\d+(.*)"","""")"),"LES BILLAUX")</f>
        <v>LES BILLAUX</v>
      </c>
      <c r="E2705" s="38" t="s">
        <v>462</v>
      </c>
      <c r="F2705" s="38" t="s">
        <v>252</v>
      </c>
      <c r="G2705" s="49" t="str">
        <f t="shared" si="1"/>
        <v>33500</v>
      </c>
      <c r="H2705" s="49">
        <f t="shared" si="2"/>
        <v>33052</v>
      </c>
    </row>
    <row r="2706">
      <c r="A2706" s="48" t="s">
        <v>4818</v>
      </c>
      <c r="B2706" s="38">
        <v>78356.0</v>
      </c>
      <c r="C2706" s="38" t="s">
        <v>4819</v>
      </c>
      <c r="D2706" s="38" t="str">
        <f>IFERROR(__xludf.DUMMYFUNCTION("REGEXREPLACE(C2706,""-\d+(.*)|--\d+(.*)"","""")"),"MAGNY-LES-HAMEAUX")</f>
        <v>MAGNY-LES-HAMEAUX</v>
      </c>
      <c r="E2706" s="38" t="s">
        <v>362</v>
      </c>
      <c r="F2706" s="38" t="s">
        <v>245</v>
      </c>
      <c r="G2706" s="49" t="str">
        <f t="shared" si="1"/>
        <v>78114</v>
      </c>
      <c r="H2706" s="49">
        <f t="shared" si="2"/>
        <v>78356</v>
      </c>
    </row>
    <row r="2707">
      <c r="A2707" s="48" t="s">
        <v>4820</v>
      </c>
      <c r="B2707" s="38">
        <v>7181.0</v>
      </c>
      <c r="C2707" s="38" t="s">
        <v>4821</v>
      </c>
      <c r="D2707" s="38" t="str">
        <f>IFERROR(__xludf.DUMMYFUNCTION("REGEXREPLACE(C2707,""-\d+(.*)|--\d+(.*)"","""")"),"LE POUZIN")</f>
        <v>LE POUZIN</v>
      </c>
      <c r="E2707" s="38" t="s">
        <v>144</v>
      </c>
      <c r="F2707" s="38" t="s">
        <v>102</v>
      </c>
      <c r="G2707" s="49" t="str">
        <f t="shared" si="1"/>
        <v>07250</v>
      </c>
      <c r="H2707" s="49" t="str">
        <f t="shared" si="2"/>
        <v>07181</v>
      </c>
    </row>
    <row r="2708">
      <c r="A2708" s="48" t="s">
        <v>2882</v>
      </c>
      <c r="B2708" s="38">
        <v>76620.0</v>
      </c>
      <c r="C2708" s="38" t="s">
        <v>4822</v>
      </c>
      <c r="D2708" s="38" t="str">
        <f>IFERROR(__xludf.DUMMYFUNCTION("REGEXREPLACE(C2708,""-\d+(.*)|--\d+(.*)"","""")"),"SAINT-MARTIN-L'HORTIER")</f>
        <v>SAINT-MARTIN-L'HORTIER</v>
      </c>
      <c r="E2708" s="38" t="s">
        <v>133</v>
      </c>
      <c r="F2708" s="38" t="s">
        <v>134</v>
      </c>
      <c r="G2708" s="49" t="str">
        <f t="shared" si="1"/>
        <v>76270</v>
      </c>
      <c r="H2708" s="49">
        <f t="shared" si="2"/>
        <v>76620</v>
      </c>
    </row>
    <row r="2709">
      <c r="A2709" s="48" t="s">
        <v>3226</v>
      </c>
      <c r="B2709" s="38">
        <v>61436.0</v>
      </c>
      <c r="C2709" s="38" t="s">
        <v>4823</v>
      </c>
      <c r="D2709" s="38" t="str">
        <f>IFERROR(__xludf.DUMMYFUNCTION("REGEXREPLACE(C2709,""-\d+(.*)|--\d+(.*)"","""")"),"SAINTE-OPPORTUNE")</f>
        <v>SAINTE-OPPORTUNE</v>
      </c>
      <c r="E2709" s="38" t="s">
        <v>141</v>
      </c>
      <c r="F2709" s="38" t="s">
        <v>138</v>
      </c>
      <c r="G2709" s="49" t="str">
        <f t="shared" si="1"/>
        <v>61100</v>
      </c>
      <c r="H2709" s="49">
        <f t="shared" si="2"/>
        <v>61436</v>
      </c>
    </row>
    <row r="2710">
      <c r="A2710" s="48" t="s">
        <v>4824</v>
      </c>
      <c r="B2710" s="38">
        <v>54261.0</v>
      </c>
      <c r="C2710" s="38" t="s">
        <v>4825</v>
      </c>
      <c r="D2710" s="38" t="str">
        <f>IFERROR(__xludf.DUMMYFUNCTION("REGEXREPLACE(C2710,""-\d+(.*)|--\d+(.*)"","""")"),"HERSERANGE")</f>
        <v>HERSERANGE</v>
      </c>
      <c r="E2710" s="38" t="s">
        <v>548</v>
      </c>
      <c r="F2710" s="38" t="s">
        <v>195</v>
      </c>
      <c r="G2710" s="49" t="str">
        <f t="shared" si="1"/>
        <v>54440</v>
      </c>
      <c r="H2710" s="49">
        <f t="shared" si="2"/>
        <v>54261</v>
      </c>
    </row>
    <row r="2711">
      <c r="A2711" s="48" t="s">
        <v>4826</v>
      </c>
      <c r="B2711" s="38">
        <v>57109.0</v>
      </c>
      <c r="C2711" s="38" t="s">
        <v>4827</v>
      </c>
      <c r="D2711" s="38" t="str">
        <f>IFERROR(__xludf.DUMMYFUNCTION("REGEXREPLACE(C2711,""-\d+(.*)|--\d+(.*)"","""")"),"BREISTROFF-LA-GRANDE")</f>
        <v>BREISTROFF-LA-GRANDE</v>
      </c>
      <c r="E2711" s="38" t="s">
        <v>303</v>
      </c>
      <c r="F2711" s="38" t="s">
        <v>195</v>
      </c>
      <c r="G2711" s="49" t="str">
        <f t="shared" si="1"/>
        <v>57570</v>
      </c>
      <c r="H2711" s="49">
        <f t="shared" si="2"/>
        <v>57109</v>
      </c>
    </row>
    <row r="2712">
      <c r="A2712" s="48" t="s">
        <v>4828</v>
      </c>
      <c r="B2712" s="38">
        <v>14739.0</v>
      </c>
      <c r="C2712" s="38" t="s">
        <v>4829</v>
      </c>
      <c r="D2712" s="38" t="str">
        <f>IFERROR(__xludf.DUMMYFUNCTION("REGEXREPLACE(C2712,""-\d+(.*)|--\d+(.*)"","""")"),"VER-SUR-MER")</f>
        <v>VER-SUR-MER</v>
      </c>
      <c r="E2712" s="38" t="s">
        <v>137</v>
      </c>
      <c r="F2712" s="38" t="s">
        <v>138</v>
      </c>
      <c r="G2712" s="49" t="str">
        <f t="shared" si="1"/>
        <v>14114</v>
      </c>
      <c r="H2712" s="49">
        <f t="shared" si="2"/>
        <v>14739</v>
      </c>
    </row>
    <row r="2713">
      <c r="A2713" s="48" t="s">
        <v>4830</v>
      </c>
      <c r="B2713" s="38">
        <v>61158.0</v>
      </c>
      <c r="C2713" s="38" t="s">
        <v>4831</v>
      </c>
      <c r="D2713" s="38" t="str">
        <f>IFERROR(__xludf.DUMMYFUNCTION("REGEXREPLACE(C2713,""-\d+(.*)|--\d+(.*)"","""")"),"FAVEROLLES")</f>
        <v>FAVEROLLES</v>
      </c>
      <c r="E2713" s="38" t="s">
        <v>141</v>
      </c>
      <c r="F2713" s="38" t="s">
        <v>138</v>
      </c>
      <c r="G2713" s="49" t="str">
        <f t="shared" si="1"/>
        <v>61600</v>
      </c>
      <c r="H2713" s="49">
        <f t="shared" si="2"/>
        <v>61158</v>
      </c>
    </row>
    <row r="2714">
      <c r="A2714" s="48" t="s">
        <v>4832</v>
      </c>
      <c r="B2714" s="38">
        <v>18237.0</v>
      </c>
      <c r="C2714" s="38" t="s">
        <v>4833</v>
      </c>
      <c r="D2714" s="38" t="str">
        <f>IFERROR(__xludf.DUMMYFUNCTION("REGEXREPLACE(C2714,""-\d+(.*)|--\d+(.*)"","""")"),"SAINTE-THORETTE")</f>
        <v>SAINTE-THORETTE</v>
      </c>
      <c r="E2714" s="38" t="s">
        <v>504</v>
      </c>
      <c r="F2714" s="38" t="s">
        <v>123</v>
      </c>
      <c r="G2714" s="49" t="str">
        <f t="shared" si="1"/>
        <v>18500</v>
      </c>
      <c r="H2714" s="49">
        <f t="shared" si="2"/>
        <v>18237</v>
      </c>
    </row>
    <row r="2715">
      <c r="A2715" s="48" t="s">
        <v>4834</v>
      </c>
      <c r="B2715" s="38">
        <v>27218.0</v>
      </c>
      <c r="C2715" s="38" t="s">
        <v>4835</v>
      </c>
      <c r="D2715" s="38" t="str">
        <f>IFERROR(__xludf.DUMMYFUNCTION("REGEXREPLACE(C2715,""-\d+(.*)|--\d+(.*)"","""")"),"EPAIGNES")</f>
        <v>EPAIGNES</v>
      </c>
      <c r="E2715" s="38" t="s">
        <v>241</v>
      </c>
      <c r="F2715" s="38" t="s">
        <v>134</v>
      </c>
      <c r="G2715" s="49" t="str">
        <f t="shared" si="1"/>
        <v>27260</v>
      </c>
      <c r="H2715" s="49">
        <f t="shared" si="2"/>
        <v>27218</v>
      </c>
    </row>
    <row r="2716">
      <c r="A2716" s="48" t="s">
        <v>171</v>
      </c>
      <c r="B2716" s="38">
        <v>56224.0</v>
      </c>
      <c r="C2716" s="38" t="s">
        <v>4836</v>
      </c>
      <c r="D2716" s="38" t="str">
        <f>IFERROR(__xludf.DUMMYFUNCTION("REGEXREPLACE(C2716,""-\d+(.*)|--\d+(.*)"","""")"),"SAINT-LAURENT-SUR-OUST")</f>
        <v>SAINT-LAURENT-SUR-OUST</v>
      </c>
      <c r="E2716" s="38" t="s">
        <v>173</v>
      </c>
      <c r="F2716" s="38" t="s">
        <v>90</v>
      </c>
      <c r="G2716" s="49" t="str">
        <f t="shared" si="1"/>
        <v>56140</v>
      </c>
      <c r="H2716" s="49">
        <f t="shared" si="2"/>
        <v>56224</v>
      </c>
    </row>
    <row r="2717">
      <c r="A2717" s="48" t="s">
        <v>409</v>
      </c>
      <c r="B2717" s="38">
        <v>31395.0</v>
      </c>
      <c r="C2717" s="38" t="s">
        <v>4837</v>
      </c>
      <c r="D2717" s="38" t="str">
        <f>IFERROR(__xludf.DUMMYFUNCTION("REGEXREPLACE(C2717,""-\d+(.*)|--\d+(.*)"","""")"),"MURET")</f>
        <v>MURET</v>
      </c>
      <c r="E2717" s="38" t="s">
        <v>93</v>
      </c>
      <c r="F2717" s="38" t="s">
        <v>94</v>
      </c>
      <c r="G2717" s="49" t="str">
        <f t="shared" si="1"/>
        <v>31600</v>
      </c>
      <c r="H2717" s="49">
        <f t="shared" si="2"/>
        <v>31395</v>
      </c>
    </row>
    <row r="2718">
      <c r="A2718" s="48" t="s">
        <v>4838</v>
      </c>
      <c r="B2718" s="38">
        <v>17365.0</v>
      </c>
      <c r="C2718" s="38" t="s">
        <v>4839</v>
      </c>
      <c r="D2718" s="38" t="str">
        <f>IFERROR(__xludf.DUMMYFUNCTION("REGEXREPLACE(C2718,""-\d+(.*)|--\d+(.*)"","""")"),"SAINT-MARTIN-D'ARY")</f>
        <v>SAINT-MARTIN-D'ARY</v>
      </c>
      <c r="E2718" s="38" t="s">
        <v>488</v>
      </c>
      <c r="F2718" s="38" t="s">
        <v>338</v>
      </c>
      <c r="G2718" s="49" t="str">
        <f t="shared" si="1"/>
        <v>17270</v>
      </c>
      <c r="H2718" s="49">
        <f t="shared" si="2"/>
        <v>17365</v>
      </c>
    </row>
    <row r="2719">
      <c r="A2719" s="48" t="s">
        <v>4840</v>
      </c>
      <c r="B2719" s="38">
        <v>16141.0</v>
      </c>
      <c r="C2719" s="38" t="s">
        <v>4841</v>
      </c>
      <c r="D2719" s="38" t="str">
        <f>IFERROR(__xludf.DUMMYFUNCTION("REGEXREPLACE(C2719,""-\d+(.*)|--\d+(.*)"","""")"),"FONTENILLE")</f>
        <v>FONTENILLE</v>
      </c>
      <c r="E2719" s="38" t="s">
        <v>429</v>
      </c>
      <c r="F2719" s="38" t="s">
        <v>338</v>
      </c>
      <c r="G2719" s="49" t="str">
        <f t="shared" si="1"/>
        <v>16230</v>
      </c>
      <c r="H2719" s="49">
        <f t="shared" si="2"/>
        <v>16141</v>
      </c>
    </row>
    <row r="2720">
      <c r="A2720" s="48" t="s">
        <v>155</v>
      </c>
      <c r="B2720" s="38">
        <v>50145.0</v>
      </c>
      <c r="C2720" s="38" t="s">
        <v>4842</v>
      </c>
      <c r="D2720" s="38" t="str">
        <f>IFERROR(__xludf.DUMMYFUNCTION("REGEXREPLACE(C2720,""-\d+(.*)|--\d+(.*)"","""")"),"COURCY")</f>
        <v>COURCY</v>
      </c>
      <c r="E2720" s="38" t="s">
        <v>157</v>
      </c>
      <c r="F2720" s="38" t="s">
        <v>138</v>
      </c>
      <c r="G2720" s="49" t="str">
        <f t="shared" si="1"/>
        <v>50200</v>
      </c>
      <c r="H2720" s="49">
        <f t="shared" si="2"/>
        <v>50145</v>
      </c>
    </row>
    <row r="2721">
      <c r="A2721" s="48" t="s">
        <v>1841</v>
      </c>
      <c r="B2721" s="38">
        <v>27424.0</v>
      </c>
      <c r="C2721" s="38" t="s">
        <v>4843</v>
      </c>
      <c r="D2721" s="38" t="str">
        <f>IFERROR(__xludf.DUMMYFUNCTION("REGEXREPLACE(C2721,""-\d+(.*)|--\d+(.*)"","""")"),"NAGEL-SEEZ-MESNIL")</f>
        <v>NAGEL-SEEZ-MESNIL</v>
      </c>
      <c r="E2721" s="38" t="s">
        <v>241</v>
      </c>
      <c r="F2721" s="38" t="s">
        <v>134</v>
      </c>
      <c r="G2721" s="49" t="str">
        <f t="shared" si="1"/>
        <v>27190</v>
      </c>
      <c r="H2721" s="49">
        <f t="shared" si="2"/>
        <v>27424</v>
      </c>
    </row>
    <row r="2722">
      <c r="A2722" s="48" t="s">
        <v>4844</v>
      </c>
      <c r="B2722" s="38">
        <v>14145.0</v>
      </c>
      <c r="C2722" s="38" t="s">
        <v>4845</v>
      </c>
      <c r="D2722" s="38" t="str">
        <f>IFERROR(__xludf.DUMMYFUNCTION("REGEXREPLACE(C2722,""-\d+(.*)|--\d+(.*)"","""")"),"CAUVICOURT")</f>
        <v>CAUVICOURT</v>
      </c>
      <c r="E2722" s="38" t="s">
        <v>137</v>
      </c>
      <c r="F2722" s="38" t="s">
        <v>138</v>
      </c>
      <c r="G2722" s="49" t="str">
        <f t="shared" si="1"/>
        <v>14190</v>
      </c>
      <c r="H2722" s="49">
        <f t="shared" si="2"/>
        <v>14145</v>
      </c>
    </row>
    <row r="2723">
      <c r="A2723" s="48" t="s">
        <v>4388</v>
      </c>
      <c r="B2723" s="38">
        <v>31492.0</v>
      </c>
      <c r="C2723" s="38" t="s">
        <v>4846</v>
      </c>
      <c r="D2723" s="38" t="str">
        <f>IFERROR(__xludf.DUMMYFUNCTION("REGEXREPLACE(C2723,""-\d+(.*)|--\d+(.*)"","""")"),"SAINT-JULIEN-SUR-GARONNE")</f>
        <v>SAINT-JULIEN-SUR-GARONNE</v>
      </c>
      <c r="E2723" s="38" t="s">
        <v>93</v>
      </c>
      <c r="F2723" s="38" t="s">
        <v>94</v>
      </c>
      <c r="G2723" s="49" t="str">
        <f t="shared" si="1"/>
        <v>31220</v>
      </c>
      <c r="H2723" s="49">
        <f t="shared" si="2"/>
        <v>31492</v>
      </c>
    </row>
    <row r="2724">
      <c r="A2724" s="48" t="s">
        <v>413</v>
      </c>
      <c r="B2724" s="38">
        <v>35253.0</v>
      </c>
      <c r="C2724" s="38" t="s">
        <v>4847</v>
      </c>
      <c r="D2724" s="38" t="str">
        <f>IFERROR(__xludf.DUMMYFUNCTION("REGEXREPLACE(C2724,""-\d+(.*)|--\d+(.*)"","""")"),"SAINT-AUBIN-DU-CORMIER")</f>
        <v>SAINT-AUBIN-DU-CORMIER</v>
      </c>
      <c r="E2724" s="38" t="s">
        <v>347</v>
      </c>
      <c r="F2724" s="38" t="s">
        <v>90</v>
      </c>
      <c r="G2724" s="49" t="str">
        <f t="shared" si="1"/>
        <v>35140</v>
      </c>
      <c r="H2724" s="49">
        <f t="shared" si="2"/>
        <v>35253</v>
      </c>
    </row>
    <row r="2725">
      <c r="A2725" s="48" t="s">
        <v>1332</v>
      </c>
      <c r="B2725" s="38">
        <v>51543.0</v>
      </c>
      <c r="C2725" s="38" t="s">
        <v>4848</v>
      </c>
      <c r="D2725" s="38" t="str">
        <f>IFERROR(__xludf.DUMMYFUNCTION("REGEXREPLACE(C2725,""-\d+(.*)|--\d+(.*)"","""")"),"SOMME-BIONNE")</f>
        <v>SOMME-BIONNE</v>
      </c>
      <c r="E2725" s="38" t="s">
        <v>129</v>
      </c>
      <c r="F2725" s="38" t="s">
        <v>130</v>
      </c>
      <c r="G2725" s="49" t="str">
        <f t="shared" si="1"/>
        <v>51800</v>
      </c>
      <c r="H2725" s="49">
        <f t="shared" si="2"/>
        <v>51543</v>
      </c>
    </row>
    <row r="2726">
      <c r="A2726" s="48" t="s">
        <v>4849</v>
      </c>
      <c r="B2726" s="38">
        <v>19272.0</v>
      </c>
      <c r="C2726" s="38" t="s">
        <v>4850</v>
      </c>
      <c r="D2726" s="38" t="str">
        <f>IFERROR(__xludf.DUMMYFUNCTION("REGEXREPLACE(C2726,""-\d+(.*)|--\d+(.*)"","""")"),"TULLE")</f>
        <v>TULLE</v>
      </c>
      <c r="E2726" s="38" t="s">
        <v>271</v>
      </c>
      <c r="F2726" s="38" t="s">
        <v>98</v>
      </c>
      <c r="G2726" s="49" t="str">
        <f t="shared" si="1"/>
        <v>19000</v>
      </c>
      <c r="H2726" s="49">
        <f t="shared" si="2"/>
        <v>19272</v>
      </c>
    </row>
    <row r="2727">
      <c r="A2727" s="48" t="s">
        <v>4851</v>
      </c>
      <c r="B2727" s="38">
        <v>33184.0</v>
      </c>
      <c r="C2727" s="38" t="s">
        <v>4852</v>
      </c>
      <c r="D2727" s="38" t="str">
        <f>IFERROR(__xludf.DUMMYFUNCTION("REGEXREPLACE(C2727,""-\d+(.*)|--\d+(.*)"","""")"),"GENERAC")</f>
        <v>GENERAC</v>
      </c>
      <c r="E2727" s="38" t="s">
        <v>462</v>
      </c>
      <c r="F2727" s="38" t="s">
        <v>252</v>
      </c>
      <c r="G2727" s="49" t="str">
        <f t="shared" si="1"/>
        <v>33920</v>
      </c>
      <c r="H2727" s="49">
        <f t="shared" si="2"/>
        <v>33184</v>
      </c>
    </row>
    <row r="2728">
      <c r="A2728" s="48" t="s">
        <v>4853</v>
      </c>
      <c r="B2728" s="38">
        <v>32184.0</v>
      </c>
      <c r="C2728" s="38" t="s">
        <v>4854</v>
      </c>
      <c r="D2728" s="38" t="str">
        <f>IFERROR(__xludf.DUMMYFUNCTION("REGEXREPLACE(C2728,""-\d+(.*)|--\d+(.*)"","""")"),"LALANNE")</f>
        <v>LALANNE</v>
      </c>
      <c r="E2728" s="38" t="s">
        <v>440</v>
      </c>
      <c r="F2728" s="38" t="s">
        <v>94</v>
      </c>
      <c r="G2728" s="49" t="str">
        <f t="shared" si="1"/>
        <v>32500</v>
      </c>
      <c r="H2728" s="49">
        <f t="shared" si="2"/>
        <v>32184</v>
      </c>
    </row>
    <row r="2729">
      <c r="A2729" s="48" t="s">
        <v>198</v>
      </c>
      <c r="B2729" s="38">
        <v>65240.0</v>
      </c>
      <c r="C2729" s="38" t="s">
        <v>4855</v>
      </c>
      <c r="D2729" s="38" t="str">
        <f>IFERROR(__xludf.DUMMYFUNCTION("REGEXREPLACE(C2729,""-\d+(.*)|--\d+(.*)"","""")"),"LABATUT-RIVIERE")</f>
        <v>LABATUT-RIVIERE</v>
      </c>
      <c r="E2729" s="38" t="s">
        <v>200</v>
      </c>
      <c r="F2729" s="38" t="s">
        <v>94</v>
      </c>
      <c r="G2729" s="49" t="str">
        <f t="shared" si="1"/>
        <v>65700</v>
      </c>
      <c r="H2729" s="49">
        <f t="shared" si="2"/>
        <v>65240</v>
      </c>
    </row>
    <row r="2730">
      <c r="A2730" s="48" t="s">
        <v>4856</v>
      </c>
      <c r="B2730" s="38">
        <v>21192.0</v>
      </c>
      <c r="C2730" s="38" t="s">
        <v>4857</v>
      </c>
      <c r="D2730" s="38" t="str">
        <f>IFERROR(__xludf.DUMMYFUNCTION("REGEXREPLACE(C2730,""-\d+(.*)|--\d+(.*)"","""")"),"CORCELLES-LES-MONTS")</f>
        <v>CORCELLES-LES-MONTS</v>
      </c>
      <c r="E2730" s="38" t="s">
        <v>105</v>
      </c>
      <c r="F2730" s="38" t="s">
        <v>106</v>
      </c>
      <c r="G2730" s="49" t="str">
        <f t="shared" si="1"/>
        <v>21160</v>
      </c>
      <c r="H2730" s="49">
        <f t="shared" si="2"/>
        <v>21192</v>
      </c>
    </row>
    <row r="2731">
      <c r="A2731" s="48" t="s">
        <v>3812</v>
      </c>
      <c r="B2731" s="38">
        <v>71584.0</v>
      </c>
      <c r="C2731" s="38" t="s">
        <v>4858</v>
      </c>
      <c r="D2731" s="38" t="str">
        <f>IFERROR(__xludf.DUMMYFUNCTION("REGEXREPLACE(C2731,""-\d+(.*)|--\d+(.*)"","""")"),"VIRE")</f>
        <v>VIRE</v>
      </c>
      <c r="E2731" s="38" t="s">
        <v>344</v>
      </c>
      <c r="F2731" s="38" t="s">
        <v>106</v>
      </c>
      <c r="G2731" s="49" t="str">
        <f t="shared" si="1"/>
        <v>71260</v>
      </c>
      <c r="H2731" s="49">
        <f t="shared" si="2"/>
        <v>71584</v>
      </c>
    </row>
    <row r="2732">
      <c r="A2732" s="48" t="s">
        <v>407</v>
      </c>
      <c r="B2732" s="38">
        <v>71461.0</v>
      </c>
      <c r="C2732" s="38" t="s">
        <v>4859</v>
      </c>
      <c r="D2732" s="38" t="str">
        <f>IFERROR(__xludf.DUMMYFUNCTION("REGEXREPLACE(C2732,""-\d+(.*)|--\d+(.*)"","""")"),"SAINT-MAURICE-DES-CHAMPS")</f>
        <v>SAINT-MAURICE-DES-CHAMPS</v>
      </c>
      <c r="E2732" s="38" t="s">
        <v>344</v>
      </c>
      <c r="F2732" s="38" t="s">
        <v>106</v>
      </c>
      <c r="G2732" s="49" t="str">
        <f t="shared" si="1"/>
        <v>71460</v>
      </c>
      <c r="H2732" s="49">
        <f t="shared" si="2"/>
        <v>71461</v>
      </c>
    </row>
    <row r="2733">
      <c r="A2733" s="48" t="s">
        <v>4328</v>
      </c>
      <c r="B2733" s="38">
        <v>70129.0</v>
      </c>
      <c r="C2733" s="38" t="s">
        <v>4860</v>
      </c>
      <c r="D2733" s="38" t="str">
        <f>IFERROR(__xludf.DUMMYFUNCTION("REGEXREPLACE(C2733,""-\d+(.*)|--\d+(.*)"","""")"),"LA CHAPELLE-SAINT-QUILLAIN")</f>
        <v>LA CHAPELLE-SAINT-QUILLAIN</v>
      </c>
      <c r="E2733" s="38" t="s">
        <v>956</v>
      </c>
      <c r="F2733" s="38" t="s">
        <v>214</v>
      </c>
      <c r="G2733" s="49" t="str">
        <f t="shared" si="1"/>
        <v>70700</v>
      </c>
      <c r="H2733" s="49">
        <f t="shared" si="2"/>
        <v>70129</v>
      </c>
    </row>
    <row r="2734">
      <c r="A2734" s="48" t="s">
        <v>2190</v>
      </c>
      <c r="B2734" s="38">
        <v>10367.0</v>
      </c>
      <c r="C2734" s="38" t="s">
        <v>4861</v>
      </c>
      <c r="D2734" s="38" t="str">
        <f>IFERROR(__xludf.DUMMYFUNCTION("REGEXREPLACE(C2734,""-\d+(.*)|--\d+(.*)"","""")"),"LA SAULSOTTE")</f>
        <v>LA SAULSOTTE</v>
      </c>
      <c r="E2734" s="38" t="s">
        <v>147</v>
      </c>
      <c r="F2734" s="38" t="s">
        <v>130</v>
      </c>
      <c r="G2734" s="49" t="str">
        <f t="shared" si="1"/>
        <v>10400</v>
      </c>
      <c r="H2734" s="49">
        <f t="shared" si="2"/>
        <v>10367</v>
      </c>
    </row>
    <row r="2735">
      <c r="A2735" s="48" t="s">
        <v>2820</v>
      </c>
      <c r="B2735" s="38">
        <v>2793.0</v>
      </c>
      <c r="C2735" s="38" t="s">
        <v>4862</v>
      </c>
      <c r="D2735" s="38" t="str">
        <f>IFERROR(__xludf.DUMMYFUNCTION("REGEXREPLACE(C2735,""-\d+(.*)|--\d+(.*)"","""")"),"VEZAPONIN")</f>
        <v>VEZAPONIN</v>
      </c>
      <c r="E2735" s="38" t="s">
        <v>191</v>
      </c>
      <c r="F2735" s="38" t="s">
        <v>113</v>
      </c>
      <c r="G2735" s="49" t="str">
        <f t="shared" si="1"/>
        <v>02290</v>
      </c>
      <c r="H2735" s="49" t="str">
        <f t="shared" si="2"/>
        <v>02793</v>
      </c>
    </row>
    <row r="2736">
      <c r="A2736" s="48" t="s">
        <v>2835</v>
      </c>
      <c r="B2736" s="38">
        <v>18120.0</v>
      </c>
      <c r="C2736" s="38" t="s">
        <v>4863</v>
      </c>
      <c r="D2736" s="38" t="str">
        <f>IFERROR(__xludf.DUMMYFUNCTION("REGEXREPLACE(C2736,""-\d+(.*)|--\d+(.*)"","""")"),"JUSSY-LE-CHAUDRIER")</f>
        <v>JUSSY-LE-CHAUDRIER</v>
      </c>
      <c r="E2736" s="38" t="s">
        <v>504</v>
      </c>
      <c r="F2736" s="38" t="s">
        <v>123</v>
      </c>
      <c r="G2736" s="49" t="str">
        <f t="shared" si="1"/>
        <v>18140</v>
      </c>
      <c r="H2736" s="49">
        <f t="shared" si="2"/>
        <v>18120</v>
      </c>
    </row>
    <row r="2737">
      <c r="A2737" s="48" t="s">
        <v>4864</v>
      </c>
      <c r="B2737" s="38">
        <v>91130.0</v>
      </c>
      <c r="C2737" s="38" t="s">
        <v>4865</v>
      </c>
      <c r="D2737" s="38" t="str">
        <f>IFERROR(__xludf.DUMMYFUNCTION("REGEXREPLACE(C2737,""-\d+(.*)|--\d+(.*)"","""")"),"CHALO-SAINT-MARS")</f>
        <v>CHALO-SAINT-MARS</v>
      </c>
      <c r="E2737" s="38" t="s">
        <v>756</v>
      </c>
      <c r="F2737" s="38" t="s">
        <v>245</v>
      </c>
      <c r="G2737" s="49" t="str">
        <f t="shared" si="1"/>
        <v>91780</v>
      </c>
      <c r="H2737" s="49">
        <f t="shared" si="2"/>
        <v>91130</v>
      </c>
    </row>
    <row r="2738">
      <c r="A2738" s="48" t="s">
        <v>2692</v>
      </c>
      <c r="B2738" s="38">
        <v>67388.0</v>
      </c>
      <c r="C2738" s="38" t="s">
        <v>4866</v>
      </c>
      <c r="D2738" s="38" t="str">
        <f>IFERROR(__xludf.DUMMYFUNCTION("REGEXREPLACE(C2738,""-\d+(.*)|--\d+(.*)"","""")"),"REICHSHOFFEN")</f>
        <v>REICHSHOFFEN</v>
      </c>
      <c r="E2738" s="38" t="s">
        <v>210</v>
      </c>
      <c r="F2738" s="38" t="s">
        <v>151</v>
      </c>
      <c r="G2738" s="49" t="str">
        <f t="shared" si="1"/>
        <v>67110</v>
      </c>
      <c r="H2738" s="49">
        <f t="shared" si="2"/>
        <v>67388</v>
      </c>
    </row>
    <row r="2739">
      <c r="A2739" s="48" t="s">
        <v>4867</v>
      </c>
      <c r="B2739" s="38">
        <v>82143.0</v>
      </c>
      <c r="C2739" s="38" t="s">
        <v>4868</v>
      </c>
      <c r="D2739" s="38" t="str">
        <f>IFERROR(__xludf.DUMMYFUNCTION("REGEXREPLACE(C2739,""-\d+(.*)|--\d+(.*)"","""")"),"POUPAS")</f>
        <v>POUPAS</v>
      </c>
      <c r="E2739" s="38" t="s">
        <v>570</v>
      </c>
      <c r="F2739" s="38" t="s">
        <v>94</v>
      </c>
      <c r="G2739" s="49" t="str">
        <f t="shared" si="1"/>
        <v>82120</v>
      </c>
      <c r="H2739" s="49">
        <f t="shared" si="2"/>
        <v>82143</v>
      </c>
    </row>
    <row r="2740">
      <c r="A2740" s="48" t="s">
        <v>3570</v>
      </c>
      <c r="B2740" s="38">
        <v>76333.0</v>
      </c>
      <c r="C2740" s="38" t="s">
        <v>4869</v>
      </c>
      <c r="D2740" s="38" t="str">
        <f>IFERROR(__xludf.DUMMYFUNCTION("REGEXREPLACE(C2740,""-\d+(.*)|--\d+(.*)"","""")"),"GUERVILLE")</f>
        <v>GUERVILLE</v>
      </c>
      <c r="E2740" s="38" t="s">
        <v>133</v>
      </c>
      <c r="F2740" s="38" t="s">
        <v>134</v>
      </c>
      <c r="G2740" s="49" t="str">
        <f t="shared" si="1"/>
        <v>76340</v>
      </c>
      <c r="H2740" s="49">
        <f t="shared" si="2"/>
        <v>76333</v>
      </c>
    </row>
    <row r="2741">
      <c r="A2741" s="48" t="s">
        <v>4870</v>
      </c>
      <c r="B2741" s="38">
        <v>85165.0</v>
      </c>
      <c r="C2741" s="38" t="s">
        <v>4871</v>
      </c>
      <c r="D2741" s="38" t="str">
        <f>IFERROR(__xludf.DUMMYFUNCTION("REGEXREPLACE(C2741,""-\d+(.*)|--\d+(.*)"","""")"),"L'OIE")</f>
        <v>L'OIE</v>
      </c>
      <c r="E2741" s="38" t="s">
        <v>179</v>
      </c>
      <c r="F2741" s="38" t="s">
        <v>180</v>
      </c>
      <c r="G2741" s="49" t="str">
        <f t="shared" si="1"/>
        <v>85140</v>
      </c>
      <c r="H2741" s="49">
        <f t="shared" si="2"/>
        <v>85165</v>
      </c>
    </row>
    <row r="2742">
      <c r="A2742" s="48" t="s">
        <v>276</v>
      </c>
      <c r="B2742" s="38">
        <v>11230.0</v>
      </c>
      <c r="C2742" s="38" t="s">
        <v>4872</v>
      </c>
      <c r="D2742" s="38" t="str">
        <f>IFERROR(__xludf.DUMMYFUNCTION("REGEXREPLACE(C2742,""-\d+(.*)|--\d+(.*)"","""")"),"MERIAL")</f>
        <v>MERIAL</v>
      </c>
      <c r="E2742" s="38" t="s">
        <v>278</v>
      </c>
      <c r="F2742" s="38" t="s">
        <v>119</v>
      </c>
      <c r="G2742" s="49" t="str">
        <f t="shared" si="1"/>
        <v>11140</v>
      </c>
      <c r="H2742" s="49">
        <f t="shared" si="2"/>
        <v>11230</v>
      </c>
    </row>
    <row r="2743">
      <c r="A2743" s="48" t="s">
        <v>4873</v>
      </c>
      <c r="B2743" s="38">
        <v>67483.0</v>
      </c>
      <c r="C2743" s="38" t="s">
        <v>4874</v>
      </c>
      <c r="D2743" s="38" t="str">
        <f>IFERROR(__xludf.DUMMYFUNCTION("REGEXREPLACE(C2743,""-\d+(.*)|--\d+(.*)"","""")"),"STRUTH")</f>
        <v>STRUTH</v>
      </c>
      <c r="E2743" s="38" t="s">
        <v>210</v>
      </c>
      <c r="F2743" s="38" t="s">
        <v>151</v>
      </c>
      <c r="G2743" s="49" t="str">
        <f t="shared" si="1"/>
        <v>67290</v>
      </c>
      <c r="H2743" s="49">
        <f t="shared" si="2"/>
        <v>67483</v>
      </c>
    </row>
    <row r="2744">
      <c r="A2744" s="48" t="s">
        <v>4875</v>
      </c>
      <c r="B2744" s="38">
        <v>68175.0</v>
      </c>
      <c r="C2744" s="38" t="s">
        <v>4876</v>
      </c>
      <c r="D2744" s="38" t="str">
        <f>IFERROR(__xludf.DUMMYFUNCTION("REGEXREPLACE(C2744,""-\d+(.*)|--\d+(.*)"","""")"),"LAPOUTROIE")</f>
        <v>LAPOUTROIE</v>
      </c>
      <c r="E2744" s="38" t="s">
        <v>150</v>
      </c>
      <c r="F2744" s="38" t="s">
        <v>151</v>
      </c>
      <c r="G2744" s="49" t="str">
        <f t="shared" si="1"/>
        <v>68650</v>
      </c>
      <c r="H2744" s="49">
        <f t="shared" si="2"/>
        <v>68175</v>
      </c>
    </row>
    <row r="2745">
      <c r="A2745" s="48" t="s">
        <v>4877</v>
      </c>
      <c r="B2745" s="38">
        <v>61190.0</v>
      </c>
      <c r="C2745" s="38" t="s">
        <v>4878</v>
      </c>
      <c r="D2745" s="38" t="str">
        <f>IFERROR(__xludf.DUMMYFUNCTION("REGEXREPLACE(C2745,""-\d+(.*)|--\d+(.*)"","""")"),"GINAI")</f>
        <v>GINAI</v>
      </c>
      <c r="E2745" s="38" t="s">
        <v>141</v>
      </c>
      <c r="F2745" s="38" t="s">
        <v>138</v>
      </c>
      <c r="G2745" s="49" t="str">
        <f t="shared" si="1"/>
        <v>61310</v>
      </c>
      <c r="H2745" s="49">
        <f t="shared" si="2"/>
        <v>61190</v>
      </c>
    </row>
    <row r="2746">
      <c r="A2746" s="48" t="s">
        <v>2421</v>
      </c>
      <c r="B2746" s="38">
        <v>4026.0</v>
      </c>
      <c r="C2746" s="38" t="s">
        <v>4879</v>
      </c>
      <c r="D2746" s="38" t="str">
        <f>IFERROR(__xludf.DUMMYFUNCTION("REGEXREPLACE(C2746,""-\d+(.*)|--\d+(.*)"","""")"),"BELLAFFAIRE")</f>
        <v>BELLAFFAIRE</v>
      </c>
      <c r="E2746" s="38" t="s">
        <v>662</v>
      </c>
      <c r="F2746" s="38" t="s">
        <v>228</v>
      </c>
      <c r="G2746" s="49" t="str">
        <f t="shared" si="1"/>
        <v>04250</v>
      </c>
      <c r="H2746" s="49" t="str">
        <f t="shared" si="2"/>
        <v>04026</v>
      </c>
    </row>
    <row r="2747">
      <c r="A2747" s="48" t="s">
        <v>4880</v>
      </c>
      <c r="B2747" s="38">
        <v>89194.0</v>
      </c>
      <c r="C2747" s="38" t="s">
        <v>4881</v>
      </c>
      <c r="D2747" s="38" t="str">
        <f>IFERROR(__xludf.DUMMYFUNCTION("REGEXREPLACE(C2747,""-\d+(.*)|--\d+(.*)"","""")"),"GRIMAULT")</f>
        <v>GRIMAULT</v>
      </c>
      <c r="E2747" s="38" t="s">
        <v>275</v>
      </c>
      <c r="F2747" s="38" t="s">
        <v>106</v>
      </c>
      <c r="G2747" s="49" t="str">
        <f t="shared" si="1"/>
        <v>89310</v>
      </c>
      <c r="H2747" s="49">
        <f t="shared" si="2"/>
        <v>89194</v>
      </c>
    </row>
    <row r="2748">
      <c r="A2748" s="48" t="s">
        <v>4882</v>
      </c>
      <c r="B2748" s="38">
        <v>89242.0</v>
      </c>
      <c r="C2748" s="38" t="s">
        <v>4883</v>
      </c>
      <c r="D2748" s="38" t="str">
        <f>IFERROR(__xludf.DUMMYFUNCTION("REGEXREPLACE(C2748,""-\d+(.*)|--\d+(.*)"","""")"),"MALIGNY")</f>
        <v>MALIGNY</v>
      </c>
      <c r="E2748" s="38" t="s">
        <v>275</v>
      </c>
      <c r="F2748" s="38" t="s">
        <v>106</v>
      </c>
      <c r="G2748" s="49" t="str">
        <f t="shared" si="1"/>
        <v>89800</v>
      </c>
      <c r="H2748" s="49">
        <f t="shared" si="2"/>
        <v>89242</v>
      </c>
    </row>
    <row r="2749">
      <c r="A2749" s="48" t="s">
        <v>4884</v>
      </c>
      <c r="B2749" s="38">
        <v>72182.0</v>
      </c>
      <c r="C2749" s="38" t="s">
        <v>4885</v>
      </c>
      <c r="D2749" s="38" t="str">
        <f>IFERROR(__xludf.DUMMYFUNCTION("REGEXREPLACE(C2749,""-\d+(.*)|--\d+(.*)"","""")"),"MANSIGNE")</f>
        <v>MANSIGNE</v>
      </c>
      <c r="E2749" s="38" t="s">
        <v>521</v>
      </c>
      <c r="F2749" s="38" t="s">
        <v>180</v>
      </c>
      <c r="G2749" s="49" t="str">
        <f t="shared" si="1"/>
        <v>72510</v>
      </c>
      <c r="H2749" s="49">
        <f t="shared" si="2"/>
        <v>72182</v>
      </c>
    </row>
    <row r="2750">
      <c r="A2750" s="48" t="s">
        <v>4886</v>
      </c>
      <c r="B2750" s="38">
        <v>3197.0</v>
      </c>
      <c r="C2750" s="38" t="s">
        <v>4887</v>
      </c>
      <c r="D2750" s="38" t="str">
        <f>IFERROR(__xludf.DUMMYFUNCTION("REGEXREPLACE(C2750,""-\d+(.*)|--\d+(.*)"","""")"),"NEUILLY-LE-REAL")</f>
        <v>NEUILLY-LE-REAL</v>
      </c>
      <c r="E2750" s="38" t="s">
        <v>160</v>
      </c>
      <c r="F2750" s="38" t="s">
        <v>161</v>
      </c>
      <c r="G2750" s="49" t="str">
        <f t="shared" si="1"/>
        <v>03340</v>
      </c>
      <c r="H2750" s="49" t="str">
        <f t="shared" si="2"/>
        <v>03197</v>
      </c>
    </row>
    <row r="2751">
      <c r="A2751" s="48" t="s">
        <v>573</v>
      </c>
      <c r="B2751" s="38">
        <v>65143.0</v>
      </c>
      <c r="C2751" s="38" t="s">
        <v>4888</v>
      </c>
      <c r="D2751" s="38" t="str">
        <f>IFERROR(__xludf.DUMMYFUNCTION("REGEXREPLACE(C2751,""-\d+(.*)|--\d+(.*)"","""")"),"CHELLE-SPOU")</f>
        <v>CHELLE-SPOU</v>
      </c>
      <c r="E2751" s="38" t="s">
        <v>200</v>
      </c>
      <c r="F2751" s="38" t="s">
        <v>94</v>
      </c>
      <c r="G2751" s="49" t="str">
        <f t="shared" si="1"/>
        <v>65130</v>
      </c>
      <c r="H2751" s="49">
        <f t="shared" si="2"/>
        <v>65143</v>
      </c>
    </row>
    <row r="2752">
      <c r="A2752" s="48" t="s">
        <v>1695</v>
      </c>
      <c r="B2752" s="38">
        <v>80615.0</v>
      </c>
      <c r="C2752" s="38" t="s">
        <v>4889</v>
      </c>
      <c r="D2752" s="38" t="str">
        <f>IFERROR(__xludf.DUMMYFUNCTION("REGEXREPLACE(C2752,""-\d+(.*)|--\d+(.*)"","""")"),"OVILLERS-LA-BOISSELLE")</f>
        <v>OVILLERS-LA-BOISSELLE</v>
      </c>
      <c r="E2752" s="38" t="s">
        <v>224</v>
      </c>
      <c r="F2752" s="38" t="s">
        <v>113</v>
      </c>
      <c r="G2752" s="49" t="str">
        <f t="shared" si="1"/>
        <v>80300</v>
      </c>
      <c r="H2752" s="49">
        <f t="shared" si="2"/>
        <v>80615</v>
      </c>
    </row>
    <row r="2753">
      <c r="A2753" s="48" t="s">
        <v>1938</v>
      </c>
      <c r="B2753" s="38">
        <v>55420.0</v>
      </c>
      <c r="C2753" s="38" t="s">
        <v>4890</v>
      </c>
      <c r="D2753" s="38" t="str">
        <f>IFERROR(__xludf.DUMMYFUNCTION("REGEXREPLACE(C2753,""-\d+(.*)|--\d+(.*)"","""")"),"RECOURT-LE-CREUX")</f>
        <v>RECOURT-LE-CREUX</v>
      </c>
      <c r="E2753" s="38" t="s">
        <v>322</v>
      </c>
      <c r="F2753" s="38" t="s">
        <v>195</v>
      </c>
      <c r="G2753" s="49" t="str">
        <f t="shared" si="1"/>
        <v>55220</v>
      </c>
      <c r="H2753" s="49">
        <f t="shared" si="2"/>
        <v>55420</v>
      </c>
    </row>
    <row r="2754">
      <c r="A2754" s="48" t="s">
        <v>4891</v>
      </c>
      <c r="B2754" s="38">
        <v>76192.0</v>
      </c>
      <c r="C2754" s="38" t="s">
        <v>4892</v>
      </c>
      <c r="D2754" s="38" t="str">
        <f>IFERROR(__xludf.DUMMYFUNCTION("REGEXREPLACE(C2754,""-\d+(.*)|--\d+(.*)"","""")"),"CRIEL-SUR-MER")</f>
        <v>CRIEL-SUR-MER</v>
      </c>
      <c r="E2754" s="38" t="s">
        <v>133</v>
      </c>
      <c r="F2754" s="38" t="s">
        <v>134</v>
      </c>
      <c r="G2754" s="49" t="str">
        <f t="shared" si="1"/>
        <v>76910</v>
      </c>
      <c r="H2754" s="49">
        <f t="shared" si="2"/>
        <v>76192</v>
      </c>
    </row>
    <row r="2755">
      <c r="A2755" s="48" t="s">
        <v>4893</v>
      </c>
      <c r="B2755" s="38">
        <v>56254.0</v>
      </c>
      <c r="C2755" s="38" t="s">
        <v>4894</v>
      </c>
      <c r="D2755" s="38" t="str">
        <f>IFERROR(__xludf.DUMMYFUNCTION("REGEXREPLACE(C2755,""-\d+(.*)|--\d+(.*)"","""")"),"TREDION")</f>
        <v>TREDION</v>
      </c>
      <c r="E2755" s="38" t="s">
        <v>173</v>
      </c>
      <c r="F2755" s="38" t="s">
        <v>90</v>
      </c>
      <c r="G2755" s="49" t="str">
        <f t="shared" si="1"/>
        <v>56250</v>
      </c>
      <c r="H2755" s="49">
        <f t="shared" si="2"/>
        <v>56254</v>
      </c>
    </row>
    <row r="2756">
      <c r="A2756" s="48" t="s">
        <v>4895</v>
      </c>
      <c r="B2756" s="38">
        <v>34164.0</v>
      </c>
      <c r="C2756" s="38" t="s">
        <v>4896</v>
      </c>
      <c r="D2756" s="38" t="str">
        <f>IFERROR(__xludf.DUMMYFUNCTION("REGEXREPLACE(C2756,""-\d+(.*)|--\d+(.*)"","""")"),"MONTAUD")</f>
        <v>MONTAUD</v>
      </c>
      <c r="E2756" s="38" t="s">
        <v>118</v>
      </c>
      <c r="F2756" s="38" t="s">
        <v>119</v>
      </c>
      <c r="G2756" s="49" t="str">
        <f t="shared" si="1"/>
        <v>34160</v>
      </c>
      <c r="H2756" s="49">
        <f t="shared" si="2"/>
        <v>34164</v>
      </c>
    </row>
    <row r="2757">
      <c r="A2757" s="48" t="s">
        <v>2650</v>
      </c>
      <c r="B2757" s="38">
        <v>65475.0</v>
      </c>
      <c r="C2757" s="38" t="s">
        <v>4897</v>
      </c>
      <c r="D2757" s="38" t="str">
        <f>IFERROR(__xludf.DUMMYFUNCTION("REGEXREPLACE(C2757,""-\d+(.*)|--\d+(.*)"","""")"),"VILLEMUR")</f>
        <v>VILLEMUR</v>
      </c>
      <c r="E2757" s="38" t="s">
        <v>200</v>
      </c>
      <c r="F2757" s="38" t="s">
        <v>94</v>
      </c>
      <c r="G2757" s="49" t="str">
        <f t="shared" si="1"/>
        <v>65230</v>
      </c>
      <c r="H2757" s="49">
        <f t="shared" si="2"/>
        <v>65475</v>
      </c>
    </row>
    <row r="2758">
      <c r="A2758" s="48" t="s">
        <v>4898</v>
      </c>
      <c r="B2758" s="38">
        <v>27097.0</v>
      </c>
      <c r="C2758" s="38" t="s">
        <v>4899</v>
      </c>
      <c r="D2758" s="38" t="str">
        <f>IFERROR(__xludf.DUMMYFUNCTION("REGEXREPLACE(C2758,""-\d+(.*)|--\d+(.*)"","""")"),"BOUAFLES")</f>
        <v>BOUAFLES</v>
      </c>
      <c r="E2758" s="38" t="s">
        <v>241</v>
      </c>
      <c r="F2758" s="38" t="s">
        <v>134</v>
      </c>
      <c r="G2758" s="49" t="str">
        <f t="shared" si="1"/>
        <v>27700</v>
      </c>
      <c r="H2758" s="49">
        <f t="shared" si="2"/>
        <v>27097</v>
      </c>
    </row>
    <row r="2759">
      <c r="A2759" s="48" t="s">
        <v>4900</v>
      </c>
      <c r="B2759" s="38">
        <v>33295.0</v>
      </c>
      <c r="C2759" s="38" t="s">
        <v>4901</v>
      </c>
      <c r="D2759" s="38" t="str">
        <f>IFERROR(__xludf.DUMMYFUNCTION("REGEXREPLACE(C2759,""-\d+(.*)|--\d+(.*)"","""")"),"MOUILLAC")</f>
        <v>MOUILLAC</v>
      </c>
      <c r="E2759" s="38" t="s">
        <v>462</v>
      </c>
      <c r="F2759" s="38" t="s">
        <v>252</v>
      </c>
      <c r="G2759" s="49" t="str">
        <f t="shared" si="1"/>
        <v>33240</v>
      </c>
      <c r="H2759" s="49">
        <f t="shared" si="2"/>
        <v>33295</v>
      </c>
    </row>
    <row r="2760">
      <c r="A2760" s="48" t="s">
        <v>4902</v>
      </c>
      <c r="B2760" s="38">
        <v>61166.0</v>
      </c>
      <c r="C2760" s="38" t="s">
        <v>4903</v>
      </c>
      <c r="D2760" s="38" t="str">
        <f>IFERROR(__xludf.DUMMYFUNCTION("REGEXREPLACE(C2760,""-\d+(.*)|--\d+(.*)"","""")"),"FERRIERES-LA-VERRERIE")</f>
        <v>FERRIERES-LA-VERRERIE</v>
      </c>
      <c r="E2760" s="38" t="s">
        <v>141</v>
      </c>
      <c r="F2760" s="38" t="s">
        <v>138</v>
      </c>
      <c r="G2760" s="49" t="str">
        <f t="shared" si="1"/>
        <v>61390</v>
      </c>
      <c r="H2760" s="49">
        <f t="shared" si="2"/>
        <v>61166</v>
      </c>
    </row>
    <row r="2761">
      <c r="A2761" s="48" t="s">
        <v>436</v>
      </c>
      <c r="B2761" s="38">
        <v>51315.0</v>
      </c>
      <c r="C2761" s="38" t="s">
        <v>4904</v>
      </c>
      <c r="D2761" s="38" t="str">
        <f>IFERROR(__xludf.DUMMYFUNCTION("REGEXREPLACE(C2761,""-\d+(.*)|--\d+(.*)"","""")"),"LANDRICOURT")</f>
        <v>LANDRICOURT</v>
      </c>
      <c r="E2761" s="38" t="s">
        <v>129</v>
      </c>
      <c r="F2761" s="38" t="s">
        <v>130</v>
      </c>
      <c r="G2761" s="49" t="str">
        <f t="shared" si="1"/>
        <v>51290</v>
      </c>
      <c r="H2761" s="49">
        <f t="shared" si="2"/>
        <v>51315</v>
      </c>
    </row>
    <row r="2762">
      <c r="A2762" s="48" t="s">
        <v>4905</v>
      </c>
      <c r="B2762" s="38">
        <v>64040.0</v>
      </c>
      <c r="C2762" s="38" t="s">
        <v>4906</v>
      </c>
      <c r="D2762" s="38" t="str">
        <f>IFERROR(__xludf.DUMMYFUNCTION("REGEXREPLACE(C2762,""-\d+(.*)|--\d+(.*)"","""")"),"ARETTE")</f>
        <v>ARETTE</v>
      </c>
      <c r="E2762" s="38" t="s">
        <v>268</v>
      </c>
      <c r="F2762" s="38" t="s">
        <v>252</v>
      </c>
      <c r="G2762" s="49" t="str">
        <f t="shared" si="1"/>
        <v>64570</v>
      </c>
      <c r="H2762" s="49">
        <f t="shared" si="2"/>
        <v>64040</v>
      </c>
    </row>
    <row r="2763">
      <c r="A2763" s="48" t="s">
        <v>4907</v>
      </c>
      <c r="B2763" s="38">
        <v>73308.0</v>
      </c>
      <c r="C2763" s="38" t="s">
        <v>4908</v>
      </c>
      <c r="D2763" s="38" t="str">
        <f>IFERROR(__xludf.DUMMYFUNCTION("REGEXREPLACE(C2763,""-\d+(.*)|--\d+(.*)"","""")"),"VENTHON")</f>
        <v>VENTHON</v>
      </c>
      <c r="E2763" s="38" t="s">
        <v>306</v>
      </c>
      <c r="F2763" s="38" t="s">
        <v>102</v>
      </c>
      <c r="G2763" s="49" t="str">
        <f t="shared" si="1"/>
        <v>73200</v>
      </c>
      <c r="H2763" s="49">
        <f t="shared" si="2"/>
        <v>73308</v>
      </c>
    </row>
    <row r="2764">
      <c r="A2764" s="48" t="s">
        <v>1686</v>
      </c>
      <c r="B2764" s="38">
        <v>51425.0</v>
      </c>
      <c r="C2764" s="38" t="s">
        <v>4909</v>
      </c>
      <c r="D2764" s="38" t="str">
        <f>IFERROR(__xludf.DUMMYFUNCTION("REGEXREPLACE(C2764,""-\d+(.*)|--\d+(.*)"","""")"),"PASSY-GRIGNY")</f>
        <v>PASSY-GRIGNY</v>
      </c>
      <c r="E2764" s="38" t="s">
        <v>129</v>
      </c>
      <c r="F2764" s="38" t="s">
        <v>130</v>
      </c>
      <c r="G2764" s="49" t="str">
        <f t="shared" si="1"/>
        <v>51700</v>
      </c>
      <c r="H2764" s="49">
        <f t="shared" si="2"/>
        <v>51425</v>
      </c>
    </row>
    <row r="2765">
      <c r="A2765" s="48" t="s">
        <v>1796</v>
      </c>
      <c r="B2765" s="38">
        <v>31045.0</v>
      </c>
      <c r="C2765" s="38" t="s">
        <v>4910</v>
      </c>
      <c r="D2765" s="38" t="str">
        <f>IFERROR(__xludf.DUMMYFUNCTION("REGEXREPLACE(C2765,""-\d+(.*)|--\d+(.*)"","""")"),"BARBAZAN")</f>
        <v>BARBAZAN</v>
      </c>
      <c r="E2765" s="38" t="s">
        <v>93</v>
      </c>
      <c r="F2765" s="38" t="s">
        <v>94</v>
      </c>
      <c r="G2765" s="49" t="str">
        <f t="shared" si="1"/>
        <v>31510</v>
      </c>
      <c r="H2765" s="49">
        <f t="shared" si="2"/>
        <v>31045</v>
      </c>
    </row>
    <row r="2766">
      <c r="A2766" s="48" t="s">
        <v>1029</v>
      </c>
      <c r="B2766" s="38">
        <v>9334.0</v>
      </c>
      <c r="C2766" s="38" t="s">
        <v>4911</v>
      </c>
      <c r="D2766" s="38" t="str">
        <f>IFERROR(__xludf.DUMMYFUNCTION("REGEXREPLACE(C2766,""-\d+(.*)|--\d+(.*)"","""")"),"VICDESSOS")</f>
        <v>VICDESSOS</v>
      </c>
      <c r="E2766" s="38" t="s">
        <v>238</v>
      </c>
      <c r="F2766" s="38" t="s">
        <v>94</v>
      </c>
      <c r="G2766" s="49" t="str">
        <f t="shared" si="1"/>
        <v>09220</v>
      </c>
      <c r="H2766" s="49" t="str">
        <f t="shared" si="2"/>
        <v>09334</v>
      </c>
    </row>
    <row r="2767">
      <c r="A2767" s="48" t="s">
        <v>3044</v>
      </c>
      <c r="B2767" s="38">
        <v>88082.0</v>
      </c>
      <c r="C2767" s="38" t="s">
        <v>4912</v>
      </c>
      <c r="D2767" s="38" t="str">
        <f>IFERROR(__xludf.DUMMYFUNCTION("REGEXREPLACE(C2767,""-\d+(.*)|--\d+(.*)"","""")"),"CELLES-SUR-PLAINE")</f>
        <v>CELLES-SUR-PLAINE</v>
      </c>
      <c r="E2767" s="38" t="s">
        <v>194</v>
      </c>
      <c r="F2767" s="38" t="s">
        <v>195</v>
      </c>
      <c r="G2767" s="49" t="str">
        <f t="shared" si="1"/>
        <v>88110</v>
      </c>
      <c r="H2767" s="49">
        <f t="shared" si="2"/>
        <v>88082</v>
      </c>
    </row>
    <row r="2768">
      <c r="A2768" s="48" t="s">
        <v>2976</v>
      </c>
      <c r="B2768" s="38">
        <v>14557.0</v>
      </c>
      <c r="C2768" s="38" t="s">
        <v>4913</v>
      </c>
      <c r="D2768" s="38" t="str">
        <f>IFERROR(__xludf.DUMMYFUNCTION("REGEXREPLACE(C2768,""-\d+(.*)|--\d+(.*)"","""")"),"SAINT-ARNOULT")</f>
        <v>SAINT-ARNOULT</v>
      </c>
      <c r="E2768" s="38" t="s">
        <v>137</v>
      </c>
      <c r="F2768" s="38" t="s">
        <v>138</v>
      </c>
      <c r="G2768" s="49" t="str">
        <f t="shared" si="1"/>
        <v>14800</v>
      </c>
      <c r="H2768" s="49">
        <f t="shared" si="2"/>
        <v>14557</v>
      </c>
    </row>
    <row r="2769">
      <c r="A2769" s="48" t="s">
        <v>4914</v>
      </c>
      <c r="B2769" s="38">
        <v>57620.0</v>
      </c>
      <c r="C2769" s="38" t="s">
        <v>4915</v>
      </c>
      <c r="D2769" s="38" t="str">
        <f>IFERROR(__xludf.DUMMYFUNCTION("REGEXREPLACE(C2769,""-\d+(.*)|--\d+(.*)"","""")"),"SAINTE-MARIE-AUX-CHENES")</f>
        <v>SAINTE-MARIE-AUX-CHENES</v>
      </c>
      <c r="E2769" s="38" t="s">
        <v>303</v>
      </c>
      <c r="F2769" s="38" t="s">
        <v>195</v>
      </c>
      <c r="G2769" s="49" t="str">
        <f t="shared" si="1"/>
        <v>57255</v>
      </c>
      <c r="H2769" s="49">
        <f t="shared" si="2"/>
        <v>57620</v>
      </c>
    </row>
    <row r="2770">
      <c r="A2770" s="48" t="s">
        <v>1006</v>
      </c>
      <c r="B2770" s="38">
        <v>16355.0</v>
      </c>
      <c r="C2770" s="38" t="s">
        <v>4916</v>
      </c>
      <c r="D2770" s="38" t="str">
        <f>IFERROR(__xludf.DUMMYFUNCTION("REGEXREPLACE(C2770,""-\d+(.*)|--\d+(.*)"","""")"),"SAINT-SULPICE-DE-COGNAC")</f>
        <v>SAINT-SULPICE-DE-COGNAC</v>
      </c>
      <c r="E2770" s="38" t="s">
        <v>429</v>
      </c>
      <c r="F2770" s="38" t="s">
        <v>338</v>
      </c>
      <c r="G2770" s="49" t="str">
        <f t="shared" si="1"/>
        <v>16370</v>
      </c>
      <c r="H2770" s="49">
        <f t="shared" si="2"/>
        <v>16355</v>
      </c>
    </row>
    <row r="2771">
      <c r="A2771" s="48" t="s">
        <v>4917</v>
      </c>
      <c r="B2771" s="38">
        <v>76330.0</v>
      </c>
      <c r="C2771" s="38" t="s">
        <v>4918</v>
      </c>
      <c r="D2771" s="38" t="str">
        <f>IFERROR(__xludf.DUMMYFUNCTION("REGEXREPLACE(C2771,""-\d+(.*)|--\d+(.*)"","""")"),"GRUCHET-SAINT-SIMEON")</f>
        <v>GRUCHET-SAINT-SIMEON</v>
      </c>
      <c r="E2771" s="38" t="s">
        <v>133</v>
      </c>
      <c r="F2771" s="38" t="s">
        <v>134</v>
      </c>
      <c r="G2771" s="49" t="str">
        <f t="shared" si="1"/>
        <v>76810</v>
      </c>
      <c r="H2771" s="49">
        <f t="shared" si="2"/>
        <v>76330</v>
      </c>
    </row>
    <row r="2772">
      <c r="A2772" s="48" t="s">
        <v>232</v>
      </c>
      <c r="B2772" s="38">
        <v>52016.0</v>
      </c>
      <c r="C2772" s="38" t="s">
        <v>4919</v>
      </c>
      <c r="D2772" s="38" t="str">
        <f>IFERROR(__xludf.DUMMYFUNCTION("REGEXREPLACE(C2772,""-\d+(.*)|--\d+(.*)"","""")"),"ARBOT")</f>
        <v>ARBOT</v>
      </c>
      <c r="E2772" s="38" t="s">
        <v>234</v>
      </c>
      <c r="F2772" s="38" t="s">
        <v>130</v>
      </c>
      <c r="G2772" s="49" t="str">
        <f t="shared" si="1"/>
        <v>52160</v>
      </c>
      <c r="H2772" s="49">
        <f t="shared" si="2"/>
        <v>52016</v>
      </c>
    </row>
    <row r="2773">
      <c r="A2773" s="48" t="s">
        <v>3783</v>
      </c>
      <c r="B2773" s="38">
        <v>62694.0</v>
      </c>
      <c r="C2773" s="38" t="s">
        <v>4920</v>
      </c>
      <c r="D2773" s="38" t="str">
        <f>IFERROR(__xludf.DUMMYFUNCTION("REGEXREPLACE(C2773,""-\d+(.*)|--\d+(.*)"","""")"),"REBREUVE-SUR-CANCHE")</f>
        <v>REBREUVE-SUR-CANCHE</v>
      </c>
      <c r="E2773" s="38" t="s">
        <v>109</v>
      </c>
      <c r="F2773" s="38" t="s">
        <v>86</v>
      </c>
      <c r="G2773" s="49" t="str">
        <f t="shared" si="1"/>
        <v>62270</v>
      </c>
      <c r="H2773" s="49">
        <f t="shared" si="2"/>
        <v>62694</v>
      </c>
    </row>
    <row r="2774">
      <c r="A2774" s="48" t="s">
        <v>4921</v>
      </c>
      <c r="B2774" s="38">
        <v>14543.0</v>
      </c>
      <c r="C2774" s="38" t="s">
        <v>4922</v>
      </c>
      <c r="D2774" s="38" t="str">
        <f>IFERROR(__xludf.DUMMYFUNCTION("REGEXREPLACE(C2774,""-\d+(.*)|--\d+(.*)"","""")"),"ROTS")</f>
        <v>ROTS</v>
      </c>
      <c r="E2774" s="38" t="s">
        <v>137</v>
      </c>
      <c r="F2774" s="38" t="s">
        <v>138</v>
      </c>
      <c r="G2774" s="49" t="str">
        <f t="shared" si="1"/>
        <v>14980</v>
      </c>
      <c r="H2774" s="49">
        <f t="shared" si="2"/>
        <v>14543</v>
      </c>
    </row>
    <row r="2775">
      <c r="A2775" s="48" t="s">
        <v>4923</v>
      </c>
      <c r="B2775" s="38">
        <v>61072.0</v>
      </c>
      <c r="C2775" s="38" t="s">
        <v>2977</v>
      </c>
      <c r="D2775" s="38" t="str">
        <f>IFERROR(__xludf.DUMMYFUNCTION("REGEXREPLACE(C2775,""-\d+(.*)|--\d+(.*)"","""")"),"CANAPVILLE")</f>
        <v>CANAPVILLE</v>
      </c>
      <c r="E2775" s="38" t="s">
        <v>141</v>
      </c>
      <c r="F2775" s="38" t="s">
        <v>138</v>
      </c>
      <c r="G2775" s="49" t="str">
        <f t="shared" si="1"/>
        <v>61120</v>
      </c>
      <c r="H2775" s="49">
        <f t="shared" si="2"/>
        <v>61072</v>
      </c>
    </row>
    <row r="2776">
      <c r="A2776" s="48" t="s">
        <v>4924</v>
      </c>
      <c r="B2776" s="38">
        <v>56122.0</v>
      </c>
      <c r="C2776" s="38" t="s">
        <v>4925</v>
      </c>
      <c r="D2776" s="38" t="str">
        <f>IFERROR(__xludf.DUMMYFUNCTION("REGEXREPLACE(C2776,""-\d+(.*)|--\d+(.*)"","""")"),"LOYAT")</f>
        <v>LOYAT</v>
      </c>
      <c r="E2776" s="38" t="s">
        <v>173</v>
      </c>
      <c r="F2776" s="38" t="s">
        <v>90</v>
      </c>
      <c r="G2776" s="49" t="str">
        <f t="shared" si="1"/>
        <v>56800</v>
      </c>
      <c r="H2776" s="49">
        <f t="shared" si="2"/>
        <v>56122</v>
      </c>
    </row>
    <row r="2777">
      <c r="A2777" s="48" t="s">
        <v>4926</v>
      </c>
      <c r="B2777" s="38">
        <v>14445.0</v>
      </c>
      <c r="C2777" s="38" t="s">
        <v>4927</v>
      </c>
      <c r="D2777" s="38" t="str">
        <f>IFERROR(__xludf.DUMMYFUNCTION("REGEXREPLACE(C2777,""-\d+(.*)|--\d+(.*)"","""")"),"MONTFIQUET")</f>
        <v>MONTFIQUET</v>
      </c>
      <c r="E2777" s="38" t="s">
        <v>137</v>
      </c>
      <c r="F2777" s="38" t="s">
        <v>138</v>
      </c>
      <c r="G2777" s="49" t="str">
        <f t="shared" si="1"/>
        <v>14490</v>
      </c>
      <c r="H2777" s="49">
        <f t="shared" si="2"/>
        <v>14445</v>
      </c>
    </row>
    <row r="2778">
      <c r="A2778" s="48" t="s">
        <v>3467</v>
      </c>
      <c r="B2778" s="38">
        <v>72151.0</v>
      </c>
      <c r="C2778" s="38" t="s">
        <v>4928</v>
      </c>
      <c r="D2778" s="38" t="str">
        <f>IFERROR(__xludf.DUMMYFUNCTION("REGEXREPLACE(C2778,""-\d+(.*)|--\d+(.*)"","""")"),"JUIGNE-SUR-SARTHE")</f>
        <v>JUIGNE-SUR-SARTHE</v>
      </c>
      <c r="E2778" s="38" t="s">
        <v>521</v>
      </c>
      <c r="F2778" s="38" t="s">
        <v>180</v>
      </c>
      <c r="G2778" s="49" t="str">
        <f t="shared" si="1"/>
        <v>72300</v>
      </c>
      <c r="H2778" s="49">
        <f t="shared" si="2"/>
        <v>72151</v>
      </c>
    </row>
    <row r="2779">
      <c r="A2779" s="48" t="s">
        <v>4929</v>
      </c>
      <c r="B2779" s="38">
        <v>12163.0</v>
      </c>
      <c r="C2779" s="38" t="s">
        <v>4930</v>
      </c>
      <c r="D2779" s="38" t="str">
        <f>IFERROR(__xludf.DUMMYFUNCTION("REGEXREPLACE(C2779,""-\d+(.*)|--\d+(.*)"","""")"),"MURASSON")</f>
        <v>MURASSON</v>
      </c>
      <c r="E2779" s="38" t="s">
        <v>465</v>
      </c>
      <c r="F2779" s="38" t="s">
        <v>94</v>
      </c>
      <c r="G2779" s="49" t="str">
        <f t="shared" si="1"/>
        <v>12370</v>
      </c>
      <c r="H2779" s="49">
        <f t="shared" si="2"/>
        <v>12163</v>
      </c>
    </row>
    <row r="2780">
      <c r="A2780" s="48" t="s">
        <v>2503</v>
      </c>
      <c r="B2780" s="38">
        <v>33370.0</v>
      </c>
      <c r="C2780" s="38" t="s">
        <v>4931</v>
      </c>
      <c r="D2780" s="38" t="str">
        <f>IFERROR(__xludf.DUMMYFUNCTION("REGEXREPLACE(C2780,""-\d+(.*)|--\d+(.*)"","""")"),"SAINT-ANDRONY")</f>
        <v>SAINT-ANDRONY</v>
      </c>
      <c r="E2780" s="38" t="s">
        <v>462</v>
      </c>
      <c r="F2780" s="38" t="s">
        <v>252</v>
      </c>
      <c r="G2780" s="49" t="str">
        <f t="shared" si="1"/>
        <v>33390</v>
      </c>
      <c r="H2780" s="49">
        <f t="shared" si="2"/>
        <v>33370</v>
      </c>
    </row>
    <row r="2781">
      <c r="A2781" s="48" t="s">
        <v>3532</v>
      </c>
      <c r="B2781" s="38">
        <v>2605.0</v>
      </c>
      <c r="C2781" s="38" t="s">
        <v>4932</v>
      </c>
      <c r="D2781" s="38" t="str">
        <f>IFERROR(__xludf.DUMMYFUNCTION("REGEXREPLACE(C2781,""-\d+(.*)|--\d+(.*)"","""")"),"PLEINE-SELVE")</f>
        <v>PLEINE-SELVE</v>
      </c>
      <c r="E2781" s="38" t="s">
        <v>191</v>
      </c>
      <c r="F2781" s="38" t="s">
        <v>113</v>
      </c>
      <c r="G2781" s="49" t="str">
        <f t="shared" si="1"/>
        <v>02240</v>
      </c>
      <c r="H2781" s="49" t="str">
        <f t="shared" si="2"/>
        <v>02605</v>
      </c>
    </row>
    <row r="2782">
      <c r="A2782" s="48" t="s">
        <v>1966</v>
      </c>
      <c r="B2782" s="38">
        <v>2017.0</v>
      </c>
      <c r="C2782" s="38" t="s">
        <v>4933</v>
      </c>
      <c r="D2782" s="38" t="str">
        <f>IFERROR(__xludf.DUMMYFUNCTION("REGEXREPLACE(C2782,""-\d+(.*)|--\d+(.*)"","""")"),"ANGUILCOURT-LE-SART")</f>
        <v>ANGUILCOURT-LE-SART</v>
      </c>
      <c r="E2782" s="38" t="s">
        <v>191</v>
      </c>
      <c r="F2782" s="38" t="s">
        <v>113</v>
      </c>
      <c r="G2782" s="49" t="str">
        <f t="shared" si="1"/>
        <v>02800</v>
      </c>
      <c r="H2782" s="49" t="str">
        <f t="shared" si="2"/>
        <v>02017</v>
      </c>
    </row>
    <row r="2783">
      <c r="A2783" s="48" t="s">
        <v>4934</v>
      </c>
      <c r="B2783" s="38">
        <v>44071.0</v>
      </c>
      <c r="C2783" s="38" t="s">
        <v>4935</v>
      </c>
      <c r="D2783" s="38" t="str">
        <f>IFERROR(__xludf.DUMMYFUNCTION("REGEXREPLACE(C2783,""-\d+(.*)|--\d+(.*)"","""")"),"HAUTE-GOULAINE")</f>
        <v>HAUTE-GOULAINE</v>
      </c>
      <c r="E2783" s="38" t="s">
        <v>759</v>
      </c>
      <c r="F2783" s="38" t="s">
        <v>180</v>
      </c>
      <c r="G2783" s="49" t="str">
        <f t="shared" si="1"/>
        <v>44115</v>
      </c>
      <c r="H2783" s="49">
        <f t="shared" si="2"/>
        <v>44071</v>
      </c>
    </row>
    <row r="2784">
      <c r="A2784" s="48" t="s">
        <v>4570</v>
      </c>
      <c r="B2784" s="38">
        <v>57069.0</v>
      </c>
      <c r="C2784" s="38" t="s">
        <v>4936</v>
      </c>
      <c r="D2784" s="38" t="str">
        <f>IFERROR(__xludf.DUMMYFUNCTION("REGEXREPLACE(C2784,""-\d+(.*)|--\d+(.*)"","""")"),"BERVILLER-EN-MOSELLE")</f>
        <v>BERVILLER-EN-MOSELLE</v>
      </c>
      <c r="E2784" s="38" t="s">
        <v>303</v>
      </c>
      <c r="F2784" s="38" t="s">
        <v>195</v>
      </c>
      <c r="G2784" s="49" t="str">
        <f t="shared" si="1"/>
        <v>57550</v>
      </c>
      <c r="H2784" s="49">
        <f t="shared" si="2"/>
        <v>57069</v>
      </c>
    </row>
    <row r="2785">
      <c r="A2785" s="48" t="s">
        <v>2510</v>
      </c>
      <c r="B2785" s="38">
        <v>22247.0</v>
      </c>
      <c r="C2785" s="38" t="s">
        <v>4937</v>
      </c>
      <c r="D2785" s="38" t="str">
        <f>IFERROR(__xludf.DUMMYFUNCTION("REGEXREPLACE(C2785,""-\d+(.*)|--\d+(.*)"","""")"),"POMMERIT-JAUDY")</f>
        <v>POMMERIT-JAUDY</v>
      </c>
      <c r="E2785" s="38" t="s">
        <v>89</v>
      </c>
      <c r="F2785" s="38" t="s">
        <v>90</v>
      </c>
      <c r="G2785" s="49" t="str">
        <f t="shared" si="1"/>
        <v>22450</v>
      </c>
      <c r="H2785" s="49">
        <f t="shared" si="2"/>
        <v>22247</v>
      </c>
    </row>
    <row r="2786">
      <c r="A2786" s="48" t="s">
        <v>573</v>
      </c>
      <c r="B2786" s="38">
        <v>65241.0</v>
      </c>
      <c r="C2786" s="38" t="s">
        <v>4938</v>
      </c>
      <c r="D2786" s="38" t="str">
        <f>IFERROR(__xludf.DUMMYFUNCTION("REGEXREPLACE(C2786,""-\d+(.*)|--\d+(.*)"","""")"),"LABORDE")</f>
        <v>LABORDE</v>
      </c>
      <c r="E2786" s="38" t="s">
        <v>200</v>
      </c>
      <c r="F2786" s="38" t="s">
        <v>94</v>
      </c>
      <c r="G2786" s="49" t="str">
        <f t="shared" si="1"/>
        <v>65130</v>
      </c>
      <c r="H2786" s="49">
        <f t="shared" si="2"/>
        <v>65241</v>
      </c>
    </row>
    <row r="2787">
      <c r="A2787" s="48" t="s">
        <v>4939</v>
      </c>
      <c r="B2787" s="38">
        <v>23051.0</v>
      </c>
      <c r="C2787" s="38" t="s">
        <v>4940</v>
      </c>
      <c r="D2787" s="38" t="str">
        <f>IFERROR(__xludf.DUMMYFUNCTION("REGEXREPLACE(C2787,""-\d+(.*)|--\d+(.*)"","""")"),"LA CHAPELLE-SAINT-MARTIAL")</f>
        <v>LA CHAPELLE-SAINT-MARTIAL</v>
      </c>
      <c r="E2787" s="38" t="s">
        <v>97</v>
      </c>
      <c r="F2787" s="38" t="s">
        <v>98</v>
      </c>
      <c r="G2787" s="49" t="str">
        <f t="shared" si="1"/>
        <v>23250</v>
      </c>
      <c r="H2787" s="49">
        <f t="shared" si="2"/>
        <v>23051</v>
      </c>
    </row>
    <row r="2788">
      <c r="A2788" s="48" t="s">
        <v>4941</v>
      </c>
      <c r="B2788" s="38">
        <v>89343.0</v>
      </c>
      <c r="C2788" s="38" t="s">
        <v>4942</v>
      </c>
      <c r="D2788" s="38" t="str">
        <f>IFERROR(__xludf.DUMMYFUNCTION("REGEXREPLACE(C2788,""-\d+(.*)|--\d+(.*)"","""")"),"SAINT-DENIS-SUR-OUANNE")</f>
        <v>SAINT-DENIS-SUR-OUANNE</v>
      </c>
      <c r="E2788" s="38" t="s">
        <v>275</v>
      </c>
      <c r="F2788" s="38" t="s">
        <v>106</v>
      </c>
      <c r="G2788" s="49" t="str">
        <f t="shared" si="1"/>
        <v>89120</v>
      </c>
      <c r="H2788" s="49">
        <f t="shared" si="2"/>
        <v>89343</v>
      </c>
    </row>
    <row r="2789">
      <c r="A2789" s="48" t="s">
        <v>4840</v>
      </c>
      <c r="B2789" s="38">
        <v>16307.0</v>
      </c>
      <c r="C2789" s="38" t="s">
        <v>4943</v>
      </c>
      <c r="D2789" s="38" t="str">
        <f>IFERROR(__xludf.DUMMYFUNCTION("REGEXREPLACE(C2789,""-\d+(.*)|--\d+(.*)"","""")"),"SAINT-CIERS-SUR-BONNIEURE")</f>
        <v>SAINT-CIERS-SUR-BONNIEURE</v>
      </c>
      <c r="E2789" s="38" t="s">
        <v>429</v>
      </c>
      <c r="F2789" s="38" t="s">
        <v>338</v>
      </c>
      <c r="G2789" s="49" t="str">
        <f t="shared" si="1"/>
        <v>16230</v>
      </c>
      <c r="H2789" s="49">
        <f t="shared" si="2"/>
        <v>16307</v>
      </c>
    </row>
    <row r="2790">
      <c r="A2790" s="48" t="s">
        <v>3904</v>
      </c>
      <c r="B2790" s="38">
        <v>43197.0</v>
      </c>
      <c r="C2790" s="38" t="s">
        <v>4944</v>
      </c>
      <c r="D2790" s="38" t="str">
        <f>IFERROR(__xludf.DUMMYFUNCTION("REGEXREPLACE(C2790,""-\d+(.*)|--\d+(.*)"","""")"),"SAINT-JEAN-DE-NAY")</f>
        <v>SAINT-JEAN-DE-NAY</v>
      </c>
      <c r="E2790" s="38" t="s">
        <v>332</v>
      </c>
      <c r="F2790" s="38" t="s">
        <v>161</v>
      </c>
      <c r="G2790" s="49" t="str">
        <f t="shared" si="1"/>
        <v>43320</v>
      </c>
      <c r="H2790" s="49">
        <f t="shared" si="2"/>
        <v>43197</v>
      </c>
    </row>
    <row r="2791">
      <c r="A2791" s="48" t="s">
        <v>4945</v>
      </c>
      <c r="B2791" s="38" t="s">
        <v>4946</v>
      </c>
      <c r="C2791" s="38" t="s">
        <v>4947</v>
      </c>
      <c r="D2791" s="38" t="str">
        <f>IFERROR(__xludf.DUMMYFUNCTION("REGEXREPLACE(C2791,""-\d+(.*)|--\d+(.*)"","""")"),"GIUNCHETO")</f>
        <v>GIUNCHETO</v>
      </c>
      <c r="E2791" s="38" t="s">
        <v>606</v>
      </c>
      <c r="F2791" s="38" t="s">
        <v>607</v>
      </c>
      <c r="G2791" s="49" t="str">
        <f t="shared" si="1"/>
        <v>20100</v>
      </c>
      <c r="H2791" s="49" t="str">
        <f t="shared" si="2"/>
        <v>2A127</v>
      </c>
    </row>
    <row r="2792">
      <c r="A2792" s="48" t="s">
        <v>4044</v>
      </c>
      <c r="B2792" s="38">
        <v>52180.0</v>
      </c>
      <c r="C2792" s="38" t="s">
        <v>4948</v>
      </c>
      <c r="D2792" s="38" t="str">
        <f>IFERROR(__xludf.DUMMYFUNCTION("REGEXREPLACE(C2792,""-\d+(.*)|--\d+(.*)"","""")"),"DROYES")</f>
        <v>DROYES</v>
      </c>
      <c r="E2792" s="38" t="s">
        <v>234</v>
      </c>
      <c r="F2792" s="38" t="s">
        <v>130</v>
      </c>
      <c r="G2792" s="49" t="str">
        <f t="shared" si="1"/>
        <v>52220</v>
      </c>
      <c r="H2792" s="49">
        <f t="shared" si="2"/>
        <v>52180</v>
      </c>
    </row>
    <row r="2793">
      <c r="A2793" s="48" t="s">
        <v>2659</v>
      </c>
      <c r="B2793" s="38">
        <v>80624.0</v>
      </c>
      <c r="C2793" s="38" t="s">
        <v>4949</v>
      </c>
      <c r="D2793" s="38" t="str">
        <f>IFERROR(__xludf.DUMMYFUNCTION("REGEXREPLACE(C2793,""-\d+(.*)|--\d+(.*)"","""")"),"PIERREGOT")</f>
        <v>PIERREGOT</v>
      </c>
      <c r="E2793" s="38" t="s">
        <v>224</v>
      </c>
      <c r="F2793" s="38" t="s">
        <v>113</v>
      </c>
      <c r="G2793" s="49" t="str">
        <f t="shared" si="1"/>
        <v>80260</v>
      </c>
      <c r="H2793" s="49">
        <f t="shared" si="2"/>
        <v>80624</v>
      </c>
    </row>
    <row r="2794">
      <c r="A2794" s="48" t="s">
        <v>2083</v>
      </c>
      <c r="B2794" s="38">
        <v>17304.0</v>
      </c>
      <c r="C2794" s="38" t="s">
        <v>4950</v>
      </c>
      <c r="D2794" s="38" t="str">
        <f>IFERROR(__xludf.DUMMYFUNCTION("REGEXREPLACE(C2794,""-\d+(.*)|--\d+(.*)"","""")"),"ROUFFIAC")</f>
        <v>ROUFFIAC</v>
      </c>
      <c r="E2794" s="38" t="s">
        <v>488</v>
      </c>
      <c r="F2794" s="38" t="s">
        <v>338</v>
      </c>
      <c r="G2794" s="49" t="str">
        <f t="shared" si="1"/>
        <v>17800</v>
      </c>
      <c r="H2794" s="49">
        <f t="shared" si="2"/>
        <v>17304</v>
      </c>
    </row>
    <row r="2795">
      <c r="A2795" s="48" t="s">
        <v>4951</v>
      </c>
      <c r="B2795" s="38">
        <v>16026.0</v>
      </c>
      <c r="C2795" s="38" t="s">
        <v>4952</v>
      </c>
      <c r="D2795" s="38" t="str">
        <f>IFERROR(__xludf.DUMMYFUNCTION("REGEXREPLACE(C2795,""-\d+(.*)|--\d+(.*)"","""")"),"BALZAC")</f>
        <v>BALZAC</v>
      </c>
      <c r="E2795" s="38" t="s">
        <v>429</v>
      </c>
      <c r="F2795" s="38" t="s">
        <v>338</v>
      </c>
      <c r="G2795" s="49" t="str">
        <f t="shared" si="1"/>
        <v>16430</v>
      </c>
      <c r="H2795" s="49">
        <f t="shared" si="2"/>
        <v>16026</v>
      </c>
    </row>
    <row r="2796">
      <c r="A2796" s="48" t="s">
        <v>4953</v>
      </c>
      <c r="B2796" s="38">
        <v>95142.0</v>
      </c>
      <c r="C2796" s="38" t="s">
        <v>4954</v>
      </c>
      <c r="D2796" s="38" t="str">
        <f>IFERROR(__xludf.DUMMYFUNCTION("REGEXREPLACE(C2796,""-\d+(.*)|--\d+(.*)"","""")"),"CHARS")</f>
        <v>CHARS</v>
      </c>
      <c r="E2796" s="38" t="s">
        <v>541</v>
      </c>
      <c r="F2796" s="38" t="s">
        <v>245</v>
      </c>
      <c r="G2796" s="49" t="str">
        <f t="shared" si="1"/>
        <v>95750</v>
      </c>
      <c r="H2796" s="49">
        <f t="shared" si="2"/>
        <v>95142</v>
      </c>
    </row>
    <row r="2797">
      <c r="A2797" s="48" t="s">
        <v>4955</v>
      </c>
      <c r="B2797" s="38">
        <v>4167.0</v>
      </c>
      <c r="C2797" s="38" t="s">
        <v>4956</v>
      </c>
      <c r="D2797" s="38" t="str">
        <f>IFERROR(__xludf.DUMMYFUNCTION("REGEXREPLACE(C2797,""-\d+(.*)|--\d+(.*)"","""")"),"LA ROBINE-SUR-GALABRE")</f>
        <v>LA ROBINE-SUR-GALABRE</v>
      </c>
      <c r="E2797" s="38" t="s">
        <v>662</v>
      </c>
      <c r="F2797" s="38" t="s">
        <v>228</v>
      </c>
      <c r="G2797" s="49" t="str">
        <f t="shared" si="1"/>
        <v>04000</v>
      </c>
      <c r="H2797" s="49" t="str">
        <f t="shared" si="2"/>
        <v>04167</v>
      </c>
    </row>
    <row r="2798">
      <c r="A2798" s="48" t="s">
        <v>4957</v>
      </c>
      <c r="B2798" s="38">
        <v>13057.0</v>
      </c>
      <c r="C2798" s="38" t="s">
        <v>4958</v>
      </c>
      <c r="D2798" s="38" t="str">
        <f>IFERROR(__xludf.DUMMYFUNCTION("REGEXREPLACE(C2798,""-\d+(.*)|--\d+(.*)"","""")"),"MAS-BLANC-DES-ALPILLES")</f>
        <v>MAS-BLANC-DES-ALPILLES</v>
      </c>
      <c r="E2798" s="38" t="s">
        <v>980</v>
      </c>
      <c r="F2798" s="38" t="s">
        <v>228</v>
      </c>
      <c r="G2798" s="49" t="str">
        <f t="shared" si="1"/>
        <v>13103</v>
      </c>
      <c r="H2798" s="49">
        <f t="shared" si="2"/>
        <v>13057</v>
      </c>
    </row>
    <row r="2799">
      <c r="A2799" s="48" t="s">
        <v>926</v>
      </c>
      <c r="B2799" s="38">
        <v>43173.0</v>
      </c>
      <c r="C2799" s="38" t="s">
        <v>4959</v>
      </c>
      <c r="D2799" s="38" t="str">
        <f>IFERROR(__xludf.DUMMYFUNCTION("REGEXREPLACE(C2799,""-\d+(.*)|--\d+(.*)"","""")"),"SAINT-CHRISTOPHE-D'ALLIER")</f>
        <v>SAINT-CHRISTOPHE-D'ALLIER</v>
      </c>
      <c r="E2799" s="38" t="s">
        <v>332</v>
      </c>
      <c r="F2799" s="38" t="s">
        <v>161</v>
      </c>
      <c r="G2799" s="49" t="str">
        <f t="shared" si="1"/>
        <v>43340</v>
      </c>
      <c r="H2799" s="49">
        <f t="shared" si="2"/>
        <v>43173</v>
      </c>
    </row>
    <row r="2800">
      <c r="A2800" s="48" t="s">
        <v>208</v>
      </c>
      <c r="B2800" s="38">
        <v>67477.0</v>
      </c>
      <c r="C2800" s="38" t="s">
        <v>4960</v>
      </c>
      <c r="D2800" s="38" t="str">
        <f>IFERROR(__xludf.DUMMYFUNCTION("REGEXREPLACE(C2800,""-\d+(.*)|--\d+(.*)"","""")"),"STEIGE")</f>
        <v>STEIGE</v>
      </c>
      <c r="E2800" s="38" t="s">
        <v>210</v>
      </c>
      <c r="F2800" s="38" t="s">
        <v>151</v>
      </c>
      <c r="G2800" s="49" t="str">
        <f t="shared" si="1"/>
        <v>67220</v>
      </c>
      <c r="H2800" s="49">
        <f t="shared" si="2"/>
        <v>67477</v>
      </c>
    </row>
    <row r="2801">
      <c r="A2801" s="48" t="s">
        <v>3266</v>
      </c>
      <c r="B2801" s="38">
        <v>55300.0</v>
      </c>
      <c r="C2801" s="38" t="s">
        <v>4961</v>
      </c>
      <c r="D2801" s="38" t="str">
        <f>IFERROR(__xludf.DUMMYFUNCTION("REGEXREPLACE(C2801,""-\d+(.*)|--\d+(.*)"","""")"),"LONGEAUX")</f>
        <v>LONGEAUX</v>
      </c>
      <c r="E2801" s="38" t="s">
        <v>322</v>
      </c>
      <c r="F2801" s="38" t="s">
        <v>195</v>
      </c>
      <c r="G2801" s="49" t="str">
        <f t="shared" si="1"/>
        <v>55500</v>
      </c>
      <c r="H2801" s="49">
        <f t="shared" si="2"/>
        <v>55300</v>
      </c>
    </row>
    <row r="2802">
      <c r="A2802" s="48" t="s">
        <v>1106</v>
      </c>
      <c r="B2802" s="38">
        <v>14455.0</v>
      </c>
      <c r="C2802" s="38" t="s">
        <v>4962</v>
      </c>
      <c r="D2802" s="38" t="str">
        <f>IFERROR(__xludf.DUMMYFUNCTION("REGEXREPLACE(C2802,""-\d+(.*)|--\d+(.*)"","""")"),"MOULINES")</f>
        <v>MOULINES</v>
      </c>
      <c r="E2802" s="38" t="s">
        <v>137</v>
      </c>
      <c r="F2802" s="38" t="s">
        <v>138</v>
      </c>
      <c r="G2802" s="49" t="str">
        <f t="shared" si="1"/>
        <v>14220</v>
      </c>
      <c r="H2802" s="49">
        <f t="shared" si="2"/>
        <v>14455</v>
      </c>
    </row>
    <row r="2803">
      <c r="A2803" s="48" t="s">
        <v>2640</v>
      </c>
      <c r="B2803" s="38">
        <v>58063.0</v>
      </c>
      <c r="C2803" s="38" t="s">
        <v>4963</v>
      </c>
      <c r="D2803" s="38" t="str">
        <f>IFERROR(__xludf.DUMMYFUNCTION("REGEXREPLACE(C2803,""-\d+(.*)|--\d+(.*)"","""")"),"CHATEAU-CHINON (CAMPAGNE)")</f>
        <v>CHATEAU-CHINON (CAMPAGNE)</v>
      </c>
      <c r="E2803" s="38" t="s">
        <v>219</v>
      </c>
      <c r="F2803" s="38" t="s">
        <v>106</v>
      </c>
      <c r="G2803" s="49" t="str">
        <f t="shared" si="1"/>
        <v>58120</v>
      </c>
      <c r="H2803" s="49">
        <f t="shared" si="2"/>
        <v>58063</v>
      </c>
    </row>
    <row r="2804">
      <c r="A2804" s="48" t="s">
        <v>2326</v>
      </c>
      <c r="B2804" s="38">
        <v>54258.0</v>
      </c>
      <c r="C2804" s="38" t="s">
        <v>4964</v>
      </c>
      <c r="D2804" s="38" t="str">
        <f>IFERROR(__xludf.DUMMYFUNCTION("REGEXREPLACE(C2804,""-\d+(.*)|--\d+(.*)"","""")"),"HENAMENIL")</f>
        <v>HENAMENIL</v>
      </c>
      <c r="E2804" s="38" t="s">
        <v>548</v>
      </c>
      <c r="F2804" s="38" t="s">
        <v>195</v>
      </c>
      <c r="G2804" s="49" t="str">
        <f t="shared" si="1"/>
        <v>54370</v>
      </c>
      <c r="H2804" s="49">
        <f t="shared" si="2"/>
        <v>54258</v>
      </c>
    </row>
    <row r="2805">
      <c r="A2805" s="48" t="s">
        <v>4965</v>
      </c>
      <c r="B2805" s="38">
        <v>97313.0</v>
      </c>
      <c r="C2805" s="38" t="s">
        <v>4966</v>
      </c>
      <c r="D2805" s="38" t="str">
        <f>IFERROR(__xludf.DUMMYFUNCTION("REGEXREPLACE(C2805,""-\d+(.*)|--\d+(.*)"","""")"),"MONTSINERY-TONNEGRANDE")</f>
        <v>MONTSINERY-TONNEGRANDE</v>
      </c>
      <c r="E2805" s="38" t="s">
        <v>1737</v>
      </c>
      <c r="F2805" s="38" t="s">
        <v>1737</v>
      </c>
      <c r="G2805" s="49" t="str">
        <f t="shared" si="1"/>
        <v>97356</v>
      </c>
      <c r="H2805" s="49">
        <f t="shared" si="2"/>
        <v>97313</v>
      </c>
    </row>
    <row r="2806">
      <c r="A2806" s="48" t="s">
        <v>434</v>
      </c>
      <c r="B2806" s="38">
        <v>55324.0</v>
      </c>
      <c r="C2806" s="38" t="s">
        <v>4967</v>
      </c>
      <c r="D2806" s="38" t="str">
        <f>IFERROR(__xludf.DUMMYFUNCTION("REGEXREPLACE(C2806,""-\d+(.*)|--\d+(.*)"","""")"),"MARVILLE")</f>
        <v>MARVILLE</v>
      </c>
      <c r="E2806" s="38" t="s">
        <v>322</v>
      </c>
      <c r="F2806" s="38" t="s">
        <v>195</v>
      </c>
      <c r="G2806" s="49" t="str">
        <f t="shared" si="1"/>
        <v>55600</v>
      </c>
      <c r="H2806" s="49">
        <f t="shared" si="2"/>
        <v>55324</v>
      </c>
    </row>
    <row r="2807">
      <c r="A2807" s="48" t="s">
        <v>1540</v>
      </c>
      <c r="B2807" s="38">
        <v>70367.0</v>
      </c>
      <c r="C2807" s="38" t="s">
        <v>4968</v>
      </c>
      <c r="D2807" s="38" t="str">
        <f>IFERROR(__xludf.DUMMYFUNCTION("REGEXREPLACE(C2807,""-\d+(.*)|--\d+(.*)"","""")"),"MONT-LE-VERNOIS")</f>
        <v>MONT-LE-VERNOIS</v>
      </c>
      <c r="E2807" s="38" t="s">
        <v>956</v>
      </c>
      <c r="F2807" s="38" t="s">
        <v>214</v>
      </c>
      <c r="G2807" s="49" t="str">
        <f t="shared" si="1"/>
        <v>70000</v>
      </c>
      <c r="H2807" s="49">
        <f t="shared" si="2"/>
        <v>70367</v>
      </c>
    </row>
    <row r="2808">
      <c r="A2808" s="48" t="s">
        <v>4969</v>
      </c>
      <c r="B2808" s="38">
        <v>14122.0</v>
      </c>
      <c r="C2808" s="38" t="s">
        <v>4970</v>
      </c>
      <c r="D2808" s="38" t="str">
        <f>IFERROR(__xludf.DUMMYFUNCTION("REGEXREPLACE(C2808,""-\d+(.*)|--\d+(.*)"","""")"),"LA CAINE")</f>
        <v>LA CAINE</v>
      </c>
      <c r="E2808" s="38" t="s">
        <v>137</v>
      </c>
      <c r="F2808" s="38" t="s">
        <v>138</v>
      </c>
      <c r="G2808" s="49" t="str">
        <f t="shared" si="1"/>
        <v>14210</v>
      </c>
      <c r="H2808" s="49">
        <f t="shared" si="2"/>
        <v>14122</v>
      </c>
    </row>
    <row r="2809">
      <c r="A2809" s="48" t="s">
        <v>2942</v>
      </c>
      <c r="B2809" s="38">
        <v>14139.0</v>
      </c>
      <c r="C2809" s="38" t="s">
        <v>4971</v>
      </c>
      <c r="D2809" s="38" t="str">
        <f>IFERROR(__xludf.DUMMYFUNCTION("REGEXREPLACE(C2809,""-\d+(.*)|--\d+(.*)"","""")"),"CARVILLE")</f>
        <v>CARVILLE</v>
      </c>
      <c r="E2809" s="38" t="s">
        <v>137</v>
      </c>
      <c r="F2809" s="38" t="s">
        <v>138</v>
      </c>
      <c r="G2809" s="49" t="str">
        <f t="shared" si="1"/>
        <v>14350</v>
      </c>
      <c r="H2809" s="49">
        <f t="shared" si="2"/>
        <v>14139</v>
      </c>
    </row>
    <row r="2810">
      <c r="A2810" s="48" t="s">
        <v>4706</v>
      </c>
      <c r="B2810" s="38">
        <v>74203.0</v>
      </c>
      <c r="C2810" s="38" t="s">
        <v>4972</v>
      </c>
      <c r="D2810" s="38" t="str">
        <f>IFERROR(__xludf.DUMMYFUNCTION("REGEXREPLACE(C2810,""-\d+(.*)|--\d+(.*)"","""")"),"NOVEL")</f>
        <v>NOVEL</v>
      </c>
      <c r="E2810" s="38" t="s">
        <v>319</v>
      </c>
      <c r="F2810" s="38" t="s">
        <v>102</v>
      </c>
      <c r="G2810" s="49" t="str">
        <f t="shared" si="1"/>
        <v>74500</v>
      </c>
      <c r="H2810" s="49">
        <f t="shared" si="2"/>
        <v>74203</v>
      </c>
    </row>
    <row r="2811">
      <c r="A2811" s="48" t="s">
        <v>4973</v>
      </c>
      <c r="B2811" s="38">
        <v>58102.0</v>
      </c>
      <c r="C2811" s="38" t="s">
        <v>4974</v>
      </c>
      <c r="D2811" s="38" t="str">
        <f>IFERROR(__xludf.DUMMYFUNCTION("REGEXREPLACE(C2811,""-\d+(.*)|--\d+(.*)"","""")"),"DONZY")</f>
        <v>DONZY</v>
      </c>
      <c r="E2811" s="38" t="s">
        <v>219</v>
      </c>
      <c r="F2811" s="38" t="s">
        <v>106</v>
      </c>
      <c r="G2811" s="49" t="str">
        <f t="shared" si="1"/>
        <v>58220</v>
      </c>
      <c r="H2811" s="49">
        <f t="shared" si="2"/>
        <v>58102</v>
      </c>
    </row>
    <row r="2812">
      <c r="A2812" s="48" t="s">
        <v>276</v>
      </c>
      <c r="B2812" s="38">
        <v>11147.0</v>
      </c>
      <c r="C2812" s="38" t="s">
        <v>4975</v>
      </c>
      <c r="D2812" s="38" t="str">
        <f>IFERROR(__xludf.DUMMYFUNCTION("REGEXREPLACE(C2812,""-\d+(.*)|--\d+(.*)"","""")"),"FONTANES-DE-SAULT")</f>
        <v>FONTANES-DE-SAULT</v>
      </c>
      <c r="E2812" s="38" t="s">
        <v>278</v>
      </c>
      <c r="F2812" s="38" t="s">
        <v>119</v>
      </c>
      <c r="G2812" s="49" t="str">
        <f t="shared" si="1"/>
        <v>11140</v>
      </c>
      <c r="H2812" s="49">
        <f t="shared" si="2"/>
        <v>11147</v>
      </c>
    </row>
    <row r="2813">
      <c r="A2813" s="48" t="s">
        <v>2547</v>
      </c>
      <c r="B2813" s="38">
        <v>8049.0</v>
      </c>
      <c r="C2813" s="38" t="s">
        <v>4976</v>
      </c>
      <c r="D2813" s="38" t="str">
        <f>IFERROR(__xludf.DUMMYFUNCTION("REGEXREPLACE(C2813,""-\d+(.*)|--\d+(.*)"","""")"),"BAR-LES-BUZANCY")</f>
        <v>BAR-LES-BUZANCY</v>
      </c>
      <c r="E2813" s="38" t="s">
        <v>327</v>
      </c>
      <c r="F2813" s="38" t="s">
        <v>130</v>
      </c>
      <c r="G2813" s="49" t="str">
        <f t="shared" si="1"/>
        <v>08240</v>
      </c>
      <c r="H2813" s="49" t="str">
        <f t="shared" si="2"/>
        <v>08049</v>
      </c>
    </row>
    <row r="2814">
      <c r="A2814" s="48" t="s">
        <v>2617</v>
      </c>
      <c r="B2814" s="38">
        <v>89367.0</v>
      </c>
      <c r="C2814" s="38" t="s">
        <v>4977</v>
      </c>
      <c r="D2814" s="38" t="str">
        <f>IFERROR(__xludf.DUMMYFUNCTION("REGEXREPLACE(C2814,""-\d+(.*)|--\d+(.*)"","""")"),"SAINTS-EN-PUISAYE")</f>
        <v>SAINTS-EN-PUISAYE</v>
      </c>
      <c r="E2814" s="38" t="s">
        <v>275</v>
      </c>
      <c r="F2814" s="38" t="s">
        <v>106</v>
      </c>
      <c r="G2814" s="49" t="str">
        <f t="shared" si="1"/>
        <v>89520</v>
      </c>
      <c r="H2814" s="49">
        <f t="shared" si="2"/>
        <v>89367</v>
      </c>
    </row>
    <row r="2815">
      <c r="A2815" s="48" t="s">
        <v>4173</v>
      </c>
      <c r="B2815" s="38">
        <v>25569.0</v>
      </c>
      <c r="C2815" s="38" t="s">
        <v>4978</v>
      </c>
      <c r="D2815" s="38" t="str">
        <f>IFERROR(__xludf.DUMMYFUNCTION("REGEXREPLACE(C2815,""-\d+(.*)|--\d+(.*)"","""")"),"TREPOT")</f>
        <v>TREPOT</v>
      </c>
      <c r="E2815" s="38" t="s">
        <v>213</v>
      </c>
      <c r="F2815" s="38" t="s">
        <v>214</v>
      </c>
      <c r="G2815" s="49" t="str">
        <f t="shared" si="1"/>
        <v>25620</v>
      </c>
      <c r="H2815" s="49">
        <f t="shared" si="2"/>
        <v>25569</v>
      </c>
    </row>
    <row r="2816">
      <c r="A2816" s="48" t="s">
        <v>2803</v>
      </c>
      <c r="B2816" s="38">
        <v>80513.0</v>
      </c>
      <c r="C2816" s="38" t="s">
        <v>4979</v>
      </c>
      <c r="D2816" s="38" t="str">
        <f>IFERROR(__xludf.DUMMYFUNCTION("REGEXREPLACE(C2816,""-\d+(.*)|--\d+(.*)"","""")"),"MARICOURT")</f>
        <v>MARICOURT</v>
      </c>
      <c r="E2816" s="38" t="s">
        <v>224</v>
      </c>
      <c r="F2816" s="38" t="s">
        <v>113</v>
      </c>
      <c r="G2816" s="49" t="str">
        <f t="shared" si="1"/>
        <v>80360</v>
      </c>
      <c r="H2816" s="49">
        <f t="shared" si="2"/>
        <v>80513</v>
      </c>
    </row>
    <row r="2817">
      <c r="A2817" s="48" t="s">
        <v>4980</v>
      </c>
      <c r="B2817" s="38">
        <v>62215.0</v>
      </c>
      <c r="C2817" s="38" t="s">
        <v>4981</v>
      </c>
      <c r="D2817" s="38" t="str">
        <f>IFERROR(__xludf.DUMMYFUNCTION("REGEXREPLACE(C2817,""-\d+(.*)|--\d+(.*)"","""")"),"CARVIN")</f>
        <v>CARVIN</v>
      </c>
      <c r="E2817" s="38" t="s">
        <v>109</v>
      </c>
      <c r="F2817" s="38" t="s">
        <v>86</v>
      </c>
      <c r="G2817" s="49" t="str">
        <f t="shared" si="1"/>
        <v>62220</v>
      </c>
      <c r="H2817" s="49">
        <f t="shared" si="2"/>
        <v>62215</v>
      </c>
    </row>
    <row r="2818">
      <c r="A2818" s="48" t="s">
        <v>3689</v>
      </c>
      <c r="B2818" s="38">
        <v>1328.0</v>
      </c>
      <c r="C2818" s="38" t="s">
        <v>4982</v>
      </c>
      <c r="D2818" s="38" t="str">
        <f>IFERROR(__xludf.DUMMYFUNCTION("REGEXREPLACE(C2818,""-\d+(.*)|--\d+(.*)"","""")"),"ROMANS")</f>
        <v>ROMANS</v>
      </c>
      <c r="E2818" s="38" t="s">
        <v>255</v>
      </c>
      <c r="F2818" s="38" t="s">
        <v>102</v>
      </c>
      <c r="G2818" s="49" t="str">
        <f t="shared" si="1"/>
        <v>01400</v>
      </c>
      <c r="H2818" s="49" t="str">
        <f t="shared" si="2"/>
        <v>01328</v>
      </c>
    </row>
    <row r="2819">
      <c r="A2819" s="48" t="s">
        <v>486</v>
      </c>
      <c r="B2819" s="38">
        <v>17053.0</v>
      </c>
      <c r="C2819" s="38" t="s">
        <v>4983</v>
      </c>
      <c r="D2819" s="38" t="str">
        <f>IFERROR(__xludf.DUMMYFUNCTION("REGEXREPLACE(C2819,""-\d+(.*)|--\d+(.*)"","""")"),"BORDS")</f>
        <v>BORDS</v>
      </c>
      <c r="E2819" s="38" t="s">
        <v>488</v>
      </c>
      <c r="F2819" s="38" t="s">
        <v>338</v>
      </c>
      <c r="G2819" s="49" t="str">
        <f t="shared" si="1"/>
        <v>17430</v>
      </c>
      <c r="H2819" s="49">
        <f t="shared" si="2"/>
        <v>17053</v>
      </c>
    </row>
    <row r="2820">
      <c r="A2820" s="48" t="s">
        <v>1681</v>
      </c>
      <c r="B2820" s="38">
        <v>80453.0</v>
      </c>
      <c r="C2820" s="38" t="s">
        <v>4984</v>
      </c>
      <c r="D2820" s="38" t="str">
        <f>IFERROR(__xludf.DUMMYFUNCTION("REGEXREPLACE(C2820,""-\d+(.*)|--\d+(.*)"","""")"),"LABOISSIERE-EN-SANTERRE")</f>
        <v>LABOISSIERE-EN-SANTERRE</v>
      </c>
      <c r="E2820" s="38" t="s">
        <v>224</v>
      </c>
      <c r="F2820" s="38" t="s">
        <v>113</v>
      </c>
      <c r="G2820" s="49" t="str">
        <f t="shared" si="1"/>
        <v>80500</v>
      </c>
      <c r="H2820" s="49">
        <f t="shared" si="2"/>
        <v>80453</v>
      </c>
    </row>
    <row r="2821">
      <c r="A2821" s="48" t="s">
        <v>885</v>
      </c>
      <c r="B2821" s="38">
        <v>71222.0</v>
      </c>
      <c r="C2821" s="38" t="s">
        <v>4985</v>
      </c>
      <c r="D2821" s="38" t="str">
        <f>IFERROR(__xludf.DUMMYFUNCTION("REGEXREPLACE(C2821,""-\d+(.*)|--\d+(.*)"","""")"),"GOURDON")</f>
        <v>GOURDON</v>
      </c>
      <c r="E2821" s="38" t="s">
        <v>344</v>
      </c>
      <c r="F2821" s="38" t="s">
        <v>106</v>
      </c>
      <c r="G2821" s="49" t="str">
        <f t="shared" si="1"/>
        <v>71300</v>
      </c>
      <c r="H2821" s="49">
        <f t="shared" si="2"/>
        <v>71222</v>
      </c>
    </row>
    <row r="2822">
      <c r="A2822" s="48" t="s">
        <v>1218</v>
      </c>
      <c r="B2822" s="38">
        <v>9198.0</v>
      </c>
      <c r="C2822" s="38" t="s">
        <v>4986</v>
      </c>
      <c r="D2822" s="38" t="str">
        <f>IFERROR(__xludf.DUMMYFUNCTION("REGEXREPLACE(C2822,""-\d+(.*)|--\d+(.*)"","""")"),"MONTARDIT")</f>
        <v>MONTARDIT</v>
      </c>
      <c r="E2822" s="38" t="s">
        <v>238</v>
      </c>
      <c r="F2822" s="38" t="s">
        <v>94</v>
      </c>
      <c r="G2822" s="49" t="str">
        <f t="shared" si="1"/>
        <v>09230</v>
      </c>
      <c r="H2822" s="49" t="str">
        <f t="shared" si="2"/>
        <v>09198</v>
      </c>
    </row>
    <row r="2823">
      <c r="A2823" s="48" t="s">
        <v>1014</v>
      </c>
      <c r="B2823" s="38">
        <v>11095.0</v>
      </c>
      <c r="C2823" s="38" t="s">
        <v>4987</v>
      </c>
      <c r="D2823" s="38" t="str">
        <f>IFERROR(__xludf.DUMMYFUNCTION("REGEXREPLACE(C2823,""-\d+(.*)|--\d+(.*)"","""")"),"COMIGNE")</f>
        <v>COMIGNE</v>
      </c>
      <c r="E2823" s="38" t="s">
        <v>278</v>
      </c>
      <c r="F2823" s="38" t="s">
        <v>119</v>
      </c>
      <c r="G2823" s="49" t="str">
        <f t="shared" si="1"/>
        <v>11700</v>
      </c>
      <c r="H2823" s="49">
        <f t="shared" si="2"/>
        <v>11095</v>
      </c>
    </row>
    <row r="2824">
      <c r="A2824" s="48" t="s">
        <v>3182</v>
      </c>
      <c r="B2824" s="38">
        <v>80601.0</v>
      </c>
      <c r="C2824" s="38" t="s">
        <v>4988</v>
      </c>
      <c r="D2824" s="38" t="str">
        <f>IFERROR(__xludf.DUMMYFUNCTION("REGEXREPLACE(C2824,""-\d+(.*)|--\d+(.*)"","""")"),"NURLU")</f>
        <v>NURLU</v>
      </c>
      <c r="E2824" s="38" t="s">
        <v>224</v>
      </c>
      <c r="F2824" s="38" t="s">
        <v>113</v>
      </c>
      <c r="G2824" s="49" t="str">
        <f t="shared" si="1"/>
        <v>80240</v>
      </c>
      <c r="H2824" s="49">
        <f t="shared" si="2"/>
        <v>80601</v>
      </c>
    </row>
    <row r="2825">
      <c r="A2825" s="48" t="s">
        <v>4626</v>
      </c>
      <c r="B2825" s="38">
        <v>16381.0</v>
      </c>
      <c r="C2825" s="38" t="s">
        <v>4989</v>
      </c>
      <c r="D2825" s="38" t="str">
        <f>IFERROR(__xludf.DUMMYFUNCTION("REGEXREPLACE(C2825,""-\d+(.*)|--\d+(.*)"","""")"),"THEIL-RABIER")</f>
        <v>THEIL-RABIER</v>
      </c>
      <c r="E2825" s="38" t="s">
        <v>429</v>
      </c>
      <c r="F2825" s="38" t="s">
        <v>338</v>
      </c>
      <c r="G2825" s="49" t="str">
        <f t="shared" si="1"/>
        <v>16240</v>
      </c>
      <c r="H2825" s="49">
        <f t="shared" si="2"/>
        <v>16381</v>
      </c>
    </row>
    <row r="2826">
      <c r="A2826" s="48" t="s">
        <v>2475</v>
      </c>
      <c r="B2826" s="38">
        <v>25392.0</v>
      </c>
      <c r="C2826" s="38" t="s">
        <v>4990</v>
      </c>
      <c r="D2826" s="38" t="str">
        <f>IFERROR(__xludf.DUMMYFUNCTION("REGEXREPLACE(C2826,""-\d+(.*)|--\d+(.*)"","""")"),"MONT-DE-VOUGNEY")</f>
        <v>MONT-DE-VOUGNEY</v>
      </c>
      <c r="E2826" s="38" t="s">
        <v>213</v>
      </c>
      <c r="F2826" s="38" t="s">
        <v>214</v>
      </c>
      <c r="G2826" s="49" t="str">
        <f t="shared" si="1"/>
        <v>25120</v>
      </c>
      <c r="H2826" s="49">
        <f t="shared" si="2"/>
        <v>25392</v>
      </c>
    </row>
    <row r="2827">
      <c r="A2827" s="48" t="s">
        <v>2655</v>
      </c>
      <c r="B2827" s="38">
        <v>52249.0</v>
      </c>
      <c r="C2827" s="38" t="s">
        <v>4991</v>
      </c>
      <c r="D2827" s="38" t="str">
        <f>IFERROR(__xludf.DUMMYFUNCTION("REGEXREPLACE(C2827,""-\d+(.*)|--\d+(.*)"","""")"),"ISOMES")</f>
        <v>ISOMES</v>
      </c>
      <c r="E2827" s="38" t="s">
        <v>234</v>
      </c>
      <c r="F2827" s="38" t="s">
        <v>130</v>
      </c>
      <c r="G2827" s="49" t="str">
        <f t="shared" si="1"/>
        <v>52190</v>
      </c>
      <c r="H2827" s="49">
        <f t="shared" si="2"/>
        <v>52249</v>
      </c>
    </row>
    <row r="2828">
      <c r="A2828" s="48" t="s">
        <v>4992</v>
      </c>
      <c r="B2828" s="38">
        <v>80775.0</v>
      </c>
      <c r="C2828" s="38" t="s">
        <v>4993</v>
      </c>
      <c r="D2828" s="38" t="str">
        <f>IFERROR(__xludf.DUMMYFUNCTION("REGEXREPLACE(C2828,""-\d+(.*)|--\d+(.*)"","""")"),"VALINES")</f>
        <v>VALINES</v>
      </c>
      <c r="E2828" s="38" t="s">
        <v>224</v>
      </c>
      <c r="F2828" s="38" t="s">
        <v>113</v>
      </c>
      <c r="G2828" s="49" t="str">
        <f t="shared" si="1"/>
        <v>80210</v>
      </c>
      <c r="H2828" s="49">
        <f t="shared" si="2"/>
        <v>80775</v>
      </c>
    </row>
    <row r="2829">
      <c r="A2829" s="48" t="s">
        <v>1368</v>
      </c>
      <c r="B2829" s="38">
        <v>8135.0</v>
      </c>
      <c r="C2829" s="38" t="s">
        <v>4994</v>
      </c>
      <c r="D2829" s="38" t="str">
        <f>IFERROR(__xludf.DUMMYFUNCTION("REGEXREPLACE(C2829,""-\d+(.*)|--\d+(.*)"","""")"),"LA CROIX-AUX-BOIS")</f>
        <v>LA CROIX-AUX-BOIS</v>
      </c>
      <c r="E2829" s="38" t="s">
        <v>327</v>
      </c>
      <c r="F2829" s="38" t="s">
        <v>130</v>
      </c>
      <c r="G2829" s="49" t="str">
        <f t="shared" si="1"/>
        <v>08400</v>
      </c>
      <c r="H2829" s="49" t="str">
        <f t="shared" si="2"/>
        <v>08135</v>
      </c>
    </row>
    <row r="2830">
      <c r="A2830" s="48" t="s">
        <v>4032</v>
      </c>
      <c r="B2830" s="38">
        <v>17198.0</v>
      </c>
      <c r="C2830" s="38" t="s">
        <v>4995</v>
      </c>
      <c r="D2830" s="38" t="str">
        <f>IFERROR(__xludf.DUMMYFUNCTION("REGEXREPLACE(C2830,""-\d+(.*)|--\d+(.*)"","""")"),"JUICQ")</f>
        <v>JUICQ</v>
      </c>
      <c r="E2830" s="38" t="s">
        <v>488</v>
      </c>
      <c r="F2830" s="38" t="s">
        <v>338</v>
      </c>
      <c r="G2830" s="49" t="str">
        <f t="shared" si="1"/>
        <v>17770</v>
      </c>
      <c r="H2830" s="49">
        <f t="shared" si="2"/>
        <v>17198</v>
      </c>
    </row>
    <row r="2831">
      <c r="A2831" s="48" t="s">
        <v>142</v>
      </c>
      <c r="B2831" s="38">
        <v>7257.0</v>
      </c>
      <c r="C2831" s="38" t="s">
        <v>4996</v>
      </c>
      <c r="D2831" s="38" t="str">
        <f>IFERROR(__xludf.DUMMYFUNCTION("REGEXREPLACE(C2831,""-\d+(.*)|--\d+(.*)"","""")"),"SAINT-JULIEN-LE-ROUX")</f>
        <v>SAINT-JULIEN-LE-ROUX</v>
      </c>
      <c r="E2831" s="38" t="s">
        <v>144</v>
      </c>
      <c r="F2831" s="38" t="s">
        <v>102</v>
      </c>
      <c r="G2831" s="49" t="str">
        <f t="shared" si="1"/>
        <v>07240</v>
      </c>
      <c r="H2831" s="49" t="str">
        <f t="shared" si="2"/>
        <v>07257</v>
      </c>
    </row>
    <row r="2832">
      <c r="A2832" s="48" t="s">
        <v>946</v>
      </c>
      <c r="B2832" s="38">
        <v>81247.0</v>
      </c>
      <c r="C2832" s="38" t="s">
        <v>4997</v>
      </c>
      <c r="D2832" s="38" t="str">
        <f>IFERROR(__xludf.DUMMYFUNCTION("REGEXREPLACE(C2832,""-\d+(.*)|--\d+(.*)"","""")"),"SAINT-CIRGUE")</f>
        <v>SAINT-CIRGUE</v>
      </c>
      <c r="E2832" s="38" t="s">
        <v>231</v>
      </c>
      <c r="F2832" s="38" t="s">
        <v>94</v>
      </c>
      <c r="G2832" s="49" t="str">
        <f t="shared" si="1"/>
        <v>81340</v>
      </c>
      <c r="H2832" s="49">
        <f t="shared" si="2"/>
        <v>81247</v>
      </c>
    </row>
    <row r="2833">
      <c r="A2833" s="48" t="s">
        <v>1317</v>
      </c>
      <c r="B2833" s="38">
        <v>8240.0</v>
      </c>
      <c r="C2833" s="38" t="s">
        <v>4998</v>
      </c>
      <c r="D2833" s="38" t="str">
        <f>IFERROR(__xludf.DUMMYFUNCTION("REGEXREPLACE(C2833,""-\d+(.*)|--\d+(.*)"","""")"),"JUSTINE-HERBIGNY")</f>
        <v>JUSTINE-HERBIGNY</v>
      </c>
      <c r="E2833" s="38" t="s">
        <v>327</v>
      </c>
      <c r="F2833" s="38" t="s">
        <v>130</v>
      </c>
      <c r="G2833" s="49" t="str">
        <f t="shared" si="1"/>
        <v>08270</v>
      </c>
      <c r="H2833" s="49" t="str">
        <f t="shared" si="2"/>
        <v>08240</v>
      </c>
    </row>
    <row r="2834">
      <c r="A2834" s="48" t="s">
        <v>2803</v>
      </c>
      <c r="B2834" s="38">
        <v>80401.0</v>
      </c>
      <c r="C2834" s="38" t="s">
        <v>4999</v>
      </c>
      <c r="D2834" s="38" t="str">
        <f>IFERROR(__xludf.DUMMYFUNCTION("REGEXREPLACE(C2834,""-\d+(.*)|--\d+(.*)"","""")"),"GUILLEMONT")</f>
        <v>GUILLEMONT</v>
      </c>
      <c r="E2834" s="38" t="s">
        <v>224</v>
      </c>
      <c r="F2834" s="38" t="s">
        <v>113</v>
      </c>
      <c r="G2834" s="49" t="str">
        <f t="shared" si="1"/>
        <v>80360</v>
      </c>
      <c r="H2834" s="49">
        <f t="shared" si="2"/>
        <v>80401</v>
      </c>
    </row>
    <row r="2835">
      <c r="A2835" s="48" t="s">
        <v>1317</v>
      </c>
      <c r="B2835" s="38">
        <v>8163.0</v>
      </c>
      <c r="C2835" s="38" t="s">
        <v>5000</v>
      </c>
      <c r="D2835" s="38" t="str">
        <f>IFERROR(__xludf.DUMMYFUNCTION("REGEXREPLACE(C2835,""-\d+(.*)|--\d+(.*)"","""")"),"FAISSAULT")</f>
        <v>FAISSAULT</v>
      </c>
      <c r="E2835" s="38" t="s">
        <v>327</v>
      </c>
      <c r="F2835" s="38" t="s">
        <v>130</v>
      </c>
      <c r="G2835" s="49" t="str">
        <f t="shared" si="1"/>
        <v>08270</v>
      </c>
      <c r="H2835" s="49" t="str">
        <f t="shared" si="2"/>
        <v>08163</v>
      </c>
    </row>
    <row r="2836">
      <c r="A2836" s="48" t="s">
        <v>5001</v>
      </c>
      <c r="B2836" s="38">
        <v>21103.0</v>
      </c>
      <c r="C2836" s="38" t="s">
        <v>5002</v>
      </c>
      <c r="D2836" s="38" t="str">
        <f>IFERROR(__xludf.DUMMYFUNCTION("REGEXREPLACE(C2836,""-\d+(.*)|--\d+(.*)"","""")"),"BRAZEY-EN-PLAINE")</f>
        <v>BRAZEY-EN-PLAINE</v>
      </c>
      <c r="E2836" s="38" t="s">
        <v>105</v>
      </c>
      <c r="F2836" s="38" t="s">
        <v>106</v>
      </c>
      <c r="G2836" s="49" t="str">
        <f t="shared" si="1"/>
        <v>21470</v>
      </c>
      <c r="H2836" s="49">
        <f t="shared" si="2"/>
        <v>21103</v>
      </c>
    </row>
    <row r="2837">
      <c r="A2837" s="48" t="s">
        <v>425</v>
      </c>
      <c r="B2837" s="38">
        <v>88359.0</v>
      </c>
      <c r="C2837" s="38" t="s">
        <v>2894</v>
      </c>
      <c r="D2837" s="38" t="str">
        <f>IFERROR(__xludf.DUMMYFUNCTION("REGEXREPLACE(C2837,""-\d+(.*)|--\d+(.*)"","""")"),"PREY")</f>
        <v>PREY</v>
      </c>
      <c r="E2837" s="38" t="s">
        <v>194</v>
      </c>
      <c r="F2837" s="38" t="s">
        <v>195</v>
      </c>
      <c r="G2837" s="49" t="str">
        <f t="shared" si="1"/>
        <v>88600</v>
      </c>
      <c r="H2837" s="49">
        <f t="shared" si="2"/>
        <v>88359</v>
      </c>
    </row>
    <row r="2838">
      <c r="A2838" s="48" t="s">
        <v>3315</v>
      </c>
      <c r="B2838" s="38">
        <v>12147.0</v>
      </c>
      <c r="C2838" s="38" t="s">
        <v>5003</v>
      </c>
      <c r="D2838" s="38" t="str">
        <f>IFERROR(__xludf.DUMMYFUNCTION("REGEXREPLACE(C2838,""-\d+(.*)|--\d+(.*)"","""")"),"MONTAGNOL")</f>
        <v>MONTAGNOL</v>
      </c>
      <c r="E2838" s="38" t="s">
        <v>465</v>
      </c>
      <c r="F2838" s="38" t="s">
        <v>94</v>
      </c>
      <c r="G2838" s="49" t="str">
        <f t="shared" si="1"/>
        <v>12360</v>
      </c>
      <c r="H2838" s="49">
        <f t="shared" si="2"/>
        <v>12147</v>
      </c>
    </row>
    <row r="2839">
      <c r="A2839" s="48" t="s">
        <v>5004</v>
      </c>
      <c r="B2839" s="38">
        <v>76204.0</v>
      </c>
      <c r="C2839" s="38" t="s">
        <v>5005</v>
      </c>
      <c r="D2839" s="38" t="str">
        <f>IFERROR(__xludf.DUMMYFUNCTION("REGEXREPLACE(C2839,""-\d+(.*)|--\d+(.*)"","""")"),"CROPUS")</f>
        <v>CROPUS</v>
      </c>
      <c r="E2839" s="38" t="s">
        <v>133</v>
      </c>
      <c r="F2839" s="38" t="s">
        <v>134</v>
      </c>
      <c r="G2839" s="49" t="str">
        <f t="shared" si="1"/>
        <v>76720</v>
      </c>
      <c r="H2839" s="49">
        <f t="shared" si="2"/>
        <v>76204</v>
      </c>
    </row>
    <row r="2840">
      <c r="A2840" s="48" t="s">
        <v>405</v>
      </c>
      <c r="B2840" s="38">
        <v>79014.0</v>
      </c>
      <c r="C2840" s="38" t="s">
        <v>5006</v>
      </c>
      <c r="D2840" s="38" t="str">
        <f>IFERROR(__xludf.DUMMYFUNCTION("REGEXREPLACE(C2840,""-\d+(.*)|--\d+(.*)"","""")"),"ARGENTON-L'EGLISE")</f>
        <v>ARGENTON-L'EGLISE</v>
      </c>
      <c r="E2840" s="38" t="s">
        <v>337</v>
      </c>
      <c r="F2840" s="38" t="s">
        <v>338</v>
      </c>
      <c r="G2840" s="49" t="str">
        <f t="shared" si="1"/>
        <v>79290</v>
      </c>
      <c r="H2840" s="49">
        <f t="shared" si="2"/>
        <v>79014</v>
      </c>
    </row>
    <row r="2841">
      <c r="A2841" s="48" t="s">
        <v>1404</v>
      </c>
      <c r="B2841" s="38">
        <v>30248.0</v>
      </c>
      <c r="C2841" s="38" t="s">
        <v>5007</v>
      </c>
      <c r="D2841" s="38" t="str">
        <f>IFERROR(__xludf.DUMMYFUNCTION("REGEXREPLACE(C2841,""-\d+(.*)|--\d+(.*)"","""")"),"SAINT-DEZERY")</f>
        <v>SAINT-DEZERY</v>
      </c>
      <c r="E2841" s="38" t="s">
        <v>526</v>
      </c>
      <c r="F2841" s="38" t="s">
        <v>119</v>
      </c>
      <c r="G2841" s="49" t="str">
        <f t="shared" si="1"/>
        <v>30190</v>
      </c>
      <c r="H2841" s="49">
        <f t="shared" si="2"/>
        <v>30248</v>
      </c>
    </row>
    <row r="2842">
      <c r="A2842" s="48" t="s">
        <v>5008</v>
      </c>
      <c r="B2842" s="38">
        <v>76013.0</v>
      </c>
      <c r="C2842" s="38" t="s">
        <v>5009</v>
      </c>
      <c r="D2842" s="38" t="str">
        <f>IFERROR(__xludf.DUMMYFUNCTION("REGEXREPLACE(C2842,""-\d+(.*)|--\d+(.*)"","""")"),"ANGERVILLE-LA-MARTEL")</f>
        <v>ANGERVILLE-LA-MARTEL</v>
      </c>
      <c r="E2842" s="38" t="s">
        <v>133</v>
      </c>
      <c r="F2842" s="38" t="s">
        <v>134</v>
      </c>
      <c r="G2842" s="49" t="str">
        <f t="shared" si="1"/>
        <v>76540</v>
      </c>
      <c r="H2842" s="49">
        <f t="shared" si="2"/>
        <v>76013</v>
      </c>
    </row>
    <row r="2843">
      <c r="A2843" s="48" t="s">
        <v>5010</v>
      </c>
      <c r="B2843" s="38">
        <v>77377.0</v>
      </c>
      <c r="C2843" s="38" t="s">
        <v>5011</v>
      </c>
      <c r="D2843" s="38" t="str">
        <f>IFERROR(__xludf.DUMMYFUNCTION("REGEXREPLACE(C2843,""-\d+(.*)|--\d+(.*)"","""")"),"PRESLES-EN-BRIE")</f>
        <v>PRESLES-EN-BRIE</v>
      </c>
      <c r="E2843" s="38" t="s">
        <v>244</v>
      </c>
      <c r="F2843" s="38" t="s">
        <v>245</v>
      </c>
      <c r="G2843" s="49" t="str">
        <f t="shared" si="1"/>
        <v>77220</v>
      </c>
      <c r="H2843" s="49">
        <f t="shared" si="2"/>
        <v>77377</v>
      </c>
    </row>
    <row r="2844">
      <c r="A2844" s="48" t="s">
        <v>5012</v>
      </c>
      <c r="B2844" s="38">
        <v>55017.0</v>
      </c>
      <c r="C2844" s="38" t="s">
        <v>5013</v>
      </c>
      <c r="D2844" s="38" t="str">
        <f>IFERROR(__xludf.DUMMYFUNCTION("REGEXREPLACE(C2844,""-\d+(.*)|--\d+(.*)"","""")"),"AUTRECOURT-SUR-AIRE")</f>
        <v>AUTRECOURT-SUR-AIRE</v>
      </c>
      <c r="E2844" s="38" t="s">
        <v>322</v>
      </c>
      <c r="F2844" s="38" t="s">
        <v>195</v>
      </c>
      <c r="G2844" s="49" t="str">
        <f t="shared" si="1"/>
        <v>55120</v>
      </c>
      <c r="H2844" s="49">
        <f t="shared" si="2"/>
        <v>55017</v>
      </c>
    </row>
    <row r="2845">
      <c r="A2845" s="48" t="s">
        <v>5014</v>
      </c>
      <c r="B2845" s="38">
        <v>57353.0</v>
      </c>
      <c r="C2845" s="38" t="s">
        <v>5015</v>
      </c>
      <c r="D2845" s="38" t="str">
        <f>IFERROR(__xludf.DUMMYFUNCTION("REGEXREPLACE(C2845,""-\d+(.*)|--\d+(.*)"","""")"),"JUVELIZE")</f>
        <v>JUVELIZE</v>
      </c>
      <c r="E2845" s="38" t="s">
        <v>303</v>
      </c>
      <c r="F2845" s="38" t="s">
        <v>195</v>
      </c>
      <c r="G2845" s="49" t="str">
        <f t="shared" si="1"/>
        <v>57630</v>
      </c>
      <c r="H2845" s="49">
        <f t="shared" si="2"/>
        <v>57353</v>
      </c>
    </row>
    <row r="2846">
      <c r="A2846" s="48" t="s">
        <v>5016</v>
      </c>
      <c r="B2846" s="38">
        <v>34084.0</v>
      </c>
      <c r="C2846" s="38" t="s">
        <v>5017</v>
      </c>
      <c r="D2846" s="38" t="str">
        <f>IFERROR(__xludf.DUMMYFUNCTION("REGEXREPLACE(C2846,""-\d+(.*)|--\d+(.*)"","""")"),"CORNEILHAN")</f>
        <v>CORNEILHAN</v>
      </c>
      <c r="E2846" s="38" t="s">
        <v>118</v>
      </c>
      <c r="F2846" s="38" t="s">
        <v>119</v>
      </c>
      <c r="G2846" s="49" t="str">
        <f t="shared" si="1"/>
        <v>34490</v>
      </c>
      <c r="H2846" s="49">
        <f t="shared" si="2"/>
        <v>34084</v>
      </c>
    </row>
    <row r="2847">
      <c r="A2847" s="48" t="s">
        <v>1766</v>
      </c>
      <c r="B2847" s="38">
        <v>2786.0</v>
      </c>
      <c r="C2847" s="38" t="s">
        <v>5018</v>
      </c>
      <c r="D2847" s="38" t="str">
        <f>IFERROR(__xludf.DUMMYFUNCTION("REGEXREPLACE(C2847,""-\d+(.*)|--\d+(.*)"","""")"),"VERNEUIL-SOUS-COUCY")</f>
        <v>VERNEUIL-SOUS-COUCY</v>
      </c>
      <c r="E2847" s="38" t="s">
        <v>191</v>
      </c>
      <c r="F2847" s="38" t="s">
        <v>113</v>
      </c>
      <c r="G2847" s="49" t="str">
        <f t="shared" si="1"/>
        <v>02380</v>
      </c>
      <c r="H2847" s="49" t="str">
        <f t="shared" si="2"/>
        <v>02786</v>
      </c>
    </row>
    <row r="2848">
      <c r="A2848" s="48" t="s">
        <v>1930</v>
      </c>
      <c r="B2848" s="38">
        <v>28360.0</v>
      </c>
      <c r="C2848" s="38" t="s">
        <v>5019</v>
      </c>
      <c r="D2848" s="38" t="str">
        <f>IFERROR(__xludf.DUMMYFUNCTION("REGEXREPLACE(C2848,""-\d+(.*)|--\d+(.*)"","""")"),"SAINT-SAUVEUR-MARVILLE")</f>
        <v>SAINT-SAUVEUR-MARVILLE</v>
      </c>
      <c r="E2848" s="38" t="s">
        <v>300</v>
      </c>
      <c r="F2848" s="38" t="s">
        <v>123</v>
      </c>
      <c r="G2848" s="49" t="str">
        <f t="shared" si="1"/>
        <v>28170</v>
      </c>
      <c r="H2848" s="49">
        <f t="shared" si="2"/>
        <v>28360</v>
      </c>
    </row>
    <row r="2849">
      <c r="A2849" s="48" t="s">
        <v>5020</v>
      </c>
      <c r="B2849" s="38">
        <v>51170.0</v>
      </c>
      <c r="C2849" s="38" t="s">
        <v>5021</v>
      </c>
      <c r="D2849" s="38" t="str">
        <f>IFERROR(__xludf.DUMMYFUNCTION("REGEXREPLACE(C2849,""-\d+(.*)|--\d+(.*)"","""")"),"CORFELIX")</f>
        <v>CORFELIX</v>
      </c>
      <c r="E2849" s="38" t="s">
        <v>129</v>
      </c>
      <c r="F2849" s="38" t="s">
        <v>130</v>
      </c>
      <c r="G2849" s="49" t="str">
        <f t="shared" si="1"/>
        <v>51210</v>
      </c>
      <c r="H2849" s="49">
        <f t="shared" si="2"/>
        <v>51170</v>
      </c>
    </row>
    <row r="2850">
      <c r="A2850" s="48" t="s">
        <v>970</v>
      </c>
      <c r="B2850" s="38">
        <v>2405.0</v>
      </c>
      <c r="C2850" s="38" t="s">
        <v>5022</v>
      </c>
      <c r="D2850" s="38" t="str">
        <f>IFERROR(__xludf.DUMMYFUNCTION("REGEXREPLACE(C2850,""-\d+(.*)|--\d+(.*)"","""")"),"LANDOUZY-LA-VILLE")</f>
        <v>LANDOUZY-LA-VILLE</v>
      </c>
      <c r="E2850" s="38" t="s">
        <v>191</v>
      </c>
      <c r="F2850" s="38" t="s">
        <v>113</v>
      </c>
      <c r="G2850" s="49" t="str">
        <f t="shared" si="1"/>
        <v>02140</v>
      </c>
      <c r="H2850" s="49" t="str">
        <f t="shared" si="2"/>
        <v>02405</v>
      </c>
    </row>
    <row r="2851">
      <c r="A2851" s="48" t="s">
        <v>3287</v>
      </c>
      <c r="B2851" s="38">
        <v>1128.0</v>
      </c>
      <c r="C2851" s="38" t="s">
        <v>5023</v>
      </c>
      <c r="D2851" s="38" t="str">
        <f>IFERROR(__xludf.DUMMYFUNCTION("REGEXREPLACE(C2851,""-\d+(.*)|--\d+(.*)"","""")"),"COURTES")</f>
        <v>COURTES</v>
      </c>
      <c r="E2851" s="38" t="s">
        <v>255</v>
      </c>
      <c r="F2851" s="38" t="s">
        <v>102</v>
      </c>
      <c r="G2851" s="49" t="str">
        <f t="shared" si="1"/>
        <v>01560</v>
      </c>
      <c r="H2851" s="49" t="str">
        <f t="shared" si="2"/>
        <v>01128</v>
      </c>
    </row>
    <row r="2852">
      <c r="A2852" s="48" t="s">
        <v>4473</v>
      </c>
      <c r="B2852" s="38">
        <v>5061.0</v>
      </c>
      <c r="C2852" s="38" t="s">
        <v>5024</v>
      </c>
      <c r="D2852" s="38" t="str">
        <f>IFERROR(__xludf.DUMMYFUNCTION("REGEXREPLACE(C2852,""-\d+(.*)|--\d+(.*)"","""")"),"GAP")</f>
        <v>GAP</v>
      </c>
      <c r="E2852" s="38" t="s">
        <v>706</v>
      </c>
      <c r="F2852" s="38" t="s">
        <v>228</v>
      </c>
      <c r="G2852" s="49" t="str">
        <f t="shared" si="1"/>
        <v>05000</v>
      </c>
      <c r="H2852" s="49" t="str">
        <f t="shared" si="2"/>
        <v>05061</v>
      </c>
    </row>
    <row r="2853">
      <c r="A2853" s="48" t="s">
        <v>5025</v>
      </c>
      <c r="B2853" s="38">
        <v>77212.0</v>
      </c>
      <c r="C2853" s="38" t="s">
        <v>5026</v>
      </c>
      <c r="D2853" s="38" t="str">
        <f>IFERROR(__xludf.DUMMYFUNCTION("REGEXREPLACE(C2853,""-\d+(.*)|--\d+(.*)"","""")"),"GRAVON")</f>
        <v>GRAVON</v>
      </c>
      <c r="E2853" s="38" t="s">
        <v>244</v>
      </c>
      <c r="F2853" s="38" t="s">
        <v>245</v>
      </c>
      <c r="G2853" s="49" t="str">
        <f t="shared" si="1"/>
        <v>77118</v>
      </c>
      <c r="H2853" s="49">
        <f t="shared" si="2"/>
        <v>77212</v>
      </c>
    </row>
    <row r="2854">
      <c r="A2854" s="48" t="s">
        <v>1970</v>
      </c>
      <c r="B2854" s="38">
        <v>74283.0</v>
      </c>
      <c r="C2854" s="38" t="s">
        <v>5027</v>
      </c>
      <c r="D2854" s="38" t="str">
        <f>IFERROR(__xludf.DUMMYFUNCTION("REGEXREPLACE(C2854,""-\d+(.*)|--\d+(.*)"","""")"),"THUSY")</f>
        <v>THUSY</v>
      </c>
      <c r="E2854" s="38" t="s">
        <v>319</v>
      </c>
      <c r="F2854" s="38" t="s">
        <v>102</v>
      </c>
      <c r="G2854" s="49" t="str">
        <f t="shared" si="1"/>
        <v>74150</v>
      </c>
      <c r="H2854" s="49">
        <f t="shared" si="2"/>
        <v>74283</v>
      </c>
    </row>
    <row r="2855">
      <c r="A2855" s="48" t="s">
        <v>5028</v>
      </c>
      <c r="B2855" s="38">
        <v>25601.0</v>
      </c>
      <c r="C2855" s="38" t="s">
        <v>5029</v>
      </c>
      <c r="D2855" s="38" t="str">
        <f>IFERROR(__xludf.DUMMYFUNCTION("REGEXREPLACE(C2855,""-\d+(.*)|--\d+(.*)"","""")"),"VERCEL-VILLEDIEU-LE-CAMP")</f>
        <v>VERCEL-VILLEDIEU-LE-CAMP</v>
      </c>
      <c r="E2855" s="38" t="s">
        <v>213</v>
      </c>
      <c r="F2855" s="38" t="s">
        <v>214</v>
      </c>
      <c r="G2855" s="49" t="str">
        <f t="shared" si="1"/>
        <v>25530</v>
      </c>
      <c r="H2855" s="49">
        <f t="shared" si="2"/>
        <v>25601</v>
      </c>
    </row>
    <row r="2856">
      <c r="A2856" s="48" t="s">
        <v>5030</v>
      </c>
      <c r="B2856" s="38">
        <v>65024.0</v>
      </c>
      <c r="C2856" s="38" t="s">
        <v>5031</v>
      </c>
      <c r="D2856" s="38" t="str">
        <f>IFERROR(__xludf.DUMMYFUNCTION("REGEXREPLACE(C2856,""-\d+(.*)|--\d+(.*)"","""")"),"ARGELES-BAGNERES")</f>
        <v>ARGELES-BAGNERES</v>
      </c>
      <c r="E2856" s="38" t="s">
        <v>200</v>
      </c>
      <c r="F2856" s="38" t="s">
        <v>94</v>
      </c>
      <c r="G2856" s="49" t="str">
        <f t="shared" si="1"/>
        <v>65200</v>
      </c>
      <c r="H2856" s="49">
        <f t="shared" si="2"/>
        <v>65024</v>
      </c>
    </row>
    <row r="2857">
      <c r="A2857" s="48" t="s">
        <v>5032</v>
      </c>
      <c r="B2857" s="38">
        <v>44099.0</v>
      </c>
      <c r="C2857" s="38" t="s">
        <v>5033</v>
      </c>
      <c r="D2857" s="38" t="str">
        <f>IFERROR(__xludf.DUMMYFUNCTION("REGEXREPLACE(C2857,""-\d+(.*)|--\d+(.*)"","""")"),"MOISDON-LA-RIVIERE")</f>
        <v>MOISDON-LA-RIVIERE</v>
      </c>
      <c r="E2857" s="38" t="s">
        <v>759</v>
      </c>
      <c r="F2857" s="38" t="s">
        <v>180</v>
      </c>
      <c r="G2857" s="49" t="str">
        <f t="shared" si="1"/>
        <v>44520</v>
      </c>
      <c r="H2857" s="49">
        <f t="shared" si="2"/>
        <v>44099</v>
      </c>
    </row>
    <row r="2858">
      <c r="A2858" s="48" t="s">
        <v>578</v>
      </c>
      <c r="B2858" s="38">
        <v>52332.0</v>
      </c>
      <c r="C2858" s="38" t="s">
        <v>5034</v>
      </c>
      <c r="D2858" s="38" t="str">
        <f>IFERROR(__xludf.DUMMYFUNCTION("REGEXREPLACE(C2858,""-\d+(.*)|--\d+(.*)"","""")"),"VAL-DE-MEUSE")</f>
        <v>VAL-DE-MEUSE</v>
      </c>
      <c r="E2858" s="38" t="s">
        <v>234</v>
      </c>
      <c r="F2858" s="38" t="s">
        <v>130</v>
      </c>
      <c r="G2858" s="49" t="str">
        <f t="shared" si="1"/>
        <v>52140</v>
      </c>
      <c r="H2858" s="49">
        <f t="shared" si="2"/>
        <v>52332</v>
      </c>
    </row>
    <row r="2859">
      <c r="A2859" s="48" t="s">
        <v>5035</v>
      </c>
      <c r="B2859" s="38">
        <v>32125.0</v>
      </c>
      <c r="C2859" s="38" t="s">
        <v>5036</v>
      </c>
      <c r="D2859" s="38" t="str">
        <f>IFERROR(__xludf.DUMMYFUNCTION("REGEXREPLACE(C2859,""-\d+(.*)|--\d+(.*)"","""")"),"ESPAS")</f>
        <v>ESPAS</v>
      </c>
      <c r="E2859" s="38" t="s">
        <v>440</v>
      </c>
      <c r="F2859" s="38" t="s">
        <v>94</v>
      </c>
      <c r="G2859" s="49" t="str">
        <f t="shared" si="1"/>
        <v>32370</v>
      </c>
      <c r="H2859" s="49">
        <f t="shared" si="2"/>
        <v>32125</v>
      </c>
    </row>
    <row r="2860">
      <c r="A2860" s="48" t="s">
        <v>325</v>
      </c>
      <c r="B2860" s="38">
        <v>8113.0</v>
      </c>
      <c r="C2860" s="38" t="s">
        <v>5037</v>
      </c>
      <c r="D2860" s="38" t="str">
        <f>IFERROR(__xludf.DUMMYFUNCTION("REGEXREPLACE(C2860,""-\d+(.*)|--\d+(.*)"","""")"),"CHAUMONT-PORCIEN")</f>
        <v>CHAUMONT-PORCIEN</v>
      </c>
      <c r="E2860" s="38" t="s">
        <v>327</v>
      </c>
      <c r="F2860" s="38" t="s">
        <v>130</v>
      </c>
      <c r="G2860" s="49" t="str">
        <f t="shared" si="1"/>
        <v>08220</v>
      </c>
      <c r="H2860" s="49" t="str">
        <f t="shared" si="2"/>
        <v>08113</v>
      </c>
    </row>
    <row r="2861">
      <c r="A2861" s="48" t="s">
        <v>5038</v>
      </c>
      <c r="B2861" s="38">
        <v>17272.0</v>
      </c>
      <c r="C2861" s="38" t="s">
        <v>5039</v>
      </c>
      <c r="D2861" s="38" t="str">
        <f>IFERROR(__xludf.DUMMYFUNCTION("REGEXREPLACE(C2861,""-\d+(.*)|--\d+(.*)"","""")"),"PERE")</f>
        <v>PERE</v>
      </c>
      <c r="E2861" s="38" t="s">
        <v>488</v>
      </c>
      <c r="F2861" s="38" t="s">
        <v>338</v>
      </c>
      <c r="G2861" s="49" t="str">
        <f t="shared" si="1"/>
        <v>17700</v>
      </c>
      <c r="H2861" s="49">
        <f t="shared" si="2"/>
        <v>17272</v>
      </c>
    </row>
    <row r="2862">
      <c r="A2862" s="48" t="s">
        <v>1679</v>
      </c>
      <c r="B2862" s="38">
        <v>51167.0</v>
      </c>
      <c r="C2862" s="38" t="s">
        <v>5040</v>
      </c>
      <c r="D2862" s="38" t="str">
        <f>IFERROR(__xludf.DUMMYFUNCTION("REGEXREPLACE(C2862,""-\d+(.*)|--\d+(.*)"","""")"),"COOLE")</f>
        <v>COOLE</v>
      </c>
      <c r="E2862" s="38" t="s">
        <v>129</v>
      </c>
      <c r="F2862" s="38" t="s">
        <v>130</v>
      </c>
      <c r="G2862" s="49" t="str">
        <f t="shared" si="1"/>
        <v>51320</v>
      </c>
      <c r="H2862" s="49">
        <f t="shared" si="2"/>
        <v>51167</v>
      </c>
    </row>
    <row r="2863">
      <c r="A2863" s="48" t="s">
        <v>5041</v>
      </c>
      <c r="B2863" s="38">
        <v>3183.0</v>
      </c>
      <c r="C2863" s="38" t="s">
        <v>5042</v>
      </c>
      <c r="D2863" s="38" t="str">
        <f>IFERROR(__xludf.DUMMYFUNCTION("REGEXREPLACE(C2863,""-\d+(.*)|--\d+(.*)"","""")"),"LE MONTET")</f>
        <v>LE MONTET</v>
      </c>
      <c r="E2863" s="38" t="s">
        <v>160</v>
      </c>
      <c r="F2863" s="38" t="s">
        <v>161</v>
      </c>
      <c r="G2863" s="49" t="str">
        <f t="shared" si="1"/>
        <v>03240</v>
      </c>
      <c r="H2863" s="49" t="str">
        <f t="shared" si="2"/>
        <v>03183</v>
      </c>
    </row>
    <row r="2864">
      <c r="A2864" s="48" t="s">
        <v>5043</v>
      </c>
      <c r="B2864" s="38">
        <v>19235.0</v>
      </c>
      <c r="C2864" s="38" t="s">
        <v>5044</v>
      </c>
      <c r="D2864" s="38" t="str">
        <f>IFERROR(__xludf.DUMMYFUNCTION("REGEXREPLACE(C2864,""-\d+(.*)|--\d+(.*)"","""")"),"SAINT-PAUL")</f>
        <v>SAINT-PAUL</v>
      </c>
      <c r="E2864" s="38" t="s">
        <v>271</v>
      </c>
      <c r="F2864" s="38" t="s">
        <v>98</v>
      </c>
      <c r="G2864" s="49" t="str">
        <f t="shared" si="1"/>
        <v>19150</v>
      </c>
      <c r="H2864" s="49">
        <f t="shared" si="2"/>
        <v>19235</v>
      </c>
    </row>
    <row r="2865">
      <c r="A2865" s="48" t="s">
        <v>5045</v>
      </c>
      <c r="B2865" s="38">
        <v>24148.0</v>
      </c>
      <c r="C2865" s="38" t="s">
        <v>5046</v>
      </c>
      <c r="D2865" s="38" t="str">
        <f>IFERROR(__xludf.DUMMYFUNCTION("REGEXREPLACE(C2865,""-\d+(.*)|--\d+(.*)"","""")"),"CUNEGES")</f>
        <v>CUNEGES</v>
      </c>
      <c r="E2865" s="38" t="s">
        <v>261</v>
      </c>
      <c r="F2865" s="38" t="s">
        <v>252</v>
      </c>
      <c r="G2865" s="49" t="str">
        <f t="shared" si="1"/>
        <v>24240</v>
      </c>
      <c r="H2865" s="49">
        <f t="shared" si="2"/>
        <v>24148</v>
      </c>
    </row>
    <row r="2866">
      <c r="A2866" s="48" t="s">
        <v>5047</v>
      </c>
      <c r="B2866" s="38">
        <v>6021.0</v>
      </c>
      <c r="C2866" s="38" t="s">
        <v>5048</v>
      </c>
      <c r="D2866" s="38" t="str">
        <f>IFERROR(__xludf.DUMMYFUNCTION("REGEXREPLACE(C2866,""-\d+(.*)|--\d+(.*)"","""")"),"BONSON")</f>
        <v>BONSON</v>
      </c>
      <c r="E2866" s="38" t="s">
        <v>227</v>
      </c>
      <c r="F2866" s="38" t="s">
        <v>228</v>
      </c>
      <c r="G2866" s="49" t="str">
        <f t="shared" si="1"/>
        <v>06830</v>
      </c>
      <c r="H2866" s="49" t="str">
        <f t="shared" si="2"/>
        <v>06021</v>
      </c>
    </row>
    <row r="2867">
      <c r="A2867" s="48" t="s">
        <v>5049</v>
      </c>
      <c r="B2867" s="38">
        <v>60313.0</v>
      </c>
      <c r="C2867" s="38" t="s">
        <v>5050</v>
      </c>
      <c r="D2867" s="38" t="str">
        <f>IFERROR(__xludf.DUMMYFUNCTION("REGEXREPLACE(C2867,""-\d+(.*)|--\d+(.*)"","""")"),"HERMES")</f>
        <v>HERMES</v>
      </c>
      <c r="E2867" s="38" t="s">
        <v>112</v>
      </c>
      <c r="F2867" s="38" t="s">
        <v>113</v>
      </c>
      <c r="G2867" s="49" t="str">
        <f t="shared" si="1"/>
        <v>60370</v>
      </c>
      <c r="H2867" s="49">
        <f t="shared" si="2"/>
        <v>60313</v>
      </c>
    </row>
    <row r="2868">
      <c r="A2868" s="48" t="s">
        <v>2710</v>
      </c>
      <c r="B2868" s="38">
        <v>68257.0</v>
      </c>
      <c r="C2868" s="38" t="s">
        <v>5051</v>
      </c>
      <c r="D2868" s="38" t="str">
        <f>IFERROR(__xludf.DUMMYFUNCTION("REGEXREPLACE(C2868,""-\d+(.*)|--\d+(.*)"","""")"),"PFETTERHOUSE")</f>
        <v>PFETTERHOUSE</v>
      </c>
      <c r="E2868" s="38" t="s">
        <v>150</v>
      </c>
      <c r="F2868" s="38" t="s">
        <v>151</v>
      </c>
      <c r="G2868" s="49" t="str">
        <f t="shared" si="1"/>
        <v>68480</v>
      </c>
      <c r="H2868" s="49">
        <f t="shared" si="2"/>
        <v>68257</v>
      </c>
    </row>
    <row r="2869">
      <c r="A2869" s="48" t="s">
        <v>5052</v>
      </c>
      <c r="B2869" s="38">
        <v>66186.0</v>
      </c>
      <c r="C2869" s="38" t="s">
        <v>5053</v>
      </c>
      <c r="D2869" s="38" t="str">
        <f>IFERROR(__xludf.DUMMYFUNCTION("REGEXREPLACE(C2869,""-\d+(.*)|--\d+(.*)"","""")"),"SAINT-NAZAIRE")</f>
        <v>SAINT-NAZAIRE</v>
      </c>
      <c r="E2869" s="38" t="s">
        <v>248</v>
      </c>
      <c r="F2869" s="38" t="s">
        <v>119</v>
      </c>
      <c r="G2869" s="49" t="str">
        <f t="shared" si="1"/>
        <v>66570</v>
      </c>
      <c r="H2869" s="49">
        <f t="shared" si="2"/>
        <v>66186</v>
      </c>
    </row>
    <row r="2870">
      <c r="A2870" s="48" t="s">
        <v>5054</v>
      </c>
      <c r="B2870" s="38">
        <v>19203.0</v>
      </c>
      <c r="C2870" s="38" t="s">
        <v>5055</v>
      </c>
      <c r="D2870" s="38" t="str">
        <f>IFERROR(__xludf.DUMMYFUNCTION("REGEXREPLACE(C2870,""-\d+(.*)|--\d+(.*)"","""")"),"SAINTE-FORTUNADE")</f>
        <v>SAINTE-FORTUNADE</v>
      </c>
      <c r="E2870" s="38" t="s">
        <v>271</v>
      </c>
      <c r="F2870" s="38" t="s">
        <v>98</v>
      </c>
      <c r="G2870" s="49" t="str">
        <f t="shared" si="1"/>
        <v>19490</v>
      </c>
      <c r="H2870" s="49">
        <f t="shared" si="2"/>
        <v>19203</v>
      </c>
    </row>
    <row r="2871">
      <c r="A2871" s="48" t="s">
        <v>5056</v>
      </c>
      <c r="B2871" s="38">
        <v>85027.0</v>
      </c>
      <c r="C2871" s="38" t="s">
        <v>5057</v>
      </c>
      <c r="D2871" s="38" t="str">
        <f>IFERROR(__xludf.DUMMYFUNCTION("REGEXREPLACE(C2871,""-\d+(.*)|--\d+(.*)"","""")"),"BOUFFERE")</f>
        <v>BOUFFERE</v>
      </c>
      <c r="E2871" s="38" t="s">
        <v>179</v>
      </c>
      <c r="F2871" s="38" t="s">
        <v>180</v>
      </c>
      <c r="G2871" s="49" t="str">
        <f t="shared" si="1"/>
        <v>85600</v>
      </c>
      <c r="H2871" s="49">
        <f t="shared" si="2"/>
        <v>85027</v>
      </c>
    </row>
    <row r="2872">
      <c r="A2872" s="48" t="s">
        <v>924</v>
      </c>
      <c r="B2872" s="38">
        <v>40313.0</v>
      </c>
      <c r="C2872" s="38" t="s">
        <v>5058</v>
      </c>
      <c r="D2872" s="38" t="str">
        <f>IFERROR(__xludf.DUMMYFUNCTION("REGEXREPLACE(C2872,""-\d+(.*)|--\d+(.*)"","""")"),"TARTAS")</f>
        <v>TARTAS</v>
      </c>
      <c r="E2872" s="38" t="s">
        <v>281</v>
      </c>
      <c r="F2872" s="38" t="s">
        <v>252</v>
      </c>
      <c r="G2872" s="49" t="str">
        <f t="shared" si="1"/>
        <v>40400</v>
      </c>
      <c r="H2872" s="49">
        <f t="shared" si="2"/>
        <v>40313</v>
      </c>
    </row>
    <row r="2873">
      <c r="A2873" s="48" t="s">
        <v>1428</v>
      </c>
      <c r="B2873" s="38">
        <v>31141.0</v>
      </c>
      <c r="C2873" s="38" t="s">
        <v>5059</v>
      </c>
      <c r="D2873" s="38" t="str">
        <f>IFERROR(__xludf.DUMMYFUNCTION("REGEXREPLACE(C2873,""-\d+(.*)|--\d+(.*)"","""")"),"CIADOUX")</f>
        <v>CIADOUX</v>
      </c>
      <c r="E2873" s="38" t="s">
        <v>93</v>
      </c>
      <c r="F2873" s="38" t="s">
        <v>94</v>
      </c>
      <c r="G2873" s="49" t="str">
        <f t="shared" si="1"/>
        <v>31350</v>
      </c>
      <c r="H2873" s="49">
        <f t="shared" si="2"/>
        <v>31141</v>
      </c>
    </row>
    <row r="2874">
      <c r="A2874" s="48" t="s">
        <v>5060</v>
      </c>
      <c r="B2874" s="38">
        <v>12253.0</v>
      </c>
      <c r="C2874" s="38" t="s">
        <v>5061</v>
      </c>
      <c r="D2874" s="38" t="str">
        <f>IFERROR(__xludf.DUMMYFUNCTION("REGEXREPLACE(C2874,""-\d+(.*)|--\d+(.*)"","""")"),"SALLES-CURAN")</f>
        <v>SALLES-CURAN</v>
      </c>
      <c r="E2874" s="38" t="s">
        <v>465</v>
      </c>
      <c r="F2874" s="38" t="s">
        <v>94</v>
      </c>
      <c r="G2874" s="49" t="str">
        <f t="shared" si="1"/>
        <v>12410</v>
      </c>
      <c r="H2874" s="49">
        <f t="shared" si="2"/>
        <v>12253</v>
      </c>
    </row>
    <row r="2875">
      <c r="A2875" s="48" t="s">
        <v>1540</v>
      </c>
      <c r="B2875" s="38">
        <v>70019.0</v>
      </c>
      <c r="C2875" s="38" t="s">
        <v>5062</v>
      </c>
      <c r="D2875" s="38" t="str">
        <f>IFERROR(__xludf.DUMMYFUNCTION("REGEXREPLACE(C2875,""-\d+(.*)|--\d+(.*)"","""")"),"ANDELARRE")</f>
        <v>ANDELARRE</v>
      </c>
      <c r="E2875" s="38" t="s">
        <v>956</v>
      </c>
      <c r="F2875" s="38" t="s">
        <v>214</v>
      </c>
      <c r="G2875" s="49" t="str">
        <f t="shared" si="1"/>
        <v>70000</v>
      </c>
      <c r="H2875" s="49">
        <f t="shared" si="2"/>
        <v>70019</v>
      </c>
    </row>
    <row r="2876">
      <c r="A2876" s="48" t="s">
        <v>5063</v>
      </c>
      <c r="B2876" s="38">
        <v>24562.0</v>
      </c>
      <c r="C2876" s="38" t="s">
        <v>5064</v>
      </c>
      <c r="D2876" s="38" t="str">
        <f>IFERROR(__xludf.DUMMYFUNCTION("REGEXREPLACE(C2876,""-\d+(.*)|--\d+(.*)"","""")"),"VALLEREUIL")</f>
        <v>VALLEREUIL</v>
      </c>
      <c r="E2876" s="38" t="s">
        <v>261</v>
      </c>
      <c r="F2876" s="38" t="s">
        <v>252</v>
      </c>
      <c r="G2876" s="49" t="str">
        <f t="shared" si="1"/>
        <v>24190</v>
      </c>
      <c r="H2876" s="49">
        <f t="shared" si="2"/>
        <v>24562</v>
      </c>
    </row>
    <row r="2877">
      <c r="A2877" s="48" t="s">
        <v>5065</v>
      </c>
      <c r="B2877" s="38">
        <v>50325.0</v>
      </c>
      <c r="C2877" s="38" t="s">
        <v>5066</v>
      </c>
      <c r="D2877" s="38" t="str">
        <f>IFERROR(__xludf.DUMMYFUNCTION("REGEXREPLACE(C2877,""-\d+(.*)|--\d+(.*)"","""")"),"LE MESNIL-VIGOT")</f>
        <v>LE MESNIL-VIGOT</v>
      </c>
      <c r="E2877" s="38" t="s">
        <v>157</v>
      </c>
      <c r="F2877" s="38" t="s">
        <v>138</v>
      </c>
      <c r="G2877" s="49" t="str">
        <f t="shared" si="1"/>
        <v>50570</v>
      </c>
      <c r="H2877" s="49">
        <f t="shared" si="2"/>
        <v>50325</v>
      </c>
    </row>
    <row r="2878">
      <c r="A2878" s="48" t="s">
        <v>874</v>
      </c>
      <c r="B2878" s="38" t="s">
        <v>5067</v>
      </c>
      <c r="C2878" s="38" t="s">
        <v>5068</v>
      </c>
      <c r="D2878" s="38" t="str">
        <f>IFERROR(__xludf.DUMMYFUNCTION("REGEXREPLACE(C2878,""-\d+(.*)|--\d+(.*)"","""")"),"VALLE-D'OREZZA")</f>
        <v>VALLE-D'OREZZA</v>
      </c>
      <c r="E2878" s="38" t="s">
        <v>743</v>
      </c>
      <c r="F2878" s="38" t="s">
        <v>607</v>
      </c>
      <c r="G2878" s="49" t="str">
        <f t="shared" si="1"/>
        <v>20229</v>
      </c>
      <c r="H2878" s="49" t="str">
        <f t="shared" si="2"/>
        <v>2B338</v>
      </c>
    </row>
    <row r="2879">
      <c r="A2879" s="48" t="s">
        <v>573</v>
      </c>
      <c r="B2879" s="38">
        <v>65105.0</v>
      </c>
      <c r="C2879" s="38" t="s">
        <v>5069</v>
      </c>
      <c r="D2879" s="38" t="str">
        <f>IFERROR(__xludf.DUMMYFUNCTION("REGEXREPLACE(C2879,""-\d+(.*)|--\d+(.*)"","""")"),"BOURG-DE-BIGORRE")</f>
        <v>BOURG-DE-BIGORRE</v>
      </c>
      <c r="E2879" s="38" t="s">
        <v>200</v>
      </c>
      <c r="F2879" s="38" t="s">
        <v>94</v>
      </c>
      <c r="G2879" s="49" t="str">
        <f t="shared" si="1"/>
        <v>65130</v>
      </c>
      <c r="H2879" s="49">
        <f t="shared" si="2"/>
        <v>65105</v>
      </c>
    </row>
    <row r="2880">
      <c r="A2880" s="48" t="s">
        <v>5070</v>
      </c>
      <c r="B2880" s="38">
        <v>79211.0</v>
      </c>
      <c r="C2880" s="38" t="s">
        <v>5071</v>
      </c>
      <c r="D2880" s="38" t="str">
        <f>IFERROR(__xludf.DUMMYFUNCTION("REGEXREPLACE(C2880,""-\d+(.*)|--\d+(.*)"","""")"),"PIOUSSAY")</f>
        <v>PIOUSSAY</v>
      </c>
      <c r="E2880" s="38" t="s">
        <v>337</v>
      </c>
      <c r="F2880" s="38" t="s">
        <v>338</v>
      </c>
      <c r="G2880" s="49" t="str">
        <f t="shared" si="1"/>
        <v>79110</v>
      </c>
      <c r="H2880" s="49">
        <f t="shared" si="2"/>
        <v>79211</v>
      </c>
    </row>
    <row r="2881">
      <c r="A2881" s="48" t="s">
        <v>1900</v>
      </c>
      <c r="B2881" s="38">
        <v>45259.0</v>
      </c>
      <c r="C2881" s="38" t="s">
        <v>5072</v>
      </c>
      <c r="D2881" s="38" t="str">
        <f>IFERROR(__xludf.DUMMYFUNCTION("REGEXREPLACE(C2881,""-\d+(.*)|--\d+(.*)"","""")"),"QUIERS-SUR-BEZONDE")</f>
        <v>QUIERS-SUR-BEZONDE</v>
      </c>
      <c r="E2881" s="38" t="s">
        <v>122</v>
      </c>
      <c r="F2881" s="38" t="s">
        <v>123</v>
      </c>
      <c r="G2881" s="49" t="str">
        <f t="shared" si="1"/>
        <v>45270</v>
      </c>
      <c r="H2881" s="49">
        <f t="shared" si="2"/>
        <v>45259</v>
      </c>
    </row>
    <row r="2882">
      <c r="A2882" s="48" t="s">
        <v>2069</v>
      </c>
      <c r="B2882" s="38">
        <v>47230.0</v>
      </c>
      <c r="C2882" s="38" t="s">
        <v>2041</v>
      </c>
      <c r="D2882" s="38" t="str">
        <f>IFERROR(__xludf.DUMMYFUNCTION("REGEXREPLACE(C2882,""-\d+(.*)|--\d+(.*)"","""")"),"SAINT-AUBIN")</f>
        <v>SAINT-AUBIN</v>
      </c>
      <c r="E2882" s="38" t="s">
        <v>251</v>
      </c>
      <c r="F2882" s="38" t="s">
        <v>252</v>
      </c>
      <c r="G2882" s="49" t="str">
        <f t="shared" si="1"/>
        <v>47150</v>
      </c>
      <c r="H2882" s="49">
        <f t="shared" si="2"/>
        <v>47230</v>
      </c>
    </row>
    <row r="2883">
      <c r="A2883" s="48" t="s">
        <v>5073</v>
      </c>
      <c r="B2883" s="38">
        <v>59246.0</v>
      </c>
      <c r="C2883" s="38" t="s">
        <v>5074</v>
      </c>
      <c r="D2883" s="38" t="str">
        <f>IFERROR(__xludf.DUMMYFUNCTION("REGEXREPLACE(C2883,""-\d+(.*)|--\d+(.*)"","""")"),"FOREST-EN-CAMBRESIS")</f>
        <v>FOREST-EN-CAMBRESIS</v>
      </c>
      <c r="E2883" s="38" t="s">
        <v>85</v>
      </c>
      <c r="F2883" s="38" t="s">
        <v>86</v>
      </c>
      <c r="G2883" s="49" t="str">
        <f t="shared" si="1"/>
        <v>59222</v>
      </c>
      <c r="H2883" s="49">
        <f t="shared" si="2"/>
        <v>59246</v>
      </c>
    </row>
    <row r="2884">
      <c r="A2884" s="48" t="s">
        <v>215</v>
      </c>
      <c r="B2884" s="38">
        <v>2264.0</v>
      </c>
      <c r="C2884" s="38" t="s">
        <v>5075</v>
      </c>
      <c r="D2884" s="38" t="str">
        <f>IFERROR(__xludf.DUMMYFUNCTION("REGEXREPLACE(C2884,""-\d+(.*)|--\d+(.*)"","""")"),"DIZY-LE-GROS")</f>
        <v>DIZY-LE-GROS</v>
      </c>
      <c r="E2884" s="38" t="s">
        <v>191</v>
      </c>
      <c r="F2884" s="38" t="s">
        <v>113</v>
      </c>
      <c r="G2884" s="49" t="str">
        <f t="shared" si="1"/>
        <v>02340</v>
      </c>
      <c r="H2884" s="49" t="str">
        <f t="shared" si="2"/>
        <v>02264</v>
      </c>
    </row>
    <row r="2885">
      <c r="A2885" s="48" t="s">
        <v>5076</v>
      </c>
      <c r="B2885" s="38">
        <v>14225.0</v>
      </c>
      <c r="C2885" s="38" t="s">
        <v>5077</v>
      </c>
      <c r="D2885" s="38" t="str">
        <f>IFERROR(__xludf.DUMMYFUNCTION("REGEXREPLACE(C2885,""-\d+(.*)|--\d+(.*)"","""")"),"DIVES-SUR-MER")</f>
        <v>DIVES-SUR-MER</v>
      </c>
      <c r="E2885" s="38" t="s">
        <v>137</v>
      </c>
      <c r="F2885" s="38" t="s">
        <v>138</v>
      </c>
      <c r="G2885" s="49" t="str">
        <f t="shared" si="1"/>
        <v>14160</v>
      </c>
      <c r="H2885" s="49">
        <f t="shared" si="2"/>
        <v>14225</v>
      </c>
    </row>
    <row r="2886">
      <c r="A2886" s="48" t="s">
        <v>5078</v>
      </c>
      <c r="B2886" s="38">
        <v>47208.0</v>
      </c>
      <c r="C2886" s="38" t="s">
        <v>5079</v>
      </c>
      <c r="D2886" s="38" t="str">
        <f>IFERROR(__xludf.DUMMYFUNCTION("REGEXREPLACE(C2886,""-\d+(.*)|--\d+(.*)"","""")"),"POMPOGNE")</f>
        <v>POMPOGNE</v>
      </c>
      <c r="E2886" s="38" t="s">
        <v>251</v>
      </c>
      <c r="F2886" s="38" t="s">
        <v>252</v>
      </c>
      <c r="G2886" s="49" t="str">
        <f t="shared" si="1"/>
        <v>47420</v>
      </c>
      <c r="H2886" s="49">
        <f t="shared" si="2"/>
        <v>47208</v>
      </c>
    </row>
    <row r="2887">
      <c r="A2887" s="48" t="s">
        <v>1108</v>
      </c>
      <c r="B2887" s="38">
        <v>27437.0</v>
      </c>
      <c r="C2887" s="38" t="s">
        <v>5080</v>
      </c>
      <c r="D2887" s="38" t="str">
        <f>IFERROR(__xludf.DUMMYFUNCTION("REGEXREPLACE(C2887,""-\d+(.*)|--\d+(.*)"","""")"),"NOJEON-EN-VEXIN")</f>
        <v>NOJEON-EN-VEXIN</v>
      </c>
      <c r="E2887" s="38" t="s">
        <v>241</v>
      </c>
      <c r="F2887" s="38" t="s">
        <v>134</v>
      </c>
      <c r="G2887" s="49" t="str">
        <f t="shared" si="1"/>
        <v>27150</v>
      </c>
      <c r="H2887" s="49">
        <f t="shared" si="2"/>
        <v>27437</v>
      </c>
    </row>
    <row r="2888">
      <c r="A2888" s="48" t="s">
        <v>5081</v>
      </c>
      <c r="B2888" s="38">
        <v>54334.0</v>
      </c>
      <c r="C2888" s="38" t="s">
        <v>5082</v>
      </c>
      <c r="D2888" s="38" t="str">
        <f>IFERROR(__xludf.DUMMYFUNCTION("REGEXREPLACE(C2888,""-\d+(.*)|--\d+(.*)"","""")"),"MAIRY-MAINVILLE")</f>
        <v>MAIRY-MAINVILLE</v>
      </c>
      <c r="E2888" s="38" t="s">
        <v>548</v>
      </c>
      <c r="F2888" s="38" t="s">
        <v>195</v>
      </c>
      <c r="G2888" s="49" t="str">
        <f t="shared" si="1"/>
        <v>54150</v>
      </c>
      <c r="H2888" s="49">
        <f t="shared" si="2"/>
        <v>54334</v>
      </c>
    </row>
    <row r="2889">
      <c r="A2889" s="48" t="s">
        <v>1435</v>
      </c>
      <c r="B2889" s="38">
        <v>14102.0</v>
      </c>
      <c r="C2889" s="38" t="s">
        <v>5083</v>
      </c>
      <c r="D2889" s="38" t="str">
        <f>IFERROR(__xludf.DUMMYFUNCTION("REGEXREPLACE(C2889,""-\d+(.*)|--\d+(.*)"","""")"),"LE BREUIL-EN-AUGE")</f>
        <v>LE BREUIL-EN-AUGE</v>
      </c>
      <c r="E2889" s="38" t="s">
        <v>137</v>
      </c>
      <c r="F2889" s="38" t="s">
        <v>138</v>
      </c>
      <c r="G2889" s="49" t="str">
        <f t="shared" si="1"/>
        <v>14130</v>
      </c>
      <c r="H2889" s="49">
        <f t="shared" si="2"/>
        <v>14102</v>
      </c>
    </row>
    <row r="2890">
      <c r="A2890" s="48" t="s">
        <v>5084</v>
      </c>
      <c r="B2890" s="38">
        <v>17051.0</v>
      </c>
      <c r="C2890" s="38" t="s">
        <v>5085</v>
      </c>
      <c r="D2890" s="38" t="str">
        <f>IFERROR(__xludf.DUMMYFUNCTION("REGEXREPLACE(C2890,""-\d+(.*)|--\d+(.*)"","""")"),"LE BOIS-PLAGE-EN-RE")</f>
        <v>LE BOIS-PLAGE-EN-RE</v>
      </c>
      <c r="E2890" s="38" t="s">
        <v>488</v>
      </c>
      <c r="F2890" s="38" t="s">
        <v>338</v>
      </c>
      <c r="G2890" s="49" t="str">
        <f t="shared" si="1"/>
        <v>17580</v>
      </c>
      <c r="H2890" s="49">
        <f t="shared" si="2"/>
        <v>17051</v>
      </c>
    </row>
    <row r="2891">
      <c r="A2891" s="48" t="s">
        <v>5086</v>
      </c>
      <c r="B2891" s="38">
        <v>7302.0</v>
      </c>
      <c r="C2891" s="38" t="s">
        <v>5087</v>
      </c>
      <c r="D2891" s="38" t="str">
        <f>IFERROR(__xludf.DUMMYFUNCTION("REGEXREPLACE(C2891,""-\d+(.*)|--\d+(.*)"","""")"),"SAINT-VINCENT-DE-BARRES")</f>
        <v>SAINT-VINCENT-DE-BARRES</v>
      </c>
      <c r="E2891" s="38" t="s">
        <v>144</v>
      </c>
      <c r="F2891" s="38" t="s">
        <v>102</v>
      </c>
      <c r="G2891" s="49" t="str">
        <f t="shared" si="1"/>
        <v>07210</v>
      </c>
      <c r="H2891" s="49" t="str">
        <f t="shared" si="2"/>
        <v>07302</v>
      </c>
    </row>
    <row r="2892">
      <c r="A2892" s="48" t="s">
        <v>3370</v>
      </c>
      <c r="B2892" s="38">
        <v>72245.0</v>
      </c>
      <c r="C2892" s="38" t="s">
        <v>5088</v>
      </c>
      <c r="D2892" s="38" t="str">
        <f>IFERROR(__xludf.DUMMYFUNCTION("REGEXREPLACE(C2892,""-\d+(.*)|--\d+(.*)"","""")"),"PREVAL")</f>
        <v>PREVAL</v>
      </c>
      <c r="E2892" s="38" t="s">
        <v>521</v>
      </c>
      <c r="F2892" s="38" t="s">
        <v>180</v>
      </c>
      <c r="G2892" s="49" t="str">
        <f t="shared" si="1"/>
        <v>72400</v>
      </c>
      <c r="H2892" s="49">
        <f t="shared" si="2"/>
        <v>72245</v>
      </c>
    </row>
    <row r="2893">
      <c r="A2893" s="48" t="s">
        <v>1408</v>
      </c>
      <c r="B2893" s="38">
        <v>88419.0</v>
      </c>
      <c r="C2893" s="38" t="s">
        <v>5089</v>
      </c>
      <c r="D2893" s="38" t="str">
        <f>IFERROR(__xludf.DUMMYFUNCTION("REGEXREPLACE(C2893,""-\d+(.*)|--\d+(.*)"","""")"),"SAINT-JEAN-D'ORMONT")</f>
        <v>SAINT-JEAN-D'ORMONT</v>
      </c>
      <c r="E2893" s="38" t="s">
        <v>194</v>
      </c>
      <c r="F2893" s="38" t="s">
        <v>195</v>
      </c>
      <c r="G2893" s="49" t="str">
        <f t="shared" si="1"/>
        <v>88210</v>
      </c>
      <c r="H2893" s="49">
        <f t="shared" si="2"/>
        <v>88419</v>
      </c>
    </row>
    <row r="2894">
      <c r="A2894" s="48" t="s">
        <v>522</v>
      </c>
      <c r="B2894" s="38">
        <v>39292.0</v>
      </c>
      <c r="C2894" s="38" t="s">
        <v>5090</v>
      </c>
      <c r="D2894" s="38" t="str">
        <f>IFERROR(__xludf.DUMMYFUNCTION("REGEXREPLACE(C2894,""-\d+(.*)|--\d+(.*)"","""")"),"LENT")</f>
        <v>LENT</v>
      </c>
      <c r="E2894" s="38" t="s">
        <v>400</v>
      </c>
      <c r="F2894" s="38" t="s">
        <v>214</v>
      </c>
      <c r="G2894" s="49" t="str">
        <f t="shared" si="1"/>
        <v>39300</v>
      </c>
      <c r="H2894" s="49">
        <f t="shared" si="2"/>
        <v>39292</v>
      </c>
    </row>
    <row r="2895">
      <c r="A2895" s="48" t="s">
        <v>5091</v>
      </c>
      <c r="B2895" s="38">
        <v>41167.0</v>
      </c>
      <c r="C2895" s="38" t="s">
        <v>5092</v>
      </c>
      <c r="D2895" s="38" t="str">
        <f>IFERROR(__xludf.DUMMYFUNCTION("REGEXREPLACE(C2895,""-\d+(.*)|--\d+(.*)"","""")"),"ONZAIN")</f>
        <v>ONZAIN</v>
      </c>
      <c r="E2895" s="38" t="s">
        <v>188</v>
      </c>
      <c r="F2895" s="38" t="s">
        <v>123</v>
      </c>
      <c r="G2895" s="49" t="str">
        <f t="shared" si="1"/>
        <v>41150</v>
      </c>
      <c r="H2895" s="49">
        <f t="shared" si="2"/>
        <v>41167</v>
      </c>
    </row>
    <row r="2896">
      <c r="A2896" s="48" t="s">
        <v>1695</v>
      </c>
      <c r="B2896" s="38">
        <v>80151.0</v>
      </c>
      <c r="C2896" s="38" t="s">
        <v>5093</v>
      </c>
      <c r="D2896" s="38" t="str">
        <f>IFERROR(__xludf.DUMMYFUNCTION("REGEXREPLACE(C2896,""-\d+(.*)|--\d+(.*)"","""")"),"BUIRE-SUR-L'ANCRE")</f>
        <v>BUIRE-SUR-L'ANCRE</v>
      </c>
      <c r="E2896" s="38" t="s">
        <v>224</v>
      </c>
      <c r="F2896" s="38" t="s">
        <v>113</v>
      </c>
      <c r="G2896" s="49" t="str">
        <f t="shared" si="1"/>
        <v>80300</v>
      </c>
      <c r="H2896" s="49">
        <f t="shared" si="2"/>
        <v>80151</v>
      </c>
    </row>
    <row r="2897">
      <c r="A2897" s="48" t="s">
        <v>5094</v>
      </c>
      <c r="B2897" s="38">
        <v>32027.0</v>
      </c>
      <c r="C2897" s="38" t="s">
        <v>5095</v>
      </c>
      <c r="D2897" s="38" t="str">
        <f>IFERROR(__xludf.DUMMYFUNCTION("REGEXREPLACE(C2897,""-\d+(.*)|--\d+(.*)"","""")"),"BARCELONNE-DU-GERS")</f>
        <v>BARCELONNE-DU-GERS</v>
      </c>
      <c r="E2897" s="38" t="s">
        <v>440</v>
      </c>
      <c r="F2897" s="38" t="s">
        <v>94</v>
      </c>
      <c r="G2897" s="49" t="str">
        <f t="shared" si="1"/>
        <v>32720</v>
      </c>
      <c r="H2897" s="49">
        <f t="shared" si="2"/>
        <v>32027</v>
      </c>
    </row>
    <row r="2898">
      <c r="A2898" s="48" t="s">
        <v>1288</v>
      </c>
      <c r="B2898" s="38">
        <v>64306.0</v>
      </c>
      <c r="C2898" s="38" t="s">
        <v>5096</v>
      </c>
      <c r="D2898" s="38" t="str">
        <f>IFERROR(__xludf.DUMMYFUNCTION("REGEXREPLACE(C2898,""-\d+(.*)|--\d+(.*)"","""")"),"LAHOURCADE")</f>
        <v>LAHOURCADE</v>
      </c>
      <c r="E2898" s="38" t="s">
        <v>268</v>
      </c>
      <c r="F2898" s="38" t="s">
        <v>252</v>
      </c>
      <c r="G2898" s="49" t="str">
        <f t="shared" si="1"/>
        <v>64150</v>
      </c>
      <c r="H2898" s="49">
        <f t="shared" si="2"/>
        <v>64306</v>
      </c>
    </row>
    <row r="2899">
      <c r="A2899" s="48" t="s">
        <v>5097</v>
      </c>
      <c r="B2899" s="38">
        <v>59270.0</v>
      </c>
      <c r="C2899" s="38" t="s">
        <v>5098</v>
      </c>
      <c r="D2899" s="38" t="str">
        <f>IFERROR(__xludf.DUMMYFUNCTION("REGEXREPLACE(C2899,""-\d+(.*)|--\d+(.*)"","""")"),"GRAND-FAYT")</f>
        <v>GRAND-FAYT</v>
      </c>
      <c r="E2899" s="38" t="s">
        <v>85</v>
      </c>
      <c r="F2899" s="38" t="s">
        <v>86</v>
      </c>
      <c r="G2899" s="49" t="str">
        <f t="shared" si="1"/>
        <v>59244</v>
      </c>
      <c r="H2899" s="49">
        <f t="shared" si="2"/>
        <v>59270</v>
      </c>
    </row>
    <row r="2900">
      <c r="A2900" s="48" t="s">
        <v>2565</v>
      </c>
      <c r="B2900" s="38">
        <v>44072.0</v>
      </c>
      <c r="C2900" s="38" t="s">
        <v>5099</v>
      </c>
      <c r="D2900" s="38" t="str">
        <f>IFERROR(__xludf.DUMMYFUNCTION("REGEXREPLACE(C2900,""-\d+(.*)|--\d+(.*)"","""")"),"HERBIGNAC")</f>
        <v>HERBIGNAC</v>
      </c>
      <c r="E2900" s="38" t="s">
        <v>759</v>
      </c>
      <c r="F2900" s="38" t="s">
        <v>180</v>
      </c>
      <c r="G2900" s="49" t="str">
        <f t="shared" si="1"/>
        <v>44410</v>
      </c>
      <c r="H2900" s="49">
        <f t="shared" si="2"/>
        <v>44072</v>
      </c>
    </row>
    <row r="2901">
      <c r="A2901" s="48" t="s">
        <v>1018</v>
      </c>
      <c r="B2901" s="38">
        <v>60487.0</v>
      </c>
      <c r="C2901" s="38" t="s">
        <v>5100</v>
      </c>
      <c r="D2901" s="38" t="str">
        <f>IFERROR(__xludf.DUMMYFUNCTION("REGEXREPLACE(C2901,""-\d+(.*)|--\d+(.*)"","""")"),"PARNES")</f>
        <v>PARNES</v>
      </c>
      <c r="E2901" s="38" t="s">
        <v>112</v>
      </c>
      <c r="F2901" s="38" t="s">
        <v>113</v>
      </c>
      <c r="G2901" s="49" t="str">
        <f t="shared" si="1"/>
        <v>60240</v>
      </c>
      <c r="H2901" s="49">
        <f t="shared" si="2"/>
        <v>60487</v>
      </c>
    </row>
    <row r="2902">
      <c r="A2902" s="48" t="s">
        <v>5101</v>
      </c>
      <c r="B2902" s="38">
        <v>54467.0</v>
      </c>
      <c r="C2902" s="38" t="s">
        <v>5102</v>
      </c>
      <c r="D2902" s="38" t="str">
        <f>IFERROR(__xludf.DUMMYFUNCTION("REGEXREPLACE(C2902,""-\d+(.*)|--\d+(.*)"","""")"),"ROZELIEURES")</f>
        <v>ROZELIEURES</v>
      </c>
      <c r="E2902" s="38" t="s">
        <v>548</v>
      </c>
      <c r="F2902" s="38" t="s">
        <v>195</v>
      </c>
      <c r="G2902" s="49" t="str">
        <f t="shared" si="1"/>
        <v>54290</v>
      </c>
      <c r="H2902" s="49">
        <f t="shared" si="2"/>
        <v>54467</v>
      </c>
    </row>
    <row r="2903">
      <c r="A2903" s="48" t="s">
        <v>5103</v>
      </c>
      <c r="B2903" s="38">
        <v>37106.0</v>
      </c>
      <c r="C2903" s="38" t="s">
        <v>2908</v>
      </c>
      <c r="D2903" s="38" t="str">
        <f>IFERROR(__xludf.DUMMYFUNCTION("REGEXREPLACE(C2903,""-\d+(.*)|--\d+(.*)"","""")"),"LA FERRIERE")</f>
        <v>LA FERRIERE</v>
      </c>
      <c r="E2903" s="38" t="s">
        <v>205</v>
      </c>
      <c r="F2903" s="38" t="s">
        <v>123</v>
      </c>
      <c r="G2903" s="49" t="str">
        <f t="shared" si="1"/>
        <v>37110</v>
      </c>
      <c r="H2903" s="49">
        <f t="shared" si="2"/>
        <v>37106</v>
      </c>
    </row>
    <row r="2904">
      <c r="A2904" s="48" t="s">
        <v>5104</v>
      </c>
      <c r="B2904" s="38">
        <v>29288.0</v>
      </c>
      <c r="C2904" s="38" t="s">
        <v>5105</v>
      </c>
      <c r="D2904" s="38" t="str">
        <f>IFERROR(__xludf.DUMMYFUNCTION("REGEXREPLACE(C2904,""-\d+(.*)|--\d+(.*)"","""")"),"TREGARANTEC")</f>
        <v>TREGARANTEC</v>
      </c>
      <c r="E2904" s="38" t="s">
        <v>176</v>
      </c>
      <c r="F2904" s="38" t="s">
        <v>90</v>
      </c>
      <c r="G2904" s="49" t="str">
        <f t="shared" si="1"/>
        <v>29260</v>
      </c>
      <c r="H2904" s="49">
        <f t="shared" si="2"/>
        <v>29288</v>
      </c>
    </row>
    <row r="2905">
      <c r="A2905" s="48" t="s">
        <v>266</v>
      </c>
      <c r="B2905" s="38">
        <v>64196.0</v>
      </c>
      <c r="C2905" s="38" t="s">
        <v>5106</v>
      </c>
      <c r="D2905" s="38" t="str">
        <f>IFERROR(__xludf.DUMMYFUNCTION("REGEXREPLACE(C2905,""-\d+(.*)|--\d+(.*)"","""")"),"CROUSEILLES")</f>
        <v>CROUSEILLES</v>
      </c>
      <c r="E2905" s="38" t="s">
        <v>268</v>
      </c>
      <c r="F2905" s="38" t="s">
        <v>252</v>
      </c>
      <c r="G2905" s="49" t="str">
        <f t="shared" si="1"/>
        <v>64350</v>
      </c>
      <c r="H2905" s="49">
        <f t="shared" si="2"/>
        <v>64196</v>
      </c>
    </row>
    <row r="2906">
      <c r="A2906" s="48" t="s">
        <v>2292</v>
      </c>
      <c r="B2906" s="38">
        <v>76443.0</v>
      </c>
      <c r="C2906" s="38" t="s">
        <v>5107</v>
      </c>
      <c r="D2906" s="38" t="str">
        <f>IFERROR(__xludf.DUMMYFUNCTION("REGEXREPLACE(C2906,""-\d+(.*)|--\d+(.*)"","""")"),"MONT-CAUVAIRE")</f>
        <v>MONT-CAUVAIRE</v>
      </c>
      <c r="E2906" s="38" t="s">
        <v>133</v>
      </c>
      <c r="F2906" s="38" t="s">
        <v>134</v>
      </c>
      <c r="G2906" s="49" t="str">
        <f t="shared" si="1"/>
        <v>76690</v>
      </c>
      <c r="H2906" s="49">
        <f t="shared" si="2"/>
        <v>76443</v>
      </c>
    </row>
    <row r="2907">
      <c r="A2907" s="48" t="s">
        <v>2249</v>
      </c>
      <c r="B2907" s="38">
        <v>14040.0</v>
      </c>
      <c r="C2907" s="38" t="s">
        <v>5108</v>
      </c>
      <c r="D2907" s="38" t="str">
        <f>IFERROR(__xludf.DUMMYFUNCTION("REGEXREPLACE(C2907,""-\d+(.*)|--\d+(.*)"","""")"),"BARBEVILLE")</f>
        <v>BARBEVILLE</v>
      </c>
      <c r="E2907" s="38" t="s">
        <v>137</v>
      </c>
      <c r="F2907" s="38" t="s">
        <v>138</v>
      </c>
      <c r="G2907" s="49" t="str">
        <f t="shared" si="1"/>
        <v>14400</v>
      </c>
      <c r="H2907" s="49">
        <f t="shared" si="2"/>
        <v>14040</v>
      </c>
    </row>
    <row r="2908">
      <c r="A2908" s="48" t="s">
        <v>5109</v>
      </c>
      <c r="B2908" s="38">
        <v>78255.0</v>
      </c>
      <c r="C2908" s="38" t="s">
        <v>4029</v>
      </c>
      <c r="D2908" s="38" t="str">
        <f>IFERROR(__xludf.DUMMYFUNCTION("REGEXREPLACE(C2908,""-\d+(.*)|--\d+(.*)"","""")"),"FRENEUSE")</f>
        <v>FRENEUSE</v>
      </c>
      <c r="E2908" s="38" t="s">
        <v>362</v>
      </c>
      <c r="F2908" s="38" t="s">
        <v>245</v>
      </c>
      <c r="G2908" s="49" t="str">
        <f t="shared" si="1"/>
        <v>78840</v>
      </c>
      <c r="H2908" s="49">
        <f t="shared" si="2"/>
        <v>78255</v>
      </c>
    </row>
    <row r="2909">
      <c r="A2909" s="48" t="s">
        <v>114</v>
      </c>
      <c r="B2909" s="38">
        <v>62719.0</v>
      </c>
      <c r="C2909" s="38" t="s">
        <v>5110</v>
      </c>
      <c r="D2909" s="38" t="str">
        <f>IFERROR(__xludf.DUMMYFUNCTION("REGEXREPLACE(C2909,""-\d+(.*)|--\d+(.*)"","""")"),"ROLLANCOURT")</f>
        <v>ROLLANCOURT</v>
      </c>
      <c r="E2909" s="38" t="s">
        <v>109</v>
      </c>
      <c r="F2909" s="38" t="s">
        <v>86</v>
      </c>
      <c r="G2909" s="49" t="str">
        <f t="shared" si="1"/>
        <v>62770</v>
      </c>
      <c r="H2909" s="49">
        <f t="shared" si="2"/>
        <v>62719</v>
      </c>
    </row>
    <row r="2910">
      <c r="A2910" s="48" t="s">
        <v>5111</v>
      </c>
      <c r="B2910" s="38">
        <v>47098.0</v>
      </c>
      <c r="C2910" s="38" t="s">
        <v>5112</v>
      </c>
      <c r="D2910" s="38" t="str">
        <f>IFERROR(__xludf.DUMMYFUNCTION("REGEXREPLACE(C2910,""-\d+(.*)|--\d+(.*)"","""")"),"FIEUX")</f>
        <v>FIEUX</v>
      </c>
      <c r="E2910" s="38" t="s">
        <v>251</v>
      </c>
      <c r="F2910" s="38" t="s">
        <v>252</v>
      </c>
      <c r="G2910" s="49" t="str">
        <f t="shared" si="1"/>
        <v>47600</v>
      </c>
      <c r="H2910" s="49">
        <f t="shared" si="2"/>
        <v>47098</v>
      </c>
    </row>
    <row r="2911">
      <c r="A2911" s="48" t="s">
        <v>2182</v>
      </c>
      <c r="B2911" s="38">
        <v>89261.0</v>
      </c>
      <c r="C2911" s="38" t="s">
        <v>5113</v>
      </c>
      <c r="D2911" s="38" t="str">
        <f>IFERROR(__xludf.DUMMYFUNCTION("REGEXREPLACE(C2911,""-\d+(.*)|--\d+(.*)"","""")"),"MOLINONS")</f>
        <v>MOLINONS</v>
      </c>
      <c r="E2911" s="38" t="s">
        <v>275</v>
      </c>
      <c r="F2911" s="38" t="s">
        <v>106</v>
      </c>
      <c r="G2911" s="49" t="str">
        <f t="shared" si="1"/>
        <v>89190</v>
      </c>
      <c r="H2911" s="49">
        <f t="shared" si="2"/>
        <v>89261</v>
      </c>
    </row>
    <row r="2912">
      <c r="A2912" s="48" t="s">
        <v>4504</v>
      </c>
      <c r="B2912" s="38">
        <v>40014.0</v>
      </c>
      <c r="C2912" s="38" t="s">
        <v>5114</v>
      </c>
      <c r="D2912" s="38" t="str">
        <f>IFERROR(__xludf.DUMMYFUNCTION("REGEXREPLACE(C2912,""-\d+(.*)|--\d+(.*)"","""")"),"ARUE")</f>
        <v>ARUE</v>
      </c>
      <c r="E2912" s="38" t="s">
        <v>281</v>
      </c>
      <c r="F2912" s="38" t="s">
        <v>252</v>
      </c>
      <c r="G2912" s="49" t="str">
        <f t="shared" si="1"/>
        <v>40120</v>
      </c>
      <c r="H2912" s="49">
        <f t="shared" si="2"/>
        <v>40014</v>
      </c>
    </row>
    <row r="2913">
      <c r="A2913" s="48" t="s">
        <v>398</v>
      </c>
      <c r="B2913" s="38">
        <v>39083.0</v>
      </c>
      <c r="C2913" s="38" t="s">
        <v>5115</v>
      </c>
      <c r="D2913" s="38" t="str">
        <f>IFERROR(__xludf.DUMMYFUNCTION("REGEXREPLACE(C2913,""-\d+(.*)|--\d+(.*)"","""")"),"CENSEAU")</f>
        <v>CENSEAU</v>
      </c>
      <c r="E2913" s="38" t="s">
        <v>400</v>
      </c>
      <c r="F2913" s="38" t="s">
        <v>214</v>
      </c>
      <c r="G2913" s="49" t="str">
        <f t="shared" si="1"/>
        <v>39250</v>
      </c>
      <c r="H2913" s="49">
        <f t="shared" si="2"/>
        <v>39083</v>
      </c>
    </row>
    <row r="2914">
      <c r="A2914" s="48" t="s">
        <v>3050</v>
      </c>
      <c r="B2914" s="38">
        <v>11035.0</v>
      </c>
      <c r="C2914" s="38" t="s">
        <v>5116</v>
      </c>
      <c r="D2914" s="38" t="str">
        <f>IFERROR(__xludf.DUMMYFUNCTION("REGEXREPLACE(C2914,""-\d+(.*)|--\d+(.*)"","""")"),"BELVIANES-ET-CAVIRAC")</f>
        <v>BELVIANES-ET-CAVIRAC</v>
      </c>
      <c r="E2914" s="38" t="s">
        <v>278</v>
      </c>
      <c r="F2914" s="38" t="s">
        <v>119</v>
      </c>
      <c r="G2914" s="49" t="str">
        <f t="shared" si="1"/>
        <v>11500</v>
      </c>
      <c r="H2914" s="49">
        <f t="shared" si="2"/>
        <v>11035</v>
      </c>
    </row>
    <row r="2915">
      <c r="A2915" s="48" t="s">
        <v>5117</v>
      </c>
      <c r="B2915" s="38">
        <v>93014.0</v>
      </c>
      <c r="C2915" s="38" t="s">
        <v>5118</v>
      </c>
      <c r="D2915" s="38" t="str">
        <f>IFERROR(__xludf.DUMMYFUNCTION("REGEXREPLACE(C2915,""-\d+(.*)|--\d+(.*)"","""")"),"CLICHY-SOUS-BOIS")</f>
        <v>CLICHY-SOUS-BOIS</v>
      </c>
      <c r="E2915" s="38" t="s">
        <v>341</v>
      </c>
      <c r="F2915" s="38" t="s">
        <v>245</v>
      </c>
      <c r="G2915" s="49" t="str">
        <f t="shared" si="1"/>
        <v>93390</v>
      </c>
      <c r="H2915" s="49">
        <f t="shared" si="2"/>
        <v>93014</v>
      </c>
    </row>
    <row r="2916">
      <c r="A2916" s="48" t="s">
        <v>3256</v>
      </c>
      <c r="B2916" s="38">
        <v>36001.0</v>
      </c>
      <c r="C2916" s="38" t="s">
        <v>5119</v>
      </c>
      <c r="D2916" s="38" t="str">
        <f>IFERROR(__xludf.DUMMYFUNCTION("REGEXREPLACE(C2916,""-\d+(.*)|--\d+(.*)"","""")"),"AIGURANDE")</f>
        <v>AIGURANDE</v>
      </c>
      <c r="E2916" s="38" t="s">
        <v>258</v>
      </c>
      <c r="F2916" s="38" t="s">
        <v>123</v>
      </c>
      <c r="G2916" s="49" t="str">
        <f t="shared" si="1"/>
        <v>36140</v>
      </c>
      <c r="H2916" s="49">
        <f t="shared" si="2"/>
        <v>36001</v>
      </c>
    </row>
    <row r="2917">
      <c r="A2917" s="48" t="s">
        <v>5120</v>
      </c>
      <c r="B2917" s="38">
        <v>91179.0</v>
      </c>
      <c r="C2917" s="38" t="s">
        <v>5121</v>
      </c>
      <c r="D2917" s="38" t="str">
        <f>IFERROR(__xludf.DUMMYFUNCTION("REGEXREPLACE(C2917,""-\d+(.*)|--\d+(.*)"","""")"),"LE COUDRAY-MONTCEAUX")</f>
        <v>LE COUDRAY-MONTCEAUX</v>
      </c>
      <c r="E2917" s="38" t="s">
        <v>756</v>
      </c>
      <c r="F2917" s="38" t="s">
        <v>245</v>
      </c>
      <c r="G2917" s="49" t="str">
        <f t="shared" si="1"/>
        <v>91830</v>
      </c>
      <c r="H2917" s="49">
        <f t="shared" si="2"/>
        <v>91179</v>
      </c>
    </row>
    <row r="2918">
      <c r="A2918" s="48" t="s">
        <v>5122</v>
      </c>
      <c r="B2918" s="38">
        <v>62488.0</v>
      </c>
      <c r="C2918" s="38" t="s">
        <v>5123</v>
      </c>
      <c r="D2918" s="38" t="str">
        <f>IFERROR(__xludf.DUMMYFUNCTION("REGEXREPLACE(C2918,""-\d+(.*)|--\d+(.*)"","""")"),"LANDRETHUN-LES-ARDRES")</f>
        <v>LANDRETHUN-LES-ARDRES</v>
      </c>
      <c r="E2918" s="38" t="s">
        <v>109</v>
      </c>
      <c r="F2918" s="38" t="s">
        <v>86</v>
      </c>
      <c r="G2918" s="49" t="str">
        <f t="shared" si="1"/>
        <v>62610</v>
      </c>
      <c r="H2918" s="49">
        <f t="shared" si="2"/>
        <v>62488</v>
      </c>
    </row>
    <row r="2919">
      <c r="A2919" s="48" t="s">
        <v>2122</v>
      </c>
      <c r="B2919" s="38">
        <v>7133.0</v>
      </c>
      <c r="C2919" s="38" t="s">
        <v>5124</v>
      </c>
      <c r="D2919" s="38" t="str">
        <f>IFERROR(__xludf.DUMMYFUNCTION("REGEXREPLACE(C2919,""-\d+(.*)|--\d+(.*)"","""")"),"LARNAS")</f>
        <v>LARNAS</v>
      </c>
      <c r="E2919" s="38" t="s">
        <v>144</v>
      </c>
      <c r="F2919" s="38" t="s">
        <v>102</v>
      </c>
      <c r="G2919" s="49" t="str">
        <f t="shared" si="1"/>
        <v>07220</v>
      </c>
      <c r="H2919" s="49" t="str">
        <f t="shared" si="2"/>
        <v>07133</v>
      </c>
    </row>
    <row r="2920">
      <c r="A2920" s="48" t="s">
        <v>5125</v>
      </c>
      <c r="B2920" s="38">
        <v>49228.0</v>
      </c>
      <c r="C2920" s="38" t="s">
        <v>5126</v>
      </c>
      <c r="D2920" s="38" t="str">
        <f>IFERROR(__xludf.DUMMYFUNCTION("REGEXREPLACE(C2920,""-\d+(.*)|--\d+(.*)"","""")"),"NOYANT")</f>
        <v>NOYANT</v>
      </c>
      <c r="E2920" s="38" t="s">
        <v>653</v>
      </c>
      <c r="F2920" s="38" t="s">
        <v>180</v>
      </c>
      <c r="G2920" s="49" t="str">
        <f t="shared" si="1"/>
        <v>49490</v>
      </c>
      <c r="H2920" s="49">
        <f t="shared" si="2"/>
        <v>49228</v>
      </c>
    </row>
    <row r="2921">
      <c r="A2921" s="48" t="s">
        <v>5127</v>
      </c>
      <c r="B2921" s="38">
        <v>26309.0</v>
      </c>
      <c r="C2921" s="38" t="s">
        <v>5128</v>
      </c>
      <c r="D2921" s="38" t="str">
        <f>IFERROR(__xludf.DUMMYFUNCTION("REGEXREPLACE(C2921,""-\d+(.*)|--\d+(.*)"","""")"),"SAINT-JULIEN-EN-VERCORS")</f>
        <v>SAINT-JULIEN-EN-VERCORS</v>
      </c>
      <c r="E2921" s="38" t="s">
        <v>126</v>
      </c>
      <c r="F2921" s="38" t="s">
        <v>102</v>
      </c>
      <c r="G2921" s="49" t="str">
        <f t="shared" si="1"/>
        <v>26420</v>
      </c>
      <c r="H2921" s="49">
        <f t="shared" si="2"/>
        <v>26309</v>
      </c>
    </row>
    <row r="2922">
      <c r="A2922" s="48" t="s">
        <v>1473</v>
      </c>
      <c r="B2922" s="38">
        <v>50262.0</v>
      </c>
      <c r="C2922" s="38" t="s">
        <v>5129</v>
      </c>
      <c r="D2922" s="38" t="str">
        <f>IFERROR(__xludf.DUMMYFUNCTION("REGEXREPLACE(C2922,""-\d+(.*)|--\d+(.*)"","""")"),"LA LANDE-D'AIROU")</f>
        <v>LA LANDE-D'AIROU</v>
      </c>
      <c r="E2922" s="38" t="s">
        <v>157</v>
      </c>
      <c r="F2922" s="38" t="s">
        <v>138</v>
      </c>
      <c r="G2922" s="49" t="str">
        <f t="shared" si="1"/>
        <v>50800</v>
      </c>
      <c r="H2922" s="49">
        <f t="shared" si="2"/>
        <v>50262</v>
      </c>
    </row>
    <row r="2923">
      <c r="A2923" s="48" t="s">
        <v>5130</v>
      </c>
      <c r="B2923" s="38">
        <v>19276.0</v>
      </c>
      <c r="C2923" s="38" t="s">
        <v>5131</v>
      </c>
      <c r="D2923" s="38" t="str">
        <f>IFERROR(__xludf.DUMMYFUNCTION("REGEXREPLACE(C2923,""-\d+(.*)|--\d+(.*)"","""")"),"UZERCHE")</f>
        <v>UZERCHE</v>
      </c>
      <c r="E2923" s="38" t="s">
        <v>271</v>
      </c>
      <c r="F2923" s="38" t="s">
        <v>98</v>
      </c>
      <c r="G2923" s="49" t="str">
        <f t="shared" si="1"/>
        <v>19140</v>
      </c>
      <c r="H2923" s="49">
        <f t="shared" si="2"/>
        <v>19276</v>
      </c>
    </row>
    <row r="2924">
      <c r="A2924" s="48" t="s">
        <v>3662</v>
      </c>
      <c r="B2924" s="38">
        <v>80575.0</v>
      </c>
      <c r="C2924" s="38" t="s">
        <v>5132</v>
      </c>
      <c r="D2924" s="38" t="str">
        <f>IFERROR(__xludf.DUMMYFUNCTION("REGEXREPLACE(C2924,""-\d+(.*)|--\d+(.*)"","""")"),"MOUFLIERES")</f>
        <v>MOUFLIERES</v>
      </c>
      <c r="E2924" s="38" t="s">
        <v>224</v>
      </c>
      <c r="F2924" s="38" t="s">
        <v>113</v>
      </c>
      <c r="G2924" s="49" t="str">
        <f t="shared" si="1"/>
        <v>80140</v>
      </c>
      <c r="H2924" s="49">
        <f t="shared" si="2"/>
        <v>80575</v>
      </c>
    </row>
    <row r="2925">
      <c r="A2925" s="48" t="s">
        <v>5012</v>
      </c>
      <c r="B2925" s="38">
        <v>55419.0</v>
      </c>
      <c r="C2925" s="38" t="s">
        <v>5133</v>
      </c>
      <c r="D2925" s="38" t="str">
        <f>IFERROR(__xludf.DUMMYFUNCTION("REGEXREPLACE(C2925,""-\d+(.*)|--\d+(.*)"","""")"),"RECICOURT")</f>
        <v>RECICOURT</v>
      </c>
      <c r="E2925" s="38" t="s">
        <v>322</v>
      </c>
      <c r="F2925" s="38" t="s">
        <v>195</v>
      </c>
      <c r="G2925" s="49" t="str">
        <f t="shared" si="1"/>
        <v>55120</v>
      </c>
      <c r="H2925" s="49">
        <f t="shared" si="2"/>
        <v>55419</v>
      </c>
    </row>
    <row r="2926">
      <c r="A2926" s="48" t="s">
        <v>5134</v>
      </c>
      <c r="B2926" s="38">
        <v>70146.0</v>
      </c>
      <c r="C2926" s="38" t="s">
        <v>5135</v>
      </c>
      <c r="D2926" s="38" t="str">
        <f>IFERROR(__xludf.DUMMYFUNCTION("REGEXREPLACE(C2926,""-\d+(.*)|--\d+(.*)"","""")"),"CHAUX-LES-PORT")</f>
        <v>CHAUX-LES-PORT</v>
      </c>
      <c r="E2926" s="38" t="s">
        <v>956</v>
      </c>
      <c r="F2926" s="38" t="s">
        <v>214</v>
      </c>
      <c r="G2926" s="49" t="str">
        <f t="shared" si="1"/>
        <v>70170</v>
      </c>
      <c r="H2926" s="49">
        <f t="shared" si="2"/>
        <v>70146</v>
      </c>
    </row>
    <row r="2927">
      <c r="A2927" s="48" t="s">
        <v>1159</v>
      </c>
      <c r="B2927" s="38">
        <v>60446.0</v>
      </c>
      <c r="C2927" s="38" t="s">
        <v>5136</v>
      </c>
      <c r="D2927" s="38" t="str">
        <f>IFERROR(__xludf.DUMMYFUNCTION("REGEXREPLACE(C2927,""-\d+(.*)|--\d+(.*)"","""")"),"NANTEUIL-LE-HAUDOUIN")</f>
        <v>NANTEUIL-LE-HAUDOUIN</v>
      </c>
      <c r="E2927" s="38" t="s">
        <v>112</v>
      </c>
      <c r="F2927" s="38" t="s">
        <v>113</v>
      </c>
      <c r="G2927" s="49" t="str">
        <f t="shared" si="1"/>
        <v>60440</v>
      </c>
      <c r="H2927" s="49">
        <f t="shared" si="2"/>
        <v>60446</v>
      </c>
    </row>
    <row r="2928">
      <c r="A2928" s="48" t="s">
        <v>5137</v>
      </c>
      <c r="B2928" s="38">
        <v>53055.0</v>
      </c>
      <c r="C2928" s="38" t="s">
        <v>5138</v>
      </c>
      <c r="D2928" s="38" t="str">
        <f>IFERROR(__xludf.DUMMYFUNCTION("REGEXREPLACE(C2928,""-\d+(.*)|--\d+(.*)"","""")"),"CHANTRIGNE")</f>
        <v>CHANTRIGNE</v>
      </c>
      <c r="E2928" s="38" t="s">
        <v>518</v>
      </c>
      <c r="F2928" s="38" t="s">
        <v>180</v>
      </c>
      <c r="G2928" s="49" t="str">
        <f t="shared" si="1"/>
        <v>53300</v>
      </c>
      <c r="H2928" s="49">
        <f t="shared" si="2"/>
        <v>53055</v>
      </c>
    </row>
    <row r="2929">
      <c r="A2929" s="48" t="s">
        <v>1825</v>
      </c>
      <c r="B2929" s="38">
        <v>64389.0</v>
      </c>
      <c r="C2929" s="38" t="s">
        <v>5139</v>
      </c>
      <c r="D2929" s="38" t="str">
        <f>IFERROR(__xludf.DUMMYFUNCTION("REGEXREPLACE(C2929,""-\d+(.*)|--\d+(.*)"","""")"),"MONASSUT-AUDIRACQ")</f>
        <v>MONASSUT-AUDIRACQ</v>
      </c>
      <c r="E2929" s="38" t="s">
        <v>268</v>
      </c>
      <c r="F2929" s="38" t="s">
        <v>252</v>
      </c>
      <c r="G2929" s="49" t="str">
        <f t="shared" si="1"/>
        <v>64160</v>
      </c>
      <c r="H2929" s="49">
        <f t="shared" si="2"/>
        <v>64389</v>
      </c>
    </row>
    <row r="2930">
      <c r="A2930" s="48" t="s">
        <v>1534</v>
      </c>
      <c r="B2930" s="38">
        <v>19053.0</v>
      </c>
      <c r="C2930" s="38" t="s">
        <v>5140</v>
      </c>
      <c r="D2930" s="38" t="str">
        <f>IFERROR(__xludf.DUMMYFUNCTION("REGEXREPLACE(C2930,""-\d+(.*)|--\d+(.*)"","""")"),"CHAVEROCHE")</f>
        <v>CHAVEROCHE</v>
      </c>
      <c r="E2930" s="38" t="s">
        <v>271</v>
      </c>
      <c r="F2930" s="38" t="s">
        <v>98</v>
      </c>
      <c r="G2930" s="49" t="str">
        <f t="shared" si="1"/>
        <v>19200</v>
      </c>
      <c r="H2930" s="49">
        <f t="shared" si="2"/>
        <v>19053</v>
      </c>
    </row>
    <row r="2931">
      <c r="A2931" s="48" t="s">
        <v>4457</v>
      </c>
      <c r="B2931" s="38">
        <v>80405.0</v>
      </c>
      <c r="C2931" s="38" t="s">
        <v>5141</v>
      </c>
      <c r="D2931" s="38" t="str">
        <f>IFERROR(__xludf.DUMMYFUNCTION("REGEXREPLACE(C2931,""-\d+(.*)|--\d+(.*)"","""")"),"HAILLES")</f>
        <v>HAILLES</v>
      </c>
      <c r="E2931" s="38" t="s">
        <v>224</v>
      </c>
      <c r="F2931" s="38" t="s">
        <v>113</v>
      </c>
      <c r="G2931" s="49" t="str">
        <f t="shared" si="1"/>
        <v>80440</v>
      </c>
      <c r="H2931" s="49">
        <f t="shared" si="2"/>
        <v>80405</v>
      </c>
    </row>
    <row r="2932">
      <c r="A2932" s="48" t="s">
        <v>5142</v>
      </c>
      <c r="B2932" s="38">
        <v>58259.0</v>
      </c>
      <c r="C2932" s="38" t="s">
        <v>5143</v>
      </c>
      <c r="D2932" s="38" t="str">
        <f>IFERROR(__xludf.DUMMYFUNCTION("REGEXREPLACE(C2932,""-\d+(.*)|--\d+(.*)"","""")"),"SAINT-PARIZE-EN-VIRY")</f>
        <v>SAINT-PARIZE-EN-VIRY</v>
      </c>
      <c r="E2932" s="38" t="s">
        <v>219</v>
      </c>
      <c r="F2932" s="38" t="s">
        <v>106</v>
      </c>
      <c r="G2932" s="49" t="str">
        <f t="shared" si="1"/>
        <v>58300</v>
      </c>
      <c r="H2932" s="49">
        <f t="shared" si="2"/>
        <v>58259</v>
      </c>
    </row>
    <row r="2933">
      <c r="A2933" s="48" t="s">
        <v>4684</v>
      </c>
      <c r="B2933" s="38">
        <v>91405.0</v>
      </c>
      <c r="C2933" s="38" t="s">
        <v>5144</v>
      </c>
      <c r="D2933" s="38" t="str">
        <f>IFERROR(__xludf.DUMMYFUNCTION("REGEXREPLACE(C2933,""-\d+(.*)|--\d+(.*)"","""")"),"MILLY-LA-FORET")</f>
        <v>MILLY-LA-FORET</v>
      </c>
      <c r="E2933" s="38" t="s">
        <v>756</v>
      </c>
      <c r="F2933" s="38" t="s">
        <v>245</v>
      </c>
      <c r="G2933" s="49" t="str">
        <f t="shared" si="1"/>
        <v>91490</v>
      </c>
      <c r="H2933" s="49">
        <f t="shared" si="2"/>
        <v>91405</v>
      </c>
    </row>
    <row r="2934">
      <c r="A2934" s="48" t="s">
        <v>2249</v>
      </c>
      <c r="B2934" s="38">
        <v>14732.0</v>
      </c>
      <c r="C2934" s="38" t="s">
        <v>5145</v>
      </c>
      <c r="D2934" s="38" t="str">
        <f>IFERROR(__xludf.DUMMYFUNCTION("REGEXREPLACE(C2934,""-\d+(.*)|--\d+(.*)"","""")"),"VAUX-SUR-AURE")</f>
        <v>VAUX-SUR-AURE</v>
      </c>
      <c r="E2934" s="38" t="s">
        <v>137</v>
      </c>
      <c r="F2934" s="38" t="s">
        <v>138</v>
      </c>
      <c r="G2934" s="49" t="str">
        <f t="shared" si="1"/>
        <v>14400</v>
      </c>
      <c r="H2934" s="49">
        <f t="shared" si="2"/>
        <v>14732</v>
      </c>
    </row>
    <row r="2935">
      <c r="A2935" s="48" t="s">
        <v>5146</v>
      </c>
      <c r="B2935" s="38">
        <v>85210.0</v>
      </c>
      <c r="C2935" s="38" t="s">
        <v>5147</v>
      </c>
      <c r="D2935" s="38" t="str">
        <f>IFERROR(__xludf.DUMMYFUNCTION("REGEXREPLACE(C2935,""-\d+(.*)|--\d+(.*)"","""")"),"SAINT-ETIENNE-DU-BOIS")</f>
        <v>SAINT-ETIENNE-DU-BOIS</v>
      </c>
      <c r="E2935" s="38" t="s">
        <v>179</v>
      </c>
      <c r="F2935" s="38" t="s">
        <v>180</v>
      </c>
      <c r="G2935" s="49" t="str">
        <f t="shared" si="1"/>
        <v>85670</v>
      </c>
      <c r="H2935" s="49">
        <f t="shared" si="2"/>
        <v>85210</v>
      </c>
    </row>
    <row r="2936">
      <c r="A2936" s="48" t="s">
        <v>5028</v>
      </c>
      <c r="B2936" s="38">
        <v>25007.0</v>
      </c>
      <c r="C2936" s="38" t="s">
        <v>5148</v>
      </c>
      <c r="D2936" s="38" t="str">
        <f>IFERROR(__xludf.DUMMYFUNCTION("REGEXREPLACE(C2936,""-\d+(.*)|--\d+(.*)"","""")"),"ADAM-LES-VERCEL")</f>
        <v>ADAM-LES-VERCEL</v>
      </c>
      <c r="E2936" s="38" t="s">
        <v>213</v>
      </c>
      <c r="F2936" s="38" t="s">
        <v>214</v>
      </c>
      <c r="G2936" s="49" t="str">
        <f t="shared" si="1"/>
        <v>25530</v>
      </c>
      <c r="H2936" s="49">
        <f t="shared" si="2"/>
        <v>25007</v>
      </c>
    </row>
    <row r="2937">
      <c r="A2937" s="48" t="s">
        <v>1582</v>
      </c>
      <c r="B2937" s="38">
        <v>45240.0</v>
      </c>
      <c r="C2937" s="38" t="s">
        <v>5149</v>
      </c>
      <c r="D2937" s="38" t="str">
        <f>IFERROR(__xludf.DUMMYFUNCTION("REGEXREPLACE(C2937,""-\d+(.*)|--\d+(.*)"","""")"),"OUTARVILLE")</f>
        <v>OUTARVILLE</v>
      </c>
      <c r="E2937" s="38" t="s">
        <v>122</v>
      </c>
      <c r="F2937" s="38" t="s">
        <v>123</v>
      </c>
      <c r="G2937" s="49" t="str">
        <f t="shared" si="1"/>
        <v>45480</v>
      </c>
      <c r="H2937" s="49">
        <f t="shared" si="2"/>
        <v>45240</v>
      </c>
    </row>
    <row r="2938">
      <c r="A2938" s="48" t="s">
        <v>5150</v>
      </c>
      <c r="B2938" s="38">
        <v>50541.0</v>
      </c>
      <c r="C2938" s="38" t="s">
        <v>5151</v>
      </c>
      <c r="D2938" s="38" t="str">
        <f>IFERROR(__xludf.DUMMYFUNCTION("REGEXREPLACE(C2938,""-\d+(.*)|--\d+(.*)"","""")"),"SAINT-PLANCHERS")</f>
        <v>SAINT-PLANCHERS</v>
      </c>
      <c r="E2938" s="38" t="s">
        <v>157</v>
      </c>
      <c r="F2938" s="38" t="s">
        <v>138</v>
      </c>
      <c r="G2938" s="49" t="str">
        <f t="shared" si="1"/>
        <v>50400</v>
      </c>
      <c r="H2938" s="49">
        <f t="shared" si="2"/>
        <v>50541</v>
      </c>
    </row>
    <row r="2939">
      <c r="A2939" s="48" t="s">
        <v>3804</v>
      </c>
      <c r="B2939" s="38">
        <v>80194.0</v>
      </c>
      <c r="C2939" s="38" t="s">
        <v>5152</v>
      </c>
      <c r="D2939" s="38" t="str">
        <f>IFERROR(__xludf.DUMMYFUNCTION("REGEXREPLACE(C2939,""-\d+(.*)|--\d+(.*)"","""")"),"CHUIGNES")</f>
        <v>CHUIGNES</v>
      </c>
      <c r="E2939" s="38" t="s">
        <v>224</v>
      </c>
      <c r="F2939" s="38" t="s">
        <v>113</v>
      </c>
      <c r="G2939" s="49" t="str">
        <f t="shared" si="1"/>
        <v>80340</v>
      </c>
      <c r="H2939" s="49">
        <f t="shared" si="2"/>
        <v>80194</v>
      </c>
    </row>
    <row r="2940">
      <c r="A2940" s="48" t="s">
        <v>4178</v>
      </c>
      <c r="B2940" s="38">
        <v>25314.0</v>
      </c>
      <c r="C2940" s="38" t="s">
        <v>5153</v>
      </c>
      <c r="D2940" s="38" t="str">
        <f>IFERROR(__xludf.DUMMYFUNCTION("REGEXREPLACE(C2940,""-\d+(.*)|--\d+(.*)"","""")"),"INDEVILLERS")</f>
        <v>INDEVILLERS</v>
      </c>
      <c r="E2940" s="38" t="s">
        <v>213</v>
      </c>
      <c r="F2940" s="38" t="s">
        <v>214</v>
      </c>
      <c r="G2940" s="49" t="str">
        <f t="shared" si="1"/>
        <v>25470</v>
      </c>
      <c r="H2940" s="49">
        <f t="shared" si="2"/>
        <v>25314</v>
      </c>
    </row>
    <row r="2941">
      <c r="A2941" s="48" t="s">
        <v>2182</v>
      </c>
      <c r="B2941" s="38">
        <v>89165.0</v>
      </c>
      <c r="C2941" s="38" t="s">
        <v>5154</v>
      </c>
      <c r="D2941" s="38" t="str">
        <f>IFERROR(__xludf.DUMMYFUNCTION("REGEXREPLACE(C2941,""-\d+(.*)|--\d+(.*)"","""")"),"FLACY")</f>
        <v>FLACY</v>
      </c>
      <c r="E2941" s="38" t="s">
        <v>275</v>
      </c>
      <c r="F2941" s="38" t="s">
        <v>106</v>
      </c>
      <c r="G2941" s="49" t="str">
        <f t="shared" si="1"/>
        <v>89190</v>
      </c>
      <c r="H2941" s="49">
        <f t="shared" si="2"/>
        <v>89165</v>
      </c>
    </row>
    <row r="2942">
      <c r="A2942" s="48" t="s">
        <v>2521</v>
      </c>
      <c r="B2942" s="38">
        <v>28015.0</v>
      </c>
      <c r="C2942" s="38" t="s">
        <v>5155</v>
      </c>
      <c r="D2942" s="38" t="str">
        <f>IFERROR(__xludf.DUMMYFUNCTION("REGEXREPLACE(C2942,""-\d+(.*)|--\d+(.*)"","""")"),"AUNEAU")</f>
        <v>AUNEAU</v>
      </c>
      <c r="E2942" s="38" t="s">
        <v>300</v>
      </c>
      <c r="F2942" s="38" t="s">
        <v>123</v>
      </c>
      <c r="G2942" s="49" t="str">
        <f t="shared" si="1"/>
        <v>28700</v>
      </c>
      <c r="H2942" s="49">
        <f t="shared" si="2"/>
        <v>28015</v>
      </c>
    </row>
    <row r="2943">
      <c r="A2943" s="48" t="s">
        <v>1370</v>
      </c>
      <c r="B2943" s="38">
        <v>10114.0</v>
      </c>
      <c r="C2943" s="38" t="s">
        <v>5156</v>
      </c>
      <c r="D2943" s="38" t="str">
        <f>IFERROR(__xludf.DUMMYFUNCTION("REGEXREPLACE(C2943,""-\d+(.*)|--\d+(.*)"","""")"),"CRANCEY")</f>
        <v>CRANCEY</v>
      </c>
      <c r="E2943" s="38" t="s">
        <v>147</v>
      </c>
      <c r="F2943" s="38" t="s">
        <v>130</v>
      </c>
      <c r="G2943" s="49" t="str">
        <f t="shared" si="1"/>
        <v>10100</v>
      </c>
      <c r="H2943" s="49">
        <f t="shared" si="2"/>
        <v>10114</v>
      </c>
    </row>
    <row r="2944">
      <c r="A2944" s="48" t="s">
        <v>1997</v>
      </c>
      <c r="B2944" s="38">
        <v>21468.0</v>
      </c>
      <c r="C2944" s="38" t="s">
        <v>5157</v>
      </c>
      <c r="D2944" s="38" t="str">
        <f>IFERROR(__xludf.DUMMYFUNCTION("REGEXREPLACE(C2944,""-\d+(.*)|--\d+(.*)"","""")"),"ORAIN")</f>
        <v>ORAIN</v>
      </c>
      <c r="E2944" s="38" t="s">
        <v>105</v>
      </c>
      <c r="F2944" s="38" t="s">
        <v>106</v>
      </c>
      <c r="G2944" s="49" t="str">
        <f t="shared" si="1"/>
        <v>21610</v>
      </c>
      <c r="H2944" s="49">
        <f t="shared" si="2"/>
        <v>21468</v>
      </c>
    </row>
    <row r="2945">
      <c r="A2945" s="48" t="s">
        <v>2712</v>
      </c>
      <c r="B2945" s="38">
        <v>72148.0</v>
      </c>
      <c r="C2945" s="38" t="s">
        <v>5158</v>
      </c>
      <c r="D2945" s="38" t="str">
        <f>IFERROR(__xludf.DUMMYFUNCTION("REGEXREPLACE(C2945,""-\d+(.*)|--\d+(.*)"","""")"),"JAUZE")</f>
        <v>JAUZE</v>
      </c>
      <c r="E2945" s="38" t="s">
        <v>521</v>
      </c>
      <c r="F2945" s="38" t="s">
        <v>180</v>
      </c>
      <c r="G2945" s="49" t="str">
        <f t="shared" si="1"/>
        <v>72110</v>
      </c>
      <c r="H2945" s="49">
        <f t="shared" si="2"/>
        <v>72148</v>
      </c>
    </row>
    <row r="2946">
      <c r="A2946" s="48" t="s">
        <v>2792</v>
      </c>
      <c r="B2946" s="38">
        <v>58168.0</v>
      </c>
      <c r="C2946" s="38" t="s">
        <v>5159</v>
      </c>
      <c r="D2946" s="38" t="str">
        <f>IFERROR(__xludf.DUMMYFUNCTION("REGEXREPLACE(C2946,""-\d+(.*)|--\d+(.*)"","""")"),"MILLAY")</f>
        <v>MILLAY</v>
      </c>
      <c r="E2946" s="38" t="s">
        <v>219</v>
      </c>
      <c r="F2946" s="38" t="s">
        <v>106</v>
      </c>
      <c r="G2946" s="49" t="str">
        <f t="shared" si="1"/>
        <v>58170</v>
      </c>
      <c r="H2946" s="49">
        <f t="shared" si="2"/>
        <v>58168</v>
      </c>
    </row>
    <row r="2947">
      <c r="A2947" s="48" t="s">
        <v>1203</v>
      </c>
      <c r="B2947" s="38">
        <v>17393.0</v>
      </c>
      <c r="C2947" s="38" t="s">
        <v>5160</v>
      </c>
      <c r="D2947" s="38" t="str">
        <f>IFERROR(__xludf.DUMMYFUNCTION("REGEXREPLACE(C2947,""-\d+(.*)|--\d+(.*)"","""")"),"SAINT-ROMAIN-DE-BENET")</f>
        <v>SAINT-ROMAIN-DE-BENET</v>
      </c>
      <c r="E2947" s="38" t="s">
        <v>488</v>
      </c>
      <c r="F2947" s="38" t="s">
        <v>338</v>
      </c>
      <c r="G2947" s="49" t="str">
        <f t="shared" si="1"/>
        <v>17600</v>
      </c>
      <c r="H2947" s="49">
        <f t="shared" si="2"/>
        <v>17393</v>
      </c>
    </row>
    <row r="2948">
      <c r="A2948" s="48" t="s">
        <v>2519</v>
      </c>
      <c r="B2948" s="38">
        <v>80283.0</v>
      </c>
      <c r="C2948" s="38" t="s">
        <v>5161</v>
      </c>
      <c r="D2948" s="38" t="str">
        <f>IFERROR(__xludf.DUMMYFUNCTION("REGEXREPLACE(C2948,""-\d+(.*)|--\d+(.*)"","""")"),"ESCLAINVILLERS")</f>
        <v>ESCLAINVILLERS</v>
      </c>
      <c r="E2948" s="38" t="s">
        <v>224</v>
      </c>
      <c r="F2948" s="38" t="s">
        <v>113</v>
      </c>
      <c r="G2948" s="49" t="str">
        <f t="shared" si="1"/>
        <v>80250</v>
      </c>
      <c r="H2948" s="49">
        <f t="shared" si="2"/>
        <v>80283</v>
      </c>
    </row>
    <row r="2949">
      <c r="A2949" s="48" t="s">
        <v>5162</v>
      </c>
      <c r="B2949" s="38">
        <v>47307.0</v>
      </c>
      <c r="C2949" s="38" t="s">
        <v>2200</v>
      </c>
      <c r="D2949" s="38" t="str">
        <f>IFERROR(__xludf.DUMMYFUNCTION("REGEXREPLACE(C2949,""-\d+(.*)|--\d+(.*)"","""")"),"THEZAC")</f>
        <v>THEZAC</v>
      </c>
      <c r="E2949" s="38" t="s">
        <v>251</v>
      </c>
      <c r="F2949" s="38" t="s">
        <v>252</v>
      </c>
      <c r="G2949" s="49" t="str">
        <f t="shared" si="1"/>
        <v>47370</v>
      </c>
      <c r="H2949" s="49">
        <f t="shared" si="2"/>
        <v>47307</v>
      </c>
    </row>
    <row r="2950">
      <c r="A2950" s="48" t="s">
        <v>5163</v>
      </c>
      <c r="B2950" s="38">
        <v>76136.0</v>
      </c>
      <c r="C2950" s="38" t="s">
        <v>5164</v>
      </c>
      <c r="D2950" s="38" t="str">
        <f>IFERROR(__xludf.DUMMYFUNCTION("REGEXREPLACE(C2950,""-\d+(.*)|--\d+(.*)"","""")"),"BRACHY")</f>
        <v>BRACHY</v>
      </c>
      <c r="E2950" s="38" t="s">
        <v>133</v>
      </c>
      <c r="F2950" s="38" t="s">
        <v>134</v>
      </c>
      <c r="G2950" s="49" t="str">
        <f t="shared" si="1"/>
        <v>76730</v>
      </c>
      <c r="H2950" s="49">
        <f t="shared" si="2"/>
        <v>76136</v>
      </c>
    </row>
    <row r="2951">
      <c r="A2951" s="48" t="s">
        <v>2239</v>
      </c>
      <c r="B2951" s="38">
        <v>87167.0</v>
      </c>
      <c r="C2951" s="38" t="s">
        <v>5165</v>
      </c>
      <c r="D2951" s="38" t="str">
        <f>IFERROR(__xludf.DUMMYFUNCTION("REGEXREPLACE(C2951,""-\d+(.*)|--\d+(.*)"","""")"),"SAINT-MARTIN-TERRESSUS")</f>
        <v>SAINT-MARTIN-TERRESSUS</v>
      </c>
      <c r="E2951" s="38" t="s">
        <v>897</v>
      </c>
      <c r="F2951" s="38" t="s">
        <v>98</v>
      </c>
      <c r="G2951" s="49" t="str">
        <f t="shared" si="1"/>
        <v>87400</v>
      </c>
      <c r="H2951" s="49">
        <f t="shared" si="2"/>
        <v>87167</v>
      </c>
    </row>
    <row r="2952">
      <c r="A2952" s="48" t="s">
        <v>5166</v>
      </c>
      <c r="B2952" s="38">
        <v>26255.0</v>
      </c>
      <c r="C2952" s="38" t="s">
        <v>5167</v>
      </c>
      <c r="D2952" s="38" t="str">
        <f>IFERROR(__xludf.DUMMYFUNCTION("REGEXREPLACE(C2952,""-\d+(.*)|--\d+(.*)"","""")"),"LES PRES")</f>
        <v>LES PRES</v>
      </c>
      <c r="E2952" s="38" t="s">
        <v>126</v>
      </c>
      <c r="F2952" s="38" t="s">
        <v>102</v>
      </c>
      <c r="G2952" s="49" t="str">
        <f t="shared" si="1"/>
        <v>26310</v>
      </c>
      <c r="H2952" s="49">
        <f t="shared" si="2"/>
        <v>26255</v>
      </c>
    </row>
    <row r="2953">
      <c r="A2953" s="48" t="s">
        <v>5168</v>
      </c>
      <c r="B2953" s="38">
        <v>73071.0</v>
      </c>
      <c r="C2953" s="38" t="s">
        <v>5169</v>
      </c>
      <c r="D2953" s="38" t="str">
        <f>IFERROR(__xludf.DUMMYFUNCTION("REGEXREPLACE(C2953,""-\d+(.*)|--\d+(.*)"","""")"),"CHAMPAGNY-EN-VANOISE")</f>
        <v>CHAMPAGNY-EN-VANOISE</v>
      </c>
      <c r="E2953" s="38" t="s">
        <v>306</v>
      </c>
      <c r="F2953" s="38" t="s">
        <v>102</v>
      </c>
      <c r="G2953" s="49" t="str">
        <f t="shared" si="1"/>
        <v>73350</v>
      </c>
      <c r="H2953" s="49">
        <f t="shared" si="2"/>
        <v>73071</v>
      </c>
    </row>
    <row r="2954">
      <c r="A2954" s="48" t="s">
        <v>5170</v>
      </c>
      <c r="B2954" s="38">
        <v>47030.0</v>
      </c>
      <c r="C2954" s="38" t="s">
        <v>5171</v>
      </c>
      <c r="D2954" s="38" t="str">
        <f>IFERROR(__xludf.DUMMYFUNCTION("REGEXREPLACE(C2954,""-\d+(.*)|--\d+(.*)"","""")"),"BLAYMONT")</f>
        <v>BLAYMONT</v>
      </c>
      <c r="E2954" s="38" t="s">
        <v>251</v>
      </c>
      <c r="F2954" s="38" t="s">
        <v>252</v>
      </c>
      <c r="G2954" s="49" t="str">
        <f t="shared" si="1"/>
        <v>47470</v>
      </c>
      <c r="H2954" s="49">
        <f t="shared" si="2"/>
        <v>47030</v>
      </c>
    </row>
    <row r="2955">
      <c r="A2955" s="48" t="s">
        <v>1638</v>
      </c>
      <c r="B2955" s="38">
        <v>70284.0</v>
      </c>
      <c r="C2955" s="38" t="s">
        <v>5172</v>
      </c>
      <c r="D2955" s="38" t="str">
        <f>IFERROR(__xludf.DUMMYFUNCTION("REGEXREPLACE(C2955,""-\d+(.*)|--\d+(.*)"","""")"),"HAUTEVELLE")</f>
        <v>HAUTEVELLE</v>
      </c>
      <c r="E2955" s="38" t="s">
        <v>956</v>
      </c>
      <c r="F2955" s="38" t="s">
        <v>214</v>
      </c>
      <c r="G2955" s="49" t="str">
        <f t="shared" si="1"/>
        <v>70800</v>
      </c>
      <c r="H2955" s="49">
        <f t="shared" si="2"/>
        <v>70284</v>
      </c>
    </row>
    <row r="2956">
      <c r="A2956" s="48" t="s">
        <v>3778</v>
      </c>
      <c r="B2956" s="38">
        <v>62011.0</v>
      </c>
      <c r="C2956" s="38" t="s">
        <v>5173</v>
      </c>
      <c r="D2956" s="38" t="str">
        <f>IFERROR(__xludf.DUMMYFUNCTION("REGEXREPLACE(C2956,""-\d+(.*)|--\d+(.*)"","""")"),"AGNEZ-LES-DUISANS")</f>
        <v>AGNEZ-LES-DUISANS</v>
      </c>
      <c r="E2956" s="38" t="s">
        <v>109</v>
      </c>
      <c r="F2956" s="38" t="s">
        <v>86</v>
      </c>
      <c r="G2956" s="49" t="str">
        <f t="shared" si="1"/>
        <v>62161</v>
      </c>
      <c r="H2956" s="49">
        <f t="shared" si="2"/>
        <v>62011</v>
      </c>
    </row>
    <row r="2957">
      <c r="A2957" s="48" t="s">
        <v>5174</v>
      </c>
      <c r="B2957" s="38">
        <v>82033.0</v>
      </c>
      <c r="C2957" s="38" t="s">
        <v>5175</v>
      </c>
      <c r="D2957" s="38" t="str">
        <f>IFERROR(__xludf.DUMMYFUNCTION("REGEXREPLACE(C2957,""-\d+(.*)|--\d+(.*)"","""")"),"CASTELSARRASIN")</f>
        <v>CASTELSARRASIN</v>
      </c>
      <c r="E2957" s="38" t="s">
        <v>570</v>
      </c>
      <c r="F2957" s="38" t="s">
        <v>94</v>
      </c>
      <c r="G2957" s="49" t="str">
        <f t="shared" si="1"/>
        <v>82100</v>
      </c>
      <c r="H2957" s="49">
        <f t="shared" si="2"/>
        <v>82033</v>
      </c>
    </row>
    <row r="2958">
      <c r="A2958" s="48" t="s">
        <v>5176</v>
      </c>
      <c r="B2958" s="38">
        <v>30004.0</v>
      </c>
      <c r="C2958" s="38" t="s">
        <v>5177</v>
      </c>
      <c r="D2958" s="38" t="str">
        <f>IFERROR(__xludf.DUMMYFUNCTION("REGEXREPLACE(C2958,""-\d+(.*)|--\d+(.*)"","""")"),"AIGUES-VIVES")</f>
        <v>AIGUES-VIVES</v>
      </c>
      <c r="E2958" s="38" t="s">
        <v>526</v>
      </c>
      <c r="F2958" s="38" t="s">
        <v>119</v>
      </c>
      <c r="G2958" s="49" t="str">
        <f t="shared" si="1"/>
        <v>30670</v>
      </c>
      <c r="H2958" s="49">
        <f t="shared" si="2"/>
        <v>30004</v>
      </c>
    </row>
    <row r="2959">
      <c r="A2959" s="48" t="s">
        <v>4969</v>
      </c>
      <c r="B2959" s="38">
        <v>14373.0</v>
      </c>
      <c r="C2959" s="38" t="s">
        <v>5178</v>
      </c>
      <c r="D2959" s="38" t="str">
        <f>IFERROR(__xludf.DUMMYFUNCTION("REGEXREPLACE(C2959,""-\d+(.*)|--\d+(.*)"","""")"),"LE LOCHEUR")</f>
        <v>LE LOCHEUR</v>
      </c>
      <c r="E2959" s="38" t="s">
        <v>137</v>
      </c>
      <c r="F2959" s="38" t="s">
        <v>138</v>
      </c>
      <c r="G2959" s="49" t="str">
        <f t="shared" si="1"/>
        <v>14210</v>
      </c>
      <c r="H2959" s="49">
        <f t="shared" si="2"/>
        <v>14373</v>
      </c>
    </row>
    <row r="2960">
      <c r="A2960" s="48" t="s">
        <v>5179</v>
      </c>
      <c r="B2960" s="38">
        <v>10210.0</v>
      </c>
      <c r="C2960" s="38" t="s">
        <v>5180</v>
      </c>
      <c r="D2960" s="38" t="str">
        <f>IFERROR(__xludf.DUMMYFUNCTION("REGEXREPLACE(C2960,""-\d+(.*)|--\d+(.*)"","""")"),"LUYERES")</f>
        <v>LUYERES</v>
      </c>
      <c r="E2960" s="38" t="s">
        <v>147</v>
      </c>
      <c r="F2960" s="38" t="s">
        <v>130</v>
      </c>
      <c r="G2960" s="49" t="str">
        <f t="shared" si="1"/>
        <v>10150</v>
      </c>
      <c r="H2960" s="49">
        <f t="shared" si="2"/>
        <v>10210</v>
      </c>
    </row>
    <row r="2961">
      <c r="A2961" s="48" t="s">
        <v>5181</v>
      </c>
      <c r="B2961" s="38">
        <v>24130.0</v>
      </c>
      <c r="C2961" s="38" t="s">
        <v>5182</v>
      </c>
      <c r="D2961" s="38" t="str">
        <f>IFERROR(__xludf.DUMMYFUNCTION("REGEXREPLACE(C2961,""-\d+(.*)|--\d+(.*)"","""")"),"CONDAT-SUR-VEZERE")</f>
        <v>CONDAT-SUR-VEZERE</v>
      </c>
      <c r="E2961" s="38" t="s">
        <v>261</v>
      </c>
      <c r="F2961" s="38" t="s">
        <v>252</v>
      </c>
      <c r="G2961" s="49" t="str">
        <f t="shared" si="1"/>
        <v>24570</v>
      </c>
      <c r="H2961" s="49">
        <f t="shared" si="2"/>
        <v>24130</v>
      </c>
    </row>
    <row r="2962">
      <c r="A2962" s="48" t="s">
        <v>509</v>
      </c>
      <c r="B2962" s="38">
        <v>28189.0</v>
      </c>
      <c r="C2962" s="38" t="s">
        <v>5183</v>
      </c>
      <c r="D2962" s="38" t="str">
        <f>IFERROR(__xludf.DUMMYFUNCTION("REGEXREPLACE(C2962,""-\d+(.*)|--\d+(.*)"","""")"),"GUILLEVILLE")</f>
        <v>GUILLEVILLE</v>
      </c>
      <c r="E2962" s="38" t="s">
        <v>300</v>
      </c>
      <c r="F2962" s="38" t="s">
        <v>123</v>
      </c>
      <c r="G2962" s="49" t="str">
        <f t="shared" si="1"/>
        <v>28310</v>
      </c>
      <c r="H2962" s="49">
        <f t="shared" si="2"/>
        <v>28189</v>
      </c>
    </row>
    <row r="2963">
      <c r="A2963" s="48" t="s">
        <v>1758</v>
      </c>
      <c r="B2963" s="38">
        <v>65399.0</v>
      </c>
      <c r="C2963" s="38" t="s">
        <v>5184</v>
      </c>
      <c r="D2963" s="38" t="str">
        <f>IFERROR(__xludf.DUMMYFUNCTION("REGEXREPLACE(C2963,""-\d+(.*)|--\d+(.*)"","""")"),"SALIGOS")</f>
        <v>SALIGOS</v>
      </c>
      <c r="E2963" s="38" t="s">
        <v>200</v>
      </c>
      <c r="F2963" s="38" t="s">
        <v>94</v>
      </c>
      <c r="G2963" s="49" t="str">
        <f t="shared" si="1"/>
        <v>65120</v>
      </c>
      <c r="H2963" s="49">
        <f t="shared" si="2"/>
        <v>65399</v>
      </c>
    </row>
    <row r="2964">
      <c r="A2964" s="48" t="s">
        <v>2055</v>
      </c>
      <c r="B2964" s="38">
        <v>4208.0</v>
      </c>
      <c r="C2964" s="38" t="s">
        <v>5185</v>
      </c>
      <c r="D2964" s="38" t="str">
        <f>IFERROR(__xludf.DUMMYFUNCTION("REGEXREPLACE(C2964,""-\d+(.*)|--\d+(.*)"","""")"),"SIMIANE-LA-ROTONDE")</f>
        <v>SIMIANE-LA-ROTONDE</v>
      </c>
      <c r="E2964" s="38" t="s">
        <v>662</v>
      </c>
      <c r="F2964" s="38" t="s">
        <v>228</v>
      </c>
      <c r="G2964" s="49" t="str">
        <f t="shared" si="1"/>
        <v>04150</v>
      </c>
      <c r="H2964" s="49" t="str">
        <f t="shared" si="2"/>
        <v>04208</v>
      </c>
    </row>
    <row r="2965">
      <c r="A2965" s="48" t="s">
        <v>5030</v>
      </c>
      <c r="B2965" s="38">
        <v>65370.0</v>
      </c>
      <c r="C2965" s="38" t="s">
        <v>5186</v>
      </c>
      <c r="D2965" s="38" t="str">
        <f>IFERROR(__xludf.DUMMYFUNCTION("REGEXREPLACE(C2965,""-\d+(.*)|--\d+(.*)"","""")"),"POUZAC")</f>
        <v>POUZAC</v>
      </c>
      <c r="E2965" s="38" t="s">
        <v>200</v>
      </c>
      <c r="F2965" s="38" t="s">
        <v>94</v>
      </c>
      <c r="G2965" s="49" t="str">
        <f t="shared" si="1"/>
        <v>65200</v>
      </c>
      <c r="H2965" s="49">
        <f t="shared" si="2"/>
        <v>65370</v>
      </c>
    </row>
    <row r="2966">
      <c r="A2966" s="48" t="s">
        <v>2628</v>
      </c>
      <c r="B2966" s="38">
        <v>19013.0</v>
      </c>
      <c r="C2966" s="38" t="s">
        <v>5187</v>
      </c>
      <c r="D2966" s="38" t="str">
        <f>IFERROR(__xludf.DUMMYFUNCTION("REGEXREPLACE(C2966,""-\d+(.*)|--\d+(.*)"","""")"),"AUBAZINES")</f>
        <v>AUBAZINES</v>
      </c>
      <c r="E2966" s="38" t="s">
        <v>271</v>
      </c>
      <c r="F2966" s="38" t="s">
        <v>98</v>
      </c>
      <c r="G2966" s="49" t="str">
        <f t="shared" si="1"/>
        <v>19190</v>
      </c>
      <c r="H2966" s="49">
        <f t="shared" si="2"/>
        <v>19013</v>
      </c>
    </row>
    <row r="2967">
      <c r="A2967" s="48" t="s">
        <v>2393</v>
      </c>
      <c r="B2967" s="38">
        <v>38345.0</v>
      </c>
      <c r="C2967" s="38" t="s">
        <v>5188</v>
      </c>
      <c r="D2967" s="38" t="str">
        <f>IFERROR(__xludf.DUMMYFUNCTION("REGEXREPLACE(C2967,""-\d+(.*)|--\d+(.*)"","""")"),"ROVON")</f>
        <v>ROVON</v>
      </c>
      <c r="E2967" s="38" t="s">
        <v>101</v>
      </c>
      <c r="F2967" s="38" t="s">
        <v>102</v>
      </c>
      <c r="G2967" s="49" t="str">
        <f t="shared" si="1"/>
        <v>38470</v>
      </c>
      <c r="H2967" s="49">
        <f t="shared" si="2"/>
        <v>38345</v>
      </c>
    </row>
    <row r="2968">
      <c r="A2968" s="48" t="s">
        <v>3564</v>
      </c>
      <c r="B2968" s="38">
        <v>83026.0</v>
      </c>
      <c r="C2968" s="38" t="s">
        <v>5189</v>
      </c>
      <c r="D2968" s="38" t="str">
        <f>IFERROR(__xludf.DUMMYFUNCTION("REGEXREPLACE(C2968,""-\d+(.*)|--\d+(.*)"","""")"),"CABASSE")</f>
        <v>CABASSE</v>
      </c>
      <c r="E2968" s="38" t="s">
        <v>813</v>
      </c>
      <c r="F2968" s="38" t="s">
        <v>228</v>
      </c>
      <c r="G2968" s="49" t="str">
        <f t="shared" si="1"/>
        <v>83340</v>
      </c>
      <c r="H2968" s="49">
        <f t="shared" si="2"/>
        <v>83026</v>
      </c>
    </row>
    <row r="2969">
      <c r="A2969" s="48" t="s">
        <v>5190</v>
      </c>
      <c r="B2969" s="38">
        <v>35230.0</v>
      </c>
      <c r="C2969" s="38" t="s">
        <v>5191</v>
      </c>
      <c r="D2969" s="38" t="str">
        <f>IFERROR(__xludf.DUMMYFUNCTION("REGEXREPLACE(C2969,""-\d+(.*)|--\d+(.*)"","""")"),"POILLEY")</f>
        <v>POILLEY</v>
      </c>
      <c r="E2969" s="38" t="s">
        <v>347</v>
      </c>
      <c r="F2969" s="38" t="s">
        <v>90</v>
      </c>
      <c r="G2969" s="49" t="str">
        <f t="shared" si="1"/>
        <v>35420</v>
      </c>
      <c r="H2969" s="49">
        <f t="shared" si="2"/>
        <v>35230</v>
      </c>
    </row>
    <row r="2970">
      <c r="A2970" s="48" t="s">
        <v>4566</v>
      </c>
      <c r="B2970" s="38">
        <v>24374.0</v>
      </c>
      <c r="C2970" s="38" t="s">
        <v>5192</v>
      </c>
      <c r="D2970" s="38" t="str">
        <f>IFERROR(__xludf.DUMMYFUNCTION("REGEXREPLACE(C2970,""-\d+(.*)|--\d+(.*)"","""")"),"SAINT-AUBIN-DE-LANQUAIS")</f>
        <v>SAINT-AUBIN-DE-LANQUAIS</v>
      </c>
      <c r="E2970" s="38" t="s">
        <v>261</v>
      </c>
      <c r="F2970" s="38" t="s">
        <v>252</v>
      </c>
      <c r="G2970" s="49" t="str">
        <f t="shared" si="1"/>
        <v>24560</v>
      </c>
      <c r="H2970" s="49">
        <f t="shared" si="2"/>
        <v>24374</v>
      </c>
    </row>
    <row r="2971">
      <c r="A2971" s="48" t="s">
        <v>217</v>
      </c>
      <c r="B2971" s="38">
        <v>58070.0</v>
      </c>
      <c r="C2971" s="38" t="s">
        <v>5193</v>
      </c>
      <c r="D2971" s="38" t="str">
        <f>IFERROR(__xludf.DUMMYFUNCTION("REGEXREPLACE(C2971,""-\d+(.*)|--\d+(.*)"","""")"),"CHAZEUIL")</f>
        <v>CHAZEUIL</v>
      </c>
      <c r="E2971" s="38" t="s">
        <v>219</v>
      </c>
      <c r="F2971" s="38" t="s">
        <v>106</v>
      </c>
      <c r="G2971" s="49" t="str">
        <f t="shared" si="1"/>
        <v>58700</v>
      </c>
      <c r="H2971" s="49">
        <f t="shared" si="2"/>
        <v>58070</v>
      </c>
    </row>
    <row r="2972">
      <c r="A2972" s="48" t="s">
        <v>2924</v>
      </c>
      <c r="B2972" s="38">
        <v>8021.0</v>
      </c>
      <c r="C2972" s="38" t="s">
        <v>5194</v>
      </c>
      <c r="D2972" s="38" t="str">
        <f>IFERROR(__xludf.DUMMYFUNCTION("REGEXREPLACE(C2972,""-\d+(.*)|--\d+(.*)"","""")"),"ARNICOURT")</f>
        <v>ARNICOURT</v>
      </c>
      <c r="E2972" s="38" t="s">
        <v>327</v>
      </c>
      <c r="F2972" s="38" t="s">
        <v>130</v>
      </c>
      <c r="G2972" s="49" t="str">
        <f t="shared" si="1"/>
        <v>08300</v>
      </c>
      <c r="H2972" s="49" t="str">
        <f t="shared" si="2"/>
        <v>08021</v>
      </c>
    </row>
    <row r="2973">
      <c r="A2973" s="48" t="s">
        <v>5195</v>
      </c>
      <c r="B2973" s="38">
        <v>47281.0</v>
      </c>
      <c r="C2973" s="38" t="s">
        <v>4342</v>
      </c>
      <c r="D2973" s="38" t="str">
        <f>IFERROR(__xludf.DUMMYFUNCTION("REGEXREPLACE(C2973,""-\d+(.*)|--\d+(.*)"","""")"),"SAINT-URCISSE")</f>
        <v>SAINT-URCISSE</v>
      </c>
      <c r="E2973" s="38" t="s">
        <v>251</v>
      </c>
      <c r="F2973" s="38" t="s">
        <v>252</v>
      </c>
      <c r="G2973" s="49" t="str">
        <f t="shared" si="1"/>
        <v>47270</v>
      </c>
      <c r="H2973" s="49">
        <f t="shared" si="2"/>
        <v>47281</v>
      </c>
    </row>
    <row r="2974">
      <c r="A2974" s="48" t="s">
        <v>2095</v>
      </c>
      <c r="B2974" s="38">
        <v>72309.0</v>
      </c>
      <c r="C2974" s="38" t="s">
        <v>5196</v>
      </c>
      <c r="D2974" s="38" t="str">
        <f>IFERROR(__xludf.DUMMYFUNCTION("REGEXREPLACE(C2974,""-\d+(.*)|--\d+(.*)"","""")"),"SAINT-PAUL-LE-GAULTIER")</f>
        <v>SAINT-PAUL-LE-GAULTIER</v>
      </c>
      <c r="E2974" s="38" t="s">
        <v>521</v>
      </c>
      <c r="F2974" s="38" t="s">
        <v>180</v>
      </c>
      <c r="G2974" s="49" t="str">
        <f t="shared" si="1"/>
        <v>72130</v>
      </c>
      <c r="H2974" s="49">
        <f t="shared" si="2"/>
        <v>72309</v>
      </c>
    </row>
    <row r="2975">
      <c r="A2975" s="48" t="s">
        <v>1018</v>
      </c>
      <c r="B2975" s="38">
        <v>60140.0</v>
      </c>
      <c r="C2975" s="38" t="s">
        <v>5197</v>
      </c>
      <c r="D2975" s="38" t="str">
        <f>IFERROR(__xludf.DUMMYFUNCTION("REGEXREPLACE(C2975,""-\d+(.*)|--\d+(.*)"","""")"),"CHAMBORS")</f>
        <v>CHAMBORS</v>
      </c>
      <c r="E2975" s="38" t="s">
        <v>112</v>
      </c>
      <c r="F2975" s="38" t="s">
        <v>113</v>
      </c>
      <c r="G2975" s="49" t="str">
        <f t="shared" si="1"/>
        <v>60240</v>
      </c>
      <c r="H2975" s="49">
        <f t="shared" si="2"/>
        <v>60140</v>
      </c>
    </row>
    <row r="2976">
      <c r="A2976" s="48" t="s">
        <v>5198</v>
      </c>
      <c r="B2976" s="38">
        <v>39414.0</v>
      </c>
      <c r="C2976" s="38" t="s">
        <v>5199</v>
      </c>
      <c r="D2976" s="38" t="str">
        <f>IFERROR(__xludf.DUMMYFUNCTION("REGEXREPLACE(C2976,""-\d+(.*)|--\d+(.*)"","""")"),"LE PETIT-MERCEY")</f>
        <v>LE PETIT-MERCEY</v>
      </c>
      <c r="E2976" s="38" t="s">
        <v>400</v>
      </c>
      <c r="F2976" s="38" t="s">
        <v>214</v>
      </c>
      <c r="G2976" s="49" t="str">
        <f t="shared" si="1"/>
        <v>39350</v>
      </c>
      <c r="H2976" s="49">
        <f t="shared" si="2"/>
        <v>39414</v>
      </c>
    </row>
    <row r="2977">
      <c r="A2977" s="48" t="s">
        <v>5200</v>
      </c>
      <c r="B2977" s="38">
        <v>45167.0</v>
      </c>
      <c r="C2977" s="38" t="s">
        <v>5201</v>
      </c>
      <c r="D2977" s="38" t="str">
        <f>IFERROR(__xludf.DUMMYFUNCTION("REGEXREPLACE(C2977,""-\d+(.*)|--\d+(.*)"","""")"),"HUISSEAU-SUR-MAUVES")</f>
        <v>HUISSEAU-SUR-MAUVES</v>
      </c>
      <c r="E2977" s="38" t="s">
        <v>122</v>
      </c>
      <c r="F2977" s="38" t="s">
        <v>123</v>
      </c>
      <c r="G2977" s="49" t="str">
        <f t="shared" si="1"/>
        <v>45130</v>
      </c>
      <c r="H2977" s="49">
        <f t="shared" si="2"/>
        <v>45167</v>
      </c>
    </row>
    <row r="2978">
      <c r="A2978" s="48" t="s">
        <v>2170</v>
      </c>
      <c r="B2978" s="38">
        <v>80177.0</v>
      </c>
      <c r="C2978" s="38" t="s">
        <v>5202</v>
      </c>
      <c r="D2978" s="38" t="str">
        <f>IFERROR(__xludf.DUMMYFUNCTION("REGEXREPLACE(C2978,""-\d+(.*)|--\d+(.*)"","""")"),"CARTIGNY")</f>
        <v>CARTIGNY</v>
      </c>
      <c r="E2978" s="38" t="s">
        <v>224</v>
      </c>
      <c r="F2978" s="38" t="s">
        <v>113</v>
      </c>
      <c r="G2978" s="49" t="str">
        <f t="shared" si="1"/>
        <v>80200</v>
      </c>
      <c r="H2978" s="49">
        <f t="shared" si="2"/>
        <v>80177</v>
      </c>
    </row>
    <row r="2979">
      <c r="A2979" s="48" t="s">
        <v>5203</v>
      </c>
      <c r="B2979" s="38">
        <v>88132.0</v>
      </c>
      <c r="C2979" s="38" t="s">
        <v>5204</v>
      </c>
      <c r="D2979" s="38" t="str">
        <f>IFERROR(__xludf.DUMMYFUNCTION("REGEXREPLACE(C2979,""-\d+(.*)|--\d+(.*)"","""")"),"DEYVILLERS")</f>
        <v>DEYVILLERS</v>
      </c>
      <c r="E2979" s="38" t="s">
        <v>194</v>
      </c>
      <c r="F2979" s="38" t="s">
        <v>195</v>
      </c>
      <c r="G2979" s="49" t="str">
        <f t="shared" si="1"/>
        <v>88000</v>
      </c>
      <c r="H2979" s="49">
        <f t="shared" si="2"/>
        <v>88132</v>
      </c>
    </row>
    <row r="2980">
      <c r="A2980" s="48" t="s">
        <v>5205</v>
      </c>
      <c r="B2980" s="38">
        <v>59337.0</v>
      </c>
      <c r="C2980" s="38" t="s">
        <v>5206</v>
      </c>
      <c r="D2980" s="38" t="str">
        <f>IFERROR(__xludf.DUMMYFUNCTION("REGEXREPLACE(C2980,""-\d+(.*)|--\d+(.*)"","""")"),"LEDERZEELE")</f>
        <v>LEDERZEELE</v>
      </c>
      <c r="E2980" s="38" t="s">
        <v>85</v>
      </c>
      <c r="F2980" s="38" t="s">
        <v>86</v>
      </c>
      <c r="G2980" s="49" t="str">
        <f t="shared" si="1"/>
        <v>59143</v>
      </c>
      <c r="H2980" s="49">
        <f t="shared" si="2"/>
        <v>59337</v>
      </c>
    </row>
    <row r="2981">
      <c r="A2981" s="48" t="s">
        <v>5207</v>
      </c>
      <c r="B2981" s="38">
        <v>85187.0</v>
      </c>
      <c r="C2981" s="38" t="s">
        <v>5208</v>
      </c>
      <c r="D2981" s="38" t="str">
        <f>IFERROR(__xludf.DUMMYFUNCTION("REGEXREPLACE(C2981,""-\d+(.*)|--\d+(.*)"","""")"),"REAUMUR")</f>
        <v>REAUMUR</v>
      </c>
      <c r="E2981" s="38" t="s">
        <v>179</v>
      </c>
      <c r="F2981" s="38" t="s">
        <v>180</v>
      </c>
      <c r="G2981" s="49" t="str">
        <f t="shared" si="1"/>
        <v>85700</v>
      </c>
      <c r="H2981" s="49">
        <f t="shared" si="2"/>
        <v>85187</v>
      </c>
    </row>
    <row r="2982">
      <c r="A2982" s="48" t="s">
        <v>5209</v>
      </c>
      <c r="B2982" s="38">
        <v>54113.0</v>
      </c>
      <c r="C2982" s="38" t="s">
        <v>5210</v>
      </c>
      <c r="D2982" s="38" t="str">
        <f>IFERROR(__xludf.DUMMYFUNCTION("REGEXREPLACE(C2982,""-\d+(.*)|--\d+(.*)"","""")"),"CHAMPENOUX")</f>
        <v>CHAMPENOUX</v>
      </c>
      <c r="E2982" s="38" t="s">
        <v>548</v>
      </c>
      <c r="F2982" s="38" t="s">
        <v>195</v>
      </c>
      <c r="G2982" s="49" t="str">
        <f t="shared" si="1"/>
        <v>54280</v>
      </c>
      <c r="H2982" s="49">
        <f t="shared" si="2"/>
        <v>54113</v>
      </c>
    </row>
    <row r="2983">
      <c r="A2983" s="48" t="s">
        <v>5020</v>
      </c>
      <c r="B2983" s="38">
        <v>51050.0</v>
      </c>
      <c r="C2983" s="38" t="s">
        <v>5211</v>
      </c>
      <c r="D2983" s="38" t="str">
        <f>IFERROR(__xludf.DUMMYFUNCTION("REGEXREPLACE(C2983,""-\d+(.*)|--\d+(.*)"","""")"),"BERGERES-SOUS-MONTMIRAIL")</f>
        <v>BERGERES-SOUS-MONTMIRAIL</v>
      </c>
      <c r="E2983" s="38" t="s">
        <v>129</v>
      </c>
      <c r="F2983" s="38" t="s">
        <v>130</v>
      </c>
      <c r="G2983" s="49" t="str">
        <f t="shared" si="1"/>
        <v>51210</v>
      </c>
      <c r="H2983" s="49">
        <f t="shared" si="2"/>
        <v>51050</v>
      </c>
    </row>
    <row r="2984">
      <c r="A2984" s="48" t="s">
        <v>5212</v>
      </c>
      <c r="B2984" s="38">
        <v>41102.0</v>
      </c>
      <c r="C2984" s="38" t="s">
        <v>5213</v>
      </c>
      <c r="D2984" s="38" t="str">
        <f>IFERROR(__xludf.DUMMYFUNCTION("REGEXREPLACE(C2984,""-\d+(.*)|--\d+(.*)"","""")"),"HOUSSAY")</f>
        <v>HOUSSAY</v>
      </c>
      <c r="E2984" s="38" t="s">
        <v>188</v>
      </c>
      <c r="F2984" s="38" t="s">
        <v>123</v>
      </c>
      <c r="G2984" s="49" t="str">
        <f t="shared" si="1"/>
        <v>41800</v>
      </c>
      <c r="H2984" s="49">
        <f t="shared" si="2"/>
        <v>41102</v>
      </c>
    </row>
    <row r="2985">
      <c r="A2985" s="48" t="s">
        <v>5214</v>
      </c>
      <c r="B2985" s="38">
        <v>9261.0</v>
      </c>
      <c r="C2985" s="38" t="s">
        <v>5215</v>
      </c>
      <c r="D2985" s="38" t="str">
        <f>IFERROR(__xludf.DUMMYFUNCTION("REGEXREPLACE(C2985,""-\d+(.*)|--\d+(.*)"","""")"),"SAINT-GIRONS")</f>
        <v>SAINT-GIRONS</v>
      </c>
      <c r="E2985" s="38" t="s">
        <v>238</v>
      </c>
      <c r="F2985" s="38" t="s">
        <v>94</v>
      </c>
      <c r="G2985" s="49" t="str">
        <f t="shared" si="1"/>
        <v>09200</v>
      </c>
      <c r="H2985" s="49" t="str">
        <f t="shared" si="2"/>
        <v>09261</v>
      </c>
    </row>
    <row r="2986">
      <c r="A2986" s="48" t="s">
        <v>356</v>
      </c>
      <c r="B2986" s="38">
        <v>48021.0</v>
      </c>
      <c r="C2986" s="38" t="s">
        <v>5216</v>
      </c>
      <c r="D2986" s="38" t="str">
        <f>IFERROR(__xludf.DUMMYFUNCTION("REGEXREPLACE(C2986,""-\d+(.*)|--\d+(.*)"","""")"),"LA BASTIDE-PUYLAURENT")</f>
        <v>LA BASTIDE-PUYLAURENT</v>
      </c>
      <c r="E2986" s="38" t="s">
        <v>154</v>
      </c>
      <c r="F2986" s="38" t="s">
        <v>119</v>
      </c>
      <c r="G2986" s="49" t="str">
        <f t="shared" si="1"/>
        <v>48250</v>
      </c>
      <c r="H2986" s="49">
        <f t="shared" si="2"/>
        <v>48021</v>
      </c>
    </row>
    <row r="2987">
      <c r="A2987" s="48" t="s">
        <v>256</v>
      </c>
      <c r="B2987" s="38">
        <v>36109.0</v>
      </c>
      <c r="C2987" s="38" t="s">
        <v>5217</v>
      </c>
      <c r="D2987" s="38" t="str">
        <f>IFERROR(__xludf.DUMMYFUNCTION("REGEXREPLACE(C2987,""-\d+(.*)|--\d+(.*)"","""")"),"LE MAGNY")</f>
        <v>LE MAGNY</v>
      </c>
      <c r="E2987" s="38" t="s">
        <v>258</v>
      </c>
      <c r="F2987" s="38" t="s">
        <v>123</v>
      </c>
      <c r="G2987" s="49" t="str">
        <f t="shared" si="1"/>
        <v>36400</v>
      </c>
      <c r="H2987" s="49">
        <f t="shared" si="2"/>
        <v>36109</v>
      </c>
    </row>
    <row r="2988">
      <c r="A2988" s="48" t="s">
        <v>5218</v>
      </c>
      <c r="B2988" s="38">
        <v>6043.0</v>
      </c>
      <c r="C2988" s="38" t="s">
        <v>5219</v>
      </c>
      <c r="D2988" s="38" t="str">
        <f>IFERROR(__xludf.DUMMYFUNCTION("REGEXREPLACE(C2988,""-\d+(.*)|--\d+(.*)"","""")"),"COARAZE")</f>
        <v>COARAZE</v>
      </c>
      <c r="E2988" s="38" t="s">
        <v>227</v>
      </c>
      <c r="F2988" s="38" t="s">
        <v>228</v>
      </c>
      <c r="G2988" s="49" t="str">
        <f t="shared" si="1"/>
        <v>06390</v>
      </c>
      <c r="H2988" s="49" t="str">
        <f t="shared" si="2"/>
        <v>06043</v>
      </c>
    </row>
    <row r="2989">
      <c r="A2989" s="48" t="s">
        <v>2170</v>
      </c>
      <c r="B2989" s="38">
        <v>80102.0</v>
      </c>
      <c r="C2989" s="38" t="s">
        <v>5220</v>
      </c>
      <c r="D2989" s="38" t="str">
        <f>IFERROR(__xludf.DUMMYFUNCTION("REGEXREPLACE(C2989,""-\d+(.*)|--\d+(.*)"","""")"),"BIACHES")</f>
        <v>BIACHES</v>
      </c>
      <c r="E2989" s="38" t="s">
        <v>224</v>
      </c>
      <c r="F2989" s="38" t="s">
        <v>113</v>
      </c>
      <c r="G2989" s="49" t="str">
        <f t="shared" si="1"/>
        <v>80200</v>
      </c>
      <c r="H2989" s="49">
        <f t="shared" si="2"/>
        <v>80102</v>
      </c>
    </row>
    <row r="2990">
      <c r="A2990" s="48" t="s">
        <v>5221</v>
      </c>
      <c r="B2990" s="38">
        <v>56105.0</v>
      </c>
      <c r="C2990" s="38" t="s">
        <v>5222</v>
      </c>
      <c r="D2990" s="38" t="str">
        <f>IFERROR(__xludf.DUMMYFUNCTION("REGEXREPLACE(C2990,""-\d+(.*)|--\d+(.*)"","""")"),"LANVENEGEN")</f>
        <v>LANVENEGEN</v>
      </c>
      <c r="E2990" s="38" t="s">
        <v>173</v>
      </c>
      <c r="F2990" s="38" t="s">
        <v>90</v>
      </c>
      <c r="G2990" s="49" t="str">
        <f t="shared" si="1"/>
        <v>56320</v>
      </c>
      <c r="H2990" s="49">
        <f t="shared" si="2"/>
        <v>56105</v>
      </c>
    </row>
    <row r="2991">
      <c r="A2991" s="48" t="s">
        <v>5223</v>
      </c>
      <c r="B2991" s="38">
        <v>65374.0</v>
      </c>
      <c r="C2991" s="38" t="s">
        <v>5224</v>
      </c>
      <c r="D2991" s="38" t="str">
        <f>IFERROR(__xludf.DUMMYFUNCTION("REGEXREPLACE(C2991,""-\d+(.*)|--\d+(.*)"","""")"),"PUYDARRIEUX")</f>
        <v>PUYDARRIEUX</v>
      </c>
      <c r="E2991" s="38" t="s">
        <v>200</v>
      </c>
      <c r="F2991" s="38" t="s">
        <v>94</v>
      </c>
      <c r="G2991" s="49" t="str">
        <f t="shared" si="1"/>
        <v>65220</v>
      </c>
      <c r="H2991" s="49">
        <f t="shared" si="2"/>
        <v>65374</v>
      </c>
    </row>
    <row r="2992">
      <c r="A2992" s="48" t="s">
        <v>5225</v>
      </c>
      <c r="B2992" s="38">
        <v>29186.0</v>
      </c>
      <c r="C2992" s="38" t="s">
        <v>5226</v>
      </c>
      <c r="D2992" s="38" t="str">
        <f>IFERROR(__xludf.DUMMYFUNCTION("REGEXREPLACE(C2992,""-\d+(.*)|--\d+(.*)"","""")"),"PLOUEZOC'H")</f>
        <v>PLOUEZOC'H</v>
      </c>
      <c r="E2992" s="38" t="s">
        <v>176</v>
      </c>
      <c r="F2992" s="38" t="s">
        <v>90</v>
      </c>
      <c r="G2992" s="49" t="str">
        <f t="shared" si="1"/>
        <v>29252</v>
      </c>
      <c r="H2992" s="49">
        <f t="shared" si="2"/>
        <v>29186</v>
      </c>
    </row>
    <row r="2993">
      <c r="A2993" s="48" t="s">
        <v>5227</v>
      </c>
      <c r="B2993" s="38">
        <v>34247.0</v>
      </c>
      <c r="C2993" s="38" t="s">
        <v>5228</v>
      </c>
      <c r="D2993" s="38" t="str">
        <f>IFERROR(__xludf.DUMMYFUNCTION("REGEXREPLACE(C2993,""-\d+(.*)|--\d+(.*)"","""")"),"SAINT-CLEMENT-DE-RIVIERE")</f>
        <v>SAINT-CLEMENT-DE-RIVIERE</v>
      </c>
      <c r="E2993" s="38" t="s">
        <v>118</v>
      </c>
      <c r="F2993" s="38" t="s">
        <v>119</v>
      </c>
      <c r="G2993" s="49" t="str">
        <f t="shared" si="1"/>
        <v>34980</v>
      </c>
      <c r="H2993" s="49">
        <f t="shared" si="2"/>
        <v>34247</v>
      </c>
    </row>
    <row r="2994">
      <c r="A2994" s="48" t="s">
        <v>4487</v>
      </c>
      <c r="B2994" s="38">
        <v>62626.0</v>
      </c>
      <c r="C2994" s="38" t="s">
        <v>5229</v>
      </c>
      <c r="D2994" s="38" t="str">
        <f>IFERROR(__xludf.DUMMYFUNCTION("REGEXREPLACE(C2994,""-\d+(.*)|--\d+(.*)"","""")"),"NOYELLES-LES-VERMELLES")</f>
        <v>NOYELLES-LES-VERMELLES</v>
      </c>
      <c r="E2994" s="38" t="s">
        <v>109</v>
      </c>
      <c r="F2994" s="38" t="s">
        <v>86</v>
      </c>
      <c r="G2994" s="49" t="str">
        <f t="shared" si="1"/>
        <v>62980</v>
      </c>
      <c r="H2994" s="49">
        <f t="shared" si="2"/>
        <v>62626</v>
      </c>
    </row>
    <row r="2995">
      <c r="A2995" s="48" t="s">
        <v>5230</v>
      </c>
      <c r="B2995" s="38">
        <v>25369.0</v>
      </c>
      <c r="C2995" s="38" t="s">
        <v>5231</v>
      </c>
      <c r="D2995" s="38" t="str">
        <f>IFERROR(__xludf.DUMMYFUNCTION("REGEXREPLACE(C2995,""-\d+(.*)|--\d+(.*)"","""")"),"MARVELISE")</f>
        <v>MARVELISE</v>
      </c>
      <c r="E2995" s="38" t="s">
        <v>213</v>
      </c>
      <c r="F2995" s="38" t="s">
        <v>214</v>
      </c>
      <c r="G2995" s="49" t="str">
        <f t="shared" si="1"/>
        <v>25250</v>
      </c>
      <c r="H2995" s="49">
        <f t="shared" si="2"/>
        <v>25369</v>
      </c>
    </row>
    <row r="2996">
      <c r="A2996" s="48" t="s">
        <v>4283</v>
      </c>
      <c r="B2996" s="38">
        <v>7143.0</v>
      </c>
      <c r="C2996" s="38" t="s">
        <v>5232</v>
      </c>
      <c r="D2996" s="38" t="str">
        <f>IFERROR(__xludf.DUMMYFUNCTION("REGEXREPLACE(C2996,""-\d+(.*)|--\d+(.*)"","""")"),"LIMONY")</f>
        <v>LIMONY</v>
      </c>
      <c r="E2996" s="38" t="s">
        <v>144</v>
      </c>
      <c r="F2996" s="38" t="s">
        <v>102</v>
      </c>
      <c r="G2996" s="49" t="str">
        <f t="shared" si="1"/>
        <v>07340</v>
      </c>
      <c r="H2996" s="49" t="str">
        <f t="shared" si="2"/>
        <v>07143</v>
      </c>
    </row>
    <row r="2997">
      <c r="A2997" s="48" t="s">
        <v>3163</v>
      </c>
      <c r="B2997" s="38">
        <v>28221.0</v>
      </c>
      <c r="C2997" s="38" t="s">
        <v>5233</v>
      </c>
      <c r="D2997" s="38" t="str">
        <f>IFERROR(__xludf.DUMMYFUNCTION("REGEXREPLACE(C2997,""-\d+(.*)|--\d+(.*)"","""")"),"LUMEAU")</f>
        <v>LUMEAU</v>
      </c>
      <c r="E2997" s="38" t="s">
        <v>300</v>
      </c>
      <c r="F2997" s="38" t="s">
        <v>123</v>
      </c>
      <c r="G2997" s="49" t="str">
        <f t="shared" si="1"/>
        <v>28140</v>
      </c>
      <c r="H2997" s="49">
        <f t="shared" si="2"/>
        <v>28221</v>
      </c>
    </row>
    <row r="2998">
      <c r="A2998" s="48" t="s">
        <v>1588</v>
      </c>
      <c r="B2998" s="38">
        <v>9290.0</v>
      </c>
      <c r="C2998" s="38" t="s">
        <v>5234</v>
      </c>
      <c r="D2998" s="38" t="str">
        <f>IFERROR(__xludf.DUMMYFUNCTION("REGEXREPLACE(C2998,""-\d+(.*)|--\d+(.*)"","""")"),"SENTEIN")</f>
        <v>SENTEIN</v>
      </c>
      <c r="E2998" s="38" t="s">
        <v>238</v>
      </c>
      <c r="F2998" s="38" t="s">
        <v>94</v>
      </c>
      <c r="G2998" s="49" t="str">
        <f t="shared" si="1"/>
        <v>09800</v>
      </c>
      <c r="H2998" s="49" t="str">
        <f t="shared" si="2"/>
        <v>09290</v>
      </c>
    </row>
    <row r="2999">
      <c r="A2999" s="48" t="s">
        <v>5235</v>
      </c>
      <c r="B2999" s="38">
        <v>61488.0</v>
      </c>
      <c r="C2999" s="38" t="s">
        <v>5236</v>
      </c>
      <c r="D2999" s="38" t="str">
        <f>IFERROR(__xludf.DUMMYFUNCTION("REGEXREPLACE(C2999,""-\d+(.*)|--\d+(.*)"","""")"),"TOUQUETTES")</f>
        <v>TOUQUETTES</v>
      </c>
      <c r="E2999" s="38" t="s">
        <v>141</v>
      </c>
      <c r="F2999" s="38" t="s">
        <v>138</v>
      </c>
      <c r="G2999" s="49" t="str">
        <f t="shared" si="1"/>
        <v>61550</v>
      </c>
      <c r="H2999" s="49">
        <f t="shared" si="2"/>
        <v>61488</v>
      </c>
    </row>
    <row r="3000">
      <c r="A3000" s="48" t="s">
        <v>5237</v>
      </c>
      <c r="B3000" s="38">
        <v>69243.0</v>
      </c>
      <c r="C3000" s="38" t="s">
        <v>5238</v>
      </c>
      <c r="D3000" s="38" t="str">
        <f>IFERROR(__xludf.DUMMYFUNCTION("REGEXREPLACE(C3000,""-\d+(.*)|--\d+(.*)"","""")"),"TARARE")</f>
        <v>TARARE</v>
      </c>
      <c r="E3000" s="38" t="s">
        <v>350</v>
      </c>
      <c r="F3000" s="38" t="s">
        <v>102</v>
      </c>
      <c r="G3000" s="49" t="str">
        <f t="shared" si="1"/>
        <v>69170</v>
      </c>
      <c r="H3000" s="49">
        <f t="shared" si="2"/>
        <v>69243</v>
      </c>
    </row>
    <row r="3001">
      <c r="A3001" s="48" t="s">
        <v>5239</v>
      </c>
      <c r="B3001" s="38">
        <v>65258.0</v>
      </c>
      <c r="C3001" s="38" t="s">
        <v>5240</v>
      </c>
      <c r="D3001" s="38" t="str">
        <f>IFERROR(__xludf.DUMMYFUNCTION("REGEXREPLACE(C3001,""-\d+(.*)|--\d+(.*)"","""")"),"LANNEMEZAN")</f>
        <v>LANNEMEZAN</v>
      </c>
      <c r="E3001" s="38" t="s">
        <v>200</v>
      </c>
      <c r="F3001" s="38" t="s">
        <v>94</v>
      </c>
      <c r="G3001" s="49" t="str">
        <f t="shared" si="1"/>
        <v>65300</v>
      </c>
      <c r="H3001" s="49">
        <f t="shared" si="2"/>
        <v>65258</v>
      </c>
    </row>
    <row r="3002">
      <c r="A3002" s="48" t="s">
        <v>5241</v>
      </c>
      <c r="B3002" s="38">
        <v>36093.0</v>
      </c>
      <c r="C3002" s="38" t="s">
        <v>5242</v>
      </c>
      <c r="D3002" s="38" t="str">
        <f>IFERROR(__xludf.DUMMYFUNCTION("REGEXREPLACE(C3002,""-\d+(.*)|--\d+(.*)"","""")"),"LEVROUX")</f>
        <v>LEVROUX</v>
      </c>
      <c r="E3002" s="38" t="s">
        <v>258</v>
      </c>
      <c r="F3002" s="38" t="s">
        <v>123</v>
      </c>
      <c r="G3002" s="49" t="str">
        <f t="shared" si="1"/>
        <v>36110</v>
      </c>
      <c r="H3002" s="49">
        <f t="shared" si="2"/>
        <v>36093</v>
      </c>
    </row>
    <row r="3003">
      <c r="A3003" s="48" t="s">
        <v>5243</v>
      </c>
      <c r="B3003" s="38">
        <v>18150.0</v>
      </c>
      <c r="C3003" s="38" t="s">
        <v>5244</v>
      </c>
      <c r="D3003" s="38" t="str">
        <f>IFERROR(__xludf.DUMMYFUNCTION("REGEXREPLACE(C3003,""-\d+(.*)|--\d+(.*)"","""")"),"MERY-SUR-CHER")</f>
        <v>MERY-SUR-CHER</v>
      </c>
      <c r="E3003" s="38" t="s">
        <v>504</v>
      </c>
      <c r="F3003" s="38" t="s">
        <v>123</v>
      </c>
      <c r="G3003" s="49" t="str">
        <f t="shared" si="1"/>
        <v>18100</v>
      </c>
      <c r="H3003" s="49">
        <f t="shared" si="2"/>
        <v>18150</v>
      </c>
    </row>
    <row r="3004">
      <c r="A3004" s="48" t="s">
        <v>1366</v>
      </c>
      <c r="B3004" s="38">
        <v>59269.0</v>
      </c>
      <c r="C3004" s="38" t="s">
        <v>5245</v>
      </c>
      <c r="D3004" s="38" t="str">
        <f>IFERROR(__xludf.DUMMYFUNCTION("REGEXREPLACE(C3004,""-\d+(.*)|--\d+(.*)"","""")"),"GOUZEAUCOURT")</f>
        <v>GOUZEAUCOURT</v>
      </c>
      <c r="E3004" s="38" t="s">
        <v>85</v>
      </c>
      <c r="F3004" s="38" t="s">
        <v>86</v>
      </c>
      <c r="G3004" s="49" t="str">
        <f t="shared" si="1"/>
        <v>59231</v>
      </c>
      <c r="H3004" s="49">
        <f t="shared" si="2"/>
        <v>59269</v>
      </c>
    </row>
    <row r="3005">
      <c r="A3005" s="48" t="s">
        <v>5246</v>
      </c>
      <c r="B3005" s="38">
        <v>27193.0</v>
      </c>
      <c r="C3005" s="38" t="s">
        <v>5247</v>
      </c>
      <c r="D3005" s="38" t="str">
        <f>IFERROR(__xludf.DUMMYFUNCTION("REGEXREPLACE(C3005,""-\d+(.*)|--\d+(.*)"","""")"),"CROTH")</f>
        <v>CROTH</v>
      </c>
      <c r="E3005" s="38" t="s">
        <v>241</v>
      </c>
      <c r="F3005" s="38" t="s">
        <v>134</v>
      </c>
      <c r="G3005" s="49" t="str">
        <f t="shared" si="1"/>
        <v>27530</v>
      </c>
      <c r="H3005" s="49">
        <f t="shared" si="2"/>
        <v>27193</v>
      </c>
    </row>
    <row r="3006">
      <c r="A3006" s="48" t="s">
        <v>1616</v>
      </c>
      <c r="B3006" s="38">
        <v>10378.0</v>
      </c>
      <c r="C3006" s="38" t="s">
        <v>5248</v>
      </c>
      <c r="D3006" s="38" t="str">
        <f>IFERROR(__xludf.DUMMYFUNCTION("REGEXREPLACE(C3006,""-\d+(.*)|--\d+(.*)"","""")"),"THORS")</f>
        <v>THORS</v>
      </c>
      <c r="E3006" s="38" t="s">
        <v>147</v>
      </c>
      <c r="F3006" s="38" t="s">
        <v>130</v>
      </c>
      <c r="G3006" s="49" t="str">
        <f t="shared" si="1"/>
        <v>10200</v>
      </c>
      <c r="H3006" s="49">
        <f t="shared" si="2"/>
        <v>10378</v>
      </c>
    </row>
    <row r="3007">
      <c r="A3007" s="48" t="s">
        <v>2592</v>
      </c>
      <c r="B3007" s="38">
        <v>34002.0</v>
      </c>
      <c r="C3007" s="38" t="s">
        <v>5249</v>
      </c>
      <c r="D3007" s="38" t="str">
        <f>IFERROR(__xludf.DUMMYFUNCTION("REGEXREPLACE(C3007,""-\d+(.*)|--\d+(.*)"","""")"),"ADISSAN")</f>
        <v>ADISSAN</v>
      </c>
      <c r="E3007" s="38" t="s">
        <v>118</v>
      </c>
      <c r="F3007" s="38" t="s">
        <v>119</v>
      </c>
      <c r="G3007" s="49" t="str">
        <f t="shared" si="1"/>
        <v>34230</v>
      </c>
      <c r="H3007" s="49">
        <f t="shared" si="2"/>
        <v>34002</v>
      </c>
    </row>
    <row r="3008">
      <c r="A3008" s="48" t="s">
        <v>5250</v>
      </c>
      <c r="B3008" s="38">
        <v>27349.0</v>
      </c>
      <c r="C3008" s="38" t="s">
        <v>5251</v>
      </c>
      <c r="D3008" s="38" t="str">
        <f>IFERROR(__xludf.DUMMYFUNCTION("REGEXREPLACE(C3008,""-\d+(.*)|--\d+(.*)"","""")"),"ILLEVILLE-SUR-MONTFORT")</f>
        <v>ILLEVILLE-SUR-MONTFORT</v>
      </c>
      <c r="E3008" s="38" t="s">
        <v>241</v>
      </c>
      <c r="F3008" s="38" t="s">
        <v>134</v>
      </c>
      <c r="G3008" s="49" t="str">
        <f t="shared" si="1"/>
        <v>27290</v>
      </c>
      <c r="H3008" s="49">
        <f t="shared" si="2"/>
        <v>27349</v>
      </c>
    </row>
    <row r="3009">
      <c r="A3009" s="48" t="s">
        <v>1485</v>
      </c>
      <c r="B3009" s="38">
        <v>21368.0</v>
      </c>
      <c r="C3009" s="38" t="s">
        <v>5252</v>
      </c>
      <c r="D3009" s="38" t="str">
        <f>IFERROR(__xludf.DUMMYFUNCTION("REGEXREPLACE(C3009,""-\d+(.*)|--\d+(.*)"","""")"),"MAGNY-LES-VILLERS")</f>
        <v>MAGNY-LES-VILLERS</v>
      </c>
      <c r="E3009" s="38" t="s">
        <v>105</v>
      </c>
      <c r="F3009" s="38" t="s">
        <v>106</v>
      </c>
      <c r="G3009" s="49" t="str">
        <f t="shared" si="1"/>
        <v>21700</v>
      </c>
      <c r="H3009" s="49">
        <f t="shared" si="2"/>
        <v>21368</v>
      </c>
    </row>
    <row r="3010">
      <c r="A3010" s="48" t="s">
        <v>5253</v>
      </c>
      <c r="B3010" s="38">
        <v>91081.0</v>
      </c>
      <c r="C3010" s="38" t="s">
        <v>5254</v>
      </c>
      <c r="D3010" s="38" t="str">
        <f>IFERROR(__xludf.DUMMYFUNCTION("REGEXREPLACE(C3010,""-\d+(.*)|--\d+(.*)"","""")"),"BOISSY-LE-SEC")</f>
        <v>BOISSY-LE-SEC</v>
      </c>
      <c r="E3010" s="38" t="s">
        <v>756</v>
      </c>
      <c r="F3010" s="38" t="s">
        <v>245</v>
      </c>
      <c r="G3010" s="49" t="str">
        <f t="shared" si="1"/>
        <v>91870</v>
      </c>
      <c r="H3010" s="49">
        <f t="shared" si="2"/>
        <v>91081</v>
      </c>
    </row>
    <row r="3011">
      <c r="A3011" s="48" t="s">
        <v>470</v>
      </c>
      <c r="B3011" s="38">
        <v>8119.0</v>
      </c>
      <c r="C3011" s="38" t="s">
        <v>5255</v>
      </c>
      <c r="D3011" s="38" t="str">
        <f>IFERROR(__xludf.DUMMYFUNCTION("REGEXREPLACE(C3011,""-\d+(.*)|--\d+(.*)"","""")"),"CHEVEUGES")</f>
        <v>CHEVEUGES</v>
      </c>
      <c r="E3011" s="38" t="s">
        <v>327</v>
      </c>
      <c r="F3011" s="38" t="s">
        <v>130</v>
      </c>
      <c r="G3011" s="49" t="str">
        <f t="shared" si="1"/>
        <v>08350</v>
      </c>
      <c r="H3011" s="49" t="str">
        <f t="shared" si="2"/>
        <v>08119</v>
      </c>
    </row>
    <row r="3012">
      <c r="A3012" s="48" t="s">
        <v>3046</v>
      </c>
      <c r="B3012" s="38">
        <v>70529.0</v>
      </c>
      <c r="C3012" s="38" t="s">
        <v>5256</v>
      </c>
      <c r="D3012" s="38" t="str">
        <f>IFERROR(__xludf.DUMMYFUNCTION("REGEXREPLACE(C3012,""-\d+(.*)|--\d+(.*)"","""")"),"VELET")</f>
        <v>VELET</v>
      </c>
      <c r="E3012" s="38" t="s">
        <v>956</v>
      </c>
      <c r="F3012" s="38" t="s">
        <v>214</v>
      </c>
      <c r="G3012" s="49" t="str">
        <f t="shared" si="1"/>
        <v>70100</v>
      </c>
      <c r="H3012" s="49">
        <f t="shared" si="2"/>
        <v>70529</v>
      </c>
    </row>
    <row r="3013">
      <c r="A3013" s="48" t="s">
        <v>5257</v>
      </c>
      <c r="B3013" s="38">
        <v>15026.0</v>
      </c>
      <c r="C3013" s="38" t="s">
        <v>5258</v>
      </c>
      <c r="D3013" s="38" t="str">
        <f>IFERROR(__xludf.DUMMYFUNCTION("REGEXREPLACE(C3013,""-\d+(.*)|--\d+(.*)"","""")"),"BREZONS")</f>
        <v>BREZONS</v>
      </c>
      <c r="E3013" s="38" t="s">
        <v>632</v>
      </c>
      <c r="F3013" s="38" t="s">
        <v>161</v>
      </c>
      <c r="G3013" s="49" t="str">
        <f t="shared" si="1"/>
        <v>15230</v>
      </c>
      <c r="H3013" s="49">
        <f t="shared" si="2"/>
        <v>15026</v>
      </c>
    </row>
    <row r="3014">
      <c r="A3014" s="48" t="s">
        <v>5259</v>
      </c>
      <c r="B3014" s="38">
        <v>97606.0</v>
      </c>
      <c r="C3014" s="38" t="s">
        <v>5260</v>
      </c>
      <c r="D3014" s="38" t="str">
        <f>IFERROR(__xludf.DUMMYFUNCTION("REGEXREPLACE(C3014,""-\d+(.*)|--\d+(.*)"","""")"),"CHIRONGUI")</f>
        <v>CHIRONGUI</v>
      </c>
      <c r="E3014" s="38" t="s">
        <v>2865</v>
      </c>
      <c r="F3014" s="38" t="s">
        <v>2865</v>
      </c>
      <c r="G3014" s="49" t="str">
        <f t="shared" si="1"/>
        <v>97620</v>
      </c>
      <c r="H3014" s="49">
        <f t="shared" si="2"/>
        <v>97606</v>
      </c>
    </row>
    <row r="3015">
      <c r="A3015" s="48" t="s">
        <v>3424</v>
      </c>
      <c r="B3015" s="38">
        <v>10053.0</v>
      </c>
      <c r="C3015" s="38" t="s">
        <v>5261</v>
      </c>
      <c r="D3015" s="38" t="str">
        <f>IFERROR(__xludf.DUMMYFUNCTION("REGEXREPLACE(C3015,""-\d+(.*)|--\d+(.*)"","""")"),"BOURANTON")</f>
        <v>BOURANTON</v>
      </c>
      <c r="E3015" s="38" t="s">
        <v>147</v>
      </c>
      <c r="F3015" s="38" t="s">
        <v>130</v>
      </c>
      <c r="G3015" s="49" t="str">
        <f t="shared" si="1"/>
        <v>10270</v>
      </c>
      <c r="H3015" s="49">
        <f t="shared" si="2"/>
        <v>10053</v>
      </c>
    </row>
    <row r="3016">
      <c r="A3016" s="48" t="s">
        <v>5262</v>
      </c>
      <c r="B3016" s="38">
        <v>15106.0</v>
      </c>
      <c r="C3016" s="38" t="s">
        <v>5263</v>
      </c>
      <c r="D3016" s="38" t="str">
        <f>IFERROR(__xludf.DUMMYFUNCTION("REGEXREPLACE(C3016,""-\d+(.*)|--\d+(.*)"","""")"),"LIEUTADES")</f>
        <v>LIEUTADES</v>
      </c>
      <c r="E3016" s="38" t="s">
        <v>632</v>
      </c>
      <c r="F3016" s="38" t="s">
        <v>161</v>
      </c>
      <c r="G3016" s="49" t="str">
        <f t="shared" si="1"/>
        <v>15110</v>
      </c>
      <c r="H3016" s="49">
        <f t="shared" si="2"/>
        <v>15106</v>
      </c>
    </row>
    <row r="3017">
      <c r="A3017" s="48" t="s">
        <v>3404</v>
      </c>
      <c r="B3017" s="38">
        <v>39025.0</v>
      </c>
      <c r="C3017" s="38" t="s">
        <v>5264</v>
      </c>
      <c r="D3017" s="38" t="str">
        <f>IFERROR(__xludf.DUMMYFUNCTION("REGEXREPLACE(C3017,""-\d+(.*)|--\d+(.*)"","""")"),"AUGEA")</f>
        <v>AUGEA</v>
      </c>
      <c r="E3017" s="38" t="s">
        <v>400</v>
      </c>
      <c r="F3017" s="38" t="s">
        <v>214</v>
      </c>
      <c r="G3017" s="49" t="str">
        <f t="shared" si="1"/>
        <v>39190</v>
      </c>
      <c r="H3017" s="49">
        <f t="shared" si="2"/>
        <v>39025</v>
      </c>
    </row>
    <row r="3018">
      <c r="A3018" s="48" t="s">
        <v>5265</v>
      </c>
      <c r="B3018" s="38">
        <v>57622.0</v>
      </c>
      <c r="C3018" s="38" t="s">
        <v>5266</v>
      </c>
      <c r="D3018" s="38" t="str">
        <f>IFERROR(__xludf.DUMMYFUNCTION("REGEXREPLACE(C3018,""-\d+(.*)|--\d+(.*)"","""")"),"SAINT-PRIVAT-LA-MONTAGNE")</f>
        <v>SAINT-PRIVAT-LA-MONTAGNE</v>
      </c>
      <c r="E3018" s="38" t="s">
        <v>303</v>
      </c>
      <c r="F3018" s="38" t="s">
        <v>195</v>
      </c>
      <c r="G3018" s="49" t="str">
        <f t="shared" si="1"/>
        <v>57855</v>
      </c>
      <c r="H3018" s="49">
        <f t="shared" si="2"/>
        <v>57622</v>
      </c>
    </row>
    <row r="3019">
      <c r="A3019" s="48" t="s">
        <v>940</v>
      </c>
      <c r="B3019" s="38">
        <v>51391.0</v>
      </c>
      <c r="C3019" s="38" t="s">
        <v>5267</v>
      </c>
      <c r="D3019" s="38" t="str">
        <f>IFERROR(__xludf.DUMMYFUNCTION("REGEXREPLACE(C3019,""-\d+(.*)|--\d+(.*)"","""")"),"MUIZON")</f>
        <v>MUIZON</v>
      </c>
      <c r="E3019" s="38" t="s">
        <v>129</v>
      </c>
      <c r="F3019" s="38" t="s">
        <v>130</v>
      </c>
      <c r="G3019" s="49" t="str">
        <f t="shared" si="1"/>
        <v>51140</v>
      </c>
      <c r="H3019" s="49">
        <f t="shared" si="2"/>
        <v>51391</v>
      </c>
    </row>
    <row r="3020">
      <c r="A3020" s="48" t="s">
        <v>5268</v>
      </c>
      <c r="B3020" s="38">
        <v>49077.0</v>
      </c>
      <c r="C3020" s="38" t="s">
        <v>5269</v>
      </c>
      <c r="D3020" s="38" t="str">
        <f>IFERROR(__xludf.DUMMYFUNCTION("REGEXREPLACE(C3020,""-\d+(.*)|--\d+(.*)"","""")"),"LA CHAPELLE-SUR-OUDON")</f>
        <v>LA CHAPELLE-SUR-OUDON</v>
      </c>
      <c r="E3020" s="38" t="s">
        <v>653</v>
      </c>
      <c r="F3020" s="38" t="s">
        <v>180</v>
      </c>
      <c r="G3020" s="49" t="str">
        <f t="shared" si="1"/>
        <v>49500</v>
      </c>
      <c r="H3020" s="49">
        <f t="shared" si="2"/>
        <v>49077</v>
      </c>
    </row>
    <row r="3021">
      <c r="A3021" s="48" t="s">
        <v>1903</v>
      </c>
      <c r="B3021" s="38">
        <v>10303.0</v>
      </c>
      <c r="C3021" s="38" t="s">
        <v>5270</v>
      </c>
      <c r="D3021" s="38" t="str">
        <f>IFERROR(__xludf.DUMMYFUNCTION("REGEXREPLACE(C3021,""-\d+(.*)|--\d+(.*)"","""")"),"PRECY-NOTRE-DAME")</f>
        <v>PRECY-NOTRE-DAME</v>
      </c>
      <c r="E3021" s="38" t="s">
        <v>147</v>
      </c>
      <c r="F3021" s="38" t="s">
        <v>130</v>
      </c>
      <c r="G3021" s="49" t="str">
        <f t="shared" si="1"/>
        <v>10500</v>
      </c>
      <c r="H3021" s="49">
        <f t="shared" si="2"/>
        <v>10303</v>
      </c>
    </row>
    <row r="3022">
      <c r="A3022" s="48" t="s">
        <v>4358</v>
      </c>
      <c r="B3022" s="38">
        <v>1205.0</v>
      </c>
      <c r="C3022" s="38" t="s">
        <v>5271</v>
      </c>
      <c r="D3022" s="38" t="str">
        <f>IFERROR(__xludf.DUMMYFUNCTION("REGEXREPLACE(C3022,""-\d+(.*)|--\d+(.*)"","""")"),"LANCRANS")</f>
        <v>LANCRANS</v>
      </c>
      <c r="E3022" s="38" t="s">
        <v>255</v>
      </c>
      <c r="F3022" s="38" t="s">
        <v>102</v>
      </c>
      <c r="G3022" s="49" t="str">
        <f t="shared" si="1"/>
        <v>01200</v>
      </c>
      <c r="H3022" s="49" t="str">
        <f t="shared" si="2"/>
        <v>01205</v>
      </c>
    </row>
    <row r="3023">
      <c r="A3023" s="48" t="s">
        <v>2835</v>
      </c>
      <c r="B3023" s="38">
        <v>18220.0</v>
      </c>
      <c r="C3023" s="38" t="s">
        <v>5272</v>
      </c>
      <c r="D3023" s="38" t="str">
        <f>IFERROR(__xludf.DUMMYFUNCTION("REGEXREPLACE(C3023,""-\d+(.*)|--\d+(.*)"","""")"),"SAINT-LEGER-LE-PETIT")</f>
        <v>SAINT-LEGER-LE-PETIT</v>
      </c>
      <c r="E3023" s="38" t="s">
        <v>504</v>
      </c>
      <c r="F3023" s="38" t="s">
        <v>123</v>
      </c>
      <c r="G3023" s="49" t="str">
        <f t="shared" si="1"/>
        <v>18140</v>
      </c>
      <c r="H3023" s="49">
        <f t="shared" si="2"/>
        <v>18220</v>
      </c>
    </row>
    <row r="3024">
      <c r="A3024" s="48" t="s">
        <v>5273</v>
      </c>
      <c r="B3024" s="38">
        <v>53136.0</v>
      </c>
      <c r="C3024" s="38" t="s">
        <v>5274</v>
      </c>
      <c r="D3024" s="38" t="str">
        <f>IFERROR(__xludf.DUMMYFUNCTION("REGEXREPLACE(C3024,""-\d+(.*)|--\d+(.*)"","""")"),"LOIGNE-SUR-MAYENNE")</f>
        <v>LOIGNE-SUR-MAYENNE</v>
      </c>
      <c r="E3024" s="38" t="s">
        <v>518</v>
      </c>
      <c r="F3024" s="38" t="s">
        <v>180</v>
      </c>
      <c r="G3024" s="49" t="str">
        <f t="shared" si="1"/>
        <v>53200</v>
      </c>
      <c r="H3024" s="49">
        <f t="shared" si="2"/>
        <v>53136</v>
      </c>
    </row>
    <row r="3025">
      <c r="A3025" s="48" t="s">
        <v>5275</v>
      </c>
      <c r="B3025" s="38">
        <v>17173.0</v>
      </c>
      <c r="C3025" s="38" t="s">
        <v>5276</v>
      </c>
      <c r="D3025" s="38" t="str">
        <f>IFERROR(__xludf.DUMMYFUNCTION("REGEXREPLACE(C3025,""-\d+(.*)|--\d+(.*)"","""")"),"LA GENETOUZE")</f>
        <v>LA GENETOUZE</v>
      </c>
      <c r="E3025" s="38" t="s">
        <v>488</v>
      </c>
      <c r="F3025" s="38" t="s">
        <v>338</v>
      </c>
      <c r="G3025" s="49" t="str">
        <f t="shared" si="1"/>
        <v>17360</v>
      </c>
      <c r="H3025" s="49">
        <f t="shared" si="2"/>
        <v>17173</v>
      </c>
    </row>
    <row r="3026">
      <c r="A3026" s="48" t="s">
        <v>771</v>
      </c>
      <c r="B3026" s="38">
        <v>60053.0</v>
      </c>
      <c r="C3026" s="38" t="s">
        <v>5277</v>
      </c>
      <c r="D3026" s="38" t="str">
        <f>IFERROR(__xludf.DUMMYFUNCTION("REGEXREPLACE(C3026,""-\d+(.*)|--\d+(.*)"","""")"),"BEAULIEU-LES-FONTAINES")</f>
        <v>BEAULIEU-LES-FONTAINES</v>
      </c>
      <c r="E3026" s="38" t="s">
        <v>112</v>
      </c>
      <c r="F3026" s="38" t="s">
        <v>113</v>
      </c>
      <c r="G3026" s="49" t="str">
        <f t="shared" si="1"/>
        <v>60310</v>
      </c>
      <c r="H3026" s="49">
        <f t="shared" si="2"/>
        <v>60053</v>
      </c>
    </row>
    <row r="3027">
      <c r="A3027" s="48" t="s">
        <v>5278</v>
      </c>
      <c r="B3027" s="38">
        <v>68297.0</v>
      </c>
      <c r="C3027" s="38" t="s">
        <v>5279</v>
      </c>
      <c r="D3027" s="38" t="str">
        <f>IFERROR(__xludf.DUMMYFUNCTION("REGEXREPLACE(C3027,""-\d+(.*)|--\d+(.*)"","""")"),"SAINT-LOUIS")</f>
        <v>SAINT-LOUIS</v>
      </c>
      <c r="E3027" s="38" t="s">
        <v>150</v>
      </c>
      <c r="F3027" s="38" t="s">
        <v>151</v>
      </c>
      <c r="G3027" s="49" t="str">
        <f t="shared" si="1"/>
        <v>68300</v>
      </c>
      <c r="H3027" s="49">
        <f t="shared" si="2"/>
        <v>68297</v>
      </c>
    </row>
    <row r="3028">
      <c r="A3028" s="48" t="s">
        <v>4075</v>
      </c>
      <c r="B3028" s="38">
        <v>59459.0</v>
      </c>
      <c r="C3028" s="38" t="s">
        <v>5280</v>
      </c>
      <c r="D3028" s="38" t="str">
        <f>IFERROR(__xludf.DUMMYFUNCTION("REGEXREPLACE(C3028,""-\d+(.*)|--\d+(.*)"","""")"),"PETITE-FORET")</f>
        <v>PETITE-FORET</v>
      </c>
      <c r="E3028" s="38" t="s">
        <v>85</v>
      </c>
      <c r="F3028" s="38" t="s">
        <v>86</v>
      </c>
      <c r="G3028" s="49" t="str">
        <f t="shared" si="1"/>
        <v>59494</v>
      </c>
      <c r="H3028" s="49">
        <f t="shared" si="2"/>
        <v>59459</v>
      </c>
    </row>
    <row r="3029">
      <c r="A3029" s="48" t="s">
        <v>5281</v>
      </c>
      <c r="B3029" s="38">
        <v>25273.0</v>
      </c>
      <c r="C3029" s="38" t="s">
        <v>5282</v>
      </c>
      <c r="D3029" s="38" t="str">
        <f>IFERROR(__xludf.DUMMYFUNCTION("REGEXREPLACE(C3029,""-\d+(.*)|--\d+(.*)"","""")"),"GLAMONDANS")</f>
        <v>GLAMONDANS</v>
      </c>
      <c r="E3029" s="38" t="s">
        <v>213</v>
      </c>
      <c r="F3029" s="38" t="s">
        <v>214</v>
      </c>
      <c r="G3029" s="49" t="str">
        <f t="shared" si="1"/>
        <v>25360</v>
      </c>
      <c r="H3029" s="49">
        <f t="shared" si="2"/>
        <v>25273</v>
      </c>
    </row>
    <row r="3030">
      <c r="A3030" s="48" t="s">
        <v>1077</v>
      </c>
      <c r="B3030" s="38">
        <v>25087.0</v>
      </c>
      <c r="C3030" s="38" t="s">
        <v>5283</v>
      </c>
      <c r="D3030" s="38" t="str">
        <f>IFERROR(__xludf.DUMMYFUNCTION("REGEXREPLACE(C3030,""-\d+(.*)|--\d+(.*)"","""")"),"BRANNE")</f>
        <v>BRANNE</v>
      </c>
      <c r="E3030" s="38" t="s">
        <v>213</v>
      </c>
      <c r="F3030" s="38" t="s">
        <v>214</v>
      </c>
      <c r="G3030" s="49" t="str">
        <f t="shared" si="1"/>
        <v>25340</v>
      </c>
      <c r="H3030" s="49">
        <f t="shared" si="2"/>
        <v>25087</v>
      </c>
    </row>
    <row r="3031">
      <c r="A3031" s="48" t="s">
        <v>5284</v>
      </c>
      <c r="B3031" s="38">
        <v>19043.0</v>
      </c>
      <c r="C3031" s="38" t="s">
        <v>5285</v>
      </c>
      <c r="D3031" s="38" t="str">
        <f>IFERROR(__xludf.DUMMYFUNCTION("REGEXREPLACE(C3031,""-\d+(.*)|--\d+(.*)"","""")"),"LA CHAPELLE-AUX-BROCS")</f>
        <v>LA CHAPELLE-AUX-BROCS</v>
      </c>
      <c r="E3031" s="38" t="s">
        <v>271</v>
      </c>
      <c r="F3031" s="38" t="s">
        <v>98</v>
      </c>
      <c r="G3031" s="49" t="str">
        <f t="shared" si="1"/>
        <v>19360</v>
      </c>
      <c r="H3031" s="49">
        <f t="shared" si="2"/>
        <v>19043</v>
      </c>
    </row>
    <row r="3032">
      <c r="A3032" s="48" t="s">
        <v>5286</v>
      </c>
      <c r="B3032" s="38">
        <v>71388.0</v>
      </c>
      <c r="C3032" s="38" t="s">
        <v>5287</v>
      </c>
      <c r="D3032" s="38" t="str">
        <f>IFERROR(__xludf.DUMMYFUNCTION("REGEXREPLACE(C3032,""-\d+(.*)|--\d+(.*)"","""")"),"SAINT-AUBIN-EN-CHAROLLAIS")</f>
        <v>SAINT-AUBIN-EN-CHAROLLAIS</v>
      </c>
      <c r="E3032" s="38" t="s">
        <v>344</v>
      </c>
      <c r="F3032" s="38" t="s">
        <v>106</v>
      </c>
      <c r="G3032" s="49" t="str">
        <f t="shared" si="1"/>
        <v>71430</v>
      </c>
      <c r="H3032" s="49">
        <f t="shared" si="2"/>
        <v>71388</v>
      </c>
    </row>
    <row r="3033">
      <c r="A3033" s="48" t="s">
        <v>5288</v>
      </c>
      <c r="B3033" s="38">
        <v>62015.0</v>
      </c>
      <c r="C3033" s="38" t="s">
        <v>5289</v>
      </c>
      <c r="D3033" s="38" t="str">
        <f>IFERROR(__xludf.DUMMYFUNCTION("REGEXREPLACE(C3033,""-\d+(.*)|--\d+(.*)"","""")"),"AIRON-NOTRE-DAME")</f>
        <v>AIRON-NOTRE-DAME</v>
      </c>
      <c r="E3033" s="38" t="s">
        <v>109</v>
      </c>
      <c r="F3033" s="38" t="s">
        <v>86</v>
      </c>
      <c r="G3033" s="49" t="str">
        <f t="shared" si="1"/>
        <v>62180</v>
      </c>
      <c r="H3033" s="49">
        <f t="shared" si="2"/>
        <v>62015</v>
      </c>
    </row>
    <row r="3034">
      <c r="A3034" s="48" t="s">
        <v>5290</v>
      </c>
      <c r="B3034" s="38">
        <v>92035.0</v>
      </c>
      <c r="C3034" s="38" t="s">
        <v>5291</v>
      </c>
      <c r="D3034" s="38" t="str">
        <f>IFERROR(__xludf.DUMMYFUNCTION("REGEXREPLACE(C3034,""-\d+(.*)|--\d+(.*)"","""")"),"LA GARENNE-COLOMBES")</f>
        <v>LA GARENNE-COLOMBES</v>
      </c>
      <c r="E3034" s="38" t="s">
        <v>838</v>
      </c>
      <c r="F3034" s="38" t="s">
        <v>245</v>
      </c>
      <c r="G3034" s="49" t="str">
        <f t="shared" si="1"/>
        <v>92250</v>
      </c>
      <c r="H3034" s="49">
        <f t="shared" si="2"/>
        <v>92035</v>
      </c>
    </row>
    <row r="3035">
      <c r="A3035" s="48" t="s">
        <v>5292</v>
      </c>
      <c r="B3035" s="38">
        <v>1123.0</v>
      </c>
      <c r="C3035" s="38" t="s">
        <v>5293</v>
      </c>
      <c r="D3035" s="38" t="str">
        <f>IFERROR(__xludf.DUMMYFUNCTION("REGEXREPLACE(C3035,""-\d+(.*)|--\d+(.*)"","""")"),"CORMORANCHE-SUR-SAONE")</f>
        <v>CORMORANCHE-SUR-SAONE</v>
      </c>
      <c r="E3035" s="38" t="s">
        <v>255</v>
      </c>
      <c r="F3035" s="38" t="s">
        <v>102</v>
      </c>
      <c r="G3035" s="49" t="str">
        <f t="shared" si="1"/>
        <v>01290</v>
      </c>
      <c r="H3035" s="49" t="str">
        <f t="shared" si="2"/>
        <v>01123</v>
      </c>
    </row>
    <row r="3036">
      <c r="A3036" s="48" t="s">
        <v>1644</v>
      </c>
      <c r="B3036" s="38">
        <v>21125.0</v>
      </c>
      <c r="C3036" s="38" t="s">
        <v>5294</v>
      </c>
      <c r="D3036" s="38" t="str">
        <f>IFERROR(__xludf.DUMMYFUNCTION("REGEXREPLACE(C3036,""-\d+(.*)|--\d+(.*)"","""")"),"CERILLY")</f>
        <v>CERILLY</v>
      </c>
      <c r="E3036" s="38" t="s">
        <v>105</v>
      </c>
      <c r="F3036" s="38" t="s">
        <v>106</v>
      </c>
      <c r="G3036" s="49" t="str">
        <f t="shared" si="1"/>
        <v>21330</v>
      </c>
      <c r="H3036" s="49">
        <f t="shared" si="2"/>
        <v>21125</v>
      </c>
    </row>
    <row r="3037">
      <c r="A3037" s="48" t="s">
        <v>3087</v>
      </c>
      <c r="B3037" s="38">
        <v>64021.0</v>
      </c>
      <c r="C3037" s="38" t="s">
        <v>5295</v>
      </c>
      <c r="D3037" s="38" t="str">
        <f>IFERROR(__xludf.DUMMYFUNCTION("REGEXREPLACE(C3037,""-\d+(.*)|--\d+(.*)"","""")"),"ANDOINS")</f>
        <v>ANDOINS</v>
      </c>
      <c r="E3037" s="38" t="s">
        <v>268</v>
      </c>
      <c r="F3037" s="38" t="s">
        <v>252</v>
      </c>
      <c r="G3037" s="49" t="str">
        <f t="shared" si="1"/>
        <v>64420</v>
      </c>
      <c r="H3037" s="49">
        <f t="shared" si="2"/>
        <v>64021</v>
      </c>
    </row>
    <row r="3038">
      <c r="A3038" s="48" t="s">
        <v>3699</v>
      </c>
      <c r="B3038" s="38">
        <v>18026.0</v>
      </c>
      <c r="C3038" s="38" t="s">
        <v>5296</v>
      </c>
      <c r="D3038" s="38" t="str">
        <f>IFERROR(__xludf.DUMMYFUNCTION("REGEXREPLACE(C3038,""-\d+(.*)|--\d+(.*)"","""")"),"BELLEVILLE-SUR-LOIRE")</f>
        <v>BELLEVILLE-SUR-LOIRE</v>
      </c>
      <c r="E3038" s="38" t="s">
        <v>504</v>
      </c>
      <c r="F3038" s="38" t="s">
        <v>123</v>
      </c>
      <c r="G3038" s="49" t="str">
        <f t="shared" si="1"/>
        <v>18240</v>
      </c>
      <c r="H3038" s="49">
        <f t="shared" si="2"/>
        <v>18026</v>
      </c>
    </row>
    <row r="3039">
      <c r="A3039" s="48" t="s">
        <v>1145</v>
      </c>
      <c r="B3039" s="38">
        <v>77063.0</v>
      </c>
      <c r="C3039" s="38" t="s">
        <v>5297</v>
      </c>
      <c r="D3039" s="38" t="str">
        <f>IFERROR(__xludf.DUMMYFUNCTION("REGEXREPLACE(C3039,""-\d+(.*)|--\d+(.*)"","""")"),"LA CELLE-SUR-MORIN")</f>
        <v>LA CELLE-SUR-MORIN</v>
      </c>
      <c r="E3039" s="38" t="s">
        <v>244</v>
      </c>
      <c r="F3039" s="38" t="s">
        <v>245</v>
      </c>
      <c r="G3039" s="49" t="str">
        <f t="shared" si="1"/>
        <v>77515</v>
      </c>
      <c r="H3039" s="49">
        <f t="shared" si="2"/>
        <v>77063</v>
      </c>
    </row>
    <row r="3040">
      <c r="A3040" s="48" t="s">
        <v>1883</v>
      </c>
      <c r="B3040" s="38">
        <v>39205.0</v>
      </c>
      <c r="C3040" s="38" t="s">
        <v>5298</v>
      </c>
      <c r="D3040" s="38" t="str">
        <f>IFERROR(__xludf.DUMMYFUNCTION("REGEXREPLACE(C3040,""-\d+(.*)|--\d+(.*)"","""")"),"ECLANS-NENON")</f>
        <v>ECLANS-NENON</v>
      </c>
      <c r="E3040" s="38" t="s">
        <v>400</v>
      </c>
      <c r="F3040" s="38" t="s">
        <v>214</v>
      </c>
      <c r="G3040" s="49" t="str">
        <f t="shared" si="1"/>
        <v>39700</v>
      </c>
      <c r="H3040" s="49">
        <f t="shared" si="2"/>
        <v>39205</v>
      </c>
    </row>
    <row r="3041">
      <c r="A3041" s="48" t="s">
        <v>1874</v>
      </c>
      <c r="B3041" s="38">
        <v>73240.0</v>
      </c>
      <c r="C3041" s="38" t="s">
        <v>5299</v>
      </c>
      <c r="D3041" s="38" t="str">
        <f>IFERROR(__xludf.DUMMYFUNCTION("REGEXREPLACE(C3041,""-\d+(.*)|--\d+(.*)"","""")"),"SAINTE-HELENE-DU-LAC")</f>
        <v>SAINTE-HELENE-DU-LAC</v>
      </c>
      <c r="E3041" s="38" t="s">
        <v>306</v>
      </c>
      <c r="F3041" s="38" t="s">
        <v>102</v>
      </c>
      <c r="G3041" s="49" t="str">
        <f t="shared" si="1"/>
        <v>73800</v>
      </c>
      <c r="H3041" s="49">
        <f t="shared" si="2"/>
        <v>73240</v>
      </c>
    </row>
    <row r="3042">
      <c r="A3042" s="48" t="s">
        <v>5300</v>
      </c>
      <c r="B3042" s="38">
        <v>59423.0</v>
      </c>
      <c r="C3042" s="38" t="s">
        <v>5301</v>
      </c>
      <c r="D3042" s="38" t="str">
        <f>IFERROR(__xludf.DUMMYFUNCTION("REGEXREPLACE(C3042,""-\d+(.*)|--\d+(.*)"","""")"),"NEUF-BERQUIN")</f>
        <v>NEUF-BERQUIN</v>
      </c>
      <c r="E3042" s="38" t="s">
        <v>85</v>
      </c>
      <c r="F3042" s="38" t="s">
        <v>86</v>
      </c>
      <c r="G3042" s="49" t="str">
        <f t="shared" si="1"/>
        <v>59940</v>
      </c>
      <c r="H3042" s="49">
        <f t="shared" si="2"/>
        <v>59423</v>
      </c>
    </row>
    <row r="3043">
      <c r="A3043" s="48" t="s">
        <v>5302</v>
      </c>
      <c r="B3043" s="38">
        <v>14513.0</v>
      </c>
      <c r="C3043" s="38" t="s">
        <v>5303</v>
      </c>
      <c r="D3043" s="38" t="str">
        <f>IFERROR(__xludf.DUMMYFUNCTION("REGEXREPLACE(C3043,""-\d+(.*)|--\d+(.*)"","""")"),"PONT-FARCY")</f>
        <v>PONT-FARCY</v>
      </c>
      <c r="E3043" s="38" t="s">
        <v>137</v>
      </c>
      <c r="F3043" s="38" t="s">
        <v>138</v>
      </c>
      <c r="G3043" s="49" t="str">
        <f t="shared" si="1"/>
        <v>14380</v>
      </c>
      <c r="H3043" s="49">
        <f t="shared" si="2"/>
        <v>14513</v>
      </c>
    </row>
    <row r="3044">
      <c r="A3044" s="48" t="s">
        <v>5304</v>
      </c>
      <c r="B3044" s="38">
        <v>27469.0</v>
      </c>
      <c r="C3044" s="38" t="s">
        <v>5305</v>
      </c>
      <c r="D3044" s="38" t="str">
        <f>IFERROR(__xludf.DUMMYFUNCTION("REGEXREPLACE(C3044,""-\d+(.*)|--\d+(.*)"","""")"),"PONT-DE-L'ARCHE")</f>
        <v>PONT-DE-L'ARCHE</v>
      </c>
      <c r="E3044" s="38" t="s">
        <v>241</v>
      </c>
      <c r="F3044" s="38" t="s">
        <v>134</v>
      </c>
      <c r="G3044" s="49" t="str">
        <f t="shared" si="1"/>
        <v>27340</v>
      </c>
      <c r="H3044" s="49">
        <f t="shared" si="2"/>
        <v>27469</v>
      </c>
    </row>
    <row r="3045">
      <c r="A3045" s="48" t="s">
        <v>2232</v>
      </c>
      <c r="B3045" s="38">
        <v>77234.0</v>
      </c>
      <c r="C3045" s="38" t="s">
        <v>5306</v>
      </c>
      <c r="D3045" s="38" t="str">
        <f>IFERROR(__xludf.DUMMYFUNCTION("REGEXREPLACE(C3045,""-\d+(.*)|--\d+(.*)"","""")"),"JABLINES")</f>
        <v>JABLINES</v>
      </c>
      <c r="E3045" s="38" t="s">
        <v>244</v>
      </c>
      <c r="F3045" s="38" t="s">
        <v>245</v>
      </c>
      <c r="G3045" s="49" t="str">
        <f t="shared" si="1"/>
        <v>77450</v>
      </c>
      <c r="H3045" s="49">
        <f t="shared" si="2"/>
        <v>77234</v>
      </c>
    </row>
    <row r="3046">
      <c r="A3046" s="48" t="s">
        <v>2229</v>
      </c>
      <c r="B3046" s="38">
        <v>64226.0</v>
      </c>
      <c r="C3046" s="38" t="s">
        <v>5307</v>
      </c>
      <c r="D3046" s="38" t="str">
        <f>IFERROR(__xludf.DUMMYFUNCTION("REGEXREPLACE(C3046,""-\d+(.*)|--\d+(.*)"","""")"),"FICHOUS-RIUMAYOU")</f>
        <v>FICHOUS-RIUMAYOU</v>
      </c>
      <c r="E3046" s="38" t="s">
        <v>268</v>
      </c>
      <c r="F3046" s="38" t="s">
        <v>252</v>
      </c>
      <c r="G3046" s="49" t="str">
        <f t="shared" si="1"/>
        <v>64410</v>
      </c>
      <c r="H3046" s="49">
        <f t="shared" si="2"/>
        <v>64226</v>
      </c>
    </row>
    <row r="3047">
      <c r="A3047" s="48" t="s">
        <v>290</v>
      </c>
      <c r="B3047" s="38">
        <v>85159.0</v>
      </c>
      <c r="C3047" s="38" t="s">
        <v>5308</v>
      </c>
      <c r="D3047" s="38" t="str">
        <f>IFERROR(__xludf.DUMMYFUNCTION("REGEXREPLACE(C3047,""-\d+(.*)|--\d+(.*)"","""")"),"NALLIERS")</f>
        <v>NALLIERS</v>
      </c>
      <c r="E3047" s="38" t="s">
        <v>179</v>
      </c>
      <c r="F3047" s="38" t="s">
        <v>180</v>
      </c>
      <c r="G3047" s="49" t="str">
        <f t="shared" si="1"/>
        <v>85370</v>
      </c>
      <c r="H3047" s="49">
        <f t="shared" si="2"/>
        <v>85159</v>
      </c>
    </row>
    <row r="3048">
      <c r="A3048" s="48" t="s">
        <v>5309</v>
      </c>
      <c r="B3048" s="38">
        <v>62132.0</v>
      </c>
      <c r="C3048" s="38" t="s">
        <v>5310</v>
      </c>
      <c r="D3048" s="38" t="str">
        <f>IFERROR(__xludf.DUMMYFUNCTION("REGEXREPLACE(C3048,""-\d+(.*)|--\d+(.*)"","""")"),"BILLY-BERCLAU")</f>
        <v>BILLY-BERCLAU</v>
      </c>
      <c r="E3048" s="38" t="s">
        <v>109</v>
      </c>
      <c r="F3048" s="38" t="s">
        <v>86</v>
      </c>
      <c r="G3048" s="49" t="str">
        <f t="shared" si="1"/>
        <v>62138</v>
      </c>
      <c r="H3048" s="49">
        <f t="shared" si="2"/>
        <v>62132</v>
      </c>
    </row>
    <row r="3049">
      <c r="A3049" s="48" t="s">
        <v>5311</v>
      </c>
      <c r="B3049" s="38">
        <v>55315.0</v>
      </c>
      <c r="C3049" s="38" t="s">
        <v>5312</v>
      </c>
      <c r="D3049" s="38" t="str">
        <f>IFERROR(__xludf.DUMMYFUNCTION("REGEXREPLACE(C3049,""-\d+(.*)|--\d+(.*)"","""")"),"MANDRES-EN-BARROIS")</f>
        <v>MANDRES-EN-BARROIS</v>
      </c>
      <c r="E3049" s="38" t="s">
        <v>322</v>
      </c>
      <c r="F3049" s="38" t="s">
        <v>195</v>
      </c>
      <c r="G3049" s="49" t="str">
        <f t="shared" si="1"/>
        <v>55290</v>
      </c>
      <c r="H3049" s="49">
        <f t="shared" si="2"/>
        <v>55315</v>
      </c>
    </row>
    <row r="3050">
      <c r="A3050" s="48" t="s">
        <v>5313</v>
      </c>
      <c r="B3050" s="38">
        <v>60027.0</v>
      </c>
      <c r="C3050" s="38" t="s">
        <v>5314</v>
      </c>
      <c r="D3050" s="38" t="str">
        <f>IFERROR(__xludf.DUMMYFUNCTION("REGEXREPLACE(C3050,""-\d+(.*)|--\d+(.*)"","""")"),"AUGER-SAINT-VINCENT")</f>
        <v>AUGER-SAINT-VINCENT</v>
      </c>
      <c r="E3050" s="38" t="s">
        <v>112</v>
      </c>
      <c r="F3050" s="38" t="s">
        <v>113</v>
      </c>
      <c r="G3050" s="49" t="str">
        <f t="shared" si="1"/>
        <v>60800</v>
      </c>
      <c r="H3050" s="49">
        <f t="shared" si="2"/>
        <v>60027</v>
      </c>
    </row>
    <row r="3051">
      <c r="A3051" s="48" t="s">
        <v>4900</v>
      </c>
      <c r="B3051" s="38">
        <v>33219.0</v>
      </c>
      <c r="C3051" s="38" t="s">
        <v>5315</v>
      </c>
      <c r="D3051" s="38" t="str">
        <f>IFERROR(__xludf.DUMMYFUNCTION("REGEXREPLACE(C3051,""-\d+(.*)|--\d+(.*)"","""")"),"LA LANDE-DE-FRONSAC")</f>
        <v>LA LANDE-DE-FRONSAC</v>
      </c>
      <c r="E3051" s="38" t="s">
        <v>462</v>
      </c>
      <c r="F3051" s="38" t="s">
        <v>252</v>
      </c>
      <c r="G3051" s="49" t="str">
        <f t="shared" si="1"/>
        <v>33240</v>
      </c>
      <c r="H3051" s="49">
        <f t="shared" si="2"/>
        <v>33219</v>
      </c>
    </row>
    <row r="3052">
      <c r="A3052" s="48" t="s">
        <v>2391</v>
      </c>
      <c r="B3052" s="38">
        <v>51504.0</v>
      </c>
      <c r="C3052" s="38" t="s">
        <v>5316</v>
      </c>
      <c r="D3052" s="38" t="str">
        <f>IFERROR(__xludf.DUMMYFUNCTION("REGEXREPLACE(C3052,""-\d+(.*)|--\d+(.*)"","""")"),"SAINT-MARTIN-SUR-LE-PRE")</f>
        <v>SAINT-MARTIN-SUR-LE-PRE</v>
      </c>
      <c r="E3052" s="38" t="s">
        <v>129</v>
      </c>
      <c r="F3052" s="38" t="s">
        <v>130</v>
      </c>
      <c r="G3052" s="49" t="str">
        <f t="shared" si="1"/>
        <v>51520</v>
      </c>
      <c r="H3052" s="49">
        <f t="shared" si="2"/>
        <v>51504</v>
      </c>
    </row>
    <row r="3053">
      <c r="A3053" s="48" t="s">
        <v>5134</v>
      </c>
      <c r="B3053" s="38">
        <v>70426.0</v>
      </c>
      <c r="C3053" s="38" t="s">
        <v>5317</v>
      </c>
      <c r="D3053" s="38" t="str">
        <f>IFERROR(__xludf.DUMMYFUNCTION("REGEXREPLACE(C3053,""-\d+(.*)|--\d+(.*)"","""")"),"PROVENCHERE")</f>
        <v>PROVENCHERE</v>
      </c>
      <c r="E3053" s="38" t="s">
        <v>956</v>
      </c>
      <c r="F3053" s="38" t="s">
        <v>214</v>
      </c>
      <c r="G3053" s="49" t="str">
        <f t="shared" si="1"/>
        <v>70170</v>
      </c>
      <c r="H3053" s="49">
        <f t="shared" si="2"/>
        <v>70426</v>
      </c>
    </row>
    <row r="3054">
      <c r="A3054" s="48" t="s">
        <v>3994</v>
      </c>
      <c r="B3054" s="38">
        <v>38325.0</v>
      </c>
      <c r="C3054" s="38" t="s">
        <v>5318</v>
      </c>
      <c r="D3054" s="38" t="str">
        <f>IFERROR(__xludf.DUMMYFUNCTION("REGEXREPLACE(C3054,""-\d+(.*)|--\d+(.*)"","""")"),"PROVEYSIEUX")</f>
        <v>PROVEYSIEUX</v>
      </c>
      <c r="E3054" s="38" t="s">
        <v>101</v>
      </c>
      <c r="F3054" s="38" t="s">
        <v>102</v>
      </c>
      <c r="G3054" s="49" t="str">
        <f t="shared" si="1"/>
        <v>38120</v>
      </c>
      <c r="H3054" s="49">
        <f t="shared" si="2"/>
        <v>38325</v>
      </c>
    </row>
    <row r="3055">
      <c r="A3055" s="48" t="s">
        <v>2547</v>
      </c>
      <c r="B3055" s="38">
        <v>8424.0</v>
      </c>
      <c r="C3055" s="38" t="s">
        <v>5319</v>
      </c>
      <c r="D3055" s="38" t="str">
        <f>IFERROR(__xludf.DUMMYFUNCTION("REGEXREPLACE(C3055,""-\d+(.*)|--\d+(.*)"","""")"),"SOMMAUTHE")</f>
        <v>SOMMAUTHE</v>
      </c>
      <c r="E3055" s="38" t="s">
        <v>327</v>
      </c>
      <c r="F3055" s="38" t="s">
        <v>130</v>
      </c>
      <c r="G3055" s="49" t="str">
        <f t="shared" si="1"/>
        <v>08240</v>
      </c>
      <c r="H3055" s="49" t="str">
        <f t="shared" si="2"/>
        <v>08424</v>
      </c>
    </row>
    <row r="3056">
      <c r="A3056" s="48" t="s">
        <v>5320</v>
      </c>
      <c r="B3056" s="38">
        <v>74202.0</v>
      </c>
      <c r="C3056" s="38" t="s">
        <v>5321</v>
      </c>
      <c r="D3056" s="38" t="str">
        <f>IFERROR(__xludf.DUMMYFUNCTION("REGEXREPLACE(C3056,""-\d+(.*)|--\d+(.*)"","""")"),"NONGLARD")</f>
        <v>NONGLARD</v>
      </c>
      <c r="E3056" s="38" t="s">
        <v>319</v>
      </c>
      <c r="F3056" s="38" t="s">
        <v>102</v>
      </c>
      <c r="G3056" s="49" t="str">
        <f t="shared" si="1"/>
        <v>74330</v>
      </c>
      <c r="H3056" s="49">
        <f t="shared" si="2"/>
        <v>74202</v>
      </c>
    </row>
    <row r="3057">
      <c r="A3057" s="48" t="s">
        <v>5322</v>
      </c>
      <c r="B3057" s="38">
        <v>32092.0</v>
      </c>
      <c r="C3057" s="38" t="s">
        <v>5323</v>
      </c>
      <c r="D3057" s="38" t="str">
        <f>IFERROR(__xludf.DUMMYFUNCTION("REGEXREPLACE(C3057,""-\d+(.*)|--\d+(.*)"","""")"),"CATONVIELLE")</f>
        <v>CATONVIELLE</v>
      </c>
      <c r="E3057" s="38" t="s">
        <v>440</v>
      </c>
      <c r="F3057" s="38" t="s">
        <v>94</v>
      </c>
      <c r="G3057" s="49" t="str">
        <f t="shared" si="1"/>
        <v>32200</v>
      </c>
      <c r="H3057" s="49">
        <f t="shared" si="2"/>
        <v>32092</v>
      </c>
    </row>
    <row r="3058">
      <c r="A3058" s="48" t="s">
        <v>981</v>
      </c>
      <c r="B3058" s="38">
        <v>24447.0</v>
      </c>
      <c r="C3058" s="38" t="s">
        <v>5324</v>
      </c>
      <c r="D3058" s="38" t="str">
        <f>IFERROR(__xludf.DUMMYFUNCTION("REGEXREPLACE(C3058,""-\d+(.*)|--\d+(.*)"","""")"),"SAINTE-MARIE-DE-CHIGNAC")</f>
        <v>SAINTE-MARIE-DE-CHIGNAC</v>
      </c>
      <c r="E3058" s="38" t="s">
        <v>261</v>
      </c>
      <c r="F3058" s="38" t="s">
        <v>252</v>
      </c>
      <c r="G3058" s="49" t="str">
        <f t="shared" si="1"/>
        <v>24330</v>
      </c>
      <c r="H3058" s="49">
        <f t="shared" si="2"/>
        <v>24447</v>
      </c>
    </row>
    <row r="3059">
      <c r="A3059" s="48" t="s">
        <v>5325</v>
      </c>
      <c r="B3059" s="38">
        <v>60044.0</v>
      </c>
      <c r="C3059" s="38" t="s">
        <v>5326</v>
      </c>
      <c r="D3059" s="38" t="str">
        <f>IFERROR(__xludf.DUMMYFUNCTION("REGEXREPLACE(C3059,""-\d+(.*)|--\d+(.*)"","""")"),"BALAGNY-SUR-THERAIN")</f>
        <v>BALAGNY-SUR-THERAIN</v>
      </c>
      <c r="E3059" s="38" t="s">
        <v>112</v>
      </c>
      <c r="F3059" s="38" t="s">
        <v>113</v>
      </c>
      <c r="G3059" s="49" t="str">
        <f t="shared" si="1"/>
        <v>60250</v>
      </c>
      <c r="H3059" s="49">
        <f t="shared" si="2"/>
        <v>60044</v>
      </c>
    </row>
    <row r="3060">
      <c r="A3060" s="48" t="s">
        <v>4561</v>
      </c>
      <c r="B3060" s="38">
        <v>79085.0</v>
      </c>
      <c r="C3060" s="38" t="s">
        <v>5327</v>
      </c>
      <c r="D3060" s="38" t="str">
        <f>IFERROR(__xludf.DUMMYFUNCTION("REGEXREPLACE(C3060,""-\d+(.*)|--\d+(.*)"","""")"),"CHERIGNE")</f>
        <v>CHERIGNE</v>
      </c>
      <c r="E3060" s="38" t="s">
        <v>337</v>
      </c>
      <c r="F3060" s="38" t="s">
        <v>338</v>
      </c>
      <c r="G3060" s="49" t="str">
        <f t="shared" si="1"/>
        <v>79170</v>
      </c>
      <c r="H3060" s="49">
        <f t="shared" si="2"/>
        <v>79085</v>
      </c>
    </row>
    <row r="3061">
      <c r="A3061" s="48" t="s">
        <v>879</v>
      </c>
      <c r="B3061" s="38">
        <v>24383.0</v>
      </c>
      <c r="C3061" s="38" t="s">
        <v>5328</v>
      </c>
      <c r="D3061" s="38" t="str">
        <f>IFERROR(__xludf.DUMMYFUNCTION("REGEXREPLACE(C3061,""-\d+(.*)|--\d+(.*)"","""")"),"SAINT-CAPRAISE-D'EYMET")</f>
        <v>SAINT-CAPRAISE-D'EYMET</v>
      </c>
      <c r="E3061" s="38" t="s">
        <v>261</v>
      </c>
      <c r="F3061" s="38" t="s">
        <v>252</v>
      </c>
      <c r="G3061" s="49" t="str">
        <f t="shared" si="1"/>
        <v>24500</v>
      </c>
      <c r="H3061" s="49">
        <f t="shared" si="2"/>
        <v>24383</v>
      </c>
    </row>
    <row r="3062">
      <c r="A3062" s="48" t="s">
        <v>676</v>
      </c>
      <c r="B3062" s="38">
        <v>81223.0</v>
      </c>
      <c r="C3062" s="38" t="s">
        <v>5329</v>
      </c>
      <c r="D3062" s="38" t="str">
        <f>IFERROR(__xludf.DUMMYFUNCTION("REGEXREPLACE(C3062,""-\d+(.*)|--\d+(.*)"","""")"),"LE RIALET")</f>
        <v>LE RIALET</v>
      </c>
      <c r="E3062" s="38" t="s">
        <v>231</v>
      </c>
      <c r="F3062" s="38" t="s">
        <v>94</v>
      </c>
      <c r="G3062" s="49" t="str">
        <f t="shared" si="1"/>
        <v>81240</v>
      </c>
      <c r="H3062" s="49">
        <f t="shared" si="2"/>
        <v>81223</v>
      </c>
    </row>
    <row r="3063">
      <c r="A3063" s="48" t="s">
        <v>5330</v>
      </c>
      <c r="B3063" s="38">
        <v>30094.0</v>
      </c>
      <c r="C3063" s="38" t="s">
        <v>5331</v>
      </c>
      <c r="D3063" s="38" t="str">
        <f>IFERROR(__xludf.DUMMYFUNCTION("REGEXREPLACE(C3063,""-\d+(.*)|--\d+(.*)"","""")"),"CORBES")</f>
        <v>CORBES</v>
      </c>
      <c r="E3063" s="38" t="s">
        <v>526</v>
      </c>
      <c r="F3063" s="38" t="s">
        <v>119</v>
      </c>
      <c r="G3063" s="49" t="str">
        <f t="shared" si="1"/>
        <v>30140</v>
      </c>
      <c r="H3063" s="49">
        <f t="shared" si="2"/>
        <v>30094</v>
      </c>
    </row>
    <row r="3064">
      <c r="A3064" s="48" t="s">
        <v>5332</v>
      </c>
      <c r="B3064" s="38">
        <v>1330.0</v>
      </c>
      <c r="C3064" s="38" t="s">
        <v>5333</v>
      </c>
      <c r="D3064" s="38" t="str">
        <f>IFERROR(__xludf.DUMMYFUNCTION("REGEXREPLACE(C3064,""-\d+(.*)|--\d+(.*)"","""")"),"RUFFIEU")</f>
        <v>RUFFIEU</v>
      </c>
      <c r="E3064" s="38" t="s">
        <v>255</v>
      </c>
      <c r="F3064" s="38" t="s">
        <v>102</v>
      </c>
      <c r="G3064" s="49" t="str">
        <f t="shared" si="1"/>
        <v>01260</v>
      </c>
      <c r="H3064" s="49" t="str">
        <f t="shared" si="2"/>
        <v>01330</v>
      </c>
    </row>
    <row r="3065">
      <c r="A3065" s="48" t="s">
        <v>5334</v>
      </c>
      <c r="B3065" s="38" t="s">
        <v>5335</v>
      </c>
      <c r="C3065" s="38" t="s">
        <v>5336</v>
      </c>
      <c r="D3065" s="38" t="str">
        <f>IFERROR(__xludf.DUMMYFUNCTION("REGEXREPLACE(C3065,""-\d+(.*)|--\d+(.*)"","""")"),"PIEDIGRIGGIO")</f>
        <v>PIEDIGRIGGIO</v>
      </c>
      <c r="E3065" s="38" t="s">
        <v>743</v>
      </c>
      <c r="F3065" s="38" t="s">
        <v>607</v>
      </c>
      <c r="G3065" s="49" t="str">
        <f t="shared" si="1"/>
        <v>20218</v>
      </c>
      <c r="H3065" s="49" t="str">
        <f t="shared" si="2"/>
        <v>2B220</v>
      </c>
    </row>
    <row r="3066">
      <c r="A3066" s="48" t="s">
        <v>2503</v>
      </c>
      <c r="B3066" s="38">
        <v>33100.0</v>
      </c>
      <c r="C3066" s="38" t="s">
        <v>5337</v>
      </c>
      <c r="D3066" s="38" t="str">
        <f>IFERROR(__xludf.DUMMYFUNCTION("REGEXREPLACE(C3066,""-\d+(.*)|--\d+(.*)"","""")"),"CARS")</f>
        <v>CARS</v>
      </c>
      <c r="E3066" s="38" t="s">
        <v>462</v>
      </c>
      <c r="F3066" s="38" t="s">
        <v>252</v>
      </c>
      <c r="G3066" s="49" t="str">
        <f t="shared" si="1"/>
        <v>33390</v>
      </c>
      <c r="H3066" s="49">
        <f t="shared" si="2"/>
        <v>33100</v>
      </c>
    </row>
    <row r="3067">
      <c r="A3067" s="48" t="s">
        <v>5338</v>
      </c>
      <c r="B3067" s="38">
        <v>63393.0</v>
      </c>
      <c r="C3067" s="38" t="s">
        <v>5339</v>
      </c>
      <c r="D3067" s="38" t="str">
        <f>IFERROR(__xludf.DUMMYFUNCTION("REGEXREPLACE(C3067,""-\d+(.*)|--\d+(.*)"","""")"),"SAINT-REMY-SUR-DUROLLE")</f>
        <v>SAINT-REMY-SUR-DUROLLE</v>
      </c>
      <c r="E3067" s="38" t="s">
        <v>353</v>
      </c>
      <c r="F3067" s="38" t="s">
        <v>161</v>
      </c>
      <c r="G3067" s="49" t="str">
        <f t="shared" si="1"/>
        <v>63550</v>
      </c>
      <c r="H3067" s="49">
        <f t="shared" si="2"/>
        <v>63393</v>
      </c>
    </row>
    <row r="3068">
      <c r="A3068" s="48" t="s">
        <v>1896</v>
      </c>
      <c r="B3068" s="38">
        <v>51112.0</v>
      </c>
      <c r="C3068" s="38" t="s">
        <v>5340</v>
      </c>
      <c r="D3068" s="38" t="str">
        <f>IFERROR(__xludf.DUMMYFUNCTION("REGEXREPLACE(C3068,""-\d+(.*)|--\d+(.*)"","""")"),"CHAMERY")</f>
        <v>CHAMERY</v>
      </c>
      <c r="E3068" s="38" t="s">
        <v>129</v>
      </c>
      <c r="F3068" s="38" t="s">
        <v>130</v>
      </c>
      <c r="G3068" s="49" t="str">
        <f t="shared" si="1"/>
        <v>51500</v>
      </c>
      <c r="H3068" s="49">
        <f t="shared" si="2"/>
        <v>51112</v>
      </c>
    </row>
    <row r="3069">
      <c r="A3069" s="48" t="s">
        <v>1066</v>
      </c>
      <c r="B3069" s="38">
        <v>49029.0</v>
      </c>
      <c r="C3069" s="38" t="s">
        <v>5341</v>
      </c>
      <c r="D3069" s="38" t="str">
        <f>IFERROR(__xludf.DUMMYFUNCTION("REGEXREPLACE(C3069,""-\d+(.*)|--\d+(.*)"","""")"),"BLAISON-GOHIER")</f>
        <v>BLAISON-GOHIER</v>
      </c>
      <c r="E3069" s="38" t="s">
        <v>653</v>
      </c>
      <c r="F3069" s="38" t="s">
        <v>180</v>
      </c>
      <c r="G3069" s="49" t="str">
        <f t="shared" si="1"/>
        <v>49320</v>
      </c>
      <c r="H3069" s="49">
        <f t="shared" si="2"/>
        <v>49029</v>
      </c>
    </row>
    <row r="3070">
      <c r="A3070" s="48" t="s">
        <v>997</v>
      </c>
      <c r="B3070" s="38">
        <v>55080.0</v>
      </c>
      <c r="C3070" s="38" t="s">
        <v>5342</v>
      </c>
      <c r="D3070" s="38" t="str">
        <f>IFERROR(__xludf.DUMMYFUNCTION("REGEXREPLACE(C3070,""-\d+(.*)|--\d+(.*)"","""")"),"BRIXEY-AUX-CHANOINES")</f>
        <v>BRIXEY-AUX-CHANOINES</v>
      </c>
      <c r="E3070" s="38" t="s">
        <v>322</v>
      </c>
      <c r="F3070" s="38" t="s">
        <v>195</v>
      </c>
      <c r="G3070" s="49" t="str">
        <f t="shared" si="1"/>
        <v>55140</v>
      </c>
      <c r="H3070" s="49">
        <f t="shared" si="2"/>
        <v>55080</v>
      </c>
    </row>
    <row r="3071">
      <c r="A3071" s="48" t="s">
        <v>2310</v>
      </c>
      <c r="B3071" s="38">
        <v>60032.0</v>
      </c>
      <c r="C3071" s="38" t="s">
        <v>5343</v>
      </c>
      <c r="D3071" s="38" t="str">
        <f>IFERROR(__xludf.DUMMYFUNCTION("REGEXREPLACE(C3071,""-\d+(.*)|--\d+(.*)"","""")"),"AUTRECHES")</f>
        <v>AUTRECHES</v>
      </c>
      <c r="E3071" s="38" t="s">
        <v>112</v>
      </c>
      <c r="F3071" s="38" t="s">
        <v>113</v>
      </c>
      <c r="G3071" s="49" t="str">
        <f t="shared" si="1"/>
        <v>60350</v>
      </c>
      <c r="H3071" s="49">
        <f t="shared" si="2"/>
        <v>60032</v>
      </c>
    </row>
    <row r="3072">
      <c r="A3072" s="48" t="s">
        <v>643</v>
      </c>
      <c r="B3072" s="38">
        <v>88406.0</v>
      </c>
      <c r="C3072" s="38" t="s">
        <v>5344</v>
      </c>
      <c r="D3072" s="38" t="str">
        <f>IFERROR(__xludf.DUMMYFUNCTION("REGEXREPLACE(C3072,""-\d+(.*)|--\d+(.*)"","""")"),"RUGNEY")</f>
        <v>RUGNEY</v>
      </c>
      <c r="E3072" s="38" t="s">
        <v>194</v>
      </c>
      <c r="F3072" s="38" t="s">
        <v>195</v>
      </c>
      <c r="G3072" s="49" t="str">
        <f t="shared" si="1"/>
        <v>88130</v>
      </c>
      <c r="H3072" s="49">
        <f t="shared" si="2"/>
        <v>88406</v>
      </c>
    </row>
    <row r="3073">
      <c r="A3073" s="48" t="s">
        <v>5345</v>
      </c>
      <c r="B3073" s="38">
        <v>29039.0</v>
      </c>
      <c r="C3073" s="38" t="s">
        <v>5346</v>
      </c>
      <c r="D3073" s="38" t="str">
        <f>IFERROR(__xludf.DUMMYFUNCTION("REGEXREPLACE(C3073,""-\d+(.*)|--\d+(.*)"","""")"),"CONCARNEAU")</f>
        <v>CONCARNEAU</v>
      </c>
      <c r="E3073" s="38" t="s">
        <v>176</v>
      </c>
      <c r="F3073" s="38" t="s">
        <v>90</v>
      </c>
      <c r="G3073" s="49" t="str">
        <f t="shared" si="1"/>
        <v>29900</v>
      </c>
      <c r="H3073" s="49">
        <f t="shared" si="2"/>
        <v>29039</v>
      </c>
    </row>
    <row r="3074">
      <c r="A3074" s="48" t="s">
        <v>5347</v>
      </c>
      <c r="B3074" s="38">
        <v>90026.0</v>
      </c>
      <c r="C3074" s="38" t="s">
        <v>5348</v>
      </c>
      <c r="D3074" s="38" t="str">
        <f>IFERROR(__xludf.DUMMYFUNCTION("REGEXREPLACE(C3074,""-\d+(.*)|--\d+(.*)"","""")"),"CHEVREMONT")</f>
        <v>CHEVREMONT</v>
      </c>
      <c r="E3074" s="38" t="s">
        <v>1283</v>
      </c>
      <c r="F3074" s="38" t="s">
        <v>214</v>
      </c>
      <c r="G3074" s="49" t="str">
        <f t="shared" si="1"/>
        <v>90340</v>
      </c>
      <c r="H3074" s="49">
        <f t="shared" si="2"/>
        <v>90026</v>
      </c>
    </row>
    <row r="3075">
      <c r="A3075" s="48" t="s">
        <v>5205</v>
      </c>
      <c r="B3075" s="38">
        <v>59307.0</v>
      </c>
      <c r="C3075" s="38" t="s">
        <v>5349</v>
      </c>
      <c r="D3075" s="38" t="str">
        <f>IFERROR(__xludf.DUMMYFUNCTION("REGEXREPLACE(C3075,""-\d+(.*)|--\d+(.*)"","""")"),"HOLQUE")</f>
        <v>HOLQUE</v>
      </c>
      <c r="E3075" s="38" t="s">
        <v>85</v>
      </c>
      <c r="F3075" s="38" t="s">
        <v>86</v>
      </c>
      <c r="G3075" s="49" t="str">
        <f t="shared" si="1"/>
        <v>59143</v>
      </c>
      <c r="H3075" s="49">
        <f t="shared" si="2"/>
        <v>59307</v>
      </c>
    </row>
    <row r="3076">
      <c r="A3076" s="48" t="s">
        <v>5350</v>
      </c>
      <c r="B3076" s="38">
        <v>77495.0</v>
      </c>
      <c r="C3076" s="38" t="s">
        <v>5351</v>
      </c>
      <c r="D3076" s="38" t="str">
        <f>IFERROR(__xludf.DUMMYFUNCTION("REGEXREPLACE(C3076,""-\d+(.*)|--\d+(.*)"","""")"),"VERT-SAINT-DENIS")</f>
        <v>VERT-SAINT-DENIS</v>
      </c>
      <c r="E3076" s="38" t="s">
        <v>244</v>
      </c>
      <c r="F3076" s="38" t="s">
        <v>245</v>
      </c>
      <c r="G3076" s="49" t="str">
        <f t="shared" si="1"/>
        <v>77240</v>
      </c>
      <c r="H3076" s="49">
        <f t="shared" si="2"/>
        <v>77495</v>
      </c>
    </row>
    <row r="3077">
      <c r="A3077" s="48" t="s">
        <v>5352</v>
      </c>
      <c r="B3077" s="38">
        <v>40088.0</v>
      </c>
      <c r="C3077" s="38" t="s">
        <v>5353</v>
      </c>
      <c r="D3077" s="38" t="str">
        <f>IFERROR(__xludf.DUMMYFUNCTION("REGEXREPLACE(C3077,""-\d+(.*)|--\d+(.*)"","""")"),"DAX")</f>
        <v>DAX</v>
      </c>
      <c r="E3077" s="38" t="s">
        <v>281</v>
      </c>
      <c r="F3077" s="38" t="s">
        <v>252</v>
      </c>
      <c r="G3077" s="49" t="str">
        <f t="shared" si="1"/>
        <v>40100</v>
      </c>
      <c r="H3077" s="49">
        <f t="shared" si="2"/>
        <v>40088</v>
      </c>
    </row>
    <row r="3078">
      <c r="A3078" s="48" t="s">
        <v>924</v>
      </c>
      <c r="B3078" s="38">
        <v>40066.0</v>
      </c>
      <c r="C3078" s="38" t="s">
        <v>5354</v>
      </c>
      <c r="D3078" s="38" t="str">
        <f>IFERROR(__xludf.DUMMYFUNCTION("REGEXREPLACE(C3078,""-\d+(.*)|--\d+(.*)"","""")"),"CARCARES-SAINTE-CROIX")</f>
        <v>CARCARES-SAINTE-CROIX</v>
      </c>
      <c r="E3078" s="38" t="s">
        <v>281</v>
      </c>
      <c r="F3078" s="38" t="s">
        <v>252</v>
      </c>
      <c r="G3078" s="49" t="str">
        <f t="shared" si="1"/>
        <v>40400</v>
      </c>
      <c r="H3078" s="49">
        <f t="shared" si="2"/>
        <v>40066</v>
      </c>
    </row>
    <row r="3079">
      <c r="A3079" s="48" t="s">
        <v>1216</v>
      </c>
      <c r="B3079" s="38">
        <v>21461.0</v>
      </c>
      <c r="C3079" s="38" t="s">
        <v>5355</v>
      </c>
      <c r="D3079" s="38" t="str">
        <f>IFERROR(__xludf.DUMMYFUNCTION("REGEXREPLACE(C3079,""-\d+(.*)|--\d+(.*)"","""")"),"NOLAY")</f>
        <v>NOLAY</v>
      </c>
      <c r="E3079" s="38" t="s">
        <v>105</v>
      </c>
      <c r="F3079" s="38" t="s">
        <v>106</v>
      </c>
      <c r="G3079" s="49" t="str">
        <f t="shared" si="1"/>
        <v>21340</v>
      </c>
      <c r="H3079" s="49">
        <f t="shared" si="2"/>
        <v>21461</v>
      </c>
    </row>
    <row r="3080">
      <c r="A3080" s="48" t="s">
        <v>454</v>
      </c>
      <c r="B3080" s="38">
        <v>71207.0</v>
      </c>
      <c r="C3080" s="38" t="s">
        <v>5356</v>
      </c>
      <c r="D3080" s="38" t="str">
        <f>IFERROR(__xludf.DUMMYFUNCTION("REGEXREPLACE(C3080,""-\d+(.*)|--\d+(.*)"","""")"),"FRETTERANS")</f>
        <v>FRETTERANS</v>
      </c>
      <c r="E3080" s="38" t="s">
        <v>344</v>
      </c>
      <c r="F3080" s="38" t="s">
        <v>106</v>
      </c>
      <c r="G3080" s="49" t="str">
        <f t="shared" si="1"/>
        <v>71270</v>
      </c>
      <c r="H3080" s="49">
        <f t="shared" si="2"/>
        <v>71207</v>
      </c>
    </row>
    <row r="3081">
      <c r="A3081" s="48" t="s">
        <v>5357</v>
      </c>
      <c r="B3081" s="38">
        <v>19020.0</v>
      </c>
      <c r="C3081" s="38" t="s">
        <v>2319</v>
      </c>
      <c r="D3081" s="38" t="str">
        <f>IFERROR(__xludf.DUMMYFUNCTION("REGEXREPLACE(C3081,""-\d+(.*)|--\d+(.*)"","""")"),"BEAUMONT")</f>
        <v>BEAUMONT</v>
      </c>
      <c r="E3081" s="38" t="s">
        <v>271</v>
      </c>
      <c r="F3081" s="38" t="s">
        <v>98</v>
      </c>
      <c r="G3081" s="49" t="str">
        <f t="shared" si="1"/>
        <v>19390</v>
      </c>
      <c r="H3081" s="49">
        <f t="shared" si="2"/>
        <v>19020</v>
      </c>
    </row>
    <row r="3082">
      <c r="A3082" s="48" t="s">
        <v>5358</v>
      </c>
      <c r="B3082" s="38">
        <v>23059.0</v>
      </c>
      <c r="C3082" s="38" t="s">
        <v>5359</v>
      </c>
      <c r="D3082" s="38" t="str">
        <f>IFERROR(__xludf.DUMMYFUNCTION("REGEXREPLACE(C3082,""-\d+(.*)|--\d+(.*)"","""")"),"LA CHAUSSADE")</f>
        <v>LA CHAUSSADE</v>
      </c>
      <c r="E3082" s="38" t="s">
        <v>97</v>
      </c>
      <c r="F3082" s="38" t="s">
        <v>98</v>
      </c>
      <c r="G3082" s="49" t="str">
        <f t="shared" si="1"/>
        <v>23200</v>
      </c>
      <c r="H3082" s="49">
        <f t="shared" si="2"/>
        <v>23059</v>
      </c>
    </row>
    <row r="3083">
      <c r="A3083" s="48" t="s">
        <v>5259</v>
      </c>
      <c r="B3083" s="38">
        <v>97604.0</v>
      </c>
      <c r="C3083" s="38" t="s">
        <v>5360</v>
      </c>
      <c r="D3083" s="38" t="str">
        <f>IFERROR(__xludf.DUMMYFUNCTION("REGEXREPLACE(C3083,""-\d+(.*)|--\d+(.*)"","""")"),"BOUENI")</f>
        <v>BOUENI</v>
      </c>
      <c r="E3083" s="38" t="s">
        <v>2865</v>
      </c>
      <c r="F3083" s="38" t="s">
        <v>2865</v>
      </c>
      <c r="G3083" s="49" t="str">
        <f t="shared" si="1"/>
        <v>97620</v>
      </c>
      <c r="H3083" s="49">
        <f t="shared" si="2"/>
        <v>97604</v>
      </c>
    </row>
    <row r="3084">
      <c r="A3084" s="48" t="s">
        <v>4768</v>
      </c>
      <c r="B3084" s="38">
        <v>6034.0</v>
      </c>
      <c r="C3084" s="38" t="s">
        <v>5361</v>
      </c>
      <c r="D3084" s="38" t="str">
        <f>IFERROR(__xludf.DUMMYFUNCTION("REGEXREPLACE(C3084,""-\d+(.*)|--\d+(.*)"","""")"),"CASTAGNIERS")</f>
        <v>CASTAGNIERS</v>
      </c>
      <c r="E3084" s="38" t="s">
        <v>227</v>
      </c>
      <c r="F3084" s="38" t="s">
        <v>228</v>
      </c>
      <c r="G3084" s="49" t="str">
        <f t="shared" si="1"/>
        <v>06670</v>
      </c>
      <c r="H3084" s="49" t="str">
        <f t="shared" si="2"/>
        <v>06034</v>
      </c>
    </row>
    <row r="3085">
      <c r="A3085" s="48" t="s">
        <v>5362</v>
      </c>
      <c r="B3085" s="38">
        <v>81096.0</v>
      </c>
      <c r="C3085" s="38" t="s">
        <v>5363</v>
      </c>
      <c r="D3085" s="38" t="str">
        <f>IFERROR(__xludf.DUMMYFUNCTION("REGEXREPLACE(C3085,""-\d+(.*)|--\d+(.*)"","""")"),"LE FRAYSSE")</f>
        <v>LE FRAYSSE</v>
      </c>
      <c r="E3085" s="38" t="s">
        <v>231</v>
      </c>
      <c r="F3085" s="38" t="s">
        <v>94</v>
      </c>
      <c r="G3085" s="49" t="str">
        <f t="shared" si="1"/>
        <v>81430</v>
      </c>
      <c r="H3085" s="49">
        <f t="shared" si="2"/>
        <v>81096</v>
      </c>
    </row>
    <row r="3086">
      <c r="A3086" s="48" t="s">
        <v>5364</v>
      </c>
      <c r="B3086" s="38">
        <v>35204.0</v>
      </c>
      <c r="C3086" s="38" t="s">
        <v>5365</v>
      </c>
      <c r="D3086" s="38" t="str">
        <f>IFERROR(__xludf.DUMMYFUNCTION("REGEXREPLACE(C3086,""-\d+(.*)|--\d+(.*)"","""")"),"NOUVOITOU")</f>
        <v>NOUVOITOU</v>
      </c>
      <c r="E3086" s="38" t="s">
        <v>347</v>
      </c>
      <c r="F3086" s="38" t="s">
        <v>90</v>
      </c>
      <c r="G3086" s="49" t="str">
        <f t="shared" si="1"/>
        <v>35410</v>
      </c>
      <c r="H3086" s="49">
        <f t="shared" si="2"/>
        <v>35204</v>
      </c>
    </row>
    <row r="3087">
      <c r="A3087" s="48" t="s">
        <v>3655</v>
      </c>
      <c r="B3087" s="38">
        <v>51568.0</v>
      </c>
      <c r="C3087" s="38" t="s">
        <v>5366</v>
      </c>
      <c r="D3087" s="38" t="str">
        <f>IFERROR(__xludf.DUMMYFUNCTION("REGEXREPLACE(C3087,""-\d+(.*)|--\d+(.*)"","""")"),"THIL")</f>
        <v>THIL</v>
      </c>
      <c r="E3087" s="38" t="s">
        <v>129</v>
      </c>
      <c r="F3087" s="38" t="s">
        <v>130</v>
      </c>
      <c r="G3087" s="49" t="str">
        <f t="shared" si="1"/>
        <v>51220</v>
      </c>
      <c r="H3087" s="49">
        <f t="shared" si="2"/>
        <v>51568</v>
      </c>
    </row>
    <row r="3088">
      <c r="A3088" s="48" t="s">
        <v>1636</v>
      </c>
      <c r="B3088" s="38">
        <v>14227.0</v>
      </c>
      <c r="C3088" s="38" t="s">
        <v>5367</v>
      </c>
      <c r="D3088" s="38" t="str">
        <f>IFERROR(__xludf.DUMMYFUNCTION("REGEXREPLACE(C3088,""-\d+(.*)|--\d+(.*)"","""")"),"DOUVILLE-EN-AUGE")</f>
        <v>DOUVILLE-EN-AUGE</v>
      </c>
      <c r="E3088" s="38" t="s">
        <v>137</v>
      </c>
      <c r="F3088" s="38" t="s">
        <v>138</v>
      </c>
      <c r="G3088" s="49" t="str">
        <f t="shared" si="1"/>
        <v>14430</v>
      </c>
      <c r="H3088" s="49">
        <f t="shared" si="2"/>
        <v>14227</v>
      </c>
    </row>
    <row r="3089">
      <c r="A3089" s="48" t="s">
        <v>333</v>
      </c>
      <c r="B3089" s="38">
        <v>43106.0</v>
      </c>
      <c r="C3089" s="38" t="s">
        <v>5368</v>
      </c>
      <c r="D3089" s="38" t="str">
        <f>IFERROR(__xludf.DUMMYFUNCTION("REGEXREPLACE(C3089,""-\d+(.*)|--\d+(.*)"","""")"),"JAX")</f>
        <v>JAX</v>
      </c>
      <c r="E3089" s="38" t="s">
        <v>332</v>
      </c>
      <c r="F3089" s="38" t="s">
        <v>161</v>
      </c>
      <c r="G3089" s="49" t="str">
        <f t="shared" si="1"/>
        <v>43230</v>
      </c>
      <c r="H3089" s="49">
        <f t="shared" si="2"/>
        <v>43106</v>
      </c>
    </row>
    <row r="3090">
      <c r="A3090" s="48" t="s">
        <v>1124</v>
      </c>
      <c r="B3090" s="38">
        <v>61174.0</v>
      </c>
      <c r="C3090" s="38" t="s">
        <v>5369</v>
      </c>
      <c r="D3090" s="38" t="str">
        <f>IFERROR(__xludf.DUMMYFUNCTION("REGEXREPLACE(C3090,""-\d+(.*)|--\d+(.*)"","""")"),"LA FORET-AUVRAY")</f>
        <v>LA FORET-AUVRAY</v>
      </c>
      <c r="E3090" s="38" t="s">
        <v>141</v>
      </c>
      <c r="F3090" s="38" t="s">
        <v>138</v>
      </c>
      <c r="G3090" s="49" t="str">
        <f t="shared" si="1"/>
        <v>61210</v>
      </c>
      <c r="H3090" s="49">
        <f t="shared" si="2"/>
        <v>61174</v>
      </c>
    </row>
    <row r="3091">
      <c r="A3091" s="48" t="s">
        <v>5370</v>
      </c>
      <c r="B3091" s="38">
        <v>15054.0</v>
      </c>
      <c r="C3091" s="38" t="s">
        <v>5371</v>
      </c>
      <c r="D3091" s="38" t="str">
        <f>IFERROR(__xludf.DUMMYFUNCTION("REGEXREPLACE(C3091,""-\d+(.*)|--\d+(.*)"","""")"),"CONDAT")</f>
        <v>CONDAT</v>
      </c>
      <c r="E3091" s="38" t="s">
        <v>632</v>
      </c>
      <c r="F3091" s="38" t="s">
        <v>161</v>
      </c>
      <c r="G3091" s="49" t="str">
        <f t="shared" si="1"/>
        <v>15190</v>
      </c>
      <c r="H3091" s="49">
        <f t="shared" si="2"/>
        <v>15054</v>
      </c>
    </row>
    <row r="3092">
      <c r="A3092" s="48" t="s">
        <v>5372</v>
      </c>
      <c r="B3092" s="38">
        <v>73045.0</v>
      </c>
      <c r="C3092" s="38" t="s">
        <v>5373</v>
      </c>
      <c r="D3092" s="38" t="str">
        <f>IFERROR(__xludf.DUMMYFUNCTION("REGEXREPLACE(C3092,""-\d+(.*)|--\d+(.*)"","""")"),"LE BOIS")</f>
        <v>LE BOIS</v>
      </c>
      <c r="E3092" s="38" t="s">
        <v>306</v>
      </c>
      <c r="F3092" s="38" t="s">
        <v>102</v>
      </c>
      <c r="G3092" s="49" t="str">
        <f t="shared" si="1"/>
        <v>73260</v>
      </c>
      <c r="H3092" s="49">
        <f t="shared" si="2"/>
        <v>73045</v>
      </c>
    </row>
    <row r="3093">
      <c r="A3093" s="48" t="s">
        <v>832</v>
      </c>
      <c r="B3093" s="38">
        <v>12081.0</v>
      </c>
      <c r="C3093" s="38" t="s">
        <v>5374</v>
      </c>
      <c r="D3093" s="38" t="str">
        <f>IFERROR(__xludf.DUMMYFUNCTION("REGEXREPLACE(C3093,""-\d+(.*)|--\d+(.*)"","""")"),"COUSSERGUES")</f>
        <v>COUSSERGUES</v>
      </c>
      <c r="E3093" s="38" t="s">
        <v>465</v>
      </c>
      <c r="F3093" s="38" t="s">
        <v>94</v>
      </c>
      <c r="G3093" s="49" t="str">
        <f t="shared" si="1"/>
        <v>12310</v>
      </c>
      <c r="H3093" s="49">
        <f t="shared" si="2"/>
        <v>12081</v>
      </c>
    </row>
    <row r="3094">
      <c r="A3094" s="48" t="s">
        <v>4526</v>
      </c>
      <c r="B3094" s="38">
        <v>23129.0</v>
      </c>
      <c r="C3094" s="38" t="s">
        <v>5375</v>
      </c>
      <c r="D3094" s="38" t="str">
        <f>IFERROR(__xludf.DUMMYFUNCTION("REGEXREPLACE(C3094,""-\d+(.*)|--\d+(.*)"","""")"),"LA MAZIERE-AUX-BONS-HOMMES")</f>
        <v>LA MAZIERE-AUX-BONS-HOMMES</v>
      </c>
      <c r="E3094" s="38" t="s">
        <v>97</v>
      </c>
      <c r="F3094" s="38" t="s">
        <v>98</v>
      </c>
      <c r="G3094" s="49" t="str">
        <f t="shared" si="1"/>
        <v>23260</v>
      </c>
      <c r="H3094" s="49">
        <f t="shared" si="2"/>
        <v>23129</v>
      </c>
    </row>
    <row r="3095">
      <c r="A3095" s="48" t="s">
        <v>5376</v>
      </c>
      <c r="B3095" s="38">
        <v>83144.0</v>
      </c>
      <c r="C3095" s="38" t="s">
        <v>5377</v>
      </c>
      <c r="D3095" s="38" t="str">
        <f>IFERROR(__xludf.DUMMYFUNCTION("REGEXREPLACE(C3095,""-\d+(.*)|--\d+(.*)"","""")"),"LA VALETTE-DU-VAR")</f>
        <v>LA VALETTE-DU-VAR</v>
      </c>
      <c r="E3095" s="38" t="s">
        <v>813</v>
      </c>
      <c r="F3095" s="38" t="s">
        <v>228</v>
      </c>
      <c r="G3095" s="49" t="str">
        <f t="shared" si="1"/>
        <v>83160</v>
      </c>
      <c r="H3095" s="49">
        <f t="shared" si="2"/>
        <v>83144</v>
      </c>
    </row>
    <row r="3096">
      <c r="A3096" s="48" t="s">
        <v>1864</v>
      </c>
      <c r="B3096" s="38">
        <v>70364.0</v>
      </c>
      <c r="C3096" s="38" t="s">
        <v>5378</v>
      </c>
      <c r="D3096" s="38" t="str">
        <f>IFERROR(__xludf.DUMMYFUNCTION("REGEXREPLACE(C3096,""-\d+(.*)|--\d+(.*)"","""")"),"MONTJUSTIN-ET-VELOTTE")</f>
        <v>MONTJUSTIN-ET-VELOTTE</v>
      </c>
      <c r="E3096" s="38" t="s">
        <v>956</v>
      </c>
      <c r="F3096" s="38" t="s">
        <v>214</v>
      </c>
      <c r="G3096" s="49" t="str">
        <f t="shared" si="1"/>
        <v>70110</v>
      </c>
      <c r="H3096" s="49">
        <f t="shared" si="2"/>
        <v>70364</v>
      </c>
    </row>
    <row r="3097">
      <c r="A3097" s="48" t="s">
        <v>2338</v>
      </c>
      <c r="B3097" s="38">
        <v>8161.0</v>
      </c>
      <c r="C3097" s="38" t="s">
        <v>5379</v>
      </c>
      <c r="D3097" s="38" t="str">
        <f>IFERROR(__xludf.DUMMYFUNCTION("REGEXREPLACE(C3097,""-\d+(.*)|--\d+(.*)"","""")"),"EXERMONT")</f>
        <v>EXERMONT</v>
      </c>
      <c r="E3097" s="38" t="s">
        <v>327</v>
      </c>
      <c r="F3097" s="38" t="s">
        <v>130</v>
      </c>
      <c r="G3097" s="49" t="str">
        <f t="shared" si="1"/>
        <v>08250</v>
      </c>
      <c r="H3097" s="49" t="str">
        <f t="shared" si="2"/>
        <v>08161</v>
      </c>
    </row>
    <row r="3098">
      <c r="A3098" s="48" t="s">
        <v>2817</v>
      </c>
      <c r="B3098" s="38">
        <v>64137.0</v>
      </c>
      <c r="C3098" s="38" t="s">
        <v>5380</v>
      </c>
      <c r="D3098" s="38" t="str">
        <f>IFERROR(__xludf.DUMMYFUNCTION("REGEXREPLACE(C3098,""-\d+(.*)|--\d+(.*)"","""")"),"BORDERES")</f>
        <v>BORDERES</v>
      </c>
      <c r="E3098" s="38" t="s">
        <v>268</v>
      </c>
      <c r="F3098" s="38" t="s">
        <v>252</v>
      </c>
      <c r="G3098" s="49" t="str">
        <f t="shared" si="1"/>
        <v>64800</v>
      </c>
      <c r="H3098" s="49">
        <f t="shared" si="2"/>
        <v>64137</v>
      </c>
    </row>
    <row r="3099">
      <c r="A3099" s="48" t="s">
        <v>5381</v>
      </c>
      <c r="B3099" s="38">
        <v>38180.0</v>
      </c>
      <c r="C3099" s="38" t="s">
        <v>5382</v>
      </c>
      <c r="D3099" s="38" t="str">
        <f>IFERROR(__xludf.DUMMYFUNCTION("REGEXREPLACE(C3099,""-\d+(.*)|--\d+(.*)"","""")"),"GILLONNAY")</f>
        <v>GILLONNAY</v>
      </c>
      <c r="E3099" s="38" t="s">
        <v>101</v>
      </c>
      <c r="F3099" s="38" t="s">
        <v>102</v>
      </c>
      <c r="G3099" s="49" t="str">
        <f t="shared" si="1"/>
        <v>38260</v>
      </c>
      <c r="H3099" s="49">
        <f t="shared" si="2"/>
        <v>38180</v>
      </c>
    </row>
    <row r="3100">
      <c r="A3100" s="48" t="s">
        <v>5383</v>
      </c>
      <c r="B3100" s="38">
        <v>44124.0</v>
      </c>
      <c r="C3100" s="38" t="s">
        <v>820</v>
      </c>
      <c r="D3100" s="38" t="str">
        <f>IFERROR(__xludf.DUMMYFUNCTION("REGEXREPLACE(C3100,""-\d+(.*)|--\d+(.*)"","""")"),"LE PIN")</f>
        <v>LE PIN</v>
      </c>
      <c r="E3100" s="38" t="s">
        <v>759</v>
      </c>
      <c r="F3100" s="38" t="s">
        <v>180</v>
      </c>
      <c r="G3100" s="49" t="str">
        <f t="shared" si="1"/>
        <v>44540</v>
      </c>
      <c r="H3100" s="49">
        <f t="shared" si="2"/>
        <v>44124</v>
      </c>
    </row>
    <row r="3101">
      <c r="A3101" s="48" t="s">
        <v>2116</v>
      </c>
      <c r="B3101" s="38">
        <v>26229.0</v>
      </c>
      <c r="C3101" s="38" t="s">
        <v>5384</v>
      </c>
      <c r="D3101" s="38" t="str">
        <f>IFERROR(__xludf.DUMMYFUNCTION("REGEXREPLACE(C3101,""-\d+(.*)|--\d+(.*)"","""")"),"LA PENNE-SUR-L'OUVEZE")</f>
        <v>LA PENNE-SUR-L'OUVEZE</v>
      </c>
      <c r="E3101" s="38" t="s">
        <v>126</v>
      </c>
      <c r="F3101" s="38" t="s">
        <v>102</v>
      </c>
      <c r="G3101" s="49" t="str">
        <f t="shared" si="1"/>
        <v>26170</v>
      </c>
      <c r="H3101" s="49">
        <f t="shared" si="2"/>
        <v>26229</v>
      </c>
    </row>
    <row r="3102">
      <c r="A3102" s="48" t="s">
        <v>1940</v>
      </c>
      <c r="B3102" s="38">
        <v>51165.0</v>
      </c>
      <c r="C3102" s="38" t="s">
        <v>5385</v>
      </c>
      <c r="D3102" s="38" t="str">
        <f>IFERROR(__xludf.DUMMYFUNCTION("REGEXREPLACE(C3102,""-\d+(.*)|--\d+(.*)"","""")"),"CONNANTRE")</f>
        <v>CONNANTRE</v>
      </c>
      <c r="E3102" s="38" t="s">
        <v>129</v>
      </c>
      <c r="F3102" s="38" t="s">
        <v>130</v>
      </c>
      <c r="G3102" s="49" t="str">
        <f t="shared" si="1"/>
        <v>51230</v>
      </c>
      <c r="H3102" s="49">
        <f t="shared" si="2"/>
        <v>51165</v>
      </c>
    </row>
    <row r="3103">
      <c r="A3103" s="48" t="s">
        <v>5386</v>
      </c>
      <c r="B3103" s="38">
        <v>42029.0</v>
      </c>
      <c r="C3103" s="38" t="s">
        <v>5387</v>
      </c>
      <c r="D3103" s="38" t="str">
        <f>IFERROR(__xludf.DUMMYFUNCTION("REGEXREPLACE(C3103,""-\d+(.*)|--\d+(.*)"","""")"),"BUSSIERES")</f>
        <v>BUSSIERES</v>
      </c>
      <c r="E3103" s="38" t="s">
        <v>166</v>
      </c>
      <c r="F3103" s="38" t="s">
        <v>102</v>
      </c>
      <c r="G3103" s="49" t="str">
        <f t="shared" si="1"/>
        <v>42510</v>
      </c>
      <c r="H3103" s="49">
        <f t="shared" si="2"/>
        <v>42029</v>
      </c>
    </row>
    <row r="3104">
      <c r="A3104" s="48" t="s">
        <v>5388</v>
      </c>
      <c r="B3104" s="38">
        <v>84078.0</v>
      </c>
      <c r="C3104" s="38" t="s">
        <v>5389</v>
      </c>
      <c r="D3104" s="38" t="str">
        <f>IFERROR(__xludf.DUMMYFUNCTION("REGEXREPLACE(C3104,""-\d+(.*)|--\d+(.*)"","""")"),"MONDRAGON")</f>
        <v>MONDRAGON</v>
      </c>
      <c r="E3104" s="38" t="s">
        <v>1026</v>
      </c>
      <c r="F3104" s="38" t="s">
        <v>228</v>
      </c>
      <c r="G3104" s="49" t="str">
        <f t="shared" si="1"/>
        <v>84430</v>
      </c>
      <c r="H3104" s="49">
        <f t="shared" si="2"/>
        <v>84078</v>
      </c>
    </row>
    <row r="3105">
      <c r="A3105" s="48" t="s">
        <v>5390</v>
      </c>
      <c r="B3105" s="38">
        <v>27487.0</v>
      </c>
      <c r="C3105" s="38" t="s">
        <v>5391</v>
      </c>
      <c r="D3105" s="38" t="str">
        <f>IFERROR(__xludf.DUMMYFUNCTION("REGEXREPLACE(C3105,""-\d+(.*)|--\d+(.*)"","""")"),"RADEPONT")</f>
        <v>RADEPONT</v>
      </c>
      <c r="E3105" s="38" t="s">
        <v>241</v>
      </c>
      <c r="F3105" s="38" t="s">
        <v>134</v>
      </c>
      <c r="G3105" s="49" t="str">
        <f t="shared" si="1"/>
        <v>27380</v>
      </c>
      <c r="H3105" s="49">
        <f t="shared" si="2"/>
        <v>27487</v>
      </c>
    </row>
    <row r="3106">
      <c r="A3106" s="48" t="s">
        <v>3711</v>
      </c>
      <c r="B3106" s="38">
        <v>21025.0</v>
      </c>
      <c r="C3106" s="38" t="s">
        <v>5392</v>
      </c>
      <c r="D3106" s="38" t="str">
        <f>IFERROR(__xludf.DUMMYFUNCTION("REGEXREPLACE(C3106,""-\d+(.*)|--\d+(.*)"","""")"),"ARRANS")</f>
        <v>ARRANS</v>
      </c>
      <c r="E3106" s="38" t="s">
        <v>105</v>
      </c>
      <c r="F3106" s="38" t="s">
        <v>106</v>
      </c>
      <c r="G3106" s="49" t="str">
        <f t="shared" si="1"/>
        <v>21500</v>
      </c>
      <c r="H3106" s="49">
        <f t="shared" si="2"/>
        <v>21025</v>
      </c>
    </row>
    <row r="3107">
      <c r="A3107" s="48" t="s">
        <v>5393</v>
      </c>
      <c r="B3107" s="38">
        <v>56097.0</v>
      </c>
      <c r="C3107" s="38" t="s">
        <v>5394</v>
      </c>
      <c r="D3107" s="38" t="str">
        <f>IFERROR(__xludf.DUMMYFUNCTION("REGEXREPLACE(C3107,""-\d+(.*)|--\d+(.*)"","""")"),"LANDEVANT")</f>
        <v>LANDEVANT</v>
      </c>
      <c r="E3107" s="38" t="s">
        <v>173</v>
      </c>
      <c r="F3107" s="38" t="s">
        <v>90</v>
      </c>
      <c r="G3107" s="49" t="str">
        <f t="shared" si="1"/>
        <v>56690</v>
      </c>
      <c r="H3107" s="49">
        <f t="shared" si="2"/>
        <v>56097</v>
      </c>
    </row>
    <row r="3108">
      <c r="A3108" s="48" t="s">
        <v>5395</v>
      </c>
      <c r="B3108" s="38">
        <v>23224.0</v>
      </c>
      <c r="C3108" s="38" t="s">
        <v>5396</v>
      </c>
      <c r="D3108" s="38" t="str">
        <f>IFERROR(__xludf.DUMMYFUNCTION("REGEXREPLACE(C3108,""-\d+(.*)|--\d+(.*)"","""")"),"SAINT-ORADOUX-DE-CHIROUZE")</f>
        <v>SAINT-ORADOUX-DE-CHIROUZE</v>
      </c>
      <c r="E3108" s="38" t="s">
        <v>97</v>
      </c>
      <c r="F3108" s="38" t="s">
        <v>98</v>
      </c>
      <c r="G3108" s="49" t="str">
        <f t="shared" si="1"/>
        <v>23100</v>
      </c>
      <c r="H3108" s="49">
        <f t="shared" si="2"/>
        <v>23224</v>
      </c>
    </row>
    <row r="3109">
      <c r="A3109" s="48" t="s">
        <v>2451</v>
      </c>
      <c r="B3109" s="38">
        <v>31071.0</v>
      </c>
      <c r="C3109" s="38" t="s">
        <v>5397</v>
      </c>
      <c r="D3109" s="38" t="str">
        <f>IFERROR(__xludf.DUMMYFUNCTION("REGEXREPLACE(C3109,""-\d+(.*)|--\d+(.*)"","""")"),"BOIS-DE-LA-PIERRE")</f>
        <v>BOIS-DE-LA-PIERRE</v>
      </c>
      <c r="E3109" s="38" t="s">
        <v>93</v>
      </c>
      <c r="F3109" s="38" t="s">
        <v>94</v>
      </c>
      <c r="G3109" s="49" t="str">
        <f t="shared" si="1"/>
        <v>31390</v>
      </c>
      <c r="H3109" s="49">
        <f t="shared" si="2"/>
        <v>31071</v>
      </c>
    </row>
    <row r="3110">
      <c r="A3110" s="48" t="s">
        <v>5398</v>
      </c>
      <c r="B3110" s="38">
        <v>64293.0</v>
      </c>
      <c r="C3110" s="38" t="s">
        <v>5399</v>
      </c>
      <c r="D3110" s="38" t="str">
        <f>IFERROR(__xludf.DUMMYFUNCTION("REGEXREPLACE(C3110,""-\d+(.*)|--\d+(.*)"","""")"),"LABATUT")</f>
        <v>LABATUT</v>
      </c>
      <c r="E3110" s="38" t="s">
        <v>268</v>
      </c>
      <c r="F3110" s="38" t="s">
        <v>252</v>
      </c>
      <c r="G3110" s="49" t="str">
        <f t="shared" si="1"/>
        <v>64460</v>
      </c>
      <c r="H3110" s="49">
        <f t="shared" si="2"/>
        <v>64293</v>
      </c>
    </row>
    <row r="3111">
      <c r="A3111" s="48" t="s">
        <v>5400</v>
      </c>
      <c r="B3111" s="38">
        <v>72260.0</v>
      </c>
      <c r="C3111" s="38" t="s">
        <v>5401</v>
      </c>
      <c r="D3111" s="38" t="str">
        <f>IFERROR(__xludf.DUMMYFUNCTION("REGEXREPLACE(C3111,""-\d+(.*)|--\d+(.*)"","""")"),"RUAUDIN")</f>
        <v>RUAUDIN</v>
      </c>
      <c r="E3111" s="38" t="s">
        <v>521</v>
      </c>
      <c r="F3111" s="38" t="s">
        <v>180</v>
      </c>
      <c r="G3111" s="49" t="str">
        <f t="shared" si="1"/>
        <v>72230</v>
      </c>
      <c r="H3111" s="49">
        <f t="shared" si="2"/>
        <v>72260</v>
      </c>
    </row>
    <row r="3112">
      <c r="A3112" s="48" t="s">
        <v>183</v>
      </c>
      <c r="B3112" s="38">
        <v>46259.0</v>
      </c>
      <c r="C3112" s="38" t="s">
        <v>5402</v>
      </c>
      <c r="D3112" s="38" t="str">
        <f>IFERROR(__xludf.DUMMYFUNCTION("REGEXREPLACE(C3112,""-\d+(.*)|--\d+(.*)"","""")"),"SAINT-CLAIR")</f>
        <v>SAINT-CLAIR</v>
      </c>
      <c r="E3112" s="38" t="s">
        <v>185</v>
      </c>
      <c r="F3112" s="38" t="s">
        <v>94</v>
      </c>
      <c r="G3112" s="49" t="str">
        <f t="shared" si="1"/>
        <v>46300</v>
      </c>
      <c r="H3112" s="49">
        <f t="shared" si="2"/>
        <v>46259</v>
      </c>
    </row>
    <row r="3113">
      <c r="A3113" s="48" t="s">
        <v>2413</v>
      </c>
      <c r="B3113" s="38">
        <v>72330.0</v>
      </c>
      <c r="C3113" s="38" t="s">
        <v>5403</v>
      </c>
      <c r="D3113" s="38" t="str">
        <f>IFERROR(__xludf.DUMMYFUNCTION("REGEXREPLACE(C3113,""-\d+(.*)|--\d+(.*)"","""")"),"SAVIGNE-SOUS-LE-LUDE")</f>
        <v>SAVIGNE-SOUS-LE-LUDE</v>
      </c>
      <c r="E3113" s="38" t="s">
        <v>521</v>
      </c>
      <c r="F3113" s="38" t="s">
        <v>180</v>
      </c>
      <c r="G3113" s="49" t="str">
        <f t="shared" si="1"/>
        <v>72800</v>
      </c>
      <c r="H3113" s="49">
        <f t="shared" si="2"/>
        <v>72330</v>
      </c>
    </row>
    <row r="3114">
      <c r="A3114" s="48" t="s">
        <v>2156</v>
      </c>
      <c r="B3114" s="38">
        <v>26363.0</v>
      </c>
      <c r="C3114" s="38" t="s">
        <v>5404</v>
      </c>
      <c r="D3114" s="38" t="str">
        <f>IFERROR(__xludf.DUMMYFUNCTION("REGEXREPLACE(C3114,""-\d+(.*)|--\d+(.*)"","""")"),"VALOUSE")</f>
        <v>VALOUSE</v>
      </c>
      <c r="E3114" s="38" t="s">
        <v>126</v>
      </c>
      <c r="F3114" s="38" t="s">
        <v>102</v>
      </c>
      <c r="G3114" s="49" t="str">
        <f t="shared" si="1"/>
        <v>26110</v>
      </c>
      <c r="H3114" s="49">
        <f t="shared" si="2"/>
        <v>26363</v>
      </c>
    </row>
    <row r="3115">
      <c r="A3115" s="48" t="s">
        <v>5405</v>
      </c>
      <c r="B3115" s="38">
        <v>85227.0</v>
      </c>
      <c r="C3115" s="38" t="s">
        <v>5406</v>
      </c>
      <c r="D3115" s="38" t="str">
        <f>IFERROR(__xludf.DUMMYFUNCTION("REGEXREPLACE(C3115,""-\d+(.*)|--\d+(.*)"","""")"),"SAINT-HILAIRE-DES-LOGES")</f>
        <v>SAINT-HILAIRE-DES-LOGES</v>
      </c>
      <c r="E3115" s="38" t="s">
        <v>179</v>
      </c>
      <c r="F3115" s="38" t="s">
        <v>180</v>
      </c>
      <c r="G3115" s="49" t="str">
        <f t="shared" si="1"/>
        <v>85240</v>
      </c>
      <c r="H3115" s="49">
        <f t="shared" si="2"/>
        <v>85227</v>
      </c>
    </row>
    <row r="3116">
      <c r="A3116" s="48" t="s">
        <v>571</v>
      </c>
      <c r="B3116" s="38">
        <v>55323.0</v>
      </c>
      <c r="C3116" s="38" t="s">
        <v>5407</v>
      </c>
      <c r="D3116" s="38" t="str">
        <f>IFERROR(__xludf.DUMMYFUNCTION("REGEXREPLACE(C3116,""-\d+(.*)|--\d+(.*)"","""")"),"MARTINCOURT-SUR-MEUSE")</f>
        <v>MARTINCOURT-SUR-MEUSE</v>
      </c>
      <c r="E3116" s="38" t="s">
        <v>322</v>
      </c>
      <c r="F3116" s="38" t="s">
        <v>195</v>
      </c>
      <c r="G3116" s="49" t="str">
        <f t="shared" si="1"/>
        <v>55700</v>
      </c>
      <c r="H3116" s="49">
        <f t="shared" si="2"/>
        <v>55323</v>
      </c>
    </row>
    <row r="3117">
      <c r="A3117" s="48" t="s">
        <v>1450</v>
      </c>
      <c r="B3117" s="38">
        <v>50164.0</v>
      </c>
      <c r="C3117" s="38" t="s">
        <v>5408</v>
      </c>
      <c r="D3117" s="38" t="str">
        <f>IFERROR(__xludf.DUMMYFUNCTION("REGEXREPLACE(C3117,""-\d+(.*)|--\d+(.*)"","""")"),"DOMJEAN")</f>
        <v>DOMJEAN</v>
      </c>
      <c r="E3117" s="38" t="s">
        <v>157</v>
      </c>
      <c r="F3117" s="38" t="s">
        <v>138</v>
      </c>
      <c r="G3117" s="49" t="str">
        <f t="shared" si="1"/>
        <v>50420</v>
      </c>
      <c r="H3117" s="49">
        <f t="shared" si="2"/>
        <v>50164</v>
      </c>
    </row>
    <row r="3118">
      <c r="A3118" s="48" t="s">
        <v>5409</v>
      </c>
      <c r="B3118" s="38">
        <v>57550.0</v>
      </c>
      <c r="C3118" s="38" t="s">
        <v>5410</v>
      </c>
      <c r="D3118" s="38" t="str">
        <f>IFERROR(__xludf.DUMMYFUNCTION("REGEXREPLACE(C3118,""-\d+(.*)|--\d+(.*)"","""")"),"PORCELETTE")</f>
        <v>PORCELETTE</v>
      </c>
      <c r="E3118" s="38" t="s">
        <v>303</v>
      </c>
      <c r="F3118" s="38" t="s">
        <v>195</v>
      </c>
      <c r="G3118" s="49" t="str">
        <f t="shared" si="1"/>
        <v>57890</v>
      </c>
      <c r="H3118" s="49">
        <f t="shared" si="2"/>
        <v>57550</v>
      </c>
    </row>
    <row r="3119">
      <c r="A3119" s="48" t="s">
        <v>4018</v>
      </c>
      <c r="B3119" s="38">
        <v>55272.0</v>
      </c>
      <c r="C3119" s="38" t="s">
        <v>5411</v>
      </c>
      <c r="D3119" s="38" t="str">
        <f>IFERROR(__xludf.DUMMYFUNCTION("REGEXREPLACE(C3119,""-\d+(.*)|--\d+(.*)"","""")"),"LAIMONT")</f>
        <v>LAIMONT</v>
      </c>
      <c r="E3119" s="38" t="s">
        <v>322</v>
      </c>
      <c r="F3119" s="38" t="s">
        <v>195</v>
      </c>
      <c r="G3119" s="49" t="str">
        <f t="shared" si="1"/>
        <v>55800</v>
      </c>
      <c r="H3119" s="49">
        <f t="shared" si="2"/>
        <v>55272</v>
      </c>
    </row>
    <row r="3120">
      <c r="A3120" s="48" t="s">
        <v>597</v>
      </c>
      <c r="B3120" s="38">
        <v>31482.0</v>
      </c>
      <c r="C3120" s="38" t="s">
        <v>5412</v>
      </c>
      <c r="D3120" s="38" t="str">
        <f>IFERROR(__xludf.DUMMYFUNCTION("REGEXREPLACE(C3120,""-\d+(.*)|--\d+(.*)"","""")"),"SAINT-FRAJOU")</f>
        <v>SAINT-FRAJOU</v>
      </c>
      <c r="E3120" s="38" t="s">
        <v>93</v>
      </c>
      <c r="F3120" s="38" t="s">
        <v>94</v>
      </c>
      <c r="G3120" s="49" t="str">
        <f t="shared" si="1"/>
        <v>31230</v>
      </c>
      <c r="H3120" s="49">
        <f t="shared" si="2"/>
        <v>31482</v>
      </c>
    </row>
    <row r="3121">
      <c r="A3121" s="48" t="s">
        <v>5413</v>
      </c>
      <c r="B3121" s="38">
        <v>44079.0</v>
      </c>
      <c r="C3121" s="38" t="s">
        <v>5414</v>
      </c>
      <c r="D3121" s="38" t="str">
        <f>IFERROR(__xludf.DUMMYFUNCTION("REGEXREPLACE(C3121,""-\d+(.*)|--\d+(.*)"","""")"),"LE LANDREAU")</f>
        <v>LE LANDREAU</v>
      </c>
      <c r="E3121" s="38" t="s">
        <v>759</v>
      </c>
      <c r="F3121" s="38" t="s">
        <v>180</v>
      </c>
      <c r="G3121" s="49" t="str">
        <f t="shared" si="1"/>
        <v>44430</v>
      </c>
      <c r="H3121" s="49">
        <f t="shared" si="2"/>
        <v>44079</v>
      </c>
    </row>
    <row r="3122">
      <c r="A3122" s="48" t="s">
        <v>4624</v>
      </c>
      <c r="B3122" s="38">
        <v>74216.0</v>
      </c>
      <c r="C3122" s="38" t="s">
        <v>5415</v>
      </c>
      <c r="D3122" s="38" t="str">
        <f>IFERROR(__xludf.DUMMYFUNCTION("REGEXREPLACE(C3122,""-\d+(.*)|--\d+(.*)"","""")"),"PRESILLY")</f>
        <v>PRESILLY</v>
      </c>
      <c r="E3122" s="38" t="s">
        <v>319</v>
      </c>
      <c r="F3122" s="38" t="s">
        <v>102</v>
      </c>
      <c r="G3122" s="49" t="str">
        <f t="shared" si="1"/>
        <v>74160</v>
      </c>
      <c r="H3122" s="49">
        <f t="shared" si="2"/>
        <v>74216</v>
      </c>
    </row>
    <row r="3123">
      <c r="A3123" s="48" t="s">
        <v>2249</v>
      </c>
      <c r="B3123" s="38">
        <v>14250.0</v>
      </c>
      <c r="C3123" s="38" t="s">
        <v>5416</v>
      </c>
      <c r="D3123" s="38" t="str">
        <f>IFERROR(__xludf.DUMMYFUNCTION("REGEXREPLACE(C3123,""-\d+(.*)|--\d+(.*)"","""")"),"ESQUAY-SUR-SEULLES")</f>
        <v>ESQUAY-SUR-SEULLES</v>
      </c>
      <c r="E3123" s="38" t="s">
        <v>137</v>
      </c>
      <c r="F3123" s="38" t="s">
        <v>138</v>
      </c>
      <c r="G3123" s="49" t="str">
        <f t="shared" si="1"/>
        <v>14400</v>
      </c>
      <c r="H3123" s="49">
        <f t="shared" si="2"/>
        <v>14250</v>
      </c>
    </row>
    <row r="3124">
      <c r="A3124" s="48" t="s">
        <v>5417</v>
      </c>
      <c r="B3124" s="38">
        <v>24252.0</v>
      </c>
      <c r="C3124" s="38" t="s">
        <v>5418</v>
      </c>
      <c r="D3124" s="38" t="str">
        <f>IFERROR(__xludf.DUMMYFUNCTION("REGEXREPLACE(C3124,""-\d+(.*)|--\d+(.*)"","""")"),"MARCILLAC-SAINT-QUENTIN")</f>
        <v>MARCILLAC-SAINT-QUENTIN</v>
      </c>
      <c r="E3124" s="38" t="s">
        <v>261</v>
      </c>
      <c r="F3124" s="38" t="s">
        <v>252</v>
      </c>
      <c r="G3124" s="49" t="str">
        <f t="shared" si="1"/>
        <v>24200</v>
      </c>
      <c r="H3124" s="49">
        <f t="shared" si="2"/>
        <v>24252</v>
      </c>
    </row>
    <row r="3125">
      <c r="A3125" s="48" t="s">
        <v>1056</v>
      </c>
      <c r="B3125" s="38">
        <v>11289.0</v>
      </c>
      <c r="C3125" s="38" t="s">
        <v>5419</v>
      </c>
      <c r="D3125" s="38" t="str">
        <f>IFERROR(__xludf.DUMMYFUNCTION("REGEXREPLACE(C3125,""-\d+(.*)|--\d+(.*)"","""")"),"PIEUSSE")</f>
        <v>PIEUSSE</v>
      </c>
      <c r="E3125" s="38" t="s">
        <v>278</v>
      </c>
      <c r="F3125" s="38" t="s">
        <v>119</v>
      </c>
      <c r="G3125" s="49" t="str">
        <f t="shared" si="1"/>
        <v>11300</v>
      </c>
      <c r="H3125" s="49">
        <f t="shared" si="2"/>
        <v>11289</v>
      </c>
    </row>
    <row r="3126">
      <c r="A3126" s="48" t="s">
        <v>2266</v>
      </c>
      <c r="B3126" s="38">
        <v>55157.0</v>
      </c>
      <c r="C3126" s="38" t="s">
        <v>5420</v>
      </c>
      <c r="D3126" s="38" t="str">
        <f>IFERROR(__xludf.DUMMYFUNCTION("REGEXREPLACE(C3126,""-\d+(.*)|--\d+(.*)"","""")"),"DOMMARTIN-LA-MONTAGNE")</f>
        <v>DOMMARTIN-LA-MONTAGNE</v>
      </c>
      <c r="E3126" s="38" t="s">
        <v>322</v>
      </c>
      <c r="F3126" s="38" t="s">
        <v>195</v>
      </c>
      <c r="G3126" s="49" t="str">
        <f t="shared" si="1"/>
        <v>55160</v>
      </c>
      <c r="H3126" s="49">
        <f t="shared" si="2"/>
        <v>55157</v>
      </c>
    </row>
    <row r="3127">
      <c r="A3127" s="48" t="s">
        <v>2605</v>
      </c>
      <c r="B3127" s="38">
        <v>39123.0</v>
      </c>
      <c r="C3127" s="38" t="s">
        <v>5421</v>
      </c>
      <c r="D3127" s="38" t="str">
        <f>IFERROR(__xludf.DUMMYFUNCTION("REGEXREPLACE(C3127,""-\d+(.*)|--\d+(.*)"","""")"),"CHATONNAY")</f>
        <v>CHATONNAY</v>
      </c>
      <c r="E3127" s="38" t="s">
        <v>400</v>
      </c>
      <c r="F3127" s="38" t="s">
        <v>214</v>
      </c>
      <c r="G3127" s="49" t="str">
        <f t="shared" si="1"/>
        <v>39240</v>
      </c>
      <c r="H3127" s="49">
        <f t="shared" si="2"/>
        <v>39123</v>
      </c>
    </row>
    <row r="3128">
      <c r="A3128" s="48" t="s">
        <v>4125</v>
      </c>
      <c r="B3128" s="38">
        <v>19057.0</v>
      </c>
      <c r="C3128" s="38" t="s">
        <v>5422</v>
      </c>
      <c r="D3128" s="38" t="str">
        <f>IFERROR(__xludf.DUMMYFUNCTION("REGEXREPLACE(C3128,""-\d+(.*)|--\d+(.*)"","""")"),"COLLONGES-LA-ROUGE")</f>
        <v>COLLONGES-LA-ROUGE</v>
      </c>
      <c r="E3128" s="38" t="s">
        <v>271</v>
      </c>
      <c r="F3128" s="38" t="s">
        <v>98</v>
      </c>
      <c r="G3128" s="49" t="str">
        <f t="shared" si="1"/>
        <v>19500</v>
      </c>
      <c r="H3128" s="49">
        <f t="shared" si="2"/>
        <v>19057</v>
      </c>
    </row>
    <row r="3129">
      <c r="A3129" s="48" t="s">
        <v>5423</v>
      </c>
      <c r="B3129" s="38">
        <v>31491.0</v>
      </c>
      <c r="C3129" s="38" t="s">
        <v>5424</v>
      </c>
      <c r="D3129" s="38" t="str">
        <f>IFERROR(__xludf.DUMMYFUNCTION("REGEXREPLACE(C3129,""-\d+(.*)|--\d+(.*)"","""")"),"SAINT-JULIA")</f>
        <v>SAINT-JULIA</v>
      </c>
      <c r="E3129" s="38" t="s">
        <v>93</v>
      </c>
      <c r="F3129" s="38" t="s">
        <v>94</v>
      </c>
      <c r="G3129" s="49" t="str">
        <f t="shared" si="1"/>
        <v>31540</v>
      </c>
      <c r="H3129" s="49">
        <f t="shared" si="2"/>
        <v>31491</v>
      </c>
    </row>
    <row r="3130">
      <c r="A3130" s="48" t="s">
        <v>5425</v>
      </c>
      <c r="B3130" s="38">
        <v>82050.0</v>
      </c>
      <c r="C3130" s="38" t="s">
        <v>5426</v>
      </c>
      <c r="D3130" s="38" t="str">
        <f>IFERROR(__xludf.DUMMYFUNCTION("REGEXREPLACE(C3130,""-\d+(.*)|--\d+(.*)"","""")"),"DUNES")</f>
        <v>DUNES</v>
      </c>
      <c r="E3130" s="38" t="s">
        <v>570</v>
      </c>
      <c r="F3130" s="38" t="s">
        <v>94</v>
      </c>
      <c r="G3130" s="49" t="str">
        <f t="shared" si="1"/>
        <v>82340</v>
      </c>
      <c r="H3130" s="49">
        <f t="shared" si="2"/>
        <v>82050</v>
      </c>
    </row>
    <row r="3131">
      <c r="A3131" s="48" t="s">
        <v>1930</v>
      </c>
      <c r="B3131" s="38">
        <v>28323.0</v>
      </c>
      <c r="C3131" s="38" t="s">
        <v>5427</v>
      </c>
      <c r="D3131" s="38" t="str">
        <f>IFERROR(__xludf.DUMMYFUNCTION("REGEXREPLACE(C3131,""-\d+(.*)|--\d+(.*)"","""")"),"SAINT-ANGE-ET-TORCAY")</f>
        <v>SAINT-ANGE-ET-TORCAY</v>
      </c>
      <c r="E3131" s="38" t="s">
        <v>300</v>
      </c>
      <c r="F3131" s="38" t="s">
        <v>123</v>
      </c>
      <c r="G3131" s="49" t="str">
        <f t="shared" si="1"/>
        <v>28170</v>
      </c>
      <c r="H3131" s="49">
        <f t="shared" si="2"/>
        <v>28323</v>
      </c>
    </row>
    <row r="3132">
      <c r="A3132" s="48" t="s">
        <v>5428</v>
      </c>
      <c r="B3132" s="38">
        <v>74259.0</v>
      </c>
      <c r="C3132" s="38" t="s">
        <v>5429</v>
      </c>
      <c r="D3132" s="38" t="str">
        <f>IFERROR(__xludf.DUMMYFUNCTION("REGEXREPLACE(C3132,""-\d+(.*)|--\d+(.*)"","""")"),"LE SAPPEY")</f>
        <v>LE SAPPEY</v>
      </c>
      <c r="E3132" s="38" t="s">
        <v>319</v>
      </c>
      <c r="F3132" s="38" t="s">
        <v>102</v>
      </c>
      <c r="G3132" s="49" t="str">
        <f t="shared" si="1"/>
        <v>74350</v>
      </c>
      <c r="H3132" s="49">
        <f t="shared" si="2"/>
        <v>74259</v>
      </c>
    </row>
    <row r="3133">
      <c r="A3133" s="48" t="s">
        <v>1857</v>
      </c>
      <c r="B3133" s="38">
        <v>4145.0</v>
      </c>
      <c r="C3133" s="38" t="s">
        <v>5430</v>
      </c>
      <c r="D3133" s="38" t="str">
        <f>IFERROR(__xludf.DUMMYFUNCTION("REGEXREPLACE(C3133,""-\d+(.*)|--\d+(.*)"","""")"),"PEIPIN")</f>
        <v>PEIPIN</v>
      </c>
      <c r="E3133" s="38" t="s">
        <v>662</v>
      </c>
      <c r="F3133" s="38" t="s">
        <v>228</v>
      </c>
      <c r="G3133" s="49" t="str">
        <f t="shared" si="1"/>
        <v>04200</v>
      </c>
      <c r="H3133" s="49" t="str">
        <f t="shared" si="2"/>
        <v>04145</v>
      </c>
    </row>
    <row r="3134">
      <c r="A3134" s="48" t="s">
        <v>3523</v>
      </c>
      <c r="B3134" s="38">
        <v>31334.0</v>
      </c>
      <c r="C3134" s="38" t="s">
        <v>5431</v>
      </c>
      <c r="D3134" s="38" t="str">
        <f>IFERROR(__xludf.DUMMYFUNCTION("REGEXREPLACE(C3134,""-\d+(.*)|--\d+(.*)"","""")"),"MAUZAC")</f>
        <v>MAUZAC</v>
      </c>
      <c r="E3134" s="38" t="s">
        <v>93</v>
      </c>
      <c r="F3134" s="38" t="s">
        <v>94</v>
      </c>
      <c r="G3134" s="49" t="str">
        <f t="shared" si="1"/>
        <v>31410</v>
      </c>
      <c r="H3134" s="49">
        <f t="shared" si="2"/>
        <v>31334</v>
      </c>
    </row>
    <row r="3135">
      <c r="A3135" s="48" t="s">
        <v>5432</v>
      </c>
      <c r="B3135" s="38">
        <v>33518.0</v>
      </c>
      <c r="C3135" s="38" t="s">
        <v>5433</v>
      </c>
      <c r="D3135" s="38" t="str">
        <f>IFERROR(__xludf.DUMMYFUNCTION("REGEXREPLACE(C3135,""-\d+(.*)|--\d+(.*)"","""")"),"TABANAC")</f>
        <v>TABANAC</v>
      </c>
      <c r="E3135" s="38" t="s">
        <v>462</v>
      </c>
      <c r="F3135" s="38" t="s">
        <v>252</v>
      </c>
      <c r="G3135" s="49" t="str">
        <f t="shared" si="1"/>
        <v>33550</v>
      </c>
      <c r="H3135" s="49">
        <f t="shared" si="2"/>
        <v>33518</v>
      </c>
    </row>
    <row r="3136">
      <c r="A3136" s="48" t="s">
        <v>3564</v>
      </c>
      <c r="B3136" s="38">
        <v>83075.0</v>
      </c>
      <c r="C3136" s="38" t="s">
        <v>5434</v>
      </c>
      <c r="D3136" s="38" t="str">
        <f>IFERROR(__xludf.DUMMYFUNCTION("REGEXREPLACE(C3136,""-\d+(.*)|--\d+(.*)"","""")"),"LES MAYONS")</f>
        <v>LES MAYONS</v>
      </c>
      <c r="E3136" s="38" t="s">
        <v>813</v>
      </c>
      <c r="F3136" s="38" t="s">
        <v>228</v>
      </c>
      <c r="G3136" s="49" t="str">
        <f t="shared" si="1"/>
        <v>83340</v>
      </c>
      <c r="H3136" s="49">
        <f t="shared" si="2"/>
        <v>83075</v>
      </c>
    </row>
    <row r="3137">
      <c r="A3137" s="48" t="s">
        <v>940</v>
      </c>
      <c r="B3137" s="38">
        <v>51581.0</v>
      </c>
      <c r="C3137" s="38" t="s">
        <v>5435</v>
      </c>
      <c r="D3137" s="38" t="str">
        <f>IFERROR(__xludf.DUMMYFUNCTION("REGEXREPLACE(C3137,""-\d+(.*)|--\d+(.*)"","""")"),"TRESLON")</f>
        <v>TRESLON</v>
      </c>
      <c r="E3137" s="38" t="s">
        <v>129</v>
      </c>
      <c r="F3137" s="38" t="s">
        <v>130</v>
      </c>
      <c r="G3137" s="49" t="str">
        <f t="shared" si="1"/>
        <v>51140</v>
      </c>
      <c r="H3137" s="49">
        <f t="shared" si="2"/>
        <v>51581</v>
      </c>
    </row>
    <row r="3138">
      <c r="A3138" s="48" t="s">
        <v>2705</v>
      </c>
      <c r="B3138" s="38">
        <v>77088.0</v>
      </c>
      <c r="C3138" s="38" t="s">
        <v>5436</v>
      </c>
      <c r="D3138" s="38" t="str">
        <f>IFERROR(__xludf.DUMMYFUNCTION("REGEXREPLACE(C3138,""-\d+(.*)|--\d+(.*)"","""")"),"LA CHAPELLE-LA-REINE")</f>
        <v>LA CHAPELLE-LA-REINE</v>
      </c>
      <c r="E3138" s="38" t="s">
        <v>244</v>
      </c>
      <c r="F3138" s="38" t="s">
        <v>245</v>
      </c>
      <c r="G3138" s="49" t="str">
        <f t="shared" si="1"/>
        <v>77760</v>
      </c>
      <c r="H3138" s="49">
        <f t="shared" si="2"/>
        <v>77088</v>
      </c>
    </row>
    <row r="3139">
      <c r="A3139" s="48" t="s">
        <v>616</v>
      </c>
      <c r="B3139" s="38">
        <v>89235.0</v>
      </c>
      <c r="C3139" s="38" t="s">
        <v>5437</v>
      </c>
      <c r="D3139" s="38" t="str">
        <f>IFERROR(__xludf.DUMMYFUNCTION("REGEXREPLACE(C3139,""-\d+(.*)|--\d+(.*)"","""")"),"MAGNY")</f>
        <v>MAGNY</v>
      </c>
      <c r="E3139" s="38" t="s">
        <v>275</v>
      </c>
      <c r="F3139" s="38" t="s">
        <v>106</v>
      </c>
      <c r="G3139" s="49" t="str">
        <f t="shared" si="1"/>
        <v>89200</v>
      </c>
      <c r="H3139" s="49">
        <f t="shared" si="2"/>
        <v>89235</v>
      </c>
    </row>
    <row r="3140">
      <c r="A3140" s="48" t="s">
        <v>5438</v>
      </c>
      <c r="B3140" s="38">
        <v>81257.0</v>
      </c>
      <c r="C3140" s="38" t="s">
        <v>5439</v>
      </c>
      <c r="D3140" s="38" t="str">
        <f>IFERROR(__xludf.DUMMYFUNCTION("REGEXREPLACE(C3140,""-\d+(.*)|--\d+(.*)"","""")"),"SAINT-JUERY")</f>
        <v>SAINT-JUERY</v>
      </c>
      <c r="E3140" s="38" t="s">
        <v>231</v>
      </c>
      <c r="F3140" s="38" t="s">
        <v>94</v>
      </c>
      <c r="G3140" s="49" t="str">
        <f t="shared" si="1"/>
        <v>81160</v>
      </c>
      <c r="H3140" s="49">
        <f t="shared" si="2"/>
        <v>81257</v>
      </c>
    </row>
    <row r="3141">
      <c r="A3141" s="48" t="s">
        <v>1444</v>
      </c>
      <c r="B3141" s="38">
        <v>27348.0</v>
      </c>
      <c r="C3141" s="38" t="s">
        <v>5440</v>
      </c>
      <c r="D3141" s="38" t="str">
        <f>IFERROR(__xludf.DUMMYFUNCTION("REGEXREPLACE(C3141,""-\d+(.*)|--\d+(.*)"","""")"),"IGOVILLE")</f>
        <v>IGOVILLE</v>
      </c>
      <c r="E3141" s="38" t="s">
        <v>241</v>
      </c>
      <c r="F3141" s="38" t="s">
        <v>134</v>
      </c>
      <c r="G3141" s="49" t="str">
        <f t="shared" si="1"/>
        <v>27460</v>
      </c>
      <c r="H3141" s="49">
        <f t="shared" si="2"/>
        <v>27348</v>
      </c>
    </row>
    <row r="3142">
      <c r="A3142" s="48" t="s">
        <v>4304</v>
      </c>
      <c r="B3142" s="38">
        <v>44170.0</v>
      </c>
      <c r="C3142" s="38" t="s">
        <v>5441</v>
      </c>
      <c r="D3142" s="38" t="str">
        <f>IFERROR(__xludf.DUMMYFUNCTION("REGEXREPLACE(C3142,""-\d+(.*)|--\d+(.*)"","""")"),"SAINT-JULIEN-DE-VOUVANTES")</f>
        <v>SAINT-JULIEN-DE-VOUVANTES</v>
      </c>
      <c r="E3142" s="38" t="s">
        <v>759</v>
      </c>
      <c r="F3142" s="38" t="s">
        <v>180</v>
      </c>
      <c r="G3142" s="49" t="str">
        <f t="shared" si="1"/>
        <v>44670</v>
      </c>
      <c r="H3142" s="49">
        <f t="shared" si="2"/>
        <v>44170</v>
      </c>
    </row>
    <row r="3143">
      <c r="A3143" s="48" t="s">
        <v>2136</v>
      </c>
      <c r="B3143" s="38">
        <v>52232.0</v>
      </c>
      <c r="C3143" s="38" t="s">
        <v>5442</v>
      </c>
      <c r="D3143" s="38" t="str">
        <f>IFERROR(__xludf.DUMMYFUNCTION("REGEXREPLACE(C3143,""-\d+(.*)|--\d+(.*)"","""")"),"GUINDRECOURT-SUR-BLAISE")</f>
        <v>GUINDRECOURT-SUR-BLAISE</v>
      </c>
      <c r="E3143" s="38" t="s">
        <v>234</v>
      </c>
      <c r="F3143" s="38" t="s">
        <v>130</v>
      </c>
      <c r="G3143" s="49" t="str">
        <f t="shared" si="1"/>
        <v>52330</v>
      </c>
      <c r="H3143" s="49">
        <f t="shared" si="2"/>
        <v>52232</v>
      </c>
    </row>
    <row r="3144">
      <c r="A3144" s="48" t="s">
        <v>5443</v>
      </c>
      <c r="B3144" s="38">
        <v>76294.0</v>
      </c>
      <c r="C3144" s="38" t="s">
        <v>5444</v>
      </c>
      <c r="D3144" s="38" t="str">
        <f>IFERROR(__xludf.DUMMYFUNCTION("REGEXREPLACE(C3144,""-\d+(.*)|--\d+(.*)"","""")"),"LA GAILLARDE")</f>
        <v>LA GAILLARDE</v>
      </c>
      <c r="E3144" s="38" t="s">
        <v>133</v>
      </c>
      <c r="F3144" s="38" t="s">
        <v>134</v>
      </c>
      <c r="G3144" s="49" t="str">
        <f t="shared" si="1"/>
        <v>76740</v>
      </c>
      <c r="H3144" s="49">
        <f t="shared" si="2"/>
        <v>76294</v>
      </c>
    </row>
    <row r="3145">
      <c r="A3145" s="48" t="s">
        <v>5445</v>
      </c>
      <c r="B3145" s="38">
        <v>30149.0</v>
      </c>
      <c r="C3145" s="38" t="s">
        <v>5446</v>
      </c>
      <c r="D3145" s="38" t="str">
        <f>IFERROR(__xludf.DUMMYFUNCTION("REGEXREPLACE(C3145,""-\d+(.*)|--\d+(.*)"","""")"),"LIRAC")</f>
        <v>LIRAC</v>
      </c>
      <c r="E3145" s="38" t="s">
        <v>526</v>
      </c>
      <c r="F3145" s="38" t="s">
        <v>119</v>
      </c>
      <c r="G3145" s="49" t="str">
        <f t="shared" si="1"/>
        <v>30126</v>
      </c>
      <c r="H3145" s="49">
        <f t="shared" si="2"/>
        <v>30149</v>
      </c>
    </row>
    <row r="3146">
      <c r="A3146" s="48" t="s">
        <v>4462</v>
      </c>
      <c r="B3146" s="38">
        <v>79051.0</v>
      </c>
      <c r="C3146" s="38" t="s">
        <v>5447</v>
      </c>
      <c r="D3146" s="38" t="str">
        <f>IFERROR(__xludf.DUMMYFUNCTION("REGEXREPLACE(C3146,""-\d+(.*)|--\d+(.*)"","""")"),"LE BREUIL-BERNARD")</f>
        <v>LE BREUIL-BERNARD</v>
      </c>
      <c r="E3146" s="38" t="s">
        <v>337</v>
      </c>
      <c r="F3146" s="38" t="s">
        <v>338</v>
      </c>
      <c r="G3146" s="49" t="str">
        <f t="shared" si="1"/>
        <v>79320</v>
      </c>
      <c r="H3146" s="49">
        <f t="shared" si="2"/>
        <v>79051</v>
      </c>
    </row>
    <row r="3147">
      <c r="A3147" s="48" t="s">
        <v>3219</v>
      </c>
      <c r="B3147" s="38">
        <v>22348.0</v>
      </c>
      <c r="C3147" s="38" t="s">
        <v>5448</v>
      </c>
      <c r="D3147" s="38" t="str">
        <f>IFERROR(__xludf.DUMMYFUNCTION("REGEXREPLACE(C3147,""-\d+(.*)|--\d+(.*)"","""")"),"TREDIAS")</f>
        <v>TREDIAS</v>
      </c>
      <c r="E3147" s="38" t="s">
        <v>89</v>
      </c>
      <c r="F3147" s="38" t="s">
        <v>90</v>
      </c>
      <c r="G3147" s="49" t="str">
        <f t="shared" si="1"/>
        <v>22250</v>
      </c>
      <c r="H3147" s="49">
        <f t="shared" si="2"/>
        <v>22348</v>
      </c>
    </row>
    <row r="3148">
      <c r="A3148" s="48" t="s">
        <v>5449</v>
      </c>
      <c r="B3148" s="38">
        <v>59501.0</v>
      </c>
      <c r="C3148" s="38" t="s">
        <v>5450</v>
      </c>
      <c r="D3148" s="38" t="str">
        <f>IFERROR(__xludf.DUMMYFUNCTION("REGEXREPLACE(C3148,""-\d+(.*)|--\d+(.*)"","""")"),"RIEULAY")</f>
        <v>RIEULAY</v>
      </c>
      <c r="E3148" s="38" t="s">
        <v>85</v>
      </c>
      <c r="F3148" s="38" t="s">
        <v>86</v>
      </c>
      <c r="G3148" s="49" t="str">
        <f t="shared" si="1"/>
        <v>59870</v>
      </c>
      <c r="H3148" s="49">
        <f t="shared" si="2"/>
        <v>59501</v>
      </c>
    </row>
    <row r="3149">
      <c r="A3149" s="48" t="s">
        <v>5451</v>
      </c>
      <c r="B3149" s="38">
        <v>19073.0</v>
      </c>
      <c r="C3149" s="38" t="s">
        <v>5452</v>
      </c>
      <c r="D3149" s="38" t="str">
        <f>IFERROR(__xludf.DUMMYFUNCTION("REGEXREPLACE(C3149,""-\d+(.*)|--\d+(.*)"","""")"),"EGLETONS")</f>
        <v>EGLETONS</v>
      </c>
      <c r="E3149" s="38" t="s">
        <v>271</v>
      </c>
      <c r="F3149" s="38" t="s">
        <v>98</v>
      </c>
      <c r="G3149" s="49" t="str">
        <f t="shared" si="1"/>
        <v>19300</v>
      </c>
      <c r="H3149" s="49">
        <f t="shared" si="2"/>
        <v>19073</v>
      </c>
    </row>
    <row r="3150">
      <c r="A3150" s="48" t="s">
        <v>5453</v>
      </c>
      <c r="B3150" s="38">
        <v>52541.0</v>
      </c>
      <c r="C3150" s="38" t="s">
        <v>5454</v>
      </c>
      <c r="D3150" s="38" t="str">
        <f>IFERROR(__xludf.DUMMYFUNCTION("REGEXREPLACE(C3150,""-\d+(.*)|--\d+(.*)"","""")"),"VITRY-LES-NOGENT")</f>
        <v>VITRY-LES-NOGENT</v>
      </c>
      <c r="E3150" s="38" t="s">
        <v>234</v>
      </c>
      <c r="F3150" s="38" t="s">
        <v>130</v>
      </c>
      <c r="G3150" s="49" t="str">
        <f t="shared" si="1"/>
        <v>52800</v>
      </c>
      <c r="H3150" s="49">
        <f t="shared" si="2"/>
        <v>52541</v>
      </c>
    </row>
    <row r="3151">
      <c r="A3151" s="48" t="s">
        <v>5455</v>
      </c>
      <c r="B3151" s="38">
        <v>91333.0</v>
      </c>
      <c r="C3151" s="38" t="s">
        <v>5456</v>
      </c>
      <c r="D3151" s="38" t="str">
        <f>IFERROR(__xludf.DUMMYFUNCTION("REGEXREPLACE(C3151,""-\d+(.*)|--\d+(.*)"","""")"),"LEUVILLE-SUR-ORGE")</f>
        <v>LEUVILLE-SUR-ORGE</v>
      </c>
      <c r="E3151" s="38" t="s">
        <v>756</v>
      </c>
      <c r="F3151" s="38" t="s">
        <v>245</v>
      </c>
      <c r="G3151" s="49" t="str">
        <f t="shared" si="1"/>
        <v>91310</v>
      </c>
      <c r="H3151" s="49">
        <f t="shared" si="2"/>
        <v>91333</v>
      </c>
    </row>
    <row r="3152">
      <c r="A3152" s="48" t="s">
        <v>3488</v>
      </c>
      <c r="B3152" s="38">
        <v>67158.0</v>
      </c>
      <c r="C3152" s="38" t="s">
        <v>5457</v>
      </c>
      <c r="D3152" s="38" t="str">
        <f>IFERROR(__xludf.DUMMYFUNCTION("REGEXREPLACE(C3152,""-\d+(.*)|--\d+(.*)"","""")"),"GINGSHEIM")</f>
        <v>GINGSHEIM</v>
      </c>
      <c r="E3152" s="38" t="s">
        <v>210</v>
      </c>
      <c r="F3152" s="38" t="s">
        <v>151</v>
      </c>
      <c r="G3152" s="49" t="str">
        <f t="shared" si="1"/>
        <v>67270</v>
      </c>
      <c r="H3152" s="49">
        <f t="shared" si="2"/>
        <v>67158</v>
      </c>
    </row>
    <row r="3153">
      <c r="A3153" s="48" t="s">
        <v>4011</v>
      </c>
      <c r="B3153" s="38">
        <v>80285.0</v>
      </c>
      <c r="C3153" s="38" t="s">
        <v>5458</v>
      </c>
      <c r="D3153" s="38" t="str">
        <f>IFERROR(__xludf.DUMMYFUNCTION("REGEXREPLACE(C3153,""-\d+(.*)|--\d+(.*)"","""")"),"ESSERTAUX")</f>
        <v>ESSERTAUX</v>
      </c>
      <c r="E3153" s="38" t="s">
        <v>224</v>
      </c>
      <c r="F3153" s="38" t="s">
        <v>113</v>
      </c>
      <c r="G3153" s="49" t="str">
        <f t="shared" si="1"/>
        <v>80160</v>
      </c>
      <c r="H3153" s="49">
        <f t="shared" si="2"/>
        <v>80285</v>
      </c>
    </row>
    <row r="3154">
      <c r="A3154" s="48" t="s">
        <v>4679</v>
      </c>
      <c r="B3154" s="38">
        <v>17465.0</v>
      </c>
      <c r="C3154" s="38" t="s">
        <v>5459</v>
      </c>
      <c r="D3154" s="38" t="str">
        <f>IFERROR(__xludf.DUMMYFUNCTION("REGEXREPLACE(C3154,""-\d+(.*)|--\d+(.*)"","""")"),"LA VERGNE")</f>
        <v>LA VERGNE</v>
      </c>
      <c r="E3154" s="38" t="s">
        <v>488</v>
      </c>
      <c r="F3154" s="38" t="s">
        <v>338</v>
      </c>
      <c r="G3154" s="49" t="str">
        <f t="shared" si="1"/>
        <v>17400</v>
      </c>
      <c r="H3154" s="49">
        <f t="shared" si="2"/>
        <v>17465</v>
      </c>
    </row>
    <row r="3155">
      <c r="A3155" s="48" t="s">
        <v>5460</v>
      </c>
      <c r="B3155" s="38">
        <v>60575.0</v>
      </c>
      <c r="C3155" s="38" t="s">
        <v>547</v>
      </c>
      <c r="D3155" s="38" t="str">
        <f>IFERROR(__xludf.DUMMYFUNCTION("REGEXREPLACE(C3155,""-\d+(.*)|--\d+(.*)"","""")"),"SAINTE-GENEVIEVE")</f>
        <v>SAINTE-GENEVIEVE</v>
      </c>
      <c r="E3155" s="38" t="s">
        <v>112</v>
      </c>
      <c r="F3155" s="38" t="s">
        <v>113</v>
      </c>
      <c r="G3155" s="49" t="str">
        <f t="shared" si="1"/>
        <v>60730</v>
      </c>
      <c r="H3155" s="49">
        <f t="shared" si="2"/>
        <v>60575</v>
      </c>
    </row>
    <row r="3156">
      <c r="A3156" s="48" t="s">
        <v>1681</v>
      </c>
      <c r="B3156" s="38">
        <v>80302.0</v>
      </c>
      <c r="C3156" s="38" t="s">
        <v>4831</v>
      </c>
      <c r="D3156" s="38" t="str">
        <f>IFERROR(__xludf.DUMMYFUNCTION("REGEXREPLACE(C3156,""-\d+(.*)|--\d+(.*)"","""")"),"FAVEROLLES")</f>
        <v>FAVEROLLES</v>
      </c>
      <c r="E3156" s="38" t="s">
        <v>224</v>
      </c>
      <c r="F3156" s="38" t="s">
        <v>113</v>
      </c>
      <c r="G3156" s="49" t="str">
        <f t="shared" si="1"/>
        <v>80500</v>
      </c>
      <c r="H3156" s="49">
        <f t="shared" si="2"/>
        <v>80302</v>
      </c>
    </row>
    <row r="3157">
      <c r="A3157" s="48" t="s">
        <v>5461</v>
      </c>
      <c r="B3157" s="38">
        <v>86016.0</v>
      </c>
      <c r="C3157" s="38" t="s">
        <v>5462</v>
      </c>
      <c r="D3157" s="38" t="str">
        <f>IFERROR(__xludf.DUMMYFUNCTION("REGEXREPLACE(C3157,""-\d+(.*)|--\d+(.*)"","""")"),"AVANTON")</f>
        <v>AVANTON</v>
      </c>
      <c r="E3157" s="38" t="s">
        <v>529</v>
      </c>
      <c r="F3157" s="38" t="s">
        <v>338</v>
      </c>
      <c r="G3157" s="49" t="str">
        <f t="shared" si="1"/>
        <v>86170</v>
      </c>
      <c r="H3157" s="49">
        <f t="shared" si="2"/>
        <v>86016</v>
      </c>
    </row>
    <row r="3158">
      <c r="A3158" s="48" t="s">
        <v>5463</v>
      </c>
      <c r="B3158" s="38">
        <v>26153.0</v>
      </c>
      <c r="C3158" s="38" t="s">
        <v>5464</v>
      </c>
      <c r="D3158" s="38" t="str">
        <f>IFERROR(__xludf.DUMMYFUNCTION("REGEXREPLACE(C3158,""-\d+(.*)|--\d+(.*)"","""")"),"LABOREL")</f>
        <v>LABOREL</v>
      </c>
      <c r="E3158" s="38" t="s">
        <v>126</v>
      </c>
      <c r="F3158" s="38" t="s">
        <v>102</v>
      </c>
      <c r="G3158" s="49" t="str">
        <f t="shared" si="1"/>
        <v>26560</v>
      </c>
      <c r="H3158" s="49">
        <f t="shared" si="2"/>
        <v>26153</v>
      </c>
    </row>
    <row r="3159">
      <c r="A3159" s="48" t="s">
        <v>2558</v>
      </c>
      <c r="B3159" s="38">
        <v>16050.0</v>
      </c>
      <c r="C3159" s="38" t="s">
        <v>5465</v>
      </c>
      <c r="D3159" s="38" t="str">
        <f>IFERROR(__xludf.DUMMYFUNCTION("REGEXREPLACE(C3159,""-\d+(.*)|--\d+(.*)"","""")"),"BONNEUIL")</f>
        <v>BONNEUIL</v>
      </c>
      <c r="E3159" s="38" t="s">
        <v>429</v>
      </c>
      <c r="F3159" s="38" t="s">
        <v>338</v>
      </c>
      <c r="G3159" s="49" t="str">
        <f t="shared" si="1"/>
        <v>16120</v>
      </c>
      <c r="H3159" s="49">
        <f t="shared" si="2"/>
        <v>16050</v>
      </c>
    </row>
    <row r="3160">
      <c r="A3160" s="48" t="s">
        <v>5466</v>
      </c>
      <c r="B3160" s="38">
        <v>88380.0</v>
      </c>
      <c r="C3160" s="38" t="s">
        <v>5467</v>
      </c>
      <c r="D3160" s="38" t="str">
        <f>IFERROR(__xludf.DUMMYFUNCTION("REGEXREPLACE(C3160,""-\d+(.*)|--\d+(.*)"","""")"),"REHAUPAL")</f>
        <v>REHAUPAL</v>
      </c>
      <c r="E3160" s="38" t="s">
        <v>194</v>
      </c>
      <c r="F3160" s="38" t="s">
        <v>195</v>
      </c>
      <c r="G3160" s="49" t="str">
        <f t="shared" si="1"/>
        <v>88640</v>
      </c>
      <c r="H3160" s="49">
        <f t="shared" si="2"/>
        <v>88380</v>
      </c>
    </row>
    <row r="3161">
      <c r="A3161" s="48" t="s">
        <v>2655</v>
      </c>
      <c r="B3161" s="38">
        <v>52509.0</v>
      </c>
      <c r="C3161" s="38" t="s">
        <v>5468</v>
      </c>
      <c r="D3161" s="38" t="str">
        <f>IFERROR(__xludf.DUMMYFUNCTION("REGEXREPLACE(C3161,""-\d+(.*)|--\d+(.*)"","""")"),"VAUX-SOUS-AUBIGNY")</f>
        <v>VAUX-SOUS-AUBIGNY</v>
      </c>
      <c r="E3161" s="38" t="s">
        <v>234</v>
      </c>
      <c r="F3161" s="38" t="s">
        <v>130</v>
      </c>
      <c r="G3161" s="49" t="str">
        <f t="shared" si="1"/>
        <v>52190</v>
      </c>
      <c r="H3161" s="49">
        <f t="shared" si="2"/>
        <v>52509</v>
      </c>
    </row>
    <row r="3162">
      <c r="A3162" s="48" t="s">
        <v>1900</v>
      </c>
      <c r="B3162" s="38">
        <v>45223.0</v>
      </c>
      <c r="C3162" s="38" t="s">
        <v>5469</v>
      </c>
      <c r="D3162" s="38" t="str">
        <f>IFERROR(__xludf.DUMMYFUNCTION("REGEXREPLACE(C3162,""-\d+(.*)|--\d+(.*)"","""")"),"NESPLOY")</f>
        <v>NESPLOY</v>
      </c>
      <c r="E3162" s="38" t="s">
        <v>122</v>
      </c>
      <c r="F3162" s="38" t="s">
        <v>123</v>
      </c>
      <c r="G3162" s="49" t="str">
        <f t="shared" si="1"/>
        <v>45270</v>
      </c>
      <c r="H3162" s="49">
        <f t="shared" si="2"/>
        <v>45223</v>
      </c>
    </row>
    <row r="3163">
      <c r="A3163" s="48" t="s">
        <v>5470</v>
      </c>
      <c r="B3163" s="38">
        <v>65473.0</v>
      </c>
      <c r="C3163" s="38" t="s">
        <v>5471</v>
      </c>
      <c r="D3163" s="38" t="str">
        <f>IFERROR(__xludf.DUMMYFUNCTION("REGEXREPLACE(C3163,""-\d+(.*)|--\d+(.*)"","""")"),"VILLELONGUE")</f>
        <v>VILLELONGUE</v>
      </c>
      <c r="E3163" s="38" t="s">
        <v>200</v>
      </c>
      <c r="F3163" s="38" t="s">
        <v>94</v>
      </c>
      <c r="G3163" s="49" t="str">
        <f t="shared" si="1"/>
        <v>65260</v>
      </c>
      <c r="H3163" s="49">
        <f t="shared" si="2"/>
        <v>65473</v>
      </c>
    </row>
    <row r="3164">
      <c r="A3164" s="48" t="s">
        <v>5472</v>
      </c>
      <c r="B3164" s="38">
        <v>36064.0</v>
      </c>
      <c r="C3164" s="38" t="s">
        <v>5473</v>
      </c>
      <c r="D3164" s="38" t="str">
        <f>IFERROR(__xludf.DUMMYFUNCTION("REGEXREPLACE(C3164,""-\d+(.*)|--\d+(.*)"","""")"),"DIORS")</f>
        <v>DIORS</v>
      </c>
      <c r="E3164" s="38" t="s">
        <v>258</v>
      </c>
      <c r="F3164" s="38" t="s">
        <v>123</v>
      </c>
      <c r="G3164" s="49" t="str">
        <f t="shared" si="1"/>
        <v>36130</v>
      </c>
      <c r="H3164" s="49">
        <f t="shared" si="2"/>
        <v>36064</v>
      </c>
    </row>
    <row r="3165">
      <c r="A3165" s="48" t="s">
        <v>983</v>
      </c>
      <c r="B3165" s="38">
        <v>52288.0</v>
      </c>
      <c r="C3165" s="38" t="s">
        <v>5474</v>
      </c>
      <c r="D3165" s="38" t="str">
        <f>IFERROR(__xludf.DUMMYFUNCTION("REGEXREPLACE(C3165,""-\d+(.*)|--\d+(.*)"","""")"),"LEZEVILLE")</f>
        <v>LEZEVILLE</v>
      </c>
      <c r="E3165" s="38" t="s">
        <v>234</v>
      </c>
      <c r="F3165" s="38" t="s">
        <v>130</v>
      </c>
      <c r="G3165" s="49" t="str">
        <f t="shared" si="1"/>
        <v>52230</v>
      </c>
      <c r="H3165" s="49">
        <f t="shared" si="2"/>
        <v>52288</v>
      </c>
    </row>
    <row r="3166">
      <c r="A3166" s="48" t="s">
        <v>2389</v>
      </c>
      <c r="B3166" s="38">
        <v>64459.0</v>
      </c>
      <c r="C3166" s="38" t="s">
        <v>5475</v>
      </c>
      <c r="D3166" s="38" t="str">
        <f>IFERROR(__xludf.DUMMYFUNCTION("REGEXREPLACE(C3166,""-\d+(.*)|--\d+(.*)"","""")"),"PRECHACQ-NAVARRENX")</f>
        <v>PRECHACQ-NAVARRENX</v>
      </c>
      <c r="E3166" s="38" t="s">
        <v>268</v>
      </c>
      <c r="F3166" s="38" t="s">
        <v>252</v>
      </c>
      <c r="G3166" s="49" t="str">
        <f t="shared" si="1"/>
        <v>64190</v>
      </c>
      <c r="H3166" s="49">
        <f t="shared" si="2"/>
        <v>64459</v>
      </c>
    </row>
    <row r="3167">
      <c r="A3167" s="48" t="s">
        <v>3377</v>
      </c>
      <c r="B3167" s="38">
        <v>62582.0</v>
      </c>
      <c r="C3167" s="38" t="s">
        <v>5476</v>
      </c>
      <c r="D3167" s="38" t="str">
        <f>IFERROR(__xludf.DUMMYFUNCTION("REGEXREPLACE(C3167,""-\d+(.*)|--\d+(.*)"","""")"),"MONCHY-LE-PREUX")</f>
        <v>MONCHY-LE-PREUX</v>
      </c>
      <c r="E3167" s="38" t="s">
        <v>109</v>
      </c>
      <c r="F3167" s="38" t="s">
        <v>86</v>
      </c>
      <c r="G3167" s="49" t="str">
        <f t="shared" si="1"/>
        <v>62118</v>
      </c>
      <c r="H3167" s="49">
        <f t="shared" si="2"/>
        <v>62582</v>
      </c>
    </row>
    <row r="3168">
      <c r="A3168" s="48" t="s">
        <v>5477</v>
      </c>
      <c r="B3168" s="38">
        <v>74229.0</v>
      </c>
      <c r="C3168" s="38" t="s">
        <v>5478</v>
      </c>
      <c r="D3168" s="38" t="str">
        <f>IFERROR(__xludf.DUMMYFUNCTION("REGEXREPLACE(C3168,""-\d+(.*)|--\d+(.*)"","""")"),"SAINT-CERGUES")</f>
        <v>SAINT-CERGUES</v>
      </c>
      <c r="E3168" s="38" t="s">
        <v>319</v>
      </c>
      <c r="F3168" s="38" t="s">
        <v>102</v>
      </c>
      <c r="G3168" s="49" t="str">
        <f t="shared" si="1"/>
        <v>74140</v>
      </c>
      <c r="H3168" s="49">
        <f t="shared" si="2"/>
        <v>74229</v>
      </c>
    </row>
    <row r="3169">
      <c r="A3169" s="48" t="s">
        <v>5479</v>
      </c>
      <c r="B3169" s="38">
        <v>67197.0</v>
      </c>
      <c r="C3169" s="38" t="s">
        <v>5480</v>
      </c>
      <c r="D3169" s="38" t="str">
        <f>IFERROR(__xludf.DUMMYFUNCTION("REGEXREPLACE(C3169,""-\d+(.*)|--\d+(.*)"","""")"),"HINDISHEIM")</f>
        <v>HINDISHEIM</v>
      </c>
      <c r="E3169" s="38" t="s">
        <v>210</v>
      </c>
      <c r="F3169" s="38" t="s">
        <v>151</v>
      </c>
      <c r="G3169" s="49" t="str">
        <f t="shared" si="1"/>
        <v>67150</v>
      </c>
      <c r="H3169" s="49">
        <f t="shared" si="2"/>
        <v>67197</v>
      </c>
    </row>
    <row r="3170">
      <c r="A3170" s="48" t="s">
        <v>5481</v>
      </c>
      <c r="B3170" s="38">
        <v>53186.0</v>
      </c>
      <c r="C3170" s="38" t="s">
        <v>5482</v>
      </c>
      <c r="D3170" s="38" t="str">
        <f>IFERROR(__xludf.DUMMYFUNCTION("REGEXREPLACE(C3170,""-\d+(.*)|--\d+(.*)"","""")"),"QUELAINES-SAINT-GAULT")</f>
        <v>QUELAINES-SAINT-GAULT</v>
      </c>
      <c r="E3170" s="38" t="s">
        <v>518</v>
      </c>
      <c r="F3170" s="38" t="s">
        <v>180</v>
      </c>
      <c r="G3170" s="49" t="str">
        <f t="shared" si="1"/>
        <v>53360</v>
      </c>
      <c r="H3170" s="49">
        <f t="shared" si="2"/>
        <v>53186</v>
      </c>
    </row>
    <row r="3171">
      <c r="A3171" s="48" t="s">
        <v>5483</v>
      </c>
      <c r="B3171" s="38">
        <v>58305.0</v>
      </c>
      <c r="C3171" s="38" t="s">
        <v>5484</v>
      </c>
      <c r="D3171" s="38" t="str">
        <f>IFERROR(__xludf.DUMMYFUNCTION("REGEXREPLACE(C3171,""-\d+(.*)|--\d+(.*)"","""")"),"VAUCLAIX")</f>
        <v>VAUCLAIX</v>
      </c>
      <c r="E3171" s="38" t="s">
        <v>219</v>
      </c>
      <c r="F3171" s="38" t="s">
        <v>106</v>
      </c>
      <c r="G3171" s="49" t="str">
        <f t="shared" si="1"/>
        <v>58140</v>
      </c>
      <c r="H3171" s="49">
        <f t="shared" si="2"/>
        <v>58305</v>
      </c>
    </row>
    <row r="3172">
      <c r="A3172" s="48" t="s">
        <v>5485</v>
      </c>
      <c r="B3172" s="38">
        <v>27330.0</v>
      </c>
      <c r="C3172" s="38" t="s">
        <v>5486</v>
      </c>
      <c r="D3172" s="38" t="str">
        <f>IFERROR(__xludf.DUMMYFUNCTION("REGEXREPLACE(C3172,""-\d+(.*)|--\d+(.*)"","""")"),"HERQUEVILLE")</f>
        <v>HERQUEVILLE</v>
      </c>
      <c r="E3172" s="38" t="s">
        <v>241</v>
      </c>
      <c r="F3172" s="38" t="s">
        <v>134</v>
      </c>
      <c r="G3172" s="49" t="str">
        <f t="shared" si="1"/>
        <v>27430</v>
      </c>
      <c r="H3172" s="49">
        <f t="shared" si="2"/>
        <v>27330</v>
      </c>
    </row>
    <row r="3173">
      <c r="A3173" s="48" t="s">
        <v>5487</v>
      </c>
      <c r="B3173" s="38">
        <v>27578.0</v>
      </c>
      <c r="C3173" s="38" t="s">
        <v>5488</v>
      </c>
      <c r="D3173" s="38" t="str">
        <f>IFERROR(__xludf.DUMMYFUNCTION("REGEXREPLACE(C3173,""-\d+(.*)|--\d+(.*)"","""")"),"SAINT-OUEN-D'ATTEZ")</f>
        <v>SAINT-OUEN-D'ATTEZ</v>
      </c>
      <c r="E3173" s="38" t="s">
        <v>241</v>
      </c>
      <c r="F3173" s="38" t="s">
        <v>134</v>
      </c>
      <c r="G3173" s="49" t="str">
        <f t="shared" si="1"/>
        <v>27160</v>
      </c>
      <c r="H3173" s="49">
        <f t="shared" si="2"/>
        <v>27578</v>
      </c>
    </row>
    <row r="3174">
      <c r="A3174" s="48" t="s">
        <v>1010</v>
      </c>
      <c r="B3174" s="38">
        <v>27161.0</v>
      </c>
      <c r="C3174" s="38" t="s">
        <v>5489</v>
      </c>
      <c r="D3174" s="38" t="str">
        <f>IFERROR(__xludf.DUMMYFUNCTION("REGEXREPLACE(C3174,""-\d+(.*)|--\d+(.*)"","""")"),"CLAVILLE")</f>
        <v>CLAVILLE</v>
      </c>
      <c r="E3174" s="38" t="s">
        <v>241</v>
      </c>
      <c r="F3174" s="38" t="s">
        <v>134</v>
      </c>
      <c r="G3174" s="49" t="str">
        <f t="shared" si="1"/>
        <v>27180</v>
      </c>
      <c r="H3174" s="49">
        <f t="shared" si="2"/>
        <v>27161</v>
      </c>
    </row>
    <row r="3175">
      <c r="A3175" s="48" t="s">
        <v>5490</v>
      </c>
      <c r="B3175" s="38">
        <v>22274.0</v>
      </c>
      <c r="C3175" s="38" t="s">
        <v>5491</v>
      </c>
      <c r="D3175" s="38" t="str">
        <f>IFERROR(__xludf.DUMMYFUNCTION("REGEXREPLACE(C3175,""-\d+(.*)|--\d+(.*)"","""")"),"SAINT-ANDRE-DES-EAUX")</f>
        <v>SAINT-ANDRE-DES-EAUX</v>
      </c>
      <c r="E3175" s="38" t="s">
        <v>89</v>
      </c>
      <c r="F3175" s="38" t="s">
        <v>90</v>
      </c>
      <c r="G3175" s="49" t="str">
        <f t="shared" si="1"/>
        <v>22630</v>
      </c>
      <c r="H3175" s="49">
        <f t="shared" si="2"/>
        <v>22274</v>
      </c>
    </row>
    <row r="3176">
      <c r="A3176" s="48" t="s">
        <v>2004</v>
      </c>
      <c r="B3176" s="38">
        <v>88102.0</v>
      </c>
      <c r="C3176" s="38" t="s">
        <v>5492</v>
      </c>
      <c r="D3176" s="38" t="str">
        <f>IFERROR(__xludf.DUMMYFUNCTION("REGEXREPLACE(C3176,""-\d+(.*)|--\d+(.*)"","""")"),"CHERMISEY")</f>
        <v>CHERMISEY</v>
      </c>
      <c r="E3176" s="38" t="s">
        <v>194</v>
      </c>
      <c r="F3176" s="38" t="s">
        <v>195</v>
      </c>
      <c r="G3176" s="49" t="str">
        <f t="shared" si="1"/>
        <v>88630</v>
      </c>
      <c r="H3176" s="49">
        <f t="shared" si="2"/>
        <v>88102</v>
      </c>
    </row>
    <row r="3177">
      <c r="A3177" s="48" t="s">
        <v>2097</v>
      </c>
      <c r="B3177" s="38">
        <v>42088.0</v>
      </c>
      <c r="C3177" s="38" t="s">
        <v>5493</v>
      </c>
      <c r="D3177" s="38" t="str">
        <f>IFERROR(__xludf.DUMMYFUNCTION("REGEXREPLACE(C3177,""-\d+(.*)|--\d+(.*)"","""")"),"EPERCIEUX-SAINT-PAUL")</f>
        <v>EPERCIEUX-SAINT-PAUL</v>
      </c>
      <c r="E3177" s="38" t="s">
        <v>166</v>
      </c>
      <c r="F3177" s="38" t="s">
        <v>102</v>
      </c>
      <c r="G3177" s="49" t="str">
        <f t="shared" si="1"/>
        <v>42110</v>
      </c>
      <c r="H3177" s="49">
        <f t="shared" si="2"/>
        <v>42088</v>
      </c>
    </row>
    <row r="3178">
      <c r="A3178" s="48" t="s">
        <v>1262</v>
      </c>
      <c r="B3178" s="38">
        <v>11234.0</v>
      </c>
      <c r="C3178" s="38" t="s">
        <v>5494</v>
      </c>
      <c r="D3178" s="38" t="str">
        <f>IFERROR(__xludf.DUMMYFUNCTION("REGEXREPLACE(C3178,""-\d+(.*)|--\d+(.*)"","""")"),"MIREVAL-LAURAGAIS")</f>
        <v>MIREVAL-LAURAGAIS</v>
      </c>
      <c r="E3178" s="38" t="s">
        <v>278</v>
      </c>
      <c r="F3178" s="38" t="s">
        <v>119</v>
      </c>
      <c r="G3178" s="49" t="str">
        <f t="shared" si="1"/>
        <v>11400</v>
      </c>
      <c r="H3178" s="49">
        <f t="shared" si="2"/>
        <v>11234</v>
      </c>
    </row>
    <row r="3179">
      <c r="A3179" s="48" t="s">
        <v>2534</v>
      </c>
      <c r="B3179" s="38">
        <v>27579.0</v>
      </c>
      <c r="C3179" s="38" t="s">
        <v>5495</v>
      </c>
      <c r="D3179" s="38" t="str">
        <f>IFERROR(__xludf.DUMMYFUNCTION("REGEXREPLACE(C3179,""-\d+(.*)|--\d+(.*)"","""")"),"SAINT-OUEN-DE-PONTCHEUIL")</f>
        <v>SAINT-OUEN-DE-PONTCHEUIL</v>
      </c>
      <c r="E3179" s="38" t="s">
        <v>241</v>
      </c>
      <c r="F3179" s="38" t="s">
        <v>134</v>
      </c>
      <c r="G3179" s="49" t="str">
        <f t="shared" si="1"/>
        <v>27370</v>
      </c>
      <c r="H3179" s="49">
        <f t="shared" si="2"/>
        <v>27579</v>
      </c>
    </row>
    <row r="3180">
      <c r="A3180" s="48" t="s">
        <v>468</v>
      </c>
      <c r="B3180" s="38">
        <v>26308.0</v>
      </c>
      <c r="C3180" s="38" t="s">
        <v>5496</v>
      </c>
      <c r="D3180" s="38" t="str">
        <f>IFERROR(__xludf.DUMMYFUNCTION("REGEXREPLACE(C3180,""-\d+(.*)|--\d+(.*)"","""")"),"SAINT-JULIEN-EN-QUINT")</f>
        <v>SAINT-JULIEN-EN-QUINT</v>
      </c>
      <c r="E3180" s="38" t="s">
        <v>126</v>
      </c>
      <c r="F3180" s="38" t="s">
        <v>102</v>
      </c>
      <c r="G3180" s="49" t="str">
        <f t="shared" si="1"/>
        <v>26150</v>
      </c>
      <c r="H3180" s="49">
        <f t="shared" si="2"/>
        <v>26308</v>
      </c>
    </row>
    <row r="3181">
      <c r="A3181" s="48" t="s">
        <v>5497</v>
      </c>
      <c r="B3181" s="38">
        <v>76351.0</v>
      </c>
      <c r="C3181" s="38" t="s">
        <v>5498</v>
      </c>
      <c r="D3181" s="38" t="str">
        <f>IFERROR(__xludf.DUMMYFUNCTION("REGEXREPLACE(C3181,""-\d+(.*)|--\d+(.*)"","""")"),"LE HAVRE")</f>
        <v>LE HAVRE</v>
      </c>
      <c r="E3181" s="38" t="s">
        <v>133</v>
      </c>
      <c r="F3181" s="38" t="s">
        <v>134</v>
      </c>
      <c r="G3181" s="49" t="str">
        <f t="shared" si="1"/>
        <v>76600/76610/76620</v>
      </c>
      <c r="H3181" s="49">
        <f t="shared" si="2"/>
        <v>76351</v>
      </c>
    </row>
    <row r="3182">
      <c r="A3182" s="48" t="s">
        <v>5499</v>
      </c>
      <c r="B3182" s="38">
        <v>47213.0</v>
      </c>
      <c r="C3182" s="38" t="s">
        <v>5500</v>
      </c>
      <c r="D3182" s="38" t="str">
        <f>IFERROR(__xludf.DUMMYFUNCTION("REGEXREPLACE(C3182,""-\d+(.*)|--\d+(.*)"","""")"),"PRAYSSAS")</f>
        <v>PRAYSSAS</v>
      </c>
      <c r="E3182" s="38" t="s">
        <v>251</v>
      </c>
      <c r="F3182" s="38" t="s">
        <v>252</v>
      </c>
      <c r="G3182" s="49" t="str">
        <f t="shared" si="1"/>
        <v>47360</v>
      </c>
      <c r="H3182" s="49">
        <f t="shared" si="2"/>
        <v>47213</v>
      </c>
    </row>
    <row r="3183">
      <c r="A3183" s="48" t="s">
        <v>5501</v>
      </c>
      <c r="B3183" s="38">
        <v>62841.0</v>
      </c>
      <c r="C3183" s="38" t="s">
        <v>5502</v>
      </c>
      <c r="D3183" s="38" t="str">
        <f>IFERROR(__xludf.DUMMYFUNCTION("REGEXREPLACE(C3183,""-\d+(.*)|--\d+(.*)"","""")"),"VENDIN-LES-BETHUNE")</f>
        <v>VENDIN-LES-BETHUNE</v>
      </c>
      <c r="E3183" s="38" t="s">
        <v>109</v>
      </c>
      <c r="F3183" s="38" t="s">
        <v>86</v>
      </c>
      <c r="G3183" s="49" t="str">
        <f t="shared" si="1"/>
        <v>62232</v>
      </c>
      <c r="H3183" s="49">
        <f t="shared" si="2"/>
        <v>62841</v>
      </c>
    </row>
    <row r="3184">
      <c r="A3184" s="48" t="s">
        <v>5503</v>
      </c>
      <c r="B3184" s="38">
        <v>78618.0</v>
      </c>
      <c r="C3184" s="38" t="s">
        <v>5504</v>
      </c>
      <c r="D3184" s="38" t="str">
        <f>IFERROR(__xludf.DUMMYFUNCTION("REGEXREPLACE(C3184,""-\d+(.*)|--\d+(.*)"","""")"),"TILLY")</f>
        <v>TILLY</v>
      </c>
      <c r="E3184" s="38" t="s">
        <v>362</v>
      </c>
      <c r="F3184" s="38" t="s">
        <v>245</v>
      </c>
      <c r="G3184" s="49" t="str">
        <f t="shared" si="1"/>
        <v>78790</v>
      </c>
      <c r="H3184" s="49">
        <f t="shared" si="2"/>
        <v>78618</v>
      </c>
    </row>
    <row r="3185">
      <c r="A3185" s="48" t="s">
        <v>198</v>
      </c>
      <c r="B3185" s="38">
        <v>65472.0</v>
      </c>
      <c r="C3185" s="38" t="s">
        <v>5505</v>
      </c>
      <c r="D3185" s="38" t="str">
        <f>IFERROR(__xludf.DUMMYFUNCTION("REGEXREPLACE(C3185,""-\d+(.*)|--\d+(.*)"","""")"),"VILLEFRANQUE")</f>
        <v>VILLEFRANQUE</v>
      </c>
      <c r="E3185" s="38" t="s">
        <v>200</v>
      </c>
      <c r="F3185" s="38" t="s">
        <v>94</v>
      </c>
      <c r="G3185" s="49" t="str">
        <f t="shared" si="1"/>
        <v>65700</v>
      </c>
      <c r="H3185" s="49">
        <f t="shared" si="2"/>
        <v>65472</v>
      </c>
    </row>
    <row r="3186">
      <c r="A3186" s="48" t="s">
        <v>4088</v>
      </c>
      <c r="B3186" s="38">
        <v>39216.0</v>
      </c>
      <c r="C3186" s="38" t="s">
        <v>5506</v>
      </c>
      <c r="D3186" s="38" t="str">
        <f>IFERROR(__xludf.DUMMYFUNCTION("REGEXREPLACE(C3186,""-\d+(.*)|--\d+(.*)"","""")"),"ETIVAL")</f>
        <v>ETIVAL</v>
      </c>
      <c r="E3186" s="38" t="s">
        <v>400</v>
      </c>
      <c r="F3186" s="38" t="s">
        <v>214</v>
      </c>
      <c r="G3186" s="49" t="str">
        <f t="shared" si="1"/>
        <v>39130</v>
      </c>
      <c r="H3186" s="49">
        <f t="shared" si="2"/>
        <v>39216</v>
      </c>
    </row>
    <row r="3187">
      <c r="A3187" s="48" t="s">
        <v>5507</v>
      </c>
      <c r="B3187" s="38">
        <v>6012.0</v>
      </c>
      <c r="C3187" s="38" t="s">
        <v>5508</v>
      </c>
      <c r="D3187" s="38" t="str">
        <f>IFERROR(__xludf.DUMMYFUNCTION("REGEXREPLACE(C3187,""-\d+(.*)|--\d+(.*)"","""")"),"BEAUSOLEIL")</f>
        <v>BEAUSOLEIL</v>
      </c>
      <c r="E3187" s="38" t="s">
        <v>227</v>
      </c>
      <c r="F3187" s="38" t="s">
        <v>228</v>
      </c>
      <c r="G3187" s="49" t="str">
        <f t="shared" si="1"/>
        <v>06240</v>
      </c>
      <c r="H3187" s="49" t="str">
        <f t="shared" si="2"/>
        <v>06012</v>
      </c>
    </row>
    <row r="3188">
      <c r="A3188" s="48" t="s">
        <v>2708</v>
      </c>
      <c r="B3188" s="38">
        <v>70323.0</v>
      </c>
      <c r="C3188" s="38" t="s">
        <v>5509</v>
      </c>
      <c r="D3188" s="38" t="str">
        <f>IFERROR(__xludf.DUMMYFUNCTION("REGEXREPLACE(C3188,""-\d+(.*)|--\d+(.*)"","""")"),"MAILLERONCOURT-SAINT-PANCRAS")</f>
        <v>MAILLERONCOURT-SAINT-PANCRAS</v>
      </c>
      <c r="E3188" s="38" t="s">
        <v>956</v>
      </c>
      <c r="F3188" s="38" t="s">
        <v>214</v>
      </c>
      <c r="G3188" s="49" t="str">
        <f t="shared" si="1"/>
        <v>70210</v>
      </c>
      <c r="H3188" s="49">
        <f t="shared" si="2"/>
        <v>70323</v>
      </c>
    </row>
    <row r="3189">
      <c r="A3189" s="48" t="s">
        <v>5111</v>
      </c>
      <c r="B3189" s="38">
        <v>47139.0</v>
      </c>
      <c r="C3189" s="38" t="s">
        <v>5510</v>
      </c>
      <c r="D3189" s="38" t="str">
        <f>IFERROR(__xludf.DUMMYFUNCTION("REGEXREPLACE(C3189,""-\d+(.*)|--\d+(.*)"","""")"),"LASSERRE")</f>
        <v>LASSERRE</v>
      </c>
      <c r="E3189" s="38" t="s">
        <v>251</v>
      </c>
      <c r="F3189" s="38" t="s">
        <v>252</v>
      </c>
      <c r="G3189" s="49" t="str">
        <f t="shared" si="1"/>
        <v>47600</v>
      </c>
      <c r="H3189" s="49">
        <f t="shared" si="2"/>
        <v>47139</v>
      </c>
    </row>
    <row r="3190">
      <c r="A3190" s="48" t="s">
        <v>5511</v>
      </c>
      <c r="B3190" s="38">
        <v>53093.0</v>
      </c>
      <c r="C3190" s="38" t="s">
        <v>5512</v>
      </c>
      <c r="D3190" s="38" t="str">
        <f>IFERROR(__xludf.DUMMYFUNCTION("REGEXREPLACE(C3190,""-\d+(.*)|--\d+(.*)"","""")"),"LA DOREE")</f>
        <v>LA DOREE</v>
      </c>
      <c r="E3190" s="38" t="s">
        <v>518</v>
      </c>
      <c r="F3190" s="38" t="s">
        <v>180</v>
      </c>
      <c r="G3190" s="49" t="str">
        <f t="shared" si="1"/>
        <v>53190</v>
      </c>
      <c r="H3190" s="49">
        <f t="shared" si="2"/>
        <v>53093</v>
      </c>
    </row>
    <row r="3191">
      <c r="A3191" s="48" t="s">
        <v>5513</v>
      </c>
      <c r="B3191" s="38">
        <v>57711.0</v>
      </c>
      <c r="C3191" s="38" t="s">
        <v>5514</v>
      </c>
      <c r="D3191" s="38" t="str">
        <f>IFERROR(__xludf.DUMMYFUNCTION("REGEXREPLACE(C3191,""-\d+(.*)|--\d+(.*)"","""")"),"VIBERSVILLER")</f>
        <v>VIBERSVILLER</v>
      </c>
      <c r="E3191" s="38" t="s">
        <v>303</v>
      </c>
      <c r="F3191" s="38" t="s">
        <v>195</v>
      </c>
      <c r="G3191" s="49" t="str">
        <f t="shared" si="1"/>
        <v>57670</v>
      </c>
      <c r="H3191" s="49">
        <f t="shared" si="2"/>
        <v>57711</v>
      </c>
    </row>
    <row r="3192">
      <c r="A3192" s="48" t="s">
        <v>5515</v>
      </c>
      <c r="B3192" s="38">
        <v>72126.0</v>
      </c>
      <c r="C3192" s="38" t="s">
        <v>5516</v>
      </c>
      <c r="D3192" s="38" t="str">
        <f>IFERROR(__xludf.DUMMYFUNCTION("REGEXREPLACE(C3192,""-\d+(.*)|--\d+(.*)"","""")"),"EPINEU-LE-CHEVREUIL")</f>
        <v>EPINEU-LE-CHEVREUIL</v>
      </c>
      <c r="E3192" s="38" t="s">
        <v>521</v>
      </c>
      <c r="F3192" s="38" t="s">
        <v>180</v>
      </c>
      <c r="G3192" s="49" t="str">
        <f t="shared" si="1"/>
        <v>72540</v>
      </c>
      <c r="H3192" s="49">
        <f t="shared" si="2"/>
        <v>72126</v>
      </c>
    </row>
    <row r="3193">
      <c r="A3193" s="48" t="s">
        <v>5517</v>
      </c>
      <c r="B3193" s="38">
        <v>69287.0</v>
      </c>
      <c r="C3193" s="38" t="s">
        <v>5518</v>
      </c>
      <c r="D3193" s="38" t="str">
        <f>IFERROR(__xludf.DUMMYFUNCTION("REGEXREPLACE(C3193,""-\d+(.*)|--\d+(.*)"","""")"),"SAINT-BONNET-DE-MURE")</f>
        <v>SAINT-BONNET-DE-MURE</v>
      </c>
      <c r="E3193" s="38" t="s">
        <v>350</v>
      </c>
      <c r="F3193" s="38" t="s">
        <v>102</v>
      </c>
      <c r="G3193" s="49" t="str">
        <f t="shared" si="1"/>
        <v>69720</v>
      </c>
      <c r="H3193" s="49">
        <f t="shared" si="2"/>
        <v>69287</v>
      </c>
    </row>
    <row r="3194">
      <c r="A3194" s="48" t="s">
        <v>1903</v>
      </c>
      <c r="B3194" s="38">
        <v>10221.0</v>
      </c>
      <c r="C3194" s="38" t="s">
        <v>5519</v>
      </c>
      <c r="D3194" s="38" t="str">
        <f>IFERROR(__xludf.DUMMYFUNCTION("REGEXREPLACE(C3194,""-\d+(.*)|--\d+(.*)"","""")"),"MAIZIERES-LES-BRIENNE")</f>
        <v>MAIZIERES-LES-BRIENNE</v>
      </c>
      <c r="E3194" s="38" t="s">
        <v>147</v>
      </c>
      <c r="F3194" s="38" t="s">
        <v>130</v>
      </c>
      <c r="G3194" s="49" t="str">
        <f t="shared" si="1"/>
        <v>10500</v>
      </c>
      <c r="H3194" s="49">
        <f t="shared" si="2"/>
        <v>10221</v>
      </c>
    </row>
    <row r="3195">
      <c r="A3195" s="48" t="s">
        <v>1794</v>
      </c>
      <c r="B3195" s="38">
        <v>64453.0</v>
      </c>
      <c r="C3195" s="38" t="s">
        <v>5520</v>
      </c>
      <c r="D3195" s="38" t="str">
        <f>IFERROR(__xludf.DUMMYFUNCTION("REGEXREPLACE(C3195,""-\d+(.*)|--\d+(.*)"","""")"),"PONTACQ")</f>
        <v>PONTACQ</v>
      </c>
      <c r="E3195" s="38" t="s">
        <v>268</v>
      </c>
      <c r="F3195" s="38" t="s">
        <v>252</v>
      </c>
      <c r="G3195" s="49" t="str">
        <f t="shared" si="1"/>
        <v>64530</v>
      </c>
      <c r="H3195" s="49">
        <f t="shared" si="2"/>
        <v>64453</v>
      </c>
    </row>
    <row r="3196">
      <c r="A3196" s="48" t="s">
        <v>5521</v>
      </c>
      <c r="B3196" s="38">
        <v>85104.0</v>
      </c>
      <c r="C3196" s="38" t="s">
        <v>5522</v>
      </c>
      <c r="D3196" s="38" t="str">
        <f>IFERROR(__xludf.DUMMYFUNCTION("REGEXREPLACE(C3196,""-\d+(.*)|--\d+(.*)"","""")"),"GRUES")</f>
        <v>GRUES</v>
      </c>
      <c r="E3196" s="38" t="s">
        <v>179</v>
      </c>
      <c r="F3196" s="38" t="s">
        <v>180</v>
      </c>
      <c r="G3196" s="49" t="str">
        <f t="shared" si="1"/>
        <v>85580</v>
      </c>
      <c r="H3196" s="49">
        <f t="shared" si="2"/>
        <v>85104</v>
      </c>
    </row>
    <row r="3197">
      <c r="A3197" s="48" t="s">
        <v>3116</v>
      </c>
      <c r="B3197" s="38">
        <v>91533.0</v>
      </c>
      <c r="C3197" s="38" t="s">
        <v>5523</v>
      </c>
      <c r="D3197" s="38" t="str">
        <f>IFERROR(__xludf.DUMMYFUNCTION("REGEXREPLACE(C3197,""-\d+(.*)|--\d+(.*)"","""")"),"SACLAS")</f>
        <v>SACLAS</v>
      </c>
      <c r="E3197" s="38" t="s">
        <v>756</v>
      </c>
      <c r="F3197" s="38" t="s">
        <v>245</v>
      </c>
      <c r="G3197" s="49" t="str">
        <f t="shared" si="1"/>
        <v>91690</v>
      </c>
      <c r="H3197" s="49">
        <f t="shared" si="2"/>
        <v>91533</v>
      </c>
    </row>
    <row r="3198">
      <c r="A3198" s="48" t="s">
        <v>732</v>
      </c>
      <c r="B3198" s="38">
        <v>10338.0</v>
      </c>
      <c r="C3198" s="38" t="s">
        <v>5524</v>
      </c>
      <c r="D3198" s="38" t="str">
        <f>IFERROR(__xludf.DUMMYFUNCTION("REGEXREPLACE(C3198,""-\d+(.*)|--\d+(.*)"","""")"),"SAINT-ETIENNE-SOUS-BARBUISE")</f>
        <v>SAINT-ETIENNE-SOUS-BARBUISE</v>
      </c>
      <c r="E3198" s="38" t="s">
        <v>147</v>
      </c>
      <c r="F3198" s="38" t="s">
        <v>130</v>
      </c>
      <c r="G3198" s="49" t="str">
        <f t="shared" si="1"/>
        <v>10700</v>
      </c>
      <c r="H3198" s="49">
        <f t="shared" si="2"/>
        <v>10338</v>
      </c>
    </row>
    <row r="3199">
      <c r="A3199" s="48" t="s">
        <v>5525</v>
      </c>
      <c r="B3199" s="38">
        <v>10438.0</v>
      </c>
      <c r="C3199" s="38" t="s">
        <v>5526</v>
      </c>
      <c r="D3199" s="38" t="str">
        <f>IFERROR(__xludf.DUMMYFUNCTION("REGEXREPLACE(C3199,""-\d+(.*)|--\d+(.*)"","""")"),"VITRY-LE-CROISE")</f>
        <v>VITRY-LE-CROISE</v>
      </c>
      <c r="E3199" s="38" t="s">
        <v>147</v>
      </c>
      <c r="F3199" s="38" t="s">
        <v>130</v>
      </c>
      <c r="G3199" s="49" t="str">
        <f t="shared" si="1"/>
        <v>10110</v>
      </c>
      <c r="H3199" s="49">
        <f t="shared" si="2"/>
        <v>10438</v>
      </c>
    </row>
    <row r="3200">
      <c r="A3200" s="48" t="s">
        <v>3558</v>
      </c>
      <c r="B3200" s="38">
        <v>80417.0</v>
      </c>
      <c r="C3200" s="38" t="s">
        <v>5527</v>
      </c>
      <c r="D3200" s="38" t="str">
        <f>IFERROR(__xludf.DUMMYFUNCTION("REGEXREPLACE(C3200,""-\d+(.*)|--\d+(.*)"","""")"),"HARBONNIERES")</f>
        <v>HARBONNIERES</v>
      </c>
      <c r="E3200" s="38" t="s">
        <v>224</v>
      </c>
      <c r="F3200" s="38" t="s">
        <v>113</v>
      </c>
      <c r="G3200" s="49" t="str">
        <f t="shared" si="1"/>
        <v>80131</v>
      </c>
      <c r="H3200" s="49">
        <f t="shared" si="2"/>
        <v>80417</v>
      </c>
    </row>
    <row r="3201">
      <c r="A3201" s="48" t="s">
        <v>1262</v>
      </c>
      <c r="B3201" s="38">
        <v>11195.0</v>
      </c>
      <c r="C3201" s="38" t="s">
        <v>5528</v>
      </c>
      <c r="D3201" s="38" t="str">
        <f>IFERROR(__xludf.DUMMYFUNCTION("REGEXREPLACE(C3201,""-\d+(.*)|--\d+(.*)"","""")"),"LAURABUC")</f>
        <v>LAURABUC</v>
      </c>
      <c r="E3201" s="38" t="s">
        <v>278</v>
      </c>
      <c r="F3201" s="38" t="s">
        <v>119</v>
      </c>
      <c r="G3201" s="49" t="str">
        <f t="shared" si="1"/>
        <v>11400</v>
      </c>
      <c r="H3201" s="49">
        <f t="shared" si="2"/>
        <v>11195</v>
      </c>
    </row>
    <row r="3202">
      <c r="A3202" s="48" t="s">
        <v>3036</v>
      </c>
      <c r="B3202" s="38">
        <v>61413.0</v>
      </c>
      <c r="C3202" s="38" t="s">
        <v>5529</v>
      </c>
      <c r="D3202" s="38" t="str">
        <f>IFERROR(__xludf.DUMMYFUNCTION("REGEXREPLACE(C3202,""-\d+(.*)|--\d+(.*)"","""")"),"SAINT-LAMBERT-SUR-DIVE")</f>
        <v>SAINT-LAMBERT-SUR-DIVE</v>
      </c>
      <c r="E3202" s="38" t="s">
        <v>141</v>
      </c>
      <c r="F3202" s="38" t="s">
        <v>138</v>
      </c>
      <c r="G3202" s="49" t="str">
        <f t="shared" si="1"/>
        <v>61160</v>
      </c>
      <c r="H3202" s="49">
        <f t="shared" si="2"/>
        <v>61413</v>
      </c>
    </row>
    <row r="3203">
      <c r="A3203" s="48" t="s">
        <v>4292</v>
      </c>
      <c r="B3203" s="38">
        <v>74168.0</v>
      </c>
      <c r="C3203" s="38" t="s">
        <v>5530</v>
      </c>
      <c r="D3203" s="38" t="str">
        <f>IFERROR(__xludf.DUMMYFUNCTION("REGEXREPLACE(C3203,""-\d+(.*)|--\d+(.*)"","""")"),"MARLIOZ")</f>
        <v>MARLIOZ</v>
      </c>
      <c r="E3203" s="38" t="s">
        <v>319</v>
      </c>
      <c r="F3203" s="38" t="s">
        <v>102</v>
      </c>
      <c r="G3203" s="49" t="str">
        <f t="shared" si="1"/>
        <v>74270</v>
      </c>
      <c r="H3203" s="49">
        <f t="shared" si="2"/>
        <v>74168</v>
      </c>
    </row>
    <row r="3204">
      <c r="A3204" s="48" t="s">
        <v>1216</v>
      </c>
      <c r="B3204" s="38">
        <v>21636.0</v>
      </c>
      <c r="C3204" s="38" t="s">
        <v>5531</v>
      </c>
      <c r="D3204" s="38" t="str">
        <f>IFERROR(__xludf.DUMMYFUNCTION("REGEXREPLACE(C3204,""-\d+(.*)|--\d+(.*)"","""")"),"THURY")</f>
        <v>THURY</v>
      </c>
      <c r="E3204" s="38" t="s">
        <v>105</v>
      </c>
      <c r="F3204" s="38" t="s">
        <v>106</v>
      </c>
      <c r="G3204" s="49" t="str">
        <f t="shared" si="1"/>
        <v>21340</v>
      </c>
      <c r="H3204" s="49">
        <f t="shared" si="2"/>
        <v>21636</v>
      </c>
    </row>
    <row r="3205">
      <c r="A3205" s="48" t="s">
        <v>5532</v>
      </c>
      <c r="B3205" s="38">
        <v>30293.0</v>
      </c>
      <c r="C3205" s="38" t="s">
        <v>5533</v>
      </c>
      <c r="D3205" s="38" t="str">
        <f>IFERROR(__xludf.DUMMYFUNCTION("REGEXREPLACE(C3205,""-\d+(.*)|--\d+(.*)"","""")"),"SAINT-PRIVAT-DE-CHAMPCLOS")</f>
        <v>SAINT-PRIVAT-DE-CHAMPCLOS</v>
      </c>
      <c r="E3205" s="38" t="s">
        <v>526</v>
      </c>
      <c r="F3205" s="38" t="s">
        <v>119</v>
      </c>
      <c r="G3205" s="49" t="str">
        <f t="shared" si="1"/>
        <v>30430</v>
      </c>
      <c r="H3205" s="49">
        <f t="shared" si="2"/>
        <v>30293</v>
      </c>
    </row>
    <row r="3206">
      <c r="A3206" s="48" t="s">
        <v>5534</v>
      </c>
      <c r="B3206" s="38">
        <v>54007.0</v>
      </c>
      <c r="C3206" s="38" t="s">
        <v>5535</v>
      </c>
      <c r="D3206" s="38" t="str">
        <f>IFERROR(__xludf.DUMMYFUNCTION("REGEXREPLACE(C3206,""-\d+(.*)|--\d+(.*)"","""")"),"AINGERAY")</f>
        <v>AINGERAY</v>
      </c>
      <c r="E3206" s="38" t="s">
        <v>548</v>
      </c>
      <c r="F3206" s="38" t="s">
        <v>195</v>
      </c>
      <c r="G3206" s="49" t="str">
        <f t="shared" si="1"/>
        <v>54460</v>
      </c>
      <c r="H3206" s="49">
        <f t="shared" si="2"/>
        <v>54007</v>
      </c>
    </row>
    <row r="3207">
      <c r="A3207" s="48" t="s">
        <v>832</v>
      </c>
      <c r="B3207" s="38">
        <v>12107.0</v>
      </c>
      <c r="C3207" s="38" t="s">
        <v>5536</v>
      </c>
      <c r="D3207" s="38" t="str">
        <f>IFERROR(__xludf.DUMMYFUNCTION("REGEXREPLACE(C3207,""-\d+(.*)|--\d+(.*)"","""")"),"GAILLAC-D'AVEYRON")</f>
        <v>GAILLAC-D'AVEYRON</v>
      </c>
      <c r="E3207" s="38" t="s">
        <v>465</v>
      </c>
      <c r="F3207" s="38" t="s">
        <v>94</v>
      </c>
      <c r="G3207" s="49" t="str">
        <f t="shared" si="1"/>
        <v>12310</v>
      </c>
      <c r="H3207" s="49">
        <f t="shared" si="2"/>
        <v>12107</v>
      </c>
    </row>
    <row r="3208">
      <c r="A3208" s="48" t="s">
        <v>1887</v>
      </c>
      <c r="B3208" s="38">
        <v>88455.0</v>
      </c>
      <c r="C3208" s="38" t="s">
        <v>5537</v>
      </c>
      <c r="D3208" s="38" t="str">
        <f>IFERROR(__xludf.DUMMYFUNCTION("REGEXREPLACE(C3208,""-\d+(.*)|--\d+(.*)"","""")"),"SERECOURT")</f>
        <v>SERECOURT</v>
      </c>
      <c r="E3208" s="38" t="s">
        <v>194</v>
      </c>
      <c r="F3208" s="38" t="s">
        <v>195</v>
      </c>
      <c r="G3208" s="49" t="str">
        <f t="shared" si="1"/>
        <v>88320</v>
      </c>
      <c r="H3208" s="49">
        <f t="shared" si="2"/>
        <v>88455</v>
      </c>
    </row>
    <row r="3209">
      <c r="A3209" s="48" t="s">
        <v>5538</v>
      </c>
      <c r="B3209" s="38">
        <v>31117.0</v>
      </c>
      <c r="C3209" s="38" t="s">
        <v>5539</v>
      </c>
      <c r="D3209" s="38" t="str">
        <f>IFERROR(__xludf.DUMMYFUNCTION("REGEXREPLACE(C3209,""-\d+(.*)|--\d+(.*)"","""")"),"CASTELMAUROU")</f>
        <v>CASTELMAUROU</v>
      </c>
      <c r="E3209" s="38" t="s">
        <v>93</v>
      </c>
      <c r="F3209" s="38" t="s">
        <v>94</v>
      </c>
      <c r="G3209" s="49" t="str">
        <f t="shared" si="1"/>
        <v>31180</v>
      </c>
      <c r="H3209" s="49">
        <f t="shared" si="2"/>
        <v>31117</v>
      </c>
    </row>
    <row r="3210">
      <c r="A3210" s="48" t="s">
        <v>5540</v>
      </c>
      <c r="B3210" s="38">
        <v>97126.0</v>
      </c>
      <c r="C3210" s="38" t="s">
        <v>5279</v>
      </c>
      <c r="D3210" s="38" t="str">
        <f>IFERROR(__xludf.DUMMYFUNCTION("REGEXREPLACE(C3210,""-\d+(.*)|--\d+(.*)"","""")"),"SAINT-LOUIS")</f>
        <v>SAINT-LOUIS</v>
      </c>
      <c r="E3210" s="38" t="s">
        <v>2023</v>
      </c>
      <c r="F3210" s="38" t="s">
        <v>2023</v>
      </c>
      <c r="G3210" s="49" t="str">
        <f t="shared" si="1"/>
        <v>97134</v>
      </c>
      <c r="H3210" s="49">
        <f t="shared" si="2"/>
        <v>97126</v>
      </c>
    </row>
    <row r="3211">
      <c r="A3211" s="48" t="s">
        <v>2019</v>
      </c>
      <c r="B3211" s="38">
        <v>90030.0</v>
      </c>
      <c r="C3211" s="38" t="s">
        <v>5541</v>
      </c>
      <c r="D3211" s="38" t="str">
        <f>IFERROR(__xludf.DUMMYFUNCTION("REGEXREPLACE(C3211,""-\d+(.*)|--\d+(.*)"","""")"),"CROIX")</f>
        <v>CROIX</v>
      </c>
      <c r="E3211" s="38" t="s">
        <v>1283</v>
      </c>
      <c r="F3211" s="38" t="s">
        <v>214</v>
      </c>
      <c r="G3211" s="49" t="str">
        <f t="shared" si="1"/>
        <v>90100</v>
      </c>
      <c r="H3211" s="49">
        <f t="shared" si="2"/>
        <v>90030</v>
      </c>
    </row>
    <row r="3212">
      <c r="A3212" s="48" t="s">
        <v>5542</v>
      </c>
      <c r="B3212" s="38">
        <v>89252.0</v>
      </c>
      <c r="C3212" s="38" t="s">
        <v>5543</v>
      </c>
      <c r="D3212" s="38" t="str">
        <f>IFERROR(__xludf.DUMMYFUNCTION("REGEXREPLACE(C3212,""-\d+(.*)|--\d+(.*)"","""")"),"MERRY-SEC")</f>
        <v>MERRY-SEC</v>
      </c>
      <c r="E3212" s="38" t="s">
        <v>275</v>
      </c>
      <c r="F3212" s="38" t="s">
        <v>106</v>
      </c>
      <c r="G3212" s="49" t="str">
        <f t="shared" si="1"/>
        <v>89560</v>
      </c>
      <c r="H3212" s="49">
        <f t="shared" si="2"/>
        <v>89252</v>
      </c>
    </row>
    <row r="3213">
      <c r="A3213" s="48" t="s">
        <v>181</v>
      </c>
      <c r="B3213" s="38">
        <v>51310.0</v>
      </c>
      <c r="C3213" s="38" t="s">
        <v>5544</v>
      </c>
      <c r="D3213" s="38" t="str">
        <f>IFERROR(__xludf.DUMMYFUNCTION("REGEXREPLACE(C3213,""-\d+(.*)|--\d+(.*)"","""")"),"JOUY-LES-REIMS")</f>
        <v>JOUY-LES-REIMS</v>
      </c>
      <c r="E3213" s="38" t="s">
        <v>129</v>
      </c>
      <c r="F3213" s="38" t="s">
        <v>130</v>
      </c>
      <c r="G3213" s="49" t="str">
        <f t="shared" si="1"/>
        <v>51390</v>
      </c>
      <c r="H3213" s="49">
        <f t="shared" si="2"/>
        <v>51310</v>
      </c>
    </row>
    <row r="3214">
      <c r="A3214" s="48" t="s">
        <v>5545</v>
      </c>
      <c r="B3214" s="38">
        <v>22098.0</v>
      </c>
      <c r="C3214" s="38" t="s">
        <v>5546</v>
      </c>
      <c r="D3214" s="38" t="str">
        <f>IFERROR(__xludf.DUMMYFUNCTION("REGEXREPLACE(C3214,""-\d+(.*)|--\d+(.*)"","""")"),"LANDEHEN")</f>
        <v>LANDEHEN</v>
      </c>
      <c r="E3214" s="38" t="s">
        <v>89</v>
      </c>
      <c r="F3214" s="38" t="s">
        <v>90</v>
      </c>
      <c r="G3214" s="49" t="str">
        <f t="shared" si="1"/>
        <v>22400</v>
      </c>
      <c r="H3214" s="49">
        <f t="shared" si="2"/>
        <v>22098</v>
      </c>
    </row>
    <row r="3215">
      <c r="A3215" s="48" t="s">
        <v>148</v>
      </c>
      <c r="B3215" s="38">
        <v>68124.0</v>
      </c>
      <c r="C3215" s="38" t="s">
        <v>5547</v>
      </c>
      <c r="D3215" s="38" t="str">
        <f>IFERROR(__xludf.DUMMYFUNCTION("REGEXREPLACE(C3215,""-\d+(.*)|--\d+(.*)"","""")"),"HAUSGAUEN")</f>
        <v>HAUSGAUEN</v>
      </c>
      <c r="E3215" s="38" t="s">
        <v>150</v>
      </c>
      <c r="F3215" s="38" t="s">
        <v>151</v>
      </c>
      <c r="G3215" s="49" t="str">
        <f t="shared" si="1"/>
        <v>68130</v>
      </c>
      <c r="H3215" s="49">
        <f t="shared" si="2"/>
        <v>68124</v>
      </c>
    </row>
    <row r="3216">
      <c r="A3216" s="48" t="s">
        <v>5548</v>
      </c>
      <c r="B3216" s="38">
        <v>57598.0</v>
      </c>
      <c r="C3216" s="38" t="s">
        <v>5549</v>
      </c>
      <c r="D3216" s="38" t="str">
        <f>IFERROR(__xludf.DUMMYFUNCTION("REGEXREPLACE(C3216,""-\d+(.*)|--\d+(.*)"","""")"),"ROUHLING")</f>
        <v>ROUHLING</v>
      </c>
      <c r="E3216" s="38" t="s">
        <v>303</v>
      </c>
      <c r="F3216" s="38" t="s">
        <v>195</v>
      </c>
      <c r="G3216" s="49" t="str">
        <f t="shared" si="1"/>
        <v>57520</v>
      </c>
      <c r="H3216" s="49">
        <f t="shared" si="2"/>
        <v>57598</v>
      </c>
    </row>
    <row r="3217">
      <c r="A3217" s="48" t="s">
        <v>2675</v>
      </c>
      <c r="B3217" s="38">
        <v>44166.0</v>
      </c>
      <c r="C3217" s="38" t="s">
        <v>5550</v>
      </c>
      <c r="D3217" s="38" t="str">
        <f>IFERROR(__xludf.DUMMYFUNCTION("REGEXREPLACE(C3217,""-\d+(.*)|--\d+(.*)"","""")"),"SAINT-JEAN-DE-BOISEAU")</f>
        <v>SAINT-JEAN-DE-BOISEAU</v>
      </c>
      <c r="E3217" s="38" t="s">
        <v>759</v>
      </c>
      <c r="F3217" s="38" t="s">
        <v>180</v>
      </c>
      <c r="G3217" s="49" t="str">
        <f t="shared" si="1"/>
        <v>44640</v>
      </c>
      <c r="H3217" s="49">
        <f t="shared" si="2"/>
        <v>44166</v>
      </c>
    </row>
    <row r="3218">
      <c r="A3218" s="48" t="s">
        <v>5551</v>
      </c>
      <c r="B3218" s="38">
        <v>71266.0</v>
      </c>
      <c r="C3218" s="38" t="s">
        <v>5552</v>
      </c>
      <c r="D3218" s="38" t="str">
        <f>IFERROR(__xludf.DUMMYFUNCTION("REGEXREPLACE(C3218,""-\d+(.*)|--\d+(.*)"","""")"),"LUCENAY-L'EVEQUE")</f>
        <v>LUCENAY-L'EVEQUE</v>
      </c>
      <c r="E3218" s="38" t="s">
        <v>344</v>
      </c>
      <c r="F3218" s="38" t="s">
        <v>106</v>
      </c>
      <c r="G3218" s="49" t="str">
        <f t="shared" si="1"/>
        <v>71540</v>
      </c>
      <c r="H3218" s="49">
        <f t="shared" si="2"/>
        <v>71266</v>
      </c>
    </row>
    <row r="3219">
      <c r="A3219" s="48" t="s">
        <v>5553</v>
      </c>
      <c r="B3219" s="38">
        <v>34133.0</v>
      </c>
      <c r="C3219" s="38" t="s">
        <v>5554</v>
      </c>
      <c r="D3219" s="38" t="str">
        <f>IFERROR(__xludf.DUMMYFUNCTION("REGEXREPLACE(C3219,""-\d+(.*)|--\d+(.*)"","""")"),"LAVALETTE")</f>
        <v>LAVALETTE</v>
      </c>
      <c r="E3219" s="38" t="s">
        <v>118</v>
      </c>
      <c r="F3219" s="38" t="s">
        <v>119</v>
      </c>
      <c r="G3219" s="49" t="str">
        <f t="shared" si="1"/>
        <v>34700</v>
      </c>
      <c r="H3219" s="49">
        <f t="shared" si="2"/>
        <v>34133</v>
      </c>
    </row>
    <row r="3220">
      <c r="A3220" s="48" t="s">
        <v>5555</v>
      </c>
      <c r="B3220" s="38">
        <v>82071.0</v>
      </c>
      <c r="C3220" s="38" t="s">
        <v>5556</v>
      </c>
      <c r="D3220" s="38" t="str">
        <f>IFERROR(__xludf.DUMMYFUNCTION("REGEXREPLACE(C3220,""-\d+(.*)|--\d+(.*)"","""")"),"GOAS")</f>
        <v>GOAS</v>
      </c>
      <c r="E3220" s="38" t="s">
        <v>570</v>
      </c>
      <c r="F3220" s="38" t="s">
        <v>94</v>
      </c>
      <c r="G3220" s="49" t="str">
        <f t="shared" si="1"/>
        <v>82500</v>
      </c>
      <c r="H3220" s="49">
        <f t="shared" si="2"/>
        <v>82071</v>
      </c>
    </row>
    <row r="3221">
      <c r="A3221" s="48" t="s">
        <v>1833</v>
      </c>
      <c r="B3221" s="38">
        <v>31480.0</v>
      </c>
      <c r="C3221" s="38" t="s">
        <v>5557</v>
      </c>
      <c r="D3221" s="38" t="str">
        <f>IFERROR(__xludf.DUMMYFUNCTION("REGEXREPLACE(C3221,""-\d+(.*)|--\d+(.*)"","""")"),"SAINTE-FOY-D'AIGREFEUILLE")</f>
        <v>SAINTE-FOY-D'AIGREFEUILLE</v>
      </c>
      <c r="E3221" s="38" t="s">
        <v>93</v>
      </c>
      <c r="F3221" s="38" t="s">
        <v>94</v>
      </c>
      <c r="G3221" s="49" t="str">
        <f t="shared" si="1"/>
        <v>31570</v>
      </c>
      <c r="H3221" s="49">
        <f t="shared" si="2"/>
        <v>31480</v>
      </c>
    </row>
    <row r="3222">
      <c r="A3222" s="48" t="s">
        <v>5558</v>
      </c>
      <c r="B3222" s="38">
        <v>14481.0</v>
      </c>
      <c r="C3222" s="38" t="s">
        <v>5559</v>
      </c>
      <c r="D3222" s="38" t="str">
        <f>IFERROR(__xludf.DUMMYFUNCTION("REGEXREPLACE(C3222,""-\d+(.*)|--\d+(.*)"","""")"),"LES OUBEAUX")</f>
        <v>LES OUBEAUX</v>
      </c>
      <c r="E3222" s="38" t="s">
        <v>137</v>
      </c>
      <c r="F3222" s="38" t="s">
        <v>138</v>
      </c>
      <c r="G3222" s="49" t="str">
        <f t="shared" si="1"/>
        <v>14230</v>
      </c>
      <c r="H3222" s="49">
        <f t="shared" si="2"/>
        <v>14481</v>
      </c>
    </row>
    <row r="3223">
      <c r="A3223" s="48" t="s">
        <v>5560</v>
      </c>
      <c r="B3223" s="38">
        <v>4204.0</v>
      </c>
      <c r="C3223" s="38" t="s">
        <v>5561</v>
      </c>
      <c r="D3223" s="38" t="str">
        <f>IFERROR(__xludf.DUMMYFUNCTION("REGEXREPLACE(C3223,""-\d+(.*)|--\d+(.*)"","""")"),"SENEZ")</f>
        <v>SENEZ</v>
      </c>
      <c r="E3223" s="38" t="s">
        <v>662</v>
      </c>
      <c r="F3223" s="38" t="s">
        <v>228</v>
      </c>
      <c r="G3223" s="49" t="str">
        <f t="shared" si="1"/>
        <v>04330</v>
      </c>
      <c r="H3223" s="49" t="str">
        <f t="shared" si="2"/>
        <v>04204</v>
      </c>
    </row>
    <row r="3224">
      <c r="A3224" s="48" t="s">
        <v>586</v>
      </c>
      <c r="B3224" s="38">
        <v>67463.0</v>
      </c>
      <c r="C3224" s="38" t="s">
        <v>5562</v>
      </c>
      <c r="D3224" s="38" t="str">
        <f>IFERROR(__xludf.DUMMYFUNCTION("REGEXREPLACE(C3224,""-\d+(.*)|--\d+(.*)"","""")"),"SELTZ")</f>
        <v>SELTZ</v>
      </c>
      <c r="E3224" s="38" t="s">
        <v>210</v>
      </c>
      <c r="F3224" s="38" t="s">
        <v>151</v>
      </c>
      <c r="G3224" s="49" t="str">
        <f t="shared" si="1"/>
        <v>67470</v>
      </c>
      <c r="H3224" s="49">
        <f t="shared" si="2"/>
        <v>67463</v>
      </c>
    </row>
    <row r="3225">
      <c r="A3225" s="48" t="s">
        <v>5563</v>
      </c>
      <c r="B3225" s="38">
        <v>32368.0</v>
      </c>
      <c r="C3225" s="38" t="s">
        <v>5564</v>
      </c>
      <c r="D3225" s="38" t="str">
        <f>IFERROR(__xludf.DUMMYFUNCTION("REGEXREPLACE(C3225,""-\d+(.*)|--\d+(.*)"","""")"),"SAINTE-CHRISTIE")</f>
        <v>SAINTE-CHRISTIE</v>
      </c>
      <c r="E3225" s="38" t="s">
        <v>440</v>
      </c>
      <c r="F3225" s="38" t="s">
        <v>94</v>
      </c>
      <c r="G3225" s="49" t="str">
        <f t="shared" si="1"/>
        <v>32390</v>
      </c>
      <c r="H3225" s="49">
        <f t="shared" si="2"/>
        <v>32368</v>
      </c>
    </row>
    <row r="3226">
      <c r="A3226" s="48" t="s">
        <v>5565</v>
      </c>
      <c r="B3226" s="38">
        <v>63281.0</v>
      </c>
      <c r="C3226" s="38" t="s">
        <v>5566</v>
      </c>
      <c r="D3226" s="38" t="str">
        <f>IFERROR(__xludf.DUMMYFUNCTION("REGEXREPLACE(C3226,""-\d+(.*)|--\d+(.*)"","""")"),"PIONSAT")</f>
        <v>PIONSAT</v>
      </c>
      <c r="E3226" s="38" t="s">
        <v>353</v>
      </c>
      <c r="F3226" s="38" t="s">
        <v>161</v>
      </c>
      <c r="G3226" s="49" t="str">
        <f t="shared" si="1"/>
        <v>63330</v>
      </c>
      <c r="H3226" s="49">
        <f t="shared" si="2"/>
        <v>63281</v>
      </c>
    </row>
    <row r="3227">
      <c r="A3227" s="48" t="s">
        <v>1588</v>
      </c>
      <c r="B3227" s="38">
        <v>9095.0</v>
      </c>
      <c r="C3227" s="38" t="s">
        <v>5567</v>
      </c>
      <c r="D3227" s="38" t="str">
        <f>IFERROR(__xludf.DUMMYFUNCTION("REGEXREPLACE(C3227,""-\d+(.*)|--\d+(.*)"","""")"),"CESCAU")</f>
        <v>CESCAU</v>
      </c>
      <c r="E3227" s="38" t="s">
        <v>238</v>
      </c>
      <c r="F3227" s="38" t="s">
        <v>94</v>
      </c>
      <c r="G3227" s="49" t="str">
        <f t="shared" si="1"/>
        <v>09800</v>
      </c>
      <c r="H3227" s="49" t="str">
        <f t="shared" si="2"/>
        <v>09095</v>
      </c>
    </row>
    <row r="3228">
      <c r="A3228" s="48" t="s">
        <v>960</v>
      </c>
      <c r="B3228" s="38">
        <v>28170.0</v>
      </c>
      <c r="C3228" s="38" t="s">
        <v>5568</v>
      </c>
      <c r="D3228" s="38" t="str">
        <f>IFERROR(__xludf.DUMMYFUNCTION("REGEXREPLACE(C3228,""-\d+(.*)|--\d+(.*)"","""")"),"GARANCIERES-EN-DROUAIS")</f>
        <v>GARANCIERES-EN-DROUAIS</v>
      </c>
      <c r="E3228" s="38" t="s">
        <v>300</v>
      </c>
      <c r="F3228" s="38" t="s">
        <v>123</v>
      </c>
      <c r="G3228" s="49" t="str">
        <f t="shared" si="1"/>
        <v>28500</v>
      </c>
      <c r="H3228" s="49">
        <f t="shared" si="2"/>
        <v>28170</v>
      </c>
    </row>
    <row r="3229">
      <c r="A3229" s="48" t="s">
        <v>5065</v>
      </c>
      <c r="B3229" s="38">
        <v>50279.0</v>
      </c>
      <c r="C3229" s="38" t="s">
        <v>5569</v>
      </c>
      <c r="D3229" s="38" t="str">
        <f>IFERROR(__xludf.DUMMYFUNCTION("REGEXREPLACE(C3229,""-\d+(.*)|--\d+(.*)"","""")"),"LE LOREY")</f>
        <v>LE LOREY</v>
      </c>
      <c r="E3229" s="38" t="s">
        <v>157</v>
      </c>
      <c r="F3229" s="38" t="s">
        <v>138</v>
      </c>
      <c r="G3229" s="49" t="str">
        <f t="shared" si="1"/>
        <v>50570</v>
      </c>
      <c r="H3229" s="49">
        <f t="shared" si="2"/>
        <v>50279</v>
      </c>
    </row>
    <row r="3230">
      <c r="A3230" s="48" t="s">
        <v>5570</v>
      </c>
      <c r="B3230" s="38">
        <v>59335.0</v>
      </c>
      <c r="C3230" s="38" t="s">
        <v>5571</v>
      </c>
      <c r="D3230" s="38" t="str">
        <f>IFERROR(__xludf.DUMMYFUNCTION("REGEXREPLACE(C3230,""-\d+(.*)|--\d+(.*)"","""")"),"LECELLES")</f>
        <v>LECELLES</v>
      </c>
      <c r="E3230" s="38" t="s">
        <v>85</v>
      </c>
      <c r="F3230" s="38" t="s">
        <v>86</v>
      </c>
      <c r="G3230" s="49" t="str">
        <f t="shared" si="1"/>
        <v>59226</v>
      </c>
      <c r="H3230" s="49">
        <f t="shared" si="2"/>
        <v>59335</v>
      </c>
    </row>
    <row r="3231">
      <c r="A3231" s="48" t="s">
        <v>3356</v>
      </c>
      <c r="B3231" s="38">
        <v>85014.0</v>
      </c>
      <c r="C3231" s="38" t="s">
        <v>5572</v>
      </c>
      <c r="D3231" s="38" t="str">
        <f>IFERROR(__xludf.DUMMYFUNCTION("REGEXREPLACE(C3231,""-\d+(.*)|--\d+(.*)"","""")"),"BAZOGES-EN-PAREDS")</f>
        <v>BAZOGES-EN-PAREDS</v>
      </c>
      <c r="E3231" s="38" t="s">
        <v>179</v>
      </c>
      <c r="F3231" s="38" t="s">
        <v>180</v>
      </c>
      <c r="G3231" s="49" t="str">
        <f t="shared" si="1"/>
        <v>85390</v>
      </c>
      <c r="H3231" s="49">
        <f t="shared" si="2"/>
        <v>85014</v>
      </c>
    </row>
    <row r="3232">
      <c r="A3232" s="48" t="s">
        <v>5573</v>
      </c>
      <c r="B3232" s="38">
        <v>93007.0</v>
      </c>
      <c r="C3232" s="38" t="s">
        <v>5574</v>
      </c>
      <c r="D3232" s="38" t="str">
        <f>IFERROR(__xludf.DUMMYFUNCTION("REGEXREPLACE(C3232,""-\d+(.*)|--\d+(.*)"","""")"),"LE BLANC-MESNIL")</f>
        <v>LE BLANC-MESNIL</v>
      </c>
      <c r="E3232" s="38" t="s">
        <v>341</v>
      </c>
      <c r="F3232" s="38" t="s">
        <v>245</v>
      </c>
      <c r="G3232" s="49" t="str">
        <f t="shared" si="1"/>
        <v>93150</v>
      </c>
      <c r="H3232" s="49">
        <f t="shared" si="2"/>
        <v>93007</v>
      </c>
    </row>
    <row r="3233">
      <c r="A3233" s="48" t="s">
        <v>5575</v>
      </c>
      <c r="B3233" s="38">
        <v>62030.0</v>
      </c>
      <c r="C3233" s="38" t="s">
        <v>5576</v>
      </c>
      <c r="D3233" s="38" t="str">
        <f>IFERROR(__xludf.DUMMYFUNCTION("REGEXREPLACE(C3233,""-\d+(.*)|--\d+(.*)"","""")"),"AMPLIER")</f>
        <v>AMPLIER</v>
      </c>
      <c r="E3233" s="38" t="s">
        <v>109</v>
      </c>
      <c r="F3233" s="38" t="s">
        <v>86</v>
      </c>
      <c r="G3233" s="49" t="str">
        <f t="shared" si="1"/>
        <v>62760</v>
      </c>
      <c r="H3233" s="49">
        <f t="shared" si="2"/>
        <v>62030</v>
      </c>
    </row>
    <row r="3234">
      <c r="A3234" s="48" t="s">
        <v>3574</v>
      </c>
      <c r="B3234" s="38">
        <v>19109.0</v>
      </c>
      <c r="C3234" s="38" t="s">
        <v>5577</v>
      </c>
      <c r="D3234" s="38" t="str">
        <f>IFERROR(__xludf.DUMMYFUNCTION("REGEXREPLACE(C3234,""-\d+(.*)|--\d+(.*)"","""")"),"LASCAUX")</f>
        <v>LASCAUX</v>
      </c>
      <c r="E3234" s="38" t="s">
        <v>271</v>
      </c>
      <c r="F3234" s="38" t="s">
        <v>98</v>
      </c>
      <c r="G3234" s="49" t="str">
        <f t="shared" si="1"/>
        <v>19130</v>
      </c>
      <c r="H3234" s="49">
        <f t="shared" si="2"/>
        <v>19109</v>
      </c>
    </row>
    <row r="3235">
      <c r="A3235" s="48" t="s">
        <v>5578</v>
      </c>
      <c r="B3235" s="38">
        <v>57125.0</v>
      </c>
      <c r="C3235" s="38" t="s">
        <v>5579</v>
      </c>
      <c r="D3235" s="38" t="str">
        <f>IFERROR(__xludf.DUMMYFUNCTION("REGEXREPLACE(C3235,""-\d+(.*)|--\d+(.*)"","""")"),"CHAILLY-LES-ENNERY")</f>
        <v>CHAILLY-LES-ENNERY</v>
      </c>
      <c r="E3235" s="38" t="s">
        <v>303</v>
      </c>
      <c r="F3235" s="38" t="s">
        <v>195</v>
      </c>
      <c r="G3235" s="49" t="str">
        <f t="shared" si="1"/>
        <v>57365</v>
      </c>
      <c r="H3235" s="49">
        <f t="shared" si="2"/>
        <v>57125</v>
      </c>
    </row>
    <row r="3236">
      <c r="A3236" s="48" t="s">
        <v>1768</v>
      </c>
      <c r="B3236" s="38">
        <v>53276.0</v>
      </c>
      <c r="C3236" s="38" t="s">
        <v>5580</v>
      </c>
      <c r="D3236" s="38" t="str">
        <f>IFERROR(__xludf.DUMMYFUNCTION("REGEXREPLACE(C3236,""-\d+(.*)|--\d+(.*)"","""")"),"VOUTRE")</f>
        <v>VOUTRE</v>
      </c>
      <c r="E3236" s="38" t="s">
        <v>518</v>
      </c>
      <c r="F3236" s="38" t="s">
        <v>180</v>
      </c>
      <c r="G3236" s="49" t="str">
        <f t="shared" si="1"/>
        <v>53600</v>
      </c>
      <c r="H3236" s="49">
        <f t="shared" si="2"/>
        <v>53276</v>
      </c>
    </row>
    <row r="3237">
      <c r="A3237" s="48" t="s">
        <v>5581</v>
      </c>
      <c r="B3237" s="38">
        <v>62842.0</v>
      </c>
      <c r="C3237" s="38" t="s">
        <v>5582</v>
      </c>
      <c r="D3237" s="38" t="str">
        <f>IFERROR(__xludf.DUMMYFUNCTION("REGEXREPLACE(C3237,""-\d+(.*)|--\d+(.*)"","""")"),"VENDIN-LE-VIEIL")</f>
        <v>VENDIN-LE-VIEIL</v>
      </c>
      <c r="E3237" s="38" t="s">
        <v>109</v>
      </c>
      <c r="F3237" s="38" t="s">
        <v>86</v>
      </c>
      <c r="G3237" s="49" t="str">
        <f t="shared" si="1"/>
        <v>62880</v>
      </c>
      <c r="H3237" s="49">
        <f t="shared" si="2"/>
        <v>62842</v>
      </c>
    </row>
    <row r="3238">
      <c r="A3238" s="48" t="s">
        <v>2254</v>
      </c>
      <c r="B3238" s="38">
        <v>62426.0</v>
      </c>
      <c r="C3238" s="38" t="s">
        <v>5583</v>
      </c>
      <c r="D3238" s="38" t="str">
        <f>IFERROR(__xludf.DUMMYFUNCTION("REGEXREPLACE(C3238,""-\d+(.*)|--\d+(.*)"","""")"),"HENINEL")</f>
        <v>HENINEL</v>
      </c>
      <c r="E3238" s="38" t="s">
        <v>109</v>
      </c>
      <c r="F3238" s="38" t="s">
        <v>86</v>
      </c>
      <c r="G3238" s="49" t="str">
        <f t="shared" si="1"/>
        <v>62128</v>
      </c>
      <c r="H3238" s="49">
        <f t="shared" si="2"/>
        <v>62426</v>
      </c>
    </row>
    <row r="3239">
      <c r="A3239" s="48" t="s">
        <v>5584</v>
      </c>
      <c r="B3239" s="38">
        <v>41154.0</v>
      </c>
      <c r="C3239" s="38" t="s">
        <v>5585</v>
      </c>
      <c r="D3239" s="38" t="str">
        <f>IFERROR(__xludf.DUMMYFUNCTION("REGEXREPLACE(C3239,""-\d+(.*)|--\d+(.*)"","""")"),"MOREE")</f>
        <v>MOREE</v>
      </c>
      <c r="E3239" s="38" t="s">
        <v>188</v>
      </c>
      <c r="F3239" s="38" t="s">
        <v>123</v>
      </c>
      <c r="G3239" s="49" t="str">
        <f t="shared" si="1"/>
        <v>41160</v>
      </c>
      <c r="H3239" s="49">
        <f t="shared" si="2"/>
        <v>41154</v>
      </c>
    </row>
    <row r="3240">
      <c r="A3240" s="48" t="s">
        <v>398</v>
      </c>
      <c r="B3240" s="38">
        <v>39020.0</v>
      </c>
      <c r="C3240" s="38" t="s">
        <v>5586</v>
      </c>
      <c r="D3240" s="38" t="str">
        <f>IFERROR(__xludf.DUMMYFUNCTION("REGEXREPLACE(C3240,""-\d+(.*)|--\d+(.*)"","""")"),"ARSURE-ARSURETTE")</f>
        <v>ARSURE-ARSURETTE</v>
      </c>
      <c r="E3240" s="38" t="s">
        <v>400</v>
      </c>
      <c r="F3240" s="38" t="s">
        <v>214</v>
      </c>
      <c r="G3240" s="49" t="str">
        <f t="shared" si="1"/>
        <v>39250</v>
      </c>
      <c r="H3240" s="49">
        <f t="shared" si="2"/>
        <v>39020</v>
      </c>
    </row>
    <row r="3241">
      <c r="A3241" s="48" t="s">
        <v>5587</v>
      </c>
      <c r="B3241" s="38">
        <v>3088.0</v>
      </c>
      <c r="C3241" s="38" t="s">
        <v>5588</v>
      </c>
      <c r="D3241" s="38" t="str">
        <f>IFERROR(__xludf.DUMMYFUNCTION("REGEXREPLACE(C3241,""-\d+(.*)|--\d+(.*)"","""")"),"COURCAIS")</f>
        <v>COURCAIS</v>
      </c>
      <c r="E3241" s="38" t="s">
        <v>160</v>
      </c>
      <c r="F3241" s="38" t="s">
        <v>161</v>
      </c>
      <c r="G3241" s="49" t="str">
        <f t="shared" si="1"/>
        <v>03370</v>
      </c>
      <c r="H3241" s="49" t="str">
        <f t="shared" si="2"/>
        <v>03088</v>
      </c>
    </row>
    <row r="3242">
      <c r="A3242" s="48" t="s">
        <v>5589</v>
      </c>
      <c r="B3242" s="38">
        <v>29053.0</v>
      </c>
      <c r="C3242" s="38" t="s">
        <v>5590</v>
      </c>
      <c r="D3242" s="38" t="str">
        <f>IFERROR(__xludf.DUMMYFUNCTION("REGEXREPLACE(C3242,""-\d+(.*)|--\d+(.*)"","""")"),"LE FAOU")</f>
        <v>LE FAOU</v>
      </c>
      <c r="E3242" s="38" t="s">
        <v>176</v>
      </c>
      <c r="F3242" s="38" t="s">
        <v>90</v>
      </c>
      <c r="G3242" s="49" t="str">
        <f t="shared" si="1"/>
        <v>29590</v>
      </c>
      <c r="H3242" s="49">
        <f t="shared" si="2"/>
        <v>29053</v>
      </c>
    </row>
    <row r="3243">
      <c r="A3243" s="48" t="s">
        <v>952</v>
      </c>
      <c r="B3243" s="38">
        <v>82098.0</v>
      </c>
      <c r="C3243" s="38" t="s">
        <v>5591</v>
      </c>
      <c r="D3243" s="38" t="str">
        <f>IFERROR(__xludf.DUMMYFUNCTION("REGEXREPLACE(C3243,""-\d+(.*)|--\d+(.*)"","""")"),"LEOJAC")</f>
        <v>LEOJAC</v>
      </c>
      <c r="E3243" s="38" t="s">
        <v>570</v>
      </c>
      <c r="F3243" s="38" t="s">
        <v>94</v>
      </c>
      <c r="G3243" s="49" t="str">
        <f t="shared" si="1"/>
        <v>82230</v>
      </c>
      <c r="H3243" s="49">
        <f t="shared" si="2"/>
        <v>82098</v>
      </c>
    </row>
    <row r="3244">
      <c r="A3244" s="48" t="s">
        <v>4384</v>
      </c>
      <c r="B3244" s="38">
        <v>41006.0</v>
      </c>
      <c r="C3244" s="38" t="s">
        <v>5592</v>
      </c>
      <c r="D3244" s="38" t="str">
        <f>IFERROR(__xludf.DUMMYFUNCTION("REGEXREPLACE(C3244,""-\d+(.*)|--\d+(.*)"","""")"),"AUTAINVILLE")</f>
        <v>AUTAINVILLE</v>
      </c>
      <c r="E3244" s="38" t="s">
        <v>188</v>
      </c>
      <c r="F3244" s="38" t="s">
        <v>123</v>
      </c>
      <c r="G3244" s="49" t="str">
        <f t="shared" si="1"/>
        <v>41240</v>
      </c>
      <c r="H3244" s="49">
        <f t="shared" si="2"/>
        <v>41006</v>
      </c>
    </row>
    <row r="3245">
      <c r="A3245" s="48" t="s">
        <v>4644</v>
      </c>
      <c r="B3245" s="38">
        <v>46022.0</v>
      </c>
      <c r="C3245" s="38" t="s">
        <v>5593</v>
      </c>
      <c r="D3245" s="38" t="str">
        <f>IFERROR(__xludf.DUMMYFUNCTION("REGEXREPLACE(C3245,""-\d+(.*)|--\d+(.*)"","""")"),"BELAYE")</f>
        <v>BELAYE</v>
      </c>
      <c r="E3245" s="38" t="s">
        <v>185</v>
      </c>
      <c r="F3245" s="38" t="s">
        <v>94</v>
      </c>
      <c r="G3245" s="49" t="str">
        <f t="shared" si="1"/>
        <v>46140</v>
      </c>
      <c r="H3245" s="49">
        <f t="shared" si="2"/>
        <v>46022</v>
      </c>
    </row>
    <row r="3246">
      <c r="A3246" s="48" t="s">
        <v>5594</v>
      </c>
      <c r="B3246" s="38">
        <v>60218.0</v>
      </c>
      <c r="C3246" s="38" t="s">
        <v>5595</v>
      </c>
      <c r="D3246" s="38" t="str">
        <f>IFERROR(__xludf.DUMMYFUNCTION("REGEXREPLACE(C3246,""-\d+(.*)|--\d+(.*)"","""")"),"ESCHES")</f>
        <v>ESCHES</v>
      </c>
      <c r="E3246" s="38" t="s">
        <v>112</v>
      </c>
      <c r="F3246" s="38" t="s">
        <v>113</v>
      </c>
      <c r="G3246" s="49" t="str">
        <f t="shared" si="1"/>
        <v>60110</v>
      </c>
      <c r="H3246" s="49">
        <f t="shared" si="2"/>
        <v>60218</v>
      </c>
    </row>
    <row r="3247">
      <c r="A3247" s="48" t="s">
        <v>5596</v>
      </c>
      <c r="B3247" s="38">
        <v>25114.0</v>
      </c>
      <c r="C3247" s="38" t="s">
        <v>5597</v>
      </c>
      <c r="D3247" s="38" t="str">
        <f>IFERROR(__xludf.DUMMYFUNCTION("REGEXREPLACE(C3247,""-\d+(.*)|--\d+(.*)"","""")"),"CHAMESOL")</f>
        <v>CHAMESOL</v>
      </c>
      <c r="E3247" s="38" t="s">
        <v>213</v>
      </c>
      <c r="F3247" s="38" t="s">
        <v>214</v>
      </c>
      <c r="G3247" s="49" t="str">
        <f t="shared" si="1"/>
        <v>25190</v>
      </c>
      <c r="H3247" s="49">
        <f t="shared" si="2"/>
        <v>25114</v>
      </c>
    </row>
    <row r="3248">
      <c r="A3248" s="48" t="s">
        <v>4158</v>
      </c>
      <c r="B3248" s="38">
        <v>38026.0</v>
      </c>
      <c r="C3248" s="38" t="s">
        <v>5598</v>
      </c>
      <c r="D3248" s="38" t="str">
        <f>IFERROR(__xludf.DUMMYFUNCTION("REGEXREPLACE(C3248,""-\d+(.*)|--\d+(.*)"","""")"),"LA BALME-LES-GROTTES")</f>
        <v>LA BALME-LES-GROTTES</v>
      </c>
      <c r="E3248" s="38" t="s">
        <v>101</v>
      </c>
      <c r="F3248" s="38" t="s">
        <v>102</v>
      </c>
      <c r="G3248" s="49" t="str">
        <f t="shared" si="1"/>
        <v>38390</v>
      </c>
      <c r="H3248" s="49">
        <f t="shared" si="2"/>
        <v>38026</v>
      </c>
    </row>
    <row r="3249">
      <c r="A3249" s="48" t="s">
        <v>5599</v>
      </c>
      <c r="B3249" s="38">
        <v>74012.0</v>
      </c>
      <c r="C3249" s="38" t="s">
        <v>5600</v>
      </c>
      <c r="D3249" s="38" t="str">
        <f>IFERROR(__xludf.DUMMYFUNCTION("REGEXREPLACE(C3249,""-\d+(.*)|--\d+(.*)"","""")"),"ANNEMASSE")</f>
        <v>ANNEMASSE</v>
      </c>
      <c r="E3249" s="38" t="s">
        <v>319</v>
      </c>
      <c r="F3249" s="38" t="s">
        <v>102</v>
      </c>
      <c r="G3249" s="49" t="str">
        <f t="shared" si="1"/>
        <v>74100</v>
      </c>
      <c r="H3249" s="49">
        <f t="shared" si="2"/>
        <v>74012</v>
      </c>
    </row>
    <row r="3250">
      <c r="A3250" s="48" t="s">
        <v>5601</v>
      </c>
      <c r="B3250" s="38">
        <v>71085.0</v>
      </c>
      <c r="C3250" s="38" t="s">
        <v>5602</v>
      </c>
      <c r="D3250" s="38" t="str">
        <f>IFERROR(__xludf.DUMMYFUNCTION("REGEXREPLACE(C3250,""-\d+(.*)|--\d+(.*)"","""")"),"CHANGE")</f>
        <v>CHANGE</v>
      </c>
      <c r="E3250" s="38" t="s">
        <v>344</v>
      </c>
      <c r="F3250" s="38" t="s">
        <v>106</v>
      </c>
      <c r="G3250" s="49" t="str">
        <f t="shared" si="1"/>
        <v>71340</v>
      </c>
      <c r="H3250" s="49">
        <f t="shared" si="2"/>
        <v>71085</v>
      </c>
    </row>
    <row r="3251">
      <c r="A3251" s="48" t="s">
        <v>5603</v>
      </c>
      <c r="B3251" s="38">
        <v>41208.0</v>
      </c>
      <c r="C3251" s="38" t="s">
        <v>5604</v>
      </c>
      <c r="D3251" s="38" t="str">
        <f>IFERROR(__xludf.DUMMYFUNCTION("REGEXREPLACE(C3251,""-\d+(.*)|--\d+(.*)"","""")"),"SAINT-ETIENNE-DES-GUERETS")</f>
        <v>SAINT-ETIENNE-DES-GUERETS</v>
      </c>
      <c r="E3251" s="38" t="s">
        <v>188</v>
      </c>
      <c r="F3251" s="38" t="s">
        <v>123</v>
      </c>
      <c r="G3251" s="49" t="str">
        <f t="shared" si="1"/>
        <v>41190</v>
      </c>
      <c r="H3251" s="49">
        <f t="shared" si="2"/>
        <v>41208</v>
      </c>
    </row>
    <row r="3252">
      <c r="A3252" s="48" t="s">
        <v>5605</v>
      </c>
      <c r="B3252" s="38">
        <v>66203.0</v>
      </c>
      <c r="C3252" s="38" t="s">
        <v>5606</v>
      </c>
      <c r="D3252" s="38" t="str">
        <f>IFERROR(__xludf.DUMMYFUNCTION("REGEXREPLACE(C3252,""-\d+(.*)|--\d+(.*)"","""")"),"TAULIS")</f>
        <v>TAULIS</v>
      </c>
      <c r="E3252" s="38" t="s">
        <v>248</v>
      </c>
      <c r="F3252" s="38" t="s">
        <v>119</v>
      </c>
      <c r="G3252" s="49" t="str">
        <f t="shared" si="1"/>
        <v>66110</v>
      </c>
      <c r="H3252" s="49">
        <f t="shared" si="2"/>
        <v>66203</v>
      </c>
    </row>
    <row r="3253">
      <c r="A3253" s="48" t="s">
        <v>1989</v>
      </c>
      <c r="B3253" s="38">
        <v>60201.0</v>
      </c>
      <c r="C3253" s="38" t="s">
        <v>1867</v>
      </c>
      <c r="D3253" s="38" t="str">
        <f>IFERROR(__xludf.DUMMYFUNCTION("REGEXREPLACE(C3253,""-\d+(.*)|--\d+(.*)"","""")"),"DOMPIERRE")</f>
        <v>DOMPIERRE</v>
      </c>
      <c r="E3253" s="38" t="s">
        <v>112</v>
      </c>
      <c r="F3253" s="38" t="s">
        <v>113</v>
      </c>
      <c r="G3253" s="49" t="str">
        <f t="shared" si="1"/>
        <v>60420</v>
      </c>
      <c r="H3253" s="49">
        <f t="shared" si="2"/>
        <v>60201</v>
      </c>
    </row>
    <row r="3254">
      <c r="A3254" s="48" t="s">
        <v>1374</v>
      </c>
      <c r="B3254" s="38">
        <v>79079.0</v>
      </c>
      <c r="C3254" s="38" t="s">
        <v>5607</v>
      </c>
      <c r="D3254" s="38" t="str">
        <f>IFERROR(__xludf.DUMMYFUNCTION("REGEXREPLACE(C3254,""-\d+(.*)|--\d+(.*)"","""")"),"MAULEON")</f>
        <v>MAULEON</v>
      </c>
      <c r="E3254" s="38" t="s">
        <v>337</v>
      </c>
      <c r="F3254" s="38" t="s">
        <v>338</v>
      </c>
      <c r="G3254" s="49" t="str">
        <f t="shared" si="1"/>
        <v>79700</v>
      </c>
      <c r="H3254" s="49">
        <f t="shared" si="2"/>
        <v>79079</v>
      </c>
    </row>
    <row r="3255">
      <c r="A3255" s="48" t="s">
        <v>5608</v>
      </c>
      <c r="B3255" s="38">
        <v>57549.0</v>
      </c>
      <c r="C3255" s="38" t="s">
        <v>5609</v>
      </c>
      <c r="D3255" s="38" t="str">
        <f>IFERROR(__xludf.DUMMYFUNCTION("REGEXREPLACE(C3255,""-\d+(.*)|--\d+(.*)"","""")"),"PONTPIERRE")</f>
        <v>PONTPIERRE</v>
      </c>
      <c r="E3255" s="38" t="s">
        <v>303</v>
      </c>
      <c r="F3255" s="38" t="s">
        <v>195</v>
      </c>
      <c r="G3255" s="49" t="str">
        <f t="shared" si="1"/>
        <v>57380</v>
      </c>
      <c r="H3255" s="49">
        <f t="shared" si="2"/>
        <v>57549</v>
      </c>
    </row>
    <row r="3256">
      <c r="A3256" s="48" t="s">
        <v>4308</v>
      </c>
      <c r="B3256" s="38" t="s">
        <v>5610</v>
      </c>
      <c r="C3256" s="38" t="s">
        <v>5611</v>
      </c>
      <c r="D3256" s="38" t="str">
        <f>IFERROR(__xludf.DUMMYFUNCTION("REGEXREPLACE(C3256,""-\d+(.*)|--\d+(.*)"","""")"),"SERMANO")</f>
        <v>SERMANO</v>
      </c>
      <c r="E3256" s="38" t="s">
        <v>743</v>
      </c>
      <c r="F3256" s="38" t="s">
        <v>607</v>
      </c>
      <c r="G3256" s="49" t="str">
        <f t="shared" si="1"/>
        <v>20212</v>
      </c>
      <c r="H3256" s="49" t="str">
        <f t="shared" si="2"/>
        <v>2B275</v>
      </c>
    </row>
    <row r="3257">
      <c r="A3257" s="48" t="s">
        <v>5612</v>
      </c>
      <c r="B3257" s="38">
        <v>52147.0</v>
      </c>
      <c r="C3257" s="38" t="s">
        <v>5613</v>
      </c>
      <c r="D3257" s="38" t="str">
        <f>IFERROR(__xludf.DUMMYFUNCTION("REGEXREPLACE(C3257,""-\d+(.*)|--\d+(.*)"","""")"),"COURCELLES-EN-MONTAGNE")</f>
        <v>COURCELLES-EN-MONTAGNE</v>
      </c>
      <c r="E3257" s="38" t="s">
        <v>234</v>
      </c>
      <c r="F3257" s="38" t="s">
        <v>130</v>
      </c>
      <c r="G3257" s="49" t="str">
        <f t="shared" si="1"/>
        <v>52200</v>
      </c>
      <c r="H3257" s="49">
        <f t="shared" si="2"/>
        <v>52147</v>
      </c>
    </row>
    <row r="3258">
      <c r="A3258" s="48" t="s">
        <v>5614</v>
      </c>
      <c r="B3258" s="38">
        <v>36082.0</v>
      </c>
      <c r="C3258" s="38" t="s">
        <v>5615</v>
      </c>
      <c r="D3258" s="38" t="str">
        <f>IFERROR(__xludf.DUMMYFUNCTION("REGEXREPLACE(C3258,""-\d+(.*)|--\d+(.*)"","""")"),"GEHEE")</f>
        <v>GEHEE</v>
      </c>
      <c r="E3258" s="38" t="s">
        <v>258</v>
      </c>
      <c r="F3258" s="38" t="s">
        <v>123</v>
      </c>
      <c r="G3258" s="49" t="str">
        <f t="shared" si="1"/>
        <v>36240</v>
      </c>
      <c r="H3258" s="49">
        <f t="shared" si="2"/>
        <v>36082</v>
      </c>
    </row>
    <row r="3259">
      <c r="A3259" s="48" t="s">
        <v>5616</v>
      </c>
      <c r="B3259" s="38">
        <v>71531.0</v>
      </c>
      <c r="C3259" s="38" t="s">
        <v>5617</v>
      </c>
      <c r="D3259" s="38" t="str">
        <f>IFERROR(__xludf.DUMMYFUNCTION("REGEXREPLACE(C3259,""-\d+(.*)|--\d+(.*)"","""")"),"LA TAGNIERE")</f>
        <v>LA TAGNIERE</v>
      </c>
      <c r="E3259" s="38" t="s">
        <v>344</v>
      </c>
      <c r="F3259" s="38" t="s">
        <v>106</v>
      </c>
      <c r="G3259" s="49" t="str">
        <f t="shared" si="1"/>
        <v>71190</v>
      </c>
      <c r="H3259" s="49">
        <f t="shared" si="2"/>
        <v>71531</v>
      </c>
    </row>
    <row r="3260">
      <c r="A3260" s="48" t="s">
        <v>1511</v>
      </c>
      <c r="B3260" s="38">
        <v>22224.0</v>
      </c>
      <c r="C3260" s="38" t="s">
        <v>5618</v>
      </c>
      <c r="D3260" s="38" t="str">
        <f>IFERROR(__xludf.DUMMYFUNCTION("REGEXREPLACE(C3260,""-\d+(.*)|--\d+(.*)"","""")"),"PLOULEC'H")</f>
        <v>PLOULEC'H</v>
      </c>
      <c r="E3260" s="38" t="s">
        <v>89</v>
      </c>
      <c r="F3260" s="38" t="s">
        <v>90</v>
      </c>
      <c r="G3260" s="49" t="str">
        <f t="shared" si="1"/>
        <v>22300</v>
      </c>
      <c r="H3260" s="49">
        <f t="shared" si="2"/>
        <v>22224</v>
      </c>
    </row>
    <row r="3261">
      <c r="A3261" s="48" t="s">
        <v>415</v>
      </c>
      <c r="B3261" s="38">
        <v>21683.0</v>
      </c>
      <c r="C3261" s="38" t="s">
        <v>5619</v>
      </c>
      <c r="D3261" s="38" t="str">
        <f>IFERROR(__xludf.DUMMYFUNCTION("REGEXREPLACE(C3261,""-\d+(.*)|--\d+(.*)"","""")"),"VIEVY")</f>
        <v>VIEVY</v>
      </c>
      <c r="E3261" s="38" t="s">
        <v>105</v>
      </c>
      <c r="F3261" s="38" t="s">
        <v>106</v>
      </c>
      <c r="G3261" s="49" t="str">
        <f t="shared" si="1"/>
        <v>21230</v>
      </c>
      <c r="H3261" s="49">
        <f t="shared" si="2"/>
        <v>21683</v>
      </c>
    </row>
    <row r="3262">
      <c r="A3262" s="48" t="s">
        <v>2095</v>
      </c>
      <c r="B3262" s="38">
        <v>72212.0</v>
      </c>
      <c r="C3262" s="38" t="s">
        <v>5620</v>
      </c>
      <c r="D3262" s="38" t="str">
        <f>IFERROR(__xludf.DUMMYFUNCTION("REGEXREPLACE(C3262,""-\d+(.*)|--\d+(.*)"","""")"),"MOULINS-LE-CARBONNEL")</f>
        <v>MOULINS-LE-CARBONNEL</v>
      </c>
      <c r="E3262" s="38" t="s">
        <v>521</v>
      </c>
      <c r="F3262" s="38" t="s">
        <v>180</v>
      </c>
      <c r="G3262" s="49" t="str">
        <f t="shared" si="1"/>
        <v>72130</v>
      </c>
      <c r="H3262" s="49">
        <f t="shared" si="2"/>
        <v>72212</v>
      </c>
    </row>
    <row r="3263">
      <c r="A3263" s="48" t="s">
        <v>2657</v>
      </c>
      <c r="B3263" s="38">
        <v>59191.0</v>
      </c>
      <c r="C3263" s="38" t="s">
        <v>5621</v>
      </c>
      <c r="D3263" s="38" t="str">
        <f>IFERROR(__xludf.DUMMYFUNCTION("REGEXREPLACE(C3263,""-\d+(.*)|--\d+(.*)"","""")"),"ELINCOURT")</f>
        <v>ELINCOURT</v>
      </c>
      <c r="E3263" s="38" t="s">
        <v>85</v>
      </c>
      <c r="F3263" s="38" t="s">
        <v>86</v>
      </c>
      <c r="G3263" s="49" t="str">
        <f t="shared" si="1"/>
        <v>59127</v>
      </c>
      <c r="H3263" s="49">
        <f t="shared" si="2"/>
        <v>59191</v>
      </c>
    </row>
    <row r="3264">
      <c r="A3264" s="48" t="s">
        <v>5622</v>
      </c>
      <c r="B3264" s="38">
        <v>45242.0</v>
      </c>
      <c r="C3264" s="38" t="s">
        <v>5623</v>
      </c>
      <c r="D3264" s="38" t="str">
        <f>IFERROR(__xludf.DUMMYFUNCTION("REGEXREPLACE(C3264,""-\d+(.*)|--\d+(.*)"","""")"),"OUZOUER-DES-CHAMPS")</f>
        <v>OUZOUER-DES-CHAMPS</v>
      </c>
      <c r="E3264" s="38" t="s">
        <v>122</v>
      </c>
      <c r="F3264" s="38" t="s">
        <v>123</v>
      </c>
      <c r="G3264" s="49" t="str">
        <f t="shared" si="1"/>
        <v>45290</v>
      </c>
      <c r="H3264" s="49">
        <f t="shared" si="2"/>
        <v>45242</v>
      </c>
    </row>
    <row r="3265">
      <c r="A3265" s="48" t="s">
        <v>1408</v>
      </c>
      <c r="B3265" s="38">
        <v>88451.0</v>
      </c>
      <c r="C3265" s="38" t="s">
        <v>5624</v>
      </c>
      <c r="D3265" s="38" t="str">
        <f>IFERROR(__xludf.DUMMYFUNCTION("REGEXREPLACE(C3265,""-\d+(.*)|--\d+(.*)"","""")"),"SENONES")</f>
        <v>SENONES</v>
      </c>
      <c r="E3265" s="38" t="s">
        <v>194</v>
      </c>
      <c r="F3265" s="38" t="s">
        <v>195</v>
      </c>
      <c r="G3265" s="49" t="str">
        <f t="shared" si="1"/>
        <v>88210</v>
      </c>
      <c r="H3265" s="49">
        <f t="shared" si="2"/>
        <v>88451</v>
      </c>
    </row>
    <row r="3266">
      <c r="A3266" s="48" t="s">
        <v>2805</v>
      </c>
      <c r="B3266" s="38">
        <v>23032.0</v>
      </c>
      <c r="C3266" s="38" t="s">
        <v>5625</v>
      </c>
      <c r="D3266" s="38" t="str">
        <f>IFERROR(__xludf.DUMMYFUNCTION("REGEXREPLACE(C3266,""-\d+(.*)|--\d+(.*)"","""")"),"BOUSSAC-BOURG")</f>
        <v>BOUSSAC-BOURG</v>
      </c>
      <c r="E3266" s="38" t="s">
        <v>97</v>
      </c>
      <c r="F3266" s="38" t="s">
        <v>98</v>
      </c>
      <c r="G3266" s="49" t="str">
        <f t="shared" si="1"/>
        <v>23600</v>
      </c>
      <c r="H3266" s="49">
        <f t="shared" si="2"/>
        <v>23032</v>
      </c>
    </row>
    <row r="3267">
      <c r="A3267" s="48" t="s">
        <v>2671</v>
      </c>
      <c r="B3267" s="38">
        <v>65100.0</v>
      </c>
      <c r="C3267" s="38" t="s">
        <v>5626</v>
      </c>
      <c r="D3267" s="38" t="str">
        <f>IFERROR(__xludf.DUMMYFUNCTION("REGEXREPLACE(C3267,""-\d+(.*)|--\d+(.*)"","""")"),"BORDERES-SUR-L'ECHEZ")</f>
        <v>BORDERES-SUR-L'ECHEZ</v>
      </c>
      <c r="E3267" s="38" t="s">
        <v>200</v>
      </c>
      <c r="F3267" s="38" t="s">
        <v>94</v>
      </c>
      <c r="G3267" s="49" t="str">
        <f t="shared" si="1"/>
        <v>65320</v>
      </c>
      <c r="H3267" s="49">
        <f t="shared" si="2"/>
        <v>65100</v>
      </c>
    </row>
    <row r="3268">
      <c r="A3268" s="48" t="s">
        <v>162</v>
      </c>
      <c r="B3268" s="38">
        <v>31122.0</v>
      </c>
      <c r="C3268" s="38" t="s">
        <v>5627</v>
      </c>
      <c r="D3268" s="38" t="str">
        <f>IFERROR(__xludf.DUMMYFUNCTION("REGEXREPLACE(C3268,""-\d+(.*)|--\d+(.*)"","""")"),"CASTIES-LABRANDE")</f>
        <v>CASTIES-LABRANDE</v>
      </c>
      <c r="E3268" s="38" t="s">
        <v>93</v>
      </c>
      <c r="F3268" s="38" t="s">
        <v>94</v>
      </c>
      <c r="G3268" s="49" t="str">
        <f t="shared" si="1"/>
        <v>31430</v>
      </c>
      <c r="H3268" s="49">
        <f t="shared" si="2"/>
        <v>31122</v>
      </c>
    </row>
    <row r="3269">
      <c r="A3269" s="48" t="s">
        <v>5070</v>
      </c>
      <c r="B3269" s="38">
        <v>79018.0</v>
      </c>
      <c r="C3269" s="38" t="s">
        <v>5628</v>
      </c>
      <c r="D3269" s="38" t="str">
        <f>IFERROR(__xludf.DUMMYFUNCTION("REGEXREPLACE(C3269,""-\d+(.*)|--\d+(.*)"","""")"),"AUBIGNE")</f>
        <v>AUBIGNE</v>
      </c>
      <c r="E3269" s="38" t="s">
        <v>337</v>
      </c>
      <c r="F3269" s="38" t="s">
        <v>338</v>
      </c>
      <c r="G3269" s="49" t="str">
        <f t="shared" si="1"/>
        <v>79110</v>
      </c>
      <c r="H3269" s="49">
        <f t="shared" si="2"/>
        <v>79018</v>
      </c>
    </row>
    <row r="3270">
      <c r="A3270" s="48" t="s">
        <v>5629</v>
      </c>
      <c r="B3270" s="38">
        <v>67353.0</v>
      </c>
      <c r="C3270" s="38" t="s">
        <v>5630</v>
      </c>
      <c r="D3270" s="38" t="str">
        <f>IFERROR(__xludf.DUMMYFUNCTION("REGEXREPLACE(C3270,""-\d+(.*)|--\d+(.*)"","""")"),"OBERSTEINBACH")</f>
        <v>OBERSTEINBACH</v>
      </c>
      <c r="E3270" s="38" t="s">
        <v>210</v>
      </c>
      <c r="F3270" s="38" t="s">
        <v>151</v>
      </c>
      <c r="G3270" s="49" t="str">
        <f t="shared" si="1"/>
        <v>67510</v>
      </c>
      <c r="H3270" s="49">
        <f t="shared" si="2"/>
        <v>67353</v>
      </c>
    </row>
    <row r="3271">
      <c r="A3271" s="48" t="s">
        <v>5631</v>
      </c>
      <c r="B3271" s="38">
        <v>76168.0</v>
      </c>
      <c r="C3271" s="38" t="s">
        <v>5632</v>
      </c>
      <c r="D3271" s="38" t="str">
        <f>IFERROR(__xludf.DUMMYFUNCTION("REGEXREPLACE(C3271,""-\d+(.*)|--\d+(.*)"","""")"),"LES CENT-ACRES")</f>
        <v>LES CENT-ACRES</v>
      </c>
      <c r="E3271" s="38" t="s">
        <v>133</v>
      </c>
      <c r="F3271" s="38" t="s">
        <v>134</v>
      </c>
      <c r="G3271" s="49" t="str">
        <f t="shared" si="1"/>
        <v>76590</v>
      </c>
      <c r="H3271" s="49">
        <f t="shared" si="2"/>
        <v>76168</v>
      </c>
    </row>
    <row r="3272">
      <c r="A3272" s="48" t="s">
        <v>4462</v>
      </c>
      <c r="B3272" s="38">
        <v>79069.0</v>
      </c>
      <c r="C3272" s="38" t="s">
        <v>5633</v>
      </c>
      <c r="D3272" s="38" t="str">
        <f>IFERROR(__xludf.DUMMYFUNCTION("REGEXREPLACE(C3272,""-\d+(.*)|--\d+(.*)"","""")"),"CHANTELOUP")</f>
        <v>CHANTELOUP</v>
      </c>
      <c r="E3272" s="38" t="s">
        <v>337</v>
      </c>
      <c r="F3272" s="38" t="s">
        <v>338</v>
      </c>
      <c r="G3272" s="49" t="str">
        <f t="shared" si="1"/>
        <v>79320</v>
      </c>
      <c r="H3272" s="49">
        <f t="shared" si="2"/>
        <v>79069</v>
      </c>
    </row>
    <row r="3273">
      <c r="A3273" s="48" t="s">
        <v>5634</v>
      </c>
      <c r="B3273" s="38">
        <v>72028.0</v>
      </c>
      <c r="C3273" s="38" t="s">
        <v>5635</v>
      </c>
      <c r="D3273" s="38" t="str">
        <f>IFERROR(__xludf.DUMMYFUNCTION("REGEXREPLACE(C3273,""-\d+(.*)|--\d+(.*)"","""")"),"BEAUMONT-PIED-DE-BOEUF")</f>
        <v>BEAUMONT-PIED-DE-BOEUF</v>
      </c>
      <c r="E3273" s="38" t="s">
        <v>521</v>
      </c>
      <c r="F3273" s="38" t="s">
        <v>180</v>
      </c>
      <c r="G3273" s="49" t="str">
        <f t="shared" si="1"/>
        <v>72500</v>
      </c>
      <c r="H3273" s="49">
        <f t="shared" si="2"/>
        <v>72028</v>
      </c>
    </row>
    <row r="3274">
      <c r="A3274" s="48" t="s">
        <v>5636</v>
      </c>
      <c r="B3274" s="38">
        <v>40316.0</v>
      </c>
      <c r="C3274" s="38" t="s">
        <v>5637</v>
      </c>
      <c r="D3274" s="38" t="str">
        <f>IFERROR(__xludf.DUMMYFUNCTION("REGEXREPLACE(C3274,""-\d+(.*)|--\d+(.*)"","""")"),"TILH")</f>
        <v>TILH</v>
      </c>
      <c r="E3274" s="38" t="s">
        <v>281</v>
      </c>
      <c r="F3274" s="38" t="s">
        <v>252</v>
      </c>
      <c r="G3274" s="49" t="str">
        <f t="shared" si="1"/>
        <v>40360</v>
      </c>
      <c r="H3274" s="49">
        <f t="shared" si="2"/>
        <v>40316</v>
      </c>
    </row>
    <row r="3275">
      <c r="A3275" s="48" t="s">
        <v>2685</v>
      </c>
      <c r="B3275" s="38" t="s">
        <v>5638</v>
      </c>
      <c r="C3275" s="38" t="s">
        <v>5639</v>
      </c>
      <c r="D3275" s="38" t="str">
        <f>IFERROR(__xludf.DUMMYFUNCTION("REGEXREPLACE(C3275,""-\d+(.*)|--\d+(.*)"","""")"),"ARBORI")</f>
        <v>ARBORI</v>
      </c>
      <c r="E3275" s="38" t="s">
        <v>606</v>
      </c>
      <c r="F3275" s="38" t="s">
        <v>607</v>
      </c>
      <c r="G3275" s="49" t="str">
        <f t="shared" si="1"/>
        <v>20160</v>
      </c>
      <c r="H3275" s="49" t="str">
        <f t="shared" si="2"/>
        <v>2A019</v>
      </c>
    </row>
    <row r="3276">
      <c r="A3276" s="48" t="s">
        <v>5640</v>
      </c>
      <c r="B3276" s="38">
        <v>2270.0</v>
      </c>
      <c r="C3276" s="38" t="s">
        <v>5641</v>
      </c>
      <c r="D3276" s="38" t="str">
        <f>IFERROR(__xludf.DUMMYFUNCTION("REGEXREPLACE(C3276,""-\d+(.*)|--\d+(.*)"","""")"),"DOUCHY")</f>
        <v>DOUCHY</v>
      </c>
      <c r="E3276" s="38" t="s">
        <v>191</v>
      </c>
      <c r="F3276" s="38" t="s">
        <v>113</v>
      </c>
      <c r="G3276" s="49" t="str">
        <f t="shared" si="1"/>
        <v>02590</v>
      </c>
      <c r="H3276" s="49" t="str">
        <f t="shared" si="2"/>
        <v>02270</v>
      </c>
    </row>
    <row r="3277">
      <c r="A3277" s="48" t="s">
        <v>5642</v>
      </c>
      <c r="B3277" s="38">
        <v>73020.0</v>
      </c>
      <c r="C3277" s="38" t="s">
        <v>5643</v>
      </c>
      <c r="D3277" s="38" t="str">
        <f>IFERROR(__xludf.DUMMYFUNCTION("REGEXREPLACE(C3277,""-\d+(.*)|--\d+(.*)"","""")"),"ARITH")</f>
        <v>ARITH</v>
      </c>
      <c r="E3277" s="38" t="s">
        <v>306</v>
      </c>
      <c r="F3277" s="38" t="s">
        <v>102</v>
      </c>
      <c r="G3277" s="49" t="str">
        <f t="shared" si="1"/>
        <v>73340</v>
      </c>
      <c r="H3277" s="49">
        <f t="shared" si="2"/>
        <v>73020</v>
      </c>
    </row>
    <row r="3278">
      <c r="A3278" s="48" t="s">
        <v>5644</v>
      </c>
      <c r="B3278" s="38">
        <v>91649.0</v>
      </c>
      <c r="C3278" s="38" t="s">
        <v>5645</v>
      </c>
      <c r="D3278" s="38" t="str">
        <f>IFERROR(__xludf.DUMMYFUNCTION("REGEXREPLACE(C3278,""-\d+(.*)|--\d+(.*)"","""")"),"VERT-LE-PETIT")</f>
        <v>VERT-LE-PETIT</v>
      </c>
      <c r="E3278" s="38" t="s">
        <v>756</v>
      </c>
      <c r="F3278" s="38" t="s">
        <v>245</v>
      </c>
      <c r="G3278" s="49" t="str">
        <f t="shared" si="1"/>
        <v>91710</v>
      </c>
      <c r="H3278" s="49">
        <f t="shared" si="2"/>
        <v>91649</v>
      </c>
    </row>
    <row r="3279">
      <c r="A3279" s="48" t="s">
        <v>5646</v>
      </c>
      <c r="B3279" s="38">
        <v>33238.0</v>
      </c>
      <c r="C3279" s="38" t="s">
        <v>5647</v>
      </c>
      <c r="D3279" s="38" t="str">
        <f>IFERROR(__xludf.DUMMYFUNCTION("REGEXREPLACE(C3279,""-\d+(.*)|--\d+(.*)"","""")"),"LEOGNAN")</f>
        <v>LEOGNAN</v>
      </c>
      <c r="E3279" s="38" t="s">
        <v>462</v>
      </c>
      <c r="F3279" s="38" t="s">
        <v>252</v>
      </c>
      <c r="G3279" s="49" t="str">
        <f t="shared" si="1"/>
        <v>33850</v>
      </c>
      <c r="H3279" s="49">
        <f t="shared" si="2"/>
        <v>33238</v>
      </c>
    </row>
    <row r="3280">
      <c r="A3280" s="48" t="s">
        <v>5648</v>
      </c>
      <c r="B3280" s="38">
        <v>76199.0</v>
      </c>
      <c r="C3280" s="38" t="s">
        <v>5649</v>
      </c>
      <c r="D3280" s="38" t="str">
        <f>IFERROR(__xludf.DUMMYFUNCTION("REGEXREPLACE(C3280,""-\d+(.*)|--\d+(.*)"","""")"),"CRIQUIERS")</f>
        <v>CRIQUIERS</v>
      </c>
      <c r="E3280" s="38" t="s">
        <v>133</v>
      </c>
      <c r="F3280" s="38" t="s">
        <v>134</v>
      </c>
      <c r="G3280" s="49" t="str">
        <f t="shared" si="1"/>
        <v>76390</v>
      </c>
      <c r="H3280" s="49">
        <f t="shared" si="2"/>
        <v>76199</v>
      </c>
    </row>
    <row r="3281">
      <c r="A3281" s="48" t="s">
        <v>5650</v>
      </c>
      <c r="B3281" s="38">
        <v>1087.0</v>
      </c>
      <c r="C3281" s="38" t="s">
        <v>5651</v>
      </c>
      <c r="D3281" s="38" t="str">
        <f>IFERROR(__xludf.DUMMYFUNCTION("REGEXREPLACE(C3281,""-\d+(.*)|--\d+(.*)"","""")"),"CHARIX")</f>
        <v>CHARIX</v>
      </c>
      <c r="E3281" s="38" t="s">
        <v>255</v>
      </c>
      <c r="F3281" s="38" t="s">
        <v>102</v>
      </c>
      <c r="G3281" s="49" t="str">
        <f t="shared" si="1"/>
        <v>01130</v>
      </c>
      <c r="H3281" s="49" t="str">
        <f t="shared" si="2"/>
        <v>01087</v>
      </c>
    </row>
    <row r="3282">
      <c r="A3282" s="48" t="s">
        <v>5652</v>
      </c>
      <c r="B3282" s="38">
        <v>1082.0</v>
      </c>
      <c r="C3282" s="38" t="s">
        <v>5653</v>
      </c>
      <c r="D3282" s="38" t="str">
        <f>IFERROR(__xludf.DUMMYFUNCTION("REGEXREPLACE(C3282,""-\d+(.*)|--\d+(.*)"","""")"),"CHANAY")</f>
        <v>CHANAY</v>
      </c>
      <c r="E3282" s="38" t="s">
        <v>255</v>
      </c>
      <c r="F3282" s="38" t="s">
        <v>102</v>
      </c>
      <c r="G3282" s="49" t="str">
        <f t="shared" si="1"/>
        <v>01420</v>
      </c>
      <c r="H3282" s="49" t="str">
        <f t="shared" si="2"/>
        <v>01082</v>
      </c>
    </row>
    <row r="3283">
      <c r="A3283" s="48" t="s">
        <v>5654</v>
      </c>
      <c r="B3283" s="38">
        <v>8438.0</v>
      </c>
      <c r="C3283" s="38" t="s">
        <v>5655</v>
      </c>
      <c r="D3283" s="38" t="str">
        <f>IFERROR(__xludf.DUMMYFUNCTION("REGEXREPLACE(C3283,""-\d+(.*)|--\d+(.*)"","""")"),"TAIZY")</f>
        <v>TAIZY</v>
      </c>
      <c r="E3283" s="38" t="s">
        <v>327</v>
      </c>
      <c r="F3283" s="38" t="s">
        <v>130</v>
      </c>
      <c r="G3283" s="49" t="str">
        <f t="shared" si="1"/>
        <v>08360</v>
      </c>
      <c r="H3283" s="49" t="str">
        <f t="shared" si="2"/>
        <v>08438</v>
      </c>
    </row>
    <row r="3284">
      <c r="A3284" s="48" t="s">
        <v>5656</v>
      </c>
      <c r="B3284" s="38">
        <v>30141.0</v>
      </c>
      <c r="C3284" s="38" t="s">
        <v>5657</v>
      </c>
      <c r="D3284" s="38" t="str">
        <f>IFERROR(__xludf.DUMMYFUNCTION("REGEXREPLACE(C3284,""-\d+(.*)|--\d+(.*)"","""")"),"LAUDUN-L'ARDOISE")</f>
        <v>LAUDUN-L'ARDOISE</v>
      </c>
      <c r="E3284" s="38" t="s">
        <v>526</v>
      </c>
      <c r="F3284" s="38" t="s">
        <v>119</v>
      </c>
      <c r="G3284" s="49" t="str">
        <f t="shared" si="1"/>
        <v>30290</v>
      </c>
      <c r="H3284" s="49">
        <f t="shared" si="2"/>
        <v>30141</v>
      </c>
    </row>
    <row r="3285">
      <c r="A3285" s="48" t="s">
        <v>5443</v>
      </c>
      <c r="B3285" s="38">
        <v>76172.0</v>
      </c>
      <c r="C3285" s="38" t="s">
        <v>5658</v>
      </c>
      <c r="D3285" s="38" t="str">
        <f>IFERROR(__xludf.DUMMYFUNCTION("REGEXREPLACE(C3285,""-\d+(.*)|--\d+(.*)"","""")"),"LA CHAPELLE-SUR-DUN")</f>
        <v>LA CHAPELLE-SUR-DUN</v>
      </c>
      <c r="E3285" s="38" t="s">
        <v>133</v>
      </c>
      <c r="F3285" s="38" t="s">
        <v>134</v>
      </c>
      <c r="G3285" s="49" t="str">
        <f t="shared" si="1"/>
        <v>76740</v>
      </c>
      <c r="H3285" s="49">
        <f t="shared" si="2"/>
        <v>76172</v>
      </c>
    </row>
    <row r="3286">
      <c r="A3286" s="48" t="s">
        <v>597</v>
      </c>
      <c r="B3286" s="38">
        <v>31301.0</v>
      </c>
      <c r="C3286" s="38" t="s">
        <v>5659</v>
      </c>
      <c r="D3286" s="38" t="str">
        <f>IFERROR(__xludf.DUMMYFUNCTION("REGEXREPLACE(C3286,""-\d+(.*)|--\d+(.*)"","""")"),"LILHAC")</f>
        <v>LILHAC</v>
      </c>
      <c r="E3286" s="38" t="s">
        <v>93</v>
      </c>
      <c r="F3286" s="38" t="s">
        <v>94</v>
      </c>
      <c r="G3286" s="49" t="str">
        <f t="shared" si="1"/>
        <v>31230</v>
      </c>
      <c r="H3286" s="49">
        <f t="shared" si="2"/>
        <v>31301</v>
      </c>
    </row>
    <row r="3287">
      <c r="A3287" s="48" t="s">
        <v>2744</v>
      </c>
      <c r="B3287" s="38">
        <v>17060.0</v>
      </c>
      <c r="C3287" s="38" t="s">
        <v>5660</v>
      </c>
      <c r="D3287" s="38" t="str">
        <f>IFERROR(__xludf.DUMMYFUNCTION("REGEXREPLACE(C3287,""-\d+(.*)|--\d+(.*)"","""")"),"BOUTENAC-TOUVENT")</f>
        <v>BOUTENAC-TOUVENT</v>
      </c>
      <c r="E3287" s="38" t="s">
        <v>488</v>
      </c>
      <c r="F3287" s="38" t="s">
        <v>338</v>
      </c>
      <c r="G3287" s="49" t="str">
        <f t="shared" si="1"/>
        <v>17120</v>
      </c>
      <c r="H3287" s="49">
        <f t="shared" si="2"/>
        <v>17060</v>
      </c>
    </row>
    <row r="3288">
      <c r="A3288" s="48" t="s">
        <v>5661</v>
      </c>
      <c r="B3288" s="38">
        <v>63112.0</v>
      </c>
      <c r="C3288" s="38" t="s">
        <v>5662</v>
      </c>
      <c r="D3288" s="38" t="str">
        <f>IFERROR(__xludf.DUMMYFUNCTION("REGEXREPLACE(C3288,""-\d+(.*)|--\d+(.*)"","""")"),"CLERLANDE")</f>
        <v>CLERLANDE</v>
      </c>
      <c r="E3288" s="38" t="s">
        <v>353</v>
      </c>
      <c r="F3288" s="38" t="s">
        <v>161</v>
      </c>
      <c r="G3288" s="49" t="str">
        <f t="shared" si="1"/>
        <v>63720</v>
      </c>
      <c r="H3288" s="49">
        <f t="shared" si="2"/>
        <v>63112</v>
      </c>
    </row>
    <row r="3289">
      <c r="A3289" s="48" t="s">
        <v>2276</v>
      </c>
      <c r="B3289" s="38">
        <v>47034.0</v>
      </c>
      <c r="C3289" s="38" t="s">
        <v>5663</v>
      </c>
      <c r="D3289" s="38" t="str">
        <f>IFERROR(__xludf.DUMMYFUNCTION("REGEXREPLACE(C3289,""-\d+(.*)|--\d+(.*)"","""")"),"BOUGLON")</f>
        <v>BOUGLON</v>
      </c>
      <c r="E3289" s="38" t="s">
        <v>251</v>
      </c>
      <c r="F3289" s="38" t="s">
        <v>252</v>
      </c>
      <c r="G3289" s="49" t="str">
        <f t="shared" si="1"/>
        <v>47250</v>
      </c>
      <c r="H3289" s="49">
        <f t="shared" si="2"/>
        <v>47034</v>
      </c>
    </row>
    <row r="3290">
      <c r="A3290" s="48" t="s">
        <v>369</v>
      </c>
      <c r="B3290" s="38">
        <v>63427.0</v>
      </c>
      <c r="C3290" s="38" t="s">
        <v>5664</v>
      </c>
      <c r="D3290" s="38" t="str">
        <f>IFERROR(__xludf.DUMMYFUNCTION("REGEXREPLACE(C3290,""-\d+(.*)|--\d+(.*)"","""")"),"TEILHEDE")</f>
        <v>TEILHEDE</v>
      </c>
      <c r="E3290" s="38" t="s">
        <v>353</v>
      </c>
      <c r="F3290" s="38" t="s">
        <v>161</v>
      </c>
      <c r="G3290" s="49" t="str">
        <f t="shared" si="1"/>
        <v>63460</v>
      </c>
      <c r="H3290" s="49">
        <f t="shared" si="2"/>
        <v>63427</v>
      </c>
    </row>
    <row r="3291">
      <c r="A3291" s="48" t="s">
        <v>2100</v>
      </c>
      <c r="B3291" s="38">
        <v>14026.0</v>
      </c>
      <c r="C3291" s="38" t="s">
        <v>5665</v>
      </c>
      <c r="D3291" s="38" t="str">
        <f>IFERROR(__xludf.DUMMYFUNCTION("REGEXREPLACE(C3291,""-\d+(.*)|--\d+(.*)"","""")"),"AUDRIEU")</f>
        <v>AUDRIEU</v>
      </c>
      <c r="E3291" s="38" t="s">
        <v>137</v>
      </c>
      <c r="F3291" s="38" t="s">
        <v>138</v>
      </c>
      <c r="G3291" s="49" t="str">
        <f t="shared" si="1"/>
        <v>14250</v>
      </c>
      <c r="H3291" s="49">
        <f t="shared" si="2"/>
        <v>14026</v>
      </c>
    </row>
    <row r="3292">
      <c r="A3292" s="48" t="s">
        <v>5666</v>
      </c>
      <c r="B3292" s="38">
        <v>39470.0</v>
      </c>
      <c r="C3292" s="38" t="s">
        <v>5667</v>
      </c>
      <c r="D3292" s="38" t="str">
        <f>IFERROR(__xludf.DUMMYFUNCTION("REGEXREPLACE(C3292,""-\d+(.*)|--\d+(.*)"","""")"),"LES ROUSSES")</f>
        <v>LES ROUSSES</v>
      </c>
      <c r="E3292" s="38" t="s">
        <v>400</v>
      </c>
      <c r="F3292" s="38" t="s">
        <v>214</v>
      </c>
      <c r="G3292" s="49" t="str">
        <f t="shared" si="1"/>
        <v>39220</v>
      </c>
      <c r="H3292" s="49">
        <f t="shared" si="2"/>
        <v>39470</v>
      </c>
    </row>
    <row r="3293">
      <c r="A3293" s="48" t="s">
        <v>3576</v>
      </c>
      <c r="B3293" s="38">
        <v>63144.0</v>
      </c>
      <c r="C3293" s="38" t="s">
        <v>5668</v>
      </c>
      <c r="D3293" s="38" t="str">
        <f>IFERROR(__xludf.DUMMYFUNCTION("REGEXREPLACE(C3293,""-\d+(.*)|--\d+(.*)"","""")"),"EGLISENEUVE-D'ENTRAIGUES")</f>
        <v>EGLISENEUVE-D'ENTRAIGUES</v>
      </c>
      <c r="E3293" s="38" t="s">
        <v>353</v>
      </c>
      <c r="F3293" s="38" t="s">
        <v>161</v>
      </c>
      <c r="G3293" s="49" t="str">
        <f t="shared" si="1"/>
        <v>63850</v>
      </c>
      <c r="H3293" s="49">
        <f t="shared" si="2"/>
        <v>63144</v>
      </c>
    </row>
    <row r="3294">
      <c r="A3294" s="48" t="s">
        <v>593</v>
      </c>
      <c r="B3294" s="38">
        <v>29062.0</v>
      </c>
      <c r="C3294" s="38" t="s">
        <v>5669</v>
      </c>
      <c r="D3294" s="38" t="str">
        <f>IFERROR(__xludf.DUMMYFUNCTION("REGEXREPLACE(C3294,""-\d+(.*)|--\d+(.*)"","""")"),"GOUEZEC")</f>
        <v>GOUEZEC</v>
      </c>
      <c r="E3294" s="38" t="s">
        <v>176</v>
      </c>
      <c r="F3294" s="38" t="s">
        <v>90</v>
      </c>
      <c r="G3294" s="49" t="str">
        <f t="shared" si="1"/>
        <v>29190</v>
      </c>
      <c r="H3294" s="49">
        <f t="shared" si="2"/>
        <v>29062</v>
      </c>
    </row>
    <row r="3295">
      <c r="A3295" s="48" t="s">
        <v>1740</v>
      </c>
      <c r="B3295" s="38">
        <v>26107.0</v>
      </c>
      <c r="C3295" s="38" t="s">
        <v>5670</v>
      </c>
      <c r="D3295" s="38" t="str">
        <f>IFERROR(__xludf.DUMMYFUNCTION("REGEXREPLACE(C3295,""-\d+(.*)|--\d+(.*)"","""")"),"CREPOL")</f>
        <v>CREPOL</v>
      </c>
      <c r="E3295" s="38" t="s">
        <v>126</v>
      </c>
      <c r="F3295" s="38" t="s">
        <v>102</v>
      </c>
      <c r="G3295" s="49" t="str">
        <f t="shared" si="1"/>
        <v>26350</v>
      </c>
      <c r="H3295" s="49">
        <f t="shared" si="2"/>
        <v>26107</v>
      </c>
    </row>
    <row r="3296">
      <c r="A3296" s="48" t="s">
        <v>3570</v>
      </c>
      <c r="B3296" s="38">
        <v>76645.0</v>
      </c>
      <c r="C3296" s="38" t="s">
        <v>5671</v>
      </c>
      <c r="D3296" s="38" t="str">
        <f>IFERROR(__xludf.DUMMYFUNCTION("REGEXREPLACE(C3296,""-\d+(.*)|--\d+(.*)"","""")"),"SAINT-RIQUIER-EN-RIVIERE")</f>
        <v>SAINT-RIQUIER-EN-RIVIERE</v>
      </c>
      <c r="E3296" s="38" t="s">
        <v>133</v>
      </c>
      <c r="F3296" s="38" t="s">
        <v>134</v>
      </c>
      <c r="G3296" s="49" t="str">
        <f t="shared" si="1"/>
        <v>76340</v>
      </c>
      <c r="H3296" s="49">
        <f t="shared" si="2"/>
        <v>76645</v>
      </c>
    </row>
    <row r="3297">
      <c r="A3297" s="48" t="s">
        <v>5672</v>
      </c>
      <c r="B3297" s="38">
        <v>33310.0</v>
      </c>
      <c r="C3297" s="38" t="s">
        <v>5673</v>
      </c>
      <c r="D3297" s="38" t="str">
        <f>IFERROR(__xludf.DUMMYFUNCTION("REGEXREPLACE(C3297,""-\d+(.*)|--\d+(.*)"","""")"),"ORIGNE")</f>
        <v>ORIGNE</v>
      </c>
      <c r="E3297" s="38" t="s">
        <v>462</v>
      </c>
      <c r="F3297" s="38" t="s">
        <v>252</v>
      </c>
      <c r="G3297" s="49" t="str">
        <f t="shared" si="1"/>
        <v>33113</v>
      </c>
      <c r="H3297" s="49">
        <f t="shared" si="2"/>
        <v>33310</v>
      </c>
    </row>
    <row r="3298">
      <c r="A3298" s="48" t="s">
        <v>5674</v>
      </c>
      <c r="B3298" s="38">
        <v>55075.0</v>
      </c>
      <c r="C3298" s="38" t="s">
        <v>5675</v>
      </c>
      <c r="D3298" s="38" t="str">
        <f>IFERROR(__xludf.DUMMYFUNCTION("REGEXREPLACE(C3298,""-\d+(.*)|--\d+(.*)"","""")"),"BRAUVILLIERS")</f>
        <v>BRAUVILLIERS</v>
      </c>
      <c r="E3298" s="38" t="s">
        <v>322</v>
      </c>
      <c r="F3298" s="38" t="s">
        <v>195</v>
      </c>
      <c r="G3298" s="49" t="str">
        <f t="shared" si="1"/>
        <v>55170</v>
      </c>
      <c r="H3298" s="49">
        <f t="shared" si="2"/>
        <v>55075</v>
      </c>
    </row>
    <row r="3299">
      <c r="A3299" s="48" t="s">
        <v>2111</v>
      </c>
      <c r="B3299" s="38">
        <v>77209.0</v>
      </c>
      <c r="C3299" s="38" t="s">
        <v>5676</v>
      </c>
      <c r="D3299" s="38" t="str">
        <f>IFERROR(__xludf.DUMMYFUNCTION("REGEXREPLACE(C3299,""-\d+(.*)|--\d+(.*)"","""")"),"GOUVERNES")</f>
        <v>GOUVERNES</v>
      </c>
      <c r="E3299" s="38" t="s">
        <v>244</v>
      </c>
      <c r="F3299" s="38" t="s">
        <v>245</v>
      </c>
      <c r="G3299" s="49" t="str">
        <f t="shared" si="1"/>
        <v>77400</v>
      </c>
      <c r="H3299" s="49">
        <f t="shared" si="2"/>
        <v>77209</v>
      </c>
    </row>
    <row r="3300">
      <c r="A3300" s="48" t="s">
        <v>2029</v>
      </c>
      <c r="B3300" s="38">
        <v>50523.0</v>
      </c>
      <c r="C3300" s="38" t="s">
        <v>5677</v>
      </c>
      <c r="D3300" s="38" t="str">
        <f>IFERROR(__xludf.DUMMYFUNCTION("REGEXREPLACE(C3300,""-\d+(.*)|--\d+(.*)"","""")"),"SAINTE-MERE-EGLISE")</f>
        <v>SAINTE-MERE-EGLISE</v>
      </c>
      <c r="E3300" s="38" t="s">
        <v>157</v>
      </c>
      <c r="F3300" s="38" t="s">
        <v>138</v>
      </c>
      <c r="G3300" s="49" t="str">
        <f t="shared" si="1"/>
        <v>50480</v>
      </c>
      <c r="H3300" s="49">
        <f t="shared" si="2"/>
        <v>50523</v>
      </c>
    </row>
    <row r="3301">
      <c r="A3301" s="48" t="s">
        <v>1560</v>
      </c>
      <c r="B3301" s="38">
        <v>14571.0</v>
      </c>
      <c r="C3301" s="38" t="s">
        <v>5678</v>
      </c>
      <c r="D3301" s="38" t="str">
        <f>IFERROR(__xludf.DUMMYFUNCTION("REGEXREPLACE(C3301,""-\d+(.*)|--\d+(.*)"","""")"),"SAINT-DENIS-DE-MAILLOC")</f>
        <v>SAINT-DENIS-DE-MAILLOC</v>
      </c>
      <c r="E3301" s="38" t="s">
        <v>137</v>
      </c>
      <c r="F3301" s="38" t="s">
        <v>138</v>
      </c>
      <c r="G3301" s="49" t="str">
        <f t="shared" si="1"/>
        <v>14100</v>
      </c>
      <c r="H3301" s="49">
        <f t="shared" si="2"/>
        <v>14571</v>
      </c>
    </row>
    <row r="3302">
      <c r="A3302" s="48" t="s">
        <v>5679</v>
      </c>
      <c r="B3302" s="38">
        <v>66086.0</v>
      </c>
      <c r="C3302" s="38" t="s">
        <v>5680</v>
      </c>
      <c r="D3302" s="38" t="str">
        <f>IFERROR(__xludf.DUMMYFUNCTION("REGEXREPLACE(C3302,""-\d+(.*)|--\d+(.*)"","""")"),"GLORIANES")</f>
        <v>GLORIANES</v>
      </c>
      <c r="E3302" s="38" t="s">
        <v>248</v>
      </c>
      <c r="F3302" s="38" t="s">
        <v>119</v>
      </c>
      <c r="G3302" s="49" t="str">
        <f t="shared" si="1"/>
        <v>66320</v>
      </c>
      <c r="H3302" s="49">
        <f t="shared" si="2"/>
        <v>66086</v>
      </c>
    </row>
    <row r="3303">
      <c r="A3303" s="48" t="s">
        <v>5681</v>
      </c>
      <c r="B3303" s="38">
        <v>58136.0</v>
      </c>
      <c r="C3303" s="38" t="s">
        <v>5682</v>
      </c>
      <c r="D3303" s="38" t="str">
        <f>IFERROR(__xludf.DUMMYFUNCTION("REGEXREPLACE(C3303,""-\d+(.*)|--\d+(.*)"","""")"),"JAILLY")</f>
        <v>JAILLY</v>
      </c>
      <c r="E3303" s="38" t="s">
        <v>219</v>
      </c>
      <c r="F3303" s="38" t="s">
        <v>106</v>
      </c>
      <c r="G3303" s="49" t="str">
        <f t="shared" si="1"/>
        <v>58330</v>
      </c>
      <c r="H3303" s="49">
        <f t="shared" si="2"/>
        <v>58136</v>
      </c>
    </row>
    <row r="3304">
      <c r="A3304" s="48" t="s">
        <v>5683</v>
      </c>
      <c r="B3304" s="38">
        <v>4043.0</v>
      </c>
      <c r="C3304" s="38" t="s">
        <v>5684</v>
      </c>
      <c r="D3304" s="38" t="str">
        <f>IFERROR(__xludf.DUMMYFUNCTION("REGEXREPLACE(C3304,""-\d+(.*)|--\d+(.*)"","""")"),"VAL-DE-CHALVAGNE")</f>
        <v>VAL-DE-CHALVAGNE</v>
      </c>
      <c r="E3304" s="38" t="s">
        <v>662</v>
      </c>
      <c r="F3304" s="38" t="s">
        <v>228</v>
      </c>
      <c r="G3304" s="49" t="str">
        <f t="shared" si="1"/>
        <v>04320</v>
      </c>
      <c r="H3304" s="49" t="str">
        <f t="shared" si="2"/>
        <v>04043</v>
      </c>
    </row>
    <row r="3305">
      <c r="A3305" s="48" t="s">
        <v>1270</v>
      </c>
      <c r="B3305" s="38">
        <v>57197.0</v>
      </c>
      <c r="C3305" s="38" t="s">
        <v>5685</v>
      </c>
      <c r="D3305" s="38" t="str">
        <f>IFERROR(__xludf.DUMMYFUNCTION("REGEXREPLACE(C3305,""-\d+(.*)|--\d+(.*)"","""")"),"ERNESTVILLER")</f>
        <v>ERNESTVILLER</v>
      </c>
      <c r="E3305" s="38" t="s">
        <v>303</v>
      </c>
      <c r="F3305" s="38" t="s">
        <v>195</v>
      </c>
      <c r="G3305" s="49" t="str">
        <f t="shared" si="1"/>
        <v>57510</v>
      </c>
      <c r="H3305" s="49">
        <f t="shared" si="2"/>
        <v>57197</v>
      </c>
    </row>
    <row r="3306">
      <c r="A3306" s="48" t="s">
        <v>5125</v>
      </c>
      <c r="B3306" s="38">
        <v>49098.0</v>
      </c>
      <c r="C3306" s="38" t="s">
        <v>5686</v>
      </c>
      <c r="D3306" s="38" t="str">
        <f>IFERROR(__xludf.DUMMYFUNCTION("REGEXREPLACE(C3306,""-\d+(.*)|--\d+(.*)"","""")"),"CHIGNE")</f>
        <v>CHIGNE</v>
      </c>
      <c r="E3306" s="38" t="s">
        <v>653</v>
      </c>
      <c r="F3306" s="38" t="s">
        <v>180</v>
      </c>
      <c r="G3306" s="49" t="str">
        <f t="shared" si="1"/>
        <v>49490</v>
      </c>
      <c r="H3306" s="49">
        <f t="shared" si="2"/>
        <v>49098</v>
      </c>
    </row>
    <row r="3307">
      <c r="A3307" s="48" t="s">
        <v>5687</v>
      </c>
      <c r="B3307" s="38">
        <v>3062.0</v>
      </c>
      <c r="C3307" s="38" t="s">
        <v>664</v>
      </c>
      <c r="D3307" s="38" t="str">
        <f>IFERROR(__xludf.DUMMYFUNCTION("REGEXREPLACE(C3307,""-\d+(.*)|--\d+(.*)"","""")"),"CHARROUX")</f>
        <v>CHARROUX</v>
      </c>
      <c r="E3307" s="38" t="s">
        <v>160</v>
      </c>
      <c r="F3307" s="38" t="s">
        <v>161</v>
      </c>
      <c r="G3307" s="49" t="str">
        <f t="shared" si="1"/>
        <v>03140</v>
      </c>
      <c r="H3307" s="49" t="str">
        <f t="shared" si="2"/>
        <v>03062</v>
      </c>
    </row>
    <row r="3308">
      <c r="A3308" s="48" t="s">
        <v>5688</v>
      </c>
      <c r="B3308" s="38">
        <v>27521.0</v>
      </c>
      <c r="C3308" s="38" t="s">
        <v>5689</v>
      </c>
      <c r="D3308" s="38" t="str">
        <f>IFERROR(__xludf.DUMMYFUNCTION("REGEXREPLACE(C3308,""-\d+(.*)|--\d+(.*)"","""")"),"SAINT-CHRISTOPHE-SUR-AVRE")</f>
        <v>SAINT-CHRISTOPHE-SUR-AVRE</v>
      </c>
      <c r="E3308" s="38" t="s">
        <v>241</v>
      </c>
      <c r="F3308" s="38" t="s">
        <v>134</v>
      </c>
      <c r="G3308" s="49" t="str">
        <f t="shared" si="1"/>
        <v>27820</v>
      </c>
      <c r="H3308" s="49">
        <f t="shared" si="2"/>
        <v>27521</v>
      </c>
    </row>
    <row r="3309">
      <c r="A3309" s="48" t="s">
        <v>5690</v>
      </c>
      <c r="B3309" s="38">
        <v>8480.0</v>
      </c>
      <c r="C3309" s="38" t="s">
        <v>5691</v>
      </c>
      <c r="D3309" s="38" t="str">
        <f>IFERROR(__xludf.DUMMYFUNCTION("REGEXREPLACE(C3309,""-\d+(.*)|--\d+(.*)"","""")"),"VILLERS-SEMEUSE")</f>
        <v>VILLERS-SEMEUSE</v>
      </c>
      <c r="E3309" s="38" t="s">
        <v>327</v>
      </c>
      <c r="F3309" s="38" t="s">
        <v>130</v>
      </c>
      <c r="G3309" s="49" t="str">
        <f t="shared" si="1"/>
        <v>08000</v>
      </c>
      <c r="H3309" s="49" t="str">
        <f t="shared" si="2"/>
        <v>08480</v>
      </c>
    </row>
    <row r="3310">
      <c r="A3310" s="48" t="s">
        <v>3821</v>
      </c>
      <c r="B3310" s="38">
        <v>57151.0</v>
      </c>
      <c r="C3310" s="38" t="s">
        <v>5692</v>
      </c>
      <c r="D3310" s="38" t="str">
        <f>IFERROR(__xludf.DUMMYFUNCTION("REGEXREPLACE(C3310,""-\d+(.*)|--\d+(.*)"","""")"),"CONTHIL")</f>
        <v>CONTHIL</v>
      </c>
      <c r="E3310" s="38" t="s">
        <v>303</v>
      </c>
      <c r="F3310" s="38" t="s">
        <v>195</v>
      </c>
      <c r="G3310" s="49" t="str">
        <f t="shared" si="1"/>
        <v>57340</v>
      </c>
      <c r="H3310" s="49">
        <f t="shared" si="2"/>
        <v>57151</v>
      </c>
    </row>
    <row r="3311">
      <c r="A3311" s="48" t="s">
        <v>5693</v>
      </c>
      <c r="B3311" s="38">
        <v>50542.0</v>
      </c>
      <c r="C3311" s="38" t="s">
        <v>5694</v>
      </c>
      <c r="D3311" s="38" t="str">
        <f>IFERROR(__xludf.DUMMYFUNCTION("REGEXREPLACE(C3311,""-\d+(.*)|--\d+(.*)"","""")"),"SAINT-POIS")</f>
        <v>SAINT-POIS</v>
      </c>
      <c r="E3311" s="38" t="s">
        <v>157</v>
      </c>
      <c r="F3311" s="38" t="s">
        <v>138</v>
      </c>
      <c r="G3311" s="49" t="str">
        <f t="shared" si="1"/>
        <v>50670</v>
      </c>
      <c r="H3311" s="49">
        <f t="shared" si="2"/>
        <v>50542</v>
      </c>
    </row>
    <row r="3312">
      <c r="A3312" s="48" t="s">
        <v>1966</v>
      </c>
      <c r="B3312" s="38">
        <v>2775.0</v>
      </c>
      <c r="C3312" s="38" t="s">
        <v>5695</v>
      </c>
      <c r="D3312" s="38" t="str">
        <f>IFERROR(__xludf.DUMMYFUNCTION("REGEXREPLACE(C3312,""-\d+(.*)|--\d+(.*)"","""")"),"VENDEUIL")</f>
        <v>VENDEUIL</v>
      </c>
      <c r="E3312" s="38" t="s">
        <v>191</v>
      </c>
      <c r="F3312" s="38" t="s">
        <v>113</v>
      </c>
      <c r="G3312" s="49" t="str">
        <f t="shared" si="1"/>
        <v>02800</v>
      </c>
      <c r="H3312" s="49" t="str">
        <f t="shared" si="2"/>
        <v>02775</v>
      </c>
    </row>
    <row r="3313">
      <c r="A3313" s="48" t="s">
        <v>4238</v>
      </c>
      <c r="B3313" s="38">
        <v>54024.0</v>
      </c>
      <c r="C3313" s="38" t="s">
        <v>5696</v>
      </c>
      <c r="D3313" s="38" t="str">
        <f>IFERROR(__xludf.DUMMYFUNCTION("REGEXREPLACE(C3313,""-\d+(.*)|--\d+(.*)"","""")"),"ARRAYE-ET-HAN")</f>
        <v>ARRAYE-ET-HAN</v>
      </c>
      <c r="E3313" s="38" t="s">
        <v>548</v>
      </c>
      <c r="F3313" s="38" t="s">
        <v>195</v>
      </c>
      <c r="G3313" s="49" t="str">
        <f t="shared" si="1"/>
        <v>54760</v>
      </c>
      <c r="H3313" s="49">
        <f t="shared" si="2"/>
        <v>54024</v>
      </c>
    </row>
    <row r="3314">
      <c r="A3314" s="48" t="s">
        <v>5697</v>
      </c>
      <c r="B3314" s="38">
        <v>69298.0</v>
      </c>
      <c r="C3314" s="38" t="s">
        <v>5698</v>
      </c>
      <c r="D3314" s="38" t="str">
        <f>IFERROR(__xludf.DUMMYFUNCTION("REGEXREPLACE(C3314,""-\d+(.*)|--\d+(.*)"","""")"),"TOUSSIEU")</f>
        <v>TOUSSIEU</v>
      </c>
      <c r="E3314" s="38" t="s">
        <v>350</v>
      </c>
      <c r="F3314" s="38" t="s">
        <v>102</v>
      </c>
      <c r="G3314" s="49" t="str">
        <f t="shared" si="1"/>
        <v>69780</v>
      </c>
      <c r="H3314" s="49">
        <f t="shared" si="2"/>
        <v>69298</v>
      </c>
    </row>
    <row r="3315">
      <c r="A3315" s="48" t="s">
        <v>266</v>
      </c>
      <c r="B3315" s="38">
        <v>64056.0</v>
      </c>
      <c r="C3315" s="38" t="s">
        <v>5699</v>
      </c>
      <c r="D3315" s="38" t="str">
        <f>IFERROR(__xludf.DUMMYFUNCTION("REGEXREPLACE(C3315,""-\d+(.*)|--\d+(.*)"","""")"),"ARROSES")</f>
        <v>ARROSES</v>
      </c>
      <c r="E3315" s="38" t="s">
        <v>268</v>
      </c>
      <c r="F3315" s="38" t="s">
        <v>252</v>
      </c>
      <c r="G3315" s="49" t="str">
        <f t="shared" si="1"/>
        <v>64350</v>
      </c>
      <c r="H3315" s="49">
        <f t="shared" si="2"/>
        <v>64056</v>
      </c>
    </row>
    <row r="3316">
      <c r="A3316" s="48" t="s">
        <v>5700</v>
      </c>
      <c r="B3316" s="38">
        <v>36104.0</v>
      </c>
      <c r="C3316" s="38" t="s">
        <v>5701</v>
      </c>
      <c r="D3316" s="38" t="str">
        <f>IFERROR(__xludf.DUMMYFUNCTION("REGEXREPLACE(C3316,""-\d+(.*)|--\d+(.*)"","""")"),"LURAIS")</f>
        <v>LURAIS</v>
      </c>
      <c r="E3316" s="38" t="s">
        <v>258</v>
      </c>
      <c r="F3316" s="38" t="s">
        <v>123</v>
      </c>
      <c r="G3316" s="49" t="str">
        <f t="shared" si="1"/>
        <v>36220</v>
      </c>
      <c r="H3316" s="49">
        <f t="shared" si="2"/>
        <v>36104</v>
      </c>
    </row>
    <row r="3317">
      <c r="A3317" s="48" t="s">
        <v>5702</v>
      </c>
      <c r="B3317" s="38">
        <v>26245.0</v>
      </c>
      <c r="C3317" s="38" t="s">
        <v>5703</v>
      </c>
      <c r="D3317" s="38" t="str">
        <f>IFERROR(__xludf.DUMMYFUNCTION("REGEXREPLACE(C3317,""-\d+(.*)|--\d+(.*)"","""")"),"POMMEROL")</f>
        <v>POMMEROL</v>
      </c>
      <c r="E3317" s="38" t="s">
        <v>126</v>
      </c>
      <c r="F3317" s="38" t="s">
        <v>102</v>
      </c>
      <c r="G3317" s="49" t="str">
        <f t="shared" si="1"/>
        <v>26470</v>
      </c>
      <c r="H3317" s="49">
        <f t="shared" si="2"/>
        <v>26245</v>
      </c>
    </row>
    <row r="3318">
      <c r="A3318" s="48" t="s">
        <v>5704</v>
      </c>
      <c r="B3318" s="38">
        <v>84092.0</v>
      </c>
      <c r="C3318" s="38" t="s">
        <v>5705</v>
      </c>
      <c r="D3318" s="38" t="str">
        <f>IFERROR(__xludf.DUMMYFUNCTION("REGEXREPLACE(C3318,""-\d+(.*)|--\d+(.*)"","""")"),"LE PONTET")</f>
        <v>LE PONTET</v>
      </c>
      <c r="E3318" s="38" t="s">
        <v>1026</v>
      </c>
      <c r="F3318" s="38" t="s">
        <v>228</v>
      </c>
      <c r="G3318" s="49" t="str">
        <f t="shared" si="1"/>
        <v>84130</v>
      </c>
      <c r="H3318" s="49">
        <f t="shared" si="2"/>
        <v>84092</v>
      </c>
    </row>
    <row r="3319">
      <c r="A3319" s="48" t="s">
        <v>5706</v>
      </c>
      <c r="B3319" s="38">
        <v>63131.0</v>
      </c>
      <c r="C3319" s="38" t="s">
        <v>5707</v>
      </c>
      <c r="D3319" s="38" t="str">
        <f>IFERROR(__xludf.DUMMYFUNCTION("REGEXREPLACE(C3319,""-\d+(.*)|--\d+(.*)"","""")"),"CULHAT")</f>
        <v>CULHAT</v>
      </c>
      <c r="E3319" s="38" t="s">
        <v>353</v>
      </c>
      <c r="F3319" s="38" t="s">
        <v>161</v>
      </c>
      <c r="G3319" s="49" t="str">
        <f t="shared" si="1"/>
        <v>63350</v>
      </c>
      <c r="H3319" s="49">
        <f t="shared" si="2"/>
        <v>63131</v>
      </c>
    </row>
    <row r="3320">
      <c r="A3320" s="48" t="s">
        <v>2164</v>
      </c>
      <c r="B3320" s="38">
        <v>63208.0</v>
      </c>
      <c r="C3320" s="38" t="s">
        <v>5708</v>
      </c>
      <c r="D3320" s="38" t="str">
        <f>IFERROR(__xludf.DUMMYFUNCTION("REGEXREPLACE(C3320,""-\d+(.*)|--\d+(.*)"","""")"),"MARCILLAT")</f>
        <v>MARCILLAT</v>
      </c>
      <c r="E3320" s="38" t="s">
        <v>353</v>
      </c>
      <c r="F3320" s="38" t="s">
        <v>161</v>
      </c>
      <c r="G3320" s="49" t="str">
        <f t="shared" si="1"/>
        <v>63440</v>
      </c>
      <c r="H3320" s="49">
        <f t="shared" si="2"/>
        <v>63208</v>
      </c>
    </row>
    <row r="3321">
      <c r="A3321" s="48" t="s">
        <v>5709</v>
      </c>
      <c r="B3321" s="38">
        <v>44193.0</v>
      </c>
      <c r="C3321" s="38" t="s">
        <v>5710</v>
      </c>
      <c r="D3321" s="38" t="str">
        <f>IFERROR(__xludf.DUMMYFUNCTION("REGEXREPLACE(C3321,""-\d+(.*)|--\d+(.*)"","""")"),"SAINT-VINCENT-DES-LANDES")</f>
        <v>SAINT-VINCENT-DES-LANDES</v>
      </c>
      <c r="E3321" s="38" t="s">
        <v>759</v>
      </c>
      <c r="F3321" s="38" t="s">
        <v>180</v>
      </c>
      <c r="G3321" s="49" t="str">
        <f t="shared" si="1"/>
        <v>44590</v>
      </c>
      <c r="H3321" s="49">
        <f t="shared" si="2"/>
        <v>44193</v>
      </c>
    </row>
    <row r="3322">
      <c r="A3322" s="48" t="s">
        <v>3080</v>
      </c>
      <c r="B3322" s="38">
        <v>71437.0</v>
      </c>
      <c r="C3322" s="38" t="s">
        <v>5711</v>
      </c>
      <c r="D3322" s="38" t="str">
        <f>IFERROR(__xludf.DUMMYFUNCTION("REGEXREPLACE(C3322,""-\d+(.*)|--\d+(.*)"","""")"),"SAINT-LAURENT-EN-BRIONNAIS")</f>
        <v>SAINT-LAURENT-EN-BRIONNAIS</v>
      </c>
      <c r="E3322" s="38" t="s">
        <v>344</v>
      </c>
      <c r="F3322" s="38" t="s">
        <v>106</v>
      </c>
      <c r="G3322" s="49" t="str">
        <f t="shared" si="1"/>
        <v>71800</v>
      </c>
      <c r="H3322" s="49">
        <f t="shared" si="2"/>
        <v>71437</v>
      </c>
    </row>
    <row r="3323">
      <c r="A3323" s="48" t="s">
        <v>5712</v>
      </c>
      <c r="B3323" s="38">
        <v>89335.0</v>
      </c>
      <c r="C3323" s="38" t="s">
        <v>5713</v>
      </c>
      <c r="D3323" s="38" t="str">
        <f>IFERROR(__xludf.DUMMYFUNCTION("REGEXREPLACE(C3323,""-\d+(.*)|--\d+(.*)"","""")"),"SAINT-AUBIN-SUR-YONNE")</f>
        <v>SAINT-AUBIN-SUR-YONNE</v>
      </c>
      <c r="E3323" s="38" t="s">
        <v>275</v>
      </c>
      <c r="F3323" s="38" t="s">
        <v>106</v>
      </c>
      <c r="G3323" s="49" t="str">
        <f t="shared" si="1"/>
        <v>89300</v>
      </c>
      <c r="H3323" s="49">
        <f t="shared" si="2"/>
        <v>89335</v>
      </c>
    </row>
    <row r="3324">
      <c r="A3324" s="48" t="s">
        <v>1951</v>
      </c>
      <c r="B3324" s="38">
        <v>66133.0</v>
      </c>
      <c r="C3324" s="38" t="s">
        <v>5714</v>
      </c>
      <c r="D3324" s="38" t="str">
        <f>IFERROR(__xludf.DUMMYFUNCTION("REGEXREPLACE(C3324,""-\d+(.*)|--\d+(.*)"","""")"),"PALAU-DEL-VIDRE")</f>
        <v>PALAU-DEL-VIDRE</v>
      </c>
      <c r="E3324" s="38" t="s">
        <v>248</v>
      </c>
      <c r="F3324" s="38" t="s">
        <v>119</v>
      </c>
      <c r="G3324" s="49" t="str">
        <f t="shared" si="1"/>
        <v>66690</v>
      </c>
      <c r="H3324" s="49">
        <f t="shared" si="2"/>
        <v>66133</v>
      </c>
    </row>
    <row r="3325">
      <c r="A3325" s="48" t="s">
        <v>5715</v>
      </c>
      <c r="B3325" s="38">
        <v>77258.0</v>
      </c>
      <c r="C3325" s="38" t="s">
        <v>5716</v>
      </c>
      <c r="D3325" s="38" t="str">
        <f>IFERROR(__xludf.DUMMYFUNCTION("REGEXREPLACE(C3325,""-\d+(.*)|--\d+(.*)"","""")"),"LOGNES")</f>
        <v>LOGNES</v>
      </c>
      <c r="E3325" s="38" t="s">
        <v>244</v>
      </c>
      <c r="F3325" s="38" t="s">
        <v>245</v>
      </c>
      <c r="G3325" s="49" t="str">
        <f t="shared" si="1"/>
        <v>77185</v>
      </c>
      <c r="H3325" s="49">
        <f t="shared" si="2"/>
        <v>77258</v>
      </c>
    </row>
    <row r="3326">
      <c r="A3326" s="48" t="s">
        <v>421</v>
      </c>
      <c r="B3326" s="38">
        <v>25593.0</v>
      </c>
      <c r="C3326" s="38" t="s">
        <v>5717</v>
      </c>
      <c r="D3326" s="38" t="str">
        <f>IFERROR(__xludf.DUMMYFUNCTION("REGEXREPLACE(C3326,""-\d+(.*)|--\d+(.*)"","""")"),"VAUX-LES-PRES")</f>
        <v>VAUX-LES-PRES</v>
      </c>
      <c r="E3326" s="38" t="s">
        <v>213</v>
      </c>
      <c r="F3326" s="38" t="s">
        <v>214</v>
      </c>
      <c r="G3326" s="49" t="str">
        <f t="shared" si="1"/>
        <v>25770</v>
      </c>
      <c r="H3326" s="49">
        <f t="shared" si="2"/>
        <v>25593</v>
      </c>
    </row>
    <row r="3327">
      <c r="A3327" s="48" t="s">
        <v>1905</v>
      </c>
      <c r="B3327" s="38">
        <v>29131.0</v>
      </c>
      <c r="C3327" s="38" t="s">
        <v>5718</v>
      </c>
      <c r="D3327" s="38" t="str">
        <f>IFERROR(__xludf.DUMMYFUNCTION("REGEXREPLACE(C3327,""-\d+(.*)|--\d+(.*)"","""")"),"LOCMELAR")</f>
        <v>LOCMELAR</v>
      </c>
      <c r="E3327" s="38" t="s">
        <v>176</v>
      </c>
      <c r="F3327" s="38" t="s">
        <v>90</v>
      </c>
      <c r="G3327" s="49" t="str">
        <f t="shared" si="1"/>
        <v>29400</v>
      </c>
      <c r="H3327" s="49">
        <f t="shared" si="2"/>
        <v>29131</v>
      </c>
    </row>
    <row r="3328">
      <c r="A3328" s="48" t="s">
        <v>3198</v>
      </c>
      <c r="B3328" s="38">
        <v>32346.0</v>
      </c>
      <c r="C3328" s="38" t="s">
        <v>5719</v>
      </c>
      <c r="D3328" s="38" t="str">
        <f>IFERROR(__xludf.DUMMYFUNCTION("REGEXREPLACE(C3328,""-\d+(.*)|--\d+(.*)"","""")"),"ROQUEBRUNE")</f>
        <v>ROQUEBRUNE</v>
      </c>
      <c r="E3328" s="38" t="s">
        <v>440</v>
      </c>
      <c r="F3328" s="38" t="s">
        <v>94</v>
      </c>
      <c r="G3328" s="49" t="str">
        <f t="shared" si="1"/>
        <v>32190</v>
      </c>
      <c r="H3328" s="49">
        <f t="shared" si="2"/>
        <v>32346</v>
      </c>
    </row>
    <row r="3329">
      <c r="A3329" s="48" t="s">
        <v>5720</v>
      </c>
      <c r="B3329" s="38">
        <v>86290.0</v>
      </c>
      <c r="C3329" s="38" t="s">
        <v>5721</v>
      </c>
      <c r="D3329" s="38" t="str">
        <f>IFERROR(__xludf.DUMMYFUNCTION("REGEXREPLACE(C3329,""-\d+(.*)|--\d+(.*)"","""")"),"LA VILLEDIEU-DU-CLAIN")</f>
        <v>LA VILLEDIEU-DU-CLAIN</v>
      </c>
      <c r="E3329" s="38" t="s">
        <v>529</v>
      </c>
      <c r="F3329" s="38" t="s">
        <v>338</v>
      </c>
      <c r="G3329" s="49" t="str">
        <f t="shared" si="1"/>
        <v>86340</v>
      </c>
      <c r="H3329" s="49">
        <f t="shared" si="2"/>
        <v>86290</v>
      </c>
    </row>
    <row r="3330">
      <c r="A3330" s="48" t="s">
        <v>1883</v>
      </c>
      <c r="B3330" s="38">
        <v>39513.0</v>
      </c>
      <c r="C3330" s="38" t="s">
        <v>5722</v>
      </c>
      <c r="D3330" s="38" t="str">
        <f>IFERROR(__xludf.DUMMYFUNCTION("REGEXREPLACE(C3330,""-\d+(.*)|--\d+(.*)"","""")"),"SERMANGE")</f>
        <v>SERMANGE</v>
      </c>
      <c r="E3330" s="38" t="s">
        <v>400</v>
      </c>
      <c r="F3330" s="38" t="s">
        <v>214</v>
      </c>
      <c r="G3330" s="49" t="str">
        <f t="shared" si="1"/>
        <v>39700</v>
      </c>
      <c r="H3330" s="49">
        <f t="shared" si="2"/>
        <v>39513</v>
      </c>
    </row>
    <row r="3331">
      <c r="A3331" s="48" t="s">
        <v>898</v>
      </c>
      <c r="B3331" s="38">
        <v>54118.0</v>
      </c>
      <c r="C3331" s="38" t="s">
        <v>5723</v>
      </c>
      <c r="D3331" s="38" t="str">
        <f>IFERROR(__xludf.DUMMYFUNCTION("REGEXREPLACE(C3331,""-\d+(.*)|--\d+(.*)"","""")"),"CHARENCY-VEZIN")</f>
        <v>CHARENCY-VEZIN</v>
      </c>
      <c r="E3331" s="38" t="s">
        <v>548</v>
      </c>
      <c r="F3331" s="38" t="s">
        <v>195</v>
      </c>
      <c r="G3331" s="49" t="str">
        <f t="shared" si="1"/>
        <v>54260</v>
      </c>
      <c r="H3331" s="49">
        <f t="shared" si="2"/>
        <v>54118</v>
      </c>
    </row>
    <row r="3332">
      <c r="A3332" s="48" t="s">
        <v>5016</v>
      </c>
      <c r="B3332" s="38">
        <v>34140.0</v>
      </c>
      <c r="C3332" s="38" t="s">
        <v>5724</v>
      </c>
      <c r="D3332" s="38" t="str">
        <f>IFERROR(__xludf.DUMMYFUNCTION("REGEXREPLACE(C3332,""-\d+(.*)|--\d+(.*)"","""")"),"LIGNAN-SUR-ORB")</f>
        <v>LIGNAN-SUR-ORB</v>
      </c>
      <c r="E3332" s="38" t="s">
        <v>118</v>
      </c>
      <c r="F3332" s="38" t="s">
        <v>119</v>
      </c>
      <c r="G3332" s="49" t="str">
        <f t="shared" si="1"/>
        <v>34490</v>
      </c>
      <c r="H3332" s="49">
        <f t="shared" si="2"/>
        <v>34140</v>
      </c>
    </row>
    <row r="3333">
      <c r="A3333" s="48" t="s">
        <v>1220</v>
      </c>
      <c r="B3333" s="38">
        <v>76251.0</v>
      </c>
      <c r="C3333" s="38" t="s">
        <v>5725</v>
      </c>
      <c r="D3333" s="38" t="str">
        <f>IFERROR(__xludf.DUMMYFUNCTION("REGEXREPLACE(C3333,""-\d+(.*)|--\d+(.*)"","""")"),"ETALLEVILLE")</f>
        <v>ETALLEVILLE</v>
      </c>
      <c r="E3333" s="38" t="s">
        <v>133</v>
      </c>
      <c r="F3333" s="38" t="s">
        <v>134</v>
      </c>
      <c r="G3333" s="49" t="str">
        <f t="shared" si="1"/>
        <v>76560</v>
      </c>
      <c r="H3333" s="49">
        <f t="shared" si="2"/>
        <v>76251</v>
      </c>
    </row>
    <row r="3334">
      <c r="A3334" s="48" t="s">
        <v>5726</v>
      </c>
      <c r="B3334" s="38">
        <v>86120.0</v>
      </c>
      <c r="C3334" s="38" t="s">
        <v>5727</v>
      </c>
      <c r="D3334" s="38" t="str">
        <f>IFERROR(__xludf.DUMMYFUNCTION("REGEXREPLACE(C3334,""-\d+(.*)|--\d+(.*)"","""")"),"LATHUS-SAINT-REMY")</f>
        <v>LATHUS-SAINT-REMY</v>
      </c>
      <c r="E3334" s="38" t="s">
        <v>529</v>
      </c>
      <c r="F3334" s="38" t="s">
        <v>338</v>
      </c>
      <c r="G3334" s="49" t="str">
        <f t="shared" si="1"/>
        <v>86390</v>
      </c>
      <c r="H3334" s="49">
        <f t="shared" si="2"/>
        <v>86120</v>
      </c>
    </row>
    <row r="3335">
      <c r="A3335" s="48" t="s">
        <v>3266</v>
      </c>
      <c r="B3335" s="38">
        <v>55291.0</v>
      </c>
      <c r="C3335" s="38" t="s">
        <v>5728</v>
      </c>
      <c r="D3335" s="38" t="str">
        <f>IFERROR(__xludf.DUMMYFUNCTION("REGEXREPLACE(C3335,""-\d+(.*)|--\d+(.*)"","""")"),"LIGNY-EN-BARROIS")</f>
        <v>LIGNY-EN-BARROIS</v>
      </c>
      <c r="E3335" s="38" t="s">
        <v>322</v>
      </c>
      <c r="F3335" s="38" t="s">
        <v>195</v>
      </c>
      <c r="G3335" s="49" t="str">
        <f t="shared" si="1"/>
        <v>55500</v>
      </c>
      <c r="H3335" s="49">
        <f t="shared" si="2"/>
        <v>55291</v>
      </c>
    </row>
    <row r="3336">
      <c r="A3336" s="48" t="s">
        <v>2374</v>
      </c>
      <c r="B3336" s="38">
        <v>58041.0</v>
      </c>
      <c r="C3336" s="38" t="s">
        <v>5729</v>
      </c>
      <c r="D3336" s="38" t="str">
        <f>IFERROR(__xludf.DUMMYFUNCTION("REGEXREPLACE(C3336,""-\d+(.*)|--\d+(.*)"","""")"),"BRINON-SUR-BEUVRON")</f>
        <v>BRINON-SUR-BEUVRON</v>
      </c>
      <c r="E3336" s="38" t="s">
        <v>219</v>
      </c>
      <c r="F3336" s="38" t="s">
        <v>106</v>
      </c>
      <c r="G3336" s="49" t="str">
        <f t="shared" si="1"/>
        <v>58420</v>
      </c>
      <c r="H3336" s="49">
        <f t="shared" si="2"/>
        <v>58041</v>
      </c>
    </row>
    <row r="3337">
      <c r="A3337" s="48" t="s">
        <v>436</v>
      </c>
      <c r="B3337" s="38">
        <v>51475.0</v>
      </c>
      <c r="C3337" s="38" t="s">
        <v>5730</v>
      </c>
      <c r="D3337" s="38" t="str">
        <f>IFERROR(__xludf.DUMMYFUNCTION("REGEXREPLACE(C3337,""-\d+(.*)|--\d+(.*)"","""")"),"SAINT-CHERON")</f>
        <v>SAINT-CHERON</v>
      </c>
      <c r="E3337" s="38" t="s">
        <v>129</v>
      </c>
      <c r="F3337" s="38" t="s">
        <v>130</v>
      </c>
      <c r="G3337" s="49" t="str">
        <f t="shared" si="1"/>
        <v>51290</v>
      </c>
      <c r="H3337" s="49">
        <f t="shared" si="2"/>
        <v>51475</v>
      </c>
    </row>
    <row r="3338">
      <c r="A3338" s="48" t="s">
        <v>3264</v>
      </c>
      <c r="B3338" s="38">
        <v>69165.0</v>
      </c>
      <c r="C3338" s="38" t="s">
        <v>5731</v>
      </c>
      <c r="D3338" s="38" t="str">
        <f>IFERROR(__xludf.DUMMYFUNCTION("REGEXREPLACE(C3338,""-\d+(.*)|--\d+(.*)"","""")"),"REGNIE-DURETTE")</f>
        <v>REGNIE-DURETTE</v>
      </c>
      <c r="E3338" s="38" t="s">
        <v>350</v>
      </c>
      <c r="F3338" s="38" t="s">
        <v>102</v>
      </c>
      <c r="G3338" s="49" t="str">
        <f t="shared" si="1"/>
        <v>69430</v>
      </c>
      <c r="H3338" s="49">
        <f t="shared" si="2"/>
        <v>69165</v>
      </c>
    </row>
    <row r="3339">
      <c r="A3339" s="48" t="s">
        <v>5732</v>
      </c>
      <c r="B3339" s="38">
        <v>12222.0</v>
      </c>
      <c r="C3339" s="38" t="s">
        <v>5733</v>
      </c>
      <c r="D3339" s="38" t="str">
        <f>IFERROR(__xludf.DUMMYFUNCTION("REGEXREPLACE(C3339,""-\d+(.*)|--\d+(.*)"","""")"),"SAINT-FELIX-DE-SORGUES")</f>
        <v>SAINT-FELIX-DE-SORGUES</v>
      </c>
      <c r="E3339" s="38" t="s">
        <v>465</v>
      </c>
      <c r="F3339" s="38" t="s">
        <v>94</v>
      </c>
      <c r="G3339" s="49" t="str">
        <f t="shared" si="1"/>
        <v>12400</v>
      </c>
      <c r="H3339" s="49">
        <f t="shared" si="2"/>
        <v>12222</v>
      </c>
    </row>
    <row r="3340">
      <c r="A3340" s="48" t="s">
        <v>2681</v>
      </c>
      <c r="B3340" s="38">
        <v>67078.0</v>
      </c>
      <c r="C3340" s="38" t="s">
        <v>5734</v>
      </c>
      <c r="D3340" s="38" t="str">
        <f>IFERROR(__xludf.DUMMYFUNCTION("REGEXREPLACE(C3340,""-\d+(.*)|--\d+(.*)"","""")"),"CRASTATT")</f>
        <v>CRASTATT</v>
      </c>
      <c r="E3340" s="38" t="s">
        <v>210</v>
      </c>
      <c r="F3340" s="38" t="s">
        <v>151</v>
      </c>
      <c r="G3340" s="49" t="str">
        <f t="shared" si="1"/>
        <v>67310</v>
      </c>
      <c r="H3340" s="49">
        <f t="shared" si="2"/>
        <v>67078</v>
      </c>
    </row>
    <row r="3341">
      <c r="A3341" s="48" t="s">
        <v>5735</v>
      </c>
      <c r="B3341" s="38">
        <v>2242.0</v>
      </c>
      <c r="C3341" s="38" t="s">
        <v>5736</v>
      </c>
      <c r="D3341" s="38" t="str">
        <f>IFERROR(__xludf.DUMMYFUNCTION("REGEXREPLACE(C3341,""-\d+(.*)|--\d+(.*)"","""")"),"CROUTTES-SUR-MARNE")</f>
        <v>CROUTTES-SUR-MARNE</v>
      </c>
      <c r="E3341" s="38" t="s">
        <v>191</v>
      </c>
      <c r="F3341" s="38" t="s">
        <v>113</v>
      </c>
      <c r="G3341" s="49" t="str">
        <f t="shared" si="1"/>
        <v>02310</v>
      </c>
      <c r="H3341" s="49" t="str">
        <f t="shared" si="2"/>
        <v>02242</v>
      </c>
    </row>
    <row r="3342">
      <c r="A3342" s="48" t="s">
        <v>4905</v>
      </c>
      <c r="B3342" s="38">
        <v>64276.0</v>
      </c>
      <c r="C3342" s="38" t="s">
        <v>5737</v>
      </c>
      <c r="D3342" s="38" t="str">
        <f>IFERROR(__xludf.DUMMYFUNCTION("REGEXREPLACE(C3342,""-\d+(.*)|--\d+(.*)"","""")"),"ISSOR")</f>
        <v>ISSOR</v>
      </c>
      <c r="E3342" s="38" t="s">
        <v>268</v>
      </c>
      <c r="F3342" s="38" t="s">
        <v>252</v>
      </c>
      <c r="G3342" s="49" t="str">
        <f t="shared" si="1"/>
        <v>64570</v>
      </c>
      <c r="H3342" s="49">
        <f t="shared" si="2"/>
        <v>64276</v>
      </c>
    </row>
    <row r="3343">
      <c r="A3343" s="48" t="s">
        <v>5738</v>
      </c>
      <c r="B3343" s="38">
        <v>77123.0</v>
      </c>
      <c r="C3343" s="38" t="s">
        <v>5739</v>
      </c>
      <c r="D3343" s="38" t="str">
        <f>IFERROR(__xludf.DUMMYFUNCTION("REGEXREPLACE(C3343,""-\d+(.*)|--\d+(.*)"","""")"),"COMPANS")</f>
        <v>COMPANS</v>
      </c>
      <c r="E3343" s="38" t="s">
        <v>244</v>
      </c>
      <c r="F3343" s="38" t="s">
        <v>245</v>
      </c>
      <c r="G3343" s="49" t="str">
        <f t="shared" si="1"/>
        <v>77290</v>
      </c>
      <c r="H3343" s="49">
        <f t="shared" si="2"/>
        <v>77123</v>
      </c>
    </row>
    <row r="3344">
      <c r="A3344" s="48" t="s">
        <v>3539</v>
      </c>
      <c r="B3344" s="38">
        <v>54377.0</v>
      </c>
      <c r="C3344" s="38" t="s">
        <v>5740</v>
      </c>
      <c r="D3344" s="38" t="str">
        <f>IFERROR(__xludf.DUMMYFUNCTION("REGEXREPLACE(C3344,""-\d+(.*)|--\d+(.*)"","""")"),"MONTIGNY")</f>
        <v>MONTIGNY</v>
      </c>
      <c r="E3344" s="38" t="s">
        <v>548</v>
      </c>
      <c r="F3344" s="38" t="s">
        <v>195</v>
      </c>
      <c r="G3344" s="49" t="str">
        <f t="shared" si="1"/>
        <v>54540</v>
      </c>
      <c r="H3344" s="49">
        <f t="shared" si="2"/>
        <v>54377</v>
      </c>
    </row>
    <row r="3345">
      <c r="A3345" s="48" t="s">
        <v>372</v>
      </c>
      <c r="B3345" s="38">
        <v>29081.0</v>
      </c>
      <c r="C3345" s="38" t="s">
        <v>5741</v>
      </c>
      <c r="D3345" s="38" t="str">
        <f>IFERROR(__xludf.DUMMYFUNCTION("REGEXREPLACE(C3345,""-\d+(.*)|--\d+(.*)"","""")"),"HUELGOAT")</f>
        <v>HUELGOAT</v>
      </c>
      <c r="E3345" s="38" t="s">
        <v>176</v>
      </c>
      <c r="F3345" s="38" t="s">
        <v>90</v>
      </c>
      <c r="G3345" s="49" t="str">
        <f t="shared" si="1"/>
        <v>29690</v>
      </c>
      <c r="H3345" s="49">
        <f t="shared" si="2"/>
        <v>29081</v>
      </c>
    </row>
    <row r="3346">
      <c r="A3346" s="48" t="s">
        <v>1093</v>
      </c>
      <c r="B3346" s="38">
        <v>62772.0</v>
      </c>
      <c r="C3346" s="38" t="s">
        <v>5742</v>
      </c>
      <c r="D3346" s="38" t="str">
        <f>IFERROR(__xludf.DUMMYFUNCTION("REGEXREPLACE(C3346,""-\d+(.*)|--\d+(.*)"","""")"),"SALPERWICK")</f>
        <v>SALPERWICK</v>
      </c>
      <c r="E3346" s="38" t="s">
        <v>109</v>
      </c>
      <c r="F3346" s="38" t="s">
        <v>86</v>
      </c>
      <c r="G3346" s="49" t="str">
        <f t="shared" si="1"/>
        <v>62500</v>
      </c>
      <c r="H3346" s="49">
        <f t="shared" si="2"/>
        <v>62772</v>
      </c>
    </row>
    <row r="3347">
      <c r="A3347" s="48" t="s">
        <v>5743</v>
      </c>
      <c r="B3347" s="38">
        <v>52320.0</v>
      </c>
      <c r="C3347" s="38" t="s">
        <v>5744</v>
      </c>
      <c r="D3347" s="38" t="str">
        <f>IFERROR(__xludf.DUMMYFUNCTION("REGEXREPLACE(C3347,""-\d+(.*)|--\d+(.*)"","""")"),"MERREY")</f>
        <v>MERREY</v>
      </c>
      <c r="E3347" s="38" t="s">
        <v>234</v>
      </c>
      <c r="F3347" s="38" t="s">
        <v>130</v>
      </c>
      <c r="G3347" s="49" t="str">
        <f t="shared" si="1"/>
        <v>52240</v>
      </c>
      <c r="H3347" s="49">
        <f t="shared" si="2"/>
        <v>52320</v>
      </c>
    </row>
    <row r="3348">
      <c r="A3348" s="48" t="s">
        <v>3515</v>
      </c>
      <c r="B3348" s="38">
        <v>26355.0</v>
      </c>
      <c r="C3348" s="38" t="s">
        <v>5745</v>
      </c>
      <c r="D3348" s="38" t="str">
        <f>IFERROR(__xludf.DUMMYFUNCTION("REGEXREPLACE(C3348,""-\d+(.*)|--\d+(.*)"","""")"),"TRIORS")</f>
        <v>TRIORS</v>
      </c>
      <c r="E3348" s="38" t="s">
        <v>126</v>
      </c>
      <c r="F3348" s="38" t="s">
        <v>102</v>
      </c>
      <c r="G3348" s="49" t="str">
        <f t="shared" si="1"/>
        <v>26750</v>
      </c>
      <c r="H3348" s="49">
        <f t="shared" si="2"/>
        <v>26355</v>
      </c>
    </row>
    <row r="3349">
      <c r="A3349" s="48" t="s">
        <v>211</v>
      </c>
      <c r="B3349" s="38">
        <v>25420.0</v>
      </c>
      <c r="C3349" s="38" t="s">
        <v>5746</v>
      </c>
      <c r="D3349" s="38" t="str">
        <f>IFERROR(__xludf.DUMMYFUNCTION("REGEXREPLACE(C3349,""-\d+(.*)|--\d+(.*)"","""")"),"NANS-SOUS-SAINTE-ANNE")</f>
        <v>NANS-SOUS-SAINTE-ANNE</v>
      </c>
      <c r="E3349" s="38" t="s">
        <v>213</v>
      </c>
      <c r="F3349" s="38" t="s">
        <v>214</v>
      </c>
      <c r="G3349" s="49" t="str">
        <f t="shared" si="1"/>
        <v>25330</v>
      </c>
      <c r="H3349" s="49">
        <f t="shared" si="2"/>
        <v>25420</v>
      </c>
    </row>
    <row r="3350">
      <c r="A3350" s="48" t="s">
        <v>4745</v>
      </c>
      <c r="B3350" s="38">
        <v>1039.0</v>
      </c>
      <c r="C3350" s="38" t="s">
        <v>5747</v>
      </c>
      <c r="D3350" s="38" t="str">
        <f>IFERROR(__xludf.DUMMYFUNCTION("REGEXREPLACE(C3350,""-\d+(.*)|--\d+(.*)"","""")"),"BEON")</f>
        <v>BEON</v>
      </c>
      <c r="E3350" s="38" t="s">
        <v>255</v>
      </c>
      <c r="F3350" s="38" t="s">
        <v>102</v>
      </c>
      <c r="G3350" s="49" t="str">
        <f t="shared" si="1"/>
        <v>01350</v>
      </c>
      <c r="H3350" s="49" t="str">
        <f t="shared" si="2"/>
        <v>01039</v>
      </c>
    </row>
    <row r="3351">
      <c r="A3351" s="48" t="s">
        <v>5748</v>
      </c>
      <c r="B3351" s="38">
        <v>13058.0</v>
      </c>
      <c r="C3351" s="38" t="s">
        <v>5749</v>
      </c>
      <c r="D3351" s="38" t="str">
        <f>IFERROR(__xludf.DUMMYFUNCTION("REGEXREPLACE(C3351,""-\d+(.*)|--\d+(.*)"","""")"),"MAUSSANE-LES-ALPILLES")</f>
        <v>MAUSSANE-LES-ALPILLES</v>
      </c>
      <c r="E3351" s="38" t="s">
        <v>980</v>
      </c>
      <c r="F3351" s="38" t="s">
        <v>228</v>
      </c>
      <c r="G3351" s="49" t="str">
        <f t="shared" si="1"/>
        <v>13520</v>
      </c>
      <c r="H3351" s="49">
        <f t="shared" si="2"/>
        <v>13058</v>
      </c>
    </row>
    <row r="3352">
      <c r="A3352" s="48" t="s">
        <v>5750</v>
      </c>
      <c r="B3352" s="38">
        <v>26252.0</v>
      </c>
      <c r="C3352" s="38" t="s">
        <v>5751</v>
      </c>
      <c r="D3352" s="38" t="str">
        <f>IFERROR(__xludf.DUMMYFUNCTION("REGEXREPLACE(C3352,""-\d+(.*)|--\d+(.*)"","""")"),"PORTES-LES-VALENCE")</f>
        <v>PORTES-LES-VALENCE</v>
      </c>
      <c r="E3352" s="38" t="s">
        <v>126</v>
      </c>
      <c r="F3352" s="38" t="s">
        <v>102</v>
      </c>
      <c r="G3352" s="49" t="str">
        <f t="shared" si="1"/>
        <v>26800</v>
      </c>
      <c r="H3352" s="49">
        <f t="shared" si="2"/>
        <v>26252</v>
      </c>
    </row>
    <row r="3353">
      <c r="A3353" s="48" t="s">
        <v>1056</v>
      </c>
      <c r="B3353" s="38">
        <v>11394.0</v>
      </c>
      <c r="C3353" s="38" t="s">
        <v>5752</v>
      </c>
      <c r="D3353" s="38" t="str">
        <f>IFERROR(__xludf.DUMMYFUNCTION("REGEXREPLACE(C3353,""-\d+(.*)|--\d+(.*)"","""")"),"TOURREILLES")</f>
        <v>TOURREILLES</v>
      </c>
      <c r="E3353" s="38" t="s">
        <v>278</v>
      </c>
      <c r="F3353" s="38" t="s">
        <v>119</v>
      </c>
      <c r="G3353" s="49" t="str">
        <f t="shared" si="1"/>
        <v>11300</v>
      </c>
      <c r="H3353" s="49">
        <f t="shared" si="2"/>
        <v>11394</v>
      </c>
    </row>
    <row r="3354">
      <c r="A3354" s="48" t="s">
        <v>5753</v>
      </c>
      <c r="B3354" s="38">
        <v>72112.0</v>
      </c>
      <c r="C3354" s="38" t="s">
        <v>5754</v>
      </c>
      <c r="D3354" s="38" t="str">
        <f>IFERROR(__xludf.DUMMYFUNCTION("REGEXREPLACE(C3354,""-\d+(.*)|--\d+(.*)"","""")"),"DANGEUL")</f>
        <v>DANGEUL</v>
      </c>
      <c r="E3354" s="38" t="s">
        <v>521</v>
      </c>
      <c r="F3354" s="38" t="s">
        <v>180</v>
      </c>
      <c r="G3354" s="49" t="str">
        <f t="shared" si="1"/>
        <v>72260</v>
      </c>
      <c r="H3354" s="49">
        <f t="shared" si="2"/>
        <v>72112</v>
      </c>
    </row>
    <row r="3355">
      <c r="A3355" s="48" t="s">
        <v>135</v>
      </c>
      <c r="B3355" s="38">
        <v>14408.0</v>
      </c>
      <c r="C3355" s="38" t="s">
        <v>5755</v>
      </c>
      <c r="D3355" s="38" t="str">
        <f>IFERROR(__xludf.DUMMYFUNCTION("REGEXREPLACE(C3355,""-\d+(.*)|--\d+(.*)"","""")"),"MAY-SUR-ORNE")</f>
        <v>MAY-SUR-ORNE</v>
      </c>
      <c r="E3355" s="38" t="s">
        <v>137</v>
      </c>
      <c r="F3355" s="38" t="s">
        <v>138</v>
      </c>
      <c r="G3355" s="49" t="str">
        <f t="shared" si="1"/>
        <v>14320</v>
      </c>
      <c r="H3355" s="49">
        <f t="shared" si="2"/>
        <v>14408</v>
      </c>
    </row>
    <row r="3356">
      <c r="A3356" s="48" t="s">
        <v>5756</v>
      </c>
      <c r="B3356" s="38">
        <v>33207.0</v>
      </c>
      <c r="C3356" s="38" t="s">
        <v>5757</v>
      </c>
      <c r="D3356" s="38" t="str">
        <f>IFERROR(__xludf.DUMMYFUNCTION("REGEXREPLACE(C3356,""-\d+(.*)|--\d+(.*)"","""")"),"IZON")</f>
        <v>IZON</v>
      </c>
      <c r="E3356" s="38" t="s">
        <v>462</v>
      </c>
      <c r="F3356" s="38" t="s">
        <v>252</v>
      </c>
      <c r="G3356" s="49" t="str">
        <f t="shared" si="1"/>
        <v>33450</v>
      </c>
      <c r="H3356" s="49">
        <f t="shared" si="2"/>
        <v>33207</v>
      </c>
    </row>
    <row r="3357">
      <c r="A3357" s="48" t="s">
        <v>2558</v>
      </c>
      <c r="B3357" s="38">
        <v>16247.0</v>
      </c>
      <c r="C3357" s="38" t="s">
        <v>5758</v>
      </c>
      <c r="D3357" s="38" t="str">
        <f>IFERROR(__xludf.DUMMYFUNCTION("REGEXREPLACE(C3357,""-\d+(.*)|--\d+(.*)"","""")"),"NONAVILLE")</f>
        <v>NONAVILLE</v>
      </c>
      <c r="E3357" s="38" t="s">
        <v>429</v>
      </c>
      <c r="F3357" s="38" t="s">
        <v>338</v>
      </c>
      <c r="G3357" s="49" t="str">
        <f t="shared" si="1"/>
        <v>16120</v>
      </c>
      <c r="H3357" s="49">
        <f t="shared" si="2"/>
        <v>16247</v>
      </c>
    </row>
    <row r="3358">
      <c r="A3358" s="48" t="s">
        <v>5759</v>
      </c>
      <c r="B3358" s="38">
        <v>59572.0</v>
      </c>
      <c r="C3358" s="38" t="s">
        <v>5760</v>
      </c>
      <c r="D3358" s="38" t="str">
        <f>IFERROR(__xludf.DUMMYFUNCTION("REGEXREPLACE(C3358,""-\d+(.*)|--\d+(.*)"","""")"),"SOLRE-LE-CHATEAU")</f>
        <v>SOLRE-LE-CHATEAU</v>
      </c>
      <c r="E3358" s="38" t="s">
        <v>85</v>
      </c>
      <c r="F3358" s="38" t="s">
        <v>86</v>
      </c>
      <c r="G3358" s="49" t="str">
        <f t="shared" si="1"/>
        <v>59740</v>
      </c>
      <c r="H3358" s="49">
        <f t="shared" si="2"/>
        <v>59572</v>
      </c>
    </row>
    <row r="3359">
      <c r="A3359" s="48" t="s">
        <v>5761</v>
      </c>
      <c r="B3359" s="38">
        <v>17392.0</v>
      </c>
      <c r="C3359" s="38" t="s">
        <v>5762</v>
      </c>
      <c r="D3359" s="38" t="str">
        <f>IFERROR(__xludf.DUMMYFUNCTION("REGEXREPLACE(C3359,""-\d+(.*)|--\d+(.*)"","""")"),"SAINT-ROMAIN-SUR-GIRONDE")</f>
        <v>SAINT-ROMAIN-SUR-GIRONDE</v>
      </c>
      <c r="E3359" s="38" t="s">
        <v>488</v>
      </c>
      <c r="F3359" s="38" t="s">
        <v>338</v>
      </c>
      <c r="G3359" s="49" t="str">
        <f t="shared" si="1"/>
        <v>17240</v>
      </c>
      <c r="H3359" s="49">
        <f t="shared" si="2"/>
        <v>17392</v>
      </c>
    </row>
    <row r="3360">
      <c r="A3360" s="48" t="s">
        <v>5763</v>
      </c>
      <c r="B3360" s="38">
        <v>63460.0</v>
      </c>
      <c r="C3360" s="38" t="s">
        <v>5764</v>
      </c>
      <c r="D3360" s="38" t="str">
        <f>IFERROR(__xludf.DUMMYFUNCTION("REGEXREPLACE(C3360,""-\d+(.*)|--\d+(.*)"","""")"),"VILLOSANGES")</f>
        <v>VILLOSANGES</v>
      </c>
      <c r="E3360" s="38" t="s">
        <v>353</v>
      </c>
      <c r="F3360" s="38" t="s">
        <v>161</v>
      </c>
      <c r="G3360" s="49" t="str">
        <f t="shared" si="1"/>
        <v>63380</v>
      </c>
      <c r="H3360" s="49">
        <f t="shared" si="2"/>
        <v>63460</v>
      </c>
    </row>
    <row r="3361">
      <c r="A3361" s="48" t="s">
        <v>3370</v>
      </c>
      <c r="B3361" s="38">
        <v>72081.0</v>
      </c>
      <c r="C3361" s="38" t="s">
        <v>5765</v>
      </c>
      <c r="D3361" s="38" t="str">
        <f>IFERROR(__xludf.DUMMYFUNCTION("REGEXREPLACE(C3361,""-\d+(.*)|--\d+(.*)"","""")"),"CHERREAU")</f>
        <v>CHERREAU</v>
      </c>
      <c r="E3361" s="38" t="s">
        <v>521</v>
      </c>
      <c r="F3361" s="38" t="s">
        <v>180</v>
      </c>
      <c r="G3361" s="49" t="str">
        <f t="shared" si="1"/>
        <v>72400</v>
      </c>
      <c r="H3361" s="49">
        <f t="shared" si="2"/>
        <v>72081</v>
      </c>
    </row>
    <row r="3362">
      <c r="A3362" s="48" t="s">
        <v>1790</v>
      </c>
      <c r="B3362" s="38">
        <v>67466.0</v>
      </c>
      <c r="C3362" s="38" t="s">
        <v>5766</v>
      </c>
      <c r="D3362" s="38" t="str">
        <f>IFERROR(__xludf.DUMMYFUNCTION("REGEXREPLACE(C3362,""-\d+(.*)|--\d+(.*)"","""")"),"SIEGEN")</f>
        <v>SIEGEN</v>
      </c>
      <c r="E3362" s="38" t="s">
        <v>210</v>
      </c>
      <c r="F3362" s="38" t="s">
        <v>151</v>
      </c>
      <c r="G3362" s="49" t="str">
        <f t="shared" si="1"/>
        <v>67160</v>
      </c>
      <c r="H3362" s="49">
        <f t="shared" si="2"/>
        <v>67466</v>
      </c>
    </row>
    <row r="3363">
      <c r="A3363" s="48" t="s">
        <v>407</v>
      </c>
      <c r="B3363" s="38">
        <v>71563.0</v>
      </c>
      <c r="C3363" s="38" t="s">
        <v>5767</v>
      </c>
      <c r="D3363" s="38" t="str">
        <f>IFERROR(__xludf.DUMMYFUNCTION("REGEXREPLACE(C3363,""-\d+(.*)|--\d+(.*)"","""")"),"VAUX-EN-PRE")</f>
        <v>VAUX-EN-PRE</v>
      </c>
      <c r="E3363" s="38" t="s">
        <v>344</v>
      </c>
      <c r="F3363" s="38" t="s">
        <v>106</v>
      </c>
      <c r="G3363" s="49" t="str">
        <f t="shared" si="1"/>
        <v>71460</v>
      </c>
      <c r="H3363" s="49">
        <f t="shared" si="2"/>
        <v>71563</v>
      </c>
    </row>
    <row r="3364">
      <c r="A3364" s="48" t="s">
        <v>2176</v>
      </c>
      <c r="B3364" s="38">
        <v>62763.0</v>
      </c>
      <c r="C3364" s="38" t="s">
        <v>5768</v>
      </c>
      <c r="D3364" s="38" t="str">
        <f>IFERROR(__xludf.DUMMYFUNCTION("REGEXREPLACE(C3364,""-\d+(.*)|--\d+(.*)"","""")"),"SAINT-MICHEL-SUR-TERNOISE")</f>
        <v>SAINT-MICHEL-SUR-TERNOISE</v>
      </c>
      <c r="E3364" s="38" t="s">
        <v>109</v>
      </c>
      <c r="F3364" s="38" t="s">
        <v>86</v>
      </c>
      <c r="G3364" s="49" t="str">
        <f t="shared" si="1"/>
        <v>62130</v>
      </c>
      <c r="H3364" s="49">
        <f t="shared" si="2"/>
        <v>62763</v>
      </c>
    </row>
    <row r="3365">
      <c r="A3365" s="48" t="s">
        <v>335</v>
      </c>
      <c r="B3365" s="38">
        <v>79255.0</v>
      </c>
      <c r="C3365" s="38" t="s">
        <v>5769</v>
      </c>
      <c r="D3365" s="38" t="str">
        <f>IFERROR(__xludf.DUMMYFUNCTION("REGEXREPLACE(C3365,""-\d+(.*)|--\d+(.*)"","""")"),"SAINT-GERMAIN-DE-LONGUE-CHAUME")</f>
        <v>SAINT-GERMAIN-DE-LONGUE-CHAUME</v>
      </c>
      <c r="E3365" s="38" t="s">
        <v>337</v>
      </c>
      <c r="F3365" s="38" t="s">
        <v>338</v>
      </c>
      <c r="G3365" s="49" t="str">
        <f t="shared" si="1"/>
        <v>79200</v>
      </c>
      <c r="H3365" s="49">
        <f t="shared" si="2"/>
        <v>79255</v>
      </c>
    </row>
    <row r="3366">
      <c r="A3366" s="48" t="s">
        <v>1020</v>
      </c>
      <c r="B3366" s="38">
        <v>1391.0</v>
      </c>
      <c r="C3366" s="38" t="s">
        <v>5770</v>
      </c>
      <c r="D3366" s="38" t="str">
        <f>IFERROR(__xludf.DUMMYFUNCTION("REGEXREPLACE(C3366,""-\d+(.*)|--\d+(.*)"","""")"),"SALAVRE")</f>
        <v>SALAVRE</v>
      </c>
      <c r="E3366" s="38" t="s">
        <v>255</v>
      </c>
      <c r="F3366" s="38" t="s">
        <v>102</v>
      </c>
      <c r="G3366" s="49" t="str">
        <f t="shared" si="1"/>
        <v>01270</v>
      </c>
      <c r="H3366" s="49" t="str">
        <f t="shared" si="2"/>
        <v>01391</v>
      </c>
    </row>
    <row r="3367">
      <c r="A3367" s="48" t="s">
        <v>1060</v>
      </c>
      <c r="B3367" s="38">
        <v>57695.0</v>
      </c>
      <c r="C3367" s="38" t="s">
        <v>5771</v>
      </c>
      <c r="D3367" s="38" t="str">
        <f>IFERROR(__xludf.DUMMYFUNCTION("REGEXREPLACE(C3367,""-\d+(.*)|--\d+(.*)"","""")"),"VARIZE")</f>
        <v>VARIZE</v>
      </c>
      <c r="E3367" s="38" t="s">
        <v>303</v>
      </c>
      <c r="F3367" s="38" t="s">
        <v>195</v>
      </c>
      <c r="G3367" s="49" t="str">
        <f t="shared" si="1"/>
        <v>57220</v>
      </c>
      <c r="H3367" s="49">
        <f t="shared" si="2"/>
        <v>57695</v>
      </c>
    </row>
    <row r="3368">
      <c r="A3368" s="48" t="s">
        <v>5772</v>
      </c>
      <c r="B3368" s="38">
        <v>43175.0</v>
      </c>
      <c r="C3368" s="38" t="s">
        <v>5773</v>
      </c>
      <c r="D3368" s="38" t="str">
        <f>IFERROR(__xludf.DUMMYFUNCTION("REGEXREPLACE(C3368,""-\d+(.*)|--\d+(.*)"","""")"),"SAINT-CIRGUES")</f>
        <v>SAINT-CIRGUES</v>
      </c>
      <c r="E3368" s="38" t="s">
        <v>332</v>
      </c>
      <c r="F3368" s="38" t="s">
        <v>161</v>
      </c>
      <c r="G3368" s="49" t="str">
        <f t="shared" si="1"/>
        <v>43380</v>
      </c>
      <c r="H3368" s="49">
        <f t="shared" si="2"/>
        <v>43175</v>
      </c>
    </row>
    <row r="3369">
      <c r="A3369" s="48" t="s">
        <v>3488</v>
      </c>
      <c r="B3369" s="38">
        <v>67293.0</v>
      </c>
      <c r="C3369" s="38" t="s">
        <v>5774</v>
      </c>
      <c r="D3369" s="38" t="str">
        <f>IFERROR(__xludf.DUMMYFUNCTION("REGEXREPLACE(C3369,""-\d+(.*)|--\d+(.*)"","""")"),"MINVERSHEIM")</f>
        <v>MINVERSHEIM</v>
      </c>
      <c r="E3369" s="38" t="s">
        <v>210</v>
      </c>
      <c r="F3369" s="38" t="s">
        <v>151</v>
      </c>
      <c r="G3369" s="49" t="str">
        <f t="shared" si="1"/>
        <v>67270</v>
      </c>
      <c r="H3369" s="49">
        <f t="shared" si="2"/>
        <v>67293</v>
      </c>
    </row>
    <row r="3370">
      <c r="A3370" s="48" t="s">
        <v>5775</v>
      </c>
      <c r="B3370" s="38">
        <v>73026.0</v>
      </c>
      <c r="C3370" s="38" t="s">
        <v>5776</v>
      </c>
      <c r="D3370" s="38" t="str">
        <f>IFERROR(__xludf.DUMMYFUNCTION("REGEXREPLACE(C3370,""-\d+(.*)|--\d+(.*)"","""")"),"AVRIEUX")</f>
        <v>AVRIEUX</v>
      </c>
      <c r="E3370" s="38" t="s">
        <v>306</v>
      </c>
      <c r="F3370" s="38" t="s">
        <v>102</v>
      </c>
      <c r="G3370" s="49" t="str">
        <f t="shared" si="1"/>
        <v>73500</v>
      </c>
      <c r="H3370" s="49">
        <f t="shared" si="2"/>
        <v>73026</v>
      </c>
    </row>
    <row r="3371">
      <c r="A3371" s="48" t="s">
        <v>5777</v>
      </c>
      <c r="B3371" s="38">
        <v>74138.0</v>
      </c>
      <c r="C3371" s="38" t="s">
        <v>5778</v>
      </c>
      <c r="D3371" s="38" t="str">
        <f>IFERROR(__xludf.DUMMYFUNCTION("REGEXREPLACE(C3371,""-\d+(.*)|--\d+(.*)"","""")"),"GRUFFY")</f>
        <v>GRUFFY</v>
      </c>
      <c r="E3371" s="38" t="s">
        <v>319</v>
      </c>
      <c r="F3371" s="38" t="s">
        <v>102</v>
      </c>
      <c r="G3371" s="49" t="str">
        <f t="shared" si="1"/>
        <v>74540</v>
      </c>
      <c r="H3371" s="49">
        <f t="shared" si="2"/>
        <v>74138</v>
      </c>
    </row>
    <row r="3372">
      <c r="A3372" s="48" t="s">
        <v>5779</v>
      </c>
      <c r="B3372" s="38">
        <v>86089.0</v>
      </c>
      <c r="C3372" s="38" t="s">
        <v>5780</v>
      </c>
      <c r="D3372" s="38" t="str">
        <f>IFERROR(__xludf.DUMMYFUNCTION("REGEXREPLACE(C3372,""-\d+(.*)|--\d+(.*)"","""")"),"CUHON")</f>
        <v>CUHON</v>
      </c>
      <c r="E3372" s="38" t="s">
        <v>529</v>
      </c>
      <c r="F3372" s="38" t="s">
        <v>338</v>
      </c>
      <c r="G3372" s="49" t="str">
        <f t="shared" si="1"/>
        <v>86110</v>
      </c>
      <c r="H3372" s="49">
        <f t="shared" si="2"/>
        <v>86089</v>
      </c>
    </row>
    <row r="3373">
      <c r="A3373" s="48" t="s">
        <v>5781</v>
      </c>
      <c r="B3373" s="38">
        <v>69272.0</v>
      </c>
      <c r="C3373" s="38" t="s">
        <v>5782</v>
      </c>
      <c r="D3373" s="38" t="str">
        <f>IFERROR(__xludf.DUMMYFUNCTION("REGEXREPLACE(C3373,""-\d+(.*)|--\d+(.*)"","""")"),"COMMUNAY")</f>
        <v>COMMUNAY</v>
      </c>
      <c r="E3373" s="38" t="s">
        <v>350</v>
      </c>
      <c r="F3373" s="38" t="s">
        <v>102</v>
      </c>
      <c r="G3373" s="49" t="str">
        <f t="shared" si="1"/>
        <v>69360</v>
      </c>
      <c r="H3373" s="49">
        <f t="shared" si="2"/>
        <v>69272</v>
      </c>
    </row>
    <row r="3374">
      <c r="A3374" s="48" t="s">
        <v>5783</v>
      </c>
      <c r="B3374" s="38">
        <v>37232.0</v>
      </c>
      <c r="C3374" s="38" t="s">
        <v>5784</v>
      </c>
      <c r="D3374" s="38" t="str">
        <f>IFERROR(__xludf.DUMMYFUNCTION("REGEXREPLACE(C3374,""-\d+(.*)|--\d+(.*)"","""")"),"SAINT-PATRICE")</f>
        <v>SAINT-PATRICE</v>
      </c>
      <c r="E3374" s="38" t="s">
        <v>205</v>
      </c>
      <c r="F3374" s="38" t="s">
        <v>123</v>
      </c>
      <c r="G3374" s="49" t="str">
        <f t="shared" si="1"/>
        <v>37130</v>
      </c>
      <c r="H3374" s="49">
        <f t="shared" si="2"/>
        <v>37232</v>
      </c>
    </row>
    <row r="3375">
      <c r="A3375" s="48" t="s">
        <v>5785</v>
      </c>
      <c r="B3375" s="38">
        <v>32059.0</v>
      </c>
      <c r="C3375" s="38" t="s">
        <v>5786</v>
      </c>
      <c r="D3375" s="38" t="str">
        <f>IFERROR(__xludf.DUMMYFUNCTION("REGEXREPLACE(C3375,""-\d+(.*)|--\d+(.*)"","""")"),"BONAS")</f>
        <v>BONAS</v>
      </c>
      <c r="E3375" s="38" t="s">
        <v>440</v>
      </c>
      <c r="F3375" s="38" t="s">
        <v>94</v>
      </c>
      <c r="G3375" s="49" t="str">
        <f t="shared" si="1"/>
        <v>32410</v>
      </c>
      <c r="H3375" s="49">
        <f t="shared" si="2"/>
        <v>32059</v>
      </c>
    </row>
    <row r="3376">
      <c r="A3376" s="48" t="s">
        <v>5787</v>
      </c>
      <c r="B3376" s="38">
        <v>19030.0</v>
      </c>
      <c r="C3376" s="38" t="s">
        <v>5788</v>
      </c>
      <c r="D3376" s="38" t="str">
        <f>IFERROR(__xludf.DUMMYFUNCTION("REGEXREPLACE(C3376,""-\d+(.*)|--\d+(.*)"","""")"),"BRIGNAC-LA-PLAINE")</f>
        <v>BRIGNAC-LA-PLAINE</v>
      </c>
      <c r="E3376" s="38" t="s">
        <v>271</v>
      </c>
      <c r="F3376" s="38" t="s">
        <v>98</v>
      </c>
      <c r="G3376" s="49" t="str">
        <f t="shared" si="1"/>
        <v>19310</v>
      </c>
      <c r="H3376" s="49">
        <f t="shared" si="2"/>
        <v>19030</v>
      </c>
    </row>
    <row r="3377">
      <c r="A3377" s="48" t="s">
        <v>5789</v>
      </c>
      <c r="B3377" s="38">
        <v>30226.0</v>
      </c>
      <c r="C3377" s="38" t="s">
        <v>5790</v>
      </c>
      <c r="D3377" s="38" t="str">
        <f>IFERROR(__xludf.DUMMYFUNCTION("REGEXREPLACE(C3377,""-\d+(.*)|--\d+(.*)"","""")"),"SAINT-ALEXANDRE")</f>
        <v>SAINT-ALEXANDRE</v>
      </c>
      <c r="E3377" s="38" t="s">
        <v>526</v>
      </c>
      <c r="F3377" s="38" t="s">
        <v>119</v>
      </c>
      <c r="G3377" s="49" t="str">
        <f t="shared" si="1"/>
        <v>30130</v>
      </c>
      <c r="H3377" s="49">
        <f t="shared" si="2"/>
        <v>30226</v>
      </c>
    </row>
    <row r="3378">
      <c r="A3378" s="48" t="s">
        <v>5791</v>
      </c>
      <c r="B3378" s="38">
        <v>85211.0</v>
      </c>
      <c r="C3378" s="38" t="s">
        <v>5792</v>
      </c>
      <c r="D3378" s="38" t="str">
        <f>IFERROR(__xludf.DUMMYFUNCTION("REGEXREPLACE(C3378,""-\d+(.*)|--\d+(.*)"","""")"),"SAINTE-FLAIVE-DES-LOUPS")</f>
        <v>SAINTE-FLAIVE-DES-LOUPS</v>
      </c>
      <c r="E3378" s="38" t="s">
        <v>179</v>
      </c>
      <c r="F3378" s="38" t="s">
        <v>180</v>
      </c>
      <c r="G3378" s="49" t="str">
        <f t="shared" si="1"/>
        <v>85150</v>
      </c>
      <c r="H3378" s="49">
        <f t="shared" si="2"/>
        <v>85211</v>
      </c>
    </row>
    <row r="3379">
      <c r="A3379" s="48" t="s">
        <v>5793</v>
      </c>
      <c r="B3379" s="38">
        <v>54572.0</v>
      </c>
      <c r="C3379" s="38" t="s">
        <v>5794</v>
      </c>
      <c r="D3379" s="38" t="str">
        <f>IFERROR(__xludf.DUMMYFUNCTION("REGEXREPLACE(C3379,""-\d+(.*)|--\d+(.*)"","""")"),"VILLE-HOUDLEMONT")</f>
        <v>VILLE-HOUDLEMONT</v>
      </c>
      <c r="E3379" s="38" t="s">
        <v>548</v>
      </c>
      <c r="F3379" s="38" t="s">
        <v>195</v>
      </c>
      <c r="G3379" s="49" t="str">
        <f t="shared" si="1"/>
        <v>54730</v>
      </c>
      <c r="H3379" s="49">
        <f t="shared" si="2"/>
        <v>54572</v>
      </c>
    </row>
    <row r="3380">
      <c r="A3380" s="48" t="s">
        <v>4011</v>
      </c>
      <c r="B3380" s="38">
        <v>80315.0</v>
      </c>
      <c r="C3380" s="38" t="s">
        <v>5795</v>
      </c>
      <c r="D3380" s="38" t="str">
        <f>IFERROR(__xludf.DUMMYFUNCTION("REGEXREPLACE(C3380,""-\d+(.*)|--\d+(.*)"","""")"),"FLERS-SUR-NOYE")</f>
        <v>FLERS-SUR-NOYE</v>
      </c>
      <c r="E3380" s="38" t="s">
        <v>224</v>
      </c>
      <c r="F3380" s="38" t="s">
        <v>113</v>
      </c>
      <c r="G3380" s="49" t="str">
        <f t="shared" si="1"/>
        <v>80160</v>
      </c>
      <c r="H3380" s="49">
        <f t="shared" si="2"/>
        <v>80315</v>
      </c>
    </row>
    <row r="3381">
      <c r="A3381" s="48" t="s">
        <v>3147</v>
      </c>
      <c r="B3381" s="38">
        <v>68203.0</v>
      </c>
      <c r="C3381" s="38" t="s">
        <v>5796</v>
      </c>
      <c r="D3381" s="38" t="str">
        <f>IFERROR(__xludf.DUMMYFUNCTION("REGEXREPLACE(C3381,""-\d+(.*)|--\d+(.*)"","""")"),"MERXHEIM")</f>
        <v>MERXHEIM</v>
      </c>
      <c r="E3381" s="38" t="s">
        <v>150</v>
      </c>
      <c r="F3381" s="38" t="s">
        <v>151</v>
      </c>
      <c r="G3381" s="49" t="str">
        <f t="shared" si="1"/>
        <v>68500</v>
      </c>
      <c r="H3381" s="49">
        <f t="shared" si="2"/>
        <v>68203</v>
      </c>
    </row>
    <row r="3382">
      <c r="A3382" s="48" t="s">
        <v>376</v>
      </c>
      <c r="B3382" s="38">
        <v>73049.0</v>
      </c>
      <c r="C3382" s="38" t="s">
        <v>5797</v>
      </c>
      <c r="D3382" s="38" t="str">
        <f>IFERROR(__xludf.DUMMYFUNCTION("REGEXREPLACE(C3382,""-\d+(.*)|--\d+(.*)"","""")"),"BONVILLARET")</f>
        <v>BONVILLARET</v>
      </c>
      <c r="E3382" s="38" t="s">
        <v>306</v>
      </c>
      <c r="F3382" s="38" t="s">
        <v>102</v>
      </c>
      <c r="G3382" s="49" t="str">
        <f t="shared" si="1"/>
        <v>73220</v>
      </c>
      <c r="H3382" s="49">
        <f t="shared" si="2"/>
        <v>73049</v>
      </c>
    </row>
    <row r="3383">
      <c r="A3383" s="48" t="s">
        <v>3892</v>
      </c>
      <c r="B3383" s="38">
        <v>42133.0</v>
      </c>
      <c r="C3383" s="38" t="s">
        <v>5798</v>
      </c>
      <c r="D3383" s="38" t="str">
        <f>IFERROR(__xludf.DUMMYFUNCTION("REGEXREPLACE(C3383,""-\d+(.*)|--\d+(.*)"","""")"),"MARCENOD")</f>
        <v>MARCENOD</v>
      </c>
      <c r="E3383" s="38" t="s">
        <v>166</v>
      </c>
      <c r="F3383" s="38" t="s">
        <v>102</v>
      </c>
      <c r="G3383" s="49" t="str">
        <f t="shared" si="1"/>
        <v>42140</v>
      </c>
      <c r="H3383" s="49">
        <f t="shared" si="2"/>
        <v>42133</v>
      </c>
    </row>
    <row r="3384">
      <c r="A3384" s="48" t="s">
        <v>1132</v>
      </c>
      <c r="B3384" s="38">
        <v>2817.0</v>
      </c>
      <c r="C3384" s="38" t="s">
        <v>5799</v>
      </c>
      <c r="D3384" s="38" t="str">
        <f>IFERROR(__xludf.DUMMYFUNCTION("REGEXREPLACE(C3384,""-\d+(.*)|--\d+(.*)"","""")"),"VILLE-SAVOYE")</f>
        <v>VILLE-SAVOYE</v>
      </c>
      <c r="E3384" s="38" t="s">
        <v>191</v>
      </c>
      <c r="F3384" s="38" t="s">
        <v>113</v>
      </c>
      <c r="G3384" s="49" t="str">
        <f t="shared" si="1"/>
        <v>02220</v>
      </c>
      <c r="H3384" s="49" t="str">
        <f t="shared" si="2"/>
        <v>02817</v>
      </c>
    </row>
    <row r="3385">
      <c r="A3385" s="48" t="s">
        <v>4543</v>
      </c>
      <c r="B3385" s="38">
        <v>64267.0</v>
      </c>
      <c r="C3385" s="38" t="s">
        <v>5800</v>
      </c>
      <c r="D3385" s="38" t="str">
        <f>IFERROR(__xludf.DUMMYFUNCTION("REGEXREPLACE(C3385,""-\d+(.*)|--\d+(.*)"","""")"),"IBARROLLE")</f>
        <v>IBARROLLE</v>
      </c>
      <c r="E3385" s="38" t="s">
        <v>268</v>
      </c>
      <c r="F3385" s="38" t="s">
        <v>252</v>
      </c>
      <c r="G3385" s="49" t="str">
        <f t="shared" si="1"/>
        <v>64120</v>
      </c>
      <c r="H3385" s="49">
        <f t="shared" si="2"/>
        <v>64267</v>
      </c>
    </row>
    <row r="3386">
      <c r="A3386" s="48" t="s">
        <v>5801</v>
      </c>
      <c r="B3386" s="38">
        <v>6120.0</v>
      </c>
      <c r="C3386" s="38" t="s">
        <v>5802</v>
      </c>
      <c r="D3386" s="38" t="str">
        <f>IFERROR(__xludf.DUMMYFUNCTION("REGEXREPLACE(C3386,""-\d+(.*)|--\d+(.*)"","""")"),"SAINT-ETIENNE-DE-TINEE")</f>
        <v>SAINT-ETIENNE-DE-TINEE</v>
      </c>
      <c r="E3386" s="38" t="s">
        <v>227</v>
      </c>
      <c r="F3386" s="38" t="s">
        <v>228</v>
      </c>
      <c r="G3386" s="49" t="str">
        <f t="shared" si="1"/>
        <v>06660</v>
      </c>
      <c r="H3386" s="49" t="str">
        <f t="shared" si="2"/>
        <v>06120</v>
      </c>
    </row>
    <row r="3387">
      <c r="A3387" s="48" t="s">
        <v>2485</v>
      </c>
      <c r="B3387" s="38">
        <v>78499.0</v>
      </c>
      <c r="C3387" s="38" t="s">
        <v>5803</v>
      </c>
      <c r="D3387" s="38" t="str">
        <f>IFERROR(__xludf.DUMMYFUNCTION("REGEXREPLACE(C3387,""-\d+(.*)|--\d+(.*)"","""")"),"PONTHEVRARD")</f>
        <v>PONTHEVRARD</v>
      </c>
      <c r="E3387" s="38" t="s">
        <v>362</v>
      </c>
      <c r="F3387" s="38" t="s">
        <v>245</v>
      </c>
      <c r="G3387" s="49" t="str">
        <f t="shared" si="1"/>
        <v>78730</v>
      </c>
      <c r="H3387" s="49">
        <f t="shared" si="2"/>
        <v>78499</v>
      </c>
    </row>
    <row r="3388">
      <c r="A3388" s="48" t="s">
        <v>1444</v>
      </c>
      <c r="B3388" s="38">
        <v>27008.0</v>
      </c>
      <c r="C3388" s="38" t="s">
        <v>5804</v>
      </c>
      <c r="D3388" s="38" t="str">
        <f>IFERROR(__xludf.DUMMYFUNCTION("REGEXREPLACE(C3388,""-\d+(.*)|--\d+(.*)"","""")"),"ALIZAY")</f>
        <v>ALIZAY</v>
      </c>
      <c r="E3388" s="38" t="s">
        <v>241</v>
      </c>
      <c r="F3388" s="38" t="s">
        <v>134</v>
      </c>
      <c r="G3388" s="49" t="str">
        <f t="shared" si="1"/>
        <v>27460</v>
      </c>
      <c r="H3388" s="49">
        <f t="shared" si="2"/>
        <v>27008</v>
      </c>
    </row>
    <row r="3389">
      <c r="A3389" s="48" t="s">
        <v>5805</v>
      </c>
      <c r="B3389" s="38">
        <v>21119.0</v>
      </c>
      <c r="C3389" s="38" t="s">
        <v>5387</v>
      </c>
      <c r="D3389" s="38" t="str">
        <f>IFERROR(__xludf.DUMMYFUNCTION("REGEXREPLACE(C3389,""-\d+(.*)|--\d+(.*)"","""")"),"BUSSIERES")</f>
        <v>BUSSIERES</v>
      </c>
      <c r="E3389" s="38" t="s">
        <v>105</v>
      </c>
      <c r="F3389" s="38" t="s">
        <v>106</v>
      </c>
      <c r="G3389" s="49" t="str">
        <f t="shared" si="1"/>
        <v>21580</v>
      </c>
      <c r="H3389" s="49">
        <f t="shared" si="2"/>
        <v>21119</v>
      </c>
    </row>
    <row r="3390">
      <c r="A3390" s="48" t="s">
        <v>5806</v>
      </c>
      <c r="B3390" s="38">
        <v>39019.0</v>
      </c>
      <c r="C3390" s="38" t="s">
        <v>5807</v>
      </c>
      <c r="D3390" s="38" t="str">
        <f>IFERROR(__xludf.DUMMYFUNCTION("REGEXREPLACE(C3390,""-\d+(.*)|--\d+(.*)"","""")"),"LES ARSURES")</f>
        <v>LES ARSURES</v>
      </c>
      <c r="E3390" s="38" t="s">
        <v>400</v>
      </c>
      <c r="F3390" s="38" t="s">
        <v>214</v>
      </c>
      <c r="G3390" s="49" t="str">
        <f t="shared" si="1"/>
        <v>39600</v>
      </c>
      <c r="H3390" s="49">
        <f t="shared" si="2"/>
        <v>39019</v>
      </c>
    </row>
    <row r="3391">
      <c r="A3391" s="48" t="s">
        <v>4706</v>
      </c>
      <c r="B3391" s="38">
        <v>74119.0</v>
      </c>
      <c r="C3391" s="38" t="s">
        <v>5808</v>
      </c>
      <c r="D3391" s="38" t="str">
        <f>IFERROR(__xludf.DUMMYFUNCTION("REGEXREPLACE(C3391,""-\d+(.*)|--\d+(.*)"","""")"),"EVIAN-LES-BAINS")</f>
        <v>EVIAN-LES-BAINS</v>
      </c>
      <c r="E3391" s="38" t="s">
        <v>319</v>
      </c>
      <c r="F3391" s="38" t="s">
        <v>102</v>
      </c>
      <c r="G3391" s="49" t="str">
        <f t="shared" si="1"/>
        <v>74500</v>
      </c>
      <c r="H3391" s="49">
        <f t="shared" si="2"/>
        <v>74119</v>
      </c>
    </row>
    <row r="3392">
      <c r="A3392" s="48" t="s">
        <v>1644</v>
      </c>
      <c r="B3392" s="38">
        <v>21044.0</v>
      </c>
      <c r="C3392" s="38" t="s">
        <v>5809</v>
      </c>
      <c r="D3392" s="38" t="str">
        <f>IFERROR(__xludf.DUMMYFUNCTION("REGEXREPLACE(C3392,""-\d+(.*)|--\d+(.*)"","""")"),"BALOT")</f>
        <v>BALOT</v>
      </c>
      <c r="E3392" s="38" t="s">
        <v>105</v>
      </c>
      <c r="F3392" s="38" t="s">
        <v>106</v>
      </c>
      <c r="G3392" s="49" t="str">
        <f t="shared" si="1"/>
        <v>21330</v>
      </c>
      <c r="H3392" s="49">
        <f t="shared" si="2"/>
        <v>21044</v>
      </c>
    </row>
    <row r="3393">
      <c r="A3393" s="48" t="s">
        <v>5810</v>
      </c>
      <c r="B3393" s="38">
        <v>54156.0</v>
      </c>
      <c r="C3393" s="38" t="s">
        <v>5811</v>
      </c>
      <c r="D3393" s="38" t="str">
        <f>IFERROR(__xludf.DUMMYFUNCTION("REGEXREPLACE(C3393,""-\d+(.*)|--\d+(.*)"","""")"),"DIARVILLE")</f>
        <v>DIARVILLE</v>
      </c>
      <c r="E3393" s="38" t="s">
        <v>548</v>
      </c>
      <c r="F3393" s="38" t="s">
        <v>195</v>
      </c>
      <c r="G3393" s="49" t="str">
        <f t="shared" si="1"/>
        <v>54930</v>
      </c>
      <c r="H3393" s="49">
        <f t="shared" si="2"/>
        <v>54156</v>
      </c>
    </row>
    <row r="3394">
      <c r="A3394" s="48" t="s">
        <v>5812</v>
      </c>
      <c r="B3394" s="38">
        <v>77342.0</v>
      </c>
      <c r="C3394" s="38" t="s">
        <v>5813</v>
      </c>
      <c r="D3394" s="38" t="str">
        <f>IFERROR(__xludf.DUMMYFUNCTION("REGEXREPLACE(C3394,""-\d+(.*)|--\d+(.*)"","""")"),"OBSONVILLE")</f>
        <v>OBSONVILLE</v>
      </c>
      <c r="E3394" s="38" t="s">
        <v>244</v>
      </c>
      <c r="F3394" s="38" t="s">
        <v>245</v>
      </c>
      <c r="G3394" s="49" t="str">
        <f t="shared" si="1"/>
        <v>77890</v>
      </c>
      <c r="H3394" s="49">
        <f t="shared" si="2"/>
        <v>77342</v>
      </c>
    </row>
    <row r="3395">
      <c r="A3395" s="48" t="s">
        <v>438</v>
      </c>
      <c r="B3395" s="38">
        <v>32413.0</v>
      </c>
      <c r="C3395" s="38" t="s">
        <v>5814</v>
      </c>
      <c r="D3395" s="38" t="str">
        <f>IFERROR(__xludf.DUMMYFUNCTION("REGEXREPLACE(C3395,""-\d+(.*)|--\d+(.*)"","""")"),"SARCOS")</f>
        <v>SARCOS</v>
      </c>
      <c r="E3395" s="38" t="s">
        <v>440</v>
      </c>
      <c r="F3395" s="38" t="s">
        <v>94</v>
      </c>
      <c r="G3395" s="49" t="str">
        <f t="shared" si="1"/>
        <v>32420</v>
      </c>
      <c r="H3395" s="49">
        <f t="shared" si="2"/>
        <v>32413</v>
      </c>
    </row>
    <row r="3396">
      <c r="A3396" s="48" t="s">
        <v>1422</v>
      </c>
      <c r="B3396" s="38">
        <v>14550.0</v>
      </c>
      <c r="C3396" s="38" t="s">
        <v>5815</v>
      </c>
      <c r="D3396" s="38" t="str">
        <f>IFERROR(__xludf.DUMMYFUNCTION("REGEXREPLACE(C3396,""-\d+(.*)|--\d+(.*)"","""")"),"RUMESNIL")</f>
        <v>RUMESNIL</v>
      </c>
      <c r="E3396" s="38" t="s">
        <v>137</v>
      </c>
      <c r="F3396" s="38" t="s">
        <v>138</v>
      </c>
      <c r="G3396" s="49" t="str">
        <f t="shared" si="1"/>
        <v>14340</v>
      </c>
      <c r="H3396" s="49">
        <f t="shared" si="2"/>
        <v>14550</v>
      </c>
    </row>
    <row r="3397">
      <c r="A3397" s="48" t="s">
        <v>4011</v>
      </c>
      <c r="B3397" s="38">
        <v>80675.0</v>
      </c>
      <c r="C3397" s="38" t="s">
        <v>5816</v>
      </c>
      <c r="D3397" s="38" t="str">
        <f>IFERROR(__xludf.DUMMYFUNCTION("REGEXREPLACE(C3397,""-\d+(.*)|--\d+(.*)"","""")"),"ROGY")</f>
        <v>ROGY</v>
      </c>
      <c r="E3397" s="38" t="s">
        <v>224</v>
      </c>
      <c r="F3397" s="38" t="s">
        <v>113</v>
      </c>
      <c r="G3397" s="49" t="str">
        <f t="shared" si="1"/>
        <v>80160</v>
      </c>
      <c r="H3397" s="49">
        <f t="shared" si="2"/>
        <v>80675</v>
      </c>
    </row>
    <row r="3398">
      <c r="A3398" s="48" t="s">
        <v>5817</v>
      </c>
      <c r="B3398" s="38">
        <v>68139.0</v>
      </c>
      <c r="C3398" s="38" t="s">
        <v>5818</v>
      </c>
      <c r="D3398" s="38" t="str">
        <f>IFERROR(__xludf.DUMMYFUNCTION("REGEXREPLACE(C3398,""-\d+(.*)|--\d+(.*)"","""")"),"HIRTZBACH")</f>
        <v>HIRTZBACH</v>
      </c>
      <c r="E3398" s="38" t="s">
        <v>150</v>
      </c>
      <c r="F3398" s="38" t="s">
        <v>151</v>
      </c>
      <c r="G3398" s="49" t="str">
        <f t="shared" si="1"/>
        <v>68118</v>
      </c>
      <c r="H3398" s="49">
        <f t="shared" si="2"/>
        <v>68139</v>
      </c>
    </row>
    <row r="3399">
      <c r="A3399" s="48" t="s">
        <v>4679</v>
      </c>
      <c r="B3399" s="38">
        <v>17046.0</v>
      </c>
      <c r="C3399" s="38" t="s">
        <v>5819</v>
      </c>
      <c r="D3399" s="38" t="str">
        <f>IFERROR(__xludf.DUMMYFUNCTION("REGEXREPLACE(C3399,""-\d+(.*)|--\d+(.*)"","""")"),"BIGNAY")</f>
        <v>BIGNAY</v>
      </c>
      <c r="E3399" s="38" t="s">
        <v>488</v>
      </c>
      <c r="F3399" s="38" t="s">
        <v>338</v>
      </c>
      <c r="G3399" s="49" t="str">
        <f t="shared" si="1"/>
        <v>17400</v>
      </c>
      <c r="H3399" s="49">
        <f t="shared" si="2"/>
        <v>17046</v>
      </c>
    </row>
    <row r="3400">
      <c r="A3400" s="48" t="s">
        <v>5820</v>
      </c>
      <c r="B3400" s="38">
        <v>22251.0</v>
      </c>
      <c r="C3400" s="38" t="s">
        <v>5821</v>
      </c>
      <c r="D3400" s="38" t="str">
        <f>IFERROR(__xludf.DUMMYFUNCTION("REGEXREPLACE(C3400,""-\d+(.*)|--\d+(.*)"","""")"),"PORDIC")</f>
        <v>PORDIC</v>
      </c>
      <c r="E3400" s="38" t="s">
        <v>89</v>
      </c>
      <c r="F3400" s="38" t="s">
        <v>90</v>
      </c>
      <c r="G3400" s="49" t="str">
        <f t="shared" si="1"/>
        <v>22590</v>
      </c>
      <c r="H3400" s="49">
        <f t="shared" si="2"/>
        <v>22251</v>
      </c>
    </row>
    <row r="3401">
      <c r="A3401" s="48" t="s">
        <v>2773</v>
      </c>
      <c r="B3401" s="38">
        <v>21165.0</v>
      </c>
      <c r="C3401" s="38" t="s">
        <v>5822</v>
      </c>
      <c r="D3401" s="38" t="str">
        <f>IFERROR(__xludf.DUMMYFUNCTION("REGEXREPLACE(C3401,""-\d+(.*)|--\d+(.*)"","""")"),"CHEMIN-D'AISEY")</f>
        <v>CHEMIN-D'AISEY</v>
      </c>
      <c r="E3401" s="38" t="s">
        <v>105</v>
      </c>
      <c r="F3401" s="38" t="s">
        <v>106</v>
      </c>
      <c r="G3401" s="49" t="str">
        <f t="shared" si="1"/>
        <v>21400</v>
      </c>
      <c r="H3401" s="49">
        <f t="shared" si="2"/>
        <v>21165</v>
      </c>
    </row>
    <row r="3402">
      <c r="A3402" s="48" t="s">
        <v>5823</v>
      </c>
      <c r="B3402" s="38">
        <v>49038.0</v>
      </c>
      <c r="C3402" s="38" t="s">
        <v>5824</v>
      </c>
      <c r="D3402" s="38" t="str">
        <f>IFERROR(__xludf.DUMMYFUNCTION("REGEXREPLACE(C3402,""-\d+(.*)|--\d+(.*)"","""")"),"BOURG-L'EVEQUE")</f>
        <v>BOURG-L'EVEQUE</v>
      </c>
      <c r="E3402" s="38" t="s">
        <v>653</v>
      </c>
      <c r="F3402" s="38" t="s">
        <v>180</v>
      </c>
      <c r="G3402" s="49" t="str">
        <f t="shared" si="1"/>
        <v>49520</v>
      </c>
      <c r="H3402" s="49">
        <f t="shared" si="2"/>
        <v>49038</v>
      </c>
    </row>
    <row r="3403">
      <c r="A3403" s="48" t="s">
        <v>5825</v>
      </c>
      <c r="B3403" s="38">
        <v>67194.0</v>
      </c>
      <c r="C3403" s="38" t="s">
        <v>5826</v>
      </c>
      <c r="D3403" s="38" t="str">
        <f>IFERROR(__xludf.DUMMYFUNCTION("REGEXREPLACE(C3403,""-\d+(.*)|--\d+(.*)"","""")"),"HERRLISHEIM")</f>
        <v>HERRLISHEIM</v>
      </c>
      <c r="E3403" s="38" t="s">
        <v>210</v>
      </c>
      <c r="F3403" s="38" t="s">
        <v>151</v>
      </c>
      <c r="G3403" s="49" t="str">
        <f t="shared" si="1"/>
        <v>67850</v>
      </c>
      <c r="H3403" s="49">
        <f t="shared" si="2"/>
        <v>67194</v>
      </c>
    </row>
    <row r="3404">
      <c r="A3404" s="48" t="s">
        <v>5525</v>
      </c>
      <c r="B3404" s="38">
        <v>10071.0</v>
      </c>
      <c r="C3404" s="38" t="s">
        <v>5827</v>
      </c>
      <c r="D3404" s="38" t="str">
        <f>IFERROR(__xludf.DUMMYFUNCTION("REGEXREPLACE(C3404,""-\d+(.*)|--\d+(.*)"","""")"),"CHACENAY")</f>
        <v>CHACENAY</v>
      </c>
      <c r="E3404" s="38" t="s">
        <v>147</v>
      </c>
      <c r="F3404" s="38" t="s">
        <v>130</v>
      </c>
      <c r="G3404" s="49" t="str">
        <f t="shared" si="1"/>
        <v>10110</v>
      </c>
      <c r="H3404" s="49">
        <f t="shared" si="2"/>
        <v>10071</v>
      </c>
    </row>
    <row r="3405">
      <c r="A3405" s="48" t="s">
        <v>3612</v>
      </c>
      <c r="B3405" s="38">
        <v>60033.0</v>
      </c>
      <c r="C3405" s="38" t="s">
        <v>5828</v>
      </c>
      <c r="D3405" s="38" t="str">
        <f>IFERROR(__xludf.DUMMYFUNCTION("REGEXREPLACE(C3405,""-\d+(.*)|--\d+(.*)"","""")"),"AVILLY-SAINT-LEONARD")</f>
        <v>AVILLY-SAINT-LEONARD</v>
      </c>
      <c r="E3405" s="38" t="s">
        <v>112</v>
      </c>
      <c r="F3405" s="38" t="s">
        <v>113</v>
      </c>
      <c r="G3405" s="49" t="str">
        <f t="shared" si="1"/>
        <v>60300</v>
      </c>
      <c r="H3405" s="49">
        <f t="shared" si="2"/>
        <v>60033</v>
      </c>
    </row>
    <row r="3406">
      <c r="A3406" s="48" t="s">
        <v>2547</v>
      </c>
      <c r="B3406" s="38">
        <v>8446.0</v>
      </c>
      <c r="C3406" s="38" t="s">
        <v>5829</v>
      </c>
      <c r="D3406" s="38" t="str">
        <f>IFERROR(__xludf.DUMMYFUNCTION("REGEXREPLACE(C3406,""-\d+(.*)|--\d+(.*)"","""")"),"THENORGUES")</f>
        <v>THENORGUES</v>
      </c>
      <c r="E3406" s="38" t="s">
        <v>327</v>
      </c>
      <c r="F3406" s="38" t="s">
        <v>130</v>
      </c>
      <c r="G3406" s="49" t="str">
        <f t="shared" si="1"/>
        <v>08240</v>
      </c>
      <c r="H3406" s="49" t="str">
        <f t="shared" si="2"/>
        <v>08446</v>
      </c>
    </row>
    <row r="3407">
      <c r="A3407" s="48" t="s">
        <v>4775</v>
      </c>
      <c r="B3407" s="38">
        <v>12178.0</v>
      </c>
      <c r="C3407" s="38" t="s">
        <v>5830</v>
      </c>
      <c r="D3407" s="38" t="str">
        <f>IFERROR(__xludf.DUMMYFUNCTION("REGEXREPLACE(C3407,""-\d+(.*)|--\d+(.*)"","""")"),"PAULHE")</f>
        <v>PAULHE</v>
      </c>
      <c r="E3407" s="38" t="s">
        <v>465</v>
      </c>
      <c r="F3407" s="38" t="s">
        <v>94</v>
      </c>
      <c r="G3407" s="49" t="str">
        <f t="shared" si="1"/>
        <v>12520</v>
      </c>
      <c r="H3407" s="49">
        <f t="shared" si="2"/>
        <v>12178</v>
      </c>
    </row>
    <row r="3408">
      <c r="A3408" s="48" t="s">
        <v>5831</v>
      </c>
      <c r="B3408" s="38">
        <v>5073.0</v>
      </c>
      <c r="C3408" s="38" t="s">
        <v>5832</v>
      </c>
      <c r="D3408" s="38" t="str">
        <f>IFERROR(__xludf.DUMMYFUNCTION("REGEXREPLACE(C3408,""-\d+(.*)|--\d+(.*)"","""")"),"LAZER")</f>
        <v>LAZER</v>
      </c>
      <c r="E3408" s="38" t="s">
        <v>706</v>
      </c>
      <c r="F3408" s="38" t="s">
        <v>228</v>
      </c>
      <c r="G3408" s="49" t="str">
        <f t="shared" si="1"/>
        <v>05300</v>
      </c>
      <c r="H3408" s="49" t="str">
        <f t="shared" si="2"/>
        <v>05073</v>
      </c>
    </row>
    <row r="3409">
      <c r="A3409" s="48" t="s">
        <v>203</v>
      </c>
      <c r="B3409" s="38">
        <v>37179.0</v>
      </c>
      <c r="C3409" s="38" t="s">
        <v>5833</v>
      </c>
      <c r="D3409" s="38" t="str">
        <f>IFERROR(__xludf.DUMMYFUNCTION("REGEXREPLACE(C3409,""-\d+(.*)|--\d+(.*)"","""")"),"PARCAY-MESLAY")</f>
        <v>PARCAY-MESLAY</v>
      </c>
      <c r="E3409" s="38" t="s">
        <v>205</v>
      </c>
      <c r="F3409" s="38" t="s">
        <v>123</v>
      </c>
      <c r="G3409" s="49" t="str">
        <f t="shared" si="1"/>
        <v>37210</v>
      </c>
      <c r="H3409" s="49">
        <f t="shared" si="2"/>
        <v>37179</v>
      </c>
    </row>
    <row r="3410">
      <c r="A3410" s="48" t="s">
        <v>4599</v>
      </c>
      <c r="B3410" s="38">
        <v>70181.0</v>
      </c>
      <c r="C3410" s="38" t="s">
        <v>5834</v>
      </c>
      <c r="D3410" s="38" t="str">
        <f>IFERROR(__xludf.DUMMYFUNCTION("REGEXREPLACE(C3410,""-\d+(.*)|--\d+(.*)"","""")"),"COURCUIRE")</f>
        <v>COURCUIRE</v>
      </c>
      <c r="E3410" s="38" t="s">
        <v>956</v>
      </c>
      <c r="F3410" s="38" t="s">
        <v>214</v>
      </c>
      <c r="G3410" s="49" t="str">
        <f t="shared" si="1"/>
        <v>70150</v>
      </c>
      <c r="H3410" s="49">
        <f t="shared" si="2"/>
        <v>70181</v>
      </c>
    </row>
    <row r="3411">
      <c r="A3411" s="48" t="s">
        <v>691</v>
      </c>
      <c r="B3411" s="38">
        <v>64474.0</v>
      </c>
      <c r="C3411" s="38" t="s">
        <v>5835</v>
      </c>
      <c r="D3411" s="38" t="str">
        <f>IFERROR(__xludf.DUMMYFUNCTION("REGEXREPLACE(C3411,""-\d+(.*)|--\d+(.*)"","""")"),"SAINT-DOS")</f>
        <v>SAINT-DOS</v>
      </c>
      <c r="E3411" s="38" t="s">
        <v>268</v>
      </c>
      <c r="F3411" s="38" t="s">
        <v>252</v>
      </c>
      <c r="G3411" s="49" t="str">
        <f t="shared" si="1"/>
        <v>64270</v>
      </c>
      <c r="H3411" s="49">
        <f t="shared" si="2"/>
        <v>64474</v>
      </c>
    </row>
    <row r="3412">
      <c r="A3412" s="48" t="s">
        <v>796</v>
      </c>
      <c r="B3412" s="38">
        <v>89445.0</v>
      </c>
      <c r="C3412" s="38" t="s">
        <v>5836</v>
      </c>
      <c r="D3412" s="38" t="str">
        <f>IFERROR(__xludf.DUMMYFUNCTION("REGEXREPLACE(C3412,""-\d+(.*)|--\d+(.*)"","""")"),"VEZANNES")</f>
        <v>VEZANNES</v>
      </c>
      <c r="E3412" s="38" t="s">
        <v>275</v>
      </c>
      <c r="F3412" s="38" t="s">
        <v>106</v>
      </c>
      <c r="G3412" s="49" t="str">
        <f t="shared" si="1"/>
        <v>89700</v>
      </c>
      <c r="H3412" s="49">
        <f t="shared" si="2"/>
        <v>89445</v>
      </c>
    </row>
    <row r="3413">
      <c r="A3413" s="48" t="s">
        <v>5837</v>
      </c>
      <c r="B3413" s="38">
        <v>95258.0</v>
      </c>
      <c r="C3413" s="38" t="s">
        <v>5838</v>
      </c>
      <c r="D3413" s="38" t="str">
        <f>IFERROR(__xludf.DUMMYFUNCTION("REGEXREPLACE(C3413,""-\d+(.*)|--\d+(.*)"","""")"),"FROUVILLE")</f>
        <v>FROUVILLE</v>
      </c>
      <c r="E3413" s="38" t="s">
        <v>541</v>
      </c>
      <c r="F3413" s="38" t="s">
        <v>245</v>
      </c>
      <c r="G3413" s="49" t="str">
        <f t="shared" si="1"/>
        <v>95690</v>
      </c>
      <c r="H3413" s="49">
        <f t="shared" si="2"/>
        <v>95258</v>
      </c>
    </row>
    <row r="3414">
      <c r="A3414" s="48" t="s">
        <v>3366</v>
      </c>
      <c r="B3414" s="38">
        <v>47156.0</v>
      </c>
      <c r="C3414" s="38" t="s">
        <v>5839</v>
      </c>
      <c r="D3414" s="38" t="str">
        <f>IFERROR(__xludf.DUMMYFUNCTION("REGEXREPLACE(C3414,""-\d+(.*)|--\d+(.*)"","""")"),"MARCELLUS")</f>
        <v>MARCELLUS</v>
      </c>
      <c r="E3414" s="38" t="s">
        <v>251</v>
      </c>
      <c r="F3414" s="38" t="s">
        <v>252</v>
      </c>
      <c r="G3414" s="49" t="str">
        <f t="shared" si="1"/>
        <v>47200</v>
      </c>
      <c r="H3414" s="49">
        <f t="shared" si="2"/>
        <v>47156</v>
      </c>
    </row>
    <row r="3415">
      <c r="A3415" s="48" t="s">
        <v>5840</v>
      </c>
      <c r="B3415" s="38">
        <v>71115.0</v>
      </c>
      <c r="C3415" s="38" t="s">
        <v>5841</v>
      </c>
      <c r="D3415" s="38" t="str">
        <f>IFERROR(__xludf.DUMMYFUNCTION("REGEXREPLACE(C3415,""-\d+(.*)|--\d+(.*)"","""")"),"CHATEL-MORON")</f>
        <v>CHATEL-MORON</v>
      </c>
      <c r="E3415" s="38" t="s">
        <v>344</v>
      </c>
      <c r="F3415" s="38" t="s">
        <v>106</v>
      </c>
      <c r="G3415" s="49" t="str">
        <f t="shared" si="1"/>
        <v>71510</v>
      </c>
      <c r="H3415" s="49">
        <f t="shared" si="2"/>
        <v>71115</v>
      </c>
    </row>
    <row r="3416">
      <c r="A3416" s="48" t="s">
        <v>5842</v>
      </c>
      <c r="B3416" s="38">
        <v>61228.0</v>
      </c>
      <c r="C3416" s="38" t="s">
        <v>5843</v>
      </c>
      <c r="D3416" s="38" t="str">
        <f>IFERROR(__xludf.DUMMYFUNCTION("REGEXREPLACE(C3416,""-\d+(.*)|--\d+(.*)"","""")"),"LIVAIE")</f>
        <v>LIVAIE</v>
      </c>
      <c r="E3416" s="38" t="s">
        <v>141</v>
      </c>
      <c r="F3416" s="38" t="s">
        <v>138</v>
      </c>
      <c r="G3416" s="49" t="str">
        <f t="shared" si="1"/>
        <v>61420</v>
      </c>
      <c r="H3416" s="49">
        <f t="shared" si="2"/>
        <v>61228</v>
      </c>
    </row>
    <row r="3417">
      <c r="A3417" s="48" t="s">
        <v>2259</v>
      </c>
      <c r="B3417" s="38">
        <v>22276.0</v>
      </c>
      <c r="C3417" s="38" t="s">
        <v>5844</v>
      </c>
      <c r="D3417" s="38" t="str">
        <f>IFERROR(__xludf.DUMMYFUNCTION("REGEXREPLACE(C3417,""-\d+(.*)|--\d+(.*)"","""")"),"SAINT-BIHY")</f>
        <v>SAINT-BIHY</v>
      </c>
      <c r="E3417" s="38" t="s">
        <v>89</v>
      </c>
      <c r="F3417" s="38" t="s">
        <v>90</v>
      </c>
      <c r="G3417" s="49" t="str">
        <f t="shared" si="1"/>
        <v>22800</v>
      </c>
      <c r="H3417" s="49">
        <f t="shared" si="2"/>
        <v>22276</v>
      </c>
    </row>
    <row r="3418">
      <c r="A3418" s="48" t="s">
        <v>5521</v>
      </c>
      <c r="B3418" s="38">
        <v>85207.0</v>
      </c>
      <c r="C3418" s="38" t="s">
        <v>5845</v>
      </c>
      <c r="D3418" s="38" t="str">
        <f>IFERROR(__xludf.DUMMYFUNCTION("REGEXREPLACE(C3418,""-\d+(.*)|--\d+(.*)"","""")"),"SAINT-DENIS-DU-PAYRE")</f>
        <v>SAINT-DENIS-DU-PAYRE</v>
      </c>
      <c r="E3418" s="38" t="s">
        <v>179</v>
      </c>
      <c r="F3418" s="38" t="s">
        <v>180</v>
      </c>
      <c r="G3418" s="49" t="str">
        <f t="shared" si="1"/>
        <v>85580</v>
      </c>
      <c r="H3418" s="49">
        <f t="shared" si="2"/>
        <v>85207</v>
      </c>
    </row>
    <row r="3419">
      <c r="A3419" s="48" t="s">
        <v>5846</v>
      </c>
      <c r="B3419" s="38">
        <v>60091.0</v>
      </c>
      <c r="C3419" s="38" t="s">
        <v>5847</v>
      </c>
      <c r="D3419" s="38" t="str">
        <f>IFERROR(__xludf.DUMMYFUNCTION("REGEXREPLACE(C3419,""-\d+(.*)|--\d+(.*)"","""")"),"BOUILLANCY")</f>
        <v>BOUILLANCY</v>
      </c>
      <c r="E3419" s="38" t="s">
        <v>112</v>
      </c>
      <c r="F3419" s="38" t="s">
        <v>113</v>
      </c>
      <c r="G3419" s="49" t="str">
        <f t="shared" si="1"/>
        <v>60620</v>
      </c>
      <c r="H3419" s="49">
        <f t="shared" si="2"/>
        <v>60091</v>
      </c>
    </row>
    <row r="3420">
      <c r="A3420" s="48" t="s">
        <v>5848</v>
      </c>
      <c r="B3420" s="38">
        <v>50237.0</v>
      </c>
      <c r="C3420" s="38" t="s">
        <v>5849</v>
      </c>
      <c r="D3420" s="38" t="str">
        <f>IFERROR(__xludf.DUMMYFUNCTION("REGEXREPLACE(C3420,""-\d+(.*)|--\d+(.*)"","""")"),"LA HAYE-PESNEL")</f>
        <v>LA HAYE-PESNEL</v>
      </c>
      <c r="E3420" s="38" t="s">
        <v>157</v>
      </c>
      <c r="F3420" s="38" t="s">
        <v>138</v>
      </c>
      <c r="G3420" s="49" t="str">
        <f t="shared" si="1"/>
        <v>50320</v>
      </c>
      <c r="H3420" s="49">
        <f t="shared" si="2"/>
        <v>50237</v>
      </c>
    </row>
    <row r="3421">
      <c r="A3421" s="48" t="s">
        <v>5850</v>
      </c>
      <c r="B3421" s="38">
        <v>22145.0</v>
      </c>
      <c r="C3421" s="38" t="s">
        <v>5851</v>
      </c>
      <c r="D3421" s="38" t="str">
        <f>IFERROR(__xludf.DUMMYFUNCTION("REGEXREPLACE(C3421,""-\d+(.*)|--\d+(.*)"","""")"),"MEGRIT")</f>
        <v>MEGRIT</v>
      </c>
      <c r="E3421" s="38" t="s">
        <v>89</v>
      </c>
      <c r="F3421" s="38" t="s">
        <v>90</v>
      </c>
      <c r="G3421" s="49" t="str">
        <f t="shared" si="1"/>
        <v>22270</v>
      </c>
      <c r="H3421" s="49">
        <f t="shared" si="2"/>
        <v>22145</v>
      </c>
    </row>
    <row r="3422">
      <c r="A3422" s="48" t="s">
        <v>771</v>
      </c>
      <c r="B3422" s="38">
        <v>60381.0</v>
      </c>
      <c r="C3422" s="38" t="s">
        <v>5852</v>
      </c>
      <c r="D3422" s="38" t="str">
        <f>IFERROR(__xludf.DUMMYFUNCTION("REGEXREPLACE(C3422,""-\d+(.*)|--\d+(.*)"","""")"),"MARGNY-AUX-CERISES")</f>
        <v>MARGNY-AUX-CERISES</v>
      </c>
      <c r="E3422" s="38" t="s">
        <v>112</v>
      </c>
      <c r="F3422" s="38" t="s">
        <v>113</v>
      </c>
      <c r="G3422" s="49" t="str">
        <f t="shared" si="1"/>
        <v>60310</v>
      </c>
      <c r="H3422" s="49">
        <f t="shared" si="2"/>
        <v>60381</v>
      </c>
    </row>
    <row r="3423">
      <c r="A3423" s="48" t="s">
        <v>5853</v>
      </c>
      <c r="B3423" s="38">
        <v>9207.0</v>
      </c>
      <c r="C3423" s="38" t="s">
        <v>5854</v>
      </c>
      <c r="D3423" s="38" t="str">
        <f>IFERROR(__xludf.DUMMYFUNCTION("REGEXREPLACE(C3423,""-\d+(.*)|--\d+(.*)"","""")"),"MONTGAILLARD")</f>
        <v>MONTGAILLARD</v>
      </c>
      <c r="E3423" s="38" t="s">
        <v>238</v>
      </c>
      <c r="F3423" s="38" t="s">
        <v>94</v>
      </c>
      <c r="G3423" s="49" t="str">
        <f t="shared" si="1"/>
        <v>09330</v>
      </c>
      <c r="H3423" s="49" t="str">
        <f t="shared" si="2"/>
        <v>09207</v>
      </c>
    </row>
    <row r="3424">
      <c r="A3424" s="48" t="s">
        <v>1046</v>
      </c>
      <c r="B3424" s="38">
        <v>26125.0</v>
      </c>
      <c r="C3424" s="38" t="s">
        <v>5855</v>
      </c>
      <c r="D3424" s="38" t="str">
        <f>IFERROR(__xludf.DUMMYFUNCTION("REGEXREPLACE(C3424,""-\d+(.*)|--\d+(.*)"","""")"),"EURRE")</f>
        <v>EURRE</v>
      </c>
      <c r="E3424" s="38" t="s">
        <v>126</v>
      </c>
      <c r="F3424" s="38" t="s">
        <v>102</v>
      </c>
      <c r="G3424" s="49" t="str">
        <f t="shared" si="1"/>
        <v>26400</v>
      </c>
      <c r="H3424" s="49">
        <f t="shared" si="2"/>
        <v>26125</v>
      </c>
    </row>
    <row r="3425">
      <c r="A3425" s="48" t="s">
        <v>580</v>
      </c>
      <c r="B3425" s="38">
        <v>31360.0</v>
      </c>
      <c r="C3425" s="38" t="s">
        <v>5856</v>
      </c>
      <c r="D3425" s="38" t="str">
        <f>IFERROR(__xludf.DUMMYFUNCTION("REGEXREPLACE(C3425,""-\d+(.*)|--\d+(.*)"","""")"),"MONTAUBAN-DE-LUCHON")</f>
        <v>MONTAUBAN-DE-LUCHON</v>
      </c>
      <c r="E3425" s="38" t="s">
        <v>93</v>
      </c>
      <c r="F3425" s="38" t="s">
        <v>94</v>
      </c>
      <c r="G3425" s="49" t="str">
        <f t="shared" si="1"/>
        <v>31110</v>
      </c>
      <c r="H3425" s="49">
        <f t="shared" si="2"/>
        <v>31360</v>
      </c>
    </row>
    <row r="3426">
      <c r="A3426" s="48" t="s">
        <v>2487</v>
      </c>
      <c r="B3426" s="38">
        <v>70501.0</v>
      </c>
      <c r="C3426" s="38" t="s">
        <v>5857</v>
      </c>
      <c r="D3426" s="38" t="str">
        <f>IFERROR(__xludf.DUMMYFUNCTION("REGEXREPLACE(C3426,""-\d+(.*)|--\d+(.*)"","""")"),"THIENANS")</f>
        <v>THIENANS</v>
      </c>
      <c r="E3426" s="38" t="s">
        <v>956</v>
      </c>
      <c r="F3426" s="38" t="s">
        <v>214</v>
      </c>
      <c r="G3426" s="49" t="str">
        <f t="shared" si="1"/>
        <v>70230</v>
      </c>
      <c r="H3426" s="49">
        <f t="shared" si="2"/>
        <v>70501</v>
      </c>
    </row>
    <row r="3427">
      <c r="A3427" s="48" t="s">
        <v>1008</v>
      </c>
      <c r="B3427" s="38">
        <v>2322.0</v>
      </c>
      <c r="C3427" s="38" t="s">
        <v>5858</v>
      </c>
      <c r="D3427" s="38" t="str">
        <f>IFERROR(__xludf.DUMMYFUNCTION("REGEXREPLACE(C3427,""-\d+(.*)|--\d+(.*)"","""")"),"FONTAINE-NOTRE-DAME")</f>
        <v>FONTAINE-NOTRE-DAME</v>
      </c>
      <c r="E3427" s="38" t="s">
        <v>191</v>
      </c>
      <c r="F3427" s="38" t="s">
        <v>113</v>
      </c>
      <c r="G3427" s="49" t="str">
        <f t="shared" si="1"/>
        <v>02110</v>
      </c>
      <c r="H3427" s="49" t="str">
        <f t="shared" si="2"/>
        <v>02322</v>
      </c>
    </row>
    <row r="3428">
      <c r="A3428" s="48" t="s">
        <v>1214</v>
      </c>
      <c r="B3428" s="38">
        <v>56072.0</v>
      </c>
      <c r="C3428" s="38" t="s">
        <v>5859</v>
      </c>
      <c r="D3428" s="38" t="str">
        <f>IFERROR(__xludf.DUMMYFUNCTION("REGEXREPLACE(C3428,""-\d+(.*)|--\d+(.*)"","""")"),"GUELTAS")</f>
        <v>GUELTAS</v>
      </c>
      <c r="E3428" s="38" t="s">
        <v>173</v>
      </c>
      <c r="F3428" s="38" t="s">
        <v>90</v>
      </c>
      <c r="G3428" s="49" t="str">
        <f t="shared" si="1"/>
        <v>56920</v>
      </c>
      <c r="H3428" s="49">
        <f t="shared" si="2"/>
        <v>56072</v>
      </c>
    </row>
    <row r="3429">
      <c r="A3429" s="48" t="s">
        <v>582</v>
      </c>
      <c r="B3429" s="38">
        <v>39508.0</v>
      </c>
      <c r="C3429" s="38" t="s">
        <v>5860</v>
      </c>
      <c r="D3429" s="38" t="str">
        <f>IFERROR(__xludf.DUMMYFUNCTION("REGEXREPLACE(C3429,""-\d+(.*)|--\d+(.*)"","""")"),"SELLIERES")</f>
        <v>SELLIERES</v>
      </c>
      <c r="E3429" s="38" t="s">
        <v>400</v>
      </c>
      <c r="F3429" s="38" t="s">
        <v>214</v>
      </c>
      <c r="G3429" s="49" t="str">
        <f t="shared" si="1"/>
        <v>39230</v>
      </c>
      <c r="H3429" s="49">
        <f t="shared" si="2"/>
        <v>39508</v>
      </c>
    </row>
    <row r="3430">
      <c r="A3430" s="48" t="s">
        <v>2421</v>
      </c>
      <c r="B3430" s="38">
        <v>4222.0</v>
      </c>
      <c r="C3430" s="38" t="s">
        <v>5861</v>
      </c>
      <c r="D3430" s="38" t="str">
        <f>IFERROR(__xludf.DUMMYFUNCTION("REGEXREPLACE(C3430,""-\d+(.*)|--\d+(.*)"","""")"),"TURRIERS")</f>
        <v>TURRIERS</v>
      </c>
      <c r="E3430" s="38" t="s">
        <v>662</v>
      </c>
      <c r="F3430" s="38" t="s">
        <v>228</v>
      </c>
      <c r="G3430" s="49" t="str">
        <f t="shared" si="1"/>
        <v>04250</v>
      </c>
      <c r="H3430" s="49" t="str">
        <f t="shared" si="2"/>
        <v>04222</v>
      </c>
    </row>
    <row r="3431">
      <c r="A3431" s="48" t="s">
        <v>5862</v>
      </c>
      <c r="B3431" s="38">
        <v>63092.0</v>
      </c>
      <c r="C3431" s="38" t="s">
        <v>5863</v>
      </c>
      <c r="D3431" s="38" t="str">
        <f>IFERROR(__xludf.DUMMYFUNCTION("REGEXREPLACE(C3431,""-\d+(.*)|--\d+(.*)"","""")"),"CHARBONNIERES-LES-VARENNES")</f>
        <v>CHARBONNIERES-LES-VARENNES</v>
      </c>
      <c r="E3431" s="38" t="s">
        <v>353</v>
      </c>
      <c r="F3431" s="38" t="s">
        <v>161</v>
      </c>
      <c r="G3431" s="49" t="str">
        <f t="shared" si="1"/>
        <v>63410</v>
      </c>
      <c r="H3431" s="49">
        <f t="shared" si="2"/>
        <v>63092</v>
      </c>
    </row>
    <row r="3432">
      <c r="A3432" s="48" t="s">
        <v>276</v>
      </c>
      <c r="B3432" s="38">
        <v>11244.0</v>
      </c>
      <c r="C3432" s="38" t="s">
        <v>5864</v>
      </c>
      <c r="D3432" s="38" t="str">
        <f>IFERROR(__xludf.DUMMYFUNCTION("REGEXREPLACE(C3432,""-\d+(.*)|--\d+(.*)"","""")"),"MONTFORT-SUR-BOULZANE")</f>
        <v>MONTFORT-SUR-BOULZANE</v>
      </c>
      <c r="E3432" s="38" t="s">
        <v>278</v>
      </c>
      <c r="F3432" s="38" t="s">
        <v>119</v>
      </c>
      <c r="G3432" s="49" t="str">
        <f t="shared" si="1"/>
        <v>11140</v>
      </c>
      <c r="H3432" s="49">
        <f t="shared" si="2"/>
        <v>11244</v>
      </c>
    </row>
    <row r="3433">
      <c r="A3433" s="48" t="s">
        <v>162</v>
      </c>
      <c r="B3433" s="38">
        <v>31476.0</v>
      </c>
      <c r="C3433" s="38" t="s">
        <v>5865</v>
      </c>
      <c r="D3433" s="38" t="str">
        <f>IFERROR(__xludf.DUMMYFUNCTION("REGEXREPLACE(C3433,""-\d+(.*)|--\d+(.*)"","""")"),"SAINT-ELIX-LE-CHATEAU")</f>
        <v>SAINT-ELIX-LE-CHATEAU</v>
      </c>
      <c r="E3433" s="38" t="s">
        <v>93</v>
      </c>
      <c r="F3433" s="38" t="s">
        <v>94</v>
      </c>
      <c r="G3433" s="49" t="str">
        <f t="shared" si="1"/>
        <v>31430</v>
      </c>
      <c r="H3433" s="49">
        <f t="shared" si="2"/>
        <v>31476</v>
      </c>
    </row>
    <row r="3434">
      <c r="A3434" s="48" t="s">
        <v>5866</v>
      </c>
      <c r="B3434" s="38">
        <v>33531.0</v>
      </c>
      <c r="C3434" s="38" t="s">
        <v>5867</v>
      </c>
      <c r="D3434" s="38" t="str">
        <f>IFERROR(__xludf.DUMMYFUNCTION("REGEXREPLACE(C3434,""-\d+(.*)|--\d+(.*)"","""")"),"TIZAC-DE-CURTON")</f>
        <v>TIZAC-DE-CURTON</v>
      </c>
      <c r="E3434" s="38" t="s">
        <v>462</v>
      </c>
      <c r="F3434" s="38" t="s">
        <v>252</v>
      </c>
      <c r="G3434" s="49" t="str">
        <f t="shared" si="1"/>
        <v>33420</v>
      </c>
      <c r="H3434" s="49">
        <f t="shared" si="2"/>
        <v>33531</v>
      </c>
    </row>
    <row r="3435">
      <c r="A3435" s="48" t="s">
        <v>1688</v>
      </c>
      <c r="B3435" s="38">
        <v>76695.0</v>
      </c>
      <c r="C3435" s="38" t="s">
        <v>5868</v>
      </c>
      <c r="D3435" s="38" t="str">
        <f>IFERROR(__xludf.DUMMYFUNCTION("REGEXREPLACE(C3435,""-\d+(.*)|--\d+(.*)"","""")"),"TOCQUEVILLE-LES-MURS")</f>
        <v>TOCQUEVILLE-LES-MURS</v>
      </c>
      <c r="E3435" s="38" t="s">
        <v>133</v>
      </c>
      <c r="F3435" s="38" t="s">
        <v>134</v>
      </c>
      <c r="G3435" s="49" t="str">
        <f t="shared" si="1"/>
        <v>76110</v>
      </c>
      <c r="H3435" s="49">
        <f t="shared" si="2"/>
        <v>76695</v>
      </c>
    </row>
    <row r="3436">
      <c r="A3436" s="48" t="s">
        <v>3069</v>
      </c>
      <c r="B3436" s="38">
        <v>68239.0</v>
      </c>
      <c r="C3436" s="38" t="s">
        <v>5869</v>
      </c>
      <c r="D3436" s="38" t="str">
        <f>IFERROR(__xludf.DUMMYFUNCTION("REGEXREPLACE(C3436,""-\d+(.*)|--\d+(.*)"","""")"),"OBERBRUCK")</f>
        <v>OBERBRUCK</v>
      </c>
      <c r="E3436" s="38" t="s">
        <v>150</v>
      </c>
      <c r="F3436" s="38" t="s">
        <v>151</v>
      </c>
      <c r="G3436" s="49" t="str">
        <f t="shared" si="1"/>
        <v>68290</v>
      </c>
      <c r="H3436" s="49">
        <f t="shared" si="2"/>
        <v>68239</v>
      </c>
    </row>
    <row r="3437">
      <c r="A3437" s="48" t="s">
        <v>5870</v>
      </c>
      <c r="B3437" s="38">
        <v>12258.0</v>
      </c>
      <c r="C3437" s="38" t="s">
        <v>5871</v>
      </c>
      <c r="D3437" s="38" t="str">
        <f>IFERROR(__xludf.DUMMYFUNCTION("REGEXREPLACE(C3437,""-\d+(.*)|--\d+(.*)"","""")"),"LA SALVETAT-PEYRALES")</f>
        <v>LA SALVETAT-PEYRALES</v>
      </c>
      <c r="E3437" s="38" t="s">
        <v>465</v>
      </c>
      <c r="F3437" s="38" t="s">
        <v>94</v>
      </c>
      <c r="G3437" s="49" t="str">
        <f t="shared" si="1"/>
        <v>12440</v>
      </c>
      <c r="H3437" s="49">
        <f t="shared" si="2"/>
        <v>12258</v>
      </c>
    </row>
    <row r="3438">
      <c r="A3438" s="48" t="s">
        <v>816</v>
      </c>
      <c r="B3438" s="38">
        <v>11309.0</v>
      </c>
      <c r="C3438" s="38" t="s">
        <v>5872</v>
      </c>
      <c r="D3438" s="38" t="str">
        <f>IFERROR(__xludf.DUMMYFUNCTION("REGEXREPLACE(C3438,""-\d+(.*)|--\d+(.*)"","""")"),"RENNES-LE-CHATEAU")</f>
        <v>RENNES-LE-CHATEAU</v>
      </c>
      <c r="E3438" s="38" t="s">
        <v>278</v>
      </c>
      <c r="F3438" s="38" t="s">
        <v>119</v>
      </c>
      <c r="G3438" s="49" t="str">
        <f t="shared" si="1"/>
        <v>11190</v>
      </c>
      <c r="H3438" s="49">
        <f t="shared" si="2"/>
        <v>11309</v>
      </c>
    </row>
    <row r="3439">
      <c r="A3439" s="48" t="s">
        <v>5873</v>
      </c>
      <c r="B3439" s="38">
        <v>23021.0</v>
      </c>
      <c r="C3439" s="38" t="s">
        <v>5874</v>
      </c>
      <c r="D3439" s="38" t="str">
        <f>IFERROR(__xludf.DUMMYFUNCTION("REGEXREPLACE(C3439,""-\d+(.*)|--\d+(.*)"","""")"),"BENEVENT-L'ABBAYE")</f>
        <v>BENEVENT-L'ABBAYE</v>
      </c>
      <c r="E3439" s="38" t="s">
        <v>97</v>
      </c>
      <c r="F3439" s="38" t="s">
        <v>98</v>
      </c>
      <c r="G3439" s="49" t="str">
        <f t="shared" si="1"/>
        <v>23210</v>
      </c>
      <c r="H3439" s="49">
        <f t="shared" si="2"/>
        <v>23021</v>
      </c>
    </row>
    <row r="3440">
      <c r="A3440" s="48" t="s">
        <v>5875</v>
      </c>
      <c r="B3440" s="38">
        <v>14036.0</v>
      </c>
      <c r="C3440" s="38" t="s">
        <v>5876</v>
      </c>
      <c r="D3440" s="38" t="str">
        <f>IFERROR(__xludf.DUMMYFUNCTION("REGEXREPLACE(C3440,""-\d+(.*)|--\d+(.*)"","""")"),"BANNEVILLE-LA-CAMPAGNE")</f>
        <v>BANNEVILLE-LA-CAMPAGNE</v>
      </c>
      <c r="E3440" s="38" t="s">
        <v>137</v>
      </c>
      <c r="F3440" s="38" t="s">
        <v>138</v>
      </c>
      <c r="G3440" s="49" t="str">
        <f t="shared" si="1"/>
        <v>14940</v>
      </c>
      <c r="H3440" s="49">
        <f t="shared" si="2"/>
        <v>14036</v>
      </c>
    </row>
    <row r="3441">
      <c r="A3441" s="48" t="s">
        <v>2927</v>
      </c>
      <c r="B3441" s="38">
        <v>29172.0</v>
      </c>
      <c r="C3441" s="38" t="s">
        <v>5877</v>
      </c>
      <c r="D3441" s="38" t="str">
        <f>IFERROR(__xludf.DUMMYFUNCTION("REGEXREPLACE(C3441,""-\d+(.*)|--\d+(.*)"","""")"),"PLOMODIERN")</f>
        <v>PLOMODIERN</v>
      </c>
      <c r="E3441" s="38" t="s">
        <v>176</v>
      </c>
      <c r="F3441" s="38" t="s">
        <v>90</v>
      </c>
      <c r="G3441" s="49" t="str">
        <f t="shared" si="1"/>
        <v>29550</v>
      </c>
      <c r="H3441" s="49">
        <f t="shared" si="2"/>
        <v>29172</v>
      </c>
    </row>
    <row r="3442">
      <c r="A3442" s="48" t="s">
        <v>993</v>
      </c>
      <c r="B3442" s="38">
        <v>73208.0</v>
      </c>
      <c r="C3442" s="38" t="s">
        <v>5878</v>
      </c>
      <c r="D3442" s="38" t="str">
        <f>IFERROR(__xludf.DUMMYFUNCTION("REGEXREPLACE(C3442,""-\d+(.*)|--\d+(.*)"","""")"),"PUGNY-CHATENOD")</f>
        <v>PUGNY-CHATENOD</v>
      </c>
      <c r="E3442" s="38" t="s">
        <v>306</v>
      </c>
      <c r="F3442" s="38" t="s">
        <v>102</v>
      </c>
      <c r="G3442" s="49" t="str">
        <f t="shared" si="1"/>
        <v>73100</v>
      </c>
      <c r="H3442" s="49">
        <f t="shared" si="2"/>
        <v>73208</v>
      </c>
    </row>
    <row r="3443">
      <c r="A3443" s="48" t="s">
        <v>4030</v>
      </c>
      <c r="B3443" s="38">
        <v>16225.0</v>
      </c>
      <c r="C3443" s="38" t="s">
        <v>5879</v>
      </c>
      <c r="D3443" s="38" t="str">
        <f>IFERROR(__xludf.DUMMYFUNCTION("REGEXREPLACE(C3443,""-\d+(.*)|--\d+(.*)"","""")"),"MONTEMBOEUF")</f>
        <v>MONTEMBOEUF</v>
      </c>
      <c r="E3443" s="38" t="s">
        <v>429</v>
      </c>
      <c r="F3443" s="38" t="s">
        <v>338</v>
      </c>
      <c r="G3443" s="49" t="str">
        <f t="shared" si="1"/>
        <v>16310</v>
      </c>
      <c r="H3443" s="49">
        <f t="shared" si="2"/>
        <v>16225</v>
      </c>
    </row>
    <row r="3444">
      <c r="A3444" s="48" t="s">
        <v>981</v>
      </c>
      <c r="B3444" s="38">
        <v>24166.0</v>
      </c>
      <c r="C3444" s="38" t="s">
        <v>5880</v>
      </c>
      <c r="D3444" s="38" t="str">
        <f>IFERROR(__xludf.DUMMYFUNCTION("REGEXREPLACE(C3444,""-\d+(.*)|--\d+(.*)"","""")"),"EYLIAC")</f>
        <v>EYLIAC</v>
      </c>
      <c r="E3444" s="38" t="s">
        <v>261</v>
      </c>
      <c r="F3444" s="38" t="s">
        <v>252</v>
      </c>
      <c r="G3444" s="49" t="str">
        <f t="shared" si="1"/>
        <v>24330</v>
      </c>
      <c r="H3444" s="49">
        <f t="shared" si="2"/>
        <v>24166</v>
      </c>
    </row>
    <row r="3445">
      <c r="A3445" s="48" t="s">
        <v>698</v>
      </c>
      <c r="B3445" s="38">
        <v>11176.0</v>
      </c>
      <c r="C3445" s="38" t="s">
        <v>5881</v>
      </c>
      <c r="D3445" s="38" t="str">
        <f>IFERROR(__xludf.DUMMYFUNCTION("REGEXREPLACE(C3445,""-\d+(.*)|--\d+(.*)"","""")"),"JONQUIERES")</f>
        <v>JONQUIERES</v>
      </c>
      <c r="E3445" s="38" t="s">
        <v>278</v>
      </c>
      <c r="F3445" s="38" t="s">
        <v>119</v>
      </c>
      <c r="G3445" s="49" t="str">
        <f t="shared" si="1"/>
        <v>11220</v>
      </c>
      <c r="H3445" s="49">
        <f t="shared" si="2"/>
        <v>11176</v>
      </c>
    </row>
    <row r="3446">
      <c r="A3446" s="48" t="s">
        <v>5882</v>
      </c>
      <c r="B3446" s="38">
        <v>36114.0</v>
      </c>
      <c r="C3446" s="38" t="s">
        <v>5883</v>
      </c>
      <c r="D3446" s="38" t="str">
        <f>IFERROR(__xludf.DUMMYFUNCTION("REGEXREPLACE(C3446,""-\d+(.*)|--\d+(.*)"","""")"),"MAUVIERES")</f>
        <v>MAUVIERES</v>
      </c>
      <c r="E3446" s="38" t="s">
        <v>258</v>
      </c>
      <c r="F3446" s="38" t="s">
        <v>123</v>
      </c>
      <c r="G3446" s="49" t="str">
        <f t="shared" si="1"/>
        <v>36370</v>
      </c>
      <c r="H3446" s="49">
        <f t="shared" si="2"/>
        <v>36114</v>
      </c>
    </row>
    <row r="3447">
      <c r="A3447" s="48" t="s">
        <v>5884</v>
      </c>
      <c r="B3447" s="38">
        <v>29291.0</v>
      </c>
      <c r="C3447" s="38" t="s">
        <v>5885</v>
      </c>
      <c r="D3447" s="38" t="str">
        <f>IFERROR(__xludf.DUMMYFUNCTION("REGEXREPLACE(C3447,""-\d+(.*)|--\d+(.*)"","""")"),"TREGOUREZ")</f>
        <v>TREGOUREZ</v>
      </c>
      <c r="E3447" s="38" t="s">
        <v>176</v>
      </c>
      <c r="F3447" s="38" t="s">
        <v>90</v>
      </c>
      <c r="G3447" s="49" t="str">
        <f t="shared" si="1"/>
        <v>29970</v>
      </c>
      <c r="H3447" s="49">
        <f t="shared" si="2"/>
        <v>29291</v>
      </c>
    </row>
    <row r="3448">
      <c r="A3448" s="48" t="s">
        <v>1256</v>
      </c>
      <c r="B3448" s="38">
        <v>87008.0</v>
      </c>
      <c r="C3448" s="38" t="s">
        <v>5886</v>
      </c>
      <c r="D3448" s="38" t="str">
        <f>IFERROR(__xludf.DUMMYFUNCTION("REGEXREPLACE(C3448,""-\d+(.*)|--\d+(.*)"","""")"),"LA BAZEUGE")</f>
        <v>LA BAZEUGE</v>
      </c>
      <c r="E3448" s="38" t="s">
        <v>897</v>
      </c>
      <c r="F3448" s="38" t="s">
        <v>98</v>
      </c>
      <c r="G3448" s="49" t="str">
        <f t="shared" si="1"/>
        <v>87210</v>
      </c>
      <c r="H3448" s="49">
        <f t="shared" si="2"/>
        <v>87008</v>
      </c>
    </row>
    <row r="3449">
      <c r="A3449" s="48" t="s">
        <v>5887</v>
      </c>
      <c r="B3449" s="38">
        <v>61013.0</v>
      </c>
      <c r="C3449" s="38" t="s">
        <v>5888</v>
      </c>
      <c r="D3449" s="38" t="str">
        <f>IFERROR(__xludf.DUMMYFUNCTION("REGEXREPLACE(C3449,""-\d+(.*)|--\d+(.*)"","""")"),"AUNAY-LES-BOIS")</f>
        <v>AUNAY-LES-BOIS</v>
      </c>
      <c r="E3449" s="38" t="s">
        <v>141</v>
      </c>
      <c r="F3449" s="38" t="s">
        <v>138</v>
      </c>
      <c r="G3449" s="49" t="str">
        <f t="shared" si="1"/>
        <v>61500</v>
      </c>
      <c r="H3449" s="49">
        <f t="shared" si="2"/>
        <v>61013</v>
      </c>
    </row>
    <row r="3450">
      <c r="A3450" s="48" t="s">
        <v>1074</v>
      </c>
      <c r="B3450" s="38">
        <v>27387.0</v>
      </c>
      <c r="C3450" s="38" t="s">
        <v>5889</v>
      </c>
      <c r="D3450" s="38" t="str">
        <f>IFERROR(__xludf.DUMMYFUNCTION("REGEXREPLACE(C3450,""-\d+(.*)|--\d+(.*)"","""")"),"MANTHELON")</f>
        <v>MANTHELON</v>
      </c>
      <c r="E3450" s="38" t="s">
        <v>241</v>
      </c>
      <c r="F3450" s="38" t="s">
        <v>134</v>
      </c>
      <c r="G3450" s="49" t="str">
        <f t="shared" si="1"/>
        <v>27240</v>
      </c>
      <c r="H3450" s="49">
        <f t="shared" si="2"/>
        <v>27387</v>
      </c>
    </row>
    <row r="3451">
      <c r="A3451" s="48" t="s">
        <v>1518</v>
      </c>
      <c r="B3451" s="38">
        <v>88257.0</v>
      </c>
      <c r="C3451" s="38" t="s">
        <v>5890</v>
      </c>
      <c r="D3451" s="38" t="str">
        <f>IFERROR(__xludf.DUMMYFUNCTION("REGEXREPLACE(C3451,""-\d+(.*)|--\d+(.*)"","""")"),"JUVAINCOURT")</f>
        <v>JUVAINCOURT</v>
      </c>
      <c r="E3451" s="38" t="s">
        <v>194</v>
      </c>
      <c r="F3451" s="38" t="s">
        <v>195</v>
      </c>
      <c r="G3451" s="49" t="str">
        <f t="shared" si="1"/>
        <v>88500</v>
      </c>
      <c r="H3451" s="49">
        <f t="shared" si="2"/>
        <v>88257</v>
      </c>
    </row>
    <row r="3452">
      <c r="A3452" s="48" t="s">
        <v>2004</v>
      </c>
      <c r="B3452" s="38">
        <v>88303.0</v>
      </c>
      <c r="C3452" s="38" t="s">
        <v>5891</v>
      </c>
      <c r="D3452" s="38" t="str">
        <f>IFERROR(__xludf.DUMMYFUNCTION("REGEXREPLACE(C3452,""-\d+(.*)|--\d+(.*)"","""")"),"MIDREVAUX")</f>
        <v>MIDREVAUX</v>
      </c>
      <c r="E3452" s="38" t="s">
        <v>194</v>
      </c>
      <c r="F3452" s="38" t="s">
        <v>195</v>
      </c>
      <c r="G3452" s="49" t="str">
        <f t="shared" si="1"/>
        <v>88630</v>
      </c>
      <c r="H3452" s="49">
        <f t="shared" si="2"/>
        <v>88303</v>
      </c>
    </row>
    <row r="3453">
      <c r="A3453" s="48" t="s">
        <v>4095</v>
      </c>
      <c r="B3453" s="38">
        <v>23238.0</v>
      </c>
      <c r="C3453" s="38" t="s">
        <v>5892</v>
      </c>
      <c r="D3453" s="38" t="str">
        <f>IFERROR(__xludf.DUMMYFUNCTION("REGEXREPLACE(C3453,""-\d+(.*)|--\d+(.*)"","""")"),"SAINT-QUENTIN-LA-CHABANNE")</f>
        <v>SAINT-QUENTIN-LA-CHABANNE</v>
      </c>
      <c r="E3453" s="38" t="s">
        <v>97</v>
      </c>
      <c r="F3453" s="38" t="s">
        <v>98</v>
      </c>
      <c r="G3453" s="49" t="str">
        <f t="shared" si="1"/>
        <v>23500</v>
      </c>
      <c r="H3453" s="49">
        <f t="shared" si="2"/>
        <v>23238</v>
      </c>
    </row>
    <row r="3454">
      <c r="A3454" s="48" t="s">
        <v>1821</v>
      </c>
      <c r="B3454" s="38">
        <v>3209.0</v>
      </c>
      <c r="C3454" s="38" t="s">
        <v>5893</v>
      </c>
      <c r="D3454" s="38" t="str">
        <f>IFERROR(__xludf.DUMMYFUNCTION("REGEXREPLACE(C3454,""-\d+(.*)|--\d+(.*)"","""")"),"POEZAT")</f>
        <v>POEZAT</v>
      </c>
      <c r="E3454" s="38" t="s">
        <v>160</v>
      </c>
      <c r="F3454" s="38" t="s">
        <v>161</v>
      </c>
      <c r="G3454" s="49" t="str">
        <f t="shared" si="1"/>
        <v>03800</v>
      </c>
      <c r="H3454" s="49" t="str">
        <f t="shared" si="2"/>
        <v>03209</v>
      </c>
    </row>
    <row r="3455">
      <c r="A3455" s="48" t="s">
        <v>5894</v>
      </c>
      <c r="B3455" s="38">
        <v>69121.0</v>
      </c>
      <c r="C3455" s="38" t="s">
        <v>5895</v>
      </c>
      <c r="D3455" s="38" t="str">
        <f>IFERROR(__xludf.DUMMYFUNCTION("REGEXREPLACE(C3455,""-\d+(.*)|--\d+(.*)"","""")"),"LOZANNE")</f>
        <v>LOZANNE</v>
      </c>
      <c r="E3455" s="38" t="s">
        <v>350</v>
      </c>
      <c r="F3455" s="38" t="s">
        <v>102</v>
      </c>
      <c r="G3455" s="49" t="str">
        <f t="shared" si="1"/>
        <v>69380</v>
      </c>
      <c r="H3455" s="49">
        <f t="shared" si="2"/>
        <v>69121</v>
      </c>
    </row>
    <row r="3456">
      <c r="A3456" s="48" t="s">
        <v>5010</v>
      </c>
      <c r="B3456" s="38">
        <v>77177.0</v>
      </c>
      <c r="C3456" s="38" t="s">
        <v>5896</v>
      </c>
      <c r="D3456" s="38" t="str">
        <f>IFERROR(__xludf.DUMMYFUNCTION("REGEXREPLACE(C3456,""-\d+(.*)|--\d+(.*)"","""")"),"FAVIERES")</f>
        <v>FAVIERES</v>
      </c>
      <c r="E3456" s="38" t="s">
        <v>244</v>
      </c>
      <c r="F3456" s="38" t="s">
        <v>245</v>
      </c>
      <c r="G3456" s="49" t="str">
        <f t="shared" si="1"/>
        <v>77220</v>
      </c>
      <c r="H3456" s="49">
        <f t="shared" si="2"/>
        <v>77177</v>
      </c>
    </row>
    <row r="3457">
      <c r="A3457" s="48" t="s">
        <v>3240</v>
      </c>
      <c r="B3457" s="38">
        <v>27485.0</v>
      </c>
      <c r="C3457" s="38" t="s">
        <v>5897</v>
      </c>
      <c r="D3457" s="38" t="str">
        <f>IFERROR(__xludf.DUMMYFUNCTION("REGEXREPLACE(C3457,""-\d+(.*)|--\d+(.*)"","""")"),"QUILLEBEUF-SUR-SEINE")</f>
        <v>QUILLEBEUF-SUR-SEINE</v>
      </c>
      <c r="E3457" s="38" t="s">
        <v>241</v>
      </c>
      <c r="F3457" s="38" t="s">
        <v>134</v>
      </c>
      <c r="G3457" s="49" t="str">
        <f t="shared" si="1"/>
        <v>27680</v>
      </c>
      <c r="H3457" s="49">
        <f t="shared" si="2"/>
        <v>27485</v>
      </c>
    </row>
    <row r="3458">
      <c r="A3458" s="48" t="s">
        <v>1046</v>
      </c>
      <c r="B3458" s="38">
        <v>26137.0</v>
      </c>
      <c r="C3458" s="38" t="s">
        <v>5898</v>
      </c>
      <c r="D3458" s="38" t="str">
        <f>IFERROR(__xludf.DUMMYFUNCTION("REGEXREPLACE(C3458,""-\d+(.*)|--\d+(.*)"","""")"),"FRANCILLON-SUR-ROUBION")</f>
        <v>FRANCILLON-SUR-ROUBION</v>
      </c>
      <c r="E3458" s="38" t="s">
        <v>126</v>
      </c>
      <c r="F3458" s="38" t="s">
        <v>102</v>
      </c>
      <c r="G3458" s="49" t="str">
        <f t="shared" si="1"/>
        <v>26400</v>
      </c>
      <c r="H3458" s="49">
        <f t="shared" si="2"/>
        <v>26137</v>
      </c>
    </row>
    <row r="3459">
      <c r="A3459" s="48" t="s">
        <v>2370</v>
      </c>
      <c r="B3459" s="38">
        <v>33224.0</v>
      </c>
      <c r="C3459" s="38" t="s">
        <v>5899</v>
      </c>
      <c r="D3459" s="38" t="str">
        <f>IFERROR(__xludf.DUMMYFUNCTION("REGEXREPLACE(C3459,""-\d+(.*)|--\d+(.*)"","""")"),"LANDERROUET-SUR-SEGUR")</f>
        <v>LANDERROUET-SUR-SEGUR</v>
      </c>
      <c r="E3459" s="38" t="s">
        <v>462</v>
      </c>
      <c r="F3459" s="38" t="s">
        <v>252</v>
      </c>
      <c r="G3459" s="49" t="str">
        <f t="shared" si="1"/>
        <v>33540</v>
      </c>
      <c r="H3459" s="49">
        <f t="shared" si="2"/>
        <v>33224</v>
      </c>
    </row>
    <row r="3460">
      <c r="A3460" s="48" t="s">
        <v>5900</v>
      </c>
      <c r="B3460" s="38">
        <v>18165.0</v>
      </c>
      <c r="C3460" s="38" t="s">
        <v>5901</v>
      </c>
      <c r="D3460" s="38" t="str">
        <f>IFERROR(__xludf.DUMMYFUNCTION("REGEXREPLACE(C3460,""-\d+(.*)|--\d+(.*)"","""")"),"NEUVY-SUR-BARANGEON")</f>
        <v>NEUVY-SUR-BARANGEON</v>
      </c>
      <c r="E3460" s="38" t="s">
        <v>504</v>
      </c>
      <c r="F3460" s="38" t="s">
        <v>123</v>
      </c>
      <c r="G3460" s="49" t="str">
        <f t="shared" si="1"/>
        <v>18330</v>
      </c>
      <c r="H3460" s="49">
        <f t="shared" si="2"/>
        <v>18165</v>
      </c>
    </row>
    <row r="3461">
      <c r="A3461" s="48" t="s">
        <v>5902</v>
      </c>
      <c r="B3461" s="38">
        <v>30017.0</v>
      </c>
      <c r="C3461" s="38" t="s">
        <v>5903</v>
      </c>
      <c r="D3461" s="38" t="str">
        <f>IFERROR(__xludf.DUMMYFUNCTION("REGEXREPLACE(C3461,""-\d+(.*)|--\d+(.*)"","""")"),"ARRIGAS")</f>
        <v>ARRIGAS</v>
      </c>
      <c r="E3461" s="38" t="s">
        <v>526</v>
      </c>
      <c r="F3461" s="38" t="s">
        <v>119</v>
      </c>
      <c r="G3461" s="49" t="str">
        <f t="shared" si="1"/>
        <v>30770</v>
      </c>
      <c r="H3461" s="49">
        <f t="shared" si="2"/>
        <v>30017</v>
      </c>
    </row>
    <row r="3462">
      <c r="A3462" s="48" t="s">
        <v>2103</v>
      </c>
      <c r="B3462" s="38">
        <v>54148.0</v>
      </c>
      <c r="C3462" s="38" t="s">
        <v>5904</v>
      </c>
      <c r="D3462" s="38" t="str">
        <f>IFERROR(__xludf.DUMMYFUNCTION("REGEXREPLACE(C3462,""-\d+(.*)|--\d+(.*)"","""")"),"CROISMARE")</f>
        <v>CROISMARE</v>
      </c>
      <c r="E3462" s="38" t="s">
        <v>548</v>
      </c>
      <c r="F3462" s="38" t="s">
        <v>195</v>
      </c>
      <c r="G3462" s="49" t="str">
        <f t="shared" si="1"/>
        <v>54300</v>
      </c>
      <c r="H3462" s="49">
        <f t="shared" si="2"/>
        <v>54148</v>
      </c>
    </row>
    <row r="3463">
      <c r="A3463" s="48" t="s">
        <v>5905</v>
      </c>
      <c r="B3463" s="38">
        <v>7316.0</v>
      </c>
      <c r="C3463" s="38" t="s">
        <v>5906</v>
      </c>
      <c r="D3463" s="38" t="str">
        <f>IFERROR(__xludf.DUMMYFUNCTION("REGEXREPLACE(C3463,""-\d+(.*)|--\d+(.*)"","""")"),"SOYONS")</f>
        <v>SOYONS</v>
      </c>
      <c r="E3463" s="38" t="s">
        <v>144</v>
      </c>
      <c r="F3463" s="38" t="s">
        <v>102</v>
      </c>
      <c r="G3463" s="49" t="str">
        <f t="shared" si="1"/>
        <v>07130</v>
      </c>
      <c r="H3463" s="49" t="str">
        <f t="shared" si="2"/>
        <v>07316</v>
      </c>
    </row>
    <row r="3464">
      <c r="A3464" s="48" t="s">
        <v>211</v>
      </c>
      <c r="B3464" s="38">
        <v>25533.0</v>
      </c>
      <c r="C3464" s="38" t="s">
        <v>5907</v>
      </c>
      <c r="D3464" s="38" t="str">
        <f>IFERROR(__xludf.DUMMYFUNCTION("REGEXREPLACE(C3464,""-\d+(.*)|--\d+(.*)"","""")"),"SARAZ")</f>
        <v>SARAZ</v>
      </c>
      <c r="E3464" s="38" t="s">
        <v>213</v>
      </c>
      <c r="F3464" s="38" t="s">
        <v>214</v>
      </c>
      <c r="G3464" s="49" t="str">
        <f t="shared" si="1"/>
        <v>25330</v>
      </c>
      <c r="H3464" s="49">
        <f t="shared" si="2"/>
        <v>25533</v>
      </c>
    </row>
    <row r="3465">
      <c r="A3465" s="48" t="s">
        <v>5587</v>
      </c>
      <c r="B3465" s="38">
        <v>3249.0</v>
      </c>
      <c r="C3465" s="38" t="s">
        <v>5908</v>
      </c>
      <c r="D3465" s="38" t="str">
        <f>IFERROR(__xludf.DUMMYFUNCTION("REGEXREPLACE(C3465,""-\d+(.*)|--\d+(.*)"","""")"),"SAINT-PALAIS")</f>
        <v>SAINT-PALAIS</v>
      </c>
      <c r="E3465" s="38" t="s">
        <v>160</v>
      </c>
      <c r="F3465" s="38" t="s">
        <v>161</v>
      </c>
      <c r="G3465" s="49" t="str">
        <f t="shared" si="1"/>
        <v>03370</v>
      </c>
      <c r="H3465" s="49" t="str">
        <f t="shared" si="2"/>
        <v>03249</v>
      </c>
    </row>
    <row r="3466">
      <c r="A3466" s="48" t="s">
        <v>2457</v>
      </c>
      <c r="B3466" s="38">
        <v>17464.0</v>
      </c>
      <c r="C3466" s="38" t="s">
        <v>5909</v>
      </c>
      <c r="D3466" s="38" t="str">
        <f>IFERROR(__xludf.DUMMYFUNCTION("REGEXREPLACE(C3466,""-\d+(.*)|--\d+(.*)"","""")"),"VERGNE")</f>
        <v>VERGNE</v>
      </c>
      <c r="E3466" s="38" t="s">
        <v>488</v>
      </c>
      <c r="F3466" s="38" t="s">
        <v>338</v>
      </c>
      <c r="G3466" s="49" t="str">
        <f t="shared" si="1"/>
        <v>17330</v>
      </c>
      <c r="H3466" s="49">
        <f t="shared" si="2"/>
        <v>17464</v>
      </c>
    </row>
    <row r="3467">
      <c r="A3467" s="48" t="s">
        <v>4617</v>
      </c>
      <c r="B3467" s="38">
        <v>15190.0</v>
      </c>
      <c r="C3467" s="38" t="s">
        <v>5910</v>
      </c>
      <c r="D3467" s="38" t="str">
        <f>IFERROR(__xludf.DUMMYFUNCTION("REGEXREPLACE(C3467,""-\d+(.*)|--\d+(.*)"","""")"),"SAINT-HIPPOLYTE")</f>
        <v>SAINT-HIPPOLYTE</v>
      </c>
      <c r="E3467" s="38" t="s">
        <v>632</v>
      </c>
      <c r="F3467" s="38" t="s">
        <v>161</v>
      </c>
      <c r="G3467" s="49" t="str">
        <f t="shared" si="1"/>
        <v>15400</v>
      </c>
      <c r="H3467" s="49">
        <f t="shared" si="2"/>
        <v>15190</v>
      </c>
    </row>
    <row r="3468">
      <c r="A3468" s="48" t="s">
        <v>5911</v>
      </c>
      <c r="B3468" s="38">
        <v>54150.0</v>
      </c>
      <c r="C3468" s="38" t="s">
        <v>5912</v>
      </c>
      <c r="D3468" s="38" t="str">
        <f>IFERROR(__xludf.DUMMYFUNCTION("REGEXREPLACE(C3468,""-\d+(.*)|--\d+(.*)"","""")"),"CUSTINES")</f>
        <v>CUSTINES</v>
      </c>
      <c r="E3468" s="38" t="s">
        <v>548</v>
      </c>
      <c r="F3468" s="38" t="s">
        <v>195</v>
      </c>
      <c r="G3468" s="49" t="str">
        <f t="shared" si="1"/>
        <v>54670</v>
      </c>
      <c r="H3468" s="49">
        <f t="shared" si="2"/>
        <v>54150</v>
      </c>
    </row>
    <row r="3469">
      <c r="A3469" s="48" t="s">
        <v>5913</v>
      </c>
      <c r="B3469" s="38">
        <v>7301.0</v>
      </c>
      <c r="C3469" s="38" t="s">
        <v>3057</v>
      </c>
      <c r="D3469" s="38" t="str">
        <f>IFERROR(__xludf.DUMMYFUNCTION("REGEXREPLACE(C3469,""-\d+(.*)|--\d+(.*)"","""")"),"SAINT-VICTOR")</f>
        <v>SAINT-VICTOR</v>
      </c>
      <c r="E3469" s="38" t="s">
        <v>144</v>
      </c>
      <c r="F3469" s="38" t="s">
        <v>102</v>
      </c>
      <c r="G3469" s="49" t="str">
        <f t="shared" si="1"/>
        <v>07410</v>
      </c>
      <c r="H3469" s="49" t="str">
        <f t="shared" si="2"/>
        <v>07301</v>
      </c>
    </row>
    <row r="3470">
      <c r="A3470" s="48" t="s">
        <v>960</v>
      </c>
      <c r="B3470" s="38">
        <v>28045.0</v>
      </c>
      <c r="C3470" s="38" t="s">
        <v>5914</v>
      </c>
      <c r="D3470" s="38" t="str">
        <f>IFERROR(__xludf.DUMMYFUNCTION("REGEXREPLACE(C3470,""-\d+(.*)|--\d+(.*)"","""")"),"BOISSY-EN-DROUAIS")</f>
        <v>BOISSY-EN-DROUAIS</v>
      </c>
      <c r="E3470" s="38" t="s">
        <v>300</v>
      </c>
      <c r="F3470" s="38" t="s">
        <v>123</v>
      </c>
      <c r="G3470" s="49" t="str">
        <f t="shared" si="1"/>
        <v>28500</v>
      </c>
      <c r="H3470" s="49">
        <f t="shared" si="2"/>
        <v>28045</v>
      </c>
    </row>
    <row r="3471">
      <c r="A3471" s="48" t="s">
        <v>3783</v>
      </c>
      <c r="B3471" s="38">
        <v>62459.0</v>
      </c>
      <c r="C3471" s="38" t="s">
        <v>5915</v>
      </c>
      <c r="D3471" s="38" t="str">
        <f>IFERROR(__xludf.DUMMYFUNCTION("REGEXREPLACE(C3471,""-\d+(.*)|--\d+(.*)"","""")"),"HOUVIN-HOUVIGNEUL")</f>
        <v>HOUVIN-HOUVIGNEUL</v>
      </c>
      <c r="E3471" s="38" t="s">
        <v>109</v>
      </c>
      <c r="F3471" s="38" t="s">
        <v>86</v>
      </c>
      <c r="G3471" s="49" t="str">
        <f t="shared" si="1"/>
        <v>62270</v>
      </c>
      <c r="H3471" s="49">
        <f t="shared" si="2"/>
        <v>62459</v>
      </c>
    </row>
    <row r="3472">
      <c r="A3472" s="48" t="s">
        <v>732</v>
      </c>
      <c r="B3472" s="38">
        <v>10004.0</v>
      </c>
      <c r="C3472" s="38" t="s">
        <v>5916</v>
      </c>
      <c r="D3472" s="38" t="str">
        <f>IFERROR(__xludf.DUMMYFUNCTION("REGEXREPLACE(C3472,""-\d+(.*)|--\d+(.*)"","""")"),"ALLIBAUDIERES")</f>
        <v>ALLIBAUDIERES</v>
      </c>
      <c r="E3472" s="38" t="s">
        <v>147</v>
      </c>
      <c r="F3472" s="38" t="s">
        <v>130</v>
      </c>
      <c r="G3472" s="49" t="str">
        <f t="shared" si="1"/>
        <v>10700</v>
      </c>
      <c r="H3472" s="49">
        <f t="shared" si="2"/>
        <v>10004</v>
      </c>
    </row>
    <row r="3473">
      <c r="A3473" s="48" t="s">
        <v>3400</v>
      </c>
      <c r="B3473" s="38">
        <v>89199.0</v>
      </c>
      <c r="C3473" s="38" t="s">
        <v>5917</v>
      </c>
      <c r="D3473" s="38" t="str">
        <f>IFERROR(__xludf.DUMMYFUNCTION("REGEXREPLACE(C3473,""-\d+(.*)|--\d+(.*)"","""")"),"GY-L'EVEQUE")</f>
        <v>GY-L'EVEQUE</v>
      </c>
      <c r="E3473" s="38" t="s">
        <v>275</v>
      </c>
      <c r="F3473" s="38" t="s">
        <v>106</v>
      </c>
      <c r="G3473" s="49" t="str">
        <f t="shared" si="1"/>
        <v>89580</v>
      </c>
      <c r="H3473" s="49">
        <f t="shared" si="2"/>
        <v>89199</v>
      </c>
    </row>
    <row r="3474">
      <c r="A3474" s="48" t="s">
        <v>1060</v>
      </c>
      <c r="B3474" s="38">
        <v>57097.0</v>
      </c>
      <c r="C3474" s="38" t="s">
        <v>5918</v>
      </c>
      <c r="D3474" s="38" t="str">
        <f>IFERROR(__xludf.DUMMYFUNCTION("REGEXREPLACE(C3474,""-\d+(.*)|--\d+(.*)"","""")"),"BOULAY-MOSELLE")</f>
        <v>BOULAY-MOSELLE</v>
      </c>
      <c r="E3474" s="38" t="s">
        <v>303</v>
      </c>
      <c r="F3474" s="38" t="s">
        <v>195</v>
      </c>
      <c r="G3474" s="49" t="str">
        <f t="shared" si="1"/>
        <v>57220</v>
      </c>
      <c r="H3474" s="49">
        <f t="shared" si="2"/>
        <v>57097</v>
      </c>
    </row>
    <row r="3475">
      <c r="A3475" s="48" t="s">
        <v>2190</v>
      </c>
      <c r="B3475" s="38">
        <v>10259.0</v>
      </c>
      <c r="C3475" s="38" t="s">
        <v>5919</v>
      </c>
      <c r="D3475" s="38" t="str">
        <f>IFERROR(__xludf.DUMMYFUNCTION("REGEXREPLACE(C3475,""-\d+(.*)|--\d+(.*)"","""")"),"LA MOTTE-TILLY")</f>
        <v>LA MOTTE-TILLY</v>
      </c>
      <c r="E3475" s="38" t="s">
        <v>147</v>
      </c>
      <c r="F3475" s="38" t="s">
        <v>130</v>
      </c>
      <c r="G3475" s="49" t="str">
        <f t="shared" si="1"/>
        <v>10400</v>
      </c>
      <c r="H3475" s="49">
        <f t="shared" si="2"/>
        <v>10259</v>
      </c>
    </row>
    <row r="3476">
      <c r="A3476" s="48" t="s">
        <v>5779</v>
      </c>
      <c r="B3476" s="38">
        <v>86154.0</v>
      </c>
      <c r="C3476" s="38" t="s">
        <v>5920</v>
      </c>
      <c r="D3476" s="38" t="str">
        <f>IFERROR(__xludf.DUMMYFUNCTION("REGEXREPLACE(C3476,""-\d+(.*)|--\d+(.*)"","""")"),"MAZEUIL")</f>
        <v>MAZEUIL</v>
      </c>
      <c r="E3476" s="38" t="s">
        <v>529</v>
      </c>
      <c r="F3476" s="38" t="s">
        <v>338</v>
      </c>
      <c r="G3476" s="49" t="str">
        <f t="shared" si="1"/>
        <v>86110</v>
      </c>
      <c r="H3476" s="49">
        <f t="shared" si="2"/>
        <v>86154</v>
      </c>
    </row>
    <row r="3477">
      <c r="A3477" s="48" t="s">
        <v>4599</v>
      </c>
      <c r="B3477" s="38">
        <v>70045.0</v>
      </c>
      <c r="C3477" s="38" t="s">
        <v>5921</v>
      </c>
      <c r="D3477" s="38" t="str">
        <f>IFERROR(__xludf.DUMMYFUNCTION("REGEXREPLACE(C3477,""-\d+(.*)|--\d+(.*)"","""")"),"AVRIGNEY-VIREY")</f>
        <v>AVRIGNEY-VIREY</v>
      </c>
      <c r="E3477" s="38" t="s">
        <v>956</v>
      </c>
      <c r="F3477" s="38" t="s">
        <v>214</v>
      </c>
      <c r="G3477" s="49" t="str">
        <f t="shared" si="1"/>
        <v>70150</v>
      </c>
      <c r="H3477" s="49">
        <f t="shared" si="2"/>
        <v>70045</v>
      </c>
    </row>
    <row r="3478">
      <c r="A3478" s="48" t="s">
        <v>4364</v>
      </c>
      <c r="B3478" s="38">
        <v>78072.0</v>
      </c>
      <c r="C3478" s="38" t="s">
        <v>5922</v>
      </c>
      <c r="D3478" s="38" t="str">
        <f>IFERROR(__xludf.DUMMYFUNCTION("REGEXREPLACE(C3478,""-\d+(.*)|--\d+(.*)"","""")"),"BOINVILLIERS")</f>
        <v>BOINVILLIERS</v>
      </c>
      <c r="E3478" s="38" t="s">
        <v>362</v>
      </c>
      <c r="F3478" s="38" t="s">
        <v>245</v>
      </c>
      <c r="G3478" s="49" t="str">
        <f t="shared" si="1"/>
        <v>78200</v>
      </c>
      <c r="H3478" s="49">
        <f t="shared" si="2"/>
        <v>78072</v>
      </c>
    </row>
    <row r="3479">
      <c r="A3479" s="48" t="s">
        <v>4748</v>
      </c>
      <c r="B3479" s="38">
        <v>77343.0</v>
      </c>
      <c r="C3479" s="38" t="s">
        <v>5923</v>
      </c>
      <c r="D3479" s="38" t="str">
        <f>IFERROR(__xludf.DUMMYFUNCTION("REGEXREPLACE(C3479,""-\d+(.*)|--\d+(.*)"","""")"),"OCQUERRE")</f>
        <v>OCQUERRE</v>
      </c>
      <c r="E3479" s="38" t="s">
        <v>244</v>
      </c>
      <c r="F3479" s="38" t="s">
        <v>245</v>
      </c>
      <c r="G3479" s="49" t="str">
        <f t="shared" si="1"/>
        <v>77440</v>
      </c>
      <c r="H3479" s="49">
        <f t="shared" si="2"/>
        <v>77343</v>
      </c>
    </row>
    <row r="3480">
      <c r="A3480" s="48" t="s">
        <v>5924</v>
      </c>
      <c r="B3480" s="38">
        <v>87132.0</v>
      </c>
      <c r="C3480" s="38" t="s">
        <v>5925</v>
      </c>
      <c r="D3480" s="38" t="str">
        <f>IFERROR(__xludf.DUMMYFUNCTION("REGEXREPLACE(C3480,""-\d+(.*)|--\d+(.*)"","""")"),"SAINT-AMAND-LE-PETIT")</f>
        <v>SAINT-AMAND-LE-PETIT</v>
      </c>
      <c r="E3480" s="38" t="s">
        <v>897</v>
      </c>
      <c r="F3480" s="38" t="s">
        <v>98</v>
      </c>
      <c r="G3480" s="49" t="str">
        <f t="shared" si="1"/>
        <v>87120</v>
      </c>
      <c r="H3480" s="49">
        <f t="shared" si="2"/>
        <v>87132</v>
      </c>
    </row>
    <row r="3481">
      <c r="A3481" s="48" t="s">
        <v>5926</v>
      </c>
      <c r="B3481" s="38">
        <v>40209.0</v>
      </c>
      <c r="C3481" s="38" t="s">
        <v>5927</v>
      </c>
      <c r="D3481" s="38" t="str">
        <f>IFERROR(__xludf.DUMMYFUNCTION("REGEXREPLACE(C3481,""-\d+(.*)|--\d+(.*)"","""")"),"ONDRES")</f>
        <v>ONDRES</v>
      </c>
      <c r="E3481" s="38" t="s">
        <v>281</v>
      </c>
      <c r="F3481" s="38" t="s">
        <v>252</v>
      </c>
      <c r="G3481" s="49" t="str">
        <f t="shared" si="1"/>
        <v>40440</v>
      </c>
      <c r="H3481" s="49">
        <f t="shared" si="2"/>
        <v>40209</v>
      </c>
    </row>
    <row r="3482">
      <c r="A3482" s="48" t="s">
        <v>3583</v>
      </c>
      <c r="B3482" s="38">
        <v>7222.0</v>
      </c>
      <c r="C3482" s="38" t="s">
        <v>5928</v>
      </c>
      <c r="D3482" s="38" t="str">
        <f>IFERROR(__xludf.DUMMYFUNCTION("REGEXREPLACE(C3482,""-\d+(.*)|--\d+(.*)"","""")"),"SAINT-CIERGE-SOUS-LE-CHEYLARD")</f>
        <v>SAINT-CIERGE-SOUS-LE-CHEYLARD</v>
      </c>
      <c r="E3482" s="38" t="s">
        <v>144</v>
      </c>
      <c r="F3482" s="38" t="s">
        <v>102</v>
      </c>
      <c r="G3482" s="49" t="str">
        <f t="shared" si="1"/>
        <v>07160</v>
      </c>
      <c r="H3482" s="49" t="str">
        <f t="shared" si="2"/>
        <v>07222</v>
      </c>
    </row>
    <row r="3483">
      <c r="A3483" s="48" t="s">
        <v>1790</v>
      </c>
      <c r="B3483" s="38">
        <v>67479.0</v>
      </c>
      <c r="C3483" s="38" t="s">
        <v>5929</v>
      </c>
      <c r="D3483" s="38" t="str">
        <f>IFERROR(__xludf.DUMMYFUNCTION("REGEXREPLACE(C3483,""-\d+(.*)|--\d+(.*)"","""")"),"STEINSELTZ")</f>
        <v>STEINSELTZ</v>
      </c>
      <c r="E3483" s="38" t="s">
        <v>210</v>
      </c>
      <c r="F3483" s="38" t="s">
        <v>151</v>
      </c>
      <c r="G3483" s="49" t="str">
        <f t="shared" si="1"/>
        <v>67160</v>
      </c>
      <c r="H3483" s="49">
        <f t="shared" si="2"/>
        <v>67479</v>
      </c>
    </row>
    <row r="3484">
      <c r="A3484" s="48" t="s">
        <v>5127</v>
      </c>
      <c r="B3484" s="38">
        <v>26315.0</v>
      </c>
      <c r="C3484" s="38" t="s">
        <v>5930</v>
      </c>
      <c r="D3484" s="38" t="str">
        <f>IFERROR(__xludf.DUMMYFUNCTION("REGEXREPLACE(C3484,""-\d+(.*)|--\d+(.*)"","""")"),"SAINT-MARTIN-EN-VERCORS")</f>
        <v>SAINT-MARTIN-EN-VERCORS</v>
      </c>
      <c r="E3484" s="38" t="s">
        <v>126</v>
      </c>
      <c r="F3484" s="38" t="s">
        <v>102</v>
      </c>
      <c r="G3484" s="49" t="str">
        <f t="shared" si="1"/>
        <v>26420</v>
      </c>
      <c r="H3484" s="49">
        <f t="shared" si="2"/>
        <v>26315</v>
      </c>
    </row>
    <row r="3485">
      <c r="A3485" s="48" t="s">
        <v>2508</v>
      </c>
      <c r="B3485" s="38">
        <v>1207.0</v>
      </c>
      <c r="C3485" s="38" t="s">
        <v>5931</v>
      </c>
      <c r="D3485" s="38" t="str">
        <f>IFERROR(__xludf.DUMMYFUNCTION("REGEXREPLACE(C3485,""-\d+(.*)|--\d+(.*)"","""")"),"LAPEYROUSE")</f>
        <v>LAPEYROUSE</v>
      </c>
      <c r="E3485" s="38" t="s">
        <v>255</v>
      </c>
      <c r="F3485" s="38" t="s">
        <v>102</v>
      </c>
      <c r="G3485" s="49" t="str">
        <f t="shared" si="1"/>
        <v>01330</v>
      </c>
      <c r="H3485" s="49" t="str">
        <f t="shared" si="2"/>
        <v>01207</v>
      </c>
    </row>
    <row r="3486">
      <c r="A3486" s="48" t="s">
        <v>2891</v>
      </c>
      <c r="B3486" s="38">
        <v>12017.0</v>
      </c>
      <c r="C3486" s="38" t="s">
        <v>5932</v>
      </c>
      <c r="D3486" s="38" t="str">
        <f>IFERROR(__xludf.DUMMYFUNCTION("REGEXREPLACE(C3486,""-\d+(.*)|--\d+(.*)"","""")"),"AYSSENES")</f>
        <v>AYSSENES</v>
      </c>
      <c r="E3486" s="38" t="s">
        <v>465</v>
      </c>
      <c r="F3486" s="38" t="s">
        <v>94</v>
      </c>
      <c r="G3486" s="49" t="str">
        <f t="shared" si="1"/>
        <v>12430</v>
      </c>
      <c r="H3486" s="49">
        <f t="shared" si="2"/>
        <v>12017</v>
      </c>
    </row>
    <row r="3487">
      <c r="A3487" s="48" t="s">
        <v>5933</v>
      </c>
      <c r="B3487" s="38">
        <v>64433.0</v>
      </c>
      <c r="C3487" s="38" t="s">
        <v>5934</v>
      </c>
      <c r="D3487" s="38" t="str">
        <f>IFERROR(__xludf.DUMMYFUNCTION("REGEXREPLACE(C3487,""-\d+(.*)|--\d+(.*)"","""")"),"OSSE-EN-ASPE")</f>
        <v>OSSE-EN-ASPE</v>
      </c>
      <c r="E3487" s="38" t="s">
        <v>268</v>
      </c>
      <c r="F3487" s="38" t="s">
        <v>252</v>
      </c>
      <c r="G3487" s="49" t="str">
        <f t="shared" si="1"/>
        <v>64490</v>
      </c>
      <c r="H3487" s="49">
        <f t="shared" si="2"/>
        <v>64433</v>
      </c>
    </row>
    <row r="3488">
      <c r="A3488" s="48" t="s">
        <v>5935</v>
      </c>
      <c r="B3488" s="38">
        <v>1376.0</v>
      </c>
      <c r="C3488" s="38" t="s">
        <v>5936</v>
      </c>
      <c r="D3488" s="38" t="str">
        <f>IFERROR(__xludf.DUMMYFUNCTION("REGEXREPLACE(C3488,""-\d+(.*)|--\d+(.*)"","""")"),"SAINT-MAURICE-DE-BEYNOST")</f>
        <v>SAINT-MAURICE-DE-BEYNOST</v>
      </c>
      <c r="E3488" s="38" t="s">
        <v>255</v>
      </c>
      <c r="F3488" s="38" t="s">
        <v>102</v>
      </c>
      <c r="G3488" s="49" t="str">
        <f t="shared" si="1"/>
        <v>01700</v>
      </c>
      <c r="H3488" s="49" t="str">
        <f t="shared" si="2"/>
        <v>01376</v>
      </c>
    </row>
    <row r="3489">
      <c r="A3489" s="48" t="s">
        <v>1330</v>
      </c>
      <c r="B3489" s="38">
        <v>6019.0</v>
      </c>
      <c r="C3489" s="38" t="s">
        <v>5937</v>
      </c>
      <c r="D3489" s="38" t="str">
        <f>IFERROR(__xludf.DUMMYFUNCTION("REGEXREPLACE(C3489,""-\d+(.*)|--\d+(.*)"","""")"),"BLAUSASC")</f>
        <v>BLAUSASC</v>
      </c>
      <c r="E3489" s="38" t="s">
        <v>227</v>
      </c>
      <c r="F3489" s="38" t="s">
        <v>228</v>
      </c>
      <c r="G3489" s="49" t="str">
        <f t="shared" si="1"/>
        <v>06440</v>
      </c>
      <c r="H3489" s="49" t="str">
        <f t="shared" si="2"/>
        <v>06019</v>
      </c>
    </row>
    <row r="3490">
      <c r="A3490" s="48" t="s">
        <v>5938</v>
      </c>
      <c r="B3490" s="38">
        <v>58231.0</v>
      </c>
      <c r="C3490" s="38" t="s">
        <v>5939</v>
      </c>
      <c r="D3490" s="38" t="str">
        <f>IFERROR(__xludf.DUMMYFUNCTION("REGEXREPLACE(C3490,""-\d+(.*)|--\d+(.*)"","""")"),"SAINT-AUBIN-LES-FORGES")</f>
        <v>SAINT-AUBIN-LES-FORGES</v>
      </c>
      <c r="E3490" s="38" t="s">
        <v>219</v>
      </c>
      <c r="F3490" s="38" t="s">
        <v>106</v>
      </c>
      <c r="G3490" s="49" t="str">
        <f t="shared" si="1"/>
        <v>58130</v>
      </c>
      <c r="H3490" s="49">
        <f t="shared" si="2"/>
        <v>58231</v>
      </c>
    </row>
    <row r="3491">
      <c r="A3491" s="48" t="s">
        <v>3795</v>
      </c>
      <c r="B3491" s="38">
        <v>24311.0</v>
      </c>
      <c r="C3491" s="38" t="s">
        <v>5940</v>
      </c>
      <c r="D3491" s="38" t="str">
        <f>IFERROR(__xludf.DUMMYFUNCTION("REGEXREPLACE(C3491,""-\d+(.*)|--\d+(.*)"","""")"),"NONTRON")</f>
        <v>NONTRON</v>
      </c>
      <c r="E3491" s="38" t="s">
        <v>261</v>
      </c>
      <c r="F3491" s="38" t="s">
        <v>252</v>
      </c>
      <c r="G3491" s="49" t="str">
        <f t="shared" si="1"/>
        <v>24300</v>
      </c>
      <c r="H3491" s="49">
        <f t="shared" si="2"/>
        <v>24311</v>
      </c>
    </row>
    <row r="3492">
      <c r="A3492" s="48" t="s">
        <v>5941</v>
      </c>
      <c r="B3492" s="38">
        <v>22189.0</v>
      </c>
      <c r="C3492" s="38" t="s">
        <v>5942</v>
      </c>
      <c r="D3492" s="38" t="str">
        <f>IFERROR(__xludf.DUMMYFUNCTION("REGEXREPLACE(C3492,""-\d+(.*)|--\d+(.*)"","""")"),"PLESIDY")</f>
        <v>PLESIDY</v>
      </c>
      <c r="E3492" s="38" t="s">
        <v>89</v>
      </c>
      <c r="F3492" s="38" t="s">
        <v>90</v>
      </c>
      <c r="G3492" s="49" t="str">
        <f t="shared" si="1"/>
        <v>22720</v>
      </c>
      <c r="H3492" s="49">
        <f t="shared" si="2"/>
        <v>22189</v>
      </c>
    </row>
    <row r="3493">
      <c r="A3493" s="48" t="s">
        <v>1462</v>
      </c>
      <c r="B3493" s="38">
        <v>11087.0</v>
      </c>
      <c r="C3493" s="38" t="s">
        <v>5943</v>
      </c>
      <c r="D3493" s="38" t="str">
        <f>IFERROR(__xludf.DUMMYFUNCTION("REGEXREPLACE(C3493,""-\d+(.*)|--\d+(.*)"","""")"),"CAZALRENOUX")</f>
        <v>CAZALRENOUX</v>
      </c>
      <c r="E3493" s="38" t="s">
        <v>278</v>
      </c>
      <c r="F3493" s="38" t="s">
        <v>119</v>
      </c>
      <c r="G3493" s="49" t="str">
        <f t="shared" si="1"/>
        <v>11270</v>
      </c>
      <c r="H3493" s="49">
        <f t="shared" si="2"/>
        <v>11087</v>
      </c>
    </row>
    <row r="3494">
      <c r="A3494" s="48" t="s">
        <v>5944</v>
      </c>
      <c r="B3494" s="38">
        <v>62232.0</v>
      </c>
      <c r="C3494" s="38" t="s">
        <v>5945</v>
      </c>
      <c r="D3494" s="38" t="str">
        <f>IFERROR(__xludf.DUMMYFUNCTION("REGEXREPLACE(C3494,""-\d+(.*)|--\d+(.*)"","""")"),"LA COMTE")</f>
        <v>LA COMTE</v>
      </c>
      <c r="E3494" s="38" t="s">
        <v>109</v>
      </c>
      <c r="F3494" s="38" t="s">
        <v>86</v>
      </c>
      <c r="G3494" s="49" t="str">
        <f t="shared" si="1"/>
        <v>62150</v>
      </c>
      <c r="H3494" s="49">
        <f t="shared" si="2"/>
        <v>62232</v>
      </c>
    </row>
    <row r="3495">
      <c r="A3495" s="48" t="s">
        <v>1503</v>
      </c>
      <c r="B3495" s="38">
        <v>72241.0</v>
      </c>
      <c r="C3495" s="38" t="s">
        <v>5946</v>
      </c>
      <c r="D3495" s="38" t="str">
        <f>IFERROR(__xludf.DUMMYFUNCTION("REGEXREPLACE(C3495,""-\d+(.*)|--\d+(.*)"","""")"),"MONTFORT-LE-GESNOIS")</f>
        <v>MONTFORT-LE-GESNOIS</v>
      </c>
      <c r="E3495" s="38" t="s">
        <v>521</v>
      </c>
      <c r="F3495" s="38" t="s">
        <v>180</v>
      </c>
      <c r="G3495" s="49" t="str">
        <f t="shared" si="1"/>
        <v>72450</v>
      </c>
      <c r="H3495" s="49">
        <f t="shared" si="2"/>
        <v>72241</v>
      </c>
    </row>
    <row r="3496">
      <c r="A3496" s="48" t="s">
        <v>5386</v>
      </c>
      <c r="B3496" s="38">
        <v>42011.0</v>
      </c>
      <c r="C3496" s="38" t="s">
        <v>5947</v>
      </c>
      <c r="D3496" s="38" t="str">
        <f>IFERROR(__xludf.DUMMYFUNCTION("REGEXREPLACE(C3496,""-\d+(.*)|--\d+(.*)"","""")"),"BALBIGNY")</f>
        <v>BALBIGNY</v>
      </c>
      <c r="E3496" s="38" t="s">
        <v>166</v>
      </c>
      <c r="F3496" s="38" t="s">
        <v>102</v>
      </c>
      <c r="G3496" s="49" t="str">
        <f t="shared" si="1"/>
        <v>42510</v>
      </c>
      <c r="H3496" s="49">
        <f t="shared" si="2"/>
        <v>42011</v>
      </c>
    </row>
    <row r="3497">
      <c r="A3497" s="48" t="s">
        <v>683</v>
      </c>
      <c r="B3497" s="38">
        <v>64513.0</v>
      </c>
      <c r="C3497" s="38" t="s">
        <v>5948</v>
      </c>
      <c r="D3497" s="38" t="str">
        <f>IFERROR(__xludf.DUMMYFUNCTION("REGEXREPLACE(C3497,""-\d+(.*)|--\d+(.*)"","""")"),"SAUVETERRE-DE-BEARN")</f>
        <v>SAUVETERRE-DE-BEARN</v>
      </c>
      <c r="E3497" s="38" t="s">
        <v>268</v>
      </c>
      <c r="F3497" s="38" t="s">
        <v>252</v>
      </c>
      <c r="G3497" s="49" t="str">
        <f t="shared" si="1"/>
        <v>64390</v>
      </c>
      <c r="H3497" s="49">
        <f t="shared" si="2"/>
        <v>64513</v>
      </c>
    </row>
    <row r="3498">
      <c r="A3498" s="48" t="s">
        <v>3311</v>
      </c>
      <c r="B3498" s="38">
        <v>19012.0</v>
      </c>
      <c r="C3498" s="38" t="s">
        <v>5949</v>
      </c>
      <c r="D3498" s="38" t="str">
        <f>IFERROR(__xludf.DUMMYFUNCTION("REGEXREPLACE(C3498,""-\d+(.*)|--\d+(.*)"","""")"),"ASTAILLAC")</f>
        <v>ASTAILLAC</v>
      </c>
      <c r="E3498" s="38" t="s">
        <v>271</v>
      </c>
      <c r="F3498" s="38" t="s">
        <v>98</v>
      </c>
      <c r="G3498" s="49" t="str">
        <f t="shared" si="1"/>
        <v>19120</v>
      </c>
      <c r="H3498" s="49">
        <f t="shared" si="2"/>
        <v>19012</v>
      </c>
    </row>
    <row r="3499">
      <c r="A3499" s="48" t="s">
        <v>5950</v>
      </c>
      <c r="B3499" s="38">
        <v>53240.0</v>
      </c>
      <c r="C3499" s="38" t="s">
        <v>5951</v>
      </c>
      <c r="D3499" s="38" t="str">
        <f>IFERROR(__xludf.DUMMYFUNCTION("REGEXREPLACE(C3499,""-\d+(.*)|--\d+(.*)"","""")"),"SAINT-MARTIN-DU-LIMET")</f>
        <v>SAINT-MARTIN-DU-LIMET</v>
      </c>
      <c r="E3499" s="38" t="s">
        <v>518</v>
      </c>
      <c r="F3499" s="38" t="s">
        <v>180</v>
      </c>
      <c r="G3499" s="49" t="str">
        <f t="shared" si="1"/>
        <v>53800</v>
      </c>
      <c r="H3499" s="49">
        <f t="shared" si="2"/>
        <v>53240</v>
      </c>
    </row>
    <row r="3500">
      <c r="A3500" s="48" t="s">
        <v>767</v>
      </c>
      <c r="B3500" s="38">
        <v>91069.0</v>
      </c>
      <c r="C3500" s="38" t="s">
        <v>5952</v>
      </c>
      <c r="D3500" s="38" t="str">
        <f>IFERROR(__xludf.DUMMYFUNCTION("REGEXREPLACE(C3500,""-\d+(.*)|--\d+(.*)"","""")"),"BOIGNEVILLE")</f>
        <v>BOIGNEVILLE</v>
      </c>
      <c r="E3500" s="38" t="s">
        <v>756</v>
      </c>
      <c r="F3500" s="38" t="s">
        <v>245</v>
      </c>
      <c r="G3500" s="49" t="str">
        <f t="shared" si="1"/>
        <v>91720</v>
      </c>
      <c r="H3500" s="49">
        <f t="shared" si="2"/>
        <v>91069</v>
      </c>
    </row>
    <row r="3501">
      <c r="A3501" s="48" t="s">
        <v>5953</v>
      </c>
      <c r="B3501" s="38">
        <v>76435.0</v>
      </c>
      <c r="C3501" s="38" t="s">
        <v>5954</v>
      </c>
      <c r="D3501" s="38" t="str">
        <f>IFERROR(__xludf.DUMMYFUNCTION("REGEXREPLACE(C3501,""-\d+(.*)|--\d+(.*)"","""")"),"LE MESNIL-REAUME")</f>
        <v>LE MESNIL-REAUME</v>
      </c>
      <c r="E3501" s="38" t="s">
        <v>133</v>
      </c>
      <c r="F3501" s="38" t="s">
        <v>134</v>
      </c>
      <c r="G3501" s="49" t="str">
        <f t="shared" si="1"/>
        <v>76260</v>
      </c>
      <c r="H3501" s="49">
        <f t="shared" si="2"/>
        <v>76435</v>
      </c>
    </row>
    <row r="3502">
      <c r="A3502" s="48" t="s">
        <v>2227</v>
      </c>
      <c r="B3502" s="38">
        <v>74270.0</v>
      </c>
      <c r="C3502" s="38" t="s">
        <v>5955</v>
      </c>
      <c r="D3502" s="38" t="str">
        <f>IFERROR(__xludf.DUMMYFUNCTION("REGEXREPLACE(C3502,""-\d+(.*)|--\d+(.*)"","""")"),"SEYTHENEX")</f>
        <v>SEYTHENEX</v>
      </c>
      <c r="E3502" s="38" t="s">
        <v>319</v>
      </c>
      <c r="F3502" s="38" t="s">
        <v>102</v>
      </c>
      <c r="G3502" s="49" t="str">
        <f t="shared" si="1"/>
        <v>74210</v>
      </c>
      <c r="H3502" s="49">
        <f t="shared" si="2"/>
        <v>74270</v>
      </c>
    </row>
    <row r="3503">
      <c r="A3503" s="48" t="s">
        <v>5956</v>
      </c>
      <c r="B3503" s="38">
        <v>62900.0</v>
      </c>
      <c r="C3503" s="38" t="s">
        <v>5957</v>
      </c>
      <c r="D3503" s="38" t="str">
        <f>IFERROR(__xludf.DUMMYFUNCTION("REGEXREPLACE(C3503,""-\d+(.*)|--\d+(.*)"","""")"),"WITTERNESSE")</f>
        <v>WITTERNESSE</v>
      </c>
      <c r="E3503" s="38" t="s">
        <v>109</v>
      </c>
      <c r="F3503" s="38" t="s">
        <v>86</v>
      </c>
      <c r="G3503" s="49" t="str">
        <f t="shared" si="1"/>
        <v>62120</v>
      </c>
      <c r="H3503" s="49">
        <f t="shared" si="2"/>
        <v>62900</v>
      </c>
    </row>
    <row r="3504">
      <c r="A3504" s="48" t="s">
        <v>5958</v>
      </c>
      <c r="B3504" s="38">
        <v>68306.0</v>
      </c>
      <c r="C3504" s="38" t="s">
        <v>5959</v>
      </c>
      <c r="D3504" s="38" t="str">
        <f>IFERROR(__xludf.DUMMYFUNCTION("REGEXREPLACE(C3504,""-\d+(.*)|--\d+(.*)"","""")"),"SEPPOIS-LE-HAUT")</f>
        <v>SEPPOIS-LE-HAUT</v>
      </c>
      <c r="E3504" s="38" t="s">
        <v>150</v>
      </c>
      <c r="F3504" s="38" t="s">
        <v>151</v>
      </c>
      <c r="G3504" s="49" t="str">
        <f t="shared" si="1"/>
        <v>68580</v>
      </c>
      <c r="H3504" s="49">
        <f t="shared" si="2"/>
        <v>68306</v>
      </c>
    </row>
    <row r="3505">
      <c r="A3505" s="48" t="s">
        <v>834</v>
      </c>
      <c r="B3505" s="38">
        <v>25235.0</v>
      </c>
      <c r="C3505" s="38" t="s">
        <v>5960</v>
      </c>
      <c r="D3505" s="38" t="str">
        <f>IFERROR(__xludf.DUMMYFUNCTION("REGEXREPLACE(C3505,""-\d+(.*)|--\d+(.*)"","""")"),"FERRIERES-LES-BOIS")</f>
        <v>FERRIERES-LES-BOIS</v>
      </c>
      <c r="E3505" s="38" t="s">
        <v>213</v>
      </c>
      <c r="F3505" s="38" t="s">
        <v>214</v>
      </c>
      <c r="G3505" s="49" t="str">
        <f t="shared" si="1"/>
        <v>25410</v>
      </c>
      <c r="H3505" s="49">
        <f t="shared" si="2"/>
        <v>25235</v>
      </c>
    </row>
    <row r="3506">
      <c r="A3506" s="48" t="s">
        <v>1469</v>
      </c>
      <c r="B3506" s="38">
        <v>71174.0</v>
      </c>
      <c r="C3506" s="38" t="s">
        <v>5961</v>
      </c>
      <c r="D3506" s="38" t="str">
        <f>IFERROR(__xludf.DUMMYFUNCTION("REGEXREPLACE(C3506,""-\d+(.*)|--\d+(.*)"","""")"),"DEZIZE-LES-MARANGES")</f>
        <v>DEZIZE-LES-MARANGES</v>
      </c>
      <c r="E3506" s="38" t="s">
        <v>344</v>
      </c>
      <c r="F3506" s="38" t="s">
        <v>106</v>
      </c>
      <c r="G3506" s="49" t="str">
        <f t="shared" si="1"/>
        <v>71150</v>
      </c>
      <c r="H3506" s="49">
        <f t="shared" si="2"/>
        <v>71174</v>
      </c>
    </row>
    <row r="3507">
      <c r="A3507" s="48" t="s">
        <v>5962</v>
      </c>
      <c r="B3507" s="38">
        <v>59599.0</v>
      </c>
      <c r="C3507" s="38" t="s">
        <v>5963</v>
      </c>
      <c r="D3507" s="38" t="str">
        <f>IFERROR(__xludf.DUMMYFUNCTION("REGEXREPLACE(C3507,""-\d+(.*)|--\d+(.*)"","""")"),"TOURCOING")</f>
        <v>TOURCOING</v>
      </c>
      <c r="E3507" s="38" t="s">
        <v>85</v>
      </c>
      <c r="F3507" s="38" t="s">
        <v>86</v>
      </c>
      <c r="G3507" s="49" t="str">
        <f t="shared" si="1"/>
        <v>59200</v>
      </c>
      <c r="H3507" s="49">
        <f t="shared" si="2"/>
        <v>59599</v>
      </c>
    </row>
    <row r="3508">
      <c r="A3508" s="48" t="s">
        <v>5840</v>
      </c>
      <c r="B3508" s="38">
        <v>71347.0</v>
      </c>
      <c r="C3508" s="38" t="s">
        <v>5964</v>
      </c>
      <c r="D3508" s="38" t="str">
        <f>IFERROR(__xludf.DUMMYFUNCTION("REGEXREPLACE(C3508,""-\d+(.*)|--\d+(.*)"","""")"),"PERREUIL")</f>
        <v>PERREUIL</v>
      </c>
      <c r="E3508" s="38" t="s">
        <v>344</v>
      </c>
      <c r="F3508" s="38" t="s">
        <v>106</v>
      </c>
      <c r="G3508" s="49" t="str">
        <f t="shared" si="1"/>
        <v>71510</v>
      </c>
      <c r="H3508" s="49">
        <f t="shared" si="2"/>
        <v>71347</v>
      </c>
    </row>
    <row r="3509">
      <c r="A3509" s="48" t="s">
        <v>5965</v>
      </c>
      <c r="B3509" s="38">
        <v>62265.0</v>
      </c>
      <c r="C3509" s="38" t="s">
        <v>5966</v>
      </c>
      <c r="D3509" s="38" t="str">
        <f>IFERROR(__xludf.DUMMYFUNCTION("REGEXREPLACE(C3509,""-\d+(.*)|--\d+(.*)"","""")"),"DELETTES")</f>
        <v>DELETTES</v>
      </c>
      <c r="E3509" s="38" t="s">
        <v>109</v>
      </c>
      <c r="F3509" s="38" t="s">
        <v>86</v>
      </c>
      <c r="G3509" s="49" t="str">
        <f t="shared" si="1"/>
        <v>62129</v>
      </c>
      <c r="H3509" s="49">
        <f t="shared" si="2"/>
        <v>62265</v>
      </c>
    </row>
    <row r="3510">
      <c r="A3510" s="48" t="s">
        <v>3578</v>
      </c>
      <c r="B3510" s="38">
        <v>72205.0</v>
      </c>
      <c r="C3510" s="38" t="s">
        <v>5967</v>
      </c>
      <c r="D3510" s="38" t="str">
        <f>IFERROR(__xludf.DUMMYFUNCTION("REGEXREPLACE(C3510,""-\d+(.*)|--\d+(.*)"","""")"),"MONTBIZOT")</f>
        <v>MONTBIZOT</v>
      </c>
      <c r="E3510" s="38" t="s">
        <v>521</v>
      </c>
      <c r="F3510" s="38" t="s">
        <v>180</v>
      </c>
      <c r="G3510" s="49" t="str">
        <f t="shared" si="1"/>
        <v>72380</v>
      </c>
      <c r="H3510" s="49">
        <f t="shared" si="2"/>
        <v>72205</v>
      </c>
    </row>
    <row r="3511">
      <c r="A3511" s="48" t="s">
        <v>1695</v>
      </c>
      <c r="B3511" s="38">
        <v>80047.0</v>
      </c>
      <c r="C3511" s="38" t="s">
        <v>5968</v>
      </c>
      <c r="D3511" s="38" t="str">
        <f>IFERROR(__xludf.DUMMYFUNCTION("REGEXREPLACE(C3511,""-\d+(.*)|--\d+(.*)"","""")"),"AVELUY")</f>
        <v>AVELUY</v>
      </c>
      <c r="E3511" s="38" t="s">
        <v>224</v>
      </c>
      <c r="F3511" s="38" t="s">
        <v>113</v>
      </c>
      <c r="G3511" s="49" t="str">
        <f t="shared" si="1"/>
        <v>80300</v>
      </c>
      <c r="H3511" s="49">
        <f t="shared" si="2"/>
        <v>80047</v>
      </c>
    </row>
    <row r="3512">
      <c r="A3512" s="48" t="s">
        <v>635</v>
      </c>
      <c r="B3512" s="38">
        <v>15042.0</v>
      </c>
      <c r="C3512" s="38" t="s">
        <v>5969</v>
      </c>
      <c r="D3512" s="38" t="str">
        <f>IFERROR(__xludf.DUMMYFUNCTION("REGEXREPLACE(C3512,""-\d+(.*)|--\d+(.*)"","""")"),"LA CHAPELLE-LAURENT")</f>
        <v>LA CHAPELLE-LAURENT</v>
      </c>
      <c r="E3512" s="38" t="s">
        <v>632</v>
      </c>
      <c r="F3512" s="38" t="s">
        <v>161</v>
      </c>
      <c r="G3512" s="49" t="str">
        <f t="shared" si="1"/>
        <v>15500</v>
      </c>
      <c r="H3512" s="49">
        <f t="shared" si="2"/>
        <v>15042</v>
      </c>
    </row>
    <row r="3513">
      <c r="A3513" s="48" t="s">
        <v>1825</v>
      </c>
      <c r="B3513" s="38">
        <v>64262.0</v>
      </c>
      <c r="C3513" s="38" t="s">
        <v>5970</v>
      </c>
      <c r="D3513" s="38" t="str">
        <f>IFERROR(__xludf.DUMMYFUNCTION("REGEXREPLACE(C3513,""-\d+(.*)|--\d+(.*)"","""")"),"HIGUERES-SOUYE")</f>
        <v>HIGUERES-SOUYE</v>
      </c>
      <c r="E3513" s="38" t="s">
        <v>268</v>
      </c>
      <c r="F3513" s="38" t="s">
        <v>252</v>
      </c>
      <c r="G3513" s="49" t="str">
        <f t="shared" si="1"/>
        <v>64160</v>
      </c>
      <c r="H3513" s="49">
        <f t="shared" si="2"/>
        <v>64262</v>
      </c>
    </row>
    <row r="3514">
      <c r="A3514" s="48" t="s">
        <v>5971</v>
      </c>
      <c r="B3514" s="38">
        <v>34192.0</v>
      </c>
      <c r="C3514" s="38" t="s">
        <v>5972</v>
      </c>
      <c r="D3514" s="38" t="str">
        <f>IFERROR(__xludf.DUMMYFUNCTION("REGEXREPLACE(C3514,""-\d+(.*)|--\d+(.*)"","""")"),"PALAVAS-LES-FLOTS")</f>
        <v>PALAVAS-LES-FLOTS</v>
      </c>
      <c r="E3514" s="38" t="s">
        <v>118</v>
      </c>
      <c r="F3514" s="38" t="s">
        <v>119</v>
      </c>
      <c r="G3514" s="49" t="str">
        <f t="shared" si="1"/>
        <v>34250</v>
      </c>
      <c r="H3514" s="49">
        <f t="shared" si="2"/>
        <v>34192</v>
      </c>
    </row>
    <row r="3515">
      <c r="A3515" s="48" t="s">
        <v>5973</v>
      </c>
      <c r="B3515" s="38">
        <v>54199.0</v>
      </c>
      <c r="C3515" s="38" t="s">
        <v>5974</v>
      </c>
      <c r="D3515" s="38" t="str">
        <f>IFERROR(__xludf.DUMMYFUNCTION("REGEXREPLACE(C3515,""-\d+(.*)|--\d+(.*)"","""")"),"FLIN")</f>
        <v>FLIN</v>
      </c>
      <c r="E3515" s="38" t="s">
        <v>548</v>
      </c>
      <c r="F3515" s="38" t="s">
        <v>195</v>
      </c>
      <c r="G3515" s="49" t="str">
        <f t="shared" si="1"/>
        <v>54122</v>
      </c>
      <c r="H3515" s="49">
        <f t="shared" si="2"/>
        <v>54199</v>
      </c>
    </row>
    <row r="3516">
      <c r="A3516" s="48" t="s">
        <v>3046</v>
      </c>
      <c r="B3516" s="38">
        <v>70185.0</v>
      </c>
      <c r="C3516" s="38" t="s">
        <v>5975</v>
      </c>
      <c r="D3516" s="38" t="str">
        <f>IFERROR(__xludf.DUMMYFUNCTION("REGEXREPLACE(C3516,""-\d+(.*)|--\d+(.*)"","""")"),"CRESANCEY")</f>
        <v>CRESANCEY</v>
      </c>
      <c r="E3516" s="38" t="s">
        <v>956</v>
      </c>
      <c r="F3516" s="38" t="s">
        <v>214</v>
      </c>
      <c r="G3516" s="49" t="str">
        <f t="shared" si="1"/>
        <v>70100</v>
      </c>
      <c r="H3516" s="49">
        <f t="shared" si="2"/>
        <v>70185</v>
      </c>
    </row>
    <row r="3517">
      <c r="A3517" s="48" t="s">
        <v>5787</v>
      </c>
      <c r="B3517" s="38">
        <v>19120.0</v>
      </c>
      <c r="C3517" s="38" t="s">
        <v>5976</v>
      </c>
      <c r="D3517" s="38" t="str">
        <f>IFERROR(__xludf.DUMMYFUNCTION("REGEXREPLACE(C3517,""-\d+(.*)|--\d+(.*)"","""")"),"LOUIGNAC")</f>
        <v>LOUIGNAC</v>
      </c>
      <c r="E3517" s="38" t="s">
        <v>271</v>
      </c>
      <c r="F3517" s="38" t="s">
        <v>98</v>
      </c>
      <c r="G3517" s="49" t="str">
        <f t="shared" si="1"/>
        <v>19310</v>
      </c>
      <c r="H3517" s="49">
        <f t="shared" si="2"/>
        <v>19120</v>
      </c>
    </row>
    <row r="3518">
      <c r="A3518" s="48" t="s">
        <v>2788</v>
      </c>
      <c r="B3518" s="38">
        <v>35215.0</v>
      </c>
      <c r="C3518" s="38" t="s">
        <v>5977</v>
      </c>
      <c r="D3518" s="38" t="str">
        <f>IFERROR(__xludf.DUMMYFUNCTION("REGEXREPLACE(C3518,""-\d+(.*)|--\d+(.*)"","""")"),"PARIGNE")</f>
        <v>PARIGNE</v>
      </c>
      <c r="E3518" s="38" t="s">
        <v>347</v>
      </c>
      <c r="F3518" s="38" t="s">
        <v>90</v>
      </c>
      <c r="G3518" s="49" t="str">
        <f t="shared" si="1"/>
        <v>35133</v>
      </c>
      <c r="H3518" s="49">
        <f t="shared" si="2"/>
        <v>35215</v>
      </c>
    </row>
    <row r="3519">
      <c r="A3519" s="48" t="s">
        <v>4499</v>
      </c>
      <c r="B3519" s="38">
        <v>25098.0</v>
      </c>
      <c r="C3519" s="38" t="s">
        <v>5978</v>
      </c>
      <c r="D3519" s="38" t="str">
        <f>IFERROR(__xludf.DUMMYFUNCTION("REGEXREPLACE(C3519,""-\d+(.*)|--\d+(.*)"","""")"),"BUFFARD")</f>
        <v>BUFFARD</v>
      </c>
      <c r="E3519" s="38" t="s">
        <v>213</v>
      </c>
      <c r="F3519" s="38" t="s">
        <v>214</v>
      </c>
      <c r="G3519" s="49" t="str">
        <f t="shared" si="1"/>
        <v>25440</v>
      </c>
      <c r="H3519" s="49">
        <f t="shared" si="2"/>
        <v>25098</v>
      </c>
    </row>
    <row r="3520">
      <c r="A3520" s="48" t="s">
        <v>5979</v>
      </c>
      <c r="B3520" s="38">
        <v>57017.0</v>
      </c>
      <c r="C3520" s="38" t="s">
        <v>5980</v>
      </c>
      <c r="D3520" s="38" t="str">
        <f>IFERROR(__xludf.DUMMYFUNCTION("REGEXREPLACE(C3520,""-\d+(.*)|--\d+(.*)"","""")"),"AMANVILLERS")</f>
        <v>AMANVILLERS</v>
      </c>
      <c r="E3520" s="38" t="s">
        <v>303</v>
      </c>
      <c r="F3520" s="38" t="s">
        <v>195</v>
      </c>
      <c r="G3520" s="49" t="str">
        <f t="shared" si="1"/>
        <v>57865</v>
      </c>
      <c r="H3520" s="49">
        <f t="shared" si="2"/>
        <v>57017</v>
      </c>
    </row>
    <row r="3521">
      <c r="A3521" s="48" t="s">
        <v>2673</v>
      </c>
      <c r="B3521" s="38">
        <v>3120.0</v>
      </c>
      <c r="C3521" s="38" t="s">
        <v>5981</v>
      </c>
      <c r="D3521" s="38" t="str">
        <f>IFERROR(__xludf.DUMMYFUNCTION("REGEXREPLACE(C3521,""-\d+(.*)|--\d+(.*)"","""")"),"GARNAT-SUR-ENGIEVRE")</f>
        <v>GARNAT-SUR-ENGIEVRE</v>
      </c>
      <c r="E3521" s="38" t="s">
        <v>160</v>
      </c>
      <c r="F3521" s="38" t="s">
        <v>161</v>
      </c>
      <c r="G3521" s="49" t="str">
        <f t="shared" si="1"/>
        <v>03230</v>
      </c>
      <c r="H3521" s="49" t="str">
        <f t="shared" si="2"/>
        <v>03120</v>
      </c>
    </row>
    <row r="3522">
      <c r="A3522" s="48" t="s">
        <v>5982</v>
      </c>
      <c r="B3522" s="38">
        <v>63410.0</v>
      </c>
      <c r="C3522" s="38" t="s">
        <v>5983</v>
      </c>
      <c r="D3522" s="38" t="str">
        <f>IFERROR(__xludf.DUMMYFUNCTION("REGEXREPLACE(C3522,""-\d+(.*)|--\d+(.*)"","""")"),"SAUVAGNAT")</f>
        <v>SAUVAGNAT</v>
      </c>
      <c r="E3522" s="38" t="s">
        <v>353</v>
      </c>
      <c r="F3522" s="38" t="s">
        <v>161</v>
      </c>
      <c r="G3522" s="49" t="str">
        <f t="shared" si="1"/>
        <v>63470</v>
      </c>
      <c r="H3522" s="49">
        <f t="shared" si="2"/>
        <v>63410</v>
      </c>
    </row>
    <row r="3523">
      <c r="A3523" s="48" t="s">
        <v>597</v>
      </c>
      <c r="B3523" s="38">
        <v>31593.0</v>
      </c>
      <c r="C3523" s="38" t="s">
        <v>5984</v>
      </c>
      <c r="D3523" s="38" t="str">
        <f>IFERROR(__xludf.DUMMYFUNCTION("REGEXREPLACE(C3523,""-\d+(.*)|--\d+(.*)"","""")"),"CAZAC")</f>
        <v>CAZAC</v>
      </c>
      <c r="E3523" s="38" t="s">
        <v>93</v>
      </c>
      <c r="F3523" s="38" t="s">
        <v>94</v>
      </c>
      <c r="G3523" s="49" t="str">
        <f t="shared" si="1"/>
        <v>31230</v>
      </c>
      <c r="H3523" s="49">
        <f t="shared" si="2"/>
        <v>31593</v>
      </c>
    </row>
    <row r="3524">
      <c r="A3524" s="48" t="s">
        <v>5985</v>
      </c>
      <c r="B3524" s="38">
        <v>85149.0</v>
      </c>
      <c r="C3524" s="38" t="s">
        <v>5986</v>
      </c>
      <c r="D3524" s="38" t="str">
        <f>IFERROR(__xludf.DUMMYFUNCTION("REGEXREPLACE(C3524,""-\d+(.*)|--\d+(.*)"","""")"),"MOREILLES")</f>
        <v>MOREILLES</v>
      </c>
      <c r="E3524" s="38" t="s">
        <v>179</v>
      </c>
      <c r="F3524" s="38" t="s">
        <v>180</v>
      </c>
      <c r="G3524" s="49" t="str">
        <f t="shared" si="1"/>
        <v>85450</v>
      </c>
      <c r="H3524" s="49">
        <f t="shared" si="2"/>
        <v>85149</v>
      </c>
    </row>
    <row r="3525">
      <c r="A3525" s="48" t="s">
        <v>2942</v>
      </c>
      <c r="B3525" s="38">
        <v>14255.0</v>
      </c>
      <c r="C3525" s="38" t="s">
        <v>5987</v>
      </c>
      <c r="D3525" s="38" t="str">
        <f>IFERROR(__xludf.DUMMYFUNCTION("REGEXREPLACE(C3525,""-\d+(.*)|--\d+(.*)"","""")"),"ETOUVY")</f>
        <v>ETOUVY</v>
      </c>
      <c r="E3525" s="38" t="s">
        <v>137</v>
      </c>
      <c r="F3525" s="38" t="s">
        <v>138</v>
      </c>
      <c r="G3525" s="49" t="str">
        <f t="shared" si="1"/>
        <v>14350</v>
      </c>
      <c r="H3525" s="49">
        <f t="shared" si="2"/>
        <v>14255</v>
      </c>
    </row>
    <row r="3526">
      <c r="A3526" s="48" t="s">
        <v>436</v>
      </c>
      <c r="B3526" s="38">
        <v>51349.0</v>
      </c>
      <c r="C3526" s="38" t="s">
        <v>5988</v>
      </c>
      <c r="D3526" s="38" t="str">
        <f>IFERROR(__xludf.DUMMYFUNCTION("REGEXREPLACE(C3526,""-\d+(.*)|--\d+(.*)"","""")"),"MARGERIE-HANCOURT")</f>
        <v>MARGERIE-HANCOURT</v>
      </c>
      <c r="E3526" s="38" t="s">
        <v>129</v>
      </c>
      <c r="F3526" s="38" t="s">
        <v>130</v>
      </c>
      <c r="G3526" s="49" t="str">
        <f t="shared" si="1"/>
        <v>51290</v>
      </c>
      <c r="H3526" s="49">
        <f t="shared" si="2"/>
        <v>51349</v>
      </c>
    </row>
    <row r="3527">
      <c r="A3527" s="48" t="s">
        <v>1106</v>
      </c>
      <c r="B3527" s="38">
        <v>14483.0</v>
      </c>
      <c r="C3527" s="38" t="s">
        <v>5989</v>
      </c>
      <c r="D3527" s="38" t="str">
        <f>IFERROR(__xludf.DUMMYFUNCTION("REGEXREPLACE(C3527,""-\d+(.*)|--\d+(.*)"","""")"),"OUFFIERES")</f>
        <v>OUFFIERES</v>
      </c>
      <c r="E3527" s="38" t="s">
        <v>137</v>
      </c>
      <c r="F3527" s="38" t="s">
        <v>138</v>
      </c>
      <c r="G3527" s="49" t="str">
        <f t="shared" si="1"/>
        <v>14220</v>
      </c>
      <c r="H3527" s="49">
        <f t="shared" si="2"/>
        <v>14483</v>
      </c>
    </row>
    <row r="3528">
      <c r="A3528" s="48" t="s">
        <v>1618</v>
      </c>
      <c r="B3528" s="38">
        <v>11416.0</v>
      </c>
      <c r="C3528" s="38" t="s">
        <v>5990</v>
      </c>
      <c r="D3528" s="38" t="str">
        <f>IFERROR(__xludf.DUMMYFUNCTION("REGEXREPLACE(C3528,""-\d+(.*)|--\d+(.*)"","""")"),"VILLARZEL-CABARDES")</f>
        <v>VILLARZEL-CABARDES</v>
      </c>
      <c r="E3528" s="38" t="s">
        <v>278</v>
      </c>
      <c r="F3528" s="38" t="s">
        <v>119</v>
      </c>
      <c r="G3528" s="49" t="str">
        <f t="shared" si="1"/>
        <v>11600</v>
      </c>
      <c r="H3528" s="49">
        <f t="shared" si="2"/>
        <v>11416</v>
      </c>
    </row>
    <row r="3529">
      <c r="A3529" s="48" t="s">
        <v>5991</v>
      </c>
      <c r="B3529" s="38">
        <v>33529.0</v>
      </c>
      <c r="C3529" s="38" t="s">
        <v>5992</v>
      </c>
      <c r="D3529" s="38" t="str">
        <f>IFERROR(__xludf.DUMMYFUNCTION("REGEXREPLACE(C3529,""-\d+(.*)|--\d+(.*)"","""")"),"LA TESTE-DE-BUCH")</f>
        <v>LA TESTE-DE-BUCH</v>
      </c>
      <c r="E3529" s="38" t="s">
        <v>462</v>
      </c>
      <c r="F3529" s="38" t="s">
        <v>252</v>
      </c>
      <c r="G3529" s="49" t="str">
        <f t="shared" si="1"/>
        <v>33260</v>
      </c>
      <c r="H3529" s="49">
        <f t="shared" si="2"/>
        <v>33529</v>
      </c>
    </row>
    <row r="3530">
      <c r="A3530" s="48" t="s">
        <v>2429</v>
      </c>
      <c r="B3530" s="38">
        <v>63039.0</v>
      </c>
      <c r="C3530" s="38" t="s">
        <v>5993</v>
      </c>
      <c r="D3530" s="38" t="str">
        <f>IFERROR(__xludf.DUMMYFUNCTION("REGEXREPLACE(C3530,""-\d+(.*)|--\d+(.*)"","""")"),"BEURIERES")</f>
        <v>BEURIERES</v>
      </c>
      <c r="E3530" s="38" t="s">
        <v>353</v>
      </c>
      <c r="F3530" s="38" t="s">
        <v>161</v>
      </c>
      <c r="G3530" s="49" t="str">
        <f t="shared" si="1"/>
        <v>63220</v>
      </c>
      <c r="H3530" s="49">
        <f t="shared" si="2"/>
        <v>63039</v>
      </c>
    </row>
    <row r="3531">
      <c r="A3531" s="48" t="s">
        <v>1663</v>
      </c>
      <c r="B3531" s="38">
        <v>88509.0</v>
      </c>
      <c r="C3531" s="38" t="s">
        <v>5994</v>
      </c>
      <c r="D3531" s="38" t="str">
        <f>IFERROR(__xludf.DUMMYFUNCTION("REGEXREPLACE(C3531,""-\d+(.*)|--\d+(.*)"","""")"),"VILLONCOURT")</f>
        <v>VILLONCOURT</v>
      </c>
      <c r="E3531" s="38" t="s">
        <v>194</v>
      </c>
      <c r="F3531" s="38" t="s">
        <v>195</v>
      </c>
      <c r="G3531" s="49" t="str">
        <f t="shared" si="1"/>
        <v>88150</v>
      </c>
      <c r="H3531" s="49">
        <f t="shared" si="2"/>
        <v>88509</v>
      </c>
    </row>
    <row r="3532">
      <c r="A3532" s="48" t="s">
        <v>5101</v>
      </c>
      <c r="B3532" s="38">
        <v>54054.0</v>
      </c>
      <c r="C3532" s="38" t="s">
        <v>5995</v>
      </c>
      <c r="D3532" s="38" t="str">
        <f>IFERROR(__xludf.DUMMYFUNCTION("REGEXREPLACE(C3532,""-\d+(.*)|--\d+(.*)"","""")"),"BAYON")</f>
        <v>BAYON</v>
      </c>
      <c r="E3532" s="38" t="s">
        <v>548</v>
      </c>
      <c r="F3532" s="38" t="s">
        <v>195</v>
      </c>
      <c r="G3532" s="49" t="str">
        <f t="shared" si="1"/>
        <v>54290</v>
      </c>
      <c r="H3532" s="49">
        <f t="shared" si="2"/>
        <v>54054</v>
      </c>
    </row>
    <row r="3533">
      <c r="A3533" s="48" t="s">
        <v>5996</v>
      </c>
      <c r="B3533" s="38">
        <v>67521.0</v>
      </c>
      <c r="C3533" s="38" t="s">
        <v>5997</v>
      </c>
      <c r="D3533" s="38" t="str">
        <f>IFERROR(__xludf.DUMMYFUNCTION("REGEXREPLACE(C3533,""-\d+(.*)|--\d+(.*)"","""")"),"WEINBOURG")</f>
        <v>WEINBOURG</v>
      </c>
      <c r="E3533" s="38" t="s">
        <v>210</v>
      </c>
      <c r="F3533" s="38" t="s">
        <v>151</v>
      </c>
      <c r="G3533" s="49" t="str">
        <f t="shared" si="1"/>
        <v>67340</v>
      </c>
      <c r="H3533" s="49">
        <f t="shared" si="2"/>
        <v>67521</v>
      </c>
    </row>
    <row r="3534">
      <c r="A3534" s="48" t="s">
        <v>5998</v>
      </c>
      <c r="B3534" s="38">
        <v>59271.0</v>
      </c>
      <c r="C3534" s="38" t="s">
        <v>5999</v>
      </c>
      <c r="D3534" s="38" t="str">
        <f>IFERROR(__xludf.DUMMYFUNCTION("REGEXREPLACE(C3534,""-\d+(.*)|--\d+(.*)"","""")"),"GRANDE-SYNTHE")</f>
        <v>GRANDE-SYNTHE</v>
      </c>
      <c r="E3534" s="38" t="s">
        <v>85</v>
      </c>
      <c r="F3534" s="38" t="s">
        <v>86</v>
      </c>
      <c r="G3534" s="49" t="str">
        <f t="shared" si="1"/>
        <v>59760</v>
      </c>
      <c r="H3534" s="49">
        <f t="shared" si="2"/>
        <v>59271</v>
      </c>
    </row>
    <row r="3535">
      <c r="A3535" s="48" t="s">
        <v>1128</v>
      </c>
      <c r="B3535" s="38">
        <v>2346.0</v>
      </c>
      <c r="C3535" s="38" t="s">
        <v>6000</v>
      </c>
      <c r="D3535" s="38" t="str">
        <f>IFERROR(__xludf.DUMMYFUNCTION("REGEXREPLACE(C3535,""-\d+(.*)|--\d+(.*)"","""")"),"GIZY")</f>
        <v>GIZY</v>
      </c>
      <c r="E3535" s="38" t="s">
        <v>191</v>
      </c>
      <c r="F3535" s="38" t="s">
        <v>113</v>
      </c>
      <c r="G3535" s="49" t="str">
        <f t="shared" si="1"/>
        <v>02350</v>
      </c>
      <c r="H3535" s="49" t="str">
        <f t="shared" si="2"/>
        <v>02346</v>
      </c>
    </row>
    <row r="3536">
      <c r="A3536" s="48" t="s">
        <v>904</v>
      </c>
      <c r="B3536" s="38">
        <v>69185.0</v>
      </c>
      <c r="C3536" s="38" t="s">
        <v>6001</v>
      </c>
      <c r="D3536" s="38" t="str">
        <f>IFERROR(__xludf.DUMMYFUNCTION("REGEXREPLACE(C3536,""-\d+(.*)|--\d+(.*)"","""")"),"SAINT-CHRISTOPHE")</f>
        <v>SAINT-CHRISTOPHE</v>
      </c>
      <c r="E3536" s="38" t="s">
        <v>350</v>
      </c>
      <c r="F3536" s="38" t="s">
        <v>102</v>
      </c>
      <c r="G3536" s="49" t="str">
        <f t="shared" si="1"/>
        <v>69860</v>
      </c>
      <c r="H3536" s="49">
        <f t="shared" si="2"/>
        <v>69185</v>
      </c>
    </row>
    <row r="3537">
      <c r="A3537" s="48" t="s">
        <v>6002</v>
      </c>
      <c r="B3537" s="38">
        <v>18146.0</v>
      </c>
      <c r="C3537" s="38" t="s">
        <v>6003</v>
      </c>
      <c r="D3537" s="38" t="str">
        <f>IFERROR(__xludf.DUMMYFUNCTION("REGEXREPLACE(C3537,""-\d+(.*)|--\d+(.*)"","""")"),"MENETREOL-SOUS-SANCERRE")</f>
        <v>MENETREOL-SOUS-SANCERRE</v>
      </c>
      <c r="E3537" s="38" t="s">
        <v>504</v>
      </c>
      <c r="F3537" s="38" t="s">
        <v>123</v>
      </c>
      <c r="G3537" s="49" t="str">
        <f t="shared" si="1"/>
        <v>18300</v>
      </c>
      <c r="H3537" s="49">
        <f t="shared" si="2"/>
        <v>18146</v>
      </c>
    </row>
    <row r="3538">
      <c r="A3538" s="48" t="s">
        <v>942</v>
      </c>
      <c r="B3538" s="38">
        <v>2667.0</v>
      </c>
      <c r="C3538" s="38" t="s">
        <v>6004</v>
      </c>
      <c r="D3538" s="38" t="str">
        <f>IFERROR(__xludf.DUMMYFUNCTION("REGEXREPLACE(C3538,""-\d+(.*)|--\d+(.*)"","""")"),"SACONIN-ET-BREUIL")</f>
        <v>SACONIN-ET-BREUIL</v>
      </c>
      <c r="E3538" s="38" t="s">
        <v>191</v>
      </c>
      <c r="F3538" s="38" t="s">
        <v>113</v>
      </c>
      <c r="G3538" s="49" t="str">
        <f t="shared" si="1"/>
        <v>02200</v>
      </c>
      <c r="H3538" s="49" t="str">
        <f t="shared" si="2"/>
        <v>02667</v>
      </c>
    </row>
    <row r="3539">
      <c r="A3539" s="48" t="s">
        <v>2194</v>
      </c>
      <c r="B3539" s="38">
        <v>38215.0</v>
      </c>
      <c r="C3539" s="38" t="s">
        <v>6005</v>
      </c>
      <c r="D3539" s="38" t="str">
        <f>IFERROR(__xludf.DUMMYFUNCTION("REGEXREPLACE(C3539,""-\d+(.*)|--\d+(.*)"","""")"),"LUZINAY")</f>
        <v>LUZINAY</v>
      </c>
      <c r="E3539" s="38" t="s">
        <v>101</v>
      </c>
      <c r="F3539" s="38" t="s">
        <v>102</v>
      </c>
      <c r="G3539" s="49" t="str">
        <f t="shared" si="1"/>
        <v>38200</v>
      </c>
      <c r="H3539" s="49">
        <f t="shared" si="2"/>
        <v>38215</v>
      </c>
    </row>
    <row r="3540">
      <c r="A3540" s="48" t="s">
        <v>711</v>
      </c>
      <c r="B3540" s="38">
        <v>49364.0</v>
      </c>
      <c r="C3540" s="38" t="s">
        <v>6006</v>
      </c>
      <c r="D3540" s="38" t="str">
        <f>IFERROR(__xludf.DUMMYFUNCTION("REGEXREPLACE(C3540,""-\d+(.*)|--\d+(.*)"","""")"),"VAUDELNAY")</f>
        <v>VAUDELNAY</v>
      </c>
      <c r="E3540" s="38" t="s">
        <v>653</v>
      </c>
      <c r="F3540" s="38" t="s">
        <v>180</v>
      </c>
      <c r="G3540" s="49" t="str">
        <f t="shared" si="1"/>
        <v>49260</v>
      </c>
      <c r="H3540" s="49">
        <f t="shared" si="2"/>
        <v>49364</v>
      </c>
    </row>
    <row r="3541">
      <c r="A3541" s="48" t="s">
        <v>6007</v>
      </c>
      <c r="B3541" s="38">
        <v>24231.0</v>
      </c>
      <c r="C3541" s="38" t="s">
        <v>6008</v>
      </c>
      <c r="D3541" s="38" t="str">
        <f>IFERROR(__xludf.DUMMYFUNCTION("REGEXREPLACE(C3541,""-\d+(.*)|--\d+(.*)"","""")"),"LAVALADE")</f>
        <v>LAVALADE</v>
      </c>
      <c r="E3541" s="38" t="s">
        <v>261</v>
      </c>
      <c r="F3541" s="38" t="s">
        <v>252</v>
      </c>
      <c r="G3541" s="49" t="str">
        <f t="shared" si="1"/>
        <v>24540</v>
      </c>
      <c r="H3541" s="49">
        <f t="shared" si="2"/>
        <v>24231</v>
      </c>
    </row>
    <row r="3542">
      <c r="A3542" s="48" t="s">
        <v>3056</v>
      </c>
      <c r="B3542" s="38">
        <v>24108.0</v>
      </c>
      <c r="C3542" s="38" t="s">
        <v>6009</v>
      </c>
      <c r="D3542" s="38" t="str">
        <f>IFERROR(__xludf.DUMMYFUNCTION("REGEXREPLACE(C3542,""-\d+(.*)|--\d+(.*)"","""")"),"LA CHAPELLE-GONAGUET")</f>
        <v>LA CHAPELLE-GONAGUET</v>
      </c>
      <c r="E3542" s="38" t="s">
        <v>261</v>
      </c>
      <c r="F3542" s="38" t="s">
        <v>252</v>
      </c>
      <c r="G3542" s="49" t="str">
        <f t="shared" si="1"/>
        <v>24350</v>
      </c>
      <c r="H3542" s="49">
        <f t="shared" si="2"/>
        <v>24108</v>
      </c>
    </row>
    <row r="3543">
      <c r="A3543" s="48" t="s">
        <v>5398</v>
      </c>
      <c r="B3543" s="38">
        <v>64309.0</v>
      </c>
      <c r="C3543" s="38" t="s">
        <v>6010</v>
      </c>
      <c r="D3543" s="38" t="str">
        <f>IFERROR(__xludf.DUMMYFUNCTION("REGEXREPLACE(C3543,""-\d+(.*)|--\d+(.*)"","""")"),"LAMAYOU")</f>
        <v>LAMAYOU</v>
      </c>
      <c r="E3543" s="38" t="s">
        <v>268</v>
      </c>
      <c r="F3543" s="38" t="s">
        <v>252</v>
      </c>
      <c r="G3543" s="49" t="str">
        <f t="shared" si="1"/>
        <v>64460</v>
      </c>
      <c r="H3543" s="49">
        <f t="shared" si="2"/>
        <v>64309</v>
      </c>
    </row>
    <row r="3544">
      <c r="A3544" s="48" t="s">
        <v>2573</v>
      </c>
      <c r="B3544" s="38">
        <v>31136.0</v>
      </c>
      <c r="C3544" s="38" t="s">
        <v>6011</v>
      </c>
      <c r="D3544" s="38" t="str">
        <f>IFERROR(__xludf.DUMMYFUNCTION("REGEXREPLACE(C3544,""-\d+(.*)|--\d+(.*)"","""")"),"CEPET")</f>
        <v>CEPET</v>
      </c>
      <c r="E3544" s="38" t="s">
        <v>93</v>
      </c>
      <c r="F3544" s="38" t="s">
        <v>94</v>
      </c>
      <c r="G3544" s="49" t="str">
        <f t="shared" si="1"/>
        <v>31620</v>
      </c>
      <c r="H3544" s="49">
        <f t="shared" si="2"/>
        <v>31136</v>
      </c>
    </row>
    <row r="3545">
      <c r="A3545" s="48" t="s">
        <v>3418</v>
      </c>
      <c r="B3545" s="38">
        <v>47020.0</v>
      </c>
      <c r="C3545" s="38" t="s">
        <v>6012</v>
      </c>
      <c r="D3545" s="38" t="str">
        <f>IFERROR(__xludf.DUMMYFUNCTION("REGEXREPLACE(C3545,""-\d+(.*)|--\d+(.*)"","""")"),"BALEYSSAGUES")</f>
        <v>BALEYSSAGUES</v>
      </c>
      <c r="E3545" s="38" t="s">
        <v>251</v>
      </c>
      <c r="F3545" s="38" t="s">
        <v>252</v>
      </c>
      <c r="G3545" s="49" t="str">
        <f t="shared" si="1"/>
        <v>47120</v>
      </c>
      <c r="H3545" s="49">
        <f t="shared" si="2"/>
        <v>47020</v>
      </c>
    </row>
    <row r="3546">
      <c r="A3546" s="48" t="s">
        <v>2708</v>
      </c>
      <c r="B3546" s="38">
        <v>70069.0</v>
      </c>
      <c r="C3546" s="38" t="s">
        <v>6013</v>
      </c>
      <c r="D3546" s="38" t="str">
        <f>IFERROR(__xludf.DUMMYFUNCTION("REGEXREPLACE(C3546,""-\d+(.*)|--\d+(.*)"","""")"),"BETONCOURT-SAINT-PANCRAS")</f>
        <v>BETONCOURT-SAINT-PANCRAS</v>
      </c>
      <c r="E3546" s="38" t="s">
        <v>956</v>
      </c>
      <c r="F3546" s="38" t="s">
        <v>214</v>
      </c>
      <c r="G3546" s="49" t="str">
        <f t="shared" si="1"/>
        <v>70210</v>
      </c>
      <c r="H3546" s="49">
        <f t="shared" si="2"/>
        <v>70069</v>
      </c>
    </row>
    <row r="3547">
      <c r="A3547" s="48" t="s">
        <v>155</v>
      </c>
      <c r="B3547" s="38">
        <v>50537.0</v>
      </c>
      <c r="C3547" s="38" t="s">
        <v>6014</v>
      </c>
      <c r="D3547" s="38" t="str">
        <f>IFERROR(__xludf.DUMMYFUNCTION("REGEXREPLACE(C3547,""-\d+(.*)|--\d+(.*)"","""")"),"SAINT-PIERRE-DE-COUTANCES")</f>
        <v>SAINT-PIERRE-DE-COUTANCES</v>
      </c>
      <c r="E3547" s="38" t="s">
        <v>157</v>
      </c>
      <c r="F3547" s="38" t="s">
        <v>138</v>
      </c>
      <c r="G3547" s="49" t="str">
        <f t="shared" si="1"/>
        <v>50200</v>
      </c>
      <c r="H3547" s="49">
        <f t="shared" si="2"/>
        <v>50537</v>
      </c>
    </row>
    <row r="3548">
      <c r="A3548" s="48" t="s">
        <v>436</v>
      </c>
      <c r="B3548" s="38">
        <v>51277.0</v>
      </c>
      <c r="C3548" s="38" t="s">
        <v>6015</v>
      </c>
      <c r="D3548" s="38" t="str">
        <f>IFERROR(__xludf.DUMMYFUNCTION("REGEXREPLACE(C3548,""-\d+(.*)|--\d+(.*)"","""")"),"SAINTE-MARIE-DU-LAC-NUISEMENT")</f>
        <v>SAINTE-MARIE-DU-LAC-NUISEMENT</v>
      </c>
      <c r="E3548" s="38" t="s">
        <v>129</v>
      </c>
      <c r="F3548" s="38" t="s">
        <v>130</v>
      </c>
      <c r="G3548" s="49" t="str">
        <f t="shared" si="1"/>
        <v>51290</v>
      </c>
      <c r="H3548" s="49">
        <f t="shared" si="2"/>
        <v>51277</v>
      </c>
    </row>
    <row r="3549">
      <c r="A3549" s="48" t="s">
        <v>6016</v>
      </c>
      <c r="B3549" s="38">
        <v>57604.0</v>
      </c>
      <c r="C3549" s="38" t="s">
        <v>6017</v>
      </c>
      <c r="D3549" s="38" t="str">
        <f>IFERROR(__xludf.DUMMYFUNCTION("REGEXREPLACE(C3549,""-\d+(.*)|--\d+(.*)"","""")"),"RUSTROFF")</f>
        <v>RUSTROFF</v>
      </c>
      <c r="E3549" s="38" t="s">
        <v>303</v>
      </c>
      <c r="F3549" s="38" t="s">
        <v>195</v>
      </c>
      <c r="G3549" s="49" t="str">
        <f t="shared" si="1"/>
        <v>57480</v>
      </c>
      <c r="H3549" s="49">
        <f t="shared" si="2"/>
        <v>57604</v>
      </c>
    </row>
    <row r="3550">
      <c r="A3550" s="48" t="s">
        <v>3100</v>
      </c>
      <c r="B3550" s="38">
        <v>7241.0</v>
      </c>
      <c r="C3550" s="38" t="s">
        <v>6018</v>
      </c>
      <c r="D3550" s="38" t="str">
        <f>IFERROR(__xludf.DUMMYFUNCTION("REGEXREPLACE(C3550,""-\d+(.*)|--\d+(.*)"","""")"),"SAINT-GERMAIN")</f>
        <v>SAINT-GERMAIN</v>
      </c>
      <c r="E3550" s="38" t="s">
        <v>144</v>
      </c>
      <c r="F3550" s="38" t="s">
        <v>102</v>
      </c>
      <c r="G3550" s="49" t="str">
        <f t="shared" si="1"/>
        <v>07170</v>
      </c>
      <c r="H3550" s="49" t="str">
        <f t="shared" si="2"/>
        <v>07241</v>
      </c>
    </row>
    <row r="3551">
      <c r="A3551" s="48" t="s">
        <v>6019</v>
      </c>
      <c r="B3551" s="38">
        <v>39262.0</v>
      </c>
      <c r="C3551" s="38" t="s">
        <v>6020</v>
      </c>
      <c r="D3551" s="38" t="str">
        <f>IFERROR(__xludf.DUMMYFUNCTION("REGEXREPLACE(C3551,""-\d+(.*)|--\d+(.*)"","""")"),"GREDISANS")</f>
        <v>GREDISANS</v>
      </c>
      <c r="E3551" s="38" t="s">
        <v>400</v>
      </c>
      <c r="F3551" s="38" t="s">
        <v>214</v>
      </c>
      <c r="G3551" s="49" t="str">
        <f t="shared" si="1"/>
        <v>39290</v>
      </c>
      <c r="H3551" s="49">
        <f t="shared" si="2"/>
        <v>39262</v>
      </c>
    </row>
    <row r="3552">
      <c r="A3552" s="48" t="s">
        <v>6021</v>
      </c>
      <c r="B3552" s="38">
        <v>30288.0</v>
      </c>
      <c r="C3552" s="38" t="s">
        <v>5053</v>
      </c>
      <c r="D3552" s="38" t="str">
        <f>IFERROR(__xludf.DUMMYFUNCTION("REGEXREPLACE(C3552,""-\d+(.*)|--\d+(.*)"","""")"),"SAINT-NAZAIRE")</f>
        <v>SAINT-NAZAIRE</v>
      </c>
      <c r="E3552" s="38" t="s">
        <v>526</v>
      </c>
      <c r="F3552" s="38" t="s">
        <v>119</v>
      </c>
      <c r="G3552" s="49" t="str">
        <f t="shared" si="1"/>
        <v>30200</v>
      </c>
      <c r="H3552" s="49">
        <f t="shared" si="2"/>
        <v>30288</v>
      </c>
    </row>
    <row r="3553">
      <c r="A3553" s="48" t="s">
        <v>438</v>
      </c>
      <c r="B3553" s="38">
        <v>32451.0</v>
      </c>
      <c r="C3553" s="38" t="s">
        <v>6022</v>
      </c>
      <c r="D3553" s="38" t="str">
        <f>IFERROR(__xludf.DUMMYFUNCTION("REGEXREPLACE(C3553,""-\d+(.*)|--\d+(.*)"","""")"),"TOURNAN")</f>
        <v>TOURNAN</v>
      </c>
      <c r="E3553" s="38" t="s">
        <v>440</v>
      </c>
      <c r="F3553" s="38" t="s">
        <v>94</v>
      </c>
      <c r="G3553" s="49" t="str">
        <f t="shared" si="1"/>
        <v>32420</v>
      </c>
      <c r="H3553" s="49">
        <f t="shared" si="2"/>
        <v>32451</v>
      </c>
    </row>
    <row r="3554">
      <c r="A3554" s="48" t="s">
        <v>6023</v>
      </c>
      <c r="B3554" s="38">
        <v>63417.0</v>
      </c>
      <c r="C3554" s="38" t="s">
        <v>6024</v>
      </c>
      <c r="D3554" s="38" t="str">
        <f>IFERROR(__xludf.DUMMYFUNCTION("REGEXREPLACE(C3554,""-\d+(.*)|--\d+(.*)"","""")"),"SAYAT")</f>
        <v>SAYAT</v>
      </c>
      <c r="E3554" s="38" t="s">
        <v>353</v>
      </c>
      <c r="F3554" s="38" t="s">
        <v>161</v>
      </c>
      <c r="G3554" s="49" t="str">
        <f t="shared" si="1"/>
        <v>63530</v>
      </c>
      <c r="H3554" s="49">
        <f t="shared" si="2"/>
        <v>63417</v>
      </c>
    </row>
    <row r="3555">
      <c r="A3555" s="48" t="s">
        <v>6025</v>
      </c>
      <c r="B3555" s="38">
        <v>31523.0</v>
      </c>
      <c r="C3555" s="38" t="s">
        <v>6026</v>
      </c>
      <c r="D3555" s="38" t="str">
        <f>IFERROR(__xludf.DUMMYFUNCTION("REGEXREPLACE(C3555,""-\d+(.*)|--\d+(.*)"","""")"),"SALIES-DU-SALAT")</f>
        <v>SALIES-DU-SALAT</v>
      </c>
      <c r="E3555" s="38" t="s">
        <v>93</v>
      </c>
      <c r="F3555" s="38" t="s">
        <v>94</v>
      </c>
      <c r="G3555" s="49" t="str">
        <f t="shared" si="1"/>
        <v>31260</v>
      </c>
      <c r="H3555" s="49">
        <f t="shared" si="2"/>
        <v>31523</v>
      </c>
    </row>
    <row r="3556">
      <c r="A3556" s="48" t="s">
        <v>2946</v>
      </c>
      <c r="B3556" s="38">
        <v>51197.0</v>
      </c>
      <c r="C3556" s="38" t="s">
        <v>6027</v>
      </c>
      <c r="D3556" s="38" t="str">
        <f>IFERROR(__xludf.DUMMYFUNCTION("REGEXREPLACE(C3556,""-\d+(.*)|--\d+(.*)"","""")"),"LA CROIX-EN-CHAMPAGNE")</f>
        <v>LA CROIX-EN-CHAMPAGNE</v>
      </c>
      <c r="E3556" s="38" t="s">
        <v>129</v>
      </c>
      <c r="F3556" s="38" t="s">
        <v>130</v>
      </c>
      <c r="G3556" s="49" t="str">
        <f t="shared" si="1"/>
        <v>51600</v>
      </c>
      <c r="H3556" s="49">
        <f t="shared" si="2"/>
        <v>51197</v>
      </c>
    </row>
    <row r="3557">
      <c r="A3557" s="48" t="s">
        <v>2868</v>
      </c>
      <c r="B3557" s="38">
        <v>80223.0</v>
      </c>
      <c r="C3557" s="38" t="s">
        <v>6028</v>
      </c>
      <c r="D3557" s="38" t="str">
        <f>IFERROR(__xludf.DUMMYFUNCTION("REGEXREPLACE(C3557,""-\d+(.*)|--\d+(.*)"","""")"),"CREMERY")</f>
        <v>CREMERY</v>
      </c>
      <c r="E3557" s="38" t="s">
        <v>224</v>
      </c>
      <c r="F3557" s="38" t="s">
        <v>113</v>
      </c>
      <c r="G3557" s="49" t="str">
        <f t="shared" si="1"/>
        <v>80700</v>
      </c>
      <c r="H3557" s="49">
        <f t="shared" si="2"/>
        <v>80223</v>
      </c>
    </row>
    <row r="3558">
      <c r="A3558" s="48" t="s">
        <v>5166</v>
      </c>
      <c r="B3558" s="38">
        <v>26204.0</v>
      </c>
      <c r="C3558" s="38" t="s">
        <v>6029</v>
      </c>
      <c r="D3558" s="38" t="str">
        <f>IFERROR(__xludf.DUMMYFUNCTION("REGEXREPLACE(C3558,""-\d+(.*)|--\d+(.*)"","""")"),"MONTLAUR-EN-DIOIS")</f>
        <v>MONTLAUR-EN-DIOIS</v>
      </c>
      <c r="E3558" s="38" t="s">
        <v>126</v>
      </c>
      <c r="F3558" s="38" t="s">
        <v>102</v>
      </c>
      <c r="G3558" s="49" t="str">
        <f t="shared" si="1"/>
        <v>26310</v>
      </c>
      <c r="H3558" s="49">
        <f t="shared" si="2"/>
        <v>26204</v>
      </c>
    </row>
    <row r="3559">
      <c r="A3559" s="48" t="s">
        <v>2779</v>
      </c>
      <c r="B3559" s="38">
        <v>80208.0</v>
      </c>
      <c r="C3559" s="38" t="s">
        <v>6030</v>
      </c>
      <c r="D3559" s="38" t="str">
        <f>IFERROR(__xludf.DUMMYFUNCTION("REGEXREPLACE(C3559,""-\d+(.*)|--\d+(.*)"","""")"),"CONTEVILLE")</f>
        <v>CONTEVILLE</v>
      </c>
      <c r="E3559" s="38" t="s">
        <v>224</v>
      </c>
      <c r="F3559" s="38" t="s">
        <v>113</v>
      </c>
      <c r="G3559" s="49" t="str">
        <f t="shared" si="1"/>
        <v>80370</v>
      </c>
      <c r="H3559" s="49">
        <f t="shared" si="2"/>
        <v>80208</v>
      </c>
    </row>
    <row r="3560">
      <c r="A3560" s="48" t="s">
        <v>5831</v>
      </c>
      <c r="B3560" s="38">
        <v>5160.0</v>
      </c>
      <c r="C3560" s="38" t="s">
        <v>6031</v>
      </c>
      <c r="D3560" s="38" t="str">
        <f>IFERROR(__xludf.DUMMYFUNCTION("REGEXREPLACE(C3560,""-\d+(.*)|--\d+(.*)"","""")"),"SALERANS")</f>
        <v>SALERANS</v>
      </c>
      <c r="E3560" s="38" t="s">
        <v>706</v>
      </c>
      <c r="F3560" s="38" t="s">
        <v>228</v>
      </c>
      <c r="G3560" s="49" t="str">
        <f t="shared" si="1"/>
        <v>05300</v>
      </c>
      <c r="H3560" s="49" t="str">
        <f t="shared" si="2"/>
        <v>05160</v>
      </c>
    </row>
    <row r="3561">
      <c r="A3561" s="48" t="s">
        <v>2701</v>
      </c>
      <c r="B3561" s="38">
        <v>17356.0</v>
      </c>
      <c r="C3561" s="38" t="s">
        <v>1320</v>
      </c>
      <c r="D3561" s="38" t="str">
        <f>IFERROR(__xludf.DUMMYFUNCTION("REGEXREPLACE(C3561,""-\d+(.*)|--\d+(.*)"","""")"),"SAINT-LOUP")</f>
        <v>SAINT-LOUP</v>
      </c>
      <c r="E3561" s="38" t="s">
        <v>488</v>
      </c>
      <c r="F3561" s="38" t="s">
        <v>338</v>
      </c>
      <c r="G3561" s="49" t="str">
        <f t="shared" si="1"/>
        <v>17380</v>
      </c>
      <c r="H3561" s="49">
        <f t="shared" si="2"/>
        <v>17356</v>
      </c>
    </row>
    <row r="3562">
      <c r="A3562" s="48" t="s">
        <v>6032</v>
      </c>
      <c r="B3562" s="38">
        <v>4211.0</v>
      </c>
      <c r="C3562" s="38" t="s">
        <v>6033</v>
      </c>
      <c r="D3562" s="38" t="str">
        <f>IFERROR(__xludf.DUMMYFUNCTION("REGEXREPLACE(C3562,""-\d+(.*)|--\d+(.*)"","""")"),"SOURRIBES")</f>
        <v>SOURRIBES</v>
      </c>
      <c r="E3562" s="38" t="s">
        <v>662</v>
      </c>
      <c r="F3562" s="38" t="s">
        <v>228</v>
      </c>
      <c r="G3562" s="49" t="str">
        <f t="shared" si="1"/>
        <v>04290</v>
      </c>
      <c r="H3562" s="49" t="str">
        <f t="shared" si="2"/>
        <v>04211</v>
      </c>
    </row>
    <row r="3563">
      <c r="A3563" s="48" t="s">
        <v>6034</v>
      </c>
      <c r="B3563" s="38">
        <v>69170.0</v>
      </c>
      <c r="C3563" s="38" t="s">
        <v>6035</v>
      </c>
      <c r="D3563" s="38" t="str">
        <f>IFERROR(__xludf.DUMMYFUNCTION("REGEXREPLACE(C3563,""-\d+(.*)|--\d+(.*)"","""")"),"RONTALON")</f>
        <v>RONTALON</v>
      </c>
      <c r="E3563" s="38" t="s">
        <v>350</v>
      </c>
      <c r="F3563" s="38" t="s">
        <v>102</v>
      </c>
      <c r="G3563" s="49" t="str">
        <f t="shared" si="1"/>
        <v>69510</v>
      </c>
      <c r="H3563" s="49">
        <f t="shared" si="2"/>
        <v>69170</v>
      </c>
    </row>
    <row r="3564">
      <c r="A3564" s="48" t="s">
        <v>6036</v>
      </c>
      <c r="B3564" s="38">
        <v>13104.0</v>
      </c>
      <c r="C3564" s="38" t="s">
        <v>6037</v>
      </c>
      <c r="D3564" s="38" t="str">
        <f>IFERROR(__xludf.DUMMYFUNCTION("REGEXREPLACE(C3564,""-\d+(.*)|--\d+(.*)"","""")"),"SAUSSET-LES-PINS")</f>
        <v>SAUSSET-LES-PINS</v>
      </c>
      <c r="E3564" s="38" t="s">
        <v>980</v>
      </c>
      <c r="F3564" s="38" t="s">
        <v>228</v>
      </c>
      <c r="G3564" s="49" t="str">
        <f t="shared" si="1"/>
        <v>13960</v>
      </c>
      <c r="H3564" s="49">
        <f t="shared" si="2"/>
        <v>13104</v>
      </c>
    </row>
    <row r="3565">
      <c r="A3565" s="48" t="s">
        <v>6038</v>
      </c>
      <c r="B3565" s="38">
        <v>88353.0</v>
      </c>
      <c r="C3565" s="38" t="s">
        <v>6039</v>
      </c>
      <c r="D3565" s="38" t="str">
        <f>IFERROR(__xludf.DUMMYFUNCTION("REGEXREPLACE(C3565,""-\d+(.*)|--\d+(.*)"","""")"),"PONT-LES-BONFAYS")</f>
        <v>PONT-LES-BONFAYS</v>
      </c>
      <c r="E3565" s="38" t="s">
        <v>194</v>
      </c>
      <c r="F3565" s="38" t="s">
        <v>195</v>
      </c>
      <c r="G3565" s="49" t="str">
        <f t="shared" si="1"/>
        <v>88260</v>
      </c>
      <c r="H3565" s="49">
        <f t="shared" si="2"/>
        <v>88353</v>
      </c>
    </row>
    <row r="3566">
      <c r="A3566" s="48" t="s">
        <v>3158</v>
      </c>
      <c r="B3566" s="38">
        <v>50096.0</v>
      </c>
      <c r="C3566" s="38" t="s">
        <v>6040</v>
      </c>
      <c r="D3566" s="38" t="str">
        <f>IFERROR(__xludf.DUMMYFUNCTION("REGEXREPLACE(C3566,""-\d+(.*)|--\d+(.*)"","""")"),"CANTELOUP")</f>
        <v>CANTELOUP</v>
      </c>
      <c r="E3566" s="38" t="s">
        <v>157</v>
      </c>
      <c r="F3566" s="38" t="s">
        <v>138</v>
      </c>
      <c r="G3566" s="49" t="str">
        <f t="shared" si="1"/>
        <v>50330</v>
      </c>
      <c r="H3566" s="49">
        <f t="shared" si="2"/>
        <v>50096</v>
      </c>
    </row>
    <row r="3567">
      <c r="A3567" s="48" t="s">
        <v>4006</v>
      </c>
      <c r="B3567" s="38">
        <v>67217.0</v>
      </c>
      <c r="C3567" s="38" t="s">
        <v>6041</v>
      </c>
      <c r="D3567" s="38" t="str">
        <f>IFERROR(__xludf.DUMMYFUNCTION("REGEXREPLACE(C3567,""-\d+(.*)|--\d+(.*)"","""")"),"ICHTRATZHEIM")</f>
        <v>ICHTRATZHEIM</v>
      </c>
      <c r="E3567" s="38" t="s">
        <v>210</v>
      </c>
      <c r="F3567" s="38" t="s">
        <v>151</v>
      </c>
      <c r="G3567" s="49" t="str">
        <f t="shared" si="1"/>
        <v>67640</v>
      </c>
      <c r="H3567" s="49">
        <f t="shared" si="2"/>
        <v>67217</v>
      </c>
    </row>
    <row r="3568">
      <c r="A3568" s="48" t="s">
        <v>1437</v>
      </c>
      <c r="B3568" s="38">
        <v>39471.0</v>
      </c>
      <c r="C3568" s="38" t="s">
        <v>6042</v>
      </c>
      <c r="D3568" s="38" t="str">
        <f>IFERROR(__xludf.DUMMYFUNCTION("REGEXREPLACE(C3568,""-\d+(.*)|--\d+(.*)"","""")"),"RUFFEY-SUR-SEILLE")</f>
        <v>RUFFEY-SUR-SEILLE</v>
      </c>
      <c r="E3568" s="38" t="s">
        <v>400</v>
      </c>
      <c r="F3568" s="38" t="s">
        <v>214</v>
      </c>
      <c r="G3568" s="49" t="str">
        <f t="shared" si="1"/>
        <v>39140</v>
      </c>
      <c r="H3568" s="49">
        <f t="shared" si="2"/>
        <v>39471</v>
      </c>
    </row>
    <row r="3569">
      <c r="A3569" s="48" t="s">
        <v>6043</v>
      </c>
      <c r="B3569" s="38">
        <v>30198.0</v>
      </c>
      <c r="C3569" s="38" t="s">
        <v>6044</v>
      </c>
      <c r="D3569" s="38" t="str">
        <f>IFERROR(__xludf.DUMMYFUNCTION("REGEXREPLACE(C3569,""-\d+(.*)|--\d+(.*)"","""")"),"LES PLANTIERS")</f>
        <v>LES PLANTIERS</v>
      </c>
      <c r="E3569" s="38" t="s">
        <v>526</v>
      </c>
      <c r="F3569" s="38" t="s">
        <v>119</v>
      </c>
      <c r="G3569" s="49" t="str">
        <f t="shared" si="1"/>
        <v>30122</v>
      </c>
      <c r="H3569" s="49">
        <f t="shared" si="2"/>
        <v>30198</v>
      </c>
    </row>
    <row r="3570">
      <c r="A3570" s="48" t="s">
        <v>3465</v>
      </c>
      <c r="B3570" s="38">
        <v>11058.0</v>
      </c>
      <c r="C3570" s="38" t="s">
        <v>6045</v>
      </c>
      <c r="D3570" s="38" t="str">
        <f>IFERROR(__xludf.DUMMYFUNCTION("REGEXREPLACE(C3570,""-\d+(.*)|--\d+(.*)"","""")"),"CAILHAU")</f>
        <v>CAILHAU</v>
      </c>
      <c r="E3570" s="38" t="s">
        <v>278</v>
      </c>
      <c r="F3570" s="38" t="s">
        <v>119</v>
      </c>
      <c r="G3570" s="49" t="str">
        <f t="shared" si="1"/>
        <v>11240</v>
      </c>
      <c r="H3570" s="49">
        <f t="shared" si="2"/>
        <v>11058</v>
      </c>
    </row>
    <row r="3571">
      <c r="A3571" s="48" t="s">
        <v>6038</v>
      </c>
      <c r="B3571" s="38">
        <v>88052.0</v>
      </c>
      <c r="C3571" s="38" t="s">
        <v>6046</v>
      </c>
      <c r="D3571" s="38" t="str">
        <f>IFERROR(__xludf.DUMMYFUNCTION("REGEXREPLACE(C3571,""-\d+(.*)|--\d+(.*)"","""")"),"BELRUPT")</f>
        <v>BELRUPT</v>
      </c>
      <c r="E3571" s="38" t="s">
        <v>194</v>
      </c>
      <c r="F3571" s="38" t="s">
        <v>195</v>
      </c>
      <c r="G3571" s="49" t="str">
        <f t="shared" si="1"/>
        <v>88260</v>
      </c>
      <c r="H3571" s="49">
        <f t="shared" si="2"/>
        <v>88052</v>
      </c>
    </row>
    <row r="3572">
      <c r="A3572" s="48" t="s">
        <v>6047</v>
      </c>
      <c r="B3572" s="38">
        <v>38240.0</v>
      </c>
      <c r="C3572" s="38" t="s">
        <v>6048</v>
      </c>
      <c r="D3572" s="38" t="str">
        <f>IFERROR(__xludf.DUMMYFUNCTION("REGEXREPLACE(C3572,""-\d+(.*)|--\d+(.*)"","""")"),"MOISSIEU-SUR-DOLON")</f>
        <v>MOISSIEU-SUR-DOLON</v>
      </c>
      <c r="E3572" s="38" t="s">
        <v>101</v>
      </c>
      <c r="F3572" s="38" t="s">
        <v>102</v>
      </c>
      <c r="G3572" s="49" t="str">
        <f t="shared" si="1"/>
        <v>38270</v>
      </c>
      <c r="H3572" s="49">
        <f t="shared" si="2"/>
        <v>38240</v>
      </c>
    </row>
    <row r="3573">
      <c r="A3573" s="48" t="s">
        <v>6049</v>
      </c>
      <c r="B3573" s="38">
        <v>42302.0</v>
      </c>
      <c r="C3573" s="38" t="s">
        <v>6050</v>
      </c>
      <c r="D3573" s="38" t="str">
        <f>IFERROR(__xludf.DUMMYFUNCTION("REGEXREPLACE(C3573,""-\d+(.*)|--\d+(.*)"","""")"),"SORBIERS")</f>
        <v>SORBIERS</v>
      </c>
      <c r="E3573" s="38" t="s">
        <v>166</v>
      </c>
      <c r="F3573" s="38" t="s">
        <v>102</v>
      </c>
      <c r="G3573" s="49" t="str">
        <f t="shared" si="1"/>
        <v>42290</v>
      </c>
      <c r="H3573" s="49">
        <f t="shared" si="2"/>
        <v>42302</v>
      </c>
    </row>
    <row r="3574">
      <c r="A3574" s="48" t="s">
        <v>4579</v>
      </c>
      <c r="B3574" s="38">
        <v>81180.0</v>
      </c>
      <c r="C3574" s="38" t="s">
        <v>6051</v>
      </c>
      <c r="D3574" s="38" t="str">
        <f>IFERROR(__xludf.DUMMYFUNCTION("REGEXREPLACE(C3574,""-\d+(.*)|--\d+(.*)"","""")"),"MONTIRAT")</f>
        <v>MONTIRAT</v>
      </c>
      <c r="E3574" s="38" t="s">
        <v>231</v>
      </c>
      <c r="F3574" s="38" t="s">
        <v>94</v>
      </c>
      <c r="G3574" s="49" t="str">
        <f t="shared" si="1"/>
        <v>81190</v>
      </c>
      <c r="H3574" s="49">
        <f t="shared" si="2"/>
        <v>81180</v>
      </c>
    </row>
    <row r="3575">
      <c r="A3575" s="48" t="s">
        <v>6052</v>
      </c>
      <c r="B3575" s="38">
        <v>5071.0</v>
      </c>
      <c r="C3575" s="38" t="s">
        <v>6053</v>
      </c>
      <c r="D3575" s="38" t="str">
        <f>IFERROR(__xludf.DUMMYFUNCTION("REGEXREPLACE(C3575,""-\d+(.*)|--\d+(.*)"","""")"),"LARDIER-ET-VALENCA")</f>
        <v>LARDIER-ET-VALENCA</v>
      </c>
      <c r="E3575" s="38" t="s">
        <v>706</v>
      </c>
      <c r="F3575" s="38" t="s">
        <v>228</v>
      </c>
      <c r="G3575" s="49" t="str">
        <f t="shared" si="1"/>
        <v>05110</v>
      </c>
      <c r="H3575" s="49" t="str">
        <f t="shared" si="2"/>
        <v>05071</v>
      </c>
    </row>
    <row r="3576">
      <c r="A3576" s="48" t="s">
        <v>4036</v>
      </c>
      <c r="B3576" s="38">
        <v>49367.0</v>
      </c>
      <c r="C3576" s="38" t="s">
        <v>6054</v>
      </c>
      <c r="D3576" s="38" t="str">
        <f>IFERROR(__xludf.DUMMYFUNCTION("REGEXREPLACE(C3576,""-\d+(.*)|--\d+(.*)"","""")"),"VERN-D'ANJOU")</f>
        <v>VERN-D'ANJOU</v>
      </c>
      <c r="E3576" s="38" t="s">
        <v>653</v>
      </c>
      <c r="F3576" s="38" t="s">
        <v>180</v>
      </c>
      <c r="G3576" s="49" t="str">
        <f t="shared" si="1"/>
        <v>49220</v>
      </c>
      <c r="H3576" s="49">
        <f t="shared" si="2"/>
        <v>49367</v>
      </c>
    </row>
    <row r="3577">
      <c r="A3577" s="48" t="s">
        <v>6055</v>
      </c>
      <c r="B3577" s="38">
        <v>25447.0</v>
      </c>
      <c r="C3577" s="38" t="s">
        <v>6056</v>
      </c>
      <c r="D3577" s="38" t="str">
        <f>IFERROR(__xludf.DUMMYFUNCTION("REGEXREPLACE(C3577,""-\d+(.*)|--\d+(.*)"","""")"),"PASSONFONTAINE")</f>
        <v>PASSONFONTAINE</v>
      </c>
      <c r="E3577" s="38" t="s">
        <v>213</v>
      </c>
      <c r="F3577" s="38" t="s">
        <v>214</v>
      </c>
      <c r="G3577" s="49" t="str">
        <f t="shared" si="1"/>
        <v>25690</v>
      </c>
      <c r="H3577" s="49">
        <f t="shared" si="2"/>
        <v>25447</v>
      </c>
    </row>
    <row r="3578">
      <c r="A3578" s="48" t="s">
        <v>5720</v>
      </c>
      <c r="B3578" s="38">
        <v>86010.0</v>
      </c>
      <c r="C3578" s="38" t="s">
        <v>6057</v>
      </c>
      <c r="D3578" s="38" t="str">
        <f>IFERROR(__xludf.DUMMYFUNCTION("REGEXREPLACE(C3578,""-\d+(.*)|--\d+(.*)"","""")"),"ASLONNES")</f>
        <v>ASLONNES</v>
      </c>
      <c r="E3578" s="38" t="s">
        <v>529</v>
      </c>
      <c r="F3578" s="38" t="s">
        <v>338</v>
      </c>
      <c r="G3578" s="49" t="str">
        <f t="shared" si="1"/>
        <v>86340</v>
      </c>
      <c r="H3578" s="49">
        <f t="shared" si="2"/>
        <v>86010</v>
      </c>
    </row>
    <row r="3579">
      <c r="A3579" s="48" t="s">
        <v>6058</v>
      </c>
      <c r="B3579" s="38">
        <v>30087.0</v>
      </c>
      <c r="C3579" s="38" t="s">
        <v>6059</v>
      </c>
      <c r="D3579" s="38" t="str">
        <f>IFERROR(__xludf.DUMMYFUNCTION("REGEXREPLACE(C3579,""-\d+(.*)|--\d+(.*)"","""")"),"COLOGNAC")</f>
        <v>COLOGNAC</v>
      </c>
      <c r="E3579" s="38" t="s">
        <v>526</v>
      </c>
      <c r="F3579" s="38" t="s">
        <v>119</v>
      </c>
      <c r="G3579" s="49" t="str">
        <f t="shared" si="1"/>
        <v>30460</v>
      </c>
      <c r="H3579" s="49">
        <f t="shared" si="2"/>
        <v>30087</v>
      </c>
    </row>
    <row r="3580">
      <c r="A3580" s="48" t="s">
        <v>6060</v>
      </c>
      <c r="B3580" s="38">
        <v>37264.0</v>
      </c>
      <c r="C3580" s="38" t="s">
        <v>6061</v>
      </c>
      <c r="D3580" s="38" t="str">
        <f>IFERROR(__xludf.DUMMYFUNCTION("REGEXREPLACE(C3580,""-\d+(.*)|--\d+(.*)"","""")"),"VALLERES")</f>
        <v>VALLERES</v>
      </c>
      <c r="E3580" s="38" t="s">
        <v>205</v>
      </c>
      <c r="F3580" s="38" t="s">
        <v>123</v>
      </c>
      <c r="G3580" s="49" t="str">
        <f t="shared" si="1"/>
        <v>37190</v>
      </c>
      <c r="H3580" s="49">
        <f t="shared" si="2"/>
        <v>37264</v>
      </c>
    </row>
    <row r="3581">
      <c r="A3581" s="48" t="s">
        <v>3233</v>
      </c>
      <c r="B3581" s="38">
        <v>54370.0</v>
      </c>
      <c r="C3581" s="38" t="s">
        <v>6062</v>
      </c>
      <c r="D3581" s="38" t="str">
        <f>IFERROR(__xludf.DUMMYFUNCTION("REGEXREPLACE(C3581,""-\d+(.*)|--\d+(.*)"","""")"),"MINORVILLE")</f>
        <v>MINORVILLE</v>
      </c>
      <c r="E3581" s="38" t="s">
        <v>548</v>
      </c>
      <c r="F3581" s="38" t="s">
        <v>195</v>
      </c>
      <c r="G3581" s="49" t="str">
        <f t="shared" si="1"/>
        <v>54385</v>
      </c>
      <c r="H3581" s="49">
        <f t="shared" si="2"/>
        <v>54370</v>
      </c>
    </row>
    <row r="3582">
      <c r="A3582" s="48" t="s">
        <v>1731</v>
      </c>
      <c r="B3582" s="38">
        <v>38294.0</v>
      </c>
      <c r="C3582" s="38" t="s">
        <v>6063</v>
      </c>
      <c r="D3582" s="38" t="str">
        <f>IFERROR(__xludf.DUMMYFUNCTION("REGEXREPLACE(C3582,""-\d+(.*)|--\d+(.*)"","""")"),"PANOSSAS")</f>
        <v>PANOSSAS</v>
      </c>
      <c r="E3582" s="38" t="s">
        <v>101</v>
      </c>
      <c r="F3582" s="38" t="s">
        <v>102</v>
      </c>
      <c r="G3582" s="49" t="str">
        <f t="shared" si="1"/>
        <v>38460</v>
      </c>
      <c r="H3582" s="49">
        <f t="shared" si="2"/>
        <v>38294</v>
      </c>
    </row>
    <row r="3583">
      <c r="A3583" s="48" t="s">
        <v>6064</v>
      </c>
      <c r="B3583" s="38">
        <v>17021.0</v>
      </c>
      <c r="C3583" s="38" t="s">
        <v>6065</v>
      </c>
      <c r="D3583" s="38" t="str">
        <f>IFERROR(__xludf.DUMMYFUNCTION("REGEXREPLACE(C3583,""-\d+(.*)|--\d+(.*)"","""")"),"ARVERT")</f>
        <v>ARVERT</v>
      </c>
      <c r="E3583" s="38" t="s">
        <v>488</v>
      </c>
      <c r="F3583" s="38" t="s">
        <v>338</v>
      </c>
      <c r="G3583" s="49" t="str">
        <f t="shared" si="1"/>
        <v>17530</v>
      </c>
      <c r="H3583" s="49">
        <f t="shared" si="2"/>
        <v>17021</v>
      </c>
    </row>
    <row r="3584">
      <c r="A3584" s="48" t="s">
        <v>1787</v>
      </c>
      <c r="B3584" s="38">
        <v>62254.0</v>
      </c>
      <c r="C3584" s="38" t="s">
        <v>6066</v>
      </c>
      <c r="D3584" s="38" t="str">
        <f>IFERROR(__xludf.DUMMYFUNCTION("REGEXREPLACE(C3584,""-\d+(.*)|--\d+(.*)"","""")"),"COYECQUES")</f>
        <v>COYECQUES</v>
      </c>
      <c r="E3584" s="38" t="s">
        <v>109</v>
      </c>
      <c r="F3584" s="38" t="s">
        <v>86</v>
      </c>
      <c r="G3584" s="49" t="str">
        <f t="shared" si="1"/>
        <v>62560</v>
      </c>
      <c r="H3584" s="49">
        <f t="shared" si="2"/>
        <v>62254</v>
      </c>
    </row>
    <row r="3585">
      <c r="A3585" s="48" t="s">
        <v>6067</v>
      </c>
      <c r="B3585" s="38">
        <v>35241.0</v>
      </c>
      <c r="C3585" s="38" t="s">
        <v>6068</v>
      </c>
      <c r="D3585" s="38" t="str">
        <f>IFERROR(__xludf.DUMMYFUNCTION("REGEXREPLACE(C3585,""-\d+(.*)|--\d+(.*)"","""")"),"LA RICHARDAIS")</f>
        <v>LA RICHARDAIS</v>
      </c>
      <c r="E3585" s="38" t="s">
        <v>347</v>
      </c>
      <c r="F3585" s="38" t="s">
        <v>90</v>
      </c>
      <c r="G3585" s="49" t="str">
        <f t="shared" si="1"/>
        <v>35780</v>
      </c>
      <c r="H3585" s="49">
        <f t="shared" si="2"/>
        <v>35241</v>
      </c>
    </row>
    <row r="3586">
      <c r="A3586" s="48" t="s">
        <v>6069</v>
      </c>
      <c r="B3586" s="38">
        <v>50300.0</v>
      </c>
      <c r="C3586" s="38" t="s">
        <v>6070</v>
      </c>
      <c r="D3586" s="38" t="str">
        <f>IFERROR(__xludf.DUMMYFUNCTION("REGEXREPLACE(C3586,""-\d+(.*)|--\d+(.*)"","""")"),"LE MESNIL-ADELEE")</f>
        <v>LE MESNIL-ADELEE</v>
      </c>
      <c r="E3586" s="38" t="s">
        <v>157</v>
      </c>
      <c r="F3586" s="38" t="s">
        <v>138</v>
      </c>
      <c r="G3586" s="49" t="str">
        <f t="shared" si="1"/>
        <v>50520</v>
      </c>
      <c r="H3586" s="49">
        <f t="shared" si="2"/>
        <v>50300</v>
      </c>
    </row>
    <row r="3587">
      <c r="A3587" s="48" t="s">
        <v>5777</v>
      </c>
      <c r="B3587" s="38">
        <v>74142.0</v>
      </c>
      <c r="C3587" s="38" t="s">
        <v>6071</v>
      </c>
      <c r="D3587" s="38" t="str">
        <f>IFERROR(__xludf.DUMMYFUNCTION("REGEXREPLACE(C3587,""-\d+(.*)|--\d+(.*)"","""")"),"HERY-SUR-ALBY")</f>
        <v>HERY-SUR-ALBY</v>
      </c>
      <c r="E3587" s="38" t="s">
        <v>319</v>
      </c>
      <c r="F3587" s="38" t="s">
        <v>102</v>
      </c>
      <c r="G3587" s="49" t="str">
        <f t="shared" si="1"/>
        <v>74540</v>
      </c>
      <c r="H3587" s="49">
        <f t="shared" si="2"/>
        <v>74142</v>
      </c>
    </row>
    <row r="3588">
      <c r="A3588" s="48" t="s">
        <v>2451</v>
      </c>
      <c r="B3588" s="38">
        <v>31525.0</v>
      </c>
      <c r="C3588" s="38" t="s">
        <v>6072</v>
      </c>
      <c r="D3588" s="38" t="str">
        <f>IFERROR(__xludf.DUMMYFUNCTION("REGEXREPLACE(C3588,""-\d+(.*)|--\d+(.*)"","""")"),"SALLES-SUR-GARONNE")</f>
        <v>SALLES-SUR-GARONNE</v>
      </c>
      <c r="E3588" s="38" t="s">
        <v>93</v>
      </c>
      <c r="F3588" s="38" t="s">
        <v>94</v>
      </c>
      <c r="G3588" s="49" t="str">
        <f t="shared" si="1"/>
        <v>31390</v>
      </c>
      <c r="H3588" s="49">
        <f t="shared" si="2"/>
        <v>31525</v>
      </c>
    </row>
    <row r="3589">
      <c r="A3589" s="48" t="s">
        <v>6073</v>
      </c>
      <c r="B3589" s="38">
        <v>40020.0</v>
      </c>
      <c r="C3589" s="38" t="s">
        <v>6074</v>
      </c>
      <c r="D3589" s="38" t="str">
        <f>IFERROR(__xludf.DUMMYFUNCTION("REGEXREPLACE(C3589,""-\d+(.*)|--\d+(.*)"","""")"),"AURICE")</f>
        <v>AURICE</v>
      </c>
      <c r="E3589" s="38" t="s">
        <v>281</v>
      </c>
      <c r="F3589" s="38" t="s">
        <v>252</v>
      </c>
      <c r="G3589" s="49" t="str">
        <f t="shared" si="1"/>
        <v>40500</v>
      </c>
      <c r="H3589" s="49">
        <f t="shared" si="2"/>
        <v>40020</v>
      </c>
    </row>
    <row r="3590">
      <c r="A3590" s="48" t="s">
        <v>6075</v>
      </c>
      <c r="B3590" s="38">
        <v>63448.0</v>
      </c>
      <c r="C3590" s="38" t="s">
        <v>6076</v>
      </c>
      <c r="D3590" s="38" t="str">
        <f>IFERROR(__xludf.DUMMYFUNCTION("REGEXREPLACE(C3590,""-\d+(.*)|--\d+(.*)"","""")"),"VERNET-LA-VARENNE")</f>
        <v>VERNET-LA-VARENNE</v>
      </c>
      <c r="E3590" s="38" t="s">
        <v>353</v>
      </c>
      <c r="F3590" s="38" t="s">
        <v>161</v>
      </c>
      <c r="G3590" s="49" t="str">
        <f t="shared" si="1"/>
        <v>63580</v>
      </c>
      <c r="H3590" s="49">
        <f t="shared" si="2"/>
        <v>63448</v>
      </c>
    </row>
    <row r="3591">
      <c r="A3591" s="48" t="s">
        <v>3539</v>
      </c>
      <c r="B3591" s="38">
        <v>54040.0</v>
      </c>
      <c r="C3591" s="38" t="s">
        <v>6077</v>
      </c>
      <c r="D3591" s="38" t="str">
        <f>IFERROR(__xludf.DUMMYFUNCTION("REGEXREPLACE(C3591,""-\d+(.*)|--\d+(.*)"","""")"),"BADONVILLER")</f>
        <v>BADONVILLER</v>
      </c>
      <c r="E3591" s="38" t="s">
        <v>548</v>
      </c>
      <c r="F3591" s="38" t="s">
        <v>195</v>
      </c>
      <c r="G3591" s="49" t="str">
        <f t="shared" si="1"/>
        <v>54540</v>
      </c>
      <c r="H3591" s="49">
        <f t="shared" si="2"/>
        <v>54040</v>
      </c>
    </row>
    <row r="3592">
      <c r="A3592" s="48" t="s">
        <v>6078</v>
      </c>
      <c r="B3592" s="38">
        <v>10398.0</v>
      </c>
      <c r="C3592" s="38" t="s">
        <v>6079</v>
      </c>
      <c r="D3592" s="38" t="str">
        <f>IFERROR(__xludf.DUMMYFUNCTION("REGEXREPLACE(C3592,""-\d+(.*)|--\d+(.*)"","""")"),"VAUCOGNE")</f>
        <v>VAUCOGNE</v>
      </c>
      <c r="E3592" s="38" t="s">
        <v>147</v>
      </c>
      <c r="F3592" s="38" t="s">
        <v>130</v>
      </c>
      <c r="G3592" s="49" t="str">
        <f t="shared" si="1"/>
        <v>10240</v>
      </c>
      <c r="H3592" s="49">
        <f t="shared" si="2"/>
        <v>10398</v>
      </c>
    </row>
    <row r="3593">
      <c r="A3593" s="48" t="s">
        <v>6080</v>
      </c>
      <c r="B3593" s="38">
        <v>76079.0</v>
      </c>
      <c r="C3593" s="38" t="s">
        <v>6081</v>
      </c>
      <c r="D3593" s="38" t="str">
        <f>IFERROR(__xludf.DUMMYFUNCTION("REGEXREPLACE(C3593,""-\d+(.*)|--\d+(.*)"","""")"),"BENOUVILLE")</f>
        <v>BENOUVILLE</v>
      </c>
      <c r="E3593" s="38" t="s">
        <v>133</v>
      </c>
      <c r="F3593" s="38" t="s">
        <v>134</v>
      </c>
      <c r="G3593" s="49" t="str">
        <f t="shared" si="1"/>
        <v>76790</v>
      </c>
      <c r="H3593" s="49">
        <f t="shared" si="2"/>
        <v>76079</v>
      </c>
    </row>
    <row r="3594">
      <c r="A3594" s="48" t="s">
        <v>3961</v>
      </c>
      <c r="B3594" s="38">
        <v>19243.0</v>
      </c>
      <c r="C3594" s="38" t="s">
        <v>6082</v>
      </c>
      <c r="D3594" s="38" t="str">
        <f>IFERROR(__xludf.DUMMYFUNCTION("REGEXREPLACE(C3594,""-\d+(.*)|--\d+(.*)"","""")"),"SAINT-SORNIN-LAVOLPS")</f>
        <v>SAINT-SORNIN-LAVOLPS</v>
      </c>
      <c r="E3594" s="38" t="s">
        <v>271</v>
      </c>
      <c r="F3594" s="38" t="s">
        <v>98</v>
      </c>
      <c r="G3594" s="49" t="str">
        <f t="shared" si="1"/>
        <v>19230</v>
      </c>
      <c r="H3594" s="49">
        <f t="shared" si="2"/>
        <v>19243</v>
      </c>
    </row>
    <row r="3595">
      <c r="A3595" s="48" t="s">
        <v>6083</v>
      </c>
      <c r="B3595" s="38">
        <v>57480.0</v>
      </c>
      <c r="C3595" s="38" t="s">
        <v>6084</v>
      </c>
      <c r="D3595" s="38" t="str">
        <f>IFERROR(__xludf.DUMMYFUNCTION("REGEXREPLACE(C3595,""-\d+(.*)|--\d+(.*)"","""")"),"MONTIGNY-LES-METZ")</f>
        <v>MONTIGNY-LES-METZ</v>
      </c>
      <c r="E3595" s="38" t="s">
        <v>303</v>
      </c>
      <c r="F3595" s="38" t="s">
        <v>195</v>
      </c>
      <c r="G3595" s="49" t="str">
        <f t="shared" si="1"/>
        <v>57950</v>
      </c>
      <c r="H3595" s="49">
        <f t="shared" si="2"/>
        <v>57480</v>
      </c>
    </row>
    <row r="3596">
      <c r="A3596" s="48" t="s">
        <v>6085</v>
      </c>
      <c r="B3596" s="38">
        <v>38071.0</v>
      </c>
      <c r="C3596" s="38" t="s">
        <v>6086</v>
      </c>
      <c r="D3596" s="38" t="str">
        <f>IFERROR(__xludf.DUMMYFUNCTION("REGEXREPLACE(C3596,""-\d+(.*)|--\d+(.*)"","""")"),"CHAMP-SUR-DRAC")</f>
        <v>CHAMP-SUR-DRAC</v>
      </c>
      <c r="E3596" s="38" t="s">
        <v>101</v>
      </c>
      <c r="F3596" s="38" t="s">
        <v>102</v>
      </c>
      <c r="G3596" s="49" t="str">
        <f t="shared" si="1"/>
        <v>38560</v>
      </c>
      <c r="H3596" s="49">
        <f t="shared" si="2"/>
        <v>38071</v>
      </c>
    </row>
    <row r="3597">
      <c r="A3597" s="48" t="s">
        <v>2360</v>
      </c>
      <c r="B3597" s="38">
        <v>79281.0</v>
      </c>
      <c r="C3597" s="38" t="s">
        <v>6087</v>
      </c>
      <c r="D3597" s="38" t="str">
        <f>IFERROR(__xludf.DUMMYFUNCTION("REGEXREPLACE(C3597,""-\d+(.*)|--\d+(.*)"","""")"),"SAINT-MAXIRE")</f>
        <v>SAINT-MAXIRE</v>
      </c>
      <c r="E3597" s="38" t="s">
        <v>337</v>
      </c>
      <c r="F3597" s="38" t="s">
        <v>338</v>
      </c>
      <c r="G3597" s="49" t="str">
        <f t="shared" si="1"/>
        <v>79410</v>
      </c>
      <c r="H3597" s="49">
        <f t="shared" si="2"/>
        <v>79281</v>
      </c>
    </row>
    <row r="3598">
      <c r="A3598" s="48" t="s">
        <v>3545</v>
      </c>
      <c r="B3598" s="38">
        <v>17231.0</v>
      </c>
      <c r="C3598" s="38" t="s">
        <v>6088</v>
      </c>
      <c r="D3598" s="38" t="str">
        <f>IFERROR(__xludf.DUMMYFUNCTION("REGEXREPLACE(C3598,""-\d+(.*)|--\d+(.*)"","""")"),"MESSAC")</f>
        <v>MESSAC</v>
      </c>
      <c r="E3598" s="38" t="s">
        <v>488</v>
      </c>
      <c r="F3598" s="38" t="s">
        <v>338</v>
      </c>
      <c r="G3598" s="49" t="str">
        <f t="shared" si="1"/>
        <v>17130</v>
      </c>
      <c r="H3598" s="49">
        <f t="shared" si="2"/>
        <v>17231</v>
      </c>
    </row>
    <row r="3599">
      <c r="A3599" s="48" t="s">
        <v>103</v>
      </c>
      <c r="B3599" s="38">
        <v>21239.0</v>
      </c>
      <c r="C3599" s="38" t="s">
        <v>6089</v>
      </c>
      <c r="D3599" s="38" t="str">
        <f>IFERROR(__xludf.DUMMYFUNCTION("REGEXREPLACE(C3599,""-\d+(.*)|--\d+(.*)"","""")"),"ECHENON")</f>
        <v>ECHENON</v>
      </c>
      <c r="E3599" s="38" t="s">
        <v>105</v>
      </c>
      <c r="F3599" s="38" t="s">
        <v>106</v>
      </c>
      <c r="G3599" s="49" t="str">
        <f t="shared" si="1"/>
        <v>21170</v>
      </c>
      <c r="H3599" s="49">
        <f t="shared" si="2"/>
        <v>21239</v>
      </c>
    </row>
    <row r="3600">
      <c r="A3600" s="48" t="s">
        <v>6025</v>
      </c>
      <c r="B3600" s="38">
        <v>31059.0</v>
      </c>
      <c r="C3600" s="38" t="s">
        <v>6090</v>
      </c>
      <c r="D3600" s="38" t="str">
        <f>IFERROR(__xludf.DUMMYFUNCTION("REGEXREPLACE(C3600,""-\d+(.*)|--\d+(.*)"","""")"),"BELBEZE-EN-COMMINGES")</f>
        <v>BELBEZE-EN-COMMINGES</v>
      </c>
      <c r="E3600" s="38" t="s">
        <v>93</v>
      </c>
      <c r="F3600" s="38" t="s">
        <v>94</v>
      </c>
      <c r="G3600" s="49" t="str">
        <f t="shared" si="1"/>
        <v>31260</v>
      </c>
      <c r="H3600" s="49">
        <f t="shared" si="2"/>
        <v>31059</v>
      </c>
    </row>
    <row r="3601">
      <c r="A3601" s="48" t="s">
        <v>4826</v>
      </c>
      <c r="B3601" s="38">
        <v>57124.0</v>
      </c>
      <c r="C3601" s="38" t="s">
        <v>6091</v>
      </c>
      <c r="D3601" s="38" t="str">
        <f>IFERROR(__xludf.DUMMYFUNCTION("REGEXREPLACE(C3601,""-\d+(.*)|--\d+(.*)"","""")"),"CATTENOM")</f>
        <v>CATTENOM</v>
      </c>
      <c r="E3601" s="38" t="s">
        <v>303</v>
      </c>
      <c r="F3601" s="38" t="s">
        <v>195</v>
      </c>
      <c r="G3601" s="49" t="str">
        <f t="shared" si="1"/>
        <v>57570</v>
      </c>
      <c r="H3601" s="49">
        <f t="shared" si="2"/>
        <v>57124</v>
      </c>
    </row>
    <row r="3602">
      <c r="A3602" s="48" t="s">
        <v>6092</v>
      </c>
      <c r="B3602" s="38">
        <v>91666.0</v>
      </c>
      <c r="C3602" s="38" t="s">
        <v>6093</v>
      </c>
      <c r="D3602" s="38" t="str">
        <f>IFERROR(__xludf.DUMMYFUNCTION("REGEXREPLACE(C3602,""-\d+(.*)|--\d+(.*)"","""")"),"VILLEJUST")</f>
        <v>VILLEJUST</v>
      </c>
      <c r="E3602" s="38" t="s">
        <v>756</v>
      </c>
      <c r="F3602" s="38" t="s">
        <v>245</v>
      </c>
      <c r="G3602" s="49" t="str">
        <f t="shared" si="1"/>
        <v>91140</v>
      </c>
      <c r="H3602" s="49">
        <f t="shared" si="2"/>
        <v>91666</v>
      </c>
    </row>
    <row r="3603">
      <c r="A3603" s="48" t="s">
        <v>2400</v>
      </c>
      <c r="B3603" s="38">
        <v>25181.0</v>
      </c>
      <c r="C3603" s="38" t="s">
        <v>6094</v>
      </c>
      <c r="D3603" s="38" t="str">
        <f>IFERROR(__xludf.DUMMYFUNCTION("REGEXREPLACE(C3603,""-\d+(.*)|--\d+(.*)"","""")"),"CUBRIAL")</f>
        <v>CUBRIAL</v>
      </c>
      <c r="E3603" s="38" t="s">
        <v>213</v>
      </c>
      <c r="F3603" s="38" t="s">
        <v>214</v>
      </c>
      <c r="G3603" s="49" t="str">
        <f t="shared" si="1"/>
        <v>25680</v>
      </c>
      <c r="H3603" s="49">
        <f t="shared" si="2"/>
        <v>25181</v>
      </c>
    </row>
    <row r="3604">
      <c r="A3604" s="48" t="s">
        <v>1174</v>
      </c>
      <c r="B3604" s="38">
        <v>51095.0</v>
      </c>
      <c r="C3604" s="38" t="s">
        <v>6095</v>
      </c>
      <c r="D3604" s="38" t="str">
        <f>IFERROR(__xludf.DUMMYFUNCTION("REGEXREPLACE(C3604,""-\d+(.*)|--\d+(.*)"","""")"),"LE BUISSON")</f>
        <v>LE BUISSON</v>
      </c>
      <c r="E3604" s="38" t="s">
        <v>129</v>
      </c>
      <c r="F3604" s="38" t="s">
        <v>130</v>
      </c>
      <c r="G3604" s="49" t="str">
        <f t="shared" si="1"/>
        <v>51300</v>
      </c>
      <c r="H3604" s="49">
        <f t="shared" si="2"/>
        <v>51095</v>
      </c>
    </row>
    <row r="3605">
      <c r="A3605" s="48" t="s">
        <v>1274</v>
      </c>
      <c r="B3605" s="38">
        <v>33254.0</v>
      </c>
      <c r="C3605" s="38" t="s">
        <v>6096</v>
      </c>
      <c r="D3605" s="38" t="str">
        <f>IFERROR(__xludf.DUMMYFUNCTION("REGEXREPLACE(C3605,""-\d+(.*)|--\d+(.*)"","""")"),"LOUPIAC-DE-LA-REOLE")</f>
        <v>LOUPIAC-DE-LA-REOLE</v>
      </c>
      <c r="E3605" s="38" t="s">
        <v>462</v>
      </c>
      <c r="F3605" s="38" t="s">
        <v>252</v>
      </c>
      <c r="G3605" s="49" t="str">
        <f t="shared" si="1"/>
        <v>33190</v>
      </c>
      <c r="H3605" s="49">
        <f t="shared" si="2"/>
        <v>33254</v>
      </c>
    </row>
    <row r="3606">
      <c r="A3606" s="48" t="s">
        <v>6097</v>
      </c>
      <c r="B3606" s="38">
        <v>33516.0</v>
      </c>
      <c r="C3606" s="38" t="s">
        <v>6098</v>
      </c>
      <c r="D3606" s="38" t="str">
        <f>IFERROR(__xludf.DUMMYFUNCTION("REGEXREPLACE(C3606,""-\d+(.*)|--\d+(.*)"","""")"),"SOUSSAC")</f>
        <v>SOUSSAC</v>
      </c>
      <c r="E3606" s="38" t="s">
        <v>462</v>
      </c>
      <c r="F3606" s="38" t="s">
        <v>252</v>
      </c>
      <c r="G3606" s="49" t="str">
        <f t="shared" si="1"/>
        <v>33790</v>
      </c>
      <c r="H3606" s="49">
        <f t="shared" si="2"/>
        <v>33516</v>
      </c>
    </row>
    <row r="3607">
      <c r="A3607" s="48" t="s">
        <v>6099</v>
      </c>
      <c r="B3607" s="38">
        <v>59166.0</v>
      </c>
      <c r="C3607" s="38" t="s">
        <v>6100</v>
      </c>
      <c r="D3607" s="38" t="str">
        <f>IFERROR(__xludf.DUMMYFUNCTION("REGEXREPLACE(C3607,""-\d+(.*)|--\d+(.*)"","""")"),"CURGIES")</f>
        <v>CURGIES</v>
      </c>
      <c r="E3607" s="38" t="s">
        <v>85</v>
      </c>
      <c r="F3607" s="38" t="s">
        <v>86</v>
      </c>
      <c r="G3607" s="49" t="str">
        <f t="shared" si="1"/>
        <v>59990</v>
      </c>
      <c r="H3607" s="49">
        <f t="shared" si="2"/>
        <v>59166</v>
      </c>
    </row>
    <row r="3608">
      <c r="A3608" s="48" t="s">
        <v>940</v>
      </c>
      <c r="B3608" s="38">
        <v>51591.0</v>
      </c>
      <c r="C3608" s="38" t="s">
        <v>6101</v>
      </c>
      <c r="D3608" s="38" t="str">
        <f>IFERROR(__xludf.DUMMYFUNCTION("REGEXREPLACE(C3608,""-\d+(.*)|--\d+(.*)"","""")"),"VANDEUIL")</f>
        <v>VANDEUIL</v>
      </c>
      <c r="E3608" s="38" t="s">
        <v>129</v>
      </c>
      <c r="F3608" s="38" t="s">
        <v>130</v>
      </c>
      <c r="G3608" s="49" t="str">
        <f t="shared" si="1"/>
        <v>51140</v>
      </c>
      <c r="H3608" s="49">
        <f t="shared" si="2"/>
        <v>51591</v>
      </c>
    </row>
    <row r="3609">
      <c r="A3609" s="48" t="s">
        <v>3821</v>
      </c>
      <c r="B3609" s="38">
        <v>57051.0</v>
      </c>
      <c r="C3609" s="38" t="s">
        <v>6102</v>
      </c>
      <c r="D3609" s="38" t="str">
        <f>IFERROR(__xludf.DUMMYFUNCTION("REGEXREPLACE(C3609,""-\d+(.*)|--\d+(.*)"","""")"),"BARONVILLE")</f>
        <v>BARONVILLE</v>
      </c>
      <c r="E3609" s="38" t="s">
        <v>303</v>
      </c>
      <c r="F3609" s="38" t="s">
        <v>195</v>
      </c>
      <c r="G3609" s="49" t="str">
        <f t="shared" si="1"/>
        <v>57340</v>
      </c>
      <c r="H3609" s="49">
        <f t="shared" si="2"/>
        <v>57051</v>
      </c>
    </row>
    <row r="3610">
      <c r="A3610" s="48" t="s">
        <v>3256</v>
      </c>
      <c r="B3610" s="38">
        <v>36126.0</v>
      </c>
      <c r="C3610" s="38" t="s">
        <v>6103</v>
      </c>
      <c r="D3610" s="38" t="str">
        <f>IFERROR(__xludf.DUMMYFUNCTION("REGEXREPLACE(C3610,""-\d+(.*)|--\d+(.*)"","""")"),"MONTCHEVRIER")</f>
        <v>MONTCHEVRIER</v>
      </c>
      <c r="E3610" s="38" t="s">
        <v>258</v>
      </c>
      <c r="F3610" s="38" t="s">
        <v>123</v>
      </c>
      <c r="G3610" s="49" t="str">
        <f t="shared" si="1"/>
        <v>36140</v>
      </c>
      <c r="H3610" s="49">
        <f t="shared" si="2"/>
        <v>36126</v>
      </c>
    </row>
    <row r="3611">
      <c r="A3611" s="48" t="s">
        <v>6104</v>
      </c>
      <c r="B3611" s="38">
        <v>95331.0</v>
      </c>
      <c r="C3611" s="38" t="s">
        <v>6105</v>
      </c>
      <c r="D3611" s="38" t="str">
        <f>IFERROR(__xludf.DUMMYFUNCTION("REGEXREPLACE(C3611,""-\d+(.*)|--\d+(.*)"","""")"),"LASSY")</f>
        <v>LASSY</v>
      </c>
      <c r="E3611" s="38" t="s">
        <v>541</v>
      </c>
      <c r="F3611" s="38" t="s">
        <v>245</v>
      </c>
      <c r="G3611" s="49" t="str">
        <f t="shared" si="1"/>
        <v>95270</v>
      </c>
      <c r="H3611" s="49">
        <f t="shared" si="2"/>
        <v>95331</v>
      </c>
    </row>
    <row r="3612">
      <c r="A3612" s="48" t="s">
        <v>6106</v>
      </c>
      <c r="B3612" s="38">
        <v>54521.0</v>
      </c>
      <c r="C3612" s="38" t="s">
        <v>5366</v>
      </c>
      <c r="D3612" s="38" t="str">
        <f>IFERROR(__xludf.DUMMYFUNCTION("REGEXREPLACE(C3612,""-\d+(.*)|--\d+(.*)"","""")"),"THIL")</f>
        <v>THIL</v>
      </c>
      <c r="E3612" s="38" t="s">
        <v>548</v>
      </c>
      <c r="F3612" s="38" t="s">
        <v>195</v>
      </c>
      <c r="G3612" s="49" t="str">
        <f t="shared" si="1"/>
        <v>54880</v>
      </c>
      <c r="H3612" s="49">
        <f t="shared" si="2"/>
        <v>54521</v>
      </c>
    </row>
    <row r="3613">
      <c r="A3613" s="48" t="s">
        <v>889</v>
      </c>
      <c r="B3613" s="38">
        <v>30114.0</v>
      </c>
      <c r="C3613" s="38" t="s">
        <v>3634</v>
      </c>
      <c r="D3613" s="38" t="str">
        <f>IFERROR(__xludf.DUMMYFUNCTION("REGEXREPLACE(C3613,""-\d+(.*)|--\d+(.*)"","""")"),"FONTANES")</f>
        <v>FONTANES</v>
      </c>
      <c r="E3613" s="38" t="s">
        <v>526</v>
      </c>
      <c r="F3613" s="38" t="s">
        <v>119</v>
      </c>
      <c r="G3613" s="49" t="str">
        <f t="shared" si="1"/>
        <v>30250</v>
      </c>
      <c r="H3613" s="49">
        <f t="shared" si="2"/>
        <v>30114</v>
      </c>
    </row>
    <row r="3614">
      <c r="A3614" s="48" t="s">
        <v>6107</v>
      </c>
      <c r="B3614" s="38">
        <v>61498.0</v>
      </c>
      <c r="C3614" s="38" t="s">
        <v>6108</v>
      </c>
      <c r="D3614" s="38" t="str">
        <f>IFERROR(__xludf.DUMMYFUNCTION("REGEXREPLACE(C3614,""-\d+(.*)|--\d+(.*)"","""")"),"VAUNOISE")</f>
        <v>VAUNOISE</v>
      </c>
      <c r="E3614" s="38" t="s">
        <v>141</v>
      </c>
      <c r="F3614" s="38" t="s">
        <v>138</v>
      </c>
      <c r="G3614" s="49" t="str">
        <f t="shared" si="1"/>
        <v>61130</v>
      </c>
      <c r="H3614" s="49">
        <f t="shared" si="2"/>
        <v>61498</v>
      </c>
    </row>
    <row r="3615">
      <c r="A3615" s="48" t="s">
        <v>497</v>
      </c>
      <c r="B3615" s="38">
        <v>62551.0</v>
      </c>
      <c r="C3615" s="38" t="s">
        <v>6109</v>
      </c>
      <c r="D3615" s="38" t="str">
        <f>IFERROR(__xludf.DUMMYFUNCTION("REGEXREPLACE(C3615,""-\d+(.*)|--\d+(.*)"","""")"),"MARENLA")</f>
        <v>MARENLA</v>
      </c>
      <c r="E3615" s="38" t="s">
        <v>109</v>
      </c>
      <c r="F3615" s="38" t="s">
        <v>86</v>
      </c>
      <c r="G3615" s="49" t="str">
        <f t="shared" si="1"/>
        <v>62990</v>
      </c>
      <c r="H3615" s="49">
        <f t="shared" si="2"/>
        <v>62551</v>
      </c>
    </row>
    <row r="3616">
      <c r="A3616" s="48" t="s">
        <v>1300</v>
      </c>
      <c r="B3616" s="38">
        <v>60449.0</v>
      </c>
      <c r="C3616" s="38" t="s">
        <v>6110</v>
      </c>
      <c r="D3616" s="38" t="str">
        <f>IFERROR(__xludf.DUMMYFUNCTION("REGEXREPLACE(C3616,""-\d+(.*)|--\d+(.*)"","""")"),"NEUFVY-SUR-ARONDE")</f>
        <v>NEUFVY-SUR-ARONDE</v>
      </c>
      <c r="E3616" s="38" t="s">
        <v>112</v>
      </c>
      <c r="F3616" s="38" t="s">
        <v>113</v>
      </c>
      <c r="G3616" s="49" t="str">
        <f t="shared" si="1"/>
        <v>60190</v>
      </c>
      <c r="H3616" s="49">
        <f t="shared" si="2"/>
        <v>60449</v>
      </c>
    </row>
    <row r="3617">
      <c r="A3617" s="48" t="s">
        <v>4332</v>
      </c>
      <c r="B3617" s="38">
        <v>24340.0</v>
      </c>
      <c r="C3617" s="38" t="s">
        <v>6111</v>
      </c>
      <c r="D3617" s="38" t="str">
        <f>IFERROR(__xludf.DUMMYFUNCTION("REGEXREPLACE(C3617,""-\d+(.*)|--\d+(.*)"","""")"),"PRIGONRIEUX")</f>
        <v>PRIGONRIEUX</v>
      </c>
      <c r="E3617" s="38" t="s">
        <v>261</v>
      </c>
      <c r="F3617" s="38" t="s">
        <v>252</v>
      </c>
      <c r="G3617" s="49" t="str">
        <f t="shared" si="1"/>
        <v>24130</v>
      </c>
      <c r="H3617" s="49">
        <f t="shared" si="2"/>
        <v>24340</v>
      </c>
    </row>
    <row r="3618">
      <c r="A3618" s="48" t="s">
        <v>1137</v>
      </c>
      <c r="B3618" s="38">
        <v>60477.0</v>
      </c>
      <c r="C3618" s="38" t="s">
        <v>6112</v>
      </c>
      <c r="D3618" s="38" t="str">
        <f>IFERROR(__xludf.DUMMYFUNCTION("REGEXREPLACE(C3618,""-\d+(.*)|--\d+(.*)"","""")"),"ONS-EN-BRAY")</f>
        <v>ONS-EN-BRAY</v>
      </c>
      <c r="E3618" s="38" t="s">
        <v>112</v>
      </c>
      <c r="F3618" s="38" t="s">
        <v>113</v>
      </c>
      <c r="G3618" s="49" t="str">
        <f t="shared" si="1"/>
        <v>60650</v>
      </c>
      <c r="H3618" s="49">
        <f t="shared" si="2"/>
        <v>60477</v>
      </c>
    </row>
    <row r="3619">
      <c r="A3619" s="48" t="s">
        <v>2266</v>
      </c>
      <c r="B3619" s="38">
        <v>55515.0</v>
      </c>
      <c r="C3619" s="38" t="s">
        <v>6113</v>
      </c>
      <c r="D3619" s="38" t="str">
        <f>IFERROR(__xludf.DUMMYFUNCTION("REGEXREPLACE(C3619,""-\d+(.*)|--\d+(.*)"","""")"),"TRESAUVAUX")</f>
        <v>TRESAUVAUX</v>
      </c>
      <c r="E3619" s="38" t="s">
        <v>322</v>
      </c>
      <c r="F3619" s="38" t="s">
        <v>195</v>
      </c>
      <c r="G3619" s="49" t="str">
        <f t="shared" si="1"/>
        <v>55160</v>
      </c>
      <c r="H3619" s="49">
        <f t="shared" si="2"/>
        <v>55515</v>
      </c>
    </row>
    <row r="3620">
      <c r="A3620" s="48" t="s">
        <v>2040</v>
      </c>
      <c r="B3620" s="38">
        <v>59093.0</v>
      </c>
      <c r="C3620" s="38" t="s">
        <v>6114</v>
      </c>
      <c r="D3620" s="38" t="str">
        <f>IFERROR(__xludf.DUMMYFUNCTION("REGEXREPLACE(C3620,""-\d+(.*)|--\d+(.*)"","""")"),"BOULOGNE-SUR-HELPE")</f>
        <v>BOULOGNE-SUR-HELPE</v>
      </c>
      <c r="E3620" s="38" t="s">
        <v>85</v>
      </c>
      <c r="F3620" s="38" t="s">
        <v>86</v>
      </c>
      <c r="G3620" s="49" t="str">
        <f t="shared" si="1"/>
        <v>59440</v>
      </c>
      <c r="H3620" s="49">
        <f t="shared" si="2"/>
        <v>59093</v>
      </c>
    </row>
    <row r="3621">
      <c r="A3621" s="48" t="s">
        <v>3821</v>
      </c>
      <c r="B3621" s="38">
        <v>57004.0</v>
      </c>
      <c r="C3621" s="38" t="s">
        <v>6115</v>
      </c>
      <c r="D3621" s="38" t="str">
        <f>IFERROR(__xludf.DUMMYFUNCTION("REGEXREPLACE(C3621,""-\d+(.*)|--\d+(.*)"","""")"),"ACHAIN")</f>
        <v>ACHAIN</v>
      </c>
      <c r="E3621" s="38" t="s">
        <v>303</v>
      </c>
      <c r="F3621" s="38" t="s">
        <v>195</v>
      </c>
      <c r="G3621" s="49" t="str">
        <f t="shared" si="1"/>
        <v>57340</v>
      </c>
      <c r="H3621" s="49">
        <f t="shared" si="2"/>
        <v>57004</v>
      </c>
    </row>
    <row r="3622">
      <c r="A3622" s="48" t="s">
        <v>6116</v>
      </c>
      <c r="B3622" s="38">
        <v>69194.0</v>
      </c>
      <c r="C3622" s="38" t="s">
        <v>6117</v>
      </c>
      <c r="D3622" s="38" t="str">
        <f>IFERROR(__xludf.DUMMYFUNCTION("REGEXREPLACE(C3622,""-\d+(.*)|--\d+(.*)"","""")"),"SAINT-DIDIER-AU-MONT-D'OR")</f>
        <v>SAINT-DIDIER-AU-MONT-D'OR</v>
      </c>
      <c r="E3622" s="38" t="s">
        <v>350</v>
      </c>
      <c r="F3622" s="38" t="s">
        <v>102</v>
      </c>
      <c r="G3622" s="49" t="str">
        <f t="shared" si="1"/>
        <v>69370</v>
      </c>
      <c r="H3622" s="49">
        <f t="shared" si="2"/>
        <v>69194</v>
      </c>
    </row>
    <row r="3623">
      <c r="A3623" s="48" t="s">
        <v>3048</v>
      </c>
      <c r="B3623" s="38">
        <v>21445.0</v>
      </c>
      <c r="C3623" s="38" t="s">
        <v>6118</v>
      </c>
      <c r="D3623" s="38" t="str">
        <f>IFERROR(__xludf.DUMMYFUNCTION("REGEXREPLACE(C3623,""-\d+(.*)|--\d+(.*)"","""")"),"LA MOTTE-TERNANT")</f>
        <v>LA MOTTE-TERNANT</v>
      </c>
      <c r="E3623" s="38" t="s">
        <v>105</v>
      </c>
      <c r="F3623" s="38" t="s">
        <v>106</v>
      </c>
      <c r="G3623" s="49" t="str">
        <f t="shared" si="1"/>
        <v>21210</v>
      </c>
      <c r="H3623" s="49">
        <f t="shared" si="2"/>
        <v>21445</v>
      </c>
    </row>
    <row r="3624">
      <c r="A3624" s="48" t="s">
        <v>6119</v>
      </c>
      <c r="B3624" s="38">
        <v>45333.0</v>
      </c>
      <c r="C3624" s="38" t="s">
        <v>6120</v>
      </c>
      <c r="D3624" s="38" t="str">
        <f>IFERROR(__xludf.DUMMYFUNCTION("REGEXREPLACE(C3624,""-\d+(.*)|--\d+(.*)"","""")"),"VENNECY")</f>
        <v>VENNECY</v>
      </c>
      <c r="E3624" s="38" t="s">
        <v>122</v>
      </c>
      <c r="F3624" s="38" t="s">
        <v>123</v>
      </c>
      <c r="G3624" s="49" t="str">
        <f t="shared" si="1"/>
        <v>45760</v>
      </c>
      <c r="H3624" s="49">
        <f t="shared" si="2"/>
        <v>45333</v>
      </c>
    </row>
    <row r="3625">
      <c r="A3625" s="48" t="s">
        <v>6121</v>
      </c>
      <c r="B3625" s="38">
        <v>51566.0</v>
      </c>
      <c r="C3625" s="38" t="s">
        <v>6122</v>
      </c>
      <c r="D3625" s="38" t="str">
        <f>IFERROR(__xludf.DUMMYFUNCTION("REGEXREPLACE(C3625,""-\d+(.*)|--\d+(.*)"","""")"),"THIBIE")</f>
        <v>THIBIE</v>
      </c>
      <c r="E3625" s="38" t="s">
        <v>129</v>
      </c>
      <c r="F3625" s="38" t="s">
        <v>130</v>
      </c>
      <c r="G3625" s="49" t="str">
        <f t="shared" si="1"/>
        <v>51510</v>
      </c>
      <c r="H3625" s="49">
        <f t="shared" si="2"/>
        <v>51566</v>
      </c>
    </row>
    <row r="3626">
      <c r="A3626" s="48" t="s">
        <v>5487</v>
      </c>
      <c r="B3626" s="38">
        <v>27195.0</v>
      </c>
      <c r="C3626" s="38" t="s">
        <v>6123</v>
      </c>
      <c r="D3626" s="38" t="str">
        <f>IFERROR(__xludf.DUMMYFUNCTION("REGEXREPLACE(C3626,""-\d+(.*)|--\d+(.*)"","""")"),"DAME-MARIE")</f>
        <v>DAME-MARIE</v>
      </c>
      <c r="E3626" s="38" t="s">
        <v>241</v>
      </c>
      <c r="F3626" s="38" t="s">
        <v>134</v>
      </c>
      <c r="G3626" s="49" t="str">
        <f t="shared" si="1"/>
        <v>27160</v>
      </c>
      <c r="H3626" s="49">
        <f t="shared" si="2"/>
        <v>27195</v>
      </c>
    </row>
    <row r="3627">
      <c r="A3627" s="48" t="s">
        <v>1534</v>
      </c>
      <c r="B3627" s="38">
        <v>19275.0</v>
      </c>
      <c r="C3627" s="38" t="s">
        <v>6124</v>
      </c>
      <c r="D3627" s="38" t="str">
        <f>IFERROR(__xludf.DUMMYFUNCTION("REGEXREPLACE(C3627,""-\d+(.*)|--\d+(.*)"","""")"),"USSEL")</f>
        <v>USSEL</v>
      </c>
      <c r="E3627" s="38" t="s">
        <v>271</v>
      </c>
      <c r="F3627" s="38" t="s">
        <v>98</v>
      </c>
      <c r="G3627" s="49" t="str">
        <f t="shared" si="1"/>
        <v>19200</v>
      </c>
      <c r="H3627" s="49">
        <f t="shared" si="2"/>
        <v>19275</v>
      </c>
    </row>
    <row r="3628">
      <c r="A3628" s="48" t="s">
        <v>6125</v>
      </c>
      <c r="B3628" s="38">
        <v>38127.0</v>
      </c>
      <c r="C3628" s="38" t="s">
        <v>6126</v>
      </c>
      <c r="D3628" s="38" t="str">
        <f>IFERROR(__xludf.DUMMYFUNCTION("REGEXREPLACE(C3628,""-\d+(.*)|--\d+(.*)"","""")"),"CORNILLON-EN-TRIEVES")</f>
        <v>CORNILLON-EN-TRIEVES</v>
      </c>
      <c r="E3628" s="38" t="s">
        <v>101</v>
      </c>
      <c r="F3628" s="38" t="s">
        <v>102</v>
      </c>
      <c r="G3628" s="49" t="str">
        <f t="shared" si="1"/>
        <v>38710</v>
      </c>
      <c r="H3628" s="49">
        <f t="shared" si="2"/>
        <v>38127</v>
      </c>
    </row>
    <row r="3629">
      <c r="A3629" s="48" t="s">
        <v>4428</v>
      </c>
      <c r="B3629" s="38">
        <v>72076.0</v>
      </c>
      <c r="C3629" s="38" t="s">
        <v>6127</v>
      </c>
      <c r="D3629" s="38" t="str">
        <f>IFERROR(__xludf.DUMMYFUNCTION("REGEXREPLACE(C3629,""-\d+(.*)|--\d+(.*)"","""")"),"CHENAY")</f>
        <v>CHENAY</v>
      </c>
      <c r="E3629" s="38" t="s">
        <v>521</v>
      </c>
      <c r="F3629" s="38" t="s">
        <v>180</v>
      </c>
      <c r="G3629" s="49" t="str">
        <f t="shared" si="1"/>
        <v>72610</v>
      </c>
      <c r="H3629" s="49">
        <f t="shared" si="2"/>
        <v>72076</v>
      </c>
    </row>
    <row r="3630">
      <c r="A3630" s="48" t="s">
        <v>1066</v>
      </c>
      <c r="B3630" s="38">
        <v>49186.0</v>
      </c>
      <c r="C3630" s="38" t="s">
        <v>6128</v>
      </c>
      <c r="D3630" s="38" t="str">
        <f>IFERROR(__xludf.DUMMYFUNCTION("REGEXREPLACE(C3630,""-\d+(.*)|--\d+(.*)"","""")"),"LUIGNE")</f>
        <v>LUIGNE</v>
      </c>
      <c r="E3630" s="38" t="s">
        <v>653</v>
      </c>
      <c r="F3630" s="38" t="s">
        <v>180</v>
      </c>
      <c r="G3630" s="49" t="str">
        <f t="shared" si="1"/>
        <v>49320</v>
      </c>
      <c r="H3630" s="49">
        <f t="shared" si="2"/>
        <v>49186</v>
      </c>
    </row>
    <row r="3631">
      <c r="A3631" s="48" t="s">
        <v>6129</v>
      </c>
      <c r="B3631" s="38">
        <v>67394.0</v>
      </c>
      <c r="C3631" s="38" t="s">
        <v>6130</v>
      </c>
      <c r="D3631" s="38" t="str">
        <f>IFERROR(__xludf.DUMMYFUNCTION("REGEXREPLACE(C3631,""-\d+(.*)|--\d+(.*)"","""")"),"RETSCHWILLER")</f>
        <v>RETSCHWILLER</v>
      </c>
      <c r="E3631" s="38" t="s">
        <v>210</v>
      </c>
      <c r="F3631" s="38" t="s">
        <v>151</v>
      </c>
      <c r="G3631" s="49" t="str">
        <f t="shared" si="1"/>
        <v>67250</v>
      </c>
      <c r="H3631" s="49">
        <f t="shared" si="2"/>
        <v>67394</v>
      </c>
    </row>
    <row r="3632">
      <c r="A3632" s="48" t="s">
        <v>114</v>
      </c>
      <c r="B3632" s="38">
        <v>62357.0</v>
      </c>
      <c r="C3632" s="38" t="s">
        <v>6131</v>
      </c>
      <c r="D3632" s="38" t="str">
        <f>IFERROR(__xludf.DUMMYFUNCTION("REGEXREPLACE(C3632,""-\d+(.*)|--\d+(.*)"","""")"),"FRESNOY")</f>
        <v>FRESNOY</v>
      </c>
      <c r="E3632" s="38" t="s">
        <v>109</v>
      </c>
      <c r="F3632" s="38" t="s">
        <v>86</v>
      </c>
      <c r="G3632" s="49" t="str">
        <f t="shared" si="1"/>
        <v>62770</v>
      </c>
      <c r="H3632" s="49">
        <f t="shared" si="2"/>
        <v>62357</v>
      </c>
    </row>
    <row r="3633">
      <c r="A3633" s="48" t="s">
        <v>6132</v>
      </c>
      <c r="B3633" s="38">
        <v>87143.0</v>
      </c>
      <c r="C3633" s="38" t="s">
        <v>6133</v>
      </c>
      <c r="D3633" s="38" t="str">
        <f>IFERROR(__xludf.DUMMYFUNCTION("REGEXREPLACE(C3633,""-\d+(.*)|--\d+(.*)"","""")"),"SAINT-GENCE")</f>
        <v>SAINT-GENCE</v>
      </c>
      <c r="E3633" s="38" t="s">
        <v>897</v>
      </c>
      <c r="F3633" s="38" t="s">
        <v>98</v>
      </c>
      <c r="G3633" s="49" t="str">
        <f t="shared" si="1"/>
        <v>87510</v>
      </c>
      <c r="H3633" s="49">
        <f t="shared" si="2"/>
        <v>87143</v>
      </c>
    </row>
    <row r="3634">
      <c r="A3634" s="48" t="s">
        <v>445</v>
      </c>
      <c r="B3634" s="38">
        <v>76104.0</v>
      </c>
      <c r="C3634" s="38" t="s">
        <v>6134</v>
      </c>
      <c r="D3634" s="38" t="str">
        <f>IFERROR(__xludf.DUMMYFUNCTION("REGEXREPLACE(C3634,""-\d+(.*)|--\d+(.*)"","""")"),"BLOSSEVILLE")</f>
        <v>BLOSSEVILLE</v>
      </c>
      <c r="E3634" s="38" t="s">
        <v>133</v>
      </c>
      <c r="F3634" s="38" t="s">
        <v>134</v>
      </c>
      <c r="G3634" s="49" t="str">
        <f t="shared" si="1"/>
        <v>76460</v>
      </c>
      <c r="H3634" s="49">
        <f t="shared" si="2"/>
        <v>76104</v>
      </c>
    </row>
    <row r="3635">
      <c r="A3635" s="48" t="s">
        <v>436</v>
      </c>
      <c r="B3635" s="38">
        <v>51125.0</v>
      </c>
      <c r="C3635" s="38" t="s">
        <v>6135</v>
      </c>
      <c r="D3635" s="38" t="str">
        <f>IFERROR(__xludf.DUMMYFUNCTION("REGEXREPLACE(C3635,""-\d+(.*)|--\d+(.*)"","""")"),"CHAPELAINE")</f>
        <v>CHAPELAINE</v>
      </c>
      <c r="E3635" s="38" t="s">
        <v>129</v>
      </c>
      <c r="F3635" s="38" t="s">
        <v>130</v>
      </c>
      <c r="G3635" s="49" t="str">
        <f t="shared" si="1"/>
        <v>51290</v>
      </c>
      <c r="H3635" s="49">
        <f t="shared" si="2"/>
        <v>51125</v>
      </c>
    </row>
    <row r="3636">
      <c r="A3636" s="48" t="s">
        <v>1212</v>
      </c>
      <c r="B3636" s="38">
        <v>11390.0</v>
      </c>
      <c r="C3636" s="38" t="s">
        <v>6136</v>
      </c>
      <c r="D3636" s="38" t="str">
        <f>IFERROR(__xludf.DUMMYFUNCTION("REGEXREPLACE(C3636,""-\d+(.*)|--\d+(.*)"","""")"),"THEZAN-DES-CORBIERES")</f>
        <v>THEZAN-DES-CORBIERES</v>
      </c>
      <c r="E3636" s="38" t="s">
        <v>278</v>
      </c>
      <c r="F3636" s="38" t="s">
        <v>119</v>
      </c>
      <c r="G3636" s="49" t="str">
        <f t="shared" si="1"/>
        <v>11200</v>
      </c>
      <c r="H3636" s="49">
        <f t="shared" si="2"/>
        <v>11390</v>
      </c>
    </row>
    <row r="3637">
      <c r="A3637" s="48" t="s">
        <v>5460</v>
      </c>
      <c r="B3637" s="38">
        <v>60469.0</v>
      </c>
      <c r="C3637" s="38" t="s">
        <v>6137</v>
      </c>
      <c r="D3637" s="38" t="str">
        <f>IFERROR(__xludf.DUMMYFUNCTION("REGEXREPLACE(C3637,""-\d+(.*)|--\d+(.*)"","""")"),"NOVILLERS")</f>
        <v>NOVILLERS</v>
      </c>
      <c r="E3637" s="38" t="s">
        <v>112</v>
      </c>
      <c r="F3637" s="38" t="s">
        <v>113</v>
      </c>
      <c r="G3637" s="49" t="str">
        <f t="shared" si="1"/>
        <v>60730</v>
      </c>
      <c r="H3637" s="49">
        <f t="shared" si="2"/>
        <v>60469</v>
      </c>
    </row>
    <row r="3638">
      <c r="A3638" s="48" t="s">
        <v>5012</v>
      </c>
      <c r="B3638" s="38">
        <v>55068.0</v>
      </c>
      <c r="C3638" s="38" t="s">
        <v>6138</v>
      </c>
      <c r="D3638" s="38" t="str">
        <f>IFERROR(__xludf.DUMMYFUNCTION("REGEXREPLACE(C3638,""-\d+(.*)|--\d+(.*)"","""")"),"BRABANT-EN-ARGONNE")</f>
        <v>BRABANT-EN-ARGONNE</v>
      </c>
      <c r="E3638" s="38" t="s">
        <v>322</v>
      </c>
      <c r="F3638" s="38" t="s">
        <v>195</v>
      </c>
      <c r="G3638" s="49" t="str">
        <f t="shared" si="1"/>
        <v>55120</v>
      </c>
      <c r="H3638" s="49">
        <f t="shared" si="2"/>
        <v>55068</v>
      </c>
    </row>
    <row r="3639">
      <c r="A3639" s="48" t="s">
        <v>4455</v>
      </c>
      <c r="B3639" s="38">
        <v>1318.0</v>
      </c>
      <c r="C3639" s="38" t="s">
        <v>6139</v>
      </c>
      <c r="D3639" s="38" t="str">
        <f>IFERROR(__xludf.DUMMYFUNCTION("REGEXREPLACE(C3639,""-\d+(.*)|--\d+(.*)"","""")"),"RANCE")</f>
        <v>RANCE</v>
      </c>
      <c r="E3639" s="38" t="s">
        <v>255</v>
      </c>
      <c r="F3639" s="38" t="s">
        <v>102</v>
      </c>
      <c r="G3639" s="49" t="str">
        <f t="shared" si="1"/>
        <v>01390</v>
      </c>
      <c r="H3639" s="49" t="str">
        <f t="shared" si="2"/>
        <v>01318</v>
      </c>
    </row>
    <row r="3640">
      <c r="A3640" s="48" t="s">
        <v>5413</v>
      </c>
      <c r="B3640" s="38">
        <v>44016.0</v>
      </c>
      <c r="C3640" s="38" t="s">
        <v>6140</v>
      </c>
      <c r="D3640" s="38" t="str">
        <f>IFERROR(__xludf.DUMMYFUNCTION("REGEXREPLACE(C3640,""-\d+(.*)|--\d+(.*)"","""")"),"LA BOISSIERE-DU-DORE")</f>
        <v>LA BOISSIERE-DU-DORE</v>
      </c>
      <c r="E3640" s="38" t="s">
        <v>759</v>
      </c>
      <c r="F3640" s="38" t="s">
        <v>180</v>
      </c>
      <c r="G3640" s="49" t="str">
        <f t="shared" si="1"/>
        <v>44430</v>
      </c>
      <c r="H3640" s="49">
        <f t="shared" si="2"/>
        <v>44016</v>
      </c>
    </row>
    <row r="3641">
      <c r="A3641" s="48" t="s">
        <v>1302</v>
      </c>
      <c r="B3641" s="38">
        <v>38489.0</v>
      </c>
      <c r="C3641" s="38" t="s">
        <v>6141</v>
      </c>
      <c r="D3641" s="38" t="str">
        <f>IFERROR(__xludf.DUMMYFUNCTION("REGEXREPLACE(C3641,""-\d+(.*)|--\d+(.*)"","""")"),"SIEVOZ")</f>
        <v>SIEVOZ</v>
      </c>
      <c r="E3641" s="38" t="s">
        <v>101</v>
      </c>
      <c r="F3641" s="38" t="s">
        <v>102</v>
      </c>
      <c r="G3641" s="49" t="str">
        <f t="shared" si="1"/>
        <v>38350</v>
      </c>
      <c r="H3641" s="49">
        <f t="shared" si="2"/>
        <v>38489</v>
      </c>
    </row>
    <row r="3642">
      <c r="A3642" s="48" t="s">
        <v>6142</v>
      </c>
      <c r="B3642" s="38">
        <v>44158.0</v>
      </c>
      <c r="C3642" s="38" t="s">
        <v>6143</v>
      </c>
      <c r="D3642" s="38" t="str">
        <f>IFERROR(__xludf.DUMMYFUNCTION("REGEXREPLACE(C3642,""-\d+(.*)|--\d+(.*)"","""")"),"SAINT-ETIENNE-DE-MONTLUC")</f>
        <v>SAINT-ETIENNE-DE-MONTLUC</v>
      </c>
      <c r="E3642" s="38" t="s">
        <v>759</v>
      </c>
      <c r="F3642" s="38" t="s">
        <v>180</v>
      </c>
      <c r="G3642" s="49" t="str">
        <f t="shared" si="1"/>
        <v>44360</v>
      </c>
      <c r="H3642" s="49">
        <f t="shared" si="2"/>
        <v>44158</v>
      </c>
    </row>
    <row r="3643">
      <c r="A3643" s="48" t="s">
        <v>2259</v>
      </c>
      <c r="B3643" s="38">
        <v>22099.0</v>
      </c>
      <c r="C3643" s="38" t="s">
        <v>6144</v>
      </c>
      <c r="D3643" s="38" t="str">
        <f>IFERROR(__xludf.DUMMYFUNCTION("REGEXREPLACE(C3643,""-\d+(.*)|--\d+(.*)"","""")"),"LANFAINS")</f>
        <v>LANFAINS</v>
      </c>
      <c r="E3643" s="38" t="s">
        <v>89</v>
      </c>
      <c r="F3643" s="38" t="s">
        <v>90</v>
      </c>
      <c r="G3643" s="49" t="str">
        <f t="shared" si="1"/>
        <v>22800</v>
      </c>
      <c r="H3643" s="49">
        <f t="shared" si="2"/>
        <v>22099</v>
      </c>
    </row>
    <row r="3644">
      <c r="A3644" s="48" t="s">
        <v>6145</v>
      </c>
      <c r="B3644" s="38">
        <v>59571.0</v>
      </c>
      <c r="C3644" s="38" t="s">
        <v>6146</v>
      </c>
      <c r="D3644" s="38" t="str">
        <f>IFERROR(__xludf.DUMMYFUNCTION("REGEXREPLACE(C3644,""-\d+(.*)|--\d+(.*)"","""")"),"SOLESMES")</f>
        <v>SOLESMES</v>
      </c>
      <c r="E3644" s="38" t="s">
        <v>85</v>
      </c>
      <c r="F3644" s="38" t="s">
        <v>86</v>
      </c>
      <c r="G3644" s="49" t="str">
        <f t="shared" si="1"/>
        <v>59730</v>
      </c>
      <c r="H3644" s="49">
        <f t="shared" si="2"/>
        <v>59571</v>
      </c>
    </row>
    <row r="3645">
      <c r="A3645" s="48" t="s">
        <v>3411</v>
      </c>
      <c r="B3645" s="38">
        <v>40247.0</v>
      </c>
      <c r="C3645" s="38" t="s">
        <v>6147</v>
      </c>
      <c r="D3645" s="38" t="str">
        <f>IFERROR(__xludf.DUMMYFUNCTION("REGEXREPLACE(C3645,""-\d+(.*)|--\d+(.*)"","""")"),"SAINT-AGNET")</f>
        <v>SAINT-AGNET</v>
      </c>
      <c r="E3645" s="38" t="s">
        <v>281</v>
      </c>
      <c r="F3645" s="38" t="s">
        <v>252</v>
      </c>
      <c r="G3645" s="49" t="str">
        <f t="shared" si="1"/>
        <v>40800</v>
      </c>
      <c r="H3645" s="49">
        <f t="shared" si="2"/>
        <v>40247</v>
      </c>
    </row>
    <row r="3646">
      <c r="A3646" s="48" t="s">
        <v>6148</v>
      </c>
      <c r="B3646" s="38">
        <v>78466.0</v>
      </c>
      <c r="C3646" s="38" t="s">
        <v>6149</v>
      </c>
      <c r="D3646" s="38" t="str">
        <f>IFERROR(__xludf.DUMMYFUNCTION("REGEXREPLACE(C3646,""-\d+(.*)|--\d+(.*)"","""")"),"ORGEVAL")</f>
        <v>ORGEVAL</v>
      </c>
      <c r="E3646" s="38" t="s">
        <v>362</v>
      </c>
      <c r="F3646" s="38" t="s">
        <v>245</v>
      </c>
      <c r="G3646" s="49" t="str">
        <f t="shared" si="1"/>
        <v>78630</v>
      </c>
      <c r="H3646" s="49">
        <f t="shared" si="2"/>
        <v>78466</v>
      </c>
    </row>
    <row r="3647">
      <c r="A3647" s="48" t="s">
        <v>6150</v>
      </c>
      <c r="B3647" s="38">
        <v>71412.0</v>
      </c>
      <c r="C3647" s="38" t="s">
        <v>6151</v>
      </c>
      <c r="D3647" s="38" t="str">
        <f>IFERROR(__xludf.DUMMYFUNCTION("REGEXREPLACE(C3647,""-\d+(.*)|--\d+(.*)"","""")"),"SAINT-EUSEBE")</f>
        <v>SAINT-EUSEBE</v>
      </c>
      <c r="E3647" s="38" t="s">
        <v>344</v>
      </c>
      <c r="F3647" s="38" t="s">
        <v>106</v>
      </c>
      <c r="G3647" s="49" t="str">
        <f t="shared" si="1"/>
        <v>71210</v>
      </c>
      <c r="H3647" s="49">
        <f t="shared" si="2"/>
        <v>71412</v>
      </c>
    </row>
    <row r="3648">
      <c r="A3648" s="48" t="s">
        <v>6152</v>
      </c>
      <c r="B3648" s="38">
        <v>62617.0</v>
      </c>
      <c r="C3648" s="38" t="s">
        <v>6153</v>
      </c>
      <c r="D3648" s="38" t="str">
        <f>IFERROR(__xludf.DUMMYFUNCTION("REGEXREPLACE(C3648,""-\d+(.*)|--\d+(.*)"","""")"),"NOEUX-LES-MINES")</f>
        <v>NOEUX-LES-MINES</v>
      </c>
      <c r="E3648" s="38" t="s">
        <v>109</v>
      </c>
      <c r="F3648" s="38" t="s">
        <v>86</v>
      </c>
      <c r="G3648" s="49" t="str">
        <f t="shared" si="1"/>
        <v>62290</v>
      </c>
      <c r="H3648" s="49">
        <f t="shared" si="2"/>
        <v>62617</v>
      </c>
    </row>
    <row r="3649">
      <c r="A3649" s="48" t="s">
        <v>3716</v>
      </c>
      <c r="B3649" s="38">
        <v>57136.0</v>
      </c>
      <c r="C3649" s="38" t="s">
        <v>6154</v>
      </c>
      <c r="D3649" s="38" t="str">
        <f>IFERROR(__xludf.DUMMYFUNCTION("REGEXREPLACE(C3649,""-\d+(.*)|--\d+(.*)"","""")"),"CHEMERY-LES-DEUX")</f>
        <v>CHEMERY-LES-DEUX</v>
      </c>
      <c r="E3649" s="38" t="s">
        <v>303</v>
      </c>
      <c r="F3649" s="38" t="s">
        <v>195</v>
      </c>
      <c r="G3649" s="49" t="str">
        <f t="shared" si="1"/>
        <v>57320</v>
      </c>
      <c r="H3649" s="49">
        <f t="shared" si="2"/>
        <v>57136</v>
      </c>
    </row>
    <row r="3650">
      <c r="A3650" s="48" t="s">
        <v>895</v>
      </c>
      <c r="B3650" s="38">
        <v>87051.0</v>
      </c>
      <c r="C3650" s="38" t="s">
        <v>6155</v>
      </c>
      <c r="D3650" s="38" t="str">
        <f>IFERROR(__xludf.DUMMYFUNCTION("REGEXREPLACE(C3650,""-\d+(.*)|--\d+(.*)"","""")"),"LA CROISILLE-SUR-BRIANCE")</f>
        <v>LA CROISILLE-SUR-BRIANCE</v>
      </c>
      <c r="E3650" s="38" t="s">
        <v>897</v>
      </c>
      <c r="F3650" s="38" t="s">
        <v>98</v>
      </c>
      <c r="G3650" s="49" t="str">
        <f t="shared" si="1"/>
        <v>87130</v>
      </c>
      <c r="H3650" s="49">
        <f t="shared" si="2"/>
        <v>87051</v>
      </c>
    </row>
    <row r="3651">
      <c r="A3651" s="48" t="s">
        <v>6156</v>
      </c>
      <c r="B3651" s="38">
        <v>35193.0</v>
      </c>
      <c r="C3651" s="38" t="s">
        <v>6157</v>
      </c>
      <c r="D3651" s="38" t="str">
        <f>IFERROR(__xludf.DUMMYFUNCTION("REGEXREPLACE(C3651,""-\d+(.*)|--\d+(.*)"","""")"),"MONTREUIL-LE-GAST")</f>
        <v>MONTREUIL-LE-GAST</v>
      </c>
      <c r="E3651" s="38" t="s">
        <v>347</v>
      </c>
      <c r="F3651" s="38" t="s">
        <v>90</v>
      </c>
      <c r="G3651" s="49" t="str">
        <f t="shared" si="1"/>
        <v>35520</v>
      </c>
      <c r="H3651" s="49">
        <f t="shared" si="2"/>
        <v>35193</v>
      </c>
    </row>
    <row r="3652">
      <c r="A3652" s="48" t="s">
        <v>6158</v>
      </c>
      <c r="B3652" s="38">
        <v>14652.0</v>
      </c>
      <c r="C3652" s="38" t="s">
        <v>6159</v>
      </c>
      <c r="D3652" s="38" t="str">
        <f>IFERROR(__xludf.DUMMYFUNCTION("REGEXREPLACE(C3652,""-\d+(.*)|--\d+(.*)"","""")"),"SAINT-PIERRE-DU-MONT")</f>
        <v>SAINT-PIERRE-DU-MONT</v>
      </c>
      <c r="E3652" s="38" t="s">
        <v>137</v>
      </c>
      <c r="F3652" s="38" t="s">
        <v>138</v>
      </c>
      <c r="G3652" s="49" t="str">
        <f t="shared" si="1"/>
        <v>14450</v>
      </c>
      <c r="H3652" s="49">
        <f t="shared" si="2"/>
        <v>14652</v>
      </c>
    </row>
    <row r="3653">
      <c r="A3653" s="48" t="s">
        <v>4044</v>
      </c>
      <c r="B3653" s="38">
        <v>52331.0</v>
      </c>
      <c r="C3653" s="38" t="s">
        <v>6160</v>
      </c>
      <c r="D3653" s="38" t="str">
        <f>IFERROR(__xludf.DUMMYFUNCTION("REGEXREPLACE(C3653,""-\d+(.*)|--\d+(.*)"","""")"),"MONTIER-EN-DER")</f>
        <v>MONTIER-EN-DER</v>
      </c>
      <c r="E3653" s="38" t="s">
        <v>234</v>
      </c>
      <c r="F3653" s="38" t="s">
        <v>130</v>
      </c>
      <c r="G3653" s="49" t="str">
        <f t="shared" si="1"/>
        <v>52220</v>
      </c>
      <c r="H3653" s="49">
        <f t="shared" si="2"/>
        <v>52331</v>
      </c>
    </row>
    <row r="3654">
      <c r="A3654" s="48" t="s">
        <v>4703</v>
      </c>
      <c r="B3654" s="38">
        <v>66054.0</v>
      </c>
      <c r="C3654" s="38" t="s">
        <v>6161</v>
      </c>
      <c r="D3654" s="38" t="str">
        <f>IFERROR(__xludf.DUMMYFUNCTION("REGEXREPLACE(C3654,""-\d+(.*)|--\d+(.*)"","""")"),"CONAT")</f>
        <v>CONAT</v>
      </c>
      <c r="E3654" s="38" t="s">
        <v>248</v>
      </c>
      <c r="F3654" s="38" t="s">
        <v>119</v>
      </c>
      <c r="G3654" s="49" t="str">
        <f t="shared" si="1"/>
        <v>66500</v>
      </c>
      <c r="H3654" s="49">
        <f t="shared" si="2"/>
        <v>66054</v>
      </c>
    </row>
    <row r="3655">
      <c r="A3655" s="48" t="s">
        <v>1354</v>
      </c>
      <c r="B3655" s="38">
        <v>28229.0</v>
      </c>
      <c r="C3655" s="38" t="s">
        <v>6162</v>
      </c>
      <c r="D3655" s="38" t="str">
        <f>IFERROR(__xludf.DUMMYFUNCTION("REGEXREPLACE(C3655,""-\d+(.*)|--\d+(.*)"","""")"),"MAINVILLIERS")</f>
        <v>MAINVILLIERS</v>
      </c>
      <c r="E3655" s="38" t="s">
        <v>300</v>
      </c>
      <c r="F3655" s="38" t="s">
        <v>123</v>
      </c>
      <c r="G3655" s="49" t="str">
        <f t="shared" si="1"/>
        <v>28300</v>
      </c>
      <c r="H3655" s="49">
        <f t="shared" si="2"/>
        <v>28229</v>
      </c>
    </row>
    <row r="3656">
      <c r="A3656" s="48" t="s">
        <v>2820</v>
      </c>
      <c r="B3656" s="38">
        <v>2736.0</v>
      </c>
      <c r="C3656" s="38" t="s">
        <v>6163</v>
      </c>
      <c r="D3656" s="38" t="str">
        <f>IFERROR(__xludf.DUMMYFUNCTION("REGEXREPLACE(C3656,""-\d+(.*)|--\d+(.*)"","""")"),"TARTIERS")</f>
        <v>TARTIERS</v>
      </c>
      <c r="E3656" s="38" t="s">
        <v>191</v>
      </c>
      <c r="F3656" s="38" t="s">
        <v>113</v>
      </c>
      <c r="G3656" s="49" t="str">
        <f t="shared" si="1"/>
        <v>02290</v>
      </c>
      <c r="H3656" s="49" t="str">
        <f t="shared" si="2"/>
        <v>02736</v>
      </c>
    </row>
    <row r="3657">
      <c r="A3657" s="48" t="s">
        <v>1817</v>
      </c>
      <c r="B3657" s="38">
        <v>31377.0</v>
      </c>
      <c r="C3657" s="38" t="s">
        <v>6164</v>
      </c>
      <c r="D3657" s="38" t="str">
        <f>IFERROR(__xludf.DUMMYFUNCTION("REGEXREPLACE(C3657,""-\d+(.*)|--\d+(.*)"","""")"),"MONTGAILLARD-LAURAGAIS")</f>
        <v>MONTGAILLARD-LAURAGAIS</v>
      </c>
      <c r="E3657" s="38" t="s">
        <v>93</v>
      </c>
      <c r="F3657" s="38" t="s">
        <v>94</v>
      </c>
      <c r="G3657" s="49" t="str">
        <f t="shared" si="1"/>
        <v>31290</v>
      </c>
      <c r="H3657" s="49">
        <f t="shared" si="2"/>
        <v>31377</v>
      </c>
    </row>
    <row r="3658">
      <c r="A3658" s="48" t="s">
        <v>2330</v>
      </c>
      <c r="B3658" s="38">
        <v>65045.0</v>
      </c>
      <c r="C3658" s="38" t="s">
        <v>6165</v>
      </c>
      <c r="D3658" s="38" t="str">
        <f>IFERROR(__xludf.DUMMYFUNCTION("REGEXREPLACE(C3658,""-\d+(.*)|--\d+(.*)"","""")"),"AUCUN")</f>
        <v>AUCUN</v>
      </c>
      <c r="E3658" s="38" t="s">
        <v>200</v>
      </c>
      <c r="F3658" s="38" t="s">
        <v>94</v>
      </c>
      <c r="G3658" s="49" t="str">
        <f t="shared" si="1"/>
        <v>65400</v>
      </c>
      <c r="H3658" s="49">
        <f t="shared" si="2"/>
        <v>65045</v>
      </c>
    </row>
    <row r="3659">
      <c r="A3659" s="48" t="s">
        <v>2920</v>
      </c>
      <c r="B3659" s="38">
        <v>62447.0</v>
      </c>
      <c r="C3659" s="38" t="s">
        <v>6166</v>
      </c>
      <c r="D3659" s="38" t="str">
        <f>IFERROR(__xludf.DUMMYFUNCTION("REGEXREPLACE(C3659,""-\d+(.*)|--\d+(.*)"","""")"),"HESDIN")</f>
        <v>HESDIN</v>
      </c>
      <c r="E3659" s="38" t="s">
        <v>109</v>
      </c>
      <c r="F3659" s="38" t="s">
        <v>86</v>
      </c>
      <c r="G3659" s="49" t="str">
        <f t="shared" si="1"/>
        <v>62140</v>
      </c>
      <c r="H3659" s="49">
        <f t="shared" si="2"/>
        <v>62447</v>
      </c>
    </row>
    <row r="3660">
      <c r="A3660" s="48" t="s">
        <v>1284</v>
      </c>
      <c r="B3660" s="38">
        <v>9047.0</v>
      </c>
      <c r="C3660" s="38" t="s">
        <v>6167</v>
      </c>
      <c r="D3660" s="38" t="str">
        <f>IFERROR(__xludf.DUMMYFUNCTION("REGEXREPLACE(C3660,""-\d+(.*)|--\d+(.*)"","""")"),"BELESTA")</f>
        <v>BELESTA</v>
      </c>
      <c r="E3660" s="38" t="s">
        <v>238</v>
      </c>
      <c r="F3660" s="38" t="s">
        <v>94</v>
      </c>
      <c r="G3660" s="49" t="str">
        <f t="shared" si="1"/>
        <v>09300</v>
      </c>
      <c r="H3660" s="49" t="str">
        <f t="shared" si="2"/>
        <v>09047</v>
      </c>
    </row>
    <row r="3661">
      <c r="A3661" s="48" t="s">
        <v>6168</v>
      </c>
      <c r="B3661" s="38">
        <v>16025.0</v>
      </c>
      <c r="C3661" s="38" t="s">
        <v>6169</v>
      </c>
      <c r="D3661" s="38" t="str">
        <f>IFERROR(__xludf.DUMMYFUNCTION("REGEXREPLACE(C3661,""-\d+(.*)|--\d+(.*)"","""")"),"BAIGNES-SAINTE-RADEGONDE")</f>
        <v>BAIGNES-SAINTE-RADEGONDE</v>
      </c>
      <c r="E3661" s="38" t="s">
        <v>429</v>
      </c>
      <c r="F3661" s="38" t="s">
        <v>338</v>
      </c>
      <c r="G3661" s="49" t="str">
        <f t="shared" si="1"/>
        <v>16360</v>
      </c>
      <c r="H3661" s="49">
        <f t="shared" si="2"/>
        <v>16025</v>
      </c>
    </row>
    <row r="3662">
      <c r="A3662" s="48" t="s">
        <v>1796</v>
      </c>
      <c r="B3662" s="38">
        <v>31143.0</v>
      </c>
      <c r="C3662" s="38" t="s">
        <v>6170</v>
      </c>
      <c r="D3662" s="38" t="str">
        <f>IFERROR(__xludf.DUMMYFUNCTION("REGEXREPLACE(C3662,""-\d+(.*)|--\d+(.*)"","""")"),"CIER-DE-RIVIERE")</f>
        <v>CIER-DE-RIVIERE</v>
      </c>
      <c r="E3662" s="38" t="s">
        <v>93</v>
      </c>
      <c r="F3662" s="38" t="s">
        <v>94</v>
      </c>
      <c r="G3662" s="49" t="str">
        <f t="shared" si="1"/>
        <v>31510</v>
      </c>
      <c r="H3662" s="49">
        <f t="shared" si="2"/>
        <v>31143</v>
      </c>
    </row>
    <row r="3663">
      <c r="A3663" s="48" t="s">
        <v>2097</v>
      </c>
      <c r="B3663" s="38">
        <v>42175.0</v>
      </c>
      <c r="C3663" s="38" t="s">
        <v>6171</v>
      </c>
      <c r="D3663" s="38" t="str">
        <f>IFERROR(__xludf.DUMMYFUNCTION("REGEXREPLACE(C3663,""-\d+(.*)|--\d+(.*)"","""")"),"POUILLY-LES-FEURS")</f>
        <v>POUILLY-LES-FEURS</v>
      </c>
      <c r="E3663" s="38" t="s">
        <v>166</v>
      </c>
      <c r="F3663" s="38" t="s">
        <v>102</v>
      </c>
      <c r="G3663" s="49" t="str">
        <f t="shared" si="1"/>
        <v>42110</v>
      </c>
      <c r="H3663" s="49">
        <f t="shared" si="2"/>
        <v>42175</v>
      </c>
    </row>
    <row r="3664">
      <c r="A3664" s="48" t="s">
        <v>6172</v>
      </c>
      <c r="B3664" s="38">
        <v>83090.0</v>
      </c>
      <c r="C3664" s="38" t="s">
        <v>6173</v>
      </c>
      <c r="D3664" s="38" t="str">
        <f>IFERROR(__xludf.DUMMYFUNCTION("REGEXREPLACE(C3664,""-\d+(.*)|--\d+(.*)"","""")"),"OLLIOULES")</f>
        <v>OLLIOULES</v>
      </c>
      <c r="E3664" s="38" t="s">
        <v>813</v>
      </c>
      <c r="F3664" s="38" t="s">
        <v>228</v>
      </c>
      <c r="G3664" s="49" t="str">
        <f t="shared" si="1"/>
        <v>83190</v>
      </c>
      <c r="H3664" s="49">
        <f t="shared" si="2"/>
        <v>83090</v>
      </c>
    </row>
    <row r="3665">
      <c r="A3665" s="48" t="s">
        <v>6174</v>
      </c>
      <c r="B3665" s="38">
        <v>25388.0</v>
      </c>
      <c r="C3665" s="38" t="s">
        <v>6175</v>
      </c>
      <c r="D3665" s="38" t="str">
        <f>IFERROR(__xludf.DUMMYFUNCTION("REGEXREPLACE(C3665,""-\d+(.*)|--\d+(.*)"","""")"),"MONTBELIARD")</f>
        <v>MONTBELIARD</v>
      </c>
      <c r="E3665" s="38" t="s">
        <v>213</v>
      </c>
      <c r="F3665" s="38" t="s">
        <v>214</v>
      </c>
      <c r="G3665" s="49" t="str">
        <f t="shared" si="1"/>
        <v>25200</v>
      </c>
      <c r="H3665" s="49">
        <f t="shared" si="2"/>
        <v>25388</v>
      </c>
    </row>
    <row r="3666">
      <c r="A3666" s="48" t="s">
        <v>6176</v>
      </c>
      <c r="B3666" s="38">
        <v>97207.0</v>
      </c>
      <c r="C3666" s="38" t="s">
        <v>6177</v>
      </c>
      <c r="D3666" s="38" t="str">
        <f>IFERROR(__xludf.DUMMYFUNCTION("REGEXREPLACE(C3666,""-\d+(.*)|--\d+(.*)"","""")"),"DUCOS")</f>
        <v>DUCOS</v>
      </c>
      <c r="E3666" s="38" t="s">
        <v>2282</v>
      </c>
      <c r="F3666" s="38" t="s">
        <v>2282</v>
      </c>
      <c r="G3666" s="49" t="str">
        <f t="shared" si="1"/>
        <v>97224</v>
      </c>
      <c r="H3666" s="49">
        <f t="shared" si="2"/>
        <v>97207</v>
      </c>
    </row>
    <row r="3667">
      <c r="A3667" s="48" t="s">
        <v>1100</v>
      </c>
      <c r="B3667" s="38">
        <v>8220.0</v>
      </c>
      <c r="C3667" s="38" t="s">
        <v>6178</v>
      </c>
      <c r="D3667" s="38" t="str">
        <f>IFERROR(__xludf.DUMMYFUNCTION("REGEXREPLACE(C3667,""-\d+(.*)|--\d+(.*)"","""")"),"HAUVINE")</f>
        <v>HAUVINE</v>
      </c>
      <c r="E3667" s="38" t="s">
        <v>327</v>
      </c>
      <c r="F3667" s="38" t="s">
        <v>130</v>
      </c>
      <c r="G3667" s="49" t="str">
        <f t="shared" si="1"/>
        <v>08310</v>
      </c>
      <c r="H3667" s="49" t="str">
        <f t="shared" si="2"/>
        <v>08220</v>
      </c>
    </row>
    <row r="3668">
      <c r="A3668" s="48" t="s">
        <v>6179</v>
      </c>
      <c r="B3668" s="38">
        <v>8028.0</v>
      </c>
      <c r="C3668" s="38" t="s">
        <v>6180</v>
      </c>
      <c r="D3668" s="38" t="str">
        <f>IFERROR(__xludf.DUMMYFUNCTION("REGEXREPLACE(C3668,""-\d+(.*)|--\d+(.*)"","""")"),"AUBRIVES")</f>
        <v>AUBRIVES</v>
      </c>
      <c r="E3668" s="38" t="s">
        <v>327</v>
      </c>
      <c r="F3668" s="38" t="s">
        <v>130</v>
      </c>
      <c r="G3668" s="49" t="str">
        <f t="shared" si="1"/>
        <v>08320</v>
      </c>
      <c r="H3668" s="49" t="str">
        <f t="shared" si="2"/>
        <v>08028</v>
      </c>
    </row>
    <row r="3669">
      <c r="A3669" s="48" t="s">
        <v>3321</v>
      </c>
      <c r="B3669" s="38">
        <v>47240.0</v>
      </c>
      <c r="C3669" s="38" t="s">
        <v>6181</v>
      </c>
      <c r="D3669" s="38" t="str">
        <f>IFERROR(__xludf.DUMMYFUNCTION("REGEXREPLACE(C3669,""-\d+(.*)|--\d+(.*)"","""")"),"SAINT-ETIENNE-DE-VILLEREAL")</f>
        <v>SAINT-ETIENNE-DE-VILLEREAL</v>
      </c>
      <c r="E3669" s="38" t="s">
        <v>251</v>
      </c>
      <c r="F3669" s="38" t="s">
        <v>252</v>
      </c>
      <c r="G3669" s="49" t="str">
        <f t="shared" si="1"/>
        <v>47210</v>
      </c>
      <c r="H3669" s="49">
        <f t="shared" si="2"/>
        <v>47240</v>
      </c>
    </row>
    <row r="3670">
      <c r="A3670" s="48" t="s">
        <v>2382</v>
      </c>
      <c r="B3670" s="38">
        <v>54496.0</v>
      </c>
      <c r="C3670" s="38" t="s">
        <v>6182</v>
      </c>
      <c r="D3670" s="38" t="str">
        <f>IFERROR(__xludf.DUMMYFUNCTION("REGEXREPLACE(C3670,""-\d+(.*)|--\d+(.*)"","""")"),"SAULXURES-LES-VANNES")</f>
        <v>SAULXURES-LES-VANNES</v>
      </c>
      <c r="E3670" s="38" t="s">
        <v>548</v>
      </c>
      <c r="F3670" s="38" t="s">
        <v>195</v>
      </c>
      <c r="G3670" s="49" t="str">
        <f t="shared" si="1"/>
        <v>54170</v>
      </c>
      <c r="H3670" s="49">
        <f t="shared" si="2"/>
        <v>54496</v>
      </c>
    </row>
    <row r="3671">
      <c r="A3671" s="48" t="s">
        <v>2389</v>
      </c>
      <c r="B3671" s="38">
        <v>64416.0</v>
      </c>
      <c r="C3671" s="38" t="s">
        <v>6183</v>
      </c>
      <c r="D3671" s="38" t="str">
        <f>IFERROR(__xludf.DUMMYFUNCTION("REGEXREPLACE(C3671,""-\d+(.*)|--\d+(.*)"","""")"),"NAVARRENX")</f>
        <v>NAVARRENX</v>
      </c>
      <c r="E3671" s="38" t="s">
        <v>268</v>
      </c>
      <c r="F3671" s="38" t="s">
        <v>252</v>
      </c>
      <c r="G3671" s="49" t="str">
        <f t="shared" si="1"/>
        <v>64190</v>
      </c>
      <c r="H3671" s="49">
        <f t="shared" si="2"/>
        <v>64416</v>
      </c>
    </row>
    <row r="3672">
      <c r="A3672" s="48" t="s">
        <v>6184</v>
      </c>
      <c r="B3672" s="38">
        <v>7202.0</v>
      </c>
      <c r="C3672" s="38" t="s">
        <v>6185</v>
      </c>
      <c r="D3672" s="38" t="str">
        <f>IFERROR(__xludf.DUMMYFUNCTION("REGEXREPLACE(C3672,""-\d+(.*)|--\d+(.*)"","""")"),"SABLIERES")</f>
        <v>SABLIERES</v>
      </c>
      <c r="E3672" s="38" t="s">
        <v>144</v>
      </c>
      <c r="F3672" s="38" t="s">
        <v>102</v>
      </c>
      <c r="G3672" s="49" t="str">
        <f t="shared" si="1"/>
        <v>07260</v>
      </c>
      <c r="H3672" s="49" t="str">
        <f t="shared" si="2"/>
        <v>07202</v>
      </c>
    </row>
    <row r="3673">
      <c r="A3673" s="48" t="s">
        <v>6186</v>
      </c>
      <c r="B3673" s="38">
        <v>68022.0</v>
      </c>
      <c r="C3673" s="38" t="s">
        <v>6187</v>
      </c>
      <c r="D3673" s="38" t="str">
        <f>IFERROR(__xludf.DUMMYFUNCTION("REGEXREPLACE(C3673,""-\d+(.*)|--\d+(.*)"","""")"),"BATTENHEIM")</f>
        <v>BATTENHEIM</v>
      </c>
      <c r="E3673" s="38" t="s">
        <v>150</v>
      </c>
      <c r="F3673" s="38" t="s">
        <v>151</v>
      </c>
      <c r="G3673" s="49" t="str">
        <f t="shared" si="1"/>
        <v>68390</v>
      </c>
      <c r="H3673" s="49">
        <f t="shared" si="2"/>
        <v>68022</v>
      </c>
    </row>
    <row r="3674">
      <c r="A3674" s="48" t="s">
        <v>711</v>
      </c>
      <c r="B3674" s="38">
        <v>49011.0</v>
      </c>
      <c r="C3674" s="38" t="s">
        <v>6188</v>
      </c>
      <c r="D3674" s="38" t="str">
        <f>IFERROR(__xludf.DUMMYFUNCTION("REGEXREPLACE(C3674,""-\d+(.*)|--\d+(.*)"","""")"),"ARTANNES-SUR-THOUET")</f>
        <v>ARTANNES-SUR-THOUET</v>
      </c>
      <c r="E3674" s="38" t="s">
        <v>653</v>
      </c>
      <c r="F3674" s="38" t="s">
        <v>180</v>
      </c>
      <c r="G3674" s="49" t="str">
        <f t="shared" si="1"/>
        <v>49260</v>
      </c>
      <c r="H3674" s="49">
        <f t="shared" si="2"/>
        <v>49011</v>
      </c>
    </row>
    <row r="3675">
      <c r="A3675" s="48" t="s">
        <v>6189</v>
      </c>
      <c r="B3675" s="38">
        <v>32032.0</v>
      </c>
      <c r="C3675" s="38" t="s">
        <v>6190</v>
      </c>
      <c r="D3675" s="38" t="str">
        <f>IFERROR(__xludf.DUMMYFUNCTION("REGEXREPLACE(C3675,""-\d+(.*)|--\d+(.*)"","""")"),"BASSOUES")</f>
        <v>BASSOUES</v>
      </c>
      <c r="E3675" s="38" t="s">
        <v>440</v>
      </c>
      <c r="F3675" s="38" t="s">
        <v>94</v>
      </c>
      <c r="G3675" s="49" t="str">
        <f t="shared" si="1"/>
        <v>32320</v>
      </c>
      <c r="H3675" s="49">
        <f t="shared" si="2"/>
        <v>32032</v>
      </c>
    </row>
    <row r="3676">
      <c r="A3676" s="48" t="s">
        <v>6191</v>
      </c>
      <c r="B3676" s="38">
        <v>50582.0</v>
      </c>
      <c r="C3676" s="38" t="s">
        <v>6192</v>
      </c>
      <c r="D3676" s="38" t="str">
        <f>IFERROR(__xludf.DUMMYFUNCTION("REGEXREPLACE(C3676,""-\d+(.*)|--\d+(.*)"","""")"),"SOURDEVAL")</f>
        <v>SOURDEVAL</v>
      </c>
      <c r="E3676" s="38" t="s">
        <v>157</v>
      </c>
      <c r="F3676" s="38" t="s">
        <v>138</v>
      </c>
      <c r="G3676" s="49" t="str">
        <f t="shared" si="1"/>
        <v>50150</v>
      </c>
      <c r="H3676" s="49">
        <f t="shared" si="2"/>
        <v>50582</v>
      </c>
    </row>
    <row r="3677">
      <c r="A3677" s="48" t="s">
        <v>3208</v>
      </c>
      <c r="B3677" s="38">
        <v>80442.0</v>
      </c>
      <c r="C3677" s="38" t="s">
        <v>6193</v>
      </c>
      <c r="D3677" s="38" t="str">
        <f>IFERROR(__xludf.DUMMYFUNCTION("REGEXREPLACE(C3677,""-\d+(.*)|--\d+(.*)"","""")"),"HOMBLEUX")</f>
        <v>HOMBLEUX</v>
      </c>
      <c r="E3677" s="38" t="s">
        <v>224</v>
      </c>
      <c r="F3677" s="38" t="s">
        <v>113</v>
      </c>
      <c r="G3677" s="49" t="str">
        <f t="shared" si="1"/>
        <v>80400</v>
      </c>
      <c r="H3677" s="49">
        <f t="shared" si="2"/>
        <v>80442</v>
      </c>
    </row>
    <row r="3678">
      <c r="A3678" s="48" t="s">
        <v>522</v>
      </c>
      <c r="B3678" s="38">
        <v>39097.0</v>
      </c>
      <c r="C3678" s="38" t="s">
        <v>6194</v>
      </c>
      <c r="D3678" s="38" t="str">
        <f>IFERROR(__xludf.DUMMYFUNCTION("REGEXREPLACE(C3678,""-\d+(.*)|--\d+(.*)"","""")"),"CHAMPAGNOLE")</f>
        <v>CHAMPAGNOLE</v>
      </c>
      <c r="E3678" s="38" t="s">
        <v>400</v>
      </c>
      <c r="F3678" s="38" t="s">
        <v>214</v>
      </c>
      <c r="G3678" s="49" t="str">
        <f t="shared" si="1"/>
        <v>39300</v>
      </c>
      <c r="H3678" s="49">
        <f t="shared" si="2"/>
        <v>39097</v>
      </c>
    </row>
    <row r="3679">
      <c r="A3679" s="48" t="s">
        <v>6195</v>
      </c>
      <c r="B3679" s="38">
        <v>57041.0</v>
      </c>
      <c r="C3679" s="38" t="s">
        <v>6196</v>
      </c>
      <c r="D3679" s="38" t="str">
        <f>IFERROR(__xludf.DUMMYFUNCTION("REGEXREPLACE(C3679,""-\d+(.*)|--\d+(.*)"","""")"),"AUMETZ")</f>
        <v>AUMETZ</v>
      </c>
      <c r="E3679" s="38" t="s">
        <v>303</v>
      </c>
      <c r="F3679" s="38" t="s">
        <v>195</v>
      </c>
      <c r="G3679" s="49" t="str">
        <f t="shared" si="1"/>
        <v>57710</v>
      </c>
      <c r="H3679" s="49">
        <f t="shared" si="2"/>
        <v>57041</v>
      </c>
    </row>
    <row r="3680">
      <c r="A3680" s="48" t="s">
        <v>6197</v>
      </c>
      <c r="B3680" s="38">
        <v>19194.0</v>
      </c>
      <c r="C3680" s="38" t="s">
        <v>6198</v>
      </c>
      <c r="D3680" s="38" t="str">
        <f>IFERROR(__xludf.DUMMYFUNCTION("REGEXREPLACE(C3680,""-\d+(.*)|--\d+(.*)"","""")"),"SAINT-CLEMENT")</f>
        <v>SAINT-CLEMENT</v>
      </c>
      <c r="E3680" s="38" t="s">
        <v>271</v>
      </c>
      <c r="F3680" s="38" t="s">
        <v>98</v>
      </c>
      <c r="G3680" s="49" t="str">
        <f t="shared" si="1"/>
        <v>19700</v>
      </c>
      <c r="H3680" s="49">
        <f t="shared" si="2"/>
        <v>19194</v>
      </c>
    </row>
    <row r="3681">
      <c r="A3681" s="48" t="s">
        <v>2316</v>
      </c>
      <c r="B3681" s="38">
        <v>25546.0</v>
      </c>
      <c r="C3681" s="38" t="s">
        <v>6199</v>
      </c>
      <c r="D3681" s="38" t="str">
        <f>IFERROR(__xludf.DUMMYFUNCTION("REGEXREPLACE(C3681,""-\d+(.*)|--\d+(.*)"","""")"),"SILLEY-BLEFOND")</f>
        <v>SILLEY-BLEFOND</v>
      </c>
      <c r="E3681" s="38" t="s">
        <v>213</v>
      </c>
      <c r="F3681" s="38" t="s">
        <v>214</v>
      </c>
      <c r="G3681" s="49" t="str">
        <f t="shared" si="1"/>
        <v>25110</v>
      </c>
      <c r="H3681" s="49">
        <f t="shared" si="2"/>
        <v>25546</v>
      </c>
    </row>
    <row r="3682">
      <c r="A3682" s="48" t="s">
        <v>6200</v>
      </c>
      <c r="B3682" s="38">
        <v>86021.0</v>
      </c>
      <c r="C3682" s="38" t="s">
        <v>6201</v>
      </c>
      <c r="D3682" s="38" t="str">
        <f>IFERROR(__xludf.DUMMYFUNCTION("REGEXREPLACE(C3682,""-\d+(.*)|--\d+(.*)"","""")"),"BENASSAY")</f>
        <v>BENASSAY</v>
      </c>
      <c r="E3682" s="38" t="s">
        <v>529</v>
      </c>
      <c r="F3682" s="38" t="s">
        <v>338</v>
      </c>
      <c r="G3682" s="49" t="str">
        <f t="shared" si="1"/>
        <v>86470</v>
      </c>
      <c r="H3682" s="49">
        <f t="shared" si="2"/>
        <v>86021</v>
      </c>
    </row>
    <row r="3683">
      <c r="A3683" s="48" t="s">
        <v>6202</v>
      </c>
      <c r="B3683" s="38">
        <v>49269.0</v>
      </c>
      <c r="C3683" s="38" t="s">
        <v>6203</v>
      </c>
      <c r="D3683" s="38" t="str">
        <f>IFERROR(__xludf.DUMMYFUNCTION("REGEXREPLACE(C3683,""-\d+(.*)|--\d+(.*)"","""")"),"SAINT-CHRISTOPHE-DU-BOIS")</f>
        <v>SAINT-CHRISTOPHE-DU-BOIS</v>
      </c>
      <c r="E3683" s="38" t="s">
        <v>653</v>
      </c>
      <c r="F3683" s="38" t="s">
        <v>180</v>
      </c>
      <c r="G3683" s="49" t="str">
        <f t="shared" si="1"/>
        <v>49280</v>
      </c>
      <c r="H3683" s="49">
        <f t="shared" si="2"/>
        <v>49269</v>
      </c>
    </row>
    <row r="3684">
      <c r="A3684" s="48" t="s">
        <v>1233</v>
      </c>
      <c r="B3684" s="38">
        <v>60694.0</v>
      </c>
      <c r="C3684" s="38" t="s">
        <v>6204</v>
      </c>
      <c r="D3684" s="38" t="str">
        <f>IFERROR(__xludf.DUMMYFUNCTION("REGEXREPLACE(C3684,""-\d+(.*)|--\d+(.*)"","""")"),"VILLOTRAN")</f>
        <v>VILLOTRAN</v>
      </c>
      <c r="E3684" s="38" t="s">
        <v>112</v>
      </c>
      <c r="F3684" s="38" t="s">
        <v>113</v>
      </c>
      <c r="G3684" s="49" t="str">
        <f t="shared" si="1"/>
        <v>60390</v>
      </c>
      <c r="H3684" s="49">
        <f t="shared" si="2"/>
        <v>60694</v>
      </c>
    </row>
    <row r="3685">
      <c r="A3685" s="48" t="s">
        <v>6205</v>
      </c>
      <c r="B3685" s="38">
        <v>82121.0</v>
      </c>
      <c r="C3685" s="38" t="s">
        <v>6206</v>
      </c>
      <c r="D3685" s="38" t="str">
        <f>IFERROR(__xludf.DUMMYFUNCTION("REGEXREPLACE(C3685,""-\d+(.*)|--\d+(.*)"","""")"),"MONTAUBAN")</f>
        <v>MONTAUBAN</v>
      </c>
      <c r="E3685" s="38" t="s">
        <v>570</v>
      </c>
      <c r="F3685" s="38" t="s">
        <v>94</v>
      </c>
      <c r="G3685" s="49" t="str">
        <f t="shared" si="1"/>
        <v>82000</v>
      </c>
      <c r="H3685" s="49">
        <f t="shared" si="2"/>
        <v>82121</v>
      </c>
    </row>
    <row r="3686">
      <c r="A3686" s="48" t="s">
        <v>6207</v>
      </c>
      <c r="B3686" s="38">
        <v>23074.0</v>
      </c>
      <c r="C3686" s="38" t="s">
        <v>6208</v>
      </c>
      <c r="D3686" s="38" t="str">
        <f>IFERROR(__xludf.DUMMYFUNCTION("REGEXREPLACE(C3686,""-\d+(.*)|--\d+(.*)"","""")"),"LE DONZEIL")</f>
        <v>LE DONZEIL</v>
      </c>
      <c r="E3686" s="38" t="s">
        <v>97</v>
      </c>
      <c r="F3686" s="38" t="s">
        <v>98</v>
      </c>
      <c r="G3686" s="49" t="str">
        <f t="shared" si="1"/>
        <v>23480</v>
      </c>
      <c r="H3686" s="49">
        <f t="shared" si="2"/>
        <v>23074</v>
      </c>
    </row>
    <row r="3687">
      <c r="A3687" s="48" t="s">
        <v>3798</v>
      </c>
      <c r="B3687" s="38">
        <v>85115.0</v>
      </c>
      <c r="C3687" s="38" t="s">
        <v>6209</v>
      </c>
      <c r="D3687" s="38" t="str">
        <f>IFERROR(__xludf.DUMMYFUNCTION("REGEXREPLACE(C3687,""-\d+(.*)|--\d+(.*)"","""")"),"LA JAUDONNIERE")</f>
        <v>LA JAUDONNIERE</v>
      </c>
      <c r="E3687" s="38" t="s">
        <v>179</v>
      </c>
      <c r="F3687" s="38" t="s">
        <v>180</v>
      </c>
      <c r="G3687" s="49" t="str">
        <f t="shared" si="1"/>
        <v>85110</v>
      </c>
      <c r="H3687" s="49">
        <f t="shared" si="2"/>
        <v>85115</v>
      </c>
    </row>
    <row r="3688">
      <c r="A3688" s="48" t="s">
        <v>6210</v>
      </c>
      <c r="B3688" s="38">
        <v>54363.0</v>
      </c>
      <c r="C3688" s="38" t="s">
        <v>6211</v>
      </c>
      <c r="D3688" s="38" t="str">
        <f>IFERROR(__xludf.DUMMYFUNCTION("REGEXREPLACE(C3688,""-\d+(.*)|--\d+(.*)"","""")"),"MERCY-LE-HAUT")</f>
        <v>MERCY-LE-HAUT</v>
      </c>
      <c r="E3688" s="38" t="s">
        <v>548</v>
      </c>
      <c r="F3688" s="38" t="s">
        <v>195</v>
      </c>
      <c r="G3688" s="49" t="str">
        <f t="shared" si="1"/>
        <v>54560</v>
      </c>
      <c r="H3688" s="49">
        <f t="shared" si="2"/>
        <v>54363</v>
      </c>
    </row>
    <row r="3689">
      <c r="A3689" s="48" t="s">
        <v>1487</v>
      </c>
      <c r="B3689" s="38">
        <v>37028.0</v>
      </c>
      <c r="C3689" s="38" t="s">
        <v>6212</v>
      </c>
      <c r="D3689" s="38" t="str">
        <f>IFERROR(__xludf.DUMMYFUNCTION("REGEXREPLACE(C3689,""-\d+(.*)|--\d+(.*)"","""")"),"BOSSAY-SUR-CLAISE")</f>
        <v>BOSSAY-SUR-CLAISE</v>
      </c>
      <c r="E3689" s="38" t="s">
        <v>205</v>
      </c>
      <c r="F3689" s="38" t="s">
        <v>123</v>
      </c>
      <c r="G3689" s="49" t="str">
        <f t="shared" si="1"/>
        <v>37290</v>
      </c>
      <c r="H3689" s="49">
        <f t="shared" si="2"/>
        <v>37028</v>
      </c>
    </row>
    <row r="3690">
      <c r="A3690" s="48" t="s">
        <v>2477</v>
      </c>
      <c r="B3690" s="38">
        <v>76511.0</v>
      </c>
      <c r="C3690" s="38" t="s">
        <v>6213</v>
      </c>
      <c r="D3690" s="38" t="str">
        <f>IFERROR(__xludf.DUMMYFUNCTION("REGEXREPLACE(C3690,""-\d+(.*)|--\d+(.*)"","""")"),"PREUSEVILLE")</f>
        <v>PREUSEVILLE</v>
      </c>
      <c r="E3690" s="38" t="s">
        <v>133</v>
      </c>
      <c r="F3690" s="38" t="s">
        <v>134</v>
      </c>
      <c r="G3690" s="49" t="str">
        <f t="shared" si="1"/>
        <v>76660</v>
      </c>
      <c r="H3690" s="49">
        <f t="shared" si="2"/>
        <v>76511</v>
      </c>
    </row>
    <row r="3691">
      <c r="A3691" s="48" t="s">
        <v>4213</v>
      </c>
      <c r="B3691" s="38">
        <v>7113.0</v>
      </c>
      <c r="C3691" s="38" t="s">
        <v>6214</v>
      </c>
      <c r="D3691" s="38" t="str">
        <f>IFERROR(__xludf.DUMMYFUNCTION("REGEXREPLACE(C3691,""-\d+(.*)|--\d+(.*)"","""")"),"LABASTIDE-DE-VIRAC")</f>
        <v>LABASTIDE-DE-VIRAC</v>
      </c>
      <c r="E3691" s="38" t="s">
        <v>144</v>
      </c>
      <c r="F3691" s="38" t="s">
        <v>102</v>
      </c>
      <c r="G3691" s="49" t="str">
        <f t="shared" si="1"/>
        <v>07150</v>
      </c>
      <c r="H3691" s="49" t="str">
        <f t="shared" si="2"/>
        <v>07113</v>
      </c>
    </row>
    <row r="3692">
      <c r="A3692" s="48" t="s">
        <v>320</v>
      </c>
      <c r="B3692" s="38">
        <v>55577.0</v>
      </c>
      <c r="C3692" s="38" t="s">
        <v>6215</v>
      </c>
      <c r="D3692" s="38" t="str">
        <f>IFERROR(__xludf.DUMMYFUNCTION("REGEXREPLACE(C3692,""-\d+(.*)|--\d+(.*)"","""")"),"WALY")</f>
        <v>WALY</v>
      </c>
      <c r="E3692" s="38" t="s">
        <v>322</v>
      </c>
      <c r="F3692" s="38" t="s">
        <v>195</v>
      </c>
      <c r="G3692" s="49" t="str">
        <f t="shared" si="1"/>
        <v>55250</v>
      </c>
      <c r="H3692" s="49">
        <f t="shared" si="2"/>
        <v>55577</v>
      </c>
    </row>
    <row r="3693">
      <c r="A3693" s="48" t="s">
        <v>6191</v>
      </c>
      <c r="B3693" s="38">
        <v>50040.0</v>
      </c>
      <c r="C3693" s="38" t="s">
        <v>6216</v>
      </c>
      <c r="D3693" s="38" t="str">
        <f>IFERROR(__xludf.DUMMYFUNCTION("REGEXREPLACE(C3693,""-\d+(.*)|--\d+(.*)"","""")"),"BEAUFICEL")</f>
        <v>BEAUFICEL</v>
      </c>
      <c r="E3693" s="38" t="s">
        <v>157</v>
      </c>
      <c r="F3693" s="38" t="s">
        <v>138</v>
      </c>
      <c r="G3693" s="49" t="str">
        <f t="shared" si="1"/>
        <v>50150</v>
      </c>
      <c r="H3693" s="49">
        <f t="shared" si="2"/>
        <v>50040</v>
      </c>
    </row>
    <row r="3694">
      <c r="A3694" s="48" t="s">
        <v>5428</v>
      </c>
      <c r="B3694" s="38">
        <v>74306.0</v>
      </c>
      <c r="C3694" s="38" t="s">
        <v>6217</v>
      </c>
      <c r="D3694" s="38" t="str">
        <f>IFERROR(__xludf.DUMMYFUNCTION("REGEXREPLACE(C3694,""-\d+(.*)|--\d+(.*)"","""")"),"VILLY-LE-BOUVERET")</f>
        <v>VILLY-LE-BOUVERET</v>
      </c>
      <c r="E3694" s="38" t="s">
        <v>319</v>
      </c>
      <c r="F3694" s="38" t="s">
        <v>102</v>
      </c>
      <c r="G3694" s="49" t="str">
        <f t="shared" si="1"/>
        <v>74350</v>
      </c>
      <c r="H3694" s="49">
        <f t="shared" si="2"/>
        <v>74306</v>
      </c>
    </row>
    <row r="3695">
      <c r="A3695" s="48" t="s">
        <v>1926</v>
      </c>
      <c r="B3695" s="38">
        <v>28206.0</v>
      </c>
      <c r="C3695" s="38" t="s">
        <v>6218</v>
      </c>
      <c r="D3695" s="38" t="str">
        <f>IFERROR(__xludf.DUMMYFUNCTION("REGEXREPLACE(C3695,""-\d+(.*)|--\d+(.*)"","""")"),"LAONS")</f>
        <v>LAONS</v>
      </c>
      <c r="E3695" s="38" t="s">
        <v>300</v>
      </c>
      <c r="F3695" s="38" t="s">
        <v>123</v>
      </c>
      <c r="G3695" s="49" t="str">
        <f t="shared" si="1"/>
        <v>28270</v>
      </c>
      <c r="H3695" s="49">
        <f t="shared" si="2"/>
        <v>28206</v>
      </c>
    </row>
    <row r="3696">
      <c r="A3696" s="48" t="s">
        <v>1601</v>
      </c>
      <c r="B3696" s="38">
        <v>72380.0</v>
      </c>
      <c r="C3696" s="38" t="s">
        <v>6219</v>
      </c>
      <c r="D3696" s="38" t="str">
        <f>IFERROR(__xludf.DUMMYFUNCTION("REGEXREPLACE(C3696,""-\d+(.*)|--\d+(.*)"","""")"),"VIVOIN")</f>
        <v>VIVOIN</v>
      </c>
      <c r="E3696" s="38" t="s">
        <v>521</v>
      </c>
      <c r="F3696" s="38" t="s">
        <v>180</v>
      </c>
      <c r="G3696" s="49" t="str">
        <f t="shared" si="1"/>
        <v>72170</v>
      </c>
      <c r="H3696" s="49">
        <f t="shared" si="2"/>
        <v>72380</v>
      </c>
    </row>
    <row r="3697">
      <c r="A3697" s="48" t="s">
        <v>196</v>
      </c>
      <c r="B3697" s="38">
        <v>2470.0</v>
      </c>
      <c r="C3697" s="38" t="s">
        <v>6220</v>
      </c>
      <c r="D3697" s="38" t="str">
        <f>IFERROR(__xludf.DUMMYFUNCTION("REGEXREPLACE(C3697,""-\d+(.*)|--\d+(.*)"","""")"),"MARTIGNY")</f>
        <v>MARTIGNY</v>
      </c>
      <c r="E3697" s="38" t="s">
        <v>191</v>
      </c>
      <c r="F3697" s="38" t="s">
        <v>113</v>
      </c>
      <c r="G3697" s="49" t="str">
        <f t="shared" si="1"/>
        <v>02500</v>
      </c>
      <c r="H3697" s="49" t="str">
        <f t="shared" si="2"/>
        <v>02470</v>
      </c>
    </row>
    <row r="3698">
      <c r="A3698" s="48" t="s">
        <v>5045</v>
      </c>
      <c r="B3698" s="38">
        <v>24276.0</v>
      </c>
      <c r="C3698" s="38" t="s">
        <v>6221</v>
      </c>
      <c r="D3698" s="38" t="str">
        <f>IFERROR(__xludf.DUMMYFUNCTION("REGEXREPLACE(C3698,""-\d+(.*)|--\d+(.*)"","""")"),"MONESTIER")</f>
        <v>MONESTIER</v>
      </c>
      <c r="E3698" s="38" t="s">
        <v>261</v>
      </c>
      <c r="F3698" s="38" t="s">
        <v>252</v>
      </c>
      <c r="G3698" s="49" t="str">
        <f t="shared" si="1"/>
        <v>24240</v>
      </c>
      <c r="H3698" s="49">
        <f t="shared" si="2"/>
        <v>24276</v>
      </c>
    </row>
    <row r="3699">
      <c r="A3699" s="48" t="s">
        <v>6222</v>
      </c>
      <c r="B3699" s="38">
        <v>97358.0</v>
      </c>
      <c r="C3699" s="38" t="s">
        <v>6223</v>
      </c>
      <c r="D3699" s="38" t="str">
        <f>IFERROR(__xludf.DUMMYFUNCTION("REGEXREPLACE(C3699,""-\d+(.*)|--\d+(.*)"","""")"),"SAINT-ELIE")</f>
        <v>SAINT-ELIE</v>
      </c>
      <c r="E3699" s="38" t="s">
        <v>1737</v>
      </c>
      <c r="F3699" s="38" t="s">
        <v>1737</v>
      </c>
      <c r="G3699" s="49" t="str">
        <f t="shared" si="1"/>
        <v>97312</v>
      </c>
      <c r="H3699" s="49">
        <f t="shared" si="2"/>
        <v>97358</v>
      </c>
    </row>
    <row r="3700">
      <c r="A3700" s="48" t="s">
        <v>6224</v>
      </c>
      <c r="B3700" s="38">
        <v>38262.0</v>
      </c>
      <c r="C3700" s="38" t="s">
        <v>6225</v>
      </c>
      <c r="D3700" s="38" t="str">
        <f>IFERROR(__xludf.DUMMYFUNCTION("REGEXREPLACE(C3700,""-\d+(.*)|--\d+(.*)"","""")"),"MORETEL-DE-MAILLES")</f>
        <v>MORETEL-DE-MAILLES</v>
      </c>
      <c r="E3700" s="38" t="s">
        <v>101</v>
      </c>
      <c r="F3700" s="38" t="s">
        <v>102</v>
      </c>
      <c r="G3700" s="49" t="str">
        <f t="shared" si="1"/>
        <v>38570</v>
      </c>
      <c r="H3700" s="49">
        <f t="shared" si="2"/>
        <v>38262</v>
      </c>
    </row>
    <row r="3701">
      <c r="A3701" s="48" t="s">
        <v>6226</v>
      </c>
      <c r="B3701" s="38">
        <v>32268.0</v>
      </c>
      <c r="C3701" s="38" t="s">
        <v>6227</v>
      </c>
      <c r="D3701" s="38" t="str">
        <f>IFERROR(__xludf.DUMMYFUNCTION("REGEXREPLACE(C3701,""-\d+(.*)|--\d+(.*)"","""")"),"MONFERRAN-SAVES")</f>
        <v>MONFERRAN-SAVES</v>
      </c>
      <c r="E3701" s="38" t="s">
        <v>440</v>
      </c>
      <c r="F3701" s="38" t="s">
        <v>94</v>
      </c>
      <c r="G3701" s="49" t="str">
        <f t="shared" si="1"/>
        <v>32490</v>
      </c>
      <c r="H3701" s="49">
        <f t="shared" si="2"/>
        <v>32268</v>
      </c>
    </row>
    <row r="3702">
      <c r="A3702" s="48" t="s">
        <v>5887</v>
      </c>
      <c r="B3702" s="38">
        <v>61156.0</v>
      </c>
      <c r="C3702" s="38" t="s">
        <v>6228</v>
      </c>
      <c r="D3702" s="38" t="str">
        <f>IFERROR(__xludf.DUMMYFUNCTION("REGEXREPLACE(C3702,""-\d+(.*)|--\d+(.*)"","""")"),"ESSAY")</f>
        <v>ESSAY</v>
      </c>
      <c r="E3702" s="38" t="s">
        <v>141</v>
      </c>
      <c r="F3702" s="38" t="s">
        <v>138</v>
      </c>
      <c r="G3702" s="49" t="str">
        <f t="shared" si="1"/>
        <v>61500</v>
      </c>
      <c r="H3702" s="49">
        <f t="shared" si="2"/>
        <v>61156</v>
      </c>
    </row>
    <row r="3703">
      <c r="A3703" s="48" t="s">
        <v>1621</v>
      </c>
      <c r="B3703" s="38">
        <v>64116.0</v>
      </c>
      <c r="C3703" s="38" t="s">
        <v>6229</v>
      </c>
      <c r="D3703" s="38" t="str">
        <f>IFERROR(__xludf.DUMMYFUNCTION("REGEXREPLACE(C3703,""-\d+(.*)|--\d+(.*)"","""")"),"BESCAT")</f>
        <v>BESCAT</v>
      </c>
      <c r="E3703" s="38" t="s">
        <v>268</v>
      </c>
      <c r="F3703" s="38" t="s">
        <v>252</v>
      </c>
      <c r="G3703" s="49" t="str">
        <f t="shared" si="1"/>
        <v>64260</v>
      </c>
      <c r="H3703" s="49">
        <f t="shared" si="2"/>
        <v>64116</v>
      </c>
    </row>
    <row r="3704">
      <c r="A3704" s="48" t="s">
        <v>6230</v>
      </c>
      <c r="B3704" s="38">
        <v>53009.0</v>
      </c>
      <c r="C3704" s="38" t="s">
        <v>6231</v>
      </c>
      <c r="D3704" s="38" t="str">
        <f>IFERROR(__xludf.DUMMYFUNCTION("REGEXREPLACE(C3704,""-\d+(.*)|--\d+(.*)"","""")"),"ARQUENAY")</f>
        <v>ARQUENAY</v>
      </c>
      <c r="E3704" s="38" t="s">
        <v>518</v>
      </c>
      <c r="F3704" s="38" t="s">
        <v>180</v>
      </c>
      <c r="G3704" s="49" t="str">
        <f t="shared" si="1"/>
        <v>53170</v>
      </c>
      <c r="H3704" s="49">
        <f t="shared" si="2"/>
        <v>53009</v>
      </c>
    </row>
    <row r="3705">
      <c r="A3705" s="48" t="s">
        <v>683</v>
      </c>
      <c r="B3705" s="38">
        <v>64096.0</v>
      </c>
      <c r="C3705" s="38" t="s">
        <v>6232</v>
      </c>
      <c r="D3705" s="38" t="str">
        <f>IFERROR(__xludf.DUMMYFUNCTION("REGEXREPLACE(C3705,""-\d+(.*)|--\d+(.*)"","""")"),"BARRAUTE-CAMU")</f>
        <v>BARRAUTE-CAMU</v>
      </c>
      <c r="E3705" s="38" t="s">
        <v>268</v>
      </c>
      <c r="F3705" s="38" t="s">
        <v>252</v>
      </c>
      <c r="G3705" s="49" t="str">
        <f t="shared" si="1"/>
        <v>64390</v>
      </c>
      <c r="H3705" s="49">
        <f t="shared" si="2"/>
        <v>64096</v>
      </c>
    </row>
    <row r="3706">
      <c r="A3706" s="48" t="s">
        <v>6233</v>
      </c>
      <c r="B3706" s="38">
        <v>15051.0</v>
      </c>
      <c r="C3706" s="38" t="s">
        <v>6234</v>
      </c>
      <c r="D3706" s="38" t="str">
        <f>IFERROR(__xludf.DUMMYFUNCTION("REGEXREPLACE(C3706,""-\d+(.*)|--\d+(.*)"","""")"),"CLAVIERES")</f>
        <v>CLAVIERES</v>
      </c>
      <c r="E3706" s="38" t="s">
        <v>632</v>
      </c>
      <c r="F3706" s="38" t="s">
        <v>161</v>
      </c>
      <c r="G3706" s="49" t="str">
        <f t="shared" si="1"/>
        <v>15320</v>
      </c>
      <c r="H3706" s="49">
        <f t="shared" si="2"/>
        <v>15051</v>
      </c>
    </row>
    <row r="3707">
      <c r="A3707" s="48" t="s">
        <v>6235</v>
      </c>
      <c r="B3707" s="38">
        <v>49381.0</v>
      </c>
      <c r="C3707" s="38" t="s">
        <v>6236</v>
      </c>
      <c r="D3707" s="38" t="str">
        <f>IFERROR(__xludf.DUMMYFUNCTION("REGEXREPLACE(C3707,""-\d+(.*)|--\d+(.*)"","""")"),"YZERNAY")</f>
        <v>YZERNAY</v>
      </c>
      <c r="E3707" s="38" t="s">
        <v>653</v>
      </c>
      <c r="F3707" s="38" t="s">
        <v>180</v>
      </c>
      <c r="G3707" s="49" t="str">
        <f t="shared" si="1"/>
        <v>49360</v>
      </c>
      <c r="H3707" s="49">
        <f t="shared" si="2"/>
        <v>49381</v>
      </c>
    </row>
    <row r="3708">
      <c r="A3708" s="48" t="s">
        <v>434</v>
      </c>
      <c r="B3708" s="38">
        <v>55022.0</v>
      </c>
      <c r="C3708" s="38" t="s">
        <v>6237</v>
      </c>
      <c r="D3708" s="38" t="str">
        <f>IFERROR(__xludf.DUMMYFUNCTION("REGEXREPLACE(C3708,""-\d+(.*)|--\d+(.*)"","""")"),"AVIOTH")</f>
        <v>AVIOTH</v>
      </c>
      <c r="E3708" s="38" t="s">
        <v>322</v>
      </c>
      <c r="F3708" s="38" t="s">
        <v>195</v>
      </c>
      <c r="G3708" s="49" t="str">
        <f t="shared" si="1"/>
        <v>55600</v>
      </c>
      <c r="H3708" s="49">
        <f t="shared" si="2"/>
        <v>55022</v>
      </c>
    </row>
    <row r="3709">
      <c r="A3709" s="48" t="s">
        <v>1754</v>
      </c>
      <c r="B3709" s="38">
        <v>14031.0</v>
      </c>
      <c r="C3709" s="38" t="s">
        <v>6238</v>
      </c>
      <c r="D3709" s="38" t="str">
        <f>IFERROR(__xludf.DUMMYFUNCTION("REGEXREPLACE(C3709,""-\d+(.*)|--\d+(.*)"","""")"),"LES AUTHIEUX-PAPION")</f>
        <v>LES AUTHIEUX-PAPION</v>
      </c>
      <c r="E3709" s="38" t="s">
        <v>137</v>
      </c>
      <c r="F3709" s="38" t="s">
        <v>138</v>
      </c>
      <c r="G3709" s="49" t="str">
        <f t="shared" si="1"/>
        <v>14140</v>
      </c>
      <c r="H3709" s="49">
        <f t="shared" si="2"/>
        <v>14031</v>
      </c>
    </row>
    <row r="3710">
      <c r="A3710" s="48" t="s">
        <v>1997</v>
      </c>
      <c r="B3710" s="38">
        <v>21348.0</v>
      </c>
      <c r="C3710" s="38" t="s">
        <v>6239</v>
      </c>
      <c r="D3710" s="38" t="str">
        <f>IFERROR(__xludf.DUMMYFUNCTION("REGEXREPLACE(C3710,""-\d+(.*)|--\d+(.*)"","""")"),"LICEY-SUR-VINGEANNE")</f>
        <v>LICEY-SUR-VINGEANNE</v>
      </c>
      <c r="E3710" s="38" t="s">
        <v>105</v>
      </c>
      <c r="F3710" s="38" t="s">
        <v>106</v>
      </c>
      <c r="G3710" s="49" t="str">
        <f t="shared" si="1"/>
        <v>21610</v>
      </c>
      <c r="H3710" s="49">
        <f t="shared" si="2"/>
        <v>21348</v>
      </c>
    </row>
    <row r="3711">
      <c r="A3711" s="48" t="s">
        <v>5413</v>
      </c>
      <c r="B3711" s="38">
        <v>44084.0</v>
      </c>
      <c r="C3711" s="38" t="s">
        <v>6240</v>
      </c>
      <c r="D3711" s="38" t="str">
        <f>IFERROR(__xludf.DUMMYFUNCTION("REGEXREPLACE(C3711,""-\d+(.*)|--\d+(.*)"","""")"),"LE LOROUX-BOTTEREAU")</f>
        <v>LE LOROUX-BOTTEREAU</v>
      </c>
      <c r="E3711" s="38" t="s">
        <v>759</v>
      </c>
      <c r="F3711" s="38" t="s">
        <v>180</v>
      </c>
      <c r="G3711" s="49" t="str">
        <f t="shared" si="1"/>
        <v>44430</v>
      </c>
      <c r="H3711" s="49">
        <f t="shared" si="2"/>
        <v>44084</v>
      </c>
    </row>
    <row r="3712">
      <c r="A3712" s="48" t="s">
        <v>3798</v>
      </c>
      <c r="B3712" s="38">
        <v>85266.0</v>
      </c>
      <c r="C3712" s="38" t="s">
        <v>6241</v>
      </c>
      <c r="D3712" s="38" t="str">
        <f>IFERROR(__xludf.DUMMYFUNCTION("REGEXREPLACE(C3712,""-\d+(.*)|--\d+(.*)"","""")"),"SAINT-PROUANT")</f>
        <v>SAINT-PROUANT</v>
      </c>
      <c r="E3712" s="38" t="s">
        <v>179</v>
      </c>
      <c r="F3712" s="38" t="s">
        <v>180</v>
      </c>
      <c r="G3712" s="49" t="str">
        <f t="shared" si="1"/>
        <v>85110</v>
      </c>
      <c r="H3712" s="49">
        <f t="shared" si="2"/>
        <v>85266</v>
      </c>
    </row>
    <row r="3713">
      <c r="A3713" s="48" t="s">
        <v>5451</v>
      </c>
      <c r="B3713" s="38">
        <v>19176.0</v>
      </c>
      <c r="C3713" s="38" t="s">
        <v>6242</v>
      </c>
      <c r="D3713" s="38" t="str">
        <f>IFERROR(__xludf.DUMMYFUNCTION("REGEXREPLACE(C3713,""-\d+(.*)|--\d+(.*)"","""")"),"ROSIERS-D'EGLETONS")</f>
        <v>ROSIERS-D'EGLETONS</v>
      </c>
      <c r="E3713" s="38" t="s">
        <v>271</v>
      </c>
      <c r="F3713" s="38" t="s">
        <v>98</v>
      </c>
      <c r="G3713" s="49" t="str">
        <f t="shared" si="1"/>
        <v>19300</v>
      </c>
      <c r="H3713" s="49">
        <f t="shared" si="2"/>
        <v>19176</v>
      </c>
    </row>
    <row r="3714">
      <c r="A3714" s="48" t="s">
        <v>5479</v>
      </c>
      <c r="B3714" s="38">
        <v>67501.0</v>
      </c>
      <c r="C3714" s="38" t="s">
        <v>6243</v>
      </c>
      <c r="D3714" s="38" t="str">
        <f>IFERROR(__xludf.DUMMYFUNCTION("REGEXREPLACE(C3714,""-\d+(.*)|--\d+(.*)"","""")"),"UTTENHEIM")</f>
        <v>UTTENHEIM</v>
      </c>
      <c r="E3714" s="38" t="s">
        <v>210</v>
      </c>
      <c r="F3714" s="38" t="s">
        <v>151</v>
      </c>
      <c r="G3714" s="49" t="str">
        <f t="shared" si="1"/>
        <v>67150</v>
      </c>
      <c r="H3714" s="49">
        <f t="shared" si="2"/>
        <v>67501</v>
      </c>
    </row>
    <row r="3715">
      <c r="A3715" s="48" t="s">
        <v>6244</v>
      </c>
      <c r="B3715" s="38">
        <v>38229.0</v>
      </c>
      <c r="C3715" s="38" t="s">
        <v>6245</v>
      </c>
      <c r="D3715" s="38" t="str">
        <f>IFERROR(__xludf.DUMMYFUNCTION("REGEXREPLACE(C3715,""-\d+(.*)|--\d+(.*)"","""")"),"MEYLAN")</f>
        <v>MEYLAN</v>
      </c>
      <c r="E3715" s="38" t="s">
        <v>101</v>
      </c>
      <c r="F3715" s="38" t="s">
        <v>102</v>
      </c>
      <c r="G3715" s="49" t="str">
        <f t="shared" si="1"/>
        <v>38240</v>
      </c>
      <c r="H3715" s="49">
        <f t="shared" si="2"/>
        <v>38229</v>
      </c>
    </row>
    <row r="3716">
      <c r="A3716" s="48" t="s">
        <v>1817</v>
      </c>
      <c r="B3716" s="38">
        <v>31589.0</v>
      </c>
      <c r="C3716" s="38" t="s">
        <v>6246</v>
      </c>
      <c r="D3716" s="38" t="str">
        <f>IFERROR(__xludf.DUMMYFUNCTION("REGEXREPLACE(C3716,""-\d+(.*)|--\d+(.*)"","""")"),"VILLENOUVELLE")</f>
        <v>VILLENOUVELLE</v>
      </c>
      <c r="E3716" s="38" t="s">
        <v>93</v>
      </c>
      <c r="F3716" s="38" t="s">
        <v>94</v>
      </c>
      <c r="G3716" s="49" t="str">
        <f t="shared" si="1"/>
        <v>31290</v>
      </c>
      <c r="H3716" s="49">
        <f t="shared" si="2"/>
        <v>31589</v>
      </c>
    </row>
    <row r="3717">
      <c r="A3717" s="48" t="s">
        <v>6247</v>
      </c>
      <c r="B3717" s="38">
        <v>26247.0</v>
      </c>
      <c r="C3717" s="38" t="s">
        <v>6248</v>
      </c>
      <c r="D3717" s="38" t="str">
        <f>IFERROR(__xludf.DUMMYFUNCTION("REGEXREPLACE(C3717,""-\d+(.*)|--\d+(.*)"","""")"),"PONSAS")</f>
        <v>PONSAS</v>
      </c>
      <c r="E3717" s="38" t="s">
        <v>126</v>
      </c>
      <c r="F3717" s="38" t="s">
        <v>102</v>
      </c>
      <c r="G3717" s="49" t="str">
        <f t="shared" si="1"/>
        <v>26240</v>
      </c>
      <c r="H3717" s="49">
        <f t="shared" si="2"/>
        <v>26247</v>
      </c>
    </row>
    <row r="3718">
      <c r="A3718" s="48" t="s">
        <v>2219</v>
      </c>
      <c r="B3718" s="38">
        <v>2096.0</v>
      </c>
      <c r="C3718" s="38" t="s">
        <v>6249</v>
      </c>
      <c r="D3718" s="38" t="str">
        <f>IFERROR(__xludf.DUMMYFUNCTION("REGEXREPLACE(C3718,""-\d+(.*)|--\d+(.*)"","""")"),"BOIS-LES-PARGNY")</f>
        <v>BOIS-LES-PARGNY</v>
      </c>
      <c r="E3718" s="38" t="s">
        <v>191</v>
      </c>
      <c r="F3718" s="38" t="s">
        <v>113</v>
      </c>
      <c r="G3718" s="49" t="str">
        <f t="shared" si="1"/>
        <v>02270</v>
      </c>
      <c r="H3718" s="49" t="str">
        <f t="shared" si="2"/>
        <v>02096</v>
      </c>
    </row>
    <row r="3719">
      <c r="A3719" s="48" t="s">
        <v>6250</v>
      </c>
      <c r="B3719" s="38">
        <v>38052.0</v>
      </c>
      <c r="C3719" s="38" t="s">
        <v>6251</v>
      </c>
      <c r="D3719" s="38" t="str">
        <f>IFERROR(__xludf.DUMMYFUNCTION("REGEXREPLACE(C3719,""-\d+(.*)|--\d+(.*)"","""")"),"LE BOURG-D'OISANS")</f>
        <v>LE BOURG-D'OISANS</v>
      </c>
      <c r="E3719" s="38" t="s">
        <v>101</v>
      </c>
      <c r="F3719" s="38" t="s">
        <v>102</v>
      </c>
      <c r="G3719" s="49" t="str">
        <f t="shared" si="1"/>
        <v>38520</v>
      </c>
      <c r="H3719" s="49">
        <f t="shared" si="2"/>
        <v>38052</v>
      </c>
    </row>
    <row r="3720">
      <c r="A3720" s="48" t="s">
        <v>1454</v>
      </c>
      <c r="B3720" s="38">
        <v>60304.0</v>
      </c>
      <c r="C3720" s="38" t="s">
        <v>6252</v>
      </c>
      <c r="D3720" s="38" t="str">
        <f>IFERROR(__xludf.DUMMYFUNCTION("REGEXREPLACE(C3720,""-\d+(.*)|--\d+(.*)"","""")"),"HAUTE-EPINE")</f>
        <v>HAUTE-EPINE</v>
      </c>
      <c r="E3720" s="38" t="s">
        <v>112</v>
      </c>
      <c r="F3720" s="38" t="s">
        <v>113</v>
      </c>
      <c r="G3720" s="49" t="str">
        <f t="shared" si="1"/>
        <v>60690</v>
      </c>
      <c r="H3720" s="49">
        <f t="shared" si="2"/>
        <v>60304</v>
      </c>
    </row>
    <row r="3721">
      <c r="A3721" s="48" t="s">
        <v>3973</v>
      </c>
      <c r="B3721" s="38">
        <v>33285.0</v>
      </c>
      <c r="C3721" s="38" t="s">
        <v>6253</v>
      </c>
      <c r="D3721" s="38" t="str">
        <f>IFERROR(__xludf.DUMMYFUNCTION("REGEXREPLACE(C3721,""-\d+(.*)|--\d+(.*)"","""")"),"MOMBRIER")</f>
        <v>MOMBRIER</v>
      </c>
      <c r="E3721" s="38" t="s">
        <v>462</v>
      </c>
      <c r="F3721" s="38" t="s">
        <v>252</v>
      </c>
      <c r="G3721" s="49" t="str">
        <f t="shared" si="1"/>
        <v>33710</v>
      </c>
      <c r="H3721" s="49">
        <f t="shared" si="2"/>
        <v>33285</v>
      </c>
    </row>
    <row r="3722">
      <c r="A3722" s="48" t="s">
        <v>2905</v>
      </c>
      <c r="B3722" s="38">
        <v>21087.0</v>
      </c>
      <c r="C3722" s="38" t="s">
        <v>6254</v>
      </c>
      <c r="D3722" s="38" t="str">
        <f>IFERROR(__xludf.DUMMYFUNCTION("REGEXREPLACE(C3722,""-\d+(.*)|--\d+(.*)"","""")"),"BLIGNY-SUR-OUCHE")</f>
        <v>BLIGNY-SUR-OUCHE</v>
      </c>
      <c r="E3722" s="38" t="s">
        <v>105</v>
      </c>
      <c r="F3722" s="38" t="s">
        <v>106</v>
      </c>
      <c r="G3722" s="49" t="str">
        <f t="shared" si="1"/>
        <v>21360</v>
      </c>
      <c r="H3722" s="49">
        <f t="shared" si="2"/>
        <v>21087</v>
      </c>
    </row>
    <row r="3723">
      <c r="A3723" s="48" t="s">
        <v>4807</v>
      </c>
      <c r="B3723" s="38">
        <v>76007.0</v>
      </c>
      <c r="C3723" s="38" t="s">
        <v>6255</v>
      </c>
      <c r="D3723" s="38" t="str">
        <f>IFERROR(__xludf.DUMMYFUNCTION("REGEXREPLACE(C3723,""-\d+(.*)|--\d+(.*)"","""")"),"ANCEAUMEVILLE")</f>
        <v>ANCEAUMEVILLE</v>
      </c>
      <c r="E3723" s="38" t="s">
        <v>133</v>
      </c>
      <c r="F3723" s="38" t="s">
        <v>134</v>
      </c>
      <c r="G3723" s="49" t="str">
        <f t="shared" si="1"/>
        <v>76710</v>
      </c>
      <c r="H3723" s="49">
        <f t="shared" si="2"/>
        <v>76007</v>
      </c>
    </row>
    <row r="3724">
      <c r="A3724" s="48" t="s">
        <v>6256</v>
      </c>
      <c r="B3724" s="38">
        <v>55450.0</v>
      </c>
      <c r="C3724" s="38" t="s">
        <v>6257</v>
      </c>
      <c r="D3724" s="38" t="str">
        <f>IFERROR(__xludf.DUMMYFUNCTION("REGEXREPLACE(C3724,""-\d+(.*)|--\d+(.*)"","""")"),"RUPT-SUR-OTHAIN")</f>
        <v>RUPT-SUR-OTHAIN</v>
      </c>
      <c r="E3724" s="38" t="s">
        <v>322</v>
      </c>
      <c r="F3724" s="38" t="s">
        <v>195</v>
      </c>
      <c r="G3724" s="49" t="str">
        <f t="shared" si="1"/>
        <v>55150</v>
      </c>
      <c r="H3724" s="49">
        <f t="shared" si="2"/>
        <v>55450</v>
      </c>
    </row>
    <row r="3725">
      <c r="A3725" s="48" t="s">
        <v>6258</v>
      </c>
      <c r="B3725" s="38">
        <v>95157.0</v>
      </c>
      <c r="C3725" s="38" t="s">
        <v>6259</v>
      </c>
      <c r="D3725" s="38" t="str">
        <f>IFERROR(__xludf.DUMMYFUNCTION("REGEXREPLACE(C3725,""-\d+(.*)|--\d+(.*)"","""")"),"CHERENCE")</f>
        <v>CHERENCE</v>
      </c>
      <c r="E3725" s="38" t="s">
        <v>541</v>
      </c>
      <c r="F3725" s="38" t="s">
        <v>245</v>
      </c>
      <c r="G3725" s="49" t="str">
        <f t="shared" si="1"/>
        <v>95510</v>
      </c>
      <c r="H3725" s="49">
        <f t="shared" si="2"/>
        <v>95157</v>
      </c>
    </row>
    <row r="3726">
      <c r="A3726" s="48" t="s">
        <v>4092</v>
      </c>
      <c r="B3726" s="38">
        <v>17148.0</v>
      </c>
      <c r="C3726" s="38" t="s">
        <v>6260</v>
      </c>
      <c r="D3726" s="38" t="str">
        <f>IFERROR(__xludf.DUMMYFUNCTION("REGEXREPLACE(C3726,""-\d+(.*)|--\d+(.*)"","""")"),"ECURAT")</f>
        <v>ECURAT</v>
      </c>
      <c r="E3726" s="38" t="s">
        <v>488</v>
      </c>
      <c r="F3726" s="38" t="s">
        <v>338</v>
      </c>
      <c r="G3726" s="49" t="str">
        <f t="shared" si="1"/>
        <v>17810</v>
      </c>
      <c r="H3726" s="49">
        <f t="shared" si="2"/>
        <v>17148</v>
      </c>
    </row>
    <row r="3727">
      <c r="A3727" s="48" t="s">
        <v>6261</v>
      </c>
      <c r="B3727" s="38">
        <v>76741.0</v>
      </c>
      <c r="C3727" s="38" t="s">
        <v>6262</v>
      </c>
      <c r="D3727" s="38" t="str">
        <f>IFERROR(__xludf.DUMMYFUNCTION("REGEXREPLACE(C3727,""-\d+(.*)|--\d+(.*)"","""")"),"VILLAINVILLE")</f>
        <v>VILLAINVILLE</v>
      </c>
      <c r="E3727" s="38" t="s">
        <v>133</v>
      </c>
      <c r="F3727" s="38" t="s">
        <v>134</v>
      </c>
      <c r="G3727" s="49" t="str">
        <f t="shared" si="1"/>
        <v>76280</v>
      </c>
      <c r="H3727" s="49">
        <f t="shared" si="2"/>
        <v>76741</v>
      </c>
    </row>
    <row r="3728">
      <c r="A3728" s="48" t="s">
        <v>2038</v>
      </c>
      <c r="B3728" s="38">
        <v>62548.0</v>
      </c>
      <c r="C3728" s="38" t="s">
        <v>6263</v>
      </c>
      <c r="D3728" s="38" t="str">
        <f>IFERROR(__xludf.DUMMYFUNCTION("REGEXREPLACE(C3728,""-\d+(.*)|--\d+(.*)"","""")"),"MARCK")</f>
        <v>MARCK</v>
      </c>
      <c r="E3728" s="38" t="s">
        <v>109</v>
      </c>
      <c r="F3728" s="38" t="s">
        <v>86</v>
      </c>
      <c r="G3728" s="49" t="str">
        <f t="shared" si="1"/>
        <v>62730</v>
      </c>
      <c r="H3728" s="49">
        <f t="shared" si="2"/>
        <v>62548</v>
      </c>
    </row>
    <row r="3729">
      <c r="A3729" s="48" t="s">
        <v>6264</v>
      </c>
      <c r="B3729" s="38">
        <v>77379.0</v>
      </c>
      <c r="C3729" s="38" t="s">
        <v>6265</v>
      </c>
      <c r="D3729" s="38" t="str">
        <f>IFERROR(__xludf.DUMMYFUNCTION("REGEXREPLACE(C3729,""-\d+(.*)|--\d+(.*)"","""")"),"PROVINS")</f>
        <v>PROVINS</v>
      </c>
      <c r="E3729" s="38" t="s">
        <v>244</v>
      </c>
      <c r="F3729" s="38" t="s">
        <v>245</v>
      </c>
      <c r="G3729" s="49" t="str">
        <f t="shared" si="1"/>
        <v>77160</v>
      </c>
      <c r="H3729" s="49">
        <f t="shared" si="2"/>
        <v>77379</v>
      </c>
    </row>
    <row r="3730">
      <c r="A3730" s="48" t="s">
        <v>6266</v>
      </c>
      <c r="B3730" s="38">
        <v>76378.0</v>
      </c>
      <c r="C3730" s="38" t="s">
        <v>6267</v>
      </c>
      <c r="D3730" s="38" t="str">
        <f>IFERROR(__xludf.DUMMYFUNCTION("REGEXREPLACE(C3730,""-\d+(.*)|--\d+(.*)"","""")"),"JUMIEGES")</f>
        <v>JUMIEGES</v>
      </c>
      <c r="E3730" s="38" t="s">
        <v>133</v>
      </c>
      <c r="F3730" s="38" t="s">
        <v>134</v>
      </c>
      <c r="G3730" s="49" t="str">
        <f t="shared" si="1"/>
        <v>76480</v>
      </c>
      <c r="H3730" s="49">
        <f t="shared" si="2"/>
        <v>76378</v>
      </c>
    </row>
    <row r="3731">
      <c r="A3731" s="48" t="s">
        <v>6268</v>
      </c>
      <c r="B3731" s="38">
        <v>10406.0</v>
      </c>
      <c r="C3731" s="38" t="s">
        <v>3348</v>
      </c>
      <c r="D3731" s="38" t="str">
        <f>IFERROR(__xludf.DUMMYFUNCTION("REGEXREPLACE(C3731,""-\d+(.*)|--\d+(.*)"","""")"),"VERRIERES")</f>
        <v>VERRIERES</v>
      </c>
      <c r="E3731" s="38" t="s">
        <v>147</v>
      </c>
      <c r="F3731" s="38" t="s">
        <v>130</v>
      </c>
      <c r="G3731" s="49" t="str">
        <f t="shared" si="1"/>
        <v>10390</v>
      </c>
      <c r="H3731" s="49">
        <f t="shared" si="2"/>
        <v>10406</v>
      </c>
    </row>
    <row r="3732">
      <c r="A3732" s="48" t="s">
        <v>6269</v>
      </c>
      <c r="B3732" s="38">
        <v>24401.0</v>
      </c>
      <c r="C3732" s="38" t="s">
        <v>6270</v>
      </c>
      <c r="D3732" s="38" t="str">
        <f>IFERROR(__xludf.DUMMYFUNCTION("REGEXREPLACE(C3732,""-\d+(.*)|--\d+(.*)"","""")"),"SAINTE-EULALIE-D'ANS")</f>
        <v>SAINTE-EULALIE-D'ANS</v>
      </c>
      <c r="E3732" s="38" t="s">
        <v>261</v>
      </c>
      <c r="F3732" s="38" t="s">
        <v>252</v>
      </c>
      <c r="G3732" s="49" t="str">
        <f t="shared" si="1"/>
        <v>24640</v>
      </c>
      <c r="H3732" s="49">
        <f t="shared" si="2"/>
        <v>24401</v>
      </c>
    </row>
    <row r="3733">
      <c r="A3733" s="48" t="s">
        <v>6271</v>
      </c>
      <c r="B3733" s="38">
        <v>66023.0</v>
      </c>
      <c r="C3733" s="38" t="s">
        <v>6272</v>
      </c>
      <c r="D3733" s="38" t="str">
        <f>IFERROR(__xludf.DUMMYFUNCTION("REGEXREPLACE(C3733,""-\d+(.*)|--\d+(.*)"","""")"),"BOULETERNERE")</f>
        <v>BOULETERNERE</v>
      </c>
      <c r="E3733" s="38" t="s">
        <v>248</v>
      </c>
      <c r="F3733" s="38" t="s">
        <v>119</v>
      </c>
      <c r="G3733" s="49" t="str">
        <f t="shared" si="1"/>
        <v>66130</v>
      </c>
      <c r="H3733" s="49">
        <f t="shared" si="2"/>
        <v>66023</v>
      </c>
    </row>
    <row r="3734">
      <c r="A3734" s="48" t="s">
        <v>2310</v>
      </c>
      <c r="B3734" s="38">
        <v>60572.0</v>
      </c>
      <c r="C3734" s="38" t="s">
        <v>6273</v>
      </c>
      <c r="D3734" s="38" t="str">
        <f>IFERROR(__xludf.DUMMYFUNCTION("REGEXREPLACE(C3734,""-\d+(.*)|--\d+(.*)"","""")"),"SAINT-ETIENNE-ROILAYE")</f>
        <v>SAINT-ETIENNE-ROILAYE</v>
      </c>
      <c r="E3734" s="38" t="s">
        <v>112</v>
      </c>
      <c r="F3734" s="38" t="s">
        <v>113</v>
      </c>
      <c r="G3734" s="49" t="str">
        <f t="shared" si="1"/>
        <v>60350</v>
      </c>
      <c r="H3734" s="49">
        <f t="shared" si="2"/>
        <v>60572</v>
      </c>
    </row>
    <row r="3735">
      <c r="A3735" s="48" t="s">
        <v>4661</v>
      </c>
      <c r="B3735" s="38">
        <v>62024.0</v>
      </c>
      <c r="C3735" s="38" t="s">
        <v>6274</v>
      </c>
      <c r="D3735" s="38" t="str">
        <f>IFERROR(__xludf.DUMMYFUNCTION("REGEXREPLACE(C3735,""-\d+(.*)|--\d+(.*)"","""")"),"ALQUINES")</f>
        <v>ALQUINES</v>
      </c>
      <c r="E3735" s="38" t="s">
        <v>109</v>
      </c>
      <c r="F3735" s="38" t="s">
        <v>86</v>
      </c>
      <c r="G3735" s="49" t="str">
        <f t="shared" si="1"/>
        <v>62850</v>
      </c>
      <c r="H3735" s="49">
        <f t="shared" si="2"/>
        <v>62024</v>
      </c>
    </row>
    <row r="3736">
      <c r="A3736" s="48" t="s">
        <v>6275</v>
      </c>
      <c r="B3736" s="38">
        <v>8400.0</v>
      </c>
      <c r="C3736" s="38" t="s">
        <v>6276</v>
      </c>
      <c r="D3736" s="38" t="str">
        <f>IFERROR(__xludf.DUMMYFUNCTION("REGEXREPLACE(C3736,""-\d+(.*)|--\d+(.*)"","""")"),"SAPOGNE-ET-FEUCHERES")</f>
        <v>SAPOGNE-ET-FEUCHERES</v>
      </c>
      <c r="E3736" s="38" t="s">
        <v>327</v>
      </c>
      <c r="F3736" s="38" t="s">
        <v>130</v>
      </c>
      <c r="G3736" s="49" t="str">
        <f t="shared" si="1"/>
        <v>08160</v>
      </c>
      <c r="H3736" s="49" t="str">
        <f t="shared" si="2"/>
        <v>08400</v>
      </c>
    </row>
    <row r="3737">
      <c r="A3737" s="48" t="s">
        <v>2783</v>
      </c>
      <c r="B3737" s="38">
        <v>31174.0</v>
      </c>
      <c r="C3737" s="38" t="s">
        <v>6277</v>
      </c>
      <c r="D3737" s="38" t="str">
        <f>IFERROR(__xludf.DUMMYFUNCTION("REGEXREPLACE(C3737,""-\d+(.*)|--\d+(.*)"","""")"),"ESTADENS")</f>
        <v>ESTADENS</v>
      </c>
      <c r="E3737" s="38" t="s">
        <v>93</v>
      </c>
      <c r="F3737" s="38" t="s">
        <v>94</v>
      </c>
      <c r="G3737" s="49" t="str">
        <f t="shared" si="1"/>
        <v>31160</v>
      </c>
      <c r="H3737" s="49">
        <f t="shared" si="2"/>
        <v>31174</v>
      </c>
    </row>
    <row r="3738">
      <c r="A3738" s="48" t="s">
        <v>6278</v>
      </c>
      <c r="B3738" s="38">
        <v>3056.0</v>
      </c>
      <c r="C3738" s="38" t="s">
        <v>1198</v>
      </c>
      <c r="D3738" s="38" t="str">
        <f>IFERROR(__xludf.DUMMYFUNCTION("REGEXREPLACE(C3738,""-\d+(.*)|--\d+(.*)"","""")"),"LA CHAPELLE")</f>
        <v>LA CHAPELLE</v>
      </c>
      <c r="E3738" s="38" t="s">
        <v>160</v>
      </c>
      <c r="F3738" s="38" t="s">
        <v>161</v>
      </c>
      <c r="G3738" s="49" t="str">
        <f t="shared" si="1"/>
        <v>03300</v>
      </c>
      <c r="H3738" s="49" t="str">
        <f t="shared" si="2"/>
        <v>03056</v>
      </c>
    </row>
    <row r="3739">
      <c r="A3739" s="48" t="s">
        <v>5763</v>
      </c>
      <c r="B3739" s="38">
        <v>63237.0</v>
      </c>
      <c r="C3739" s="38" t="s">
        <v>6279</v>
      </c>
      <c r="D3739" s="38" t="str">
        <f>IFERROR(__xludf.DUMMYFUNCTION("REGEXREPLACE(C3739,""-\d+(.*)|--\d+(.*)"","""")"),"MONTEL-DE-GELAT")</f>
        <v>MONTEL-DE-GELAT</v>
      </c>
      <c r="E3739" s="38" t="s">
        <v>353</v>
      </c>
      <c r="F3739" s="38" t="s">
        <v>161</v>
      </c>
      <c r="G3739" s="49" t="str">
        <f t="shared" si="1"/>
        <v>63380</v>
      </c>
      <c r="H3739" s="49">
        <f t="shared" si="2"/>
        <v>63237</v>
      </c>
    </row>
    <row r="3740">
      <c r="A3740" s="48" t="s">
        <v>6280</v>
      </c>
      <c r="B3740" s="38">
        <v>83034.0</v>
      </c>
      <c r="C3740" s="38" t="s">
        <v>6281</v>
      </c>
      <c r="D3740" s="38" t="str">
        <f>IFERROR(__xludf.DUMMYFUNCTION("REGEXREPLACE(C3740,""-\d+(.*)|--\d+(.*)"","""")"),"CARQUEIRANNE")</f>
        <v>CARQUEIRANNE</v>
      </c>
      <c r="E3740" s="38" t="s">
        <v>813</v>
      </c>
      <c r="F3740" s="38" t="s">
        <v>228</v>
      </c>
      <c r="G3740" s="49" t="str">
        <f t="shared" si="1"/>
        <v>83320</v>
      </c>
      <c r="H3740" s="49">
        <f t="shared" si="2"/>
        <v>83034</v>
      </c>
    </row>
    <row r="3741">
      <c r="A3741" s="48" t="s">
        <v>5631</v>
      </c>
      <c r="B3741" s="38">
        <v>76698.0</v>
      </c>
      <c r="C3741" s="38" t="s">
        <v>3996</v>
      </c>
      <c r="D3741" s="38" t="str">
        <f>IFERROR(__xludf.DUMMYFUNCTION("REGEXREPLACE(C3741,""-\d+(.*)|--\d+(.*)"","""")"),"TORCY-LE-PETIT")</f>
        <v>TORCY-LE-PETIT</v>
      </c>
      <c r="E3741" s="38" t="s">
        <v>133</v>
      </c>
      <c r="F3741" s="38" t="s">
        <v>134</v>
      </c>
      <c r="G3741" s="49" t="str">
        <f t="shared" si="1"/>
        <v>76590</v>
      </c>
      <c r="H3741" s="49">
        <f t="shared" si="2"/>
        <v>76698</v>
      </c>
    </row>
    <row r="3742">
      <c r="A3742" s="48" t="s">
        <v>4668</v>
      </c>
      <c r="B3742" s="38">
        <v>88464.0</v>
      </c>
      <c r="C3742" s="38" t="s">
        <v>6282</v>
      </c>
      <c r="D3742" s="38" t="str">
        <f>IFERROR(__xludf.DUMMYFUNCTION("REGEXREPLACE(C3742,""-\d+(.*)|--\d+(.*)"","""")"),"TENDON")</f>
        <v>TENDON</v>
      </c>
      <c r="E3742" s="38" t="s">
        <v>194</v>
      </c>
      <c r="F3742" s="38" t="s">
        <v>195</v>
      </c>
      <c r="G3742" s="49" t="str">
        <f t="shared" si="1"/>
        <v>88460</v>
      </c>
      <c r="H3742" s="49">
        <f t="shared" si="2"/>
        <v>88464</v>
      </c>
    </row>
    <row r="3743">
      <c r="A3743" s="48" t="s">
        <v>335</v>
      </c>
      <c r="B3743" s="38">
        <v>79002.0</v>
      </c>
      <c r="C3743" s="38" t="s">
        <v>6283</v>
      </c>
      <c r="D3743" s="38" t="str">
        <f>IFERROR(__xludf.DUMMYFUNCTION("REGEXREPLACE(C3743,""-\d+(.*)|--\d+(.*)"","""")"),"ADILLY")</f>
        <v>ADILLY</v>
      </c>
      <c r="E3743" s="38" t="s">
        <v>337</v>
      </c>
      <c r="F3743" s="38" t="s">
        <v>338</v>
      </c>
      <c r="G3743" s="49" t="str">
        <f t="shared" si="1"/>
        <v>79200</v>
      </c>
      <c r="H3743" s="49">
        <f t="shared" si="2"/>
        <v>79002</v>
      </c>
    </row>
    <row r="3744">
      <c r="A3744" s="48" t="s">
        <v>3046</v>
      </c>
      <c r="B3744" s="38">
        <v>70265.0</v>
      </c>
      <c r="C3744" s="38" t="s">
        <v>6284</v>
      </c>
      <c r="D3744" s="38" t="str">
        <f>IFERROR(__xludf.DUMMYFUNCTION("REGEXREPLACE(C3744,""-\d+(.*)|--\d+(.*)"","""")"),"GERMIGNEY")</f>
        <v>GERMIGNEY</v>
      </c>
      <c r="E3744" s="38" t="s">
        <v>956</v>
      </c>
      <c r="F3744" s="38" t="s">
        <v>214</v>
      </c>
      <c r="G3744" s="49" t="str">
        <f t="shared" si="1"/>
        <v>70100</v>
      </c>
      <c r="H3744" s="49">
        <f t="shared" si="2"/>
        <v>70265</v>
      </c>
    </row>
    <row r="3745">
      <c r="A3745" s="48" t="s">
        <v>6285</v>
      </c>
      <c r="B3745" s="38">
        <v>16164.0</v>
      </c>
      <c r="C3745" s="38" t="s">
        <v>6286</v>
      </c>
      <c r="D3745" s="38" t="str">
        <f>IFERROR(__xludf.DUMMYFUNCTION("REGEXREPLACE(C3745,""-\d+(.*)|--\d+(.*)"","""")"),"HIESSE")</f>
        <v>HIESSE</v>
      </c>
      <c r="E3745" s="38" t="s">
        <v>429</v>
      </c>
      <c r="F3745" s="38" t="s">
        <v>338</v>
      </c>
      <c r="G3745" s="49" t="str">
        <f t="shared" si="1"/>
        <v>16490</v>
      </c>
      <c r="H3745" s="49">
        <f t="shared" si="2"/>
        <v>16164</v>
      </c>
    </row>
    <row r="3746">
      <c r="A3746" s="48" t="s">
        <v>4441</v>
      </c>
      <c r="B3746" s="38">
        <v>6156.0</v>
      </c>
      <c r="C3746" s="38" t="s">
        <v>6287</v>
      </c>
      <c r="D3746" s="38" t="str">
        <f>IFERROR(__xludf.DUMMYFUNCTION("REGEXREPLACE(C3746,""-\d+(.*)|--\d+(.*)"","""")"),"VENANSON")</f>
        <v>VENANSON</v>
      </c>
      <c r="E3746" s="38" t="s">
        <v>227</v>
      </c>
      <c r="F3746" s="38" t="s">
        <v>228</v>
      </c>
      <c r="G3746" s="49" t="str">
        <f t="shared" si="1"/>
        <v>06450</v>
      </c>
      <c r="H3746" s="49" t="str">
        <f t="shared" si="2"/>
        <v>06156</v>
      </c>
    </row>
    <row r="3747">
      <c r="A3747" s="48" t="s">
        <v>6288</v>
      </c>
      <c r="B3747" s="38">
        <v>63098.0</v>
      </c>
      <c r="C3747" s="38" t="s">
        <v>6289</v>
      </c>
      <c r="D3747" s="38" t="str">
        <f>IFERROR(__xludf.DUMMYFUNCTION("REGEXREPLACE(C3747,""-\d+(.*)|--\d+(.*)"","""")"),"CHASTREIX")</f>
        <v>CHASTREIX</v>
      </c>
      <c r="E3747" s="38" t="s">
        <v>353</v>
      </c>
      <c r="F3747" s="38" t="s">
        <v>161</v>
      </c>
      <c r="G3747" s="49" t="str">
        <f t="shared" si="1"/>
        <v>63680</v>
      </c>
      <c r="H3747" s="49">
        <f t="shared" si="2"/>
        <v>63098</v>
      </c>
    </row>
    <row r="3748">
      <c r="A3748" s="48" t="s">
        <v>6290</v>
      </c>
      <c r="B3748" s="38">
        <v>60393.0</v>
      </c>
      <c r="C3748" s="38" t="s">
        <v>6291</v>
      </c>
      <c r="D3748" s="38" t="str">
        <f>IFERROR(__xludf.DUMMYFUNCTION("REGEXREPLACE(C3748,""-\d+(.*)|--\d+(.*)"","""")"),"MELLO")</f>
        <v>MELLO</v>
      </c>
      <c r="E3748" s="38" t="s">
        <v>112</v>
      </c>
      <c r="F3748" s="38" t="s">
        <v>113</v>
      </c>
      <c r="G3748" s="49" t="str">
        <f t="shared" si="1"/>
        <v>60660</v>
      </c>
      <c r="H3748" s="49">
        <f t="shared" si="2"/>
        <v>60393</v>
      </c>
    </row>
    <row r="3749">
      <c r="A3749" s="48" t="s">
        <v>6292</v>
      </c>
      <c r="B3749" s="38">
        <v>63220.0</v>
      </c>
      <c r="C3749" s="38" t="s">
        <v>6293</v>
      </c>
      <c r="D3749" s="38" t="str">
        <f>IFERROR(__xludf.DUMMYFUNCTION("REGEXREPLACE(C3749,""-\d+(.*)|--\d+(.*)"","""")"),"MAZOIRES")</f>
        <v>MAZOIRES</v>
      </c>
      <c r="E3749" s="38" t="s">
        <v>353</v>
      </c>
      <c r="F3749" s="38" t="s">
        <v>161</v>
      </c>
      <c r="G3749" s="49" t="str">
        <f t="shared" si="1"/>
        <v>63420</v>
      </c>
      <c r="H3749" s="49">
        <f t="shared" si="2"/>
        <v>63220</v>
      </c>
    </row>
    <row r="3750">
      <c r="A3750" s="48" t="s">
        <v>1038</v>
      </c>
      <c r="B3750" s="38">
        <v>50259.0</v>
      </c>
      <c r="C3750" s="38" t="s">
        <v>6294</v>
      </c>
      <c r="D3750" s="38" t="str">
        <f>IFERROR(__xludf.DUMMYFUNCTION("REGEXREPLACE(C3750,""-\d+(.*)|--\d+(.*)"","""")"),"JUILLEY")</f>
        <v>JUILLEY</v>
      </c>
      <c r="E3750" s="38" t="s">
        <v>157</v>
      </c>
      <c r="F3750" s="38" t="s">
        <v>138</v>
      </c>
      <c r="G3750" s="49" t="str">
        <f t="shared" si="1"/>
        <v>50220</v>
      </c>
      <c r="H3750" s="49">
        <f t="shared" si="2"/>
        <v>50259</v>
      </c>
    </row>
    <row r="3751">
      <c r="A3751" s="48" t="s">
        <v>5996</v>
      </c>
      <c r="B3751" s="38">
        <v>67044.0</v>
      </c>
      <c r="C3751" s="38" t="s">
        <v>6295</v>
      </c>
      <c r="D3751" s="38" t="str">
        <f>IFERROR(__xludf.DUMMYFUNCTION("REGEXREPLACE(C3751,""-\d+(.*)|--\d+(.*)"","""")"),"BISCHHOLTZ")</f>
        <v>BISCHHOLTZ</v>
      </c>
      <c r="E3751" s="38" t="s">
        <v>210</v>
      </c>
      <c r="F3751" s="38" t="s">
        <v>151</v>
      </c>
      <c r="G3751" s="49" t="str">
        <f t="shared" si="1"/>
        <v>67340</v>
      </c>
      <c r="H3751" s="49">
        <f t="shared" si="2"/>
        <v>67044</v>
      </c>
    </row>
    <row r="3752">
      <c r="A3752" s="48" t="s">
        <v>6296</v>
      </c>
      <c r="B3752" s="38">
        <v>50399.0</v>
      </c>
      <c r="C3752" s="38" t="s">
        <v>6297</v>
      </c>
      <c r="D3752" s="38" t="str">
        <f>IFERROR(__xludf.DUMMYFUNCTION("REGEXREPLACE(C3752,""-\d+(.*)|--\d+(.*)"","""")"),"LE PETIT-CELLAND")</f>
        <v>LE PETIT-CELLAND</v>
      </c>
      <c r="E3752" s="38" t="s">
        <v>157</v>
      </c>
      <c r="F3752" s="38" t="s">
        <v>138</v>
      </c>
      <c r="G3752" s="49" t="str">
        <f t="shared" si="1"/>
        <v>50370</v>
      </c>
      <c r="H3752" s="49">
        <f t="shared" si="2"/>
        <v>50399</v>
      </c>
    </row>
    <row r="3753">
      <c r="A3753" s="48" t="s">
        <v>6298</v>
      </c>
      <c r="B3753" s="38">
        <v>26322.0</v>
      </c>
      <c r="C3753" s="38" t="s">
        <v>6299</v>
      </c>
      <c r="D3753" s="38" t="str">
        <f>IFERROR(__xludf.DUMMYFUNCTION("REGEXREPLACE(C3753,""-\d+(.*)|--\d+(.*)"","""")"),"SAINT-PANTALEON-LES-VIGNES")</f>
        <v>SAINT-PANTALEON-LES-VIGNES</v>
      </c>
      <c r="E3753" s="38" t="s">
        <v>126</v>
      </c>
      <c r="F3753" s="38" t="s">
        <v>102</v>
      </c>
      <c r="G3753" s="49" t="str">
        <f t="shared" si="1"/>
        <v>26770</v>
      </c>
      <c r="H3753" s="49">
        <f t="shared" si="2"/>
        <v>26322</v>
      </c>
    </row>
    <row r="3754">
      <c r="A3754" s="48" t="s">
        <v>4941</v>
      </c>
      <c r="B3754" s="38">
        <v>89103.0</v>
      </c>
      <c r="C3754" s="38" t="s">
        <v>6300</v>
      </c>
      <c r="D3754" s="38" t="str">
        <f>IFERROR(__xludf.DUMMYFUNCTION("REGEXREPLACE(C3754,""-\d+(.*)|--\d+(.*)"","""")"),"CHEVILLON")</f>
        <v>CHEVILLON</v>
      </c>
      <c r="E3754" s="38" t="s">
        <v>275</v>
      </c>
      <c r="F3754" s="38" t="s">
        <v>106</v>
      </c>
      <c r="G3754" s="49" t="str">
        <f t="shared" si="1"/>
        <v>89120</v>
      </c>
      <c r="H3754" s="49">
        <f t="shared" si="2"/>
        <v>89103</v>
      </c>
    </row>
    <row r="3755">
      <c r="A3755" s="48" t="s">
        <v>6301</v>
      </c>
      <c r="B3755" s="38">
        <v>81254.0</v>
      </c>
      <c r="C3755" s="38" t="s">
        <v>6302</v>
      </c>
      <c r="D3755" s="38" t="str">
        <f>IFERROR(__xludf.DUMMYFUNCTION("REGEXREPLACE(C3755,""-\d+(.*)|--\d+(.*)"","""")"),"SAINT-JEAN-DE-MARCEL")</f>
        <v>SAINT-JEAN-DE-MARCEL</v>
      </c>
      <c r="E3755" s="38" t="s">
        <v>231</v>
      </c>
      <c r="F3755" s="38" t="s">
        <v>94</v>
      </c>
      <c r="G3755" s="49" t="str">
        <f t="shared" si="1"/>
        <v>81350</v>
      </c>
      <c r="H3755" s="49">
        <f t="shared" si="2"/>
        <v>81254</v>
      </c>
    </row>
    <row r="3756">
      <c r="A3756" s="48" t="s">
        <v>413</v>
      </c>
      <c r="B3756" s="38">
        <v>35304.0</v>
      </c>
      <c r="C3756" s="38" t="s">
        <v>6303</v>
      </c>
      <c r="D3756" s="38" t="str">
        <f>IFERROR(__xludf.DUMMYFUNCTION("REGEXREPLACE(C3756,""-\d+(.*)|--\d+(.*)"","""")"),"SAINT-OUEN-DES-ALLEUX")</f>
        <v>SAINT-OUEN-DES-ALLEUX</v>
      </c>
      <c r="E3756" s="38" t="s">
        <v>347</v>
      </c>
      <c r="F3756" s="38" t="s">
        <v>90</v>
      </c>
      <c r="G3756" s="49" t="str">
        <f t="shared" si="1"/>
        <v>35140</v>
      </c>
      <c r="H3756" s="49">
        <f t="shared" si="2"/>
        <v>35304</v>
      </c>
    </row>
    <row r="3757">
      <c r="A3757" s="48" t="s">
        <v>3206</v>
      </c>
      <c r="B3757" s="38">
        <v>40265.0</v>
      </c>
      <c r="C3757" s="38" t="s">
        <v>6304</v>
      </c>
      <c r="D3757" s="38" t="str">
        <f>IFERROR(__xludf.DUMMYFUNCTION("REGEXREPLACE(C3757,""-\d+(.*)|--\d+(.*)"","""")"),"SAINT-JULIEN-D'ARMAGNAC")</f>
        <v>SAINT-JULIEN-D'ARMAGNAC</v>
      </c>
      <c r="E3757" s="38" t="s">
        <v>281</v>
      </c>
      <c r="F3757" s="38" t="s">
        <v>252</v>
      </c>
      <c r="G3757" s="49" t="str">
        <f t="shared" si="1"/>
        <v>40240</v>
      </c>
      <c r="H3757" s="49">
        <f t="shared" si="2"/>
        <v>40265</v>
      </c>
    </row>
    <row r="3758">
      <c r="A3758" s="48" t="s">
        <v>3519</v>
      </c>
      <c r="B3758" s="38">
        <v>15003.0</v>
      </c>
      <c r="C3758" s="38" t="s">
        <v>6305</v>
      </c>
      <c r="D3758" s="38" t="str">
        <f>IFERROR(__xludf.DUMMYFUNCTION("REGEXREPLACE(C3758,""-\d+(.*)|--\d+(.*)"","""")"),"ALLY")</f>
        <v>ALLY</v>
      </c>
      <c r="E3758" s="38" t="s">
        <v>632</v>
      </c>
      <c r="F3758" s="38" t="s">
        <v>161</v>
      </c>
      <c r="G3758" s="49" t="str">
        <f t="shared" si="1"/>
        <v>15700</v>
      </c>
      <c r="H3758" s="49">
        <f t="shared" si="2"/>
        <v>15003</v>
      </c>
    </row>
    <row r="3759">
      <c r="A3759" s="48" t="s">
        <v>6306</v>
      </c>
      <c r="B3759" s="38">
        <v>84144.0</v>
      </c>
      <c r="C3759" s="38" t="s">
        <v>6307</v>
      </c>
      <c r="D3759" s="38" t="str">
        <f>IFERROR(__xludf.DUMMYFUNCTION("REGEXREPLACE(C3759,""-\d+(.*)|--\d+(.*)"","""")"),"VIENS")</f>
        <v>VIENS</v>
      </c>
      <c r="E3759" s="38" t="s">
        <v>1026</v>
      </c>
      <c r="F3759" s="38" t="s">
        <v>228</v>
      </c>
      <c r="G3759" s="49" t="str">
        <f t="shared" si="1"/>
        <v>84750</v>
      </c>
      <c r="H3759" s="49">
        <f t="shared" si="2"/>
        <v>84144</v>
      </c>
    </row>
    <row r="3760">
      <c r="A3760" s="48" t="s">
        <v>6308</v>
      </c>
      <c r="B3760" s="38">
        <v>62584.0</v>
      </c>
      <c r="C3760" s="38" t="s">
        <v>6309</v>
      </c>
      <c r="D3760" s="38" t="str">
        <f>IFERROR(__xludf.DUMMYFUNCTION("REGEXREPLACE(C3760,""-\d+(.*)|--\d+(.*)"","""")"),"MONT-BERNANCHON")</f>
        <v>MONT-BERNANCHON</v>
      </c>
      <c r="E3760" s="38" t="s">
        <v>109</v>
      </c>
      <c r="F3760" s="38" t="s">
        <v>86</v>
      </c>
      <c r="G3760" s="49" t="str">
        <f t="shared" si="1"/>
        <v>62350</v>
      </c>
      <c r="H3760" s="49">
        <f t="shared" si="2"/>
        <v>62584</v>
      </c>
    </row>
    <row r="3761">
      <c r="A3761" s="48" t="s">
        <v>1679</v>
      </c>
      <c r="B3761" s="38">
        <v>51212.0</v>
      </c>
      <c r="C3761" s="38" t="s">
        <v>6310</v>
      </c>
      <c r="D3761" s="38" t="str">
        <f>IFERROR(__xludf.DUMMYFUNCTION("REGEXREPLACE(C3761,""-\d+(.*)|--\d+(.*)"","""")"),"DOMMARTIN-LETTREE")</f>
        <v>DOMMARTIN-LETTREE</v>
      </c>
      <c r="E3761" s="38" t="s">
        <v>129</v>
      </c>
      <c r="F3761" s="38" t="s">
        <v>130</v>
      </c>
      <c r="G3761" s="49" t="str">
        <f t="shared" si="1"/>
        <v>51320</v>
      </c>
      <c r="H3761" s="49">
        <f t="shared" si="2"/>
        <v>51212</v>
      </c>
    </row>
    <row r="3762">
      <c r="A3762" s="48" t="s">
        <v>6311</v>
      </c>
      <c r="B3762" s="38">
        <v>89362.0</v>
      </c>
      <c r="C3762" s="38" t="s">
        <v>6312</v>
      </c>
      <c r="D3762" s="38" t="str">
        <f>IFERROR(__xludf.DUMMYFUNCTION("REGEXREPLACE(C3762,""-\d+(.*)|--\d+(.*)"","""")"),"SAINT-MORE")</f>
        <v>SAINT-MORE</v>
      </c>
      <c r="E3762" s="38" t="s">
        <v>275</v>
      </c>
      <c r="F3762" s="38" t="s">
        <v>106</v>
      </c>
      <c r="G3762" s="49" t="str">
        <f t="shared" si="1"/>
        <v>89270</v>
      </c>
      <c r="H3762" s="49">
        <f t="shared" si="2"/>
        <v>89362</v>
      </c>
    </row>
    <row r="3763">
      <c r="A3763" s="48" t="s">
        <v>2272</v>
      </c>
      <c r="B3763" s="38">
        <v>27105.0</v>
      </c>
      <c r="C3763" s="38" t="s">
        <v>6313</v>
      </c>
      <c r="D3763" s="38" t="str">
        <f>IFERROR(__xludf.DUMMYFUNCTION("REGEXREPLACE(C3763,""-\d+(.*)|--\d+(.*)"","""")"),"BOURGTHEROULDE-INFREVILLE")</f>
        <v>BOURGTHEROULDE-INFREVILLE</v>
      </c>
      <c r="E3763" s="38" t="s">
        <v>241</v>
      </c>
      <c r="F3763" s="38" t="s">
        <v>134</v>
      </c>
      <c r="G3763" s="49" t="str">
        <f t="shared" si="1"/>
        <v>27520</v>
      </c>
      <c r="H3763" s="49">
        <f t="shared" si="2"/>
        <v>27105</v>
      </c>
    </row>
    <row r="3764">
      <c r="A3764" s="48" t="s">
        <v>2920</v>
      </c>
      <c r="B3764" s="38">
        <v>62222.0</v>
      </c>
      <c r="C3764" s="38" t="s">
        <v>6314</v>
      </c>
      <c r="D3764" s="38" t="str">
        <f>IFERROR(__xludf.DUMMYFUNCTION("REGEXREPLACE(C3764,""-\d+(.*)|--\d+(.*)"","""")"),"CHERIENNES")</f>
        <v>CHERIENNES</v>
      </c>
      <c r="E3764" s="38" t="s">
        <v>109</v>
      </c>
      <c r="F3764" s="38" t="s">
        <v>86</v>
      </c>
      <c r="G3764" s="49" t="str">
        <f t="shared" si="1"/>
        <v>62140</v>
      </c>
      <c r="H3764" s="49">
        <f t="shared" si="2"/>
        <v>62222</v>
      </c>
    </row>
    <row r="3765">
      <c r="A3765" s="48" t="s">
        <v>6278</v>
      </c>
      <c r="B3765" s="38">
        <v>3095.0</v>
      </c>
      <c r="C3765" s="38" t="s">
        <v>6315</v>
      </c>
      <c r="D3765" s="38" t="str">
        <f>IFERROR(__xludf.DUMMYFUNCTION("REGEXREPLACE(C3765,""-\d+(.*)|--\d+(.*)"","""")"),"CUSSET")</f>
        <v>CUSSET</v>
      </c>
      <c r="E3765" s="38" t="s">
        <v>160</v>
      </c>
      <c r="F3765" s="38" t="s">
        <v>161</v>
      </c>
      <c r="G3765" s="49" t="str">
        <f t="shared" si="1"/>
        <v>03300</v>
      </c>
      <c r="H3765" s="49" t="str">
        <f t="shared" si="2"/>
        <v>03095</v>
      </c>
    </row>
    <row r="3766">
      <c r="A3766" s="48" t="s">
        <v>6316</v>
      </c>
      <c r="B3766" s="38">
        <v>50087.0</v>
      </c>
      <c r="C3766" s="38" t="s">
        <v>6317</v>
      </c>
      <c r="D3766" s="38" t="str">
        <f>IFERROR(__xludf.DUMMYFUNCTION("REGEXREPLACE(C3766,""-\d+(.*)|--\d+(.*)"","""")"),"BRIX")</f>
        <v>BRIX</v>
      </c>
      <c r="E3766" s="38" t="s">
        <v>157</v>
      </c>
      <c r="F3766" s="38" t="s">
        <v>138</v>
      </c>
      <c r="G3766" s="49" t="str">
        <f t="shared" si="1"/>
        <v>50700</v>
      </c>
      <c r="H3766" s="49">
        <f t="shared" si="2"/>
        <v>50087</v>
      </c>
    </row>
    <row r="3767">
      <c r="A3767" s="48" t="s">
        <v>2853</v>
      </c>
      <c r="B3767" s="38">
        <v>36149.0</v>
      </c>
      <c r="C3767" s="38" t="s">
        <v>6318</v>
      </c>
      <c r="D3767" s="38" t="str">
        <f>IFERROR(__xludf.DUMMYFUNCTION("REGEXREPLACE(C3767,""-\d+(.*)|--\d+(.*)"","""")"),"PALLUAU-SUR-INDRE")</f>
        <v>PALLUAU-SUR-INDRE</v>
      </c>
      <c r="E3767" s="38" t="s">
        <v>258</v>
      </c>
      <c r="F3767" s="38" t="s">
        <v>123</v>
      </c>
      <c r="G3767" s="49" t="str">
        <f t="shared" si="1"/>
        <v>36500</v>
      </c>
      <c r="H3767" s="49">
        <f t="shared" si="2"/>
        <v>36149</v>
      </c>
    </row>
    <row r="3768">
      <c r="A3768" s="48" t="s">
        <v>2164</v>
      </c>
      <c r="B3768" s="38">
        <v>63344.0</v>
      </c>
      <c r="C3768" s="38" t="s">
        <v>6319</v>
      </c>
      <c r="D3768" s="38" t="str">
        <f>IFERROR(__xludf.DUMMYFUNCTION("REGEXREPLACE(C3768,""-\d+(.*)|--\d+(.*)"","""")"),"SAINT-GAL-SUR-SIOULE")</f>
        <v>SAINT-GAL-SUR-SIOULE</v>
      </c>
      <c r="E3768" s="38" t="s">
        <v>353</v>
      </c>
      <c r="F3768" s="38" t="s">
        <v>161</v>
      </c>
      <c r="G3768" s="49" t="str">
        <f t="shared" si="1"/>
        <v>63440</v>
      </c>
      <c r="H3768" s="49">
        <f t="shared" si="2"/>
        <v>63344</v>
      </c>
    </row>
    <row r="3769">
      <c r="A3769" s="48" t="s">
        <v>3226</v>
      </c>
      <c r="B3769" s="38">
        <v>61313.0</v>
      </c>
      <c r="C3769" s="38" t="s">
        <v>6320</v>
      </c>
      <c r="D3769" s="38" t="str">
        <f>IFERROR(__xludf.DUMMYFUNCTION("REGEXREPLACE(C3769,""-\d+(.*)|--\d+(.*)"","""")"),"NOTRE-DAME-DU-ROCHER")</f>
        <v>NOTRE-DAME-DU-ROCHER</v>
      </c>
      <c r="E3769" s="38" t="s">
        <v>141</v>
      </c>
      <c r="F3769" s="38" t="s">
        <v>138</v>
      </c>
      <c r="G3769" s="49" t="str">
        <f t="shared" si="1"/>
        <v>61100</v>
      </c>
      <c r="H3769" s="49">
        <f t="shared" si="2"/>
        <v>61313</v>
      </c>
    </row>
    <row r="3770">
      <c r="A3770" s="48" t="s">
        <v>6321</v>
      </c>
      <c r="B3770" s="38">
        <v>62714.0</v>
      </c>
      <c r="C3770" s="38" t="s">
        <v>6322</v>
      </c>
      <c r="D3770" s="38" t="str">
        <f>IFERROR(__xludf.DUMMYFUNCTION("REGEXREPLACE(C3770,""-\d+(.*)|--\d+(.*)"","""")"),"ROCLINCOURT")</f>
        <v>ROCLINCOURT</v>
      </c>
      <c r="E3770" s="38" t="s">
        <v>109</v>
      </c>
      <c r="F3770" s="38" t="s">
        <v>86</v>
      </c>
      <c r="G3770" s="49" t="str">
        <f t="shared" si="1"/>
        <v>62223</v>
      </c>
      <c r="H3770" s="49">
        <f t="shared" si="2"/>
        <v>62714</v>
      </c>
    </row>
    <row r="3771">
      <c r="A3771" s="48" t="s">
        <v>6323</v>
      </c>
      <c r="B3771" s="38">
        <v>50140.0</v>
      </c>
      <c r="C3771" s="38" t="s">
        <v>6324</v>
      </c>
      <c r="D3771" s="38" t="str">
        <f>IFERROR(__xludf.DUMMYFUNCTION("REGEXREPLACE(C3771,""-\d+(.*)|--\d+(.*)"","""")"),"CONTRIERES")</f>
        <v>CONTRIERES</v>
      </c>
      <c r="E3771" s="38" t="s">
        <v>157</v>
      </c>
      <c r="F3771" s="38" t="s">
        <v>138</v>
      </c>
      <c r="G3771" s="49" t="str">
        <f t="shared" si="1"/>
        <v>50660</v>
      </c>
      <c r="H3771" s="49">
        <f t="shared" si="2"/>
        <v>50140</v>
      </c>
    </row>
    <row r="3772">
      <c r="A3772" s="48" t="s">
        <v>127</v>
      </c>
      <c r="B3772" s="38">
        <v>51442.0</v>
      </c>
      <c r="C3772" s="38" t="s">
        <v>6325</v>
      </c>
      <c r="D3772" s="38" t="str">
        <f>IFERROR(__xludf.DUMMYFUNCTION("REGEXREPLACE(C3772,""-\d+(.*)|--\d+(.*)"","""")"),"POSSESSE")</f>
        <v>POSSESSE</v>
      </c>
      <c r="E3772" s="38" t="s">
        <v>129</v>
      </c>
      <c r="F3772" s="38" t="s">
        <v>130</v>
      </c>
      <c r="G3772" s="49" t="str">
        <f t="shared" si="1"/>
        <v>51330</v>
      </c>
      <c r="H3772" s="49">
        <f t="shared" si="2"/>
        <v>51442</v>
      </c>
    </row>
    <row r="3773">
      <c r="A3773" s="48" t="s">
        <v>6326</v>
      </c>
      <c r="B3773" s="38">
        <v>34120.0</v>
      </c>
      <c r="C3773" s="38" t="s">
        <v>6327</v>
      </c>
      <c r="D3773" s="38" t="str">
        <f>IFERROR(__xludf.DUMMYFUNCTION("REGEXREPLACE(C3773,""-\d+(.*)|--\d+(.*)"","""")"),"JACOU")</f>
        <v>JACOU</v>
      </c>
      <c r="E3773" s="38" t="s">
        <v>118</v>
      </c>
      <c r="F3773" s="38" t="s">
        <v>119</v>
      </c>
      <c r="G3773" s="49" t="str">
        <f t="shared" si="1"/>
        <v>34830</v>
      </c>
      <c r="H3773" s="49">
        <f t="shared" si="2"/>
        <v>34120</v>
      </c>
    </row>
    <row r="3774">
      <c r="A3774" s="48" t="s">
        <v>6328</v>
      </c>
      <c r="B3774" s="38">
        <v>30319.0</v>
      </c>
      <c r="C3774" s="38" t="s">
        <v>6329</v>
      </c>
      <c r="D3774" s="38" t="str">
        <f>IFERROR(__xludf.DUMMYFUNCTION("REGEXREPLACE(C3774,""-\d+(.*)|--\d+(.*)"","""")"),"SERVIERS-ET-LABAUME")</f>
        <v>SERVIERS-ET-LABAUME</v>
      </c>
      <c r="E3774" s="38" t="s">
        <v>526</v>
      </c>
      <c r="F3774" s="38" t="s">
        <v>119</v>
      </c>
      <c r="G3774" s="49" t="str">
        <f t="shared" si="1"/>
        <v>30700</v>
      </c>
      <c r="H3774" s="49">
        <f t="shared" si="2"/>
        <v>30319</v>
      </c>
    </row>
    <row r="3775">
      <c r="A3775" s="48" t="s">
        <v>887</v>
      </c>
      <c r="B3775" s="38">
        <v>62494.0</v>
      </c>
      <c r="C3775" s="38" t="s">
        <v>6330</v>
      </c>
      <c r="D3775" s="38" t="str">
        <f>IFERROR(__xludf.DUMMYFUNCTION("REGEXREPLACE(C3775,""-\d+(.*)|--\d+(.*)"","""")"),"LECHELLE")</f>
        <v>LECHELLE</v>
      </c>
      <c r="E3775" s="38" t="s">
        <v>109</v>
      </c>
      <c r="F3775" s="38" t="s">
        <v>86</v>
      </c>
      <c r="G3775" s="49" t="str">
        <f t="shared" si="1"/>
        <v>62124</v>
      </c>
      <c r="H3775" s="49">
        <f t="shared" si="2"/>
        <v>62494</v>
      </c>
    </row>
    <row r="3776">
      <c r="A3776" s="48" t="s">
        <v>2955</v>
      </c>
      <c r="B3776" s="38">
        <v>76145.0</v>
      </c>
      <c r="C3776" s="38" t="s">
        <v>6331</v>
      </c>
      <c r="D3776" s="38" t="str">
        <f>IFERROR(__xludf.DUMMYFUNCTION("REGEXREPLACE(C3776,""-\d+(.*)|--\d+(.*)"","""")"),"BRUNVILLE")</f>
        <v>BRUNVILLE</v>
      </c>
      <c r="E3776" s="38" t="s">
        <v>133</v>
      </c>
      <c r="F3776" s="38" t="s">
        <v>134</v>
      </c>
      <c r="G3776" s="49" t="str">
        <f t="shared" si="1"/>
        <v>76630</v>
      </c>
      <c r="H3776" s="49">
        <f t="shared" si="2"/>
        <v>76145</v>
      </c>
    </row>
    <row r="3777">
      <c r="A3777" s="48" t="s">
        <v>2387</v>
      </c>
      <c r="B3777" s="38">
        <v>42046.0</v>
      </c>
      <c r="C3777" s="38" t="s">
        <v>6332</v>
      </c>
      <c r="D3777" s="38" t="str">
        <f>IFERROR(__xludf.DUMMYFUNCTION("REGEXREPLACE(C3777,""-\d+(.*)|--\d+(.*)"","""")"),"CHAMPDIEU")</f>
        <v>CHAMPDIEU</v>
      </c>
      <c r="E3777" s="38" t="s">
        <v>166</v>
      </c>
      <c r="F3777" s="38" t="s">
        <v>102</v>
      </c>
      <c r="G3777" s="49" t="str">
        <f t="shared" si="1"/>
        <v>42600</v>
      </c>
      <c r="H3777" s="49">
        <f t="shared" si="2"/>
        <v>42046</v>
      </c>
    </row>
    <row r="3778">
      <c r="A3778" s="48" t="s">
        <v>4867</v>
      </c>
      <c r="B3778" s="38">
        <v>82107.0</v>
      </c>
      <c r="C3778" s="38" t="s">
        <v>6333</v>
      </c>
      <c r="D3778" s="38" t="str">
        <f>IFERROR(__xludf.DUMMYFUNCTION("REGEXREPLACE(C3778,""-\d+(.*)|--\d+(.*)"","""")"),"MAUMUSSON")</f>
        <v>MAUMUSSON</v>
      </c>
      <c r="E3778" s="38" t="s">
        <v>570</v>
      </c>
      <c r="F3778" s="38" t="s">
        <v>94</v>
      </c>
      <c r="G3778" s="49" t="str">
        <f t="shared" si="1"/>
        <v>82120</v>
      </c>
      <c r="H3778" s="49">
        <f t="shared" si="2"/>
        <v>82107</v>
      </c>
    </row>
    <row r="3779">
      <c r="A3779" s="48" t="s">
        <v>6334</v>
      </c>
      <c r="B3779" s="38">
        <v>43032.0</v>
      </c>
      <c r="C3779" s="38" t="s">
        <v>6335</v>
      </c>
      <c r="D3779" s="38" t="str">
        <f>IFERROR(__xludf.DUMMYFUNCTION("REGEXREPLACE(C3779,""-\d+(.*)|--\d+(.*)"","""")"),"BLAVOZY")</f>
        <v>BLAVOZY</v>
      </c>
      <c r="E3779" s="38" t="s">
        <v>332</v>
      </c>
      <c r="F3779" s="38" t="s">
        <v>161</v>
      </c>
      <c r="G3779" s="49" t="str">
        <f t="shared" si="1"/>
        <v>43700</v>
      </c>
      <c r="H3779" s="49">
        <f t="shared" si="2"/>
        <v>43032</v>
      </c>
    </row>
    <row r="3780">
      <c r="A3780" s="48" t="s">
        <v>1004</v>
      </c>
      <c r="B3780" s="38">
        <v>71284.0</v>
      </c>
      <c r="C3780" s="38" t="s">
        <v>6336</v>
      </c>
      <c r="D3780" s="38" t="str">
        <f>IFERROR(__xludf.DUMMYFUNCTION("REGEXREPLACE(C3780,""-\d+(.*)|--\d+(.*)"","""")"),"MARTAILLY-LES-BRANCION")</f>
        <v>MARTAILLY-LES-BRANCION</v>
      </c>
      <c r="E3780" s="38" t="s">
        <v>344</v>
      </c>
      <c r="F3780" s="38" t="s">
        <v>106</v>
      </c>
      <c r="G3780" s="49" t="str">
        <f t="shared" si="1"/>
        <v>71700</v>
      </c>
      <c r="H3780" s="49">
        <f t="shared" si="2"/>
        <v>71284</v>
      </c>
    </row>
    <row r="3781">
      <c r="A3781" s="48" t="s">
        <v>2249</v>
      </c>
      <c r="B3781" s="38">
        <v>14256.0</v>
      </c>
      <c r="C3781" s="38" t="s">
        <v>6337</v>
      </c>
      <c r="D3781" s="38" t="str">
        <f>IFERROR(__xludf.DUMMYFUNCTION("REGEXREPLACE(C3781,""-\d+(.*)|--\d+(.*)"","""")"),"ETREHAM")</f>
        <v>ETREHAM</v>
      </c>
      <c r="E3781" s="38" t="s">
        <v>137</v>
      </c>
      <c r="F3781" s="38" t="s">
        <v>138</v>
      </c>
      <c r="G3781" s="49" t="str">
        <f t="shared" si="1"/>
        <v>14400</v>
      </c>
      <c r="H3781" s="49">
        <f t="shared" si="2"/>
        <v>14256</v>
      </c>
    </row>
    <row r="3782">
      <c r="A3782" s="48" t="s">
        <v>6338</v>
      </c>
      <c r="B3782" s="38">
        <v>79251.0</v>
      </c>
      <c r="C3782" s="38" t="s">
        <v>6339</v>
      </c>
      <c r="D3782" s="38" t="str">
        <f>IFERROR(__xludf.DUMMYFUNCTION("REGEXREPLACE(C3782,""-\d+(.*)|--\d+(.*)"","""")"),"SAINT-GENARD")</f>
        <v>SAINT-GENARD</v>
      </c>
      <c r="E3782" s="38" t="s">
        <v>337</v>
      </c>
      <c r="F3782" s="38" t="s">
        <v>338</v>
      </c>
      <c r="G3782" s="49" t="str">
        <f t="shared" si="1"/>
        <v>79500</v>
      </c>
      <c r="H3782" s="49">
        <f t="shared" si="2"/>
        <v>79251</v>
      </c>
    </row>
    <row r="3783">
      <c r="A3783" s="48" t="s">
        <v>6340</v>
      </c>
      <c r="B3783" s="38">
        <v>89407.0</v>
      </c>
      <c r="C3783" s="38" t="s">
        <v>6341</v>
      </c>
      <c r="D3783" s="38" t="str">
        <f>IFERROR(__xludf.DUMMYFUNCTION("REGEXREPLACE(C3783,""-\d+(.*)|--\d+(.*)"","""")"),"TANLAY")</f>
        <v>TANLAY</v>
      </c>
      <c r="E3783" s="38" t="s">
        <v>275</v>
      </c>
      <c r="F3783" s="38" t="s">
        <v>106</v>
      </c>
      <c r="G3783" s="49" t="str">
        <f t="shared" si="1"/>
        <v>89430</v>
      </c>
      <c r="H3783" s="49">
        <f t="shared" si="2"/>
        <v>89407</v>
      </c>
    </row>
    <row r="3784">
      <c r="A3784" s="48" t="s">
        <v>2506</v>
      </c>
      <c r="B3784" s="38">
        <v>80571.0</v>
      </c>
      <c r="C3784" s="38" t="s">
        <v>6342</v>
      </c>
      <c r="D3784" s="38" t="str">
        <f>IFERROR(__xludf.DUMMYFUNCTION("REGEXREPLACE(C3784,""-\d+(.*)|--\d+(.*)"","""")"),"MORISEL")</f>
        <v>MORISEL</v>
      </c>
      <c r="E3784" s="38" t="s">
        <v>224</v>
      </c>
      <c r="F3784" s="38" t="s">
        <v>113</v>
      </c>
      <c r="G3784" s="49" t="str">
        <f t="shared" si="1"/>
        <v>80110</v>
      </c>
      <c r="H3784" s="49">
        <f t="shared" si="2"/>
        <v>80571</v>
      </c>
    </row>
    <row r="3785">
      <c r="A3785" s="48" t="s">
        <v>2736</v>
      </c>
      <c r="B3785" s="38">
        <v>89387.0</v>
      </c>
      <c r="C3785" s="38" t="s">
        <v>6343</v>
      </c>
      <c r="D3785" s="38" t="str">
        <f>IFERROR(__xludf.DUMMYFUNCTION("REGEXREPLACE(C3785,""-\d+(.*)|--\d+(.*)"","""")"),"SENS")</f>
        <v>SENS</v>
      </c>
      <c r="E3785" s="38" t="s">
        <v>275</v>
      </c>
      <c r="F3785" s="38" t="s">
        <v>106</v>
      </c>
      <c r="G3785" s="49" t="str">
        <f t="shared" si="1"/>
        <v>89100</v>
      </c>
      <c r="H3785" s="49">
        <f t="shared" si="2"/>
        <v>89387</v>
      </c>
    </row>
    <row r="3786">
      <c r="A3786" s="48" t="s">
        <v>3624</v>
      </c>
      <c r="B3786" s="38">
        <v>39485.0</v>
      </c>
      <c r="C3786" s="38" t="s">
        <v>812</v>
      </c>
      <c r="D3786" s="38" t="str">
        <f>IFERROR(__xludf.DUMMYFUNCTION("REGEXREPLACE(C3786,""-\d+(.*)|--\d+(.*)"","""")"),"SAINT-JULIEN")</f>
        <v>SAINT-JULIEN</v>
      </c>
      <c r="E3786" s="38" t="s">
        <v>400</v>
      </c>
      <c r="F3786" s="38" t="s">
        <v>214</v>
      </c>
      <c r="G3786" s="49" t="str">
        <f t="shared" si="1"/>
        <v>39320</v>
      </c>
      <c r="H3786" s="49">
        <f t="shared" si="2"/>
        <v>39485</v>
      </c>
    </row>
    <row r="3787">
      <c r="A3787" s="48" t="s">
        <v>3242</v>
      </c>
      <c r="B3787" s="38">
        <v>2019.0</v>
      </c>
      <c r="C3787" s="38" t="s">
        <v>6344</v>
      </c>
      <c r="D3787" s="38" t="str">
        <f>IFERROR(__xludf.DUMMYFUNCTION("REGEXREPLACE(C3787,""-\d+(.*)|--\d+(.*)"","""")"),"ANNOIS")</f>
        <v>ANNOIS</v>
      </c>
      <c r="E3787" s="38" t="s">
        <v>191</v>
      </c>
      <c r="F3787" s="38" t="s">
        <v>113</v>
      </c>
      <c r="G3787" s="49" t="str">
        <f t="shared" si="1"/>
        <v>02480</v>
      </c>
      <c r="H3787" s="49" t="str">
        <f t="shared" si="2"/>
        <v>02019</v>
      </c>
    </row>
    <row r="3788">
      <c r="A3788" s="48" t="s">
        <v>3961</v>
      </c>
      <c r="B3788" s="38">
        <v>19011.0</v>
      </c>
      <c r="C3788" s="38" t="s">
        <v>6345</v>
      </c>
      <c r="D3788" s="38" t="str">
        <f>IFERROR(__xludf.DUMMYFUNCTION("REGEXREPLACE(C3788,""-\d+(.*)|--\d+(.*)"","""")"),"ARNAC-POMPADOUR")</f>
        <v>ARNAC-POMPADOUR</v>
      </c>
      <c r="E3788" s="38" t="s">
        <v>271</v>
      </c>
      <c r="F3788" s="38" t="s">
        <v>98</v>
      </c>
      <c r="G3788" s="49" t="str">
        <f t="shared" si="1"/>
        <v>19230</v>
      </c>
      <c r="H3788" s="49">
        <f t="shared" si="2"/>
        <v>19011</v>
      </c>
    </row>
    <row r="3789">
      <c r="A3789" s="48" t="s">
        <v>5743</v>
      </c>
      <c r="B3789" s="38">
        <v>52038.0</v>
      </c>
      <c r="C3789" s="38" t="s">
        <v>6346</v>
      </c>
      <c r="D3789" s="38" t="str">
        <f>IFERROR(__xludf.DUMMYFUNCTION("REGEXREPLACE(C3789,""-\d+(.*)|--\d+(.*)"","""")"),"BASSONCOURT")</f>
        <v>BASSONCOURT</v>
      </c>
      <c r="E3789" s="38" t="s">
        <v>234</v>
      </c>
      <c r="F3789" s="38" t="s">
        <v>130</v>
      </c>
      <c r="G3789" s="49" t="str">
        <f t="shared" si="1"/>
        <v>52240</v>
      </c>
      <c r="H3789" s="49">
        <f t="shared" si="2"/>
        <v>52038</v>
      </c>
    </row>
    <row r="3790">
      <c r="A3790" s="48" t="s">
        <v>6347</v>
      </c>
      <c r="B3790" s="38">
        <v>73006.0</v>
      </c>
      <c r="C3790" s="38" t="s">
        <v>6348</v>
      </c>
      <c r="D3790" s="38" t="str">
        <f>IFERROR(__xludf.DUMMYFUNCTION("REGEXREPLACE(C3790,""-\d+(.*)|--\d+(.*)"","""")"),"AIME")</f>
        <v>AIME</v>
      </c>
      <c r="E3790" s="38" t="s">
        <v>306</v>
      </c>
      <c r="F3790" s="38" t="s">
        <v>102</v>
      </c>
      <c r="G3790" s="49" t="str">
        <f t="shared" si="1"/>
        <v>73210</v>
      </c>
      <c r="H3790" s="49">
        <f t="shared" si="2"/>
        <v>73006</v>
      </c>
    </row>
    <row r="3791">
      <c r="A3791" s="48" t="s">
        <v>3436</v>
      </c>
      <c r="B3791" s="38">
        <v>33166.0</v>
      </c>
      <c r="C3791" s="38" t="s">
        <v>6349</v>
      </c>
      <c r="D3791" s="38" t="str">
        <f>IFERROR(__xludf.DUMMYFUNCTION("REGEXREPLACE(C3791,""-\d+(.*)|--\d+(.*)"","""")"),"LE FIEU")</f>
        <v>LE FIEU</v>
      </c>
      <c r="E3791" s="38" t="s">
        <v>462</v>
      </c>
      <c r="F3791" s="38" t="s">
        <v>252</v>
      </c>
      <c r="G3791" s="49" t="str">
        <f t="shared" si="1"/>
        <v>33230</v>
      </c>
      <c r="H3791" s="49">
        <f t="shared" si="2"/>
        <v>33166</v>
      </c>
    </row>
    <row r="3792">
      <c r="A3792" s="48" t="s">
        <v>6350</v>
      </c>
      <c r="B3792" s="38">
        <v>6068.0</v>
      </c>
      <c r="C3792" s="38" t="s">
        <v>4985</v>
      </c>
      <c r="D3792" s="38" t="str">
        <f>IFERROR(__xludf.DUMMYFUNCTION("REGEXREPLACE(C3792,""-\d+(.*)|--\d+(.*)"","""")"),"GOURDON")</f>
        <v>GOURDON</v>
      </c>
      <c r="E3792" s="38" t="s">
        <v>227</v>
      </c>
      <c r="F3792" s="38" t="s">
        <v>228</v>
      </c>
      <c r="G3792" s="49" t="str">
        <f t="shared" si="1"/>
        <v>06620</v>
      </c>
      <c r="H3792" s="49" t="str">
        <f t="shared" si="2"/>
        <v>06068</v>
      </c>
    </row>
    <row r="3793">
      <c r="A3793" s="48" t="s">
        <v>6351</v>
      </c>
      <c r="B3793" s="38">
        <v>69123.0</v>
      </c>
      <c r="C3793" s="38" t="s">
        <v>6352</v>
      </c>
      <c r="D3793" s="38" t="s">
        <v>6352</v>
      </c>
      <c r="E3793" s="38"/>
      <c r="F3793" s="38"/>
      <c r="G3793" s="49" t="str">
        <f t="shared" si="1"/>
        <v>69000</v>
      </c>
      <c r="H3793" s="49">
        <f t="shared" si="2"/>
        <v>69123</v>
      </c>
    </row>
    <row r="3794">
      <c r="A3794" s="48" t="s">
        <v>6353</v>
      </c>
      <c r="B3794" s="38">
        <v>69384.0</v>
      </c>
      <c r="C3794" s="38" t="s">
        <v>6354</v>
      </c>
      <c r="D3794" s="38" t="str">
        <f>IFERROR(__xludf.DUMMYFUNCTION("REGEXREPLACE(C3794,""-\d+(.*)|--\d+(.*)"","""")"),"LYON")</f>
        <v>LYON</v>
      </c>
      <c r="E3794" s="38" t="s">
        <v>350</v>
      </c>
      <c r="F3794" s="38" t="s">
        <v>102</v>
      </c>
      <c r="G3794" s="49" t="str">
        <f t="shared" si="1"/>
        <v>69004</v>
      </c>
      <c r="H3794" s="49">
        <f t="shared" si="2"/>
        <v>69384</v>
      </c>
    </row>
    <row r="3795">
      <c r="A3795" s="48" t="s">
        <v>1777</v>
      </c>
      <c r="B3795" s="38">
        <v>10177.0</v>
      </c>
      <c r="C3795" s="38" t="s">
        <v>6355</v>
      </c>
      <c r="D3795" s="38" t="str">
        <f>IFERROR(__xludf.DUMMYFUNCTION("REGEXREPLACE(C3795,""-\d+(.*)|--\d+(.*)"","""")"),"JAVERNANT")</f>
        <v>JAVERNANT</v>
      </c>
      <c r="E3795" s="38" t="s">
        <v>147</v>
      </c>
      <c r="F3795" s="38" t="s">
        <v>130</v>
      </c>
      <c r="G3795" s="49" t="str">
        <f t="shared" si="1"/>
        <v>10320</v>
      </c>
      <c r="H3795" s="49">
        <f t="shared" si="2"/>
        <v>10177</v>
      </c>
    </row>
    <row r="3796">
      <c r="A3796" s="48" t="s">
        <v>1058</v>
      </c>
      <c r="B3796" s="38">
        <v>21436.0</v>
      </c>
      <c r="C3796" s="38" t="s">
        <v>6356</v>
      </c>
      <c r="D3796" s="38" t="str">
        <f>IFERROR(__xludf.DUMMYFUNCTION("REGEXREPLACE(C3796,""-\d+(.*)|--\d+(.*)"","""")"),"MONTMAIN")</f>
        <v>MONTMAIN</v>
      </c>
      <c r="E3796" s="38" t="s">
        <v>105</v>
      </c>
      <c r="F3796" s="38" t="s">
        <v>106</v>
      </c>
      <c r="G3796" s="49" t="str">
        <f t="shared" si="1"/>
        <v>21250</v>
      </c>
      <c r="H3796" s="49">
        <f t="shared" si="2"/>
        <v>21436</v>
      </c>
    </row>
    <row r="3797">
      <c r="A3797" s="48" t="s">
        <v>6357</v>
      </c>
      <c r="B3797" s="38">
        <v>91635.0</v>
      </c>
      <c r="C3797" s="38" t="s">
        <v>6358</v>
      </c>
      <c r="D3797" s="38" t="str">
        <f>IFERROR(__xludf.DUMMYFUNCTION("REGEXREPLACE(C3797,""-\d+(.*)|--\d+(.*)"","""")"),"VAUHALLAN")</f>
        <v>VAUHALLAN</v>
      </c>
      <c r="E3797" s="38" t="s">
        <v>756</v>
      </c>
      <c r="F3797" s="38" t="s">
        <v>245</v>
      </c>
      <c r="G3797" s="49" t="str">
        <f t="shared" si="1"/>
        <v>91430</v>
      </c>
      <c r="H3797" s="49">
        <f t="shared" si="2"/>
        <v>91635</v>
      </c>
    </row>
    <row r="3798">
      <c r="A3798" s="48" t="s">
        <v>3147</v>
      </c>
      <c r="B3798" s="38">
        <v>68029.0</v>
      </c>
      <c r="C3798" s="38" t="s">
        <v>6359</v>
      </c>
      <c r="D3798" s="38" t="str">
        <f>IFERROR(__xludf.DUMMYFUNCTION("REGEXREPLACE(C3798,""-\d+(.*)|--\d+(.*)"","""")"),"BERGHOLTZ")</f>
        <v>BERGHOLTZ</v>
      </c>
      <c r="E3798" s="38" t="s">
        <v>150</v>
      </c>
      <c r="F3798" s="38" t="s">
        <v>151</v>
      </c>
      <c r="G3798" s="49" t="str">
        <f t="shared" si="1"/>
        <v>68500</v>
      </c>
      <c r="H3798" s="49">
        <f t="shared" si="2"/>
        <v>68029</v>
      </c>
    </row>
    <row r="3799">
      <c r="A3799" s="48" t="s">
        <v>2701</v>
      </c>
      <c r="B3799" s="38">
        <v>17266.0</v>
      </c>
      <c r="C3799" s="38" t="s">
        <v>6360</v>
      </c>
      <c r="D3799" s="38" t="str">
        <f>IFERROR(__xludf.DUMMYFUNCTION("REGEXREPLACE(C3799,""-\d+(.*)|--\d+(.*)"","""")"),"LES NOUILLERS")</f>
        <v>LES NOUILLERS</v>
      </c>
      <c r="E3799" s="38" t="s">
        <v>488</v>
      </c>
      <c r="F3799" s="38" t="s">
        <v>338</v>
      </c>
      <c r="G3799" s="49" t="str">
        <f t="shared" si="1"/>
        <v>17380</v>
      </c>
      <c r="H3799" s="49">
        <f t="shared" si="2"/>
        <v>17266</v>
      </c>
    </row>
    <row r="3800">
      <c r="A3800" s="48" t="s">
        <v>816</v>
      </c>
      <c r="B3800" s="38">
        <v>11010.0</v>
      </c>
      <c r="C3800" s="38" t="s">
        <v>6361</v>
      </c>
      <c r="D3800" s="38" t="str">
        <f>IFERROR(__xludf.DUMMYFUNCTION("REGEXREPLACE(C3800,""-\d+(.*)|--\d+(.*)"","""")"),"ANTUGNAC")</f>
        <v>ANTUGNAC</v>
      </c>
      <c r="E3800" s="38" t="s">
        <v>278</v>
      </c>
      <c r="F3800" s="38" t="s">
        <v>119</v>
      </c>
      <c r="G3800" s="49" t="str">
        <f t="shared" si="1"/>
        <v>11190</v>
      </c>
      <c r="H3800" s="49">
        <f t="shared" si="2"/>
        <v>11010</v>
      </c>
    </row>
    <row r="3801">
      <c r="A3801" s="48" t="s">
        <v>5030</v>
      </c>
      <c r="B3801" s="38">
        <v>65300.0</v>
      </c>
      <c r="C3801" s="38" t="s">
        <v>6362</v>
      </c>
      <c r="D3801" s="38" t="str">
        <f>IFERROR(__xludf.DUMMYFUNCTION("REGEXREPLACE(C3801,""-\d+(.*)|--\d+(.*)"","""")"),"MARSAS")</f>
        <v>MARSAS</v>
      </c>
      <c r="E3801" s="38" t="s">
        <v>200</v>
      </c>
      <c r="F3801" s="38" t="s">
        <v>94</v>
      </c>
      <c r="G3801" s="49" t="str">
        <f t="shared" si="1"/>
        <v>65200</v>
      </c>
      <c r="H3801" s="49">
        <f t="shared" si="2"/>
        <v>65300</v>
      </c>
    </row>
    <row r="3802">
      <c r="A3802" s="48" t="s">
        <v>6363</v>
      </c>
      <c r="B3802" s="38">
        <v>38421.0</v>
      </c>
      <c r="C3802" s="38" t="s">
        <v>6364</v>
      </c>
      <c r="D3802" s="38" t="str">
        <f>IFERROR(__xludf.DUMMYFUNCTION("REGEXREPLACE(C3802,""-\d+(.*)|--\d+(.*)"","""")"),"SAINT-MARTIN-D'HERES")</f>
        <v>SAINT-MARTIN-D'HERES</v>
      </c>
      <c r="E3802" s="38" t="s">
        <v>101</v>
      </c>
      <c r="F3802" s="38" t="s">
        <v>102</v>
      </c>
      <c r="G3802" s="49" t="str">
        <f t="shared" si="1"/>
        <v>38400</v>
      </c>
      <c r="H3802" s="49">
        <f t="shared" si="2"/>
        <v>38421</v>
      </c>
    </row>
    <row r="3803">
      <c r="A3803" s="48" t="s">
        <v>4519</v>
      </c>
      <c r="B3803" s="38">
        <v>26209.0</v>
      </c>
      <c r="C3803" s="38" t="s">
        <v>6365</v>
      </c>
      <c r="D3803" s="38" t="str">
        <f>IFERROR(__xludf.DUMMYFUNCTION("REGEXREPLACE(C3803,""-\d+(.*)|--\d+(.*)"","""")"),"MONTREAL-LES-SOURCES")</f>
        <v>MONTREAL-LES-SOURCES</v>
      </c>
      <c r="E3803" s="38" t="s">
        <v>126</v>
      </c>
      <c r="F3803" s="38" t="s">
        <v>102</v>
      </c>
      <c r="G3803" s="49" t="str">
        <f t="shared" si="1"/>
        <v>26510</v>
      </c>
      <c r="H3803" s="49">
        <f t="shared" si="2"/>
        <v>26209</v>
      </c>
    </row>
    <row r="3804">
      <c r="A3804" s="48" t="s">
        <v>1058</v>
      </c>
      <c r="B3804" s="38">
        <v>21112.0</v>
      </c>
      <c r="C3804" s="38" t="s">
        <v>6366</v>
      </c>
      <c r="D3804" s="38" t="str">
        <f>IFERROR(__xludf.DUMMYFUNCTION("REGEXREPLACE(C3804,""-\d+(.*)|--\d+(.*)"","""")"),"BROIN")</f>
        <v>BROIN</v>
      </c>
      <c r="E3804" s="38" t="s">
        <v>105</v>
      </c>
      <c r="F3804" s="38" t="s">
        <v>106</v>
      </c>
      <c r="G3804" s="49" t="str">
        <f t="shared" si="1"/>
        <v>21250</v>
      </c>
      <c r="H3804" s="49">
        <f t="shared" si="2"/>
        <v>21112</v>
      </c>
    </row>
    <row r="3805">
      <c r="A3805" s="48" t="s">
        <v>6367</v>
      </c>
      <c r="B3805" s="38" t="s">
        <v>6368</v>
      </c>
      <c r="C3805" s="38" t="s">
        <v>6369</v>
      </c>
      <c r="D3805" s="38" t="str">
        <f>IFERROR(__xludf.DUMMYFUNCTION("REGEXREPLACE(C3805,""-\d+(.*)|--\d+(.*)"","""")"),"CANAVAGGIA")</f>
        <v>CANAVAGGIA</v>
      </c>
      <c r="E3805" s="38" t="s">
        <v>743</v>
      </c>
      <c r="F3805" s="38" t="s">
        <v>607</v>
      </c>
      <c r="G3805" s="49" t="str">
        <f t="shared" si="1"/>
        <v>20235</v>
      </c>
      <c r="H3805" s="49" t="str">
        <f t="shared" si="2"/>
        <v>2B059</v>
      </c>
    </row>
    <row r="3806">
      <c r="A3806" s="48" t="s">
        <v>2438</v>
      </c>
      <c r="B3806" s="38">
        <v>64303.0</v>
      </c>
      <c r="C3806" s="38" t="s">
        <v>6370</v>
      </c>
      <c r="D3806" s="38" t="str">
        <f>IFERROR(__xludf.DUMMYFUNCTION("REGEXREPLACE(C3806,""-\d+(.*)|--\d+(.*)"","""")"),"LAGUINGE-RESTOUE")</f>
        <v>LAGUINGE-RESTOUE</v>
      </c>
      <c r="E3806" s="38" t="s">
        <v>268</v>
      </c>
      <c r="F3806" s="38" t="s">
        <v>252</v>
      </c>
      <c r="G3806" s="49" t="str">
        <f t="shared" si="1"/>
        <v>64470</v>
      </c>
      <c r="H3806" s="49">
        <f t="shared" si="2"/>
        <v>64303</v>
      </c>
    </row>
    <row r="3807">
      <c r="A3807" s="48" t="s">
        <v>493</v>
      </c>
      <c r="B3807" s="38">
        <v>28410.0</v>
      </c>
      <c r="C3807" s="38" t="s">
        <v>6371</v>
      </c>
      <c r="D3807" s="38" t="str">
        <f>IFERROR(__xludf.DUMMYFUNCTION("REGEXREPLACE(C3807,""-\d+(.*)|--\d+(.*)"","""")"),"VILLAMPUY")</f>
        <v>VILLAMPUY</v>
      </c>
      <c r="E3807" s="38" t="s">
        <v>300</v>
      </c>
      <c r="F3807" s="38" t="s">
        <v>123</v>
      </c>
      <c r="G3807" s="49" t="str">
        <f t="shared" si="1"/>
        <v>28200</v>
      </c>
      <c r="H3807" s="49">
        <f t="shared" si="2"/>
        <v>28410</v>
      </c>
    </row>
    <row r="3808">
      <c r="A3808" s="48" t="s">
        <v>6372</v>
      </c>
      <c r="B3808" s="38">
        <v>79286.0</v>
      </c>
      <c r="C3808" s="38" t="s">
        <v>6373</v>
      </c>
      <c r="D3808" s="38" t="str">
        <f>IFERROR(__xludf.DUMMYFUNCTION("REGEXREPLACE(C3808,""-\d+(.*)|--\d+(.*)"","""")"),"SAINT-PAUL-EN-GATINE")</f>
        <v>SAINT-PAUL-EN-GATINE</v>
      </c>
      <c r="E3808" s="38" t="s">
        <v>337</v>
      </c>
      <c r="F3808" s="38" t="s">
        <v>338</v>
      </c>
      <c r="G3808" s="49" t="str">
        <f t="shared" si="1"/>
        <v>79240</v>
      </c>
      <c r="H3808" s="49">
        <f t="shared" si="2"/>
        <v>79286</v>
      </c>
    </row>
    <row r="3809">
      <c r="A3809" s="48" t="s">
        <v>1758</v>
      </c>
      <c r="B3809" s="38">
        <v>65173.0</v>
      </c>
      <c r="C3809" s="38" t="s">
        <v>6374</v>
      </c>
      <c r="D3809" s="38" t="str">
        <f>IFERROR(__xludf.DUMMYFUNCTION("REGEXREPLACE(C3809,""-\d+(.*)|--\d+(.*)"","""")"),"ESTERRE")</f>
        <v>ESTERRE</v>
      </c>
      <c r="E3809" s="38" t="s">
        <v>200</v>
      </c>
      <c r="F3809" s="38" t="s">
        <v>94</v>
      </c>
      <c r="G3809" s="49" t="str">
        <f t="shared" si="1"/>
        <v>65120</v>
      </c>
      <c r="H3809" s="49">
        <f t="shared" si="2"/>
        <v>65173</v>
      </c>
    </row>
    <row r="3810">
      <c r="A3810" s="48" t="s">
        <v>6375</v>
      </c>
      <c r="B3810" s="38">
        <v>93032.0</v>
      </c>
      <c r="C3810" s="38" t="s">
        <v>6376</v>
      </c>
      <c r="D3810" s="38" t="str">
        <f>IFERROR(__xludf.DUMMYFUNCTION("REGEXREPLACE(C3810,""-\d+(.*)|--\d+(.*)"","""")"),"GAGNY")</f>
        <v>GAGNY</v>
      </c>
      <c r="E3810" s="38" t="s">
        <v>341</v>
      </c>
      <c r="F3810" s="38" t="s">
        <v>245</v>
      </c>
      <c r="G3810" s="49" t="str">
        <f t="shared" si="1"/>
        <v>93220</v>
      </c>
      <c r="H3810" s="49">
        <f t="shared" si="2"/>
        <v>93032</v>
      </c>
    </row>
    <row r="3811">
      <c r="A3811" s="48" t="s">
        <v>3747</v>
      </c>
      <c r="B3811" s="38">
        <v>52493.0</v>
      </c>
      <c r="C3811" s="38" t="s">
        <v>6377</v>
      </c>
      <c r="D3811" s="38" t="str">
        <f>IFERROR(__xludf.DUMMYFUNCTION("REGEXREPLACE(C3811,""-\d+(.*)|--\d+(.*)"","""")"),"TORNAY")</f>
        <v>TORNAY</v>
      </c>
      <c r="E3811" s="38" t="s">
        <v>234</v>
      </c>
      <c r="F3811" s="38" t="s">
        <v>130</v>
      </c>
      <c r="G3811" s="49" t="str">
        <f t="shared" si="1"/>
        <v>52500</v>
      </c>
      <c r="H3811" s="49">
        <f t="shared" si="2"/>
        <v>52493</v>
      </c>
    </row>
    <row r="3812">
      <c r="A3812" s="48" t="s">
        <v>2435</v>
      </c>
      <c r="B3812" s="38">
        <v>7169.0</v>
      </c>
      <c r="C3812" s="38" t="s">
        <v>6378</v>
      </c>
      <c r="D3812" s="38" t="str">
        <f>IFERROR(__xludf.DUMMYFUNCTION("REGEXREPLACE(C3812,""-\d+(.*)|--\d+(.*)"","""")"),"OZON")</f>
        <v>OZON</v>
      </c>
      <c r="E3812" s="38" t="s">
        <v>144</v>
      </c>
      <c r="F3812" s="38" t="s">
        <v>102</v>
      </c>
      <c r="G3812" s="49" t="str">
        <f t="shared" si="1"/>
        <v>07370</v>
      </c>
      <c r="H3812" s="49" t="str">
        <f t="shared" si="2"/>
        <v>07169</v>
      </c>
    </row>
    <row r="3813">
      <c r="A3813" s="48" t="s">
        <v>2083</v>
      </c>
      <c r="B3813" s="38">
        <v>17418.0</v>
      </c>
      <c r="C3813" s="38" t="s">
        <v>6379</v>
      </c>
      <c r="D3813" s="38" t="str">
        <f>IFERROR(__xludf.DUMMYFUNCTION("REGEXREPLACE(C3813,""-\d+(.*)|--\d+(.*)"","""")"),"SALIGNAC-SUR-CHARENTE")</f>
        <v>SALIGNAC-SUR-CHARENTE</v>
      </c>
      <c r="E3813" s="38" t="s">
        <v>488</v>
      </c>
      <c r="F3813" s="38" t="s">
        <v>338</v>
      </c>
      <c r="G3813" s="49" t="str">
        <f t="shared" si="1"/>
        <v>17800</v>
      </c>
      <c r="H3813" s="49">
        <f t="shared" si="2"/>
        <v>17418</v>
      </c>
    </row>
    <row r="3814">
      <c r="A3814" s="48" t="s">
        <v>972</v>
      </c>
      <c r="B3814" s="38">
        <v>37188.0</v>
      </c>
      <c r="C3814" s="38" t="s">
        <v>6380</v>
      </c>
      <c r="D3814" s="38" t="str">
        <f>IFERROR(__xludf.DUMMYFUNCTION("REGEXREPLACE(C3814,""-\d+(.*)|--\d+(.*)"","""")"),"POUZAY")</f>
        <v>POUZAY</v>
      </c>
      <c r="E3814" s="38" t="s">
        <v>205</v>
      </c>
      <c r="F3814" s="38" t="s">
        <v>123</v>
      </c>
      <c r="G3814" s="49" t="str">
        <f t="shared" si="1"/>
        <v>37800</v>
      </c>
      <c r="H3814" s="49">
        <f t="shared" si="2"/>
        <v>37188</v>
      </c>
    </row>
    <row r="3815">
      <c r="A3815" s="48" t="s">
        <v>5281</v>
      </c>
      <c r="B3815" s="38">
        <v>25446.0</v>
      </c>
      <c r="C3815" s="38" t="s">
        <v>6381</v>
      </c>
      <c r="D3815" s="38" t="str">
        <f>IFERROR(__xludf.DUMMYFUNCTION("REGEXREPLACE(C3815,""-\d+(.*)|--\d+(.*)"","""")"),"PASSAVANT")</f>
        <v>PASSAVANT</v>
      </c>
      <c r="E3815" s="38" t="s">
        <v>213</v>
      </c>
      <c r="F3815" s="38" t="s">
        <v>214</v>
      </c>
      <c r="G3815" s="49" t="str">
        <f t="shared" si="1"/>
        <v>25360</v>
      </c>
      <c r="H3815" s="49">
        <f t="shared" si="2"/>
        <v>25446</v>
      </c>
    </row>
    <row r="3816">
      <c r="A3816" s="48" t="s">
        <v>2229</v>
      </c>
      <c r="B3816" s="38">
        <v>64447.0</v>
      </c>
      <c r="C3816" s="38" t="s">
        <v>6382</v>
      </c>
      <c r="D3816" s="38" t="str">
        <f>IFERROR(__xludf.DUMMYFUNCTION("REGEXREPLACE(C3816,""-\d+(.*)|--\d+(.*)"","""")"),"PIETS-PLASENCE-MOUSTROU")</f>
        <v>PIETS-PLASENCE-MOUSTROU</v>
      </c>
      <c r="E3816" s="38" t="s">
        <v>268</v>
      </c>
      <c r="F3816" s="38" t="s">
        <v>252</v>
      </c>
      <c r="G3816" s="49" t="str">
        <f t="shared" si="1"/>
        <v>64410</v>
      </c>
      <c r="H3816" s="49">
        <f t="shared" si="2"/>
        <v>64447</v>
      </c>
    </row>
    <row r="3817">
      <c r="A3817" s="48" t="s">
        <v>6383</v>
      </c>
      <c r="B3817" s="38">
        <v>42015.0</v>
      </c>
      <c r="C3817" s="38" t="s">
        <v>6384</v>
      </c>
      <c r="D3817" s="38" t="str">
        <f>IFERROR(__xludf.DUMMYFUNCTION("REGEXREPLACE(C3817,""-\d+(.*)|--\d+(.*)"","""")"),"BELMONT-DE-LA-LOIRE")</f>
        <v>BELMONT-DE-LA-LOIRE</v>
      </c>
      <c r="E3817" s="38" t="s">
        <v>166</v>
      </c>
      <c r="F3817" s="38" t="s">
        <v>102</v>
      </c>
      <c r="G3817" s="49" t="str">
        <f t="shared" si="1"/>
        <v>42670</v>
      </c>
      <c r="H3817" s="49">
        <f t="shared" si="2"/>
        <v>42015</v>
      </c>
    </row>
    <row r="3818">
      <c r="A3818" s="48" t="s">
        <v>2573</v>
      </c>
      <c r="B3818" s="38">
        <v>31587.0</v>
      </c>
      <c r="C3818" s="38" t="s">
        <v>6385</v>
      </c>
      <c r="D3818" s="38" t="str">
        <f>IFERROR(__xludf.DUMMYFUNCTION("REGEXREPLACE(C3818,""-\d+(.*)|--\d+(.*)"","""")"),"VILLENEUVE-LES-BOULOC")</f>
        <v>VILLENEUVE-LES-BOULOC</v>
      </c>
      <c r="E3818" s="38" t="s">
        <v>93</v>
      </c>
      <c r="F3818" s="38" t="s">
        <v>94</v>
      </c>
      <c r="G3818" s="49" t="str">
        <f t="shared" si="1"/>
        <v>31620</v>
      </c>
      <c r="H3818" s="49">
        <f t="shared" si="2"/>
        <v>31587</v>
      </c>
    </row>
    <row r="3819">
      <c r="A3819" s="48" t="s">
        <v>142</v>
      </c>
      <c r="B3819" s="38">
        <v>7314.0</v>
      </c>
      <c r="C3819" s="38" t="s">
        <v>6386</v>
      </c>
      <c r="D3819" s="38" t="str">
        <f>IFERROR(__xludf.DUMMYFUNCTION("REGEXREPLACE(C3819,""-\d+(.*)|--\d+(.*)"","""")"),"SILHAC")</f>
        <v>SILHAC</v>
      </c>
      <c r="E3819" s="38" t="s">
        <v>144</v>
      </c>
      <c r="F3819" s="38" t="s">
        <v>102</v>
      </c>
      <c r="G3819" s="49" t="str">
        <f t="shared" si="1"/>
        <v>07240</v>
      </c>
      <c r="H3819" s="49" t="str">
        <f t="shared" si="2"/>
        <v>07314</v>
      </c>
    </row>
    <row r="3820">
      <c r="A3820" s="48" t="s">
        <v>6387</v>
      </c>
      <c r="B3820" s="38">
        <v>2228.0</v>
      </c>
      <c r="C3820" s="38" t="s">
        <v>6388</v>
      </c>
      <c r="D3820" s="38" t="str">
        <f>IFERROR(__xludf.DUMMYFUNCTION("REGEXREPLACE(C3820,""-\d+(.*)|--\d+(.*)"","""")"),"COURTEMONT-VARENNES")</f>
        <v>COURTEMONT-VARENNES</v>
      </c>
      <c r="E3820" s="38" t="s">
        <v>191</v>
      </c>
      <c r="F3820" s="38" t="s">
        <v>113</v>
      </c>
      <c r="G3820" s="49" t="str">
        <f t="shared" si="1"/>
        <v>02850</v>
      </c>
      <c r="H3820" s="49" t="str">
        <f t="shared" si="2"/>
        <v>02228</v>
      </c>
    </row>
    <row r="3821">
      <c r="A3821" s="48" t="s">
        <v>6389</v>
      </c>
      <c r="B3821" s="38">
        <v>14568.0</v>
      </c>
      <c r="C3821" s="38" t="s">
        <v>6390</v>
      </c>
      <c r="D3821" s="38" t="str">
        <f>IFERROR(__xludf.DUMMYFUNCTION("REGEXREPLACE(C3821,""-\d+(.*)|--\d+(.*)"","""")"),"SAINTE-CROIX-GRAND-TONNE")</f>
        <v>SAINTE-CROIX-GRAND-TONNE</v>
      </c>
      <c r="E3821" s="38" t="s">
        <v>137</v>
      </c>
      <c r="F3821" s="38" t="s">
        <v>138</v>
      </c>
      <c r="G3821" s="49" t="str">
        <f t="shared" si="1"/>
        <v>14740</v>
      </c>
      <c r="H3821" s="49">
        <f t="shared" si="2"/>
        <v>14568</v>
      </c>
    </row>
    <row r="3822">
      <c r="A3822" s="48" t="s">
        <v>1060</v>
      </c>
      <c r="B3822" s="38">
        <v>57070.0</v>
      </c>
      <c r="C3822" s="38" t="s">
        <v>6391</v>
      </c>
      <c r="D3822" s="38" t="str">
        <f>IFERROR(__xludf.DUMMYFUNCTION("REGEXREPLACE(C3822,""-\d+(.*)|--\d+(.*)"","""")"),"BETTANGE")</f>
        <v>BETTANGE</v>
      </c>
      <c r="E3822" s="38" t="s">
        <v>303</v>
      </c>
      <c r="F3822" s="38" t="s">
        <v>195</v>
      </c>
      <c r="G3822" s="49" t="str">
        <f t="shared" si="1"/>
        <v>57220</v>
      </c>
      <c r="H3822" s="49">
        <f t="shared" si="2"/>
        <v>57070</v>
      </c>
    </row>
    <row r="3823">
      <c r="A3823" s="48" t="s">
        <v>4308</v>
      </c>
      <c r="B3823" s="38" t="s">
        <v>6392</v>
      </c>
      <c r="C3823" s="38" t="s">
        <v>6393</v>
      </c>
      <c r="D3823" s="38" t="str">
        <f>IFERROR(__xludf.DUMMYFUNCTION("REGEXREPLACE(C3823,""-\d+(.*)|--\d+(.*)"","""")"),"ALANDO")</f>
        <v>ALANDO</v>
      </c>
      <c r="E3823" s="38" t="s">
        <v>743</v>
      </c>
      <c r="F3823" s="38" t="s">
        <v>607</v>
      </c>
      <c r="G3823" s="49" t="str">
        <f t="shared" si="1"/>
        <v>20212</v>
      </c>
      <c r="H3823" s="49" t="str">
        <f t="shared" si="2"/>
        <v>2B005</v>
      </c>
    </row>
    <row r="3824">
      <c r="A3824" s="48" t="s">
        <v>3506</v>
      </c>
      <c r="B3824" s="38">
        <v>16036.0</v>
      </c>
      <c r="C3824" s="38" t="s">
        <v>6394</v>
      </c>
      <c r="D3824" s="38" t="str">
        <f>IFERROR(__xludf.DUMMYFUNCTION("REGEXREPLACE(C3824,""-\d+(.*)|--\d+(.*)"","""")"),"BECHERESSE")</f>
        <v>BECHERESSE</v>
      </c>
      <c r="E3824" s="38" t="s">
        <v>429</v>
      </c>
      <c r="F3824" s="38" t="s">
        <v>338</v>
      </c>
      <c r="G3824" s="49" t="str">
        <f t="shared" si="1"/>
        <v>16250</v>
      </c>
      <c r="H3824" s="49">
        <f t="shared" si="2"/>
        <v>16036</v>
      </c>
    </row>
    <row r="3825">
      <c r="A3825" s="48" t="s">
        <v>639</v>
      </c>
      <c r="B3825" s="38">
        <v>16317.0</v>
      </c>
      <c r="C3825" s="38" t="s">
        <v>6395</v>
      </c>
      <c r="D3825" s="38" t="str">
        <f>IFERROR(__xludf.DUMMYFUNCTION("REGEXREPLACE(C3825,""-\d+(.*)|--\d+(.*)"","""")"),"SAINT-FRAIGNE")</f>
        <v>SAINT-FRAIGNE</v>
      </c>
      <c r="E3825" s="38" t="s">
        <v>429</v>
      </c>
      <c r="F3825" s="38" t="s">
        <v>338</v>
      </c>
      <c r="G3825" s="49" t="str">
        <f t="shared" si="1"/>
        <v>16140</v>
      </c>
      <c r="H3825" s="49">
        <f t="shared" si="2"/>
        <v>16317</v>
      </c>
    </row>
    <row r="3826">
      <c r="A3826" s="48" t="s">
        <v>6396</v>
      </c>
      <c r="B3826" s="38">
        <v>75115.0</v>
      </c>
      <c r="C3826" s="38" t="s">
        <v>6397</v>
      </c>
      <c r="D3826" s="38" t="str">
        <f>IFERROR(__xludf.DUMMYFUNCTION("REGEXREPLACE(C3826,""-\d+(.*)|--\d+(.*)"","""")"),"PARIS")</f>
        <v>PARIS</v>
      </c>
      <c r="E3826" s="38" t="s">
        <v>823</v>
      </c>
      <c r="F3826" s="38" t="s">
        <v>245</v>
      </c>
      <c r="G3826" s="49" t="str">
        <f t="shared" si="1"/>
        <v>75015</v>
      </c>
      <c r="H3826" s="49">
        <f t="shared" si="2"/>
        <v>75115</v>
      </c>
    </row>
    <row r="3827">
      <c r="A3827" s="48" t="s">
        <v>6398</v>
      </c>
      <c r="B3827" s="38">
        <v>31424.0</v>
      </c>
      <c r="C3827" s="38" t="s">
        <v>6399</v>
      </c>
      <c r="D3827" s="38" t="str">
        <f>IFERROR(__xludf.DUMMYFUNCTION("REGEXREPLACE(C3827,""-\d+(.*)|--\d+(.*)"","""")"),"PLAISANCE-DU-TOUCH")</f>
        <v>PLAISANCE-DU-TOUCH</v>
      </c>
      <c r="E3827" s="38" t="s">
        <v>93</v>
      </c>
      <c r="F3827" s="38" t="s">
        <v>94</v>
      </c>
      <c r="G3827" s="49" t="str">
        <f t="shared" si="1"/>
        <v>31830</v>
      </c>
      <c r="H3827" s="49">
        <f t="shared" si="2"/>
        <v>31424</v>
      </c>
    </row>
    <row r="3828">
      <c r="A3828" s="48" t="s">
        <v>6052</v>
      </c>
      <c r="B3828" s="38">
        <v>5184.0</v>
      </c>
      <c r="C3828" s="38" t="s">
        <v>6400</v>
      </c>
      <c r="D3828" s="38" t="str">
        <f>IFERROR(__xludf.DUMMYFUNCTION("REGEXREPLACE(C3828,""-\d+(.*)|--\d+(.*)"","""")"),"VITROLLES")</f>
        <v>VITROLLES</v>
      </c>
      <c r="E3828" s="38" t="s">
        <v>706</v>
      </c>
      <c r="F3828" s="38" t="s">
        <v>228</v>
      </c>
      <c r="G3828" s="49" t="str">
        <f t="shared" si="1"/>
        <v>05110</v>
      </c>
      <c r="H3828" s="49" t="str">
        <f t="shared" si="2"/>
        <v>05184</v>
      </c>
    </row>
    <row r="3829">
      <c r="A3829" s="48" t="s">
        <v>6401</v>
      </c>
      <c r="B3829" s="38">
        <v>42305.0</v>
      </c>
      <c r="C3829" s="38" t="s">
        <v>6402</v>
      </c>
      <c r="D3829" s="38" t="str">
        <f>IFERROR(__xludf.DUMMYFUNCTION("REGEXREPLACE(C3829,""-\d+(.*)|--\d+(.*)"","""")"),"LA TALAUDIERE")</f>
        <v>LA TALAUDIERE</v>
      </c>
      <c r="E3829" s="38" t="s">
        <v>166</v>
      </c>
      <c r="F3829" s="38" t="s">
        <v>102</v>
      </c>
      <c r="G3829" s="49" t="str">
        <f t="shared" si="1"/>
        <v>42350</v>
      </c>
      <c r="H3829" s="49">
        <f t="shared" si="2"/>
        <v>42305</v>
      </c>
    </row>
    <row r="3830">
      <c r="A3830" s="48" t="s">
        <v>1798</v>
      </c>
      <c r="B3830" s="38">
        <v>28202.0</v>
      </c>
      <c r="C3830" s="38" t="s">
        <v>6403</v>
      </c>
      <c r="D3830" s="38" t="str">
        <f>IFERROR(__xludf.DUMMYFUNCTION("REGEXREPLACE(C3830,""-\d+(.*)|--\d+(.*)"","""")"),"LAMBLORE")</f>
        <v>LAMBLORE</v>
      </c>
      <c r="E3830" s="38" t="s">
        <v>300</v>
      </c>
      <c r="F3830" s="38" t="s">
        <v>123</v>
      </c>
      <c r="G3830" s="49" t="str">
        <f t="shared" si="1"/>
        <v>28340</v>
      </c>
      <c r="H3830" s="49">
        <f t="shared" si="2"/>
        <v>28202</v>
      </c>
    </row>
    <row r="3831">
      <c r="A3831" s="48" t="s">
        <v>298</v>
      </c>
      <c r="B3831" s="38">
        <v>28333.0</v>
      </c>
      <c r="C3831" s="38" t="s">
        <v>6404</v>
      </c>
      <c r="D3831" s="38" t="str">
        <f>IFERROR(__xludf.DUMMYFUNCTION("REGEXREPLACE(C3831,""-\d+(.*)|--\d+(.*)"","""")"),"SAINT-DENIS-DES-PUITS")</f>
        <v>SAINT-DENIS-DES-PUITS</v>
      </c>
      <c r="E3831" s="38" t="s">
        <v>300</v>
      </c>
      <c r="F3831" s="38" t="s">
        <v>123</v>
      </c>
      <c r="G3831" s="49" t="str">
        <f t="shared" si="1"/>
        <v>28240</v>
      </c>
      <c r="H3831" s="49">
        <f t="shared" si="2"/>
        <v>28333</v>
      </c>
    </row>
    <row r="3832">
      <c r="A3832" s="48" t="s">
        <v>4443</v>
      </c>
      <c r="B3832" s="38">
        <v>27295.0</v>
      </c>
      <c r="C3832" s="38" t="s">
        <v>6405</v>
      </c>
      <c r="D3832" s="38" t="str">
        <f>IFERROR(__xludf.DUMMYFUNCTION("REGEXREPLACE(C3832,""-\d+(.*)|--\d+(.*)"","""")"),"GRAND-CAMP")</f>
        <v>GRAND-CAMP</v>
      </c>
      <c r="E3832" s="38" t="s">
        <v>241</v>
      </c>
      <c r="F3832" s="38" t="s">
        <v>134</v>
      </c>
      <c r="G3832" s="49" t="str">
        <f t="shared" si="1"/>
        <v>27270</v>
      </c>
      <c r="H3832" s="49">
        <f t="shared" si="2"/>
        <v>27295</v>
      </c>
    </row>
    <row r="3833">
      <c r="A3833" s="48" t="s">
        <v>6406</v>
      </c>
      <c r="B3833" s="38">
        <v>41196.0</v>
      </c>
      <c r="C3833" s="38" t="s">
        <v>6407</v>
      </c>
      <c r="D3833" s="38" t="str">
        <f>IFERROR(__xludf.DUMMYFUNCTION("REGEXREPLACE(C3833,""-\d+(.*)|--\d+(.*)"","""")"),"RUAN-SUR-EGVONNE")</f>
        <v>RUAN-SUR-EGVONNE</v>
      </c>
      <c r="E3833" s="38" t="s">
        <v>188</v>
      </c>
      <c r="F3833" s="38" t="s">
        <v>123</v>
      </c>
      <c r="G3833" s="49" t="str">
        <f t="shared" si="1"/>
        <v>41270</v>
      </c>
      <c r="H3833" s="49">
        <f t="shared" si="2"/>
        <v>41196</v>
      </c>
    </row>
    <row r="3834">
      <c r="A3834" s="48" t="s">
        <v>5887</v>
      </c>
      <c r="B3834" s="38">
        <v>61240.0</v>
      </c>
      <c r="C3834" s="38" t="s">
        <v>6408</v>
      </c>
      <c r="D3834" s="38" t="str">
        <f>IFERROR(__xludf.DUMMYFUNCTION("REGEXREPLACE(C3834,""-\d+(.*)|--\d+(.*)"","""")"),"MACE")</f>
        <v>MACE</v>
      </c>
      <c r="E3834" s="38" t="s">
        <v>141</v>
      </c>
      <c r="F3834" s="38" t="s">
        <v>138</v>
      </c>
      <c r="G3834" s="49" t="str">
        <f t="shared" si="1"/>
        <v>61500</v>
      </c>
      <c r="H3834" s="49">
        <f t="shared" si="2"/>
        <v>61240</v>
      </c>
    </row>
    <row r="3835">
      <c r="A3835" s="48" t="s">
        <v>6409</v>
      </c>
      <c r="B3835" s="38">
        <v>79345.0</v>
      </c>
      <c r="C3835" s="38" t="s">
        <v>6410</v>
      </c>
      <c r="D3835" s="38" t="str">
        <f>IFERROR(__xludf.DUMMYFUNCTION("REGEXREPLACE(C3835,""-\d+(.*)|--\d+(.*)"","""")"),"VERRUYES")</f>
        <v>VERRUYES</v>
      </c>
      <c r="E3835" s="38" t="s">
        <v>337</v>
      </c>
      <c r="F3835" s="38" t="s">
        <v>338</v>
      </c>
      <c r="G3835" s="49" t="str">
        <f t="shared" si="1"/>
        <v>79310</v>
      </c>
      <c r="H3835" s="49">
        <f t="shared" si="2"/>
        <v>79345</v>
      </c>
    </row>
    <row r="3836">
      <c r="A3836" s="48" t="s">
        <v>4504</v>
      </c>
      <c r="B3836" s="38">
        <v>40234.0</v>
      </c>
      <c r="C3836" s="38" t="s">
        <v>6411</v>
      </c>
      <c r="D3836" s="38" t="str">
        <f>IFERROR(__xludf.DUMMYFUNCTION("REGEXREPLACE(C3836,""-\d+(.*)|--\d+(.*)"","""")"),"POUYDESSEAUX")</f>
        <v>POUYDESSEAUX</v>
      </c>
      <c r="E3836" s="38" t="s">
        <v>281</v>
      </c>
      <c r="F3836" s="38" t="s">
        <v>252</v>
      </c>
      <c r="G3836" s="49" t="str">
        <f t="shared" si="1"/>
        <v>40120</v>
      </c>
      <c r="H3836" s="49">
        <f t="shared" si="2"/>
        <v>40234</v>
      </c>
    </row>
    <row r="3837">
      <c r="A3837" s="48" t="s">
        <v>6412</v>
      </c>
      <c r="B3837" s="38">
        <v>12062.0</v>
      </c>
      <c r="C3837" s="38" t="s">
        <v>6413</v>
      </c>
      <c r="D3837" s="38" t="str">
        <f>IFERROR(__xludf.DUMMYFUNCTION("REGEXREPLACE(C3837,""-\d+(.*)|--\d+(.*)"","""")"),"CASTELNAU-PEGAYROLS")</f>
        <v>CASTELNAU-PEGAYROLS</v>
      </c>
      <c r="E3837" s="38" t="s">
        <v>465</v>
      </c>
      <c r="F3837" s="38" t="s">
        <v>94</v>
      </c>
      <c r="G3837" s="49" t="str">
        <f t="shared" si="1"/>
        <v>12620</v>
      </c>
      <c r="H3837" s="49">
        <f t="shared" si="2"/>
        <v>12062</v>
      </c>
    </row>
    <row r="3838">
      <c r="A3838" s="48" t="s">
        <v>6414</v>
      </c>
      <c r="B3838" s="38">
        <v>34117.0</v>
      </c>
      <c r="C3838" s="38" t="s">
        <v>6415</v>
      </c>
      <c r="D3838" s="38" t="str">
        <f>IFERROR(__xludf.DUMMYFUNCTION("REGEXREPLACE(C3838,""-\d+(.*)|--\d+(.*)"","""")"),"GRAISSESSAC")</f>
        <v>GRAISSESSAC</v>
      </c>
      <c r="E3838" s="38" t="s">
        <v>118</v>
      </c>
      <c r="F3838" s="38" t="s">
        <v>119</v>
      </c>
      <c r="G3838" s="49" t="str">
        <f t="shared" si="1"/>
        <v>34260</v>
      </c>
      <c r="H3838" s="49">
        <f t="shared" si="2"/>
        <v>34117</v>
      </c>
    </row>
    <row r="3839">
      <c r="A3839" s="48" t="s">
        <v>4457</v>
      </c>
      <c r="B3839" s="38">
        <v>80379.0</v>
      </c>
      <c r="C3839" s="38" t="s">
        <v>6416</v>
      </c>
      <c r="D3839" s="38" t="str">
        <f>IFERROR(__xludf.DUMMYFUNCTION("REGEXREPLACE(C3839,""-\d+(.*)|--\d+(.*)"","""")"),"GLISY")</f>
        <v>GLISY</v>
      </c>
      <c r="E3839" s="38" t="s">
        <v>224</v>
      </c>
      <c r="F3839" s="38" t="s">
        <v>113</v>
      </c>
      <c r="G3839" s="49" t="str">
        <f t="shared" si="1"/>
        <v>80440</v>
      </c>
      <c r="H3839" s="49">
        <f t="shared" si="2"/>
        <v>80379</v>
      </c>
    </row>
    <row r="3840">
      <c r="A3840" s="48" t="s">
        <v>6417</v>
      </c>
      <c r="B3840" s="38">
        <v>33236.0</v>
      </c>
      <c r="C3840" s="38" t="s">
        <v>6418</v>
      </c>
      <c r="D3840" s="38" t="str">
        <f>IFERROR(__xludf.DUMMYFUNCTION("REGEXREPLACE(C3840,""-\d+(.*)|--\d+(.*)"","""")"),"LEGE-CAP-FERRET")</f>
        <v>LEGE-CAP-FERRET</v>
      </c>
      <c r="E3840" s="38" t="s">
        <v>462</v>
      </c>
      <c r="F3840" s="38" t="s">
        <v>252</v>
      </c>
      <c r="G3840" s="49" t="str">
        <f t="shared" si="1"/>
        <v>33950</v>
      </c>
      <c r="H3840" s="49">
        <f t="shared" si="2"/>
        <v>33236</v>
      </c>
    </row>
    <row r="3841">
      <c r="A3841" s="48" t="s">
        <v>6419</v>
      </c>
      <c r="B3841" s="38">
        <v>54109.0</v>
      </c>
      <c r="C3841" s="38" t="s">
        <v>6420</v>
      </c>
      <c r="D3841" s="38" t="str">
        <f>IFERROR(__xludf.DUMMYFUNCTION("REGEXREPLACE(C3841,""-\d+(.*)|--\d+(.*)"","""")"),"CEINTREY")</f>
        <v>CEINTREY</v>
      </c>
      <c r="E3841" s="38" t="s">
        <v>548</v>
      </c>
      <c r="F3841" s="38" t="s">
        <v>195</v>
      </c>
      <c r="G3841" s="49" t="str">
        <f t="shared" si="1"/>
        <v>54134</v>
      </c>
      <c r="H3841" s="49">
        <f t="shared" si="2"/>
        <v>54109</v>
      </c>
    </row>
    <row r="3842">
      <c r="A3842" s="48" t="s">
        <v>3436</v>
      </c>
      <c r="B3842" s="38">
        <v>33034.0</v>
      </c>
      <c r="C3842" s="38" t="s">
        <v>6421</v>
      </c>
      <c r="D3842" s="38" t="str">
        <f>IFERROR(__xludf.DUMMYFUNCTION("REGEXREPLACE(C3842,""-\d+(.*)|--\d+(.*)"","""")"),"BAYAS")</f>
        <v>BAYAS</v>
      </c>
      <c r="E3842" s="38" t="s">
        <v>462</v>
      </c>
      <c r="F3842" s="38" t="s">
        <v>252</v>
      </c>
      <c r="G3842" s="49" t="str">
        <f t="shared" si="1"/>
        <v>33230</v>
      </c>
      <c r="H3842" s="49">
        <f t="shared" si="2"/>
        <v>33034</v>
      </c>
    </row>
    <row r="3843">
      <c r="A3843" s="48" t="s">
        <v>4543</v>
      </c>
      <c r="B3843" s="38">
        <v>64235.0</v>
      </c>
      <c r="C3843" s="38" t="s">
        <v>6422</v>
      </c>
      <c r="D3843" s="38" t="str">
        <f>IFERROR(__xludf.DUMMYFUNCTION("REGEXREPLACE(C3843,""-\d+(.*)|--\d+(.*)"","""")"),"GARRIS")</f>
        <v>GARRIS</v>
      </c>
      <c r="E3843" s="38" t="s">
        <v>268</v>
      </c>
      <c r="F3843" s="38" t="s">
        <v>252</v>
      </c>
      <c r="G3843" s="49" t="str">
        <f t="shared" si="1"/>
        <v>64120</v>
      </c>
      <c r="H3843" s="49">
        <f t="shared" si="2"/>
        <v>64235</v>
      </c>
    </row>
    <row r="3844">
      <c r="A3844" s="48" t="s">
        <v>3036</v>
      </c>
      <c r="B3844" s="38">
        <v>61197.0</v>
      </c>
      <c r="C3844" s="38" t="s">
        <v>6423</v>
      </c>
      <c r="D3844" s="38" t="str">
        <f>IFERROR(__xludf.DUMMYFUNCTION("REGEXREPLACE(C3844,""-\d+(.*)|--\d+(.*)"","""")"),"GUEPREI")</f>
        <v>GUEPREI</v>
      </c>
      <c r="E3844" s="38" t="s">
        <v>141</v>
      </c>
      <c r="F3844" s="38" t="s">
        <v>138</v>
      </c>
      <c r="G3844" s="49" t="str">
        <f t="shared" si="1"/>
        <v>61160</v>
      </c>
      <c r="H3844" s="49">
        <f t="shared" si="2"/>
        <v>61197</v>
      </c>
    </row>
    <row r="3845">
      <c r="A3845" s="48" t="s">
        <v>6424</v>
      </c>
      <c r="B3845" s="38">
        <v>27496.0</v>
      </c>
      <c r="C3845" s="38" t="s">
        <v>6425</v>
      </c>
      <c r="D3845" s="38" t="str">
        <f>IFERROR(__xludf.DUMMYFUNCTION("REGEXREPLACE(C3845,""-\d+(.*)|--\d+(.*)"","""")"),"ROSAY-SUR-LIEURE")</f>
        <v>ROSAY-SUR-LIEURE</v>
      </c>
      <c r="E3845" s="38" t="s">
        <v>241</v>
      </c>
      <c r="F3845" s="38" t="s">
        <v>134</v>
      </c>
      <c r="G3845" s="49" t="str">
        <f t="shared" si="1"/>
        <v>27790</v>
      </c>
      <c r="H3845" s="49">
        <f t="shared" si="2"/>
        <v>27496</v>
      </c>
    </row>
    <row r="3846">
      <c r="A3846" s="48" t="s">
        <v>1913</v>
      </c>
      <c r="B3846" s="38">
        <v>63329.0</v>
      </c>
      <c r="C3846" s="38" t="s">
        <v>6426</v>
      </c>
      <c r="D3846" s="38" t="str">
        <f>IFERROR(__xludf.DUMMYFUNCTION("REGEXREPLACE(C3846,""-\d+(.*)|--\d+(.*)"","""")"),"SAINTE-CHRISTINE")</f>
        <v>SAINTE-CHRISTINE</v>
      </c>
      <c r="E3846" s="38" t="s">
        <v>353</v>
      </c>
      <c r="F3846" s="38" t="s">
        <v>161</v>
      </c>
      <c r="G3846" s="49" t="str">
        <f t="shared" si="1"/>
        <v>63390</v>
      </c>
      <c r="H3846" s="49">
        <f t="shared" si="2"/>
        <v>63329</v>
      </c>
    </row>
    <row r="3847">
      <c r="A3847" s="48" t="s">
        <v>3662</v>
      </c>
      <c r="B3847" s="38">
        <v>80040.0</v>
      </c>
      <c r="C3847" s="38" t="s">
        <v>6427</v>
      </c>
      <c r="D3847" s="38" t="str">
        <f>IFERROR(__xludf.DUMMYFUNCTION("REGEXREPLACE(C3847,""-\d+(.*)|--\d+(.*)"","""")"),"AUMATRE")</f>
        <v>AUMATRE</v>
      </c>
      <c r="E3847" s="38" t="s">
        <v>224</v>
      </c>
      <c r="F3847" s="38" t="s">
        <v>113</v>
      </c>
      <c r="G3847" s="49" t="str">
        <f t="shared" si="1"/>
        <v>80140</v>
      </c>
      <c r="H3847" s="49">
        <f t="shared" si="2"/>
        <v>80040</v>
      </c>
    </row>
    <row r="3848">
      <c r="A3848" s="48" t="s">
        <v>2162</v>
      </c>
      <c r="B3848" s="38">
        <v>26334.0</v>
      </c>
      <c r="C3848" s="38" t="s">
        <v>6428</v>
      </c>
      <c r="D3848" s="38" t="str">
        <f>IFERROR(__xludf.DUMMYFUNCTION("REGEXREPLACE(C3848,""-\d+(.*)|--\d+(.*)"","""")"),"SALETTES")</f>
        <v>SALETTES</v>
      </c>
      <c r="E3848" s="38" t="s">
        <v>126</v>
      </c>
      <c r="F3848" s="38" t="s">
        <v>102</v>
      </c>
      <c r="G3848" s="49" t="str">
        <f t="shared" si="1"/>
        <v>26160</v>
      </c>
      <c r="H3848" s="49">
        <f t="shared" si="2"/>
        <v>26334</v>
      </c>
    </row>
    <row r="3849">
      <c r="A3849" s="48" t="s">
        <v>6429</v>
      </c>
      <c r="B3849" s="38">
        <v>30006.0</v>
      </c>
      <c r="C3849" s="38" t="s">
        <v>6430</v>
      </c>
      <c r="D3849" s="38" t="str">
        <f>IFERROR(__xludf.DUMMYFUNCTION("REGEXREPLACE(C3849,""-\d+(.*)|--\d+(.*)"","""")"),"AIMARGUES")</f>
        <v>AIMARGUES</v>
      </c>
      <c r="E3849" s="38" t="s">
        <v>526</v>
      </c>
      <c r="F3849" s="38" t="s">
        <v>119</v>
      </c>
      <c r="G3849" s="49" t="str">
        <f t="shared" si="1"/>
        <v>30470</v>
      </c>
      <c r="H3849" s="49">
        <f t="shared" si="2"/>
        <v>30006</v>
      </c>
    </row>
    <row r="3850">
      <c r="A3850" s="48" t="s">
        <v>3311</v>
      </c>
      <c r="B3850" s="38">
        <v>19271.0</v>
      </c>
      <c r="C3850" s="38" t="s">
        <v>6431</v>
      </c>
      <c r="D3850" s="38" t="str">
        <f>IFERROR(__xludf.DUMMYFUNCTION("REGEXREPLACE(C3850,""-\d+(.*)|--\d+(.*)"","""")"),"TUDEILS")</f>
        <v>TUDEILS</v>
      </c>
      <c r="E3850" s="38" t="s">
        <v>271</v>
      </c>
      <c r="F3850" s="38" t="s">
        <v>98</v>
      </c>
      <c r="G3850" s="49" t="str">
        <f t="shared" si="1"/>
        <v>19120</v>
      </c>
      <c r="H3850" s="49">
        <f t="shared" si="2"/>
        <v>19271</v>
      </c>
    </row>
    <row r="3851">
      <c r="A3851" s="48" t="s">
        <v>6432</v>
      </c>
      <c r="B3851" s="38">
        <v>42195.0</v>
      </c>
      <c r="C3851" s="38" t="s">
        <v>6433</v>
      </c>
      <c r="D3851" s="38" t="str">
        <f>IFERROR(__xludf.DUMMYFUNCTION("REGEXREPLACE(C3851,""-\d+(.*)|--\d+(.*)"","""")"),"SAIL-SOUS-COUZAN")</f>
        <v>SAIL-SOUS-COUZAN</v>
      </c>
      <c r="E3851" s="38" t="s">
        <v>166</v>
      </c>
      <c r="F3851" s="38" t="s">
        <v>102</v>
      </c>
      <c r="G3851" s="49" t="str">
        <f t="shared" si="1"/>
        <v>42890</v>
      </c>
      <c r="H3851" s="49">
        <f t="shared" si="2"/>
        <v>42195</v>
      </c>
    </row>
    <row r="3852">
      <c r="A3852" s="48" t="s">
        <v>3244</v>
      </c>
      <c r="B3852" s="38">
        <v>27017.0</v>
      </c>
      <c r="C3852" s="38" t="s">
        <v>6434</v>
      </c>
      <c r="D3852" s="38" t="str">
        <f>IFERROR(__xludf.DUMMYFUNCTION("REGEXREPLACE(C3852,""-\d+(.*)|--\d+(.*)"","""")"),"ANGERVILLE-LA-CAMPAGNE")</f>
        <v>ANGERVILLE-LA-CAMPAGNE</v>
      </c>
      <c r="E3852" s="38" t="s">
        <v>241</v>
      </c>
      <c r="F3852" s="38" t="s">
        <v>134</v>
      </c>
      <c r="G3852" s="49" t="str">
        <f t="shared" si="1"/>
        <v>27930</v>
      </c>
      <c r="H3852" s="49">
        <f t="shared" si="2"/>
        <v>27017</v>
      </c>
    </row>
    <row r="3853">
      <c r="A3853" s="48" t="s">
        <v>6435</v>
      </c>
      <c r="B3853" s="38">
        <v>92072.0</v>
      </c>
      <c r="C3853" s="38" t="s">
        <v>6436</v>
      </c>
      <c r="D3853" s="38" t="str">
        <f>IFERROR(__xludf.DUMMYFUNCTION("REGEXREPLACE(C3853,""-\d+(.*)|--\d+(.*)"","""")"),"SEVRES")</f>
        <v>SEVRES</v>
      </c>
      <c r="E3853" s="38" t="s">
        <v>838</v>
      </c>
      <c r="F3853" s="38" t="s">
        <v>245</v>
      </c>
      <c r="G3853" s="49" t="str">
        <f t="shared" si="1"/>
        <v>92310</v>
      </c>
      <c r="H3853" s="49">
        <f t="shared" si="2"/>
        <v>92072</v>
      </c>
    </row>
    <row r="3854">
      <c r="A3854" s="48" t="s">
        <v>1673</v>
      </c>
      <c r="B3854" s="38">
        <v>5123.0</v>
      </c>
      <c r="C3854" s="38" t="s">
        <v>6437</v>
      </c>
      <c r="D3854" s="38" t="str">
        <f>IFERROR(__xludf.DUMMYFUNCTION("REGEXREPLACE(C3854,""-\d+(.*)|--\d+(.*)"","""")"),"LA ROCHE-DES-ARNAUDS")</f>
        <v>LA ROCHE-DES-ARNAUDS</v>
      </c>
      <c r="E3854" s="38" t="s">
        <v>706</v>
      </c>
      <c r="F3854" s="38" t="s">
        <v>228</v>
      </c>
      <c r="G3854" s="49" t="str">
        <f t="shared" si="1"/>
        <v>05400</v>
      </c>
      <c r="H3854" s="49" t="str">
        <f t="shared" si="2"/>
        <v>05123</v>
      </c>
    </row>
    <row r="3855">
      <c r="A3855" s="48" t="s">
        <v>6438</v>
      </c>
      <c r="B3855" s="38">
        <v>29244.0</v>
      </c>
      <c r="C3855" s="38" t="s">
        <v>6439</v>
      </c>
      <c r="D3855" s="38" t="str">
        <f>IFERROR(__xludf.DUMMYFUNCTION("REGEXREPLACE(C3855,""-\d+(.*)|--\d+(.*)"","""")"),"SAINT-DERRIEN")</f>
        <v>SAINT-DERRIEN</v>
      </c>
      <c r="E3855" s="38" t="s">
        <v>176</v>
      </c>
      <c r="F3855" s="38" t="s">
        <v>90</v>
      </c>
      <c r="G3855" s="49" t="str">
        <f t="shared" si="1"/>
        <v>29440</v>
      </c>
      <c r="H3855" s="49">
        <f t="shared" si="2"/>
        <v>29244</v>
      </c>
    </row>
    <row r="3856">
      <c r="A3856" s="48" t="s">
        <v>2893</v>
      </c>
      <c r="B3856" s="38">
        <v>27421.0</v>
      </c>
      <c r="C3856" s="38" t="s">
        <v>6440</v>
      </c>
      <c r="D3856" s="38" t="str">
        <f>IFERROR(__xludf.DUMMYFUNCTION("REGEXREPLACE(C3856,""-\d+(.*)|--\d+(.*)"","""")"),"MOUSSEAUX-NEUVILLE")</f>
        <v>MOUSSEAUX-NEUVILLE</v>
      </c>
      <c r="E3856" s="38" t="s">
        <v>241</v>
      </c>
      <c r="F3856" s="38" t="s">
        <v>134</v>
      </c>
      <c r="G3856" s="49" t="str">
        <f t="shared" si="1"/>
        <v>27220</v>
      </c>
      <c r="H3856" s="49">
        <f t="shared" si="2"/>
        <v>27421</v>
      </c>
    </row>
    <row r="3857">
      <c r="A3857" s="48" t="s">
        <v>2159</v>
      </c>
      <c r="B3857" s="38">
        <v>57609.0</v>
      </c>
      <c r="C3857" s="38" t="s">
        <v>6441</v>
      </c>
      <c r="D3857" s="38" t="str">
        <f>IFERROR(__xludf.DUMMYFUNCTION("REGEXREPLACE(C3857,""-\d+(.*)|--\d+(.*)"","""")"),"SAINT-EPVRE")</f>
        <v>SAINT-EPVRE</v>
      </c>
      <c r="E3857" s="38" t="s">
        <v>303</v>
      </c>
      <c r="F3857" s="38" t="s">
        <v>195</v>
      </c>
      <c r="G3857" s="49" t="str">
        <f t="shared" si="1"/>
        <v>57580</v>
      </c>
      <c r="H3857" s="49">
        <f t="shared" si="2"/>
        <v>57609</v>
      </c>
    </row>
    <row r="3858">
      <c r="A3858" s="48" t="s">
        <v>6442</v>
      </c>
      <c r="B3858" s="38">
        <v>18203.0</v>
      </c>
      <c r="C3858" s="38" t="s">
        <v>6443</v>
      </c>
      <c r="D3858" s="38" t="str">
        <f>IFERROR(__xludf.DUMMYFUNCTION("REGEXREPLACE(C3858,""-\d+(.*)|--\d+(.*)"","""")"),"SAINT-CHRISTOPHE-LE-CHAUDRY")</f>
        <v>SAINT-CHRISTOPHE-LE-CHAUDRY</v>
      </c>
      <c r="E3858" s="38" t="s">
        <v>504</v>
      </c>
      <c r="F3858" s="38" t="s">
        <v>123</v>
      </c>
      <c r="G3858" s="49" t="str">
        <f t="shared" si="1"/>
        <v>18270</v>
      </c>
      <c r="H3858" s="49">
        <f t="shared" si="2"/>
        <v>18203</v>
      </c>
    </row>
    <row r="3859">
      <c r="A3859" s="48" t="s">
        <v>493</v>
      </c>
      <c r="B3859" s="38">
        <v>28224.0</v>
      </c>
      <c r="C3859" s="38" t="s">
        <v>6444</v>
      </c>
      <c r="D3859" s="38" t="str">
        <f>IFERROR(__xludf.DUMMYFUNCTION("REGEXREPLACE(C3859,""-\d+(.*)|--\d+(.*)"","""")"),"LUTZ-EN-DUNOIS")</f>
        <v>LUTZ-EN-DUNOIS</v>
      </c>
      <c r="E3859" s="38" t="s">
        <v>300</v>
      </c>
      <c r="F3859" s="38" t="s">
        <v>123</v>
      </c>
      <c r="G3859" s="49" t="str">
        <f t="shared" si="1"/>
        <v>28200</v>
      </c>
      <c r="H3859" s="49">
        <f t="shared" si="2"/>
        <v>28224</v>
      </c>
    </row>
    <row r="3860">
      <c r="A3860" s="48" t="s">
        <v>3583</v>
      </c>
      <c r="B3860" s="38">
        <v>7049.0</v>
      </c>
      <c r="C3860" s="38" t="s">
        <v>6445</v>
      </c>
      <c r="D3860" s="38" t="str">
        <f>IFERROR(__xludf.DUMMYFUNCTION("REGEXREPLACE(C3860,""-\d+(.*)|--\d+(.*)"","""")"),"LE CHAMBON")</f>
        <v>LE CHAMBON</v>
      </c>
      <c r="E3860" s="38" t="s">
        <v>144</v>
      </c>
      <c r="F3860" s="38" t="s">
        <v>102</v>
      </c>
      <c r="G3860" s="49" t="str">
        <f t="shared" si="1"/>
        <v>07160</v>
      </c>
      <c r="H3860" s="49" t="str">
        <f t="shared" si="2"/>
        <v>07049</v>
      </c>
    </row>
    <row r="3861">
      <c r="A3861" s="48" t="s">
        <v>6446</v>
      </c>
      <c r="B3861" s="38">
        <v>77513.0</v>
      </c>
      <c r="C3861" s="38" t="s">
        <v>6447</v>
      </c>
      <c r="D3861" s="38" t="str">
        <f>IFERROR(__xludf.DUMMYFUNCTION("REGEXREPLACE(C3861,""-\d+(.*)|--\d+(.*)"","""")"),"VILLENOY")</f>
        <v>VILLENOY</v>
      </c>
      <c r="E3861" s="38" t="s">
        <v>244</v>
      </c>
      <c r="F3861" s="38" t="s">
        <v>245</v>
      </c>
      <c r="G3861" s="49" t="str">
        <f t="shared" si="1"/>
        <v>77124</v>
      </c>
      <c r="H3861" s="49">
        <f t="shared" si="2"/>
        <v>77513</v>
      </c>
    </row>
    <row r="3862">
      <c r="A3862" s="48" t="s">
        <v>2370</v>
      </c>
      <c r="B3862" s="38">
        <v>33131.0</v>
      </c>
      <c r="C3862" s="38" t="s">
        <v>6448</v>
      </c>
      <c r="D3862" s="38" t="str">
        <f>IFERROR(__xludf.DUMMYFUNCTION("REGEXREPLACE(C3862,""-\d+(.*)|--\d+(.*)"","""")"),"COIRAC")</f>
        <v>COIRAC</v>
      </c>
      <c r="E3862" s="38" t="s">
        <v>462</v>
      </c>
      <c r="F3862" s="38" t="s">
        <v>252</v>
      </c>
      <c r="G3862" s="49" t="str">
        <f t="shared" si="1"/>
        <v>33540</v>
      </c>
      <c r="H3862" s="49">
        <f t="shared" si="2"/>
        <v>33131</v>
      </c>
    </row>
    <row r="3863">
      <c r="A3863" s="48" t="s">
        <v>3190</v>
      </c>
      <c r="B3863" s="38">
        <v>70418.0</v>
      </c>
      <c r="C3863" s="38" t="s">
        <v>6449</v>
      </c>
      <c r="D3863" s="38" t="str">
        <f>IFERROR(__xludf.DUMMYFUNCTION("REGEXREPLACE(C3863,""-\d+(.*)|--\d+(.*)"","""")"),"LE PONT-DE-PLANCHES")</f>
        <v>LE PONT-DE-PLANCHES</v>
      </c>
      <c r="E3863" s="38" t="s">
        <v>956</v>
      </c>
      <c r="F3863" s="38" t="s">
        <v>214</v>
      </c>
      <c r="G3863" s="49" t="str">
        <f t="shared" si="1"/>
        <v>70130</v>
      </c>
      <c r="H3863" s="49">
        <f t="shared" si="2"/>
        <v>70418</v>
      </c>
    </row>
    <row r="3864">
      <c r="A3864" s="48" t="s">
        <v>2868</v>
      </c>
      <c r="B3864" s="38">
        <v>80152.0</v>
      </c>
      <c r="C3864" s="38" t="s">
        <v>6450</v>
      </c>
      <c r="D3864" s="38" t="str">
        <f>IFERROR(__xludf.DUMMYFUNCTION("REGEXREPLACE(C3864,""-\d+(.*)|--\d+(.*)"","""")"),"BUS-LA-MESIERE")</f>
        <v>BUS-LA-MESIERE</v>
      </c>
      <c r="E3864" s="38" t="s">
        <v>224</v>
      </c>
      <c r="F3864" s="38" t="s">
        <v>113</v>
      </c>
      <c r="G3864" s="49" t="str">
        <f t="shared" si="1"/>
        <v>80700</v>
      </c>
      <c r="H3864" s="49">
        <f t="shared" si="2"/>
        <v>80152</v>
      </c>
    </row>
    <row r="3865">
      <c r="A3865" s="48" t="s">
        <v>6451</v>
      </c>
      <c r="B3865" s="38">
        <v>68162.0</v>
      </c>
      <c r="C3865" s="38" t="s">
        <v>6452</v>
      </c>
      <c r="D3865" s="38" t="str">
        <f>IFERROR(__xludf.DUMMYFUNCTION("REGEXREPLACE(C3865,""-\d+(.*)|--\d+(.*)"","""")"),"KAYSERSBERG")</f>
        <v>KAYSERSBERG</v>
      </c>
      <c r="E3865" s="38" t="s">
        <v>150</v>
      </c>
      <c r="F3865" s="38" t="s">
        <v>151</v>
      </c>
      <c r="G3865" s="49" t="str">
        <f t="shared" si="1"/>
        <v>68240</v>
      </c>
      <c r="H3865" s="49">
        <f t="shared" si="2"/>
        <v>68162</v>
      </c>
    </row>
    <row r="3866">
      <c r="A3866" s="48" t="s">
        <v>6256</v>
      </c>
      <c r="B3866" s="38">
        <v>55437.0</v>
      </c>
      <c r="C3866" s="38" t="s">
        <v>6453</v>
      </c>
      <c r="D3866" s="38" t="str">
        <f>IFERROR(__xludf.DUMMYFUNCTION("REGEXREPLACE(C3866,""-\d+(.*)|--\d+(.*)"","""")"),"ROMAGNE-SOUS-LES-COTES")</f>
        <v>ROMAGNE-SOUS-LES-COTES</v>
      </c>
      <c r="E3866" s="38" t="s">
        <v>322</v>
      </c>
      <c r="F3866" s="38" t="s">
        <v>195</v>
      </c>
      <c r="G3866" s="49" t="str">
        <f t="shared" si="1"/>
        <v>55150</v>
      </c>
      <c r="H3866" s="49">
        <f t="shared" si="2"/>
        <v>55437</v>
      </c>
    </row>
    <row r="3867">
      <c r="A3867" s="48" t="s">
        <v>3009</v>
      </c>
      <c r="B3867" s="38">
        <v>11213.0</v>
      </c>
      <c r="C3867" s="38" t="s">
        <v>6454</v>
      </c>
      <c r="D3867" s="38" t="str">
        <f>IFERROR(__xludf.DUMMYFUNCTION("REGEXREPLACE(C3867,""-\d+(.*)|--\d+(.*)"","""")"),"MAISONS")</f>
        <v>MAISONS</v>
      </c>
      <c r="E3867" s="38" t="s">
        <v>278</v>
      </c>
      <c r="F3867" s="38" t="s">
        <v>119</v>
      </c>
      <c r="G3867" s="49" t="str">
        <f t="shared" si="1"/>
        <v>11330</v>
      </c>
      <c r="H3867" s="49">
        <f t="shared" si="2"/>
        <v>11213</v>
      </c>
    </row>
    <row r="3868">
      <c r="A3868" s="48" t="s">
        <v>407</v>
      </c>
      <c r="B3868" s="38">
        <v>71242.0</v>
      </c>
      <c r="C3868" s="38" t="s">
        <v>6455</v>
      </c>
      <c r="D3868" s="38" t="str">
        <f>IFERROR(__xludf.DUMMYFUNCTION("REGEXREPLACE(C3868,""-\d+(.*)|--\d+(.*)"","""")"),"JONCY")</f>
        <v>JONCY</v>
      </c>
      <c r="E3868" s="38" t="s">
        <v>344</v>
      </c>
      <c r="F3868" s="38" t="s">
        <v>106</v>
      </c>
      <c r="G3868" s="49" t="str">
        <f t="shared" si="1"/>
        <v>71460</v>
      </c>
      <c r="H3868" s="49">
        <f t="shared" si="2"/>
        <v>71242</v>
      </c>
    </row>
    <row r="3869">
      <c r="A3869" s="48" t="s">
        <v>1385</v>
      </c>
      <c r="B3869" s="38">
        <v>17203.0</v>
      </c>
      <c r="C3869" s="38" t="s">
        <v>6456</v>
      </c>
      <c r="D3869" s="38" t="str">
        <f>IFERROR(__xludf.DUMMYFUNCTION("REGEXREPLACE(C3869,""-\d+(.*)|--\d+(.*)"","""")"),"LANDRAIS")</f>
        <v>LANDRAIS</v>
      </c>
      <c r="E3869" s="38" t="s">
        <v>488</v>
      </c>
      <c r="F3869" s="38" t="s">
        <v>338</v>
      </c>
      <c r="G3869" s="49" t="str">
        <f t="shared" si="1"/>
        <v>17290</v>
      </c>
      <c r="H3869" s="49">
        <f t="shared" si="2"/>
        <v>17203</v>
      </c>
    </row>
    <row r="3870">
      <c r="A3870" s="48" t="s">
        <v>2866</v>
      </c>
      <c r="B3870" s="38">
        <v>31569.0</v>
      </c>
      <c r="C3870" s="38" t="s">
        <v>6457</v>
      </c>
      <c r="D3870" s="38" t="str">
        <f>IFERROR(__xludf.DUMMYFUNCTION("REGEXREPLACE(C3870,""-\d+(.*)|--\d+(.*)"","""")"),"VAUDREUILLE")</f>
        <v>VAUDREUILLE</v>
      </c>
      <c r="E3870" s="38" t="s">
        <v>93</v>
      </c>
      <c r="F3870" s="38" t="s">
        <v>94</v>
      </c>
      <c r="G3870" s="49" t="str">
        <f t="shared" si="1"/>
        <v>31250</v>
      </c>
      <c r="H3870" s="49">
        <f t="shared" si="2"/>
        <v>31569</v>
      </c>
    </row>
    <row r="3871">
      <c r="A3871" s="48" t="s">
        <v>2567</v>
      </c>
      <c r="B3871" s="38">
        <v>6110.0</v>
      </c>
      <c r="C3871" s="38" t="s">
        <v>6458</v>
      </c>
      <c r="D3871" s="38" t="str">
        <f>IFERROR(__xludf.DUMMYFUNCTION("REGEXREPLACE(C3871,""-\d+(.*)|--\d+(.*)"","""")"),"ROUBION")</f>
        <v>ROUBION</v>
      </c>
      <c r="E3871" s="38" t="s">
        <v>227</v>
      </c>
      <c r="F3871" s="38" t="s">
        <v>228</v>
      </c>
      <c r="G3871" s="49" t="str">
        <f t="shared" si="1"/>
        <v>06420</v>
      </c>
      <c r="H3871" s="49" t="str">
        <f t="shared" si="2"/>
        <v>06110</v>
      </c>
    </row>
    <row r="3872">
      <c r="A3872" s="48" t="s">
        <v>734</v>
      </c>
      <c r="B3872" s="38">
        <v>54441.0</v>
      </c>
      <c r="C3872" s="38" t="s">
        <v>6459</v>
      </c>
      <c r="D3872" s="38" t="str">
        <f>IFERROR(__xludf.DUMMYFUNCTION("REGEXREPLACE(C3872,""-\d+(.*)|--\d+(.*)"","""")"),"PUXIEUX")</f>
        <v>PUXIEUX</v>
      </c>
      <c r="E3872" s="38" t="s">
        <v>548</v>
      </c>
      <c r="F3872" s="38" t="s">
        <v>195</v>
      </c>
      <c r="G3872" s="49" t="str">
        <f t="shared" si="1"/>
        <v>54800</v>
      </c>
      <c r="H3872" s="49">
        <f t="shared" si="2"/>
        <v>54441</v>
      </c>
    </row>
    <row r="3873">
      <c r="A3873" s="48" t="s">
        <v>6460</v>
      </c>
      <c r="B3873" s="38">
        <v>85259.0</v>
      </c>
      <c r="C3873" s="38" t="s">
        <v>6461</v>
      </c>
      <c r="D3873" s="38" t="str">
        <f>IFERROR(__xludf.DUMMYFUNCTION("REGEXREPLACE(C3873,""-\d+(.*)|--\d+(.*)"","""")"),"SAINT-PAUL-EN-PAREDS")</f>
        <v>SAINT-PAUL-EN-PAREDS</v>
      </c>
      <c r="E3873" s="38" t="s">
        <v>179</v>
      </c>
      <c r="F3873" s="38" t="s">
        <v>180</v>
      </c>
      <c r="G3873" s="49" t="str">
        <f t="shared" si="1"/>
        <v>85500</v>
      </c>
      <c r="H3873" s="49">
        <f t="shared" si="2"/>
        <v>85259</v>
      </c>
    </row>
    <row r="3874">
      <c r="A3874" s="48" t="s">
        <v>1592</v>
      </c>
      <c r="B3874" s="38">
        <v>40068.0</v>
      </c>
      <c r="C3874" s="38" t="s">
        <v>6462</v>
      </c>
      <c r="D3874" s="38" t="str">
        <f>IFERROR(__xludf.DUMMYFUNCTION("REGEXREPLACE(C3874,""-\d+(.*)|--\d+(.*)"","""")"),"CASSEN")</f>
        <v>CASSEN</v>
      </c>
      <c r="E3874" s="38" t="s">
        <v>281</v>
      </c>
      <c r="F3874" s="38" t="s">
        <v>252</v>
      </c>
      <c r="G3874" s="49" t="str">
        <f t="shared" si="1"/>
        <v>40380</v>
      </c>
      <c r="H3874" s="49">
        <f t="shared" si="2"/>
        <v>40068</v>
      </c>
    </row>
    <row r="3875">
      <c r="A3875" s="48" t="s">
        <v>2934</v>
      </c>
      <c r="B3875" s="38">
        <v>78048.0</v>
      </c>
      <c r="C3875" s="38" t="s">
        <v>6463</v>
      </c>
      <c r="D3875" s="38" t="str">
        <f>IFERROR(__xludf.DUMMYFUNCTION("REGEXREPLACE(C3875,""-\d+(.*)|--\d+(.*)"","""")"),"BAZAINVILLE")</f>
        <v>BAZAINVILLE</v>
      </c>
      <c r="E3875" s="38" t="s">
        <v>362</v>
      </c>
      <c r="F3875" s="38" t="s">
        <v>245</v>
      </c>
      <c r="G3875" s="49" t="str">
        <f t="shared" si="1"/>
        <v>78550</v>
      </c>
      <c r="H3875" s="49">
        <f t="shared" si="2"/>
        <v>78048</v>
      </c>
    </row>
    <row r="3876">
      <c r="A3876" s="48" t="s">
        <v>1274</v>
      </c>
      <c r="B3876" s="38">
        <v>33287.0</v>
      </c>
      <c r="C3876" s="38" t="s">
        <v>6464</v>
      </c>
      <c r="D3876" s="38" t="str">
        <f>IFERROR(__xludf.DUMMYFUNCTION("REGEXREPLACE(C3876,""-\d+(.*)|--\d+(.*)"","""")"),"MONGAUZY")</f>
        <v>MONGAUZY</v>
      </c>
      <c r="E3876" s="38" t="s">
        <v>462</v>
      </c>
      <c r="F3876" s="38" t="s">
        <v>252</v>
      </c>
      <c r="G3876" s="49" t="str">
        <f t="shared" si="1"/>
        <v>33190</v>
      </c>
      <c r="H3876" s="49">
        <f t="shared" si="2"/>
        <v>33287</v>
      </c>
    </row>
    <row r="3877">
      <c r="A3877" s="48" t="s">
        <v>1883</v>
      </c>
      <c r="B3877" s="38">
        <v>39352.0</v>
      </c>
      <c r="C3877" s="38" t="s">
        <v>6465</v>
      </c>
      <c r="D3877" s="38" t="str">
        <f>IFERROR(__xludf.DUMMYFUNCTION("REGEXREPLACE(C3877,""-\d+(.*)|--\d+(.*)"","""")"),"MONTEPLAIN")</f>
        <v>MONTEPLAIN</v>
      </c>
      <c r="E3877" s="38" t="s">
        <v>400</v>
      </c>
      <c r="F3877" s="38" t="s">
        <v>214</v>
      </c>
      <c r="G3877" s="49" t="str">
        <f t="shared" si="1"/>
        <v>39700</v>
      </c>
      <c r="H3877" s="49">
        <f t="shared" si="2"/>
        <v>39352</v>
      </c>
    </row>
    <row r="3878">
      <c r="A3878" s="48" t="s">
        <v>1332</v>
      </c>
      <c r="B3878" s="38">
        <v>51537.0</v>
      </c>
      <c r="C3878" s="38" t="s">
        <v>6466</v>
      </c>
      <c r="D3878" s="38" t="str">
        <f>IFERROR(__xludf.DUMMYFUNCTION("REGEXREPLACE(C3878,""-\d+(.*)|--\d+(.*)"","""")"),"SIVRY-ANTE")</f>
        <v>SIVRY-ANTE</v>
      </c>
      <c r="E3878" s="38" t="s">
        <v>129</v>
      </c>
      <c r="F3878" s="38" t="s">
        <v>130</v>
      </c>
      <c r="G3878" s="49" t="str">
        <f t="shared" si="1"/>
        <v>51800</v>
      </c>
      <c r="H3878" s="49">
        <f t="shared" si="2"/>
        <v>51537</v>
      </c>
    </row>
    <row r="3879">
      <c r="A3879" s="48" t="s">
        <v>2093</v>
      </c>
      <c r="B3879" s="38">
        <v>69137.0</v>
      </c>
      <c r="C3879" s="38" t="s">
        <v>6467</v>
      </c>
      <c r="D3879" s="38" t="str">
        <f>IFERROR(__xludf.DUMMYFUNCTION("REGEXREPLACE(C3879,""-\d+(.*)|--\d+(.*)"","""")"),"MONTMELAS-SAINT-SORLIN")</f>
        <v>MONTMELAS-SAINT-SORLIN</v>
      </c>
      <c r="E3879" s="38" t="s">
        <v>350</v>
      </c>
      <c r="F3879" s="38" t="s">
        <v>102</v>
      </c>
      <c r="G3879" s="49" t="str">
        <f t="shared" si="1"/>
        <v>69640</v>
      </c>
      <c r="H3879" s="49">
        <f t="shared" si="2"/>
        <v>69137</v>
      </c>
    </row>
    <row r="3880">
      <c r="A3880" s="48" t="s">
        <v>2987</v>
      </c>
      <c r="B3880" s="38">
        <v>63213.0</v>
      </c>
      <c r="C3880" s="38" t="s">
        <v>6468</v>
      </c>
      <c r="D3880" s="38" t="str">
        <f>IFERROR(__xludf.DUMMYFUNCTION("REGEXREPLACE(C3880,""-\d+(.*)|--\d+(.*)"","""")"),"LES MARTRES-D'ARTIERE")</f>
        <v>LES MARTRES-D'ARTIERE</v>
      </c>
      <c r="E3880" s="38" t="s">
        <v>353</v>
      </c>
      <c r="F3880" s="38" t="s">
        <v>161</v>
      </c>
      <c r="G3880" s="49" t="str">
        <f t="shared" si="1"/>
        <v>63430</v>
      </c>
      <c r="H3880" s="49">
        <f t="shared" si="2"/>
        <v>63213</v>
      </c>
    </row>
    <row r="3881">
      <c r="A3881" s="48" t="s">
        <v>1724</v>
      </c>
      <c r="B3881" s="38">
        <v>26071.0</v>
      </c>
      <c r="C3881" s="38" t="s">
        <v>6469</v>
      </c>
      <c r="D3881" s="38" t="str">
        <f>IFERROR(__xludf.DUMMYFUNCTION("REGEXREPLACE(C3881,""-\d+(.*)|--\d+(.*)"","""")"),"CHANOS-CURSON")</f>
        <v>CHANOS-CURSON</v>
      </c>
      <c r="E3881" s="38" t="s">
        <v>126</v>
      </c>
      <c r="F3881" s="38" t="s">
        <v>102</v>
      </c>
      <c r="G3881" s="49" t="str">
        <f t="shared" si="1"/>
        <v>26600</v>
      </c>
      <c r="H3881" s="49">
        <f t="shared" si="2"/>
        <v>26071</v>
      </c>
    </row>
    <row r="3882">
      <c r="A3882" s="48" t="s">
        <v>1334</v>
      </c>
      <c r="B3882" s="38">
        <v>7020.0</v>
      </c>
      <c r="C3882" s="38" t="s">
        <v>6470</v>
      </c>
      <c r="D3882" s="38" t="str">
        <f>IFERROR(__xludf.DUMMYFUNCTION("REGEXREPLACE(C3882,""-\d+(.*)|--\d+(.*)"","""")"),"AUBIGNAS")</f>
        <v>AUBIGNAS</v>
      </c>
      <c r="E3882" s="38" t="s">
        <v>144</v>
      </c>
      <c r="F3882" s="38" t="s">
        <v>102</v>
      </c>
      <c r="G3882" s="49" t="str">
        <f t="shared" si="1"/>
        <v>07400</v>
      </c>
      <c r="H3882" s="49" t="str">
        <f t="shared" si="2"/>
        <v>07020</v>
      </c>
    </row>
    <row r="3883">
      <c r="A3883" s="48" t="s">
        <v>6471</v>
      </c>
      <c r="B3883" s="38">
        <v>74136.0</v>
      </c>
      <c r="C3883" s="38" t="s">
        <v>6472</v>
      </c>
      <c r="D3883" s="38" t="str">
        <f>IFERROR(__xludf.DUMMYFUNCTION("REGEXREPLACE(C3883,""-\d+(.*)|--\d+(.*)"","""")"),"LE GRAND-BORNAND")</f>
        <v>LE GRAND-BORNAND</v>
      </c>
      <c r="E3883" s="38" t="s">
        <v>319</v>
      </c>
      <c r="F3883" s="38" t="s">
        <v>102</v>
      </c>
      <c r="G3883" s="49" t="str">
        <f t="shared" si="1"/>
        <v>74450</v>
      </c>
      <c r="H3883" s="49">
        <f t="shared" si="2"/>
        <v>74136</v>
      </c>
    </row>
    <row r="3884">
      <c r="A3884" s="48" t="s">
        <v>1781</v>
      </c>
      <c r="B3884" s="38">
        <v>27667.0</v>
      </c>
      <c r="C3884" s="38" t="s">
        <v>6473</v>
      </c>
      <c r="D3884" s="38" t="str">
        <f>IFERROR(__xludf.DUMMYFUNCTION("REGEXREPLACE(C3884,""-\d+(.*)|--\d+(.*)"","""")"),"VALAILLES")</f>
        <v>VALAILLES</v>
      </c>
      <c r="E3884" s="38" t="s">
        <v>241</v>
      </c>
      <c r="F3884" s="38" t="s">
        <v>134</v>
      </c>
      <c r="G3884" s="49" t="str">
        <f t="shared" si="1"/>
        <v>27300</v>
      </c>
      <c r="H3884" s="49">
        <f t="shared" si="2"/>
        <v>27667</v>
      </c>
    </row>
    <row r="3885">
      <c r="A3885" s="48" t="s">
        <v>6474</v>
      </c>
      <c r="B3885" s="38">
        <v>61160.0</v>
      </c>
      <c r="C3885" s="38" t="s">
        <v>6475</v>
      </c>
      <c r="D3885" s="38" t="str">
        <f>IFERROR(__xludf.DUMMYFUNCTION("REGEXREPLACE(C3885,""-\d+(.*)|--\d+(.*)"","""")"),"FEINGS")</f>
        <v>FEINGS</v>
      </c>
      <c r="E3885" s="38" t="s">
        <v>141</v>
      </c>
      <c r="F3885" s="38" t="s">
        <v>138</v>
      </c>
      <c r="G3885" s="49" t="str">
        <f t="shared" si="1"/>
        <v>61400</v>
      </c>
      <c r="H3885" s="49">
        <f t="shared" si="2"/>
        <v>61160</v>
      </c>
    </row>
    <row r="3886">
      <c r="A3886" s="48" t="s">
        <v>335</v>
      </c>
      <c r="B3886" s="38">
        <v>79322.0</v>
      </c>
      <c r="C3886" s="38" t="s">
        <v>6476</v>
      </c>
      <c r="D3886" s="38" t="str">
        <f>IFERROR(__xludf.DUMMYFUNCTION("REGEXREPLACE(C3886,""-\d+(.*)|--\d+(.*)"","""")"),"LE TALLUD")</f>
        <v>LE TALLUD</v>
      </c>
      <c r="E3886" s="38" t="s">
        <v>337</v>
      </c>
      <c r="F3886" s="38" t="s">
        <v>338</v>
      </c>
      <c r="G3886" s="49" t="str">
        <f t="shared" si="1"/>
        <v>79200</v>
      </c>
      <c r="H3886" s="49">
        <f t="shared" si="2"/>
        <v>79322</v>
      </c>
    </row>
    <row r="3887">
      <c r="A3887" s="48" t="s">
        <v>1218</v>
      </c>
      <c r="B3887" s="38">
        <v>9098.0</v>
      </c>
      <c r="C3887" s="38" t="s">
        <v>6477</v>
      </c>
      <c r="D3887" s="38" t="str">
        <f>IFERROR(__xludf.DUMMYFUNCTION("REGEXREPLACE(C3887,""-\d+(.*)|--\d+(.*)"","""")"),"CONTRAZY")</f>
        <v>CONTRAZY</v>
      </c>
      <c r="E3887" s="38" t="s">
        <v>238</v>
      </c>
      <c r="F3887" s="38" t="s">
        <v>94</v>
      </c>
      <c r="G3887" s="49" t="str">
        <f t="shared" si="1"/>
        <v>09230</v>
      </c>
      <c r="H3887" s="49" t="str">
        <f t="shared" si="2"/>
        <v>09098</v>
      </c>
    </row>
    <row r="3888">
      <c r="A3888" s="48" t="s">
        <v>568</v>
      </c>
      <c r="B3888" s="38">
        <v>82189.0</v>
      </c>
      <c r="C3888" s="38" t="s">
        <v>6478</v>
      </c>
      <c r="D3888" s="38" t="str">
        <f>IFERROR(__xludf.DUMMYFUNCTION("REGEXREPLACE(C3888,""-\d+(.*)|--\d+(.*)"","""")"),"VAZERAC")</f>
        <v>VAZERAC</v>
      </c>
      <c r="E3888" s="38" t="s">
        <v>570</v>
      </c>
      <c r="F3888" s="38" t="s">
        <v>94</v>
      </c>
      <c r="G3888" s="49" t="str">
        <f t="shared" si="1"/>
        <v>82220</v>
      </c>
      <c r="H3888" s="49">
        <f t="shared" si="2"/>
        <v>82189</v>
      </c>
    </row>
    <row r="3889">
      <c r="A3889" s="48" t="s">
        <v>1728</v>
      </c>
      <c r="B3889" s="38">
        <v>45162.0</v>
      </c>
      <c r="C3889" s="38" t="s">
        <v>6479</v>
      </c>
      <c r="D3889" s="38" t="str">
        <f>IFERROR(__xludf.DUMMYFUNCTION("REGEXREPLACE(C3889,""-\d+(.*)|--\d+(.*)"","""")"),"GUIGNEVILLE")</f>
        <v>GUIGNEVILLE</v>
      </c>
      <c r="E3889" s="38" t="s">
        <v>122</v>
      </c>
      <c r="F3889" s="38" t="s">
        <v>123</v>
      </c>
      <c r="G3889" s="49" t="str">
        <f t="shared" si="1"/>
        <v>45300</v>
      </c>
      <c r="H3889" s="49">
        <f t="shared" si="2"/>
        <v>45162</v>
      </c>
    </row>
    <row r="3890">
      <c r="A3890" s="48" t="s">
        <v>6480</v>
      </c>
      <c r="B3890" s="38">
        <v>74256.0</v>
      </c>
      <c r="C3890" s="38" t="s">
        <v>6481</v>
      </c>
      <c r="D3890" s="38" t="str">
        <f>IFERROR(__xludf.DUMMYFUNCTION("REGEXREPLACE(C3890,""-\d+(.*)|--\d+(.*)"","""")"),"SALLANCHES")</f>
        <v>SALLANCHES</v>
      </c>
      <c r="E3890" s="38" t="s">
        <v>319</v>
      </c>
      <c r="F3890" s="38" t="s">
        <v>102</v>
      </c>
      <c r="G3890" s="49" t="str">
        <f t="shared" si="1"/>
        <v>74700</v>
      </c>
      <c r="H3890" s="49">
        <f t="shared" si="2"/>
        <v>74256</v>
      </c>
    </row>
    <row r="3891">
      <c r="A3891" s="48" t="s">
        <v>201</v>
      </c>
      <c r="B3891" s="38">
        <v>2626.0</v>
      </c>
      <c r="C3891" s="38" t="s">
        <v>6482</v>
      </c>
      <c r="D3891" s="38" t="str">
        <f>IFERROR(__xludf.DUMMYFUNCTION("REGEXREPLACE(C3891,""-\d+(.*)|--\d+(.*)"","""")"),"PROUVAIS")</f>
        <v>PROUVAIS</v>
      </c>
      <c r="E3891" s="38" t="s">
        <v>191</v>
      </c>
      <c r="F3891" s="38" t="s">
        <v>113</v>
      </c>
      <c r="G3891" s="49" t="str">
        <f t="shared" si="1"/>
        <v>02190</v>
      </c>
      <c r="H3891" s="49" t="str">
        <f t="shared" si="2"/>
        <v>02626</v>
      </c>
    </row>
    <row r="3892">
      <c r="A3892" s="48" t="s">
        <v>6483</v>
      </c>
      <c r="B3892" s="38">
        <v>58182.0</v>
      </c>
      <c r="C3892" s="38" t="s">
        <v>6484</v>
      </c>
      <c r="D3892" s="38" t="str">
        <f>IFERROR(__xludf.DUMMYFUNCTION("REGEXREPLACE(C3892,""-\d+(.*)|--\d+(.*)"","""")"),"MOULINS-ENGILBERT")</f>
        <v>MOULINS-ENGILBERT</v>
      </c>
      <c r="E3892" s="38" t="s">
        <v>219</v>
      </c>
      <c r="F3892" s="38" t="s">
        <v>106</v>
      </c>
      <c r="G3892" s="49" t="str">
        <f t="shared" si="1"/>
        <v>58290</v>
      </c>
      <c r="H3892" s="49">
        <f t="shared" si="2"/>
        <v>58182</v>
      </c>
    </row>
    <row r="3893">
      <c r="A3893" s="48" t="s">
        <v>6485</v>
      </c>
      <c r="B3893" s="38">
        <v>38057.0</v>
      </c>
      <c r="C3893" s="38" t="s">
        <v>6486</v>
      </c>
      <c r="D3893" s="38" t="str">
        <f>IFERROR(__xludf.DUMMYFUNCTION("REGEXREPLACE(C3893,""-\d+(.*)|--\d+(.*)"","""")"),"BRESSON")</f>
        <v>BRESSON</v>
      </c>
      <c r="E3893" s="38" t="s">
        <v>101</v>
      </c>
      <c r="F3893" s="38" t="s">
        <v>102</v>
      </c>
      <c r="G3893" s="49" t="str">
        <f t="shared" si="1"/>
        <v>38320</v>
      </c>
      <c r="H3893" s="49">
        <f t="shared" si="2"/>
        <v>38057</v>
      </c>
    </row>
    <row r="3894">
      <c r="A3894" s="48" t="s">
        <v>6487</v>
      </c>
      <c r="B3894" s="38">
        <v>1101.0</v>
      </c>
      <c r="C3894" s="38" t="s">
        <v>6488</v>
      </c>
      <c r="D3894" s="38" t="str">
        <f>IFERROR(__xludf.DUMMYFUNCTION("REGEXREPLACE(C3894,""-\d+(.*)|--\d+(.*)"","""")"),"CHEVILLARD")</f>
        <v>CHEVILLARD</v>
      </c>
      <c r="E3894" s="38" t="s">
        <v>255</v>
      </c>
      <c r="F3894" s="38" t="s">
        <v>102</v>
      </c>
      <c r="G3894" s="49" t="str">
        <f t="shared" si="1"/>
        <v>01430</v>
      </c>
      <c r="H3894" s="49" t="str">
        <f t="shared" si="2"/>
        <v>01101</v>
      </c>
    </row>
    <row r="3895">
      <c r="A3895" s="48" t="s">
        <v>3662</v>
      </c>
      <c r="B3895" s="38">
        <v>80336.0</v>
      </c>
      <c r="C3895" s="38" t="s">
        <v>6489</v>
      </c>
      <c r="D3895" s="38" t="str">
        <f>IFERROR(__xludf.DUMMYFUNCTION("REGEXREPLACE(C3895,""-\d+(.*)|--\d+(.*)"","""")"),"FOUCAUCOURT-HORS-NESLE")</f>
        <v>FOUCAUCOURT-HORS-NESLE</v>
      </c>
      <c r="E3895" s="38" t="s">
        <v>224</v>
      </c>
      <c r="F3895" s="38" t="s">
        <v>113</v>
      </c>
      <c r="G3895" s="49" t="str">
        <f t="shared" si="1"/>
        <v>80140</v>
      </c>
      <c r="H3895" s="49">
        <f t="shared" si="2"/>
        <v>80336</v>
      </c>
    </row>
    <row r="3896">
      <c r="A3896" s="48" t="s">
        <v>2708</v>
      </c>
      <c r="B3896" s="38">
        <v>70526.0</v>
      </c>
      <c r="C3896" s="38" t="s">
        <v>3559</v>
      </c>
      <c r="D3896" s="38" t="str">
        <f>IFERROR(__xludf.DUMMYFUNCTION("REGEXREPLACE(C3896,""-\d+(.*)|--\d+(.*)"","""")"),"VAUVILLERS")</f>
        <v>VAUVILLERS</v>
      </c>
      <c r="E3896" s="38" t="s">
        <v>956</v>
      </c>
      <c r="F3896" s="38" t="s">
        <v>214</v>
      </c>
      <c r="G3896" s="49" t="str">
        <f t="shared" si="1"/>
        <v>70210</v>
      </c>
      <c r="H3896" s="49">
        <f t="shared" si="2"/>
        <v>70526</v>
      </c>
    </row>
    <row r="3897">
      <c r="A3897" s="48" t="s">
        <v>276</v>
      </c>
      <c r="B3897" s="38">
        <v>11093.0</v>
      </c>
      <c r="C3897" s="38" t="s">
        <v>6490</v>
      </c>
      <c r="D3897" s="38" t="str">
        <f>IFERROR(__xludf.DUMMYFUNCTION("REGEXREPLACE(C3897,""-\d+(.*)|--\d+(.*)"","""")"),"LE CLAT")</f>
        <v>LE CLAT</v>
      </c>
      <c r="E3897" s="38" t="s">
        <v>278</v>
      </c>
      <c r="F3897" s="38" t="s">
        <v>119</v>
      </c>
      <c r="G3897" s="49" t="str">
        <f t="shared" si="1"/>
        <v>11140</v>
      </c>
      <c r="H3897" s="49">
        <f t="shared" si="2"/>
        <v>11093</v>
      </c>
    </row>
    <row r="3898">
      <c r="A3898" s="48" t="s">
        <v>3753</v>
      </c>
      <c r="B3898" s="38">
        <v>18177.0</v>
      </c>
      <c r="C3898" s="38" t="s">
        <v>6491</v>
      </c>
      <c r="D3898" s="38" t="str">
        <f>IFERROR(__xludf.DUMMYFUNCTION("REGEXREPLACE(C3898,""-\d+(.*)|--\d+(.*)"","""")"),"PARNAY")</f>
        <v>PARNAY</v>
      </c>
      <c r="E3898" s="38" t="s">
        <v>504</v>
      </c>
      <c r="F3898" s="38" t="s">
        <v>123</v>
      </c>
      <c r="G3898" s="49" t="str">
        <f t="shared" si="1"/>
        <v>18130</v>
      </c>
      <c r="H3898" s="49">
        <f t="shared" si="2"/>
        <v>18177</v>
      </c>
    </row>
    <row r="3899">
      <c r="A3899" s="48" t="s">
        <v>6492</v>
      </c>
      <c r="B3899" s="38">
        <v>5166.0</v>
      </c>
      <c r="C3899" s="38" t="s">
        <v>6493</v>
      </c>
      <c r="D3899" s="38" t="str">
        <f>IFERROR(__xludf.DUMMYFUNCTION("REGEXREPLACE(C3899,""-\d+(.*)|--\d+(.*)"","""")"),"SERRES")</f>
        <v>SERRES</v>
      </c>
      <c r="E3899" s="38" t="s">
        <v>706</v>
      </c>
      <c r="F3899" s="38" t="s">
        <v>228</v>
      </c>
      <c r="G3899" s="49" t="str">
        <f t="shared" si="1"/>
        <v>05700</v>
      </c>
      <c r="H3899" s="49" t="str">
        <f t="shared" si="2"/>
        <v>05166</v>
      </c>
    </row>
    <row r="3900">
      <c r="A3900" s="48" t="s">
        <v>1644</v>
      </c>
      <c r="B3900" s="38">
        <v>21336.0</v>
      </c>
      <c r="C3900" s="38" t="s">
        <v>6494</v>
      </c>
      <c r="D3900" s="38" t="str">
        <f>IFERROR(__xludf.DUMMYFUNCTION("REGEXREPLACE(C3900,""-\d+(.*)|--\d+(.*)"","""")"),"LAIGNES")</f>
        <v>LAIGNES</v>
      </c>
      <c r="E3900" s="38" t="s">
        <v>105</v>
      </c>
      <c r="F3900" s="38" t="s">
        <v>106</v>
      </c>
      <c r="G3900" s="49" t="str">
        <f t="shared" si="1"/>
        <v>21330</v>
      </c>
      <c r="H3900" s="49">
        <f t="shared" si="2"/>
        <v>21336</v>
      </c>
    </row>
    <row r="3901">
      <c r="A3901" s="48" t="s">
        <v>6495</v>
      </c>
      <c r="B3901" s="38">
        <v>23188.0</v>
      </c>
      <c r="C3901" s="38" t="s">
        <v>6496</v>
      </c>
      <c r="D3901" s="38" t="str">
        <f>IFERROR(__xludf.DUMMYFUNCTION("REGEXREPLACE(C3901,""-\d+(.*)|--\d+(.*)"","""")"),"SAINT-DIZIER-LES-DOMAINES")</f>
        <v>SAINT-DIZIER-LES-DOMAINES</v>
      </c>
      <c r="E3901" s="38" t="s">
        <v>97</v>
      </c>
      <c r="F3901" s="38" t="s">
        <v>98</v>
      </c>
      <c r="G3901" s="49" t="str">
        <f t="shared" si="1"/>
        <v>23270</v>
      </c>
      <c r="H3901" s="49">
        <f t="shared" si="2"/>
        <v>23188</v>
      </c>
    </row>
    <row r="3902">
      <c r="A3902" s="48" t="s">
        <v>6497</v>
      </c>
      <c r="B3902" s="38">
        <v>10325.0</v>
      </c>
      <c r="C3902" s="38" t="s">
        <v>6498</v>
      </c>
      <c r="D3902" s="38" t="str">
        <f>IFERROR(__xludf.DUMMYFUNCTION("REGEXREPLACE(C3902,""-\d+(.*)|--\d+(.*)"","""")"),"ROSIERES-PRES-TROYES")</f>
        <v>ROSIERES-PRES-TROYES</v>
      </c>
      <c r="E3902" s="38" t="s">
        <v>147</v>
      </c>
      <c r="F3902" s="38" t="s">
        <v>130</v>
      </c>
      <c r="G3902" s="49" t="str">
        <f t="shared" si="1"/>
        <v>10430</v>
      </c>
      <c r="H3902" s="49">
        <f t="shared" si="2"/>
        <v>10325</v>
      </c>
    </row>
    <row r="3903">
      <c r="A3903" s="48" t="s">
        <v>2120</v>
      </c>
      <c r="B3903" s="38">
        <v>50184.0</v>
      </c>
      <c r="C3903" s="38" t="s">
        <v>6499</v>
      </c>
      <c r="D3903" s="38" t="str">
        <f>IFERROR(__xludf.DUMMYFUNCTION("REGEXREPLACE(C3903,""-\d+(.*)|--\d+(.*)"","""")"),"FLAMANVILLE")</f>
        <v>FLAMANVILLE</v>
      </c>
      <c r="E3903" s="38" t="s">
        <v>157</v>
      </c>
      <c r="F3903" s="38" t="s">
        <v>138</v>
      </c>
      <c r="G3903" s="49" t="str">
        <f t="shared" si="1"/>
        <v>50340</v>
      </c>
      <c r="H3903" s="49">
        <f t="shared" si="2"/>
        <v>50184</v>
      </c>
    </row>
    <row r="3904">
      <c r="A3904" s="48" t="s">
        <v>2376</v>
      </c>
      <c r="B3904" s="38">
        <v>79256.0</v>
      </c>
      <c r="C3904" s="38" t="s">
        <v>6500</v>
      </c>
      <c r="D3904" s="38" t="str">
        <f>IFERROR(__xludf.DUMMYFUNCTION("REGEXREPLACE(C3904,""-\d+(.*)|--\d+(.*)"","""")"),"SAINT-GERMIER")</f>
        <v>SAINT-GERMIER</v>
      </c>
      <c r="E3904" s="38" t="s">
        <v>337</v>
      </c>
      <c r="F3904" s="38" t="s">
        <v>338</v>
      </c>
      <c r="G3904" s="49" t="str">
        <f t="shared" si="1"/>
        <v>79340</v>
      </c>
      <c r="H3904" s="49">
        <f t="shared" si="2"/>
        <v>79256</v>
      </c>
    </row>
    <row r="3905">
      <c r="A3905" s="48" t="s">
        <v>3077</v>
      </c>
      <c r="B3905" s="38">
        <v>32021.0</v>
      </c>
      <c r="C3905" s="38" t="s">
        <v>6501</v>
      </c>
      <c r="D3905" s="38" t="str">
        <f>IFERROR(__xludf.DUMMYFUNCTION("REGEXREPLACE(C3905,""-\d+(.*)|--\d+(.*)"","""")"),"AVENSAC")</f>
        <v>AVENSAC</v>
      </c>
      <c r="E3905" s="38" t="s">
        <v>440</v>
      </c>
      <c r="F3905" s="38" t="s">
        <v>94</v>
      </c>
      <c r="G3905" s="49" t="str">
        <f t="shared" si="1"/>
        <v>32120</v>
      </c>
      <c r="H3905" s="49">
        <f t="shared" si="2"/>
        <v>32021</v>
      </c>
    </row>
    <row r="3906">
      <c r="A3906" s="48" t="s">
        <v>6502</v>
      </c>
      <c r="B3906" s="38">
        <v>85046.0</v>
      </c>
      <c r="C3906" s="38" t="s">
        <v>6503</v>
      </c>
      <c r="D3906" s="38" t="str">
        <f>IFERROR(__xludf.DUMMYFUNCTION("REGEXREPLACE(C3906,""-\d+(.*)|--\d+(.*)"","""")"),"LA CHAIZE-LE-VICOMTE")</f>
        <v>LA CHAIZE-LE-VICOMTE</v>
      </c>
      <c r="E3906" s="38" t="s">
        <v>179</v>
      </c>
      <c r="F3906" s="38" t="s">
        <v>180</v>
      </c>
      <c r="G3906" s="49" t="str">
        <f t="shared" si="1"/>
        <v>85310</v>
      </c>
      <c r="H3906" s="49">
        <f t="shared" si="2"/>
        <v>85046</v>
      </c>
    </row>
    <row r="3907">
      <c r="A3907" s="48" t="s">
        <v>6504</v>
      </c>
      <c r="B3907" s="38">
        <v>24202.0</v>
      </c>
      <c r="C3907" s="38" t="s">
        <v>6505</v>
      </c>
      <c r="D3907" s="38" t="str">
        <f>IFERROR(__xludf.DUMMYFUNCTION("REGEXREPLACE(C3907,""-\d+(.*)|--\d+(.*)"","""")"),"GRANGES-D'ANS")</f>
        <v>GRANGES-D'ANS</v>
      </c>
      <c r="E3907" s="38" t="s">
        <v>261</v>
      </c>
      <c r="F3907" s="38" t="s">
        <v>252</v>
      </c>
      <c r="G3907" s="49" t="str">
        <f t="shared" si="1"/>
        <v>24390</v>
      </c>
      <c r="H3907" s="49">
        <f t="shared" si="2"/>
        <v>24202</v>
      </c>
    </row>
    <row r="3908">
      <c r="A3908" s="48" t="s">
        <v>239</v>
      </c>
      <c r="B3908" s="38">
        <v>27185.0</v>
      </c>
      <c r="C3908" s="38" t="s">
        <v>6506</v>
      </c>
      <c r="D3908" s="38" t="str">
        <f>IFERROR(__xludf.DUMMYFUNCTION("REGEXREPLACE(C3908,""-\d+(.*)|--\d+(.*)"","""")"),"CRESTOT")</f>
        <v>CRESTOT</v>
      </c>
      <c r="E3908" s="38" t="s">
        <v>241</v>
      </c>
      <c r="F3908" s="38" t="s">
        <v>134</v>
      </c>
      <c r="G3908" s="49" t="str">
        <f t="shared" si="1"/>
        <v>27110</v>
      </c>
      <c r="H3908" s="49">
        <f t="shared" si="2"/>
        <v>27185</v>
      </c>
    </row>
    <row r="3909">
      <c r="A3909" s="48" t="s">
        <v>582</v>
      </c>
      <c r="B3909" s="38">
        <v>39119.0</v>
      </c>
      <c r="C3909" s="38" t="s">
        <v>6507</v>
      </c>
      <c r="D3909" s="38" t="str">
        <f>IFERROR(__xludf.DUMMYFUNCTION("REGEXREPLACE(C3909,""-\d+(.*)|--\d+(.*)"","""")"),"LE CHATELEY")</f>
        <v>LE CHATELEY</v>
      </c>
      <c r="E3909" s="38" t="s">
        <v>400</v>
      </c>
      <c r="F3909" s="38" t="s">
        <v>214</v>
      </c>
      <c r="G3909" s="49" t="str">
        <f t="shared" si="1"/>
        <v>39230</v>
      </c>
      <c r="H3909" s="49">
        <f t="shared" si="2"/>
        <v>39119</v>
      </c>
    </row>
    <row r="3910">
      <c r="A3910" s="48" t="s">
        <v>1079</v>
      </c>
      <c r="B3910" s="38">
        <v>24204.0</v>
      </c>
      <c r="C3910" s="38" t="s">
        <v>1851</v>
      </c>
      <c r="D3910" s="38" t="str">
        <f>IFERROR(__xludf.DUMMYFUNCTION("REGEXREPLACE(C3910,""-\d+(.*)|--\d+(.*)"","""")"),"GREZES")</f>
        <v>GREZES</v>
      </c>
      <c r="E3910" s="38" t="s">
        <v>261</v>
      </c>
      <c r="F3910" s="38" t="s">
        <v>252</v>
      </c>
      <c r="G3910" s="49" t="str">
        <f t="shared" si="1"/>
        <v>24120</v>
      </c>
      <c r="H3910" s="49">
        <f t="shared" si="2"/>
        <v>24204</v>
      </c>
    </row>
    <row r="3911">
      <c r="A3911" s="48" t="s">
        <v>6508</v>
      </c>
      <c r="B3911" s="38">
        <v>15252.0</v>
      </c>
      <c r="C3911" s="38" t="s">
        <v>6509</v>
      </c>
      <c r="D3911" s="38" t="str">
        <f>IFERROR(__xludf.DUMMYFUNCTION("REGEXREPLACE(C3911,""-\d+(.*)|--\d+(.*)"","""")"),"VELZIC")</f>
        <v>VELZIC</v>
      </c>
      <c r="E3911" s="38" t="s">
        <v>632</v>
      </c>
      <c r="F3911" s="38" t="s">
        <v>161</v>
      </c>
      <c r="G3911" s="49" t="str">
        <f t="shared" si="1"/>
        <v>15590</v>
      </c>
      <c r="H3911" s="49">
        <f t="shared" si="2"/>
        <v>15252</v>
      </c>
    </row>
    <row r="3912">
      <c r="A3912" s="48" t="s">
        <v>5831</v>
      </c>
      <c r="B3912" s="38">
        <v>5053.0</v>
      </c>
      <c r="C3912" s="38" t="s">
        <v>6510</v>
      </c>
      <c r="D3912" s="38" t="str">
        <f>IFERROR(__xludf.DUMMYFUNCTION("REGEXREPLACE(C3912,""-\d+(.*)|--\d+(.*)"","""")"),"EYGUIANS")</f>
        <v>EYGUIANS</v>
      </c>
      <c r="E3912" s="38" t="s">
        <v>706</v>
      </c>
      <c r="F3912" s="38" t="s">
        <v>228</v>
      </c>
      <c r="G3912" s="49" t="str">
        <f t="shared" si="1"/>
        <v>05300</v>
      </c>
      <c r="H3912" s="49" t="str">
        <f t="shared" si="2"/>
        <v>05053</v>
      </c>
    </row>
    <row r="3913">
      <c r="A3913" s="48" t="s">
        <v>3783</v>
      </c>
      <c r="B3913" s="38">
        <v>62576.0</v>
      </c>
      <c r="C3913" s="38" t="s">
        <v>6511</v>
      </c>
      <c r="D3913" s="38" t="str">
        <f>IFERROR(__xludf.DUMMYFUNCTION("REGEXREPLACE(C3913,""-\d+(.*)|--\d+(.*)"","""")"),"MONCHEAUX-LES-FREVENT")</f>
        <v>MONCHEAUX-LES-FREVENT</v>
      </c>
      <c r="E3913" s="38" t="s">
        <v>109</v>
      </c>
      <c r="F3913" s="38" t="s">
        <v>86</v>
      </c>
      <c r="G3913" s="49" t="str">
        <f t="shared" si="1"/>
        <v>62270</v>
      </c>
      <c r="H3913" s="49">
        <f t="shared" si="2"/>
        <v>62576</v>
      </c>
    </row>
    <row r="3914">
      <c r="A3914" s="48" t="s">
        <v>4416</v>
      </c>
      <c r="B3914" s="38">
        <v>56111.0</v>
      </c>
      <c r="C3914" s="38" t="s">
        <v>6512</v>
      </c>
      <c r="D3914" s="38" t="str">
        <f>IFERROR(__xludf.DUMMYFUNCTION("REGEXREPLACE(C3914,""-\d+(.*)|--\d+(.*)"","""")"),"LIMERZEL")</f>
        <v>LIMERZEL</v>
      </c>
      <c r="E3914" s="38" t="s">
        <v>173</v>
      </c>
      <c r="F3914" s="38" t="s">
        <v>90</v>
      </c>
      <c r="G3914" s="49" t="str">
        <f t="shared" si="1"/>
        <v>56220</v>
      </c>
      <c r="H3914" s="49">
        <f t="shared" si="2"/>
        <v>56111</v>
      </c>
    </row>
    <row r="3915">
      <c r="A3915" s="48" t="s">
        <v>5887</v>
      </c>
      <c r="B3915" s="38">
        <v>61015.0</v>
      </c>
      <c r="C3915" s="38" t="s">
        <v>6513</v>
      </c>
      <c r="D3915" s="38" t="str">
        <f>IFERROR(__xludf.DUMMYFUNCTION("REGEXREPLACE(C3915,""-\d+(.*)|--\d+(.*)"","""")"),"AUNOU-SUR-ORNE")</f>
        <v>AUNOU-SUR-ORNE</v>
      </c>
      <c r="E3915" s="38" t="s">
        <v>141</v>
      </c>
      <c r="F3915" s="38" t="s">
        <v>138</v>
      </c>
      <c r="G3915" s="49" t="str">
        <f t="shared" si="1"/>
        <v>61500</v>
      </c>
      <c r="H3915" s="49">
        <f t="shared" si="2"/>
        <v>61015</v>
      </c>
    </row>
    <row r="3916">
      <c r="A3916" s="48" t="s">
        <v>2770</v>
      </c>
      <c r="B3916" s="38">
        <v>25217.0</v>
      </c>
      <c r="C3916" s="38" t="s">
        <v>6514</v>
      </c>
      <c r="D3916" s="38" t="str">
        <f>IFERROR(__xludf.DUMMYFUNCTION("REGEXREPLACE(C3916,""-\d+(.*)|--\d+(.*)"","""")"),"EMAGNY")</f>
        <v>EMAGNY</v>
      </c>
      <c r="E3916" s="38" t="s">
        <v>213</v>
      </c>
      <c r="F3916" s="38" t="s">
        <v>214</v>
      </c>
      <c r="G3916" s="49" t="str">
        <f t="shared" si="1"/>
        <v>25170</v>
      </c>
      <c r="H3916" s="49">
        <f t="shared" si="2"/>
        <v>25217</v>
      </c>
    </row>
    <row r="3917">
      <c r="A3917" s="48" t="s">
        <v>6515</v>
      </c>
      <c r="B3917" s="38">
        <v>62499.0</v>
      </c>
      <c r="C3917" s="38" t="s">
        <v>6516</v>
      </c>
      <c r="D3917" s="38" t="str">
        <f>IFERROR(__xludf.DUMMYFUNCTION("REGEXREPLACE(C3917,""-\d+(.*)|--\d+(.*)"","""")"),"LEPINE")</f>
        <v>LEPINE</v>
      </c>
      <c r="E3917" s="38" t="s">
        <v>109</v>
      </c>
      <c r="F3917" s="38" t="s">
        <v>86</v>
      </c>
      <c r="G3917" s="49" t="str">
        <f t="shared" si="1"/>
        <v>62170</v>
      </c>
      <c r="H3917" s="49">
        <f t="shared" si="2"/>
        <v>62499</v>
      </c>
    </row>
    <row r="3918">
      <c r="A3918" s="48" t="s">
        <v>6517</v>
      </c>
      <c r="B3918" s="38">
        <v>50282.0</v>
      </c>
      <c r="C3918" s="38" t="s">
        <v>6518</v>
      </c>
      <c r="D3918" s="38" t="str">
        <f>IFERROR(__xludf.DUMMYFUNCTION("REGEXREPLACE(C3918,""-\d+(.*)|--\d+(.*)"","""")"),"LE LUOT")</f>
        <v>LE LUOT</v>
      </c>
      <c r="E3918" s="38" t="s">
        <v>157</v>
      </c>
      <c r="F3918" s="38" t="s">
        <v>138</v>
      </c>
      <c r="G3918" s="49" t="str">
        <f t="shared" si="1"/>
        <v>50870</v>
      </c>
      <c r="H3918" s="49">
        <f t="shared" si="2"/>
        <v>50282</v>
      </c>
    </row>
    <row r="3919">
      <c r="A3919" s="48" t="s">
        <v>6519</v>
      </c>
      <c r="B3919" s="38">
        <v>81056.0</v>
      </c>
      <c r="C3919" s="38" t="s">
        <v>6520</v>
      </c>
      <c r="D3919" s="38" t="str">
        <f>IFERROR(__xludf.DUMMYFUNCTION("REGEXREPLACE(C3919,""-\d+(.*)|--\d+(.*)"","""")"),"CAMPAGNAC")</f>
        <v>CAMPAGNAC</v>
      </c>
      <c r="E3919" s="38" t="s">
        <v>231</v>
      </c>
      <c r="F3919" s="38" t="s">
        <v>94</v>
      </c>
      <c r="G3919" s="49" t="str">
        <f t="shared" si="1"/>
        <v>81140</v>
      </c>
      <c r="H3919" s="49">
        <f t="shared" si="2"/>
        <v>81056</v>
      </c>
    </row>
    <row r="3920">
      <c r="A3920" s="48" t="s">
        <v>6521</v>
      </c>
      <c r="B3920" s="38">
        <v>34054.0</v>
      </c>
      <c r="C3920" s="38" t="s">
        <v>1610</v>
      </c>
      <c r="D3920" s="38" t="str">
        <f>IFERROR(__xludf.DUMMYFUNCTION("REGEXREPLACE(C3920,""-\d+(.*)|--\d+(.*)"","""")"),"CASSAGNOLES")</f>
        <v>CASSAGNOLES</v>
      </c>
      <c r="E3920" s="38" t="s">
        <v>118</v>
      </c>
      <c r="F3920" s="38" t="s">
        <v>119</v>
      </c>
      <c r="G3920" s="49" t="str">
        <f t="shared" si="1"/>
        <v>34210</v>
      </c>
      <c r="H3920" s="49">
        <f t="shared" si="2"/>
        <v>34054</v>
      </c>
    </row>
    <row r="3921">
      <c r="A3921" s="48" t="s">
        <v>6522</v>
      </c>
      <c r="B3921" s="38" t="s">
        <v>6523</v>
      </c>
      <c r="C3921" s="38" t="s">
        <v>6524</v>
      </c>
      <c r="D3921" s="38" t="str">
        <f>IFERROR(__xludf.DUMMYFUNCTION("REGEXREPLACE(C3921,""-\d+(.*)|--\d+(.*)"","""")"),"RAPALE")</f>
        <v>RAPALE</v>
      </c>
      <c r="E3921" s="38" t="s">
        <v>743</v>
      </c>
      <c r="F3921" s="38" t="s">
        <v>607</v>
      </c>
      <c r="G3921" s="49" t="str">
        <f t="shared" si="1"/>
        <v>20246</v>
      </c>
      <c r="H3921" s="49" t="str">
        <f t="shared" si="2"/>
        <v>2B257</v>
      </c>
    </row>
    <row r="3922">
      <c r="A3922" s="48" t="s">
        <v>5870</v>
      </c>
      <c r="B3922" s="38">
        <v>12128.0</v>
      </c>
      <c r="C3922" s="38" t="s">
        <v>6525</v>
      </c>
      <c r="D3922" s="38" t="str">
        <f>IFERROR(__xludf.DUMMYFUNCTION("REGEXREPLACE(C3922,""-\d+(.*)|--\d+(.*)"","""")"),"LESCURE-JAOUL")</f>
        <v>LESCURE-JAOUL</v>
      </c>
      <c r="E3922" s="38" t="s">
        <v>465</v>
      </c>
      <c r="F3922" s="38" t="s">
        <v>94</v>
      </c>
      <c r="G3922" s="49" t="str">
        <f t="shared" si="1"/>
        <v>12440</v>
      </c>
      <c r="H3922" s="49">
        <f t="shared" si="2"/>
        <v>12128</v>
      </c>
    </row>
    <row r="3923">
      <c r="A3923" s="48" t="s">
        <v>6526</v>
      </c>
      <c r="B3923" s="38">
        <v>69097.0</v>
      </c>
      <c r="C3923" s="38" t="s">
        <v>6527</v>
      </c>
      <c r="D3923" s="38" t="str">
        <f>IFERROR(__xludf.DUMMYFUNCTION("REGEXREPLACE(C3923,""-\d+(.*)|--\d+(.*)"","""")"),"LES HAIES")</f>
        <v>LES HAIES</v>
      </c>
      <c r="E3923" s="38" t="s">
        <v>350</v>
      </c>
      <c r="F3923" s="38" t="s">
        <v>102</v>
      </c>
      <c r="G3923" s="49" t="str">
        <f t="shared" si="1"/>
        <v>69420</v>
      </c>
      <c r="H3923" s="49">
        <f t="shared" si="2"/>
        <v>69097</v>
      </c>
    </row>
    <row r="3924">
      <c r="A3924" s="48" t="s">
        <v>4644</v>
      </c>
      <c r="B3924" s="38">
        <v>46296.0</v>
      </c>
      <c r="C3924" s="38" t="s">
        <v>6528</v>
      </c>
      <c r="D3924" s="38" t="str">
        <f>IFERROR(__xludf.DUMMYFUNCTION("REGEXREPLACE(C3924,""-\d+(.*)|--\d+(.*)"","""")"),"SAINT-VINCENT-RIVE-D'OLT")</f>
        <v>SAINT-VINCENT-RIVE-D'OLT</v>
      </c>
      <c r="E3924" s="38" t="s">
        <v>185</v>
      </c>
      <c r="F3924" s="38" t="s">
        <v>94</v>
      </c>
      <c r="G3924" s="49" t="str">
        <f t="shared" si="1"/>
        <v>46140</v>
      </c>
      <c r="H3924" s="49">
        <f t="shared" si="2"/>
        <v>46296</v>
      </c>
    </row>
    <row r="3925">
      <c r="A3925" s="48" t="s">
        <v>1540</v>
      </c>
      <c r="B3925" s="38">
        <v>70378.0</v>
      </c>
      <c r="C3925" s="38" t="s">
        <v>6529</v>
      </c>
      <c r="D3925" s="38" t="str">
        <f>IFERROR(__xludf.DUMMYFUNCTION("REGEXREPLACE(C3925,""-\d+(.*)|--\d+(.*)"","""")"),"NAVENNE")</f>
        <v>NAVENNE</v>
      </c>
      <c r="E3925" s="38" t="s">
        <v>956</v>
      </c>
      <c r="F3925" s="38" t="s">
        <v>214</v>
      </c>
      <c r="G3925" s="49" t="str">
        <f t="shared" si="1"/>
        <v>70000</v>
      </c>
      <c r="H3925" s="49">
        <f t="shared" si="2"/>
        <v>70378</v>
      </c>
    </row>
    <row r="3926">
      <c r="A3926" s="48" t="s">
        <v>1254</v>
      </c>
      <c r="B3926" s="38">
        <v>72033.0</v>
      </c>
      <c r="C3926" s="38" t="s">
        <v>6530</v>
      </c>
      <c r="D3926" s="38" t="str">
        <f>IFERROR(__xludf.DUMMYFUNCTION("REGEXREPLACE(C3926,""-\d+(.*)|--\d+(.*)"","""")"),"BERNAY-EN-CHAMPAGNE")</f>
        <v>BERNAY-EN-CHAMPAGNE</v>
      </c>
      <c r="E3926" s="38" t="s">
        <v>521</v>
      </c>
      <c r="F3926" s="38" t="s">
        <v>180</v>
      </c>
      <c r="G3926" s="49" t="str">
        <f t="shared" si="1"/>
        <v>72240</v>
      </c>
      <c r="H3926" s="49">
        <f t="shared" si="2"/>
        <v>72033</v>
      </c>
    </row>
    <row r="3927">
      <c r="A3927" s="48" t="s">
        <v>1986</v>
      </c>
      <c r="B3927" s="38">
        <v>79241.0</v>
      </c>
      <c r="C3927" s="38" t="s">
        <v>6531</v>
      </c>
      <c r="D3927" s="38" t="str">
        <f>IFERROR(__xludf.DUMMYFUNCTION("REGEXREPLACE(C3927,""-\d+(.*)|--\d+(.*)"","""")"),"SAINT-CHRISTOPHE-SUR-ROC")</f>
        <v>SAINT-CHRISTOPHE-SUR-ROC</v>
      </c>
      <c r="E3927" s="38" t="s">
        <v>337</v>
      </c>
      <c r="F3927" s="38" t="s">
        <v>338</v>
      </c>
      <c r="G3927" s="49" t="str">
        <f t="shared" si="1"/>
        <v>79220</v>
      </c>
      <c r="H3927" s="49">
        <f t="shared" si="2"/>
        <v>79241</v>
      </c>
    </row>
    <row r="3928">
      <c r="A3928" s="48" t="s">
        <v>814</v>
      </c>
      <c r="B3928" s="38">
        <v>4188.0</v>
      </c>
      <c r="C3928" s="38" t="s">
        <v>6532</v>
      </c>
      <c r="D3928" s="38" t="str">
        <f>IFERROR(__xludf.DUMMYFUNCTION("REGEXREPLACE(C3928,""-\d+(.*)|--\d+(.*)"","""")"),"SAINT-MAIME")</f>
        <v>SAINT-MAIME</v>
      </c>
      <c r="E3928" s="38" t="s">
        <v>662</v>
      </c>
      <c r="F3928" s="38" t="s">
        <v>228</v>
      </c>
      <c r="G3928" s="49" t="str">
        <f t="shared" si="1"/>
        <v>04300</v>
      </c>
      <c r="H3928" s="49" t="str">
        <f t="shared" si="2"/>
        <v>04188</v>
      </c>
    </row>
    <row r="3929">
      <c r="A3929" s="48" t="s">
        <v>6533</v>
      </c>
      <c r="B3929" s="38">
        <v>91613.0</v>
      </c>
      <c r="C3929" s="38" t="s">
        <v>6534</v>
      </c>
      <c r="D3929" s="38" t="str">
        <f>IFERROR(__xludf.DUMMYFUNCTION("REGEXREPLACE(C3929,""-\d+(.*)|--\d+(.*)"","""")"),"CONGERVILLE-THIONVILLE")</f>
        <v>CONGERVILLE-THIONVILLE</v>
      </c>
      <c r="E3929" s="38" t="s">
        <v>756</v>
      </c>
      <c r="F3929" s="38" t="s">
        <v>245</v>
      </c>
      <c r="G3929" s="49" t="str">
        <f t="shared" si="1"/>
        <v>91740</v>
      </c>
      <c r="H3929" s="49">
        <f t="shared" si="2"/>
        <v>91613</v>
      </c>
    </row>
    <row r="3930">
      <c r="A3930" s="48" t="s">
        <v>6535</v>
      </c>
      <c r="B3930" s="38">
        <v>58115.0</v>
      </c>
      <c r="C3930" s="38" t="s">
        <v>6536</v>
      </c>
      <c r="D3930" s="38" t="str">
        <f>IFERROR(__xludf.DUMMYFUNCTION("REGEXREPLACE(C3930,""-\d+(.*)|--\d+(.*)"","""")"),"FLEURY-SUR-LOIRE")</f>
        <v>FLEURY-SUR-LOIRE</v>
      </c>
      <c r="E3930" s="38" t="s">
        <v>219</v>
      </c>
      <c r="F3930" s="38" t="s">
        <v>106</v>
      </c>
      <c r="G3930" s="49" t="str">
        <f t="shared" si="1"/>
        <v>58240</v>
      </c>
      <c r="H3930" s="49">
        <f t="shared" si="2"/>
        <v>58115</v>
      </c>
    </row>
    <row r="3931">
      <c r="A3931" s="48" t="s">
        <v>2061</v>
      </c>
      <c r="B3931" s="38">
        <v>21552.0</v>
      </c>
      <c r="C3931" s="38" t="s">
        <v>6537</v>
      </c>
      <c r="D3931" s="38" t="str">
        <f>IFERROR(__xludf.DUMMYFUNCTION("REGEXREPLACE(C3931,""-\d+(.*)|--\d+(.*)"","""")"),"SAINT-HELIER")</f>
        <v>SAINT-HELIER</v>
      </c>
      <c r="E3931" s="38" t="s">
        <v>105</v>
      </c>
      <c r="F3931" s="38" t="s">
        <v>106</v>
      </c>
      <c r="G3931" s="49" t="str">
        <f t="shared" si="1"/>
        <v>21690</v>
      </c>
      <c r="H3931" s="49">
        <f t="shared" si="2"/>
        <v>21552</v>
      </c>
    </row>
    <row r="3932">
      <c r="A3932" s="48" t="s">
        <v>6538</v>
      </c>
      <c r="B3932" s="38">
        <v>60226.0</v>
      </c>
      <c r="C3932" s="38" t="s">
        <v>6539</v>
      </c>
      <c r="D3932" s="38" t="str">
        <f>IFERROR(__xludf.DUMMYFUNCTION("REGEXREPLACE(C3932,""-\d+(.*)|--\d+(.*)"","""")"),"EVE")</f>
        <v>EVE</v>
      </c>
      <c r="E3932" s="38" t="s">
        <v>112</v>
      </c>
      <c r="F3932" s="38" t="s">
        <v>113</v>
      </c>
      <c r="G3932" s="49" t="str">
        <f t="shared" si="1"/>
        <v>60330</v>
      </c>
      <c r="H3932" s="49">
        <f t="shared" si="2"/>
        <v>60226</v>
      </c>
    </row>
    <row r="3933">
      <c r="A3933" s="48" t="s">
        <v>1947</v>
      </c>
      <c r="B3933" s="38">
        <v>52243.0</v>
      </c>
      <c r="C3933" s="38" t="s">
        <v>6540</v>
      </c>
      <c r="D3933" s="38" t="str">
        <f>IFERROR(__xludf.DUMMYFUNCTION("REGEXREPLACE(C3933,""-\d+(.*)|--\d+(.*)"","""")"),"HUILLIECOURT")</f>
        <v>HUILLIECOURT</v>
      </c>
      <c r="E3933" s="38" t="s">
        <v>234</v>
      </c>
      <c r="F3933" s="38" t="s">
        <v>130</v>
      </c>
      <c r="G3933" s="49" t="str">
        <f t="shared" si="1"/>
        <v>52150</v>
      </c>
      <c r="H3933" s="49">
        <f t="shared" si="2"/>
        <v>52243</v>
      </c>
    </row>
    <row r="3934">
      <c r="A3934" s="48" t="s">
        <v>6541</v>
      </c>
      <c r="B3934" s="38">
        <v>33498.0</v>
      </c>
      <c r="C3934" s="38" t="s">
        <v>1353</v>
      </c>
      <c r="D3934" s="38" t="str">
        <f>IFERROR(__xludf.DUMMYFUNCTION("REGEXREPLACE(C3934,""-\d+(.*)|--\d+(.*)"","""")"),"SALLES")</f>
        <v>SALLES</v>
      </c>
      <c r="E3934" s="38" t="s">
        <v>462</v>
      </c>
      <c r="F3934" s="38" t="s">
        <v>252</v>
      </c>
      <c r="G3934" s="49" t="str">
        <f t="shared" si="1"/>
        <v>33770</v>
      </c>
      <c r="H3934" s="49">
        <f t="shared" si="2"/>
        <v>33498</v>
      </c>
    </row>
    <row r="3935">
      <c r="A3935" s="48" t="s">
        <v>6542</v>
      </c>
      <c r="B3935" s="38">
        <v>40204.0</v>
      </c>
      <c r="C3935" s="38" t="s">
        <v>6543</v>
      </c>
      <c r="D3935" s="38" t="str">
        <f>IFERROR(__xludf.DUMMYFUNCTION("REGEXREPLACE(C3935,""-\d+(.*)|--\d+(.*)"","""")"),"NERBIS")</f>
        <v>NERBIS</v>
      </c>
      <c r="E3935" s="38" t="s">
        <v>281</v>
      </c>
      <c r="F3935" s="38" t="s">
        <v>252</v>
      </c>
      <c r="G3935" s="49" t="str">
        <f t="shared" si="1"/>
        <v>40250</v>
      </c>
      <c r="H3935" s="49">
        <f t="shared" si="2"/>
        <v>40204</v>
      </c>
    </row>
    <row r="3936">
      <c r="A3936" s="48" t="s">
        <v>6544</v>
      </c>
      <c r="B3936" s="38">
        <v>42193.0</v>
      </c>
      <c r="C3936" s="38" t="s">
        <v>6545</v>
      </c>
      <c r="D3936" s="38" t="str">
        <f>IFERROR(__xludf.DUMMYFUNCTION("REGEXREPLACE(C3936,""-\d+(.*)|--\d+(.*)"","""")"),"ROZIER-EN-DONZY")</f>
        <v>ROZIER-EN-DONZY</v>
      </c>
      <c r="E3936" s="38" t="s">
        <v>166</v>
      </c>
      <c r="F3936" s="38" t="s">
        <v>102</v>
      </c>
      <c r="G3936" s="49" t="str">
        <f t="shared" si="1"/>
        <v>42810</v>
      </c>
      <c r="H3936" s="49">
        <f t="shared" si="2"/>
        <v>42193</v>
      </c>
    </row>
    <row r="3937">
      <c r="A3937" s="48" t="s">
        <v>995</v>
      </c>
      <c r="B3937" s="38">
        <v>31061.0</v>
      </c>
      <c r="C3937" s="38" t="s">
        <v>6546</v>
      </c>
      <c r="D3937" s="38" t="str">
        <f>IFERROR(__xludf.DUMMYFUNCTION("REGEXREPLACE(C3937,""-\d+(.*)|--\d+(.*)"","""")"),"BELLEGARDE-SAINTE-MARIE")</f>
        <v>BELLEGARDE-SAINTE-MARIE</v>
      </c>
      <c r="E3937" s="38" t="s">
        <v>93</v>
      </c>
      <c r="F3937" s="38" t="s">
        <v>94</v>
      </c>
      <c r="G3937" s="49" t="str">
        <f t="shared" si="1"/>
        <v>31530</v>
      </c>
      <c r="H3937" s="49">
        <f t="shared" si="2"/>
        <v>31061</v>
      </c>
    </row>
    <row r="3938">
      <c r="A3938" s="48" t="s">
        <v>533</v>
      </c>
      <c r="B3938" s="38">
        <v>50635.0</v>
      </c>
      <c r="C3938" s="38" t="s">
        <v>6547</v>
      </c>
      <c r="D3938" s="38" t="str">
        <f>IFERROR(__xludf.DUMMYFUNCTION("REGEXREPLACE(C3938,""-\d+(.*)|--\d+(.*)"","""")"),"VIDOUVILLE")</f>
        <v>VIDOUVILLE</v>
      </c>
      <c r="E3938" s="38" t="s">
        <v>157</v>
      </c>
      <c r="F3938" s="38" t="s">
        <v>138</v>
      </c>
      <c r="G3938" s="49" t="str">
        <f t="shared" si="1"/>
        <v>50810</v>
      </c>
      <c r="H3938" s="49">
        <f t="shared" si="2"/>
        <v>50635</v>
      </c>
    </row>
    <row r="3939">
      <c r="A3939" s="48" t="s">
        <v>3224</v>
      </c>
      <c r="B3939" s="38">
        <v>54299.0</v>
      </c>
      <c r="C3939" s="38" t="s">
        <v>6548</v>
      </c>
      <c r="D3939" s="38" t="str">
        <f>IFERROR(__xludf.DUMMYFUNCTION("REGEXREPLACE(C3939,""-\d+(.*)|--\d+(.*)"","""")"),"LANEUVEVILLE-DEVANT-BAYON")</f>
        <v>LANEUVEVILLE-DEVANT-BAYON</v>
      </c>
      <c r="E3939" s="38" t="s">
        <v>548</v>
      </c>
      <c r="F3939" s="38" t="s">
        <v>195</v>
      </c>
      <c r="G3939" s="49" t="str">
        <f t="shared" si="1"/>
        <v>54740</v>
      </c>
      <c r="H3939" s="49">
        <f t="shared" si="2"/>
        <v>54299</v>
      </c>
    </row>
    <row r="3940">
      <c r="A3940" s="48" t="s">
        <v>6549</v>
      </c>
      <c r="B3940" s="38">
        <v>33487.0</v>
      </c>
      <c r="C3940" s="38" t="s">
        <v>6550</v>
      </c>
      <c r="D3940" s="38" t="str">
        <f>IFERROR(__xludf.DUMMYFUNCTION("REGEXREPLACE(C3940,""-\d+(.*)|--\d+(.*)"","""")"),"SAINT-VINCENT-DE-PAUL")</f>
        <v>SAINT-VINCENT-DE-PAUL</v>
      </c>
      <c r="E3940" s="38" t="s">
        <v>462</v>
      </c>
      <c r="F3940" s="38" t="s">
        <v>252</v>
      </c>
      <c r="G3940" s="49" t="str">
        <f t="shared" si="1"/>
        <v>33440</v>
      </c>
      <c r="H3940" s="49">
        <f t="shared" si="2"/>
        <v>33487</v>
      </c>
    </row>
    <row r="3941">
      <c r="A3941" s="48" t="s">
        <v>6016</v>
      </c>
      <c r="B3941" s="38">
        <v>57364.0</v>
      </c>
      <c r="C3941" s="38" t="s">
        <v>6551</v>
      </c>
      <c r="D3941" s="38" t="str">
        <f>IFERROR(__xludf.DUMMYFUNCTION("REGEXREPLACE(C3941,""-\d+(.*)|--\d+(.*)"","""")"),"KIRSCH-LES-SIERCK")</f>
        <v>KIRSCH-LES-SIERCK</v>
      </c>
      <c r="E3941" s="38" t="s">
        <v>303</v>
      </c>
      <c r="F3941" s="38" t="s">
        <v>195</v>
      </c>
      <c r="G3941" s="49" t="str">
        <f t="shared" si="1"/>
        <v>57480</v>
      </c>
      <c r="H3941" s="49">
        <f t="shared" si="2"/>
        <v>57364</v>
      </c>
    </row>
    <row r="3942">
      <c r="A3942" s="48" t="s">
        <v>6552</v>
      </c>
      <c r="B3942" s="38">
        <v>54257.0</v>
      </c>
      <c r="C3942" s="38" t="s">
        <v>6553</v>
      </c>
      <c r="D3942" s="38" t="str">
        <f>IFERROR(__xludf.DUMMYFUNCTION("REGEXREPLACE(C3942,""-\d+(.*)|--\d+(.*)"","""")"),"HEILLECOURT")</f>
        <v>HEILLECOURT</v>
      </c>
      <c r="E3942" s="38" t="s">
        <v>548</v>
      </c>
      <c r="F3942" s="38" t="s">
        <v>195</v>
      </c>
      <c r="G3942" s="49" t="str">
        <f t="shared" si="1"/>
        <v>54180</v>
      </c>
      <c r="H3942" s="49">
        <f t="shared" si="2"/>
        <v>54257</v>
      </c>
    </row>
    <row r="3943">
      <c r="A3943" s="48" t="s">
        <v>1435</v>
      </c>
      <c r="B3943" s="38">
        <v>14514.0</v>
      </c>
      <c r="C3943" s="38" t="s">
        <v>6554</v>
      </c>
      <c r="D3943" s="38" t="str">
        <f>IFERROR(__xludf.DUMMYFUNCTION("REGEXREPLACE(C3943,""-\d+(.*)|--\d+(.*)"","""")"),"PONT-L'EVEQUE")</f>
        <v>PONT-L'EVEQUE</v>
      </c>
      <c r="E3943" s="38" t="s">
        <v>137</v>
      </c>
      <c r="F3943" s="38" t="s">
        <v>138</v>
      </c>
      <c r="G3943" s="49" t="str">
        <f t="shared" si="1"/>
        <v>14130</v>
      </c>
      <c r="H3943" s="49">
        <f t="shared" si="2"/>
        <v>14514</v>
      </c>
    </row>
    <row r="3944">
      <c r="A3944" s="48" t="s">
        <v>6555</v>
      </c>
      <c r="B3944" s="38">
        <v>67418.0</v>
      </c>
      <c r="C3944" s="38" t="s">
        <v>6556</v>
      </c>
      <c r="D3944" s="38" t="str">
        <f>IFERROR(__xludf.DUMMYFUNCTION("REGEXREPLACE(C3944,""-\d+(.*)|--\d+(.*)"","""")"),"ROUNTZENHEIM")</f>
        <v>ROUNTZENHEIM</v>
      </c>
      <c r="E3944" s="38" t="s">
        <v>210</v>
      </c>
      <c r="F3944" s="38" t="s">
        <v>151</v>
      </c>
      <c r="G3944" s="49" t="str">
        <f t="shared" si="1"/>
        <v>67480</v>
      </c>
      <c r="H3944" s="49">
        <f t="shared" si="2"/>
        <v>67418</v>
      </c>
    </row>
    <row r="3945">
      <c r="A3945" s="48" t="s">
        <v>6557</v>
      </c>
      <c r="B3945" s="38">
        <v>82173.0</v>
      </c>
      <c r="C3945" s="38" t="s">
        <v>6558</v>
      </c>
      <c r="D3945" s="38" t="str">
        <f>IFERROR(__xludf.DUMMYFUNCTION("REGEXREPLACE(C3945,""-\d+(.*)|--\d+(.*)"","""")"),"SAINT-SARDOS")</f>
        <v>SAINT-SARDOS</v>
      </c>
      <c r="E3945" s="38" t="s">
        <v>570</v>
      </c>
      <c r="F3945" s="38" t="s">
        <v>94</v>
      </c>
      <c r="G3945" s="49" t="str">
        <f t="shared" si="1"/>
        <v>82600</v>
      </c>
      <c r="H3945" s="49">
        <f t="shared" si="2"/>
        <v>82173</v>
      </c>
    </row>
    <row r="3946">
      <c r="A3946" s="48" t="s">
        <v>4951</v>
      </c>
      <c r="B3946" s="38">
        <v>16415.0</v>
      </c>
      <c r="C3946" s="38" t="s">
        <v>6559</v>
      </c>
      <c r="D3946" s="38" t="str">
        <f>IFERROR(__xludf.DUMMYFUNCTION("REGEXREPLACE(C3946,""-\d+(.*)|--\d+(.*)"","""")"),"VINDELLE")</f>
        <v>VINDELLE</v>
      </c>
      <c r="E3946" s="38" t="s">
        <v>429</v>
      </c>
      <c r="F3946" s="38" t="s">
        <v>338</v>
      </c>
      <c r="G3946" s="49" t="str">
        <f t="shared" si="1"/>
        <v>16430</v>
      </c>
      <c r="H3946" s="49">
        <f t="shared" si="2"/>
        <v>16415</v>
      </c>
    </row>
    <row r="3947">
      <c r="A3947" s="48" t="s">
        <v>922</v>
      </c>
      <c r="B3947" s="38">
        <v>76535.0</v>
      </c>
      <c r="C3947" s="38" t="s">
        <v>6560</v>
      </c>
      <c r="D3947" s="38" t="str">
        <f>IFERROR(__xludf.DUMMYFUNCTION("REGEXREPLACE(C3947,""-\d+(.*)|--\d+(.*)"","""")"),"RONCHEROLLES-EN-BRAY")</f>
        <v>RONCHEROLLES-EN-BRAY</v>
      </c>
      <c r="E3947" s="38" t="s">
        <v>133</v>
      </c>
      <c r="F3947" s="38" t="s">
        <v>134</v>
      </c>
      <c r="G3947" s="49" t="str">
        <f t="shared" si="1"/>
        <v>76440</v>
      </c>
      <c r="H3947" s="49">
        <f t="shared" si="2"/>
        <v>76535</v>
      </c>
    </row>
    <row r="3948">
      <c r="A3948" s="48" t="s">
        <v>1293</v>
      </c>
      <c r="B3948" s="38">
        <v>25597.0</v>
      </c>
      <c r="C3948" s="38" t="s">
        <v>6561</v>
      </c>
      <c r="D3948" s="38" t="str">
        <f>IFERROR(__xludf.DUMMYFUNCTION("REGEXREPLACE(C3948,""-\d+(.*)|--\d+(.*)"","""")"),"VELLEVANS")</f>
        <v>VELLEVANS</v>
      </c>
      <c r="E3948" s="38" t="s">
        <v>213</v>
      </c>
      <c r="F3948" s="38" t="s">
        <v>214</v>
      </c>
      <c r="G3948" s="49" t="str">
        <f t="shared" si="1"/>
        <v>25430</v>
      </c>
      <c r="H3948" s="49">
        <f t="shared" si="2"/>
        <v>25597</v>
      </c>
    </row>
    <row r="3949">
      <c r="A3949" s="48" t="s">
        <v>3069</v>
      </c>
      <c r="B3949" s="38">
        <v>68233.0</v>
      </c>
      <c r="C3949" s="38" t="s">
        <v>6562</v>
      </c>
      <c r="D3949" s="38" t="str">
        <f>IFERROR(__xludf.DUMMYFUNCTION("REGEXREPLACE(C3949,""-\d+(.*)|--\d+(.*)"","""")"),"NIEDERBRUCK")</f>
        <v>NIEDERBRUCK</v>
      </c>
      <c r="E3949" s="38" t="s">
        <v>150</v>
      </c>
      <c r="F3949" s="38" t="s">
        <v>151</v>
      </c>
      <c r="G3949" s="49" t="str">
        <f t="shared" si="1"/>
        <v>68290</v>
      </c>
      <c r="H3949" s="49">
        <f t="shared" si="2"/>
        <v>68233</v>
      </c>
    </row>
    <row r="3950">
      <c r="A3950" s="48" t="s">
        <v>1469</v>
      </c>
      <c r="B3950" s="38">
        <v>71073.0</v>
      </c>
      <c r="C3950" s="38" t="s">
        <v>3178</v>
      </c>
      <c r="D3950" s="38" t="str">
        <f>IFERROR(__xludf.DUMMYFUNCTION("REGEXREPLACE(C3950,""-\d+(.*)|--\d+(.*)"","""")"),"CHAGNY")</f>
        <v>CHAGNY</v>
      </c>
      <c r="E3950" s="38" t="s">
        <v>344</v>
      </c>
      <c r="F3950" s="38" t="s">
        <v>106</v>
      </c>
      <c r="G3950" s="49" t="str">
        <f t="shared" si="1"/>
        <v>71150</v>
      </c>
      <c r="H3950" s="49">
        <f t="shared" si="2"/>
        <v>71073</v>
      </c>
    </row>
    <row r="3951">
      <c r="A3951" s="48" t="s">
        <v>1607</v>
      </c>
      <c r="B3951" s="38">
        <v>81242.0</v>
      </c>
      <c r="C3951" s="38" t="s">
        <v>2297</v>
      </c>
      <c r="D3951" s="38" t="str">
        <f>IFERROR(__xludf.DUMMYFUNCTION("REGEXREPLACE(C3951,""-\d+(.*)|--\d+(.*)"","""")"),"SAINT-AVIT")</f>
        <v>SAINT-AVIT</v>
      </c>
      <c r="E3951" s="38" t="s">
        <v>231</v>
      </c>
      <c r="F3951" s="38" t="s">
        <v>94</v>
      </c>
      <c r="G3951" s="49" t="str">
        <f t="shared" si="1"/>
        <v>81110</v>
      </c>
      <c r="H3951" s="49">
        <f t="shared" si="2"/>
        <v>81242</v>
      </c>
    </row>
    <row r="3952">
      <c r="A3952" s="48" t="s">
        <v>91</v>
      </c>
      <c r="B3952" s="38">
        <v>31226.0</v>
      </c>
      <c r="C3952" s="38" t="s">
        <v>6563</v>
      </c>
      <c r="D3952" s="38" t="str">
        <f>IFERROR(__xludf.DUMMYFUNCTION("REGEXREPLACE(C3952,""-\d+(.*)|--\d+(.*)"","""")"),"GOUZENS")</f>
        <v>GOUZENS</v>
      </c>
      <c r="E3952" s="38" t="s">
        <v>93</v>
      </c>
      <c r="F3952" s="38" t="s">
        <v>94</v>
      </c>
      <c r="G3952" s="49" t="str">
        <f t="shared" si="1"/>
        <v>31310</v>
      </c>
      <c r="H3952" s="49">
        <f t="shared" si="2"/>
        <v>31226</v>
      </c>
    </row>
    <row r="3953">
      <c r="A3953" s="48" t="s">
        <v>1459</v>
      </c>
      <c r="B3953" s="38">
        <v>29298.0</v>
      </c>
      <c r="C3953" s="38" t="s">
        <v>6564</v>
      </c>
      <c r="D3953" s="38" t="str">
        <f>IFERROR(__xludf.DUMMYFUNCTION("REGEXREPLACE(C3953,""-\d+(.*)|--\d+(.*)"","""")"),"TREOGAT")</f>
        <v>TREOGAT</v>
      </c>
      <c r="E3953" s="38" t="s">
        <v>176</v>
      </c>
      <c r="F3953" s="38" t="s">
        <v>90</v>
      </c>
      <c r="G3953" s="49" t="str">
        <f t="shared" si="1"/>
        <v>29720</v>
      </c>
      <c r="H3953" s="49">
        <f t="shared" si="2"/>
        <v>29298</v>
      </c>
    </row>
    <row r="3954">
      <c r="A3954" s="48" t="s">
        <v>4272</v>
      </c>
      <c r="B3954" s="38">
        <v>76648.0</v>
      </c>
      <c r="C3954" s="38" t="s">
        <v>6565</v>
      </c>
      <c r="D3954" s="38" t="str">
        <f>IFERROR(__xludf.DUMMYFUNCTION("REGEXREPLACE(C3954,""-\d+(.*)|--\d+(.*)"","""")"),"SAINT-SAENS")</f>
        <v>SAINT-SAENS</v>
      </c>
      <c r="E3954" s="38" t="s">
        <v>133</v>
      </c>
      <c r="F3954" s="38" t="s">
        <v>134</v>
      </c>
      <c r="G3954" s="49" t="str">
        <f t="shared" si="1"/>
        <v>76680</v>
      </c>
      <c r="H3954" s="49">
        <f t="shared" si="2"/>
        <v>76648</v>
      </c>
    </row>
    <row r="3955">
      <c r="A3955" s="48" t="s">
        <v>6566</v>
      </c>
      <c r="B3955" s="38">
        <v>49333.0</v>
      </c>
      <c r="C3955" s="38" t="s">
        <v>6567</v>
      </c>
      <c r="D3955" s="38" t="str">
        <f>IFERROR(__xludf.DUMMYFUNCTION("REGEXREPLACE(C3955,""-\d+(.*)|--\d+(.*)"","""")"),"SEICHES-SUR-LE-LOIR")</f>
        <v>SEICHES-SUR-LE-LOIR</v>
      </c>
      <c r="E3955" s="38" t="s">
        <v>653</v>
      </c>
      <c r="F3955" s="38" t="s">
        <v>180</v>
      </c>
      <c r="G3955" s="49" t="str">
        <f t="shared" si="1"/>
        <v>49140</v>
      </c>
      <c r="H3955" s="49">
        <f t="shared" si="2"/>
        <v>49333</v>
      </c>
    </row>
    <row r="3956">
      <c r="A3956" s="48" t="s">
        <v>5227</v>
      </c>
      <c r="B3956" s="38">
        <v>34169.0</v>
      </c>
      <c r="C3956" s="38" t="s">
        <v>6568</v>
      </c>
      <c r="D3956" s="38" t="str">
        <f>IFERROR(__xludf.DUMMYFUNCTION("REGEXREPLACE(C3956,""-\d+(.*)|--\d+(.*)"","""")"),"MONTFERRIER-SUR-LEZ")</f>
        <v>MONTFERRIER-SUR-LEZ</v>
      </c>
      <c r="E3956" s="38" t="s">
        <v>118</v>
      </c>
      <c r="F3956" s="38" t="s">
        <v>119</v>
      </c>
      <c r="G3956" s="49" t="str">
        <f t="shared" si="1"/>
        <v>34980</v>
      </c>
      <c r="H3956" s="49">
        <f t="shared" si="2"/>
        <v>34169</v>
      </c>
    </row>
    <row r="3957">
      <c r="A3957" s="48" t="s">
        <v>1246</v>
      </c>
      <c r="B3957" s="38">
        <v>62699.0</v>
      </c>
      <c r="C3957" s="38" t="s">
        <v>6569</v>
      </c>
      <c r="D3957" s="38" t="str">
        <f>IFERROR(__xludf.DUMMYFUNCTION("REGEXREPLACE(C3957,""-\d+(.*)|--\d+(.*)"","""")"),"RECQUES-SUR-HEM")</f>
        <v>RECQUES-SUR-HEM</v>
      </c>
      <c r="E3957" s="38" t="s">
        <v>109</v>
      </c>
      <c r="F3957" s="38" t="s">
        <v>86</v>
      </c>
      <c r="G3957" s="49" t="str">
        <f t="shared" si="1"/>
        <v>62890</v>
      </c>
      <c r="H3957" s="49">
        <f t="shared" si="2"/>
        <v>62699</v>
      </c>
    </row>
    <row r="3958">
      <c r="A3958" s="48" t="s">
        <v>6570</v>
      </c>
      <c r="B3958" s="38">
        <v>33284.0</v>
      </c>
      <c r="C3958" s="38" t="s">
        <v>6571</v>
      </c>
      <c r="D3958" s="38" t="str">
        <f>IFERROR(__xludf.DUMMYFUNCTION("REGEXREPLACE(C3958,""-\d+(.*)|--\d+(.*)"","""")"),"MIOS")</f>
        <v>MIOS</v>
      </c>
      <c r="E3958" s="38" t="s">
        <v>462</v>
      </c>
      <c r="F3958" s="38" t="s">
        <v>252</v>
      </c>
      <c r="G3958" s="49" t="str">
        <f t="shared" si="1"/>
        <v>33380</v>
      </c>
      <c r="H3958" s="49">
        <f t="shared" si="2"/>
        <v>33284</v>
      </c>
    </row>
    <row r="3959">
      <c r="A3959" s="48" t="s">
        <v>6572</v>
      </c>
      <c r="B3959" s="38">
        <v>31454.0</v>
      </c>
      <c r="C3959" s="38" t="s">
        <v>6573</v>
      </c>
      <c r="D3959" s="38" t="str">
        <f>IFERROR(__xludf.DUMMYFUNCTION("REGEXREPLACE(C3959,""-\d+(.*)|--\d+(.*)"","""")"),"RIEUMES")</f>
        <v>RIEUMES</v>
      </c>
      <c r="E3959" s="38" t="s">
        <v>93</v>
      </c>
      <c r="F3959" s="38" t="s">
        <v>94</v>
      </c>
      <c r="G3959" s="49" t="str">
        <f t="shared" si="1"/>
        <v>31370</v>
      </c>
      <c r="H3959" s="49">
        <f t="shared" si="2"/>
        <v>31454</v>
      </c>
    </row>
    <row r="3960">
      <c r="A3960" s="48" t="s">
        <v>2899</v>
      </c>
      <c r="B3960" s="38">
        <v>15012.0</v>
      </c>
      <c r="C3960" s="38" t="s">
        <v>6574</v>
      </c>
      <c r="D3960" s="38" t="str">
        <f>IFERROR(__xludf.DUMMYFUNCTION("REGEXREPLACE(C3960,""-\d+(.*)|--\d+(.*)"","""")"),"ARPAJON-SUR-CERE")</f>
        <v>ARPAJON-SUR-CERE</v>
      </c>
      <c r="E3960" s="38" t="s">
        <v>632</v>
      </c>
      <c r="F3960" s="38" t="s">
        <v>161</v>
      </c>
      <c r="G3960" s="49" t="str">
        <f t="shared" si="1"/>
        <v>15130</v>
      </c>
      <c r="H3960" s="49">
        <f t="shared" si="2"/>
        <v>15012</v>
      </c>
    </row>
    <row r="3961">
      <c r="A3961" s="48" t="s">
        <v>3065</v>
      </c>
      <c r="B3961" s="38">
        <v>7037.0</v>
      </c>
      <c r="C3961" s="38" t="s">
        <v>6575</v>
      </c>
      <c r="D3961" s="38" t="str">
        <f>IFERROR(__xludf.DUMMYFUNCTION("REGEXREPLACE(C3961,""-\d+(.*)|--\d+(.*)"","""")"),"BOREE")</f>
        <v>BOREE</v>
      </c>
      <c r="E3961" s="38" t="s">
        <v>144</v>
      </c>
      <c r="F3961" s="38" t="s">
        <v>102</v>
      </c>
      <c r="G3961" s="49" t="str">
        <f t="shared" si="1"/>
        <v>07310</v>
      </c>
      <c r="H3961" s="49" t="str">
        <f t="shared" si="2"/>
        <v>07037</v>
      </c>
    </row>
    <row r="3962">
      <c r="A3962" s="48" t="s">
        <v>1100</v>
      </c>
      <c r="B3962" s="38">
        <v>8309.0</v>
      </c>
      <c r="C3962" s="38" t="s">
        <v>6576</v>
      </c>
      <c r="D3962" s="38" t="str">
        <f>IFERROR(__xludf.DUMMYFUNCTION("REGEXREPLACE(C3962,""-\d+(.*)|--\d+(.*)"","""")"),"MONT-SAINT-REMY")</f>
        <v>MONT-SAINT-REMY</v>
      </c>
      <c r="E3962" s="38" t="s">
        <v>327</v>
      </c>
      <c r="F3962" s="38" t="s">
        <v>130</v>
      </c>
      <c r="G3962" s="49" t="str">
        <f t="shared" si="1"/>
        <v>08310</v>
      </c>
      <c r="H3962" s="49" t="str">
        <f t="shared" si="2"/>
        <v>08309</v>
      </c>
    </row>
    <row r="3963">
      <c r="A3963" s="48" t="s">
        <v>942</v>
      </c>
      <c r="B3963" s="38">
        <v>2477.0</v>
      </c>
      <c r="C3963" s="38" t="s">
        <v>6577</v>
      </c>
      <c r="D3963" s="38" t="str">
        <f>IFERROR(__xludf.DUMMYFUNCTION("REGEXREPLACE(C3963,""-\d+(.*)|--\d+(.*)"","""")"),"MERCIN-ET-VAUX")</f>
        <v>MERCIN-ET-VAUX</v>
      </c>
      <c r="E3963" s="38" t="s">
        <v>191</v>
      </c>
      <c r="F3963" s="38" t="s">
        <v>113</v>
      </c>
      <c r="G3963" s="49" t="str">
        <f t="shared" si="1"/>
        <v>02200</v>
      </c>
      <c r="H3963" s="49" t="str">
        <f t="shared" si="2"/>
        <v>02477</v>
      </c>
    </row>
    <row r="3964">
      <c r="A3964" s="48" t="s">
        <v>6578</v>
      </c>
      <c r="B3964" s="38">
        <v>89443.0</v>
      </c>
      <c r="C3964" s="38" t="s">
        <v>6579</v>
      </c>
      <c r="D3964" s="38" t="str">
        <f>IFERROR(__xludf.DUMMYFUNCTION("REGEXREPLACE(C3964,""-\d+(.*)|--\d+(.*)"","""")"),"VERON")</f>
        <v>VERON</v>
      </c>
      <c r="E3964" s="38" t="s">
        <v>275</v>
      </c>
      <c r="F3964" s="38" t="s">
        <v>106</v>
      </c>
      <c r="G3964" s="49" t="str">
        <f t="shared" si="1"/>
        <v>89510</v>
      </c>
      <c r="H3964" s="49">
        <f t="shared" si="2"/>
        <v>89443</v>
      </c>
    </row>
    <row r="3965">
      <c r="A3965" s="48" t="s">
        <v>1679</v>
      </c>
      <c r="B3965" s="38">
        <v>51361.0</v>
      </c>
      <c r="C3965" s="38" t="s">
        <v>6580</v>
      </c>
      <c r="D3965" s="38" t="str">
        <f>IFERROR(__xludf.DUMMYFUNCTION("REGEXREPLACE(C3965,""-\d+(.*)|--\d+(.*)"","""")"),"LE MEIX-TIERCELIN")</f>
        <v>LE MEIX-TIERCELIN</v>
      </c>
      <c r="E3965" s="38" t="s">
        <v>129</v>
      </c>
      <c r="F3965" s="38" t="s">
        <v>130</v>
      </c>
      <c r="G3965" s="49" t="str">
        <f t="shared" si="1"/>
        <v>51320</v>
      </c>
      <c r="H3965" s="49">
        <f t="shared" si="2"/>
        <v>51361</v>
      </c>
    </row>
    <row r="3966">
      <c r="A3966" s="48" t="s">
        <v>6581</v>
      </c>
      <c r="B3966" s="38">
        <v>91315.0</v>
      </c>
      <c r="C3966" s="38" t="s">
        <v>6582</v>
      </c>
      <c r="D3966" s="38" t="str">
        <f>IFERROR(__xludf.DUMMYFUNCTION("REGEXREPLACE(C3966,""-\d+(.*)|--\d+(.*)"","""")"),"ITTEVILLE")</f>
        <v>ITTEVILLE</v>
      </c>
      <c r="E3966" s="38" t="s">
        <v>756</v>
      </c>
      <c r="F3966" s="38" t="s">
        <v>245</v>
      </c>
      <c r="G3966" s="49" t="str">
        <f t="shared" si="1"/>
        <v>91760</v>
      </c>
      <c r="H3966" s="49">
        <f t="shared" si="2"/>
        <v>91315</v>
      </c>
    </row>
    <row r="3967">
      <c r="A3967" s="48" t="s">
        <v>1688</v>
      </c>
      <c r="B3967" s="38">
        <v>76118.0</v>
      </c>
      <c r="C3967" s="38" t="s">
        <v>6583</v>
      </c>
      <c r="D3967" s="38" t="str">
        <f>IFERROR(__xludf.DUMMYFUNCTION("REGEXREPLACE(C3967,""-\d+(.*)|--\d+(.*)"","""")"),"BORNAMBUSC")</f>
        <v>BORNAMBUSC</v>
      </c>
      <c r="E3967" s="38" t="s">
        <v>133</v>
      </c>
      <c r="F3967" s="38" t="s">
        <v>134</v>
      </c>
      <c r="G3967" s="49" t="str">
        <f t="shared" si="1"/>
        <v>76110</v>
      </c>
      <c r="H3967" s="49">
        <f t="shared" si="2"/>
        <v>76118</v>
      </c>
    </row>
    <row r="3968">
      <c r="A3968" s="48" t="s">
        <v>3046</v>
      </c>
      <c r="B3968" s="38">
        <v>70528.0</v>
      </c>
      <c r="C3968" s="38" t="s">
        <v>6584</v>
      </c>
      <c r="D3968" s="38" t="str">
        <f>IFERROR(__xludf.DUMMYFUNCTION("REGEXREPLACE(C3968,""-\d+(.*)|--\d+(.*)"","""")"),"VELESMES-ECHEVANNE")</f>
        <v>VELESMES-ECHEVANNE</v>
      </c>
      <c r="E3968" s="38" t="s">
        <v>956</v>
      </c>
      <c r="F3968" s="38" t="s">
        <v>214</v>
      </c>
      <c r="G3968" s="49" t="str">
        <f t="shared" si="1"/>
        <v>70100</v>
      </c>
      <c r="H3968" s="49">
        <f t="shared" si="2"/>
        <v>70528</v>
      </c>
    </row>
    <row r="3969">
      <c r="A3969" s="48" t="s">
        <v>803</v>
      </c>
      <c r="B3969" s="38">
        <v>1372.0</v>
      </c>
      <c r="C3969" s="38" t="s">
        <v>6585</v>
      </c>
      <c r="D3969" s="38" t="str">
        <f>IFERROR(__xludf.DUMMYFUNCTION("REGEXREPLACE(C3969,""-\d+(.*)|--\d+(.*)"","""")"),"SAINT-MARTIN-DE-BAVEL")</f>
        <v>SAINT-MARTIN-DE-BAVEL</v>
      </c>
      <c r="E3969" s="38" t="s">
        <v>255</v>
      </c>
      <c r="F3969" s="38" t="s">
        <v>102</v>
      </c>
      <c r="G3969" s="49" t="str">
        <f t="shared" si="1"/>
        <v>01510</v>
      </c>
      <c r="H3969" s="49" t="str">
        <f t="shared" si="2"/>
        <v>01372</v>
      </c>
    </row>
    <row r="3970">
      <c r="A3970" s="48" t="s">
        <v>6586</v>
      </c>
      <c r="B3970" s="38">
        <v>82060.0</v>
      </c>
      <c r="C3970" s="38" t="s">
        <v>6587</v>
      </c>
      <c r="D3970" s="38" t="str">
        <f>IFERROR(__xludf.DUMMYFUNCTION("REGEXREPLACE(C3970,""-\d+(.*)|--\d+(.*)"","""")"),"FAUROUX")</f>
        <v>FAUROUX</v>
      </c>
      <c r="E3970" s="38" t="s">
        <v>570</v>
      </c>
      <c r="F3970" s="38" t="s">
        <v>94</v>
      </c>
      <c r="G3970" s="49" t="str">
        <f t="shared" si="1"/>
        <v>82190</v>
      </c>
      <c r="H3970" s="49">
        <f t="shared" si="2"/>
        <v>82060</v>
      </c>
    </row>
    <row r="3971">
      <c r="A3971" s="48" t="s">
        <v>325</v>
      </c>
      <c r="B3971" s="38">
        <v>8360.0</v>
      </c>
      <c r="C3971" s="38" t="s">
        <v>6588</v>
      </c>
      <c r="D3971" s="38" t="str">
        <f>IFERROR(__xludf.DUMMYFUNCTION("REGEXREPLACE(C3971,""-\d+(.*)|--\d+(.*)"","""")"),"RENNEVILLE")</f>
        <v>RENNEVILLE</v>
      </c>
      <c r="E3971" s="38" t="s">
        <v>327</v>
      </c>
      <c r="F3971" s="38" t="s">
        <v>130</v>
      </c>
      <c r="G3971" s="49" t="str">
        <f t="shared" si="1"/>
        <v>08220</v>
      </c>
      <c r="H3971" s="49" t="str">
        <f t="shared" si="2"/>
        <v>08360</v>
      </c>
    </row>
    <row r="3972">
      <c r="A3972" s="48" t="s">
        <v>1126</v>
      </c>
      <c r="B3972" s="38">
        <v>44119.0</v>
      </c>
      <c r="C3972" s="38" t="s">
        <v>6589</v>
      </c>
      <c r="D3972" s="38" t="str">
        <f>IFERROR(__xludf.DUMMYFUNCTION("REGEXREPLACE(C3972,""-\d+(.*)|--\d+(.*)"","""")"),"PAULX")</f>
        <v>PAULX</v>
      </c>
      <c r="E3972" s="38" t="s">
        <v>759</v>
      </c>
      <c r="F3972" s="38" t="s">
        <v>180</v>
      </c>
      <c r="G3972" s="49" t="str">
        <f t="shared" si="1"/>
        <v>44270</v>
      </c>
      <c r="H3972" s="49">
        <f t="shared" si="2"/>
        <v>44119</v>
      </c>
    </row>
    <row r="3973">
      <c r="A3973" s="48" t="s">
        <v>2655</v>
      </c>
      <c r="B3973" s="38">
        <v>52425.0</v>
      </c>
      <c r="C3973" s="38" t="s">
        <v>6590</v>
      </c>
      <c r="D3973" s="38" t="str">
        <f>IFERROR(__xludf.DUMMYFUNCTION("REGEXREPLACE(C3973,""-\d+(.*)|--\d+(.*)"","""")"),"RIVIERE-LES-FOSSES")</f>
        <v>RIVIERE-LES-FOSSES</v>
      </c>
      <c r="E3973" s="38" t="s">
        <v>234</v>
      </c>
      <c r="F3973" s="38" t="s">
        <v>130</v>
      </c>
      <c r="G3973" s="49" t="str">
        <f t="shared" si="1"/>
        <v>52190</v>
      </c>
      <c r="H3973" s="49">
        <f t="shared" si="2"/>
        <v>52425</v>
      </c>
    </row>
    <row r="3974">
      <c r="A3974" s="48" t="s">
        <v>1628</v>
      </c>
      <c r="B3974" s="38">
        <v>70291.0</v>
      </c>
      <c r="C3974" s="38" t="s">
        <v>6591</v>
      </c>
      <c r="D3974" s="38" t="str">
        <f>IFERROR(__xludf.DUMMYFUNCTION("REGEXREPLACE(C3974,""-\d+(.*)|--\d+(.*)"","""")"),"JONVELLE")</f>
        <v>JONVELLE</v>
      </c>
      <c r="E3974" s="38" t="s">
        <v>956</v>
      </c>
      <c r="F3974" s="38" t="s">
        <v>214</v>
      </c>
      <c r="G3974" s="49" t="str">
        <f t="shared" si="1"/>
        <v>70500</v>
      </c>
      <c r="H3974" s="49">
        <f t="shared" si="2"/>
        <v>70291</v>
      </c>
    </row>
    <row r="3975">
      <c r="A3975" s="48" t="s">
        <v>6592</v>
      </c>
      <c r="B3975" s="38">
        <v>5008.0</v>
      </c>
      <c r="C3975" s="38" t="s">
        <v>6593</v>
      </c>
      <c r="D3975" s="38" t="str">
        <f>IFERROR(__xludf.DUMMYFUNCTION("REGEXREPLACE(C3975,""-\d+(.*)|--\d+(.*)"","""")"),"ASPREMONT")</f>
        <v>ASPREMONT</v>
      </c>
      <c r="E3975" s="38" t="s">
        <v>706</v>
      </c>
      <c r="F3975" s="38" t="s">
        <v>228</v>
      </c>
      <c r="G3975" s="49" t="str">
        <f t="shared" si="1"/>
        <v>05140</v>
      </c>
      <c r="H3975" s="49" t="str">
        <f t="shared" si="2"/>
        <v>05008</v>
      </c>
    </row>
    <row r="3976">
      <c r="A3976" s="48" t="s">
        <v>6047</v>
      </c>
      <c r="B3976" s="38">
        <v>38324.0</v>
      </c>
      <c r="C3976" s="38" t="s">
        <v>6594</v>
      </c>
      <c r="D3976" s="38" t="str">
        <f>IFERROR(__xludf.DUMMYFUNCTION("REGEXREPLACE(C3976,""-\d+(.*)|--\d+(.*)"","""")"),"PRIMARETTE")</f>
        <v>PRIMARETTE</v>
      </c>
      <c r="E3976" s="38" t="s">
        <v>101</v>
      </c>
      <c r="F3976" s="38" t="s">
        <v>102</v>
      </c>
      <c r="G3976" s="49" t="str">
        <f t="shared" si="1"/>
        <v>38270</v>
      </c>
      <c r="H3976" s="49">
        <f t="shared" si="2"/>
        <v>38324</v>
      </c>
    </row>
    <row r="3977">
      <c r="A3977" s="48" t="s">
        <v>698</v>
      </c>
      <c r="B3977" s="38">
        <v>11133.0</v>
      </c>
      <c r="C3977" s="38" t="s">
        <v>6595</v>
      </c>
      <c r="D3977" s="38" t="str">
        <f>IFERROR(__xludf.DUMMYFUNCTION("REGEXREPLACE(C3977,""-\d+(.*)|--\d+(.*)"","""")"),"FAJAC-EN-VAL")</f>
        <v>FAJAC-EN-VAL</v>
      </c>
      <c r="E3977" s="38" t="s">
        <v>278</v>
      </c>
      <c r="F3977" s="38" t="s">
        <v>119</v>
      </c>
      <c r="G3977" s="49" t="str">
        <f t="shared" si="1"/>
        <v>11220</v>
      </c>
      <c r="H3977" s="49">
        <f t="shared" si="2"/>
        <v>11133</v>
      </c>
    </row>
    <row r="3978">
      <c r="A3978" s="48" t="s">
        <v>6596</v>
      </c>
      <c r="B3978" s="38">
        <v>18149.0</v>
      </c>
      <c r="C3978" s="38" t="s">
        <v>6597</v>
      </c>
      <c r="D3978" s="38" t="str">
        <f>IFERROR(__xludf.DUMMYFUNCTION("REGEXREPLACE(C3978,""-\d+(.*)|--\d+(.*)"","""")"),"MERY-ES-BOIS")</f>
        <v>MERY-ES-BOIS</v>
      </c>
      <c r="E3978" s="38" t="s">
        <v>504</v>
      </c>
      <c r="F3978" s="38" t="s">
        <v>123</v>
      </c>
      <c r="G3978" s="49" t="str">
        <f t="shared" si="1"/>
        <v>18380</v>
      </c>
      <c r="H3978" s="49">
        <f t="shared" si="2"/>
        <v>18149</v>
      </c>
    </row>
    <row r="3979">
      <c r="A3979" s="48" t="s">
        <v>6598</v>
      </c>
      <c r="B3979" s="38">
        <v>80387.0</v>
      </c>
      <c r="C3979" s="38" t="s">
        <v>6599</v>
      </c>
      <c r="D3979" s="38" t="str">
        <f>IFERROR(__xludf.DUMMYFUNCTION("REGEXREPLACE(C3979,""-\d+(.*)|--\d+(.*)"","""")"),"GRATTEPANCHE")</f>
        <v>GRATTEPANCHE</v>
      </c>
      <c r="E3979" s="38" t="s">
        <v>224</v>
      </c>
      <c r="F3979" s="38" t="s">
        <v>113</v>
      </c>
      <c r="G3979" s="49" t="str">
        <f t="shared" si="1"/>
        <v>80680</v>
      </c>
      <c r="H3979" s="49">
        <f t="shared" si="2"/>
        <v>80387</v>
      </c>
    </row>
    <row r="3980">
      <c r="A3980" s="48" t="s">
        <v>898</v>
      </c>
      <c r="B3980" s="38">
        <v>54236.0</v>
      </c>
      <c r="C3980" s="38" t="s">
        <v>6600</v>
      </c>
      <c r="D3980" s="38" t="str">
        <f>IFERROR(__xludf.DUMMYFUNCTION("REGEXREPLACE(C3980,""-\d+(.*)|--\d+(.*)"","""")"),"GRAND-FAILLY")</f>
        <v>GRAND-FAILLY</v>
      </c>
      <c r="E3980" s="38" t="s">
        <v>548</v>
      </c>
      <c r="F3980" s="38" t="s">
        <v>195</v>
      </c>
      <c r="G3980" s="49" t="str">
        <f t="shared" si="1"/>
        <v>54260</v>
      </c>
      <c r="H3980" s="49">
        <f t="shared" si="2"/>
        <v>54236</v>
      </c>
    </row>
    <row r="3981">
      <c r="A3981" s="48" t="s">
        <v>463</v>
      </c>
      <c r="B3981" s="38">
        <v>12216.0</v>
      </c>
      <c r="C3981" s="38" t="s">
        <v>6601</v>
      </c>
      <c r="D3981" s="38" t="str">
        <f>IFERROR(__xludf.DUMMYFUNCTION("REGEXREPLACE(C3981,""-\d+(.*)|--\d+(.*)"","""")"),"SAINT-COME-D'OLT")</f>
        <v>SAINT-COME-D'OLT</v>
      </c>
      <c r="E3981" s="38" t="s">
        <v>465</v>
      </c>
      <c r="F3981" s="38" t="s">
        <v>94</v>
      </c>
      <c r="G3981" s="49" t="str">
        <f t="shared" si="1"/>
        <v>12500</v>
      </c>
      <c r="H3981" s="49">
        <f t="shared" si="2"/>
        <v>12216</v>
      </c>
    </row>
    <row r="3982">
      <c r="A3982" s="48" t="s">
        <v>4941</v>
      </c>
      <c r="B3982" s="38">
        <v>89294.0</v>
      </c>
      <c r="C3982" s="38" t="s">
        <v>165</v>
      </c>
      <c r="D3982" s="38" t="str">
        <f>IFERROR(__xludf.DUMMYFUNCTION("REGEXREPLACE(C3982,""-\d+(.*)|--\d+(.*)"","""")"),"PERREUX")</f>
        <v>PERREUX</v>
      </c>
      <c r="E3982" s="38" t="s">
        <v>275</v>
      </c>
      <c r="F3982" s="38" t="s">
        <v>106</v>
      </c>
      <c r="G3982" s="49" t="str">
        <f t="shared" si="1"/>
        <v>89120</v>
      </c>
      <c r="H3982" s="49">
        <f t="shared" si="2"/>
        <v>89294</v>
      </c>
    </row>
    <row r="3983">
      <c r="A3983" s="48" t="s">
        <v>6602</v>
      </c>
      <c r="B3983" s="38">
        <v>68316.0</v>
      </c>
      <c r="C3983" s="38" t="s">
        <v>6603</v>
      </c>
      <c r="D3983" s="38" t="str">
        <f>IFERROR(__xludf.DUMMYFUNCTION("REGEXREPLACE(C3983,""-\d+(.*)|--\d+(.*)"","""")"),"SOULTZBACH-LES-BAINS")</f>
        <v>SOULTZBACH-LES-BAINS</v>
      </c>
      <c r="E3983" s="38" t="s">
        <v>150</v>
      </c>
      <c r="F3983" s="38" t="s">
        <v>151</v>
      </c>
      <c r="G3983" s="49" t="str">
        <f t="shared" si="1"/>
        <v>68230</v>
      </c>
      <c r="H3983" s="49">
        <f t="shared" si="2"/>
        <v>68316</v>
      </c>
    </row>
    <row r="3984">
      <c r="A3984" s="48" t="s">
        <v>707</v>
      </c>
      <c r="B3984" s="38">
        <v>61257.0</v>
      </c>
      <c r="C3984" s="38" t="s">
        <v>6604</v>
      </c>
      <c r="D3984" s="38" t="str">
        <f>IFERROR(__xludf.DUMMYFUNCTION("REGEXREPLACE(C3984,""-\d+(.*)|--\d+(.*)"","""")"),"MEHOUDIN")</f>
        <v>MEHOUDIN</v>
      </c>
      <c r="E3984" s="38" t="s">
        <v>141</v>
      </c>
      <c r="F3984" s="38" t="s">
        <v>138</v>
      </c>
      <c r="G3984" s="49" t="str">
        <f t="shared" si="1"/>
        <v>61410</v>
      </c>
      <c r="H3984" s="49">
        <f t="shared" si="2"/>
        <v>61257</v>
      </c>
    </row>
    <row r="3985">
      <c r="A3985" s="48" t="s">
        <v>266</v>
      </c>
      <c r="B3985" s="38">
        <v>64311.0</v>
      </c>
      <c r="C3985" s="38" t="s">
        <v>6605</v>
      </c>
      <c r="D3985" s="38" t="str">
        <f>IFERROR(__xludf.DUMMYFUNCTION("REGEXREPLACE(C3985,""-\d+(.*)|--\d+(.*)"","""")"),"LANNECAUBE")</f>
        <v>LANNECAUBE</v>
      </c>
      <c r="E3985" s="38" t="s">
        <v>268</v>
      </c>
      <c r="F3985" s="38" t="s">
        <v>252</v>
      </c>
      <c r="G3985" s="49" t="str">
        <f t="shared" si="1"/>
        <v>64350</v>
      </c>
      <c r="H3985" s="49">
        <f t="shared" si="2"/>
        <v>64311</v>
      </c>
    </row>
    <row r="3986">
      <c r="A3986" s="48" t="s">
        <v>6606</v>
      </c>
      <c r="B3986" s="38">
        <v>25240.0</v>
      </c>
      <c r="C3986" s="38" t="s">
        <v>6607</v>
      </c>
      <c r="D3986" s="38" t="str">
        <f>IFERROR(__xludf.DUMMYFUNCTION("REGEXREPLACE(C3986,""-\d+(.*)|--\d+(.*)"","""")"),"LES FINS")</f>
        <v>LES FINS</v>
      </c>
      <c r="E3986" s="38" t="s">
        <v>213</v>
      </c>
      <c r="F3986" s="38" t="s">
        <v>214</v>
      </c>
      <c r="G3986" s="49" t="str">
        <f t="shared" si="1"/>
        <v>25500</v>
      </c>
      <c r="H3986" s="49">
        <f t="shared" si="2"/>
        <v>25240</v>
      </c>
    </row>
    <row r="3987">
      <c r="A3987" s="48" t="s">
        <v>6608</v>
      </c>
      <c r="B3987" s="38">
        <v>13006.0</v>
      </c>
      <c r="C3987" s="38" t="s">
        <v>6609</v>
      </c>
      <c r="D3987" s="38" t="str">
        <f>IFERROR(__xludf.DUMMYFUNCTION("REGEXREPLACE(C3987,""-\d+(.*)|--\d+(.*)"","""")"),"AUREILLE")</f>
        <v>AUREILLE</v>
      </c>
      <c r="E3987" s="38" t="s">
        <v>980</v>
      </c>
      <c r="F3987" s="38" t="s">
        <v>228</v>
      </c>
      <c r="G3987" s="49" t="str">
        <f t="shared" si="1"/>
        <v>13930</v>
      </c>
      <c r="H3987" s="49">
        <f t="shared" si="2"/>
        <v>13006</v>
      </c>
    </row>
    <row r="3988">
      <c r="A3988" s="48" t="s">
        <v>1874</v>
      </c>
      <c r="B3988" s="38">
        <v>73096.0</v>
      </c>
      <c r="C3988" s="38" t="s">
        <v>6610</v>
      </c>
      <c r="D3988" s="38" t="str">
        <f>IFERROR(__xludf.DUMMYFUNCTION("REGEXREPLACE(C3988,""-\d+(.*)|--\d+(.*)"","""")"),"CRUET")</f>
        <v>CRUET</v>
      </c>
      <c r="E3988" s="38" t="s">
        <v>306</v>
      </c>
      <c r="F3988" s="38" t="s">
        <v>102</v>
      </c>
      <c r="G3988" s="49" t="str">
        <f t="shared" si="1"/>
        <v>73800</v>
      </c>
      <c r="H3988" s="49">
        <f t="shared" si="2"/>
        <v>73096</v>
      </c>
    </row>
    <row r="3989">
      <c r="A3989" s="48" t="s">
        <v>6107</v>
      </c>
      <c r="B3989" s="38">
        <v>61038.0</v>
      </c>
      <c r="C3989" s="38" t="s">
        <v>6611</v>
      </c>
      <c r="D3989" s="38" t="str">
        <f>IFERROR(__xludf.DUMMYFUNCTION("REGEXREPLACE(C3989,""-\d+(.*)|--\d+(.*)"","""")"),"BELLEME")</f>
        <v>BELLEME</v>
      </c>
      <c r="E3989" s="38" t="s">
        <v>141</v>
      </c>
      <c r="F3989" s="38" t="s">
        <v>138</v>
      </c>
      <c r="G3989" s="49" t="str">
        <f t="shared" si="1"/>
        <v>61130</v>
      </c>
      <c r="H3989" s="49">
        <f t="shared" si="2"/>
        <v>61038</v>
      </c>
    </row>
    <row r="3990">
      <c r="A3990" s="48" t="s">
        <v>2563</v>
      </c>
      <c r="B3990" s="38">
        <v>76243.0</v>
      </c>
      <c r="C3990" s="38" t="s">
        <v>6612</v>
      </c>
      <c r="D3990" s="38" t="str">
        <f>IFERROR(__xludf.DUMMYFUNCTION("REGEXREPLACE(C3990,""-\d+(.*)|--\d+(.*)"","""")"),"ERNEMONT-SUR-BUCHY")</f>
        <v>ERNEMONT-SUR-BUCHY</v>
      </c>
      <c r="E3990" s="38" t="s">
        <v>133</v>
      </c>
      <c r="F3990" s="38" t="s">
        <v>134</v>
      </c>
      <c r="G3990" s="49" t="str">
        <f t="shared" si="1"/>
        <v>76750</v>
      </c>
      <c r="H3990" s="49">
        <f t="shared" si="2"/>
        <v>76243</v>
      </c>
    </row>
    <row r="3991">
      <c r="A3991" s="48" t="s">
        <v>6613</v>
      </c>
      <c r="B3991" s="38">
        <v>61402.0</v>
      </c>
      <c r="C3991" s="38" t="s">
        <v>6614</v>
      </c>
      <c r="D3991" s="38" t="str">
        <f>IFERROR(__xludf.DUMMYFUNCTION("REGEXREPLACE(C3991,""-\d+(.*)|--\d+(.*)"","""")"),"SAINT-HILAIRE-DE-BRIOUZE")</f>
        <v>SAINT-HILAIRE-DE-BRIOUZE</v>
      </c>
      <c r="E3991" s="38" t="s">
        <v>141</v>
      </c>
      <c r="F3991" s="38" t="s">
        <v>138</v>
      </c>
      <c r="G3991" s="49" t="str">
        <f t="shared" si="1"/>
        <v>61220</v>
      </c>
      <c r="H3991" s="49">
        <f t="shared" si="2"/>
        <v>61402</v>
      </c>
    </row>
    <row r="3992">
      <c r="A3992" s="48" t="s">
        <v>6615</v>
      </c>
      <c r="B3992" s="38">
        <v>65419.0</v>
      </c>
      <c r="C3992" s="38" t="s">
        <v>6616</v>
      </c>
      <c r="D3992" s="38" t="str">
        <f>IFERROR(__xludf.DUMMYFUNCTION("REGEXREPLACE(C3992,""-\d+(.*)|--\d+(.*)"","""")"),"SENTOUS")</f>
        <v>SENTOUS</v>
      </c>
      <c r="E3992" s="38" t="s">
        <v>200</v>
      </c>
      <c r="F3992" s="38" t="s">
        <v>94</v>
      </c>
      <c r="G3992" s="49" t="str">
        <f t="shared" si="1"/>
        <v>65330</v>
      </c>
      <c r="H3992" s="49">
        <f t="shared" si="2"/>
        <v>65419</v>
      </c>
    </row>
    <row r="3993">
      <c r="A3993" s="48" t="s">
        <v>3808</v>
      </c>
      <c r="B3993" s="38">
        <v>86176.0</v>
      </c>
      <c r="C3993" s="38" t="s">
        <v>6617</v>
      </c>
      <c r="D3993" s="38" t="str">
        <f>IFERROR(__xludf.DUMMYFUNCTION("REGEXREPLACE(C3993,""-\d+(.*)|--\d+(.*)"","""")"),"NERIGNAC")</f>
        <v>NERIGNAC</v>
      </c>
      <c r="E3993" s="38" t="s">
        <v>529</v>
      </c>
      <c r="F3993" s="38" t="s">
        <v>338</v>
      </c>
      <c r="G3993" s="49" t="str">
        <f t="shared" si="1"/>
        <v>86150</v>
      </c>
      <c r="H3993" s="49">
        <f t="shared" si="2"/>
        <v>86176</v>
      </c>
    </row>
    <row r="3994">
      <c r="A3994" s="48" t="s">
        <v>997</v>
      </c>
      <c r="B3994" s="38">
        <v>55485.0</v>
      </c>
      <c r="C3994" s="38" t="s">
        <v>6618</v>
      </c>
      <c r="D3994" s="38" t="str">
        <f>IFERROR(__xludf.DUMMYFUNCTION("REGEXREPLACE(C3994,""-\d+(.*)|--\d+(.*)"","""")"),"SEPVIGNY")</f>
        <v>SEPVIGNY</v>
      </c>
      <c r="E3994" s="38" t="s">
        <v>322</v>
      </c>
      <c r="F3994" s="38" t="s">
        <v>195</v>
      </c>
      <c r="G3994" s="49" t="str">
        <f t="shared" si="1"/>
        <v>55140</v>
      </c>
      <c r="H3994" s="49">
        <f t="shared" si="2"/>
        <v>55485</v>
      </c>
    </row>
    <row r="3995">
      <c r="A3995" s="48" t="s">
        <v>1012</v>
      </c>
      <c r="B3995" s="38">
        <v>21232.0</v>
      </c>
      <c r="C3995" s="38" t="s">
        <v>6619</v>
      </c>
      <c r="D3995" s="38" t="str">
        <f>IFERROR(__xludf.DUMMYFUNCTION("REGEXREPLACE(C3995,""-\d+(.*)|--\d+(.*)"","""")"),"DOMPIERRE-EN-MORVAN")</f>
        <v>DOMPIERRE-EN-MORVAN</v>
      </c>
      <c r="E3995" s="38" t="s">
        <v>105</v>
      </c>
      <c r="F3995" s="38" t="s">
        <v>106</v>
      </c>
      <c r="G3995" s="49" t="str">
        <f t="shared" si="1"/>
        <v>21390</v>
      </c>
      <c r="H3995" s="49">
        <f t="shared" si="2"/>
        <v>21232</v>
      </c>
    </row>
    <row r="3996">
      <c r="A3996" s="48" t="s">
        <v>415</v>
      </c>
      <c r="B3996" s="38">
        <v>21009.0</v>
      </c>
      <c r="C3996" s="38" t="s">
        <v>6620</v>
      </c>
      <c r="D3996" s="38" t="str">
        <f>IFERROR(__xludf.DUMMYFUNCTION("REGEXREPLACE(C3996,""-\d+(.*)|--\d+(.*)"","""")"),"ALLEREY")</f>
        <v>ALLEREY</v>
      </c>
      <c r="E3996" s="38" t="s">
        <v>105</v>
      </c>
      <c r="F3996" s="38" t="s">
        <v>106</v>
      </c>
      <c r="G3996" s="49" t="str">
        <f t="shared" si="1"/>
        <v>21230</v>
      </c>
      <c r="H3996" s="49">
        <f t="shared" si="2"/>
        <v>21009</v>
      </c>
    </row>
    <row r="3997">
      <c r="A3997" s="48" t="s">
        <v>3662</v>
      </c>
      <c r="B3997" s="38">
        <v>80169.0</v>
      </c>
      <c r="C3997" s="38" t="s">
        <v>6621</v>
      </c>
      <c r="D3997" s="38" t="str">
        <f>IFERROR(__xludf.DUMMYFUNCTION("REGEXREPLACE(C3997,""-\d+(.*)|--\d+(.*)"","""")"),"CANNESSIERES")</f>
        <v>CANNESSIERES</v>
      </c>
      <c r="E3997" s="38" t="s">
        <v>224</v>
      </c>
      <c r="F3997" s="38" t="s">
        <v>113</v>
      </c>
      <c r="G3997" s="49" t="str">
        <f t="shared" si="1"/>
        <v>80140</v>
      </c>
      <c r="H3997" s="49">
        <f t="shared" si="2"/>
        <v>80169</v>
      </c>
    </row>
    <row r="3998">
      <c r="A3998" s="48" t="s">
        <v>6622</v>
      </c>
      <c r="B3998" s="38">
        <v>33159.0</v>
      </c>
      <c r="C3998" s="38" t="s">
        <v>6623</v>
      </c>
      <c r="D3998" s="38" t="str">
        <f>IFERROR(__xludf.DUMMYFUNCTION("REGEXREPLACE(C3998,""-\d+(.*)|--\d+(.*)"","""")"),"ETAULIERS")</f>
        <v>ETAULIERS</v>
      </c>
      <c r="E3998" s="38" t="s">
        <v>462</v>
      </c>
      <c r="F3998" s="38" t="s">
        <v>252</v>
      </c>
      <c r="G3998" s="49" t="str">
        <f t="shared" si="1"/>
        <v>33820</v>
      </c>
      <c r="H3998" s="49">
        <f t="shared" si="2"/>
        <v>33159</v>
      </c>
    </row>
    <row r="3999">
      <c r="A3999" s="48" t="s">
        <v>394</v>
      </c>
      <c r="B3999" s="38">
        <v>41293.0</v>
      </c>
      <c r="C3999" s="38" t="s">
        <v>6624</v>
      </c>
      <c r="D3999" s="38" t="str">
        <f>IFERROR(__xludf.DUMMYFUNCTION("REGEXREPLACE(C3999,""-\d+(.*)|--\d+(.*)"","""")"),"VILLIERSFAUX")</f>
        <v>VILLIERSFAUX</v>
      </c>
      <c r="E3999" s="38" t="s">
        <v>188</v>
      </c>
      <c r="F3999" s="38" t="s">
        <v>123</v>
      </c>
      <c r="G3999" s="49" t="str">
        <f t="shared" si="1"/>
        <v>41100</v>
      </c>
      <c r="H3999" s="49">
        <f t="shared" si="2"/>
        <v>41293</v>
      </c>
    </row>
    <row r="4000">
      <c r="A4000" s="48" t="s">
        <v>6474</v>
      </c>
      <c r="B4000" s="38">
        <v>61113.0</v>
      </c>
      <c r="C4000" s="38" t="s">
        <v>6625</v>
      </c>
      <c r="D4000" s="38" t="str">
        <f>IFERROR(__xludf.DUMMYFUNCTION("REGEXREPLACE(C4000,""-\d+(.*)|--\d+(.*)"","""")"),"COMBLOT")</f>
        <v>COMBLOT</v>
      </c>
      <c r="E4000" s="38" t="s">
        <v>141</v>
      </c>
      <c r="F4000" s="38" t="s">
        <v>138</v>
      </c>
      <c r="G4000" s="49" t="str">
        <f t="shared" si="1"/>
        <v>61400</v>
      </c>
      <c r="H4000" s="49">
        <f t="shared" si="2"/>
        <v>61113</v>
      </c>
    </row>
    <row r="4001">
      <c r="A4001" s="48" t="s">
        <v>6626</v>
      </c>
      <c r="B4001" s="38">
        <v>58139.0</v>
      </c>
      <c r="C4001" s="38" t="s">
        <v>6627</v>
      </c>
      <c r="D4001" s="38" t="str">
        <f>IFERROR(__xludf.DUMMYFUNCTION("REGEXREPLACE(C4001,""-\d+(.*)|--\d+(.*)"","""")"),"LANTY")</f>
        <v>LANTY</v>
      </c>
      <c r="E4001" s="38" t="s">
        <v>219</v>
      </c>
      <c r="F4001" s="38" t="s">
        <v>106</v>
      </c>
      <c r="G4001" s="49" t="str">
        <f t="shared" si="1"/>
        <v>58250</v>
      </c>
      <c r="H4001" s="49">
        <f t="shared" si="2"/>
        <v>58139</v>
      </c>
    </row>
    <row r="4002">
      <c r="A4002" s="48" t="s">
        <v>6628</v>
      </c>
      <c r="B4002" s="38">
        <v>1054.0</v>
      </c>
      <c r="C4002" s="38" t="s">
        <v>6629</v>
      </c>
      <c r="D4002" s="38" t="str">
        <f>IFERROR(__xludf.DUMMYFUNCTION("REGEXREPLACE(C4002,""-\d+(.*)|--\d+(.*)"","""")"),"BOURG-SAINT-CHRISTOPHE")</f>
        <v>BOURG-SAINT-CHRISTOPHE</v>
      </c>
      <c r="E4002" s="38" t="s">
        <v>255</v>
      </c>
      <c r="F4002" s="38" t="s">
        <v>102</v>
      </c>
      <c r="G4002" s="49" t="str">
        <f t="shared" si="1"/>
        <v>01800</v>
      </c>
      <c r="H4002" s="49" t="str">
        <f t="shared" si="2"/>
        <v>01054</v>
      </c>
    </row>
    <row r="4003">
      <c r="A4003" s="48" t="s">
        <v>6630</v>
      </c>
      <c r="B4003" s="38">
        <v>13050.0</v>
      </c>
      <c r="C4003" s="38" t="s">
        <v>6631</v>
      </c>
      <c r="D4003" s="38" t="str">
        <f>IFERROR(__xludf.DUMMYFUNCTION("REGEXREPLACE(C4003,""-\d+(.*)|--\d+(.*)"","""")"),"LAMBESC")</f>
        <v>LAMBESC</v>
      </c>
      <c r="E4003" s="38" t="s">
        <v>980</v>
      </c>
      <c r="F4003" s="38" t="s">
        <v>228</v>
      </c>
      <c r="G4003" s="49" t="str">
        <f t="shared" si="1"/>
        <v>13410</v>
      </c>
      <c r="H4003" s="49">
        <f t="shared" si="2"/>
        <v>13050</v>
      </c>
    </row>
    <row r="4004">
      <c r="A4004" s="48" t="s">
        <v>2254</v>
      </c>
      <c r="B4004" s="38">
        <v>62285.0</v>
      </c>
      <c r="C4004" s="38" t="s">
        <v>6632</v>
      </c>
      <c r="D4004" s="38" t="str">
        <f>IFERROR(__xludf.DUMMYFUNCTION("REGEXREPLACE(C4004,""-\d+(.*)|--\d+(.*)"","""")"),"ECOUST-SAINT-MEIN")</f>
        <v>ECOUST-SAINT-MEIN</v>
      </c>
      <c r="E4004" s="38" t="s">
        <v>109</v>
      </c>
      <c r="F4004" s="38" t="s">
        <v>86</v>
      </c>
      <c r="G4004" s="49" t="str">
        <f t="shared" si="1"/>
        <v>62128</v>
      </c>
      <c r="H4004" s="49">
        <f t="shared" si="2"/>
        <v>62285</v>
      </c>
    </row>
    <row r="4005">
      <c r="A4005" s="48" t="s">
        <v>6633</v>
      </c>
      <c r="B4005" s="38">
        <v>64501.0</v>
      </c>
      <c r="C4005" s="38" t="s">
        <v>6634</v>
      </c>
      <c r="D4005" s="38" t="str">
        <f>IFERROR(__xludf.DUMMYFUNCTION("REGEXREPLACE(C4005,""-\d+(.*)|--\d+(.*)"","""")"),"SALLESPISSE")</f>
        <v>SALLESPISSE</v>
      </c>
      <c r="E4005" s="38" t="s">
        <v>268</v>
      </c>
      <c r="F4005" s="38" t="s">
        <v>252</v>
      </c>
      <c r="G4005" s="49" t="str">
        <f t="shared" si="1"/>
        <v>64300</v>
      </c>
      <c r="H4005" s="49">
        <f t="shared" si="2"/>
        <v>64501</v>
      </c>
    </row>
    <row r="4006">
      <c r="A4006" s="48" t="s">
        <v>671</v>
      </c>
      <c r="B4006" s="38">
        <v>21696.0</v>
      </c>
      <c r="C4006" s="38" t="s">
        <v>6635</v>
      </c>
      <c r="D4006" s="38" t="str">
        <f>IFERROR(__xludf.DUMMYFUNCTION("REGEXREPLACE(C4006,""-\d+(.*)|--\d+(.*)"","""")"),"VILLENEUVE-SOUS-CHARIGNY")</f>
        <v>VILLENEUVE-SOUS-CHARIGNY</v>
      </c>
      <c r="E4006" s="38" t="s">
        <v>105</v>
      </c>
      <c r="F4006" s="38" t="s">
        <v>106</v>
      </c>
      <c r="G4006" s="49" t="str">
        <f t="shared" si="1"/>
        <v>21140</v>
      </c>
      <c r="H4006" s="49">
        <f t="shared" si="2"/>
        <v>21696</v>
      </c>
    </row>
    <row r="4007">
      <c r="A4007" s="48" t="s">
        <v>6636</v>
      </c>
      <c r="B4007" s="38">
        <v>30214.0</v>
      </c>
      <c r="C4007" s="38" t="s">
        <v>6637</v>
      </c>
      <c r="D4007" s="38" t="str">
        <f>IFERROR(__xludf.DUMMYFUNCTION("REGEXREPLACE(C4007,""-\d+(.*)|--\d+(.*)"","""")"),"RIBAUTE-LES-TAVERNES")</f>
        <v>RIBAUTE-LES-TAVERNES</v>
      </c>
      <c r="E4007" s="38" t="s">
        <v>526</v>
      </c>
      <c r="F4007" s="38" t="s">
        <v>119</v>
      </c>
      <c r="G4007" s="49" t="str">
        <f t="shared" si="1"/>
        <v>30720</v>
      </c>
      <c r="H4007" s="49">
        <f t="shared" si="2"/>
        <v>30214</v>
      </c>
    </row>
    <row r="4008">
      <c r="A4008" s="48" t="s">
        <v>2773</v>
      </c>
      <c r="B4008" s="38">
        <v>21006.0</v>
      </c>
      <c r="C4008" s="38" t="s">
        <v>6638</v>
      </c>
      <c r="D4008" s="38" t="str">
        <f>IFERROR(__xludf.DUMMYFUNCTION("REGEXREPLACE(C4008,""-\d+(.*)|--\d+(.*)"","""")"),"AISEY-SUR-SEINE")</f>
        <v>AISEY-SUR-SEINE</v>
      </c>
      <c r="E4008" s="38" t="s">
        <v>105</v>
      </c>
      <c r="F4008" s="38" t="s">
        <v>106</v>
      </c>
      <c r="G4008" s="49" t="str">
        <f t="shared" si="1"/>
        <v>21400</v>
      </c>
      <c r="H4008" s="49">
        <f t="shared" si="2"/>
        <v>21006</v>
      </c>
    </row>
    <row r="4009">
      <c r="A4009" s="48" t="s">
        <v>4517</v>
      </c>
      <c r="B4009" s="38">
        <v>58033.0</v>
      </c>
      <c r="C4009" s="38" t="s">
        <v>6639</v>
      </c>
      <c r="D4009" s="38" t="str">
        <f>IFERROR(__xludf.DUMMYFUNCTION("REGEXREPLACE(C4009,""-\d+(.*)|--\d+(.*)"","""")"),"BITRY")</f>
        <v>BITRY</v>
      </c>
      <c r="E4009" s="38" t="s">
        <v>219</v>
      </c>
      <c r="F4009" s="38" t="s">
        <v>106</v>
      </c>
      <c r="G4009" s="49" t="str">
        <f t="shared" si="1"/>
        <v>58310</v>
      </c>
      <c r="H4009" s="49">
        <f t="shared" si="2"/>
        <v>58033</v>
      </c>
    </row>
    <row r="4010">
      <c r="A4010" s="48" t="s">
        <v>1016</v>
      </c>
      <c r="B4010" s="38">
        <v>28128.0</v>
      </c>
      <c r="C4010" s="38" t="s">
        <v>6640</v>
      </c>
      <c r="D4010" s="38" t="str">
        <f>IFERROR(__xludf.DUMMYFUNCTION("REGEXREPLACE(C4010,""-\d+(.*)|--\d+(.*)"","""")"),"DANGERS")</f>
        <v>DANGERS</v>
      </c>
      <c r="E4010" s="38" t="s">
        <v>300</v>
      </c>
      <c r="F4010" s="38" t="s">
        <v>123</v>
      </c>
      <c r="G4010" s="49" t="str">
        <f t="shared" si="1"/>
        <v>28190</v>
      </c>
      <c r="H4010" s="49">
        <f t="shared" si="2"/>
        <v>28128</v>
      </c>
    </row>
    <row r="4011">
      <c r="A4011" s="48" t="s">
        <v>1671</v>
      </c>
      <c r="B4011" s="38">
        <v>81182.0</v>
      </c>
      <c r="C4011" s="38" t="s">
        <v>6641</v>
      </c>
      <c r="D4011" s="38" t="str">
        <f>IFERROR(__xludf.DUMMYFUNCTION("REGEXREPLACE(C4011,""-\d+(.*)|--\d+(.*)"","""")"),"MONTREDON-LABESSONNIE")</f>
        <v>MONTREDON-LABESSONNIE</v>
      </c>
      <c r="E4011" s="38" t="s">
        <v>231</v>
      </c>
      <c r="F4011" s="38" t="s">
        <v>94</v>
      </c>
      <c r="G4011" s="49" t="str">
        <f t="shared" si="1"/>
        <v>81360</v>
      </c>
      <c r="H4011" s="49">
        <f t="shared" si="2"/>
        <v>81182</v>
      </c>
    </row>
    <row r="4012">
      <c r="A4012" s="48" t="s">
        <v>6642</v>
      </c>
      <c r="B4012" s="38">
        <v>66050.0</v>
      </c>
      <c r="C4012" s="38" t="s">
        <v>6643</v>
      </c>
      <c r="D4012" s="38" t="str">
        <f>IFERROR(__xludf.DUMMYFUNCTION("REGEXREPLACE(C4012,""-\d+(.*)|--\d+(.*)"","""")"),"CLAIRA")</f>
        <v>CLAIRA</v>
      </c>
      <c r="E4012" s="38" t="s">
        <v>248</v>
      </c>
      <c r="F4012" s="38" t="s">
        <v>119</v>
      </c>
      <c r="G4012" s="49" t="str">
        <f t="shared" si="1"/>
        <v>66530</v>
      </c>
      <c r="H4012" s="49">
        <f t="shared" si="2"/>
        <v>66050</v>
      </c>
    </row>
    <row r="4013">
      <c r="A4013" s="48" t="s">
        <v>6644</v>
      </c>
      <c r="B4013" s="38">
        <v>11398.0</v>
      </c>
      <c r="C4013" s="38" t="s">
        <v>6645</v>
      </c>
      <c r="D4013" s="38" t="str">
        <f>IFERROR(__xludf.DUMMYFUNCTION("REGEXREPLACE(C4013,""-\d+(.*)|--\d+(.*)"","""")"),"TREILLES")</f>
        <v>TREILLES</v>
      </c>
      <c r="E4013" s="38" t="s">
        <v>278</v>
      </c>
      <c r="F4013" s="38" t="s">
        <v>119</v>
      </c>
      <c r="G4013" s="49" t="str">
        <f t="shared" si="1"/>
        <v>11510</v>
      </c>
      <c r="H4013" s="49">
        <f t="shared" si="2"/>
        <v>11398</v>
      </c>
    </row>
    <row r="4014">
      <c r="A4014" s="48" t="s">
        <v>4499</v>
      </c>
      <c r="B4014" s="38">
        <v>25171.0</v>
      </c>
      <c r="C4014" s="38" t="s">
        <v>4680</v>
      </c>
      <c r="D4014" s="38" t="str">
        <f>IFERROR(__xludf.DUMMYFUNCTION("REGEXREPLACE(C4014,""-\d+(.*)|--\d+(.*)"","""")"),"COURCELLES")</f>
        <v>COURCELLES</v>
      </c>
      <c r="E4014" s="38" t="s">
        <v>213</v>
      </c>
      <c r="F4014" s="38" t="s">
        <v>214</v>
      </c>
      <c r="G4014" s="49" t="str">
        <f t="shared" si="1"/>
        <v>25440</v>
      </c>
      <c r="H4014" s="49">
        <f t="shared" si="2"/>
        <v>25171</v>
      </c>
    </row>
    <row r="4015">
      <c r="A4015" s="48" t="s">
        <v>4290</v>
      </c>
      <c r="B4015" s="38">
        <v>69106.0</v>
      </c>
      <c r="C4015" s="38" t="s">
        <v>6646</v>
      </c>
      <c r="D4015" s="38" t="str">
        <f>IFERROR(__xludf.DUMMYFUNCTION("REGEXREPLACE(C4015,""-\d+(.*)|--\d+(.*)"","""")"),"LACHASSAGNE")</f>
        <v>LACHASSAGNE</v>
      </c>
      <c r="E4015" s="38" t="s">
        <v>350</v>
      </c>
      <c r="F4015" s="38" t="s">
        <v>102</v>
      </c>
      <c r="G4015" s="49" t="str">
        <f t="shared" si="1"/>
        <v>69480</v>
      </c>
      <c r="H4015" s="49">
        <f t="shared" si="2"/>
        <v>69106</v>
      </c>
    </row>
    <row r="4016">
      <c r="A4016" s="48" t="s">
        <v>6647</v>
      </c>
      <c r="B4016" s="38">
        <v>58093.0</v>
      </c>
      <c r="C4016" s="38" t="s">
        <v>6648</v>
      </c>
      <c r="D4016" s="38" t="str">
        <f>IFERROR(__xludf.DUMMYFUNCTION("REGEXREPLACE(C4016,""-\d+(.*)|--\d+(.*)"","""")"),"CUNCY-LES-VARZY")</f>
        <v>CUNCY-LES-VARZY</v>
      </c>
      <c r="E4016" s="38" t="s">
        <v>219</v>
      </c>
      <c r="F4016" s="38" t="s">
        <v>106</v>
      </c>
      <c r="G4016" s="49" t="str">
        <f t="shared" si="1"/>
        <v>58210</v>
      </c>
      <c r="H4016" s="49">
        <f t="shared" si="2"/>
        <v>58093</v>
      </c>
    </row>
    <row r="4017">
      <c r="A4017" s="48" t="s">
        <v>6649</v>
      </c>
      <c r="B4017" s="38">
        <v>18095.0</v>
      </c>
      <c r="C4017" s="38" t="s">
        <v>6650</v>
      </c>
      <c r="D4017" s="38" t="str">
        <f>IFERROR(__xludf.DUMMYFUNCTION("REGEXREPLACE(C4017,""-\d+(.*)|--\d+(.*)"","""")"),"FLAVIGNY")</f>
        <v>FLAVIGNY</v>
      </c>
      <c r="E4017" s="38" t="s">
        <v>504</v>
      </c>
      <c r="F4017" s="38" t="s">
        <v>123</v>
      </c>
      <c r="G4017" s="49" t="str">
        <f t="shared" si="1"/>
        <v>18350</v>
      </c>
      <c r="H4017" s="49">
        <f t="shared" si="2"/>
        <v>18095</v>
      </c>
    </row>
    <row r="4018">
      <c r="A4018" s="48" t="s">
        <v>6651</v>
      </c>
      <c r="B4018" s="38">
        <v>31534.0</v>
      </c>
      <c r="C4018" s="38" t="s">
        <v>6652</v>
      </c>
      <c r="D4018" s="38" t="str">
        <f>IFERROR(__xludf.DUMMYFUNCTION("REGEXREPLACE(C4018,""-\d+(.*)|--\d+(.*)"","""")"),"SAUSSENS")</f>
        <v>SAUSSENS</v>
      </c>
      <c r="E4018" s="38" t="s">
        <v>93</v>
      </c>
      <c r="F4018" s="38" t="s">
        <v>94</v>
      </c>
      <c r="G4018" s="49" t="str">
        <f t="shared" si="1"/>
        <v>31460</v>
      </c>
      <c r="H4018" s="49">
        <f t="shared" si="2"/>
        <v>31534</v>
      </c>
    </row>
    <row r="4019">
      <c r="A4019" s="48" t="s">
        <v>2506</v>
      </c>
      <c r="B4019" s="38">
        <v>80797.0</v>
      </c>
      <c r="C4019" s="38" t="s">
        <v>6653</v>
      </c>
      <c r="D4019" s="38" t="str">
        <f>IFERROR(__xludf.DUMMYFUNCTION("REGEXREPLACE(C4019,""-\d+(.*)|--\d+(.*)"","""")"),"VILLERS-AUX-ERABLES")</f>
        <v>VILLERS-AUX-ERABLES</v>
      </c>
      <c r="E4019" s="38" t="s">
        <v>224</v>
      </c>
      <c r="F4019" s="38" t="s">
        <v>113</v>
      </c>
      <c r="G4019" s="49" t="str">
        <f t="shared" si="1"/>
        <v>80110</v>
      </c>
      <c r="H4019" s="49">
        <f t="shared" si="2"/>
        <v>80797</v>
      </c>
    </row>
    <row r="4020">
      <c r="A4020" s="48" t="s">
        <v>386</v>
      </c>
      <c r="B4020" s="38">
        <v>21242.0</v>
      </c>
      <c r="C4020" s="38" t="s">
        <v>6654</v>
      </c>
      <c r="D4020" s="38" t="str">
        <f>IFERROR(__xludf.DUMMYFUNCTION("REGEXREPLACE(C4020,""-\d+(.*)|--\d+(.*)"","""")"),"ECHIGEY")</f>
        <v>ECHIGEY</v>
      </c>
      <c r="E4020" s="38" t="s">
        <v>105</v>
      </c>
      <c r="F4020" s="38" t="s">
        <v>106</v>
      </c>
      <c r="G4020" s="49" t="str">
        <f t="shared" si="1"/>
        <v>21110</v>
      </c>
      <c r="H4020" s="49">
        <f t="shared" si="2"/>
        <v>21242</v>
      </c>
    </row>
    <row r="4021">
      <c r="A4021" s="48" t="s">
        <v>1046</v>
      </c>
      <c r="B4021" s="38">
        <v>26195.0</v>
      </c>
      <c r="C4021" s="38" t="s">
        <v>6655</v>
      </c>
      <c r="D4021" s="38" t="str">
        <f>IFERROR(__xludf.DUMMYFUNCTION("REGEXREPLACE(C4021,""-\d+(.*)|--\d+(.*)"","""")"),"MONTCLAR-SUR-GERVANNE")</f>
        <v>MONTCLAR-SUR-GERVANNE</v>
      </c>
      <c r="E4021" s="38" t="s">
        <v>126</v>
      </c>
      <c r="F4021" s="38" t="s">
        <v>102</v>
      </c>
      <c r="G4021" s="49" t="str">
        <f t="shared" si="1"/>
        <v>26400</v>
      </c>
      <c r="H4021" s="49">
        <f t="shared" si="2"/>
        <v>26195</v>
      </c>
    </row>
    <row r="4022">
      <c r="A4022" s="48" t="s">
        <v>877</v>
      </c>
      <c r="B4022" s="38">
        <v>57083.0</v>
      </c>
      <c r="C4022" s="38" t="s">
        <v>6656</v>
      </c>
      <c r="D4022" s="38" t="str">
        <f>IFERROR(__xludf.DUMMYFUNCTION("REGEXREPLACE(C4022,""-\d+(.*)|--\d+(.*)"","""")"),"BINING")</f>
        <v>BINING</v>
      </c>
      <c r="E4022" s="38" t="s">
        <v>303</v>
      </c>
      <c r="F4022" s="38" t="s">
        <v>195</v>
      </c>
      <c r="G4022" s="49" t="str">
        <f t="shared" si="1"/>
        <v>57410</v>
      </c>
      <c r="H4022" s="49">
        <f t="shared" si="2"/>
        <v>57083</v>
      </c>
    </row>
    <row r="4023">
      <c r="A4023" s="48" t="s">
        <v>6657</v>
      </c>
      <c r="B4023" s="38">
        <v>53054.0</v>
      </c>
      <c r="C4023" s="38" t="s">
        <v>5602</v>
      </c>
      <c r="D4023" s="38" t="str">
        <f>IFERROR(__xludf.DUMMYFUNCTION("REGEXREPLACE(C4023,""-\d+(.*)|--\d+(.*)"","""")"),"CHANGE")</f>
        <v>CHANGE</v>
      </c>
      <c r="E4023" s="38" t="s">
        <v>518</v>
      </c>
      <c r="F4023" s="38" t="s">
        <v>180</v>
      </c>
      <c r="G4023" s="49" t="str">
        <f t="shared" si="1"/>
        <v>53810</v>
      </c>
      <c r="H4023" s="49">
        <f t="shared" si="2"/>
        <v>53054</v>
      </c>
    </row>
    <row r="4024">
      <c r="A4024" s="48" t="s">
        <v>6658</v>
      </c>
      <c r="B4024" s="38">
        <v>53255.0</v>
      </c>
      <c r="C4024" s="38" t="s">
        <v>6659</v>
      </c>
      <c r="D4024" s="38" t="str">
        <f>IFERROR(__xludf.DUMMYFUNCTION("REGEXREPLACE(C4024,""-\d+(.*)|--\d+(.*)"","""")"),"SAINTE-SUZANNE")</f>
        <v>SAINTE-SUZANNE</v>
      </c>
      <c r="E4024" s="38" t="s">
        <v>518</v>
      </c>
      <c r="F4024" s="38" t="s">
        <v>180</v>
      </c>
      <c r="G4024" s="49" t="str">
        <f t="shared" si="1"/>
        <v>53270</v>
      </c>
      <c r="H4024" s="49">
        <f t="shared" si="2"/>
        <v>53255</v>
      </c>
    </row>
    <row r="4025">
      <c r="A4025" s="48" t="s">
        <v>6660</v>
      </c>
      <c r="B4025" s="38">
        <v>66049.0</v>
      </c>
      <c r="C4025" s="38" t="s">
        <v>6661</v>
      </c>
      <c r="D4025" s="38" t="str">
        <f>IFERROR(__xludf.DUMMYFUNCTION("REGEXREPLACE(C4025,""-\d+(.*)|--\d+(.*)"","""")"),"CERET")</f>
        <v>CERET</v>
      </c>
      <c r="E4025" s="38" t="s">
        <v>248</v>
      </c>
      <c r="F4025" s="38" t="s">
        <v>119</v>
      </c>
      <c r="G4025" s="49" t="str">
        <f t="shared" si="1"/>
        <v>66400</v>
      </c>
      <c r="H4025" s="49">
        <f t="shared" si="2"/>
        <v>66049</v>
      </c>
    </row>
    <row r="4026">
      <c r="A4026" s="48" t="s">
        <v>1802</v>
      </c>
      <c r="B4026" s="38">
        <v>53207.0</v>
      </c>
      <c r="C4026" s="38" t="s">
        <v>6662</v>
      </c>
      <c r="D4026" s="38" t="str">
        <f>IFERROR(__xludf.DUMMYFUNCTION("REGEXREPLACE(C4026,""-\d+(.*)|--\d+(.*)"","""")"),"SAINT-CHRISTOPHE-DU-LUAT")</f>
        <v>SAINT-CHRISTOPHE-DU-LUAT</v>
      </c>
      <c r="E4026" s="38" t="s">
        <v>518</v>
      </c>
      <c r="F4026" s="38" t="s">
        <v>180</v>
      </c>
      <c r="G4026" s="49" t="str">
        <f t="shared" si="1"/>
        <v>53150</v>
      </c>
      <c r="H4026" s="49">
        <f t="shared" si="2"/>
        <v>53207</v>
      </c>
    </row>
    <row r="4027">
      <c r="A4027" s="48" t="s">
        <v>4065</v>
      </c>
      <c r="B4027" s="38">
        <v>21662.0</v>
      </c>
      <c r="C4027" s="38" t="s">
        <v>6663</v>
      </c>
      <c r="D4027" s="38" t="str">
        <f>IFERROR(__xludf.DUMMYFUNCTION("REGEXREPLACE(C4027,""-\d+(.*)|--\d+(.*)"","""")"),"VELOGNY")</f>
        <v>VELOGNY</v>
      </c>
      <c r="E4027" s="38" t="s">
        <v>105</v>
      </c>
      <c r="F4027" s="38" t="s">
        <v>106</v>
      </c>
      <c r="G4027" s="49" t="str">
        <f t="shared" si="1"/>
        <v>21350</v>
      </c>
      <c r="H4027" s="49">
        <f t="shared" si="2"/>
        <v>21662</v>
      </c>
    </row>
    <row r="4028">
      <c r="A4028" s="48" t="s">
        <v>6664</v>
      </c>
      <c r="B4028" s="38">
        <v>33186.0</v>
      </c>
      <c r="C4028" s="38" t="s">
        <v>6665</v>
      </c>
      <c r="D4028" s="38" t="str">
        <f>IFERROR(__xludf.DUMMYFUNCTION("REGEXREPLACE(C4028,""-\d+(.*)|--\d+(.*)"","""")"),"GENSAC")</f>
        <v>GENSAC</v>
      </c>
      <c r="E4028" s="38" t="s">
        <v>462</v>
      </c>
      <c r="F4028" s="38" t="s">
        <v>252</v>
      </c>
      <c r="G4028" s="49" t="str">
        <f t="shared" si="1"/>
        <v>33890</v>
      </c>
      <c r="H4028" s="49">
        <f t="shared" si="2"/>
        <v>33186</v>
      </c>
    </row>
    <row r="4029">
      <c r="A4029" s="48" t="s">
        <v>546</v>
      </c>
      <c r="B4029" s="38">
        <v>54312.0</v>
      </c>
      <c r="C4029" s="38" t="s">
        <v>6666</v>
      </c>
      <c r="D4029" s="38" t="str">
        <f>IFERROR(__xludf.DUMMYFUNCTION("REGEXREPLACE(C4029,""-\d+(.*)|--\d+(.*)"","""")"),"LESMENILS")</f>
        <v>LESMENILS</v>
      </c>
      <c r="E4029" s="38" t="s">
        <v>548</v>
      </c>
      <c r="F4029" s="38" t="s">
        <v>195</v>
      </c>
      <c r="G4029" s="49" t="str">
        <f t="shared" si="1"/>
        <v>54700</v>
      </c>
      <c r="H4029" s="49">
        <f t="shared" si="2"/>
        <v>54312</v>
      </c>
    </row>
    <row r="4030">
      <c r="A4030" s="48" t="s">
        <v>2837</v>
      </c>
      <c r="B4030" s="38">
        <v>17187.0</v>
      </c>
      <c r="C4030" s="38" t="s">
        <v>6667</v>
      </c>
      <c r="D4030" s="38" t="str">
        <f>IFERROR(__xludf.DUMMYFUNCTION("REGEXREPLACE(C4030,""-\d+(.*)|--\d+(.*)"","""")"),"GUITINIERES")</f>
        <v>GUITINIERES</v>
      </c>
      <c r="E4030" s="38" t="s">
        <v>488</v>
      </c>
      <c r="F4030" s="38" t="s">
        <v>338</v>
      </c>
      <c r="G4030" s="49" t="str">
        <f t="shared" si="1"/>
        <v>17500</v>
      </c>
      <c r="H4030" s="49">
        <f t="shared" si="2"/>
        <v>17187</v>
      </c>
    </row>
    <row r="4031">
      <c r="A4031" s="48" t="s">
        <v>6668</v>
      </c>
      <c r="B4031" s="38">
        <v>89365.0</v>
      </c>
      <c r="C4031" s="38" t="s">
        <v>6669</v>
      </c>
      <c r="D4031" s="38" t="str">
        <f>IFERROR(__xludf.DUMMYFUNCTION("REGEXREPLACE(C4031,""-\d+(.*)|--\d+(.*)"","""")"),"SAINT-PRIVE")</f>
        <v>SAINT-PRIVE</v>
      </c>
      <c r="E4031" s="38" t="s">
        <v>275</v>
      </c>
      <c r="F4031" s="38" t="s">
        <v>106</v>
      </c>
      <c r="G4031" s="49" t="str">
        <f t="shared" si="1"/>
        <v>89220</v>
      </c>
      <c r="H4031" s="49">
        <f t="shared" si="2"/>
        <v>89365</v>
      </c>
    </row>
    <row r="4032">
      <c r="A4032" s="48" t="s">
        <v>6670</v>
      </c>
      <c r="B4032" s="38">
        <v>32251.0</v>
      </c>
      <c r="C4032" s="38" t="s">
        <v>6671</v>
      </c>
      <c r="D4032" s="38" t="str">
        <f>IFERROR(__xludf.DUMMYFUNCTION("REGEXREPLACE(C4032,""-\d+(.*)|--\d+(.*)"","""")"),"MERENS")</f>
        <v>MERENS</v>
      </c>
      <c r="E4032" s="38" t="s">
        <v>440</v>
      </c>
      <c r="F4032" s="38" t="s">
        <v>94</v>
      </c>
      <c r="G4032" s="49" t="str">
        <f t="shared" si="1"/>
        <v>32360</v>
      </c>
      <c r="H4032" s="49">
        <f t="shared" si="2"/>
        <v>32251</v>
      </c>
    </row>
    <row r="4033">
      <c r="A4033" s="48" t="s">
        <v>6672</v>
      </c>
      <c r="B4033" s="38">
        <v>17237.0</v>
      </c>
      <c r="C4033" s="38" t="s">
        <v>6673</v>
      </c>
      <c r="D4033" s="38" t="str">
        <f>IFERROR(__xludf.DUMMYFUNCTION("REGEXREPLACE(C4033,""-\d+(.*)|--\d+(.*)"","""")"),"MOEZE")</f>
        <v>MOEZE</v>
      </c>
      <c r="E4033" s="38" t="s">
        <v>488</v>
      </c>
      <c r="F4033" s="38" t="s">
        <v>338</v>
      </c>
      <c r="G4033" s="49" t="str">
        <f t="shared" si="1"/>
        <v>17780</v>
      </c>
      <c r="H4033" s="49">
        <f t="shared" si="2"/>
        <v>17237</v>
      </c>
    </row>
    <row r="4034">
      <c r="A4034" s="48" t="s">
        <v>6674</v>
      </c>
      <c r="B4034" s="38">
        <v>27009.0</v>
      </c>
      <c r="C4034" s="38" t="s">
        <v>6675</v>
      </c>
      <c r="D4034" s="38" t="str">
        <f>IFERROR(__xludf.DUMMYFUNCTION("REGEXREPLACE(C4034,""-\d+(.*)|--\d+(.*)"","""")"),"AMBENAY")</f>
        <v>AMBENAY</v>
      </c>
      <c r="E4034" s="38" t="s">
        <v>241</v>
      </c>
      <c r="F4034" s="38" t="s">
        <v>134</v>
      </c>
      <c r="G4034" s="49" t="str">
        <f t="shared" si="1"/>
        <v>27250</v>
      </c>
      <c r="H4034" s="49">
        <f t="shared" si="2"/>
        <v>27009</v>
      </c>
    </row>
    <row r="4035">
      <c r="A4035" s="48" t="s">
        <v>1393</v>
      </c>
      <c r="B4035" s="38">
        <v>25322.0</v>
      </c>
      <c r="C4035" s="38" t="s">
        <v>6676</v>
      </c>
      <c r="D4035" s="38" t="str">
        <f>IFERROR(__xludf.DUMMYFUNCTION("REGEXREPLACE(C4035,""-\d+(.*)|--\d+(.*)"","""")"),"LAIRE")</f>
        <v>LAIRE</v>
      </c>
      <c r="E4035" s="38" t="s">
        <v>213</v>
      </c>
      <c r="F4035" s="38" t="s">
        <v>214</v>
      </c>
      <c r="G4035" s="49" t="str">
        <f t="shared" si="1"/>
        <v>25550</v>
      </c>
      <c r="H4035" s="49">
        <f t="shared" si="2"/>
        <v>25322</v>
      </c>
    </row>
    <row r="4036">
      <c r="A4036" s="48" t="s">
        <v>647</v>
      </c>
      <c r="B4036" s="38">
        <v>82026.0</v>
      </c>
      <c r="C4036" s="38" t="s">
        <v>6677</v>
      </c>
      <c r="D4036" s="38" t="str">
        <f>IFERROR(__xludf.DUMMYFUNCTION("REGEXREPLACE(C4036,""-\d+(.*)|--\d+(.*)"","""")"),"BRUNIQUEL")</f>
        <v>BRUNIQUEL</v>
      </c>
      <c r="E4036" s="38" t="s">
        <v>570</v>
      </c>
      <c r="F4036" s="38" t="s">
        <v>94</v>
      </c>
      <c r="G4036" s="49" t="str">
        <f t="shared" si="1"/>
        <v>82800</v>
      </c>
      <c r="H4036" s="49">
        <f t="shared" si="2"/>
        <v>82026</v>
      </c>
    </row>
    <row r="4037">
      <c r="A4037" s="48" t="s">
        <v>1422</v>
      </c>
      <c r="B4037" s="38">
        <v>14398.0</v>
      </c>
      <c r="C4037" s="38" t="s">
        <v>6678</v>
      </c>
      <c r="D4037" s="38" t="str">
        <f>IFERROR(__xludf.DUMMYFUNCTION("REGEXREPLACE(C4037,""-\d+(.*)|--\d+(.*)"","""")"),"MANERBE")</f>
        <v>MANERBE</v>
      </c>
      <c r="E4037" s="38" t="s">
        <v>137</v>
      </c>
      <c r="F4037" s="38" t="s">
        <v>138</v>
      </c>
      <c r="G4037" s="49" t="str">
        <f t="shared" si="1"/>
        <v>14340</v>
      </c>
      <c r="H4037" s="49">
        <f t="shared" si="2"/>
        <v>14398</v>
      </c>
    </row>
    <row r="4038">
      <c r="A4038" s="48" t="s">
        <v>4695</v>
      </c>
      <c r="B4038" s="38">
        <v>36133.0</v>
      </c>
      <c r="C4038" s="38" t="s">
        <v>6679</v>
      </c>
      <c r="D4038" s="38" t="str">
        <f>IFERROR(__xludf.DUMMYFUNCTION("REGEXREPLACE(C4038,""-\d+(.*)|--\d+(.*)"","""")"),"MOUHERS")</f>
        <v>MOUHERS</v>
      </c>
      <c r="E4038" s="38" t="s">
        <v>258</v>
      </c>
      <c r="F4038" s="38" t="s">
        <v>123</v>
      </c>
      <c r="G4038" s="49" t="str">
        <f t="shared" si="1"/>
        <v>36340</v>
      </c>
      <c r="H4038" s="49">
        <f t="shared" si="2"/>
        <v>36133</v>
      </c>
    </row>
    <row r="4039">
      <c r="A4039" s="48" t="s">
        <v>6680</v>
      </c>
      <c r="B4039" s="38">
        <v>29197.0</v>
      </c>
      <c r="C4039" s="38" t="s">
        <v>4540</v>
      </c>
      <c r="D4039" s="38" t="str">
        <f>IFERROR(__xludf.DUMMYFUNCTION("REGEXREPLACE(C4039,""-\d+(.*)|--\d+(.*)"","""")"),"PLOUHINEC")</f>
        <v>PLOUHINEC</v>
      </c>
      <c r="E4039" s="38" t="s">
        <v>176</v>
      </c>
      <c r="F4039" s="38" t="s">
        <v>90</v>
      </c>
      <c r="G4039" s="49" t="str">
        <f t="shared" si="1"/>
        <v>29780</v>
      </c>
      <c r="H4039" s="49">
        <f t="shared" si="2"/>
        <v>29197</v>
      </c>
    </row>
    <row r="4040">
      <c r="A4040" s="48" t="s">
        <v>557</v>
      </c>
      <c r="B4040" s="38">
        <v>16205.0</v>
      </c>
      <c r="C4040" s="38" t="s">
        <v>6681</v>
      </c>
      <c r="D4040" s="38" t="str">
        <f>IFERROR(__xludf.DUMMYFUNCTION("REGEXREPLACE(C4040,""-\d+(.*)|--\d+(.*)"","""")"),"MANOT")</f>
        <v>MANOT</v>
      </c>
      <c r="E4040" s="38" t="s">
        <v>429</v>
      </c>
      <c r="F4040" s="38" t="s">
        <v>338</v>
      </c>
      <c r="G4040" s="49" t="str">
        <f t="shared" si="1"/>
        <v>16500</v>
      </c>
      <c r="H4040" s="49">
        <f t="shared" si="2"/>
        <v>16205</v>
      </c>
    </row>
    <row r="4041">
      <c r="A4041" s="48" t="s">
        <v>2469</v>
      </c>
      <c r="B4041" s="38">
        <v>8361.0</v>
      </c>
      <c r="C4041" s="38" t="s">
        <v>6682</v>
      </c>
      <c r="D4041" s="38" t="str">
        <f>IFERROR(__xludf.DUMMYFUNCTION("REGEXREPLACE(C4041,""-\d+(.*)|--\d+(.*)"","""")"),"RENWEZ")</f>
        <v>RENWEZ</v>
      </c>
      <c r="E4041" s="38" t="s">
        <v>327</v>
      </c>
      <c r="F4041" s="38" t="s">
        <v>130</v>
      </c>
      <c r="G4041" s="49" t="str">
        <f t="shared" si="1"/>
        <v>08150</v>
      </c>
      <c r="H4041" s="49" t="str">
        <f t="shared" si="2"/>
        <v>08361</v>
      </c>
    </row>
    <row r="4042">
      <c r="A4042" s="48" t="s">
        <v>6683</v>
      </c>
      <c r="B4042" s="38">
        <v>4047.0</v>
      </c>
      <c r="C4042" s="38" t="s">
        <v>6684</v>
      </c>
      <c r="D4042" s="38" t="str">
        <f>IFERROR(__xludf.DUMMYFUNCTION("REGEXREPLACE(C4042,""-\d+(.*)|--\d+(.*)"","""")"),"CHAMPTERCIER")</f>
        <v>CHAMPTERCIER</v>
      </c>
      <c r="E4042" s="38" t="s">
        <v>662</v>
      </c>
      <c r="F4042" s="38" t="s">
        <v>228</v>
      </c>
      <c r="G4042" s="49" t="str">
        <f t="shared" si="1"/>
        <v>04660</v>
      </c>
      <c r="H4042" s="49" t="str">
        <f t="shared" si="2"/>
        <v>04047</v>
      </c>
    </row>
    <row r="4043">
      <c r="A4043" s="48" t="s">
        <v>6542</v>
      </c>
      <c r="B4043" s="38">
        <v>40144.0</v>
      </c>
      <c r="C4043" s="38" t="s">
        <v>6685</v>
      </c>
      <c r="D4043" s="38" t="str">
        <f>IFERROR(__xludf.DUMMYFUNCTION("REGEXREPLACE(C4043,""-\d+(.*)|--\d+(.*)"","""")"),"LARBEY")</f>
        <v>LARBEY</v>
      </c>
      <c r="E4043" s="38" t="s">
        <v>281</v>
      </c>
      <c r="F4043" s="38" t="s">
        <v>252</v>
      </c>
      <c r="G4043" s="49" t="str">
        <f t="shared" si="1"/>
        <v>40250</v>
      </c>
      <c r="H4043" s="49">
        <f t="shared" si="2"/>
        <v>40144</v>
      </c>
    </row>
    <row r="4044">
      <c r="A4044" s="48" t="s">
        <v>3379</v>
      </c>
      <c r="B4044" s="38">
        <v>54076.0</v>
      </c>
      <c r="C4044" s="38" t="s">
        <v>6686</v>
      </c>
      <c r="D4044" s="38" t="str">
        <f>IFERROR(__xludf.DUMMYFUNCTION("REGEXREPLACE(C4044,""-\d+(.*)|--\d+(.*)"","""")"),"BLAINVILLE-SUR-L'EAU")</f>
        <v>BLAINVILLE-SUR-L'EAU</v>
      </c>
      <c r="E4044" s="38" t="s">
        <v>548</v>
      </c>
      <c r="F4044" s="38" t="s">
        <v>195</v>
      </c>
      <c r="G4044" s="49" t="str">
        <f t="shared" si="1"/>
        <v>54360</v>
      </c>
      <c r="H4044" s="49">
        <f t="shared" si="2"/>
        <v>54076</v>
      </c>
    </row>
    <row r="4045">
      <c r="A4045" s="48" t="s">
        <v>3932</v>
      </c>
      <c r="B4045" s="38">
        <v>61170.0</v>
      </c>
      <c r="C4045" s="38" t="s">
        <v>6687</v>
      </c>
      <c r="D4045" s="38" t="str">
        <f>IFERROR(__xludf.DUMMYFUNCTION("REGEXREPLACE(C4045,""-\d+(.*)|--\d+(.*)"","""")"),"FLEURE")</f>
        <v>FLEURE</v>
      </c>
      <c r="E4045" s="38" t="s">
        <v>141</v>
      </c>
      <c r="F4045" s="38" t="s">
        <v>138</v>
      </c>
      <c r="G4045" s="49" t="str">
        <f t="shared" si="1"/>
        <v>61200</v>
      </c>
      <c r="H4045" s="49">
        <f t="shared" si="2"/>
        <v>61170</v>
      </c>
    </row>
    <row r="4046">
      <c r="A4046" s="48" t="s">
        <v>1018</v>
      </c>
      <c r="B4046" s="38">
        <v>60352.0</v>
      </c>
      <c r="C4046" s="38" t="s">
        <v>6688</v>
      </c>
      <c r="D4046" s="38" t="str">
        <f>IFERROR(__xludf.DUMMYFUNCTION("REGEXREPLACE(C4046,""-\d+(.*)|--\d+(.*)"","""")"),"LATTAINVILLE")</f>
        <v>LATTAINVILLE</v>
      </c>
      <c r="E4046" s="38" t="s">
        <v>112</v>
      </c>
      <c r="F4046" s="38" t="s">
        <v>113</v>
      </c>
      <c r="G4046" s="49" t="str">
        <f t="shared" si="1"/>
        <v>60240</v>
      </c>
      <c r="H4046" s="49">
        <f t="shared" si="2"/>
        <v>60352</v>
      </c>
    </row>
    <row r="4047">
      <c r="A4047" s="48" t="s">
        <v>491</v>
      </c>
      <c r="B4047" s="38">
        <v>19219.0</v>
      </c>
      <c r="C4047" s="38" t="s">
        <v>6689</v>
      </c>
      <c r="D4047" s="38" t="str">
        <f>IFERROR(__xludf.DUMMYFUNCTION("REGEXREPLACE(C4047,""-\d+(.*)|--\d+(.*)"","""")"),"SAINTE-MARIE-LAPANOUZE")</f>
        <v>SAINTE-MARIE-LAPANOUZE</v>
      </c>
      <c r="E4047" s="38" t="s">
        <v>271</v>
      </c>
      <c r="F4047" s="38" t="s">
        <v>98</v>
      </c>
      <c r="G4047" s="49" t="str">
        <f t="shared" si="1"/>
        <v>19160</v>
      </c>
      <c r="H4047" s="49">
        <f t="shared" si="2"/>
        <v>19219</v>
      </c>
    </row>
    <row r="4048">
      <c r="A4048" s="48" t="s">
        <v>6690</v>
      </c>
      <c r="B4048" s="38">
        <v>38249.0</v>
      </c>
      <c r="C4048" s="38" t="s">
        <v>6691</v>
      </c>
      <c r="D4048" s="38" t="str">
        <f>IFERROR(__xludf.DUMMYFUNCTION("REGEXREPLACE(C4048,""-\d+(.*)|--\d+(.*)"","""")"),"MONTBONNOT-SAINT-MARTIN")</f>
        <v>MONTBONNOT-SAINT-MARTIN</v>
      </c>
      <c r="E4048" s="38" t="s">
        <v>101</v>
      </c>
      <c r="F4048" s="38" t="s">
        <v>102</v>
      </c>
      <c r="G4048" s="49" t="str">
        <f t="shared" si="1"/>
        <v>38330</v>
      </c>
      <c r="H4048" s="49">
        <f t="shared" si="2"/>
        <v>38249</v>
      </c>
    </row>
    <row r="4049">
      <c r="A4049" s="48" t="s">
        <v>2016</v>
      </c>
      <c r="B4049" s="38">
        <v>50545.0</v>
      </c>
      <c r="C4049" s="38" t="s">
        <v>6692</v>
      </c>
      <c r="D4049" s="38" t="str">
        <f>IFERROR(__xludf.DUMMYFUNCTION("REGEXREPLACE(C4049,""-\d+(.*)|--\d+(.*)"","""")"),"SAINT-ROMPHAIRE")</f>
        <v>SAINT-ROMPHAIRE</v>
      </c>
      <c r="E4049" s="38" t="s">
        <v>157</v>
      </c>
      <c r="F4049" s="38" t="s">
        <v>138</v>
      </c>
      <c r="G4049" s="49" t="str">
        <f t="shared" si="1"/>
        <v>50750</v>
      </c>
      <c r="H4049" s="49">
        <f t="shared" si="2"/>
        <v>50545</v>
      </c>
    </row>
    <row r="4050">
      <c r="A4050" s="48" t="s">
        <v>4895</v>
      </c>
      <c r="B4050" s="38">
        <v>34112.0</v>
      </c>
      <c r="C4050" s="38" t="s">
        <v>6693</v>
      </c>
      <c r="D4050" s="38" t="str">
        <f>IFERROR(__xludf.DUMMYFUNCTION("REGEXREPLACE(C4050,""-\d+(.*)|--\d+(.*)"","""")"),"GARRIGUES")</f>
        <v>GARRIGUES</v>
      </c>
      <c r="E4050" s="38" t="s">
        <v>118</v>
      </c>
      <c r="F4050" s="38" t="s">
        <v>119</v>
      </c>
      <c r="G4050" s="49" t="str">
        <f t="shared" si="1"/>
        <v>34160</v>
      </c>
      <c r="H4050" s="49">
        <f t="shared" si="2"/>
        <v>34112</v>
      </c>
    </row>
    <row r="4051">
      <c r="A4051" s="48" t="s">
        <v>6694</v>
      </c>
      <c r="B4051" s="38">
        <v>16314.0</v>
      </c>
      <c r="C4051" s="38" t="s">
        <v>6695</v>
      </c>
      <c r="D4051" s="38" t="str">
        <f>IFERROR(__xludf.DUMMYFUNCTION("REGEXREPLACE(C4051,""-\d+(.*)|--\d+(.*)"","""")"),"SAINT-EUTROPE")</f>
        <v>SAINT-EUTROPE</v>
      </c>
      <c r="E4051" s="38" t="s">
        <v>429</v>
      </c>
      <c r="F4051" s="38" t="s">
        <v>338</v>
      </c>
      <c r="G4051" s="49" t="str">
        <f t="shared" si="1"/>
        <v>16190</v>
      </c>
      <c r="H4051" s="49">
        <f t="shared" si="2"/>
        <v>16314</v>
      </c>
    </row>
    <row r="4052">
      <c r="A4052" s="48" t="s">
        <v>981</v>
      </c>
      <c r="B4052" s="38">
        <v>24390.0</v>
      </c>
      <c r="C4052" s="38" t="s">
        <v>6696</v>
      </c>
      <c r="D4052" s="38" t="str">
        <f>IFERROR(__xludf.DUMMYFUNCTION("REGEXREPLACE(C4052,""-\d+(.*)|--\d+(.*)"","""")"),"SAINT-CREPIN-D'AUBEROCHE")</f>
        <v>SAINT-CREPIN-D'AUBEROCHE</v>
      </c>
      <c r="E4052" s="38" t="s">
        <v>261</v>
      </c>
      <c r="F4052" s="38" t="s">
        <v>252</v>
      </c>
      <c r="G4052" s="49" t="str">
        <f t="shared" si="1"/>
        <v>24330</v>
      </c>
      <c r="H4052" s="49">
        <f t="shared" si="2"/>
        <v>24390</v>
      </c>
    </row>
    <row r="4053">
      <c r="A4053" s="48" t="s">
        <v>5791</v>
      </c>
      <c r="B4053" s="38">
        <v>85118.0</v>
      </c>
      <c r="C4053" s="38" t="s">
        <v>6697</v>
      </c>
      <c r="D4053" s="38" t="str">
        <f>IFERROR(__xludf.DUMMYFUNCTION("REGEXREPLACE(C4053,""-\d+(.*)|--\d+(.*)"","""")"),"LANDERONDE")</f>
        <v>LANDERONDE</v>
      </c>
      <c r="E4053" s="38" t="s">
        <v>179</v>
      </c>
      <c r="F4053" s="38" t="s">
        <v>180</v>
      </c>
      <c r="G4053" s="49" t="str">
        <f t="shared" si="1"/>
        <v>85150</v>
      </c>
      <c r="H4053" s="49">
        <f t="shared" si="2"/>
        <v>85118</v>
      </c>
    </row>
    <row r="4054">
      <c r="A4054" s="48" t="s">
        <v>6698</v>
      </c>
      <c r="B4054" s="38">
        <v>25586.0</v>
      </c>
      <c r="C4054" s="38" t="s">
        <v>6699</v>
      </c>
      <c r="D4054" s="38" t="str">
        <f>IFERROR(__xludf.DUMMYFUNCTION("REGEXREPLACE(C4054,""-\d+(.*)|--\d+(.*)"","""")"),"VANDONCOURT")</f>
        <v>VANDONCOURT</v>
      </c>
      <c r="E4054" s="38" t="s">
        <v>213</v>
      </c>
      <c r="F4054" s="38" t="s">
        <v>214</v>
      </c>
      <c r="G4054" s="49" t="str">
        <f t="shared" si="1"/>
        <v>25230</v>
      </c>
      <c r="H4054" s="49">
        <f t="shared" si="2"/>
        <v>25586</v>
      </c>
    </row>
    <row r="4055">
      <c r="A4055" s="48" t="s">
        <v>1896</v>
      </c>
      <c r="B4055" s="38">
        <v>51225.0</v>
      </c>
      <c r="C4055" s="38" t="s">
        <v>6700</v>
      </c>
      <c r="D4055" s="38" t="str">
        <f>IFERROR(__xludf.DUMMYFUNCTION("REGEXREPLACE(C4055,""-\d+(.*)|--\d+(.*)"","""")"),"ECUEIL")</f>
        <v>ECUEIL</v>
      </c>
      <c r="E4055" s="38" t="s">
        <v>129</v>
      </c>
      <c r="F4055" s="38" t="s">
        <v>130</v>
      </c>
      <c r="G4055" s="49" t="str">
        <f t="shared" si="1"/>
        <v>51500</v>
      </c>
      <c r="H4055" s="49">
        <f t="shared" si="2"/>
        <v>51225</v>
      </c>
    </row>
    <row r="4056">
      <c r="A4056" s="48" t="s">
        <v>6701</v>
      </c>
      <c r="B4056" s="38">
        <v>77091.0</v>
      </c>
      <c r="C4056" s="38" t="s">
        <v>6702</v>
      </c>
      <c r="D4056" s="38" t="str">
        <f>IFERROR(__xludf.DUMMYFUNCTION("REGEXREPLACE(C4056,""-\d+(.*)|--\d+(.*)"","""")"),"LES CHAPELLES-BOURBON")</f>
        <v>LES CHAPELLES-BOURBON</v>
      </c>
      <c r="E4056" s="38" t="s">
        <v>244</v>
      </c>
      <c r="F4056" s="38" t="s">
        <v>245</v>
      </c>
      <c r="G4056" s="49" t="str">
        <f t="shared" si="1"/>
        <v>77610</v>
      </c>
      <c r="H4056" s="49">
        <f t="shared" si="2"/>
        <v>77091</v>
      </c>
    </row>
    <row r="4057">
      <c r="A4057" s="48" t="s">
        <v>4125</v>
      </c>
      <c r="B4057" s="38">
        <v>19179.0</v>
      </c>
      <c r="C4057" s="38" t="s">
        <v>6703</v>
      </c>
      <c r="D4057" s="38" t="str">
        <f>IFERROR(__xludf.DUMMYFUNCTION("REGEXREPLACE(C4057,""-\d+(.*)|--\d+(.*)"","""")"),"SAILLAC")</f>
        <v>SAILLAC</v>
      </c>
      <c r="E4057" s="38" t="s">
        <v>271</v>
      </c>
      <c r="F4057" s="38" t="s">
        <v>98</v>
      </c>
      <c r="G4057" s="49" t="str">
        <f t="shared" si="1"/>
        <v>19500</v>
      </c>
      <c r="H4057" s="49">
        <f t="shared" si="2"/>
        <v>19179</v>
      </c>
    </row>
    <row r="4058">
      <c r="A4058" s="48" t="s">
        <v>6704</v>
      </c>
      <c r="B4058" s="38">
        <v>12295.0</v>
      </c>
      <c r="C4058" s="38" t="s">
        <v>6705</v>
      </c>
      <c r="D4058" s="38" t="str">
        <f>IFERROR(__xludf.DUMMYFUNCTION("REGEXREPLACE(C4058,""-\d+(.*)|--\d+(.*)"","""")"),"VIALA-DU-PAS-DE-JAUX")</f>
        <v>VIALA-DU-PAS-DE-JAUX</v>
      </c>
      <c r="E4058" s="38" t="s">
        <v>465</v>
      </c>
      <c r="F4058" s="38" t="s">
        <v>94</v>
      </c>
      <c r="G4058" s="49" t="str">
        <f t="shared" si="1"/>
        <v>12250</v>
      </c>
      <c r="H4058" s="49">
        <f t="shared" si="2"/>
        <v>12295</v>
      </c>
    </row>
    <row r="4059">
      <c r="A4059" s="48" t="s">
        <v>423</v>
      </c>
      <c r="B4059" s="38">
        <v>2368.0</v>
      </c>
      <c r="C4059" s="38" t="s">
        <v>6706</v>
      </c>
      <c r="D4059" s="38" t="str">
        <f>IFERROR(__xludf.DUMMYFUNCTION("REGEXREPLACE(C4059,""-\d+(.*)|--\d+(.*)"","""")"),"HARAMONT")</f>
        <v>HARAMONT</v>
      </c>
      <c r="E4059" s="38" t="s">
        <v>191</v>
      </c>
      <c r="F4059" s="38" t="s">
        <v>113</v>
      </c>
      <c r="G4059" s="49" t="str">
        <f t="shared" si="1"/>
        <v>02600</v>
      </c>
      <c r="H4059" s="49" t="str">
        <f t="shared" si="2"/>
        <v>02368</v>
      </c>
    </row>
    <row r="4060">
      <c r="A4060" s="48" t="s">
        <v>1396</v>
      </c>
      <c r="B4060" s="38">
        <v>29070.0</v>
      </c>
      <c r="C4060" s="38" t="s">
        <v>6707</v>
      </c>
      <c r="D4060" s="38" t="str">
        <f>IFERROR(__xludf.DUMMYFUNCTION("REGEXREPLACE(C4060,""-\d+(.*)|--\d+(.*)"","""")"),"GUILER-SUR-GOYEN")</f>
        <v>GUILER-SUR-GOYEN</v>
      </c>
      <c r="E4060" s="38" t="s">
        <v>176</v>
      </c>
      <c r="F4060" s="38" t="s">
        <v>90</v>
      </c>
      <c r="G4060" s="49" t="str">
        <f t="shared" si="1"/>
        <v>29710</v>
      </c>
      <c r="H4060" s="49">
        <f t="shared" si="2"/>
        <v>29070</v>
      </c>
    </row>
    <row r="4061">
      <c r="A4061" s="48" t="s">
        <v>1426</v>
      </c>
      <c r="B4061" s="38">
        <v>61048.0</v>
      </c>
      <c r="C4061" s="38" t="s">
        <v>6708</v>
      </c>
      <c r="D4061" s="38" t="str">
        <f>IFERROR(__xludf.DUMMYFUNCTION("REGEXREPLACE(C4061,""-\d+(.*)|--\d+(.*)"","""")"),"BOECE")</f>
        <v>BOECE</v>
      </c>
      <c r="E4061" s="38" t="s">
        <v>141</v>
      </c>
      <c r="F4061" s="38" t="s">
        <v>138</v>
      </c>
      <c r="G4061" s="49" t="str">
        <f t="shared" si="1"/>
        <v>61560</v>
      </c>
      <c r="H4061" s="49">
        <f t="shared" si="2"/>
        <v>61048</v>
      </c>
    </row>
    <row r="4062">
      <c r="A4062" s="48" t="s">
        <v>6709</v>
      </c>
      <c r="B4062" s="38">
        <v>29127.0</v>
      </c>
      <c r="C4062" s="38" t="s">
        <v>6710</v>
      </c>
      <c r="D4062" s="38" t="str">
        <f>IFERROR(__xludf.DUMMYFUNCTION("REGEXREPLACE(C4062,""-\d+(.*)|--\d+(.*)"","""")"),"LOC-EGUINER-SAINT-THEGONNEC")</f>
        <v>LOC-EGUINER-SAINT-THEGONNEC</v>
      </c>
      <c r="E4062" s="38" t="s">
        <v>176</v>
      </c>
      <c r="F4062" s="38" t="s">
        <v>90</v>
      </c>
      <c r="G4062" s="49" t="str">
        <f t="shared" si="1"/>
        <v>29410</v>
      </c>
      <c r="H4062" s="49">
        <f t="shared" si="2"/>
        <v>29127</v>
      </c>
    </row>
    <row r="4063">
      <c r="A4063" s="48" t="s">
        <v>2703</v>
      </c>
      <c r="B4063" s="38">
        <v>69132.0</v>
      </c>
      <c r="C4063" s="38" t="s">
        <v>6711</v>
      </c>
      <c r="D4063" s="38" t="str">
        <f>IFERROR(__xludf.DUMMYFUNCTION("REGEXREPLACE(C4063,""-\d+(.*)|--\d+(.*)"","""")"),"MEYS")</f>
        <v>MEYS</v>
      </c>
      <c r="E4063" s="38" t="s">
        <v>350</v>
      </c>
      <c r="F4063" s="38" t="s">
        <v>102</v>
      </c>
      <c r="G4063" s="49" t="str">
        <f t="shared" si="1"/>
        <v>69610</v>
      </c>
      <c r="H4063" s="49">
        <f t="shared" si="2"/>
        <v>69132</v>
      </c>
    </row>
    <row r="4064">
      <c r="A4064" s="48" t="s">
        <v>1000</v>
      </c>
      <c r="B4064" s="38">
        <v>70473.0</v>
      </c>
      <c r="C4064" s="38" t="s">
        <v>4403</v>
      </c>
      <c r="D4064" s="38" t="str">
        <f>IFERROR(__xludf.DUMMYFUNCTION("REGEXREPLACE(C4064,""-\d+(.*)|--\d+(.*)"","""")"),"SAINT-SAUVEUR")</f>
        <v>SAINT-SAUVEUR</v>
      </c>
      <c r="E4064" s="38" t="s">
        <v>956</v>
      </c>
      <c r="F4064" s="38" t="s">
        <v>214</v>
      </c>
      <c r="G4064" s="49" t="str">
        <f t="shared" si="1"/>
        <v>70300</v>
      </c>
      <c r="H4064" s="49">
        <f t="shared" si="2"/>
        <v>70473</v>
      </c>
    </row>
    <row r="4065">
      <c r="A4065" s="48" t="s">
        <v>5334</v>
      </c>
      <c r="B4065" s="38" t="s">
        <v>6712</v>
      </c>
      <c r="C4065" s="38" t="s">
        <v>6713</v>
      </c>
      <c r="D4065" s="38" t="str">
        <f>IFERROR(__xludf.DUMMYFUNCTION("REGEXREPLACE(C4065,""-\d+(.*)|--\d+(.*)"","""")"),"CASTIGLIONE")</f>
        <v>CASTIGLIONE</v>
      </c>
      <c r="E4065" s="38" t="s">
        <v>743</v>
      </c>
      <c r="F4065" s="38" t="s">
        <v>607</v>
      </c>
      <c r="G4065" s="49" t="str">
        <f t="shared" si="1"/>
        <v>20218</v>
      </c>
      <c r="H4065" s="49" t="str">
        <f t="shared" si="2"/>
        <v>2B081</v>
      </c>
    </row>
    <row r="4066">
      <c r="A4066" s="48" t="s">
        <v>2547</v>
      </c>
      <c r="B4066" s="38">
        <v>8057.0</v>
      </c>
      <c r="C4066" s="38" t="s">
        <v>6714</v>
      </c>
      <c r="D4066" s="38" t="str">
        <f>IFERROR(__xludf.DUMMYFUNCTION("REGEXREPLACE(C4066,""-\d+(.*)|--\d+(.*)"","""")"),"BELLEVILLE-ET-CHATILLON-SUR-BAR")</f>
        <v>BELLEVILLE-ET-CHATILLON-SUR-BAR</v>
      </c>
      <c r="E4066" s="38" t="s">
        <v>327</v>
      </c>
      <c r="F4066" s="38" t="s">
        <v>130</v>
      </c>
      <c r="G4066" s="49" t="str">
        <f t="shared" si="1"/>
        <v>08240</v>
      </c>
      <c r="H4066" s="49" t="str">
        <f t="shared" si="2"/>
        <v>08057</v>
      </c>
    </row>
    <row r="4067">
      <c r="A4067" s="48" t="s">
        <v>6715</v>
      </c>
      <c r="B4067" s="38">
        <v>62830.0</v>
      </c>
      <c r="C4067" s="38" t="s">
        <v>6716</v>
      </c>
      <c r="D4067" s="38" t="str">
        <f>IFERROR(__xludf.DUMMYFUNCTION("REGEXREPLACE(C4067,""-\d+(.*)|--\d+(.*)"","""")"),"TRESCAULT")</f>
        <v>TRESCAULT</v>
      </c>
      <c r="E4067" s="38" t="s">
        <v>109</v>
      </c>
      <c r="F4067" s="38" t="s">
        <v>86</v>
      </c>
      <c r="G4067" s="49" t="str">
        <f t="shared" si="1"/>
        <v>62147</v>
      </c>
      <c r="H4067" s="49">
        <f t="shared" si="2"/>
        <v>62830</v>
      </c>
    </row>
    <row r="4068">
      <c r="A4068" s="48" t="s">
        <v>2534</v>
      </c>
      <c r="B4068" s="38">
        <v>27506.0</v>
      </c>
      <c r="C4068" s="38" t="s">
        <v>6717</v>
      </c>
      <c r="D4068" s="38" t="str">
        <f>IFERROR(__xludf.DUMMYFUNCTION("REGEXREPLACE(C4068,""-\d+(.*)|--\d+(.*)"","""")"),"SAINT-AMAND-DES-HAUTES-TERRES")</f>
        <v>SAINT-AMAND-DES-HAUTES-TERRES</v>
      </c>
      <c r="E4068" s="38" t="s">
        <v>241</v>
      </c>
      <c r="F4068" s="38" t="s">
        <v>134</v>
      </c>
      <c r="G4068" s="49" t="str">
        <f t="shared" si="1"/>
        <v>27370</v>
      </c>
      <c r="H4068" s="49">
        <f t="shared" si="2"/>
        <v>27506</v>
      </c>
    </row>
    <row r="4069">
      <c r="A4069" s="48" t="s">
        <v>384</v>
      </c>
      <c r="B4069" s="38">
        <v>55514.0</v>
      </c>
      <c r="C4069" s="38" t="s">
        <v>6718</v>
      </c>
      <c r="D4069" s="38" t="str">
        <f>IFERROR(__xludf.DUMMYFUNCTION("REGEXREPLACE(C4069,""-\d+(.*)|--\d+(.*)"","""")"),"TREMONT-SUR-SAULX")</f>
        <v>TREMONT-SUR-SAULX</v>
      </c>
      <c r="E4069" s="38" t="s">
        <v>322</v>
      </c>
      <c r="F4069" s="38" t="s">
        <v>195</v>
      </c>
      <c r="G4069" s="49" t="str">
        <f t="shared" si="1"/>
        <v>55000</v>
      </c>
      <c r="H4069" s="49">
        <f t="shared" si="2"/>
        <v>55514</v>
      </c>
    </row>
    <row r="4070">
      <c r="A4070" s="48" t="s">
        <v>616</v>
      </c>
      <c r="B4070" s="38">
        <v>89433.0</v>
      </c>
      <c r="C4070" s="38" t="s">
        <v>6719</v>
      </c>
      <c r="D4070" s="38" t="str">
        <f>IFERROR(__xludf.DUMMYFUNCTION("REGEXREPLACE(C4070,""-\d+(.*)|--\d+(.*)"","""")"),"VAULT-DE-LUGNY")</f>
        <v>VAULT-DE-LUGNY</v>
      </c>
      <c r="E4070" s="38" t="s">
        <v>275</v>
      </c>
      <c r="F4070" s="38" t="s">
        <v>106</v>
      </c>
      <c r="G4070" s="49" t="str">
        <f t="shared" si="1"/>
        <v>89200</v>
      </c>
      <c r="H4070" s="49">
        <f t="shared" si="2"/>
        <v>89433</v>
      </c>
    </row>
    <row r="4071">
      <c r="A4071" s="48" t="s">
        <v>1439</v>
      </c>
      <c r="B4071" s="38">
        <v>28279.0</v>
      </c>
      <c r="C4071" s="38" t="s">
        <v>6720</v>
      </c>
      <c r="D4071" s="38" t="str">
        <f>IFERROR(__xludf.DUMMYFUNCTION("REGEXREPLACE(C4071,""-\d+(.*)|--\d+(.*)"","""")"),"NOGENT-LE-ROI")</f>
        <v>NOGENT-LE-ROI</v>
      </c>
      <c r="E4071" s="38" t="s">
        <v>300</v>
      </c>
      <c r="F4071" s="38" t="s">
        <v>123</v>
      </c>
      <c r="G4071" s="49" t="str">
        <f t="shared" si="1"/>
        <v>28210</v>
      </c>
      <c r="H4071" s="49">
        <f t="shared" si="2"/>
        <v>28279</v>
      </c>
    </row>
    <row r="4072">
      <c r="A4072" s="48" t="s">
        <v>6721</v>
      </c>
      <c r="B4072" s="38">
        <v>44058.0</v>
      </c>
      <c r="C4072" s="38" t="s">
        <v>6722</v>
      </c>
      <c r="D4072" s="38" t="str">
        <f>IFERROR(__xludf.DUMMYFUNCTION("REGEXREPLACE(C4072,""-\d+(.*)|--\d+(.*)"","""")"),"FERCE")</f>
        <v>FERCE</v>
      </c>
      <c r="E4072" s="38" t="s">
        <v>759</v>
      </c>
      <c r="F4072" s="38" t="s">
        <v>180</v>
      </c>
      <c r="G4072" s="49" t="str">
        <f t="shared" si="1"/>
        <v>44660</v>
      </c>
      <c r="H4072" s="49">
        <f t="shared" si="2"/>
        <v>44058</v>
      </c>
    </row>
    <row r="4073">
      <c r="A4073" s="48" t="s">
        <v>1536</v>
      </c>
      <c r="B4073" s="38">
        <v>43174.0</v>
      </c>
      <c r="C4073" s="38" t="s">
        <v>6723</v>
      </c>
      <c r="D4073" s="38" t="str">
        <f>IFERROR(__xludf.DUMMYFUNCTION("REGEXREPLACE(C4073,""-\d+(.*)|--\d+(.*)"","""")"),"SAINT-CHRISTOPHE-SUR-DOLAISON")</f>
        <v>SAINT-CHRISTOPHE-SUR-DOLAISON</v>
      </c>
      <c r="E4073" s="38" t="s">
        <v>332</v>
      </c>
      <c r="F4073" s="38" t="s">
        <v>161</v>
      </c>
      <c r="G4073" s="49" t="str">
        <f t="shared" si="1"/>
        <v>43370</v>
      </c>
      <c r="H4073" s="49">
        <f t="shared" si="2"/>
        <v>43174</v>
      </c>
    </row>
    <row r="4074">
      <c r="A4074" s="48" t="s">
        <v>1991</v>
      </c>
      <c r="B4074" s="38">
        <v>54153.0</v>
      </c>
      <c r="C4074" s="38" t="s">
        <v>6724</v>
      </c>
      <c r="D4074" s="38" t="str">
        <f>IFERROR(__xludf.DUMMYFUNCTION("REGEXREPLACE(C4074,""-\d+(.*)|--\d+(.*)"","""")"),"DAMPVITOUX")</f>
        <v>DAMPVITOUX</v>
      </c>
      <c r="E4074" s="38" t="s">
        <v>548</v>
      </c>
      <c r="F4074" s="38" t="s">
        <v>195</v>
      </c>
      <c r="G4074" s="49" t="str">
        <f t="shared" si="1"/>
        <v>54470</v>
      </c>
      <c r="H4074" s="49">
        <f t="shared" si="2"/>
        <v>54153</v>
      </c>
    </row>
    <row r="4075">
      <c r="A4075" s="48" t="s">
        <v>1898</v>
      </c>
      <c r="B4075" s="38">
        <v>31546.0</v>
      </c>
      <c r="C4075" s="38" t="s">
        <v>6725</v>
      </c>
      <c r="D4075" s="38" t="str">
        <f>IFERROR(__xludf.DUMMYFUNCTION("REGEXREPLACE(C4075,""-\d+(.*)|--\d+(.*)"","""")"),"SEYRE")</f>
        <v>SEYRE</v>
      </c>
      <c r="E4075" s="38" t="s">
        <v>93</v>
      </c>
      <c r="F4075" s="38" t="s">
        <v>94</v>
      </c>
      <c r="G4075" s="49" t="str">
        <f t="shared" si="1"/>
        <v>31560</v>
      </c>
      <c r="H4075" s="49">
        <f t="shared" si="2"/>
        <v>31546</v>
      </c>
    </row>
    <row r="4076">
      <c r="A4076" s="48" t="s">
        <v>6726</v>
      </c>
      <c r="B4076" s="38">
        <v>80168.0</v>
      </c>
      <c r="C4076" s="38" t="s">
        <v>6727</v>
      </c>
      <c r="D4076" s="38" t="str">
        <f>IFERROR(__xludf.DUMMYFUNCTION("REGEXREPLACE(C4076,""-\d+(.*)|--\d+(.*)"","""")"),"CANDAS")</f>
        <v>CANDAS</v>
      </c>
      <c r="E4076" s="38" t="s">
        <v>224</v>
      </c>
      <c r="F4076" s="38" t="s">
        <v>113</v>
      </c>
      <c r="G4076" s="49" t="str">
        <f t="shared" si="1"/>
        <v>80750</v>
      </c>
      <c r="H4076" s="49">
        <f t="shared" si="2"/>
        <v>80168</v>
      </c>
    </row>
    <row r="4077">
      <c r="A4077" s="48" t="s">
        <v>6728</v>
      </c>
      <c r="B4077" s="38">
        <v>89223.0</v>
      </c>
      <c r="C4077" s="38" t="s">
        <v>6729</v>
      </c>
      <c r="D4077" s="38" t="str">
        <f>IFERROR(__xludf.DUMMYFUNCTION("REGEXREPLACE(C4077,""-\d+(.*)|--\d+(.*)"","""")"),"LEZINNES")</f>
        <v>LEZINNES</v>
      </c>
      <c r="E4077" s="38" t="s">
        <v>275</v>
      </c>
      <c r="F4077" s="38" t="s">
        <v>106</v>
      </c>
      <c r="G4077" s="49" t="str">
        <f t="shared" si="1"/>
        <v>89160</v>
      </c>
      <c r="H4077" s="49">
        <f t="shared" si="2"/>
        <v>89223</v>
      </c>
    </row>
    <row r="4078">
      <c r="A4078" s="48" t="s">
        <v>2382</v>
      </c>
      <c r="B4078" s="38">
        <v>54046.0</v>
      </c>
      <c r="C4078" s="38" t="s">
        <v>6730</v>
      </c>
      <c r="D4078" s="38" t="str">
        <f>IFERROR(__xludf.DUMMYFUNCTION("REGEXREPLACE(C4078,""-\d+(.*)|--\d+(.*)"","""")"),"BARISEY-AU-PLAIN")</f>
        <v>BARISEY-AU-PLAIN</v>
      </c>
      <c r="E4078" s="38" t="s">
        <v>548</v>
      </c>
      <c r="F4078" s="38" t="s">
        <v>195</v>
      </c>
      <c r="G4078" s="49" t="str">
        <f t="shared" si="1"/>
        <v>54170</v>
      </c>
      <c r="H4078" s="49">
        <f t="shared" si="2"/>
        <v>54046</v>
      </c>
    </row>
    <row r="4079">
      <c r="A4079" s="48" t="s">
        <v>6731</v>
      </c>
      <c r="B4079" s="38">
        <v>89186.0</v>
      </c>
      <c r="C4079" s="38" t="s">
        <v>6732</v>
      </c>
      <c r="D4079" s="38" t="str">
        <f>IFERROR(__xludf.DUMMYFUNCTION("REGEXREPLACE(C4079,""-\d+(.*)|--\d+(.*)"","""")"),"GERMIGNY")</f>
        <v>GERMIGNY</v>
      </c>
      <c r="E4079" s="38" t="s">
        <v>275</v>
      </c>
      <c r="F4079" s="38" t="s">
        <v>106</v>
      </c>
      <c r="G4079" s="49" t="str">
        <f t="shared" si="1"/>
        <v>89600</v>
      </c>
      <c r="H4079" s="49">
        <f t="shared" si="2"/>
        <v>89186</v>
      </c>
    </row>
    <row r="4080">
      <c r="A4080" s="48" t="s">
        <v>3190</v>
      </c>
      <c r="B4080" s="38">
        <v>70375.0</v>
      </c>
      <c r="C4080" s="38" t="s">
        <v>6733</v>
      </c>
      <c r="D4080" s="38" t="str">
        <f>IFERROR(__xludf.DUMMYFUNCTION("REGEXREPLACE(C4080,""-\d+(.*)|--\d+(.*)"","""")"),"MOTEY-SUR-SAONE")</f>
        <v>MOTEY-SUR-SAONE</v>
      </c>
      <c r="E4080" s="38" t="s">
        <v>956</v>
      </c>
      <c r="F4080" s="38" t="s">
        <v>214</v>
      </c>
      <c r="G4080" s="49" t="str">
        <f t="shared" si="1"/>
        <v>70130</v>
      </c>
      <c r="H4080" s="49">
        <f t="shared" si="2"/>
        <v>70375</v>
      </c>
    </row>
    <row r="4081">
      <c r="A4081" s="48" t="s">
        <v>6734</v>
      </c>
      <c r="B4081" s="38">
        <v>28185.0</v>
      </c>
      <c r="C4081" s="38" t="s">
        <v>6735</v>
      </c>
      <c r="D4081" s="38" t="str">
        <f>IFERROR(__xludf.DUMMYFUNCTION("REGEXREPLACE(C4081,""-\d+(.*)|--\d+(.*)"","""")"),"GOUSSAINVILLE")</f>
        <v>GOUSSAINVILLE</v>
      </c>
      <c r="E4081" s="38" t="s">
        <v>300</v>
      </c>
      <c r="F4081" s="38" t="s">
        <v>123</v>
      </c>
      <c r="G4081" s="49" t="str">
        <f t="shared" si="1"/>
        <v>28410</v>
      </c>
      <c r="H4081" s="49">
        <f t="shared" si="2"/>
        <v>28185</v>
      </c>
    </row>
    <row r="4082">
      <c r="A4082" s="48" t="s">
        <v>6736</v>
      </c>
      <c r="B4082" s="38">
        <v>31058.0</v>
      </c>
      <c r="C4082" s="38" t="s">
        <v>6737</v>
      </c>
      <c r="D4082" s="38" t="str">
        <f>IFERROR(__xludf.DUMMYFUNCTION("REGEXREPLACE(C4082,""-\d+(.*)|--\d+(.*)"","""")"),"BELBEZE-DE-LAURAGAIS")</f>
        <v>BELBEZE-DE-LAURAGAIS</v>
      </c>
      <c r="E4082" s="38" t="s">
        <v>93</v>
      </c>
      <c r="F4082" s="38" t="s">
        <v>94</v>
      </c>
      <c r="G4082" s="49" t="str">
        <f t="shared" si="1"/>
        <v>31450</v>
      </c>
      <c r="H4082" s="49">
        <f t="shared" si="2"/>
        <v>31058</v>
      </c>
    </row>
    <row r="4083">
      <c r="A4083" s="48" t="s">
        <v>6738</v>
      </c>
      <c r="B4083" s="38">
        <v>65395.0</v>
      </c>
      <c r="C4083" s="38" t="s">
        <v>6739</v>
      </c>
      <c r="D4083" s="38" t="str">
        <f>IFERROR(__xludf.DUMMYFUNCTION("REGEXREPLACE(C4083,""-\d+(.*)|--\d+(.*)"","""")"),"SAINT-PE-DE-BIGORRE")</f>
        <v>SAINT-PE-DE-BIGORRE</v>
      </c>
      <c r="E4083" s="38" t="s">
        <v>200</v>
      </c>
      <c r="F4083" s="38" t="s">
        <v>94</v>
      </c>
      <c r="G4083" s="49" t="str">
        <f t="shared" si="1"/>
        <v>65270</v>
      </c>
      <c r="H4083" s="49">
        <f t="shared" si="2"/>
        <v>65395</v>
      </c>
    </row>
    <row r="4084">
      <c r="A4084" s="48" t="s">
        <v>2783</v>
      </c>
      <c r="B4084" s="38">
        <v>31014.0</v>
      </c>
      <c r="C4084" s="38" t="s">
        <v>6740</v>
      </c>
      <c r="D4084" s="38" t="str">
        <f>IFERROR(__xludf.DUMMYFUNCTION("REGEXREPLACE(C4084,""-\d+(.*)|--\d+(.*)"","""")"),"ARGUENOS")</f>
        <v>ARGUENOS</v>
      </c>
      <c r="E4084" s="38" t="s">
        <v>93</v>
      </c>
      <c r="F4084" s="38" t="s">
        <v>94</v>
      </c>
      <c r="G4084" s="49" t="str">
        <f t="shared" si="1"/>
        <v>31160</v>
      </c>
      <c r="H4084" s="49">
        <f t="shared" si="2"/>
        <v>31014</v>
      </c>
    </row>
    <row r="4085">
      <c r="A4085" s="48" t="s">
        <v>6741</v>
      </c>
      <c r="B4085" s="38">
        <v>26218.0</v>
      </c>
      <c r="C4085" s="38" t="s">
        <v>6742</v>
      </c>
      <c r="D4085" s="38" t="str">
        <f>IFERROR(__xludf.DUMMYFUNCTION("REGEXREPLACE(C4085,""-\d+(.*)|--\d+(.*)"","""")"),"MOURS-SAINT-EUSEBE")</f>
        <v>MOURS-SAINT-EUSEBE</v>
      </c>
      <c r="E4085" s="38" t="s">
        <v>126</v>
      </c>
      <c r="F4085" s="38" t="s">
        <v>102</v>
      </c>
      <c r="G4085" s="49" t="str">
        <f t="shared" si="1"/>
        <v>26540</v>
      </c>
      <c r="H4085" s="49">
        <f t="shared" si="2"/>
        <v>26218</v>
      </c>
    </row>
    <row r="4086">
      <c r="A4086" s="48" t="s">
        <v>6743</v>
      </c>
      <c r="B4086" s="38">
        <v>53128.0</v>
      </c>
      <c r="C4086" s="38" t="s">
        <v>6744</v>
      </c>
      <c r="D4086" s="38" t="str">
        <f>IFERROR(__xludf.DUMMYFUNCTION("REGEXREPLACE(C4086,""-\d+(.*)|--\d+(.*)"","""")"),"LAUBRIERES")</f>
        <v>LAUBRIERES</v>
      </c>
      <c r="E4086" s="38" t="s">
        <v>518</v>
      </c>
      <c r="F4086" s="38" t="s">
        <v>180</v>
      </c>
      <c r="G4086" s="49" t="str">
        <f t="shared" si="1"/>
        <v>53540</v>
      </c>
      <c r="H4086" s="49">
        <f t="shared" si="2"/>
        <v>53128</v>
      </c>
    </row>
    <row r="4087">
      <c r="A4087" s="48" t="s">
        <v>1800</v>
      </c>
      <c r="B4087" s="38">
        <v>88168.0</v>
      </c>
      <c r="C4087" s="38" t="s">
        <v>6745</v>
      </c>
      <c r="D4087" s="38" t="str">
        <f>IFERROR(__xludf.DUMMYFUNCTION("REGEXREPLACE(C4087,""-\d+(.*)|--\d+(.*)"","""")"),"FAUCONCOURT")</f>
        <v>FAUCONCOURT</v>
      </c>
      <c r="E4087" s="38" t="s">
        <v>194</v>
      </c>
      <c r="F4087" s="38" t="s">
        <v>195</v>
      </c>
      <c r="G4087" s="49" t="str">
        <f t="shared" si="1"/>
        <v>88700</v>
      </c>
      <c r="H4087" s="49">
        <f t="shared" si="2"/>
        <v>88168</v>
      </c>
    </row>
    <row r="4088">
      <c r="A4088" s="48" t="s">
        <v>3488</v>
      </c>
      <c r="B4088" s="38">
        <v>67560.0</v>
      </c>
      <c r="C4088" s="38" t="s">
        <v>6746</v>
      </c>
      <c r="D4088" s="38" t="str">
        <f>IFERROR(__xludf.DUMMYFUNCTION("REGEXREPLACE(C4088,""-\d+(.*)|--\d+(.*)"","""")"),"ZOEBERSDORF")</f>
        <v>ZOEBERSDORF</v>
      </c>
      <c r="E4088" s="38" t="s">
        <v>210</v>
      </c>
      <c r="F4088" s="38" t="s">
        <v>151</v>
      </c>
      <c r="G4088" s="49" t="str">
        <f t="shared" si="1"/>
        <v>67270</v>
      </c>
      <c r="H4088" s="49">
        <f t="shared" si="2"/>
        <v>67560</v>
      </c>
    </row>
    <row r="4089">
      <c r="A4089" s="48" t="s">
        <v>6747</v>
      </c>
      <c r="B4089" s="38">
        <v>35115.0</v>
      </c>
      <c r="C4089" s="38" t="s">
        <v>6748</v>
      </c>
      <c r="D4089" s="38" t="str">
        <f>IFERROR(__xludf.DUMMYFUNCTION("REGEXREPLACE(C4089,""-\d+(.*)|--\d+(.*)"","""")"),"FOUGERES")</f>
        <v>FOUGERES</v>
      </c>
      <c r="E4089" s="38" t="s">
        <v>347</v>
      </c>
      <c r="F4089" s="38" t="s">
        <v>90</v>
      </c>
      <c r="G4089" s="49" t="str">
        <f t="shared" si="1"/>
        <v>35300</v>
      </c>
      <c r="H4089" s="49">
        <f t="shared" si="2"/>
        <v>35115</v>
      </c>
    </row>
    <row r="4090">
      <c r="A4090" s="48" t="s">
        <v>6749</v>
      </c>
      <c r="B4090" s="38">
        <v>35238.0</v>
      </c>
      <c r="C4090" s="38" t="s">
        <v>6750</v>
      </c>
      <c r="D4090" s="38" t="str">
        <f>IFERROR(__xludf.DUMMYFUNCTION("REGEXREPLACE(C4090,""-\d+(.*)|--\d+(.*)"","""")"),"RENNES")</f>
        <v>RENNES</v>
      </c>
      <c r="E4090" s="38" t="s">
        <v>347</v>
      </c>
      <c r="F4090" s="38" t="s">
        <v>90</v>
      </c>
      <c r="G4090" s="49" t="str">
        <f t="shared" si="1"/>
        <v>35000/35200/35700</v>
      </c>
      <c r="H4090" s="49">
        <f t="shared" si="2"/>
        <v>35238</v>
      </c>
    </row>
    <row r="4091">
      <c r="A4091" s="48" t="s">
        <v>4165</v>
      </c>
      <c r="B4091" s="38">
        <v>46113.0</v>
      </c>
      <c r="C4091" s="38" t="s">
        <v>6751</v>
      </c>
      <c r="D4091" s="38" t="str">
        <f>IFERROR(__xludf.DUMMYFUNCTION("REGEXREPLACE(C4091,""-\d+(.*)|--\d+(.*)"","""")"),"FRAYSSINET")</f>
        <v>FRAYSSINET</v>
      </c>
      <c r="E4091" s="38" t="s">
        <v>185</v>
      </c>
      <c r="F4091" s="38" t="s">
        <v>94</v>
      </c>
      <c r="G4091" s="49" t="str">
        <f t="shared" si="1"/>
        <v>46310</v>
      </c>
      <c r="H4091" s="49">
        <f t="shared" si="2"/>
        <v>46113</v>
      </c>
    </row>
    <row r="4092">
      <c r="A4092" s="48" t="s">
        <v>3711</v>
      </c>
      <c r="B4092" s="38">
        <v>21026.0</v>
      </c>
      <c r="C4092" s="38" t="s">
        <v>6752</v>
      </c>
      <c r="D4092" s="38" t="str">
        <f>IFERROR(__xludf.DUMMYFUNCTION("REGEXREPLACE(C4092,""-\d+(.*)|--\d+(.*)"","""")"),"ASNIERES-EN-MONTAGNE")</f>
        <v>ASNIERES-EN-MONTAGNE</v>
      </c>
      <c r="E4092" s="38" t="s">
        <v>105</v>
      </c>
      <c r="F4092" s="38" t="s">
        <v>106</v>
      </c>
      <c r="G4092" s="49" t="str">
        <f t="shared" si="1"/>
        <v>21500</v>
      </c>
      <c r="H4092" s="49">
        <f t="shared" si="2"/>
        <v>21026</v>
      </c>
    </row>
    <row r="4093">
      <c r="A4093" s="48" t="s">
        <v>6753</v>
      </c>
      <c r="B4093" s="38">
        <v>42277.0</v>
      </c>
      <c r="C4093" s="38" t="s">
        <v>6754</v>
      </c>
      <c r="D4093" s="38" t="str">
        <f>IFERROR(__xludf.DUMMYFUNCTION("REGEXREPLACE(C4093,""-\d+(.*)|--\d+(.*)"","""")"),"SAINT-PRIEST-LA-ROCHE")</f>
        <v>SAINT-PRIEST-LA-ROCHE</v>
      </c>
      <c r="E4093" s="38" t="s">
        <v>166</v>
      </c>
      <c r="F4093" s="38" t="s">
        <v>102</v>
      </c>
      <c r="G4093" s="49" t="str">
        <f t="shared" si="1"/>
        <v>42590</v>
      </c>
      <c r="H4093" s="49">
        <f t="shared" si="2"/>
        <v>42277</v>
      </c>
    </row>
    <row r="4094">
      <c r="A4094" s="48" t="s">
        <v>1302</v>
      </c>
      <c r="B4094" s="38">
        <v>38283.0</v>
      </c>
      <c r="C4094" s="38" t="s">
        <v>6755</v>
      </c>
      <c r="D4094" s="38" t="str">
        <f>IFERROR(__xludf.DUMMYFUNCTION("REGEXREPLACE(C4094,""-\d+(.*)|--\d+(.*)"","""")"),"ORIS-EN-RATTIER")</f>
        <v>ORIS-EN-RATTIER</v>
      </c>
      <c r="E4094" s="38" t="s">
        <v>101</v>
      </c>
      <c r="F4094" s="38" t="s">
        <v>102</v>
      </c>
      <c r="G4094" s="49" t="str">
        <f t="shared" si="1"/>
        <v>38350</v>
      </c>
      <c r="H4094" s="49">
        <f t="shared" si="2"/>
        <v>38283</v>
      </c>
    </row>
    <row r="4095">
      <c r="A4095" s="48" t="s">
        <v>4536</v>
      </c>
      <c r="B4095" s="38">
        <v>77011.0</v>
      </c>
      <c r="C4095" s="38" t="s">
        <v>6756</v>
      </c>
      <c r="D4095" s="38" t="str">
        <f>IFERROR(__xludf.DUMMYFUNCTION("REGEXREPLACE(C4095,""-\d+(.*)|--\d+(.*)"","""")"),"AUFFERVILLE")</f>
        <v>AUFFERVILLE</v>
      </c>
      <c r="E4095" s="38" t="s">
        <v>244</v>
      </c>
      <c r="F4095" s="38" t="s">
        <v>245</v>
      </c>
      <c r="G4095" s="49" t="str">
        <f t="shared" si="1"/>
        <v>77570</v>
      </c>
      <c r="H4095" s="49">
        <f t="shared" si="2"/>
        <v>77011</v>
      </c>
    </row>
    <row r="4096">
      <c r="A4096" s="48" t="s">
        <v>6515</v>
      </c>
      <c r="B4096" s="38">
        <v>62799.0</v>
      </c>
      <c r="C4096" s="38" t="s">
        <v>6757</v>
      </c>
      <c r="D4096" s="38" t="str">
        <f>IFERROR(__xludf.DUMMYFUNCTION("REGEXREPLACE(C4096,""-\d+(.*)|--\d+(.*)"","""")"),"SORRUS")</f>
        <v>SORRUS</v>
      </c>
      <c r="E4096" s="38" t="s">
        <v>109</v>
      </c>
      <c r="F4096" s="38" t="s">
        <v>86</v>
      </c>
      <c r="G4096" s="49" t="str">
        <f t="shared" si="1"/>
        <v>62170</v>
      </c>
      <c r="H4096" s="49">
        <f t="shared" si="2"/>
        <v>62799</v>
      </c>
    </row>
    <row r="4097">
      <c r="A4097" s="48" t="s">
        <v>5589</v>
      </c>
      <c r="B4097" s="38">
        <v>29302.0</v>
      </c>
      <c r="C4097" s="38" t="s">
        <v>6758</v>
      </c>
      <c r="D4097" s="38" t="str">
        <f>IFERROR(__xludf.DUMMYFUNCTION("REGEXREPLACE(C4097,""-\d+(.*)|--\d+(.*)"","""")"),"PONT-DE-BUIS-LES-QUIMERCH")</f>
        <v>PONT-DE-BUIS-LES-QUIMERCH</v>
      </c>
      <c r="E4097" s="38" t="s">
        <v>176</v>
      </c>
      <c r="F4097" s="38" t="s">
        <v>90</v>
      </c>
      <c r="G4097" s="49" t="str">
        <f t="shared" si="1"/>
        <v>29590</v>
      </c>
      <c r="H4097" s="49">
        <f t="shared" si="2"/>
        <v>29302</v>
      </c>
    </row>
    <row r="4098">
      <c r="A4098" s="48" t="s">
        <v>1870</v>
      </c>
      <c r="B4098" s="38">
        <v>37236.0</v>
      </c>
      <c r="C4098" s="38" t="s">
        <v>6759</v>
      </c>
      <c r="D4098" s="38" t="str">
        <f>IFERROR(__xludf.DUMMYFUNCTION("REGEXREPLACE(C4098,""-\d+(.*)|--\d+(.*)"","""")"),"SAINT-REGLE")</f>
        <v>SAINT-REGLE</v>
      </c>
      <c r="E4098" s="38" t="s">
        <v>205</v>
      </c>
      <c r="F4098" s="38" t="s">
        <v>123</v>
      </c>
      <c r="G4098" s="49" t="str">
        <f t="shared" si="1"/>
        <v>37530</v>
      </c>
      <c r="H4098" s="49">
        <f t="shared" si="2"/>
        <v>37236</v>
      </c>
    </row>
    <row r="4099">
      <c r="A4099" s="48" t="s">
        <v>1246</v>
      </c>
      <c r="B4099" s="38">
        <v>62567.0</v>
      </c>
      <c r="C4099" s="38" t="s">
        <v>6760</v>
      </c>
      <c r="D4099" s="38" t="str">
        <f>IFERROR(__xludf.DUMMYFUNCTION("REGEXREPLACE(C4099,""-\d+(.*)|--\d+(.*)"","""")"),"MENTQUE-NORTBECOURT")</f>
        <v>MENTQUE-NORTBECOURT</v>
      </c>
      <c r="E4099" s="38" t="s">
        <v>109</v>
      </c>
      <c r="F4099" s="38" t="s">
        <v>86</v>
      </c>
      <c r="G4099" s="49" t="str">
        <f t="shared" si="1"/>
        <v>62890</v>
      </c>
      <c r="H4099" s="49">
        <f t="shared" si="2"/>
        <v>62567</v>
      </c>
    </row>
    <row r="4100">
      <c r="A4100" s="48" t="s">
        <v>6761</v>
      </c>
      <c r="B4100" s="38">
        <v>1243.0</v>
      </c>
      <c r="C4100" s="38" t="s">
        <v>6762</v>
      </c>
      <c r="D4100" s="38" t="str">
        <f>IFERROR(__xludf.DUMMYFUNCTION("REGEXREPLACE(C4100,""-\d+(.*)|--\d+(.*)"","""")"),"MESSIMY-SUR-SAONE")</f>
        <v>MESSIMY-SUR-SAONE</v>
      </c>
      <c r="E4100" s="38" t="s">
        <v>255</v>
      </c>
      <c r="F4100" s="38" t="s">
        <v>102</v>
      </c>
      <c r="G4100" s="49" t="str">
        <f t="shared" si="1"/>
        <v>01480</v>
      </c>
      <c r="H4100" s="49" t="str">
        <f t="shared" si="2"/>
        <v>01243</v>
      </c>
    </row>
    <row r="4101">
      <c r="A4101" s="48" t="s">
        <v>785</v>
      </c>
      <c r="B4101" s="38">
        <v>33491.0</v>
      </c>
      <c r="C4101" s="38" t="s">
        <v>6763</v>
      </c>
      <c r="D4101" s="38" t="str">
        <f>IFERROR(__xludf.DUMMYFUNCTION("REGEXREPLACE(C4101,""-\d+(.*)|--\d+(.*)"","""")"),"SAINT-VIVIEN-DE-MONSEGUR")</f>
        <v>SAINT-VIVIEN-DE-MONSEGUR</v>
      </c>
      <c r="E4101" s="38" t="s">
        <v>462</v>
      </c>
      <c r="F4101" s="38" t="s">
        <v>252</v>
      </c>
      <c r="G4101" s="49" t="str">
        <f t="shared" si="1"/>
        <v>33580</v>
      </c>
      <c r="H4101" s="49">
        <f t="shared" si="2"/>
        <v>33491</v>
      </c>
    </row>
    <row r="4102">
      <c r="A4102" s="48" t="s">
        <v>5985</v>
      </c>
      <c r="B4102" s="38">
        <v>85185.0</v>
      </c>
      <c r="C4102" s="38" t="s">
        <v>6764</v>
      </c>
      <c r="D4102" s="38" t="str">
        <f>IFERROR(__xludf.DUMMYFUNCTION("REGEXREPLACE(C4102,""-\d+(.*)|--\d+(.*)"","""")"),"PUYRAVAULT")</f>
        <v>PUYRAVAULT</v>
      </c>
      <c r="E4102" s="38" t="s">
        <v>179</v>
      </c>
      <c r="F4102" s="38" t="s">
        <v>180</v>
      </c>
      <c r="G4102" s="49" t="str">
        <f t="shared" si="1"/>
        <v>85450</v>
      </c>
      <c r="H4102" s="49">
        <f t="shared" si="2"/>
        <v>85185</v>
      </c>
    </row>
    <row r="4103">
      <c r="A4103" s="48" t="s">
        <v>5777</v>
      </c>
      <c r="B4103" s="38">
        <v>74061.0</v>
      </c>
      <c r="C4103" s="38" t="s">
        <v>6765</v>
      </c>
      <c r="D4103" s="38" t="str">
        <f>IFERROR(__xludf.DUMMYFUNCTION("REGEXREPLACE(C4103,""-\d+(.*)|--\d+(.*)"","""")"),"CHAPEIRY")</f>
        <v>CHAPEIRY</v>
      </c>
      <c r="E4103" s="38" t="s">
        <v>319</v>
      </c>
      <c r="F4103" s="38" t="s">
        <v>102</v>
      </c>
      <c r="G4103" s="49" t="str">
        <f t="shared" si="1"/>
        <v>74540</v>
      </c>
      <c r="H4103" s="49">
        <f t="shared" si="2"/>
        <v>74061</v>
      </c>
    </row>
    <row r="4104">
      <c r="A4104" s="48" t="s">
        <v>3924</v>
      </c>
      <c r="B4104" s="38">
        <v>81270.0</v>
      </c>
      <c r="C4104" s="38" t="s">
        <v>6766</v>
      </c>
      <c r="D4104" s="38" t="str">
        <f>IFERROR(__xludf.DUMMYFUNCTION("REGEXREPLACE(C4104,""-\d+(.*)|--\d+(.*)"","""")"),"SAINT-SERNIN-LES-LAVAUR")</f>
        <v>SAINT-SERNIN-LES-LAVAUR</v>
      </c>
      <c r="E4104" s="38" t="s">
        <v>231</v>
      </c>
      <c r="F4104" s="38" t="s">
        <v>94</v>
      </c>
      <c r="G4104" s="49" t="str">
        <f t="shared" si="1"/>
        <v>81700</v>
      </c>
      <c r="H4104" s="49">
        <f t="shared" si="2"/>
        <v>81270</v>
      </c>
    </row>
    <row r="4105">
      <c r="A4105" s="48" t="s">
        <v>6767</v>
      </c>
      <c r="B4105" s="38">
        <v>15164.0</v>
      </c>
      <c r="C4105" s="38" t="s">
        <v>6768</v>
      </c>
      <c r="D4105" s="38" t="str">
        <f>IFERROR(__xludf.DUMMYFUNCTION("REGEXREPLACE(C4105,""-\d+(.*)|--\d+(.*)"","""")"),"ROFFIAC")</f>
        <v>ROFFIAC</v>
      </c>
      <c r="E4105" s="38" t="s">
        <v>632</v>
      </c>
      <c r="F4105" s="38" t="s">
        <v>161</v>
      </c>
      <c r="G4105" s="49" t="str">
        <f t="shared" si="1"/>
        <v>15100</v>
      </c>
      <c r="H4105" s="49">
        <f t="shared" si="2"/>
        <v>15164</v>
      </c>
    </row>
    <row r="4106">
      <c r="A4106" s="48" t="s">
        <v>4844</v>
      </c>
      <c r="B4106" s="38">
        <v>14719.0</v>
      </c>
      <c r="C4106" s="38" t="s">
        <v>6769</v>
      </c>
      <c r="D4106" s="38" t="str">
        <f>IFERROR(__xludf.DUMMYFUNCTION("REGEXREPLACE(C4106,""-\d+(.*)|--\d+(.*)"","""")"),"URVILLE")</f>
        <v>URVILLE</v>
      </c>
      <c r="E4106" s="38" t="s">
        <v>137</v>
      </c>
      <c r="F4106" s="38" t="s">
        <v>138</v>
      </c>
      <c r="G4106" s="49" t="str">
        <f t="shared" si="1"/>
        <v>14190</v>
      </c>
      <c r="H4106" s="49">
        <f t="shared" si="2"/>
        <v>14719</v>
      </c>
    </row>
    <row r="4107">
      <c r="A4107" s="48" t="s">
        <v>198</v>
      </c>
      <c r="B4107" s="38">
        <v>65219.0</v>
      </c>
      <c r="C4107" s="38" t="s">
        <v>6770</v>
      </c>
      <c r="D4107" s="38" t="str">
        <f>IFERROR(__xludf.DUMMYFUNCTION("REGEXREPLACE(C4107,""-\d+(.*)|--\d+(.*)"","""")"),"HERES")</f>
        <v>HERES</v>
      </c>
      <c r="E4107" s="38" t="s">
        <v>200</v>
      </c>
      <c r="F4107" s="38" t="s">
        <v>94</v>
      </c>
      <c r="G4107" s="49" t="str">
        <f t="shared" si="1"/>
        <v>65700</v>
      </c>
      <c r="H4107" s="49">
        <f t="shared" si="2"/>
        <v>65219</v>
      </c>
    </row>
    <row r="4108">
      <c r="A4108" s="48" t="s">
        <v>2814</v>
      </c>
      <c r="B4108" s="38">
        <v>45201.0</v>
      </c>
      <c r="C4108" s="38" t="s">
        <v>6771</v>
      </c>
      <c r="D4108" s="38" t="str">
        <f>IFERROR(__xludf.DUMMYFUNCTION("REGEXREPLACE(C4108,""-\d+(.*)|--\d+(.*)"","""")"),"MERINVILLE")</f>
        <v>MERINVILLE</v>
      </c>
      <c r="E4108" s="38" t="s">
        <v>122</v>
      </c>
      <c r="F4108" s="38" t="s">
        <v>123</v>
      </c>
      <c r="G4108" s="49" t="str">
        <f t="shared" si="1"/>
        <v>45210</v>
      </c>
      <c r="H4108" s="49">
        <f t="shared" si="2"/>
        <v>45201</v>
      </c>
    </row>
    <row r="4109">
      <c r="A4109" s="48" t="s">
        <v>2814</v>
      </c>
      <c r="B4109" s="38">
        <v>45148.0</v>
      </c>
      <c r="C4109" s="38" t="s">
        <v>6772</v>
      </c>
      <c r="D4109" s="38" t="str">
        <f>IFERROR(__xludf.DUMMYFUNCTION("REGEXREPLACE(C4109,""-\d+(.*)|--\d+(.*)"","""")"),"FONTENAY-SUR-LOING")</f>
        <v>FONTENAY-SUR-LOING</v>
      </c>
      <c r="E4109" s="38" t="s">
        <v>122</v>
      </c>
      <c r="F4109" s="38" t="s">
        <v>123</v>
      </c>
      <c r="G4109" s="49" t="str">
        <f t="shared" si="1"/>
        <v>45210</v>
      </c>
      <c r="H4109" s="49">
        <f t="shared" si="2"/>
        <v>45148</v>
      </c>
    </row>
    <row r="4110">
      <c r="A4110" s="48" t="s">
        <v>6773</v>
      </c>
      <c r="B4110" s="38">
        <v>48179.0</v>
      </c>
      <c r="C4110" s="38" t="s">
        <v>6774</v>
      </c>
      <c r="D4110" s="38" t="str">
        <f>IFERROR(__xludf.DUMMYFUNCTION("REGEXREPLACE(C4110,""-\d+(.*)|--\d+(.*)"","""")"),"SAINT-PRIVAT-DU-FAU")</f>
        <v>SAINT-PRIVAT-DU-FAU</v>
      </c>
      <c r="E4110" s="38" t="s">
        <v>154</v>
      </c>
      <c r="F4110" s="38" t="s">
        <v>119</v>
      </c>
      <c r="G4110" s="49" t="str">
        <f t="shared" si="1"/>
        <v>48140</v>
      </c>
      <c r="H4110" s="49">
        <f t="shared" si="2"/>
        <v>48179</v>
      </c>
    </row>
    <row r="4111">
      <c r="A4111" s="48" t="s">
        <v>6775</v>
      </c>
      <c r="B4111" s="38">
        <v>79273.0</v>
      </c>
      <c r="C4111" s="38" t="s">
        <v>6776</v>
      </c>
      <c r="D4111" s="38" t="str">
        <f>IFERROR(__xludf.DUMMYFUNCTION("REGEXREPLACE(C4111,""-\d+(.*)|--\d+(.*)"","""")"),"SAINT-MARTIN-DE-BERNEGOUE")</f>
        <v>SAINT-MARTIN-DE-BERNEGOUE</v>
      </c>
      <c r="E4111" s="38" t="s">
        <v>337</v>
      </c>
      <c r="F4111" s="38" t="s">
        <v>338</v>
      </c>
      <c r="G4111" s="49" t="str">
        <f t="shared" si="1"/>
        <v>79230</v>
      </c>
      <c r="H4111" s="49">
        <f t="shared" si="2"/>
        <v>79273</v>
      </c>
    </row>
    <row r="4112">
      <c r="A4112" s="48" t="s">
        <v>2617</v>
      </c>
      <c r="B4112" s="38">
        <v>89216.0</v>
      </c>
      <c r="C4112" s="38" t="s">
        <v>6777</v>
      </c>
      <c r="D4112" s="38" t="str">
        <f>IFERROR(__xludf.DUMMYFUNCTION("REGEXREPLACE(C4112,""-\d+(.*)|--\d+(.*)"","""")"),"LAINSECQ")</f>
        <v>LAINSECQ</v>
      </c>
      <c r="E4112" s="38" t="s">
        <v>275</v>
      </c>
      <c r="F4112" s="38" t="s">
        <v>106</v>
      </c>
      <c r="G4112" s="49" t="str">
        <f t="shared" si="1"/>
        <v>89520</v>
      </c>
      <c r="H4112" s="49">
        <f t="shared" si="2"/>
        <v>89216</v>
      </c>
    </row>
    <row r="4113">
      <c r="A4113" s="48" t="s">
        <v>1174</v>
      </c>
      <c r="B4113" s="38">
        <v>51066.0</v>
      </c>
      <c r="C4113" s="38" t="s">
        <v>6778</v>
      </c>
      <c r="D4113" s="38" t="str">
        <f>IFERROR(__xludf.DUMMYFUNCTION("REGEXREPLACE(C4113,""-\d+(.*)|--\d+(.*)"","""")"),"BLAISE-SOUS-ARZILLIERES")</f>
        <v>BLAISE-SOUS-ARZILLIERES</v>
      </c>
      <c r="E4113" s="38" t="s">
        <v>129</v>
      </c>
      <c r="F4113" s="38" t="s">
        <v>130</v>
      </c>
      <c r="G4113" s="49" t="str">
        <f t="shared" si="1"/>
        <v>51300</v>
      </c>
      <c r="H4113" s="49">
        <f t="shared" si="2"/>
        <v>51066</v>
      </c>
    </row>
    <row r="4114">
      <c r="A4114" s="48" t="s">
        <v>582</v>
      </c>
      <c r="B4114" s="38">
        <v>39533.0</v>
      </c>
      <c r="C4114" s="38" t="s">
        <v>6779</v>
      </c>
      <c r="D4114" s="38" t="str">
        <f>IFERROR(__xludf.DUMMYFUNCTION("REGEXREPLACE(C4114,""-\d+(.*)|--\d+(.*)"","""")"),"TOULOUSE-LE-CHATEAU")</f>
        <v>TOULOUSE-LE-CHATEAU</v>
      </c>
      <c r="E4114" s="38" t="s">
        <v>400</v>
      </c>
      <c r="F4114" s="38" t="s">
        <v>214</v>
      </c>
      <c r="G4114" s="49" t="str">
        <f t="shared" si="1"/>
        <v>39230</v>
      </c>
      <c r="H4114" s="49">
        <f t="shared" si="2"/>
        <v>39533</v>
      </c>
    </row>
    <row r="4115">
      <c r="A4115" s="48" t="s">
        <v>2995</v>
      </c>
      <c r="B4115" s="38">
        <v>28196.0</v>
      </c>
      <c r="C4115" s="38" t="s">
        <v>6780</v>
      </c>
      <c r="D4115" s="38" t="str">
        <f>IFERROR(__xludf.DUMMYFUNCTION("REGEXREPLACE(C4115,""-\d+(.*)|--\d+(.*)"","""")"),"ILLIERS-COMBRAY")</f>
        <v>ILLIERS-COMBRAY</v>
      </c>
      <c r="E4115" s="38" t="s">
        <v>300</v>
      </c>
      <c r="F4115" s="38" t="s">
        <v>123</v>
      </c>
      <c r="G4115" s="49" t="str">
        <f t="shared" si="1"/>
        <v>28120</v>
      </c>
      <c r="H4115" s="49">
        <f t="shared" si="2"/>
        <v>28196</v>
      </c>
    </row>
    <row r="4116">
      <c r="A4116" s="48" t="s">
        <v>6781</v>
      </c>
      <c r="B4116" s="38">
        <v>56146.0</v>
      </c>
      <c r="C4116" s="38" t="s">
        <v>6782</v>
      </c>
      <c r="D4116" s="38" t="str">
        <f>IFERROR(__xludf.DUMMYFUNCTION("REGEXREPLACE(C4116,""-\d+(.*)|--\d+(.*)"","""")"),"NEULLIAC")</f>
        <v>NEULLIAC</v>
      </c>
      <c r="E4116" s="38" t="s">
        <v>173</v>
      </c>
      <c r="F4116" s="38" t="s">
        <v>90</v>
      </c>
      <c r="G4116" s="49" t="str">
        <f t="shared" si="1"/>
        <v>56300</v>
      </c>
      <c r="H4116" s="49">
        <f t="shared" si="2"/>
        <v>56146</v>
      </c>
    </row>
    <row r="4117">
      <c r="A4117" s="48" t="s">
        <v>6783</v>
      </c>
      <c r="B4117" s="38">
        <v>11069.0</v>
      </c>
      <c r="C4117" s="38" t="s">
        <v>6784</v>
      </c>
      <c r="D4117" s="38" t="str">
        <f>IFERROR(__xludf.DUMMYFUNCTION("REGEXREPLACE(C4117,""-\d+(.*)|--\d+(.*)"","""")"),"CARCASSONNE")</f>
        <v>CARCASSONNE</v>
      </c>
      <c r="E4117" s="38" t="s">
        <v>278</v>
      </c>
      <c r="F4117" s="38" t="s">
        <v>119</v>
      </c>
      <c r="G4117" s="49" t="str">
        <f t="shared" si="1"/>
        <v>11000</v>
      </c>
      <c r="H4117" s="49">
        <f t="shared" si="2"/>
        <v>11069</v>
      </c>
    </row>
    <row r="4118">
      <c r="A4118" s="48" t="s">
        <v>6785</v>
      </c>
      <c r="B4118" s="38">
        <v>27408.0</v>
      </c>
      <c r="C4118" s="38" t="s">
        <v>6786</v>
      </c>
      <c r="D4118" s="38" t="str">
        <f>IFERROR(__xludf.DUMMYFUNCTION("REGEXREPLACE(C4118,""-\d+(.*)|--\d+(.*)"","""")"),"MEZIERES-EN-VEXIN")</f>
        <v>MEZIERES-EN-VEXIN</v>
      </c>
      <c r="E4118" s="38" t="s">
        <v>241</v>
      </c>
      <c r="F4118" s="38" t="s">
        <v>134</v>
      </c>
      <c r="G4118" s="49" t="str">
        <f t="shared" si="1"/>
        <v>27510</v>
      </c>
      <c r="H4118" s="49">
        <f t="shared" si="2"/>
        <v>27408</v>
      </c>
    </row>
    <row r="4119">
      <c r="A4119" s="48" t="s">
        <v>1628</v>
      </c>
      <c r="B4119" s="38">
        <v>70049.0</v>
      </c>
      <c r="C4119" s="38" t="s">
        <v>927</v>
      </c>
      <c r="D4119" s="38" t="str">
        <f>IFERROR(__xludf.DUMMYFUNCTION("REGEXREPLACE(C4119,""-\d+(.*)|--\d+(.*)"","""")"),"BARGES")</f>
        <v>BARGES</v>
      </c>
      <c r="E4119" s="38" t="s">
        <v>956</v>
      </c>
      <c r="F4119" s="38" t="s">
        <v>214</v>
      </c>
      <c r="G4119" s="49" t="str">
        <f t="shared" si="1"/>
        <v>70500</v>
      </c>
      <c r="H4119" s="49">
        <f t="shared" si="2"/>
        <v>70049</v>
      </c>
    </row>
    <row r="4120">
      <c r="A4120" s="48" t="s">
        <v>6515</v>
      </c>
      <c r="B4120" s="38">
        <v>62150.0</v>
      </c>
      <c r="C4120" s="38" t="s">
        <v>6787</v>
      </c>
      <c r="D4120" s="38" t="str">
        <f>IFERROR(__xludf.DUMMYFUNCTION("REGEXREPLACE(C4120,""-\d+(.*)|--\d+(.*)"","""")"),"BOISJEAN")</f>
        <v>BOISJEAN</v>
      </c>
      <c r="E4120" s="38" t="s">
        <v>109</v>
      </c>
      <c r="F4120" s="38" t="s">
        <v>86</v>
      </c>
      <c r="G4120" s="49" t="str">
        <f t="shared" si="1"/>
        <v>62170</v>
      </c>
      <c r="H4120" s="49">
        <f t="shared" si="2"/>
        <v>62150</v>
      </c>
    </row>
    <row r="4121">
      <c r="A4121" s="48" t="s">
        <v>5563</v>
      </c>
      <c r="B4121" s="38">
        <v>32347.0</v>
      </c>
      <c r="C4121" s="38" t="s">
        <v>6788</v>
      </c>
      <c r="D4121" s="38" t="str">
        <f>IFERROR(__xludf.DUMMYFUNCTION("REGEXREPLACE(C4121,""-\d+(.*)|--\d+(.*)"","""")"),"ROQUEFORT")</f>
        <v>ROQUEFORT</v>
      </c>
      <c r="E4121" s="38" t="s">
        <v>440</v>
      </c>
      <c r="F4121" s="38" t="s">
        <v>94</v>
      </c>
      <c r="G4121" s="49" t="str">
        <f t="shared" si="1"/>
        <v>32390</v>
      </c>
      <c r="H4121" s="49">
        <f t="shared" si="2"/>
        <v>32347</v>
      </c>
    </row>
    <row r="4122">
      <c r="A4122" s="48" t="s">
        <v>6789</v>
      </c>
      <c r="B4122" s="38">
        <v>30216.0</v>
      </c>
      <c r="C4122" s="38" t="s">
        <v>6790</v>
      </c>
      <c r="D4122" s="38" t="str">
        <f>IFERROR(__xludf.DUMMYFUNCTION("REGEXREPLACE(C4122,""-\d+(.*)|--\d+(.*)"","""")"),"ROBIAC-ROCHESSADOULE")</f>
        <v>ROBIAC-ROCHESSADOULE</v>
      </c>
      <c r="E4122" s="38" t="s">
        <v>526</v>
      </c>
      <c r="F4122" s="38" t="s">
        <v>119</v>
      </c>
      <c r="G4122" s="49" t="str">
        <f t="shared" si="1"/>
        <v>30160</v>
      </c>
      <c r="H4122" s="49">
        <f t="shared" si="2"/>
        <v>30216</v>
      </c>
    </row>
    <row r="4123">
      <c r="A4123" s="48" t="s">
        <v>208</v>
      </c>
      <c r="B4123" s="38">
        <v>67317.0</v>
      </c>
      <c r="C4123" s="38" t="s">
        <v>6791</v>
      </c>
      <c r="D4123" s="38" t="str">
        <f>IFERROR(__xludf.DUMMYFUNCTION("REGEXREPLACE(C4123,""-\d+(.*)|--\d+(.*)"","""")"),"NEUBOIS")</f>
        <v>NEUBOIS</v>
      </c>
      <c r="E4123" s="38" t="s">
        <v>210</v>
      </c>
      <c r="F4123" s="38" t="s">
        <v>151</v>
      </c>
      <c r="G4123" s="49" t="str">
        <f t="shared" si="1"/>
        <v>67220</v>
      </c>
      <c r="H4123" s="49">
        <f t="shared" si="2"/>
        <v>67317</v>
      </c>
    </row>
    <row r="4124">
      <c r="A4124" s="48" t="s">
        <v>2694</v>
      </c>
      <c r="B4124" s="38" t="s">
        <v>6792</v>
      </c>
      <c r="C4124" s="38" t="s">
        <v>6793</v>
      </c>
      <c r="D4124" s="38" t="str">
        <f>IFERROR(__xludf.DUMMYFUNCTION("REGEXREPLACE(C4124,""-\d+(.*)|--\d+(.*)"","""")"),"LUGO-DI-NAZZA")</f>
        <v>LUGO-DI-NAZZA</v>
      </c>
      <c r="E4124" s="38" t="s">
        <v>743</v>
      </c>
      <c r="F4124" s="38" t="s">
        <v>607</v>
      </c>
      <c r="G4124" s="49" t="str">
        <f t="shared" si="1"/>
        <v>20240</v>
      </c>
      <c r="H4124" s="49" t="str">
        <f t="shared" si="2"/>
        <v>2B149</v>
      </c>
    </row>
    <row r="4125">
      <c r="A4125" s="48" t="s">
        <v>333</v>
      </c>
      <c r="B4125" s="38">
        <v>43219.0</v>
      </c>
      <c r="C4125" s="38" t="s">
        <v>6794</v>
      </c>
      <c r="D4125" s="38" t="str">
        <f>IFERROR(__xludf.DUMMYFUNCTION("REGEXREPLACE(C4125,""-\d+(.*)|--\d+(.*)"","""")"),"SAINT-PREJET-ARMANDON")</f>
        <v>SAINT-PREJET-ARMANDON</v>
      </c>
      <c r="E4125" s="38" t="s">
        <v>332</v>
      </c>
      <c r="F4125" s="38" t="s">
        <v>161</v>
      </c>
      <c r="G4125" s="49" t="str">
        <f t="shared" si="1"/>
        <v>43230</v>
      </c>
      <c r="H4125" s="49">
        <f t="shared" si="2"/>
        <v>43219</v>
      </c>
    </row>
    <row r="4126">
      <c r="A4126" s="48" t="s">
        <v>6795</v>
      </c>
      <c r="B4126" s="38">
        <v>37092.0</v>
      </c>
      <c r="C4126" s="38" t="s">
        <v>6796</v>
      </c>
      <c r="D4126" s="38" t="str">
        <f>IFERROR(__xludf.DUMMYFUNCTION("REGEXREPLACE(C4126,""-\d+(.*)|--\d+(.*)"","""")"),"CROTELLES")</f>
        <v>CROTELLES</v>
      </c>
      <c r="E4126" s="38" t="s">
        <v>205</v>
      </c>
      <c r="F4126" s="38" t="s">
        <v>123</v>
      </c>
      <c r="G4126" s="49" t="str">
        <f t="shared" si="1"/>
        <v>37380</v>
      </c>
      <c r="H4126" s="49">
        <f t="shared" si="2"/>
        <v>37092</v>
      </c>
    </row>
    <row r="4127">
      <c r="A4127" s="48" t="s">
        <v>6797</v>
      </c>
      <c r="B4127" s="38">
        <v>11327.0</v>
      </c>
      <c r="C4127" s="38" t="s">
        <v>6798</v>
      </c>
      <c r="D4127" s="38" t="str">
        <f>IFERROR(__xludf.DUMMYFUNCTION("REGEXREPLACE(C4127,""-\d+(.*)|--\d+(.*)"","""")"),"ROULLENS")</f>
        <v>ROULLENS</v>
      </c>
      <c r="E4127" s="38" t="s">
        <v>278</v>
      </c>
      <c r="F4127" s="38" t="s">
        <v>119</v>
      </c>
      <c r="G4127" s="49" t="str">
        <f t="shared" si="1"/>
        <v>11290</v>
      </c>
      <c r="H4127" s="49">
        <f t="shared" si="2"/>
        <v>11327</v>
      </c>
    </row>
    <row r="4128">
      <c r="A4128" s="48" t="s">
        <v>5785</v>
      </c>
      <c r="B4128" s="38">
        <v>32035.0</v>
      </c>
      <c r="C4128" s="38" t="s">
        <v>6799</v>
      </c>
      <c r="D4128" s="38" t="str">
        <f>IFERROR(__xludf.DUMMYFUNCTION("REGEXREPLACE(C4128,""-\d+(.*)|--\d+(.*)"","""")"),"BEAUCAIRE")</f>
        <v>BEAUCAIRE</v>
      </c>
      <c r="E4128" s="38" t="s">
        <v>440</v>
      </c>
      <c r="F4128" s="38" t="s">
        <v>94</v>
      </c>
      <c r="G4128" s="49" t="str">
        <f t="shared" si="1"/>
        <v>32410</v>
      </c>
      <c r="H4128" s="49">
        <f t="shared" si="2"/>
        <v>32035</v>
      </c>
    </row>
    <row r="4129">
      <c r="A4129" s="48" t="s">
        <v>6800</v>
      </c>
      <c r="B4129" s="38">
        <v>77161.0</v>
      </c>
      <c r="C4129" s="38" t="s">
        <v>6801</v>
      </c>
      <c r="D4129" s="38" t="str">
        <f>IFERROR(__xludf.DUMMYFUNCTION("REGEXREPLACE(C4129,""-\d+(.*)|--\d+(.*)"","""")"),"DORMELLES")</f>
        <v>DORMELLES</v>
      </c>
      <c r="E4129" s="38" t="s">
        <v>244</v>
      </c>
      <c r="F4129" s="38" t="s">
        <v>245</v>
      </c>
      <c r="G4129" s="49" t="str">
        <f t="shared" si="1"/>
        <v>77130</v>
      </c>
      <c r="H4129" s="49">
        <f t="shared" si="2"/>
        <v>77161</v>
      </c>
    </row>
    <row r="4130">
      <c r="A4130" s="48" t="s">
        <v>5513</v>
      </c>
      <c r="B4130" s="38">
        <v>57446.0</v>
      </c>
      <c r="C4130" s="38" t="s">
        <v>6802</v>
      </c>
      <c r="D4130" s="38" t="str">
        <f>IFERROR(__xludf.DUMMYFUNCTION("REGEXREPLACE(C4130,""-\d+(.*)|--\d+(.*)"","""")"),"MARIMONT-LES-BENESTROFF")</f>
        <v>MARIMONT-LES-BENESTROFF</v>
      </c>
      <c r="E4130" s="38" t="s">
        <v>303</v>
      </c>
      <c r="F4130" s="38" t="s">
        <v>195</v>
      </c>
      <c r="G4130" s="49" t="str">
        <f t="shared" si="1"/>
        <v>57670</v>
      </c>
      <c r="H4130" s="49">
        <f t="shared" si="2"/>
        <v>57446</v>
      </c>
    </row>
    <row r="4131">
      <c r="A4131" s="48" t="s">
        <v>5223</v>
      </c>
      <c r="B4131" s="38">
        <v>65177.0</v>
      </c>
      <c r="C4131" s="38" t="s">
        <v>6803</v>
      </c>
      <c r="D4131" s="38" t="str">
        <f>IFERROR(__xludf.DUMMYFUNCTION("REGEXREPLACE(C4131,""-\d+(.*)|--\d+(.*)"","""")"),"FONTRAILLES")</f>
        <v>FONTRAILLES</v>
      </c>
      <c r="E4131" s="38" t="s">
        <v>200</v>
      </c>
      <c r="F4131" s="38" t="s">
        <v>94</v>
      </c>
      <c r="G4131" s="49" t="str">
        <f t="shared" si="1"/>
        <v>65220</v>
      </c>
      <c r="H4131" s="49">
        <f t="shared" si="2"/>
        <v>65177</v>
      </c>
    </row>
    <row r="4132">
      <c r="A4132" s="48" t="s">
        <v>2554</v>
      </c>
      <c r="B4132" s="38">
        <v>95170.0</v>
      </c>
      <c r="C4132" s="38" t="s">
        <v>6804</v>
      </c>
      <c r="D4132" s="38" t="str">
        <f>IFERROR(__xludf.DUMMYFUNCTION("REGEXREPLACE(C4132,""-\d+(.*)|--\d+(.*)"","""")"),"CONDECOURT")</f>
        <v>CONDECOURT</v>
      </c>
      <c r="E4132" s="38" t="s">
        <v>541</v>
      </c>
      <c r="F4132" s="38" t="s">
        <v>245</v>
      </c>
      <c r="G4132" s="49" t="str">
        <f t="shared" si="1"/>
        <v>95450</v>
      </c>
      <c r="H4132" s="49">
        <f t="shared" si="2"/>
        <v>95170</v>
      </c>
    </row>
    <row r="4133">
      <c r="A4133" s="48" t="s">
        <v>6805</v>
      </c>
      <c r="B4133" s="38">
        <v>79024.0</v>
      </c>
      <c r="C4133" s="38" t="s">
        <v>6806</v>
      </c>
      <c r="D4133" s="38" t="str">
        <f>IFERROR(__xludf.DUMMYFUNCTION("REGEXREPLACE(C4133,""-\d+(.*)|--\d+(.*)"","""")"),"AZAY-LE-BRULE")</f>
        <v>AZAY-LE-BRULE</v>
      </c>
      <c r="E4133" s="38" t="s">
        <v>337</v>
      </c>
      <c r="F4133" s="38" t="s">
        <v>338</v>
      </c>
      <c r="G4133" s="49" t="str">
        <f t="shared" si="1"/>
        <v>79400</v>
      </c>
      <c r="H4133" s="49">
        <f t="shared" si="2"/>
        <v>79024</v>
      </c>
    </row>
    <row r="4134">
      <c r="A4134" s="48" t="s">
        <v>6807</v>
      </c>
      <c r="B4134" s="38">
        <v>73307.0</v>
      </c>
      <c r="C4134" s="38" t="s">
        <v>6808</v>
      </c>
      <c r="D4134" s="38" t="str">
        <f>IFERROR(__xludf.DUMMYFUNCTION("REGEXREPLACE(C4134,""-\d+(.*)|--\d+(.*)"","""")"),"VALMEINIER")</f>
        <v>VALMEINIER</v>
      </c>
      <c r="E4134" s="38" t="s">
        <v>306</v>
      </c>
      <c r="F4134" s="38" t="s">
        <v>102</v>
      </c>
      <c r="G4134" s="49" t="str">
        <f t="shared" si="1"/>
        <v>73450</v>
      </c>
      <c r="H4134" s="49">
        <f t="shared" si="2"/>
        <v>73307</v>
      </c>
    </row>
    <row r="4135">
      <c r="A4135" s="48" t="s">
        <v>1448</v>
      </c>
      <c r="B4135" s="38">
        <v>29237.0</v>
      </c>
      <c r="C4135" s="38" t="s">
        <v>6809</v>
      </c>
      <c r="D4135" s="38" t="str">
        <f>IFERROR(__xludf.DUMMYFUNCTION("REGEXREPLACE(C4135,""-\d+(.*)|--\d+(.*)"","""")"),"LA ROCHE-MAURICE")</f>
        <v>LA ROCHE-MAURICE</v>
      </c>
      <c r="E4135" s="38" t="s">
        <v>176</v>
      </c>
      <c r="F4135" s="38" t="s">
        <v>90</v>
      </c>
      <c r="G4135" s="49" t="str">
        <f t="shared" si="1"/>
        <v>29800</v>
      </c>
      <c r="H4135" s="49">
        <f t="shared" si="2"/>
        <v>29237</v>
      </c>
    </row>
    <row r="4136">
      <c r="A4136" s="48" t="s">
        <v>1898</v>
      </c>
      <c r="B4136" s="38">
        <v>31380.0</v>
      </c>
      <c r="C4136" s="38" t="s">
        <v>6810</v>
      </c>
      <c r="D4136" s="38" t="str">
        <f>IFERROR(__xludf.DUMMYFUNCTION("REGEXREPLACE(C4136,""-\d+(.*)|--\d+(.*)"","""")"),"MONTGEARD")</f>
        <v>MONTGEARD</v>
      </c>
      <c r="E4136" s="38" t="s">
        <v>93</v>
      </c>
      <c r="F4136" s="38" t="s">
        <v>94</v>
      </c>
      <c r="G4136" s="49" t="str">
        <f t="shared" si="1"/>
        <v>31560</v>
      </c>
      <c r="H4136" s="49">
        <f t="shared" si="2"/>
        <v>31380</v>
      </c>
    </row>
    <row r="4137">
      <c r="A4137" s="48" t="s">
        <v>599</v>
      </c>
      <c r="B4137" s="38">
        <v>16304.0</v>
      </c>
      <c r="C4137" s="38" t="s">
        <v>6811</v>
      </c>
      <c r="D4137" s="38" t="str">
        <f>IFERROR(__xludf.DUMMYFUNCTION("REGEXREPLACE(C4137,""-\d+(.*)|--\d+(.*)"","""")"),"SAINT-BRICE")</f>
        <v>SAINT-BRICE</v>
      </c>
      <c r="E4137" s="38" t="s">
        <v>429</v>
      </c>
      <c r="F4137" s="38" t="s">
        <v>338</v>
      </c>
      <c r="G4137" s="49" t="str">
        <f t="shared" si="1"/>
        <v>16100</v>
      </c>
      <c r="H4137" s="49">
        <f t="shared" si="2"/>
        <v>16304</v>
      </c>
    </row>
    <row r="4138">
      <c r="A4138" s="48" t="s">
        <v>6812</v>
      </c>
      <c r="B4138" s="38">
        <v>13040.0</v>
      </c>
      <c r="C4138" s="38" t="s">
        <v>6813</v>
      </c>
      <c r="D4138" s="38" t="str">
        <f>IFERROR(__xludf.DUMMYFUNCTION("REGEXREPLACE(C4138,""-\d+(.*)|--\d+(.*)"","""")"),"FUVEAU")</f>
        <v>FUVEAU</v>
      </c>
      <c r="E4138" s="38" t="s">
        <v>980</v>
      </c>
      <c r="F4138" s="38" t="s">
        <v>228</v>
      </c>
      <c r="G4138" s="49" t="str">
        <f t="shared" si="1"/>
        <v>13710</v>
      </c>
      <c r="H4138" s="49">
        <f t="shared" si="2"/>
        <v>13040</v>
      </c>
    </row>
    <row r="4139">
      <c r="A4139" s="48" t="s">
        <v>4566</v>
      </c>
      <c r="B4139" s="38">
        <v>24168.0</v>
      </c>
      <c r="C4139" s="38" t="s">
        <v>6814</v>
      </c>
      <c r="D4139" s="38" t="str">
        <f>IFERROR(__xludf.DUMMYFUNCTION("REGEXREPLACE(C4139,""-\d+(.*)|--\d+(.*)"","""")"),"PLAISANCE")</f>
        <v>PLAISANCE</v>
      </c>
      <c r="E4139" s="38" t="s">
        <v>261</v>
      </c>
      <c r="F4139" s="38" t="s">
        <v>252</v>
      </c>
      <c r="G4139" s="49" t="str">
        <f t="shared" si="1"/>
        <v>24560</v>
      </c>
      <c r="H4139" s="49">
        <f t="shared" si="2"/>
        <v>24168</v>
      </c>
    </row>
    <row r="4140">
      <c r="A4140" s="48" t="s">
        <v>868</v>
      </c>
      <c r="B4140" s="38">
        <v>33332.0</v>
      </c>
      <c r="C4140" s="38" t="s">
        <v>6815</v>
      </c>
      <c r="D4140" s="38" t="str">
        <f>IFERROR(__xludf.DUMMYFUNCTION("REGEXREPLACE(C4140,""-\d+(.*)|--\d+(.*)"","""")"),"PORCHERES")</f>
        <v>PORCHERES</v>
      </c>
      <c r="E4140" s="38" t="s">
        <v>462</v>
      </c>
      <c r="F4140" s="38" t="s">
        <v>252</v>
      </c>
      <c r="G4140" s="49" t="str">
        <f t="shared" si="1"/>
        <v>33660</v>
      </c>
      <c r="H4140" s="49">
        <f t="shared" si="2"/>
        <v>33332</v>
      </c>
    </row>
    <row r="4141">
      <c r="A4141" s="48" t="s">
        <v>4614</v>
      </c>
      <c r="B4141" s="38">
        <v>78407.0</v>
      </c>
      <c r="C4141" s="38" t="s">
        <v>6816</v>
      </c>
      <c r="D4141" s="38" t="str">
        <f>IFERROR(__xludf.DUMMYFUNCTION("REGEXREPLACE(C4141,""-\d+(.*)|--\d+(.*)"","""")"),"MITTAINVILLE")</f>
        <v>MITTAINVILLE</v>
      </c>
      <c r="E4141" s="38" t="s">
        <v>362</v>
      </c>
      <c r="F4141" s="38" t="s">
        <v>245</v>
      </c>
      <c r="G4141" s="49" t="str">
        <f t="shared" si="1"/>
        <v>78125</v>
      </c>
      <c r="H4141" s="49">
        <f t="shared" si="2"/>
        <v>78407</v>
      </c>
    </row>
    <row r="4142">
      <c r="A4142" s="48" t="s">
        <v>1360</v>
      </c>
      <c r="B4142" s="38">
        <v>23241.0</v>
      </c>
      <c r="C4142" s="38" t="s">
        <v>6817</v>
      </c>
      <c r="D4142" s="38" t="str">
        <f>IFERROR(__xludf.DUMMYFUNCTION("REGEXREPLACE(C4142,""-\d+(.*)|--\d+(.*)"","""")"),"SAINT-SILVAIN-BELLEGARDE")</f>
        <v>SAINT-SILVAIN-BELLEGARDE</v>
      </c>
      <c r="E4142" s="38" t="s">
        <v>97</v>
      </c>
      <c r="F4142" s="38" t="s">
        <v>98</v>
      </c>
      <c r="G4142" s="49" t="str">
        <f t="shared" si="1"/>
        <v>23190</v>
      </c>
      <c r="H4142" s="49">
        <f t="shared" si="2"/>
        <v>23241</v>
      </c>
    </row>
    <row r="4143">
      <c r="A4143" s="48" t="s">
        <v>6818</v>
      </c>
      <c r="B4143" s="38">
        <v>40074.0</v>
      </c>
      <c r="C4143" s="38" t="s">
        <v>6819</v>
      </c>
      <c r="D4143" s="38" t="str">
        <f>IFERROR(__xludf.DUMMYFUNCTION("REGEXREPLACE(C4143,""-\d+(.*)|--\d+(.*)"","""")"),"CASTEL-SARRAZIN")</f>
        <v>CASTEL-SARRAZIN</v>
      </c>
      <c r="E4143" s="38" t="s">
        <v>281</v>
      </c>
      <c r="F4143" s="38" t="s">
        <v>252</v>
      </c>
      <c r="G4143" s="49" t="str">
        <f t="shared" si="1"/>
        <v>40330</v>
      </c>
      <c r="H4143" s="49">
        <f t="shared" si="2"/>
        <v>40074</v>
      </c>
    </row>
    <row r="4144">
      <c r="A4144" s="48" t="s">
        <v>5542</v>
      </c>
      <c r="B4144" s="38">
        <v>89283.0</v>
      </c>
      <c r="C4144" s="38" t="s">
        <v>6820</v>
      </c>
      <c r="D4144" s="38" t="str">
        <f>IFERROR(__xludf.DUMMYFUNCTION("REGEXREPLACE(C4144,""-\d+(.*)|--\d+(.*)"","""")"),"OUANNE")</f>
        <v>OUANNE</v>
      </c>
      <c r="E4144" s="38" t="s">
        <v>275</v>
      </c>
      <c r="F4144" s="38" t="s">
        <v>106</v>
      </c>
      <c r="G4144" s="49" t="str">
        <f t="shared" si="1"/>
        <v>89560</v>
      </c>
      <c r="H4144" s="49">
        <f t="shared" si="2"/>
        <v>89283</v>
      </c>
    </row>
    <row r="4145">
      <c r="A4145" s="48" t="s">
        <v>2779</v>
      </c>
      <c r="B4145" s="38">
        <v>80381.0</v>
      </c>
      <c r="C4145" s="38" t="s">
        <v>6821</v>
      </c>
      <c r="D4145" s="38" t="str">
        <f>IFERROR(__xludf.DUMMYFUNCTION("REGEXREPLACE(C4145,""-\d+(.*)|--\d+(.*)"","""")"),"GORGES")</f>
        <v>GORGES</v>
      </c>
      <c r="E4145" s="38" t="s">
        <v>224</v>
      </c>
      <c r="F4145" s="38" t="s">
        <v>113</v>
      </c>
      <c r="G4145" s="49" t="str">
        <f t="shared" si="1"/>
        <v>80370</v>
      </c>
      <c r="H4145" s="49">
        <f t="shared" si="2"/>
        <v>80381</v>
      </c>
    </row>
    <row r="4146">
      <c r="A4146" s="48" t="s">
        <v>6822</v>
      </c>
      <c r="B4146" s="38">
        <v>79191.0</v>
      </c>
      <c r="C4146" s="38" t="s">
        <v>6823</v>
      </c>
      <c r="D4146" s="38" t="str">
        <f>IFERROR(__xludf.DUMMYFUNCTION("REGEXREPLACE(C4146,""-\d+(.*)|--\d+(.*)"","""")"),"NIORT")</f>
        <v>NIORT</v>
      </c>
      <c r="E4146" s="38" t="s">
        <v>337</v>
      </c>
      <c r="F4146" s="38" t="s">
        <v>338</v>
      </c>
      <c r="G4146" s="49" t="str">
        <f t="shared" si="1"/>
        <v>79000</v>
      </c>
      <c r="H4146" s="49">
        <f t="shared" si="2"/>
        <v>79191</v>
      </c>
    </row>
    <row r="4147">
      <c r="A4147" s="48" t="s">
        <v>4181</v>
      </c>
      <c r="B4147" s="38">
        <v>89042.0</v>
      </c>
      <c r="C4147" s="38" t="s">
        <v>6824</v>
      </c>
      <c r="D4147" s="38" t="str">
        <f>IFERROR(__xludf.DUMMYFUNCTION("REGEXREPLACE(C4147,""-\d+(.*)|--\d+(.*)"","""")"),"BIERRY-LES-BELLES-FONTAINES")</f>
        <v>BIERRY-LES-BELLES-FONTAINES</v>
      </c>
      <c r="E4147" s="38" t="s">
        <v>275</v>
      </c>
      <c r="F4147" s="38" t="s">
        <v>106</v>
      </c>
      <c r="G4147" s="49" t="str">
        <f t="shared" si="1"/>
        <v>89420</v>
      </c>
      <c r="H4147" s="49">
        <f t="shared" si="2"/>
        <v>89042</v>
      </c>
    </row>
    <row r="4148">
      <c r="A4148" s="48" t="s">
        <v>6825</v>
      </c>
      <c r="B4148" s="38">
        <v>14253.0</v>
      </c>
      <c r="C4148" s="38" t="s">
        <v>6826</v>
      </c>
      <c r="D4148" s="38" t="str">
        <f>IFERROR(__xludf.DUMMYFUNCTION("REGEXREPLACE(C4148,""-\d+(.*)|--\d+(.*)"","""")"),"ESTRY")</f>
        <v>ESTRY</v>
      </c>
      <c r="E4148" s="38" t="s">
        <v>137</v>
      </c>
      <c r="F4148" s="38" t="s">
        <v>138</v>
      </c>
      <c r="G4148" s="49" t="str">
        <f t="shared" si="1"/>
        <v>14410</v>
      </c>
      <c r="H4148" s="49">
        <f t="shared" si="2"/>
        <v>14253</v>
      </c>
    </row>
    <row r="4149">
      <c r="A4149" s="48" t="s">
        <v>6827</v>
      </c>
      <c r="B4149" s="38">
        <v>80071.0</v>
      </c>
      <c r="C4149" s="38" t="s">
        <v>6828</v>
      </c>
      <c r="D4149" s="38" t="str">
        <f>IFERROR(__xludf.DUMMYFUNCTION("REGEXREPLACE(C4149,""-\d+(.*)|--\d+(.*)"","""")"),"BEAUVAL")</f>
        <v>BEAUVAL</v>
      </c>
      <c r="E4149" s="38" t="s">
        <v>224</v>
      </c>
      <c r="F4149" s="38" t="s">
        <v>113</v>
      </c>
      <c r="G4149" s="49" t="str">
        <f t="shared" si="1"/>
        <v>80630</v>
      </c>
      <c r="H4149" s="49">
        <f t="shared" si="2"/>
        <v>80071</v>
      </c>
    </row>
    <row r="4150">
      <c r="A4150" s="48" t="s">
        <v>6829</v>
      </c>
      <c r="B4150" s="38">
        <v>17189.0</v>
      </c>
      <c r="C4150" s="38" t="s">
        <v>6830</v>
      </c>
      <c r="D4150" s="38" t="str">
        <f>IFERROR(__xludf.DUMMYFUNCTION("REGEXREPLACE(C4150,""-\d+(.*)|--\d+(.*)"","""")"),"HIERS-BROUAGE")</f>
        <v>HIERS-BROUAGE</v>
      </c>
      <c r="E4150" s="38" t="s">
        <v>488</v>
      </c>
      <c r="F4150" s="38" t="s">
        <v>338</v>
      </c>
      <c r="G4150" s="49" t="str">
        <f t="shared" si="1"/>
        <v>17320</v>
      </c>
      <c r="H4150" s="49">
        <f t="shared" si="2"/>
        <v>17189</v>
      </c>
    </row>
    <row r="4151">
      <c r="A4151" s="48" t="s">
        <v>3631</v>
      </c>
      <c r="B4151" s="38">
        <v>38368.0</v>
      </c>
      <c r="C4151" s="38" t="s">
        <v>6831</v>
      </c>
      <c r="D4151" s="38" t="str">
        <f>IFERROR(__xludf.DUMMYFUNCTION("REGEXREPLACE(C4151,""-\d+(.*)|--\d+(.*)"","""")"),"SAINT-BLAISE-DU-BUIS")</f>
        <v>SAINT-BLAISE-DU-BUIS</v>
      </c>
      <c r="E4151" s="38" t="s">
        <v>101</v>
      </c>
      <c r="F4151" s="38" t="s">
        <v>102</v>
      </c>
      <c r="G4151" s="49" t="str">
        <f t="shared" si="1"/>
        <v>38140</v>
      </c>
      <c r="H4151" s="49">
        <f t="shared" si="2"/>
        <v>38368</v>
      </c>
    </row>
    <row r="4152">
      <c r="A4152" s="48" t="s">
        <v>6832</v>
      </c>
      <c r="B4152" s="38">
        <v>80339.0</v>
      </c>
      <c r="C4152" s="38" t="s">
        <v>6833</v>
      </c>
      <c r="D4152" s="38" t="str">
        <f>IFERROR(__xludf.DUMMYFUNCTION("REGEXREPLACE(C4152,""-\d+(.*)|--\d+(.*)"","""")"),"FOUQUESCOURT")</f>
        <v>FOUQUESCOURT</v>
      </c>
      <c r="E4152" s="38" t="s">
        <v>224</v>
      </c>
      <c r="F4152" s="38" t="s">
        <v>113</v>
      </c>
      <c r="G4152" s="49" t="str">
        <f t="shared" si="1"/>
        <v>80170</v>
      </c>
      <c r="H4152" s="49">
        <f t="shared" si="2"/>
        <v>80339</v>
      </c>
    </row>
    <row r="4153">
      <c r="A4153" s="48" t="s">
        <v>5203</v>
      </c>
      <c r="B4153" s="38">
        <v>88495.0</v>
      </c>
      <c r="C4153" s="38" t="s">
        <v>6834</v>
      </c>
      <c r="D4153" s="38" t="str">
        <f>IFERROR(__xludf.DUMMYFUNCTION("REGEXREPLACE(C4153,""-\d+(.*)|--\d+(.*)"","""")"),"VAUDEVILLE")</f>
        <v>VAUDEVILLE</v>
      </c>
      <c r="E4153" s="38" t="s">
        <v>194</v>
      </c>
      <c r="F4153" s="38" t="s">
        <v>195</v>
      </c>
      <c r="G4153" s="49" t="str">
        <f t="shared" si="1"/>
        <v>88000</v>
      </c>
      <c r="H4153" s="49">
        <f t="shared" si="2"/>
        <v>88495</v>
      </c>
    </row>
    <row r="4154">
      <c r="A4154" s="48" t="s">
        <v>6835</v>
      </c>
      <c r="B4154" s="38">
        <v>29236.0</v>
      </c>
      <c r="C4154" s="38" t="s">
        <v>6836</v>
      </c>
      <c r="D4154" s="38" t="str">
        <f>IFERROR(__xludf.DUMMYFUNCTION("REGEXREPLACE(C4154,""-\d+(.*)|--\d+(.*)"","""")"),"RIEC-SUR-BELON")</f>
        <v>RIEC-SUR-BELON</v>
      </c>
      <c r="E4154" s="38" t="s">
        <v>176</v>
      </c>
      <c r="F4154" s="38" t="s">
        <v>90</v>
      </c>
      <c r="G4154" s="49" t="str">
        <f t="shared" si="1"/>
        <v>29340</v>
      </c>
      <c r="H4154" s="49">
        <f t="shared" si="2"/>
        <v>29236</v>
      </c>
    </row>
    <row r="4155">
      <c r="A4155" s="48" t="s">
        <v>3379</v>
      </c>
      <c r="B4155" s="38">
        <v>54565.0</v>
      </c>
      <c r="C4155" s="38" t="s">
        <v>6837</v>
      </c>
      <c r="D4155" s="38" t="str">
        <f>IFERROR(__xludf.DUMMYFUNCTION("REGEXREPLACE(C4155,""-\d+(.*)|--\d+(.*)"","""")"),"VIGNEULLES")</f>
        <v>VIGNEULLES</v>
      </c>
      <c r="E4155" s="38" t="s">
        <v>548</v>
      </c>
      <c r="F4155" s="38" t="s">
        <v>195</v>
      </c>
      <c r="G4155" s="49" t="str">
        <f t="shared" si="1"/>
        <v>54360</v>
      </c>
      <c r="H4155" s="49">
        <f t="shared" si="2"/>
        <v>54565</v>
      </c>
    </row>
    <row r="4156">
      <c r="A4156" s="48" t="s">
        <v>6838</v>
      </c>
      <c r="B4156" s="38">
        <v>56260.0</v>
      </c>
      <c r="C4156" s="38" t="s">
        <v>6839</v>
      </c>
      <c r="D4156" s="38" t="str">
        <f>IFERROR(__xludf.DUMMYFUNCTION("REGEXREPLACE(C4156,""-\d+(.*)|--\d+(.*)"","""")"),"VANNES")</f>
        <v>VANNES</v>
      </c>
      <c r="E4156" s="38" t="s">
        <v>173</v>
      </c>
      <c r="F4156" s="38" t="s">
        <v>90</v>
      </c>
      <c r="G4156" s="49" t="str">
        <f t="shared" si="1"/>
        <v>56000</v>
      </c>
      <c r="H4156" s="49">
        <f t="shared" si="2"/>
        <v>56260</v>
      </c>
    </row>
    <row r="4157">
      <c r="A4157" s="48" t="s">
        <v>2338</v>
      </c>
      <c r="B4157" s="38">
        <v>8333.0</v>
      </c>
      <c r="C4157" s="38" t="s">
        <v>6840</v>
      </c>
      <c r="D4157" s="38" t="str">
        <f>IFERROR(__xludf.DUMMYFUNCTION("REGEXREPLACE(C4157,""-\d+(.*)|--\d+(.*)"","""")"),"OLIZY-PRIMAT")</f>
        <v>OLIZY-PRIMAT</v>
      </c>
      <c r="E4157" s="38" t="s">
        <v>327</v>
      </c>
      <c r="F4157" s="38" t="s">
        <v>130</v>
      </c>
      <c r="G4157" s="49" t="str">
        <f t="shared" si="1"/>
        <v>08250</v>
      </c>
      <c r="H4157" s="49" t="str">
        <f t="shared" si="2"/>
        <v>08333</v>
      </c>
    </row>
    <row r="4158">
      <c r="A4158" s="48" t="s">
        <v>6841</v>
      </c>
      <c r="B4158" s="38">
        <v>38056.0</v>
      </c>
      <c r="C4158" s="38" t="s">
        <v>6842</v>
      </c>
      <c r="D4158" s="38" t="str">
        <f>IFERROR(__xludf.DUMMYFUNCTION("REGEXREPLACE(C4158,""-\d+(.*)|--\d+(.*)"","""")"),"BRESSIEUX")</f>
        <v>BRESSIEUX</v>
      </c>
      <c r="E4158" s="38" t="s">
        <v>101</v>
      </c>
      <c r="F4158" s="38" t="s">
        <v>102</v>
      </c>
      <c r="G4158" s="49" t="str">
        <f t="shared" si="1"/>
        <v>38870</v>
      </c>
      <c r="H4158" s="49">
        <f t="shared" si="2"/>
        <v>38056</v>
      </c>
    </row>
    <row r="4159">
      <c r="A4159" s="48" t="s">
        <v>3000</v>
      </c>
      <c r="B4159" s="38">
        <v>23112.0</v>
      </c>
      <c r="C4159" s="38" t="s">
        <v>6843</v>
      </c>
      <c r="D4159" s="38" t="str">
        <f>IFERROR(__xludf.DUMMYFUNCTION("REGEXREPLACE(C4159,""-\d+(.*)|--\d+(.*)"","""")"),"LOURDOUEIX-SAINT-PIERRE")</f>
        <v>LOURDOUEIX-SAINT-PIERRE</v>
      </c>
      <c r="E4159" s="38" t="s">
        <v>97</v>
      </c>
      <c r="F4159" s="38" t="s">
        <v>98</v>
      </c>
      <c r="G4159" s="49" t="str">
        <f t="shared" si="1"/>
        <v>23360</v>
      </c>
      <c r="H4159" s="49">
        <f t="shared" si="2"/>
        <v>23112</v>
      </c>
    </row>
    <row r="4160">
      <c r="A4160" s="48" t="s">
        <v>6844</v>
      </c>
      <c r="B4160" s="38">
        <v>12266.0</v>
      </c>
      <c r="C4160" s="38" t="s">
        <v>6845</v>
      </c>
      <c r="D4160" s="38" t="str">
        <f>IFERROR(__xludf.DUMMYFUNCTION("REGEXREPLACE(C4160,""-\d+(.*)|--\d+(.*)"","""")"),"SEGUR")</f>
        <v>SEGUR</v>
      </c>
      <c r="E4160" s="38" t="s">
        <v>465</v>
      </c>
      <c r="F4160" s="38" t="s">
        <v>94</v>
      </c>
      <c r="G4160" s="49" t="str">
        <f t="shared" si="1"/>
        <v>12290</v>
      </c>
      <c r="H4160" s="49">
        <f t="shared" si="2"/>
        <v>12266</v>
      </c>
    </row>
    <row r="4161">
      <c r="A4161" s="48" t="s">
        <v>803</v>
      </c>
      <c r="B4161" s="38">
        <v>1415.0</v>
      </c>
      <c r="C4161" s="38" t="s">
        <v>6846</v>
      </c>
      <c r="D4161" s="38" t="str">
        <f>IFERROR(__xludf.DUMMYFUNCTION("REGEXREPLACE(C4161,""-\d+(.*)|--\d+(.*)"","""")"),"TALISSIEU")</f>
        <v>TALISSIEU</v>
      </c>
      <c r="E4161" s="38" t="s">
        <v>255</v>
      </c>
      <c r="F4161" s="38" t="s">
        <v>102</v>
      </c>
      <c r="G4161" s="49" t="str">
        <f t="shared" si="1"/>
        <v>01510</v>
      </c>
      <c r="H4161" s="49" t="str">
        <f t="shared" si="2"/>
        <v>01415</v>
      </c>
    </row>
    <row r="4162">
      <c r="A4162" s="48" t="s">
        <v>3532</v>
      </c>
      <c r="B4162" s="38">
        <v>2123.0</v>
      </c>
      <c r="C4162" s="38" t="s">
        <v>6847</v>
      </c>
      <c r="D4162" s="38" t="str">
        <f>IFERROR(__xludf.DUMMYFUNCTION("REGEXREPLACE(C4162,""-\d+(.*)|--\d+(.*)"","""")"),"BRISSAY-CHOIGNY")</f>
        <v>BRISSAY-CHOIGNY</v>
      </c>
      <c r="E4162" s="38" t="s">
        <v>191</v>
      </c>
      <c r="F4162" s="38" t="s">
        <v>113</v>
      </c>
      <c r="G4162" s="49" t="str">
        <f t="shared" si="1"/>
        <v>02240</v>
      </c>
      <c r="H4162" s="49" t="str">
        <f t="shared" si="2"/>
        <v>02123</v>
      </c>
    </row>
    <row r="4163">
      <c r="A4163" s="48" t="s">
        <v>5551</v>
      </c>
      <c r="B4163" s="38">
        <v>71237.0</v>
      </c>
      <c r="C4163" s="38" t="s">
        <v>6848</v>
      </c>
      <c r="D4163" s="38" t="str">
        <f>IFERROR(__xludf.DUMMYFUNCTION("REGEXREPLACE(C4163,""-\d+(.*)|--\d+(.*)"","""")"),"IGORNAY")</f>
        <v>IGORNAY</v>
      </c>
      <c r="E4163" s="38" t="s">
        <v>344</v>
      </c>
      <c r="F4163" s="38" t="s">
        <v>106</v>
      </c>
      <c r="G4163" s="49" t="str">
        <f t="shared" si="1"/>
        <v>71540</v>
      </c>
      <c r="H4163" s="49">
        <f t="shared" si="2"/>
        <v>71237</v>
      </c>
    </row>
    <row r="4164">
      <c r="A4164" s="48" t="s">
        <v>6849</v>
      </c>
      <c r="B4164" s="38">
        <v>28110.0</v>
      </c>
      <c r="C4164" s="38" t="s">
        <v>6850</v>
      </c>
      <c r="D4164" s="38" t="str">
        <f>IFERROR(__xludf.DUMMYFUNCTION("REGEXREPLACE(C4164,""-\d+(.*)|--\d+(.*)"","""")"),"LE COUDRAY")</f>
        <v>LE COUDRAY</v>
      </c>
      <c r="E4164" s="38" t="s">
        <v>300</v>
      </c>
      <c r="F4164" s="38" t="s">
        <v>123</v>
      </c>
      <c r="G4164" s="49" t="str">
        <f t="shared" si="1"/>
        <v>28630</v>
      </c>
      <c r="H4164" s="49">
        <f t="shared" si="2"/>
        <v>28110</v>
      </c>
    </row>
    <row r="4165">
      <c r="A4165" s="48" t="s">
        <v>6851</v>
      </c>
      <c r="B4165" s="38">
        <v>97221.0</v>
      </c>
      <c r="C4165" s="38" t="s">
        <v>6852</v>
      </c>
      <c r="D4165" s="38" t="str">
        <f>IFERROR(__xludf.DUMMYFUNCTION("REGEXREPLACE(C4165,""-\d+(.*)|--\d+(.*)"","""")"),"RIVIERE-SALEE")</f>
        <v>RIVIERE-SALEE</v>
      </c>
      <c r="E4165" s="38" t="s">
        <v>2282</v>
      </c>
      <c r="F4165" s="38" t="s">
        <v>2282</v>
      </c>
      <c r="G4165" s="49" t="str">
        <f t="shared" si="1"/>
        <v>97215</v>
      </c>
      <c r="H4165" s="49">
        <f t="shared" si="2"/>
        <v>97221</v>
      </c>
    </row>
    <row r="4166">
      <c r="A4166" s="48" t="s">
        <v>995</v>
      </c>
      <c r="B4166" s="38">
        <v>31507.0</v>
      </c>
      <c r="C4166" s="38" t="s">
        <v>6853</v>
      </c>
      <c r="D4166" s="38" t="str">
        <f>IFERROR(__xludf.DUMMYFUNCTION("REGEXREPLACE(C4166,""-\d+(.*)|--\d+(.*)"","""")"),"SAINT-PAUL-SUR-SAVE")</f>
        <v>SAINT-PAUL-SUR-SAVE</v>
      </c>
      <c r="E4166" s="38" t="s">
        <v>93</v>
      </c>
      <c r="F4166" s="38" t="s">
        <v>94</v>
      </c>
      <c r="G4166" s="49" t="str">
        <f t="shared" si="1"/>
        <v>31530</v>
      </c>
      <c r="H4166" s="49">
        <f t="shared" si="2"/>
        <v>31507</v>
      </c>
    </row>
    <row r="4167">
      <c r="A4167" s="48" t="s">
        <v>6854</v>
      </c>
      <c r="B4167" s="38">
        <v>84086.0</v>
      </c>
      <c r="C4167" s="38" t="s">
        <v>6855</v>
      </c>
      <c r="D4167" s="38" t="str">
        <f>IFERROR(__xludf.DUMMYFUNCTION("REGEXREPLACE(C4167,""-\d+(.*)|--\d+(.*)"","""")"),"OPPEDE")</f>
        <v>OPPEDE</v>
      </c>
      <c r="E4167" s="38" t="s">
        <v>1026</v>
      </c>
      <c r="F4167" s="38" t="s">
        <v>228</v>
      </c>
      <c r="G4167" s="49" t="str">
        <f t="shared" si="1"/>
        <v>84580</v>
      </c>
      <c r="H4167" s="49">
        <f t="shared" si="2"/>
        <v>84086</v>
      </c>
    </row>
    <row r="4168">
      <c r="A4168" s="48" t="s">
        <v>6856</v>
      </c>
      <c r="B4168" s="38">
        <v>59578.0</v>
      </c>
      <c r="C4168" s="38" t="s">
        <v>6857</v>
      </c>
      <c r="D4168" s="38" t="str">
        <f>IFERROR(__xludf.DUMMYFUNCTION("REGEXREPLACE(C4168,""-\d+(.*)|--\d+(.*)"","""")"),"STEENBECQUE")</f>
        <v>STEENBECQUE</v>
      </c>
      <c r="E4168" s="38" t="s">
        <v>85</v>
      </c>
      <c r="F4168" s="38" t="s">
        <v>86</v>
      </c>
      <c r="G4168" s="49" t="str">
        <f t="shared" si="1"/>
        <v>59189</v>
      </c>
      <c r="H4168" s="49">
        <f t="shared" si="2"/>
        <v>59578</v>
      </c>
    </row>
    <row r="4169">
      <c r="A4169" s="48" t="s">
        <v>6858</v>
      </c>
      <c r="B4169" s="38">
        <v>71125.0</v>
      </c>
      <c r="C4169" s="38" t="s">
        <v>6859</v>
      </c>
      <c r="D4169" s="38" t="str">
        <f>IFERROR(__xludf.DUMMYFUNCTION("REGEXREPLACE(C4169,""-\d+(.*)|--\d+(.*)"","""")"),"CHERIZET")</f>
        <v>CHERIZET</v>
      </c>
      <c r="E4169" s="38" t="s">
        <v>344</v>
      </c>
      <c r="F4169" s="38" t="s">
        <v>106</v>
      </c>
      <c r="G4169" s="49" t="str">
        <f t="shared" si="1"/>
        <v>71250</v>
      </c>
      <c r="H4169" s="49">
        <f t="shared" si="2"/>
        <v>71125</v>
      </c>
    </row>
    <row r="4170">
      <c r="A4170" s="48" t="s">
        <v>6860</v>
      </c>
      <c r="B4170" s="38">
        <v>22302.0</v>
      </c>
      <c r="C4170" s="38" t="s">
        <v>6861</v>
      </c>
      <c r="D4170" s="38" t="str">
        <f>IFERROR(__xludf.DUMMYFUNCTION("REGEXREPLACE(C4170,""-\d+(.*)|--\d+(.*)"","""")"),"SAINT-JACUT-DE-LA-MER")</f>
        <v>SAINT-JACUT-DE-LA-MER</v>
      </c>
      <c r="E4170" s="38" t="s">
        <v>89</v>
      </c>
      <c r="F4170" s="38" t="s">
        <v>90</v>
      </c>
      <c r="G4170" s="49" t="str">
        <f t="shared" si="1"/>
        <v>22750</v>
      </c>
      <c r="H4170" s="49">
        <f t="shared" si="2"/>
        <v>22302</v>
      </c>
    </row>
    <row r="4171">
      <c r="A4171" s="48" t="s">
        <v>6862</v>
      </c>
      <c r="B4171" s="38">
        <v>68180.0</v>
      </c>
      <c r="C4171" s="38" t="s">
        <v>6863</v>
      </c>
      <c r="D4171" s="38" t="str">
        <f>IFERROR(__xludf.DUMMYFUNCTION("REGEXREPLACE(C4171,""-\d+(.*)|--\d+(.*)"","""")"),"LEIMBACH")</f>
        <v>LEIMBACH</v>
      </c>
      <c r="E4171" s="38" t="s">
        <v>150</v>
      </c>
      <c r="F4171" s="38" t="s">
        <v>151</v>
      </c>
      <c r="G4171" s="49" t="str">
        <f t="shared" si="1"/>
        <v>68800</v>
      </c>
      <c r="H4171" s="49">
        <f t="shared" si="2"/>
        <v>68180</v>
      </c>
    </row>
    <row r="4172">
      <c r="A4172" s="48" t="s">
        <v>3182</v>
      </c>
      <c r="B4172" s="38">
        <v>80014.0</v>
      </c>
      <c r="C4172" s="38" t="s">
        <v>6864</v>
      </c>
      <c r="D4172" s="38" t="str">
        <f>IFERROR(__xludf.DUMMYFUNCTION("REGEXREPLACE(C4172,""-\d+(.*)|--\d+(.*)"","""")"),"AIZECOURT-LE-BAS")</f>
        <v>AIZECOURT-LE-BAS</v>
      </c>
      <c r="E4172" s="38" t="s">
        <v>224</v>
      </c>
      <c r="F4172" s="38" t="s">
        <v>113</v>
      </c>
      <c r="G4172" s="49" t="str">
        <f t="shared" si="1"/>
        <v>80240</v>
      </c>
      <c r="H4172" s="49">
        <f t="shared" si="2"/>
        <v>80014</v>
      </c>
    </row>
    <row r="4173">
      <c r="A4173" s="48" t="s">
        <v>6865</v>
      </c>
      <c r="B4173" s="38" t="s">
        <v>6866</v>
      </c>
      <c r="C4173" s="38" t="s">
        <v>6867</v>
      </c>
      <c r="D4173" s="38" t="str">
        <f>IFERROR(__xludf.DUMMYFUNCTION("REGEXREPLACE(C4173,""-\d+(.*)|--\d+(.*)"","""")"),"URBALACONE")</f>
        <v>URBALACONE</v>
      </c>
      <c r="E4173" s="38" t="s">
        <v>606</v>
      </c>
      <c r="F4173" s="38" t="s">
        <v>607</v>
      </c>
      <c r="G4173" s="49" t="str">
        <f t="shared" si="1"/>
        <v>20128</v>
      </c>
      <c r="H4173" s="49" t="str">
        <f t="shared" si="2"/>
        <v>2A331</v>
      </c>
    </row>
    <row r="4174">
      <c r="A4174" s="48" t="s">
        <v>6868</v>
      </c>
      <c r="B4174" s="38" t="s">
        <v>6869</v>
      </c>
      <c r="C4174" s="38" t="s">
        <v>6870</v>
      </c>
      <c r="D4174" s="38" t="str">
        <f>IFERROR(__xludf.DUMMYFUNCTION("REGEXREPLACE(C4174,""-\d+(.*)|--\d+(.*)"","""")"),"VEZZANI")</f>
        <v>VEZZANI</v>
      </c>
      <c r="E4174" s="38" t="s">
        <v>743</v>
      </c>
      <c r="F4174" s="38" t="s">
        <v>607</v>
      </c>
      <c r="G4174" s="49" t="str">
        <f t="shared" si="1"/>
        <v>20242</v>
      </c>
      <c r="H4174" s="49" t="str">
        <f t="shared" si="2"/>
        <v>2B347</v>
      </c>
    </row>
    <row r="4175">
      <c r="A4175" s="48" t="s">
        <v>5043</v>
      </c>
      <c r="B4175" s="38">
        <v>19041.0</v>
      </c>
      <c r="C4175" s="38" t="s">
        <v>6871</v>
      </c>
      <c r="D4175" s="38" t="str">
        <f>IFERROR(__xludf.DUMMYFUNCTION("REGEXREPLACE(C4175,""-\d+(.*)|--\d+(.*)"","""")"),"CHANAC-LES-MINES")</f>
        <v>CHANAC-LES-MINES</v>
      </c>
      <c r="E4175" s="38" t="s">
        <v>271</v>
      </c>
      <c r="F4175" s="38" t="s">
        <v>98</v>
      </c>
      <c r="G4175" s="49" t="str">
        <f t="shared" si="1"/>
        <v>19150</v>
      </c>
      <c r="H4175" s="49">
        <f t="shared" si="2"/>
        <v>19041</v>
      </c>
    </row>
    <row r="4176">
      <c r="A4176" s="48" t="s">
        <v>6872</v>
      </c>
      <c r="B4176" s="38">
        <v>45236.0</v>
      </c>
      <c r="C4176" s="38" t="s">
        <v>6873</v>
      </c>
      <c r="D4176" s="38" t="str">
        <f>IFERROR(__xludf.DUMMYFUNCTION("REGEXREPLACE(C4176,""-\d+(.*)|--\d+(.*)"","""")"),"ORVEAU-BELLESAUVE")</f>
        <v>ORVEAU-BELLESAUVE</v>
      </c>
      <c r="E4176" s="38" t="s">
        <v>122</v>
      </c>
      <c r="F4176" s="38" t="s">
        <v>123</v>
      </c>
      <c r="G4176" s="49" t="str">
        <f t="shared" si="1"/>
        <v>45330</v>
      </c>
      <c r="H4176" s="49">
        <f t="shared" si="2"/>
        <v>45236</v>
      </c>
    </row>
    <row r="4177">
      <c r="A4177" s="48" t="s">
        <v>4235</v>
      </c>
      <c r="B4177" s="38">
        <v>50025.0</v>
      </c>
      <c r="C4177" s="38" t="s">
        <v>6874</v>
      </c>
      <c r="D4177" s="38" t="str">
        <f>IFERROR(__xludf.DUMMYFUNCTION("REGEXREPLACE(C4177,""-\d+(.*)|--\d+(.*)"","""")"),"AVRANCHES")</f>
        <v>AVRANCHES</v>
      </c>
      <c r="E4177" s="38" t="s">
        <v>157</v>
      </c>
      <c r="F4177" s="38" t="s">
        <v>138</v>
      </c>
      <c r="G4177" s="49" t="str">
        <f t="shared" si="1"/>
        <v>50300</v>
      </c>
      <c r="H4177" s="49">
        <f t="shared" si="2"/>
        <v>50025</v>
      </c>
    </row>
    <row r="4178">
      <c r="A4178" s="48" t="s">
        <v>6875</v>
      </c>
      <c r="B4178" s="38">
        <v>2038.0</v>
      </c>
      <c r="C4178" s="38" t="s">
        <v>6876</v>
      </c>
      <c r="D4178" s="38" t="str">
        <f>IFERROR(__xludf.DUMMYFUNCTION("REGEXREPLACE(C4178,""-\d+(.*)|--\d+(.*)"","""")"),"LES AUTELS")</f>
        <v>LES AUTELS</v>
      </c>
      <c r="E4178" s="38" t="s">
        <v>191</v>
      </c>
      <c r="F4178" s="38" t="s">
        <v>113</v>
      </c>
      <c r="G4178" s="49" t="str">
        <f t="shared" si="1"/>
        <v>02360</v>
      </c>
      <c r="H4178" s="49" t="str">
        <f t="shared" si="2"/>
        <v>02038</v>
      </c>
    </row>
    <row r="4179">
      <c r="A4179" s="48" t="s">
        <v>279</v>
      </c>
      <c r="B4179" s="38">
        <v>40061.0</v>
      </c>
      <c r="C4179" s="38" t="s">
        <v>1651</v>
      </c>
      <c r="D4179" s="38" t="str">
        <f>IFERROR(__xludf.DUMMYFUNCTION("REGEXREPLACE(C4179,""-\d+(.*)|--\d+(.*)"","""")"),"CAMPAGNE")</f>
        <v>CAMPAGNE</v>
      </c>
      <c r="E4179" s="38" t="s">
        <v>281</v>
      </c>
      <c r="F4179" s="38" t="s">
        <v>252</v>
      </c>
      <c r="G4179" s="49" t="str">
        <f t="shared" si="1"/>
        <v>40090</v>
      </c>
      <c r="H4179" s="49">
        <f t="shared" si="2"/>
        <v>40061</v>
      </c>
    </row>
    <row r="4180">
      <c r="A4180" s="48" t="s">
        <v>3208</v>
      </c>
      <c r="B4180" s="38">
        <v>80158.0</v>
      </c>
      <c r="C4180" s="38" t="s">
        <v>6877</v>
      </c>
      <c r="D4180" s="38" t="str">
        <f>IFERROR(__xludf.DUMMYFUNCTION("REGEXREPLACE(C4180,""-\d+(.*)|--\d+(.*)"","""")"),"BUVERCHY")</f>
        <v>BUVERCHY</v>
      </c>
      <c r="E4180" s="38" t="s">
        <v>224</v>
      </c>
      <c r="F4180" s="38" t="s">
        <v>113</v>
      </c>
      <c r="G4180" s="49" t="str">
        <f t="shared" si="1"/>
        <v>80400</v>
      </c>
      <c r="H4180" s="49">
        <f t="shared" si="2"/>
        <v>80158</v>
      </c>
    </row>
    <row r="4181">
      <c r="A4181" s="48" t="s">
        <v>6878</v>
      </c>
      <c r="B4181" s="38">
        <v>80826.0</v>
      </c>
      <c r="C4181" s="38" t="s">
        <v>6879</v>
      </c>
      <c r="D4181" s="38" t="str">
        <f>IFERROR(__xludf.DUMMYFUNCTION("REGEXREPLACE(C4181,""-\d+(.*)|--\d+(.*)"","""")"),"WOIGNARUE")</f>
        <v>WOIGNARUE</v>
      </c>
      <c r="E4181" s="38" t="s">
        <v>224</v>
      </c>
      <c r="F4181" s="38" t="s">
        <v>113</v>
      </c>
      <c r="G4181" s="49" t="str">
        <f t="shared" si="1"/>
        <v>80460</v>
      </c>
      <c r="H4181" s="49">
        <f t="shared" si="2"/>
        <v>80826</v>
      </c>
    </row>
    <row r="4182">
      <c r="A4182" s="48" t="s">
        <v>962</v>
      </c>
      <c r="B4182" s="38">
        <v>24077.0</v>
      </c>
      <c r="C4182" s="38" t="s">
        <v>6880</v>
      </c>
      <c r="D4182" s="38" t="str">
        <f>IFERROR(__xludf.DUMMYFUNCTION("REGEXREPLACE(C4182,""-\d+(.*)|--\d+(.*)"","""")"),"CAMPSEGRET")</f>
        <v>CAMPSEGRET</v>
      </c>
      <c r="E4182" s="38" t="s">
        <v>261</v>
      </c>
      <c r="F4182" s="38" t="s">
        <v>252</v>
      </c>
      <c r="G4182" s="49" t="str">
        <f t="shared" si="1"/>
        <v>24140</v>
      </c>
      <c r="H4182" s="49">
        <f t="shared" si="2"/>
        <v>24077</v>
      </c>
    </row>
    <row r="4183">
      <c r="A4183" s="48" t="s">
        <v>922</v>
      </c>
      <c r="B4183" s="38">
        <v>76666.0</v>
      </c>
      <c r="C4183" s="38" t="s">
        <v>6881</v>
      </c>
      <c r="D4183" s="38" t="str">
        <f>IFERROR(__xludf.DUMMYFUNCTION("REGEXREPLACE(C4183,""-\d+(.*)|--\d+(.*)"","""")"),"SAUMONT-LA-POTERIE")</f>
        <v>SAUMONT-LA-POTERIE</v>
      </c>
      <c r="E4183" s="38" t="s">
        <v>133</v>
      </c>
      <c r="F4183" s="38" t="s">
        <v>134</v>
      </c>
      <c r="G4183" s="49" t="str">
        <f t="shared" si="1"/>
        <v>76440</v>
      </c>
      <c r="H4183" s="49">
        <f t="shared" si="2"/>
        <v>76666</v>
      </c>
    </row>
    <row r="4184">
      <c r="A4184" s="48" t="s">
        <v>4274</v>
      </c>
      <c r="B4184" s="38">
        <v>52544.0</v>
      </c>
      <c r="C4184" s="38" t="s">
        <v>6882</v>
      </c>
      <c r="D4184" s="38" t="str">
        <f>IFERROR(__xludf.DUMMYFUNCTION("REGEXREPLACE(C4184,""-\d+(.*)|--\d+(.*)"","""")"),"VOISEY")</f>
        <v>VOISEY</v>
      </c>
      <c r="E4184" s="38" t="s">
        <v>234</v>
      </c>
      <c r="F4184" s="38" t="s">
        <v>130</v>
      </c>
      <c r="G4184" s="49" t="str">
        <f t="shared" si="1"/>
        <v>52400</v>
      </c>
      <c r="H4184" s="49">
        <f t="shared" si="2"/>
        <v>52544</v>
      </c>
    </row>
    <row r="4185">
      <c r="A4185" s="48" t="s">
        <v>730</v>
      </c>
      <c r="B4185" s="38">
        <v>48166.0</v>
      </c>
      <c r="C4185" s="38" t="s">
        <v>6883</v>
      </c>
      <c r="D4185" s="38" t="str">
        <f>IFERROR(__xludf.DUMMYFUNCTION("REGEXREPLACE(C4185,""-\d+(.*)|--\d+(.*)"","""")"),"SAINT-LAURENT-DE-TREVES")</f>
        <v>SAINT-LAURENT-DE-TREVES</v>
      </c>
      <c r="E4185" s="38" t="s">
        <v>154</v>
      </c>
      <c r="F4185" s="38" t="s">
        <v>119</v>
      </c>
      <c r="G4185" s="49" t="str">
        <f t="shared" si="1"/>
        <v>48400</v>
      </c>
      <c r="H4185" s="49">
        <f t="shared" si="2"/>
        <v>48166</v>
      </c>
    </row>
    <row r="4186">
      <c r="A4186" s="48" t="s">
        <v>6884</v>
      </c>
      <c r="B4186" s="38">
        <v>29023.0</v>
      </c>
      <c r="C4186" s="38" t="s">
        <v>6885</v>
      </c>
      <c r="D4186" s="38" t="str">
        <f>IFERROR(__xludf.DUMMYFUNCTION("REGEXREPLACE(C4186,""-\d+(.*)|--\d+(.*)"","""")"),"CARANTEC")</f>
        <v>CARANTEC</v>
      </c>
      <c r="E4186" s="38" t="s">
        <v>176</v>
      </c>
      <c r="F4186" s="38" t="s">
        <v>90</v>
      </c>
      <c r="G4186" s="49" t="str">
        <f t="shared" si="1"/>
        <v>29660</v>
      </c>
      <c r="H4186" s="49">
        <f t="shared" si="2"/>
        <v>29023</v>
      </c>
    </row>
    <row r="4187">
      <c r="A4187" s="48" t="s">
        <v>2061</v>
      </c>
      <c r="B4187" s="38">
        <v>21705.0</v>
      </c>
      <c r="C4187" s="38" t="s">
        <v>6886</v>
      </c>
      <c r="D4187" s="38" t="str">
        <f>IFERROR(__xludf.DUMMYFUNCTION("REGEXREPLACE(C4187,""-\d+(.*)|--\d+(.*)"","""")"),"VILLOTTE-SAINT-SEINE")</f>
        <v>VILLOTTE-SAINT-SEINE</v>
      </c>
      <c r="E4187" s="38" t="s">
        <v>105</v>
      </c>
      <c r="F4187" s="38" t="s">
        <v>106</v>
      </c>
      <c r="G4187" s="49" t="str">
        <f t="shared" si="1"/>
        <v>21690</v>
      </c>
      <c r="H4187" s="49">
        <f t="shared" si="2"/>
        <v>21705</v>
      </c>
    </row>
    <row r="4188">
      <c r="A4188" s="48" t="s">
        <v>4328</v>
      </c>
      <c r="B4188" s="38">
        <v>70130.0</v>
      </c>
      <c r="C4188" s="38" t="s">
        <v>6887</v>
      </c>
      <c r="D4188" s="38" t="str">
        <f>IFERROR(__xludf.DUMMYFUNCTION("REGEXREPLACE(C4188,""-\d+(.*)|--\d+(.*)"","""")"),"CHARCENNE")</f>
        <v>CHARCENNE</v>
      </c>
      <c r="E4188" s="38" t="s">
        <v>956</v>
      </c>
      <c r="F4188" s="38" t="s">
        <v>214</v>
      </c>
      <c r="G4188" s="49" t="str">
        <f t="shared" si="1"/>
        <v>70700</v>
      </c>
      <c r="H4188" s="49">
        <f t="shared" si="2"/>
        <v>70130</v>
      </c>
    </row>
    <row r="4189">
      <c r="A4189" s="48" t="s">
        <v>2097</v>
      </c>
      <c r="B4189" s="38">
        <v>42297.0</v>
      </c>
      <c r="C4189" s="38" t="s">
        <v>6888</v>
      </c>
      <c r="D4189" s="38" t="str">
        <f>IFERROR(__xludf.DUMMYFUNCTION("REGEXREPLACE(C4189,""-\d+(.*)|--\d+(.*)"","""")"),"SALVIZINET")</f>
        <v>SALVIZINET</v>
      </c>
      <c r="E4189" s="38" t="s">
        <v>166</v>
      </c>
      <c r="F4189" s="38" t="s">
        <v>102</v>
      </c>
      <c r="G4189" s="49" t="str">
        <f t="shared" si="1"/>
        <v>42110</v>
      </c>
      <c r="H4189" s="49">
        <f t="shared" si="2"/>
        <v>42297</v>
      </c>
    </row>
    <row r="4190">
      <c r="A4190" s="48" t="s">
        <v>601</v>
      </c>
      <c r="B4190" s="38">
        <v>51528.0</v>
      </c>
      <c r="C4190" s="38" t="s">
        <v>6889</v>
      </c>
      <c r="D4190" s="38" t="str">
        <f>IFERROR(__xludf.DUMMYFUNCTION("REGEXREPLACE(C4190,""-\d+(.*)|--\d+(.*)"","""")"),"SCRUPT")</f>
        <v>SCRUPT</v>
      </c>
      <c r="E4190" s="38" t="s">
        <v>129</v>
      </c>
      <c r="F4190" s="38" t="s">
        <v>130</v>
      </c>
      <c r="G4190" s="49" t="str">
        <f t="shared" si="1"/>
        <v>51340</v>
      </c>
      <c r="H4190" s="49">
        <f t="shared" si="2"/>
        <v>51528</v>
      </c>
    </row>
    <row r="4191">
      <c r="A4191" s="48" t="s">
        <v>6890</v>
      </c>
      <c r="B4191" s="38">
        <v>51205.0</v>
      </c>
      <c r="C4191" s="38" t="s">
        <v>6891</v>
      </c>
      <c r="D4191" s="38" t="str">
        <f>IFERROR(__xludf.DUMMYFUNCTION("REGEXREPLACE(C4191,""-\d+(.*)|--\d+(.*)"","""")"),"DAMPIERRE-AU-TEMPLE")</f>
        <v>DAMPIERRE-AU-TEMPLE</v>
      </c>
      <c r="E4191" s="38" t="s">
        <v>129</v>
      </c>
      <c r="F4191" s="38" t="s">
        <v>130</v>
      </c>
      <c r="G4191" s="49" t="str">
        <f t="shared" si="1"/>
        <v>51400</v>
      </c>
      <c r="H4191" s="49">
        <f t="shared" si="2"/>
        <v>51205</v>
      </c>
    </row>
    <row r="4192">
      <c r="A4192" s="48" t="s">
        <v>4886</v>
      </c>
      <c r="B4192" s="38">
        <v>3114.0</v>
      </c>
      <c r="C4192" s="38" t="s">
        <v>6892</v>
      </c>
      <c r="D4192" s="38" t="str">
        <f>IFERROR(__xludf.DUMMYFUNCTION("REGEXREPLACE(C4192,""-\d+(.*)|--\d+(.*)"","""")"),"LA FERTE-HAUTERIVE")</f>
        <v>LA FERTE-HAUTERIVE</v>
      </c>
      <c r="E4192" s="38" t="s">
        <v>160</v>
      </c>
      <c r="F4192" s="38" t="s">
        <v>161</v>
      </c>
      <c r="G4192" s="49" t="str">
        <f t="shared" si="1"/>
        <v>03340</v>
      </c>
      <c r="H4192" s="49" t="str">
        <f t="shared" si="2"/>
        <v>03114</v>
      </c>
    </row>
    <row r="4193">
      <c r="A4193" s="48" t="s">
        <v>229</v>
      </c>
      <c r="B4193" s="38">
        <v>81175.0</v>
      </c>
      <c r="C4193" s="38" t="s">
        <v>6893</v>
      </c>
      <c r="D4193" s="38" t="str">
        <f>IFERROR(__xludf.DUMMYFUNCTION("REGEXREPLACE(C4193,""-\d+(.*)|--\d+(.*)"","""")"),"MONTDURAUSSE")</f>
        <v>MONTDURAUSSE</v>
      </c>
      <c r="E4193" s="38" t="s">
        <v>231</v>
      </c>
      <c r="F4193" s="38" t="s">
        <v>94</v>
      </c>
      <c r="G4193" s="49" t="str">
        <f t="shared" si="1"/>
        <v>81630</v>
      </c>
      <c r="H4193" s="49">
        <f t="shared" si="2"/>
        <v>81175</v>
      </c>
    </row>
    <row r="4194">
      <c r="A4194" s="48" t="s">
        <v>4373</v>
      </c>
      <c r="B4194" s="38">
        <v>82169.0</v>
      </c>
      <c r="C4194" s="38" t="s">
        <v>6894</v>
      </c>
      <c r="D4194" s="38" t="str">
        <f>IFERROR(__xludf.DUMMYFUNCTION("REGEXREPLACE(C4194,""-\d+(.*)|--\d+(.*)"","""")"),"SAINT-NICOLAS-DE-LA-GRAVE")</f>
        <v>SAINT-NICOLAS-DE-LA-GRAVE</v>
      </c>
      <c r="E4194" s="38" t="s">
        <v>570</v>
      </c>
      <c r="F4194" s="38" t="s">
        <v>94</v>
      </c>
      <c r="G4194" s="49" t="str">
        <f t="shared" si="1"/>
        <v>82210</v>
      </c>
      <c r="H4194" s="49">
        <f t="shared" si="2"/>
        <v>82169</v>
      </c>
    </row>
    <row r="4195">
      <c r="A4195" s="48" t="s">
        <v>1823</v>
      </c>
      <c r="B4195" s="38">
        <v>48042.0</v>
      </c>
      <c r="C4195" s="38" t="s">
        <v>6895</v>
      </c>
      <c r="D4195" s="38" t="str">
        <f>IFERROR(__xludf.DUMMYFUNCTION("REGEXREPLACE(C4195,""-\d+(.*)|--\d+(.*)"","""")"),"CHASTEL-NOUVEL")</f>
        <v>CHASTEL-NOUVEL</v>
      </c>
      <c r="E4195" s="38" t="s">
        <v>154</v>
      </c>
      <c r="F4195" s="38" t="s">
        <v>119</v>
      </c>
      <c r="G4195" s="49" t="str">
        <f t="shared" si="1"/>
        <v>48000</v>
      </c>
      <c r="H4195" s="49">
        <f t="shared" si="2"/>
        <v>48042</v>
      </c>
    </row>
    <row r="4196">
      <c r="A4196" s="48" t="s">
        <v>6896</v>
      </c>
      <c r="B4196" s="38">
        <v>25467.0</v>
      </c>
      <c r="C4196" s="38" t="s">
        <v>6897</v>
      </c>
      <c r="D4196" s="38" t="str">
        <f>IFERROR(__xludf.DUMMYFUNCTION("REGEXREPLACE(C4196,""-\d+(.*)|--\d+(.*)"","""")"),"POUILLEY-LES-VIGNES")</f>
        <v>POUILLEY-LES-VIGNES</v>
      </c>
      <c r="E4196" s="38" t="s">
        <v>213</v>
      </c>
      <c r="F4196" s="38" t="s">
        <v>214</v>
      </c>
      <c r="G4196" s="49" t="str">
        <f t="shared" si="1"/>
        <v>25115</v>
      </c>
      <c r="H4196" s="49">
        <f t="shared" si="2"/>
        <v>25467</v>
      </c>
    </row>
    <row r="4197">
      <c r="A4197" s="48" t="s">
        <v>388</v>
      </c>
      <c r="B4197" s="38">
        <v>19141.0</v>
      </c>
      <c r="C4197" s="38" t="s">
        <v>6898</v>
      </c>
      <c r="D4197" s="38" t="str">
        <f>IFERROR(__xludf.DUMMYFUNCTION("REGEXREPLACE(C4197,""-\d+(.*)|--\d+(.*)"","""")"),"MONESTIER-MERLINES")</f>
        <v>MONESTIER-MERLINES</v>
      </c>
      <c r="E4197" s="38" t="s">
        <v>271</v>
      </c>
      <c r="F4197" s="38" t="s">
        <v>98</v>
      </c>
      <c r="G4197" s="49" t="str">
        <f t="shared" si="1"/>
        <v>19340</v>
      </c>
      <c r="H4197" s="49">
        <f t="shared" si="2"/>
        <v>19141</v>
      </c>
    </row>
    <row r="4198">
      <c r="A4198" s="48" t="s">
        <v>1495</v>
      </c>
      <c r="B4198" s="38">
        <v>33468.0</v>
      </c>
      <c r="C4198" s="38" t="s">
        <v>3856</v>
      </c>
      <c r="D4198" s="38" t="str">
        <f>IFERROR(__xludf.DUMMYFUNCTION("REGEXREPLACE(C4198,""-\d+(.*)|--\d+(.*)"","""")"),"SAINTE-RADEGONDE")</f>
        <v>SAINTE-RADEGONDE</v>
      </c>
      <c r="E4198" s="38" t="s">
        <v>462</v>
      </c>
      <c r="F4198" s="38" t="s">
        <v>252</v>
      </c>
      <c r="G4198" s="49" t="str">
        <f t="shared" si="1"/>
        <v>33350</v>
      </c>
      <c r="H4198" s="49">
        <f t="shared" si="2"/>
        <v>33468</v>
      </c>
    </row>
    <row r="4199">
      <c r="A4199" s="48" t="s">
        <v>6899</v>
      </c>
      <c r="B4199" s="38">
        <v>60156.0</v>
      </c>
      <c r="C4199" s="38" t="s">
        <v>6900</v>
      </c>
      <c r="D4199" s="38" t="str">
        <f>IFERROR(__xludf.DUMMYFUNCTION("REGEXREPLACE(C4199,""-\d+(.*)|--\d+(.*)"","""")"),"CLAIROIX")</f>
        <v>CLAIROIX</v>
      </c>
      <c r="E4199" s="38" t="s">
        <v>112</v>
      </c>
      <c r="F4199" s="38" t="s">
        <v>113</v>
      </c>
      <c r="G4199" s="49" t="str">
        <f t="shared" si="1"/>
        <v>60280</v>
      </c>
      <c r="H4199" s="49">
        <f t="shared" si="2"/>
        <v>60156</v>
      </c>
    </row>
    <row r="4200">
      <c r="A4200" s="48" t="s">
        <v>5358</v>
      </c>
      <c r="B4200" s="38">
        <v>23142.0</v>
      </c>
      <c r="C4200" s="38" t="s">
        <v>6901</v>
      </c>
      <c r="D4200" s="38" t="str">
        <f>IFERROR(__xludf.DUMMYFUNCTION("REGEXREPLACE(C4200,""-\d+(.*)|--\d+(.*)"","""")"),"NEOUX")</f>
        <v>NEOUX</v>
      </c>
      <c r="E4200" s="38" t="s">
        <v>97</v>
      </c>
      <c r="F4200" s="38" t="s">
        <v>98</v>
      </c>
      <c r="G4200" s="49" t="str">
        <f t="shared" si="1"/>
        <v>23200</v>
      </c>
      <c r="H4200" s="49">
        <f t="shared" si="2"/>
        <v>23142</v>
      </c>
    </row>
    <row r="4201">
      <c r="A4201" s="48" t="s">
        <v>3127</v>
      </c>
      <c r="B4201" s="38">
        <v>70488.0</v>
      </c>
      <c r="C4201" s="38" t="s">
        <v>6902</v>
      </c>
      <c r="D4201" s="38" t="str">
        <f>IFERROR(__xludf.DUMMYFUNCTION("REGEXREPLACE(C4201,""-\d+(.*)|--\d+(.*)"","""")"),"SENONCOURT")</f>
        <v>SENONCOURT</v>
      </c>
      <c r="E4201" s="38" t="s">
        <v>956</v>
      </c>
      <c r="F4201" s="38" t="s">
        <v>214</v>
      </c>
      <c r="G4201" s="49" t="str">
        <f t="shared" si="1"/>
        <v>70160</v>
      </c>
      <c r="H4201" s="49">
        <f t="shared" si="2"/>
        <v>70488</v>
      </c>
    </row>
    <row r="4202">
      <c r="A4202" s="48" t="s">
        <v>6200</v>
      </c>
      <c r="B4202" s="38">
        <v>86056.0</v>
      </c>
      <c r="C4202" s="38" t="s">
        <v>6903</v>
      </c>
      <c r="D4202" s="38" t="str">
        <f>IFERROR(__xludf.DUMMYFUNCTION("REGEXREPLACE(C4202,""-\d+(.*)|--\d+(.*)"","""")"),"LA CHAPELLE-MONTREUIL")</f>
        <v>LA CHAPELLE-MONTREUIL</v>
      </c>
      <c r="E4202" s="38" t="s">
        <v>529</v>
      </c>
      <c r="F4202" s="38" t="s">
        <v>338</v>
      </c>
      <c r="G4202" s="49" t="str">
        <f t="shared" si="1"/>
        <v>86470</v>
      </c>
      <c r="H4202" s="49">
        <f t="shared" si="2"/>
        <v>86056</v>
      </c>
    </row>
    <row r="4203">
      <c r="A4203" s="48" t="s">
        <v>889</v>
      </c>
      <c r="B4203" s="38">
        <v>30321.0</v>
      </c>
      <c r="C4203" s="38" t="s">
        <v>6904</v>
      </c>
      <c r="D4203" s="38" t="str">
        <f>IFERROR(__xludf.DUMMYFUNCTION("REGEXREPLACE(C4203,""-\d+(.*)|--\d+(.*)"","""")"),"SOMMIERES")</f>
        <v>SOMMIERES</v>
      </c>
      <c r="E4203" s="38" t="s">
        <v>526</v>
      </c>
      <c r="F4203" s="38" t="s">
        <v>119</v>
      </c>
      <c r="G4203" s="49" t="str">
        <f t="shared" si="1"/>
        <v>30250</v>
      </c>
      <c r="H4203" s="49">
        <f t="shared" si="2"/>
        <v>30321</v>
      </c>
    </row>
    <row r="4204">
      <c r="A4204" s="48" t="s">
        <v>6069</v>
      </c>
      <c r="B4204" s="38">
        <v>50428.0</v>
      </c>
      <c r="C4204" s="38" t="s">
        <v>6905</v>
      </c>
      <c r="D4204" s="38" t="str">
        <f>IFERROR(__xludf.DUMMYFUNCTION("REGEXREPLACE(C4204,""-\d+(.*)|--\d+(.*)"","""")"),"REFFUVEILLE")</f>
        <v>REFFUVEILLE</v>
      </c>
      <c r="E4204" s="38" t="s">
        <v>157</v>
      </c>
      <c r="F4204" s="38" t="s">
        <v>138</v>
      </c>
      <c r="G4204" s="49" t="str">
        <f t="shared" si="1"/>
        <v>50520</v>
      </c>
      <c r="H4204" s="49">
        <f t="shared" si="2"/>
        <v>50428</v>
      </c>
    </row>
    <row r="4205">
      <c r="A4205" s="48" t="s">
        <v>553</v>
      </c>
      <c r="B4205" s="38">
        <v>85095.0</v>
      </c>
      <c r="C4205" s="38" t="s">
        <v>6906</v>
      </c>
      <c r="D4205" s="38" t="str">
        <f>IFERROR(__xludf.DUMMYFUNCTION("REGEXREPLACE(C4205,""-\d+(.*)|--\d+(.*)"","""")"),"FROIDFOND")</f>
        <v>FROIDFOND</v>
      </c>
      <c r="E4205" s="38" t="s">
        <v>179</v>
      </c>
      <c r="F4205" s="38" t="s">
        <v>180</v>
      </c>
      <c r="G4205" s="49" t="str">
        <f t="shared" si="1"/>
        <v>85300</v>
      </c>
      <c r="H4205" s="49">
        <f t="shared" si="2"/>
        <v>85095</v>
      </c>
    </row>
    <row r="4206">
      <c r="A4206" s="48" t="s">
        <v>484</v>
      </c>
      <c r="B4206" s="38">
        <v>16165.0</v>
      </c>
      <c r="C4206" s="38" t="s">
        <v>6907</v>
      </c>
      <c r="D4206" s="38" t="str">
        <f>IFERROR(__xludf.DUMMYFUNCTION("REGEXREPLACE(C4206,""-\d+(.*)|--\d+(.*)"","""")"),"HOULETTE")</f>
        <v>HOULETTE</v>
      </c>
      <c r="E4206" s="38" t="s">
        <v>429</v>
      </c>
      <c r="F4206" s="38" t="s">
        <v>338</v>
      </c>
      <c r="G4206" s="49" t="str">
        <f t="shared" si="1"/>
        <v>16200</v>
      </c>
      <c r="H4206" s="49">
        <f t="shared" si="2"/>
        <v>16165</v>
      </c>
    </row>
    <row r="4207">
      <c r="A4207" s="48" t="s">
        <v>2118</v>
      </c>
      <c r="B4207" s="38">
        <v>35053.0</v>
      </c>
      <c r="C4207" s="38" t="s">
        <v>6908</v>
      </c>
      <c r="D4207" s="38" t="str">
        <f>IFERROR(__xludf.DUMMYFUNCTION("REGEXREPLACE(C4207,""-\d+(.*)|--\d+(.*)"","""")"),"CHANCE")</f>
        <v>CHANCE</v>
      </c>
      <c r="E4207" s="38" t="s">
        <v>347</v>
      </c>
      <c r="F4207" s="38" t="s">
        <v>90</v>
      </c>
      <c r="G4207" s="49" t="str">
        <f t="shared" si="1"/>
        <v>35680</v>
      </c>
      <c r="H4207" s="49">
        <f t="shared" si="2"/>
        <v>35053</v>
      </c>
    </row>
    <row r="4208">
      <c r="A4208" s="48" t="s">
        <v>6909</v>
      </c>
      <c r="B4208" s="38">
        <v>14575.0</v>
      </c>
      <c r="C4208" s="38" t="s">
        <v>6910</v>
      </c>
      <c r="D4208" s="38" t="str">
        <f>IFERROR(__xludf.DUMMYFUNCTION("REGEXREPLACE(C4208,""-\d+(.*)|--\d+(.*)"","""")"),"SAINT-ETIENNE-LA-THILLAYE")</f>
        <v>SAINT-ETIENNE-LA-THILLAYE</v>
      </c>
      <c r="E4208" s="38" t="s">
        <v>137</v>
      </c>
      <c r="F4208" s="38" t="s">
        <v>138</v>
      </c>
      <c r="G4208" s="49" t="str">
        <f t="shared" si="1"/>
        <v>14950</v>
      </c>
      <c r="H4208" s="49">
        <f t="shared" si="2"/>
        <v>14575</v>
      </c>
    </row>
    <row r="4209">
      <c r="A4209" s="48" t="s">
        <v>2328</v>
      </c>
      <c r="B4209" s="38">
        <v>57405.0</v>
      </c>
      <c r="C4209" s="38" t="s">
        <v>6911</v>
      </c>
      <c r="D4209" s="38" t="str">
        <f>IFERROR(__xludf.DUMMYFUNCTION("REGEXREPLACE(C4209,""-\d+(.*)|--\d+(.*)"","""")"),"LINDRE-HAUTE")</f>
        <v>LINDRE-HAUTE</v>
      </c>
      <c r="E4209" s="38" t="s">
        <v>303</v>
      </c>
      <c r="F4209" s="38" t="s">
        <v>195</v>
      </c>
      <c r="G4209" s="49" t="str">
        <f t="shared" si="1"/>
        <v>57260</v>
      </c>
      <c r="H4209" s="49">
        <f t="shared" si="2"/>
        <v>57405</v>
      </c>
    </row>
    <row r="4210">
      <c r="A4210" s="48" t="s">
        <v>6912</v>
      </c>
      <c r="B4210" s="38">
        <v>91225.0</v>
      </c>
      <c r="C4210" s="38" t="s">
        <v>6913</v>
      </c>
      <c r="D4210" s="38" t="str">
        <f>IFERROR(__xludf.DUMMYFUNCTION("REGEXREPLACE(C4210,""-\d+(.*)|--\d+(.*)"","""")"),"ETIOLLES")</f>
        <v>ETIOLLES</v>
      </c>
      <c r="E4210" s="38" t="s">
        <v>756</v>
      </c>
      <c r="F4210" s="38" t="s">
        <v>245</v>
      </c>
      <c r="G4210" s="49" t="str">
        <f t="shared" si="1"/>
        <v>91450</v>
      </c>
      <c r="H4210" s="49">
        <f t="shared" si="2"/>
        <v>91225</v>
      </c>
    </row>
    <row r="4211">
      <c r="A4211" s="48" t="s">
        <v>6914</v>
      </c>
      <c r="B4211" s="38">
        <v>59312.0</v>
      </c>
      <c r="C4211" s="38" t="s">
        <v>6915</v>
      </c>
      <c r="D4211" s="38" t="str">
        <f>IFERROR(__xludf.DUMMYFUNCTION("REGEXREPLACE(C4211,""-\d+(.*)|--\d+(.*)"","""")"),"HONNECOURT-SUR-ESCAUT")</f>
        <v>HONNECOURT-SUR-ESCAUT</v>
      </c>
      <c r="E4211" s="38" t="s">
        <v>85</v>
      </c>
      <c r="F4211" s="38" t="s">
        <v>86</v>
      </c>
      <c r="G4211" s="49" t="str">
        <f t="shared" si="1"/>
        <v>59266</v>
      </c>
      <c r="H4211" s="49">
        <f t="shared" si="2"/>
        <v>59312</v>
      </c>
    </row>
    <row r="4212">
      <c r="A4212" s="48" t="s">
        <v>6916</v>
      </c>
      <c r="B4212" s="38">
        <v>82078.0</v>
      </c>
      <c r="C4212" s="38" t="s">
        <v>6917</v>
      </c>
      <c r="D4212" s="38" t="str">
        <f>IFERROR(__xludf.DUMMYFUNCTION("REGEXREPLACE(C4212,""-\d+(.*)|--\d+(.*)"","""")"),"LABASTIDE-DE-PENNE")</f>
        <v>LABASTIDE-DE-PENNE</v>
      </c>
      <c r="E4212" s="38" t="s">
        <v>570</v>
      </c>
      <c r="F4212" s="38" t="s">
        <v>94</v>
      </c>
      <c r="G4212" s="49" t="str">
        <f t="shared" si="1"/>
        <v>82240</v>
      </c>
      <c r="H4212" s="49">
        <f t="shared" si="2"/>
        <v>82078</v>
      </c>
    </row>
    <row r="4213">
      <c r="A4213" s="48" t="s">
        <v>6918</v>
      </c>
      <c r="B4213" s="38">
        <v>86297.0</v>
      </c>
      <c r="C4213" s="38" t="s">
        <v>6919</v>
      </c>
      <c r="D4213" s="38" t="str">
        <f>IFERROR(__xludf.DUMMYFUNCTION("REGEXREPLACE(C4213,""-\d+(.*)|--\d+(.*)"","""")"),"VOUNEUIL-SOUS-BIARD")</f>
        <v>VOUNEUIL-SOUS-BIARD</v>
      </c>
      <c r="E4213" s="38" t="s">
        <v>529</v>
      </c>
      <c r="F4213" s="38" t="s">
        <v>338</v>
      </c>
      <c r="G4213" s="49" t="str">
        <f t="shared" si="1"/>
        <v>86580</v>
      </c>
      <c r="H4213" s="49">
        <f t="shared" si="2"/>
        <v>86297</v>
      </c>
    </row>
    <row r="4214">
      <c r="A4214" s="48" t="s">
        <v>6920</v>
      </c>
      <c r="B4214" s="38">
        <v>38151.0</v>
      </c>
      <c r="C4214" s="38" t="s">
        <v>6921</v>
      </c>
      <c r="D4214" s="38" t="str">
        <f>IFERROR(__xludf.DUMMYFUNCTION("REGEXREPLACE(C4214,""-\d+(.*)|--\d+(.*)"","""")"),"ECHIROLLES")</f>
        <v>ECHIROLLES</v>
      </c>
      <c r="E4214" s="38" t="s">
        <v>101</v>
      </c>
      <c r="F4214" s="38" t="s">
        <v>102</v>
      </c>
      <c r="G4214" s="49" t="str">
        <f t="shared" si="1"/>
        <v>38130</v>
      </c>
      <c r="H4214" s="49">
        <f t="shared" si="2"/>
        <v>38151</v>
      </c>
    </row>
    <row r="4215">
      <c r="A4215" s="48" t="s">
        <v>407</v>
      </c>
      <c r="B4215" s="38">
        <v>71272.0</v>
      </c>
      <c r="C4215" s="38" t="s">
        <v>6922</v>
      </c>
      <c r="D4215" s="38" t="str">
        <f>IFERROR(__xludf.DUMMYFUNCTION("REGEXREPLACE(C4215,""-\d+(.*)|--\d+(.*)"","""")"),"MALAY")</f>
        <v>MALAY</v>
      </c>
      <c r="E4215" s="38" t="s">
        <v>344</v>
      </c>
      <c r="F4215" s="38" t="s">
        <v>106</v>
      </c>
      <c r="G4215" s="49" t="str">
        <f t="shared" si="1"/>
        <v>71460</v>
      </c>
      <c r="H4215" s="49">
        <f t="shared" si="2"/>
        <v>71272</v>
      </c>
    </row>
    <row r="4216">
      <c r="A4216" s="48" t="s">
        <v>6923</v>
      </c>
      <c r="B4216" s="38">
        <v>33252.0</v>
      </c>
      <c r="C4216" s="38" t="s">
        <v>6924</v>
      </c>
      <c r="D4216" s="38" t="str">
        <f>IFERROR(__xludf.DUMMYFUNCTION("REGEXREPLACE(C4216,""-\d+(.*)|--\d+(.*)"","""")"),"LOUPES")</f>
        <v>LOUPES</v>
      </c>
      <c r="E4216" s="38" t="s">
        <v>462</v>
      </c>
      <c r="F4216" s="38" t="s">
        <v>252</v>
      </c>
      <c r="G4216" s="49" t="str">
        <f t="shared" si="1"/>
        <v>33370</v>
      </c>
      <c r="H4216" s="49">
        <f t="shared" si="2"/>
        <v>33252</v>
      </c>
    </row>
    <row r="4217">
      <c r="A4217" s="48" t="s">
        <v>4945</v>
      </c>
      <c r="B4217" s="38" t="s">
        <v>6925</v>
      </c>
      <c r="C4217" s="38" t="s">
        <v>6926</v>
      </c>
      <c r="D4217" s="38" t="str">
        <f>IFERROR(__xludf.DUMMYFUNCTION("REGEXREPLACE(C4217,""-\d+(.*)|--\d+(.*)"","""")"),"FOCE")</f>
        <v>FOCE</v>
      </c>
      <c r="E4217" s="38" t="s">
        <v>606</v>
      </c>
      <c r="F4217" s="38" t="s">
        <v>607</v>
      </c>
      <c r="G4217" s="49" t="str">
        <f t="shared" si="1"/>
        <v>20100</v>
      </c>
      <c r="H4217" s="49" t="str">
        <f t="shared" si="2"/>
        <v>2A115</v>
      </c>
    </row>
    <row r="4218">
      <c r="A4218" s="48" t="s">
        <v>920</v>
      </c>
      <c r="B4218" s="38">
        <v>31585.0</v>
      </c>
      <c r="C4218" s="38" t="s">
        <v>6927</v>
      </c>
      <c r="D4218" s="38" t="str">
        <f>IFERROR(__xludf.DUMMYFUNCTION("REGEXREPLACE(C4218,""-\d+(.*)|--\d+(.*)"","""")"),"VILLENEUVE-DE-RIVIERE")</f>
        <v>VILLENEUVE-DE-RIVIERE</v>
      </c>
      <c r="E4218" s="38" t="s">
        <v>93</v>
      </c>
      <c r="F4218" s="38" t="s">
        <v>94</v>
      </c>
      <c r="G4218" s="49" t="str">
        <f t="shared" si="1"/>
        <v>31800</v>
      </c>
      <c r="H4218" s="49">
        <f t="shared" si="2"/>
        <v>31585</v>
      </c>
    </row>
    <row r="4219">
      <c r="A4219" s="48" t="s">
        <v>6928</v>
      </c>
      <c r="B4219" s="38">
        <v>25161.0</v>
      </c>
      <c r="C4219" s="38" t="s">
        <v>6929</v>
      </c>
      <c r="D4219" s="38" t="str">
        <f>IFERROR(__xludf.DUMMYFUNCTION("REGEXREPLACE(C4219,""-\d+(.*)|--\d+(.*)"","""")"),"CONSOLATION-MAISONNETTES")</f>
        <v>CONSOLATION-MAISONNETTES</v>
      </c>
      <c r="E4219" s="38" t="s">
        <v>213</v>
      </c>
      <c r="F4219" s="38" t="s">
        <v>214</v>
      </c>
      <c r="G4219" s="49" t="str">
        <f t="shared" si="1"/>
        <v>25390</v>
      </c>
      <c r="H4219" s="49">
        <f t="shared" si="2"/>
        <v>25161</v>
      </c>
    </row>
    <row r="4220">
      <c r="A4220" s="48" t="s">
        <v>3603</v>
      </c>
      <c r="B4220" s="38">
        <v>24226.0</v>
      </c>
      <c r="C4220" s="38" t="s">
        <v>6930</v>
      </c>
      <c r="D4220" s="38" t="str">
        <f>IFERROR(__xludf.DUMMYFUNCTION("REGEXREPLACE(C4220,""-\d+(.*)|--\d+(.*)"","""")"),"LAMOTHE-MONTRAVEL")</f>
        <v>LAMOTHE-MONTRAVEL</v>
      </c>
      <c r="E4220" s="38" t="s">
        <v>261</v>
      </c>
      <c r="F4220" s="38" t="s">
        <v>252</v>
      </c>
      <c r="G4220" s="49" t="str">
        <f t="shared" si="1"/>
        <v>24230</v>
      </c>
      <c r="H4220" s="49">
        <f t="shared" si="2"/>
        <v>24226</v>
      </c>
    </row>
    <row r="4221">
      <c r="A4221" s="48" t="s">
        <v>468</v>
      </c>
      <c r="B4221" s="38">
        <v>26187.0</v>
      </c>
      <c r="C4221" s="38" t="s">
        <v>6931</v>
      </c>
      <c r="D4221" s="38" t="str">
        <f>IFERROR(__xludf.DUMMYFUNCTION("REGEXREPLACE(C4221,""-\d+(.*)|--\d+(.*)"","""")"),"MOLIERES-GLANDAZ")</f>
        <v>MOLIERES-GLANDAZ</v>
      </c>
      <c r="E4221" s="38" t="s">
        <v>126</v>
      </c>
      <c r="F4221" s="38" t="s">
        <v>102</v>
      </c>
      <c r="G4221" s="49" t="str">
        <f t="shared" si="1"/>
        <v>26150</v>
      </c>
      <c r="H4221" s="49">
        <f t="shared" si="2"/>
        <v>26187</v>
      </c>
    </row>
    <row r="4222">
      <c r="A4222" s="48" t="s">
        <v>6932</v>
      </c>
      <c r="B4222" s="38">
        <v>29269.0</v>
      </c>
      <c r="C4222" s="38" t="s">
        <v>6933</v>
      </c>
      <c r="D4222" s="38" t="str">
        <f>IFERROR(__xludf.DUMMYFUNCTION("REGEXREPLACE(C4222,""-\d+(.*)|--\d+(.*)"","""")"),"SAINT-THURIEN")</f>
        <v>SAINT-THURIEN</v>
      </c>
      <c r="E4222" s="38" t="s">
        <v>176</v>
      </c>
      <c r="F4222" s="38" t="s">
        <v>90</v>
      </c>
      <c r="G4222" s="49" t="str">
        <f t="shared" si="1"/>
        <v>29380</v>
      </c>
      <c r="H4222" s="49">
        <f t="shared" si="2"/>
        <v>29269</v>
      </c>
    </row>
    <row r="4223">
      <c r="A4223" s="48" t="s">
        <v>6934</v>
      </c>
      <c r="B4223" s="38">
        <v>6027.0</v>
      </c>
      <c r="C4223" s="38" t="s">
        <v>6935</v>
      </c>
      <c r="D4223" s="38" t="str">
        <f>IFERROR(__xludf.DUMMYFUNCTION("REGEXREPLACE(C4223,""-\d+(.*)|--\d+(.*)"","""")"),"CAGNES-SUR-MER")</f>
        <v>CAGNES-SUR-MER</v>
      </c>
      <c r="E4223" s="38" t="s">
        <v>227</v>
      </c>
      <c r="F4223" s="38" t="s">
        <v>228</v>
      </c>
      <c r="G4223" s="49" t="str">
        <f t="shared" si="1"/>
        <v>06800</v>
      </c>
      <c r="H4223" s="49" t="str">
        <f t="shared" si="2"/>
        <v>06027</v>
      </c>
    </row>
    <row r="4224">
      <c r="A4224" s="48" t="s">
        <v>1574</v>
      </c>
      <c r="B4224" s="38">
        <v>10038.0</v>
      </c>
      <c r="C4224" s="38" t="s">
        <v>6936</v>
      </c>
      <c r="D4224" s="38" t="str">
        <f>IFERROR(__xludf.DUMMYFUNCTION("REGEXREPLACE(C4224,""-\d+(.*)|--\d+(.*)"","""")"),"BERCENAY-LE-HAYER")</f>
        <v>BERCENAY-LE-HAYER</v>
      </c>
      <c r="E4224" s="38" t="s">
        <v>147</v>
      </c>
      <c r="F4224" s="38" t="s">
        <v>130</v>
      </c>
      <c r="G4224" s="49" t="str">
        <f t="shared" si="1"/>
        <v>10290</v>
      </c>
      <c r="H4224" s="49">
        <f t="shared" si="2"/>
        <v>10038</v>
      </c>
    </row>
    <row r="4225">
      <c r="A4225" s="48" t="s">
        <v>6937</v>
      </c>
      <c r="B4225" s="38">
        <v>33336.0</v>
      </c>
      <c r="C4225" s="38" t="s">
        <v>6938</v>
      </c>
      <c r="D4225" s="38" t="str">
        <f>IFERROR(__xludf.DUMMYFUNCTION("REGEXREPLACE(C4225,""-\d+(.*)|--\d+(.*)"","""")"),"PRECHAC")</f>
        <v>PRECHAC</v>
      </c>
      <c r="E4225" s="38" t="s">
        <v>462</v>
      </c>
      <c r="F4225" s="38" t="s">
        <v>252</v>
      </c>
      <c r="G4225" s="49" t="str">
        <f t="shared" si="1"/>
        <v>33730</v>
      </c>
      <c r="H4225" s="49">
        <f t="shared" si="2"/>
        <v>33336</v>
      </c>
    </row>
    <row r="4226">
      <c r="A4226" s="48" t="s">
        <v>4926</v>
      </c>
      <c r="B4226" s="38">
        <v>14727.0</v>
      </c>
      <c r="C4226" s="38" t="s">
        <v>6939</v>
      </c>
      <c r="D4226" s="38" t="str">
        <f>IFERROR(__xludf.DUMMYFUNCTION("REGEXREPLACE(C4226,""-\d+(.*)|--\d+(.*)"","""")"),"VAUBADON")</f>
        <v>VAUBADON</v>
      </c>
      <c r="E4226" s="38" t="s">
        <v>137</v>
      </c>
      <c r="F4226" s="38" t="s">
        <v>138</v>
      </c>
      <c r="G4226" s="49" t="str">
        <f t="shared" si="1"/>
        <v>14490</v>
      </c>
      <c r="H4226" s="49">
        <f t="shared" si="2"/>
        <v>14727</v>
      </c>
    </row>
    <row r="4227">
      <c r="A4227" s="48" t="s">
        <v>6940</v>
      </c>
      <c r="B4227" s="38">
        <v>78311.0</v>
      </c>
      <c r="C4227" s="38" t="s">
        <v>6941</v>
      </c>
      <c r="D4227" s="38" t="str">
        <f>IFERROR(__xludf.DUMMYFUNCTION("REGEXREPLACE(C4227,""-\d+(.*)|--\d+(.*)"","""")"),"HOUILLES")</f>
        <v>HOUILLES</v>
      </c>
      <c r="E4227" s="38" t="s">
        <v>362</v>
      </c>
      <c r="F4227" s="38" t="s">
        <v>245</v>
      </c>
      <c r="G4227" s="49" t="str">
        <f t="shared" si="1"/>
        <v>78800</v>
      </c>
      <c r="H4227" s="49">
        <f t="shared" si="2"/>
        <v>78311</v>
      </c>
    </row>
    <row r="4228">
      <c r="A4228" s="48" t="s">
        <v>3814</v>
      </c>
      <c r="B4228" s="38">
        <v>71375.0</v>
      </c>
      <c r="C4228" s="38" t="s">
        <v>6942</v>
      </c>
      <c r="D4228" s="38" t="str">
        <f>IFERROR(__xludf.DUMMYFUNCTION("REGEXREPLACE(C4228,""-\d+(.*)|--\d+(.*)"","""")"),"LE ROUSSET")</f>
        <v>LE ROUSSET</v>
      </c>
      <c r="E4228" s="38" t="s">
        <v>344</v>
      </c>
      <c r="F4228" s="38" t="s">
        <v>106</v>
      </c>
      <c r="G4228" s="49" t="str">
        <f t="shared" si="1"/>
        <v>71220</v>
      </c>
      <c r="H4228" s="49">
        <f t="shared" si="2"/>
        <v>71375</v>
      </c>
    </row>
    <row r="4229">
      <c r="A4229" s="48" t="s">
        <v>6943</v>
      </c>
      <c r="B4229" s="38">
        <v>64376.0</v>
      </c>
      <c r="C4229" s="38" t="s">
        <v>6944</v>
      </c>
      <c r="D4229" s="38" t="str">
        <f>IFERROR(__xludf.DUMMYFUNCTION("REGEXREPLACE(C4229,""-\d+(.*)|--\d+(.*)"","""")"),"MEILLON")</f>
        <v>MEILLON</v>
      </c>
      <c r="E4229" s="38" t="s">
        <v>268</v>
      </c>
      <c r="F4229" s="38" t="s">
        <v>252</v>
      </c>
      <c r="G4229" s="49" t="str">
        <f t="shared" si="1"/>
        <v>64510</v>
      </c>
      <c r="H4229" s="49">
        <f t="shared" si="2"/>
        <v>64376</v>
      </c>
    </row>
    <row r="4230">
      <c r="A4230" s="48" t="s">
        <v>6945</v>
      </c>
      <c r="B4230" s="38">
        <v>80542.0</v>
      </c>
      <c r="C4230" s="38" t="s">
        <v>6946</v>
      </c>
      <c r="D4230" s="38" t="str">
        <f>IFERROR(__xludf.DUMMYFUNCTION("REGEXREPLACE(C4230,""-\d+(.*)|--\d+(.*)"","""")"),"MESNIL-SAINT-NICAISE")</f>
        <v>MESNIL-SAINT-NICAISE</v>
      </c>
      <c r="E4230" s="38" t="s">
        <v>224</v>
      </c>
      <c r="F4230" s="38" t="s">
        <v>113</v>
      </c>
      <c r="G4230" s="49" t="str">
        <f t="shared" si="1"/>
        <v>80190</v>
      </c>
      <c r="H4230" s="49">
        <f t="shared" si="2"/>
        <v>80542</v>
      </c>
    </row>
    <row r="4231">
      <c r="A4231" s="48" t="s">
        <v>3283</v>
      </c>
      <c r="B4231" s="38">
        <v>52256.0</v>
      </c>
      <c r="C4231" s="38" t="s">
        <v>6947</v>
      </c>
      <c r="D4231" s="38" t="str">
        <f>IFERROR(__xludf.DUMMYFUNCTION("REGEXREPLACE(C4231,""-\d+(.*)|--\d+(.*)"","""")"),"LAFAUCHE")</f>
        <v>LAFAUCHE</v>
      </c>
      <c r="E4231" s="38" t="s">
        <v>234</v>
      </c>
      <c r="F4231" s="38" t="s">
        <v>130</v>
      </c>
      <c r="G4231" s="49" t="str">
        <f t="shared" si="1"/>
        <v>52700</v>
      </c>
      <c r="H4231" s="49">
        <f t="shared" si="2"/>
        <v>52256</v>
      </c>
    </row>
    <row r="4232">
      <c r="A4232" s="48" t="s">
        <v>6948</v>
      </c>
      <c r="B4232" s="38">
        <v>17192.0</v>
      </c>
      <c r="C4232" s="38" t="s">
        <v>6949</v>
      </c>
      <c r="D4232" s="38" t="str">
        <f>IFERROR(__xludf.DUMMYFUNCTION("REGEXREPLACE(C4232,""-\d+(.*)|--\d+(.*)"","""")"),"JARNAC-CHAMPAGNE")</f>
        <v>JARNAC-CHAMPAGNE</v>
      </c>
      <c r="E4232" s="38" t="s">
        <v>488</v>
      </c>
      <c r="F4232" s="38" t="s">
        <v>338</v>
      </c>
      <c r="G4232" s="49" t="str">
        <f t="shared" si="1"/>
        <v>17520</v>
      </c>
      <c r="H4232" s="49">
        <f t="shared" si="2"/>
        <v>17192</v>
      </c>
    </row>
    <row r="4233">
      <c r="A4233" s="48" t="s">
        <v>2276</v>
      </c>
      <c r="B4233" s="38">
        <v>47068.0</v>
      </c>
      <c r="C4233" s="38" t="s">
        <v>6950</v>
      </c>
      <c r="D4233" s="38" t="str">
        <f>IFERROR(__xludf.DUMMYFUNCTION("REGEXREPLACE(C4233,""-\d+(.*)|--\d+(.*)"","""")"),"COCUMONT")</f>
        <v>COCUMONT</v>
      </c>
      <c r="E4233" s="38" t="s">
        <v>251</v>
      </c>
      <c r="F4233" s="38" t="s">
        <v>252</v>
      </c>
      <c r="G4233" s="49" t="str">
        <f t="shared" si="1"/>
        <v>47250</v>
      </c>
      <c r="H4233" s="49">
        <f t="shared" si="2"/>
        <v>47068</v>
      </c>
    </row>
    <row r="4234">
      <c r="A4234" s="48" t="s">
        <v>6951</v>
      </c>
      <c r="B4234" s="38">
        <v>58202.0</v>
      </c>
      <c r="C4234" s="38" t="s">
        <v>6952</v>
      </c>
      <c r="D4234" s="38" t="str">
        <f>IFERROR(__xludf.DUMMYFUNCTION("REGEXREPLACE(C4234,""-\d+(.*)|--\d+(.*)"","""")"),"OUGNY")</f>
        <v>OUGNY</v>
      </c>
      <c r="E4234" s="38" t="s">
        <v>219</v>
      </c>
      <c r="F4234" s="38" t="s">
        <v>106</v>
      </c>
      <c r="G4234" s="49" t="str">
        <f t="shared" si="1"/>
        <v>58110</v>
      </c>
      <c r="H4234" s="49">
        <f t="shared" si="2"/>
        <v>58202</v>
      </c>
    </row>
    <row r="4235">
      <c r="A4235" s="48" t="s">
        <v>6438</v>
      </c>
      <c r="B4235" s="38">
        <v>29285.0</v>
      </c>
      <c r="C4235" s="38" t="s">
        <v>6953</v>
      </c>
      <c r="D4235" s="38" t="str">
        <f>IFERROR(__xludf.DUMMYFUNCTION("REGEXREPLACE(C4235,""-\d+(.*)|--\d+(.*)"","""")"),"TREFLAOUENAN")</f>
        <v>TREFLAOUENAN</v>
      </c>
      <c r="E4235" s="38" t="s">
        <v>176</v>
      </c>
      <c r="F4235" s="38" t="s">
        <v>90</v>
      </c>
      <c r="G4235" s="49" t="str">
        <f t="shared" si="1"/>
        <v>29440</v>
      </c>
      <c r="H4235" s="49">
        <f t="shared" si="2"/>
        <v>29285</v>
      </c>
    </row>
    <row r="4236">
      <c r="A4236" s="48" t="s">
        <v>6954</v>
      </c>
      <c r="B4236" s="38">
        <v>50165.0</v>
      </c>
      <c r="C4236" s="38" t="s">
        <v>6955</v>
      </c>
      <c r="D4236" s="38" t="str">
        <f>IFERROR(__xludf.DUMMYFUNCTION("REGEXREPLACE(C4236,""-\d+(.*)|--\d+(.*)"","""")"),"DONVILLE-LES-BAINS")</f>
        <v>DONVILLE-LES-BAINS</v>
      </c>
      <c r="E4236" s="38" t="s">
        <v>157</v>
      </c>
      <c r="F4236" s="38" t="s">
        <v>138</v>
      </c>
      <c r="G4236" s="49" t="str">
        <f t="shared" si="1"/>
        <v>50350</v>
      </c>
      <c r="H4236" s="49">
        <f t="shared" si="2"/>
        <v>50165</v>
      </c>
    </row>
    <row r="4237">
      <c r="A4237" s="48" t="s">
        <v>1089</v>
      </c>
      <c r="B4237" s="38">
        <v>67136.0</v>
      </c>
      <c r="C4237" s="38" t="s">
        <v>6956</v>
      </c>
      <c r="D4237" s="38" t="str">
        <f>IFERROR(__xludf.DUMMYFUNCTION("REGEXREPLACE(C4237,""-\d+(.*)|--\d+(.*)"","""")"),"EYWILLER")</f>
        <v>EYWILLER</v>
      </c>
      <c r="E4237" s="38" t="s">
        <v>210</v>
      </c>
      <c r="F4237" s="38" t="s">
        <v>151</v>
      </c>
      <c r="G4237" s="49" t="str">
        <f t="shared" si="1"/>
        <v>67320</v>
      </c>
      <c r="H4237" s="49">
        <f t="shared" si="2"/>
        <v>67136</v>
      </c>
    </row>
    <row r="4238">
      <c r="A4238" s="48" t="s">
        <v>6957</v>
      </c>
      <c r="B4238" s="38">
        <v>83072.0</v>
      </c>
      <c r="C4238" s="38" t="s">
        <v>6958</v>
      </c>
      <c r="D4238" s="38" t="str">
        <f>IFERROR(__xludf.DUMMYFUNCTION("REGEXREPLACE(C4238,""-\d+(.*)|--\d+(.*)"","""")"),"LORGUES")</f>
        <v>LORGUES</v>
      </c>
      <c r="E4238" s="38" t="s">
        <v>813</v>
      </c>
      <c r="F4238" s="38" t="s">
        <v>228</v>
      </c>
      <c r="G4238" s="49" t="str">
        <f t="shared" si="1"/>
        <v>83510</v>
      </c>
      <c r="H4238" s="49">
        <f t="shared" si="2"/>
        <v>83072</v>
      </c>
    </row>
    <row r="4239">
      <c r="A4239" s="48" t="s">
        <v>618</v>
      </c>
      <c r="B4239" s="38">
        <v>54189.0</v>
      </c>
      <c r="C4239" s="38" t="s">
        <v>5896</v>
      </c>
      <c r="D4239" s="38" t="str">
        <f>IFERROR(__xludf.DUMMYFUNCTION("REGEXREPLACE(C4239,""-\d+(.*)|--\d+(.*)"","""")"),"FAVIERES")</f>
        <v>FAVIERES</v>
      </c>
      <c r="E4239" s="38" t="s">
        <v>548</v>
      </c>
      <c r="F4239" s="38" t="s">
        <v>195</v>
      </c>
      <c r="G4239" s="49" t="str">
        <f t="shared" si="1"/>
        <v>54115</v>
      </c>
      <c r="H4239" s="49">
        <f t="shared" si="2"/>
        <v>54189</v>
      </c>
    </row>
    <row r="4240">
      <c r="A4240" s="48" t="s">
        <v>1673</v>
      </c>
      <c r="B4240" s="38">
        <v>5099.0</v>
      </c>
      <c r="C4240" s="38" t="s">
        <v>6959</v>
      </c>
      <c r="D4240" s="38" t="str">
        <f>IFERROR(__xludf.DUMMYFUNCTION("REGEXREPLACE(C4240,""-\d+(.*)|--\d+(.*)"","""")"),"OZE")</f>
        <v>OZE</v>
      </c>
      <c r="E4240" s="38" t="s">
        <v>706</v>
      </c>
      <c r="F4240" s="38" t="s">
        <v>228</v>
      </c>
      <c r="G4240" s="49" t="str">
        <f t="shared" si="1"/>
        <v>05400</v>
      </c>
      <c r="H4240" s="49" t="str">
        <f t="shared" si="2"/>
        <v>05099</v>
      </c>
    </row>
    <row r="4241">
      <c r="A4241" s="48" t="s">
        <v>6960</v>
      </c>
      <c r="B4241" s="38">
        <v>76575.0</v>
      </c>
      <c r="C4241" s="38" t="s">
        <v>6961</v>
      </c>
      <c r="D4241" s="38" t="str">
        <f>IFERROR(__xludf.DUMMYFUNCTION("REGEXREPLACE(C4241,""-\d+(.*)|--\d+(.*)"","""")"),"SAINT-ETIENNE-DU-ROUVRAY")</f>
        <v>SAINT-ETIENNE-DU-ROUVRAY</v>
      </c>
      <c r="E4241" s="38" t="s">
        <v>133</v>
      </c>
      <c r="F4241" s="38" t="s">
        <v>134</v>
      </c>
      <c r="G4241" s="49" t="str">
        <f t="shared" si="1"/>
        <v>76800</v>
      </c>
      <c r="H4241" s="49">
        <f t="shared" si="2"/>
        <v>76575</v>
      </c>
    </row>
    <row r="4242">
      <c r="A4242" s="48" t="s">
        <v>3488</v>
      </c>
      <c r="B4242" s="38">
        <v>67215.0</v>
      </c>
      <c r="C4242" s="38" t="s">
        <v>6962</v>
      </c>
      <c r="D4242" s="38" t="str">
        <f>IFERROR(__xludf.DUMMYFUNCTION("REGEXREPLACE(C4242,""-\d+(.*)|--\d+(.*)"","""")"),"HUTTENDORF")</f>
        <v>HUTTENDORF</v>
      </c>
      <c r="E4242" s="38" t="s">
        <v>210</v>
      </c>
      <c r="F4242" s="38" t="s">
        <v>151</v>
      </c>
      <c r="G4242" s="49" t="str">
        <f t="shared" si="1"/>
        <v>67270</v>
      </c>
      <c r="H4242" s="49">
        <f t="shared" si="2"/>
        <v>67215</v>
      </c>
    </row>
    <row r="4243">
      <c r="A4243" s="48" t="s">
        <v>6963</v>
      </c>
      <c r="B4243" s="38">
        <v>27696.0</v>
      </c>
      <c r="C4243" s="38" t="s">
        <v>6964</v>
      </c>
      <c r="D4243" s="38" t="str">
        <f>IFERROR(__xludf.DUMMYFUNCTION("REGEXREPLACE(C4243,""-\d+(.*)|--\d+(.*)"","""")"),"VILLIERS-EN-DESOEUVRE")</f>
        <v>VILLIERS-EN-DESOEUVRE</v>
      </c>
      <c r="E4243" s="38" t="s">
        <v>241</v>
      </c>
      <c r="F4243" s="38" t="s">
        <v>134</v>
      </c>
      <c r="G4243" s="49" t="str">
        <f t="shared" si="1"/>
        <v>27640</v>
      </c>
      <c r="H4243" s="49">
        <f t="shared" si="2"/>
        <v>27696</v>
      </c>
    </row>
    <row r="4244">
      <c r="A4244" s="48" t="s">
        <v>6965</v>
      </c>
      <c r="B4244" s="38">
        <v>2619.0</v>
      </c>
      <c r="C4244" s="38" t="s">
        <v>6966</v>
      </c>
      <c r="D4244" s="38" t="str">
        <f>IFERROR(__xludf.DUMMYFUNCTION("REGEXREPLACE(C4244,""-\d+(.*)|--\d+(.*)"","""")"),"PREMONTRE")</f>
        <v>PREMONTRE</v>
      </c>
      <c r="E4244" s="38" t="s">
        <v>191</v>
      </c>
      <c r="F4244" s="38" t="s">
        <v>113</v>
      </c>
      <c r="G4244" s="49" t="str">
        <f t="shared" si="1"/>
        <v>02320</v>
      </c>
      <c r="H4244" s="49" t="str">
        <f t="shared" si="2"/>
        <v>02619</v>
      </c>
    </row>
    <row r="4245">
      <c r="A4245" s="48" t="s">
        <v>1485</v>
      </c>
      <c r="B4245" s="38">
        <v>21017.0</v>
      </c>
      <c r="C4245" s="38" t="s">
        <v>6967</v>
      </c>
      <c r="D4245" s="38" t="str">
        <f>IFERROR(__xludf.DUMMYFUNCTION("REGEXREPLACE(C4245,""-\d+(.*)|--\d+(.*)"","""")"),"ARCENANT")</f>
        <v>ARCENANT</v>
      </c>
      <c r="E4245" s="38" t="s">
        <v>105</v>
      </c>
      <c r="F4245" s="38" t="s">
        <v>106</v>
      </c>
      <c r="G4245" s="49" t="str">
        <f t="shared" si="1"/>
        <v>21700</v>
      </c>
      <c r="H4245" s="49">
        <f t="shared" si="2"/>
        <v>21017</v>
      </c>
    </row>
    <row r="4246">
      <c r="A4246" s="48" t="s">
        <v>5038</v>
      </c>
      <c r="B4246" s="38">
        <v>17382.0</v>
      </c>
      <c r="C4246" s="38" t="s">
        <v>6968</v>
      </c>
      <c r="D4246" s="38" t="str">
        <f>IFERROR(__xludf.DUMMYFUNCTION("REGEXREPLACE(C4246,""-\d+(.*)|--\d+(.*)"","""")"),"SAINT-PIERRE-D'AMILLY")</f>
        <v>SAINT-PIERRE-D'AMILLY</v>
      </c>
      <c r="E4246" s="38" t="s">
        <v>488</v>
      </c>
      <c r="F4246" s="38" t="s">
        <v>338</v>
      </c>
      <c r="G4246" s="49" t="str">
        <f t="shared" si="1"/>
        <v>17700</v>
      </c>
      <c r="H4246" s="49">
        <f t="shared" si="2"/>
        <v>17382</v>
      </c>
    </row>
    <row r="4247">
      <c r="A4247" s="48" t="s">
        <v>2067</v>
      </c>
      <c r="B4247" s="38">
        <v>18006.0</v>
      </c>
      <c r="C4247" s="38" t="s">
        <v>6969</v>
      </c>
      <c r="D4247" s="38" t="str">
        <f>IFERROR(__xludf.DUMMYFUNCTION("REGEXREPLACE(C4247,""-\d+(.*)|--\d+(.*)"","""")"),"ANNOIX")</f>
        <v>ANNOIX</v>
      </c>
      <c r="E4247" s="38" t="s">
        <v>504</v>
      </c>
      <c r="F4247" s="38" t="s">
        <v>123</v>
      </c>
      <c r="G4247" s="49" t="str">
        <f t="shared" si="1"/>
        <v>18340</v>
      </c>
      <c r="H4247" s="49">
        <f t="shared" si="2"/>
        <v>18006</v>
      </c>
    </row>
    <row r="4248">
      <c r="A4248" s="48" t="s">
        <v>5097</v>
      </c>
      <c r="B4248" s="38">
        <v>59461.0</v>
      </c>
      <c r="C4248" s="38" t="s">
        <v>6970</v>
      </c>
      <c r="D4248" s="38" t="str">
        <f>IFERROR(__xludf.DUMMYFUNCTION("REGEXREPLACE(C4248,""-\d+(.*)|--\d+(.*)"","""")"),"PETIT-FAYT")</f>
        <v>PETIT-FAYT</v>
      </c>
      <c r="E4248" s="38" t="s">
        <v>85</v>
      </c>
      <c r="F4248" s="38" t="s">
        <v>86</v>
      </c>
      <c r="G4248" s="49" t="str">
        <f t="shared" si="1"/>
        <v>59244</v>
      </c>
      <c r="H4248" s="49">
        <f t="shared" si="2"/>
        <v>59461</v>
      </c>
    </row>
    <row r="4249">
      <c r="A4249" s="48" t="s">
        <v>1224</v>
      </c>
      <c r="B4249" s="38">
        <v>18245.0</v>
      </c>
      <c r="C4249" s="38" t="s">
        <v>6971</v>
      </c>
      <c r="D4249" s="38" t="str">
        <f>IFERROR(__xludf.DUMMYFUNCTION("REGEXREPLACE(C4249,""-\d+(.*)|--\d+(.*)"","""")"),"SAULZAIS-LE-POTIER")</f>
        <v>SAULZAIS-LE-POTIER</v>
      </c>
      <c r="E4249" s="38" t="s">
        <v>504</v>
      </c>
      <c r="F4249" s="38" t="s">
        <v>123</v>
      </c>
      <c r="G4249" s="49" t="str">
        <f t="shared" si="1"/>
        <v>18360</v>
      </c>
      <c r="H4249" s="49">
        <f t="shared" si="2"/>
        <v>18245</v>
      </c>
    </row>
    <row r="4250">
      <c r="A4250" s="48" t="s">
        <v>5045</v>
      </c>
      <c r="B4250" s="38">
        <v>24549.0</v>
      </c>
      <c r="C4250" s="38" t="s">
        <v>6972</v>
      </c>
      <c r="D4250" s="38" t="str">
        <f>IFERROR(__xludf.DUMMYFUNCTION("REGEXREPLACE(C4250,""-\d+(.*)|--\d+(.*)"","""")"),"THENAC")</f>
        <v>THENAC</v>
      </c>
      <c r="E4250" s="38" t="s">
        <v>261</v>
      </c>
      <c r="F4250" s="38" t="s">
        <v>252</v>
      </c>
      <c r="G4250" s="49" t="str">
        <f t="shared" si="1"/>
        <v>24240</v>
      </c>
      <c r="H4250" s="49">
        <f t="shared" si="2"/>
        <v>24549</v>
      </c>
    </row>
    <row r="4251">
      <c r="A4251" s="48" t="s">
        <v>1437</v>
      </c>
      <c r="B4251" s="38">
        <v>39379.0</v>
      </c>
      <c r="C4251" s="38" t="s">
        <v>6973</v>
      </c>
      <c r="D4251" s="38" t="str">
        <f>IFERROR(__xludf.DUMMYFUNCTION("REGEXREPLACE(C4251,""-\d+(.*)|--\d+(.*)"","""")"),"NANCE")</f>
        <v>NANCE</v>
      </c>
      <c r="E4251" s="38" t="s">
        <v>400</v>
      </c>
      <c r="F4251" s="38" t="s">
        <v>214</v>
      </c>
      <c r="G4251" s="49" t="str">
        <f t="shared" si="1"/>
        <v>39140</v>
      </c>
      <c r="H4251" s="49">
        <f t="shared" si="2"/>
        <v>39379</v>
      </c>
    </row>
    <row r="4252">
      <c r="A4252" s="48" t="s">
        <v>6328</v>
      </c>
      <c r="B4252" s="38">
        <v>30067.0</v>
      </c>
      <c r="C4252" s="38" t="s">
        <v>6974</v>
      </c>
      <c r="D4252" s="38" t="str">
        <f>IFERROR(__xludf.DUMMYFUNCTION("REGEXREPLACE(C4252,""-\d+(.*)|--\d+(.*)"","""")"),"LA CAPELLE-ET-MASMOLENE")</f>
        <v>LA CAPELLE-ET-MASMOLENE</v>
      </c>
      <c r="E4252" s="38" t="s">
        <v>526</v>
      </c>
      <c r="F4252" s="38" t="s">
        <v>119</v>
      </c>
      <c r="G4252" s="49" t="str">
        <f t="shared" si="1"/>
        <v>30700</v>
      </c>
      <c r="H4252" s="49">
        <f t="shared" si="2"/>
        <v>30067</v>
      </c>
    </row>
    <row r="4253">
      <c r="A4253" s="48" t="s">
        <v>445</v>
      </c>
      <c r="B4253" s="38">
        <v>76646.0</v>
      </c>
      <c r="C4253" s="38" t="s">
        <v>6975</v>
      </c>
      <c r="D4253" s="38" t="str">
        <f>IFERROR(__xludf.DUMMYFUNCTION("REGEXREPLACE(C4253,""-\d+(.*)|--\d+(.*)"","""")"),"SAINT-RIQUIER-ES-PLAINS")</f>
        <v>SAINT-RIQUIER-ES-PLAINS</v>
      </c>
      <c r="E4253" s="38" t="s">
        <v>133</v>
      </c>
      <c r="F4253" s="38" t="s">
        <v>134</v>
      </c>
      <c r="G4253" s="49" t="str">
        <f t="shared" si="1"/>
        <v>76460</v>
      </c>
      <c r="H4253" s="49">
        <f t="shared" si="2"/>
        <v>76646</v>
      </c>
    </row>
    <row r="4254">
      <c r="A4254" s="48" t="s">
        <v>5190</v>
      </c>
      <c r="B4254" s="38">
        <v>35174.0</v>
      </c>
      <c r="C4254" s="38" t="s">
        <v>6976</v>
      </c>
      <c r="D4254" s="38" t="str">
        <f>IFERROR(__xludf.DUMMYFUNCTION("REGEXREPLACE(C4254,""-\d+(.*)|--\d+(.*)"","""")"),"MELLE")</f>
        <v>MELLE</v>
      </c>
      <c r="E4254" s="38" t="s">
        <v>347</v>
      </c>
      <c r="F4254" s="38" t="s">
        <v>90</v>
      </c>
      <c r="G4254" s="49" t="str">
        <f t="shared" si="1"/>
        <v>35420</v>
      </c>
      <c r="H4254" s="49">
        <f t="shared" si="2"/>
        <v>35174</v>
      </c>
    </row>
    <row r="4255">
      <c r="A4255" s="48" t="s">
        <v>6977</v>
      </c>
      <c r="B4255" s="38">
        <v>22324.0</v>
      </c>
      <c r="C4255" s="38" t="s">
        <v>6978</v>
      </c>
      <c r="D4255" s="38" t="str">
        <f>IFERROR(__xludf.DUMMYFUNCTION("REGEXREPLACE(C4255,""-\d+(.*)|--\d+(.*)"","""")"),"SAINT-QUAY-PERROS")</f>
        <v>SAINT-QUAY-PERROS</v>
      </c>
      <c r="E4255" s="38" t="s">
        <v>89</v>
      </c>
      <c r="F4255" s="38" t="s">
        <v>90</v>
      </c>
      <c r="G4255" s="49" t="str">
        <f t="shared" si="1"/>
        <v>22700</v>
      </c>
      <c r="H4255" s="49">
        <f t="shared" si="2"/>
        <v>22324</v>
      </c>
    </row>
    <row r="4256">
      <c r="A4256" s="48" t="s">
        <v>1697</v>
      </c>
      <c r="B4256" s="38">
        <v>39468.0</v>
      </c>
      <c r="C4256" s="38" t="s">
        <v>6979</v>
      </c>
      <c r="D4256" s="38" t="str">
        <f>IFERROR(__xludf.DUMMYFUNCTION("REGEXREPLACE(C4256,""-\d+(.*)|--\d+(.*)"","""")"),"ROTHONAY")</f>
        <v>ROTHONAY</v>
      </c>
      <c r="E4256" s="38" t="s">
        <v>400</v>
      </c>
      <c r="F4256" s="38" t="s">
        <v>214</v>
      </c>
      <c r="G4256" s="49" t="str">
        <f t="shared" si="1"/>
        <v>39270</v>
      </c>
      <c r="H4256" s="49">
        <f t="shared" si="2"/>
        <v>39468</v>
      </c>
    </row>
    <row r="4257">
      <c r="A4257" s="48" t="s">
        <v>599</v>
      </c>
      <c r="B4257" s="38">
        <v>16330.0</v>
      </c>
      <c r="C4257" s="38" t="s">
        <v>6980</v>
      </c>
      <c r="D4257" s="38" t="str">
        <f>IFERROR(__xludf.DUMMYFUNCTION("REGEXREPLACE(C4257,""-\d+(.*)|--\d+(.*)"","""")"),"SAINT-LAURENT-DE-COGNAC")</f>
        <v>SAINT-LAURENT-DE-COGNAC</v>
      </c>
      <c r="E4257" s="38" t="s">
        <v>429</v>
      </c>
      <c r="F4257" s="38" t="s">
        <v>338</v>
      </c>
      <c r="G4257" s="49" t="str">
        <f t="shared" si="1"/>
        <v>16100</v>
      </c>
      <c r="H4257" s="49">
        <f t="shared" si="2"/>
        <v>16330</v>
      </c>
    </row>
    <row r="4258">
      <c r="A4258" s="48" t="s">
        <v>781</v>
      </c>
      <c r="B4258" s="38">
        <v>65286.0</v>
      </c>
      <c r="C4258" s="38" t="s">
        <v>6981</v>
      </c>
      <c r="D4258" s="38" t="str">
        <f>IFERROR(__xludf.DUMMYFUNCTION("REGEXREPLACE(C4258,""-\d+(.*)|--\d+(.*)"","""")"),"LOURDES")</f>
        <v>LOURDES</v>
      </c>
      <c r="E4258" s="38" t="s">
        <v>200</v>
      </c>
      <c r="F4258" s="38" t="s">
        <v>94</v>
      </c>
      <c r="G4258" s="49" t="str">
        <f t="shared" si="1"/>
        <v>65100</v>
      </c>
      <c r="H4258" s="49">
        <f t="shared" si="2"/>
        <v>65286</v>
      </c>
    </row>
    <row r="4259">
      <c r="A4259" s="48" t="s">
        <v>6982</v>
      </c>
      <c r="B4259" s="38">
        <v>14030.0</v>
      </c>
      <c r="C4259" s="38" t="s">
        <v>6983</v>
      </c>
      <c r="D4259" s="38" t="str">
        <f>IFERROR(__xludf.DUMMYFUNCTION("REGEXREPLACE(C4259,""-\d+(.*)|--\d+(.*)"","""")"),"AUTHIE")</f>
        <v>AUTHIE</v>
      </c>
      <c r="E4259" s="38" t="s">
        <v>137</v>
      </c>
      <c r="F4259" s="38" t="s">
        <v>138</v>
      </c>
      <c r="G4259" s="49" t="str">
        <f t="shared" si="1"/>
        <v>14280</v>
      </c>
      <c r="H4259" s="49">
        <f t="shared" si="2"/>
        <v>14030</v>
      </c>
    </row>
    <row r="4260">
      <c r="A4260" s="48" t="s">
        <v>1079</v>
      </c>
      <c r="B4260" s="38">
        <v>24153.0</v>
      </c>
      <c r="C4260" s="38" t="s">
        <v>6984</v>
      </c>
      <c r="D4260" s="38" t="str">
        <f>IFERROR(__xludf.DUMMYFUNCTION("REGEXREPLACE(C4260,""-\d+(.*)|--\d+(.*)"","""")"),"LA DORNAC")</f>
        <v>LA DORNAC</v>
      </c>
      <c r="E4260" s="38" t="s">
        <v>261</v>
      </c>
      <c r="F4260" s="38" t="s">
        <v>252</v>
      </c>
      <c r="G4260" s="49" t="str">
        <f t="shared" si="1"/>
        <v>24120</v>
      </c>
      <c r="H4260" s="49">
        <f t="shared" si="2"/>
        <v>24153</v>
      </c>
    </row>
    <row r="4261">
      <c r="A4261" s="48" t="s">
        <v>6985</v>
      </c>
      <c r="B4261" s="38">
        <v>62465.0</v>
      </c>
      <c r="C4261" s="38" t="s">
        <v>6986</v>
      </c>
      <c r="D4261" s="38" t="str">
        <f>IFERROR(__xludf.DUMMYFUNCTION("REGEXREPLACE(C4261,""-\d+(.*)|--\d+(.*)"","""")"),"HUMBERCAMPS")</f>
        <v>HUMBERCAMPS</v>
      </c>
      <c r="E4261" s="38" t="s">
        <v>109</v>
      </c>
      <c r="F4261" s="38" t="s">
        <v>86</v>
      </c>
      <c r="G4261" s="49" t="str">
        <f t="shared" si="1"/>
        <v>62158</v>
      </c>
      <c r="H4261" s="49">
        <f t="shared" si="2"/>
        <v>62465</v>
      </c>
    </row>
    <row r="4262">
      <c r="A4262" s="48" t="s">
        <v>6987</v>
      </c>
      <c r="B4262" s="38">
        <v>69096.0</v>
      </c>
      <c r="C4262" s="38" t="s">
        <v>6988</v>
      </c>
      <c r="D4262" s="38" t="str">
        <f>IFERROR(__xludf.DUMMYFUNCTION("REGEXREPLACE(C4262,""-\d+(.*)|--\d+(.*)"","""")"),"GRIGNY")</f>
        <v>GRIGNY</v>
      </c>
      <c r="E4262" s="38" t="s">
        <v>350</v>
      </c>
      <c r="F4262" s="38" t="s">
        <v>102</v>
      </c>
      <c r="G4262" s="49" t="str">
        <f t="shared" si="1"/>
        <v>69520</v>
      </c>
      <c r="H4262" s="49">
        <f t="shared" si="2"/>
        <v>69096</v>
      </c>
    </row>
    <row r="4263">
      <c r="A4263" s="48" t="s">
        <v>4519</v>
      </c>
      <c r="B4263" s="38">
        <v>26288.0</v>
      </c>
      <c r="C4263" s="38" t="s">
        <v>6989</v>
      </c>
      <c r="D4263" s="38" t="str">
        <f>IFERROR(__xludf.DUMMYFUNCTION("REGEXREPLACE(C4263,""-\d+(.*)|--\d+(.*)"","""")"),"SAHUNE")</f>
        <v>SAHUNE</v>
      </c>
      <c r="E4263" s="38" t="s">
        <v>126</v>
      </c>
      <c r="F4263" s="38" t="s">
        <v>102</v>
      </c>
      <c r="G4263" s="49" t="str">
        <f t="shared" si="1"/>
        <v>26510</v>
      </c>
      <c r="H4263" s="49">
        <f t="shared" si="2"/>
        <v>26288</v>
      </c>
    </row>
    <row r="4264">
      <c r="A4264" s="48" t="s">
        <v>6990</v>
      </c>
      <c r="B4264" s="38">
        <v>29014.0</v>
      </c>
      <c r="C4264" s="38" t="s">
        <v>6991</v>
      </c>
      <c r="D4264" s="38" t="str">
        <f>IFERROR(__xludf.DUMMYFUNCTION("REGEXREPLACE(C4264,""-\d+(.*)|--\d+(.*)"","""")"),"BOTSORHEL")</f>
        <v>BOTSORHEL</v>
      </c>
      <c r="E4264" s="38" t="s">
        <v>176</v>
      </c>
      <c r="F4264" s="38" t="s">
        <v>90</v>
      </c>
      <c r="G4264" s="49" t="str">
        <f t="shared" si="1"/>
        <v>29650</v>
      </c>
      <c r="H4264" s="49">
        <f t="shared" si="2"/>
        <v>29014</v>
      </c>
    </row>
    <row r="4265">
      <c r="A4265" s="48" t="s">
        <v>6992</v>
      </c>
      <c r="B4265" s="38">
        <v>24083.0</v>
      </c>
      <c r="C4265" s="38" t="s">
        <v>6993</v>
      </c>
      <c r="D4265" s="38" t="str">
        <f>IFERROR(__xludf.DUMMYFUNCTION("REGEXREPLACE(C4265,""-\d+(.*)|--\d+(.*)"","""")"),"CARSAC-DE-GURSON")</f>
        <v>CARSAC-DE-GURSON</v>
      </c>
      <c r="E4265" s="38" t="s">
        <v>261</v>
      </c>
      <c r="F4265" s="38" t="s">
        <v>252</v>
      </c>
      <c r="G4265" s="49" t="str">
        <f t="shared" si="1"/>
        <v>24610</v>
      </c>
      <c r="H4265" s="49">
        <f t="shared" si="2"/>
        <v>24083</v>
      </c>
    </row>
    <row r="4266">
      <c r="A4266" s="48" t="s">
        <v>6994</v>
      </c>
      <c r="B4266" s="38">
        <v>54542.0</v>
      </c>
      <c r="C4266" s="38" t="s">
        <v>6995</v>
      </c>
      <c r="D4266" s="38" t="str">
        <f>IFERROR(__xludf.DUMMYFUNCTION("REGEXREPLACE(C4266,""-\d+(.*)|--\d+(.*)"","""")"),"VALLEROY")</f>
        <v>VALLEROY</v>
      </c>
      <c r="E4266" s="38" t="s">
        <v>548</v>
      </c>
      <c r="F4266" s="38" t="s">
        <v>195</v>
      </c>
      <c r="G4266" s="49" t="str">
        <f t="shared" si="1"/>
        <v>54910</v>
      </c>
      <c r="H4266" s="49">
        <f t="shared" si="2"/>
        <v>54542</v>
      </c>
    </row>
    <row r="4267">
      <c r="A4267" s="48" t="s">
        <v>771</v>
      </c>
      <c r="B4267" s="38">
        <v>60558.0</v>
      </c>
      <c r="C4267" s="38" t="s">
        <v>6996</v>
      </c>
      <c r="D4267" s="38" t="str">
        <f>IFERROR(__xludf.DUMMYFUNCTION("REGEXREPLACE(C4267,""-\d+(.*)|--\d+(.*)"","""")"),"ROYE-SUR-MATZ")</f>
        <v>ROYE-SUR-MATZ</v>
      </c>
      <c r="E4267" s="38" t="s">
        <v>112</v>
      </c>
      <c r="F4267" s="38" t="s">
        <v>113</v>
      </c>
      <c r="G4267" s="49" t="str">
        <f t="shared" si="1"/>
        <v>60310</v>
      </c>
      <c r="H4267" s="49">
        <f t="shared" si="2"/>
        <v>60558</v>
      </c>
    </row>
    <row r="4268">
      <c r="A4268" s="48" t="s">
        <v>6997</v>
      </c>
      <c r="B4268" s="38">
        <v>62402.0</v>
      </c>
      <c r="C4268" s="38" t="s">
        <v>6998</v>
      </c>
      <c r="D4268" s="38" t="str">
        <f>IFERROR(__xludf.DUMMYFUNCTION("REGEXREPLACE(C4268,""-\d+(.*)|--\d+(.*)"","""")"),"HALINGHEN")</f>
        <v>HALINGHEN</v>
      </c>
      <c r="E4268" s="38" t="s">
        <v>109</v>
      </c>
      <c r="F4268" s="38" t="s">
        <v>86</v>
      </c>
      <c r="G4268" s="49" t="str">
        <f t="shared" si="1"/>
        <v>62830</v>
      </c>
      <c r="H4268" s="49">
        <f t="shared" si="2"/>
        <v>62402</v>
      </c>
    </row>
    <row r="4269">
      <c r="A4269" s="48" t="s">
        <v>6125</v>
      </c>
      <c r="B4269" s="38">
        <v>38366.0</v>
      </c>
      <c r="C4269" s="38" t="s">
        <v>6999</v>
      </c>
      <c r="D4269" s="38" t="str">
        <f>IFERROR(__xludf.DUMMYFUNCTION("REGEXREPLACE(C4269,""-\d+(.*)|--\d+(.*)"","""")"),"SAINT-BAUDILLE-ET-PIPET")</f>
        <v>SAINT-BAUDILLE-ET-PIPET</v>
      </c>
      <c r="E4269" s="38" t="s">
        <v>101</v>
      </c>
      <c r="F4269" s="38" t="s">
        <v>102</v>
      </c>
      <c r="G4269" s="49" t="str">
        <f t="shared" si="1"/>
        <v>38710</v>
      </c>
      <c r="H4269" s="49">
        <f t="shared" si="2"/>
        <v>38366</v>
      </c>
    </row>
    <row r="4270">
      <c r="A4270" s="48" t="s">
        <v>2554</v>
      </c>
      <c r="B4270" s="38">
        <v>95169.0</v>
      </c>
      <c r="C4270" s="38" t="s">
        <v>7000</v>
      </c>
      <c r="D4270" s="38" t="str">
        <f>IFERROR(__xludf.DUMMYFUNCTION("REGEXREPLACE(C4270,""-\d+(.*)|--\d+(.*)"","""")"),"COMMENY")</f>
        <v>COMMENY</v>
      </c>
      <c r="E4270" s="38" t="s">
        <v>541</v>
      </c>
      <c r="F4270" s="38" t="s">
        <v>245</v>
      </c>
      <c r="G4270" s="49" t="str">
        <f t="shared" si="1"/>
        <v>95450</v>
      </c>
      <c r="H4270" s="49">
        <f t="shared" si="2"/>
        <v>95169</v>
      </c>
    </row>
    <row r="4271">
      <c r="A4271" s="48" t="s">
        <v>7001</v>
      </c>
      <c r="B4271" s="38">
        <v>85181.0</v>
      </c>
      <c r="C4271" s="38" t="s">
        <v>7002</v>
      </c>
      <c r="D4271" s="38" t="str">
        <f>IFERROR(__xludf.DUMMYFUNCTION("REGEXREPLACE(C4271,""-\d+(.*)|--\d+(.*)"","""")"),"POUILLE")</f>
        <v>POUILLE</v>
      </c>
      <c r="E4271" s="38" t="s">
        <v>179</v>
      </c>
      <c r="F4271" s="38" t="s">
        <v>180</v>
      </c>
      <c r="G4271" s="49" t="str">
        <f t="shared" si="1"/>
        <v>85570</v>
      </c>
      <c r="H4271" s="49">
        <f t="shared" si="2"/>
        <v>85181</v>
      </c>
    </row>
    <row r="4272">
      <c r="A4272" s="48" t="s">
        <v>6007</v>
      </c>
      <c r="B4272" s="38">
        <v>24495.0</v>
      </c>
      <c r="C4272" s="38" t="s">
        <v>7003</v>
      </c>
      <c r="D4272" s="38" t="str">
        <f>IFERROR(__xludf.DUMMYFUNCTION("REGEXREPLACE(C4272,""-\d+(.*)|--\d+(.*)"","""")"),"SAINT-ROMAIN-DE-MONPAZIER")</f>
        <v>SAINT-ROMAIN-DE-MONPAZIER</v>
      </c>
      <c r="E4272" s="38" t="s">
        <v>261</v>
      </c>
      <c r="F4272" s="38" t="s">
        <v>252</v>
      </c>
      <c r="G4272" s="49" t="str">
        <f t="shared" si="1"/>
        <v>24540</v>
      </c>
      <c r="H4272" s="49">
        <f t="shared" si="2"/>
        <v>24495</v>
      </c>
    </row>
    <row r="4273">
      <c r="A4273" s="48" t="s">
        <v>3920</v>
      </c>
      <c r="B4273" s="38">
        <v>50099.0</v>
      </c>
      <c r="C4273" s="38" t="s">
        <v>7004</v>
      </c>
      <c r="D4273" s="38" t="str">
        <f>IFERROR(__xludf.DUMMYFUNCTION("REGEXREPLACE(C4273,""-\d+(.*)|--\d+(.*)"","""")"),"CARENTAN")</f>
        <v>CARENTAN</v>
      </c>
      <c r="E4273" s="38" t="s">
        <v>157</v>
      </c>
      <c r="F4273" s="38" t="s">
        <v>138</v>
      </c>
      <c r="G4273" s="49" t="str">
        <f t="shared" si="1"/>
        <v>50500</v>
      </c>
      <c r="H4273" s="49">
        <f t="shared" si="2"/>
        <v>50099</v>
      </c>
    </row>
    <row r="4274">
      <c r="A4274" s="48" t="s">
        <v>7005</v>
      </c>
      <c r="B4274" s="38">
        <v>82164.0</v>
      </c>
      <c r="C4274" s="38" t="s">
        <v>7006</v>
      </c>
      <c r="D4274" s="38" t="str">
        <f>IFERROR(__xludf.DUMMYFUNCTION("REGEXREPLACE(C4274,""-\d+(.*)|--\d+(.*)"","""")"),"SAINTE-JULIETTE")</f>
        <v>SAINTE-JULIETTE</v>
      </c>
      <c r="E4274" s="38" t="s">
        <v>570</v>
      </c>
      <c r="F4274" s="38" t="s">
        <v>94</v>
      </c>
      <c r="G4274" s="49" t="str">
        <f t="shared" si="1"/>
        <v>82110</v>
      </c>
      <c r="H4274" s="49">
        <f t="shared" si="2"/>
        <v>82164</v>
      </c>
    </row>
    <row r="4275">
      <c r="A4275" s="48" t="s">
        <v>1772</v>
      </c>
      <c r="B4275" s="38">
        <v>53169.0</v>
      </c>
      <c r="C4275" s="38" t="s">
        <v>7007</v>
      </c>
      <c r="D4275" s="38" t="str">
        <f>IFERROR(__xludf.DUMMYFUNCTION("REGEXREPLACE(C4275,""-\d+(.*)|--\d+(.*)"","""")"),"OLIVET")</f>
        <v>OLIVET</v>
      </c>
      <c r="E4275" s="38" t="s">
        <v>518</v>
      </c>
      <c r="F4275" s="38" t="s">
        <v>180</v>
      </c>
      <c r="G4275" s="49" t="str">
        <f t="shared" si="1"/>
        <v>53410</v>
      </c>
      <c r="H4275" s="49">
        <f t="shared" si="2"/>
        <v>53169</v>
      </c>
    </row>
    <row r="4276">
      <c r="A4276" s="48" t="s">
        <v>1673</v>
      </c>
      <c r="B4276" s="38">
        <v>5035.0</v>
      </c>
      <c r="C4276" s="38" t="s">
        <v>7008</v>
      </c>
      <c r="D4276" s="38" t="str">
        <f>IFERROR(__xludf.DUMMYFUNCTION("REGEXREPLACE(C4276,""-\d+(.*)|--\d+(.*)"","""")"),"CHATEAUNEUF-D'OZE")</f>
        <v>CHATEAUNEUF-D'OZE</v>
      </c>
      <c r="E4276" s="38" t="s">
        <v>706</v>
      </c>
      <c r="F4276" s="38" t="s">
        <v>228</v>
      </c>
      <c r="G4276" s="49" t="str">
        <f t="shared" si="1"/>
        <v>05400</v>
      </c>
      <c r="H4276" s="49" t="str">
        <f t="shared" si="2"/>
        <v>05035</v>
      </c>
    </row>
    <row r="4277">
      <c r="A4277" s="48" t="s">
        <v>4557</v>
      </c>
      <c r="B4277" s="38">
        <v>46336.0</v>
      </c>
      <c r="C4277" s="38" t="s">
        <v>7009</v>
      </c>
      <c r="D4277" s="38" t="str">
        <f>IFERROR(__xludf.DUMMYFUNCTION("REGEXREPLACE(C4277,""-\d+(.*)|--\d+(.*)"","""")"),"VIRE-SUR-LOT")</f>
        <v>VIRE-SUR-LOT</v>
      </c>
      <c r="E4277" s="38" t="s">
        <v>185</v>
      </c>
      <c r="F4277" s="38" t="s">
        <v>94</v>
      </c>
      <c r="G4277" s="49" t="str">
        <f t="shared" si="1"/>
        <v>46700</v>
      </c>
      <c r="H4277" s="49">
        <f t="shared" si="2"/>
        <v>46336</v>
      </c>
    </row>
    <row r="4278">
      <c r="A4278" s="48" t="s">
        <v>2251</v>
      </c>
      <c r="B4278" s="38">
        <v>2063.0</v>
      </c>
      <c r="C4278" s="38" t="s">
        <v>7010</v>
      </c>
      <c r="D4278" s="38" t="str">
        <f>IFERROR(__xludf.DUMMYFUNCTION("REGEXREPLACE(C4278,""-\d+(.*)|--\d+(.*)"","""")"),"BELLENGLISE")</f>
        <v>BELLENGLISE</v>
      </c>
      <c r="E4278" s="38" t="s">
        <v>191</v>
      </c>
      <c r="F4278" s="38" t="s">
        <v>113</v>
      </c>
      <c r="G4278" s="49" t="str">
        <f t="shared" si="1"/>
        <v>02420</v>
      </c>
      <c r="H4278" s="49" t="str">
        <f t="shared" si="2"/>
        <v>02063</v>
      </c>
    </row>
    <row r="4279">
      <c r="A4279" s="48" t="s">
        <v>593</v>
      </c>
      <c r="B4279" s="38">
        <v>29162.0</v>
      </c>
      <c r="C4279" s="38" t="s">
        <v>7011</v>
      </c>
      <c r="D4279" s="38" t="str">
        <f>IFERROR(__xludf.DUMMYFUNCTION("REGEXREPLACE(C4279,""-\d+(.*)|--\d+(.*)"","""")"),"PLEYBEN")</f>
        <v>PLEYBEN</v>
      </c>
      <c r="E4279" s="38" t="s">
        <v>176</v>
      </c>
      <c r="F4279" s="38" t="s">
        <v>90</v>
      </c>
      <c r="G4279" s="49" t="str">
        <f t="shared" si="1"/>
        <v>29190</v>
      </c>
      <c r="H4279" s="49">
        <f t="shared" si="2"/>
        <v>29162</v>
      </c>
    </row>
    <row r="4280">
      <c r="A4280" s="48" t="s">
        <v>760</v>
      </c>
      <c r="B4280" s="38">
        <v>89058.0</v>
      </c>
      <c r="C4280" s="38" t="s">
        <v>5387</v>
      </c>
      <c r="D4280" s="38" t="str">
        <f>IFERROR(__xludf.DUMMYFUNCTION("REGEXREPLACE(C4280,""-\d+(.*)|--\d+(.*)"","""")"),"BUSSIERES")</f>
        <v>BUSSIERES</v>
      </c>
      <c r="E4280" s="38" t="s">
        <v>275</v>
      </c>
      <c r="F4280" s="38" t="s">
        <v>106</v>
      </c>
      <c r="G4280" s="49" t="str">
        <f t="shared" si="1"/>
        <v>89630</v>
      </c>
      <c r="H4280" s="49">
        <f t="shared" si="2"/>
        <v>89058</v>
      </c>
    </row>
    <row r="4281">
      <c r="A4281" s="48" t="s">
        <v>7012</v>
      </c>
      <c r="B4281" s="38">
        <v>68324.0</v>
      </c>
      <c r="C4281" s="38" t="s">
        <v>7013</v>
      </c>
      <c r="D4281" s="38" t="str">
        <f>IFERROR(__xludf.DUMMYFUNCTION("REGEXREPLACE(C4281,""-\d+(.*)|--\d+(.*)"","""")"),"STEINBRUNN-LE-HAUT")</f>
        <v>STEINBRUNN-LE-HAUT</v>
      </c>
      <c r="E4281" s="38" t="s">
        <v>150</v>
      </c>
      <c r="F4281" s="38" t="s">
        <v>151</v>
      </c>
      <c r="G4281" s="49" t="str">
        <f t="shared" si="1"/>
        <v>68440</v>
      </c>
      <c r="H4281" s="49">
        <f t="shared" si="2"/>
        <v>68324</v>
      </c>
    </row>
    <row r="4282">
      <c r="A4282" s="48" t="s">
        <v>4283</v>
      </c>
      <c r="B4282" s="38">
        <v>7036.0</v>
      </c>
      <c r="C4282" s="38" t="s">
        <v>7014</v>
      </c>
      <c r="D4282" s="38" t="str">
        <f>IFERROR(__xludf.DUMMYFUNCTION("REGEXREPLACE(C4282,""-\d+(.*)|--\d+(.*)"","""")"),"BOGY")</f>
        <v>BOGY</v>
      </c>
      <c r="E4282" s="38" t="s">
        <v>144</v>
      </c>
      <c r="F4282" s="38" t="s">
        <v>102</v>
      </c>
      <c r="G4282" s="49" t="str">
        <f t="shared" si="1"/>
        <v>07340</v>
      </c>
      <c r="H4282" s="49" t="str">
        <f t="shared" si="2"/>
        <v>07036</v>
      </c>
    </row>
    <row r="4283">
      <c r="A4283" s="48" t="s">
        <v>2334</v>
      </c>
      <c r="B4283" s="38">
        <v>46008.0</v>
      </c>
      <c r="C4283" s="38" t="s">
        <v>7015</v>
      </c>
      <c r="D4283" s="38" t="str">
        <f>IFERROR(__xludf.DUMMYFUNCTION("REGEXREPLACE(C4283,""-\d+(.*)|--\d+(.*)"","""")"),"LES ARQUES")</f>
        <v>LES ARQUES</v>
      </c>
      <c r="E4283" s="38" t="s">
        <v>185</v>
      </c>
      <c r="F4283" s="38" t="s">
        <v>94</v>
      </c>
      <c r="G4283" s="49" t="str">
        <f t="shared" si="1"/>
        <v>46250</v>
      </c>
      <c r="H4283" s="49">
        <f t="shared" si="2"/>
        <v>46008</v>
      </c>
    </row>
    <row r="4284">
      <c r="A4284" s="48" t="s">
        <v>2447</v>
      </c>
      <c r="B4284" s="38">
        <v>42160.0</v>
      </c>
      <c r="C4284" s="38" t="s">
        <v>7016</v>
      </c>
      <c r="D4284" s="38" t="str">
        <f>IFERROR(__xludf.DUMMYFUNCTION("REGEXREPLACE(C4284,""-\d+(.*)|--\d+(.*)"","""")"),"NOLLIEUX")</f>
        <v>NOLLIEUX</v>
      </c>
      <c r="E4284" s="38" t="s">
        <v>166</v>
      </c>
      <c r="F4284" s="38" t="s">
        <v>102</v>
      </c>
      <c r="G4284" s="49" t="str">
        <f t="shared" si="1"/>
        <v>42260</v>
      </c>
      <c r="H4284" s="49">
        <f t="shared" si="2"/>
        <v>42160</v>
      </c>
    </row>
    <row r="4285">
      <c r="A4285" s="48" t="s">
        <v>7017</v>
      </c>
      <c r="B4285" s="38" t="s">
        <v>7018</v>
      </c>
      <c r="C4285" s="38" t="s">
        <v>7019</v>
      </c>
      <c r="D4285" s="38" t="str">
        <f>IFERROR(__xludf.DUMMYFUNCTION("REGEXREPLACE(C4285,""-\d+(.*)|--\d+(.*)"","""")"),"ALTIANI")</f>
        <v>ALTIANI</v>
      </c>
      <c r="E4285" s="38" t="s">
        <v>743</v>
      </c>
      <c r="F4285" s="38" t="s">
        <v>607</v>
      </c>
      <c r="G4285" s="49" t="str">
        <f t="shared" si="1"/>
        <v>20251</v>
      </c>
      <c r="H4285" s="49" t="str">
        <f t="shared" si="2"/>
        <v>2B012</v>
      </c>
    </row>
    <row r="4286">
      <c r="A4286" s="48" t="s">
        <v>7020</v>
      </c>
      <c r="B4286" s="38">
        <v>2238.0</v>
      </c>
      <c r="C4286" s="38" t="s">
        <v>7021</v>
      </c>
      <c r="D4286" s="38" t="str">
        <f>IFERROR(__xludf.DUMMYFUNCTION("REGEXREPLACE(C4286,""-\d+(.*)|--\d+(.*)"","""")"),"CREPY")</f>
        <v>CREPY</v>
      </c>
      <c r="E4286" s="38" t="s">
        <v>191</v>
      </c>
      <c r="F4286" s="38" t="s">
        <v>113</v>
      </c>
      <c r="G4286" s="49" t="str">
        <f t="shared" si="1"/>
        <v>02870</v>
      </c>
      <c r="H4286" s="49" t="str">
        <f t="shared" si="2"/>
        <v>02238</v>
      </c>
    </row>
    <row r="4287">
      <c r="A4287" s="48" t="s">
        <v>7022</v>
      </c>
      <c r="B4287" s="38">
        <v>13103.0</v>
      </c>
      <c r="C4287" s="38" t="s">
        <v>7023</v>
      </c>
      <c r="D4287" s="38" t="str">
        <f>IFERROR(__xludf.DUMMYFUNCTION("REGEXREPLACE(C4287,""-\d+(.*)|--\d+(.*)"","""")"),"SALON-DE-PROVENCE")</f>
        <v>SALON-DE-PROVENCE</v>
      </c>
      <c r="E4287" s="38" t="s">
        <v>980</v>
      </c>
      <c r="F4287" s="38" t="s">
        <v>228</v>
      </c>
      <c r="G4287" s="49" t="str">
        <f t="shared" si="1"/>
        <v>13300</v>
      </c>
      <c r="H4287" s="49">
        <f t="shared" si="2"/>
        <v>13103</v>
      </c>
    </row>
    <row r="4288">
      <c r="A4288" s="48" t="s">
        <v>5166</v>
      </c>
      <c r="B4288" s="38">
        <v>26262.0</v>
      </c>
      <c r="C4288" s="38" t="s">
        <v>7024</v>
      </c>
      <c r="D4288" s="38" t="str">
        <f>IFERROR(__xludf.DUMMYFUNCTION("REGEXREPLACE(C4288,""-\d+(.*)|--\d+(.*)"","""")"),"RECOUBEAU-JANSAC")</f>
        <v>RECOUBEAU-JANSAC</v>
      </c>
      <c r="E4288" s="38" t="s">
        <v>126</v>
      </c>
      <c r="F4288" s="38" t="s">
        <v>102</v>
      </c>
      <c r="G4288" s="49" t="str">
        <f t="shared" si="1"/>
        <v>26310</v>
      </c>
      <c r="H4288" s="49">
        <f t="shared" si="2"/>
        <v>26262</v>
      </c>
    </row>
    <row r="4289">
      <c r="A4289" s="48" t="s">
        <v>3662</v>
      </c>
      <c r="B4289" s="38">
        <v>80104.0</v>
      </c>
      <c r="C4289" s="38" t="s">
        <v>7025</v>
      </c>
      <c r="D4289" s="38" t="str">
        <f>IFERROR(__xludf.DUMMYFUNCTION("REGEXREPLACE(C4289,""-\d+(.*)|--\d+(.*)"","""")"),"BIENCOURT")</f>
        <v>BIENCOURT</v>
      </c>
      <c r="E4289" s="38" t="s">
        <v>224</v>
      </c>
      <c r="F4289" s="38" t="s">
        <v>113</v>
      </c>
      <c r="G4289" s="49" t="str">
        <f t="shared" si="1"/>
        <v>80140</v>
      </c>
      <c r="H4289" s="49">
        <f t="shared" si="2"/>
        <v>80104</v>
      </c>
    </row>
    <row r="4290">
      <c r="A4290" s="48" t="s">
        <v>4215</v>
      </c>
      <c r="B4290" s="38">
        <v>27399.0</v>
      </c>
      <c r="C4290" s="38" t="s">
        <v>7026</v>
      </c>
      <c r="D4290" s="38" t="str">
        <f>IFERROR(__xludf.DUMMYFUNCTION("REGEXREPLACE(C4290,""-\d+(.*)|--\d+(.*)"","""")"),"MERCEY")</f>
        <v>MERCEY</v>
      </c>
      <c r="E4290" s="38" t="s">
        <v>241</v>
      </c>
      <c r="F4290" s="38" t="s">
        <v>134</v>
      </c>
      <c r="G4290" s="49" t="str">
        <f t="shared" si="1"/>
        <v>27950</v>
      </c>
      <c r="H4290" s="49">
        <f t="shared" si="2"/>
        <v>27399</v>
      </c>
    </row>
    <row r="4291">
      <c r="A4291" s="48" t="s">
        <v>436</v>
      </c>
      <c r="B4291" s="38">
        <v>51551.0</v>
      </c>
      <c r="C4291" s="38" t="s">
        <v>7027</v>
      </c>
      <c r="D4291" s="38" t="str">
        <f>IFERROR(__xludf.DUMMYFUNCTION("REGEXREPLACE(C4291,""-\d+(.*)|--\d+(.*)"","""")"),"SOMSOIS")</f>
        <v>SOMSOIS</v>
      </c>
      <c r="E4291" s="38" t="s">
        <v>129</v>
      </c>
      <c r="F4291" s="38" t="s">
        <v>130</v>
      </c>
      <c r="G4291" s="49" t="str">
        <f t="shared" si="1"/>
        <v>51290</v>
      </c>
      <c r="H4291" s="49">
        <f t="shared" si="2"/>
        <v>51551</v>
      </c>
    </row>
    <row r="4292">
      <c r="A4292" s="48" t="s">
        <v>7028</v>
      </c>
      <c r="B4292" s="38">
        <v>57491.0</v>
      </c>
      <c r="C4292" s="38" t="s">
        <v>7029</v>
      </c>
      <c r="D4292" s="38" t="str">
        <f>IFERROR(__xludf.DUMMYFUNCTION("REGEXREPLACE(C4292,""-\d+(.*)|--\d+(.*)"","""")"),"MOYEUVRE-GRANDE")</f>
        <v>MOYEUVRE-GRANDE</v>
      </c>
      <c r="E4292" s="38" t="s">
        <v>303</v>
      </c>
      <c r="F4292" s="38" t="s">
        <v>195</v>
      </c>
      <c r="G4292" s="49" t="str">
        <f t="shared" si="1"/>
        <v>57250</v>
      </c>
      <c r="H4292" s="49">
        <f t="shared" si="2"/>
        <v>57491</v>
      </c>
    </row>
    <row r="4293">
      <c r="A4293" s="48" t="s">
        <v>2340</v>
      </c>
      <c r="B4293" s="38">
        <v>21168.0</v>
      </c>
      <c r="C4293" s="38" t="s">
        <v>7030</v>
      </c>
      <c r="D4293" s="38" t="str">
        <f>IFERROR(__xludf.DUMMYFUNCTION("REGEXREPLACE(C4293,""-\d+(.*)|--\d+(.*)"","""")"),"CHEVANNAY")</f>
        <v>CHEVANNAY</v>
      </c>
      <c r="E4293" s="38" t="s">
        <v>105</v>
      </c>
      <c r="F4293" s="38" t="s">
        <v>106</v>
      </c>
      <c r="G4293" s="49" t="str">
        <f t="shared" si="1"/>
        <v>21540</v>
      </c>
      <c r="H4293" s="49">
        <f t="shared" si="2"/>
        <v>21168</v>
      </c>
    </row>
    <row r="4294">
      <c r="A4294" s="48" t="s">
        <v>987</v>
      </c>
      <c r="B4294" s="38">
        <v>40225.0</v>
      </c>
      <c r="C4294" s="38" t="s">
        <v>7031</v>
      </c>
      <c r="D4294" s="38" t="str">
        <f>IFERROR(__xludf.DUMMYFUNCTION("REGEXREPLACE(C4294,""-\d+(.*)|--\d+(.*)"","""")"),"PHILONDENX")</f>
        <v>PHILONDENX</v>
      </c>
      <c r="E4294" s="38" t="s">
        <v>281</v>
      </c>
      <c r="F4294" s="38" t="s">
        <v>252</v>
      </c>
      <c r="G4294" s="49" t="str">
        <f t="shared" si="1"/>
        <v>40320</v>
      </c>
      <c r="H4294" s="49">
        <f t="shared" si="2"/>
        <v>40225</v>
      </c>
    </row>
    <row r="4295">
      <c r="A4295" s="48" t="s">
        <v>1381</v>
      </c>
      <c r="B4295" s="38">
        <v>62347.0</v>
      </c>
      <c r="C4295" s="38" t="s">
        <v>7032</v>
      </c>
      <c r="D4295" s="38" t="str">
        <f>IFERROR(__xludf.DUMMYFUNCTION("REGEXREPLACE(C4295,""-\d+(.*)|--\d+(.*)"","""")"),"FOSSEUX")</f>
        <v>FOSSEUX</v>
      </c>
      <c r="E4295" s="38" t="s">
        <v>109</v>
      </c>
      <c r="F4295" s="38" t="s">
        <v>86</v>
      </c>
      <c r="G4295" s="49" t="str">
        <f t="shared" si="1"/>
        <v>62810</v>
      </c>
      <c r="H4295" s="49">
        <f t="shared" si="2"/>
        <v>62347</v>
      </c>
    </row>
    <row r="4296">
      <c r="A4296" s="48" t="s">
        <v>4181</v>
      </c>
      <c r="B4296" s="38">
        <v>89333.0</v>
      </c>
      <c r="C4296" s="38" t="s">
        <v>7033</v>
      </c>
      <c r="D4296" s="38" t="str">
        <f>IFERROR(__xludf.DUMMYFUNCTION("REGEXREPLACE(C4296,""-\d+(.*)|--\d+(.*)"","""")"),"SAINT-ANDRE-EN-TERRE-PLAINE")</f>
        <v>SAINT-ANDRE-EN-TERRE-PLAINE</v>
      </c>
      <c r="E4296" s="38" t="s">
        <v>275</v>
      </c>
      <c r="F4296" s="38" t="s">
        <v>106</v>
      </c>
      <c r="G4296" s="49" t="str">
        <f t="shared" si="1"/>
        <v>89420</v>
      </c>
      <c r="H4296" s="49">
        <f t="shared" si="2"/>
        <v>89333</v>
      </c>
    </row>
    <row r="4297">
      <c r="A4297" s="48" t="s">
        <v>3763</v>
      </c>
      <c r="B4297" s="38">
        <v>76063.0</v>
      </c>
      <c r="C4297" s="38" t="s">
        <v>7034</v>
      </c>
      <c r="D4297" s="38" t="str">
        <f>IFERROR(__xludf.DUMMYFUNCTION("REGEXREPLACE(C4297,""-\d+(.*)|--\d+(.*)"","""")"),"BEAUVAL-EN-CAUX")</f>
        <v>BEAUVAL-EN-CAUX</v>
      </c>
      <c r="E4297" s="38" t="s">
        <v>133</v>
      </c>
      <c r="F4297" s="38" t="s">
        <v>134</v>
      </c>
      <c r="G4297" s="49" t="str">
        <f t="shared" si="1"/>
        <v>76890</v>
      </c>
      <c r="H4297" s="49">
        <f t="shared" si="2"/>
        <v>76063</v>
      </c>
    </row>
    <row r="4298">
      <c r="A4298" s="48" t="s">
        <v>3161</v>
      </c>
      <c r="B4298" s="38">
        <v>70230.0</v>
      </c>
      <c r="C4298" s="38" t="s">
        <v>7035</v>
      </c>
      <c r="D4298" s="38" t="str">
        <f>IFERROR(__xludf.DUMMYFUNCTION("REGEXREPLACE(C4298,""-\d+(.*)|--\d+(.*)"","""")"),"FEDRY")</f>
        <v>FEDRY</v>
      </c>
      <c r="E4298" s="38" t="s">
        <v>956</v>
      </c>
      <c r="F4298" s="38" t="s">
        <v>214</v>
      </c>
      <c r="G4298" s="49" t="str">
        <f t="shared" si="1"/>
        <v>70120</v>
      </c>
      <c r="H4298" s="49">
        <f t="shared" si="2"/>
        <v>70230</v>
      </c>
    </row>
    <row r="4299">
      <c r="A4299" s="48" t="s">
        <v>5525</v>
      </c>
      <c r="B4299" s="38">
        <v>10226.0</v>
      </c>
      <c r="C4299" s="38" t="s">
        <v>7036</v>
      </c>
      <c r="D4299" s="38" t="str">
        <f>IFERROR(__xludf.DUMMYFUNCTION("REGEXREPLACE(C4299,""-\d+(.*)|--\d+(.*)"","""")"),"MAROLLES-LES-BAILLY")</f>
        <v>MAROLLES-LES-BAILLY</v>
      </c>
      <c r="E4299" s="38" t="s">
        <v>147</v>
      </c>
      <c r="F4299" s="38" t="s">
        <v>130</v>
      </c>
      <c r="G4299" s="49" t="str">
        <f t="shared" si="1"/>
        <v>10110</v>
      </c>
      <c r="H4299" s="49">
        <f t="shared" si="2"/>
        <v>10226</v>
      </c>
    </row>
    <row r="4300">
      <c r="A4300" s="48" t="s">
        <v>7037</v>
      </c>
      <c r="B4300" s="38">
        <v>34115.0</v>
      </c>
      <c r="C4300" s="38" t="s">
        <v>7038</v>
      </c>
      <c r="D4300" s="38" t="str">
        <f>IFERROR(__xludf.DUMMYFUNCTION("REGEXREPLACE(C4300,""-\d+(.*)|--\d+(.*)"","""")"),"GORNIES")</f>
        <v>GORNIES</v>
      </c>
      <c r="E4300" s="38" t="s">
        <v>118</v>
      </c>
      <c r="F4300" s="38" t="s">
        <v>119</v>
      </c>
      <c r="G4300" s="49" t="str">
        <f t="shared" si="1"/>
        <v>34190</v>
      </c>
      <c r="H4300" s="49">
        <f t="shared" si="2"/>
        <v>34115</v>
      </c>
    </row>
    <row r="4301">
      <c r="A4301" s="48" t="s">
        <v>7039</v>
      </c>
      <c r="B4301" s="38">
        <v>62589.0</v>
      </c>
      <c r="C4301" s="38" t="s">
        <v>7040</v>
      </c>
      <c r="D4301" s="38" t="str">
        <f>IFERROR(__xludf.DUMMYFUNCTION("REGEXREPLACE(C4301,""-\d+(.*)|--\d+(.*)"","""")"),"MONT-SAINT-ELOI")</f>
        <v>MONT-SAINT-ELOI</v>
      </c>
      <c r="E4301" s="38" t="s">
        <v>109</v>
      </c>
      <c r="F4301" s="38" t="s">
        <v>86</v>
      </c>
      <c r="G4301" s="49" t="str">
        <f t="shared" si="1"/>
        <v>62144</v>
      </c>
      <c r="H4301" s="49">
        <f t="shared" si="2"/>
        <v>62589</v>
      </c>
    </row>
    <row r="4302">
      <c r="A4302" s="48" t="s">
        <v>1841</v>
      </c>
      <c r="B4302" s="38">
        <v>27165.0</v>
      </c>
      <c r="C4302" s="38" t="s">
        <v>7041</v>
      </c>
      <c r="D4302" s="38" t="str">
        <f>IFERROR(__xludf.DUMMYFUNCTION("REGEXREPLACE(C4302,""-\d+(.*)|--\d+(.*)"","""")"),"CONCHES-EN-OUCHE")</f>
        <v>CONCHES-EN-OUCHE</v>
      </c>
      <c r="E4302" s="38" t="s">
        <v>241</v>
      </c>
      <c r="F4302" s="38" t="s">
        <v>134</v>
      </c>
      <c r="G4302" s="49" t="str">
        <f t="shared" si="1"/>
        <v>27190</v>
      </c>
      <c r="H4302" s="49">
        <f t="shared" si="2"/>
        <v>27165</v>
      </c>
    </row>
    <row r="4303">
      <c r="A4303" s="48" t="s">
        <v>1054</v>
      </c>
      <c r="B4303" s="38">
        <v>46122.0</v>
      </c>
      <c r="C4303" s="38" t="s">
        <v>7042</v>
      </c>
      <c r="D4303" s="38" t="str">
        <f>IFERROR(__xludf.DUMMYFUNCTION("REGEXREPLACE(C4303,""-\d+(.*)|--\d+(.*)"","""")"),"GINTRAC")</f>
        <v>GINTRAC</v>
      </c>
      <c r="E4303" s="38" t="s">
        <v>185</v>
      </c>
      <c r="F4303" s="38" t="s">
        <v>94</v>
      </c>
      <c r="G4303" s="49" t="str">
        <f t="shared" si="1"/>
        <v>46130</v>
      </c>
      <c r="H4303" s="49">
        <f t="shared" si="2"/>
        <v>46122</v>
      </c>
    </row>
    <row r="4304">
      <c r="A4304" s="48" t="s">
        <v>2288</v>
      </c>
      <c r="B4304" s="38">
        <v>81029.0</v>
      </c>
      <c r="C4304" s="38" t="s">
        <v>7043</v>
      </c>
      <c r="D4304" s="38" t="str">
        <f>IFERROR(__xludf.DUMMYFUNCTION("REGEXREPLACE(C4304,""-\d+(.*)|--\d+(.*)"","""")"),"BERNAC")</f>
        <v>BERNAC</v>
      </c>
      <c r="E4304" s="38" t="s">
        <v>231</v>
      </c>
      <c r="F4304" s="38" t="s">
        <v>94</v>
      </c>
      <c r="G4304" s="49" t="str">
        <f t="shared" si="1"/>
        <v>81150</v>
      </c>
      <c r="H4304" s="49">
        <f t="shared" si="2"/>
        <v>81029</v>
      </c>
    </row>
    <row r="4305">
      <c r="A4305" s="48" t="s">
        <v>7044</v>
      </c>
      <c r="B4305" s="38">
        <v>44183.0</v>
      </c>
      <c r="C4305" s="38" t="s">
        <v>7045</v>
      </c>
      <c r="D4305" s="38" t="str">
        <f>IFERROR(__xludf.DUMMYFUNCTION("REGEXREPLACE(C4305,""-\d+(.*)|--\d+(.*)"","""")"),"SAINT-MOLF")</f>
        <v>SAINT-MOLF</v>
      </c>
      <c r="E4305" s="38" t="s">
        <v>759</v>
      </c>
      <c r="F4305" s="38" t="s">
        <v>180</v>
      </c>
      <c r="G4305" s="49" t="str">
        <f t="shared" si="1"/>
        <v>44350</v>
      </c>
      <c r="H4305" s="49">
        <f t="shared" si="2"/>
        <v>44183</v>
      </c>
    </row>
    <row r="4306">
      <c r="A4306" s="48" t="s">
        <v>3305</v>
      </c>
      <c r="B4306" s="38">
        <v>24478.0</v>
      </c>
      <c r="C4306" s="38" t="s">
        <v>7046</v>
      </c>
      <c r="D4306" s="38" t="str">
        <f>IFERROR(__xludf.DUMMYFUNCTION("REGEXREPLACE(C4306,""-\d+(.*)|--\d+(.*)"","""")"),"SAINT-PARDOUX-ET-VIELVIC")</f>
        <v>SAINT-PARDOUX-ET-VIELVIC</v>
      </c>
      <c r="E4306" s="38" t="s">
        <v>261</v>
      </c>
      <c r="F4306" s="38" t="s">
        <v>252</v>
      </c>
      <c r="G4306" s="49" t="str">
        <f t="shared" si="1"/>
        <v>24170</v>
      </c>
      <c r="H4306" s="49">
        <f t="shared" si="2"/>
        <v>24478</v>
      </c>
    </row>
    <row r="4307">
      <c r="A4307" s="48" t="s">
        <v>3488</v>
      </c>
      <c r="B4307" s="38">
        <v>67220.0</v>
      </c>
      <c r="C4307" s="38" t="s">
        <v>7047</v>
      </c>
      <c r="D4307" s="38" t="str">
        <f>IFERROR(__xludf.DUMMYFUNCTION("REGEXREPLACE(C4307,""-\d+(.*)|--\d+(.*)"","""")"),"INGENHEIM")</f>
        <v>INGENHEIM</v>
      </c>
      <c r="E4307" s="38" t="s">
        <v>210</v>
      </c>
      <c r="F4307" s="38" t="s">
        <v>151</v>
      </c>
      <c r="G4307" s="49" t="str">
        <f t="shared" si="1"/>
        <v>67270</v>
      </c>
      <c r="H4307" s="49">
        <f t="shared" si="2"/>
        <v>67220</v>
      </c>
    </row>
    <row r="4308">
      <c r="A4308" s="48" t="s">
        <v>7048</v>
      </c>
      <c r="B4308" s="38">
        <v>71103.0</v>
      </c>
      <c r="C4308" s="38" t="s">
        <v>7049</v>
      </c>
      <c r="D4308" s="38" t="str">
        <f>IFERROR(__xludf.DUMMYFUNCTION("REGEXREPLACE(C4308,""-\d+(.*)|--\d+(.*)"","""")"),"CHARMOY")</f>
        <v>CHARMOY</v>
      </c>
      <c r="E4308" s="38" t="s">
        <v>344</v>
      </c>
      <c r="F4308" s="38" t="s">
        <v>106</v>
      </c>
      <c r="G4308" s="49" t="str">
        <f t="shared" si="1"/>
        <v>71710</v>
      </c>
      <c r="H4308" s="49">
        <f t="shared" si="2"/>
        <v>71103</v>
      </c>
    </row>
    <row r="4309">
      <c r="A4309" s="48" t="s">
        <v>1754</v>
      </c>
      <c r="B4309" s="38">
        <v>14189.0</v>
      </c>
      <c r="C4309" s="38" t="s">
        <v>7050</v>
      </c>
      <c r="D4309" s="38" t="str">
        <f>IFERROR(__xludf.DUMMYFUNCTION("REGEXREPLACE(C4309,""-\d+(.*)|--\d+(.*)"","""")"),"COUPESARTE")</f>
        <v>COUPESARTE</v>
      </c>
      <c r="E4309" s="38" t="s">
        <v>137</v>
      </c>
      <c r="F4309" s="38" t="s">
        <v>138</v>
      </c>
      <c r="G4309" s="49" t="str">
        <f t="shared" si="1"/>
        <v>14140</v>
      </c>
      <c r="H4309" s="49">
        <f t="shared" si="2"/>
        <v>14189</v>
      </c>
    </row>
    <row r="4310">
      <c r="A4310" s="48" t="s">
        <v>1989</v>
      </c>
      <c r="B4310" s="38">
        <v>60556.0</v>
      </c>
      <c r="C4310" s="38" t="s">
        <v>7051</v>
      </c>
      <c r="D4310" s="38" t="str">
        <f>IFERROR(__xludf.DUMMYFUNCTION("REGEXREPLACE(C4310,""-\d+(.*)|--\d+(.*)"","""")"),"ROYAUCOURT")</f>
        <v>ROYAUCOURT</v>
      </c>
      <c r="E4310" s="38" t="s">
        <v>112</v>
      </c>
      <c r="F4310" s="38" t="s">
        <v>113</v>
      </c>
      <c r="G4310" s="49" t="str">
        <f t="shared" si="1"/>
        <v>60420</v>
      </c>
      <c r="H4310" s="49">
        <f t="shared" si="2"/>
        <v>60556</v>
      </c>
    </row>
    <row r="4311">
      <c r="A4311" s="48" t="s">
        <v>7052</v>
      </c>
      <c r="B4311" s="38">
        <v>10339.0</v>
      </c>
      <c r="C4311" s="38" t="s">
        <v>7053</v>
      </c>
      <c r="D4311" s="38" t="str">
        <f>IFERROR(__xludf.DUMMYFUNCTION("REGEXREPLACE(C4311,""-\d+(.*)|--\d+(.*)"","""")"),"SAINT-FLAVY")</f>
        <v>SAINT-FLAVY</v>
      </c>
      <c r="E4311" s="38" t="s">
        <v>147</v>
      </c>
      <c r="F4311" s="38" t="s">
        <v>130</v>
      </c>
      <c r="G4311" s="49" t="str">
        <f t="shared" si="1"/>
        <v>10350</v>
      </c>
      <c r="H4311" s="49">
        <f t="shared" si="2"/>
        <v>10339</v>
      </c>
    </row>
    <row r="4312">
      <c r="A4312" s="48" t="s">
        <v>1307</v>
      </c>
      <c r="B4312" s="38">
        <v>43154.0</v>
      </c>
      <c r="C4312" s="38" t="s">
        <v>7054</v>
      </c>
      <c r="D4312" s="38" t="str">
        <f>IFERROR(__xludf.DUMMYFUNCTION("REGEXREPLACE(C4312,""-\d+(.*)|--\d+(.*)"","""")"),"PRADELLES")</f>
        <v>PRADELLES</v>
      </c>
      <c r="E4312" s="38" t="s">
        <v>332</v>
      </c>
      <c r="F4312" s="38" t="s">
        <v>161</v>
      </c>
      <c r="G4312" s="49" t="str">
        <f t="shared" si="1"/>
        <v>43420</v>
      </c>
      <c r="H4312" s="49">
        <f t="shared" si="2"/>
        <v>43154</v>
      </c>
    </row>
    <row r="4313">
      <c r="A4313" s="48" t="s">
        <v>3675</v>
      </c>
      <c r="B4313" s="38">
        <v>58169.0</v>
      </c>
      <c r="C4313" s="38" t="s">
        <v>7055</v>
      </c>
      <c r="D4313" s="38" t="str">
        <f>IFERROR(__xludf.DUMMYFUNCTION("REGEXREPLACE(C4313,""-\d+(.*)|--\d+(.*)"","""")"),"MOISSY-MOULINOT")</f>
        <v>MOISSY-MOULINOT</v>
      </c>
      <c r="E4313" s="38" t="s">
        <v>219</v>
      </c>
      <c r="F4313" s="38" t="s">
        <v>106</v>
      </c>
      <c r="G4313" s="49" t="str">
        <f t="shared" si="1"/>
        <v>58190</v>
      </c>
      <c r="H4313" s="49">
        <f t="shared" si="2"/>
        <v>58169</v>
      </c>
    </row>
    <row r="4314">
      <c r="A4314" s="48" t="s">
        <v>4969</v>
      </c>
      <c r="B4314" s="38">
        <v>14390.0</v>
      </c>
      <c r="C4314" s="38" t="s">
        <v>7056</v>
      </c>
      <c r="D4314" s="38" t="str">
        <f>IFERROR(__xludf.DUMMYFUNCTION("REGEXREPLACE(C4314,""-\d+(.*)|--\d+(.*)"","""")"),"MAISONCELLES-SUR-AJON")</f>
        <v>MAISONCELLES-SUR-AJON</v>
      </c>
      <c r="E4314" s="38" t="s">
        <v>137</v>
      </c>
      <c r="F4314" s="38" t="s">
        <v>138</v>
      </c>
      <c r="G4314" s="49" t="str">
        <f t="shared" si="1"/>
        <v>14210</v>
      </c>
      <c r="H4314" s="49">
        <f t="shared" si="2"/>
        <v>14390</v>
      </c>
    </row>
    <row r="4315">
      <c r="A4315" s="48" t="s">
        <v>7057</v>
      </c>
      <c r="B4315" s="38">
        <v>18223.0</v>
      </c>
      <c r="C4315" s="38" t="s">
        <v>7058</v>
      </c>
      <c r="D4315" s="38" t="str">
        <f>IFERROR(__xludf.DUMMYFUNCTION("REGEXREPLACE(C4315,""-\d+(.*)|--\d+(.*)"","""")"),"SAINT-MARTIN-D'AUXIGNY")</f>
        <v>SAINT-MARTIN-D'AUXIGNY</v>
      </c>
      <c r="E4315" s="38" t="s">
        <v>504</v>
      </c>
      <c r="F4315" s="38" t="s">
        <v>123</v>
      </c>
      <c r="G4315" s="49" t="str">
        <f t="shared" si="1"/>
        <v>18110</v>
      </c>
      <c r="H4315" s="49">
        <f t="shared" si="2"/>
        <v>18223</v>
      </c>
    </row>
    <row r="4316">
      <c r="A4316" s="48" t="s">
        <v>7059</v>
      </c>
      <c r="B4316" s="38">
        <v>35295.0</v>
      </c>
      <c r="C4316" s="38" t="s">
        <v>7060</v>
      </c>
      <c r="D4316" s="38" t="str">
        <f>IFERROR(__xludf.DUMMYFUNCTION("REGEXREPLACE(C4316,""-\d+(.*)|--\d+(.*)"","""")"),"SAINT-MAUGAN")</f>
        <v>SAINT-MAUGAN</v>
      </c>
      <c r="E4316" s="38" t="s">
        <v>347</v>
      </c>
      <c r="F4316" s="38" t="s">
        <v>90</v>
      </c>
      <c r="G4316" s="49" t="str">
        <f t="shared" si="1"/>
        <v>35750</v>
      </c>
      <c r="H4316" s="49">
        <f t="shared" si="2"/>
        <v>35295</v>
      </c>
    </row>
    <row r="4317">
      <c r="A4317" s="48" t="s">
        <v>7061</v>
      </c>
      <c r="B4317" s="38">
        <v>60688.0</v>
      </c>
      <c r="C4317" s="38" t="s">
        <v>7062</v>
      </c>
      <c r="D4317" s="38" t="str">
        <f>IFERROR(__xludf.DUMMYFUNCTION("REGEXREPLACE(C4317,""-\d+(.*)|--\d+(.*)"","""")"),"VILLERS-SUR-BONNIERES")</f>
        <v>VILLERS-SUR-BONNIERES</v>
      </c>
      <c r="E4317" s="38" t="s">
        <v>112</v>
      </c>
      <c r="F4317" s="38" t="s">
        <v>113</v>
      </c>
      <c r="G4317" s="49" t="str">
        <f t="shared" si="1"/>
        <v>60860</v>
      </c>
      <c r="H4317" s="49">
        <f t="shared" si="2"/>
        <v>60688</v>
      </c>
    </row>
    <row r="4318">
      <c r="A4318" s="48" t="s">
        <v>4953</v>
      </c>
      <c r="B4318" s="38">
        <v>95054.0</v>
      </c>
      <c r="C4318" s="38" t="s">
        <v>7063</v>
      </c>
      <c r="D4318" s="38" t="str">
        <f>IFERROR(__xludf.DUMMYFUNCTION("REGEXREPLACE(C4318,""-\d+(.*)|--\d+(.*)"","""")"),"LE BELLAY-EN-VEXIN")</f>
        <v>LE BELLAY-EN-VEXIN</v>
      </c>
      <c r="E4318" s="38" t="s">
        <v>541</v>
      </c>
      <c r="F4318" s="38" t="s">
        <v>245</v>
      </c>
      <c r="G4318" s="49" t="str">
        <f t="shared" si="1"/>
        <v>95750</v>
      </c>
      <c r="H4318" s="49">
        <f t="shared" si="2"/>
        <v>95054</v>
      </c>
    </row>
    <row r="4319">
      <c r="A4319" s="48" t="s">
        <v>1048</v>
      </c>
      <c r="B4319" s="38">
        <v>24570.0</v>
      </c>
      <c r="C4319" s="38" t="s">
        <v>7064</v>
      </c>
      <c r="D4319" s="38" t="str">
        <f>IFERROR(__xludf.DUMMYFUNCTION("REGEXREPLACE(C4319,""-\d+(.*)|--\d+(.*)"","""")"),"VERDON")</f>
        <v>VERDON</v>
      </c>
      <c r="E4319" s="38" t="s">
        <v>261</v>
      </c>
      <c r="F4319" s="38" t="s">
        <v>252</v>
      </c>
      <c r="G4319" s="49" t="str">
        <f t="shared" si="1"/>
        <v>24520</v>
      </c>
      <c r="H4319" s="49">
        <f t="shared" si="2"/>
        <v>24570</v>
      </c>
    </row>
    <row r="4320">
      <c r="A4320" s="48" t="s">
        <v>7065</v>
      </c>
      <c r="B4320" s="38">
        <v>3143.0</v>
      </c>
      <c r="C4320" s="38" t="s">
        <v>7066</v>
      </c>
      <c r="D4320" s="38" t="str">
        <f>IFERROR(__xludf.DUMMYFUNCTION("REGEXREPLACE(C4320,""-\d+(.*)|--\d+(.*)"","""")"),"LETELON")</f>
        <v>LETELON</v>
      </c>
      <c r="E4320" s="38" t="s">
        <v>160</v>
      </c>
      <c r="F4320" s="38" t="s">
        <v>161</v>
      </c>
      <c r="G4320" s="49" t="str">
        <f t="shared" si="1"/>
        <v>03360</v>
      </c>
      <c r="H4320" s="49" t="str">
        <f t="shared" si="2"/>
        <v>03143</v>
      </c>
    </row>
    <row r="4321">
      <c r="A4321" s="48" t="s">
        <v>2705</v>
      </c>
      <c r="B4321" s="38">
        <v>77220.0</v>
      </c>
      <c r="C4321" s="38" t="s">
        <v>7067</v>
      </c>
      <c r="D4321" s="38" t="str">
        <f>IFERROR(__xludf.DUMMYFUNCTION("REGEXREPLACE(C4321,""-\d+(.*)|--\d+(.*)"","""")"),"GUERCHEVILLE")</f>
        <v>GUERCHEVILLE</v>
      </c>
      <c r="E4321" s="38" t="s">
        <v>244</v>
      </c>
      <c r="F4321" s="38" t="s">
        <v>245</v>
      </c>
      <c r="G4321" s="49" t="str">
        <f t="shared" si="1"/>
        <v>77760</v>
      </c>
      <c r="H4321" s="49">
        <f t="shared" si="2"/>
        <v>77220</v>
      </c>
    </row>
    <row r="4322">
      <c r="A4322" s="48" t="s">
        <v>7068</v>
      </c>
      <c r="B4322" s="38">
        <v>95500.0</v>
      </c>
      <c r="C4322" s="38" t="s">
        <v>7069</v>
      </c>
      <c r="D4322" s="38" t="str">
        <f>IFERROR(__xludf.DUMMYFUNCTION("REGEXREPLACE(C4322,""-\d+(.*)|--\d+(.*)"","""")"),"PONTOISE")</f>
        <v>PONTOISE</v>
      </c>
      <c r="E4322" s="38" t="s">
        <v>541</v>
      </c>
      <c r="F4322" s="38" t="s">
        <v>245</v>
      </c>
      <c r="G4322" s="49" t="str">
        <f t="shared" si="1"/>
        <v>95000/95300</v>
      </c>
      <c r="H4322" s="49">
        <f t="shared" si="2"/>
        <v>95500</v>
      </c>
    </row>
    <row r="4323">
      <c r="A4323" s="48" t="s">
        <v>3821</v>
      </c>
      <c r="B4323" s="38">
        <v>57717.0</v>
      </c>
      <c r="C4323" s="38" t="s">
        <v>7070</v>
      </c>
      <c r="D4323" s="38" t="str">
        <f>IFERROR(__xludf.DUMMYFUNCTION("REGEXREPLACE(C4323,""-\d+(.*)|--\d+(.*)"","""")"),"VILLER")</f>
        <v>VILLER</v>
      </c>
      <c r="E4323" s="38" t="s">
        <v>303</v>
      </c>
      <c r="F4323" s="38" t="s">
        <v>195</v>
      </c>
      <c r="G4323" s="49" t="str">
        <f t="shared" si="1"/>
        <v>57340</v>
      </c>
      <c r="H4323" s="49">
        <f t="shared" si="2"/>
        <v>57717</v>
      </c>
    </row>
    <row r="4324">
      <c r="A4324" s="48" t="s">
        <v>2326</v>
      </c>
      <c r="B4324" s="38">
        <v>54502.0</v>
      </c>
      <c r="C4324" s="38" t="s">
        <v>6493</v>
      </c>
      <c r="D4324" s="38" t="str">
        <f>IFERROR(__xludf.DUMMYFUNCTION("REGEXREPLACE(C4324,""-\d+(.*)|--\d+(.*)"","""")"),"SERRES")</f>
        <v>SERRES</v>
      </c>
      <c r="E4324" s="38" t="s">
        <v>548</v>
      </c>
      <c r="F4324" s="38" t="s">
        <v>195</v>
      </c>
      <c r="G4324" s="49" t="str">
        <f t="shared" si="1"/>
        <v>54370</v>
      </c>
      <c r="H4324" s="49">
        <f t="shared" si="2"/>
        <v>54502</v>
      </c>
    </row>
    <row r="4325">
      <c r="A4325" s="48" t="s">
        <v>7071</v>
      </c>
      <c r="B4325" s="38">
        <v>59620.0</v>
      </c>
      <c r="C4325" s="38" t="s">
        <v>7072</v>
      </c>
      <c r="D4325" s="38" t="str">
        <f>IFERROR(__xludf.DUMMYFUNCTION("REGEXREPLACE(C4325,""-\d+(.*)|--\d+(.*)"","""")"),"VILLERS-AU-TERTRE")</f>
        <v>VILLERS-AU-TERTRE</v>
      </c>
      <c r="E4325" s="38" t="s">
        <v>85</v>
      </c>
      <c r="F4325" s="38" t="s">
        <v>86</v>
      </c>
      <c r="G4325" s="49" t="str">
        <f t="shared" si="1"/>
        <v>59234</v>
      </c>
      <c r="H4325" s="49">
        <f t="shared" si="2"/>
        <v>59620</v>
      </c>
    </row>
    <row r="4326">
      <c r="A4326" s="48" t="s">
        <v>7073</v>
      </c>
      <c r="B4326" s="38">
        <v>38250.0</v>
      </c>
      <c r="C4326" s="38" t="s">
        <v>7074</v>
      </c>
      <c r="D4326" s="38" t="str">
        <f>IFERROR(__xludf.DUMMYFUNCTION("REGEXREPLACE(C4326,""-\d+(.*)|--\d+(.*)"","""")"),"MONTCARRA")</f>
        <v>MONTCARRA</v>
      </c>
      <c r="E4326" s="38" t="s">
        <v>101</v>
      </c>
      <c r="F4326" s="38" t="s">
        <v>102</v>
      </c>
      <c r="G4326" s="49" t="str">
        <f t="shared" si="1"/>
        <v>38890</v>
      </c>
      <c r="H4326" s="49">
        <f t="shared" si="2"/>
        <v>38250</v>
      </c>
    </row>
    <row r="4327">
      <c r="A4327" s="48" t="s">
        <v>7075</v>
      </c>
      <c r="B4327" s="38">
        <v>27548.0</v>
      </c>
      <c r="C4327" s="38" t="s">
        <v>7076</v>
      </c>
      <c r="D4327" s="38" t="str">
        <f>IFERROR(__xludf.DUMMYFUNCTION("REGEXREPLACE(C4327,""-\d+(.*)|--\d+(.*)"","""")"),"SAINT-GERMAIN-SUR-AVRE")</f>
        <v>SAINT-GERMAIN-SUR-AVRE</v>
      </c>
      <c r="E4327" s="38" t="s">
        <v>241</v>
      </c>
      <c r="F4327" s="38" t="s">
        <v>134</v>
      </c>
      <c r="G4327" s="49" t="str">
        <f t="shared" si="1"/>
        <v>27320</v>
      </c>
      <c r="H4327" s="49">
        <f t="shared" si="2"/>
        <v>27548</v>
      </c>
    </row>
    <row r="4328">
      <c r="A4328" s="48" t="s">
        <v>5996</v>
      </c>
      <c r="B4328" s="38">
        <v>67475.0</v>
      </c>
      <c r="C4328" s="38" t="s">
        <v>7077</v>
      </c>
      <c r="D4328" s="38" t="str">
        <f>IFERROR(__xludf.DUMMYFUNCTION("REGEXREPLACE(C4328,""-\d+(.*)|--\d+(.*)"","""")"),"SPARSBACH")</f>
        <v>SPARSBACH</v>
      </c>
      <c r="E4328" s="38" t="s">
        <v>210</v>
      </c>
      <c r="F4328" s="38" t="s">
        <v>151</v>
      </c>
      <c r="G4328" s="49" t="str">
        <f t="shared" si="1"/>
        <v>67340</v>
      </c>
      <c r="H4328" s="49">
        <f t="shared" si="2"/>
        <v>67475</v>
      </c>
    </row>
    <row r="4329">
      <c r="A4329" s="48" t="s">
        <v>7078</v>
      </c>
      <c r="B4329" s="38">
        <v>7154.0</v>
      </c>
      <c r="C4329" s="38" t="s">
        <v>7079</v>
      </c>
      <c r="D4329" s="38" t="str">
        <f>IFERROR(__xludf.DUMMYFUNCTION("REGEXREPLACE(C4329,""-\d+(.*)|--\d+(.*)"","""")"),"MAZAN-L'ABBAYE")</f>
        <v>MAZAN-L'ABBAYE</v>
      </c>
      <c r="E4329" s="38" t="s">
        <v>144</v>
      </c>
      <c r="F4329" s="38" t="s">
        <v>102</v>
      </c>
      <c r="G4329" s="49" t="str">
        <f t="shared" si="1"/>
        <v>07510</v>
      </c>
      <c r="H4329" s="49" t="str">
        <f t="shared" si="2"/>
        <v>07154</v>
      </c>
    </row>
    <row r="4330">
      <c r="A4330" s="48" t="s">
        <v>7080</v>
      </c>
      <c r="B4330" s="38">
        <v>86116.0</v>
      </c>
      <c r="C4330" s="38" t="s">
        <v>7081</v>
      </c>
      <c r="D4330" s="38" t="str">
        <f>IFERROR(__xludf.DUMMYFUNCTION("REGEXREPLACE(C4330,""-\d+(.*)|--\d+(.*)"","""")"),"JAZENEUIL")</f>
        <v>JAZENEUIL</v>
      </c>
      <c r="E4330" s="38" t="s">
        <v>529</v>
      </c>
      <c r="F4330" s="38" t="s">
        <v>338</v>
      </c>
      <c r="G4330" s="49" t="str">
        <f t="shared" si="1"/>
        <v>86600</v>
      </c>
      <c r="H4330" s="49">
        <f t="shared" si="2"/>
        <v>86116</v>
      </c>
    </row>
    <row r="4331">
      <c r="A4331" s="48" t="s">
        <v>7082</v>
      </c>
      <c r="B4331" s="38">
        <v>79218.0</v>
      </c>
      <c r="C4331" s="38" t="s">
        <v>7083</v>
      </c>
      <c r="D4331" s="38" t="str">
        <f>IFERROR(__xludf.DUMMYFUNCTION("REGEXREPLACE(C4331,""-\d+(.*)|--\d+(.*)"","""")"),"PRESSIGNY")</f>
        <v>PRESSIGNY</v>
      </c>
      <c r="E4331" s="38" t="s">
        <v>337</v>
      </c>
      <c r="F4331" s="38" t="s">
        <v>338</v>
      </c>
      <c r="G4331" s="49" t="str">
        <f t="shared" si="1"/>
        <v>79390</v>
      </c>
      <c r="H4331" s="49">
        <f t="shared" si="2"/>
        <v>79218</v>
      </c>
    </row>
    <row r="4332">
      <c r="A4332" s="48" t="s">
        <v>7084</v>
      </c>
      <c r="B4332" s="38">
        <v>45210.0</v>
      </c>
      <c r="C4332" s="38" t="s">
        <v>7085</v>
      </c>
      <c r="D4332" s="38" t="str">
        <f>IFERROR(__xludf.DUMMYFUNCTION("REGEXREPLACE(C4332,""-\d+(.*)|--\d+(.*)"","""")"),"MONTBOUY")</f>
        <v>MONTBOUY</v>
      </c>
      <c r="E4332" s="38" t="s">
        <v>122</v>
      </c>
      <c r="F4332" s="38" t="s">
        <v>123</v>
      </c>
      <c r="G4332" s="49" t="str">
        <f t="shared" si="1"/>
        <v>45230</v>
      </c>
      <c r="H4332" s="49">
        <f t="shared" si="2"/>
        <v>45210</v>
      </c>
    </row>
    <row r="4333">
      <c r="A4333" s="48" t="s">
        <v>7086</v>
      </c>
      <c r="B4333" s="38">
        <v>57283.0</v>
      </c>
      <c r="C4333" s="38" t="s">
        <v>7087</v>
      </c>
      <c r="D4333" s="38" t="str">
        <f>IFERROR(__xludf.DUMMYFUNCTION("REGEXREPLACE(C4333,""-\d+(.*)|--\d+(.*)"","""")"),"HAGONDANGE")</f>
        <v>HAGONDANGE</v>
      </c>
      <c r="E4333" s="38" t="s">
        <v>303</v>
      </c>
      <c r="F4333" s="38" t="s">
        <v>195</v>
      </c>
      <c r="G4333" s="49" t="str">
        <f t="shared" si="1"/>
        <v>57300</v>
      </c>
      <c r="H4333" s="49">
        <f t="shared" si="2"/>
        <v>57283</v>
      </c>
    </row>
    <row r="4334">
      <c r="A4334" s="48" t="s">
        <v>2393</v>
      </c>
      <c r="B4334" s="38">
        <v>38559.0</v>
      </c>
      <c r="C4334" s="38" t="s">
        <v>7088</v>
      </c>
      <c r="D4334" s="38" t="str">
        <f>IFERROR(__xludf.DUMMYFUNCTION("REGEXREPLACE(C4334,""-\d+(.*)|--\d+(.*)"","""")"),"VINAY")</f>
        <v>VINAY</v>
      </c>
      <c r="E4334" s="38" t="s">
        <v>101</v>
      </c>
      <c r="F4334" s="38" t="s">
        <v>102</v>
      </c>
      <c r="G4334" s="49" t="str">
        <f t="shared" si="1"/>
        <v>38470</v>
      </c>
      <c r="H4334" s="49">
        <f t="shared" si="2"/>
        <v>38559</v>
      </c>
    </row>
    <row r="4335">
      <c r="A4335" s="48" t="s">
        <v>5398</v>
      </c>
      <c r="B4335" s="38">
        <v>64173.0</v>
      </c>
      <c r="C4335" s="38" t="s">
        <v>7089</v>
      </c>
      <c r="D4335" s="38" t="str">
        <f>IFERROR(__xludf.DUMMYFUNCTION("REGEXREPLACE(C4335,""-\d+(.*)|--\d+(.*)"","""")"),"CASTEIDE-DOAT")</f>
        <v>CASTEIDE-DOAT</v>
      </c>
      <c r="E4335" s="38" t="s">
        <v>268</v>
      </c>
      <c r="F4335" s="38" t="s">
        <v>252</v>
      </c>
      <c r="G4335" s="49" t="str">
        <f t="shared" si="1"/>
        <v>64460</v>
      </c>
      <c r="H4335" s="49">
        <f t="shared" si="2"/>
        <v>64173</v>
      </c>
    </row>
    <row r="4336">
      <c r="A4336" s="48" t="s">
        <v>1214</v>
      </c>
      <c r="B4336" s="38">
        <v>56213.0</v>
      </c>
      <c r="C4336" s="38" t="s">
        <v>7090</v>
      </c>
      <c r="D4336" s="38" t="str">
        <f>IFERROR(__xludf.DUMMYFUNCTION("REGEXREPLACE(C4336,""-\d+(.*)|--\d+(.*)"","""")"),"SAINT-GERAND")</f>
        <v>SAINT-GERAND</v>
      </c>
      <c r="E4336" s="38" t="s">
        <v>173</v>
      </c>
      <c r="F4336" s="38" t="s">
        <v>90</v>
      </c>
      <c r="G4336" s="49" t="str">
        <f t="shared" si="1"/>
        <v>56920</v>
      </c>
      <c r="H4336" s="49">
        <f t="shared" si="2"/>
        <v>56213</v>
      </c>
    </row>
    <row r="4337">
      <c r="A4337" s="48" t="s">
        <v>658</v>
      </c>
      <c r="B4337" s="38">
        <v>62165.0</v>
      </c>
      <c r="C4337" s="38" t="s">
        <v>7091</v>
      </c>
      <c r="D4337" s="38" t="str">
        <f>IFERROR(__xludf.DUMMYFUNCTION("REGEXREPLACE(C4337,""-\d+(.*)|--\d+(.*)"","""")"),"BOURNONVILLE")</f>
        <v>BOURNONVILLE</v>
      </c>
      <c r="E4337" s="38" t="s">
        <v>109</v>
      </c>
      <c r="F4337" s="38" t="s">
        <v>86</v>
      </c>
      <c r="G4337" s="49" t="str">
        <f t="shared" si="1"/>
        <v>62240</v>
      </c>
      <c r="H4337" s="49">
        <f t="shared" si="2"/>
        <v>62165</v>
      </c>
    </row>
    <row r="4338">
      <c r="A4338" s="48" t="s">
        <v>612</v>
      </c>
      <c r="B4338" s="38">
        <v>69046.0</v>
      </c>
      <c r="C4338" s="38" t="s">
        <v>7092</v>
      </c>
      <c r="D4338" s="38" t="str">
        <f>IFERROR(__xludf.DUMMYFUNCTION("REGEXREPLACE(C4338,""-\d+(.*)|--\d+(.*)"","""")"),"CHARLY")</f>
        <v>CHARLY</v>
      </c>
      <c r="E4338" s="38" t="s">
        <v>350</v>
      </c>
      <c r="F4338" s="38" t="s">
        <v>102</v>
      </c>
      <c r="G4338" s="49" t="str">
        <f t="shared" si="1"/>
        <v>69390</v>
      </c>
      <c r="H4338" s="49">
        <f t="shared" si="2"/>
        <v>69046</v>
      </c>
    </row>
    <row r="4339">
      <c r="A4339" s="48" t="s">
        <v>6672</v>
      </c>
      <c r="B4339" s="38">
        <v>17329.0</v>
      </c>
      <c r="C4339" s="38" t="s">
        <v>7093</v>
      </c>
      <c r="D4339" s="38" t="str">
        <f>IFERROR(__xludf.DUMMYFUNCTION("REGEXREPLACE(C4339,""-\d+(.*)|--\d+(.*)"","""")"),"SAINT-FROULT")</f>
        <v>SAINT-FROULT</v>
      </c>
      <c r="E4339" s="38" t="s">
        <v>488</v>
      </c>
      <c r="F4339" s="38" t="s">
        <v>338</v>
      </c>
      <c r="G4339" s="49" t="str">
        <f t="shared" si="1"/>
        <v>17780</v>
      </c>
      <c r="H4339" s="49">
        <f t="shared" si="2"/>
        <v>17329</v>
      </c>
    </row>
    <row r="4340">
      <c r="A4340" s="48" t="s">
        <v>643</v>
      </c>
      <c r="B4340" s="38">
        <v>88038.0</v>
      </c>
      <c r="C4340" s="38" t="s">
        <v>7094</v>
      </c>
      <c r="D4340" s="38" t="str">
        <f>IFERROR(__xludf.DUMMYFUNCTION("REGEXREPLACE(C4340,""-\d+(.*)|--\d+(.*)"","""")"),"BATTEXEY")</f>
        <v>BATTEXEY</v>
      </c>
      <c r="E4340" s="38" t="s">
        <v>194</v>
      </c>
      <c r="F4340" s="38" t="s">
        <v>195</v>
      </c>
      <c r="G4340" s="49" t="str">
        <f t="shared" si="1"/>
        <v>88130</v>
      </c>
      <c r="H4340" s="49">
        <f t="shared" si="2"/>
        <v>88038</v>
      </c>
    </row>
    <row r="4341">
      <c r="A4341" s="48" t="s">
        <v>3422</v>
      </c>
      <c r="B4341" s="38">
        <v>32069.0</v>
      </c>
      <c r="C4341" s="38" t="s">
        <v>7095</v>
      </c>
      <c r="D4341" s="38" t="str">
        <f>IFERROR(__xludf.DUMMYFUNCTION("REGEXREPLACE(C4341,""-\d+(.*)|--\d+(.*)"","""")"),"CADEILLAN")</f>
        <v>CADEILLAN</v>
      </c>
      <c r="E4341" s="38" t="s">
        <v>440</v>
      </c>
      <c r="F4341" s="38" t="s">
        <v>94</v>
      </c>
      <c r="G4341" s="49" t="str">
        <f t="shared" si="1"/>
        <v>32220</v>
      </c>
      <c r="H4341" s="49">
        <f t="shared" si="2"/>
        <v>32069</v>
      </c>
    </row>
    <row r="4342">
      <c r="A4342" s="48" t="s">
        <v>5174</v>
      </c>
      <c r="B4342" s="38">
        <v>82081.0</v>
      </c>
      <c r="C4342" s="38" t="s">
        <v>7096</v>
      </c>
      <c r="D4342" s="38" t="str">
        <f>IFERROR(__xludf.DUMMYFUNCTION("REGEXREPLACE(C4342,""-\d+(.*)|--\d+(.*)"","""")"),"LABOURGADE")</f>
        <v>LABOURGADE</v>
      </c>
      <c r="E4342" s="38" t="s">
        <v>570</v>
      </c>
      <c r="F4342" s="38" t="s">
        <v>94</v>
      </c>
      <c r="G4342" s="49" t="str">
        <f t="shared" si="1"/>
        <v>82100</v>
      </c>
      <c r="H4342" s="49">
        <f t="shared" si="2"/>
        <v>82081</v>
      </c>
    </row>
    <row r="4343">
      <c r="A4343" s="48" t="s">
        <v>7097</v>
      </c>
      <c r="B4343" s="38">
        <v>10321.0</v>
      </c>
      <c r="C4343" s="38" t="s">
        <v>7098</v>
      </c>
      <c r="D4343" s="38" t="str">
        <f>IFERROR(__xludf.DUMMYFUNCTION("REGEXREPLACE(C4343,""-\d+(.*)|--\d+(.*)"","""")"),"LA RIVIERE-DE-CORPS")</f>
        <v>LA RIVIERE-DE-CORPS</v>
      </c>
      <c r="E4343" s="38" t="s">
        <v>147</v>
      </c>
      <c r="F4343" s="38" t="s">
        <v>130</v>
      </c>
      <c r="G4343" s="49" t="str">
        <f t="shared" si="1"/>
        <v>10440</v>
      </c>
      <c r="H4343" s="49">
        <f t="shared" si="2"/>
        <v>10321</v>
      </c>
    </row>
    <row r="4344">
      <c r="A4344" s="48" t="s">
        <v>7099</v>
      </c>
      <c r="B4344" s="38">
        <v>42044.0</v>
      </c>
      <c r="C4344" s="38" t="s">
        <v>7100</v>
      </c>
      <c r="D4344" s="38" t="str">
        <f>IFERROR(__xludf.DUMMYFUNCTION("REGEXREPLACE(C4344,""-\d+(.*)|--\d+(.*)"","""")"),"LE CHAMBON-FEUGEROLLES")</f>
        <v>LE CHAMBON-FEUGEROLLES</v>
      </c>
      <c r="E4344" s="38" t="s">
        <v>166</v>
      </c>
      <c r="F4344" s="38" t="s">
        <v>102</v>
      </c>
      <c r="G4344" s="49" t="str">
        <f t="shared" si="1"/>
        <v>42500</v>
      </c>
      <c r="H4344" s="49">
        <f t="shared" si="2"/>
        <v>42044</v>
      </c>
    </row>
    <row r="4345">
      <c r="A4345" s="48" t="s">
        <v>3434</v>
      </c>
      <c r="B4345" s="38">
        <v>11208.0</v>
      </c>
      <c r="C4345" s="38" t="s">
        <v>7101</v>
      </c>
      <c r="D4345" s="38" t="str">
        <f>IFERROR(__xludf.DUMMYFUNCTION("REGEXREPLACE(C4345,""-\d+(.*)|--\d+(.*)"","""")"),"LA LOUVIERE-LAURAGAIS")</f>
        <v>LA LOUVIERE-LAURAGAIS</v>
      </c>
      <c r="E4345" s="38" t="s">
        <v>278</v>
      </c>
      <c r="F4345" s="38" t="s">
        <v>119</v>
      </c>
      <c r="G4345" s="49" t="str">
        <f t="shared" si="1"/>
        <v>11410</v>
      </c>
      <c r="H4345" s="49">
        <f t="shared" si="2"/>
        <v>11208</v>
      </c>
    </row>
    <row r="4346">
      <c r="A4346" s="48" t="s">
        <v>5221</v>
      </c>
      <c r="B4346" s="38">
        <v>56057.0</v>
      </c>
      <c r="C4346" s="38" t="s">
        <v>7102</v>
      </c>
      <c r="D4346" s="38" t="str">
        <f>IFERROR(__xludf.DUMMYFUNCTION("REGEXREPLACE(C4346,""-\d+(.*)|--\d+(.*)"","""")"),"LE FAOUET")</f>
        <v>LE FAOUET</v>
      </c>
      <c r="E4346" s="38" t="s">
        <v>173</v>
      </c>
      <c r="F4346" s="38" t="s">
        <v>90</v>
      </c>
      <c r="G4346" s="49" t="str">
        <f t="shared" si="1"/>
        <v>56320</v>
      </c>
      <c r="H4346" s="49">
        <f t="shared" si="2"/>
        <v>56057</v>
      </c>
    </row>
    <row r="4347">
      <c r="A4347" s="48" t="s">
        <v>2016</v>
      </c>
      <c r="B4347" s="38">
        <v>50313.0</v>
      </c>
      <c r="C4347" s="38" t="s">
        <v>7103</v>
      </c>
      <c r="D4347" s="38" t="str">
        <f>IFERROR(__xludf.DUMMYFUNCTION("REGEXREPLACE(C4347,""-\d+(.*)|--\d+(.*)"","""")"),"LE MESNIL-HERMAN")</f>
        <v>LE MESNIL-HERMAN</v>
      </c>
      <c r="E4347" s="38" t="s">
        <v>157</v>
      </c>
      <c r="F4347" s="38" t="s">
        <v>138</v>
      </c>
      <c r="G4347" s="49" t="str">
        <f t="shared" si="1"/>
        <v>50750</v>
      </c>
      <c r="H4347" s="49">
        <f t="shared" si="2"/>
        <v>50313</v>
      </c>
    </row>
    <row r="4348">
      <c r="A4348" s="48" t="s">
        <v>7104</v>
      </c>
      <c r="B4348" s="38">
        <v>86046.0</v>
      </c>
      <c r="C4348" s="38" t="s">
        <v>7105</v>
      </c>
      <c r="D4348" s="38" t="str">
        <f>IFERROR(__xludf.DUMMYFUNCTION("REGEXREPLACE(C4348,""-\d+(.*)|--\d+(.*)"","""")"),"CENON-SUR-VIENNE")</f>
        <v>CENON-SUR-VIENNE</v>
      </c>
      <c r="E4348" s="38" t="s">
        <v>529</v>
      </c>
      <c r="F4348" s="38" t="s">
        <v>338</v>
      </c>
      <c r="G4348" s="49" t="str">
        <f t="shared" si="1"/>
        <v>86530</v>
      </c>
      <c r="H4348" s="49">
        <f t="shared" si="2"/>
        <v>86046</v>
      </c>
    </row>
    <row r="4349">
      <c r="A4349" s="48" t="s">
        <v>4173</v>
      </c>
      <c r="B4349" s="38">
        <v>25076.0</v>
      </c>
      <c r="C4349" s="38" t="s">
        <v>7106</v>
      </c>
      <c r="D4349" s="38" t="str">
        <f>IFERROR(__xludf.DUMMYFUNCTION("REGEXREPLACE(C4349,""-\d+(.*)|--\d+(.*)"","""")"),"BONNEVAUX-LE-PRIEURE")</f>
        <v>BONNEVAUX-LE-PRIEURE</v>
      </c>
      <c r="E4349" s="38" t="s">
        <v>213</v>
      </c>
      <c r="F4349" s="38" t="s">
        <v>214</v>
      </c>
      <c r="G4349" s="49" t="str">
        <f t="shared" si="1"/>
        <v>25620</v>
      </c>
      <c r="H4349" s="49">
        <f t="shared" si="2"/>
        <v>25076</v>
      </c>
    </row>
    <row r="4350">
      <c r="A4350" s="48" t="s">
        <v>7107</v>
      </c>
      <c r="B4350" s="38">
        <v>10384.0</v>
      </c>
      <c r="C4350" s="38" t="s">
        <v>7108</v>
      </c>
      <c r="D4350" s="38" t="str">
        <f>IFERROR(__xludf.DUMMYFUNCTION("REGEXREPLACE(C4350,""-\d+(.*)|--\d+(.*)"","""")"),"TRANNES")</f>
        <v>TRANNES</v>
      </c>
      <c r="E4350" s="38" t="s">
        <v>147</v>
      </c>
      <c r="F4350" s="38" t="s">
        <v>130</v>
      </c>
      <c r="G4350" s="49" t="str">
        <f t="shared" si="1"/>
        <v>10140</v>
      </c>
      <c r="H4350" s="49">
        <f t="shared" si="2"/>
        <v>10384</v>
      </c>
    </row>
    <row r="4351">
      <c r="A4351" s="48" t="s">
        <v>1621</v>
      </c>
      <c r="B4351" s="38">
        <v>64463.0</v>
      </c>
      <c r="C4351" s="38" t="s">
        <v>7109</v>
      </c>
      <c r="D4351" s="38" t="str">
        <f>IFERROR(__xludf.DUMMYFUNCTION("REGEXREPLACE(C4351,""-\d+(.*)|--\d+(.*)"","""")"),"REBENACQ")</f>
        <v>REBENACQ</v>
      </c>
      <c r="E4351" s="38" t="s">
        <v>268</v>
      </c>
      <c r="F4351" s="38" t="s">
        <v>252</v>
      </c>
      <c r="G4351" s="49" t="str">
        <f t="shared" si="1"/>
        <v>64260</v>
      </c>
      <c r="H4351" s="49">
        <f t="shared" si="2"/>
        <v>64463</v>
      </c>
    </row>
    <row r="4352">
      <c r="A4352" s="48" t="s">
        <v>7110</v>
      </c>
      <c r="B4352" s="38">
        <v>37261.0</v>
      </c>
      <c r="C4352" s="38" t="s">
        <v>7111</v>
      </c>
      <c r="D4352" s="38" t="str">
        <f>IFERROR(__xludf.DUMMYFUNCTION("REGEXREPLACE(C4352,""-\d+(.*)|--\d+(.*)"","""")"),"TOURS")</f>
        <v>TOURS</v>
      </c>
      <c r="E4352" s="38" t="s">
        <v>205</v>
      </c>
      <c r="F4352" s="38" t="s">
        <v>123</v>
      </c>
      <c r="G4352" s="49" t="str">
        <f t="shared" si="1"/>
        <v>37000/37100/37200</v>
      </c>
      <c r="H4352" s="49">
        <f t="shared" si="2"/>
        <v>37261</v>
      </c>
    </row>
    <row r="4353">
      <c r="A4353" s="48" t="s">
        <v>7112</v>
      </c>
      <c r="B4353" s="38">
        <v>82088.0</v>
      </c>
      <c r="C4353" s="38" t="s">
        <v>7113</v>
      </c>
      <c r="D4353" s="38" t="str">
        <f>IFERROR(__xludf.DUMMYFUNCTION("REGEXREPLACE(C4353,""-\d+(.*)|--\d+(.*)"","""")"),"LAGUEPIE")</f>
        <v>LAGUEPIE</v>
      </c>
      <c r="E4353" s="38" t="s">
        <v>570</v>
      </c>
      <c r="F4353" s="38" t="s">
        <v>94</v>
      </c>
      <c r="G4353" s="49" t="str">
        <f t="shared" si="1"/>
        <v>82250</v>
      </c>
      <c r="H4353" s="49">
        <f t="shared" si="2"/>
        <v>82088</v>
      </c>
    </row>
    <row r="4354">
      <c r="A4354" s="48" t="s">
        <v>1332</v>
      </c>
      <c r="B4354" s="38">
        <v>51062.0</v>
      </c>
      <c r="C4354" s="38" t="s">
        <v>7114</v>
      </c>
      <c r="D4354" s="38" t="str">
        <f>IFERROR(__xludf.DUMMYFUNCTION("REGEXREPLACE(C4354,""-\d+(.*)|--\d+(.*)"","""")"),"BINARVILLE")</f>
        <v>BINARVILLE</v>
      </c>
      <c r="E4354" s="38" t="s">
        <v>129</v>
      </c>
      <c r="F4354" s="38" t="s">
        <v>130</v>
      </c>
      <c r="G4354" s="49" t="str">
        <f t="shared" si="1"/>
        <v>51800</v>
      </c>
      <c r="H4354" s="49">
        <f t="shared" si="2"/>
        <v>51062</v>
      </c>
    </row>
    <row r="4355">
      <c r="A4355" s="48" t="s">
        <v>6783</v>
      </c>
      <c r="B4355" s="38">
        <v>11037.0</v>
      </c>
      <c r="C4355" s="38" t="s">
        <v>7115</v>
      </c>
      <c r="D4355" s="38" t="str">
        <f>IFERROR(__xludf.DUMMYFUNCTION("REGEXREPLACE(C4355,""-\d+(.*)|--\d+(.*)"","""")"),"BERRIAC")</f>
        <v>BERRIAC</v>
      </c>
      <c r="E4355" s="38" t="s">
        <v>278</v>
      </c>
      <c r="F4355" s="38" t="s">
        <v>119</v>
      </c>
      <c r="G4355" s="49" t="str">
        <f t="shared" si="1"/>
        <v>11000</v>
      </c>
      <c r="H4355" s="49">
        <f t="shared" si="2"/>
        <v>11037</v>
      </c>
    </row>
    <row r="4356">
      <c r="A4356" s="48" t="s">
        <v>7116</v>
      </c>
      <c r="B4356" s="38">
        <v>84124.0</v>
      </c>
      <c r="C4356" s="38" t="s">
        <v>7117</v>
      </c>
      <c r="D4356" s="38" t="str">
        <f>IFERROR(__xludf.DUMMYFUNCTION("REGEXREPLACE(C4356,""-\d+(.*)|--\d+(.*)"","""")"),"SAUMANE-DE-VAUCLUSE")</f>
        <v>SAUMANE-DE-VAUCLUSE</v>
      </c>
      <c r="E4356" s="38" t="s">
        <v>1026</v>
      </c>
      <c r="F4356" s="38" t="s">
        <v>228</v>
      </c>
      <c r="G4356" s="49" t="str">
        <f t="shared" si="1"/>
        <v>84800</v>
      </c>
      <c r="H4356" s="49">
        <f t="shared" si="2"/>
        <v>84124</v>
      </c>
    </row>
    <row r="4357">
      <c r="A4357" s="48" t="s">
        <v>3932</v>
      </c>
      <c r="B4357" s="38">
        <v>61014.0</v>
      </c>
      <c r="C4357" s="38" t="s">
        <v>7118</v>
      </c>
      <c r="D4357" s="38" t="str">
        <f>IFERROR(__xludf.DUMMYFUNCTION("REGEXREPLACE(C4357,""-\d+(.*)|--\d+(.*)"","""")"),"AUNOU-LE-FAUCON")</f>
        <v>AUNOU-LE-FAUCON</v>
      </c>
      <c r="E4357" s="38" t="s">
        <v>141</v>
      </c>
      <c r="F4357" s="38" t="s">
        <v>138</v>
      </c>
      <c r="G4357" s="49" t="str">
        <f t="shared" si="1"/>
        <v>61200</v>
      </c>
      <c r="H4357" s="49">
        <f t="shared" si="2"/>
        <v>61014</v>
      </c>
    </row>
    <row r="4358">
      <c r="A4358" s="48" t="s">
        <v>7119</v>
      </c>
      <c r="B4358" s="38">
        <v>68302.0</v>
      </c>
      <c r="C4358" s="38" t="s">
        <v>7120</v>
      </c>
      <c r="D4358" s="38" t="str">
        <f>IFERROR(__xludf.DUMMYFUNCTION("REGEXREPLACE(C4358,""-\d+(.*)|--\d+(.*)"","""")"),"SCHWEIGHOUSE-THANN")</f>
        <v>SCHWEIGHOUSE-THANN</v>
      </c>
      <c r="E4358" s="38" t="s">
        <v>150</v>
      </c>
      <c r="F4358" s="38" t="s">
        <v>151</v>
      </c>
      <c r="G4358" s="49" t="str">
        <f t="shared" si="1"/>
        <v>68520</v>
      </c>
      <c r="H4358" s="49">
        <f t="shared" si="2"/>
        <v>68302</v>
      </c>
    </row>
    <row r="4359">
      <c r="A4359" s="48" t="s">
        <v>1118</v>
      </c>
      <c r="B4359" s="38">
        <v>50330.0</v>
      </c>
      <c r="C4359" s="38" t="s">
        <v>7121</v>
      </c>
      <c r="D4359" s="38" t="str">
        <f>IFERROR(__xludf.DUMMYFUNCTION("REGEXREPLACE(C4359,""-\d+(.*)|--\d+(.*)"","""")"),"MOBECQ")</f>
        <v>MOBECQ</v>
      </c>
      <c r="E4359" s="38" t="s">
        <v>157</v>
      </c>
      <c r="F4359" s="38" t="s">
        <v>138</v>
      </c>
      <c r="G4359" s="49" t="str">
        <f t="shared" si="1"/>
        <v>50250</v>
      </c>
      <c r="H4359" s="49">
        <f t="shared" si="2"/>
        <v>50330</v>
      </c>
    </row>
    <row r="4360">
      <c r="A4360" s="48" t="s">
        <v>7122</v>
      </c>
      <c r="B4360" s="38">
        <v>57639.0</v>
      </c>
      <c r="C4360" s="38" t="s">
        <v>7123</v>
      </c>
      <c r="D4360" s="38" t="str">
        <f>IFERROR(__xludf.DUMMYFUNCTION("REGEXREPLACE(C4360,""-\d+(.*)|--\d+(.*)"","""")"),"SCHORBACH")</f>
        <v>SCHORBACH</v>
      </c>
      <c r="E4360" s="38" t="s">
        <v>303</v>
      </c>
      <c r="F4360" s="38" t="s">
        <v>195</v>
      </c>
      <c r="G4360" s="49" t="str">
        <f t="shared" si="1"/>
        <v>57230</v>
      </c>
      <c r="H4360" s="49">
        <f t="shared" si="2"/>
        <v>57639</v>
      </c>
    </row>
    <row r="4361">
      <c r="A4361" s="48" t="s">
        <v>4409</v>
      </c>
      <c r="B4361" s="38" t="s">
        <v>7124</v>
      </c>
      <c r="C4361" s="38" t="s">
        <v>7125</v>
      </c>
      <c r="D4361" s="38" t="str">
        <f>IFERROR(__xludf.DUMMYFUNCTION("REGEXREPLACE(C4361,""-\d+(.*)|--\d+(.*)"","""")"),"TASSO")</f>
        <v>TASSO</v>
      </c>
      <c r="E4361" s="38" t="s">
        <v>606</v>
      </c>
      <c r="F4361" s="38" t="s">
        <v>607</v>
      </c>
      <c r="G4361" s="49" t="str">
        <f t="shared" si="1"/>
        <v>20134</v>
      </c>
      <c r="H4361" s="49" t="str">
        <f t="shared" si="2"/>
        <v>2A322</v>
      </c>
    </row>
    <row r="4362">
      <c r="A4362" s="48" t="s">
        <v>3226</v>
      </c>
      <c r="B4362" s="38">
        <v>61095.0</v>
      </c>
      <c r="C4362" s="38" t="s">
        <v>7126</v>
      </c>
      <c r="D4362" s="38" t="str">
        <f>IFERROR(__xludf.DUMMYFUNCTION("REGEXREPLACE(C4362,""-\d+(.*)|--\d+(.*)"","""")"),"LA CHAPELLE-BICHE")</f>
        <v>LA CHAPELLE-BICHE</v>
      </c>
      <c r="E4362" s="38" t="s">
        <v>141</v>
      </c>
      <c r="F4362" s="38" t="s">
        <v>138</v>
      </c>
      <c r="G4362" s="49" t="str">
        <f t="shared" si="1"/>
        <v>61100</v>
      </c>
      <c r="H4362" s="49">
        <f t="shared" si="2"/>
        <v>61095</v>
      </c>
    </row>
    <row r="4363">
      <c r="A4363" s="48" t="s">
        <v>3504</v>
      </c>
      <c r="B4363" s="38">
        <v>42252.0</v>
      </c>
      <c r="C4363" s="38" t="s">
        <v>7127</v>
      </c>
      <c r="D4363" s="38" t="str">
        <f>IFERROR(__xludf.DUMMYFUNCTION("REGEXREPLACE(C4363,""-\d+(.*)|--\d+(.*)"","""")"),"SAINT-LAURENT-ROCHEFORT")</f>
        <v>SAINT-LAURENT-ROCHEFORT</v>
      </c>
      <c r="E4363" s="38" t="s">
        <v>166</v>
      </c>
      <c r="F4363" s="38" t="s">
        <v>102</v>
      </c>
      <c r="G4363" s="49" t="str">
        <f t="shared" si="1"/>
        <v>42130</v>
      </c>
      <c r="H4363" s="49">
        <f t="shared" si="2"/>
        <v>42252</v>
      </c>
    </row>
    <row r="4364">
      <c r="A4364" s="48" t="s">
        <v>3450</v>
      </c>
      <c r="B4364" s="38">
        <v>60287.0</v>
      </c>
      <c r="C4364" s="38" t="s">
        <v>7128</v>
      </c>
      <c r="D4364" s="38" t="str">
        <f>IFERROR(__xludf.DUMMYFUNCTION("REGEXREPLACE(C4364,""-\d+(.*)|--\d+(.*)"","""")"),"GRANDRU")</f>
        <v>GRANDRU</v>
      </c>
      <c r="E4364" s="38" t="s">
        <v>112</v>
      </c>
      <c r="F4364" s="38" t="s">
        <v>113</v>
      </c>
      <c r="G4364" s="49" t="str">
        <f t="shared" si="1"/>
        <v>60400</v>
      </c>
      <c r="H4364" s="49">
        <f t="shared" si="2"/>
        <v>60287</v>
      </c>
    </row>
    <row r="4365">
      <c r="A4365" s="48" t="s">
        <v>7129</v>
      </c>
      <c r="B4365" s="38">
        <v>15150.0</v>
      </c>
      <c r="C4365" s="38" t="s">
        <v>7130</v>
      </c>
      <c r="D4365" s="38" t="str">
        <f>IFERROR(__xludf.DUMMYFUNCTION("REGEXREPLACE(C4365,""-\d+(.*)|--\d+(.*)"","""")"),"PERS")</f>
        <v>PERS</v>
      </c>
      <c r="E4365" s="38" t="s">
        <v>632</v>
      </c>
      <c r="F4365" s="38" t="s">
        <v>161</v>
      </c>
      <c r="G4365" s="49" t="str">
        <f t="shared" si="1"/>
        <v>15290</v>
      </c>
      <c r="H4365" s="49">
        <f t="shared" si="2"/>
        <v>15150</v>
      </c>
    </row>
    <row r="4366">
      <c r="A4366" s="48" t="s">
        <v>2820</v>
      </c>
      <c r="B4366" s="38">
        <v>2043.0</v>
      </c>
      <c r="C4366" s="38" t="s">
        <v>7131</v>
      </c>
      <c r="D4366" s="38" t="str">
        <f>IFERROR(__xludf.DUMMYFUNCTION("REGEXREPLACE(C4366,""-\d+(.*)|--\d+(.*)"","""")"),"BAGNEUX")</f>
        <v>BAGNEUX</v>
      </c>
      <c r="E4366" s="38" t="s">
        <v>191</v>
      </c>
      <c r="F4366" s="38" t="s">
        <v>113</v>
      </c>
      <c r="G4366" s="49" t="str">
        <f t="shared" si="1"/>
        <v>02290</v>
      </c>
      <c r="H4366" s="49" t="str">
        <f t="shared" si="2"/>
        <v>02043</v>
      </c>
    </row>
    <row r="4367">
      <c r="A4367" s="48" t="s">
        <v>3439</v>
      </c>
      <c r="B4367" s="38">
        <v>86141.0</v>
      </c>
      <c r="C4367" s="38" t="s">
        <v>7132</v>
      </c>
      <c r="D4367" s="38" t="str">
        <f>IFERROR(__xludf.DUMMYFUNCTION("REGEXREPLACE(C4367,""-\d+(.*)|--\d+(.*)"","""")"),"MAGNE")</f>
        <v>MAGNE</v>
      </c>
      <c r="E4367" s="38" t="s">
        <v>529</v>
      </c>
      <c r="F4367" s="38" t="s">
        <v>338</v>
      </c>
      <c r="G4367" s="49" t="str">
        <f t="shared" si="1"/>
        <v>86160</v>
      </c>
      <c r="H4367" s="49">
        <f t="shared" si="2"/>
        <v>86141</v>
      </c>
    </row>
    <row r="4368">
      <c r="A4368" s="48" t="s">
        <v>5584</v>
      </c>
      <c r="B4368" s="38">
        <v>41141.0</v>
      </c>
      <c r="C4368" s="38" t="s">
        <v>7133</v>
      </c>
      <c r="D4368" s="38" t="str">
        <f>IFERROR(__xludf.DUMMYFUNCTION("REGEXREPLACE(C4368,""-\d+(.*)|--\d+(.*)"","""")"),"MOISY")</f>
        <v>MOISY</v>
      </c>
      <c r="E4368" s="38" t="s">
        <v>188</v>
      </c>
      <c r="F4368" s="38" t="s">
        <v>123</v>
      </c>
      <c r="G4368" s="49" t="str">
        <f t="shared" si="1"/>
        <v>41160</v>
      </c>
      <c r="H4368" s="49">
        <f t="shared" si="2"/>
        <v>41141</v>
      </c>
    </row>
    <row r="4369">
      <c r="A4369" s="48" t="s">
        <v>796</v>
      </c>
      <c r="B4369" s="38">
        <v>89323.0</v>
      </c>
      <c r="C4369" s="38" t="s">
        <v>7134</v>
      </c>
      <c r="D4369" s="38" t="str">
        <f>IFERROR(__xludf.DUMMYFUNCTION("REGEXREPLACE(C4369,""-\d+(.*)|--\d+(.*)"","""")"),"ROFFEY")</f>
        <v>ROFFEY</v>
      </c>
      <c r="E4369" s="38" t="s">
        <v>275</v>
      </c>
      <c r="F4369" s="38" t="s">
        <v>106</v>
      </c>
      <c r="G4369" s="49" t="str">
        <f t="shared" si="1"/>
        <v>89700</v>
      </c>
      <c r="H4369" s="49">
        <f t="shared" si="2"/>
        <v>89323</v>
      </c>
    </row>
    <row r="4370">
      <c r="A4370" s="48" t="s">
        <v>1758</v>
      </c>
      <c r="B4370" s="38">
        <v>65480.0</v>
      </c>
      <c r="C4370" s="38" t="s">
        <v>7135</v>
      </c>
      <c r="D4370" s="38" t="str">
        <f>IFERROR(__xludf.DUMMYFUNCTION("REGEXREPLACE(C4370,""-\d+(.*)|--\d+(.*)"","""")"),"VIZOS")</f>
        <v>VIZOS</v>
      </c>
      <c r="E4370" s="38" t="s">
        <v>200</v>
      </c>
      <c r="F4370" s="38" t="s">
        <v>94</v>
      </c>
      <c r="G4370" s="49" t="str">
        <f t="shared" si="1"/>
        <v>65120</v>
      </c>
      <c r="H4370" s="49">
        <f t="shared" si="2"/>
        <v>65480</v>
      </c>
    </row>
    <row r="4371">
      <c r="A4371" s="48" t="s">
        <v>7136</v>
      </c>
      <c r="B4371" s="38">
        <v>83132.0</v>
      </c>
      <c r="C4371" s="38" t="s">
        <v>7137</v>
      </c>
      <c r="D4371" s="38" t="str">
        <f>IFERROR(__xludf.DUMMYFUNCTION("REGEXREPLACE(C4371,""-\d+(.*)|--\d+(.*)"","""")"),"SOLLIES-VILLE")</f>
        <v>SOLLIES-VILLE</v>
      </c>
      <c r="E4371" s="38" t="s">
        <v>813</v>
      </c>
      <c r="F4371" s="38" t="s">
        <v>228</v>
      </c>
      <c r="G4371" s="49" t="str">
        <f t="shared" si="1"/>
        <v>83210</v>
      </c>
      <c r="H4371" s="49">
        <f t="shared" si="2"/>
        <v>83132</v>
      </c>
    </row>
    <row r="4372">
      <c r="A4372" s="48" t="s">
        <v>3436</v>
      </c>
      <c r="B4372" s="38">
        <v>33447.0</v>
      </c>
      <c r="C4372" s="38" t="s">
        <v>7138</v>
      </c>
      <c r="D4372" s="38" t="str">
        <f>IFERROR(__xludf.DUMMYFUNCTION("REGEXREPLACE(C4372,""-\d+(.*)|--\d+(.*)"","""")"),"SAINT-MEDARD-DE-GUIZIERES")</f>
        <v>SAINT-MEDARD-DE-GUIZIERES</v>
      </c>
      <c r="E4372" s="38" t="s">
        <v>462</v>
      </c>
      <c r="F4372" s="38" t="s">
        <v>252</v>
      </c>
      <c r="G4372" s="49" t="str">
        <f t="shared" si="1"/>
        <v>33230</v>
      </c>
      <c r="H4372" s="49">
        <f t="shared" si="2"/>
        <v>33447</v>
      </c>
    </row>
    <row r="4373">
      <c r="A4373" s="48" t="s">
        <v>2008</v>
      </c>
      <c r="B4373" s="38">
        <v>46266.0</v>
      </c>
      <c r="C4373" s="38" t="s">
        <v>7139</v>
      </c>
      <c r="D4373" s="38" t="str">
        <f>IFERROR(__xludf.DUMMYFUNCTION("REGEXREPLACE(C4373,""-\d+(.*)|--\d+(.*)"","""")"),"SAINT-FELIX")</f>
        <v>SAINT-FELIX</v>
      </c>
      <c r="E4373" s="38" t="s">
        <v>185</v>
      </c>
      <c r="F4373" s="38" t="s">
        <v>94</v>
      </c>
      <c r="G4373" s="49" t="str">
        <f t="shared" si="1"/>
        <v>46100</v>
      </c>
      <c r="H4373" s="49">
        <f t="shared" si="2"/>
        <v>46266</v>
      </c>
    </row>
    <row r="4374">
      <c r="A4374" s="48" t="s">
        <v>7140</v>
      </c>
      <c r="B4374" s="38">
        <v>3204.0</v>
      </c>
      <c r="C4374" s="38" t="s">
        <v>7141</v>
      </c>
      <c r="D4374" s="38" t="str">
        <f>IFERROR(__xludf.DUMMYFUNCTION("REGEXREPLACE(C4374,""-\d+(.*)|--\d+(.*)"","""")"),"PARAY-SOUS-BRIAILLES")</f>
        <v>PARAY-SOUS-BRIAILLES</v>
      </c>
      <c r="E4374" s="38" t="s">
        <v>160</v>
      </c>
      <c r="F4374" s="38" t="s">
        <v>161</v>
      </c>
      <c r="G4374" s="49" t="str">
        <f t="shared" si="1"/>
        <v>03500</v>
      </c>
      <c r="H4374" s="49" t="str">
        <f t="shared" si="2"/>
        <v>03204</v>
      </c>
    </row>
    <row r="4375">
      <c r="A4375" s="48" t="s">
        <v>2770</v>
      </c>
      <c r="B4375" s="38">
        <v>25536.0</v>
      </c>
      <c r="C4375" s="38" t="s">
        <v>7142</v>
      </c>
      <c r="D4375" s="38" t="str">
        <f>IFERROR(__xludf.DUMMYFUNCTION("REGEXREPLACE(C4375,""-\d+(.*)|--\d+(.*)"","""")"),"SAUVAGNEY")</f>
        <v>SAUVAGNEY</v>
      </c>
      <c r="E4375" s="38" t="s">
        <v>213</v>
      </c>
      <c r="F4375" s="38" t="s">
        <v>214</v>
      </c>
      <c r="G4375" s="49" t="str">
        <f t="shared" si="1"/>
        <v>25170</v>
      </c>
      <c r="H4375" s="49">
        <f t="shared" si="2"/>
        <v>25536</v>
      </c>
    </row>
    <row r="4376">
      <c r="A4376" s="48" t="s">
        <v>3840</v>
      </c>
      <c r="B4376" s="38">
        <v>72234.0</v>
      </c>
      <c r="C4376" s="38" t="s">
        <v>7143</v>
      </c>
      <c r="D4376" s="38" t="str">
        <f>IFERROR(__xludf.DUMMYFUNCTION("REGEXREPLACE(C4376,""-\d+(.*)|--\d+(.*)"","""")"),"PEZE-LE-ROBERT")</f>
        <v>PEZE-LE-ROBERT</v>
      </c>
      <c r="E4376" s="38" t="s">
        <v>521</v>
      </c>
      <c r="F4376" s="38" t="s">
        <v>180</v>
      </c>
      <c r="G4376" s="49" t="str">
        <f t="shared" si="1"/>
        <v>72140</v>
      </c>
      <c r="H4376" s="49">
        <f t="shared" si="2"/>
        <v>72234</v>
      </c>
    </row>
    <row r="4377">
      <c r="A4377" s="48" t="s">
        <v>7144</v>
      </c>
      <c r="B4377" s="38">
        <v>76292.0</v>
      </c>
      <c r="C4377" s="38" t="s">
        <v>7145</v>
      </c>
      <c r="D4377" s="38" t="str">
        <f>IFERROR(__xludf.DUMMYFUNCTION("REGEXREPLACE(C4377,""-\d+(.*)|--\d+(.*)"","""")"),"FRY")</f>
        <v>FRY</v>
      </c>
      <c r="E4377" s="38" t="s">
        <v>133</v>
      </c>
      <c r="F4377" s="38" t="s">
        <v>134</v>
      </c>
      <c r="G4377" s="49" t="str">
        <f t="shared" si="1"/>
        <v>76780</v>
      </c>
      <c r="H4377" s="49">
        <f t="shared" si="2"/>
        <v>76292</v>
      </c>
    </row>
    <row r="4378">
      <c r="A4378" s="48" t="s">
        <v>2182</v>
      </c>
      <c r="B4378" s="38">
        <v>89214.0</v>
      </c>
      <c r="C4378" s="38" t="s">
        <v>7146</v>
      </c>
      <c r="D4378" s="38" t="str">
        <f>IFERROR(__xludf.DUMMYFUNCTION("REGEXREPLACE(C4378,""-\d+(.*)|--\d+(.*)"","""")"),"LAILLY")</f>
        <v>LAILLY</v>
      </c>
      <c r="E4378" s="38" t="s">
        <v>275</v>
      </c>
      <c r="F4378" s="38" t="s">
        <v>106</v>
      </c>
      <c r="G4378" s="49" t="str">
        <f t="shared" si="1"/>
        <v>89190</v>
      </c>
      <c r="H4378" s="49">
        <f t="shared" si="2"/>
        <v>89214</v>
      </c>
    </row>
    <row r="4379">
      <c r="A4379" s="48" t="s">
        <v>4905</v>
      </c>
      <c r="B4379" s="38">
        <v>64029.0</v>
      </c>
      <c r="C4379" s="38" t="s">
        <v>7147</v>
      </c>
      <c r="D4379" s="38" t="str">
        <f>IFERROR(__xludf.DUMMYFUNCTION("REGEXREPLACE(C4379,""-\d+(.*)|--\d+(.*)"","""")"),"ARAMITS")</f>
        <v>ARAMITS</v>
      </c>
      <c r="E4379" s="38" t="s">
        <v>268</v>
      </c>
      <c r="F4379" s="38" t="s">
        <v>252</v>
      </c>
      <c r="G4379" s="49" t="str">
        <f t="shared" si="1"/>
        <v>64570</v>
      </c>
      <c r="H4379" s="49">
        <f t="shared" si="2"/>
        <v>64029</v>
      </c>
    </row>
    <row r="4380">
      <c r="A4380" s="48" t="s">
        <v>7148</v>
      </c>
      <c r="B4380" s="38">
        <v>44018.0</v>
      </c>
      <c r="C4380" s="38" t="s">
        <v>7149</v>
      </c>
      <c r="D4380" s="38" t="str">
        <f>IFERROR(__xludf.DUMMYFUNCTION("REGEXREPLACE(C4380,""-\d+(.*)|--\d+(.*)"","""")"),"BOUAYE")</f>
        <v>BOUAYE</v>
      </c>
      <c r="E4380" s="38" t="s">
        <v>759</v>
      </c>
      <c r="F4380" s="38" t="s">
        <v>180</v>
      </c>
      <c r="G4380" s="49" t="str">
        <f t="shared" si="1"/>
        <v>44830</v>
      </c>
      <c r="H4380" s="49">
        <f t="shared" si="2"/>
        <v>44018</v>
      </c>
    </row>
    <row r="4381">
      <c r="A4381" s="48" t="s">
        <v>7150</v>
      </c>
      <c r="B4381" s="38">
        <v>12228.0</v>
      </c>
      <c r="C4381" s="38" t="s">
        <v>7151</v>
      </c>
      <c r="D4381" s="38" t="str">
        <f>IFERROR(__xludf.DUMMYFUNCTION("REGEXREPLACE(C4381,""-\d+(.*)|--\d+(.*)"","""")"),"SAINT-IZAIRE")</f>
        <v>SAINT-IZAIRE</v>
      </c>
      <c r="E4381" s="38" t="s">
        <v>465</v>
      </c>
      <c r="F4381" s="38" t="s">
        <v>94</v>
      </c>
      <c r="G4381" s="49" t="str">
        <f t="shared" si="1"/>
        <v>12480</v>
      </c>
      <c r="H4381" s="49">
        <f t="shared" si="2"/>
        <v>12228</v>
      </c>
    </row>
    <row r="4382">
      <c r="A4382" s="48" t="s">
        <v>486</v>
      </c>
      <c r="B4382" s="38">
        <v>17075.0</v>
      </c>
      <c r="C4382" s="38" t="s">
        <v>7152</v>
      </c>
      <c r="D4382" s="38" t="str">
        <f>IFERROR(__xludf.DUMMYFUNCTION("REGEXREPLACE(C4382,""-\d+(.*)|--\d+(.*)"","""")"),"CABARIOT")</f>
        <v>CABARIOT</v>
      </c>
      <c r="E4382" s="38" t="s">
        <v>488</v>
      </c>
      <c r="F4382" s="38" t="s">
        <v>338</v>
      </c>
      <c r="G4382" s="49" t="str">
        <f t="shared" si="1"/>
        <v>17430</v>
      </c>
      <c r="H4382" s="49">
        <f t="shared" si="2"/>
        <v>17075</v>
      </c>
    </row>
    <row r="4383">
      <c r="A4383" s="48" t="s">
        <v>7153</v>
      </c>
      <c r="B4383" s="38">
        <v>30348.0</v>
      </c>
      <c r="C4383" s="38" t="s">
        <v>7154</v>
      </c>
      <c r="D4383" s="38" t="str">
        <f>IFERROR(__xludf.DUMMYFUNCTION("REGEXREPLACE(C4383,""-\d+(.*)|--\d+(.*)"","""")"),"VEZENOBRES")</f>
        <v>VEZENOBRES</v>
      </c>
      <c r="E4383" s="38" t="s">
        <v>526</v>
      </c>
      <c r="F4383" s="38" t="s">
        <v>119</v>
      </c>
      <c r="G4383" s="49" t="str">
        <f t="shared" si="1"/>
        <v>30360</v>
      </c>
      <c r="H4383" s="49">
        <f t="shared" si="2"/>
        <v>30348</v>
      </c>
    </row>
    <row r="4384">
      <c r="A4384" s="48" t="s">
        <v>7155</v>
      </c>
      <c r="B4384" s="38">
        <v>30099.0</v>
      </c>
      <c r="C4384" s="38" t="s">
        <v>7156</v>
      </c>
      <c r="D4384" s="38" t="str">
        <f>IFERROR(__xludf.DUMMYFUNCTION("REGEXREPLACE(C4384,""-\d+(.*)|--\d+(.*)"","""")"),"CROS")</f>
        <v>CROS</v>
      </c>
      <c r="E4384" s="38" t="s">
        <v>526</v>
      </c>
      <c r="F4384" s="38" t="s">
        <v>119</v>
      </c>
      <c r="G4384" s="49" t="str">
        <f t="shared" si="1"/>
        <v>30170</v>
      </c>
      <c r="H4384" s="49">
        <f t="shared" si="2"/>
        <v>30099</v>
      </c>
    </row>
    <row r="4385">
      <c r="A4385" s="48" t="s">
        <v>3364</v>
      </c>
      <c r="B4385" s="38">
        <v>62837.0</v>
      </c>
      <c r="C4385" s="38" t="s">
        <v>7157</v>
      </c>
      <c r="D4385" s="38" t="str">
        <f>IFERROR(__xludf.DUMMYFUNCTION("REGEXREPLACE(C4385,""-\d+(.*)|--\d+(.*)"","""")"),"VAUDRINGHEM")</f>
        <v>VAUDRINGHEM</v>
      </c>
      <c r="E4385" s="38" t="s">
        <v>109</v>
      </c>
      <c r="F4385" s="38" t="s">
        <v>86</v>
      </c>
      <c r="G4385" s="49" t="str">
        <f t="shared" si="1"/>
        <v>62380</v>
      </c>
      <c r="H4385" s="49">
        <f t="shared" si="2"/>
        <v>62837</v>
      </c>
    </row>
    <row r="4386">
      <c r="A4386" s="48" t="s">
        <v>4663</v>
      </c>
      <c r="B4386" s="38">
        <v>12125.0</v>
      </c>
      <c r="C4386" s="38" t="s">
        <v>7158</v>
      </c>
      <c r="D4386" s="38" t="str">
        <f>IFERROR(__xludf.DUMMYFUNCTION("REGEXREPLACE(C4386,""-\d+(.*)|--\d+(.*)"","""")"),"LAVAL-ROQUECEZIERE")</f>
        <v>LAVAL-ROQUECEZIERE</v>
      </c>
      <c r="E4386" s="38" t="s">
        <v>465</v>
      </c>
      <c r="F4386" s="38" t="s">
        <v>94</v>
      </c>
      <c r="G4386" s="49" t="str">
        <f t="shared" si="1"/>
        <v>12380</v>
      </c>
      <c r="H4386" s="49">
        <f t="shared" si="2"/>
        <v>12125</v>
      </c>
    </row>
    <row r="4387">
      <c r="A4387" s="48" t="s">
        <v>1364</v>
      </c>
      <c r="B4387" s="38">
        <v>64415.0</v>
      </c>
      <c r="C4387" s="38" t="s">
        <v>7159</v>
      </c>
      <c r="D4387" s="38" t="str">
        <f>IFERROR(__xludf.DUMMYFUNCTION("REGEXREPLACE(C4387,""-\d+(.*)|--\d+(.*)"","""")"),"NAVAILLES-ANGOS")</f>
        <v>NAVAILLES-ANGOS</v>
      </c>
      <c r="E4387" s="38" t="s">
        <v>268</v>
      </c>
      <c r="F4387" s="38" t="s">
        <v>252</v>
      </c>
      <c r="G4387" s="49" t="str">
        <f t="shared" si="1"/>
        <v>64450</v>
      </c>
      <c r="H4387" s="49">
        <f t="shared" si="2"/>
        <v>64415</v>
      </c>
    </row>
    <row r="4388">
      <c r="A4388" s="48" t="s">
        <v>1332</v>
      </c>
      <c r="B4388" s="38">
        <v>51274.0</v>
      </c>
      <c r="C4388" s="38" t="s">
        <v>7160</v>
      </c>
      <c r="D4388" s="38" t="str">
        <f>IFERROR(__xludf.DUMMYFUNCTION("REGEXREPLACE(C4388,""-\d+(.*)|--\d+(.*)"","""")"),"GIZAUCOURT")</f>
        <v>GIZAUCOURT</v>
      </c>
      <c r="E4388" s="38" t="s">
        <v>129</v>
      </c>
      <c r="F4388" s="38" t="s">
        <v>130</v>
      </c>
      <c r="G4388" s="49" t="str">
        <f t="shared" si="1"/>
        <v>51800</v>
      </c>
      <c r="H4388" s="49">
        <f t="shared" si="2"/>
        <v>51274</v>
      </c>
    </row>
    <row r="4389">
      <c r="A4389" s="48" t="s">
        <v>7161</v>
      </c>
      <c r="B4389" s="38">
        <v>17128.0</v>
      </c>
      <c r="C4389" s="38" t="s">
        <v>7162</v>
      </c>
      <c r="D4389" s="38" t="str">
        <f>IFERROR(__xludf.DUMMYFUNCTION("REGEXREPLACE(C4389,""-\d+(.*)|--\d+(.*)"","""")"),"COURCOURY")</f>
        <v>COURCOURY</v>
      </c>
      <c r="E4389" s="38" t="s">
        <v>488</v>
      </c>
      <c r="F4389" s="38" t="s">
        <v>338</v>
      </c>
      <c r="G4389" s="49" t="str">
        <f t="shared" si="1"/>
        <v>17100</v>
      </c>
      <c r="H4389" s="49">
        <f t="shared" si="2"/>
        <v>17128</v>
      </c>
    </row>
    <row r="4390">
      <c r="A4390" s="48" t="s">
        <v>1547</v>
      </c>
      <c r="B4390" s="38">
        <v>24283.0</v>
      </c>
      <c r="C4390" s="38" t="s">
        <v>7163</v>
      </c>
      <c r="D4390" s="38" t="str">
        <f>IFERROR(__xludf.DUMMYFUNCTION("REGEXREPLACE(C4390,""-\d+(.*)|--\d+(.*)"","""")"),"MONSEC")</f>
        <v>MONSEC</v>
      </c>
      <c r="E4390" s="38" t="s">
        <v>261</v>
      </c>
      <c r="F4390" s="38" t="s">
        <v>252</v>
      </c>
      <c r="G4390" s="49" t="str">
        <f t="shared" si="1"/>
        <v>24340</v>
      </c>
      <c r="H4390" s="49">
        <f t="shared" si="2"/>
        <v>24283</v>
      </c>
    </row>
    <row r="4391">
      <c r="A4391" s="48" t="s">
        <v>7164</v>
      </c>
      <c r="B4391" s="38">
        <v>15192.0</v>
      </c>
      <c r="C4391" s="38" t="s">
        <v>7165</v>
      </c>
      <c r="D4391" s="38" t="str">
        <f>IFERROR(__xludf.DUMMYFUNCTION("REGEXREPLACE(C4391,""-\d+(.*)|--\d+(.*)"","""")"),"SAINT-JACQUES-DES-BLATS")</f>
        <v>SAINT-JACQUES-DES-BLATS</v>
      </c>
      <c r="E4391" s="38" t="s">
        <v>632</v>
      </c>
      <c r="F4391" s="38" t="s">
        <v>161</v>
      </c>
      <c r="G4391" s="49" t="str">
        <f t="shared" si="1"/>
        <v>15800</v>
      </c>
      <c r="H4391" s="49">
        <f t="shared" si="2"/>
        <v>15192</v>
      </c>
    </row>
    <row r="4392">
      <c r="A4392" s="48" t="s">
        <v>7166</v>
      </c>
      <c r="B4392" s="38">
        <v>52146.0</v>
      </c>
      <c r="C4392" s="38" t="s">
        <v>7167</v>
      </c>
      <c r="D4392" s="38" t="str">
        <f>IFERROR(__xludf.DUMMYFUNCTION("REGEXREPLACE(C4392,""-\d+(.*)|--\d+(.*)"","""")"),"COUPRAY")</f>
        <v>COUPRAY</v>
      </c>
      <c r="E4392" s="38" t="s">
        <v>234</v>
      </c>
      <c r="F4392" s="38" t="s">
        <v>130</v>
      </c>
      <c r="G4392" s="49" t="str">
        <f t="shared" si="1"/>
        <v>52210</v>
      </c>
      <c r="H4392" s="49">
        <f t="shared" si="2"/>
        <v>52146</v>
      </c>
    </row>
    <row r="4393">
      <c r="A4393" s="48" t="s">
        <v>3761</v>
      </c>
      <c r="B4393" s="38">
        <v>50277.0</v>
      </c>
      <c r="C4393" s="38" t="s">
        <v>7168</v>
      </c>
      <c r="D4393" s="38" t="str">
        <f>IFERROR(__xludf.DUMMYFUNCTION("REGEXREPLACE(C4393,""-\d+(.*)|--\d+(.*)"","""")"),"LONGUEVILLE")</f>
        <v>LONGUEVILLE</v>
      </c>
      <c r="E4393" s="38" t="s">
        <v>157</v>
      </c>
      <c r="F4393" s="38" t="s">
        <v>138</v>
      </c>
      <c r="G4393" s="49" t="str">
        <f t="shared" si="1"/>
        <v>50290</v>
      </c>
      <c r="H4393" s="49">
        <f t="shared" si="2"/>
        <v>50277</v>
      </c>
    </row>
    <row r="4394">
      <c r="A4394" s="48" t="s">
        <v>1469</v>
      </c>
      <c r="B4394" s="38">
        <v>71496.0</v>
      </c>
      <c r="C4394" s="38" t="s">
        <v>7169</v>
      </c>
      <c r="D4394" s="38" t="str">
        <f>IFERROR(__xludf.DUMMYFUNCTION("REGEXREPLACE(C4394,""-\d+(.*)|--\d+(.*)"","""")"),"SAMPIGNY-LES-MARANGES")</f>
        <v>SAMPIGNY-LES-MARANGES</v>
      </c>
      <c r="E4394" s="38" t="s">
        <v>344</v>
      </c>
      <c r="F4394" s="38" t="s">
        <v>106</v>
      </c>
      <c r="G4394" s="49" t="str">
        <f t="shared" si="1"/>
        <v>71150</v>
      </c>
      <c r="H4394" s="49">
        <f t="shared" si="2"/>
        <v>71496</v>
      </c>
    </row>
    <row r="4395">
      <c r="A4395" s="48" t="s">
        <v>3753</v>
      </c>
      <c r="B4395" s="38">
        <v>18068.0</v>
      </c>
      <c r="C4395" s="38" t="s">
        <v>7170</v>
      </c>
      <c r="D4395" s="38" t="str">
        <f>IFERROR(__xludf.DUMMYFUNCTION("REGEXREPLACE(C4395,""-\d+(.*)|--\d+(.*)"","""")"),"COGNY")</f>
        <v>COGNY</v>
      </c>
      <c r="E4395" s="38" t="s">
        <v>504</v>
      </c>
      <c r="F4395" s="38" t="s">
        <v>123</v>
      </c>
      <c r="G4395" s="49" t="str">
        <f t="shared" si="1"/>
        <v>18130</v>
      </c>
      <c r="H4395" s="49">
        <f t="shared" si="2"/>
        <v>18068</v>
      </c>
    </row>
    <row r="4396">
      <c r="A4396" s="48" t="s">
        <v>7171</v>
      </c>
      <c r="B4396" s="38">
        <v>54149.0</v>
      </c>
      <c r="C4396" s="38" t="s">
        <v>7172</v>
      </c>
      <c r="D4396" s="38" t="str">
        <f>IFERROR(__xludf.DUMMYFUNCTION("REGEXREPLACE(C4396,""-\d+(.*)|--\d+(.*)"","""")"),"CRUSNES")</f>
        <v>CRUSNES</v>
      </c>
      <c r="E4396" s="38" t="s">
        <v>548</v>
      </c>
      <c r="F4396" s="38" t="s">
        <v>195</v>
      </c>
      <c r="G4396" s="49" t="str">
        <f t="shared" si="1"/>
        <v>54680</v>
      </c>
      <c r="H4396" s="49">
        <f t="shared" si="2"/>
        <v>54149</v>
      </c>
    </row>
    <row r="4397">
      <c r="A4397" s="48" t="s">
        <v>3118</v>
      </c>
      <c r="B4397" s="38">
        <v>46275.0</v>
      </c>
      <c r="C4397" s="38" t="s">
        <v>7173</v>
      </c>
      <c r="D4397" s="38" t="str">
        <f>IFERROR(__xludf.DUMMYFUNCTION("REGEXREPLACE(C4397,""-\d+(.*)|--\d+(.*)"","""")"),"SAINT-MARTIN-DE-VERS")</f>
        <v>SAINT-MARTIN-DE-VERS</v>
      </c>
      <c r="E4397" s="38" t="s">
        <v>185</v>
      </c>
      <c r="F4397" s="38" t="s">
        <v>94</v>
      </c>
      <c r="G4397" s="49" t="str">
        <f t="shared" si="1"/>
        <v>46360</v>
      </c>
      <c r="H4397" s="49">
        <f t="shared" si="2"/>
        <v>46275</v>
      </c>
    </row>
    <row r="4398">
      <c r="A4398" s="48" t="s">
        <v>3026</v>
      </c>
      <c r="B4398" s="38">
        <v>2349.0</v>
      </c>
      <c r="C4398" s="38" t="s">
        <v>7174</v>
      </c>
      <c r="D4398" s="38" t="str">
        <f>IFERROR(__xludf.DUMMYFUNCTION("REGEXREPLACE(C4398,""-\d+(.*)|--\d+(.*)"","""")"),"GOUDELANCOURT-LES-BERRIEUX")</f>
        <v>GOUDELANCOURT-LES-BERRIEUX</v>
      </c>
      <c r="E4398" s="38" t="s">
        <v>191</v>
      </c>
      <c r="F4398" s="38" t="s">
        <v>113</v>
      </c>
      <c r="G4398" s="49" t="str">
        <f t="shared" si="1"/>
        <v>02820</v>
      </c>
      <c r="H4398" s="49" t="str">
        <f t="shared" si="2"/>
        <v>02349</v>
      </c>
    </row>
    <row r="4399">
      <c r="A4399" s="48" t="s">
        <v>7175</v>
      </c>
      <c r="B4399" s="38">
        <v>88391.0</v>
      </c>
      <c r="C4399" s="38" t="s">
        <v>7176</v>
      </c>
      <c r="D4399" s="38" t="str">
        <f>IFERROR(__xludf.DUMMYFUNCTION("REGEXREPLACE(C4399,""-\d+(.*)|--\d+(.*)"","""")"),"ROCHESSON")</f>
        <v>ROCHESSON</v>
      </c>
      <c r="E4399" s="38" t="s">
        <v>194</v>
      </c>
      <c r="F4399" s="38" t="s">
        <v>195</v>
      </c>
      <c r="G4399" s="49" t="str">
        <f t="shared" si="1"/>
        <v>88120</v>
      </c>
      <c r="H4399" s="49">
        <f t="shared" si="2"/>
        <v>88391</v>
      </c>
    </row>
    <row r="4400">
      <c r="A4400" s="48" t="s">
        <v>2326</v>
      </c>
      <c r="B4400" s="38">
        <v>54173.0</v>
      </c>
      <c r="C4400" s="38" t="s">
        <v>7177</v>
      </c>
      <c r="D4400" s="38" t="str">
        <f>IFERROR(__xludf.DUMMYFUNCTION("REGEXREPLACE(C4400,""-\d+(.*)|--\d+(.*)"","""")"),"DROUVILLE")</f>
        <v>DROUVILLE</v>
      </c>
      <c r="E4400" s="38" t="s">
        <v>548</v>
      </c>
      <c r="F4400" s="38" t="s">
        <v>195</v>
      </c>
      <c r="G4400" s="49" t="str">
        <f t="shared" si="1"/>
        <v>54370</v>
      </c>
      <c r="H4400" s="49">
        <f t="shared" si="2"/>
        <v>54173</v>
      </c>
    </row>
    <row r="4401">
      <c r="A4401" s="48" t="s">
        <v>2097</v>
      </c>
      <c r="B4401" s="38">
        <v>42113.0</v>
      </c>
      <c r="C4401" s="38" t="s">
        <v>7178</v>
      </c>
      <c r="D4401" s="38" t="str">
        <f>IFERROR(__xludf.DUMMYFUNCTION("REGEXREPLACE(C4401,""-\d+(.*)|--\d+(.*)"","""")"),"JAS")</f>
        <v>JAS</v>
      </c>
      <c r="E4401" s="38" t="s">
        <v>166</v>
      </c>
      <c r="F4401" s="38" t="s">
        <v>102</v>
      </c>
      <c r="G4401" s="49" t="str">
        <f t="shared" si="1"/>
        <v>42110</v>
      </c>
      <c r="H4401" s="49">
        <f t="shared" si="2"/>
        <v>42113</v>
      </c>
    </row>
    <row r="4402">
      <c r="A4402" s="48" t="s">
        <v>4526</v>
      </c>
      <c r="B4402" s="38">
        <v>23178.0</v>
      </c>
      <c r="C4402" s="38" t="s">
        <v>7179</v>
      </c>
      <c r="D4402" s="38" t="str">
        <f>IFERROR(__xludf.DUMMYFUNCTION("REGEXREPLACE(C4402,""-\d+(.*)|--\d+(.*)"","""")"),"SAINT-AGNANT-PRES-CROCQ")</f>
        <v>SAINT-AGNANT-PRES-CROCQ</v>
      </c>
      <c r="E4402" s="38" t="s">
        <v>97</v>
      </c>
      <c r="F4402" s="38" t="s">
        <v>98</v>
      </c>
      <c r="G4402" s="49" t="str">
        <f t="shared" si="1"/>
        <v>23260</v>
      </c>
      <c r="H4402" s="49">
        <f t="shared" si="2"/>
        <v>23178</v>
      </c>
    </row>
    <row r="4403">
      <c r="A4403" s="48" t="s">
        <v>7180</v>
      </c>
      <c r="B4403" s="38">
        <v>56088.0</v>
      </c>
      <c r="C4403" s="38" t="s">
        <v>7181</v>
      </c>
      <c r="D4403" s="38" t="str">
        <f>IFERROR(__xludf.DUMMYFUNCTION("REGEXREPLACE(C4403,""-\d+(.*)|--\d+(.*)"","""")"),"ILE-D'ARZ")</f>
        <v>ILE-D'ARZ</v>
      </c>
      <c r="E4403" s="38" t="s">
        <v>173</v>
      </c>
      <c r="F4403" s="38" t="s">
        <v>90</v>
      </c>
      <c r="G4403" s="49" t="str">
        <f t="shared" si="1"/>
        <v>56840</v>
      </c>
      <c r="H4403" s="49">
        <f t="shared" si="2"/>
        <v>56088</v>
      </c>
    </row>
    <row r="4404">
      <c r="A4404" s="48" t="s">
        <v>1800</v>
      </c>
      <c r="B4404" s="38">
        <v>88301.0</v>
      </c>
      <c r="C4404" s="38" t="s">
        <v>7182</v>
      </c>
      <c r="D4404" s="38" t="str">
        <f>IFERROR(__xludf.DUMMYFUNCTION("REGEXREPLACE(C4404,""-\d+(.*)|--\d+(.*)"","""")"),"MENIL-SUR-BELVITTE")</f>
        <v>MENIL-SUR-BELVITTE</v>
      </c>
      <c r="E4404" s="38" t="s">
        <v>194</v>
      </c>
      <c r="F4404" s="38" t="s">
        <v>195</v>
      </c>
      <c r="G4404" s="49" t="str">
        <f t="shared" si="1"/>
        <v>88700</v>
      </c>
      <c r="H4404" s="49">
        <f t="shared" si="2"/>
        <v>88301</v>
      </c>
    </row>
    <row r="4405">
      <c r="A4405" s="48" t="s">
        <v>1368</v>
      </c>
      <c r="B4405" s="38">
        <v>8031.0</v>
      </c>
      <c r="C4405" s="38" t="s">
        <v>7183</v>
      </c>
      <c r="D4405" s="38" t="str">
        <f>IFERROR(__xludf.DUMMYFUNCTION("REGEXREPLACE(C4405,""-\d+(.*)|--\d+(.*)"","""")"),"AURE")</f>
        <v>AURE</v>
      </c>
      <c r="E4405" s="38" t="s">
        <v>327</v>
      </c>
      <c r="F4405" s="38" t="s">
        <v>130</v>
      </c>
      <c r="G4405" s="49" t="str">
        <f t="shared" si="1"/>
        <v>08400</v>
      </c>
      <c r="H4405" s="49" t="str">
        <f t="shared" si="2"/>
        <v>08031</v>
      </c>
    </row>
    <row r="4406">
      <c r="A4406" s="48" t="s">
        <v>7184</v>
      </c>
      <c r="B4406" s="38">
        <v>59051.0</v>
      </c>
      <c r="C4406" s="38" t="s">
        <v>7185</v>
      </c>
      <c r="D4406" s="38" t="str">
        <f>IFERROR(__xludf.DUMMYFUNCTION("REGEXREPLACE(C4406,""-\d+(.*)|--\d+(.*)"","""")"),"LA BASSEE")</f>
        <v>LA BASSEE</v>
      </c>
      <c r="E4406" s="38" t="s">
        <v>85</v>
      </c>
      <c r="F4406" s="38" t="s">
        <v>86</v>
      </c>
      <c r="G4406" s="49" t="str">
        <f t="shared" si="1"/>
        <v>59480</v>
      </c>
      <c r="H4406" s="49">
        <f t="shared" si="2"/>
        <v>59051</v>
      </c>
    </row>
    <row r="4407">
      <c r="A4407" s="48" t="s">
        <v>7186</v>
      </c>
      <c r="B4407" s="38">
        <v>59614.0</v>
      </c>
      <c r="C4407" s="38" t="s">
        <v>7187</v>
      </c>
      <c r="D4407" s="38" t="str">
        <f>IFERROR(__xludf.DUMMYFUNCTION("REGEXREPLACE(C4407,""-\d+(.*)|--\d+(.*)"","""")"),"VIESLY")</f>
        <v>VIESLY</v>
      </c>
      <c r="E4407" s="38" t="s">
        <v>85</v>
      </c>
      <c r="F4407" s="38" t="s">
        <v>86</v>
      </c>
      <c r="G4407" s="49" t="str">
        <f t="shared" si="1"/>
        <v>59271</v>
      </c>
      <c r="H4407" s="49">
        <f t="shared" si="2"/>
        <v>59614</v>
      </c>
    </row>
    <row r="4408">
      <c r="A4408" s="48" t="s">
        <v>7188</v>
      </c>
      <c r="B4408" s="38">
        <v>11235.0</v>
      </c>
      <c r="C4408" s="38" t="s">
        <v>7189</v>
      </c>
      <c r="D4408" s="38" t="str">
        <f>IFERROR(__xludf.DUMMYFUNCTION("REGEXREPLACE(C4408,""-\d+(.*)|--\d+(.*)"","""")"),"MISSEGRE")</f>
        <v>MISSEGRE</v>
      </c>
      <c r="E4408" s="38" t="s">
        <v>278</v>
      </c>
      <c r="F4408" s="38" t="s">
        <v>119</v>
      </c>
      <c r="G4408" s="49" t="str">
        <f t="shared" si="1"/>
        <v>11580</v>
      </c>
      <c r="H4408" s="49">
        <f t="shared" si="2"/>
        <v>11235</v>
      </c>
    </row>
    <row r="4409">
      <c r="A4409" s="48" t="s">
        <v>970</v>
      </c>
      <c r="B4409" s="38">
        <v>2136.0</v>
      </c>
      <c r="C4409" s="38" t="s">
        <v>7190</v>
      </c>
      <c r="D4409" s="38" t="str">
        <f>IFERROR(__xludf.DUMMYFUNCTION("REGEXREPLACE(C4409,""-\d+(.*)|--\d+(.*)"","""")"),"BURELLES")</f>
        <v>BURELLES</v>
      </c>
      <c r="E4409" s="38" t="s">
        <v>191</v>
      </c>
      <c r="F4409" s="38" t="s">
        <v>113</v>
      </c>
      <c r="G4409" s="49" t="str">
        <f t="shared" si="1"/>
        <v>02140</v>
      </c>
      <c r="H4409" s="49" t="str">
        <f t="shared" si="2"/>
        <v>02136</v>
      </c>
    </row>
    <row r="4410">
      <c r="A4410" s="48" t="s">
        <v>1441</v>
      </c>
      <c r="B4410" s="38">
        <v>52363.0</v>
      </c>
      <c r="C4410" s="38" t="s">
        <v>7191</v>
      </c>
      <c r="D4410" s="38" t="str">
        <f>IFERROR(__xludf.DUMMYFUNCTION("REGEXREPLACE(C4410,""-\d+(.*)|--\d+(.*)"","""")"),"ORBIGNY-AU-VAL")</f>
        <v>ORBIGNY-AU-VAL</v>
      </c>
      <c r="E4410" s="38" t="s">
        <v>234</v>
      </c>
      <c r="F4410" s="38" t="s">
        <v>130</v>
      </c>
      <c r="G4410" s="49" t="str">
        <f t="shared" si="1"/>
        <v>52360</v>
      </c>
      <c r="H4410" s="49">
        <f t="shared" si="2"/>
        <v>52363</v>
      </c>
    </row>
    <row r="4411">
      <c r="A4411" s="48" t="s">
        <v>7192</v>
      </c>
      <c r="B4411" s="38">
        <v>61065.0</v>
      </c>
      <c r="C4411" s="38" t="s">
        <v>7193</v>
      </c>
      <c r="D4411" s="38" t="str">
        <f>IFERROR(__xludf.DUMMYFUNCTION("REGEXREPLACE(C4411,""-\d+(.*)|--\d+(.*)"","""")"),"BUBERTRE")</f>
        <v>BUBERTRE</v>
      </c>
      <c r="E4411" s="38" t="s">
        <v>141</v>
      </c>
      <c r="F4411" s="38" t="s">
        <v>138</v>
      </c>
      <c r="G4411" s="49" t="str">
        <f t="shared" si="1"/>
        <v>61190</v>
      </c>
      <c r="H4411" s="49">
        <f t="shared" si="2"/>
        <v>61065</v>
      </c>
    </row>
    <row r="4412">
      <c r="A4412" s="48" t="s">
        <v>7194</v>
      </c>
      <c r="B4412" s="38">
        <v>70006.0</v>
      </c>
      <c r="C4412" s="38" t="s">
        <v>7195</v>
      </c>
      <c r="D4412" s="38" t="str">
        <f>IFERROR(__xludf.DUMMYFUNCTION("REGEXREPLACE(C4412,""-\d+(.*)|--\d+(.*)"","""")"),"AILLEVILLERS-ET-LYAUMONT")</f>
        <v>AILLEVILLERS-ET-LYAUMONT</v>
      </c>
      <c r="E4412" s="38" t="s">
        <v>956</v>
      </c>
      <c r="F4412" s="38" t="s">
        <v>214</v>
      </c>
      <c r="G4412" s="49" t="str">
        <f t="shared" si="1"/>
        <v>70320</v>
      </c>
      <c r="H4412" s="49">
        <f t="shared" si="2"/>
        <v>70006</v>
      </c>
    </row>
    <row r="4413">
      <c r="A4413" s="48" t="s">
        <v>2703</v>
      </c>
      <c r="B4413" s="38">
        <v>69138.0</v>
      </c>
      <c r="C4413" s="38" t="s">
        <v>7196</v>
      </c>
      <c r="D4413" s="38" t="str">
        <f>IFERROR(__xludf.DUMMYFUNCTION("REGEXREPLACE(C4413,""-\d+(.*)|--\d+(.*)"","""")"),"MONTROMANT")</f>
        <v>MONTROMANT</v>
      </c>
      <c r="E4413" s="38" t="s">
        <v>350</v>
      </c>
      <c r="F4413" s="38" t="s">
        <v>102</v>
      </c>
      <c r="G4413" s="49" t="str">
        <f t="shared" si="1"/>
        <v>69610</v>
      </c>
      <c r="H4413" s="49">
        <f t="shared" si="2"/>
        <v>69138</v>
      </c>
    </row>
    <row r="4414">
      <c r="A4414" s="48" t="s">
        <v>2748</v>
      </c>
      <c r="B4414" s="38">
        <v>32240.0</v>
      </c>
      <c r="C4414" s="38" t="s">
        <v>7197</v>
      </c>
      <c r="D4414" s="38" t="str">
        <f>IFERROR(__xludf.DUMMYFUNCTION("REGEXREPLACE(C4414,""-\d+(.*)|--\d+(.*)"","""")"),"MASCARAS")</f>
        <v>MASCARAS</v>
      </c>
      <c r="E4414" s="38" t="s">
        <v>440</v>
      </c>
      <c r="F4414" s="38" t="s">
        <v>94</v>
      </c>
      <c r="G4414" s="49" t="str">
        <f t="shared" si="1"/>
        <v>32230</v>
      </c>
      <c r="H4414" s="49">
        <f t="shared" si="2"/>
        <v>32240</v>
      </c>
    </row>
    <row r="4415">
      <c r="A4415" s="48" t="s">
        <v>6709</v>
      </c>
      <c r="B4415" s="38">
        <v>29266.0</v>
      </c>
      <c r="C4415" s="38" t="s">
        <v>7198</v>
      </c>
      <c r="D4415" s="38" t="str">
        <f>IFERROR(__xludf.DUMMYFUNCTION("REGEXREPLACE(C4415,""-\d+(.*)|--\d+(.*)"","""")"),"SAINT-THEGONNEC")</f>
        <v>SAINT-THEGONNEC</v>
      </c>
      <c r="E4415" s="38" t="s">
        <v>176</v>
      </c>
      <c r="F4415" s="38" t="s">
        <v>90</v>
      </c>
      <c r="G4415" s="49" t="str">
        <f t="shared" si="1"/>
        <v>29410</v>
      </c>
      <c r="H4415" s="49">
        <f t="shared" si="2"/>
        <v>29266</v>
      </c>
    </row>
    <row r="4416">
      <c r="A4416" s="48" t="s">
        <v>7199</v>
      </c>
      <c r="B4416" s="38">
        <v>76448.0</v>
      </c>
      <c r="C4416" s="38" t="s">
        <v>6356</v>
      </c>
      <c r="D4416" s="38" t="str">
        <f>IFERROR(__xludf.DUMMYFUNCTION("REGEXREPLACE(C4416,""-\d+(.*)|--\d+(.*)"","""")"),"MONTMAIN")</f>
        <v>MONTMAIN</v>
      </c>
      <c r="E4416" s="38" t="s">
        <v>133</v>
      </c>
      <c r="F4416" s="38" t="s">
        <v>134</v>
      </c>
      <c r="G4416" s="49" t="str">
        <f t="shared" si="1"/>
        <v>76520</v>
      </c>
      <c r="H4416" s="49">
        <f t="shared" si="2"/>
        <v>76448</v>
      </c>
    </row>
    <row r="4417">
      <c r="A4417" s="48" t="s">
        <v>4900</v>
      </c>
      <c r="B4417" s="38">
        <v>33407.0</v>
      </c>
      <c r="C4417" s="38" t="s">
        <v>7200</v>
      </c>
      <c r="D4417" s="38" t="str">
        <f>IFERROR(__xludf.DUMMYFUNCTION("REGEXREPLACE(C4417,""-\d+(.*)|--\d+(.*)"","""")"),"SAINT-GENES-DE-FRONSAC")</f>
        <v>SAINT-GENES-DE-FRONSAC</v>
      </c>
      <c r="E4417" s="38" t="s">
        <v>462</v>
      </c>
      <c r="F4417" s="38" t="s">
        <v>252</v>
      </c>
      <c r="G4417" s="49" t="str">
        <f t="shared" si="1"/>
        <v>33240</v>
      </c>
      <c r="H4417" s="49">
        <f t="shared" si="2"/>
        <v>33407</v>
      </c>
    </row>
    <row r="4418">
      <c r="A4418" s="48" t="s">
        <v>1310</v>
      </c>
      <c r="B4418" s="38">
        <v>25302.0</v>
      </c>
      <c r="C4418" s="38" t="s">
        <v>7201</v>
      </c>
      <c r="D4418" s="38" t="str">
        <f>IFERROR(__xludf.DUMMYFUNCTION("REGEXREPLACE(C4418,""-\d+(.*)|--\d+(.*)"","""")"),"HAUTEPIERRE-LE-CHATELET")</f>
        <v>HAUTEPIERRE-LE-CHATELET</v>
      </c>
      <c r="E4418" s="38" t="s">
        <v>213</v>
      </c>
      <c r="F4418" s="38" t="s">
        <v>214</v>
      </c>
      <c r="G4418" s="49" t="str">
        <f t="shared" si="1"/>
        <v>25580</v>
      </c>
      <c r="H4418" s="49">
        <f t="shared" si="2"/>
        <v>25302</v>
      </c>
    </row>
    <row r="4419">
      <c r="A4419" s="48" t="s">
        <v>1509</v>
      </c>
      <c r="B4419" s="38">
        <v>12235.0</v>
      </c>
      <c r="C4419" s="38" t="s">
        <v>7202</v>
      </c>
      <c r="D4419" s="38" t="str">
        <f>IFERROR(__xludf.DUMMYFUNCTION("REGEXREPLACE(C4419,""-\d+(.*)|--\d+(.*)"","""")"),"SAINT-JUST-SUR-VIAUR")</f>
        <v>SAINT-JUST-SUR-VIAUR</v>
      </c>
      <c r="E4419" s="38" t="s">
        <v>465</v>
      </c>
      <c r="F4419" s="38" t="s">
        <v>94</v>
      </c>
      <c r="G4419" s="49" t="str">
        <f t="shared" si="1"/>
        <v>12170</v>
      </c>
      <c r="H4419" s="49">
        <f t="shared" si="2"/>
        <v>12235</v>
      </c>
    </row>
    <row r="4420">
      <c r="A4420" s="48" t="s">
        <v>7203</v>
      </c>
      <c r="B4420" s="38">
        <v>49294.0</v>
      </c>
      <c r="C4420" s="38" t="s">
        <v>7204</v>
      </c>
      <c r="D4420" s="38" t="str">
        <f>IFERROR(__xludf.DUMMYFUNCTION("REGEXREPLACE(C4420,""-\d+(.*)|--\d+(.*)"","""")"),"SAINT-LAMBERT-LA-POTHERIE")</f>
        <v>SAINT-LAMBERT-LA-POTHERIE</v>
      </c>
      <c r="E4420" s="38" t="s">
        <v>653</v>
      </c>
      <c r="F4420" s="38" t="s">
        <v>180</v>
      </c>
      <c r="G4420" s="49" t="str">
        <f t="shared" si="1"/>
        <v>49070</v>
      </c>
      <c r="H4420" s="49">
        <f t="shared" si="2"/>
        <v>49294</v>
      </c>
    </row>
    <row r="4421">
      <c r="A4421" s="48" t="s">
        <v>2519</v>
      </c>
      <c r="B4421" s="38">
        <v>80407.0</v>
      </c>
      <c r="C4421" s="38" t="s">
        <v>7205</v>
      </c>
      <c r="D4421" s="38" t="str">
        <f>IFERROR(__xludf.DUMMYFUNCTION("REGEXREPLACE(C4421,""-\d+(.*)|--\d+(.*)"","""")"),"HALLIVILLERS")</f>
        <v>HALLIVILLERS</v>
      </c>
      <c r="E4421" s="38" t="s">
        <v>224</v>
      </c>
      <c r="F4421" s="38" t="s">
        <v>113</v>
      </c>
      <c r="G4421" s="49" t="str">
        <f t="shared" si="1"/>
        <v>80250</v>
      </c>
      <c r="H4421" s="49">
        <f t="shared" si="2"/>
        <v>80407</v>
      </c>
    </row>
    <row r="4422">
      <c r="A4422" s="48" t="s">
        <v>1151</v>
      </c>
      <c r="B4422" s="38">
        <v>58281.0</v>
      </c>
      <c r="C4422" s="38" t="s">
        <v>7206</v>
      </c>
      <c r="D4422" s="38" t="str">
        <f>IFERROR(__xludf.DUMMYFUNCTION("REGEXREPLACE(C4422,""-\d+(.*)|--\d+(.*)"","""")"),"SUILLY-LA-TOUR")</f>
        <v>SUILLY-LA-TOUR</v>
      </c>
      <c r="E4422" s="38" t="s">
        <v>219</v>
      </c>
      <c r="F4422" s="38" t="s">
        <v>106</v>
      </c>
      <c r="G4422" s="49" t="str">
        <f t="shared" si="1"/>
        <v>58150</v>
      </c>
      <c r="H4422" s="49">
        <f t="shared" si="2"/>
        <v>58281</v>
      </c>
    </row>
    <row r="4423">
      <c r="A4423" s="48" t="s">
        <v>3226</v>
      </c>
      <c r="B4423" s="38">
        <v>61219.0</v>
      </c>
      <c r="C4423" s="38" t="s">
        <v>7207</v>
      </c>
      <c r="D4423" s="38" t="str">
        <f>IFERROR(__xludf.DUMMYFUNCTION("REGEXREPLACE(C4423,""-\d+(.*)|--\d+(.*)"","""")"),"LA LANDE-SAINT-SIMEON")</f>
        <v>LA LANDE-SAINT-SIMEON</v>
      </c>
      <c r="E4423" s="38" t="s">
        <v>141</v>
      </c>
      <c r="F4423" s="38" t="s">
        <v>138</v>
      </c>
      <c r="G4423" s="49" t="str">
        <f t="shared" si="1"/>
        <v>61100</v>
      </c>
      <c r="H4423" s="49">
        <f t="shared" si="2"/>
        <v>61219</v>
      </c>
    </row>
    <row r="4424">
      <c r="A4424" s="48" t="s">
        <v>2368</v>
      </c>
      <c r="B4424" s="38">
        <v>65066.0</v>
      </c>
      <c r="C4424" s="38" t="s">
        <v>7208</v>
      </c>
      <c r="D4424" s="38" t="str">
        <f>IFERROR(__xludf.DUMMYFUNCTION("REGEXREPLACE(C4424,""-\d+(.*)|--\d+(.*)"","""")"),"BARRANCOUEU")</f>
        <v>BARRANCOUEU</v>
      </c>
      <c r="E4424" s="38" t="s">
        <v>200</v>
      </c>
      <c r="F4424" s="38" t="s">
        <v>94</v>
      </c>
      <c r="G4424" s="49" t="str">
        <f t="shared" si="1"/>
        <v>65240</v>
      </c>
      <c r="H4424" s="49">
        <f t="shared" si="2"/>
        <v>65066</v>
      </c>
    </row>
    <row r="4425">
      <c r="A4425" s="48" t="s">
        <v>691</v>
      </c>
      <c r="B4425" s="38">
        <v>64461.0</v>
      </c>
      <c r="C4425" s="38" t="s">
        <v>7209</v>
      </c>
      <c r="D4425" s="38" t="str">
        <f>IFERROR(__xludf.DUMMYFUNCTION("REGEXREPLACE(C4425,""-\d+(.*)|--\d+(.*)"","""")"),"PUYOO")</f>
        <v>PUYOO</v>
      </c>
      <c r="E4425" s="38" t="s">
        <v>268</v>
      </c>
      <c r="F4425" s="38" t="s">
        <v>252</v>
      </c>
      <c r="G4425" s="49" t="str">
        <f t="shared" si="1"/>
        <v>64270</v>
      </c>
      <c r="H4425" s="49">
        <f t="shared" si="2"/>
        <v>64461</v>
      </c>
    </row>
    <row r="4426">
      <c r="A4426" s="48" t="s">
        <v>7210</v>
      </c>
      <c r="B4426" s="38">
        <v>57602.0</v>
      </c>
      <c r="C4426" s="38" t="s">
        <v>7211</v>
      </c>
      <c r="D4426" s="38" t="str">
        <f>IFERROR(__xludf.DUMMYFUNCTION("REGEXREPLACE(C4426,""-\d+(.*)|--\d+(.*)"","""")"),"RURANGE-LES-THIONVILLE")</f>
        <v>RURANGE-LES-THIONVILLE</v>
      </c>
      <c r="E4426" s="38" t="s">
        <v>303</v>
      </c>
      <c r="F4426" s="38" t="s">
        <v>195</v>
      </c>
      <c r="G4426" s="49" t="str">
        <f t="shared" si="1"/>
        <v>57310</v>
      </c>
      <c r="H4426" s="49">
        <f t="shared" si="2"/>
        <v>57602</v>
      </c>
    </row>
    <row r="4427">
      <c r="A4427" s="48" t="s">
        <v>7212</v>
      </c>
      <c r="B4427" s="38">
        <v>68266.0</v>
      </c>
      <c r="C4427" s="38" t="s">
        <v>7213</v>
      </c>
      <c r="D4427" s="38" t="str">
        <f>IFERROR(__xludf.DUMMYFUNCTION("REGEXREPLACE(C4427,""-\d+(.*)|--\d+(.*)"","""")"),"REGUISHEIM")</f>
        <v>REGUISHEIM</v>
      </c>
      <c r="E4427" s="38" t="s">
        <v>150</v>
      </c>
      <c r="F4427" s="38" t="s">
        <v>151</v>
      </c>
      <c r="G4427" s="49" t="str">
        <f t="shared" si="1"/>
        <v>68890</v>
      </c>
      <c r="H4427" s="49">
        <f t="shared" si="2"/>
        <v>68266</v>
      </c>
    </row>
    <row r="4428">
      <c r="A4428" s="48" t="s">
        <v>1638</v>
      </c>
      <c r="B4428" s="38">
        <v>70194.0</v>
      </c>
      <c r="C4428" s="38" t="s">
        <v>7214</v>
      </c>
      <c r="D4428" s="38" t="str">
        <f>IFERROR(__xludf.DUMMYFUNCTION("REGEXREPLACE(C4428,""-\d+(.*)|--\d+(.*)"","""")"),"CUVE")</f>
        <v>CUVE</v>
      </c>
      <c r="E4428" s="38" t="s">
        <v>956</v>
      </c>
      <c r="F4428" s="38" t="s">
        <v>214</v>
      </c>
      <c r="G4428" s="49" t="str">
        <f t="shared" si="1"/>
        <v>70800</v>
      </c>
      <c r="H4428" s="49">
        <f t="shared" si="2"/>
        <v>70194</v>
      </c>
    </row>
    <row r="4429">
      <c r="A4429" s="48" t="s">
        <v>2981</v>
      </c>
      <c r="B4429" s="38">
        <v>21657.0</v>
      </c>
      <c r="C4429" s="38" t="s">
        <v>7215</v>
      </c>
      <c r="D4429" s="38" t="str">
        <f>IFERROR(__xludf.DUMMYFUNCTION("REGEXREPLACE(C4429,""-\d+(.*)|--\d+(.*)"","""")"),"VAROIS-ET-CHAIGNOT")</f>
        <v>VAROIS-ET-CHAIGNOT</v>
      </c>
      <c r="E4429" s="38" t="s">
        <v>105</v>
      </c>
      <c r="F4429" s="38" t="s">
        <v>106</v>
      </c>
      <c r="G4429" s="49" t="str">
        <f t="shared" si="1"/>
        <v>21490</v>
      </c>
      <c r="H4429" s="49">
        <f t="shared" si="2"/>
        <v>21657</v>
      </c>
    </row>
    <row r="4430">
      <c r="A4430" s="48" t="s">
        <v>639</v>
      </c>
      <c r="B4430" s="38">
        <v>16185.0</v>
      </c>
      <c r="C4430" s="38" t="s">
        <v>3941</v>
      </c>
      <c r="D4430" s="38" t="str">
        <f>IFERROR(__xludf.DUMMYFUNCTION("REGEXREPLACE(C4430,""-\d+(.*)|--\d+(.*)"","""")"),"LIGNE")</f>
        <v>LIGNE</v>
      </c>
      <c r="E4430" s="38" t="s">
        <v>429</v>
      </c>
      <c r="F4430" s="38" t="s">
        <v>338</v>
      </c>
      <c r="G4430" s="49" t="str">
        <f t="shared" si="1"/>
        <v>16140</v>
      </c>
      <c r="H4430" s="49">
        <f t="shared" si="2"/>
        <v>16185</v>
      </c>
    </row>
    <row r="4431">
      <c r="A4431" s="48" t="s">
        <v>425</v>
      </c>
      <c r="B4431" s="38">
        <v>88086.0</v>
      </c>
      <c r="C4431" s="38" t="s">
        <v>7216</v>
      </c>
      <c r="D4431" s="38" t="str">
        <f>IFERROR(__xludf.DUMMYFUNCTION("REGEXREPLACE(C4431,""-\d+(.*)|--\d+(.*)"","""")"),"CHAMP-LE-DUC")</f>
        <v>CHAMP-LE-DUC</v>
      </c>
      <c r="E4431" s="38" t="s">
        <v>194</v>
      </c>
      <c r="F4431" s="38" t="s">
        <v>195</v>
      </c>
      <c r="G4431" s="49" t="str">
        <f t="shared" si="1"/>
        <v>88600</v>
      </c>
      <c r="H4431" s="49">
        <f t="shared" si="2"/>
        <v>88086</v>
      </c>
    </row>
    <row r="4432">
      <c r="A4432" s="48" t="s">
        <v>792</v>
      </c>
      <c r="B4432" s="38">
        <v>2462.0</v>
      </c>
      <c r="C4432" s="38" t="s">
        <v>7217</v>
      </c>
      <c r="D4432" s="38" t="str">
        <f>IFERROR(__xludf.DUMMYFUNCTION("REGEXREPLACE(C4432,""-\d+(.*)|--\d+(.*)"","""")"),"MAREUIL-EN-DOLE")</f>
        <v>MAREUIL-EN-DOLE</v>
      </c>
      <c r="E4432" s="38" t="s">
        <v>191</v>
      </c>
      <c r="F4432" s="38" t="s">
        <v>113</v>
      </c>
      <c r="G4432" s="49" t="str">
        <f t="shared" si="1"/>
        <v>02130</v>
      </c>
      <c r="H4432" s="49" t="str">
        <f t="shared" si="2"/>
        <v>02462</v>
      </c>
    </row>
    <row r="4433">
      <c r="A4433" s="48" t="s">
        <v>7218</v>
      </c>
      <c r="B4433" s="38">
        <v>71325.0</v>
      </c>
      <c r="C4433" s="38" t="s">
        <v>7219</v>
      </c>
      <c r="D4433" s="38" t="str">
        <f>IFERROR(__xludf.DUMMYFUNCTION("REGEXREPLACE(C4433,""-\d+(.*)|--\d+(.*)"","""")"),"LA MOTTE-SAINT-JEAN")</f>
        <v>LA MOTTE-SAINT-JEAN</v>
      </c>
      <c r="E4433" s="38" t="s">
        <v>344</v>
      </c>
      <c r="F4433" s="38" t="s">
        <v>106</v>
      </c>
      <c r="G4433" s="49" t="str">
        <f t="shared" si="1"/>
        <v>71160</v>
      </c>
      <c r="H4433" s="49">
        <f t="shared" si="2"/>
        <v>71325</v>
      </c>
    </row>
    <row r="4434">
      <c r="A4434" s="48" t="s">
        <v>7220</v>
      </c>
      <c r="B4434" s="38">
        <v>56162.0</v>
      </c>
      <c r="C4434" s="38" t="s">
        <v>7221</v>
      </c>
      <c r="D4434" s="38" t="str">
        <f>IFERROR(__xludf.DUMMYFUNCTION("REGEXREPLACE(C4434,""-\d+(.*)|--\d+(.*)"","""")"),"PLOEMEUR")</f>
        <v>PLOEMEUR</v>
      </c>
      <c r="E4434" s="38" t="s">
        <v>173</v>
      </c>
      <c r="F4434" s="38" t="s">
        <v>90</v>
      </c>
      <c r="G4434" s="49" t="str">
        <f t="shared" si="1"/>
        <v>56270</v>
      </c>
      <c r="H4434" s="49">
        <f t="shared" si="2"/>
        <v>56162</v>
      </c>
    </row>
    <row r="4435">
      <c r="A4435" s="48" t="s">
        <v>2625</v>
      </c>
      <c r="B4435" s="38">
        <v>30048.0</v>
      </c>
      <c r="C4435" s="38" t="s">
        <v>7222</v>
      </c>
      <c r="D4435" s="38" t="str">
        <f>IFERROR(__xludf.DUMMYFUNCTION("REGEXREPLACE(C4435,""-\d+(.*)|--\d+(.*)"","""")"),"BOUQUET")</f>
        <v>BOUQUET</v>
      </c>
      <c r="E4435" s="38" t="s">
        <v>526</v>
      </c>
      <c r="F4435" s="38" t="s">
        <v>119</v>
      </c>
      <c r="G4435" s="49" t="str">
        <f t="shared" si="1"/>
        <v>30580</v>
      </c>
      <c r="H4435" s="49">
        <f t="shared" si="2"/>
        <v>30048</v>
      </c>
    </row>
    <row r="4436">
      <c r="A4436" s="48" t="s">
        <v>7223</v>
      </c>
      <c r="B4436" s="38">
        <v>63309.0</v>
      </c>
      <c r="C4436" s="38" t="s">
        <v>7224</v>
      </c>
      <c r="D4436" s="38" t="str">
        <f>IFERROR(__xludf.DUMMYFUNCTION("REGEXREPLACE(C4436,""-\d+(.*)|--\d+(.*)"","""")"),"SAILLANT")</f>
        <v>SAILLANT</v>
      </c>
      <c r="E4436" s="38" t="s">
        <v>353</v>
      </c>
      <c r="F4436" s="38" t="s">
        <v>161</v>
      </c>
      <c r="G4436" s="49" t="str">
        <f t="shared" si="1"/>
        <v>63840</v>
      </c>
      <c r="H4436" s="49">
        <f t="shared" si="2"/>
        <v>63309</v>
      </c>
    </row>
    <row r="4437">
      <c r="A4437" s="48" t="s">
        <v>7225</v>
      </c>
      <c r="B4437" s="38">
        <v>5183.0</v>
      </c>
      <c r="C4437" s="38" t="s">
        <v>7226</v>
      </c>
      <c r="D4437" s="38" t="str">
        <f>IFERROR(__xludf.DUMMYFUNCTION("REGEXREPLACE(C4437,""-\d+(.*)|--\d+(.*)"","""")"),"VILLAR-SAINT-PANCRACE")</f>
        <v>VILLAR-SAINT-PANCRACE</v>
      </c>
      <c r="E4437" s="38" t="s">
        <v>706</v>
      </c>
      <c r="F4437" s="38" t="s">
        <v>228</v>
      </c>
      <c r="G4437" s="49" t="str">
        <f t="shared" si="1"/>
        <v>05100</v>
      </c>
      <c r="H4437" s="49" t="str">
        <f t="shared" si="2"/>
        <v>05183</v>
      </c>
    </row>
    <row r="4438">
      <c r="A4438" s="48" t="s">
        <v>862</v>
      </c>
      <c r="B4438" s="38">
        <v>27385.0</v>
      </c>
      <c r="C4438" s="38" t="s">
        <v>7227</v>
      </c>
      <c r="D4438" s="38" t="str">
        <f>IFERROR(__xludf.DUMMYFUNCTION("REGEXREPLACE(C4438,""-\d+(.*)|--\d+(.*)"","""")"),"MANNEVILLE-SUR-RISLE")</f>
        <v>MANNEVILLE-SUR-RISLE</v>
      </c>
      <c r="E4438" s="38" t="s">
        <v>241</v>
      </c>
      <c r="F4438" s="38" t="s">
        <v>134</v>
      </c>
      <c r="G4438" s="49" t="str">
        <f t="shared" si="1"/>
        <v>27500</v>
      </c>
      <c r="H4438" s="49">
        <f t="shared" si="2"/>
        <v>27385</v>
      </c>
    </row>
    <row r="4439">
      <c r="A4439" s="48" t="s">
        <v>7228</v>
      </c>
      <c r="B4439" s="38">
        <v>50333.0</v>
      </c>
      <c r="C4439" s="38" t="s">
        <v>7229</v>
      </c>
      <c r="D4439" s="38" t="str">
        <f>IFERROR(__xludf.DUMMYFUNCTION("REGEXREPLACE(C4439,""-\d+(.*)|--\d+(.*)"","""")"),"LES MOITIERS-EN-BAUPTOIS")</f>
        <v>LES MOITIERS-EN-BAUPTOIS</v>
      </c>
      <c r="E4439" s="38" t="s">
        <v>157</v>
      </c>
      <c r="F4439" s="38" t="s">
        <v>138</v>
      </c>
      <c r="G4439" s="49" t="str">
        <f t="shared" si="1"/>
        <v>50360</v>
      </c>
      <c r="H4439" s="49">
        <f t="shared" si="2"/>
        <v>50333</v>
      </c>
    </row>
    <row r="4440">
      <c r="A4440" s="48" t="s">
        <v>1018</v>
      </c>
      <c r="B4440" s="38">
        <v>60401.0</v>
      </c>
      <c r="C4440" s="38" t="s">
        <v>7230</v>
      </c>
      <c r="D4440" s="38" t="str">
        <f>IFERROR(__xludf.DUMMYFUNCTION("REGEXREPLACE(C4440,""-\d+(.*)|--\d+(.*)"","""")"),"LE MESNIL-THERIBUS")</f>
        <v>LE MESNIL-THERIBUS</v>
      </c>
      <c r="E4440" s="38" t="s">
        <v>112</v>
      </c>
      <c r="F4440" s="38" t="s">
        <v>113</v>
      </c>
      <c r="G4440" s="49" t="str">
        <f t="shared" si="1"/>
        <v>60240</v>
      </c>
      <c r="H4440" s="49">
        <f t="shared" si="2"/>
        <v>60401</v>
      </c>
    </row>
    <row r="4441">
      <c r="A4441" s="48" t="s">
        <v>7231</v>
      </c>
      <c r="B4441" s="38">
        <v>54289.0</v>
      </c>
      <c r="C4441" s="38" t="s">
        <v>7232</v>
      </c>
      <c r="D4441" s="38" t="str">
        <f>IFERROR(__xludf.DUMMYFUNCTION("REGEXREPLACE(C4441,""-\d+(.*)|--\d+(.*)"","""")"),"LAITRE-SOUS-AMANCE")</f>
        <v>LAITRE-SOUS-AMANCE</v>
      </c>
      <c r="E4441" s="38" t="s">
        <v>548</v>
      </c>
      <c r="F4441" s="38" t="s">
        <v>195</v>
      </c>
      <c r="G4441" s="49" t="str">
        <f t="shared" si="1"/>
        <v>54770</v>
      </c>
      <c r="H4441" s="49">
        <f t="shared" si="2"/>
        <v>54289</v>
      </c>
    </row>
    <row r="4442">
      <c r="A4442" s="48" t="s">
        <v>103</v>
      </c>
      <c r="B4442" s="38">
        <v>21645.0</v>
      </c>
      <c r="C4442" s="38" t="s">
        <v>7233</v>
      </c>
      <c r="D4442" s="38" t="str">
        <f>IFERROR(__xludf.DUMMYFUNCTION("REGEXREPLACE(C4442,""-\d+(.*)|--\d+(.*)"","""")"),"TROUHANS")</f>
        <v>TROUHANS</v>
      </c>
      <c r="E4442" s="38" t="s">
        <v>105</v>
      </c>
      <c r="F4442" s="38" t="s">
        <v>106</v>
      </c>
      <c r="G4442" s="49" t="str">
        <f t="shared" si="1"/>
        <v>21170</v>
      </c>
      <c r="H4442" s="49">
        <f t="shared" si="2"/>
        <v>21645</v>
      </c>
    </row>
    <row r="4443">
      <c r="A4443" s="48" t="s">
        <v>1321</v>
      </c>
      <c r="B4443" s="38">
        <v>67412.0</v>
      </c>
      <c r="C4443" s="38" t="s">
        <v>7234</v>
      </c>
      <c r="D4443" s="38" t="str">
        <f>IFERROR(__xludf.DUMMYFUNCTION("REGEXREPLACE(C4443,""-\d+(.*)|--\d+(.*)"","""")"),"ROSSFELD")</f>
        <v>ROSSFELD</v>
      </c>
      <c r="E4443" s="38" t="s">
        <v>210</v>
      </c>
      <c r="F4443" s="38" t="s">
        <v>151</v>
      </c>
      <c r="G4443" s="49" t="str">
        <f t="shared" si="1"/>
        <v>67230</v>
      </c>
      <c r="H4443" s="49">
        <f t="shared" si="2"/>
        <v>67412</v>
      </c>
    </row>
    <row r="4444">
      <c r="A4444" s="48" t="s">
        <v>2116</v>
      </c>
      <c r="B4444" s="38">
        <v>26188.0</v>
      </c>
      <c r="C4444" s="38" t="s">
        <v>7235</v>
      </c>
      <c r="D4444" s="38" t="str">
        <f>IFERROR(__xludf.DUMMYFUNCTION("REGEXREPLACE(C4444,""-\d+(.*)|--\d+(.*)"","""")"),"MOLLANS-SUR-OUVEZE")</f>
        <v>MOLLANS-SUR-OUVEZE</v>
      </c>
      <c r="E4444" s="38" t="s">
        <v>126</v>
      </c>
      <c r="F4444" s="38" t="s">
        <v>102</v>
      </c>
      <c r="G4444" s="49" t="str">
        <f t="shared" si="1"/>
        <v>26170</v>
      </c>
      <c r="H4444" s="49">
        <f t="shared" si="2"/>
        <v>26188</v>
      </c>
    </row>
    <row r="4445">
      <c r="A4445" s="48" t="s">
        <v>858</v>
      </c>
      <c r="B4445" s="38">
        <v>77511.0</v>
      </c>
      <c r="C4445" s="38" t="s">
        <v>7236</v>
      </c>
      <c r="D4445" s="38" t="str">
        <f>IFERROR(__xludf.DUMMYFUNCTION("REGEXREPLACE(C4445,""-\d+(.*)|--\d+(.*)"","""")"),"VILLENEUVE-SOUS-DAMMARTIN")</f>
        <v>VILLENEUVE-SOUS-DAMMARTIN</v>
      </c>
      <c r="E4445" s="38" t="s">
        <v>244</v>
      </c>
      <c r="F4445" s="38" t="s">
        <v>245</v>
      </c>
      <c r="G4445" s="49" t="str">
        <f t="shared" si="1"/>
        <v>77230</v>
      </c>
      <c r="H4445" s="49">
        <f t="shared" si="2"/>
        <v>77511</v>
      </c>
    </row>
    <row r="4446">
      <c r="A4446" s="48" t="s">
        <v>7237</v>
      </c>
      <c r="B4446" s="38">
        <v>17045.0</v>
      </c>
      <c r="C4446" s="38" t="s">
        <v>7238</v>
      </c>
      <c r="D4446" s="38" t="str">
        <f>IFERROR(__xludf.DUMMYFUNCTION("REGEXREPLACE(C4446,""-\d+(.*)|--\d+(.*)"","""")"),"BEURLAY")</f>
        <v>BEURLAY</v>
      </c>
      <c r="E4446" s="38" t="s">
        <v>488</v>
      </c>
      <c r="F4446" s="38" t="s">
        <v>338</v>
      </c>
      <c r="G4446" s="49" t="str">
        <f t="shared" si="1"/>
        <v>17250</v>
      </c>
      <c r="H4446" s="49">
        <f t="shared" si="2"/>
        <v>17045</v>
      </c>
    </row>
    <row r="4447">
      <c r="A4447" s="48" t="s">
        <v>7239</v>
      </c>
      <c r="B4447" s="38">
        <v>24009.0</v>
      </c>
      <c r="C4447" s="38" t="s">
        <v>7240</v>
      </c>
      <c r="D4447" s="38" t="str">
        <f>IFERROR(__xludf.DUMMYFUNCTION("REGEXREPLACE(C4447,""-\d+(.*)|--\d+(.*)"","""")"),"ANLHIAC")</f>
        <v>ANLHIAC</v>
      </c>
      <c r="E4447" s="38" t="s">
        <v>261</v>
      </c>
      <c r="F4447" s="38" t="s">
        <v>252</v>
      </c>
      <c r="G4447" s="49" t="str">
        <f t="shared" si="1"/>
        <v>24160</v>
      </c>
      <c r="H4447" s="49">
        <f t="shared" si="2"/>
        <v>24009</v>
      </c>
    </row>
    <row r="4448">
      <c r="A4448" s="48" t="s">
        <v>2530</v>
      </c>
      <c r="B4448" s="38">
        <v>79004.0</v>
      </c>
      <c r="C4448" s="38" t="s">
        <v>7241</v>
      </c>
      <c r="D4448" s="38" t="str">
        <f>IFERROR(__xludf.DUMMYFUNCTION("REGEXREPLACE(C4448,""-\d+(.*)|--\d+(.*)"","""")"),"AIGONNAY")</f>
        <v>AIGONNAY</v>
      </c>
      <c r="E4448" s="38" t="s">
        <v>337</v>
      </c>
      <c r="F4448" s="38" t="s">
        <v>338</v>
      </c>
      <c r="G4448" s="49" t="str">
        <f t="shared" si="1"/>
        <v>79370</v>
      </c>
      <c r="H4448" s="49">
        <f t="shared" si="2"/>
        <v>79004</v>
      </c>
    </row>
    <row r="4449">
      <c r="A4449" s="48" t="s">
        <v>2459</v>
      </c>
      <c r="B4449" s="38" t="s">
        <v>7242</v>
      </c>
      <c r="C4449" s="38" t="s">
        <v>7243</v>
      </c>
      <c r="D4449" s="38" t="str">
        <f>IFERROR(__xludf.DUMMYFUNCTION("REGEXREPLACE(C4449,""-\d+(.*)|--\d+(.*)"","""")"),"SORBO-OCAGNANO")</f>
        <v>SORBO-OCAGNANO</v>
      </c>
      <c r="E4449" s="38" t="s">
        <v>743</v>
      </c>
      <c r="F4449" s="38" t="s">
        <v>607</v>
      </c>
      <c r="G4449" s="49" t="str">
        <f t="shared" si="1"/>
        <v>20213</v>
      </c>
      <c r="H4449" s="49" t="str">
        <f t="shared" si="2"/>
        <v>2B286</v>
      </c>
    </row>
    <row r="4450">
      <c r="A4450" s="48" t="s">
        <v>390</v>
      </c>
      <c r="B4450" s="38">
        <v>11293.0</v>
      </c>
      <c r="C4450" s="38" t="s">
        <v>7244</v>
      </c>
      <c r="D4450" s="38" t="str">
        <f>IFERROR(__xludf.DUMMYFUNCTION("REGEXREPLACE(C4450,""-\d+(.*)|--\d+(.*)"","""")"),"POMAS")</f>
        <v>POMAS</v>
      </c>
      <c r="E4450" s="38" t="s">
        <v>278</v>
      </c>
      <c r="F4450" s="38" t="s">
        <v>119</v>
      </c>
      <c r="G4450" s="49" t="str">
        <f t="shared" si="1"/>
        <v>11250</v>
      </c>
      <c r="H4450" s="49">
        <f t="shared" si="2"/>
        <v>11293</v>
      </c>
    </row>
    <row r="4451">
      <c r="A4451" s="48" t="s">
        <v>7245</v>
      </c>
      <c r="B4451" s="38">
        <v>53074.0</v>
      </c>
      <c r="C4451" s="38" t="s">
        <v>7246</v>
      </c>
      <c r="D4451" s="38" t="str">
        <f>IFERROR(__xludf.DUMMYFUNCTION("REGEXREPLACE(C4451,""-\d+(.*)|--\d+(.*)"","""")"),"CONTEST")</f>
        <v>CONTEST</v>
      </c>
      <c r="E4451" s="38" t="s">
        <v>518</v>
      </c>
      <c r="F4451" s="38" t="s">
        <v>180</v>
      </c>
      <c r="G4451" s="49" t="str">
        <f t="shared" si="1"/>
        <v>53100</v>
      </c>
      <c r="H4451" s="49">
        <f t="shared" si="2"/>
        <v>53074</v>
      </c>
    </row>
    <row r="4452">
      <c r="A4452" s="48" t="s">
        <v>7247</v>
      </c>
      <c r="B4452" s="38">
        <v>24510.0</v>
      </c>
      <c r="C4452" s="38" t="s">
        <v>7248</v>
      </c>
      <c r="D4452" s="38" t="str">
        <f>IFERROR(__xludf.DUMMYFUNCTION("REGEXREPLACE(C4452,""-\d+(.*)|--\d+(.*)"","""")"),"SAINT-VINCENT-DE-COSSE")</f>
        <v>SAINT-VINCENT-DE-COSSE</v>
      </c>
      <c r="E4452" s="38" t="s">
        <v>261</v>
      </c>
      <c r="F4452" s="38" t="s">
        <v>252</v>
      </c>
      <c r="G4452" s="49" t="str">
        <f t="shared" si="1"/>
        <v>24220</v>
      </c>
      <c r="H4452" s="49">
        <f t="shared" si="2"/>
        <v>24510</v>
      </c>
    </row>
    <row r="4453">
      <c r="A4453" s="48" t="s">
        <v>1800</v>
      </c>
      <c r="B4453" s="38">
        <v>88333.0</v>
      </c>
      <c r="C4453" s="38" t="s">
        <v>7249</v>
      </c>
      <c r="D4453" s="38" t="str">
        <f>IFERROR(__xludf.DUMMYFUNCTION("REGEXREPLACE(C4453,""-\d+(.*)|--\d+(.*)"","""")"),"NOSSONCOURT")</f>
        <v>NOSSONCOURT</v>
      </c>
      <c r="E4453" s="38" t="s">
        <v>194</v>
      </c>
      <c r="F4453" s="38" t="s">
        <v>195</v>
      </c>
      <c r="G4453" s="49" t="str">
        <f t="shared" si="1"/>
        <v>88700</v>
      </c>
      <c r="H4453" s="49">
        <f t="shared" si="2"/>
        <v>88333</v>
      </c>
    </row>
    <row r="4454">
      <c r="A4454" s="48" t="s">
        <v>7250</v>
      </c>
      <c r="B4454" s="38">
        <v>89475.0</v>
      </c>
      <c r="C4454" s="38" t="s">
        <v>7251</v>
      </c>
      <c r="D4454" s="38" t="str">
        <f>IFERROR(__xludf.DUMMYFUNCTION("REGEXREPLACE(C4454,""-\d+(.*)|--\d+(.*)"","""")"),"VILLON")</f>
        <v>VILLON</v>
      </c>
      <c r="E4454" s="38" t="s">
        <v>275</v>
      </c>
      <c r="F4454" s="38" t="s">
        <v>106</v>
      </c>
      <c r="G4454" s="49" t="str">
        <f t="shared" si="1"/>
        <v>89740</v>
      </c>
      <c r="H4454" s="49">
        <f t="shared" si="2"/>
        <v>89475</v>
      </c>
    </row>
    <row r="4455">
      <c r="A4455" s="48" t="s">
        <v>7252</v>
      </c>
      <c r="B4455" s="38">
        <v>44182.0</v>
      </c>
      <c r="C4455" s="38" t="s">
        <v>7253</v>
      </c>
      <c r="D4455" s="38" t="str">
        <f>IFERROR(__xludf.DUMMYFUNCTION("REGEXREPLACE(C4455,""-\d+(.*)|--\d+(.*)"","""")"),"SAINT-MICHEL-CHEF-CHEF")</f>
        <v>SAINT-MICHEL-CHEF-CHEF</v>
      </c>
      <c r="E4455" s="38" t="s">
        <v>759</v>
      </c>
      <c r="F4455" s="38" t="s">
        <v>180</v>
      </c>
      <c r="G4455" s="49" t="str">
        <f t="shared" si="1"/>
        <v>44730</v>
      </c>
      <c r="H4455" s="49">
        <f t="shared" si="2"/>
        <v>44182</v>
      </c>
    </row>
    <row r="4456">
      <c r="A4456" s="48" t="s">
        <v>7254</v>
      </c>
      <c r="B4456" s="38">
        <v>63273.0</v>
      </c>
      <c r="C4456" s="38" t="s">
        <v>7255</v>
      </c>
      <c r="D4456" s="38" t="str">
        <f>IFERROR(__xludf.DUMMYFUNCTION("REGEXREPLACE(C4456,""-\d+(.*)|--\d+(.*)"","""")"),"PERIGNAT-SUR-ALLIER")</f>
        <v>PERIGNAT-SUR-ALLIER</v>
      </c>
      <c r="E4456" s="38" t="s">
        <v>353</v>
      </c>
      <c r="F4456" s="38" t="s">
        <v>161</v>
      </c>
      <c r="G4456" s="49" t="str">
        <f t="shared" si="1"/>
        <v>63800</v>
      </c>
      <c r="H4456" s="49">
        <f t="shared" si="2"/>
        <v>63273</v>
      </c>
    </row>
    <row r="4457">
      <c r="A4457" s="48" t="s">
        <v>415</v>
      </c>
      <c r="B4457" s="38">
        <v>21181.0</v>
      </c>
      <c r="C4457" s="38" t="s">
        <v>7256</v>
      </c>
      <c r="D4457" s="38" t="str">
        <f>IFERROR(__xludf.DUMMYFUNCTION("REGEXREPLACE(C4457,""-\d+(.*)|--\d+(.*)"","""")"),"CLOMOT")</f>
        <v>CLOMOT</v>
      </c>
      <c r="E4457" s="38" t="s">
        <v>105</v>
      </c>
      <c r="F4457" s="38" t="s">
        <v>106</v>
      </c>
      <c r="G4457" s="49" t="str">
        <f t="shared" si="1"/>
        <v>21230</v>
      </c>
      <c r="H4457" s="49">
        <f t="shared" si="2"/>
        <v>21181</v>
      </c>
    </row>
    <row r="4458">
      <c r="A4458" s="48" t="s">
        <v>6622</v>
      </c>
      <c r="B4458" s="38">
        <v>33380.0</v>
      </c>
      <c r="C4458" s="38" t="s">
        <v>7257</v>
      </c>
      <c r="D4458" s="38" t="str">
        <f>IFERROR(__xludf.DUMMYFUNCTION("REGEXREPLACE(C4458,""-\d+(.*)|--\d+(.*)"","""")"),"SAINT-CAPRAIS-DE-BLAYE")</f>
        <v>SAINT-CAPRAIS-DE-BLAYE</v>
      </c>
      <c r="E4458" s="38" t="s">
        <v>462</v>
      </c>
      <c r="F4458" s="38" t="s">
        <v>252</v>
      </c>
      <c r="G4458" s="49" t="str">
        <f t="shared" si="1"/>
        <v>33820</v>
      </c>
      <c r="H4458" s="49">
        <f t="shared" si="2"/>
        <v>33380</v>
      </c>
    </row>
    <row r="4459">
      <c r="A4459" s="48" t="s">
        <v>4703</v>
      </c>
      <c r="B4459" s="38">
        <v>66051.0</v>
      </c>
      <c r="C4459" s="38" t="s">
        <v>7258</v>
      </c>
      <c r="D4459" s="38" t="str">
        <f>IFERROR(__xludf.DUMMYFUNCTION("REGEXREPLACE(C4459,""-\d+(.*)|--\d+(.*)"","""")"),"CLARA")</f>
        <v>CLARA</v>
      </c>
      <c r="E4459" s="38" t="s">
        <v>248</v>
      </c>
      <c r="F4459" s="38" t="s">
        <v>119</v>
      </c>
      <c r="G4459" s="49" t="str">
        <f t="shared" si="1"/>
        <v>66500</v>
      </c>
      <c r="H4459" s="49">
        <f t="shared" si="2"/>
        <v>66051</v>
      </c>
    </row>
    <row r="4460">
      <c r="A4460" s="48" t="s">
        <v>5214</v>
      </c>
      <c r="B4460" s="38">
        <v>9214.0</v>
      </c>
      <c r="C4460" s="38" t="s">
        <v>7259</v>
      </c>
      <c r="D4460" s="38" t="str">
        <f>IFERROR(__xludf.DUMMYFUNCTION("REGEXREPLACE(C4460,""-\d+(.*)|--\d+(.*)"","""")"),"MOULIS")</f>
        <v>MOULIS</v>
      </c>
      <c r="E4460" s="38" t="s">
        <v>238</v>
      </c>
      <c r="F4460" s="38" t="s">
        <v>94</v>
      </c>
      <c r="G4460" s="49" t="str">
        <f t="shared" si="1"/>
        <v>09200</v>
      </c>
      <c r="H4460" s="49" t="str">
        <f t="shared" si="2"/>
        <v>09214</v>
      </c>
    </row>
    <row r="4461">
      <c r="A4461" s="48" t="s">
        <v>1592</v>
      </c>
      <c r="B4461" s="38">
        <v>40263.0</v>
      </c>
      <c r="C4461" s="38" t="s">
        <v>7260</v>
      </c>
      <c r="D4461" s="38" t="str">
        <f>IFERROR(__xludf.DUMMYFUNCTION("REGEXREPLACE(C4461,""-\d+(.*)|--\d+(.*)"","""")"),"SAINT-JEAN-DE-LIER")</f>
        <v>SAINT-JEAN-DE-LIER</v>
      </c>
      <c r="E4461" s="38" t="s">
        <v>281</v>
      </c>
      <c r="F4461" s="38" t="s">
        <v>252</v>
      </c>
      <c r="G4461" s="49" t="str">
        <f t="shared" si="1"/>
        <v>40380</v>
      </c>
      <c r="H4461" s="49">
        <f t="shared" si="2"/>
        <v>40263</v>
      </c>
    </row>
    <row r="4462">
      <c r="A4462" s="48" t="s">
        <v>1079</v>
      </c>
      <c r="B4462" s="38">
        <v>24116.0</v>
      </c>
      <c r="C4462" s="38" t="s">
        <v>7261</v>
      </c>
      <c r="D4462" s="38" t="str">
        <f>IFERROR(__xludf.DUMMYFUNCTION("REGEXREPLACE(C4462,""-\d+(.*)|--\d+(.*)"","""")"),"CHATRES")</f>
        <v>CHATRES</v>
      </c>
      <c r="E4462" s="38" t="s">
        <v>261</v>
      </c>
      <c r="F4462" s="38" t="s">
        <v>252</v>
      </c>
      <c r="G4462" s="49" t="str">
        <f t="shared" si="1"/>
        <v>24120</v>
      </c>
      <c r="H4462" s="49">
        <f t="shared" si="2"/>
        <v>24116</v>
      </c>
    </row>
    <row r="4463">
      <c r="A4463" s="48" t="s">
        <v>7075</v>
      </c>
      <c r="B4463" s="38">
        <v>27390.0</v>
      </c>
      <c r="C4463" s="38" t="s">
        <v>7262</v>
      </c>
      <c r="D4463" s="38" t="str">
        <f>IFERROR(__xludf.DUMMYFUNCTION("REGEXREPLACE(C4463,""-\d+(.*)|--\d+(.*)"","""")"),"MARCILLY-LA-CAMPAGNE")</f>
        <v>MARCILLY-LA-CAMPAGNE</v>
      </c>
      <c r="E4463" s="38" t="s">
        <v>241</v>
      </c>
      <c r="F4463" s="38" t="s">
        <v>134</v>
      </c>
      <c r="G4463" s="49" t="str">
        <f t="shared" si="1"/>
        <v>27320</v>
      </c>
      <c r="H4463" s="49">
        <f t="shared" si="2"/>
        <v>27390</v>
      </c>
    </row>
    <row r="4464">
      <c r="A4464" s="48" t="s">
        <v>7263</v>
      </c>
      <c r="B4464" s="38">
        <v>88228.0</v>
      </c>
      <c r="C4464" s="38" t="s">
        <v>7264</v>
      </c>
      <c r="D4464" s="38" t="str">
        <f>IFERROR(__xludf.DUMMYFUNCTION("REGEXREPLACE(C4464,""-\d+(.*)|--\d+(.*)"","""")"),"HAILLAINVILLE")</f>
        <v>HAILLAINVILLE</v>
      </c>
      <c r="E4464" s="38" t="s">
        <v>194</v>
      </c>
      <c r="F4464" s="38" t="s">
        <v>195</v>
      </c>
      <c r="G4464" s="49" t="str">
        <f t="shared" si="1"/>
        <v>88330</v>
      </c>
      <c r="H4464" s="49">
        <f t="shared" si="2"/>
        <v>88228</v>
      </c>
    </row>
    <row r="4465">
      <c r="A4465" s="48" t="s">
        <v>7265</v>
      </c>
      <c r="B4465" s="38">
        <v>68135.0</v>
      </c>
      <c r="C4465" s="38" t="s">
        <v>7266</v>
      </c>
      <c r="D4465" s="38" t="str">
        <f>IFERROR(__xludf.DUMMYFUNCTION("REGEXREPLACE(C4465,""-\d+(.*)|--\d+(.*)"","""")"),"HESINGUE")</f>
        <v>HESINGUE</v>
      </c>
      <c r="E4465" s="38" t="s">
        <v>150</v>
      </c>
      <c r="F4465" s="38" t="s">
        <v>151</v>
      </c>
      <c r="G4465" s="49" t="str">
        <f t="shared" si="1"/>
        <v>68220</v>
      </c>
      <c r="H4465" s="49">
        <f t="shared" si="2"/>
        <v>68135</v>
      </c>
    </row>
    <row r="4466">
      <c r="A4466" s="48" t="s">
        <v>2485</v>
      </c>
      <c r="B4466" s="38">
        <v>78522.0</v>
      </c>
      <c r="C4466" s="38" t="s">
        <v>7267</v>
      </c>
      <c r="D4466" s="38" t="str">
        <f>IFERROR(__xludf.DUMMYFUNCTION("REGEXREPLACE(C4466,""-\d+(.*)|--\d+(.*)"","""")"),"ROCHEFORT-EN-YVELINES")</f>
        <v>ROCHEFORT-EN-YVELINES</v>
      </c>
      <c r="E4466" s="38" t="s">
        <v>362</v>
      </c>
      <c r="F4466" s="38" t="s">
        <v>245</v>
      </c>
      <c r="G4466" s="49" t="str">
        <f t="shared" si="1"/>
        <v>78730</v>
      </c>
      <c r="H4466" s="49">
        <f t="shared" si="2"/>
        <v>78522</v>
      </c>
    </row>
    <row r="4467">
      <c r="A4467" s="48" t="s">
        <v>3810</v>
      </c>
      <c r="B4467" s="38">
        <v>77272.0</v>
      </c>
      <c r="C4467" s="38" t="s">
        <v>7268</v>
      </c>
      <c r="D4467" s="38" t="str">
        <f>IFERROR(__xludf.DUMMYFUNCTION("REGEXREPLACE(C4467,""-\d+(.*)|--\d+(.*)"","""")"),"MAISON-ROUGE")</f>
        <v>MAISON-ROUGE</v>
      </c>
      <c r="E4467" s="38" t="s">
        <v>244</v>
      </c>
      <c r="F4467" s="38" t="s">
        <v>245</v>
      </c>
      <c r="G4467" s="49" t="str">
        <f t="shared" si="1"/>
        <v>77370</v>
      </c>
      <c r="H4467" s="49">
        <f t="shared" si="2"/>
        <v>77272</v>
      </c>
    </row>
    <row r="4468">
      <c r="A4468" s="48" t="s">
        <v>1424</v>
      </c>
      <c r="B4468" s="38">
        <v>86131.0</v>
      </c>
      <c r="C4468" s="38" t="s">
        <v>7269</v>
      </c>
      <c r="D4468" s="38" t="str">
        <f>IFERROR(__xludf.DUMMYFUNCTION("REGEXREPLACE(C4468,""-\d+(.*)|--\d+(.*)"","""")"),"LHOMMAIZE")</f>
        <v>LHOMMAIZE</v>
      </c>
      <c r="E4468" s="38" t="s">
        <v>529</v>
      </c>
      <c r="F4468" s="38" t="s">
        <v>338</v>
      </c>
      <c r="G4468" s="49" t="str">
        <f t="shared" si="1"/>
        <v>86410</v>
      </c>
      <c r="H4468" s="49">
        <f t="shared" si="2"/>
        <v>86131</v>
      </c>
    </row>
    <row r="4469">
      <c r="A4469" s="48" t="s">
        <v>4504</v>
      </c>
      <c r="B4469" s="38">
        <v>40164.0</v>
      </c>
      <c r="C4469" s="38" t="s">
        <v>7270</v>
      </c>
      <c r="D4469" s="38" t="str">
        <f>IFERROR(__xludf.DUMMYFUNCTION("REGEXREPLACE(C4469,""-\d+(.*)|--\d+(.*)"","""")"),"RETJONS")</f>
        <v>RETJONS</v>
      </c>
      <c r="E4469" s="38" t="s">
        <v>281</v>
      </c>
      <c r="F4469" s="38" t="s">
        <v>252</v>
      </c>
      <c r="G4469" s="49" t="str">
        <f t="shared" si="1"/>
        <v>40120</v>
      </c>
      <c r="H4469" s="49">
        <f t="shared" si="2"/>
        <v>40164</v>
      </c>
    </row>
    <row r="4470">
      <c r="A4470" s="48" t="s">
        <v>335</v>
      </c>
      <c r="B4470" s="38">
        <v>79213.0</v>
      </c>
      <c r="C4470" s="38" t="s">
        <v>7271</v>
      </c>
      <c r="D4470" s="38" t="str">
        <f>IFERROR(__xludf.DUMMYFUNCTION("REGEXREPLACE(C4470,""-\d+(.*)|--\d+(.*)"","""")"),"POMPAIRE")</f>
        <v>POMPAIRE</v>
      </c>
      <c r="E4470" s="38" t="s">
        <v>337</v>
      </c>
      <c r="F4470" s="38" t="s">
        <v>338</v>
      </c>
      <c r="G4470" s="49" t="str">
        <f t="shared" si="1"/>
        <v>79200</v>
      </c>
      <c r="H4470" s="49">
        <f t="shared" si="2"/>
        <v>79213</v>
      </c>
    </row>
    <row r="4471">
      <c r="A4471" s="48" t="s">
        <v>1800</v>
      </c>
      <c r="B4471" s="38">
        <v>88521.0</v>
      </c>
      <c r="C4471" s="38" t="s">
        <v>7272</v>
      </c>
      <c r="D4471" s="38" t="str">
        <f>IFERROR(__xludf.DUMMYFUNCTION("REGEXREPLACE(C4471,""-\d+(.*)|--\d+(.*)"","""")"),"VOMECOURT")</f>
        <v>VOMECOURT</v>
      </c>
      <c r="E4471" s="38" t="s">
        <v>194</v>
      </c>
      <c r="F4471" s="38" t="s">
        <v>195</v>
      </c>
      <c r="G4471" s="49" t="str">
        <f t="shared" si="1"/>
        <v>88700</v>
      </c>
      <c r="H4471" s="49">
        <f t="shared" si="2"/>
        <v>88521</v>
      </c>
    </row>
    <row r="4472">
      <c r="A4472" s="48" t="s">
        <v>1926</v>
      </c>
      <c r="B4472" s="38">
        <v>28263.0</v>
      </c>
      <c r="C4472" s="38" t="s">
        <v>7273</v>
      </c>
      <c r="D4472" s="38" t="str">
        <f>IFERROR(__xludf.DUMMYFUNCTION("REGEXREPLACE(C4472,""-\d+(.*)|--\d+(.*)"","""")"),"MONTIGNY-SUR-AVRE")</f>
        <v>MONTIGNY-SUR-AVRE</v>
      </c>
      <c r="E4472" s="38" t="s">
        <v>300</v>
      </c>
      <c r="F4472" s="38" t="s">
        <v>123</v>
      </c>
      <c r="G4472" s="49" t="str">
        <f t="shared" si="1"/>
        <v>28270</v>
      </c>
      <c r="H4472" s="49">
        <f t="shared" si="2"/>
        <v>28263</v>
      </c>
    </row>
    <row r="4473">
      <c r="A4473" s="48" t="s">
        <v>7274</v>
      </c>
      <c r="B4473" s="38">
        <v>11066.0</v>
      </c>
      <c r="C4473" s="38" t="s">
        <v>7275</v>
      </c>
      <c r="D4473" s="38" t="str">
        <f>IFERROR(__xludf.DUMMYFUNCTION("REGEXREPLACE(C4473,""-\d+(.*)|--\d+(.*)"","""")"),"CAMURAC")</f>
        <v>CAMURAC</v>
      </c>
      <c r="E4473" s="38" t="s">
        <v>278</v>
      </c>
      <c r="F4473" s="38" t="s">
        <v>119</v>
      </c>
      <c r="G4473" s="49" t="str">
        <f t="shared" si="1"/>
        <v>11340</v>
      </c>
      <c r="H4473" s="49">
        <f t="shared" si="2"/>
        <v>11066</v>
      </c>
    </row>
    <row r="4474">
      <c r="A4474" s="48" t="s">
        <v>2640</v>
      </c>
      <c r="B4474" s="38">
        <v>58062.0</v>
      </c>
      <c r="C4474" s="38" t="s">
        <v>7276</v>
      </c>
      <c r="D4474" s="38" t="str">
        <f>IFERROR(__xludf.DUMMYFUNCTION("REGEXREPLACE(C4474,""-\d+(.*)|--\d+(.*)"","""")"),"CHATEAU-CHINON (VILLE)")</f>
        <v>CHATEAU-CHINON (VILLE)</v>
      </c>
      <c r="E4474" s="38" t="s">
        <v>219</v>
      </c>
      <c r="F4474" s="38" t="s">
        <v>106</v>
      </c>
      <c r="G4474" s="49" t="str">
        <f t="shared" si="1"/>
        <v>58120</v>
      </c>
      <c r="H4474" s="49">
        <f t="shared" si="2"/>
        <v>58062</v>
      </c>
    </row>
    <row r="4475">
      <c r="A4475" s="48" t="s">
        <v>3065</v>
      </c>
      <c r="B4475" s="38">
        <v>7123.0</v>
      </c>
      <c r="C4475" s="38" t="s">
        <v>7277</v>
      </c>
      <c r="D4475" s="38" t="str">
        <f>IFERROR(__xludf.DUMMYFUNCTION("REGEXREPLACE(C4475,""-\d+(.*)|--\d+(.*)"","""")"),"LACHAPELLE-SOUS-CHANEAC")</f>
        <v>LACHAPELLE-SOUS-CHANEAC</v>
      </c>
      <c r="E4475" s="38" t="s">
        <v>144</v>
      </c>
      <c r="F4475" s="38" t="s">
        <v>102</v>
      </c>
      <c r="G4475" s="49" t="str">
        <f t="shared" si="1"/>
        <v>07310</v>
      </c>
      <c r="H4475" s="49" t="str">
        <f t="shared" si="2"/>
        <v>07123</v>
      </c>
    </row>
    <row r="4476">
      <c r="A4476" s="48" t="s">
        <v>7278</v>
      </c>
      <c r="B4476" s="38">
        <v>61025.0</v>
      </c>
      <c r="C4476" s="38" t="s">
        <v>7279</v>
      </c>
      <c r="D4476" s="38" t="str">
        <f>IFERROR(__xludf.DUMMYFUNCTION("REGEXREPLACE(C4476,""-\d+(.*)|--\d+(.*)"","""")"),"LA BAROCHE-SOUS-LUCE")</f>
        <v>LA BAROCHE-SOUS-LUCE</v>
      </c>
      <c r="E4476" s="38" t="s">
        <v>141</v>
      </c>
      <c r="F4476" s="38" t="s">
        <v>138</v>
      </c>
      <c r="G4476" s="49" t="str">
        <f t="shared" si="1"/>
        <v>61330</v>
      </c>
      <c r="H4476" s="49">
        <f t="shared" si="2"/>
        <v>61025</v>
      </c>
    </row>
    <row r="4477">
      <c r="A4477" s="48" t="s">
        <v>1991</v>
      </c>
      <c r="B4477" s="38">
        <v>54470.0</v>
      </c>
      <c r="C4477" s="38" t="s">
        <v>7280</v>
      </c>
      <c r="D4477" s="38" t="str">
        <f>IFERROR(__xludf.DUMMYFUNCTION("REGEXREPLACE(C4477,""-\d+(.*)|--\d+(.*)"","""")"),"SAINT-BAUSSANT")</f>
        <v>SAINT-BAUSSANT</v>
      </c>
      <c r="E4477" s="38" t="s">
        <v>548</v>
      </c>
      <c r="F4477" s="38" t="s">
        <v>195</v>
      </c>
      <c r="G4477" s="49" t="str">
        <f t="shared" si="1"/>
        <v>54470</v>
      </c>
      <c r="H4477" s="49">
        <f t="shared" si="2"/>
        <v>54470</v>
      </c>
    </row>
    <row r="4478">
      <c r="A4478" s="48" t="s">
        <v>1000</v>
      </c>
      <c r="B4478" s="38">
        <v>70155.0</v>
      </c>
      <c r="C4478" s="38" t="s">
        <v>7281</v>
      </c>
      <c r="D4478" s="38" t="str">
        <f>IFERROR(__xludf.DUMMYFUNCTION("REGEXREPLACE(C4478,""-\d+(.*)|--\d+(.*)"","""")"),"CITERS")</f>
        <v>CITERS</v>
      </c>
      <c r="E4478" s="38" t="s">
        <v>956</v>
      </c>
      <c r="F4478" s="38" t="s">
        <v>214</v>
      </c>
      <c r="G4478" s="49" t="str">
        <f t="shared" si="1"/>
        <v>70300</v>
      </c>
      <c r="H4478" s="49">
        <f t="shared" si="2"/>
        <v>70155</v>
      </c>
    </row>
    <row r="4479">
      <c r="A4479" s="48" t="s">
        <v>7282</v>
      </c>
      <c r="B4479" s="38">
        <v>59316.0</v>
      </c>
      <c r="C4479" s="38" t="s">
        <v>7283</v>
      </c>
      <c r="D4479" s="38" t="str">
        <f>IFERROR(__xludf.DUMMYFUNCTION("REGEXREPLACE(C4479,""-\d+(.*)|--\d+(.*)"","""")"),"HOUPLIN-ANCOISNE")</f>
        <v>HOUPLIN-ANCOISNE</v>
      </c>
      <c r="E4479" s="38" t="s">
        <v>85</v>
      </c>
      <c r="F4479" s="38" t="s">
        <v>86</v>
      </c>
      <c r="G4479" s="49" t="str">
        <f t="shared" si="1"/>
        <v>59263</v>
      </c>
      <c r="H4479" s="49">
        <f t="shared" si="2"/>
        <v>59316</v>
      </c>
    </row>
    <row r="4480">
      <c r="A4480" s="48" t="s">
        <v>196</v>
      </c>
      <c r="B4480" s="38">
        <v>2278.0</v>
      </c>
      <c r="C4480" s="38" t="s">
        <v>7284</v>
      </c>
      <c r="D4480" s="38" t="str">
        <f>IFERROR(__xludf.DUMMYFUNCTION("REGEXREPLACE(C4480,""-\d+(.*)|--\d+(.*)"","""")"),"EPARCY")</f>
        <v>EPARCY</v>
      </c>
      <c r="E4480" s="38" t="s">
        <v>191</v>
      </c>
      <c r="F4480" s="38" t="s">
        <v>113</v>
      </c>
      <c r="G4480" s="49" t="str">
        <f t="shared" si="1"/>
        <v>02500</v>
      </c>
      <c r="H4480" s="49" t="str">
        <f t="shared" si="2"/>
        <v>02278</v>
      </c>
    </row>
    <row r="4481">
      <c r="A4481" s="48" t="s">
        <v>5629</v>
      </c>
      <c r="B4481" s="38">
        <v>67075.0</v>
      </c>
      <c r="C4481" s="38" t="s">
        <v>7285</v>
      </c>
      <c r="D4481" s="38" t="str">
        <f>IFERROR(__xludf.DUMMYFUNCTION("REGEXREPLACE(C4481,""-\d+(.*)|--\d+(.*)"","""")"),"CLIMBACH")</f>
        <v>CLIMBACH</v>
      </c>
      <c r="E4481" s="38" t="s">
        <v>210</v>
      </c>
      <c r="F4481" s="38" t="s">
        <v>151</v>
      </c>
      <c r="G4481" s="49" t="str">
        <f t="shared" si="1"/>
        <v>67510</v>
      </c>
      <c r="H4481" s="49">
        <f t="shared" si="2"/>
        <v>67075</v>
      </c>
    </row>
    <row r="4482">
      <c r="A4482" s="48" t="s">
        <v>2106</v>
      </c>
      <c r="B4482" s="38">
        <v>18215.0</v>
      </c>
      <c r="C4482" s="38" t="s">
        <v>7286</v>
      </c>
      <c r="D4482" s="38" t="str">
        <f>IFERROR(__xludf.DUMMYFUNCTION("REGEXREPLACE(C4482,""-\d+(.*)|--\d+(.*)"","""")"),"SAINT-HILAIRE-DE-GONDILLY")</f>
        <v>SAINT-HILAIRE-DE-GONDILLY</v>
      </c>
      <c r="E4482" s="38" t="s">
        <v>504</v>
      </c>
      <c r="F4482" s="38" t="s">
        <v>123</v>
      </c>
      <c r="G4482" s="49" t="str">
        <f t="shared" si="1"/>
        <v>18320</v>
      </c>
      <c r="H4482" s="49">
        <f t="shared" si="2"/>
        <v>18215</v>
      </c>
    </row>
    <row r="4483">
      <c r="A4483" s="48" t="s">
        <v>2655</v>
      </c>
      <c r="B4483" s="38">
        <v>52536.0</v>
      </c>
      <c r="C4483" s="38" t="s">
        <v>7287</v>
      </c>
      <c r="D4483" s="38" t="str">
        <f>IFERROR(__xludf.DUMMYFUNCTION("REGEXREPLACE(C4483,""-\d+(.*)|--\d+(.*)"","""")"),"VILLIERS-LES-APREY")</f>
        <v>VILLIERS-LES-APREY</v>
      </c>
      <c r="E4483" s="38" t="s">
        <v>234</v>
      </c>
      <c r="F4483" s="38" t="s">
        <v>130</v>
      </c>
      <c r="G4483" s="49" t="str">
        <f t="shared" si="1"/>
        <v>52190</v>
      </c>
      <c r="H4483" s="49">
        <f t="shared" si="2"/>
        <v>52536</v>
      </c>
    </row>
    <row r="4484">
      <c r="A4484" s="48" t="s">
        <v>1947</v>
      </c>
      <c r="B4484" s="38">
        <v>52067.0</v>
      </c>
      <c r="C4484" s="38" t="s">
        <v>7288</v>
      </c>
      <c r="D4484" s="38" t="str">
        <f>IFERROR(__xludf.DUMMYFUNCTION("REGEXREPLACE(C4484,""-\d+(.*)|--\d+(.*)"","""")"),"BRAINVILLE-SUR-MEUSE")</f>
        <v>BRAINVILLE-SUR-MEUSE</v>
      </c>
      <c r="E4484" s="38" t="s">
        <v>234</v>
      </c>
      <c r="F4484" s="38" t="s">
        <v>130</v>
      </c>
      <c r="G4484" s="49" t="str">
        <f t="shared" si="1"/>
        <v>52150</v>
      </c>
      <c r="H4484" s="49">
        <f t="shared" si="2"/>
        <v>52067</v>
      </c>
    </row>
    <row r="4485">
      <c r="A4485" s="48" t="s">
        <v>3198</v>
      </c>
      <c r="B4485" s="38">
        <v>32072.0</v>
      </c>
      <c r="C4485" s="38" t="s">
        <v>7289</v>
      </c>
      <c r="D4485" s="38" t="str">
        <f>IFERROR(__xludf.DUMMYFUNCTION("REGEXREPLACE(C4485,""-\d+(.*)|--\d+(.*)"","""")"),"CALLIAN")</f>
        <v>CALLIAN</v>
      </c>
      <c r="E4485" s="38" t="s">
        <v>440</v>
      </c>
      <c r="F4485" s="38" t="s">
        <v>94</v>
      </c>
      <c r="G4485" s="49" t="str">
        <f t="shared" si="1"/>
        <v>32190</v>
      </c>
      <c r="H4485" s="49">
        <f t="shared" si="2"/>
        <v>32072</v>
      </c>
    </row>
    <row r="4486">
      <c r="A4486" s="48" t="s">
        <v>6660</v>
      </c>
      <c r="B4486" s="38">
        <v>66199.0</v>
      </c>
      <c r="C4486" s="38" t="s">
        <v>7290</v>
      </c>
      <c r="D4486" s="38" t="str">
        <f>IFERROR(__xludf.DUMMYFUNCTION("REGEXREPLACE(C4486,""-\d+(.*)|--\d+(.*)"","""")"),"TAILLET")</f>
        <v>TAILLET</v>
      </c>
      <c r="E4486" s="38" t="s">
        <v>248</v>
      </c>
      <c r="F4486" s="38" t="s">
        <v>119</v>
      </c>
      <c r="G4486" s="49" t="str">
        <f t="shared" si="1"/>
        <v>66400</v>
      </c>
      <c r="H4486" s="49">
        <f t="shared" si="2"/>
        <v>66199</v>
      </c>
    </row>
    <row r="4487">
      <c r="A4487" s="48" t="s">
        <v>5553</v>
      </c>
      <c r="B4487" s="38">
        <v>34316.0</v>
      </c>
      <c r="C4487" s="38" t="s">
        <v>7291</v>
      </c>
      <c r="D4487" s="38" t="str">
        <f>IFERROR(__xludf.DUMMYFUNCTION("REGEXREPLACE(C4487,""-\d+(.*)|--\d+(.*)"","""")"),"USCLAS-DU-BOSC")</f>
        <v>USCLAS-DU-BOSC</v>
      </c>
      <c r="E4487" s="38" t="s">
        <v>118</v>
      </c>
      <c r="F4487" s="38" t="s">
        <v>119</v>
      </c>
      <c r="G4487" s="49" t="str">
        <f t="shared" si="1"/>
        <v>34700</v>
      </c>
      <c r="H4487" s="49">
        <f t="shared" si="2"/>
        <v>34316</v>
      </c>
    </row>
    <row r="4488">
      <c r="A4488" s="48" t="s">
        <v>7292</v>
      </c>
      <c r="B4488" s="38">
        <v>49178.0</v>
      </c>
      <c r="C4488" s="38" t="s">
        <v>7293</v>
      </c>
      <c r="D4488" s="38" t="str">
        <f>IFERROR(__xludf.DUMMYFUNCTION("REGEXREPLACE(C4488,""-\d+(.*)|--\d+(.*)"","""")"),"LOIRE")</f>
        <v>LOIRE</v>
      </c>
      <c r="E4488" s="38" t="s">
        <v>653</v>
      </c>
      <c r="F4488" s="38" t="s">
        <v>180</v>
      </c>
      <c r="G4488" s="49" t="str">
        <f t="shared" si="1"/>
        <v>49440</v>
      </c>
      <c r="H4488" s="49">
        <f t="shared" si="2"/>
        <v>49178</v>
      </c>
    </row>
    <row r="4489">
      <c r="A4489" s="48" t="s">
        <v>3988</v>
      </c>
      <c r="B4489" s="38">
        <v>51287.0</v>
      </c>
      <c r="C4489" s="38" t="s">
        <v>7294</v>
      </c>
      <c r="D4489" s="38" t="str">
        <f>IFERROR(__xludf.DUMMYFUNCTION("REGEXREPLACE(C4489,""-\d+(.*)|--\d+(.*)"","""")"),"HAUTVILLERS")</f>
        <v>HAUTVILLERS</v>
      </c>
      <c r="E4489" s="38" t="s">
        <v>129</v>
      </c>
      <c r="F4489" s="38" t="s">
        <v>130</v>
      </c>
      <c r="G4489" s="49" t="str">
        <f t="shared" si="1"/>
        <v>51160</v>
      </c>
      <c r="H4489" s="49">
        <f t="shared" si="2"/>
        <v>51287</v>
      </c>
    </row>
    <row r="4490">
      <c r="A4490" s="48" t="s">
        <v>3810</v>
      </c>
      <c r="B4490" s="38">
        <v>77383.0</v>
      </c>
      <c r="C4490" s="38" t="s">
        <v>7295</v>
      </c>
      <c r="D4490" s="38" t="str">
        <f>IFERROR(__xludf.DUMMYFUNCTION("REGEXREPLACE(C4490,""-\d+(.*)|--\d+(.*)"","""")"),"RAMPILLON")</f>
        <v>RAMPILLON</v>
      </c>
      <c r="E4490" s="38" t="s">
        <v>244</v>
      </c>
      <c r="F4490" s="38" t="s">
        <v>245</v>
      </c>
      <c r="G4490" s="49" t="str">
        <f t="shared" si="1"/>
        <v>77370</v>
      </c>
      <c r="H4490" s="49">
        <f t="shared" si="2"/>
        <v>77383</v>
      </c>
    </row>
    <row r="4491">
      <c r="A4491" s="48" t="s">
        <v>6233</v>
      </c>
      <c r="B4491" s="38">
        <v>15197.0</v>
      </c>
      <c r="C4491" s="38" t="s">
        <v>7296</v>
      </c>
      <c r="D4491" s="38" t="str">
        <f>IFERROR(__xludf.DUMMYFUNCTION("REGEXREPLACE(C4491,""-\d+(.*)|--\d+(.*)"","""")"),"SAINT-MARC")</f>
        <v>SAINT-MARC</v>
      </c>
      <c r="E4491" s="38" t="s">
        <v>632</v>
      </c>
      <c r="F4491" s="38" t="s">
        <v>161</v>
      </c>
      <c r="G4491" s="49" t="str">
        <f t="shared" si="1"/>
        <v>15320</v>
      </c>
      <c r="H4491" s="49">
        <f t="shared" si="2"/>
        <v>15197</v>
      </c>
    </row>
    <row r="4492">
      <c r="A4492" s="48" t="s">
        <v>2886</v>
      </c>
      <c r="B4492" s="38">
        <v>89309.0</v>
      </c>
      <c r="C4492" s="38" t="s">
        <v>7297</v>
      </c>
      <c r="D4492" s="38" t="str">
        <f>IFERROR(__xludf.DUMMYFUNCTION("REGEXREPLACE(C4492,""-\d+(.*)|--\d+(.*)"","""")"),"PONT-SUR-YONNE")</f>
        <v>PONT-SUR-YONNE</v>
      </c>
      <c r="E4492" s="38" t="s">
        <v>275</v>
      </c>
      <c r="F4492" s="38" t="s">
        <v>106</v>
      </c>
      <c r="G4492" s="49" t="str">
        <f t="shared" si="1"/>
        <v>89140</v>
      </c>
      <c r="H4492" s="49">
        <f t="shared" si="2"/>
        <v>89309</v>
      </c>
    </row>
    <row r="4493">
      <c r="A4493" s="48" t="s">
        <v>1544</v>
      </c>
      <c r="B4493" s="38">
        <v>2197.0</v>
      </c>
      <c r="C4493" s="38" t="s">
        <v>7298</v>
      </c>
      <c r="D4493" s="38" t="str">
        <f>IFERROR(__xludf.DUMMYFUNCTION("REGEXREPLACE(C4493,""-\d+(.*)|--\d+(.*)"","""")"),"CLAIRFONTAINE")</f>
        <v>CLAIRFONTAINE</v>
      </c>
      <c r="E4493" s="38" t="s">
        <v>191</v>
      </c>
      <c r="F4493" s="38" t="s">
        <v>113</v>
      </c>
      <c r="G4493" s="49" t="str">
        <f t="shared" si="1"/>
        <v>02260</v>
      </c>
      <c r="H4493" s="49" t="str">
        <f t="shared" si="2"/>
        <v>02197</v>
      </c>
    </row>
    <row r="4494">
      <c r="A4494" s="48" t="s">
        <v>4929</v>
      </c>
      <c r="B4494" s="38">
        <v>12192.0</v>
      </c>
      <c r="C4494" s="38" t="s">
        <v>7299</v>
      </c>
      <c r="D4494" s="38" t="str">
        <f>IFERROR(__xludf.DUMMYFUNCTION("REGEXREPLACE(C4494,""-\d+(.*)|--\d+(.*)"","""")"),"MOUNES-PROHENCOUX")</f>
        <v>MOUNES-PROHENCOUX</v>
      </c>
      <c r="E4494" s="38" t="s">
        <v>465</v>
      </c>
      <c r="F4494" s="38" t="s">
        <v>94</v>
      </c>
      <c r="G4494" s="49" t="str">
        <f t="shared" si="1"/>
        <v>12370</v>
      </c>
      <c r="H4494" s="49">
        <f t="shared" si="2"/>
        <v>12192</v>
      </c>
    </row>
    <row r="4495">
      <c r="A4495" s="48" t="s">
        <v>1501</v>
      </c>
      <c r="B4495" s="38">
        <v>39091.0</v>
      </c>
      <c r="C4495" s="38" t="s">
        <v>7300</v>
      </c>
      <c r="D4495" s="38" t="str">
        <f>IFERROR(__xludf.DUMMYFUNCTION("REGEXREPLACE(C4495,""-\d+(.*)|--\d+(.*)"","""")"),"LES CHALESMES")</f>
        <v>LES CHALESMES</v>
      </c>
      <c r="E4495" s="38" t="s">
        <v>400</v>
      </c>
      <c r="F4495" s="38" t="s">
        <v>214</v>
      </c>
      <c r="G4495" s="49" t="str">
        <f t="shared" si="1"/>
        <v>39150</v>
      </c>
      <c r="H4495" s="49">
        <f t="shared" si="2"/>
        <v>39091</v>
      </c>
    </row>
    <row r="4496">
      <c r="A4496" s="48" t="s">
        <v>5596</v>
      </c>
      <c r="B4496" s="38">
        <v>25426.0</v>
      </c>
      <c r="C4496" s="38" t="s">
        <v>7301</v>
      </c>
      <c r="D4496" s="38" t="str">
        <f>IFERROR(__xludf.DUMMYFUNCTION("REGEXREPLACE(C4496,""-\d+(.*)|--\d+(.*)"","""")"),"NOIREFONTAINE")</f>
        <v>NOIREFONTAINE</v>
      </c>
      <c r="E4496" s="38" t="s">
        <v>213</v>
      </c>
      <c r="F4496" s="38" t="s">
        <v>214</v>
      </c>
      <c r="G4496" s="49" t="str">
        <f t="shared" si="1"/>
        <v>25190</v>
      </c>
      <c r="H4496" s="49">
        <f t="shared" si="2"/>
        <v>25426</v>
      </c>
    </row>
    <row r="4497">
      <c r="A4497" s="48" t="s">
        <v>1562</v>
      </c>
      <c r="B4497" s="38">
        <v>24420.0</v>
      </c>
      <c r="C4497" s="38" t="s">
        <v>7302</v>
      </c>
      <c r="D4497" s="38" t="str">
        <f>IFERROR(__xludf.DUMMYFUNCTION("REGEXREPLACE(C4497,""-\d+(.*)|--\d+(.*)"","""")"),"SAINT-GERY")</f>
        <v>SAINT-GERY</v>
      </c>
      <c r="E4497" s="38" t="s">
        <v>261</v>
      </c>
      <c r="F4497" s="38" t="s">
        <v>252</v>
      </c>
      <c r="G4497" s="49" t="str">
        <f t="shared" si="1"/>
        <v>24400</v>
      </c>
      <c r="H4497" s="49">
        <f t="shared" si="2"/>
        <v>24420</v>
      </c>
    </row>
    <row r="4498">
      <c r="A4498" s="48" t="s">
        <v>7303</v>
      </c>
      <c r="B4498" s="38">
        <v>29135.0</v>
      </c>
      <c r="C4498" s="38" t="s">
        <v>7304</v>
      </c>
      <c r="D4498" s="38" t="str">
        <f>IFERROR(__xludf.DUMMYFUNCTION("REGEXREPLACE(C4498,""-\d+(.*)|--\d+(.*)"","""")"),"LOCTUDY")</f>
        <v>LOCTUDY</v>
      </c>
      <c r="E4498" s="38" t="s">
        <v>176</v>
      </c>
      <c r="F4498" s="38" t="s">
        <v>90</v>
      </c>
      <c r="G4498" s="49" t="str">
        <f t="shared" si="1"/>
        <v>29750</v>
      </c>
      <c r="H4498" s="49">
        <f t="shared" si="2"/>
        <v>29135</v>
      </c>
    </row>
    <row r="4499">
      <c r="A4499" s="48" t="s">
        <v>7305</v>
      </c>
      <c r="B4499" s="38">
        <v>49134.0</v>
      </c>
      <c r="C4499" s="38" t="s">
        <v>7306</v>
      </c>
      <c r="D4499" s="38" t="str">
        <f>IFERROR(__xludf.DUMMYFUNCTION("REGEXREPLACE(C4499,""-\d+(.*)|--\d+(.*)"","""")"),"FAYE-D'ANJOU")</f>
        <v>FAYE-D'ANJOU</v>
      </c>
      <c r="E4499" s="38" t="s">
        <v>653</v>
      </c>
      <c r="F4499" s="38" t="s">
        <v>180</v>
      </c>
      <c r="G4499" s="49" t="str">
        <f t="shared" si="1"/>
        <v>49380</v>
      </c>
      <c r="H4499" s="49">
        <f t="shared" si="2"/>
        <v>49134</v>
      </c>
    </row>
    <row r="4500">
      <c r="A4500" s="48" t="s">
        <v>7307</v>
      </c>
      <c r="B4500" s="38">
        <v>66058.0</v>
      </c>
      <c r="C4500" s="38" t="s">
        <v>7308</v>
      </c>
      <c r="D4500" s="38" t="str">
        <f>IFERROR(__xludf.DUMMYFUNCTION("REGEXREPLACE(C4500,""-\d+(.*)|--\d+(.*)"","""")"),"CORNEILLA-LA-RIVIERE")</f>
        <v>CORNEILLA-LA-RIVIERE</v>
      </c>
      <c r="E4500" s="38" t="s">
        <v>248</v>
      </c>
      <c r="F4500" s="38" t="s">
        <v>119</v>
      </c>
      <c r="G4500" s="49" t="str">
        <f t="shared" si="1"/>
        <v>66550</v>
      </c>
      <c r="H4500" s="49">
        <f t="shared" si="2"/>
        <v>66058</v>
      </c>
    </row>
    <row r="4501">
      <c r="A4501" s="48" t="s">
        <v>7309</v>
      </c>
      <c r="B4501" s="38">
        <v>45075.0</v>
      </c>
      <c r="C4501" s="38" t="s">
        <v>7310</v>
      </c>
      <c r="D4501" s="38" t="str">
        <f>IFERROR(__xludf.DUMMYFUNCTION("REGEXREPLACE(C4501,""-\d+(.*)|--\d+(.*)"","""")"),"LA CHAPELLE-SAINT-MESMIN")</f>
        <v>LA CHAPELLE-SAINT-MESMIN</v>
      </c>
      <c r="E4501" s="38" t="s">
        <v>122</v>
      </c>
      <c r="F4501" s="38" t="s">
        <v>123</v>
      </c>
      <c r="G4501" s="49" t="str">
        <f t="shared" si="1"/>
        <v>45380</v>
      </c>
      <c r="H4501" s="49">
        <f t="shared" si="2"/>
        <v>45075</v>
      </c>
    </row>
    <row r="4502">
      <c r="A4502" s="48" t="s">
        <v>3763</v>
      </c>
      <c r="B4502" s="38">
        <v>76373.0</v>
      </c>
      <c r="C4502" s="38" t="s">
        <v>7311</v>
      </c>
      <c r="D4502" s="38" t="str">
        <f>IFERROR(__xludf.DUMMYFUNCTION("REGEXREPLACE(C4502,""-\d+(.*)|--\d+(.*)"","""")"),"IMBLEVILLE")</f>
        <v>IMBLEVILLE</v>
      </c>
      <c r="E4502" s="38" t="s">
        <v>133</v>
      </c>
      <c r="F4502" s="38" t="s">
        <v>134</v>
      </c>
      <c r="G4502" s="49" t="str">
        <f t="shared" si="1"/>
        <v>76890</v>
      </c>
      <c r="H4502" s="49">
        <f t="shared" si="2"/>
        <v>76373</v>
      </c>
    </row>
    <row r="4503">
      <c r="A4503" s="48" t="s">
        <v>7312</v>
      </c>
      <c r="B4503" s="38">
        <v>95491.0</v>
      </c>
      <c r="C4503" s="38" t="s">
        <v>7313</v>
      </c>
      <c r="D4503" s="38" t="str">
        <f>IFERROR(__xludf.DUMMYFUNCTION("REGEXREPLACE(C4503,""-\d+(.*)|--\d+(.*)"","""")"),"LE PLESSIS-BOUCHARD")</f>
        <v>LE PLESSIS-BOUCHARD</v>
      </c>
      <c r="E4503" s="38" t="s">
        <v>541</v>
      </c>
      <c r="F4503" s="38" t="s">
        <v>245</v>
      </c>
      <c r="G4503" s="49" t="str">
        <f t="shared" si="1"/>
        <v>95130</v>
      </c>
      <c r="H4503" s="49">
        <f t="shared" si="2"/>
        <v>95491</v>
      </c>
    </row>
    <row r="4504">
      <c r="A4504" s="48" t="s">
        <v>5103</v>
      </c>
      <c r="B4504" s="38">
        <v>37155.0</v>
      </c>
      <c r="C4504" s="38" t="s">
        <v>7314</v>
      </c>
      <c r="D4504" s="38" t="str">
        <f>IFERROR(__xludf.DUMMYFUNCTION("REGEXREPLACE(C4504,""-\d+(.*)|--\d+(.*)"","""")"),"MONTHODON")</f>
        <v>MONTHODON</v>
      </c>
      <c r="E4504" s="38" t="s">
        <v>205</v>
      </c>
      <c r="F4504" s="38" t="s">
        <v>123</v>
      </c>
      <c r="G4504" s="49" t="str">
        <f t="shared" si="1"/>
        <v>37110</v>
      </c>
      <c r="H4504" s="49">
        <f t="shared" si="2"/>
        <v>37155</v>
      </c>
    </row>
    <row r="4505">
      <c r="A4505" s="48" t="s">
        <v>7315</v>
      </c>
      <c r="B4505" s="38">
        <v>62249.0</v>
      </c>
      <c r="C4505" s="38" t="s">
        <v>7316</v>
      </c>
      <c r="D4505" s="38" t="str">
        <f>IFERROR(__xludf.DUMMYFUNCTION("REGEXREPLACE(C4505,""-\d+(.*)|--\d+(.*)"","""")"),"COURCELLES-LES-LENS")</f>
        <v>COURCELLES-LES-LENS</v>
      </c>
      <c r="E4505" s="38" t="s">
        <v>109</v>
      </c>
      <c r="F4505" s="38" t="s">
        <v>86</v>
      </c>
      <c r="G4505" s="49" t="str">
        <f t="shared" si="1"/>
        <v>62970</v>
      </c>
      <c r="H4505" s="49">
        <f t="shared" si="2"/>
        <v>62249</v>
      </c>
    </row>
    <row r="4506">
      <c r="A4506" s="48" t="s">
        <v>7317</v>
      </c>
      <c r="B4506" s="38">
        <v>91226.0</v>
      </c>
      <c r="C4506" s="38" t="s">
        <v>7318</v>
      </c>
      <c r="D4506" s="38" t="str">
        <f>IFERROR(__xludf.DUMMYFUNCTION("REGEXREPLACE(C4506,""-\d+(.*)|--\d+(.*)"","""")"),"ETRECHY")</f>
        <v>ETRECHY</v>
      </c>
      <c r="E4506" s="38" t="s">
        <v>756</v>
      </c>
      <c r="F4506" s="38" t="s">
        <v>245</v>
      </c>
      <c r="G4506" s="49" t="str">
        <f t="shared" si="1"/>
        <v>91580</v>
      </c>
      <c r="H4506" s="49">
        <f t="shared" si="2"/>
        <v>91226</v>
      </c>
    </row>
    <row r="4507">
      <c r="A4507" s="48" t="s">
        <v>7319</v>
      </c>
      <c r="B4507" s="38">
        <v>97208.0</v>
      </c>
      <c r="C4507" s="38" t="s">
        <v>7320</v>
      </c>
      <c r="D4507" s="38" t="str">
        <f>IFERROR(__xludf.DUMMYFUNCTION("REGEXREPLACE(C4507,""-\d+(.*)|--\d+(.*)"","""")"),"FONDS-SAINT-DENIS")</f>
        <v>FONDS-SAINT-DENIS</v>
      </c>
      <c r="E4507" s="38" t="s">
        <v>2282</v>
      </c>
      <c r="F4507" s="38" t="s">
        <v>2282</v>
      </c>
      <c r="G4507" s="49" t="str">
        <f t="shared" si="1"/>
        <v>97250</v>
      </c>
      <c r="H4507" s="49">
        <f t="shared" si="2"/>
        <v>97208</v>
      </c>
    </row>
    <row r="4508">
      <c r="A4508" s="48" t="s">
        <v>2406</v>
      </c>
      <c r="B4508" s="38">
        <v>55111.0</v>
      </c>
      <c r="C4508" s="38" t="s">
        <v>7321</v>
      </c>
      <c r="D4508" s="38" t="str">
        <f>IFERROR(__xludf.DUMMYFUNCTION("REGEXREPLACE(C4508,""-\d+(.*)|--\d+(.*)"","""")"),"CHAUVONCOURT")</f>
        <v>CHAUVONCOURT</v>
      </c>
      <c r="E4508" s="38" t="s">
        <v>322</v>
      </c>
      <c r="F4508" s="38" t="s">
        <v>195</v>
      </c>
      <c r="G4508" s="49" t="str">
        <f t="shared" si="1"/>
        <v>55300</v>
      </c>
      <c r="H4508" s="49">
        <f t="shared" si="2"/>
        <v>55111</v>
      </c>
    </row>
    <row r="4509">
      <c r="A4509" s="48" t="s">
        <v>1018</v>
      </c>
      <c r="B4509" s="38">
        <v>60257.0</v>
      </c>
      <c r="C4509" s="38" t="s">
        <v>7322</v>
      </c>
      <c r="D4509" s="38" t="str">
        <f>IFERROR(__xludf.DUMMYFUNCTION("REGEXREPLACE(C4509,""-\d+(.*)|--\d+(.*)"","""")"),"FRESNE-LEGUILLON")</f>
        <v>FRESNE-LEGUILLON</v>
      </c>
      <c r="E4509" s="38" t="s">
        <v>112</v>
      </c>
      <c r="F4509" s="38" t="s">
        <v>113</v>
      </c>
      <c r="G4509" s="49" t="str">
        <f t="shared" si="1"/>
        <v>60240</v>
      </c>
      <c r="H4509" s="49">
        <f t="shared" si="2"/>
        <v>60257</v>
      </c>
    </row>
    <row r="4510">
      <c r="A4510" s="48" t="s">
        <v>715</v>
      </c>
      <c r="B4510" s="38">
        <v>88103.0</v>
      </c>
      <c r="C4510" s="38" t="s">
        <v>7323</v>
      </c>
      <c r="D4510" s="38" t="str">
        <f>IFERROR(__xludf.DUMMYFUNCTION("REGEXREPLACE(C4510,""-\d+(.*)|--\d+(.*)"","""")"),"CIRCOURT")</f>
        <v>CIRCOURT</v>
      </c>
      <c r="E4510" s="38" t="s">
        <v>194</v>
      </c>
      <c r="F4510" s="38" t="s">
        <v>195</v>
      </c>
      <c r="G4510" s="49" t="str">
        <f t="shared" si="1"/>
        <v>88270</v>
      </c>
      <c r="H4510" s="49">
        <f t="shared" si="2"/>
        <v>88103</v>
      </c>
    </row>
    <row r="4511">
      <c r="A4511" s="48" t="s">
        <v>5334</v>
      </c>
      <c r="B4511" s="38" t="s">
        <v>7324</v>
      </c>
      <c r="C4511" s="38" t="s">
        <v>7325</v>
      </c>
      <c r="D4511" s="38" t="str">
        <f>IFERROR(__xludf.DUMMYFUNCTION("REGEXREPLACE(C4511,""-\d+(.*)|--\d+(.*)"","""")"),"LAMA")</f>
        <v>LAMA</v>
      </c>
      <c r="E4511" s="38" t="s">
        <v>743</v>
      </c>
      <c r="F4511" s="38" t="s">
        <v>607</v>
      </c>
      <c r="G4511" s="49" t="str">
        <f t="shared" si="1"/>
        <v>20218</v>
      </c>
      <c r="H4511" s="49" t="str">
        <f t="shared" si="2"/>
        <v>2B136</v>
      </c>
    </row>
    <row r="4512">
      <c r="A4512" s="48" t="s">
        <v>4243</v>
      </c>
      <c r="B4512" s="38">
        <v>22298.0</v>
      </c>
      <c r="C4512" s="38" t="s">
        <v>7326</v>
      </c>
      <c r="D4512" s="38" t="str">
        <f>IFERROR(__xludf.DUMMYFUNCTION("REGEXREPLACE(C4512,""-\d+(.*)|--\d+(.*)"","""")"),"SAINT-GUEN")</f>
        <v>SAINT-GUEN</v>
      </c>
      <c r="E4512" s="38" t="s">
        <v>89</v>
      </c>
      <c r="F4512" s="38" t="s">
        <v>90</v>
      </c>
      <c r="G4512" s="49" t="str">
        <f t="shared" si="1"/>
        <v>22530</v>
      </c>
      <c r="H4512" s="49">
        <f t="shared" si="2"/>
        <v>22298</v>
      </c>
    </row>
    <row r="4513">
      <c r="A4513" s="48" t="s">
        <v>5503</v>
      </c>
      <c r="B4513" s="38">
        <v>78591.0</v>
      </c>
      <c r="C4513" s="38" t="s">
        <v>7327</v>
      </c>
      <c r="D4513" s="38" t="str">
        <f>IFERROR(__xludf.DUMMYFUNCTION("REGEXREPLACE(C4513,""-\d+(.*)|--\d+(.*)"","""")"),"SEPTEUIL")</f>
        <v>SEPTEUIL</v>
      </c>
      <c r="E4513" s="38" t="s">
        <v>362</v>
      </c>
      <c r="F4513" s="38" t="s">
        <v>245</v>
      </c>
      <c r="G4513" s="49" t="str">
        <f t="shared" si="1"/>
        <v>78790</v>
      </c>
      <c r="H4513" s="49">
        <f t="shared" si="2"/>
        <v>78591</v>
      </c>
    </row>
    <row r="4514">
      <c r="A4514" s="48" t="s">
        <v>5109</v>
      </c>
      <c r="B4514" s="38">
        <v>78410.0</v>
      </c>
      <c r="C4514" s="38" t="s">
        <v>7328</v>
      </c>
      <c r="D4514" s="38" t="str">
        <f>IFERROR(__xludf.DUMMYFUNCTION("REGEXREPLACE(C4514,""-\d+(.*)|--\d+(.*)"","""")"),"MOISSON")</f>
        <v>MOISSON</v>
      </c>
      <c r="E4514" s="38" t="s">
        <v>362</v>
      </c>
      <c r="F4514" s="38" t="s">
        <v>245</v>
      </c>
      <c r="G4514" s="49" t="str">
        <f t="shared" si="1"/>
        <v>78840</v>
      </c>
      <c r="H4514" s="49">
        <f t="shared" si="2"/>
        <v>78410</v>
      </c>
    </row>
    <row r="4515">
      <c r="A4515" s="48" t="s">
        <v>7329</v>
      </c>
      <c r="B4515" s="38">
        <v>54557.0</v>
      </c>
      <c r="C4515" s="38" t="s">
        <v>7330</v>
      </c>
      <c r="D4515" s="38" t="str">
        <f>IFERROR(__xludf.DUMMYFUNCTION("REGEXREPLACE(C4515,""-\d+(.*)|--\d+(.*)"","""")"),"VELAINE-EN-HAYE")</f>
        <v>VELAINE-EN-HAYE</v>
      </c>
      <c r="E4515" s="38" t="s">
        <v>548</v>
      </c>
      <c r="F4515" s="38" t="s">
        <v>195</v>
      </c>
      <c r="G4515" s="49" t="str">
        <f t="shared" si="1"/>
        <v>54840</v>
      </c>
      <c r="H4515" s="49">
        <f t="shared" si="2"/>
        <v>54557</v>
      </c>
    </row>
    <row r="4516">
      <c r="A4516" s="48" t="s">
        <v>1887</v>
      </c>
      <c r="B4516" s="38">
        <v>88307.0</v>
      </c>
      <c r="C4516" s="38" t="s">
        <v>7331</v>
      </c>
      <c r="D4516" s="38" t="str">
        <f>IFERROR(__xludf.DUMMYFUNCTION("REGEXREPLACE(C4516,""-\d+(.*)|--\d+(.*)"","""")"),"MONT-LES-LAMARCHE")</f>
        <v>MONT-LES-LAMARCHE</v>
      </c>
      <c r="E4516" s="38" t="s">
        <v>194</v>
      </c>
      <c r="F4516" s="38" t="s">
        <v>195</v>
      </c>
      <c r="G4516" s="49" t="str">
        <f t="shared" si="1"/>
        <v>88320</v>
      </c>
      <c r="H4516" s="49">
        <f t="shared" si="2"/>
        <v>88307</v>
      </c>
    </row>
    <row r="4517">
      <c r="A4517" s="48" t="s">
        <v>7332</v>
      </c>
      <c r="B4517" s="38">
        <v>24240.0</v>
      </c>
      <c r="C4517" s="38" t="s">
        <v>7333</v>
      </c>
      <c r="D4517" s="38" t="str">
        <f>IFERROR(__xludf.DUMMYFUNCTION("REGEXREPLACE(C4517,""-\d+(.*)|--\d+(.*)"","""")"),"LIMEUIL")</f>
        <v>LIMEUIL</v>
      </c>
      <c r="E4517" s="38" t="s">
        <v>261</v>
      </c>
      <c r="F4517" s="38" t="s">
        <v>252</v>
      </c>
      <c r="G4517" s="49" t="str">
        <f t="shared" si="1"/>
        <v>24510</v>
      </c>
      <c r="H4517" s="49">
        <f t="shared" si="2"/>
        <v>24240</v>
      </c>
    </row>
    <row r="4518">
      <c r="A4518" s="48" t="s">
        <v>7334</v>
      </c>
      <c r="B4518" s="38">
        <v>45120.0</v>
      </c>
      <c r="C4518" s="38" t="s">
        <v>7335</v>
      </c>
      <c r="D4518" s="38" t="str">
        <f>IFERROR(__xludf.DUMMYFUNCTION("REGEXREPLACE(C4518,""-\d+(.*)|--\d+(.*)"","""")"),"DAMMARIE-EN-PUISAYE")</f>
        <v>DAMMARIE-EN-PUISAYE</v>
      </c>
      <c r="E4518" s="38" t="s">
        <v>122</v>
      </c>
      <c r="F4518" s="38" t="s">
        <v>123</v>
      </c>
      <c r="G4518" s="49" t="str">
        <f t="shared" si="1"/>
        <v>45420</v>
      </c>
      <c r="H4518" s="49">
        <f t="shared" si="2"/>
        <v>45120</v>
      </c>
    </row>
    <row r="4519">
      <c r="A4519" s="48" t="s">
        <v>7336</v>
      </c>
      <c r="B4519" s="38">
        <v>68209.0</v>
      </c>
      <c r="C4519" s="38" t="s">
        <v>7337</v>
      </c>
      <c r="D4519" s="38" t="str">
        <f>IFERROR(__xludf.DUMMYFUNCTION("REGEXREPLACE(C4519,""-\d+(.*)|--\d+(.*)"","""")"),"MITTELWIHR")</f>
        <v>MITTELWIHR</v>
      </c>
      <c r="E4519" s="38" t="s">
        <v>150</v>
      </c>
      <c r="F4519" s="38" t="s">
        <v>151</v>
      </c>
      <c r="G4519" s="49" t="str">
        <f t="shared" si="1"/>
        <v>68630</v>
      </c>
      <c r="H4519" s="49">
        <f t="shared" si="2"/>
        <v>68209</v>
      </c>
    </row>
    <row r="4520">
      <c r="A4520" s="48" t="s">
        <v>5775</v>
      </c>
      <c r="B4520" s="38">
        <v>73290.0</v>
      </c>
      <c r="C4520" s="38" t="s">
        <v>7338</v>
      </c>
      <c r="D4520" s="38" t="str">
        <f>IFERROR(__xludf.DUMMYFUNCTION("REGEXREPLACE(C4520,""-\d+(.*)|--\d+(.*)"","""")"),"TERMIGNON")</f>
        <v>TERMIGNON</v>
      </c>
      <c r="E4520" s="38" t="s">
        <v>306</v>
      </c>
      <c r="F4520" s="38" t="s">
        <v>102</v>
      </c>
      <c r="G4520" s="49" t="str">
        <f t="shared" si="1"/>
        <v>73500</v>
      </c>
      <c r="H4520" s="49">
        <f t="shared" si="2"/>
        <v>73290</v>
      </c>
    </row>
    <row r="4521">
      <c r="A4521" s="48" t="s">
        <v>7339</v>
      </c>
      <c r="B4521" s="38">
        <v>93013.0</v>
      </c>
      <c r="C4521" s="38" t="s">
        <v>7340</v>
      </c>
      <c r="D4521" s="38" t="str">
        <f>IFERROR(__xludf.DUMMYFUNCTION("REGEXREPLACE(C4521,""-\d+(.*)|--\d+(.*)"","""")"),"LE BOURGET")</f>
        <v>LE BOURGET</v>
      </c>
      <c r="E4521" s="38" t="s">
        <v>341</v>
      </c>
      <c r="F4521" s="38" t="s">
        <v>245</v>
      </c>
      <c r="G4521" s="49" t="str">
        <f t="shared" si="1"/>
        <v>93350</v>
      </c>
      <c r="H4521" s="49">
        <f t="shared" si="2"/>
        <v>93013</v>
      </c>
    </row>
    <row r="4522">
      <c r="A4522" s="48" t="s">
        <v>1923</v>
      </c>
      <c r="B4522" s="38">
        <v>60120.0</v>
      </c>
      <c r="C4522" s="38" t="s">
        <v>7341</v>
      </c>
      <c r="D4522" s="38" t="str">
        <f>IFERROR(__xludf.DUMMYFUNCTION("REGEXREPLACE(C4522,""-\d+(.*)|--\d+(.*)"","""")"),"CAMBRONNE-LES-CLERMONT")</f>
        <v>CAMBRONNE-LES-CLERMONT</v>
      </c>
      <c r="E4522" s="38" t="s">
        <v>112</v>
      </c>
      <c r="F4522" s="38" t="s">
        <v>113</v>
      </c>
      <c r="G4522" s="49" t="str">
        <f t="shared" si="1"/>
        <v>60290</v>
      </c>
      <c r="H4522" s="49">
        <f t="shared" si="2"/>
        <v>60120</v>
      </c>
    </row>
    <row r="4523">
      <c r="A4523" s="48" t="s">
        <v>6990</v>
      </c>
      <c r="B4523" s="38">
        <v>29183.0</v>
      </c>
      <c r="C4523" s="38" t="s">
        <v>7342</v>
      </c>
      <c r="D4523" s="38" t="str">
        <f>IFERROR(__xludf.DUMMYFUNCTION("REGEXREPLACE(C4523,""-\d+(.*)|--\d+(.*)"","""")"),"PLOUEGAT-MOYSAN")</f>
        <v>PLOUEGAT-MOYSAN</v>
      </c>
      <c r="E4523" s="38" t="s">
        <v>176</v>
      </c>
      <c r="F4523" s="38" t="s">
        <v>90</v>
      </c>
      <c r="G4523" s="49" t="str">
        <f t="shared" si="1"/>
        <v>29650</v>
      </c>
      <c r="H4523" s="49">
        <f t="shared" si="2"/>
        <v>29183</v>
      </c>
    </row>
    <row r="4524">
      <c r="A4524" s="48" t="s">
        <v>3321</v>
      </c>
      <c r="B4524" s="38">
        <v>47223.0</v>
      </c>
      <c r="C4524" s="38" t="s">
        <v>7343</v>
      </c>
      <c r="D4524" s="38" t="str">
        <f>IFERROR(__xludf.DUMMYFUNCTION("REGEXREPLACE(C4524,""-\d+(.*)|--\d+(.*)"","""")"),"RIVES")</f>
        <v>RIVES</v>
      </c>
      <c r="E4524" s="38" t="s">
        <v>251</v>
      </c>
      <c r="F4524" s="38" t="s">
        <v>252</v>
      </c>
      <c r="G4524" s="49" t="str">
        <f t="shared" si="1"/>
        <v>47210</v>
      </c>
      <c r="H4524" s="49">
        <f t="shared" si="2"/>
        <v>47223</v>
      </c>
    </row>
    <row r="4525">
      <c r="A4525" s="48" t="s">
        <v>7344</v>
      </c>
      <c r="B4525" s="38">
        <v>54304.0</v>
      </c>
      <c r="C4525" s="38" t="s">
        <v>7345</v>
      </c>
      <c r="D4525" s="38" t="str">
        <f>IFERROR(__xludf.DUMMYFUNCTION("REGEXREPLACE(C4525,""-\d+(.*)|--\d+(.*)"","""")"),"LAXOU")</f>
        <v>LAXOU</v>
      </c>
      <c r="E4525" s="38" t="s">
        <v>548</v>
      </c>
      <c r="F4525" s="38" t="s">
        <v>195</v>
      </c>
      <c r="G4525" s="49" t="str">
        <f t="shared" si="1"/>
        <v>54520</v>
      </c>
      <c r="H4525" s="49">
        <f t="shared" si="2"/>
        <v>54304</v>
      </c>
    </row>
    <row r="4526">
      <c r="A4526" s="48" t="s">
        <v>6016</v>
      </c>
      <c r="B4526" s="38">
        <v>57650.0</v>
      </c>
      <c r="C4526" s="38" t="s">
        <v>7346</v>
      </c>
      <c r="D4526" s="38" t="str">
        <f>IFERROR(__xludf.DUMMYFUNCTION("REGEXREPLACE(C4526,""-\d+(.*)|--\d+(.*)"","""")"),"SIERCK-LES-BAINS")</f>
        <v>SIERCK-LES-BAINS</v>
      </c>
      <c r="E4526" s="38" t="s">
        <v>303</v>
      </c>
      <c r="F4526" s="38" t="s">
        <v>195</v>
      </c>
      <c r="G4526" s="49" t="str">
        <f t="shared" si="1"/>
        <v>57480</v>
      </c>
      <c r="H4526" s="49">
        <f t="shared" si="2"/>
        <v>57650</v>
      </c>
    </row>
    <row r="4527">
      <c r="A4527" s="48" t="s">
        <v>2893</v>
      </c>
      <c r="B4527" s="38">
        <v>27301.0</v>
      </c>
      <c r="C4527" s="38" t="s">
        <v>7347</v>
      </c>
      <c r="D4527" s="38" t="str">
        <f>IFERROR(__xludf.DUMMYFUNCTION("REGEXREPLACE(C4527,""-\d+(.*)|--\d+(.*)"","""")"),"GROSSOEUVRE")</f>
        <v>GROSSOEUVRE</v>
      </c>
      <c r="E4527" s="38" t="s">
        <v>241</v>
      </c>
      <c r="F4527" s="38" t="s">
        <v>134</v>
      </c>
      <c r="G4527" s="49" t="str">
        <f t="shared" si="1"/>
        <v>27220</v>
      </c>
      <c r="H4527" s="49">
        <f t="shared" si="2"/>
        <v>27301</v>
      </c>
    </row>
    <row r="4528">
      <c r="A4528" s="48" t="s">
        <v>1114</v>
      </c>
      <c r="B4528" s="38">
        <v>2820.0</v>
      </c>
      <c r="C4528" s="38" t="s">
        <v>7348</v>
      </c>
      <c r="D4528" s="38" t="str">
        <f>IFERROR(__xludf.DUMMYFUNCTION("REGEXREPLACE(C4528,""-\d+(.*)|--\d+(.*)"","""")"),"VIRY-NOUREUIL")</f>
        <v>VIRY-NOUREUIL</v>
      </c>
      <c r="E4528" s="38" t="s">
        <v>191</v>
      </c>
      <c r="F4528" s="38" t="s">
        <v>113</v>
      </c>
      <c r="G4528" s="49" t="str">
        <f t="shared" si="1"/>
        <v>02300</v>
      </c>
      <c r="H4528" s="49" t="str">
        <f t="shared" si="2"/>
        <v>02820</v>
      </c>
    </row>
    <row r="4529">
      <c r="A4529" s="48" t="s">
        <v>4566</v>
      </c>
      <c r="B4529" s="38">
        <v>24385.0</v>
      </c>
      <c r="C4529" s="38" t="s">
        <v>7349</v>
      </c>
      <c r="D4529" s="38" t="str">
        <f>IFERROR(__xludf.DUMMYFUNCTION("REGEXREPLACE(C4529,""-\d+(.*)|--\d+(.*)"","""")"),"SAINT-CERNIN-DE-LABARDE")</f>
        <v>SAINT-CERNIN-DE-LABARDE</v>
      </c>
      <c r="E4529" s="38" t="s">
        <v>261</v>
      </c>
      <c r="F4529" s="38" t="s">
        <v>252</v>
      </c>
      <c r="G4529" s="49" t="str">
        <f t="shared" si="1"/>
        <v>24560</v>
      </c>
      <c r="H4529" s="49">
        <f t="shared" si="2"/>
        <v>24385</v>
      </c>
    </row>
    <row r="4530">
      <c r="A4530" s="48" t="s">
        <v>870</v>
      </c>
      <c r="B4530" s="38">
        <v>22250.0</v>
      </c>
      <c r="C4530" s="38" t="s">
        <v>7350</v>
      </c>
      <c r="D4530" s="38" t="str">
        <f>IFERROR(__xludf.DUMMYFUNCTION("REGEXREPLACE(C4530,""-\d+(.*)|--\d+(.*)"","""")"),"PONTRIEUX")</f>
        <v>PONTRIEUX</v>
      </c>
      <c r="E4530" s="38" t="s">
        <v>89</v>
      </c>
      <c r="F4530" s="38" t="s">
        <v>90</v>
      </c>
      <c r="G4530" s="49" t="str">
        <f t="shared" si="1"/>
        <v>22260</v>
      </c>
      <c r="H4530" s="49">
        <f t="shared" si="2"/>
        <v>22250</v>
      </c>
    </row>
    <row r="4531">
      <c r="A4531" s="48" t="s">
        <v>7351</v>
      </c>
      <c r="B4531" s="38">
        <v>56026.0</v>
      </c>
      <c r="C4531" s="38" t="s">
        <v>7352</v>
      </c>
      <c r="D4531" s="38" t="str">
        <f>IFERROR(__xludf.DUMMYFUNCTION("REGEXREPLACE(C4531,""-\d+(.*)|--\d+(.*)"","""")"),"BUBRY")</f>
        <v>BUBRY</v>
      </c>
      <c r="E4531" s="38" t="s">
        <v>173</v>
      </c>
      <c r="F4531" s="38" t="s">
        <v>90</v>
      </c>
      <c r="G4531" s="49" t="str">
        <f t="shared" si="1"/>
        <v>56310</v>
      </c>
      <c r="H4531" s="49">
        <f t="shared" si="2"/>
        <v>56026</v>
      </c>
    </row>
    <row r="4532">
      <c r="A4532" s="48" t="s">
        <v>7353</v>
      </c>
      <c r="B4532" s="38">
        <v>26350.0</v>
      </c>
      <c r="C4532" s="38" t="s">
        <v>7354</v>
      </c>
      <c r="D4532" s="38" t="str">
        <f>IFERROR(__xludf.DUMMYFUNCTION("REGEXREPLACE(C4532,""-\d+(.*)|--\d+(.*)"","""")"),"TEYSSIERES")</f>
        <v>TEYSSIERES</v>
      </c>
      <c r="E4532" s="38" t="s">
        <v>126</v>
      </c>
      <c r="F4532" s="38" t="s">
        <v>102</v>
      </c>
      <c r="G4532" s="49" t="str">
        <f t="shared" si="1"/>
        <v>26220</v>
      </c>
      <c r="H4532" s="49">
        <f t="shared" si="2"/>
        <v>26350</v>
      </c>
    </row>
    <row r="4533">
      <c r="A4533" s="48" t="s">
        <v>7355</v>
      </c>
      <c r="B4533" s="38">
        <v>33116.0</v>
      </c>
      <c r="C4533" s="38" t="s">
        <v>7356</v>
      </c>
      <c r="D4533" s="38" t="str">
        <f>IFERROR(__xludf.DUMMYFUNCTION("REGEXREPLACE(C4533,""-\d+(.*)|--\d+(.*)"","""")"),"CAZATS")</f>
        <v>CAZATS</v>
      </c>
      <c r="E4533" s="38" t="s">
        <v>462</v>
      </c>
      <c r="F4533" s="38" t="s">
        <v>252</v>
      </c>
      <c r="G4533" s="49" t="str">
        <f t="shared" si="1"/>
        <v>33430</v>
      </c>
      <c r="H4533" s="49">
        <f t="shared" si="2"/>
        <v>33116</v>
      </c>
    </row>
    <row r="4534">
      <c r="A4534" s="48" t="s">
        <v>7357</v>
      </c>
      <c r="B4534" s="38">
        <v>80764.0</v>
      </c>
      <c r="C4534" s="38" t="s">
        <v>7358</v>
      </c>
      <c r="D4534" s="38" t="str">
        <f>IFERROR(__xludf.DUMMYFUNCTION("REGEXREPLACE(C4534,""-\d+(.*)|--\d+(.*)"","""")"),"TOEUFLES")</f>
        <v>TOEUFLES</v>
      </c>
      <c r="E4534" s="38" t="s">
        <v>224</v>
      </c>
      <c r="F4534" s="38" t="s">
        <v>113</v>
      </c>
      <c r="G4534" s="49" t="str">
        <f t="shared" si="1"/>
        <v>80870</v>
      </c>
      <c r="H4534" s="49">
        <f t="shared" si="2"/>
        <v>80764</v>
      </c>
    </row>
    <row r="4535">
      <c r="A4535" s="48" t="s">
        <v>1016</v>
      </c>
      <c r="B4535" s="38">
        <v>28337.0</v>
      </c>
      <c r="C4535" s="38" t="s">
        <v>7359</v>
      </c>
      <c r="D4535" s="38" t="str">
        <f>IFERROR(__xludf.DUMMYFUNCTION("REGEXREPLACE(C4535,""-\d+(.*)|--\d+(.*)"","""")"),"SAINT-GEORGES-SUR-EURE")</f>
        <v>SAINT-GEORGES-SUR-EURE</v>
      </c>
      <c r="E4535" s="38" t="s">
        <v>300</v>
      </c>
      <c r="F4535" s="38" t="s">
        <v>123</v>
      </c>
      <c r="G4535" s="49" t="str">
        <f t="shared" si="1"/>
        <v>28190</v>
      </c>
      <c r="H4535" s="49">
        <f t="shared" si="2"/>
        <v>28337</v>
      </c>
    </row>
    <row r="4536">
      <c r="A4536" s="48" t="s">
        <v>7360</v>
      </c>
      <c r="B4536" s="38">
        <v>86023.0</v>
      </c>
      <c r="C4536" s="38" t="s">
        <v>7361</v>
      </c>
      <c r="D4536" s="38" t="str">
        <f>IFERROR(__xludf.DUMMYFUNCTION("REGEXREPLACE(C4536,""-\d+(.*)|--\d+(.*)"","""")"),"BERTHEGON")</f>
        <v>BERTHEGON</v>
      </c>
      <c r="E4536" s="38" t="s">
        <v>529</v>
      </c>
      <c r="F4536" s="38" t="s">
        <v>338</v>
      </c>
      <c r="G4536" s="49" t="str">
        <f t="shared" si="1"/>
        <v>86420</v>
      </c>
      <c r="H4536" s="49">
        <f t="shared" si="2"/>
        <v>86023</v>
      </c>
    </row>
    <row r="4537">
      <c r="A4537" s="48" t="s">
        <v>2332</v>
      </c>
      <c r="B4537" s="38">
        <v>81025.0</v>
      </c>
      <c r="C4537" s="38" t="s">
        <v>7362</v>
      </c>
      <c r="D4537" s="38" t="str">
        <f>IFERROR(__xludf.DUMMYFUNCTION("REGEXREPLACE(C4537,""-\d+(.*)|--\d+(.*)"","""")"),"BELCASTEL")</f>
        <v>BELCASTEL</v>
      </c>
      <c r="E4537" s="38" t="s">
        <v>231</v>
      </c>
      <c r="F4537" s="38" t="s">
        <v>94</v>
      </c>
      <c r="G4537" s="49" t="str">
        <f t="shared" si="1"/>
        <v>81500</v>
      </c>
      <c r="H4537" s="49">
        <f t="shared" si="2"/>
        <v>81025</v>
      </c>
    </row>
    <row r="4538">
      <c r="A4538" s="48" t="s">
        <v>2338</v>
      </c>
      <c r="B4538" s="38">
        <v>8464.0</v>
      </c>
      <c r="C4538" s="38" t="s">
        <v>7363</v>
      </c>
      <c r="D4538" s="38" t="str">
        <f>IFERROR(__xludf.DUMMYFUNCTION("REGEXREPLACE(C4538,""-\d+(.*)|--\d+(.*)"","""")"),"VAUX-LES-MOURON")</f>
        <v>VAUX-LES-MOURON</v>
      </c>
      <c r="E4538" s="38" t="s">
        <v>327</v>
      </c>
      <c r="F4538" s="38" t="s">
        <v>130</v>
      </c>
      <c r="G4538" s="49" t="str">
        <f t="shared" si="1"/>
        <v>08250</v>
      </c>
      <c r="H4538" s="49" t="str">
        <f t="shared" si="2"/>
        <v>08464</v>
      </c>
    </row>
    <row r="4539">
      <c r="A4539" s="48" t="s">
        <v>5791</v>
      </c>
      <c r="B4539" s="38">
        <v>85236.0</v>
      </c>
      <c r="C4539" s="38" t="s">
        <v>7364</v>
      </c>
      <c r="D4539" s="38" t="str">
        <f>IFERROR(__xludf.DUMMYFUNCTION("REGEXREPLACE(C4539,""-\d+(.*)|--\d+(.*)"","""")"),"SAINT-JULIEN-DES-LANDES")</f>
        <v>SAINT-JULIEN-DES-LANDES</v>
      </c>
      <c r="E4539" s="38" t="s">
        <v>179</v>
      </c>
      <c r="F4539" s="38" t="s">
        <v>180</v>
      </c>
      <c r="G4539" s="49" t="str">
        <f t="shared" si="1"/>
        <v>85150</v>
      </c>
      <c r="H4539" s="49">
        <f t="shared" si="2"/>
        <v>85236</v>
      </c>
    </row>
    <row r="4540">
      <c r="A4540" s="48" t="s">
        <v>7365</v>
      </c>
      <c r="B4540" s="38">
        <v>18128.0</v>
      </c>
      <c r="C4540" s="38" t="s">
        <v>7366</v>
      </c>
      <c r="D4540" s="38" t="str">
        <f>IFERROR(__xludf.DUMMYFUNCTION("REGEXREPLACE(C4540,""-\d+(.*)|--\d+(.*)"","""")"),"LIMEUX")</f>
        <v>LIMEUX</v>
      </c>
      <c r="E4540" s="38" t="s">
        <v>504</v>
      </c>
      <c r="F4540" s="38" t="s">
        <v>123</v>
      </c>
      <c r="G4540" s="49" t="str">
        <f t="shared" si="1"/>
        <v>18120</v>
      </c>
      <c r="H4540" s="49">
        <f t="shared" si="2"/>
        <v>18128</v>
      </c>
    </row>
    <row r="4541">
      <c r="A4541" s="48" t="s">
        <v>328</v>
      </c>
      <c r="B4541" s="38">
        <v>2190.0</v>
      </c>
      <c r="C4541" s="38" t="s">
        <v>7367</v>
      </c>
      <c r="D4541" s="38" t="str">
        <f>IFERROR(__xludf.DUMMYFUNCTION("REGEXREPLACE(C4541,""-\d+(.*)|--\d+(.*)"","""")"),"CHIVRES-VAL")</f>
        <v>CHIVRES-VAL</v>
      </c>
      <c r="E4541" s="38" t="s">
        <v>191</v>
      </c>
      <c r="F4541" s="38" t="s">
        <v>113</v>
      </c>
      <c r="G4541" s="49" t="str">
        <f t="shared" si="1"/>
        <v>02880</v>
      </c>
      <c r="H4541" s="49" t="str">
        <f t="shared" si="2"/>
        <v>02190</v>
      </c>
    </row>
    <row r="4542">
      <c r="A4542" s="48" t="s">
        <v>7368</v>
      </c>
      <c r="B4542" s="38">
        <v>37267.0</v>
      </c>
      <c r="C4542" s="38" t="s">
        <v>7369</v>
      </c>
      <c r="D4542" s="38" t="str">
        <f>IFERROR(__xludf.DUMMYFUNCTION("REGEXREPLACE(C4542,""-\d+(.*)|--\d+(.*)"","""")"),"VERETZ")</f>
        <v>VERETZ</v>
      </c>
      <c r="E4542" s="38" t="s">
        <v>205</v>
      </c>
      <c r="F4542" s="38" t="s">
        <v>123</v>
      </c>
      <c r="G4542" s="49" t="str">
        <f t="shared" si="1"/>
        <v>37270</v>
      </c>
      <c r="H4542" s="49">
        <f t="shared" si="2"/>
        <v>37267</v>
      </c>
    </row>
    <row r="4543">
      <c r="A4543" s="48" t="s">
        <v>4684</v>
      </c>
      <c r="B4543" s="38">
        <v>91408.0</v>
      </c>
      <c r="C4543" s="38" t="s">
        <v>7370</v>
      </c>
      <c r="D4543" s="38" t="str">
        <f>IFERROR(__xludf.DUMMYFUNCTION("REGEXREPLACE(C4543,""-\d+(.*)|--\d+(.*)"","""")"),"MOIGNY-SUR-ECOLE")</f>
        <v>MOIGNY-SUR-ECOLE</v>
      </c>
      <c r="E4543" s="38" t="s">
        <v>756</v>
      </c>
      <c r="F4543" s="38" t="s">
        <v>245</v>
      </c>
      <c r="G4543" s="49" t="str">
        <f t="shared" si="1"/>
        <v>91490</v>
      </c>
      <c r="H4543" s="49">
        <f t="shared" si="2"/>
        <v>91408</v>
      </c>
    </row>
    <row r="4544">
      <c r="A4544" s="48" t="s">
        <v>7371</v>
      </c>
      <c r="B4544" s="38">
        <v>17007.0</v>
      </c>
      <c r="C4544" s="38" t="s">
        <v>7372</v>
      </c>
      <c r="D4544" s="38" t="str">
        <f>IFERROR(__xludf.DUMMYFUNCTION("REGEXREPLACE(C4544,""-\d+(.*)|--\d+(.*)"","""")"),"ANAIS")</f>
        <v>ANAIS</v>
      </c>
      <c r="E4544" s="38" t="s">
        <v>488</v>
      </c>
      <c r="F4544" s="38" t="s">
        <v>338</v>
      </c>
      <c r="G4544" s="49" t="str">
        <f t="shared" si="1"/>
        <v>17540</v>
      </c>
      <c r="H4544" s="49">
        <f t="shared" si="2"/>
        <v>17007</v>
      </c>
    </row>
    <row r="4545">
      <c r="A4545" s="48" t="s">
        <v>3609</v>
      </c>
      <c r="B4545" s="38">
        <v>22036.0</v>
      </c>
      <c r="C4545" s="38" t="s">
        <v>7373</v>
      </c>
      <c r="D4545" s="38" t="str">
        <f>IFERROR(__xludf.DUMMYFUNCTION("REGEXREPLACE(C4545,""-\d+(.*)|--\d+(.*)"","""")"),"LA CHAPELLE-BLANCHE")</f>
        <v>LA CHAPELLE-BLANCHE</v>
      </c>
      <c r="E4545" s="38" t="s">
        <v>89</v>
      </c>
      <c r="F4545" s="38" t="s">
        <v>90</v>
      </c>
      <c r="G4545" s="49" t="str">
        <f t="shared" si="1"/>
        <v>22350</v>
      </c>
      <c r="H4545" s="49">
        <f t="shared" si="2"/>
        <v>22036</v>
      </c>
    </row>
    <row r="4546">
      <c r="A4546" s="48" t="s">
        <v>1752</v>
      </c>
      <c r="B4546" s="38">
        <v>49335.0</v>
      </c>
      <c r="C4546" s="38" t="s">
        <v>7374</v>
      </c>
      <c r="D4546" s="38" t="str">
        <f>IFERROR(__xludf.DUMMYFUNCTION("REGEXREPLACE(C4546,""-\d+(.*)|--\d+(.*)"","""")"),"SOEURDRES")</f>
        <v>SOEURDRES</v>
      </c>
      <c r="E4546" s="38" t="s">
        <v>653</v>
      </c>
      <c r="F4546" s="38" t="s">
        <v>180</v>
      </c>
      <c r="G4546" s="49" t="str">
        <f t="shared" si="1"/>
        <v>49330</v>
      </c>
      <c r="H4546" s="49">
        <f t="shared" si="2"/>
        <v>49335</v>
      </c>
    </row>
    <row r="4547">
      <c r="A4547" s="48" t="s">
        <v>7375</v>
      </c>
      <c r="B4547" s="38">
        <v>91080.0</v>
      </c>
      <c r="C4547" s="38" t="s">
        <v>7376</v>
      </c>
      <c r="D4547" s="38" t="str">
        <f>IFERROR(__xludf.DUMMYFUNCTION("REGEXREPLACE(C4547,""-\d+(.*)|--\d+(.*)"","""")"),"BOISSY-LE-CUTTE")</f>
        <v>BOISSY-LE-CUTTE</v>
      </c>
      <c r="E4547" s="38" t="s">
        <v>756</v>
      </c>
      <c r="F4547" s="38" t="s">
        <v>245</v>
      </c>
      <c r="G4547" s="49" t="str">
        <f t="shared" si="1"/>
        <v>91590</v>
      </c>
      <c r="H4547" s="49">
        <f t="shared" si="2"/>
        <v>91080</v>
      </c>
    </row>
    <row r="4548">
      <c r="A4548" s="48" t="s">
        <v>7377</v>
      </c>
      <c r="B4548" s="38">
        <v>49024.0</v>
      </c>
      <c r="C4548" s="38" t="s">
        <v>7378</v>
      </c>
      <c r="D4548" s="38" t="str">
        <f>IFERROR(__xludf.DUMMYFUNCTION("REGEXREPLACE(C4548,""-\d+(.*)|--\d+(.*)"","""")"),"BEAUSSE")</f>
        <v>BEAUSSE</v>
      </c>
      <c r="E4548" s="38" t="s">
        <v>653</v>
      </c>
      <c r="F4548" s="38" t="s">
        <v>180</v>
      </c>
      <c r="G4548" s="49" t="str">
        <f t="shared" si="1"/>
        <v>49410</v>
      </c>
      <c r="H4548" s="49">
        <f t="shared" si="2"/>
        <v>49024</v>
      </c>
    </row>
    <row r="4549">
      <c r="A4549" s="48" t="s">
        <v>2565</v>
      </c>
      <c r="B4549" s="38">
        <v>44175.0</v>
      </c>
      <c r="C4549" s="38" t="s">
        <v>7379</v>
      </c>
      <c r="D4549" s="38" t="str">
        <f>IFERROR(__xludf.DUMMYFUNCTION("REGEXREPLACE(C4549,""-\d+(.*)|--\d+(.*)"","""")"),"SAINT-LYPHARD")</f>
        <v>SAINT-LYPHARD</v>
      </c>
      <c r="E4549" s="38" t="s">
        <v>759</v>
      </c>
      <c r="F4549" s="38" t="s">
        <v>180</v>
      </c>
      <c r="G4549" s="49" t="str">
        <f t="shared" si="1"/>
        <v>44410</v>
      </c>
      <c r="H4549" s="49">
        <f t="shared" si="2"/>
        <v>44175</v>
      </c>
    </row>
    <row r="4550">
      <c r="A4550" s="48" t="s">
        <v>394</v>
      </c>
      <c r="B4550" s="38">
        <v>41294.0</v>
      </c>
      <c r="C4550" s="38" t="s">
        <v>7380</v>
      </c>
      <c r="D4550" s="38" t="str">
        <f>IFERROR(__xludf.DUMMYFUNCTION("REGEXREPLACE(C4550,""-\d+(.*)|--\d+(.*)"","""")"),"VILLIERS-SUR-LOIR")</f>
        <v>VILLIERS-SUR-LOIR</v>
      </c>
      <c r="E4550" s="38" t="s">
        <v>188</v>
      </c>
      <c r="F4550" s="38" t="s">
        <v>123</v>
      </c>
      <c r="G4550" s="49" t="str">
        <f t="shared" si="1"/>
        <v>41100</v>
      </c>
      <c r="H4550" s="49">
        <f t="shared" si="2"/>
        <v>41294</v>
      </c>
    </row>
    <row r="4551">
      <c r="A4551" s="48" t="s">
        <v>760</v>
      </c>
      <c r="B4551" s="38">
        <v>89032.0</v>
      </c>
      <c r="C4551" s="38" t="s">
        <v>1757</v>
      </c>
      <c r="D4551" s="38" t="str">
        <f>IFERROR(__xludf.DUMMYFUNCTION("REGEXREPLACE(C4551,""-\d+(.*)|--\d+(.*)"","""")"),"BEAUVILLIERS")</f>
        <v>BEAUVILLIERS</v>
      </c>
      <c r="E4551" s="38" t="s">
        <v>275</v>
      </c>
      <c r="F4551" s="38" t="s">
        <v>106</v>
      </c>
      <c r="G4551" s="49" t="str">
        <f t="shared" si="1"/>
        <v>89630</v>
      </c>
      <c r="H4551" s="49">
        <f t="shared" si="2"/>
        <v>89032</v>
      </c>
    </row>
    <row r="4552">
      <c r="A4552" s="48" t="s">
        <v>3196</v>
      </c>
      <c r="B4552" s="38">
        <v>1177.0</v>
      </c>
      <c r="C4552" s="38" t="s">
        <v>7381</v>
      </c>
      <c r="D4552" s="38" t="str">
        <f>IFERROR(__xludf.DUMMYFUNCTION("REGEXREPLACE(C4552,""-\d+(.*)|--\d+(.*)"","""")"),"GRAND-CORENT")</f>
        <v>GRAND-CORENT</v>
      </c>
      <c r="E4552" s="38" t="s">
        <v>255</v>
      </c>
      <c r="F4552" s="38" t="s">
        <v>102</v>
      </c>
      <c r="G4552" s="49" t="str">
        <f t="shared" si="1"/>
        <v>01250</v>
      </c>
      <c r="H4552" s="49" t="str">
        <f t="shared" si="2"/>
        <v>01177</v>
      </c>
    </row>
    <row r="4553">
      <c r="A4553" s="48" t="s">
        <v>7382</v>
      </c>
      <c r="B4553" s="38">
        <v>59574.0</v>
      </c>
      <c r="C4553" s="38" t="s">
        <v>7383</v>
      </c>
      <c r="D4553" s="38" t="str">
        <f>IFERROR(__xludf.DUMMYFUNCTION("REGEXREPLACE(C4553,""-\d+(.*)|--\d+(.*)"","""")"),"SOMAIN")</f>
        <v>SOMAIN</v>
      </c>
      <c r="E4553" s="38" t="s">
        <v>85</v>
      </c>
      <c r="F4553" s="38" t="s">
        <v>86</v>
      </c>
      <c r="G4553" s="49" t="str">
        <f t="shared" si="1"/>
        <v>59490</v>
      </c>
      <c r="H4553" s="49">
        <f t="shared" si="2"/>
        <v>59574</v>
      </c>
    </row>
    <row r="4554">
      <c r="A4554" s="48" t="s">
        <v>1332</v>
      </c>
      <c r="B4554" s="38">
        <v>51620.0</v>
      </c>
      <c r="C4554" s="38" t="s">
        <v>7384</v>
      </c>
      <c r="D4554" s="38" t="str">
        <f>IFERROR(__xludf.DUMMYFUNCTION("REGEXREPLACE(C4554,""-\d+(.*)|--\d+(.*)"","""")"),"VIENNE-LA-VILLE")</f>
        <v>VIENNE-LA-VILLE</v>
      </c>
      <c r="E4554" s="38" t="s">
        <v>129</v>
      </c>
      <c r="F4554" s="38" t="s">
        <v>130</v>
      </c>
      <c r="G4554" s="49" t="str">
        <f t="shared" si="1"/>
        <v>51800</v>
      </c>
      <c r="H4554" s="49">
        <f t="shared" si="2"/>
        <v>51620</v>
      </c>
    </row>
    <row r="4555">
      <c r="A4555" s="48" t="s">
        <v>582</v>
      </c>
      <c r="B4555" s="38">
        <v>39296.0</v>
      </c>
      <c r="C4555" s="38" t="s">
        <v>7385</v>
      </c>
      <c r="D4555" s="38" t="str">
        <f>IFERROR(__xludf.DUMMYFUNCTION("REGEXREPLACE(C4555,""-\d+(.*)|--\d+(.*)"","""")"),"LOMBARD")</f>
        <v>LOMBARD</v>
      </c>
      <c r="E4555" s="38" t="s">
        <v>400</v>
      </c>
      <c r="F4555" s="38" t="s">
        <v>214</v>
      </c>
      <c r="G4555" s="49" t="str">
        <f t="shared" si="1"/>
        <v>39230</v>
      </c>
      <c r="H4555" s="49">
        <f t="shared" si="2"/>
        <v>39296</v>
      </c>
    </row>
    <row r="4556">
      <c r="A4556" s="48" t="s">
        <v>7386</v>
      </c>
      <c r="B4556" s="38">
        <v>64130.0</v>
      </c>
      <c r="C4556" s="38" t="s">
        <v>7387</v>
      </c>
      <c r="D4556" s="38" t="str">
        <f>IFERROR(__xludf.DUMMYFUNCTION("REGEXREPLACE(C4556,""-\d+(.*)|--\d+(.*)"","""")"),"BIRIATOU")</f>
        <v>BIRIATOU</v>
      </c>
      <c r="E4556" s="38" t="s">
        <v>268</v>
      </c>
      <c r="F4556" s="38" t="s">
        <v>252</v>
      </c>
      <c r="G4556" s="49" t="str">
        <f t="shared" si="1"/>
        <v>64700</v>
      </c>
      <c r="H4556" s="49">
        <f t="shared" si="2"/>
        <v>64130</v>
      </c>
    </row>
    <row r="4557">
      <c r="A4557" s="48" t="s">
        <v>7388</v>
      </c>
      <c r="B4557" s="38">
        <v>42317.0</v>
      </c>
      <c r="C4557" s="38" t="s">
        <v>7389</v>
      </c>
      <c r="D4557" s="38" t="str">
        <f>IFERROR(__xludf.DUMMYFUNCTION("REGEXREPLACE(C4557,""-\d+(.*)|--\d+(.*)"","""")"),"URBISE")</f>
        <v>URBISE</v>
      </c>
      <c r="E4557" s="38" t="s">
        <v>166</v>
      </c>
      <c r="F4557" s="38" t="s">
        <v>102</v>
      </c>
      <c r="G4557" s="49" t="str">
        <f t="shared" si="1"/>
        <v>42310</v>
      </c>
      <c r="H4557" s="49">
        <f t="shared" si="2"/>
        <v>42317</v>
      </c>
    </row>
    <row r="4558">
      <c r="A4558" s="48" t="s">
        <v>7390</v>
      </c>
      <c r="B4558" s="38">
        <v>7258.0</v>
      </c>
      <c r="C4558" s="38" t="s">
        <v>7391</v>
      </c>
      <c r="D4558" s="38" t="str">
        <f>IFERROR(__xludf.DUMMYFUNCTION("REGEXREPLACE(C4558,""-\d+(.*)|--\d+(.*)"","""")"),"SAINT-JULIEN-VOCANCE")</f>
        <v>SAINT-JULIEN-VOCANCE</v>
      </c>
      <c r="E4558" s="38" t="s">
        <v>144</v>
      </c>
      <c r="F4558" s="38" t="s">
        <v>102</v>
      </c>
      <c r="G4558" s="49" t="str">
        <f t="shared" si="1"/>
        <v>07690</v>
      </c>
      <c r="H4558" s="49" t="str">
        <f t="shared" si="2"/>
        <v>07258</v>
      </c>
    </row>
    <row r="4559">
      <c r="A4559" s="48" t="s">
        <v>1014</v>
      </c>
      <c r="B4559" s="38">
        <v>11280.0</v>
      </c>
      <c r="C4559" s="38" t="s">
        <v>7392</v>
      </c>
      <c r="D4559" s="38" t="str">
        <f>IFERROR(__xludf.DUMMYFUNCTION("REGEXREPLACE(C4559,""-\d+(.*)|--\d+(.*)"","""")"),"PEPIEUX")</f>
        <v>PEPIEUX</v>
      </c>
      <c r="E4559" s="38" t="s">
        <v>278</v>
      </c>
      <c r="F4559" s="38" t="s">
        <v>119</v>
      </c>
      <c r="G4559" s="49" t="str">
        <f t="shared" si="1"/>
        <v>11700</v>
      </c>
      <c r="H4559" s="49">
        <f t="shared" si="2"/>
        <v>11280</v>
      </c>
    </row>
    <row r="4560">
      <c r="A4560" s="48" t="s">
        <v>7393</v>
      </c>
      <c r="B4560" s="38">
        <v>42201.0</v>
      </c>
      <c r="C4560" s="38" t="s">
        <v>7394</v>
      </c>
      <c r="D4560" s="38" t="str">
        <f>IFERROR(__xludf.DUMMYFUNCTION("REGEXREPLACE(C4560,""-\d+(.*)|--\d+(.*)"","""")"),"SAINT-APPOLINARD")</f>
        <v>SAINT-APPOLINARD</v>
      </c>
      <c r="E4560" s="38" t="s">
        <v>166</v>
      </c>
      <c r="F4560" s="38" t="s">
        <v>102</v>
      </c>
      <c r="G4560" s="49" t="str">
        <f t="shared" si="1"/>
        <v>42520</v>
      </c>
      <c r="H4560" s="49">
        <f t="shared" si="2"/>
        <v>42201</v>
      </c>
    </row>
    <row r="4561">
      <c r="A4561" s="48" t="s">
        <v>5558</v>
      </c>
      <c r="B4561" s="38">
        <v>14298.0</v>
      </c>
      <c r="C4561" s="38" t="s">
        <v>7395</v>
      </c>
      <c r="D4561" s="38" t="str">
        <f>IFERROR(__xludf.DUMMYFUNCTION("REGEXREPLACE(C4561,""-\d+(.*)|--\d+(.*)"","""")"),"GEFOSSE-FONTENAY")</f>
        <v>GEFOSSE-FONTENAY</v>
      </c>
      <c r="E4561" s="38" t="s">
        <v>137</v>
      </c>
      <c r="F4561" s="38" t="s">
        <v>138</v>
      </c>
      <c r="G4561" s="49" t="str">
        <f t="shared" si="1"/>
        <v>14230</v>
      </c>
      <c r="H4561" s="49">
        <f t="shared" si="2"/>
        <v>14298</v>
      </c>
    </row>
    <row r="4562">
      <c r="A4562" s="48" t="s">
        <v>7396</v>
      </c>
      <c r="B4562" s="38">
        <v>60130.0</v>
      </c>
      <c r="C4562" s="38" t="s">
        <v>7397</v>
      </c>
      <c r="D4562" s="38" t="str">
        <f>IFERROR(__xludf.DUMMYFUNCTION("REGEXREPLACE(C4562,""-\d+(.*)|--\d+(.*)"","""")"),"CATENOY")</f>
        <v>CATENOY</v>
      </c>
      <c r="E4562" s="38" t="s">
        <v>112</v>
      </c>
      <c r="F4562" s="38" t="s">
        <v>113</v>
      </c>
      <c r="G4562" s="49" t="str">
        <f t="shared" si="1"/>
        <v>60840</v>
      </c>
      <c r="H4562" s="49">
        <f t="shared" si="2"/>
        <v>60130</v>
      </c>
    </row>
    <row r="4563">
      <c r="A4563" s="48" t="s">
        <v>3983</v>
      </c>
      <c r="B4563" s="38">
        <v>67425.0</v>
      </c>
      <c r="C4563" s="38" t="s">
        <v>7398</v>
      </c>
      <c r="D4563" s="38" t="str">
        <f>IFERROR(__xludf.DUMMYFUNCTION("REGEXREPLACE(C4563,""-\d+(.*)|--\d+(.*)"","""")"),"SAINT-JEAN-SAVERNE")</f>
        <v>SAINT-JEAN-SAVERNE</v>
      </c>
      <c r="E4563" s="38" t="s">
        <v>210</v>
      </c>
      <c r="F4563" s="38" t="s">
        <v>151</v>
      </c>
      <c r="G4563" s="49" t="str">
        <f t="shared" si="1"/>
        <v>67700</v>
      </c>
      <c r="H4563" s="49">
        <f t="shared" si="2"/>
        <v>67425</v>
      </c>
    </row>
    <row r="4564">
      <c r="A4564" s="48" t="s">
        <v>7399</v>
      </c>
      <c r="B4564" s="38">
        <v>28331.0</v>
      </c>
      <c r="C4564" s="38" t="s">
        <v>7400</v>
      </c>
      <c r="D4564" s="38" t="str">
        <f>IFERROR(__xludf.DUMMYFUNCTION("REGEXREPLACE(C4564,""-\d+(.*)|--\d+(.*)"","""")"),"SAINT-DENIS-D'AUTHOU")</f>
        <v>SAINT-DENIS-D'AUTHOU</v>
      </c>
      <c r="E4564" s="38" t="s">
        <v>300</v>
      </c>
      <c r="F4564" s="38" t="s">
        <v>123</v>
      </c>
      <c r="G4564" s="49" t="str">
        <f t="shared" si="1"/>
        <v>28480</v>
      </c>
      <c r="H4564" s="49">
        <f t="shared" si="2"/>
        <v>28331</v>
      </c>
    </row>
    <row r="4565">
      <c r="A4565" s="48" t="s">
        <v>2554</v>
      </c>
      <c r="B4565" s="38">
        <v>95592.0</v>
      </c>
      <c r="C4565" s="38" t="s">
        <v>7401</v>
      </c>
      <c r="D4565" s="38" t="str">
        <f>IFERROR(__xludf.DUMMYFUNCTION("REGEXREPLACE(C4565,""-\d+(.*)|--\d+(.*)"","""")"),"SERAINCOURT")</f>
        <v>SERAINCOURT</v>
      </c>
      <c r="E4565" s="38" t="s">
        <v>541</v>
      </c>
      <c r="F4565" s="38" t="s">
        <v>245</v>
      </c>
      <c r="G4565" s="49" t="str">
        <f t="shared" si="1"/>
        <v>95450</v>
      </c>
      <c r="H4565" s="49">
        <f t="shared" si="2"/>
        <v>95592</v>
      </c>
    </row>
    <row r="4566">
      <c r="A4566" s="48" t="s">
        <v>458</v>
      </c>
      <c r="B4566" s="38">
        <v>34342.0</v>
      </c>
      <c r="C4566" s="38" t="s">
        <v>7402</v>
      </c>
      <c r="D4566" s="38" t="str">
        <f>IFERROR(__xludf.DUMMYFUNCTION("REGEXREPLACE(C4566,""-\d+(.*)|--\d+(.*)"","""")"),"VIOLS-EN-LAVAL")</f>
        <v>VIOLS-EN-LAVAL</v>
      </c>
      <c r="E4566" s="38" t="s">
        <v>118</v>
      </c>
      <c r="F4566" s="38" t="s">
        <v>119</v>
      </c>
      <c r="G4566" s="49" t="str">
        <f t="shared" si="1"/>
        <v>34380</v>
      </c>
      <c r="H4566" s="49">
        <f t="shared" si="2"/>
        <v>34342</v>
      </c>
    </row>
    <row r="4567">
      <c r="A4567" s="48" t="s">
        <v>7403</v>
      </c>
      <c r="B4567" s="38">
        <v>1053.0</v>
      </c>
      <c r="C4567" s="38" t="s">
        <v>7404</v>
      </c>
      <c r="D4567" s="38" t="str">
        <f>IFERROR(__xludf.DUMMYFUNCTION("REGEXREPLACE(C4567,""-\d+(.*)|--\d+(.*)"","""")"),"BOURG-EN-BRESSE")</f>
        <v>BOURG-EN-BRESSE</v>
      </c>
      <c r="E4567" s="38" t="s">
        <v>255</v>
      </c>
      <c r="F4567" s="38" t="s">
        <v>102</v>
      </c>
      <c r="G4567" s="49" t="str">
        <f t="shared" si="1"/>
        <v>01000</v>
      </c>
      <c r="H4567" s="49" t="str">
        <f t="shared" si="2"/>
        <v>01053</v>
      </c>
    </row>
    <row r="4568">
      <c r="A4568" s="48" t="s">
        <v>6047</v>
      </c>
      <c r="B4568" s="38">
        <v>38034.0</v>
      </c>
      <c r="C4568" s="38" t="s">
        <v>7405</v>
      </c>
      <c r="D4568" s="38" t="str">
        <f>IFERROR(__xludf.DUMMYFUNCTION("REGEXREPLACE(C4568,""-\d+(.*)|--\d+(.*)"","""")"),"BEAUREPAIRE")</f>
        <v>BEAUREPAIRE</v>
      </c>
      <c r="E4568" s="38" t="s">
        <v>101</v>
      </c>
      <c r="F4568" s="38" t="s">
        <v>102</v>
      </c>
      <c r="G4568" s="49" t="str">
        <f t="shared" si="1"/>
        <v>38270</v>
      </c>
      <c r="H4568" s="49">
        <f t="shared" si="2"/>
        <v>38034</v>
      </c>
    </row>
    <row r="4569">
      <c r="A4569" s="48" t="s">
        <v>4088</v>
      </c>
      <c r="B4569" s="38">
        <v>39326.0</v>
      </c>
      <c r="C4569" s="38" t="s">
        <v>7406</v>
      </c>
      <c r="D4569" s="38" t="str">
        <f>IFERROR(__xludf.DUMMYFUNCTION("REGEXREPLACE(C4569,""-\d+(.*)|--\d+(.*)"","""")"),"MESNOIS")</f>
        <v>MESNOIS</v>
      </c>
      <c r="E4569" s="38" t="s">
        <v>400</v>
      </c>
      <c r="F4569" s="38" t="s">
        <v>214</v>
      </c>
      <c r="G4569" s="49" t="str">
        <f t="shared" si="1"/>
        <v>39130</v>
      </c>
      <c r="H4569" s="49">
        <f t="shared" si="2"/>
        <v>39326</v>
      </c>
    </row>
    <row r="4570">
      <c r="A4570" s="48" t="s">
        <v>2623</v>
      </c>
      <c r="B4570" s="38">
        <v>86142.0</v>
      </c>
      <c r="C4570" s="38" t="s">
        <v>7407</v>
      </c>
      <c r="D4570" s="38" t="str">
        <f>IFERROR(__xludf.DUMMYFUNCTION("REGEXREPLACE(C4570,""-\d+(.*)|--\d+(.*)"","""")"),"MAILLE")</f>
        <v>MAILLE</v>
      </c>
      <c r="E4570" s="38" t="s">
        <v>529</v>
      </c>
      <c r="F4570" s="38" t="s">
        <v>338</v>
      </c>
      <c r="G4570" s="49" t="str">
        <f t="shared" si="1"/>
        <v>86190</v>
      </c>
      <c r="H4570" s="49">
        <f t="shared" si="2"/>
        <v>86142</v>
      </c>
    </row>
    <row r="4571">
      <c r="A4571" s="48" t="s">
        <v>4884</v>
      </c>
      <c r="B4571" s="38">
        <v>72243.0</v>
      </c>
      <c r="C4571" s="38" t="s">
        <v>7408</v>
      </c>
      <c r="D4571" s="38" t="str">
        <f>IFERROR(__xludf.DUMMYFUNCTION("REGEXREPLACE(C4571,""-\d+(.*)|--\d+(.*)"","""")"),"PONTVALLAIN")</f>
        <v>PONTVALLAIN</v>
      </c>
      <c r="E4571" s="38" t="s">
        <v>521</v>
      </c>
      <c r="F4571" s="38" t="s">
        <v>180</v>
      </c>
      <c r="G4571" s="49" t="str">
        <f t="shared" si="1"/>
        <v>72510</v>
      </c>
      <c r="H4571" s="49">
        <f t="shared" si="2"/>
        <v>72243</v>
      </c>
    </row>
    <row r="4572">
      <c r="A4572" s="48" t="s">
        <v>7409</v>
      </c>
      <c r="B4572" s="38">
        <v>59329.0</v>
      </c>
      <c r="C4572" s="38" t="s">
        <v>7410</v>
      </c>
      <c r="D4572" s="38" t="str">
        <f>IFERROR(__xludf.DUMMYFUNCTION("REGEXREPLACE(C4572,""-\d+(.*)|--\d+(.*)"","""")"),"LAMBRES-LEZ-DOUAI")</f>
        <v>LAMBRES-LEZ-DOUAI</v>
      </c>
      <c r="E4572" s="38" t="s">
        <v>85</v>
      </c>
      <c r="F4572" s="38" t="s">
        <v>86</v>
      </c>
      <c r="G4572" s="49" t="str">
        <f t="shared" si="1"/>
        <v>59552</v>
      </c>
      <c r="H4572" s="49">
        <f t="shared" si="2"/>
        <v>59329</v>
      </c>
    </row>
    <row r="4573">
      <c r="A4573" s="48" t="s">
        <v>922</v>
      </c>
      <c r="B4573" s="38">
        <v>76393.0</v>
      </c>
      <c r="C4573" s="38" t="s">
        <v>7411</v>
      </c>
      <c r="D4573" s="38" t="str">
        <f>IFERROR(__xludf.DUMMYFUNCTION("REGEXREPLACE(C4573,""-\d+(.*)|--\d+(.*)"","""")"),"LONGMESNIL")</f>
        <v>LONGMESNIL</v>
      </c>
      <c r="E4573" s="38" t="s">
        <v>133</v>
      </c>
      <c r="F4573" s="38" t="s">
        <v>134</v>
      </c>
      <c r="G4573" s="49" t="str">
        <f t="shared" si="1"/>
        <v>76440</v>
      </c>
      <c r="H4573" s="49">
        <f t="shared" si="2"/>
        <v>76393</v>
      </c>
    </row>
    <row r="4574">
      <c r="A4574" s="48" t="s">
        <v>1368</v>
      </c>
      <c r="B4574" s="38">
        <v>8390.0</v>
      </c>
      <c r="C4574" s="38" t="s">
        <v>7412</v>
      </c>
      <c r="D4574" s="38" t="str">
        <f>IFERROR(__xludf.DUMMYFUNCTION("REGEXREPLACE(C4574,""-\d+(.*)|--\d+(.*)"","""")"),"SAINTE-MARIE")</f>
        <v>SAINTE-MARIE</v>
      </c>
      <c r="E4574" s="38" t="s">
        <v>327</v>
      </c>
      <c r="F4574" s="38" t="s">
        <v>130</v>
      </c>
      <c r="G4574" s="49" t="str">
        <f t="shared" si="1"/>
        <v>08400</v>
      </c>
      <c r="H4574" s="49" t="str">
        <f t="shared" si="2"/>
        <v>08390</v>
      </c>
    </row>
    <row r="4575">
      <c r="A4575" s="48" t="s">
        <v>5273</v>
      </c>
      <c r="B4575" s="38">
        <v>53063.0</v>
      </c>
      <c r="C4575" s="38" t="s">
        <v>7413</v>
      </c>
      <c r="D4575" s="38" t="str">
        <f>IFERROR(__xludf.DUMMYFUNCTION("REGEXREPLACE(C4575,""-\d+(.*)|--\d+(.*)"","""")"),"CHATELAIN")</f>
        <v>CHATELAIN</v>
      </c>
      <c r="E4575" s="38" t="s">
        <v>518</v>
      </c>
      <c r="F4575" s="38" t="s">
        <v>180</v>
      </c>
      <c r="G4575" s="49" t="str">
        <f t="shared" si="1"/>
        <v>53200</v>
      </c>
      <c r="H4575" s="49">
        <f t="shared" si="2"/>
        <v>53063</v>
      </c>
    </row>
    <row r="4576">
      <c r="A4576" s="48" t="s">
        <v>7414</v>
      </c>
      <c r="B4576" s="38">
        <v>77033.0</v>
      </c>
      <c r="C4576" s="38" t="s">
        <v>7415</v>
      </c>
      <c r="D4576" s="38" t="str">
        <f>IFERROR(__xludf.DUMMYFUNCTION("REGEXREPLACE(C4576,""-\d+(.*)|--\d+(.*)"","""")"),"BEZALLES")</f>
        <v>BEZALLES</v>
      </c>
      <c r="E4576" s="38" t="s">
        <v>244</v>
      </c>
      <c r="F4576" s="38" t="s">
        <v>245</v>
      </c>
      <c r="G4576" s="49" t="str">
        <f t="shared" si="1"/>
        <v>77970</v>
      </c>
      <c r="H4576" s="49">
        <f t="shared" si="2"/>
        <v>77033</v>
      </c>
    </row>
    <row r="4577">
      <c r="A4577" s="48" t="s">
        <v>7416</v>
      </c>
      <c r="B4577" s="38">
        <v>49143.0</v>
      </c>
      <c r="C4577" s="38" t="s">
        <v>375</v>
      </c>
      <c r="D4577" s="38" t="str">
        <f>IFERROR(__xludf.DUMMYFUNCTION("REGEXREPLACE(C4577,""-\d+(.*)|--\d+(.*)"","""")"),"FOUGERE")</f>
        <v>FOUGERE</v>
      </c>
      <c r="E4577" s="38" t="s">
        <v>653</v>
      </c>
      <c r="F4577" s="38" t="s">
        <v>180</v>
      </c>
      <c r="G4577" s="49" t="str">
        <f t="shared" si="1"/>
        <v>49150</v>
      </c>
      <c r="H4577" s="49">
        <f t="shared" si="2"/>
        <v>49143</v>
      </c>
    </row>
    <row r="4578">
      <c r="A4578" s="48" t="s">
        <v>3036</v>
      </c>
      <c r="B4578" s="38">
        <v>61123.0</v>
      </c>
      <c r="C4578" s="38" t="s">
        <v>7417</v>
      </c>
      <c r="D4578" s="38" t="str">
        <f>IFERROR(__xludf.DUMMYFUNCTION("REGEXREPLACE(C4578,""-\d+(.*)|--\d+(.*)"","""")"),"COULONCES")</f>
        <v>COULONCES</v>
      </c>
      <c r="E4578" s="38" t="s">
        <v>141</v>
      </c>
      <c r="F4578" s="38" t="s">
        <v>138</v>
      </c>
      <c r="G4578" s="49" t="str">
        <f t="shared" si="1"/>
        <v>61160</v>
      </c>
      <c r="H4578" s="49">
        <f t="shared" si="2"/>
        <v>61123</v>
      </c>
    </row>
    <row r="4579">
      <c r="A4579" s="48" t="s">
        <v>7418</v>
      </c>
      <c r="B4579" s="38">
        <v>29175.0</v>
      </c>
      <c r="C4579" s="38" t="s">
        <v>7419</v>
      </c>
      <c r="D4579" s="38" t="str">
        <f>IFERROR(__xludf.DUMMYFUNCTION("REGEXREPLACE(C4579,""-\d+(.*)|--\d+(.*)"","""")"),"PLONEVEZ-DU-FAOU")</f>
        <v>PLONEVEZ-DU-FAOU</v>
      </c>
      <c r="E4579" s="38" t="s">
        <v>176</v>
      </c>
      <c r="F4579" s="38" t="s">
        <v>90</v>
      </c>
      <c r="G4579" s="49" t="str">
        <f t="shared" si="1"/>
        <v>29530</v>
      </c>
      <c r="H4579" s="49">
        <f t="shared" si="2"/>
        <v>29175</v>
      </c>
    </row>
    <row r="4580">
      <c r="A4580" s="48" t="s">
        <v>4079</v>
      </c>
      <c r="B4580" s="38">
        <v>1111.0</v>
      </c>
      <c r="C4580" s="38" t="s">
        <v>7420</v>
      </c>
      <c r="D4580" s="38" t="str">
        <f>IFERROR(__xludf.DUMMYFUNCTION("REGEXREPLACE(C4580,""-\d+(.*)|--\d+(.*)"","""")"),"CONAND")</f>
        <v>CONAND</v>
      </c>
      <c r="E4580" s="38" t="s">
        <v>255</v>
      </c>
      <c r="F4580" s="38" t="s">
        <v>102</v>
      </c>
      <c r="G4580" s="49" t="str">
        <f t="shared" si="1"/>
        <v>01230</v>
      </c>
      <c r="H4580" s="49" t="str">
        <f t="shared" si="2"/>
        <v>01111</v>
      </c>
    </row>
    <row r="4581">
      <c r="A4581" s="48" t="s">
        <v>95</v>
      </c>
      <c r="B4581" s="38">
        <v>23101.0</v>
      </c>
      <c r="C4581" s="38" t="s">
        <v>7421</v>
      </c>
      <c r="D4581" s="38" t="str">
        <f>IFERROR(__xludf.DUMMYFUNCTION("REGEXREPLACE(C4581,""-\d+(.*)|--\d+(.*)"","""")"),"JOUILLAT")</f>
        <v>JOUILLAT</v>
      </c>
      <c r="E4581" s="38" t="s">
        <v>97</v>
      </c>
      <c r="F4581" s="38" t="s">
        <v>98</v>
      </c>
      <c r="G4581" s="49" t="str">
        <f t="shared" si="1"/>
        <v>23220</v>
      </c>
      <c r="H4581" s="49">
        <f t="shared" si="2"/>
        <v>23101</v>
      </c>
    </row>
    <row r="4582">
      <c r="A4582" s="48" t="s">
        <v>1534</v>
      </c>
      <c r="B4582" s="38">
        <v>19006.0</v>
      </c>
      <c r="C4582" s="38" t="s">
        <v>7422</v>
      </c>
      <c r="D4582" s="38" t="str">
        <f>IFERROR(__xludf.DUMMYFUNCTION("REGEXREPLACE(C4582,""-\d+(.*)|--\d+(.*)"","""")"),"ALLEYRAT")</f>
        <v>ALLEYRAT</v>
      </c>
      <c r="E4582" s="38" t="s">
        <v>271</v>
      </c>
      <c r="F4582" s="38" t="s">
        <v>98</v>
      </c>
      <c r="G4582" s="49" t="str">
        <f t="shared" si="1"/>
        <v>19200</v>
      </c>
      <c r="H4582" s="49">
        <f t="shared" si="2"/>
        <v>19006</v>
      </c>
    </row>
    <row r="4583">
      <c r="A4583" s="48" t="s">
        <v>7423</v>
      </c>
      <c r="B4583" s="38">
        <v>22070.0</v>
      </c>
      <c r="C4583" s="38" t="s">
        <v>7424</v>
      </c>
      <c r="D4583" s="38" t="str">
        <f>IFERROR(__xludf.DUMMYFUNCTION("REGEXREPLACE(C4583,""-\d+(.*)|--\d+(.*)"","""")"),"GUINGAMP")</f>
        <v>GUINGAMP</v>
      </c>
      <c r="E4583" s="38" t="s">
        <v>89</v>
      </c>
      <c r="F4583" s="38" t="s">
        <v>90</v>
      </c>
      <c r="G4583" s="49" t="str">
        <f t="shared" si="1"/>
        <v>22200</v>
      </c>
      <c r="H4583" s="49">
        <f t="shared" si="2"/>
        <v>22070</v>
      </c>
    </row>
    <row r="4584">
      <c r="A4584" s="48" t="s">
        <v>954</v>
      </c>
      <c r="B4584" s="38">
        <v>70028.0</v>
      </c>
      <c r="C4584" s="38" t="s">
        <v>7425</v>
      </c>
      <c r="D4584" s="38" t="str">
        <f>IFERROR(__xludf.DUMMYFUNCTION("REGEXREPLACE(C4584,""-\d+(.*)|--\d+(.*)"","""")"),"AROZ")</f>
        <v>AROZ</v>
      </c>
      <c r="E4584" s="38" t="s">
        <v>956</v>
      </c>
      <c r="F4584" s="38" t="s">
        <v>214</v>
      </c>
      <c r="G4584" s="49" t="str">
        <f t="shared" si="1"/>
        <v>70360</v>
      </c>
      <c r="H4584" s="49">
        <f t="shared" si="2"/>
        <v>70028</v>
      </c>
    </row>
    <row r="4585">
      <c r="A4585" s="48" t="s">
        <v>7426</v>
      </c>
      <c r="B4585" s="38">
        <v>62197.0</v>
      </c>
      <c r="C4585" s="38" t="s">
        <v>7427</v>
      </c>
      <c r="D4585" s="38" t="str">
        <f>IFERROR(__xludf.DUMMYFUNCTION("REGEXREPLACE(C4585,""-\d+(.*)|--\d+(.*)"","""")"),"CAMBLAIN-CHATELAIN")</f>
        <v>CAMBLAIN-CHATELAIN</v>
      </c>
      <c r="E4585" s="38" t="s">
        <v>109</v>
      </c>
      <c r="F4585" s="38" t="s">
        <v>86</v>
      </c>
      <c r="G4585" s="49" t="str">
        <f t="shared" si="1"/>
        <v>62470</v>
      </c>
      <c r="H4585" s="49">
        <f t="shared" si="2"/>
        <v>62197</v>
      </c>
    </row>
    <row r="4586">
      <c r="A4586" s="48" t="s">
        <v>1628</v>
      </c>
      <c r="B4586" s="38">
        <v>70078.0</v>
      </c>
      <c r="C4586" s="38" t="s">
        <v>7428</v>
      </c>
      <c r="D4586" s="38" t="str">
        <f>IFERROR(__xludf.DUMMYFUNCTION("REGEXREPLACE(C4586,""-\d+(.*)|--\d+(.*)"","""")"),"BOUGEY")</f>
        <v>BOUGEY</v>
      </c>
      <c r="E4586" s="38" t="s">
        <v>956</v>
      </c>
      <c r="F4586" s="38" t="s">
        <v>214</v>
      </c>
      <c r="G4586" s="49" t="str">
        <f t="shared" si="1"/>
        <v>70500</v>
      </c>
      <c r="H4586" s="49">
        <f t="shared" si="2"/>
        <v>70078</v>
      </c>
    </row>
    <row r="4587">
      <c r="A4587" s="48" t="s">
        <v>2748</v>
      </c>
      <c r="B4587" s="38">
        <v>32164.0</v>
      </c>
      <c r="C4587" s="38" t="s">
        <v>7429</v>
      </c>
      <c r="D4587" s="38" t="str">
        <f>IFERROR(__xludf.DUMMYFUNCTION("REGEXREPLACE(C4587,""-\d+(.*)|--\d+(.*)"","""")"),"JUILLAC")</f>
        <v>JUILLAC</v>
      </c>
      <c r="E4587" s="38" t="s">
        <v>440</v>
      </c>
      <c r="F4587" s="38" t="s">
        <v>94</v>
      </c>
      <c r="G4587" s="49" t="str">
        <f t="shared" si="1"/>
        <v>32230</v>
      </c>
      <c r="H4587" s="49">
        <f t="shared" si="2"/>
        <v>32164</v>
      </c>
    </row>
    <row r="4588">
      <c r="A4588" s="48" t="s">
        <v>1616</v>
      </c>
      <c r="B4588" s="38">
        <v>10012.0</v>
      </c>
      <c r="C4588" s="38" t="s">
        <v>7430</v>
      </c>
      <c r="D4588" s="38" t="str">
        <f>IFERROR(__xludf.DUMMYFUNCTION("REGEXREPLACE(C4588,""-\d+(.*)|--\d+(.*)"","""")"),"ARSONVAL")</f>
        <v>ARSONVAL</v>
      </c>
      <c r="E4588" s="38" t="s">
        <v>147</v>
      </c>
      <c r="F4588" s="38" t="s">
        <v>130</v>
      </c>
      <c r="G4588" s="49" t="str">
        <f t="shared" si="1"/>
        <v>10200</v>
      </c>
      <c r="H4588" s="49">
        <f t="shared" si="2"/>
        <v>10012</v>
      </c>
    </row>
    <row r="4589">
      <c r="A4589" s="48" t="s">
        <v>7431</v>
      </c>
      <c r="B4589" s="38">
        <v>77013.0</v>
      </c>
      <c r="C4589" s="38" t="s">
        <v>7432</v>
      </c>
      <c r="D4589" s="38" t="str">
        <f>IFERROR(__xludf.DUMMYFUNCTION("REGEXREPLACE(C4589,""-\d+(.*)|--\d+(.*)"","""")"),"AULNOY")</f>
        <v>AULNOY</v>
      </c>
      <c r="E4589" s="38" t="s">
        <v>244</v>
      </c>
      <c r="F4589" s="38" t="s">
        <v>245</v>
      </c>
      <c r="G4589" s="49" t="str">
        <f t="shared" si="1"/>
        <v>77120</v>
      </c>
      <c r="H4589" s="49">
        <f t="shared" si="2"/>
        <v>77013</v>
      </c>
    </row>
    <row r="4590">
      <c r="A4590" s="48" t="s">
        <v>1697</v>
      </c>
      <c r="B4590" s="38">
        <v>39544.0</v>
      </c>
      <c r="C4590" s="38" t="s">
        <v>7433</v>
      </c>
      <c r="D4590" s="38" t="str">
        <f>IFERROR(__xludf.DUMMYFUNCTION("REGEXREPLACE(C4590,""-\d+(.*)|--\d+(.*)"","""")"),"VARESSIA")</f>
        <v>VARESSIA</v>
      </c>
      <c r="E4590" s="38" t="s">
        <v>400</v>
      </c>
      <c r="F4590" s="38" t="s">
        <v>214</v>
      </c>
      <c r="G4590" s="49" t="str">
        <f t="shared" si="1"/>
        <v>39270</v>
      </c>
      <c r="H4590" s="49">
        <f t="shared" si="2"/>
        <v>39544</v>
      </c>
    </row>
    <row r="4591">
      <c r="A4591" s="48" t="s">
        <v>5428</v>
      </c>
      <c r="B4591" s="38">
        <v>74088.0</v>
      </c>
      <c r="C4591" s="38" t="s">
        <v>7434</v>
      </c>
      <c r="D4591" s="38" t="str">
        <f>IFERROR(__xludf.DUMMYFUNCTION("REGEXREPLACE(C4591,""-\d+(.*)|--\d+(.*)"","""")"),"COPPONEX")</f>
        <v>COPPONEX</v>
      </c>
      <c r="E4591" s="38" t="s">
        <v>319</v>
      </c>
      <c r="F4591" s="38" t="s">
        <v>102</v>
      </c>
      <c r="G4591" s="49" t="str">
        <f t="shared" si="1"/>
        <v>74350</v>
      </c>
      <c r="H4591" s="49">
        <f t="shared" si="2"/>
        <v>74088</v>
      </c>
    </row>
    <row r="4592">
      <c r="A4592" s="48" t="s">
        <v>7435</v>
      </c>
      <c r="B4592" s="38">
        <v>52141.0</v>
      </c>
      <c r="C4592" s="38" t="s">
        <v>7436</v>
      </c>
      <c r="D4592" s="38" t="str">
        <f>IFERROR(__xludf.DUMMYFUNCTION("REGEXREPLACE(C4592,""-\d+(.*)|--\d+(.*)"","""")"),"CONDES")</f>
        <v>CONDES</v>
      </c>
      <c r="E4592" s="38" t="s">
        <v>234</v>
      </c>
      <c r="F4592" s="38" t="s">
        <v>130</v>
      </c>
      <c r="G4592" s="49" t="str">
        <f t="shared" si="1"/>
        <v>52000</v>
      </c>
      <c r="H4592" s="49">
        <f t="shared" si="2"/>
        <v>52141</v>
      </c>
    </row>
    <row r="4593">
      <c r="A4593" s="48" t="s">
        <v>7437</v>
      </c>
      <c r="B4593" s="38">
        <v>45284.0</v>
      </c>
      <c r="C4593" s="38" t="s">
        <v>7438</v>
      </c>
      <c r="D4593" s="38" t="str">
        <f>IFERROR(__xludf.DUMMYFUNCTION("REGEXREPLACE(C4593,""-\d+(.*)|--\d+(.*)"","""")"),"SAINT-JEAN-DE-BRAYE")</f>
        <v>SAINT-JEAN-DE-BRAYE</v>
      </c>
      <c r="E4593" s="38" t="s">
        <v>122</v>
      </c>
      <c r="F4593" s="38" t="s">
        <v>123</v>
      </c>
      <c r="G4593" s="49" t="str">
        <f t="shared" si="1"/>
        <v>45800</v>
      </c>
      <c r="H4593" s="49">
        <f t="shared" si="2"/>
        <v>45284</v>
      </c>
    </row>
    <row r="4594">
      <c r="A4594" s="48" t="s">
        <v>5810</v>
      </c>
      <c r="B4594" s="38">
        <v>54204.0</v>
      </c>
      <c r="C4594" s="38" t="s">
        <v>7439</v>
      </c>
      <c r="D4594" s="38" t="str">
        <f>IFERROR(__xludf.DUMMYFUNCTION("REGEXREPLACE(C4594,""-\d+(.*)|--\d+(.*)"","""")"),"FORCELLES-SOUS-GUGNEY")</f>
        <v>FORCELLES-SOUS-GUGNEY</v>
      </c>
      <c r="E4594" s="38" t="s">
        <v>548</v>
      </c>
      <c r="F4594" s="38" t="s">
        <v>195</v>
      </c>
      <c r="G4594" s="49" t="str">
        <f t="shared" si="1"/>
        <v>54930</v>
      </c>
      <c r="H4594" s="49">
        <f t="shared" si="2"/>
        <v>54204</v>
      </c>
    </row>
    <row r="4595">
      <c r="A4595" s="48" t="s">
        <v>4270</v>
      </c>
      <c r="B4595" s="38">
        <v>76312.0</v>
      </c>
      <c r="C4595" s="38" t="s">
        <v>7440</v>
      </c>
      <c r="D4595" s="38" t="str">
        <f>IFERROR(__xludf.DUMMYFUNCTION("REGEXREPLACE(C4595,""-\d+(.*)|--\d+(.*)"","""")"),"GOURNAY-EN-BRAY")</f>
        <v>GOURNAY-EN-BRAY</v>
      </c>
      <c r="E4595" s="38" t="s">
        <v>133</v>
      </c>
      <c r="F4595" s="38" t="s">
        <v>134</v>
      </c>
      <c r="G4595" s="49" t="str">
        <f t="shared" si="1"/>
        <v>76220</v>
      </c>
      <c r="H4595" s="49">
        <f t="shared" si="2"/>
        <v>76312</v>
      </c>
    </row>
    <row r="4596">
      <c r="A4596" s="48" t="s">
        <v>3180</v>
      </c>
      <c r="B4596" s="38">
        <v>60656.0</v>
      </c>
      <c r="C4596" s="38" t="s">
        <v>7441</v>
      </c>
      <c r="D4596" s="38" t="str">
        <f>IFERROR(__xludf.DUMMYFUNCTION("REGEXREPLACE(C4596,""-\d+(.*)|--\d+(.*)"","""")"),"VARINFROY")</f>
        <v>VARINFROY</v>
      </c>
      <c r="E4596" s="38" t="s">
        <v>112</v>
      </c>
      <c r="F4596" s="38" t="s">
        <v>113</v>
      </c>
      <c r="G4596" s="49" t="str">
        <f t="shared" si="1"/>
        <v>60890</v>
      </c>
      <c r="H4596" s="49">
        <f t="shared" si="2"/>
        <v>60656</v>
      </c>
    </row>
    <row r="4597">
      <c r="A4597" s="48" t="s">
        <v>5122</v>
      </c>
      <c r="B4597" s="38">
        <v>62531.0</v>
      </c>
      <c r="C4597" s="38" t="s">
        <v>7442</v>
      </c>
      <c r="D4597" s="38" t="str">
        <f>IFERROR(__xludf.DUMMYFUNCTION("REGEXREPLACE(C4597,""-\d+(.*)|--\d+(.*)"","""")"),"LOUCHES")</f>
        <v>LOUCHES</v>
      </c>
      <c r="E4597" s="38" t="s">
        <v>109</v>
      </c>
      <c r="F4597" s="38" t="s">
        <v>86</v>
      </c>
      <c r="G4597" s="49" t="str">
        <f t="shared" si="1"/>
        <v>62610</v>
      </c>
      <c r="H4597" s="49">
        <f t="shared" si="2"/>
        <v>62531</v>
      </c>
    </row>
    <row r="4598">
      <c r="A4598" s="48" t="s">
        <v>6566</v>
      </c>
      <c r="B4598" s="38">
        <v>49334.0</v>
      </c>
      <c r="C4598" s="38" t="s">
        <v>7443</v>
      </c>
      <c r="D4598" s="38" t="str">
        <f>IFERROR(__xludf.DUMMYFUNCTION("REGEXREPLACE(C4598,""-\d+(.*)|--\d+(.*)"","""")"),"SERMAISE")</f>
        <v>SERMAISE</v>
      </c>
      <c r="E4598" s="38" t="s">
        <v>653</v>
      </c>
      <c r="F4598" s="38" t="s">
        <v>180</v>
      </c>
      <c r="G4598" s="49" t="str">
        <f t="shared" si="1"/>
        <v>49140</v>
      </c>
      <c r="H4598" s="49">
        <f t="shared" si="2"/>
        <v>49334</v>
      </c>
    </row>
    <row r="4599">
      <c r="A4599" s="48" t="s">
        <v>7444</v>
      </c>
      <c r="B4599" s="38">
        <v>24225.0</v>
      </c>
      <c r="C4599" s="38" t="s">
        <v>7445</v>
      </c>
      <c r="D4599" s="38" t="str">
        <f>IFERROR(__xludf.DUMMYFUNCTION("REGEXREPLACE(C4599,""-\d+(.*)|--\d+(.*)"","""")"),"LAMONZIE-SAINT-MARTIN")</f>
        <v>LAMONZIE-SAINT-MARTIN</v>
      </c>
      <c r="E4599" s="38" t="s">
        <v>261</v>
      </c>
      <c r="F4599" s="38" t="s">
        <v>252</v>
      </c>
      <c r="G4599" s="49" t="str">
        <f t="shared" si="1"/>
        <v>24680</v>
      </c>
      <c r="H4599" s="49">
        <f t="shared" si="2"/>
        <v>24225</v>
      </c>
    </row>
    <row r="4600">
      <c r="A4600" s="48" t="s">
        <v>5393</v>
      </c>
      <c r="B4600" s="38">
        <v>56096.0</v>
      </c>
      <c r="C4600" s="38" t="s">
        <v>7446</v>
      </c>
      <c r="D4600" s="38" t="str">
        <f>IFERROR(__xludf.DUMMYFUNCTION("REGEXREPLACE(C4600,""-\d+(.*)|--\d+(.*)"","""")"),"LANDAUL")</f>
        <v>LANDAUL</v>
      </c>
      <c r="E4600" s="38" t="s">
        <v>173</v>
      </c>
      <c r="F4600" s="38" t="s">
        <v>90</v>
      </c>
      <c r="G4600" s="49" t="str">
        <f t="shared" si="1"/>
        <v>56690</v>
      </c>
      <c r="H4600" s="49">
        <f t="shared" si="2"/>
        <v>56096</v>
      </c>
    </row>
    <row r="4601">
      <c r="A4601" s="48" t="s">
        <v>3992</v>
      </c>
      <c r="B4601" s="38">
        <v>46246.0</v>
      </c>
      <c r="C4601" s="38" t="s">
        <v>7447</v>
      </c>
      <c r="D4601" s="38" t="str">
        <f>IFERROR(__xludf.DUMMYFUNCTION("REGEXREPLACE(C4601,""-\d+(.*)|--\d+(.*)"","""")"),"SAIGNES")</f>
        <v>SAIGNES</v>
      </c>
      <c r="E4601" s="38" t="s">
        <v>185</v>
      </c>
      <c r="F4601" s="38" t="s">
        <v>94</v>
      </c>
      <c r="G4601" s="49" t="str">
        <f t="shared" si="1"/>
        <v>46500</v>
      </c>
      <c r="H4601" s="49">
        <f t="shared" si="2"/>
        <v>46246</v>
      </c>
    </row>
    <row r="4602">
      <c r="A4602" s="48" t="s">
        <v>5395</v>
      </c>
      <c r="B4602" s="38">
        <v>23080.0</v>
      </c>
      <c r="C4602" s="38" t="s">
        <v>7448</v>
      </c>
      <c r="D4602" s="38" t="str">
        <f>IFERROR(__xludf.DUMMYFUNCTION("REGEXREPLACE(C4602,""-\d+(.*)|--\d+(.*)"","""")"),"FENIERS")</f>
        <v>FENIERS</v>
      </c>
      <c r="E4602" s="38" t="s">
        <v>97</v>
      </c>
      <c r="F4602" s="38" t="s">
        <v>98</v>
      </c>
      <c r="G4602" s="49" t="str">
        <f t="shared" si="1"/>
        <v>23100</v>
      </c>
      <c r="H4602" s="49">
        <f t="shared" si="2"/>
        <v>23080</v>
      </c>
    </row>
    <row r="4603">
      <c r="A4603" s="48" t="s">
        <v>1706</v>
      </c>
      <c r="B4603" s="38">
        <v>50079.0</v>
      </c>
      <c r="C4603" s="38" t="s">
        <v>7449</v>
      </c>
      <c r="D4603" s="38" t="str">
        <f>IFERROR(__xludf.DUMMYFUNCTION("REGEXREPLACE(C4603,""-\d+(.*)|--\d+(.*)"","""")"),"BREUVILLE")</f>
        <v>BREUVILLE</v>
      </c>
      <c r="E4603" s="38" t="s">
        <v>157</v>
      </c>
      <c r="F4603" s="38" t="s">
        <v>138</v>
      </c>
      <c r="G4603" s="49" t="str">
        <f t="shared" si="1"/>
        <v>50260</v>
      </c>
      <c r="H4603" s="49">
        <f t="shared" si="2"/>
        <v>50079</v>
      </c>
    </row>
    <row r="4604">
      <c r="A4604" s="48" t="s">
        <v>2563</v>
      </c>
      <c r="B4604" s="38">
        <v>76359.0</v>
      </c>
      <c r="C4604" s="38" t="s">
        <v>7450</v>
      </c>
      <c r="D4604" s="38" t="str">
        <f>IFERROR(__xludf.DUMMYFUNCTION("REGEXREPLACE(C4604,""-\d+(.*)|--\d+(.*)"","""")"),"HERONCHELLES")</f>
        <v>HERONCHELLES</v>
      </c>
      <c r="E4604" s="38" t="s">
        <v>133</v>
      </c>
      <c r="F4604" s="38" t="s">
        <v>134</v>
      </c>
      <c r="G4604" s="49" t="str">
        <f t="shared" si="1"/>
        <v>76750</v>
      </c>
      <c r="H4604" s="49">
        <f t="shared" si="2"/>
        <v>76359</v>
      </c>
    </row>
    <row r="4605">
      <c r="A4605" s="48" t="s">
        <v>2794</v>
      </c>
      <c r="B4605" s="38">
        <v>39434.0</v>
      </c>
      <c r="C4605" s="38" t="s">
        <v>7451</v>
      </c>
      <c r="D4605" s="38" t="str">
        <f>IFERROR(__xludf.DUMMYFUNCTION("REGEXREPLACE(C4605,""-\d+(.*)|--\d+(.*)"","""")"),"POLIGNY")</f>
        <v>POLIGNY</v>
      </c>
      <c r="E4605" s="38" t="s">
        <v>400</v>
      </c>
      <c r="F4605" s="38" t="s">
        <v>214</v>
      </c>
      <c r="G4605" s="49" t="str">
        <f t="shared" si="1"/>
        <v>39800</v>
      </c>
      <c r="H4605" s="49">
        <f t="shared" si="2"/>
        <v>39434</v>
      </c>
    </row>
    <row r="4606">
      <c r="A4606" s="48" t="s">
        <v>7452</v>
      </c>
      <c r="B4606" s="38">
        <v>48071.0</v>
      </c>
      <c r="C4606" s="38" t="s">
        <v>7453</v>
      </c>
      <c r="D4606" s="38" t="str">
        <f>IFERROR(__xludf.DUMMYFUNCTION("REGEXREPLACE(C4606,""-\d+(.*)|--\d+(.*)"","""")"),"GRANDVALS")</f>
        <v>GRANDVALS</v>
      </c>
      <c r="E4606" s="38" t="s">
        <v>154</v>
      </c>
      <c r="F4606" s="38" t="s">
        <v>119</v>
      </c>
      <c r="G4606" s="49" t="str">
        <f t="shared" si="1"/>
        <v>48260</v>
      </c>
      <c r="H4606" s="49">
        <f t="shared" si="2"/>
        <v>48071</v>
      </c>
    </row>
    <row r="4607">
      <c r="A4607" s="48" t="s">
        <v>1738</v>
      </c>
      <c r="B4607" s="38">
        <v>33521.0</v>
      </c>
      <c r="C4607" s="38" t="s">
        <v>7454</v>
      </c>
      <c r="D4607" s="38" t="str">
        <f>IFERROR(__xludf.DUMMYFUNCTION("REGEXREPLACE(C4607,""-\d+(.*)|--\d+(.*)"","""")"),"TALAIS")</f>
        <v>TALAIS</v>
      </c>
      <c r="E4607" s="38" t="s">
        <v>462</v>
      </c>
      <c r="F4607" s="38" t="s">
        <v>252</v>
      </c>
      <c r="G4607" s="49" t="str">
        <f t="shared" si="1"/>
        <v>33590</v>
      </c>
      <c r="H4607" s="49">
        <f t="shared" si="2"/>
        <v>33521</v>
      </c>
    </row>
    <row r="4608">
      <c r="A4608" s="48" t="s">
        <v>396</v>
      </c>
      <c r="B4608" s="38">
        <v>71327.0</v>
      </c>
      <c r="C4608" s="38" t="s">
        <v>7455</v>
      </c>
      <c r="D4608" s="38" t="str">
        <f>IFERROR(__xludf.DUMMYFUNCTION("REGEXREPLACE(C4608,""-\d+(.*)|--\d+(.*)"","""")"),"MUSSY-SOUS-DUN")</f>
        <v>MUSSY-SOUS-DUN</v>
      </c>
      <c r="E4608" s="38" t="s">
        <v>344</v>
      </c>
      <c r="F4608" s="38" t="s">
        <v>106</v>
      </c>
      <c r="G4608" s="49" t="str">
        <f t="shared" si="1"/>
        <v>71170</v>
      </c>
      <c r="H4608" s="49">
        <f t="shared" si="2"/>
        <v>71327</v>
      </c>
    </row>
    <row r="4609">
      <c r="A4609" s="48" t="s">
        <v>1628</v>
      </c>
      <c r="B4609" s="38">
        <v>70468.0</v>
      </c>
      <c r="C4609" s="38" t="s">
        <v>7456</v>
      </c>
      <c r="D4609" s="38" t="str">
        <f>IFERROR(__xludf.DUMMYFUNCTION("REGEXREPLACE(C4609,""-\d+(.*)|--\d+(.*)"","""")"),"SAINT-MARCEL")</f>
        <v>SAINT-MARCEL</v>
      </c>
      <c r="E4609" s="38" t="s">
        <v>956</v>
      </c>
      <c r="F4609" s="38" t="s">
        <v>214</v>
      </c>
      <c r="G4609" s="49" t="str">
        <f t="shared" si="1"/>
        <v>70500</v>
      </c>
      <c r="H4609" s="49">
        <f t="shared" si="2"/>
        <v>70468</v>
      </c>
    </row>
    <row r="4610">
      <c r="A4610" s="48" t="s">
        <v>6633</v>
      </c>
      <c r="B4610" s="38">
        <v>64112.0</v>
      </c>
      <c r="C4610" s="38" t="s">
        <v>7457</v>
      </c>
      <c r="D4610" s="38" t="str">
        <f>IFERROR(__xludf.DUMMYFUNCTION("REGEXREPLACE(C4610,""-\d+(.*)|--\d+(.*)"","""")"),"BERENX")</f>
        <v>BERENX</v>
      </c>
      <c r="E4610" s="38" t="s">
        <v>268</v>
      </c>
      <c r="F4610" s="38" t="s">
        <v>252</v>
      </c>
      <c r="G4610" s="49" t="str">
        <f t="shared" si="1"/>
        <v>64300</v>
      </c>
      <c r="H4610" s="49">
        <f t="shared" si="2"/>
        <v>64112</v>
      </c>
    </row>
    <row r="4611">
      <c r="A4611" s="48" t="s">
        <v>7458</v>
      </c>
      <c r="B4611" s="38">
        <v>54137.0</v>
      </c>
      <c r="C4611" s="38" t="s">
        <v>7459</v>
      </c>
      <c r="D4611" s="38" t="str">
        <f>IFERROR(__xludf.DUMMYFUNCTION("REGEXREPLACE(C4611,""-\d+(.*)|--\d+(.*)"","""")"),"CONS-LA-GRANDVILLE")</f>
        <v>CONS-LA-GRANDVILLE</v>
      </c>
      <c r="E4611" s="38" t="s">
        <v>548</v>
      </c>
      <c r="F4611" s="38" t="s">
        <v>195</v>
      </c>
      <c r="G4611" s="49" t="str">
        <f t="shared" si="1"/>
        <v>54870</v>
      </c>
      <c r="H4611" s="49">
        <f t="shared" si="2"/>
        <v>54137</v>
      </c>
    </row>
    <row r="4612">
      <c r="A4612" s="48" t="s">
        <v>970</v>
      </c>
      <c r="B4612" s="38">
        <v>2357.0</v>
      </c>
      <c r="C4612" s="38" t="s">
        <v>7460</v>
      </c>
      <c r="D4612" s="38" t="str">
        <f>IFERROR(__xludf.DUMMYFUNCTION("REGEXREPLACE(C4612,""-\d+(.*)|--\d+(.*)"","""")"),"GRONARD")</f>
        <v>GRONARD</v>
      </c>
      <c r="E4612" s="38" t="s">
        <v>191</v>
      </c>
      <c r="F4612" s="38" t="s">
        <v>113</v>
      </c>
      <c r="G4612" s="49" t="str">
        <f t="shared" si="1"/>
        <v>02140</v>
      </c>
      <c r="H4612" s="49" t="str">
        <f t="shared" si="2"/>
        <v>02357</v>
      </c>
    </row>
    <row r="4613">
      <c r="A4613" s="48" t="s">
        <v>2077</v>
      </c>
      <c r="B4613" s="38">
        <v>8003.0</v>
      </c>
      <c r="C4613" s="38" t="s">
        <v>7461</v>
      </c>
      <c r="D4613" s="38" t="str">
        <f>IFERROR(__xludf.DUMMYFUNCTION("REGEXREPLACE(C4613,""-\d+(.*)|--\d+(.*)"","""")"),"AIGLEMONT")</f>
        <v>AIGLEMONT</v>
      </c>
      <c r="E4613" s="38" t="s">
        <v>327</v>
      </c>
      <c r="F4613" s="38" t="s">
        <v>130</v>
      </c>
      <c r="G4613" s="49" t="str">
        <f t="shared" si="1"/>
        <v>08090</v>
      </c>
      <c r="H4613" s="49" t="str">
        <f t="shared" si="2"/>
        <v>08003</v>
      </c>
    </row>
    <row r="4614">
      <c r="A4614" s="48" t="s">
        <v>7462</v>
      </c>
      <c r="B4614" s="38">
        <v>25398.0</v>
      </c>
      <c r="C4614" s="38" t="s">
        <v>7463</v>
      </c>
      <c r="D4614" s="38" t="str">
        <f>IFERROR(__xludf.DUMMYFUNCTION("REGEXREPLACE(C4614,""-\d+(.*)|--\d+(.*)"","""")"),"MONTFLOVIN")</f>
        <v>MONTFLOVIN</v>
      </c>
      <c r="E4614" s="38" t="s">
        <v>213</v>
      </c>
      <c r="F4614" s="38" t="s">
        <v>214</v>
      </c>
      <c r="G4614" s="49" t="str">
        <f t="shared" si="1"/>
        <v>25650</v>
      </c>
      <c r="H4614" s="49">
        <f t="shared" si="2"/>
        <v>25398</v>
      </c>
    </row>
    <row r="4615">
      <c r="A4615" s="48" t="s">
        <v>1974</v>
      </c>
      <c r="B4615" s="38">
        <v>59130.0</v>
      </c>
      <c r="C4615" s="38" t="s">
        <v>7464</v>
      </c>
      <c r="D4615" s="38" t="str">
        <f>IFERROR(__xludf.DUMMYFUNCTION("REGEXREPLACE(C4615,""-\d+(.*)|--\d+(.*)"","""")"),"CAPPELLE-BROUCK")</f>
        <v>CAPPELLE-BROUCK</v>
      </c>
      <c r="E4615" s="38" t="s">
        <v>85</v>
      </c>
      <c r="F4615" s="38" t="s">
        <v>86</v>
      </c>
      <c r="G4615" s="49" t="str">
        <f t="shared" si="1"/>
        <v>59630</v>
      </c>
      <c r="H4615" s="49">
        <f t="shared" si="2"/>
        <v>59130</v>
      </c>
    </row>
    <row r="4616">
      <c r="A4616" s="48" t="s">
        <v>7465</v>
      </c>
      <c r="B4616" s="38">
        <v>50066.0</v>
      </c>
      <c r="C4616" s="38" t="s">
        <v>7466</v>
      </c>
      <c r="D4616" s="38" t="str">
        <f>IFERROR(__xludf.DUMMYFUNCTION("REGEXREPLACE(C4616,""-\d+(.*)|--\d+(.*)"","""")"),"JULLOUVILLE")</f>
        <v>JULLOUVILLE</v>
      </c>
      <c r="E4616" s="38" t="s">
        <v>157</v>
      </c>
      <c r="F4616" s="38" t="s">
        <v>138</v>
      </c>
      <c r="G4616" s="49" t="str">
        <f t="shared" si="1"/>
        <v>50610</v>
      </c>
      <c r="H4616" s="49">
        <f t="shared" si="2"/>
        <v>50066</v>
      </c>
    </row>
    <row r="4617">
      <c r="A4617" s="48" t="s">
        <v>2506</v>
      </c>
      <c r="B4617" s="38">
        <v>80595.0</v>
      </c>
      <c r="C4617" s="38" t="s">
        <v>7467</v>
      </c>
      <c r="D4617" s="38" t="str">
        <f>IFERROR(__xludf.DUMMYFUNCTION("REGEXREPLACE(C4617,""-\d+(.*)|--\d+(.*)"","""")"),"LA NEUVILLE-SIRE-BERNARD")</f>
        <v>LA NEUVILLE-SIRE-BERNARD</v>
      </c>
      <c r="E4617" s="38" t="s">
        <v>224</v>
      </c>
      <c r="F4617" s="38" t="s">
        <v>113</v>
      </c>
      <c r="G4617" s="49" t="str">
        <f t="shared" si="1"/>
        <v>80110</v>
      </c>
      <c r="H4617" s="49">
        <f t="shared" si="2"/>
        <v>80595</v>
      </c>
    </row>
    <row r="4618">
      <c r="A4618" s="48" t="s">
        <v>1827</v>
      </c>
      <c r="B4618" s="38">
        <v>77432.0</v>
      </c>
      <c r="C4618" s="38" t="s">
        <v>7468</v>
      </c>
      <c r="D4618" s="38" t="str">
        <f>IFERROR(__xludf.DUMMYFUNCTION("REGEXREPLACE(C4618,""-\d+(.*)|--\d+(.*)"","""")"),"SAINT-REMY-LA-VANNE")</f>
        <v>SAINT-REMY-LA-VANNE</v>
      </c>
      <c r="E4618" s="38" t="s">
        <v>244</v>
      </c>
      <c r="F4618" s="38" t="s">
        <v>245</v>
      </c>
      <c r="G4618" s="49" t="str">
        <f t="shared" si="1"/>
        <v>77320</v>
      </c>
      <c r="H4618" s="49">
        <f t="shared" si="2"/>
        <v>77432</v>
      </c>
    </row>
    <row r="4619">
      <c r="A4619" s="48" t="s">
        <v>7469</v>
      </c>
      <c r="B4619" s="38">
        <v>32013.0</v>
      </c>
      <c r="C4619" s="38" t="s">
        <v>7470</v>
      </c>
      <c r="D4619" s="38" t="str">
        <f>IFERROR(__xludf.DUMMYFUNCTION("REGEXREPLACE(C4619,""-\d+(.*)|--\d+(.*)"","""")"),"AUCH")</f>
        <v>AUCH</v>
      </c>
      <c r="E4619" s="38" t="s">
        <v>440</v>
      </c>
      <c r="F4619" s="38" t="s">
        <v>94</v>
      </c>
      <c r="G4619" s="49" t="str">
        <f t="shared" si="1"/>
        <v>32000</v>
      </c>
      <c r="H4619" s="49">
        <f t="shared" si="2"/>
        <v>32013</v>
      </c>
    </row>
    <row r="4620">
      <c r="A4620" s="48" t="s">
        <v>4457</v>
      </c>
      <c r="B4620" s="38">
        <v>80107.0</v>
      </c>
      <c r="C4620" s="38" t="s">
        <v>7471</v>
      </c>
      <c r="D4620" s="38" t="str">
        <f>IFERROR(__xludf.DUMMYFUNCTION("REGEXREPLACE(C4620,""-\d+(.*)|--\d+(.*)"","""")"),"BLANGY-TRONVILLE")</f>
        <v>BLANGY-TRONVILLE</v>
      </c>
      <c r="E4620" s="38" t="s">
        <v>224</v>
      </c>
      <c r="F4620" s="38" t="s">
        <v>113</v>
      </c>
      <c r="G4620" s="49" t="str">
        <f t="shared" si="1"/>
        <v>80440</v>
      </c>
      <c r="H4620" s="49">
        <f t="shared" si="2"/>
        <v>80107</v>
      </c>
    </row>
    <row r="4621">
      <c r="A4621" s="48" t="s">
        <v>3725</v>
      </c>
      <c r="B4621" s="38">
        <v>50234.0</v>
      </c>
      <c r="C4621" s="38" t="s">
        <v>7472</v>
      </c>
      <c r="D4621" s="38" t="str">
        <f>IFERROR(__xludf.DUMMYFUNCTION("REGEXREPLACE(C4621,""-\d+(.*)|--\d+(.*)"","""")"),"LA HAYE-BELLEFOND")</f>
        <v>LA HAYE-BELLEFOND</v>
      </c>
      <c r="E4621" s="38" t="s">
        <v>157</v>
      </c>
      <c r="F4621" s="38" t="s">
        <v>138</v>
      </c>
      <c r="G4621" s="49" t="str">
        <f t="shared" si="1"/>
        <v>50410</v>
      </c>
      <c r="H4621" s="49">
        <f t="shared" si="2"/>
        <v>50234</v>
      </c>
    </row>
    <row r="4622">
      <c r="A4622" s="48" t="s">
        <v>2128</v>
      </c>
      <c r="B4622" s="38">
        <v>2730.0</v>
      </c>
      <c r="C4622" s="38" t="s">
        <v>7473</v>
      </c>
      <c r="D4622" s="38" t="str">
        <f>IFERROR(__xludf.DUMMYFUNCTION("REGEXREPLACE(C4622,""-\d+(.*)|--\d+(.*)"","""")"),"SOUPIR")</f>
        <v>SOUPIR</v>
      </c>
      <c r="E4622" s="38" t="s">
        <v>191</v>
      </c>
      <c r="F4622" s="38" t="s">
        <v>113</v>
      </c>
      <c r="G4622" s="49" t="str">
        <f t="shared" si="1"/>
        <v>02160</v>
      </c>
      <c r="H4622" s="49" t="str">
        <f t="shared" si="2"/>
        <v>02730</v>
      </c>
    </row>
    <row r="4623">
      <c r="A4623" s="48" t="s">
        <v>7474</v>
      </c>
      <c r="B4623" s="38">
        <v>42058.0</v>
      </c>
      <c r="C4623" s="38" t="s">
        <v>7475</v>
      </c>
      <c r="D4623" s="38" t="str">
        <f>IFERROR(__xludf.DUMMYFUNCTION("REGEXREPLACE(C4623,""-\d+(.*)|--\d+(.*)"","""")"),"CHAZELLES-SUR-LAVIEU")</f>
        <v>CHAZELLES-SUR-LAVIEU</v>
      </c>
      <c r="E4623" s="38" t="s">
        <v>166</v>
      </c>
      <c r="F4623" s="38" t="s">
        <v>102</v>
      </c>
      <c r="G4623" s="49" t="str">
        <f t="shared" si="1"/>
        <v>42560</v>
      </c>
      <c r="H4623" s="49">
        <f t="shared" si="2"/>
        <v>42058</v>
      </c>
    </row>
    <row r="4624">
      <c r="A4624" s="48" t="s">
        <v>4882</v>
      </c>
      <c r="B4624" s="38">
        <v>89477.0</v>
      </c>
      <c r="C4624" s="38" t="s">
        <v>7476</v>
      </c>
      <c r="D4624" s="38" t="str">
        <f>IFERROR(__xludf.DUMMYFUNCTION("REGEXREPLACE(C4624,""-\d+(.*)|--\d+(.*)"","""")"),"VILLY")</f>
        <v>VILLY</v>
      </c>
      <c r="E4624" s="38" t="s">
        <v>275</v>
      </c>
      <c r="F4624" s="38" t="s">
        <v>106</v>
      </c>
      <c r="G4624" s="49" t="str">
        <f t="shared" si="1"/>
        <v>89800</v>
      </c>
      <c r="H4624" s="49">
        <f t="shared" si="2"/>
        <v>89477</v>
      </c>
    </row>
    <row r="4625">
      <c r="A4625" s="48" t="s">
        <v>7477</v>
      </c>
      <c r="B4625" s="38">
        <v>4133.0</v>
      </c>
      <c r="C4625" s="38" t="s">
        <v>7478</v>
      </c>
      <c r="D4625" s="38" t="str">
        <f>IFERROR(__xludf.DUMMYFUNCTION("REGEXREPLACE(C4625,""-\d+(.*)|--\d+(.*)"","""")"),"MORIEZ")</f>
        <v>MORIEZ</v>
      </c>
      <c r="E4625" s="38" t="s">
        <v>662</v>
      </c>
      <c r="F4625" s="38" t="s">
        <v>228</v>
      </c>
      <c r="G4625" s="49" t="str">
        <f t="shared" si="1"/>
        <v>04170</v>
      </c>
      <c r="H4625" s="49" t="str">
        <f t="shared" si="2"/>
        <v>04133</v>
      </c>
    </row>
    <row r="4626">
      <c r="A4626" s="48" t="s">
        <v>1018</v>
      </c>
      <c r="B4626" s="38">
        <v>60209.0</v>
      </c>
      <c r="C4626" s="38" t="s">
        <v>7479</v>
      </c>
      <c r="D4626" s="38" t="str">
        <f>IFERROR(__xludf.DUMMYFUNCTION("REGEXREPLACE(C4626,""-\d+(.*)|--\d+(.*)"","""")"),"ENENCOURT-LE-SEC")</f>
        <v>ENENCOURT-LE-SEC</v>
      </c>
      <c r="E4626" s="38" t="s">
        <v>112</v>
      </c>
      <c r="F4626" s="38" t="s">
        <v>113</v>
      </c>
      <c r="G4626" s="49" t="str">
        <f t="shared" si="1"/>
        <v>60240</v>
      </c>
      <c r="H4626" s="49">
        <f t="shared" si="2"/>
        <v>60209</v>
      </c>
    </row>
    <row r="4627">
      <c r="A4627" s="48" t="s">
        <v>7480</v>
      </c>
      <c r="B4627" s="38">
        <v>62498.0</v>
      </c>
      <c r="C4627" s="38" t="s">
        <v>7481</v>
      </c>
      <c r="D4627" s="38" t="str">
        <f>IFERROR(__xludf.DUMMYFUNCTION("REGEXREPLACE(C4627,""-\d+(.*)|--\d+(.*)"","""")"),"LENS")</f>
        <v>LENS</v>
      </c>
      <c r="E4627" s="38" t="s">
        <v>109</v>
      </c>
      <c r="F4627" s="38" t="s">
        <v>86</v>
      </c>
      <c r="G4627" s="49" t="str">
        <f t="shared" si="1"/>
        <v>62300</v>
      </c>
      <c r="H4627" s="49">
        <f t="shared" si="2"/>
        <v>62498</v>
      </c>
    </row>
    <row r="4628">
      <c r="A4628" s="48" t="s">
        <v>2837</v>
      </c>
      <c r="B4628" s="38">
        <v>17363.0</v>
      </c>
      <c r="C4628" s="38" t="s">
        <v>7482</v>
      </c>
      <c r="D4628" s="38" t="str">
        <f>IFERROR(__xludf.DUMMYFUNCTION("REGEXREPLACE(C4628,""-\d+(.*)|--\d+(.*)"","""")"),"SAINT-MARTIAL-DE-VITATERNE")</f>
        <v>SAINT-MARTIAL-DE-VITATERNE</v>
      </c>
      <c r="E4628" s="38" t="s">
        <v>488</v>
      </c>
      <c r="F4628" s="38" t="s">
        <v>338</v>
      </c>
      <c r="G4628" s="49" t="str">
        <f t="shared" si="1"/>
        <v>17500</v>
      </c>
      <c r="H4628" s="49">
        <f t="shared" si="2"/>
        <v>17363</v>
      </c>
    </row>
    <row r="4629">
      <c r="A4629" s="48" t="s">
        <v>5250</v>
      </c>
      <c r="B4629" s="38">
        <v>27083.0</v>
      </c>
      <c r="C4629" s="38" t="s">
        <v>7483</v>
      </c>
      <c r="D4629" s="38" t="str">
        <f>IFERROR(__xludf.DUMMYFUNCTION("REGEXREPLACE(C4629,""-\d+(.*)|--\d+(.*)"","""")"),"BONNEVILLE-APTOT")</f>
        <v>BONNEVILLE-APTOT</v>
      </c>
      <c r="E4629" s="38" t="s">
        <v>241</v>
      </c>
      <c r="F4629" s="38" t="s">
        <v>134</v>
      </c>
      <c r="G4629" s="49" t="str">
        <f t="shared" si="1"/>
        <v>27290</v>
      </c>
      <c r="H4629" s="49">
        <f t="shared" si="2"/>
        <v>27083</v>
      </c>
    </row>
    <row r="4630">
      <c r="A4630" s="48" t="s">
        <v>732</v>
      </c>
      <c r="B4630" s="38">
        <v>10365.0</v>
      </c>
      <c r="C4630" s="38" t="s">
        <v>1647</v>
      </c>
      <c r="D4630" s="38" t="str">
        <f>IFERROR(__xludf.DUMMYFUNCTION("REGEXREPLACE(C4630,""-\d+(.*)|--\d+(.*)"","""")"),"SALON")</f>
        <v>SALON</v>
      </c>
      <c r="E4630" s="38" t="s">
        <v>147</v>
      </c>
      <c r="F4630" s="38" t="s">
        <v>130</v>
      </c>
      <c r="G4630" s="49" t="str">
        <f t="shared" si="1"/>
        <v>10700</v>
      </c>
      <c r="H4630" s="49">
        <f t="shared" si="2"/>
        <v>10365</v>
      </c>
    </row>
    <row r="4631">
      <c r="A4631" s="48" t="s">
        <v>4526</v>
      </c>
      <c r="B4631" s="38">
        <v>23017.0</v>
      </c>
      <c r="C4631" s="38" t="s">
        <v>7484</v>
      </c>
      <c r="D4631" s="38" t="str">
        <f>IFERROR(__xludf.DUMMYFUNCTION("REGEXREPLACE(C4631,""-\d+(.*)|--\d+(.*)"","""")"),"BASVILLE")</f>
        <v>BASVILLE</v>
      </c>
      <c r="E4631" s="38" t="s">
        <v>97</v>
      </c>
      <c r="F4631" s="38" t="s">
        <v>98</v>
      </c>
      <c r="G4631" s="49" t="str">
        <f t="shared" si="1"/>
        <v>23260</v>
      </c>
      <c r="H4631" s="49">
        <f t="shared" si="2"/>
        <v>23017</v>
      </c>
    </row>
    <row r="4632">
      <c r="A4632" s="48" t="s">
        <v>1305</v>
      </c>
      <c r="B4632" s="38">
        <v>36179.0</v>
      </c>
      <c r="C4632" s="38" t="s">
        <v>7485</v>
      </c>
      <c r="D4632" s="38" t="str">
        <f>IFERROR(__xludf.DUMMYFUNCTION("REGEXREPLACE(C4632,""-\d+(.*)|--\d+(.*)"","""")"),"SAINT-AOUSTRILLE")</f>
        <v>SAINT-AOUSTRILLE</v>
      </c>
      <c r="E4632" s="38" t="s">
        <v>258</v>
      </c>
      <c r="F4632" s="38" t="s">
        <v>123</v>
      </c>
      <c r="G4632" s="49" t="str">
        <f t="shared" si="1"/>
        <v>36100</v>
      </c>
      <c r="H4632" s="49">
        <f t="shared" si="2"/>
        <v>36179</v>
      </c>
    </row>
    <row r="4633">
      <c r="A4633" s="48" t="s">
        <v>3948</v>
      </c>
      <c r="B4633" s="38">
        <v>21262.0</v>
      </c>
      <c r="C4633" s="38" t="s">
        <v>7486</v>
      </c>
      <c r="D4633" s="38" t="str">
        <f>IFERROR(__xludf.DUMMYFUNCTION("REGEXREPLACE(C4633,""-\d+(.*)|--\d+(.*)"","""")"),"FAVEROLLES-LES-LUCEY")</f>
        <v>FAVEROLLES-LES-LUCEY</v>
      </c>
      <c r="E4633" s="38" t="s">
        <v>105</v>
      </c>
      <c r="F4633" s="38" t="s">
        <v>106</v>
      </c>
      <c r="G4633" s="49" t="str">
        <f t="shared" si="1"/>
        <v>21290</v>
      </c>
      <c r="H4633" s="49">
        <f t="shared" si="2"/>
        <v>21262</v>
      </c>
    </row>
    <row r="4634">
      <c r="A4634" s="48" t="s">
        <v>7487</v>
      </c>
      <c r="B4634" s="38">
        <v>62263.0</v>
      </c>
      <c r="C4634" s="38" t="s">
        <v>7488</v>
      </c>
      <c r="D4634" s="38" t="str">
        <f>IFERROR(__xludf.DUMMYFUNCTION("REGEXREPLACE(C4634,""-\d+(.*)|--\d+(.*)"","""")"),"DAINVILLE")</f>
        <v>DAINVILLE</v>
      </c>
      <c r="E4634" s="38" t="s">
        <v>109</v>
      </c>
      <c r="F4634" s="38" t="s">
        <v>86</v>
      </c>
      <c r="G4634" s="49" t="str">
        <f t="shared" si="1"/>
        <v>62000</v>
      </c>
      <c r="H4634" s="49">
        <f t="shared" si="2"/>
        <v>62263</v>
      </c>
    </row>
    <row r="4635">
      <c r="A4635" s="48" t="s">
        <v>401</v>
      </c>
      <c r="B4635" s="38">
        <v>24050.0</v>
      </c>
      <c r="C4635" s="38" t="s">
        <v>7489</v>
      </c>
      <c r="D4635" s="38" t="str">
        <f>IFERROR(__xludf.DUMMYFUNCTION("REGEXREPLACE(C4635,""-\d+(.*)|--\d+(.*)"","""")"),"BORREZE")</f>
        <v>BORREZE</v>
      </c>
      <c r="E4635" s="38" t="s">
        <v>261</v>
      </c>
      <c r="F4635" s="38" t="s">
        <v>252</v>
      </c>
      <c r="G4635" s="49" t="str">
        <f t="shared" si="1"/>
        <v>24590</v>
      </c>
      <c r="H4635" s="49">
        <f t="shared" si="2"/>
        <v>24050</v>
      </c>
    </row>
    <row r="4636">
      <c r="A4636" s="48" t="s">
        <v>7490</v>
      </c>
      <c r="B4636" s="38">
        <v>60154.0</v>
      </c>
      <c r="C4636" s="38" t="s">
        <v>7491</v>
      </c>
      <c r="D4636" s="38" t="str">
        <f>IFERROR(__xludf.DUMMYFUNCTION("REGEXREPLACE(C4636,""-\d+(.*)|--\d+(.*)"","""")"),"CINQUEUX")</f>
        <v>CINQUEUX</v>
      </c>
      <c r="E4636" s="38" t="s">
        <v>112</v>
      </c>
      <c r="F4636" s="38" t="s">
        <v>113</v>
      </c>
      <c r="G4636" s="49" t="str">
        <f t="shared" si="1"/>
        <v>60940</v>
      </c>
      <c r="H4636" s="49">
        <f t="shared" si="2"/>
        <v>60154</v>
      </c>
    </row>
    <row r="4637">
      <c r="A4637" s="48" t="s">
        <v>7492</v>
      </c>
      <c r="B4637" s="38">
        <v>15008.0</v>
      </c>
      <c r="C4637" s="38" t="s">
        <v>7493</v>
      </c>
      <c r="D4637" s="38" t="str">
        <f>IFERROR(__xludf.DUMMYFUNCTION("REGEXREPLACE(C4637,""-\d+(.*)|--\d+(.*)"","""")"),"ANTIGNAC")</f>
        <v>ANTIGNAC</v>
      </c>
      <c r="E4637" s="38" t="s">
        <v>632</v>
      </c>
      <c r="F4637" s="38" t="s">
        <v>161</v>
      </c>
      <c r="G4637" s="49" t="str">
        <f t="shared" si="1"/>
        <v>15240</v>
      </c>
      <c r="H4637" s="49">
        <f t="shared" si="2"/>
        <v>15008</v>
      </c>
    </row>
    <row r="4638">
      <c r="A4638" s="48" t="s">
        <v>7494</v>
      </c>
      <c r="B4638" s="38">
        <v>81284.0</v>
      </c>
      <c r="C4638" s="38" t="s">
        <v>7495</v>
      </c>
      <c r="D4638" s="38" t="str">
        <f>IFERROR(__xludf.DUMMYFUNCTION("REGEXREPLACE(C4638,""-\d+(.*)|--\d+(.*)"","""")"),"LE SEQUESTRE")</f>
        <v>LE SEQUESTRE</v>
      </c>
      <c r="E4638" s="38" t="s">
        <v>231</v>
      </c>
      <c r="F4638" s="38" t="s">
        <v>94</v>
      </c>
      <c r="G4638" s="49" t="str">
        <f t="shared" si="1"/>
        <v>81990</v>
      </c>
      <c r="H4638" s="49">
        <f t="shared" si="2"/>
        <v>81284</v>
      </c>
    </row>
    <row r="4639">
      <c r="A4639" s="48" t="s">
        <v>7496</v>
      </c>
      <c r="B4639" s="38">
        <v>62371.0</v>
      </c>
      <c r="C4639" s="38" t="s">
        <v>7497</v>
      </c>
      <c r="D4639" s="38" t="str">
        <f>IFERROR(__xludf.DUMMYFUNCTION("REGEXREPLACE(C4639,""-\d+(.*)|--\d+(.*)"","""")"),"GIVENCHY-EN-GOHELLE")</f>
        <v>GIVENCHY-EN-GOHELLE</v>
      </c>
      <c r="E4639" s="38" t="s">
        <v>109</v>
      </c>
      <c r="F4639" s="38" t="s">
        <v>86</v>
      </c>
      <c r="G4639" s="49" t="str">
        <f t="shared" si="1"/>
        <v>62580</v>
      </c>
      <c r="H4639" s="49">
        <f t="shared" si="2"/>
        <v>62371</v>
      </c>
    </row>
    <row r="4640">
      <c r="A4640" s="48" t="s">
        <v>1695</v>
      </c>
      <c r="B4640" s="38">
        <v>80073.0</v>
      </c>
      <c r="C4640" s="38" t="s">
        <v>7498</v>
      </c>
      <c r="D4640" s="38" t="str">
        <f>IFERROR(__xludf.DUMMYFUNCTION("REGEXREPLACE(C4640,""-\d+(.*)|--\d+(.*)"","""")"),"BECORDEL-BECOURT")</f>
        <v>BECORDEL-BECOURT</v>
      </c>
      <c r="E4640" s="38" t="s">
        <v>224</v>
      </c>
      <c r="F4640" s="38" t="s">
        <v>113</v>
      </c>
      <c r="G4640" s="49" t="str">
        <f t="shared" si="1"/>
        <v>80300</v>
      </c>
      <c r="H4640" s="49">
        <f t="shared" si="2"/>
        <v>80073</v>
      </c>
    </row>
    <row r="4641">
      <c r="A4641" s="48" t="s">
        <v>7375</v>
      </c>
      <c r="B4641" s="38">
        <v>91473.0</v>
      </c>
      <c r="C4641" s="38" t="s">
        <v>7499</v>
      </c>
      <c r="D4641" s="38" t="str">
        <f>IFERROR(__xludf.DUMMYFUNCTION("REGEXREPLACE(C4641,""-\d+(.*)|--\d+(.*)"","""")"),"ORVEAU")</f>
        <v>ORVEAU</v>
      </c>
      <c r="E4641" s="38" t="s">
        <v>756</v>
      </c>
      <c r="F4641" s="38" t="s">
        <v>245</v>
      </c>
      <c r="G4641" s="49" t="str">
        <f t="shared" si="1"/>
        <v>91590</v>
      </c>
      <c r="H4641" s="49">
        <f t="shared" si="2"/>
        <v>91473</v>
      </c>
    </row>
    <row r="4642">
      <c r="A4642" s="48" t="s">
        <v>2400</v>
      </c>
      <c r="B4642" s="38">
        <v>25182.0</v>
      </c>
      <c r="C4642" s="38" t="s">
        <v>7500</v>
      </c>
      <c r="D4642" s="38" t="str">
        <f>IFERROR(__xludf.DUMMYFUNCTION("REGEXREPLACE(C4642,""-\d+(.*)|--\d+(.*)"","""")"),"CUBRY")</f>
        <v>CUBRY</v>
      </c>
      <c r="E4642" s="38" t="s">
        <v>213</v>
      </c>
      <c r="F4642" s="38" t="s">
        <v>214</v>
      </c>
      <c r="G4642" s="49" t="str">
        <f t="shared" si="1"/>
        <v>25680</v>
      </c>
      <c r="H4642" s="49">
        <f t="shared" si="2"/>
        <v>25182</v>
      </c>
    </row>
    <row r="4643">
      <c r="A4643" s="48" t="s">
        <v>7501</v>
      </c>
      <c r="B4643" s="38">
        <v>9173.0</v>
      </c>
      <c r="C4643" s="38" t="s">
        <v>7502</v>
      </c>
      <c r="D4643" s="38" t="str">
        <f>IFERROR(__xludf.DUMMYFUNCTION("REGEXREPLACE(C4643,""-\d+(.*)|--\d+(.*)"","""")"),"LOUBENS")</f>
        <v>LOUBENS</v>
      </c>
      <c r="E4643" s="38" t="s">
        <v>238</v>
      </c>
      <c r="F4643" s="38" t="s">
        <v>94</v>
      </c>
      <c r="G4643" s="49" t="str">
        <f t="shared" si="1"/>
        <v>09120</v>
      </c>
      <c r="H4643" s="49" t="str">
        <f t="shared" si="2"/>
        <v>09173</v>
      </c>
    </row>
    <row r="4644">
      <c r="A4644" s="48" t="s">
        <v>390</v>
      </c>
      <c r="B4644" s="38">
        <v>11161.0</v>
      </c>
      <c r="C4644" s="38" t="s">
        <v>7503</v>
      </c>
      <c r="D4644" s="38" t="str">
        <f>IFERROR(__xludf.DUMMYFUNCTION("REGEXREPLACE(C4644,""-\d+(.*)|--\d+(.*)"","""")"),"GARDIE")</f>
        <v>GARDIE</v>
      </c>
      <c r="E4644" s="38" t="s">
        <v>278</v>
      </c>
      <c r="F4644" s="38" t="s">
        <v>119</v>
      </c>
      <c r="G4644" s="49" t="str">
        <f t="shared" si="1"/>
        <v>11250</v>
      </c>
      <c r="H4644" s="49">
        <f t="shared" si="2"/>
        <v>11161</v>
      </c>
    </row>
    <row r="4645">
      <c r="A4645" s="48" t="s">
        <v>6019</v>
      </c>
      <c r="B4645" s="38">
        <v>39432.0</v>
      </c>
      <c r="C4645" s="38" t="s">
        <v>7504</v>
      </c>
      <c r="D4645" s="38" t="str">
        <f>IFERROR(__xludf.DUMMYFUNCTION("REGEXREPLACE(C4645,""-\d+(.*)|--\d+(.*)"","""")"),"POINTRE")</f>
        <v>POINTRE</v>
      </c>
      <c r="E4645" s="38" t="s">
        <v>400</v>
      </c>
      <c r="F4645" s="38" t="s">
        <v>214</v>
      </c>
      <c r="G4645" s="49" t="str">
        <f t="shared" si="1"/>
        <v>39290</v>
      </c>
      <c r="H4645" s="49">
        <f t="shared" si="2"/>
        <v>39432</v>
      </c>
    </row>
    <row r="4646">
      <c r="A4646" s="48" t="s">
        <v>3772</v>
      </c>
      <c r="B4646" s="38">
        <v>45330.0</v>
      </c>
      <c r="C4646" s="38" t="s">
        <v>7505</v>
      </c>
      <c r="D4646" s="38" t="str">
        <f>IFERROR(__xludf.DUMMYFUNCTION("REGEXREPLACE(C4646,""-\d+(.*)|--\d+(.*)"","""")"),"TRINAY")</f>
        <v>TRINAY</v>
      </c>
      <c r="E4646" s="38" t="s">
        <v>122</v>
      </c>
      <c r="F4646" s="38" t="s">
        <v>123</v>
      </c>
      <c r="G4646" s="49" t="str">
        <f t="shared" si="1"/>
        <v>45410</v>
      </c>
      <c r="H4646" s="49">
        <f t="shared" si="2"/>
        <v>45330</v>
      </c>
    </row>
    <row r="4647">
      <c r="A4647" s="48" t="s">
        <v>1422</v>
      </c>
      <c r="B4647" s="38">
        <v>14723.0</v>
      </c>
      <c r="C4647" s="38" t="s">
        <v>7506</v>
      </c>
      <c r="D4647" s="38" t="str">
        <f>IFERROR(__xludf.DUMMYFUNCTION("REGEXREPLACE(C4647,""-\d+(.*)|--\d+(.*)"","""")"),"VALSEME")</f>
        <v>VALSEME</v>
      </c>
      <c r="E4647" s="38" t="s">
        <v>137</v>
      </c>
      <c r="F4647" s="38" t="s">
        <v>138</v>
      </c>
      <c r="G4647" s="49" t="str">
        <f t="shared" si="1"/>
        <v>14340</v>
      </c>
      <c r="H4647" s="49">
        <f t="shared" si="2"/>
        <v>14723</v>
      </c>
    </row>
    <row r="4648">
      <c r="A4648" s="48" t="s">
        <v>6542</v>
      </c>
      <c r="B4648" s="38">
        <v>40147.0</v>
      </c>
      <c r="C4648" s="38" t="s">
        <v>7507</v>
      </c>
      <c r="D4648" s="38" t="str">
        <f>IFERROR(__xludf.DUMMYFUNCTION("REGEXREPLACE(C4648,""-\d+(.*)|--\d+(.*)"","""")"),"LAUREDE")</f>
        <v>LAUREDE</v>
      </c>
      <c r="E4648" s="38" t="s">
        <v>281</v>
      </c>
      <c r="F4648" s="38" t="s">
        <v>252</v>
      </c>
      <c r="G4648" s="49" t="str">
        <f t="shared" si="1"/>
        <v>40250</v>
      </c>
      <c r="H4648" s="49">
        <f t="shared" si="2"/>
        <v>40147</v>
      </c>
    </row>
    <row r="4649">
      <c r="A4649" s="48" t="s">
        <v>2406</v>
      </c>
      <c r="B4649" s="38">
        <v>55062.0</v>
      </c>
      <c r="C4649" s="38" t="s">
        <v>7508</v>
      </c>
      <c r="D4649" s="38" t="str">
        <f>IFERROR(__xludf.DUMMYFUNCTION("REGEXREPLACE(C4649,""-\d+(.*)|--\d+(.*)"","""")"),"BOUCONVILLE-SUR-MADT")</f>
        <v>BOUCONVILLE-SUR-MADT</v>
      </c>
      <c r="E4649" s="38" t="s">
        <v>322</v>
      </c>
      <c r="F4649" s="38" t="s">
        <v>195</v>
      </c>
      <c r="G4649" s="49" t="str">
        <f t="shared" si="1"/>
        <v>55300</v>
      </c>
      <c r="H4649" s="49">
        <f t="shared" si="2"/>
        <v>55062</v>
      </c>
    </row>
    <row r="4650">
      <c r="A4650" s="48" t="s">
        <v>2506</v>
      </c>
      <c r="B4650" s="38">
        <v>80545.0</v>
      </c>
      <c r="C4650" s="38" t="s">
        <v>7509</v>
      </c>
      <c r="D4650" s="38" t="str">
        <f>IFERROR(__xludf.DUMMYFUNCTION("REGEXREPLACE(C4650,""-\d+(.*)|--\d+(.*)"","""")"),"MEZIERES-EN-SANTERRE")</f>
        <v>MEZIERES-EN-SANTERRE</v>
      </c>
      <c r="E4650" s="38" t="s">
        <v>224</v>
      </c>
      <c r="F4650" s="38" t="s">
        <v>113</v>
      </c>
      <c r="G4650" s="49" t="str">
        <f t="shared" si="1"/>
        <v>80110</v>
      </c>
      <c r="H4650" s="49">
        <f t="shared" si="2"/>
        <v>80545</v>
      </c>
    </row>
    <row r="4651">
      <c r="A4651" s="48" t="s">
        <v>2136</v>
      </c>
      <c r="B4651" s="38">
        <v>52330.0</v>
      </c>
      <c r="C4651" s="38" t="s">
        <v>7510</v>
      </c>
      <c r="D4651" s="38" t="str">
        <f>IFERROR(__xludf.DUMMYFUNCTION("REGEXREPLACE(C4651,""-\d+(.*)|--\d+(.*)"","""")"),"MONTHERIES")</f>
        <v>MONTHERIES</v>
      </c>
      <c r="E4651" s="38" t="s">
        <v>234</v>
      </c>
      <c r="F4651" s="38" t="s">
        <v>130</v>
      </c>
      <c r="G4651" s="49" t="str">
        <f t="shared" si="1"/>
        <v>52330</v>
      </c>
      <c r="H4651" s="49">
        <f t="shared" si="2"/>
        <v>52330</v>
      </c>
    </row>
    <row r="4652">
      <c r="A4652" s="48" t="s">
        <v>1352</v>
      </c>
      <c r="B4652" s="38">
        <v>79246.0</v>
      </c>
      <c r="C4652" s="38" t="s">
        <v>7511</v>
      </c>
      <c r="D4652" s="38" t="str">
        <f>IFERROR(__xludf.DUMMYFUNCTION("REGEXREPLACE(C4652,""-\d+(.*)|--\d+(.*)"","""")"),"SAINTE-EANNE")</f>
        <v>SAINTE-EANNE</v>
      </c>
      <c r="E4652" s="38" t="s">
        <v>337</v>
      </c>
      <c r="F4652" s="38" t="s">
        <v>338</v>
      </c>
      <c r="G4652" s="49" t="str">
        <f t="shared" si="1"/>
        <v>79800</v>
      </c>
      <c r="H4652" s="49">
        <f t="shared" si="2"/>
        <v>79246</v>
      </c>
    </row>
    <row r="4653">
      <c r="A4653" s="48" t="s">
        <v>7512</v>
      </c>
      <c r="B4653" s="38">
        <v>35088.0</v>
      </c>
      <c r="C4653" s="38" t="s">
        <v>7513</v>
      </c>
      <c r="D4653" s="38" t="str">
        <f>IFERROR(__xludf.DUMMYFUNCTION("REGEXREPLACE(C4653,""-\d+(.*)|--\d+(.*)"","""")"),"CORPS-NUDS")</f>
        <v>CORPS-NUDS</v>
      </c>
      <c r="E4653" s="38" t="s">
        <v>347</v>
      </c>
      <c r="F4653" s="38" t="s">
        <v>90</v>
      </c>
      <c r="G4653" s="49" t="str">
        <f t="shared" si="1"/>
        <v>35150</v>
      </c>
      <c r="H4653" s="49">
        <f t="shared" si="2"/>
        <v>35088</v>
      </c>
    </row>
    <row r="4654">
      <c r="A4654" s="48" t="s">
        <v>2362</v>
      </c>
      <c r="B4654" s="38">
        <v>14187.0</v>
      </c>
      <c r="C4654" s="38" t="s">
        <v>7417</v>
      </c>
      <c r="D4654" s="38" t="str">
        <f>IFERROR(__xludf.DUMMYFUNCTION("REGEXREPLACE(C4654,""-\d+(.*)|--\d+(.*)"","""")"),"COULONCES")</f>
        <v>COULONCES</v>
      </c>
      <c r="E4654" s="38" t="s">
        <v>137</v>
      </c>
      <c r="F4654" s="38" t="s">
        <v>138</v>
      </c>
      <c r="G4654" s="49" t="str">
        <f t="shared" si="1"/>
        <v>14500</v>
      </c>
      <c r="H4654" s="49">
        <f t="shared" si="2"/>
        <v>14187</v>
      </c>
    </row>
    <row r="4655">
      <c r="A4655" s="48" t="s">
        <v>7514</v>
      </c>
      <c r="B4655" s="38">
        <v>88459.0</v>
      </c>
      <c r="C4655" s="38" t="s">
        <v>7515</v>
      </c>
      <c r="D4655" s="38" t="str">
        <f>IFERROR(__xludf.DUMMYFUNCTION("REGEXREPLACE(C4655,""-\d+(.*)|--\d+(.*)"","""")"),"SONCOURT")</f>
        <v>SONCOURT</v>
      </c>
      <c r="E4655" s="38" t="s">
        <v>194</v>
      </c>
      <c r="F4655" s="38" t="s">
        <v>195</v>
      </c>
      <c r="G4655" s="49" t="str">
        <f t="shared" si="1"/>
        <v>88170</v>
      </c>
      <c r="H4655" s="49">
        <f t="shared" si="2"/>
        <v>88459</v>
      </c>
    </row>
    <row r="4656">
      <c r="A4656" s="48" t="s">
        <v>2338</v>
      </c>
      <c r="B4656" s="38">
        <v>8407.0</v>
      </c>
      <c r="C4656" s="38" t="s">
        <v>7516</v>
      </c>
      <c r="D4656" s="38" t="str">
        <f>IFERROR(__xludf.DUMMYFUNCTION("REGEXREPLACE(C4656,""-\d+(.*)|--\d+(.*)"","""")"),"SECHAULT")</f>
        <v>SECHAULT</v>
      </c>
      <c r="E4656" s="38" t="s">
        <v>327</v>
      </c>
      <c r="F4656" s="38" t="s">
        <v>130</v>
      </c>
      <c r="G4656" s="49" t="str">
        <f t="shared" si="1"/>
        <v>08250</v>
      </c>
      <c r="H4656" s="49" t="str">
        <f t="shared" si="2"/>
        <v>08407</v>
      </c>
    </row>
    <row r="4657">
      <c r="A4657" s="48" t="s">
        <v>1469</v>
      </c>
      <c r="B4657" s="38">
        <v>71051.0</v>
      </c>
      <c r="C4657" s="38" t="s">
        <v>7517</v>
      </c>
      <c r="D4657" s="38" t="str">
        <f>IFERROR(__xludf.DUMMYFUNCTION("REGEXREPLACE(C4657,""-\d+(.*)|--\d+(.*)"","""")"),"BOUZERON")</f>
        <v>BOUZERON</v>
      </c>
      <c r="E4657" s="38" t="s">
        <v>344</v>
      </c>
      <c r="F4657" s="38" t="s">
        <v>106</v>
      </c>
      <c r="G4657" s="49" t="str">
        <f t="shared" si="1"/>
        <v>71150</v>
      </c>
      <c r="H4657" s="49">
        <f t="shared" si="2"/>
        <v>71051</v>
      </c>
    </row>
    <row r="4658">
      <c r="A4658" s="48" t="s">
        <v>2393</v>
      </c>
      <c r="B4658" s="38">
        <v>38330.0</v>
      </c>
      <c r="C4658" s="38" t="s">
        <v>7518</v>
      </c>
      <c r="D4658" s="38" t="str">
        <f>IFERROR(__xludf.DUMMYFUNCTION("REGEXREPLACE(C4658,""-\d+(.*)|--\d+(.*)"","""")"),"QUINCIEU")</f>
        <v>QUINCIEU</v>
      </c>
      <c r="E4658" s="38" t="s">
        <v>101</v>
      </c>
      <c r="F4658" s="38" t="s">
        <v>102</v>
      </c>
      <c r="G4658" s="49" t="str">
        <f t="shared" si="1"/>
        <v>38470</v>
      </c>
      <c r="H4658" s="49">
        <f t="shared" si="2"/>
        <v>38330</v>
      </c>
    </row>
    <row r="4659">
      <c r="A4659" s="48" t="s">
        <v>1114</v>
      </c>
      <c r="B4659" s="38">
        <v>2599.0</v>
      </c>
      <c r="C4659" s="38" t="s">
        <v>7519</v>
      </c>
      <c r="D4659" s="38" t="str">
        <f>IFERROR(__xludf.DUMMYFUNCTION("REGEXREPLACE(C4659,""-\d+(.*)|--\d+(.*)"","""")"),"PIERREMANDE")</f>
        <v>PIERREMANDE</v>
      </c>
      <c r="E4659" s="38" t="s">
        <v>191</v>
      </c>
      <c r="F4659" s="38" t="s">
        <v>113</v>
      </c>
      <c r="G4659" s="49" t="str">
        <f t="shared" si="1"/>
        <v>02300</v>
      </c>
      <c r="H4659" s="49" t="str">
        <f t="shared" si="2"/>
        <v>02599</v>
      </c>
    </row>
    <row r="4660">
      <c r="A4660" s="48" t="s">
        <v>5555</v>
      </c>
      <c r="B4660" s="38">
        <v>82193.0</v>
      </c>
      <c r="C4660" s="38" t="s">
        <v>7520</v>
      </c>
      <c r="D4660" s="38" t="str">
        <f>IFERROR(__xludf.DUMMYFUNCTION("REGEXREPLACE(C4660,""-\d+(.*)|--\d+(.*)"","""")"),"VIGUERON")</f>
        <v>VIGUERON</v>
      </c>
      <c r="E4660" s="38" t="s">
        <v>570</v>
      </c>
      <c r="F4660" s="38" t="s">
        <v>94</v>
      </c>
      <c r="G4660" s="49" t="str">
        <f t="shared" si="1"/>
        <v>82500</v>
      </c>
      <c r="H4660" s="49">
        <f t="shared" si="2"/>
        <v>82193</v>
      </c>
    </row>
    <row r="4661">
      <c r="A4661" s="48" t="s">
        <v>3502</v>
      </c>
      <c r="B4661" s="38">
        <v>22340.0</v>
      </c>
      <c r="C4661" s="38" t="s">
        <v>7521</v>
      </c>
      <c r="D4661" s="38" t="str">
        <f>IFERROR(__xludf.DUMMYFUNCTION("REGEXREPLACE(C4661,""-\d+(.*)|--\d+(.*)"","""")"),"TONQUEDEC")</f>
        <v>TONQUEDEC</v>
      </c>
      <c r="E4661" s="38" t="s">
        <v>89</v>
      </c>
      <c r="F4661" s="38" t="s">
        <v>90</v>
      </c>
      <c r="G4661" s="49" t="str">
        <f t="shared" si="1"/>
        <v>22140</v>
      </c>
      <c r="H4661" s="49">
        <f t="shared" si="2"/>
        <v>22340</v>
      </c>
    </row>
    <row r="4662">
      <c r="A4662" s="48" t="s">
        <v>4290</v>
      </c>
      <c r="B4662" s="38">
        <v>69122.0</v>
      </c>
      <c r="C4662" s="38" t="s">
        <v>7522</v>
      </c>
      <c r="D4662" s="38" t="str">
        <f>IFERROR(__xludf.DUMMYFUNCTION("REGEXREPLACE(C4662,""-\d+(.*)|--\d+(.*)"","""")"),"LUCENAY")</f>
        <v>LUCENAY</v>
      </c>
      <c r="E4662" s="38" t="s">
        <v>350</v>
      </c>
      <c r="F4662" s="38" t="s">
        <v>102</v>
      </c>
      <c r="G4662" s="49" t="str">
        <f t="shared" si="1"/>
        <v>69480</v>
      </c>
      <c r="H4662" s="49">
        <f t="shared" si="2"/>
        <v>69122</v>
      </c>
    </row>
    <row r="4663">
      <c r="A4663" s="48" t="s">
        <v>1060</v>
      </c>
      <c r="B4663" s="38">
        <v>57172.0</v>
      </c>
      <c r="C4663" s="38" t="s">
        <v>7523</v>
      </c>
      <c r="D4663" s="38" t="str">
        <f>IFERROR(__xludf.DUMMYFUNCTION("REGEXREPLACE(C4663,""-\d+(.*)|--\d+(.*)"","""")"),"DENTING")</f>
        <v>DENTING</v>
      </c>
      <c r="E4663" s="38" t="s">
        <v>303</v>
      </c>
      <c r="F4663" s="38" t="s">
        <v>195</v>
      </c>
      <c r="G4663" s="49" t="str">
        <f t="shared" si="1"/>
        <v>57220</v>
      </c>
      <c r="H4663" s="49">
        <f t="shared" si="2"/>
        <v>57172</v>
      </c>
    </row>
    <row r="4664">
      <c r="A4664" s="48" t="s">
        <v>1585</v>
      </c>
      <c r="B4664" s="38">
        <v>12194.0</v>
      </c>
      <c r="C4664" s="38" t="s">
        <v>7524</v>
      </c>
      <c r="D4664" s="38" t="str">
        <f>IFERROR(__xludf.DUMMYFUNCTION("REGEXREPLACE(C4664,""-\d+(.*)|--\d+(.*)"","""")"),"QUINS")</f>
        <v>QUINS</v>
      </c>
      <c r="E4664" s="38" t="s">
        <v>465</v>
      </c>
      <c r="F4664" s="38" t="s">
        <v>94</v>
      </c>
      <c r="G4664" s="49" t="str">
        <f t="shared" si="1"/>
        <v>12800</v>
      </c>
      <c r="H4664" s="49">
        <f t="shared" si="2"/>
        <v>12194</v>
      </c>
    </row>
    <row r="4665">
      <c r="A4665" s="48" t="s">
        <v>7525</v>
      </c>
      <c r="B4665" s="38">
        <v>54342.0</v>
      </c>
      <c r="C4665" s="38" t="s">
        <v>7526</v>
      </c>
      <c r="D4665" s="38" t="str">
        <f>IFERROR(__xludf.DUMMYFUNCTION("REGEXREPLACE(C4665,""-\d+(.*)|--\d+(.*)"","""")"),"MANCIEULLES")</f>
        <v>MANCIEULLES</v>
      </c>
      <c r="E4665" s="38" t="s">
        <v>548</v>
      </c>
      <c r="F4665" s="38" t="s">
        <v>195</v>
      </c>
      <c r="G4665" s="49" t="str">
        <f t="shared" si="1"/>
        <v>54790</v>
      </c>
      <c r="H4665" s="49">
        <f t="shared" si="2"/>
        <v>54342</v>
      </c>
    </row>
    <row r="4666">
      <c r="A4666" s="48" t="s">
        <v>7527</v>
      </c>
      <c r="B4666" s="38">
        <v>29044.0</v>
      </c>
      <c r="C4666" s="38" t="s">
        <v>7528</v>
      </c>
      <c r="D4666" s="38" t="str">
        <f>IFERROR(__xludf.DUMMYFUNCTION("REGEXREPLACE(C4666,""-\d+(.*)|--\d+(.*)"","""")"),"DINEAULT")</f>
        <v>DINEAULT</v>
      </c>
      <c r="E4666" s="38" t="s">
        <v>176</v>
      </c>
      <c r="F4666" s="38" t="s">
        <v>90</v>
      </c>
      <c r="G4666" s="49" t="str">
        <f t="shared" si="1"/>
        <v>29150</v>
      </c>
      <c r="H4666" s="49">
        <f t="shared" si="2"/>
        <v>29044</v>
      </c>
    </row>
    <row r="4667">
      <c r="A4667" s="48" t="s">
        <v>2580</v>
      </c>
      <c r="B4667" s="38">
        <v>13030.0</v>
      </c>
      <c r="C4667" s="38" t="s">
        <v>7529</v>
      </c>
      <c r="D4667" s="38" t="str">
        <f>IFERROR(__xludf.DUMMYFUNCTION("REGEXREPLACE(C4667,""-\d+(.*)|--\d+(.*)"","""")"),"CUGES-LES-PINS")</f>
        <v>CUGES-LES-PINS</v>
      </c>
      <c r="E4667" s="38" t="s">
        <v>980</v>
      </c>
      <c r="F4667" s="38" t="s">
        <v>228</v>
      </c>
      <c r="G4667" s="49" t="str">
        <f t="shared" si="1"/>
        <v>13780</v>
      </c>
      <c r="H4667" s="49">
        <f t="shared" si="2"/>
        <v>13030</v>
      </c>
    </row>
    <row r="4668">
      <c r="A4668" s="48" t="s">
        <v>1524</v>
      </c>
      <c r="B4668" s="38">
        <v>25588.0</v>
      </c>
      <c r="C4668" s="38" t="s">
        <v>7530</v>
      </c>
      <c r="D4668" s="38" t="str">
        <f>IFERROR(__xludf.DUMMYFUNCTION("REGEXREPLACE(C4668,""-\d+(.*)|--\d+(.*)"","""")"),"VAUCLUSE")</f>
        <v>VAUCLUSE</v>
      </c>
      <c r="E4668" s="38" t="s">
        <v>213</v>
      </c>
      <c r="F4668" s="38" t="s">
        <v>214</v>
      </c>
      <c r="G4668" s="49" t="str">
        <f t="shared" si="1"/>
        <v>25380</v>
      </c>
      <c r="H4668" s="49">
        <f t="shared" si="2"/>
        <v>25588</v>
      </c>
    </row>
    <row r="4669">
      <c r="A4669" s="48" t="s">
        <v>3389</v>
      </c>
      <c r="B4669" s="38">
        <v>33261.0</v>
      </c>
      <c r="C4669" s="38" t="s">
        <v>7531</v>
      </c>
      <c r="D4669" s="38" t="str">
        <f>IFERROR(__xludf.DUMMYFUNCTION("REGEXREPLACE(C4669,""-\d+(.*)|--\d+(.*)"","""")"),"LUSSAC")</f>
        <v>LUSSAC</v>
      </c>
      <c r="E4669" s="38" t="s">
        <v>462</v>
      </c>
      <c r="F4669" s="38" t="s">
        <v>252</v>
      </c>
      <c r="G4669" s="49" t="str">
        <f t="shared" si="1"/>
        <v>33570</v>
      </c>
      <c r="H4669" s="49">
        <f t="shared" si="2"/>
        <v>33261</v>
      </c>
    </row>
    <row r="4670">
      <c r="A4670" s="48" t="s">
        <v>7532</v>
      </c>
      <c r="B4670" s="38">
        <v>37274.0</v>
      </c>
      <c r="C4670" s="38" t="s">
        <v>7533</v>
      </c>
      <c r="D4670" s="38" t="str">
        <f>IFERROR(__xludf.DUMMYFUNCTION("REGEXREPLACE(C4670,""-\d+(.*)|--\d+(.*)"","""")"),"VILLEBOURG")</f>
        <v>VILLEBOURG</v>
      </c>
      <c r="E4670" s="38" t="s">
        <v>205</v>
      </c>
      <c r="F4670" s="38" t="s">
        <v>123</v>
      </c>
      <c r="G4670" s="49" t="str">
        <f t="shared" si="1"/>
        <v>37370</v>
      </c>
      <c r="H4670" s="49">
        <f t="shared" si="2"/>
        <v>37274</v>
      </c>
    </row>
    <row r="4671">
      <c r="A4671" s="48" t="s">
        <v>4764</v>
      </c>
      <c r="B4671" s="38">
        <v>63066.0</v>
      </c>
      <c r="C4671" s="38" t="s">
        <v>7534</v>
      </c>
      <c r="D4671" s="38" t="str">
        <f>IFERROR(__xludf.DUMMYFUNCTION("REGEXREPLACE(C4671,""-\d+(.*)|--\d+(.*)"","""")"),"CELLES-SUR-DUROLLE")</f>
        <v>CELLES-SUR-DUROLLE</v>
      </c>
      <c r="E4671" s="38" t="s">
        <v>353</v>
      </c>
      <c r="F4671" s="38" t="s">
        <v>161</v>
      </c>
      <c r="G4671" s="49" t="str">
        <f t="shared" si="1"/>
        <v>63250</v>
      </c>
      <c r="H4671" s="49">
        <f t="shared" si="2"/>
        <v>63066</v>
      </c>
    </row>
    <row r="4672">
      <c r="A4672" s="48" t="s">
        <v>4898</v>
      </c>
      <c r="B4672" s="38">
        <v>27270.0</v>
      </c>
      <c r="C4672" s="38" t="s">
        <v>7535</v>
      </c>
      <c r="D4672" s="38" t="str">
        <f>IFERROR(__xludf.DUMMYFUNCTION("REGEXREPLACE(C4672,""-\d+(.*)|--\d+(.*)"","""")"),"FRESNE-L'ARCHEVEQUE")</f>
        <v>FRESNE-L'ARCHEVEQUE</v>
      </c>
      <c r="E4672" s="38" t="s">
        <v>241</v>
      </c>
      <c r="F4672" s="38" t="s">
        <v>134</v>
      </c>
      <c r="G4672" s="49" t="str">
        <f t="shared" si="1"/>
        <v>27700</v>
      </c>
      <c r="H4672" s="49">
        <f t="shared" si="2"/>
        <v>27270</v>
      </c>
    </row>
    <row r="4673">
      <c r="A4673" s="48" t="s">
        <v>2594</v>
      </c>
      <c r="B4673" s="38">
        <v>69019.0</v>
      </c>
      <c r="C4673" s="38" t="s">
        <v>7536</v>
      </c>
      <c r="D4673" s="38" t="str">
        <f>IFERROR(__xludf.DUMMYFUNCTION("REGEXREPLACE(C4673,""-\d+(.*)|--\d+(.*)"","""")"),"BELLEVILLE")</f>
        <v>BELLEVILLE</v>
      </c>
      <c r="E4673" s="38" t="s">
        <v>350</v>
      </c>
      <c r="F4673" s="38" t="s">
        <v>102</v>
      </c>
      <c r="G4673" s="49" t="str">
        <f t="shared" si="1"/>
        <v>69220</v>
      </c>
      <c r="H4673" s="49">
        <f t="shared" si="2"/>
        <v>69019</v>
      </c>
    </row>
    <row r="4674">
      <c r="A4674" s="48" t="s">
        <v>5648</v>
      </c>
      <c r="B4674" s="38">
        <v>76381.0</v>
      </c>
      <c r="C4674" s="38" t="s">
        <v>7537</v>
      </c>
      <c r="D4674" s="38" t="str">
        <f>IFERROR(__xludf.DUMMYFUNCTION("REGEXREPLACE(C4674,""-\d+(.*)|--\d+(.*)"","""")"),"LANDES-VIEILLES-ET-NEUVES")</f>
        <v>LANDES-VIEILLES-ET-NEUVES</v>
      </c>
      <c r="E4674" s="38" t="s">
        <v>133</v>
      </c>
      <c r="F4674" s="38" t="s">
        <v>134</v>
      </c>
      <c r="G4674" s="49" t="str">
        <f t="shared" si="1"/>
        <v>76390</v>
      </c>
      <c r="H4674" s="49">
        <f t="shared" si="2"/>
        <v>76381</v>
      </c>
    </row>
    <row r="4675">
      <c r="A4675" s="48" t="s">
        <v>7107</v>
      </c>
      <c r="B4675" s="38">
        <v>10310.0</v>
      </c>
      <c r="C4675" s="38" t="s">
        <v>7538</v>
      </c>
      <c r="D4675" s="38" t="str">
        <f>IFERROR(__xludf.DUMMYFUNCTION("REGEXREPLACE(C4675,""-\d+(.*)|--\d+(.*)"","""")"),"PUITS-ET-NUISEMENT")</f>
        <v>PUITS-ET-NUISEMENT</v>
      </c>
      <c r="E4675" s="38" t="s">
        <v>147</v>
      </c>
      <c r="F4675" s="38" t="s">
        <v>130</v>
      </c>
      <c r="G4675" s="49" t="str">
        <f t="shared" si="1"/>
        <v>10140</v>
      </c>
      <c r="H4675" s="49">
        <f t="shared" si="2"/>
        <v>10310</v>
      </c>
    </row>
    <row r="4676">
      <c r="A4676" s="48" t="s">
        <v>3452</v>
      </c>
      <c r="B4676" s="38">
        <v>36071.0</v>
      </c>
      <c r="C4676" s="38" t="s">
        <v>7539</v>
      </c>
      <c r="D4676" s="38" t="str">
        <f>IFERROR(__xludf.DUMMYFUNCTION("REGEXREPLACE(C4676,""-\d+(.*)|--\d+(.*)"","""")"),"ETRECHET")</f>
        <v>ETRECHET</v>
      </c>
      <c r="E4676" s="38" t="s">
        <v>258</v>
      </c>
      <c r="F4676" s="38" t="s">
        <v>123</v>
      </c>
      <c r="G4676" s="49" t="str">
        <f t="shared" si="1"/>
        <v>36120</v>
      </c>
      <c r="H4676" s="49">
        <f t="shared" si="2"/>
        <v>36071</v>
      </c>
    </row>
    <row r="4677">
      <c r="A4677" s="48" t="s">
        <v>6775</v>
      </c>
      <c r="B4677" s="38">
        <v>79125.0</v>
      </c>
      <c r="C4677" s="38" t="s">
        <v>7540</v>
      </c>
      <c r="D4677" s="38" t="str">
        <f>IFERROR(__xludf.DUMMYFUNCTION("REGEXREPLACE(C4677,""-\d+(.*)|--\d+(.*)"","""")"),"FORS")</f>
        <v>FORS</v>
      </c>
      <c r="E4677" s="38" t="s">
        <v>337</v>
      </c>
      <c r="F4677" s="38" t="s">
        <v>338</v>
      </c>
      <c r="G4677" s="49" t="str">
        <f t="shared" si="1"/>
        <v>79230</v>
      </c>
      <c r="H4677" s="49">
        <f t="shared" si="2"/>
        <v>79125</v>
      </c>
    </row>
    <row r="4678">
      <c r="A4678" s="48" t="s">
        <v>3346</v>
      </c>
      <c r="B4678" s="38">
        <v>65161.0</v>
      </c>
      <c r="C4678" s="38" t="s">
        <v>7541</v>
      </c>
      <c r="D4678" s="38" t="str">
        <f>IFERROR(__xludf.DUMMYFUNCTION("REGEXREPLACE(C4678,""-\d+(.*)|--\d+(.*)"","""")"),"ESCONDEAUX")</f>
        <v>ESCONDEAUX</v>
      </c>
      <c r="E4678" s="38" t="s">
        <v>200</v>
      </c>
      <c r="F4678" s="38" t="s">
        <v>94</v>
      </c>
      <c r="G4678" s="49" t="str">
        <f t="shared" si="1"/>
        <v>65140</v>
      </c>
      <c r="H4678" s="49">
        <f t="shared" si="2"/>
        <v>65161</v>
      </c>
    </row>
    <row r="4679">
      <c r="A4679" s="48" t="s">
        <v>3562</v>
      </c>
      <c r="B4679" s="38">
        <v>2029.0</v>
      </c>
      <c r="C4679" s="38" t="s">
        <v>7542</v>
      </c>
      <c r="D4679" s="38" t="str">
        <f>IFERROR(__xludf.DUMMYFUNCTION("REGEXREPLACE(C4679,""-\d+(.*)|--\d+(.*)"","""")"),"ATTILLY")</f>
        <v>ATTILLY</v>
      </c>
      <c r="E4679" s="38" t="s">
        <v>191</v>
      </c>
      <c r="F4679" s="38" t="s">
        <v>113</v>
      </c>
      <c r="G4679" s="49" t="str">
        <f t="shared" si="1"/>
        <v>02490</v>
      </c>
      <c r="H4679" s="49" t="str">
        <f t="shared" si="2"/>
        <v>02029</v>
      </c>
    </row>
    <row r="4680">
      <c r="A4680" s="48" t="s">
        <v>1033</v>
      </c>
      <c r="B4680" s="38">
        <v>67228.0</v>
      </c>
      <c r="C4680" s="38" t="s">
        <v>7543</v>
      </c>
      <c r="D4680" s="38" t="str">
        <f>IFERROR(__xludf.DUMMYFUNCTION("REGEXREPLACE(C4680,""-\d+(.*)|--\d+(.*)"","""")"),"NEUGARTHEIM-ITTLENHEIM")</f>
        <v>NEUGARTHEIM-ITTLENHEIM</v>
      </c>
      <c r="E4680" s="38" t="s">
        <v>210</v>
      </c>
      <c r="F4680" s="38" t="s">
        <v>151</v>
      </c>
      <c r="G4680" s="49" t="str">
        <f t="shared" si="1"/>
        <v>67370</v>
      </c>
      <c r="H4680" s="49">
        <f t="shared" si="2"/>
        <v>67228</v>
      </c>
    </row>
    <row r="4681">
      <c r="A4681" s="48" t="s">
        <v>7544</v>
      </c>
      <c r="B4681" s="38">
        <v>95641.0</v>
      </c>
      <c r="C4681" s="38" t="s">
        <v>7545</v>
      </c>
      <c r="D4681" s="38" t="str">
        <f>IFERROR(__xludf.DUMMYFUNCTION("REGEXREPLACE(C4681,""-\d+(.*)|--\d+(.*)"","""")"),"VEMARS")</f>
        <v>VEMARS</v>
      </c>
      <c r="E4681" s="38" t="s">
        <v>541</v>
      </c>
      <c r="F4681" s="38" t="s">
        <v>245</v>
      </c>
      <c r="G4681" s="49" t="str">
        <f t="shared" si="1"/>
        <v>95470</v>
      </c>
      <c r="H4681" s="49">
        <f t="shared" si="2"/>
        <v>95641</v>
      </c>
    </row>
    <row r="4682">
      <c r="A4682" s="48" t="s">
        <v>7546</v>
      </c>
      <c r="B4682" s="38">
        <v>35358.0</v>
      </c>
      <c r="C4682" s="38" t="s">
        <v>7547</v>
      </c>
      <c r="D4682" s="38" t="str">
        <f>IFERROR(__xludf.DUMMYFUNCTION("REGEXREPLACE(C4682,""-\d+(.*)|--\d+(.*)"","""")"),"LA VILLE-ES-NONAIS")</f>
        <v>LA VILLE-ES-NONAIS</v>
      </c>
      <c r="E4682" s="38" t="s">
        <v>347</v>
      </c>
      <c r="F4682" s="38" t="s">
        <v>90</v>
      </c>
      <c r="G4682" s="49" t="str">
        <f t="shared" si="1"/>
        <v>35430</v>
      </c>
      <c r="H4682" s="49">
        <f t="shared" si="2"/>
        <v>35358</v>
      </c>
    </row>
    <row r="4683">
      <c r="A4683" s="48" t="s">
        <v>396</v>
      </c>
      <c r="B4683" s="38">
        <v>71428.0</v>
      </c>
      <c r="C4683" s="38" t="s">
        <v>7548</v>
      </c>
      <c r="D4683" s="38" t="str">
        <f>IFERROR(__xludf.DUMMYFUNCTION("REGEXREPLACE(C4683,""-\d+(.*)|--\d+(.*)"","""")"),"SAINT-IGNY-DE-ROCHE")</f>
        <v>SAINT-IGNY-DE-ROCHE</v>
      </c>
      <c r="E4683" s="38" t="s">
        <v>344</v>
      </c>
      <c r="F4683" s="38" t="s">
        <v>106</v>
      </c>
      <c r="G4683" s="49" t="str">
        <f t="shared" si="1"/>
        <v>71170</v>
      </c>
      <c r="H4683" s="49">
        <f t="shared" si="2"/>
        <v>71428</v>
      </c>
    </row>
    <row r="4684">
      <c r="A4684" s="48" t="s">
        <v>7549</v>
      </c>
      <c r="B4684" s="38">
        <v>50572.0</v>
      </c>
      <c r="C4684" s="38" t="s">
        <v>7550</v>
      </c>
      <c r="D4684" s="38" t="str">
        <f>IFERROR(__xludf.DUMMYFUNCTION("REGEXREPLACE(C4684,""-\d+(.*)|--\d+(.*)"","""")"),"SENOVILLE")</f>
        <v>SENOVILLE</v>
      </c>
      <c r="E4684" s="38" t="s">
        <v>157</v>
      </c>
      <c r="F4684" s="38" t="s">
        <v>138</v>
      </c>
      <c r="G4684" s="49" t="str">
        <f t="shared" si="1"/>
        <v>50270</v>
      </c>
      <c r="H4684" s="49">
        <f t="shared" si="2"/>
        <v>50572</v>
      </c>
    </row>
    <row r="4685">
      <c r="A4685" s="48" t="s">
        <v>6633</v>
      </c>
      <c r="B4685" s="38">
        <v>64440.0</v>
      </c>
      <c r="C4685" s="38" t="s">
        <v>7551</v>
      </c>
      <c r="D4685" s="38" t="str">
        <f>IFERROR(__xludf.DUMMYFUNCTION("REGEXREPLACE(C4685,""-\d+(.*)|--\d+(.*)"","""")"),"OZENX-MONTESTRUCQ")</f>
        <v>OZENX-MONTESTRUCQ</v>
      </c>
      <c r="E4685" s="38" t="s">
        <v>268</v>
      </c>
      <c r="F4685" s="38" t="s">
        <v>252</v>
      </c>
      <c r="G4685" s="49" t="str">
        <f t="shared" si="1"/>
        <v>64300</v>
      </c>
      <c r="H4685" s="49">
        <f t="shared" si="2"/>
        <v>64440</v>
      </c>
    </row>
    <row r="4686">
      <c r="A4686" s="48" t="s">
        <v>4245</v>
      </c>
      <c r="B4686" s="38">
        <v>50613.0</v>
      </c>
      <c r="C4686" s="38" t="s">
        <v>7552</v>
      </c>
      <c r="D4686" s="38" t="str">
        <f>IFERROR(__xludf.DUMMYFUNCTION("REGEXREPLACE(C4686,""-\d+(.*)|--\d+(.*)"","""")"),"VALCANVILLE")</f>
        <v>VALCANVILLE</v>
      </c>
      <c r="E4686" s="38" t="s">
        <v>157</v>
      </c>
      <c r="F4686" s="38" t="s">
        <v>138</v>
      </c>
      <c r="G4686" s="49" t="str">
        <f t="shared" si="1"/>
        <v>50760</v>
      </c>
      <c r="H4686" s="49">
        <f t="shared" si="2"/>
        <v>50613</v>
      </c>
    </row>
    <row r="4687">
      <c r="A4687" s="48" t="s">
        <v>1233</v>
      </c>
      <c r="B4687" s="38">
        <v>60649.0</v>
      </c>
      <c r="C4687" s="38" t="s">
        <v>7553</v>
      </c>
      <c r="D4687" s="38" t="str">
        <f>IFERROR(__xludf.DUMMYFUNCTION("REGEXREPLACE(C4687,""-\d+(.*)|--\d+(.*)"","""")"),"TROUSSURES")</f>
        <v>TROUSSURES</v>
      </c>
      <c r="E4687" s="38" t="s">
        <v>112</v>
      </c>
      <c r="F4687" s="38" t="s">
        <v>113</v>
      </c>
      <c r="G4687" s="49" t="str">
        <f t="shared" si="1"/>
        <v>60390</v>
      </c>
      <c r="H4687" s="49">
        <f t="shared" si="2"/>
        <v>60649</v>
      </c>
    </row>
    <row r="4688">
      <c r="A4688" s="48" t="s">
        <v>1228</v>
      </c>
      <c r="B4688" s="38">
        <v>34305.0</v>
      </c>
      <c r="C4688" s="38" t="s">
        <v>7554</v>
      </c>
      <c r="D4688" s="38" t="str">
        <f>IFERROR(__xludf.DUMMYFUNCTION("REGEXREPLACE(C4688,""-\d+(.*)|--\d+(.*)"","""")"),"LE SOULIE")</f>
        <v>LE SOULIE</v>
      </c>
      <c r="E4688" s="38" t="s">
        <v>118</v>
      </c>
      <c r="F4688" s="38" t="s">
        <v>119</v>
      </c>
      <c r="G4688" s="49" t="str">
        <f t="shared" si="1"/>
        <v>34330</v>
      </c>
      <c r="H4688" s="49">
        <f t="shared" si="2"/>
        <v>34305</v>
      </c>
    </row>
    <row r="4689">
      <c r="A4689" s="48" t="s">
        <v>2170</v>
      </c>
      <c r="B4689" s="38">
        <v>80307.0</v>
      </c>
      <c r="C4689" s="38" t="s">
        <v>7555</v>
      </c>
      <c r="D4689" s="38" t="str">
        <f>IFERROR(__xludf.DUMMYFUNCTION("REGEXREPLACE(C4689,""-\d+(.*)|--\d+(.*)"","""")"),"FEUILLERES")</f>
        <v>FEUILLERES</v>
      </c>
      <c r="E4689" s="38" t="s">
        <v>224</v>
      </c>
      <c r="F4689" s="38" t="s">
        <v>113</v>
      </c>
      <c r="G4689" s="49" t="str">
        <f t="shared" si="1"/>
        <v>80200</v>
      </c>
      <c r="H4689" s="49">
        <f t="shared" si="2"/>
        <v>80307</v>
      </c>
    </row>
    <row r="4690">
      <c r="A4690" s="48" t="s">
        <v>1710</v>
      </c>
      <c r="B4690" s="38">
        <v>24255.0</v>
      </c>
      <c r="C4690" s="38" t="s">
        <v>7556</v>
      </c>
      <c r="D4690" s="38" t="str">
        <f>IFERROR(__xludf.DUMMYFUNCTION("REGEXREPLACE(C4690,""-\d+(.*)|--\d+(.*)"","""")"),"MARQUAY")</f>
        <v>MARQUAY</v>
      </c>
      <c r="E4690" s="38" t="s">
        <v>261</v>
      </c>
      <c r="F4690" s="38" t="s">
        <v>252</v>
      </c>
      <c r="G4690" s="49" t="str">
        <f t="shared" si="1"/>
        <v>24620</v>
      </c>
      <c r="H4690" s="49">
        <f t="shared" si="2"/>
        <v>24255</v>
      </c>
    </row>
    <row r="4691">
      <c r="A4691" s="48" t="s">
        <v>386</v>
      </c>
      <c r="B4691" s="38">
        <v>21005.0</v>
      </c>
      <c r="C4691" s="38" t="s">
        <v>7557</v>
      </c>
      <c r="D4691" s="38" t="str">
        <f>IFERROR(__xludf.DUMMYFUNCTION("REGEXREPLACE(C4691,""-\d+(.*)|--\d+(.*)"","""")"),"AISEREY")</f>
        <v>AISEREY</v>
      </c>
      <c r="E4691" s="38" t="s">
        <v>105</v>
      </c>
      <c r="F4691" s="38" t="s">
        <v>106</v>
      </c>
      <c r="G4691" s="49" t="str">
        <f t="shared" si="1"/>
        <v>21110</v>
      </c>
      <c r="H4691" s="49">
        <f t="shared" si="2"/>
        <v>21005</v>
      </c>
    </row>
    <row r="4692">
      <c r="A4692" s="48" t="s">
        <v>4924</v>
      </c>
      <c r="B4692" s="38">
        <v>56187.0</v>
      </c>
      <c r="C4692" s="38" t="s">
        <v>7558</v>
      </c>
      <c r="D4692" s="38" t="str">
        <f>IFERROR(__xludf.DUMMYFUNCTION("REGEXREPLACE(C4692,""-\d+(.*)|--\d+(.*)"","""")"),"QUILY")</f>
        <v>QUILY</v>
      </c>
      <c r="E4692" s="38" t="s">
        <v>173</v>
      </c>
      <c r="F4692" s="38" t="s">
        <v>90</v>
      </c>
      <c r="G4692" s="49" t="str">
        <f t="shared" si="1"/>
        <v>56800</v>
      </c>
      <c r="H4692" s="49">
        <f t="shared" si="2"/>
        <v>56187</v>
      </c>
    </row>
    <row r="4693">
      <c r="A4693" s="48" t="s">
        <v>1274</v>
      </c>
      <c r="B4693" s="38">
        <v>33102.0</v>
      </c>
      <c r="C4693" s="38" t="s">
        <v>7559</v>
      </c>
      <c r="D4693" s="38" t="str">
        <f>IFERROR(__xludf.DUMMYFUNCTION("REGEXREPLACE(C4693,""-\d+(.*)|--\d+(.*)"","""")"),"CASSEUIL")</f>
        <v>CASSEUIL</v>
      </c>
      <c r="E4693" s="38" t="s">
        <v>462</v>
      </c>
      <c r="F4693" s="38" t="s">
        <v>252</v>
      </c>
      <c r="G4693" s="49" t="str">
        <f t="shared" si="1"/>
        <v>33190</v>
      </c>
      <c r="H4693" s="49">
        <f t="shared" si="2"/>
        <v>33102</v>
      </c>
    </row>
    <row r="4694">
      <c r="A4694" s="48" t="s">
        <v>7560</v>
      </c>
      <c r="B4694" s="38">
        <v>71118.0</v>
      </c>
      <c r="C4694" s="38" t="s">
        <v>7561</v>
      </c>
      <c r="D4694" s="38" t="str">
        <f>IFERROR(__xludf.DUMMYFUNCTION("REGEXREPLACE(C4694,""-\d+(.*)|--\d+(.*)"","""")"),"CHATENOY-LE-ROYAL")</f>
        <v>CHATENOY-LE-ROYAL</v>
      </c>
      <c r="E4694" s="38" t="s">
        <v>344</v>
      </c>
      <c r="F4694" s="38" t="s">
        <v>106</v>
      </c>
      <c r="G4694" s="49" t="str">
        <f t="shared" si="1"/>
        <v>71880</v>
      </c>
      <c r="H4694" s="49">
        <f t="shared" si="2"/>
        <v>71118</v>
      </c>
    </row>
    <row r="4695">
      <c r="A4695" s="48" t="s">
        <v>5842</v>
      </c>
      <c r="B4695" s="38">
        <v>61182.0</v>
      </c>
      <c r="C4695" s="38" t="s">
        <v>7562</v>
      </c>
      <c r="D4695" s="38" t="str">
        <f>IFERROR(__xludf.DUMMYFUNCTION("REGEXREPLACE(C4695,""-\d+(.*)|--\d+(.*)"","""")"),"GANDELAIN")</f>
        <v>GANDELAIN</v>
      </c>
      <c r="E4695" s="38" t="s">
        <v>141</v>
      </c>
      <c r="F4695" s="38" t="s">
        <v>138</v>
      </c>
      <c r="G4695" s="49" t="str">
        <f t="shared" si="1"/>
        <v>61420</v>
      </c>
      <c r="H4695" s="49">
        <f t="shared" si="2"/>
        <v>61182</v>
      </c>
    </row>
    <row r="4696">
      <c r="A4696" s="48" t="s">
        <v>7563</v>
      </c>
      <c r="B4696" s="38">
        <v>59144.0</v>
      </c>
      <c r="C4696" s="38" t="s">
        <v>7564</v>
      </c>
      <c r="D4696" s="38" t="str">
        <f>IFERROR(__xludf.DUMMYFUNCTION("REGEXREPLACE(C4696,""-\d+(.*)|--\d+(.*)"","""")"),"CHATEAU-L'ABBAYE")</f>
        <v>CHATEAU-L'ABBAYE</v>
      </c>
      <c r="E4696" s="38" t="s">
        <v>85</v>
      </c>
      <c r="F4696" s="38" t="s">
        <v>86</v>
      </c>
      <c r="G4696" s="49" t="str">
        <f t="shared" si="1"/>
        <v>59230</v>
      </c>
      <c r="H4696" s="49">
        <f t="shared" si="2"/>
        <v>59144</v>
      </c>
    </row>
    <row r="4697">
      <c r="A4697" s="48" t="s">
        <v>3596</v>
      </c>
      <c r="B4697" s="38">
        <v>25609.0</v>
      </c>
      <c r="C4697" s="38" t="s">
        <v>7565</v>
      </c>
      <c r="D4697" s="38" t="str">
        <f>IFERROR(__xludf.DUMMYFUNCTION("REGEXREPLACE(C4697,""-\d+(.*)|--\d+(.*)"","""")"),"VERRIERES-DE-JOUX")</f>
        <v>VERRIERES-DE-JOUX</v>
      </c>
      <c r="E4697" s="38" t="s">
        <v>213</v>
      </c>
      <c r="F4697" s="38" t="s">
        <v>214</v>
      </c>
      <c r="G4697" s="49" t="str">
        <f t="shared" si="1"/>
        <v>25300</v>
      </c>
      <c r="H4697" s="49">
        <f t="shared" si="2"/>
        <v>25609</v>
      </c>
    </row>
    <row r="4698">
      <c r="A4698" s="48" t="s">
        <v>7566</v>
      </c>
      <c r="B4698" s="38">
        <v>45028.0</v>
      </c>
      <c r="C4698" s="38" t="s">
        <v>7567</v>
      </c>
      <c r="D4698" s="38" t="str">
        <f>IFERROR(__xludf.DUMMYFUNCTION("REGEXREPLACE(C4698,""-\d+(.*)|--\d+(.*)"","""")"),"BEAUGENCY")</f>
        <v>BEAUGENCY</v>
      </c>
      <c r="E4698" s="38" t="s">
        <v>122</v>
      </c>
      <c r="F4698" s="38" t="s">
        <v>123</v>
      </c>
      <c r="G4698" s="49" t="str">
        <f t="shared" si="1"/>
        <v>45190</v>
      </c>
      <c r="H4698" s="49">
        <f t="shared" si="2"/>
        <v>45028</v>
      </c>
    </row>
    <row r="4699">
      <c r="A4699" s="48" t="s">
        <v>1042</v>
      </c>
      <c r="B4699" s="38">
        <v>60006.0</v>
      </c>
      <c r="C4699" s="38" t="s">
        <v>7568</v>
      </c>
      <c r="D4699" s="38" t="str">
        <f>IFERROR(__xludf.DUMMYFUNCTION("REGEXREPLACE(C4699,""-\d+(.*)|--\d+(.*)"","""")"),"LES AGEUX")</f>
        <v>LES AGEUX</v>
      </c>
      <c r="E4699" s="38" t="s">
        <v>112</v>
      </c>
      <c r="F4699" s="38" t="s">
        <v>113</v>
      </c>
      <c r="G4699" s="49" t="str">
        <f t="shared" si="1"/>
        <v>60700</v>
      </c>
      <c r="H4699" s="49">
        <f t="shared" si="2"/>
        <v>60006</v>
      </c>
    </row>
    <row r="4700">
      <c r="A4700" s="48" t="s">
        <v>7569</v>
      </c>
      <c r="B4700" s="38">
        <v>73145.0</v>
      </c>
      <c r="C4700" s="38" t="s">
        <v>7570</v>
      </c>
      <c r="D4700" s="38" t="str">
        <f>IFERROR(__xludf.DUMMYFUNCTION("REGEXREPLACE(C4700,""-\d+(.*)|--\d+(.*)"","""")"),"LEPIN-LE-LAC")</f>
        <v>LEPIN-LE-LAC</v>
      </c>
      <c r="E4700" s="38" t="s">
        <v>306</v>
      </c>
      <c r="F4700" s="38" t="s">
        <v>102</v>
      </c>
      <c r="G4700" s="49" t="str">
        <f t="shared" si="1"/>
        <v>73610</v>
      </c>
      <c r="H4700" s="49">
        <f t="shared" si="2"/>
        <v>73145</v>
      </c>
    </row>
    <row r="4701">
      <c r="A4701" s="48" t="s">
        <v>7571</v>
      </c>
      <c r="B4701" s="38">
        <v>77407.0</v>
      </c>
      <c r="C4701" s="38" t="s">
        <v>7572</v>
      </c>
      <c r="D4701" s="38" t="str">
        <f>IFERROR(__xludf.DUMMYFUNCTION("REGEXREPLACE(C4701,""-\d+(.*)|--\d+(.*)"","""")"),"SAINT-FARGEAU-PONTHIERRY")</f>
        <v>SAINT-FARGEAU-PONTHIERRY</v>
      </c>
      <c r="E4701" s="38" t="s">
        <v>244</v>
      </c>
      <c r="F4701" s="38" t="s">
        <v>245</v>
      </c>
      <c r="G4701" s="49" t="str">
        <f t="shared" si="1"/>
        <v>77310</v>
      </c>
      <c r="H4701" s="49">
        <f t="shared" si="2"/>
        <v>77407</v>
      </c>
    </row>
    <row r="4702">
      <c r="A4702" s="48" t="s">
        <v>497</v>
      </c>
      <c r="B4702" s="38">
        <v>62710.0</v>
      </c>
      <c r="C4702" s="38" t="s">
        <v>7573</v>
      </c>
      <c r="D4702" s="38" t="str">
        <f>IFERROR(__xludf.DUMMYFUNCTION("REGEXREPLACE(C4702,""-\d+(.*)|--\d+(.*)"","""")"),"RIMBOVAL")</f>
        <v>RIMBOVAL</v>
      </c>
      <c r="E4702" s="38" t="s">
        <v>109</v>
      </c>
      <c r="F4702" s="38" t="s">
        <v>86</v>
      </c>
      <c r="G4702" s="49" t="str">
        <f t="shared" si="1"/>
        <v>62990</v>
      </c>
      <c r="H4702" s="49">
        <f t="shared" si="2"/>
        <v>62710</v>
      </c>
    </row>
    <row r="4703">
      <c r="A4703" s="48" t="s">
        <v>1845</v>
      </c>
      <c r="B4703" s="38">
        <v>79209.0</v>
      </c>
      <c r="C4703" s="38" t="s">
        <v>3976</v>
      </c>
      <c r="D4703" s="38" t="str">
        <f>IFERROR(__xludf.DUMMYFUNCTION("REGEXREPLACE(C4703,""-\d+(.*)|--\d+(.*)"","""")"),"PIERREFITTE")</f>
        <v>PIERREFITTE</v>
      </c>
      <c r="E4703" s="38" t="s">
        <v>337</v>
      </c>
      <c r="F4703" s="38" t="s">
        <v>338</v>
      </c>
      <c r="G4703" s="49" t="str">
        <f t="shared" si="1"/>
        <v>79330</v>
      </c>
      <c r="H4703" s="49">
        <f t="shared" si="2"/>
        <v>79209</v>
      </c>
    </row>
    <row r="4704">
      <c r="A4704" s="48" t="s">
        <v>1106</v>
      </c>
      <c r="B4704" s="38">
        <v>14603.0</v>
      </c>
      <c r="C4704" s="38" t="s">
        <v>7574</v>
      </c>
      <c r="D4704" s="38" t="str">
        <f>IFERROR(__xludf.DUMMYFUNCTION("REGEXREPLACE(C4704,""-\d+(.*)|--\d+(.*)"","""")"),"SAINT-LAURENT-DE-CONDEL")</f>
        <v>SAINT-LAURENT-DE-CONDEL</v>
      </c>
      <c r="E4704" s="38" t="s">
        <v>137</v>
      </c>
      <c r="F4704" s="38" t="s">
        <v>138</v>
      </c>
      <c r="G4704" s="49" t="str">
        <f t="shared" si="1"/>
        <v>14220</v>
      </c>
      <c r="H4704" s="49">
        <f t="shared" si="2"/>
        <v>14603</v>
      </c>
    </row>
    <row r="4705">
      <c r="A4705" s="48" t="s">
        <v>7575</v>
      </c>
      <c r="B4705" s="38">
        <v>59285.0</v>
      </c>
      <c r="C4705" s="38" t="s">
        <v>7576</v>
      </c>
      <c r="D4705" s="38" t="str">
        <f>IFERROR(__xludf.DUMMYFUNCTION("REGEXREPLACE(C4705,""-\d+(.*)|--\d+(.*)"","""")"),"HASPRES")</f>
        <v>HASPRES</v>
      </c>
      <c r="E4705" s="38" t="s">
        <v>85</v>
      </c>
      <c r="F4705" s="38" t="s">
        <v>86</v>
      </c>
      <c r="G4705" s="49" t="str">
        <f t="shared" si="1"/>
        <v>59198</v>
      </c>
      <c r="H4705" s="49">
        <f t="shared" si="2"/>
        <v>59285</v>
      </c>
    </row>
    <row r="4706">
      <c r="A4706" s="48" t="s">
        <v>2033</v>
      </c>
      <c r="B4706" s="38">
        <v>18084.0</v>
      </c>
      <c r="C4706" s="38" t="s">
        <v>7577</v>
      </c>
      <c r="D4706" s="38" t="str">
        <f>IFERROR(__xludf.DUMMYFUNCTION("REGEXREPLACE(C4706,""-\d+(.*)|--\d+(.*)"","""")"),"DAMPIERRE-EN-CROT")</f>
        <v>DAMPIERRE-EN-CROT</v>
      </c>
      <c r="E4706" s="38" t="s">
        <v>504</v>
      </c>
      <c r="F4706" s="38" t="s">
        <v>123</v>
      </c>
      <c r="G4706" s="49" t="str">
        <f t="shared" si="1"/>
        <v>18260</v>
      </c>
      <c r="H4706" s="49">
        <f t="shared" si="2"/>
        <v>18084</v>
      </c>
    </row>
    <row r="4707">
      <c r="A4707" s="48" t="s">
        <v>1540</v>
      </c>
      <c r="B4707" s="38">
        <v>70020.0</v>
      </c>
      <c r="C4707" s="38" t="s">
        <v>7578</v>
      </c>
      <c r="D4707" s="38" t="str">
        <f>IFERROR(__xludf.DUMMYFUNCTION("REGEXREPLACE(C4707,""-\d+(.*)|--\d+(.*)"","""")"),"ANDELARROT")</f>
        <v>ANDELARROT</v>
      </c>
      <c r="E4707" s="38" t="s">
        <v>956</v>
      </c>
      <c r="F4707" s="38" t="s">
        <v>214</v>
      </c>
      <c r="G4707" s="49" t="str">
        <f t="shared" si="1"/>
        <v>70000</v>
      </c>
      <c r="H4707" s="49">
        <f t="shared" si="2"/>
        <v>70020</v>
      </c>
    </row>
    <row r="4708">
      <c r="A4708" s="48" t="s">
        <v>7579</v>
      </c>
      <c r="B4708" s="38">
        <v>60282.0</v>
      </c>
      <c r="C4708" s="38" t="s">
        <v>7580</v>
      </c>
      <c r="D4708" s="38" t="str">
        <f>IFERROR(__xludf.DUMMYFUNCTION("REGEXREPLACE(C4708,""-\d+(.*)|--\d+(.*)"","""")"),"GOUVIEUX")</f>
        <v>GOUVIEUX</v>
      </c>
      <c r="E4708" s="38" t="s">
        <v>112</v>
      </c>
      <c r="F4708" s="38" t="s">
        <v>113</v>
      </c>
      <c r="G4708" s="49" t="str">
        <f t="shared" si="1"/>
        <v>60270</v>
      </c>
      <c r="H4708" s="49">
        <f t="shared" si="2"/>
        <v>60282</v>
      </c>
    </row>
    <row r="4709">
      <c r="A4709" s="48" t="s">
        <v>7581</v>
      </c>
      <c r="B4709" s="38">
        <v>95487.0</v>
      </c>
      <c r="C4709" s="38" t="s">
        <v>7582</v>
      </c>
      <c r="D4709" s="38" t="str">
        <f>IFERROR(__xludf.DUMMYFUNCTION("REGEXREPLACE(C4709,""-\d+(.*)|--\d+(.*)"","""")"),"PERSAN")</f>
        <v>PERSAN</v>
      </c>
      <c r="E4709" s="38" t="s">
        <v>541</v>
      </c>
      <c r="F4709" s="38" t="s">
        <v>245</v>
      </c>
      <c r="G4709" s="49" t="str">
        <f t="shared" si="1"/>
        <v>95340</v>
      </c>
      <c r="H4709" s="49">
        <f t="shared" si="2"/>
        <v>95487</v>
      </c>
    </row>
    <row r="4710">
      <c r="A4710" s="48" t="s">
        <v>7583</v>
      </c>
      <c r="B4710" s="38">
        <v>59192.0</v>
      </c>
      <c r="C4710" s="38" t="s">
        <v>7584</v>
      </c>
      <c r="D4710" s="38" t="str">
        <f>IFERROR(__xludf.DUMMYFUNCTION("REGEXREPLACE(C4710,""-\d+(.*)|--\d+(.*)"","""")"),"EMERCHICOURT")</f>
        <v>EMERCHICOURT</v>
      </c>
      <c r="E4710" s="38" t="s">
        <v>85</v>
      </c>
      <c r="F4710" s="38" t="s">
        <v>86</v>
      </c>
      <c r="G4710" s="49" t="str">
        <f t="shared" si="1"/>
        <v>59580</v>
      </c>
      <c r="H4710" s="49">
        <f t="shared" si="2"/>
        <v>59192</v>
      </c>
    </row>
    <row r="4711">
      <c r="A4711" s="48" t="s">
        <v>2192</v>
      </c>
      <c r="B4711" s="38">
        <v>42085.0</v>
      </c>
      <c r="C4711" s="38" t="s">
        <v>7585</v>
      </c>
      <c r="D4711" s="38" t="str">
        <f>IFERROR(__xludf.DUMMYFUNCTION("REGEXREPLACE(C4711,""-\d+(.*)|--\d+(.*)"","""")"),"DOIZIEUX")</f>
        <v>DOIZIEUX</v>
      </c>
      <c r="E4711" s="38" t="s">
        <v>166</v>
      </c>
      <c r="F4711" s="38" t="s">
        <v>102</v>
      </c>
      <c r="G4711" s="49" t="str">
        <f t="shared" si="1"/>
        <v>42740</v>
      </c>
      <c r="H4711" s="49">
        <f t="shared" si="2"/>
        <v>42085</v>
      </c>
    </row>
    <row r="4712">
      <c r="A4712" s="48" t="s">
        <v>1130</v>
      </c>
      <c r="B4712" s="38">
        <v>71162.0</v>
      </c>
      <c r="C4712" s="38" t="s">
        <v>7586</v>
      </c>
      <c r="D4712" s="38" t="str">
        <f>IFERROR(__xludf.DUMMYFUNCTION("REGEXREPLACE(C4712,""-\d+(.*)|--\d+(.*)"","""")"),"CURGY")</f>
        <v>CURGY</v>
      </c>
      <c r="E4712" s="38" t="s">
        <v>344</v>
      </c>
      <c r="F4712" s="38" t="s">
        <v>106</v>
      </c>
      <c r="G4712" s="49" t="str">
        <f t="shared" si="1"/>
        <v>71400</v>
      </c>
      <c r="H4712" s="49">
        <f t="shared" si="2"/>
        <v>71162</v>
      </c>
    </row>
    <row r="4713">
      <c r="A4713" s="48" t="s">
        <v>2387</v>
      </c>
      <c r="B4713" s="38">
        <v>42269.0</v>
      </c>
      <c r="C4713" s="38" t="s">
        <v>7587</v>
      </c>
      <c r="D4713" s="38" t="str">
        <f>IFERROR(__xludf.DUMMYFUNCTION("REGEXREPLACE(C4713,""-\d+(.*)|--\d+(.*)"","""")"),"SAINT-PAUL-D'UZORE")</f>
        <v>SAINT-PAUL-D'UZORE</v>
      </c>
      <c r="E4713" s="38" t="s">
        <v>166</v>
      </c>
      <c r="F4713" s="38" t="s">
        <v>102</v>
      </c>
      <c r="G4713" s="49" t="str">
        <f t="shared" si="1"/>
        <v>42600</v>
      </c>
      <c r="H4713" s="49">
        <f t="shared" si="2"/>
        <v>42269</v>
      </c>
    </row>
    <row r="4714">
      <c r="A4714" s="48" t="s">
        <v>4173</v>
      </c>
      <c r="B4714" s="38">
        <v>25364.0</v>
      </c>
      <c r="C4714" s="38" t="s">
        <v>7588</v>
      </c>
      <c r="D4714" s="38" t="str">
        <f>IFERROR(__xludf.DUMMYFUNCTION("REGEXREPLACE(C4714,""-\d+(.*)|--\d+(.*)"","""")"),"MAMIROLLE")</f>
        <v>MAMIROLLE</v>
      </c>
      <c r="E4714" s="38" t="s">
        <v>213</v>
      </c>
      <c r="F4714" s="38" t="s">
        <v>214</v>
      </c>
      <c r="G4714" s="49" t="str">
        <f t="shared" si="1"/>
        <v>25620</v>
      </c>
      <c r="H4714" s="49">
        <f t="shared" si="2"/>
        <v>25364</v>
      </c>
    </row>
    <row r="4715">
      <c r="A4715" s="48" t="s">
        <v>7020</v>
      </c>
      <c r="B4715" s="38">
        <v>2122.0</v>
      </c>
      <c r="C4715" s="38" t="s">
        <v>4578</v>
      </c>
      <c r="D4715" s="38" t="str">
        <f>IFERROR(__xludf.DUMMYFUNCTION("REGEXREPLACE(C4715,""-\d+(.*)|--\d+(.*)"","""")"),"BRIE")</f>
        <v>BRIE</v>
      </c>
      <c r="E4715" s="38" t="s">
        <v>191</v>
      </c>
      <c r="F4715" s="38" t="s">
        <v>113</v>
      </c>
      <c r="G4715" s="49" t="str">
        <f t="shared" si="1"/>
        <v>02870</v>
      </c>
      <c r="H4715" s="49" t="str">
        <f t="shared" si="2"/>
        <v>02122</v>
      </c>
    </row>
    <row r="4716">
      <c r="A4716" s="48" t="s">
        <v>2368</v>
      </c>
      <c r="B4716" s="38">
        <v>65141.0</v>
      </c>
      <c r="C4716" s="38" t="s">
        <v>7589</v>
      </c>
      <c r="D4716" s="38" t="str">
        <f>IFERROR(__xludf.DUMMYFUNCTION("REGEXREPLACE(C4716,""-\d+(.*)|--\d+(.*)"","""")"),"CAZAUX-FRECHET-ANERAN-CAMORS")</f>
        <v>CAZAUX-FRECHET-ANERAN-CAMORS</v>
      </c>
      <c r="E4716" s="38" t="s">
        <v>200</v>
      </c>
      <c r="F4716" s="38" t="s">
        <v>94</v>
      </c>
      <c r="G4716" s="49" t="str">
        <f t="shared" si="1"/>
        <v>65240</v>
      </c>
      <c r="H4716" s="49">
        <f t="shared" si="2"/>
        <v>65141</v>
      </c>
    </row>
    <row r="4717">
      <c r="A4717" s="48" t="s">
        <v>7590</v>
      </c>
      <c r="B4717" s="38">
        <v>85077.0</v>
      </c>
      <c r="C4717" s="38" t="s">
        <v>7591</v>
      </c>
      <c r="D4717" s="38" t="str">
        <f>IFERROR(__xludf.DUMMYFUNCTION("REGEXREPLACE(C4717,""-\d+(.*)|--\d+(.*)"","""")"),"CURZON")</f>
        <v>CURZON</v>
      </c>
      <c r="E4717" s="38" t="s">
        <v>179</v>
      </c>
      <c r="F4717" s="38" t="s">
        <v>180</v>
      </c>
      <c r="G4717" s="49" t="str">
        <f t="shared" si="1"/>
        <v>85540</v>
      </c>
      <c r="H4717" s="49">
        <f t="shared" si="2"/>
        <v>85077</v>
      </c>
    </row>
    <row r="4718">
      <c r="A4718" s="48" t="s">
        <v>7592</v>
      </c>
      <c r="B4718" s="38">
        <v>86256.0</v>
      </c>
      <c r="C4718" s="38" t="s">
        <v>7593</v>
      </c>
      <c r="D4718" s="38" t="str">
        <f>IFERROR(__xludf.DUMMYFUNCTION("REGEXREPLACE(C4718,""-\d+(.*)|--\d+(.*)"","""")"),"SAVIGNY-LEVESCAULT")</f>
        <v>SAVIGNY-LEVESCAULT</v>
      </c>
      <c r="E4718" s="38" t="s">
        <v>529</v>
      </c>
      <c r="F4718" s="38" t="s">
        <v>338</v>
      </c>
      <c r="G4718" s="49" t="str">
        <f t="shared" si="1"/>
        <v>86800</v>
      </c>
      <c r="H4718" s="49">
        <f t="shared" si="2"/>
        <v>86256</v>
      </c>
    </row>
    <row r="4719">
      <c r="A4719" s="48" t="s">
        <v>4784</v>
      </c>
      <c r="B4719" s="38">
        <v>24537.0</v>
      </c>
      <c r="C4719" s="38" t="s">
        <v>7594</v>
      </c>
      <c r="D4719" s="38" t="str">
        <f>IFERROR(__xludf.DUMMYFUNCTION("REGEXREPLACE(C4719,""-\d+(.*)|--\d+(.*)"","""")"),"SIORAC-DE-RIBERAC")</f>
        <v>SIORAC-DE-RIBERAC</v>
      </c>
      <c r="E4719" s="38" t="s">
        <v>261</v>
      </c>
      <c r="F4719" s="38" t="s">
        <v>252</v>
      </c>
      <c r="G4719" s="49" t="str">
        <f t="shared" si="1"/>
        <v>24600</v>
      </c>
      <c r="H4719" s="49">
        <f t="shared" si="2"/>
        <v>24537</v>
      </c>
    </row>
    <row r="4720">
      <c r="A4720" s="48" t="s">
        <v>7595</v>
      </c>
      <c r="B4720" s="38">
        <v>81049.0</v>
      </c>
      <c r="C4720" s="38" t="s">
        <v>4651</v>
      </c>
      <c r="D4720" s="38" t="str">
        <f>IFERROR(__xludf.DUMMYFUNCTION("REGEXREPLACE(C4720,""-\d+(.*)|--\d+(.*)"","""")"),"CAHUZAC")</f>
        <v>CAHUZAC</v>
      </c>
      <c r="E4720" s="38" t="s">
        <v>231</v>
      </c>
      <c r="F4720" s="38" t="s">
        <v>94</v>
      </c>
      <c r="G4720" s="49" t="str">
        <f t="shared" si="1"/>
        <v>81540</v>
      </c>
      <c r="H4720" s="49">
        <f t="shared" si="2"/>
        <v>81049</v>
      </c>
    </row>
    <row r="4721">
      <c r="A4721" s="48" t="s">
        <v>7596</v>
      </c>
      <c r="B4721" s="38">
        <v>12204.0</v>
      </c>
      <c r="C4721" s="38" t="s">
        <v>7597</v>
      </c>
      <c r="D4721" s="38" t="str">
        <f>IFERROR(__xludf.DUMMYFUNCTION("REGEXREPLACE(C4721,""-\d+(.*)|--\d+(.*)"","""")"),"LA ROQUE-SAINTE-MARGUERITE")</f>
        <v>LA ROQUE-SAINTE-MARGUERITE</v>
      </c>
      <c r="E4721" s="38" t="s">
        <v>465</v>
      </c>
      <c r="F4721" s="38" t="s">
        <v>94</v>
      </c>
      <c r="G4721" s="49" t="str">
        <f t="shared" si="1"/>
        <v>12100</v>
      </c>
      <c r="H4721" s="49">
        <f t="shared" si="2"/>
        <v>12204</v>
      </c>
    </row>
    <row r="4722">
      <c r="A4722" s="48" t="s">
        <v>7598</v>
      </c>
      <c r="B4722" s="38">
        <v>32328.0</v>
      </c>
      <c r="C4722" s="38" t="s">
        <v>7599</v>
      </c>
      <c r="D4722" s="38" t="str">
        <f>IFERROR(__xludf.DUMMYFUNCTION("REGEXREPLACE(C4722,""-\d+(.*)|--\d+(.*)"","""")"),"POUY-ROQUELAURE")</f>
        <v>POUY-ROQUELAURE</v>
      </c>
      <c r="E4722" s="38" t="s">
        <v>440</v>
      </c>
      <c r="F4722" s="38" t="s">
        <v>94</v>
      </c>
      <c r="G4722" s="49" t="str">
        <f t="shared" si="1"/>
        <v>32480</v>
      </c>
      <c r="H4722" s="49">
        <f t="shared" si="2"/>
        <v>32328</v>
      </c>
    </row>
    <row r="4723">
      <c r="A4723" s="48" t="s">
        <v>7600</v>
      </c>
      <c r="B4723" s="38">
        <v>69016.0</v>
      </c>
      <c r="C4723" s="38" t="s">
        <v>7601</v>
      </c>
      <c r="D4723" s="38" t="str">
        <f>IFERROR(__xludf.DUMMYFUNCTION("REGEXREPLACE(C4723,""-\d+(.*)|--\d+(.*)"","""")"),"AZOLETTE")</f>
        <v>AZOLETTE</v>
      </c>
      <c r="E4723" s="38" t="s">
        <v>350</v>
      </c>
      <c r="F4723" s="38" t="s">
        <v>102</v>
      </c>
      <c r="G4723" s="49" t="str">
        <f t="shared" si="1"/>
        <v>69790</v>
      </c>
      <c r="H4723" s="49">
        <f t="shared" si="2"/>
        <v>69016</v>
      </c>
    </row>
    <row r="4724">
      <c r="A4724" s="48" t="s">
        <v>7602</v>
      </c>
      <c r="B4724" s="38">
        <v>11270.0</v>
      </c>
      <c r="C4724" s="38" t="s">
        <v>7603</v>
      </c>
      <c r="D4724" s="38" t="str">
        <f>IFERROR(__xludf.DUMMYFUNCTION("REGEXREPLACE(C4724,""-\d+(.*)|--\d+(.*)"","""")"),"PADERN")</f>
        <v>PADERN</v>
      </c>
      <c r="E4724" s="38" t="s">
        <v>278</v>
      </c>
      <c r="F4724" s="38" t="s">
        <v>119</v>
      </c>
      <c r="G4724" s="49" t="str">
        <f t="shared" si="1"/>
        <v>11350</v>
      </c>
      <c r="H4724" s="49">
        <f t="shared" si="2"/>
        <v>11270</v>
      </c>
    </row>
    <row r="4725">
      <c r="A4725" s="48" t="s">
        <v>1679</v>
      </c>
      <c r="B4725" s="38">
        <v>51545.0</v>
      </c>
      <c r="C4725" s="38" t="s">
        <v>7604</v>
      </c>
      <c r="D4725" s="38" t="str">
        <f>IFERROR(__xludf.DUMMYFUNCTION("REGEXREPLACE(C4725,""-\d+(.*)|--\d+(.*)"","""")"),"SOMMESOUS")</f>
        <v>SOMMESOUS</v>
      </c>
      <c r="E4725" s="38" t="s">
        <v>129</v>
      </c>
      <c r="F4725" s="38" t="s">
        <v>130</v>
      </c>
      <c r="G4725" s="49" t="str">
        <f t="shared" si="1"/>
        <v>51320</v>
      </c>
      <c r="H4725" s="49">
        <f t="shared" si="2"/>
        <v>51545</v>
      </c>
    </row>
    <row r="4726">
      <c r="A4726" s="48" t="s">
        <v>7153</v>
      </c>
      <c r="B4726" s="38">
        <v>30240.0</v>
      </c>
      <c r="C4726" s="38" t="s">
        <v>7605</v>
      </c>
      <c r="D4726" s="38" t="str">
        <f>IFERROR(__xludf.DUMMYFUNCTION("REGEXREPLACE(C4726,""-\d+(.*)|--\d+(.*)"","""")"),"SAINT-CESAIRE-DE-GAUZIGNAN")</f>
        <v>SAINT-CESAIRE-DE-GAUZIGNAN</v>
      </c>
      <c r="E4726" s="38" t="s">
        <v>526</v>
      </c>
      <c r="F4726" s="38" t="s">
        <v>119</v>
      </c>
      <c r="G4726" s="49" t="str">
        <f t="shared" si="1"/>
        <v>30360</v>
      </c>
      <c r="H4726" s="49">
        <f t="shared" si="2"/>
        <v>30240</v>
      </c>
    </row>
    <row r="4727">
      <c r="A4727" s="48" t="s">
        <v>654</v>
      </c>
      <c r="B4727" s="38">
        <v>8159.0</v>
      </c>
      <c r="C4727" s="38" t="s">
        <v>7606</v>
      </c>
      <c r="D4727" s="38" t="str">
        <f>IFERROR(__xludf.DUMMYFUNCTION("REGEXREPLACE(C4727,""-\d+(.*)|--\d+(.*)"","""")"),"EUILLY-ET-LOMBUT")</f>
        <v>EUILLY-ET-LOMBUT</v>
      </c>
      <c r="E4727" s="38" t="s">
        <v>327</v>
      </c>
      <c r="F4727" s="38" t="s">
        <v>130</v>
      </c>
      <c r="G4727" s="49" t="str">
        <f t="shared" si="1"/>
        <v>08210</v>
      </c>
      <c r="H4727" s="49" t="str">
        <f t="shared" si="2"/>
        <v>08159</v>
      </c>
    </row>
    <row r="4728">
      <c r="A4728" s="48" t="s">
        <v>1341</v>
      </c>
      <c r="B4728" s="38">
        <v>14569.0</v>
      </c>
      <c r="C4728" s="38" t="s">
        <v>7607</v>
      </c>
      <c r="D4728" s="38" t="str">
        <f>IFERROR(__xludf.DUMMYFUNCTION("REGEXREPLACE(C4728,""-\d+(.*)|--\d+(.*)"","""")"),"SAINTE-CROIX-SUR-MER")</f>
        <v>SAINTE-CROIX-SUR-MER</v>
      </c>
      <c r="E4728" s="38" t="s">
        <v>137</v>
      </c>
      <c r="F4728" s="38" t="s">
        <v>138</v>
      </c>
      <c r="G4728" s="49" t="str">
        <f t="shared" si="1"/>
        <v>14480</v>
      </c>
      <c r="H4728" s="49">
        <f t="shared" si="2"/>
        <v>14569</v>
      </c>
    </row>
    <row r="4729">
      <c r="A4729" s="48" t="s">
        <v>1120</v>
      </c>
      <c r="B4729" s="38">
        <v>64181.0</v>
      </c>
      <c r="C4729" s="38" t="s">
        <v>7608</v>
      </c>
      <c r="D4729" s="38" t="str">
        <f>IFERROR(__xludf.DUMMYFUNCTION("REGEXREPLACE(C4729,""-\d+(.*)|--\d+(.*)"","""")"),"CASTILLON (CANTON D'ARTHEZ-DE-BEARN)")</f>
        <v>CASTILLON (CANTON D'ARTHEZ-DE-BEARN)</v>
      </c>
      <c r="E4729" s="38" t="s">
        <v>268</v>
      </c>
      <c r="F4729" s="38" t="s">
        <v>252</v>
      </c>
      <c r="G4729" s="49" t="str">
        <f t="shared" si="1"/>
        <v>64370</v>
      </c>
      <c r="H4729" s="49">
        <f t="shared" si="2"/>
        <v>64181</v>
      </c>
    </row>
    <row r="4730">
      <c r="A4730" s="48" t="s">
        <v>1812</v>
      </c>
      <c r="B4730" s="38">
        <v>51210.0</v>
      </c>
      <c r="C4730" s="38" t="s">
        <v>7609</v>
      </c>
      <c r="D4730" s="38" t="str">
        <f>IFERROR(__xludf.DUMMYFUNCTION("REGEXREPLACE(C4730,""-\d+(.*)|--\d+(.*)"","""")"),"DIZY")</f>
        <v>DIZY</v>
      </c>
      <c r="E4730" s="38" t="s">
        <v>129</v>
      </c>
      <c r="F4730" s="38" t="s">
        <v>130</v>
      </c>
      <c r="G4730" s="49" t="str">
        <f t="shared" si="1"/>
        <v>51530</v>
      </c>
      <c r="H4730" s="49">
        <f t="shared" si="2"/>
        <v>51210</v>
      </c>
    </row>
    <row r="4731">
      <c r="A4731" s="48" t="s">
        <v>1588</v>
      </c>
      <c r="B4731" s="38">
        <v>9062.0</v>
      </c>
      <c r="C4731" s="38" t="s">
        <v>7610</v>
      </c>
      <c r="D4731" s="38" t="str">
        <f>IFERROR(__xludf.DUMMYFUNCTION("REGEXREPLACE(C4731,""-\d+(.*)|--\d+(.*)"","""")"),"LES BORDES-SUR-LEZ")</f>
        <v>LES BORDES-SUR-LEZ</v>
      </c>
      <c r="E4731" s="38" t="s">
        <v>238</v>
      </c>
      <c r="F4731" s="38" t="s">
        <v>94</v>
      </c>
      <c r="G4731" s="49" t="str">
        <f t="shared" si="1"/>
        <v>09800</v>
      </c>
      <c r="H4731" s="49" t="str">
        <f t="shared" si="2"/>
        <v>09062</v>
      </c>
    </row>
    <row r="4732">
      <c r="A4732" s="48" t="s">
        <v>3759</v>
      </c>
      <c r="B4732" s="38">
        <v>17436.0</v>
      </c>
      <c r="C4732" s="38" t="s">
        <v>7611</v>
      </c>
      <c r="D4732" s="38" t="str">
        <f>IFERROR(__xludf.DUMMYFUNCTION("REGEXREPLACE(C4732,""-\d+(.*)|--\d+(.*)"","""")"),"TAILLEBOURG")</f>
        <v>TAILLEBOURG</v>
      </c>
      <c r="E4732" s="38" t="s">
        <v>488</v>
      </c>
      <c r="F4732" s="38" t="s">
        <v>338</v>
      </c>
      <c r="G4732" s="49" t="str">
        <f t="shared" si="1"/>
        <v>17350</v>
      </c>
      <c r="H4732" s="49">
        <f t="shared" si="2"/>
        <v>17436</v>
      </c>
    </row>
    <row r="4733">
      <c r="A4733" s="48" t="s">
        <v>6104</v>
      </c>
      <c r="B4733" s="38">
        <v>95055.0</v>
      </c>
      <c r="C4733" s="38" t="s">
        <v>7612</v>
      </c>
      <c r="D4733" s="38" t="str">
        <f>IFERROR(__xludf.DUMMYFUNCTION("REGEXREPLACE(C4733,""-\d+(.*)|--\d+(.*)"","""")"),"BELLEFONTAINE")</f>
        <v>BELLEFONTAINE</v>
      </c>
      <c r="E4733" s="38" t="s">
        <v>541</v>
      </c>
      <c r="F4733" s="38" t="s">
        <v>245</v>
      </c>
      <c r="G4733" s="49" t="str">
        <f t="shared" si="1"/>
        <v>95270</v>
      </c>
      <c r="H4733" s="49">
        <f t="shared" si="2"/>
        <v>95055</v>
      </c>
    </row>
    <row r="4734">
      <c r="A4734" s="48" t="s">
        <v>4056</v>
      </c>
      <c r="B4734" s="38">
        <v>16149.0</v>
      </c>
      <c r="C4734" s="38" t="s">
        <v>7613</v>
      </c>
      <c r="D4734" s="38" t="str">
        <f>IFERROR(__xludf.DUMMYFUNCTION("REGEXREPLACE(C4734,""-\d+(.*)|--\d+(.*)"","""")"),"GENOUILLAC")</f>
        <v>GENOUILLAC</v>
      </c>
      <c r="E4734" s="38" t="s">
        <v>429</v>
      </c>
      <c r="F4734" s="38" t="s">
        <v>338</v>
      </c>
      <c r="G4734" s="49" t="str">
        <f t="shared" si="1"/>
        <v>16270</v>
      </c>
      <c r="H4734" s="49">
        <f t="shared" si="2"/>
        <v>16149</v>
      </c>
    </row>
    <row r="4735">
      <c r="A4735" s="48" t="s">
        <v>7614</v>
      </c>
      <c r="B4735" s="38">
        <v>50224.0</v>
      </c>
      <c r="C4735" s="38" t="s">
        <v>7615</v>
      </c>
      <c r="D4735" s="38" t="str">
        <f>IFERROR(__xludf.DUMMYFUNCTION("REGEXREPLACE(C4735,""-\d+(.*)|--\d+(.*)"","""")"),"GUILBERVILLE")</f>
        <v>GUILBERVILLE</v>
      </c>
      <c r="E4735" s="38" t="s">
        <v>157</v>
      </c>
      <c r="F4735" s="38" t="s">
        <v>138</v>
      </c>
      <c r="G4735" s="49" t="str">
        <f t="shared" si="1"/>
        <v>50160</v>
      </c>
      <c r="H4735" s="49">
        <f t="shared" si="2"/>
        <v>50224</v>
      </c>
    </row>
    <row r="4736">
      <c r="A4736" s="48" t="s">
        <v>5313</v>
      </c>
      <c r="B4736" s="38">
        <v>60261.0</v>
      </c>
      <c r="C4736" s="38" t="s">
        <v>7616</v>
      </c>
      <c r="D4736" s="38" t="str">
        <f>IFERROR(__xludf.DUMMYFUNCTION("REGEXREPLACE(C4736,""-\d+(.*)|--\d+(.*)"","""")"),"FRESNOY-LE-LUAT")</f>
        <v>FRESNOY-LE-LUAT</v>
      </c>
      <c r="E4736" s="38" t="s">
        <v>112</v>
      </c>
      <c r="F4736" s="38" t="s">
        <v>113</v>
      </c>
      <c r="G4736" s="49" t="str">
        <f t="shared" si="1"/>
        <v>60800</v>
      </c>
      <c r="H4736" s="49">
        <f t="shared" si="2"/>
        <v>60261</v>
      </c>
    </row>
    <row r="4737">
      <c r="A4737" s="48" t="s">
        <v>7617</v>
      </c>
      <c r="B4737" s="38">
        <v>62126.0</v>
      </c>
      <c r="C4737" s="38" t="s">
        <v>7618</v>
      </c>
      <c r="D4737" s="38" t="str">
        <f>IFERROR(__xludf.DUMMYFUNCTION("REGEXREPLACE(C4737,""-\d+(.*)|--\d+(.*)"","""")"),"BEUVRY")</f>
        <v>BEUVRY</v>
      </c>
      <c r="E4737" s="38" t="s">
        <v>109</v>
      </c>
      <c r="F4737" s="38" t="s">
        <v>86</v>
      </c>
      <c r="G4737" s="49" t="str">
        <f t="shared" si="1"/>
        <v>62660</v>
      </c>
      <c r="H4737" s="49">
        <f t="shared" si="2"/>
        <v>62126</v>
      </c>
    </row>
    <row r="4738">
      <c r="A4738" s="48" t="s">
        <v>2761</v>
      </c>
      <c r="B4738" s="38">
        <v>7148.0</v>
      </c>
      <c r="C4738" s="38" t="s">
        <v>7619</v>
      </c>
      <c r="D4738" s="38" t="str">
        <f>IFERROR(__xludf.DUMMYFUNCTION("REGEXREPLACE(C4738,""-\d+(.*)|--\d+(.*)"","""")"),"MALBOSC")</f>
        <v>MALBOSC</v>
      </c>
      <c r="E4738" s="38" t="s">
        <v>144</v>
      </c>
      <c r="F4738" s="38" t="s">
        <v>102</v>
      </c>
      <c r="G4738" s="49" t="str">
        <f t="shared" si="1"/>
        <v>07140</v>
      </c>
      <c r="H4738" s="49" t="str">
        <f t="shared" si="2"/>
        <v>07148</v>
      </c>
    </row>
    <row r="4739">
      <c r="A4739" s="48" t="s">
        <v>2587</v>
      </c>
      <c r="B4739" s="38">
        <v>60577.0</v>
      </c>
      <c r="C4739" s="38" t="s">
        <v>7620</v>
      </c>
      <c r="D4739" s="38" t="str">
        <f>IFERROR(__xludf.DUMMYFUNCTION("REGEXREPLACE(C4739,""-\d+(.*)|--\d+(.*)"","""")"),"SAINT-GERMER-DE-FLY")</f>
        <v>SAINT-GERMER-DE-FLY</v>
      </c>
      <c r="E4739" s="38" t="s">
        <v>112</v>
      </c>
      <c r="F4739" s="38" t="s">
        <v>113</v>
      </c>
      <c r="G4739" s="49" t="str">
        <f t="shared" si="1"/>
        <v>60850</v>
      </c>
      <c r="H4739" s="49">
        <f t="shared" si="2"/>
        <v>60577</v>
      </c>
    </row>
    <row r="4740">
      <c r="A4740" s="48" t="s">
        <v>1908</v>
      </c>
      <c r="B4740" s="38">
        <v>62514.0</v>
      </c>
      <c r="C4740" s="38" t="s">
        <v>7621</v>
      </c>
      <c r="D4740" s="38" t="str">
        <f>IFERROR(__xludf.DUMMYFUNCTION("REGEXREPLACE(C4740,""-\d+(.*)|--\d+(.*)"","""")"),"LIGNY-SAINT-FLOCHEL")</f>
        <v>LIGNY-SAINT-FLOCHEL</v>
      </c>
      <c r="E4740" s="38" t="s">
        <v>109</v>
      </c>
      <c r="F4740" s="38" t="s">
        <v>86</v>
      </c>
      <c r="G4740" s="49" t="str">
        <f t="shared" si="1"/>
        <v>62127</v>
      </c>
      <c r="H4740" s="49">
        <f t="shared" si="2"/>
        <v>62514</v>
      </c>
    </row>
    <row r="4741">
      <c r="A4741" s="48" t="s">
        <v>7622</v>
      </c>
      <c r="B4741" s="38">
        <v>10329.0</v>
      </c>
      <c r="C4741" s="38" t="s">
        <v>7623</v>
      </c>
      <c r="D4741" s="38" t="str">
        <f>IFERROR(__xludf.DUMMYFUNCTION("REGEXREPLACE(C4741,""-\d+(.*)|--\d+(.*)"","""")"),"ROUILLY-SAINT-LOUP")</f>
        <v>ROUILLY-SAINT-LOUP</v>
      </c>
      <c r="E4741" s="38" t="s">
        <v>147</v>
      </c>
      <c r="F4741" s="38" t="s">
        <v>130</v>
      </c>
      <c r="G4741" s="49" t="str">
        <f t="shared" si="1"/>
        <v>10800</v>
      </c>
      <c r="H4741" s="49">
        <f t="shared" si="2"/>
        <v>10329</v>
      </c>
    </row>
    <row r="4742">
      <c r="A4742" s="48" t="s">
        <v>5268</v>
      </c>
      <c r="B4742" s="38">
        <v>49208.0</v>
      </c>
      <c r="C4742" s="38" t="s">
        <v>7624</v>
      </c>
      <c r="D4742" s="38" t="str">
        <f>IFERROR(__xludf.DUMMYFUNCTION("REGEXREPLACE(C4742,""-\d+(.*)|--\d+(.*)"","""")"),"MONTGUILLON")</f>
        <v>MONTGUILLON</v>
      </c>
      <c r="E4742" s="38" t="s">
        <v>653</v>
      </c>
      <c r="F4742" s="38" t="s">
        <v>180</v>
      </c>
      <c r="G4742" s="49" t="str">
        <f t="shared" si="1"/>
        <v>49500</v>
      </c>
      <c r="H4742" s="49">
        <f t="shared" si="2"/>
        <v>49208</v>
      </c>
    </row>
    <row r="4743">
      <c r="A4743" s="48" t="s">
        <v>6633</v>
      </c>
      <c r="B4743" s="38">
        <v>64396.0</v>
      </c>
      <c r="C4743" s="38" t="s">
        <v>7625</v>
      </c>
      <c r="D4743" s="38" t="str">
        <f>IFERROR(__xludf.DUMMYFUNCTION("REGEXREPLACE(C4743,""-\d+(.*)|--\d+(.*)"","""")"),"MONT")</f>
        <v>MONT</v>
      </c>
      <c r="E4743" s="38" t="s">
        <v>268</v>
      </c>
      <c r="F4743" s="38" t="s">
        <v>252</v>
      </c>
      <c r="G4743" s="49" t="str">
        <f t="shared" si="1"/>
        <v>64300</v>
      </c>
      <c r="H4743" s="49">
        <f t="shared" si="2"/>
        <v>64396</v>
      </c>
    </row>
    <row r="4744">
      <c r="A4744" s="48" t="s">
        <v>618</v>
      </c>
      <c r="B4744" s="38">
        <v>54052.0</v>
      </c>
      <c r="C4744" s="38" t="s">
        <v>7626</v>
      </c>
      <c r="D4744" s="38" t="str">
        <f>IFERROR(__xludf.DUMMYFUNCTION("REGEXREPLACE(C4744,""-\d+(.*)|--\d+(.*)"","""")"),"BATTIGNY")</f>
        <v>BATTIGNY</v>
      </c>
      <c r="E4744" s="38" t="s">
        <v>548</v>
      </c>
      <c r="F4744" s="38" t="s">
        <v>195</v>
      </c>
      <c r="G4744" s="49" t="str">
        <f t="shared" si="1"/>
        <v>54115</v>
      </c>
      <c r="H4744" s="49">
        <f t="shared" si="2"/>
        <v>54052</v>
      </c>
    </row>
    <row r="4745">
      <c r="A4745" s="48" t="s">
        <v>5761</v>
      </c>
      <c r="B4745" s="38">
        <v>17317.0</v>
      </c>
      <c r="C4745" s="38" t="s">
        <v>7627</v>
      </c>
      <c r="D4745" s="38" t="str">
        <f>IFERROR(__xludf.DUMMYFUNCTION("REGEXREPLACE(C4745,""-\d+(.*)|--\d+(.*)"","""")"),"SAINT-CIERS-DU-TAILLON")</f>
        <v>SAINT-CIERS-DU-TAILLON</v>
      </c>
      <c r="E4745" s="38" t="s">
        <v>488</v>
      </c>
      <c r="F4745" s="38" t="s">
        <v>338</v>
      </c>
      <c r="G4745" s="49" t="str">
        <f t="shared" si="1"/>
        <v>17240</v>
      </c>
      <c r="H4745" s="49">
        <f t="shared" si="2"/>
        <v>17317</v>
      </c>
    </row>
    <row r="4746">
      <c r="A4746" s="48" t="s">
        <v>635</v>
      </c>
      <c r="B4746" s="38">
        <v>15022.0</v>
      </c>
      <c r="C4746" s="38" t="s">
        <v>7628</v>
      </c>
      <c r="D4746" s="38" t="str">
        <f>IFERROR(__xludf.DUMMYFUNCTION("REGEXREPLACE(C4746,""-\d+(.*)|--\d+(.*)"","""")"),"BONNAC")</f>
        <v>BONNAC</v>
      </c>
      <c r="E4746" s="38" t="s">
        <v>632</v>
      </c>
      <c r="F4746" s="38" t="s">
        <v>161</v>
      </c>
      <c r="G4746" s="49" t="str">
        <f t="shared" si="1"/>
        <v>15500</v>
      </c>
      <c r="H4746" s="49">
        <f t="shared" si="2"/>
        <v>15022</v>
      </c>
    </row>
    <row r="4747">
      <c r="A4747" s="48" t="s">
        <v>1932</v>
      </c>
      <c r="B4747" s="38">
        <v>70318.0</v>
      </c>
      <c r="C4747" s="38" t="s">
        <v>7629</v>
      </c>
      <c r="D4747" s="38" t="str">
        <f>IFERROR(__xludf.DUMMYFUNCTION("REGEXREPLACE(C4747,""-\d+(.*)|--\d+(.*)"","""")"),"MAGNY-DANIGON")</f>
        <v>MAGNY-DANIGON</v>
      </c>
      <c r="E4747" s="38" t="s">
        <v>956</v>
      </c>
      <c r="F4747" s="38" t="s">
        <v>214</v>
      </c>
      <c r="G4747" s="49" t="str">
        <f t="shared" si="1"/>
        <v>70200</v>
      </c>
      <c r="H4747" s="49">
        <f t="shared" si="2"/>
        <v>70318</v>
      </c>
    </row>
    <row r="4748">
      <c r="A4748" s="48" t="s">
        <v>1270</v>
      </c>
      <c r="B4748" s="38">
        <v>57419.0</v>
      </c>
      <c r="C4748" s="38" t="s">
        <v>7630</v>
      </c>
      <c r="D4748" s="38" t="str">
        <f>IFERROR(__xludf.DUMMYFUNCTION("REGEXREPLACE(C4748,""-\d+(.*)|--\d+(.*)"","""")"),"LOUPERSHOUSE")</f>
        <v>LOUPERSHOUSE</v>
      </c>
      <c r="E4748" s="38" t="s">
        <v>303</v>
      </c>
      <c r="F4748" s="38" t="s">
        <v>195</v>
      </c>
      <c r="G4748" s="49" t="str">
        <f t="shared" si="1"/>
        <v>57510</v>
      </c>
      <c r="H4748" s="49">
        <f t="shared" si="2"/>
        <v>57419</v>
      </c>
    </row>
    <row r="4749">
      <c r="A4749" s="48" t="s">
        <v>7631</v>
      </c>
      <c r="B4749" s="38">
        <v>49191.0</v>
      </c>
      <c r="C4749" s="38" t="s">
        <v>7632</v>
      </c>
      <c r="D4749" s="38" t="str">
        <f>IFERROR(__xludf.DUMMYFUNCTION("REGEXREPLACE(C4749,""-\d+(.*)|--\d+(.*)"","""")"),"MARTIGNE-BRIAND")</f>
        <v>MARTIGNE-BRIAND</v>
      </c>
      <c r="E4749" s="38" t="s">
        <v>653</v>
      </c>
      <c r="F4749" s="38" t="s">
        <v>180</v>
      </c>
      <c r="G4749" s="49" t="str">
        <f t="shared" si="1"/>
        <v>49540</v>
      </c>
      <c r="H4749" s="49">
        <f t="shared" si="2"/>
        <v>49191</v>
      </c>
    </row>
    <row r="4750">
      <c r="A4750" s="48" t="s">
        <v>2413</v>
      </c>
      <c r="B4750" s="38">
        <v>72175.0</v>
      </c>
      <c r="C4750" s="38" t="s">
        <v>7633</v>
      </c>
      <c r="D4750" s="38" t="str">
        <f>IFERROR(__xludf.DUMMYFUNCTION("REGEXREPLACE(C4750,""-\d+(.*)|--\d+(.*)"","""")"),"LUCHE-PRINGE")</f>
        <v>LUCHE-PRINGE</v>
      </c>
      <c r="E4750" s="38" t="s">
        <v>521</v>
      </c>
      <c r="F4750" s="38" t="s">
        <v>180</v>
      </c>
      <c r="G4750" s="49" t="str">
        <f t="shared" si="1"/>
        <v>72800</v>
      </c>
      <c r="H4750" s="49">
        <f t="shared" si="2"/>
        <v>72175</v>
      </c>
    </row>
    <row r="4751">
      <c r="A4751" s="48" t="s">
        <v>3242</v>
      </c>
      <c r="B4751" s="38">
        <v>2117.0</v>
      </c>
      <c r="C4751" s="38" t="s">
        <v>7634</v>
      </c>
      <c r="D4751" s="38" t="str">
        <f>IFERROR(__xludf.DUMMYFUNCTION("REGEXREPLACE(C4751,""-\d+(.*)|--\d+(.*)"","""")"),"BRAY-SAINT-CHRISTOPHE")</f>
        <v>BRAY-SAINT-CHRISTOPHE</v>
      </c>
      <c r="E4751" s="38" t="s">
        <v>191</v>
      </c>
      <c r="F4751" s="38" t="s">
        <v>113</v>
      </c>
      <c r="G4751" s="49" t="str">
        <f t="shared" si="1"/>
        <v>02480</v>
      </c>
      <c r="H4751" s="49" t="str">
        <f t="shared" si="2"/>
        <v>02117</v>
      </c>
    </row>
    <row r="4752">
      <c r="A4752" s="48" t="s">
        <v>2549</v>
      </c>
      <c r="B4752" s="38">
        <v>55448.0</v>
      </c>
      <c r="C4752" s="38" t="s">
        <v>7635</v>
      </c>
      <c r="D4752" s="38" t="str">
        <f>IFERROR(__xludf.DUMMYFUNCTION("REGEXREPLACE(C4752,""-\d+(.*)|--\d+(.*)"","""")"),"RUPT-DEVANT-SAINT-MIHIEL")</f>
        <v>RUPT-DEVANT-SAINT-MIHIEL</v>
      </c>
      <c r="E4752" s="38" t="s">
        <v>322</v>
      </c>
      <c r="F4752" s="38" t="s">
        <v>195</v>
      </c>
      <c r="G4752" s="49" t="str">
        <f t="shared" si="1"/>
        <v>55260</v>
      </c>
      <c r="H4752" s="49">
        <f t="shared" si="2"/>
        <v>55448</v>
      </c>
    </row>
    <row r="4753">
      <c r="A4753" s="48" t="s">
        <v>2136</v>
      </c>
      <c r="B4753" s="38">
        <v>52053.0</v>
      </c>
      <c r="C4753" s="38" t="s">
        <v>7636</v>
      </c>
      <c r="D4753" s="38" t="str">
        <f>IFERROR(__xludf.DUMMYFUNCTION("REGEXREPLACE(C4753,""-\d+(.*)|--\d+(.*)"","""")"),"BLAISY")</f>
        <v>BLAISY</v>
      </c>
      <c r="E4753" s="38" t="s">
        <v>234</v>
      </c>
      <c r="F4753" s="38" t="s">
        <v>130</v>
      </c>
      <c r="G4753" s="49" t="str">
        <f t="shared" si="1"/>
        <v>52330</v>
      </c>
      <c r="H4753" s="49">
        <f t="shared" si="2"/>
        <v>52053</v>
      </c>
    </row>
    <row r="4754">
      <c r="A4754" s="48" t="s">
        <v>7637</v>
      </c>
      <c r="B4754" s="38">
        <v>51449.0</v>
      </c>
      <c r="C4754" s="38" t="s">
        <v>7638</v>
      </c>
      <c r="D4754" s="38" t="str">
        <f>IFERROR(__xludf.DUMMYFUNCTION("REGEXREPLACE(C4754,""-\d+(.*)|--\d+(.*)"","""")"),"PRUNAY")</f>
        <v>PRUNAY</v>
      </c>
      <c r="E4754" s="38" t="s">
        <v>129</v>
      </c>
      <c r="F4754" s="38" t="s">
        <v>130</v>
      </c>
      <c r="G4754" s="49" t="str">
        <f t="shared" si="1"/>
        <v>51360</v>
      </c>
      <c r="H4754" s="49">
        <f t="shared" si="2"/>
        <v>51449</v>
      </c>
    </row>
    <row r="4755">
      <c r="A4755" s="48" t="s">
        <v>7639</v>
      </c>
      <c r="B4755" s="38">
        <v>11243.0</v>
      </c>
      <c r="C4755" s="38" t="s">
        <v>7640</v>
      </c>
      <c r="D4755" s="38" t="str">
        <f>IFERROR(__xludf.DUMMYFUNCTION("REGEXREPLACE(C4755,""-\d+(.*)|--\d+(.*)"","""")"),"MONTFERRAND")</f>
        <v>MONTFERRAND</v>
      </c>
      <c r="E4755" s="38" t="s">
        <v>278</v>
      </c>
      <c r="F4755" s="38" t="s">
        <v>119</v>
      </c>
      <c r="G4755" s="49" t="str">
        <f t="shared" si="1"/>
        <v>11320</v>
      </c>
      <c r="H4755" s="49">
        <f t="shared" si="2"/>
        <v>11243</v>
      </c>
    </row>
    <row r="4756">
      <c r="A4756" s="48" t="s">
        <v>7641</v>
      </c>
      <c r="B4756" s="38">
        <v>3027.0</v>
      </c>
      <c r="C4756" s="38" t="s">
        <v>7642</v>
      </c>
      <c r="D4756" s="38" t="str">
        <f>IFERROR(__xludf.DUMMYFUNCTION("REGEXREPLACE(C4756,""-\d+(.*)|--\d+(.*)"","""")"),"BEZENET")</f>
        <v>BEZENET</v>
      </c>
      <c r="E4756" s="38" t="s">
        <v>160</v>
      </c>
      <c r="F4756" s="38" t="s">
        <v>161</v>
      </c>
      <c r="G4756" s="49" t="str">
        <f t="shared" si="1"/>
        <v>03170</v>
      </c>
      <c r="H4756" s="49" t="str">
        <f t="shared" si="2"/>
        <v>03027</v>
      </c>
    </row>
    <row r="4757">
      <c r="A4757" s="48" t="s">
        <v>7643</v>
      </c>
      <c r="B4757" s="38">
        <v>30122.0</v>
      </c>
      <c r="C4757" s="38" t="s">
        <v>7644</v>
      </c>
      <c r="D4757" s="38" t="str">
        <f>IFERROR(__xludf.DUMMYFUNCTION("REGEXREPLACE(C4757,""-\d+(.*)|--\d+(.*)"","""")"),"GAJAN")</f>
        <v>GAJAN</v>
      </c>
      <c r="E4757" s="38" t="s">
        <v>526</v>
      </c>
      <c r="F4757" s="38" t="s">
        <v>119</v>
      </c>
      <c r="G4757" s="49" t="str">
        <f t="shared" si="1"/>
        <v>30730</v>
      </c>
      <c r="H4757" s="49">
        <f t="shared" si="2"/>
        <v>30122</v>
      </c>
    </row>
    <row r="4758">
      <c r="A4758" s="48" t="s">
        <v>7645</v>
      </c>
      <c r="B4758" s="38">
        <v>34015.0</v>
      </c>
      <c r="C4758" s="38" t="s">
        <v>7646</v>
      </c>
      <c r="D4758" s="38" t="str">
        <f>IFERROR(__xludf.DUMMYFUNCTION("REGEXREPLACE(C4758,""-\d+(.*)|--\d+(.*)"","""")"),"ASSIGNAN")</f>
        <v>ASSIGNAN</v>
      </c>
      <c r="E4758" s="38" t="s">
        <v>118</v>
      </c>
      <c r="F4758" s="38" t="s">
        <v>119</v>
      </c>
      <c r="G4758" s="49" t="str">
        <f t="shared" si="1"/>
        <v>34360</v>
      </c>
      <c r="H4758" s="49">
        <f t="shared" si="2"/>
        <v>34015</v>
      </c>
    </row>
    <row r="4759">
      <c r="A4759" s="48" t="s">
        <v>7647</v>
      </c>
      <c r="B4759" s="38">
        <v>97230.0</v>
      </c>
      <c r="C4759" s="38" t="s">
        <v>7648</v>
      </c>
      <c r="D4759" s="38" t="str">
        <f>IFERROR(__xludf.DUMMYFUNCTION("REGEXREPLACE(C4759,""-\d+(.*)|--\d+(.*)"","""")"),"LA TRINITE")</f>
        <v>LA TRINITE</v>
      </c>
      <c r="E4759" s="38" t="s">
        <v>2282</v>
      </c>
      <c r="F4759" s="38" t="s">
        <v>2282</v>
      </c>
      <c r="G4759" s="49" t="str">
        <f t="shared" si="1"/>
        <v>97220</v>
      </c>
      <c r="H4759" s="49">
        <f t="shared" si="2"/>
        <v>97230</v>
      </c>
    </row>
    <row r="4760">
      <c r="A4760" s="48" t="s">
        <v>736</v>
      </c>
      <c r="B4760" s="38">
        <v>57554.0</v>
      </c>
      <c r="C4760" s="38" t="s">
        <v>7649</v>
      </c>
      <c r="D4760" s="38" t="str">
        <f>IFERROR(__xludf.DUMMYFUNCTION("REGEXREPLACE(C4760,""-\d+(.*)|--\d+(.*)"","""")"),"POURNOY-LA-GRASSE")</f>
        <v>POURNOY-LA-GRASSE</v>
      </c>
      <c r="E4760" s="38" t="s">
        <v>303</v>
      </c>
      <c r="F4760" s="38" t="s">
        <v>195</v>
      </c>
      <c r="G4760" s="49" t="str">
        <f t="shared" si="1"/>
        <v>57420</v>
      </c>
      <c r="H4760" s="49">
        <f t="shared" si="2"/>
        <v>57554</v>
      </c>
    </row>
    <row r="4761">
      <c r="A4761" s="48" t="s">
        <v>2427</v>
      </c>
      <c r="B4761" s="38">
        <v>47105.0</v>
      </c>
      <c r="C4761" s="38" t="s">
        <v>7650</v>
      </c>
      <c r="D4761" s="38" t="str">
        <f>IFERROR(__xludf.DUMMYFUNCTION("REGEXREPLACE(C4761,""-\d+(.*)|--\d+(.*)"","""")"),"FRESPECH")</f>
        <v>FRESPECH</v>
      </c>
      <c r="E4761" s="38" t="s">
        <v>251</v>
      </c>
      <c r="F4761" s="38" t="s">
        <v>252</v>
      </c>
      <c r="G4761" s="49" t="str">
        <f t="shared" si="1"/>
        <v>47140</v>
      </c>
      <c r="H4761" s="49">
        <f t="shared" si="2"/>
        <v>47105</v>
      </c>
    </row>
    <row r="4762">
      <c r="A4762" s="48" t="s">
        <v>4733</v>
      </c>
      <c r="B4762" s="38">
        <v>38156.0</v>
      </c>
      <c r="C4762" s="38" t="s">
        <v>7651</v>
      </c>
      <c r="D4762" s="38" t="str">
        <f>IFERROR(__xludf.DUMMYFUNCTION("REGEXREPLACE(C4762,""-\d+(.*)|--\d+(.*)"","""")"),"LES EPARRES")</f>
        <v>LES EPARRES</v>
      </c>
      <c r="E4762" s="38" t="s">
        <v>101</v>
      </c>
      <c r="F4762" s="38" t="s">
        <v>102</v>
      </c>
      <c r="G4762" s="49" t="str">
        <f t="shared" si="1"/>
        <v>38300</v>
      </c>
      <c r="H4762" s="49">
        <f t="shared" si="2"/>
        <v>38156</v>
      </c>
    </row>
    <row r="4763">
      <c r="A4763" s="48" t="s">
        <v>3761</v>
      </c>
      <c r="B4763" s="38">
        <v>50143.0</v>
      </c>
      <c r="C4763" s="38" t="s">
        <v>7652</v>
      </c>
      <c r="D4763" s="38" t="str">
        <f>IFERROR(__xludf.DUMMYFUNCTION("REGEXREPLACE(C4763,""-\d+(.*)|--\d+(.*)"","""")"),"COUDEVILLE-SUR-MER")</f>
        <v>COUDEVILLE-SUR-MER</v>
      </c>
      <c r="E4763" s="38" t="s">
        <v>157</v>
      </c>
      <c r="F4763" s="38" t="s">
        <v>138</v>
      </c>
      <c r="G4763" s="49" t="str">
        <f t="shared" si="1"/>
        <v>50290</v>
      </c>
      <c r="H4763" s="49">
        <f t="shared" si="2"/>
        <v>50143</v>
      </c>
    </row>
    <row r="4764">
      <c r="A4764" s="48" t="s">
        <v>2506</v>
      </c>
      <c r="B4764" s="38">
        <v>80132.0</v>
      </c>
      <c r="C4764" s="38" t="s">
        <v>7653</v>
      </c>
      <c r="D4764" s="38" t="str">
        <f>IFERROR(__xludf.DUMMYFUNCTION("REGEXREPLACE(C4764,""-\d+(.*)|--\d+(.*)"","""")"),"BRACHES")</f>
        <v>BRACHES</v>
      </c>
      <c r="E4764" s="38" t="s">
        <v>224</v>
      </c>
      <c r="F4764" s="38" t="s">
        <v>113</v>
      </c>
      <c r="G4764" s="49" t="str">
        <f t="shared" si="1"/>
        <v>80110</v>
      </c>
      <c r="H4764" s="49">
        <f t="shared" si="2"/>
        <v>80132</v>
      </c>
    </row>
    <row r="4765">
      <c r="A4765" s="48" t="s">
        <v>1108</v>
      </c>
      <c r="B4765" s="38">
        <v>27204.0</v>
      </c>
      <c r="C4765" s="38" t="s">
        <v>7654</v>
      </c>
      <c r="D4765" s="38" t="str">
        <f>IFERROR(__xludf.DUMMYFUNCTION("REGEXREPLACE(C4765,""-\d+(.*)|--\d+(.*)"","""")"),"DOUDEAUVILLE-EN-VEXIN")</f>
        <v>DOUDEAUVILLE-EN-VEXIN</v>
      </c>
      <c r="E4765" s="38" t="s">
        <v>241</v>
      </c>
      <c r="F4765" s="38" t="s">
        <v>134</v>
      </c>
      <c r="G4765" s="49" t="str">
        <f t="shared" si="1"/>
        <v>27150</v>
      </c>
      <c r="H4765" s="49">
        <f t="shared" si="2"/>
        <v>27204</v>
      </c>
    </row>
    <row r="4766">
      <c r="A4766" s="48" t="s">
        <v>7655</v>
      </c>
      <c r="B4766" s="38">
        <v>37219.0</v>
      </c>
      <c r="C4766" s="38" t="s">
        <v>7656</v>
      </c>
      <c r="D4766" s="38" t="str">
        <f>IFERROR(__xludf.DUMMYFUNCTION("REGEXREPLACE(C4766,""-\d+(.*)|--\d+(.*)"","""")"),"SAINT-GENOUPH")</f>
        <v>SAINT-GENOUPH</v>
      </c>
      <c r="E4766" s="38" t="s">
        <v>205</v>
      </c>
      <c r="F4766" s="38" t="s">
        <v>123</v>
      </c>
      <c r="G4766" s="49" t="str">
        <f t="shared" si="1"/>
        <v>37510</v>
      </c>
      <c r="H4766" s="49">
        <f t="shared" si="2"/>
        <v>37219</v>
      </c>
    </row>
    <row r="4767">
      <c r="A4767" s="48" t="s">
        <v>3339</v>
      </c>
      <c r="B4767" s="38">
        <v>67429.0</v>
      </c>
      <c r="C4767" s="38" t="s">
        <v>4772</v>
      </c>
      <c r="D4767" s="38" t="str">
        <f>IFERROR(__xludf.DUMMYFUNCTION("REGEXREPLACE(C4767,""-\d+(.*)|--\d+(.*)"","""")"),"SAINT-PIERRE")</f>
        <v>SAINT-PIERRE</v>
      </c>
      <c r="E4767" s="38" t="s">
        <v>210</v>
      </c>
      <c r="F4767" s="38" t="s">
        <v>151</v>
      </c>
      <c r="G4767" s="49" t="str">
        <f t="shared" si="1"/>
        <v>67140</v>
      </c>
      <c r="H4767" s="49">
        <f t="shared" si="2"/>
        <v>67429</v>
      </c>
    </row>
    <row r="4768">
      <c r="A4768" s="48" t="s">
        <v>7657</v>
      </c>
      <c r="B4768" s="38">
        <v>80495.0</v>
      </c>
      <c r="C4768" s="38" t="s">
        <v>7658</v>
      </c>
      <c r="D4768" s="38" t="str">
        <f>IFERROR(__xludf.DUMMYFUNCTION("REGEXREPLACE(C4768,""-\d+(.*)|--\d+(.*)"","""")"),"LUCHEUX")</f>
        <v>LUCHEUX</v>
      </c>
      <c r="E4768" s="38" t="s">
        <v>224</v>
      </c>
      <c r="F4768" s="38" t="s">
        <v>113</v>
      </c>
      <c r="G4768" s="49" t="str">
        <f t="shared" si="1"/>
        <v>80600</v>
      </c>
      <c r="H4768" s="49">
        <f t="shared" si="2"/>
        <v>80495</v>
      </c>
    </row>
    <row r="4769">
      <c r="A4769" s="48" t="s">
        <v>7659</v>
      </c>
      <c r="B4769" s="38">
        <v>53120.0</v>
      </c>
      <c r="C4769" s="38" t="s">
        <v>7660</v>
      </c>
      <c r="D4769" s="38" t="str">
        <f>IFERROR(__xludf.DUMMYFUNCTION("REGEXREPLACE(C4769,""-\d+(.*)|--\d+(.*)"","""")"),"IZE")</f>
        <v>IZE</v>
      </c>
      <c r="E4769" s="38" t="s">
        <v>518</v>
      </c>
      <c r="F4769" s="38" t="s">
        <v>180</v>
      </c>
      <c r="G4769" s="49" t="str">
        <f t="shared" si="1"/>
        <v>53160</v>
      </c>
      <c r="H4769" s="49">
        <f t="shared" si="2"/>
        <v>53120</v>
      </c>
    </row>
    <row r="4770">
      <c r="A4770" s="48" t="s">
        <v>1564</v>
      </c>
      <c r="B4770" s="38">
        <v>45033.0</v>
      </c>
      <c r="C4770" s="38" t="s">
        <v>7661</v>
      </c>
      <c r="D4770" s="38" t="str">
        <f>IFERROR(__xludf.DUMMYFUNCTION("REGEXREPLACE(C4770,""-\d+(.*)|--\d+(.*)"","""")"),"BOESSES")</f>
        <v>BOESSES</v>
      </c>
      <c r="E4770" s="38" t="s">
        <v>122</v>
      </c>
      <c r="F4770" s="38" t="s">
        <v>123</v>
      </c>
      <c r="G4770" s="49" t="str">
        <f t="shared" si="1"/>
        <v>45390</v>
      </c>
      <c r="H4770" s="49">
        <f t="shared" si="2"/>
        <v>45033</v>
      </c>
    </row>
    <row r="4771">
      <c r="A4771" s="48" t="s">
        <v>7662</v>
      </c>
      <c r="B4771" s="38">
        <v>72191.0</v>
      </c>
      <c r="C4771" s="38" t="s">
        <v>7663</v>
      </c>
      <c r="D4771" s="38" t="str">
        <f>IFERROR(__xludf.DUMMYFUNCTION("REGEXREPLACE(C4771,""-\d+(.*)|--\d+(.*)"","""")"),"MAYET")</f>
        <v>MAYET</v>
      </c>
      <c r="E4771" s="38" t="s">
        <v>521</v>
      </c>
      <c r="F4771" s="38" t="s">
        <v>180</v>
      </c>
      <c r="G4771" s="49" t="str">
        <f t="shared" si="1"/>
        <v>72360</v>
      </c>
      <c r="H4771" s="49">
        <f t="shared" si="2"/>
        <v>72191</v>
      </c>
    </row>
    <row r="4772">
      <c r="A4772" s="48" t="s">
        <v>1632</v>
      </c>
      <c r="B4772" s="38">
        <v>63052.0</v>
      </c>
      <c r="C4772" s="38" t="s">
        <v>7664</v>
      </c>
      <c r="D4772" s="38" t="str">
        <f>IFERROR(__xludf.DUMMYFUNCTION("REGEXREPLACE(C4772,""-\d+(.*)|--\d+(.*)"","""")"),"LE BREUIL-SUR-COUZE")</f>
        <v>LE BREUIL-SUR-COUZE</v>
      </c>
      <c r="E4772" s="38" t="s">
        <v>353</v>
      </c>
      <c r="F4772" s="38" t="s">
        <v>161</v>
      </c>
      <c r="G4772" s="49" t="str">
        <f t="shared" si="1"/>
        <v>63340</v>
      </c>
      <c r="H4772" s="49">
        <f t="shared" si="2"/>
        <v>63052</v>
      </c>
    </row>
    <row r="4773">
      <c r="A4773" s="48" t="s">
        <v>103</v>
      </c>
      <c r="B4773" s="38">
        <v>21342.0</v>
      </c>
      <c r="C4773" s="38" t="s">
        <v>7665</v>
      </c>
      <c r="D4773" s="38" t="str">
        <f>IFERROR(__xludf.DUMMYFUNCTION("REGEXREPLACE(C4773,""-\d+(.*)|--\d+(.*)"","""")"),"LAPERRIERE-SUR-SAONE")</f>
        <v>LAPERRIERE-SUR-SAONE</v>
      </c>
      <c r="E4773" s="38" t="s">
        <v>105</v>
      </c>
      <c r="F4773" s="38" t="s">
        <v>106</v>
      </c>
      <c r="G4773" s="49" t="str">
        <f t="shared" si="1"/>
        <v>21170</v>
      </c>
      <c r="H4773" s="49">
        <f t="shared" si="2"/>
        <v>21342</v>
      </c>
    </row>
    <row r="4774">
      <c r="A4774" s="48" t="s">
        <v>427</v>
      </c>
      <c r="B4774" s="38">
        <v>16359.0</v>
      </c>
      <c r="C4774" s="38" t="s">
        <v>7666</v>
      </c>
      <c r="D4774" s="38" t="str">
        <f>IFERROR(__xludf.DUMMYFUNCTION("REGEXREPLACE(C4774,""-\d+(.*)|--\d+(.*)"","""")"),"SALLES-D'ANGLES")</f>
        <v>SALLES-D'ANGLES</v>
      </c>
      <c r="E4774" s="38" t="s">
        <v>429</v>
      </c>
      <c r="F4774" s="38" t="s">
        <v>338</v>
      </c>
      <c r="G4774" s="49" t="str">
        <f t="shared" si="1"/>
        <v>16130</v>
      </c>
      <c r="H4774" s="49">
        <f t="shared" si="2"/>
        <v>16359</v>
      </c>
    </row>
    <row r="4775">
      <c r="A4775" s="48" t="s">
        <v>4682</v>
      </c>
      <c r="B4775" s="38">
        <v>50370.0</v>
      </c>
      <c r="C4775" s="38" t="s">
        <v>7667</v>
      </c>
      <c r="D4775" s="38" t="str">
        <f>IFERROR(__xludf.DUMMYFUNCTION("REGEXREPLACE(C4775,""-\d+(.*)|--\d+(.*)"","""")"),"NEHOU")</f>
        <v>NEHOU</v>
      </c>
      <c r="E4775" s="38" t="s">
        <v>157</v>
      </c>
      <c r="F4775" s="38" t="s">
        <v>138</v>
      </c>
      <c r="G4775" s="49" t="str">
        <f t="shared" si="1"/>
        <v>50390</v>
      </c>
      <c r="H4775" s="49">
        <f t="shared" si="2"/>
        <v>50370</v>
      </c>
    </row>
    <row r="4776">
      <c r="A4776" s="48" t="s">
        <v>423</v>
      </c>
      <c r="B4776" s="38">
        <v>2528.0</v>
      </c>
      <c r="C4776" s="38" t="s">
        <v>7668</v>
      </c>
      <c r="D4776" s="38" t="str">
        <f>IFERROR(__xludf.DUMMYFUNCTION("REGEXREPLACE(C4776,""-\d+(.*)|--\d+(.*)"","""")"),"MORTEFONTAINE")</f>
        <v>MORTEFONTAINE</v>
      </c>
      <c r="E4776" s="38" t="s">
        <v>191</v>
      </c>
      <c r="F4776" s="38" t="s">
        <v>113</v>
      </c>
      <c r="G4776" s="49" t="str">
        <f t="shared" si="1"/>
        <v>02600</v>
      </c>
      <c r="H4776" s="49" t="str">
        <f t="shared" si="2"/>
        <v>02528</v>
      </c>
    </row>
    <row r="4777">
      <c r="A4777" s="48" t="s">
        <v>1686</v>
      </c>
      <c r="B4777" s="38">
        <v>51038.0</v>
      </c>
      <c r="C4777" s="38" t="s">
        <v>7669</v>
      </c>
      <c r="D4777" s="38" t="str">
        <f>IFERROR(__xludf.DUMMYFUNCTION("REGEXREPLACE(C4777,""-\d+(.*)|--\d+(.*)"","""")"),"BASLIEUX-SOUS-CHATILLON")</f>
        <v>BASLIEUX-SOUS-CHATILLON</v>
      </c>
      <c r="E4777" s="38" t="s">
        <v>129</v>
      </c>
      <c r="F4777" s="38" t="s">
        <v>130</v>
      </c>
      <c r="G4777" s="49" t="str">
        <f t="shared" si="1"/>
        <v>51700</v>
      </c>
      <c r="H4777" s="49">
        <f t="shared" si="2"/>
        <v>51038</v>
      </c>
    </row>
    <row r="4778">
      <c r="A4778" s="48" t="s">
        <v>7670</v>
      </c>
      <c r="B4778" s="38">
        <v>88435.0</v>
      </c>
      <c r="C4778" s="38" t="s">
        <v>2361</v>
      </c>
      <c r="D4778" s="38" t="str">
        <f>IFERROR(__xludf.DUMMYFUNCTION("REGEXREPLACE(C4778,""-\d+(.*)|--\d+(.*)"","""")"),"SAINT-REMY")</f>
        <v>SAINT-REMY</v>
      </c>
      <c r="E4778" s="38" t="s">
        <v>194</v>
      </c>
      <c r="F4778" s="38" t="s">
        <v>195</v>
      </c>
      <c r="G4778" s="49" t="str">
        <f t="shared" si="1"/>
        <v>88480</v>
      </c>
      <c r="H4778" s="49">
        <f t="shared" si="2"/>
        <v>88435</v>
      </c>
    </row>
    <row r="4779">
      <c r="A4779" s="48" t="s">
        <v>6800</v>
      </c>
      <c r="B4779" s="38">
        <v>77305.0</v>
      </c>
      <c r="C4779" s="38" t="s">
        <v>7671</v>
      </c>
      <c r="D4779" s="38" t="str">
        <f>IFERROR(__xludf.DUMMYFUNCTION("REGEXREPLACE(C4779,""-\d+(.*)|--\d+(.*)"","""")"),"MONTEREAU-FAULT-YONNE")</f>
        <v>MONTEREAU-FAULT-YONNE</v>
      </c>
      <c r="E4779" s="38" t="s">
        <v>244</v>
      </c>
      <c r="F4779" s="38" t="s">
        <v>245</v>
      </c>
      <c r="G4779" s="49" t="str">
        <f t="shared" si="1"/>
        <v>77130</v>
      </c>
      <c r="H4779" s="49">
        <f t="shared" si="2"/>
        <v>77305</v>
      </c>
    </row>
    <row r="4780">
      <c r="A4780" s="48" t="s">
        <v>2234</v>
      </c>
      <c r="B4780" s="38">
        <v>30127.0</v>
      </c>
      <c r="C4780" s="38" t="s">
        <v>7672</v>
      </c>
      <c r="D4780" s="38" t="str">
        <f>IFERROR(__xludf.DUMMYFUNCTION("REGEXREPLACE(C4780,""-\d+(.*)|--\d+(.*)"","""")"),"GAUJAC")</f>
        <v>GAUJAC</v>
      </c>
      <c r="E4780" s="38" t="s">
        <v>526</v>
      </c>
      <c r="F4780" s="38" t="s">
        <v>119</v>
      </c>
      <c r="G4780" s="49" t="str">
        <f t="shared" si="1"/>
        <v>30330</v>
      </c>
      <c r="H4780" s="49">
        <f t="shared" si="2"/>
        <v>30127</v>
      </c>
    </row>
    <row r="4781">
      <c r="A4781" s="48" t="s">
        <v>7673</v>
      </c>
      <c r="B4781" s="38">
        <v>39453.0</v>
      </c>
      <c r="C4781" s="38" t="s">
        <v>7674</v>
      </c>
      <c r="D4781" s="38" t="str">
        <f>IFERROR(__xludf.DUMMYFUNCTION("REGEXREPLACE(C4781,""-\d+(.*)|--\d+(.*)"","""")"),"RAVILLOLES")</f>
        <v>RAVILLOLES</v>
      </c>
      <c r="E4781" s="38" t="s">
        <v>400</v>
      </c>
      <c r="F4781" s="38" t="s">
        <v>214</v>
      </c>
      <c r="G4781" s="49" t="str">
        <f t="shared" si="1"/>
        <v>39170</v>
      </c>
      <c r="H4781" s="49">
        <f t="shared" si="2"/>
        <v>39453</v>
      </c>
    </row>
    <row r="4782">
      <c r="A4782" s="48" t="s">
        <v>5555</v>
      </c>
      <c r="B4782" s="38">
        <v>82013.0</v>
      </c>
      <c r="C4782" s="38" t="s">
        <v>7675</v>
      </c>
      <c r="D4782" s="38" t="str">
        <f>IFERROR(__xludf.DUMMYFUNCTION("REGEXREPLACE(C4782,""-\d+(.*)|--\d+(.*)"","""")"),"BEAUMONT-DE-LOMAGNE")</f>
        <v>BEAUMONT-DE-LOMAGNE</v>
      </c>
      <c r="E4782" s="38" t="s">
        <v>570</v>
      </c>
      <c r="F4782" s="38" t="s">
        <v>94</v>
      </c>
      <c r="G4782" s="49" t="str">
        <f t="shared" si="1"/>
        <v>82500</v>
      </c>
      <c r="H4782" s="49">
        <f t="shared" si="2"/>
        <v>82013</v>
      </c>
    </row>
    <row r="4783">
      <c r="A4783" s="48" t="s">
        <v>7676</v>
      </c>
      <c r="B4783" s="38">
        <v>63068.0</v>
      </c>
      <c r="C4783" s="38" t="s">
        <v>7677</v>
      </c>
      <c r="D4783" s="38" t="str">
        <f>IFERROR(__xludf.DUMMYFUNCTION("REGEXREPLACE(C4783,""-\d+(.*)|--\d+(.*)"","""")"),"CELLULE")</f>
        <v>CELLULE</v>
      </c>
      <c r="E4783" s="38" t="s">
        <v>353</v>
      </c>
      <c r="F4783" s="38" t="s">
        <v>161</v>
      </c>
      <c r="G4783" s="49" t="str">
        <f t="shared" si="1"/>
        <v>63200</v>
      </c>
      <c r="H4783" s="49">
        <f t="shared" si="2"/>
        <v>63068</v>
      </c>
    </row>
    <row r="4784">
      <c r="A4784" s="48" t="s">
        <v>7678</v>
      </c>
      <c r="B4784" s="38">
        <v>10357.0</v>
      </c>
      <c r="C4784" s="38" t="s">
        <v>7679</v>
      </c>
      <c r="D4784" s="38" t="str">
        <f>IFERROR(__xludf.DUMMYFUNCTION("REGEXREPLACE(C4784,""-\d+(.*)|--\d+(.*)"","""")"),"SAINT-PARRES-AUX-TERTRES")</f>
        <v>SAINT-PARRES-AUX-TERTRES</v>
      </c>
      <c r="E4784" s="38" t="s">
        <v>147</v>
      </c>
      <c r="F4784" s="38" t="s">
        <v>130</v>
      </c>
      <c r="G4784" s="49" t="str">
        <f t="shared" si="1"/>
        <v>10410</v>
      </c>
      <c r="H4784" s="49">
        <f t="shared" si="2"/>
        <v>10357</v>
      </c>
    </row>
    <row r="4785">
      <c r="A4785" s="48" t="s">
        <v>7680</v>
      </c>
      <c r="B4785" s="38">
        <v>71314.0</v>
      </c>
      <c r="C4785" s="38" t="s">
        <v>7681</v>
      </c>
      <c r="D4785" s="38" t="str">
        <f>IFERROR(__xludf.DUMMYFUNCTION("REGEXREPLACE(C4785,""-\d+(.*)|--\d+(.*)"","""")"),"MONTJAY")</f>
        <v>MONTJAY</v>
      </c>
      <c r="E4785" s="38" t="s">
        <v>344</v>
      </c>
      <c r="F4785" s="38" t="s">
        <v>106</v>
      </c>
      <c r="G4785" s="49" t="str">
        <f t="shared" si="1"/>
        <v>71310</v>
      </c>
      <c r="H4785" s="49">
        <f t="shared" si="2"/>
        <v>71314</v>
      </c>
    </row>
    <row r="4786">
      <c r="A4786" s="48" t="s">
        <v>239</v>
      </c>
      <c r="B4786" s="38">
        <v>27055.0</v>
      </c>
      <c r="C4786" s="38" t="s">
        <v>7682</v>
      </c>
      <c r="D4786" s="38" t="str">
        <f>IFERROR(__xludf.DUMMYFUNCTION("REGEXREPLACE(C4786,""-\d+(.*)|--\d+(.*)"","""")"),"BERENGEVILLE-LA-CAMPAGNE")</f>
        <v>BERENGEVILLE-LA-CAMPAGNE</v>
      </c>
      <c r="E4786" s="38" t="s">
        <v>241</v>
      </c>
      <c r="F4786" s="38" t="s">
        <v>134</v>
      </c>
      <c r="G4786" s="49" t="str">
        <f t="shared" si="1"/>
        <v>27110</v>
      </c>
      <c r="H4786" s="49">
        <f t="shared" si="2"/>
        <v>27055</v>
      </c>
    </row>
    <row r="4787">
      <c r="A4787" s="48" t="s">
        <v>3519</v>
      </c>
      <c r="B4787" s="38">
        <v>15024.0</v>
      </c>
      <c r="C4787" s="38" t="s">
        <v>7683</v>
      </c>
      <c r="D4787" s="38" t="str">
        <f>IFERROR(__xludf.DUMMYFUNCTION("REGEXREPLACE(C4787,""-\d+(.*)|--\d+(.*)"","""")"),"BRAGEAC")</f>
        <v>BRAGEAC</v>
      </c>
      <c r="E4787" s="38" t="s">
        <v>632</v>
      </c>
      <c r="F4787" s="38" t="s">
        <v>161</v>
      </c>
      <c r="G4787" s="49" t="str">
        <f t="shared" si="1"/>
        <v>15700</v>
      </c>
      <c r="H4787" s="49">
        <f t="shared" si="2"/>
        <v>15024</v>
      </c>
    </row>
    <row r="4788">
      <c r="A4788" s="48" t="s">
        <v>7684</v>
      </c>
      <c r="B4788" s="38">
        <v>1312.0</v>
      </c>
      <c r="C4788" s="38" t="s">
        <v>7685</v>
      </c>
      <c r="D4788" s="38" t="str">
        <f>IFERROR(__xludf.DUMMYFUNCTION("REGEXREPLACE(C4788,""-\d+(.*)|--\d+(.*)"","""")"),"PRESSIAT")</f>
        <v>PRESSIAT</v>
      </c>
      <c r="E4788" s="38" t="s">
        <v>255</v>
      </c>
      <c r="F4788" s="38" t="s">
        <v>102</v>
      </c>
      <c r="G4788" s="49" t="str">
        <f t="shared" si="1"/>
        <v>01370</v>
      </c>
      <c r="H4788" s="49" t="str">
        <f t="shared" si="2"/>
        <v>01312</v>
      </c>
    </row>
    <row r="4789">
      <c r="A4789" s="48" t="s">
        <v>1654</v>
      </c>
      <c r="B4789" s="38">
        <v>72288.0</v>
      </c>
      <c r="C4789" s="38" t="s">
        <v>7686</v>
      </c>
      <c r="D4789" s="38" t="str">
        <f>IFERROR(__xludf.DUMMYFUNCTION("REGEXREPLACE(C4789,""-\d+(.*)|--\d+(.*)"","""")"),"SAINT-HILAIRE-LE-LIERRU")</f>
        <v>SAINT-HILAIRE-LE-LIERRU</v>
      </c>
      <c r="E4789" s="38" t="s">
        <v>521</v>
      </c>
      <c r="F4789" s="38" t="s">
        <v>180</v>
      </c>
      <c r="G4789" s="49" t="str">
        <f t="shared" si="1"/>
        <v>72160</v>
      </c>
      <c r="H4789" s="49">
        <f t="shared" si="2"/>
        <v>72288</v>
      </c>
    </row>
    <row r="4790">
      <c r="A4790" s="48" t="s">
        <v>1112</v>
      </c>
      <c r="B4790" s="38">
        <v>18187.0</v>
      </c>
      <c r="C4790" s="38" t="s">
        <v>7687</v>
      </c>
      <c r="D4790" s="38" t="str">
        <f>IFERROR(__xludf.DUMMYFUNCTION("REGEXREPLACE(C4790,""-\d+(.*)|--\d+(.*)"","""")"),"PREVERANGES")</f>
        <v>PREVERANGES</v>
      </c>
      <c r="E4790" s="38" t="s">
        <v>504</v>
      </c>
      <c r="F4790" s="38" t="s">
        <v>123</v>
      </c>
      <c r="G4790" s="49" t="str">
        <f t="shared" si="1"/>
        <v>18370</v>
      </c>
      <c r="H4790" s="49">
        <f t="shared" si="2"/>
        <v>18187</v>
      </c>
    </row>
    <row r="4791">
      <c r="A4791" s="48" t="s">
        <v>1402</v>
      </c>
      <c r="B4791" s="38">
        <v>44032.0</v>
      </c>
      <c r="C4791" s="38" t="s">
        <v>7688</v>
      </c>
      <c r="D4791" s="38" t="str">
        <f>IFERROR(__xludf.DUMMYFUNCTION("REGEXREPLACE(C4791,""-\d+(.*)|--\d+(.*)"","""")"),"LA CHAPELLE-HEULIN")</f>
        <v>LA CHAPELLE-HEULIN</v>
      </c>
      <c r="E4791" s="38" t="s">
        <v>759</v>
      </c>
      <c r="F4791" s="38" t="s">
        <v>180</v>
      </c>
      <c r="G4791" s="49" t="str">
        <f t="shared" si="1"/>
        <v>44330</v>
      </c>
      <c r="H4791" s="49">
        <f t="shared" si="2"/>
        <v>44032</v>
      </c>
    </row>
    <row r="4792">
      <c r="A4792" s="48" t="s">
        <v>7689</v>
      </c>
      <c r="B4792" s="38">
        <v>61033.0</v>
      </c>
      <c r="C4792" s="38" t="s">
        <v>7690</v>
      </c>
      <c r="D4792" s="38" t="str">
        <f>IFERROR(__xludf.DUMMYFUNCTION("REGEXREPLACE(C4792,""-\d+(.*)|--\d+(.*)"","""")"),"BEAULANDAIS")</f>
        <v>BEAULANDAIS</v>
      </c>
      <c r="E4792" s="38" t="s">
        <v>141</v>
      </c>
      <c r="F4792" s="38" t="s">
        <v>138</v>
      </c>
      <c r="G4792" s="49" t="str">
        <f t="shared" si="1"/>
        <v>61140</v>
      </c>
      <c r="H4792" s="49">
        <f t="shared" si="2"/>
        <v>61033</v>
      </c>
    </row>
    <row r="4793">
      <c r="A4793" s="48" t="s">
        <v>1885</v>
      </c>
      <c r="B4793" s="38">
        <v>27042.0</v>
      </c>
      <c r="C4793" s="38" t="s">
        <v>7691</v>
      </c>
      <c r="D4793" s="38" t="str">
        <f>IFERROR(__xludf.DUMMYFUNCTION("REGEXREPLACE(C4793,""-\d+(.*)|--\d+(.*)"","""")"),"BARVILLE")</f>
        <v>BARVILLE</v>
      </c>
      <c r="E4793" s="38" t="s">
        <v>241</v>
      </c>
      <c r="F4793" s="38" t="s">
        <v>134</v>
      </c>
      <c r="G4793" s="49" t="str">
        <f t="shared" si="1"/>
        <v>27230</v>
      </c>
      <c r="H4793" s="49">
        <f t="shared" si="2"/>
        <v>27042</v>
      </c>
    </row>
    <row r="4794">
      <c r="A4794" s="48" t="s">
        <v>2668</v>
      </c>
      <c r="B4794" s="38">
        <v>55146.0</v>
      </c>
      <c r="C4794" s="38" t="s">
        <v>7692</v>
      </c>
      <c r="D4794" s="38" t="str">
        <f>IFERROR(__xludf.DUMMYFUNCTION("REGEXREPLACE(C4794,""-\d+(.*)|--\d+(.*)"","""")"),"DANNEVOUX")</f>
        <v>DANNEVOUX</v>
      </c>
      <c r="E4794" s="38" t="s">
        <v>322</v>
      </c>
      <c r="F4794" s="38" t="s">
        <v>195</v>
      </c>
      <c r="G4794" s="49" t="str">
        <f t="shared" si="1"/>
        <v>55110</v>
      </c>
      <c r="H4794" s="49">
        <f t="shared" si="2"/>
        <v>55146</v>
      </c>
    </row>
    <row r="4795">
      <c r="A4795" s="48" t="s">
        <v>5142</v>
      </c>
      <c r="B4795" s="38">
        <v>58293.0</v>
      </c>
      <c r="C4795" s="38" t="s">
        <v>7693</v>
      </c>
      <c r="D4795" s="38" t="str">
        <f>IFERROR(__xludf.DUMMYFUNCTION("REGEXREPLACE(C4795,""-\d+(.*)|--\d+(.*)"","""")"),"TOURY-LURCY")</f>
        <v>TOURY-LURCY</v>
      </c>
      <c r="E4795" s="38" t="s">
        <v>219</v>
      </c>
      <c r="F4795" s="38" t="s">
        <v>106</v>
      </c>
      <c r="G4795" s="49" t="str">
        <f t="shared" si="1"/>
        <v>58300</v>
      </c>
      <c r="H4795" s="49">
        <f t="shared" si="2"/>
        <v>58293</v>
      </c>
    </row>
    <row r="4796">
      <c r="A4796" s="48" t="s">
        <v>425</v>
      </c>
      <c r="B4796" s="38">
        <v>88145.0</v>
      </c>
      <c r="C4796" s="38" t="s">
        <v>7694</v>
      </c>
      <c r="D4796" s="38" t="str">
        <f>IFERROR(__xludf.DUMMYFUNCTION("REGEXREPLACE(C4796,""-\d+(.*)|--\d+(.*)"","""")"),"DOMFAING")</f>
        <v>DOMFAING</v>
      </c>
      <c r="E4796" s="38" t="s">
        <v>194</v>
      </c>
      <c r="F4796" s="38" t="s">
        <v>195</v>
      </c>
      <c r="G4796" s="49" t="str">
        <f t="shared" si="1"/>
        <v>88600</v>
      </c>
      <c r="H4796" s="49">
        <f t="shared" si="2"/>
        <v>88145</v>
      </c>
    </row>
    <row r="4797">
      <c r="A4797" s="48" t="s">
        <v>2571</v>
      </c>
      <c r="B4797" s="38">
        <v>61085.0</v>
      </c>
      <c r="C4797" s="38" t="s">
        <v>7695</v>
      </c>
      <c r="D4797" s="38" t="str">
        <f>IFERROR(__xludf.DUMMYFUNCTION("REGEXREPLACE(C4797,""-\d+(.*)|--\d+(.*)"","""")"),"LE CHAMP-DE-LA-PIERRE")</f>
        <v>LE CHAMP-DE-LA-PIERRE</v>
      </c>
      <c r="E4797" s="38" t="s">
        <v>141</v>
      </c>
      <c r="F4797" s="38" t="s">
        <v>138</v>
      </c>
      <c r="G4797" s="49" t="str">
        <f t="shared" si="1"/>
        <v>61320</v>
      </c>
      <c r="H4797" s="49">
        <f t="shared" si="2"/>
        <v>61085</v>
      </c>
    </row>
    <row r="4798">
      <c r="A4798" s="48" t="s">
        <v>1686</v>
      </c>
      <c r="B4798" s="38">
        <v>51346.0</v>
      </c>
      <c r="C4798" s="38" t="s">
        <v>7696</v>
      </c>
      <c r="D4798" s="38" t="str">
        <f>IFERROR(__xludf.DUMMYFUNCTION("REGEXREPLACE(C4798,""-\d+(.*)|--\d+(.*)"","""")"),"MAREUIL-LE-PORT")</f>
        <v>MAREUIL-LE-PORT</v>
      </c>
      <c r="E4798" s="38" t="s">
        <v>129</v>
      </c>
      <c r="F4798" s="38" t="s">
        <v>130</v>
      </c>
      <c r="G4798" s="49" t="str">
        <f t="shared" si="1"/>
        <v>51700</v>
      </c>
      <c r="H4798" s="49">
        <f t="shared" si="2"/>
        <v>51346</v>
      </c>
    </row>
    <row r="4799">
      <c r="A4799" s="48" t="s">
        <v>785</v>
      </c>
      <c r="B4799" s="38">
        <v>33481.0</v>
      </c>
      <c r="C4799" s="38" t="s">
        <v>7697</v>
      </c>
      <c r="D4799" s="38" t="str">
        <f>IFERROR(__xludf.DUMMYFUNCTION("REGEXREPLACE(C4799,""-\d+(.*)|--\d+(.*)"","""")"),"SAINT-SULPICE-DE-GUILLERAGUES")</f>
        <v>SAINT-SULPICE-DE-GUILLERAGUES</v>
      </c>
      <c r="E4799" s="38" t="s">
        <v>462</v>
      </c>
      <c r="F4799" s="38" t="s">
        <v>252</v>
      </c>
      <c r="G4799" s="49" t="str">
        <f t="shared" si="1"/>
        <v>33580</v>
      </c>
      <c r="H4799" s="49">
        <f t="shared" si="2"/>
        <v>33481</v>
      </c>
    </row>
    <row r="4800">
      <c r="A4800" s="48" t="s">
        <v>3364</v>
      </c>
      <c r="B4800" s="38">
        <v>62495.0</v>
      </c>
      <c r="C4800" s="38" t="s">
        <v>7698</v>
      </c>
      <c r="D4800" s="38" t="str">
        <f>IFERROR(__xludf.DUMMYFUNCTION("REGEXREPLACE(C4800,""-\d+(.*)|--\d+(.*)"","""")"),"LEDINGHEM")</f>
        <v>LEDINGHEM</v>
      </c>
      <c r="E4800" s="38" t="s">
        <v>109</v>
      </c>
      <c r="F4800" s="38" t="s">
        <v>86</v>
      </c>
      <c r="G4800" s="49" t="str">
        <f t="shared" si="1"/>
        <v>62380</v>
      </c>
      <c r="H4800" s="49">
        <f t="shared" si="2"/>
        <v>62495</v>
      </c>
    </row>
    <row r="4801">
      <c r="A4801" s="48" t="s">
        <v>4697</v>
      </c>
      <c r="B4801" s="38">
        <v>67249.0</v>
      </c>
      <c r="C4801" s="38" t="s">
        <v>7699</v>
      </c>
      <c r="D4801" s="38" t="str">
        <f>IFERROR(__xludf.DUMMYFUNCTION("REGEXREPLACE(C4801,""-\d+(.*)|--\d+(.*)"","""")"),"KRAUTWILLER")</f>
        <v>KRAUTWILLER</v>
      </c>
      <c r="E4801" s="38" t="s">
        <v>210</v>
      </c>
      <c r="F4801" s="38" t="s">
        <v>151</v>
      </c>
      <c r="G4801" s="49" t="str">
        <f t="shared" si="1"/>
        <v>67170</v>
      </c>
      <c r="H4801" s="49">
        <f t="shared" si="2"/>
        <v>67249</v>
      </c>
    </row>
    <row r="4802">
      <c r="A4802" s="48" t="s">
        <v>7700</v>
      </c>
      <c r="B4802" s="38">
        <v>23027.0</v>
      </c>
      <c r="C4802" s="38" t="s">
        <v>7701</v>
      </c>
      <c r="D4802" s="38" t="str">
        <f>IFERROR(__xludf.DUMMYFUNCTION("REGEXREPLACE(C4802,""-\d+(.*)|--\d+(.*)"","""")"),"BOSMOREAU-LES-MINES")</f>
        <v>BOSMOREAU-LES-MINES</v>
      </c>
      <c r="E4802" s="38" t="s">
        <v>97</v>
      </c>
      <c r="F4802" s="38" t="s">
        <v>98</v>
      </c>
      <c r="G4802" s="49" t="str">
        <f t="shared" si="1"/>
        <v>23400</v>
      </c>
      <c r="H4802" s="49">
        <f t="shared" si="2"/>
        <v>23027</v>
      </c>
    </row>
    <row r="4803">
      <c r="A4803" s="48" t="s">
        <v>7702</v>
      </c>
      <c r="B4803" s="38">
        <v>57210.0</v>
      </c>
      <c r="C4803" s="38" t="s">
        <v>7703</v>
      </c>
      <c r="D4803" s="38" t="str">
        <f>IFERROR(__xludf.DUMMYFUNCTION("REGEXREPLACE(C4803,""-\d+(.*)|--\d+(.*)"","""")"),"FENETRANGE")</f>
        <v>FENETRANGE</v>
      </c>
      <c r="E4803" s="38" t="s">
        <v>303</v>
      </c>
      <c r="F4803" s="38" t="s">
        <v>195</v>
      </c>
      <c r="G4803" s="49" t="str">
        <f t="shared" si="1"/>
        <v>57930</v>
      </c>
      <c r="H4803" s="49">
        <f t="shared" si="2"/>
        <v>57210</v>
      </c>
    </row>
    <row r="4804">
      <c r="A4804" s="48" t="s">
        <v>7527</v>
      </c>
      <c r="B4804" s="38">
        <v>29243.0</v>
      </c>
      <c r="C4804" s="38" t="s">
        <v>7704</v>
      </c>
      <c r="D4804" s="38" t="str">
        <f>IFERROR(__xludf.DUMMYFUNCTION("REGEXREPLACE(C4804,""-\d+(.*)|--\d+(.*)"","""")"),"SAINT-COULITZ")</f>
        <v>SAINT-COULITZ</v>
      </c>
      <c r="E4804" s="38" t="s">
        <v>176</v>
      </c>
      <c r="F4804" s="38" t="s">
        <v>90</v>
      </c>
      <c r="G4804" s="49" t="str">
        <f t="shared" si="1"/>
        <v>29150</v>
      </c>
      <c r="H4804" s="49">
        <f t="shared" si="2"/>
        <v>29243</v>
      </c>
    </row>
    <row r="4805">
      <c r="A4805" s="48" t="s">
        <v>6023</v>
      </c>
      <c r="B4805" s="38">
        <v>63083.0</v>
      </c>
      <c r="C4805" s="38" t="s">
        <v>7705</v>
      </c>
      <c r="D4805" s="38" t="str">
        <f>IFERROR(__xludf.DUMMYFUNCTION("REGEXREPLACE(C4805,""-\d+(.*)|--\d+(.*)"","""")"),"CHANAT-LA-MOUTEYRE")</f>
        <v>CHANAT-LA-MOUTEYRE</v>
      </c>
      <c r="E4805" s="38" t="s">
        <v>353</v>
      </c>
      <c r="F4805" s="38" t="s">
        <v>161</v>
      </c>
      <c r="G4805" s="49" t="str">
        <f t="shared" si="1"/>
        <v>63530</v>
      </c>
      <c r="H4805" s="49">
        <f t="shared" si="2"/>
        <v>63083</v>
      </c>
    </row>
    <row r="4806">
      <c r="A4806" s="48" t="s">
        <v>7706</v>
      </c>
      <c r="B4806" s="38">
        <v>59488.0</v>
      </c>
      <c r="C4806" s="38" t="s">
        <v>7707</v>
      </c>
      <c r="D4806" s="38" t="str">
        <f>IFERROR(__xludf.DUMMYFUNCTION("REGEXREPLACE(C4806,""-\d+(.*)|--\d+(.*)"","""")"),"RAILLENCOURT-SAINTE-OLLE")</f>
        <v>RAILLENCOURT-SAINTE-OLLE</v>
      </c>
      <c r="E4806" s="38" t="s">
        <v>85</v>
      </c>
      <c r="F4806" s="38" t="s">
        <v>86</v>
      </c>
      <c r="G4806" s="49" t="str">
        <f t="shared" si="1"/>
        <v>59554</v>
      </c>
      <c r="H4806" s="49">
        <f t="shared" si="2"/>
        <v>59488</v>
      </c>
    </row>
    <row r="4807">
      <c r="A4807" s="48" t="s">
        <v>3161</v>
      </c>
      <c r="B4807" s="38">
        <v>70442.0</v>
      </c>
      <c r="C4807" s="38" t="s">
        <v>7708</v>
      </c>
      <c r="D4807" s="38" t="str">
        <f>IFERROR(__xludf.DUMMYFUNCTION("REGEXREPLACE(C4807,""-\d+(.*)|--\d+(.*)"","""")"),"RENAUCOURT")</f>
        <v>RENAUCOURT</v>
      </c>
      <c r="E4807" s="38" t="s">
        <v>956</v>
      </c>
      <c r="F4807" s="38" t="s">
        <v>214</v>
      </c>
      <c r="G4807" s="49" t="str">
        <f t="shared" si="1"/>
        <v>70120</v>
      </c>
      <c r="H4807" s="49">
        <f t="shared" si="2"/>
        <v>70442</v>
      </c>
    </row>
    <row r="4808">
      <c r="A4808" s="48" t="s">
        <v>3804</v>
      </c>
      <c r="B4808" s="38">
        <v>80432.0</v>
      </c>
      <c r="C4808" s="38" t="s">
        <v>7709</v>
      </c>
      <c r="D4808" s="38" t="str">
        <f>IFERROR(__xludf.DUMMYFUNCTION("REGEXREPLACE(C4808,""-\d+(.*)|--\d+(.*)"","""")"),"HERLEVILLE")</f>
        <v>HERLEVILLE</v>
      </c>
      <c r="E4808" s="38" t="s">
        <v>224</v>
      </c>
      <c r="F4808" s="38" t="s">
        <v>113</v>
      </c>
      <c r="G4808" s="49" t="str">
        <f t="shared" si="1"/>
        <v>80340</v>
      </c>
      <c r="H4808" s="49">
        <f t="shared" si="2"/>
        <v>80432</v>
      </c>
    </row>
    <row r="4809">
      <c r="A4809" s="48" t="s">
        <v>484</v>
      </c>
      <c r="B4809" s="38">
        <v>16056.0</v>
      </c>
      <c r="C4809" s="38" t="s">
        <v>7710</v>
      </c>
      <c r="D4809" s="38" t="str">
        <f>IFERROR(__xludf.DUMMYFUNCTION("REGEXREPLACE(C4809,""-\d+(.*)|--\d+(.*)"","""")"),"BOURG-CHARENTE")</f>
        <v>BOURG-CHARENTE</v>
      </c>
      <c r="E4809" s="38" t="s">
        <v>429</v>
      </c>
      <c r="F4809" s="38" t="s">
        <v>338</v>
      </c>
      <c r="G4809" s="49" t="str">
        <f t="shared" si="1"/>
        <v>16200</v>
      </c>
      <c r="H4809" s="49">
        <f t="shared" si="2"/>
        <v>16056</v>
      </c>
    </row>
    <row r="4810">
      <c r="A4810" s="48" t="s">
        <v>1754</v>
      </c>
      <c r="B4810" s="38">
        <v>14450.0</v>
      </c>
      <c r="C4810" s="38" t="s">
        <v>7711</v>
      </c>
      <c r="D4810" s="38" t="str">
        <f>IFERROR(__xludf.DUMMYFUNCTION("REGEXREPLACE(C4810,""-\d+(.*)|--\d+(.*)"","""")"),"MONTVIETTE")</f>
        <v>MONTVIETTE</v>
      </c>
      <c r="E4810" s="38" t="s">
        <v>137</v>
      </c>
      <c r="F4810" s="38" t="s">
        <v>138</v>
      </c>
      <c r="G4810" s="49" t="str">
        <f t="shared" si="1"/>
        <v>14140</v>
      </c>
      <c r="H4810" s="49">
        <f t="shared" si="2"/>
        <v>14450</v>
      </c>
    </row>
    <row r="4811">
      <c r="A4811" s="48" t="s">
        <v>7712</v>
      </c>
      <c r="B4811" s="38">
        <v>9272.0</v>
      </c>
      <c r="C4811" s="38" t="s">
        <v>7713</v>
      </c>
      <c r="D4811" s="38" t="str">
        <f>IFERROR(__xludf.DUMMYFUNCTION("REGEXREPLACE(C4811,""-\d+(.*)|--\d+(.*)"","""")"),"SAINT-PAUL-DE-JARRAT")</f>
        <v>SAINT-PAUL-DE-JARRAT</v>
      </c>
      <c r="E4811" s="38" t="s">
        <v>238</v>
      </c>
      <c r="F4811" s="38" t="s">
        <v>94</v>
      </c>
      <c r="G4811" s="49" t="str">
        <f t="shared" si="1"/>
        <v>09000</v>
      </c>
      <c r="H4811" s="49" t="str">
        <f t="shared" si="2"/>
        <v>09272</v>
      </c>
    </row>
    <row r="4812">
      <c r="A4812" s="48" t="s">
        <v>4706</v>
      </c>
      <c r="B4812" s="38">
        <v>74237.0</v>
      </c>
      <c r="C4812" s="38" t="s">
        <v>7714</v>
      </c>
      <c r="D4812" s="38" t="str">
        <f>IFERROR(__xludf.DUMMYFUNCTION("REGEXREPLACE(C4812,""-\d+(.*)|--\d+(.*)"","""")"),"SAINT-GINGOLPH")</f>
        <v>SAINT-GINGOLPH</v>
      </c>
      <c r="E4812" s="38" t="s">
        <v>319</v>
      </c>
      <c r="F4812" s="38" t="s">
        <v>102</v>
      </c>
      <c r="G4812" s="49" t="str">
        <f t="shared" si="1"/>
        <v>74500</v>
      </c>
      <c r="H4812" s="49">
        <f t="shared" si="2"/>
        <v>74237</v>
      </c>
    </row>
    <row r="4813">
      <c r="A4813" s="48" t="s">
        <v>885</v>
      </c>
      <c r="B4813" s="38">
        <v>71320.0</v>
      </c>
      <c r="C4813" s="38" t="s">
        <v>7715</v>
      </c>
      <c r="D4813" s="38" t="str">
        <f>IFERROR(__xludf.DUMMYFUNCTION("REGEXREPLACE(C4813,""-\d+(.*)|--\d+(.*)"","""")"),"MONT-SAINT-VINCENT")</f>
        <v>MONT-SAINT-VINCENT</v>
      </c>
      <c r="E4813" s="38" t="s">
        <v>344</v>
      </c>
      <c r="F4813" s="38" t="s">
        <v>106</v>
      </c>
      <c r="G4813" s="49" t="str">
        <f t="shared" si="1"/>
        <v>71300</v>
      </c>
      <c r="H4813" s="49">
        <f t="shared" si="2"/>
        <v>71320</v>
      </c>
    </row>
    <row r="4814">
      <c r="A4814" s="48" t="s">
        <v>480</v>
      </c>
      <c r="B4814" s="38">
        <v>3147.0</v>
      </c>
      <c r="C4814" s="38" t="s">
        <v>7716</v>
      </c>
      <c r="D4814" s="38" t="str">
        <f>IFERROR(__xludf.DUMMYFUNCTION("REGEXREPLACE(C4814,""-\d+(.*)|--\d+(.*)"","""")"),"LODDES")</f>
        <v>LODDES</v>
      </c>
      <c r="E4814" s="38" t="s">
        <v>160</v>
      </c>
      <c r="F4814" s="38" t="s">
        <v>161</v>
      </c>
      <c r="G4814" s="49" t="str">
        <f t="shared" si="1"/>
        <v>03130</v>
      </c>
      <c r="H4814" s="49" t="str">
        <f t="shared" si="2"/>
        <v>03147</v>
      </c>
    </row>
    <row r="4815">
      <c r="A4815" s="48" t="s">
        <v>1305</v>
      </c>
      <c r="B4815" s="38">
        <v>36059.0</v>
      </c>
      <c r="C4815" s="38" t="s">
        <v>7717</v>
      </c>
      <c r="D4815" s="38" t="str">
        <f>IFERROR(__xludf.DUMMYFUNCTION("REGEXREPLACE(C4815,""-\d+(.*)|--\d+(.*)"","""")"),"CONDE")</f>
        <v>CONDE</v>
      </c>
      <c r="E4815" s="38" t="s">
        <v>258</v>
      </c>
      <c r="F4815" s="38" t="s">
        <v>123</v>
      </c>
      <c r="G4815" s="49" t="str">
        <f t="shared" si="1"/>
        <v>36100</v>
      </c>
      <c r="H4815" s="49">
        <f t="shared" si="2"/>
        <v>36059</v>
      </c>
    </row>
    <row r="4816">
      <c r="A4816" s="48" t="s">
        <v>2742</v>
      </c>
      <c r="B4816" s="38">
        <v>57321.0</v>
      </c>
      <c r="C4816" s="38" t="s">
        <v>7718</v>
      </c>
      <c r="D4816" s="38" t="str">
        <f>IFERROR(__xludf.DUMMYFUNCTION("REGEXREPLACE(C4816,""-\d+(.*)|--\d+(.*)"","""")"),"HESSE")</f>
        <v>HESSE</v>
      </c>
      <c r="E4816" s="38" t="s">
        <v>303</v>
      </c>
      <c r="F4816" s="38" t="s">
        <v>195</v>
      </c>
      <c r="G4816" s="49" t="str">
        <f t="shared" si="1"/>
        <v>57400</v>
      </c>
      <c r="H4816" s="49">
        <f t="shared" si="2"/>
        <v>57321</v>
      </c>
    </row>
    <row r="4817">
      <c r="A4817" s="48" t="s">
        <v>3426</v>
      </c>
      <c r="B4817" s="38">
        <v>57357.0</v>
      </c>
      <c r="C4817" s="38" t="s">
        <v>7719</v>
      </c>
      <c r="D4817" s="38" t="str">
        <f>IFERROR(__xludf.DUMMYFUNCTION("REGEXREPLACE(C4817,""-\d+(.*)|--\d+(.*)"","""")"),"KAPPELKINGER")</f>
        <v>KAPPELKINGER</v>
      </c>
      <c r="E4817" s="38" t="s">
        <v>303</v>
      </c>
      <c r="F4817" s="38" t="s">
        <v>195</v>
      </c>
      <c r="G4817" s="49" t="str">
        <f t="shared" si="1"/>
        <v>57430</v>
      </c>
      <c r="H4817" s="49">
        <f t="shared" si="2"/>
        <v>57357</v>
      </c>
    </row>
    <row r="4818">
      <c r="A4818" s="48" t="s">
        <v>7684</v>
      </c>
      <c r="B4818" s="38">
        <v>1038.0</v>
      </c>
      <c r="C4818" s="38" t="s">
        <v>7720</v>
      </c>
      <c r="D4818" s="38" t="str">
        <f>IFERROR(__xludf.DUMMYFUNCTION("REGEXREPLACE(C4818,""-\d+(.*)|--\d+(.*)"","""")"),"BENY")</f>
        <v>BENY</v>
      </c>
      <c r="E4818" s="38" t="s">
        <v>255</v>
      </c>
      <c r="F4818" s="38" t="s">
        <v>102</v>
      </c>
      <c r="G4818" s="49" t="str">
        <f t="shared" si="1"/>
        <v>01370</v>
      </c>
      <c r="H4818" s="49" t="str">
        <f t="shared" si="2"/>
        <v>01038</v>
      </c>
    </row>
    <row r="4819">
      <c r="A4819" s="48" t="s">
        <v>3502</v>
      </c>
      <c r="B4819" s="38">
        <v>22091.0</v>
      </c>
      <c r="C4819" s="38" t="s">
        <v>7721</v>
      </c>
      <c r="D4819" s="38" t="str">
        <f>IFERROR(__xludf.DUMMYFUNCTION("REGEXREPLACE(C4819,""-\d+(.*)|--\d+(.*)"","""")"),"KERMOROC'H")</f>
        <v>KERMOROC'H</v>
      </c>
      <c r="E4819" s="38" t="s">
        <v>89</v>
      </c>
      <c r="F4819" s="38" t="s">
        <v>90</v>
      </c>
      <c r="G4819" s="49" t="str">
        <f t="shared" si="1"/>
        <v>22140</v>
      </c>
      <c r="H4819" s="49">
        <f t="shared" si="2"/>
        <v>22091</v>
      </c>
    </row>
    <row r="4820">
      <c r="A4820" s="48" t="s">
        <v>7722</v>
      </c>
      <c r="B4820" s="38">
        <v>25555.0</v>
      </c>
      <c r="C4820" s="38" t="s">
        <v>7723</v>
      </c>
      <c r="D4820" s="38" t="str">
        <f>IFERROR(__xludf.DUMMYFUNCTION("REGEXREPLACE(C4820,""-\d+(.*)|--\d+(.*)"","""")"),"TAILLECOURT")</f>
        <v>TAILLECOURT</v>
      </c>
      <c r="E4820" s="38" t="s">
        <v>213</v>
      </c>
      <c r="F4820" s="38" t="s">
        <v>214</v>
      </c>
      <c r="G4820" s="49" t="str">
        <f t="shared" si="1"/>
        <v>25400</v>
      </c>
      <c r="H4820" s="49">
        <f t="shared" si="2"/>
        <v>25555</v>
      </c>
    </row>
    <row r="4821">
      <c r="A4821" s="48" t="s">
        <v>5086</v>
      </c>
      <c r="B4821" s="38">
        <v>7008.0</v>
      </c>
      <c r="C4821" s="38" t="s">
        <v>7724</v>
      </c>
      <c r="D4821" s="38" t="str">
        <f>IFERROR(__xludf.DUMMYFUNCTION("REGEXREPLACE(C4821,""-\d+(.*)|--\d+(.*)"","""")"),"ALISSAS")</f>
        <v>ALISSAS</v>
      </c>
      <c r="E4821" s="38" t="s">
        <v>144</v>
      </c>
      <c r="F4821" s="38" t="s">
        <v>102</v>
      </c>
      <c r="G4821" s="49" t="str">
        <f t="shared" si="1"/>
        <v>07210</v>
      </c>
      <c r="H4821" s="49" t="str">
        <f t="shared" si="2"/>
        <v>07008</v>
      </c>
    </row>
    <row r="4822">
      <c r="A4822" s="48" t="s">
        <v>6596</v>
      </c>
      <c r="B4822" s="38">
        <v>18115.0</v>
      </c>
      <c r="C4822" s="38" t="s">
        <v>7725</v>
      </c>
      <c r="D4822" s="38" t="str">
        <f>IFERROR(__xludf.DUMMYFUNCTION("REGEXREPLACE(C4822,""-\d+(.*)|--\d+(.*)"","""")"),"IVOY-LE-PRE")</f>
        <v>IVOY-LE-PRE</v>
      </c>
      <c r="E4822" s="38" t="s">
        <v>504</v>
      </c>
      <c r="F4822" s="38" t="s">
        <v>123</v>
      </c>
      <c r="G4822" s="49" t="str">
        <f t="shared" si="1"/>
        <v>18380</v>
      </c>
      <c r="H4822" s="49">
        <f t="shared" si="2"/>
        <v>18115</v>
      </c>
    </row>
    <row r="4823">
      <c r="A4823" s="48" t="s">
        <v>7726</v>
      </c>
      <c r="B4823" s="38">
        <v>35340.0</v>
      </c>
      <c r="C4823" s="38" t="s">
        <v>7727</v>
      </c>
      <c r="D4823" s="38" t="str">
        <f>IFERROR(__xludf.DUMMYFUNCTION("REGEXREPLACE(C4823,""-\d+(.*)|--\d+(.*)"","""")"),"TREFFENDEL")</f>
        <v>TREFFENDEL</v>
      </c>
      <c r="E4823" s="38" t="s">
        <v>347</v>
      </c>
      <c r="F4823" s="38" t="s">
        <v>90</v>
      </c>
      <c r="G4823" s="49" t="str">
        <f t="shared" si="1"/>
        <v>35380</v>
      </c>
      <c r="H4823" s="49">
        <f t="shared" si="2"/>
        <v>35340</v>
      </c>
    </row>
    <row r="4824">
      <c r="A4824" s="48" t="s">
        <v>7728</v>
      </c>
      <c r="B4824" s="38">
        <v>83125.0</v>
      </c>
      <c r="C4824" s="38" t="s">
        <v>7729</v>
      </c>
      <c r="D4824" s="38" t="str">
        <f>IFERROR(__xludf.DUMMYFUNCTION("REGEXREPLACE(C4824,""-\d+(.*)|--\d+(.*)"","""")"),"SEILLONS-SOURCE-D'ARGENS")</f>
        <v>SEILLONS-SOURCE-D'ARGENS</v>
      </c>
      <c r="E4824" s="38" t="s">
        <v>813</v>
      </c>
      <c r="F4824" s="38" t="s">
        <v>228</v>
      </c>
      <c r="G4824" s="49" t="str">
        <f t="shared" si="1"/>
        <v>83470</v>
      </c>
      <c r="H4824" s="49">
        <f t="shared" si="2"/>
        <v>83125</v>
      </c>
    </row>
    <row r="4825">
      <c r="A4825" s="48" t="s">
        <v>2966</v>
      </c>
      <c r="B4825" s="38">
        <v>85082.0</v>
      </c>
      <c r="C4825" s="38" t="s">
        <v>7730</v>
      </c>
      <c r="D4825" s="38" t="str">
        <f>IFERROR(__xludf.DUMMYFUNCTION("REGEXREPLACE(C4825,""-\d+(.*)|--\d+(.*)"","""")"),"LES EPESSES")</f>
        <v>LES EPESSES</v>
      </c>
      <c r="E4825" s="38" t="s">
        <v>179</v>
      </c>
      <c r="F4825" s="38" t="s">
        <v>180</v>
      </c>
      <c r="G4825" s="49" t="str">
        <f t="shared" si="1"/>
        <v>85590</v>
      </c>
      <c r="H4825" s="49">
        <f t="shared" si="2"/>
        <v>85082</v>
      </c>
    </row>
    <row r="4826">
      <c r="A4826" s="48" t="s">
        <v>4409</v>
      </c>
      <c r="B4826" s="38" t="s">
        <v>7731</v>
      </c>
      <c r="C4826" s="38" t="s">
        <v>7732</v>
      </c>
      <c r="D4826" s="38" t="str">
        <f>IFERROR(__xludf.DUMMYFUNCTION("REGEXREPLACE(C4826,""-\d+(.*)|--\d+(.*)"","""")"),"PALNECA")</f>
        <v>PALNECA</v>
      </c>
      <c r="E4826" s="38" t="s">
        <v>606</v>
      </c>
      <c r="F4826" s="38" t="s">
        <v>607</v>
      </c>
      <c r="G4826" s="49" t="str">
        <f t="shared" si="1"/>
        <v>20134</v>
      </c>
      <c r="H4826" s="49" t="str">
        <f t="shared" si="2"/>
        <v>2A200</v>
      </c>
    </row>
    <row r="4827">
      <c r="A4827" s="48" t="s">
        <v>3295</v>
      </c>
      <c r="B4827" s="38">
        <v>76008.0</v>
      </c>
      <c r="C4827" s="38" t="s">
        <v>7733</v>
      </c>
      <c r="D4827" s="38" t="str">
        <f>IFERROR(__xludf.DUMMYFUNCTION("REGEXREPLACE(C4827,""-\d+(.*)|--\d+(.*)"","""")"),"ANCOURT")</f>
        <v>ANCOURT</v>
      </c>
      <c r="E4827" s="38" t="s">
        <v>133</v>
      </c>
      <c r="F4827" s="38" t="s">
        <v>134</v>
      </c>
      <c r="G4827" s="49" t="str">
        <f t="shared" si="1"/>
        <v>76370</v>
      </c>
      <c r="H4827" s="49">
        <f t="shared" si="2"/>
        <v>76008</v>
      </c>
    </row>
    <row r="4828">
      <c r="A4828" s="48" t="s">
        <v>5783</v>
      </c>
      <c r="B4828" s="38">
        <v>37128.0</v>
      </c>
      <c r="C4828" s="38" t="s">
        <v>7734</v>
      </c>
      <c r="D4828" s="38" t="str">
        <f>IFERROR(__xludf.DUMMYFUNCTION("REGEXREPLACE(C4828,""-\d+(.*)|--\d+(.*)"","""")"),"LIGNIERES-DE-TOURAINE")</f>
        <v>LIGNIERES-DE-TOURAINE</v>
      </c>
      <c r="E4828" s="38" t="s">
        <v>205</v>
      </c>
      <c r="F4828" s="38" t="s">
        <v>123</v>
      </c>
      <c r="G4828" s="49" t="str">
        <f t="shared" si="1"/>
        <v>37130</v>
      </c>
      <c r="H4828" s="49">
        <f t="shared" si="2"/>
        <v>37128</v>
      </c>
    </row>
    <row r="4829">
      <c r="A4829" s="48" t="s">
        <v>6728</v>
      </c>
      <c r="B4829" s="38">
        <v>89385.0</v>
      </c>
      <c r="C4829" s="38" t="s">
        <v>7735</v>
      </c>
      <c r="D4829" s="38" t="str">
        <f>IFERROR(__xludf.DUMMYFUNCTION("REGEXREPLACE(C4829,""-\d+(.*)|--\d+(.*)"","""")"),"SENNEVOY-LE-BAS")</f>
        <v>SENNEVOY-LE-BAS</v>
      </c>
      <c r="E4829" s="38" t="s">
        <v>275</v>
      </c>
      <c r="F4829" s="38" t="s">
        <v>106</v>
      </c>
      <c r="G4829" s="49" t="str">
        <f t="shared" si="1"/>
        <v>89160</v>
      </c>
      <c r="H4829" s="49">
        <f t="shared" si="2"/>
        <v>89385</v>
      </c>
    </row>
    <row r="4830">
      <c r="A4830" s="48" t="s">
        <v>7736</v>
      </c>
      <c r="B4830" s="38">
        <v>11027.0</v>
      </c>
      <c r="C4830" s="38" t="s">
        <v>7737</v>
      </c>
      <c r="D4830" s="38" t="str">
        <f>IFERROR(__xludf.DUMMYFUNCTION("REGEXREPLACE(C4830,""-\d+(.*)|--\d+(.*)"","""")"),"BARBAIRA")</f>
        <v>BARBAIRA</v>
      </c>
      <c r="E4830" s="38" t="s">
        <v>278</v>
      </c>
      <c r="F4830" s="38" t="s">
        <v>119</v>
      </c>
      <c r="G4830" s="49" t="str">
        <f t="shared" si="1"/>
        <v>11800</v>
      </c>
      <c r="H4830" s="49">
        <f t="shared" si="2"/>
        <v>11027</v>
      </c>
    </row>
    <row r="4831">
      <c r="A4831" s="48" t="s">
        <v>7738</v>
      </c>
      <c r="B4831" s="38">
        <v>97410.0</v>
      </c>
      <c r="C4831" s="38" t="s">
        <v>2831</v>
      </c>
      <c r="D4831" s="38" t="str">
        <f>IFERROR(__xludf.DUMMYFUNCTION("REGEXREPLACE(C4831,""-\d+(.*)|--\d+(.*)"","""")"),"SAINT-BENOIT")</f>
        <v>SAINT-BENOIT</v>
      </c>
      <c r="E4831" s="38" t="s">
        <v>7739</v>
      </c>
      <c r="F4831" s="38" t="s">
        <v>7739</v>
      </c>
      <c r="G4831" s="49" t="str">
        <f t="shared" si="1"/>
        <v>97470</v>
      </c>
      <c r="H4831" s="49">
        <f t="shared" si="2"/>
        <v>97410</v>
      </c>
    </row>
    <row r="4832">
      <c r="A4832" s="48" t="s">
        <v>1036</v>
      </c>
      <c r="B4832" s="38">
        <v>57727.0</v>
      </c>
      <c r="C4832" s="38" t="s">
        <v>2123</v>
      </c>
      <c r="D4832" s="38" t="str">
        <f>IFERROR(__xludf.DUMMYFUNCTION("REGEXREPLACE(C4832,""-\d+(.*)|--\d+(.*)"","""")"),"VIVIERS")</f>
        <v>VIVIERS</v>
      </c>
      <c r="E4832" s="38" t="s">
        <v>303</v>
      </c>
      <c r="F4832" s="38" t="s">
        <v>195</v>
      </c>
      <c r="G4832" s="49" t="str">
        <f t="shared" si="1"/>
        <v>57590</v>
      </c>
      <c r="H4832" s="49">
        <f t="shared" si="2"/>
        <v>57727</v>
      </c>
    </row>
    <row r="4833">
      <c r="A4833" s="48" t="s">
        <v>3071</v>
      </c>
      <c r="B4833" s="38">
        <v>59031.0</v>
      </c>
      <c r="C4833" s="38" t="s">
        <v>7740</v>
      </c>
      <c r="D4833" s="38" t="str">
        <f>IFERROR(__xludf.DUMMYFUNCTION("REGEXREPLACE(C4833,""-\d+(.*)|--\d+(.*)"","""")"),"AUDIGNIES")</f>
        <v>AUDIGNIES</v>
      </c>
      <c r="E4833" s="38" t="s">
        <v>85</v>
      </c>
      <c r="F4833" s="38" t="s">
        <v>86</v>
      </c>
      <c r="G4833" s="49" t="str">
        <f t="shared" si="1"/>
        <v>59570</v>
      </c>
      <c r="H4833" s="49">
        <f t="shared" si="2"/>
        <v>59031</v>
      </c>
    </row>
    <row r="4834">
      <c r="A4834" s="48" t="s">
        <v>7741</v>
      </c>
      <c r="B4834" s="38">
        <v>37083.0</v>
      </c>
      <c r="C4834" s="38" t="s">
        <v>7742</v>
      </c>
      <c r="D4834" s="38" t="str">
        <f>IFERROR(__xludf.DUMMYFUNCTION("REGEXREPLACE(C4834,""-\d+(.*)|--\d+(.*)"","""")"),"CORMERY")</f>
        <v>CORMERY</v>
      </c>
      <c r="E4834" s="38" t="s">
        <v>205</v>
      </c>
      <c r="F4834" s="38" t="s">
        <v>123</v>
      </c>
      <c r="G4834" s="49" t="str">
        <f t="shared" si="1"/>
        <v>37320</v>
      </c>
      <c r="H4834" s="49">
        <f t="shared" si="2"/>
        <v>37083</v>
      </c>
    </row>
    <row r="4835">
      <c r="A4835" s="48" t="s">
        <v>1889</v>
      </c>
      <c r="B4835" s="38">
        <v>25598.0</v>
      </c>
      <c r="C4835" s="38" t="s">
        <v>7743</v>
      </c>
      <c r="D4835" s="38" t="str">
        <f>IFERROR(__xludf.DUMMYFUNCTION("REGEXREPLACE(C4835,""-\d+(.*)|--\d+(.*)"","""")"),"VENISE")</f>
        <v>VENISE</v>
      </c>
      <c r="E4835" s="38" t="s">
        <v>213</v>
      </c>
      <c r="F4835" s="38" t="s">
        <v>214</v>
      </c>
      <c r="G4835" s="49" t="str">
        <f t="shared" si="1"/>
        <v>25870</v>
      </c>
      <c r="H4835" s="49">
        <f t="shared" si="2"/>
        <v>25598</v>
      </c>
    </row>
    <row r="4836">
      <c r="A4836" s="48" t="s">
        <v>7744</v>
      </c>
      <c r="B4836" s="38">
        <v>54394.0</v>
      </c>
      <c r="C4836" s="38" t="s">
        <v>7745</v>
      </c>
      <c r="D4836" s="38" t="str">
        <f>IFERROR(__xludf.DUMMYFUNCTION("REGEXREPLACE(C4836,""-\d+(.*)|--\d+(.*)"","""")"),"MURVILLE")</f>
        <v>MURVILLE</v>
      </c>
      <c r="E4836" s="38" t="s">
        <v>548</v>
      </c>
      <c r="F4836" s="38" t="s">
        <v>195</v>
      </c>
      <c r="G4836" s="49" t="str">
        <f t="shared" si="1"/>
        <v>54490</v>
      </c>
      <c r="H4836" s="49">
        <f t="shared" si="2"/>
        <v>54394</v>
      </c>
    </row>
    <row r="4837">
      <c r="A4837" s="48" t="s">
        <v>1590</v>
      </c>
      <c r="B4837" s="38">
        <v>33275.0</v>
      </c>
      <c r="C4837" s="38" t="s">
        <v>7746</v>
      </c>
      <c r="D4837" s="38" t="str">
        <f>IFERROR(__xludf.DUMMYFUNCTION("REGEXREPLACE(C4837,""-\d+(.*)|--\d+(.*)"","""")"),"MARTRES")</f>
        <v>MARTRES</v>
      </c>
      <c r="E4837" s="38" t="s">
        <v>462</v>
      </c>
      <c r="F4837" s="38" t="s">
        <v>252</v>
      </c>
      <c r="G4837" s="49" t="str">
        <f t="shared" si="1"/>
        <v>33760</v>
      </c>
      <c r="H4837" s="49">
        <f t="shared" si="2"/>
        <v>33275</v>
      </c>
    </row>
    <row r="4838">
      <c r="A4838" s="48" t="s">
        <v>717</v>
      </c>
      <c r="B4838" s="38">
        <v>31499.0</v>
      </c>
      <c r="C4838" s="38" t="s">
        <v>7747</v>
      </c>
      <c r="D4838" s="38" t="str">
        <f>IFERROR(__xludf.DUMMYFUNCTION("REGEXREPLACE(C4838,""-\d+(.*)|--\d+(.*)"","""")"),"SAINT-LYS")</f>
        <v>SAINT-LYS</v>
      </c>
      <c r="E4838" s="38" t="s">
        <v>93</v>
      </c>
      <c r="F4838" s="38" t="s">
        <v>94</v>
      </c>
      <c r="G4838" s="49" t="str">
        <f t="shared" si="1"/>
        <v>31470</v>
      </c>
      <c r="H4838" s="49">
        <f t="shared" si="2"/>
        <v>31499</v>
      </c>
    </row>
    <row r="4839">
      <c r="A4839" s="48" t="s">
        <v>1493</v>
      </c>
      <c r="B4839" s="38">
        <v>58247.0</v>
      </c>
      <c r="C4839" s="38" t="s">
        <v>7748</v>
      </c>
      <c r="D4839" s="38" t="str">
        <f>IFERROR(__xludf.DUMMYFUNCTION("REGEXREPLACE(C4839,""-\d+(.*)|--\d+(.*)"","""")"),"SAINT-JEAN-AUX-AMOGNES")</f>
        <v>SAINT-JEAN-AUX-AMOGNES</v>
      </c>
      <c r="E4839" s="38" t="s">
        <v>219</v>
      </c>
      <c r="F4839" s="38" t="s">
        <v>106</v>
      </c>
      <c r="G4839" s="49" t="str">
        <f t="shared" si="1"/>
        <v>58270</v>
      </c>
      <c r="H4839" s="49">
        <f t="shared" si="2"/>
        <v>58247</v>
      </c>
    </row>
    <row r="4840">
      <c r="A4840" s="48" t="s">
        <v>7749</v>
      </c>
      <c r="B4840" s="38">
        <v>85261.0</v>
      </c>
      <c r="C4840" s="38" t="s">
        <v>7750</v>
      </c>
      <c r="D4840" s="38" t="str">
        <f>IFERROR(__xludf.DUMMYFUNCTION("REGEXREPLACE(C4840,""-\d+(.*)|--\d+(.*)"","""")"),"SAINTE-PEXINE")</f>
        <v>SAINTE-PEXINE</v>
      </c>
      <c r="E4840" s="38" t="s">
        <v>179</v>
      </c>
      <c r="F4840" s="38" t="s">
        <v>180</v>
      </c>
      <c r="G4840" s="49" t="str">
        <f t="shared" si="1"/>
        <v>85320</v>
      </c>
      <c r="H4840" s="49">
        <f t="shared" si="2"/>
        <v>85261</v>
      </c>
    </row>
    <row r="4841">
      <c r="A4841" s="48" t="s">
        <v>6596</v>
      </c>
      <c r="B4841" s="38">
        <v>18047.0</v>
      </c>
      <c r="C4841" s="38" t="s">
        <v>7751</v>
      </c>
      <c r="D4841" s="38" t="str">
        <f>IFERROR(__xludf.DUMMYFUNCTION("REGEXREPLACE(C4841,""-\d+(.*)|--\d+(.*)"","""")"),"LA CHAPELLE-D'ANGILLON")</f>
        <v>LA CHAPELLE-D'ANGILLON</v>
      </c>
      <c r="E4841" s="38" t="s">
        <v>504</v>
      </c>
      <c r="F4841" s="38" t="s">
        <v>123</v>
      </c>
      <c r="G4841" s="49" t="str">
        <f t="shared" si="1"/>
        <v>18380</v>
      </c>
      <c r="H4841" s="49">
        <f t="shared" si="2"/>
        <v>18047</v>
      </c>
    </row>
    <row r="4842">
      <c r="A4842" s="48" t="s">
        <v>7752</v>
      </c>
      <c r="B4842" s="38">
        <v>69180.0</v>
      </c>
      <c r="C4842" s="38" t="s">
        <v>7753</v>
      </c>
      <c r="D4842" s="38" t="str">
        <f>IFERROR(__xludf.DUMMYFUNCTION("REGEXREPLACE(C4842,""-\d+(.*)|--\d+(.*)"","""")"),"SAINT-ANDRE-LA-COTE")</f>
        <v>SAINT-ANDRE-LA-COTE</v>
      </c>
      <c r="E4842" s="38" t="s">
        <v>350</v>
      </c>
      <c r="F4842" s="38" t="s">
        <v>102</v>
      </c>
      <c r="G4842" s="49" t="str">
        <f t="shared" si="1"/>
        <v>69440</v>
      </c>
      <c r="H4842" s="49">
        <f t="shared" si="2"/>
        <v>69180</v>
      </c>
    </row>
    <row r="4843">
      <c r="A4843" s="48" t="s">
        <v>7754</v>
      </c>
      <c r="B4843" s="38">
        <v>23143.0</v>
      </c>
      <c r="C4843" s="38" t="s">
        <v>7755</v>
      </c>
      <c r="D4843" s="38" t="str">
        <f>IFERROR(__xludf.DUMMYFUNCTION("REGEXREPLACE(C4843,""-\d+(.*)|--\d+(.*)"","""")"),"NOTH")</f>
        <v>NOTH</v>
      </c>
      <c r="E4843" s="38" t="s">
        <v>97</v>
      </c>
      <c r="F4843" s="38" t="s">
        <v>98</v>
      </c>
      <c r="G4843" s="49" t="str">
        <f t="shared" si="1"/>
        <v>23300</v>
      </c>
      <c r="H4843" s="49">
        <f t="shared" si="2"/>
        <v>23143</v>
      </c>
    </row>
    <row r="4844">
      <c r="A4844" s="48" t="s">
        <v>7756</v>
      </c>
      <c r="B4844" s="38">
        <v>27377.0</v>
      </c>
      <c r="C4844" s="38" t="s">
        <v>7757</v>
      </c>
      <c r="D4844" s="38" t="str">
        <f>IFERROR(__xludf.DUMMYFUNCTION("REGEXREPLACE(C4844,""-\d+(.*)|--\d+(.*)"","""")"),"LYONS-LA-FORET")</f>
        <v>LYONS-LA-FORET</v>
      </c>
      <c r="E4844" s="38" t="s">
        <v>241</v>
      </c>
      <c r="F4844" s="38" t="s">
        <v>134</v>
      </c>
      <c r="G4844" s="49" t="str">
        <f t="shared" si="1"/>
        <v>27480</v>
      </c>
      <c r="H4844" s="49">
        <f t="shared" si="2"/>
        <v>27377</v>
      </c>
    </row>
    <row r="4845">
      <c r="A4845" s="48" t="s">
        <v>7758</v>
      </c>
      <c r="B4845" s="38">
        <v>63011.0</v>
      </c>
      <c r="C4845" s="38" t="s">
        <v>7759</v>
      </c>
      <c r="D4845" s="38" t="str">
        <f>IFERROR(__xludf.DUMMYFUNCTION("REGEXREPLACE(C4845,""-\d+(.*)|--\d+(.*)"","""")"),"ARS-LES-FAVETS")</f>
        <v>ARS-LES-FAVETS</v>
      </c>
      <c r="E4845" s="38" t="s">
        <v>353</v>
      </c>
      <c r="F4845" s="38" t="s">
        <v>161</v>
      </c>
      <c r="G4845" s="49" t="str">
        <f t="shared" si="1"/>
        <v>63700</v>
      </c>
      <c r="H4845" s="49">
        <f t="shared" si="2"/>
        <v>63011</v>
      </c>
    </row>
    <row r="4846">
      <c r="A4846" s="48" t="s">
        <v>7760</v>
      </c>
      <c r="B4846" s="38">
        <v>54422.0</v>
      </c>
      <c r="C4846" s="38" t="s">
        <v>7761</v>
      </c>
      <c r="D4846" s="38" t="str">
        <f>IFERROR(__xludf.DUMMYFUNCTION("REGEXREPLACE(C4846,""-\d+(.*)|--\d+(.*)"","""")"),"PETTONVILLE")</f>
        <v>PETTONVILLE</v>
      </c>
      <c r="E4846" s="38" t="s">
        <v>548</v>
      </c>
      <c r="F4846" s="38" t="s">
        <v>195</v>
      </c>
      <c r="G4846" s="49" t="str">
        <f t="shared" si="1"/>
        <v>54120</v>
      </c>
      <c r="H4846" s="49">
        <f t="shared" si="2"/>
        <v>54422</v>
      </c>
    </row>
    <row r="4847">
      <c r="A4847" s="48" t="s">
        <v>5902</v>
      </c>
      <c r="B4847" s="38">
        <v>30353.0</v>
      </c>
      <c r="C4847" s="38" t="s">
        <v>7762</v>
      </c>
      <c r="D4847" s="38" t="str">
        <f>IFERROR(__xludf.DUMMYFUNCTION("REGEXREPLACE(C4847,""-\d+(.*)|--\d+(.*)"","""")"),"VISSEC")</f>
        <v>VISSEC</v>
      </c>
      <c r="E4847" s="38" t="s">
        <v>526</v>
      </c>
      <c r="F4847" s="38" t="s">
        <v>119</v>
      </c>
      <c r="G4847" s="49" t="str">
        <f t="shared" si="1"/>
        <v>30770</v>
      </c>
      <c r="H4847" s="49">
        <f t="shared" si="2"/>
        <v>30353</v>
      </c>
    </row>
    <row r="4848">
      <c r="A4848" s="48" t="s">
        <v>7763</v>
      </c>
      <c r="B4848" s="38">
        <v>89071.0</v>
      </c>
      <c r="C4848" s="38" t="s">
        <v>7764</v>
      </c>
      <c r="D4848" s="38" t="str">
        <f>IFERROR(__xludf.DUMMYFUNCTION("REGEXREPLACE(C4848,""-\d+(.*)|--\d+(.*)"","""")"),"CHAMOUX")</f>
        <v>CHAMOUX</v>
      </c>
      <c r="E4848" s="38" t="s">
        <v>275</v>
      </c>
      <c r="F4848" s="38" t="s">
        <v>106</v>
      </c>
      <c r="G4848" s="49" t="str">
        <f t="shared" si="1"/>
        <v>89660</v>
      </c>
      <c r="H4848" s="49">
        <f t="shared" si="2"/>
        <v>89071</v>
      </c>
    </row>
    <row r="4849">
      <c r="A4849" s="48" t="s">
        <v>7218</v>
      </c>
      <c r="B4849" s="38">
        <v>71220.0</v>
      </c>
      <c r="C4849" s="38" t="s">
        <v>7765</v>
      </c>
      <c r="D4849" s="38" t="str">
        <f>IFERROR(__xludf.DUMMYFUNCTION("REGEXREPLACE(C4849,""-\d+(.*)|--\d+(.*)"","""")"),"GILLY-SUR-LOIRE")</f>
        <v>GILLY-SUR-LOIRE</v>
      </c>
      <c r="E4849" s="38" t="s">
        <v>344</v>
      </c>
      <c r="F4849" s="38" t="s">
        <v>106</v>
      </c>
      <c r="G4849" s="49" t="str">
        <f t="shared" si="1"/>
        <v>71160</v>
      </c>
      <c r="H4849" s="49">
        <f t="shared" si="2"/>
        <v>71220</v>
      </c>
    </row>
    <row r="4850">
      <c r="A4850" s="48" t="s">
        <v>7766</v>
      </c>
      <c r="B4850" s="38">
        <v>84034.0</v>
      </c>
      <c r="C4850" s="38" t="s">
        <v>7767</v>
      </c>
      <c r="D4850" s="38" t="str">
        <f>IFERROR(__xludf.DUMMYFUNCTION("REGEXREPLACE(C4850,""-\d+(.*)|--\d+(.*)"","""")"),"CAUMONT-SUR-DURANCE")</f>
        <v>CAUMONT-SUR-DURANCE</v>
      </c>
      <c r="E4850" s="38" t="s">
        <v>1026</v>
      </c>
      <c r="F4850" s="38" t="s">
        <v>228</v>
      </c>
      <c r="G4850" s="49" t="str">
        <f t="shared" si="1"/>
        <v>84510</v>
      </c>
      <c r="H4850" s="49">
        <f t="shared" si="2"/>
        <v>84034</v>
      </c>
    </row>
    <row r="4851">
      <c r="A4851" s="48" t="s">
        <v>6099</v>
      </c>
      <c r="B4851" s="38">
        <v>59381.0</v>
      </c>
      <c r="C4851" s="38" t="s">
        <v>7768</v>
      </c>
      <c r="D4851" s="38" t="str">
        <f>IFERROR(__xludf.DUMMYFUNCTION("REGEXREPLACE(C4851,""-\d+(.*)|--\d+(.*)"","""")"),"MARESCHES")</f>
        <v>MARESCHES</v>
      </c>
      <c r="E4851" s="38" t="s">
        <v>85</v>
      </c>
      <c r="F4851" s="38" t="s">
        <v>86</v>
      </c>
      <c r="G4851" s="49" t="str">
        <f t="shared" si="1"/>
        <v>59990</v>
      </c>
      <c r="H4851" s="49">
        <f t="shared" si="2"/>
        <v>59381</v>
      </c>
    </row>
    <row r="4852">
      <c r="A4852" s="48" t="s">
        <v>155</v>
      </c>
      <c r="B4852" s="38">
        <v>50568.0</v>
      </c>
      <c r="C4852" s="38" t="s">
        <v>7769</v>
      </c>
      <c r="D4852" s="38" t="str">
        <f>IFERROR(__xludf.DUMMYFUNCTION("REGEXREPLACE(C4852,""-\d+(.*)|--\d+(.*)"","""")"),"SAUSSEY")</f>
        <v>SAUSSEY</v>
      </c>
      <c r="E4852" s="38" t="s">
        <v>157</v>
      </c>
      <c r="F4852" s="38" t="s">
        <v>138</v>
      </c>
      <c r="G4852" s="49" t="str">
        <f t="shared" si="1"/>
        <v>50200</v>
      </c>
      <c r="H4852" s="49">
        <f t="shared" si="2"/>
        <v>50568</v>
      </c>
    </row>
    <row r="4853">
      <c r="A4853" s="48" t="s">
        <v>6296</v>
      </c>
      <c r="B4853" s="38">
        <v>50628.0</v>
      </c>
      <c r="C4853" s="38" t="s">
        <v>7770</v>
      </c>
      <c r="D4853" s="38" t="str">
        <f>IFERROR(__xludf.DUMMYFUNCTION("REGEXREPLACE(C4853,""-\d+(.*)|--\d+(.*)"","""")"),"VERNIX")</f>
        <v>VERNIX</v>
      </c>
      <c r="E4853" s="38" t="s">
        <v>157</v>
      </c>
      <c r="F4853" s="38" t="s">
        <v>138</v>
      </c>
      <c r="G4853" s="49" t="str">
        <f t="shared" si="1"/>
        <v>50370</v>
      </c>
      <c r="H4853" s="49">
        <f t="shared" si="2"/>
        <v>50628</v>
      </c>
    </row>
    <row r="4854">
      <c r="A4854" s="48" t="s">
        <v>2692</v>
      </c>
      <c r="B4854" s="38">
        <v>67083.0</v>
      </c>
      <c r="C4854" s="38" t="s">
        <v>7771</v>
      </c>
      <c r="D4854" s="38" t="str">
        <f>IFERROR(__xludf.DUMMYFUNCTION("REGEXREPLACE(C4854,""-\d+(.*)|--\d+(.*)"","""")"),"DAMBACH")</f>
        <v>DAMBACH</v>
      </c>
      <c r="E4854" s="38" t="s">
        <v>210</v>
      </c>
      <c r="F4854" s="38" t="s">
        <v>151</v>
      </c>
      <c r="G4854" s="49" t="str">
        <f t="shared" si="1"/>
        <v>67110</v>
      </c>
      <c r="H4854" s="49">
        <f t="shared" si="2"/>
        <v>67083</v>
      </c>
    </row>
    <row r="4855">
      <c r="A4855" s="48" t="s">
        <v>333</v>
      </c>
      <c r="B4855" s="38">
        <v>43208.0</v>
      </c>
      <c r="C4855" s="38" t="s">
        <v>7772</v>
      </c>
      <c r="D4855" s="38" t="str">
        <f>IFERROR(__xludf.DUMMYFUNCTION("REGEXREPLACE(C4855,""-\d+(.*)|--\d+(.*)"","""")"),"SAINTE-MARGUERITE")</f>
        <v>SAINTE-MARGUERITE</v>
      </c>
      <c r="E4855" s="38" t="s">
        <v>332</v>
      </c>
      <c r="F4855" s="38" t="s">
        <v>161</v>
      </c>
      <c r="G4855" s="49" t="str">
        <f t="shared" si="1"/>
        <v>43230</v>
      </c>
      <c r="H4855" s="49">
        <f t="shared" si="2"/>
        <v>43208</v>
      </c>
    </row>
    <row r="4856">
      <c r="A4856" s="48" t="s">
        <v>4596</v>
      </c>
      <c r="B4856" s="38">
        <v>2804.0</v>
      </c>
      <c r="C4856" s="38" t="s">
        <v>7773</v>
      </c>
      <c r="D4856" s="38" t="str">
        <f>IFERROR(__xludf.DUMMYFUNCTION("REGEXREPLACE(C4856,""-\d+(.*)|--\d+(.*)"","""")"),"VILLEMONTOIRE")</f>
        <v>VILLEMONTOIRE</v>
      </c>
      <c r="E4856" s="38" t="s">
        <v>191</v>
      </c>
      <c r="F4856" s="38" t="s">
        <v>113</v>
      </c>
      <c r="G4856" s="49" t="str">
        <f t="shared" si="1"/>
        <v>02210</v>
      </c>
      <c r="H4856" s="49" t="str">
        <f t="shared" si="2"/>
        <v>02804</v>
      </c>
    </row>
    <row r="4857">
      <c r="A4857" s="48" t="s">
        <v>1555</v>
      </c>
      <c r="B4857" s="38">
        <v>52534.0</v>
      </c>
      <c r="C4857" s="38" t="s">
        <v>7774</v>
      </c>
      <c r="D4857" s="38" t="str">
        <f>IFERROR(__xludf.DUMMYFUNCTION("REGEXREPLACE(C4857,""-\d+(.*)|--\d+(.*)"","""")"),"VILLIERS-EN-LIEU")</f>
        <v>VILLIERS-EN-LIEU</v>
      </c>
      <c r="E4857" s="38" t="s">
        <v>234</v>
      </c>
      <c r="F4857" s="38" t="s">
        <v>130</v>
      </c>
      <c r="G4857" s="49" t="str">
        <f t="shared" si="1"/>
        <v>52100</v>
      </c>
      <c r="H4857" s="49">
        <f t="shared" si="2"/>
        <v>52534</v>
      </c>
    </row>
    <row r="4858">
      <c r="A4858" s="48" t="s">
        <v>3418</v>
      </c>
      <c r="B4858" s="38">
        <v>47271.0</v>
      </c>
      <c r="C4858" s="38" t="s">
        <v>7775</v>
      </c>
      <c r="D4858" s="38" t="str">
        <f>IFERROR(__xludf.DUMMYFUNCTION("REGEXREPLACE(C4858,""-\d+(.*)|--\d+(.*)"","""")"),"SAINT-PIERRE-SUR-DROPT")</f>
        <v>SAINT-PIERRE-SUR-DROPT</v>
      </c>
      <c r="E4858" s="38" t="s">
        <v>251</v>
      </c>
      <c r="F4858" s="38" t="s">
        <v>252</v>
      </c>
      <c r="G4858" s="49" t="str">
        <f t="shared" si="1"/>
        <v>47120</v>
      </c>
      <c r="H4858" s="49">
        <f t="shared" si="2"/>
        <v>47271</v>
      </c>
    </row>
    <row r="4859">
      <c r="A4859" s="48" t="s">
        <v>499</v>
      </c>
      <c r="B4859" s="38">
        <v>57682.0</v>
      </c>
      <c r="C4859" s="38" t="s">
        <v>7776</v>
      </c>
      <c r="D4859" s="38" t="str">
        <f>IFERROR(__xludf.DUMMYFUNCTION("REGEXREPLACE(C4859,""-\d+(.*)|--\d+(.*)"","""")"),"TURQUESTEIN-BLANCRUPT")</f>
        <v>TURQUESTEIN-BLANCRUPT</v>
      </c>
      <c r="E4859" s="38" t="s">
        <v>303</v>
      </c>
      <c r="F4859" s="38" t="s">
        <v>195</v>
      </c>
      <c r="G4859" s="49" t="str">
        <f t="shared" si="1"/>
        <v>57560</v>
      </c>
      <c r="H4859" s="49">
        <f t="shared" si="2"/>
        <v>57682</v>
      </c>
    </row>
    <row r="4860">
      <c r="A4860" s="48" t="s">
        <v>7777</v>
      </c>
      <c r="B4860" s="38">
        <v>54049.0</v>
      </c>
      <c r="C4860" s="38" t="s">
        <v>7778</v>
      </c>
      <c r="D4860" s="38" t="str">
        <f>IFERROR(__xludf.DUMMYFUNCTION("REGEXREPLACE(C4860,""-\d+(.*)|--\d+(.*)"","""")"),"BASLIEUX")</f>
        <v>BASLIEUX</v>
      </c>
      <c r="E4860" s="38" t="s">
        <v>548</v>
      </c>
      <c r="F4860" s="38" t="s">
        <v>195</v>
      </c>
      <c r="G4860" s="49" t="str">
        <f t="shared" si="1"/>
        <v>54620</v>
      </c>
      <c r="H4860" s="49">
        <f t="shared" si="2"/>
        <v>54049</v>
      </c>
    </row>
    <row r="4861">
      <c r="A4861" s="48" t="s">
        <v>2019</v>
      </c>
      <c r="B4861" s="38">
        <v>90045.0</v>
      </c>
      <c r="C4861" s="38" t="s">
        <v>7779</v>
      </c>
      <c r="D4861" s="38" t="str">
        <f>IFERROR(__xludf.DUMMYFUNCTION("REGEXREPLACE(C4861,""-\d+(.*)|--\d+(.*)"","""")"),"FECHE-L'EGLISE")</f>
        <v>FECHE-L'EGLISE</v>
      </c>
      <c r="E4861" s="38" t="s">
        <v>1283</v>
      </c>
      <c r="F4861" s="38" t="s">
        <v>214</v>
      </c>
      <c r="G4861" s="49" t="str">
        <f t="shared" si="1"/>
        <v>90100</v>
      </c>
      <c r="H4861" s="49">
        <f t="shared" si="2"/>
        <v>90045</v>
      </c>
    </row>
    <row r="4862">
      <c r="A4862" s="48" t="s">
        <v>2334</v>
      </c>
      <c r="B4862" s="38">
        <v>46200.0</v>
      </c>
      <c r="C4862" s="38" t="s">
        <v>7780</v>
      </c>
      <c r="D4862" s="38" t="str">
        <f>IFERROR(__xludf.DUMMYFUNCTION("REGEXREPLACE(C4862,""-\d+(.*)|--\d+(.*)"","""")"),"MONTCLERA")</f>
        <v>MONTCLERA</v>
      </c>
      <c r="E4862" s="38" t="s">
        <v>185</v>
      </c>
      <c r="F4862" s="38" t="s">
        <v>94</v>
      </c>
      <c r="G4862" s="49" t="str">
        <f t="shared" si="1"/>
        <v>46250</v>
      </c>
      <c r="H4862" s="49">
        <f t="shared" si="2"/>
        <v>46200</v>
      </c>
    </row>
    <row r="4863">
      <c r="A4863" s="48" t="s">
        <v>7781</v>
      </c>
      <c r="B4863" s="38">
        <v>31490.0</v>
      </c>
      <c r="C4863" s="38" t="s">
        <v>7782</v>
      </c>
      <c r="D4863" s="38" t="str">
        <f>IFERROR(__xludf.DUMMYFUNCTION("REGEXREPLACE(C4863,""-\d+(.*)|--\d+(.*)"","""")"),"SAINT-JORY")</f>
        <v>SAINT-JORY</v>
      </c>
      <c r="E4863" s="38" t="s">
        <v>93</v>
      </c>
      <c r="F4863" s="38" t="s">
        <v>94</v>
      </c>
      <c r="G4863" s="49" t="str">
        <f t="shared" si="1"/>
        <v>31790</v>
      </c>
      <c r="H4863" s="49">
        <f t="shared" si="2"/>
        <v>31490</v>
      </c>
    </row>
    <row r="4864">
      <c r="A4864" s="48" t="s">
        <v>1393</v>
      </c>
      <c r="B4864" s="38">
        <v>25048.0</v>
      </c>
      <c r="C4864" s="38" t="s">
        <v>7783</v>
      </c>
      <c r="D4864" s="38" t="str">
        <f>IFERROR(__xludf.DUMMYFUNCTION("REGEXREPLACE(C4864,""-\d+(.*)|--\d+(.*)"","""")"),"BAVANS")</f>
        <v>BAVANS</v>
      </c>
      <c r="E4864" s="38" t="s">
        <v>213</v>
      </c>
      <c r="F4864" s="38" t="s">
        <v>214</v>
      </c>
      <c r="G4864" s="49" t="str">
        <f t="shared" si="1"/>
        <v>25550</v>
      </c>
      <c r="H4864" s="49">
        <f t="shared" si="2"/>
        <v>25048</v>
      </c>
    </row>
    <row r="4865">
      <c r="A4865" s="48" t="s">
        <v>7784</v>
      </c>
      <c r="B4865" s="38">
        <v>30323.0</v>
      </c>
      <c r="C4865" s="38" t="s">
        <v>7785</v>
      </c>
      <c r="D4865" s="38" t="str">
        <f>IFERROR(__xludf.DUMMYFUNCTION("REGEXREPLACE(C4865,""-\d+(.*)|--\d+(.*)"","""")"),"SOUSTELLE")</f>
        <v>SOUSTELLE</v>
      </c>
      <c r="E4865" s="38" t="s">
        <v>526</v>
      </c>
      <c r="F4865" s="38" t="s">
        <v>119</v>
      </c>
      <c r="G4865" s="49" t="str">
        <f t="shared" si="1"/>
        <v>30110</v>
      </c>
      <c r="H4865" s="49">
        <f t="shared" si="2"/>
        <v>30323</v>
      </c>
    </row>
    <row r="4866">
      <c r="A4866" s="48" t="s">
        <v>7786</v>
      </c>
      <c r="B4866" s="38">
        <v>8179.0</v>
      </c>
      <c r="C4866" s="38" t="s">
        <v>7787</v>
      </c>
      <c r="D4866" s="38" t="str">
        <f>IFERROR(__xludf.DUMMYFUNCTION("REGEXREPLACE(C4866,""-\d+(.*)|--\d+(.*)"","""")"),"FRANCHEVAL")</f>
        <v>FRANCHEVAL</v>
      </c>
      <c r="E4866" s="38" t="s">
        <v>327</v>
      </c>
      <c r="F4866" s="38" t="s">
        <v>130</v>
      </c>
      <c r="G4866" s="49" t="str">
        <f t="shared" si="1"/>
        <v>08140</v>
      </c>
      <c r="H4866" s="49" t="str">
        <f t="shared" si="2"/>
        <v>08179</v>
      </c>
    </row>
    <row r="4867">
      <c r="A4867" s="48" t="s">
        <v>1462</v>
      </c>
      <c r="B4867" s="38">
        <v>11348.0</v>
      </c>
      <c r="C4867" s="38" t="s">
        <v>7788</v>
      </c>
      <c r="D4867" s="38" t="str">
        <f>IFERROR(__xludf.DUMMYFUNCTION("REGEXREPLACE(C4867,""-\d+(.*)|--\d+(.*)"","""")"),"SAINT-JULIEN-DE-BRIOLA")</f>
        <v>SAINT-JULIEN-DE-BRIOLA</v>
      </c>
      <c r="E4867" s="38" t="s">
        <v>278</v>
      </c>
      <c r="F4867" s="38" t="s">
        <v>119</v>
      </c>
      <c r="G4867" s="49" t="str">
        <f t="shared" si="1"/>
        <v>11270</v>
      </c>
      <c r="H4867" s="49">
        <f t="shared" si="2"/>
        <v>11348</v>
      </c>
    </row>
    <row r="4868">
      <c r="A4868" s="48" t="s">
        <v>1208</v>
      </c>
      <c r="B4868" s="38">
        <v>32074.0</v>
      </c>
      <c r="C4868" s="38" t="s">
        <v>7789</v>
      </c>
      <c r="D4868" s="38" t="str">
        <f>IFERROR(__xludf.DUMMYFUNCTION("REGEXREPLACE(C4868,""-\d+(.*)|--\d+(.*)"","""")"),"CANNET")</f>
        <v>CANNET</v>
      </c>
      <c r="E4868" s="38" t="s">
        <v>440</v>
      </c>
      <c r="F4868" s="38" t="s">
        <v>94</v>
      </c>
      <c r="G4868" s="49" t="str">
        <f t="shared" si="1"/>
        <v>32400</v>
      </c>
      <c r="H4868" s="49">
        <f t="shared" si="2"/>
        <v>32074</v>
      </c>
    </row>
    <row r="4869">
      <c r="A4869" s="48" t="s">
        <v>3044</v>
      </c>
      <c r="B4869" s="38">
        <v>88277.0</v>
      </c>
      <c r="C4869" s="38" t="s">
        <v>7790</v>
      </c>
      <c r="D4869" s="38" t="str">
        <f>IFERROR(__xludf.DUMMYFUNCTION("REGEXREPLACE(C4869,""-\d+(.*)|--\d+(.*)"","""")"),"LUVIGNY")</f>
        <v>LUVIGNY</v>
      </c>
      <c r="E4869" s="38" t="s">
        <v>194</v>
      </c>
      <c r="F4869" s="38" t="s">
        <v>195</v>
      </c>
      <c r="G4869" s="49" t="str">
        <f t="shared" si="1"/>
        <v>88110</v>
      </c>
      <c r="H4869" s="49">
        <f t="shared" si="2"/>
        <v>88277</v>
      </c>
    </row>
    <row r="4870">
      <c r="A4870" s="48" t="s">
        <v>1991</v>
      </c>
      <c r="B4870" s="38">
        <v>54594.0</v>
      </c>
      <c r="C4870" s="38" t="s">
        <v>7791</v>
      </c>
      <c r="D4870" s="38" t="str">
        <f>IFERROR(__xludf.DUMMYFUNCTION("REGEXREPLACE(C4870,""-\d+(.*)|--\d+(.*)"","""")"),"XAMMES")</f>
        <v>XAMMES</v>
      </c>
      <c r="E4870" s="38" t="s">
        <v>548</v>
      </c>
      <c r="F4870" s="38" t="s">
        <v>195</v>
      </c>
      <c r="G4870" s="49" t="str">
        <f t="shared" si="1"/>
        <v>54470</v>
      </c>
      <c r="H4870" s="49">
        <f t="shared" si="2"/>
        <v>54594</v>
      </c>
    </row>
    <row r="4871">
      <c r="A4871" s="48" t="s">
        <v>2868</v>
      </c>
      <c r="B4871" s="38">
        <v>80232.0</v>
      </c>
      <c r="C4871" s="38" t="s">
        <v>7792</v>
      </c>
      <c r="D4871" s="38" t="str">
        <f>IFERROR(__xludf.DUMMYFUNCTION("REGEXREPLACE(C4871,""-\d+(.*)|--\d+(.*)"","""")"),"DAMERY")</f>
        <v>DAMERY</v>
      </c>
      <c r="E4871" s="38" t="s">
        <v>224</v>
      </c>
      <c r="F4871" s="38" t="s">
        <v>113</v>
      </c>
      <c r="G4871" s="49" t="str">
        <f t="shared" si="1"/>
        <v>80700</v>
      </c>
      <c r="H4871" s="49">
        <f t="shared" si="2"/>
        <v>80232</v>
      </c>
    </row>
    <row r="4872">
      <c r="A4872" s="48" t="s">
        <v>7793</v>
      </c>
      <c r="B4872" s="38" t="s">
        <v>7794</v>
      </c>
      <c r="C4872" s="38" t="s">
        <v>7795</v>
      </c>
      <c r="D4872" s="38" t="str">
        <f>IFERROR(__xludf.DUMMYFUNCTION("REGEXREPLACE(C4872,""-\d+(.*)|--\d+(.*)"","""")"),"ERSA")</f>
        <v>ERSA</v>
      </c>
      <c r="E4872" s="38" t="s">
        <v>743</v>
      </c>
      <c r="F4872" s="38" t="s">
        <v>607</v>
      </c>
      <c r="G4872" s="49" t="str">
        <f t="shared" si="1"/>
        <v>20275</v>
      </c>
      <c r="H4872" s="49" t="str">
        <f t="shared" si="2"/>
        <v>2B107</v>
      </c>
    </row>
    <row r="4873">
      <c r="A4873" s="48" t="s">
        <v>7796</v>
      </c>
      <c r="B4873" s="38">
        <v>84064.0</v>
      </c>
      <c r="C4873" s="38" t="s">
        <v>7797</v>
      </c>
      <c r="D4873" s="38" t="str">
        <f>IFERROR(__xludf.DUMMYFUNCTION("REGEXREPLACE(C4873,""-\d+(.*)|--\d+(.*)"","""")"),"LAPALUD")</f>
        <v>LAPALUD</v>
      </c>
      <c r="E4873" s="38" t="s">
        <v>1026</v>
      </c>
      <c r="F4873" s="38" t="s">
        <v>228</v>
      </c>
      <c r="G4873" s="49" t="str">
        <f t="shared" si="1"/>
        <v>84840</v>
      </c>
      <c r="H4873" s="49">
        <f t="shared" si="2"/>
        <v>84064</v>
      </c>
    </row>
    <row r="4874">
      <c r="A4874" s="48" t="s">
        <v>423</v>
      </c>
      <c r="B4874" s="38">
        <v>2201.0</v>
      </c>
      <c r="C4874" s="38" t="s">
        <v>7798</v>
      </c>
      <c r="D4874" s="38" t="str">
        <f>IFERROR(__xludf.DUMMYFUNCTION("REGEXREPLACE(C4874,""-\d+(.*)|--\d+(.*)"","""")"),"COEUVRES-ET-VALSERY")</f>
        <v>COEUVRES-ET-VALSERY</v>
      </c>
      <c r="E4874" s="38" t="s">
        <v>191</v>
      </c>
      <c r="F4874" s="38" t="s">
        <v>113</v>
      </c>
      <c r="G4874" s="49" t="str">
        <f t="shared" si="1"/>
        <v>02600</v>
      </c>
      <c r="H4874" s="49" t="str">
        <f t="shared" si="2"/>
        <v>02201</v>
      </c>
    </row>
    <row r="4875">
      <c r="A4875" s="48" t="s">
        <v>7799</v>
      </c>
      <c r="B4875" s="38">
        <v>7288.0</v>
      </c>
      <c r="C4875" s="38" t="s">
        <v>7800</v>
      </c>
      <c r="D4875" s="38" t="str">
        <f>IFERROR(__xludf.DUMMYFUNCTION("REGEXREPLACE(C4875,""-\d+(.*)|--\d+(.*)"","""")"),"SAINT-PRIEST")</f>
        <v>SAINT-PRIEST</v>
      </c>
      <c r="E4875" s="38" t="s">
        <v>144</v>
      </c>
      <c r="F4875" s="38" t="s">
        <v>102</v>
      </c>
      <c r="G4875" s="49" t="str">
        <f t="shared" si="1"/>
        <v>07000</v>
      </c>
      <c r="H4875" s="49" t="str">
        <f t="shared" si="2"/>
        <v>07288</v>
      </c>
    </row>
    <row r="4876">
      <c r="A4876" s="48" t="s">
        <v>2594</v>
      </c>
      <c r="B4876" s="38">
        <v>69211.0</v>
      </c>
      <c r="C4876" s="38" t="s">
        <v>7801</v>
      </c>
      <c r="D4876" s="38" t="str">
        <f>IFERROR(__xludf.DUMMYFUNCTION("REGEXREPLACE(C4876,""-\d+(.*)|--\d+(.*)"","""")"),"SAINT-JEAN-D'ARDIERES")</f>
        <v>SAINT-JEAN-D'ARDIERES</v>
      </c>
      <c r="E4876" s="38" t="s">
        <v>350</v>
      </c>
      <c r="F4876" s="38" t="s">
        <v>102</v>
      </c>
      <c r="G4876" s="49" t="str">
        <f t="shared" si="1"/>
        <v>69220</v>
      </c>
      <c r="H4876" s="49">
        <f t="shared" si="2"/>
        <v>69211</v>
      </c>
    </row>
    <row r="4877">
      <c r="A4877" s="48" t="s">
        <v>7802</v>
      </c>
      <c r="B4877" s="38">
        <v>35152.0</v>
      </c>
      <c r="C4877" s="38" t="s">
        <v>7803</v>
      </c>
      <c r="D4877" s="38" t="str">
        <f>IFERROR(__xludf.DUMMYFUNCTION("REGEXREPLACE(C4877,""-\d+(.*)|--\d+(.*)"","""")"),"LIFFRE")</f>
        <v>LIFFRE</v>
      </c>
      <c r="E4877" s="38" t="s">
        <v>347</v>
      </c>
      <c r="F4877" s="38" t="s">
        <v>90</v>
      </c>
      <c r="G4877" s="49" t="str">
        <f t="shared" si="1"/>
        <v>35340</v>
      </c>
      <c r="H4877" s="49">
        <f t="shared" si="2"/>
        <v>35152</v>
      </c>
    </row>
    <row r="4878">
      <c r="A4878" s="48" t="s">
        <v>7804</v>
      </c>
      <c r="B4878" s="38">
        <v>51127.0</v>
      </c>
      <c r="C4878" s="38" t="s">
        <v>7805</v>
      </c>
      <c r="D4878" s="38" t="str">
        <f>IFERROR(__xludf.DUMMYFUNCTION("REGEXREPLACE(C4878,""-\d+(.*)|--\d+(.*)"","""")"),"LA CHAPELLE-LASSON")</f>
        <v>LA CHAPELLE-LASSON</v>
      </c>
      <c r="E4878" s="38" t="s">
        <v>129</v>
      </c>
      <c r="F4878" s="38" t="s">
        <v>130</v>
      </c>
      <c r="G4878" s="49" t="str">
        <f t="shared" si="1"/>
        <v>51260</v>
      </c>
      <c r="H4878" s="49">
        <f t="shared" si="2"/>
        <v>51127</v>
      </c>
    </row>
    <row r="4879">
      <c r="A4879" s="48" t="s">
        <v>4563</v>
      </c>
      <c r="B4879" s="38">
        <v>38120.0</v>
      </c>
      <c r="C4879" s="38" t="s">
        <v>7806</v>
      </c>
      <c r="D4879" s="38" t="str">
        <f>IFERROR(__xludf.DUMMYFUNCTION("REGEXREPLACE(C4879,""-\d+(.*)|--\d+(.*)"","""")"),"LA COMBE-DE-LANCEY")</f>
        <v>LA COMBE-DE-LANCEY</v>
      </c>
      <c r="E4879" s="38" t="s">
        <v>101</v>
      </c>
      <c r="F4879" s="38" t="s">
        <v>102</v>
      </c>
      <c r="G4879" s="49" t="str">
        <f t="shared" si="1"/>
        <v>38190</v>
      </c>
      <c r="H4879" s="49">
        <f t="shared" si="2"/>
        <v>38120</v>
      </c>
    </row>
    <row r="4880">
      <c r="A4880" s="48" t="s">
        <v>7807</v>
      </c>
      <c r="B4880" s="38">
        <v>57466.0</v>
      </c>
      <c r="C4880" s="38" t="s">
        <v>7808</v>
      </c>
      <c r="D4880" s="38" t="str">
        <f>IFERROR(__xludf.DUMMYFUNCTION("REGEXREPLACE(C4880,""-\d+(.*)|--\d+(.*)"","""")"),"METZING")</f>
        <v>METZING</v>
      </c>
      <c r="E4880" s="38" t="s">
        <v>303</v>
      </c>
      <c r="F4880" s="38" t="s">
        <v>195</v>
      </c>
      <c r="G4880" s="49" t="str">
        <f t="shared" si="1"/>
        <v>57980</v>
      </c>
      <c r="H4880" s="49">
        <f t="shared" si="2"/>
        <v>57466</v>
      </c>
    </row>
    <row r="4881">
      <c r="A4881" s="48" t="s">
        <v>2800</v>
      </c>
      <c r="B4881" s="38">
        <v>77500.0</v>
      </c>
      <c r="C4881" s="38" t="s">
        <v>7809</v>
      </c>
      <c r="D4881" s="38" t="str">
        <f>IFERROR(__xludf.DUMMYFUNCTION("REGEXREPLACE(C4881,""-\d+(.*)|--\d+(.*)"","""")"),"VILLEBEON")</f>
        <v>VILLEBEON</v>
      </c>
      <c r="E4881" s="38" t="s">
        <v>244</v>
      </c>
      <c r="F4881" s="38" t="s">
        <v>245</v>
      </c>
      <c r="G4881" s="49" t="str">
        <f t="shared" si="1"/>
        <v>77710</v>
      </c>
      <c r="H4881" s="49">
        <f t="shared" si="2"/>
        <v>77500</v>
      </c>
    </row>
    <row r="4882">
      <c r="A4882" s="48" t="s">
        <v>5453</v>
      </c>
      <c r="B4882" s="38">
        <v>52396.0</v>
      </c>
      <c r="C4882" s="38" t="s">
        <v>7810</v>
      </c>
      <c r="D4882" s="38" t="str">
        <f>IFERROR(__xludf.DUMMYFUNCTION("REGEXREPLACE(C4882,""-\d+(.*)|--\d+(.*)"","""")"),"POINSON-LES-NOGENT")</f>
        <v>POINSON-LES-NOGENT</v>
      </c>
      <c r="E4882" s="38" t="s">
        <v>234</v>
      </c>
      <c r="F4882" s="38" t="s">
        <v>130</v>
      </c>
      <c r="G4882" s="49" t="str">
        <f t="shared" si="1"/>
        <v>52800</v>
      </c>
      <c r="H4882" s="49">
        <f t="shared" si="2"/>
        <v>52396</v>
      </c>
    </row>
    <row r="4883">
      <c r="A4883" s="48" t="s">
        <v>7811</v>
      </c>
      <c r="B4883" s="38">
        <v>59187.0</v>
      </c>
      <c r="C4883" s="38" t="s">
        <v>7812</v>
      </c>
      <c r="D4883" s="38" t="str">
        <f>IFERROR(__xludf.DUMMYFUNCTION("REGEXREPLACE(C4883,""-\d+(.*)|--\d+(.*)"","""")"),"ECLAIBES")</f>
        <v>ECLAIBES</v>
      </c>
      <c r="E4883" s="38" t="s">
        <v>85</v>
      </c>
      <c r="F4883" s="38" t="s">
        <v>86</v>
      </c>
      <c r="G4883" s="49" t="str">
        <f t="shared" si="1"/>
        <v>59330</v>
      </c>
      <c r="H4883" s="49">
        <f t="shared" si="2"/>
        <v>59187</v>
      </c>
    </row>
    <row r="4884">
      <c r="A4884" s="48" t="s">
        <v>7813</v>
      </c>
      <c r="B4884" s="38">
        <v>35303.0</v>
      </c>
      <c r="C4884" s="38" t="s">
        <v>7814</v>
      </c>
      <c r="D4884" s="38" t="str">
        <f>IFERROR(__xludf.DUMMYFUNCTION("REGEXREPLACE(C4884,""-\d+(.*)|--\d+(.*)"","""")"),"SAINT-OUEN-LA-ROUERIE")</f>
        <v>SAINT-OUEN-LA-ROUERIE</v>
      </c>
      <c r="E4884" s="38" t="s">
        <v>347</v>
      </c>
      <c r="F4884" s="38" t="s">
        <v>90</v>
      </c>
      <c r="G4884" s="49" t="str">
        <f t="shared" si="1"/>
        <v>35460</v>
      </c>
      <c r="H4884" s="49">
        <f t="shared" si="2"/>
        <v>35303</v>
      </c>
    </row>
    <row r="4885">
      <c r="A4885" s="48" t="s">
        <v>7431</v>
      </c>
      <c r="B4885" s="38">
        <v>77028.0</v>
      </c>
      <c r="C4885" s="38" t="s">
        <v>7815</v>
      </c>
      <c r="D4885" s="38" t="str">
        <f>IFERROR(__xludf.DUMMYFUNCTION("REGEXREPLACE(C4885,""-\d+(.*)|--\d+(.*)"","""")"),"BEAUTHEIL")</f>
        <v>BEAUTHEIL</v>
      </c>
      <c r="E4885" s="38" t="s">
        <v>244</v>
      </c>
      <c r="F4885" s="38" t="s">
        <v>245</v>
      </c>
      <c r="G4885" s="49" t="str">
        <f t="shared" si="1"/>
        <v>77120</v>
      </c>
      <c r="H4885" s="49">
        <f t="shared" si="2"/>
        <v>77028</v>
      </c>
    </row>
    <row r="4886">
      <c r="A4886" s="48" t="s">
        <v>7816</v>
      </c>
      <c r="B4886" s="38">
        <v>6011.0</v>
      </c>
      <c r="C4886" s="38" t="s">
        <v>7817</v>
      </c>
      <c r="D4886" s="38" t="str">
        <f>IFERROR(__xludf.DUMMYFUNCTION("REGEXREPLACE(C4886,""-\d+(.*)|--\d+(.*)"","""")"),"BEAULIEU-SUR-MER")</f>
        <v>BEAULIEU-SUR-MER</v>
      </c>
      <c r="E4886" s="38" t="s">
        <v>227</v>
      </c>
      <c r="F4886" s="38" t="s">
        <v>228</v>
      </c>
      <c r="G4886" s="49" t="str">
        <f t="shared" si="1"/>
        <v>06310</v>
      </c>
      <c r="H4886" s="49" t="str">
        <f t="shared" si="2"/>
        <v>06011</v>
      </c>
    </row>
    <row r="4887">
      <c r="A4887" s="48" t="s">
        <v>7818</v>
      </c>
      <c r="B4887" s="38">
        <v>90006.0</v>
      </c>
      <c r="C4887" s="38" t="s">
        <v>7819</v>
      </c>
      <c r="D4887" s="38" t="str">
        <f>IFERROR(__xludf.DUMMYFUNCTION("REGEXREPLACE(C4887,""-\d+(.*)|--\d+(.*)"","""")"),"AUXELLES-HAUT")</f>
        <v>AUXELLES-HAUT</v>
      </c>
      <c r="E4887" s="38" t="s">
        <v>1283</v>
      </c>
      <c r="F4887" s="38" t="s">
        <v>214</v>
      </c>
      <c r="G4887" s="49" t="str">
        <f t="shared" si="1"/>
        <v>90200</v>
      </c>
      <c r="H4887" s="49">
        <f t="shared" si="2"/>
        <v>90006</v>
      </c>
    </row>
    <row r="4888">
      <c r="A4888" s="48" t="s">
        <v>2794</v>
      </c>
      <c r="B4888" s="38">
        <v>39263.0</v>
      </c>
      <c r="C4888" s="38" t="s">
        <v>7820</v>
      </c>
      <c r="D4888" s="38" t="str">
        <f>IFERROR(__xludf.DUMMYFUNCTION("REGEXREPLACE(C4888,""-\d+(.*)|--\d+(.*)"","""")"),"GROZON")</f>
        <v>GROZON</v>
      </c>
      <c r="E4888" s="38" t="s">
        <v>400</v>
      </c>
      <c r="F4888" s="38" t="s">
        <v>214</v>
      </c>
      <c r="G4888" s="49" t="str">
        <f t="shared" si="1"/>
        <v>39800</v>
      </c>
      <c r="H4888" s="49">
        <f t="shared" si="2"/>
        <v>39263</v>
      </c>
    </row>
    <row r="4889">
      <c r="A4889" s="48" t="s">
        <v>2697</v>
      </c>
      <c r="B4889" s="38">
        <v>61511.0</v>
      </c>
      <c r="C4889" s="38" t="s">
        <v>2199</v>
      </c>
      <c r="D4889" s="38" t="str">
        <f>IFERROR(__xludf.DUMMYFUNCTION("REGEXREPLACE(C4889,""-\d+(.*)|--\d+(.*)"","""")"),"VRIGNY")</f>
        <v>VRIGNY</v>
      </c>
      <c r="E4889" s="38" t="s">
        <v>141</v>
      </c>
      <c r="F4889" s="38" t="s">
        <v>138</v>
      </c>
      <c r="G4889" s="49" t="str">
        <f t="shared" si="1"/>
        <v>61570</v>
      </c>
      <c r="H4889" s="49">
        <f t="shared" si="2"/>
        <v>61511</v>
      </c>
    </row>
    <row r="4890">
      <c r="A4890" s="48" t="s">
        <v>7821</v>
      </c>
      <c r="B4890" s="38">
        <v>8071.0</v>
      </c>
      <c r="C4890" s="38" t="s">
        <v>7822</v>
      </c>
      <c r="D4890" s="38" t="str">
        <f>IFERROR(__xludf.DUMMYFUNCTION("REGEXREPLACE(C4890,""-\d+(.*)|--\d+(.*)"","""")"),"BLOMBAY")</f>
        <v>BLOMBAY</v>
      </c>
      <c r="E4890" s="38" t="s">
        <v>327</v>
      </c>
      <c r="F4890" s="38" t="s">
        <v>130</v>
      </c>
      <c r="G4890" s="49" t="str">
        <f t="shared" si="1"/>
        <v>08260</v>
      </c>
      <c r="H4890" s="49" t="str">
        <f t="shared" si="2"/>
        <v>08071</v>
      </c>
    </row>
    <row r="4891">
      <c r="A4891" s="48" t="s">
        <v>5125</v>
      </c>
      <c r="B4891" s="38">
        <v>49150.0</v>
      </c>
      <c r="C4891" s="38" t="s">
        <v>7823</v>
      </c>
      <c r="D4891" s="38" t="str">
        <f>IFERROR(__xludf.DUMMYFUNCTION("REGEXREPLACE(C4891,""-\d+(.*)|--\d+(.*)"","""")"),"GENNETEIL")</f>
        <v>GENNETEIL</v>
      </c>
      <c r="E4891" s="38" t="s">
        <v>653</v>
      </c>
      <c r="F4891" s="38" t="s">
        <v>180</v>
      </c>
      <c r="G4891" s="49" t="str">
        <f t="shared" si="1"/>
        <v>49490</v>
      </c>
      <c r="H4891" s="49">
        <f t="shared" si="2"/>
        <v>49150</v>
      </c>
    </row>
    <row r="4892">
      <c r="A4892" s="48" t="s">
        <v>7824</v>
      </c>
      <c r="B4892" s="38">
        <v>82011.0</v>
      </c>
      <c r="C4892" s="38" t="s">
        <v>7825</v>
      </c>
      <c r="D4892" s="38" t="str">
        <f>IFERROR(__xludf.DUMMYFUNCTION("REGEXREPLACE(C4892,""-\d+(.*)|--\d+(.*)"","""")"),"BARRY-D'ISLEMADE")</f>
        <v>BARRY-D'ISLEMADE</v>
      </c>
      <c r="E4892" s="38" t="s">
        <v>570</v>
      </c>
      <c r="F4892" s="38" t="s">
        <v>94</v>
      </c>
      <c r="G4892" s="49" t="str">
        <f t="shared" si="1"/>
        <v>82290</v>
      </c>
      <c r="H4892" s="49">
        <f t="shared" si="2"/>
        <v>82011</v>
      </c>
    </row>
    <row r="4893">
      <c r="A4893" s="48" t="s">
        <v>7826</v>
      </c>
      <c r="B4893" s="38">
        <v>73242.0</v>
      </c>
      <c r="C4893" s="38" t="s">
        <v>7827</v>
      </c>
      <c r="D4893" s="38" t="str">
        <f>IFERROR(__xludf.DUMMYFUNCTION("REGEXREPLACE(C4893,""-\d+(.*)|--\d+(.*)"","""")"),"SAINT-JEAN-D'ARVES")</f>
        <v>SAINT-JEAN-D'ARVES</v>
      </c>
      <c r="E4893" s="38" t="s">
        <v>306</v>
      </c>
      <c r="F4893" s="38" t="s">
        <v>102</v>
      </c>
      <c r="G4893" s="49" t="str">
        <f t="shared" si="1"/>
        <v>73530</v>
      </c>
      <c r="H4893" s="49">
        <f t="shared" si="2"/>
        <v>73242</v>
      </c>
    </row>
    <row r="4894">
      <c r="A4894" s="48" t="s">
        <v>5501</v>
      </c>
      <c r="B4894" s="38">
        <v>62349.0</v>
      </c>
      <c r="C4894" s="38" t="s">
        <v>7828</v>
      </c>
      <c r="D4894" s="38" t="str">
        <f>IFERROR(__xludf.DUMMYFUNCTION("REGEXREPLACE(C4894,""-\d+(.*)|--\d+(.*)"","""")"),"FOUQUEREUIL")</f>
        <v>FOUQUEREUIL</v>
      </c>
      <c r="E4894" s="38" t="s">
        <v>109</v>
      </c>
      <c r="F4894" s="38" t="s">
        <v>86</v>
      </c>
      <c r="G4894" s="49" t="str">
        <f t="shared" si="1"/>
        <v>62232</v>
      </c>
      <c r="H4894" s="49">
        <f t="shared" si="2"/>
        <v>62349</v>
      </c>
    </row>
    <row r="4895">
      <c r="A4895" s="48" t="s">
        <v>7829</v>
      </c>
      <c r="B4895" s="38">
        <v>89062.0</v>
      </c>
      <c r="C4895" s="38" t="s">
        <v>7830</v>
      </c>
      <c r="D4895" s="38" t="str">
        <f>IFERROR(__xludf.DUMMYFUNCTION("REGEXREPLACE(C4895,""-\d+(.*)|--\d+(.*)"","""")"),"CARISEY")</f>
        <v>CARISEY</v>
      </c>
      <c r="E4895" s="38" t="s">
        <v>275</v>
      </c>
      <c r="F4895" s="38" t="s">
        <v>106</v>
      </c>
      <c r="G4895" s="49" t="str">
        <f t="shared" si="1"/>
        <v>89360</v>
      </c>
      <c r="H4895" s="49">
        <f t="shared" si="2"/>
        <v>89062</v>
      </c>
    </row>
    <row r="4896">
      <c r="A4896" s="48" t="s">
        <v>7831</v>
      </c>
      <c r="B4896" s="38">
        <v>97128.0</v>
      </c>
      <c r="C4896" s="38" t="s">
        <v>7832</v>
      </c>
      <c r="D4896" s="38" t="str">
        <f>IFERROR(__xludf.DUMMYFUNCTION("REGEXREPLACE(C4896,""-\d+(.*)|--\d+(.*)"","""")"),"SAINTE-ANNE")</f>
        <v>SAINTE-ANNE</v>
      </c>
      <c r="E4896" s="38" t="s">
        <v>2023</v>
      </c>
      <c r="F4896" s="38" t="s">
        <v>2023</v>
      </c>
      <c r="G4896" s="49" t="str">
        <f t="shared" si="1"/>
        <v>97180</v>
      </c>
      <c r="H4896" s="49">
        <f t="shared" si="2"/>
        <v>97128</v>
      </c>
    </row>
    <row r="4897">
      <c r="A4897" s="48" t="s">
        <v>7833</v>
      </c>
      <c r="B4897" s="38">
        <v>78251.0</v>
      </c>
      <c r="C4897" s="38" t="s">
        <v>7834</v>
      </c>
      <c r="D4897" s="38" t="str">
        <f>IFERROR(__xludf.DUMMYFUNCTION("REGEXREPLACE(C4897,""-\d+(.*)|--\d+(.*)"","""")"),"FOURQUEUX")</f>
        <v>FOURQUEUX</v>
      </c>
      <c r="E4897" s="38" t="s">
        <v>362</v>
      </c>
      <c r="F4897" s="38" t="s">
        <v>245</v>
      </c>
      <c r="G4897" s="49" t="str">
        <f t="shared" si="1"/>
        <v>78112</v>
      </c>
      <c r="H4897" s="49">
        <f t="shared" si="2"/>
        <v>78251</v>
      </c>
    </row>
    <row r="4898">
      <c r="A4898" s="48" t="s">
        <v>7835</v>
      </c>
      <c r="B4898" s="38">
        <v>83120.0</v>
      </c>
      <c r="C4898" s="38" t="s">
        <v>7836</v>
      </c>
      <c r="D4898" s="38" t="str">
        <f>IFERROR(__xludf.DUMMYFUNCTION("REGEXREPLACE(C4898,""-\d+(.*)|--\d+(.*)"","""")"),"SAINT-ZACHARIE")</f>
        <v>SAINT-ZACHARIE</v>
      </c>
      <c r="E4898" s="38" t="s">
        <v>813</v>
      </c>
      <c r="F4898" s="38" t="s">
        <v>228</v>
      </c>
      <c r="G4898" s="49" t="str">
        <f t="shared" si="1"/>
        <v>83640</v>
      </c>
      <c r="H4898" s="49">
        <f t="shared" si="2"/>
        <v>83120</v>
      </c>
    </row>
    <row r="4899">
      <c r="A4899" s="48" t="s">
        <v>5400</v>
      </c>
      <c r="B4899" s="38">
        <v>72213.0</v>
      </c>
      <c r="C4899" s="38" t="s">
        <v>7837</v>
      </c>
      <c r="D4899" s="38" t="str">
        <f>IFERROR(__xludf.DUMMYFUNCTION("REGEXREPLACE(C4899,""-\d+(.*)|--\d+(.*)"","""")"),"MULSANNE")</f>
        <v>MULSANNE</v>
      </c>
      <c r="E4899" s="38" t="s">
        <v>521</v>
      </c>
      <c r="F4899" s="38" t="s">
        <v>180</v>
      </c>
      <c r="G4899" s="49" t="str">
        <f t="shared" si="1"/>
        <v>72230</v>
      </c>
      <c r="H4899" s="49">
        <f t="shared" si="2"/>
        <v>72213</v>
      </c>
    </row>
    <row r="4900">
      <c r="A4900" s="48" t="s">
        <v>645</v>
      </c>
      <c r="B4900" s="38">
        <v>57191.0</v>
      </c>
      <c r="C4900" s="38" t="s">
        <v>7838</v>
      </c>
      <c r="D4900" s="38" t="str">
        <f>IFERROR(__xludf.DUMMYFUNCTION("REGEXREPLACE(C4900,""-\d+(.*)|--\d+(.*)"","""")"),"ELZANGE")</f>
        <v>ELZANGE</v>
      </c>
      <c r="E4900" s="38" t="s">
        <v>303</v>
      </c>
      <c r="F4900" s="38" t="s">
        <v>195</v>
      </c>
      <c r="G4900" s="49" t="str">
        <f t="shared" si="1"/>
        <v>57970</v>
      </c>
      <c r="H4900" s="49">
        <f t="shared" si="2"/>
        <v>57191</v>
      </c>
    </row>
    <row r="4901">
      <c r="A4901" s="48" t="s">
        <v>7263</v>
      </c>
      <c r="B4901" s="38">
        <v>88224.0</v>
      </c>
      <c r="C4901" s="38" t="s">
        <v>7839</v>
      </c>
      <c r="D4901" s="38" t="str">
        <f>IFERROR(__xludf.DUMMYFUNCTION("REGEXREPLACE(C4901,""-\d+(.*)|--\d+(.*)"","""")"),"HADIGNY-LES-VERRIERES")</f>
        <v>HADIGNY-LES-VERRIERES</v>
      </c>
      <c r="E4901" s="38" t="s">
        <v>194</v>
      </c>
      <c r="F4901" s="38" t="s">
        <v>195</v>
      </c>
      <c r="G4901" s="49" t="str">
        <f t="shared" si="1"/>
        <v>88330</v>
      </c>
      <c r="H4901" s="49">
        <f t="shared" si="2"/>
        <v>88224</v>
      </c>
    </row>
    <row r="4902">
      <c r="A4902" s="48" t="s">
        <v>5268</v>
      </c>
      <c r="B4902" s="38">
        <v>49014.0</v>
      </c>
      <c r="C4902" s="38" t="s">
        <v>7840</v>
      </c>
      <c r="D4902" s="38" t="str">
        <f>IFERROR(__xludf.DUMMYFUNCTION("REGEXREPLACE(C4902,""-\d+(.*)|--\d+(.*)"","""")"),"AVIRE")</f>
        <v>AVIRE</v>
      </c>
      <c r="E4902" s="38" t="s">
        <v>653</v>
      </c>
      <c r="F4902" s="38" t="s">
        <v>180</v>
      </c>
      <c r="G4902" s="49" t="str">
        <f t="shared" si="1"/>
        <v>49500</v>
      </c>
      <c r="H4902" s="49">
        <f t="shared" si="2"/>
        <v>49014</v>
      </c>
    </row>
    <row r="4903">
      <c r="A4903" s="48" t="s">
        <v>2290</v>
      </c>
      <c r="B4903" s="38">
        <v>38452.0</v>
      </c>
      <c r="C4903" s="38" t="s">
        <v>7841</v>
      </c>
      <c r="D4903" s="38" t="str">
        <f>IFERROR(__xludf.DUMMYFUNCTION("REGEXREPLACE(C4903,""-\d+(.*)|--\d+(.*)"","""")"),"SAINT-ROMAIN-DE-SURIEU")</f>
        <v>SAINT-ROMAIN-DE-SURIEU</v>
      </c>
      <c r="E4903" s="38" t="s">
        <v>101</v>
      </c>
      <c r="F4903" s="38" t="s">
        <v>102</v>
      </c>
      <c r="G4903" s="49" t="str">
        <f t="shared" si="1"/>
        <v>38150</v>
      </c>
      <c r="H4903" s="49">
        <f t="shared" si="2"/>
        <v>38452</v>
      </c>
    </row>
    <row r="4904">
      <c r="A4904" s="48" t="s">
        <v>7188</v>
      </c>
      <c r="B4904" s="38">
        <v>11406.0</v>
      </c>
      <c r="C4904" s="38" t="s">
        <v>7842</v>
      </c>
      <c r="D4904" s="38" t="str">
        <f>IFERROR(__xludf.DUMMYFUNCTION("REGEXREPLACE(C4904,""-\d+(.*)|--\d+(.*)"","""")"),"VERAZA")</f>
        <v>VERAZA</v>
      </c>
      <c r="E4904" s="38" t="s">
        <v>278</v>
      </c>
      <c r="F4904" s="38" t="s">
        <v>119</v>
      </c>
      <c r="G4904" s="49" t="str">
        <f t="shared" si="1"/>
        <v>11580</v>
      </c>
      <c r="H4904" s="49">
        <f t="shared" si="2"/>
        <v>11406</v>
      </c>
    </row>
    <row r="4905">
      <c r="A4905" s="48" t="s">
        <v>7843</v>
      </c>
      <c r="B4905" s="38">
        <v>49353.0</v>
      </c>
      <c r="C4905" s="38" t="s">
        <v>7844</v>
      </c>
      <c r="D4905" s="38" t="str">
        <f>IFERROR(__xludf.DUMMYFUNCTION("REGEXREPLACE(C4905,""-\d+(.*)|--\d+(.*)"","""")"),"TRELAZE")</f>
        <v>TRELAZE</v>
      </c>
      <c r="E4905" s="38" t="s">
        <v>653</v>
      </c>
      <c r="F4905" s="38" t="s">
        <v>180</v>
      </c>
      <c r="G4905" s="49" t="str">
        <f t="shared" si="1"/>
        <v>49800</v>
      </c>
      <c r="H4905" s="49">
        <f t="shared" si="2"/>
        <v>49353</v>
      </c>
    </row>
    <row r="4906">
      <c r="A4906" s="48" t="s">
        <v>7845</v>
      </c>
      <c r="B4906" s="38">
        <v>12246.0</v>
      </c>
      <c r="C4906" s="38" t="s">
        <v>7846</v>
      </c>
      <c r="D4906" s="38" t="str">
        <f>IFERROR(__xludf.DUMMYFUNCTION("REGEXREPLACE(C4906,""-\d+(.*)|--\d+(.*)"","""")"),"SAINT-SANTIN")</f>
        <v>SAINT-SANTIN</v>
      </c>
      <c r="E4906" s="38" t="s">
        <v>465</v>
      </c>
      <c r="F4906" s="38" t="s">
        <v>94</v>
      </c>
      <c r="G4906" s="49" t="str">
        <f t="shared" si="1"/>
        <v>12300</v>
      </c>
      <c r="H4906" s="49">
        <f t="shared" si="2"/>
        <v>12246</v>
      </c>
    </row>
    <row r="4907">
      <c r="A4907" s="48" t="s">
        <v>3339</v>
      </c>
      <c r="B4907" s="38">
        <v>67387.0</v>
      </c>
      <c r="C4907" s="38" t="s">
        <v>7847</v>
      </c>
      <c r="D4907" s="38" t="str">
        <f>IFERROR(__xludf.DUMMYFUNCTION("REGEXREPLACE(C4907,""-\d+(.*)|--\d+(.*)"","""")"),"REICHSFELD")</f>
        <v>REICHSFELD</v>
      </c>
      <c r="E4907" s="38" t="s">
        <v>210</v>
      </c>
      <c r="F4907" s="38" t="s">
        <v>151</v>
      </c>
      <c r="G4907" s="49" t="str">
        <f t="shared" si="1"/>
        <v>67140</v>
      </c>
      <c r="H4907" s="49">
        <f t="shared" si="2"/>
        <v>67387</v>
      </c>
    </row>
    <row r="4908">
      <c r="A4908" s="48" t="s">
        <v>4924</v>
      </c>
      <c r="B4908" s="38">
        <v>56249.0</v>
      </c>
      <c r="C4908" s="38" t="s">
        <v>7848</v>
      </c>
      <c r="D4908" s="38" t="str">
        <f>IFERROR(__xludf.DUMMYFUNCTION("REGEXREPLACE(C4908,""-\d+(.*)|--\d+(.*)"","""")"),"TAUPONT")</f>
        <v>TAUPONT</v>
      </c>
      <c r="E4908" s="38" t="s">
        <v>173</v>
      </c>
      <c r="F4908" s="38" t="s">
        <v>90</v>
      </c>
      <c r="G4908" s="49" t="str">
        <f t="shared" si="1"/>
        <v>56800</v>
      </c>
      <c r="H4908" s="49">
        <f t="shared" si="2"/>
        <v>56249</v>
      </c>
    </row>
    <row r="4909">
      <c r="A4909" s="48" t="s">
        <v>369</v>
      </c>
      <c r="B4909" s="38">
        <v>63379.0</v>
      </c>
      <c r="C4909" s="38" t="s">
        <v>7849</v>
      </c>
      <c r="D4909" s="38" t="str">
        <f>IFERROR(__xludf.DUMMYFUNCTION("REGEXREPLACE(C4909,""-\d+(.*)|--\d+(.*)"","""")"),"SAINT-MYON")</f>
        <v>SAINT-MYON</v>
      </c>
      <c r="E4909" s="38" t="s">
        <v>353</v>
      </c>
      <c r="F4909" s="38" t="s">
        <v>161</v>
      </c>
      <c r="G4909" s="49" t="str">
        <f t="shared" si="1"/>
        <v>63460</v>
      </c>
      <c r="H4909" s="49">
        <f t="shared" si="2"/>
        <v>63379</v>
      </c>
    </row>
    <row r="4910">
      <c r="A4910" s="48" t="s">
        <v>7850</v>
      </c>
      <c r="B4910" s="38">
        <v>44131.0</v>
      </c>
      <c r="C4910" s="38" t="s">
        <v>7851</v>
      </c>
      <c r="D4910" s="38" t="str">
        <f>IFERROR(__xludf.DUMMYFUNCTION("REGEXREPLACE(C4910,""-\d+(.*)|--\d+(.*)"","""")"),"PORNIC")</f>
        <v>PORNIC</v>
      </c>
      <c r="E4910" s="38" t="s">
        <v>759</v>
      </c>
      <c r="F4910" s="38" t="s">
        <v>180</v>
      </c>
      <c r="G4910" s="49" t="str">
        <f t="shared" si="1"/>
        <v>44210</v>
      </c>
      <c r="H4910" s="49">
        <f t="shared" si="2"/>
        <v>44131</v>
      </c>
    </row>
    <row r="4911">
      <c r="A4911" s="48" t="s">
        <v>7852</v>
      </c>
      <c r="B4911" s="38">
        <v>38213.0</v>
      </c>
      <c r="C4911" s="38" t="s">
        <v>7853</v>
      </c>
      <c r="D4911" s="38" t="str">
        <f>IFERROR(__xludf.DUMMYFUNCTION("REGEXREPLACE(C4911,""-\d+(.*)|--\d+(.*)"","""")"),"LONGECHENAL")</f>
        <v>LONGECHENAL</v>
      </c>
      <c r="E4911" s="38" t="s">
        <v>101</v>
      </c>
      <c r="F4911" s="38" t="s">
        <v>102</v>
      </c>
      <c r="G4911" s="49" t="str">
        <f t="shared" si="1"/>
        <v>38690</v>
      </c>
      <c r="H4911" s="49">
        <f t="shared" si="2"/>
        <v>38213</v>
      </c>
    </row>
    <row r="4912">
      <c r="A4912" s="48" t="s">
        <v>7854</v>
      </c>
      <c r="B4912" s="38">
        <v>34289.0</v>
      </c>
      <c r="C4912" s="38" t="s">
        <v>7855</v>
      </c>
      <c r="D4912" s="38" t="str">
        <f>IFERROR(__xludf.DUMMYFUNCTION("REGEXREPLACE(C4912,""-\d+(.*)|--\d+(.*)"","""")"),"SAINT-THIBERY")</f>
        <v>SAINT-THIBERY</v>
      </c>
      <c r="E4912" s="38" t="s">
        <v>118</v>
      </c>
      <c r="F4912" s="38" t="s">
        <v>119</v>
      </c>
      <c r="G4912" s="49" t="str">
        <f t="shared" si="1"/>
        <v>34630</v>
      </c>
      <c r="H4912" s="49">
        <f t="shared" si="2"/>
        <v>34289</v>
      </c>
    </row>
    <row r="4913">
      <c r="A4913" s="48" t="s">
        <v>7856</v>
      </c>
      <c r="B4913" s="38">
        <v>44125.0</v>
      </c>
      <c r="C4913" s="38" t="s">
        <v>7857</v>
      </c>
      <c r="D4913" s="38" t="str">
        <f>IFERROR(__xludf.DUMMYFUNCTION("REGEXREPLACE(C4913,""-\d+(.*)|--\d+(.*)"","""")"),"PIRIAC-SUR-MER")</f>
        <v>PIRIAC-SUR-MER</v>
      </c>
      <c r="E4913" s="38" t="s">
        <v>759</v>
      </c>
      <c r="F4913" s="38" t="s">
        <v>180</v>
      </c>
      <c r="G4913" s="49" t="str">
        <f t="shared" si="1"/>
        <v>44420</v>
      </c>
      <c r="H4913" s="49">
        <f t="shared" si="2"/>
        <v>44125</v>
      </c>
    </row>
    <row r="4914">
      <c r="A4914" s="48" t="s">
        <v>6701</v>
      </c>
      <c r="B4914" s="38">
        <v>77104.0</v>
      </c>
      <c r="C4914" s="38" t="s">
        <v>7261</v>
      </c>
      <c r="D4914" s="38" t="str">
        <f>IFERROR(__xludf.DUMMYFUNCTION("REGEXREPLACE(C4914,""-\d+(.*)|--\d+(.*)"","""")"),"CHATRES")</f>
        <v>CHATRES</v>
      </c>
      <c r="E4914" s="38" t="s">
        <v>244</v>
      </c>
      <c r="F4914" s="38" t="s">
        <v>245</v>
      </c>
      <c r="G4914" s="49" t="str">
        <f t="shared" si="1"/>
        <v>77610</v>
      </c>
      <c r="H4914" s="49">
        <f t="shared" si="2"/>
        <v>77104</v>
      </c>
    </row>
    <row r="4915">
      <c r="A4915" s="48" t="s">
        <v>7858</v>
      </c>
      <c r="B4915" s="38">
        <v>47131.0</v>
      </c>
      <c r="C4915" s="38" t="s">
        <v>7859</v>
      </c>
      <c r="D4915" s="38" t="str">
        <f>IFERROR(__xludf.DUMMYFUNCTION("REGEXREPLACE(C4915,""-\d+(.*)|--\d+(.*)"","""")"),"LAGUPIE")</f>
        <v>LAGUPIE</v>
      </c>
      <c r="E4915" s="38" t="s">
        <v>251</v>
      </c>
      <c r="F4915" s="38" t="s">
        <v>252</v>
      </c>
      <c r="G4915" s="49" t="str">
        <f t="shared" si="1"/>
        <v>47180</v>
      </c>
      <c r="H4915" s="49">
        <f t="shared" si="2"/>
        <v>47131</v>
      </c>
    </row>
    <row r="4916">
      <c r="A4916" s="48" t="s">
        <v>3315</v>
      </c>
      <c r="B4916" s="38">
        <v>12009.0</v>
      </c>
      <c r="C4916" s="38" t="s">
        <v>7860</v>
      </c>
      <c r="D4916" s="38" t="str">
        <f>IFERROR(__xludf.DUMMYFUNCTION("REGEXREPLACE(C4916,""-\d+(.*)|--\d+(.*)"","""")"),"ARNAC-SUR-DOURDOU")</f>
        <v>ARNAC-SUR-DOURDOU</v>
      </c>
      <c r="E4916" s="38" t="s">
        <v>465</v>
      </c>
      <c r="F4916" s="38" t="s">
        <v>94</v>
      </c>
      <c r="G4916" s="49" t="str">
        <f t="shared" si="1"/>
        <v>12360</v>
      </c>
      <c r="H4916" s="49">
        <f t="shared" si="2"/>
        <v>12009</v>
      </c>
    </row>
    <row r="4917">
      <c r="A4917" s="48" t="s">
        <v>7861</v>
      </c>
      <c r="B4917" s="38">
        <v>78397.0</v>
      </c>
      <c r="C4917" s="38" t="s">
        <v>7862</v>
      </c>
      <c r="D4917" s="38" t="str">
        <f>IFERROR(__xludf.DUMMYFUNCTION("REGEXREPLACE(C4917,""-\d+(.*)|--\d+(.*)"","""")"),"LE MESNIL-SAINT-DENIS")</f>
        <v>LE MESNIL-SAINT-DENIS</v>
      </c>
      <c r="E4917" s="38" t="s">
        <v>362</v>
      </c>
      <c r="F4917" s="38" t="s">
        <v>245</v>
      </c>
      <c r="G4917" s="49" t="str">
        <f t="shared" si="1"/>
        <v>78320</v>
      </c>
      <c r="H4917" s="49">
        <f t="shared" si="2"/>
        <v>78397</v>
      </c>
    </row>
    <row r="4918">
      <c r="A4918" s="48" t="s">
        <v>3878</v>
      </c>
      <c r="B4918" s="38">
        <v>80770.0</v>
      </c>
      <c r="C4918" s="38" t="s">
        <v>7863</v>
      </c>
      <c r="D4918" s="38" t="str">
        <f>IFERROR(__xludf.DUMMYFUNCTION("REGEXREPLACE(C4918,""-\d+(.*)|--\d+(.*)"","""")"),"TULLY")</f>
        <v>TULLY</v>
      </c>
      <c r="E4918" s="38" t="s">
        <v>224</v>
      </c>
      <c r="F4918" s="38" t="s">
        <v>113</v>
      </c>
      <c r="G4918" s="49" t="str">
        <f t="shared" si="1"/>
        <v>80130</v>
      </c>
      <c r="H4918" s="49">
        <f t="shared" si="2"/>
        <v>80770</v>
      </c>
    </row>
    <row r="4919">
      <c r="A4919" s="48" t="s">
        <v>2915</v>
      </c>
      <c r="B4919" s="38">
        <v>79337.0</v>
      </c>
      <c r="C4919" s="38" t="s">
        <v>7864</v>
      </c>
      <c r="D4919" s="38" t="str">
        <f>IFERROR(__xludf.DUMMYFUNCTION("REGEXREPLACE(C4919,""-\d+(.*)|--\d+(.*)"","""")"),"LE VANNEAU-IRLEAU")</f>
        <v>LE VANNEAU-IRLEAU</v>
      </c>
      <c r="E4919" s="38" t="s">
        <v>337</v>
      </c>
      <c r="F4919" s="38" t="s">
        <v>338</v>
      </c>
      <c r="G4919" s="49" t="str">
        <f t="shared" si="1"/>
        <v>79270</v>
      </c>
      <c r="H4919" s="49">
        <f t="shared" si="2"/>
        <v>79337</v>
      </c>
    </row>
    <row r="4920">
      <c r="A4920" s="48" t="s">
        <v>7265</v>
      </c>
      <c r="B4920" s="38">
        <v>68183.0</v>
      </c>
      <c r="C4920" s="38" t="s">
        <v>7865</v>
      </c>
      <c r="D4920" s="38" t="str">
        <f>IFERROR(__xludf.DUMMYFUNCTION("REGEXREPLACE(C4920,""-\d+(.*)|--\d+(.*)"","""")"),"LIEBENSWILLER")</f>
        <v>LIEBENSWILLER</v>
      </c>
      <c r="E4920" s="38" t="s">
        <v>150</v>
      </c>
      <c r="F4920" s="38" t="s">
        <v>151</v>
      </c>
      <c r="G4920" s="49" t="str">
        <f t="shared" si="1"/>
        <v>68220</v>
      </c>
      <c r="H4920" s="49">
        <f t="shared" si="2"/>
        <v>68183</v>
      </c>
    </row>
    <row r="4921">
      <c r="A4921" s="48" t="s">
        <v>6340</v>
      </c>
      <c r="B4921" s="38">
        <v>89329.0</v>
      </c>
      <c r="C4921" s="38" t="s">
        <v>7866</v>
      </c>
      <c r="D4921" s="38" t="str">
        <f>IFERROR(__xludf.DUMMYFUNCTION("REGEXREPLACE(C4921,""-\d+(.*)|--\d+(.*)"","""")"),"RUGNY")</f>
        <v>RUGNY</v>
      </c>
      <c r="E4921" s="38" t="s">
        <v>275</v>
      </c>
      <c r="F4921" s="38" t="s">
        <v>106</v>
      </c>
      <c r="G4921" s="49" t="str">
        <f t="shared" si="1"/>
        <v>89430</v>
      </c>
      <c r="H4921" s="49">
        <f t="shared" si="2"/>
        <v>89329</v>
      </c>
    </row>
    <row r="4922">
      <c r="A4922" s="48" t="s">
        <v>7867</v>
      </c>
      <c r="B4922" s="38">
        <v>37122.0</v>
      </c>
      <c r="C4922" s="38" t="s">
        <v>7868</v>
      </c>
      <c r="D4922" s="38" t="str">
        <f>IFERROR(__xludf.DUMMYFUNCTION("REGEXREPLACE(C4922,""-\d+(.*)|--\d+(.*)"","""")"),"JOUE-LES-TOURS")</f>
        <v>JOUE-LES-TOURS</v>
      </c>
      <c r="E4922" s="38" t="s">
        <v>205</v>
      </c>
      <c r="F4922" s="38" t="s">
        <v>123</v>
      </c>
      <c r="G4922" s="49" t="str">
        <f t="shared" si="1"/>
        <v>37300</v>
      </c>
      <c r="H4922" s="49">
        <f t="shared" si="2"/>
        <v>37122</v>
      </c>
    </row>
    <row r="4923">
      <c r="A4923" s="48" t="s">
        <v>858</v>
      </c>
      <c r="B4923" s="38">
        <v>77241.0</v>
      </c>
      <c r="C4923" s="38" t="s">
        <v>7869</v>
      </c>
      <c r="D4923" s="38" t="str">
        <f>IFERROR(__xludf.DUMMYFUNCTION("REGEXREPLACE(C4923,""-\d+(.*)|--\d+(.*)"","""")"),"JUILLY")</f>
        <v>JUILLY</v>
      </c>
      <c r="E4923" s="38" t="s">
        <v>244</v>
      </c>
      <c r="F4923" s="38" t="s">
        <v>245</v>
      </c>
      <c r="G4923" s="49" t="str">
        <f t="shared" si="1"/>
        <v>77230</v>
      </c>
      <c r="H4923" s="49">
        <f t="shared" si="2"/>
        <v>77241</v>
      </c>
    </row>
    <row r="4924">
      <c r="A4924" s="48" t="s">
        <v>5806</v>
      </c>
      <c r="B4924" s="38">
        <v>39569.0</v>
      </c>
      <c r="C4924" s="38" t="s">
        <v>7870</v>
      </c>
      <c r="D4924" s="38" t="str">
        <f>IFERROR(__xludf.DUMMYFUNCTION("REGEXREPLACE(C4924,""-\d+(.*)|--\d+(.*)"","""")"),"VILLERS-FARLAY")</f>
        <v>VILLERS-FARLAY</v>
      </c>
      <c r="E4924" s="38" t="s">
        <v>400</v>
      </c>
      <c r="F4924" s="38" t="s">
        <v>214</v>
      </c>
      <c r="G4924" s="49" t="str">
        <f t="shared" si="1"/>
        <v>39600</v>
      </c>
      <c r="H4924" s="49">
        <f t="shared" si="2"/>
        <v>39569</v>
      </c>
    </row>
    <row r="4925">
      <c r="A4925" s="48" t="s">
        <v>7871</v>
      </c>
      <c r="B4925" s="38">
        <v>92023.0</v>
      </c>
      <c r="C4925" s="38" t="s">
        <v>7872</v>
      </c>
      <c r="D4925" s="38" t="str">
        <f>IFERROR(__xludf.DUMMYFUNCTION("REGEXREPLACE(C4925,""-\d+(.*)|--\d+(.*)"","""")"),"CLAMART")</f>
        <v>CLAMART</v>
      </c>
      <c r="E4925" s="38" t="s">
        <v>838</v>
      </c>
      <c r="F4925" s="38" t="s">
        <v>245</v>
      </c>
      <c r="G4925" s="49" t="str">
        <f t="shared" si="1"/>
        <v>92140</v>
      </c>
      <c r="H4925" s="49">
        <f t="shared" si="2"/>
        <v>92023</v>
      </c>
    </row>
    <row r="4926">
      <c r="A4926" s="48" t="s">
        <v>6535</v>
      </c>
      <c r="B4926" s="38">
        <v>58296.0</v>
      </c>
      <c r="C4926" s="38" t="s">
        <v>7873</v>
      </c>
      <c r="D4926" s="38" t="str">
        <f>IFERROR(__xludf.DUMMYFUNCTION("REGEXREPLACE(C4926,""-\d+(.*)|--\d+(.*)"","""")"),"TRESNAY")</f>
        <v>TRESNAY</v>
      </c>
      <c r="E4926" s="38" t="s">
        <v>219</v>
      </c>
      <c r="F4926" s="38" t="s">
        <v>106</v>
      </c>
      <c r="G4926" s="49" t="str">
        <f t="shared" si="1"/>
        <v>58240</v>
      </c>
      <c r="H4926" s="49">
        <f t="shared" si="2"/>
        <v>58296</v>
      </c>
    </row>
    <row r="4927">
      <c r="A4927" s="48" t="s">
        <v>7874</v>
      </c>
      <c r="B4927" s="38">
        <v>40291.0</v>
      </c>
      <c r="C4927" s="38" t="s">
        <v>7875</v>
      </c>
      <c r="D4927" s="38" t="str">
        <f>IFERROR(__xludf.DUMMYFUNCTION("REGEXREPLACE(C4927,""-\d+(.*)|--\d+(.*)"","""")"),"SAUBION")</f>
        <v>SAUBION</v>
      </c>
      <c r="E4927" s="38" t="s">
        <v>281</v>
      </c>
      <c r="F4927" s="38" t="s">
        <v>252</v>
      </c>
      <c r="G4927" s="49" t="str">
        <f t="shared" si="1"/>
        <v>40230</v>
      </c>
      <c r="H4927" s="49">
        <f t="shared" si="2"/>
        <v>40291</v>
      </c>
    </row>
    <row r="4928">
      <c r="A4928" s="48" t="s">
        <v>7876</v>
      </c>
      <c r="B4928" s="38">
        <v>58185.0</v>
      </c>
      <c r="C4928" s="38" t="s">
        <v>7877</v>
      </c>
      <c r="D4928" s="38" t="str">
        <f>IFERROR(__xludf.DUMMYFUNCTION("REGEXREPLACE(C4928,""-\d+(.*)|--\d+(.*)"","""")"),"MOUX-EN-MORVAN")</f>
        <v>MOUX-EN-MORVAN</v>
      </c>
      <c r="E4928" s="38" t="s">
        <v>219</v>
      </c>
      <c r="F4928" s="38" t="s">
        <v>106</v>
      </c>
      <c r="G4928" s="49" t="str">
        <f t="shared" si="1"/>
        <v>58230</v>
      </c>
      <c r="H4928" s="49">
        <f t="shared" si="2"/>
        <v>58185</v>
      </c>
    </row>
    <row r="4929">
      <c r="A4929" s="48" t="s">
        <v>1796</v>
      </c>
      <c r="B4929" s="38">
        <v>31200.0</v>
      </c>
      <c r="C4929" s="38" t="s">
        <v>7878</v>
      </c>
      <c r="D4929" s="38" t="str">
        <f>IFERROR(__xludf.DUMMYFUNCTION("REGEXREPLACE(C4929,""-\d+(.*)|--\d+(.*)"","""")"),"FRONTIGNAN-DE-COMMINGES")</f>
        <v>FRONTIGNAN-DE-COMMINGES</v>
      </c>
      <c r="E4929" s="38" t="s">
        <v>93</v>
      </c>
      <c r="F4929" s="38" t="s">
        <v>94</v>
      </c>
      <c r="G4929" s="49" t="str">
        <f t="shared" si="1"/>
        <v>31510</v>
      </c>
      <c r="H4929" s="49">
        <f t="shared" si="2"/>
        <v>31200</v>
      </c>
    </row>
    <row r="4930">
      <c r="A4930" s="48" t="s">
        <v>2748</v>
      </c>
      <c r="B4930" s="38">
        <v>32342.0</v>
      </c>
      <c r="C4930" s="38" t="s">
        <v>7879</v>
      </c>
      <c r="D4930" s="38" t="str">
        <f>IFERROR(__xludf.DUMMYFUNCTION("REGEXREPLACE(C4930,""-\d+(.*)|--\d+(.*)"","""")"),"RICOURT")</f>
        <v>RICOURT</v>
      </c>
      <c r="E4930" s="38" t="s">
        <v>440</v>
      </c>
      <c r="F4930" s="38" t="s">
        <v>94</v>
      </c>
      <c r="G4930" s="49" t="str">
        <f t="shared" si="1"/>
        <v>32230</v>
      </c>
      <c r="H4930" s="49">
        <f t="shared" si="2"/>
        <v>32342</v>
      </c>
    </row>
    <row r="4931">
      <c r="A4931" s="48" t="s">
        <v>3120</v>
      </c>
      <c r="B4931" s="38">
        <v>10090.0</v>
      </c>
      <c r="C4931" s="38" t="s">
        <v>7880</v>
      </c>
      <c r="D4931" s="38" t="str">
        <f>IFERROR(__xludf.DUMMYFUNCTION("REGEXREPLACE(C4931,""-\d+(.*)|--\d+(.*)"","""")"),"CHAUCHIGNY")</f>
        <v>CHAUCHIGNY</v>
      </c>
      <c r="E4931" s="38" t="s">
        <v>147</v>
      </c>
      <c r="F4931" s="38" t="s">
        <v>130</v>
      </c>
      <c r="G4931" s="49" t="str">
        <f t="shared" si="1"/>
        <v>10170</v>
      </c>
      <c r="H4931" s="49">
        <f t="shared" si="2"/>
        <v>10090</v>
      </c>
    </row>
    <row r="4932">
      <c r="A4932" s="48" t="s">
        <v>4614</v>
      </c>
      <c r="B4932" s="38">
        <v>78516.0</v>
      </c>
      <c r="C4932" s="38" t="s">
        <v>7881</v>
      </c>
      <c r="D4932" s="38" t="str">
        <f>IFERROR(__xludf.DUMMYFUNCTION("REGEXREPLACE(C4932,""-\d+(.*)|--\d+(.*)"","""")"),"RAIZEUX")</f>
        <v>RAIZEUX</v>
      </c>
      <c r="E4932" s="38" t="s">
        <v>362</v>
      </c>
      <c r="F4932" s="38" t="s">
        <v>245</v>
      </c>
      <c r="G4932" s="49" t="str">
        <f t="shared" si="1"/>
        <v>78125</v>
      </c>
      <c r="H4932" s="49">
        <f t="shared" si="2"/>
        <v>78516</v>
      </c>
    </row>
    <row r="4933">
      <c r="A4933" s="48" t="s">
        <v>7155</v>
      </c>
      <c r="B4933" s="38">
        <v>30093.0</v>
      </c>
      <c r="C4933" s="38" t="s">
        <v>7882</v>
      </c>
      <c r="D4933" s="38" t="str">
        <f>IFERROR(__xludf.DUMMYFUNCTION("REGEXREPLACE(C4933,""-\d+(.*)|--\d+(.*)"","""")"),"CONQUEYRAC")</f>
        <v>CONQUEYRAC</v>
      </c>
      <c r="E4933" s="38" t="s">
        <v>526</v>
      </c>
      <c r="F4933" s="38" t="s">
        <v>119</v>
      </c>
      <c r="G4933" s="49" t="str">
        <f t="shared" si="1"/>
        <v>30170</v>
      </c>
      <c r="H4933" s="49">
        <f t="shared" si="2"/>
        <v>30093</v>
      </c>
    </row>
    <row r="4934">
      <c r="A4934" s="48" t="s">
        <v>2664</v>
      </c>
      <c r="B4934" s="38">
        <v>87073.0</v>
      </c>
      <c r="C4934" s="38" t="s">
        <v>7883</v>
      </c>
      <c r="D4934" s="38" t="str">
        <f>IFERROR(__xludf.DUMMYFUNCTION("REGEXREPLACE(C4934,""-\d+(.*)|--\d+(.*)"","""")"),"GORRE")</f>
        <v>GORRE</v>
      </c>
      <c r="E4934" s="38" t="s">
        <v>897</v>
      </c>
      <c r="F4934" s="38" t="s">
        <v>98</v>
      </c>
      <c r="G4934" s="49" t="str">
        <f t="shared" si="1"/>
        <v>87310</v>
      </c>
      <c r="H4934" s="49">
        <f t="shared" si="2"/>
        <v>87073</v>
      </c>
    </row>
    <row r="4935">
      <c r="A4935" s="48" t="s">
        <v>1008</v>
      </c>
      <c r="B4935" s="38">
        <v>2709.0</v>
      </c>
      <c r="C4935" s="38" t="s">
        <v>7884</v>
      </c>
      <c r="D4935" s="38" t="str">
        <f>IFERROR(__xludf.DUMMYFUNCTION("REGEXREPLACE(C4935,""-\d+(.*)|--\d+(.*)"","""")"),"SERAIN")</f>
        <v>SERAIN</v>
      </c>
      <c r="E4935" s="38" t="s">
        <v>191</v>
      </c>
      <c r="F4935" s="38" t="s">
        <v>113</v>
      </c>
      <c r="G4935" s="49" t="str">
        <f t="shared" si="1"/>
        <v>02110</v>
      </c>
      <c r="H4935" s="49" t="str">
        <f t="shared" si="2"/>
        <v>02709</v>
      </c>
    </row>
    <row r="4936">
      <c r="A4936" s="48" t="s">
        <v>7885</v>
      </c>
      <c r="B4936" s="38">
        <v>73247.0</v>
      </c>
      <c r="C4936" s="38" t="s">
        <v>7886</v>
      </c>
      <c r="D4936" s="38" t="str">
        <f>IFERROR(__xludf.DUMMYFUNCTION("REGEXREPLACE(C4936,""-\d+(.*)|--\d+(.*)"","""")"),"SAINT-JEAN-DE-LA-PORTE")</f>
        <v>SAINT-JEAN-DE-LA-PORTE</v>
      </c>
      <c r="E4936" s="38" t="s">
        <v>306</v>
      </c>
      <c r="F4936" s="38" t="s">
        <v>102</v>
      </c>
      <c r="G4936" s="49" t="str">
        <f t="shared" si="1"/>
        <v>73250</v>
      </c>
      <c r="H4936" s="49">
        <f t="shared" si="2"/>
        <v>73247</v>
      </c>
    </row>
    <row r="4937">
      <c r="A4937" s="48" t="s">
        <v>4245</v>
      </c>
      <c r="B4937" s="38">
        <v>50433.0</v>
      </c>
      <c r="C4937" s="38" t="s">
        <v>7887</v>
      </c>
      <c r="D4937" s="38" t="str">
        <f>IFERROR(__xludf.DUMMYFUNCTION("REGEXREPLACE(C4937,""-\d+(.*)|--\d+(.*)"","""")"),"REVILLE")</f>
        <v>REVILLE</v>
      </c>
      <c r="E4937" s="38" t="s">
        <v>157</v>
      </c>
      <c r="F4937" s="38" t="s">
        <v>138</v>
      </c>
      <c r="G4937" s="49" t="str">
        <f t="shared" si="1"/>
        <v>50760</v>
      </c>
      <c r="H4937" s="49">
        <f t="shared" si="2"/>
        <v>50433</v>
      </c>
    </row>
    <row r="4938">
      <c r="A4938" s="48" t="s">
        <v>2374</v>
      </c>
      <c r="B4938" s="38">
        <v>58313.0</v>
      </c>
      <c r="C4938" s="38" t="s">
        <v>7888</v>
      </c>
      <c r="D4938" s="38" t="str">
        <f>IFERROR(__xludf.DUMMYFUNCTION("REGEXREPLACE(C4938,""-\d+(.*)|--\d+(.*)"","""")"),"VITRY-LACHE")</f>
        <v>VITRY-LACHE</v>
      </c>
      <c r="E4938" s="38" t="s">
        <v>219</v>
      </c>
      <c r="F4938" s="38" t="s">
        <v>106</v>
      </c>
      <c r="G4938" s="49" t="str">
        <f t="shared" si="1"/>
        <v>58420</v>
      </c>
      <c r="H4938" s="49">
        <f t="shared" si="2"/>
        <v>58313</v>
      </c>
    </row>
    <row r="4939">
      <c r="A4939" s="48" t="s">
        <v>7889</v>
      </c>
      <c r="B4939" s="38">
        <v>56227.0</v>
      </c>
      <c r="C4939" s="38" t="s">
        <v>7890</v>
      </c>
      <c r="D4939" s="38" t="str">
        <f>IFERROR(__xludf.DUMMYFUNCTION("REGEXREPLACE(C4939,""-\d+(.*)|--\d+(.*)"","""")"),"SAINT-MALO-DES-TROIS-FONTAINES")</f>
        <v>SAINT-MALO-DES-TROIS-FONTAINES</v>
      </c>
      <c r="E4939" s="38" t="s">
        <v>173</v>
      </c>
      <c r="F4939" s="38" t="s">
        <v>90</v>
      </c>
      <c r="G4939" s="49" t="str">
        <f t="shared" si="1"/>
        <v>56490</v>
      </c>
      <c r="H4939" s="49">
        <f t="shared" si="2"/>
        <v>56227</v>
      </c>
    </row>
    <row r="4940">
      <c r="A4940" s="48" t="s">
        <v>862</v>
      </c>
      <c r="B4940" s="38">
        <v>27006.0</v>
      </c>
      <c r="C4940" s="38" t="s">
        <v>7891</v>
      </c>
      <c r="D4940" s="38" t="str">
        <f>IFERROR(__xludf.DUMMYFUNCTION("REGEXREPLACE(C4940,""-\d+(.*)|--\d+(.*)"","""")"),"AIZIER")</f>
        <v>AIZIER</v>
      </c>
      <c r="E4940" s="38" t="s">
        <v>241</v>
      </c>
      <c r="F4940" s="38" t="s">
        <v>134</v>
      </c>
      <c r="G4940" s="49" t="str">
        <f t="shared" si="1"/>
        <v>27500</v>
      </c>
      <c r="H4940" s="49">
        <f t="shared" si="2"/>
        <v>27006</v>
      </c>
    </row>
    <row r="4941">
      <c r="A4941" s="48" t="s">
        <v>3305</v>
      </c>
      <c r="B4941" s="38">
        <v>24293.0</v>
      </c>
      <c r="C4941" s="38" t="s">
        <v>7892</v>
      </c>
      <c r="D4941" s="38" t="str">
        <f>IFERROR(__xludf.DUMMYFUNCTION("REGEXREPLACE(C4941,""-\d+(.*)|--\d+(.*)"","""")"),"MONPLAISANT")</f>
        <v>MONPLAISANT</v>
      </c>
      <c r="E4941" s="38" t="s">
        <v>261</v>
      </c>
      <c r="F4941" s="38" t="s">
        <v>252</v>
      </c>
      <c r="G4941" s="49" t="str">
        <f t="shared" si="1"/>
        <v>24170</v>
      </c>
      <c r="H4941" s="49">
        <f t="shared" si="2"/>
        <v>24293</v>
      </c>
    </row>
    <row r="4942">
      <c r="A4942" s="48" t="s">
        <v>7893</v>
      </c>
      <c r="B4942" s="38">
        <v>63451.0</v>
      </c>
      <c r="C4942" s="38" t="s">
        <v>7894</v>
      </c>
      <c r="D4942" s="38" t="str">
        <f>IFERROR(__xludf.DUMMYFUNCTION("REGEXREPLACE(C4942,""-\d+(.*)|--\d+(.*)"","""")"),"VERNINES")</f>
        <v>VERNINES</v>
      </c>
      <c r="E4942" s="38" t="s">
        <v>353</v>
      </c>
      <c r="F4942" s="38" t="s">
        <v>161</v>
      </c>
      <c r="G4942" s="49" t="str">
        <f t="shared" si="1"/>
        <v>63210</v>
      </c>
      <c r="H4942" s="49">
        <f t="shared" si="2"/>
        <v>63451</v>
      </c>
    </row>
    <row r="4943">
      <c r="A4943" s="48" t="s">
        <v>7895</v>
      </c>
      <c r="B4943" s="38">
        <v>57334.0</v>
      </c>
      <c r="C4943" s="38" t="s">
        <v>7896</v>
      </c>
      <c r="D4943" s="38" t="str">
        <f>IFERROR(__xludf.DUMMYFUNCTION("REGEXREPLACE(C4943,""-\d+(.*)|--\d+(.*)"","""")"),"HOMMERT")</f>
        <v>HOMMERT</v>
      </c>
      <c r="E4943" s="38" t="s">
        <v>303</v>
      </c>
      <c r="F4943" s="38" t="s">
        <v>195</v>
      </c>
      <c r="G4943" s="49" t="str">
        <f t="shared" si="1"/>
        <v>57870</v>
      </c>
      <c r="H4943" s="49">
        <f t="shared" si="2"/>
        <v>57334</v>
      </c>
    </row>
    <row r="4944">
      <c r="A4944" s="48" t="s">
        <v>7897</v>
      </c>
      <c r="B4944" s="38">
        <v>69148.0</v>
      </c>
      <c r="C4944" s="38" t="s">
        <v>7898</v>
      </c>
      <c r="D4944" s="38" t="str">
        <f>IFERROR(__xludf.DUMMYFUNCTION("REGEXREPLACE(C4944,""-\d+(.*)|--\d+(.*)"","""")"),"ORLIENAS")</f>
        <v>ORLIENAS</v>
      </c>
      <c r="E4944" s="38" t="s">
        <v>350</v>
      </c>
      <c r="F4944" s="38" t="s">
        <v>102</v>
      </c>
      <c r="G4944" s="49" t="str">
        <f t="shared" si="1"/>
        <v>69530</v>
      </c>
      <c r="H4944" s="49">
        <f t="shared" si="2"/>
        <v>69148</v>
      </c>
    </row>
    <row r="4945">
      <c r="A4945" s="48" t="s">
        <v>5687</v>
      </c>
      <c r="B4945" s="38">
        <v>3053.0</v>
      </c>
      <c r="C4945" s="38" t="s">
        <v>7899</v>
      </c>
      <c r="D4945" s="38" t="str">
        <f>IFERROR(__xludf.DUMMYFUNCTION("REGEXREPLACE(C4945,""-\d+(.*)|--\d+(.*)"","""")"),"CHANTELLE")</f>
        <v>CHANTELLE</v>
      </c>
      <c r="E4945" s="38" t="s">
        <v>160</v>
      </c>
      <c r="F4945" s="38" t="s">
        <v>161</v>
      </c>
      <c r="G4945" s="49" t="str">
        <f t="shared" si="1"/>
        <v>03140</v>
      </c>
      <c r="H4945" s="49" t="str">
        <f t="shared" si="2"/>
        <v>03053</v>
      </c>
    </row>
    <row r="4946">
      <c r="A4946" s="48" t="s">
        <v>2387</v>
      </c>
      <c r="B4946" s="38">
        <v>42180.0</v>
      </c>
      <c r="C4946" s="38" t="s">
        <v>7900</v>
      </c>
      <c r="D4946" s="38" t="str">
        <f>IFERROR(__xludf.DUMMYFUNCTION("REGEXREPLACE(C4946,""-\d+(.*)|--\d+(.*)"","""")"),"PRECIEUX")</f>
        <v>PRECIEUX</v>
      </c>
      <c r="E4946" s="38" t="s">
        <v>166</v>
      </c>
      <c r="F4946" s="38" t="s">
        <v>102</v>
      </c>
      <c r="G4946" s="49" t="str">
        <f t="shared" si="1"/>
        <v>42600</v>
      </c>
      <c r="H4946" s="49">
        <f t="shared" si="2"/>
        <v>42180</v>
      </c>
    </row>
    <row r="4947">
      <c r="A4947" s="48" t="s">
        <v>7901</v>
      </c>
      <c r="B4947" s="38">
        <v>35249.0</v>
      </c>
      <c r="C4947" s="38" t="s">
        <v>7902</v>
      </c>
      <c r="D4947" s="38" t="str">
        <f>IFERROR(__xludf.DUMMYFUNCTION("REGEXREPLACE(C4947,""-\d+(.*)|--\d+(.*)"","""")"),"SAINTE-ANNE-SUR-VILAINE")</f>
        <v>SAINTE-ANNE-SUR-VILAINE</v>
      </c>
      <c r="E4947" s="38" t="s">
        <v>347</v>
      </c>
      <c r="F4947" s="38" t="s">
        <v>90</v>
      </c>
      <c r="G4947" s="49" t="str">
        <f t="shared" si="1"/>
        <v>35390</v>
      </c>
      <c r="H4947" s="49">
        <f t="shared" si="2"/>
        <v>35249</v>
      </c>
    </row>
    <row r="4948">
      <c r="A4948" s="48" t="s">
        <v>4784</v>
      </c>
      <c r="B4948" s="38">
        <v>24460.0</v>
      </c>
      <c r="C4948" s="38" t="s">
        <v>7903</v>
      </c>
      <c r="D4948" s="38" t="str">
        <f>IFERROR(__xludf.DUMMYFUNCTION("REGEXREPLACE(C4948,""-\d+(.*)|--\d+(.*)"","""")"),"SAINT-MEARD-DE-DRONE")</f>
        <v>SAINT-MEARD-DE-DRONE</v>
      </c>
      <c r="E4948" s="38" t="s">
        <v>261</v>
      </c>
      <c r="F4948" s="38" t="s">
        <v>252</v>
      </c>
      <c r="G4948" s="49" t="str">
        <f t="shared" si="1"/>
        <v>24600</v>
      </c>
      <c r="H4948" s="49">
        <f t="shared" si="2"/>
        <v>24460</v>
      </c>
    </row>
    <row r="4949">
      <c r="A4949" s="48" t="s">
        <v>7904</v>
      </c>
      <c r="B4949" s="38">
        <v>62508.0</v>
      </c>
      <c r="C4949" s="38" t="s">
        <v>7905</v>
      </c>
      <c r="D4949" s="38" t="str">
        <f>IFERROR(__xludf.DUMMYFUNCTION("REGEXREPLACE(C4949,""-\d+(.*)|--\d+(.*)"","""")"),"LIERES")</f>
        <v>LIERES</v>
      </c>
      <c r="E4949" s="38" t="s">
        <v>109</v>
      </c>
      <c r="F4949" s="38" t="s">
        <v>86</v>
      </c>
      <c r="G4949" s="49" t="str">
        <f t="shared" si="1"/>
        <v>62190</v>
      </c>
      <c r="H4949" s="49">
        <f t="shared" si="2"/>
        <v>62508</v>
      </c>
    </row>
    <row r="4950">
      <c r="A4950" s="48" t="s">
        <v>7906</v>
      </c>
      <c r="B4950" s="38">
        <v>44147.0</v>
      </c>
      <c r="C4950" s="38" t="s">
        <v>7907</v>
      </c>
      <c r="D4950" s="38" t="str">
        <f>IFERROR(__xludf.DUMMYFUNCTION("REGEXREPLACE(C4950,""-\d+(.*)|--\d+(.*)"","""")"),"LA ROUXIERE")</f>
        <v>LA ROUXIERE</v>
      </c>
      <c r="E4950" s="38" t="s">
        <v>759</v>
      </c>
      <c r="F4950" s="38" t="s">
        <v>180</v>
      </c>
      <c r="G4950" s="49" t="str">
        <f t="shared" si="1"/>
        <v>44370</v>
      </c>
      <c r="H4950" s="49">
        <f t="shared" si="2"/>
        <v>44147</v>
      </c>
    </row>
    <row r="4951">
      <c r="A4951" s="48" t="s">
        <v>7622</v>
      </c>
      <c r="B4951" s="38">
        <v>10260.0</v>
      </c>
      <c r="C4951" s="38" t="s">
        <v>7908</v>
      </c>
      <c r="D4951" s="38" t="str">
        <f>IFERROR(__xludf.DUMMYFUNCTION("REGEXREPLACE(C4951,""-\d+(.*)|--\d+(.*)"","""")"),"MOUSSEY")</f>
        <v>MOUSSEY</v>
      </c>
      <c r="E4951" s="38" t="s">
        <v>147</v>
      </c>
      <c r="F4951" s="38" t="s">
        <v>130</v>
      </c>
      <c r="G4951" s="49" t="str">
        <f t="shared" si="1"/>
        <v>10800</v>
      </c>
      <c r="H4951" s="49">
        <f t="shared" si="2"/>
        <v>10260</v>
      </c>
    </row>
    <row r="4952">
      <c r="A4952" s="48" t="s">
        <v>2573</v>
      </c>
      <c r="B4952" s="38">
        <v>31211.0</v>
      </c>
      <c r="C4952" s="38" t="s">
        <v>7909</v>
      </c>
      <c r="D4952" s="38" t="str">
        <f>IFERROR(__xludf.DUMMYFUNCTION("REGEXREPLACE(C4952,""-\d+(.*)|--\d+(.*)"","""")"),"GARGAS")</f>
        <v>GARGAS</v>
      </c>
      <c r="E4952" s="38" t="s">
        <v>93</v>
      </c>
      <c r="F4952" s="38" t="s">
        <v>94</v>
      </c>
      <c r="G4952" s="49" t="str">
        <f t="shared" si="1"/>
        <v>31620</v>
      </c>
      <c r="H4952" s="49">
        <f t="shared" si="2"/>
        <v>31211</v>
      </c>
    </row>
    <row r="4953">
      <c r="A4953" s="48" t="s">
        <v>1172</v>
      </c>
      <c r="B4953" s="38">
        <v>76647.0</v>
      </c>
      <c r="C4953" s="38" t="s">
        <v>7910</v>
      </c>
      <c r="D4953" s="38" t="str">
        <f>IFERROR(__xludf.DUMMYFUNCTION("REGEXREPLACE(C4953,""-\d+(.*)|--\d+(.*)"","""")"),"SAINT-ROMAIN-DE-COLBOSC")</f>
        <v>SAINT-ROMAIN-DE-COLBOSC</v>
      </c>
      <c r="E4953" s="38" t="s">
        <v>133</v>
      </c>
      <c r="F4953" s="38" t="s">
        <v>134</v>
      </c>
      <c r="G4953" s="49" t="str">
        <f t="shared" si="1"/>
        <v>76430</v>
      </c>
      <c r="H4953" s="49">
        <f t="shared" si="2"/>
        <v>76647</v>
      </c>
    </row>
    <row r="4954">
      <c r="A4954" s="48" t="s">
        <v>4213</v>
      </c>
      <c r="B4954" s="38">
        <v>7330.0</v>
      </c>
      <c r="C4954" s="38" t="s">
        <v>7911</v>
      </c>
      <c r="D4954" s="38" t="str">
        <f>IFERROR(__xludf.DUMMYFUNCTION("REGEXREPLACE(C4954,""-\d+(.*)|--\d+(.*)"","""")"),"VALLON-PONT-D'ARC")</f>
        <v>VALLON-PONT-D'ARC</v>
      </c>
      <c r="E4954" s="38" t="s">
        <v>144</v>
      </c>
      <c r="F4954" s="38" t="s">
        <v>102</v>
      </c>
      <c r="G4954" s="49" t="str">
        <f t="shared" si="1"/>
        <v>07150</v>
      </c>
      <c r="H4954" s="49" t="str">
        <f t="shared" si="2"/>
        <v>07330</v>
      </c>
    </row>
    <row r="4955">
      <c r="A4955" s="48" t="s">
        <v>3486</v>
      </c>
      <c r="B4955" s="38">
        <v>76212.0</v>
      </c>
      <c r="C4955" s="38" t="s">
        <v>7912</v>
      </c>
      <c r="D4955" s="38" t="str">
        <f>IFERROR(__xludf.DUMMYFUNCTION("REGEXREPLACE(C4955,""-\d+(.*)|--\d+(.*)"","""")"),"DARNETAL")</f>
        <v>DARNETAL</v>
      </c>
      <c r="E4955" s="38" t="s">
        <v>133</v>
      </c>
      <c r="F4955" s="38" t="s">
        <v>134</v>
      </c>
      <c r="G4955" s="49" t="str">
        <f t="shared" si="1"/>
        <v>76160</v>
      </c>
      <c r="H4955" s="49">
        <f t="shared" si="2"/>
        <v>76212</v>
      </c>
    </row>
    <row r="4956">
      <c r="A4956" s="48" t="s">
        <v>4679</v>
      </c>
      <c r="B4956" s="38">
        <v>17022.0</v>
      </c>
      <c r="C4956" s="38" t="s">
        <v>7913</v>
      </c>
      <c r="D4956" s="38" t="str">
        <f>IFERROR(__xludf.DUMMYFUNCTION("REGEXREPLACE(C4956,""-\d+(.*)|--\d+(.*)"","""")"),"ASNIERES-LA-GIRAUD")</f>
        <v>ASNIERES-LA-GIRAUD</v>
      </c>
      <c r="E4956" s="38" t="s">
        <v>488</v>
      </c>
      <c r="F4956" s="38" t="s">
        <v>338</v>
      </c>
      <c r="G4956" s="49" t="str">
        <f t="shared" si="1"/>
        <v>17400</v>
      </c>
      <c r="H4956" s="49">
        <f t="shared" si="2"/>
        <v>17022</v>
      </c>
    </row>
    <row r="4957">
      <c r="A4957" s="48" t="s">
        <v>7914</v>
      </c>
      <c r="B4957" s="38">
        <v>84001.0</v>
      </c>
      <c r="C4957" s="38" t="s">
        <v>7915</v>
      </c>
      <c r="D4957" s="38" t="str">
        <f>IFERROR(__xludf.DUMMYFUNCTION("REGEXREPLACE(C4957,""-\d+(.*)|--\d+(.*)"","""")"),"ALTHEN-DES-PALUDS")</f>
        <v>ALTHEN-DES-PALUDS</v>
      </c>
      <c r="E4957" s="38" t="s">
        <v>1026</v>
      </c>
      <c r="F4957" s="38" t="s">
        <v>228</v>
      </c>
      <c r="G4957" s="49" t="str">
        <f t="shared" si="1"/>
        <v>84210</v>
      </c>
      <c r="H4957" s="49">
        <f t="shared" si="2"/>
        <v>84001</v>
      </c>
    </row>
    <row r="4958">
      <c r="A4958" s="48" t="s">
        <v>5973</v>
      </c>
      <c r="B4958" s="38">
        <v>54125.0</v>
      </c>
      <c r="C4958" s="38" t="s">
        <v>7916</v>
      </c>
      <c r="D4958" s="38" t="str">
        <f>IFERROR(__xludf.DUMMYFUNCTION("REGEXREPLACE(C4958,""-\d+(.*)|--\d+(.*)"","""")"),"CHENEVIERES")</f>
        <v>CHENEVIERES</v>
      </c>
      <c r="E4958" s="38" t="s">
        <v>548</v>
      </c>
      <c r="F4958" s="38" t="s">
        <v>195</v>
      </c>
      <c r="G4958" s="49" t="str">
        <f t="shared" si="1"/>
        <v>54122</v>
      </c>
      <c r="H4958" s="49">
        <f t="shared" si="2"/>
        <v>54125</v>
      </c>
    </row>
    <row r="4959">
      <c r="A4959" s="48" t="s">
        <v>1347</v>
      </c>
      <c r="B4959" s="38">
        <v>16262.0</v>
      </c>
      <c r="C4959" s="38" t="s">
        <v>7917</v>
      </c>
      <c r="D4959" s="38" t="str">
        <f>IFERROR(__xludf.DUMMYFUNCTION("REGEXREPLACE(C4959,""-\d+(.*)|--\d+(.*)"","""")"),"PLAIZAC")</f>
        <v>PLAIZAC</v>
      </c>
      <c r="E4959" s="38" t="s">
        <v>429</v>
      </c>
      <c r="F4959" s="38" t="s">
        <v>338</v>
      </c>
      <c r="G4959" s="49" t="str">
        <f t="shared" si="1"/>
        <v>16170</v>
      </c>
      <c r="H4959" s="49">
        <f t="shared" si="2"/>
        <v>16262</v>
      </c>
    </row>
    <row r="4960">
      <c r="A4960" s="48" t="s">
        <v>7918</v>
      </c>
      <c r="B4960" s="38">
        <v>17100.0</v>
      </c>
      <c r="C4960" s="38" t="s">
        <v>7919</v>
      </c>
      <c r="D4960" s="38" t="str">
        <f>IFERROR(__xludf.DUMMYFUNCTION("REGEXREPLACE(C4960,""-\d+(.*)|--\d+(.*)"","""")"),"CHERAC")</f>
        <v>CHERAC</v>
      </c>
      <c r="E4960" s="38" t="s">
        <v>488</v>
      </c>
      <c r="F4960" s="38" t="s">
        <v>338</v>
      </c>
      <c r="G4960" s="49" t="str">
        <f t="shared" si="1"/>
        <v>17610</v>
      </c>
      <c r="H4960" s="49">
        <f t="shared" si="2"/>
        <v>17100</v>
      </c>
    </row>
    <row r="4961">
      <c r="A4961" s="48" t="s">
        <v>7920</v>
      </c>
      <c r="B4961" s="38">
        <v>77457.0</v>
      </c>
      <c r="C4961" s="38" t="s">
        <v>7921</v>
      </c>
      <c r="D4961" s="38" t="str">
        <f>IFERROR(__xludf.DUMMYFUNCTION("REGEXREPLACE(C4961,""-\d+(.*)|--\d+(.*)"","""")"),"SOLERS")</f>
        <v>SOLERS</v>
      </c>
      <c r="E4961" s="38" t="s">
        <v>244</v>
      </c>
      <c r="F4961" s="38" t="s">
        <v>245</v>
      </c>
      <c r="G4961" s="49" t="str">
        <f t="shared" si="1"/>
        <v>77111</v>
      </c>
      <c r="H4961" s="49">
        <f t="shared" si="2"/>
        <v>77457</v>
      </c>
    </row>
    <row r="4962">
      <c r="A4962" s="48" t="s">
        <v>466</v>
      </c>
      <c r="B4962" s="38">
        <v>52484.0</v>
      </c>
      <c r="C4962" s="38" t="s">
        <v>7922</v>
      </c>
      <c r="D4962" s="38" t="str">
        <f>IFERROR(__xludf.DUMMYFUNCTION("REGEXREPLACE(C4962,""-\d+(.*)|--\d+(.*)"","""")"),"SUZANNECOURT")</f>
        <v>SUZANNECOURT</v>
      </c>
      <c r="E4962" s="38" t="s">
        <v>234</v>
      </c>
      <c r="F4962" s="38" t="s">
        <v>130</v>
      </c>
      <c r="G4962" s="49" t="str">
        <f t="shared" si="1"/>
        <v>52300</v>
      </c>
      <c r="H4962" s="49">
        <f t="shared" si="2"/>
        <v>52484</v>
      </c>
    </row>
    <row r="4963">
      <c r="A4963" s="48" t="s">
        <v>7923</v>
      </c>
      <c r="B4963" s="38">
        <v>32236.0</v>
      </c>
      <c r="C4963" s="38" t="s">
        <v>7924</v>
      </c>
      <c r="D4963" s="38" t="str">
        <f>IFERROR(__xludf.DUMMYFUNCTION("REGEXREPLACE(C4963,""-\d+(.*)|--\d+(.*)"","""")"),"MARGUESTAU")</f>
        <v>MARGUESTAU</v>
      </c>
      <c r="E4963" s="38" t="s">
        <v>440</v>
      </c>
      <c r="F4963" s="38" t="s">
        <v>94</v>
      </c>
      <c r="G4963" s="49" t="str">
        <f t="shared" si="1"/>
        <v>32150</v>
      </c>
      <c r="H4963" s="49">
        <f t="shared" si="2"/>
        <v>32236</v>
      </c>
    </row>
    <row r="4964">
      <c r="A4964" s="48" t="s">
        <v>6487</v>
      </c>
      <c r="B4964" s="38">
        <v>1191.0</v>
      </c>
      <c r="C4964" s="38" t="s">
        <v>7925</v>
      </c>
      <c r="D4964" s="38" t="str">
        <f>IFERROR(__xludf.DUMMYFUNCTION("REGEXREPLACE(C4964,""-\d+(.*)|--\d+(.*)"","""")"),"IZENAVE")</f>
        <v>IZENAVE</v>
      </c>
      <c r="E4964" s="38" t="s">
        <v>255</v>
      </c>
      <c r="F4964" s="38" t="s">
        <v>102</v>
      </c>
      <c r="G4964" s="49" t="str">
        <f t="shared" si="1"/>
        <v>01430</v>
      </c>
      <c r="H4964" s="49" t="str">
        <f t="shared" si="2"/>
        <v>01191</v>
      </c>
    </row>
    <row r="4965">
      <c r="A4965" s="48" t="s">
        <v>7926</v>
      </c>
      <c r="B4965" s="38">
        <v>71134.0</v>
      </c>
      <c r="C4965" s="38" t="s">
        <v>7927</v>
      </c>
      <c r="D4965" s="38" t="str">
        <f>IFERROR(__xludf.DUMMYFUNCTION("REGEXREPLACE(C4965,""-\d+(.*)|--\d+(.*)"","""")"),"CLERMAIN")</f>
        <v>CLERMAIN</v>
      </c>
      <c r="E4965" s="38" t="s">
        <v>344</v>
      </c>
      <c r="F4965" s="38" t="s">
        <v>106</v>
      </c>
      <c r="G4965" s="49" t="str">
        <f t="shared" si="1"/>
        <v>71520</v>
      </c>
      <c r="H4965" s="49">
        <f t="shared" si="2"/>
        <v>71134</v>
      </c>
    </row>
    <row r="4966">
      <c r="A4966" s="48" t="s">
        <v>4457</v>
      </c>
      <c r="B4966" s="38">
        <v>80131.0</v>
      </c>
      <c r="C4966" s="38" t="s">
        <v>7928</v>
      </c>
      <c r="D4966" s="38" t="str">
        <f>IFERROR(__xludf.DUMMYFUNCTION("REGEXREPLACE(C4966,""-\d+(.*)|--\d+(.*)"","""")"),"BOVES")</f>
        <v>BOVES</v>
      </c>
      <c r="E4966" s="38" t="s">
        <v>224</v>
      </c>
      <c r="F4966" s="38" t="s">
        <v>113</v>
      </c>
      <c r="G4966" s="49" t="str">
        <f t="shared" si="1"/>
        <v>80440</v>
      </c>
      <c r="H4966" s="49">
        <f t="shared" si="2"/>
        <v>80131</v>
      </c>
    </row>
    <row r="4967">
      <c r="A4967" s="48" t="s">
        <v>6731</v>
      </c>
      <c r="B4967" s="38">
        <v>89439.0</v>
      </c>
      <c r="C4967" s="38" t="s">
        <v>7929</v>
      </c>
      <c r="D4967" s="38" t="str">
        <f>IFERROR(__xludf.DUMMYFUNCTION("REGEXREPLACE(C4967,""-\d+(.*)|--\d+(.*)"","""")"),"VERGIGNY")</f>
        <v>VERGIGNY</v>
      </c>
      <c r="E4967" s="38" t="s">
        <v>275</v>
      </c>
      <c r="F4967" s="38" t="s">
        <v>106</v>
      </c>
      <c r="G4967" s="49" t="str">
        <f t="shared" si="1"/>
        <v>89600</v>
      </c>
      <c r="H4967" s="49">
        <f t="shared" si="2"/>
        <v>89439</v>
      </c>
    </row>
    <row r="4968">
      <c r="A4968" s="48" t="s">
        <v>2047</v>
      </c>
      <c r="B4968" s="38">
        <v>62093.0</v>
      </c>
      <c r="C4968" s="38" t="s">
        <v>7930</v>
      </c>
      <c r="D4968" s="38" t="str">
        <f>IFERROR(__xludf.DUMMYFUNCTION("REGEXREPLACE(C4968,""-\d+(.*)|--\d+(.*)"","""")"),"BEAULENCOURT")</f>
        <v>BEAULENCOURT</v>
      </c>
      <c r="E4968" s="38" t="s">
        <v>109</v>
      </c>
      <c r="F4968" s="38" t="s">
        <v>86</v>
      </c>
      <c r="G4968" s="49" t="str">
        <f t="shared" si="1"/>
        <v>62450</v>
      </c>
      <c r="H4968" s="49">
        <f t="shared" si="2"/>
        <v>62093</v>
      </c>
    </row>
    <row r="4969">
      <c r="A4969" s="48" t="s">
        <v>7514</v>
      </c>
      <c r="B4969" s="38">
        <v>88431.0</v>
      </c>
      <c r="C4969" s="38" t="s">
        <v>5044</v>
      </c>
      <c r="D4969" s="38" t="str">
        <f>IFERROR(__xludf.DUMMYFUNCTION("REGEXREPLACE(C4969,""-\d+(.*)|--\d+(.*)"","""")"),"SAINT-PAUL")</f>
        <v>SAINT-PAUL</v>
      </c>
      <c r="E4969" s="38" t="s">
        <v>194</v>
      </c>
      <c r="F4969" s="38" t="s">
        <v>195</v>
      </c>
      <c r="G4969" s="49" t="str">
        <f t="shared" si="1"/>
        <v>88170</v>
      </c>
      <c r="H4969" s="49">
        <f t="shared" si="2"/>
        <v>88431</v>
      </c>
    </row>
    <row r="4970">
      <c r="A4970" s="48" t="s">
        <v>1900</v>
      </c>
      <c r="B4970" s="38">
        <v>45243.0</v>
      </c>
      <c r="C4970" s="38" t="s">
        <v>7931</v>
      </c>
      <c r="D4970" s="38" t="str">
        <f>IFERROR(__xludf.DUMMYFUNCTION("REGEXREPLACE(C4970,""-\d+(.*)|--\d+(.*)"","""")"),"OUZOUER-SOUS-BELLEGARDE")</f>
        <v>OUZOUER-SOUS-BELLEGARDE</v>
      </c>
      <c r="E4970" s="38" t="s">
        <v>122</v>
      </c>
      <c r="F4970" s="38" t="s">
        <v>123</v>
      </c>
      <c r="G4970" s="49" t="str">
        <f t="shared" si="1"/>
        <v>45270</v>
      </c>
      <c r="H4970" s="49">
        <f t="shared" si="2"/>
        <v>45243</v>
      </c>
    </row>
    <row r="4971">
      <c r="A4971" s="48" t="s">
        <v>1325</v>
      </c>
      <c r="B4971" s="38">
        <v>7080.0</v>
      </c>
      <c r="C4971" s="38" t="s">
        <v>7932</v>
      </c>
      <c r="D4971" s="38" t="str">
        <f>IFERROR(__xludf.DUMMYFUNCTION("REGEXREPLACE(C4971,""-\d+(.*)|--\d+(.*)"","""")"),"DEVESSET")</f>
        <v>DEVESSET</v>
      </c>
      <c r="E4971" s="38" t="s">
        <v>144</v>
      </c>
      <c r="F4971" s="38" t="s">
        <v>102</v>
      </c>
      <c r="G4971" s="49" t="str">
        <f t="shared" si="1"/>
        <v>07320</v>
      </c>
      <c r="H4971" s="49" t="str">
        <f t="shared" si="2"/>
        <v>07080</v>
      </c>
    </row>
    <row r="4972">
      <c r="A4972" s="48" t="s">
        <v>7933</v>
      </c>
      <c r="B4972" s="38">
        <v>27492.0</v>
      </c>
      <c r="C4972" s="38" t="s">
        <v>7934</v>
      </c>
      <c r="D4972" s="38" t="str">
        <f>IFERROR(__xludf.DUMMYFUNCTION("REGEXREPLACE(C4972,""-\d+(.*)|--\d+(.*)"","""")"),"ROMILLY-LA-PUTHENAYE")</f>
        <v>ROMILLY-LA-PUTHENAYE</v>
      </c>
      <c r="E4972" s="38" t="s">
        <v>241</v>
      </c>
      <c r="F4972" s="38" t="s">
        <v>134</v>
      </c>
      <c r="G4972" s="49" t="str">
        <f t="shared" si="1"/>
        <v>27170</v>
      </c>
      <c r="H4972" s="49">
        <f t="shared" si="2"/>
        <v>27492</v>
      </c>
    </row>
    <row r="4973">
      <c r="A4973" s="48" t="s">
        <v>3077</v>
      </c>
      <c r="B4973" s="38">
        <v>32436.0</v>
      </c>
      <c r="C4973" s="38" t="s">
        <v>7935</v>
      </c>
      <c r="D4973" s="38" t="str">
        <f>IFERROR(__xludf.DUMMYFUNCTION("REGEXREPLACE(C4973,""-\d+(.*)|--\d+(.*)"","""")"),"SOLOMIAC")</f>
        <v>SOLOMIAC</v>
      </c>
      <c r="E4973" s="38" t="s">
        <v>440</v>
      </c>
      <c r="F4973" s="38" t="s">
        <v>94</v>
      </c>
      <c r="G4973" s="49" t="str">
        <f t="shared" si="1"/>
        <v>32120</v>
      </c>
      <c r="H4973" s="49">
        <f t="shared" si="2"/>
        <v>32436</v>
      </c>
    </row>
    <row r="4974">
      <c r="A4974" s="48" t="s">
        <v>5866</v>
      </c>
      <c r="B4974" s="38">
        <v>33147.0</v>
      </c>
      <c r="C4974" s="38" t="s">
        <v>7936</v>
      </c>
      <c r="D4974" s="38" t="str">
        <f>IFERROR(__xludf.DUMMYFUNCTION("REGEXREPLACE(C4974,""-\d+(.*)|--\d+(.*)"","""")"),"DAIGNAC")</f>
        <v>DAIGNAC</v>
      </c>
      <c r="E4974" s="38" t="s">
        <v>462</v>
      </c>
      <c r="F4974" s="38" t="s">
        <v>252</v>
      </c>
      <c r="G4974" s="49" t="str">
        <f t="shared" si="1"/>
        <v>33420</v>
      </c>
      <c r="H4974" s="49">
        <f t="shared" si="2"/>
        <v>33147</v>
      </c>
    </row>
    <row r="4975">
      <c r="A4975" s="48" t="s">
        <v>7937</v>
      </c>
      <c r="B4975" s="38">
        <v>92049.0</v>
      </c>
      <c r="C4975" s="38" t="s">
        <v>7938</v>
      </c>
      <c r="D4975" s="38" t="str">
        <f>IFERROR(__xludf.DUMMYFUNCTION("REGEXREPLACE(C4975,""-\d+(.*)|--\d+(.*)"","""")"),"MONTROUGE")</f>
        <v>MONTROUGE</v>
      </c>
      <c r="E4975" s="38" t="s">
        <v>838</v>
      </c>
      <c r="F4975" s="38" t="s">
        <v>245</v>
      </c>
      <c r="G4975" s="49" t="str">
        <f t="shared" si="1"/>
        <v>92120</v>
      </c>
      <c r="H4975" s="49">
        <f t="shared" si="2"/>
        <v>92049</v>
      </c>
    </row>
    <row r="4976">
      <c r="A4976" s="48" t="s">
        <v>1239</v>
      </c>
      <c r="B4976" s="38">
        <v>2431.0</v>
      </c>
      <c r="C4976" s="38" t="s">
        <v>7939</v>
      </c>
      <c r="D4976" s="38" t="str">
        <f>IFERROR(__xludf.DUMMYFUNCTION("REGEXREPLACE(C4976,""-\d+(.*)|--\d+(.*)"","""")"),"LIEZ")</f>
        <v>LIEZ</v>
      </c>
      <c r="E4976" s="38" t="s">
        <v>191</v>
      </c>
      <c r="F4976" s="38" t="s">
        <v>113</v>
      </c>
      <c r="G4976" s="49" t="str">
        <f t="shared" si="1"/>
        <v>02700</v>
      </c>
      <c r="H4976" s="49" t="str">
        <f t="shared" si="2"/>
        <v>02431</v>
      </c>
    </row>
    <row r="4977">
      <c r="A4977" s="48" t="s">
        <v>7940</v>
      </c>
      <c r="B4977" s="38">
        <v>49092.0</v>
      </c>
      <c r="C4977" s="38" t="s">
        <v>7941</v>
      </c>
      <c r="D4977" s="38" t="str">
        <f>IFERROR(__xludf.DUMMYFUNCTION("REGEXREPLACE(C4977,""-\d+(.*)|--\d+(.*)"","""")"),"CHEMILLE")</f>
        <v>CHEMILLE</v>
      </c>
      <c r="E4977" s="38" t="s">
        <v>653</v>
      </c>
      <c r="F4977" s="38" t="s">
        <v>180</v>
      </c>
      <c r="G4977" s="49" t="str">
        <f t="shared" si="1"/>
        <v>49120</v>
      </c>
      <c r="H4977" s="49">
        <f t="shared" si="2"/>
        <v>49092</v>
      </c>
    </row>
    <row r="4978">
      <c r="A4978" s="48" t="s">
        <v>5487</v>
      </c>
      <c r="B4978" s="38">
        <v>27159.0</v>
      </c>
      <c r="C4978" s="38" t="s">
        <v>7942</v>
      </c>
      <c r="D4978" s="38" t="str">
        <f>IFERROR(__xludf.DUMMYFUNCTION("REGEXREPLACE(C4978,""-\d+(.*)|--\d+(.*)"","""")"),"CINTRAY")</f>
        <v>CINTRAY</v>
      </c>
      <c r="E4978" s="38" t="s">
        <v>241</v>
      </c>
      <c r="F4978" s="38" t="s">
        <v>134</v>
      </c>
      <c r="G4978" s="49" t="str">
        <f t="shared" si="1"/>
        <v>27160</v>
      </c>
      <c r="H4978" s="49">
        <f t="shared" si="2"/>
        <v>27159</v>
      </c>
    </row>
    <row r="4979">
      <c r="A4979" s="48" t="s">
        <v>2351</v>
      </c>
      <c r="B4979" s="38">
        <v>81215.0</v>
      </c>
      <c r="C4979" s="38" t="s">
        <v>7943</v>
      </c>
      <c r="D4979" s="38" t="str">
        <f>IFERROR(__xludf.DUMMYFUNCTION("REGEXREPLACE(C4979,""-\d+(.*)|--\d+(.*)"","""")"),"PUYBEGON")</f>
        <v>PUYBEGON</v>
      </c>
      <c r="E4979" s="38" t="s">
        <v>231</v>
      </c>
      <c r="F4979" s="38" t="s">
        <v>94</v>
      </c>
      <c r="G4979" s="49" t="str">
        <f t="shared" si="1"/>
        <v>81390</v>
      </c>
      <c r="H4979" s="49">
        <f t="shared" si="2"/>
        <v>81215</v>
      </c>
    </row>
    <row r="4980">
      <c r="A4980" s="48" t="s">
        <v>2891</v>
      </c>
      <c r="B4980" s="38">
        <v>12284.0</v>
      </c>
      <c r="C4980" s="38" t="s">
        <v>7944</v>
      </c>
      <c r="D4980" s="38" t="str">
        <f>IFERROR(__xludf.DUMMYFUNCTION("REGEXREPLACE(C4980,""-\d+(.*)|--\d+(.*)"","""")"),"LE TRUEL")</f>
        <v>LE TRUEL</v>
      </c>
      <c r="E4980" s="38" t="s">
        <v>465</v>
      </c>
      <c r="F4980" s="38" t="s">
        <v>94</v>
      </c>
      <c r="G4980" s="49" t="str">
        <f t="shared" si="1"/>
        <v>12430</v>
      </c>
      <c r="H4980" s="49">
        <f t="shared" si="2"/>
        <v>12284</v>
      </c>
    </row>
    <row r="4981">
      <c r="A4981" s="48" t="s">
        <v>595</v>
      </c>
      <c r="B4981" s="38">
        <v>29246.0</v>
      </c>
      <c r="C4981" s="38" t="s">
        <v>7945</v>
      </c>
      <c r="D4981" s="38" t="str">
        <f>IFERROR(__xludf.DUMMYFUNCTION("REGEXREPLACE(C4981,""-\d+(.*)|--\d+(.*)"","""")"),"SAINT-ELOY")</f>
        <v>SAINT-ELOY</v>
      </c>
      <c r="E4981" s="38" t="s">
        <v>176</v>
      </c>
      <c r="F4981" s="38" t="s">
        <v>90</v>
      </c>
      <c r="G4981" s="49" t="str">
        <f t="shared" si="1"/>
        <v>29460</v>
      </c>
      <c r="H4981" s="49">
        <f t="shared" si="2"/>
        <v>29246</v>
      </c>
    </row>
    <row r="4982">
      <c r="A4982" s="48" t="s">
        <v>7946</v>
      </c>
      <c r="B4982" s="38">
        <v>68224.0</v>
      </c>
      <c r="C4982" s="38" t="s">
        <v>7947</v>
      </c>
      <c r="D4982" s="38" t="str">
        <f>IFERROR(__xludf.DUMMYFUNCTION("REGEXREPLACE(C4982,""-\d+(.*)|--\d+(.*)"","""")"),"MULHOUSE")</f>
        <v>MULHOUSE</v>
      </c>
      <c r="E4982" s="38" t="s">
        <v>150</v>
      </c>
      <c r="F4982" s="38" t="s">
        <v>151</v>
      </c>
      <c r="G4982" s="49" t="str">
        <f t="shared" si="1"/>
        <v>68100/68200</v>
      </c>
      <c r="H4982" s="49">
        <f t="shared" si="2"/>
        <v>68224</v>
      </c>
    </row>
    <row r="4983">
      <c r="A4983" s="48" t="s">
        <v>7948</v>
      </c>
      <c r="B4983" s="38">
        <v>47019.0</v>
      </c>
      <c r="C4983" s="38" t="s">
        <v>7949</v>
      </c>
      <c r="D4983" s="38" t="str">
        <f>IFERROR(__xludf.DUMMYFUNCTION("REGEXREPLACE(C4983,""-\d+(.*)|--\d+(.*)"","""")"),"BAJAMONT")</f>
        <v>BAJAMONT</v>
      </c>
      <c r="E4983" s="38" t="s">
        <v>251</v>
      </c>
      <c r="F4983" s="38" t="s">
        <v>252</v>
      </c>
      <c r="G4983" s="49" t="str">
        <f t="shared" si="1"/>
        <v>47480</v>
      </c>
      <c r="H4983" s="49">
        <f t="shared" si="2"/>
        <v>47019</v>
      </c>
    </row>
    <row r="4984">
      <c r="A4984" s="48" t="s">
        <v>5455</v>
      </c>
      <c r="B4984" s="38">
        <v>91425.0</v>
      </c>
      <c r="C4984" s="38" t="s">
        <v>7950</v>
      </c>
      <c r="D4984" s="38" t="str">
        <f>IFERROR(__xludf.DUMMYFUNCTION("REGEXREPLACE(C4984,""-\d+(.*)|--\d+(.*)"","""")"),"MONTLHERY")</f>
        <v>MONTLHERY</v>
      </c>
      <c r="E4984" s="38" t="s">
        <v>756</v>
      </c>
      <c r="F4984" s="38" t="s">
        <v>245</v>
      </c>
      <c r="G4984" s="49" t="str">
        <f t="shared" si="1"/>
        <v>91310</v>
      </c>
      <c r="H4984" s="49">
        <f t="shared" si="2"/>
        <v>91425</v>
      </c>
    </row>
    <row r="4985">
      <c r="A4985" s="48" t="s">
        <v>4596</v>
      </c>
      <c r="B4985" s="38">
        <v>2649.0</v>
      </c>
      <c r="C4985" s="38" t="s">
        <v>7951</v>
      </c>
      <c r="D4985" s="38" t="str">
        <f>IFERROR(__xludf.DUMMYFUNCTION("REGEXREPLACE(C4985,""-\d+(.*)|--\d+(.*)"","""")"),"ROCOURT-SAINT-MARTIN")</f>
        <v>ROCOURT-SAINT-MARTIN</v>
      </c>
      <c r="E4985" s="38" t="s">
        <v>191</v>
      </c>
      <c r="F4985" s="38" t="s">
        <v>113</v>
      </c>
      <c r="G4985" s="49" t="str">
        <f t="shared" si="1"/>
        <v>02210</v>
      </c>
      <c r="H4985" s="49" t="str">
        <f t="shared" si="2"/>
        <v>02649</v>
      </c>
    </row>
    <row r="4986">
      <c r="A4986" s="48" t="s">
        <v>7952</v>
      </c>
      <c r="B4986" s="38">
        <v>22054.0</v>
      </c>
      <c r="C4986" s="38" t="s">
        <v>7953</v>
      </c>
      <c r="D4986" s="38" t="str">
        <f>IFERROR(__xludf.DUMMYFUNCTION("REGEXREPLACE(C4986,""-\d+(.*)|--\d+(.*)"","""")"),"ERQUY")</f>
        <v>ERQUY</v>
      </c>
      <c r="E4986" s="38" t="s">
        <v>89</v>
      </c>
      <c r="F4986" s="38" t="s">
        <v>90</v>
      </c>
      <c r="G4986" s="49" t="str">
        <f t="shared" si="1"/>
        <v>22430</v>
      </c>
      <c r="H4986" s="49">
        <f t="shared" si="2"/>
        <v>22054</v>
      </c>
    </row>
    <row r="4987">
      <c r="A4987" s="48" t="s">
        <v>7954</v>
      </c>
      <c r="B4987" s="38">
        <v>40244.0</v>
      </c>
      <c r="C4987" s="38" t="s">
        <v>7955</v>
      </c>
      <c r="D4987" s="38" t="str">
        <f>IFERROR(__xludf.DUMMYFUNCTION("REGEXREPLACE(C4987,""-\d+(.*)|--\d+(.*)"","""")"),"RIVIERE-SAAS-ET-GOURBY")</f>
        <v>RIVIERE-SAAS-ET-GOURBY</v>
      </c>
      <c r="E4987" s="38" t="s">
        <v>281</v>
      </c>
      <c r="F4987" s="38" t="s">
        <v>252</v>
      </c>
      <c r="G4987" s="49" t="str">
        <f t="shared" si="1"/>
        <v>40180</v>
      </c>
      <c r="H4987" s="49">
        <f t="shared" si="2"/>
        <v>40244</v>
      </c>
    </row>
    <row r="4988">
      <c r="A4988" s="48" t="s">
        <v>7956</v>
      </c>
      <c r="B4988" s="38">
        <v>59328.0</v>
      </c>
      <c r="C4988" s="38" t="s">
        <v>7957</v>
      </c>
      <c r="D4988" s="38" t="str">
        <f>IFERROR(__xludf.DUMMYFUNCTION("REGEXREPLACE(C4988,""-\d+(.*)|--\d+(.*)"","""")"),"LAMBERSART")</f>
        <v>LAMBERSART</v>
      </c>
      <c r="E4988" s="38" t="s">
        <v>85</v>
      </c>
      <c r="F4988" s="38" t="s">
        <v>86</v>
      </c>
      <c r="G4988" s="49" t="str">
        <f t="shared" si="1"/>
        <v>59130</v>
      </c>
      <c r="H4988" s="49">
        <f t="shared" si="2"/>
        <v>59328</v>
      </c>
    </row>
    <row r="4989">
      <c r="A4989" s="48" t="s">
        <v>4065</v>
      </c>
      <c r="B4989" s="38">
        <v>21100.0</v>
      </c>
      <c r="C4989" s="38" t="s">
        <v>7958</v>
      </c>
      <c r="D4989" s="38" t="str">
        <f>IFERROR(__xludf.DUMMYFUNCTION("REGEXREPLACE(C4989,""-\d+(.*)|--\d+(.*)"","""")"),"BRAIN")</f>
        <v>BRAIN</v>
      </c>
      <c r="E4989" s="38" t="s">
        <v>105</v>
      </c>
      <c r="F4989" s="38" t="s">
        <v>106</v>
      </c>
      <c r="G4989" s="49" t="str">
        <f t="shared" si="1"/>
        <v>21350</v>
      </c>
      <c r="H4989" s="49">
        <f t="shared" si="2"/>
        <v>21100</v>
      </c>
    </row>
    <row r="4990">
      <c r="A4990" s="48" t="s">
        <v>1908</v>
      </c>
      <c r="B4990" s="38">
        <v>62820.0</v>
      </c>
      <c r="C4990" s="38" t="s">
        <v>7959</v>
      </c>
      <c r="D4990" s="38" t="str">
        <f>IFERROR(__xludf.DUMMYFUNCTION("REGEXREPLACE(C4990,""-\d+(.*)|--\d+(.*)"","""")"),"TINCQUES")</f>
        <v>TINCQUES</v>
      </c>
      <c r="E4990" s="38" t="s">
        <v>109</v>
      </c>
      <c r="F4990" s="38" t="s">
        <v>86</v>
      </c>
      <c r="G4990" s="49" t="str">
        <f t="shared" si="1"/>
        <v>62127</v>
      </c>
      <c r="H4990" s="49">
        <f t="shared" si="2"/>
        <v>62820</v>
      </c>
    </row>
    <row r="4991">
      <c r="A4991" s="48" t="s">
        <v>1547</v>
      </c>
      <c r="B4991" s="38">
        <v>24579.0</v>
      </c>
      <c r="C4991" s="38" t="s">
        <v>7960</v>
      </c>
      <c r="D4991" s="38" t="str">
        <f>IFERROR(__xludf.DUMMYFUNCTION("REGEXREPLACE(C4991,""-\d+(.*)|--\d+(.*)"","""")"),"VIEUX-MAREUIL")</f>
        <v>VIEUX-MAREUIL</v>
      </c>
      <c r="E4991" s="38" t="s">
        <v>261</v>
      </c>
      <c r="F4991" s="38" t="s">
        <v>252</v>
      </c>
      <c r="G4991" s="49" t="str">
        <f t="shared" si="1"/>
        <v>24340</v>
      </c>
      <c r="H4991" s="49">
        <f t="shared" si="2"/>
        <v>24579</v>
      </c>
    </row>
    <row r="4992">
      <c r="A4992" s="48" t="s">
        <v>938</v>
      </c>
      <c r="B4992" s="38">
        <v>9075.0</v>
      </c>
      <c r="C4992" s="38" t="s">
        <v>7961</v>
      </c>
      <c r="D4992" s="38" t="str">
        <f>IFERROR(__xludf.DUMMYFUNCTION("REGEXREPLACE(C4992,""-\d+(.*)|--\d+(.*)"","""")"),"CAMPAGNE-SUR-ARIZE")</f>
        <v>CAMPAGNE-SUR-ARIZE</v>
      </c>
      <c r="E4992" s="38" t="s">
        <v>238</v>
      </c>
      <c r="F4992" s="38" t="s">
        <v>94</v>
      </c>
      <c r="G4992" s="49" t="str">
        <f t="shared" si="1"/>
        <v>09350</v>
      </c>
      <c r="H4992" s="49" t="str">
        <f t="shared" si="2"/>
        <v>09075</v>
      </c>
    </row>
    <row r="4993">
      <c r="A4993" s="48" t="s">
        <v>6736</v>
      </c>
      <c r="B4993" s="38">
        <v>31384.0</v>
      </c>
      <c r="C4993" s="38" t="s">
        <v>7962</v>
      </c>
      <c r="D4993" s="38" t="str">
        <f>IFERROR(__xludf.DUMMYFUNCTION("REGEXREPLACE(C4993,""-\d+(.*)|--\d+(.*)"","""")"),"MONTLAUR")</f>
        <v>MONTLAUR</v>
      </c>
      <c r="E4993" s="38" t="s">
        <v>93</v>
      </c>
      <c r="F4993" s="38" t="s">
        <v>94</v>
      </c>
      <c r="G4993" s="49" t="str">
        <f t="shared" si="1"/>
        <v>31450</v>
      </c>
      <c r="H4993" s="49">
        <f t="shared" si="2"/>
        <v>31384</v>
      </c>
    </row>
    <row r="4994">
      <c r="A4994" s="48" t="s">
        <v>862</v>
      </c>
      <c r="B4994" s="38">
        <v>27263.0</v>
      </c>
      <c r="C4994" s="38" t="s">
        <v>7963</v>
      </c>
      <c r="D4994" s="38" t="str">
        <f>IFERROR(__xludf.DUMMYFUNCTION("REGEXREPLACE(C4994,""-\d+(.*)|--\d+(.*)"","""")"),"FOURMETOT")</f>
        <v>FOURMETOT</v>
      </c>
      <c r="E4994" s="38" t="s">
        <v>241</v>
      </c>
      <c r="F4994" s="38" t="s">
        <v>134</v>
      </c>
      <c r="G4994" s="49" t="str">
        <f t="shared" si="1"/>
        <v>27500</v>
      </c>
      <c r="H4994" s="49">
        <f t="shared" si="2"/>
        <v>27263</v>
      </c>
    </row>
    <row r="4995">
      <c r="A4995" s="48" t="s">
        <v>3689</v>
      </c>
      <c r="B4995" s="38">
        <v>1084.0</v>
      </c>
      <c r="C4995" s="38" t="s">
        <v>7964</v>
      </c>
      <c r="D4995" s="38" t="str">
        <f>IFERROR(__xludf.DUMMYFUNCTION("REGEXREPLACE(C4995,""-\d+(.*)|--\d+(.*)"","""")"),"CHANOZ-CHATENAY")</f>
        <v>CHANOZ-CHATENAY</v>
      </c>
      <c r="E4995" s="38" t="s">
        <v>255</v>
      </c>
      <c r="F4995" s="38" t="s">
        <v>102</v>
      </c>
      <c r="G4995" s="49" t="str">
        <f t="shared" si="1"/>
        <v>01400</v>
      </c>
      <c r="H4995" s="49" t="str">
        <f t="shared" si="2"/>
        <v>01084</v>
      </c>
    </row>
    <row r="4996">
      <c r="A4996" s="48" t="s">
        <v>3838</v>
      </c>
      <c r="B4996" s="38">
        <v>27542.0</v>
      </c>
      <c r="C4996" s="38" t="s">
        <v>7965</v>
      </c>
      <c r="D4996" s="38" t="str">
        <f>IFERROR(__xludf.DUMMYFUNCTION("REGEXREPLACE(C4996,""-\d+(.*)|--\d+(.*)"","""")"),"SAINT-GEORGES-DU-VIEVRE")</f>
        <v>SAINT-GEORGES-DU-VIEVRE</v>
      </c>
      <c r="E4996" s="38" t="s">
        <v>241</v>
      </c>
      <c r="F4996" s="38" t="s">
        <v>134</v>
      </c>
      <c r="G4996" s="49" t="str">
        <f t="shared" si="1"/>
        <v>27450</v>
      </c>
      <c r="H4996" s="49">
        <f t="shared" si="2"/>
        <v>27542</v>
      </c>
    </row>
    <row r="4997">
      <c r="A4997" s="48" t="s">
        <v>7966</v>
      </c>
      <c r="B4997" s="38">
        <v>56203.0</v>
      </c>
      <c r="C4997" s="38" t="s">
        <v>7967</v>
      </c>
      <c r="D4997" s="38" t="str">
        <f>IFERROR(__xludf.DUMMYFUNCTION("REGEXREPLACE(C4997,""-\d+(.*)|--\d+(.*)"","""")"),"SAINT-AIGNAN")</f>
        <v>SAINT-AIGNAN</v>
      </c>
      <c r="E4997" s="38" t="s">
        <v>173</v>
      </c>
      <c r="F4997" s="38" t="s">
        <v>90</v>
      </c>
      <c r="G4997" s="49" t="str">
        <f t="shared" si="1"/>
        <v>56480</v>
      </c>
      <c r="H4997" s="49">
        <f t="shared" si="2"/>
        <v>56203</v>
      </c>
    </row>
    <row r="4998">
      <c r="A4998" s="48" t="s">
        <v>7968</v>
      </c>
      <c r="B4998" s="38">
        <v>74156.0</v>
      </c>
      <c r="C4998" s="38" t="s">
        <v>7969</v>
      </c>
      <c r="D4998" s="38" t="str">
        <f>IFERROR(__xludf.DUMMYFUNCTION("REGEXREPLACE(C4998,""-\d+(.*)|--\d+(.*)"","""")"),"LULLY")</f>
        <v>LULLY</v>
      </c>
      <c r="E4998" s="38" t="s">
        <v>319</v>
      </c>
      <c r="F4998" s="38" t="s">
        <v>102</v>
      </c>
      <c r="G4998" s="49" t="str">
        <f t="shared" si="1"/>
        <v>74890</v>
      </c>
      <c r="H4998" s="49">
        <f t="shared" si="2"/>
        <v>74156</v>
      </c>
    </row>
    <row r="4999">
      <c r="A4999" s="48" t="s">
        <v>1841</v>
      </c>
      <c r="B4999" s="38">
        <v>27120.0</v>
      </c>
      <c r="C4999" s="38" t="s">
        <v>7970</v>
      </c>
      <c r="D4999" s="38" t="str">
        <f>IFERROR(__xludf.DUMMYFUNCTION("REGEXREPLACE(C4999,""-\d+(.*)|--\d+(.*)"","""")"),"BUREY")</f>
        <v>BUREY</v>
      </c>
      <c r="E4999" s="38" t="s">
        <v>241</v>
      </c>
      <c r="F4999" s="38" t="s">
        <v>134</v>
      </c>
      <c r="G4999" s="49" t="str">
        <f t="shared" si="1"/>
        <v>27190</v>
      </c>
      <c r="H4999" s="49">
        <f t="shared" si="2"/>
        <v>27120</v>
      </c>
    </row>
    <row r="5000">
      <c r="A5000" s="48" t="s">
        <v>6145</v>
      </c>
      <c r="B5000" s="38">
        <v>59060.0</v>
      </c>
      <c r="C5000" s="38" t="s">
        <v>7971</v>
      </c>
      <c r="D5000" s="38" t="str">
        <f>IFERROR(__xludf.DUMMYFUNCTION("REGEXREPLACE(C5000,""-\d+(.*)|--\d+(.*)"","""")"),"BEAURAIN")</f>
        <v>BEAURAIN</v>
      </c>
      <c r="E5000" s="38" t="s">
        <v>85</v>
      </c>
      <c r="F5000" s="38" t="s">
        <v>86</v>
      </c>
      <c r="G5000" s="49" t="str">
        <f t="shared" si="1"/>
        <v>59730</v>
      </c>
      <c r="H5000" s="49">
        <f t="shared" si="2"/>
        <v>59060</v>
      </c>
    </row>
    <row r="5001">
      <c r="A5001" s="48" t="s">
        <v>7972</v>
      </c>
      <c r="B5001" s="38">
        <v>62706.0</v>
      </c>
      <c r="C5001" s="38" t="s">
        <v>2935</v>
      </c>
      <c r="D5001" s="38" t="str">
        <f>IFERROR(__xludf.DUMMYFUNCTION("REGEXREPLACE(C5001,""-\d+(.*)|--\d+(.*)"","""")"),"RICHEBOURG")</f>
        <v>RICHEBOURG</v>
      </c>
      <c r="E5001" s="38" t="s">
        <v>109</v>
      </c>
      <c r="F5001" s="38" t="s">
        <v>86</v>
      </c>
      <c r="G5001" s="49" t="str">
        <f t="shared" si="1"/>
        <v>62136</v>
      </c>
      <c r="H5001" s="49">
        <f t="shared" si="2"/>
        <v>62706</v>
      </c>
    </row>
    <row r="5002">
      <c r="A5002" s="48" t="s">
        <v>6387</v>
      </c>
      <c r="B5002" s="38">
        <v>2595.0</v>
      </c>
      <c r="C5002" s="38" t="s">
        <v>7973</v>
      </c>
      <c r="D5002" s="38" t="str">
        <f>IFERROR(__xludf.DUMMYFUNCTION("REGEXREPLACE(C5002,""-\d+(.*)|--\d+(.*)"","""")"),"PASSY-SUR-MARNE")</f>
        <v>PASSY-SUR-MARNE</v>
      </c>
      <c r="E5002" s="38" t="s">
        <v>191</v>
      </c>
      <c r="F5002" s="38" t="s">
        <v>113</v>
      </c>
      <c r="G5002" s="49" t="str">
        <f t="shared" si="1"/>
        <v>02850</v>
      </c>
      <c r="H5002" s="49" t="str">
        <f t="shared" si="2"/>
        <v>02595</v>
      </c>
    </row>
    <row r="5003">
      <c r="A5003" s="48" t="s">
        <v>2863</v>
      </c>
      <c r="B5003" s="38">
        <v>97613.0</v>
      </c>
      <c r="C5003" s="38" t="s">
        <v>7974</v>
      </c>
      <c r="D5003" s="38" t="str">
        <f>IFERROR(__xludf.DUMMYFUNCTION("REGEXREPLACE(C5003,""-\d+(.*)|--\d+(.*)"","""")"),"M'TSANGAMOUJI")</f>
        <v>M'TSANGAMOUJI</v>
      </c>
      <c r="E5003" s="38" t="s">
        <v>2865</v>
      </c>
      <c r="F5003" s="38" t="s">
        <v>2865</v>
      </c>
      <c r="G5003" s="49" t="str">
        <f t="shared" si="1"/>
        <v>97650</v>
      </c>
      <c r="H5003" s="49">
        <f t="shared" si="2"/>
        <v>97613</v>
      </c>
    </row>
    <row r="5004">
      <c r="A5004" s="48" t="s">
        <v>5953</v>
      </c>
      <c r="B5004" s="38">
        <v>76671.0</v>
      </c>
      <c r="C5004" s="38" t="s">
        <v>7975</v>
      </c>
      <c r="D5004" s="38" t="str">
        <f>IFERROR(__xludf.DUMMYFUNCTION("REGEXREPLACE(C5004,""-\d+(.*)|--\d+(.*)"","""")"),"SEPT-MEULES")</f>
        <v>SEPT-MEULES</v>
      </c>
      <c r="E5004" s="38" t="s">
        <v>133</v>
      </c>
      <c r="F5004" s="38" t="s">
        <v>134</v>
      </c>
      <c r="G5004" s="49" t="str">
        <f t="shared" si="1"/>
        <v>76260</v>
      </c>
      <c r="H5004" s="49">
        <f t="shared" si="2"/>
        <v>76671</v>
      </c>
    </row>
    <row r="5005">
      <c r="A5005" s="48" t="s">
        <v>158</v>
      </c>
      <c r="B5005" s="38">
        <v>3223.0</v>
      </c>
      <c r="C5005" s="38" t="s">
        <v>6001</v>
      </c>
      <c r="D5005" s="38" t="str">
        <f>IFERROR(__xludf.DUMMYFUNCTION("REGEXREPLACE(C5005,""-\d+(.*)|--\d+(.*)"","""")"),"SAINT-CHRISTOPHE")</f>
        <v>SAINT-CHRISTOPHE</v>
      </c>
      <c r="E5005" s="38" t="s">
        <v>160</v>
      </c>
      <c r="F5005" s="38" t="s">
        <v>161</v>
      </c>
      <c r="G5005" s="49" t="str">
        <f t="shared" si="1"/>
        <v>03120</v>
      </c>
      <c r="H5005" s="49" t="str">
        <f t="shared" si="2"/>
        <v>03223</v>
      </c>
    </row>
    <row r="5006">
      <c r="A5006" s="48" t="s">
        <v>1368</v>
      </c>
      <c r="B5006" s="38">
        <v>8308.0</v>
      </c>
      <c r="C5006" s="38" t="s">
        <v>7976</v>
      </c>
      <c r="D5006" s="38" t="str">
        <f>IFERROR(__xludf.DUMMYFUNCTION("REGEXREPLACE(C5006,""-\d+(.*)|--\d+(.*)"","""")"),"MONT-SAINT-MARTIN")</f>
        <v>MONT-SAINT-MARTIN</v>
      </c>
      <c r="E5006" s="38" t="s">
        <v>327</v>
      </c>
      <c r="F5006" s="38" t="s">
        <v>130</v>
      </c>
      <c r="G5006" s="49" t="str">
        <f t="shared" si="1"/>
        <v>08400</v>
      </c>
      <c r="H5006" s="49" t="str">
        <f t="shared" si="2"/>
        <v>08308</v>
      </c>
    </row>
    <row r="5007">
      <c r="A5007" s="48" t="s">
        <v>1268</v>
      </c>
      <c r="B5007" s="38">
        <v>8376.0</v>
      </c>
      <c r="C5007" s="38" t="s">
        <v>7977</v>
      </c>
      <c r="D5007" s="38" t="str">
        <f>IFERROR(__xludf.DUMMYFUNCTION("REGEXREPLACE(C5007,""-\d+(.*)|--\d+(.*)"","""")"),"SAILLY")</f>
        <v>SAILLY</v>
      </c>
      <c r="E5007" s="38" t="s">
        <v>327</v>
      </c>
      <c r="F5007" s="38" t="s">
        <v>130</v>
      </c>
      <c r="G5007" s="49" t="str">
        <f t="shared" si="1"/>
        <v>08110</v>
      </c>
      <c r="H5007" s="49" t="str">
        <f t="shared" si="2"/>
        <v>08376</v>
      </c>
    </row>
    <row r="5008">
      <c r="A5008" s="48" t="s">
        <v>3621</v>
      </c>
      <c r="B5008" s="38">
        <v>52090.0</v>
      </c>
      <c r="C5008" s="38" t="s">
        <v>7978</v>
      </c>
      <c r="D5008" s="38" t="str">
        <f>IFERROR(__xludf.DUMMYFUNCTION("REGEXREPLACE(C5008,""-\d+(.*)|--\d+(.*)"","""")"),"CELSOY")</f>
        <v>CELSOY</v>
      </c>
      <c r="E5008" s="38" t="s">
        <v>234</v>
      </c>
      <c r="F5008" s="38" t="s">
        <v>130</v>
      </c>
      <c r="G5008" s="49" t="str">
        <f t="shared" si="1"/>
        <v>52600</v>
      </c>
      <c r="H5008" s="49">
        <f t="shared" si="2"/>
        <v>52090</v>
      </c>
    </row>
    <row r="5009">
      <c r="A5009" s="48" t="s">
        <v>5008</v>
      </c>
      <c r="B5009" s="38">
        <v>76011.0</v>
      </c>
      <c r="C5009" s="38" t="s">
        <v>7979</v>
      </c>
      <c r="D5009" s="38" t="str">
        <f>IFERROR(__xludf.DUMMYFUNCTION("REGEXREPLACE(C5009,""-\d+(.*)|--\d+(.*)"","""")"),"ANCRETTEVILLE-SUR-MER")</f>
        <v>ANCRETTEVILLE-SUR-MER</v>
      </c>
      <c r="E5009" s="38" t="s">
        <v>133</v>
      </c>
      <c r="F5009" s="38" t="s">
        <v>134</v>
      </c>
      <c r="G5009" s="49" t="str">
        <f t="shared" si="1"/>
        <v>76540</v>
      </c>
      <c r="H5009" s="49">
        <f t="shared" si="2"/>
        <v>76011</v>
      </c>
    </row>
    <row r="5010">
      <c r="A5010" s="48" t="s">
        <v>282</v>
      </c>
      <c r="B5010" s="38">
        <v>46185.0</v>
      </c>
      <c r="C5010" s="38" t="s">
        <v>7980</v>
      </c>
      <c r="D5010" s="38" t="str">
        <f>IFERROR(__xludf.DUMMYFUNCTION("REGEXREPLACE(C5010,""-\d+(.*)|--\d+(.*)"","""")"),"MARTEL")</f>
        <v>MARTEL</v>
      </c>
      <c r="E5010" s="38" t="s">
        <v>185</v>
      </c>
      <c r="F5010" s="38" t="s">
        <v>94</v>
      </c>
      <c r="G5010" s="49" t="str">
        <f t="shared" si="1"/>
        <v>46600</v>
      </c>
      <c r="H5010" s="49">
        <f t="shared" si="2"/>
        <v>46185</v>
      </c>
    </row>
    <row r="5011">
      <c r="A5011" s="48" t="s">
        <v>6844</v>
      </c>
      <c r="B5011" s="38">
        <v>12188.0</v>
      </c>
      <c r="C5011" s="38" t="s">
        <v>7981</v>
      </c>
      <c r="D5011" s="38" t="str">
        <f>IFERROR(__xludf.DUMMYFUNCTION("REGEXREPLACE(C5011,""-\d+(.*)|--\d+(.*)"","""")"),"PRADES-SALARS")</f>
        <v>PRADES-SALARS</v>
      </c>
      <c r="E5011" s="38" t="s">
        <v>465</v>
      </c>
      <c r="F5011" s="38" t="s">
        <v>94</v>
      </c>
      <c r="G5011" s="49" t="str">
        <f t="shared" si="1"/>
        <v>12290</v>
      </c>
      <c r="H5011" s="49">
        <f t="shared" si="2"/>
        <v>12188</v>
      </c>
    </row>
    <row r="5012">
      <c r="A5012" s="48" t="s">
        <v>693</v>
      </c>
      <c r="B5012" s="38">
        <v>23262.0</v>
      </c>
      <c r="C5012" s="38" t="s">
        <v>7982</v>
      </c>
      <c r="D5012" s="38" t="str">
        <f>IFERROR(__xludf.DUMMYFUNCTION("REGEXREPLACE(C5012,""-\d+(.*)|--\d+(.*)"","""")"),"VIGEVILLE")</f>
        <v>VIGEVILLE</v>
      </c>
      <c r="E5012" s="38" t="s">
        <v>97</v>
      </c>
      <c r="F5012" s="38" t="s">
        <v>98</v>
      </c>
      <c r="G5012" s="49" t="str">
        <f t="shared" si="1"/>
        <v>23140</v>
      </c>
      <c r="H5012" s="49">
        <f t="shared" si="2"/>
        <v>23262</v>
      </c>
    </row>
    <row r="5013">
      <c r="A5013" s="48" t="s">
        <v>7983</v>
      </c>
      <c r="B5013" s="38">
        <v>93048.0</v>
      </c>
      <c r="C5013" s="38" t="s">
        <v>2054</v>
      </c>
      <c r="D5013" s="38" t="str">
        <f>IFERROR(__xludf.DUMMYFUNCTION("REGEXREPLACE(C5013,""-\d+(.*)|--\d+(.*)"","""")"),"MONTREUIL")</f>
        <v>MONTREUIL</v>
      </c>
      <c r="E5013" s="38" t="s">
        <v>341</v>
      </c>
      <c r="F5013" s="38" t="s">
        <v>245</v>
      </c>
      <c r="G5013" s="49" t="str">
        <f t="shared" si="1"/>
        <v>93100</v>
      </c>
      <c r="H5013" s="49">
        <f t="shared" si="2"/>
        <v>93048</v>
      </c>
    </row>
    <row r="5014">
      <c r="A5014" s="48" t="s">
        <v>7984</v>
      </c>
      <c r="B5014" s="38">
        <v>60151.0</v>
      </c>
      <c r="C5014" s="38" t="s">
        <v>7985</v>
      </c>
      <c r="D5014" s="38" t="str">
        <f>IFERROR(__xludf.DUMMYFUNCTION("REGEXREPLACE(C5014,""-\d+(.*)|--\d+(.*)"","""")"),"CHOISY-AU-BAC")</f>
        <v>CHOISY-AU-BAC</v>
      </c>
      <c r="E5014" s="38" t="s">
        <v>112</v>
      </c>
      <c r="F5014" s="38" t="s">
        <v>113</v>
      </c>
      <c r="G5014" s="49" t="str">
        <f t="shared" si="1"/>
        <v>60750</v>
      </c>
      <c r="H5014" s="49">
        <f t="shared" si="2"/>
        <v>60151</v>
      </c>
    </row>
    <row r="5015">
      <c r="A5015" s="48" t="s">
        <v>7986</v>
      </c>
      <c r="B5015" s="38">
        <v>69230.0</v>
      </c>
      <c r="C5015" s="38" t="s">
        <v>7987</v>
      </c>
      <c r="D5015" s="38" t="str">
        <f>IFERROR(__xludf.DUMMYFUNCTION("REGEXREPLACE(C5015,""-\d+(.*)|--\d+(.*)"","""")"),"SAINTE-PAULE")</f>
        <v>SAINTE-PAULE</v>
      </c>
      <c r="E5015" s="38" t="s">
        <v>350</v>
      </c>
      <c r="F5015" s="38" t="s">
        <v>102</v>
      </c>
      <c r="G5015" s="49" t="str">
        <f t="shared" si="1"/>
        <v>69620</v>
      </c>
      <c r="H5015" s="49">
        <f t="shared" si="2"/>
        <v>69230</v>
      </c>
    </row>
    <row r="5016">
      <c r="A5016" s="48" t="s">
        <v>7988</v>
      </c>
      <c r="B5016" s="38">
        <v>24535.0</v>
      </c>
      <c r="C5016" s="38" t="s">
        <v>7989</v>
      </c>
      <c r="D5016" s="38" t="str">
        <f>IFERROR(__xludf.DUMMYFUNCTION("REGEXREPLACE(C5016,""-\d+(.*)|--\d+(.*)"","""")"),"SIMEYROLS")</f>
        <v>SIMEYROLS</v>
      </c>
      <c r="E5016" s="38" t="s">
        <v>261</v>
      </c>
      <c r="F5016" s="38" t="s">
        <v>252</v>
      </c>
      <c r="G5016" s="49" t="str">
        <f t="shared" si="1"/>
        <v>24370</v>
      </c>
      <c r="H5016" s="49">
        <f t="shared" si="2"/>
        <v>24535</v>
      </c>
    </row>
    <row r="5017">
      <c r="A5017" s="48" t="s">
        <v>6383</v>
      </c>
      <c r="B5017" s="38">
        <v>42014.0</v>
      </c>
      <c r="C5017" s="38" t="s">
        <v>7990</v>
      </c>
      <c r="D5017" s="38" t="str">
        <f>IFERROR(__xludf.DUMMYFUNCTION("REGEXREPLACE(C5017,""-\d+(.*)|--\d+(.*)"","""")"),"BELLEROCHE")</f>
        <v>BELLEROCHE</v>
      </c>
      <c r="E5017" s="38" t="s">
        <v>166</v>
      </c>
      <c r="F5017" s="38" t="s">
        <v>102</v>
      </c>
      <c r="G5017" s="49" t="str">
        <f t="shared" si="1"/>
        <v>42670</v>
      </c>
      <c r="H5017" s="49">
        <f t="shared" si="2"/>
        <v>42014</v>
      </c>
    </row>
    <row r="5018">
      <c r="A5018" s="48" t="s">
        <v>3329</v>
      </c>
      <c r="B5018" s="38">
        <v>60049.0</v>
      </c>
      <c r="C5018" s="38" t="s">
        <v>7991</v>
      </c>
      <c r="D5018" s="38" t="str">
        <f>IFERROR(__xludf.DUMMYFUNCTION("REGEXREPLACE(C5018,""-\d+(.*)|--\d+(.*)"","""")"),"BAZANCOURT")</f>
        <v>BAZANCOURT</v>
      </c>
      <c r="E5018" s="38" t="s">
        <v>112</v>
      </c>
      <c r="F5018" s="38" t="s">
        <v>113</v>
      </c>
      <c r="G5018" s="49" t="str">
        <f t="shared" si="1"/>
        <v>60380</v>
      </c>
      <c r="H5018" s="49">
        <f t="shared" si="2"/>
        <v>60049</v>
      </c>
    </row>
    <row r="5019">
      <c r="A5019" s="48" t="s">
        <v>6875</v>
      </c>
      <c r="B5019" s="38">
        <v>2204.0</v>
      </c>
      <c r="C5019" s="38" t="s">
        <v>7992</v>
      </c>
      <c r="D5019" s="38" t="str">
        <f>IFERROR(__xludf.DUMMYFUNCTION("REGEXREPLACE(C5019,""-\d+(.*)|--\d+(.*)"","""")"),"COINGT")</f>
        <v>COINGT</v>
      </c>
      <c r="E5019" s="38" t="s">
        <v>191</v>
      </c>
      <c r="F5019" s="38" t="s">
        <v>113</v>
      </c>
      <c r="G5019" s="49" t="str">
        <f t="shared" si="1"/>
        <v>02360</v>
      </c>
      <c r="H5019" s="49" t="str">
        <f t="shared" si="2"/>
        <v>02204</v>
      </c>
    </row>
    <row r="5020">
      <c r="A5020" s="48" t="s">
        <v>736</v>
      </c>
      <c r="B5020" s="38">
        <v>57708.0</v>
      </c>
      <c r="C5020" s="38" t="s">
        <v>7993</v>
      </c>
      <c r="D5020" s="38" t="str">
        <f>IFERROR(__xludf.DUMMYFUNCTION("REGEXREPLACE(C5020,""-\d+(.*)|--\d+(.*)"","""")"),"VERNY")</f>
        <v>VERNY</v>
      </c>
      <c r="E5020" s="38" t="s">
        <v>303</v>
      </c>
      <c r="F5020" s="38" t="s">
        <v>195</v>
      </c>
      <c r="G5020" s="49" t="str">
        <f t="shared" si="1"/>
        <v>57420</v>
      </c>
      <c r="H5020" s="49">
        <f t="shared" si="2"/>
        <v>57708</v>
      </c>
    </row>
    <row r="5021">
      <c r="A5021" s="48" t="s">
        <v>2095</v>
      </c>
      <c r="B5021" s="38">
        <v>72121.0</v>
      </c>
      <c r="C5021" s="38" t="s">
        <v>7994</v>
      </c>
      <c r="D5021" s="38" t="str">
        <f>IFERROR(__xludf.DUMMYFUNCTION("REGEXREPLACE(C5021,""-\d+(.*)|--\d+(.*)"","""")"),"DOUILLET")</f>
        <v>DOUILLET</v>
      </c>
      <c r="E5021" s="38" t="s">
        <v>521</v>
      </c>
      <c r="F5021" s="38" t="s">
        <v>180</v>
      </c>
      <c r="G5021" s="49" t="str">
        <f t="shared" si="1"/>
        <v>72130</v>
      </c>
      <c r="H5021" s="49">
        <f t="shared" si="2"/>
        <v>72121</v>
      </c>
    </row>
    <row r="5022">
      <c r="A5022" s="48" t="s">
        <v>1800</v>
      </c>
      <c r="B5022" s="38">
        <v>88340.0</v>
      </c>
      <c r="C5022" s="38" t="s">
        <v>7995</v>
      </c>
      <c r="D5022" s="38" t="str">
        <f>IFERROR(__xludf.DUMMYFUNCTION("REGEXREPLACE(C5022,""-\d+(.*)|--\d+(.*)"","""")"),"PADOUX")</f>
        <v>PADOUX</v>
      </c>
      <c r="E5022" s="38" t="s">
        <v>194</v>
      </c>
      <c r="F5022" s="38" t="s">
        <v>195</v>
      </c>
      <c r="G5022" s="49" t="str">
        <f t="shared" si="1"/>
        <v>88700</v>
      </c>
      <c r="H5022" s="49">
        <f t="shared" si="2"/>
        <v>88340</v>
      </c>
    </row>
    <row r="5023">
      <c r="A5023" s="48" t="s">
        <v>962</v>
      </c>
      <c r="B5023" s="38">
        <v>24034.0</v>
      </c>
      <c r="C5023" s="38" t="s">
        <v>7996</v>
      </c>
      <c r="D5023" s="38" t="str">
        <f>IFERROR(__xludf.DUMMYFUNCTION("REGEXREPLACE(C5023,""-\d+(.*)|--\d+(.*)"","""")"),"BELEYMAS")</f>
        <v>BELEYMAS</v>
      </c>
      <c r="E5023" s="38" t="s">
        <v>261</v>
      </c>
      <c r="F5023" s="38" t="s">
        <v>252</v>
      </c>
      <c r="G5023" s="49" t="str">
        <f t="shared" si="1"/>
        <v>24140</v>
      </c>
      <c r="H5023" s="49">
        <f t="shared" si="2"/>
        <v>24034</v>
      </c>
    </row>
    <row r="5024">
      <c r="A5024" s="48" t="s">
        <v>5693</v>
      </c>
      <c r="B5024" s="38">
        <v>50312.0</v>
      </c>
      <c r="C5024" s="38" t="s">
        <v>7997</v>
      </c>
      <c r="D5024" s="38" t="str">
        <f>IFERROR(__xludf.DUMMYFUNCTION("REGEXREPLACE(C5024,""-\d+(.*)|--\d+(.*)"","""")"),"LE MESNIL-GILBERT")</f>
        <v>LE MESNIL-GILBERT</v>
      </c>
      <c r="E5024" s="38" t="s">
        <v>157</v>
      </c>
      <c r="F5024" s="38" t="s">
        <v>138</v>
      </c>
      <c r="G5024" s="49" t="str">
        <f t="shared" si="1"/>
        <v>50670</v>
      </c>
      <c r="H5024" s="49">
        <f t="shared" si="2"/>
        <v>50312</v>
      </c>
    </row>
    <row r="5025">
      <c r="A5025" s="48" t="s">
        <v>1004</v>
      </c>
      <c r="B5025" s="38">
        <v>71353.0</v>
      </c>
      <c r="C5025" s="38" t="s">
        <v>7998</v>
      </c>
      <c r="D5025" s="38" t="str">
        <f>IFERROR(__xludf.DUMMYFUNCTION("REGEXREPLACE(C5025,""-\d+(.*)|--\d+(.*)"","""")"),"PLOTTES")</f>
        <v>PLOTTES</v>
      </c>
      <c r="E5025" s="38" t="s">
        <v>344</v>
      </c>
      <c r="F5025" s="38" t="s">
        <v>106</v>
      </c>
      <c r="G5025" s="49" t="str">
        <f t="shared" si="1"/>
        <v>71700</v>
      </c>
      <c r="H5025" s="49">
        <f t="shared" si="2"/>
        <v>71353</v>
      </c>
    </row>
    <row r="5026">
      <c r="A5026" s="48" t="s">
        <v>3587</v>
      </c>
      <c r="B5026" s="38">
        <v>14338.0</v>
      </c>
      <c r="C5026" s="38" t="s">
        <v>7999</v>
      </c>
      <c r="D5026" s="38" t="str">
        <f>IFERROR(__xludf.DUMMYFUNCTION("REGEXREPLACE(C5026,""-\d+(.*)|--\d+(.*)"","""")"),"HOULGATE")</f>
        <v>HOULGATE</v>
      </c>
      <c r="E5026" s="38" t="s">
        <v>137</v>
      </c>
      <c r="F5026" s="38" t="s">
        <v>138</v>
      </c>
      <c r="G5026" s="49" t="str">
        <f t="shared" si="1"/>
        <v>14510</v>
      </c>
      <c r="H5026" s="49">
        <f t="shared" si="2"/>
        <v>14338</v>
      </c>
    </row>
    <row r="5027">
      <c r="A5027" s="48" t="s">
        <v>127</v>
      </c>
      <c r="B5027" s="38">
        <v>51658.0</v>
      </c>
      <c r="C5027" s="38" t="s">
        <v>8000</v>
      </c>
      <c r="D5027" s="38" t="str">
        <f>IFERROR(__xludf.DUMMYFUNCTION("REGEXREPLACE(C5027,""-\d+(.*)|--\d+(.*)"","""")"),"VROIL")</f>
        <v>VROIL</v>
      </c>
      <c r="E5027" s="38" t="s">
        <v>129</v>
      </c>
      <c r="F5027" s="38" t="s">
        <v>130</v>
      </c>
      <c r="G5027" s="49" t="str">
        <f t="shared" si="1"/>
        <v>51330</v>
      </c>
      <c r="H5027" s="49">
        <f t="shared" si="2"/>
        <v>51658</v>
      </c>
    </row>
    <row r="5028">
      <c r="A5028" s="48" t="s">
        <v>8001</v>
      </c>
      <c r="B5028" s="38">
        <v>89001.0</v>
      </c>
      <c r="C5028" s="38" t="s">
        <v>8002</v>
      </c>
      <c r="D5028" s="38" t="str">
        <f>IFERROR(__xludf.DUMMYFUNCTION("REGEXREPLACE(C5028,""-\d+(.*)|--\d+(.*)"","""")"),"ACCOLAY")</f>
        <v>ACCOLAY</v>
      </c>
      <c r="E5028" s="38" t="s">
        <v>275</v>
      </c>
      <c r="F5028" s="38" t="s">
        <v>106</v>
      </c>
      <c r="G5028" s="49" t="str">
        <f t="shared" si="1"/>
        <v>89460</v>
      </c>
      <c r="H5028" s="49">
        <f t="shared" si="2"/>
        <v>89001</v>
      </c>
    </row>
    <row r="5029">
      <c r="A5029" s="48" t="s">
        <v>8003</v>
      </c>
      <c r="B5029" s="38">
        <v>86098.0</v>
      </c>
      <c r="C5029" s="38" t="s">
        <v>8004</v>
      </c>
      <c r="D5029" s="38" t="str">
        <f>IFERROR(__xludf.DUMMYFUNCTION("REGEXREPLACE(C5029,""-\d+(.*)|--\d+(.*)"","""")"),"FLEIX")</f>
        <v>FLEIX</v>
      </c>
      <c r="E5029" s="38" t="s">
        <v>529</v>
      </c>
      <c r="F5029" s="38" t="s">
        <v>338</v>
      </c>
      <c r="G5029" s="49" t="str">
        <f t="shared" si="1"/>
        <v>86300</v>
      </c>
      <c r="H5029" s="49">
        <f t="shared" si="2"/>
        <v>86098</v>
      </c>
    </row>
    <row r="5030">
      <c r="A5030" s="48" t="s">
        <v>8005</v>
      </c>
      <c r="B5030" s="38">
        <v>23018.0</v>
      </c>
      <c r="C5030" s="38" t="s">
        <v>8006</v>
      </c>
      <c r="D5030" s="38" t="str">
        <f>IFERROR(__xludf.DUMMYFUNCTION("REGEXREPLACE(C5030,""-\d+(.*)|--\d+(.*)"","""")"),"BAZELAT")</f>
        <v>BAZELAT</v>
      </c>
      <c r="E5030" s="38" t="s">
        <v>97</v>
      </c>
      <c r="F5030" s="38" t="s">
        <v>98</v>
      </c>
      <c r="G5030" s="49" t="str">
        <f t="shared" si="1"/>
        <v>23160</v>
      </c>
      <c r="H5030" s="49">
        <f t="shared" si="2"/>
        <v>23018</v>
      </c>
    </row>
    <row r="5031">
      <c r="A5031" s="48" t="s">
        <v>2477</v>
      </c>
      <c r="B5031" s="38">
        <v>76175.0</v>
      </c>
      <c r="C5031" s="38" t="s">
        <v>8007</v>
      </c>
      <c r="D5031" s="38" t="str">
        <f>IFERROR(__xludf.DUMMYFUNCTION("REGEXREPLACE(C5031,""-\d+(.*)|--\d+(.*)"","""")"),"CLAIS")</f>
        <v>CLAIS</v>
      </c>
      <c r="E5031" s="38" t="s">
        <v>133</v>
      </c>
      <c r="F5031" s="38" t="s">
        <v>134</v>
      </c>
      <c r="G5031" s="49" t="str">
        <f t="shared" si="1"/>
        <v>76660</v>
      </c>
      <c r="H5031" s="49">
        <f t="shared" si="2"/>
        <v>76175</v>
      </c>
    </row>
    <row r="5032">
      <c r="A5032" s="48" t="s">
        <v>1108</v>
      </c>
      <c r="B5032" s="38">
        <v>27392.0</v>
      </c>
      <c r="C5032" s="38" t="s">
        <v>8008</v>
      </c>
      <c r="D5032" s="38" t="str">
        <f>IFERROR(__xludf.DUMMYFUNCTION("REGEXREPLACE(C5032,""-\d+(.*)|--\d+(.*)"","""")"),"MARTAGNY")</f>
        <v>MARTAGNY</v>
      </c>
      <c r="E5032" s="38" t="s">
        <v>241</v>
      </c>
      <c r="F5032" s="38" t="s">
        <v>134</v>
      </c>
      <c r="G5032" s="49" t="str">
        <f t="shared" si="1"/>
        <v>27150</v>
      </c>
      <c r="H5032" s="49">
        <f t="shared" si="2"/>
        <v>27392</v>
      </c>
    </row>
    <row r="5033">
      <c r="A5033" s="48" t="s">
        <v>1489</v>
      </c>
      <c r="B5033" s="38">
        <v>80600.0</v>
      </c>
      <c r="C5033" s="38" t="s">
        <v>8009</v>
      </c>
      <c r="D5033" s="38" t="str">
        <f>IFERROR(__xludf.DUMMYFUNCTION("REGEXREPLACE(C5033,""-\d+(.*)|--\d+(.*)"","""")"),"NOYELLES-SUR-MER")</f>
        <v>NOYELLES-SUR-MER</v>
      </c>
      <c r="E5033" s="38" t="s">
        <v>224</v>
      </c>
      <c r="F5033" s="38" t="s">
        <v>113</v>
      </c>
      <c r="G5033" s="49" t="str">
        <f t="shared" si="1"/>
        <v>80860</v>
      </c>
      <c r="H5033" s="49">
        <f t="shared" si="2"/>
        <v>80600</v>
      </c>
    </row>
    <row r="5034">
      <c r="A5034" s="48" t="s">
        <v>1135</v>
      </c>
      <c r="B5034" s="38">
        <v>79274.0</v>
      </c>
      <c r="C5034" s="38" t="s">
        <v>8010</v>
      </c>
      <c r="D5034" s="38" t="str">
        <f>IFERROR(__xludf.DUMMYFUNCTION("REGEXREPLACE(C5034,""-\d+(.*)|--\d+(.*)"","""")"),"SAINT-MARTIN-DE-MACON")</f>
        <v>SAINT-MARTIN-DE-MACON</v>
      </c>
      <c r="E5034" s="38" t="s">
        <v>337</v>
      </c>
      <c r="F5034" s="38" t="s">
        <v>338</v>
      </c>
      <c r="G5034" s="49" t="str">
        <f t="shared" si="1"/>
        <v>79100</v>
      </c>
      <c r="H5034" s="49">
        <f t="shared" si="2"/>
        <v>79274</v>
      </c>
    </row>
    <row r="5035">
      <c r="A5035" s="48" t="s">
        <v>2605</v>
      </c>
      <c r="B5035" s="38">
        <v>39583.0</v>
      </c>
      <c r="C5035" s="38" t="s">
        <v>8011</v>
      </c>
      <c r="D5035" s="38" t="str">
        <f>IFERROR(__xludf.DUMMYFUNCTION("REGEXREPLACE(C5035,""-\d+(.*)|--\d+(.*)"","""")"),"VOSBLES")</f>
        <v>VOSBLES</v>
      </c>
      <c r="E5035" s="38" t="s">
        <v>400</v>
      </c>
      <c r="F5035" s="38" t="s">
        <v>214</v>
      </c>
      <c r="G5035" s="49" t="str">
        <f t="shared" si="1"/>
        <v>39240</v>
      </c>
      <c r="H5035" s="49">
        <f t="shared" si="2"/>
        <v>39583</v>
      </c>
    </row>
    <row r="5036">
      <c r="A5036" s="48" t="s">
        <v>1621</v>
      </c>
      <c r="B5036" s="38">
        <v>64353.0</v>
      </c>
      <c r="C5036" s="38" t="s">
        <v>8012</v>
      </c>
      <c r="D5036" s="38" t="str">
        <f>IFERROR(__xludf.DUMMYFUNCTION("REGEXREPLACE(C5036,""-\d+(.*)|--\d+(.*)"","""")"),"LOUVIE-JUZON")</f>
        <v>LOUVIE-JUZON</v>
      </c>
      <c r="E5036" s="38" t="s">
        <v>268</v>
      </c>
      <c r="F5036" s="38" t="s">
        <v>252</v>
      </c>
      <c r="G5036" s="49" t="str">
        <f t="shared" si="1"/>
        <v>64260</v>
      </c>
      <c r="H5036" s="49">
        <f t="shared" si="2"/>
        <v>64353</v>
      </c>
    </row>
    <row r="5037">
      <c r="A5037" s="48" t="s">
        <v>2868</v>
      </c>
      <c r="B5037" s="38">
        <v>80023.0</v>
      </c>
      <c r="C5037" s="38" t="s">
        <v>8013</v>
      </c>
      <c r="D5037" s="38" t="str">
        <f>IFERROR(__xludf.DUMMYFUNCTION("REGEXREPLACE(C5037,""-\d+(.*)|--\d+(.*)"","""")"),"ANDECHY")</f>
        <v>ANDECHY</v>
      </c>
      <c r="E5037" s="38" t="s">
        <v>224</v>
      </c>
      <c r="F5037" s="38" t="s">
        <v>113</v>
      </c>
      <c r="G5037" s="49" t="str">
        <f t="shared" si="1"/>
        <v>80700</v>
      </c>
      <c r="H5037" s="49">
        <f t="shared" si="2"/>
        <v>80023</v>
      </c>
    </row>
    <row r="5038">
      <c r="A5038" s="48" t="s">
        <v>562</v>
      </c>
      <c r="B5038" s="38">
        <v>54122.0</v>
      </c>
      <c r="C5038" s="38" t="s">
        <v>8014</v>
      </c>
      <c r="D5038" s="38" t="str">
        <f>IFERROR(__xludf.DUMMYFUNCTION("REGEXREPLACE(C5038,""-\d+(.*)|--\d+(.*)"","""")"),"CHAUDENEY-SUR-MOSELLE")</f>
        <v>CHAUDENEY-SUR-MOSELLE</v>
      </c>
      <c r="E5038" s="38" t="s">
        <v>548</v>
      </c>
      <c r="F5038" s="38" t="s">
        <v>195</v>
      </c>
      <c r="G5038" s="49" t="str">
        <f t="shared" si="1"/>
        <v>54200</v>
      </c>
      <c r="H5038" s="49">
        <f t="shared" si="2"/>
        <v>54122</v>
      </c>
    </row>
    <row r="5039">
      <c r="A5039" s="48" t="s">
        <v>1347</v>
      </c>
      <c r="B5039" s="38">
        <v>16043.0</v>
      </c>
      <c r="C5039" s="38" t="s">
        <v>8015</v>
      </c>
      <c r="D5039" s="38" t="str">
        <f>IFERROR(__xludf.DUMMYFUNCTION("REGEXREPLACE(C5039,""-\d+(.*)|--\d+(.*)"","""")"),"BIGNAC")</f>
        <v>BIGNAC</v>
      </c>
      <c r="E5039" s="38" t="s">
        <v>429</v>
      </c>
      <c r="F5039" s="38" t="s">
        <v>338</v>
      </c>
      <c r="G5039" s="49" t="str">
        <f t="shared" si="1"/>
        <v>16170</v>
      </c>
      <c r="H5039" s="49">
        <f t="shared" si="2"/>
        <v>16043</v>
      </c>
    </row>
    <row r="5040">
      <c r="A5040" s="48" t="s">
        <v>5551</v>
      </c>
      <c r="B5040" s="38">
        <v>71144.0</v>
      </c>
      <c r="C5040" s="38" t="s">
        <v>8016</v>
      </c>
      <c r="D5040" s="38" t="str">
        <f>IFERROR(__xludf.DUMMYFUNCTION("REGEXREPLACE(C5040,""-\d+(.*)|--\d+(.*)"","""")"),"CORDESSE")</f>
        <v>CORDESSE</v>
      </c>
      <c r="E5040" s="38" t="s">
        <v>344</v>
      </c>
      <c r="F5040" s="38" t="s">
        <v>106</v>
      </c>
      <c r="G5040" s="49" t="str">
        <f t="shared" si="1"/>
        <v>71540</v>
      </c>
      <c r="H5040" s="49">
        <f t="shared" si="2"/>
        <v>71144</v>
      </c>
    </row>
    <row r="5041">
      <c r="A5041" s="48" t="s">
        <v>789</v>
      </c>
      <c r="B5041" s="38">
        <v>10202.0</v>
      </c>
      <c r="C5041" s="38" t="s">
        <v>8017</v>
      </c>
      <c r="D5041" s="38" t="str">
        <f>IFERROR(__xludf.DUMMYFUNCTION("REGEXREPLACE(C5041,""-\d+(.*)|--\d+(.*)"","""")"),"LES LOGES-MARGUERON")</f>
        <v>LES LOGES-MARGUERON</v>
      </c>
      <c r="E5041" s="38" t="s">
        <v>147</v>
      </c>
      <c r="F5041" s="38" t="s">
        <v>130</v>
      </c>
      <c r="G5041" s="49" t="str">
        <f t="shared" si="1"/>
        <v>10210</v>
      </c>
      <c r="H5041" s="49">
        <f t="shared" si="2"/>
        <v>10202</v>
      </c>
    </row>
    <row r="5042">
      <c r="A5042" s="48" t="s">
        <v>1742</v>
      </c>
      <c r="B5042" s="38">
        <v>21702.0</v>
      </c>
      <c r="C5042" s="38" t="s">
        <v>8018</v>
      </c>
      <c r="D5042" s="38" t="str">
        <f>IFERROR(__xludf.DUMMYFUNCTION("REGEXREPLACE(C5042,""-\d+(.*)|--\d+(.*)"","""")"),"VILLEY-SUR-TILLE")</f>
        <v>VILLEY-SUR-TILLE</v>
      </c>
      <c r="E5042" s="38" t="s">
        <v>105</v>
      </c>
      <c r="F5042" s="38" t="s">
        <v>106</v>
      </c>
      <c r="G5042" s="49" t="str">
        <f t="shared" si="1"/>
        <v>21120</v>
      </c>
      <c r="H5042" s="49">
        <f t="shared" si="2"/>
        <v>21702</v>
      </c>
    </row>
    <row r="5043">
      <c r="A5043" s="48" t="s">
        <v>8019</v>
      </c>
      <c r="B5043" s="38">
        <v>53231.0</v>
      </c>
      <c r="C5043" s="38" t="s">
        <v>8020</v>
      </c>
      <c r="D5043" s="38" t="str">
        <f>IFERROR(__xludf.DUMMYFUNCTION("REGEXREPLACE(C5043,""-\d+(.*)|--\d+(.*)"","""")"),"SAINT-LAURENT-DES-MORTIERS")</f>
        <v>SAINT-LAURENT-DES-MORTIERS</v>
      </c>
      <c r="E5043" s="38" t="s">
        <v>518</v>
      </c>
      <c r="F5043" s="38" t="s">
        <v>180</v>
      </c>
      <c r="G5043" s="49" t="str">
        <f t="shared" si="1"/>
        <v>53290</v>
      </c>
      <c r="H5043" s="49">
        <f t="shared" si="2"/>
        <v>53231</v>
      </c>
    </row>
    <row r="5044">
      <c r="A5044" s="48" t="s">
        <v>3517</v>
      </c>
      <c r="B5044" s="38">
        <v>49039.0</v>
      </c>
      <c r="C5044" s="38" t="s">
        <v>8021</v>
      </c>
      <c r="D5044" s="38" t="str">
        <f>IFERROR(__xludf.DUMMYFUNCTION("REGEXREPLACE(C5044,""-\d+(.*)|--\d+(.*)"","""")"),"BOURGNEUF-EN-MAUGES")</f>
        <v>BOURGNEUF-EN-MAUGES</v>
      </c>
      <c r="E5044" s="38" t="s">
        <v>653</v>
      </c>
      <c r="F5044" s="38" t="s">
        <v>180</v>
      </c>
      <c r="G5044" s="49" t="str">
        <f t="shared" si="1"/>
        <v>49290</v>
      </c>
      <c r="H5044" s="49">
        <f t="shared" si="2"/>
        <v>49039</v>
      </c>
    </row>
    <row r="5045">
      <c r="A5045" s="48" t="s">
        <v>1220</v>
      </c>
      <c r="B5045" s="38">
        <v>76293.0</v>
      </c>
      <c r="C5045" s="38" t="s">
        <v>8022</v>
      </c>
      <c r="D5045" s="38" t="str">
        <f>IFERROR(__xludf.DUMMYFUNCTION("REGEXREPLACE(C5045,""-\d+(.*)|--\d+(.*)"","""")"),"FULTOT")</f>
        <v>FULTOT</v>
      </c>
      <c r="E5045" s="38" t="s">
        <v>133</v>
      </c>
      <c r="F5045" s="38" t="s">
        <v>134</v>
      </c>
      <c r="G5045" s="49" t="str">
        <f t="shared" si="1"/>
        <v>76560</v>
      </c>
      <c r="H5045" s="49">
        <f t="shared" si="2"/>
        <v>76293</v>
      </c>
    </row>
    <row r="5046">
      <c r="A5046" s="48" t="s">
        <v>8023</v>
      </c>
      <c r="B5046" s="38">
        <v>37214.0</v>
      </c>
      <c r="C5046" s="38" t="s">
        <v>8024</v>
      </c>
      <c r="D5046" s="38" t="str">
        <f>IFERROR(__xludf.DUMMYFUNCTION("REGEXREPLACE(C5046,""-\d+(.*)|--\d+(.*)"","""")"),"SAINT-CYR-SUR-LOIRE")</f>
        <v>SAINT-CYR-SUR-LOIRE</v>
      </c>
      <c r="E5046" s="38" t="s">
        <v>205</v>
      </c>
      <c r="F5046" s="38" t="s">
        <v>123</v>
      </c>
      <c r="G5046" s="49" t="str">
        <f t="shared" si="1"/>
        <v>37540</v>
      </c>
      <c r="H5046" s="49">
        <f t="shared" si="2"/>
        <v>37214</v>
      </c>
    </row>
    <row r="5047">
      <c r="A5047" s="48" t="s">
        <v>8025</v>
      </c>
      <c r="B5047" s="38">
        <v>18085.0</v>
      </c>
      <c r="C5047" s="38" t="s">
        <v>8026</v>
      </c>
      <c r="D5047" s="38" t="str">
        <f>IFERROR(__xludf.DUMMYFUNCTION("REGEXREPLACE(C5047,""-\d+(.*)|--\d+(.*)"","""")"),"DAMPIERRE-EN-GRACAY")</f>
        <v>DAMPIERRE-EN-GRACAY</v>
      </c>
      <c r="E5047" s="38" t="s">
        <v>504</v>
      </c>
      <c r="F5047" s="38" t="s">
        <v>123</v>
      </c>
      <c r="G5047" s="49" t="str">
        <f t="shared" si="1"/>
        <v>18310</v>
      </c>
      <c r="H5047" s="49">
        <f t="shared" si="2"/>
        <v>18085</v>
      </c>
    </row>
    <row r="5048">
      <c r="A5048" s="48" t="s">
        <v>1096</v>
      </c>
      <c r="B5048" s="38">
        <v>63102.0</v>
      </c>
      <c r="C5048" s="38" t="s">
        <v>8027</v>
      </c>
      <c r="D5048" s="38" t="str">
        <f>IFERROR(__xludf.DUMMYFUNCTION("REGEXREPLACE(C5048,""-\d+(.*)|--\d+(.*)"","""")"),"CHATELDON")</f>
        <v>CHATELDON</v>
      </c>
      <c r="E5048" s="38" t="s">
        <v>353</v>
      </c>
      <c r="F5048" s="38" t="s">
        <v>161</v>
      </c>
      <c r="G5048" s="49" t="str">
        <f t="shared" si="1"/>
        <v>63290</v>
      </c>
      <c r="H5048" s="49">
        <f t="shared" si="2"/>
        <v>63102</v>
      </c>
    </row>
    <row r="5049">
      <c r="A5049" s="48" t="s">
        <v>266</v>
      </c>
      <c r="B5049" s="38">
        <v>64524.0</v>
      </c>
      <c r="C5049" s="38" t="s">
        <v>8028</v>
      </c>
      <c r="D5049" s="38" t="str">
        <f>IFERROR(__xludf.DUMMYFUNCTION("REGEXREPLACE(C5049,""-\d+(.*)|--\d+(.*)"","""")"),"SIMACOURBE")</f>
        <v>SIMACOURBE</v>
      </c>
      <c r="E5049" s="38" t="s">
        <v>268</v>
      </c>
      <c r="F5049" s="38" t="s">
        <v>252</v>
      </c>
      <c r="G5049" s="49" t="str">
        <f t="shared" si="1"/>
        <v>64350</v>
      </c>
      <c r="H5049" s="49">
        <f t="shared" si="2"/>
        <v>64524</v>
      </c>
    </row>
    <row r="5050">
      <c r="A5050" s="48" t="s">
        <v>1056</v>
      </c>
      <c r="B5050" s="38">
        <v>11045.0</v>
      </c>
      <c r="C5050" s="38" t="s">
        <v>8029</v>
      </c>
      <c r="D5050" s="38" t="str">
        <f>IFERROR(__xludf.DUMMYFUNCTION("REGEXREPLACE(C5050,""-\d+(.*)|--\d+(.*)"","""")"),"BOURIEGE")</f>
        <v>BOURIEGE</v>
      </c>
      <c r="E5050" s="38" t="s">
        <v>278</v>
      </c>
      <c r="F5050" s="38" t="s">
        <v>119</v>
      </c>
      <c r="G5050" s="49" t="str">
        <f t="shared" si="1"/>
        <v>11300</v>
      </c>
      <c r="H5050" s="49">
        <f t="shared" si="2"/>
        <v>11045</v>
      </c>
    </row>
    <row r="5051">
      <c r="A5051" s="48" t="s">
        <v>2619</v>
      </c>
      <c r="B5051" s="38">
        <v>71234.0</v>
      </c>
      <c r="C5051" s="38" t="s">
        <v>8030</v>
      </c>
      <c r="D5051" s="38" t="str">
        <f>IFERROR(__xludf.DUMMYFUNCTION("REGEXREPLACE(C5051,""-\d+(.*)|--\d+(.*)"","""")"),"HUILLY-SUR-SEILLE")</f>
        <v>HUILLY-SUR-SEILLE</v>
      </c>
      <c r="E5051" s="38" t="s">
        <v>344</v>
      </c>
      <c r="F5051" s="38" t="s">
        <v>106</v>
      </c>
      <c r="G5051" s="49" t="str">
        <f t="shared" si="1"/>
        <v>71290</v>
      </c>
      <c r="H5051" s="49">
        <f t="shared" si="2"/>
        <v>71234</v>
      </c>
    </row>
    <row r="5052">
      <c r="A5052" s="48" t="s">
        <v>3242</v>
      </c>
      <c r="B5052" s="38">
        <v>2367.0</v>
      </c>
      <c r="C5052" s="38" t="s">
        <v>8031</v>
      </c>
      <c r="D5052" s="38" t="str">
        <f>IFERROR(__xludf.DUMMYFUNCTION("REGEXREPLACE(C5052,""-\d+(.*)|--\d+(.*)"","""")"),"HAPPENCOURT")</f>
        <v>HAPPENCOURT</v>
      </c>
      <c r="E5052" s="38" t="s">
        <v>191</v>
      </c>
      <c r="F5052" s="38" t="s">
        <v>113</v>
      </c>
      <c r="G5052" s="49" t="str">
        <f t="shared" si="1"/>
        <v>02480</v>
      </c>
      <c r="H5052" s="49" t="str">
        <f t="shared" si="2"/>
        <v>02367</v>
      </c>
    </row>
    <row r="5053">
      <c r="A5053" s="48" t="s">
        <v>8032</v>
      </c>
      <c r="B5053" s="38">
        <v>46146.0</v>
      </c>
      <c r="C5053" s="38" t="s">
        <v>8033</v>
      </c>
      <c r="D5053" s="38" t="str">
        <f>IFERROR(__xludf.DUMMYFUNCTION("REGEXREPLACE(C5053,""-\d+(.*)|--\d+(.*)"","""")"),"LADIRAT")</f>
        <v>LADIRAT</v>
      </c>
      <c r="E5053" s="38" t="s">
        <v>185</v>
      </c>
      <c r="F5053" s="38" t="s">
        <v>94</v>
      </c>
      <c r="G5053" s="49" t="str">
        <f t="shared" si="1"/>
        <v>46400</v>
      </c>
      <c r="H5053" s="49">
        <f t="shared" si="2"/>
        <v>46146</v>
      </c>
    </row>
    <row r="5054">
      <c r="A5054" s="48" t="s">
        <v>6736</v>
      </c>
      <c r="B5054" s="38">
        <v>31048.0</v>
      </c>
      <c r="C5054" s="38" t="s">
        <v>8034</v>
      </c>
      <c r="D5054" s="38" t="str">
        <f>IFERROR(__xludf.DUMMYFUNCTION("REGEXREPLACE(C5054,""-\d+(.*)|--\d+(.*)"","""")"),"BAZIEGE")</f>
        <v>BAZIEGE</v>
      </c>
      <c r="E5054" s="38" t="s">
        <v>93</v>
      </c>
      <c r="F5054" s="38" t="s">
        <v>94</v>
      </c>
      <c r="G5054" s="49" t="str">
        <f t="shared" si="1"/>
        <v>31450</v>
      </c>
      <c r="H5054" s="49">
        <f t="shared" si="2"/>
        <v>31048</v>
      </c>
    </row>
    <row r="5055">
      <c r="A5055" s="48" t="s">
        <v>8035</v>
      </c>
      <c r="B5055" s="38">
        <v>91521.0</v>
      </c>
      <c r="C5055" s="38" t="s">
        <v>8036</v>
      </c>
      <c r="D5055" s="38" t="str">
        <f>IFERROR(__xludf.DUMMYFUNCTION("REGEXREPLACE(C5055,""-\d+(.*)|--\d+(.*)"","""")"),"RIS-ORANGIS")</f>
        <v>RIS-ORANGIS</v>
      </c>
      <c r="E5055" s="38" t="s">
        <v>756</v>
      </c>
      <c r="F5055" s="38" t="s">
        <v>245</v>
      </c>
      <c r="G5055" s="49" t="str">
        <f t="shared" si="1"/>
        <v>91130</v>
      </c>
      <c r="H5055" s="49">
        <f t="shared" si="2"/>
        <v>91521</v>
      </c>
    </row>
    <row r="5056">
      <c r="A5056" s="48" t="s">
        <v>8037</v>
      </c>
      <c r="B5056" s="38">
        <v>77514.0</v>
      </c>
      <c r="C5056" s="38" t="s">
        <v>8038</v>
      </c>
      <c r="D5056" s="38" t="str">
        <f>IFERROR(__xludf.DUMMYFUNCTION("REGEXREPLACE(C5056,""-\d+(.*)|--\d+(.*)"","""")"),"VILLEPARISIS")</f>
        <v>VILLEPARISIS</v>
      </c>
      <c r="E5056" s="38" t="s">
        <v>244</v>
      </c>
      <c r="F5056" s="38" t="s">
        <v>245</v>
      </c>
      <c r="G5056" s="49" t="str">
        <f t="shared" si="1"/>
        <v>77270</v>
      </c>
      <c r="H5056" s="49">
        <f t="shared" si="2"/>
        <v>77514</v>
      </c>
    </row>
    <row r="5057">
      <c r="A5057" s="48" t="s">
        <v>8039</v>
      </c>
      <c r="B5057" s="38">
        <v>6082.0</v>
      </c>
      <c r="C5057" s="38" t="s">
        <v>8040</v>
      </c>
      <c r="D5057" s="38" t="str">
        <f>IFERROR(__xludf.DUMMYFUNCTION("REGEXREPLACE(C5057,""-\d+(.*)|--\d+(.*)"","""")"),"MASSOINS")</f>
        <v>MASSOINS</v>
      </c>
      <c r="E5057" s="38" t="s">
        <v>227</v>
      </c>
      <c r="F5057" s="38" t="s">
        <v>228</v>
      </c>
      <c r="G5057" s="49" t="str">
        <f t="shared" si="1"/>
        <v>06710</v>
      </c>
      <c r="H5057" s="49" t="str">
        <f t="shared" si="2"/>
        <v>06082</v>
      </c>
    </row>
    <row r="5058">
      <c r="A5058" s="48" t="s">
        <v>232</v>
      </c>
      <c r="B5058" s="38">
        <v>52023.0</v>
      </c>
      <c r="C5058" s="38" t="s">
        <v>8041</v>
      </c>
      <c r="D5058" s="38" t="str">
        <f>IFERROR(__xludf.DUMMYFUNCTION("REGEXREPLACE(C5058,""-\d+(.*)|--\d+(.*)"","""")"),"AUBERIVE")</f>
        <v>AUBERIVE</v>
      </c>
      <c r="E5058" s="38" t="s">
        <v>234</v>
      </c>
      <c r="F5058" s="38" t="s">
        <v>130</v>
      </c>
      <c r="G5058" s="49" t="str">
        <f t="shared" si="1"/>
        <v>52160</v>
      </c>
      <c r="H5058" s="49">
        <f t="shared" si="2"/>
        <v>52023</v>
      </c>
    </row>
    <row r="5059">
      <c r="A5059" s="48" t="s">
        <v>8042</v>
      </c>
      <c r="B5059" s="38">
        <v>26009.0</v>
      </c>
      <c r="C5059" s="38" t="s">
        <v>8043</v>
      </c>
      <c r="D5059" s="38" t="str">
        <f>IFERROR(__xludf.DUMMYFUNCTION("REGEXREPLACE(C5059,""-\d+(.*)|--\d+(.*)"","""")"),"ANDANCETTE")</f>
        <v>ANDANCETTE</v>
      </c>
      <c r="E5059" s="38" t="s">
        <v>126</v>
      </c>
      <c r="F5059" s="38" t="s">
        <v>102</v>
      </c>
      <c r="G5059" s="49" t="str">
        <f t="shared" si="1"/>
        <v>26140</v>
      </c>
      <c r="H5059" s="49">
        <f t="shared" si="2"/>
        <v>26009</v>
      </c>
    </row>
    <row r="5060">
      <c r="A5060" s="48" t="s">
        <v>2276</v>
      </c>
      <c r="B5060" s="38">
        <v>47115.0</v>
      </c>
      <c r="C5060" s="38" t="s">
        <v>8044</v>
      </c>
      <c r="D5060" s="38" t="str">
        <f>IFERROR(__xludf.DUMMYFUNCTION("REGEXREPLACE(C5060,""-\d+(.*)|--\d+(.*)"","""")"),"GUERIN")</f>
        <v>GUERIN</v>
      </c>
      <c r="E5060" s="38" t="s">
        <v>251</v>
      </c>
      <c r="F5060" s="38" t="s">
        <v>252</v>
      </c>
      <c r="G5060" s="49" t="str">
        <f t="shared" si="1"/>
        <v>47250</v>
      </c>
      <c r="H5060" s="49">
        <f t="shared" si="2"/>
        <v>47115</v>
      </c>
    </row>
    <row r="5061">
      <c r="A5061" s="48" t="s">
        <v>8045</v>
      </c>
      <c r="B5061" s="38">
        <v>77227.0</v>
      </c>
      <c r="C5061" s="38" t="s">
        <v>8046</v>
      </c>
      <c r="D5061" s="38" t="str">
        <f>IFERROR(__xludf.DUMMYFUNCTION("REGEXREPLACE(C5061,""-\d+(.*)|--\d+(.*)"","""")"),"HERME")</f>
        <v>HERME</v>
      </c>
      <c r="E5061" s="38" t="s">
        <v>244</v>
      </c>
      <c r="F5061" s="38" t="s">
        <v>245</v>
      </c>
      <c r="G5061" s="49" t="str">
        <f t="shared" si="1"/>
        <v>77114</v>
      </c>
      <c r="H5061" s="49">
        <f t="shared" si="2"/>
        <v>77227</v>
      </c>
    </row>
    <row r="5062">
      <c r="A5062" s="48" t="s">
        <v>2162</v>
      </c>
      <c r="B5062" s="38">
        <v>26243.0</v>
      </c>
      <c r="C5062" s="38" t="s">
        <v>8047</v>
      </c>
      <c r="D5062" s="38" t="str">
        <f>IFERROR(__xludf.DUMMYFUNCTION("REGEXREPLACE(C5062,""-\d+(.*)|--\d+(.*)"","""")"),"LE POET-LAVAL")</f>
        <v>LE POET-LAVAL</v>
      </c>
      <c r="E5062" s="38" t="s">
        <v>126</v>
      </c>
      <c r="F5062" s="38" t="s">
        <v>102</v>
      </c>
      <c r="G5062" s="49" t="str">
        <f t="shared" si="1"/>
        <v>26160</v>
      </c>
      <c r="H5062" s="49">
        <f t="shared" si="2"/>
        <v>26243</v>
      </c>
    </row>
    <row r="5063">
      <c r="A5063" s="48" t="s">
        <v>198</v>
      </c>
      <c r="B5063" s="38">
        <v>65174.0</v>
      </c>
      <c r="C5063" s="38" t="s">
        <v>8048</v>
      </c>
      <c r="D5063" s="38" t="str">
        <f>IFERROR(__xludf.DUMMYFUNCTION("REGEXREPLACE(C5063,""-\d+(.*)|--\d+(.*)"","""")"),"ESTIRAC")</f>
        <v>ESTIRAC</v>
      </c>
      <c r="E5063" s="38" t="s">
        <v>200</v>
      </c>
      <c r="F5063" s="38" t="s">
        <v>94</v>
      </c>
      <c r="G5063" s="49" t="str">
        <f t="shared" si="1"/>
        <v>65700</v>
      </c>
      <c r="H5063" s="49">
        <f t="shared" si="2"/>
        <v>65174</v>
      </c>
    </row>
    <row r="5064">
      <c r="A5064" s="48" t="s">
        <v>1540</v>
      </c>
      <c r="B5064" s="38">
        <v>70158.0</v>
      </c>
      <c r="C5064" s="38" t="s">
        <v>8049</v>
      </c>
      <c r="D5064" s="38" t="str">
        <f>IFERROR(__xludf.DUMMYFUNCTION("REGEXREPLACE(C5064,""-\d+(.*)|--\d+(.*)"","""")"),"CLANS")</f>
        <v>CLANS</v>
      </c>
      <c r="E5064" s="38" t="s">
        <v>956</v>
      </c>
      <c r="F5064" s="38" t="s">
        <v>214</v>
      </c>
      <c r="G5064" s="49" t="str">
        <f t="shared" si="1"/>
        <v>70000</v>
      </c>
      <c r="H5064" s="49">
        <f t="shared" si="2"/>
        <v>70158</v>
      </c>
    </row>
    <row r="5065">
      <c r="A5065" s="48" t="s">
        <v>6250</v>
      </c>
      <c r="B5065" s="38">
        <v>38177.0</v>
      </c>
      <c r="C5065" s="38" t="s">
        <v>8050</v>
      </c>
      <c r="D5065" s="38" t="str">
        <f>IFERROR(__xludf.DUMMYFUNCTION("REGEXREPLACE(C5065,""-\d+(.*)|--\d+(.*)"","""")"),"LA GARDE")</f>
        <v>LA GARDE</v>
      </c>
      <c r="E5065" s="38" t="s">
        <v>101</v>
      </c>
      <c r="F5065" s="38" t="s">
        <v>102</v>
      </c>
      <c r="G5065" s="49" t="str">
        <f t="shared" si="1"/>
        <v>38520</v>
      </c>
      <c r="H5065" s="49">
        <f t="shared" si="2"/>
        <v>38177</v>
      </c>
    </row>
    <row r="5066">
      <c r="A5066" s="48" t="s">
        <v>792</v>
      </c>
      <c r="B5066" s="38">
        <v>2816.0</v>
      </c>
      <c r="C5066" s="38" t="s">
        <v>8051</v>
      </c>
      <c r="D5066" s="38" t="str">
        <f>IFERROR(__xludf.DUMMYFUNCTION("REGEXREPLACE(C5066,""-\d+(.*)|--\d+(.*)"","""")"),"VILLERS-SUR-FERE")</f>
        <v>VILLERS-SUR-FERE</v>
      </c>
      <c r="E5066" s="38" t="s">
        <v>191</v>
      </c>
      <c r="F5066" s="38" t="s">
        <v>113</v>
      </c>
      <c r="G5066" s="49" t="str">
        <f t="shared" si="1"/>
        <v>02130</v>
      </c>
      <c r="H5066" s="49" t="str">
        <f t="shared" si="2"/>
        <v>02816</v>
      </c>
    </row>
    <row r="5067">
      <c r="A5067" s="48" t="s">
        <v>8052</v>
      </c>
      <c r="B5067" s="38">
        <v>57274.0</v>
      </c>
      <c r="C5067" s="38" t="s">
        <v>8053</v>
      </c>
      <c r="D5067" s="38" t="str">
        <f>IFERROR(__xludf.DUMMYFUNCTION("REGEXREPLACE(C5067,""-\d+(.*)|--\d+(.*)"","""")"),"GUERTING")</f>
        <v>GUERTING</v>
      </c>
      <c r="E5067" s="38" t="s">
        <v>303</v>
      </c>
      <c r="F5067" s="38" t="s">
        <v>195</v>
      </c>
      <c r="G5067" s="49" t="str">
        <f t="shared" si="1"/>
        <v>57880</v>
      </c>
      <c r="H5067" s="49">
        <f t="shared" si="2"/>
        <v>57274</v>
      </c>
    </row>
    <row r="5068">
      <c r="A5068" s="48" t="s">
        <v>8054</v>
      </c>
      <c r="B5068" s="38">
        <v>95154.0</v>
      </c>
      <c r="C5068" s="38" t="s">
        <v>8055</v>
      </c>
      <c r="D5068" s="38" t="str">
        <f>IFERROR(__xludf.DUMMYFUNCTION("REGEXREPLACE(C5068,""-\d+(.*)|--\d+(.*)"","""")"),"CHENNEVIERES-LES-LOUVRES")</f>
        <v>CHENNEVIERES-LES-LOUVRES</v>
      </c>
      <c r="E5068" s="38" t="s">
        <v>541</v>
      </c>
      <c r="F5068" s="38" t="s">
        <v>245</v>
      </c>
      <c r="G5068" s="49" t="str">
        <f t="shared" si="1"/>
        <v>95380</v>
      </c>
      <c r="H5068" s="49">
        <f t="shared" si="2"/>
        <v>95154</v>
      </c>
    </row>
    <row r="5069">
      <c r="A5069" s="48" t="s">
        <v>8056</v>
      </c>
      <c r="B5069" s="38">
        <v>62587.0</v>
      </c>
      <c r="C5069" s="38" t="s">
        <v>8057</v>
      </c>
      <c r="D5069" s="38" t="str">
        <f>IFERROR(__xludf.DUMMYFUNCTION("REGEXREPLACE(C5069,""-\d+(.*)|--\d+(.*)"","""")"),"MONTIGNY-EN-GOHELLE")</f>
        <v>MONTIGNY-EN-GOHELLE</v>
      </c>
      <c r="E5069" s="38" t="s">
        <v>109</v>
      </c>
      <c r="F5069" s="38" t="s">
        <v>86</v>
      </c>
      <c r="G5069" s="49" t="str">
        <f t="shared" si="1"/>
        <v>62640</v>
      </c>
      <c r="H5069" s="49">
        <f t="shared" si="2"/>
        <v>62587</v>
      </c>
    </row>
    <row r="5070">
      <c r="A5070" s="48" t="s">
        <v>3668</v>
      </c>
      <c r="B5070" s="38">
        <v>65266.0</v>
      </c>
      <c r="C5070" s="38" t="s">
        <v>8058</v>
      </c>
      <c r="D5070" s="38" t="str">
        <f>IFERROR(__xludf.DUMMYFUNCTION("REGEXREPLACE(C5070,""-\d+(.*)|--\d+(.*)"","""")"),"LASSALES")</f>
        <v>LASSALES</v>
      </c>
      <c r="E5070" s="38" t="s">
        <v>200</v>
      </c>
      <c r="F5070" s="38" t="s">
        <v>94</v>
      </c>
      <c r="G5070" s="49" t="str">
        <f t="shared" si="1"/>
        <v>65670</v>
      </c>
      <c r="H5070" s="49">
        <f t="shared" si="2"/>
        <v>65266</v>
      </c>
    </row>
    <row r="5071">
      <c r="A5071" s="48" t="s">
        <v>8059</v>
      </c>
      <c r="B5071" s="38">
        <v>70141.0</v>
      </c>
      <c r="C5071" s="38" t="s">
        <v>8060</v>
      </c>
      <c r="D5071" s="38" t="str">
        <f>IFERROR(__xludf.DUMMYFUNCTION("REGEXREPLACE(C5071,""-\d+(.*)|--\d+(.*)"","""")"),"CHATENOIS")</f>
        <v>CHATENOIS</v>
      </c>
      <c r="E5071" s="38" t="s">
        <v>956</v>
      </c>
      <c r="F5071" s="38" t="s">
        <v>214</v>
      </c>
      <c r="G5071" s="49" t="str">
        <f t="shared" si="1"/>
        <v>70240</v>
      </c>
      <c r="H5071" s="49">
        <f t="shared" si="2"/>
        <v>70141</v>
      </c>
    </row>
    <row r="5072">
      <c r="A5072" s="48" t="s">
        <v>8061</v>
      </c>
      <c r="B5072" s="38">
        <v>56193.0</v>
      </c>
      <c r="C5072" s="38" t="s">
        <v>8062</v>
      </c>
      <c r="D5072" s="38" t="str">
        <f>IFERROR(__xludf.DUMMYFUNCTION("REGEXREPLACE(C5072,""-\d+(.*)|--\d+(.*)"","""")"),"RIANTEC")</f>
        <v>RIANTEC</v>
      </c>
      <c r="E5072" s="38" t="s">
        <v>173</v>
      </c>
      <c r="F5072" s="38" t="s">
        <v>90</v>
      </c>
      <c r="G5072" s="49" t="str">
        <f t="shared" si="1"/>
        <v>56670</v>
      </c>
      <c r="H5072" s="49">
        <f t="shared" si="2"/>
        <v>56193</v>
      </c>
    </row>
    <row r="5073">
      <c r="A5073" s="48" t="s">
        <v>8063</v>
      </c>
      <c r="B5073" s="38">
        <v>17205.0</v>
      </c>
      <c r="C5073" s="38" t="s">
        <v>8064</v>
      </c>
      <c r="D5073" s="38" t="str">
        <f>IFERROR(__xludf.DUMMYFUNCTION("REGEXREPLACE(C5073,""-\d+(.*)|--\d+(.*)"","""")"),"LOIRE-LES-MARAIS")</f>
        <v>LOIRE-LES-MARAIS</v>
      </c>
      <c r="E5073" s="38" t="s">
        <v>488</v>
      </c>
      <c r="F5073" s="38" t="s">
        <v>338</v>
      </c>
      <c r="G5073" s="49" t="str">
        <f t="shared" si="1"/>
        <v>17870</v>
      </c>
      <c r="H5073" s="49">
        <f t="shared" si="2"/>
        <v>17205</v>
      </c>
    </row>
    <row r="5074">
      <c r="A5074" s="48" t="s">
        <v>3814</v>
      </c>
      <c r="B5074" s="38">
        <v>71358.0</v>
      </c>
      <c r="C5074" s="38" t="s">
        <v>8065</v>
      </c>
      <c r="D5074" s="38" t="str">
        <f>IFERROR(__xludf.DUMMYFUNCTION("REGEXREPLACE(C5074,""-\d+(.*)|--\d+(.*)"","""")"),"PRESSY-SOUS-DONDIN")</f>
        <v>PRESSY-SOUS-DONDIN</v>
      </c>
      <c r="E5074" s="38" t="s">
        <v>344</v>
      </c>
      <c r="F5074" s="38" t="s">
        <v>106</v>
      </c>
      <c r="G5074" s="49" t="str">
        <f t="shared" si="1"/>
        <v>71220</v>
      </c>
      <c r="H5074" s="49">
        <f t="shared" si="2"/>
        <v>71358</v>
      </c>
    </row>
    <row r="5075">
      <c r="A5075" s="48" t="s">
        <v>2268</v>
      </c>
      <c r="B5075" s="38">
        <v>55033.0</v>
      </c>
      <c r="C5075" s="38" t="s">
        <v>8066</v>
      </c>
      <c r="D5075" s="38" t="str">
        <f>IFERROR(__xludf.DUMMYFUNCTION("REGEXREPLACE(C5075,""-\d+(.*)|--\d+(.*)"","""")"),"BAULNY")</f>
        <v>BAULNY</v>
      </c>
      <c r="E5075" s="38" t="s">
        <v>322</v>
      </c>
      <c r="F5075" s="38" t="s">
        <v>195</v>
      </c>
      <c r="G5075" s="49" t="str">
        <f t="shared" si="1"/>
        <v>55270</v>
      </c>
      <c r="H5075" s="49">
        <f t="shared" si="2"/>
        <v>55033</v>
      </c>
    </row>
    <row r="5076">
      <c r="A5076" s="48" t="s">
        <v>4900</v>
      </c>
      <c r="B5076" s="38">
        <v>33495.0</v>
      </c>
      <c r="C5076" s="38" t="s">
        <v>8067</v>
      </c>
      <c r="D5076" s="38" t="str">
        <f>IFERROR(__xludf.DUMMYFUNCTION("REGEXREPLACE(C5076,""-\d+(.*)|--\d+(.*)"","""")"),"SALIGNAC")</f>
        <v>SALIGNAC</v>
      </c>
      <c r="E5076" s="38" t="s">
        <v>462</v>
      </c>
      <c r="F5076" s="38" t="s">
        <v>252</v>
      </c>
      <c r="G5076" s="49" t="str">
        <f t="shared" si="1"/>
        <v>33240</v>
      </c>
      <c r="H5076" s="49">
        <f t="shared" si="2"/>
        <v>33495</v>
      </c>
    </row>
    <row r="5077">
      <c r="A5077" s="48" t="s">
        <v>3450</v>
      </c>
      <c r="B5077" s="38">
        <v>60037.0</v>
      </c>
      <c r="C5077" s="38" t="s">
        <v>8068</v>
      </c>
      <c r="D5077" s="38" t="str">
        <f>IFERROR(__xludf.DUMMYFUNCTION("REGEXREPLACE(C5077,""-\d+(.*)|--\d+(.*)"","""")"),"BABOEUF")</f>
        <v>BABOEUF</v>
      </c>
      <c r="E5077" s="38" t="s">
        <v>112</v>
      </c>
      <c r="F5077" s="38" t="s">
        <v>113</v>
      </c>
      <c r="G5077" s="49" t="str">
        <f t="shared" si="1"/>
        <v>60400</v>
      </c>
      <c r="H5077" s="49">
        <f t="shared" si="2"/>
        <v>60037</v>
      </c>
    </row>
    <row r="5078">
      <c r="A5078" s="48" t="s">
        <v>8069</v>
      </c>
      <c r="B5078" s="38">
        <v>60185.0</v>
      </c>
      <c r="C5078" s="38" t="s">
        <v>8070</v>
      </c>
      <c r="D5078" s="38" t="str">
        <f>IFERROR(__xludf.DUMMYFUNCTION("REGEXREPLACE(C5078,""-\d+(.*)|--\d+(.*)"","""")"),"CROUY-EN-THELLE")</f>
        <v>CROUY-EN-THELLE</v>
      </c>
      <c r="E5078" s="38" t="s">
        <v>112</v>
      </c>
      <c r="F5078" s="38" t="s">
        <v>113</v>
      </c>
      <c r="G5078" s="49" t="str">
        <f t="shared" si="1"/>
        <v>60530</v>
      </c>
      <c r="H5078" s="49">
        <f t="shared" si="2"/>
        <v>60185</v>
      </c>
    </row>
    <row r="5079">
      <c r="A5079" s="48" t="s">
        <v>3283</v>
      </c>
      <c r="B5079" s="38">
        <v>52473.0</v>
      </c>
      <c r="C5079" s="38" t="s">
        <v>8071</v>
      </c>
      <c r="D5079" s="38" t="str">
        <f>IFERROR(__xludf.DUMMYFUNCTION("REGEXREPLACE(C5079,""-\d+(.*)|--\d+(.*)"","""")"),"SIGNEVILLE")</f>
        <v>SIGNEVILLE</v>
      </c>
      <c r="E5079" s="38" t="s">
        <v>234</v>
      </c>
      <c r="F5079" s="38" t="s">
        <v>130</v>
      </c>
      <c r="G5079" s="49" t="str">
        <f t="shared" si="1"/>
        <v>52700</v>
      </c>
      <c r="H5079" s="49">
        <f t="shared" si="2"/>
        <v>52473</v>
      </c>
    </row>
    <row r="5080">
      <c r="A5080" s="48" t="s">
        <v>1752</v>
      </c>
      <c r="B5080" s="38">
        <v>49051.0</v>
      </c>
      <c r="C5080" s="38" t="s">
        <v>8072</v>
      </c>
      <c r="D5080" s="38" t="str">
        <f>IFERROR(__xludf.DUMMYFUNCTION("REGEXREPLACE(C5080,""-\d+(.*)|--\d+(.*)"","""")"),"BRISSARTHE")</f>
        <v>BRISSARTHE</v>
      </c>
      <c r="E5080" s="38" t="s">
        <v>653</v>
      </c>
      <c r="F5080" s="38" t="s">
        <v>180</v>
      </c>
      <c r="G5080" s="49" t="str">
        <f t="shared" si="1"/>
        <v>49330</v>
      </c>
      <c r="H5080" s="49">
        <f t="shared" si="2"/>
        <v>49051</v>
      </c>
    </row>
    <row r="5081">
      <c r="A5081" s="48" t="s">
        <v>1785</v>
      </c>
      <c r="B5081" s="38">
        <v>42001.0</v>
      </c>
      <c r="C5081" s="38" t="s">
        <v>8073</v>
      </c>
      <c r="D5081" s="38" t="str">
        <f>IFERROR(__xludf.DUMMYFUNCTION("REGEXREPLACE(C5081,""-\d+(.*)|--\d+(.*)"","""")"),"ABOEN")</f>
        <v>ABOEN</v>
      </c>
      <c r="E5081" s="38" t="s">
        <v>166</v>
      </c>
      <c r="F5081" s="38" t="s">
        <v>102</v>
      </c>
      <c r="G5081" s="49" t="str">
        <f t="shared" si="1"/>
        <v>42380</v>
      </c>
      <c r="H5081" s="49">
        <f t="shared" si="2"/>
        <v>42001</v>
      </c>
    </row>
    <row r="5082">
      <c r="A5082" s="48" t="s">
        <v>3750</v>
      </c>
      <c r="B5082" s="38">
        <v>47048.0</v>
      </c>
      <c r="C5082" s="38" t="s">
        <v>8074</v>
      </c>
      <c r="D5082" s="38" t="str">
        <f>IFERROR(__xludf.DUMMYFUNCTION("REGEXREPLACE(C5082,""-\d+(.*)|--\d+(.*)"","""")"),"CANCON")</f>
        <v>CANCON</v>
      </c>
      <c r="E5082" s="38" t="s">
        <v>251</v>
      </c>
      <c r="F5082" s="38" t="s">
        <v>252</v>
      </c>
      <c r="G5082" s="49" t="str">
        <f t="shared" si="1"/>
        <v>47290</v>
      </c>
      <c r="H5082" s="49">
        <f t="shared" si="2"/>
        <v>47048</v>
      </c>
    </row>
    <row r="5083">
      <c r="A5083" s="48" t="s">
        <v>910</v>
      </c>
      <c r="B5083" s="38">
        <v>32321.0</v>
      </c>
      <c r="C5083" s="38" t="s">
        <v>8075</v>
      </c>
      <c r="D5083" s="38" t="str">
        <f>IFERROR(__xludf.DUMMYFUNCTION("REGEXREPLACE(C5083,""-\d+(.*)|--\d+(.*)"","""")"),"POLASTRON")</f>
        <v>POLASTRON</v>
      </c>
      <c r="E5083" s="38" t="s">
        <v>440</v>
      </c>
      <c r="F5083" s="38" t="s">
        <v>94</v>
      </c>
      <c r="G5083" s="49" t="str">
        <f t="shared" si="1"/>
        <v>32130</v>
      </c>
      <c r="H5083" s="49">
        <f t="shared" si="2"/>
        <v>32321</v>
      </c>
    </row>
    <row r="5084">
      <c r="A5084" s="48" t="s">
        <v>8076</v>
      </c>
      <c r="B5084" s="38">
        <v>60547.0</v>
      </c>
      <c r="C5084" s="38" t="s">
        <v>8077</v>
      </c>
      <c r="D5084" s="38" t="str">
        <f>IFERROR(__xludf.DUMMYFUNCTION("REGEXREPLACE(C5084,""-\d+(.*)|--\d+(.*)"","""")"),"ROSOY")</f>
        <v>ROSOY</v>
      </c>
      <c r="E5084" s="38" t="s">
        <v>112</v>
      </c>
      <c r="F5084" s="38" t="s">
        <v>113</v>
      </c>
      <c r="G5084" s="49" t="str">
        <f t="shared" si="1"/>
        <v>60140</v>
      </c>
      <c r="H5084" s="49">
        <f t="shared" si="2"/>
        <v>60547</v>
      </c>
    </row>
    <row r="5085">
      <c r="A5085" s="48" t="s">
        <v>983</v>
      </c>
      <c r="B5085" s="38">
        <v>52491.0</v>
      </c>
      <c r="C5085" s="38" t="s">
        <v>8078</v>
      </c>
      <c r="D5085" s="38" t="str">
        <f>IFERROR(__xludf.DUMMYFUNCTION("REGEXREPLACE(C5085,""-\d+(.*)|--\d+(.*)"","""")"),"THONNANCE-LES-MOULINS")</f>
        <v>THONNANCE-LES-MOULINS</v>
      </c>
      <c r="E5085" s="38" t="s">
        <v>234</v>
      </c>
      <c r="F5085" s="38" t="s">
        <v>130</v>
      </c>
      <c r="G5085" s="49" t="str">
        <f t="shared" si="1"/>
        <v>52230</v>
      </c>
      <c r="H5085" s="49">
        <f t="shared" si="2"/>
        <v>52491</v>
      </c>
    </row>
    <row r="5086">
      <c r="A5086" s="48" t="s">
        <v>2712</v>
      </c>
      <c r="B5086" s="38">
        <v>72101.0</v>
      </c>
      <c r="C5086" s="38" t="s">
        <v>8079</v>
      </c>
      <c r="D5086" s="38" t="str">
        <f>IFERROR(__xludf.DUMMYFUNCTION("REGEXREPLACE(C5086,""-\d+(.*)|--\d+(.*)"","""")"),"COURCEMONT")</f>
        <v>COURCEMONT</v>
      </c>
      <c r="E5086" s="38" t="s">
        <v>521</v>
      </c>
      <c r="F5086" s="38" t="s">
        <v>180</v>
      </c>
      <c r="G5086" s="49" t="str">
        <f t="shared" si="1"/>
        <v>72110</v>
      </c>
      <c r="H5086" s="49">
        <f t="shared" si="2"/>
        <v>72101</v>
      </c>
    </row>
    <row r="5087">
      <c r="A5087" s="48" t="s">
        <v>8080</v>
      </c>
      <c r="B5087" s="38" t="s">
        <v>8081</v>
      </c>
      <c r="C5087" s="38" t="s">
        <v>8082</v>
      </c>
      <c r="D5087" s="38" t="str">
        <f>IFERROR(__xludf.DUMMYFUNCTION("REGEXREPLACE(C5087,""-\d+(.*)|--\d+(.*)"","""")"),"CANARI")</f>
        <v>CANARI</v>
      </c>
      <c r="E5087" s="38" t="s">
        <v>743</v>
      </c>
      <c r="F5087" s="38" t="s">
        <v>607</v>
      </c>
      <c r="G5087" s="49" t="str">
        <f t="shared" si="1"/>
        <v>20217</v>
      </c>
      <c r="H5087" s="49" t="str">
        <f t="shared" si="2"/>
        <v>2B058</v>
      </c>
    </row>
    <row r="5088">
      <c r="A5088" s="48" t="s">
        <v>3022</v>
      </c>
      <c r="B5088" s="38">
        <v>14331.0</v>
      </c>
      <c r="C5088" s="38" t="s">
        <v>8083</v>
      </c>
      <c r="D5088" s="38" t="str">
        <f>IFERROR(__xludf.DUMMYFUNCTION("REGEXREPLACE(C5088,""-\d+(.*)|--\d+(.*)"","""")"),"HIEVILLE")</f>
        <v>HIEVILLE</v>
      </c>
      <c r="E5088" s="38" t="s">
        <v>137</v>
      </c>
      <c r="F5088" s="38" t="s">
        <v>138</v>
      </c>
      <c r="G5088" s="49" t="str">
        <f t="shared" si="1"/>
        <v>14170</v>
      </c>
      <c r="H5088" s="49">
        <f t="shared" si="2"/>
        <v>14331</v>
      </c>
    </row>
    <row r="5089">
      <c r="A5089" s="48" t="s">
        <v>8084</v>
      </c>
      <c r="B5089" s="38">
        <v>16107.0</v>
      </c>
      <c r="C5089" s="38" t="s">
        <v>8085</v>
      </c>
      <c r="D5089" s="38" t="str">
        <f>IFERROR(__xludf.DUMMYFUNCTION("REGEXREPLACE(C5089,""-\d+(.*)|--\d+(.*)"","""")"),"COULGENS")</f>
        <v>COULGENS</v>
      </c>
      <c r="E5089" s="38" t="s">
        <v>429</v>
      </c>
      <c r="F5089" s="38" t="s">
        <v>338</v>
      </c>
      <c r="G5089" s="49" t="str">
        <f t="shared" si="1"/>
        <v>16560</v>
      </c>
      <c r="H5089" s="49">
        <f t="shared" si="2"/>
        <v>16107</v>
      </c>
    </row>
    <row r="5090">
      <c r="A5090" s="48" t="s">
        <v>8086</v>
      </c>
      <c r="B5090" s="38">
        <v>59532.0</v>
      </c>
      <c r="C5090" s="38" t="s">
        <v>8087</v>
      </c>
      <c r="D5090" s="38" t="str">
        <f>IFERROR(__xludf.DUMMYFUNCTION("REGEXREPLACE(C5090,""-\d+(.*)|--\d+(.*)"","""")"),"SAINT-GEORGES-SUR-L'AA")</f>
        <v>SAINT-GEORGES-SUR-L'AA</v>
      </c>
      <c r="E5090" s="38" t="s">
        <v>85</v>
      </c>
      <c r="F5090" s="38" t="s">
        <v>86</v>
      </c>
      <c r="G5090" s="49" t="str">
        <f t="shared" si="1"/>
        <v>59820</v>
      </c>
      <c r="H5090" s="49">
        <f t="shared" si="2"/>
        <v>59532</v>
      </c>
    </row>
    <row r="5091">
      <c r="A5091" s="48" t="s">
        <v>7305</v>
      </c>
      <c r="B5091" s="38">
        <v>49066.0</v>
      </c>
      <c r="C5091" s="38" t="s">
        <v>8088</v>
      </c>
      <c r="D5091" s="38" t="str">
        <f>IFERROR(__xludf.DUMMYFUNCTION("REGEXREPLACE(C5091,""-\d+(.*)|--\d+(.*)"","""")"),"CHAMP-SUR-LAYON")</f>
        <v>CHAMP-SUR-LAYON</v>
      </c>
      <c r="E5091" s="38" t="s">
        <v>653</v>
      </c>
      <c r="F5091" s="38" t="s">
        <v>180</v>
      </c>
      <c r="G5091" s="49" t="str">
        <f t="shared" si="1"/>
        <v>49380</v>
      </c>
      <c r="H5091" s="49">
        <f t="shared" si="2"/>
        <v>49066</v>
      </c>
    </row>
    <row r="5092">
      <c r="A5092" s="48" t="s">
        <v>8089</v>
      </c>
      <c r="B5092" s="38">
        <v>45232.0</v>
      </c>
      <c r="C5092" s="38" t="s">
        <v>7007</v>
      </c>
      <c r="D5092" s="38" t="str">
        <f>IFERROR(__xludf.DUMMYFUNCTION("REGEXREPLACE(C5092,""-\d+(.*)|--\d+(.*)"","""")"),"OLIVET")</f>
        <v>OLIVET</v>
      </c>
      <c r="E5092" s="38" t="s">
        <v>122</v>
      </c>
      <c r="F5092" s="38" t="s">
        <v>123</v>
      </c>
      <c r="G5092" s="49" t="str">
        <f t="shared" si="1"/>
        <v>45160</v>
      </c>
      <c r="H5092" s="49">
        <f t="shared" si="2"/>
        <v>45232</v>
      </c>
    </row>
    <row r="5093">
      <c r="A5093" s="48" t="s">
        <v>2406</v>
      </c>
      <c r="B5093" s="38">
        <v>55528.0</v>
      </c>
      <c r="C5093" s="38" t="s">
        <v>8090</v>
      </c>
      <c r="D5093" s="38" t="str">
        <f>IFERROR(__xludf.DUMMYFUNCTION("REGEXREPLACE(C5093,""-\d+(.*)|--\d+(.*)"","""")"),"VARNEVILLE")</f>
        <v>VARNEVILLE</v>
      </c>
      <c r="E5093" s="38" t="s">
        <v>322</v>
      </c>
      <c r="F5093" s="38" t="s">
        <v>195</v>
      </c>
      <c r="G5093" s="49" t="str">
        <f t="shared" si="1"/>
        <v>55300</v>
      </c>
      <c r="H5093" s="49">
        <f t="shared" si="2"/>
        <v>55528</v>
      </c>
    </row>
    <row r="5094">
      <c r="A5094" s="48" t="s">
        <v>5866</v>
      </c>
      <c r="B5094" s="38">
        <v>33488.0</v>
      </c>
      <c r="C5094" s="38" t="s">
        <v>8091</v>
      </c>
      <c r="D5094" s="38" t="str">
        <f>IFERROR(__xludf.DUMMYFUNCTION("REGEXREPLACE(C5094,""-\d+(.*)|--\d+(.*)"","""")"),"SAINT-VINCENT-DE-PERTIGNAS")</f>
        <v>SAINT-VINCENT-DE-PERTIGNAS</v>
      </c>
      <c r="E5094" s="38" t="s">
        <v>462</v>
      </c>
      <c r="F5094" s="38" t="s">
        <v>252</v>
      </c>
      <c r="G5094" s="49" t="str">
        <f t="shared" si="1"/>
        <v>33420</v>
      </c>
      <c r="H5094" s="49">
        <f t="shared" si="2"/>
        <v>33488</v>
      </c>
    </row>
    <row r="5095">
      <c r="A5095" s="48" t="s">
        <v>6007</v>
      </c>
      <c r="B5095" s="38">
        <v>24542.0</v>
      </c>
      <c r="C5095" s="38" t="s">
        <v>8092</v>
      </c>
      <c r="D5095" s="38" t="str">
        <f>IFERROR(__xludf.DUMMYFUNCTION("REGEXREPLACE(C5095,""-\d+(.*)|--\d+(.*)"","""")"),"SOULAURES")</f>
        <v>SOULAURES</v>
      </c>
      <c r="E5095" s="38" t="s">
        <v>261</v>
      </c>
      <c r="F5095" s="38" t="s">
        <v>252</v>
      </c>
      <c r="G5095" s="49" t="str">
        <f t="shared" si="1"/>
        <v>24540</v>
      </c>
      <c r="H5095" s="49">
        <f t="shared" si="2"/>
        <v>24542</v>
      </c>
    </row>
    <row r="5096">
      <c r="A5096" s="48" t="s">
        <v>8093</v>
      </c>
      <c r="B5096" s="38">
        <v>44098.0</v>
      </c>
      <c r="C5096" s="38" t="s">
        <v>8094</v>
      </c>
      <c r="D5096" s="38" t="str">
        <f>IFERROR(__xludf.DUMMYFUNCTION("REGEXREPLACE(C5096,""-\d+(.*)|--\d+(.*)"","""")"),"MISSILLAC")</f>
        <v>MISSILLAC</v>
      </c>
      <c r="E5096" s="38" t="s">
        <v>759</v>
      </c>
      <c r="F5096" s="38" t="s">
        <v>180</v>
      </c>
      <c r="G5096" s="49" t="str">
        <f t="shared" si="1"/>
        <v>44780</v>
      </c>
      <c r="H5096" s="49">
        <f t="shared" si="2"/>
        <v>44098</v>
      </c>
    </row>
    <row r="5097">
      <c r="A5097" s="48" t="s">
        <v>5787</v>
      </c>
      <c r="B5097" s="38">
        <v>19289.0</v>
      </c>
      <c r="C5097" s="38" t="s">
        <v>8095</v>
      </c>
      <c r="D5097" s="38" t="str">
        <f>IFERROR(__xludf.DUMMYFUNCTION("REGEXREPLACE(C5097,""-\d+(.*)|--\d+(.*)"","""")"),"YSSANDON")</f>
        <v>YSSANDON</v>
      </c>
      <c r="E5097" s="38" t="s">
        <v>271</v>
      </c>
      <c r="F5097" s="38" t="s">
        <v>98</v>
      </c>
      <c r="G5097" s="49" t="str">
        <f t="shared" si="1"/>
        <v>19310</v>
      </c>
      <c r="H5097" s="49">
        <f t="shared" si="2"/>
        <v>19289</v>
      </c>
    </row>
    <row r="5098">
      <c r="A5098" s="48" t="s">
        <v>5137</v>
      </c>
      <c r="B5098" s="38">
        <v>53079.0</v>
      </c>
      <c r="C5098" s="38" t="s">
        <v>8096</v>
      </c>
      <c r="D5098" s="38" t="str">
        <f>IFERROR(__xludf.DUMMYFUNCTION("REGEXREPLACE(C5098,""-\d+(.*)|--\d+(.*)"","""")"),"COUESMES-VAUCE")</f>
        <v>COUESMES-VAUCE</v>
      </c>
      <c r="E5098" s="38" t="s">
        <v>518</v>
      </c>
      <c r="F5098" s="38" t="s">
        <v>180</v>
      </c>
      <c r="G5098" s="49" t="str">
        <f t="shared" si="1"/>
        <v>53300</v>
      </c>
      <c r="H5098" s="49">
        <f t="shared" si="2"/>
        <v>53079</v>
      </c>
    </row>
    <row r="5099">
      <c r="A5099" s="48" t="s">
        <v>8097</v>
      </c>
      <c r="B5099" s="38">
        <v>85197.0</v>
      </c>
      <c r="C5099" s="38" t="s">
        <v>8098</v>
      </c>
      <c r="D5099" s="38" t="str">
        <f>IFERROR(__xludf.DUMMYFUNCTION("REGEXREPLACE(C5099,""-\d+(.*)|--\d+(.*)"","""")"),"SAINT-ANDRE-TREIZE-VOIES")</f>
        <v>SAINT-ANDRE-TREIZE-VOIES</v>
      </c>
      <c r="E5099" s="38" t="s">
        <v>179</v>
      </c>
      <c r="F5099" s="38" t="s">
        <v>180</v>
      </c>
      <c r="G5099" s="49" t="str">
        <f t="shared" si="1"/>
        <v>85260</v>
      </c>
      <c r="H5099" s="49">
        <f t="shared" si="2"/>
        <v>85197</v>
      </c>
    </row>
    <row r="5100">
      <c r="A5100" s="48" t="s">
        <v>3031</v>
      </c>
      <c r="B5100" s="38">
        <v>21466.0</v>
      </c>
      <c r="C5100" s="38" t="s">
        <v>8099</v>
      </c>
      <c r="D5100" s="38" t="str">
        <f>IFERROR(__xludf.DUMMYFUNCTION("REGEXREPLACE(C5100,""-\d+(.*)|--\d+(.*)"","""")"),"OIGNY")</f>
        <v>OIGNY</v>
      </c>
      <c r="E5100" s="38" t="s">
        <v>105</v>
      </c>
      <c r="F5100" s="38" t="s">
        <v>106</v>
      </c>
      <c r="G5100" s="49" t="str">
        <f t="shared" si="1"/>
        <v>21450</v>
      </c>
      <c r="H5100" s="49">
        <f t="shared" si="2"/>
        <v>21466</v>
      </c>
    </row>
    <row r="5101">
      <c r="A5101" s="48" t="s">
        <v>8100</v>
      </c>
      <c r="B5101" s="38">
        <v>91617.0</v>
      </c>
      <c r="C5101" s="38" t="s">
        <v>8101</v>
      </c>
      <c r="D5101" s="38" t="str">
        <f>IFERROR(__xludf.DUMMYFUNCTION("REGEXREPLACE(C5101,""-\d+(.*)|--\d+(.*)"","""")"),"TIGERY")</f>
        <v>TIGERY</v>
      </c>
      <c r="E5101" s="38" t="s">
        <v>756</v>
      </c>
      <c r="F5101" s="38" t="s">
        <v>245</v>
      </c>
      <c r="G5101" s="49" t="str">
        <f t="shared" si="1"/>
        <v>91250</v>
      </c>
      <c r="H5101" s="49">
        <f t="shared" si="2"/>
        <v>91617</v>
      </c>
    </row>
    <row r="5102">
      <c r="A5102" s="48" t="s">
        <v>5477</v>
      </c>
      <c r="B5102" s="38">
        <v>74150.0</v>
      </c>
      <c r="C5102" s="38" t="s">
        <v>8102</v>
      </c>
      <c r="D5102" s="38" t="str">
        <f>IFERROR(__xludf.DUMMYFUNCTION("REGEXREPLACE(C5102,""-\d+(.*)|--\d+(.*)"","""")"),"LOISIN")</f>
        <v>LOISIN</v>
      </c>
      <c r="E5102" s="38" t="s">
        <v>319</v>
      </c>
      <c r="F5102" s="38" t="s">
        <v>102</v>
      </c>
      <c r="G5102" s="49" t="str">
        <f t="shared" si="1"/>
        <v>74140</v>
      </c>
      <c r="H5102" s="49">
        <f t="shared" si="2"/>
        <v>74150</v>
      </c>
    </row>
    <row r="5103">
      <c r="A5103" s="48" t="s">
        <v>8103</v>
      </c>
      <c r="B5103" s="38">
        <v>55021.0</v>
      </c>
      <c r="C5103" s="38" t="s">
        <v>8104</v>
      </c>
      <c r="D5103" s="38" t="str">
        <f>IFERROR(__xludf.DUMMYFUNCTION("REGEXREPLACE(C5103,""-\d+(.*)|--\d+(.*)"","""")"),"AVILLERS-SAINTE-CROIX")</f>
        <v>AVILLERS-SAINTE-CROIX</v>
      </c>
      <c r="E5103" s="38" t="s">
        <v>322</v>
      </c>
      <c r="F5103" s="38" t="s">
        <v>195</v>
      </c>
      <c r="G5103" s="49" t="str">
        <f t="shared" si="1"/>
        <v>55210</v>
      </c>
      <c r="H5103" s="49">
        <f t="shared" si="2"/>
        <v>55021</v>
      </c>
    </row>
    <row r="5104">
      <c r="A5104" s="48" t="s">
        <v>8105</v>
      </c>
      <c r="B5104" s="38">
        <v>25187.0</v>
      </c>
      <c r="C5104" s="38" t="s">
        <v>8106</v>
      </c>
      <c r="D5104" s="38" t="str">
        <f>IFERROR(__xludf.DUMMYFUNCTION("REGEXREPLACE(C5104,""-\d+(.*)|--\d+(.*)"","""")"),"DAMBELIN")</f>
        <v>DAMBELIN</v>
      </c>
      <c r="E5104" s="38" t="s">
        <v>213</v>
      </c>
      <c r="F5104" s="38" t="s">
        <v>214</v>
      </c>
      <c r="G5104" s="49" t="str">
        <f t="shared" si="1"/>
        <v>25150</v>
      </c>
      <c r="H5104" s="49">
        <f t="shared" si="2"/>
        <v>25187</v>
      </c>
    </row>
    <row r="5105">
      <c r="A5105" s="48" t="s">
        <v>8107</v>
      </c>
      <c r="B5105" s="38">
        <v>86067.0</v>
      </c>
      <c r="C5105" s="38" t="s">
        <v>2752</v>
      </c>
      <c r="D5105" s="38" t="str">
        <f>IFERROR(__xludf.DUMMYFUNCTION("REGEXREPLACE(C5105,""-\d+(.*)|--\d+(.*)"","""")"),"CHATILLON")</f>
        <v>CHATILLON</v>
      </c>
      <c r="E5105" s="38" t="s">
        <v>529</v>
      </c>
      <c r="F5105" s="38" t="s">
        <v>338</v>
      </c>
      <c r="G5105" s="49" t="str">
        <f t="shared" si="1"/>
        <v>86700</v>
      </c>
      <c r="H5105" s="49">
        <f t="shared" si="2"/>
        <v>86067</v>
      </c>
    </row>
    <row r="5106">
      <c r="A5106" s="48" t="s">
        <v>4880</v>
      </c>
      <c r="B5106" s="38">
        <v>89303.0</v>
      </c>
      <c r="C5106" s="38" t="s">
        <v>8108</v>
      </c>
      <c r="D5106" s="38" t="str">
        <f>IFERROR(__xludf.DUMMYFUNCTION("REGEXREPLACE(C5106,""-\d+(.*)|--\d+(.*)"","""")"),"POILLY-SUR-SEREIN")</f>
        <v>POILLY-SUR-SEREIN</v>
      </c>
      <c r="E5106" s="38" t="s">
        <v>275</v>
      </c>
      <c r="F5106" s="38" t="s">
        <v>106</v>
      </c>
      <c r="G5106" s="49" t="str">
        <f t="shared" si="1"/>
        <v>89310</v>
      </c>
      <c r="H5106" s="49">
        <f t="shared" si="2"/>
        <v>89303</v>
      </c>
    </row>
    <row r="5107">
      <c r="A5107" s="48" t="s">
        <v>3666</v>
      </c>
      <c r="B5107" s="38">
        <v>21635.0</v>
      </c>
      <c r="C5107" s="38" t="s">
        <v>8109</v>
      </c>
      <c r="D5107" s="38" t="str">
        <f>IFERROR(__xludf.DUMMYFUNCTION("REGEXREPLACE(C5107,""-\d+(.*)|--\d+(.*)"","""")"),"THOSTE")</f>
        <v>THOSTE</v>
      </c>
      <c r="E5107" s="38" t="s">
        <v>105</v>
      </c>
      <c r="F5107" s="38" t="s">
        <v>106</v>
      </c>
      <c r="G5107" s="49" t="str">
        <f t="shared" si="1"/>
        <v>21460</v>
      </c>
      <c r="H5107" s="49">
        <f t="shared" si="2"/>
        <v>21635</v>
      </c>
    </row>
    <row r="5108">
      <c r="A5108" s="48" t="s">
        <v>4013</v>
      </c>
      <c r="B5108" s="38">
        <v>9108.0</v>
      </c>
      <c r="C5108" s="38" t="s">
        <v>8110</v>
      </c>
      <c r="D5108" s="38" t="str">
        <f>IFERROR(__xludf.DUMMYFUNCTION("REGEXREPLACE(C5108,""-\d+(.*)|--\d+(.*)"","""")"),"DURBAN-SUR-ARIZE")</f>
        <v>DURBAN-SUR-ARIZE</v>
      </c>
      <c r="E5108" s="38" t="s">
        <v>238</v>
      </c>
      <c r="F5108" s="38" t="s">
        <v>94</v>
      </c>
      <c r="G5108" s="49" t="str">
        <f t="shared" si="1"/>
        <v>09240</v>
      </c>
      <c r="H5108" s="49" t="str">
        <f t="shared" si="2"/>
        <v>09108</v>
      </c>
    </row>
    <row r="5109">
      <c r="A5109" s="48" t="s">
        <v>8111</v>
      </c>
      <c r="B5109" s="38">
        <v>40238.0</v>
      </c>
      <c r="C5109" s="38" t="s">
        <v>8112</v>
      </c>
      <c r="D5109" s="38" t="str">
        <f>IFERROR(__xludf.DUMMYFUNCTION("REGEXREPLACE(C5109,""-\d+(.*)|--\d+(.*)"","""")"),"PUJO-LE-PLAN")</f>
        <v>PUJO-LE-PLAN</v>
      </c>
      <c r="E5109" s="38" t="s">
        <v>281</v>
      </c>
      <c r="F5109" s="38" t="s">
        <v>252</v>
      </c>
      <c r="G5109" s="49" t="str">
        <f t="shared" si="1"/>
        <v>40190</v>
      </c>
      <c r="H5109" s="49">
        <f t="shared" si="2"/>
        <v>40238</v>
      </c>
    </row>
    <row r="5110">
      <c r="A5110" s="48" t="s">
        <v>222</v>
      </c>
      <c r="B5110" s="38">
        <v>80153.0</v>
      </c>
      <c r="C5110" s="38" t="s">
        <v>8113</v>
      </c>
      <c r="D5110" s="38" t="str">
        <f>IFERROR(__xludf.DUMMYFUNCTION("REGEXREPLACE(C5110,""-\d+(.*)|--\d+(.*)"","""")"),"BUS-LES-ARTOIS")</f>
        <v>BUS-LES-ARTOIS</v>
      </c>
      <c r="E5110" s="38" t="s">
        <v>224</v>
      </c>
      <c r="F5110" s="38" t="s">
        <v>113</v>
      </c>
      <c r="G5110" s="49" t="str">
        <f t="shared" si="1"/>
        <v>80560</v>
      </c>
      <c r="H5110" s="49">
        <f t="shared" si="2"/>
        <v>80153</v>
      </c>
    </row>
    <row r="5111">
      <c r="A5111" s="48" t="s">
        <v>4867</v>
      </c>
      <c r="B5111" s="38">
        <v>82067.0</v>
      </c>
      <c r="C5111" s="38" t="s">
        <v>6665</v>
      </c>
      <c r="D5111" s="38" t="str">
        <f>IFERROR(__xludf.DUMMYFUNCTION("REGEXREPLACE(C5111,""-\d+(.*)|--\d+(.*)"","""")"),"GENSAC")</f>
        <v>GENSAC</v>
      </c>
      <c r="E5111" s="38" t="s">
        <v>570</v>
      </c>
      <c r="F5111" s="38" t="s">
        <v>94</v>
      </c>
      <c r="G5111" s="49" t="str">
        <f t="shared" si="1"/>
        <v>82120</v>
      </c>
      <c r="H5111" s="49">
        <f t="shared" si="2"/>
        <v>82067</v>
      </c>
    </row>
    <row r="5112">
      <c r="A5112" s="48" t="s">
        <v>4199</v>
      </c>
      <c r="B5112" s="38">
        <v>17378.0</v>
      </c>
      <c r="C5112" s="38" t="s">
        <v>8114</v>
      </c>
      <c r="D5112" s="38" t="str">
        <f>IFERROR(__xludf.DUMMYFUNCTION("REGEXREPLACE(C5112,""-\d+(.*)|--\d+(.*)"","""")"),"SAINT-PALAIS-DE-NEGRIGNAC")</f>
        <v>SAINT-PALAIS-DE-NEGRIGNAC</v>
      </c>
      <c r="E5112" s="38" t="s">
        <v>488</v>
      </c>
      <c r="F5112" s="38" t="s">
        <v>338</v>
      </c>
      <c r="G5112" s="49" t="str">
        <f t="shared" si="1"/>
        <v>17210</v>
      </c>
      <c r="H5112" s="49">
        <f t="shared" si="2"/>
        <v>17378</v>
      </c>
    </row>
    <row r="5113">
      <c r="A5113" s="48" t="s">
        <v>2993</v>
      </c>
      <c r="B5113" s="38">
        <v>66015.0</v>
      </c>
      <c r="C5113" s="38" t="s">
        <v>8115</v>
      </c>
      <c r="D5113" s="38" t="str">
        <f>IFERROR(__xludf.DUMMYFUNCTION("REGEXREPLACE(C5113,""-\d+(.*)|--\d+(.*)"","""")"),"BANYULS-DELS-ASPRES")</f>
        <v>BANYULS-DELS-ASPRES</v>
      </c>
      <c r="E5113" s="38" t="s">
        <v>248</v>
      </c>
      <c r="F5113" s="38" t="s">
        <v>119</v>
      </c>
      <c r="G5113" s="49" t="str">
        <f t="shared" si="1"/>
        <v>66300</v>
      </c>
      <c r="H5113" s="49">
        <f t="shared" si="2"/>
        <v>66015</v>
      </c>
    </row>
    <row r="5114">
      <c r="A5114" s="48" t="s">
        <v>8116</v>
      </c>
      <c r="B5114" s="38">
        <v>64284.0</v>
      </c>
      <c r="C5114" s="38" t="s">
        <v>8117</v>
      </c>
      <c r="D5114" s="38" t="str">
        <f>IFERROR(__xludf.DUMMYFUNCTION("REGEXREPLACE(C5114,""-\d+(.*)|--\d+(.*)"","""")"),"JURANCON")</f>
        <v>JURANCON</v>
      </c>
      <c r="E5114" s="38" t="s">
        <v>268</v>
      </c>
      <c r="F5114" s="38" t="s">
        <v>252</v>
      </c>
      <c r="G5114" s="49" t="str">
        <f t="shared" si="1"/>
        <v>64110</v>
      </c>
      <c r="H5114" s="49">
        <f t="shared" si="2"/>
        <v>64284</v>
      </c>
    </row>
    <row r="5115">
      <c r="A5115" s="48" t="s">
        <v>7435</v>
      </c>
      <c r="B5115" s="38">
        <v>52087.0</v>
      </c>
      <c r="C5115" s="38" t="s">
        <v>8118</v>
      </c>
      <c r="D5115" s="38" t="str">
        <f>IFERROR(__xludf.DUMMYFUNCTION("REGEXREPLACE(C5115,""-\d+(.*)|--\d+(.*)"","""")"),"BUXIERES-LES-VILLIERS")</f>
        <v>BUXIERES-LES-VILLIERS</v>
      </c>
      <c r="E5115" s="38" t="s">
        <v>234</v>
      </c>
      <c r="F5115" s="38" t="s">
        <v>130</v>
      </c>
      <c r="G5115" s="49" t="str">
        <f t="shared" si="1"/>
        <v>52000</v>
      </c>
      <c r="H5115" s="49">
        <f t="shared" si="2"/>
        <v>52087</v>
      </c>
    </row>
    <row r="5116">
      <c r="A5116" s="48" t="s">
        <v>2249</v>
      </c>
      <c r="B5116" s="38">
        <v>14728.0</v>
      </c>
      <c r="C5116" s="38" t="s">
        <v>8119</v>
      </c>
      <c r="D5116" s="38" t="str">
        <f>IFERROR(__xludf.DUMMYFUNCTION("REGEXREPLACE(C5116,""-\d+(.*)|--\d+(.*)"","""")"),"VAUCELLES")</f>
        <v>VAUCELLES</v>
      </c>
      <c r="E5116" s="38" t="s">
        <v>137</v>
      </c>
      <c r="F5116" s="38" t="s">
        <v>138</v>
      </c>
      <c r="G5116" s="49" t="str">
        <f t="shared" si="1"/>
        <v>14400</v>
      </c>
      <c r="H5116" s="49">
        <f t="shared" si="2"/>
        <v>14728</v>
      </c>
    </row>
    <row r="5117">
      <c r="A5117" s="48" t="s">
        <v>8120</v>
      </c>
      <c r="B5117" s="38">
        <v>61344.0</v>
      </c>
      <c r="C5117" s="38" t="s">
        <v>8121</v>
      </c>
      <c r="D5117" s="38" t="str">
        <f>IFERROR(__xludf.DUMMYFUNCTION("REGEXREPLACE(C5117,""-\d+(.*)|--\d+(.*)"","""")"),"RANES")</f>
        <v>RANES</v>
      </c>
      <c r="E5117" s="38" t="s">
        <v>141</v>
      </c>
      <c r="F5117" s="38" t="s">
        <v>138</v>
      </c>
      <c r="G5117" s="49" t="str">
        <f t="shared" si="1"/>
        <v>61150</v>
      </c>
      <c r="H5117" s="49">
        <f t="shared" si="2"/>
        <v>61344</v>
      </c>
    </row>
    <row r="5118">
      <c r="A5118" s="48" t="s">
        <v>8122</v>
      </c>
      <c r="B5118" s="38">
        <v>42198.0</v>
      </c>
      <c r="C5118" s="38" t="s">
        <v>8123</v>
      </c>
      <c r="D5118" s="38" t="str">
        <f>IFERROR(__xludf.DUMMYFUNCTION("REGEXREPLACE(C5118,""-\d+(.*)|--\d+(.*)"","""")"),"SAINT-ALBAN-LES-EAUX")</f>
        <v>SAINT-ALBAN-LES-EAUX</v>
      </c>
      <c r="E5118" s="38" t="s">
        <v>166</v>
      </c>
      <c r="F5118" s="38" t="s">
        <v>102</v>
      </c>
      <c r="G5118" s="49" t="str">
        <f t="shared" si="1"/>
        <v>42370</v>
      </c>
      <c r="H5118" s="49">
        <f t="shared" si="2"/>
        <v>42198</v>
      </c>
    </row>
    <row r="5119">
      <c r="A5119" s="48" t="s">
        <v>1864</v>
      </c>
      <c r="B5119" s="38">
        <v>70332.0</v>
      </c>
      <c r="C5119" s="38" t="s">
        <v>8124</v>
      </c>
      <c r="D5119" s="38" t="str">
        <f>IFERROR(__xludf.DUMMYFUNCTION("REGEXREPLACE(C5119,""-\d+(.*)|--\d+(.*)"","""")"),"MARAST")</f>
        <v>MARAST</v>
      </c>
      <c r="E5119" s="38" t="s">
        <v>956</v>
      </c>
      <c r="F5119" s="38" t="s">
        <v>214</v>
      </c>
      <c r="G5119" s="49" t="str">
        <f t="shared" si="1"/>
        <v>70110</v>
      </c>
      <c r="H5119" s="49">
        <f t="shared" si="2"/>
        <v>70332</v>
      </c>
    </row>
    <row r="5120">
      <c r="A5120" s="48" t="s">
        <v>8125</v>
      </c>
      <c r="B5120" s="38">
        <v>87121.0</v>
      </c>
      <c r="C5120" s="38" t="s">
        <v>8126</v>
      </c>
      <c r="D5120" s="38" t="str">
        <f>IFERROR(__xludf.DUMMYFUNCTION("REGEXREPLACE(C5120,""-\d+(.*)|--\d+(.*)"","""")"),"RANCON")</f>
        <v>RANCON</v>
      </c>
      <c r="E5120" s="38" t="s">
        <v>897</v>
      </c>
      <c r="F5120" s="38" t="s">
        <v>98</v>
      </c>
      <c r="G5120" s="49" t="str">
        <f t="shared" si="1"/>
        <v>87290</v>
      </c>
      <c r="H5120" s="49">
        <f t="shared" si="2"/>
        <v>87121</v>
      </c>
    </row>
    <row r="5121">
      <c r="A5121" s="48" t="s">
        <v>7144</v>
      </c>
      <c r="B5121" s="38">
        <v>76676.0</v>
      </c>
      <c r="C5121" s="38" t="s">
        <v>8127</v>
      </c>
      <c r="D5121" s="38" t="str">
        <f>IFERROR(__xludf.DUMMYFUNCTION("REGEXREPLACE(C5121,""-\d+(.*)|--\d+(.*)"","""")"),"SIGY-EN-BRAY")</f>
        <v>SIGY-EN-BRAY</v>
      </c>
      <c r="E5121" s="38" t="s">
        <v>133</v>
      </c>
      <c r="F5121" s="38" t="s">
        <v>134</v>
      </c>
      <c r="G5121" s="49" t="str">
        <f t="shared" si="1"/>
        <v>76780</v>
      </c>
      <c r="H5121" s="49">
        <f t="shared" si="2"/>
        <v>76676</v>
      </c>
    </row>
    <row r="5122">
      <c r="A5122" s="48" t="s">
        <v>3508</v>
      </c>
      <c r="B5122" s="38">
        <v>51469.0</v>
      </c>
      <c r="C5122" s="38" t="s">
        <v>8128</v>
      </c>
      <c r="D5122" s="38" t="str">
        <f>IFERROR(__xludf.DUMMYFUNCTION("REGEXREPLACE(C5122,""-\d+(.*)|--\d+(.*)"","""")"),"ROUFFY")</f>
        <v>ROUFFY</v>
      </c>
      <c r="E5122" s="38" t="s">
        <v>129</v>
      </c>
      <c r="F5122" s="38" t="s">
        <v>130</v>
      </c>
      <c r="G5122" s="49" t="str">
        <f t="shared" si="1"/>
        <v>51130</v>
      </c>
      <c r="H5122" s="49">
        <f t="shared" si="2"/>
        <v>51469</v>
      </c>
    </row>
    <row r="5123">
      <c r="A5123" s="48" t="s">
        <v>8129</v>
      </c>
      <c r="B5123" s="38">
        <v>70469.0</v>
      </c>
      <c r="C5123" s="38" t="s">
        <v>8130</v>
      </c>
      <c r="D5123" s="38" t="str">
        <f>IFERROR(__xludf.DUMMYFUNCTION("REGEXREPLACE(C5123,""-\d+(.*)|--\d+(.*)"","""")"),"SAINTE-MARIE-EN-CHANOIS")</f>
        <v>SAINTE-MARIE-EN-CHANOIS</v>
      </c>
      <c r="E5123" s="38" t="s">
        <v>956</v>
      </c>
      <c r="F5123" s="38" t="s">
        <v>214</v>
      </c>
      <c r="G5123" s="49" t="str">
        <f t="shared" si="1"/>
        <v>70310</v>
      </c>
      <c r="H5123" s="49">
        <f t="shared" si="2"/>
        <v>70469</v>
      </c>
    </row>
    <row r="5124">
      <c r="A5124" s="48" t="s">
        <v>4834</v>
      </c>
      <c r="B5124" s="38">
        <v>27591.0</v>
      </c>
      <c r="C5124" s="38" t="s">
        <v>8131</v>
      </c>
      <c r="D5124" s="38" t="str">
        <f>IFERROR(__xludf.DUMMYFUNCTION("REGEXREPLACE(C5124,""-\d+(.*)|--\d+(.*)"","""")"),"SAINT-PIERRE-DE-CORMEILLES")</f>
        <v>SAINT-PIERRE-DE-CORMEILLES</v>
      </c>
      <c r="E5124" s="38" t="s">
        <v>241</v>
      </c>
      <c r="F5124" s="38" t="s">
        <v>134</v>
      </c>
      <c r="G5124" s="49" t="str">
        <f t="shared" si="1"/>
        <v>27260</v>
      </c>
      <c r="H5124" s="49">
        <f t="shared" si="2"/>
        <v>27591</v>
      </c>
    </row>
    <row r="5125">
      <c r="A5125" s="48" t="s">
        <v>5601</v>
      </c>
      <c r="B5125" s="38">
        <v>71200.0</v>
      </c>
      <c r="C5125" s="38" t="s">
        <v>8132</v>
      </c>
      <c r="D5125" s="38" t="str">
        <f>IFERROR(__xludf.DUMMYFUNCTION("REGEXREPLACE(C5125,""-\d+(.*)|--\d+(.*)"","""")"),"FLEURY-LA-MONTAGNE")</f>
        <v>FLEURY-LA-MONTAGNE</v>
      </c>
      <c r="E5125" s="38" t="s">
        <v>344</v>
      </c>
      <c r="F5125" s="38" t="s">
        <v>106</v>
      </c>
      <c r="G5125" s="49" t="str">
        <f t="shared" si="1"/>
        <v>71340</v>
      </c>
      <c r="H5125" s="49">
        <f t="shared" si="2"/>
        <v>71200</v>
      </c>
    </row>
    <row r="5126">
      <c r="A5126" s="48" t="s">
        <v>5513</v>
      </c>
      <c r="B5126" s="38">
        <v>57478.0</v>
      </c>
      <c r="C5126" s="38" t="s">
        <v>8133</v>
      </c>
      <c r="D5126" s="38" t="str">
        <f>IFERROR(__xludf.DUMMYFUNCTION("REGEXREPLACE(C5126,""-\d+(.*)|--\d+(.*)"","""")"),"MONTDIDIER")</f>
        <v>MONTDIDIER</v>
      </c>
      <c r="E5126" s="38" t="s">
        <v>303</v>
      </c>
      <c r="F5126" s="38" t="s">
        <v>195</v>
      </c>
      <c r="G5126" s="49" t="str">
        <f t="shared" si="1"/>
        <v>57670</v>
      </c>
      <c r="H5126" s="49">
        <f t="shared" si="2"/>
        <v>57478</v>
      </c>
    </row>
    <row r="5127">
      <c r="A5127" s="48" t="s">
        <v>8134</v>
      </c>
      <c r="B5127" s="38">
        <v>47179.0</v>
      </c>
      <c r="C5127" s="38" t="s">
        <v>8135</v>
      </c>
      <c r="D5127" s="38" t="str">
        <f>IFERROR(__xludf.DUMMYFUNCTION("REGEXREPLACE(C5127,""-\d+(.*)|--\d+(.*)"","""")"),"MONSEMPRON-LIBOS")</f>
        <v>MONSEMPRON-LIBOS</v>
      </c>
      <c r="E5127" s="38" t="s">
        <v>251</v>
      </c>
      <c r="F5127" s="38" t="s">
        <v>252</v>
      </c>
      <c r="G5127" s="49" t="str">
        <f t="shared" si="1"/>
        <v>47500</v>
      </c>
      <c r="H5127" s="49">
        <f t="shared" si="2"/>
        <v>47179</v>
      </c>
    </row>
    <row r="5128">
      <c r="A5128" s="48" t="s">
        <v>4283</v>
      </c>
      <c r="B5128" s="38">
        <v>7243.0</v>
      </c>
      <c r="C5128" s="38" t="s">
        <v>8136</v>
      </c>
      <c r="D5128" s="38" t="str">
        <f>IFERROR(__xludf.DUMMYFUNCTION("REGEXREPLACE(C5128,""-\d+(.*)|--\d+(.*)"","""")"),"SAINT-JACQUES-D'ATTICIEUX")</f>
        <v>SAINT-JACQUES-D'ATTICIEUX</v>
      </c>
      <c r="E5128" s="38" t="s">
        <v>144</v>
      </c>
      <c r="F5128" s="38" t="s">
        <v>102</v>
      </c>
      <c r="G5128" s="49" t="str">
        <f t="shared" si="1"/>
        <v>07340</v>
      </c>
      <c r="H5128" s="49" t="str">
        <f t="shared" si="2"/>
        <v>07243</v>
      </c>
    </row>
    <row r="5129">
      <c r="A5129" s="48" t="s">
        <v>8137</v>
      </c>
      <c r="B5129" s="38">
        <v>62318.0</v>
      </c>
      <c r="C5129" s="38" t="s">
        <v>8138</v>
      </c>
      <c r="D5129" s="38" t="str">
        <f>IFERROR(__xludf.DUMMYFUNCTION("REGEXREPLACE(C5129,""-\d+(.*)|--\d+(.*)"","""")"),"ETAPLES")</f>
        <v>ETAPLES</v>
      </c>
      <c r="E5129" s="38" t="s">
        <v>109</v>
      </c>
      <c r="F5129" s="38" t="s">
        <v>86</v>
      </c>
      <c r="G5129" s="49" t="str">
        <f t="shared" si="1"/>
        <v>62630</v>
      </c>
      <c r="H5129" s="49">
        <f t="shared" si="2"/>
        <v>62318</v>
      </c>
    </row>
    <row r="5130">
      <c r="A5130" s="48" t="s">
        <v>2274</v>
      </c>
      <c r="B5130" s="38">
        <v>48008.0</v>
      </c>
      <c r="C5130" s="38" t="s">
        <v>8139</v>
      </c>
      <c r="D5130" s="38" t="str">
        <f>IFERROR(__xludf.DUMMYFUNCTION("REGEXREPLACE(C5130,""-\d+(.*)|--\d+(.*)"","""")"),"ARZENC-DE-RANDON")</f>
        <v>ARZENC-DE-RANDON</v>
      </c>
      <c r="E5130" s="38" t="s">
        <v>154</v>
      </c>
      <c r="F5130" s="38" t="s">
        <v>119</v>
      </c>
      <c r="G5130" s="49" t="str">
        <f t="shared" si="1"/>
        <v>48170</v>
      </c>
      <c r="H5130" s="49">
        <f t="shared" si="2"/>
        <v>48008</v>
      </c>
    </row>
    <row r="5131">
      <c r="A5131" s="48" t="s">
        <v>5631</v>
      </c>
      <c r="B5131" s="38">
        <v>76112.0</v>
      </c>
      <c r="C5131" s="38" t="s">
        <v>8140</v>
      </c>
      <c r="D5131" s="38" t="str">
        <f>IFERROR(__xludf.DUMMYFUNCTION("REGEXREPLACE(C5131,""-\d+(.*)|--\d+(.*)"","""")"),"LE BOIS-ROBERT")</f>
        <v>LE BOIS-ROBERT</v>
      </c>
      <c r="E5131" s="38" t="s">
        <v>133</v>
      </c>
      <c r="F5131" s="38" t="s">
        <v>134</v>
      </c>
      <c r="G5131" s="49" t="str">
        <f t="shared" si="1"/>
        <v>76590</v>
      </c>
      <c r="H5131" s="49">
        <f t="shared" si="2"/>
        <v>76112</v>
      </c>
    </row>
    <row r="5132">
      <c r="A5132" s="48" t="s">
        <v>2083</v>
      </c>
      <c r="B5132" s="38">
        <v>17027.0</v>
      </c>
      <c r="C5132" s="38" t="s">
        <v>8141</v>
      </c>
      <c r="D5132" s="38" t="str">
        <f>IFERROR(__xludf.DUMMYFUNCTION("REGEXREPLACE(C5132,""-\d+(.*)|--\d+(.*)"","""")"),"AVY")</f>
        <v>AVY</v>
      </c>
      <c r="E5132" s="38" t="s">
        <v>488</v>
      </c>
      <c r="F5132" s="38" t="s">
        <v>338</v>
      </c>
      <c r="G5132" s="49" t="str">
        <f t="shared" si="1"/>
        <v>17800</v>
      </c>
      <c r="H5132" s="49">
        <f t="shared" si="2"/>
        <v>17027</v>
      </c>
    </row>
    <row r="5133">
      <c r="A5133" s="48" t="s">
        <v>5687</v>
      </c>
      <c r="B5133" s="38">
        <v>3175.0</v>
      </c>
      <c r="C5133" s="38" t="s">
        <v>6221</v>
      </c>
      <c r="D5133" s="38" t="str">
        <f>IFERROR(__xludf.DUMMYFUNCTION("REGEXREPLACE(C5133,""-\d+(.*)|--\d+(.*)"","""")"),"MONESTIER")</f>
        <v>MONESTIER</v>
      </c>
      <c r="E5133" s="38" t="s">
        <v>160</v>
      </c>
      <c r="F5133" s="38" t="s">
        <v>161</v>
      </c>
      <c r="G5133" s="49" t="str">
        <f t="shared" si="1"/>
        <v>03140</v>
      </c>
      <c r="H5133" s="49" t="str">
        <f t="shared" si="2"/>
        <v>03175</v>
      </c>
    </row>
    <row r="5134">
      <c r="A5134" s="48" t="s">
        <v>5091</v>
      </c>
      <c r="B5134" s="38">
        <v>41189.0</v>
      </c>
      <c r="C5134" s="38" t="s">
        <v>8142</v>
      </c>
      <c r="D5134" s="38" t="str">
        <f>IFERROR(__xludf.DUMMYFUNCTION("REGEXREPLACE(C5134,""-\d+(.*)|--\d+(.*)"","""")"),"RILLY-SUR-LOIRE")</f>
        <v>RILLY-SUR-LOIRE</v>
      </c>
      <c r="E5134" s="38" t="s">
        <v>188</v>
      </c>
      <c r="F5134" s="38" t="s">
        <v>123</v>
      </c>
      <c r="G5134" s="49" t="str">
        <f t="shared" si="1"/>
        <v>41150</v>
      </c>
      <c r="H5134" s="49">
        <f t="shared" si="2"/>
        <v>41189</v>
      </c>
    </row>
    <row r="5135">
      <c r="A5135" s="48" t="s">
        <v>6535</v>
      </c>
      <c r="B5135" s="38">
        <v>58148.0</v>
      </c>
      <c r="C5135" s="38" t="s">
        <v>8143</v>
      </c>
      <c r="D5135" s="38" t="str">
        <f>IFERROR(__xludf.DUMMYFUNCTION("REGEXREPLACE(C5135,""-\d+(.*)|--\d+(.*)"","""")"),"LUTHENAY-UXELOUP")</f>
        <v>LUTHENAY-UXELOUP</v>
      </c>
      <c r="E5135" s="38" t="s">
        <v>219</v>
      </c>
      <c r="F5135" s="38" t="s">
        <v>106</v>
      </c>
      <c r="G5135" s="49" t="str">
        <f t="shared" si="1"/>
        <v>58240</v>
      </c>
      <c r="H5135" s="49">
        <f t="shared" si="2"/>
        <v>58148</v>
      </c>
    </row>
    <row r="5136">
      <c r="A5136" s="48" t="s">
        <v>3711</v>
      </c>
      <c r="B5136" s="38">
        <v>21604.0</v>
      </c>
      <c r="C5136" s="38" t="s">
        <v>8144</v>
      </c>
      <c r="D5136" s="38" t="str">
        <f>IFERROR(__xludf.DUMMYFUNCTION("REGEXREPLACE(C5136,""-\d+(.*)|--\d+(.*)"","""")"),"SENAILLY")</f>
        <v>SENAILLY</v>
      </c>
      <c r="E5136" s="38" t="s">
        <v>105</v>
      </c>
      <c r="F5136" s="38" t="s">
        <v>106</v>
      </c>
      <c r="G5136" s="49" t="str">
        <f t="shared" si="1"/>
        <v>21500</v>
      </c>
      <c r="H5136" s="49">
        <f t="shared" si="2"/>
        <v>21604</v>
      </c>
    </row>
    <row r="5137">
      <c r="A5137" s="48" t="s">
        <v>8145</v>
      </c>
      <c r="B5137" s="38">
        <v>9156.0</v>
      </c>
      <c r="C5137" s="38" t="s">
        <v>8146</v>
      </c>
      <c r="D5137" s="38" t="str">
        <f>IFERROR(__xludf.DUMMYFUNCTION("REGEXREPLACE(C5137,""-\d+(.*)|--\d+(.*)"","""")"),"LARNAT")</f>
        <v>LARNAT</v>
      </c>
      <c r="E5137" s="38" t="s">
        <v>238</v>
      </c>
      <c r="F5137" s="38" t="s">
        <v>94</v>
      </c>
      <c r="G5137" s="49" t="str">
        <f t="shared" si="1"/>
        <v>09310</v>
      </c>
      <c r="H5137" s="49" t="str">
        <f t="shared" si="2"/>
        <v>09156</v>
      </c>
    </row>
    <row r="5138">
      <c r="A5138" s="48" t="s">
        <v>3107</v>
      </c>
      <c r="B5138" s="38">
        <v>45329.0</v>
      </c>
      <c r="C5138" s="38" t="s">
        <v>8147</v>
      </c>
      <c r="D5138" s="38" t="str">
        <f>IFERROR(__xludf.DUMMYFUNCTION("REGEXREPLACE(C5138,""-\d+(.*)|--\d+(.*)"","""")"),"TRIGUERES")</f>
        <v>TRIGUERES</v>
      </c>
      <c r="E5138" s="38" t="s">
        <v>122</v>
      </c>
      <c r="F5138" s="38" t="s">
        <v>123</v>
      </c>
      <c r="G5138" s="49" t="str">
        <f t="shared" si="1"/>
        <v>45220</v>
      </c>
      <c r="H5138" s="49">
        <f t="shared" si="2"/>
        <v>45329</v>
      </c>
    </row>
    <row r="5139">
      <c r="A5139" s="48" t="s">
        <v>6474</v>
      </c>
      <c r="B5139" s="38">
        <v>61381.0</v>
      </c>
      <c r="C5139" s="38" t="s">
        <v>8148</v>
      </c>
      <c r="D5139" s="38" t="str">
        <f>IFERROR(__xludf.DUMMYFUNCTION("REGEXREPLACE(C5139,""-\d+(.*)|--\d+(.*)"","""")"),"SAINT-DENIS-SUR-HUISNE")</f>
        <v>SAINT-DENIS-SUR-HUISNE</v>
      </c>
      <c r="E5139" s="38" t="s">
        <v>141</v>
      </c>
      <c r="F5139" s="38" t="s">
        <v>138</v>
      </c>
      <c r="G5139" s="49" t="str">
        <f t="shared" si="1"/>
        <v>61400</v>
      </c>
      <c r="H5139" s="49">
        <f t="shared" si="2"/>
        <v>61381</v>
      </c>
    </row>
    <row r="5140">
      <c r="A5140" s="48" t="s">
        <v>8149</v>
      </c>
      <c r="B5140" s="38">
        <v>63294.0</v>
      </c>
      <c r="C5140" s="38" t="s">
        <v>8150</v>
      </c>
      <c r="D5140" s="38" t="str">
        <f>IFERROR(__xludf.DUMMYFUNCTION("REGEXREPLACE(C5140,""-\d+(.*)|--\d+(.*)"","""")"),"QUEUILLE")</f>
        <v>QUEUILLE</v>
      </c>
      <c r="E5140" s="38" t="s">
        <v>353</v>
      </c>
      <c r="F5140" s="38" t="s">
        <v>161</v>
      </c>
      <c r="G5140" s="49" t="str">
        <f t="shared" si="1"/>
        <v>63780</v>
      </c>
      <c r="H5140" s="49">
        <f t="shared" si="2"/>
        <v>63294</v>
      </c>
    </row>
    <row r="5141">
      <c r="A5141" s="48" t="s">
        <v>2156</v>
      </c>
      <c r="B5141" s="38">
        <v>26317.0</v>
      </c>
      <c r="C5141" s="38" t="s">
        <v>8151</v>
      </c>
      <c r="D5141" s="38" t="str">
        <f>IFERROR(__xludf.DUMMYFUNCTION("REGEXREPLACE(C5141,""-\d+(.*)|--\d+(.*)"","""")"),"SAINT-MAURICE-SUR-EYGUES")</f>
        <v>SAINT-MAURICE-SUR-EYGUES</v>
      </c>
      <c r="E5141" s="38" t="s">
        <v>126</v>
      </c>
      <c r="F5141" s="38" t="s">
        <v>102</v>
      </c>
      <c r="G5141" s="49" t="str">
        <f t="shared" si="1"/>
        <v>26110</v>
      </c>
      <c r="H5141" s="49">
        <f t="shared" si="2"/>
        <v>26317</v>
      </c>
    </row>
    <row r="5142">
      <c r="A5142" s="48" t="s">
        <v>2924</v>
      </c>
      <c r="B5142" s="38">
        <v>8008.0</v>
      </c>
      <c r="C5142" s="38" t="s">
        <v>8152</v>
      </c>
      <c r="D5142" s="38" t="str">
        <f>IFERROR(__xludf.DUMMYFUNCTION("REGEXREPLACE(C5142,""-\d+(.*)|--\d+(.*)"","""")"),"AMAGNE")</f>
        <v>AMAGNE</v>
      </c>
      <c r="E5142" s="38" t="s">
        <v>327</v>
      </c>
      <c r="F5142" s="38" t="s">
        <v>130</v>
      </c>
      <c r="G5142" s="49" t="str">
        <f t="shared" si="1"/>
        <v>08300</v>
      </c>
      <c r="H5142" s="49" t="str">
        <f t="shared" si="2"/>
        <v>08008</v>
      </c>
    </row>
    <row r="5143">
      <c r="A5143" s="48" t="s">
        <v>6633</v>
      </c>
      <c r="B5143" s="38">
        <v>64042.0</v>
      </c>
      <c r="C5143" s="38" t="s">
        <v>8153</v>
      </c>
      <c r="D5143" s="38" t="str">
        <f>IFERROR(__xludf.DUMMYFUNCTION("REGEXREPLACE(C5143,""-\d+(.*)|--\d+(.*)"","""")"),"ARGAGNON")</f>
        <v>ARGAGNON</v>
      </c>
      <c r="E5143" s="38" t="s">
        <v>268</v>
      </c>
      <c r="F5143" s="38" t="s">
        <v>252</v>
      </c>
      <c r="G5143" s="49" t="str">
        <f t="shared" si="1"/>
        <v>64300</v>
      </c>
      <c r="H5143" s="49">
        <f t="shared" si="2"/>
        <v>64042</v>
      </c>
    </row>
    <row r="5144">
      <c r="A5144" s="48" t="s">
        <v>8154</v>
      </c>
      <c r="B5144" s="38">
        <v>13001.0</v>
      </c>
      <c r="C5144" s="38" t="s">
        <v>8155</v>
      </c>
      <c r="D5144" s="38" t="str">
        <f>IFERROR(__xludf.DUMMYFUNCTION("REGEXREPLACE(C5144,""-\d+(.*)|--\d+(.*)"","""")"),"AIX-EN-PROVENCE")</f>
        <v>AIX-EN-PROVENCE</v>
      </c>
      <c r="E5144" s="38" t="s">
        <v>980</v>
      </c>
      <c r="F5144" s="38" t="s">
        <v>228</v>
      </c>
      <c r="G5144" s="49" t="str">
        <f t="shared" si="1"/>
        <v>13080/13090/13100/13290/13540</v>
      </c>
      <c r="H5144" s="49">
        <f t="shared" si="2"/>
        <v>13001</v>
      </c>
    </row>
    <row r="5145">
      <c r="A5145" s="48" t="s">
        <v>1713</v>
      </c>
      <c r="B5145" s="38">
        <v>36115.0</v>
      </c>
      <c r="C5145" s="38" t="s">
        <v>8156</v>
      </c>
      <c r="D5145" s="38" t="str">
        <f>IFERROR(__xludf.DUMMYFUNCTION("REGEXREPLACE(C5145,""-\d+(.*)|--\d+(.*)"","""")"),"MENETOU-SUR-NAHON")</f>
        <v>MENETOU-SUR-NAHON</v>
      </c>
      <c r="E5145" s="38" t="s">
        <v>258</v>
      </c>
      <c r="F5145" s="38" t="s">
        <v>123</v>
      </c>
      <c r="G5145" s="49" t="str">
        <f t="shared" si="1"/>
        <v>36210</v>
      </c>
      <c r="H5145" s="49">
        <f t="shared" si="2"/>
        <v>36115</v>
      </c>
    </row>
    <row r="5146">
      <c r="A5146" s="48" t="s">
        <v>3182</v>
      </c>
      <c r="B5146" s="38">
        <v>80516.0</v>
      </c>
      <c r="C5146" s="38" t="s">
        <v>8157</v>
      </c>
      <c r="D5146" s="38" t="str">
        <f>IFERROR(__xludf.DUMMYFUNCTION("REGEXREPLACE(C5146,""-\d+(.*)|--\d+(.*)"","""")"),"MARQUAIX")</f>
        <v>MARQUAIX</v>
      </c>
      <c r="E5146" s="38" t="s">
        <v>224</v>
      </c>
      <c r="F5146" s="38" t="s">
        <v>113</v>
      </c>
      <c r="G5146" s="49" t="str">
        <f t="shared" si="1"/>
        <v>80240</v>
      </c>
      <c r="H5146" s="49">
        <f t="shared" si="2"/>
        <v>80516</v>
      </c>
    </row>
    <row r="5147">
      <c r="A5147" s="48" t="s">
        <v>4328</v>
      </c>
      <c r="B5147" s="38">
        <v>70531.0</v>
      </c>
      <c r="C5147" s="38" t="s">
        <v>8158</v>
      </c>
      <c r="D5147" s="38" t="str">
        <f>IFERROR(__xludf.DUMMYFUNCTION("REGEXREPLACE(C5147,""-\d+(.*)|--\d+(.*)"","""")"),"VELLECLAIRE")</f>
        <v>VELLECLAIRE</v>
      </c>
      <c r="E5147" s="38" t="s">
        <v>956</v>
      </c>
      <c r="F5147" s="38" t="s">
        <v>214</v>
      </c>
      <c r="G5147" s="49" t="str">
        <f t="shared" si="1"/>
        <v>70700</v>
      </c>
      <c r="H5147" s="49">
        <f t="shared" si="2"/>
        <v>70531</v>
      </c>
    </row>
    <row r="5148">
      <c r="A5148" s="48" t="s">
        <v>1659</v>
      </c>
      <c r="B5148" s="38">
        <v>45271.0</v>
      </c>
      <c r="C5148" s="38" t="s">
        <v>8159</v>
      </c>
      <c r="D5148" s="38" t="str">
        <f>IFERROR(__xludf.DUMMYFUNCTION("REGEXREPLACE(C5148,""-\d+(.*)|--\d+(.*)"","""")"),"SAINT-BRISSON-SUR-LOIRE")</f>
        <v>SAINT-BRISSON-SUR-LOIRE</v>
      </c>
      <c r="E5148" s="38" t="s">
        <v>122</v>
      </c>
      <c r="F5148" s="38" t="s">
        <v>123</v>
      </c>
      <c r="G5148" s="49" t="str">
        <f t="shared" si="1"/>
        <v>45500</v>
      </c>
      <c r="H5148" s="49">
        <f t="shared" si="2"/>
        <v>45271</v>
      </c>
    </row>
    <row r="5149">
      <c r="A5149" s="48" t="s">
        <v>6483</v>
      </c>
      <c r="B5149" s="38">
        <v>58277.0</v>
      </c>
      <c r="C5149" s="38" t="s">
        <v>8160</v>
      </c>
      <c r="D5149" s="38" t="str">
        <f>IFERROR(__xludf.DUMMYFUNCTION("REGEXREPLACE(C5149,""-\d+(.*)|--\d+(.*)"","""")"),"SERMAGES")</f>
        <v>SERMAGES</v>
      </c>
      <c r="E5149" s="38" t="s">
        <v>219</v>
      </c>
      <c r="F5149" s="38" t="s">
        <v>106</v>
      </c>
      <c r="G5149" s="49" t="str">
        <f t="shared" si="1"/>
        <v>58290</v>
      </c>
      <c r="H5149" s="49">
        <f t="shared" si="2"/>
        <v>58277</v>
      </c>
    </row>
    <row r="5150">
      <c r="A5150" s="48" t="s">
        <v>2989</v>
      </c>
      <c r="B5150" s="38">
        <v>70154.0</v>
      </c>
      <c r="C5150" s="38" t="s">
        <v>8161</v>
      </c>
      <c r="D5150" s="38" t="str">
        <f>IFERROR(__xludf.DUMMYFUNCTION("REGEXREPLACE(C5150,""-\d+(.*)|--\d+(.*)"","""")"),"CIREY")</f>
        <v>CIREY</v>
      </c>
      <c r="E5150" s="38" t="s">
        <v>956</v>
      </c>
      <c r="F5150" s="38" t="s">
        <v>214</v>
      </c>
      <c r="G5150" s="49" t="str">
        <f t="shared" si="1"/>
        <v>70190</v>
      </c>
      <c r="H5150" s="49">
        <f t="shared" si="2"/>
        <v>70154</v>
      </c>
    </row>
    <row r="5151">
      <c r="A5151" s="48" t="s">
        <v>8162</v>
      </c>
      <c r="B5151" s="38">
        <v>47100.0</v>
      </c>
      <c r="C5151" s="38" t="s">
        <v>8163</v>
      </c>
      <c r="D5151" s="38" t="str">
        <f>IFERROR(__xludf.DUMMYFUNCTION("REGEXREPLACE(C5151,""-\d+(.*)|--\d+(.*)"","""")"),"FOULAYRONNES")</f>
        <v>FOULAYRONNES</v>
      </c>
      <c r="E5151" s="38" t="s">
        <v>251</v>
      </c>
      <c r="F5151" s="38" t="s">
        <v>252</v>
      </c>
      <c r="G5151" s="49" t="str">
        <f t="shared" si="1"/>
        <v>47510</v>
      </c>
      <c r="H5151" s="49">
        <f t="shared" si="2"/>
        <v>47100</v>
      </c>
    </row>
    <row r="5152">
      <c r="A5152" s="48" t="s">
        <v>5560</v>
      </c>
      <c r="B5152" s="38">
        <v>4022.0</v>
      </c>
      <c r="C5152" s="38" t="s">
        <v>8164</v>
      </c>
      <c r="D5152" s="38" t="str">
        <f>IFERROR(__xludf.DUMMYFUNCTION("REGEXREPLACE(C5152,""-\d+(.*)|--\d+(.*)"","""")"),"BARREME")</f>
        <v>BARREME</v>
      </c>
      <c r="E5152" s="38" t="s">
        <v>662</v>
      </c>
      <c r="F5152" s="38" t="s">
        <v>228</v>
      </c>
      <c r="G5152" s="49" t="str">
        <f t="shared" si="1"/>
        <v>04330</v>
      </c>
      <c r="H5152" s="49" t="str">
        <f t="shared" si="2"/>
        <v>04022</v>
      </c>
    </row>
    <row r="5153">
      <c r="A5153" s="48" t="s">
        <v>7150</v>
      </c>
      <c r="B5153" s="38">
        <v>12038.0</v>
      </c>
      <c r="C5153" s="38" t="s">
        <v>8165</v>
      </c>
      <c r="D5153" s="38" t="str">
        <f>IFERROR(__xludf.DUMMYFUNCTION("REGEXREPLACE(C5153,""-\d+(.*)|--\d+(.*)"","""")"),"BROUSSE-LE-CHATEAU")</f>
        <v>BROUSSE-LE-CHATEAU</v>
      </c>
      <c r="E5153" s="38" t="s">
        <v>465</v>
      </c>
      <c r="F5153" s="38" t="s">
        <v>94</v>
      </c>
      <c r="G5153" s="49" t="str">
        <f t="shared" si="1"/>
        <v>12480</v>
      </c>
      <c r="H5153" s="49">
        <f t="shared" si="2"/>
        <v>12038</v>
      </c>
    </row>
    <row r="5154">
      <c r="A5154" s="48" t="s">
        <v>816</v>
      </c>
      <c r="B5154" s="38">
        <v>11112.0</v>
      </c>
      <c r="C5154" s="38" t="s">
        <v>8166</v>
      </c>
      <c r="D5154" s="38" t="str">
        <f>IFERROR(__xludf.DUMMYFUNCTION("REGEXREPLACE(C5154,""-\d+(.*)|--\d+(.*)"","""")"),"CUBIERES-SUR-CINOBLE")</f>
        <v>CUBIERES-SUR-CINOBLE</v>
      </c>
      <c r="E5154" s="38" t="s">
        <v>278</v>
      </c>
      <c r="F5154" s="38" t="s">
        <v>119</v>
      </c>
      <c r="G5154" s="49" t="str">
        <f t="shared" si="1"/>
        <v>11190</v>
      </c>
      <c r="H5154" s="49">
        <f t="shared" si="2"/>
        <v>11112</v>
      </c>
    </row>
    <row r="5155">
      <c r="A5155" s="48" t="s">
        <v>8167</v>
      </c>
      <c r="B5155" s="38">
        <v>41235.0</v>
      </c>
      <c r="C5155" s="38" t="s">
        <v>8168</v>
      </c>
      <c r="D5155" s="38" t="str">
        <f>IFERROR(__xludf.DUMMYFUNCTION("REGEXREPLACE(C5155,""-\d+(.*)|--\d+(.*)"","""")"),"SARGE-SUR-BRAYE")</f>
        <v>SARGE-SUR-BRAYE</v>
      </c>
      <c r="E5155" s="38" t="s">
        <v>188</v>
      </c>
      <c r="F5155" s="38" t="s">
        <v>123</v>
      </c>
      <c r="G5155" s="49" t="str">
        <f t="shared" si="1"/>
        <v>41170</v>
      </c>
      <c r="H5155" s="49">
        <f t="shared" si="2"/>
        <v>41235</v>
      </c>
    </row>
    <row r="5156">
      <c r="A5156" s="48" t="s">
        <v>6406</v>
      </c>
      <c r="B5156" s="38">
        <v>41048.0</v>
      </c>
      <c r="C5156" s="38" t="s">
        <v>8169</v>
      </c>
      <c r="D5156" s="38" t="str">
        <f>IFERROR(__xludf.DUMMYFUNCTION("REGEXREPLACE(C5156,""-\d+(.*)|--\d+(.*)"","""")"),"CHAUVIGNY-DU-PERCHE")</f>
        <v>CHAUVIGNY-DU-PERCHE</v>
      </c>
      <c r="E5156" s="38" t="s">
        <v>188</v>
      </c>
      <c r="F5156" s="38" t="s">
        <v>123</v>
      </c>
      <c r="G5156" s="49" t="str">
        <f t="shared" si="1"/>
        <v>41270</v>
      </c>
      <c r="H5156" s="49">
        <f t="shared" si="2"/>
        <v>41048</v>
      </c>
    </row>
    <row r="5157">
      <c r="A5157" s="48" t="s">
        <v>7673</v>
      </c>
      <c r="B5157" s="38">
        <v>39286.0</v>
      </c>
      <c r="C5157" s="38" t="s">
        <v>8170</v>
      </c>
      <c r="D5157" s="38" t="str">
        <f>IFERROR(__xludf.DUMMYFUNCTION("REGEXREPLACE(C5157,""-\d+(.*)|--\d+(.*)"","""")"),"LAVANS-LES-SAINT-CLAUDE")</f>
        <v>LAVANS-LES-SAINT-CLAUDE</v>
      </c>
      <c r="E5157" s="38" t="s">
        <v>400</v>
      </c>
      <c r="F5157" s="38" t="s">
        <v>214</v>
      </c>
      <c r="G5157" s="49" t="str">
        <f t="shared" si="1"/>
        <v>39170</v>
      </c>
      <c r="H5157" s="49">
        <f t="shared" si="2"/>
        <v>39286</v>
      </c>
    </row>
    <row r="5158">
      <c r="A5158" s="48" t="s">
        <v>2960</v>
      </c>
      <c r="B5158" s="38">
        <v>86137.0</v>
      </c>
      <c r="C5158" s="38" t="s">
        <v>8171</v>
      </c>
      <c r="D5158" s="38" t="str">
        <f>IFERROR(__xludf.DUMMYFUNCTION("REGEXREPLACE(C5158,""-\d+(.*)|--\d+(.*)"","""")"),"LOUDUN")</f>
        <v>LOUDUN</v>
      </c>
      <c r="E5158" s="38" t="s">
        <v>529</v>
      </c>
      <c r="F5158" s="38" t="s">
        <v>338</v>
      </c>
      <c r="G5158" s="49" t="str">
        <f t="shared" si="1"/>
        <v>86200</v>
      </c>
      <c r="H5158" s="49">
        <f t="shared" si="2"/>
        <v>86137</v>
      </c>
    </row>
    <row r="5159">
      <c r="A5159" s="48" t="s">
        <v>304</v>
      </c>
      <c r="B5159" s="38">
        <v>73286.0</v>
      </c>
      <c r="C5159" s="38" t="s">
        <v>8172</v>
      </c>
      <c r="D5159" s="38" t="str">
        <f>IFERROR(__xludf.DUMMYFUNCTION("REGEXREPLACE(C5159,""-\d+(.*)|--\d+(.*)"","""")"),"SERRIERES-EN-CHAUTAGNE")</f>
        <v>SERRIERES-EN-CHAUTAGNE</v>
      </c>
      <c r="E5159" s="38" t="s">
        <v>306</v>
      </c>
      <c r="F5159" s="38" t="s">
        <v>102</v>
      </c>
      <c r="G5159" s="49" t="str">
        <f t="shared" si="1"/>
        <v>73310</v>
      </c>
      <c r="H5159" s="49">
        <f t="shared" si="2"/>
        <v>73286</v>
      </c>
    </row>
    <row r="5160">
      <c r="A5160" s="48" t="s">
        <v>8173</v>
      </c>
      <c r="B5160" s="38">
        <v>43182.0</v>
      </c>
      <c r="C5160" s="38" t="s">
        <v>8174</v>
      </c>
      <c r="D5160" s="38" t="str">
        <f>IFERROR(__xludf.DUMMYFUNCTION("REGEXREPLACE(C5160,""-\d+(.*)|--\d+(.*)"","""")"),"SAINT-ETIENNE-SUR-BLESLE")</f>
        <v>SAINT-ETIENNE-SUR-BLESLE</v>
      </c>
      <c r="E5160" s="38" t="s">
        <v>332</v>
      </c>
      <c r="F5160" s="38" t="s">
        <v>161</v>
      </c>
      <c r="G5160" s="49" t="str">
        <f t="shared" si="1"/>
        <v>43450</v>
      </c>
      <c r="H5160" s="49">
        <f t="shared" si="2"/>
        <v>43182</v>
      </c>
    </row>
    <row r="5161">
      <c r="A5161" s="48" t="s">
        <v>5831</v>
      </c>
      <c r="B5161" s="38">
        <v>5173.0</v>
      </c>
      <c r="C5161" s="38" t="s">
        <v>8175</v>
      </c>
      <c r="D5161" s="38" t="str">
        <f>IFERROR(__xludf.DUMMYFUNCTION("REGEXREPLACE(C5161,""-\d+(.*)|--\d+(.*)"","""")"),"UPAIX")</f>
        <v>UPAIX</v>
      </c>
      <c r="E5161" s="38" t="s">
        <v>706</v>
      </c>
      <c r="F5161" s="38" t="s">
        <v>228</v>
      </c>
      <c r="G5161" s="49" t="str">
        <f t="shared" si="1"/>
        <v>05300</v>
      </c>
      <c r="H5161" s="49" t="str">
        <f t="shared" si="2"/>
        <v>05173</v>
      </c>
    </row>
    <row r="5162">
      <c r="A5162" s="48" t="s">
        <v>1835</v>
      </c>
      <c r="B5162" s="38">
        <v>76590.0</v>
      </c>
      <c r="C5162" s="38" t="s">
        <v>8176</v>
      </c>
      <c r="D5162" s="38" t="str">
        <f>IFERROR(__xludf.DUMMYFUNCTION("REGEXREPLACE(C5162,""-\d+(.*)|--\d+(.*)"","""")"),"SAINT-JACQUES-D'ALIERMONT")</f>
        <v>SAINT-JACQUES-D'ALIERMONT</v>
      </c>
      <c r="E5162" s="38" t="s">
        <v>133</v>
      </c>
      <c r="F5162" s="38" t="s">
        <v>134</v>
      </c>
      <c r="G5162" s="49" t="str">
        <f t="shared" si="1"/>
        <v>76510</v>
      </c>
      <c r="H5162" s="49">
        <f t="shared" si="2"/>
        <v>76590</v>
      </c>
    </row>
    <row r="5163">
      <c r="A5163" s="48" t="s">
        <v>8103</v>
      </c>
      <c r="B5163" s="38">
        <v>55462.0</v>
      </c>
      <c r="C5163" s="38" t="s">
        <v>8177</v>
      </c>
      <c r="D5163" s="38" t="str">
        <f>IFERROR(__xludf.DUMMYFUNCTION("REGEXREPLACE(C5163,""-\d+(.*)|--\d+(.*)"","""")"),"SAINT-MAURICE-SOUS-LES-COTES")</f>
        <v>SAINT-MAURICE-SOUS-LES-COTES</v>
      </c>
      <c r="E5163" s="38" t="s">
        <v>322</v>
      </c>
      <c r="F5163" s="38" t="s">
        <v>195</v>
      </c>
      <c r="G5163" s="49" t="str">
        <f t="shared" si="1"/>
        <v>55210</v>
      </c>
      <c r="H5163" s="49">
        <f t="shared" si="2"/>
        <v>55462</v>
      </c>
    </row>
    <row r="5164">
      <c r="A5164" s="48" t="s">
        <v>3102</v>
      </c>
      <c r="B5164" s="38">
        <v>55212.0</v>
      </c>
      <c r="C5164" s="38" t="s">
        <v>8178</v>
      </c>
      <c r="D5164" s="38" t="str">
        <f>IFERROR(__xludf.DUMMYFUNCTION("REGEXREPLACE(C5164,""-\d+(.*)|--\d+(.*)"","""")"),"GIRAUVOISIN")</f>
        <v>GIRAUVOISIN</v>
      </c>
      <c r="E5164" s="38" t="s">
        <v>322</v>
      </c>
      <c r="F5164" s="38" t="s">
        <v>195</v>
      </c>
      <c r="G5164" s="49" t="str">
        <f t="shared" si="1"/>
        <v>55200</v>
      </c>
      <c r="H5164" s="49">
        <f t="shared" si="2"/>
        <v>55212</v>
      </c>
    </row>
    <row r="5165">
      <c r="A5165" s="48" t="s">
        <v>3711</v>
      </c>
      <c r="B5165" s="38">
        <v>21429.0</v>
      </c>
      <c r="C5165" s="38" t="s">
        <v>8179</v>
      </c>
      <c r="D5165" s="38" t="str">
        <f>IFERROR(__xludf.DUMMYFUNCTION("REGEXREPLACE(C5165,""-\d+(.*)|--\d+(.*)"","""")"),"MONTIGNY-MONTFORT")</f>
        <v>MONTIGNY-MONTFORT</v>
      </c>
      <c r="E5165" s="38" t="s">
        <v>105</v>
      </c>
      <c r="F5165" s="38" t="s">
        <v>106</v>
      </c>
      <c r="G5165" s="49" t="str">
        <f t="shared" si="1"/>
        <v>21500</v>
      </c>
      <c r="H5165" s="49">
        <f t="shared" si="2"/>
        <v>21429</v>
      </c>
    </row>
    <row r="5166">
      <c r="A5166" s="48" t="s">
        <v>4579</v>
      </c>
      <c r="B5166" s="38">
        <v>81304.0</v>
      </c>
      <c r="C5166" s="38" t="s">
        <v>8180</v>
      </c>
      <c r="D5166" s="38" t="str">
        <f>IFERROR(__xludf.DUMMYFUNCTION("REGEXREPLACE(C5166,""-\d+(.*)|--\d+(.*)"","""")"),"TREVIEN")</f>
        <v>TREVIEN</v>
      </c>
      <c r="E5166" s="38" t="s">
        <v>231</v>
      </c>
      <c r="F5166" s="38" t="s">
        <v>94</v>
      </c>
      <c r="G5166" s="49" t="str">
        <f t="shared" si="1"/>
        <v>81190</v>
      </c>
      <c r="H5166" s="49">
        <f t="shared" si="2"/>
        <v>81304</v>
      </c>
    </row>
    <row r="5167">
      <c r="A5167" s="48" t="s">
        <v>2650</v>
      </c>
      <c r="B5167" s="38">
        <v>65336.0</v>
      </c>
      <c r="C5167" s="38" t="s">
        <v>8181</v>
      </c>
      <c r="D5167" s="38" t="str">
        <f>IFERROR(__xludf.DUMMYFUNCTION("REGEXREPLACE(C5167,""-\d+(.*)|--\d+(.*)"","""")"),"ORGAN")</f>
        <v>ORGAN</v>
      </c>
      <c r="E5167" s="38" t="s">
        <v>200</v>
      </c>
      <c r="F5167" s="38" t="s">
        <v>94</v>
      </c>
      <c r="G5167" s="49" t="str">
        <f t="shared" si="1"/>
        <v>65230</v>
      </c>
      <c r="H5167" s="49">
        <f t="shared" si="2"/>
        <v>65336</v>
      </c>
    </row>
    <row r="5168">
      <c r="A5168" s="48" t="s">
        <v>7829</v>
      </c>
      <c r="B5168" s="38">
        <v>89474.0</v>
      </c>
      <c r="C5168" s="38" t="s">
        <v>8182</v>
      </c>
      <c r="D5168" s="38" t="str">
        <f>IFERROR(__xludf.DUMMYFUNCTION("REGEXREPLACE(C5168,""-\d+(.*)|--\d+(.*)"","""")"),"VILLIERS-VINEUX")</f>
        <v>VILLIERS-VINEUX</v>
      </c>
      <c r="E5168" s="38" t="s">
        <v>275</v>
      </c>
      <c r="F5168" s="38" t="s">
        <v>106</v>
      </c>
      <c r="G5168" s="49" t="str">
        <f t="shared" si="1"/>
        <v>89360</v>
      </c>
      <c r="H5168" s="49">
        <f t="shared" si="2"/>
        <v>89474</v>
      </c>
    </row>
    <row r="5169">
      <c r="A5169" s="48" t="s">
        <v>5313</v>
      </c>
      <c r="B5169" s="38">
        <v>60203.0</v>
      </c>
      <c r="C5169" s="38" t="s">
        <v>8183</v>
      </c>
      <c r="D5169" s="38" t="str">
        <f>IFERROR(__xludf.DUMMYFUNCTION("REGEXREPLACE(C5169,""-\d+(.*)|--\d+(.*)"","""")"),"DUVY")</f>
        <v>DUVY</v>
      </c>
      <c r="E5169" s="38" t="s">
        <v>112</v>
      </c>
      <c r="F5169" s="38" t="s">
        <v>113</v>
      </c>
      <c r="G5169" s="49" t="str">
        <f t="shared" si="1"/>
        <v>60800</v>
      </c>
      <c r="H5169" s="49">
        <f t="shared" si="2"/>
        <v>60203</v>
      </c>
    </row>
    <row r="5170">
      <c r="A5170" s="48" t="s">
        <v>1726</v>
      </c>
      <c r="B5170" s="38">
        <v>14092.0</v>
      </c>
      <c r="C5170" s="38" t="s">
        <v>8184</v>
      </c>
      <c r="D5170" s="38" t="str">
        <f>IFERROR(__xludf.DUMMYFUNCTION("REGEXREPLACE(C5170,""-\d+(.*)|--\d+(.*)"","""")"),"BOURGUEBUS")</f>
        <v>BOURGUEBUS</v>
      </c>
      <c r="E5170" s="38" t="s">
        <v>137</v>
      </c>
      <c r="F5170" s="38" t="s">
        <v>138</v>
      </c>
      <c r="G5170" s="49" t="str">
        <f t="shared" si="1"/>
        <v>14540</v>
      </c>
      <c r="H5170" s="49">
        <f t="shared" si="2"/>
        <v>14092</v>
      </c>
    </row>
    <row r="5171">
      <c r="A5171" s="48" t="s">
        <v>1918</v>
      </c>
      <c r="B5171" s="38">
        <v>10276.0</v>
      </c>
      <c r="C5171" s="38" t="s">
        <v>8185</v>
      </c>
      <c r="D5171" s="38" t="str">
        <f>IFERROR(__xludf.DUMMYFUNCTION("REGEXREPLACE(C5171,""-\d+(.*)|--\d+(.*)"","""")"),"PAISY-COSDON")</f>
        <v>PAISY-COSDON</v>
      </c>
      <c r="E5171" s="38" t="s">
        <v>147</v>
      </c>
      <c r="F5171" s="38" t="s">
        <v>130</v>
      </c>
      <c r="G5171" s="49" t="str">
        <f t="shared" si="1"/>
        <v>10160</v>
      </c>
      <c r="H5171" s="49">
        <f t="shared" si="2"/>
        <v>10276</v>
      </c>
    </row>
    <row r="5172">
      <c r="A5172" s="48" t="s">
        <v>206</v>
      </c>
      <c r="B5172" s="38">
        <v>10320.0</v>
      </c>
      <c r="C5172" s="38" t="s">
        <v>8186</v>
      </c>
      <c r="D5172" s="38" t="str">
        <f>IFERROR(__xludf.DUMMYFUNCTION("REGEXREPLACE(C5172,""-\d+(.*)|--\d+(.*)"","""")"),"RILLY-SAINTE-SYRE")</f>
        <v>RILLY-SAINTE-SYRE</v>
      </c>
      <c r="E5172" s="38" t="s">
        <v>147</v>
      </c>
      <c r="F5172" s="38" t="s">
        <v>130</v>
      </c>
      <c r="G5172" s="49" t="str">
        <f t="shared" si="1"/>
        <v>10280</v>
      </c>
      <c r="H5172" s="49">
        <f t="shared" si="2"/>
        <v>10320</v>
      </c>
    </row>
    <row r="5173">
      <c r="A5173" s="48" t="s">
        <v>1469</v>
      </c>
      <c r="B5173" s="38">
        <v>71122.0</v>
      </c>
      <c r="C5173" s="38" t="s">
        <v>8187</v>
      </c>
      <c r="D5173" s="38" t="str">
        <f>IFERROR(__xludf.DUMMYFUNCTION("REGEXREPLACE(C5173,""-\d+(.*)|--\d+(.*)"","""")"),"CHEILLY-LES-MARANGES")</f>
        <v>CHEILLY-LES-MARANGES</v>
      </c>
      <c r="E5173" s="38" t="s">
        <v>344</v>
      </c>
      <c r="F5173" s="38" t="s">
        <v>106</v>
      </c>
      <c r="G5173" s="49" t="str">
        <f t="shared" si="1"/>
        <v>71150</v>
      </c>
      <c r="H5173" s="49">
        <f t="shared" si="2"/>
        <v>71122</v>
      </c>
    </row>
    <row r="5174">
      <c r="A5174" s="48" t="s">
        <v>2540</v>
      </c>
      <c r="B5174" s="38">
        <v>2524.0</v>
      </c>
      <c r="C5174" s="38" t="s">
        <v>8188</v>
      </c>
      <c r="D5174" s="38" t="str">
        <f>IFERROR(__xludf.DUMMYFUNCTION("REGEXREPLACE(C5174,""-\d+(.*)|--\d+(.*)"","""")"),"MONT-SAINT-PERE")</f>
        <v>MONT-SAINT-PERE</v>
      </c>
      <c r="E5174" s="38" t="s">
        <v>191</v>
      </c>
      <c r="F5174" s="38" t="s">
        <v>113</v>
      </c>
      <c r="G5174" s="49" t="str">
        <f t="shared" si="1"/>
        <v>02400</v>
      </c>
      <c r="H5174" s="49" t="str">
        <f t="shared" si="2"/>
        <v>02524</v>
      </c>
    </row>
    <row r="5175">
      <c r="A5175" s="48" t="s">
        <v>505</v>
      </c>
      <c r="B5175" s="38">
        <v>12227.0</v>
      </c>
      <c r="C5175" s="38" t="s">
        <v>8189</v>
      </c>
      <c r="D5175" s="38" t="str">
        <f>IFERROR(__xludf.DUMMYFUNCTION("REGEXREPLACE(C5175,""-\d+(.*)|--\d+(.*)"","""")"),"SAINT-IGEST")</f>
        <v>SAINT-IGEST</v>
      </c>
      <c r="E5175" s="38" t="s">
        <v>465</v>
      </c>
      <c r="F5175" s="38" t="s">
        <v>94</v>
      </c>
      <c r="G5175" s="49" t="str">
        <f t="shared" si="1"/>
        <v>12260</v>
      </c>
      <c r="H5175" s="49">
        <f t="shared" si="2"/>
        <v>12227</v>
      </c>
    </row>
    <row r="5176">
      <c r="A5176" s="48" t="s">
        <v>1428</v>
      </c>
      <c r="B5176" s="38">
        <v>31080.0</v>
      </c>
      <c r="C5176" s="38" t="s">
        <v>8190</v>
      </c>
      <c r="D5176" s="38" t="str">
        <f>IFERROR(__xludf.DUMMYFUNCTION("REGEXREPLACE(C5176,""-\d+(.*)|--\d+(.*)"","""")"),"BOULOGNE-SUR-GESSE")</f>
        <v>BOULOGNE-SUR-GESSE</v>
      </c>
      <c r="E5176" s="38" t="s">
        <v>93</v>
      </c>
      <c r="F5176" s="38" t="s">
        <v>94</v>
      </c>
      <c r="G5176" s="49" t="str">
        <f t="shared" si="1"/>
        <v>31350</v>
      </c>
      <c r="H5176" s="49">
        <f t="shared" si="2"/>
        <v>31080</v>
      </c>
    </row>
    <row r="5177">
      <c r="A5177" s="48" t="s">
        <v>1872</v>
      </c>
      <c r="B5177" s="38">
        <v>80331.0</v>
      </c>
      <c r="C5177" s="38" t="s">
        <v>8191</v>
      </c>
      <c r="D5177" s="38" t="str">
        <f>IFERROR(__xludf.DUMMYFUNCTION("REGEXREPLACE(C5177,""-\d+(.*)|--\d+(.*)"","""")"),"FOREST-L'ABBAYE")</f>
        <v>FOREST-L'ABBAYE</v>
      </c>
      <c r="E5177" s="38" t="s">
        <v>224</v>
      </c>
      <c r="F5177" s="38" t="s">
        <v>113</v>
      </c>
      <c r="G5177" s="49" t="str">
        <f t="shared" si="1"/>
        <v>80150</v>
      </c>
      <c r="H5177" s="49">
        <f t="shared" si="2"/>
        <v>80331</v>
      </c>
    </row>
    <row r="5178">
      <c r="A5178" s="48" t="s">
        <v>844</v>
      </c>
      <c r="B5178" s="38">
        <v>72137.0</v>
      </c>
      <c r="C5178" s="38" t="s">
        <v>8192</v>
      </c>
      <c r="D5178" s="38" t="str">
        <f>IFERROR(__xludf.DUMMYFUNCTION("REGEXREPLACE(C5178,""-\d+(.*)|--\d+(.*)"","""")"),"LA FRESNAYE-SUR-CHEDOUET")</f>
        <v>LA FRESNAYE-SUR-CHEDOUET</v>
      </c>
      <c r="E5178" s="38" t="s">
        <v>521</v>
      </c>
      <c r="F5178" s="38" t="s">
        <v>180</v>
      </c>
      <c r="G5178" s="49" t="str">
        <f t="shared" si="1"/>
        <v>72600</v>
      </c>
      <c r="H5178" s="49">
        <f t="shared" si="2"/>
        <v>72137</v>
      </c>
    </row>
    <row r="5179">
      <c r="A5179" s="48" t="s">
        <v>6519</v>
      </c>
      <c r="B5179" s="38">
        <v>81243.0</v>
      </c>
      <c r="C5179" s="38" t="s">
        <v>8193</v>
      </c>
      <c r="D5179" s="38" t="str">
        <f>IFERROR(__xludf.DUMMYFUNCTION("REGEXREPLACE(C5179,""-\d+(.*)|--\d+(.*)"","""")"),"SAINT-BEAUZILE")</f>
        <v>SAINT-BEAUZILE</v>
      </c>
      <c r="E5179" s="38" t="s">
        <v>231</v>
      </c>
      <c r="F5179" s="38" t="s">
        <v>94</v>
      </c>
      <c r="G5179" s="49" t="str">
        <f t="shared" si="1"/>
        <v>81140</v>
      </c>
      <c r="H5179" s="49">
        <f t="shared" si="2"/>
        <v>81243</v>
      </c>
    </row>
    <row r="5180">
      <c r="A5180" s="48" t="s">
        <v>2989</v>
      </c>
      <c r="B5180" s="38">
        <v>70107.0</v>
      </c>
      <c r="C5180" s="38" t="s">
        <v>5387</v>
      </c>
      <c r="D5180" s="38" t="str">
        <f>IFERROR(__xludf.DUMMYFUNCTION("REGEXREPLACE(C5180,""-\d+(.*)|--\d+(.*)"","""")"),"BUSSIERES")</f>
        <v>BUSSIERES</v>
      </c>
      <c r="E5180" s="38" t="s">
        <v>956</v>
      </c>
      <c r="F5180" s="38" t="s">
        <v>214</v>
      </c>
      <c r="G5180" s="49" t="str">
        <f t="shared" si="1"/>
        <v>70190</v>
      </c>
      <c r="H5180" s="49">
        <f t="shared" si="2"/>
        <v>70107</v>
      </c>
    </row>
    <row r="5181">
      <c r="A5181" s="48" t="s">
        <v>2708</v>
      </c>
      <c r="B5181" s="38">
        <v>70269.0</v>
      </c>
      <c r="C5181" s="38" t="s">
        <v>8194</v>
      </c>
      <c r="D5181" s="38" t="str">
        <f>IFERROR(__xludf.DUMMYFUNCTION("REGEXREPLACE(C5181,""-\d+(.*)|--\d+(.*)"","""")"),"GIREFONTAINE")</f>
        <v>GIREFONTAINE</v>
      </c>
      <c r="E5181" s="38" t="s">
        <v>956</v>
      </c>
      <c r="F5181" s="38" t="s">
        <v>214</v>
      </c>
      <c r="G5181" s="49" t="str">
        <f t="shared" si="1"/>
        <v>70210</v>
      </c>
      <c r="H5181" s="49">
        <f t="shared" si="2"/>
        <v>70269</v>
      </c>
    </row>
    <row r="5182">
      <c r="A5182" s="48" t="s">
        <v>1268</v>
      </c>
      <c r="B5182" s="38">
        <v>8090.0</v>
      </c>
      <c r="C5182" s="38" t="s">
        <v>8195</v>
      </c>
      <c r="D5182" s="38" t="str">
        <f>IFERROR(__xludf.DUMMYFUNCTION("REGEXREPLACE(C5182,""-\d+(.*)|--\d+(.*)"","""")"),"CARIGNAN")</f>
        <v>CARIGNAN</v>
      </c>
      <c r="E5182" s="38" t="s">
        <v>327</v>
      </c>
      <c r="F5182" s="38" t="s">
        <v>130</v>
      </c>
      <c r="G5182" s="49" t="str">
        <f t="shared" si="1"/>
        <v>08110</v>
      </c>
      <c r="H5182" s="49" t="str">
        <f t="shared" si="2"/>
        <v>08090</v>
      </c>
    </row>
    <row r="5183">
      <c r="A5183" s="48" t="s">
        <v>8196</v>
      </c>
      <c r="B5183" s="38">
        <v>23208.0</v>
      </c>
      <c r="C5183" s="38" t="s">
        <v>8197</v>
      </c>
      <c r="D5183" s="38" t="str">
        <f>IFERROR(__xludf.DUMMYFUNCTION("REGEXREPLACE(C5183,""-\d+(.*)|--\d+(.*)"","""")"),"SAINT-LEGER-LE-GUERETOIS")</f>
        <v>SAINT-LEGER-LE-GUERETOIS</v>
      </c>
      <c r="E5183" s="38" t="s">
        <v>97</v>
      </c>
      <c r="F5183" s="38" t="s">
        <v>98</v>
      </c>
      <c r="G5183" s="49" t="str">
        <f t="shared" si="1"/>
        <v>23000</v>
      </c>
      <c r="H5183" s="49">
        <f t="shared" si="2"/>
        <v>23208</v>
      </c>
    </row>
    <row r="5184">
      <c r="A5184" s="48" t="s">
        <v>1768</v>
      </c>
      <c r="B5184" s="38">
        <v>53010.0</v>
      </c>
      <c r="C5184" s="38" t="s">
        <v>8198</v>
      </c>
      <c r="D5184" s="38" t="str">
        <f>IFERROR(__xludf.DUMMYFUNCTION("REGEXREPLACE(C5184,""-\d+(.*)|--\d+(.*)"","""")"),"ASSE-LE-BERENGER")</f>
        <v>ASSE-LE-BERENGER</v>
      </c>
      <c r="E5184" s="38" t="s">
        <v>518</v>
      </c>
      <c r="F5184" s="38" t="s">
        <v>180</v>
      </c>
      <c r="G5184" s="49" t="str">
        <f t="shared" si="1"/>
        <v>53600</v>
      </c>
      <c r="H5184" s="49">
        <f t="shared" si="2"/>
        <v>53010</v>
      </c>
    </row>
    <row r="5185">
      <c r="A5185" s="48" t="s">
        <v>8199</v>
      </c>
      <c r="B5185" s="38">
        <v>63295.0</v>
      </c>
      <c r="C5185" s="38" t="s">
        <v>8200</v>
      </c>
      <c r="D5185" s="38" t="str">
        <f>IFERROR(__xludf.DUMMYFUNCTION("REGEXREPLACE(C5185,""-\d+(.*)|--\d+(.*)"","""")"),"RANDAN")</f>
        <v>RANDAN</v>
      </c>
      <c r="E5185" s="38" t="s">
        <v>353</v>
      </c>
      <c r="F5185" s="38" t="s">
        <v>161</v>
      </c>
      <c r="G5185" s="49" t="str">
        <f t="shared" si="1"/>
        <v>63310</v>
      </c>
      <c r="H5185" s="49">
        <f t="shared" si="2"/>
        <v>63295</v>
      </c>
    </row>
    <row r="5186">
      <c r="A5186" s="48" t="s">
        <v>6129</v>
      </c>
      <c r="B5186" s="38">
        <v>67290.0</v>
      </c>
      <c r="C5186" s="38" t="s">
        <v>8201</v>
      </c>
      <c r="D5186" s="38" t="str">
        <f>IFERROR(__xludf.DUMMYFUNCTION("REGEXREPLACE(C5186,""-\d+(.*)|--\d+(.*)"","""")"),"MERKWILLER-PECHELBRONN")</f>
        <v>MERKWILLER-PECHELBRONN</v>
      </c>
      <c r="E5186" s="38" t="s">
        <v>210</v>
      </c>
      <c r="F5186" s="38" t="s">
        <v>151</v>
      </c>
      <c r="G5186" s="49" t="str">
        <f t="shared" si="1"/>
        <v>67250</v>
      </c>
      <c r="H5186" s="49">
        <f t="shared" si="2"/>
        <v>67290</v>
      </c>
    </row>
    <row r="5187">
      <c r="A5187" s="48" t="s">
        <v>8202</v>
      </c>
      <c r="B5187" s="38">
        <v>42048.0</v>
      </c>
      <c r="C5187" s="38" t="s">
        <v>8203</v>
      </c>
      <c r="D5187" s="38" t="str">
        <f>IFERROR(__xludf.DUMMYFUNCTION("REGEXREPLACE(C5187,""-\d+(.*)|--\d+(.*)"","""")"),"CHANDON")</f>
        <v>CHANDON</v>
      </c>
      <c r="E5187" s="38" t="s">
        <v>166</v>
      </c>
      <c r="F5187" s="38" t="s">
        <v>102</v>
      </c>
      <c r="G5187" s="49" t="str">
        <f t="shared" si="1"/>
        <v>42190</v>
      </c>
      <c r="H5187" s="49">
        <f t="shared" si="2"/>
        <v>42048</v>
      </c>
    </row>
    <row r="5188">
      <c r="A5188" s="48" t="s">
        <v>8204</v>
      </c>
      <c r="B5188" s="38">
        <v>78281.0</v>
      </c>
      <c r="C5188" s="38" t="s">
        <v>8205</v>
      </c>
      <c r="D5188" s="38" t="str">
        <f>IFERROR(__xludf.DUMMYFUNCTION("REGEXREPLACE(C5188,""-\d+(.*)|--\d+(.*)"","""")"),"GOUSSONVILLE")</f>
        <v>GOUSSONVILLE</v>
      </c>
      <c r="E5188" s="38" t="s">
        <v>362</v>
      </c>
      <c r="F5188" s="38" t="s">
        <v>245</v>
      </c>
      <c r="G5188" s="49" t="str">
        <f t="shared" si="1"/>
        <v>78930</v>
      </c>
      <c r="H5188" s="49">
        <f t="shared" si="2"/>
        <v>78281</v>
      </c>
    </row>
    <row r="5189">
      <c r="A5189" s="48" t="s">
        <v>2770</v>
      </c>
      <c r="B5189" s="38">
        <v>25383.0</v>
      </c>
      <c r="C5189" s="38" t="s">
        <v>8206</v>
      </c>
      <c r="D5189" s="38" t="str">
        <f>IFERROR(__xludf.DUMMYFUNCTION("REGEXREPLACE(C5189,""-\d+(.*)|--\d+(.*)"","""")"),"MONCLEY")</f>
        <v>MONCLEY</v>
      </c>
      <c r="E5189" s="38" t="s">
        <v>213</v>
      </c>
      <c r="F5189" s="38" t="s">
        <v>214</v>
      </c>
      <c r="G5189" s="49" t="str">
        <f t="shared" si="1"/>
        <v>25170</v>
      </c>
      <c r="H5189" s="49">
        <f t="shared" si="2"/>
        <v>25383</v>
      </c>
    </row>
    <row r="5190">
      <c r="A5190" s="48" t="s">
        <v>8207</v>
      </c>
      <c r="B5190" s="38">
        <v>12202.0</v>
      </c>
      <c r="C5190" s="38" t="s">
        <v>8208</v>
      </c>
      <c r="D5190" s="38" t="str">
        <f>IFERROR(__xludf.DUMMYFUNCTION("REGEXREPLACE(C5190,""-\d+(.*)|--\d+(.*)"","""")"),"RODEZ")</f>
        <v>RODEZ</v>
      </c>
      <c r="E5190" s="38" t="s">
        <v>465</v>
      </c>
      <c r="F5190" s="38" t="s">
        <v>94</v>
      </c>
      <c r="G5190" s="49" t="str">
        <f t="shared" si="1"/>
        <v>12000</v>
      </c>
      <c r="H5190" s="49">
        <f t="shared" si="2"/>
        <v>12202</v>
      </c>
    </row>
    <row r="5191">
      <c r="A5191" s="48" t="s">
        <v>2234</v>
      </c>
      <c r="B5191" s="38">
        <v>30092.0</v>
      </c>
      <c r="C5191" s="38" t="s">
        <v>8209</v>
      </c>
      <c r="D5191" s="38" t="str">
        <f>IFERROR(__xludf.DUMMYFUNCTION("REGEXREPLACE(C5191,""-\d+(.*)|--\d+(.*)"","""")"),"CONNAUX")</f>
        <v>CONNAUX</v>
      </c>
      <c r="E5191" s="38" t="s">
        <v>526</v>
      </c>
      <c r="F5191" s="38" t="s">
        <v>119</v>
      </c>
      <c r="G5191" s="49" t="str">
        <f t="shared" si="1"/>
        <v>30330</v>
      </c>
      <c r="H5191" s="49">
        <f t="shared" si="2"/>
        <v>30092</v>
      </c>
    </row>
    <row r="5192">
      <c r="A5192" s="48" t="s">
        <v>3165</v>
      </c>
      <c r="B5192" s="38">
        <v>11081.0</v>
      </c>
      <c r="C5192" s="38" t="s">
        <v>8210</v>
      </c>
      <c r="D5192" s="38" t="str">
        <f>IFERROR(__xludf.DUMMYFUNCTION("REGEXREPLACE(C5192,""-\d+(.*)|--\d+(.*)"","""")"),"CAUNES-MINERVOIS")</f>
        <v>CAUNES-MINERVOIS</v>
      </c>
      <c r="E5192" s="38" t="s">
        <v>278</v>
      </c>
      <c r="F5192" s="38" t="s">
        <v>119</v>
      </c>
      <c r="G5192" s="49" t="str">
        <f t="shared" si="1"/>
        <v>11160</v>
      </c>
      <c r="H5192" s="49">
        <f t="shared" si="2"/>
        <v>11081</v>
      </c>
    </row>
    <row r="5193">
      <c r="A5193" s="48" t="s">
        <v>8211</v>
      </c>
      <c r="B5193" s="38">
        <v>59504.0</v>
      </c>
      <c r="C5193" s="38" t="s">
        <v>8212</v>
      </c>
      <c r="D5193" s="38" t="str">
        <f>IFERROR(__xludf.DUMMYFUNCTION("REGEXREPLACE(C5193,""-\d+(.*)|--\d+(.*)"","""")"),"ROEULX")</f>
        <v>ROEULX</v>
      </c>
      <c r="E5193" s="38" t="s">
        <v>85</v>
      </c>
      <c r="F5193" s="38" t="s">
        <v>86</v>
      </c>
      <c r="G5193" s="49" t="str">
        <f t="shared" si="1"/>
        <v>59172</v>
      </c>
      <c r="H5193" s="49">
        <f t="shared" si="2"/>
        <v>59504</v>
      </c>
    </row>
    <row r="5194">
      <c r="A5194" s="48" t="s">
        <v>3467</v>
      </c>
      <c r="B5194" s="38">
        <v>72232.0</v>
      </c>
      <c r="C5194" s="38" t="s">
        <v>8213</v>
      </c>
      <c r="D5194" s="38" t="str">
        <f>IFERROR(__xludf.DUMMYFUNCTION("REGEXREPLACE(C5194,""-\d+(.*)|--\d+(.*)"","""")"),"NOTRE-DAME-DU-PE")</f>
        <v>NOTRE-DAME-DU-PE</v>
      </c>
      <c r="E5194" s="38" t="s">
        <v>521</v>
      </c>
      <c r="F5194" s="38" t="s">
        <v>180</v>
      </c>
      <c r="G5194" s="49" t="str">
        <f t="shared" si="1"/>
        <v>72300</v>
      </c>
      <c r="H5194" s="49">
        <f t="shared" si="2"/>
        <v>72232</v>
      </c>
    </row>
    <row r="5195">
      <c r="A5195" s="48" t="s">
        <v>8214</v>
      </c>
      <c r="B5195" s="38">
        <v>59440.0</v>
      </c>
      <c r="C5195" s="38" t="s">
        <v>8215</v>
      </c>
      <c r="D5195" s="38" t="str">
        <f>IFERROR(__xludf.DUMMYFUNCTION("REGEXREPLACE(C5195,""-\d+(.*)|--\d+(.*)"","""")"),"NOYELLES-SUR-SELLE")</f>
        <v>NOYELLES-SUR-SELLE</v>
      </c>
      <c r="E5195" s="38" t="s">
        <v>85</v>
      </c>
      <c r="F5195" s="38" t="s">
        <v>86</v>
      </c>
      <c r="G5195" s="49" t="str">
        <f t="shared" si="1"/>
        <v>59282</v>
      </c>
      <c r="H5195" s="49">
        <f t="shared" si="2"/>
        <v>59440</v>
      </c>
    </row>
    <row r="5196">
      <c r="A5196" s="48" t="s">
        <v>4870</v>
      </c>
      <c r="B5196" s="38">
        <v>85246.0</v>
      </c>
      <c r="C5196" s="38" t="s">
        <v>8216</v>
      </c>
      <c r="D5196" s="38" t="str">
        <f>IFERROR(__xludf.DUMMYFUNCTION("REGEXREPLACE(C5196,""-\d+(.*)|--\d+(.*)"","""")"),"SAINT-MARTIN-DES-NOYERS")</f>
        <v>SAINT-MARTIN-DES-NOYERS</v>
      </c>
      <c r="E5196" s="38" t="s">
        <v>179</v>
      </c>
      <c r="F5196" s="38" t="s">
        <v>180</v>
      </c>
      <c r="G5196" s="49" t="str">
        <f t="shared" si="1"/>
        <v>85140</v>
      </c>
      <c r="H5196" s="49">
        <f t="shared" si="2"/>
        <v>85246</v>
      </c>
    </row>
    <row r="5197">
      <c r="A5197" s="48" t="s">
        <v>1752</v>
      </c>
      <c r="B5197" s="38">
        <v>49254.0</v>
      </c>
      <c r="C5197" s="38" t="s">
        <v>8217</v>
      </c>
      <c r="D5197" s="38" t="str">
        <f>IFERROR(__xludf.DUMMYFUNCTION("REGEXREPLACE(C5197,""-\d+(.*)|--\d+(.*)"","""")"),"QUERRE")</f>
        <v>QUERRE</v>
      </c>
      <c r="E5197" s="38" t="s">
        <v>653</v>
      </c>
      <c r="F5197" s="38" t="s">
        <v>180</v>
      </c>
      <c r="G5197" s="49" t="str">
        <f t="shared" si="1"/>
        <v>49330</v>
      </c>
      <c r="H5197" s="49">
        <f t="shared" si="2"/>
        <v>49254</v>
      </c>
    </row>
    <row r="5198">
      <c r="A5198" s="48" t="s">
        <v>8218</v>
      </c>
      <c r="B5198" s="38">
        <v>80041.0</v>
      </c>
      <c r="C5198" s="38" t="s">
        <v>8219</v>
      </c>
      <c r="D5198" s="38" t="str">
        <f>IFERROR(__xludf.DUMMYFUNCTION("REGEXREPLACE(C5198,""-\d+(.*)|--\d+(.*)"","""")"),"AUMONT")</f>
        <v>AUMONT</v>
      </c>
      <c r="E5198" s="38" t="s">
        <v>224</v>
      </c>
      <c r="F5198" s="38" t="s">
        <v>113</v>
      </c>
      <c r="G5198" s="49" t="str">
        <f t="shared" si="1"/>
        <v>80640</v>
      </c>
      <c r="H5198" s="49">
        <f t="shared" si="2"/>
        <v>80041</v>
      </c>
    </row>
    <row r="5199">
      <c r="A5199" s="48" t="s">
        <v>3184</v>
      </c>
      <c r="B5199" s="38">
        <v>36129.0</v>
      </c>
      <c r="C5199" s="38" t="s">
        <v>8220</v>
      </c>
      <c r="D5199" s="38" t="str">
        <f>IFERROR(__xludf.DUMMYFUNCTION("REGEXREPLACE(C5199,""-\d+(.*)|--\d+(.*)"","""")"),"MONTIPOURET")</f>
        <v>MONTIPOURET</v>
      </c>
      <c r="E5199" s="38" t="s">
        <v>258</v>
      </c>
      <c r="F5199" s="38" t="s">
        <v>123</v>
      </c>
      <c r="G5199" s="49" t="str">
        <f t="shared" si="1"/>
        <v>36230</v>
      </c>
      <c r="H5199" s="49">
        <f t="shared" si="2"/>
        <v>36129</v>
      </c>
    </row>
    <row r="5200">
      <c r="A5200" s="48" t="s">
        <v>8221</v>
      </c>
      <c r="B5200" s="38">
        <v>32063.0</v>
      </c>
      <c r="C5200" s="38" t="s">
        <v>8222</v>
      </c>
      <c r="D5200" s="38" t="str">
        <f>IFERROR(__xludf.DUMMYFUNCTION("REGEXREPLACE(C5200,""-\d+(.*)|--\d+(.*)"","""")"),"BOUZON-GELLENAVE")</f>
        <v>BOUZON-GELLENAVE</v>
      </c>
      <c r="E5200" s="38" t="s">
        <v>440</v>
      </c>
      <c r="F5200" s="38" t="s">
        <v>94</v>
      </c>
      <c r="G5200" s="49" t="str">
        <f t="shared" si="1"/>
        <v>32290</v>
      </c>
      <c r="H5200" s="49">
        <f t="shared" si="2"/>
        <v>32063</v>
      </c>
    </row>
    <row r="5201">
      <c r="A5201" s="48" t="s">
        <v>3904</v>
      </c>
      <c r="B5201" s="38">
        <v>43254.0</v>
      </c>
      <c r="C5201" s="38" t="s">
        <v>8223</v>
      </c>
      <c r="D5201" s="38" t="str">
        <f>IFERROR(__xludf.DUMMYFUNCTION("REGEXREPLACE(C5201,""-\d+(.*)|--\d+(.*)"","""")"),"VAZEILLES-LIMANDRE")</f>
        <v>VAZEILLES-LIMANDRE</v>
      </c>
      <c r="E5201" s="38" t="s">
        <v>332</v>
      </c>
      <c r="F5201" s="38" t="s">
        <v>161</v>
      </c>
      <c r="G5201" s="49" t="str">
        <f t="shared" si="1"/>
        <v>43320</v>
      </c>
      <c r="H5201" s="49">
        <f t="shared" si="2"/>
        <v>43254</v>
      </c>
    </row>
    <row r="5202">
      <c r="A5202" s="48" t="s">
        <v>6736</v>
      </c>
      <c r="B5202" s="38">
        <v>31151.0</v>
      </c>
      <c r="C5202" s="38" t="s">
        <v>8224</v>
      </c>
      <c r="D5202" s="38" t="str">
        <f>IFERROR(__xludf.DUMMYFUNCTION("REGEXREPLACE(C5202,""-\d+(.*)|--\d+(.*)"","""")"),"CORRONSAC")</f>
        <v>CORRONSAC</v>
      </c>
      <c r="E5202" s="38" t="s">
        <v>93</v>
      </c>
      <c r="F5202" s="38" t="s">
        <v>94</v>
      </c>
      <c r="G5202" s="49" t="str">
        <f t="shared" si="1"/>
        <v>31450</v>
      </c>
      <c r="H5202" s="49">
        <f t="shared" si="2"/>
        <v>31151</v>
      </c>
    </row>
    <row r="5203">
      <c r="A5203" s="48" t="s">
        <v>6321</v>
      </c>
      <c r="B5203" s="38">
        <v>62764.0</v>
      </c>
      <c r="C5203" s="38" t="s">
        <v>8225</v>
      </c>
      <c r="D5203" s="38" t="str">
        <f>IFERROR(__xludf.DUMMYFUNCTION("REGEXREPLACE(C5203,""-\d+(.*)|--\d+(.*)"","""")"),"SAINT-NICOLAS")</f>
        <v>SAINT-NICOLAS</v>
      </c>
      <c r="E5203" s="38" t="s">
        <v>109</v>
      </c>
      <c r="F5203" s="38" t="s">
        <v>86</v>
      </c>
      <c r="G5203" s="49" t="str">
        <f t="shared" si="1"/>
        <v>62223</v>
      </c>
      <c r="H5203" s="49">
        <f t="shared" si="2"/>
        <v>62764</v>
      </c>
    </row>
    <row r="5204">
      <c r="A5204" s="48" t="s">
        <v>1790</v>
      </c>
      <c r="B5204" s="38">
        <v>67544.0</v>
      </c>
      <c r="C5204" s="38" t="s">
        <v>8226</v>
      </c>
      <c r="D5204" s="38" t="str">
        <f>IFERROR(__xludf.DUMMYFUNCTION("REGEXREPLACE(C5204,""-\d+(.*)|--\d+(.*)"","""")"),"WISSEMBOURG")</f>
        <v>WISSEMBOURG</v>
      </c>
      <c r="E5204" s="38" t="s">
        <v>210</v>
      </c>
      <c r="F5204" s="38" t="s">
        <v>151</v>
      </c>
      <c r="G5204" s="49" t="str">
        <f t="shared" si="1"/>
        <v>67160</v>
      </c>
      <c r="H5204" s="49">
        <f t="shared" si="2"/>
        <v>67544</v>
      </c>
    </row>
    <row r="5205">
      <c r="A5205" s="48" t="s">
        <v>8227</v>
      </c>
      <c r="B5205" s="38">
        <v>67006.0</v>
      </c>
      <c r="C5205" s="38" t="s">
        <v>8228</v>
      </c>
      <c r="D5205" s="38" t="str">
        <f>IFERROR(__xludf.DUMMYFUNCTION("REGEXREPLACE(C5205,""-\d+(.*)|--\d+(.*)"","""")"),"ALTENHEIM")</f>
        <v>ALTENHEIM</v>
      </c>
      <c r="E5205" s="38" t="s">
        <v>210</v>
      </c>
      <c r="F5205" s="38" t="s">
        <v>151</v>
      </c>
      <c r="G5205" s="49" t="str">
        <f t="shared" si="1"/>
        <v>67490</v>
      </c>
      <c r="H5205" s="49">
        <f t="shared" si="2"/>
        <v>67006</v>
      </c>
    </row>
    <row r="5206">
      <c r="A5206" s="48" t="s">
        <v>1628</v>
      </c>
      <c r="B5206" s="38">
        <v>70112.0</v>
      </c>
      <c r="C5206" s="38" t="s">
        <v>8229</v>
      </c>
      <c r="D5206" s="38" t="str">
        <f>IFERROR(__xludf.DUMMYFUNCTION("REGEXREPLACE(C5206,""-\d+(.*)|--\d+(.*)"","""")"),"CEMBOING")</f>
        <v>CEMBOING</v>
      </c>
      <c r="E5206" s="38" t="s">
        <v>956</v>
      </c>
      <c r="F5206" s="38" t="s">
        <v>214</v>
      </c>
      <c r="G5206" s="49" t="str">
        <f t="shared" si="1"/>
        <v>70500</v>
      </c>
      <c r="H5206" s="49">
        <f t="shared" si="2"/>
        <v>70112</v>
      </c>
    </row>
    <row r="5207">
      <c r="A5207" s="48" t="s">
        <v>5487</v>
      </c>
      <c r="B5207" s="38">
        <v>27565.0</v>
      </c>
      <c r="C5207" s="38" t="s">
        <v>8230</v>
      </c>
      <c r="D5207" s="38" t="str">
        <f>IFERROR(__xludf.DUMMYFUNCTION("REGEXREPLACE(C5207,""-\d+(.*)|--\d+(.*)"","""")"),"SAINTE-MARGUERITE-DE-L'AUTEL")</f>
        <v>SAINTE-MARGUERITE-DE-L'AUTEL</v>
      </c>
      <c r="E5207" s="38" t="s">
        <v>241</v>
      </c>
      <c r="F5207" s="38" t="s">
        <v>134</v>
      </c>
      <c r="G5207" s="49" t="str">
        <f t="shared" si="1"/>
        <v>27160</v>
      </c>
      <c r="H5207" s="49">
        <f t="shared" si="2"/>
        <v>27565</v>
      </c>
    </row>
    <row r="5208">
      <c r="A5208" s="48" t="s">
        <v>8231</v>
      </c>
      <c r="B5208" s="38">
        <v>68149.0</v>
      </c>
      <c r="C5208" s="38" t="s">
        <v>8232</v>
      </c>
      <c r="D5208" s="38" t="str">
        <f>IFERROR(__xludf.DUMMYFUNCTION("REGEXREPLACE(C5208,""-\d+(.*)|--\d+(.*)"","""")"),"HUNINGUE")</f>
        <v>HUNINGUE</v>
      </c>
      <c r="E5208" s="38" t="s">
        <v>150</v>
      </c>
      <c r="F5208" s="38" t="s">
        <v>151</v>
      </c>
      <c r="G5208" s="49" t="str">
        <f t="shared" si="1"/>
        <v>68330</v>
      </c>
      <c r="H5208" s="49">
        <f t="shared" si="2"/>
        <v>68149</v>
      </c>
    </row>
    <row r="5209">
      <c r="A5209" s="48" t="s">
        <v>2673</v>
      </c>
      <c r="B5209" s="38">
        <v>3156.0</v>
      </c>
      <c r="C5209" s="38" t="s">
        <v>8233</v>
      </c>
      <c r="D5209" s="38" t="str">
        <f>IFERROR(__xludf.DUMMYFUNCTION("REGEXREPLACE(C5209,""-\d+(.*)|--\d+(.*)"","""")"),"LUSIGNY")</f>
        <v>LUSIGNY</v>
      </c>
      <c r="E5209" s="38" t="s">
        <v>160</v>
      </c>
      <c r="F5209" s="38" t="s">
        <v>161</v>
      </c>
      <c r="G5209" s="49" t="str">
        <f t="shared" si="1"/>
        <v>03230</v>
      </c>
      <c r="H5209" s="49" t="str">
        <f t="shared" si="2"/>
        <v>03156</v>
      </c>
    </row>
    <row r="5210">
      <c r="A5210" s="48" t="s">
        <v>1252</v>
      </c>
      <c r="B5210" s="38">
        <v>72286.0</v>
      </c>
      <c r="C5210" s="38" t="s">
        <v>8234</v>
      </c>
      <c r="D5210" s="38" t="str">
        <f>IFERROR(__xludf.DUMMYFUNCTION("REGEXREPLACE(C5210,""-\d+(.*)|--\d+(.*)"","""")"),"SAINT-GERVAIS-DE-VIC")</f>
        <v>SAINT-GERVAIS-DE-VIC</v>
      </c>
      <c r="E5210" s="38" t="s">
        <v>521</v>
      </c>
      <c r="F5210" s="38" t="s">
        <v>180</v>
      </c>
      <c r="G5210" s="49" t="str">
        <f t="shared" si="1"/>
        <v>72120</v>
      </c>
      <c r="H5210" s="49">
        <f t="shared" si="2"/>
        <v>72286</v>
      </c>
    </row>
    <row r="5211">
      <c r="A5211" s="48" t="s">
        <v>8235</v>
      </c>
      <c r="B5211" s="38">
        <v>48051.0</v>
      </c>
      <c r="C5211" s="38" t="s">
        <v>8236</v>
      </c>
      <c r="D5211" s="38" t="str">
        <f>IFERROR(__xludf.DUMMYFUNCTION("REGEXREPLACE(C5211,""-\d+(.*)|--\d+(.*)"","""")"),"LE COLLET-DE-DEZE")</f>
        <v>LE COLLET-DE-DEZE</v>
      </c>
      <c r="E5211" s="38" t="s">
        <v>154</v>
      </c>
      <c r="F5211" s="38" t="s">
        <v>119</v>
      </c>
      <c r="G5211" s="49" t="str">
        <f t="shared" si="1"/>
        <v>48160</v>
      </c>
      <c r="H5211" s="49">
        <f t="shared" si="2"/>
        <v>48051</v>
      </c>
    </row>
    <row r="5212">
      <c r="A5212" s="48" t="s">
        <v>2983</v>
      </c>
      <c r="B5212" s="38">
        <v>86298.0</v>
      </c>
      <c r="C5212" s="38" t="s">
        <v>8237</v>
      </c>
      <c r="D5212" s="38" t="str">
        <f>IFERROR(__xludf.DUMMYFUNCTION("REGEXREPLACE(C5212,""-\d+(.*)|--\d+(.*)"","""")"),"VOUNEUIL-SUR-VIENNE")</f>
        <v>VOUNEUIL-SUR-VIENNE</v>
      </c>
      <c r="E5212" s="38" t="s">
        <v>529</v>
      </c>
      <c r="F5212" s="38" t="s">
        <v>338</v>
      </c>
      <c r="G5212" s="49" t="str">
        <f t="shared" si="1"/>
        <v>86210</v>
      </c>
      <c r="H5212" s="49">
        <f t="shared" si="2"/>
        <v>86298</v>
      </c>
    </row>
    <row r="5213">
      <c r="A5213" s="48" t="s">
        <v>3508</v>
      </c>
      <c r="B5213" s="38">
        <v>51630.0</v>
      </c>
      <c r="C5213" s="38" t="s">
        <v>8238</v>
      </c>
      <c r="D5213" s="38" t="str">
        <f>IFERROR(__xludf.DUMMYFUNCTION("REGEXREPLACE(C5213,""-\d+(.*)|--\d+(.*)"","""")"),"VILLERS-AUX-BOIS")</f>
        <v>VILLERS-AUX-BOIS</v>
      </c>
      <c r="E5213" s="38" t="s">
        <v>129</v>
      </c>
      <c r="F5213" s="38" t="s">
        <v>130</v>
      </c>
      <c r="G5213" s="49" t="str">
        <f t="shared" si="1"/>
        <v>51130</v>
      </c>
      <c r="H5213" s="49">
        <f t="shared" si="2"/>
        <v>51630</v>
      </c>
    </row>
    <row r="5214">
      <c r="A5214" s="48" t="s">
        <v>5953</v>
      </c>
      <c r="B5214" s="38">
        <v>76155.0</v>
      </c>
      <c r="C5214" s="38" t="s">
        <v>8239</v>
      </c>
      <c r="D5214" s="38" t="str">
        <f>IFERROR(__xludf.DUMMYFUNCTION("REGEXREPLACE(C5214,""-\d+(.*)|--\d+(.*)"","""")"),"CANEHAN")</f>
        <v>CANEHAN</v>
      </c>
      <c r="E5214" s="38" t="s">
        <v>133</v>
      </c>
      <c r="F5214" s="38" t="s">
        <v>134</v>
      </c>
      <c r="G5214" s="49" t="str">
        <f t="shared" si="1"/>
        <v>76260</v>
      </c>
      <c r="H5214" s="49">
        <f t="shared" si="2"/>
        <v>76155</v>
      </c>
    </row>
    <row r="5215">
      <c r="A5215" s="48" t="s">
        <v>715</v>
      </c>
      <c r="B5215" s="38">
        <v>88041.0</v>
      </c>
      <c r="C5215" s="38" t="s">
        <v>8240</v>
      </c>
      <c r="D5215" s="38" t="str">
        <f>IFERROR(__xludf.DUMMYFUNCTION("REGEXREPLACE(C5215,""-\d+(.*)|--\d+(.*)"","""")"),"BAZEGNEY")</f>
        <v>BAZEGNEY</v>
      </c>
      <c r="E5215" s="38" t="s">
        <v>194</v>
      </c>
      <c r="F5215" s="38" t="s">
        <v>195</v>
      </c>
      <c r="G5215" s="49" t="str">
        <f t="shared" si="1"/>
        <v>88270</v>
      </c>
      <c r="H5215" s="49">
        <f t="shared" si="2"/>
        <v>88041</v>
      </c>
    </row>
    <row r="5216">
      <c r="A5216" s="48" t="s">
        <v>8241</v>
      </c>
      <c r="B5216" s="38">
        <v>60159.0</v>
      </c>
      <c r="C5216" s="38" t="s">
        <v>8242</v>
      </c>
      <c r="D5216" s="38" t="str">
        <f>IFERROR(__xludf.DUMMYFUNCTION("REGEXREPLACE(C5216,""-\d+(.*)|--\d+(.*)"","""")"),"COMPIEGNE")</f>
        <v>COMPIEGNE</v>
      </c>
      <c r="E5216" s="38" t="s">
        <v>112</v>
      </c>
      <c r="F5216" s="38" t="s">
        <v>113</v>
      </c>
      <c r="G5216" s="49" t="str">
        <f t="shared" si="1"/>
        <v>60200</v>
      </c>
      <c r="H5216" s="49">
        <f t="shared" si="2"/>
        <v>60159</v>
      </c>
    </row>
    <row r="5217">
      <c r="A5217" s="48" t="s">
        <v>4676</v>
      </c>
      <c r="B5217" s="38">
        <v>48167.0</v>
      </c>
      <c r="C5217" s="38" t="s">
        <v>8243</v>
      </c>
      <c r="D5217" s="38" t="str">
        <f>IFERROR(__xludf.DUMMYFUNCTION("REGEXREPLACE(C5217,""-\d+(.*)|--\d+(.*)"","""")"),"SAINT-LAURENT-DE-VEYRES")</f>
        <v>SAINT-LAURENT-DE-VEYRES</v>
      </c>
      <c r="E5217" s="38" t="s">
        <v>154</v>
      </c>
      <c r="F5217" s="38" t="s">
        <v>119</v>
      </c>
      <c r="G5217" s="49" t="str">
        <f t="shared" si="1"/>
        <v>48310</v>
      </c>
      <c r="H5217" s="49">
        <f t="shared" si="2"/>
        <v>48167</v>
      </c>
    </row>
    <row r="5218">
      <c r="A5218" s="48" t="s">
        <v>5101</v>
      </c>
      <c r="B5218" s="38">
        <v>54042.0</v>
      </c>
      <c r="C5218" s="38" t="s">
        <v>8244</v>
      </c>
      <c r="D5218" s="38" t="str">
        <f>IFERROR(__xludf.DUMMYFUNCTION("REGEXREPLACE(C5218,""-\d+(.*)|--\d+(.*)"","""")"),"BAINVILLE-AUX-MIROIRS")</f>
        <v>BAINVILLE-AUX-MIROIRS</v>
      </c>
      <c r="E5218" s="38" t="s">
        <v>548</v>
      </c>
      <c r="F5218" s="38" t="s">
        <v>195</v>
      </c>
      <c r="G5218" s="49" t="str">
        <f t="shared" si="1"/>
        <v>54290</v>
      </c>
      <c r="H5218" s="49">
        <f t="shared" si="2"/>
        <v>54042</v>
      </c>
    </row>
    <row r="5219">
      <c r="A5219" s="48" t="s">
        <v>2346</v>
      </c>
      <c r="B5219" s="38">
        <v>4120.0</v>
      </c>
      <c r="C5219" s="38" t="s">
        <v>8245</v>
      </c>
      <c r="D5219" s="38" t="str">
        <f>IFERROR(__xludf.DUMMYFUNCTION("REGEXREPLACE(C5219,""-\d+(.*)|--\d+(.*)"","""")"),"MEYRONNES")</f>
        <v>MEYRONNES</v>
      </c>
      <c r="E5219" s="38" t="s">
        <v>662</v>
      </c>
      <c r="F5219" s="38" t="s">
        <v>228</v>
      </c>
      <c r="G5219" s="49" t="str">
        <f t="shared" si="1"/>
        <v>04530</v>
      </c>
      <c r="H5219" s="49" t="str">
        <f t="shared" si="2"/>
        <v>04120</v>
      </c>
    </row>
    <row r="5220">
      <c r="A5220" s="48" t="s">
        <v>438</v>
      </c>
      <c r="B5220" s="38">
        <v>32309.0</v>
      </c>
      <c r="C5220" s="38" t="s">
        <v>8246</v>
      </c>
      <c r="D5220" s="38" t="str">
        <f>IFERROR(__xludf.DUMMYFUNCTION("REGEXREPLACE(C5220,""-\d+(.*)|--\d+(.*)"","""")"),"PELLEFIGUE")</f>
        <v>PELLEFIGUE</v>
      </c>
      <c r="E5220" s="38" t="s">
        <v>440</v>
      </c>
      <c r="F5220" s="38" t="s">
        <v>94</v>
      </c>
      <c r="G5220" s="49" t="str">
        <f t="shared" si="1"/>
        <v>32420</v>
      </c>
      <c r="H5220" s="49">
        <f t="shared" si="2"/>
        <v>32309</v>
      </c>
    </row>
    <row r="5221">
      <c r="A5221" s="48" t="s">
        <v>1940</v>
      </c>
      <c r="B5221" s="38">
        <v>51010.0</v>
      </c>
      <c r="C5221" s="38" t="s">
        <v>8247</v>
      </c>
      <c r="D5221" s="38" t="str">
        <f>IFERROR(__xludf.DUMMYFUNCTION("REGEXREPLACE(C5221,""-\d+(.*)|--\d+(.*)"","""")"),"ANGLUZELLES-ET-COURCELLES")</f>
        <v>ANGLUZELLES-ET-COURCELLES</v>
      </c>
      <c r="E5221" s="38" t="s">
        <v>129</v>
      </c>
      <c r="F5221" s="38" t="s">
        <v>130</v>
      </c>
      <c r="G5221" s="49" t="str">
        <f t="shared" si="1"/>
        <v>51230</v>
      </c>
      <c r="H5221" s="49">
        <f t="shared" si="2"/>
        <v>51010</v>
      </c>
    </row>
    <row r="5222">
      <c r="A5222" s="48" t="s">
        <v>3789</v>
      </c>
      <c r="B5222" s="38">
        <v>51003.0</v>
      </c>
      <c r="C5222" s="38" t="s">
        <v>8248</v>
      </c>
      <c r="D5222" s="38" t="str">
        <f>IFERROR(__xludf.DUMMYFUNCTION("REGEXREPLACE(C5222,""-\d+(.*)|--\d+(.*)"","""")"),"AIGNY")</f>
        <v>AIGNY</v>
      </c>
      <c r="E5222" s="38" t="s">
        <v>129</v>
      </c>
      <c r="F5222" s="38" t="s">
        <v>130</v>
      </c>
      <c r="G5222" s="49" t="str">
        <f t="shared" si="1"/>
        <v>51150</v>
      </c>
      <c r="H5222" s="49">
        <f t="shared" si="2"/>
        <v>51003</v>
      </c>
    </row>
    <row r="5223">
      <c r="A5223" s="48" t="s">
        <v>616</v>
      </c>
      <c r="B5223" s="38">
        <v>89011.0</v>
      </c>
      <c r="C5223" s="38" t="s">
        <v>8249</v>
      </c>
      <c r="D5223" s="38" t="str">
        <f>IFERROR(__xludf.DUMMYFUNCTION("REGEXREPLACE(C5223,""-\d+(.*)|--\d+(.*)"","""")"),"ANNEOT")</f>
        <v>ANNEOT</v>
      </c>
      <c r="E5223" s="38" t="s">
        <v>275</v>
      </c>
      <c r="F5223" s="38" t="s">
        <v>106</v>
      </c>
      <c r="G5223" s="49" t="str">
        <f t="shared" si="1"/>
        <v>89200</v>
      </c>
      <c r="H5223" s="49">
        <f t="shared" si="2"/>
        <v>89011</v>
      </c>
    </row>
    <row r="5224">
      <c r="A5224" s="48" t="s">
        <v>8250</v>
      </c>
      <c r="B5224" s="38">
        <v>95210.0</v>
      </c>
      <c r="C5224" s="38" t="s">
        <v>8251</v>
      </c>
      <c r="D5224" s="38" t="str">
        <f>IFERROR(__xludf.DUMMYFUNCTION("REGEXREPLACE(C5224,""-\d+(.*)|--\d+(.*)"","""")"),"ENGHIEN-LES-BAINS")</f>
        <v>ENGHIEN-LES-BAINS</v>
      </c>
      <c r="E5224" s="38" t="s">
        <v>541</v>
      </c>
      <c r="F5224" s="38" t="s">
        <v>245</v>
      </c>
      <c r="G5224" s="49" t="str">
        <f t="shared" si="1"/>
        <v>95880</v>
      </c>
      <c r="H5224" s="49">
        <f t="shared" si="2"/>
        <v>95210</v>
      </c>
    </row>
    <row r="5225">
      <c r="A5225" s="48" t="s">
        <v>8252</v>
      </c>
      <c r="B5225" s="38">
        <v>60225.0</v>
      </c>
      <c r="C5225" s="38" t="s">
        <v>8253</v>
      </c>
      <c r="D5225" s="38" t="str">
        <f>IFERROR(__xludf.DUMMYFUNCTION("REGEXREPLACE(C5225,""-\d+(.*)|--\d+(.*)"","""")"),"ETOUY")</f>
        <v>ETOUY</v>
      </c>
      <c r="E5225" s="38" t="s">
        <v>112</v>
      </c>
      <c r="F5225" s="38" t="s">
        <v>113</v>
      </c>
      <c r="G5225" s="49" t="str">
        <f t="shared" si="1"/>
        <v>60600</v>
      </c>
      <c r="H5225" s="49">
        <f t="shared" si="2"/>
        <v>60225</v>
      </c>
    </row>
    <row r="5226">
      <c r="A5226" s="48" t="s">
        <v>2201</v>
      </c>
      <c r="B5226" s="38">
        <v>32355.0</v>
      </c>
      <c r="C5226" s="38" t="s">
        <v>8254</v>
      </c>
      <c r="D5226" s="38" t="str">
        <f>IFERROR(__xludf.DUMMYFUNCTION("REGEXREPLACE(C5226,""-\d+(.*)|--\d+(.*)"","""")"),"SADEILLAN")</f>
        <v>SADEILLAN</v>
      </c>
      <c r="E5226" s="38" t="s">
        <v>440</v>
      </c>
      <c r="F5226" s="38" t="s">
        <v>94</v>
      </c>
      <c r="G5226" s="49" t="str">
        <f t="shared" si="1"/>
        <v>32170</v>
      </c>
      <c r="H5226" s="49">
        <f t="shared" si="2"/>
        <v>32355</v>
      </c>
    </row>
    <row r="5227">
      <c r="A5227" s="48" t="s">
        <v>5743</v>
      </c>
      <c r="B5227" s="38">
        <v>52161.0</v>
      </c>
      <c r="C5227" s="38" t="s">
        <v>8255</v>
      </c>
      <c r="D5227" s="38" t="str">
        <f>IFERROR(__xludf.DUMMYFUNCTION("REGEXREPLACE(C5227,""-\d+(.*)|--\d+(.*)"","""")"),"DAILLECOURT")</f>
        <v>DAILLECOURT</v>
      </c>
      <c r="E5227" s="38" t="s">
        <v>234</v>
      </c>
      <c r="F5227" s="38" t="s">
        <v>130</v>
      </c>
      <c r="G5227" s="49" t="str">
        <f t="shared" si="1"/>
        <v>52240</v>
      </c>
      <c r="H5227" s="49">
        <f t="shared" si="2"/>
        <v>52161</v>
      </c>
    </row>
    <row r="5228">
      <c r="A5228" s="48" t="s">
        <v>4733</v>
      </c>
      <c r="B5228" s="38">
        <v>38053.0</v>
      </c>
      <c r="C5228" s="38" t="s">
        <v>8256</v>
      </c>
      <c r="D5228" s="38" t="str">
        <f>IFERROR(__xludf.DUMMYFUNCTION("REGEXREPLACE(C5228,""-\d+(.*)|--\d+(.*)"","""")"),"BOURGOIN-JALLIEU")</f>
        <v>BOURGOIN-JALLIEU</v>
      </c>
      <c r="E5228" s="38" t="s">
        <v>101</v>
      </c>
      <c r="F5228" s="38" t="s">
        <v>102</v>
      </c>
      <c r="G5228" s="49" t="str">
        <f t="shared" si="1"/>
        <v>38300</v>
      </c>
      <c r="H5228" s="49">
        <f t="shared" si="2"/>
        <v>38053</v>
      </c>
    </row>
    <row r="5229">
      <c r="A5229" s="48" t="s">
        <v>1585</v>
      </c>
      <c r="B5229" s="38">
        <v>12041.0</v>
      </c>
      <c r="C5229" s="38" t="s">
        <v>8257</v>
      </c>
      <c r="D5229" s="38" t="str">
        <f>IFERROR(__xludf.DUMMYFUNCTION("REGEXREPLACE(C5229,""-\d+(.*)|--\d+(.*)"","""")"),"CABANES")</f>
        <v>CABANES</v>
      </c>
      <c r="E5229" s="38" t="s">
        <v>465</v>
      </c>
      <c r="F5229" s="38" t="s">
        <v>94</v>
      </c>
      <c r="G5229" s="49" t="str">
        <f t="shared" si="1"/>
        <v>12800</v>
      </c>
      <c r="H5229" s="49">
        <f t="shared" si="2"/>
        <v>12041</v>
      </c>
    </row>
    <row r="5230">
      <c r="A5230" s="48" t="s">
        <v>3046</v>
      </c>
      <c r="B5230" s="38">
        <v>70542.0</v>
      </c>
      <c r="C5230" s="38" t="s">
        <v>8258</v>
      </c>
      <c r="D5230" s="38" t="str">
        <f>IFERROR(__xludf.DUMMYFUNCTION("REGEXREPLACE(C5230,""-\d+(.*)|--\d+(.*)"","""")"),"VENERE")</f>
        <v>VENERE</v>
      </c>
      <c r="E5230" s="38" t="s">
        <v>956</v>
      </c>
      <c r="F5230" s="38" t="s">
        <v>214</v>
      </c>
      <c r="G5230" s="49" t="str">
        <f t="shared" si="1"/>
        <v>70100</v>
      </c>
      <c r="H5230" s="49">
        <f t="shared" si="2"/>
        <v>70542</v>
      </c>
    </row>
    <row r="5231">
      <c r="A5231" s="48" t="s">
        <v>4170</v>
      </c>
      <c r="B5231" s="38">
        <v>37024.0</v>
      </c>
      <c r="C5231" s="38" t="s">
        <v>8259</v>
      </c>
      <c r="D5231" s="38" t="str">
        <f>IFERROR(__xludf.DUMMYFUNCTION("REGEXREPLACE(C5231,""-\d+(.*)|--\d+(.*)"","""")"),"BENAIS")</f>
        <v>BENAIS</v>
      </c>
      <c r="E5231" s="38" t="s">
        <v>205</v>
      </c>
      <c r="F5231" s="38" t="s">
        <v>123</v>
      </c>
      <c r="G5231" s="49" t="str">
        <f t="shared" si="1"/>
        <v>37140</v>
      </c>
      <c r="H5231" s="49">
        <f t="shared" si="2"/>
        <v>37024</v>
      </c>
    </row>
    <row r="5232">
      <c r="A5232" s="48" t="s">
        <v>1199</v>
      </c>
      <c r="B5232" s="38">
        <v>55516.0</v>
      </c>
      <c r="C5232" s="38" t="s">
        <v>8260</v>
      </c>
      <c r="D5232" s="38" t="str">
        <f>IFERROR(__xludf.DUMMYFUNCTION("REGEXREPLACE(C5232,""-\d+(.*)|--\d+(.*)"","""")"),"TREVERAY")</f>
        <v>TREVERAY</v>
      </c>
      <c r="E5232" s="38" t="s">
        <v>322</v>
      </c>
      <c r="F5232" s="38" t="s">
        <v>195</v>
      </c>
      <c r="G5232" s="49" t="str">
        <f t="shared" si="1"/>
        <v>55130</v>
      </c>
      <c r="H5232" s="49">
        <f t="shared" si="2"/>
        <v>55516</v>
      </c>
    </row>
    <row r="5233">
      <c r="A5233" s="48" t="s">
        <v>8261</v>
      </c>
      <c r="B5233" s="38">
        <v>59569.0</v>
      </c>
      <c r="C5233" s="38" t="s">
        <v>8262</v>
      </c>
      <c r="D5233" s="38" t="str">
        <f>IFERROR(__xludf.DUMMYFUNCTION("REGEXREPLACE(C5233,""-\d+(.*)|--\d+(.*)"","""")"),"SIN-LE-NOBLE")</f>
        <v>SIN-LE-NOBLE</v>
      </c>
      <c r="E5233" s="38" t="s">
        <v>85</v>
      </c>
      <c r="F5233" s="38" t="s">
        <v>86</v>
      </c>
      <c r="G5233" s="49" t="str">
        <f t="shared" si="1"/>
        <v>59450</v>
      </c>
      <c r="H5233" s="49">
        <f t="shared" si="2"/>
        <v>59569</v>
      </c>
    </row>
    <row r="5234">
      <c r="A5234" s="48" t="s">
        <v>8263</v>
      </c>
      <c r="B5234" s="38">
        <v>43143.0</v>
      </c>
      <c r="C5234" s="38" t="s">
        <v>8264</v>
      </c>
      <c r="D5234" s="38" t="str">
        <f>IFERROR(__xludf.DUMMYFUNCTION("REGEXREPLACE(C5234,""-\d+(.*)|--\d+(.*)"","""")"),"MONTUSCLAT")</f>
        <v>MONTUSCLAT</v>
      </c>
      <c r="E5234" s="38" t="s">
        <v>332</v>
      </c>
      <c r="F5234" s="38" t="s">
        <v>161</v>
      </c>
      <c r="G5234" s="49" t="str">
        <f t="shared" si="1"/>
        <v>43260</v>
      </c>
      <c r="H5234" s="49">
        <f t="shared" si="2"/>
        <v>43143</v>
      </c>
    </row>
    <row r="5235">
      <c r="A5235" s="48" t="s">
        <v>8265</v>
      </c>
      <c r="B5235" s="38">
        <v>28168.0</v>
      </c>
      <c r="C5235" s="38" t="s">
        <v>8266</v>
      </c>
      <c r="D5235" s="38" t="str">
        <f>IFERROR(__xludf.DUMMYFUNCTION("REGEXREPLACE(C5235,""-\d+(.*)|--\d+(.*)"","""")"),"GALLARDON")</f>
        <v>GALLARDON</v>
      </c>
      <c r="E5235" s="38" t="s">
        <v>300</v>
      </c>
      <c r="F5235" s="38" t="s">
        <v>123</v>
      </c>
      <c r="G5235" s="49" t="str">
        <f t="shared" si="1"/>
        <v>28320</v>
      </c>
      <c r="H5235" s="49">
        <f t="shared" si="2"/>
        <v>28168</v>
      </c>
    </row>
    <row r="5236">
      <c r="A5236" s="48" t="s">
        <v>8267</v>
      </c>
      <c r="B5236" s="38">
        <v>22063.0</v>
      </c>
      <c r="C5236" s="38" t="s">
        <v>8268</v>
      </c>
      <c r="D5236" s="38" t="str">
        <f>IFERROR(__xludf.DUMMYFUNCTION("REGEXREPLACE(C5236,""-\d+(.*)|--\d+(.*)"","""")"),"GOMMENEC'H")</f>
        <v>GOMMENEC'H</v>
      </c>
      <c r="E5236" s="38" t="s">
        <v>89</v>
      </c>
      <c r="F5236" s="38" t="s">
        <v>90</v>
      </c>
      <c r="G5236" s="49" t="str">
        <f t="shared" si="1"/>
        <v>22290</v>
      </c>
      <c r="H5236" s="49">
        <f t="shared" si="2"/>
        <v>22063</v>
      </c>
    </row>
    <row r="5237">
      <c r="A5237" s="48" t="s">
        <v>576</v>
      </c>
      <c r="B5237" s="38">
        <v>54271.0</v>
      </c>
      <c r="C5237" s="38" t="s">
        <v>8269</v>
      </c>
      <c r="D5237" s="38" t="str">
        <f>IFERROR(__xludf.DUMMYFUNCTION("REGEXREPLACE(C5237,""-\d+(.*)|--\d+(.*)"","""")"),"IGNEY")</f>
        <v>IGNEY</v>
      </c>
      <c r="E5237" s="38" t="s">
        <v>548</v>
      </c>
      <c r="F5237" s="38" t="s">
        <v>195</v>
      </c>
      <c r="G5237" s="49" t="str">
        <f t="shared" si="1"/>
        <v>54450</v>
      </c>
      <c r="H5237" s="49">
        <f t="shared" si="2"/>
        <v>54271</v>
      </c>
    </row>
    <row r="5238">
      <c r="A5238" s="48" t="s">
        <v>6298</v>
      </c>
      <c r="B5238" s="38">
        <v>26192.0</v>
      </c>
      <c r="C5238" s="38" t="s">
        <v>8270</v>
      </c>
      <c r="D5238" s="38" t="str">
        <f>IFERROR(__xludf.DUMMYFUNCTION("REGEXREPLACE(C5238,""-\d+(.*)|--\d+(.*)"","""")"),"MONTBRISON-SUR-LEZ")</f>
        <v>MONTBRISON-SUR-LEZ</v>
      </c>
      <c r="E5238" s="38" t="s">
        <v>126</v>
      </c>
      <c r="F5238" s="38" t="s">
        <v>102</v>
      </c>
      <c r="G5238" s="49" t="str">
        <f t="shared" si="1"/>
        <v>26770</v>
      </c>
      <c r="H5238" s="49">
        <f t="shared" si="2"/>
        <v>26192</v>
      </c>
    </row>
    <row r="5239">
      <c r="A5239" s="48" t="s">
        <v>3763</v>
      </c>
      <c r="B5239" s="38">
        <v>76656.0</v>
      </c>
      <c r="C5239" s="38" t="s">
        <v>8271</v>
      </c>
      <c r="D5239" s="38" t="str">
        <f>IFERROR(__xludf.DUMMYFUNCTION("REGEXREPLACE(C5239,""-\d+(.*)|--\d+(.*)"","""")"),"SAINT-VICTOR-L'ABBAYE")</f>
        <v>SAINT-VICTOR-L'ABBAYE</v>
      </c>
      <c r="E5239" s="38" t="s">
        <v>133</v>
      </c>
      <c r="F5239" s="38" t="s">
        <v>134</v>
      </c>
      <c r="G5239" s="49" t="str">
        <f t="shared" si="1"/>
        <v>76890</v>
      </c>
      <c r="H5239" s="49">
        <f t="shared" si="2"/>
        <v>76656</v>
      </c>
    </row>
    <row r="5240">
      <c r="A5240" s="48" t="s">
        <v>4832</v>
      </c>
      <c r="B5240" s="38">
        <v>18028.0</v>
      </c>
      <c r="C5240" s="38" t="s">
        <v>8272</v>
      </c>
      <c r="D5240" s="38" t="str">
        <f>IFERROR(__xludf.DUMMYFUNCTION("REGEXREPLACE(C5240,""-\d+(.*)|--\d+(.*)"","""")"),"BERRY-BOUY")</f>
        <v>BERRY-BOUY</v>
      </c>
      <c r="E5240" s="38" t="s">
        <v>504</v>
      </c>
      <c r="F5240" s="38" t="s">
        <v>123</v>
      </c>
      <c r="G5240" s="49" t="str">
        <f t="shared" si="1"/>
        <v>18500</v>
      </c>
      <c r="H5240" s="49">
        <f t="shared" si="2"/>
        <v>18028</v>
      </c>
    </row>
    <row r="5241">
      <c r="A5241" s="48" t="s">
        <v>3145</v>
      </c>
      <c r="B5241" s="38">
        <v>63241.0</v>
      </c>
      <c r="C5241" s="38" t="s">
        <v>8273</v>
      </c>
      <c r="D5241" s="38" t="str">
        <f>IFERROR(__xludf.DUMMYFUNCTION("REGEXREPLACE(C5241,""-\d+(.*)|--\d+(.*)"","""")"),"MONTPEYROUX")</f>
        <v>MONTPEYROUX</v>
      </c>
      <c r="E5241" s="38" t="s">
        <v>353</v>
      </c>
      <c r="F5241" s="38" t="s">
        <v>161</v>
      </c>
      <c r="G5241" s="49" t="str">
        <f t="shared" si="1"/>
        <v>63114</v>
      </c>
      <c r="H5241" s="49">
        <f t="shared" si="2"/>
        <v>63241</v>
      </c>
    </row>
    <row r="5242">
      <c r="A5242" s="48" t="s">
        <v>1883</v>
      </c>
      <c r="B5242" s="38">
        <v>39514.0</v>
      </c>
      <c r="C5242" s="38" t="s">
        <v>8274</v>
      </c>
      <c r="D5242" s="38" t="str">
        <f>IFERROR(__xludf.DUMMYFUNCTION("REGEXREPLACE(C5242,""-\d+(.*)|--\d+(.*)"","""")"),"SERRE-LES-MOULIERES")</f>
        <v>SERRE-LES-MOULIERES</v>
      </c>
      <c r="E5242" s="38" t="s">
        <v>400</v>
      </c>
      <c r="F5242" s="38" t="s">
        <v>214</v>
      </c>
      <c r="G5242" s="49" t="str">
        <f t="shared" si="1"/>
        <v>39700</v>
      </c>
      <c r="H5242" s="49">
        <f t="shared" si="2"/>
        <v>39514</v>
      </c>
    </row>
    <row r="5243">
      <c r="A5243" s="48" t="s">
        <v>8275</v>
      </c>
      <c r="B5243" s="38">
        <v>95229.0</v>
      </c>
      <c r="C5243" s="38" t="s">
        <v>8276</v>
      </c>
      <c r="D5243" s="38" t="str">
        <f>IFERROR(__xludf.DUMMYFUNCTION("REGEXREPLACE(C5243,""-\d+(.*)|--\d+(.*)"","""")"),"EZANVILLE")</f>
        <v>EZANVILLE</v>
      </c>
      <c r="E5243" s="38" t="s">
        <v>541</v>
      </c>
      <c r="F5243" s="38" t="s">
        <v>245</v>
      </c>
      <c r="G5243" s="49" t="str">
        <f t="shared" si="1"/>
        <v>95460</v>
      </c>
      <c r="H5243" s="49">
        <f t="shared" si="2"/>
        <v>95229</v>
      </c>
    </row>
    <row r="5244">
      <c r="A5244" s="48" t="s">
        <v>4499</v>
      </c>
      <c r="B5244" s="38">
        <v>25450.0</v>
      </c>
      <c r="C5244" s="38" t="s">
        <v>8277</v>
      </c>
      <c r="D5244" s="38" t="str">
        <f>IFERROR(__xludf.DUMMYFUNCTION("REGEXREPLACE(C5244,""-\d+(.*)|--\d+(.*)"","""")"),"PESSANS")</f>
        <v>PESSANS</v>
      </c>
      <c r="E5244" s="38" t="s">
        <v>213</v>
      </c>
      <c r="F5244" s="38" t="s">
        <v>214</v>
      </c>
      <c r="G5244" s="49" t="str">
        <f t="shared" si="1"/>
        <v>25440</v>
      </c>
      <c r="H5244" s="49">
        <f t="shared" si="2"/>
        <v>25450</v>
      </c>
    </row>
    <row r="5245">
      <c r="A5245" s="48" t="s">
        <v>1268</v>
      </c>
      <c r="B5245" s="38">
        <v>8153.0</v>
      </c>
      <c r="C5245" s="38" t="s">
        <v>8278</v>
      </c>
      <c r="D5245" s="38" t="str">
        <f>IFERROR(__xludf.DUMMYFUNCTION("REGEXREPLACE(C5245,""-\d+(.*)|--\d+(.*)"","""")"),"ESCOMBRES-ET-LE-CHESNOIS")</f>
        <v>ESCOMBRES-ET-LE-CHESNOIS</v>
      </c>
      <c r="E5245" s="38" t="s">
        <v>327</v>
      </c>
      <c r="F5245" s="38" t="s">
        <v>130</v>
      </c>
      <c r="G5245" s="49" t="str">
        <f t="shared" si="1"/>
        <v>08110</v>
      </c>
      <c r="H5245" s="49" t="str">
        <f t="shared" si="2"/>
        <v>08153</v>
      </c>
    </row>
    <row r="5246">
      <c r="A5246" s="48" t="s">
        <v>8279</v>
      </c>
      <c r="B5246" s="38">
        <v>86145.0</v>
      </c>
      <c r="C5246" s="38" t="s">
        <v>8280</v>
      </c>
      <c r="D5246" s="38" t="str">
        <f>IFERROR(__xludf.DUMMYFUNCTION("REGEXREPLACE(C5246,""-\d+(.*)|--\d+(.*)"","""")"),"MARCAY")</f>
        <v>MARCAY</v>
      </c>
      <c r="E5246" s="38" t="s">
        <v>529</v>
      </c>
      <c r="F5246" s="38" t="s">
        <v>338</v>
      </c>
      <c r="G5246" s="49" t="str">
        <f t="shared" si="1"/>
        <v>86370</v>
      </c>
      <c r="H5246" s="49">
        <f t="shared" si="2"/>
        <v>86145</v>
      </c>
    </row>
    <row r="5247">
      <c r="A5247" s="48" t="s">
        <v>8281</v>
      </c>
      <c r="B5247" s="38">
        <v>56252.0</v>
      </c>
      <c r="C5247" s="38" t="s">
        <v>8282</v>
      </c>
      <c r="D5247" s="38" t="str">
        <f>IFERROR(__xludf.DUMMYFUNCTION("REGEXREPLACE(C5247,""-\d+(.*)|--\d+(.*)"","""")"),"LE TOUR-DU-PARC")</f>
        <v>LE TOUR-DU-PARC</v>
      </c>
      <c r="E5247" s="38" t="s">
        <v>173</v>
      </c>
      <c r="F5247" s="38" t="s">
        <v>90</v>
      </c>
      <c r="G5247" s="49" t="str">
        <f t="shared" si="1"/>
        <v>56370</v>
      </c>
      <c r="H5247" s="49">
        <f t="shared" si="2"/>
        <v>56252</v>
      </c>
    </row>
    <row r="5248">
      <c r="A5248" s="48" t="s">
        <v>7655</v>
      </c>
      <c r="B5248" s="38">
        <v>37025.0</v>
      </c>
      <c r="C5248" s="38" t="s">
        <v>8283</v>
      </c>
      <c r="D5248" s="38" t="str">
        <f>IFERROR(__xludf.DUMMYFUNCTION("REGEXREPLACE(C5248,""-\d+(.*)|--\d+(.*)"","""")"),"BERTHENAY")</f>
        <v>BERTHENAY</v>
      </c>
      <c r="E5248" s="38" t="s">
        <v>205</v>
      </c>
      <c r="F5248" s="38" t="s">
        <v>123</v>
      </c>
      <c r="G5248" s="49" t="str">
        <f t="shared" si="1"/>
        <v>37510</v>
      </c>
      <c r="H5248" s="49">
        <f t="shared" si="2"/>
        <v>37025</v>
      </c>
    </row>
    <row r="5249">
      <c r="A5249" s="48" t="s">
        <v>8284</v>
      </c>
      <c r="B5249" s="38">
        <v>31248.0</v>
      </c>
      <c r="C5249" s="38" t="s">
        <v>8285</v>
      </c>
      <c r="D5249" s="38" t="str">
        <f>IFERROR(__xludf.DUMMYFUNCTION("REGEXREPLACE(C5249,""-\d+(.*)|--\d+(.*)"","""")"),"LABARTHE-SUR-LEZE")</f>
        <v>LABARTHE-SUR-LEZE</v>
      </c>
      <c r="E5249" s="38" t="s">
        <v>93</v>
      </c>
      <c r="F5249" s="38" t="s">
        <v>94</v>
      </c>
      <c r="G5249" s="49" t="str">
        <f t="shared" si="1"/>
        <v>31860</v>
      </c>
      <c r="H5249" s="49">
        <f t="shared" si="2"/>
        <v>31248</v>
      </c>
    </row>
    <row r="5250">
      <c r="A5250" s="48" t="s">
        <v>7614</v>
      </c>
      <c r="B5250" s="38">
        <v>50404.0</v>
      </c>
      <c r="C5250" s="38" t="s">
        <v>8286</v>
      </c>
      <c r="D5250" s="38" t="str">
        <f>IFERROR(__xludf.DUMMYFUNCTION("REGEXREPLACE(C5250,""-\d+(.*)|--\d+(.*)"","""")"),"PLACY-MONTAIGU")</f>
        <v>PLACY-MONTAIGU</v>
      </c>
      <c r="E5250" s="38" t="s">
        <v>157</v>
      </c>
      <c r="F5250" s="38" t="s">
        <v>138</v>
      </c>
      <c r="G5250" s="49" t="str">
        <f t="shared" si="1"/>
        <v>50160</v>
      </c>
      <c r="H5250" s="49">
        <f t="shared" si="2"/>
        <v>50404</v>
      </c>
    </row>
    <row r="5251">
      <c r="A5251" s="48" t="s">
        <v>8287</v>
      </c>
      <c r="B5251" s="38">
        <v>31433.0</v>
      </c>
      <c r="C5251" s="38" t="s">
        <v>8288</v>
      </c>
      <c r="D5251" s="38" t="str">
        <f>IFERROR(__xludf.DUMMYFUNCTION("REGEXREPLACE(C5251,""-\d+(.*)|--\d+(.*)"","""")"),"PORTET-SUR-GARONNE")</f>
        <v>PORTET-SUR-GARONNE</v>
      </c>
      <c r="E5251" s="38" t="s">
        <v>93</v>
      </c>
      <c r="F5251" s="38" t="s">
        <v>94</v>
      </c>
      <c r="G5251" s="49" t="str">
        <f t="shared" si="1"/>
        <v>31120</v>
      </c>
      <c r="H5251" s="49">
        <f t="shared" si="2"/>
        <v>31433</v>
      </c>
    </row>
    <row r="5252">
      <c r="A5252" s="48" t="s">
        <v>6890</v>
      </c>
      <c r="B5252" s="38">
        <v>51447.0</v>
      </c>
      <c r="C5252" s="38" t="s">
        <v>8289</v>
      </c>
      <c r="D5252" s="38" t="str">
        <f>IFERROR(__xludf.DUMMYFUNCTION("REGEXREPLACE(C5252,""-\d+(.*)|--\d+(.*)"","""")"),"PROSNES")</f>
        <v>PROSNES</v>
      </c>
      <c r="E5252" s="38" t="s">
        <v>129</v>
      </c>
      <c r="F5252" s="38" t="s">
        <v>130</v>
      </c>
      <c r="G5252" s="49" t="str">
        <f t="shared" si="1"/>
        <v>51400</v>
      </c>
      <c r="H5252" s="49">
        <f t="shared" si="2"/>
        <v>51447</v>
      </c>
    </row>
    <row r="5253">
      <c r="A5253" s="48" t="s">
        <v>8290</v>
      </c>
      <c r="B5253" s="38">
        <v>69221.0</v>
      </c>
      <c r="C5253" s="38" t="s">
        <v>8291</v>
      </c>
      <c r="D5253" s="38" t="str">
        <f>IFERROR(__xludf.DUMMYFUNCTION("REGEXREPLACE(C5253,""-\d+(.*)|--\d+(.*)"","""")"),"SAINT-LAURENT-DE-VAUX")</f>
        <v>SAINT-LAURENT-DE-VAUX</v>
      </c>
      <c r="E5253" s="38" t="s">
        <v>350</v>
      </c>
      <c r="F5253" s="38" t="s">
        <v>102</v>
      </c>
      <c r="G5253" s="49" t="str">
        <f t="shared" si="1"/>
        <v>69670</v>
      </c>
      <c r="H5253" s="49">
        <f t="shared" si="2"/>
        <v>69221</v>
      </c>
    </row>
    <row r="5254">
      <c r="A5254" s="48" t="s">
        <v>3702</v>
      </c>
      <c r="B5254" s="38">
        <v>77136.0</v>
      </c>
      <c r="C5254" s="38" t="s">
        <v>8292</v>
      </c>
      <c r="D5254" s="38" t="str">
        <f>IFERROR(__xludf.DUMMYFUNCTION("REGEXREPLACE(C5254,""-\d+(.*)|--\d+(.*)"","""")"),"COURQUETAINE")</f>
        <v>COURQUETAINE</v>
      </c>
      <c r="E5254" s="38" t="s">
        <v>244</v>
      </c>
      <c r="F5254" s="38" t="s">
        <v>245</v>
      </c>
      <c r="G5254" s="49" t="str">
        <f t="shared" si="1"/>
        <v>77390</v>
      </c>
      <c r="H5254" s="49">
        <f t="shared" si="2"/>
        <v>77136</v>
      </c>
    </row>
    <row r="5255">
      <c r="A5255" s="48" t="s">
        <v>8293</v>
      </c>
      <c r="B5255" s="38">
        <v>62262.0</v>
      </c>
      <c r="C5255" s="38" t="s">
        <v>8294</v>
      </c>
      <c r="D5255" s="38" t="str">
        <f>IFERROR(__xludf.DUMMYFUNCTION("REGEXREPLACE(C5255,""-\d+(.*)|--\d+(.*)"","""")"),"CUINCHY")</f>
        <v>CUINCHY</v>
      </c>
      <c r="E5255" s="38" t="s">
        <v>109</v>
      </c>
      <c r="F5255" s="38" t="s">
        <v>86</v>
      </c>
      <c r="G5255" s="49" t="str">
        <f t="shared" si="1"/>
        <v>62149</v>
      </c>
      <c r="H5255" s="49">
        <f t="shared" si="2"/>
        <v>62262</v>
      </c>
    </row>
    <row r="5256">
      <c r="A5256" s="48" t="s">
        <v>4895</v>
      </c>
      <c r="B5256" s="38">
        <v>34058.0</v>
      </c>
      <c r="C5256" s="38" t="s">
        <v>8295</v>
      </c>
      <c r="D5256" s="38" t="str">
        <f>IFERROR(__xludf.DUMMYFUNCTION("REGEXREPLACE(C5256,""-\d+(.*)|--\d+(.*)"","""")"),"CASTRIES")</f>
        <v>CASTRIES</v>
      </c>
      <c r="E5256" s="38" t="s">
        <v>118</v>
      </c>
      <c r="F5256" s="38" t="s">
        <v>119</v>
      </c>
      <c r="G5256" s="49" t="str">
        <f t="shared" si="1"/>
        <v>34160</v>
      </c>
      <c r="H5256" s="49">
        <f t="shared" si="2"/>
        <v>34058</v>
      </c>
    </row>
    <row r="5257">
      <c r="A5257" s="48" t="s">
        <v>5142</v>
      </c>
      <c r="B5257" s="38">
        <v>58306.0</v>
      </c>
      <c r="C5257" s="38" t="s">
        <v>8296</v>
      </c>
      <c r="D5257" s="38" t="str">
        <f>IFERROR(__xludf.DUMMYFUNCTION("REGEXREPLACE(C5257,""-\d+(.*)|--\d+(.*)"","""")"),"VERNEUIL")</f>
        <v>VERNEUIL</v>
      </c>
      <c r="E5257" s="38" t="s">
        <v>219</v>
      </c>
      <c r="F5257" s="38" t="s">
        <v>106</v>
      </c>
      <c r="G5257" s="49" t="str">
        <f t="shared" si="1"/>
        <v>58300</v>
      </c>
      <c r="H5257" s="49">
        <f t="shared" si="2"/>
        <v>58306</v>
      </c>
    </row>
    <row r="5258">
      <c r="A5258" s="48" t="s">
        <v>904</v>
      </c>
      <c r="B5258" s="38">
        <v>69224.0</v>
      </c>
      <c r="C5258" s="38" t="s">
        <v>8297</v>
      </c>
      <c r="D5258" s="38" t="str">
        <f>IFERROR(__xludf.DUMMYFUNCTION("REGEXREPLACE(C5258,""-\d+(.*)|--\d+(.*)"","""")"),"SAINT-MAMERT")</f>
        <v>SAINT-MAMERT</v>
      </c>
      <c r="E5258" s="38" t="s">
        <v>350</v>
      </c>
      <c r="F5258" s="38" t="s">
        <v>102</v>
      </c>
      <c r="G5258" s="49" t="str">
        <f t="shared" si="1"/>
        <v>69860</v>
      </c>
      <c r="H5258" s="49">
        <f t="shared" si="2"/>
        <v>69224</v>
      </c>
    </row>
    <row r="5259">
      <c r="A5259" s="48" t="s">
        <v>8298</v>
      </c>
      <c r="B5259" s="38">
        <v>54239.0</v>
      </c>
      <c r="C5259" s="38" t="s">
        <v>8299</v>
      </c>
      <c r="D5259" s="38" t="str">
        <f>IFERROR(__xludf.DUMMYFUNCTION("REGEXREPLACE(C5259,""-\d+(.*)|--\d+(.*)"","""")"),"GRISCOURT")</f>
        <v>GRISCOURT</v>
      </c>
      <c r="E5259" s="38" t="s">
        <v>548</v>
      </c>
      <c r="F5259" s="38" t="s">
        <v>195</v>
      </c>
      <c r="G5259" s="49" t="str">
        <f t="shared" si="1"/>
        <v>54380</v>
      </c>
      <c r="H5259" s="49">
        <f t="shared" si="2"/>
        <v>54239</v>
      </c>
    </row>
    <row r="5260">
      <c r="A5260" s="48" t="s">
        <v>8300</v>
      </c>
      <c r="B5260" s="38">
        <v>39318.0</v>
      </c>
      <c r="C5260" s="38" t="s">
        <v>8301</v>
      </c>
      <c r="D5260" s="38" t="str">
        <f>IFERROR(__xludf.DUMMYFUNCTION("REGEXREPLACE(C5260,""-\d+(.*)|--\d+(.*)"","""")"),"MARTIGNA")</f>
        <v>MARTIGNA</v>
      </c>
      <c r="E5260" s="38" t="s">
        <v>400</v>
      </c>
      <c r="F5260" s="38" t="s">
        <v>214</v>
      </c>
      <c r="G5260" s="49" t="str">
        <f t="shared" si="1"/>
        <v>39260</v>
      </c>
      <c r="H5260" s="49">
        <f t="shared" si="2"/>
        <v>39318</v>
      </c>
    </row>
    <row r="5261">
      <c r="A5261" s="48" t="s">
        <v>8302</v>
      </c>
      <c r="B5261" s="38">
        <v>66232.0</v>
      </c>
      <c r="C5261" s="38" t="s">
        <v>8303</v>
      </c>
      <c r="D5261" s="38" t="str">
        <f>IFERROR(__xludf.DUMMYFUNCTION("REGEXREPLACE(C5261,""-\d+(.*)|--\d+(.*)"","""")"),"VIRA")</f>
        <v>VIRA</v>
      </c>
      <c r="E5261" s="38" t="s">
        <v>248</v>
      </c>
      <c r="F5261" s="38" t="s">
        <v>119</v>
      </c>
      <c r="G5261" s="49" t="str">
        <f t="shared" si="1"/>
        <v>66220</v>
      </c>
      <c r="H5261" s="49">
        <f t="shared" si="2"/>
        <v>66232</v>
      </c>
    </row>
    <row r="5262">
      <c r="A5262" s="48" t="s">
        <v>1781</v>
      </c>
      <c r="B5262" s="38">
        <v>27557.0</v>
      </c>
      <c r="C5262" s="38" t="s">
        <v>8304</v>
      </c>
      <c r="D5262" s="38" t="str">
        <f>IFERROR(__xludf.DUMMYFUNCTION("REGEXREPLACE(C5262,""-\d+(.*)|--\d+(.*)"","""")"),"SAINT-LEGER-DE-ROTES")</f>
        <v>SAINT-LEGER-DE-ROTES</v>
      </c>
      <c r="E5262" s="38" t="s">
        <v>241</v>
      </c>
      <c r="F5262" s="38" t="s">
        <v>134</v>
      </c>
      <c r="G5262" s="49" t="str">
        <f t="shared" si="1"/>
        <v>27300</v>
      </c>
      <c r="H5262" s="49">
        <f t="shared" si="2"/>
        <v>27557</v>
      </c>
    </row>
    <row r="5263">
      <c r="A5263" s="48" t="s">
        <v>2888</v>
      </c>
      <c r="B5263" s="38">
        <v>2320.0</v>
      </c>
      <c r="C5263" s="38" t="s">
        <v>8305</v>
      </c>
      <c r="D5263" s="38" t="str">
        <f>IFERROR(__xludf.DUMMYFUNCTION("REGEXREPLACE(C5263,""-\d+(.*)|--\d+(.*)"","""")"),"FONTAINE-LES-CLERCS")</f>
        <v>FONTAINE-LES-CLERCS</v>
      </c>
      <c r="E5263" s="38" t="s">
        <v>191</v>
      </c>
      <c r="F5263" s="38" t="s">
        <v>113</v>
      </c>
      <c r="G5263" s="49" t="str">
        <f t="shared" si="1"/>
        <v>02680</v>
      </c>
      <c r="H5263" s="49" t="str">
        <f t="shared" si="2"/>
        <v>02320</v>
      </c>
    </row>
    <row r="5264">
      <c r="A5264" s="48" t="s">
        <v>1582</v>
      </c>
      <c r="B5264" s="38">
        <v>45086.0</v>
      </c>
      <c r="C5264" s="38" t="s">
        <v>8306</v>
      </c>
      <c r="D5264" s="38" t="str">
        <f>IFERROR(__xludf.DUMMYFUNCTION("REGEXREPLACE(C5264,""-\d+(.*)|--\d+(.*)"","""")"),"CHATILLON-LE-ROI")</f>
        <v>CHATILLON-LE-ROI</v>
      </c>
      <c r="E5264" s="38" t="s">
        <v>122</v>
      </c>
      <c r="F5264" s="38" t="s">
        <v>123</v>
      </c>
      <c r="G5264" s="49" t="str">
        <f t="shared" si="1"/>
        <v>45480</v>
      </c>
      <c r="H5264" s="49">
        <f t="shared" si="2"/>
        <v>45086</v>
      </c>
    </row>
    <row r="5265">
      <c r="A5265" s="48" t="s">
        <v>2340</v>
      </c>
      <c r="B5265" s="38">
        <v>21592.0</v>
      </c>
      <c r="C5265" s="38" t="s">
        <v>8307</v>
      </c>
      <c r="D5265" s="38" t="str">
        <f>IFERROR(__xludf.DUMMYFUNCTION("REGEXREPLACE(C5265,""-\d+(.*)|--\d+(.*)"","""")"),"SAVIGNY-SOUS-MALAIN")</f>
        <v>SAVIGNY-SOUS-MALAIN</v>
      </c>
      <c r="E5265" s="38" t="s">
        <v>105</v>
      </c>
      <c r="F5265" s="38" t="s">
        <v>106</v>
      </c>
      <c r="G5265" s="49" t="str">
        <f t="shared" si="1"/>
        <v>21540</v>
      </c>
      <c r="H5265" s="49">
        <f t="shared" si="2"/>
        <v>21592</v>
      </c>
    </row>
    <row r="5266">
      <c r="A5266" s="48" t="s">
        <v>7786</v>
      </c>
      <c r="B5266" s="38">
        <v>8371.0</v>
      </c>
      <c r="C5266" s="38" t="s">
        <v>8308</v>
      </c>
      <c r="D5266" s="38" t="str">
        <f>IFERROR(__xludf.DUMMYFUNCTION("REGEXREPLACE(C5266,""-\d+(.*)|--\d+(.*)"","""")"),"RUBECOURT-ET-LAMECOURT")</f>
        <v>RUBECOURT-ET-LAMECOURT</v>
      </c>
      <c r="E5266" s="38" t="s">
        <v>327</v>
      </c>
      <c r="F5266" s="38" t="s">
        <v>130</v>
      </c>
      <c r="G5266" s="49" t="str">
        <f t="shared" si="1"/>
        <v>08140</v>
      </c>
      <c r="H5266" s="49" t="str">
        <f t="shared" si="2"/>
        <v>08371</v>
      </c>
    </row>
    <row r="5267">
      <c r="A5267" s="48" t="s">
        <v>5137</v>
      </c>
      <c r="B5267" s="38">
        <v>53170.0</v>
      </c>
      <c r="C5267" s="38" t="s">
        <v>8309</v>
      </c>
      <c r="D5267" s="38" t="str">
        <f>IFERROR(__xludf.DUMMYFUNCTION("REGEXREPLACE(C5267,""-\d+(.*)|--\d+(.*)"","""")"),"OISSEAU")</f>
        <v>OISSEAU</v>
      </c>
      <c r="E5267" s="38" t="s">
        <v>518</v>
      </c>
      <c r="F5267" s="38" t="s">
        <v>180</v>
      </c>
      <c r="G5267" s="49" t="str">
        <f t="shared" si="1"/>
        <v>53300</v>
      </c>
      <c r="H5267" s="49">
        <f t="shared" si="2"/>
        <v>53170</v>
      </c>
    </row>
    <row r="5268">
      <c r="A5268" s="48" t="s">
        <v>6104</v>
      </c>
      <c r="B5268" s="38">
        <v>95594.0</v>
      </c>
      <c r="C5268" s="38" t="s">
        <v>8310</v>
      </c>
      <c r="D5268" s="38" t="str">
        <f>IFERROR(__xludf.DUMMYFUNCTION("REGEXREPLACE(C5268,""-\d+(.*)|--\d+(.*)"","""")"),"SEUGY")</f>
        <v>SEUGY</v>
      </c>
      <c r="E5268" s="38" t="s">
        <v>541</v>
      </c>
      <c r="F5268" s="38" t="s">
        <v>245</v>
      </c>
      <c r="G5268" s="49" t="str">
        <f t="shared" si="1"/>
        <v>95270</v>
      </c>
      <c r="H5268" s="49">
        <f t="shared" si="2"/>
        <v>95594</v>
      </c>
    </row>
    <row r="5269">
      <c r="A5269" s="48" t="s">
        <v>5735</v>
      </c>
      <c r="B5269" s="38">
        <v>2596.0</v>
      </c>
      <c r="C5269" s="38" t="s">
        <v>8311</v>
      </c>
      <c r="D5269" s="38" t="str">
        <f>IFERROR(__xludf.DUMMYFUNCTION("REGEXREPLACE(C5269,""-\d+(.*)|--\d+(.*)"","""")"),"PAVANT")</f>
        <v>PAVANT</v>
      </c>
      <c r="E5269" s="38" t="s">
        <v>191</v>
      </c>
      <c r="F5269" s="38" t="s">
        <v>113</v>
      </c>
      <c r="G5269" s="49" t="str">
        <f t="shared" si="1"/>
        <v>02310</v>
      </c>
      <c r="H5269" s="49" t="str">
        <f t="shared" si="2"/>
        <v>02596</v>
      </c>
    </row>
    <row r="5270">
      <c r="A5270" s="48" t="s">
        <v>2330</v>
      </c>
      <c r="B5270" s="38">
        <v>65055.0</v>
      </c>
      <c r="C5270" s="38" t="s">
        <v>8312</v>
      </c>
      <c r="D5270" s="38" t="str">
        <f>IFERROR(__xludf.DUMMYFUNCTION("REGEXREPLACE(C5270,""-\d+(.*)|--\d+(.*)"","""")"),"AYROS-ARBOUIX")</f>
        <v>AYROS-ARBOUIX</v>
      </c>
      <c r="E5270" s="38" t="s">
        <v>200</v>
      </c>
      <c r="F5270" s="38" t="s">
        <v>94</v>
      </c>
      <c r="G5270" s="49" t="str">
        <f t="shared" si="1"/>
        <v>65400</v>
      </c>
      <c r="H5270" s="49">
        <f t="shared" si="2"/>
        <v>65055</v>
      </c>
    </row>
    <row r="5271">
      <c r="A5271" s="48" t="s">
        <v>8313</v>
      </c>
      <c r="B5271" s="38">
        <v>44172.0</v>
      </c>
      <c r="C5271" s="38" t="s">
        <v>8314</v>
      </c>
      <c r="D5271" s="38" t="str">
        <f>IFERROR(__xludf.DUMMYFUNCTION("REGEXREPLACE(C5271,""-\d+(.*)|--\d+(.*)"","""")"),"SAINTE-LUCE-SUR-LOIRE")</f>
        <v>SAINTE-LUCE-SUR-LOIRE</v>
      </c>
      <c r="E5271" s="38" t="s">
        <v>759</v>
      </c>
      <c r="F5271" s="38" t="s">
        <v>180</v>
      </c>
      <c r="G5271" s="49" t="str">
        <f t="shared" si="1"/>
        <v>44980</v>
      </c>
      <c r="H5271" s="49">
        <f t="shared" si="2"/>
        <v>44172</v>
      </c>
    </row>
    <row r="5272">
      <c r="A5272" s="48" t="s">
        <v>1609</v>
      </c>
      <c r="B5272" s="38">
        <v>30314.0</v>
      </c>
      <c r="C5272" s="38" t="s">
        <v>8315</v>
      </c>
      <c r="D5272" s="38" t="str">
        <f>IFERROR(__xludf.DUMMYFUNCTION("REGEXREPLACE(C5272,""-\d+(.*)|--\d+(.*)"","""")"),"SAVIGNARGUES")</f>
        <v>SAVIGNARGUES</v>
      </c>
      <c r="E5272" s="38" t="s">
        <v>526</v>
      </c>
      <c r="F5272" s="38" t="s">
        <v>119</v>
      </c>
      <c r="G5272" s="49" t="str">
        <f t="shared" si="1"/>
        <v>30350</v>
      </c>
      <c r="H5272" s="49">
        <f t="shared" si="2"/>
        <v>30314</v>
      </c>
    </row>
    <row r="5273">
      <c r="A5273" s="48" t="s">
        <v>3465</v>
      </c>
      <c r="B5273" s="38">
        <v>11328.0</v>
      </c>
      <c r="C5273" s="38" t="s">
        <v>8316</v>
      </c>
      <c r="D5273" s="38" t="str">
        <f>IFERROR(__xludf.DUMMYFUNCTION("REGEXREPLACE(C5273,""-\d+(.*)|--\d+(.*)"","""")"),"ROUTIER")</f>
        <v>ROUTIER</v>
      </c>
      <c r="E5273" s="38" t="s">
        <v>278</v>
      </c>
      <c r="F5273" s="38" t="s">
        <v>119</v>
      </c>
      <c r="G5273" s="49" t="str">
        <f t="shared" si="1"/>
        <v>11240</v>
      </c>
      <c r="H5273" s="49">
        <f t="shared" si="2"/>
        <v>11328</v>
      </c>
    </row>
    <row r="5274">
      <c r="A5274" s="48" t="s">
        <v>8317</v>
      </c>
      <c r="B5274" s="38">
        <v>77023.0</v>
      </c>
      <c r="C5274" s="38" t="s">
        <v>8318</v>
      </c>
      <c r="D5274" s="38" t="str">
        <f>IFERROR(__xludf.DUMMYFUNCTION("REGEXREPLACE(C5274,""-\d+(.*)|--\d+(.*)"","""")"),"BARCY")</f>
        <v>BARCY</v>
      </c>
      <c r="E5274" s="38" t="s">
        <v>244</v>
      </c>
      <c r="F5274" s="38" t="s">
        <v>245</v>
      </c>
      <c r="G5274" s="49" t="str">
        <f t="shared" si="1"/>
        <v>77910</v>
      </c>
      <c r="H5274" s="49">
        <f t="shared" si="2"/>
        <v>77023</v>
      </c>
    </row>
    <row r="5275">
      <c r="A5275" s="48" t="s">
        <v>3747</v>
      </c>
      <c r="B5275" s="38">
        <v>52223.0</v>
      </c>
      <c r="C5275" s="38" t="s">
        <v>8319</v>
      </c>
      <c r="D5275" s="38" t="str">
        <f>IFERROR(__xludf.DUMMYFUNCTION("REGEXREPLACE(C5275,""-\d+(.*)|--\d+(.*)"","""")"),"GILLEY")</f>
        <v>GILLEY</v>
      </c>
      <c r="E5275" s="38" t="s">
        <v>234</v>
      </c>
      <c r="F5275" s="38" t="s">
        <v>130</v>
      </c>
      <c r="G5275" s="49" t="str">
        <f t="shared" si="1"/>
        <v>52500</v>
      </c>
      <c r="H5275" s="49">
        <f t="shared" si="2"/>
        <v>52223</v>
      </c>
    </row>
    <row r="5276">
      <c r="A5276" s="48" t="s">
        <v>8320</v>
      </c>
      <c r="B5276" s="38">
        <v>1200.0</v>
      </c>
      <c r="C5276" s="38" t="s">
        <v>8321</v>
      </c>
      <c r="D5276" s="38" t="str">
        <f>IFERROR(__xludf.DUMMYFUNCTION("REGEXREPLACE(C5276,""-\d+(.*)|--\d+(.*)"","""")"),"LABALME")</f>
        <v>LABALME</v>
      </c>
      <c r="E5276" s="38" t="s">
        <v>255</v>
      </c>
      <c r="F5276" s="38" t="s">
        <v>102</v>
      </c>
      <c r="G5276" s="49" t="str">
        <f t="shared" si="1"/>
        <v>01450</v>
      </c>
      <c r="H5276" s="49" t="str">
        <f t="shared" si="2"/>
        <v>01200</v>
      </c>
    </row>
    <row r="5277">
      <c r="A5277" s="48" t="s">
        <v>8322</v>
      </c>
      <c r="B5277" s="38">
        <v>97304.0</v>
      </c>
      <c r="C5277" s="38" t="s">
        <v>8323</v>
      </c>
      <c r="D5277" s="38" t="str">
        <f>IFERROR(__xludf.DUMMYFUNCTION("REGEXREPLACE(C5277,""-\d+(.*)|--\d+(.*)"","""")"),"KOUROU")</f>
        <v>KOUROU</v>
      </c>
      <c r="E5277" s="38" t="s">
        <v>1737</v>
      </c>
      <c r="F5277" s="38" t="s">
        <v>1737</v>
      </c>
      <c r="G5277" s="49" t="str">
        <f t="shared" si="1"/>
        <v>97310</v>
      </c>
      <c r="H5277" s="49">
        <f t="shared" si="2"/>
        <v>97304</v>
      </c>
    </row>
    <row r="5278">
      <c r="A5278" s="48" t="s">
        <v>279</v>
      </c>
      <c r="B5278" s="38">
        <v>40280.0</v>
      </c>
      <c r="C5278" s="38" t="s">
        <v>8324</v>
      </c>
      <c r="D5278" s="38" t="str">
        <f>IFERROR(__xludf.DUMMYFUNCTION("REGEXREPLACE(C5278,""-\d+(.*)|--\d+(.*)"","""")"),"SAINT-PERDON")</f>
        <v>SAINT-PERDON</v>
      </c>
      <c r="E5278" s="38" t="s">
        <v>281</v>
      </c>
      <c r="F5278" s="38" t="s">
        <v>252</v>
      </c>
      <c r="G5278" s="49" t="str">
        <f t="shared" si="1"/>
        <v>40090</v>
      </c>
      <c r="H5278" s="49">
        <f t="shared" si="2"/>
        <v>40280</v>
      </c>
    </row>
    <row r="5279">
      <c r="A5279" s="48" t="s">
        <v>898</v>
      </c>
      <c r="B5279" s="38">
        <v>54412.0</v>
      </c>
      <c r="C5279" s="38" t="s">
        <v>8325</v>
      </c>
      <c r="D5279" s="38" t="str">
        <f>IFERROR(__xludf.DUMMYFUNCTION("REGEXREPLACE(C5279,""-\d+(.*)|--\d+(.*)"","""")"),"OTHE")</f>
        <v>OTHE</v>
      </c>
      <c r="E5279" s="38" t="s">
        <v>548</v>
      </c>
      <c r="F5279" s="38" t="s">
        <v>195</v>
      </c>
      <c r="G5279" s="49" t="str">
        <f t="shared" si="1"/>
        <v>54260</v>
      </c>
      <c r="H5279" s="49">
        <f t="shared" si="2"/>
        <v>54412</v>
      </c>
    </row>
    <row r="5280">
      <c r="A5280" s="48" t="s">
        <v>4733</v>
      </c>
      <c r="B5280" s="38">
        <v>38223.0</v>
      </c>
      <c r="C5280" s="38" t="s">
        <v>8326</v>
      </c>
      <c r="D5280" s="38" t="str">
        <f>IFERROR(__xludf.DUMMYFUNCTION("REGEXREPLACE(C5280,""-\d+(.*)|--\d+(.*)"","""")"),"MAUBEC")</f>
        <v>MAUBEC</v>
      </c>
      <c r="E5280" s="38" t="s">
        <v>101</v>
      </c>
      <c r="F5280" s="38" t="s">
        <v>102</v>
      </c>
      <c r="G5280" s="49" t="str">
        <f t="shared" si="1"/>
        <v>38300</v>
      </c>
      <c r="H5280" s="49">
        <f t="shared" si="2"/>
        <v>38223</v>
      </c>
    </row>
    <row r="5281">
      <c r="A5281" s="48" t="s">
        <v>8327</v>
      </c>
      <c r="B5281" s="38">
        <v>71074.0</v>
      </c>
      <c r="C5281" s="38" t="s">
        <v>8328</v>
      </c>
      <c r="D5281" s="38" t="str">
        <f>IFERROR(__xludf.DUMMYFUNCTION("REGEXREPLACE(C5281,""-\d+(.*)|--\d+(.*)"","""")"),"CHAINTRE")</f>
        <v>CHAINTRE</v>
      </c>
      <c r="E5281" s="38" t="s">
        <v>344</v>
      </c>
      <c r="F5281" s="38" t="s">
        <v>106</v>
      </c>
      <c r="G5281" s="49" t="str">
        <f t="shared" si="1"/>
        <v>71570</v>
      </c>
      <c r="H5281" s="49">
        <f t="shared" si="2"/>
        <v>71074</v>
      </c>
    </row>
    <row r="5282">
      <c r="A5282" s="48" t="s">
        <v>8329</v>
      </c>
      <c r="B5282" s="38">
        <v>69275.0</v>
      </c>
      <c r="C5282" s="38" t="s">
        <v>8330</v>
      </c>
      <c r="D5282" s="38" t="str">
        <f>IFERROR(__xludf.DUMMYFUNCTION("REGEXREPLACE(C5282,""-\d+(.*)|--\d+(.*)"","""")"),"DECINES-CHARPIEU")</f>
        <v>DECINES-CHARPIEU</v>
      </c>
      <c r="E5282" s="38" t="s">
        <v>350</v>
      </c>
      <c r="F5282" s="38" t="s">
        <v>102</v>
      </c>
      <c r="G5282" s="49" t="str">
        <f t="shared" si="1"/>
        <v>69150</v>
      </c>
      <c r="H5282" s="49">
        <f t="shared" si="2"/>
        <v>69275</v>
      </c>
    </row>
    <row r="5283">
      <c r="A5283" s="48" t="s">
        <v>1368</v>
      </c>
      <c r="B5283" s="38">
        <v>8104.0</v>
      </c>
      <c r="C5283" s="38" t="s">
        <v>8331</v>
      </c>
      <c r="D5283" s="38" t="str">
        <f>IFERROR(__xludf.DUMMYFUNCTION("REGEXREPLACE(C5283,""-\d+(.*)|--\d+(.*)"","""")"),"CHARDENY")</f>
        <v>CHARDENY</v>
      </c>
      <c r="E5283" s="38" t="s">
        <v>327</v>
      </c>
      <c r="F5283" s="38" t="s">
        <v>130</v>
      </c>
      <c r="G5283" s="49" t="str">
        <f t="shared" si="1"/>
        <v>08400</v>
      </c>
      <c r="H5283" s="49" t="str">
        <f t="shared" si="2"/>
        <v>08104</v>
      </c>
    </row>
    <row r="5284">
      <c r="A5284" s="48" t="s">
        <v>8332</v>
      </c>
      <c r="B5284" s="38">
        <v>57096.0</v>
      </c>
      <c r="C5284" s="38" t="s">
        <v>8333</v>
      </c>
      <c r="D5284" s="38" t="str">
        <f>IFERROR(__xludf.DUMMYFUNCTION("REGEXREPLACE(C5284,""-\d+(.*)|--\d+(.*)"","""")"),"BOULANGE")</f>
        <v>BOULANGE</v>
      </c>
      <c r="E5284" s="38" t="s">
        <v>303</v>
      </c>
      <c r="F5284" s="38" t="s">
        <v>195</v>
      </c>
      <c r="G5284" s="49" t="str">
        <f t="shared" si="1"/>
        <v>57655</v>
      </c>
      <c r="H5284" s="49">
        <f t="shared" si="2"/>
        <v>57096</v>
      </c>
    </row>
    <row r="5285">
      <c r="A5285" s="48" t="s">
        <v>8334</v>
      </c>
      <c r="B5285" s="38">
        <v>25008.0</v>
      </c>
      <c r="C5285" s="38" t="s">
        <v>8335</v>
      </c>
      <c r="D5285" s="38" t="str">
        <f>IFERROR(__xludf.DUMMYFUNCTION("REGEXREPLACE(C5285,""-\d+(.*)|--\d+(.*)"","""")"),"AIBRE")</f>
        <v>AIBRE</v>
      </c>
      <c r="E5285" s="38" t="s">
        <v>213</v>
      </c>
      <c r="F5285" s="38" t="s">
        <v>214</v>
      </c>
      <c r="G5285" s="49" t="str">
        <f t="shared" si="1"/>
        <v>25750</v>
      </c>
      <c r="H5285" s="49">
        <f t="shared" si="2"/>
        <v>25008</v>
      </c>
    </row>
    <row r="5286">
      <c r="A5286" s="48" t="s">
        <v>8336</v>
      </c>
      <c r="B5286" s="38">
        <v>85168.0</v>
      </c>
      <c r="C5286" s="38" t="s">
        <v>8337</v>
      </c>
      <c r="D5286" s="38" t="str">
        <f>IFERROR(__xludf.DUMMYFUNCTION("REGEXREPLACE(C5286,""-\d+(.*)|--\d+(.*)"","""")"),"OULMES")</f>
        <v>OULMES</v>
      </c>
      <c r="E5286" s="38" t="s">
        <v>179</v>
      </c>
      <c r="F5286" s="38" t="s">
        <v>180</v>
      </c>
      <c r="G5286" s="49" t="str">
        <f t="shared" si="1"/>
        <v>85420</v>
      </c>
      <c r="H5286" s="49">
        <f t="shared" si="2"/>
        <v>85168</v>
      </c>
    </row>
    <row r="5287">
      <c r="A5287" s="48" t="s">
        <v>8338</v>
      </c>
      <c r="B5287" s="38">
        <v>47211.0</v>
      </c>
      <c r="C5287" s="38" t="s">
        <v>8339</v>
      </c>
      <c r="D5287" s="38" t="str">
        <f>IFERROR(__xludf.DUMMYFUNCTION("REGEXREPLACE(C5287,""-\d+(.*)|--\d+(.*)"","""")"),"POUDENAS")</f>
        <v>POUDENAS</v>
      </c>
      <c r="E5287" s="38" t="s">
        <v>251</v>
      </c>
      <c r="F5287" s="38" t="s">
        <v>252</v>
      </c>
      <c r="G5287" s="49" t="str">
        <f t="shared" si="1"/>
        <v>47170</v>
      </c>
      <c r="H5287" s="49">
        <f t="shared" si="2"/>
        <v>47211</v>
      </c>
    </row>
    <row r="5288">
      <c r="A5288" s="48" t="s">
        <v>390</v>
      </c>
      <c r="B5288" s="38">
        <v>11325.0</v>
      </c>
      <c r="C5288" s="38" t="s">
        <v>8340</v>
      </c>
      <c r="D5288" s="38" t="str">
        <f>IFERROR(__xludf.DUMMYFUNCTION("REGEXREPLACE(C5288,""-\d+(.*)|--\d+(.*)"","""")"),"ROUFFIAC-D'AUDE")</f>
        <v>ROUFFIAC-D'AUDE</v>
      </c>
      <c r="E5288" s="38" t="s">
        <v>278</v>
      </c>
      <c r="F5288" s="38" t="s">
        <v>119</v>
      </c>
      <c r="G5288" s="49" t="str">
        <f t="shared" si="1"/>
        <v>11250</v>
      </c>
      <c r="H5288" s="49">
        <f t="shared" si="2"/>
        <v>11325</v>
      </c>
    </row>
    <row r="5289">
      <c r="A5289" s="48" t="s">
        <v>5086</v>
      </c>
      <c r="B5289" s="38">
        <v>7219.0</v>
      </c>
      <c r="C5289" s="38" t="s">
        <v>8341</v>
      </c>
      <c r="D5289" s="38" t="str">
        <f>IFERROR(__xludf.DUMMYFUNCTION("REGEXREPLACE(C5289,""-\d+(.*)|--\d+(.*)"","""")"),"SAINT-BAUZILE")</f>
        <v>SAINT-BAUZILE</v>
      </c>
      <c r="E5289" s="38" t="s">
        <v>144</v>
      </c>
      <c r="F5289" s="38" t="s">
        <v>102</v>
      </c>
      <c r="G5289" s="49" t="str">
        <f t="shared" si="1"/>
        <v>07210</v>
      </c>
      <c r="H5289" s="49" t="str">
        <f t="shared" si="2"/>
        <v>07219</v>
      </c>
    </row>
    <row r="5290">
      <c r="A5290" s="48" t="s">
        <v>279</v>
      </c>
      <c r="B5290" s="38">
        <v>40051.0</v>
      </c>
      <c r="C5290" s="38" t="s">
        <v>8342</v>
      </c>
      <c r="D5290" s="38" t="str">
        <f>IFERROR(__xludf.DUMMYFUNCTION("REGEXREPLACE(C5290,""-\d+(.*)|--\d+(.*)"","""")"),"BOUGUE")</f>
        <v>BOUGUE</v>
      </c>
      <c r="E5290" s="38" t="s">
        <v>281</v>
      </c>
      <c r="F5290" s="38" t="s">
        <v>252</v>
      </c>
      <c r="G5290" s="49" t="str">
        <f t="shared" si="1"/>
        <v>40090</v>
      </c>
      <c r="H5290" s="49">
        <f t="shared" si="2"/>
        <v>40051</v>
      </c>
    </row>
    <row r="5291">
      <c r="A5291" s="48" t="s">
        <v>8343</v>
      </c>
      <c r="B5291" s="38">
        <v>86081.0</v>
      </c>
      <c r="C5291" s="38" t="s">
        <v>8344</v>
      </c>
      <c r="D5291" s="38" t="str">
        <f>IFERROR(__xludf.DUMMYFUNCTION("REGEXREPLACE(C5291,""-\d+(.*)|--\d+(.*)"","""")"),"COLOMBIERS")</f>
        <v>COLOMBIERS</v>
      </c>
      <c r="E5291" s="38" t="s">
        <v>529</v>
      </c>
      <c r="F5291" s="38" t="s">
        <v>338</v>
      </c>
      <c r="G5291" s="49" t="str">
        <f t="shared" si="1"/>
        <v>86490</v>
      </c>
      <c r="H5291" s="49">
        <f t="shared" si="2"/>
        <v>86081</v>
      </c>
    </row>
    <row r="5292">
      <c r="A5292" s="48" t="s">
        <v>8345</v>
      </c>
      <c r="B5292" s="38">
        <v>10282.0</v>
      </c>
      <c r="C5292" s="38" t="s">
        <v>8346</v>
      </c>
      <c r="D5292" s="38" t="str">
        <f>IFERROR(__xludf.DUMMYFUNCTION("REGEXREPLACE(C5292,""-\d+(.*)|--\d+(.*)"","""")"),"PAYNS")</f>
        <v>PAYNS</v>
      </c>
      <c r="E5292" s="38" t="s">
        <v>147</v>
      </c>
      <c r="F5292" s="38" t="s">
        <v>130</v>
      </c>
      <c r="G5292" s="49" t="str">
        <f t="shared" si="1"/>
        <v>10600</v>
      </c>
      <c r="H5292" s="49">
        <f t="shared" si="2"/>
        <v>10282</v>
      </c>
    </row>
    <row r="5293">
      <c r="A5293" s="48" t="s">
        <v>5428</v>
      </c>
      <c r="B5293" s="38">
        <v>74052.0</v>
      </c>
      <c r="C5293" s="38" t="s">
        <v>8347</v>
      </c>
      <c r="D5293" s="38" t="str">
        <f>IFERROR(__xludf.DUMMYFUNCTION("REGEXREPLACE(C5293,""-\d+(.*)|--\d+(.*)"","""")"),"CERNEX")</f>
        <v>CERNEX</v>
      </c>
      <c r="E5293" s="38" t="s">
        <v>319</v>
      </c>
      <c r="F5293" s="38" t="s">
        <v>102</v>
      </c>
      <c r="G5293" s="49" t="str">
        <f t="shared" si="1"/>
        <v>74350</v>
      </c>
      <c r="H5293" s="49">
        <f t="shared" si="2"/>
        <v>74052</v>
      </c>
    </row>
    <row r="5294">
      <c r="A5294" s="48" t="s">
        <v>2239</v>
      </c>
      <c r="B5294" s="38">
        <v>87099.0</v>
      </c>
      <c r="C5294" s="38" t="s">
        <v>8348</v>
      </c>
      <c r="D5294" s="38" t="str">
        <f>IFERROR(__xludf.DUMMYFUNCTION("REGEXREPLACE(C5294,""-\d+(.*)|--\d+(.*)"","""")"),"MOISSANNES")</f>
        <v>MOISSANNES</v>
      </c>
      <c r="E5294" s="38" t="s">
        <v>897</v>
      </c>
      <c r="F5294" s="38" t="s">
        <v>98</v>
      </c>
      <c r="G5294" s="49" t="str">
        <f t="shared" si="1"/>
        <v>87400</v>
      </c>
      <c r="H5294" s="49">
        <f t="shared" si="2"/>
        <v>87099</v>
      </c>
    </row>
    <row r="5295">
      <c r="A5295" s="48" t="s">
        <v>8349</v>
      </c>
      <c r="B5295" s="38">
        <v>34224.0</v>
      </c>
      <c r="C5295" s="38" t="s">
        <v>8350</v>
      </c>
      <c r="D5295" s="38" t="str">
        <f>IFERROR(__xludf.DUMMYFUNCTION("REGEXREPLACE(C5295,""-\d+(.*)|--\d+(.*)"","""")"),"PUISSALICON")</f>
        <v>PUISSALICON</v>
      </c>
      <c r="E5295" s="38" t="s">
        <v>118</v>
      </c>
      <c r="F5295" s="38" t="s">
        <v>119</v>
      </c>
      <c r="G5295" s="49" t="str">
        <f t="shared" si="1"/>
        <v>34480</v>
      </c>
      <c r="H5295" s="49">
        <f t="shared" si="2"/>
        <v>34224</v>
      </c>
    </row>
    <row r="5296">
      <c r="A5296" s="48" t="s">
        <v>2809</v>
      </c>
      <c r="B5296" s="38">
        <v>77058.0</v>
      </c>
      <c r="C5296" s="38" t="s">
        <v>8351</v>
      </c>
      <c r="D5296" s="38" t="str">
        <f>IFERROR(__xludf.DUMMYFUNCTION("REGEXREPLACE(C5296,""-\d+(.*)|--\d+(.*)"","""")"),"BUSSY-SAINT-GEORGES")</f>
        <v>BUSSY-SAINT-GEORGES</v>
      </c>
      <c r="E5296" s="38" t="s">
        <v>244</v>
      </c>
      <c r="F5296" s="38" t="s">
        <v>245</v>
      </c>
      <c r="G5296" s="49" t="str">
        <f t="shared" si="1"/>
        <v>77600</v>
      </c>
      <c r="H5296" s="49">
        <f t="shared" si="2"/>
        <v>77058</v>
      </c>
    </row>
    <row r="5297">
      <c r="A5297" s="48" t="s">
        <v>1733</v>
      </c>
      <c r="B5297" s="38">
        <v>23123.0</v>
      </c>
      <c r="C5297" s="38" t="s">
        <v>8352</v>
      </c>
      <c r="D5297" s="38" t="str">
        <f>IFERROR(__xludf.DUMMYFUNCTION("REGEXREPLACE(C5297,""-\d+(.*)|--\d+(.*)"","""")"),"LES MARS")</f>
        <v>LES MARS</v>
      </c>
      <c r="E5297" s="38" t="s">
        <v>97</v>
      </c>
      <c r="F5297" s="38" t="s">
        <v>98</v>
      </c>
      <c r="G5297" s="49" t="str">
        <f t="shared" si="1"/>
        <v>23700</v>
      </c>
      <c r="H5297" s="49">
        <f t="shared" si="2"/>
        <v>23123</v>
      </c>
    </row>
    <row r="5298">
      <c r="A5298" s="48" t="s">
        <v>6515</v>
      </c>
      <c r="B5298" s="38">
        <v>62610.0</v>
      </c>
      <c r="C5298" s="38" t="s">
        <v>8353</v>
      </c>
      <c r="D5298" s="38" t="str">
        <f>IFERROR(__xludf.DUMMYFUNCTION("REGEXREPLACE(C5298,""-\d+(.*)|--\d+(.*)"","""")"),"NEUVILLE-SOUS-MONTREUIL")</f>
        <v>NEUVILLE-SOUS-MONTREUIL</v>
      </c>
      <c r="E5298" s="38" t="s">
        <v>109</v>
      </c>
      <c r="F5298" s="38" t="s">
        <v>86</v>
      </c>
      <c r="G5298" s="49" t="str">
        <f t="shared" si="1"/>
        <v>62170</v>
      </c>
      <c r="H5298" s="49">
        <f t="shared" si="2"/>
        <v>62610</v>
      </c>
    </row>
    <row r="5299">
      <c r="A5299" s="48" t="s">
        <v>8354</v>
      </c>
      <c r="B5299" s="38">
        <v>19005.0</v>
      </c>
      <c r="C5299" s="38" t="s">
        <v>8355</v>
      </c>
      <c r="D5299" s="38" t="str">
        <f>IFERROR(__xludf.DUMMYFUNCTION("REGEXREPLACE(C5299,""-\d+(.*)|--\d+(.*)"","""")"),"ALLASSAC")</f>
        <v>ALLASSAC</v>
      </c>
      <c r="E5299" s="38" t="s">
        <v>271</v>
      </c>
      <c r="F5299" s="38" t="s">
        <v>98</v>
      </c>
      <c r="G5299" s="49" t="str">
        <f t="shared" si="1"/>
        <v>19240</v>
      </c>
      <c r="H5299" s="49">
        <f t="shared" si="2"/>
        <v>19005</v>
      </c>
    </row>
    <row r="5300">
      <c r="A5300" s="48" t="s">
        <v>1661</v>
      </c>
      <c r="B5300" s="38">
        <v>36008.0</v>
      </c>
      <c r="C5300" s="38" t="s">
        <v>8356</v>
      </c>
      <c r="D5300" s="38" t="str">
        <f>IFERROR(__xludf.DUMMYFUNCTION("REGEXREPLACE(C5300,""-\d+(.*)|--\d+(.*)"","""")"),"ARPHEUILLES")</f>
        <v>ARPHEUILLES</v>
      </c>
      <c r="E5300" s="38" t="s">
        <v>258</v>
      </c>
      <c r="F5300" s="38" t="s">
        <v>123</v>
      </c>
      <c r="G5300" s="49" t="str">
        <f t="shared" si="1"/>
        <v>36700</v>
      </c>
      <c r="H5300" s="49">
        <f t="shared" si="2"/>
        <v>36008</v>
      </c>
    </row>
    <row r="5301">
      <c r="A5301" s="48" t="s">
        <v>8357</v>
      </c>
      <c r="B5301" s="38">
        <v>22353.0</v>
      </c>
      <c r="C5301" s="38" t="s">
        <v>8358</v>
      </c>
      <c r="D5301" s="38" t="str">
        <f>IFERROR(__xludf.DUMMYFUNCTION("REGEXREPLACE(C5301,""-\d+(.*)|--\d+(.*)"","""")"),"TREGASTEL")</f>
        <v>TREGASTEL</v>
      </c>
      <c r="E5301" s="38" t="s">
        <v>89</v>
      </c>
      <c r="F5301" s="38" t="s">
        <v>90</v>
      </c>
      <c r="G5301" s="49" t="str">
        <f t="shared" si="1"/>
        <v>22730</v>
      </c>
      <c r="H5301" s="49">
        <f t="shared" si="2"/>
        <v>22353</v>
      </c>
    </row>
    <row r="5302">
      <c r="A5302" s="48" t="s">
        <v>8359</v>
      </c>
      <c r="B5302" s="38">
        <v>89077.0</v>
      </c>
      <c r="C5302" s="38" t="s">
        <v>8360</v>
      </c>
      <c r="D5302" s="38" t="str">
        <f>IFERROR(__xludf.DUMMYFUNCTION("REGEXREPLACE(C5302,""-\d+(.*)|--\d+(.*)"","""")"),"CHAMPS-SUR-YONNE")</f>
        <v>CHAMPS-SUR-YONNE</v>
      </c>
      <c r="E5302" s="38" t="s">
        <v>275</v>
      </c>
      <c r="F5302" s="38" t="s">
        <v>106</v>
      </c>
      <c r="G5302" s="49" t="str">
        <f t="shared" si="1"/>
        <v>89290</v>
      </c>
      <c r="H5302" s="49">
        <f t="shared" si="2"/>
        <v>89077</v>
      </c>
    </row>
    <row r="5303">
      <c r="A5303" s="48" t="s">
        <v>1210</v>
      </c>
      <c r="B5303" s="38">
        <v>50172.0</v>
      </c>
      <c r="C5303" s="38" t="s">
        <v>8361</v>
      </c>
      <c r="D5303" s="38" t="str">
        <f>IFERROR(__xludf.DUMMYFUNCTION("REGEXREPLACE(C5303,""-\d+(.*)|--\d+(.*)"","""")"),"EMONDEVILLE")</f>
        <v>EMONDEVILLE</v>
      </c>
      <c r="E5303" s="38" t="s">
        <v>157</v>
      </c>
      <c r="F5303" s="38" t="s">
        <v>138</v>
      </c>
      <c r="G5303" s="49" t="str">
        <f t="shared" si="1"/>
        <v>50310</v>
      </c>
      <c r="H5303" s="49">
        <f t="shared" si="2"/>
        <v>50172</v>
      </c>
    </row>
    <row r="5304">
      <c r="A5304" s="48" t="s">
        <v>2103</v>
      </c>
      <c r="B5304" s="38">
        <v>54373.0</v>
      </c>
      <c r="C5304" s="38" t="s">
        <v>8362</v>
      </c>
      <c r="D5304" s="38" t="str">
        <f>IFERROR(__xludf.DUMMYFUNCTION("REGEXREPLACE(C5304,""-\d+(.*)|--\d+(.*)"","""")"),"MONCEL-LES-LUNEVILLE")</f>
        <v>MONCEL-LES-LUNEVILLE</v>
      </c>
      <c r="E5304" s="38" t="s">
        <v>548</v>
      </c>
      <c r="F5304" s="38" t="s">
        <v>195</v>
      </c>
      <c r="G5304" s="49" t="str">
        <f t="shared" si="1"/>
        <v>54300</v>
      </c>
      <c r="H5304" s="49">
        <f t="shared" si="2"/>
        <v>54373</v>
      </c>
    </row>
    <row r="5305">
      <c r="A5305" s="48" t="s">
        <v>95</v>
      </c>
      <c r="B5305" s="38">
        <v>23139.0</v>
      </c>
      <c r="C5305" s="38" t="s">
        <v>8363</v>
      </c>
      <c r="D5305" s="38" t="str">
        <f>IFERROR(__xludf.DUMMYFUNCTION("REGEXREPLACE(C5305,""-\d+(.*)|--\d+(.*)"","""")"),"MOUTIER-MALCARD")</f>
        <v>MOUTIER-MALCARD</v>
      </c>
      <c r="E5305" s="38" t="s">
        <v>97</v>
      </c>
      <c r="F5305" s="38" t="s">
        <v>98</v>
      </c>
      <c r="G5305" s="49" t="str">
        <f t="shared" si="1"/>
        <v>23220</v>
      </c>
      <c r="H5305" s="49">
        <f t="shared" si="2"/>
        <v>23139</v>
      </c>
    </row>
    <row r="5306">
      <c r="A5306" s="48" t="s">
        <v>2650</v>
      </c>
      <c r="B5306" s="38">
        <v>65249.0</v>
      </c>
      <c r="C5306" s="38" t="s">
        <v>4854</v>
      </c>
      <c r="D5306" s="38" t="str">
        <f>IFERROR(__xludf.DUMMYFUNCTION("REGEXREPLACE(C5306,""-\d+(.*)|--\d+(.*)"","""")"),"LALANNE")</f>
        <v>LALANNE</v>
      </c>
      <c r="E5306" s="38" t="s">
        <v>200</v>
      </c>
      <c r="F5306" s="38" t="s">
        <v>94</v>
      </c>
      <c r="G5306" s="49" t="str">
        <f t="shared" si="1"/>
        <v>65230</v>
      </c>
      <c r="H5306" s="49">
        <f t="shared" si="2"/>
        <v>65249</v>
      </c>
    </row>
    <row r="5307">
      <c r="A5307" s="48" t="s">
        <v>2130</v>
      </c>
      <c r="B5307" s="38">
        <v>62302.0</v>
      </c>
      <c r="C5307" s="38" t="s">
        <v>8364</v>
      </c>
      <c r="D5307" s="38" t="str">
        <f>IFERROR(__xludf.DUMMYFUNCTION("REGEXREPLACE(C5307,""-\d+(.*)|--\d+(.*)"","""")"),"ERGNY")</f>
        <v>ERGNY</v>
      </c>
      <c r="E5307" s="38" t="s">
        <v>109</v>
      </c>
      <c r="F5307" s="38" t="s">
        <v>86</v>
      </c>
      <c r="G5307" s="49" t="str">
        <f t="shared" si="1"/>
        <v>62650</v>
      </c>
      <c r="H5307" s="49">
        <f t="shared" si="2"/>
        <v>62302</v>
      </c>
    </row>
    <row r="5308">
      <c r="A5308" s="48" t="s">
        <v>8365</v>
      </c>
      <c r="B5308" s="38">
        <v>39305.0</v>
      </c>
      <c r="C5308" s="38" t="s">
        <v>8366</v>
      </c>
      <c r="D5308" s="38" t="str">
        <f>IFERROR(__xludf.DUMMYFUNCTION("REGEXREPLACE(C5308,""-\d+(.*)|--\d+(.*)"","""")"),"LA LOYE")</f>
        <v>LA LOYE</v>
      </c>
      <c r="E5308" s="38" t="s">
        <v>400</v>
      </c>
      <c r="F5308" s="38" t="s">
        <v>214</v>
      </c>
      <c r="G5308" s="49" t="str">
        <f t="shared" si="1"/>
        <v>39380</v>
      </c>
      <c r="H5308" s="49">
        <f t="shared" si="2"/>
        <v>39305</v>
      </c>
    </row>
    <row r="5309">
      <c r="A5309" s="48" t="s">
        <v>2170</v>
      </c>
      <c r="B5309" s="38">
        <v>80054.0</v>
      </c>
      <c r="C5309" s="38" t="s">
        <v>8367</v>
      </c>
      <c r="D5309" s="38" t="str">
        <f>IFERROR(__xludf.DUMMYFUNCTION("REGEXREPLACE(C5309,""-\d+(.*)|--\d+(.*)"","""")"),"BARLEUX")</f>
        <v>BARLEUX</v>
      </c>
      <c r="E5309" s="38" t="s">
        <v>224</v>
      </c>
      <c r="F5309" s="38" t="s">
        <v>113</v>
      </c>
      <c r="G5309" s="49" t="str">
        <f t="shared" si="1"/>
        <v>80200</v>
      </c>
      <c r="H5309" s="49">
        <f t="shared" si="2"/>
        <v>80054</v>
      </c>
    </row>
    <row r="5310">
      <c r="A5310" s="48" t="s">
        <v>8368</v>
      </c>
      <c r="B5310" s="38">
        <v>83041.0</v>
      </c>
      <c r="C5310" s="38" t="s">
        <v>8369</v>
      </c>
      <c r="D5310" s="38" t="str">
        <f>IFERROR(__xludf.DUMMYFUNCTION("REGEXREPLACE(C5310,""-\d+(.*)|--\d+(.*)"","""")"),"CLAVIERS")</f>
        <v>CLAVIERS</v>
      </c>
      <c r="E5310" s="38" t="s">
        <v>813</v>
      </c>
      <c r="F5310" s="38" t="s">
        <v>228</v>
      </c>
      <c r="G5310" s="49" t="str">
        <f t="shared" si="1"/>
        <v>83830</v>
      </c>
      <c r="H5310" s="49">
        <f t="shared" si="2"/>
        <v>83041</v>
      </c>
    </row>
    <row r="5311">
      <c r="A5311" s="48" t="s">
        <v>1607</v>
      </c>
      <c r="B5311" s="38">
        <v>81129.0</v>
      </c>
      <c r="C5311" s="38" t="s">
        <v>8370</v>
      </c>
      <c r="D5311" s="38" t="str">
        <f>IFERROR(__xludf.DUMMYFUNCTION("REGEXREPLACE(C5311,""-\d+(.*)|--\d+(.*)"","""")"),"LAGARDIOLLE")</f>
        <v>LAGARDIOLLE</v>
      </c>
      <c r="E5311" s="38" t="s">
        <v>231</v>
      </c>
      <c r="F5311" s="38" t="s">
        <v>94</v>
      </c>
      <c r="G5311" s="49" t="str">
        <f t="shared" si="1"/>
        <v>81110</v>
      </c>
      <c r="H5311" s="49">
        <f t="shared" si="2"/>
        <v>81129</v>
      </c>
    </row>
    <row r="5312">
      <c r="A5312" s="48" t="s">
        <v>8371</v>
      </c>
      <c r="B5312" s="38">
        <v>57380.0</v>
      </c>
      <c r="C5312" s="38" t="s">
        <v>8372</v>
      </c>
      <c r="D5312" s="38" t="str">
        <f>IFERROR(__xludf.DUMMYFUNCTION("REGEXREPLACE(C5312,""-\d+(.*)|--\d+(.*)"","""")"),"LANEUVEVILLE-LES-LORQUIN")</f>
        <v>LANEUVEVILLE-LES-LORQUIN</v>
      </c>
      <c r="E5312" s="38" t="s">
        <v>303</v>
      </c>
      <c r="F5312" s="38" t="s">
        <v>195</v>
      </c>
      <c r="G5312" s="49" t="str">
        <f t="shared" si="1"/>
        <v>57790</v>
      </c>
      <c r="H5312" s="49">
        <f t="shared" si="2"/>
        <v>57380</v>
      </c>
    </row>
    <row r="5313">
      <c r="A5313" s="48" t="s">
        <v>7136</v>
      </c>
      <c r="B5313" s="38">
        <v>83054.0</v>
      </c>
      <c r="C5313" s="38" t="s">
        <v>8373</v>
      </c>
      <c r="D5313" s="38" t="str">
        <f>IFERROR(__xludf.DUMMYFUNCTION("REGEXREPLACE(C5313,""-\d+(.*)|--\d+(.*)"","""")"),"LA FARLEDE")</f>
        <v>LA FARLEDE</v>
      </c>
      <c r="E5313" s="38" t="s">
        <v>813</v>
      </c>
      <c r="F5313" s="38" t="s">
        <v>228</v>
      </c>
      <c r="G5313" s="49" t="str">
        <f t="shared" si="1"/>
        <v>83210</v>
      </c>
      <c r="H5313" s="49">
        <f t="shared" si="2"/>
        <v>83054</v>
      </c>
    </row>
    <row r="5314">
      <c r="A5314" s="48" t="s">
        <v>8374</v>
      </c>
      <c r="B5314" s="38">
        <v>85188.0</v>
      </c>
      <c r="C5314" s="38" t="s">
        <v>8375</v>
      </c>
      <c r="D5314" s="38" t="str">
        <f>IFERROR(__xludf.DUMMYFUNCTION("REGEXREPLACE(C5314,""-\d+(.*)|--\d+(.*)"","""")"),"LA REORTHE")</f>
        <v>LA REORTHE</v>
      </c>
      <c r="E5314" s="38" t="s">
        <v>179</v>
      </c>
      <c r="F5314" s="38" t="s">
        <v>180</v>
      </c>
      <c r="G5314" s="49" t="str">
        <f t="shared" si="1"/>
        <v>85210</v>
      </c>
      <c r="H5314" s="49">
        <f t="shared" si="2"/>
        <v>85188</v>
      </c>
    </row>
    <row r="5315">
      <c r="A5315" s="48" t="s">
        <v>667</v>
      </c>
      <c r="B5315" s="38">
        <v>64327.0</v>
      </c>
      <c r="C5315" s="38" t="s">
        <v>8376</v>
      </c>
      <c r="D5315" s="38" t="str">
        <f>IFERROR(__xludf.DUMMYFUNCTION("REGEXREPLACE(C5315,""-\d+(.*)|--\d+(.*)"","""")"),"LECUMBERRY")</f>
        <v>LECUMBERRY</v>
      </c>
      <c r="E5315" s="38" t="s">
        <v>268</v>
      </c>
      <c r="F5315" s="38" t="s">
        <v>252</v>
      </c>
      <c r="G5315" s="49" t="str">
        <f t="shared" si="1"/>
        <v>64220</v>
      </c>
      <c r="H5315" s="49">
        <f t="shared" si="2"/>
        <v>64327</v>
      </c>
    </row>
    <row r="5316">
      <c r="A5316" s="48" t="s">
        <v>8377</v>
      </c>
      <c r="B5316" s="38">
        <v>87080.0</v>
      </c>
      <c r="C5316" s="38" t="s">
        <v>8378</v>
      </c>
      <c r="D5316" s="38" t="str">
        <f>IFERROR(__xludf.DUMMYFUNCTION("REGEXREPLACE(C5316,""-\d+(.*)|--\d+(.*)"","""")"),"JOUAC")</f>
        <v>JOUAC</v>
      </c>
      <c r="E5316" s="38" t="s">
        <v>897</v>
      </c>
      <c r="F5316" s="38" t="s">
        <v>98</v>
      </c>
      <c r="G5316" s="49" t="str">
        <f t="shared" si="1"/>
        <v>87890</v>
      </c>
      <c r="H5316" s="49">
        <f t="shared" si="2"/>
        <v>87080</v>
      </c>
    </row>
    <row r="5317">
      <c r="A5317" s="48" t="s">
        <v>557</v>
      </c>
      <c r="B5317" s="38">
        <v>16065.0</v>
      </c>
      <c r="C5317" s="38" t="s">
        <v>8379</v>
      </c>
      <c r="D5317" s="38" t="str">
        <f>IFERROR(__xludf.DUMMYFUNCTION("REGEXREPLACE(C5317,""-\d+(.*)|--\d+(.*)"","""")"),"BRILLAC")</f>
        <v>BRILLAC</v>
      </c>
      <c r="E5317" s="38" t="s">
        <v>429</v>
      </c>
      <c r="F5317" s="38" t="s">
        <v>338</v>
      </c>
      <c r="G5317" s="49" t="str">
        <f t="shared" si="1"/>
        <v>16500</v>
      </c>
      <c r="H5317" s="49">
        <f t="shared" si="2"/>
        <v>16065</v>
      </c>
    </row>
    <row r="5318">
      <c r="A5318" s="48" t="s">
        <v>4882</v>
      </c>
      <c r="B5318" s="38">
        <v>89315.0</v>
      </c>
      <c r="C5318" s="38" t="s">
        <v>8380</v>
      </c>
      <c r="D5318" s="38" t="str">
        <f>IFERROR(__xludf.DUMMYFUNCTION("REGEXREPLACE(C5318,""-\d+(.*)|--\d+(.*)"","""")"),"PREHY")</f>
        <v>PREHY</v>
      </c>
      <c r="E5318" s="38" t="s">
        <v>275</v>
      </c>
      <c r="F5318" s="38" t="s">
        <v>106</v>
      </c>
      <c r="G5318" s="49" t="str">
        <f t="shared" si="1"/>
        <v>89800</v>
      </c>
      <c r="H5318" s="49">
        <f t="shared" si="2"/>
        <v>89315</v>
      </c>
    </row>
    <row r="5319">
      <c r="A5319" s="48" t="s">
        <v>2966</v>
      </c>
      <c r="B5319" s="38">
        <v>85242.0</v>
      </c>
      <c r="C5319" s="38" t="s">
        <v>8381</v>
      </c>
      <c r="D5319" s="38" t="str">
        <f>IFERROR(__xludf.DUMMYFUNCTION("REGEXREPLACE(C5319,""-\d+(.*)|--\d+(.*)"","""")"),"SAINT-MARS-LA-REORTHE")</f>
        <v>SAINT-MARS-LA-REORTHE</v>
      </c>
      <c r="E5319" s="38" t="s">
        <v>179</v>
      </c>
      <c r="F5319" s="38" t="s">
        <v>180</v>
      </c>
      <c r="G5319" s="49" t="str">
        <f t="shared" si="1"/>
        <v>85590</v>
      </c>
      <c r="H5319" s="49">
        <f t="shared" si="2"/>
        <v>85242</v>
      </c>
    </row>
    <row r="5320">
      <c r="A5320" s="48" t="s">
        <v>2837</v>
      </c>
      <c r="B5320" s="38">
        <v>17204.0</v>
      </c>
      <c r="C5320" s="38" t="s">
        <v>8382</v>
      </c>
      <c r="D5320" s="38" t="str">
        <f>IFERROR(__xludf.DUMMYFUNCTION("REGEXREPLACE(C5320,""-\d+(.*)|--\d+(.*)"","""")"),"LEOVILLE")</f>
        <v>LEOVILLE</v>
      </c>
      <c r="E5320" s="38" t="s">
        <v>488</v>
      </c>
      <c r="F5320" s="38" t="s">
        <v>338</v>
      </c>
      <c r="G5320" s="49" t="str">
        <f t="shared" si="1"/>
        <v>17500</v>
      </c>
      <c r="H5320" s="49">
        <f t="shared" si="2"/>
        <v>17204</v>
      </c>
    </row>
    <row r="5321">
      <c r="A5321" s="48" t="s">
        <v>8383</v>
      </c>
      <c r="B5321" s="38">
        <v>57192.0</v>
      </c>
      <c r="C5321" s="38" t="s">
        <v>8384</v>
      </c>
      <c r="D5321" s="38" t="str">
        <f>IFERROR(__xludf.DUMMYFUNCTION("REGEXREPLACE(C5321,""-\d+(.*)|--\d+(.*)"","""")"),"ENCHENBERG")</f>
        <v>ENCHENBERG</v>
      </c>
      <c r="E5321" s="38" t="s">
        <v>303</v>
      </c>
      <c r="F5321" s="38" t="s">
        <v>195</v>
      </c>
      <c r="G5321" s="49" t="str">
        <f t="shared" si="1"/>
        <v>57415</v>
      </c>
      <c r="H5321" s="49">
        <f t="shared" si="2"/>
        <v>57192</v>
      </c>
    </row>
    <row r="5322">
      <c r="A5322" s="48" t="s">
        <v>4787</v>
      </c>
      <c r="B5322" s="38">
        <v>62239.0</v>
      </c>
      <c r="C5322" s="38" t="s">
        <v>8385</v>
      </c>
      <c r="D5322" s="38" t="str">
        <f>IFERROR(__xludf.DUMMYFUNCTION("REGEXREPLACE(C5322,""-\d+(.*)|--\d+(.*)"","""")"),"COQUELLES")</f>
        <v>COQUELLES</v>
      </c>
      <c r="E5322" s="38" t="s">
        <v>109</v>
      </c>
      <c r="F5322" s="38" t="s">
        <v>86</v>
      </c>
      <c r="G5322" s="49" t="str">
        <f t="shared" si="1"/>
        <v>62231</v>
      </c>
      <c r="H5322" s="49">
        <f t="shared" si="2"/>
        <v>62239</v>
      </c>
    </row>
    <row r="5323">
      <c r="A5323" s="48" t="s">
        <v>2266</v>
      </c>
      <c r="B5323" s="38">
        <v>55565.0</v>
      </c>
      <c r="C5323" s="38" t="s">
        <v>8386</v>
      </c>
      <c r="D5323" s="38" t="str">
        <f>IFERROR(__xludf.DUMMYFUNCTION("REGEXREPLACE(C5323,""-\d+(.*)|--\d+(.*)"","""")"),"VILLERS-SOUS-PAREID")</f>
        <v>VILLERS-SOUS-PAREID</v>
      </c>
      <c r="E5323" s="38" t="s">
        <v>322</v>
      </c>
      <c r="F5323" s="38" t="s">
        <v>195</v>
      </c>
      <c r="G5323" s="49" t="str">
        <f t="shared" si="1"/>
        <v>55160</v>
      </c>
      <c r="H5323" s="49">
        <f t="shared" si="2"/>
        <v>55565</v>
      </c>
    </row>
    <row r="5324">
      <c r="A5324" s="48" t="s">
        <v>1471</v>
      </c>
      <c r="B5324" s="38">
        <v>3243.0</v>
      </c>
      <c r="C5324" s="38" t="s">
        <v>8387</v>
      </c>
      <c r="D5324" s="38" t="str">
        <f>IFERROR(__xludf.DUMMYFUNCTION("REGEXREPLACE(C5324,""-\d+(.*)|--\d+(.*)"","""")"),"SAINT-MARCEL-EN-MURAT")</f>
        <v>SAINT-MARCEL-EN-MURAT</v>
      </c>
      <c r="E5324" s="38" t="s">
        <v>160</v>
      </c>
      <c r="F5324" s="38" t="s">
        <v>161</v>
      </c>
      <c r="G5324" s="49" t="str">
        <f t="shared" si="1"/>
        <v>03390</v>
      </c>
      <c r="H5324" s="49" t="str">
        <f t="shared" si="2"/>
        <v>03243</v>
      </c>
    </row>
    <row r="5325">
      <c r="A5325" s="48" t="s">
        <v>3224</v>
      </c>
      <c r="B5325" s="38">
        <v>54252.0</v>
      </c>
      <c r="C5325" s="38" t="s">
        <v>8388</v>
      </c>
      <c r="D5325" s="38" t="str">
        <f>IFERROR(__xludf.DUMMYFUNCTION("REGEXREPLACE(C5325,""-\d+(.*)|--\d+(.*)"","""")"),"HAROUE")</f>
        <v>HAROUE</v>
      </c>
      <c r="E5325" s="38" t="s">
        <v>548</v>
      </c>
      <c r="F5325" s="38" t="s">
        <v>195</v>
      </c>
      <c r="G5325" s="49" t="str">
        <f t="shared" si="1"/>
        <v>54740</v>
      </c>
      <c r="H5325" s="49">
        <f t="shared" si="2"/>
        <v>54252</v>
      </c>
    </row>
    <row r="5326">
      <c r="A5326" s="48" t="s">
        <v>3104</v>
      </c>
      <c r="B5326" s="38">
        <v>14119.0</v>
      </c>
      <c r="C5326" s="38" t="s">
        <v>8389</v>
      </c>
      <c r="D5326" s="38" t="str">
        <f>IFERROR(__xludf.DUMMYFUNCTION("REGEXREPLACE(C5326,""-\d+(.*)|--\d+(.*)"","""")"),"CAGNY")</f>
        <v>CAGNY</v>
      </c>
      <c r="E5326" s="38" t="s">
        <v>137</v>
      </c>
      <c r="F5326" s="38" t="s">
        <v>138</v>
      </c>
      <c r="G5326" s="49" t="str">
        <f t="shared" si="1"/>
        <v>14630</v>
      </c>
      <c r="H5326" s="49">
        <f t="shared" si="2"/>
        <v>14119</v>
      </c>
    </row>
    <row r="5327">
      <c r="A5327" s="48" t="s">
        <v>3075</v>
      </c>
      <c r="B5327" s="38">
        <v>46145.0</v>
      </c>
      <c r="C5327" s="38" t="s">
        <v>8390</v>
      </c>
      <c r="D5327" s="38" t="str">
        <f>IFERROR(__xludf.DUMMYFUNCTION("REGEXREPLACE(C5327,""-\d+(.*)|--\d+(.*)"","""")"),"LACHAPELLE-AUZAC")</f>
        <v>LACHAPELLE-AUZAC</v>
      </c>
      <c r="E5327" s="38" t="s">
        <v>185</v>
      </c>
      <c r="F5327" s="38" t="s">
        <v>94</v>
      </c>
      <c r="G5327" s="49" t="str">
        <f t="shared" si="1"/>
        <v>46200</v>
      </c>
      <c r="H5327" s="49">
        <f t="shared" si="2"/>
        <v>46145</v>
      </c>
    </row>
    <row r="5328">
      <c r="A5328" s="48" t="s">
        <v>6694</v>
      </c>
      <c r="B5328" s="38">
        <v>16334.0</v>
      </c>
      <c r="C5328" s="38" t="s">
        <v>8391</v>
      </c>
      <c r="D5328" s="38" t="str">
        <f>IFERROR(__xludf.DUMMYFUNCTION("REGEXREPLACE(C5328,""-\d+(.*)|--\d+(.*)"","""")"),"SAINT-MARTIAL")</f>
        <v>SAINT-MARTIAL</v>
      </c>
      <c r="E5328" s="38" t="s">
        <v>429</v>
      </c>
      <c r="F5328" s="38" t="s">
        <v>338</v>
      </c>
      <c r="G5328" s="49" t="str">
        <f t="shared" si="1"/>
        <v>16190</v>
      </c>
      <c r="H5328" s="49">
        <f t="shared" si="2"/>
        <v>16334</v>
      </c>
    </row>
    <row r="5329">
      <c r="A5329" s="48" t="s">
        <v>6474</v>
      </c>
      <c r="B5329" s="38">
        <v>61129.0</v>
      </c>
      <c r="C5329" s="38" t="s">
        <v>8392</v>
      </c>
      <c r="D5329" s="38" t="str">
        <f>IFERROR(__xludf.DUMMYFUNCTION("REGEXREPLACE(C5329,""-\d+(.*)|--\d+(.*)"","""")"),"COURGEON")</f>
        <v>COURGEON</v>
      </c>
      <c r="E5329" s="38" t="s">
        <v>141</v>
      </c>
      <c r="F5329" s="38" t="s">
        <v>138</v>
      </c>
      <c r="G5329" s="49" t="str">
        <f t="shared" si="1"/>
        <v>61400</v>
      </c>
      <c r="H5329" s="49">
        <f t="shared" si="2"/>
        <v>61129</v>
      </c>
    </row>
    <row r="5330">
      <c r="A5330" s="48" t="s">
        <v>8393</v>
      </c>
      <c r="B5330" s="38">
        <v>80450.0</v>
      </c>
      <c r="C5330" s="38" t="s">
        <v>8394</v>
      </c>
      <c r="D5330" s="38" t="str">
        <f>IFERROR(__xludf.DUMMYFUNCTION("REGEXREPLACE(C5330,""-\d+(.*)|--\d+(.*)"","""")"),"INVAL-BOIRON")</f>
        <v>INVAL-BOIRON</v>
      </c>
      <c r="E5330" s="38" t="s">
        <v>224</v>
      </c>
      <c r="F5330" s="38" t="s">
        <v>113</v>
      </c>
      <c r="G5330" s="49" t="str">
        <f t="shared" si="1"/>
        <v>80430</v>
      </c>
      <c r="H5330" s="49">
        <f t="shared" si="2"/>
        <v>80450</v>
      </c>
    </row>
    <row r="5331">
      <c r="A5331" s="48" t="s">
        <v>7082</v>
      </c>
      <c r="B5331" s="38">
        <v>79019.0</v>
      </c>
      <c r="C5331" s="38" t="s">
        <v>8395</v>
      </c>
      <c r="D5331" s="38" t="str">
        <f>IFERROR(__xludf.DUMMYFUNCTION("REGEXREPLACE(C5331,""-\d+(.*)|--\d+(.*)"","""")"),"AUBIGNY")</f>
        <v>AUBIGNY</v>
      </c>
      <c r="E5331" s="38" t="s">
        <v>337</v>
      </c>
      <c r="F5331" s="38" t="s">
        <v>338</v>
      </c>
      <c r="G5331" s="49" t="str">
        <f t="shared" si="1"/>
        <v>79390</v>
      </c>
      <c r="H5331" s="49">
        <f t="shared" si="2"/>
        <v>79019</v>
      </c>
    </row>
    <row r="5332">
      <c r="A5332" s="48" t="s">
        <v>8396</v>
      </c>
      <c r="B5332" s="38">
        <v>7117.0</v>
      </c>
      <c r="C5332" s="38" t="s">
        <v>8397</v>
      </c>
      <c r="D5332" s="38" t="str">
        <f>IFERROR(__xludf.DUMMYFUNCTION("REGEXREPLACE(C5332,""-\d+(.*)|--\d+(.*)"","""")"),"LABLACHERE")</f>
        <v>LABLACHERE</v>
      </c>
      <c r="E5332" s="38" t="s">
        <v>144</v>
      </c>
      <c r="F5332" s="38" t="s">
        <v>102</v>
      </c>
      <c r="G5332" s="49" t="str">
        <f t="shared" si="1"/>
        <v>07230</v>
      </c>
      <c r="H5332" s="49" t="str">
        <f t="shared" si="2"/>
        <v>07117</v>
      </c>
    </row>
    <row r="5333">
      <c r="A5333" s="48" t="s">
        <v>8398</v>
      </c>
      <c r="B5333" s="38">
        <v>21163.0</v>
      </c>
      <c r="C5333" s="38" t="s">
        <v>5193</v>
      </c>
      <c r="D5333" s="38" t="str">
        <f>IFERROR(__xludf.DUMMYFUNCTION("REGEXREPLACE(C5333,""-\d+(.*)|--\d+(.*)"","""")"),"CHAZEUIL")</f>
        <v>CHAZEUIL</v>
      </c>
      <c r="E5333" s="38" t="s">
        <v>105</v>
      </c>
      <c r="F5333" s="38" t="s">
        <v>106</v>
      </c>
      <c r="G5333" s="49" t="str">
        <f t="shared" si="1"/>
        <v>21260</v>
      </c>
      <c r="H5333" s="49">
        <f t="shared" si="2"/>
        <v>21163</v>
      </c>
    </row>
    <row r="5334">
      <c r="A5334" s="48" t="s">
        <v>2708</v>
      </c>
      <c r="B5334" s="38">
        <v>70476.0</v>
      </c>
      <c r="C5334" s="38" t="s">
        <v>8399</v>
      </c>
      <c r="D5334" s="38" t="str">
        <f>IFERROR(__xludf.DUMMYFUNCTION("REGEXREPLACE(C5334,""-\d+(.*)|--\d+(.*)"","""")"),"SAPONCOURT")</f>
        <v>SAPONCOURT</v>
      </c>
      <c r="E5334" s="38" t="s">
        <v>956</v>
      </c>
      <c r="F5334" s="38" t="s">
        <v>214</v>
      </c>
      <c r="G5334" s="49" t="str">
        <f t="shared" si="1"/>
        <v>70210</v>
      </c>
      <c r="H5334" s="49">
        <f t="shared" si="2"/>
        <v>70476</v>
      </c>
    </row>
    <row r="5335">
      <c r="A5335" s="48" t="s">
        <v>1102</v>
      </c>
      <c r="B5335" s="38">
        <v>35197.0</v>
      </c>
      <c r="C5335" s="38" t="s">
        <v>8400</v>
      </c>
      <c r="D5335" s="38" t="str">
        <f>IFERROR(__xludf.DUMMYFUNCTION("REGEXREPLACE(C5335,""-\d+(.*)|--\d+(.*)"","""")"),"MOUAZE")</f>
        <v>MOUAZE</v>
      </c>
      <c r="E5335" s="38" t="s">
        <v>347</v>
      </c>
      <c r="F5335" s="38" t="s">
        <v>90</v>
      </c>
      <c r="G5335" s="49" t="str">
        <f t="shared" si="1"/>
        <v>35250</v>
      </c>
      <c r="H5335" s="49">
        <f t="shared" si="2"/>
        <v>35197</v>
      </c>
    </row>
    <row r="5336">
      <c r="A5336" s="48" t="s">
        <v>765</v>
      </c>
      <c r="B5336" s="38">
        <v>89066.0</v>
      </c>
      <c r="C5336" s="38" t="s">
        <v>8401</v>
      </c>
      <c r="D5336" s="38" t="str">
        <f>IFERROR(__xludf.DUMMYFUNCTION("REGEXREPLACE(C5336,""-\d+(.*)|--\d+(.*)"","""")"),"CERISIERS")</f>
        <v>CERISIERS</v>
      </c>
      <c r="E5336" s="38" t="s">
        <v>275</v>
      </c>
      <c r="F5336" s="38" t="s">
        <v>106</v>
      </c>
      <c r="G5336" s="49" t="str">
        <f t="shared" si="1"/>
        <v>89320</v>
      </c>
      <c r="H5336" s="49">
        <f t="shared" si="2"/>
        <v>89066</v>
      </c>
    </row>
    <row r="5337">
      <c r="A5337" s="48" t="s">
        <v>7933</v>
      </c>
      <c r="B5337" s="38">
        <v>27466.0</v>
      </c>
      <c r="C5337" s="38" t="s">
        <v>8402</v>
      </c>
      <c r="D5337" s="38" t="str">
        <f>IFERROR(__xludf.DUMMYFUNCTION("REGEXREPLACE(C5337,""-\d+(.*)|--\d+(.*)"","""")"),"LE PLESSIS-SAINTE-OPPORTUNE")</f>
        <v>LE PLESSIS-SAINTE-OPPORTUNE</v>
      </c>
      <c r="E5337" s="38" t="s">
        <v>241</v>
      </c>
      <c r="F5337" s="38" t="s">
        <v>134</v>
      </c>
      <c r="G5337" s="49" t="str">
        <f t="shared" si="1"/>
        <v>27170</v>
      </c>
      <c r="H5337" s="49">
        <f t="shared" si="2"/>
        <v>27466</v>
      </c>
    </row>
    <row r="5338">
      <c r="A5338" s="48" t="s">
        <v>719</v>
      </c>
      <c r="B5338" s="38">
        <v>8205.0</v>
      </c>
      <c r="C5338" s="38" t="s">
        <v>8403</v>
      </c>
      <c r="D5338" s="38" t="str">
        <f>IFERROR(__xludf.DUMMYFUNCTION("REGEXREPLACE(C5338,""-\d+(.*)|--\d+(.*)"","""")"),"HAGNICOURT")</f>
        <v>HAGNICOURT</v>
      </c>
      <c r="E5338" s="38" t="s">
        <v>327</v>
      </c>
      <c r="F5338" s="38" t="s">
        <v>130</v>
      </c>
      <c r="G5338" s="49" t="str">
        <f t="shared" si="1"/>
        <v>08430</v>
      </c>
      <c r="H5338" s="49" t="str">
        <f t="shared" si="2"/>
        <v>08205</v>
      </c>
    </row>
    <row r="5339">
      <c r="A5339" s="48" t="s">
        <v>8404</v>
      </c>
      <c r="B5339" s="38" t="s">
        <v>8405</v>
      </c>
      <c r="C5339" s="38" t="s">
        <v>8406</v>
      </c>
      <c r="D5339" s="38" t="str">
        <f>IFERROR(__xludf.DUMMYFUNCTION("REGEXREPLACE(C5339,""-\d+(.*)|--\d+(.*)"","""")"),"MONTE")</f>
        <v>MONTE</v>
      </c>
      <c r="E5339" s="38" t="s">
        <v>743</v>
      </c>
      <c r="F5339" s="38" t="s">
        <v>607</v>
      </c>
      <c r="G5339" s="49" t="str">
        <f t="shared" si="1"/>
        <v>20290</v>
      </c>
      <c r="H5339" s="49" t="str">
        <f t="shared" si="2"/>
        <v>2B166</v>
      </c>
    </row>
    <row r="5340">
      <c r="A5340" s="48" t="s">
        <v>6858</v>
      </c>
      <c r="B5340" s="38">
        <v>71381.0</v>
      </c>
      <c r="C5340" s="38" t="s">
        <v>7977</v>
      </c>
      <c r="D5340" s="38" t="str">
        <f>IFERROR(__xludf.DUMMYFUNCTION("REGEXREPLACE(C5340,""-\d+(.*)|--\d+(.*)"","""")"),"SAILLY")</f>
        <v>SAILLY</v>
      </c>
      <c r="E5340" s="38" t="s">
        <v>344</v>
      </c>
      <c r="F5340" s="38" t="s">
        <v>106</v>
      </c>
      <c r="G5340" s="49" t="str">
        <f t="shared" si="1"/>
        <v>71250</v>
      </c>
      <c r="H5340" s="49">
        <f t="shared" si="2"/>
        <v>71381</v>
      </c>
    </row>
    <row r="5341">
      <c r="A5341" s="48" t="s">
        <v>7462</v>
      </c>
      <c r="B5341" s="38">
        <v>25303.0</v>
      </c>
      <c r="C5341" s="38" t="s">
        <v>8407</v>
      </c>
      <c r="D5341" s="38" t="str">
        <f>IFERROR(__xludf.DUMMYFUNCTION("REGEXREPLACE(C5341,""-\d+(.*)|--\d+(.*)"","""")"),"HAUTERIVE-LA-FRESSE")</f>
        <v>HAUTERIVE-LA-FRESSE</v>
      </c>
      <c r="E5341" s="38" t="s">
        <v>213</v>
      </c>
      <c r="F5341" s="38" t="s">
        <v>214</v>
      </c>
      <c r="G5341" s="49" t="str">
        <f t="shared" si="1"/>
        <v>25650</v>
      </c>
      <c r="H5341" s="49">
        <f t="shared" si="2"/>
        <v>25303</v>
      </c>
    </row>
    <row r="5342">
      <c r="A5342" s="48" t="s">
        <v>719</v>
      </c>
      <c r="B5342" s="38">
        <v>8099.0</v>
      </c>
      <c r="C5342" s="38" t="s">
        <v>8408</v>
      </c>
      <c r="D5342" s="38" t="str">
        <f>IFERROR(__xludf.DUMMYFUNCTION("REGEXREPLACE(C5342,""-\d+(.*)|--\d+(.*)"","""")"),"CHAMPIGNEUL-SUR-VENCE")</f>
        <v>CHAMPIGNEUL-SUR-VENCE</v>
      </c>
      <c r="E5342" s="38" t="s">
        <v>327</v>
      </c>
      <c r="F5342" s="38" t="s">
        <v>130</v>
      </c>
      <c r="G5342" s="49" t="str">
        <f t="shared" si="1"/>
        <v>08430</v>
      </c>
      <c r="H5342" s="49" t="str">
        <f t="shared" si="2"/>
        <v>08099</v>
      </c>
    </row>
    <row r="5343">
      <c r="A5343" s="48" t="s">
        <v>5532</v>
      </c>
      <c r="B5343" s="38">
        <v>30029.0</v>
      </c>
      <c r="C5343" s="38" t="s">
        <v>8409</v>
      </c>
      <c r="D5343" s="38" t="str">
        <f>IFERROR(__xludf.DUMMYFUNCTION("REGEXREPLACE(C5343,""-\d+(.*)|--\d+(.*)"","""")"),"BARJAC")</f>
        <v>BARJAC</v>
      </c>
      <c r="E5343" s="38" t="s">
        <v>526</v>
      </c>
      <c r="F5343" s="38" t="s">
        <v>119</v>
      </c>
      <c r="G5343" s="49" t="str">
        <f t="shared" si="1"/>
        <v>30430</v>
      </c>
      <c r="H5343" s="49">
        <f t="shared" si="2"/>
        <v>30029</v>
      </c>
    </row>
    <row r="5344">
      <c r="A5344" s="48" t="s">
        <v>8410</v>
      </c>
      <c r="B5344" s="38">
        <v>11404.0</v>
      </c>
      <c r="C5344" s="38" t="s">
        <v>8411</v>
      </c>
      <c r="D5344" s="38" t="str">
        <f>IFERROR(__xludf.DUMMYFUNCTION("REGEXREPLACE(C5344,""-\d+(.*)|--\d+(.*)"","""")"),"VENTENAC-CABARDES")</f>
        <v>VENTENAC-CABARDES</v>
      </c>
      <c r="E5344" s="38" t="s">
        <v>278</v>
      </c>
      <c r="F5344" s="38" t="s">
        <v>119</v>
      </c>
      <c r="G5344" s="49" t="str">
        <f t="shared" si="1"/>
        <v>11610</v>
      </c>
      <c r="H5344" s="49">
        <f t="shared" si="2"/>
        <v>11404</v>
      </c>
    </row>
    <row r="5345">
      <c r="A5345" s="48" t="s">
        <v>8412</v>
      </c>
      <c r="B5345" s="38">
        <v>43081.0</v>
      </c>
      <c r="C5345" s="38" t="s">
        <v>8413</v>
      </c>
      <c r="D5345" s="38" t="str">
        <f>IFERROR(__xludf.DUMMYFUNCTION("REGEXREPLACE(C5345,""-\d+(.*)|--\d+(.*)"","""")"),"CROISANCES")</f>
        <v>CROISANCES</v>
      </c>
      <c r="E5345" s="38" t="s">
        <v>332</v>
      </c>
      <c r="F5345" s="38" t="s">
        <v>161</v>
      </c>
      <c r="G5345" s="49" t="str">
        <f t="shared" si="1"/>
        <v>43580</v>
      </c>
      <c r="H5345" s="49">
        <f t="shared" si="2"/>
        <v>43081</v>
      </c>
    </row>
    <row r="5346">
      <c r="A5346" s="48" t="s">
        <v>8414</v>
      </c>
      <c r="B5346" s="38">
        <v>60595.0</v>
      </c>
      <c r="C5346" s="38" t="s">
        <v>8415</v>
      </c>
      <c r="D5346" s="38" t="str">
        <f>IFERROR(__xludf.DUMMYFUNCTION("REGEXREPLACE(C5346,""-\d+(.*)|--\d+(.*)"","""")"),"SAINT-REMY-EN-L'EAU")</f>
        <v>SAINT-REMY-EN-L'EAU</v>
      </c>
      <c r="E5346" s="38" t="s">
        <v>112</v>
      </c>
      <c r="F5346" s="38" t="s">
        <v>113</v>
      </c>
      <c r="G5346" s="49" t="str">
        <f t="shared" si="1"/>
        <v>60130</v>
      </c>
      <c r="H5346" s="49">
        <f t="shared" si="2"/>
        <v>60595</v>
      </c>
    </row>
    <row r="5347">
      <c r="A5347" s="48" t="s">
        <v>279</v>
      </c>
      <c r="B5347" s="38">
        <v>40064.0</v>
      </c>
      <c r="C5347" s="38" t="s">
        <v>8416</v>
      </c>
      <c r="D5347" s="38" t="str">
        <f>IFERROR(__xludf.DUMMYFUNCTION("REGEXREPLACE(C5347,""-\d+(.*)|--\d+(.*)"","""")"),"CANENX-ET-REAUT")</f>
        <v>CANENX-ET-REAUT</v>
      </c>
      <c r="E5347" s="38" t="s">
        <v>281</v>
      </c>
      <c r="F5347" s="38" t="s">
        <v>252</v>
      </c>
      <c r="G5347" s="49" t="str">
        <f t="shared" si="1"/>
        <v>40090</v>
      </c>
      <c r="H5347" s="49">
        <f t="shared" si="2"/>
        <v>40064</v>
      </c>
    </row>
    <row r="5348">
      <c r="A5348" s="48" t="s">
        <v>5605</v>
      </c>
      <c r="B5348" s="38">
        <v>66018.0</v>
      </c>
      <c r="C5348" s="38" t="s">
        <v>8417</v>
      </c>
      <c r="D5348" s="38" t="str">
        <f>IFERROR(__xludf.DUMMYFUNCTION("REGEXREPLACE(C5348,""-\d+(.*)|--\d+(.*)"","""")"),"LA BASTIDE")</f>
        <v>LA BASTIDE</v>
      </c>
      <c r="E5348" s="38" t="s">
        <v>248</v>
      </c>
      <c r="F5348" s="38" t="s">
        <v>119</v>
      </c>
      <c r="G5348" s="49" t="str">
        <f t="shared" si="1"/>
        <v>66110</v>
      </c>
      <c r="H5348" s="49">
        <f t="shared" si="2"/>
        <v>66018</v>
      </c>
    </row>
    <row r="5349">
      <c r="A5349" s="48" t="s">
        <v>8418</v>
      </c>
      <c r="B5349" s="38">
        <v>80655.0</v>
      </c>
      <c r="C5349" s="38" t="s">
        <v>8419</v>
      </c>
      <c r="D5349" s="38" t="str">
        <f>IFERROR(__xludf.DUMMYFUNCTION("REGEXREPLACE(C5349,""-\d+(.*)|--\d+(.*)"","""")"),"QUESNOY-SUR-AIRAINES")</f>
        <v>QUESNOY-SUR-AIRAINES</v>
      </c>
      <c r="E5349" s="38" t="s">
        <v>224</v>
      </c>
      <c r="F5349" s="38" t="s">
        <v>113</v>
      </c>
      <c r="G5349" s="49" t="str">
        <f t="shared" si="1"/>
        <v>80270</v>
      </c>
      <c r="H5349" s="49">
        <f t="shared" si="2"/>
        <v>80655</v>
      </c>
    </row>
    <row r="5350">
      <c r="A5350" s="48" t="s">
        <v>1770</v>
      </c>
      <c r="B5350" s="38">
        <v>57021.0</v>
      </c>
      <c r="C5350" s="38" t="s">
        <v>8420</v>
      </c>
      <c r="D5350" s="38" t="str">
        <f>IFERROR(__xludf.DUMMYFUNCTION("REGEXREPLACE(C5350,""-\d+(.*)|--\d+(.*)"","""")"),"ANCY-SUR-MOSELLE")</f>
        <v>ANCY-SUR-MOSELLE</v>
      </c>
      <c r="E5350" s="38" t="s">
        <v>303</v>
      </c>
      <c r="F5350" s="38" t="s">
        <v>195</v>
      </c>
      <c r="G5350" s="49" t="str">
        <f t="shared" si="1"/>
        <v>57130</v>
      </c>
      <c r="H5350" s="49">
        <f t="shared" si="2"/>
        <v>57021</v>
      </c>
    </row>
    <row r="5351">
      <c r="A5351" s="48" t="s">
        <v>1774</v>
      </c>
      <c r="B5351" s="38">
        <v>28016.0</v>
      </c>
      <c r="C5351" s="38" t="s">
        <v>8421</v>
      </c>
      <c r="D5351" s="38" t="str">
        <f>IFERROR(__xludf.DUMMYFUNCTION("REGEXREPLACE(C5351,""-\d+(.*)|--\d+(.*)"","""")"),"LES AUTELS-VILLEVILLON")</f>
        <v>LES AUTELS-VILLEVILLON</v>
      </c>
      <c r="E5351" s="38" t="s">
        <v>300</v>
      </c>
      <c r="F5351" s="38" t="s">
        <v>123</v>
      </c>
      <c r="G5351" s="49" t="str">
        <f t="shared" si="1"/>
        <v>28330</v>
      </c>
      <c r="H5351" s="49">
        <f t="shared" si="2"/>
        <v>28016</v>
      </c>
    </row>
    <row r="5352">
      <c r="A5352" s="48" t="s">
        <v>4880</v>
      </c>
      <c r="B5352" s="38">
        <v>89092.0</v>
      </c>
      <c r="C5352" s="38" t="s">
        <v>8422</v>
      </c>
      <c r="D5352" s="38" t="str">
        <f>IFERROR(__xludf.DUMMYFUNCTION("REGEXREPLACE(C5352,""-\d+(.*)|--\d+(.*)"","""")"),"CHATEL-GERARD")</f>
        <v>CHATEL-GERARD</v>
      </c>
      <c r="E5352" s="38" t="s">
        <v>275</v>
      </c>
      <c r="F5352" s="38" t="s">
        <v>106</v>
      </c>
      <c r="G5352" s="49" t="str">
        <f t="shared" si="1"/>
        <v>89310</v>
      </c>
      <c r="H5352" s="49">
        <f t="shared" si="2"/>
        <v>89092</v>
      </c>
    </row>
    <row r="5353">
      <c r="A5353" s="48" t="s">
        <v>3683</v>
      </c>
      <c r="B5353" s="38">
        <v>58072.0</v>
      </c>
      <c r="C5353" s="38" t="s">
        <v>8423</v>
      </c>
      <c r="D5353" s="38" t="str">
        <f>IFERROR(__xludf.DUMMYFUNCTION("REGEXREPLACE(C5353,""-\d+(.*)|--\d+(.*)"","""")"),"CHEVENON")</f>
        <v>CHEVENON</v>
      </c>
      <c r="E5353" s="38" t="s">
        <v>219</v>
      </c>
      <c r="F5353" s="38" t="s">
        <v>106</v>
      </c>
      <c r="G5353" s="49" t="str">
        <f t="shared" si="1"/>
        <v>58160</v>
      </c>
      <c r="H5353" s="49">
        <f t="shared" si="2"/>
        <v>58072</v>
      </c>
    </row>
    <row r="5354">
      <c r="A5354" s="48" t="s">
        <v>8424</v>
      </c>
      <c r="B5354" s="38">
        <v>47054.0</v>
      </c>
      <c r="C5354" s="38" t="s">
        <v>8425</v>
      </c>
      <c r="D5354" s="38" t="str">
        <f>IFERROR(__xludf.DUMMYFUNCTION("REGEXREPLACE(C5354,""-\d+(.*)|--\d+(.*)"","""")"),"CASTELMORON-SUR-LOT")</f>
        <v>CASTELMORON-SUR-LOT</v>
      </c>
      <c r="E5354" s="38" t="s">
        <v>251</v>
      </c>
      <c r="F5354" s="38" t="s">
        <v>252</v>
      </c>
      <c r="G5354" s="49" t="str">
        <f t="shared" si="1"/>
        <v>47260</v>
      </c>
      <c r="H5354" s="49">
        <f t="shared" si="2"/>
        <v>47054</v>
      </c>
    </row>
    <row r="5355">
      <c r="A5355" s="48" t="s">
        <v>2517</v>
      </c>
      <c r="B5355" s="38">
        <v>6002.0</v>
      </c>
      <c r="C5355" s="38" t="s">
        <v>8426</v>
      </c>
      <c r="D5355" s="38" t="str">
        <f>IFERROR(__xludf.DUMMYFUNCTION("REGEXREPLACE(C5355,""-\d+(.*)|--\d+(.*)"","""")"),"AMIRAT")</f>
        <v>AMIRAT</v>
      </c>
      <c r="E5355" s="38" t="s">
        <v>227</v>
      </c>
      <c r="F5355" s="38" t="s">
        <v>228</v>
      </c>
      <c r="G5355" s="49" t="str">
        <f t="shared" si="1"/>
        <v>06910</v>
      </c>
      <c r="H5355" s="49" t="str">
        <f t="shared" si="2"/>
        <v>06002</v>
      </c>
    </row>
    <row r="5356">
      <c r="A5356" s="48" t="s">
        <v>8427</v>
      </c>
      <c r="B5356" s="38">
        <v>66017.0</v>
      </c>
      <c r="C5356" s="38" t="s">
        <v>8428</v>
      </c>
      <c r="D5356" s="38" t="str">
        <f>IFERROR(__xludf.DUMMYFUNCTION("REGEXREPLACE(C5356,""-\d+(.*)|--\d+(.*)"","""")"),"LE BARCARES")</f>
        <v>LE BARCARES</v>
      </c>
      <c r="E5356" s="38" t="s">
        <v>248</v>
      </c>
      <c r="F5356" s="38" t="s">
        <v>119</v>
      </c>
      <c r="G5356" s="49" t="str">
        <f t="shared" si="1"/>
        <v>66420</v>
      </c>
      <c r="H5356" s="49">
        <f t="shared" si="2"/>
        <v>66017</v>
      </c>
    </row>
    <row r="5357">
      <c r="A5357" s="48" t="s">
        <v>2712</v>
      </c>
      <c r="B5357" s="38">
        <v>72265.0</v>
      </c>
      <c r="C5357" s="38" t="s">
        <v>7967</v>
      </c>
      <c r="D5357" s="38" t="str">
        <f>IFERROR(__xludf.DUMMYFUNCTION("REGEXREPLACE(C5357,""-\d+(.*)|--\d+(.*)"","""")"),"SAINT-AIGNAN")</f>
        <v>SAINT-AIGNAN</v>
      </c>
      <c r="E5357" s="38" t="s">
        <v>521</v>
      </c>
      <c r="F5357" s="38" t="s">
        <v>180</v>
      </c>
      <c r="G5357" s="49" t="str">
        <f t="shared" si="1"/>
        <v>72110</v>
      </c>
      <c r="H5357" s="49">
        <f t="shared" si="2"/>
        <v>72265</v>
      </c>
    </row>
    <row r="5358">
      <c r="A5358" s="48" t="s">
        <v>8429</v>
      </c>
      <c r="B5358" s="38">
        <v>44013.0</v>
      </c>
      <c r="C5358" s="38" t="s">
        <v>8430</v>
      </c>
      <c r="D5358" s="38" t="str">
        <f>IFERROR(__xludf.DUMMYFUNCTION("REGEXREPLACE(C5358,""-\d+(.*)|--\d+(.*)"","""")"),"BESNE")</f>
        <v>BESNE</v>
      </c>
      <c r="E5358" s="38" t="s">
        <v>759</v>
      </c>
      <c r="F5358" s="38" t="s">
        <v>180</v>
      </c>
      <c r="G5358" s="49" t="str">
        <f t="shared" si="1"/>
        <v>44160</v>
      </c>
      <c r="H5358" s="49">
        <f t="shared" si="2"/>
        <v>44013</v>
      </c>
    </row>
    <row r="5359">
      <c r="A5359" s="48" t="s">
        <v>4838</v>
      </c>
      <c r="B5359" s="38">
        <v>17077.0</v>
      </c>
      <c r="C5359" s="38" t="s">
        <v>8431</v>
      </c>
      <c r="D5359" s="38" t="str">
        <f>IFERROR(__xludf.DUMMYFUNCTION("REGEXREPLACE(C5359,""-\d+(.*)|--\d+(.*)"","""")"),"CERCOUX")</f>
        <v>CERCOUX</v>
      </c>
      <c r="E5359" s="38" t="s">
        <v>488</v>
      </c>
      <c r="F5359" s="38" t="s">
        <v>338</v>
      </c>
      <c r="G5359" s="49" t="str">
        <f t="shared" si="1"/>
        <v>17270</v>
      </c>
      <c r="H5359" s="49">
        <f t="shared" si="2"/>
        <v>17077</v>
      </c>
    </row>
    <row r="5360">
      <c r="A5360" s="48" t="s">
        <v>601</v>
      </c>
      <c r="B5360" s="38">
        <v>51311.0</v>
      </c>
      <c r="C5360" s="38" t="s">
        <v>8432</v>
      </c>
      <c r="D5360" s="38" t="str">
        <f>IFERROR(__xludf.DUMMYFUNCTION("REGEXREPLACE(C5360,""-\d+(.*)|--\d+(.*)"","""")"),"JUSSECOURT-MINECOURT")</f>
        <v>JUSSECOURT-MINECOURT</v>
      </c>
      <c r="E5360" s="38" t="s">
        <v>129</v>
      </c>
      <c r="F5360" s="38" t="s">
        <v>130</v>
      </c>
      <c r="G5360" s="49" t="str">
        <f t="shared" si="1"/>
        <v>51340</v>
      </c>
      <c r="H5360" s="49">
        <f t="shared" si="2"/>
        <v>51311</v>
      </c>
    </row>
    <row r="5361">
      <c r="A5361" s="48" t="s">
        <v>2558</v>
      </c>
      <c r="B5361" s="38">
        <v>16045.0</v>
      </c>
      <c r="C5361" s="38" t="s">
        <v>8433</v>
      </c>
      <c r="D5361" s="38" t="str">
        <f>IFERROR(__xludf.DUMMYFUNCTION("REGEXREPLACE(C5361,""-\d+(.*)|--\d+(.*)"","""")"),"BIRAC")</f>
        <v>BIRAC</v>
      </c>
      <c r="E5361" s="38" t="s">
        <v>429</v>
      </c>
      <c r="F5361" s="38" t="s">
        <v>338</v>
      </c>
      <c r="G5361" s="49" t="str">
        <f t="shared" si="1"/>
        <v>16120</v>
      </c>
      <c r="H5361" s="49">
        <f t="shared" si="2"/>
        <v>16045</v>
      </c>
    </row>
    <row r="5362">
      <c r="A5362" s="48" t="s">
        <v>2249</v>
      </c>
      <c r="B5362" s="38">
        <v>14391.0</v>
      </c>
      <c r="C5362" s="38" t="s">
        <v>6454</v>
      </c>
      <c r="D5362" s="38" t="str">
        <f>IFERROR(__xludf.DUMMYFUNCTION("REGEXREPLACE(C5362,""-\d+(.*)|--\d+(.*)"","""")"),"MAISONS")</f>
        <v>MAISONS</v>
      </c>
      <c r="E5362" s="38" t="s">
        <v>137</v>
      </c>
      <c r="F5362" s="38" t="s">
        <v>138</v>
      </c>
      <c r="G5362" s="49" t="str">
        <f t="shared" si="1"/>
        <v>14400</v>
      </c>
      <c r="H5362" s="49">
        <f t="shared" si="2"/>
        <v>14391</v>
      </c>
    </row>
    <row r="5363">
      <c r="A5363" s="48" t="s">
        <v>8434</v>
      </c>
      <c r="B5363" s="38">
        <v>41037.0</v>
      </c>
      <c r="C5363" s="38" t="s">
        <v>8435</v>
      </c>
      <c r="D5363" s="38" t="str">
        <f>IFERROR(__xludf.DUMMYFUNCTION("REGEXREPLACE(C5363,""-\d+(.*)|--\d+(.*)"","""")"),"LA CHAPELLE-ENCHERIE")</f>
        <v>LA CHAPELLE-ENCHERIE</v>
      </c>
      <c r="E5363" s="38" t="s">
        <v>188</v>
      </c>
      <c r="F5363" s="38" t="s">
        <v>123</v>
      </c>
      <c r="G5363" s="49" t="str">
        <f t="shared" si="1"/>
        <v>41290</v>
      </c>
      <c r="H5363" s="49">
        <f t="shared" si="2"/>
        <v>41037</v>
      </c>
    </row>
    <row r="5364">
      <c r="A5364" s="48" t="s">
        <v>2605</v>
      </c>
      <c r="B5364" s="38">
        <v>39016.0</v>
      </c>
      <c r="C5364" s="38" t="s">
        <v>8436</v>
      </c>
      <c r="D5364" s="38" t="str">
        <f>IFERROR(__xludf.DUMMYFUNCTION("REGEXREPLACE(C5364,""-\d+(.*)|--\d+(.*)"","""")"),"ARINTHOD")</f>
        <v>ARINTHOD</v>
      </c>
      <c r="E5364" s="38" t="s">
        <v>400</v>
      </c>
      <c r="F5364" s="38" t="s">
        <v>214</v>
      </c>
      <c r="G5364" s="49" t="str">
        <f t="shared" si="1"/>
        <v>39240</v>
      </c>
      <c r="H5364" s="49">
        <f t="shared" si="2"/>
        <v>39016</v>
      </c>
    </row>
    <row r="5365">
      <c r="A5365" s="48" t="s">
        <v>1874</v>
      </c>
      <c r="B5365" s="38">
        <v>73082.0</v>
      </c>
      <c r="C5365" s="38" t="s">
        <v>8437</v>
      </c>
      <c r="D5365" s="38" t="str">
        <f>IFERROR(__xludf.DUMMYFUNCTION("REGEXREPLACE(C5365,""-\d+(.*)|--\d+(.*)"","""")"),"LA CHAVANNE")</f>
        <v>LA CHAVANNE</v>
      </c>
      <c r="E5365" s="38" t="s">
        <v>306</v>
      </c>
      <c r="F5365" s="38" t="s">
        <v>102</v>
      </c>
      <c r="G5365" s="49" t="str">
        <f t="shared" si="1"/>
        <v>73800</v>
      </c>
      <c r="H5365" s="49">
        <f t="shared" si="2"/>
        <v>73082</v>
      </c>
    </row>
    <row r="5366">
      <c r="A5366" s="48" t="s">
        <v>7375</v>
      </c>
      <c r="B5366" s="38">
        <v>91293.0</v>
      </c>
      <c r="C5366" s="38" t="s">
        <v>8438</v>
      </c>
      <c r="D5366" s="38" t="str">
        <f>IFERROR(__xludf.DUMMYFUNCTION("REGEXREPLACE(C5366,""-\d+(.*)|--\d+(.*)"","""")"),"GUIGNEVILLE-SUR-ESSONNE")</f>
        <v>GUIGNEVILLE-SUR-ESSONNE</v>
      </c>
      <c r="E5366" s="38" t="s">
        <v>756</v>
      </c>
      <c r="F5366" s="38" t="s">
        <v>245</v>
      </c>
      <c r="G5366" s="49" t="str">
        <f t="shared" si="1"/>
        <v>91590</v>
      </c>
      <c r="H5366" s="49">
        <f t="shared" si="2"/>
        <v>91293</v>
      </c>
    </row>
    <row r="5367">
      <c r="A5367" s="48" t="s">
        <v>8439</v>
      </c>
      <c r="B5367" s="38">
        <v>89276.0</v>
      </c>
      <c r="C5367" s="38" t="s">
        <v>8440</v>
      </c>
      <c r="D5367" s="38" t="str">
        <f>IFERROR(__xludf.DUMMYFUNCTION("REGEXREPLACE(C5367,""-\d+(.*)|--\d+(.*)"","""")"),"NEUVY-SAUTOUR")</f>
        <v>NEUVY-SAUTOUR</v>
      </c>
      <c r="E5367" s="38" t="s">
        <v>275</v>
      </c>
      <c r="F5367" s="38" t="s">
        <v>106</v>
      </c>
      <c r="G5367" s="49" t="str">
        <f t="shared" si="1"/>
        <v>89570</v>
      </c>
      <c r="H5367" s="49">
        <f t="shared" si="2"/>
        <v>89276</v>
      </c>
    </row>
    <row r="5368">
      <c r="A5368" s="48" t="s">
        <v>8441</v>
      </c>
      <c r="B5368" s="38">
        <v>30175.0</v>
      </c>
      <c r="C5368" s="38" t="s">
        <v>8442</v>
      </c>
      <c r="D5368" s="38" t="str">
        <f>IFERROR(__xludf.DUMMYFUNCTION("REGEXREPLACE(C5368,""-\d+(.*)|--\d+(.*)"","""")"),"MONTCLUS")</f>
        <v>MONTCLUS</v>
      </c>
      <c r="E5368" s="38" t="s">
        <v>526</v>
      </c>
      <c r="F5368" s="38" t="s">
        <v>119</v>
      </c>
      <c r="G5368" s="49" t="str">
        <f t="shared" si="1"/>
        <v>30630</v>
      </c>
      <c r="H5368" s="49">
        <f t="shared" si="2"/>
        <v>30175</v>
      </c>
    </row>
    <row r="5369">
      <c r="A5369" s="48" t="s">
        <v>7231</v>
      </c>
      <c r="B5369" s="38">
        <v>54006.0</v>
      </c>
      <c r="C5369" s="38" t="s">
        <v>8443</v>
      </c>
      <c r="D5369" s="38" t="str">
        <f>IFERROR(__xludf.DUMMYFUNCTION("REGEXREPLACE(C5369,""-\d+(.*)|--\d+(.*)"","""")"),"AGINCOURT")</f>
        <v>AGINCOURT</v>
      </c>
      <c r="E5369" s="38" t="s">
        <v>548</v>
      </c>
      <c r="F5369" s="38" t="s">
        <v>195</v>
      </c>
      <c r="G5369" s="49" t="str">
        <f t="shared" si="1"/>
        <v>54770</v>
      </c>
      <c r="H5369" s="49">
        <f t="shared" si="2"/>
        <v>54006</v>
      </c>
    </row>
    <row r="5370">
      <c r="A5370" s="48" t="s">
        <v>3353</v>
      </c>
      <c r="B5370" s="38">
        <v>61389.0</v>
      </c>
      <c r="C5370" s="38" t="s">
        <v>8444</v>
      </c>
      <c r="D5370" s="38" t="str">
        <f>IFERROR(__xludf.DUMMYFUNCTION("REGEXREPLACE(C5370,""-\d+(.*)|--\d+(.*)"","""")"),"SAINTE-GAUBURGE-SAINTE-COLOMBE")</f>
        <v>SAINTE-GAUBURGE-SAINTE-COLOMBE</v>
      </c>
      <c r="E5370" s="38" t="s">
        <v>141</v>
      </c>
      <c r="F5370" s="38" t="s">
        <v>138</v>
      </c>
      <c r="G5370" s="49" t="str">
        <f t="shared" si="1"/>
        <v>61370</v>
      </c>
      <c r="H5370" s="49">
        <f t="shared" si="2"/>
        <v>61389</v>
      </c>
    </row>
    <row r="5371">
      <c r="A5371" s="48" t="s">
        <v>2960</v>
      </c>
      <c r="B5371" s="38">
        <v>86018.0</v>
      </c>
      <c r="C5371" s="38" t="s">
        <v>8445</v>
      </c>
      <c r="D5371" s="38" t="str">
        <f>IFERROR(__xludf.DUMMYFUNCTION("REGEXREPLACE(C5371,""-\d+(.*)|--\d+(.*)"","""")"),"BASSES")</f>
        <v>BASSES</v>
      </c>
      <c r="E5371" s="38" t="s">
        <v>529</v>
      </c>
      <c r="F5371" s="38" t="s">
        <v>338</v>
      </c>
      <c r="G5371" s="49" t="str">
        <f t="shared" si="1"/>
        <v>86200</v>
      </c>
      <c r="H5371" s="49">
        <f t="shared" si="2"/>
        <v>86018</v>
      </c>
    </row>
    <row r="5372">
      <c r="A5372" s="48" t="s">
        <v>8446</v>
      </c>
      <c r="B5372" s="38">
        <v>22149.0</v>
      </c>
      <c r="C5372" s="38" t="s">
        <v>8447</v>
      </c>
      <c r="D5372" s="38" t="str">
        <f>IFERROR(__xludf.DUMMYFUNCTION("REGEXREPLACE(C5372,""-\d+(.*)|--\d+(.*)"","""")"),"MERLEAC")</f>
        <v>MERLEAC</v>
      </c>
      <c r="E5372" s="38" t="s">
        <v>89</v>
      </c>
      <c r="F5372" s="38" t="s">
        <v>90</v>
      </c>
      <c r="G5372" s="49" t="str">
        <f t="shared" si="1"/>
        <v>22460</v>
      </c>
      <c r="H5372" s="49">
        <f t="shared" si="2"/>
        <v>22149</v>
      </c>
    </row>
    <row r="5373">
      <c r="A5373" s="48" t="s">
        <v>1010</v>
      </c>
      <c r="B5373" s="38">
        <v>27650.0</v>
      </c>
      <c r="C5373" s="38" t="s">
        <v>8448</v>
      </c>
      <c r="D5373" s="38" t="str">
        <f>IFERROR(__xludf.DUMMYFUNCTION("REGEXREPLACE(C5373,""-\d+(.*)|--\d+(.*)"","""")"),"TOURNEDOS-BOIS-HUBERT")</f>
        <v>TOURNEDOS-BOIS-HUBERT</v>
      </c>
      <c r="E5373" s="38" t="s">
        <v>241</v>
      </c>
      <c r="F5373" s="38" t="s">
        <v>134</v>
      </c>
      <c r="G5373" s="49" t="str">
        <f t="shared" si="1"/>
        <v>27180</v>
      </c>
      <c r="H5373" s="49">
        <f t="shared" si="2"/>
        <v>27650</v>
      </c>
    </row>
    <row r="5374">
      <c r="A5374" s="48" t="s">
        <v>2723</v>
      </c>
      <c r="B5374" s="38">
        <v>50589.0</v>
      </c>
      <c r="C5374" s="38" t="s">
        <v>8449</v>
      </c>
      <c r="D5374" s="38" t="str">
        <f>IFERROR(__xludf.DUMMYFUNCTION("REGEXREPLACE(C5374,""-\d+(.*)|--\d+(.*)"","""")"),"TANIS")</f>
        <v>TANIS</v>
      </c>
      <c r="E5374" s="38" t="s">
        <v>157</v>
      </c>
      <c r="F5374" s="38" t="s">
        <v>138</v>
      </c>
      <c r="G5374" s="49" t="str">
        <f t="shared" si="1"/>
        <v>50170</v>
      </c>
      <c r="H5374" s="49">
        <f t="shared" si="2"/>
        <v>50589</v>
      </c>
    </row>
    <row r="5375">
      <c r="A5375" s="48" t="s">
        <v>1964</v>
      </c>
      <c r="B5375" s="38">
        <v>26254.0</v>
      </c>
      <c r="C5375" s="38" t="s">
        <v>8450</v>
      </c>
      <c r="D5375" s="38" t="str">
        <f>IFERROR(__xludf.DUMMYFUNCTION("REGEXREPLACE(C5375,""-\d+(.*)|--\d+(.*)"","""")"),"PRADELLE")</f>
        <v>PRADELLE</v>
      </c>
      <c r="E5375" s="38" t="s">
        <v>126</v>
      </c>
      <c r="F5375" s="38" t="s">
        <v>102</v>
      </c>
      <c r="G5375" s="49" t="str">
        <f t="shared" si="1"/>
        <v>26340</v>
      </c>
      <c r="H5375" s="49">
        <f t="shared" si="2"/>
        <v>26254</v>
      </c>
    </row>
    <row r="5376">
      <c r="A5376" s="48" t="s">
        <v>3424</v>
      </c>
      <c r="B5376" s="38">
        <v>10190.0</v>
      </c>
      <c r="C5376" s="38" t="s">
        <v>8451</v>
      </c>
      <c r="D5376" s="38" t="str">
        <f>IFERROR(__xludf.DUMMYFUNCTION("REGEXREPLACE(C5376,""-\d+(.*)|--\d+(.*)"","""")"),"LAUBRESSEL")</f>
        <v>LAUBRESSEL</v>
      </c>
      <c r="E5376" s="38" t="s">
        <v>147</v>
      </c>
      <c r="F5376" s="38" t="s">
        <v>130</v>
      </c>
      <c r="G5376" s="49" t="str">
        <f t="shared" si="1"/>
        <v>10270</v>
      </c>
      <c r="H5376" s="49">
        <f t="shared" si="2"/>
        <v>10190</v>
      </c>
    </row>
    <row r="5377">
      <c r="A5377" s="48" t="s">
        <v>6615</v>
      </c>
      <c r="B5377" s="38">
        <v>65381.0</v>
      </c>
      <c r="C5377" s="38" t="s">
        <v>8452</v>
      </c>
      <c r="D5377" s="38" t="str">
        <f>IFERROR(__xludf.DUMMYFUNCTION("REGEXREPLACE(C5377,""-\d+(.*)|--\d+(.*)"","""")"),"SABARROS")</f>
        <v>SABARROS</v>
      </c>
      <c r="E5377" s="38" t="s">
        <v>200</v>
      </c>
      <c r="F5377" s="38" t="s">
        <v>94</v>
      </c>
      <c r="G5377" s="49" t="str">
        <f t="shared" si="1"/>
        <v>65330</v>
      </c>
      <c r="H5377" s="49">
        <f t="shared" si="2"/>
        <v>65381</v>
      </c>
    </row>
    <row r="5378">
      <c r="A5378" s="48" t="s">
        <v>8453</v>
      </c>
      <c r="B5378" s="38">
        <v>8073.0</v>
      </c>
      <c r="C5378" s="38" t="s">
        <v>8454</v>
      </c>
      <c r="D5378" s="38" t="str">
        <f>IFERROR(__xludf.DUMMYFUNCTION("REGEXREPLACE(C5378,""-\d+(.*)|--\d+(.*)"","""")"),"BOSSUS-LES-RUMIGNY")</f>
        <v>BOSSUS-LES-RUMIGNY</v>
      </c>
      <c r="E5378" s="38" t="s">
        <v>327</v>
      </c>
      <c r="F5378" s="38" t="s">
        <v>130</v>
      </c>
      <c r="G5378" s="49" t="str">
        <f t="shared" si="1"/>
        <v>08290</v>
      </c>
      <c r="H5378" s="49" t="str">
        <f t="shared" si="2"/>
        <v>08073</v>
      </c>
    </row>
    <row r="5379">
      <c r="A5379" s="48" t="s">
        <v>1172</v>
      </c>
      <c r="B5379" s="38">
        <v>76303.0</v>
      </c>
      <c r="C5379" s="38" t="s">
        <v>8455</v>
      </c>
      <c r="D5379" s="38" t="str">
        <f>IFERROR(__xludf.DUMMYFUNCTION("REGEXREPLACE(C5379,""-\d+(.*)|--\d+(.*)"","""")"),"GOMMERVILLE")</f>
        <v>GOMMERVILLE</v>
      </c>
      <c r="E5379" s="38" t="s">
        <v>133</v>
      </c>
      <c r="F5379" s="38" t="s">
        <v>134</v>
      </c>
      <c r="G5379" s="49" t="str">
        <f t="shared" si="1"/>
        <v>76430</v>
      </c>
      <c r="H5379" s="49">
        <f t="shared" si="2"/>
        <v>76303</v>
      </c>
    </row>
    <row r="5380">
      <c r="A5380" s="48" t="s">
        <v>8456</v>
      </c>
      <c r="B5380" s="38">
        <v>14562.0</v>
      </c>
      <c r="C5380" s="38" t="s">
        <v>8457</v>
      </c>
      <c r="D5380" s="38" t="str">
        <f>IFERROR(__xludf.DUMMYFUNCTION("REGEXREPLACE(C5380,""-\d+(.*)|--\d+(.*)"","""")"),"SAINT-AUBIN-SUR-MER")</f>
        <v>SAINT-AUBIN-SUR-MER</v>
      </c>
      <c r="E5380" s="38" t="s">
        <v>137</v>
      </c>
      <c r="F5380" s="38" t="s">
        <v>138</v>
      </c>
      <c r="G5380" s="49" t="str">
        <f t="shared" si="1"/>
        <v>14750</v>
      </c>
      <c r="H5380" s="49">
        <f t="shared" si="2"/>
        <v>14562</v>
      </c>
    </row>
    <row r="5381">
      <c r="A5381" s="48" t="s">
        <v>5558</v>
      </c>
      <c r="B5381" s="38">
        <v>14439.0</v>
      </c>
      <c r="C5381" s="38" t="s">
        <v>8458</v>
      </c>
      <c r="D5381" s="38" t="str">
        <f>IFERROR(__xludf.DUMMYFUNCTION("REGEXREPLACE(C5381,""-\d+(.*)|--\d+(.*)"","""")"),"MONFREVILLE")</f>
        <v>MONFREVILLE</v>
      </c>
      <c r="E5381" s="38" t="s">
        <v>137</v>
      </c>
      <c r="F5381" s="38" t="s">
        <v>138</v>
      </c>
      <c r="G5381" s="49" t="str">
        <f t="shared" si="1"/>
        <v>14230</v>
      </c>
      <c r="H5381" s="49">
        <f t="shared" si="2"/>
        <v>14439</v>
      </c>
    </row>
    <row r="5382">
      <c r="A5382" s="48" t="s">
        <v>8459</v>
      </c>
      <c r="B5382" s="38">
        <v>89462.0</v>
      </c>
      <c r="C5382" s="38" t="s">
        <v>8460</v>
      </c>
      <c r="D5382" s="38" t="str">
        <f>IFERROR(__xludf.DUMMYFUNCTION("REGEXREPLACE(C5382,""-\d+(.*)|--\d+(.*)"","""")"),"VILLENEUVE-LES-GENETS")</f>
        <v>VILLENEUVE-LES-GENETS</v>
      </c>
      <c r="E5382" s="38" t="s">
        <v>275</v>
      </c>
      <c r="F5382" s="38" t="s">
        <v>106</v>
      </c>
      <c r="G5382" s="49" t="str">
        <f t="shared" si="1"/>
        <v>89350</v>
      </c>
      <c r="H5382" s="49">
        <f t="shared" si="2"/>
        <v>89462</v>
      </c>
    </row>
    <row r="5383">
      <c r="A5383" s="48" t="s">
        <v>6069</v>
      </c>
      <c r="B5383" s="38">
        <v>50125.0</v>
      </c>
      <c r="C5383" s="38" t="s">
        <v>8461</v>
      </c>
      <c r="D5383" s="38" t="str">
        <f>IFERROR(__xludf.DUMMYFUNCTION("REGEXREPLACE(C5383,""-\d+(.*)|--\d+(.*)"","""")"),"CHASSEGUEY")</f>
        <v>CHASSEGUEY</v>
      </c>
      <c r="E5383" s="38" t="s">
        <v>157</v>
      </c>
      <c r="F5383" s="38" t="s">
        <v>138</v>
      </c>
      <c r="G5383" s="49" t="str">
        <f t="shared" si="1"/>
        <v>50520</v>
      </c>
      <c r="H5383" s="49">
        <f t="shared" si="2"/>
        <v>50125</v>
      </c>
    </row>
    <row r="5384">
      <c r="A5384" s="48" t="s">
        <v>8462</v>
      </c>
      <c r="B5384" s="38">
        <v>22140.0</v>
      </c>
      <c r="C5384" s="38" t="s">
        <v>8463</v>
      </c>
      <c r="D5384" s="38" t="str">
        <f>IFERROR(__xludf.DUMMYFUNCTION("REGEXREPLACE(C5384,""-\d+(.*)|--\d+(.*)"","""")"),"LA MALHOURE")</f>
        <v>LA MALHOURE</v>
      </c>
      <c r="E5384" s="38" t="s">
        <v>89</v>
      </c>
      <c r="F5384" s="38" t="s">
        <v>90</v>
      </c>
      <c r="G5384" s="49" t="str">
        <f t="shared" si="1"/>
        <v>22640</v>
      </c>
      <c r="H5384" s="49">
        <f t="shared" si="2"/>
        <v>22140</v>
      </c>
    </row>
    <row r="5385">
      <c r="A5385" s="48" t="s">
        <v>5700</v>
      </c>
      <c r="B5385" s="38">
        <v>36224.0</v>
      </c>
      <c r="C5385" s="38" t="s">
        <v>8464</v>
      </c>
      <c r="D5385" s="38" t="str">
        <f>IFERROR(__xludf.DUMMYFUNCTION("REGEXREPLACE(C5385,""-\d+(.*)|--\d+(.*)"","""")"),"TOURNON-SAINT-MARTIN")</f>
        <v>TOURNON-SAINT-MARTIN</v>
      </c>
      <c r="E5385" s="38" t="s">
        <v>258</v>
      </c>
      <c r="F5385" s="38" t="s">
        <v>123</v>
      </c>
      <c r="G5385" s="49" t="str">
        <f t="shared" si="1"/>
        <v>36220</v>
      </c>
      <c r="H5385" s="49">
        <f t="shared" si="2"/>
        <v>36224</v>
      </c>
    </row>
    <row r="5386">
      <c r="A5386" s="48" t="s">
        <v>8465</v>
      </c>
      <c r="B5386" s="38">
        <v>33422.0</v>
      </c>
      <c r="C5386" s="38" t="s">
        <v>8466</v>
      </c>
      <c r="D5386" s="38" t="str">
        <f>IFERROR(__xludf.DUMMYFUNCTION("REGEXREPLACE(C5386,""-\d+(.*)|--\d+(.*)"","""")"),"SAINT-JEAN-D'ILLAC")</f>
        <v>SAINT-JEAN-D'ILLAC</v>
      </c>
      <c r="E5386" s="38" t="s">
        <v>462</v>
      </c>
      <c r="F5386" s="38" t="s">
        <v>252</v>
      </c>
      <c r="G5386" s="49" t="str">
        <f t="shared" si="1"/>
        <v>33127</v>
      </c>
      <c r="H5386" s="49">
        <f t="shared" si="2"/>
        <v>33422</v>
      </c>
    </row>
    <row r="5387">
      <c r="A5387" s="48" t="s">
        <v>8467</v>
      </c>
      <c r="B5387" s="38">
        <v>6079.0</v>
      </c>
      <c r="C5387" s="38" t="s">
        <v>8468</v>
      </c>
      <c r="D5387" s="38" t="str">
        <f>IFERROR(__xludf.DUMMYFUNCTION("REGEXREPLACE(C5387,""-\d+(.*)|--\d+(.*)"","""")"),"MANDELIEU-LA-NAPOULE")</f>
        <v>MANDELIEU-LA-NAPOULE</v>
      </c>
      <c r="E5387" s="38" t="s">
        <v>227</v>
      </c>
      <c r="F5387" s="38" t="s">
        <v>228</v>
      </c>
      <c r="G5387" s="49" t="str">
        <f t="shared" si="1"/>
        <v>06210</v>
      </c>
      <c r="H5387" s="49" t="str">
        <f t="shared" si="2"/>
        <v>06079</v>
      </c>
    </row>
    <row r="5388">
      <c r="A5388" s="48" t="s">
        <v>7107</v>
      </c>
      <c r="B5388" s="38">
        <v>10238.0</v>
      </c>
      <c r="C5388" s="38" t="s">
        <v>8469</v>
      </c>
      <c r="D5388" s="38" t="str">
        <f>IFERROR(__xludf.DUMMYFUNCTION("REGEXREPLACE(C5388,""-\d+(.*)|--\d+(.*)"","""")"),"MESNIL-SAINT-PERE")</f>
        <v>MESNIL-SAINT-PERE</v>
      </c>
      <c r="E5388" s="38" t="s">
        <v>147</v>
      </c>
      <c r="F5388" s="38" t="s">
        <v>130</v>
      </c>
      <c r="G5388" s="49" t="str">
        <f t="shared" si="1"/>
        <v>10140</v>
      </c>
      <c r="H5388" s="49">
        <f t="shared" si="2"/>
        <v>10238</v>
      </c>
    </row>
    <row r="5389">
      <c r="A5389" s="48" t="s">
        <v>4663</v>
      </c>
      <c r="B5389" s="38">
        <v>12269.0</v>
      </c>
      <c r="C5389" s="38" t="s">
        <v>8470</v>
      </c>
      <c r="D5389" s="38" t="str">
        <f>IFERROR(__xludf.DUMMYFUNCTION("REGEXREPLACE(C5389,""-\d+(.*)|--\d+(.*)"","""")"),"LA SERRE")</f>
        <v>LA SERRE</v>
      </c>
      <c r="E5389" s="38" t="s">
        <v>465</v>
      </c>
      <c r="F5389" s="38" t="s">
        <v>94</v>
      </c>
      <c r="G5389" s="49" t="str">
        <f t="shared" si="1"/>
        <v>12380</v>
      </c>
      <c r="H5389" s="49">
        <f t="shared" si="2"/>
        <v>12269</v>
      </c>
    </row>
    <row r="5390">
      <c r="A5390" s="48" t="s">
        <v>8471</v>
      </c>
      <c r="B5390" s="38">
        <v>12094.0</v>
      </c>
      <c r="C5390" s="38" t="s">
        <v>8472</v>
      </c>
      <c r="D5390" s="38" t="str">
        <f>IFERROR(__xludf.DUMMYFUNCTION("REGEXREPLACE(C5390,""-\d+(.*)|--\d+(.*)"","""")"),"ENTRAYGUES-SUR-TRUYERE")</f>
        <v>ENTRAYGUES-SUR-TRUYERE</v>
      </c>
      <c r="E5390" s="38" t="s">
        <v>465</v>
      </c>
      <c r="F5390" s="38" t="s">
        <v>94</v>
      </c>
      <c r="G5390" s="49" t="str">
        <f t="shared" si="1"/>
        <v>12140</v>
      </c>
      <c r="H5390" s="49">
        <f t="shared" si="2"/>
        <v>12094</v>
      </c>
    </row>
    <row r="5391">
      <c r="A5391" s="48" t="s">
        <v>5179</v>
      </c>
      <c r="B5391" s="38">
        <v>10115.0</v>
      </c>
      <c r="C5391" s="38" t="s">
        <v>8473</v>
      </c>
      <c r="D5391" s="38" t="str">
        <f>IFERROR(__xludf.DUMMYFUNCTION("REGEXREPLACE(C5391,""-\d+(.*)|--\d+(.*)"","""")"),"CRENEY-PRES-TROYES")</f>
        <v>CRENEY-PRES-TROYES</v>
      </c>
      <c r="E5391" s="38" t="s">
        <v>147</v>
      </c>
      <c r="F5391" s="38" t="s">
        <v>130</v>
      </c>
      <c r="G5391" s="49" t="str">
        <f t="shared" si="1"/>
        <v>10150</v>
      </c>
      <c r="H5391" s="49">
        <f t="shared" si="2"/>
        <v>10115</v>
      </c>
    </row>
    <row r="5392">
      <c r="A5392" s="48" t="s">
        <v>6542</v>
      </c>
      <c r="B5392" s="38">
        <v>40249.0</v>
      </c>
      <c r="C5392" s="38" t="s">
        <v>2041</v>
      </c>
      <c r="D5392" s="38" t="str">
        <f>IFERROR(__xludf.DUMMYFUNCTION("REGEXREPLACE(C5392,""-\d+(.*)|--\d+(.*)"","""")"),"SAINT-AUBIN")</f>
        <v>SAINT-AUBIN</v>
      </c>
      <c r="E5392" s="38" t="s">
        <v>281</v>
      </c>
      <c r="F5392" s="38" t="s">
        <v>252</v>
      </c>
      <c r="G5392" s="49" t="str">
        <f t="shared" si="1"/>
        <v>40250</v>
      </c>
      <c r="H5392" s="49">
        <f t="shared" si="2"/>
        <v>40249</v>
      </c>
    </row>
    <row r="5393">
      <c r="A5393" s="48" t="s">
        <v>5012</v>
      </c>
      <c r="B5393" s="38">
        <v>55116.0</v>
      </c>
      <c r="C5393" s="38" t="s">
        <v>8474</v>
      </c>
      <c r="D5393" s="38" t="str">
        <f>IFERROR(__xludf.DUMMYFUNCTION("REGEXREPLACE(C5393,""-\d+(.*)|--\d+(.*)"","""")"),"LE CLAON")</f>
        <v>LE CLAON</v>
      </c>
      <c r="E5393" s="38" t="s">
        <v>322</v>
      </c>
      <c r="F5393" s="38" t="s">
        <v>195</v>
      </c>
      <c r="G5393" s="49" t="str">
        <f t="shared" si="1"/>
        <v>55120</v>
      </c>
      <c r="H5393" s="49">
        <f t="shared" si="2"/>
        <v>55116</v>
      </c>
    </row>
    <row r="5394">
      <c r="A5394" s="48" t="s">
        <v>8475</v>
      </c>
      <c r="B5394" s="38">
        <v>69258.0</v>
      </c>
      <c r="C5394" s="38" t="s">
        <v>8476</v>
      </c>
      <c r="D5394" s="38" t="str">
        <f>IFERROR(__xludf.DUMMYFUNCTION("REGEXREPLACE(C5394,""-\d+(.*)|--\d+(.*)"","""")"),"VAUXRENARD")</f>
        <v>VAUXRENARD</v>
      </c>
      <c r="E5394" s="38" t="s">
        <v>350</v>
      </c>
      <c r="F5394" s="38" t="s">
        <v>102</v>
      </c>
      <c r="G5394" s="49" t="str">
        <f t="shared" si="1"/>
        <v>69820</v>
      </c>
      <c r="H5394" s="49">
        <f t="shared" si="2"/>
        <v>69258</v>
      </c>
    </row>
    <row r="5395">
      <c r="A5395" s="48" t="s">
        <v>656</v>
      </c>
      <c r="B5395" s="38">
        <v>61043.0</v>
      </c>
      <c r="C5395" s="38" t="s">
        <v>8477</v>
      </c>
      <c r="D5395" s="38" t="str">
        <f>IFERROR(__xludf.DUMMYFUNCTION("REGEXREPLACE(C5395,""-\d+(.*)|--\d+(.*)"","""")"),"BERD'HUIS")</f>
        <v>BERD'HUIS</v>
      </c>
      <c r="E5395" s="38" t="s">
        <v>141</v>
      </c>
      <c r="F5395" s="38" t="s">
        <v>138</v>
      </c>
      <c r="G5395" s="49" t="str">
        <f t="shared" si="1"/>
        <v>61340</v>
      </c>
      <c r="H5395" s="49">
        <f t="shared" si="2"/>
        <v>61043</v>
      </c>
    </row>
    <row r="5396">
      <c r="A5396" s="48" t="s">
        <v>4077</v>
      </c>
      <c r="B5396" s="38">
        <v>90044.0</v>
      </c>
      <c r="C5396" s="38" t="s">
        <v>8478</v>
      </c>
      <c r="D5396" s="38" t="str">
        <f>IFERROR(__xludf.DUMMYFUNCTION("REGEXREPLACE(C5396,""-\d+(.*)|--\d+(.*)"","""")"),"FELON")</f>
        <v>FELON</v>
      </c>
      <c r="E5396" s="38" t="s">
        <v>1283</v>
      </c>
      <c r="F5396" s="38" t="s">
        <v>214</v>
      </c>
      <c r="G5396" s="49" t="str">
        <f t="shared" si="1"/>
        <v>90110</v>
      </c>
      <c r="H5396" s="49">
        <f t="shared" si="2"/>
        <v>90044</v>
      </c>
    </row>
    <row r="5397">
      <c r="A5397" s="48" t="s">
        <v>2942</v>
      </c>
      <c r="B5397" s="38">
        <v>14564.0</v>
      </c>
      <c r="C5397" s="38" t="s">
        <v>8479</v>
      </c>
      <c r="D5397" s="38" t="str">
        <f>IFERROR(__xludf.DUMMYFUNCTION("REGEXREPLACE(C5397,""-\d+(.*)|--\d+(.*)"","""")"),"SAINT-CHARLES-DE-PERCY")</f>
        <v>SAINT-CHARLES-DE-PERCY</v>
      </c>
      <c r="E5397" s="38" t="s">
        <v>137</v>
      </c>
      <c r="F5397" s="38" t="s">
        <v>138</v>
      </c>
      <c r="G5397" s="49" t="str">
        <f t="shared" si="1"/>
        <v>14350</v>
      </c>
      <c r="H5397" s="49">
        <f t="shared" si="2"/>
        <v>14564</v>
      </c>
    </row>
    <row r="5398">
      <c r="A5398" s="48" t="s">
        <v>8480</v>
      </c>
      <c r="B5398" s="38">
        <v>8353.0</v>
      </c>
      <c r="C5398" s="38" t="s">
        <v>8481</v>
      </c>
      <c r="D5398" s="38" t="str">
        <f>IFERROR(__xludf.DUMMYFUNCTION("REGEXREPLACE(C5398,""-\d+(.*)|--\d+(.*)"","""")"),"RANCENNES")</f>
        <v>RANCENNES</v>
      </c>
      <c r="E5398" s="38" t="s">
        <v>327</v>
      </c>
      <c r="F5398" s="38" t="s">
        <v>130</v>
      </c>
      <c r="G5398" s="49" t="str">
        <f t="shared" si="1"/>
        <v>08600</v>
      </c>
      <c r="H5398" s="49" t="str">
        <f t="shared" si="2"/>
        <v>08353</v>
      </c>
    </row>
    <row r="5399">
      <c r="A5399" s="48" t="s">
        <v>8482</v>
      </c>
      <c r="B5399" s="38">
        <v>54430.0</v>
      </c>
      <c r="C5399" s="38" t="s">
        <v>8483</v>
      </c>
      <c r="D5399" s="38" t="str">
        <f>IFERROR(__xludf.DUMMYFUNCTION("REGEXREPLACE(C5399,""-\d+(.*)|--\d+(.*)"","""")"),"POMPEY")</f>
        <v>POMPEY</v>
      </c>
      <c r="E5399" s="38" t="s">
        <v>548</v>
      </c>
      <c r="F5399" s="38" t="s">
        <v>195</v>
      </c>
      <c r="G5399" s="49" t="str">
        <f t="shared" si="1"/>
        <v>54340</v>
      </c>
      <c r="H5399" s="49">
        <f t="shared" si="2"/>
        <v>54430</v>
      </c>
    </row>
    <row r="5400">
      <c r="A5400" s="48" t="s">
        <v>6767</v>
      </c>
      <c r="B5400" s="38">
        <v>15125.0</v>
      </c>
      <c r="C5400" s="38" t="s">
        <v>8484</v>
      </c>
      <c r="D5400" s="38" t="str">
        <f>IFERROR(__xludf.DUMMYFUNCTION("REGEXREPLACE(C5400,""-\d+(.*)|--\d+(.*)"","""")"),"MENTIERES")</f>
        <v>MENTIERES</v>
      </c>
      <c r="E5400" s="38" t="s">
        <v>632</v>
      </c>
      <c r="F5400" s="38" t="s">
        <v>161</v>
      </c>
      <c r="G5400" s="49" t="str">
        <f t="shared" si="1"/>
        <v>15100</v>
      </c>
      <c r="H5400" s="49">
        <f t="shared" si="2"/>
        <v>15125</v>
      </c>
    </row>
    <row r="5401">
      <c r="A5401" s="48" t="s">
        <v>7918</v>
      </c>
      <c r="B5401" s="38">
        <v>17086.0</v>
      </c>
      <c r="C5401" s="38" t="s">
        <v>8485</v>
      </c>
      <c r="D5401" s="38" t="str">
        <f>IFERROR(__xludf.DUMMYFUNCTION("REGEXREPLACE(C5401,""-\d+(.*)|--\d+(.*)"","""")"),"CHANIERS")</f>
        <v>CHANIERS</v>
      </c>
      <c r="E5401" s="38" t="s">
        <v>488</v>
      </c>
      <c r="F5401" s="38" t="s">
        <v>338</v>
      </c>
      <c r="G5401" s="49" t="str">
        <f t="shared" si="1"/>
        <v>17610</v>
      </c>
      <c r="H5401" s="49">
        <f t="shared" si="2"/>
        <v>17086</v>
      </c>
    </row>
    <row r="5402">
      <c r="A5402" s="48" t="s">
        <v>3161</v>
      </c>
      <c r="B5402" s="38">
        <v>70568.0</v>
      </c>
      <c r="C5402" s="38" t="s">
        <v>8486</v>
      </c>
      <c r="D5402" s="38" t="str">
        <f>IFERROR(__xludf.DUMMYFUNCTION("REGEXREPLACE(C5402,""-\d+(.*)|--\d+(.*)"","""")"),"VILLERS-VAUDEY")</f>
        <v>VILLERS-VAUDEY</v>
      </c>
      <c r="E5402" s="38" t="s">
        <v>956</v>
      </c>
      <c r="F5402" s="38" t="s">
        <v>214</v>
      </c>
      <c r="G5402" s="49" t="str">
        <f t="shared" si="1"/>
        <v>70120</v>
      </c>
      <c r="H5402" s="49">
        <f t="shared" si="2"/>
        <v>70568</v>
      </c>
    </row>
    <row r="5403">
      <c r="A5403" s="48" t="s">
        <v>2055</v>
      </c>
      <c r="B5403" s="38">
        <v>4095.0</v>
      </c>
      <c r="C5403" s="38" t="s">
        <v>8487</v>
      </c>
      <c r="D5403" s="38" t="str">
        <f>IFERROR(__xludf.DUMMYFUNCTION("REGEXREPLACE(C5403,""-\d+(.*)|--\d+(.*)"","""")"),"L'HOSPITALET")</f>
        <v>L'HOSPITALET</v>
      </c>
      <c r="E5403" s="38" t="s">
        <v>662</v>
      </c>
      <c r="F5403" s="38" t="s">
        <v>228</v>
      </c>
      <c r="G5403" s="49" t="str">
        <f t="shared" si="1"/>
        <v>04150</v>
      </c>
      <c r="H5403" s="49" t="str">
        <f t="shared" si="2"/>
        <v>04095</v>
      </c>
    </row>
    <row r="5404">
      <c r="A5404" s="48" t="s">
        <v>456</v>
      </c>
      <c r="B5404" s="38">
        <v>63404.0</v>
      </c>
      <c r="C5404" s="38" t="s">
        <v>8488</v>
      </c>
      <c r="D5404" s="38" t="str">
        <f>IFERROR(__xludf.DUMMYFUNCTION("REGEXREPLACE(C5404,""-\d+(.*)|--\d+(.*)"","""")"),"SAINT-YVOINE")</f>
        <v>SAINT-YVOINE</v>
      </c>
      <c r="E5404" s="38" t="s">
        <v>353</v>
      </c>
      <c r="F5404" s="38" t="s">
        <v>161</v>
      </c>
      <c r="G5404" s="49" t="str">
        <f t="shared" si="1"/>
        <v>63500</v>
      </c>
      <c r="H5404" s="49">
        <f t="shared" si="2"/>
        <v>63404</v>
      </c>
    </row>
    <row r="5405">
      <c r="A5405" s="48" t="s">
        <v>1817</v>
      </c>
      <c r="B5405" s="38">
        <v>31453.0</v>
      </c>
      <c r="C5405" s="38" t="s">
        <v>8489</v>
      </c>
      <c r="D5405" s="38" t="str">
        <f>IFERROR(__xludf.DUMMYFUNCTION("REGEXREPLACE(C5405,""-\d+(.*)|--\d+(.*)"","""")"),"RIEUMAJOU")</f>
        <v>RIEUMAJOU</v>
      </c>
      <c r="E5405" s="38" t="s">
        <v>93</v>
      </c>
      <c r="F5405" s="38" t="s">
        <v>94</v>
      </c>
      <c r="G5405" s="49" t="str">
        <f t="shared" si="1"/>
        <v>31290</v>
      </c>
      <c r="H5405" s="49">
        <f t="shared" si="2"/>
        <v>31453</v>
      </c>
    </row>
    <row r="5406">
      <c r="A5406" s="48" t="s">
        <v>8490</v>
      </c>
      <c r="B5406" s="38">
        <v>97361.0</v>
      </c>
      <c r="C5406" s="38" t="s">
        <v>8491</v>
      </c>
      <c r="D5406" s="38" t="str">
        <f>IFERROR(__xludf.DUMMYFUNCTION("REGEXREPLACE(C5406,""-\d+(.*)|--\d+(.*)"","""")"),"AWALA-YALIMAPO")</f>
        <v>AWALA-YALIMAPO</v>
      </c>
      <c r="E5406" s="38" t="s">
        <v>1737</v>
      </c>
      <c r="F5406" s="38" t="s">
        <v>1737</v>
      </c>
      <c r="G5406" s="49" t="str">
        <f t="shared" si="1"/>
        <v>97319</v>
      </c>
      <c r="H5406" s="49">
        <f t="shared" si="2"/>
        <v>97361</v>
      </c>
    </row>
    <row r="5407">
      <c r="A5407" s="48" t="s">
        <v>8492</v>
      </c>
      <c r="B5407" s="38">
        <v>80215.0</v>
      </c>
      <c r="C5407" s="38" t="s">
        <v>8493</v>
      </c>
      <c r="D5407" s="38" t="str">
        <f>IFERROR(__xludf.DUMMYFUNCTION("REGEXREPLACE(C5407,""-\d+(.*)|--\d+(.*)"","""")"),"COULONVILLERS")</f>
        <v>COULONVILLERS</v>
      </c>
      <c r="E5407" s="38" t="s">
        <v>224</v>
      </c>
      <c r="F5407" s="38" t="s">
        <v>113</v>
      </c>
      <c r="G5407" s="49" t="str">
        <f t="shared" si="1"/>
        <v>80135</v>
      </c>
      <c r="H5407" s="49">
        <f t="shared" si="2"/>
        <v>80215</v>
      </c>
    </row>
    <row r="5408">
      <c r="A5408" s="48" t="s">
        <v>4018</v>
      </c>
      <c r="B5408" s="38">
        <v>55424.0</v>
      </c>
      <c r="C5408" s="38" t="s">
        <v>8494</v>
      </c>
      <c r="D5408" s="38" t="str">
        <f>IFERROR(__xludf.DUMMYFUNCTION("REGEXREPLACE(C5408,""-\d+(.*)|--\d+(.*)"","""")"),"REMENNECOURT")</f>
        <v>REMENNECOURT</v>
      </c>
      <c r="E5408" s="38" t="s">
        <v>322</v>
      </c>
      <c r="F5408" s="38" t="s">
        <v>195</v>
      </c>
      <c r="G5408" s="49" t="str">
        <f t="shared" si="1"/>
        <v>55800</v>
      </c>
      <c r="H5408" s="49">
        <f t="shared" si="2"/>
        <v>55424</v>
      </c>
    </row>
    <row r="5409">
      <c r="A5409" s="48" t="s">
        <v>2103</v>
      </c>
      <c r="B5409" s="38">
        <v>54260.0</v>
      </c>
      <c r="C5409" s="38" t="s">
        <v>8495</v>
      </c>
      <c r="D5409" s="38" t="str">
        <f>IFERROR(__xludf.DUMMYFUNCTION("REGEXREPLACE(C5409,""-\d+(.*)|--\d+(.*)"","""")"),"HERIMENIL")</f>
        <v>HERIMENIL</v>
      </c>
      <c r="E5409" s="38" t="s">
        <v>548</v>
      </c>
      <c r="F5409" s="38" t="s">
        <v>195</v>
      </c>
      <c r="G5409" s="49" t="str">
        <f t="shared" si="1"/>
        <v>54300</v>
      </c>
      <c r="H5409" s="49">
        <f t="shared" si="2"/>
        <v>54260</v>
      </c>
    </row>
    <row r="5410">
      <c r="A5410" s="48" t="s">
        <v>4748</v>
      </c>
      <c r="B5410" s="38">
        <v>77120.0</v>
      </c>
      <c r="C5410" s="38" t="s">
        <v>8496</v>
      </c>
      <c r="D5410" s="38" t="str">
        <f>IFERROR(__xludf.DUMMYFUNCTION("REGEXREPLACE(C5410,""-\d+(.*)|--\d+(.*)"","""")"),"COCHEREL")</f>
        <v>COCHEREL</v>
      </c>
      <c r="E5410" s="38" t="s">
        <v>244</v>
      </c>
      <c r="F5410" s="38" t="s">
        <v>245</v>
      </c>
      <c r="G5410" s="49" t="str">
        <f t="shared" si="1"/>
        <v>77440</v>
      </c>
      <c r="H5410" s="49">
        <f t="shared" si="2"/>
        <v>77120</v>
      </c>
    </row>
    <row r="5411">
      <c r="A5411" s="48" t="s">
        <v>1381</v>
      </c>
      <c r="B5411" s="38">
        <v>62111.0</v>
      </c>
      <c r="C5411" s="38" t="s">
        <v>8497</v>
      </c>
      <c r="D5411" s="38" t="str">
        <f>IFERROR(__xludf.DUMMYFUNCTION("REGEXREPLACE(C5411,""-\d+(.*)|--\d+(.*)"","""")"),"BERLENCOURT-LE-CAUROY")</f>
        <v>BERLENCOURT-LE-CAUROY</v>
      </c>
      <c r="E5411" s="38" t="s">
        <v>109</v>
      </c>
      <c r="F5411" s="38" t="s">
        <v>86</v>
      </c>
      <c r="G5411" s="49" t="str">
        <f t="shared" si="1"/>
        <v>62810</v>
      </c>
      <c r="H5411" s="49">
        <f t="shared" si="2"/>
        <v>62111</v>
      </c>
    </row>
    <row r="5412">
      <c r="A5412" s="48" t="s">
        <v>3618</v>
      </c>
      <c r="B5412" s="38">
        <v>31015.0</v>
      </c>
      <c r="C5412" s="38" t="s">
        <v>8498</v>
      </c>
      <c r="D5412" s="38" t="str">
        <f>IFERROR(__xludf.DUMMYFUNCTION("REGEXREPLACE(C5412,""-\d+(.*)|--\d+(.*)"","""")"),"ARGUT-DESSOUS")</f>
        <v>ARGUT-DESSOUS</v>
      </c>
      <c r="E5412" s="38" t="s">
        <v>93</v>
      </c>
      <c r="F5412" s="38" t="s">
        <v>94</v>
      </c>
      <c r="G5412" s="49" t="str">
        <f t="shared" si="1"/>
        <v>31440</v>
      </c>
      <c r="H5412" s="49">
        <f t="shared" si="2"/>
        <v>31015</v>
      </c>
    </row>
    <row r="5413">
      <c r="A5413" s="48" t="s">
        <v>5443</v>
      </c>
      <c r="B5413" s="38">
        <v>76134.0</v>
      </c>
      <c r="C5413" s="38" t="s">
        <v>8499</v>
      </c>
      <c r="D5413" s="38" t="str">
        <f>IFERROR(__xludf.DUMMYFUNCTION("REGEXREPLACE(C5413,""-\d+(.*)|--\d+(.*)"","""")"),"BOURVILLE")</f>
        <v>BOURVILLE</v>
      </c>
      <c r="E5413" s="38" t="s">
        <v>133</v>
      </c>
      <c r="F5413" s="38" t="s">
        <v>134</v>
      </c>
      <c r="G5413" s="49" t="str">
        <f t="shared" si="1"/>
        <v>76740</v>
      </c>
      <c r="H5413" s="49">
        <f t="shared" si="2"/>
        <v>76134</v>
      </c>
    </row>
    <row r="5414">
      <c r="A5414" s="48" t="s">
        <v>7712</v>
      </c>
      <c r="B5414" s="38">
        <v>9300.0</v>
      </c>
      <c r="C5414" s="38" t="s">
        <v>8500</v>
      </c>
      <c r="D5414" s="38" t="str">
        <f>IFERROR(__xludf.DUMMYFUNCTION("REGEXREPLACE(C5414,""-\d+(.*)|--\d+(.*)"","""")"),"SOULA")</f>
        <v>SOULA</v>
      </c>
      <c r="E5414" s="38" t="s">
        <v>238</v>
      </c>
      <c r="F5414" s="38" t="s">
        <v>94</v>
      </c>
      <c r="G5414" s="49" t="str">
        <f t="shared" si="1"/>
        <v>09000</v>
      </c>
      <c r="H5414" s="49" t="str">
        <f t="shared" si="2"/>
        <v>09300</v>
      </c>
    </row>
    <row r="5415">
      <c r="A5415" s="48" t="s">
        <v>3835</v>
      </c>
      <c r="B5415" s="38">
        <v>25486.0</v>
      </c>
      <c r="C5415" s="38" t="s">
        <v>8501</v>
      </c>
      <c r="D5415" s="38" t="str">
        <f>IFERROR(__xludf.DUMMYFUNCTION("REGEXREPLACE(C5415,""-\d+(.*)|--\d+(.*)"","""")"),"REMORAY-BOUJEONS")</f>
        <v>REMORAY-BOUJEONS</v>
      </c>
      <c r="E5415" s="38" t="s">
        <v>213</v>
      </c>
      <c r="F5415" s="38" t="s">
        <v>214</v>
      </c>
      <c r="G5415" s="49" t="str">
        <f t="shared" si="1"/>
        <v>25160</v>
      </c>
      <c r="H5415" s="49">
        <f t="shared" si="2"/>
        <v>25486</v>
      </c>
    </row>
    <row r="5416">
      <c r="A5416" s="48" t="s">
        <v>8502</v>
      </c>
      <c r="B5416" s="38">
        <v>67456.0</v>
      </c>
      <c r="C5416" s="38" t="s">
        <v>8503</v>
      </c>
      <c r="D5416" s="38" t="str">
        <f>IFERROR(__xludf.DUMMYFUNCTION("REGEXREPLACE(C5416,""-\d+(.*)|--\d+(.*)"","""")"),"SCHOPPERTEN")</f>
        <v>SCHOPPERTEN</v>
      </c>
      <c r="E5416" s="38" t="s">
        <v>210</v>
      </c>
      <c r="F5416" s="38" t="s">
        <v>151</v>
      </c>
      <c r="G5416" s="49" t="str">
        <f t="shared" si="1"/>
        <v>67260</v>
      </c>
      <c r="H5416" s="49">
        <f t="shared" si="2"/>
        <v>67456</v>
      </c>
    </row>
    <row r="5417">
      <c r="A5417" s="48" t="s">
        <v>8504</v>
      </c>
      <c r="B5417" s="38">
        <v>34074.0</v>
      </c>
      <c r="C5417" s="38" t="s">
        <v>8505</v>
      </c>
      <c r="D5417" s="38" t="str">
        <f>IFERROR(__xludf.DUMMYFUNCTION("REGEXREPLACE(C5417,""-\d+(.*)|--\d+(.*)"","""")"),"CESSENON-SUR-ORB")</f>
        <v>CESSENON-SUR-ORB</v>
      </c>
      <c r="E5417" s="38" t="s">
        <v>118</v>
      </c>
      <c r="F5417" s="38" t="s">
        <v>119</v>
      </c>
      <c r="G5417" s="49" t="str">
        <f t="shared" si="1"/>
        <v>34460</v>
      </c>
      <c r="H5417" s="49">
        <f t="shared" si="2"/>
        <v>34074</v>
      </c>
    </row>
    <row r="5418">
      <c r="A5418" s="48" t="s">
        <v>8506</v>
      </c>
      <c r="B5418" s="38">
        <v>79152.0</v>
      </c>
      <c r="C5418" s="38" t="s">
        <v>8507</v>
      </c>
      <c r="D5418" s="38" t="str">
        <f>IFERROR(__xludf.DUMMYFUNCTION("REGEXREPLACE(C5418,""-\d+(.*)|--\d+(.*)"","""")"),"LORIGNE")</f>
        <v>LORIGNE</v>
      </c>
      <c r="E5418" s="38" t="s">
        <v>337</v>
      </c>
      <c r="F5418" s="38" t="s">
        <v>338</v>
      </c>
      <c r="G5418" s="49" t="str">
        <f t="shared" si="1"/>
        <v>79190</v>
      </c>
      <c r="H5418" s="49">
        <f t="shared" si="2"/>
        <v>79152</v>
      </c>
    </row>
    <row r="5419">
      <c r="A5419" s="48" t="s">
        <v>8508</v>
      </c>
      <c r="B5419" s="38">
        <v>87012.0</v>
      </c>
      <c r="C5419" s="38" t="s">
        <v>8509</v>
      </c>
      <c r="D5419" s="38" t="str">
        <f>IFERROR(__xludf.DUMMYFUNCTION("REGEXREPLACE(C5419,""-\d+(.*)|--\d+(.*)"","""")"),"BERNEUIL")</f>
        <v>BERNEUIL</v>
      </c>
      <c r="E5419" s="38" t="s">
        <v>897</v>
      </c>
      <c r="F5419" s="38" t="s">
        <v>98</v>
      </c>
      <c r="G5419" s="49" t="str">
        <f t="shared" si="1"/>
        <v>87300</v>
      </c>
      <c r="H5419" s="49">
        <f t="shared" si="2"/>
        <v>87012</v>
      </c>
    </row>
    <row r="5420">
      <c r="A5420" s="48" t="s">
        <v>8510</v>
      </c>
      <c r="B5420" s="38">
        <v>39422.0</v>
      </c>
      <c r="C5420" s="38" t="s">
        <v>8511</v>
      </c>
      <c r="D5420" s="38" t="str">
        <f>IFERROR(__xludf.DUMMYFUNCTION("REGEXREPLACE(C5420,""-\d+(.*)|--\d+(.*)"","""")"),"PLAINOISEAU")</f>
        <v>PLAINOISEAU</v>
      </c>
      <c r="E5420" s="38" t="s">
        <v>400</v>
      </c>
      <c r="F5420" s="38" t="s">
        <v>214</v>
      </c>
      <c r="G5420" s="49" t="str">
        <f t="shared" si="1"/>
        <v>39210</v>
      </c>
      <c r="H5420" s="49">
        <f t="shared" si="2"/>
        <v>39422</v>
      </c>
    </row>
    <row r="5421">
      <c r="A5421" s="48" t="s">
        <v>1495</v>
      </c>
      <c r="B5421" s="38">
        <v>33127.0</v>
      </c>
      <c r="C5421" s="38" t="s">
        <v>8512</v>
      </c>
      <c r="D5421" s="38" t="str">
        <f>IFERROR(__xludf.DUMMYFUNCTION("REGEXREPLACE(C5421,""-\d+(.*)|--\d+(.*)"","""")"),"CIVRAC-SUR-DORDOGNE")</f>
        <v>CIVRAC-SUR-DORDOGNE</v>
      </c>
      <c r="E5421" s="38" t="s">
        <v>462</v>
      </c>
      <c r="F5421" s="38" t="s">
        <v>252</v>
      </c>
      <c r="G5421" s="49" t="str">
        <f t="shared" si="1"/>
        <v>33350</v>
      </c>
      <c r="H5421" s="49">
        <f t="shared" si="2"/>
        <v>33127</v>
      </c>
    </row>
    <row r="5422">
      <c r="A5422" s="48" t="s">
        <v>887</v>
      </c>
      <c r="B5422" s="38">
        <v>62731.0</v>
      </c>
      <c r="C5422" s="38" t="s">
        <v>8513</v>
      </c>
      <c r="D5422" s="38" t="str">
        <f>IFERROR(__xludf.DUMMYFUNCTION("REGEXREPLACE(C5422,""-\d+(.*)|--\d+(.*)"","""")"),"RUYAULCOURT")</f>
        <v>RUYAULCOURT</v>
      </c>
      <c r="E5422" s="38" t="s">
        <v>109</v>
      </c>
      <c r="F5422" s="38" t="s">
        <v>86</v>
      </c>
      <c r="G5422" s="49" t="str">
        <f t="shared" si="1"/>
        <v>62124</v>
      </c>
      <c r="H5422" s="49">
        <f t="shared" si="2"/>
        <v>62731</v>
      </c>
    </row>
    <row r="5423">
      <c r="A5423" s="48" t="s">
        <v>294</v>
      </c>
      <c r="B5423" s="38">
        <v>40175.0</v>
      </c>
      <c r="C5423" s="38" t="s">
        <v>8514</v>
      </c>
      <c r="D5423" s="38" t="str">
        <f>IFERROR(__xludf.DUMMYFUNCTION("REGEXREPLACE(C5423,""-\d+(.*)|--\d+(.*)"","""")"),"MAURRIN")</f>
        <v>MAURRIN</v>
      </c>
      <c r="E5423" s="38" t="s">
        <v>281</v>
      </c>
      <c r="F5423" s="38" t="s">
        <v>252</v>
      </c>
      <c r="G5423" s="49" t="str">
        <f t="shared" si="1"/>
        <v>40270</v>
      </c>
      <c r="H5423" s="49">
        <f t="shared" si="2"/>
        <v>40175</v>
      </c>
    </row>
    <row r="5424">
      <c r="A5424" s="48" t="s">
        <v>8515</v>
      </c>
      <c r="B5424" s="38">
        <v>8389.0</v>
      </c>
      <c r="C5424" s="38" t="s">
        <v>7456</v>
      </c>
      <c r="D5424" s="38" t="str">
        <f>IFERROR(__xludf.DUMMYFUNCTION("REGEXREPLACE(C5424,""-\d+(.*)|--\d+(.*)"","""")"),"SAINT-MARCEL")</f>
        <v>SAINT-MARCEL</v>
      </c>
      <c r="E5424" s="38" t="s">
        <v>327</v>
      </c>
      <c r="F5424" s="38" t="s">
        <v>130</v>
      </c>
      <c r="G5424" s="49" t="str">
        <f t="shared" si="1"/>
        <v>08460</v>
      </c>
      <c r="H5424" s="49" t="str">
        <f t="shared" si="2"/>
        <v>08389</v>
      </c>
    </row>
    <row r="5425">
      <c r="A5425" s="48" t="s">
        <v>2681</v>
      </c>
      <c r="B5425" s="38">
        <v>67077.0</v>
      </c>
      <c r="C5425" s="38" t="s">
        <v>8516</v>
      </c>
      <c r="D5425" s="38" t="str">
        <f>IFERROR(__xludf.DUMMYFUNCTION("REGEXREPLACE(C5425,""-\d+(.*)|--\d+(.*)"","""")"),"COSSWILLER")</f>
        <v>COSSWILLER</v>
      </c>
      <c r="E5425" s="38" t="s">
        <v>210</v>
      </c>
      <c r="F5425" s="38" t="s">
        <v>151</v>
      </c>
      <c r="G5425" s="49" t="str">
        <f t="shared" si="1"/>
        <v>67310</v>
      </c>
      <c r="H5425" s="49">
        <f t="shared" si="2"/>
        <v>67077</v>
      </c>
    </row>
    <row r="5426">
      <c r="A5426" s="48" t="s">
        <v>1524</v>
      </c>
      <c r="B5426" s="38">
        <v>25554.0</v>
      </c>
      <c r="C5426" s="38" t="s">
        <v>8517</v>
      </c>
      <c r="D5426" s="38" t="str">
        <f>IFERROR(__xludf.DUMMYFUNCTION("REGEXREPLACE(C5426,""-\d+(.*)|--\d+(.*)"","""")"),"SURMONT")</f>
        <v>SURMONT</v>
      </c>
      <c r="E5426" s="38" t="s">
        <v>213</v>
      </c>
      <c r="F5426" s="38" t="s">
        <v>214</v>
      </c>
      <c r="G5426" s="49" t="str">
        <f t="shared" si="1"/>
        <v>25380</v>
      </c>
      <c r="H5426" s="49">
        <f t="shared" si="2"/>
        <v>25554</v>
      </c>
    </row>
    <row r="5427">
      <c r="A5427" s="48" t="s">
        <v>7084</v>
      </c>
      <c r="B5427" s="38">
        <v>45085.0</v>
      </c>
      <c r="C5427" s="38" t="s">
        <v>8518</v>
      </c>
      <c r="D5427" s="38" t="str">
        <f>IFERROR(__xludf.DUMMYFUNCTION("REGEXREPLACE(C5427,""-\d+(.*)|--\d+(.*)"","""")"),"CHATILLON-COLIGNY")</f>
        <v>CHATILLON-COLIGNY</v>
      </c>
      <c r="E5427" s="38" t="s">
        <v>122</v>
      </c>
      <c r="F5427" s="38" t="s">
        <v>123</v>
      </c>
      <c r="G5427" s="49" t="str">
        <f t="shared" si="1"/>
        <v>45230</v>
      </c>
      <c r="H5427" s="49">
        <f t="shared" si="2"/>
        <v>45085</v>
      </c>
    </row>
    <row r="5428">
      <c r="A5428" s="48" t="s">
        <v>273</v>
      </c>
      <c r="B5428" s="38">
        <v>89304.0</v>
      </c>
      <c r="C5428" s="38" t="s">
        <v>8519</v>
      </c>
      <c r="D5428" s="38" t="str">
        <f>IFERROR(__xludf.DUMMYFUNCTION("REGEXREPLACE(C5428,""-\d+(.*)|--\d+(.*)"","""")"),"POILLY-SUR-THOLON")</f>
        <v>POILLY-SUR-THOLON</v>
      </c>
      <c r="E5428" s="38" t="s">
        <v>275</v>
      </c>
      <c r="F5428" s="38" t="s">
        <v>106</v>
      </c>
      <c r="G5428" s="49" t="str">
        <f t="shared" si="1"/>
        <v>89110</v>
      </c>
      <c r="H5428" s="49">
        <f t="shared" si="2"/>
        <v>89304</v>
      </c>
    </row>
    <row r="5429">
      <c r="A5429" s="48" t="s">
        <v>3747</v>
      </c>
      <c r="B5429" s="38">
        <v>52015.0</v>
      </c>
      <c r="C5429" s="38" t="s">
        <v>8520</v>
      </c>
      <c r="D5429" s="38" t="str">
        <f>IFERROR(__xludf.DUMMYFUNCTION("REGEXREPLACE(C5429,""-\d+(.*)|--\d+(.*)"","""")"),"ARBIGNY-SOUS-VARENNES")</f>
        <v>ARBIGNY-SOUS-VARENNES</v>
      </c>
      <c r="E5429" s="38" t="s">
        <v>234</v>
      </c>
      <c r="F5429" s="38" t="s">
        <v>130</v>
      </c>
      <c r="G5429" s="49" t="str">
        <f t="shared" si="1"/>
        <v>52500</v>
      </c>
      <c r="H5429" s="49">
        <f t="shared" si="2"/>
        <v>52015</v>
      </c>
    </row>
    <row r="5430">
      <c r="A5430" s="48" t="s">
        <v>3046</v>
      </c>
      <c r="B5430" s="38">
        <v>70018.0</v>
      </c>
      <c r="C5430" s="38" t="s">
        <v>8521</v>
      </c>
      <c r="D5430" s="38" t="str">
        <f>IFERROR(__xludf.DUMMYFUNCTION("REGEXREPLACE(C5430,""-\d+(.*)|--\d+(.*)"","""")"),"ANCIER")</f>
        <v>ANCIER</v>
      </c>
      <c r="E5430" s="38" t="s">
        <v>956</v>
      </c>
      <c r="F5430" s="38" t="s">
        <v>214</v>
      </c>
      <c r="G5430" s="49" t="str">
        <f t="shared" si="1"/>
        <v>70100</v>
      </c>
      <c r="H5430" s="49">
        <f t="shared" si="2"/>
        <v>70018</v>
      </c>
    </row>
    <row r="5431">
      <c r="A5431" s="48" t="s">
        <v>5028</v>
      </c>
      <c r="B5431" s="38">
        <v>25325.0</v>
      </c>
      <c r="C5431" s="38" t="s">
        <v>8522</v>
      </c>
      <c r="D5431" s="38" t="str">
        <f>IFERROR(__xludf.DUMMYFUNCTION("REGEXREPLACE(C5431,""-\d+(.*)|--\d+(.*)"","""")"),"LANDRESSE")</f>
        <v>LANDRESSE</v>
      </c>
      <c r="E5431" s="38" t="s">
        <v>213</v>
      </c>
      <c r="F5431" s="38" t="s">
        <v>214</v>
      </c>
      <c r="G5431" s="49" t="str">
        <f t="shared" si="1"/>
        <v>25530</v>
      </c>
      <c r="H5431" s="49">
        <f t="shared" si="2"/>
        <v>25325</v>
      </c>
    </row>
    <row r="5432">
      <c r="A5432" s="48" t="s">
        <v>8523</v>
      </c>
      <c r="B5432" s="38">
        <v>9252.0</v>
      </c>
      <c r="C5432" s="38" t="s">
        <v>8524</v>
      </c>
      <c r="D5432" s="38" t="str">
        <f>IFERROR(__xludf.DUMMYFUNCTION("REGEXREPLACE(C5432,""-\d+(.*)|--\d+(.*)"","""")"),"ROUZE")</f>
        <v>ROUZE</v>
      </c>
      <c r="E5432" s="38" t="s">
        <v>238</v>
      </c>
      <c r="F5432" s="38" t="s">
        <v>94</v>
      </c>
      <c r="G5432" s="49" t="str">
        <f t="shared" si="1"/>
        <v>09460</v>
      </c>
      <c r="H5432" s="49" t="str">
        <f t="shared" si="2"/>
        <v>09252</v>
      </c>
    </row>
    <row r="5433">
      <c r="A5433" s="48" t="s">
        <v>8525</v>
      </c>
      <c r="B5433" s="38">
        <v>44080.0</v>
      </c>
      <c r="C5433" s="38" t="s">
        <v>8526</v>
      </c>
      <c r="D5433" s="38" t="str">
        <f>IFERROR(__xludf.DUMMYFUNCTION("REGEXREPLACE(C5433,""-\d+(.*)|--\d+(.*)"","""")"),"LAVAU-SUR-LOIRE")</f>
        <v>LAVAU-SUR-LOIRE</v>
      </c>
      <c r="E5433" s="38" t="s">
        <v>759</v>
      </c>
      <c r="F5433" s="38" t="s">
        <v>180</v>
      </c>
      <c r="G5433" s="49" t="str">
        <f t="shared" si="1"/>
        <v>44260</v>
      </c>
      <c r="H5433" s="49">
        <f t="shared" si="2"/>
        <v>44080</v>
      </c>
    </row>
    <row r="5434">
      <c r="A5434" s="48" t="s">
        <v>8527</v>
      </c>
      <c r="B5434" s="38">
        <v>44160.0</v>
      </c>
      <c r="C5434" s="38" t="s">
        <v>8528</v>
      </c>
      <c r="D5434" s="38" t="str">
        <f>IFERROR(__xludf.DUMMYFUNCTION("REGEXREPLACE(C5434,""-\d+(.*)|--\d+(.*)"","""")"),"SAINT-GEREON")</f>
        <v>SAINT-GEREON</v>
      </c>
      <c r="E5434" s="38" t="s">
        <v>759</v>
      </c>
      <c r="F5434" s="38" t="s">
        <v>180</v>
      </c>
      <c r="G5434" s="49" t="str">
        <f t="shared" si="1"/>
        <v>44150</v>
      </c>
      <c r="H5434" s="49">
        <f t="shared" si="2"/>
        <v>44160</v>
      </c>
    </row>
    <row r="5435">
      <c r="A5435" s="48" t="s">
        <v>8529</v>
      </c>
      <c r="B5435" s="38">
        <v>74266.0</v>
      </c>
      <c r="C5435" s="38" t="s">
        <v>8530</v>
      </c>
      <c r="D5435" s="38" t="str">
        <f>IFERROR(__xludf.DUMMYFUNCTION("REGEXREPLACE(C5435,""-\d+(.*)|--\d+(.*)"","""")"),"SERVOZ")</f>
        <v>SERVOZ</v>
      </c>
      <c r="E5435" s="38" t="s">
        <v>319</v>
      </c>
      <c r="F5435" s="38" t="s">
        <v>102</v>
      </c>
      <c r="G5435" s="49" t="str">
        <f t="shared" si="1"/>
        <v>74310</v>
      </c>
      <c r="H5435" s="49">
        <f t="shared" si="2"/>
        <v>74266</v>
      </c>
    </row>
    <row r="5436">
      <c r="A5436" s="48" t="s">
        <v>5200</v>
      </c>
      <c r="B5436" s="38">
        <v>45081.0</v>
      </c>
      <c r="C5436" s="38" t="s">
        <v>8531</v>
      </c>
      <c r="D5436" s="38" t="str">
        <f>IFERROR(__xludf.DUMMYFUNCTION("REGEXREPLACE(C5436,""-\d+(.*)|--\d+(.*)"","""")"),"CHARSONVILLE")</f>
        <v>CHARSONVILLE</v>
      </c>
      <c r="E5436" s="38" t="s">
        <v>122</v>
      </c>
      <c r="F5436" s="38" t="s">
        <v>123</v>
      </c>
      <c r="G5436" s="49" t="str">
        <f t="shared" si="1"/>
        <v>45130</v>
      </c>
      <c r="H5436" s="49">
        <f t="shared" si="2"/>
        <v>45081</v>
      </c>
    </row>
    <row r="5437">
      <c r="A5437" s="48" t="s">
        <v>6800</v>
      </c>
      <c r="B5437" s="38">
        <v>77194.0</v>
      </c>
      <c r="C5437" s="38" t="s">
        <v>8532</v>
      </c>
      <c r="D5437" s="38" t="str">
        <f>IFERROR(__xludf.DUMMYFUNCTION("REGEXREPLACE(C5437,""-\d+(.*)|--\d+(.*)"","""")"),"FORGES")</f>
        <v>FORGES</v>
      </c>
      <c r="E5437" s="38" t="s">
        <v>244</v>
      </c>
      <c r="F5437" s="38" t="s">
        <v>245</v>
      </c>
      <c r="G5437" s="49" t="str">
        <f t="shared" si="1"/>
        <v>77130</v>
      </c>
      <c r="H5437" s="49">
        <f t="shared" si="2"/>
        <v>77194</v>
      </c>
    </row>
    <row r="5438">
      <c r="A5438" s="48" t="s">
        <v>4358</v>
      </c>
      <c r="B5438" s="38">
        <v>1091.0</v>
      </c>
      <c r="C5438" s="38" t="s">
        <v>8533</v>
      </c>
      <c r="D5438" s="38" t="str">
        <f>IFERROR(__xludf.DUMMYFUNCTION("REGEXREPLACE(C5438,""-\d+(.*)|--\d+(.*)"","""")"),"CHATILLON-EN-MICHAILLE")</f>
        <v>CHATILLON-EN-MICHAILLE</v>
      </c>
      <c r="E5438" s="38" t="s">
        <v>255</v>
      </c>
      <c r="F5438" s="38" t="s">
        <v>102</v>
      </c>
      <c r="G5438" s="49" t="str">
        <f t="shared" si="1"/>
        <v>01200</v>
      </c>
      <c r="H5438" s="49" t="str">
        <f t="shared" si="2"/>
        <v>01091</v>
      </c>
    </row>
    <row r="5439">
      <c r="A5439" s="48" t="s">
        <v>2803</v>
      </c>
      <c r="B5439" s="38">
        <v>80231.0</v>
      </c>
      <c r="C5439" s="38" t="s">
        <v>8534</v>
      </c>
      <c r="D5439" s="38" t="str">
        <f>IFERROR(__xludf.DUMMYFUNCTION("REGEXREPLACE(C5439,""-\d+(.*)|--\d+(.*)"","""")"),"CURLU")</f>
        <v>CURLU</v>
      </c>
      <c r="E5439" s="38" t="s">
        <v>224</v>
      </c>
      <c r="F5439" s="38" t="s">
        <v>113</v>
      </c>
      <c r="G5439" s="49" t="str">
        <f t="shared" si="1"/>
        <v>80360</v>
      </c>
      <c r="H5439" s="49">
        <f t="shared" si="2"/>
        <v>80231</v>
      </c>
    </row>
    <row r="5440">
      <c r="A5440" s="48" t="s">
        <v>8535</v>
      </c>
      <c r="B5440" s="38">
        <v>49236.0</v>
      </c>
      <c r="C5440" s="38" t="s">
        <v>8536</v>
      </c>
      <c r="D5440" s="38" t="str">
        <f>IFERROR(__xludf.DUMMYFUNCTION("REGEXREPLACE(C5440,""-\d+(.*)|--\d+(.*)"","""")"),"PASSAVANT-SUR-LAYON")</f>
        <v>PASSAVANT-SUR-LAYON</v>
      </c>
      <c r="E5440" s="38" t="s">
        <v>653</v>
      </c>
      <c r="F5440" s="38" t="s">
        <v>180</v>
      </c>
      <c r="G5440" s="49" t="str">
        <f t="shared" si="1"/>
        <v>49560</v>
      </c>
      <c r="H5440" s="49">
        <f t="shared" si="2"/>
        <v>49236</v>
      </c>
    </row>
    <row r="5441">
      <c r="A5441" s="48" t="s">
        <v>8537</v>
      </c>
      <c r="B5441" s="38">
        <v>78402.0</v>
      </c>
      <c r="C5441" s="38" t="s">
        <v>8538</v>
      </c>
      <c r="D5441" s="38" t="str">
        <f>IFERROR(__xludf.DUMMYFUNCTION("REGEXREPLACE(C5441,""-\d+(.*)|--\d+(.*)"","""")"),"MEZIERES-SUR-SEINE")</f>
        <v>MEZIERES-SUR-SEINE</v>
      </c>
      <c r="E5441" s="38" t="s">
        <v>362</v>
      </c>
      <c r="F5441" s="38" t="s">
        <v>245</v>
      </c>
      <c r="G5441" s="49" t="str">
        <f t="shared" si="1"/>
        <v>78970</v>
      </c>
      <c r="H5441" s="49">
        <f t="shared" si="2"/>
        <v>78402</v>
      </c>
    </row>
    <row r="5442">
      <c r="A5442" s="48" t="s">
        <v>3930</v>
      </c>
      <c r="B5442" s="38">
        <v>12151.0</v>
      </c>
      <c r="C5442" s="38" t="s">
        <v>8539</v>
      </c>
      <c r="D5442" s="38" t="str">
        <f>IFERROR(__xludf.DUMMYFUNCTION("REGEXREPLACE(C5442,""-\d+(.*)|--\d+(.*)"","""")"),"MONTEZIC")</f>
        <v>MONTEZIC</v>
      </c>
      <c r="E5442" s="38" t="s">
        <v>465</v>
      </c>
      <c r="F5442" s="38" t="s">
        <v>94</v>
      </c>
      <c r="G5442" s="49" t="str">
        <f t="shared" si="1"/>
        <v>12460</v>
      </c>
      <c r="H5442" s="49">
        <f t="shared" si="2"/>
        <v>12151</v>
      </c>
    </row>
    <row r="5443">
      <c r="A5443" s="48" t="s">
        <v>5443</v>
      </c>
      <c r="B5443" s="38">
        <v>76040.0</v>
      </c>
      <c r="C5443" s="38" t="s">
        <v>8540</v>
      </c>
      <c r="D5443" s="38" t="str">
        <f>IFERROR(__xludf.DUMMYFUNCTION("REGEXREPLACE(C5443,""-\d+(.*)|--\d+(.*)"","""")"),"AUTIGNY")</f>
        <v>AUTIGNY</v>
      </c>
      <c r="E5443" s="38" t="s">
        <v>133</v>
      </c>
      <c r="F5443" s="38" t="s">
        <v>134</v>
      </c>
      <c r="G5443" s="49" t="str">
        <f t="shared" si="1"/>
        <v>76740</v>
      </c>
      <c r="H5443" s="49">
        <f t="shared" si="2"/>
        <v>76040</v>
      </c>
    </row>
    <row r="5444">
      <c r="A5444" s="48" t="s">
        <v>239</v>
      </c>
      <c r="B5444" s="38">
        <v>27498.0</v>
      </c>
      <c r="C5444" s="38" t="s">
        <v>8541</v>
      </c>
      <c r="D5444" s="38" t="str">
        <f>IFERROR(__xludf.DUMMYFUNCTION("REGEXREPLACE(C5444,""-\d+(.*)|--\d+(.*)"","""")"),"ROUGE-PERRIERS")</f>
        <v>ROUGE-PERRIERS</v>
      </c>
      <c r="E5444" s="38" t="s">
        <v>241</v>
      </c>
      <c r="F5444" s="38" t="s">
        <v>134</v>
      </c>
      <c r="G5444" s="49" t="str">
        <f t="shared" si="1"/>
        <v>27110</v>
      </c>
      <c r="H5444" s="49">
        <f t="shared" si="2"/>
        <v>27498</v>
      </c>
    </row>
    <row r="5445">
      <c r="A5445" s="48" t="s">
        <v>1624</v>
      </c>
      <c r="B5445" s="38">
        <v>34001.0</v>
      </c>
      <c r="C5445" s="38" t="s">
        <v>8542</v>
      </c>
      <c r="D5445" s="38" t="str">
        <f>IFERROR(__xludf.DUMMYFUNCTION("REGEXREPLACE(C5445,""-\d+(.*)|--\d+(.*)"","""")"),"ABEILHAN")</f>
        <v>ABEILHAN</v>
      </c>
      <c r="E5445" s="38" t="s">
        <v>118</v>
      </c>
      <c r="F5445" s="38" t="s">
        <v>119</v>
      </c>
      <c r="G5445" s="49" t="str">
        <f t="shared" si="1"/>
        <v>34290</v>
      </c>
      <c r="H5445" s="49">
        <f t="shared" si="2"/>
        <v>34001</v>
      </c>
    </row>
    <row r="5446">
      <c r="A5446" s="48" t="s">
        <v>8359</v>
      </c>
      <c r="B5446" s="38">
        <v>89212.0</v>
      </c>
      <c r="C5446" s="38" t="s">
        <v>3243</v>
      </c>
      <c r="D5446" s="38" t="str">
        <f>IFERROR(__xludf.DUMMYFUNCTION("REGEXREPLACE(C5446,""-\d+(.*)|--\d+(.*)"","""")"),"JUSSY")</f>
        <v>JUSSY</v>
      </c>
      <c r="E5446" s="38" t="s">
        <v>275</v>
      </c>
      <c r="F5446" s="38" t="s">
        <v>106</v>
      </c>
      <c r="G5446" s="49" t="str">
        <f t="shared" si="1"/>
        <v>89290</v>
      </c>
      <c r="H5446" s="49">
        <f t="shared" si="2"/>
        <v>89212</v>
      </c>
    </row>
    <row r="5447">
      <c r="A5447" s="48" t="s">
        <v>1540</v>
      </c>
      <c r="B5447" s="38">
        <v>70452.0</v>
      </c>
      <c r="C5447" s="38" t="s">
        <v>8543</v>
      </c>
      <c r="D5447" s="38" t="str">
        <f>IFERROR(__xludf.DUMMYFUNCTION("REGEXREPLACE(C5447,""-\d+(.*)|--\d+(.*)"","""")"),"ROSEY")</f>
        <v>ROSEY</v>
      </c>
      <c r="E5447" s="38" t="s">
        <v>956</v>
      </c>
      <c r="F5447" s="38" t="s">
        <v>214</v>
      </c>
      <c r="G5447" s="49" t="str">
        <f t="shared" si="1"/>
        <v>70000</v>
      </c>
      <c r="H5447" s="49">
        <f t="shared" si="2"/>
        <v>70452</v>
      </c>
    </row>
    <row r="5448">
      <c r="A5448" s="48" t="s">
        <v>405</v>
      </c>
      <c r="B5448" s="38">
        <v>79277.0</v>
      </c>
      <c r="C5448" s="38" t="s">
        <v>8544</v>
      </c>
      <c r="D5448" s="38" t="str">
        <f>IFERROR(__xludf.DUMMYFUNCTION("REGEXREPLACE(C5448,""-\d+(.*)|--\d+(.*)"","""")"),"SAINT-MARTIN-DE-SANZAY")</f>
        <v>SAINT-MARTIN-DE-SANZAY</v>
      </c>
      <c r="E5448" s="38" t="s">
        <v>337</v>
      </c>
      <c r="F5448" s="38" t="s">
        <v>338</v>
      </c>
      <c r="G5448" s="49" t="str">
        <f t="shared" si="1"/>
        <v>79290</v>
      </c>
      <c r="H5448" s="49">
        <f t="shared" si="2"/>
        <v>79277</v>
      </c>
    </row>
    <row r="5449">
      <c r="A5449" s="48" t="s">
        <v>8545</v>
      </c>
      <c r="B5449" s="38">
        <v>95101.0</v>
      </c>
      <c r="C5449" s="38" t="s">
        <v>8546</v>
      </c>
      <c r="D5449" s="38" t="str">
        <f>IFERROR(__xludf.DUMMYFUNCTION("REGEXREPLACE(C5449,""-\d+(.*)|--\d+(.*)"","""")"),"BRAY-ET-LU")</f>
        <v>BRAY-ET-LU</v>
      </c>
      <c r="E5449" s="38" t="s">
        <v>541</v>
      </c>
      <c r="F5449" s="38" t="s">
        <v>245</v>
      </c>
      <c r="G5449" s="49" t="str">
        <f t="shared" si="1"/>
        <v>95710</v>
      </c>
      <c r="H5449" s="49">
        <f t="shared" si="2"/>
        <v>95101</v>
      </c>
    </row>
    <row r="5450">
      <c r="A5450" s="48" t="s">
        <v>5461</v>
      </c>
      <c r="B5450" s="38">
        <v>86060.0</v>
      </c>
      <c r="C5450" s="38" t="s">
        <v>8547</v>
      </c>
      <c r="D5450" s="38" t="str">
        <f>IFERROR(__xludf.DUMMYFUNCTION("REGEXREPLACE(C5450,""-\d+(.*)|--\d+(.*)"","""")"),"CHARRAIS")</f>
        <v>CHARRAIS</v>
      </c>
      <c r="E5450" s="38" t="s">
        <v>529</v>
      </c>
      <c r="F5450" s="38" t="s">
        <v>338</v>
      </c>
      <c r="G5450" s="49" t="str">
        <f t="shared" si="1"/>
        <v>86170</v>
      </c>
      <c r="H5450" s="49">
        <f t="shared" si="2"/>
        <v>86060</v>
      </c>
    </row>
    <row r="5451">
      <c r="A5451" s="48" t="s">
        <v>1118</v>
      </c>
      <c r="B5451" s="38">
        <v>50236.0</v>
      </c>
      <c r="C5451" s="38" t="s">
        <v>8548</v>
      </c>
      <c r="D5451" s="38" t="str">
        <f>IFERROR(__xludf.DUMMYFUNCTION("REGEXREPLACE(C5451,""-\d+(.*)|--\d+(.*)"","""")"),"LA HAYE-DU-PUITS")</f>
        <v>LA HAYE-DU-PUITS</v>
      </c>
      <c r="E5451" s="38" t="s">
        <v>157</v>
      </c>
      <c r="F5451" s="38" t="s">
        <v>138</v>
      </c>
      <c r="G5451" s="49" t="str">
        <f t="shared" si="1"/>
        <v>50250</v>
      </c>
      <c r="H5451" s="49">
        <f t="shared" si="2"/>
        <v>50236</v>
      </c>
    </row>
    <row r="5452">
      <c r="A5452" s="48" t="s">
        <v>1721</v>
      </c>
      <c r="B5452" s="38">
        <v>33107.0</v>
      </c>
      <c r="C5452" s="38" t="s">
        <v>8549</v>
      </c>
      <c r="D5452" s="38" t="str">
        <f>IFERROR(__xludf.DUMMYFUNCTION("REGEXREPLACE(C5452,""-\d+(.*)|--\d+(.*)"","""")"),"CASTILLON-DE-CASTETS")</f>
        <v>CASTILLON-DE-CASTETS</v>
      </c>
      <c r="E5452" s="38" t="s">
        <v>462</v>
      </c>
      <c r="F5452" s="38" t="s">
        <v>252</v>
      </c>
      <c r="G5452" s="49" t="str">
        <f t="shared" si="1"/>
        <v>33210</v>
      </c>
      <c r="H5452" s="49">
        <f t="shared" si="2"/>
        <v>33107</v>
      </c>
    </row>
    <row r="5453">
      <c r="A5453" s="48" t="s">
        <v>2326</v>
      </c>
      <c r="B5453" s="38">
        <v>54388.0</v>
      </c>
      <c r="C5453" s="38" t="s">
        <v>8550</v>
      </c>
      <c r="D5453" s="38" t="str">
        <f>IFERROR(__xludf.DUMMYFUNCTION("REGEXREPLACE(C5453,""-\d+(.*)|--\d+(.*)"","""")"),"MOUACOURT")</f>
        <v>MOUACOURT</v>
      </c>
      <c r="E5453" s="38" t="s">
        <v>548</v>
      </c>
      <c r="F5453" s="38" t="s">
        <v>195</v>
      </c>
      <c r="G5453" s="49" t="str">
        <f t="shared" si="1"/>
        <v>54370</v>
      </c>
      <c r="H5453" s="49">
        <f t="shared" si="2"/>
        <v>54388</v>
      </c>
    </row>
    <row r="5454">
      <c r="A5454" s="48" t="s">
        <v>5122</v>
      </c>
      <c r="B5454" s="38">
        <v>62174.0</v>
      </c>
      <c r="C5454" s="38" t="s">
        <v>8551</v>
      </c>
      <c r="D5454" s="38" t="str">
        <f>IFERROR(__xludf.DUMMYFUNCTION("REGEXREPLACE(C5454,""-\d+(.*)|--\d+(.*)"","""")"),"BREMES")</f>
        <v>BREMES</v>
      </c>
      <c r="E5454" s="38" t="s">
        <v>109</v>
      </c>
      <c r="F5454" s="38" t="s">
        <v>86</v>
      </c>
      <c r="G5454" s="49" t="str">
        <f t="shared" si="1"/>
        <v>62610</v>
      </c>
      <c r="H5454" s="49">
        <f t="shared" si="2"/>
        <v>62174</v>
      </c>
    </row>
    <row r="5455">
      <c r="A5455" s="48" t="s">
        <v>2029</v>
      </c>
      <c r="B5455" s="38">
        <v>50010.0</v>
      </c>
      <c r="C5455" s="38" t="s">
        <v>8552</v>
      </c>
      <c r="D5455" s="38" t="str">
        <f>IFERROR(__xludf.DUMMYFUNCTION("REGEXREPLACE(C5455,""-\d+(.*)|--\d+(.*)"","""")"),"ANGOVILLE-AU-PLAIN")</f>
        <v>ANGOVILLE-AU-PLAIN</v>
      </c>
      <c r="E5455" s="38" t="s">
        <v>157</v>
      </c>
      <c r="F5455" s="38" t="s">
        <v>138</v>
      </c>
      <c r="G5455" s="49" t="str">
        <f t="shared" si="1"/>
        <v>50480</v>
      </c>
      <c r="H5455" s="49">
        <f t="shared" si="2"/>
        <v>50010</v>
      </c>
    </row>
    <row r="5456">
      <c r="A5456" s="48" t="s">
        <v>1135</v>
      </c>
      <c r="B5456" s="38">
        <v>79244.0</v>
      </c>
      <c r="C5456" s="38" t="s">
        <v>8553</v>
      </c>
      <c r="D5456" s="38" t="str">
        <f>IFERROR(__xludf.DUMMYFUNCTION("REGEXREPLACE(C5456,""-\d+(.*)|--\d+(.*)"","""")"),"SAINT-CYR-LA-LANDE")</f>
        <v>SAINT-CYR-LA-LANDE</v>
      </c>
      <c r="E5456" s="38" t="s">
        <v>337</v>
      </c>
      <c r="F5456" s="38" t="s">
        <v>338</v>
      </c>
      <c r="G5456" s="49" t="str">
        <f t="shared" si="1"/>
        <v>79100</v>
      </c>
      <c r="H5456" s="49">
        <f t="shared" si="2"/>
        <v>79244</v>
      </c>
    </row>
    <row r="5457">
      <c r="A5457" s="48" t="s">
        <v>1031</v>
      </c>
      <c r="B5457" s="38">
        <v>2155.0</v>
      </c>
      <c r="C5457" s="38" t="s">
        <v>8554</v>
      </c>
      <c r="D5457" s="38" t="str">
        <f>IFERROR(__xludf.DUMMYFUNCTION("REGEXREPLACE(C5457,""-\d+(.*)|--\d+(.*)"","""")"),"CHAILLEVOIS")</f>
        <v>CHAILLEVOIS</v>
      </c>
      <c r="E5457" s="38" t="s">
        <v>191</v>
      </c>
      <c r="F5457" s="38" t="s">
        <v>113</v>
      </c>
      <c r="G5457" s="49" t="str">
        <f t="shared" si="1"/>
        <v>02000</v>
      </c>
      <c r="H5457" s="49" t="str">
        <f t="shared" si="2"/>
        <v>02155</v>
      </c>
    </row>
    <row r="5458">
      <c r="A5458" s="48" t="s">
        <v>484</v>
      </c>
      <c r="B5458" s="38">
        <v>16387.0</v>
      </c>
      <c r="C5458" s="38" t="s">
        <v>8555</v>
      </c>
      <c r="D5458" s="38" t="str">
        <f>IFERROR(__xludf.DUMMYFUNCTION("REGEXREPLACE(C5458,""-\d+(.*)|--\d+(.*)"","""")"),"TRIAC-LAUTRAIT")</f>
        <v>TRIAC-LAUTRAIT</v>
      </c>
      <c r="E5458" s="38" t="s">
        <v>429</v>
      </c>
      <c r="F5458" s="38" t="s">
        <v>338</v>
      </c>
      <c r="G5458" s="49" t="str">
        <f t="shared" si="1"/>
        <v>16200</v>
      </c>
      <c r="H5458" s="49">
        <f t="shared" si="2"/>
        <v>16387</v>
      </c>
    </row>
    <row r="5459">
      <c r="A5459" s="48" t="s">
        <v>1341</v>
      </c>
      <c r="B5459" s="38">
        <v>14186.0</v>
      </c>
      <c r="C5459" s="38" t="s">
        <v>8556</v>
      </c>
      <c r="D5459" s="38" t="str">
        <f>IFERROR(__xludf.DUMMYFUNCTION("REGEXREPLACE(C5459,""-\d+(.*)|--\d+(.*)"","""")"),"COULOMBS")</f>
        <v>COULOMBS</v>
      </c>
      <c r="E5459" s="38" t="s">
        <v>137</v>
      </c>
      <c r="F5459" s="38" t="s">
        <v>138</v>
      </c>
      <c r="G5459" s="49" t="str">
        <f t="shared" si="1"/>
        <v>14480</v>
      </c>
      <c r="H5459" s="49">
        <f t="shared" si="2"/>
        <v>14186</v>
      </c>
    </row>
    <row r="5460">
      <c r="A5460" s="48" t="s">
        <v>4308</v>
      </c>
      <c r="B5460" s="38" t="s">
        <v>8557</v>
      </c>
      <c r="C5460" s="38" t="s">
        <v>8558</v>
      </c>
      <c r="D5460" s="38" t="str">
        <f>IFERROR(__xludf.DUMMYFUNCTION("REGEXREPLACE(C5460,""-\d+(.*)|--\d+(.*)"","""")"),"CASTELLARE-DI-MERCURIO")</f>
        <v>CASTELLARE-DI-MERCURIO</v>
      </c>
      <c r="E5460" s="38" t="s">
        <v>743</v>
      </c>
      <c r="F5460" s="38" t="s">
        <v>607</v>
      </c>
      <c r="G5460" s="49" t="str">
        <f t="shared" si="1"/>
        <v>20212</v>
      </c>
      <c r="H5460" s="49" t="str">
        <f t="shared" si="2"/>
        <v>2B078</v>
      </c>
    </row>
    <row r="5461">
      <c r="A5461" s="48" t="s">
        <v>8559</v>
      </c>
      <c r="B5461" s="38">
        <v>59369.0</v>
      </c>
      <c r="C5461" s="38" t="s">
        <v>8560</v>
      </c>
      <c r="D5461" s="38" t="str">
        <f>IFERROR(__xludf.DUMMYFUNCTION("REGEXREPLACE(C5461,""-\d+(.*)|--\d+(.*)"","""")"),"MAING")</f>
        <v>MAING</v>
      </c>
      <c r="E5461" s="38" t="s">
        <v>85</v>
      </c>
      <c r="F5461" s="38" t="s">
        <v>86</v>
      </c>
      <c r="G5461" s="49" t="str">
        <f t="shared" si="1"/>
        <v>59233</v>
      </c>
      <c r="H5461" s="49">
        <f t="shared" si="2"/>
        <v>59369</v>
      </c>
    </row>
    <row r="5462">
      <c r="A5462" s="48" t="s">
        <v>1628</v>
      </c>
      <c r="B5462" s="38">
        <v>70292.0</v>
      </c>
      <c r="C5462" s="38" t="s">
        <v>8561</v>
      </c>
      <c r="D5462" s="38" t="str">
        <f>IFERROR(__xludf.DUMMYFUNCTION("REGEXREPLACE(C5462,""-\d+(.*)|--\d+(.*)"","""")"),"JUSSEY")</f>
        <v>JUSSEY</v>
      </c>
      <c r="E5462" s="38" t="s">
        <v>956</v>
      </c>
      <c r="F5462" s="38" t="s">
        <v>214</v>
      </c>
      <c r="G5462" s="49" t="str">
        <f t="shared" si="1"/>
        <v>70500</v>
      </c>
      <c r="H5462" s="49">
        <f t="shared" si="2"/>
        <v>70292</v>
      </c>
    </row>
    <row r="5463">
      <c r="A5463" s="48" t="s">
        <v>6985</v>
      </c>
      <c r="B5463" s="38">
        <v>62243.0</v>
      </c>
      <c r="C5463" s="38" t="s">
        <v>8562</v>
      </c>
      <c r="D5463" s="38" t="str">
        <f>IFERROR(__xludf.DUMMYFUNCTION("REGEXREPLACE(C5463,""-\d+(.*)|--\d+(.*)"","""")"),"COULLEMONT")</f>
        <v>COULLEMONT</v>
      </c>
      <c r="E5463" s="38" t="s">
        <v>109</v>
      </c>
      <c r="F5463" s="38" t="s">
        <v>86</v>
      </c>
      <c r="G5463" s="49" t="str">
        <f t="shared" si="1"/>
        <v>62158</v>
      </c>
      <c r="H5463" s="49">
        <f t="shared" si="2"/>
        <v>62243</v>
      </c>
    </row>
    <row r="5464">
      <c r="A5464" s="48" t="s">
        <v>3914</v>
      </c>
      <c r="B5464" s="38">
        <v>34331.0</v>
      </c>
      <c r="C5464" s="38" t="s">
        <v>8563</v>
      </c>
      <c r="D5464" s="38" t="str">
        <f>IFERROR(__xludf.DUMMYFUNCTION("REGEXREPLACE(C5464,""-\d+(.*)|--\d+(.*)"","""")"),"VERRERIES-DE-MOUSSANS")</f>
        <v>VERRERIES-DE-MOUSSANS</v>
      </c>
      <c r="E5464" s="38" t="s">
        <v>118</v>
      </c>
      <c r="F5464" s="38" t="s">
        <v>119</v>
      </c>
      <c r="G5464" s="49" t="str">
        <f t="shared" si="1"/>
        <v>34220</v>
      </c>
      <c r="H5464" s="49">
        <f t="shared" si="2"/>
        <v>34331</v>
      </c>
    </row>
    <row r="5465">
      <c r="A5465" s="48" t="s">
        <v>997</v>
      </c>
      <c r="B5465" s="38">
        <v>55522.0</v>
      </c>
      <c r="C5465" s="38" t="s">
        <v>8564</v>
      </c>
      <c r="D5465" s="38" t="str">
        <f>IFERROR(__xludf.DUMMYFUNCTION("REGEXREPLACE(C5465,""-\d+(.*)|--\d+(.*)"","""")"),"UGNY-SUR-MEUSE")</f>
        <v>UGNY-SUR-MEUSE</v>
      </c>
      <c r="E5465" s="38" t="s">
        <v>322</v>
      </c>
      <c r="F5465" s="38" t="s">
        <v>195</v>
      </c>
      <c r="G5465" s="49" t="str">
        <f t="shared" si="1"/>
        <v>55140</v>
      </c>
      <c r="H5465" s="49">
        <f t="shared" si="2"/>
        <v>55522</v>
      </c>
    </row>
    <row r="5466">
      <c r="A5466" s="48" t="s">
        <v>3190</v>
      </c>
      <c r="B5466" s="38">
        <v>70231.0</v>
      </c>
      <c r="C5466" s="38" t="s">
        <v>8565</v>
      </c>
      <c r="D5466" s="38" t="str">
        <f>IFERROR(__xludf.DUMMYFUNCTION("REGEXREPLACE(C5466,""-\d+(.*)|--\d+(.*)"","""")"),"FERRIERES-LES-RAY")</f>
        <v>FERRIERES-LES-RAY</v>
      </c>
      <c r="E5466" s="38" t="s">
        <v>956</v>
      </c>
      <c r="F5466" s="38" t="s">
        <v>214</v>
      </c>
      <c r="G5466" s="49" t="str">
        <f t="shared" si="1"/>
        <v>70130</v>
      </c>
      <c r="H5466" s="49">
        <f t="shared" si="2"/>
        <v>70231</v>
      </c>
    </row>
    <row r="5467">
      <c r="A5467" s="48" t="s">
        <v>5273</v>
      </c>
      <c r="B5467" s="38">
        <v>53062.0</v>
      </c>
      <c r="C5467" s="38" t="s">
        <v>8566</v>
      </c>
      <c r="D5467" s="38" t="str">
        <f>IFERROR(__xludf.DUMMYFUNCTION("REGEXREPLACE(C5467,""-\d+(.*)|--\d+(.*)"","""")"),"CHATEAU-GONTIER")</f>
        <v>CHATEAU-GONTIER</v>
      </c>
      <c r="E5467" s="38" t="s">
        <v>518</v>
      </c>
      <c r="F5467" s="38" t="s">
        <v>180</v>
      </c>
      <c r="G5467" s="49" t="str">
        <f t="shared" si="1"/>
        <v>53200</v>
      </c>
      <c r="H5467" s="49">
        <f t="shared" si="2"/>
        <v>53062</v>
      </c>
    </row>
    <row r="5468">
      <c r="A5468" s="48" t="s">
        <v>4145</v>
      </c>
      <c r="B5468" s="38">
        <v>46330.0</v>
      </c>
      <c r="C5468" s="38" t="s">
        <v>8567</v>
      </c>
      <c r="D5468" s="38" t="str">
        <f>IFERROR(__xludf.DUMMYFUNCTION("REGEXREPLACE(C5468,""-\d+(.*)|--\d+(.*)"","""")"),"VAYRAC")</f>
        <v>VAYRAC</v>
      </c>
      <c r="E5468" s="38" t="s">
        <v>185</v>
      </c>
      <c r="F5468" s="38" t="s">
        <v>94</v>
      </c>
      <c r="G5468" s="49" t="str">
        <f t="shared" si="1"/>
        <v>46110</v>
      </c>
      <c r="H5468" s="49">
        <f t="shared" si="2"/>
        <v>46330</v>
      </c>
    </row>
    <row r="5469">
      <c r="A5469" s="48" t="s">
        <v>6311</v>
      </c>
      <c r="B5469" s="38">
        <v>89040.0</v>
      </c>
      <c r="C5469" s="38" t="s">
        <v>8568</v>
      </c>
      <c r="D5469" s="38" t="str">
        <f>IFERROR(__xludf.DUMMYFUNCTION("REGEXREPLACE(C5469,""-\d+(.*)|--\d+(.*)"","""")"),"BESSY-SUR-CURE")</f>
        <v>BESSY-SUR-CURE</v>
      </c>
      <c r="E5469" s="38" t="s">
        <v>275</v>
      </c>
      <c r="F5469" s="38" t="s">
        <v>106</v>
      </c>
      <c r="G5469" s="49" t="str">
        <f t="shared" si="1"/>
        <v>89270</v>
      </c>
      <c r="H5469" s="49">
        <f t="shared" si="2"/>
        <v>89040</v>
      </c>
    </row>
    <row r="5470">
      <c r="A5470" s="48" t="s">
        <v>7749</v>
      </c>
      <c r="B5470" s="38">
        <v>85171.0</v>
      </c>
      <c r="C5470" s="38" t="s">
        <v>8569</v>
      </c>
      <c r="D5470" s="38" t="str">
        <f>IFERROR(__xludf.DUMMYFUNCTION("REGEXREPLACE(C5470,""-\d+(.*)|--\d+(.*)"","""")"),"PEAULT")</f>
        <v>PEAULT</v>
      </c>
      <c r="E5470" s="38" t="s">
        <v>179</v>
      </c>
      <c r="F5470" s="38" t="s">
        <v>180</v>
      </c>
      <c r="G5470" s="49" t="str">
        <f t="shared" si="1"/>
        <v>85320</v>
      </c>
      <c r="H5470" s="49">
        <f t="shared" si="2"/>
        <v>85171</v>
      </c>
    </row>
    <row r="5471">
      <c r="A5471" s="48" t="s">
        <v>8570</v>
      </c>
      <c r="B5471" s="38">
        <v>68371.0</v>
      </c>
      <c r="C5471" s="38" t="s">
        <v>8571</v>
      </c>
      <c r="D5471" s="38" t="str">
        <f>IFERROR(__xludf.DUMMYFUNCTION("REGEXREPLACE(C5471,""-\d+(.*)|--\d+(.*)"","""")"),"WILLER")</f>
        <v>WILLER</v>
      </c>
      <c r="E5471" s="38" t="s">
        <v>150</v>
      </c>
      <c r="F5471" s="38" t="s">
        <v>151</v>
      </c>
      <c r="G5471" s="49" t="str">
        <f t="shared" si="1"/>
        <v>68960</v>
      </c>
      <c r="H5471" s="49">
        <f t="shared" si="2"/>
        <v>68371</v>
      </c>
    </row>
    <row r="5472">
      <c r="A5472" s="48" t="s">
        <v>6347</v>
      </c>
      <c r="B5472" s="38">
        <v>73126.0</v>
      </c>
      <c r="C5472" s="38" t="s">
        <v>8572</v>
      </c>
      <c r="D5472" s="38" t="str">
        <f>IFERROR(__xludf.DUMMYFUNCTION("REGEXREPLACE(C5472,""-\d+(.*)|--\d+(.*)"","""")"),"GRANIER")</f>
        <v>GRANIER</v>
      </c>
      <c r="E5472" s="38" t="s">
        <v>306</v>
      </c>
      <c r="F5472" s="38" t="s">
        <v>102</v>
      </c>
      <c r="G5472" s="49" t="str">
        <f t="shared" si="1"/>
        <v>73210</v>
      </c>
      <c r="H5472" s="49">
        <f t="shared" si="2"/>
        <v>73126</v>
      </c>
    </row>
    <row r="5473">
      <c r="A5473" s="48" t="s">
        <v>1520</v>
      </c>
      <c r="B5473" s="38">
        <v>16335.0</v>
      </c>
      <c r="C5473" s="38" t="s">
        <v>8573</v>
      </c>
      <c r="D5473" s="38" t="str">
        <f>IFERROR(__xludf.DUMMYFUNCTION("REGEXREPLACE(C5473,""-\d+(.*)|--\d+(.*)"","""")"),"SAINT-MARTIN-DU-CLOCHER")</f>
        <v>SAINT-MARTIN-DU-CLOCHER</v>
      </c>
      <c r="E5473" s="38" t="s">
        <v>429</v>
      </c>
      <c r="F5473" s="38" t="s">
        <v>338</v>
      </c>
      <c r="G5473" s="49" t="str">
        <f t="shared" si="1"/>
        <v>16700</v>
      </c>
      <c r="H5473" s="49">
        <f t="shared" si="2"/>
        <v>16335</v>
      </c>
    </row>
    <row r="5474">
      <c r="A5474" s="48" t="s">
        <v>8453</v>
      </c>
      <c r="B5474" s="38">
        <v>8167.0</v>
      </c>
      <c r="C5474" s="38" t="s">
        <v>8574</v>
      </c>
      <c r="D5474" s="38" t="str">
        <f>IFERROR(__xludf.DUMMYFUNCTION("REGEXREPLACE(C5474,""-\d+(.*)|--\d+(.*)"","""")"),"LA FEREE")</f>
        <v>LA FEREE</v>
      </c>
      <c r="E5474" s="38" t="s">
        <v>327</v>
      </c>
      <c r="F5474" s="38" t="s">
        <v>130</v>
      </c>
      <c r="G5474" s="49" t="str">
        <f t="shared" si="1"/>
        <v>08290</v>
      </c>
      <c r="H5474" s="49" t="str">
        <f t="shared" si="2"/>
        <v>08167</v>
      </c>
    </row>
    <row r="5475">
      <c r="A5475" s="48" t="s">
        <v>8575</v>
      </c>
      <c r="B5475" s="38">
        <v>29171.0</v>
      </c>
      <c r="C5475" s="38" t="s">
        <v>8576</v>
      </c>
      <c r="D5475" s="38" t="str">
        <f>IFERROR(__xludf.DUMMYFUNCTION("REGEXREPLACE(C5475,""-\d+(.*)|--\d+(.*)"","""")"),"PLOMEUR")</f>
        <v>PLOMEUR</v>
      </c>
      <c r="E5475" s="38" t="s">
        <v>176</v>
      </c>
      <c r="F5475" s="38" t="s">
        <v>90</v>
      </c>
      <c r="G5475" s="49" t="str">
        <f t="shared" si="1"/>
        <v>29120</v>
      </c>
      <c r="H5475" s="49">
        <f t="shared" si="2"/>
        <v>29171</v>
      </c>
    </row>
    <row r="5476">
      <c r="A5476" s="48" t="s">
        <v>8577</v>
      </c>
      <c r="B5476" s="38">
        <v>3167.0</v>
      </c>
      <c r="C5476" s="38" t="s">
        <v>8578</v>
      </c>
      <c r="D5476" s="38" t="str">
        <f>IFERROR(__xludf.DUMMYFUNCTION("REGEXREPLACE(C5476,""-\d+(.*)|--\d+(.*)"","""")"),"MAZIRAT")</f>
        <v>MAZIRAT</v>
      </c>
      <c r="E5476" s="38" t="s">
        <v>160</v>
      </c>
      <c r="F5476" s="38" t="s">
        <v>161</v>
      </c>
      <c r="G5476" s="49" t="str">
        <f t="shared" si="1"/>
        <v>03420</v>
      </c>
      <c r="H5476" s="49" t="str">
        <f t="shared" si="2"/>
        <v>03167</v>
      </c>
    </row>
    <row r="5477">
      <c r="A5477" s="48" t="s">
        <v>8579</v>
      </c>
      <c r="B5477" s="38">
        <v>32005.0</v>
      </c>
      <c r="C5477" s="38" t="s">
        <v>8580</v>
      </c>
      <c r="D5477" s="38" t="str">
        <f>IFERROR(__xludf.DUMMYFUNCTION("REGEXREPLACE(C5477,""-\d+(.*)|--\d+(.*)"","""")"),"ARBLADE-LE-HAUT")</f>
        <v>ARBLADE-LE-HAUT</v>
      </c>
      <c r="E5477" s="38" t="s">
        <v>440</v>
      </c>
      <c r="F5477" s="38" t="s">
        <v>94</v>
      </c>
      <c r="G5477" s="49" t="str">
        <f t="shared" si="1"/>
        <v>32110</v>
      </c>
      <c r="H5477" s="49">
        <f t="shared" si="2"/>
        <v>32005</v>
      </c>
    </row>
    <row r="5478">
      <c r="A5478" s="48" t="s">
        <v>932</v>
      </c>
      <c r="B5478" s="38">
        <v>17446.0</v>
      </c>
      <c r="C5478" s="38" t="s">
        <v>5248</v>
      </c>
      <c r="D5478" s="38" t="str">
        <f>IFERROR(__xludf.DUMMYFUNCTION("REGEXREPLACE(C5478,""-\d+(.*)|--\d+(.*)"","""")"),"THORS")</f>
        <v>THORS</v>
      </c>
      <c r="E5478" s="38" t="s">
        <v>488</v>
      </c>
      <c r="F5478" s="38" t="s">
        <v>338</v>
      </c>
      <c r="G5478" s="49" t="str">
        <f t="shared" si="1"/>
        <v>17160</v>
      </c>
      <c r="H5478" s="49">
        <f t="shared" si="2"/>
        <v>17446</v>
      </c>
    </row>
    <row r="5479">
      <c r="A5479" s="48" t="s">
        <v>8120</v>
      </c>
      <c r="B5479" s="38">
        <v>61237.0</v>
      </c>
      <c r="C5479" s="38" t="s">
        <v>8581</v>
      </c>
      <c r="D5479" s="38" t="str">
        <f>IFERROR(__xludf.DUMMYFUNCTION("REGEXREPLACE(C5479,""-\d+(.*)|--\d+(.*)"","""")"),"LOUGE-SUR-MAIRE")</f>
        <v>LOUGE-SUR-MAIRE</v>
      </c>
      <c r="E5479" s="38" t="s">
        <v>141</v>
      </c>
      <c r="F5479" s="38" t="s">
        <v>138</v>
      </c>
      <c r="G5479" s="49" t="str">
        <f t="shared" si="1"/>
        <v>61150</v>
      </c>
      <c r="H5479" s="49">
        <f t="shared" si="2"/>
        <v>61237</v>
      </c>
    </row>
    <row r="5480">
      <c r="A5480" s="48" t="s">
        <v>3747</v>
      </c>
      <c r="B5480" s="38">
        <v>52145.0</v>
      </c>
      <c r="C5480" s="38" t="s">
        <v>8582</v>
      </c>
      <c r="D5480" s="38" t="str">
        <f>IFERROR(__xludf.DUMMYFUNCTION("REGEXREPLACE(C5480,""-\d+(.*)|--\d+(.*)"","""")"),"COUBLANC")</f>
        <v>COUBLANC</v>
      </c>
      <c r="E5480" s="38" t="s">
        <v>234</v>
      </c>
      <c r="F5480" s="38" t="s">
        <v>130</v>
      </c>
      <c r="G5480" s="49" t="str">
        <f t="shared" si="1"/>
        <v>52500</v>
      </c>
      <c r="H5480" s="49">
        <f t="shared" si="2"/>
        <v>52145</v>
      </c>
    </row>
    <row r="5481">
      <c r="A5481" s="48" t="s">
        <v>7228</v>
      </c>
      <c r="B5481" s="38">
        <v>50052.0</v>
      </c>
      <c r="C5481" s="38" t="s">
        <v>8583</v>
      </c>
      <c r="D5481" s="38" t="str">
        <f>IFERROR(__xludf.DUMMYFUNCTION("REGEXREPLACE(C5481,""-\d+(.*)|--\d+(.*)"","""")"),"BEUZEVILLE-LA-BASTILLE")</f>
        <v>BEUZEVILLE-LA-BASTILLE</v>
      </c>
      <c r="E5481" s="38" t="s">
        <v>157</v>
      </c>
      <c r="F5481" s="38" t="s">
        <v>138</v>
      </c>
      <c r="G5481" s="49" t="str">
        <f t="shared" si="1"/>
        <v>50360</v>
      </c>
      <c r="H5481" s="49">
        <f t="shared" si="2"/>
        <v>50052</v>
      </c>
    </row>
    <row r="5482">
      <c r="A5482" s="48" t="s">
        <v>8584</v>
      </c>
      <c r="B5482" s="38">
        <v>59230.0</v>
      </c>
      <c r="C5482" s="38" t="s">
        <v>8585</v>
      </c>
      <c r="D5482" s="38" t="str">
        <f>IFERROR(__xludf.DUMMYFUNCTION("REGEXREPLACE(C5482,""-\d+(.*)|--\d+(.*)"","""")"),"FERRIERE-LA-GRANDE")</f>
        <v>FERRIERE-LA-GRANDE</v>
      </c>
      <c r="E5482" s="38" t="s">
        <v>85</v>
      </c>
      <c r="F5482" s="38" t="s">
        <v>86</v>
      </c>
      <c r="G5482" s="49" t="str">
        <f t="shared" si="1"/>
        <v>59680</v>
      </c>
      <c r="H5482" s="49">
        <f t="shared" si="2"/>
        <v>59230</v>
      </c>
    </row>
    <row r="5483">
      <c r="A5483" s="48" t="s">
        <v>8586</v>
      </c>
      <c r="B5483" s="38">
        <v>46109.0</v>
      </c>
      <c r="C5483" s="38" t="s">
        <v>3634</v>
      </c>
      <c r="D5483" s="38" t="str">
        <f>IFERROR(__xludf.DUMMYFUNCTION("REGEXREPLACE(C5483,""-\d+(.*)|--\d+(.*)"","""")"),"FONTANES")</f>
        <v>FONTANES</v>
      </c>
      <c r="E5483" s="38" t="s">
        <v>185</v>
      </c>
      <c r="F5483" s="38" t="s">
        <v>94</v>
      </c>
      <c r="G5483" s="49" t="str">
        <f t="shared" si="1"/>
        <v>46230</v>
      </c>
      <c r="H5483" s="49">
        <f t="shared" si="2"/>
        <v>46109</v>
      </c>
    </row>
    <row r="5484">
      <c r="A5484" s="48" t="s">
        <v>8587</v>
      </c>
      <c r="B5484" s="38">
        <v>66102.0</v>
      </c>
      <c r="C5484" s="38" t="s">
        <v>8588</v>
      </c>
      <c r="D5484" s="38" t="str">
        <f>IFERROR(__xludf.DUMMYFUNCTION("REGEXREPLACE(C5484,""-\d+(.*)|--\d+(.*)"","""")"),"MANTET")</f>
        <v>MANTET</v>
      </c>
      <c r="E5484" s="38" t="s">
        <v>248</v>
      </c>
      <c r="F5484" s="38" t="s">
        <v>119</v>
      </c>
      <c r="G5484" s="49" t="str">
        <f t="shared" si="1"/>
        <v>66360</v>
      </c>
      <c r="H5484" s="49">
        <f t="shared" si="2"/>
        <v>66102</v>
      </c>
    </row>
    <row r="5485">
      <c r="A5485" s="48" t="s">
        <v>8589</v>
      </c>
      <c r="B5485" s="38">
        <v>27393.0</v>
      </c>
      <c r="C5485" s="38" t="s">
        <v>8590</v>
      </c>
      <c r="D5485" s="38" t="str">
        <f>IFERROR(__xludf.DUMMYFUNCTION("REGEXREPLACE(C5485,""-\d+(.*)|--\d+(.*)"","""")"),"MARTAINVILLE")</f>
        <v>MARTAINVILLE</v>
      </c>
      <c r="E5485" s="38" t="s">
        <v>241</v>
      </c>
      <c r="F5485" s="38" t="s">
        <v>134</v>
      </c>
      <c r="G5485" s="49" t="str">
        <f t="shared" si="1"/>
        <v>27210</v>
      </c>
      <c r="H5485" s="49">
        <f t="shared" si="2"/>
        <v>27393</v>
      </c>
    </row>
    <row r="5486">
      <c r="A5486" s="48" t="s">
        <v>6945</v>
      </c>
      <c r="B5486" s="38">
        <v>80105.0</v>
      </c>
      <c r="C5486" s="38" t="s">
        <v>8591</v>
      </c>
      <c r="D5486" s="38" t="str">
        <f>IFERROR(__xludf.DUMMYFUNCTION("REGEXREPLACE(C5486,""-\d+(.*)|--\d+(.*)"","""")"),"BILLANCOURT")</f>
        <v>BILLANCOURT</v>
      </c>
      <c r="E5486" s="38" t="s">
        <v>224</v>
      </c>
      <c r="F5486" s="38" t="s">
        <v>113</v>
      </c>
      <c r="G5486" s="49" t="str">
        <f t="shared" si="1"/>
        <v>80190</v>
      </c>
      <c r="H5486" s="49">
        <f t="shared" si="2"/>
        <v>80105</v>
      </c>
    </row>
    <row r="5487">
      <c r="A5487" s="48" t="s">
        <v>4661</v>
      </c>
      <c r="B5487" s="38">
        <v>62506.0</v>
      </c>
      <c r="C5487" s="38" t="s">
        <v>8592</v>
      </c>
      <c r="D5487" s="38" t="str">
        <f>IFERROR(__xludf.DUMMYFUNCTION("REGEXREPLACE(C5487,""-\d+(.*)|--\d+(.*)"","""")"),"LICQUES")</f>
        <v>LICQUES</v>
      </c>
      <c r="E5487" s="38" t="s">
        <v>109</v>
      </c>
      <c r="F5487" s="38" t="s">
        <v>86</v>
      </c>
      <c r="G5487" s="49" t="str">
        <f t="shared" si="1"/>
        <v>62850</v>
      </c>
      <c r="H5487" s="49">
        <f t="shared" si="2"/>
        <v>62506</v>
      </c>
    </row>
    <row r="5488">
      <c r="A5488" s="48" t="s">
        <v>8593</v>
      </c>
      <c r="B5488" s="38">
        <v>31488.0</v>
      </c>
      <c r="C5488" s="38" t="s">
        <v>8594</v>
      </c>
      <c r="D5488" s="38" t="str">
        <f>IFERROR(__xludf.DUMMYFUNCTION("REGEXREPLACE(C5488,""-\d+(.*)|--\d+(.*)"","""")"),"SAINT-JEAN")</f>
        <v>SAINT-JEAN</v>
      </c>
      <c r="E5488" s="38" t="s">
        <v>93</v>
      </c>
      <c r="F5488" s="38" t="s">
        <v>94</v>
      </c>
      <c r="G5488" s="49" t="str">
        <f t="shared" si="1"/>
        <v>31240</v>
      </c>
      <c r="H5488" s="49">
        <f t="shared" si="2"/>
        <v>31488</v>
      </c>
    </row>
    <row r="5489">
      <c r="A5489" s="48" t="s">
        <v>8595</v>
      </c>
      <c r="B5489" s="38">
        <v>42259.0</v>
      </c>
      <c r="C5489" s="38" t="s">
        <v>8596</v>
      </c>
      <c r="D5489" s="38" t="str">
        <f>IFERROR(__xludf.DUMMYFUNCTION("REGEXREPLACE(C5489,""-\d+(.*)|--\d+(.*)"","""")"),"SAINT-MARTIN-LA-PLAINE")</f>
        <v>SAINT-MARTIN-LA-PLAINE</v>
      </c>
      <c r="E5489" s="38" t="s">
        <v>166</v>
      </c>
      <c r="F5489" s="38" t="s">
        <v>102</v>
      </c>
      <c r="G5489" s="49" t="str">
        <f t="shared" si="1"/>
        <v>42800</v>
      </c>
      <c r="H5489" s="49">
        <f t="shared" si="2"/>
        <v>42259</v>
      </c>
    </row>
    <row r="5490">
      <c r="A5490" s="48" t="s">
        <v>6269</v>
      </c>
      <c r="B5490" s="38">
        <v>24121.0</v>
      </c>
      <c r="C5490" s="38" t="s">
        <v>8597</v>
      </c>
      <c r="D5490" s="38" t="str">
        <f>IFERROR(__xludf.DUMMYFUNCTION("REGEXREPLACE(C5490,""-\d+(.*)|--\d+(.*)"","""")"),"CHOURGNAC")</f>
        <v>CHOURGNAC</v>
      </c>
      <c r="E5490" s="38" t="s">
        <v>261</v>
      </c>
      <c r="F5490" s="38" t="s">
        <v>252</v>
      </c>
      <c r="G5490" s="49" t="str">
        <f t="shared" si="1"/>
        <v>24640</v>
      </c>
      <c r="H5490" s="49">
        <f t="shared" si="2"/>
        <v>24121</v>
      </c>
    </row>
    <row r="5491">
      <c r="A5491" s="48" t="s">
        <v>1892</v>
      </c>
      <c r="B5491" s="38">
        <v>67110.0</v>
      </c>
      <c r="C5491" s="38" t="s">
        <v>8598</v>
      </c>
      <c r="D5491" s="38" t="str">
        <f>IFERROR(__xludf.DUMMYFUNCTION("REGEXREPLACE(C5491,""-\d+(.*)|--\d+(.*)"","""")"),"DURRENBACH")</f>
        <v>DURRENBACH</v>
      </c>
      <c r="E5491" s="38" t="s">
        <v>210</v>
      </c>
      <c r="F5491" s="38" t="s">
        <v>151</v>
      </c>
      <c r="G5491" s="49" t="str">
        <f t="shared" si="1"/>
        <v>67360</v>
      </c>
      <c r="H5491" s="49">
        <f t="shared" si="2"/>
        <v>67110</v>
      </c>
    </row>
    <row r="5492">
      <c r="A5492" s="48" t="s">
        <v>719</v>
      </c>
      <c r="B5492" s="38">
        <v>8236.0</v>
      </c>
      <c r="C5492" s="38" t="s">
        <v>8599</v>
      </c>
      <c r="D5492" s="38" t="str">
        <f>IFERROR(__xludf.DUMMYFUNCTION("REGEXREPLACE(C5492,""-\d+(.*)|--\d+(.*)"","""")"),"JANDUN")</f>
        <v>JANDUN</v>
      </c>
      <c r="E5492" s="38" t="s">
        <v>327</v>
      </c>
      <c r="F5492" s="38" t="s">
        <v>130</v>
      </c>
      <c r="G5492" s="49" t="str">
        <f t="shared" si="1"/>
        <v>08430</v>
      </c>
      <c r="H5492" s="49" t="str">
        <f t="shared" si="2"/>
        <v>08236</v>
      </c>
    </row>
    <row r="5493">
      <c r="A5493" s="48" t="s">
        <v>3366</v>
      </c>
      <c r="B5493" s="38">
        <v>47108.0</v>
      </c>
      <c r="C5493" s="38" t="s">
        <v>7672</v>
      </c>
      <c r="D5493" s="38" t="str">
        <f>IFERROR(__xludf.DUMMYFUNCTION("REGEXREPLACE(C5493,""-\d+(.*)|--\d+(.*)"","""")"),"GAUJAC")</f>
        <v>GAUJAC</v>
      </c>
      <c r="E5493" s="38" t="s">
        <v>251</v>
      </c>
      <c r="F5493" s="38" t="s">
        <v>252</v>
      </c>
      <c r="G5493" s="49" t="str">
        <f t="shared" si="1"/>
        <v>47200</v>
      </c>
      <c r="H5493" s="49">
        <f t="shared" si="2"/>
        <v>47108</v>
      </c>
    </row>
    <row r="5494">
      <c r="A5494" s="48" t="s">
        <v>8600</v>
      </c>
      <c r="B5494" s="38">
        <v>68359.0</v>
      </c>
      <c r="C5494" s="38" t="s">
        <v>8601</v>
      </c>
      <c r="D5494" s="38" t="str">
        <f>IFERROR(__xludf.DUMMYFUNCTION("REGEXREPLACE(C5494,""-\d+(.*)|--\d+(.*)"","""")"),"WATTWILLER")</f>
        <v>WATTWILLER</v>
      </c>
      <c r="E5494" s="38" t="s">
        <v>150</v>
      </c>
      <c r="F5494" s="38" t="s">
        <v>151</v>
      </c>
      <c r="G5494" s="49" t="str">
        <f t="shared" si="1"/>
        <v>68700</v>
      </c>
      <c r="H5494" s="49">
        <f t="shared" si="2"/>
        <v>68359</v>
      </c>
    </row>
    <row r="5495">
      <c r="A5495" s="48" t="s">
        <v>5608</v>
      </c>
      <c r="B5495" s="38">
        <v>57686.0</v>
      </c>
      <c r="C5495" s="38" t="s">
        <v>8602</v>
      </c>
      <c r="D5495" s="38" t="str">
        <f>IFERROR(__xludf.DUMMYFUNCTION("REGEXREPLACE(C5495,""-\d+(.*)|--\d+(.*)"","""")"),"VAHL-LES-FAULQUEMONT")</f>
        <v>VAHL-LES-FAULQUEMONT</v>
      </c>
      <c r="E5495" s="38" t="s">
        <v>303</v>
      </c>
      <c r="F5495" s="38" t="s">
        <v>195</v>
      </c>
      <c r="G5495" s="49" t="str">
        <f t="shared" si="1"/>
        <v>57380</v>
      </c>
      <c r="H5495" s="49">
        <f t="shared" si="2"/>
        <v>57686</v>
      </c>
    </row>
    <row r="5496">
      <c r="A5496" s="48" t="s">
        <v>8603</v>
      </c>
      <c r="B5496" s="38">
        <v>68116.0</v>
      </c>
      <c r="C5496" s="38" t="s">
        <v>8604</v>
      </c>
      <c r="D5496" s="38" t="str">
        <f>IFERROR(__xludf.DUMMYFUNCTION("REGEXREPLACE(C5496,""-\d+(.*)|--\d+(.*)"","""")"),"GUNDOLSHEIM")</f>
        <v>GUNDOLSHEIM</v>
      </c>
      <c r="E5496" s="38" t="s">
        <v>150</v>
      </c>
      <c r="F5496" s="38" t="s">
        <v>151</v>
      </c>
      <c r="G5496" s="49" t="str">
        <f t="shared" si="1"/>
        <v>68250</v>
      </c>
      <c r="H5496" s="49">
        <f t="shared" si="2"/>
        <v>68116</v>
      </c>
    </row>
    <row r="5497">
      <c r="A5497" s="48" t="s">
        <v>2955</v>
      </c>
      <c r="B5497" s="38">
        <v>76235.0</v>
      </c>
      <c r="C5497" s="38" t="s">
        <v>8605</v>
      </c>
      <c r="D5497" s="38" t="str">
        <f>IFERROR(__xludf.DUMMYFUNCTION("REGEXREPLACE(C5497,""-\d+(.*)|--\d+(.*)"","""")"),"ENVERMEU")</f>
        <v>ENVERMEU</v>
      </c>
      <c r="E5497" s="38" t="s">
        <v>133</v>
      </c>
      <c r="F5497" s="38" t="s">
        <v>134</v>
      </c>
      <c r="G5497" s="49" t="str">
        <f t="shared" si="1"/>
        <v>76630</v>
      </c>
      <c r="H5497" s="49">
        <f t="shared" si="2"/>
        <v>76235</v>
      </c>
    </row>
    <row r="5498">
      <c r="A5498" s="48" t="s">
        <v>4267</v>
      </c>
      <c r="B5498" s="38">
        <v>62659.0</v>
      </c>
      <c r="C5498" s="38" t="s">
        <v>8606</v>
      </c>
      <c r="D5498" s="38" t="str">
        <f>IFERROR(__xludf.DUMMYFUNCTION("REGEXREPLACE(C5498,""-\d+(.*)|--\d+(.*)"","""")"),"PLANQUES")</f>
        <v>PLANQUES</v>
      </c>
      <c r="E5498" s="38" t="s">
        <v>109</v>
      </c>
      <c r="F5498" s="38" t="s">
        <v>86</v>
      </c>
      <c r="G5498" s="49" t="str">
        <f t="shared" si="1"/>
        <v>62310</v>
      </c>
      <c r="H5498" s="49">
        <f t="shared" si="2"/>
        <v>62659</v>
      </c>
    </row>
    <row r="5499">
      <c r="A5499" s="48" t="s">
        <v>8607</v>
      </c>
      <c r="B5499" s="38">
        <v>1074.0</v>
      </c>
      <c r="C5499" s="38" t="s">
        <v>8608</v>
      </c>
      <c r="D5499" s="38" t="str">
        <f>IFERROR(__xludf.DUMMYFUNCTION("REGEXREPLACE(C5499,""-\d+(.*)|--\d+(.*)"","""")"),"CHALAMONT")</f>
        <v>CHALAMONT</v>
      </c>
      <c r="E5499" s="38" t="s">
        <v>255</v>
      </c>
      <c r="F5499" s="38" t="s">
        <v>102</v>
      </c>
      <c r="G5499" s="49" t="str">
        <f t="shared" si="1"/>
        <v>01320</v>
      </c>
      <c r="H5499" s="49" t="str">
        <f t="shared" si="2"/>
        <v>01074</v>
      </c>
    </row>
    <row r="5500">
      <c r="A5500" s="48" t="s">
        <v>8609</v>
      </c>
      <c r="B5500" s="38">
        <v>30075.0</v>
      </c>
      <c r="C5500" s="38" t="s">
        <v>8610</v>
      </c>
      <c r="D5500" s="38" t="str">
        <f>IFERROR(__xludf.DUMMYFUNCTION("REGEXREPLACE(C5500,""-\d+(.*)|--\d+(.*)"","""")"),"CAVEIRAC")</f>
        <v>CAVEIRAC</v>
      </c>
      <c r="E5500" s="38" t="s">
        <v>526</v>
      </c>
      <c r="F5500" s="38" t="s">
        <v>119</v>
      </c>
      <c r="G5500" s="49" t="str">
        <f t="shared" si="1"/>
        <v>30820</v>
      </c>
      <c r="H5500" s="49">
        <f t="shared" si="2"/>
        <v>30075</v>
      </c>
    </row>
    <row r="5501">
      <c r="A5501" s="48" t="s">
        <v>2338</v>
      </c>
      <c r="B5501" s="38">
        <v>8310.0</v>
      </c>
      <c r="C5501" s="38" t="s">
        <v>8611</v>
      </c>
      <c r="D5501" s="38" t="str">
        <f>IFERROR(__xludf.DUMMYFUNCTION("REGEXREPLACE(C5501,""-\d+(.*)|--\d+(.*)"","""")"),"MOURON")</f>
        <v>MOURON</v>
      </c>
      <c r="E5501" s="38" t="s">
        <v>327</v>
      </c>
      <c r="F5501" s="38" t="s">
        <v>130</v>
      </c>
      <c r="G5501" s="49" t="str">
        <f t="shared" si="1"/>
        <v>08250</v>
      </c>
      <c r="H5501" s="49" t="str">
        <f t="shared" si="2"/>
        <v>08310</v>
      </c>
    </row>
    <row r="5502">
      <c r="A5502" s="48" t="s">
        <v>4354</v>
      </c>
      <c r="B5502" s="38">
        <v>72144.0</v>
      </c>
      <c r="C5502" s="38" t="s">
        <v>8612</v>
      </c>
      <c r="D5502" s="38" t="str">
        <f>IFERROR(__xludf.DUMMYFUNCTION("REGEXREPLACE(C5502,""-\d+(.*)|--\d+(.*)"","""")"),"GREEZ-SUR-ROC")</f>
        <v>GREEZ-SUR-ROC</v>
      </c>
      <c r="E5502" s="38" t="s">
        <v>521</v>
      </c>
      <c r="F5502" s="38" t="s">
        <v>180</v>
      </c>
      <c r="G5502" s="49" t="str">
        <f t="shared" si="1"/>
        <v>72320</v>
      </c>
      <c r="H5502" s="49">
        <f t="shared" si="2"/>
        <v>72144</v>
      </c>
    </row>
    <row r="5503">
      <c r="A5503" s="48" t="s">
        <v>8613</v>
      </c>
      <c r="B5503" s="38">
        <v>83065.0</v>
      </c>
      <c r="C5503" s="38" t="s">
        <v>8614</v>
      </c>
      <c r="D5503" s="38" t="str">
        <f>IFERROR(__xludf.DUMMYFUNCTION("REGEXREPLACE(C5503,""-\d+(.*)|--\d+(.*)"","""")"),"GASSIN")</f>
        <v>GASSIN</v>
      </c>
      <c r="E5503" s="38" t="s">
        <v>813</v>
      </c>
      <c r="F5503" s="38" t="s">
        <v>228</v>
      </c>
      <c r="G5503" s="49" t="str">
        <f t="shared" si="1"/>
        <v>83580</v>
      </c>
      <c r="H5503" s="49">
        <f t="shared" si="2"/>
        <v>83065</v>
      </c>
    </row>
    <row r="5504">
      <c r="A5504" s="48" t="s">
        <v>3681</v>
      </c>
      <c r="B5504" s="38">
        <v>39088.0</v>
      </c>
      <c r="C5504" s="38" t="s">
        <v>8615</v>
      </c>
      <c r="D5504" s="38" t="str">
        <f>IFERROR(__xludf.DUMMYFUNCTION("REGEXREPLACE(C5504,""-\d+(.*)|--\d+(.*)"","""")"),"CESANCEY")</f>
        <v>CESANCEY</v>
      </c>
      <c r="E5504" s="38" t="s">
        <v>400</v>
      </c>
      <c r="F5504" s="38" t="s">
        <v>214</v>
      </c>
      <c r="G5504" s="49" t="str">
        <f t="shared" si="1"/>
        <v>39570</v>
      </c>
      <c r="H5504" s="49">
        <f t="shared" si="2"/>
        <v>39088</v>
      </c>
    </row>
    <row r="5505">
      <c r="A5505" s="48" t="s">
        <v>8616</v>
      </c>
      <c r="B5505" s="38">
        <v>2286.0</v>
      </c>
      <c r="C5505" s="38" t="s">
        <v>8617</v>
      </c>
      <c r="D5505" s="38" t="str">
        <f>IFERROR(__xludf.DUMMYFUNCTION("REGEXREPLACE(C5505,""-\d+(.*)|--\d+(.*)"","""")"),"ESQUEHERIES")</f>
        <v>ESQUEHERIES</v>
      </c>
      <c r="E5505" s="38" t="s">
        <v>191</v>
      </c>
      <c r="F5505" s="38" t="s">
        <v>113</v>
      </c>
      <c r="G5505" s="49" t="str">
        <f t="shared" si="1"/>
        <v>02170</v>
      </c>
      <c r="H5505" s="49" t="str">
        <f t="shared" si="2"/>
        <v>02286</v>
      </c>
    </row>
    <row r="5506">
      <c r="A5506" s="48" t="s">
        <v>1157</v>
      </c>
      <c r="B5506" s="38">
        <v>16010.0</v>
      </c>
      <c r="C5506" s="38" t="s">
        <v>8618</v>
      </c>
      <c r="D5506" s="38" t="str">
        <f>IFERROR(__xludf.DUMMYFUNCTION("REGEXREPLACE(C5506,""-\d+(.*)|--\d+(.*)"","""")"),"AMBLEVILLE")</f>
        <v>AMBLEVILLE</v>
      </c>
      <c r="E5506" s="38" t="s">
        <v>429</v>
      </c>
      <c r="F5506" s="38" t="s">
        <v>338</v>
      </c>
      <c r="G5506" s="49" t="str">
        <f t="shared" si="1"/>
        <v>16300</v>
      </c>
      <c r="H5506" s="49">
        <f t="shared" si="2"/>
        <v>16010</v>
      </c>
    </row>
    <row r="5507">
      <c r="A5507" s="48" t="s">
        <v>2540</v>
      </c>
      <c r="B5507" s="38">
        <v>2042.0</v>
      </c>
      <c r="C5507" s="38" t="s">
        <v>8619</v>
      </c>
      <c r="D5507" s="38" t="str">
        <f>IFERROR(__xludf.DUMMYFUNCTION("REGEXREPLACE(C5507,""-\d+(.*)|--\d+(.*)"","""")"),"AZY-SUR-MARNE")</f>
        <v>AZY-SUR-MARNE</v>
      </c>
      <c r="E5507" s="38" t="s">
        <v>191</v>
      </c>
      <c r="F5507" s="38" t="s">
        <v>113</v>
      </c>
      <c r="G5507" s="49" t="str">
        <f t="shared" si="1"/>
        <v>02400</v>
      </c>
      <c r="H5507" s="49" t="str">
        <f t="shared" si="2"/>
        <v>02042</v>
      </c>
    </row>
    <row r="5508">
      <c r="A5508" s="48" t="s">
        <v>8620</v>
      </c>
      <c r="B5508" s="38">
        <v>45336.0</v>
      </c>
      <c r="C5508" s="38" t="s">
        <v>8621</v>
      </c>
      <c r="D5508" s="38" t="str">
        <f>IFERROR(__xludf.DUMMYFUNCTION("REGEXREPLACE(C5508,""-\d+(.*)|--\d+(.*)"","""")"),"VIGLAIN")</f>
        <v>VIGLAIN</v>
      </c>
      <c r="E5508" s="38" t="s">
        <v>122</v>
      </c>
      <c r="F5508" s="38" t="s">
        <v>123</v>
      </c>
      <c r="G5508" s="49" t="str">
        <f t="shared" si="1"/>
        <v>45600</v>
      </c>
      <c r="H5508" s="49">
        <f t="shared" si="2"/>
        <v>45336</v>
      </c>
    </row>
    <row r="5509">
      <c r="A5509" s="48" t="s">
        <v>2159</v>
      </c>
      <c r="B5509" s="38">
        <v>57293.0</v>
      </c>
      <c r="C5509" s="38" t="s">
        <v>8622</v>
      </c>
      <c r="D5509" s="38" t="str">
        <f>IFERROR(__xludf.DUMMYFUNCTION("REGEXREPLACE(C5509,""-\d+(.*)|--\d+(.*)"","""")"),"HAN-SUR-NIED")</f>
        <v>HAN-SUR-NIED</v>
      </c>
      <c r="E5509" s="38" t="s">
        <v>303</v>
      </c>
      <c r="F5509" s="38" t="s">
        <v>195</v>
      </c>
      <c r="G5509" s="49" t="str">
        <f t="shared" si="1"/>
        <v>57580</v>
      </c>
      <c r="H5509" s="49">
        <f t="shared" si="2"/>
        <v>57293</v>
      </c>
    </row>
    <row r="5510">
      <c r="A5510" s="48" t="s">
        <v>2800</v>
      </c>
      <c r="B5510" s="38">
        <v>77261.0</v>
      </c>
      <c r="C5510" s="38" t="s">
        <v>8623</v>
      </c>
      <c r="D5510" s="38" t="str">
        <f>IFERROR(__xludf.DUMMYFUNCTION("REGEXREPLACE(C5510,""-\d+(.*)|--\d+(.*)"","""")"),"LORREZ-LE-BOCAGE-PREAUX")</f>
        <v>LORREZ-LE-BOCAGE-PREAUX</v>
      </c>
      <c r="E5510" s="38" t="s">
        <v>244</v>
      </c>
      <c r="F5510" s="38" t="s">
        <v>245</v>
      </c>
      <c r="G5510" s="49" t="str">
        <f t="shared" si="1"/>
        <v>77710</v>
      </c>
      <c r="H5510" s="49">
        <f t="shared" si="2"/>
        <v>77261</v>
      </c>
    </row>
    <row r="5511">
      <c r="A5511" s="48" t="s">
        <v>3077</v>
      </c>
      <c r="B5511" s="38">
        <v>32359.0</v>
      </c>
      <c r="C5511" s="38" t="s">
        <v>8624</v>
      </c>
      <c r="D5511" s="38" t="str">
        <f>IFERROR(__xludf.DUMMYFUNCTION("REGEXREPLACE(C5511,""-\d+(.*)|--\d+(.*)"","""")"),"SAINT-ANTONIN")</f>
        <v>SAINT-ANTONIN</v>
      </c>
      <c r="E5511" s="38" t="s">
        <v>440</v>
      </c>
      <c r="F5511" s="38" t="s">
        <v>94</v>
      </c>
      <c r="G5511" s="49" t="str">
        <f t="shared" si="1"/>
        <v>32120</v>
      </c>
      <c r="H5511" s="49">
        <f t="shared" si="2"/>
        <v>32359</v>
      </c>
    </row>
    <row r="5512">
      <c r="A5512" s="48" t="s">
        <v>7514</v>
      </c>
      <c r="B5512" s="38">
        <v>88141.0</v>
      </c>
      <c r="C5512" s="38" t="s">
        <v>8625</v>
      </c>
      <c r="D5512" s="38" t="str">
        <f>IFERROR(__xludf.DUMMYFUNCTION("REGEXREPLACE(C5512,""-\d+(.*)|--\d+(.*)"","""")"),"DOMBROT-SUR-VAIR")</f>
        <v>DOMBROT-SUR-VAIR</v>
      </c>
      <c r="E5512" s="38" t="s">
        <v>194</v>
      </c>
      <c r="F5512" s="38" t="s">
        <v>195</v>
      </c>
      <c r="G5512" s="49" t="str">
        <f t="shared" si="1"/>
        <v>88170</v>
      </c>
      <c r="H5512" s="49">
        <f t="shared" si="2"/>
        <v>88141</v>
      </c>
    </row>
    <row r="5513">
      <c r="A5513" s="48" t="s">
        <v>8626</v>
      </c>
      <c r="B5513" s="38">
        <v>7211.0</v>
      </c>
      <c r="C5513" s="38" t="s">
        <v>8627</v>
      </c>
      <c r="D5513" s="38" t="str">
        <f>IFERROR(__xludf.DUMMYFUNCTION("REGEXREPLACE(C5513,""-\d+(.*)|--\d+(.*)"","""")"),"SAINT-ANDRE-DE-CRUZIERES")</f>
        <v>SAINT-ANDRE-DE-CRUZIERES</v>
      </c>
      <c r="E5513" s="38" t="s">
        <v>144</v>
      </c>
      <c r="F5513" s="38" t="s">
        <v>102</v>
      </c>
      <c r="G5513" s="49" t="str">
        <f t="shared" si="1"/>
        <v>07460</v>
      </c>
      <c r="H5513" s="49" t="str">
        <f t="shared" si="2"/>
        <v>07211</v>
      </c>
    </row>
    <row r="5514">
      <c r="A5514" s="48" t="s">
        <v>6875</v>
      </c>
      <c r="B5514" s="38">
        <v>2666.0</v>
      </c>
      <c r="C5514" s="38" t="s">
        <v>8628</v>
      </c>
      <c r="D5514" s="38" t="str">
        <f>IFERROR(__xludf.DUMMYFUNCTION("REGEXREPLACE(C5514,""-\d+(.*)|--\d+(.*)"","""")"),"ROZOY-SUR-SERRE")</f>
        <v>ROZOY-SUR-SERRE</v>
      </c>
      <c r="E5514" s="38" t="s">
        <v>191</v>
      </c>
      <c r="F5514" s="38" t="s">
        <v>113</v>
      </c>
      <c r="G5514" s="49" t="str">
        <f t="shared" si="1"/>
        <v>02360</v>
      </c>
      <c r="H5514" s="49" t="str">
        <f t="shared" si="2"/>
        <v>02666</v>
      </c>
    </row>
    <row r="5515">
      <c r="A5515" s="48" t="s">
        <v>8629</v>
      </c>
      <c r="B5515" s="38">
        <v>7018.0</v>
      </c>
      <c r="C5515" s="38" t="s">
        <v>8630</v>
      </c>
      <c r="D5515" s="38" t="str">
        <f>IFERROR(__xludf.DUMMYFUNCTION("REGEXREPLACE(C5515,""-\d+(.*)|--\d+(.*)"","""")"),"ASTET")</f>
        <v>ASTET</v>
      </c>
      <c r="E5515" s="38" t="s">
        <v>144</v>
      </c>
      <c r="F5515" s="38" t="s">
        <v>102</v>
      </c>
      <c r="G5515" s="49" t="str">
        <f t="shared" si="1"/>
        <v>07330</v>
      </c>
      <c r="H5515" s="49" t="str">
        <f t="shared" si="2"/>
        <v>07018</v>
      </c>
    </row>
    <row r="5516">
      <c r="A5516" s="48" t="s">
        <v>1022</v>
      </c>
      <c r="B5516" s="38">
        <v>2403.0</v>
      </c>
      <c r="C5516" s="38" t="s">
        <v>8631</v>
      </c>
      <c r="D5516" s="38" t="str">
        <f>IFERROR(__xludf.DUMMYFUNCTION("REGEXREPLACE(C5516,""-\d+(.*)|--\d+(.*)"","""")"),"LANDIFAY-ET-BERTAIGNEMONT")</f>
        <v>LANDIFAY-ET-BERTAIGNEMONT</v>
      </c>
      <c r="E5516" s="38" t="s">
        <v>191</v>
      </c>
      <c r="F5516" s="38" t="s">
        <v>113</v>
      </c>
      <c r="G5516" s="49" t="str">
        <f t="shared" si="1"/>
        <v>02120</v>
      </c>
      <c r="H5516" s="49" t="str">
        <f t="shared" si="2"/>
        <v>02403</v>
      </c>
    </row>
    <row r="5517">
      <c r="A5517" s="48" t="s">
        <v>8632</v>
      </c>
      <c r="B5517" s="38">
        <v>50299.0</v>
      </c>
      <c r="C5517" s="38" t="s">
        <v>8633</v>
      </c>
      <c r="D5517" s="38" t="str">
        <f>IFERROR(__xludf.DUMMYFUNCTION("REGEXREPLACE(C5517,""-\d+(.*)|--\d+(.*)"","""")"),"LE MESNIL")</f>
        <v>LE MESNIL</v>
      </c>
      <c r="E5517" s="38" t="s">
        <v>157</v>
      </c>
      <c r="F5517" s="38" t="s">
        <v>138</v>
      </c>
      <c r="G5517" s="49" t="str">
        <f t="shared" si="1"/>
        <v>50580</v>
      </c>
      <c r="H5517" s="49">
        <f t="shared" si="2"/>
        <v>50299</v>
      </c>
    </row>
    <row r="5518">
      <c r="A5518" s="48" t="s">
        <v>8634</v>
      </c>
      <c r="B5518" s="38">
        <v>1169.0</v>
      </c>
      <c r="C5518" s="38" t="s">
        <v>8635</v>
      </c>
      <c r="D5518" s="38" t="str">
        <f>IFERROR(__xludf.DUMMYFUNCTION("REGEXREPLACE(C5518,""-\d+(.*)|--\d+(.*)"","""")"),"GENOUILLEUX")</f>
        <v>GENOUILLEUX</v>
      </c>
      <c r="E5518" s="38" t="s">
        <v>255</v>
      </c>
      <c r="F5518" s="38" t="s">
        <v>102</v>
      </c>
      <c r="G5518" s="49" t="str">
        <f t="shared" si="1"/>
        <v>01090</v>
      </c>
      <c r="H5518" s="49" t="str">
        <f t="shared" si="2"/>
        <v>01169</v>
      </c>
    </row>
    <row r="5519">
      <c r="A5519" s="48" t="s">
        <v>2668</v>
      </c>
      <c r="B5519" s="38">
        <v>55193.0</v>
      </c>
      <c r="C5519" s="38" t="s">
        <v>8636</v>
      </c>
      <c r="D5519" s="38" t="str">
        <f>IFERROR(__xludf.DUMMYFUNCTION("REGEXREPLACE(C5519,""-\d+(.*)|--\d+(.*)"","""")"),"FORGES-SUR-MEUSE")</f>
        <v>FORGES-SUR-MEUSE</v>
      </c>
      <c r="E5519" s="38" t="s">
        <v>322</v>
      </c>
      <c r="F5519" s="38" t="s">
        <v>195</v>
      </c>
      <c r="G5519" s="49" t="str">
        <f t="shared" si="1"/>
        <v>55110</v>
      </c>
      <c r="H5519" s="49">
        <f t="shared" si="2"/>
        <v>55193</v>
      </c>
    </row>
    <row r="5520">
      <c r="A5520" s="48" t="s">
        <v>7355</v>
      </c>
      <c r="B5520" s="38">
        <v>33144.0</v>
      </c>
      <c r="C5520" s="38" t="s">
        <v>8637</v>
      </c>
      <c r="D5520" s="38" t="str">
        <f>IFERROR(__xludf.DUMMYFUNCTION("REGEXREPLACE(C5520,""-\d+(.*)|--\d+(.*)"","""")"),"CUDOS")</f>
        <v>CUDOS</v>
      </c>
      <c r="E5520" s="38" t="s">
        <v>462</v>
      </c>
      <c r="F5520" s="38" t="s">
        <v>252</v>
      </c>
      <c r="G5520" s="49" t="str">
        <f t="shared" si="1"/>
        <v>33430</v>
      </c>
      <c r="H5520" s="49">
        <f t="shared" si="2"/>
        <v>33144</v>
      </c>
    </row>
    <row r="5521">
      <c r="A5521" s="48" t="s">
        <v>2792</v>
      </c>
      <c r="B5521" s="38">
        <v>58019.0</v>
      </c>
      <c r="C5521" s="38" t="s">
        <v>8638</v>
      </c>
      <c r="D5521" s="38" t="str">
        <f>IFERROR(__xludf.DUMMYFUNCTION("REGEXREPLACE(C5521,""-\d+(.*)|--\d+(.*)"","""")"),"AVREE")</f>
        <v>AVREE</v>
      </c>
      <c r="E5521" s="38" t="s">
        <v>219</v>
      </c>
      <c r="F5521" s="38" t="s">
        <v>106</v>
      </c>
      <c r="G5521" s="49" t="str">
        <f t="shared" si="1"/>
        <v>58170</v>
      </c>
      <c r="H5521" s="49">
        <f t="shared" si="2"/>
        <v>58019</v>
      </c>
    </row>
    <row r="5522">
      <c r="A5522" s="48" t="s">
        <v>7199</v>
      </c>
      <c r="B5522" s="38">
        <v>76464.0</v>
      </c>
      <c r="C5522" s="38" t="s">
        <v>8639</v>
      </c>
      <c r="D5522" s="38" t="str">
        <f>IFERROR(__xludf.DUMMYFUNCTION("REGEXREPLACE(C5522,""-\d+(.*)|--\d+(.*)"","""")"),"LA NEUVILLE-CHANT-D'OISEL")</f>
        <v>LA NEUVILLE-CHANT-D'OISEL</v>
      </c>
      <c r="E5522" s="38" t="s">
        <v>133</v>
      </c>
      <c r="F5522" s="38" t="s">
        <v>134</v>
      </c>
      <c r="G5522" s="49" t="str">
        <f t="shared" si="1"/>
        <v>76520</v>
      </c>
      <c r="H5522" s="49">
        <f t="shared" si="2"/>
        <v>76464</v>
      </c>
    </row>
    <row r="5523">
      <c r="A5523" s="48" t="s">
        <v>3404</v>
      </c>
      <c r="B5523" s="38">
        <v>39197.0</v>
      </c>
      <c r="C5523" s="38" t="s">
        <v>8640</v>
      </c>
      <c r="D5523" s="38" t="str">
        <f>IFERROR(__xludf.DUMMYFUNCTION("REGEXREPLACE(C5523,""-\d+(.*)|--\d+(.*)"","""")"),"DIGNA")</f>
        <v>DIGNA</v>
      </c>
      <c r="E5523" s="38" t="s">
        <v>400</v>
      </c>
      <c r="F5523" s="38" t="s">
        <v>214</v>
      </c>
      <c r="G5523" s="49" t="str">
        <f t="shared" si="1"/>
        <v>39190</v>
      </c>
      <c r="H5523" s="49">
        <f t="shared" si="2"/>
        <v>39197</v>
      </c>
    </row>
    <row r="5524">
      <c r="A5524" s="48" t="s">
        <v>2920</v>
      </c>
      <c r="B5524" s="38">
        <v>62677.0</v>
      </c>
      <c r="C5524" s="38" t="s">
        <v>8641</v>
      </c>
      <c r="D5524" s="38" t="str">
        <f>IFERROR(__xludf.DUMMYFUNCTION("REGEXREPLACE(C5524,""-\d+(.*)|--\d+(.*)"","""")"),"LE QUESNOY-EN-ARTOIS")</f>
        <v>LE QUESNOY-EN-ARTOIS</v>
      </c>
      <c r="E5524" s="38" t="s">
        <v>109</v>
      </c>
      <c r="F5524" s="38" t="s">
        <v>86</v>
      </c>
      <c r="G5524" s="49" t="str">
        <f t="shared" si="1"/>
        <v>62140</v>
      </c>
      <c r="H5524" s="49">
        <f t="shared" si="2"/>
        <v>62677</v>
      </c>
    </row>
    <row r="5525">
      <c r="A5525" s="48" t="s">
        <v>8642</v>
      </c>
      <c r="B5525" s="38" t="s">
        <v>8643</v>
      </c>
      <c r="C5525" s="38" t="s">
        <v>8644</v>
      </c>
      <c r="D5525" s="38" t="str">
        <f>IFERROR(__xludf.DUMMYFUNCTION("REGEXREPLACE(C5525,""-\d+(.*)|--\d+(.*)"","""")"),"POGGIO-MARINACCIO")</f>
        <v>POGGIO-MARINACCIO</v>
      </c>
      <c r="E5525" s="38" t="s">
        <v>743</v>
      </c>
      <c r="F5525" s="38" t="s">
        <v>607</v>
      </c>
      <c r="G5525" s="49" t="str">
        <f t="shared" si="1"/>
        <v>20237</v>
      </c>
      <c r="H5525" s="49" t="str">
        <f t="shared" si="2"/>
        <v>2B241</v>
      </c>
    </row>
    <row r="5526">
      <c r="A5526" s="48" t="s">
        <v>8645</v>
      </c>
      <c r="B5526" s="38">
        <v>2287.0</v>
      </c>
      <c r="C5526" s="38" t="s">
        <v>8646</v>
      </c>
      <c r="D5526" s="38" t="str">
        <f>IFERROR(__xludf.DUMMYFUNCTION("REGEXREPLACE(C5526,""-\d+(.*)|--\d+(.*)"","""")"),"ESSIGNY-LE-GRAND")</f>
        <v>ESSIGNY-LE-GRAND</v>
      </c>
      <c r="E5526" s="38" t="s">
        <v>191</v>
      </c>
      <c r="F5526" s="38" t="s">
        <v>113</v>
      </c>
      <c r="G5526" s="49" t="str">
        <f t="shared" si="1"/>
        <v>02690</v>
      </c>
      <c r="H5526" s="49" t="str">
        <f t="shared" si="2"/>
        <v>02287</v>
      </c>
    </row>
    <row r="5527">
      <c r="A5527" s="48" t="s">
        <v>474</v>
      </c>
      <c r="B5527" s="38">
        <v>76382.0</v>
      </c>
      <c r="C5527" s="38" t="s">
        <v>8647</v>
      </c>
      <c r="D5527" s="38" t="str">
        <f>IFERROR(__xludf.DUMMYFUNCTION("REGEXREPLACE(C5527,""-\d+(.*)|--\d+(.*)"","""")"),"LANQUETOT")</f>
        <v>LANQUETOT</v>
      </c>
      <c r="E5527" s="38" t="s">
        <v>133</v>
      </c>
      <c r="F5527" s="38" t="s">
        <v>134</v>
      </c>
      <c r="G5527" s="49" t="str">
        <f t="shared" si="1"/>
        <v>76210</v>
      </c>
      <c r="H5527" s="49">
        <f t="shared" si="2"/>
        <v>76382</v>
      </c>
    </row>
    <row r="5528">
      <c r="A5528" s="48" t="s">
        <v>2783</v>
      </c>
      <c r="B5528" s="38">
        <v>31348.0</v>
      </c>
      <c r="C5528" s="38" t="s">
        <v>8648</v>
      </c>
      <c r="D5528" s="38" t="str">
        <f>IFERROR(__xludf.DUMMYFUNCTION("REGEXREPLACE(C5528,""-\d+(.*)|--\d+(.*)"","""")"),"MONCAUP")</f>
        <v>MONCAUP</v>
      </c>
      <c r="E5528" s="38" t="s">
        <v>93</v>
      </c>
      <c r="F5528" s="38" t="s">
        <v>94</v>
      </c>
      <c r="G5528" s="49" t="str">
        <f t="shared" si="1"/>
        <v>31160</v>
      </c>
      <c r="H5528" s="49">
        <f t="shared" si="2"/>
        <v>31348</v>
      </c>
    </row>
    <row r="5529">
      <c r="A5529" s="48" t="s">
        <v>239</v>
      </c>
      <c r="B5529" s="38">
        <v>27212.0</v>
      </c>
      <c r="C5529" s="38" t="s">
        <v>8649</v>
      </c>
      <c r="D5529" s="38" t="str">
        <f>IFERROR(__xludf.DUMMYFUNCTION("REGEXREPLACE(C5529,""-\d+(.*)|--\d+(.*)"","""")"),"ECAUVILLE")</f>
        <v>ECAUVILLE</v>
      </c>
      <c r="E5529" s="38" t="s">
        <v>241</v>
      </c>
      <c r="F5529" s="38" t="s">
        <v>134</v>
      </c>
      <c r="G5529" s="49" t="str">
        <f t="shared" si="1"/>
        <v>27110</v>
      </c>
      <c r="H5529" s="49">
        <f t="shared" si="2"/>
        <v>27212</v>
      </c>
    </row>
    <row r="5530">
      <c r="A5530" s="48" t="s">
        <v>5603</v>
      </c>
      <c r="B5530" s="38">
        <v>41109.0</v>
      </c>
      <c r="C5530" s="38" t="s">
        <v>8650</v>
      </c>
      <c r="D5530" s="38" t="str">
        <f>IFERROR(__xludf.DUMMYFUNCTION("REGEXREPLACE(C5530,""-\d+(.*)|--\d+(.*)"","""")"),"LANDES-LE-GAULOIS")</f>
        <v>LANDES-LE-GAULOIS</v>
      </c>
      <c r="E5530" s="38" t="s">
        <v>188</v>
      </c>
      <c r="F5530" s="38" t="s">
        <v>123</v>
      </c>
      <c r="G5530" s="49" t="str">
        <f t="shared" si="1"/>
        <v>41190</v>
      </c>
      <c r="H5530" s="49">
        <f t="shared" si="2"/>
        <v>41109</v>
      </c>
    </row>
    <row r="5531">
      <c r="A5531" s="48" t="s">
        <v>3642</v>
      </c>
      <c r="B5531" s="38">
        <v>22249.0</v>
      </c>
      <c r="C5531" s="38" t="s">
        <v>8651</v>
      </c>
      <c r="D5531" s="38" t="str">
        <f>IFERROR(__xludf.DUMMYFUNCTION("REGEXREPLACE(C5531,""-\d+(.*)|--\d+(.*)"","""")"),"PONT-MELVEZ")</f>
        <v>PONT-MELVEZ</v>
      </c>
      <c r="E5531" s="38" t="s">
        <v>89</v>
      </c>
      <c r="F5531" s="38" t="s">
        <v>90</v>
      </c>
      <c r="G5531" s="49" t="str">
        <f t="shared" si="1"/>
        <v>22390</v>
      </c>
      <c r="H5531" s="49">
        <f t="shared" si="2"/>
        <v>22249</v>
      </c>
    </row>
    <row r="5532">
      <c r="A5532" s="48" t="s">
        <v>8652</v>
      </c>
      <c r="B5532" s="38">
        <v>64072.0</v>
      </c>
      <c r="C5532" s="38" t="s">
        <v>8653</v>
      </c>
      <c r="D5532" s="38" t="str">
        <f>IFERROR(__xludf.DUMMYFUNCTION("REGEXREPLACE(C5532,""-\d+(.*)|--\d+(.*)"","""")"),"AUBERTIN")</f>
        <v>AUBERTIN</v>
      </c>
      <c r="E5532" s="38" t="s">
        <v>268</v>
      </c>
      <c r="F5532" s="38" t="s">
        <v>252</v>
      </c>
      <c r="G5532" s="49" t="str">
        <f t="shared" si="1"/>
        <v>64290</v>
      </c>
      <c r="H5532" s="49">
        <f t="shared" si="2"/>
        <v>64072</v>
      </c>
    </row>
    <row r="5533">
      <c r="A5533" s="48" t="s">
        <v>8654</v>
      </c>
      <c r="B5533" s="38">
        <v>57022.0</v>
      </c>
      <c r="C5533" s="38" t="s">
        <v>8655</v>
      </c>
      <c r="D5533" s="38" t="str">
        <f>IFERROR(__xludf.DUMMYFUNCTION("REGEXREPLACE(C5533,""-\d+(.*)|--\d+(.*)"","""")"),"ANGEVILLERS")</f>
        <v>ANGEVILLERS</v>
      </c>
      <c r="E5533" s="38" t="s">
        <v>303</v>
      </c>
      <c r="F5533" s="38" t="s">
        <v>195</v>
      </c>
      <c r="G5533" s="49" t="str">
        <f t="shared" si="1"/>
        <v>57440</v>
      </c>
      <c r="H5533" s="49">
        <f t="shared" si="2"/>
        <v>57022</v>
      </c>
    </row>
    <row r="5534">
      <c r="A5534" s="48" t="s">
        <v>7659</v>
      </c>
      <c r="B5534" s="38">
        <v>53239.0</v>
      </c>
      <c r="C5534" s="38" t="s">
        <v>8656</v>
      </c>
      <c r="D5534" s="38" t="str">
        <f>IFERROR(__xludf.DUMMYFUNCTION("REGEXREPLACE(C5534,""-\d+(.*)|--\d+(.*)"","""")"),"SAINT-MARTIN-DE-CONNEE")</f>
        <v>SAINT-MARTIN-DE-CONNEE</v>
      </c>
      <c r="E5534" s="38" t="s">
        <v>518</v>
      </c>
      <c r="F5534" s="38" t="s">
        <v>180</v>
      </c>
      <c r="G5534" s="49" t="str">
        <f t="shared" si="1"/>
        <v>53160</v>
      </c>
      <c r="H5534" s="49">
        <f t="shared" si="2"/>
        <v>53239</v>
      </c>
    </row>
    <row r="5535">
      <c r="A5535" s="48" t="s">
        <v>8657</v>
      </c>
      <c r="B5535" s="38">
        <v>59079.0</v>
      </c>
      <c r="C5535" s="38" t="s">
        <v>8658</v>
      </c>
      <c r="D5535" s="38" t="str">
        <f>IFERROR(__xludf.DUMMYFUNCTION("REGEXREPLACE(C5535,""-\d+(.*)|--\d+(.*)"","""")"),"BEUVRAGES")</f>
        <v>BEUVRAGES</v>
      </c>
      <c r="E5535" s="38" t="s">
        <v>85</v>
      </c>
      <c r="F5535" s="38" t="s">
        <v>86</v>
      </c>
      <c r="G5535" s="49" t="str">
        <f t="shared" si="1"/>
        <v>59192</v>
      </c>
      <c r="H5535" s="49">
        <f t="shared" si="2"/>
        <v>59079</v>
      </c>
    </row>
    <row r="5536">
      <c r="A5536" s="48" t="s">
        <v>1870</v>
      </c>
      <c r="B5536" s="38">
        <v>37043.0</v>
      </c>
      <c r="C5536" s="38" t="s">
        <v>8659</v>
      </c>
      <c r="D5536" s="38" t="str">
        <f>IFERROR(__xludf.DUMMYFUNCTION("REGEXREPLACE(C5536,""-\d+(.*)|--\d+(.*)"","""")"),"CANGEY")</f>
        <v>CANGEY</v>
      </c>
      <c r="E5536" s="38" t="s">
        <v>205</v>
      </c>
      <c r="F5536" s="38" t="s">
        <v>123</v>
      </c>
      <c r="G5536" s="49" t="str">
        <f t="shared" si="1"/>
        <v>37530</v>
      </c>
      <c r="H5536" s="49">
        <f t="shared" si="2"/>
        <v>37043</v>
      </c>
    </row>
    <row r="5537">
      <c r="A5537" s="48" t="s">
        <v>5025</v>
      </c>
      <c r="B5537" s="38">
        <v>77019.0</v>
      </c>
      <c r="C5537" s="38" t="s">
        <v>8660</v>
      </c>
      <c r="D5537" s="38" t="str">
        <f>IFERROR(__xludf.DUMMYFUNCTION("REGEXREPLACE(C5537,""-\d+(.*)|--\d+(.*)"","""")"),"BALLOY")</f>
        <v>BALLOY</v>
      </c>
      <c r="E5537" s="38" t="s">
        <v>244</v>
      </c>
      <c r="F5537" s="38" t="s">
        <v>245</v>
      </c>
      <c r="G5537" s="49" t="str">
        <f t="shared" si="1"/>
        <v>77118</v>
      </c>
      <c r="H5537" s="49">
        <f t="shared" si="2"/>
        <v>77019</v>
      </c>
    </row>
    <row r="5538">
      <c r="A5538" s="48" t="s">
        <v>966</v>
      </c>
      <c r="B5538" s="38">
        <v>70514.0</v>
      </c>
      <c r="C5538" s="38" t="s">
        <v>8661</v>
      </c>
      <c r="D5538" s="38" t="str">
        <f>IFERROR(__xludf.DUMMYFUNCTION("REGEXREPLACE(C5538,""-\d+(.*)|--\d+(.*)"","""")"),"VALAY")</f>
        <v>VALAY</v>
      </c>
      <c r="E5538" s="38" t="s">
        <v>956</v>
      </c>
      <c r="F5538" s="38" t="s">
        <v>214</v>
      </c>
      <c r="G5538" s="49" t="str">
        <f t="shared" si="1"/>
        <v>70140</v>
      </c>
      <c r="H5538" s="49">
        <f t="shared" si="2"/>
        <v>70514</v>
      </c>
    </row>
    <row r="5539">
      <c r="A5539" s="48" t="s">
        <v>4065</v>
      </c>
      <c r="B5539" s="38">
        <v>21298.0</v>
      </c>
      <c r="C5539" s="38" t="s">
        <v>8662</v>
      </c>
      <c r="D5539" s="38" t="str">
        <f>IFERROR(__xludf.DUMMYFUNCTION("REGEXREPLACE(C5539,""-\d+(.*)|--\d+(.*)"","""")"),"GISSEY-LE-VIEIL")</f>
        <v>GISSEY-LE-VIEIL</v>
      </c>
      <c r="E5539" s="38" t="s">
        <v>105</v>
      </c>
      <c r="F5539" s="38" t="s">
        <v>106</v>
      </c>
      <c r="G5539" s="49" t="str">
        <f t="shared" si="1"/>
        <v>21350</v>
      </c>
      <c r="H5539" s="49">
        <f t="shared" si="2"/>
        <v>21298</v>
      </c>
    </row>
    <row r="5540">
      <c r="A5540" s="48" t="s">
        <v>8663</v>
      </c>
      <c r="B5540" s="38">
        <v>59368.0</v>
      </c>
      <c r="C5540" s="38" t="s">
        <v>8664</v>
      </c>
      <c r="D5540" s="38" t="str">
        <f>IFERROR(__xludf.DUMMYFUNCTION("REGEXREPLACE(C5540,""-\d+(.*)|--\d+(.*)"","""")"),"LA MADELEINE")</f>
        <v>LA MADELEINE</v>
      </c>
      <c r="E5540" s="38" t="s">
        <v>85</v>
      </c>
      <c r="F5540" s="38" t="s">
        <v>86</v>
      </c>
      <c r="G5540" s="49" t="str">
        <f t="shared" si="1"/>
        <v>59110</v>
      </c>
      <c r="H5540" s="49">
        <f t="shared" si="2"/>
        <v>59368</v>
      </c>
    </row>
    <row r="5541">
      <c r="A5541" s="48" t="s">
        <v>8665</v>
      </c>
      <c r="B5541" s="38">
        <v>83095.0</v>
      </c>
      <c r="C5541" s="38" t="s">
        <v>8666</v>
      </c>
      <c r="D5541" s="38" t="str">
        <f>IFERROR(__xludf.DUMMYFUNCTION("REGEXREPLACE(C5541,""-\d+(.*)|--\d+(.*)"","""")"),"PONTEVES")</f>
        <v>PONTEVES</v>
      </c>
      <c r="E5541" s="38" t="s">
        <v>813</v>
      </c>
      <c r="F5541" s="38" t="s">
        <v>228</v>
      </c>
      <c r="G5541" s="49" t="str">
        <f t="shared" si="1"/>
        <v>83670</v>
      </c>
      <c r="H5541" s="49">
        <f t="shared" si="2"/>
        <v>83095</v>
      </c>
    </row>
    <row r="5542">
      <c r="A5542" s="48" t="s">
        <v>3341</v>
      </c>
      <c r="B5542" s="38">
        <v>25179.0</v>
      </c>
      <c r="C5542" s="38" t="s">
        <v>8667</v>
      </c>
      <c r="D5542" s="38" t="str">
        <f>IFERROR(__xludf.DUMMYFUNCTION("REGEXREPLACE(C5542,""-\d+(.*)|--\d+(.*)"","""")"),"LE CROUZET")</f>
        <v>LE CROUZET</v>
      </c>
      <c r="E5542" s="38" t="s">
        <v>213</v>
      </c>
      <c r="F5542" s="38" t="s">
        <v>214</v>
      </c>
      <c r="G5542" s="49" t="str">
        <f t="shared" si="1"/>
        <v>25240</v>
      </c>
      <c r="H5542" s="49">
        <f t="shared" si="2"/>
        <v>25179</v>
      </c>
    </row>
    <row r="5543">
      <c r="A5543" s="48" t="s">
        <v>3755</v>
      </c>
      <c r="B5543" s="38">
        <v>76055.0</v>
      </c>
      <c r="C5543" s="38" t="s">
        <v>8668</v>
      </c>
      <c r="D5543" s="38" t="str">
        <f>IFERROR(__xludf.DUMMYFUNCTION("REGEXREPLACE(C5543,""-\d+(.*)|--\d+(.*)"","""")"),"BAONS-LE-COMTE")</f>
        <v>BAONS-LE-COMTE</v>
      </c>
      <c r="E5543" s="38" t="s">
        <v>133</v>
      </c>
      <c r="F5543" s="38" t="s">
        <v>134</v>
      </c>
      <c r="G5543" s="49" t="str">
        <f t="shared" si="1"/>
        <v>76190</v>
      </c>
      <c r="H5543" s="49">
        <f t="shared" si="2"/>
        <v>76055</v>
      </c>
    </row>
    <row r="5544">
      <c r="A5544" s="48" t="s">
        <v>8669</v>
      </c>
      <c r="B5544" s="38">
        <v>50446.0</v>
      </c>
      <c r="C5544" s="38" t="s">
        <v>8670</v>
      </c>
      <c r="D5544" s="38" t="str">
        <f>IFERROR(__xludf.DUMMYFUNCTION("REGEXREPLACE(C5544,""-\d+(.*)|--\d+(.*)"","""")"),"SAINT-ANDRE-DE-L'EPINE")</f>
        <v>SAINT-ANDRE-DE-L'EPINE</v>
      </c>
      <c r="E5544" s="38" t="s">
        <v>157</v>
      </c>
      <c r="F5544" s="38" t="s">
        <v>138</v>
      </c>
      <c r="G5544" s="49" t="str">
        <f t="shared" si="1"/>
        <v>50680</v>
      </c>
      <c r="H5544" s="49">
        <f t="shared" si="2"/>
        <v>50446</v>
      </c>
    </row>
    <row r="5545">
      <c r="A5545" s="48" t="s">
        <v>8671</v>
      </c>
      <c r="B5545" s="38">
        <v>87032.0</v>
      </c>
      <c r="C5545" s="38" t="s">
        <v>8672</v>
      </c>
      <c r="D5545" s="38" t="str">
        <f>IFERROR(__xludf.DUMMYFUNCTION("REGEXREPLACE(C5545,""-\d+(.*)|--\d+(.*)"","""")"),"CHALUS")</f>
        <v>CHALUS</v>
      </c>
      <c r="E5545" s="38" t="s">
        <v>897</v>
      </c>
      <c r="F5545" s="38" t="s">
        <v>98</v>
      </c>
      <c r="G5545" s="49" t="str">
        <f t="shared" si="1"/>
        <v>87230</v>
      </c>
      <c r="H5545" s="49">
        <f t="shared" si="2"/>
        <v>87032</v>
      </c>
    </row>
    <row r="5546">
      <c r="A5546" s="48" t="s">
        <v>1726</v>
      </c>
      <c r="B5546" s="38">
        <v>14339.0</v>
      </c>
      <c r="C5546" s="38" t="s">
        <v>8673</v>
      </c>
      <c r="D5546" s="38" t="str">
        <f>IFERROR(__xludf.DUMMYFUNCTION("REGEXREPLACE(C5546,""-\d+(.*)|--\d+(.*)"","""")"),"HUBERT-FOLIE")</f>
        <v>HUBERT-FOLIE</v>
      </c>
      <c r="E5546" s="38" t="s">
        <v>137</v>
      </c>
      <c r="F5546" s="38" t="s">
        <v>138</v>
      </c>
      <c r="G5546" s="49" t="str">
        <f t="shared" si="1"/>
        <v>14540</v>
      </c>
      <c r="H5546" s="49">
        <f t="shared" si="2"/>
        <v>14339</v>
      </c>
    </row>
    <row r="5547">
      <c r="A5547" s="48" t="s">
        <v>8674</v>
      </c>
      <c r="B5547" s="38">
        <v>16210.0</v>
      </c>
      <c r="C5547" s="38" t="s">
        <v>8675</v>
      </c>
      <c r="D5547" s="38" t="str">
        <f>IFERROR(__xludf.DUMMYFUNCTION("REGEXREPLACE(C5547,""-\d+(.*)|--\d+(.*)"","""")"),"MARSAC")</f>
        <v>MARSAC</v>
      </c>
      <c r="E5547" s="38" t="s">
        <v>429</v>
      </c>
      <c r="F5547" s="38" t="s">
        <v>338</v>
      </c>
      <c r="G5547" s="49" t="str">
        <f t="shared" si="1"/>
        <v>16570</v>
      </c>
      <c r="H5547" s="49">
        <f t="shared" si="2"/>
        <v>16210</v>
      </c>
    </row>
    <row r="5548">
      <c r="A5548" s="48" t="s">
        <v>6858</v>
      </c>
      <c r="B5548" s="38">
        <v>71290.0</v>
      </c>
      <c r="C5548" s="38" t="s">
        <v>8676</v>
      </c>
      <c r="D5548" s="38" t="str">
        <f>IFERROR(__xludf.DUMMYFUNCTION("REGEXREPLACE(C5548,""-\d+(.*)|--\d+(.*)"","""")"),"MAZILLE")</f>
        <v>MAZILLE</v>
      </c>
      <c r="E5548" s="38" t="s">
        <v>344</v>
      </c>
      <c r="F5548" s="38" t="s">
        <v>106</v>
      </c>
      <c r="G5548" s="49" t="str">
        <f t="shared" si="1"/>
        <v>71250</v>
      </c>
      <c r="H5548" s="49">
        <f t="shared" si="2"/>
        <v>71290</v>
      </c>
    </row>
    <row r="5549">
      <c r="A5549" s="48" t="s">
        <v>1864</v>
      </c>
      <c r="B5549" s="38">
        <v>70226.0</v>
      </c>
      <c r="C5549" s="38" t="s">
        <v>8677</v>
      </c>
      <c r="D5549" s="38" t="str">
        <f>IFERROR(__xludf.DUMMYFUNCTION("REGEXREPLACE(C5549,""-\d+(.*)|--\d+(.*)"","""")"),"FALLON")</f>
        <v>FALLON</v>
      </c>
      <c r="E5549" s="38" t="s">
        <v>956</v>
      </c>
      <c r="F5549" s="38" t="s">
        <v>214</v>
      </c>
      <c r="G5549" s="49" t="str">
        <f t="shared" si="1"/>
        <v>70110</v>
      </c>
      <c r="H5549" s="49">
        <f t="shared" si="2"/>
        <v>70226</v>
      </c>
    </row>
    <row r="5550">
      <c r="A5550" s="48" t="s">
        <v>8678</v>
      </c>
      <c r="B5550" s="38">
        <v>65083.0</v>
      </c>
      <c r="C5550" s="38" t="s">
        <v>8679</v>
      </c>
      <c r="D5550" s="38" t="str">
        <f>IFERROR(__xludf.DUMMYFUNCTION("REGEXREPLACE(C5550,""-\d+(.*)|--\d+(.*)"","""")"),"BERNAC-DEBAT")</f>
        <v>BERNAC-DEBAT</v>
      </c>
      <c r="E5550" s="38" t="s">
        <v>200</v>
      </c>
      <c r="F5550" s="38" t="s">
        <v>94</v>
      </c>
      <c r="G5550" s="49" t="str">
        <f t="shared" si="1"/>
        <v>65360</v>
      </c>
      <c r="H5550" s="49">
        <f t="shared" si="2"/>
        <v>65083</v>
      </c>
    </row>
    <row r="5551">
      <c r="A5551" s="48" t="s">
        <v>8680</v>
      </c>
      <c r="B5551" s="38">
        <v>72312.0</v>
      </c>
      <c r="C5551" s="38" t="s">
        <v>8681</v>
      </c>
      <c r="D5551" s="38" t="str">
        <f>IFERROR(__xludf.DUMMYFUNCTION("REGEXREPLACE(C5551,""-\d+(.*)|--\d+(.*)"","""")"),"SAINT-PIERRE-DES-BOIS")</f>
        <v>SAINT-PIERRE-DES-BOIS</v>
      </c>
      <c r="E5551" s="38" t="s">
        <v>521</v>
      </c>
      <c r="F5551" s="38" t="s">
        <v>180</v>
      </c>
      <c r="G5551" s="49" t="str">
        <f t="shared" si="1"/>
        <v>72430</v>
      </c>
      <c r="H5551" s="49">
        <f t="shared" si="2"/>
        <v>72312</v>
      </c>
    </row>
    <row r="5552">
      <c r="A5552" s="48" t="s">
        <v>7175</v>
      </c>
      <c r="B5552" s="38">
        <v>88462.0</v>
      </c>
      <c r="C5552" s="38" t="s">
        <v>8682</v>
      </c>
      <c r="D5552" s="38" t="str">
        <f>IFERROR(__xludf.DUMMYFUNCTION("REGEXREPLACE(C5552,""-\d+(.*)|--\d+(.*)"","""")"),"LE SYNDICAT")</f>
        <v>LE SYNDICAT</v>
      </c>
      <c r="E5552" s="38" t="s">
        <v>194</v>
      </c>
      <c r="F5552" s="38" t="s">
        <v>195</v>
      </c>
      <c r="G5552" s="49" t="str">
        <f t="shared" si="1"/>
        <v>88120</v>
      </c>
      <c r="H5552" s="49">
        <f t="shared" si="2"/>
        <v>88462</v>
      </c>
    </row>
    <row r="5553">
      <c r="A5553" s="48" t="s">
        <v>3297</v>
      </c>
      <c r="B5553" s="38">
        <v>41180.0</v>
      </c>
      <c r="C5553" s="38" t="s">
        <v>8683</v>
      </c>
      <c r="D5553" s="38" t="str">
        <f>IFERROR(__xludf.DUMMYFUNCTION("REGEXREPLACE(C5553,""-\d+(.*)|--\d+(.*)"","""")"),"PONTLEVOY")</f>
        <v>PONTLEVOY</v>
      </c>
      <c r="E5553" s="38" t="s">
        <v>188</v>
      </c>
      <c r="F5553" s="38" t="s">
        <v>123</v>
      </c>
      <c r="G5553" s="49" t="str">
        <f t="shared" si="1"/>
        <v>41400</v>
      </c>
      <c r="H5553" s="49">
        <f t="shared" si="2"/>
        <v>41180</v>
      </c>
    </row>
    <row r="5554">
      <c r="A5554" s="48" t="s">
        <v>8684</v>
      </c>
      <c r="B5554" s="38">
        <v>37251.0</v>
      </c>
      <c r="C5554" s="38" t="s">
        <v>8685</v>
      </c>
      <c r="D5554" s="38" t="str">
        <f>IFERROR(__xludf.DUMMYFUNCTION("REGEXREPLACE(C5554,""-\d+(.*)|--\d+(.*)"","""")"),"SOUVIGNE")</f>
        <v>SOUVIGNE</v>
      </c>
      <c r="E5554" s="38" t="s">
        <v>205</v>
      </c>
      <c r="F5554" s="38" t="s">
        <v>123</v>
      </c>
      <c r="G5554" s="49" t="str">
        <f t="shared" si="1"/>
        <v>37330</v>
      </c>
      <c r="H5554" s="49">
        <f t="shared" si="2"/>
        <v>37251</v>
      </c>
    </row>
    <row r="5555">
      <c r="A5555" s="48" t="s">
        <v>3598</v>
      </c>
      <c r="B5555" s="38">
        <v>7315.0</v>
      </c>
      <c r="C5555" s="38" t="s">
        <v>8686</v>
      </c>
      <c r="D5555" s="38" t="str">
        <f>IFERROR(__xludf.DUMMYFUNCTION("REGEXREPLACE(C5555,""-\d+(.*)|--\d+(.*)"","""")"),"LA SOUCHE")</f>
        <v>LA SOUCHE</v>
      </c>
      <c r="E5555" s="38" t="s">
        <v>144</v>
      </c>
      <c r="F5555" s="38" t="s">
        <v>102</v>
      </c>
      <c r="G5555" s="49" t="str">
        <f t="shared" si="1"/>
        <v>07380</v>
      </c>
      <c r="H5555" s="49" t="str">
        <f t="shared" si="2"/>
        <v>07315</v>
      </c>
    </row>
    <row r="5556">
      <c r="A5556" s="48" t="s">
        <v>8687</v>
      </c>
      <c r="B5556" s="38">
        <v>91095.0</v>
      </c>
      <c r="C5556" s="38" t="s">
        <v>8688</v>
      </c>
      <c r="D5556" s="38" t="str">
        <f>IFERROR(__xludf.DUMMYFUNCTION("REGEXREPLACE(C5556,""-\d+(.*)|--\d+(.*)"","""")"),"BOURAY-SUR-JUINE")</f>
        <v>BOURAY-SUR-JUINE</v>
      </c>
      <c r="E5556" s="38" t="s">
        <v>756</v>
      </c>
      <c r="F5556" s="38" t="s">
        <v>245</v>
      </c>
      <c r="G5556" s="49" t="str">
        <f t="shared" si="1"/>
        <v>91850</v>
      </c>
      <c r="H5556" s="49">
        <f t="shared" si="2"/>
        <v>91095</v>
      </c>
    </row>
    <row r="5557">
      <c r="A5557" s="48" t="s">
        <v>4022</v>
      </c>
      <c r="B5557" s="38">
        <v>62183.0</v>
      </c>
      <c r="C5557" s="38" t="s">
        <v>8689</v>
      </c>
      <c r="D5557" s="38" t="str">
        <f>IFERROR(__xludf.DUMMYFUNCTION("REGEXREPLACE(C5557,""-\d+(.*)|--\d+(.*)"","""")"),"BUIRE-LE-SEC")</f>
        <v>BUIRE-LE-SEC</v>
      </c>
      <c r="E5557" s="38" t="s">
        <v>109</v>
      </c>
      <c r="F5557" s="38" t="s">
        <v>86</v>
      </c>
      <c r="G5557" s="49" t="str">
        <f t="shared" si="1"/>
        <v>62870</v>
      </c>
      <c r="H5557" s="49">
        <f t="shared" si="2"/>
        <v>62183</v>
      </c>
    </row>
    <row r="5558">
      <c r="A5558" s="48" t="s">
        <v>576</v>
      </c>
      <c r="B5558" s="38">
        <v>54077.0</v>
      </c>
      <c r="C5558" s="38" t="s">
        <v>8690</v>
      </c>
      <c r="D5558" s="38" t="str">
        <f>IFERROR(__xludf.DUMMYFUNCTION("REGEXREPLACE(C5558,""-\d+(.*)|--\d+(.*)"","""")"),"BLAMONT")</f>
        <v>BLAMONT</v>
      </c>
      <c r="E5558" s="38" t="s">
        <v>548</v>
      </c>
      <c r="F5558" s="38" t="s">
        <v>195</v>
      </c>
      <c r="G5558" s="49" t="str">
        <f t="shared" si="1"/>
        <v>54450</v>
      </c>
      <c r="H5558" s="49">
        <f t="shared" si="2"/>
        <v>54077</v>
      </c>
    </row>
    <row r="5559">
      <c r="A5559" s="48" t="s">
        <v>1514</v>
      </c>
      <c r="B5559" s="38">
        <v>70484.0</v>
      </c>
      <c r="C5559" s="38" t="s">
        <v>8691</v>
      </c>
      <c r="D5559" s="38" t="str">
        <f>IFERROR(__xludf.DUMMYFUNCTION("REGEXREPLACE(C5559,""-\d+(.*)|--\d+(.*)"","""")"),"SECENANS")</f>
        <v>SECENANS</v>
      </c>
      <c r="E5559" s="38" t="s">
        <v>956</v>
      </c>
      <c r="F5559" s="38" t="s">
        <v>214</v>
      </c>
      <c r="G5559" s="49" t="str">
        <f t="shared" si="1"/>
        <v>70400</v>
      </c>
      <c r="H5559" s="49">
        <f t="shared" si="2"/>
        <v>70484</v>
      </c>
    </row>
    <row r="5560">
      <c r="A5560" s="48" t="s">
        <v>6522</v>
      </c>
      <c r="B5560" s="38" t="s">
        <v>8692</v>
      </c>
      <c r="C5560" s="38" t="s">
        <v>8693</v>
      </c>
      <c r="D5560" s="38" t="str">
        <f>IFERROR(__xludf.DUMMYFUNCTION("REGEXREPLACE(C5560,""-\d+(.*)|--\d+(.*)"","""")"),"SORIO")</f>
        <v>SORIO</v>
      </c>
      <c r="E5560" s="38" t="s">
        <v>743</v>
      </c>
      <c r="F5560" s="38" t="s">
        <v>607</v>
      </c>
      <c r="G5560" s="49" t="str">
        <f t="shared" si="1"/>
        <v>20246</v>
      </c>
      <c r="H5560" s="49" t="str">
        <f t="shared" si="2"/>
        <v>2B287</v>
      </c>
    </row>
    <row r="5561">
      <c r="A5561" s="48" t="s">
        <v>1724</v>
      </c>
      <c r="B5561" s="38">
        <v>26341.0</v>
      </c>
      <c r="C5561" s="38" t="s">
        <v>8694</v>
      </c>
      <c r="D5561" s="38" t="str">
        <f>IFERROR(__xludf.DUMMYFUNCTION("REGEXREPLACE(C5561,""-\d+(.*)|--\d+(.*)"","""")"),"SERVES-SUR-RHONE")</f>
        <v>SERVES-SUR-RHONE</v>
      </c>
      <c r="E5561" s="38" t="s">
        <v>126</v>
      </c>
      <c r="F5561" s="38" t="s">
        <v>102</v>
      </c>
      <c r="G5561" s="49" t="str">
        <f t="shared" si="1"/>
        <v>26600</v>
      </c>
      <c r="H5561" s="49">
        <f t="shared" si="2"/>
        <v>26341</v>
      </c>
    </row>
    <row r="5562">
      <c r="A5562" s="48" t="s">
        <v>8695</v>
      </c>
      <c r="B5562" s="38">
        <v>62272.0</v>
      </c>
      <c r="C5562" s="38" t="s">
        <v>8696</v>
      </c>
      <c r="D5562" s="38" t="str">
        <f>IFERROR(__xludf.DUMMYFUNCTION("REGEXREPLACE(C5562,""-\d+(.*)|--\d+(.*)"","""")"),"DOUCHY-LES-AYETTE")</f>
        <v>DOUCHY-LES-AYETTE</v>
      </c>
      <c r="E5562" s="38" t="s">
        <v>109</v>
      </c>
      <c r="F5562" s="38" t="s">
        <v>86</v>
      </c>
      <c r="G5562" s="49" t="str">
        <f t="shared" si="1"/>
        <v>62116</v>
      </c>
      <c r="H5562" s="49">
        <f t="shared" si="2"/>
        <v>62272</v>
      </c>
    </row>
    <row r="5563">
      <c r="A5563" s="48" t="s">
        <v>4056</v>
      </c>
      <c r="B5563" s="38">
        <v>16259.0</v>
      </c>
      <c r="C5563" s="38" t="s">
        <v>8697</v>
      </c>
      <c r="D5563" s="38" t="str">
        <f>IFERROR(__xludf.DUMMYFUNCTION("REGEXREPLACE(C5563,""-\d+(.*)|--\d+(.*)"","""")"),"LA PERUSE")</f>
        <v>LA PERUSE</v>
      </c>
      <c r="E5563" s="38" t="s">
        <v>429</v>
      </c>
      <c r="F5563" s="38" t="s">
        <v>338</v>
      </c>
      <c r="G5563" s="49" t="str">
        <f t="shared" si="1"/>
        <v>16270</v>
      </c>
      <c r="H5563" s="49">
        <f t="shared" si="2"/>
        <v>16259</v>
      </c>
    </row>
    <row r="5564">
      <c r="A5564" s="48" t="s">
        <v>8698</v>
      </c>
      <c r="B5564" s="38">
        <v>11333.0</v>
      </c>
      <c r="C5564" s="38" t="s">
        <v>2831</v>
      </c>
      <c r="D5564" s="38" t="str">
        <f>IFERROR(__xludf.DUMMYFUNCTION("REGEXREPLACE(C5564,""-\d+(.*)|--\d+(.*)"","""")"),"SAINT-BENOIT")</f>
        <v>SAINT-BENOIT</v>
      </c>
      <c r="E5564" s="38" t="s">
        <v>278</v>
      </c>
      <c r="F5564" s="38" t="s">
        <v>119</v>
      </c>
      <c r="G5564" s="49" t="str">
        <f t="shared" si="1"/>
        <v>11230</v>
      </c>
      <c r="H5564" s="49">
        <f t="shared" si="2"/>
        <v>11333</v>
      </c>
    </row>
    <row r="5565">
      <c r="A5565" s="48" t="s">
        <v>1855</v>
      </c>
      <c r="B5565" s="38">
        <v>72240.0</v>
      </c>
      <c r="C5565" s="38" t="s">
        <v>8699</v>
      </c>
      <c r="D5565" s="38" t="str">
        <f>IFERROR(__xludf.DUMMYFUNCTION("REGEXREPLACE(C5565,""-\d+(.*)|--\d+(.*)"","""")"),"PONCE-SUR-LE-LOIR")</f>
        <v>PONCE-SUR-LE-LOIR</v>
      </c>
      <c r="E5565" s="38" t="s">
        <v>521</v>
      </c>
      <c r="F5565" s="38" t="s">
        <v>180</v>
      </c>
      <c r="G5565" s="49" t="str">
        <f t="shared" si="1"/>
        <v>72340</v>
      </c>
      <c r="H5565" s="49">
        <f t="shared" si="2"/>
        <v>72240</v>
      </c>
    </row>
    <row r="5566">
      <c r="A5566" s="48" t="s">
        <v>2920</v>
      </c>
      <c r="B5566" s="38">
        <v>62388.0</v>
      </c>
      <c r="C5566" s="38" t="s">
        <v>6988</v>
      </c>
      <c r="D5566" s="38" t="str">
        <f>IFERROR(__xludf.DUMMYFUNCTION("REGEXREPLACE(C5566,""-\d+(.*)|--\d+(.*)"","""")"),"GRIGNY")</f>
        <v>GRIGNY</v>
      </c>
      <c r="E5566" s="38" t="s">
        <v>109</v>
      </c>
      <c r="F5566" s="38" t="s">
        <v>86</v>
      </c>
      <c r="G5566" s="49" t="str">
        <f t="shared" si="1"/>
        <v>62140</v>
      </c>
      <c r="H5566" s="49">
        <f t="shared" si="2"/>
        <v>62388</v>
      </c>
    </row>
    <row r="5567">
      <c r="A5567" s="48" t="s">
        <v>2379</v>
      </c>
      <c r="B5567" s="38">
        <v>65211.0</v>
      </c>
      <c r="C5567" s="38" t="s">
        <v>8700</v>
      </c>
      <c r="D5567" s="38" t="str">
        <f>IFERROR(__xludf.DUMMYFUNCTION("REGEXREPLACE(C5567,""-\d+(.*)|--\d+(.*)"","""")"),"GUCHAN")</f>
        <v>GUCHAN</v>
      </c>
      <c r="E5567" s="38" t="s">
        <v>200</v>
      </c>
      <c r="F5567" s="38" t="s">
        <v>94</v>
      </c>
      <c r="G5567" s="49" t="str">
        <f t="shared" si="1"/>
        <v>65170</v>
      </c>
      <c r="H5567" s="49">
        <f t="shared" si="2"/>
        <v>65211</v>
      </c>
    </row>
    <row r="5568">
      <c r="A5568" s="48" t="s">
        <v>1008</v>
      </c>
      <c r="B5568" s="38">
        <v>2310.0</v>
      </c>
      <c r="C5568" s="38" t="s">
        <v>8701</v>
      </c>
      <c r="D5568" s="38" t="str">
        <f>IFERROR(__xludf.DUMMYFUNCTION("REGEXREPLACE(C5568,""-\d+(.*)|--\d+(.*)"","""")"),"FIEULAINE")</f>
        <v>FIEULAINE</v>
      </c>
      <c r="E5568" s="38" t="s">
        <v>191</v>
      </c>
      <c r="F5568" s="38" t="s">
        <v>113</v>
      </c>
      <c r="G5568" s="49" t="str">
        <f t="shared" si="1"/>
        <v>02110</v>
      </c>
      <c r="H5568" s="49" t="str">
        <f t="shared" si="2"/>
        <v>02310</v>
      </c>
    </row>
    <row r="5569">
      <c r="A5569" s="48" t="s">
        <v>8702</v>
      </c>
      <c r="B5569" s="38" t="s">
        <v>8703</v>
      </c>
      <c r="C5569" s="38" t="s">
        <v>8704</v>
      </c>
      <c r="D5569" s="38" t="str">
        <f>IFERROR(__xludf.DUMMYFUNCTION("REGEXREPLACE(C5569,""-\d+(.*)|--\d+(.*)"","""")"),"ARBELLARA")</f>
        <v>ARBELLARA</v>
      </c>
      <c r="E5569" s="38" t="s">
        <v>606</v>
      </c>
      <c r="F5569" s="38" t="s">
        <v>607</v>
      </c>
      <c r="G5569" s="49" t="str">
        <f t="shared" si="1"/>
        <v>20110</v>
      </c>
      <c r="H5569" s="49" t="str">
        <f t="shared" si="2"/>
        <v>2A018</v>
      </c>
    </row>
    <row r="5570">
      <c r="A5570" s="48" t="s">
        <v>4270</v>
      </c>
      <c r="B5570" s="38">
        <v>76450.0</v>
      </c>
      <c r="C5570" s="38" t="s">
        <v>8705</v>
      </c>
      <c r="D5570" s="38" t="str">
        <f>IFERROR(__xludf.DUMMYFUNCTION("REGEXREPLACE(C5570,""-\d+(.*)|--\d+(.*)"","""")"),"MONTROTY")</f>
        <v>MONTROTY</v>
      </c>
      <c r="E5570" s="38" t="s">
        <v>133</v>
      </c>
      <c r="F5570" s="38" t="s">
        <v>134</v>
      </c>
      <c r="G5570" s="49" t="str">
        <f t="shared" si="1"/>
        <v>76220</v>
      </c>
      <c r="H5570" s="49">
        <f t="shared" si="2"/>
        <v>76450</v>
      </c>
    </row>
    <row r="5571">
      <c r="A5571" s="48" t="s">
        <v>2141</v>
      </c>
      <c r="B5571" s="38">
        <v>80157.0</v>
      </c>
      <c r="C5571" s="38" t="s">
        <v>8706</v>
      </c>
      <c r="D5571" s="38" t="str">
        <f>IFERROR(__xludf.DUMMYFUNCTION("REGEXREPLACE(C5571,""-\d+(.*)|--\d+(.*)"","""")"),"BUSSY-LES-POIX")</f>
        <v>BUSSY-LES-POIX</v>
      </c>
      <c r="E5571" s="38" t="s">
        <v>224</v>
      </c>
      <c r="F5571" s="38" t="s">
        <v>113</v>
      </c>
      <c r="G5571" s="49" t="str">
        <f t="shared" si="1"/>
        <v>80290</v>
      </c>
      <c r="H5571" s="49">
        <f t="shared" si="2"/>
        <v>80157</v>
      </c>
    </row>
    <row r="5572">
      <c r="A5572" s="48" t="s">
        <v>8707</v>
      </c>
      <c r="B5572" s="38">
        <v>91414.0</v>
      </c>
      <c r="C5572" s="38" t="s">
        <v>8708</v>
      </c>
      <c r="D5572" s="38" t="str">
        <f>IFERROR(__xludf.DUMMYFUNCTION("REGEXREPLACE(C5572,""-\d+(.*)|--\d+(.*)"","""")"),"MONNERVILLE")</f>
        <v>MONNERVILLE</v>
      </c>
      <c r="E5572" s="38" t="s">
        <v>756</v>
      </c>
      <c r="F5572" s="38" t="s">
        <v>245</v>
      </c>
      <c r="G5572" s="49" t="str">
        <f t="shared" si="1"/>
        <v>91930</v>
      </c>
      <c r="H5572" s="49">
        <f t="shared" si="2"/>
        <v>91414</v>
      </c>
    </row>
    <row r="5573">
      <c r="A5573" s="48" t="s">
        <v>8709</v>
      </c>
      <c r="B5573" s="38">
        <v>59447.0</v>
      </c>
      <c r="C5573" s="38" t="s">
        <v>8710</v>
      </c>
      <c r="D5573" s="38" t="str">
        <f>IFERROR(__xludf.DUMMYFUNCTION("REGEXREPLACE(C5573,""-\d+(.*)|--\d+(.*)"","""")"),"ONNAING")</f>
        <v>ONNAING</v>
      </c>
      <c r="E5573" s="38" t="s">
        <v>85</v>
      </c>
      <c r="F5573" s="38" t="s">
        <v>86</v>
      </c>
      <c r="G5573" s="49" t="str">
        <f t="shared" si="1"/>
        <v>59264</v>
      </c>
      <c r="H5573" s="49">
        <f t="shared" si="2"/>
        <v>59447</v>
      </c>
    </row>
    <row r="5574">
      <c r="A5574" s="48" t="s">
        <v>8711</v>
      </c>
      <c r="B5574" s="38">
        <v>33028.0</v>
      </c>
      <c r="C5574" s="38" t="s">
        <v>8712</v>
      </c>
      <c r="D5574" s="38" t="str">
        <f>IFERROR(__xludf.DUMMYFUNCTION("REGEXREPLACE(C5574,""-\d+(.*)|--\d+(.*)"","""")"),"BARON")</f>
        <v>BARON</v>
      </c>
      <c r="E5574" s="38" t="s">
        <v>462</v>
      </c>
      <c r="F5574" s="38" t="s">
        <v>252</v>
      </c>
      <c r="G5574" s="49" t="str">
        <f t="shared" si="1"/>
        <v>33750</v>
      </c>
      <c r="H5574" s="49">
        <f t="shared" si="2"/>
        <v>33028</v>
      </c>
    </row>
    <row r="5575">
      <c r="A5575" s="48" t="s">
        <v>8713</v>
      </c>
      <c r="B5575" s="38">
        <v>50297.0</v>
      </c>
      <c r="C5575" s="38" t="s">
        <v>8714</v>
      </c>
      <c r="D5575" s="38" t="str">
        <f>IFERROR(__xludf.DUMMYFUNCTION("REGEXREPLACE(C5575,""-\d+(.*)|--\d+(.*)"","""")"),"LA MEAUFFE")</f>
        <v>LA MEAUFFE</v>
      </c>
      <c r="E5575" s="38" t="s">
        <v>157</v>
      </c>
      <c r="F5575" s="38" t="s">
        <v>138</v>
      </c>
      <c r="G5575" s="49" t="str">
        <f t="shared" si="1"/>
        <v>50880</v>
      </c>
      <c r="H5575" s="49">
        <f t="shared" si="2"/>
        <v>50297</v>
      </c>
    </row>
    <row r="5576">
      <c r="A5576" s="48" t="s">
        <v>8715</v>
      </c>
      <c r="B5576" s="38">
        <v>45286.0</v>
      </c>
      <c r="C5576" s="38" t="s">
        <v>8716</v>
      </c>
      <c r="D5576" s="38" t="str">
        <f>IFERROR(__xludf.DUMMYFUNCTION("REGEXREPLACE(C5576,""-\d+(.*)|--\d+(.*)"","""")"),"SAINT-JEAN-LE-BLANC")</f>
        <v>SAINT-JEAN-LE-BLANC</v>
      </c>
      <c r="E5576" s="38" t="s">
        <v>122</v>
      </c>
      <c r="F5576" s="38" t="s">
        <v>123</v>
      </c>
      <c r="G5576" s="49" t="str">
        <f t="shared" si="1"/>
        <v>45650</v>
      </c>
      <c r="H5576" s="49">
        <f t="shared" si="2"/>
        <v>45286</v>
      </c>
    </row>
    <row r="5577">
      <c r="A5577" s="48" t="s">
        <v>856</v>
      </c>
      <c r="B5577" s="38">
        <v>43212.0</v>
      </c>
      <c r="C5577" s="38" t="s">
        <v>8717</v>
      </c>
      <c r="D5577" s="38" t="str">
        <f>IFERROR(__xludf.DUMMYFUNCTION("REGEXREPLACE(C5577,""-\d+(.*)|--\d+(.*)"","""")"),"SAINT-PAL-DE-CHALENCON")</f>
        <v>SAINT-PAL-DE-CHALENCON</v>
      </c>
      <c r="E5577" s="38" t="s">
        <v>332</v>
      </c>
      <c r="F5577" s="38" t="s">
        <v>161</v>
      </c>
      <c r="G5577" s="49" t="str">
        <f t="shared" si="1"/>
        <v>43500</v>
      </c>
      <c r="H5577" s="49">
        <f t="shared" si="2"/>
        <v>43212</v>
      </c>
    </row>
    <row r="5578">
      <c r="A5578" s="48" t="s">
        <v>447</v>
      </c>
      <c r="B5578" s="38">
        <v>88098.0</v>
      </c>
      <c r="C5578" s="38" t="s">
        <v>8718</v>
      </c>
      <c r="D5578" s="38" t="str">
        <f>IFERROR(__xludf.DUMMYFUNCTION("REGEXREPLACE(C5578,""-\d+(.*)|--\d+(.*)"","""")"),"CHAUMOUSEY")</f>
        <v>CHAUMOUSEY</v>
      </c>
      <c r="E5578" s="38" t="s">
        <v>194</v>
      </c>
      <c r="F5578" s="38" t="s">
        <v>195</v>
      </c>
      <c r="G5578" s="49" t="str">
        <f t="shared" si="1"/>
        <v>88390</v>
      </c>
      <c r="H5578" s="49">
        <f t="shared" si="2"/>
        <v>88098</v>
      </c>
    </row>
    <row r="5579">
      <c r="A5579" s="48" t="s">
        <v>8719</v>
      </c>
      <c r="B5579" s="38">
        <v>38022.0</v>
      </c>
      <c r="C5579" s="38" t="s">
        <v>8720</v>
      </c>
      <c r="D5579" s="38" t="str">
        <f>IFERROR(__xludf.DUMMYFUNCTION("REGEXREPLACE(C5579,""-\d+(.*)|--\d+(.*)"","""")"),"LES AVENIERES")</f>
        <v>LES AVENIERES</v>
      </c>
      <c r="E5579" s="38" t="s">
        <v>101</v>
      </c>
      <c r="F5579" s="38" t="s">
        <v>102</v>
      </c>
      <c r="G5579" s="49" t="str">
        <f t="shared" si="1"/>
        <v>38630</v>
      </c>
      <c r="H5579" s="49">
        <f t="shared" si="2"/>
        <v>38022</v>
      </c>
    </row>
    <row r="5580">
      <c r="A5580" s="48" t="s">
        <v>3488</v>
      </c>
      <c r="B5580" s="38">
        <v>67534.0</v>
      </c>
      <c r="C5580" s="38" t="s">
        <v>8721</v>
      </c>
      <c r="D5580" s="38" t="str">
        <f>IFERROR(__xludf.DUMMYFUNCTION("REGEXREPLACE(C5580,""-\d+(.*)|--\d+(.*)"","""")"),"WILWISHEIM")</f>
        <v>WILWISHEIM</v>
      </c>
      <c r="E5580" s="38" t="s">
        <v>210</v>
      </c>
      <c r="F5580" s="38" t="s">
        <v>151</v>
      </c>
      <c r="G5580" s="49" t="str">
        <f t="shared" si="1"/>
        <v>67270</v>
      </c>
      <c r="H5580" s="49">
        <f t="shared" si="2"/>
        <v>67534</v>
      </c>
    </row>
    <row r="5581">
      <c r="A5581" s="48" t="s">
        <v>8722</v>
      </c>
      <c r="B5581" s="38">
        <v>97220.0</v>
      </c>
      <c r="C5581" s="38" t="s">
        <v>8723</v>
      </c>
      <c r="D5581" s="38" t="str">
        <f>IFERROR(__xludf.DUMMYFUNCTION("REGEXREPLACE(C5581,""-\d+(.*)|--\d+(.*)"","""")"),"RIVIERE-PILOTE")</f>
        <v>RIVIERE-PILOTE</v>
      </c>
      <c r="E5581" s="38" t="s">
        <v>2282</v>
      </c>
      <c r="F5581" s="38" t="s">
        <v>2282</v>
      </c>
      <c r="G5581" s="49" t="str">
        <f t="shared" si="1"/>
        <v>97211</v>
      </c>
      <c r="H5581" s="49">
        <f t="shared" si="2"/>
        <v>97220</v>
      </c>
    </row>
    <row r="5582">
      <c r="A5582" s="48" t="s">
        <v>167</v>
      </c>
      <c r="B5582" s="38">
        <v>34051.0</v>
      </c>
      <c r="C5582" s="38" t="s">
        <v>2970</v>
      </c>
      <c r="D5582" s="38" t="str">
        <f>IFERROR(__xludf.DUMMYFUNCTION("REGEXREPLACE(C5582,""-\d+(.*)|--\d+(.*)"","""")"),"CANET")</f>
        <v>CANET</v>
      </c>
      <c r="E5582" s="38" t="s">
        <v>118</v>
      </c>
      <c r="F5582" s="38" t="s">
        <v>119</v>
      </c>
      <c r="G5582" s="49" t="str">
        <f t="shared" si="1"/>
        <v>34800</v>
      </c>
      <c r="H5582" s="49">
        <f t="shared" si="2"/>
        <v>34051</v>
      </c>
    </row>
    <row r="5583">
      <c r="A5583" s="48" t="s">
        <v>1493</v>
      </c>
      <c r="B5583" s="38">
        <v>58006.0</v>
      </c>
      <c r="C5583" s="38" t="s">
        <v>8724</v>
      </c>
      <c r="D5583" s="38" t="str">
        <f>IFERROR(__xludf.DUMMYFUNCTION("REGEXREPLACE(C5583,""-\d+(.*)|--\d+(.*)"","""")"),"ANLEZY")</f>
        <v>ANLEZY</v>
      </c>
      <c r="E5583" s="38" t="s">
        <v>219</v>
      </c>
      <c r="F5583" s="38" t="s">
        <v>106</v>
      </c>
      <c r="G5583" s="49" t="str">
        <f t="shared" si="1"/>
        <v>58270</v>
      </c>
      <c r="H5583" s="49">
        <f t="shared" si="2"/>
        <v>58006</v>
      </c>
    </row>
    <row r="5584">
      <c r="A5584" s="48" t="s">
        <v>276</v>
      </c>
      <c r="B5584" s="38">
        <v>11017.0</v>
      </c>
      <c r="C5584" s="38" t="s">
        <v>8725</v>
      </c>
      <c r="D5584" s="38" t="str">
        <f>IFERROR(__xludf.DUMMYFUNCTION("REGEXREPLACE(C5584,""-\d+(.*)|--\d+(.*)"","""")"),"ARTIGUES")</f>
        <v>ARTIGUES</v>
      </c>
      <c r="E5584" s="38" t="s">
        <v>278</v>
      </c>
      <c r="F5584" s="38" t="s">
        <v>119</v>
      </c>
      <c r="G5584" s="49" t="str">
        <f t="shared" si="1"/>
        <v>11140</v>
      </c>
      <c r="H5584" s="49">
        <f t="shared" si="2"/>
        <v>11017</v>
      </c>
    </row>
    <row r="5585">
      <c r="A5585" s="48" t="s">
        <v>2526</v>
      </c>
      <c r="B5585" s="38">
        <v>70368.0</v>
      </c>
      <c r="C5585" s="38" t="s">
        <v>8726</v>
      </c>
      <c r="D5585" s="38" t="str">
        <f>IFERROR(__xludf.DUMMYFUNCTION("REGEXREPLACE(C5585,""-\d+(.*)|--\d+(.*)"","""")"),"MONTOT")</f>
        <v>MONTOT</v>
      </c>
      <c r="E5585" s="38" t="s">
        <v>956</v>
      </c>
      <c r="F5585" s="38" t="s">
        <v>214</v>
      </c>
      <c r="G5585" s="49" t="str">
        <f t="shared" si="1"/>
        <v>70180</v>
      </c>
      <c r="H5585" s="49">
        <f t="shared" si="2"/>
        <v>70368</v>
      </c>
    </row>
    <row r="5586">
      <c r="A5586" s="48" t="s">
        <v>1590</v>
      </c>
      <c r="B5586" s="38">
        <v>33292.0</v>
      </c>
      <c r="C5586" s="38" t="s">
        <v>8727</v>
      </c>
      <c r="D5586" s="38" t="str">
        <f>IFERROR(__xludf.DUMMYFUNCTION("REGEXREPLACE(C5586,""-\d+(.*)|--\d+(.*)"","""")"),"MONTIGNAC")</f>
        <v>MONTIGNAC</v>
      </c>
      <c r="E5586" s="38" t="s">
        <v>462</v>
      </c>
      <c r="F5586" s="38" t="s">
        <v>252</v>
      </c>
      <c r="G5586" s="49" t="str">
        <f t="shared" si="1"/>
        <v>33760</v>
      </c>
      <c r="H5586" s="49">
        <f t="shared" si="2"/>
        <v>33292</v>
      </c>
    </row>
    <row r="5587">
      <c r="A5587" s="48" t="s">
        <v>2845</v>
      </c>
      <c r="B5587" s="38" t="s">
        <v>8728</v>
      </c>
      <c r="C5587" s="38" t="s">
        <v>8729</v>
      </c>
      <c r="D5587" s="38" t="str">
        <f>IFERROR(__xludf.DUMMYFUNCTION("REGEXREPLACE(C5587,""-\d+(.*)|--\d+(.*)"","""")"),"PERO-CASEVECCHIE")</f>
        <v>PERO-CASEVECCHIE</v>
      </c>
      <c r="E5587" s="38" t="s">
        <v>743</v>
      </c>
      <c r="F5587" s="38" t="s">
        <v>607</v>
      </c>
      <c r="G5587" s="49" t="str">
        <f t="shared" si="1"/>
        <v>20230</v>
      </c>
      <c r="H5587" s="49" t="str">
        <f t="shared" si="2"/>
        <v>2B210</v>
      </c>
    </row>
    <row r="5588">
      <c r="A5588" s="48" t="s">
        <v>2817</v>
      </c>
      <c r="B5588" s="38">
        <v>64386.0</v>
      </c>
      <c r="C5588" s="38" t="s">
        <v>8730</v>
      </c>
      <c r="D5588" s="38" t="str">
        <f>IFERROR(__xludf.DUMMYFUNCTION("REGEXREPLACE(C5588,""-\d+(.*)|--\d+(.*)"","""")"),"MIREPEIX")</f>
        <v>MIREPEIX</v>
      </c>
      <c r="E5588" s="38" t="s">
        <v>268</v>
      </c>
      <c r="F5588" s="38" t="s">
        <v>252</v>
      </c>
      <c r="G5588" s="49" t="str">
        <f t="shared" si="1"/>
        <v>64800</v>
      </c>
      <c r="H5588" s="49">
        <f t="shared" si="2"/>
        <v>64386</v>
      </c>
    </row>
    <row r="5589">
      <c r="A5589" s="48" t="s">
        <v>1959</v>
      </c>
      <c r="B5589" s="38">
        <v>82032.0</v>
      </c>
      <c r="C5589" s="38" t="s">
        <v>8731</v>
      </c>
      <c r="D5589" s="38" t="str">
        <f>IFERROR(__xludf.DUMMYFUNCTION("REGEXREPLACE(C5589,""-\d+(.*)|--\d+(.*)"","""")"),"CASTELSAGRAT")</f>
        <v>CASTELSAGRAT</v>
      </c>
      <c r="E5589" s="38" t="s">
        <v>570</v>
      </c>
      <c r="F5589" s="38" t="s">
        <v>94</v>
      </c>
      <c r="G5589" s="49" t="str">
        <f t="shared" si="1"/>
        <v>82400</v>
      </c>
      <c r="H5589" s="49">
        <f t="shared" si="2"/>
        <v>82032</v>
      </c>
    </row>
    <row r="5590">
      <c r="A5590" s="48" t="s">
        <v>4805</v>
      </c>
      <c r="B5590" s="38">
        <v>31147.0</v>
      </c>
      <c r="C5590" s="38" t="s">
        <v>8732</v>
      </c>
      <c r="D5590" s="38" t="str">
        <f>IFERROR(__xludf.DUMMYFUNCTION("REGEXREPLACE(C5590,""-\d+(.*)|--\d+(.*)"","""")"),"CLARAC")</f>
        <v>CLARAC</v>
      </c>
      <c r="E5590" s="38" t="s">
        <v>93</v>
      </c>
      <c r="F5590" s="38" t="s">
        <v>94</v>
      </c>
      <c r="G5590" s="49" t="str">
        <f t="shared" si="1"/>
        <v>31210</v>
      </c>
      <c r="H5590" s="49">
        <f t="shared" si="2"/>
        <v>31147</v>
      </c>
    </row>
    <row r="5591">
      <c r="A5591" s="48" t="s">
        <v>4900</v>
      </c>
      <c r="B5591" s="38">
        <v>33317.0</v>
      </c>
      <c r="C5591" s="38" t="s">
        <v>8733</v>
      </c>
      <c r="D5591" s="38" t="str">
        <f>IFERROR(__xludf.DUMMYFUNCTION("REGEXREPLACE(C5591,""-\d+(.*)|--\d+(.*)"","""")"),"PERISSAC")</f>
        <v>PERISSAC</v>
      </c>
      <c r="E5591" s="38" t="s">
        <v>462</v>
      </c>
      <c r="F5591" s="38" t="s">
        <v>252</v>
      </c>
      <c r="G5591" s="49" t="str">
        <f t="shared" si="1"/>
        <v>33240</v>
      </c>
      <c r="H5591" s="49">
        <f t="shared" si="2"/>
        <v>33317</v>
      </c>
    </row>
    <row r="5592">
      <c r="A5592" s="48" t="s">
        <v>1588</v>
      </c>
      <c r="B5592" s="38">
        <v>9111.0</v>
      </c>
      <c r="C5592" s="38" t="s">
        <v>8734</v>
      </c>
      <c r="D5592" s="38" t="str">
        <f>IFERROR(__xludf.DUMMYFUNCTION("REGEXREPLACE(C5592,""-\d+(.*)|--\d+(.*)"","""")"),"ENGOMER")</f>
        <v>ENGOMER</v>
      </c>
      <c r="E5592" s="38" t="s">
        <v>238</v>
      </c>
      <c r="F5592" s="38" t="s">
        <v>94</v>
      </c>
      <c r="G5592" s="49" t="str">
        <f t="shared" si="1"/>
        <v>09800</v>
      </c>
      <c r="H5592" s="49" t="str">
        <f t="shared" si="2"/>
        <v>09111</v>
      </c>
    </row>
    <row r="5593">
      <c r="A5593" s="48" t="s">
        <v>1947</v>
      </c>
      <c r="B5593" s="38">
        <v>52287.0</v>
      </c>
      <c r="C5593" s="38" t="s">
        <v>8735</v>
      </c>
      <c r="D5593" s="38" t="str">
        <f>IFERROR(__xludf.DUMMYFUNCTION("REGEXREPLACE(C5593,""-\d+(.*)|--\d+(.*)"","""")"),"LEVECOURT")</f>
        <v>LEVECOURT</v>
      </c>
      <c r="E5593" s="38" t="s">
        <v>234</v>
      </c>
      <c r="F5593" s="38" t="s">
        <v>130</v>
      </c>
      <c r="G5593" s="49" t="str">
        <f t="shared" si="1"/>
        <v>52150</v>
      </c>
      <c r="H5593" s="49">
        <f t="shared" si="2"/>
        <v>52287</v>
      </c>
    </row>
    <row r="5594">
      <c r="A5594" s="48" t="s">
        <v>7657</v>
      </c>
      <c r="B5594" s="38">
        <v>80544.0</v>
      </c>
      <c r="C5594" s="38" t="s">
        <v>8736</v>
      </c>
      <c r="D5594" s="38" t="str">
        <f>IFERROR(__xludf.DUMMYFUNCTION("REGEXREPLACE(C5594,""-\d+(.*)|--\d+(.*)"","""")"),"MEZEROLLES")</f>
        <v>MEZEROLLES</v>
      </c>
      <c r="E5594" s="38" t="s">
        <v>224</v>
      </c>
      <c r="F5594" s="38" t="s">
        <v>113</v>
      </c>
      <c r="G5594" s="49" t="str">
        <f t="shared" si="1"/>
        <v>80600</v>
      </c>
      <c r="H5594" s="49">
        <f t="shared" si="2"/>
        <v>80544</v>
      </c>
    </row>
    <row r="5595">
      <c r="A5595" s="48" t="s">
        <v>1276</v>
      </c>
      <c r="B5595" s="38">
        <v>64153.0</v>
      </c>
      <c r="C5595" s="38" t="s">
        <v>8737</v>
      </c>
      <c r="D5595" s="38" t="str">
        <f>IFERROR(__xludf.DUMMYFUNCTION("REGEXREPLACE(C5595,""-\d+(.*)|--\d+(.*)"","""")"),"BUROSSE-MENDOUSSE")</f>
        <v>BUROSSE-MENDOUSSE</v>
      </c>
      <c r="E5595" s="38" t="s">
        <v>268</v>
      </c>
      <c r="F5595" s="38" t="s">
        <v>252</v>
      </c>
      <c r="G5595" s="49" t="str">
        <f t="shared" si="1"/>
        <v>64330</v>
      </c>
      <c r="H5595" s="49">
        <f t="shared" si="2"/>
        <v>64153</v>
      </c>
    </row>
    <row r="5596">
      <c r="A5596" s="48" t="s">
        <v>8738</v>
      </c>
      <c r="B5596" s="38">
        <v>56251.0</v>
      </c>
      <c r="C5596" s="38" t="s">
        <v>8739</v>
      </c>
      <c r="D5596" s="38" t="str">
        <f>IFERROR(__xludf.DUMMYFUNCTION("REGEXREPLACE(C5596,""-\d+(.*)|--\d+(.*)"","""")"),"THEIX")</f>
        <v>THEIX</v>
      </c>
      <c r="E5596" s="38" t="s">
        <v>173</v>
      </c>
      <c r="F5596" s="38" t="s">
        <v>90</v>
      </c>
      <c r="G5596" s="49" t="str">
        <f t="shared" si="1"/>
        <v>56450</v>
      </c>
      <c r="H5596" s="49">
        <f t="shared" si="2"/>
        <v>56251</v>
      </c>
    </row>
    <row r="5597">
      <c r="A5597" s="48" t="s">
        <v>4447</v>
      </c>
      <c r="B5597" s="38">
        <v>39497.0</v>
      </c>
      <c r="C5597" s="38" t="s">
        <v>8740</v>
      </c>
      <c r="D5597" s="38" t="str">
        <f>IFERROR(__xludf.DUMMYFUNCTION("REGEXREPLACE(C5597,""-\d+(.*)|--\d+(.*)"","""")"),"SAIZENAY")</f>
        <v>SAIZENAY</v>
      </c>
      <c r="E5597" s="38" t="s">
        <v>400</v>
      </c>
      <c r="F5597" s="38" t="s">
        <v>214</v>
      </c>
      <c r="G5597" s="49" t="str">
        <f t="shared" si="1"/>
        <v>39110</v>
      </c>
      <c r="H5597" s="49">
        <f t="shared" si="2"/>
        <v>39497</v>
      </c>
    </row>
    <row r="5598">
      <c r="A5598" s="48" t="s">
        <v>4121</v>
      </c>
      <c r="B5598" s="38">
        <v>11259.0</v>
      </c>
      <c r="C5598" s="38" t="s">
        <v>8741</v>
      </c>
      <c r="D5598" s="38" t="str">
        <f>IFERROR(__xludf.DUMMYFUNCTION("REGEXREPLACE(C5598,""-\d+(.*)|--\d+(.*)"","""")"),"MOUSSOULENS")</f>
        <v>MOUSSOULENS</v>
      </c>
      <c r="E5598" s="38" t="s">
        <v>278</v>
      </c>
      <c r="F5598" s="38" t="s">
        <v>119</v>
      </c>
      <c r="G5598" s="49" t="str">
        <f t="shared" si="1"/>
        <v>11170</v>
      </c>
      <c r="H5598" s="49">
        <f t="shared" si="2"/>
        <v>11259</v>
      </c>
    </row>
    <row r="5599">
      <c r="A5599" s="48" t="s">
        <v>8742</v>
      </c>
      <c r="B5599" s="38">
        <v>27152.0</v>
      </c>
      <c r="C5599" s="38" t="s">
        <v>8743</v>
      </c>
      <c r="D5599" s="38" t="str">
        <f>IFERROR(__xludf.DUMMYFUNCTION("REGEXREPLACE(C5599,""-\d+(.*)|--\d+(.*)"","""")"),"CHATEAU-SUR-EPTE")</f>
        <v>CHATEAU-SUR-EPTE</v>
      </c>
      <c r="E5599" s="38" t="s">
        <v>241</v>
      </c>
      <c r="F5599" s="38" t="s">
        <v>134</v>
      </c>
      <c r="G5599" s="49" t="str">
        <f t="shared" si="1"/>
        <v>27420</v>
      </c>
      <c r="H5599" s="49">
        <f t="shared" si="2"/>
        <v>27152</v>
      </c>
    </row>
    <row r="5600">
      <c r="A5600" s="48" t="s">
        <v>2781</v>
      </c>
      <c r="B5600" s="38">
        <v>6101.0</v>
      </c>
      <c r="C5600" s="38" t="s">
        <v>8744</v>
      </c>
      <c r="D5600" s="38" t="str">
        <f>IFERROR(__xludf.DUMMYFUNCTION("REGEXREPLACE(C5600,""-\d+(.*)|--\d+(.*)"","""")"),"RIGAUD")</f>
        <v>RIGAUD</v>
      </c>
      <c r="E5600" s="38" t="s">
        <v>227</v>
      </c>
      <c r="F5600" s="38" t="s">
        <v>228</v>
      </c>
      <c r="G5600" s="49" t="str">
        <f t="shared" si="1"/>
        <v>06260</v>
      </c>
      <c r="H5600" s="49" t="str">
        <f t="shared" si="2"/>
        <v>06101</v>
      </c>
    </row>
    <row r="5601">
      <c r="A5601" s="48" t="s">
        <v>8508</v>
      </c>
      <c r="B5601" s="38">
        <v>87155.0</v>
      </c>
      <c r="C5601" s="38" t="s">
        <v>8745</v>
      </c>
      <c r="D5601" s="38" t="str">
        <f>IFERROR(__xludf.DUMMYFUNCTION("REGEXREPLACE(C5601,""-\d+(.*)|--\d+(.*)"","""")"),"SAINT-JUNIEN-LES-COMBES")</f>
        <v>SAINT-JUNIEN-LES-COMBES</v>
      </c>
      <c r="E5601" s="38" t="s">
        <v>897</v>
      </c>
      <c r="F5601" s="38" t="s">
        <v>98</v>
      </c>
      <c r="G5601" s="49" t="str">
        <f t="shared" si="1"/>
        <v>87300</v>
      </c>
      <c r="H5601" s="49">
        <f t="shared" si="2"/>
        <v>87155</v>
      </c>
    </row>
    <row r="5602">
      <c r="A5602" s="48" t="s">
        <v>8746</v>
      </c>
      <c r="B5602" s="38">
        <v>54451.0</v>
      </c>
      <c r="C5602" s="38" t="s">
        <v>8747</v>
      </c>
      <c r="D5602" s="38" t="str">
        <f>IFERROR(__xludf.DUMMYFUNCTION("REGEXREPLACE(C5602,""-\d+(.*)|--\d+(.*)"","""")"),"REHON")</f>
        <v>REHON</v>
      </c>
      <c r="E5602" s="38" t="s">
        <v>548</v>
      </c>
      <c r="F5602" s="38" t="s">
        <v>195</v>
      </c>
      <c r="G5602" s="49" t="str">
        <f t="shared" si="1"/>
        <v>54430</v>
      </c>
      <c r="H5602" s="49">
        <f t="shared" si="2"/>
        <v>54451</v>
      </c>
    </row>
    <row r="5603">
      <c r="A5603" s="48" t="s">
        <v>8748</v>
      </c>
      <c r="B5603" s="38">
        <v>43137.0</v>
      </c>
      <c r="C5603" s="38" t="s">
        <v>8749</v>
      </c>
      <c r="D5603" s="38" t="str">
        <f>IFERROR(__xludf.DUMMYFUNCTION("REGEXREPLACE(C5603,""-\d+(.*)|--\d+(.*)"","""")"),"MONISTROL-SUR-LOIRE")</f>
        <v>MONISTROL-SUR-LOIRE</v>
      </c>
      <c r="E5603" s="38" t="s">
        <v>332</v>
      </c>
      <c r="F5603" s="38" t="s">
        <v>161</v>
      </c>
      <c r="G5603" s="49" t="str">
        <f t="shared" si="1"/>
        <v>43120</v>
      </c>
      <c r="H5603" s="49">
        <f t="shared" si="2"/>
        <v>43137</v>
      </c>
    </row>
    <row r="5604">
      <c r="A5604" s="48" t="s">
        <v>3244</v>
      </c>
      <c r="B5604" s="38">
        <v>27099.0</v>
      </c>
      <c r="C5604" s="38" t="s">
        <v>8750</v>
      </c>
      <c r="D5604" s="38" t="str">
        <f>IFERROR(__xludf.DUMMYFUNCTION("REGEXREPLACE(C5604,""-\d+(.*)|--\d+(.*)"","""")"),"LE BOULAY-MORIN")</f>
        <v>LE BOULAY-MORIN</v>
      </c>
      <c r="E5604" s="38" t="s">
        <v>241</v>
      </c>
      <c r="F5604" s="38" t="s">
        <v>134</v>
      </c>
      <c r="G5604" s="49" t="str">
        <f t="shared" si="1"/>
        <v>27930</v>
      </c>
      <c r="H5604" s="49">
        <f t="shared" si="2"/>
        <v>27099</v>
      </c>
    </row>
    <row r="5605">
      <c r="A5605" s="48" t="s">
        <v>6862</v>
      </c>
      <c r="B5605" s="38">
        <v>68279.0</v>
      </c>
      <c r="C5605" s="38" t="s">
        <v>8751</v>
      </c>
      <c r="D5605" s="38" t="str">
        <f>IFERROR(__xludf.DUMMYFUNCTION("REGEXREPLACE(C5605,""-\d+(.*)|--\d+(.*)"","""")"),"RODEREN")</f>
        <v>RODEREN</v>
      </c>
      <c r="E5605" s="38" t="s">
        <v>150</v>
      </c>
      <c r="F5605" s="38" t="s">
        <v>151</v>
      </c>
      <c r="G5605" s="49" t="str">
        <f t="shared" si="1"/>
        <v>68800</v>
      </c>
      <c r="H5605" s="49">
        <f t="shared" si="2"/>
        <v>68279</v>
      </c>
    </row>
    <row r="5606">
      <c r="A5606" s="48" t="s">
        <v>8752</v>
      </c>
      <c r="B5606" s="38">
        <v>6133.0</v>
      </c>
      <c r="C5606" s="38" t="s">
        <v>8753</v>
      </c>
      <c r="D5606" s="38" t="str">
        <f>IFERROR(__xludf.DUMMYFUNCTION("REGEXREPLACE(C5606,""-\d+(.*)|--\d+(.*)"","""")"),"SAUZE")</f>
        <v>SAUZE</v>
      </c>
      <c r="E5606" s="38" t="s">
        <v>227</v>
      </c>
      <c r="F5606" s="38" t="s">
        <v>228</v>
      </c>
      <c r="G5606" s="49" t="str">
        <f t="shared" si="1"/>
        <v>06470</v>
      </c>
      <c r="H5606" s="49" t="str">
        <f t="shared" si="2"/>
        <v>06133</v>
      </c>
    </row>
    <row r="5607">
      <c r="A5607" s="48" t="s">
        <v>8754</v>
      </c>
      <c r="B5607" s="38">
        <v>84053.0</v>
      </c>
      <c r="C5607" s="38" t="s">
        <v>8755</v>
      </c>
      <c r="D5607" s="38" t="str">
        <f>IFERROR(__xludf.DUMMYFUNCTION("REGEXREPLACE(C5607,""-\d+(.*)|--\d+(.*)"","""")"),"GRILLON")</f>
        <v>GRILLON</v>
      </c>
      <c r="E5607" s="38" t="s">
        <v>1026</v>
      </c>
      <c r="F5607" s="38" t="s">
        <v>228</v>
      </c>
      <c r="G5607" s="49" t="str">
        <f t="shared" si="1"/>
        <v>84600</v>
      </c>
      <c r="H5607" s="49">
        <f t="shared" si="2"/>
        <v>84053</v>
      </c>
    </row>
    <row r="5608">
      <c r="A5608" s="48" t="s">
        <v>972</v>
      </c>
      <c r="B5608" s="38">
        <v>37187.0</v>
      </c>
      <c r="C5608" s="38" t="s">
        <v>8756</v>
      </c>
      <c r="D5608" s="38" t="str">
        <f>IFERROR(__xludf.DUMMYFUNCTION("REGEXREPLACE(C5608,""-\d+(.*)|--\d+(.*)"","""")"),"PORTS")</f>
        <v>PORTS</v>
      </c>
      <c r="E5608" s="38" t="s">
        <v>205</v>
      </c>
      <c r="F5608" s="38" t="s">
        <v>123</v>
      </c>
      <c r="G5608" s="49" t="str">
        <f t="shared" si="1"/>
        <v>37800</v>
      </c>
      <c r="H5608" s="49">
        <f t="shared" si="2"/>
        <v>37187</v>
      </c>
    </row>
    <row r="5609">
      <c r="A5609" s="48" t="s">
        <v>8757</v>
      </c>
      <c r="B5609" s="38">
        <v>84103.0</v>
      </c>
      <c r="C5609" s="38" t="s">
        <v>8758</v>
      </c>
      <c r="D5609" s="38" t="str">
        <f>IFERROR(__xludf.DUMMYFUNCTION("REGEXREPLACE(C5609,""-\d+(.*)|--\d+(.*)"","""")"),"RUSTREL")</f>
        <v>RUSTREL</v>
      </c>
      <c r="E5609" s="38" t="s">
        <v>1026</v>
      </c>
      <c r="F5609" s="38" t="s">
        <v>228</v>
      </c>
      <c r="G5609" s="49" t="str">
        <f t="shared" si="1"/>
        <v>84400</v>
      </c>
      <c r="H5609" s="49">
        <f t="shared" si="2"/>
        <v>84103</v>
      </c>
    </row>
    <row r="5610">
      <c r="A5610" s="48" t="s">
        <v>618</v>
      </c>
      <c r="B5610" s="38">
        <v>54438.0</v>
      </c>
      <c r="C5610" s="38" t="s">
        <v>8759</v>
      </c>
      <c r="D5610" s="38" t="str">
        <f>IFERROR(__xludf.DUMMYFUNCTION("REGEXREPLACE(C5610,""-\d+(.*)|--\d+(.*)"","""")"),"PULNEY")</f>
        <v>PULNEY</v>
      </c>
      <c r="E5610" s="38" t="s">
        <v>548</v>
      </c>
      <c r="F5610" s="38" t="s">
        <v>195</v>
      </c>
      <c r="G5610" s="49" t="str">
        <f t="shared" si="1"/>
        <v>54115</v>
      </c>
      <c r="H5610" s="49">
        <f t="shared" si="2"/>
        <v>54438</v>
      </c>
    </row>
    <row r="5611">
      <c r="A5611" s="48" t="s">
        <v>1157</v>
      </c>
      <c r="B5611" s="38">
        <v>16303.0</v>
      </c>
      <c r="C5611" s="38" t="s">
        <v>8760</v>
      </c>
      <c r="D5611" s="38" t="str">
        <f>IFERROR(__xludf.DUMMYFUNCTION("REGEXREPLACE(C5611,""-\d+(.*)|--\d+(.*)"","""")"),"SAINT-BONNET")</f>
        <v>SAINT-BONNET</v>
      </c>
      <c r="E5611" s="38" t="s">
        <v>429</v>
      </c>
      <c r="F5611" s="38" t="s">
        <v>338</v>
      </c>
      <c r="G5611" s="49" t="str">
        <f t="shared" si="1"/>
        <v>16300</v>
      </c>
      <c r="H5611" s="49">
        <f t="shared" si="2"/>
        <v>16303</v>
      </c>
    </row>
    <row r="5612">
      <c r="A5612" s="48" t="s">
        <v>2712</v>
      </c>
      <c r="B5612" s="38">
        <v>72102.0</v>
      </c>
      <c r="C5612" s="38" t="s">
        <v>8761</v>
      </c>
      <c r="D5612" s="38" t="str">
        <f>IFERROR(__xludf.DUMMYFUNCTION("REGEXREPLACE(C5612,""-\d+(.*)|--\d+(.*)"","""")"),"COURCIVAL")</f>
        <v>COURCIVAL</v>
      </c>
      <c r="E5612" s="38" t="s">
        <v>521</v>
      </c>
      <c r="F5612" s="38" t="s">
        <v>180</v>
      </c>
      <c r="G5612" s="49" t="str">
        <f t="shared" si="1"/>
        <v>72110</v>
      </c>
      <c r="H5612" s="49">
        <f t="shared" si="2"/>
        <v>72102</v>
      </c>
    </row>
    <row r="5613">
      <c r="A5613" s="48" t="s">
        <v>3500</v>
      </c>
      <c r="B5613" s="38">
        <v>38134.0</v>
      </c>
      <c r="C5613" s="38" t="s">
        <v>8762</v>
      </c>
      <c r="D5613" s="38" t="str">
        <f>IFERROR(__xludf.DUMMYFUNCTION("REGEXREPLACE(C5613,""-\d+(.*)|--\d+(.*)"","""")"),"COUR-ET-BUIS")</f>
        <v>COUR-ET-BUIS</v>
      </c>
      <c r="E5613" s="38" t="s">
        <v>101</v>
      </c>
      <c r="F5613" s="38" t="s">
        <v>102</v>
      </c>
      <c r="G5613" s="49" t="str">
        <f t="shared" si="1"/>
        <v>38122</v>
      </c>
      <c r="H5613" s="49">
        <f t="shared" si="2"/>
        <v>38134</v>
      </c>
    </row>
    <row r="5614">
      <c r="A5614" s="48" t="s">
        <v>8173</v>
      </c>
      <c r="B5614" s="38">
        <v>43033.0</v>
      </c>
      <c r="C5614" s="38" t="s">
        <v>8763</v>
      </c>
      <c r="D5614" s="38" t="str">
        <f>IFERROR(__xludf.DUMMYFUNCTION("REGEXREPLACE(C5614,""-\d+(.*)|--\d+(.*)"","""")"),"BLESLE")</f>
        <v>BLESLE</v>
      </c>
      <c r="E5614" s="38" t="s">
        <v>332</v>
      </c>
      <c r="F5614" s="38" t="s">
        <v>161</v>
      </c>
      <c r="G5614" s="49" t="str">
        <f t="shared" si="1"/>
        <v>43450</v>
      </c>
      <c r="H5614" s="49">
        <f t="shared" si="2"/>
        <v>43033</v>
      </c>
    </row>
    <row r="5615">
      <c r="A5615" s="48" t="s">
        <v>932</v>
      </c>
      <c r="B5615" s="38">
        <v>17176.0</v>
      </c>
      <c r="C5615" s="38" t="s">
        <v>8764</v>
      </c>
      <c r="D5615" s="38" t="str">
        <f>IFERROR(__xludf.DUMMYFUNCTION("REGEXREPLACE(C5615,""-\d+(.*)|--\d+(.*)"","""")"),"GIBOURNE")</f>
        <v>GIBOURNE</v>
      </c>
      <c r="E5615" s="38" t="s">
        <v>488</v>
      </c>
      <c r="F5615" s="38" t="s">
        <v>338</v>
      </c>
      <c r="G5615" s="49" t="str">
        <f t="shared" si="1"/>
        <v>17160</v>
      </c>
      <c r="H5615" s="49">
        <f t="shared" si="2"/>
        <v>17176</v>
      </c>
    </row>
    <row r="5616">
      <c r="A5616" s="48" t="s">
        <v>3152</v>
      </c>
      <c r="B5616" s="38">
        <v>7040.0</v>
      </c>
      <c r="C5616" s="38" t="s">
        <v>8765</v>
      </c>
      <c r="D5616" s="38" t="str">
        <f>IFERROR(__xludf.DUMMYFUNCTION("REGEXREPLACE(C5616,""-\d+(.*)|--\d+(.*)"","""")"),"BOUCIEU-LE-ROI")</f>
        <v>BOUCIEU-LE-ROI</v>
      </c>
      <c r="E5616" s="38" t="s">
        <v>144</v>
      </c>
      <c r="F5616" s="38" t="s">
        <v>102</v>
      </c>
      <c r="G5616" s="49" t="str">
        <f t="shared" si="1"/>
        <v>07270</v>
      </c>
      <c r="H5616" s="49" t="str">
        <f t="shared" si="2"/>
        <v>07040</v>
      </c>
    </row>
    <row r="5617">
      <c r="A5617" s="48" t="s">
        <v>7954</v>
      </c>
      <c r="B5617" s="38">
        <v>40063.0</v>
      </c>
      <c r="C5617" s="38" t="s">
        <v>8766</v>
      </c>
      <c r="D5617" s="38" t="str">
        <f>IFERROR(__xludf.DUMMYFUNCTION("REGEXREPLACE(C5617,""-\d+(.*)|--\d+(.*)"","""")"),"CANDRESSE")</f>
        <v>CANDRESSE</v>
      </c>
      <c r="E5617" s="38" t="s">
        <v>281</v>
      </c>
      <c r="F5617" s="38" t="s">
        <v>252</v>
      </c>
      <c r="G5617" s="49" t="str">
        <f t="shared" si="1"/>
        <v>40180</v>
      </c>
      <c r="H5617" s="49">
        <f t="shared" si="2"/>
        <v>40063</v>
      </c>
    </row>
    <row r="5618">
      <c r="A5618" s="48" t="s">
        <v>1881</v>
      </c>
      <c r="B5618" s="38">
        <v>69171.0</v>
      </c>
      <c r="C5618" s="38" t="s">
        <v>8767</v>
      </c>
      <c r="D5618" s="38" t="str">
        <f>IFERROR(__xludf.DUMMYFUNCTION("REGEXREPLACE(C5618,""-\d+(.*)|--\d+(.*)"","""")"),"SAIN-BEL")</f>
        <v>SAIN-BEL</v>
      </c>
      <c r="E5618" s="38" t="s">
        <v>350</v>
      </c>
      <c r="F5618" s="38" t="s">
        <v>102</v>
      </c>
      <c r="G5618" s="49" t="str">
        <f t="shared" si="1"/>
        <v>69210</v>
      </c>
      <c r="H5618" s="49">
        <f t="shared" si="2"/>
        <v>69171</v>
      </c>
    </row>
    <row r="5619">
      <c r="A5619" s="48" t="s">
        <v>8768</v>
      </c>
      <c r="B5619" s="38">
        <v>30167.0</v>
      </c>
      <c r="C5619" s="38" t="s">
        <v>8769</v>
      </c>
      <c r="D5619" s="38" t="str">
        <f>IFERROR(__xludf.DUMMYFUNCTION("REGEXREPLACE(C5619,""-\d+(.*)|--\d+(.*)"","""")"),"MEYRANNES")</f>
        <v>MEYRANNES</v>
      </c>
      <c r="E5619" s="38" t="s">
        <v>526</v>
      </c>
      <c r="F5619" s="38" t="s">
        <v>119</v>
      </c>
      <c r="G5619" s="49" t="str">
        <f t="shared" si="1"/>
        <v>30410</v>
      </c>
      <c r="H5619" s="49">
        <f t="shared" si="2"/>
        <v>30167</v>
      </c>
    </row>
    <row r="5620">
      <c r="A5620" s="48" t="s">
        <v>1481</v>
      </c>
      <c r="B5620" s="38">
        <v>2664.0</v>
      </c>
      <c r="C5620" s="38" t="s">
        <v>8770</v>
      </c>
      <c r="D5620" s="38" t="str">
        <f>IFERROR(__xludf.DUMMYFUNCTION("REGEXREPLACE(C5620,""-\d+(.*)|--\d+(.*)"","""")"),"ROZOY-BELLEVALLE")</f>
        <v>ROZOY-BELLEVALLE</v>
      </c>
      <c r="E5620" s="38" t="s">
        <v>191</v>
      </c>
      <c r="F5620" s="38" t="s">
        <v>113</v>
      </c>
      <c r="G5620" s="49" t="str">
        <f t="shared" si="1"/>
        <v>02540</v>
      </c>
      <c r="H5620" s="49" t="str">
        <f t="shared" si="2"/>
        <v>02664</v>
      </c>
    </row>
    <row r="5621">
      <c r="A5621" s="48" t="s">
        <v>1731</v>
      </c>
      <c r="B5621" s="38">
        <v>38260.0</v>
      </c>
      <c r="C5621" s="38" t="s">
        <v>8771</v>
      </c>
      <c r="D5621" s="38" t="str">
        <f>IFERROR(__xludf.DUMMYFUNCTION("REGEXREPLACE(C5621,""-\d+(.*)|--\d+(.*)"","""")"),"MORAS")</f>
        <v>MORAS</v>
      </c>
      <c r="E5621" s="38" t="s">
        <v>101</v>
      </c>
      <c r="F5621" s="38" t="s">
        <v>102</v>
      </c>
      <c r="G5621" s="49" t="str">
        <f t="shared" si="1"/>
        <v>38460</v>
      </c>
      <c r="H5621" s="49">
        <f t="shared" si="2"/>
        <v>38260</v>
      </c>
    </row>
    <row r="5622">
      <c r="A5622" s="48" t="s">
        <v>4121</v>
      </c>
      <c r="B5622" s="38">
        <v>11439.0</v>
      </c>
      <c r="C5622" s="38" t="s">
        <v>8772</v>
      </c>
      <c r="D5622" s="38" t="str">
        <f>IFERROR(__xludf.DUMMYFUNCTION("REGEXREPLACE(C5622,""-\d+(.*)|--\d+(.*)"","""")"),"VILLESPY")</f>
        <v>VILLESPY</v>
      </c>
      <c r="E5622" s="38" t="s">
        <v>278</v>
      </c>
      <c r="F5622" s="38" t="s">
        <v>119</v>
      </c>
      <c r="G5622" s="49" t="str">
        <f t="shared" si="1"/>
        <v>11170</v>
      </c>
      <c r="H5622" s="49">
        <f t="shared" si="2"/>
        <v>11439</v>
      </c>
    </row>
    <row r="5623">
      <c r="A5623" s="48" t="s">
        <v>1435</v>
      </c>
      <c r="B5623" s="38">
        <v>14694.0</v>
      </c>
      <c r="C5623" s="38" t="s">
        <v>8773</v>
      </c>
      <c r="D5623" s="38" t="str">
        <f>IFERROR(__xludf.DUMMYFUNCTION("REGEXREPLACE(C5623,""-\d+(.*)|--\d+(.*)"","""")"),"LE TORQUESNE")</f>
        <v>LE TORQUESNE</v>
      </c>
      <c r="E5623" s="38" t="s">
        <v>137</v>
      </c>
      <c r="F5623" s="38" t="s">
        <v>138</v>
      </c>
      <c r="G5623" s="49" t="str">
        <f t="shared" si="1"/>
        <v>14130</v>
      </c>
      <c r="H5623" s="49">
        <f t="shared" si="2"/>
        <v>14694</v>
      </c>
    </row>
    <row r="5624">
      <c r="A5624" s="48" t="s">
        <v>2781</v>
      </c>
      <c r="B5624" s="38">
        <v>6115.0</v>
      </c>
      <c r="C5624" s="38" t="s">
        <v>8624</v>
      </c>
      <c r="D5624" s="38" t="str">
        <f>IFERROR(__xludf.DUMMYFUNCTION("REGEXREPLACE(C5624,""-\d+(.*)|--\d+(.*)"","""")"),"SAINT-ANTONIN")</f>
        <v>SAINT-ANTONIN</v>
      </c>
      <c r="E5624" s="38" t="s">
        <v>227</v>
      </c>
      <c r="F5624" s="38" t="s">
        <v>228</v>
      </c>
      <c r="G5624" s="49" t="str">
        <f t="shared" si="1"/>
        <v>06260</v>
      </c>
      <c r="H5624" s="49" t="str">
        <f t="shared" si="2"/>
        <v>06115</v>
      </c>
    </row>
    <row r="5625">
      <c r="A5625" s="48" t="s">
        <v>7140</v>
      </c>
      <c r="B5625" s="38">
        <v>3083.0</v>
      </c>
      <c r="C5625" s="38" t="s">
        <v>8774</v>
      </c>
      <c r="D5625" s="38" t="str">
        <f>IFERROR(__xludf.DUMMYFUNCTION("REGEXREPLACE(C5625,""-\d+(.*)|--\d+(.*)"","""")"),"CONTIGNY")</f>
        <v>CONTIGNY</v>
      </c>
      <c r="E5625" s="38" t="s">
        <v>160</v>
      </c>
      <c r="F5625" s="38" t="s">
        <v>161</v>
      </c>
      <c r="G5625" s="49" t="str">
        <f t="shared" si="1"/>
        <v>03500</v>
      </c>
      <c r="H5625" s="49" t="str">
        <f t="shared" si="2"/>
        <v>03083</v>
      </c>
    </row>
    <row r="5626">
      <c r="A5626" s="48" t="s">
        <v>8227</v>
      </c>
      <c r="B5626" s="38">
        <v>67089.0</v>
      </c>
      <c r="C5626" s="38" t="s">
        <v>8775</v>
      </c>
      <c r="D5626" s="38" t="str">
        <f>IFERROR(__xludf.DUMMYFUNCTION("REGEXREPLACE(C5626,""-\d+(.*)|--\d+(.*)"","""")"),"DETTWILLER")</f>
        <v>DETTWILLER</v>
      </c>
      <c r="E5626" s="38" t="s">
        <v>210</v>
      </c>
      <c r="F5626" s="38" t="s">
        <v>151</v>
      </c>
      <c r="G5626" s="49" t="str">
        <f t="shared" si="1"/>
        <v>67490</v>
      </c>
      <c r="H5626" s="49">
        <f t="shared" si="2"/>
        <v>67089</v>
      </c>
    </row>
    <row r="5627">
      <c r="A5627" s="48" t="s">
        <v>4840</v>
      </c>
      <c r="B5627" s="38">
        <v>16191.0</v>
      </c>
      <c r="C5627" s="38" t="s">
        <v>8776</v>
      </c>
      <c r="D5627" s="38" t="str">
        <f>IFERROR(__xludf.DUMMYFUNCTION("REGEXREPLACE(C5627,""-\d+(.*)|--\d+(.*)"","""")"),"LONNES")</f>
        <v>LONNES</v>
      </c>
      <c r="E5627" s="38" t="s">
        <v>429</v>
      </c>
      <c r="F5627" s="38" t="s">
        <v>338</v>
      </c>
      <c r="G5627" s="49" t="str">
        <f t="shared" si="1"/>
        <v>16230</v>
      </c>
      <c r="H5627" s="49">
        <f t="shared" si="2"/>
        <v>16191</v>
      </c>
    </row>
    <row r="5628">
      <c r="A5628" s="48" t="s">
        <v>4586</v>
      </c>
      <c r="B5628" s="38">
        <v>40119.0</v>
      </c>
      <c r="C5628" s="38" t="s">
        <v>8777</v>
      </c>
      <c r="D5628" s="38" t="str">
        <f>IFERROR(__xludf.DUMMYFUNCTION("REGEXREPLACE(C5628,""-\d+(.*)|--\d+(.*)"","""")"),"HAGETMAU")</f>
        <v>HAGETMAU</v>
      </c>
      <c r="E5628" s="38" t="s">
        <v>281</v>
      </c>
      <c r="F5628" s="38" t="s">
        <v>252</v>
      </c>
      <c r="G5628" s="49" t="str">
        <f t="shared" si="1"/>
        <v>40700</v>
      </c>
      <c r="H5628" s="49">
        <f t="shared" si="2"/>
        <v>40119</v>
      </c>
    </row>
    <row r="5629">
      <c r="A5629" s="48" t="s">
        <v>1441</v>
      </c>
      <c r="B5629" s="38">
        <v>52392.0</v>
      </c>
      <c r="C5629" s="38" t="s">
        <v>8778</v>
      </c>
      <c r="D5629" s="38" t="str">
        <f>IFERROR(__xludf.DUMMYFUNCTION("REGEXREPLACE(C5629,""-\d+(.*)|--\d+(.*)"","""")"),"PLESNOY")</f>
        <v>PLESNOY</v>
      </c>
      <c r="E5629" s="38" t="s">
        <v>234</v>
      </c>
      <c r="F5629" s="38" t="s">
        <v>130</v>
      </c>
      <c r="G5629" s="49" t="str">
        <f t="shared" si="1"/>
        <v>52360</v>
      </c>
      <c r="H5629" s="49">
        <f t="shared" si="2"/>
        <v>52392</v>
      </c>
    </row>
    <row r="5630">
      <c r="A5630" s="48" t="s">
        <v>8779</v>
      </c>
      <c r="B5630" s="38">
        <v>45248.0</v>
      </c>
      <c r="C5630" s="38" t="s">
        <v>8780</v>
      </c>
      <c r="D5630" s="38" t="str">
        <f>IFERROR(__xludf.DUMMYFUNCTION("REGEXREPLACE(C5630,""-\d+(.*)|--\d+(.*)"","""")"),"PATAY")</f>
        <v>PATAY</v>
      </c>
      <c r="E5630" s="38" t="s">
        <v>122</v>
      </c>
      <c r="F5630" s="38" t="s">
        <v>123</v>
      </c>
      <c r="G5630" s="49" t="str">
        <f t="shared" si="1"/>
        <v>45310</v>
      </c>
      <c r="H5630" s="49">
        <f t="shared" si="2"/>
        <v>45248</v>
      </c>
    </row>
    <row r="5631">
      <c r="A5631" s="48" t="s">
        <v>3080</v>
      </c>
      <c r="B5631" s="38">
        <v>71133.0</v>
      </c>
      <c r="C5631" s="38" t="s">
        <v>8781</v>
      </c>
      <c r="D5631" s="38" t="str">
        <f>IFERROR(__xludf.DUMMYFUNCTION("REGEXREPLACE(C5631,""-\d+(.*)|--\d+(.*)"","""")"),"LA CLAYETTE")</f>
        <v>LA CLAYETTE</v>
      </c>
      <c r="E5631" s="38" t="s">
        <v>344</v>
      </c>
      <c r="F5631" s="38" t="s">
        <v>106</v>
      </c>
      <c r="G5631" s="49" t="str">
        <f t="shared" si="1"/>
        <v>71800</v>
      </c>
      <c r="H5631" s="49">
        <f t="shared" si="2"/>
        <v>71133</v>
      </c>
    </row>
    <row r="5632">
      <c r="A5632" s="48" t="s">
        <v>8782</v>
      </c>
      <c r="B5632" s="38">
        <v>44035.0</v>
      </c>
      <c r="C5632" s="38" t="s">
        <v>8783</v>
      </c>
      <c r="D5632" s="38" t="str">
        <f>IFERROR(__xludf.DUMMYFUNCTION("REGEXREPLACE(C5632,""-\d+(.*)|--\d+(.*)"","""")"),"LA CHAPELLE-SUR-ERDRE")</f>
        <v>LA CHAPELLE-SUR-ERDRE</v>
      </c>
      <c r="E5632" s="38" t="s">
        <v>759</v>
      </c>
      <c r="F5632" s="38" t="s">
        <v>180</v>
      </c>
      <c r="G5632" s="49" t="str">
        <f t="shared" si="1"/>
        <v>44240</v>
      </c>
      <c r="H5632" s="49">
        <f t="shared" si="2"/>
        <v>44035</v>
      </c>
    </row>
    <row r="5633">
      <c r="A5633" s="48" t="s">
        <v>8784</v>
      </c>
      <c r="B5633" s="38">
        <v>33097.0</v>
      </c>
      <c r="C5633" s="38" t="s">
        <v>8785</v>
      </c>
      <c r="D5633" s="38" t="str">
        <f>IFERROR(__xludf.DUMMYFUNCTION("REGEXREPLACE(C5633,""-\d+(.*)|--\d+(.*)"","""")"),"CARCANS")</f>
        <v>CARCANS</v>
      </c>
      <c r="E5633" s="38" t="s">
        <v>462</v>
      </c>
      <c r="F5633" s="38" t="s">
        <v>252</v>
      </c>
      <c r="G5633" s="49" t="str">
        <f t="shared" si="1"/>
        <v>33121</v>
      </c>
      <c r="H5633" s="49">
        <f t="shared" si="2"/>
        <v>33097</v>
      </c>
    </row>
    <row r="5634">
      <c r="A5634" s="48" t="s">
        <v>8786</v>
      </c>
      <c r="B5634" s="38">
        <v>44186.0</v>
      </c>
      <c r="C5634" s="38" t="s">
        <v>8787</v>
      </c>
      <c r="D5634" s="38" t="str">
        <f>IFERROR(__xludf.DUMMYFUNCTION("REGEXREPLACE(C5634,""-\d+(.*)|--\d+(.*)"","""")"),"SAINTE-PAZANNE")</f>
        <v>SAINTE-PAZANNE</v>
      </c>
      <c r="E5634" s="38" t="s">
        <v>759</v>
      </c>
      <c r="F5634" s="38" t="s">
        <v>180</v>
      </c>
      <c r="G5634" s="49" t="str">
        <f t="shared" si="1"/>
        <v>44680</v>
      </c>
      <c r="H5634" s="49">
        <f t="shared" si="2"/>
        <v>44186</v>
      </c>
    </row>
    <row r="5635">
      <c r="A5635" s="48" t="s">
        <v>8788</v>
      </c>
      <c r="B5635" s="38">
        <v>59322.0</v>
      </c>
      <c r="C5635" s="38" t="s">
        <v>8789</v>
      </c>
      <c r="D5635" s="38" t="str">
        <f>IFERROR(__xludf.DUMMYFUNCTION("REGEXREPLACE(C5635,""-\d+(.*)|--\d+(.*)"","""")"),"IWUY")</f>
        <v>IWUY</v>
      </c>
      <c r="E5635" s="38" t="s">
        <v>85</v>
      </c>
      <c r="F5635" s="38" t="s">
        <v>86</v>
      </c>
      <c r="G5635" s="49" t="str">
        <f t="shared" si="1"/>
        <v>59141</v>
      </c>
      <c r="H5635" s="49">
        <f t="shared" si="2"/>
        <v>59322</v>
      </c>
    </row>
    <row r="5636">
      <c r="A5636" s="48" t="s">
        <v>8790</v>
      </c>
      <c r="B5636" s="38">
        <v>42276.0</v>
      </c>
      <c r="C5636" s="38" t="s">
        <v>8791</v>
      </c>
      <c r="D5636" s="38" t="str">
        <f>IFERROR(__xludf.DUMMYFUNCTION("REGEXREPLACE(C5636,""-\d+(.*)|--\d+(.*)"","""")"),"SAINT-PRIEST-LA-PRUGNE")</f>
        <v>SAINT-PRIEST-LA-PRUGNE</v>
      </c>
      <c r="E5636" s="38" t="s">
        <v>166</v>
      </c>
      <c r="F5636" s="38" t="s">
        <v>102</v>
      </c>
      <c r="G5636" s="49" t="str">
        <f t="shared" si="1"/>
        <v>42830</v>
      </c>
      <c r="H5636" s="49">
        <f t="shared" si="2"/>
        <v>42276</v>
      </c>
    </row>
    <row r="5637">
      <c r="A5637" s="48" t="s">
        <v>1334</v>
      </c>
      <c r="B5637" s="38">
        <v>7332.0</v>
      </c>
      <c r="C5637" s="38" t="s">
        <v>8792</v>
      </c>
      <c r="D5637" s="38" t="str">
        <f>IFERROR(__xludf.DUMMYFUNCTION("REGEXREPLACE(C5637,""-\d+(.*)|--\d+(.*)"","""")"),"VALVIGNERES")</f>
        <v>VALVIGNERES</v>
      </c>
      <c r="E5637" s="38" t="s">
        <v>144</v>
      </c>
      <c r="F5637" s="38" t="s">
        <v>102</v>
      </c>
      <c r="G5637" s="49" t="str">
        <f t="shared" si="1"/>
        <v>07400</v>
      </c>
      <c r="H5637" s="49" t="str">
        <f t="shared" si="2"/>
        <v>07332</v>
      </c>
    </row>
    <row r="5638">
      <c r="A5638" s="48" t="s">
        <v>2219</v>
      </c>
      <c r="B5638" s="38">
        <v>2169.0</v>
      </c>
      <c r="C5638" s="38" t="s">
        <v>8793</v>
      </c>
      <c r="D5638" s="38" t="str">
        <f>IFERROR(__xludf.DUMMYFUNCTION("REGEXREPLACE(C5638,""-\d+(.*)|--\d+(.*)"","""")"),"CHATILLON-LES-SONS")</f>
        <v>CHATILLON-LES-SONS</v>
      </c>
      <c r="E5638" s="38" t="s">
        <v>191</v>
      </c>
      <c r="F5638" s="38" t="s">
        <v>113</v>
      </c>
      <c r="G5638" s="49" t="str">
        <f t="shared" si="1"/>
        <v>02270</v>
      </c>
      <c r="H5638" s="49" t="str">
        <f t="shared" si="2"/>
        <v>02169</v>
      </c>
    </row>
    <row r="5639">
      <c r="A5639" s="48" t="s">
        <v>1744</v>
      </c>
      <c r="B5639" s="38">
        <v>31234.0</v>
      </c>
      <c r="C5639" s="38" t="s">
        <v>8794</v>
      </c>
      <c r="D5639" s="38" t="str">
        <f>IFERROR(__xludf.DUMMYFUNCTION("REGEXREPLACE(C5639,""-\d+(.*)|--\d+(.*)"","""")"),"LE GRES")</f>
        <v>LE GRES</v>
      </c>
      <c r="E5639" s="38" t="s">
        <v>93</v>
      </c>
      <c r="F5639" s="38" t="s">
        <v>94</v>
      </c>
      <c r="G5639" s="49" t="str">
        <f t="shared" si="1"/>
        <v>31480</v>
      </c>
      <c r="H5639" s="49">
        <f t="shared" si="2"/>
        <v>31234</v>
      </c>
    </row>
    <row r="5640">
      <c r="A5640" s="48" t="s">
        <v>5674</v>
      </c>
      <c r="B5640" s="38">
        <v>55015.0</v>
      </c>
      <c r="C5640" s="38" t="s">
        <v>8795</v>
      </c>
      <c r="D5640" s="38" t="str">
        <f>IFERROR(__xludf.DUMMYFUNCTION("REGEXREPLACE(C5640,""-\d+(.*)|--\d+(.*)"","""")"),"AULNOIS-EN-PERTHOIS")</f>
        <v>AULNOIS-EN-PERTHOIS</v>
      </c>
      <c r="E5640" s="38" t="s">
        <v>322</v>
      </c>
      <c r="F5640" s="38" t="s">
        <v>195</v>
      </c>
      <c r="G5640" s="49" t="str">
        <f t="shared" si="1"/>
        <v>55170</v>
      </c>
      <c r="H5640" s="49">
        <f t="shared" si="2"/>
        <v>55015</v>
      </c>
    </row>
    <row r="5641">
      <c r="A5641" s="48" t="s">
        <v>4826</v>
      </c>
      <c r="B5641" s="38">
        <v>57282.0</v>
      </c>
      <c r="C5641" s="38" t="s">
        <v>8796</v>
      </c>
      <c r="D5641" s="38" t="str">
        <f>IFERROR(__xludf.DUMMYFUNCTION("REGEXREPLACE(C5641,""-\d+(.*)|--\d+(.*)"","""")"),"HAGEN")</f>
        <v>HAGEN</v>
      </c>
      <c r="E5641" s="38" t="s">
        <v>303</v>
      </c>
      <c r="F5641" s="38" t="s">
        <v>195</v>
      </c>
      <c r="G5641" s="49" t="str">
        <f t="shared" si="1"/>
        <v>57570</v>
      </c>
      <c r="H5641" s="49">
        <f t="shared" si="2"/>
        <v>57282</v>
      </c>
    </row>
    <row r="5642">
      <c r="A5642" s="48" t="s">
        <v>1659</v>
      </c>
      <c r="B5642" s="38">
        <v>45016.0</v>
      </c>
      <c r="C5642" s="38" t="s">
        <v>8797</v>
      </c>
      <c r="D5642" s="38" t="str">
        <f>IFERROR(__xludf.DUMMYFUNCTION("REGEXREPLACE(C5642,""-\d+(.*)|--\d+(.*)"","""")"),"AUTRY-LE-CHATEL")</f>
        <v>AUTRY-LE-CHATEL</v>
      </c>
      <c r="E5642" s="38" t="s">
        <v>122</v>
      </c>
      <c r="F5642" s="38" t="s">
        <v>123</v>
      </c>
      <c r="G5642" s="49" t="str">
        <f t="shared" si="1"/>
        <v>45500</v>
      </c>
      <c r="H5642" s="49">
        <f t="shared" si="2"/>
        <v>45016</v>
      </c>
    </row>
    <row r="5643">
      <c r="A5643" s="48" t="s">
        <v>2349</v>
      </c>
      <c r="B5643" s="38">
        <v>62230.0</v>
      </c>
      <c r="C5643" s="38" t="s">
        <v>8798</v>
      </c>
      <c r="D5643" s="38" t="str">
        <f>IFERROR(__xludf.DUMMYFUNCTION("REGEXREPLACE(C5643,""-\d+(.*)|--\d+(.*)"","""")"),"COLEMBERT")</f>
        <v>COLEMBERT</v>
      </c>
      <c r="E5643" s="38" t="s">
        <v>109</v>
      </c>
      <c r="F5643" s="38" t="s">
        <v>86</v>
      </c>
      <c r="G5643" s="49" t="str">
        <f t="shared" si="1"/>
        <v>62142</v>
      </c>
      <c r="H5643" s="49">
        <f t="shared" si="2"/>
        <v>62230</v>
      </c>
    </row>
    <row r="5644">
      <c r="A5644" s="48" t="s">
        <v>2374</v>
      </c>
      <c r="B5644" s="38">
        <v>58167.0</v>
      </c>
      <c r="C5644" s="38" t="s">
        <v>8799</v>
      </c>
      <c r="D5644" s="38" t="str">
        <f>IFERROR(__xludf.DUMMYFUNCTION("REGEXREPLACE(C5644,""-\d+(.*)|--\d+(.*)"","""")"),"MICHAUGUES")</f>
        <v>MICHAUGUES</v>
      </c>
      <c r="E5644" s="38" t="s">
        <v>219</v>
      </c>
      <c r="F5644" s="38" t="s">
        <v>106</v>
      </c>
      <c r="G5644" s="49" t="str">
        <f t="shared" si="1"/>
        <v>58420</v>
      </c>
      <c r="H5644" s="49">
        <f t="shared" si="2"/>
        <v>58167</v>
      </c>
    </row>
    <row r="5645">
      <c r="A5645" s="48" t="s">
        <v>8800</v>
      </c>
      <c r="B5645" s="38">
        <v>6138.0</v>
      </c>
      <c r="C5645" s="38" t="s">
        <v>8801</v>
      </c>
      <c r="D5645" s="38" t="str">
        <f>IFERROR(__xludf.DUMMYFUNCTION("REGEXREPLACE(C5645,""-\d+(.*)|--\d+(.*)"","""")"),"THEOULE-SUR-MER")</f>
        <v>THEOULE-SUR-MER</v>
      </c>
      <c r="E5645" s="38" t="s">
        <v>227</v>
      </c>
      <c r="F5645" s="38" t="s">
        <v>228</v>
      </c>
      <c r="G5645" s="49" t="str">
        <f t="shared" si="1"/>
        <v>06590</v>
      </c>
      <c r="H5645" s="49" t="str">
        <f t="shared" si="2"/>
        <v>06138</v>
      </c>
    </row>
    <row r="5646">
      <c r="A5646" s="48" t="s">
        <v>8802</v>
      </c>
      <c r="B5646" s="38">
        <v>17093.0</v>
      </c>
      <c r="C5646" s="38" t="s">
        <v>8803</v>
      </c>
      <c r="D5646" s="38" t="str">
        <f>IFERROR(__xludf.DUMMYFUNCTION("REGEXREPLACE(C5646,""-\d+(.*)|--\d+(.*)"","""")"),"LE CHATEAU-D'OLERON")</f>
        <v>LE CHATEAU-D'OLERON</v>
      </c>
      <c r="E5646" s="38" t="s">
        <v>488</v>
      </c>
      <c r="F5646" s="38" t="s">
        <v>338</v>
      </c>
      <c r="G5646" s="49" t="str">
        <f t="shared" si="1"/>
        <v>17480</v>
      </c>
      <c r="H5646" s="49">
        <f t="shared" si="2"/>
        <v>17093</v>
      </c>
    </row>
    <row r="5647">
      <c r="A5647" s="48" t="s">
        <v>6945</v>
      </c>
      <c r="B5647" s="38">
        <v>80585.0</v>
      </c>
      <c r="C5647" s="38" t="s">
        <v>8804</v>
      </c>
      <c r="D5647" s="38" t="str">
        <f>IFERROR(__xludf.DUMMYFUNCTION("REGEXREPLACE(C5647,""-\d+(.*)|--\d+(.*)"","""")"),"NESLE")</f>
        <v>NESLE</v>
      </c>
      <c r="E5647" s="38" t="s">
        <v>224</v>
      </c>
      <c r="F5647" s="38" t="s">
        <v>113</v>
      </c>
      <c r="G5647" s="49" t="str">
        <f t="shared" si="1"/>
        <v>80190</v>
      </c>
      <c r="H5647" s="49">
        <f t="shared" si="2"/>
        <v>80585</v>
      </c>
    </row>
    <row r="5648">
      <c r="A5648" s="48" t="s">
        <v>5030</v>
      </c>
      <c r="B5648" s="38">
        <v>65216.0</v>
      </c>
      <c r="C5648" s="38" t="s">
        <v>8805</v>
      </c>
      <c r="D5648" s="38" t="str">
        <f>IFERROR(__xludf.DUMMYFUNCTION("REGEXREPLACE(C5648,""-\d+(.*)|--\d+(.*)"","""")"),"HAUBAN")</f>
        <v>HAUBAN</v>
      </c>
      <c r="E5648" s="38" t="s">
        <v>200</v>
      </c>
      <c r="F5648" s="38" t="s">
        <v>94</v>
      </c>
      <c r="G5648" s="49" t="str">
        <f t="shared" si="1"/>
        <v>65200</v>
      </c>
      <c r="H5648" s="49">
        <f t="shared" si="2"/>
        <v>65216</v>
      </c>
    </row>
    <row r="5649">
      <c r="A5649" s="48" t="s">
        <v>8806</v>
      </c>
      <c r="B5649" s="38">
        <v>5020.0</v>
      </c>
      <c r="C5649" s="38" t="s">
        <v>8807</v>
      </c>
      <c r="D5649" s="38" t="str">
        <f>IFERROR(__xludf.DUMMYFUNCTION("REGEXREPLACE(C5649,""-\d+(.*)|--\d+(.*)"","""")"),"BENEVENT-ET-CHARBILLAC")</f>
        <v>BENEVENT-ET-CHARBILLAC</v>
      </c>
      <c r="E5649" s="38" t="s">
        <v>706</v>
      </c>
      <c r="F5649" s="38" t="s">
        <v>228</v>
      </c>
      <c r="G5649" s="49" t="str">
        <f t="shared" si="1"/>
        <v>05500</v>
      </c>
      <c r="H5649" s="49" t="str">
        <f t="shared" si="2"/>
        <v>05020</v>
      </c>
    </row>
    <row r="5650">
      <c r="A5650" s="48" t="s">
        <v>8808</v>
      </c>
      <c r="B5650" s="38">
        <v>44187.0</v>
      </c>
      <c r="C5650" s="38" t="s">
        <v>8809</v>
      </c>
      <c r="D5650" s="38" t="str">
        <f>IFERROR(__xludf.DUMMYFUNCTION("REGEXREPLACE(C5650,""-\d+(.*)|--\d+(.*)"","""")"),"SAINT-PERE-EN-RETZ")</f>
        <v>SAINT-PERE-EN-RETZ</v>
      </c>
      <c r="E5650" s="38" t="s">
        <v>759</v>
      </c>
      <c r="F5650" s="38" t="s">
        <v>180</v>
      </c>
      <c r="G5650" s="49" t="str">
        <f t="shared" si="1"/>
        <v>44320</v>
      </c>
      <c r="H5650" s="49">
        <f t="shared" si="2"/>
        <v>44187</v>
      </c>
    </row>
    <row r="5651">
      <c r="A5651" s="48" t="s">
        <v>8810</v>
      </c>
      <c r="B5651" s="38">
        <v>63157.0</v>
      </c>
      <c r="C5651" s="38" t="s">
        <v>8811</v>
      </c>
      <c r="D5651" s="38" t="str">
        <f>IFERROR(__xludf.DUMMYFUNCTION("REGEXREPLACE(C5651,""-\d+(.*)|--\d+(.*)"","""")"),"FAYET-LE-CHATEAU")</f>
        <v>FAYET-LE-CHATEAU</v>
      </c>
      <c r="E5651" s="38" t="s">
        <v>353</v>
      </c>
      <c r="F5651" s="38" t="s">
        <v>161</v>
      </c>
      <c r="G5651" s="49" t="str">
        <f t="shared" si="1"/>
        <v>63160</v>
      </c>
      <c r="H5651" s="49">
        <f t="shared" si="2"/>
        <v>63157</v>
      </c>
    </row>
    <row r="5652">
      <c r="A5652" s="48" t="s">
        <v>1243</v>
      </c>
      <c r="B5652" s="38">
        <v>15006.0</v>
      </c>
      <c r="C5652" s="38" t="s">
        <v>8812</v>
      </c>
      <c r="D5652" s="38" t="str">
        <f>IFERROR(__xludf.DUMMYFUNCTION("REGEXREPLACE(C5652,""-\d+(.*)|--\d+(.*)"","""")"),"ANGLARDS-DE-SALERS")</f>
        <v>ANGLARDS-DE-SALERS</v>
      </c>
      <c r="E5652" s="38" t="s">
        <v>632</v>
      </c>
      <c r="F5652" s="38" t="s">
        <v>161</v>
      </c>
      <c r="G5652" s="49" t="str">
        <f t="shared" si="1"/>
        <v>15380</v>
      </c>
      <c r="H5652" s="49">
        <f t="shared" si="2"/>
        <v>15006</v>
      </c>
    </row>
    <row r="5653">
      <c r="A5653" s="48" t="s">
        <v>2243</v>
      </c>
      <c r="B5653" s="38">
        <v>17334.0</v>
      </c>
      <c r="C5653" s="38" t="s">
        <v>8813</v>
      </c>
      <c r="D5653" s="38" t="str">
        <f>IFERROR(__xludf.DUMMYFUNCTION("REGEXREPLACE(C5653,""-\d+(.*)|--\d+(.*)"","""")"),"SAINT-GEORGES-DE-LONGUEPIERRE")</f>
        <v>SAINT-GEORGES-DE-LONGUEPIERRE</v>
      </c>
      <c r="E5653" s="38" t="s">
        <v>488</v>
      </c>
      <c r="F5653" s="38" t="s">
        <v>338</v>
      </c>
      <c r="G5653" s="49" t="str">
        <f t="shared" si="1"/>
        <v>17470</v>
      </c>
      <c r="H5653" s="49">
        <f t="shared" si="2"/>
        <v>17334</v>
      </c>
    </row>
    <row r="5654">
      <c r="A5654" s="48" t="s">
        <v>2611</v>
      </c>
      <c r="B5654" s="38">
        <v>40142.0</v>
      </c>
      <c r="C5654" s="38" t="s">
        <v>8814</v>
      </c>
      <c r="D5654" s="38" t="str">
        <f>IFERROR(__xludf.DUMMYFUNCTION("REGEXREPLACE(C5654,""-\d+(.*)|--\d+(.*)"","""")"),"LALUQUE")</f>
        <v>LALUQUE</v>
      </c>
      <c r="E5654" s="38" t="s">
        <v>281</v>
      </c>
      <c r="F5654" s="38" t="s">
        <v>252</v>
      </c>
      <c r="G5654" s="49" t="str">
        <f t="shared" si="1"/>
        <v>40465</v>
      </c>
      <c r="H5654" s="49">
        <f t="shared" si="2"/>
        <v>40142</v>
      </c>
    </row>
    <row r="5655">
      <c r="A5655" s="48" t="s">
        <v>1262</v>
      </c>
      <c r="B5655" s="38">
        <v>11382.0</v>
      </c>
      <c r="C5655" s="38" t="s">
        <v>8815</v>
      </c>
      <c r="D5655" s="38" t="str">
        <f>IFERROR(__xludf.DUMMYFUNCTION("REGEXREPLACE(C5655,""-\d+(.*)|--\d+(.*)"","""")"),"SOUILHANELS")</f>
        <v>SOUILHANELS</v>
      </c>
      <c r="E5655" s="38" t="s">
        <v>278</v>
      </c>
      <c r="F5655" s="38" t="s">
        <v>119</v>
      </c>
      <c r="G5655" s="49" t="str">
        <f t="shared" si="1"/>
        <v>11400</v>
      </c>
      <c r="H5655" s="49">
        <f t="shared" si="2"/>
        <v>11382</v>
      </c>
    </row>
    <row r="5656">
      <c r="A5656" s="48" t="s">
        <v>8816</v>
      </c>
      <c r="B5656" s="38">
        <v>69058.0</v>
      </c>
      <c r="C5656" s="38" t="s">
        <v>8817</v>
      </c>
      <c r="D5656" s="38" t="str">
        <f>IFERROR(__xludf.DUMMYFUNCTION("REGEXREPLACE(C5656,""-\d+(.*)|--\d+(.*)"","""")"),"CHIROUBLES")</f>
        <v>CHIROUBLES</v>
      </c>
      <c r="E5656" s="38" t="s">
        <v>350</v>
      </c>
      <c r="F5656" s="38" t="s">
        <v>102</v>
      </c>
      <c r="G5656" s="49" t="str">
        <f t="shared" si="1"/>
        <v>69115</v>
      </c>
      <c r="H5656" s="49">
        <f t="shared" si="2"/>
        <v>69058</v>
      </c>
    </row>
    <row r="5657">
      <c r="A5657" s="48" t="s">
        <v>2848</v>
      </c>
      <c r="B5657" s="38">
        <v>51563.0</v>
      </c>
      <c r="C5657" s="38" t="s">
        <v>8818</v>
      </c>
      <c r="D5657" s="38" t="str">
        <f>IFERROR(__xludf.DUMMYFUNCTION("REGEXREPLACE(C5657,""-\d+(.*)|--\d+(.*)"","""")"),"TALUS-SAINT-PRIX")</f>
        <v>TALUS-SAINT-PRIX</v>
      </c>
      <c r="E5657" s="38" t="s">
        <v>129</v>
      </c>
      <c r="F5657" s="38" t="s">
        <v>130</v>
      </c>
      <c r="G5657" s="49" t="str">
        <f t="shared" si="1"/>
        <v>51270</v>
      </c>
      <c r="H5657" s="49">
        <f t="shared" si="2"/>
        <v>51563</v>
      </c>
    </row>
    <row r="5658">
      <c r="A5658" s="48" t="s">
        <v>3450</v>
      </c>
      <c r="B5658" s="38">
        <v>60117.0</v>
      </c>
      <c r="C5658" s="38" t="s">
        <v>8819</v>
      </c>
      <c r="D5658" s="38" t="str">
        <f>IFERROR(__xludf.DUMMYFUNCTION("REGEXREPLACE(C5658,""-\d+(.*)|--\d+(.*)"","""")"),"BUSSY")</f>
        <v>BUSSY</v>
      </c>
      <c r="E5658" s="38" t="s">
        <v>112</v>
      </c>
      <c r="F5658" s="38" t="s">
        <v>113</v>
      </c>
      <c r="G5658" s="49" t="str">
        <f t="shared" si="1"/>
        <v>60400</v>
      </c>
      <c r="H5658" s="49">
        <f t="shared" si="2"/>
        <v>60117</v>
      </c>
    </row>
    <row r="5659">
      <c r="A5659" s="48" t="s">
        <v>676</v>
      </c>
      <c r="B5659" s="38">
        <v>81321.0</v>
      </c>
      <c r="C5659" s="38" t="s">
        <v>8820</v>
      </c>
      <c r="D5659" s="38" t="str">
        <f>IFERROR(__xludf.DUMMYFUNCTION("REGEXREPLACE(C5659,""-\d+(.*)|--\d+(.*)"","""")"),"LE VINTROU")</f>
        <v>LE VINTROU</v>
      </c>
      <c r="E5659" s="38" t="s">
        <v>231</v>
      </c>
      <c r="F5659" s="38" t="s">
        <v>94</v>
      </c>
      <c r="G5659" s="49" t="str">
        <f t="shared" si="1"/>
        <v>81240</v>
      </c>
      <c r="H5659" s="49">
        <f t="shared" si="2"/>
        <v>81321</v>
      </c>
    </row>
    <row r="5660">
      <c r="A5660" s="48" t="s">
        <v>8821</v>
      </c>
      <c r="B5660" s="38">
        <v>26275.0</v>
      </c>
      <c r="C5660" s="38" t="s">
        <v>8822</v>
      </c>
      <c r="D5660" s="38" t="str">
        <f>IFERROR(__xludf.DUMMYFUNCTION("REGEXREPLACE(C5660,""-\d+(.*)|--\d+(.*)"","""")"),"ROCHEGUDE")</f>
        <v>ROCHEGUDE</v>
      </c>
      <c r="E5660" s="38" t="s">
        <v>126</v>
      </c>
      <c r="F5660" s="38" t="s">
        <v>102</v>
      </c>
      <c r="G5660" s="49" t="str">
        <f t="shared" si="1"/>
        <v>26790</v>
      </c>
      <c r="H5660" s="49">
        <f t="shared" si="2"/>
        <v>26275</v>
      </c>
    </row>
    <row r="5661">
      <c r="A5661" s="48" t="s">
        <v>4834</v>
      </c>
      <c r="B5661" s="38">
        <v>27605.0</v>
      </c>
      <c r="C5661" s="38" t="s">
        <v>8823</v>
      </c>
      <c r="D5661" s="38" t="str">
        <f>IFERROR(__xludf.DUMMYFUNCTION("REGEXREPLACE(C5661,""-\d+(.*)|--\d+(.*)"","""")"),"SAINT-SYLVESTRE-DE-CORMEILLES")</f>
        <v>SAINT-SYLVESTRE-DE-CORMEILLES</v>
      </c>
      <c r="E5661" s="38" t="s">
        <v>241</v>
      </c>
      <c r="F5661" s="38" t="s">
        <v>134</v>
      </c>
      <c r="G5661" s="49" t="str">
        <f t="shared" si="1"/>
        <v>27260</v>
      </c>
      <c r="H5661" s="49">
        <f t="shared" si="2"/>
        <v>27605</v>
      </c>
    </row>
    <row r="5662">
      <c r="A5662" s="48" t="s">
        <v>288</v>
      </c>
      <c r="B5662" s="38">
        <v>3048.0</v>
      </c>
      <c r="C5662" s="38" t="s">
        <v>5294</v>
      </c>
      <c r="D5662" s="38" t="str">
        <f>IFERROR(__xludf.DUMMYFUNCTION("REGEXREPLACE(C5662,""-\d+(.*)|--\d+(.*)"","""")"),"CERILLY")</f>
        <v>CERILLY</v>
      </c>
      <c r="E5662" s="38" t="s">
        <v>160</v>
      </c>
      <c r="F5662" s="38" t="s">
        <v>161</v>
      </c>
      <c r="G5662" s="49" t="str">
        <f t="shared" si="1"/>
        <v>03350</v>
      </c>
      <c r="H5662" s="49" t="str">
        <f t="shared" si="2"/>
        <v>03048</v>
      </c>
    </row>
    <row r="5663">
      <c r="A5663" s="48" t="s">
        <v>3127</v>
      </c>
      <c r="B5663" s="38">
        <v>70056.0</v>
      </c>
      <c r="C5663" s="38" t="s">
        <v>8824</v>
      </c>
      <c r="D5663" s="38" t="str">
        <f>IFERROR(__xludf.DUMMYFUNCTION("REGEXREPLACE(C5663,""-\d+(.*)|--\d+(.*)"","""")"),"BAULAY")</f>
        <v>BAULAY</v>
      </c>
      <c r="E5663" s="38" t="s">
        <v>956</v>
      </c>
      <c r="F5663" s="38" t="s">
        <v>214</v>
      </c>
      <c r="G5663" s="49" t="str">
        <f t="shared" si="1"/>
        <v>70160</v>
      </c>
      <c r="H5663" s="49">
        <f t="shared" si="2"/>
        <v>70056</v>
      </c>
    </row>
    <row r="5664">
      <c r="A5664" s="48" t="s">
        <v>1354</v>
      </c>
      <c r="B5664" s="38">
        <v>28022.0</v>
      </c>
      <c r="C5664" s="38" t="s">
        <v>8825</v>
      </c>
      <c r="D5664" s="38" t="str">
        <f>IFERROR(__xludf.DUMMYFUNCTION("REGEXREPLACE(C5664,""-\d+(.*)|--\d+(.*)"","""")"),"BAILLEAU-L'EVEQUE")</f>
        <v>BAILLEAU-L'EVEQUE</v>
      </c>
      <c r="E5664" s="38" t="s">
        <v>300</v>
      </c>
      <c r="F5664" s="38" t="s">
        <v>123</v>
      </c>
      <c r="G5664" s="49" t="str">
        <f t="shared" si="1"/>
        <v>28300</v>
      </c>
      <c r="H5664" s="49">
        <f t="shared" si="2"/>
        <v>28022</v>
      </c>
    </row>
    <row r="5665">
      <c r="A5665" s="48" t="s">
        <v>8826</v>
      </c>
      <c r="B5665" s="38">
        <v>49194.0</v>
      </c>
      <c r="C5665" s="38" t="s">
        <v>8827</v>
      </c>
      <c r="D5665" s="38" t="str">
        <f>IFERROR(__xludf.DUMMYFUNCTION("REGEXREPLACE(C5665,""-\d+(.*)|--\d+(.*)"","""")"),"MAZE")</f>
        <v>MAZE</v>
      </c>
      <c r="E5665" s="38" t="s">
        <v>653</v>
      </c>
      <c r="F5665" s="38" t="s">
        <v>180</v>
      </c>
      <c r="G5665" s="49" t="str">
        <f t="shared" si="1"/>
        <v>49630</v>
      </c>
      <c r="H5665" s="49">
        <f t="shared" si="2"/>
        <v>49194</v>
      </c>
    </row>
    <row r="5666">
      <c r="A5666" s="48" t="s">
        <v>4787</v>
      </c>
      <c r="B5666" s="38">
        <v>62774.0</v>
      </c>
      <c r="C5666" s="38" t="s">
        <v>8828</v>
      </c>
      <c r="D5666" s="38" t="str">
        <f>IFERROR(__xludf.DUMMYFUNCTION("REGEXREPLACE(C5666,""-\d+(.*)|--\d+(.*)"","""")"),"SANGATTE")</f>
        <v>SANGATTE</v>
      </c>
      <c r="E5666" s="38" t="s">
        <v>109</v>
      </c>
      <c r="F5666" s="38" t="s">
        <v>86</v>
      </c>
      <c r="G5666" s="49" t="str">
        <f t="shared" si="1"/>
        <v>62231</v>
      </c>
      <c r="H5666" s="49">
        <f t="shared" si="2"/>
        <v>62774</v>
      </c>
    </row>
    <row r="5667">
      <c r="A5667" s="48" t="s">
        <v>8829</v>
      </c>
      <c r="B5667" s="38">
        <v>63389.0</v>
      </c>
      <c r="C5667" s="38" t="s">
        <v>8830</v>
      </c>
      <c r="D5667" s="38" t="str">
        <f>IFERROR(__xludf.DUMMYFUNCTION("REGEXREPLACE(C5667,""-\d+(.*)|--\d+(.*)"","""")"),"SAINT-QUENTIN-SUR-SAUXILLANGES")</f>
        <v>SAINT-QUENTIN-SUR-SAUXILLANGES</v>
      </c>
      <c r="E5667" s="38" t="s">
        <v>353</v>
      </c>
      <c r="F5667" s="38" t="s">
        <v>161</v>
      </c>
      <c r="G5667" s="49" t="str">
        <f t="shared" si="1"/>
        <v>63490</v>
      </c>
      <c r="H5667" s="49">
        <f t="shared" si="2"/>
        <v>63389</v>
      </c>
    </row>
    <row r="5668">
      <c r="A5668" s="48" t="s">
        <v>8831</v>
      </c>
      <c r="B5668" s="38">
        <v>15171.0</v>
      </c>
      <c r="C5668" s="38" t="s">
        <v>8832</v>
      </c>
      <c r="D5668" s="38" t="str">
        <f>IFERROR(__xludf.DUMMYFUNCTION("REGEXREPLACE(C5668,""-\d+(.*)|--\d+(.*)"","""")"),"SAINTE-ANASTASIE")</f>
        <v>SAINTE-ANASTASIE</v>
      </c>
      <c r="E5668" s="38" t="s">
        <v>632</v>
      </c>
      <c r="F5668" s="38" t="s">
        <v>161</v>
      </c>
      <c r="G5668" s="49" t="str">
        <f t="shared" si="1"/>
        <v>15170</v>
      </c>
      <c r="H5668" s="49">
        <f t="shared" si="2"/>
        <v>15171</v>
      </c>
    </row>
    <row r="5669">
      <c r="A5669" s="48" t="s">
        <v>2097</v>
      </c>
      <c r="B5669" s="38">
        <v>42143.0</v>
      </c>
      <c r="C5669" s="38" t="s">
        <v>8833</v>
      </c>
      <c r="D5669" s="38" t="str">
        <f>IFERROR(__xludf.DUMMYFUNCTION("REGEXREPLACE(C5669,""-\d+(.*)|--\d+(.*)"","""")"),"MIZERIEUX")</f>
        <v>MIZERIEUX</v>
      </c>
      <c r="E5669" s="38" t="s">
        <v>166</v>
      </c>
      <c r="F5669" s="38" t="s">
        <v>102</v>
      </c>
      <c r="G5669" s="49" t="str">
        <f t="shared" si="1"/>
        <v>42110</v>
      </c>
      <c r="H5669" s="49">
        <f t="shared" si="2"/>
        <v>42143</v>
      </c>
    </row>
    <row r="5670">
      <c r="A5670" s="48" t="s">
        <v>8834</v>
      </c>
      <c r="B5670" s="38">
        <v>51474.0</v>
      </c>
      <c r="C5670" s="38" t="s">
        <v>8835</v>
      </c>
      <c r="D5670" s="38" t="str">
        <f>IFERROR(__xludf.DUMMYFUNCTION("REGEXREPLACE(C5670,""-\d+(.*)|--\d+(.*)"","""")"),"SAINT-BRICE-COURCELLES")</f>
        <v>SAINT-BRICE-COURCELLES</v>
      </c>
      <c r="E5670" s="38" t="s">
        <v>129</v>
      </c>
      <c r="F5670" s="38" t="s">
        <v>130</v>
      </c>
      <c r="G5670" s="49" t="str">
        <f t="shared" si="1"/>
        <v>51370</v>
      </c>
      <c r="H5670" s="49">
        <f t="shared" si="2"/>
        <v>51474</v>
      </c>
    </row>
    <row r="5671">
      <c r="A5671" s="48" t="s">
        <v>6092</v>
      </c>
      <c r="B5671" s="38">
        <v>91661.0</v>
      </c>
      <c r="C5671" s="38" t="s">
        <v>8836</v>
      </c>
      <c r="D5671" s="38" t="str">
        <f>IFERROR(__xludf.DUMMYFUNCTION("REGEXREPLACE(C5671,""-\d+(.*)|--\d+(.*)"","""")"),"VILLEBON-SUR-YVETTE")</f>
        <v>VILLEBON-SUR-YVETTE</v>
      </c>
      <c r="E5671" s="38" t="s">
        <v>756</v>
      </c>
      <c r="F5671" s="38" t="s">
        <v>245</v>
      </c>
      <c r="G5671" s="49" t="str">
        <f t="shared" si="1"/>
        <v>91140</v>
      </c>
      <c r="H5671" s="49">
        <f t="shared" si="2"/>
        <v>91661</v>
      </c>
    </row>
    <row r="5672">
      <c r="A5672" s="48" t="s">
        <v>3075</v>
      </c>
      <c r="B5672" s="38">
        <v>46153.0</v>
      </c>
      <c r="C5672" s="38" t="s">
        <v>8837</v>
      </c>
      <c r="D5672" s="38" t="str">
        <f>IFERROR(__xludf.DUMMYFUNCTION("REGEXREPLACE(C5672,""-\d+(.*)|--\d+(.*)"","""")"),"LANZAC")</f>
        <v>LANZAC</v>
      </c>
      <c r="E5672" s="38" t="s">
        <v>185</v>
      </c>
      <c r="F5672" s="38" t="s">
        <v>94</v>
      </c>
      <c r="G5672" s="49" t="str">
        <f t="shared" si="1"/>
        <v>46200</v>
      </c>
      <c r="H5672" s="49">
        <f t="shared" si="2"/>
        <v>46153</v>
      </c>
    </row>
    <row r="5673">
      <c r="A5673" s="48" t="s">
        <v>5070</v>
      </c>
      <c r="B5673" s="38">
        <v>79122.0</v>
      </c>
      <c r="C5673" s="38" t="s">
        <v>8838</v>
      </c>
      <c r="D5673" s="38" t="str">
        <f>IFERROR(__xludf.DUMMYFUNCTION("REGEXREPLACE(C5673,""-\d+(.*)|--\d+(.*)"","""")"),"FONTENILLE-SAINT-MARTIN-D'ENTRAIGUES")</f>
        <v>FONTENILLE-SAINT-MARTIN-D'ENTRAIGUES</v>
      </c>
      <c r="E5673" s="38" t="s">
        <v>337</v>
      </c>
      <c r="F5673" s="38" t="s">
        <v>338</v>
      </c>
      <c r="G5673" s="49" t="str">
        <f t="shared" si="1"/>
        <v>79110</v>
      </c>
      <c r="H5673" s="49">
        <f t="shared" si="2"/>
        <v>79122</v>
      </c>
    </row>
    <row r="5674">
      <c r="A5674" s="48" t="s">
        <v>8839</v>
      </c>
      <c r="B5674" s="38">
        <v>53185.0</v>
      </c>
      <c r="C5674" s="38" t="s">
        <v>8840</v>
      </c>
      <c r="D5674" s="38" t="str">
        <f>IFERROR(__xludf.DUMMYFUNCTION("REGEXREPLACE(C5674,""-\d+(.*)|--\d+(.*)"","""")"),"PRE-EN-PAIL")</f>
        <v>PRE-EN-PAIL</v>
      </c>
      <c r="E5674" s="38" t="s">
        <v>518</v>
      </c>
      <c r="F5674" s="38" t="s">
        <v>180</v>
      </c>
      <c r="G5674" s="49" t="str">
        <f t="shared" si="1"/>
        <v>53140</v>
      </c>
      <c r="H5674" s="49">
        <f t="shared" si="2"/>
        <v>53185</v>
      </c>
    </row>
    <row r="5675">
      <c r="A5675" s="48" t="s">
        <v>4311</v>
      </c>
      <c r="B5675" s="38">
        <v>47290.0</v>
      </c>
      <c r="C5675" s="38" t="s">
        <v>8841</v>
      </c>
      <c r="D5675" s="38" t="str">
        <f>IFERROR(__xludf.DUMMYFUNCTION("REGEXREPLACE(C5675,""-\d+(.*)|--\d+(.*)"","""")"),"LA SAUVETAT-DU-DROPT")</f>
        <v>LA SAUVETAT-DU-DROPT</v>
      </c>
      <c r="E5675" s="38" t="s">
        <v>251</v>
      </c>
      <c r="F5675" s="38" t="s">
        <v>252</v>
      </c>
      <c r="G5675" s="49" t="str">
        <f t="shared" si="1"/>
        <v>47800</v>
      </c>
      <c r="H5675" s="49">
        <f t="shared" si="2"/>
        <v>47290</v>
      </c>
    </row>
    <row r="5676">
      <c r="A5676" s="48" t="s">
        <v>3951</v>
      </c>
      <c r="B5676" s="38">
        <v>24115.0</v>
      </c>
      <c r="C5676" s="38" t="s">
        <v>8842</v>
      </c>
      <c r="D5676" s="38" t="str">
        <f>IFERROR(__xludf.DUMMYFUNCTION("REGEXREPLACE(C5676,""-\d+(.*)|--\d+(.*)"","""")"),"CHATEAU-L'EVEQUE")</f>
        <v>CHATEAU-L'EVEQUE</v>
      </c>
      <c r="E5676" s="38" t="s">
        <v>261</v>
      </c>
      <c r="F5676" s="38" t="s">
        <v>252</v>
      </c>
      <c r="G5676" s="49" t="str">
        <f t="shared" si="1"/>
        <v>24460</v>
      </c>
      <c r="H5676" s="49">
        <f t="shared" si="2"/>
        <v>24115</v>
      </c>
    </row>
    <row r="5677">
      <c r="A5677" s="48" t="s">
        <v>573</v>
      </c>
      <c r="B5677" s="38">
        <v>65207.0</v>
      </c>
      <c r="C5677" s="38" t="s">
        <v>8843</v>
      </c>
      <c r="D5677" s="38" t="str">
        <f>IFERROR(__xludf.DUMMYFUNCTION("REGEXREPLACE(C5677,""-\d+(.*)|--\d+(.*)"","""")"),"GOURGUE")</f>
        <v>GOURGUE</v>
      </c>
      <c r="E5677" s="38" t="s">
        <v>200</v>
      </c>
      <c r="F5677" s="38" t="s">
        <v>94</v>
      </c>
      <c r="G5677" s="49" t="str">
        <f t="shared" si="1"/>
        <v>65130</v>
      </c>
      <c r="H5677" s="49">
        <f t="shared" si="2"/>
        <v>65207</v>
      </c>
    </row>
    <row r="5678">
      <c r="A5678" s="48" t="s">
        <v>3978</v>
      </c>
      <c r="B5678" s="38">
        <v>21273.0</v>
      </c>
      <c r="C5678" s="38" t="s">
        <v>8844</v>
      </c>
      <c r="D5678" s="38" t="str">
        <f>IFERROR(__xludf.DUMMYFUNCTION("REGEXREPLACE(C5678,""-\d+(.*)|--\d+(.*)"","""")"),"FLEUREY-SUR-OUCHE")</f>
        <v>FLEUREY-SUR-OUCHE</v>
      </c>
      <c r="E5678" s="38" t="s">
        <v>105</v>
      </c>
      <c r="F5678" s="38" t="s">
        <v>106</v>
      </c>
      <c r="G5678" s="49" t="str">
        <f t="shared" si="1"/>
        <v>21410</v>
      </c>
      <c r="H5678" s="49">
        <f t="shared" si="2"/>
        <v>21273</v>
      </c>
    </row>
    <row r="5679">
      <c r="A5679" s="48" t="s">
        <v>8845</v>
      </c>
      <c r="B5679" s="38">
        <v>8070.0</v>
      </c>
      <c r="C5679" s="38" t="s">
        <v>8846</v>
      </c>
      <c r="D5679" s="38" t="str">
        <f>IFERROR(__xludf.DUMMYFUNCTION("REGEXREPLACE(C5679,""-\d+(.*)|--\d+(.*)"","""")"),"BLANZY-LA-SALONNAISE")</f>
        <v>BLANZY-LA-SALONNAISE</v>
      </c>
      <c r="E5679" s="38" t="s">
        <v>327</v>
      </c>
      <c r="F5679" s="38" t="s">
        <v>130</v>
      </c>
      <c r="G5679" s="49" t="str">
        <f t="shared" si="1"/>
        <v>08190</v>
      </c>
      <c r="H5679" s="49" t="str">
        <f t="shared" si="2"/>
        <v>08070</v>
      </c>
    </row>
    <row r="5680">
      <c r="A5680" s="48" t="s">
        <v>8847</v>
      </c>
      <c r="B5680" s="38">
        <v>42032.0</v>
      </c>
      <c r="C5680" s="38" t="s">
        <v>8848</v>
      </c>
      <c r="D5680" s="38" t="str">
        <f>IFERROR(__xludf.DUMMYFUNCTION("REGEXREPLACE(C5680,""-\d+(.*)|--\d+(.*)"","""")"),"CELLIEU")</f>
        <v>CELLIEU</v>
      </c>
      <c r="E5680" s="38" t="s">
        <v>166</v>
      </c>
      <c r="F5680" s="38" t="s">
        <v>102</v>
      </c>
      <c r="G5680" s="49" t="str">
        <f t="shared" si="1"/>
        <v>42320</v>
      </c>
      <c r="H5680" s="49">
        <f t="shared" si="2"/>
        <v>42032</v>
      </c>
    </row>
    <row r="5681">
      <c r="A5681" s="48" t="s">
        <v>5558</v>
      </c>
      <c r="B5681" s="38">
        <v>14480.0</v>
      </c>
      <c r="C5681" s="38" t="s">
        <v>8849</v>
      </c>
      <c r="D5681" s="38" t="str">
        <f>IFERROR(__xludf.DUMMYFUNCTION("REGEXREPLACE(C5681,""-\d+(.*)|--\d+(.*)"","""")"),"OSMANVILLE")</f>
        <v>OSMANVILLE</v>
      </c>
      <c r="E5681" s="38" t="s">
        <v>137</v>
      </c>
      <c r="F5681" s="38" t="s">
        <v>138</v>
      </c>
      <c r="G5681" s="49" t="str">
        <f t="shared" si="1"/>
        <v>14230</v>
      </c>
      <c r="H5681" s="49">
        <f t="shared" si="2"/>
        <v>14480</v>
      </c>
    </row>
    <row r="5682">
      <c r="A5682" s="48" t="s">
        <v>3264</v>
      </c>
      <c r="B5682" s="38">
        <v>69054.0</v>
      </c>
      <c r="C5682" s="38" t="s">
        <v>8850</v>
      </c>
      <c r="D5682" s="38" t="str">
        <f>IFERROR(__xludf.DUMMYFUNCTION("REGEXREPLACE(C5682,""-\d+(.*)|--\d+(.*)"","""")"),"CHENELETTE")</f>
        <v>CHENELETTE</v>
      </c>
      <c r="E5682" s="38" t="s">
        <v>350</v>
      </c>
      <c r="F5682" s="38" t="s">
        <v>102</v>
      </c>
      <c r="G5682" s="49" t="str">
        <f t="shared" si="1"/>
        <v>69430</v>
      </c>
      <c r="H5682" s="49">
        <f t="shared" si="2"/>
        <v>69054</v>
      </c>
    </row>
    <row r="5683">
      <c r="A5683" s="48" t="s">
        <v>8851</v>
      </c>
      <c r="B5683" s="38">
        <v>63070.0</v>
      </c>
      <c r="C5683" s="38" t="s">
        <v>8852</v>
      </c>
      <c r="D5683" s="38" t="str">
        <f>IFERROR(__xludf.DUMMYFUNCTION("REGEXREPLACE(C5683,""-\d+(.*)|--\d+(.*)"","""")"),"CEYRAT")</f>
        <v>CEYRAT</v>
      </c>
      <c r="E5683" s="38" t="s">
        <v>353</v>
      </c>
      <c r="F5683" s="38" t="s">
        <v>161</v>
      </c>
      <c r="G5683" s="49" t="str">
        <f t="shared" si="1"/>
        <v>63122</v>
      </c>
      <c r="H5683" s="49">
        <f t="shared" si="2"/>
        <v>63070</v>
      </c>
    </row>
    <row r="5684">
      <c r="A5684" s="48" t="s">
        <v>2374</v>
      </c>
      <c r="B5684" s="38">
        <v>58283.0</v>
      </c>
      <c r="C5684" s="38" t="s">
        <v>8853</v>
      </c>
      <c r="D5684" s="38" t="str">
        <f>IFERROR(__xludf.DUMMYFUNCTION("REGEXREPLACE(C5684,""-\d+(.*)|--\d+(.*)"","""")"),"TACONNAY")</f>
        <v>TACONNAY</v>
      </c>
      <c r="E5684" s="38" t="s">
        <v>219</v>
      </c>
      <c r="F5684" s="38" t="s">
        <v>106</v>
      </c>
      <c r="G5684" s="49" t="str">
        <f t="shared" si="1"/>
        <v>58420</v>
      </c>
      <c r="H5684" s="49">
        <f t="shared" si="2"/>
        <v>58283</v>
      </c>
    </row>
    <row r="5685">
      <c r="A5685" s="48" t="s">
        <v>1174</v>
      </c>
      <c r="B5685" s="38">
        <v>51441.0</v>
      </c>
      <c r="C5685" s="38" t="s">
        <v>8854</v>
      </c>
      <c r="D5685" s="38" t="str">
        <f>IFERROR(__xludf.DUMMYFUNCTION("REGEXREPLACE(C5685,""-\d+(.*)|--\d+(.*)"","""")"),"PONTHION")</f>
        <v>PONTHION</v>
      </c>
      <c r="E5685" s="38" t="s">
        <v>129</v>
      </c>
      <c r="F5685" s="38" t="s">
        <v>130</v>
      </c>
      <c r="G5685" s="49" t="str">
        <f t="shared" si="1"/>
        <v>51300</v>
      </c>
      <c r="H5685" s="49">
        <f t="shared" si="2"/>
        <v>51441</v>
      </c>
    </row>
    <row r="5686">
      <c r="A5686" s="48" t="s">
        <v>328</v>
      </c>
      <c r="B5686" s="38">
        <v>2464.0</v>
      </c>
      <c r="C5686" s="38" t="s">
        <v>8855</v>
      </c>
      <c r="D5686" s="38" t="str">
        <f>IFERROR(__xludf.DUMMYFUNCTION("REGEXREPLACE(C5686,""-\d+(.*)|--\d+(.*)"","""")"),"MARGIVAL")</f>
        <v>MARGIVAL</v>
      </c>
      <c r="E5686" s="38" t="s">
        <v>191</v>
      </c>
      <c r="F5686" s="38" t="s">
        <v>113</v>
      </c>
      <c r="G5686" s="49" t="str">
        <f t="shared" si="1"/>
        <v>02880</v>
      </c>
      <c r="H5686" s="49" t="str">
        <f t="shared" si="2"/>
        <v>02464</v>
      </c>
    </row>
    <row r="5687">
      <c r="A5687" s="48" t="s">
        <v>256</v>
      </c>
      <c r="B5687" s="38">
        <v>36043.0</v>
      </c>
      <c r="C5687" s="38" t="s">
        <v>8856</v>
      </c>
      <c r="D5687" s="38" t="str">
        <f>IFERROR(__xludf.DUMMYFUNCTION("REGEXREPLACE(C5687,""-\d+(.*)|--\d+(.*)"","""")"),"CHASSIGNOLLES")</f>
        <v>CHASSIGNOLLES</v>
      </c>
      <c r="E5687" s="38" t="s">
        <v>258</v>
      </c>
      <c r="F5687" s="38" t="s">
        <v>123</v>
      </c>
      <c r="G5687" s="49" t="str">
        <f t="shared" si="1"/>
        <v>36400</v>
      </c>
      <c r="H5687" s="49">
        <f t="shared" si="2"/>
        <v>36043</v>
      </c>
    </row>
    <row r="5688">
      <c r="A5688" s="48" t="s">
        <v>8857</v>
      </c>
      <c r="B5688" s="38">
        <v>80228.0</v>
      </c>
      <c r="C5688" s="38" t="s">
        <v>8858</v>
      </c>
      <c r="D5688" s="38" t="str">
        <f>IFERROR(__xludf.DUMMYFUNCTION("REGEXREPLACE(C5688,""-\d+(.*)|--\d+(.*)"","""")"),"LE CROTOY")</f>
        <v>LE CROTOY</v>
      </c>
      <c r="E5688" s="38" t="s">
        <v>224</v>
      </c>
      <c r="F5688" s="38" t="s">
        <v>113</v>
      </c>
      <c r="G5688" s="49" t="str">
        <f t="shared" si="1"/>
        <v>80550</v>
      </c>
      <c r="H5688" s="49">
        <f t="shared" si="2"/>
        <v>80228</v>
      </c>
    </row>
    <row r="5689">
      <c r="A5689" s="48" t="s">
        <v>667</v>
      </c>
      <c r="B5689" s="38">
        <v>64008.0</v>
      </c>
      <c r="C5689" s="38" t="s">
        <v>8859</v>
      </c>
      <c r="D5689" s="38" t="str">
        <f>IFERROR(__xludf.DUMMYFUNCTION("REGEXREPLACE(C5689,""-\d+(.*)|--\d+(.*)"","""")"),"AHAXE-ALCIETTE-BASCASSAN")</f>
        <v>AHAXE-ALCIETTE-BASCASSAN</v>
      </c>
      <c r="E5689" s="38" t="s">
        <v>268</v>
      </c>
      <c r="F5689" s="38" t="s">
        <v>252</v>
      </c>
      <c r="G5689" s="49" t="str">
        <f t="shared" si="1"/>
        <v>64220</v>
      </c>
      <c r="H5689" s="49">
        <f t="shared" si="2"/>
        <v>64008</v>
      </c>
    </row>
    <row r="5690">
      <c r="A5690" s="48" t="s">
        <v>1246</v>
      </c>
      <c r="B5690" s="38">
        <v>62622.0</v>
      </c>
      <c r="C5690" s="38" t="s">
        <v>8860</v>
      </c>
      <c r="D5690" s="38" t="str">
        <f>IFERROR(__xludf.DUMMYFUNCTION("REGEXREPLACE(C5690,""-\d+(.*)|--\d+(.*)"","""")"),"NORT-LEULINGHEM")</f>
        <v>NORT-LEULINGHEM</v>
      </c>
      <c r="E5690" s="38" t="s">
        <v>109</v>
      </c>
      <c r="F5690" s="38" t="s">
        <v>86</v>
      </c>
      <c r="G5690" s="49" t="str">
        <f t="shared" si="1"/>
        <v>62890</v>
      </c>
      <c r="H5690" s="49">
        <f t="shared" si="2"/>
        <v>62622</v>
      </c>
    </row>
    <row r="5691">
      <c r="A5691" s="48" t="s">
        <v>8861</v>
      </c>
      <c r="B5691" s="38">
        <v>78650.0</v>
      </c>
      <c r="C5691" s="38" t="s">
        <v>8862</v>
      </c>
      <c r="D5691" s="38" t="str">
        <f>IFERROR(__xludf.DUMMYFUNCTION("REGEXREPLACE(C5691,""-\d+(.*)|--\d+(.*)"","""")"),"LE VESINET")</f>
        <v>LE VESINET</v>
      </c>
      <c r="E5691" s="38" t="s">
        <v>362</v>
      </c>
      <c r="F5691" s="38" t="s">
        <v>245</v>
      </c>
      <c r="G5691" s="49" t="str">
        <f t="shared" si="1"/>
        <v>78110</v>
      </c>
      <c r="H5691" s="49">
        <f t="shared" si="2"/>
        <v>78650</v>
      </c>
    </row>
    <row r="5692">
      <c r="A5692" s="48" t="s">
        <v>1016</v>
      </c>
      <c r="B5692" s="38">
        <v>28402.0</v>
      </c>
      <c r="C5692" s="38" t="s">
        <v>8863</v>
      </c>
      <c r="D5692" s="38" t="str">
        <f>IFERROR(__xludf.DUMMYFUNCTION("REGEXREPLACE(C5692,""-\d+(.*)|--\d+(.*)"","""")"),"VERIGNY")</f>
        <v>VERIGNY</v>
      </c>
      <c r="E5692" s="38" t="s">
        <v>300</v>
      </c>
      <c r="F5692" s="38" t="s">
        <v>123</v>
      </c>
      <c r="G5692" s="49" t="str">
        <f t="shared" si="1"/>
        <v>28190</v>
      </c>
      <c r="H5692" s="49">
        <f t="shared" si="2"/>
        <v>28402</v>
      </c>
    </row>
    <row r="5693">
      <c r="A5693" s="48" t="s">
        <v>6521</v>
      </c>
      <c r="B5693" s="38">
        <v>34098.0</v>
      </c>
      <c r="C5693" s="38" t="s">
        <v>8864</v>
      </c>
      <c r="D5693" s="38" t="str">
        <f>IFERROR(__xludf.DUMMYFUNCTION("REGEXREPLACE(C5693,""-\d+(.*)|--\d+(.*)"","""")"),"FERRALS-LES-MONTAGNES")</f>
        <v>FERRALS-LES-MONTAGNES</v>
      </c>
      <c r="E5693" s="38" t="s">
        <v>118</v>
      </c>
      <c r="F5693" s="38" t="s">
        <v>119</v>
      </c>
      <c r="G5693" s="49" t="str">
        <f t="shared" si="1"/>
        <v>34210</v>
      </c>
      <c r="H5693" s="49">
        <f t="shared" si="2"/>
        <v>34098</v>
      </c>
    </row>
    <row r="5694">
      <c r="A5694" s="48" t="s">
        <v>8865</v>
      </c>
      <c r="B5694" s="38">
        <v>42286.0</v>
      </c>
      <c r="C5694" s="38" t="s">
        <v>8866</v>
      </c>
      <c r="D5694" s="38" t="str">
        <f>IFERROR(__xludf.DUMMYFUNCTION("REGEXREPLACE(C5694,""-\d+(.*)|--\d+(.*)"","""")"),"SAINT-ROMAIN-LES-ATHEUX")</f>
        <v>SAINT-ROMAIN-LES-ATHEUX</v>
      </c>
      <c r="E5694" s="38" t="s">
        <v>166</v>
      </c>
      <c r="F5694" s="38" t="s">
        <v>102</v>
      </c>
      <c r="G5694" s="49" t="str">
        <f t="shared" si="1"/>
        <v>42660</v>
      </c>
      <c r="H5694" s="49">
        <f t="shared" si="2"/>
        <v>42286</v>
      </c>
    </row>
    <row r="5695">
      <c r="A5695" s="48" t="s">
        <v>4079</v>
      </c>
      <c r="B5695" s="38">
        <v>1076.0</v>
      </c>
      <c r="C5695" s="38" t="s">
        <v>8867</v>
      </c>
      <c r="D5695" s="38" t="str">
        <f>IFERROR(__xludf.DUMMYFUNCTION("REGEXREPLACE(C5695,""-\d+(.*)|--\d+(.*)"","""")"),"CHALEY")</f>
        <v>CHALEY</v>
      </c>
      <c r="E5695" s="38" t="s">
        <v>255</v>
      </c>
      <c r="F5695" s="38" t="s">
        <v>102</v>
      </c>
      <c r="G5695" s="49" t="str">
        <f t="shared" si="1"/>
        <v>01230</v>
      </c>
      <c r="H5695" s="49" t="str">
        <f t="shared" si="2"/>
        <v>01076</v>
      </c>
    </row>
    <row r="5696">
      <c r="A5696" s="48" t="s">
        <v>8868</v>
      </c>
      <c r="B5696" s="38">
        <v>29251.0</v>
      </c>
      <c r="C5696" s="38" t="s">
        <v>8869</v>
      </c>
      <c r="D5696" s="38" t="str">
        <f>IFERROR(__xludf.DUMMYFUNCTION("REGEXREPLACE(C5696,""-\d+(.*)|--\d+(.*)"","""")"),"SAINT-JEAN-DU-DOIGT")</f>
        <v>SAINT-JEAN-DU-DOIGT</v>
      </c>
      <c r="E5696" s="38" t="s">
        <v>176</v>
      </c>
      <c r="F5696" s="38" t="s">
        <v>90</v>
      </c>
      <c r="G5696" s="49" t="str">
        <f t="shared" si="1"/>
        <v>29630</v>
      </c>
      <c r="H5696" s="49">
        <f t="shared" si="2"/>
        <v>29251</v>
      </c>
    </row>
    <row r="5697">
      <c r="A5697" s="48" t="s">
        <v>7228</v>
      </c>
      <c r="B5697" s="38">
        <v>50177.0</v>
      </c>
      <c r="C5697" s="38" t="s">
        <v>8870</v>
      </c>
      <c r="D5697" s="38" t="str">
        <f>IFERROR(__xludf.DUMMYFUNCTION("REGEXREPLACE(C5697,""-\d+(.*)|--\d+(.*)"","""")"),"ETIENVILLE")</f>
        <v>ETIENVILLE</v>
      </c>
      <c r="E5697" s="38" t="s">
        <v>157</v>
      </c>
      <c r="F5697" s="38" t="s">
        <v>138</v>
      </c>
      <c r="G5697" s="49" t="str">
        <f t="shared" si="1"/>
        <v>50360</v>
      </c>
      <c r="H5697" s="49">
        <f t="shared" si="2"/>
        <v>50177</v>
      </c>
    </row>
    <row r="5698">
      <c r="A5698" s="48" t="s">
        <v>2534</v>
      </c>
      <c r="B5698" s="38">
        <v>27261.0</v>
      </c>
      <c r="C5698" s="38" t="s">
        <v>8871</v>
      </c>
      <c r="D5698" s="38" t="str">
        <f>IFERROR(__xludf.DUMMYFUNCTION("REGEXREPLACE(C5698,""-\d+(.*)|--\d+(.*)"","""")"),"FOUQUEVILLE")</f>
        <v>FOUQUEVILLE</v>
      </c>
      <c r="E5698" s="38" t="s">
        <v>241</v>
      </c>
      <c r="F5698" s="38" t="s">
        <v>134</v>
      </c>
      <c r="G5698" s="49" t="str">
        <f t="shared" si="1"/>
        <v>27370</v>
      </c>
      <c r="H5698" s="49">
        <f t="shared" si="2"/>
        <v>27261</v>
      </c>
    </row>
    <row r="5699">
      <c r="A5699" s="48" t="s">
        <v>5250</v>
      </c>
      <c r="B5699" s="38">
        <v>27267.0</v>
      </c>
      <c r="C5699" s="38" t="s">
        <v>8872</v>
      </c>
      <c r="D5699" s="38" t="str">
        <f>IFERROR(__xludf.DUMMYFUNCTION("REGEXREPLACE(C5699,""-\d+(.*)|--\d+(.*)"","""")"),"FRENEUSE-SUR-RISLE")</f>
        <v>FRENEUSE-SUR-RISLE</v>
      </c>
      <c r="E5699" s="38" t="s">
        <v>241</v>
      </c>
      <c r="F5699" s="38" t="s">
        <v>134</v>
      </c>
      <c r="G5699" s="49" t="str">
        <f t="shared" si="1"/>
        <v>27290</v>
      </c>
      <c r="H5699" s="49">
        <f t="shared" si="2"/>
        <v>27267</v>
      </c>
    </row>
    <row r="5700">
      <c r="A5700" s="48" t="s">
        <v>8873</v>
      </c>
      <c r="B5700" s="38">
        <v>34246.0</v>
      </c>
      <c r="C5700" s="38" t="s">
        <v>8874</v>
      </c>
      <c r="D5700" s="38" t="str">
        <f>IFERROR(__xludf.DUMMYFUNCTION("REGEXREPLACE(C5700,""-\d+(.*)|--\d+(.*)"","""")"),"SAINT-CHRISTOL")</f>
        <v>SAINT-CHRISTOL</v>
      </c>
      <c r="E5700" s="38" t="s">
        <v>118</v>
      </c>
      <c r="F5700" s="38" t="s">
        <v>119</v>
      </c>
      <c r="G5700" s="49" t="str">
        <f t="shared" si="1"/>
        <v>34400</v>
      </c>
      <c r="H5700" s="49">
        <f t="shared" si="2"/>
        <v>34246</v>
      </c>
    </row>
    <row r="5701">
      <c r="A5701" s="48" t="s">
        <v>4557</v>
      </c>
      <c r="B5701" s="38">
        <v>46305.0</v>
      </c>
      <c r="C5701" s="38" t="s">
        <v>8875</v>
      </c>
      <c r="D5701" s="38" t="str">
        <f>IFERROR(__xludf.DUMMYFUNCTION("REGEXREPLACE(C5701,""-\d+(.*)|--\d+(.*)"","""")"),"SERIGNAC")</f>
        <v>SERIGNAC</v>
      </c>
      <c r="E5701" s="38" t="s">
        <v>185</v>
      </c>
      <c r="F5701" s="38" t="s">
        <v>94</v>
      </c>
      <c r="G5701" s="49" t="str">
        <f t="shared" si="1"/>
        <v>46700</v>
      </c>
      <c r="H5701" s="49">
        <f t="shared" si="2"/>
        <v>46305</v>
      </c>
    </row>
    <row r="5702">
      <c r="A5702" s="48" t="s">
        <v>3022</v>
      </c>
      <c r="B5702" s="38">
        <v>14381.0</v>
      </c>
      <c r="C5702" s="38" t="s">
        <v>8876</v>
      </c>
      <c r="D5702" s="38" t="str">
        <f>IFERROR(__xludf.DUMMYFUNCTION("REGEXREPLACE(C5702,""-\d+(.*)|--\d+(.*)"","""")"),"LOUVAGNY")</f>
        <v>LOUVAGNY</v>
      </c>
      <c r="E5702" s="38" t="s">
        <v>137</v>
      </c>
      <c r="F5702" s="38" t="s">
        <v>138</v>
      </c>
      <c r="G5702" s="49" t="str">
        <f t="shared" si="1"/>
        <v>14170</v>
      </c>
      <c r="H5702" s="49">
        <f t="shared" si="2"/>
        <v>14381</v>
      </c>
    </row>
    <row r="5703">
      <c r="A5703" s="48" t="s">
        <v>1400</v>
      </c>
      <c r="B5703" s="38">
        <v>21399.0</v>
      </c>
      <c r="C5703" s="38" t="s">
        <v>8877</v>
      </c>
      <c r="D5703" s="38" t="str">
        <f>IFERROR(__xludf.DUMMYFUNCTION("REGEXREPLACE(C5703,""-\d+(.*)|--\d+(.*)"","""")"),"MEILLY-SUR-ROUVRES")</f>
        <v>MEILLY-SUR-ROUVRES</v>
      </c>
      <c r="E5703" s="38" t="s">
        <v>105</v>
      </c>
      <c r="F5703" s="38" t="s">
        <v>106</v>
      </c>
      <c r="G5703" s="49" t="str">
        <f t="shared" si="1"/>
        <v>21320</v>
      </c>
      <c r="H5703" s="49">
        <f t="shared" si="2"/>
        <v>21399</v>
      </c>
    </row>
    <row r="5704">
      <c r="A5704" s="48" t="s">
        <v>1077</v>
      </c>
      <c r="B5704" s="38">
        <v>25156.0</v>
      </c>
      <c r="C5704" s="38" t="s">
        <v>8878</v>
      </c>
      <c r="D5704" s="38" t="str">
        <f>IFERROR(__xludf.DUMMYFUNCTION("REGEXREPLACE(C5704,""-\d+(.*)|--\d+(.*)"","""")"),"CLERVAL")</f>
        <v>CLERVAL</v>
      </c>
      <c r="E5704" s="38" t="s">
        <v>213</v>
      </c>
      <c r="F5704" s="38" t="s">
        <v>214</v>
      </c>
      <c r="G5704" s="49" t="str">
        <f t="shared" si="1"/>
        <v>25340</v>
      </c>
      <c r="H5704" s="49">
        <f t="shared" si="2"/>
        <v>25156</v>
      </c>
    </row>
    <row r="5705">
      <c r="A5705" s="48" t="s">
        <v>8418</v>
      </c>
      <c r="B5705" s="38">
        <v>80821.0</v>
      </c>
      <c r="C5705" s="38" t="s">
        <v>8879</v>
      </c>
      <c r="D5705" s="38" t="str">
        <f>IFERROR(__xludf.DUMMYFUNCTION("REGEXREPLACE(C5705,""-\d+(.*)|--\d+(.*)"","""")"),"WARLUS")</f>
        <v>WARLUS</v>
      </c>
      <c r="E5705" s="38" t="s">
        <v>224</v>
      </c>
      <c r="F5705" s="38" t="s">
        <v>113</v>
      </c>
      <c r="G5705" s="49" t="str">
        <f t="shared" si="1"/>
        <v>80270</v>
      </c>
      <c r="H5705" s="49">
        <f t="shared" si="2"/>
        <v>80821</v>
      </c>
    </row>
    <row r="5706">
      <c r="A5706" s="48" t="s">
        <v>1327</v>
      </c>
      <c r="B5706" s="38">
        <v>51245.0</v>
      </c>
      <c r="C5706" s="38" t="s">
        <v>8880</v>
      </c>
      <c r="D5706" s="38" t="str">
        <f>IFERROR(__xludf.DUMMYFUNCTION("REGEXREPLACE(C5706,""-\d+(.*)|--\d+(.*)"","""")"),"FAVEROLLES-ET-COEMY")</f>
        <v>FAVEROLLES-ET-COEMY</v>
      </c>
      <c r="E5706" s="38" t="s">
        <v>129</v>
      </c>
      <c r="F5706" s="38" t="s">
        <v>130</v>
      </c>
      <c r="G5706" s="49" t="str">
        <f t="shared" si="1"/>
        <v>51170</v>
      </c>
      <c r="H5706" s="49">
        <f t="shared" si="2"/>
        <v>51245</v>
      </c>
    </row>
    <row r="5707">
      <c r="A5707" s="48" t="s">
        <v>7017</v>
      </c>
      <c r="B5707" s="38" t="s">
        <v>8881</v>
      </c>
      <c r="C5707" s="38" t="s">
        <v>8882</v>
      </c>
      <c r="D5707" s="38" t="str">
        <f>IFERROR(__xludf.DUMMYFUNCTION("REGEXREPLACE(C5707,""-\d+(.*)|--\d+(.*)"","""")"),"PIEDICORTE-DI-GAGGIO")</f>
        <v>PIEDICORTE-DI-GAGGIO</v>
      </c>
      <c r="E5707" s="38" t="s">
        <v>743</v>
      </c>
      <c r="F5707" s="38" t="s">
        <v>607</v>
      </c>
      <c r="G5707" s="49" t="str">
        <f t="shared" si="1"/>
        <v>20251</v>
      </c>
      <c r="H5707" s="49" t="str">
        <f t="shared" si="2"/>
        <v>2B218</v>
      </c>
    </row>
    <row r="5708">
      <c r="A5708" s="48" t="s">
        <v>8883</v>
      </c>
      <c r="B5708" s="38">
        <v>39211.0</v>
      </c>
      <c r="C5708" s="38" t="s">
        <v>8884</v>
      </c>
      <c r="D5708" s="38" t="str">
        <f>IFERROR(__xludf.DUMMYFUNCTION("REGEXREPLACE(C5708,""-\d+(.*)|--\d+(.*)"","""")"),"LES ESSARDS-TAIGNEVAUX")</f>
        <v>LES ESSARDS-TAIGNEVAUX</v>
      </c>
      <c r="E5708" s="38" t="s">
        <v>400</v>
      </c>
      <c r="F5708" s="38" t="s">
        <v>214</v>
      </c>
      <c r="G5708" s="49" t="str">
        <f t="shared" si="1"/>
        <v>39120</v>
      </c>
      <c r="H5708" s="49">
        <f t="shared" si="2"/>
        <v>39211</v>
      </c>
    </row>
    <row r="5709">
      <c r="A5709" s="48" t="s">
        <v>5697</v>
      </c>
      <c r="B5709" s="38">
        <v>69283.0</v>
      </c>
      <c r="C5709" s="38" t="s">
        <v>8885</v>
      </c>
      <c r="D5709" s="38" t="str">
        <f>IFERROR(__xludf.DUMMYFUNCTION("REGEXREPLACE(C5709,""-\d+(.*)|--\d+(.*)"","""")"),"MIONS")</f>
        <v>MIONS</v>
      </c>
      <c r="E5709" s="38" t="s">
        <v>350</v>
      </c>
      <c r="F5709" s="38" t="s">
        <v>102</v>
      </c>
      <c r="G5709" s="49" t="str">
        <f t="shared" si="1"/>
        <v>69780</v>
      </c>
      <c r="H5709" s="49">
        <f t="shared" si="2"/>
        <v>69283</v>
      </c>
    </row>
    <row r="5710">
      <c r="A5710" s="48" t="s">
        <v>576</v>
      </c>
      <c r="B5710" s="38">
        <v>54562.0</v>
      </c>
      <c r="C5710" s="38" t="s">
        <v>8886</v>
      </c>
      <c r="D5710" s="38" t="str">
        <f>IFERROR(__xludf.DUMMYFUNCTION("REGEXREPLACE(C5710,""-\d+(.*)|--\d+(.*)"","""")"),"VERDENAL")</f>
        <v>VERDENAL</v>
      </c>
      <c r="E5710" s="38" t="s">
        <v>548</v>
      </c>
      <c r="F5710" s="38" t="s">
        <v>195</v>
      </c>
      <c r="G5710" s="49" t="str">
        <f t="shared" si="1"/>
        <v>54450</v>
      </c>
      <c r="H5710" s="49">
        <f t="shared" si="2"/>
        <v>54562</v>
      </c>
    </row>
    <row r="5711">
      <c r="A5711" s="48" t="s">
        <v>5028</v>
      </c>
      <c r="B5711" s="38">
        <v>25435.0</v>
      </c>
      <c r="C5711" s="38" t="s">
        <v>8887</v>
      </c>
      <c r="D5711" s="38" t="str">
        <f>IFERROR(__xludf.DUMMYFUNCTION("REGEXREPLACE(C5711,""-\d+(.*)|--\d+(.*)"","""")"),"ORSANS")</f>
        <v>ORSANS</v>
      </c>
      <c r="E5711" s="38" t="s">
        <v>213</v>
      </c>
      <c r="F5711" s="38" t="s">
        <v>214</v>
      </c>
      <c r="G5711" s="49" t="str">
        <f t="shared" si="1"/>
        <v>25530</v>
      </c>
      <c r="H5711" s="49">
        <f t="shared" si="2"/>
        <v>25435</v>
      </c>
    </row>
    <row r="5712">
      <c r="A5712" s="48" t="s">
        <v>3965</v>
      </c>
      <c r="B5712" s="38">
        <v>33255.0</v>
      </c>
      <c r="C5712" s="38" t="s">
        <v>8888</v>
      </c>
      <c r="D5712" s="38" t="str">
        <f>IFERROR(__xludf.DUMMYFUNCTION("REGEXREPLACE(C5712,""-\d+(.*)|--\d+(.*)"","""")"),"LUCMAU")</f>
        <v>LUCMAU</v>
      </c>
      <c r="E5712" s="38" t="s">
        <v>462</v>
      </c>
      <c r="F5712" s="38" t="s">
        <v>252</v>
      </c>
      <c r="G5712" s="49" t="str">
        <f t="shared" si="1"/>
        <v>33840</v>
      </c>
      <c r="H5712" s="49">
        <f t="shared" si="2"/>
        <v>33255</v>
      </c>
    </row>
    <row r="5713">
      <c r="A5713" s="48" t="s">
        <v>8889</v>
      </c>
      <c r="B5713" s="38">
        <v>32057.0</v>
      </c>
      <c r="C5713" s="38" t="s">
        <v>8890</v>
      </c>
      <c r="D5713" s="38" t="str">
        <f>IFERROR(__xludf.DUMMYFUNCTION("REGEXREPLACE(C5713,""-\d+(.*)|--\d+(.*)"","""")"),"BLAZIERT")</f>
        <v>BLAZIERT</v>
      </c>
      <c r="E5713" s="38" t="s">
        <v>440</v>
      </c>
      <c r="F5713" s="38" t="s">
        <v>94</v>
      </c>
      <c r="G5713" s="49" t="str">
        <f t="shared" si="1"/>
        <v>32100</v>
      </c>
      <c r="H5713" s="49">
        <f t="shared" si="2"/>
        <v>32057</v>
      </c>
    </row>
    <row r="5714">
      <c r="A5714" s="48" t="s">
        <v>5443</v>
      </c>
      <c r="B5714" s="38">
        <v>76016.0</v>
      </c>
      <c r="C5714" s="38" t="s">
        <v>8891</v>
      </c>
      <c r="D5714" s="38" t="str">
        <f>IFERROR(__xludf.DUMMYFUNCTION("REGEXREPLACE(C5714,""-\d+(.*)|--\d+(.*)"","""")"),"ANGLESQUEVILLE-LA-BRAS-LONG")</f>
        <v>ANGLESQUEVILLE-LA-BRAS-LONG</v>
      </c>
      <c r="E5714" s="38" t="s">
        <v>133</v>
      </c>
      <c r="F5714" s="38" t="s">
        <v>134</v>
      </c>
      <c r="G5714" s="49" t="str">
        <f t="shared" si="1"/>
        <v>76740</v>
      </c>
      <c r="H5714" s="49">
        <f t="shared" si="2"/>
        <v>76016</v>
      </c>
    </row>
    <row r="5715">
      <c r="A5715" s="48" t="s">
        <v>8892</v>
      </c>
      <c r="B5715" s="38">
        <v>60366.0</v>
      </c>
      <c r="C5715" s="38" t="s">
        <v>8893</v>
      </c>
      <c r="D5715" s="38" t="str">
        <f>IFERROR(__xludf.DUMMYFUNCTION("REGEXREPLACE(C5715,""-\d+(.*)|--\d+(.*)"","""")"),"LITZ")</f>
        <v>LITZ</v>
      </c>
      <c r="E5715" s="38" t="s">
        <v>112</v>
      </c>
      <c r="F5715" s="38" t="s">
        <v>113</v>
      </c>
      <c r="G5715" s="49" t="str">
        <f t="shared" si="1"/>
        <v>60510</v>
      </c>
      <c r="H5715" s="49">
        <f t="shared" si="2"/>
        <v>60366</v>
      </c>
    </row>
    <row r="5716">
      <c r="A5716" s="48" t="s">
        <v>3967</v>
      </c>
      <c r="B5716" s="38">
        <v>50163.0</v>
      </c>
      <c r="C5716" s="38" t="s">
        <v>8894</v>
      </c>
      <c r="D5716" s="38" t="str">
        <f>IFERROR(__xludf.DUMMYFUNCTION("REGEXREPLACE(C5716,""-\d+(.*)|--\d+(.*)"","""")"),"DIGULLEVILLE")</f>
        <v>DIGULLEVILLE</v>
      </c>
      <c r="E5716" s="38" t="s">
        <v>157</v>
      </c>
      <c r="F5716" s="38" t="s">
        <v>138</v>
      </c>
      <c r="G5716" s="49" t="str">
        <f t="shared" si="1"/>
        <v>50440</v>
      </c>
      <c r="H5716" s="49">
        <f t="shared" si="2"/>
        <v>50163</v>
      </c>
    </row>
    <row r="5717">
      <c r="A5717" s="48" t="s">
        <v>1731</v>
      </c>
      <c r="B5717" s="38">
        <v>38554.0</v>
      </c>
      <c r="C5717" s="38" t="s">
        <v>8895</v>
      </c>
      <c r="D5717" s="38" t="str">
        <f>IFERROR(__xludf.DUMMYFUNCTION("REGEXREPLACE(C5717,""-\d+(.*)|--\d+(.*)"","""")"),"VILLEMOIRIEU")</f>
        <v>VILLEMOIRIEU</v>
      </c>
      <c r="E5717" s="38" t="s">
        <v>101</v>
      </c>
      <c r="F5717" s="38" t="s">
        <v>102</v>
      </c>
      <c r="G5717" s="49" t="str">
        <f t="shared" si="1"/>
        <v>38460</v>
      </c>
      <c r="H5717" s="49">
        <f t="shared" si="2"/>
        <v>38554</v>
      </c>
    </row>
    <row r="5718">
      <c r="A5718" s="48" t="s">
        <v>8896</v>
      </c>
      <c r="B5718" s="38">
        <v>47006.0</v>
      </c>
      <c r="C5718" s="38" t="s">
        <v>8897</v>
      </c>
      <c r="D5718" s="38" t="str">
        <f>IFERROR(__xludf.DUMMYFUNCTION("REGEXREPLACE(C5718,""-\d+(.*)|--\d+(.*)"","""")"),"ALLEZ-ET-CAZENEUVE")</f>
        <v>ALLEZ-ET-CAZENEUVE</v>
      </c>
      <c r="E5718" s="38" t="s">
        <v>251</v>
      </c>
      <c r="F5718" s="38" t="s">
        <v>252</v>
      </c>
      <c r="G5718" s="49" t="str">
        <f t="shared" si="1"/>
        <v>47110</v>
      </c>
      <c r="H5718" s="49">
        <f t="shared" si="2"/>
        <v>47006</v>
      </c>
    </row>
    <row r="5719">
      <c r="A5719" s="48" t="s">
        <v>177</v>
      </c>
      <c r="B5719" s="38">
        <v>85059.0</v>
      </c>
      <c r="C5719" s="38" t="s">
        <v>8898</v>
      </c>
      <c r="D5719" s="38" t="str">
        <f>IFERROR(__xludf.DUMMYFUNCTION("REGEXREPLACE(C5719,""-\d+(.*)|--\d+(.*)"","""")"),"LA CHATAIGNERAIE")</f>
        <v>LA CHATAIGNERAIE</v>
      </c>
      <c r="E5719" s="38" t="s">
        <v>179</v>
      </c>
      <c r="F5719" s="38" t="s">
        <v>180</v>
      </c>
      <c r="G5719" s="49" t="str">
        <f t="shared" si="1"/>
        <v>85120</v>
      </c>
      <c r="H5719" s="49">
        <f t="shared" si="2"/>
        <v>85059</v>
      </c>
    </row>
    <row r="5720">
      <c r="A5720" s="48" t="s">
        <v>2807</v>
      </c>
      <c r="B5720" s="38">
        <v>81205.0</v>
      </c>
      <c r="C5720" s="38" t="s">
        <v>8899</v>
      </c>
      <c r="D5720" s="38" t="str">
        <f>IFERROR(__xludf.DUMMYFUNCTION("REGEXREPLACE(C5720,""-\d+(.*)|--\d+(.*)"","""")"),"PECHAUDIER")</f>
        <v>PECHAUDIER</v>
      </c>
      <c r="E5720" s="38" t="s">
        <v>231</v>
      </c>
      <c r="F5720" s="38" t="s">
        <v>94</v>
      </c>
      <c r="G5720" s="49" t="str">
        <f t="shared" si="1"/>
        <v>81470</v>
      </c>
      <c r="H5720" s="49">
        <f t="shared" si="2"/>
        <v>81205</v>
      </c>
    </row>
    <row r="5721">
      <c r="A5721" s="48" t="s">
        <v>1435</v>
      </c>
      <c r="B5721" s="38">
        <v>14578.0</v>
      </c>
      <c r="C5721" s="38" t="s">
        <v>8900</v>
      </c>
      <c r="D5721" s="38" t="str">
        <f>IFERROR(__xludf.DUMMYFUNCTION("REGEXREPLACE(C5721,""-\d+(.*)|--\d+(.*)"","""")"),"SAINT-GATIEN-DES-BOIS")</f>
        <v>SAINT-GATIEN-DES-BOIS</v>
      </c>
      <c r="E5721" s="38" t="s">
        <v>137</v>
      </c>
      <c r="F5721" s="38" t="s">
        <v>138</v>
      </c>
      <c r="G5721" s="49" t="str">
        <f t="shared" si="1"/>
        <v>14130</v>
      </c>
      <c r="H5721" s="49">
        <f t="shared" si="2"/>
        <v>14578</v>
      </c>
    </row>
    <row r="5722">
      <c r="A5722" s="48" t="s">
        <v>4375</v>
      </c>
      <c r="B5722" s="38">
        <v>27367.0</v>
      </c>
      <c r="C5722" s="38" t="s">
        <v>8901</v>
      </c>
      <c r="D5722" s="38" t="str">
        <f>IFERROR(__xludf.DUMMYFUNCTION("REGEXREPLACE(C5722,""-\d+(.*)|--\d+(.*)"","""")"),"LIEUREY")</f>
        <v>LIEUREY</v>
      </c>
      <c r="E5722" s="38" t="s">
        <v>241</v>
      </c>
      <c r="F5722" s="38" t="s">
        <v>134</v>
      </c>
      <c r="G5722" s="49" t="str">
        <f t="shared" si="1"/>
        <v>27560</v>
      </c>
      <c r="H5722" s="49">
        <f t="shared" si="2"/>
        <v>27367</v>
      </c>
    </row>
    <row r="5723">
      <c r="A5723" s="48" t="s">
        <v>8902</v>
      </c>
      <c r="B5723" s="38">
        <v>25541.0</v>
      </c>
      <c r="C5723" s="38" t="s">
        <v>8903</v>
      </c>
      <c r="D5723" s="38" t="str">
        <f>IFERROR(__xludf.DUMMYFUNCTION("REGEXREPLACE(C5723,""-\d+(.*)|--\d+(.*)"","""")"),"SEPTFONTAINES")</f>
        <v>SEPTFONTAINES</v>
      </c>
      <c r="E5723" s="38" t="s">
        <v>213</v>
      </c>
      <c r="F5723" s="38" t="s">
        <v>214</v>
      </c>
      <c r="G5723" s="49" t="str">
        <f t="shared" si="1"/>
        <v>25270</v>
      </c>
      <c r="H5723" s="49">
        <f t="shared" si="2"/>
        <v>25541</v>
      </c>
    </row>
    <row r="5724">
      <c r="A5724" s="48" t="s">
        <v>8904</v>
      </c>
      <c r="B5724" s="38">
        <v>48096.0</v>
      </c>
      <c r="C5724" s="38" t="s">
        <v>8905</v>
      </c>
      <c r="D5724" s="38" t="str">
        <f>IFERROR(__xludf.DUMMYFUNCTION("REGEXREPLACE(C5724,""-\d+(.*)|--\d+(.*)"","""")"),"MEYRUEIS")</f>
        <v>MEYRUEIS</v>
      </c>
      <c r="E5724" s="38" t="s">
        <v>154</v>
      </c>
      <c r="F5724" s="38" t="s">
        <v>119</v>
      </c>
      <c r="G5724" s="49" t="str">
        <f t="shared" si="1"/>
        <v>48150</v>
      </c>
      <c r="H5724" s="49">
        <f t="shared" si="2"/>
        <v>48096</v>
      </c>
    </row>
    <row r="5725">
      <c r="A5725" s="48" t="s">
        <v>8906</v>
      </c>
      <c r="B5725" s="38">
        <v>6134.0</v>
      </c>
      <c r="C5725" s="38" t="s">
        <v>8907</v>
      </c>
      <c r="D5725" s="38" t="str">
        <f>IFERROR(__xludf.DUMMYFUNCTION("REGEXREPLACE(C5725,""-\d+(.*)|--\d+(.*)"","""")"),"SERANON")</f>
        <v>SERANON</v>
      </c>
      <c r="E5725" s="38" t="s">
        <v>227</v>
      </c>
      <c r="F5725" s="38" t="s">
        <v>228</v>
      </c>
      <c r="G5725" s="49" t="str">
        <f t="shared" si="1"/>
        <v>06750</v>
      </c>
      <c r="H5725" s="49" t="str">
        <f t="shared" si="2"/>
        <v>06134</v>
      </c>
    </row>
    <row r="5726">
      <c r="A5726" s="48" t="s">
        <v>3716</v>
      </c>
      <c r="B5726" s="38">
        <v>57106.0</v>
      </c>
      <c r="C5726" s="38" t="s">
        <v>8908</v>
      </c>
      <c r="D5726" s="38" t="str">
        <f>IFERROR(__xludf.DUMMYFUNCTION("REGEXREPLACE(C5726,""-\d+(.*)|--\d+(.*)"","""")"),"BOUZONVILLE")</f>
        <v>BOUZONVILLE</v>
      </c>
      <c r="E5726" s="38" t="s">
        <v>303</v>
      </c>
      <c r="F5726" s="38" t="s">
        <v>195</v>
      </c>
      <c r="G5726" s="49" t="str">
        <f t="shared" si="1"/>
        <v>57320</v>
      </c>
      <c r="H5726" s="49">
        <f t="shared" si="2"/>
        <v>57106</v>
      </c>
    </row>
    <row r="5727">
      <c r="A5727" s="48" t="s">
        <v>415</v>
      </c>
      <c r="B5727" s="38">
        <v>21566.0</v>
      </c>
      <c r="C5727" s="38" t="s">
        <v>8909</v>
      </c>
      <c r="D5727" s="38" t="str">
        <f>IFERROR(__xludf.DUMMYFUNCTION("REGEXREPLACE(C5727,""-\d+(.*)|--\d+(.*)"","""")"),"SAINT-PIERRE-EN-VAUX")</f>
        <v>SAINT-PIERRE-EN-VAUX</v>
      </c>
      <c r="E5727" s="38" t="s">
        <v>105</v>
      </c>
      <c r="F5727" s="38" t="s">
        <v>106</v>
      </c>
      <c r="G5727" s="49" t="str">
        <f t="shared" si="1"/>
        <v>21230</v>
      </c>
      <c r="H5727" s="49">
        <f t="shared" si="2"/>
        <v>21566</v>
      </c>
    </row>
    <row r="5728">
      <c r="A5728" s="48" t="s">
        <v>1454</v>
      </c>
      <c r="B5728" s="38">
        <v>60004.0</v>
      </c>
      <c r="C5728" s="38" t="s">
        <v>8910</v>
      </c>
      <c r="D5728" s="38" t="str">
        <f>IFERROR(__xludf.DUMMYFUNCTION("REGEXREPLACE(C5728,""-\d+(.*)|--\d+(.*)"","""")"),"ACHY")</f>
        <v>ACHY</v>
      </c>
      <c r="E5728" s="38" t="s">
        <v>112</v>
      </c>
      <c r="F5728" s="38" t="s">
        <v>113</v>
      </c>
      <c r="G5728" s="49" t="str">
        <f t="shared" si="1"/>
        <v>60690</v>
      </c>
      <c r="H5728" s="49">
        <f t="shared" si="2"/>
        <v>60004</v>
      </c>
    </row>
    <row r="5729">
      <c r="A5729" s="48" t="s">
        <v>580</v>
      </c>
      <c r="B5729" s="38">
        <v>31129.0</v>
      </c>
      <c r="C5729" s="38" t="s">
        <v>8911</v>
      </c>
      <c r="D5729" s="38" t="str">
        <f>IFERROR(__xludf.DUMMYFUNCTION("REGEXREPLACE(C5729,""-\d+(.*)|--\d+(.*)"","""")"),"CAZARIL-LASPENES")</f>
        <v>CAZARIL-LASPENES</v>
      </c>
      <c r="E5729" s="38" t="s">
        <v>93</v>
      </c>
      <c r="F5729" s="38" t="s">
        <v>94</v>
      </c>
      <c r="G5729" s="49" t="str">
        <f t="shared" si="1"/>
        <v>31110</v>
      </c>
      <c r="H5729" s="49">
        <f t="shared" si="2"/>
        <v>31129</v>
      </c>
    </row>
    <row r="5730">
      <c r="A5730" s="48" t="s">
        <v>576</v>
      </c>
      <c r="B5730" s="38">
        <v>54251.0</v>
      </c>
      <c r="C5730" s="38" t="s">
        <v>8912</v>
      </c>
      <c r="D5730" s="38" t="str">
        <f>IFERROR(__xludf.DUMMYFUNCTION("REGEXREPLACE(C5730,""-\d+(.*)|--\d+(.*)"","""")"),"HARBOUEY")</f>
        <v>HARBOUEY</v>
      </c>
      <c r="E5730" s="38" t="s">
        <v>548</v>
      </c>
      <c r="F5730" s="38" t="s">
        <v>195</v>
      </c>
      <c r="G5730" s="49" t="str">
        <f t="shared" si="1"/>
        <v>54450</v>
      </c>
      <c r="H5730" s="49">
        <f t="shared" si="2"/>
        <v>54251</v>
      </c>
    </row>
    <row r="5731">
      <c r="A5731" s="48" t="s">
        <v>2532</v>
      </c>
      <c r="B5731" s="38">
        <v>51458.0</v>
      </c>
      <c r="C5731" s="38" t="s">
        <v>8913</v>
      </c>
      <c r="D5731" s="38" t="str">
        <f>IFERROR(__xludf.DUMMYFUNCTION("REGEXREPLACE(C5731,""-\d+(.*)|--\d+(.*)"","""")"),"REUVES")</f>
        <v>REUVES</v>
      </c>
      <c r="E5731" s="38" t="s">
        <v>129</v>
      </c>
      <c r="F5731" s="38" t="s">
        <v>130</v>
      </c>
      <c r="G5731" s="49" t="str">
        <f t="shared" si="1"/>
        <v>51120</v>
      </c>
      <c r="H5731" s="49">
        <f t="shared" si="2"/>
        <v>51458</v>
      </c>
    </row>
    <row r="5732">
      <c r="A5732" s="48" t="s">
        <v>8914</v>
      </c>
      <c r="B5732" s="38">
        <v>45208.0</v>
      </c>
      <c r="C5732" s="38" t="s">
        <v>8915</v>
      </c>
      <c r="D5732" s="38" t="str">
        <f>IFERROR(__xludf.DUMMYFUNCTION("REGEXREPLACE(C5732,""-\d+(.*)|--\d+(.*)"","""")"),"MONTARGIS")</f>
        <v>MONTARGIS</v>
      </c>
      <c r="E5732" s="38" t="s">
        <v>122</v>
      </c>
      <c r="F5732" s="38" t="s">
        <v>123</v>
      </c>
      <c r="G5732" s="49" t="str">
        <f t="shared" si="1"/>
        <v>45200</v>
      </c>
      <c r="H5732" s="49">
        <f t="shared" si="2"/>
        <v>45208</v>
      </c>
    </row>
    <row r="5733">
      <c r="A5733" s="48" t="s">
        <v>6191</v>
      </c>
      <c r="B5733" s="38">
        <v>50514.0</v>
      </c>
      <c r="C5733" s="38" t="s">
        <v>8916</v>
      </c>
      <c r="D5733" s="38" t="str">
        <f>IFERROR(__xludf.DUMMYFUNCTION("REGEXREPLACE(C5733,""-\d+(.*)|--\d+(.*)"","""")"),"CHAULIEU")</f>
        <v>CHAULIEU</v>
      </c>
      <c r="E5733" s="38" t="s">
        <v>157</v>
      </c>
      <c r="F5733" s="38" t="s">
        <v>138</v>
      </c>
      <c r="G5733" s="49" t="str">
        <f t="shared" si="1"/>
        <v>50150</v>
      </c>
      <c r="H5733" s="49">
        <f t="shared" si="2"/>
        <v>50514</v>
      </c>
    </row>
    <row r="5734">
      <c r="A5734" s="48" t="s">
        <v>8917</v>
      </c>
      <c r="B5734" s="38">
        <v>30033.0</v>
      </c>
      <c r="C5734" s="38" t="s">
        <v>2117</v>
      </c>
      <c r="D5734" s="38" t="str">
        <f>IFERROR(__xludf.DUMMYFUNCTION("REGEXREPLACE(C5734,""-\d+(.*)|--\d+(.*)"","""")"),"BEAUVOISIN")</f>
        <v>BEAUVOISIN</v>
      </c>
      <c r="E5734" s="38" t="s">
        <v>526</v>
      </c>
      <c r="F5734" s="38" t="s">
        <v>119</v>
      </c>
      <c r="G5734" s="49" t="str">
        <f t="shared" si="1"/>
        <v>30640</v>
      </c>
      <c r="H5734" s="49">
        <f t="shared" si="2"/>
        <v>30033</v>
      </c>
    </row>
    <row r="5735">
      <c r="A5735" s="48" t="s">
        <v>5479</v>
      </c>
      <c r="B5735" s="38">
        <v>67285.0</v>
      </c>
      <c r="C5735" s="38" t="s">
        <v>8918</v>
      </c>
      <c r="D5735" s="38" t="str">
        <f>IFERROR(__xludf.DUMMYFUNCTION("REGEXREPLACE(C5735,""-\d+(.*)|--\d+(.*)"","""")"),"MATZENHEIM")</f>
        <v>MATZENHEIM</v>
      </c>
      <c r="E5735" s="38" t="s">
        <v>210</v>
      </c>
      <c r="F5735" s="38" t="s">
        <v>151</v>
      </c>
      <c r="G5735" s="49" t="str">
        <f t="shared" si="1"/>
        <v>67150</v>
      </c>
      <c r="H5735" s="49">
        <f t="shared" si="2"/>
        <v>67285</v>
      </c>
    </row>
    <row r="5736">
      <c r="A5736" s="48" t="s">
        <v>7760</v>
      </c>
      <c r="B5736" s="38">
        <v>54519.0</v>
      </c>
      <c r="C5736" s="38" t="s">
        <v>8919</v>
      </c>
      <c r="D5736" s="38" t="str">
        <f>IFERROR(__xludf.DUMMYFUNCTION("REGEXREPLACE(C5736,""-\d+(.*)|--\d+(.*)"","""")"),"THIAVILLE-SUR-MEURTHE")</f>
        <v>THIAVILLE-SUR-MEURTHE</v>
      </c>
      <c r="E5736" s="38" t="s">
        <v>548</v>
      </c>
      <c r="F5736" s="38" t="s">
        <v>195</v>
      </c>
      <c r="G5736" s="49" t="str">
        <f t="shared" si="1"/>
        <v>54120</v>
      </c>
      <c r="H5736" s="49">
        <f t="shared" si="2"/>
        <v>54519</v>
      </c>
    </row>
    <row r="5737">
      <c r="A5737" s="48" t="s">
        <v>7954</v>
      </c>
      <c r="B5737" s="38">
        <v>40301.0</v>
      </c>
      <c r="C5737" s="38" t="s">
        <v>8920</v>
      </c>
      <c r="D5737" s="38" t="str">
        <f>IFERROR(__xludf.DUMMYFUNCTION("REGEXREPLACE(C5737,""-\d+(.*)|--\d+(.*)"","""")"),"SIEST")</f>
        <v>SIEST</v>
      </c>
      <c r="E5737" s="38" t="s">
        <v>281</v>
      </c>
      <c r="F5737" s="38" t="s">
        <v>252</v>
      </c>
      <c r="G5737" s="49" t="str">
        <f t="shared" si="1"/>
        <v>40180</v>
      </c>
      <c r="H5737" s="49">
        <f t="shared" si="2"/>
        <v>40301</v>
      </c>
    </row>
    <row r="5738">
      <c r="A5738" s="48" t="s">
        <v>6664</v>
      </c>
      <c r="B5738" s="38">
        <v>33319.0</v>
      </c>
      <c r="C5738" s="38" t="s">
        <v>8921</v>
      </c>
      <c r="D5738" s="38" t="str">
        <f>IFERROR(__xludf.DUMMYFUNCTION("REGEXREPLACE(C5738,""-\d+(.*)|--\d+(.*)"","""")"),"PESSAC-SUR-DORDOGNE")</f>
        <v>PESSAC-SUR-DORDOGNE</v>
      </c>
      <c r="E5738" s="38" t="s">
        <v>462</v>
      </c>
      <c r="F5738" s="38" t="s">
        <v>252</v>
      </c>
      <c r="G5738" s="49" t="str">
        <f t="shared" si="1"/>
        <v>33890</v>
      </c>
      <c r="H5738" s="49">
        <f t="shared" si="2"/>
        <v>33319</v>
      </c>
    </row>
    <row r="5739">
      <c r="A5739" s="48" t="s">
        <v>8922</v>
      </c>
      <c r="B5739" s="38">
        <v>27672.0</v>
      </c>
      <c r="C5739" s="38" t="s">
        <v>8923</v>
      </c>
      <c r="D5739" s="38" t="str">
        <f>IFERROR(__xludf.DUMMYFUNCTION("REGEXREPLACE(C5739,""-\d+(.*)|--\d+(.*)"","""")"),"VASCOEUIL")</f>
        <v>VASCOEUIL</v>
      </c>
      <c r="E5739" s="38" t="s">
        <v>241</v>
      </c>
      <c r="F5739" s="38" t="s">
        <v>134</v>
      </c>
      <c r="G5739" s="49" t="str">
        <f t="shared" si="1"/>
        <v>27910</v>
      </c>
      <c r="H5739" s="49">
        <f t="shared" si="2"/>
        <v>27672</v>
      </c>
    </row>
    <row r="5740">
      <c r="A5740" s="48" t="s">
        <v>7752</v>
      </c>
      <c r="B5740" s="38">
        <v>69166.0</v>
      </c>
      <c r="C5740" s="38" t="s">
        <v>8924</v>
      </c>
      <c r="D5740" s="38" t="str">
        <f>IFERROR(__xludf.DUMMYFUNCTION("REGEXREPLACE(C5740,""-\d+(.*)|--\d+(.*)"","""")"),"RIVERIE")</f>
        <v>RIVERIE</v>
      </c>
      <c r="E5740" s="38" t="s">
        <v>350</v>
      </c>
      <c r="F5740" s="38" t="s">
        <v>102</v>
      </c>
      <c r="G5740" s="49" t="str">
        <f t="shared" si="1"/>
        <v>69440</v>
      </c>
      <c r="H5740" s="49">
        <f t="shared" si="2"/>
        <v>69166</v>
      </c>
    </row>
    <row r="5741">
      <c r="A5741" s="48" t="s">
        <v>1334</v>
      </c>
      <c r="B5741" s="38">
        <v>7191.0</v>
      </c>
      <c r="C5741" s="38" t="s">
        <v>8925</v>
      </c>
      <c r="D5741" s="38" t="str">
        <f>IFERROR(__xludf.DUMMYFUNCTION("REGEXREPLACE(C5741,""-\d+(.*)|--\d+(.*)"","""")"),"ROCHEMAURE")</f>
        <v>ROCHEMAURE</v>
      </c>
      <c r="E5741" s="38" t="s">
        <v>144</v>
      </c>
      <c r="F5741" s="38" t="s">
        <v>102</v>
      </c>
      <c r="G5741" s="49" t="str">
        <f t="shared" si="1"/>
        <v>07400</v>
      </c>
      <c r="H5741" s="49" t="str">
        <f t="shared" si="2"/>
        <v>07191</v>
      </c>
    </row>
    <row r="5742">
      <c r="A5742" s="48" t="s">
        <v>8926</v>
      </c>
      <c r="B5742" s="38" t="s">
        <v>8927</v>
      </c>
      <c r="C5742" s="38" t="s">
        <v>8928</v>
      </c>
      <c r="D5742" s="38" t="str">
        <f>IFERROR(__xludf.DUMMYFUNCTION("REGEXREPLACE(C5742,""-\d+(.*)|--\d+(.*)"","""")"),"FURIANI")</f>
        <v>FURIANI</v>
      </c>
      <c r="E5742" s="38" t="s">
        <v>743</v>
      </c>
      <c r="F5742" s="38" t="s">
        <v>607</v>
      </c>
      <c r="G5742" s="49" t="str">
        <f t="shared" si="1"/>
        <v>20600</v>
      </c>
      <c r="H5742" s="49" t="str">
        <f t="shared" si="2"/>
        <v>2B120</v>
      </c>
    </row>
    <row r="5743">
      <c r="A5743" s="48" t="s">
        <v>181</v>
      </c>
      <c r="B5743" s="38">
        <v>51177.0</v>
      </c>
      <c r="C5743" s="38" t="s">
        <v>8929</v>
      </c>
      <c r="D5743" s="38" t="str">
        <f>IFERROR(__xludf.DUMMYFUNCTION("REGEXREPLACE(C5743,""-\d+(.*)|--\d+(.*)"","""")"),"COULOMMES-LA-MONTAGNE")</f>
        <v>COULOMMES-LA-MONTAGNE</v>
      </c>
      <c r="E5743" s="38" t="s">
        <v>129</v>
      </c>
      <c r="F5743" s="38" t="s">
        <v>130</v>
      </c>
      <c r="G5743" s="49" t="str">
        <f t="shared" si="1"/>
        <v>51390</v>
      </c>
      <c r="H5743" s="49">
        <f t="shared" si="2"/>
        <v>51177</v>
      </c>
    </row>
    <row r="5744">
      <c r="A5744" s="48" t="s">
        <v>826</v>
      </c>
      <c r="B5744" s="38">
        <v>21054.0</v>
      </c>
      <c r="C5744" s="38" t="s">
        <v>8930</v>
      </c>
      <c r="D5744" s="38" t="str">
        <f>IFERROR(__xludf.DUMMYFUNCTION("REGEXREPLACE(C5744,""-\d+(.*)|--\d+(.*)"","""")"),"BEAUNE")</f>
        <v>BEAUNE</v>
      </c>
      <c r="E5744" s="38" t="s">
        <v>105</v>
      </c>
      <c r="F5744" s="38" t="s">
        <v>106</v>
      </c>
      <c r="G5744" s="49" t="str">
        <f t="shared" si="1"/>
        <v>21200</v>
      </c>
      <c r="H5744" s="49">
        <f t="shared" si="2"/>
        <v>21054</v>
      </c>
    </row>
    <row r="5745">
      <c r="A5745" s="48" t="s">
        <v>5370</v>
      </c>
      <c r="B5745" s="38">
        <v>15110.0</v>
      </c>
      <c r="C5745" s="38" t="s">
        <v>8931</v>
      </c>
      <c r="D5745" s="38" t="str">
        <f>IFERROR(__xludf.DUMMYFUNCTION("REGEXREPLACE(C5745,""-\d+(.*)|--\d+(.*)"","""")"),"LUGARDE")</f>
        <v>LUGARDE</v>
      </c>
      <c r="E5745" s="38" t="s">
        <v>632</v>
      </c>
      <c r="F5745" s="38" t="s">
        <v>161</v>
      </c>
      <c r="G5745" s="49" t="str">
        <f t="shared" si="1"/>
        <v>15190</v>
      </c>
      <c r="H5745" s="49">
        <f t="shared" si="2"/>
        <v>15110</v>
      </c>
    </row>
    <row r="5746">
      <c r="A5746" s="48" t="s">
        <v>398</v>
      </c>
      <c r="B5746" s="38">
        <v>39203.0</v>
      </c>
      <c r="C5746" s="38" t="s">
        <v>8932</v>
      </c>
      <c r="D5746" s="38" t="str">
        <f>IFERROR(__xludf.DUMMYFUNCTION("REGEXREPLACE(C5746,""-\d+(.*)|--\d+(.*)"","""")"),"DOYE")</f>
        <v>DOYE</v>
      </c>
      <c r="E5746" s="38" t="s">
        <v>400</v>
      </c>
      <c r="F5746" s="38" t="s">
        <v>214</v>
      </c>
      <c r="G5746" s="49" t="str">
        <f t="shared" si="1"/>
        <v>39250</v>
      </c>
      <c r="H5746" s="49">
        <f t="shared" si="2"/>
        <v>39203</v>
      </c>
    </row>
    <row r="5747">
      <c r="A5747" s="48" t="s">
        <v>5866</v>
      </c>
      <c r="B5747" s="38">
        <v>33350.0</v>
      </c>
      <c r="C5747" s="38" t="s">
        <v>8933</v>
      </c>
      <c r="D5747" s="38" t="str">
        <f>IFERROR(__xludf.DUMMYFUNCTION("REGEXREPLACE(C5747,""-\d+(.*)|--\d+(.*)"","""")"),"RAUZAN")</f>
        <v>RAUZAN</v>
      </c>
      <c r="E5747" s="38" t="s">
        <v>462</v>
      </c>
      <c r="F5747" s="38" t="s">
        <v>252</v>
      </c>
      <c r="G5747" s="49" t="str">
        <f t="shared" si="1"/>
        <v>33420</v>
      </c>
      <c r="H5747" s="49">
        <f t="shared" si="2"/>
        <v>33350</v>
      </c>
    </row>
    <row r="5748">
      <c r="A5748" s="48" t="s">
        <v>8934</v>
      </c>
      <c r="B5748" s="38">
        <v>68263.0</v>
      </c>
      <c r="C5748" s="38" t="s">
        <v>8935</v>
      </c>
      <c r="D5748" s="38" t="str">
        <f>IFERROR(__xludf.DUMMYFUNCTION("REGEXREPLACE(C5748,""-\d+(.*)|--\d+(.*)"","""")"),"RANSPACH-LE-BAS")</f>
        <v>RANSPACH-LE-BAS</v>
      </c>
      <c r="E5748" s="38" t="s">
        <v>150</v>
      </c>
      <c r="F5748" s="38" t="s">
        <v>151</v>
      </c>
      <c r="G5748" s="49" t="str">
        <f t="shared" si="1"/>
        <v>68730</v>
      </c>
      <c r="H5748" s="49">
        <f t="shared" si="2"/>
        <v>68263</v>
      </c>
    </row>
    <row r="5749">
      <c r="A5749" s="48" t="s">
        <v>924</v>
      </c>
      <c r="B5749" s="38">
        <v>40116.0</v>
      </c>
      <c r="C5749" s="38" t="s">
        <v>8936</v>
      </c>
      <c r="D5749" s="38" t="str">
        <f>IFERROR(__xludf.DUMMYFUNCTION("REGEXREPLACE(C5749,""-\d+(.*)|--\d+(.*)"","""")"),"GOUTS")</f>
        <v>GOUTS</v>
      </c>
      <c r="E5749" s="38" t="s">
        <v>281</v>
      </c>
      <c r="F5749" s="38" t="s">
        <v>252</v>
      </c>
      <c r="G5749" s="49" t="str">
        <f t="shared" si="1"/>
        <v>40400</v>
      </c>
      <c r="H5749" s="49">
        <f t="shared" si="2"/>
        <v>40116</v>
      </c>
    </row>
    <row r="5750">
      <c r="A5750" s="48" t="s">
        <v>5575</v>
      </c>
      <c r="B5750" s="38">
        <v>80756.0</v>
      </c>
      <c r="C5750" s="38" t="s">
        <v>8937</v>
      </c>
      <c r="D5750" s="38" t="str">
        <f>IFERROR(__xludf.DUMMYFUNCTION("REGEXREPLACE(C5750,""-\d+(.*)|--\d+(.*)"","""")"),"THIEVRES")</f>
        <v>THIEVRES</v>
      </c>
      <c r="E5750" s="38" t="s">
        <v>224</v>
      </c>
      <c r="F5750" s="38" t="s">
        <v>113</v>
      </c>
      <c r="G5750" s="49" t="str">
        <f t="shared" si="1"/>
        <v>62760</v>
      </c>
      <c r="H5750" s="49">
        <f t="shared" si="2"/>
        <v>80756</v>
      </c>
    </row>
    <row r="5751">
      <c r="A5751" s="48" t="s">
        <v>1241</v>
      </c>
      <c r="B5751" s="38">
        <v>71449.0</v>
      </c>
      <c r="C5751" s="38" t="s">
        <v>8938</v>
      </c>
      <c r="D5751" s="38" t="str">
        <f>IFERROR(__xludf.DUMMYFUNCTION("REGEXREPLACE(C5751,""-\d+(.*)|--\d+(.*)"","""")"),"SAINT-MARTIN-D'AUXY")</f>
        <v>SAINT-MARTIN-D'AUXY</v>
      </c>
      <c r="E5751" s="38" t="s">
        <v>344</v>
      </c>
      <c r="F5751" s="38" t="s">
        <v>106</v>
      </c>
      <c r="G5751" s="49" t="str">
        <f t="shared" si="1"/>
        <v>71390</v>
      </c>
      <c r="H5751" s="49">
        <f t="shared" si="2"/>
        <v>71449</v>
      </c>
    </row>
    <row r="5752">
      <c r="A5752" s="48" t="s">
        <v>7614</v>
      </c>
      <c r="B5752" s="38">
        <v>50202.0</v>
      </c>
      <c r="C5752" s="38" t="s">
        <v>8939</v>
      </c>
      <c r="D5752" s="38" t="str">
        <f>IFERROR(__xludf.DUMMYFUNCTION("REGEXREPLACE(C5752,""-\d+(.*)|--\d+(.*)"","""")"),"GIEVILLE")</f>
        <v>GIEVILLE</v>
      </c>
      <c r="E5752" s="38" t="s">
        <v>157</v>
      </c>
      <c r="F5752" s="38" t="s">
        <v>138</v>
      </c>
      <c r="G5752" s="49" t="str">
        <f t="shared" si="1"/>
        <v>50160</v>
      </c>
      <c r="H5752" s="49">
        <f t="shared" si="2"/>
        <v>50202</v>
      </c>
    </row>
    <row r="5753">
      <c r="A5753" s="48" t="s">
        <v>8589</v>
      </c>
      <c r="B5753" s="38">
        <v>27646.0</v>
      </c>
      <c r="C5753" s="38" t="s">
        <v>8940</v>
      </c>
      <c r="D5753" s="38" t="str">
        <f>IFERROR(__xludf.DUMMYFUNCTION("REGEXREPLACE(C5753,""-\d+(.*)|--\d+(.*)"","""")"),"LE TORPT")</f>
        <v>LE TORPT</v>
      </c>
      <c r="E5753" s="38" t="s">
        <v>241</v>
      </c>
      <c r="F5753" s="38" t="s">
        <v>134</v>
      </c>
      <c r="G5753" s="49" t="str">
        <f t="shared" si="1"/>
        <v>27210</v>
      </c>
      <c r="H5753" s="49">
        <f t="shared" si="2"/>
        <v>27646</v>
      </c>
    </row>
    <row r="5754">
      <c r="A5754" s="48" t="s">
        <v>1582</v>
      </c>
      <c r="B5754" s="38">
        <v>45160.0</v>
      </c>
      <c r="C5754" s="38" t="s">
        <v>8941</v>
      </c>
      <c r="D5754" s="38" t="str">
        <f>IFERROR(__xludf.DUMMYFUNCTION("REGEXREPLACE(C5754,""-\d+(.*)|--\d+(.*)"","""")"),"GRENEVILLE-EN-BEAUCE")</f>
        <v>GRENEVILLE-EN-BEAUCE</v>
      </c>
      <c r="E5754" s="38" t="s">
        <v>122</v>
      </c>
      <c r="F5754" s="38" t="s">
        <v>123</v>
      </c>
      <c r="G5754" s="49" t="str">
        <f t="shared" si="1"/>
        <v>45480</v>
      </c>
      <c r="H5754" s="49">
        <f t="shared" si="2"/>
        <v>45160</v>
      </c>
    </row>
    <row r="5755">
      <c r="A5755" s="48" t="s">
        <v>3621</v>
      </c>
      <c r="B5755" s="38">
        <v>52492.0</v>
      </c>
      <c r="C5755" s="38" t="s">
        <v>8942</v>
      </c>
      <c r="D5755" s="38" t="str">
        <f>IFERROR(__xludf.DUMMYFUNCTION("REGEXREPLACE(C5755,""-\d+(.*)|--\d+(.*)"","""")"),"TORCENAY")</f>
        <v>TORCENAY</v>
      </c>
      <c r="E5755" s="38" t="s">
        <v>234</v>
      </c>
      <c r="F5755" s="38" t="s">
        <v>130</v>
      </c>
      <c r="G5755" s="49" t="str">
        <f t="shared" si="1"/>
        <v>52600</v>
      </c>
      <c r="H5755" s="49">
        <f t="shared" si="2"/>
        <v>52492</v>
      </c>
    </row>
    <row r="5756">
      <c r="A5756" s="48" t="s">
        <v>1081</v>
      </c>
      <c r="B5756" s="38">
        <v>14080.0</v>
      </c>
      <c r="C5756" s="38" t="s">
        <v>8943</v>
      </c>
      <c r="D5756" s="38" t="str">
        <f>IFERROR(__xludf.DUMMYFUNCTION("REGEXREPLACE(C5756,""-\d+(.*)|--\d+(.*)"","""")"),"LE BO")</f>
        <v>LE BO</v>
      </c>
      <c r="E5756" s="38" t="s">
        <v>137</v>
      </c>
      <c r="F5756" s="38" t="s">
        <v>138</v>
      </c>
      <c r="G5756" s="49" t="str">
        <f t="shared" si="1"/>
        <v>14690</v>
      </c>
      <c r="H5756" s="49">
        <f t="shared" si="2"/>
        <v>14080</v>
      </c>
    </row>
    <row r="5757">
      <c r="A5757" s="48" t="s">
        <v>2239</v>
      </c>
      <c r="B5757" s="38">
        <v>87062.0</v>
      </c>
      <c r="C5757" s="38" t="s">
        <v>8944</v>
      </c>
      <c r="D5757" s="38" t="str">
        <f>IFERROR(__xludf.DUMMYFUNCTION("REGEXREPLACE(C5757,""-\d+(.*)|--\d+(.*)"","""")"),"EYBOULEUF")</f>
        <v>EYBOULEUF</v>
      </c>
      <c r="E5757" s="38" t="s">
        <v>897</v>
      </c>
      <c r="F5757" s="38" t="s">
        <v>98</v>
      </c>
      <c r="G5757" s="49" t="str">
        <f t="shared" si="1"/>
        <v>87400</v>
      </c>
      <c r="H5757" s="49">
        <f t="shared" si="2"/>
        <v>87062</v>
      </c>
    </row>
    <row r="5758">
      <c r="A5758" s="48" t="s">
        <v>8945</v>
      </c>
      <c r="B5758" s="38">
        <v>72019.0</v>
      </c>
      <c r="C5758" s="38" t="s">
        <v>8946</v>
      </c>
      <c r="D5758" s="38" t="str">
        <f>IFERROR(__xludf.DUMMYFUNCTION("REGEXREPLACE(C5758,""-\d+(.*)|--\d+(.*)"","""")"),"AVESSE")</f>
        <v>AVESSE</v>
      </c>
      <c r="E5758" s="38" t="s">
        <v>521</v>
      </c>
      <c r="F5758" s="38" t="s">
        <v>180</v>
      </c>
      <c r="G5758" s="49" t="str">
        <f t="shared" si="1"/>
        <v>72350</v>
      </c>
      <c r="H5758" s="49">
        <f t="shared" si="2"/>
        <v>72019</v>
      </c>
    </row>
    <row r="5759">
      <c r="A5759" s="48" t="s">
        <v>4142</v>
      </c>
      <c r="B5759" s="38">
        <v>16285.0</v>
      </c>
      <c r="C5759" s="38" t="s">
        <v>8947</v>
      </c>
      <c r="D5759" s="38" t="str">
        <f>IFERROR(__xludf.DUMMYFUNCTION("REGEXREPLACE(C5759,""-\d+(.*)|--\d+(.*)"","""")"),"ROUGNAC")</f>
        <v>ROUGNAC</v>
      </c>
      <c r="E5759" s="38" t="s">
        <v>429</v>
      </c>
      <c r="F5759" s="38" t="s">
        <v>338</v>
      </c>
      <c r="G5759" s="49" t="str">
        <f t="shared" si="1"/>
        <v>16320</v>
      </c>
      <c r="H5759" s="49">
        <f t="shared" si="2"/>
        <v>16285</v>
      </c>
    </row>
    <row r="5760">
      <c r="A5760" s="48" t="s">
        <v>4352</v>
      </c>
      <c r="B5760" s="38">
        <v>81058.0</v>
      </c>
      <c r="C5760" s="38" t="s">
        <v>8948</v>
      </c>
      <c r="D5760" s="38" t="str">
        <f>IFERROR(__xludf.DUMMYFUNCTION("REGEXREPLACE(C5760,""-\d+(.*)|--\d+(.*)"","""")"),"CARBES")</f>
        <v>CARBES</v>
      </c>
      <c r="E5760" s="38" t="s">
        <v>231</v>
      </c>
      <c r="F5760" s="38" t="s">
        <v>94</v>
      </c>
      <c r="G5760" s="49" t="str">
        <f t="shared" si="1"/>
        <v>81570</v>
      </c>
      <c r="H5760" s="49">
        <f t="shared" si="2"/>
        <v>81058</v>
      </c>
    </row>
    <row r="5761">
      <c r="A5761" s="48" t="s">
        <v>423</v>
      </c>
      <c r="B5761" s="38">
        <v>2568.0</v>
      </c>
      <c r="C5761" s="38" t="s">
        <v>8949</v>
      </c>
      <c r="D5761" s="38" t="str">
        <f>IFERROR(__xludf.DUMMYFUNCTION("REGEXREPLACE(C5761,""-\d+(.*)|--\d+(.*)"","""")"),"OIGNY-EN-VALOIS")</f>
        <v>OIGNY-EN-VALOIS</v>
      </c>
      <c r="E5761" s="38" t="s">
        <v>191</v>
      </c>
      <c r="F5761" s="38" t="s">
        <v>113</v>
      </c>
      <c r="G5761" s="49" t="str">
        <f t="shared" si="1"/>
        <v>02600</v>
      </c>
      <c r="H5761" s="49" t="str">
        <f t="shared" si="2"/>
        <v>02568</v>
      </c>
    </row>
    <row r="5762">
      <c r="A5762" s="48" t="s">
        <v>8950</v>
      </c>
      <c r="B5762" s="38">
        <v>53098.0</v>
      </c>
      <c r="C5762" s="38" t="s">
        <v>8951</v>
      </c>
      <c r="D5762" s="38" t="str">
        <f>IFERROR(__xludf.DUMMYFUNCTION("REGEXREPLACE(C5762,""-\d+(.*)|--\d+(.*)"","""")"),"FONTAINE-COUVERTE")</f>
        <v>FONTAINE-COUVERTE</v>
      </c>
      <c r="E5762" s="38" t="s">
        <v>518</v>
      </c>
      <c r="F5762" s="38" t="s">
        <v>180</v>
      </c>
      <c r="G5762" s="49" t="str">
        <f t="shared" si="1"/>
        <v>53350</v>
      </c>
      <c r="H5762" s="49">
        <f t="shared" si="2"/>
        <v>53098</v>
      </c>
    </row>
    <row r="5763">
      <c r="A5763" s="48" t="s">
        <v>1562</v>
      </c>
      <c r="B5763" s="38">
        <v>24436.0</v>
      </c>
      <c r="C5763" s="38" t="s">
        <v>8952</v>
      </c>
      <c r="D5763" s="38" t="str">
        <f>IFERROR(__xludf.DUMMYFUNCTION("REGEXREPLACE(C5763,""-\d+(.*)|--\d+(.*)"","""")"),"SAINT-LAURENT-DES-HOMMES")</f>
        <v>SAINT-LAURENT-DES-HOMMES</v>
      </c>
      <c r="E5763" s="38" t="s">
        <v>261</v>
      </c>
      <c r="F5763" s="38" t="s">
        <v>252</v>
      </c>
      <c r="G5763" s="49" t="str">
        <f t="shared" si="1"/>
        <v>24400</v>
      </c>
      <c r="H5763" s="49">
        <f t="shared" si="2"/>
        <v>24436</v>
      </c>
    </row>
    <row r="5764">
      <c r="A5764" s="48" t="s">
        <v>405</v>
      </c>
      <c r="B5764" s="38">
        <v>79043.0</v>
      </c>
      <c r="C5764" s="38" t="s">
        <v>8953</v>
      </c>
      <c r="D5764" s="38" t="str">
        <f>IFERROR(__xludf.DUMMYFUNCTION("REGEXREPLACE(C5764,""-\d+(.*)|--\d+(.*)"","""")"),"BOUILLE-LORETZ")</f>
        <v>BOUILLE-LORETZ</v>
      </c>
      <c r="E5764" s="38" t="s">
        <v>337</v>
      </c>
      <c r="F5764" s="38" t="s">
        <v>338</v>
      </c>
      <c r="G5764" s="49" t="str">
        <f t="shared" si="1"/>
        <v>79290</v>
      </c>
      <c r="H5764" s="49">
        <f t="shared" si="2"/>
        <v>79043</v>
      </c>
    </row>
    <row r="5765">
      <c r="A5765" s="48" t="s">
        <v>358</v>
      </c>
      <c r="B5765" s="38">
        <v>10328.0</v>
      </c>
      <c r="C5765" s="38" t="s">
        <v>8954</v>
      </c>
      <c r="D5765" s="38" t="str">
        <f>IFERROR(__xludf.DUMMYFUNCTION("REGEXREPLACE(C5765,""-\d+(.*)|--\d+(.*)"","""")"),"ROUILLY-SACEY")</f>
        <v>ROUILLY-SACEY</v>
      </c>
      <c r="E5765" s="38" t="s">
        <v>147</v>
      </c>
      <c r="F5765" s="38" t="s">
        <v>130</v>
      </c>
      <c r="G5765" s="49" t="str">
        <f t="shared" si="1"/>
        <v>10220</v>
      </c>
      <c r="H5765" s="49">
        <f t="shared" si="2"/>
        <v>10328</v>
      </c>
    </row>
    <row r="5766">
      <c r="A5766" s="48" t="s">
        <v>2761</v>
      </c>
      <c r="B5766" s="38">
        <v>7050.0</v>
      </c>
      <c r="C5766" s="38" t="s">
        <v>8955</v>
      </c>
      <c r="D5766" s="38" t="str">
        <f>IFERROR(__xludf.DUMMYFUNCTION("REGEXREPLACE(C5766,""-\d+(.*)|--\d+(.*)"","""")"),"CHAMBONAS")</f>
        <v>CHAMBONAS</v>
      </c>
      <c r="E5766" s="38" t="s">
        <v>144</v>
      </c>
      <c r="F5766" s="38" t="s">
        <v>102</v>
      </c>
      <c r="G5766" s="49" t="str">
        <f t="shared" si="1"/>
        <v>07140</v>
      </c>
      <c r="H5766" s="49" t="str">
        <f t="shared" si="2"/>
        <v>07050</v>
      </c>
    </row>
    <row r="5767">
      <c r="A5767" s="48" t="s">
        <v>8956</v>
      </c>
      <c r="B5767" s="38">
        <v>34017.0</v>
      </c>
      <c r="C5767" s="38" t="s">
        <v>8957</v>
      </c>
      <c r="D5767" s="38" t="str">
        <f>IFERROR(__xludf.DUMMYFUNCTION("REGEXREPLACE(C5767,""-\d+(.*)|--\d+(.*)"","""")"),"AUMES")</f>
        <v>AUMES</v>
      </c>
      <c r="E5767" s="38" t="s">
        <v>118</v>
      </c>
      <c r="F5767" s="38" t="s">
        <v>119</v>
      </c>
      <c r="G5767" s="49" t="str">
        <f t="shared" si="1"/>
        <v>34530</v>
      </c>
      <c r="H5767" s="49">
        <f t="shared" si="2"/>
        <v>34017</v>
      </c>
    </row>
    <row r="5768">
      <c r="A5768" s="48" t="s">
        <v>1806</v>
      </c>
      <c r="B5768" s="38">
        <v>90035.0</v>
      </c>
      <c r="C5768" s="38" t="s">
        <v>8958</v>
      </c>
      <c r="D5768" s="38" t="str">
        <f>IFERROR(__xludf.DUMMYFUNCTION("REGEXREPLACE(C5768,""-\d+(.*)|--\d+(.*)"","""")"),"DORANS")</f>
        <v>DORANS</v>
      </c>
      <c r="E5768" s="38" t="s">
        <v>1283</v>
      </c>
      <c r="F5768" s="38" t="s">
        <v>214</v>
      </c>
      <c r="G5768" s="49" t="str">
        <f t="shared" si="1"/>
        <v>90400</v>
      </c>
      <c r="H5768" s="49">
        <f t="shared" si="2"/>
        <v>90035</v>
      </c>
    </row>
    <row r="5769">
      <c r="A5769" s="48" t="s">
        <v>1233</v>
      </c>
      <c r="B5769" s="38">
        <v>60510.0</v>
      </c>
      <c r="C5769" s="38" t="s">
        <v>8959</v>
      </c>
      <c r="D5769" s="38" t="str">
        <f>IFERROR(__xludf.DUMMYFUNCTION("REGEXREPLACE(C5769,""-\d+(.*)|--\d+(.*)"","""")"),"PORCHEUX")</f>
        <v>PORCHEUX</v>
      </c>
      <c r="E5769" s="38" t="s">
        <v>112</v>
      </c>
      <c r="F5769" s="38" t="s">
        <v>113</v>
      </c>
      <c r="G5769" s="49" t="str">
        <f t="shared" si="1"/>
        <v>60390</v>
      </c>
      <c r="H5769" s="49">
        <f t="shared" si="2"/>
        <v>60510</v>
      </c>
    </row>
    <row r="5770">
      <c r="A5770" s="48" t="s">
        <v>5840</v>
      </c>
      <c r="B5770" s="38">
        <v>71171.0</v>
      </c>
      <c r="C5770" s="38" t="s">
        <v>8960</v>
      </c>
      <c r="D5770" s="38" t="str">
        <f>IFERROR(__xludf.DUMMYFUNCTION("REGEXREPLACE(C5770,""-\d+(.*)|--\d+(.*)"","""")"),"DENNEVY")</f>
        <v>DENNEVY</v>
      </c>
      <c r="E5770" s="38" t="s">
        <v>344</v>
      </c>
      <c r="F5770" s="38" t="s">
        <v>106</v>
      </c>
      <c r="G5770" s="49" t="str">
        <f t="shared" si="1"/>
        <v>71510</v>
      </c>
      <c r="H5770" s="49">
        <f t="shared" si="2"/>
        <v>71171</v>
      </c>
    </row>
    <row r="5771">
      <c r="A5771" s="48" t="s">
        <v>301</v>
      </c>
      <c r="B5771" s="38">
        <v>57558.0</v>
      </c>
      <c r="C5771" s="38" t="s">
        <v>8961</v>
      </c>
      <c r="D5771" s="38" t="str">
        <f>IFERROR(__xludf.DUMMYFUNCTION("REGEXREPLACE(C5771,""-\d+(.*)|--\d+(.*)"","""")"),"PUTTIGNY")</f>
        <v>PUTTIGNY</v>
      </c>
      <c r="E5771" s="38" t="s">
        <v>303</v>
      </c>
      <c r="F5771" s="38" t="s">
        <v>195</v>
      </c>
      <c r="G5771" s="49" t="str">
        <f t="shared" si="1"/>
        <v>57170</v>
      </c>
      <c r="H5771" s="49">
        <f t="shared" si="2"/>
        <v>57558</v>
      </c>
    </row>
    <row r="5772">
      <c r="A5772" s="48" t="s">
        <v>8962</v>
      </c>
      <c r="B5772" s="38">
        <v>12210.0</v>
      </c>
      <c r="C5772" s="38" t="s">
        <v>8963</v>
      </c>
      <c r="D5772" s="38" t="str">
        <f>IFERROR(__xludf.DUMMYFUNCTION("REGEXREPLACE(C5772,""-\d+(.*)|--\d+(.*)"","""")"),"SAINT-ANDRE-DE-NAJAC")</f>
        <v>SAINT-ANDRE-DE-NAJAC</v>
      </c>
      <c r="E5772" s="38" t="s">
        <v>465</v>
      </c>
      <c r="F5772" s="38" t="s">
        <v>94</v>
      </c>
      <c r="G5772" s="49" t="str">
        <f t="shared" si="1"/>
        <v>12270</v>
      </c>
      <c r="H5772" s="49">
        <f t="shared" si="2"/>
        <v>12210</v>
      </c>
    </row>
    <row r="5773">
      <c r="A5773" s="48" t="s">
        <v>8964</v>
      </c>
      <c r="B5773" s="38">
        <v>70063.0</v>
      </c>
      <c r="C5773" s="38" t="s">
        <v>8965</v>
      </c>
      <c r="D5773" s="38" t="str">
        <f>IFERROR(__xludf.DUMMYFUNCTION("REGEXREPLACE(C5773,""-\d+(.*)|--\d+(.*)"","""")"),"BELONCHAMP")</f>
        <v>BELONCHAMP</v>
      </c>
      <c r="E5773" s="38" t="s">
        <v>956</v>
      </c>
      <c r="F5773" s="38" t="s">
        <v>214</v>
      </c>
      <c r="G5773" s="49" t="str">
        <f t="shared" si="1"/>
        <v>70270</v>
      </c>
      <c r="H5773" s="49">
        <f t="shared" si="2"/>
        <v>70063</v>
      </c>
    </row>
    <row r="5774">
      <c r="A5774" s="48" t="s">
        <v>8966</v>
      </c>
      <c r="B5774" s="38">
        <v>38339.0</v>
      </c>
      <c r="C5774" s="38" t="s">
        <v>3402</v>
      </c>
      <c r="D5774" s="38" t="str">
        <f>IFERROR(__xludf.DUMMYFUNCTION("REGEXREPLACE(C5774,""-\d+(.*)|--\d+(.*)"","""")"),"ROCHE")</f>
        <v>ROCHE</v>
      </c>
      <c r="E5774" s="38" t="s">
        <v>101</v>
      </c>
      <c r="F5774" s="38" t="s">
        <v>102</v>
      </c>
      <c r="G5774" s="49" t="str">
        <f t="shared" si="1"/>
        <v>38090</v>
      </c>
      <c r="H5774" s="49">
        <f t="shared" si="2"/>
        <v>38339</v>
      </c>
    </row>
    <row r="5775">
      <c r="A5775" s="48" t="s">
        <v>8967</v>
      </c>
      <c r="B5775" s="38">
        <v>80380.0</v>
      </c>
      <c r="C5775" s="38" t="s">
        <v>8968</v>
      </c>
      <c r="D5775" s="38" t="str">
        <f>IFERROR(__xludf.DUMMYFUNCTION("REGEXREPLACE(C5775,""-\d+(.*)|--\d+(.*)"","""")"),"GORENFLOS")</f>
        <v>GORENFLOS</v>
      </c>
      <c r="E5775" s="38" t="s">
        <v>224</v>
      </c>
      <c r="F5775" s="38" t="s">
        <v>113</v>
      </c>
      <c r="G5775" s="49" t="str">
        <f t="shared" si="1"/>
        <v>80690</v>
      </c>
      <c r="H5775" s="49">
        <f t="shared" si="2"/>
        <v>80380</v>
      </c>
    </row>
    <row r="5776">
      <c r="A5776" s="48" t="s">
        <v>8969</v>
      </c>
      <c r="B5776" s="38">
        <v>19133.0</v>
      </c>
      <c r="C5776" s="38" t="s">
        <v>8970</v>
      </c>
      <c r="D5776" s="38" t="str">
        <f>IFERROR(__xludf.DUMMYFUNCTION("REGEXREPLACE(C5776,""-\d+(.*)|--\d+(.*)"","""")"),"MERCOEUR")</f>
        <v>MERCOEUR</v>
      </c>
      <c r="E5776" s="38" t="s">
        <v>271</v>
      </c>
      <c r="F5776" s="38" t="s">
        <v>98</v>
      </c>
      <c r="G5776" s="49" t="str">
        <f t="shared" si="1"/>
        <v>19430</v>
      </c>
      <c r="H5776" s="49">
        <f t="shared" si="2"/>
        <v>19133</v>
      </c>
    </row>
    <row r="5777">
      <c r="A5777" s="48" t="s">
        <v>2681</v>
      </c>
      <c r="B5777" s="38">
        <v>67085.0</v>
      </c>
      <c r="C5777" s="38" t="s">
        <v>8971</v>
      </c>
      <c r="D5777" s="38" t="str">
        <f>IFERROR(__xludf.DUMMYFUNCTION("REGEXREPLACE(C5777,""-\d+(.*)|--\d+(.*)"","""")"),"DANGOLSHEIM")</f>
        <v>DANGOLSHEIM</v>
      </c>
      <c r="E5777" s="38" t="s">
        <v>210</v>
      </c>
      <c r="F5777" s="38" t="s">
        <v>151</v>
      </c>
      <c r="G5777" s="49" t="str">
        <f t="shared" si="1"/>
        <v>67310</v>
      </c>
      <c r="H5777" s="49">
        <f t="shared" si="2"/>
        <v>67085</v>
      </c>
    </row>
    <row r="5778">
      <c r="A5778" s="48" t="s">
        <v>4748</v>
      </c>
      <c r="B5778" s="38">
        <v>77460.0</v>
      </c>
      <c r="C5778" s="38" t="s">
        <v>8972</v>
      </c>
      <c r="D5778" s="38" t="str">
        <f>IFERROR(__xludf.DUMMYFUNCTION("REGEXREPLACE(C5778,""-\d+(.*)|--\d+(.*)"","""")"),"TANCROU")</f>
        <v>TANCROU</v>
      </c>
      <c r="E5778" s="38" t="s">
        <v>244</v>
      </c>
      <c r="F5778" s="38" t="s">
        <v>245</v>
      </c>
      <c r="G5778" s="49" t="str">
        <f t="shared" si="1"/>
        <v>77440</v>
      </c>
      <c r="H5778" s="49">
        <f t="shared" si="2"/>
        <v>77460</v>
      </c>
    </row>
    <row r="5779">
      <c r="A5779" s="48" t="s">
        <v>5761</v>
      </c>
      <c r="B5779" s="38">
        <v>17332.0</v>
      </c>
      <c r="C5779" s="38" t="s">
        <v>8973</v>
      </c>
      <c r="D5779" s="38" t="str">
        <f>IFERROR(__xludf.DUMMYFUNCTION("REGEXREPLACE(C5779,""-\d+(.*)|--\d+(.*)"","""")"),"SAINT-GEORGES-ANTIGNAC")</f>
        <v>SAINT-GEORGES-ANTIGNAC</v>
      </c>
      <c r="E5779" s="38" t="s">
        <v>488</v>
      </c>
      <c r="F5779" s="38" t="s">
        <v>338</v>
      </c>
      <c r="G5779" s="49" t="str">
        <f t="shared" si="1"/>
        <v>17240</v>
      </c>
      <c r="H5779" s="49">
        <f t="shared" si="2"/>
        <v>17332</v>
      </c>
    </row>
    <row r="5780">
      <c r="A5780" s="48" t="s">
        <v>2008</v>
      </c>
      <c r="B5780" s="38">
        <v>46175.0</v>
      </c>
      <c r="C5780" s="38" t="s">
        <v>8974</v>
      </c>
      <c r="D5780" s="38" t="str">
        <f>IFERROR(__xludf.DUMMYFUNCTION("REGEXREPLACE(C5780,""-\d+(.*)|--\d+(.*)"","""")"),"LISSAC-ET-MOURET")</f>
        <v>LISSAC-ET-MOURET</v>
      </c>
      <c r="E5780" s="38" t="s">
        <v>185</v>
      </c>
      <c r="F5780" s="38" t="s">
        <v>94</v>
      </c>
      <c r="G5780" s="49" t="str">
        <f t="shared" si="1"/>
        <v>46100</v>
      </c>
      <c r="H5780" s="49">
        <f t="shared" si="2"/>
        <v>46175</v>
      </c>
    </row>
    <row r="5781">
      <c r="A5781" s="48" t="s">
        <v>1616</v>
      </c>
      <c r="B5781" s="38">
        <v>10377.0</v>
      </c>
      <c r="C5781" s="38" t="s">
        <v>5366</v>
      </c>
      <c r="D5781" s="38" t="str">
        <f>IFERROR(__xludf.DUMMYFUNCTION("REGEXREPLACE(C5781,""-\d+(.*)|--\d+(.*)"","""")"),"THIL")</f>
        <v>THIL</v>
      </c>
      <c r="E5781" s="38" t="s">
        <v>147</v>
      </c>
      <c r="F5781" s="38" t="s">
        <v>130</v>
      </c>
      <c r="G5781" s="49" t="str">
        <f t="shared" si="1"/>
        <v>10200</v>
      </c>
      <c r="H5781" s="49">
        <f t="shared" si="2"/>
        <v>10377</v>
      </c>
    </row>
    <row r="5782">
      <c r="A5782" s="48" t="s">
        <v>1754</v>
      </c>
      <c r="B5782" s="38">
        <v>14105.0</v>
      </c>
      <c r="C5782" s="38" t="s">
        <v>8975</v>
      </c>
      <c r="D5782" s="38" t="str">
        <f>IFERROR(__xludf.DUMMYFUNCTION("REGEXREPLACE(C5782,""-\d+(.*)|--\d+(.*)"","""")"),"LA BREVIERE")</f>
        <v>LA BREVIERE</v>
      </c>
      <c r="E5782" s="38" t="s">
        <v>137</v>
      </c>
      <c r="F5782" s="38" t="s">
        <v>138</v>
      </c>
      <c r="G5782" s="49" t="str">
        <f t="shared" si="1"/>
        <v>14140</v>
      </c>
      <c r="H5782" s="49">
        <f t="shared" si="2"/>
        <v>14105</v>
      </c>
    </row>
    <row r="5783">
      <c r="A5783" s="48" t="s">
        <v>3951</v>
      </c>
      <c r="B5783" s="38">
        <v>24408.0</v>
      </c>
      <c r="C5783" s="38" t="s">
        <v>8976</v>
      </c>
      <c r="D5783" s="38" t="str">
        <f>IFERROR(__xludf.DUMMYFUNCTION("REGEXREPLACE(C5783,""-\d+(.*)|--\d+(.*)"","""")"),"SAINT-FRONT-D'ALEMPS")</f>
        <v>SAINT-FRONT-D'ALEMPS</v>
      </c>
      <c r="E5783" s="38" t="s">
        <v>261</v>
      </c>
      <c r="F5783" s="38" t="s">
        <v>252</v>
      </c>
      <c r="G5783" s="49" t="str">
        <f t="shared" si="1"/>
        <v>24460</v>
      </c>
      <c r="H5783" s="49">
        <f t="shared" si="2"/>
        <v>24408</v>
      </c>
    </row>
    <row r="5784">
      <c r="A5784" s="48" t="s">
        <v>2427</v>
      </c>
      <c r="B5784" s="38">
        <v>47315.0</v>
      </c>
      <c r="C5784" s="38" t="s">
        <v>8977</v>
      </c>
      <c r="D5784" s="38" t="str">
        <f>IFERROR(__xludf.DUMMYFUNCTION("REGEXREPLACE(C5784,""-\d+(.*)|--\d+(.*)"","""")"),"TRENTELS")</f>
        <v>TRENTELS</v>
      </c>
      <c r="E5784" s="38" t="s">
        <v>251</v>
      </c>
      <c r="F5784" s="38" t="s">
        <v>252</v>
      </c>
      <c r="G5784" s="49" t="str">
        <f t="shared" si="1"/>
        <v>47140</v>
      </c>
      <c r="H5784" s="49">
        <f t="shared" si="2"/>
        <v>47315</v>
      </c>
    </row>
    <row r="5785">
      <c r="A5785" s="48" t="s">
        <v>5428</v>
      </c>
      <c r="B5785" s="38">
        <v>74051.0</v>
      </c>
      <c r="C5785" s="38" t="s">
        <v>8978</v>
      </c>
      <c r="D5785" s="38" t="str">
        <f>IFERROR(__xludf.DUMMYFUNCTION("REGEXREPLACE(C5785,""-\d+(.*)|--\d+(.*)"","""")"),"CERCIER")</f>
        <v>CERCIER</v>
      </c>
      <c r="E5785" s="38" t="s">
        <v>319</v>
      </c>
      <c r="F5785" s="38" t="s">
        <v>102</v>
      </c>
      <c r="G5785" s="49" t="str">
        <f t="shared" si="1"/>
        <v>74350</v>
      </c>
      <c r="H5785" s="49">
        <f t="shared" si="2"/>
        <v>74051</v>
      </c>
    </row>
    <row r="5786">
      <c r="A5786" s="48" t="s">
        <v>8979</v>
      </c>
      <c r="B5786" s="38">
        <v>17245.0</v>
      </c>
      <c r="C5786" s="38" t="s">
        <v>8980</v>
      </c>
      <c r="D5786" s="38" t="str">
        <f>IFERROR(__xludf.DUMMYFUNCTION("REGEXREPLACE(C5786,""-\d+(.*)|--\d+(.*)"","""")"),"MONTROY")</f>
        <v>MONTROY</v>
      </c>
      <c r="E5786" s="38" t="s">
        <v>488</v>
      </c>
      <c r="F5786" s="38" t="s">
        <v>338</v>
      </c>
      <c r="G5786" s="49" t="str">
        <f t="shared" si="1"/>
        <v>17220</v>
      </c>
      <c r="H5786" s="49">
        <f t="shared" si="2"/>
        <v>17245</v>
      </c>
    </row>
    <row r="5787">
      <c r="A5787" s="48" t="s">
        <v>2955</v>
      </c>
      <c r="B5787" s="38">
        <v>76665.0</v>
      </c>
      <c r="C5787" s="38" t="s">
        <v>8981</v>
      </c>
      <c r="D5787" s="38" t="str">
        <f>IFERROR(__xludf.DUMMYFUNCTION("REGEXREPLACE(C5787,""-\d+(.*)|--\d+(.*)"","""")"),"SAUCHAY")</f>
        <v>SAUCHAY</v>
      </c>
      <c r="E5787" s="38" t="s">
        <v>133</v>
      </c>
      <c r="F5787" s="38" t="s">
        <v>134</v>
      </c>
      <c r="G5787" s="49" t="str">
        <f t="shared" si="1"/>
        <v>76630</v>
      </c>
      <c r="H5787" s="49">
        <f t="shared" si="2"/>
        <v>76665</v>
      </c>
    </row>
    <row r="5788">
      <c r="A5788" s="48" t="s">
        <v>997</v>
      </c>
      <c r="B5788" s="38">
        <v>55350.0</v>
      </c>
      <c r="C5788" s="38" t="s">
        <v>8982</v>
      </c>
      <c r="D5788" s="38" t="str">
        <f>IFERROR(__xludf.DUMMYFUNCTION("REGEXREPLACE(C5788,""-\d+(.*)|--\d+(.*)"","""")"),"MONTIGNY-LES-VAUCOULEURS")</f>
        <v>MONTIGNY-LES-VAUCOULEURS</v>
      </c>
      <c r="E5788" s="38" t="s">
        <v>322</v>
      </c>
      <c r="F5788" s="38" t="s">
        <v>195</v>
      </c>
      <c r="G5788" s="49" t="str">
        <f t="shared" si="1"/>
        <v>55140</v>
      </c>
      <c r="H5788" s="49">
        <f t="shared" si="2"/>
        <v>55350</v>
      </c>
    </row>
    <row r="5789">
      <c r="A5789" s="48" t="s">
        <v>3026</v>
      </c>
      <c r="B5789" s="38">
        <v>2229.0</v>
      </c>
      <c r="C5789" s="38" t="s">
        <v>8983</v>
      </c>
      <c r="D5789" s="38" t="str">
        <f>IFERROR(__xludf.DUMMYFUNCTION("REGEXREPLACE(C5789,""-\d+(.*)|--\d+(.*)"","""")"),"COURTRIZY-ET-FUSSIGNY")</f>
        <v>COURTRIZY-ET-FUSSIGNY</v>
      </c>
      <c r="E5789" s="38" t="s">
        <v>191</v>
      </c>
      <c r="F5789" s="38" t="s">
        <v>113</v>
      </c>
      <c r="G5789" s="49" t="str">
        <f t="shared" si="1"/>
        <v>02820</v>
      </c>
      <c r="H5789" s="49" t="str">
        <f t="shared" si="2"/>
        <v>02229</v>
      </c>
    </row>
    <row r="5790">
      <c r="A5790" s="48" t="s">
        <v>7662</v>
      </c>
      <c r="B5790" s="38">
        <v>72369.0</v>
      </c>
      <c r="C5790" s="38" t="s">
        <v>8984</v>
      </c>
      <c r="D5790" s="38" t="str">
        <f>IFERROR(__xludf.DUMMYFUNCTION("REGEXREPLACE(C5790,""-\d+(.*)|--\d+(.*)"","""")"),"VERNEIL-LE-CHETIF")</f>
        <v>VERNEIL-LE-CHETIF</v>
      </c>
      <c r="E5790" s="38" t="s">
        <v>521</v>
      </c>
      <c r="F5790" s="38" t="s">
        <v>180</v>
      </c>
      <c r="G5790" s="49" t="str">
        <f t="shared" si="1"/>
        <v>72360</v>
      </c>
      <c r="H5790" s="49">
        <f t="shared" si="2"/>
        <v>72369</v>
      </c>
    </row>
    <row r="5791">
      <c r="A5791" s="48" t="s">
        <v>8985</v>
      </c>
      <c r="B5791" s="38">
        <v>37003.0</v>
      </c>
      <c r="C5791" s="38" t="s">
        <v>8986</v>
      </c>
      <c r="D5791" s="38" t="str">
        <f>IFERROR(__xludf.DUMMYFUNCTION("REGEXREPLACE(C5791,""-\d+(.*)|--\d+(.*)"","""")"),"AMBOISE")</f>
        <v>AMBOISE</v>
      </c>
      <c r="E5791" s="38" t="s">
        <v>205</v>
      </c>
      <c r="F5791" s="38" t="s">
        <v>123</v>
      </c>
      <c r="G5791" s="49" t="str">
        <f t="shared" si="1"/>
        <v>37400</v>
      </c>
      <c r="H5791" s="49">
        <f t="shared" si="2"/>
        <v>37003</v>
      </c>
    </row>
    <row r="5792">
      <c r="A5792" s="48" t="s">
        <v>3541</v>
      </c>
      <c r="B5792" s="38">
        <v>32199.0</v>
      </c>
      <c r="C5792" s="38" t="s">
        <v>8987</v>
      </c>
      <c r="D5792" s="38" t="str">
        <f>IFERROR(__xludf.DUMMYFUNCTION("REGEXREPLACE(C5792,""-\d+(.*)|--\d+(.*)"","""")"),"LASSERADE")</f>
        <v>LASSERADE</v>
      </c>
      <c r="E5792" s="38" t="s">
        <v>440</v>
      </c>
      <c r="F5792" s="38" t="s">
        <v>94</v>
      </c>
      <c r="G5792" s="49" t="str">
        <f t="shared" si="1"/>
        <v>32160</v>
      </c>
      <c r="H5792" s="49">
        <f t="shared" si="2"/>
        <v>32199</v>
      </c>
    </row>
    <row r="5793">
      <c r="A5793" s="48" t="s">
        <v>8906</v>
      </c>
      <c r="B5793" s="38">
        <v>6154.0</v>
      </c>
      <c r="C5793" s="38" t="s">
        <v>8988</v>
      </c>
      <c r="D5793" s="38" t="str">
        <f>IFERROR(__xludf.DUMMYFUNCTION("REGEXREPLACE(C5793,""-\d+(.*)|--\d+(.*)"","""")"),"VALDEROURE")</f>
        <v>VALDEROURE</v>
      </c>
      <c r="E5793" s="38" t="s">
        <v>227</v>
      </c>
      <c r="F5793" s="38" t="s">
        <v>228</v>
      </c>
      <c r="G5793" s="49" t="str">
        <f t="shared" si="1"/>
        <v>06750</v>
      </c>
      <c r="H5793" s="49" t="str">
        <f t="shared" si="2"/>
        <v>06154</v>
      </c>
    </row>
    <row r="5794">
      <c r="A5794" s="48" t="s">
        <v>1932</v>
      </c>
      <c r="B5794" s="38">
        <v>70385.0</v>
      </c>
      <c r="C5794" s="38" t="s">
        <v>8989</v>
      </c>
      <c r="D5794" s="38" t="str">
        <f>IFERROR(__xludf.DUMMYFUNCTION("REGEXREPLACE(C5794,""-\d+(.*)|--\d+(.*)"","""")"),"LA NEUVELLE-LES-LURE")</f>
        <v>LA NEUVELLE-LES-LURE</v>
      </c>
      <c r="E5794" s="38" t="s">
        <v>956</v>
      </c>
      <c r="F5794" s="38" t="s">
        <v>214</v>
      </c>
      <c r="G5794" s="49" t="str">
        <f t="shared" si="1"/>
        <v>70200</v>
      </c>
      <c r="H5794" s="49">
        <f t="shared" si="2"/>
        <v>70385</v>
      </c>
    </row>
    <row r="5795">
      <c r="A5795" s="48" t="s">
        <v>388</v>
      </c>
      <c r="B5795" s="38">
        <v>19108.0</v>
      </c>
      <c r="C5795" s="38" t="s">
        <v>8990</v>
      </c>
      <c r="D5795" s="38" t="str">
        <f>IFERROR(__xludf.DUMMYFUNCTION("REGEXREPLACE(C5795,""-\d+(.*)|--\d+(.*)"","""")"),"LAROCHE-PRES-FEYT")</f>
        <v>LAROCHE-PRES-FEYT</v>
      </c>
      <c r="E5795" s="38" t="s">
        <v>271</v>
      </c>
      <c r="F5795" s="38" t="s">
        <v>98</v>
      </c>
      <c r="G5795" s="49" t="str">
        <f t="shared" si="1"/>
        <v>19340</v>
      </c>
      <c r="H5795" s="49">
        <f t="shared" si="2"/>
        <v>19108</v>
      </c>
    </row>
    <row r="5796">
      <c r="A5796" s="48" t="s">
        <v>6474</v>
      </c>
      <c r="B5796" s="38">
        <v>61507.0</v>
      </c>
      <c r="C5796" s="38" t="s">
        <v>8991</v>
      </c>
      <c r="D5796" s="38" t="str">
        <f>IFERROR(__xludf.DUMMYFUNCTION("REGEXREPLACE(C5796,""-\d+(.*)|--\d+(.*)"","""")"),"VILLIERS-SOUS-MORTAGNE")</f>
        <v>VILLIERS-SOUS-MORTAGNE</v>
      </c>
      <c r="E5796" s="38" t="s">
        <v>141</v>
      </c>
      <c r="F5796" s="38" t="s">
        <v>138</v>
      </c>
      <c r="G5796" s="49" t="str">
        <f t="shared" si="1"/>
        <v>61400</v>
      </c>
      <c r="H5796" s="49">
        <f t="shared" si="2"/>
        <v>61507</v>
      </c>
    </row>
    <row r="5797">
      <c r="A5797" s="48" t="s">
        <v>8992</v>
      </c>
      <c r="B5797" s="38">
        <v>45273.0</v>
      </c>
      <c r="C5797" s="38" t="s">
        <v>8993</v>
      </c>
      <c r="D5797" s="38" t="str">
        <f>IFERROR(__xludf.DUMMYFUNCTION("REGEXREPLACE(C5797,""-\d+(.*)|--\d+(.*)"","""")"),"SAINT-DENIS-DE-L'HOTEL")</f>
        <v>SAINT-DENIS-DE-L'HOTEL</v>
      </c>
      <c r="E5797" s="38" t="s">
        <v>122</v>
      </c>
      <c r="F5797" s="38" t="s">
        <v>123</v>
      </c>
      <c r="G5797" s="49" t="str">
        <f t="shared" si="1"/>
        <v>45550</v>
      </c>
      <c r="H5797" s="49">
        <f t="shared" si="2"/>
        <v>45273</v>
      </c>
    </row>
    <row r="5798">
      <c r="A5798" s="48" t="s">
        <v>8994</v>
      </c>
      <c r="B5798" s="38">
        <v>67119.0</v>
      </c>
      <c r="C5798" s="38" t="s">
        <v>8995</v>
      </c>
      <c r="D5798" s="38" t="str">
        <f>IFERROR(__xludf.DUMMYFUNCTION("REGEXREPLACE(C5798,""-\d+(.*)|--\d+(.*)"","""")"),"ECKWERSHEIM")</f>
        <v>ECKWERSHEIM</v>
      </c>
      <c r="E5798" s="38" t="s">
        <v>210</v>
      </c>
      <c r="F5798" s="38" t="s">
        <v>151</v>
      </c>
      <c r="G5798" s="49" t="str">
        <f t="shared" si="1"/>
        <v>67550</v>
      </c>
      <c r="H5798" s="49">
        <f t="shared" si="2"/>
        <v>67119</v>
      </c>
    </row>
    <row r="5799">
      <c r="A5799" s="48" t="s">
        <v>239</v>
      </c>
      <c r="B5799" s="38">
        <v>27298.0</v>
      </c>
      <c r="C5799" s="38" t="s">
        <v>8996</v>
      </c>
      <c r="D5799" s="38" t="str">
        <f>IFERROR(__xludf.DUMMYFUNCTION("REGEXREPLACE(C5799,""-\d+(.*)|--\d+(.*)"","""")"),"GRAVERON-SEMERVILLE")</f>
        <v>GRAVERON-SEMERVILLE</v>
      </c>
      <c r="E5799" s="38" t="s">
        <v>241</v>
      </c>
      <c r="F5799" s="38" t="s">
        <v>134</v>
      </c>
      <c r="G5799" s="49" t="str">
        <f t="shared" si="1"/>
        <v>27110</v>
      </c>
      <c r="H5799" s="49">
        <f t="shared" si="2"/>
        <v>27298</v>
      </c>
    </row>
    <row r="5800">
      <c r="A5800" s="48" t="s">
        <v>4388</v>
      </c>
      <c r="B5800" s="38">
        <v>31425.0</v>
      </c>
      <c r="C5800" s="38" t="s">
        <v>8997</v>
      </c>
      <c r="D5800" s="38" t="str">
        <f>IFERROR(__xludf.DUMMYFUNCTION("REGEXREPLACE(C5800,""-\d+(.*)|--\d+(.*)"","""")"),"LE PLAN")</f>
        <v>LE PLAN</v>
      </c>
      <c r="E5800" s="38" t="s">
        <v>93</v>
      </c>
      <c r="F5800" s="38" t="s">
        <v>94</v>
      </c>
      <c r="G5800" s="49" t="str">
        <f t="shared" si="1"/>
        <v>31220</v>
      </c>
      <c r="H5800" s="49">
        <f t="shared" si="2"/>
        <v>31425</v>
      </c>
    </row>
    <row r="5801">
      <c r="A5801" s="48" t="s">
        <v>1806</v>
      </c>
      <c r="B5801" s="38">
        <v>90015.0</v>
      </c>
      <c r="C5801" s="38" t="s">
        <v>8998</v>
      </c>
      <c r="D5801" s="38" t="str">
        <f>IFERROR(__xludf.DUMMYFUNCTION("REGEXREPLACE(C5801,""-\d+(.*)|--\d+(.*)"","""")"),"BOTANS")</f>
        <v>BOTANS</v>
      </c>
      <c r="E5801" s="38" t="s">
        <v>1283</v>
      </c>
      <c r="F5801" s="38" t="s">
        <v>214</v>
      </c>
      <c r="G5801" s="49" t="str">
        <f t="shared" si="1"/>
        <v>90400</v>
      </c>
      <c r="H5801" s="49">
        <f t="shared" si="2"/>
        <v>90015</v>
      </c>
    </row>
    <row r="5802">
      <c r="A5802" s="48" t="s">
        <v>8999</v>
      </c>
      <c r="B5802" s="38">
        <v>49375.0</v>
      </c>
      <c r="C5802" s="38" t="s">
        <v>9000</v>
      </c>
      <c r="D5802" s="38" t="str">
        <f>IFERROR(__xludf.DUMMYFUNCTION("REGEXREPLACE(C5802,""-\d+(.*)|--\d+(.*)"","""")"),"VILLEDIEU-LA-BLOUERE")</f>
        <v>VILLEDIEU-LA-BLOUERE</v>
      </c>
      <c r="E5802" s="38" t="s">
        <v>653</v>
      </c>
      <c r="F5802" s="38" t="s">
        <v>180</v>
      </c>
      <c r="G5802" s="49" t="str">
        <f t="shared" si="1"/>
        <v>49450</v>
      </c>
      <c r="H5802" s="49">
        <f t="shared" si="2"/>
        <v>49375</v>
      </c>
    </row>
    <row r="5803">
      <c r="A5803" s="48" t="s">
        <v>1128</v>
      </c>
      <c r="B5803" s="38">
        <v>2430.0</v>
      </c>
      <c r="C5803" s="38" t="s">
        <v>9001</v>
      </c>
      <c r="D5803" s="38" t="str">
        <f>IFERROR(__xludf.DUMMYFUNCTION("REGEXREPLACE(C5803,""-\d+(.*)|--\d+(.*)"","""")"),"LIESSE-NOTRE-DAME")</f>
        <v>LIESSE-NOTRE-DAME</v>
      </c>
      <c r="E5803" s="38" t="s">
        <v>191</v>
      </c>
      <c r="F5803" s="38" t="s">
        <v>113</v>
      </c>
      <c r="G5803" s="49" t="str">
        <f t="shared" si="1"/>
        <v>02350</v>
      </c>
      <c r="H5803" s="49" t="str">
        <f t="shared" si="2"/>
        <v>02430</v>
      </c>
    </row>
    <row r="5804">
      <c r="A5804" s="48" t="s">
        <v>9002</v>
      </c>
      <c r="B5804" s="38">
        <v>78238.0</v>
      </c>
      <c r="C5804" s="38" t="s">
        <v>9003</v>
      </c>
      <c r="D5804" s="38" t="str">
        <f>IFERROR(__xludf.DUMMYFUNCTION("REGEXREPLACE(C5804,""-\d+(.*)|--\d+(.*)"","""")"),"FLINS-SUR-SEINE")</f>
        <v>FLINS-SUR-SEINE</v>
      </c>
      <c r="E5804" s="38" t="s">
        <v>362</v>
      </c>
      <c r="F5804" s="38" t="s">
        <v>245</v>
      </c>
      <c r="G5804" s="49" t="str">
        <f t="shared" si="1"/>
        <v>78410</v>
      </c>
      <c r="H5804" s="49">
        <f t="shared" si="2"/>
        <v>78238</v>
      </c>
    </row>
    <row r="5805">
      <c r="A5805" s="48" t="s">
        <v>9004</v>
      </c>
      <c r="B5805" s="38">
        <v>48093.0</v>
      </c>
      <c r="C5805" s="38" t="s">
        <v>9005</v>
      </c>
      <c r="D5805" s="38" t="str">
        <f>IFERROR(__xludf.DUMMYFUNCTION("REGEXREPLACE(C5805,""-\d+(.*)|--\d+(.*)"","""")"),"MAS-D'ORCIERES")</f>
        <v>MAS-D'ORCIERES</v>
      </c>
      <c r="E5805" s="38" t="s">
        <v>154</v>
      </c>
      <c r="F5805" s="38" t="s">
        <v>119</v>
      </c>
      <c r="G5805" s="49" t="str">
        <f t="shared" si="1"/>
        <v>48190</v>
      </c>
      <c r="H5805" s="49">
        <f t="shared" si="2"/>
        <v>48093</v>
      </c>
    </row>
    <row r="5806">
      <c r="A5806" s="48" t="s">
        <v>9006</v>
      </c>
      <c r="B5806" s="38">
        <v>67214.0</v>
      </c>
      <c r="C5806" s="38" t="s">
        <v>9007</v>
      </c>
      <c r="D5806" s="38" t="str">
        <f>IFERROR(__xludf.DUMMYFUNCTION("REGEXREPLACE(C5806,""-\d+(.*)|--\d+(.*)"","""")"),"HURTIGHEIM")</f>
        <v>HURTIGHEIM</v>
      </c>
      <c r="E5806" s="38" t="s">
        <v>210</v>
      </c>
      <c r="F5806" s="38" t="s">
        <v>151</v>
      </c>
      <c r="G5806" s="49" t="str">
        <f t="shared" si="1"/>
        <v>67117</v>
      </c>
      <c r="H5806" s="49">
        <f t="shared" si="2"/>
        <v>67214</v>
      </c>
    </row>
    <row r="5807">
      <c r="A5807" s="48" t="s">
        <v>1276</v>
      </c>
      <c r="B5807" s="38">
        <v>64455.0</v>
      </c>
      <c r="C5807" s="38" t="s">
        <v>9008</v>
      </c>
      <c r="D5807" s="38" t="str">
        <f>IFERROR(__xludf.DUMMYFUNCTION("REGEXREPLACE(C5807,""-\d+(.*)|--\d+(.*)"","""")"),"PORTET")</f>
        <v>PORTET</v>
      </c>
      <c r="E5807" s="38" t="s">
        <v>268</v>
      </c>
      <c r="F5807" s="38" t="s">
        <v>252</v>
      </c>
      <c r="G5807" s="49" t="str">
        <f t="shared" si="1"/>
        <v>64330</v>
      </c>
      <c r="H5807" s="49">
        <f t="shared" si="2"/>
        <v>64455</v>
      </c>
    </row>
    <row r="5808">
      <c r="A5808" s="48" t="s">
        <v>8111</v>
      </c>
      <c r="B5808" s="38">
        <v>40331.0</v>
      </c>
      <c r="C5808" s="38" t="s">
        <v>9009</v>
      </c>
      <c r="D5808" s="38" t="str">
        <f>IFERROR(__xludf.DUMMYFUNCTION("REGEXREPLACE(C5808,""-\d+(.*)|--\d+(.*)"","""")"),"VILLENEUVE-DE-MARSAN")</f>
        <v>VILLENEUVE-DE-MARSAN</v>
      </c>
      <c r="E5808" s="38" t="s">
        <v>281</v>
      </c>
      <c r="F5808" s="38" t="s">
        <v>252</v>
      </c>
      <c r="G5808" s="49" t="str">
        <f t="shared" si="1"/>
        <v>40190</v>
      </c>
      <c r="H5808" s="49">
        <f t="shared" si="2"/>
        <v>40331</v>
      </c>
    </row>
    <row r="5809">
      <c r="A5809" s="48" t="s">
        <v>155</v>
      </c>
      <c r="B5809" s="38">
        <v>50147.0</v>
      </c>
      <c r="C5809" s="38" t="s">
        <v>9010</v>
      </c>
      <c r="D5809" s="38" t="str">
        <f>IFERROR(__xludf.DUMMYFUNCTION("REGEXREPLACE(C5809,""-\d+(.*)|--\d+(.*)"","""")"),"COUTANCES")</f>
        <v>COUTANCES</v>
      </c>
      <c r="E5809" s="38" t="s">
        <v>157</v>
      </c>
      <c r="F5809" s="38" t="s">
        <v>138</v>
      </c>
      <c r="G5809" s="49" t="str">
        <f t="shared" si="1"/>
        <v>50200</v>
      </c>
      <c r="H5809" s="49">
        <f t="shared" si="2"/>
        <v>50147</v>
      </c>
    </row>
    <row r="5810">
      <c r="A5810" s="48" t="s">
        <v>9011</v>
      </c>
      <c r="B5810" s="38">
        <v>34063.0</v>
      </c>
      <c r="C5810" s="38" t="s">
        <v>9012</v>
      </c>
      <c r="D5810" s="38" t="str">
        <f>IFERROR(__xludf.DUMMYFUNCTION("REGEXREPLACE(C5810,""-\d+(.*)|--\d+(.*)"","""")"),"CAUX")</f>
        <v>CAUX</v>
      </c>
      <c r="E5810" s="38" t="s">
        <v>118</v>
      </c>
      <c r="F5810" s="38" t="s">
        <v>119</v>
      </c>
      <c r="G5810" s="49" t="str">
        <f t="shared" si="1"/>
        <v>34720</v>
      </c>
      <c r="H5810" s="49">
        <f t="shared" si="2"/>
        <v>34063</v>
      </c>
    </row>
    <row r="5811">
      <c r="A5811" s="48" t="s">
        <v>127</v>
      </c>
      <c r="B5811" s="38">
        <v>51214.0</v>
      </c>
      <c r="C5811" s="38" t="s">
        <v>9013</v>
      </c>
      <c r="D5811" s="38" t="str">
        <f>IFERROR(__xludf.DUMMYFUNCTION("REGEXREPLACE(C5811,""-\d+(.*)|--\d+(.*)"","""")"),"DOMMARTIN-VARIMONT")</f>
        <v>DOMMARTIN-VARIMONT</v>
      </c>
      <c r="E5811" s="38" t="s">
        <v>129</v>
      </c>
      <c r="F5811" s="38" t="s">
        <v>130</v>
      </c>
      <c r="G5811" s="49" t="str">
        <f t="shared" si="1"/>
        <v>51330</v>
      </c>
      <c r="H5811" s="49">
        <f t="shared" si="2"/>
        <v>51214</v>
      </c>
    </row>
    <row r="5812">
      <c r="A5812" s="48" t="s">
        <v>1864</v>
      </c>
      <c r="B5812" s="38">
        <v>70072.0</v>
      </c>
      <c r="C5812" s="38" t="s">
        <v>9014</v>
      </c>
      <c r="D5812" s="38" t="str">
        <f>IFERROR(__xludf.DUMMYFUNCTION("REGEXREPLACE(C5812,""-\d+(.*)|--\d+(.*)"","""")"),"BEVEUGE")</f>
        <v>BEVEUGE</v>
      </c>
      <c r="E5812" s="38" t="s">
        <v>956</v>
      </c>
      <c r="F5812" s="38" t="s">
        <v>214</v>
      </c>
      <c r="G5812" s="49" t="str">
        <f t="shared" si="1"/>
        <v>70110</v>
      </c>
      <c r="H5812" s="49">
        <f t="shared" si="2"/>
        <v>70072</v>
      </c>
    </row>
    <row r="5813">
      <c r="A5813" s="48" t="s">
        <v>1812</v>
      </c>
      <c r="B5813" s="38">
        <v>51431.0</v>
      </c>
      <c r="C5813" s="38" t="s">
        <v>9015</v>
      </c>
      <c r="D5813" s="38" t="str">
        <f>IFERROR(__xludf.DUMMYFUNCTION("REGEXREPLACE(C5813,""-\d+(.*)|--\d+(.*)"","""")"),"PIERRY")</f>
        <v>PIERRY</v>
      </c>
      <c r="E5813" s="38" t="s">
        <v>129</v>
      </c>
      <c r="F5813" s="38" t="s">
        <v>130</v>
      </c>
      <c r="G5813" s="49" t="str">
        <f t="shared" si="1"/>
        <v>51530</v>
      </c>
      <c r="H5813" s="49">
        <f t="shared" si="2"/>
        <v>51431</v>
      </c>
    </row>
    <row r="5814">
      <c r="A5814" s="48" t="s">
        <v>9016</v>
      </c>
      <c r="B5814" s="38">
        <v>76193.0</v>
      </c>
      <c r="C5814" s="38" t="s">
        <v>9017</v>
      </c>
      <c r="D5814" s="38" t="str">
        <f>IFERROR(__xludf.DUMMYFUNCTION("REGEXREPLACE(C5814,""-\d+(.*)|--\d+(.*)"","""")"),"LA CRIQUE")</f>
        <v>LA CRIQUE</v>
      </c>
      <c r="E5814" s="38" t="s">
        <v>133</v>
      </c>
      <c r="F5814" s="38" t="s">
        <v>134</v>
      </c>
      <c r="G5814" s="49" t="str">
        <f t="shared" si="1"/>
        <v>76850</v>
      </c>
      <c r="H5814" s="49">
        <f t="shared" si="2"/>
        <v>76193</v>
      </c>
    </row>
    <row r="5815">
      <c r="A5815" s="48" t="s">
        <v>9018</v>
      </c>
      <c r="B5815" s="38">
        <v>27005.0</v>
      </c>
      <c r="C5815" s="38" t="s">
        <v>9019</v>
      </c>
      <c r="D5815" s="38" t="str">
        <f>IFERROR(__xludf.DUMMYFUNCTION("REGEXREPLACE(C5815,""-\d+(.*)|--\d+(.*)"","""")"),"AILLY")</f>
        <v>AILLY</v>
      </c>
      <c r="E5815" s="38" t="s">
        <v>241</v>
      </c>
      <c r="F5815" s="38" t="s">
        <v>134</v>
      </c>
      <c r="G5815" s="49" t="str">
        <f t="shared" si="1"/>
        <v>27600</v>
      </c>
      <c r="H5815" s="49">
        <f t="shared" si="2"/>
        <v>27005</v>
      </c>
    </row>
    <row r="5816">
      <c r="A5816" s="48" t="s">
        <v>7192</v>
      </c>
      <c r="B5816" s="38">
        <v>61045.0</v>
      </c>
      <c r="C5816" s="38" t="s">
        <v>9020</v>
      </c>
      <c r="D5816" s="38" t="str">
        <f>IFERROR(__xludf.DUMMYFUNCTION("REGEXREPLACE(C5816,""-\d+(.*)|--\d+(.*)"","""")"),"BIVILLIERS")</f>
        <v>BIVILLIERS</v>
      </c>
      <c r="E5816" s="38" t="s">
        <v>141</v>
      </c>
      <c r="F5816" s="38" t="s">
        <v>138</v>
      </c>
      <c r="G5816" s="49" t="str">
        <f t="shared" si="1"/>
        <v>61190</v>
      </c>
      <c r="H5816" s="49">
        <f t="shared" si="2"/>
        <v>61045</v>
      </c>
    </row>
    <row r="5817">
      <c r="A5817" s="48" t="s">
        <v>9021</v>
      </c>
      <c r="B5817" s="38">
        <v>88482.0</v>
      </c>
      <c r="C5817" s="38" t="s">
        <v>6769</v>
      </c>
      <c r="D5817" s="38" t="str">
        <f>IFERROR(__xludf.DUMMYFUNCTION("REGEXREPLACE(C5817,""-\d+(.*)|--\d+(.*)"","""")"),"URVILLE")</f>
        <v>URVILLE</v>
      </c>
      <c r="E5817" s="38" t="s">
        <v>194</v>
      </c>
      <c r="F5817" s="38" t="s">
        <v>195</v>
      </c>
      <c r="G5817" s="49" t="str">
        <f t="shared" si="1"/>
        <v>88140</v>
      </c>
      <c r="H5817" s="49">
        <f t="shared" si="2"/>
        <v>88482</v>
      </c>
    </row>
    <row r="5818">
      <c r="A5818" s="48" t="s">
        <v>6945</v>
      </c>
      <c r="B5818" s="38">
        <v>80272.0</v>
      </c>
      <c r="C5818" s="38" t="s">
        <v>9022</v>
      </c>
      <c r="D5818" s="38" t="str">
        <f>IFERROR(__xludf.DUMMYFUNCTION("REGEXREPLACE(C5818,""-\d+(.*)|--\d+(.*)"","""")"),"EPENANCOURT")</f>
        <v>EPENANCOURT</v>
      </c>
      <c r="E5818" s="38" t="s">
        <v>224</v>
      </c>
      <c r="F5818" s="38" t="s">
        <v>113</v>
      </c>
      <c r="G5818" s="49" t="str">
        <f t="shared" si="1"/>
        <v>80190</v>
      </c>
      <c r="H5818" s="49">
        <f t="shared" si="2"/>
        <v>80272</v>
      </c>
    </row>
    <row r="5819">
      <c r="A5819" s="48" t="s">
        <v>3161</v>
      </c>
      <c r="B5819" s="38">
        <v>70337.0</v>
      </c>
      <c r="C5819" s="38" t="s">
        <v>9023</v>
      </c>
      <c r="D5819" s="38" t="str">
        <f>IFERROR(__xludf.DUMMYFUNCTION("REGEXREPLACE(C5819,""-\d+(.*)|--\d+(.*)"","""")"),"MELIN")</f>
        <v>MELIN</v>
      </c>
      <c r="E5819" s="38" t="s">
        <v>956</v>
      </c>
      <c r="F5819" s="38" t="s">
        <v>214</v>
      </c>
      <c r="G5819" s="49" t="str">
        <f t="shared" si="1"/>
        <v>70120</v>
      </c>
      <c r="H5819" s="49">
        <f t="shared" si="2"/>
        <v>70337</v>
      </c>
    </row>
    <row r="5820">
      <c r="A5820" s="48" t="s">
        <v>7166</v>
      </c>
      <c r="B5820" s="38">
        <v>52082.0</v>
      </c>
      <c r="C5820" s="38" t="s">
        <v>9024</v>
      </c>
      <c r="D5820" s="38" t="str">
        <f>IFERROR(__xludf.DUMMYFUNCTION("REGEXREPLACE(C5820,""-\d+(.*)|--\d+(.*)"","""")"),"BUGNIERES")</f>
        <v>BUGNIERES</v>
      </c>
      <c r="E5820" s="38" t="s">
        <v>234</v>
      </c>
      <c r="F5820" s="38" t="s">
        <v>130</v>
      </c>
      <c r="G5820" s="49" t="str">
        <f t="shared" si="1"/>
        <v>52210</v>
      </c>
      <c r="H5820" s="49">
        <f t="shared" si="2"/>
        <v>52082</v>
      </c>
    </row>
    <row r="5821">
      <c r="A5821" s="48" t="s">
        <v>7700</v>
      </c>
      <c r="B5821" s="38">
        <v>23237.0</v>
      </c>
      <c r="C5821" s="38" t="s">
        <v>9025</v>
      </c>
      <c r="D5821" s="38" t="str">
        <f>IFERROR(__xludf.DUMMYFUNCTION("REGEXREPLACE(C5821,""-\d+(.*)|--\d+(.*)"","""")"),"SAINT-PRIEST-PALUS")</f>
        <v>SAINT-PRIEST-PALUS</v>
      </c>
      <c r="E5821" s="38" t="s">
        <v>97</v>
      </c>
      <c r="F5821" s="38" t="s">
        <v>98</v>
      </c>
      <c r="G5821" s="49" t="str">
        <f t="shared" si="1"/>
        <v>23400</v>
      </c>
      <c r="H5821" s="49">
        <f t="shared" si="2"/>
        <v>23237</v>
      </c>
    </row>
    <row r="5822">
      <c r="A5822" s="48" t="s">
        <v>9026</v>
      </c>
      <c r="B5822" s="38">
        <v>21643.0</v>
      </c>
      <c r="C5822" s="38" t="s">
        <v>9027</v>
      </c>
      <c r="D5822" s="38" t="str">
        <f>IFERROR(__xludf.DUMMYFUNCTION("REGEXREPLACE(C5822,""-\d+(.*)|--\d+(.*)"","""")"),"TRECLUN")</f>
        <v>TRECLUN</v>
      </c>
      <c r="E5822" s="38" t="s">
        <v>105</v>
      </c>
      <c r="F5822" s="38" t="s">
        <v>106</v>
      </c>
      <c r="G5822" s="49" t="str">
        <f t="shared" si="1"/>
        <v>21130</v>
      </c>
      <c r="H5822" s="49">
        <f t="shared" si="2"/>
        <v>21643</v>
      </c>
    </row>
    <row r="5823">
      <c r="A5823" s="48" t="s">
        <v>9028</v>
      </c>
      <c r="B5823" s="38">
        <v>65359.0</v>
      </c>
      <c r="C5823" s="38" t="s">
        <v>9029</v>
      </c>
      <c r="D5823" s="38" t="str">
        <f>IFERROR(__xludf.DUMMYFUNCTION("REGEXREPLACE(C5823,""-\d+(.*)|--\d+(.*)"","""")"),"PEYRIGUERE")</f>
        <v>PEYRIGUERE</v>
      </c>
      <c r="E5823" s="38" t="s">
        <v>200</v>
      </c>
      <c r="F5823" s="38" t="s">
        <v>94</v>
      </c>
      <c r="G5823" s="49" t="str">
        <f t="shared" si="1"/>
        <v>65350</v>
      </c>
      <c r="H5823" s="49">
        <f t="shared" si="2"/>
        <v>65359</v>
      </c>
    </row>
    <row r="5824">
      <c r="A5824" s="48" t="s">
        <v>7954</v>
      </c>
      <c r="B5824" s="38">
        <v>40293.0</v>
      </c>
      <c r="C5824" s="38" t="s">
        <v>9030</v>
      </c>
      <c r="D5824" s="38" t="str">
        <f>IFERROR(__xludf.DUMMYFUNCTION("REGEXREPLACE(C5824,""-\d+(.*)|--\d+(.*)"","""")"),"SAUBUSSE")</f>
        <v>SAUBUSSE</v>
      </c>
      <c r="E5824" s="38" t="s">
        <v>281</v>
      </c>
      <c r="F5824" s="38" t="s">
        <v>252</v>
      </c>
      <c r="G5824" s="49" t="str">
        <f t="shared" si="1"/>
        <v>40180</v>
      </c>
      <c r="H5824" s="49">
        <f t="shared" si="2"/>
        <v>40293</v>
      </c>
    </row>
    <row r="5825">
      <c r="A5825" s="48" t="s">
        <v>7231</v>
      </c>
      <c r="B5825" s="38">
        <v>54168.0</v>
      </c>
      <c r="C5825" s="38" t="s">
        <v>9031</v>
      </c>
      <c r="D5825" s="38" t="str">
        <f>IFERROR(__xludf.DUMMYFUNCTION("REGEXREPLACE(C5825,""-\d+(.*)|--\d+(.*)"","""")"),"DOMMARTIN-SOUS-AMANCE")</f>
        <v>DOMMARTIN-SOUS-AMANCE</v>
      </c>
      <c r="E5825" s="38" t="s">
        <v>548</v>
      </c>
      <c r="F5825" s="38" t="s">
        <v>195</v>
      </c>
      <c r="G5825" s="49" t="str">
        <f t="shared" si="1"/>
        <v>54770</v>
      </c>
      <c r="H5825" s="49">
        <f t="shared" si="2"/>
        <v>54168</v>
      </c>
    </row>
    <row r="5826">
      <c r="A5826" s="48" t="s">
        <v>392</v>
      </c>
      <c r="B5826" s="38">
        <v>35144.0</v>
      </c>
      <c r="C5826" s="38" t="s">
        <v>9032</v>
      </c>
      <c r="D5826" s="38" t="str">
        <f>IFERROR(__xludf.DUMMYFUNCTION("REGEXREPLACE(C5826,""-\d+(.*)|--\d+(.*)"","""")"),"LANGAN")</f>
        <v>LANGAN</v>
      </c>
      <c r="E5826" s="38" t="s">
        <v>347</v>
      </c>
      <c r="F5826" s="38" t="s">
        <v>90</v>
      </c>
      <c r="G5826" s="49" t="str">
        <f t="shared" si="1"/>
        <v>35850</v>
      </c>
      <c r="H5826" s="49">
        <f t="shared" si="2"/>
        <v>35144</v>
      </c>
    </row>
    <row r="5827">
      <c r="A5827" s="48" t="s">
        <v>4473</v>
      </c>
      <c r="B5827" s="38">
        <v>5059.0</v>
      </c>
      <c r="C5827" s="38" t="s">
        <v>9033</v>
      </c>
      <c r="D5827" s="38" t="str">
        <f>IFERROR(__xludf.DUMMYFUNCTION("REGEXREPLACE(C5827,""-\d+(.*)|--\d+(.*)"","""")"),"LA FREISSINOUSE")</f>
        <v>LA FREISSINOUSE</v>
      </c>
      <c r="E5827" s="38" t="s">
        <v>706</v>
      </c>
      <c r="F5827" s="38" t="s">
        <v>228</v>
      </c>
      <c r="G5827" s="49" t="str">
        <f t="shared" si="1"/>
        <v>05000</v>
      </c>
      <c r="H5827" s="49" t="str">
        <f t="shared" si="2"/>
        <v>05059</v>
      </c>
    </row>
    <row r="5828">
      <c r="A5828" s="48" t="s">
        <v>2995</v>
      </c>
      <c r="B5828" s="38">
        <v>28242.0</v>
      </c>
      <c r="C5828" s="38" t="s">
        <v>9034</v>
      </c>
      <c r="D5828" s="38" t="str">
        <f>IFERROR(__xludf.DUMMYFUNCTION("REGEXREPLACE(C5828,""-\d+(.*)|--\d+(.*)"","""")"),"MEREGLISE")</f>
        <v>MEREGLISE</v>
      </c>
      <c r="E5828" s="38" t="s">
        <v>300</v>
      </c>
      <c r="F5828" s="38" t="s">
        <v>123</v>
      </c>
      <c r="G5828" s="49" t="str">
        <f t="shared" si="1"/>
        <v>28120</v>
      </c>
      <c r="H5828" s="49">
        <f t="shared" si="2"/>
        <v>28242</v>
      </c>
    </row>
    <row r="5829">
      <c r="A5829" s="48" t="s">
        <v>5958</v>
      </c>
      <c r="B5829" s="38">
        <v>68039.0</v>
      </c>
      <c r="C5829" s="38" t="s">
        <v>9035</v>
      </c>
      <c r="D5829" s="38" t="str">
        <f>IFERROR(__xludf.DUMMYFUNCTION("REGEXREPLACE(C5829,""-\d+(.*)|--\d+(.*)"","""")"),"BISEL")</f>
        <v>BISEL</v>
      </c>
      <c r="E5829" s="38" t="s">
        <v>150</v>
      </c>
      <c r="F5829" s="38" t="s">
        <v>151</v>
      </c>
      <c r="G5829" s="49" t="str">
        <f t="shared" si="1"/>
        <v>68580</v>
      </c>
      <c r="H5829" s="49">
        <f t="shared" si="2"/>
        <v>68039</v>
      </c>
    </row>
    <row r="5830">
      <c r="A5830" s="48" t="s">
        <v>1560</v>
      </c>
      <c r="B5830" s="38">
        <v>14270.0</v>
      </c>
      <c r="C5830" s="38" t="s">
        <v>9036</v>
      </c>
      <c r="D5830" s="38" t="str">
        <f>IFERROR(__xludf.DUMMYFUNCTION("REGEXREPLACE(C5830,""-\d+(.*)|--\d+(.*)"","""")"),"FIRFOL")</f>
        <v>FIRFOL</v>
      </c>
      <c r="E5830" s="38" t="s">
        <v>137</v>
      </c>
      <c r="F5830" s="38" t="s">
        <v>138</v>
      </c>
      <c r="G5830" s="49" t="str">
        <f t="shared" si="1"/>
        <v>14100</v>
      </c>
      <c r="H5830" s="49">
        <f t="shared" si="2"/>
        <v>14270</v>
      </c>
    </row>
    <row r="5831">
      <c r="A5831" s="48" t="s">
        <v>3307</v>
      </c>
      <c r="B5831" s="38">
        <v>65190.0</v>
      </c>
      <c r="C5831" s="38" t="s">
        <v>9037</v>
      </c>
      <c r="D5831" s="38" t="str">
        <f>IFERROR(__xludf.DUMMYFUNCTION("REGEXREPLACE(C5831,""-\d+(.*)|--\d+(.*)"","""")"),"GAZAVE")</f>
        <v>GAZAVE</v>
      </c>
      <c r="E5831" s="38" t="s">
        <v>200</v>
      </c>
      <c r="F5831" s="38" t="s">
        <v>94</v>
      </c>
      <c r="G5831" s="49" t="str">
        <f t="shared" si="1"/>
        <v>65250</v>
      </c>
      <c r="H5831" s="49">
        <f t="shared" si="2"/>
        <v>65190</v>
      </c>
    </row>
    <row r="5832">
      <c r="A5832" s="48" t="s">
        <v>588</v>
      </c>
      <c r="B5832" s="38">
        <v>14422.0</v>
      </c>
      <c r="C5832" s="38" t="s">
        <v>9038</v>
      </c>
      <c r="D5832" s="38" t="str">
        <f>IFERROR(__xludf.DUMMYFUNCTION("REGEXREPLACE(C5832,""-\d+(.*)|--\d+(.*)"","""")"),"LE MESNIL-MAUGER")</f>
        <v>LE MESNIL-MAUGER</v>
      </c>
      <c r="E5832" s="38" t="s">
        <v>137</v>
      </c>
      <c r="F5832" s="38" t="s">
        <v>138</v>
      </c>
      <c r="G5832" s="49" t="str">
        <f t="shared" si="1"/>
        <v>14270</v>
      </c>
      <c r="H5832" s="49">
        <f t="shared" si="2"/>
        <v>14422</v>
      </c>
    </row>
    <row r="5833">
      <c r="A5833" s="48" t="s">
        <v>862</v>
      </c>
      <c r="B5833" s="38">
        <v>27101.0</v>
      </c>
      <c r="C5833" s="38" t="s">
        <v>9039</v>
      </c>
      <c r="D5833" s="38" t="str">
        <f>IFERROR(__xludf.DUMMYFUNCTION("REGEXREPLACE(C5833,""-\d+(.*)|--\d+(.*)"","""")"),"BOUQUELON")</f>
        <v>BOUQUELON</v>
      </c>
      <c r="E5833" s="38" t="s">
        <v>241</v>
      </c>
      <c r="F5833" s="38" t="s">
        <v>134</v>
      </c>
      <c r="G5833" s="49" t="str">
        <f t="shared" si="1"/>
        <v>27500</v>
      </c>
      <c r="H5833" s="49">
        <f t="shared" si="2"/>
        <v>27101</v>
      </c>
    </row>
    <row r="5834">
      <c r="A5834" s="48" t="s">
        <v>1184</v>
      </c>
      <c r="B5834" s="38">
        <v>8448.0</v>
      </c>
      <c r="C5834" s="38" t="s">
        <v>9040</v>
      </c>
      <c r="D5834" s="38" t="str">
        <f>IFERROR(__xludf.DUMMYFUNCTION("REGEXREPLACE(C5834,""-\d+(.*)|--\d+(.*)"","""")"),"THILAY")</f>
        <v>THILAY</v>
      </c>
      <c r="E5834" s="38" t="s">
        <v>327</v>
      </c>
      <c r="F5834" s="38" t="s">
        <v>130</v>
      </c>
      <c r="G5834" s="49" t="str">
        <f t="shared" si="1"/>
        <v>08800</v>
      </c>
      <c r="H5834" s="49" t="str">
        <f t="shared" si="2"/>
        <v>08448</v>
      </c>
    </row>
    <row r="5835">
      <c r="A5835" s="48" t="s">
        <v>5485</v>
      </c>
      <c r="B5835" s="38">
        <v>27202.0</v>
      </c>
      <c r="C5835" s="38" t="s">
        <v>9041</v>
      </c>
      <c r="D5835" s="38" t="str">
        <f>IFERROR(__xludf.DUMMYFUNCTION("REGEXREPLACE(C5835,""-\d+(.*)|--\d+(.*)"","""")"),"DAUBEUF-PRES-VATTEVILLE")</f>
        <v>DAUBEUF-PRES-VATTEVILLE</v>
      </c>
      <c r="E5835" s="38" t="s">
        <v>241</v>
      </c>
      <c r="F5835" s="38" t="s">
        <v>134</v>
      </c>
      <c r="G5835" s="49" t="str">
        <f t="shared" si="1"/>
        <v>27430</v>
      </c>
      <c r="H5835" s="49">
        <f t="shared" si="2"/>
        <v>27202</v>
      </c>
    </row>
    <row r="5836">
      <c r="A5836" s="48" t="s">
        <v>4354</v>
      </c>
      <c r="B5836" s="38">
        <v>72032.0</v>
      </c>
      <c r="C5836" s="38" t="s">
        <v>9042</v>
      </c>
      <c r="D5836" s="38" t="str">
        <f>IFERROR(__xludf.DUMMYFUNCTION("REGEXREPLACE(C5836,""-\d+(.*)|--\d+(.*)"","""")"),"BERFAY")</f>
        <v>BERFAY</v>
      </c>
      <c r="E5836" s="38" t="s">
        <v>521</v>
      </c>
      <c r="F5836" s="38" t="s">
        <v>180</v>
      </c>
      <c r="G5836" s="49" t="str">
        <f t="shared" si="1"/>
        <v>72320</v>
      </c>
      <c r="H5836" s="49">
        <f t="shared" si="2"/>
        <v>72032</v>
      </c>
    </row>
    <row r="5837">
      <c r="A5837" s="48" t="s">
        <v>1518</v>
      </c>
      <c r="B5837" s="38">
        <v>88155.0</v>
      </c>
      <c r="C5837" s="38" t="s">
        <v>9043</v>
      </c>
      <c r="D5837" s="38" t="str">
        <f>IFERROR(__xludf.DUMMYFUNCTION("REGEXREPLACE(C5837,""-\d+(.*)|--\d+(.*)"","""")"),"DOMVALLIER")</f>
        <v>DOMVALLIER</v>
      </c>
      <c r="E5837" s="38" t="s">
        <v>194</v>
      </c>
      <c r="F5837" s="38" t="s">
        <v>195</v>
      </c>
      <c r="G5837" s="49" t="str">
        <f t="shared" si="1"/>
        <v>88500</v>
      </c>
      <c r="H5837" s="49">
        <f t="shared" si="2"/>
        <v>88155</v>
      </c>
    </row>
    <row r="5838">
      <c r="A5838" s="48" t="s">
        <v>9044</v>
      </c>
      <c r="B5838" s="38">
        <v>32395.0</v>
      </c>
      <c r="C5838" s="38" t="s">
        <v>9045</v>
      </c>
      <c r="D5838" s="38" t="str">
        <f>IFERROR(__xludf.DUMMYFUNCTION("REGEXREPLACE(C5838,""-\d+(.*)|--\d+(.*)"","""")"),"SAINTE-MERE")</f>
        <v>SAINTE-MERE</v>
      </c>
      <c r="E5838" s="38" t="s">
        <v>440</v>
      </c>
      <c r="F5838" s="38" t="s">
        <v>94</v>
      </c>
      <c r="G5838" s="49" t="str">
        <f t="shared" si="1"/>
        <v>32700</v>
      </c>
      <c r="H5838" s="49">
        <f t="shared" si="2"/>
        <v>32395</v>
      </c>
    </row>
    <row r="5839">
      <c r="A5839" s="48" t="s">
        <v>568</v>
      </c>
      <c r="B5839" s="38">
        <v>82113.0</v>
      </c>
      <c r="C5839" s="38" t="s">
        <v>9046</v>
      </c>
      <c r="D5839" s="38" t="str">
        <f>IFERROR(__xludf.DUMMYFUNCTION("REGEXREPLACE(C5839,""-\d+(.*)|--\d+(.*)"","""")"),"MOLIERES")</f>
        <v>MOLIERES</v>
      </c>
      <c r="E5839" s="38" t="s">
        <v>570</v>
      </c>
      <c r="F5839" s="38" t="s">
        <v>94</v>
      </c>
      <c r="G5839" s="49" t="str">
        <f t="shared" si="1"/>
        <v>82220</v>
      </c>
      <c r="H5839" s="49">
        <f t="shared" si="2"/>
        <v>82113</v>
      </c>
    </row>
    <row r="5840">
      <c r="A5840" s="48" t="s">
        <v>7514</v>
      </c>
      <c r="B5840" s="38">
        <v>88137.0</v>
      </c>
      <c r="C5840" s="38" t="s">
        <v>9047</v>
      </c>
      <c r="D5840" s="38" t="str">
        <f>IFERROR(__xludf.DUMMYFUNCTION("REGEXREPLACE(C5840,""-\d+(.*)|--\d+(.*)"","""")"),"DOLAINCOURT")</f>
        <v>DOLAINCOURT</v>
      </c>
      <c r="E5840" s="38" t="s">
        <v>194</v>
      </c>
      <c r="F5840" s="38" t="s">
        <v>195</v>
      </c>
      <c r="G5840" s="49" t="str">
        <f t="shared" si="1"/>
        <v>88170</v>
      </c>
      <c r="H5840" s="49">
        <f t="shared" si="2"/>
        <v>88137</v>
      </c>
    </row>
    <row r="5841">
      <c r="A5841" s="48" t="s">
        <v>2061</v>
      </c>
      <c r="B5841" s="38">
        <v>21580.0</v>
      </c>
      <c r="C5841" s="38" t="s">
        <v>9048</v>
      </c>
      <c r="D5841" s="38" t="str">
        <f>IFERROR(__xludf.DUMMYFUNCTION("REGEXREPLACE(C5841,""-\d+(.*)|--\d+(.*)"","""")"),"SALMAISE")</f>
        <v>SALMAISE</v>
      </c>
      <c r="E5841" s="38" t="s">
        <v>105</v>
      </c>
      <c r="F5841" s="38" t="s">
        <v>106</v>
      </c>
      <c r="G5841" s="49" t="str">
        <f t="shared" si="1"/>
        <v>21690</v>
      </c>
      <c r="H5841" s="49">
        <f t="shared" si="2"/>
        <v>21580</v>
      </c>
    </row>
    <row r="5842">
      <c r="A5842" s="48" t="s">
        <v>5575</v>
      </c>
      <c r="B5842" s="38">
        <v>62663.0</v>
      </c>
      <c r="C5842" s="38" t="s">
        <v>9049</v>
      </c>
      <c r="D5842" s="38" t="str">
        <f>IFERROR(__xludf.DUMMYFUNCTION("REGEXREPLACE(C5842,""-\d+(.*)|--\d+(.*)"","""")"),"POMMERA")</f>
        <v>POMMERA</v>
      </c>
      <c r="E5842" s="38" t="s">
        <v>109</v>
      </c>
      <c r="F5842" s="38" t="s">
        <v>86</v>
      </c>
      <c r="G5842" s="49" t="str">
        <f t="shared" si="1"/>
        <v>62760</v>
      </c>
      <c r="H5842" s="49">
        <f t="shared" si="2"/>
        <v>62663</v>
      </c>
    </row>
    <row r="5843">
      <c r="A5843" s="48" t="s">
        <v>542</v>
      </c>
      <c r="B5843" s="38">
        <v>50167.0</v>
      </c>
      <c r="C5843" s="38" t="s">
        <v>9050</v>
      </c>
      <c r="D5843" s="38" t="str">
        <f>IFERROR(__xludf.DUMMYFUNCTION("REGEXREPLACE(C5843,""-\d+(.*)|--\d+(.*)"","""")"),"DRAGEY-RONTHON")</f>
        <v>DRAGEY-RONTHON</v>
      </c>
      <c r="E5843" s="38" t="s">
        <v>157</v>
      </c>
      <c r="F5843" s="38" t="s">
        <v>138</v>
      </c>
      <c r="G5843" s="49" t="str">
        <f t="shared" si="1"/>
        <v>50530</v>
      </c>
      <c r="H5843" s="49">
        <f t="shared" si="2"/>
        <v>50167</v>
      </c>
    </row>
    <row r="5844">
      <c r="A5844" s="48" t="s">
        <v>1630</v>
      </c>
      <c r="B5844" s="38">
        <v>57014.0</v>
      </c>
      <c r="C5844" s="38" t="s">
        <v>9051</v>
      </c>
      <c r="D5844" s="38" t="str">
        <f>IFERROR(__xludf.DUMMYFUNCTION("REGEXREPLACE(C5844,""-\d+(.*)|--\d+(.*)"","""")"),"ALTRIPPE")</f>
        <v>ALTRIPPE</v>
      </c>
      <c r="E5844" s="38" t="s">
        <v>303</v>
      </c>
      <c r="F5844" s="38" t="s">
        <v>195</v>
      </c>
      <c r="G5844" s="49" t="str">
        <f t="shared" si="1"/>
        <v>57660</v>
      </c>
      <c r="H5844" s="49">
        <f t="shared" si="2"/>
        <v>57014</v>
      </c>
    </row>
    <row r="5845">
      <c r="A5845" s="48" t="s">
        <v>5012</v>
      </c>
      <c r="B5845" s="38">
        <v>55155.0</v>
      </c>
      <c r="C5845" s="38" t="s">
        <v>9052</v>
      </c>
      <c r="D5845" s="38" t="str">
        <f>IFERROR(__xludf.DUMMYFUNCTION("REGEXREPLACE(C5845,""-\d+(.*)|--\d+(.*)"","""")"),"DOMBASLE-EN-ARGONNE")</f>
        <v>DOMBASLE-EN-ARGONNE</v>
      </c>
      <c r="E5845" s="38" t="s">
        <v>322</v>
      </c>
      <c r="F5845" s="38" t="s">
        <v>195</v>
      </c>
      <c r="G5845" s="49" t="str">
        <f t="shared" si="1"/>
        <v>55120</v>
      </c>
      <c r="H5845" s="49">
        <f t="shared" si="2"/>
        <v>55155</v>
      </c>
    </row>
    <row r="5846">
      <c r="A5846" s="48" t="s">
        <v>6261</v>
      </c>
      <c r="B5846" s="38">
        <v>76196.0</v>
      </c>
      <c r="C5846" s="38" t="s">
        <v>9053</v>
      </c>
      <c r="D5846" s="38" t="str">
        <f>IFERROR(__xludf.DUMMYFUNCTION("REGEXREPLACE(C5846,""-\d+(.*)|--\d+(.*)"","""")"),"CRIQUETOT-L'ESNEVAL")</f>
        <v>CRIQUETOT-L'ESNEVAL</v>
      </c>
      <c r="E5846" s="38" t="s">
        <v>133</v>
      </c>
      <c r="F5846" s="38" t="s">
        <v>134</v>
      </c>
      <c r="G5846" s="49" t="str">
        <f t="shared" si="1"/>
        <v>76280</v>
      </c>
      <c r="H5846" s="49">
        <f t="shared" si="2"/>
        <v>76196</v>
      </c>
    </row>
    <row r="5847">
      <c r="A5847" s="48" t="s">
        <v>1091</v>
      </c>
      <c r="B5847" s="38">
        <v>57431.0</v>
      </c>
      <c r="C5847" s="38" t="s">
        <v>9054</v>
      </c>
      <c r="D5847" s="38" t="str">
        <f>IFERROR(__xludf.DUMMYFUNCTION("REGEXREPLACE(C5847,""-\d+(.*)|--\d+(.*)"","""")"),"MAIZEROY")</f>
        <v>MAIZEROY</v>
      </c>
      <c r="E5847" s="38" t="s">
        <v>303</v>
      </c>
      <c r="F5847" s="38" t="s">
        <v>195</v>
      </c>
      <c r="G5847" s="49" t="str">
        <f t="shared" si="1"/>
        <v>57530</v>
      </c>
      <c r="H5847" s="49">
        <f t="shared" si="2"/>
        <v>57431</v>
      </c>
    </row>
    <row r="5848">
      <c r="A5848" s="48" t="s">
        <v>1366</v>
      </c>
      <c r="B5848" s="38">
        <v>59267.0</v>
      </c>
      <c r="C5848" s="38" t="s">
        <v>9055</v>
      </c>
      <c r="D5848" s="38" t="str">
        <f>IFERROR(__xludf.DUMMYFUNCTION("REGEXREPLACE(C5848,""-\d+(.*)|--\d+(.*)"","""")"),"GONNELIEU")</f>
        <v>GONNELIEU</v>
      </c>
      <c r="E5848" s="38" t="s">
        <v>85</v>
      </c>
      <c r="F5848" s="38" t="s">
        <v>86</v>
      </c>
      <c r="G5848" s="49" t="str">
        <f t="shared" si="1"/>
        <v>59231</v>
      </c>
      <c r="H5848" s="49">
        <f t="shared" si="2"/>
        <v>59267</v>
      </c>
    </row>
    <row r="5849">
      <c r="A5849" s="48" t="s">
        <v>5608</v>
      </c>
      <c r="B5849" s="38">
        <v>57328.0</v>
      </c>
      <c r="C5849" s="38" t="s">
        <v>9056</v>
      </c>
      <c r="D5849" s="38" t="str">
        <f>IFERROR(__xludf.DUMMYFUNCTION("REGEXREPLACE(C5849,""-\d+(.*)|--\d+(.*)"","""")"),"HOLACOURT")</f>
        <v>HOLACOURT</v>
      </c>
      <c r="E5849" s="38" t="s">
        <v>303</v>
      </c>
      <c r="F5849" s="38" t="s">
        <v>195</v>
      </c>
      <c r="G5849" s="49" t="str">
        <f t="shared" si="1"/>
        <v>57380</v>
      </c>
      <c r="H5849" s="49">
        <f t="shared" si="2"/>
        <v>57328</v>
      </c>
    </row>
    <row r="5850">
      <c r="A5850" s="48" t="s">
        <v>307</v>
      </c>
      <c r="B5850" s="38">
        <v>88019.0</v>
      </c>
      <c r="C5850" s="38" t="s">
        <v>9057</v>
      </c>
      <c r="D5850" s="38" t="str">
        <f>IFERROR(__xludf.DUMMYFUNCTION("REGEXREPLACE(C5850,""-\d+(.*)|--\d+(.*)"","""")"),"AUTIGNY-LA-TOUR")</f>
        <v>AUTIGNY-LA-TOUR</v>
      </c>
      <c r="E5850" s="38" t="s">
        <v>194</v>
      </c>
      <c r="F5850" s="38" t="s">
        <v>195</v>
      </c>
      <c r="G5850" s="49" t="str">
        <f t="shared" si="1"/>
        <v>88300</v>
      </c>
      <c r="H5850" s="49">
        <f t="shared" si="2"/>
        <v>88019</v>
      </c>
    </row>
    <row r="5851">
      <c r="A5851" s="48" t="s">
        <v>5612</v>
      </c>
      <c r="B5851" s="38">
        <v>52115.0</v>
      </c>
      <c r="C5851" s="38" t="s">
        <v>9058</v>
      </c>
      <c r="D5851" s="38" t="str">
        <f>IFERROR(__xludf.DUMMYFUNCTION("REGEXREPLACE(C5851,""-\d+(.*)|--\d+(.*)"","""")"),"CHATENAY-MACHERON")</f>
        <v>CHATENAY-MACHERON</v>
      </c>
      <c r="E5851" s="38" t="s">
        <v>234</v>
      </c>
      <c r="F5851" s="38" t="s">
        <v>130</v>
      </c>
      <c r="G5851" s="49" t="str">
        <f t="shared" si="1"/>
        <v>52200</v>
      </c>
      <c r="H5851" s="49">
        <f t="shared" si="2"/>
        <v>52115</v>
      </c>
    </row>
    <row r="5852">
      <c r="A5852" s="48" t="s">
        <v>1027</v>
      </c>
      <c r="B5852" s="38">
        <v>1034.0</v>
      </c>
      <c r="C5852" s="38" t="s">
        <v>9059</v>
      </c>
      <c r="D5852" s="38" t="str">
        <f>IFERROR(__xludf.DUMMYFUNCTION("REGEXREPLACE(C5852,""-\d+(.*)|--\d+(.*)"","""")"),"BELLEY")</f>
        <v>BELLEY</v>
      </c>
      <c r="E5852" s="38" t="s">
        <v>255</v>
      </c>
      <c r="F5852" s="38" t="s">
        <v>102</v>
      </c>
      <c r="G5852" s="49" t="str">
        <f t="shared" si="1"/>
        <v>01300</v>
      </c>
      <c r="H5852" s="49" t="str">
        <f t="shared" si="2"/>
        <v>01034</v>
      </c>
    </row>
    <row r="5853">
      <c r="A5853" s="48" t="s">
        <v>9028</v>
      </c>
      <c r="B5853" s="38">
        <v>65276.0</v>
      </c>
      <c r="C5853" s="38" t="s">
        <v>9060</v>
      </c>
      <c r="D5853" s="38" t="str">
        <f>IFERROR(__xludf.DUMMYFUNCTION("REGEXREPLACE(C5853,""-\d+(.*)|--\d+(.*)"","""")"),"LIZOS")</f>
        <v>LIZOS</v>
      </c>
      <c r="E5853" s="38" t="s">
        <v>200</v>
      </c>
      <c r="F5853" s="38" t="s">
        <v>94</v>
      </c>
      <c r="G5853" s="49" t="str">
        <f t="shared" si="1"/>
        <v>65350</v>
      </c>
      <c r="H5853" s="49">
        <f t="shared" si="2"/>
        <v>65276</v>
      </c>
    </row>
    <row r="5854">
      <c r="A5854" s="48" t="s">
        <v>4642</v>
      </c>
      <c r="B5854" s="38">
        <v>21565.0</v>
      </c>
      <c r="C5854" s="38" t="s">
        <v>9061</v>
      </c>
      <c r="D5854" s="38" t="str">
        <f>IFERROR(__xludf.DUMMYFUNCTION("REGEXREPLACE(C5854,""-\d+(.*)|--\d+(.*)"","""")"),"SAINT-PHILIBERT")</f>
        <v>SAINT-PHILIBERT</v>
      </c>
      <c r="E5854" s="38" t="s">
        <v>105</v>
      </c>
      <c r="F5854" s="38" t="s">
        <v>106</v>
      </c>
      <c r="G5854" s="49" t="str">
        <f t="shared" si="1"/>
        <v>21220</v>
      </c>
      <c r="H5854" s="49">
        <f t="shared" si="2"/>
        <v>21565</v>
      </c>
    </row>
    <row r="5855">
      <c r="A5855" s="48" t="s">
        <v>877</v>
      </c>
      <c r="B5855" s="38">
        <v>57651.0</v>
      </c>
      <c r="C5855" s="38" t="s">
        <v>9062</v>
      </c>
      <c r="D5855" s="38" t="str">
        <f>IFERROR(__xludf.DUMMYFUNCTION("REGEXREPLACE(C5855,""-\d+(.*)|--\d+(.*)"","""")"),"SIERSTHAL")</f>
        <v>SIERSTHAL</v>
      </c>
      <c r="E5855" s="38" t="s">
        <v>303</v>
      </c>
      <c r="F5855" s="38" t="s">
        <v>195</v>
      </c>
      <c r="G5855" s="49" t="str">
        <f t="shared" si="1"/>
        <v>57410</v>
      </c>
      <c r="H5855" s="49">
        <f t="shared" si="2"/>
        <v>57651</v>
      </c>
    </row>
    <row r="5856">
      <c r="A5856" s="48" t="s">
        <v>2433</v>
      </c>
      <c r="B5856" s="38">
        <v>70027.0</v>
      </c>
      <c r="C5856" s="38" t="s">
        <v>9063</v>
      </c>
      <c r="D5856" s="38" t="str">
        <f>IFERROR(__xludf.DUMMYFUNCTION("REGEXREPLACE(C5856,""-\d+(.*)|--\d+(.*)"","""")"),"ARGILLIERES")</f>
        <v>ARGILLIERES</v>
      </c>
      <c r="E5856" s="38" t="s">
        <v>956</v>
      </c>
      <c r="F5856" s="38" t="s">
        <v>214</v>
      </c>
      <c r="G5856" s="49" t="str">
        <f t="shared" si="1"/>
        <v>70600</v>
      </c>
      <c r="H5856" s="49">
        <f t="shared" si="2"/>
        <v>70027</v>
      </c>
    </row>
    <row r="5857">
      <c r="A5857" s="48" t="s">
        <v>9064</v>
      </c>
      <c r="B5857" s="38">
        <v>15117.0</v>
      </c>
      <c r="C5857" s="38" t="s">
        <v>9065</v>
      </c>
      <c r="D5857" s="38" t="str">
        <f>IFERROR(__xludf.DUMMYFUNCTION("REGEXREPLACE(C5857,""-\d+(.*)|--\d+(.*)"","""")"),"MARCOLES")</f>
        <v>MARCOLES</v>
      </c>
      <c r="E5857" s="38" t="s">
        <v>632</v>
      </c>
      <c r="F5857" s="38" t="s">
        <v>161</v>
      </c>
      <c r="G5857" s="49" t="str">
        <f t="shared" si="1"/>
        <v>15220</v>
      </c>
      <c r="H5857" s="49">
        <f t="shared" si="2"/>
        <v>15117</v>
      </c>
    </row>
    <row r="5858">
      <c r="A5858" s="48" t="s">
        <v>7596</v>
      </c>
      <c r="B5858" s="38">
        <v>12225.0</v>
      </c>
      <c r="C5858" s="38" t="s">
        <v>9066</v>
      </c>
      <c r="D5858" s="38" t="str">
        <f>IFERROR(__xludf.DUMMYFUNCTION("REGEXREPLACE(C5858,""-\d+(.*)|--\d+(.*)"","""")"),"SAINT-GEORGES-DE-LUZENCON")</f>
        <v>SAINT-GEORGES-DE-LUZENCON</v>
      </c>
      <c r="E5858" s="38" t="s">
        <v>465</v>
      </c>
      <c r="F5858" s="38" t="s">
        <v>94</v>
      </c>
      <c r="G5858" s="49" t="str">
        <f t="shared" si="1"/>
        <v>12100</v>
      </c>
      <c r="H5858" s="49">
        <f t="shared" si="2"/>
        <v>12225</v>
      </c>
    </row>
    <row r="5859">
      <c r="A5859" s="48" t="s">
        <v>9067</v>
      </c>
      <c r="B5859" s="38">
        <v>73248.0</v>
      </c>
      <c r="C5859" s="38" t="s">
        <v>9068</v>
      </c>
      <c r="D5859" s="38" t="str">
        <f>IFERROR(__xludf.DUMMYFUNCTION("REGEXREPLACE(C5859,""-\d+(.*)|--\d+(.*)"","""")"),"SAINT-JEAN-DE-MAURIENNE")</f>
        <v>SAINT-JEAN-DE-MAURIENNE</v>
      </c>
      <c r="E5859" s="38" t="s">
        <v>306</v>
      </c>
      <c r="F5859" s="38" t="s">
        <v>102</v>
      </c>
      <c r="G5859" s="49" t="str">
        <f t="shared" si="1"/>
        <v>73300</v>
      </c>
      <c r="H5859" s="49">
        <f t="shared" si="2"/>
        <v>73248</v>
      </c>
    </row>
    <row r="5860">
      <c r="A5860" s="48" t="s">
        <v>2796</v>
      </c>
      <c r="B5860" s="38">
        <v>7345.0</v>
      </c>
      <c r="C5860" s="38" t="s">
        <v>3468</v>
      </c>
      <c r="D5860" s="38" t="str">
        <f>IFERROR(__xludf.DUMMYFUNCTION("REGEXREPLACE(C5860,""-\d+(.*)|--\d+(.*)"","""")"),"VION")</f>
        <v>VION</v>
      </c>
      <c r="E5860" s="38" t="s">
        <v>144</v>
      </c>
      <c r="F5860" s="38" t="s">
        <v>102</v>
      </c>
      <c r="G5860" s="49" t="str">
        <f t="shared" si="1"/>
        <v>07610</v>
      </c>
      <c r="H5860" s="49" t="str">
        <f t="shared" si="2"/>
        <v>07345</v>
      </c>
    </row>
    <row r="5861">
      <c r="A5861" s="48" t="s">
        <v>7659</v>
      </c>
      <c r="B5861" s="38">
        <v>53016.0</v>
      </c>
      <c r="C5861" s="38" t="s">
        <v>9069</v>
      </c>
      <c r="D5861" s="38" t="str">
        <f>IFERROR(__xludf.DUMMYFUNCTION("REGEXREPLACE(C5861,""-\d+(.*)|--\d+(.*)"","""")"),"BAIS")</f>
        <v>BAIS</v>
      </c>
      <c r="E5861" s="38" t="s">
        <v>518</v>
      </c>
      <c r="F5861" s="38" t="s">
        <v>180</v>
      </c>
      <c r="G5861" s="49" t="str">
        <f t="shared" si="1"/>
        <v>53160</v>
      </c>
      <c r="H5861" s="49">
        <f t="shared" si="2"/>
        <v>53016</v>
      </c>
    </row>
    <row r="5862">
      <c r="A5862" s="48" t="s">
        <v>3260</v>
      </c>
      <c r="B5862" s="38">
        <v>3291.0</v>
      </c>
      <c r="C5862" s="38" t="s">
        <v>9070</v>
      </c>
      <c r="D5862" s="38" t="str">
        <f>IFERROR(__xludf.DUMMYFUNCTION("REGEXREPLACE(C5862,""-\d+(.*)|--\d+(.*)"","""")"),"TREZELLES")</f>
        <v>TREZELLES</v>
      </c>
      <c r="E5862" s="38" t="s">
        <v>160</v>
      </c>
      <c r="F5862" s="38" t="s">
        <v>161</v>
      </c>
      <c r="G5862" s="49" t="str">
        <f t="shared" si="1"/>
        <v>03220</v>
      </c>
      <c r="H5862" s="49" t="str">
        <f t="shared" si="2"/>
        <v>03291</v>
      </c>
    </row>
    <row r="5863">
      <c r="A5863" s="48" t="s">
        <v>5235</v>
      </c>
      <c r="B5863" s="38">
        <v>61184.0</v>
      </c>
      <c r="C5863" s="38" t="s">
        <v>9071</v>
      </c>
      <c r="D5863" s="38" t="str">
        <f>IFERROR(__xludf.DUMMYFUNCTION("REGEXREPLACE(C5863,""-\d+(.*)|--\d+(.*)"","""")"),"GAUVILLE")</f>
        <v>GAUVILLE</v>
      </c>
      <c r="E5863" s="38" t="s">
        <v>141</v>
      </c>
      <c r="F5863" s="38" t="s">
        <v>138</v>
      </c>
      <c r="G5863" s="49" t="str">
        <f t="shared" si="1"/>
        <v>61550</v>
      </c>
      <c r="H5863" s="49">
        <f t="shared" si="2"/>
        <v>61184</v>
      </c>
    </row>
    <row r="5864">
      <c r="A5864" s="48" t="s">
        <v>7390</v>
      </c>
      <c r="B5864" s="38">
        <v>7342.0</v>
      </c>
      <c r="C5864" s="38" t="s">
        <v>9072</v>
      </c>
      <c r="D5864" s="38" t="str">
        <f>IFERROR(__xludf.DUMMYFUNCTION("REGEXREPLACE(C5864,""-\d+(.*)|--\d+(.*)"","""")"),"VILLEVOCANCE")</f>
        <v>VILLEVOCANCE</v>
      </c>
      <c r="E5864" s="38" t="s">
        <v>144</v>
      </c>
      <c r="F5864" s="38" t="s">
        <v>102</v>
      </c>
      <c r="G5864" s="49" t="str">
        <f t="shared" si="1"/>
        <v>07690</v>
      </c>
      <c r="H5864" s="49" t="str">
        <f t="shared" si="2"/>
        <v>07342</v>
      </c>
    </row>
    <row r="5865">
      <c r="A5865" s="48" t="s">
        <v>671</v>
      </c>
      <c r="B5865" s="38">
        <v>21272.0</v>
      </c>
      <c r="C5865" s="38" t="s">
        <v>9073</v>
      </c>
      <c r="D5865" s="38" t="str">
        <f>IFERROR(__xludf.DUMMYFUNCTION("REGEXREPLACE(C5865,""-\d+(.*)|--\d+(.*)"","""")"),"FLEE")</f>
        <v>FLEE</v>
      </c>
      <c r="E5865" s="38" t="s">
        <v>105</v>
      </c>
      <c r="F5865" s="38" t="s">
        <v>106</v>
      </c>
      <c r="G5865" s="49" t="str">
        <f t="shared" si="1"/>
        <v>21140</v>
      </c>
      <c r="H5865" s="49">
        <f t="shared" si="2"/>
        <v>21272</v>
      </c>
    </row>
    <row r="5866">
      <c r="A5866" s="48" t="s">
        <v>9074</v>
      </c>
      <c r="B5866" s="38">
        <v>84018.0</v>
      </c>
      <c r="C5866" s="38" t="s">
        <v>9075</v>
      </c>
      <c r="D5866" s="38" t="str">
        <f>IFERROR(__xludf.DUMMYFUNCTION("REGEXREPLACE(C5866,""-\d+(.*)|--\d+(.*)"","""")"),"BLAUVAC")</f>
        <v>BLAUVAC</v>
      </c>
      <c r="E5866" s="38" t="s">
        <v>1026</v>
      </c>
      <c r="F5866" s="38" t="s">
        <v>228</v>
      </c>
      <c r="G5866" s="49" t="str">
        <f t="shared" si="1"/>
        <v>84570</v>
      </c>
      <c r="H5866" s="49">
        <f t="shared" si="2"/>
        <v>84018</v>
      </c>
    </row>
    <row r="5867">
      <c r="A5867" s="48" t="s">
        <v>447</v>
      </c>
      <c r="B5867" s="38">
        <v>88126.0</v>
      </c>
      <c r="C5867" s="38" t="s">
        <v>9076</v>
      </c>
      <c r="D5867" s="38" t="str">
        <f>IFERROR(__xludf.DUMMYFUNCTION("REGEXREPLACE(C5867,""-\d+(.*)|--\d+(.*)"","""")"),"DARNIEULLES")</f>
        <v>DARNIEULLES</v>
      </c>
      <c r="E5867" s="38" t="s">
        <v>194</v>
      </c>
      <c r="F5867" s="38" t="s">
        <v>195</v>
      </c>
      <c r="G5867" s="49" t="str">
        <f t="shared" si="1"/>
        <v>88390</v>
      </c>
      <c r="H5867" s="49">
        <f t="shared" si="2"/>
        <v>88126</v>
      </c>
    </row>
    <row r="5868">
      <c r="A5868" s="48" t="s">
        <v>9077</v>
      </c>
      <c r="B5868" s="38">
        <v>19207.0</v>
      </c>
      <c r="C5868" s="38" t="s">
        <v>9078</v>
      </c>
      <c r="D5868" s="38" t="str">
        <f>IFERROR(__xludf.DUMMYFUNCTION("REGEXREPLACE(C5868,""-\d+(.*)|--\d+(.*)"","""")"),"SAINT-GERMAIN-LES-VERGNES")</f>
        <v>SAINT-GERMAIN-LES-VERGNES</v>
      </c>
      <c r="E5868" s="38" t="s">
        <v>271</v>
      </c>
      <c r="F5868" s="38" t="s">
        <v>98</v>
      </c>
      <c r="G5868" s="49" t="str">
        <f t="shared" si="1"/>
        <v>19330</v>
      </c>
      <c r="H5868" s="49">
        <f t="shared" si="2"/>
        <v>19207</v>
      </c>
    </row>
    <row r="5869">
      <c r="A5869" s="48" t="s">
        <v>1518</v>
      </c>
      <c r="B5869" s="38">
        <v>88364.0</v>
      </c>
      <c r="C5869" s="38" t="s">
        <v>9079</v>
      </c>
      <c r="D5869" s="38" t="str">
        <f>IFERROR(__xludf.DUMMYFUNCTION("REGEXREPLACE(C5869,""-\d+(.*)|--\d+(.*)"","""")"),"PUZIEUX")</f>
        <v>PUZIEUX</v>
      </c>
      <c r="E5869" s="38" t="s">
        <v>194</v>
      </c>
      <c r="F5869" s="38" t="s">
        <v>195</v>
      </c>
      <c r="G5869" s="49" t="str">
        <f t="shared" si="1"/>
        <v>88500</v>
      </c>
      <c r="H5869" s="49">
        <f t="shared" si="2"/>
        <v>88364</v>
      </c>
    </row>
    <row r="5870">
      <c r="A5870" s="48" t="s">
        <v>9080</v>
      </c>
      <c r="B5870" s="38">
        <v>66037.0</v>
      </c>
      <c r="C5870" s="38" t="s">
        <v>9081</v>
      </c>
      <c r="D5870" s="38" t="str">
        <f>IFERROR(__xludf.DUMMYFUNCTION("REGEXREPLACE(C5870,""-\d+(.*)|--\d+(.*)"","""")"),"CANET-EN-ROUSSILLON")</f>
        <v>CANET-EN-ROUSSILLON</v>
      </c>
      <c r="E5870" s="38" t="s">
        <v>248</v>
      </c>
      <c r="F5870" s="38" t="s">
        <v>119</v>
      </c>
      <c r="G5870" s="49" t="str">
        <f t="shared" si="1"/>
        <v>66140</v>
      </c>
      <c r="H5870" s="49">
        <f t="shared" si="2"/>
        <v>66037</v>
      </c>
    </row>
    <row r="5871">
      <c r="A5871" s="48" t="s">
        <v>9082</v>
      </c>
      <c r="B5871" s="38">
        <v>92012.0</v>
      </c>
      <c r="C5871" s="38" t="s">
        <v>9083</v>
      </c>
      <c r="D5871" s="38" t="str">
        <f>IFERROR(__xludf.DUMMYFUNCTION("REGEXREPLACE(C5871,""-\d+(.*)|--\d+(.*)"","""")"),"BOULOGNE-BILLANCOURT")</f>
        <v>BOULOGNE-BILLANCOURT</v>
      </c>
      <c r="E5871" s="38" t="s">
        <v>838</v>
      </c>
      <c r="F5871" s="38" t="s">
        <v>245</v>
      </c>
      <c r="G5871" s="49" t="str">
        <f t="shared" si="1"/>
        <v>92100</v>
      </c>
      <c r="H5871" s="49">
        <f t="shared" si="2"/>
        <v>92012</v>
      </c>
    </row>
    <row r="5872">
      <c r="A5872" s="48" t="s">
        <v>614</v>
      </c>
      <c r="B5872" s="38">
        <v>24118.0</v>
      </c>
      <c r="C5872" s="38" t="s">
        <v>9084</v>
      </c>
      <c r="D5872" s="38" t="str">
        <f>IFERROR(__xludf.DUMMYFUNCTION("REGEXREPLACE(C5872,""-\d+(.*)|--\d+(.*)"","""")"),"CHENAUD")</f>
        <v>CHENAUD</v>
      </c>
      <c r="E5872" s="38" t="s">
        <v>261</v>
      </c>
      <c r="F5872" s="38" t="s">
        <v>252</v>
      </c>
      <c r="G5872" s="49" t="str">
        <f t="shared" si="1"/>
        <v>24410</v>
      </c>
      <c r="H5872" s="49">
        <f t="shared" si="2"/>
        <v>24118</v>
      </c>
    </row>
    <row r="5873">
      <c r="A5873" s="48" t="s">
        <v>7239</v>
      </c>
      <c r="B5873" s="38">
        <v>24493.0</v>
      </c>
      <c r="C5873" s="38" t="s">
        <v>9085</v>
      </c>
      <c r="D5873" s="38" t="str">
        <f>IFERROR(__xludf.DUMMYFUNCTION("REGEXREPLACE(C5873,""-\d+(.*)|--\d+(.*)"","""")"),"SAINT-RAPHAEL")</f>
        <v>SAINT-RAPHAEL</v>
      </c>
      <c r="E5873" s="38" t="s">
        <v>261</v>
      </c>
      <c r="F5873" s="38" t="s">
        <v>252</v>
      </c>
      <c r="G5873" s="49" t="str">
        <f t="shared" si="1"/>
        <v>24160</v>
      </c>
      <c r="H5873" s="49">
        <f t="shared" si="2"/>
        <v>24493</v>
      </c>
    </row>
    <row r="5874">
      <c r="A5874" s="48" t="s">
        <v>7501</v>
      </c>
      <c r="B5874" s="38">
        <v>9072.0</v>
      </c>
      <c r="C5874" s="38" t="s">
        <v>9086</v>
      </c>
      <c r="D5874" s="38" t="str">
        <f>IFERROR(__xludf.DUMMYFUNCTION("REGEXREPLACE(C5874,""-\d+(.*)|--\d+(.*)"","""")"),"CALZAN")</f>
        <v>CALZAN</v>
      </c>
      <c r="E5874" s="38" t="s">
        <v>238</v>
      </c>
      <c r="F5874" s="38" t="s">
        <v>94</v>
      </c>
      <c r="G5874" s="49" t="str">
        <f t="shared" si="1"/>
        <v>09120</v>
      </c>
      <c r="H5874" s="49" t="str">
        <f t="shared" si="2"/>
        <v>09072</v>
      </c>
    </row>
    <row r="5875">
      <c r="A5875" s="48" t="s">
        <v>8412</v>
      </c>
      <c r="B5875" s="38">
        <v>43221.0</v>
      </c>
      <c r="C5875" s="38" t="s">
        <v>9087</v>
      </c>
      <c r="D5875" s="38" t="str">
        <f>IFERROR(__xludf.DUMMYFUNCTION("REGEXREPLACE(C5875,""-\d+(.*)|--\d+(.*)"","""")"),"SAINT-PRIVAT-D'ALLIER")</f>
        <v>SAINT-PRIVAT-D'ALLIER</v>
      </c>
      <c r="E5875" s="38" t="s">
        <v>332</v>
      </c>
      <c r="F5875" s="38" t="s">
        <v>161</v>
      </c>
      <c r="G5875" s="49" t="str">
        <f t="shared" si="1"/>
        <v>43580</v>
      </c>
      <c r="H5875" s="49">
        <f t="shared" si="2"/>
        <v>43221</v>
      </c>
    </row>
    <row r="5876">
      <c r="A5876" s="48" t="s">
        <v>2779</v>
      </c>
      <c r="B5876" s="38">
        <v>80503.0</v>
      </c>
      <c r="C5876" s="38" t="s">
        <v>9088</v>
      </c>
      <c r="D5876" s="38" t="str">
        <f>IFERROR(__xludf.DUMMYFUNCTION("REGEXREPLACE(C5876,""-\d+(.*)|--\d+(.*)"","""")"),"MAIZICOURT")</f>
        <v>MAIZICOURT</v>
      </c>
      <c r="E5876" s="38" t="s">
        <v>224</v>
      </c>
      <c r="F5876" s="38" t="s">
        <v>113</v>
      </c>
      <c r="G5876" s="49" t="str">
        <f t="shared" si="1"/>
        <v>80370</v>
      </c>
      <c r="H5876" s="49">
        <f t="shared" si="2"/>
        <v>80503</v>
      </c>
    </row>
    <row r="5877">
      <c r="A5877" s="48" t="s">
        <v>1274</v>
      </c>
      <c r="B5877" s="38">
        <v>33398.0</v>
      </c>
      <c r="C5877" s="38" t="s">
        <v>9089</v>
      </c>
      <c r="D5877" s="38" t="str">
        <f>IFERROR(__xludf.DUMMYFUNCTION("REGEXREPLACE(C5877,""-\d+(.*)|--\d+(.*)"","""")"),"SAINT-EXUPERY")</f>
        <v>SAINT-EXUPERY</v>
      </c>
      <c r="E5877" s="38" t="s">
        <v>462</v>
      </c>
      <c r="F5877" s="38" t="s">
        <v>252</v>
      </c>
      <c r="G5877" s="49" t="str">
        <f t="shared" si="1"/>
        <v>33190</v>
      </c>
      <c r="H5877" s="49">
        <f t="shared" si="2"/>
        <v>33398</v>
      </c>
    </row>
    <row r="5878">
      <c r="A5878" s="48" t="s">
        <v>4176</v>
      </c>
      <c r="B5878" s="38">
        <v>41230.0</v>
      </c>
      <c r="C5878" s="38" t="s">
        <v>9090</v>
      </c>
      <c r="D5878" s="38" t="str">
        <f>IFERROR(__xludf.DUMMYFUNCTION("REGEXREPLACE(C5878,""-\d+(.*)|--\d+(.*)"","""")"),"SAINT-SULPICE-DE-POMMERAY")</f>
        <v>SAINT-SULPICE-DE-POMMERAY</v>
      </c>
      <c r="E5878" s="38" t="s">
        <v>188</v>
      </c>
      <c r="F5878" s="38" t="s">
        <v>123</v>
      </c>
      <c r="G5878" s="49" t="str">
        <f t="shared" si="1"/>
        <v>41000</v>
      </c>
      <c r="H5878" s="49">
        <f t="shared" si="2"/>
        <v>41230</v>
      </c>
    </row>
    <row r="5879">
      <c r="A5879" s="48" t="s">
        <v>9091</v>
      </c>
      <c r="B5879" s="38">
        <v>46215.0</v>
      </c>
      <c r="C5879" s="38" t="s">
        <v>9092</v>
      </c>
      <c r="D5879" s="38" t="str">
        <f>IFERROR(__xludf.DUMMYFUNCTION("REGEXREPLACE(C5879,""-\d+(.*)|--\d+(.*)"","""")"),"PAYRAC")</f>
        <v>PAYRAC</v>
      </c>
      <c r="E5879" s="38" t="s">
        <v>185</v>
      </c>
      <c r="F5879" s="38" t="s">
        <v>94</v>
      </c>
      <c r="G5879" s="49" t="str">
        <f t="shared" si="1"/>
        <v>46350</v>
      </c>
      <c r="H5879" s="49">
        <f t="shared" si="2"/>
        <v>46215</v>
      </c>
    </row>
    <row r="5880">
      <c r="A5880" s="48" t="s">
        <v>9093</v>
      </c>
      <c r="B5880" s="38">
        <v>17200.0</v>
      </c>
      <c r="C5880" s="38" t="s">
        <v>9094</v>
      </c>
      <c r="D5880" s="38" t="str">
        <f>IFERROR(__xludf.DUMMYFUNCTION("REGEXREPLACE(C5880,""-\d+(.*)|--\d+(.*)"","""")"),"LAGORD")</f>
        <v>LAGORD</v>
      </c>
      <c r="E5880" s="38" t="s">
        <v>488</v>
      </c>
      <c r="F5880" s="38" t="s">
        <v>338</v>
      </c>
      <c r="G5880" s="49" t="str">
        <f t="shared" si="1"/>
        <v>17140</v>
      </c>
      <c r="H5880" s="49">
        <f t="shared" si="2"/>
        <v>17200</v>
      </c>
    </row>
    <row r="5881">
      <c r="A5881" s="48" t="s">
        <v>5398</v>
      </c>
      <c r="B5881" s="38">
        <v>64103.0</v>
      </c>
      <c r="C5881" s="38" t="s">
        <v>9095</v>
      </c>
      <c r="D5881" s="38" t="str">
        <f>IFERROR(__xludf.DUMMYFUNCTION("REGEXREPLACE(C5881,""-\d+(.*)|--\d+(.*)"","""")"),"BEDEILLE")</f>
        <v>BEDEILLE</v>
      </c>
      <c r="E5881" s="38" t="s">
        <v>268</v>
      </c>
      <c r="F5881" s="38" t="s">
        <v>252</v>
      </c>
      <c r="G5881" s="49" t="str">
        <f t="shared" si="1"/>
        <v>64460</v>
      </c>
      <c r="H5881" s="49">
        <f t="shared" si="2"/>
        <v>64103</v>
      </c>
    </row>
    <row r="5882">
      <c r="A5882" s="48" t="s">
        <v>920</v>
      </c>
      <c r="B5882" s="38">
        <v>31565.0</v>
      </c>
      <c r="C5882" s="38" t="s">
        <v>9096</v>
      </c>
      <c r="D5882" s="38" t="str">
        <f>IFERROR(__xludf.DUMMYFUNCTION("REGEXREPLACE(C5882,""-\d+(.*)|--\d+(.*)"","""")"),"VALENTINE")</f>
        <v>VALENTINE</v>
      </c>
      <c r="E5882" s="38" t="s">
        <v>93</v>
      </c>
      <c r="F5882" s="38" t="s">
        <v>94</v>
      </c>
      <c r="G5882" s="49" t="str">
        <f t="shared" si="1"/>
        <v>31800</v>
      </c>
      <c r="H5882" s="49">
        <f t="shared" si="2"/>
        <v>31565</v>
      </c>
    </row>
    <row r="5883">
      <c r="A5883" s="48" t="s">
        <v>466</v>
      </c>
      <c r="B5883" s="38">
        <v>52442.0</v>
      </c>
      <c r="C5883" s="38" t="s">
        <v>9097</v>
      </c>
      <c r="D5883" s="38" t="str">
        <f>IFERROR(__xludf.DUMMYFUNCTION("REGEXREPLACE(C5883,""-\d+(.*)|--\d+(.*)"","""")"),"RUPT")</f>
        <v>RUPT</v>
      </c>
      <c r="E5883" s="38" t="s">
        <v>234</v>
      </c>
      <c r="F5883" s="38" t="s">
        <v>130</v>
      </c>
      <c r="G5883" s="49" t="str">
        <f t="shared" si="1"/>
        <v>52300</v>
      </c>
      <c r="H5883" s="49">
        <f t="shared" si="2"/>
        <v>52442</v>
      </c>
    </row>
    <row r="5884">
      <c r="A5884" s="48" t="s">
        <v>4030</v>
      </c>
      <c r="B5884" s="38">
        <v>16289.0</v>
      </c>
      <c r="C5884" s="38" t="s">
        <v>9098</v>
      </c>
      <c r="D5884" s="38" t="str">
        <f>IFERROR(__xludf.DUMMYFUNCTION("REGEXREPLACE(C5884,""-\d+(.*)|--\d+(.*)"","""")"),"ROUSSINES")</f>
        <v>ROUSSINES</v>
      </c>
      <c r="E5884" s="38" t="s">
        <v>429</v>
      </c>
      <c r="F5884" s="38" t="s">
        <v>338</v>
      </c>
      <c r="G5884" s="49" t="str">
        <f t="shared" si="1"/>
        <v>16310</v>
      </c>
      <c r="H5884" s="49">
        <f t="shared" si="2"/>
        <v>16289</v>
      </c>
    </row>
    <row r="5885">
      <c r="A5885" s="48" t="s">
        <v>6951</v>
      </c>
      <c r="B5885" s="38">
        <v>58001.0</v>
      </c>
      <c r="C5885" s="38" t="s">
        <v>9099</v>
      </c>
      <c r="D5885" s="38" t="str">
        <f>IFERROR(__xludf.DUMMYFUNCTION("REGEXREPLACE(C5885,""-\d+(.*)|--\d+(.*)"","""")"),"ACHUN")</f>
        <v>ACHUN</v>
      </c>
      <c r="E5885" s="38" t="s">
        <v>219</v>
      </c>
      <c r="F5885" s="38" t="s">
        <v>106</v>
      </c>
      <c r="G5885" s="49" t="str">
        <f t="shared" si="1"/>
        <v>58110</v>
      </c>
      <c r="H5885" s="49">
        <f t="shared" si="2"/>
        <v>58001</v>
      </c>
    </row>
    <row r="5886">
      <c r="A5886" s="48" t="s">
        <v>9100</v>
      </c>
      <c r="B5886" s="38">
        <v>42222.0</v>
      </c>
      <c r="C5886" s="38" t="s">
        <v>9101</v>
      </c>
      <c r="D5886" s="38" t="str">
        <f>IFERROR(__xludf.DUMMYFUNCTION("REGEXREPLACE(C5886,""-\d+(.*)|--\d+(.*)"","""")"),"SAINT-GALMIER")</f>
        <v>SAINT-GALMIER</v>
      </c>
      <c r="E5886" s="38" t="s">
        <v>166</v>
      </c>
      <c r="F5886" s="38" t="s">
        <v>102</v>
      </c>
      <c r="G5886" s="49" t="str">
        <f t="shared" si="1"/>
        <v>42330</v>
      </c>
      <c r="H5886" s="49">
        <f t="shared" si="2"/>
        <v>42222</v>
      </c>
    </row>
    <row r="5887">
      <c r="A5887" s="48" t="s">
        <v>1473</v>
      </c>
      <c r="B5887" s="38">
        <v>50069.0</v>
      </c>
      <c r="C5887" s="38" t="s">
        <v>9102</v>
      </c>
      <c r="D5887" s="38" t="str">
        <f>IFERROR(__xludf.DUMMYFUNCTION("REGEXREPLACE(C5887,""-\d+(.*)|--\d+(.*)"","""")"),"BOURGUENOLLES")</f>
        <v>BOURGUENOLLES</v>
      </c>
      <c r="E5887" s="38" t="s">
        <v>157</v>
      </c>
      <c r="F5887" s="38" t="s">
        <v>138</v>
      </c>
      <c r="G5887" s="49" t="str">
        <f t="shared" si="1"/>
        <v>50800</v>
      </c>
      <c r="H5887" s="49">
        <f t="shared" si="2"/>
        <v>50069</v>
      </c>
    </row>
    <row r="5888">
      <c r="A5888" s="48" t="s">
        <v>3763</v>
      </c>
      <c r="B5888" s="38">
        <v>76072.0</v>
      </c>
      <c r="C5888" s="38" t="s">
        <v>9103</v>
      </c>
      <c r="D5888" s="38" t="str">
        <f>IFERROR(__xludf.DUMMYFUNCTION("REGEXREPLACE(C5888,""-\d+(.*)|--\d+(.*)"","""")"),"BELLEVILLE-EN-CAUX")</f>
        <v>BELLEVILLE-EN-CAUX</v>
      </c>
      <c r="E5888" s="38" t="s">
        <v>133</v>
      </c>
      <c r="F5888" s="38" t="s">
        <v>134</v>
      </c>
      <c r="G5888" s="49" t="str">
        <f t="shared" si="1"/>
        <v>76890</v>
      </c>
      <c r="H5888" s="49">
        <f t="shared" si="2"/>
        <v>76072</v>
      </c>
    </row>
    <row r="5889">
      <c r="A5889" s="48" t="s">
        <v>1114</v>
      </c>
      <c r="B5889" s="38">
        <v>2807.0</v>
      </c>
      <c r="C5889" s="38" t="s">
        <v>9104</v>
      </c>
      <c r="D5889" s="38" t="str">
        <f>IFERROR(__xludf.DUMMYFUNCTION("REGEXREPLACE(C5889,""-\d+(.*)|--\d+(.*)"","""")"),"VILLEQUIER-AUMONT")</f>
        <v>VILLEQUIER-AUMONT</v>
      </c>
      <c r="E5889" s="38" t="s">
        <v>191</v>
      </c>
      <c r="F5889" s="38" t="s">
        <v>113</v>
      </c>
      <c r="G5889" s="49" t="str">
        <f t="shared" si="1"/>
        <v>02300</v>
      </c>
      <c r="H5889" s="49" t="str">
        <f t="shared" si="2"/>
        <v>02807</v>
      </c>
    </row>
    <row r="5890">
      <c r="A5890" s="48" t="s">
        <v>571</v>
      </c>
      <c r="B5890" s="38">
        <v>55225.0</v>
      </c>
      <c r="C5890" s="38" t="s">
        <v>9105</v>
      </c>
      <c r="D5890" s="38" t="str">
        <f>IFERROR(__xludf.DUMMYFUNCTION("REGEXREPLACE(C5890,""-\d+(.*)|--\d+(.*)"","""")"),"HALLES-SOUS-LES-COTES")</f>
        <v>HALLES-SOUS-LES-COTES</v>
      </c>
      <c r="E5890" s="38" t="s">
        <v>322</v>
      </c>
      <c r="F5890" s="38" t="s">
        <v>195</v>
      </c>
      <c r="G5890" s="49" t="str">
        <f t="shared" si="1"/>
        <v>55700</v>
      </c>
      <c r="H5890" s="49">
        <f t="shared" si="2"/>
        <v>55225</v>
      </c>
    </row>
    <row r="5891">
      <c r="A5891" s="48" t="s">
        <v>5445</v>
      </c>
      <c r="B5891" s="38">
        <v>30278.0</v>
      </c>
      <c r="C5891" s="38" t="s">
        <v>9106</v>
      </c>
      <c r="D5891" s="38" t="str">
        <f>IFERROR(__xludf.DUMMYFUNCTION("REGEXREPLACE(C5891,""-\d+(.*)|--\d+(.*)"","""")"),"SAINT-LAURENT-DES-ARBRES")</f>
        <v>SAINT-LAURENT-DES-ARBRES</v>
      </c>
      <c r="E5891" s="38" t="s">
        <v>526</v>
      </c>
      <c r="F5891" s="38" t="s">
        <v>119</v>
      </c>
      <c r="G5891" s="49" t="str">
        <f t="shared" si="1"/>
        <v>30126</v>
      </c>
      <c r="H5891" s="49">
        <f t="shared" si="2"/>
        <v>30278</v>
      </c>
    </row>
    <row r="5892">
      <c r="A5892" s="48" t="s">
        <v>360</v>
      </c>
      <c r="B5892" s="38">
        <v>78475.0</v>
      </c>
      <c r="C5892" s="38" t="s">
        <v>9107</v>
      </c>
      <c r="D5892" s="38" t="str">
        <f>IFERROR(__xludf.DUMMYFUNCTION("REGEXREPLACE(C5892,""-\d+(.*)|--\d+(.*)"","""")"),"OSMOY")</f>
        <v>OSMOY</v>
      </c>
      <c r="E5892" s="38" t="s">
        <v>362</v>
      </c>
      <c r="F5892" s="38" t="s">
        <v>245</v>
      </c>
      <c r="G5892" s="49" t="str">
        <f t="shared" si="1"/>
        <v>78910</v>
      </c>
      <c r="H5892" s="49">
        <f t="shared" si="2"/>
        <v>78475</v>
      </c>
    </row>
    <row r="5893">
      <c r="A5893" s="48" t="s">
        <v>2237</v>
      </c>
      <c r="B5893" s="38">
        <v>45314.0</v>
      </c>
      <c r="C5893" s="38" t="s">
        <v>9108</v>
      </c>
      <c r="D5893" s="38" t="str">
        <f>IFERROR(__xludf.DUMMYFUNCTION("REGEXREPLACE(C5893,""-\d+(.*)|--\d+(.*)"","""")"),"SULLY-LA-CHAPELLE")</f>
        <v>SULLY-LA-CHAPELLE</v>
      </c>
      <c r="E5893" s="38" t="s">
        <v>122</v>
      </c>
      <c r="F5893" s="38" t="s">
        <v>123</v>
      </c>
      <c r="G5893" s="49" t="str">
        <f t="shared" si="1"/>
        <v>45450</v>
      </c>
      <c r="H5893" s="49">
        <f t="shared" si="2"/>
        <v>45314</v>
      </c>
    </row>
    <row r="5894">
      <c r="A5894" s="48" t="s">
        <v>2004</v>
      </c>
      <c r="B5894" s="38">
        <v>88293.0</v>
      </c>
      <c r="C5894" s="38" t="s">
        <v>9109</v>
      </c>
      <c r="D5894" s="38" t="str">
        <f>IFERROR(__xludf.DUMMYFUNCTION("REGEXREPLACE(C5894,""-\d+(.*)|--\d+(.*)"","""")"),"MAXEY-SUR-MEUSE")</f>
        <v>MAXEY-SUR-MEUSE</v>
      </c>
      <c r="E5894" s="38" t="s">
        <v>194</v>
      </c>
      <c r="F5894" s="38" t="s">
        <v>195</v>
      </c>
      <c r="G5894" s="49" t="str">
        <f t="shared" si="1"/>
        <v>88630</v>
      </c>
      <c r="H5894" s="49">
        <f t="shared" si="2"/>
        <v>88293</v>
      </c>
    </row>
    <row r="5895">
      <c r="A5895" s="48" t="s">
        <v>1077</v>
      </c>
      <c r="B5895" s="38">
        <v>25246.0</v>
      </c>
      <c r="C5895" s="38" t="s">
        <v>9110</v>
      </c>
      <c r="D5895" s="38" t="str">
        <f>IFERROR(__xludf.DUMMYFUNCTION("REGEXREPLACE(C5895,""-\d+(.*)|--\d+(.*)"","""")"),"FONTAINE-LES-CLERVAL")</f>
        <v>FONTAINE-LES-CLERVAL</v>
      </c>
      <c r="E5895" s="38" t="s">
        <v>213</v>
      </c>
      <c r="F5895" s="38" t="s">
        <v>214</v>
      </c>
      <c r="G5895" s="49" t="str">
        <f t="shared" si="1"/>
        <v>25340</v>
      </c>
      <c r="H5895" s="49">
        <f t="shared" si="2"/>
        <v>25246</v>
      </c>
    </row>
    <row r="5896">
      <c r="A5896" s="48" t="s">
        <v>3339</v>
      </c>
      <c r="B5896" s="38">
        <v>67295.0</v>
      </c>
      <c r="C5896" s="38" t="s">
        <v>9111</v>
      </c>
      <c r="D5896" s="38" t="str">
        <f>IFERROR(__xludf.DUMMYFUNCTION("REGEXREPLACE(C5896,""-\d+(.*)|--\d+(.*)"","""")"),"MITTELBERGHEIM")</f>
        <v>MITTELBERGHEIM</v>
      </c>
      <c r="E5896" s="38" t="s">
        <v>210</v>
      </c>
      <c r="F5896" s="38" t="s">
        <v>151</v>
      </c>
      <c r="G5896" s="49" t="str">
        <f t="shared" si="1"/>
        <v>67140</v>
      </c>
      <c r="H5896" s="49">
        <f t="shared" si="2"/>
        <v>67295</v>
      </c>
    </row>
    <row r="5897">
      <c r="A5897" s="48" t="s">
        <v>2517</v>
      </c>
      <c r="B5897" s="38">
        <v>6087.0</v>
      </c>
      <c r="C5897" s="38" t="s">
        <v>9112</v>
      </c>
      <c r="D5897" s="38" t="str">
        <f>IFERROR(__xludf.DUMMYFUNCTION("REGEXREPLACE(C5897,""-\d+(.*)|--\d+(.*)"","""")"),"LES MUJOULS")</f>
        <v>LES MUJOULS</v>
      </c>
      <c r="E5897" s="38" t="s">
        <v>227</v>
      </c>
      <c r="F5897" s="38" t="s">
        <v>228</v>
      </c>
      <c r="G5897" s="49" t="str">
        <f t="shared" si="1"/>
        <v>06910</v>
      </c>
      <c r="H5897" s="49" t="str">
        <f t="shared" si="2"/>
        <v>06087</v>
      </c>
    </row>
    <row r="5898">
      <c r="A5898" s="48" t="s">
        <v>9113</v>
      </c>
      <c r="B5898" s="38" t="s">
        <v>9114</v>
      </c>
      <c r="C5898" s="38" t="s">
        <v>9115</v>
      </c>
      <c r="D5898" s="38" t="str">
        <f>IFERROR(__xludf.DUMMYFUNCTION("REGEXREPLACE(C5898,""-\d+(.*)|--\d+(.*)"","""")"),"BOCOGNANO")</f>
        <v>BOCOGNANO</v>
      </c>
      <c r="E5898" s="38" t="s">
        <v>606</v>
      </c>
      <c r="F5898" s="38" t="s">
        <v>607</v>
      </c>
      <c r="G5898" s="49" t="str">
        <f t="shared" si="1"/>
        <v>20136</v>
      </c>
      <c r="H5898" s="49" t="str">
        <f t="shared" si="2"/>
        <v>2A040</v>
      </c>
    </row>
    <row r="5899">
      <c r="A5899" s="48" t="s">
        <v>6519</v>
      </c>
      <c r="B5899" s="38">
        <v>81316.0</v>
      </c>
      <c r="C5899" s="38" t="s">
        <v>9116</v>
      </c>
      <c r="D5899" s="38" t="str">
        <f>IFERROR(__xludf.DUMMYFUNCTION("REGEXREPLACE(C5899,""-\d+(.*)|--\d+(.*)"","""")"),"VIEUX")</f>
        <v>VIEUX</v>
      </c>
      <c r="E5899" s="38" t="s">
        <v>231</v>
      </c>
      <c r="F5899" s="38" t="s">
        <v>94</v>
      </c>
      <c r="G5899" s="49" t="str">
        <f t="shared" si="1"/>
        <v>81140</v>
      </c>
      <c r="H5899" s="49">
        <f t="shared" si="2"/>
        <v>81316</v>
      </c>
    </row>
    <row r="5900">
      <c r="A5900" s="48" t="s">
        <v>6034</v>
      </c>
      <c r="B5900" s="38">
        <v>69249.0</v>
      </c>
      <c r="C5900" s="38" t="s">
        <v>9117</v>
      </c>
      <c r="D5900" s="38" t="str">
        <f>IFERROR(__xludf.DUMMYFUNCTION("REGEXREPLACE(C5900,""-\d+(.*)|--\d+(.*)"","""")"),"THURINS")</f>
        <v>THURINS</v>
      </c>
      <c r="E5900" s="38" t="s">
        <v>350</v>
      </c>
      <c r="F5900" s="38" t="s">
        <v>102</v>
      </c>
      <c r="G5900" s="49" t="str">
        <f t="shared" si="1"/>
        <v>69510</v>
      </c>
      <c r="H5900" s="49">
        <f t="shared" si="2"/>
        <v>69249</v>
      </c>
    </row>
    <row r="5901">
      <c r="A5901" s="48" t="s">
        <v>9118</v>
      </c>
      <c r="B5901" s="38">
        <v>60481.0</v>
      </c>
      <c r="C5901" s="38" t="s">
        <v>9119</v>
      </c>
      <c r="D5901" s="38" t="str">
        <f>IFERROR(__xludf.DUMMYFUNCTION("REGEXREPLACE(C5901,""-\d+(.*)|--\d+(.*)"","""")"),"ORROUY")</f>
        <v>ORROUY</v>
      </c>
      <c r="E5901" s="38" t="s">
        <v>112</v>
      </c>
      <c r="F5901" s="38" t="s">
        <v>113</v>
      </c>
      <c r="G5901" s="49" t="str">
        <f t="shared" si="1"/>
        <v>60129</v>
      </c>
      <c r="H5901" s="49">
        <f t="shared" si="2"/>
        <v>60481</v>
      </c>
    </row>
    <row r="5902">
      <c r="A5902" s="48" t="s">
        <v>8032</v>
      </c>
      <c r="B5902" s="38">
        <v>46295.0</v>
      </c>
      <c r="C5902" s="38" t="s">
        <v>9120</v>
      </c>
      <c r="D5902" s="38" t="str">
        <f>IFERROR(__xludf.DUMMYFUNCTION("REGEXREPLACE(C5902,""-\d+(.*)|--\d+(.*)"","""")"),"SAINT-VINCENT-DU-PENDIT")</f>
        <v>SAINT-VINCENT-DU-PENDIT</v>
      </c>
      <c r="E5902" s="38" t="s">
        <v>185</v>
      </c>
      <c r="F5902" s="38" t="s">
        <v>94</v>
      </c>
      <c r="G5902" s="49" t="str">
        <f t="shared" si="1"/>
        <v>46400</v>
      </c>
      <c r="H5902" s="49">
        <f t="shared" si="2"/>
        <v>46295</v>
      </c>
    </row>
    <row r="5903">
      <c r="A5903" s="48" t="s">
        <v>5661</v>
      </c>
      <c r="B5903" s="38">
        <v>63089.0</v>
      </c>
      <c r="C5903" s="38" t="s">
        <v>9121</v>
      </c>
      <c r="D5903" s="38" t="str">
        <f>IFERROR(__xludf.DUMMYFUNCTION("REGEXREPLACE(C5903,""-\d+(.*)|--\d+(.*)"","""")"),"CHAPPES")</f>
        <v>CHAPPES</v>
      </c>
      <c r="E5903" s="38" t="s">
        <v>353</v>
      </c>
      <c r="F5903" s="38" t="s">
        <v>161</v>
      </c>
      <c r="G5903" s="49" t="str">
        <f t="shared" si="1"/>
        <v>63720</v>
      </c>
      <c r="H5903" s="49">
        <f t="shared" si="2"/>
        <v>63089</v>
      </c>
    </row>
    <row r="5904">
      <c r="A5904" s="48" t="s">
        <v>719</v>
      </c>
      <c r="B5904" s="38">
        <v>8295.0</v>
      </c>
      <c r="C5904" s="38" t="s">
        <v>9122</v>
      </c>
      <c r="D5904" s="38" t="str">
        <f>IFERROR(__xludf.DUMMYFUNCTION("REGEXREPLACE(C5904,""-\d+(.*)|--\d+(.*)"","""")"),"MONDIGNY")</f>
        <v>MONDIGNY</v>
      </c>
      <c r="E5904" s="38" t="s">
        <v>327</v>
      </c>
      <c r="F5904" s="38" t="s">
        <v>130</v>
      </c>
      <c r="G5904" s="49" t="str">
        <f t="shared" si="1"/>
        <v>08430</v>
      </c>
      <c r="H5904" s="49" t="str">
        <f t="shared" si="2"/>
        <v>08295</v>
      </c>
    </row>
    <row r="5905">
      <c r="A5905" s="48" t="s">
        <v>2292</v>
      </c>
      <c r="B5905" s="38">
        <v>76152.0</v>
      </c>
      <c r="C5905" s="38" t="s">
        <v>9123</v>
      </c>
      <c r="D5905" s="38" t="str">
        <f>IFERROR(__xludf.DUMMYFUNCTION("REGEXREPLACE(C5905,""-\d+(.*)|--\d+(.*)"","""")"),"CAILLY")</f>
        <v>CAILLY</v>
      </c>
      <c r="E5905" s="38" t="s">
        <v>133</v>
      </c>
      <c r="F5905" s="38" t="s">
        <v>134</v>
      </c>
      <c r="G5905" s="49" t="str">
        <f t="shared" si="1"/>
        <v>76690</v>
      </c>
      <c r="H5905" s="49">
        <f t="shared" si="2"/>
        <v>76152</v>
      </c>
    </row>
    <row r="5906">
      <c r="A5906" s="48" t="s">
        <v>5712</v>
      </c>
      <c r="B5906" s="38">
        <v>89206.0</v>
      </c>
      <c r="C5906" s="38" t="s">
        <v>9124</v>
      </c>
      <c r="D5906" s="38" t="str">
        <f>IFERROR(__xludf.DUMMYFUNCTION("REGEXREPLACE(C5906,""-\d+(.*)|--\d+(.*)"","""")"),"JOIGNY")</f>
        <v>JOIGNY</v>
      </c>
      <c r="E5906" s="38" t="s">
        <v>275</v>
      </c>
      <c r="F5906" s="38" t="s">
        <v>106</v>
      </c>
      <c r="G5906" s="49" t="str">
        <f t="shared" si="1"/>
        <v>89300</v>
      </c>
      <c r="H5906" s="49">
        <f t="shared" si="2"/>
        <v>89206</v>
      </c>
    </row>
    <row r="5907">
      <c r="A5907" s="48" t="s">
        <v>2083</v>
      </c>
      <c r="B5907" s="38">
        <v>17039.0</v>
      </c>
      <c r="C5907" s="38" t="s">
        <v>9125</v>
      </c>
      <c r="D5907" s="38" t="str">
        <f>IFERROR(__xludf.DUMMYFUNCTION("REGEXREPLACE(C5907,""-\d+(.*)|--\d+(.*)"","""")"),"BELLUIRE")</f>
        <v>BELLUIRE</v>
      </c>
      <c r="E5907" s="38" t="s">
        <v>488</v>
      </c>
      <c r="F5907" s="38" t="s">
        <v>338</v>
      </c>
      <c r="G5907" s="49" t="str">
        <f t="shared" si="1"/>
        <v>17800</v>
      </c>
      <c r="H5907" s="49">
        <f t="shared" si="2"/>
        <v>17039</v>
      </c>
    </row>
    <row r="5908">
      <c r="A5908" s="48" t="s">
        <v>5575</v>
      </c>
      <c r="B5908" s="38">
        <v>62583.0</v>
      </c>
      <c r="C5908" s="38" t="s">
        <v>9126</v>
      </c>
      <c r="D5908" s="38" t="str">
        <f>IFERROR(__xludf.DUMMYFUNCTION("REGEXREPLACE(C5908,""-\d+(.*)|--\d+(.*)"","""")"),"MONDICOURT")</f>
        <v>MONDICOURT</v>
      </c>
      <c r="E5908" s="38" t="s">
        <v>109</v>
      </c>
      <c r="F5908" s="38" t="s">
        <v>86</v>
      </c>
      <c r="G5908" s="49" t="str">
        <f t="shared" si="1"/>
        <v>62760</v>
      </c>
      <c r="H5908" s="49">
        <f t="shared" si="2"/>
        <v>62583</v>
      </c>
    </row>
    <row r="5909">
      <c r="A5909" s="48" t="s">
        <v>9127</v>
      </c>
      <c r="B5909" s="38">
        <v>43042.0</v>
      </c>
      <c r="C5909" s="38" t="s">
        <v>9128</v>
      </c>
      <c r="D5909" s="38" t="str">
        <f>IFERROR(__xludf.DUMMYFUNCTION("REGEXREPLACE(C5909,""-\d+(.*)|--\d+(.*)"","""")"),"CAYRES")</f>
        <v>CAYRES</v>
      </c>
      <c r="E5909" s="38" t="s">
        <v>332</v>
      </c>
      <c r="F5909" s="38" t="s">
        <v>161</v>
      </c>
      <c r="G5909" s="49" t="str">
        <f t="shared" si="1"/>
        <v>43510</v>
      </c>
      <c r="H5909" s="49">
        <f t="shared" si="2"/>
        <v>43042</v>
      </c>
    </row>
    <row r="5910">
      <c r="A5910" s="48" t="s">
        <v>8752</v>
      </c>
      <c r="B5910" s="38">
        <v>6094.0</v>
      </c>
      <c r="C5910" s="38" t="s">
        <v>9129</v>
      </c>
      <c r="D5910" s="38" t="str">
        <f>IFERROR(__xludf.DUMMYFUNCTION("REGEXREPLACE(C5910,""-\d+(.*)|--\d+(.*)"","""")"),"PEONE")</f>
        <v>PEONE</v>
      </c>
      <c r="E5910" s="38" t="s">
        <v>227</v>
      </c>
      <c r="F5910" s="38" t="s">
        <v>228</v>
      </c>
      <c r="G5910" s="49" t="str">
        <f t="shared" si="1"/>
        <v>06470</v>
      </c>
      <c r="H5910" s="49" t="str">
        <f t="shared" si="2"/>
        <v>06094</v>
      </c>
    </row>
    <row r="5911">
      <c r="A5911" s="48" t="s">
        <v>3127</v>
      </c>
      <c r="B5911" s="38">
        <v>70472.0</v>
      </c>
      <c r="C5911" s="38" t="s">
        <v>2361</v>
      </c>
      <c r="D5911" s="38" t="str">
        <f>IFERROR(__xludf.DUMMYFUNCTION("REGEXREPLACE(C5911,""-\d+(.*)|--\d+(.*)"","""")"),"SAINT-REMY")</f>
        <v>SAINT-REMY</v>
      </c>
      <c r="E5911" s="38" t="s">
        <v>956</v>
      </c>
      <c r="F5911" s="38" t="s">
        <v>214</v>
      </c>
      <c r="G5911" s="49" t="str">
        <f t="shared" si="1"/>
        <v>70160</v>
      </c>
      <c r="H5911" s="49">
        <f t="shared" si="2"/>
        <v>70472</v>
      </c>
    </row>
    <row r="5912">
      <c r="A5912" s="48" t="s">
        <v>2201</v>
      </c>
      <c r="B5912" s="38">
        <v>32167.0</v>
      </c>
      <c r="C5912" s="38" t="s">
        <v>9130</v>
      </c>
      <c r="D5912" s="38" t="str">
        <f>IFERROR(__xludf.DUMMYFUNCTION("REGEXREPLACE(C5912,""-\d+(.*)|--\d+(.*)"","""")"),"LAAS")</f>
        <v>LAAS</v>
      </c>
      <c r="E5912" s="38" t="s">
        <v>440</v>
      </c>
      <c r="F5912" s="38" t="s">
        <v>94</v>
      </c>
      <c r="G5912" s="49" t="str">
        <f t="shared" si="1"/>
        <v>32170</v>
      </c>
      <c r="H5912" s="49">
        <f t="shared" si="2"/>
        <v>32167</v>
      </c>
    </row>
    <row r="5913">
      <c r="A5913" s="48" t="s">
        <v>9131</v>
      </c>
      <c r="B5913" s="38">
        <v>49180.0</v>
      </c>
      <c r="C5913" s="38" t="s">
        <v>9132</v>
      </c>
      <c r="D5913" s="38" t="str">
        <f>IFERROR(__xludf.DUMMYFUNCTION("REGEXREPLACE(C5913,""-\d+(.*)|--\d+(.*)"","""")"),"LONGUE-JUMELLES")</f>
        <v>LONGUE-JUMELLES</v>
      </c>
      <c r="E5913" s="38" t="s">
        <v>653</v>
      </c>
      <c r="F5913" s="38" t="s">
        <v>180</v>
      </c>
      <c r="G5913" s="49" t="str">
        <f t="shared" si="1"/>
        <v>49160</v>
      </c>
      <c r="H5913" s="49">
        <f t="shared" si="2"/>
        <v>49180</v>
      </c>
    </row>
    <row r="5914">
      <c r="A5914" s="48" t="s">
        <v>9133</v>
      </c>
      <c r="B5914" s="38">
        <v>34260.0</v>
      </c>
      <c r="C5914" s="38" t="s">
        <v>9134</v>
      </c>
      <c r="D5914" s="38" t="str">
        <f>IFERROR(__xludf.DUMMYFUNCTION("REGEXREPLACE(C5914,""-\d+(.*)|--\d+(.*)"","""")"),"SAINT-GERVAIS-SUR-MARE")</f>
        <v>SAINT-GERVAIS-SUR-MARE</v>
      </c>
      <c r="E5914" s="38" t="s">
        <v>118</v>
      </c>
      <c r="F5914" s="38" t="s">
        <v>119</v>
      </c>
      <c r="G5914" s="49" t="str">
        <f t="shared" si="1"/>
        <v>34610</v>
      </c>
      <c r="H5914" s="49">
        <f t="shared" si="2"/>
        <v>34260</v>
      </c>
    </row>
    <row r="5915">
      <c r="A5915" s="48" t="s">
        <v>9135</v>
      </c>
      <c r="B5915" s="38">
        <v>1389.0</v>
      </c>
      <c r="C5915" s="38" t="s">
        <v>9136</v>
      </c>
      <c r="D5915" s="38" t="str">
        <f>IFERROR(__xludf.DUMMYFUNCTION("REGEXREPLACE(C5915,""-\d+(.*)|--\d+(.*)"","""")"),"SAINT-TRIVIER-SUR-MOIGNANS")</f>
        <v>SAINT-TRIVIER-SUR-MOIGNANS</v>
      </c>
      <c r="E5915" s="38" t="s">
        <v>255</v>
      </c>
      <c r="F5915" s="38" t="s">
        <v>102</v>
      </c>
      <c r="G5915" s="49" t="str">
        <f t="shared" si="1"/>
        <v>01990</v>
      </c>
      <c r="H5915" s="49" t="str">
        <f t="shared" si="2"/>
        <v>01389</v>
      </c>
    </row>
    <row r="5916">
      <c r="A5916" s="48" t="s">
        <v>7527</v>
      </c>
      <c r="B5916" s="38">
        <v>29222.0</v>
      </c>
      <c r="C5916" s="38" t="s">
        <v>9137</v>
      </c>
      <c r="D5916" s="38" t="str">
        <f>IFERROR(__xludf.DUMMYFUNCTION("REGEXREPLACE(C5916,""-\d+(.*)|--\d+(.*)"","""")"),"PORT-LAUNAY")</f>
        <v>PORT-LAUNAY</v>
      </c>
      <c r="E5916" s="38" t="s">
        <v>176</v>
      </c>
      <c r="F5916" s="38" t="s">
        <v>90</v>
      </c>
      <c r="G5916" s="49" t="str">
        <f t="shared" si="1"/>
        <v>29150</v>
      </c>
      <c r="H5916" s="49">
        <f t="shared" si="2"/>
        <v>29222</v>
      </c>
    </row>
    <row r="5917">
      <c r="A5917" s="48" t="s">
        <v>9138</v>
      </c>
      <c r="B5917" s="38">
        <v>80200.0</v>
      </c>
      <c r="C5917" s="38" t="s">
        <v>9139</v>
      </c>
      <c r="D5917" s="38" t="str">
        <f>IFERROR(__xludf.DUMMYFUNCTION("REGEXREPLACE(C5917,""-\d+(.*)|--\d+(.*)"","""")"),"COCQUEREL")</f>
        <v>COCQUEREL</v>
      </c>
      <c r="E5917" s="38" t="s">
        <v>224</v>
      </c>
      <c r="F5917" s="38" t="s">
        <v>113</v>
      </c>
      <c r="G5917" s="49" t="str">
        <f t="shared" si="1"/>
        <v>80510</v>
      </c>
      <c r="H5917" s="49">
        <f t="shared" si="2"/>
        <v>80200</v>
      </c>
    </row>
    <row r="5918">
      <c r="A5918" s="48" t="s">
        <v>8829</v>
      </c>
      <c r="B5918" s="38">
        <v>63119.0</v>
      </c>
      <c r="C5918" s="38" t="s">
        <v>9140</v>
      </c>
      <c r="D5918" s="38" t="str">
        <f>IFERROR(__xludf.DUMMYFUNCTION("REGEXREPLACE(C5918,""-\d+(.*)|--\d+(.*)"","""")"),"CONDAT-LES-MONTBOISSIER")</f>
        <v>CONDAT-LES-MONTBOISSIER</v>
      </c>
      <c r="E5918" s="38" t="s">
        <v>353</v>
      </c>
      <c r="F5918" s="38" t="s">
        <v>161</v>
      </c>
      <c r="G5918" s="49" t="str">
        <f t="shared" si="1"/>
        <v>63490</v>
      </c>
      <c r="H5918" s="49">
        <f t="shared" si="2"/>
        <v>63119</v>
      </c>
    </row>
    <row r="5919">
      <c r="A5919" s="48" t="s">
        <v>9141</v>
      </c>
      <c r="B5919" s="38">
        <v>1250.0</v>
      </c>
      <c r="C5919" s="38" t="s">
        <v>9142</v>
      </c>
      <c r="D5919" s="38" t="str">
        <f>IFERROR(__xludf.DUMMYFUNCTION("REGEXREPLACE(C5919,""-\d+(.*)|--\d+(.*)"","""")"),"MISERIEUX")</f>
        <v>MISERIEUX</v>
      </c>
      <c r="E5919" s="38" t="s">
        <v>255</v>
      </c>
      <c r="F5919" s="38" t="s">
        <v>102</v>
      </c>
      <c r="G5919" s="49" t="str">
        <f t="shared" si="1"/>
        <v>01600</v>
      </c>
      <c r="H5919" s="49" t="str">
        <f t="shared" si="2"/>
        <v>01250</v>
      </c>
    </row>
    <row r="5920">
      <c r="A5920" s="48" t="s">
        <v>9143</v>
      </c>
      <c r="B5920" s="38">
        <v>30315.0</v>
      </c>
      <c r="C5920" s="38" t="s">
        <v>9144</v>
      </c>
      <c r="D5920" s="38" t="str">
        <f>IFERROR(__xludf.DUMMYFUNCTION("REGEXREPLACE(C5920,""-\d+(.*)|--\d+(.*)"","""")"),"SAZE")</f>
        <v>SAZE</v>
      </c>
      <c r="E5920" s="38" t="s">
        <v>526</v>
      </c>
      <c r="F5920" s="38" t="s">
        <v>119</v>
      </c>
      <c r="G5920" s="49" t="str">
        <f t="shared" si="1"/>
        <v>30650</v>
      </c>
      <c r="H5920" s="49">
        <f t="shared" si="2"/>
        <v>30315</v>
      </c>
    </row>
    <row r="5921">
      <c r="A5921" s="48" t="s">
        <v>3226</v>
      </c>
      <c r="B5921" s="38">
        <v>61073.0</v>
      </c>
      <c r="C5921" s="38" t="s">
        <v>9145</v>
      </c>
      <c r="D5921" s="38" t="str">
        <f>IFERROR(__xludf.DUMMYFUNCTION("REGEXREPLACE(C5921,""-\d+(.*)|--\d+(.*)"","""")"),"LA CARNEILLE")</f>
        <v>LA CARNEILLE</v>
      </c>
      <c r="E5921" s="38" t="s">
        <v>141</v>
      </c>
      <c r="F5921" s="38" t="s">
        <v>138</v>
      </c>
      <c r="G5921" s="49" t="str">
        <f t="shared" si="1"/>
        <v>61100</v>
      </c>
      <c r="H5921" s="49">
        <f t="shared" si="2"/>
        <v>61073</v>
      </c>
    </row>
    <row r="5922">
      <c r="A5922" s="48" t="s">
        <v>9146</v>
      </c>
      <c r="B5922" s="38">
        <v>49126.0</v>
      </c>
      <c r="C5922" s="38" t="s">
        <v>9147</v>
      </c>
      <c r="D5922" s="38" t="str">
        <f>IFERROR(__xludf.DUMMYFUNCTION("REGEXREPLACE(C5922,""-\d+(.*)|--\d+(.*)"","""")"),"DRAIN")</f>
        <v>DRAIN</v>
      </c>
      <c r="E5922" s="38" t="s">
        <v>653</v>
      </c>
      <c r="F5922" s="38" t="s">
        <v>180</v>
      </c>
      <c r="G5922" s="49" t="str">
        <f t="shared" si="1"/>
        <v>49530</v>
      </c>
      <c r="H5922" s="49">
        <f t="shared" si="2"/>
        <v>49126</v>
      </c>
    </row>
    <row r="5923">
      <c r="A5923" s="48" t="s">
        <v>1618</v>
      </c>
      <c r="B5923" s="38">
        <v>11194.0</v>
      </c>
      <c r="C5923" s="38" t="s">
        <v>9148</v>
      </c>
      <c r="D5923" s="38" t="str">
        <f>IFERROR(__xludf.DUMMYFUNCTION("REGEXREPLACE(C5923,""-\d+(.*)|--\d+(.*)"","""")"),"LASTOURS")</f>
        <v>LASTOURS</v>
      </c>
      <c r="E5923" s="38" t="s">
        <v>278</v>
      </c>
      <c r="F5923" s="38" t="s">
        <v>119</v>
      </c>
      <c r="G5923" s="49" t="str">
        <f t="shared" si="1"/>
        <v>11600</v>
      </c>
      <c r="H5923" s="49">
        <f t="shared" si="2"/>
        <v>11194</v>
      </c>
    </row>
    <row r="5924">
      <c r="A5924" s="48" t="s">
        <v>2217</v>
      </c>
      <c r="B5924" s="38">
        <v>24207.0</v>
      </c>
      <c r="C5924" s="38" t="s">
        <v>9149</v>
      </c>
      <c r="D5924" s="38" t="str">
        <f>IFERROR(__xludf.DUMMYFUNCTION("REGEXREPLACE(C5924,""-\d+(.*)|--\d+(.*)"","""")"),"GROLEJAC")</f>
        <v>GROLEJAC</v>
      </c>
      <c r="E5924" s="38" t="s">
        <v>261</v>
      </c>
      <c r="F5924" s="38" t="s">
        <v>252</v>
      </c>
      <c r="G5924" s="49" t="str">
        <f t="shared" si="1"/>
        <v>24250</v>
      </c>
      <c r="H5924" s="49">
        <f t="shared" si="2"/>
        <v>24207</v>
      </c>
    </row>
    <row r="5925">
      <c r="A5925" s="48" t="s">
        <v>1284</v>
      </c>
      <c r="B5925" s="38">
        <v>9106.0</v>
      </c>
      <c r="C5925" s="38" t="s">
        <v>9150</v>
      </c>
      <c r="D5925" s="38" t="str">
        <f>IFERROR(__xludf.DUMMYFUNCTION("REGEXREPLACE(C5925,""-\d+(.*)|--\d+(.*)"","""")"),"DREUILHE")</f>
        <v>DREUILHE</v>
      </c>
      <c r="E5925" s="38" t="s">
        <v>238</v>
      </c>
      <c r="F5925" s="38" t="s">
        <v>94</v>
      </c>
      <c r="G5925" s="49" t="str">
        <f t="shared" si="1"/>
        <v>09300</v>
      </c>
      <c r="H5925" s="49" t="str">
        <f t="shared" si="2"/>
        <v>09106</v>
      </c>
    </row>
    <row r="5926">
      <c r="A5926" s="48" t="s">
        <v>1618</v>
      </c>
      <c r="B5926" s="38">
        <v>11215.0</v>
      </c>
      <c r="C5926" s="38" t="s">
        <v>9151</v>
      </c>
      <c r="D5926" s="38" t="str">
        <f>IFERROR(__xludf.DUMMYFUNCTION("REGEXREPLACE(C5926,""-\d+(.*)|--\d+(.*)"","""")"),"MALVES-EN-MINERVOIS")</f>
        <v>MALVES-EN-MINERVOIS</v>
      </c>
      <c r="E5926" s="38" t="s">
        <v>278</v>
      </c>
      <c r="F5926" s="38" t="s">
        <v>119</v>
      </c>
      <c r="G5926" s="49" t="str">
        <f t="shared" si="1"/>
        <v>11600</v>
      </c>
      <c r="H5926" s="49">
        <f t="shared" si="2"/>
        <v>11215</v>
      </c>
    </row>
    <row r="5927">
      <c r="A5927" s="48" t="s">
        <v>9152</v>
      </c>
      <c r="B5927" s="38">
        <v>37075.0</v>
      </c>
      <c r="C5927" s="38" t="s">
        <v>9153</v>
      </c>
      <c r="D5927" s="38" t="str">
        <f>IFERROR(__xludf.DUMMYFUNCTION("REGEXREPLACE(C5927,""-\d+(.*)|--\d+(.*)"","""")"),"CIGOGNE")</f>
        <v>CIGOGNE</v>
      </c>
      <c r="E5927" s="38" t="s">
        <v>205</v>
      </c>
      <c r="F5927" s="38" t="s">
        <v>123</v>
      </c>
      <c r="G5927" s="49" t="str">
        <f t="shared" si="1"/>
        <v>37310</v>
      </c>
      <c r="H5927" s="49">
        <f t="shared" si="2"/>
        <v>37075</v>
      </c>
    </row>
    <row r="5928">
      <c r="A5928" s="48" t="s">
        <v>1621</v>
      </c>
      <c r="B5928" s="38">
        <v>64128.0</v>
      </c>
      <c r="C5928" s="38" t="s">
        <v>9154</v>
      </c>
      <c r="D5928" s="38" t="str">
        <f>IFERROR(__xludf.DUMMYFUNCTION("REGEXREPLACE(C5928,""-\d+(.*)|--\d+(.*)"","""")"),"BILHERES")</f>
        <v>BILHERES</v>
      </c>
      <c r="E5928" s="38" t="s">
        <v>268</v>
      </c>
      <c r="F5928" s="38" t="s">
        <v>252</v>
      </c>
      <c r="G5928" s="49" t="str">
        <f t="shared" si="1"/>
        <v>64260</v>
      </c>
      <c r="H5928" s="49">
        <f t="shared" si="2"/>
        <v>64128</v>
      </c>
    </row>
    <row r="5929">
      <c r="A5929" s="48" t="s">
        <v>8414</v>
      </c>
      <c r="B5929" s="38">
        <v>60581.0</v>
      </c>
      <c r="C5929" s="38" t="s">
        <v>9155</v>
      </c>
      <c r="D5929" s="38" t="str">
        <f>IFERROR(__xludf.DUMMYFUNCTION("REGEXREPLACE(C5929,""-\d+(.*)|--\d+(.*)"","""")"),"SAINT-JUST-EN-CHAUSSEE")</f>
        <v>SAINT-JUST-EN-CHAUSSEE</v>
      </c>
      <c r="E5929" s="38" t="s">
        <v>112</v>
      </c>
      <c r="F5929" s="38" t="s">
        <v>113</v>
      </c>
      <c r="G5929" s="49" t="str">
        <f t="shared" si="1"/>
        <v>60130</v>
      </c>
      <c r="H5929" s="49">
        <f t="shared" si="2"/>
        <v>60581</v>
      </c>
    </row>
    <row r="5930">
      <c r="A5930" s="48" t="s">
        <v>2755</v>
      </c>
      <c r="B5930" s="38">
        <v>60279.0</v>
      </c>
      <c r="C5930" s="38" t="s">
        <v>9156</v>
      </c>
      <c r="D5930" s="38" t="str">
        <f>IFERROR(__xludf.DUMMYFUNCTION("REGEXREPLACE(C5930,""-\d+(.*)|--\d+(.*)"","""")"),"GONDREVILLE")</f>
        <v>GONDREVILLE</v>
      </c>
      <c r="E5930" s="38" t="s">
        <v>112</v>
      </c>
      <c r="F5930" s="38" t="s">
        <v>113</v>
      </c>
      <c r="G5930" s="49" t="str">
        <f t="shared" si="1"/>
        <v>60117</v>
      </c>
      <c r="H5930" s="49">
        <f t="shared" si="2"/>
        <v>60279</v>
      </c>
    </row>
    <row r="5931">
      <c r="A5931" s="48" t="s">
        <v>4129</v>
      </c>
      <c r="B5931" s="38">
        <v>3275.0</v>
      </c>
      <c r="C5931" s="38" t="s">
        <v>9157</v>
      </c>
      <c r="D5931" s="38" t="str">
        <f>IFERROR(__xludf.DUMMYFUNCTION("REGEXREPLACE(C5931,""-\d+(.*)|--\d+(.*)"","""")"),"SOUVIGNY")</f>
        <v>SOUVIGNY</v>
      </c>
      <c r="E5931" s="38" t="s">
        <v>160</v>
      </c>
      <c r="F5931" s="38" t="s">
        <v>161</v>
      </c>
      <c r="G5931" s="49" t="str">
        <f t="shared" si="1"/>
        <v>03210</v>
      </c>
      <c r="H5931" s="49" t="str">
        <f t="shared" si="2"/>
        <v>03275</v>
      </c>
    </row>
    <row r="5932">
      <c r="A5932" s="48" t="s">
        <v>5763</v>
      </c>
      <c r="B5932" s="38">
        <v>63359.0</v>
      </c>
      <c r="C5932" s="38" t="s">
        <v>9158</v>
      </c>
      <c r="D5932" s="38" t="str">
        <f>IFERROR(__xludf.DUMMYFUNCTION("REGEXREPLACE(C5932,""-\d+(.*)|--\d+(.*)"","""")"),"SAINT-HILAIRE-LES-MONGES")</f>
        <v>SAINT-HILAIRE-LES-MONGES</v>
      </c>
      <c r="E5932" s="38" t="s">
        <v>353</v>
      </c>
      <c r="F5932" s="38" t="s">
        <v>161</v>
      </c>
      <c r="G5932" s="49" t="str">
        <f t="shared" si="1"/>
        <v>63380</v>
      </c>
      <c r="H5932" s="49">
        <f t="shared" si="2"/>
        <v>63359</v>
      </c>
    </row>
    <row r="5933">
      <c r="A5933" s="48" t="s">
        <v>7569</v>
      </c>
      <c r="B5933" s="38">
        <v>73001.0</v>
      </c>
      <c r="C5933" s="38" t="s">
        <v>9159</v>
      </c>
      <c r="D5933" s="38" t="str">
        <f>IFERROR(__xludf.DUMMYFUNCTION("REGEXREPLACE(C5933,""-\d+(.*)|--\d+(.*)"","""")"),"AIGUEBELETTE-LE-LAC")</f>
        <v>AIGUEBELETTE-LE-LAC</v>
      </c>
      <c r="E5933" s="38" t="s">
        <v>306</v>
      </c>
      <c r="F5933" s="38" t="s">
        <v>102</v>
      </c>
      <c r="G5933" s="49" t="str">
        <f t="shared" si="1"/>
        <v>73610</v>
      </c>
      <c r="H5933" s="49">
        <f t="shared" si="2"/>
        <v>73001</v>
      </c>
    </row>
    <row r="5934">
      <c r="A5934" s="48" t="s">
        <v>9160</v>
      </c>
      <c r="B5934" s="38">
        <v>80527.0</v>
      </c>
      <c r="C5934" s="38" t="s">
        <v>9161</v>
      </c>
      <c r="D5934" s="38" t="str">
        <f>IFERROR(__xludf.DUMMYFUNCTION("REGEXREPLACE(C5934,""-\d+(.*)|--\d+(.*)"","""")"),"MENESLIES")</f>
        <v>MENESLIES</v>
      </c>
      <c r="E5934" s="38" t="s">
        <v>224</v>
      </c>
      <c r="F5934" s="38" t="s">
        <v>113</v>
      </c>
      <c r="G5934" s="49" t="str">
        <f t="shared" si="1"/>
        <v>80520</v>
      </c>
      <c r="H5934" s="49">
        <f t="shared" si="2"/>
        <v>80527</v>
      </c>
    </row>
    <row r="5935">
      <c r="A5935" s="48" t="s">
        <v>1921</v>
      </c>
      <c r="B5935" s="38">
        <v>2525.0</v>
      </c>
      <c r="C5935" s="38" t="s">
        <v>9162</v>
      </c>
      <c r="D5935" s="38" t="str">
        <f>IFERROR(__xludf.DUMMYFUNCTION("REGEXREPLACE(C5935,""-\d+(.*)|--\d+(.*)"","""")"),"MORCOURT")</f>
        <v>MORCOURT</v>
      </c>
      <c r="E5935" s="38" t="s">
        <v>191</v>
      </c>
      <c r="F5935" s="38" t="s">
        <v>113</v>
      </c>
      <c r="G5935" s="49" t="str">
        <f t="shared" si="1"/>
        <v>02100</v>
      </c>
      <c r="H5935" s="49" t="str">
        <f t="shared" si="2"/>
        <v>02525</v>
      </c>
    </row>
    <row r="5936">
      <c r="A5936" s="48" t="s">
        <v>9163</v>
      </c>
      <c r="B5936" s="38">
        <v>35051.0</v>
      </c>
      <c r="C5936" s="38" t="s">
        <v>9164</v>
      </c>
      <c r="D5936" s="38" t="str">
        <f>IFERROR(__xludf.DUMMYFUNCTION("REGEXREPLACE(C5936,""-\d+(.*)|--\d+(.*)"","""")"),"CESSON-SEVIGNE")</f>
        <v>CESSON-SEVIGNE</v>
      </c>
      <c r="E5936" s="38" t="s">
        <v>347</v>
      </c>
      <c r="F5936" s="38" t="s">
        <v>90</v>
      </c>
      <c r="G5936" s="49" t="str">
        <f t="shared" si="1"/>
        <v>35510</v>
      </c>
      <c r="H5936" s="49">
        <f t="shared" si="2"/>
        <v>35051</v>
      </c>
    </row>
    <row r="5937">
      <c r="A5937" s="48" t="s">
        <v>2659</v>
      </c>
      <c r="B5937" s="38">
        <v>80562.0</v>
      </c>
      <c r="C5937" s="38" t="s">
        <v>9165</v>
      </c>
      <c r="D5937" s="38" t="str">
        <f>IFERROR(__xludf.DUMMYFUNCTION("REGEXREPLACE(C5937,""-\d+(.*)|--\d+(.*)"","""")"),"MONTIGNY-SUR-L'HALLUE")</f>
        <v>MONTIGNY-SUR-L'HALLUE</v>
      </c>
      <c r="E5937" s="38" t="s">
        <v>224</v>
      </c>
      <c r="F5937" s="38" t="s">
        <v>113</v>
      </c>
      <c r="G5937" s="49" t="str">
        <f t="shared" si="1"/>
        <v>80260</v>
      </c>
      <c r="H5937" s="49">
        <f t="shared" si="2"/>
        <v>80562</v>
      </c>
    </row>
    <row r="5938">
      <c r="A5938" s="48" t="s">
        <v>1518</v>
      </c>
      <c r="B5938" s="38">
        <v>88185.0</v>
      </c>
      <c r="C5938" s="38" t="s">
        <v>9166</v>
      </c>
      <c r="D5938" s="38" t="str">
        <f>IFERROR(__xludf.DUMMYFUNCTION("REGEXREPLACE(C5938,""-\d+(.*)|--\d+(.*)"","""")"),"FRENELLE-LA-GRANDE")</f>
        <v>FRENELLE-LA-GRANDE</v>
      </c>
      <c r="E5938" s="38" t="s">
        <v>194</v>
      </c>
      <c r="F5938" s="38" t="s">
        <v>195</v>
      </c>
      <c r="G5938" s="49" t="str">
        <f t="shared" si="1"/>
        <v>88500</v>
      </c>
      <c r="H5938" s="49">
        <f t="shared" si="2"/>
        <v>88185</v>
      </c>
    </row>
    <row r="5939">
      <c r="A5939" s="48" t="s">
        <v>3973</v>
      </c>
      <c r="B5939" s="38">
        <v>33551.0</v>
      </c>
      <c r="C5939" s="38" t="s">
        <v>9167</v>
      </c>
      <c r="D5939" s="38" t="str">
        <f>IFERROR(__xludf.DUMMYFUNCTION("REGEXREPLACE(C5939,""-\d+(.*)|--\d+(.*)"","""")"),"VILLENEUVE")</f>
        <v>VILLENEUVE</v>
      </c>
      <c r="E5939" s="38" t="s">
        <v>462</v>
      </c>
      <c r="F5939" s="38" t="s">
        <v>252</v>
      </c>
      <c r="G5939" s="49" t="str">
        <f t="shared" si="1"/>
        <v>33710</v>
      </c>
      <c r="H5939" s="49">
        <f t="shared" si="2"/>
        <v>33551</v>
      </c>
    </row>
    <row r="5940">
      <c r="A5940" s="48" t="s">
        <v>9168</v>
      </c>
      <c r="B5940" s="38">
        <v>71268.0</v>
      </c>
      <c r="C5940" s="38" t="s">
        <v>9169</v>
      </c>
      <c r="D5940" s="38" t="str">
        <f>IFERROR(__xludf.DUMMYFUNCTION("REGEXREPLACE(C5940,""-\d+(.*)|--\d+(.*)"","""")"),"LUGNY-LES-CHAROLLES")</f>
        <v>LUGNY-LES-CHAROLLES</v>
      </c>
      <c r="E5940" s="38" t="s">
        <v>344</v>
      </c>
      <c r="F5940" s="38" t="s">
        <v>106</v>
      </c>
      <c r="G5940" s="49" t="str">
        <f t="shared" si="1"/>
        <v>71120</v>
      </c>
      <c r="H5940" s="49">
        <f t="shared" si="2"/>
        <v>71268</v>
      </c>
    </row>
    <row r="5941">
      <c r="A5941" s="48" t="s">
        <v>304</v>
      </c>
      <c r="B5941" s="38">
        <v>73327.0</v>
      </c>
      <c r="C5941" s="38" t="s">
        <v>9170</v>
      </c>
      <c r="D5941" s="38" t="str">
        <f>IFERROR(__xludf.DUMMYFUNCTION("REGEXREPLACE(C5941,""-\d+(.*)|--\d+(.*)"","""")"),"VIONS")</f>
        <v>VIONS</v>
      </c>
      <c r="E5941" s="38" t="s">
        <v>306</v>
      </c>
      <c r="F5941" s="38" t="s">
        <v>102</v>
      </c>
      <c r="G5941" s="49" t="str">
        <f t="shared" si="1"/>
        <v>73310</v>
      </c>
      <c r="H5941" s="49">
        <f t="shared" si="2"/>
        <v>73327</v>
      </c>
    </row>
    <row r="5942">
      <c r="A5942" s="48" t="s">
        <v>1186</v>
      </c>
      <c r="B5942" s="38">
        <v>16281.0</v>
      </c>
      <c r="C5942" s="38" t="s">
        <v>9171</v>
      </c>
      <c r="D5942" s="38" t="str">
        <f>IFERROR(__xludf.DUMMYFUNCTION("REGEXREPLACE(C5942,""-\d+(.*)|--\d+(.*)"","""")"),"LA ROCHEFOUCAULD")</f>
        <v>LA ROCHEFOUCAULD</v>
      </c>
      <c r="E5942" s="38" t="s">
        <v>429</v>
      </c>
      <c r="F5942" s="38" t="s">
        <v>338</v>
      </c>
      <c r="G5942" s="49" t="str">
        <f t="shared" si="1"/>
        <v>16110</v>
      </c>
      <c r="H5942" s="49">
        <f t="shared" si="2"/>
        <v>16281</v>
      </c>
    </row>
    <row r="5943">
      <c r="A5943" s="48" t="s">
        <v>9172</v>
      </c>
      <c r="B5943" s="38">
        <v>29293.0</v>
      </c>
      <c r="C5943" s="38" t="s">
        <v>9173</v>
      </c>
      <c r="D5943" s="38" t="str">
        <f>IFERROR(__xludf.DUMMYFUNCTION("REGEXREPLACE(C5943,""-\d+(.*)|--\d+(.*)"","""")"),"TREGUNC")</f>
        <v>TREGUNC</v>
      </c>
      <c r="E5943" s="38" t="s">
        <v>176</v>
      </c>
      <c r="F5943" s="38" t="s">
        <v>90</v>
      </c>
      <c r="G5943" s="49" t="str">
        <f t="shared" si="1"/>
        <v>29910</v>
      </c>
      <c r="H5943" s="49">
        <f t="shared" si="2"/>
        <v>29293</v>
      </c>
    </row>
    <row r="5944">
      <c r="A5944" s="48" t="s">
        <v>9174</v>
      </c>
      <c r="B5944" s="38">
        <v>35185.0</v>
      </c>
      <c r="C5944" s="38" t="s">
        <v>9175</v>
      </c>
      <c r="D5944" s="38" t="str">
        <f>IFERROR(__xludf.DUMMYFUNCTION("REGEXREPLACE(C5944,""-\d+(.*)|--\d+(.*)"","""")"),"MONTAUTOUR")</f>
        <v>MONTAUTOUR</v>
      </c>
      <c r="E5944" s="38" t="s">
        <v>347</v>
      </c>
      <c r="F5944" s="38" t="s">
        <v>90</v>
      </c>
      <c r="G5944" s="49" t="str">
        <f t="shared" si="1"/>
        <v>35210</v>
      </c>
      <c r="H5944" s="49">
        <f t="shared" si="2"/>
        <v>35185</v>
      </c>
    </row>
    <row r="5945">
      <c r="A5945" s="48" t="s">
        <v>775</v>
      </c>
      <c r="B5945" s="38">
        <v>14120.0</v>
      </c>
      <c r="C5945" s="38" t="s">
        <v>9176</v>
      </c>
      <c r="D5945" s="38" t="str">
        <f>IFERROR(__xludf.DUMMYFUNCTION("REGEXREPLACE(C5945,""-\d+(.*)|--\d+(.*)"","""")"),"CAHAGNES")</f>
        <v>CAHAGNES</v>
      </c>
      <c r="E5945" s="38" t="s">
        <v>137</v>
      </c>
      <c r="F5945" s="38" t="s">
        <v>138</v>
      </c>
      <c r="G5945" s="49" t="str">
        <f t="shared" si="1"/>
        <v>14240</v>
      </c>
      <c r="H5945" s="49">
        <f t="shared" si="2"/>
        <v>14120</v>
      </c>
    </row>
    <row r="5946">
      <c r="A5946" s="48" t="s">
        <v>1054</v>
      </c>
      <c r="B5946" s="38">
        <v>46163.0</v>
      </c>
      <c r="C5946" s="38" t="s">
        <v>9177</v>
      </c>
      <c r="D5946" s="38" t="str">
        <f>IFERROR(__xludf.DUMMYFUNCTION("REGEXREPLACE(C5946,""-\d+(.*)|--\d+(.*)"","""")"),"LAVAL-DE-CERE")</f>
        <v>LAVAL-DE-CERE</v>
      </c>
      <c r="E5946" s="38" t="s">
        <v>185</v>
      </c>
      <c r="F5946" s="38" t="s">
        <v>94</v>
      </c>
      <c r="G5946" s="49" t="str">
        <f t="shared" si="1"/>
        <v>46130</v>
      </c>
      <c r="H5946" s="49">
        <f t="shared" si="2"/>
        <v>46163</v>
      </c>
    </row>
    <row r="5947">
      <c r="A5947" s="48" t="s">
        <v>4267</v>
      </c>
      <c r="B5947" s="38">
        <v>62069.0</v>
      </c>
      <c r="C5947" s="38" t="s">
        <v>9178</v>
      </c>
      <c r="D5947" s="38" t="str">
        <f>IFERROR(__xludf.DUMMYFUNCTION("REGEXREPLACE(C5947,""-\d+(.*)|--\d+(.*)"","""")"),"AZINCOURT")</f>
        <v>AZINCOURT</v>
      </c>
      <c r="E5947" s="38" t="s">
        <v>109</v>
      </c>
      <c r="F5947" s="38" t="s">
        <v>86</v>
      </c>
      <c r="G5947" s="49" t="str">
        <f t="shared" si="1"/>
        <v>62310</v>
      </c>
      <c r="H5947" s="49">
        <f t="shared" si="2"/>
        <v>62069</v>
      </c>
    </row>
    <row r="5948">
      <c r="A5948" s="48" t="s">
        <v>616</v>
      </c>
      <c r="B5948" s="38">
        <v>89232.0</v>
      </c>
      <c r="C5948" s="38" t="s">
        <v>9179</v>
      </c>
      <c r="D5948" s="38" t="str">
        <f>IFERROR(__xludf.DUMMYFUNCTION("REGEXREPLACE(C5948,""-\d+(.*)|--\d+(.*)"","""")"),"LUCY-LE-BOIS")</f>
        <v>LUCY-LE-BOIS</v>
      </c>
      <c r="E5948" s="38" t="s">
        <v>275</v>
      </c>
      <c r="F5948" s="38" t="s">
        <v>106</v>
      </c>
      <c r="G5948" s="49" t="str">
        <f t="shared" si="1"/>
        <v>89200</v>
      </c>
      <c r="H5948" s="49">
        <f t="shared" si="2"/>
        <v>89232</v>
      </c>
    </row>
    <row r="5949">
      <c r="A5949" s="48" t="s">
        <v>5956</v>
      </c>
      <c r="B5949" s="38">
        <v>62720.0</v>
      </c>
      <c r="C5949" s="38" t="s">
        <v>9180</v>
      </c>
      <c r="D5949" s="38" t="str">
        <f>IFERROR(__xludf.DUMMYFUNCTION("REGEXREPLACE(C5949,""-\d+(.*)|--\d+(.*)"","""")"),"ROMBLY")</f>
        <v>ROMBLY</v>
      </c>
      <c r="E5949" s="38" t="s">
        <v>109</v>
      </c>
      <c r="F5949" s="38" t="s">
        <v>86</v>
      </c>
      <c r="G5949" s="49" t="str">
        <f t="shared" si="1"/>
        <v>62120</v>
      </c>
      <c r="H5949" s="49">
        <f t="shared" si="2"/>
        <v>62720</v>
      </c>
    </row>
    <row r="5950">
      <c r="A5950" s="48" t="s">
        <v>9181</v>
      </c>
      <c r="B5950" s="38">
        <v>41046.0</v>
      </c>
      <c r="C5950" s="38" t="s">
        <v>9182</v>
      </c>
      <c r="D5950" s="38" t="str">
        <f>IFERROR(__xludf.DUMMYFUNCTION("REGEXREPLACE(C5950,""-\d+(.*)|--\d+(.*)"","""")"),"CHAUMONT-SUR-THARONNE")</f>
        <v>CHAUMONT-SUR-THARONNE</v>
      </c>
      <c r="E5950" s="38" t="s">
        <v>188</v>
      </c>
      <c r="F5950" s="38" t="s">
        <v>123</v>
      </c>
      <c r="G5950" s="49" t="str">
        <f t="shared" si="1"/>
        <v>41600</v>
      </c>
      <c r="H5950" s="49">
        <f t="shared" si="2"/>
        <v>41046</v>
      </c>
    </row>
    <row r="5951">
      <c r="A5951" s="48" t="s">
        <v>9183</v>
      </c>
      <c r="B5951" s="38">
        <v>13055.0</v>
      </c>
      <c r="C5951" s="38" t="s">
        <v>9184</v>
      </c>
      <c r="D5951" s="38" t="s">
        <v>9184</v>
      </c>
      <c r="E5951" s="38" t="s">
        <v>980</v>
      </c>
      <c r="F5951" s="38" t="s">
        <v>228</v>
      </c>
      <c r="G5951" s="49" t="str">
        <f t="shared" si="1"/>
        <v>13000</v>
      </c>
      <c r="H5951" s="49">
        <f t="shared" si="2"/>
        <v>13055</v>
      </c>
    </row>
    <row r="5952">
      <c r="A5952" s="48" t="s">
        <v>9185</v>
      </c>
      <c r="B5952" s="38">
        <v>13214.0</v>
      </c>
      <c r="C5952" s="38" t="s">
        <v>9186</v>
      </c>
      <c r="D5952" s="38" t="str">
        <f>IFERROR(__xludf.DUMMYFUNCTION("REGEXREPLACE(C5952,""-\d+(.*)|--\d+(.*)"","""")"),"MARSEILLE")</f>
        <v>MARSEILLE</v>
      </c>
      <c r="E5952" s="38" t="s">
        <v>980</v>
      </c>
      <c r="F5952" s="38" t="s">
        <v>228</v>
      </c>
      <c r="G5952" s="49" t="str">
        <f t="shared" si="1"/>
        <v>13014</v>
      </c>
      <c r="H5952" s="49">
        <f t="shared" si="2"/>
        <v>13214</v>
      </c>
    </row>
    <row r="5953">
      <c r="A5953" s="48" t="s">
        <v>2526</v>
      </c>
      <c r="B5953" s="38">
        <v>70448.0</v>
      </c>
      <c r="C5953" s="38" t="s">
        <v>9187</v>
      </c>
      <c r="D5953" s="38" t="str">
        <f>IFERROR(__xludf.DUMMYFUNCTION("REGEXREPLACE(C5953,""-\d+(.*)|--\d+(.*)"","""")"),"ROCHE-ET-RAUCOURT")</f>
        <v>ROCHE-ET-RAUCOURT</v>
      </c>
      <c r="E5953" s="38" t="s">
        <v>956</v>
      </c>
      <c r="F5953" s="38" t="s">
        <v>214</v>
      </c>
      <c r="G5953" s="49" t="str">
        <f t="shared" si="1"/>
        <v>70180</v>
      </c>
      <c r="H5953" s="49">
        <f t="shared" si="2"/>
        <v>70448</v>
      </c>
    </row>
    <row r="5954">
      <c r="A5954" s="48" t="s">
        <v>5748</v>
      </c>
      <c r="B5954" s="38">
        <v>13011.0</v>
      </c>
      <c r="C5954" s="38" t="s">
        <v>9188</v>
      </c>
      <c r="D5954" s="38" t="str">
        <f>IFERROR(__xludf.DUMMYFUNCTION("REGEXREPLACE(C5954,""-\d+(.*)|--\d+(.*)"","""")"),"LES BAUX-DE-PROVENCE")</f>
        <v>LES BAUX-DE-PROVENCE</v>
      </c>
      <c r="E5954" s="38" t="s">
        <v>980</v>
      </c>
      <c r="F5954" s="38" t="s">
        <v>228</v>
      </c>
      <c r="G5954" s="49" t="str">
        <f t="shared" si="1"/>
        <v>13520</v>
      </c>
      <c r="H5954" s="49">
        <f t="shared" si="2"/>
        <v>13011</v>
      </c>
    </row>
    <row r="5955">
      <c r="A5955" s="48" t="s">
        <v>509</v>
      </c>
      <c r="B5955" s="38">
        <v>28319.0</v>
      </c>
      <c r="C5955" s="38" t="s">
        <v>9189</v>
      </c>
      <c r="D5955" s="38" t="str">
        <f>IFERROR(__xludf.DUMMYFUNCTION("REGEXREPLACE(C5955,""-\d+(.*)|--\d+(.*)"","""")"),"ROUVRAY-SAINT-DENIS")</f>
        <v>ROUVRAY-SAINT-DENIS</v>
      </c>
      <c r="E5955" s="38" t="s">
        <v>300</v>
      </c>
      <c r="F5955" s="38" t="s">
        <v>123</v>
      </c>
      <c r="G5955" s="49" t="str">
        <f t="shared" si="1"/>
        <v>28310</v>
      </c>
      <c r="H5955" s="49">
        <f t="shared" si="2"/>
        <v>28319</v>
      </c>
    </row>
    <row r="5956">
      <c r="A5956" s="48" t="s">
        <v>1857</v>
      </c>
      <c r="B5956" s="38">
        <v>4075.0</v>
      </c>
      <c r="C5956" s="38" t="s">
        <v>9190</v>
      </c>
      <c r="D5956" s="38" t="str">
        <f>IFERROR(__xludf.DUMMYFUNCTION("REGEXREPLACE(C5956,""-\d+(.*)|--\d+(.*)"","""")"),"ENTREPIERRES")</f>
        <v>ENTREPIERRES</v>
      </c>
      <c r="E5956" s="38" t="s">
        <v>662</v>
      </c>
      <c r="F5956" s="38" t="s">
        <v>228</v>
      </c>
      <c r="G5956" s="49" t="str">
        <f t="shared" si="1"/>
        <v>04200</v>
      </c>
      <c r="H5956" s="49" t="str">
        <f t="shared" si="2"/>
        <v>04075</v>
      </c>
    </row>
    <row r="5957">
      <c r="A5957" s="48" t="s">
        <v>3869</v>
      </c>
      <c r="B5957" s="38">
        <v>21405.0</v>
      </c>
      <c r="C5957" s="38" t="s">
        <v>9191</v>
      </c>
      <c r="D5957" s="38" t="str">
        <f>IFERROR(__xludf.DUMMYFUNCTION("REGEXREPLACE(C5957,""-\d+(.*)|--\d+(.*)"","""")"),"MERCEUIL")</f>
        <v>MERCEUIL</v>
      </c>
      <c r="E5957" s="38" t="s">
        <v>105</v>
      </c>
      <c r="F5957" s="38" t="s">
        <v>106</v>
      </c>
      <c r="G5957" s="49" t="str">
        <f t="shared" si="1"/>
        <v>21190</v>
      </c>
      <c r="H5957" s="49">
        <f t="shared" si="2"/>
        <v>21405</v>
      </c>
    </row>
    <row r="5958">
      <c r="A5958" s="48" t="s">
        <v>4330</v>
      </c>
      <c r="B5958" s="38">
        <v>1148.0</v>
      </c>
      <c r="C5958" s="38" t="s">
        <v>9192</v>
      </c>
      <c r="D5958" s="38" t="str">
        <f>IFERROR(__xludf.DUMMYFUNCTION("REGEXREPLACE(C5958,""-\d+(.*)|--\d+(.*)"","""")"),"DORTAN")</f>
        <v>DORTAN</v>
      </c>
      <c r="E5958" s="38" t="s">
        <v>255</v>
      </c>
      <c r="F5958" s="38" t="s">
        <v>102</v>
      </c>
      <c r="G5958" s="49" t="str">
        <f t="shared" si="1"/>
        <v>01590</v>
      </c>
      <c r="H5958" s="49" t="str">
        <f t="shared" si="2"/>
        <v>01148</v>
      </c>
    </row>
    <row r="5959">
      <c r="A5959" s="48" t="s">
        <v>9193</v>
      </c>
      <c r="B5959" s="38">
        <v>62735.0</v>
      </c>
      <c r="C5959" s="38" t="s">
        <v>9194</v>
      </c>
      <c r="D5959" s="38" t="str">
        <f>IFERROR(__xludf.DUMMYFUNCTION("REGEXREPLACE(C5959,""-\d+(.*)|--\d+(.*)"","""")"),"SAILLY-LABOURSE")</f>
        <v>SAILLY-LABOURSE</v>
      </c>
      <c r="E5959" s="38" t="s">
        <v>109</v>
      </c>
      <c r="F5959" s="38" t="s">
        <v>86</v>
      </c>
      <c r="G5959" s="49" t="str">
        <f t="shared" si="1"/>
        <v>62113</v>
      </c>
      <c r="H5959" s="49">
        <f t="shared" si="2"/>
        <v>62735</v>
      </c>
    </row>
    <row r="5960">
      <c r="A5960" s="48" t="s">
        <v>1108</v>
      </c>
      <c r="B5960" s="38">
        <v>27070.0</v>
      </c>
      <c r="C5960" s="38" t="s">
        <v>9195</v>
      </c>
      <c r="D5960" s="38" t="str">
        <f>IFERROR(__xludf.DUMMYFUNCTION("REGEXREPLACE(C5960,""-\d+(.*)|--\d+(.*)"","""")"),"BOISEMONT")</f>
        <v>BOISEMONT</v>
      </c>
      <c r="E5960" s="38" t="s">
        <v>241</v>
      </c>
      <c r="F5960" s="38" t="s">
        <v>134</v>
      </c>
      <c r="G5960" s="49" t="str">
        <f t="shared" si="1"/>
        <v>27150</v>
      </c>
      <c r="H5960" s="49">
        <f t="shared" si="2"/>
        <v>27070</v>
      </c>
    </row>
    <row r="5961">
      <c r="A5961" s="48" t="s">
        <v>5065</v>
      </c>
      <c r="B5961" s="38">
        <v>50093.0</v>
      </c>
      <c r="C5961" s="38" t="s">
        <v>9196</v>
      </c>
      <c r="D5961" s="38" t="str">
        <f>IFERROR(__xludf.DUMMYFUNCTION("REGEXREPLACE(C5961,""-\d+(.*)|--\d+(.*)"","""")"),"CAMETOURS")</f>
        <v>CAMETOURS</v>
      </c>
      <c r="E5961" s="38" t="s">
        <v>157</v>
      </c>
      <c r="F5961" s="38" t="s">
        <v>138</v>
      </c>
      <c r="G5961" s="49" t="str">
        <f t="shared" si="1"/>
        <v>50570</v>
      </c>
      <c r="H5961" s="49">
        <f t="shared" si="2"/>
        <v>50093</v>
      </c>
    </row>
    <row r="5962">
      <c r="A5962" s="48" t="s">
        <v>9197</v>
      </c>
      <c r="B5962" s="38">
        <v>56100.0</v>
      </c>
      <c r="C5962" s="38" t="s">
        <v>9198</v>
      </c>
      <c r="D5962" s="38" t="str">
        <f>IFERROR(__xludf.DUMMYFUNCTION("REGEXREPLACE(C5962,""-\d+(.*)|--\d+(.*)"","""")"),"LANGONNET")</f>
        <v>LANGONNET</v>
      </c>
      <c r="E5962" s="38" t="s">
        <v>173</v>
      </c>
      <c r="F5962" s="38" t="s">
        <v>90</v>
      </c>
      <c r="G5962" s="49" t="str">
        <f t="shared" si="1"/>
        <v>56630</v>
      </c>
      <c r="H5962" s="49">
        <f t="shared" si="2"/>
        <v>56100</v>
      </c>
    </row>
    <row r="5963">
      <c r="A5963" s="48" t="s">
        <v>7641</v>
      </c>
      <c r="B5963" s="38">
        <v>3052.0</v>
      </c>
      <c r="C5963" s="38" t="s">
        <v>9199</v>
      </c>
      <c r="D5963" s="38" t="str">
        <f>IFERROR(__xludf.DUMMYFUNCTION("REGEXREPLACE(C5963,""-\d+(.*)|--\d+(.*)"","""")"),"CHAMBLET")</f>
        <v>CHAMBLET</v>
      </c>
      <c r="E5963" s="38" t="s">
        <v>160</v>
      </c>
      <c r="F5963" s="38" t="s">
        <v>161</v>
      </c>
      <c r="G5963" s="49" t="str">
        <f t="shared" si="1"/>
        <v>03170</v>
      </c>
      <c r="H5963" s="49" t="str">
        <f t="shared" si="2"/>
        <v>03052</v>
      </c>
    </row>
    <row r="5964">
      <c r="A5964" s="48" t="s">
        <v>5163</v>
      </c>
      <c r="B5964" s="38">
        <v>76356.0</v>
      </c>
      <c r="C5964" s="38" t="s">
        <v>9200</v>
      </c>
      <c r="D5964" s="38" t="str">
        <f>IFERROR(__xludf.DUMMYFUNCTION("REGEXREPLACE(C5964,""-\d+(.*)|--\d+(.*)"","""")"),"HERMANVILLE")</f>
        <v>HERMANVILLE</v>
      </c>
      <c r="E5964" s="38" t="s">
        <v>133</v>
      </c>
      <c r="F5964" s="38" t="s">
        <v>134</v>
      </c>
      <c r="G5964" s="49" t="str">
        <f t="shared" si="1"/>
        <v>76730</v>
      </c>
      <c r="H5964" s="49">
        <f t="shared" si="2"/>
        <v>76356</v>
      </c>
    </row>
    <row r="5965">
      <c r="A5965" s="48" t="s">
        <v>618</v>
      </c>
      <c r="B5965" s="38">
        <v>54218.0</v>
      </c>
      <c r="C5965" s="38" t="s">
        <v>9201</v>
      </c>
      <c r="D5965" s="38" t="str">
        <f>IFERROR(__xludf.DUMMYFUNCTION("REGEXREPLACE(C5965,""-\d+(.*)|--\d+(.*)"","""")"),"GELAUCOURT")</f>
        <v>GELAUCOURT</v>
      </c>
      <c r="E5965" s="38" t="s">
        <v>548</v>
      </c>
      <c r="F5965" s="38" t="s">
        <v>195</v>
      </c>
      <c r="G5965" s="49" t="str">
        <f t="shared" si="1"/>
        <v>54115</v>
      </c>
      <c r="H5965" s="49">
        <f t="shared" si="2"/>
        <v>54218</v>
      </c>
    </row>
    <row r="5966">
      <c r="A5966" s="48" t="s">
        <v>2077</v>
      </c>
      <c r="B5966" s="38">
        <v>8230.0</v>
      </c>
      <c r="C5966" s="38" t="s">
        <v>9202</v>
      </c>
      <c r="D5966" s="38" t="str">
        <f>IFERROR(__xludf.DUMMYFUNCTION("REGEXREPLACE(C5966,""-\d+(.*)|--\d+(.*)"","""")"),"HOULDIZY")</f>
        <v>HOULDIZY</v>
      </c>
      <c r="E5966" s="38" t="s">
        <v>327</v>
      </c>
      <c r="F5966" s="38" t="s">
        <v>130</v>
      </c>
      <c r="G5966" s="49" t="str">
        <f t="shared" si="1"/>
        <v>08090</v>
      </c>
      <c r="H5966" s="49" t="str">
        <f t="shared" si="2"/>
        <v>08230</v>
      </c>
    </row>
    <row r="5967">
      <c r="A5967" s="48" t="s">
        <v>6832</v>
      </c>
      <c r="B5967" s="38">
        <v>80823.0</v>
      </c>
      <c r="C5967" s="38" t="s">
        <v>9203</v>
      </c>
      <c r="D5967" s="38" t="str">
        <f>IFERROR(__xludf.DUMMYFUNCTION("REGEXREPLACE(C5967,""-\d+(.*)|--\d+(.*)"","""")"),"WARVILLERS")</f>
        <v>WARVILLERS</v>
      </c>
      <c r="E5967" s="38" t="s">
        <v>224</v>
      </c>
      <c r="F5967" s="38" t="s">
        <v>113</v>
      </c>
      <c r="G5967" s="49" t="str">
        <f t="shared" si="1"/>
        <v>80170</v>
      </c>
      <c r="H5967" s="49">
        <f t="shared" si="2"/>
        <v>80823</v>
      </c>
    </row>
    <row r="5968">
      <c r="A5968" s="48" t="s">
        <v>3418</v>
      </c>
      <c r="B5968" s="38">
        <v>47187.0</v>
      </c>
      <c r="C5968" s="38" t="s">
        <v>9204</v>
      </c>
      <c r="D5968" s="38" t="str">
        <f>IFERROR(__xludf.DUMMYFUNCTION("REGEXREPLACE(C5968,""-\d+(.*)|--\d+(.*)"","""")"),"MONTETON")</f>
        <v>MONTETON</v>
      </c>
      <c r="E5968" s="38" t="s">
        <v>251</v>
      </c>
      <c r="F5968" s="38" t="s">
        <v>252</v>
      </c>
      <c r="G5968" s="49" t="str">
        <f t="shared" si="1"/>
        <v>47120</v>
      </c>
      <c r="H5968" s="49">
        <f t="shared" si="2"/>
        <v>47187</v>
      </c>
    </row>
    <row r="5969">
      <c r="A5969" s="48" t="s">
        <v>1323</v>
      </c>
      <c r="B5969" s="38">
        <v>21124.0</v>
      </c>
      <c r="C5969" s="38" t="s">
        <v>9205</v>
      </c>
      <c r="D5969" s="38" t="str">
        <f>IFERROR(__xludf.DUMMYFUNCTION("REGEXREPLACE(C5969,""-\d+(.*)|--\d+(.*)"","""")"),"CENSEREY")</f>
        <v>CENSEREY</v>
      </c>
      <c r="E5969" s="38" t="s">
        <v>105</v>
      </c>
      <c r="F5969" s="38" t="s">
        <v>106</v>
      </c>
      <c r="G5969" s="49" t="str">
        <f t="shared" si="1"/>
        <v>21430</v>
      </c>
      <c r="H5969" s="49">
        <f t="shared" si="2"/>
        <v>21124</v>
      </c>
    </row>
    <row r="5970">
      <c r="A5970" s="48" t="s">
        <v>1859</v>
      </c>
      <c r="B5970" s="38">
        <v>88325.0</v>
      </c>
      <c r="C5970" s="38" t="s">
        <v>9206</v>
      </c>
      <c r="D5970" s="38" t="str">
        <f>IFERROR(__xludf.DUMMYFUNCTION("REGEXREPLACE(C5970,""-\d+(.*)|--\d+(.*)"","""")"),"LA NEUVEVILLE-SOUS-MONTFORT")</f>
        <v>LA NEUVEVILLE-SOUS-MONTFORT</v>
      </c>
      <c r="E5970" s="38" t="s">
        <v>194</v>
      </c>
      <c r="F5970" s="38" t="s">
        <v>195</v>
      </c>
      <c r="G5970" s="49" t="str">
        <f t="shared" si="1"/>
        <v>88800</v>
      </c>
      <c r="H5970" s="49">
        <f t="shared" si="2"/>
        <v>88325</v>
      </c>
    </row>
    <row r="5971">
      <c r="A5971" s="48" t="s">
        <v>9207</v>
      </c>
      <c r="B5971" s="38">
        <v>57284.0</v>
      </c>
      <c r="C5971" s="38" t="s">
        <v>9208</v>
      </c>
      <c r="D5971" s="38" t="str">
        <f>IFERROR(__xludf.DUMMYFUNCTION("REGEXREPLACE(C5971,""-\d+(.*)|--\d+(.*)"","""")"),"HALLERING")</f>
        <v>HALLERING</v>
      </c>
      <c r="E5971" s="38" t="s">
        <v>303</v>
      </c>
      <c r="F5971" s="38" t="s">
        <v>195</v>
      </c>
      <c r="G5971" s="49" t="str">
        <f t="shared" si="1"/>
        <v>57690</v>
      </c>
      <c r="H5971" s="49">
        <f t="shared" si="2"/>
        <v>57284</v>
      </c>
    </row>
    <row r="5972">
      <c r="A5972" s="48" t="s">
        <v>860</v>
      </c>
      <c r="B5972" s="38">
        <v>80559.0</v>
      </c>
      <c r="C5972" s="38" t="s">
        <v>9209</v>
      </c>
      <c r="D5972" s="38" t="str">
        <f>IFERROR(__xludf.DUMMYFUNCTION("REGEXREPLACE(C5972,""-\d+(.*)|--\d+(.*)"","""")"),"MONTAGNE-FAYEL")</f>
        <v>MONTAGNE-FAYEL</v>
      </c>
      <c r="E5972" s="38" t="s">
        <v>224</v>
      </c>
      <c r="F5972" s="38" t="s">
        <v>113</v>
      </c>
      <c r="G5972" s="49" t="str">
        <f t="shared" si="1"/>
        <v>80540</v>
      </c>
      <c r="H5972" s="49">
        <f t="shared" si="2"/>
        <v>80559</v>
      </c>
    </row>
    <row r="5973">
      <c r="A5973" s="48" t="s">
        <v>2332</v>
      </c>
      <c r="B5973" s="38">
        <v>81236.0</v>
      </c>
      <c r="C5973" s="38" t="s">
        <v>2000</v>
      </c>
      <c r="D5973" s="38" t="str">
        <f>IFERROR(__xludf.DUMMYFUNCTION("REGEXREPLACE(C5973,""-\d+(.*)|--\d+(.*)"","""")"),"SAINT-AGNAN")</f>
        <v>SAINT-AGNAN</v>
      </c>
      <c r="E5973" s="38" t="s">
        <v>231</v>
      </c>
      <c r="F5973" s="38" t="s">
        <v>94</v>
      </c>
      <c r="G5973" s="49" t="str">
        <f t="shared" si="1"/>
        <v>81500</v>
      </c>
      <c r="H5973" s="49">
        <f t="shared" si="2"/>
        <v>81236</v>
      </c>
    </row>
    <row r="5974">
      <c r="A5974" s="48" t="s">
        <v>2882</v>
      </c>
      <c r="B5974" s="38">
        <v>76584.0</v>
      </c>
      <c r="C5974" s="38" t="s">
        <v>9210</v>
      </c>
      <c r="D5974" s="38" t="str">
        <f>IFERROR(__xludf.DUMMYFUNCTION("REGEXREPLACE(C5974,""-\d+(.*)|--\d+(.*)"","""")"),"SAINT-GERMAIN-SUR-EAULNE")</f>
        <v>SAINT-GERMAIN-SUR-EAULNE</v>
      </c>
      <c r="E5974" s="38" t="s">
        <v>133</v>
      </c>
      <c r="F5974" s="38" t="s">
        <v>134</v>
      </c>
      <c r="G5974" s="49" t="str">
        <f t="shared" si="1"/>
        <v>76270</v>
      </c>
      <c r="H5974" s="49">
        <f t="shared" si="2"/>
        <v>76584</v>
      </c>
    </row>
    <row r="5975">
      <c r="A5975" s="48" t="s">
        <v>7332</v>
      </c>
      <c r="B5975" s="38">
        <v>24362.0</v>
      </c>
      <c r="C5975" s="38" t="s">
        <v>9211</v>
      </c>
      <c r="D5975" s="38" t="str">
        <f>IFERROR(__xludf.DUMMYFUNCTION("REGEXREPLACE(C5975,""-\d+(.*)|--\d+(.*)"","""")"),"SAINTE-ALVERE")</f>
        <v>SAINTE-ALVERE</v>
      </c>
      <c r="E5975" s="38" t="s">
        <v>261</v>
      </c>
      <c r="F5975" s="38" t="s">
        <v>252</v>
      </c>
      <c r="G5975" s="49" t="str">
        <f t="shared" si="1"/>
        <v>24510</v>
      </c>
      <c r="H5975" s="49">
        <f t="shared" si="2"/>
        <v>24362</v>
      </c>
    </row>
    <row r="5976">
      <c r="A5976" s="48" t="s">
        <v>8684</v>
      </c>
      <c r="B5976" s="38">
        <v>37223.0</v>
      </c>
      <c r="C5976" s="38" t="s">
        <v>9212</v>
      </c>
      <c r="D5976" s="38" t="str">
        <f>IFERROR(__xludf.DUMMYFUNCTION("REGEXREPLACE(C5976,""-\d+(.*)|--\d+(.*)"","""")"),"SAINT-LAURENT-DE-LIN")</f>
        <v>SAINT-LAURENT-DE-LIN</v>
      </c>
      <c r="E5976" s="38" t="s">
        <v>205</v>
      </c>
      <c r="F5976" s="38" t="s">
        <v>123</v>
      </c>
      <c r="G5976" s="49" t="str">
        <f t="shared" si="1"/>
        <v>37330</v>
      </c>
      <c r="H5976" s="49">
        <f t="shared" si="2"/>
        <v>37223</v>
      </c>
    </row>
    <row r="5977">
      <c r="A5977" s="48" t="s">
        <v>2008</v>
      </c>
      <c r="B5977" s="38">
        <v>46051.0</v>
      </c>
      <c r="C5977" s="38" t="s">
        <v>9213</v>
      </c>
      <c r="D5977" s="38" t="str">
        <f>IFERROR(__xludf.DUMMYFUNCTION("REGEXREPLACE(C5977,""-\d+(.*)|--\d+(.*)"","""")"),"CAMBES")</f>
        <v>CAMBES</v>
      </c>
      <c r="E5977" s="38" t="s">
        <v>185</v>
      </c>
      <c r="F5977" s="38" t="s">
        <v>94</v>
      </c>
      <c r="G5977" s="49" t="str">
        <f t="shared" si="1"/>
        <v>46100</v>
      </c>
      <c r="H5977" s="49">
        <f t="shared" si="2"/>
        <v>46051</v>
      </c>
    </row>
    <row r="5978">
      <c r="A5978" s="48" t="s">
        <v>9214</v>
      </c>
      <c r="B5978" s="38">
        <v>29177.0</v>
      </c>
      <c r="C5978" s="38" t="s">
        <v>9215</v>
      </c>
      <c r="D5978" s="38" t="str">
        <f>IFERROR(__xludf.DUMMYFUNCTION("REGEXREPLACE(C5978,""-\d+(.*)|--\d+(.*)"","""")"),"PLOUARZEL")</f>
        <v>PLOUARZEL</v>
      </c>
      <c r="E5978" s="38" t="s">
        <v>176</v>
      </c>
      <c r="F5978" s="38" t="s">
        <v>90</v>
      </c>
      <c r="G5978" s="49" t="str">
        <f t="shared" si="1"/>
        <v>29810</v>
      </c>
      <c r="H5978" s="49">
        <f t="shared" si="2"/>
        <v>29177</v>
      </c>
    </row>
    <row r="5979">
      <c r="A5979" s="48" t="s">
        <v>8287</v>
      </c>
      <c r="B5979" s="38">
        <v>31458.0</v>
      </c>
      <c r="C5979" s="38" t="s">
        <v>4432</v>
      </c>
      <c r="D5979" s="38" t="str">
        <f>IFERROR(__xludf.DUMMYFUNCTION("REGEXREPLACE(C5979,""-\d+(.*)|--\d+(.*)"","""")"),"ROQUES")</f>
        <v>ROQUES</v>
      </c>
      <c r="E5979" s="38" t="s">
        <v>93</v>
      </c>
      <c r="F5979" s="38" t="s">
        <v>94</v>
      </c>
      <c r="G5979" s="49" t="str">
        <f t="shared" si="1"/>
        <v>31120</v>
      </c>
      <c r="H5979" s="49">
        <f t="shared" si="2"/>
        <v>31458</v>
      </c>
    </row>
    <row r="5980">
      <c r="A5980" s="48" t="s">
        <v>9216</v>
      </c>
      <c r="B5980" s="38">
        <v>91477.0</v>
      </c>
      <c r="C5980" s="38" t="s">
        <v>9217</v>
      </c>
      <c r="D5980" s="38" t="str">
        <f>IFERROR(__xludf.DUMMYFUNCTION("REGEXREPLACE(C5980,""-\d+(.*)|--\d+(.*)"","""")"),"PALAISEAU")</f>
        <v>PALAISEAU</v>
      </c>
      <c r="E5980" s="38" t="s">
        <v>756</v>
      </c>
      <c r="F5980" s="38" t="s">
        <v>245</v>
      </c>
      <c r="G5980" s="49" t="str">
        <f t="shared" si="1"/>
        <v>91120</v>
      </c>
      <c r="H5980" s="49">
        <f t="shared" si="2"/>
        <v>91477</v>
      </c>
    </row>
    <row r="5981">
      <c r="A5981" s="48" t="s">
        <v>9218</v>
      </c>
      <c r="B5981" s="38">
        <v>17008.0</v>
      </c>
      <c r="C5981" s="38" t="s">
        <v>9219</v>
      </c>
      <c r="D5981" s="38" t="str">
        <f>IFERROR(__xludf.DUMMYFUNCTION("REGEXREPLACE(C5981,""-\d+(.*)|--\d+(.*)"","""")"),"ANDILLY")</f>
        <v>ANDILLY</v>
      </c>
      <c r="E5981" s="38" t="s">
        <v>488</v>
      </c>
      <c r="F5981" s="38" t="s">
        <v>338</v>
      </c>
      <c r="G5981" s="49" t="str">
        <f t="shared" si="1"/>
        <v>17230</v>
      </c>
      <c r="H5981" s="49">
        <f t="shared" si="2"/>
        <v>17008</v>
      </c>
    </row>
    <row r="5982">
      <c r="A5982" s="48" t="s">
        <v>3036</v>
      </c>
      <c r="B5982" s="38">
        <v>61023.0</v>
      </c>
      <c r="C5982" s="38" t="s">
        <v>1236</v>
      </c>
      <c r="D5982" s="38" t="str">
        <f>IFERROR(__xludf.DUMMYFUNCTION("REGEXREPLACE(C5982,""-\d+(.*)|--\d+(.*)"","""")"),"BAILLEUL")</f>
        <v>BAILLEUL</v>
      </c>
      <c r="E5982" s="38" t="s">
        <v>141</v>
      </c>
      <c r="F5982" s="38" t="s">
        <v>138</v>
      </c>
      <c r="G5982" s="49" t="str">
        <f t="shared" si="1"/>
        <v>61160</v>
      </c>
      <c r="H5982" s="49">
        <f t="shared" si="2"/>
        <v>61023</v>
      </c>
    </row>
    <row r="5983">
      <c r="A5983" s="48" t="s">
        <v>522</v>
      </c>
      <c r="B5983" s="38">
        <v>39183.0</v>
      </c>
      <c r="C5983" s="38" t="s">
        <v>9220</v>
      </c>
      <c r="D5983" s="38" t="str">
        <f>IFERROR(__xludf.DUMMYFUNCTION("REGEXREPLACE(C5983,""-\d+(.*)|--\d+(.*)"","""")"),"CROTENAY")</f>
        <v>CROTENAY</v>
      </c>
      <c r="E5983" s="38" t="s">
        <v>400</v>
      </c>
      <c r="F5983" s="38" t="s">
        <v>214</v>
      </c>
      <c r="G5983" s="49" t="str">
        <f t="shared" si="1"/>
        <v>39300</v>
      </c>
      <c r="H5983" s="49">
        <f t="shared" si="2"/>
        <v>39183</v>
      </c>
    </row>
    <row r="5984">
      <c r="A5984" s="48" t="s">
        <v>9221</v>
      </c>
      <c r="B5984" s="38">
        <v>34295.0</v>
      </c>
      <c r="C5984" s="38" t="s">
        <v>9222</v>
      </c>
      <c r="D5984" s="38" t="str">
        <f>IFERROR(__xludf.DUMMYFUNCTION("REGEXREPLACE(C5984,""-\d+(.*)|--\d+(.*)"","""")"),"SAUSSAN")</f>
        <v>SAUSSAN</v>
      </c>
      <c r="E5984" s="38" t="s">
        <v>118</v>
      </c>
      <c r="F5984" s="38" t="s">
        <v>119</v>
      </c>
      <c r="G5984" s="49" t="str">
        <f t="shared" si="1"/>
        <v>34570</v>
      </c>
      <c r="H5984" s="49">
        <f t="shared" si="2"/>
        <v>34295</v>
      </c>
    </row>
    <row r="5985">
      <c r="A5985" s="48" t="s">
        <v>9223</v>
      </c>
      <c r="B5985" s="38">
        <v>66225.0</v>
      </c>
      <c r="C5985" s="38" t="s">
        <v>9224</v>
      </c>
      <c r="D5985" s="38" t="str">
        <f>IFERROR(__xludf.DUMMYFUNCTION("REGEXREPLACE(C5985,""-\d+(.*)|--\d+(.*)"","""")"),"VILLELONGUE-DELS-MONTS")</f>
        <v>VILLELONGUE-DELS-MONTS</v>
      </c>
      <c r="E5985" s="38" t="s">
        <v>248</v>
      </c>
      <c r="F5985" s="38" t="s">
        <v>119</v>
      </c>
      <c r="G5985" s="49" t="str">
        <f t="shared" si="1"/>
        <v>66740</v>
      </c>
      <c r="H5985" s="49">
        <f t="shared" si="2"/>
        <v>66225</v>
      </c>
    </row>
    <row r="5986">
      <c r="A5986" s="48" t="s">
        <v>9225</v>
      </c>
      <c r="B5986" s="38">
        <v>23009.0</v>
      </c>
      <c r="C5986" s="38" t="s">
        <v>9226</v>
      </c>
      <c r="D5986" s="38" t="str">
        <f>IFERROR(__xludf.DUMMYFUNCTION("REGEXREPLACE(C5986,""-\d+(.*)|--\d+(.*)"","""")"),"AUGE")</f>
        <v>AUGE</v>
      </c>
      <c r="E5986" s="38" t="s">
        <v>97</v>
      </c>
      <c r="F5986" s="38" t="s">
        <v>98</v>
      </c>
      <c r="G5986" s="49" t="str">
        <f t="shared" si="1"/>
        <v>23170</v>
      </c>
      <c r="H5986" s="49">
        <f t="shared" si="2"/>
        <v>23009</v>
      </c>
    </row>
    <row r="5987">
      <c r="A5987" s="48" t="s">
        <v>1295</v>
      </c>
      <c r="B5987" s="38">
        <v>57584.0</v>
      </c>
      <c r="C5987" s="38" t="s">
        <v>9227</v>
      </c>
      <c r="D5987" s="38" t="str">
        <f>IFERROR(__xludf.DUMMYFUNCTION("REGEXREPLACE(C5987,""-\d+(.*)|--\d+(.*)"","""")"),"RIMLING")</f>
        <v>RIMLING</v>
      </c>
      <c r="E5987" s="38" t="s">
        <v>303</v>
      </c>
      <c r="F5987" s="38" t="s">
        <v>195</v>
      </c>
      <c r="G5987" s="49" t="str">
        <f t="shared" si="1"/>
        <v>57720</v>
      </c>
      <c r="H5987" s="49">
        <f t="shared" si="2"/>
        <v>57584</v>
      </c>
    </row>
    <row r="5988">
      <c r="A5988" s="48" t="s">
        <v>2493</v>
      </c>
      <c r="B5988" s="38">
        <v>25245.0</v>
      </c>
      <c r="C5988" s="38" t="s">
        <v>9228</v>
      </c>
      <c r="D5988" s="38" t="str">
        <f>IFERROR(__xludf.DUMMYFUNCTION("REGEXREPLACE(C5988,""-\d+(.*)|--\d+(.*)"","""")"),"FONTAIN")</f>
        <v>FONTAIN</v>
      </c>
      <c r="E5988" s="38" t="s">
        <v>213</v>
      </c>
      <c r="F5988" s="38" t="s">
        <v>214</v>
      </c>
      <c r="G5988" s="49" t="str">
        <f t="shared" si="1"/>
        <v>25660</v>
      </c>
      <c r="H5988" s="49">
        <f t="shared" si="2"/>
        <v>25245</v>
      </c>
    </row>
    <row r="5989">
      <c r="A5989" s="48" t="s">
        <v>304</v>
      </c>
      <c r="B5989" s="38">
        <v>73085.0</v>
      </c>
      <c r="C5989" s="38" t="s">
        <v>9229</v>
      </c>
      <c r="D5989" s="38" t="str">
        <f>IFERROR(__xludf.DUMMYFUNCTION("REGEXREPLACE(C5989,""-\d+(.*)|--\d+(.*)"","""")"),"CHINDRIEUX")</f>
        <v>CHINDRIEUX</v>
      </c>
      <c r="E5989" s="38" t="s">
        <v>306</v>
      </c>
      <c r="F5989" s="38" t="s">
        <v>102</v>
      </c>
      <c r="G5989" s="49" t="str">
        <f t="shared" si="1"/>
        <v>73310</v>
      </c>
      <c r="H5989" s="49">
        <f t="shared" si="2"/>
        <v>73085</v>
      </c>
    </row>
    <row r="5990">
      <c r="A5990" s="48" t="s">
        <v>466</v>
      </c>
      <c r="B5990" s="38">
        <v>52175.0</v>
      </c>
      <c r="C5990" s="38" t="s">
        <v>9230</v>
      </c>
      <c r="D5990" s="38" t="str">
        <f>IFERROR(__xludf.DUMMYFUNCTION("REGEXREPLACE(C5990,""-\d+(.*)|--\d+(.*)"","""")"),"DONJEUX")</f>
        <v>DONJEUX</v>
      </c>
      <c r="E5990" s="38" t="s">
        <v>234</v>
      </c>
      <c r="F5990" s="38" t="s">
        <v>130</v>
      </c>
      <c r="G5990" s="49" t="str">
        <f t="shared" si="1"/>
        <v>52300</v>
      </c>
      <c r="H5990" s="49">
        <f t="shared" si="2"/>
        <v>52175</v>
      </c>
    </row>
    <row r="5991">
      <c r="A5991" s="48" t="s">
        <v>9231</v>
      </c>
      <c r="B5991" s="38">
        <v>76184.0</v>
      </c>
      <c r="C5991" s="38" t="s">
        <v>9232</v>
      </c>
      <c r="D5991" s="38" t="str">
        <f>IFERROR(__xludf.DUMMYFUNCTION("REGEXREPLACE(C5991,""-\d+(.*)|--\d+(.*)"","""")"),"COLMESNIL-MANNEVILLE")</f>
        <v>COLMESNIL-MANNEVILLE</v>
      </c>
      <c r="E5991" s="38" t="s">
        <v>133</v>
      </c>
      <c r="F5991" s="38" t="s">
        <v>134</v>
      </c>
      <c r="G5991" s="49" t="str">
        <f t="shared" si="1"/>
        <v>76550</v>
      </c>
      <c r="H5991" s="49">
        <f t="shared" si="2"/>
        <v>76184</v>
      </c>
    </row>
    <row r="5992">
      <c r="A5992" s="48" t="s">
        <v>2075</v>
      </c>
      <c r="B5992" s="38">
        <v>46012.0</v>
      </c>
      <c r="C5992" s="38" t="s">
        <v>9233</v>
      </c>
      <c r="D5992" s="38" t="str">
        <f>IFERROR(__xludf.DUMMYFUNCTION("REGEXREPLACE(C5992,""-\d+(.*)|--\d+(.*)"","""")"),"AYNAC")</f>
        <v>AYNAC</v>
      </c>
      <c r="E5992" s="38" t="s">
        <v>185</v>
      </c>
      <c r="F5992" s="38" t="s">
        <v>94</v>
      </c>
      <c r="G5992" s="49" t="str">
        <f t="shared" si="1"/>
        <v>46120</v>
      </c>
      <c r="H5992" s="49">
        <f t="shared" si="2"/>
        <v>46012</v>
      </c>
    </row>
    <row r="5993">
      <c r="A5993" s="48" t="s">
        <v>9234</v>
      </c>
      <c r="B5993" s="38">
        <v>16054.0</v>
      </c>
      <c r="C5993" s="38" t="s">
        <v>1668</v>
      </c>
      <c r="D5993" s="38" t="str">
        <f>IFERROR(__xludf.DUMMYFUNCTION("REGEXREPLACE(C5993,""-\d+(.*)|--\d+(.*)"","""")"),"LE BOUCHAGE")</f>
        <v>LE BOUCHAGE</v>
      </c>
      <c r="E5993" s="38" t="s">
        <v>429</v>
      </c>
      <c r="F5993" s="38" t="s">
        <v>338</v>
      </c>
      <c r="G5993" s="49" t="str">
        <f t="shared" si="1"/>
        <v>16350</v>
      </c>
      <c r="H5993" s="49">
        <f t="shared" si="2"/>
        <v>16054</v>
      </c>
    </row>
    <row r="5994">
      <c r="A5994" s="48" t="s">
        <v>2274</v>
      </c>
      <c r="B5994" s="38">
        <v>48043.0</v>
      </c>
      <c r="C5994" s="38" t="s">
        <v>9235</v>
      </c>
      <c r="D5994" s="38" t="str">
        <f>IFERROR(__xludf.DUMMYFUNCTION("REGEXREPLACE(C5994,""-\d+(.*)|--\d+(.*)"","""")"),"CHATEAUNEUF-DE-RANDON")</f>
        <v>CHATEAUNEUF-DE-RANDON</v>
      </c>
      <c r="E5994" s="38" t="s">
        <v>154</v>
      </c>
      <c r="F5994" s="38" t="s">
        <v>119</v>
      </c>
      <c r="G5994" s="49" t="str">
        <f t="shared" si="1"/>
        <v>48170</v>
      </c>
      <c r="H5994" s="49">
        <f t="shared" si="2"/>
        <v>48043</v>
      </c>
    </row>
    <row r="5995">
      <c r="A5995" s="48" t="s">
        <v>3422</v>
      </c>
      <c r="B5995" s="38">
        <v>32420.0</v>
      </c>
      <c r="C5995" s="38" t="s">
        <v>9236</v>
      </c>
      <c r="D5995" s="38" t="str">
        <f>IFERROR(__xludf.DUMMYFUNCTION("REGEXREPLACE(C5995,""-\d+(.*)|--\d+(.*)"","""")"),"SAUVIMONT")</f>
        <v>SAUVIMONT</v>
      </c>
      <c r="E5995" s="38" t="s">
        <v>440</v>
      </c>
      <c r="F5995" s="38" t="s">
        <v>94</v>
      </c>
      <c r="G5995" s="49" t="str">
        <f t="shared" si="1"/>
        <v>32220</v>
      </c>
      <c r="H5995" s="49">
        <f t="shared" si="2"/>
        <v>32420</v>
      </c>
    </row>
    <row r="5996">
      <c r="A5996" s="48" t="s">
        <v>9237</v>
      </c>
      <c r="B5996" s="38">
        <v>97233.0</v>
      </c>
      <c r="C5996" s="38" t="s">
        <v>9238</v>
      </c>
      <c r="D5996" s="38" t="str">
        <f>IFERROR(__xludf.DUMMYFUNCTION("REGEXREPLACE(C5996,""-\d+(.*)|--\d+(.*)"","""")"),"LE MORNE-VERT")</f>
        <v>LE MORNE-VERT</v>
      </c>
      <c r="E5996" s="38" t="s">
        <v>2282</v>
      </c>
      <c r="F5996" s="38" t="s">
        <v>2282</v>
      </c>
      <c r="G5996" s="49" t="str">
        <f t="shared" si="1"/>
        <v>97226</v>
      </c>
      <c r="H5996" s="49">
        <f t="shared" si="2"/>
        <v>97233</v>
      </c>
    </row>
    <row r="5997">
      <c r="A5997" s="48" t="s">
        <v>826</v>
      </c>
      <c r="B5997" s="38">
        <v>21347.0</v>
      </c>
      <c r="C5997" s="38" t="s">
        <v>9239</v>
      </c>
      <c r="D5997" s="38" t="str">
        <f>IFERROR(__xludf.DUMMYFUNCTION("REGEXREPLACE(C5997,""-\d+(.*)|--\d+(.*)"","""")"),"LEVERNOIS")</f>
        <v>LEVERNOIS</v>
      </c>
      <c r="E5997" s="38" t="s">
        <v>105</v>
      </c>
      <c r="F5997" s="38" t="s">
        <v>106</v>
      </c>
      <c r="G5997" s="49" t="str">
        <f t="shared" si="1"/>
        <v>21200</v>
      </c>
      <c r="H5997" s="49">
        <f t="shared" si="2"/>
        <v>21347</v>
      </c>
    </row>
    <row r="5998">
      <c r="A5998" s="48" t="s">
        <v>9240</v>
      </c>
      <c r="B5998" s="38">
        <v>47262.0</v>
      </c>
      <c r="C5998" s="38" t="s">
        <v>9241</v>
      </c>
      <c r="D5998" s="38" t="str">
        <f>IFERROR(__xludf.DUMMYFUNCTION("REGEXREPLACE(C5998,""-\d+(.*)|--\d+(.*)"","""")"),"SAINT-NICOLAS-DE-LA-BALERME")</f>
        <v>SAINT-NICOLAS-DE-LA-BALERME</v>
      </c>
      <c r="E5998" s="38" t="s">
        <v>251</v>
      </c>
      <c r="F5998" s="38" t="s">
        <v>252</v>
      </c>
      <c r="G5998" s="49" t="str">
        <f t="shared" si="1"/>
        <v>47220</v>
      </c>
      <c r="H5998" s="49">
        <f t="shared" si="2"/>
        <v>47262</v>
      </c>
    </row>
    <row r="5999">
      <c r="A5999" s="48" t="s">
        <v>7736</v>
      </c>
      <c r="B5999" s="38">
        <v>11023.0</v>
      </c>
      <c r="C5999" s="38" t="s">
        <v>9242</v>
      </c>
      <c r="D5999" s="38" t="str">
        <f>IFERROR(__xludf.DUMMYFUNCTION("REGEXREPLACE(C5999,""-\d+(.*)|--\d+(.*)"","""")"),"BADENS")</f>
        <v>BADENS</v>
      </c>
      <c r="E5999" s="38" t="s">
        <v>278</v>
      </c>
      <c r="F5999" s="38" t="s">
        <v>119</v>
      </c>
      <c r="G5999" s="49" t="str">
        <f t="shared" si="1"/>
        <v>11800</v>
      </c>
      <c r="H5999" s="49">
        <f t="shared" si="2"/>
        <v>11023</v>
      </c>
    </row>
    <row r="6000">
      <c r="A6000" s="48" t="s">
        <v>1046</v>
      </c>
      <c r="B6000" s="38">
        <v>26098.0</v>
      </c>
      <c r="C6000" s="38" t="s">
        <v>9243</v>
      </c>
      <c r="D6000" s="38" t="str">
        <f>IFERROR(__xludf.DUMMYFUNCTION("REGEXREPLACE(C6000,""-\d+(.*)|--\d+(.*)"","""")"),"COBONNE")</f>
        <v>COBONNE</v>
      </c>
      <c r="E6000" s="38" t="s">
        <v>126</v>
      </c>
      <c r="F6000" s="38" t="s">
        <v>102</v>
      </c>
      <c r="G6000" s="49" t="str">
        <f t="shared" si="1"/>
        <v>26400</v>
      </c>
      <c r="H6000" s="49">
        <f t="shared" si="2"/>
        <v>26098</v>
      </c>
    </row>
    <row r="6001">
      <c r="A6001" s="48" t="s">
        <v>3297</v>
      </c>
      <c r="B6001" s="38">
        <v>41217.0</v>
      </c>
      <c r="C6001" s="38" t="s">
        <v>9244</v>
      </c>
      <c r="D6001" s="38" t="str">
        <f>IFERROR(__xludf.DUMMYFUNCTION("REGEXREPLACE(C6001,""-\d+(.*)|--\d+(.*)"","""")"),"SAINT-JULIEN-DE-CHEDON")</f>
        <v>SAINT-JULIEN-DE-CHEDON</v>
      </c>
      <c r="E6001" s="38" t="s">
        <v>188</v>
      </c>
      <c r="F6001" s="38" t="s">
        <v>123</v>
      </c>
      <c r="G6001" s="49" t="str">
        <f t="shared" si="1"/>
        <v>41400</v>
      </c>
      <c r="H6001" s="49">
        <f t="shared" si="2"/>
        <v>41217</v>
      </c>
    </row>
    <row r="6002">
      <c r="A6002" s="48" t="s">
        <v>9245</v>
      </c>
      <c r="B6002" s="38">
        <v>47298.0</v>
      </c>
      <c r="C6002" s="38" t="s">
        <v>9246</v>
      </c>
      <c r="D6002" s="38" t="str">
        <f>IFERROR(__xludf.DUMMYFUNCTION("REGEXREPLACE(C6002,""-\d+(.*)|--\d+(.*)"","""")"),"SENESTIS")</f>
        <v>SENESTIS</v>
      </c>
      <c r="E6002" s="38" t="s">
        <v>251</v>
      </c>
      <c r="F6002" s="38" t="s">
        <v>252</v>
      </c>
      <c r="G6002" s="49" t="str">
        <f t="shared" si="1"/>
        <v>47430</v>
      </c>
      <c r="H6002" s="49">
        <f t="shared" si="2"/>
        <v>47298</v>
      </c>
    </row>
    <row r="6003">
      <c r="A6003" s="48" t="s">
        <v>1681</v>
      </c>
      <c r="B6003" s="38">
        <v>80074.0</v>
      </c>
      <c r="C6003" s="38" t="s">
        <v>9247</v>
      </c>
      <c r="D6003" s="38" t="str">
        <f>IFERROR(__xludf.DUMMYFUNCTION("REGEXREPLACE(C6003,""-\d+(.*)|--\d+(.*)"","""")"),"BECQUIGNY")</f>
        <v>BECQUIGNY</v>
      </c>
      <c r="E6003" s="38" t="s">
        <v>224</v>
      </c>
      <c r="F6003" s="38" t="s">
        <v>113</v>
      </c>
      <c r="G6003" s="49" t="str">
        <f t="shared" si="1"/>
        <v>80500</v>
      </c>
      <c r="H6003" s="49">
        <f t="shared" si="2"/>
        <v>80074</v>
      </c>
    </row>
    <row r="6004">
      <c r="A6004" s="48" t="s">
        <v>4490</v>
      </c>
      <c r="B6004" s="38">
        <v>6064.0</v>
      </c>
      <c r="C6004" s="38" t="s">
        <v>9248</v>
      </c>
      <c r="D6004" s="38" t="str">
        <f>IFERROR(__xludf.DUMMYFUNCTION("REGEXREPLACE(C6004,""-\d+(.*)|--\d+(.*)"","""")"),"GATTIERES")</f>
        <v>GATTIERES</v>
      </c>
      <c r="E6004" s="38" t="s">
        <v>227</v>
      </c>
      <c r="F6004" s="38" t="s">
        <v>228</v>
      </c>
      <c r="G6004" s="49" t="str">
        <f t="shared" si="1"/>
        <v>06510</v>
      </c>
      <c r="H6004" s="49" t="str">
        <f t="shared" si="2"/>
        <v>06064</v>
      </c>
    </row>
    <row r="6005">
      <c r="A6005" s="48" t="s">
        <v>1358</v>
      </c>
      <c r="B6005" s="38">
        <v>81113.0</v>
      </c>
      <c r="C6005" s="38" t="s">
        <v>9249</v>
      </c>
      <c r="D6005" s="38" t="str">
        <f>IFERROR(__xludf.DUMMYFUNCTION("REGEXREPLACE(C6005,""-\d+(.*)|--\d+(.*)"","""")"),"LABASTIDE-DENAT")</f>
        <v>LABASTIDE-DENAT</v>
      </c>
      <c r="E6005" s="38" t="s">
        <v>231</v>
      </c>
      <c r="F6005" s="38" t="s">
        <v>94</v>
      </c>
      <c r="G6005" s="49" t="str">
        <f t="shared" si="1"/>
        <v>81120</v>
      </c>
      <c r="H6005" s="49">
        <f t="shared" si="2"/>
        <v>81113</v>
      </c>
    </row>
    <row r="6006">
      <c r="A6006" s="48" t="s">
        <v>5008</v>
      </c>
      <c r="B6006" s="38">
        <v>76685.0</v>
      </c>
      <c r="C6006" s="38" t="s">
        <v>9250</v>
      </c>
      <c r="D6006" s="38" t="str">
        <f>IFERROR(__xludf.DUMMYFUNCTION("REGEXREPLACE(C6006,""-\d+(.*)|--\d+(.*)"","""")"),"THEROULDEVILLE")</f>
        <v>THEROULDEVILLE</v>
      </c>
      <c r="E6006" s="38" t="s">
        <v>133</v>
      </c>
      <c r="F6006" s="38" t="s">
        <v>134</v>
      </c>
      <c r="G6006" s="49" t="str">
        <f t="shared" si="1"/>
        <v>76540</v>
      </c>
      <c r="H6006" s="49">
        <f t="shared" si="2"/>
        <v>76685</v>
      </c>
    </row>
    <row r="6007">
      <c r="A6007" s="48" t="s">
        <v>6107</v>
      </c>
      <c r="B6007" s="38">
        <v>61207.0</v>
      </c>
      <c r="C6007" s="38" t="s">
        <v>9251</v>
      </c>
      <c r="D6007" s="38" t="str">
        <f>IFERROR(__xludf.DUMMYFUNCTION("REGEXREPLACE(C6007,""-\d+(.*)|--\d+(.*)"","""")"),"IGE")</f>
        <v>IGE</v>
      </c>
      <c r="E6007" s="38" t="s">
        <v>141</v>
      </c>
      <c r="F6007" s="38" t="s">
        <v>138</v>
      </c>
      <c r="G6007" s="49" t="str">
        <f t="shared" si="1"/>
        <v>61130</v>
      </c>
      <c r="H6007" s="49">
        <f t="shared" si="2"/>
        <v>61207</v>
      </c>
    </row>
    <row r="6008">
      <c r="A6008" s="48" t="s">
        <v>2848</v>
      </c>
      <c r="B6008" s="38">
        <v>51345.0</v>
      </c>
      <c r="C6008" s="38" t="s">
        <v>9252</v>
      </c>
      <c r="D6008" s="38" t="str">
        <f>IFERROR(__xludf.DUMMYFUNCTION("REGEXREPLACE(C6008,""-\d+(.*)|--\d+(.*)"","""")"),"MAREUIL-EN-BRIE")</f>
        <v>MAREUIL-EN-BRIE</v>
      </c>
      <c r="E6008" s="38" t="s">
        <v>129</v>
      </c>
      <c r="F6008" s="38" t="s">
        <v>130</v>
      </c>
      <c r="G6008" s="49" t="str">
        <f t="shared" si="1"/>
        <v>51270</v>
      </c>
      <c r="H6008" s="49">
        <f t="shared" si="2"/>
        <v>51345</v>
      </c>
    </row>
    <row r="6009">
      <c r="A6009" s="48" t="s">
        <v>7192</v>
      </c>
      <c r="B6009" s="38">
        <v>61311.0</v>
      </c>
      <c r="C6009" s="38" t="s">
        <v>9253</v>
      </c>
      <c r="D6009" s="38" t="str">
        <f>IFERROR(__xludf.DUMMYFUNCTION("REGEXREPLACE(C6009,""-\d+(.*)|--\d+(.*)"","""")"),"NORMANDEL")</f>
        <v>NORMANDEL</v>
      </c>
      <c r="E6009" s="38" t="s">
        <v>141</v>
      </c>
      <c r="F6009" s="38" t="s">
        <v>138</v>
      </c>
      <c r="G6009" s="49" t="str">
        <f t="shared" si="1"/>
        <v>61190</v>
      </c>
      <c r="H6009" s="49">
        <f t="shared" si="2"/>
        <v>61311</v>
      </c>
    </row>
    <row r="6010">
      <c r="A6010" s="48" t="s">
        <v>342</v>
      </c>
      <c r="B6010" s="38">
        <v>71299.0</v>
      </c>
      <c r="C6010" s="38" t="s">
        <v>9254</v>
      </c>
      <c r="D6010" s="38" t="str">
        <f>IFERROR(__xludf.DUMMYFUNCTION("REGEXREPLACE(C6010,""-\d+(.*)|--\d+(.*)"","""")"),"MILLY-LAMARTINE")</f>
        <v>MILLY-LAMARTINE</v>
      </c>
      <c r="E6010" s="38" t="s">
        <v>344</v>
      </c>
      <c r="F6010" s="38" t="s">
        <v>106</v>
      </c>
      <c r="G6010" s="49" t="str">
        <f t="shared" si="1"/>
        <v>71960</v>
      </c>
      <c r="H6010" s="49">
        <f t="shared" si="2"/>
        <v>71299</v>
      </c>
    </row>
    <row r="6011">
      <c r="A6011" s="48" t="s">
        <v>9255</v>
      </c>
      <c r="B6011" s="38">
        <v>30310.0</v>
      </c>
      <c r="C6011" s="38" t="s">
        <v>9256</v>
      </c>
      <c r="D6011" s="38" t="str">
        <f>IFERROR(__xludf.DUMMYFUNCTION("REGEXREPLACE(C6011,""-\d+(.*)|--\d+(.*)"","""")"),"SAUMANE")</f>
        <v>SAUMANE</v>
      </c>
      <c r="E6011" s="38" t="s">
        <v>526</v>
      </c>
      <c r="F6011" s="38" t="s">
        <v>119</v>
      </c>
      <c r="G6011" s="49" t="str">
        <f t="shared" si="1"/>
        <v>30125</v>
      </c>
      <c r="H6011" s="49">
        <f t="shared" si="2"/>
        <v>30310</v>
      </c>
    </row>
    <row r="6012">
      <c r="A6012" s="48" t="s">
        <v>9257</v>
      </c>
      <c r="B6012" s="38">
        <v>11346.0</v>
      </c>
      <c r="C6012" s="38" t="s">
        <v>9258</v>
      </c>
      <c r="D6012" s="38" t="str">
        <f>IFERROR(__xludf.DUMMYFUNCTION("REGEXREPLACE(C6012,""-\d+(.*)|--\d+(.*)"","""")"),"SAINT-JEAN-DE-PARACOL")</f>
        <v>SAINT-JEAN-DE-PARACOL</v>
      </c>
      <c r="E6012" s="38" t="s">
        <v>278</v>
      </c>
      <c r="F6012" s="38" t="s">
        <v>119</v>
      </c>
      <c r="G6012" s="49" t="str">
        <f t="shared" si="1"/>
        <v>11260</v>
      </c>
      <c r="H6012" s="49">
        <f t="shared" si="2"/>
        <v>11346</v>
      </c>
    </row>
    <row r="6013">
      <c r="A6013" s="48" t="s">
        <v>1572</v>
      </c>
      <c r="B6013" s="38">
        <v>32106.0</v>
      </c>
      <c r="C6013" s="38" t="s">
        <v>9259</v>
      </c>
      <c r="D6013" s="38" t="str">
        <f>IFERROR(__xludf.DUMMYFUNCTION("REGEXREPLACE(C6013,""-\d+(.*)|--\d+(.*)"","""")"),"COLOGNE")</f>
        <v>COLOGNE</v>
      </c>
      <c r="E6013" s="38" t="s">
        <v>440</v>
      </c>
      <c r="F6013" s="38" t="s">
        <v>94</v>
      </c>
      <c r="G6013" s="49" t="str">
        <f t="shared" si="1"/>
        <v>32430</v>
      </c>
      <c r="H6013" s="49">
        <f t="shared" si="2"/>
        <v>32106</v>
      </c>
    </row>
    <row r="6014">
      <c r="A6014" s="48" t="s">
        <v>7001</v>
      </c>
      <c r="B6014" s="38">
        <v>85137.0</v>
      </c>
      <c r="C6014" s="38" t="s">
        <v>9260</v>
      </c>
      <c r="D6014" s="38" t="str">
        <f>IFERROR(__xludf.DUMMYFUNCTION("REGEXREPLACE(C6014,""-\d+(.*)|--\d+(.*)"","""")"),"MARSAIS-SAINTE-RADEGONDE")</f>
        <v>MARSAIS-SAINTE-RADEGONDE</v>
      </c>
      <c r="E6014" s="38" t="s">
        <v>179</v>
      </c>
      <c r="F6014" s="38" t="s">
        <v>180</v>
      </c>
      <c r="G6014" s="49" t="str">
        <f t="shared" si="1"/>
        <v>85570</v>
      </c>
      <c r="H6014" s="49">
        <f t="shared" si="2"/>
        <v>85137</v>
      </c>
    </row>
    <row r="6015">
      <c r="A6015" s="48" t="s">
        <v>7496</v>
      </c>
      <c r="B6015" s="38">
        <v>62639.0</v>
      </c>
      <c r="C6015" s="38" t="s">
        <v>9261</v>
      </c>
      <c r="D6015" s="38" t="str">
        <f>IFERROR(__xludf.DUMMYFUNCTION("REGEXREPLACE(C6015,""-\d+(.*)|--\d+(.*)"","""")"),"OPPY")</f>
        <v>OPPY</v>
      </c>
      <c r="E6015" s="38" t="s">
        <v>109</v>
      </c>
      <c r="F6015" s="38" t="s">
        <v>86</v>
      </c>
      <c r="G6015" s="49" t="str">
        <f t="shared" si="1"/>
        <v>62580</v>
      </c>
      <c r="H6015" s="49">
        <f t="shared" si="2"/>
        <v>62639</v>
      </c>
    </row>
    <row r="6016">
      <c r="A6016" s="48" t="s">
        <v>9262</v>
      </c>
      <c r="B6016" s="38">
        <v>16270.0</v>
      </c>
      <c r="C6016" s="38" t="s">
        <v>9263</v>
      </c>
      <c r="D6016" s="38" t="str">
        <f>IFERROR(__xludf.DUMMYFUNCTION("REGEXREPLACE(C6016,""-\d+(.*)|--\d+(.*)"","""")"),"PRESSIGNAC")</f>
        <v>PRESSIGNAC</v>
      </c>
      <c r="E6016" s="38" t="s">
        <v>429</v>
      </c>
      <c r="F6016" s="38" t="s">
        <v>338</v>
      </c>
      <c r="G6016" s="49" t="str">
        <f t="shared" si="1"/>
        <v>16150</v>
      </c>
      <c r="H6016" s="49">
        <f t="shared" si="2"/>
        <v>16270</v>
      </c>
    </row>
    <row r="6017">
      <c r="A6017" s="48" t="s">
        <v>9264</v>
      </c>
      <c r="B6017" s="38">
        <v>32338.0</v>
      </c>
      <c r="C6017" s="38" t="s">
        <v>9265</v>
      </c>
      <c r="D6017" s="38" t="str">
        <f>IFERROR(__xludf.DUMMYFUNCTION("REGEXREPLACE(C6017,""-\d+(.*)|--\d+(.*)"","""")"),"RAMOUZENS")</f>
        <v>RAMOUZENS</v>
      </c>
      <c r="E6017" s="38" t="s">
        <v>440</v>
      </c>
      <c r="F6017" s="38" t="s">
        <v>94</v>
      </c>
      <c r="G6017" s="49" t="str">
        <f t="shared" si="1"/>
        <v>32800</v>
      </c>
      <c r="H6017" s="49">
        <f t="shared" si="2"/>
        <v>32338</v>
      </c>
    </row>
    <row r="6018">
      <c r="A6018" s="48" t="s">
        <v>9266</v>
      </c>
      <c r="B6018" s="38">
        <v>77471.0</v>
      </c>
      <c r="C6018" s="38" t="s">
        <v>9267</v>
      </c>
      <c r="D6018" s="38" t="str">
        <f>IFERROR(__xludf.DUMMYFUNCTION("REGEXREPLACE(C6018,""-\d+(.*)|--\d+(.*)"","""")"),"TOUSSON")</f>
        <v>TOUSSON</v>
      </c>
      <c r="E6018" s="38" t="s">
        <v>244</v>
      </c>
      <c r="F6018" s="38" t="s">
        <v>245</v>
      </c>
      <c r="G6018" s="49" t="str">
        <f t="shared" si="1"/>
        <v>77123</v>
      </c>
      <c r="H6018" s="49">
        <f t="shared" si="2"/>
        <v>77471</v>
      </c>
    </row>
    <row r="6019">
      <c r="A6019" s="48" t="s">
        <v>1406</v>
      </c>
      <c r="B6019" s="38">
        <v>71542.0</v>
      </c>
      <c r="C6019" s="38" t="s">
        <v>9268</v>
      </c>
      <c r="D6019" s="38" t="str">
        <f>IFERROR(__xludf.DUMMYFUNCTION("REGEXREPLACE(C6019,""-\d+(.*)|--\d+(.*)"","""")"),"TOULON-SUR-ARROUX")</f>
        <v>TOULON-SUR-ARROUX</v>
      </c>
      <c r="E6019" s="38" t="s">
        <v>344</v>
      </c>
      <c r="F6019" s="38" t="s">
        <v>106</v>
      </c>
      <c r="G6019" s="49" t="str">
        <f t="shared" si="1"/>
        <v>71320</v>
      </c>
      <c r="H6019" s="49">
        <f t="shared" si="2"/>
        <v>71542</v>
      </c>
    </row>
    <row r="6020">
      <c r="A6020" s="48" t="s">
        <v>1310</v>
      </c>
      <c r="B6020" s="38">
        <v>25605.0</v>
      </c>
      <c r="C6020" s="38" t="s">
        <v>9269</v>
      </c>
      <c r="D6020" s="38" t="str">
        <f>IFERROR(__xludf.DUMMYFUNCTION("REGEXREPLACE(C6020,""-\d+(.*)|--\d+(.*)"","""")"),"VERNIERFONTAINE")</f>
        <v>VERNIERFONTAINE</v>
      </c>
      <c r="E6020" s="38" t="s">
        <v>213</v>
      </c>
      <c r="F6020" s="38" t="s">
        <v>214</v>
      </c>
      <c r="G6020" s="49" t="str">
        <f t="shared" si="1"/>
        <v>25580</v>
      </c>
      <c r="H6020" s="49">
        <f t="shared" si="2"/>
        <v>25605</v>
      </c>
    </row>
    <row r="6021">
      <c r="A6021" s="48" t="s">
        <v>1010</v>
      </c>
      <c r="B6021" s="38">
        <v>27451.0</v>
      </c>
      <c r="C6021" s="38" t="s">
        <v>9270</v>
      </c>
      <c r="D6021" s="38" t="str">
        <f>IFERROR(__xludf.DUMMYFUNCTION("REGEXREPLACE(C6021,""-\d+(.*)|--\d+(.*)"","""")"),"PARVILLE")</f>
        <v>PARVILLE</v>
      </c>
      <c r="E6021" s="38" t="s">
        <v>241</v>
      </c>
      <c r="F6021" s="38" t="s">
        <v>134</v>
      </c>
      <c r="G6021" s="49" t="str">
        <f t="shared" si="1"/>
        <v>27180</v>
      </c>
      <c r="H6021" s="49">
        <f t="shared" si="2"/>
        <v>27451</v>
      </c>
    </row>
    <row r="6022">
      <c r="A6022" s="48" t="s">
        <v>7140</v>
      </c>
      <c r="B6022" s="38">
        <v>3254.0</v>
      </c>
      <c r="C6022" s="38" t="s">
        <v>9271</v>
      </c>
      <c r="D6022" s="38" t="str">
        <f>IFERROR(__xludf.DUMMYFUNCTION("REGEXREPLACE(C6022,""-\d+(.*)|--\d+(.*)"","""")"),"SAINT-POURCAIN-SUR-SIOULE")</f>
        <v>SAINT-POURCAIN-SUR-SIOULE</v>
      </c>
      <c r="E6022" s="38" t="s">
        <v>160</v>
      </c>
      <c r="F6022" s="38" t="s">
        <v>161</v>
      </c>
      <c r="G6022" s="49" t="str">
        <f t="shared" si="1"/>
        <v>03500</v>
      </c>
      <c r="H6022" s="49" t="str">
        <f t="shared" si="2"/>
        <v>03254</v>
      </c>
    </row>
    <row r="6023">
      <c r="A6023" s="48" t="s">
        <v>9272</v>
      </c>
      <c r="B6023" s="38">
        <v>95436.0</v>
      </c>
      <c r="C6023" s="38" t="s">
        <v>9273</v>
      </c>
      <c r="D6023" s="38" t="str">
        <f>IFERROR(__xludf.DUMMYFUNCTION("REGEXREPLACE(C6023,""-\d+(.*)|--\d+(.*)"","""")"),"MOURS")</f>
        <v>MOURS</v>
      </c>
      <c r="E6023" s="38" t="s">
        <v>541</v>
      </c>
      <c r="F6023" s="38" t="s">
        <v>245</v>
      </c>
      <c r="G6023" s="49" t="str">
        <f t="shared" si="1"/>
        <v>95260</v>
      </c>
      <c r="H6023" s="49">
        <f t="shared" si="2"/>
        <v>95436</v>
      </c>
    </row>
    <row r="6024">
      <c r="A6024" s="48" t="s">
        <v>8492</v>
      </c>
      <c r="B6024" s="38">
        <v>80830.0</v>
      </c>
      <c r="C6024" s="38" t="s">
        <v>9274</v>
      </c>
      <c r="D6024" s="38" t="str">
        <f>IFERROR(__xludf.DUMMYFUNCTION("REGEXREPLACE(C6024,""-\d+(.*)|--\d+(.*)"","""")"),"YAUCOURT-BUSSUS")</f>
        <v>YAUCOURT-BUSSUS</v>
      </c>
      <c r="E6024" s="38" t="s">
        <v>224</v>
      </c>
      <c r="F6024" s="38" t="s">
        <v>113</v>
      </c>
      <c r="G6024" s="49" t="str">
        <f t="shared" si="1"/>
        <v>80135</v>
      </c>
      <c r="H6024" s="49">
        <f t="shared" si="2"/>
        <v>80830</v>
      </c>
    </row>
    <row r="6025">
      <c r="A6025" s="48" t="s">
        <v>9275</v>
      </c>
      <c r="B6025" s="38">
        <v>60338.0</v>
      </c>
      <c r="C6025" s="38" t="s">
        <v>9276</v>
      </c>
      <c r="D6025" s="38" t="str">
        <f>IFERROR(__xludf.DUMMYFUNCTION("REGEXREPLACE(C6025,""-\d+(.*)|--\d+(.*)"","""")"),"LACROIX-SAINT-OUEN")</f>
        <v>LACROIX-SAINT-OUEN</v>
      </c>
      <c r="E6025" s="38" t="s">
        <v>112</v>
      </c>
      <c r="F6025" s="38" t="s">
        <v>113</v>
      </c>
      <c r="G6025" s="49" t="str">
        <f t="shared" si="1"/>
        <v>60610</v>
      </c>
      <c r="H6025" s="49">
        <f t="shared" si="2"/>
        <v>60338</v>
      </c>
    </row>
    <row r="6026">
      <c r="A6026" s="48" t="s">
        <v>1302</v>
      </c>
      <c r="B6026" s="38">
        <v>38326.0</v>
      </c>
      <c r="C6026" s="38" t="s">
        <v>9277</v>
      </c>
      <c r="D6026" s="38" t="str">
        <f>IFERROR(__xludf.DUMMYFUNCTION("REGEXREPLACE(C6026,""-\d+(.*)|--\d+(.*)"","""")"),"PRUNIERES")</f>
        <v>PRUNIERES</v>
      </c>
      <c r="E6026" s="38" t="s">
        <v>101</v>
      </c>
      <c r="F6026" s="38" t="s">
        <v>102</v>
      </c>
      <c r="G6026" s="49" t="str">
        <f t="shared" si="1"/>
        <v>38350</v>
      </c>
      <c r="H6026" s="49">
        <f t="shared" si="2"/>
        <v>38326</v>
      </c>
    </row>
    <row r="6027">
      <c r="A6027" s="48" t="s">
        <v>9278</v>
      </c>
      <c r="B6027" s="38">
        <v>91114.0</v>
      </c>
      <c r="C6027" s="38" t="s">
        <v>9279</v>
      </c>
      <c r="D6027" s="38" t="str">
        <f>IFERROR(__xludf.DUMMYFUNCTION("REGEXREPLACE(C6027,""-\d+(.*)|--\d+(.*)"","""")"),"BRUNOY")</f>
        <v>BRUNOY</v>
      </c>
      <c r="E6027" s="38" t="s">
        <v>756</v>
      </c>
      <c r="F6027" s="38" t="s">
        <v>245</v>
      </c>
      <c r="G6027" s="49" t="str">
        <f t="shared" si="1"/>
        <v>91800</v>
      </c>
      <c r="H6027" s="49">
        <f t="shared" si="2"/>
        <v>91114</v>
      </c>
    </row>
    <row r="6028">
      <c r="A6028" s="48" t="s">
        <v>1155</v>
      </c>
      <c r="B6028" s="38">
        <v>67274.0</v>
      </c>
      <c r="C6028" s="38" t="s">
        <v>9280</v>
      </c>
      <c r="D6028" s="38" t="str">
        <f>IFERROR(__xludf.DUMMYFUNCTION("REGEXREPLACE(C6028,""-\d+(.*)|--\d+(.*)"","""")"),"LORENTZEN")</f>
        <v>LORENTZEN</v>
      </c>
      <c r="E6028" s="38" t="s">
        <v>210</v>
      </c>
      <c r="F6028" s="38" t="s">
        <v>151</v>
      </c>
      <c r="G6028" s="49" t="str">
        <f t="shared" si="1"/>
        <v>67430</v>
      </c>
      <c r="H6028" s="49">
        <f t="shared" si="2"/>
        <v>67274</v>
      </c>
    </row>
    <row r="6029">
      <c r="A6029" s="48" t="s">
        <v>8116</v>
      </c>
      <c r="B6029" s="38">
        <v>64478.0</v>
      </c>
      <c r="C6029" s="38" t="s">
        <v>9281</v>
      </c>
      <c r="D6029" s="38" t="str">
        <f>IFERROR(__xludf.DUMMYFUNCTION("REGEXREPLACE(C6029,""-\d+(.*)|--\d+(.*)"","""")"),"SAINT-FAUST")</f>
        <v>SAINT-FAUST</v>
      </c>
      <c r="E6029" s="38" t="s">
        <v>268</v>
      </c>
      <c r="F6029" s="38" t="s">
        <v>252</v>
      </c>
      <c r="G6029" s="49" t="str">
        <f t="shared" si="1"/>
        <v>64110</v>
      </c>
      <c r="H6029" s="49">
        <f t="shared" si="2"/>
        <v>64478</v>
      </c>
    </row>
    <row r="6030">
      <c r="A6030" s="48" t="s">
        <v>2251</v>
      </c>
      <c r="B6030" s="38">
        <v>2143.0</v>
      </c>
      <c r="C6030" s="38" t="s">
        <v>9282</v>
      </c>
      <c r="D6030" s="38" t="str">
        <f>IFERROR(__xludf.DUMMYFUNCTION("REGEXREPLACE(C6030,""-\d+(.*)|--\d+(.*)"","""")"),"LE CATELET")</f>
        <v>LE CATELET</v>
      </c>
      <c r="E6030" s="38" t="s">
        <v>191</v>
      </c>
      <c r="F6030" s="38" t="s">
        <v>113</v>
      </c>
      <c r="G6030" s="49" t="str">
        <f t="shared" si="1"/>
        <v>02420</v>
      </c>
      <c r="H6030" s="49" t="str">
        <f t="shared" si="2"/>
        <v>02143</v>
      </c>
    </row>
    <row r="6031">
      <c r="A6031" s="48" t="s">
        <v>9283</v>
      </c>
      <c r="B6031" s="38" t="s">
        <v>9284</v>
      </c>
      <c r="C6031" s="38" t="s">
        <v>9285</v>
      </c>
      <c r="D6031" s="38" t="str">
        <f>IFERROR(__xludf.DUMMYFUNCTION("REGEXREPLACE(C6031,""-\d+(.*)|--\d+(.*)"","""")"),"SISCO")</f>
        <v>SISCO</v>
      </c>
      <c r="E6031" s="38" t="s">
        <v>743</v>
      </c>
      <c r="F6031" s="38" t="s">
        <v>607</v>
      </c>
      <c r="G6031" s="49" t="str">
        <f t="shared" si="1"/>
        <v>20233</v>
      </c>
      <c r="H6031" s="49" t="str">
        <f t="shared" si="2"/>
        <v>2B281</v>
      </c>
    </row>
    <row r="6032">
      <c r="A6032" s="48" t="s">
        <v>773</v>
      </c>
      <c r="B6032" s="38">
        <v>27510.0</v>
      </c>
      <c r="C6032" s="38" t="s">
        <v>9286</v>
      </c>
      <c r="D6032" s="38" t="str">
        <f>IFERROR(__xludf.DUMMYFUNCTION("REGEXREPLACE(C6032,""-\d+(.*)|--\d+(.*)"","""")"),"SAINT-AQUILIN-DE-PACY")</f>
        <v>SAINT-AQUILIN-DE-PACY</v>
      </c>
      <c r="E6032" s="38" t="s">
        <v>241</v>
      </c>
      <c r="F6032" s="38" t="s">
        <v>134</v>
      </c>
      <c r="G6032" s="49" t="str">
        <f t="shared" si="1"/>
        <v>27120</v>
      </c>
      <c r="H6032" s="49">
        <f t="shared" si="2"/>
        <v>27510</v>
      </c>
    </row>
    <row r="6033">
      <c r="A6033" s="48" t="s">
        <v>148</v>
      </c>
      <c r="B6033" s="38">
        <v>68004.0</v>
      </c>
      <c r="C6033" s="38" t="s">
        <v>9287</v>
      </c>
      <c r="D6033" s="38" t="str">
        <f>IFERROR(__xludf.DUMMYFUNCTION("REGEXREPLACE(C6033,""-\d+(.*)|--\d+(.*)"","""")"),"ALTKIRCH")</f>
        <v>ALTKIRCH</v>
      </c>
      <c r="E6033" s="38" t="s">
        <v>150</v>
      </c>
      <c r="F6033" s="38" t="s">
        <v>151</v>
      </c>
      <c r="G6033" s="49" t="str">
        <f t="shared" si="1"/>
        <v>68130</v>
      </c>
      <c r="H6033" s="49">
        <f t="shared" si="2"/>
        <v>68004</v>
      </c>
    </row>
    <row r="6034">
      <c r="A6034" s="48" t="s">
        <v>9288</v>
      </c>
      <c r="B6034" s="38">
        <v>24330.0</v>
      </c>
      <c r="C6034" s="38" t="s">
        <v>9289</v>
      </c>
      <c r="D6034" s="38" t="str">
        <f>IFERROR(__xludf.DUMMYFUNCTION("REGEXREPLACE(C6034,""-\d+(.*)|--\d+(.*)"","""")"),"PLAZAC")</f>
        <v>PLAZAC</v>
      </c>
      <c r="E6034" s="38" t="s">
        <v>261</v>
      </c>
      <c r="F6034" s="38" t="s">
        <v>252</v>
      </c>
      <c r="G6034" s="49" t="str">
        <f t="shared" si="1"/>
        <v>24580</v>
      </c>
      <c r="H6034" s="49">
        <f t="shared" si="2"/>
        <v>24330</v>
      </c>
    </row>
    <row r="6035">
      <c r="A6035" s="48" t="s">
        <v>1237</v>
      </c>
      <c r="B6035" s="38">
        <v>54028.0</v>
      </c>
      <c r="C6035" s="38" t="s">
        <v>9290</v>
      </c>
      <c r="D6035" s="38" t="str">
        <f>IFERROR(__xludf.DUMMYFUNCTION("REGEXREPLACE(C6035,""-\d+(.*)|--\d+(.*)"","""")"),"AUBOUE")</f>
        <v>AUBOUE</v>
      </c>
      <c r="E6035" s="38" t="s">
        <v>548</v>
      </c>
      <c r="F6035" s="38" t="s">
        <v>195</v>
      </c>
      <c r="G6035" s="49" t="str">
        <f t="shared" si="1"/>
        <v>54580</v>
      </c>
      <c r="H6035" s="49">
        <f t="shared" si="2"/>
        <v>54028</v>
      </c>
    </row>
    <row r="6036">
      <c r="A6036" s="48" t="s">
        <v>1406</v>
      </c>
      <c r="B6036" s="38">
        <v>71317.0</v>
      </c>
      <c r="C6036" s="38" t="s">
        <v>9291</v>
      </c>
      <c r="D6036" s="38" t="str">
        <f>IFERROR(__xludf.DUMMYFUNCTION("REGEXREPLACE(C6036,""-\d+(.*)|--\d+(.*)"","""")"),"MONTMORT")</f>
        <v>MONTMORT</v>
      </c>
      <c r="E6036" s="38" t="s">
        <v>344</v>
      </c>
      <c r="F6036" s="38" t="s">
        <v>106</v>
      </c>
      <c r="G6036" s="49" t="str">
        <f t="shared" si="1"/>
        <v>71320</v>
      </c>
      <c r="H6036" s="49">
        <f t="shared" si="2"/>
        <v>71317</v>
      </c>
    </row>
    <row r="6037">
      <c r="A6037" s="48" t="s">
        <v>323</v>
      </c>
      <c r="B6037" s="38">
        <v>52179.0</v>
      </c>
      <c r="C6037" s="38" t="s">
        <v>9292</v>
      </c>
      <c r="D6037" s="38" t="str">
        <f>IFERROR(__xludf.DUMMYFUNCTION("REGEXREPLACE(C6037,""-\d+(.*)|--\d+(.*)"","""")"),"DOULEVANT-LE-PETIT")</f>
        <v>DOULEVANT-LE-PETIT</v>
      </c>
      <c r="E6037" s="38" t="s">
        <v>234</v>
      </c>
      <c r="F6037" s="38" t="s">
        <v>130</v>
      </c>
      <c r="G6037" s="49" t="str">
        <f t="shared" si="1"/>
        <v>52130</v>
      </c>
      <c r="H6037" s="49">
        <f t="shared" si="2"/>
        <v>52179</v>
      </c>
    </row>
    <row r="6038">
      <c r="A6038" s="48" t="s">
        <v>9293</v>
      </c>
      <c r="B6038" s="38">
        <v>9259.0</v>
      </c>
      <c r="C6038" s="38" t="s">
        <v>9294</v>
      </c>
      <c r="D6038" s="38" t="str">
        <f>IFERROR(__xludf.DUMMYFUNCTION("REGEXREPLACE(C6038,""-\d+(.*)|--\d+(.*)"","""")"),"SAINT-FELIX-DE-TOURNEGAT")</f>
        <v>SAINT-FELIX-DE-TOURNEGAT</v>
      </c>
      <c r="E6038" s="38" t="s">
        <v>238</v>
      </c>
      <c r="F6038" s="38" t="s">
        <v>94</v>
      </c>
      <c r="G6038" s="49" t="str">
        <f t="shared" si="1"/>
        <v>09500</v>
      </c>
      <c r="H6038" s="49" t="str">
        <f t="shared" si="2"/>
        <v>09259</v>
      </c>
    </row>
    <row r="6039">
      <c r="A6039" s="48" t="s">
        <v>9295</v>
      </c>
      <c r="B6039" s="38">
        <v>6030.0</v>
      </c>
      <c r="C6039" s="38" t="s">
        <v>9296</v>
      </c>
      <c r="D6039" s="38" t="str">
        <f>IFERROR(__xludf.DUMMYFUNCTION("REGEXREPLACE(C6039,""-\d+(.*)|--\d+(.*)"","""")"),"LE CANNET")</f>
        <v>LE CANNET</v>
      </c>
      <c r="E6039" s="38" t="s">
        <v>227</v>
      </c>
      <c r="F6039" s="38" t="s">
        <v>228</v>
      </c>
      <c r="G6039" s="49" t="str">
        <f t="shared" si="1"/>
        <v>06110</v>
      </c>
      <c r="H6039" s="49" t="str">
        <f t="shared" si="2"/>
        <v>06030</v>
      </c>
    </row>
    <row r="6040">
      <c r="A6040" s="48" t="s">
        <v>9297</v>
      </c>
      <c r="B6040" s="38">
        <v>41236.0</v>
      </c>
      <c r="C6040" s="38" t="s">
        <v>9298</v>
      </c>
      <c r="D6040" s="38" t="str">
        <f>IFERROR(__xludf.DUMMYFUNCTION("REGEXREPLACE(C6040,""-\d+(.*)|--\d+(.*)"","""")"),"SASNIERES")</f>
        <v>SASNIERES</v>
      </c>
      <c r="E6040" s="38" t="s">
        <v>188</v>
      </c>
      <c r="F6040" s="38" t="s">
        <v>123</v>
      </c>
      <c r="G6040" s="49" t="str">
        <f t="shared" si="1"/>
        <v>41310</v>
      </c>
      <c r="H6040" s="49">
        <f t="shared" si="2"/>
        <v>41236</v>
      </c>
    </row>
    <row r="6041">
      <c r="A6041" s="48" t="s">
        <v>922</v>
      </c>
      <c r="B6041" s="38">
        <v>76074.0</v>
      </c>
      <c r="C6041" s="38" t="s">
        <v>4207</v>
      </c>
      <c r="D6041" s="38" t="str">
        <f>IFERROR(__xludf.DUMMYFUNCTION("REGEXREPLACE(C6041,""-\d+(.*)|--\d+(.*)"","""")"),"LA BELLIERE")</f>
        <v>LA BELLIERE</v>
      </c>
      <c r="E6041" s="38" t="s">
        <v>133</v>
      </c>
      <c r="F6041" s="38" t="s">
        <v>134</v>
      </c>
      <c r="G6041" s="49" t="str">
        <f t="shared" si="1"/>
        <v>76440</v>
      </c>
      <c r="H6041" s="49">
        <f t="shared" si="2"/>
        <v>76074</v>
      </c>
    </row>
    <row r="6042">
      <c r="A6042" s="48" t="s">
        <v>8235</v>
      </c>
      <c r="B6042" s="38">
        <v>48158.0</v>
      </c>
      <c r="C6042" s="38" t="s">
        <v>9299</v>
      </c>
      <c r="D6042" s="38" t="str">
        <f>IFERROR(__xludf.DUMMYFUNCTION("REGEXREPLACE(C6042,""-\d+(.*)|--\d+(.*)"","""")"),"SAINT-HILAIRE-DE-LAVIT")</f>
        <v>SAINT-HILAIRE-DE-LAVIT</v>
      </c>
      <c r="E6042" s="38" t="s">
        <v>154</v>
      </c>
      <c r="F6042" s="38" t="s">
        <v>119</v>
      </c>
      <c r="G6042" s="49" t="str">
        <f t="shared" si="1"/>
        <v>48160</v>
      </c>
      <c r="H6042" s="49">
        <f t="shared" si="2"/>
        <v>48158</v>
      </c>
    </row>
    <row r="6043">
      <c r="A6043" s="48" t="s">
        <v>1883</v>
      </c>
      <c r="B6043" s="38">
        <v>39462.0</v>
      </c>
      <c r="C6043" s="38" t="s">
        <v>9300</v>
      </c>
      <c r="D6043" s="38" t="str">
        <f>IFERROR(__xludf.DUMMYFUNCTION("REGEXREPLACE(C6043,""-\d+(.*)|--\d+(.*)"","""")"),"ROCHEFORT-SUR-NENON")</f>
        <v>ROCHEFORT-SUR-NENON</v>
      </c>
      <c r="E6043" s="38" t="s">
        <v>400</v>
      </c>
      <c r="F6043" s="38" t="s">
        <v>214</v>
      </c>
      <c r="G6043" s="49" t="str">
        <f t="shared" si="1"/>
        <v>39700</v>
      </c>
      <c r="H6043" s="49">
        <f t="shared" si="2"/>
        <v>39462</v>
      </c>
    </row>
    <row r="6044">
      <c r="A6044" s="48" t="s">
        <v>3346</v>
      </c>
      <c r="B6044" s="38">
        <v>65114.0</v>
      </c>
      <c r="C6044" s="38" t="s">
        <v>9301</v>
      </c>
      <c r="D6044" s="38" t="str">
        <f>IFERROR(__xludf.DUMMYFUNCTION("REGEXREPLACE(C6044,""-\d+(.*)|--\d+(.*)"","""")"),"BUZON")</f>
        <v>BUZON</v>
      </c>
      <c r="E6044" s="38" t="s">
        <v>200</v>
      </c>
      <c r="F6044" s="38" t="s">
        <v>94</v>
      </c>
      <c r="G6044" s="49" t="str">
        <f t="shared" si="1"/>
        <v>65140</v>
      </c>
      <c r="H6044" s="49">
        <f t="shared" si="2"/>
        <v>65114</v>
      </c>
    </row>
    <row r="6045">
      <c r="A6045" s="48" t="s">
        <v>493</v>
      </c>
      <c r="B6045" s="38">
        <v>28389.0</v>
      </c>
      <c r="C6045" s="38" t="s">
        <v>9302</v>
      </c>
      <c r="D6045" s="38" t="str">
        <f>IFERROR(__xludf.DUMMYFUNCTION("REGEXREPLACE(C6045,""-\d+(.*)|--\d+(.*)"","""")"),"THIVILLE")</f>
        <v>THIVILLE</v>
      </c>
      <c r="E6045" s="38" t="s">
        <v>300</v>
      </c>
      <c r="F6045" s="38" t="s">
        <v>123</v>
      </c>
      <c r="G6045" s="49" t="str">
        <f t="shared" si="1"/>
        <v>28200</v>
      </c>
      <c r="H6045" s="49">
        <f t="shared" si="2"/>
        <v>28389</v>
      </c>
    </row>
    <row r="6046">
      <c r="A6046" s="48" t="s">
        <v>1066</v>
      </c>
      <c r="B6046" s="38">
        <v>49154.0</v>
      </c>
      <c r="C6046" s="38" t="s">
        <v>9303</v>
      </c>
      <c r="D6046" s="38" t="str">
        <f>IFERROR(__xludf.DUMMYFUNCTION("REGEXREPLACE(C6046,""-\d+(.*)|--\d+(.*)"","""")"),"GREZILLE")</f>
        <v>GREZILLE</v>
      </c>
      <c r="E6046" s="38" t="s">
        <v>653</v>
      </c>
      <c r="F6046" s="38" t="s">
        <v>180</v>
      </c>
      <c r="G6046" s="49" t="str">
        <f t="shared" si="1"/>
        <v>49320</v>
      </c>
      <c r="H6046" s="49">
        <f t="shared" si="2"/>
        <v>49154</v>
      </c>
    </row>
    <row r="6047">
      <c r="A6047" s="48" t="s">
        <v>460</v>
      </c>
      <c r="B6047" s="38">
        <v>33513.0</v>
      </c>
      <c r="C6047" s="38" t="s">
        <v>9304</v>
      </c>
      <c r="D6047" s="38" t="str">
        <f>IFERROR(__xludf.DUMMYFUNCTION("REGEXREPLACE(C6047,""-\d+(.*)|--\d+(.*)"","""")"),"SILLAS")</f>
        <v>SILLAS</v>
      </c>
      <c r="E6047" s="38" t="s">
        <v>462</v>
      </c>
      <c r="F6047" s="38" t="s">
        <v>252</v>
      </c>
      <c r="G6047" s="49" t="str">
        <f t="shared" si="1"/>
        <v>33690</v>
      </c>
      <c r="H6047" s="49">
        <f t="shared" si="2"/>
        <v>33513</v>
      </c>
    </row>
    <row r="6048">
      <c r="A6048" s="48" t="s">
        <v>2949</v>
      </c>
      <c r="B6048" s="38">
        <v>27221.0</v>
      </c>
      <c r="C6048" s="38" t="s">
        <v>9305</v>
      </c>
      <c r="D6048" s="38" t="str">
        <f>IFERROR(__xludf.DUMMYFUNCTION("REGEXREPLACE(C6048,""-\d+(.*)|--\d+(.*)"","""")"),"EPINAY")</f>
        <v>EPINAY</v>
      </c>
      <c r="E6048" s="38" t="s">
        <v>241</v>
      </c>
      <c r="F6048" s="38" t="s">
        <v>134</v>
      </c>
      <c r="G6048" s="49" t="str">
        <f t="shared" si="1"/>
        <v>27330</v>
      </c>
      <c r="H6048" s="49">
        <f t="shared" si="2"/>
        <v>27221</v>
      </c>
    </row>
    <row r="6049">
      <c r="A6049" s="48" t="s">
        <v>1540</v>
      </c>
      <c r="B6049" s="38">
        <v>70563.0</v>
      </c>
      <c r="C6049" s="38" t="s">
        <v>9306</v>
      </c>
      <c r="D6049" s="38" t="str">
        <f>IFERROR(__xludf.DUMMYFUNCTION("REGEXREPLACE(C6049,""-\d+(.*)|--\d+(.*)"","""")"),"VILLERS-LE-SEC")</f>
        <v>VILLERS-LE-SEC</v>
      </c>
      <c r="E6049" s="38" t="s">
        <v>956</v>
      </c>
      <c r="F6049" s="38" t="s">
        <v>214</v>
      </c>
      <c r="G6049" s="49" t="str">
        <f t="shared" si="1"/>
        <v>70000</v>
      </c>
      <c r="H6049" s="49">
        <f t="shared" si="2"/>
        <v>70563</v>
      </c>
    </row>
    <row r="6050">
      <c r="A6050" s="48" t="s">
        <v>9307</v>
      </c>
      <c r="B6050" s="38">
        <v>59616.0</v>
      </c>
      <c r="C6050" s="38" t="s">
        <v>9308</v>
      </c>
      <c r="D6050" s="38" t="str">
        <f>IFERROR(__xludf.DUMMYFUNCTION("REGEXREPLACE(C6050,""-\d+(.*)|--\d+(.*)"","""")"),"VIEUX-CONDE")</f>
        <v>VIEUX-CONDE</v>
      </c>
      <c r="E6050" s="38" t="s">
        <v>85</v>
      </c>
      <c r="F6050" s="38" t="s">
        <v>86</v>
      </c>
      <c r="G6050" s="49" t="str">
        <f t="shared" si="1"/>
        <v>59690</v>
      </c>
      <c r="H6050" s="49">
        <f t="shared" si="2"/>
        <v>59616</v>
      </c>
    </row>
    <row r="6051">
      <c r="A6051" s="48" t="s">
        <v>9309</v>
      </c>
      <c r="B6051" s="38">
        <v>60067.0</v>
      </c>
      <c r="C6051" s="38" t="s">
        <v>9310</v>
      </c>
      <c r="D6051" s="38" t="str">
        <f>IFERROR(__xludf.DUMMYFUNCTION("REGEXREPLACE(C6051,""-\d+(.*)|--\d+(.*)"","""")"),"BETHISY-SAINT-MARTIN")</f>
        <v>BETHISY-SAINT-MARTIN</v>
      </c>
      <c r="E6051" s="38" t="s">
        <v>112</v>
      </c>
      <c r="F6051" s="38" t="s">
        <v>113</v>
      </c>
      <c r="G6051" s="49" t="str">
        <f t="shared" si="1"/>
        <v>60320</v>
      </c>
      <c r="H6051" s="49">
        <f t="shared" si="2"/>
        <v>60067</v>
      </c>
    </row>
    <row r="6052">
      <c r="A6052" s="48" t="s">
        <v>9311</v>
      </c>
      <c r="B6052" s="38">
        <v>24064.0</v>
      </c>
      <c r="C6052" s="38" t="s">
        <v>9312</v>
      </c>
      <c r="D6052" s="38" t="str">
        <f>IFERROR(__xludf.DUMMYFUNCTION("REGEXREPLACE(C6052,""-\d+(.*)|--\d+(.*)"","""")"),"BRANTOME")</f>
        <v>BRANTOME</v>
      </c>
      <c r="E6052" s="38" t="s">
        <v>261</v>
      </c>
      <c r="F6052" s="38" t="s">
        <v>252</v>
      </c>
      <c r="G6052" s="49" t="str">
        <f t="shared" si="1"/>
        <v>24310</v>
      </c>
      <c r="H6052" s="49">
        <f t="shared" si="2"/>
        <v>24064</v>
      </c>
    </row>
    <row r="6053">
      <c r="A6053" s="48" t="s">
        <v>9313</v>
      </c>
      <c r="B6053" s="38">
        <v>39174.0</v>
      </c>
      <c r="C6053" s="38" t="s">
        <v>9314</v>
      </c>
      <c r="D6053" s="38" t="str">
        <f>IFERROR(__xludf.DUMMYFUNCTION("REGEXREPLACE(C6053,""-\d+(.*)|--\d+(.*)"","""")"),"COYRIERE")</f>
        <v>COYRIERE</v>
      </c>
      <c r="E6053" s="38" t="s">
        <v>400</v>
      </c>
      <c r="F6053" s="38" t="s">
        <v>214</v>
      </c>
      <c r="G6053" s="49" t="str">
        <f t="shared" si="1"/>
        <v>39200</v>
      </c>
      <c r="H6053" s="49">
        <f t="shared" si="2"/>
        <v>39174</v>
      </c>
    </row>
    <row r="6054">
      <c r="A6054" s="48" t="s">
        <v>9315</v>
      </c>
      <c r="B6054" s="38">
        <v>68227.0</v>
      </c>
      <c r="C6054" s="38" t="s">
        <v>9316</v>
      </c>
      <c r="D6054" s="38" t="str">
        <f>IFERROR(__xludf.DUMMYFUNCTION("REGEXREPLACE(C6054,""-\d+(.*)|--\d+(.*)"","""")"),"MUNTZENHEIM")</f>
        <v>MUNTZENHEIM</v>
      </c>
      <c r="E6054" s="38" t="s">
        <v>150</v>
      </c>
      <c r="F6054" s="38" t="s">
        <v>151</v>
      </c>
      <c r="G6054" s="49" t="str">
        <f t="shared" si="1"/>
        <v>68320</v>
      </c>
      <c r="H6054" s="49">
        <f t="shared" si="2"/>
        <v>68227</v>
      </c>
    </row>
    <row r="6055">
      <c r="A6055" s="48" t="s">
        <v>4853</v>
      </c>
      <c r="B6055" s="38">
        <v>32150.0</v>
      </c>
      <c r="C6055" s="38" t="s">
        <v>9317</v>
      </c>
      <c r="D6055" s="38" t="str">
        <f>IFERROR(__xludf.DUMMYFUNCTION("REGEXREPLACE(C6055,""-\d+(.*)|--\d+(.*)"","""")"),"GOUTZ")</f>
        <v>GOUTZ</v>
      </c>
      <c r="E6055" s="38" t="s">
        <v>440</v>
      </c>
      <c r="F6055" s="38" t="s">
        <v>94</v>
      </c>
      <c r="G6055" s="49" t="str">
        <f t="shared" si="1"/>
        <v>32500</v>
      </c>
      <c r="H6055" s="49">
        <f t="shared" si="2"/>
        <v>32150</v>
      </c>
    </row>
    <row r="6056">
      <c r="A6056" s="48" t="s">
        <v>1284</v>
      </c>
      <c r="B6056" s="38">
        <v>9227.0</v>
      </c>
      <c r="C6056" s="38" t="s">
        <v>9318</v>
      </c>
      <c r="D6056" s="38" t="str">
        <f>IFERROR(__xludf.DUMMYFUNCTION("REGEXREPLACE(C6056,""-\d+(.*)|--\d+(.*)"","""")"),"PEREILLE")</f>
        <v>PEREILLE</v>
      </c>
      <c r="E6056" s="38" t="s">
        <v>238</v>
      </c>
      <c r="F6056" s="38" t="s">
        <v>94</v>
      </c>
      <c r="G6056" s="49" t="str">
        <f t="shared" si="1"/>
        <v>09300</v>
      </c>
      <c r="H6056" s="49" t="str">
        <f t="shared" si="2"/>
        <v>09227</v>
      </c>
    </row>
    <row r="6057">
      <c r="A6057" s="48" t="s">
        <v>3379</v>
      </c>
      <c r="B6057" s="38">
        <v>54383.0</v>
      </c>
      <c r="C6057" s="38" t="s">
        <v>9319</v>
      </c>
      <c r="D6057" s="38" t="str">
        <f>IFERROR(__xludf.DUMMYFUNCTION("REGEXREPLACE(C6057,""-\d+(.*)|--\d+(.*)"","""")"),"MONT-SUR-MEURTHE")</f>
        <v>MONT-SUR-MEURTHE</v>
      </c>
      <c r="E6057" s="38" t="s">
        <v>548</v>
      </c>
      <c r="F6057" s="38" t="s">
        <v>195</v>
      </c>
      <c r="G6057" s="49" t="str">
        <f t="shared" si="1"/>
        <v>54360</v>
      </c>
      <c r="H6057" s="49">
        <f t="shared" si="2"/>
        <v>54383</v>
      </c>
    </row>
    <row r="6058">
      <c r="A6058" s="48" t="s">
        <v>2714</v>
      </c>
      <c r="B6058" s="38">
        <v>61454.0</v>
      </c>
      <c r="C6058" s="38" t="s">
        <v>9320</v>
      </c>
      <c r="D6058" s="38" t="str">
        <f>IFERROR(__xludf.DUMMYFUNCTION("REGEXREPLACE(C6058,""-\d+(.*)|--\d+(.*)"","""")"),"SAINTE-SCOLASSE-SUR-SARTHE")</f>
        <v>SAINTE-SCOLASSE-SUR-SARTHE</v>
      </c>
      <c r="E6058" s="38" t="s">
        <v>141</v>
      </c>
      <c r="F6058" s="38" t="s">
        <v>138</v>
      </c>
      <c r="G6058" s="49" t="str">
        <f t="shared" si="1"/>
        <v>61170</v>
      </c>
      <c r="H6058" s="49">
        <f t="shared" si="2"/>
        <v>61454</v>
      </c>
    </row>
    <row r="6059">
      <c r="A6059" s="48" t="s">
        <v>1872</v>
      </c>
      <c r="B6059" s="38">
        <v>80589.0</v>
      </c>
      <c r="C6059" s="38" t="s">
        <v>9321</v>
      </c>
      <c r="D6059" s="38" t="str">
        <f>IFERROR(__xludf.DUMMYFUNCTION("REGEXREPLACE(C6059,""-\d+(.*)|--\d+(.*)"","""")"),"NEUILLY-LE-DIEN")</f>
        <v>NEUILLY-LE-DIEN</v>
      </c>
      <c r="E6059" s="38" t="s">
        <v>224</v>
      </c>
      <c r="F6059" s="38" t="s">
        <v>113</v>
      </c>
      <c r="G6059" s="49" t="str">
        <f t="shared" si="1"/>
        <v>80150</v>
      </c>
      <c r="H6059" s="49">
        <f t="shared" si="2"/>
        <v>80589</v>
      </c>
    </row>
    <row r="6060">
      <c r="A6060" s="48" t="s">
        <v>4274</v>
      </c>
      <c r="B6060" s="38">
        <v>52400.0</v>
      </c>
      <c r="C6060" s="38" t="s">
        <v>9322</v>
      </c>
      <c r="D6060" s="38" t="str">
        <f>IFERROR(__xludf.DUMMYFUNCTION("REGEXREPLACE(C6060,""-\d+(.*)|--\d+(.*)"","""")"),"LE CHATELET-SUR-MEUSE")</f>
        <v>LE CHATELET-SUR-MEUSE</v>
      </c>
      <c r="E6060" s="38" t="s">
        <v>234</v>
      </c>
      <c r="F6060" s="38" t="s">
        <v>130</v>
      </c>
      <c r="G6060" s="49" t="str">
        <f t="shared" si="1"/>
        <v>52400</v>
      </c>
      <c r="H6060" s="49">
        <f t="shared" si="2"/>
        <v>52400</v>
      </c>
    </row>
    <row r="6061">
      <c r="A6061" s="48" t="s">
        <v>1274</v>
      </c>
      <c r="B6061" s="38">
        <v>33054.0</v>
      </c>
      <c r="C6061" s="38" t="s">
        <v>9323</v>
      </c>
      <c r="D6061" s="38" t="str">
        <f>IFERROR(__xludf.DUMMYFUNCTION("REGEXREPLACE(C6061,""-\d+(.*)|--\d+(.*)"","""")"),"BLAIGNAC")</f>
        <v>BLAIGNAC</v>
      </c>
      <c r="E6061" s="38" t="s">
        <v>462</v>
      </c>
      <c r="F6061" s="38" t="s">
        <v>252</v>
      </c>
      <c r="G6061" s="49" t="str">
        <f t="shared" si="1"/>
        <v>33190</v>
      </c>
      <c r="H6061" s="49">
        <f t="shared" si="2"/>
        <v>33054</v>
      </c>
    </row>
    <row r="6062">
      <c r="A6062" s="48" t="s">
        <v>8616</v>
      </c>
      <c r="B6062" s="38">
        <v>2558.0</v>
      </c>
      <c r="C6062" s="38" t="s">
        <v>9324</v>
      </c>
      <c r="D6062" s="38" t="str">
        <f>IFERROR(__xludf.DUMMYFUNCTION("REGEXREPLACE(C6062,""-\d+(.*)|--\d+(.*)"","""")"),"LE NOUVION-EN-THIERACHE")</f>
        <v>LE NOUVION-EN-THIERACHE</v>
      </c>
      <c r="E6062" s="38" t="s">
        <v>191</v>
      </c>
      <c r="F6062" s="38" t="s">
        <v>113</v>
      </c>
      <c r="G6062" s="49" t="str">
        <f t="shared" si="1"/>
        <v>02170</v>
      </c>
      <c r="H6062" s="49" t="str">
        <f t="shared" si="2"/>
        <v>02558</v>
      </c>
    </row>
    <row r="6063">
      <c r="A6063" s="48" t="s">
        <v>846</v>
      </c>
      <c r="B6063" s="38">
        <v>44014.0</v>
      </c>
      <c r="C6063" s="38" t="s">
        <v>9325</v>
      </c>
      <c r="D6063" s="38" t="str">
        <f>IFERROR(__xludf.DUMMYFUNCTION("REGEXREPLACE(C6063,""-\d+(.*)|--\d+(.*)"","""")"),"LE BIGNON")</f>
        <v>LE BIGNON</v>
      </c>
      <c r="E6063" s="38" t="s">
        <v>759</v>
      </c>
      <c r="F6063" s="38" t="s">
        <v>180</v>
      </c>
      <c r="G6063" s="49" t="str">
        <f t="shared" si="1"/>
        <v>44140</v>
      </c>
      <c r="H6063" s="49">
        <f t="shared" si="2"/>
        <v>44014</v>
      </c>
    </row>
    <row r="6064">
      <c r="A6064" s="48" t="s">
        <v>1300</v>
      </c>
      <c r="B6064" s="38">
        <v>60553.0</v>
      </c>
      <c r="C6064" s="38" t="s">
        <v>9326</v>
      </c>
      <c r="D6064" s="38" t="str">
        <f>IFERROR(__xludf.DUMMYFUNCTION("REGEXREPLACE(C6064,""-\d+(.*)|--\d+(.*)"","""")"),"ROUVILLERS")</f>
        <v>ROUVILLERS</v>
      </c>
      <c r="E6064" s="38" t="s">
        <v>112</v>
      </c>
      <c r="F6064" s="38" t="s">
        <v>113</v>
      </c>
      <c r="G6064" s="49" t="str">
        <f t="shared" si="1"/>
        <v>60190</v>
      </c>
      <c r="H6064" s="49">
        <f t="shared" si="2"/>
        <v>60553</v>
      </c>
    </row>
    <row r="6065">
      <c r="A6065" s="48" t="s">
        <v>1568</v>
      </c>
      <c r="B6065" s="38">
        <v>36122.0</v>
      </c>
      <c r="C6065" s="38" t="s">
        <v>9327</v>
      </c>
      <c r="D6065" s="38" t="str">
        <f>IFERROR(__xludf.DUMMYFUNCTION("REGEXREPLACE(C6065,""-\d+(.*)|--\d+(.*)"","""")"),"MEUNET-SUR-VATAN")</f>
        <v>MEUNET-SUR-VATAN</v>
      </c>
      <c r="E6065" s="38" t="s">
        <v>258</v>
      </c>
      <c r="F6065" s="38" t="s">
        <v>123</v>
      </c>
      <c r="G6065" s="49" t="str">
        <f t="shared" si="1"/>
        <v>36150</v>
      </c>
      <c r="H6065" s="49">
        <f t="shared" si="2"/>
        <v>36122</v>
      </c>
    </row>
    <row r="6066">
      <c r="A6066" s="48" t="s">
        <v>6323</v>
      </c>
      <c r="B6066" s="38">
        <v>50605.0</v>
      </c>
      <c r="C6066" s="38" t="s">
        <v>9328</v>
      </c>
      <c r="D6066" s="38" t="str">
        <f>IFERROR(__xludf.DUMMYFUNCTION("REGEXREPLACE(C6066,""-\d+(.*)|--\d+(.*)"","""")"),"TRELLY")</f>
        <v>TRELLY</v>
      </c>
      <c r="E6066" s="38" t="s">
        <v>157</v>
      </c>
      <c r="F6066" s="38" t="s">
        <v>138</v>
      </c>
      <c r="G6066" s="49" t="str">
        <f t="shared" si="1"/>
        <v>50660</v>
      </c>
      <c r="H6066" s="49">
        <f t="shared" si="2"/>
        <v>50605</v>
      </c>
    </row>
    <row r="6067">
      <c r="A6067" s="48" t="s">
        <v>4581</v>
      </c>
      <c r="B6067" s="38">
        <v>79046.0</v>
      </c>
      <c r="C6067" s="38" t="s">
        <v>9329</v>
      </c>
      <c r="D6067" s="38" t="str">
        <f>IFERROR(__xludf.DUMMYFUNCTION("REGEXREPLACE(C6067,""-\d+(.*)|--\d+(.*)"","""")"),"LE BOURDET")</f>
        <v>LE BOURDET</v>
      </c>
      <c r="E6067" s="38" t="s">
        <v>337</v>
      </c>
      <c r="F6067" s="38" t="s">
        <v>338</v>
      </c>
      <c r="G6067" s="49" t="str">
        <f t="shared" si="1"/>
        <v>79210</v>
      </c>
      <c r="H6067" s="49">
        <f t="shared" si="2"/>
        <v>79046</v>
      </c>
    </row>
    <row r="6068">
      <c r="A6068" s="48" t="s">
        <v>1272</v>
      </c>
      <c r="B6068" s="38">
        <v>51001.0</v>
      </c>
      <c r="C6068" s="38" t="s">
        <v>9330</v>
      </c>
      <c r="D6068" s="38" t="str">
        <f>IFERROR(__xludf.DUMMYFUNCTION("REGEXREPLACE(C6068,""-\d+(.*)|--\d+(.*)"","""")"),"ABLANCOURT")</f>
        <v>ABLANCOURT</v>
      </c>
      <c r="E6068" s="38" t="s">
        <v>129</v>
      </c>
      <c r="F6068" s="38" t="s">
        <v>130</v>
      </c>
      <c r="G6068" s="49" t="str">
        <f t="shared" si="1"/>
        <v>51240</v>
      </c>
      <c r="H6068" s="49">
        <f t="shared" si="2"/>
        <v>51001</v>
      </c>
    </row>
    <row r="6069">
      <c r="A6069" s="48" t="s">
        <v>5515</v>
      </c>
      <c r="B6069" s="38">
        <v>72168.0</v>
      </c>
      <c r="C6069" s="38" t="s">
        <v>9331</v>
      </c>
      <c r="D6069" s="38" t="str">
        <f>IFERROR(__xludf.DUMMYFUNCTION("REGEXREPLACE(C6069,""-\d+(.*)|--\d+(.*)"","""")"),"LOUE")</f>
        <v>LOUE</v>
      </c>
      <c r="E6069" s="38" t="s">
        <v>521</v>
      </c>
      <c r="F6069" s="38" t="s">
        <v>180</v>
      </c>
      <c r="G6069" s="49" t="str">
        <f t="shared" si="1"/>
        <v>72540</v>
      </c>
      <c r="H6069" s="49">
        <f t="shared" si="2"/>
        <v>72168</v>
      </c>
    </row>
    <row r="6070">
      <c r="A6070" s="48" t="s">
        <v>4467</v>
      </c>
      <c r="B6070" s="38">
        <v>53179.0</v>
      </c>
      <c r="C6070" s="38" t="s">
        <v>9332</v>
      </c>
      <c r="D6070" s="38" t="str">
        <f>IFERROR(__xludf.DUMMYFUNCTION("REGEXREPLACE(C6070,""-\d+(.*)|--\d+(.*)"","""")"),"PLACE")</f>
        <v>PLACE</v>
      </c>
      <c r="E6070" s="38" t="s">
        <v>518</v>
      </c>
      <c r="F6070" s="38" t="s">
        <v>180</v>
      </c>
      <c r="G6070" s="49" t="str">
        <f t="shared" si="1"/>
        <v>53240</v>
      </c>
      <c r="H6070" s="49">
        <f t="shared" si="2"/>
        <v>53179</v>
      </c>
    </row>
    <row r="6071">
      <c r="A6071" s="48" t="s">
        <v>816</v>
      </c>
      <c r="B6071" s="38">
        <v>11287.0</v>
      </c>
      <c r="C6071" s="38" t="s">
        <v>9333</v>
      </c>
      <c r="D6071" s="38" t="str">
        <f>IFERROR(__xludf.DUMMYFUNCTION("REGEXREPLACE(C6071,""-\d+(.*)|--\d+(.*)"","""")"),"PEYROLLES")</f>
        <v>PEYROLLES</v>
      </c>
      <c r="E6071" s="38" t="s">
        <v>278</v>
      </c>
      <c r="F6071" s="38" t="s">
        <v>119</v>
      </c>
      <c r="G6071" s="49" t="str">
        <f t="shared" si="1"/>
        <v>11190</v>
      </c>
      <c r="H6071" s="49">
        <f t="shared" si="2"/>
        <v>11287</v>
      </c>
    </row>
    <row r="6072">
      <c r="A6072" s="48" t="s">
        <v>9334</v>
      </c>
      <c r="B6072" s="38">
        <v>62446.0</v>
      </c>
      <c r="C6072" s="38" t="s">
        <v>9335</v>
      </c>
      <c r="D6072" s="38" t="str">
        <f>IFERROR(__xludf.DUMMYFUNCTION("REGEXREPLACE(C6072,""-\d+(.*)|--\d+(.*)"","""")"),"HESDIGNEUL-LES-BOULOGNE")</f>
        <v>HESDIGNEUL-LES-BOULOGNE</v>
      </c>
      <c r="E6072" s="38" t="s">
        <v>109</v>
      </c>
      <c r="F6072" s="38" t="s">
        <v>86</v>
      </c>
      <c r="G6072" s="49" t="str">
        <f t="shared" si="1"/>
        <v>62360</v>
      </c>
      <c r="H6072" s="49">
        <f t="shared" si="2"/>
        <v>62446</v>
      </c>
    </row>
    <row r="6073">
      <c r="A6073" s="48" t="s">
        <v>145</v>
      </c>
      <c r="B6073" s="38">
        <v>10074.0</v>
      </c>
      <c r="C6073" s="38" t="s">
        <v>9336</v>
      </c>
      <c r="D6073" s="38" t="str">
        <f>IFERROR(__xludf.DUMMYFUNCTION("REGEXREPLACE(C6073,""-\d+(.*)|--\d+(.*)"","""")"),"CHAMOY")</f>
        <v>CHAMOY</v>
      </c>
      <c r="E6073" s="38" t="s">
        <v>147</v>
      </c>
      <c r="F6073" s="38" t="s">
        <v>130</v>
      </c>
      <c r="G6073" s="49" t="str">
        <f t="shared" si="1"/>
        <v>10130</v>
      </c>
      <c r="H6073" s="49">
        <f t="shared" si="2"/>
        <v>10074</v>
      </c>
    </row>
    <row r="6074">
      <c r="A6074" s="48" t="s">
        <v>320</v>
      </c>
      <c r="B6074" s="38">
        <v>55532.0</v>
      </c>
      <c r="C6074" s="38" t="s">
        <v>9337</v>
      </c>
      <c r="D6074" s="38" t="str">
        <f>IFERROR(__xludf.DUMMYFUNCTION("REGEXREPLACE(C6074,""-\d+(.*)|--\d+(.*)"","""")"),"VAUBECOURT")</f>
        <v>VAUBECOURT</v>
      </c>
      <c r="E6074" s="38" t="s">
        <v>322</v>
      </c>
      <c r="F6074" s="38" t="s">
        <v>195</v>
      </c>
      <c r="G6074" s="49" t="str">
        <f t="shared" si="1"/>
        <v>55250</v>
      </c>
      <c r="H6074" s="49">
        <f t="shared" si="2"/>
        <v>55532</v>
      </c>
    </row>
    <row r="6075">
      <c r="A6075" s="48" t="s">
        <v>5425</v>
      </c>
      <c r="B6075" s="38">
        <v>82166.0</v>
      </c>
      <c r="C6075" s="38" t="s">
        <v>4389</v>
      </c>
      <c r="D6075" s="38" t="str">
        <f>IFERROR(__xludf.DUMMYFUNCTION("REGEXREPLACE(C6075,""-\d+(.*)|--\d+(.*)"","""")"),"SAINT-MICHEL")</f>
        <v>SAINT-MICHEL</v>
      </c>
      <c r="E6075" s="38" t="s">
        <v>570</v>
      </c>
      <c r="F6075" s="38" t="s">
        <v>94</v>
      </c>
      <c r="G6075" s="49" t="str">
        <f t="shared" si="1"/>
        <v>82340</v>
      </c>
      <c r="H6075" s="49">
        <f t="shared" si="2"/>
        <v>82166</v>
      </c>
    </row>
    <row r="6076">
      <c r="A6076" s="48" t="s">
        <v>1180</v>
      </c>
      <c r="B6076" s="38">
        <v>60457.0</v>
      </c>
      <c r="C6076" s="38" t="s">
        <v>9338</v>
      </c>
      <c r="D6076" s="38" t="str">
        <f>IFERROR(__xludf.DUMMYFUNCTION("REGEXREPLACE(C6076,""-\d+(.*)|--\d+(.*)"","""")"),"LA NEUVILLE-SAINT-PIERRE")</f>
        <v>LA NEUVILLE-SAINT-PIERRE</v>
      </c>
      <c r="E6076" s="38" t="s">
        <v>112</v>
      </c>
      <c r="F6076" s="38" t="s">
        <v>113</v>
      </c>
      <c r="G6076" s="49" t="str">
        <f t="shared" si="1"/>
        <v>60480</v>
      </c>
      <c r="H6076" s="49">
        <f t="shared" si="2"/>
        <v>60457</v>
      </c>
    </row>
    <row r="6077">
      <c r="A6077" s="48" t="s">
        <v>5273</v>
      </c>
      <c r="B6077" s="38">
        <v>53101.0</v>
      </c>
      <c r="C6077" s="38" t="s">
        <v>9339</v>
      </c>
      <c r="D6077" s="38" t="str">
        <f>IFERROR(__xludf.DUMMYFUNCTION("REGEXREPLACE(C6077,""-\d+(.*)|--\d+(.*)"","""")"),"FROMENTIERES")</f>
        <v>FROMENTIERES</v>
      </c>
      <c r="E6077" s="38" t="s">
        <v>518</v>
      </c>
      <c r="F6077" s="38" t="s">
        <v>180</v>
      </c>
      <c r="G6077" s="49" t="str">
        <f t="shared" si="1"/>
        <v>53200</v>
      </c>
      <c r="H6077" s="49">
        <f t="shared" si="2"/>
        <v>53101</v>
      </c>
    </row>
    <row r="6078">
      <c r="A6078" s="48" t="s">
        <v>9340</v>
      </c>
      <c r="B6078" s="38">
        <v>4156.0</v>
      </c>
      <c r="C6078" s="38" t="s">
        <v>9341</v>
      </c>
      <c r="D6078" s="38" t="str">
        <f>IFERROR(__xludf.DUMMYFUNCTION("REGEXREPLACE(C6078,""-\d+(.*)|--\d+(.*)"","""")"),"PUIMICHEL")</f>
        <v>PUIMICHEL</v>
      </c>
      <c r="E6078" s="38" t="s">
        <v>662</v>
      </c>
      <c r="F6078" s="38" t="s">
        <v>228</v>
      </c>
      <c r="G6078" s="49" t="str">
        <f t="shared" si="1"/>
        <v>04700</v>
      </c>
      <c r="H6078" s="49" t="str">
        <f t="shared" si="2"/>
        <v>04156</v>
      </c>
    </row>
    <row r="6079">
      <c r="A6079" s="48" t="s">
        <v>9342</v>
      </c>
      <c r="B6079" s="38">
        <v>48039.0</v>
      </c>
      <c r="C6079" s="38" t="s">
        <v>9343</v>
      </c>
      <c r="D6079" s="38" t="str">
        <f>IFERROR(__xludf.DUMMYFUNCTION("REGEXREPLACE(C6079,""-\d+(.*)|--\d+(.*)"","""")"),"CHANAC")</f>
        <v>CHANAC</v>
      </c>
      <c r="E6079" s="38" t="s">
        <v>154</v>
      </c>
      <c r="F6079" s="38" t="s">
        <v>119</v>
      </c>
      <c r="G6079" s="49" t="str">
        <f t="shared" si="1"/>
        <v>48230</v>
      </c>
      <c r="H6079" s="49">
        <f t="shared" si="2"/>
        <v>48039</v>
      </c>
    </row>
    <row r="6080">
      <c r="A6080" s="48" t="s">
        <v>3798</v>
      </c>
      <c r="B6080" s="38">
        <v>85276.0</v>
      </c>
      <c r="C6080" s="38" t="s">
        <v>9344</v>
      </c>
      <c r="D6080" s="38" t="str">
        <f>IFERROR(__xludf.DUMMYFUNCTION("REGEXREPLACE(C6080,""-\d+(.*)|--\d+(.*)"","""")"),"SAINT-VINCENT-STERLANGES")</f>
        <v>SAINT-VINCENT-STERLANGES</v>
      </c>
      <c r="E6080" s="38" t="s">
        <v>179</v>
      </c>
      <c r="F6080" s="38" t="s">
        <v>180</v>
      </c>
      <c r="G6080" s="49" t="str">
        <f t="shared" si="1"/>
        <v>85110</v>
      </c>
      <c r="H6080" s="49">
        <f t="shared" si="2"/>
        <v>85276</v>
      </c>
    </row>
    <row r="6081">
      <c r="A6081" s="48" t="s">
        <v>9345</v>
      </c>
      <c r="B6081" s="38">
        <v>22313.0</v>
      </c>
      <c r="C6081" s="38" t="s">
        <v>9346</v>
      </c>
      <c r="D6081" s="38" t="str">
        <f>IFERROR(__xludf.DUMMYFUNCTION("REGEXREPLACE(C6081,""-\d+(.*)|--\d+(.*)"","""")"),"SAINT-MARTIN-DES-PRES")</f>
        <v>SAINT-MARTIN-DES-PRES</v>
      </c>
      <c r="E6081" s="38" t="s">
        <v>89</v>
      </c>
      <c r="F6081" s="38" t="s">
        <v>90</v>
      </c>
      <c r="G6081" s="49" t="str">
        <f t="shared" si="1"/>
        <v>22320</v>
      </c>
      <c r="H6081" s="49">
        <f t="shared" si="2"/>
        <v>22313</v>
      </c>
    </row>
    <row r="6082">
      <c r="A6082" s="48" t="s">
        <v>1756</v>
      </c>
      <c r="B6082" s="38">
        <v>28291.0</v>
      </c>
      <c r="C6082" s="38" t="s">
        <v>9347</v>
      </c>
      <c r="D6082" s="38" t="str">
        <f>IFERROR(__xludf.DUMMYFUNCTION("REGEXREPLACE(C6082,""-\d+(.*)|--\d+(.*)"","""")"),"OUARVILLE")</f>
        <v>OUARVILLE</v>
      </c>
      <c r="E6082" s="38" t="s">
        <v>300</v>
      </c>
      <c r="F6082" s="38" t="s">
        <v>123</v>
      </c>
      <c r="G6082" s="49" t="str">
        <f t="shared" si="1"/>
        <v>28150</v>
      </c>
      <c r="H6082" s="49">
        <f t="shared" si="2"/>
        <v>28291</v>
      </c>
    </row>
    <row r="6083">
      <c r="A6083" s="48" t="s">
        <v>2575</v>
      </c>
      <c r="B6083" s="38">
        <v>91109.0</v>
      </c>
      <c r="C6083" s="38" t="s">
        <v>9348</v>
      </c>
      <c r="D6083" s="38" t="str">
        <f>IFERROR(__xludf.DUMMYFUNCTION("REGEXREPLACE(C6083,""-\d+(.*)|--\d+(.*)"","""")"),"BRIERES-LES-SCELLES")</f>
        <v>BRIERES-LES-SCELLES</v>
      </c>
      <c r="E6083" s="38" t="s">
        <v>756</v>
      </c>
      <c r="F6083" s="38" t="s">
        <v>245</v>
      </c>
      <c r="G6083" s="49" t="str">
        <f t="shared" si="1"/>
        <v>91150</v>
      </c>
      <c r="H6083" s="49">
        <f t="shared" si="2"/>
        <v>91109</v>
      </c>
    </row>
    <row r="6084">
      <c r="A6084" s="48" t="s">
        <v>507</v>
      </c>
      <c r="B6084" s="38">
        <v>8411.0</v>
      </c>
      <c r="C6084" s="38" t="s">
        <v>9349</v>
      </c>
      <c r="D6084" s="38" t="str">
        <f>IFERROR(__xludf.DUMMYFUNCTION("REGEXREPLACE(C6084,""-\d+(.*)|--\d+(.*)"","""")"),"SEMUY")</f>
        <v>SEMUY</v>
      </c>
      <c r="E6084" s="38" t="s">
        <v>327</v>
      </c>
      <c r="F6084" s="38" t="s">
        <v>130</v>
      </c>
      <c r="G6084" s="49" t="str">
        <f t="shared" si="1"/>
        <v>08130</v>
      </c>
      <c r="H6084" s="49" t="str">
        <f t="shared" si="2"/>
        <v>08411</v>
      </c>
    </row>
    <row r="6085">
      <c r="A6085" s="48" t="s">
        <v>3196</v>
      </c>
      <c r="B6085" s="38">
        <v>1072.0</v>
      </c>
      <c r="C6085" s="38" t="s">
        <v>9350</v>
      </c>
      <c r="D6085" s="38" t="str">
        <f>IFERROR(__xludf.DUMMYFUNCTION("REGEXREPLACE(C6085,""-\d+(.*)|--\d+(.*)"","""")"),"CEYZERIAT")</f>
        <v>CEYZERIAT</v>
      </c>
      <c r="E6085" s="38" t="s">
        <v>255</v>
      </c>
      <c r="F6085" s="38" t="s">
        <v>102</v>
      </c>
      <c r="G6085" s="49" t="str">
        <f t="shared" si="1"/>
        <v>01250</v>
      </c>
      <c r="H6085" s="49" t="str">
        <f t="shared" si="2"/>
        <v>01072</v>
      </c>
    </row>
    <row r="6086">
      <c r="A6086" s="48" t="s">
        <v>3368</v>
      </c>
      <c r="B6086" s="38">
        <v>61178.0</v>
      </c>
      <c r="C6086" s="38" t="s">
        <v>9351</v>
      </c>
      <c r="D6086" s="38" t="str">
        <f>IFERROR(__xludf.DUMMYFUNCTION("REGEXREPLACE(C6086,""-\d+(.*)|--\d+(.*)"","""")"),"LA FRESNAIE-FAYEL")</f>
        <v>LA FRESNAIE-FAYEL</v>
      </c>
      <c r="E6086" s="38" t="s">
        <v>141</v>
      </c>
      <c r="F6086" s="38" t="s">
        <v>138</v>
      </c>
      <c r="G6086" s="49" t="str">
        <f t="shared" si="1"/>
        <v>61230</v>
      </c>
      <c r="H6086" s="49">
        <f t="shared" si="2"/>
        <v>61178</v>
      </c>
    </row>
    <row r="6087">
      <c r="A6087" s="48" t="s">
        <v>2554</v>
      </c>
      <c r="B6087" s="38">
        <v>95295.0</v>
      </c>
      <c r="C6087" s="38" t="s">
        <v>9352</v>
      </c>
      <c r="D6087" s="38" t="str">
        <f>IFERROR(__xludf.DUMMYFUNCTION("REGEXREPLACE(C6087,""-\d+(.*)|--\d+(.*)"","""")"),"GUIRY-EN-VEXIN")</f>
        <v>GUIRY-EN-VEXIN</v>
      </c>
      <c r="E6087" s="38" t="s">
        <v>541</v>
      </c>
      <c r="F6087" s="38" t="s">
        <v>245</v>
      </c>
      <c r="G6087" s="49" t="str">
        <f t="shared" si="1"/>
        <v>95450</v>
      </c>
      <c r="H6087" s="49">
        <f t="shared" si="2"/>
        <v>95295</v>
      </c>
    </row>
    <row r="6088">
      <c r="A6088" s="48" t="s">
        <v>8883</v>
      </c>
      <c r="B6088" s="38">
        <v>39128.0</v>
      </c>
      <c r="C6088" s="38" t="s">
        <v>9353</v>
      </c>
      <c r="D6088" s="38" t="str">
        <f>IFERROR(__xludf.DUMMYFUNCTION("REGEXREPLACE(C6088,""-\d+(.*)|--\d+(.*)"","""")"),"CHAUSSIN")</f>
        <v>CHAUSSIN</v>
      </c>
      <c r="E6088" s="38" t="s">
        <v>400</v>
      </c>
      <c r="F6088" s="38" t="s">
        <v>214</v>
      </c>
      <c r="G6088" s="49" t="str">
        <f t="shared" si="1"/>
        <v>39120</v>
      </c>
      <c r="H6088" s="49">
        <f t="shared" si="2"/>
        <v>39128</v>
      </c>
    </row>
    <row r="6089">
      <c r="A6089" s="48" t="s">
        <v>9354</v>
      </c>
      <c r="B6089" s="38">
        <v>69259.0</v>
      </c>
      <c r="C6089" s="38" t="s">
        <v>9355</v>
      </c>
      <c r="D6089" s="38" t="str">
        <f>IFERROR(__xludf.DUMMYFUNCTION("REGEXREPLACE(C6089,""-\d+(.*)|--\d+(.*)"","""")"),"VENISSIEUX")</f>
        <v>VENISSIEUX</v>
      </c>
      <c r="E6089" s="38" t="s">
        <v>350</v>
      </c>
      <c r="F6089" s="38" t="s">
        <v>102</v>
      </c>
      <c r="G6089" s="49" t="str">
        <f t="shared" si="1"/>
        <v>69200</v>
      </c>
      <c r="H6089" s="49">
        <f t="shared" si="2"/>
        <v>69259</v>
      </c>
    </row>
    <row r="6090">
      <c r="A6090" s="48" t="s">
        <v>2659</v>
      </c>
      <c r="B6090" s="38">
        <v>80056.0</v>
      </c>
      <c r="C6090" s="38" t="s">
        <v>9356</v>
      </c>
      <c r="D6090" s="38" t="str">
        <f>IFERROR(__xludf.DUMMYFUNCTION("REGEXREPLACE(C6090,""-\d+(.*)|--\d+(.*)"","""")"),"BAVELINCOURT")</f>
        <v>BAVELINCOURT</v>
      </c>
      <c r="E6090" s="38" t="s">
        <v>224</v>
      </c>
      <c r="F6090" s="38" t="s">
        <v>113</v>
      </c>
      <c r="G6090" s="49" t="str">
        <f t="shared" si="1"/>
        <v>80260</v>
      </c>
      <c r="H6090" s="49">
        <f t="shared" si="2"/>
        <v>80056</v>
      </c>
    </row>
    <row r="6091">
      <c r="A6091" s="48" t="s">
        <v>4065</v>
      </c>
      <c r="B6091" s="38">
        <v>21710.0</v>
      </c>
      <c r="C6091" s="38" t="s">
        <v>9357</v>
      </c>
      <c r="D6091" s="38" t="str">
        <f>IFERROR(__xludf.DUMMYFUNCTION("REGEXREPLACE(C6091,""-\d+(.*)|--\d+(.*)"","""")"),"VITTEAUX")</f>
        <v>VITTEAUX</v>
      </c>
      <c r="E6091" s="38" t="s">
        <v>105</v>
      </c>
      <c r="F6091" s="38" t="s">
        <v>106</v>
      </c>
      <c r="G6091" s="49" t="str">
        <f t="shared" si="1"/>
        <v>21350</v>
      </c>
      <c r="H6091" s="49">
        <f t="shared" si="2"/>
        <v>21710</v>
      </c>
    </row>
    <row r="6092">
      <c r="A6092" s="48" t="s">
        <v>8570</v>
      </c>
      <c r="B6092" s="38">
        <v>68240.0</v>
      </c>
      <c r="C6092" s="38" t="s">
        <v>9358</v>
      </c>
      <c r="D6092" s="38" t="str">
        <f>IFERROR(__xludf.DUMMYFUNCTION("REGEXREPLACE(C6092,""-\d+(.*)|--\d+(.*)"","""")"),"OBERDORF")</f>
        <v>OBERDORF</v>
      </c>
      <c r="E6092" s="38" t="s">
        <v>150</v>
      </c>
      <c r="F6092" s="38" t="s">
        <v>151</v>
      </c>
      <c r="G6092" s="49" t="str">
        <f t="shared" si="1"/>
        <v>68960</v>
      </c>
      <c r="H6092" s="49">
        <f t="shared" si="2"/>
        <v>68240</v>
      </c>
    </row>
    <row r="6093">
      <c r="A6093" s="48" t="s">
        <v>4891</v>
      </c>
      <c r="B6093" s="38">
        <v>76703.0</v>
      </c>
      <c r="C6093" s="38" t="s">
        <v>9359</v>
      </c>
      <c r="D6093" s="38" t="str">
        <f>IFERROR(__xludf.DUMMYFUNCTION("REGEXREPLACE(C6093,""-\d+(.*)|--\d+(.*)"","""")"),"TOUFFREVILLE-SUR-EU")</f>
        <v>TOUFFREVILLE-SUR-EU</v>
      </c>
      <c r="E6093" s="38" t="s">
        <v>133</v>
      </c>
      <c r="F6093" s="38" t="s">
        <v>134</v>
      </c>
      <c r="G6093" s="49" t="str">
        <f t="shared" si="1"/>
        <v>76910</v>
      </c>
      <c r="H6093" s="49">
        <f t="shared" si="2"/>
        <v>76703</v>
      </c>
    </row>
    <row r="6094">
      <c r="A6094" s="48" t="s">
        <v>301</v>
      </c>
      <c r="B6094" s="38">
        <v>57238.0</v>
      </c>
      <c r="C6094" s="38" t="s">
        <v>9360</v>
      </c>
      <c r="D6094" s="38" t="str">
        <f>IFERROR(__xludf.DUMMYFUNCTION("REGEXREPLACE(C6094,""-\d+(.*)|--\d+(.*)"","""")"),"FRESNES-EN-SAULNOIS")</f>
        <v>FRESNES-EN-SAULNOIS</v>
      </c>
      <c r="E6094" s="38" t="s">
        <v>303</v>
      </c>
      <c r="F6094" s="38" t="s">
        <v>195</v>
      </c>
      <c r="G6094" s="49" t="str">
        <f t="shared" si="1"/>
        <v>57170</v>
      </c>
      <c r="H6094" s="49">
        <f t="shared" si="2"/>
        <v>57238</v>
      </c>
    </row>
    <row r="6095">
      <c r="A6095" s="48" t="s">
        <v>3031</v>
      </c>
      <c r="B6095" s="38">
        <v>21364.0</v>
      </c>
      <c r="C6095" s="38" t="s">
        <v>9361</v>
      </c>
      <c r="D6095" s="38" t="str">
        <f>IFERROR(__xludf.DUMMYFUNCTION("REGEXREPLACE(C6095,""-\d+(.*)|--\d+(.*)"","""")"),"MAGNY-LAMBERT")</f>
        <v>MAGNY-LAMBERT</v>
      </c>
      <c r="E6095" s="38" t="s">
        <v>105</v>
      </c>
      <c r="F6095" s="38" t="s">
        <v>106</v>
      </c>
      <c r="G6095" s="49" t="str">
        <f t="shared" si="1"/>
        <v>21450</v>
      </c>
      <c r="H6095" s="49">
        <f t="shared" si="2"/>
        <v>21364</v>
      </c>
    </row>
    <row r="6096">
      <c r="A6096" s="48" t="s">
        <v>9362</v>
      </c>
      <c r="B6096" s="38">
        <v>1397.0</v>
      </c>
      <c r="C6096" s="38" t="s">
        <v>9363</v>
      </c>
      <c r="D6096" s="38" t="str">
        <f>IFERROR(__xludf.DUMMYFUNCTION("REGEXREPLACE(C6096,""-\d+(.*)|--\d+(.*)"","""")"),"SAUVERNY")</f>
        <v>SAUVERNY</v>
      </c>
      <c r="E6096" s="38" t="s">
        <v>255</v>
      </c>
      <c r="F6096" s="38" t="s">
        <v>102</v>
      </c>
      <c r="G6096" s="49" t="str">
        <f t="shared" si="1"/>
        <v>01220</v>
      </c>
      <c r="H6096" s="49" t="str">
        <f t="shared" si="2"/>
        <v>01397</v>
      </c>
    </row>
    <row r="6097">
      <c r="A6097" s="48" t="s">
        <v>3015</v>
      </c>
      <c r="B6097" s="38">
        <v>16318.0</v>
      </c>
      <c r="C6097" s="38" t="s">
        <v>9364</v>
      </c>
      <c r="D6097" s="38" t="str">
        <f>IFERROR(__xludf.DUMMYFUNCTION("REGEXREPLACE(C6097,""-\d+(.*)|--\d+(.*)"","""")"),"SAINT-FRONT")</f>
        <v>SAINT-FRONT</v>
      </c>
      <c r="E6097" s="38" t="s">
        <v>429</v>
      </c>
      <c r="F6097" s="38" t="s">
        <v>338</v>
      </c>
      <c r="G6097" s="49" t="str">
        <f t="shared" si="1"/>
        <v>16460</v>
      </c>
      <c r="H6097" s="49">
        <f t="shared" si="2"/>
        <v>16318</v>
      </c>
    </row>
    <row r="6098">
      <c r="A6098" s="48" t="s">
        <v>9365</v>
      </c>
      <c r="B6098" s="38">
        <v>90036.0</v>
      </c>
      <c r="C6098" s="38" t="s">
        <v>9366</v>
      </c>
      <c r="D6098" s="38" t="str">
        <f>IFERROR(__xludf.DUMMYFUNCTION("REGEXREPLACE(C6098,""-\d+(.*)|--\d+(.*)"","""")"),"EGUENIGUE")</f>
        <v>EGUENIGUE</v>
      </c>
      <c r="E6098" s="38" t="s">
        <v>1283</v>
      </c>
      <c r="F6098" s="38" t="s">
        <v>214</v>
      </c>
      <c r="G6098" s="49" t="str">
        <f t="shared" si="1"/>
        <v>90150</v>
      </c>
      <c r="H6098" s="49">
        <f t="shared" si="2"/>
        <v>90036</v>
      </c>
    </row>
    <row r="6099">
      <c r="A6099" s="48" t="s">
        <v>2723</v>
      </c>
      <c r="B6099" s="38">
        <v>50630.0</v>
      </c>
      <c r="C6099" s="38" t="s">
        <v>9367</v>
      </c>
      <c r="D6099" s="38" t="str">
        <f>IFERROR(__xludf.DUMMYFUNCTION("REGEXREPLACE(C6099,""-\d+(.*)|--\d+(.*)"","""")"),"VESSEY")</f>
        <v>VESSEY</v>
      </c>
      <c r="E6099" s="38" t="s">
        <v>157</v>
      </c>
      <c r="F6099" s="38" t="s">
        <v>138</v>
      </c>
      <c r="G6099" s="49" t="str">
        <f t="shared" si="1"/>
        <v>50170</v>
      </c>
      <c r="H6099" s="49">
        <f t="shared" si="2"/>
        <v>50630</v>
      </c>
    </row>
    <row r="6100">
      <c r="A6100" s="48" t="s">
        <v>222</v>
      </c>
      <c r="B6100" s="38">
        <v>80773.0</v>
      </c>
      <c r="C6100" s="38" t="s">
        <v>1443</v>
      </c>
      <c r="D6100" s="38" t="str">
        <f>IFERROR(__xludf.DUMMYFUNCTION("REGEXREPLACE(C6100,""-\d+(.*)|--\d+(.*)"","""")"),"VADENCOURT")</f>
        <v>VADENCOURT</v>
      </c>
      <c r="E6100" s="38" t="s">
        <v>224</v>
      </c>
      <c r="F6100" s="38" t="s">
        <v>113</v>
      </c>
      <c r="G6100" s="49" t="str">
        <f t="shared" si="1"/>
        <v>80560</v>
      </c>
      <c r="H6100" s="49">
        <f t="shared" si="2"/>
        <v>80773</v>
      </c>
    </row>
    <row r="6101">
      <c r="A6101" s="48" t="s">
        <v>9368</v>
      </c>
      <c r="B6101" s="38">
        <v>12211.0</v>
      </c>
      <c r="C6101" s="38" t="s">
        <v>9369</v>
      </c>
      <c r="D6101" s="38" t="str">
        <f>IFERROR(__xludf.DUMMYFUNCTION("REGEXREPLACE(C6101,""-\d+(.*)|--\d+(.*)"","""")"),"SAINT-ANDRE-DE-VEZINES")</f>
        <v>SAINT-ANDRE-DE-VEZINES</v>
      </c>
      <c r="E6101" s="38" t="s">
        <v>465</v>
      </c>
      <c r="F6101" s="38" t="s">
        <v>94</v>
      </c>
      <c r="G6101" s="49" t="str">
        <f t="shared" si="1"/>
        <v>12720</v>
      </c>
      <c r="H6101" s="49">
        <f t="shared" si="2"/>
        <v>12211</v>
      </c>
    </row>
    <row r="6102">
      <c r="A6102" s="48" t="s">
        <v>398</v>
      </c>
      <c r="B6102" s="38">
        <v>39372.0</v>
      </c>
      <c r="C6102" s="38" t="s">
        <v>9370</v>
      </c>
      <c r="D6102" s="38" t="str">
        <f>IFERROR(__xludf.DUMMYFUNCTION("REGEXREPLACE(C6102,""-\d+(.*)|--\d+(.*)"","""")"),"MOURNANS-CHARBONNY")</f>
        <v>MOURNANS-CHARBONNY</v>
      </c>
      <c r="E6102" s="38" t="s">
        <v>400</v>
      </c>
      <c r="F6102" s="38" t="s">
        <v>214</v>
      </c>
      <c r="G6102" s="49" t="str">
        <f t="shared" si="1"/>
        <v>39250</v>
      </c>
      <c r="H6102" s="49">
        <f t="shared" si="2"/>
        <v>39372</v>
      </c>
    </row>
    <row r="6103">
      <c r="A6103" s="48" t="s">
        <v>8404</v>
      </c>
      <c r="B6103" s="38" t="s">
        <v>9371</v>
      </c>
      <c r="C6103" s="38" t="s">
        <v>9372</v>
      </c>
      <c r="D6103" s="38" t="str">
        <f>IFERROR(__xludf.DUMMYFUNCTION("REGEXREPLACE(C6103,""-\d+(.*)|--\d+(.*)"","""")"),"SCOLCA")</f>
        <v>SCOLCA</v>
      </c>
      <c r="E6103" s="38" t="s">
        <v>743</v>
      </c>
      <c r="F6103" s="38" t="s">
        <v>607</v>
      </c>
      <c r="G6103" s="49" t="str">
        <f t="shared" si="1"/>
        <v>20290</v>
      </c>
      <c r="H6103" s="49" t="str">
        <f t="shared" si="2"/>
        <v>2B274</v>
      </c>
    </row>
    <row r="6104">
      <c r="A6104" s="48" t="s">
        <v>9373</v>
      </c>
      <c r="B6104" s="38">
        <v>84090.0</v>
      </c>
      <c r="C6104" s="38" t="s">
        <v>9374</v>
      </c>
      <c r="D6104" s="38" t="str">
        <f>IFERROR(__xludf.DUMMYFUNCTION("REGEXREPLACE(C6104,""-\d+(.*)|--\d+(.*)"","""")"),"PEYPIN-D'AIGUES")</f>
        <v>PEYPIN-D'AIGUES</v>
      </c>
      <c r="E6104" s="38" t="s">
        <v>1026</v>
      </c>
      <c r="F6104" s="38" t="s">
        <v>228</v>
      </c>
      <c r="G6104" s="49" t="str">
        <f t="shared" si="1"/>
        <v>84240</v>
      </c>
      <c r="H6104" s="49">
        <f t="shared" si="2"/>
        <v>84090</v>
      </c>
    </row>
    <row r="6105">
      <c r="A6105" s="48" t="s">
        <v>2882</v>
      </c>
      <c r="B6105" s="38">
        <v>76415.0</v>
      </c>
      <c r="C6105" s="38" t="s">
        <v>9375</v>
      </c>
      <c r="D6105" s="38" t="str">
        <f>IFERROR(__xludf.DUMMYFUNCTION("REGEXREPLACE(C6105,""-\d+(.*)|--\d+(.*)"","""")"),"MASSY")</f>
        <v>MASSY</v>
      </c>
      <c r="E6105" s="38" t="s">
        <v>133</v>
      </c>
      <c r="F6105" s="38" t="s">
        <v>134</v>
      </c>
      <c r="G6105" s="49" t="str">
        <f t="shared" si="1"/>
        <v>76270</v>
      </c>
      <c r="H6105" s="49">
        <f t="shared" si="2"/>
        <v>76415</v>
      </c>
    </row>
    <row r="6106">
      <c r="A6106" s="48" t="s">
        <v>9376</v>
      </c>
      <c r="B6106" s="38">
        <v>14599.0</v>
      </c>
      <c r="C6106" s="38" t="s">
        <v>9377</v>
      </c>
      <c r="D6106" s="38" t="str">
        <f>IFERROR(__xludf.DUMMYFUNCTION("REGEXREPLACE(C6106,""-\d+(.*)|--\d+(.*)"","""")"),"SAINT-JULIEN-DE-MAILLOC")</f>
        <v>SAINT-JULIEN-DE-MAILLOC</v>
      </c>
      <c r="E6106" s="38" t="s">
        <v>137</v>
      </c>
      <c r="F6106" s="38" t="s">
        <v>138</v>
      </c>
      <c r="G6106" s="49" t="str">
        <f t="shared" si="1"/>
        <v>14290</v>
      </c>
      <c r="H6106" s="49">
        <f t="shared" si="2"/>
        <v>14599</v>
      </c>
    </row>
    <row r="6107">
      <c r="A6107" s="48" t="s">
        <v>9378</v>
      </c>
      <c r="B6107" s="38">
        <v>11297.0</v>
      </c>
      <c r="C6107" s="38" t="s">
        <v>9379</v>
      </c>
      <c r="D6107" s="38" t="str">
        <f>IFERROR(__xludf.DUMMYFUNCTION("REGEXREPLACE(C6107,""-\d+(.*)|--\d+(.*)"","""")"),"PRADELLES-CABARDES")</f>
        <v>PRADELLES-CABARDES</v>
      </c>
      <c r="E6107" s="38" t="s">
        <v>278</v>
      </c>
      <c r="F6107" s="38" t="s">
        <v>119</v>
      </c>
      <c r="G6107" s="49" t="str">
        <f t="shared" si="1"/>
        <v>11380</v>
      </c>
      <c r="H6107" s="49">
        <f t="shared" si="2"/>
        <v>11297</v>
      </c>
    </row>
    <row r="6108">
      <c r="A6108" s="48" t="s">
        <v>1669</v>
      </c>
      <c r="B6108" s="38">
        <v>21619.0</v>
      </c>
      <c r="C6108" s="38" t="s">
        <v>9380</v>
      </c>
      <c r="D6108" s="38" t="str">
        <f>IFERROR(__xludf.DUMMYFUNCTION("REGEXREPLACE(C6108,""-\d+(.*)|--\d+(.*)"","""")"),"TANAY")</f>
        <v>TANAY</v>
      </c>
      <c r="E6108" s="38" t="s">
        <v>105</v>
      </c>
      <c r="F6108" s="38" t="s">
        <v>106</v>
      </c>
      <c r="G6108" s="49" t="str">
        <f t="shared" si="1"/>
        <v>21310</v>
      </c>
      <c r="H6108" s="49">
        <f t="shared" si="2"/>
        <v>21619</v>
      </c>
    </row>
    <row r="6109">
      <c r="A6109" s="48" t="s">
        <v>9381</v>
      </c>
      <c r="B6109" s="38">
        <v>68111.0</v>
      </c>
      <c r="C6109" s="38" t="s">
        <v>9382</v>
      </c>
      <c r="D6109" s="38" t="str">
        <f>IFERROR(__xludf.DUMMYFUNCTION("REGEXREPLACE(C6109,""-\d+(.*)|--\d+(.*)"","""")"),"GUEBERSCHWIHR")</f>
        <v>GUEBERSCHWIHR</v>
      </c>
      <c r="E6109" s="38" t="s">
        <v>150</v>
      </c>
      <c r="F6109" s="38" t="s">
        <v>151</v>
      </c>
      <c r="G6109" s="49" t="str">
        <f t="shared" si="1"/>
        <v>68420</v>
      </c>
      <c r="H6109" s="49">
        <f t="shared" si="2"/>
        <v>68111</v>
      </c>
    </row>
    <row r="6110">
      <c r="A6110" s="48" t="s">
        <v>2710</v>
      </c>
      <c r="B6110" s="38">
        <v>68075.0</v>
      </c>
      <c r="C6110" s="38" t="s">
        <v>9383</v>
      </c>
      <c r="D6110" s="38" t="str">
        <f>IFERROR(__xludf.DUMMYFUNCTION("REGEXREPLACE(C6110,""-\d+(.*)|--\d+(.*)"","""")"),"DURMENACH")</f>
        <v>DURMENACH</v>
      </c>
      <c r="E6110" s="38" t="s">
        <v>150</v>
      </c>
      <c r="F6110" s="38" t="s">
        <v>151</v>
      </c>
      <c r="G6110" s="49" t="str">
        <f t="shared" si="1"/>
        <v>68480</v>
      </c>
      <c r="H6110" s="49">
        <f t="shared" si="2"/>
        <v>68075</v>
      </c>
    </row>
    <row r="6111">
      <c r="A6111" s="48" t="s">
        <v>3226</v>
      </c>
      <c r="B6111" s="38">
        <v>61011.0</v>
      </c>
      <c r="C6111" s="38" t="s">
        <v>9384</v>
      </c>
      <c r="D6111" s="38" t="str">
        <f>IFERROR(__xludf.DUMMYFUNCTION("REGEXREPLACE(C6111,""-\d+(.*)|--\d+(.*)"","""")"),"AUBUSSON")</f>
        <v>AUBUSSON</v>
      </c>
      <c r="E6111" s="38" t="s">
        <v>141</v>
      </c>
      <c r="F6111" s="38" t="s">
        <v>138</v>
      </c>
      <c r="G6111" s="49" t="str">
        <f t="shared" si="1"/>
        <v>61100</v>
      </c>
      <c r="H6111" s="49">
        <f t="shared" si="2"/>
        <v>61011</v>
      </c>
    </row>
    <row r="6112">
      <c r="A6112" s="48" t="s">
        <v>9385</v>
      </c>
      <c r="B6112" s="38">
        <v>89350.0</v>
      </c>
      <c r="C6112" s="38" t="s">
        <v>9386</v>
      </c>
      <c r="D6112" s="38" t="str">
        <f>IFERROR(__xludf.DUMMYFUNCTION("REGEXREPLACE(C6112,""-\d+(.*)|--\d+(.*)"","""")"),"SAINT-LOUP-D'ORDON")</f>
        <v>SAINT-LOUP-D'ORDON</v>
      </c>
      <c r="E6112" s="38" t="s">
        <v>275</v>
      </c>
      <c r="F6112" s="38" t="s">
        <v>106</v>
      </c>
      <c r="G6112" s="49" t="str">
        <f t="shared" si="1"/>
        <v>89330</v>
      </c>
      <c r="H6112" s="49">
        <f t="shared" si="2"/>
        <v>89350</v>
      </c>
    </row>
    <row r="6113">
      <c r="A6113" s="48" t="s">
        <v>1669</v>
      </c>
      <c r="B6113" s="38">
        <v>21060.0</v>
      </c>
      <c r="C6113" s="38" t="s">
        <v>9387</v>
      </c>
      <c r="D6113" s="38" t="str">
        <f>IFERROR(__xludf.DUMMYFUNCTION("REGEXREPLACE(C6113,""-\d+(.*)|--\d+(.*)"","""")"),"BELLENEUVE")</f>
        <v>BELLENEUVE</v>
      </c>
      <c r="E6113" s="38" t="s">
        <v>105</v>
      </c>
      <c r="F6113" s="38" t="s">
        <v>106</v>
      </c>
      <c r="G6113" s="49" t="str">
        <f t="shared" si="1"/>
        <v>21310</v>
      </c>
      <c r="H6113" s="49">
        <f t="shared" si="2"/>
        <v>21060</v>
      </c>
    </row>
    <row r="6114">
      <c r="A6114" s="48" t="s">
        <v>6078</v>
      </c>
      <c r="B6114" s="38">
        <v>10091.0</v>
      </c>
      <c r="C6114" s="38" t="s">
        <v>9388</v>
      </c>
      <c r="D6114" s="38" t="str">
        <f>IFERROR(__xludf.DUMMYFUNCTION("REGEXREPLACE(C6114,""-\d+(.*)|--\d+(.*)"","""")"),"CHAUDREY")</f>
        <v>CHAUDREY</v>
      </c>
      <c r="E6114" s="38" t="s">
        <v>147</v>
      </c>
      <c r="F6114" s="38" t="s">
        <v>130</v>
      </c>
      <c r="G6114" s="49" t="str">
        <f t="shared" si="1"/>
        <v>10240</v>
      </c>
      <c r="H6114" s="49">
        <f t="shared" si="2"/>
        <v>10091</v>
      </c>
    </row>
    <row r="6115">
      <c r="A6115" s="48" t="s">
        <v>562</v>
      </c>
      <c r="B6115" s="38">
        <v>54272.0</v>
      </c>
      <c r="C6115" s="38" t="s">
        <v>9389</v>
      </c>
      <c r="D6115" s="38" t="str">
        <f>IFERROR(__xludf.DUMMYFUNCTION("REGEXREPLACE(C6115,""-\d+(.*)|--\d+(.*)"","""")"),"JAILLON")</f>
        <v>JAILLON</v>
      </c>
      <c r="E6115" s="38" t="s">
        <v>548</v>
      </c>
      <c r="F6115" s="38" t="s">
        <v>195</v>
      </c>
      <c r="G6115" s="49" t="str">
        <f t="shared" si="1"/>
        <v>54200</v>
      </c>
      <c r="H6115" s="49">
        <f t="shared" si="2"/>
        <v>54272</v>
      </c>
    </row>
    <row r="6116">
      <c r="A6116" s="48" t="s">
        <v>1534</v>
      </c>
      <c r="B6116" s="38">
        <v>19114.0</v>
      </c>
      <c r="C6116" s="38" t="s">
        <v>9390</v>
      </c>
      <c r="D6116" s="38" t="str">
        <f>IFERROR(__xludf.DUMMYFUNCTION("REGEXREPLACE(C6116,""-\d+(.*)|--\d+(.*)"","""")"),"LIGNAREIX")</f>
        <v>LIGNAREIX</v>
      </c>
      <c r="E6116" s="38" t="s">
        <v>271</v>
      </c>
      <c r="F6116" s="38" t="s">
        <v>98</v>
      </c>
      <c r="G6116" s="49" t="str">
        <f t="shared" si="1"/>
        <v>19200</v>
      </c>
      <c r="H6116" s="49">
        <f t="shared" si="2"/>
        <v>19114</v>
      </c>
    </row>
    <row r="6117">
      <c r="A6117" s="48" t="s">
        <v>7988</v>
      </c>
      <c r="B6117" s="38">
        <v>24325.0</v>
      </c>
      <c r="C6117" s="38" t="s">
        <v>9391</v>
      </c>
      <c r="D6117" s="38" t="str">
        <f>IFERROR(__xludf.DUMMYFUNCTION("REGEXREPLACE(C6117,""-\d+(.*)|--\d+(.*)"","""")"),"PEYRILLAC-ET-MILLAC")</f>
        <v>PEYRILLAC-ET-MILLAC</v>
      </c>
      <c r="E6117" s="38" t="s">
        <v>261</v>
      </c>
      <c r="F6117" s="38" t="s">
        <v>252</v>
      </c>
      <c r="G6117" s="49" t="str">
        <f t="shared" si="1"/>
        <v>24370</v>
      </c>
      <c r="H6117" s="49">
        <f t="shared" si="2"/>
        <v>24325</v>
      </c>
    </row>
    <row r="6118">
      <c r="A6118" s="48" t="s">
        <v>3190</v>
      </c>
      <c r="B6118" s="38">
        <v>70281.0</v>
      </c>
      <c r="C6118" s="38" t="s">
        <v>9392</v>
      </c>
      <c r="D6118" s="38" t="str">
        <f>IFERROR(__xludf.DUMMYFUNCTION("REGEXREPLACE(C6118,""-\d+(.*)|--\d+(.*)"","""")"),"GREUCOURT")</f>
        <v>GREUCOURT</v>
      </c>
      <c r="E6118" s="38" t="s">
        <v>956</v>
      </c>
      <c r="F6118" s="38" t="s">
        <v>214</v>
      </c>
      <c r="G6118" s="49" t="str">
        <f t="shared" si="1"/>
        <v>70130</v>
      </c>
      <c r="H6118" s="49">
        <f t="shared" si="2"/>
        <v>70281</v>
      </c>
    </row>
    <row r="6119">
      <c r="A6119" s="48" t="s">
        <v>480</v>
      </c>
      <c r="B6119" s="38">
        <v>3226.0</v>
      </c>
      <c r="C6119" s="38" t="s">
        <v>9393</v>
      </c>
      <c r="D6119" s="38" t="str">
        <f>IFERROR(__xludf.DUMMYFUNCTION("REGEXREPLACE(C6119,""-\d+(.*)|--\d+(.*)"","""")"),"SAINT-DIDIER-EN-DONJON")</f>
        <v>SAINT-DIDIER-EN-DONJON</v>
      </c>
      <c r="E6119" s="38" t="s">
        <v>160</v>
      </c>
      <c r="F6119" s="38" t="s">
        <v>161</v>
      </c>
      <c r="G6119" s="49" t="str">
        <f t="shared" si="1"/>
        <v>03130</v>
      </c>
      <c r="H6119" s="49" t="str">
        <f t="shared" si="2"/>
        <v>03226</v>
      </c>
    </row>
    <row r="6120">
      <c r="A6120" s="48" t="s">
        <v>5599</v>
      </c>
      <c r="B6120" s="38">
        <v>74145.0</v>
      </c>
      <c r="C6120" s="38" t="s">
        <v>9394</v>
      </c>
      <c r="D6120" s="38" t="str">
        <f>IFERROR(__xludf.DUMMYFUNCTION("REGEXREPLACE(C6120,""-\d+(.*)|--\d+(.*)"","""")"),"JUVIGNY")</f>
        <v>JUVIGNY</v>
      </c>
      <c r="E6120" s="38" t="s">
        <v>319</v>
      </c>
      <c r="F6120" s="38" t="s">
        <v>102</v>
      </c>
      <c r="G6120" s="49" t="str">
        <f t="shared" si="1"/>
        <v>74100</v>
      </c>
      <c r="H6120" s="49">
        <f t="shared" si="2"/>
        <v>74145</v>
      </c>
    </row>
    <row r="6121">
      <c r="A6121" s="48" t="s">
        <v>724</v>
      </c>
      <c r="B6121" s="38">
        <v>32397.0</v>
      </c>
      <c r="C6121" s="38" t="s">
        <v>4389</v>
      </c>
      <c r="D6121" s="38" t="str">
        <f>IFERROR(__xludf.DUMMYFUNCTION("REGEXREPLACE(C6121,""-\d+(.*)|--\d+(.*)"","""")"),"SAINT-MICHEL")</f>
        <v>SAINT-MICHEL</v>
      </c>
      <c r="E6121" s="38" t="s">
        <v>440</v>
      </c>
      <c r="F6121" s="38" t="s">
        <v>94</v>
      </c>
      <c r="G6121" s="49" t="str">
        <f t="shared" si="1"/>
        <v>32300</v>
      </c>
      <c r="H6121" s="49">
        <f t="shared" si="2"/>
        <v>32397</v>
      </c>
    </row>
    <row r="6122">
      <c r="A6122" s="48" t="s">
        <v>5603</v>
      </c>
      <c r="B6122" s="38">
        <v>41223.0</v>
      </c>
      <c r="C6122" s="38" t="s">
        <v>9395</v>
      </c>
      <c r="D6122" s="38" t="str">
        <f>IFERROR(__xludf.DUMMYFUNCTION("REGEXREPLACE(C6122,""-\d+(.*)|--\d+(.*)"","""")"),"SAINT-LUBIN-EN-VERGONNOIS")</f>
        <v>SAINT-LUBIN-EN-VERGONNOIS</v>
      </c>
      <c r="E6122" s="38" t="s">
        <v>188</v>
      </c>
      <c r="F6122" s="38" t="s">
        <v>123</v>
      </c>
      <c r="G6122" s="49" t="str">
        <f t="shared" si="1"/>
        <v>41190</v>
      </c>
      <c r="H6122" s="49">
        <f t="shared" si="2"/>
        <v>41223</v>
      </c>
    </row>
    <row r="6123">
      <c r="A6123" s="48" t="s">
        <v>1302</v>
      </c>
      <c r="B6123" s="38">
        <v>38521.0</v>
      </c>
      <c r="C6123" s="38" t="s">
        <v>9396</v>
      </c>
      <c r="D6123" s="38" t="str">
        <f>IFERROR(__xludf.DUMMYFUNCTION("REGEXREPLACE(C6123,""-\d+(.*)|--\d+(.*)"","""")"),"LA VALETTE")</f>
        <v>LA VALETTE</v>
      </c>
      <c r="E6123" s="38" t="s">
        <v>101</v>
      </c>
      <c r="F6123" s="38" t="s">
        <v>102</v>
      </c>
      <c r="G6123" s="49" t="str">
        <f t="shared" si="1"/>
        <v>38350</v>
      </c>
      <c r="H6123" s="49">
        <f t="shared" si="2"/>
        <v>38521</v>
      </c>
    </row>
    <row r="6124">
      <c r="A6124" s="48" t="s">
        <v>1161</v>
      </c>
      <c r="B6124" s="38">
        <v>45102.0</v>
      </c>
      <c r="C6124" s="38" t="s">
        <v>9397</v>
      </c>
      <c r="D6124" s="38" t="str">
        <f>IFERROR(__xludf.DUMMYFUNCTION("REGEXREPLACE(C6124,""-\d+(.*)|--\d+(.*)"","""")"),"CONFLANS-SUR-LOING")</f>
        <v>CONFLANS-SUR-LOING</v>
      </c>
      <c r="E6124" s="38" t="s">
        <v>122</v>
      </c>
      <c r="F6124" s="38" t="s">
        <v>123</v>
      </c>
      <c r="G6124" s="49" t="str">
        <f t="shared" si="1"/>
        <v>45700</v>
      </c>
      <c r="H6124" s="49">
        <f t="shared" si="2"/>
        <v>45102</v>
      </c>
    </row>
    <row r="6125">
      <c r="A6125" s="48" t="s">
        <v>1630</v>
      </c>
      <c r="B6125" s="38">
        <v>57409.0</v>
      </c>
      <c r="C6125" s="38" t="s">
        <v>9398</v>
      </c>
      <c r="D6125" s="38" t="str">
        <f>IFERROR(__xludf.DUMMYFUNCTION("REGEXREPLACE(C6125,""-\d+(.*)|--\d+(.*)"","""")"),"LIXING-LES-SAINT-AVOLD")</f>
        <v>LIXING-LES-SAINT-AVOLD</v>
      </c>
      <c r="E6125" s="38" t="s">
        <v>303</v>
      </c>
      <c r="F6125" s="38" t="s">
        <v>195</v>
      </c>
      <c r="G6125" s="49" t="str">
        <f t="shared" si="1"/>
        <v>57660</v>
      </c>
      <c r="H6125" s="49">
        <f t="shared" si="2"/>
        <v>57409</v>
      </c>
    </row>
    <row r="6126">
      <c r="A6126" s="48" t="s">
        <v>1681</v>
      </c>
      <c r="B6126" s="38">
        <v>80209.0</v>
      </c>
      <c r="C6126" s="38" t="s">
        <v>9399</v>
      </c>
      <c r="D6126" s="38" t="str">
        <f>IFERROR(__xludf.DUMMYFUNCTION("REGEXREPLACE(C6126,""-\d+(.*)|--\d+(.*)"","""")"),"CONTOIRE")</f>
        <v>CONTOIRE</v>
      </c>
      <c r="E6126" s="38" t="s">
        <v>224</v>
      </c>
      <c r="F6126" s="38" t="s">
        <v>113</v>
      </c>
      <c r="G6126" s="49" t="str">
        <f t="shared" si="1"/>
        <v>80500</v>
      </c>
      <c r="H6126" s="49">
        <f t="shared" si="2"/>
        <v>80209</v>
      </c>
    </row>
    <row r="6127">
      <c r="A6127" s="48" t="s">
        <v>8845</v>
      </c>
      <c r="B6127" s="38">
        <v>8229.0</v>
      </c>
      <c r="C6127" s="38" t="s">
        <v>9400</v>
      </c>
      <c r="D6127" s="38" t="str">
        <f>IFERROR(__xludf.DUMMYFUNCTION("REGEXREPLACE(C6127,""-\d+(.*)|--\d+(.*)"","""")"),"HOUDILCOURT")</f>
        <v>HOUDILCOURT</v>
      </c>
      <c r="E6127" s="38" t="s">
        <v>327</v>
      </c>
      <c r="F6127" s="38" t="s">
        <v>130</v>
      </c>
      <c r="G6127" s="49" t="str">
        <f t="shared" si="1"/>
        <v>08190</v>
      </c>
      <c r="H6127" s="49" t="str">
        <f t="shared" si="2"/>
        <v>08229</v>
      </c>
    </row>
    <row r="6128">
      <c r="A6128" s="48" t="s">
        <v>4642</v>
      </c>
      <c r="B6128" s="38">
        <v>21182.0</v>
      </c>
      <c r="C6128" s="38" t="s">
        <v>9401</v>
      </c>
      <c r="D6128" s="38" t="str">
        <f>IFERROR(__xludf.DUMMYFUNCTION("REGEXREPLACE(C6128,""-\d+(.*)|--\d+(.*)"","""")"),"COLLONGES-LES-BEVY")</f>
        <v>COLLONGES-LES-BEVY</v>
      </c>
      <c r="E6128" s="38" t="s">
        <v>105</v>
      </c>
      <c r="F6128" s="38" t="s">
        <v>106</v>
      </c>
      <c r="G6128" s="49" t="str">
        <f t="shared" si="1"/>
        <v>21220</v>
      </c>
      <c r="H6128" s="49">
        <f t="shared" si="2"/>
        <v>21182</v>
      </c>
    </row>
    <row r="6129">
      <c r="A6129" s="48" t="s">
        <v>9402</v>
      </c>
      <c r="B6129" s="38">
        <v>14088.0</v>
      </c>
      <c r="C6129" s="38" t="s">
        <v>9403</v>
      </c>
      <c r="D6129" s="38" t="str">
        <f>IFERROR(__xludf.DUMMYFUNCTION("REGEXREPLACE(C6129,""-\d+(.*)|--\d+(.*)"","""")"),"BONS-TASSILLY")</f>
        <v>BONS-TASSILLY</v>
      </c>
      <c r="E6129" s="38" t="s">
        <v>137</v>
      </c>
      <c r="F6129" s="38" t="s">
        <v>138</v>
      </c>
      <c r="G6129" s="49" t="str">
        <f t="shared" si="1"/>
        <v>14420</v>
      </c>
      <c r="H6129" s="49">
        <f t="shared" si="2"/>
        <v>14088</v>
      </c>
    </row>
    <row r="6130">
      <c r="A6130" s="48" t="s">
        <v>5325</v>
      </c>
      <c r="B6130" s="38">
        <v>60638.0</v>
      </c>
      <c r="C6130" s="38" t="s">
        <v>9404</v>
      </c>
      <c r="D6130" s="38" t="str">
        <f>IFERROR(__xludf.DUMMYFUNCTION("REGEXREPLACE(C6130,""-\d+(.*)|--\d+(.*)"","""")"),"THURY-SOUS-CLERMONT")</f>
        <v>THURY-SOUS-CLERMONT</v>
      </c>
      <c r="E6130" s="38" t="s">
        <v>112</v>
      </c>
      <c r="F6130" s="38" t="s">
        <v>113</v>
      </c>
      <c r="G6130" s="49" t="str">
        <f t="shared" si="1"/>
        <v>60250</v>
      </c>
      <c r="H6130" s="49">
        <f t="shared" si="2"/>
        <v>60638</v>
      </c>
    </row>
    <row r="6131">
      <c r="A6131" s="48" t="s">
        <v>9405</v>
      </c>
      <c r="B6131" s="38">
        <v>15205.0</v>
      </c>
      <c r="C6131" s="38" t="s">
        <v>9406</v>
      </c>
      <c r="D6131" s="38" t="str">
        <f>IFERROR(__xludf.DUMMYFUNCTION("REGEXREPLACE(C6131,""-\d+(.*)|--\d+(.*)"","""")"),"SAINT-PAUL-DE-SALERS")</f>
        <v>SAINT-PAUL-DE-SALERS</v>
      </c>
      <c r="E6131" s="38" t="s">
        <v>632</v>
      </c>
      <c r="F6131" s="38" t="s">
        <v>161</v>
      </c>
      <c r="G6131" s="49" t="str">
        <f t="shared" si="1"/>
        <v>15140</v>
      </c>
      <c r="H6131" s="49">
        <f t="shared" si="2"/>
        <v>15205</v>
      </c>
    </row>
    <row r="6132">
      <c r="A6132" s="48" t="s">
        <v>809</v>
      </c>
      <c r="B6132" s="38">
        <v>33299.0</v>
      </c>
      <c r="C6132" s="38" t="s">
        <v>9407</v>
      </c>
      <c r="D6132" s="38" t="str">
        <f>IFERROR(__xludf.DUMMYFUNCTION("REGEXREPLACE(C6132,""-\d+(.*)|--\d+(.*)"","""")"),"MOURENS")</f>
        <v>MOURENS</v>
      </c>
      <c r="E6132" s="38" t="s">
        <v>462</v>
      </c>
      <c r="F6132" s="38" t="s">
        <v>252</v>
      </c>
      <c r="G6132" s="49" t="str">
        <f t="shared" si="1"/>
        <v>33410</v>
      </c>
      <c r="H6132" s="49">
        <f t="shared" si="2"/>
        <v>33299</v>
      </c>
    </row>
    <row r="6133">
      <c r="A6133" s="48" t="s">
        <v>9408</v>
      </c>
      <c r="B6133" s="38">
        <v>59659.0</v>
      </c>
      <c r="C6133" s="38" t="s">
        <v>9409</v>
      </c>
      <c r="D6133" s="38" t="str">
        <f>IFERROR(__xludf.DUMMYFUNCTION("REGEXREPLACE(C6133,""-\d+(.*)|--\d+(.*)"","""")"),"WIGNEHIES")</f>
        <v>WIGNEHIES</v>
      </c>
      <c r="E6133" s="38" t="s">
        <v>85</v>
      </c>
      <c r="F6133" s="38" t="s">
        <v>86</v>
      </c>
      <c r="G6133" s="49" t="str">
        <f t="shared" si="1"/>
        <v>59212</v>
      </c>
      <c r="H6133" s="49">
        <f t="shared" si="2"/>
        <v>59659</v>
      </c>
    </row>
    <row r="6134">
      <c r="A6134" s="48" t="s">
        <v>1568</v>
      </c>
      <c r="B6134" s="38">
        <v>36085.0</v>
      </c>
      <c r="C6134" s="38" t="s">
        <v>9410</v>
      </c>
      <c r="D6134" s="38" t="str">
        <f>IFERROR(__xludf.DUMMYFUNCTION("REGEXREPLACE(C6134,""-\d+(.*)|--\d+(.*)"","""")"),"GUILLY")</f>
        <v>GUILLY</v>
      </c>
      <c r="E6134" s="38" t="s">
        <v>258</v>
      </c>
      <c r="F6134" s="38" t="s">
        <v>123</v>
      </c>
      <c r="G6134" s="49" t="str">
        <f t="shared" si="1"/>
        <v>36150</v>
      </c>
      <c r="H6134" s="49">
        <f t="shared" si="2"/>
        <v>36085</v>
      </c>
    </row>
    <row r="6135">
      <c r="A6135" s="48" t="s">
        <v>9411</v>
      </c>
      <c r="B6135" s="38">
        <v>53119.0</v>
      </c>
      <c r="C6135" s="38" t="s">
        <v>9412</v>
      </c>
      <c r="D6135" s="38" t="str">
        <f>IFERROR(__xludf.DUMMYFUNCTION("REGEXREPLACE(C6135,""-\d+(.*)|--\d+(.*)"","""")"),"L'HUISSERIE")</f>
        <v>L'HUISSERIE</v>
      </c>
      <c r="E6135" s="38" t="s">
        <v>518</v>
      </c>
      <c r="F6135" s="38" t="s">
        <v>180</v>
      </c>
      <c r="G6135" s="49" t="str">
        <f t="shared" si="1"/>
        <v>53970</v>
      </c>
      <c r="H6135" s="49">
        <f t="shared" si="2"/>
        <v>53119</v>
      </c>
    </row>
    <row r="6136">
      <c r="A6136" s="48" t="s">
        <v>8439</v>
      </c>
      <c r="B6136" s="38">
        <v>89219.0</v>
      </c>
      <c r="C6136" s="38" t="s">
        <v>9413</v>
      </c>
      <c r="D6136" s="38" t="str">
        <f>IFERROR(__xludf.DUMMYFUNCTION("REGEXREPLACE(C6136,""-\d+(.*)|--\d+(.*)"","""")"),"LASSON")</f>
        <v>LASSON</v>
      </c>
      <c r="E6136" s="38" t="s">
        <v>275</v>
      </c>
      <c r="F6136" s="38" t="s">
        <v>106</v>
      </c>
      <c r="G6136" s="49" t="str">
        <f t="shared" si="1"/>
        <v>89570</v>
      </c>
      <c r="H6136" s="49">
        <f t="shared" si="2"/>
        <v>89219</v>
      </c>
    </row>
    <row r="6137">
      <c r="A6137" s="48" t="s">
        <v>910</v>
      </c>
      <c r="B6137" s="38">
        <v>32308.0</v>
      </c>
      <c r="C6137" s="38" t="s">
        <v>9414</v>
      </c>
      <c r="D6137" s="38" t="str">
        <f>IFERROR(__xludf.DUMMYFUNCTION("REGEXREPLACE(C6137,""-\d+(.*)|--\d+(.*)"","""")"),"PEBEES")</f>
        <v>PEBEES</v>
      </c>
      <c r="E6137" s="38" t="s">
        <v>440</v>
      </c>
      <c r="F6137" s="38" t="s">
        <v>94</v>
      </c>
      <c r="G6137" s="49" t="str">
        <f t="shared" si="1"/>
        <v>32130</v>
      </c>
      <c r="H6137" s="49">
        <f t="shared" si="2"/>
        <v>32308</v>
      </c>
    </row>
    <row r="6138">
      <c r="A6138" s="48" t="s">
        <v>7431</v>
      </c>
      <c r="B6138" s="38">
        <v>77070.0</v>
      </c>
      <c r="C6138" s="38" t="s">
        <v>9415</v>
      </c>
      <c r="D6138" s="38" t="str">
        <f>IFERROR(__xludf.DUMMYFUNCTION("REGEXREPLACE(C6138,""-\d+(.*)|--\d+(.*)"","""")"),"CHAILLY-EN-BRIE")</f>
        <v>CHAILLY-EN-BRIE</v>
      </c>
      <c r="E6138" s="38" t="s">
        <v>244</v>
      </c>
      <c r="F6138" s="38" t="s">
        <v>245</v>
      </c>
      <c r="G6138" s="49" t="str">
        <f t="shared" si="1"/>
        <v>77120</v>
      </c>
      <c r="H6138" s="49">
        <f t="shared" si="2"/>
        <v>77070</v>
      </c>
    </row>
    <row r="6139">
      <c r="A6139" s="48" t="s">
        <v>6736</v>
      </c>
      <c r="B6139" s="38">
        <v>31366.0</v>
      </c>
      <c r="C6139" s="38" t="s">
        <v>9416</v>
      </c>
      <c r="D6139" s="38" t="str">
        <f>IFERROR(__xludf.DUMMYFUNCTION("REGEXREPLACE(C6139,""-\d+(.*)|--\d+(.*)"","""")"),"MONTBRUN-LAURAGAIS")</f>
        <v>MONTBRUN-LAURAGAIS</v>
      </c>
      <c r="E6139" s="38" t="s">
        <v>93</v>
      </c>
      <c r="F6139" s="38" t="s">
        <v>94</v>
      </c>
      <c r="G6139" s="49" t="str">
        <f t="shared" si="1"/>
        <v>31450</v>
      </c>
      <c r="H6139" s="49">
        <f t="shared" si="2"/>
        <v>31366</v>
      </c>
    </row>
    <row r="6140">
      <c r="A6140" s="48" t="s">
        <v>2067</v>
      </c>
      <c r="B6140" s="38">
        <v>18248.0</v>
      </c>
      <c r="C6140" s="38" t="s">
        <v>9417</v>
      </c>
      <c r="D6140" s="38" t="str">
        <f>IFERROR(__xludf.DUMMYFUNCTION("REGEXREPLACE(C6140,""-\d+(.*)|--\d+(.*)"","""")"),"SENNECAY")</f>
        <v>SENNECAY</v>
      </c>
      <c r="E6140" s="38" t="s">
        <v>504</v>
      </c>
      <c r="F6140" s="38" t="s">
        <v>123</v>
      </c>
      <c r="G6140" s="49" t="str">
        <f t="shared" si="1"/>
        <v>18340</v>
      </c>
      <c r="H6140" s="49">
        <f t="shared" si="2"/>
        <v>18248</v>
      </c>
    </row>
    <row r="6141">
      <c r="A6141" s="48" t="s">
        <v>2408</v>
      </c>
      <c r="B6141" s="38">
        <v>30069.0</v>
      </c>
      <c r="C6141" s="38" t="s">
        <v>9418</v>
      </c>
      <c r="D6141" s="38" t="str">
        <f>IFERROR(__xludf.DUMMYFUNCTION("REGEXREPLACE(C6141,""-\d+(.*)|--\d+(.*)"","""")"),"CARNAS")</f>
        <v>CARNAS</v>
      </c>
      <c r="E6141" s="38" t="s">
        <v>526</v>
      </c>
      <c r="F6141" s="38" t="s">
        <v>119</v>
      </c>
      <c r="G6141" s="49" t="str">
        <f t="shared" si="1"/>
        <v>30260</v>
      </c>
      <c r="H6141" s="49">
        <f t="shared" si="2"/>
        <v>30069</v>
      </c>
    </row>
    <row r="6142">
      <c r="A6142" s="48" t="s">
        <v>1010</v>
      </c>
      <c r="B6142" s="38">
        <v>27044.0</v>
      </c>
      <c r="C6142" s="38" t="s">
        <v>9419</v>
      </c>
      <c r="D6142" s="38" t="str">
        <f>IFERROR(__xludf.DUMMYFUNCTION("REGEXREPLACE(C6142,""-\d+(.*)|--\d+(.*)"","""")"),"LES BAUX-SAINTE-CROIX")</f>
        <v>LES BAUX-SAINTE-CROIX</v>
      </c>
      <c r="E6142" s="38" t="s">
        <v>241</v>
      </c>
      <c r="F6142" s="38" t="s">
        <v>134</v>
      </c>
      <c r="G6142" s="49" t="str">
        <f t="shared" si="1"/>
        <v>27180</v>
      </c>
      <c r="H6142" s="49">
        <f t="shared" si="2"/>
        <v>27044</v>
      </c>
    </row>
    <row r="6143">
      <c r="A6143" s="48" t="s">
        <v>4323</v>
      </c>
      <c r="B6143" s="38">
        <v>30304.0</v>
      </c>
      <c r="C6143" s="38" t="s">
        <v>9420</v>
      </c>
      <c r="D6143" s="38" t="str">
        <f>IFERROR(__xludf.DUMMYFUNCTION("REGEXREPLACE(C6143,""-\d+(.*)|--\d+(.*)"","""")"),"SALAZAC")</f>
        <v>SALAZAC</v>
      </c>
      <c r="E6143" s="38" t="s">
        <v>526</v>
      </c>
      <c r="F6143" s="38" t="s">
        <v>119</v>
      </c>
      <c r="G6143" s="49" t="str">
        <f t="shared" si="1"/>
        <v>30760</v>
      </c>
      <c r="H6143" s="49">
        <f t="shared" si="2"/>
        <v>30304</v>
      </c>
    </row>
    <row r="6144">
      <c r="A6144" s="48" t="s">
        <v>7712</v>
      </c>
      <c r="B6144" s="38">
        <v>9234.0</v>
      </c>
      <c r="C6144" s="38" t="s">
        <v>9421</v>
      </c>
      <c r="D6144" s="38" t="str">
        <f>IFERROR(__xludf.DUMMYFUNCTION("REGEXREPLACE(C6144,""-\d+(.*)|--\d+(.*)"","""")"),"PRADIERES")</f>
        <v>PRADIERES</v>
      </c>
      <c r="E6144" s="38" t="s">
        <v>238</v>
      </c>
      <c r="F6144" s="38" t="s">
        <v>94</v>
      </c>
      <c r="G6144" s="49" t="str">
        <f t="shared" si="1"/>
        <v>09000</v>
      </c>
      <c r="H6144" s="49" t="str">
        <f t="shared" si="2"/>
        <v>09234</v>
      </c>
    </row>
    <row r="6145">
      <c r="A6145" s="48" t="s">
        <v>2532</v>
      </c>
      <c r="B6145" s="38">
        <v>51426.0</v>
      </c>
      <c r="C6145" s="38" t="s">
        <v>9422</v>
      </c>
      <c r="D6145" s="38" t="str">
        <f>IFERROR(__xludf.DUMMYFUNCTION("REGEXREPLACE(C6145,""-\d+(.*)|--\d+(.*)"","""")"),"PEAS")</f>
        <v>PEAS</v>
      </c>
      <c r="E6145" s="38" t="s">
        <v>129</v>
      </c>
      <c r="F6145" s="38" t="s">
        <v>130</v>
      </c>
      <c r="G6145" s="49" t="str">
        <f t="shared" si="1"/>
        <v>51120</v>
      </c>
      <c r="H6145" s="49">
        <f t="shared" si="2"/>
        <v>51426</v>
      </c>
    </row>
    <row r="6146">
      <c r="A6146" s="48" t="s">
        <v>7897</v>
      </c>
      <c r="B6146" s="38">
        <v>69027.0</v>
      </c>
      <c r="C6146" s="38" t="s">
        <v>9423</v>
      </c>
      <c r="D6146" s="38" t="str">
        <f>IFERROR(__xludf.DUMMYFUNCTION("REGEXREPLACE(C6146,""-\d+(.*)|--\d+(.*)"","""")"),"BRIGNAIS")</f>
        <v>BRIGNAIS</v>
      </c>
      <c r="E6146" s="38" t="s">
        <v>350</v>
      </c>
      <c r="F6146" s="38" t="s">
        <v>102</v>
      </c>
      <c r="G6146" s="49" t="str">
        <f t="shared" si="1"/>
        <v>69530</v>
      </c>
      <c r="H6146" s="49">
        <f t="shared" si="2"/>
        <v>69027</v>
      </c>
    </row>
    <row r="6147">
      <c r="A6147" s="48" t="s">
        <v>9424</v>
      </c>
      <c r="B6147" s="38">
        <v>75119.0</v>
      </c>
      <c r="C6147" s="38" t="s">
        <v>9425</v>
      </c>
      <c r="D6147" s="38" t="str">
        <f>IFERROR(__xludf.DUMMYFUNCTION("REGEXREPLACE(C6147,""-\d+(.*)|--\d+(.*)"","""")"),"PARIS")</f>
        <v>PARIS</v>
      </c>
      <c r="E6147" s="38" t="s">
        <v>823</v>
      </c>
      <c r="F6147" s="38" t="s">
        <v>245</v>
      </c>
      <c r="G6147" s="49" t="str">
        <f t="shared" si="1"/>
        <v>75019</v>
      </c>
      <c r="H6147" s="49">
        <f t="shared" si="2"/>
        <v>75119</v>
      </c>
    </row>
    <row r="6148">
      <c r="A6148" s="48" t="s">
        <v>7940</v>
      </c>
      <c r="B6148" s="38">
        <v>49074.0</v>
      </c>
      <c r="C6148" s="38" t="s">
        <v>9426</v>
      </c>
      <c r="D6148" s="38" t="str">
        <f>IFERROR(__xludf.DUMMYFUNCTION("REGEXREPLACE(C6148,""-\d+(.*)|--\d+(.*)"","""")"),"LA CHAPELLE-ROUSSELIN")</f>
        <v>LA CHAPELLE-ROUSSELIN</v>
      </c>
      <c r="E6148" s="38" t="s">
        <v>653</v>
      </c>
      <c r="F6148" s="38" t="s">
        <v>180</v>
      </c>
      <c r="G6148" s="49" t="str">
        <f t="shared" si="1"/>
        <v>49120</v>
      </c>
      <c r="H6148" s="49">
        <f t="shared" si="2"/>
        <v>49074</v>
      </c>
    </row>
    <row r="6149">
      <c r="A6149" s="48" t="s">
        <v>2272</v>
      </c>
      <c r="B6149" s="38">
        <v>27558.0</v>
      </c>
      <c r="C6149" s="38" t="s">
        <v>9427</v>
      </c>
      <c r="D6149" s="38" t="str">
        <f>IFERROR(__xludf.DUMMYFUNCTION("REGEXREPLACE(C6149,""-\d+(.*)|--\d+(.*)"","""")"),"SAINT-LEGER-DU-GENNETEY")</f>
        <v>SAINT-LEGER-DU-GENNETEY</v>
      </c>
      <c r="E6149" s="38" t="s">
        <v>241</v>
      </c>
      <c r="F6149" s="38" t="s">
        <v>134</v>
      </c>
      <c r="G6149" s="49" t="str">
        <f t="shared" si="1"/>
        <v>27520</v>
      </c>
      <c r="H6149" s="49">
        <f t="shared" si="2"/>
        <v>27558</v>
      </c>
    </row>
    <row r="6150">
      <c r="A6150" s="48" t="s">
        <v>4196</v>
      </c>
      <c r="B6150" s="38">
        <v>8174.0</v>
      </c>
      <c r="C6150" s="38" t="s">
        <v>9428</v>
      </c>
      <c r="D6150" s="38" t="str">
        <f>IFERROR(__xludf.DUMMYFUNCTION("REGEXREPLACE(C6150,""-\d+(.*)|--\d+(.*)"","""")"),"FLOING")</f>
        <v>FLOING</v>
      </c>
      <c r="E6150" s="38" t="s">
        <v>327</v>
      </c>
      <c r="F6150" s="38" t="s">
        <v>130</v>
      </c>
      <c r="G6150" s="49" t="str">
        <f t="shared" si="1"/>
        <v>08200</v>
      </c>
      <c r="H6150" s="49" t="str">
        <f t="shared" si="2"/>
        <v>08174</v>
      </c>
    </row>
    <row r="6151">
      <c r="A6151" s="48" t="s">
        <v>1108</v>
      </c>
      <c r="B6151" s="38">
        <v>27379.0</v>
      </c>
      <c r="C6151" s="38" t="s">
        <v>9429</v>
      </c>
      <c r="D6151" s="38" t="str">
        <f>IFERROR(__xludf.DUMMYFUNCTION("REGEXREPLACE(C6151,""-\d+(.*)|--\d+(.*)"","""")"),"MAINNEVILLE")</f>
        <v>MAINNEVILLE</v>
      </c>
      <c r="E6151" s="38" t="s">
        <v>241</v>
      </c>
      <c r="F6151" s="38" t="s">
        <v>134</v>
      </c>
      <c r="G6151" s="49" t="str">
        <f t="shared" si="1"/>
        <v>27150</v>
      </c>
      <c r="H6151" s="49">
        <f t="shared" si="2"/>
        <v>27379</v>
      </c>
    </row>
    <row r="6152">
      <c r="A6152" s="48" t="s">
        <v>9430</v>
      </c>
      <c r="B6152" s="38">
        <v>24014.0</v>
      </c>
      <c r="C6152" s="38" t="s">
        <v>9431</v>
      </c>
      <c r="D6152" s="38" t="str">
        <f>IFERROR(__xludf.DUMMYFUNCTION("REGEXREPLACE(C6152,""-\d+(.*)|--\d+(.*)"","""")"),"AUBAS")</f>
        <v>AUBAS</v>
      </c>
      <c r="E6152" s="38" t="s">
        <v>261</v>
      </c>
      <c r="F6152" s="38" t="s">
        <v>252</v>
      </c>
      <c r="G6152" s="49" t="str">
        <f t="shared" si="1"/>
        <v>24290</v>
      </c>
      <c r="H6152" s="49">
        <f t="shared" si="2"/>
        <v>24014</v>
      </c>
    </row>
    <row r="6153">
      <c r="A6153" s="48" t="s">
        <v>2393</v>
      </c>
      <c r="B6153" s="38">
        <v>38216.0</v>
      </c>
      <c r="C6153" s="38" t="s">
        <v>9432</v>
      </c>
      <c r="D6153" s="38" t="str">
        <f>IFERROR(__xludf.DUMMYFUNCTION("REGEXREPLACE(C6153,""-\d+(.*)|--\d+(.*)"","""")"),"MALLEVAL-EN-VERCORS")</f>
        <v>MALLEVAL-EN-VERCORS</v>
      </c>
      <c r="E6153" s="38" t="s">
        <v>101</v>
      </c>
      <c r="F6153" s="38" t="s">
        <v>102</v>
      </c>
      <c r="G6153" s="49" t="str">
        <f t="shared" si="1"/>
        <v>38470</v>
      </c>
      <c r="H6153" s="49">
        <f t="shared" si="2"/>
        <v>38216</v>
      </c>
    </row>
    <row r="6154">
      <c r="A6154" s="48" t="s">
        <v>9433</v>
      </c>
      <c r="B6154" s="38">
        <v>40183.0</v>
      </c>
      <c r="C6154" s="38" t="s">
        <v>9434</v>
      </c>
      <c r="D6154" s="38" t="str">
        <f>IFERROR(__xludf.DUMMYFUNCTION("REGEXREPLACE(C6154,""-\d+(.*)|--\d+(.*)"","""")"),"MIMBASTE")</f>
        <v>MIMBASTE</v>
      </c>
      <c r="E6154" s="38" t="s">
        <v>281</v>
      </c>
      <c r="F6154" s="38" t="s">
        <v>252</v>
      </c>
      <c r="G6154" s="49" t="str">
        <f t="shared" si="1"/>
        <v>40350</v>
      </c>
      <c r="H6154" s="49">
        <f t="shared" si="2"/>
        <v>40183</v>
      </c>
    </row>
    <row r="6155">
      <c r="A6155" s="48" t="s">
        <v>162</v>
      </c>
      <c r="B6155" s="38">
        <v>31229.0</v>
      </c>
      <c r="C6155" s="38" t="s">
        <v>9435</v>
      </c>
      <c r="D6155" s="38" t="str">
        <f>IFERROR(__xludf.DUMMYFUNCTION("REGEXREPLACE(C6155,""-\d+(.*)|--\d+(.*)"","""")"),"GRATENS")</f>
        <v>GRATENS</v>
      </c>
      <c r="E6155" s="38" t="s">
        <v>93</v>
      </c>
      <c r="F6155" s="38" t="s">
        <v>94</v>
      </c>
      <c r="G6155" s="49" t="str">
        <f t="shared" si="1"/>
        <v>31430</v>
      </c>
      <c r="H6155" s="49">
        <f t="shared" si="2"/>
        <v>31229</v>
      </c>
    </row>
    <row r="6156">
      <c r="A6156" s="48" t="s">
        <v>9436</v>
      </c>
      <c r="B6156" s="38">
        <v>63330.0</v>
      </c>
      <c r="C6156" s="38" t="s">
        <v>9437</v>
      </c>
      <c r="D6156" s="38" t="str">
        <f>IFERROR(__xludf.DUMMYFUNCTION("REGEXREPLACE(C6156,""-\d+(.*)|--\d+(.*)"","""")"),"SAINT-CIRGUES-SUR-COUZE")</f>
        <v>SAINT-CIRGUES-SUR-COUZE</v>
      </c>
      <c r="E6156" s="38" t="s">
        <v>353</v>
      </c>
      <c r="F6156" s="38" t="s">
        <v>161</v>
      </c>
      <c r="G6156" s="49" t="str">
        <f t="shared" si="1"/>
        <v>63320</v>
      </c>
      <c r="H6156" s="49">
        <f t="shared" si="2"/>
        <v>63330</v>
      </c>
    </row>
    <row r="6157">
      <c r="A6157" s="48" t="s">
        <v>2330</v>
      </c>
      <c r="B6157" s="38">
        <v>65004.0</v>
      </c>
      <c r="C6157" s="38" t="s">
        <v>9438</v>
      </c>
      <c r="D6157" s="38" t="str">
        <f>IFERROR(__xludf.DUMMYFUNCTION("REGEXREPLACE(C6157,""-\d+(.*)|--\d+(.*)"","""")"),"AGOS-VIDALOS")</f>
        <v>AGOS-VIDALOS</v>
      </c>
      <c r="E6157" s="38" t="s">
        <v>200</v>
      </c>
      <c r="F6157" s="38" t="s">
        <v>94</v>
      </c>
      <c r="G6157" s="49" t="str">
        <f t="shared" si="1"/>
        <v>65400</v>
      </c>
      <c r="H6157" s="49">
        <f t="shared" si="2"/>
        <v>65004</v>
      </c>
    </row>
    <row r="6158">
      <c r="A6158" s="48" t="s">
        <v>9439</v>
      </c>
      <c r="B6158" s="38">
        <v>97120.0</v>
      </c>
      <c r="C6158" s="38" t="s">
        <v>9440</v>
      </c>
      <c r="D6158" s="38" t="str">
        <f>IFERROR(__xludf.DUMMYFUNCTION("REGEXREPLACE(C6158,""-\d+(.*)|--\d+(.*)"","""")"),"POINTE-A-PITRE")</f>
        <v>POINTE-A-PITRE</v>
      </c>
      <c r="E6158" s="38" t="s">
        <v>2023</v>
      </c>
      <c r="F6158" s="38" t="s">
        <v>2023</v>
      </c>
      <c r="G6158" s="49" t="str">
        <f t="shared" si="1"/>
        <v>97110</v>
      </c>
      <c r="H6158" s="49">
        <f t="shared" si="2"/>
        <v>97120</v>
      </c>
    </row>
    <row r="6159">
      <c r="A6159" s="48" t="s">
        <v>4832</v>
      </c>
      <c r="B6159" s="38">
        <v>18096.0</v>
      </c>
      <c r="C6159" s="38" t="s">
        <v>9441</v>
      </c>
      <c r="D6159" s="38" t="str">
        <f>IFERROR(__xludf.DUMMYFUNCTION("REGEXREPLACE(C6159,""-\d+(.*)|--\d+(.*)"","""")"),"FOECY")</f>
        <v>FOECY</v>
      </c>
      <c r="E6159" s="38" t="s">
        <v>504</v>
      </c>
      <c r="F6159" s="38" t="s">
        <v>123</v>
      </c>
      <c r="G6159" s="49" t="str">
        <f t="shared" si="1"/>
        <v>18500</v>
      </c>
      <c r="H6159" s="49">
        <f t="shared" si="2"/>
        <v>18096</v>
      </c>
    </row>
    <row r="6160">
      <c r="A6160" s="48" t="s">
        <v>7365</v>
      </c>
      <c r="B6160" s="38">
        <v>18124.0</v>
      </c>
      <c r="C6160" s="38" t="s">
        <v>9442</v>
      </c>
      <c r="D6160" s="38" t="str">
        <f>IFERROR(__xludf.DUMMYFUNCTION("REGEXREPLACE(C6160,""-\d+(.*)|--\d+(.*)"","""")"),"LAZENAY")</f>
        <v>LAZENAY</v>
      </c>
      <c r="E6160" s="38" t="s">
        <v>504</v>
      </c>
      <c r="F6160" s="38" t="s">
        <v>123</v>
      </c>
      <c r="G6160" s="49" t="str">
        <f t="shared" si="1"/>
        <v>18120</v>
      </c>
      <c r="H6160" s="49">
        <f t="shared" si="2"/>
        <v>18124</v>
      </c>
    </row>
    <row r="6161">
      <c r="A6161" s="48" t="s">
        <v>3161</v>
      </c>
      <c r="B6161" s="38">
        <v>70298.0</v>
      </c>
      <c r="C6161" s="38" t="s">
        <v>9443</v>
      </c>
      <c r="D6161" s="38" t="str">
        <f>IFERROR(__xludf.DUMMYFUNCTION("REGEXREPLACE(C6161,""-\d+(.*)|--\d+(.*)"","""")"),"LAVIGNEY")</f>
        <v>LAVIGNEY</v>
      </c>
      <c r="E6161" s="38" t="s">
        <v>956</v>
      </c>
      <c r="F6161" s="38" t="s">
        <v>214</v>
      </c>
      <c r="G6161" s="49" t="str">
        <f t="shared" si="1"/>
        <v>70120</v>
      </c>
      <c r="H6161" s="49">
        <f t="shared" si="2"/>
        <v>70298</v>
      </c>
    </row>
    <row r="6162">
      <c r="A6162" s="48" t="s">
        <v>4784</v>
      </c>
      <c r="B6162" s="38">
        <v>24477.0</v>
      </c>
      <c r="C6162" s="38" t="s">
        <v>9444</v>
      </c>
      <c r="D6162" s="38" t="str">
        <f>IFERROR(__xludf.DUMMYFUNCTION("REGEXREPLACE(C6162,""-\d+(.*)|--\d+(.*)"","""")"),"SAINT-PARDOUX-DE-DRONE")</f>
        <v>SAINT-PARDOUX-DE-DRONE</v>
      </c>
      <c r="E6162" s="38" t="s">
        <v>261</v>
      </c>
      <c r="F6162" s="38" t="s">
        <v>252</v>
      </c>
      <c r="G6162" s="49" t="str">
        <f t="shared" si="1"/>
        <v>24600</v>
      </c>
      <c r="H6162" s="49">
        <f t="shared" si="2"/>
        <v>24477</v>
      </c>
    </row>
    <row r="6163">
      <c r="A6163" s="48" t="s">
        <v>1825</v>
      </c>
      <c r="B6163" s="38">
        <v>64227.0</v>
      </c>
      <c r="C6163" s="38" t="s">
        <v>9445</v>
      </c>
      <c r="D6163" s="38" t="str">
        <f>IFERROR(__xludf.DUMMYFUNCTION("REGEXREPLACE(C6163,""-\d+(.*)|--\d+(.*)"","""")"),"GABASTON")</f>
        <v>GABASTON</v>
      </c>
      <c r="E6163" s="38" t="s">
        <v>268</v>
      </c>
      <c r="F6163" s="38" t="s">
        <v>252</v>
      </c>
      <c r="G6163" s="49" t="str">
        <f t="shared" si="1"/>
        <v>64160</v>
      </c>
      <c r="H6163" s="49">
        <f t="shared" si="2"/>
        <v>64227</v>
      </c>
    </row>
    <row r="6164">
      <c r="A6164" s="48" t="s">
        <v>6258</v>
      </c>
      <c r="B6164" s="38">
        <v>95012.0</v>
      </c>
      <c r="C6164" s="38" t="s">
        <v>9446</v>
      </c>
      <c r="D6164" s="38" t="str">
        <f>IFERROR(__xludf.DUMMYFUNCTION("REGEXREPLACE(C6164,""-\d+(.*)|--\d+(.*)"","""")"),"AMENUCOURT")</f>
        <v>AMENUCOURT</v>
      </c>
      <c r="E6164" s="38" t="s">
        <v>541</v>
      </c>
      <c r="F6164" s="38" t="s">
        <v>245</v>
      </c>
      <c r="G6164" s="49" t="str">
        <f t="shared" si="1"/>
        <v>95510</v>
      </c>
      <c r="H6164" s="49">
        <f t="shared" si="2"/>
        <v>95012</v>
      </c>
    </row>
    <row r="6165">
      <c r="A6165" s="48" t="s">
        <v>1450</v>
      </c>
      <c r="B6165" s="38">
        <v>50504.0</v>
      </c>
      <c r="C6165" s="38" t="s">
        <v>9447</v>
      </c>
      <c r="D6165" s="38" t="str">
        <f>IFERROR(__xludf.DUMMYFUNCTION("REGEXREPLACE(C6165,""-\d+(.*)|--\d+(.*)"","""")"),"SAINT-LOUET-SUR-VIRE")</f>
        <v>SAINT-LOUET-SUR-VIRE</v>
      </c>
      <c r="E6165" s="38" t="s">
        <v>157</v>
      </c>
      <c r="F6165" s="38" t="s">
        <v>138</v>
      </c>
      <c r="G6165" s="49" t="str">
        <f t="shared" si="1"/>
        <v>50420</v>
      </c>
      <c r="H6165" s="49">
        <f t="shared" si="2"/>
        <v>50504</v>
      </c>
    </row>
    <row r="6166">
      <c r="A6166" s="48" t="s">
        <v>5020</v>
      </c>
      <c r="B6166" s="38">
        <v>51359.0</v>
      </c>
      <c r="C6166" s="38" t="s">
        <v>9448</v>
      </c>
      <c r="D6166" s="38" t="str">
        <f>IFERROR(__xludf.DUMMYFUNCTION("REGEXREPLACE(C6166,""-\d+(.*)|--\d+(.*)"","""")"),"MECRINGES")</f>
        <v>MECRINGES</v>
      </c>
      <c r="E6166" s="38" t="s">
        <v>129</v>
      </c>
      <c r="F6166" s="38" t="s">
        <v>130</v>
      </c>
      <c r="G6166" s="49" t="str">
        <f t="shared" si="1"/>
        <v>51210</v>
      </c>
      <c r="H6166" s="49">
        <f t="shared" si="2"/>
        <v>51359</v>
      </c>
    </row>
    <row r="6167">
      <c r="A6167" s="48" t="s">
        <v>4682</v>
      </c>
      <c r="B6167" s="38">
        <v>50207.0</v>
      </c>
      <c r="C6167" s="38" t="s">
        <v>9449</v>
      </c>
      <c r="D6167" s="38" t="str">
        <f>IFERROR(__xludf.DUMMYFUNCTION("REGEXREPLACE(C6167,""-\d+(.*)|--\d+(.*)"","""")"),"GOLLEVILLE")</f>
        <v>GOLLEVILLE</v>
      </c>
      <c r="E6167" s="38" t="s">
        <v>157</v>
      </c>
      <c r="F6167" s="38" t="s">
        <v>138</v>
      </c>
      <c r="G6167" s="49" t="str">
        <f t="shared" si="1"/>
        <v>50390</v>
      </c>
      <c r="H6167" s="49">
        <f t="shared" si="2"/>
        <v>50207</v>
      </c>
    </row>
    <row r="6168">
      <c r="A6168" s="48" t="s">
        <v>1276</v>
      </c>
      <c r="B6168" s="38">
        <v>64141.0</v>
      </c>
      <c r="C6168" s="38" t="s">
        <v>9450</v>
      </c>
      <c r="D6168" s="38" t="str">
        <f>IFERROR(__xludf.DUMMYFUNCTION("REGEXREPLACE(C6168,""-\d+(.*)|--\d+(.*)"","""")"),"BOUEILH-BOUEILHO-LASQUE")</f>
        <v>BOUEILH-BOUEILHO-LASQUE</v>
      </c>
      <c r="E6168" s="38" t="s">
        <v>268</v>
      </c>
      <c r="F6168" s="38" t="s">
        <v>252</v>
      </c>
      <c r="G6168" s="49" t="str">
        <f t="shared" si="1"/>
        <v>64330</v>
      </c>
      <c r="H6168" s="49">
        <f t="shared" si="2"/>
        <v>64141</v>
      </c>
    </row>
    <row r="6169">
      <c r="A6169" s="48" t="s">
        <v>1632</v>
      </c>
      <c r="B6169" s="38">
        <v>63458.0</v>
      </c>
      <c r="C6169" s="38" t="s">
        <v>9167</v>
      </c>
      <c r="D6169" s="38" t="str">
        <f>IFERROR(__xludf.DUMMYFUNCTION("REGEXREPLACE(C6169,""-\d+(.*)|--\d+(.*)"","""")"),"VILLENEUVE")</f>
        <v>VILLENEUVE</v>
      </c>
      <c r="E6169" s="38" t="s">
        <v>353</v>
      </c>
      <c r="F6169" s="38" t="s">
        <v>161</v>
      </c>
      <c r="G6169" s="49" t="str">
        <f t="shared" si="1"/>
        <v>63340</v>
      </c>
      <c r="H6169" s="49">
        <f t="shared" si="2"/>
        <v>63458</v>
      </c>
    </row>
    <row r="6170">
      <c r="A6170" s="48" t="s">
        <v>9451</v>
      </c>
      <c r="B6170" s="38">
        <v>22200.0</v>
      </c>
      <c r="C6170" s="38" t="s">
        <v>9452</v>
      </c>
      <c r="D6170" s="38" t="str">
        <f>IFERROR(__xludf.DUMMYFUNCTION("REGEXREPLACE(C6170,""-\d+(.*)|--\d+(.*)"","""")"),"PLEVEN")</f>
        <v>PLEVEN</v>
      </c>
      <c r="E6170" s="38" t="s">
        <v>89</v>
      </c>
      <c r="F6170" s="38" t="s">
        <v>90</v>
      </c>
      <c r="G6170" s="49" t="str">
        <f t="shared" si="1"/>
        <v>22130</v>
      </c>
      <c r="H6170" s="49">
        <f t="shared" si="2"/>
        <v>22200</v>
      </c>
    </row>
    <row r="6171">
      <c r="A6171" s="48" t="s">
        <v>2907</v>
      </c>
      <c r="B6171" s="38">
        <v>22039.0</v>
      </c>
      <c r="C6171" s="38" t="s">
        <v>9453</v>
      </c>
      <c r="D6171" s="38" t="str">
        <f>IFERROR(__xludf.DUMMYFUNCTION("REGEXREPLACE(C6171,""-\d+(.*)|--\d+(.*)"","""")"),"LA CHEZE")</f>
        <v>LA CHEZE</v>
      </c>
      <c r="E6171" s="38" t="s">
        <v>89</v>
      </c>
      <c r="F6171" s="38" t="s">
        <v>90</v>
      </c>
      <c r="G6171" s="49" t="str">
        <f t="shared" si="1"/>
        <v>22210</v>
      </c>
      <c r="H6171" s="49">
        <f t="shared" si="2"/>
        <v>22039</v>
      </c>
    </row>
    <row r="6172">
      <c r="A6172" s="48" t="s">
        <v>1841</v>
      </c>
      <c r="B6172" s="38">
        <v>27287.0</v>
      </c>
      <c r="C6172" s="38" t="s">
        <v>9454</v>
      </c>
      <c r="D6172" s="38" t="str">
        <f>IFERROR(__xludf.DUMMYFUNCTION("REGEXREPLACE(C6172,""-\d+(.*)|--\d+(.*)"","""")"),"GLISOLLES")</f>
        <v>GLISOLLES</v>
      </c>
      <c r="E6172" s="38" t="s">
        <v>241</v>
      </c>
      <c r="F6172" s="38" t="s">
        <v>134</v>
      </c>
      <c r="G6172" s="49" t="str">
        <f t="shared" si="1"/>
        <v>27190</v>
      </c>
      <c r="H6172" s="49">
        <f t="shared" si="2"/>
        <v>27287</v>
      </c>
    </row>
    <row r="6173">
      <c r="A6173" s="48" t="s">
        <v>9455</v>
      </c>
      <c r="B6173" s="38">
        <v>60534.0</v>
      </c>
      <c r="C6173" s="38" t="s">
        <v>9456</v>
      </c>
      <c r="D6173" s="38" t="str">
        <f>IFERROR(__xludf.DUMMYFUNCTION("REGEXREPLACE(C6173,""-\d+(.*)|--\d+(.*)"","""")"),"RETHONDES")</f>
        <v>RETHONDES</v>
      </c>
      <c r="E6173" s="38" t="s">
        <v>112</v>
      </c>
      <c r="F6173" s="38" t="s">
        <v>113</v>
      </c>
      <c r="G6173" s="49" t="str">
        <f t="shared" si="1"/>
        <v>60153</v>
      </c>
      <c r="H6173" s="49">
        <f t="shared" si="2"/>
        <v>60534</v>
      </c>
    </row>
    <row r="6174">
      <c r="A6174" s="48" t="s">
        <v>9457</v>
      </c>
      <c r="B6174" s="38">
        <v>5127.0</v>
      </c>
      <c r="C6174" s="38" t="s">
        <v>3897</v>
      </c>
      <c r="D6174" s="38" t="str">
        <f>IFERROR(__xludf.DUMMYFUNCTION("REGEXREPLACE(C6174,""-\d+(.*)|--\d+(.*)"","""")"),"ROUSSET")</f>
        <v>ROUSSET</v>
      </c>
      <c r="E6174" s="38" t="s">
        <v>706</v>
      </c>
      <c r="F6174" s="38" t="s">
        <v>228</v>
      </c>
      <c r="G6174" s="49" t="str">
        <f t="shared" si="1"/>
        <v>05190</v>
      </c>
      <c r="H6174" s="49" t="str">
        <f t="shared" si="2"/>
        <v>05127</v>
      </c>
    </row>
    <row r="6175">
      <c r="A6175" s="48" t="s">
        <v>3133</v>
      </c>
      <c r="B6175" s="38">
        <v>79096.0</v>
      </c>
      <c r="C6175" s="38" t="s">
        <v>9458</v>
      </c>
      <c r="D6175" s="38" t="str">
        <f>IFERROR(__xludf.DUMMYFUNCTION("REGEXREPLACE(C6175,""-\d+(.*)|--\d+(.*)"","""")"),"COMBRAND")</f>
        <v>COMBRAND</v>
      </c>
      <c r="E6175" s="38" t="s">
        <v>337</v>
      </c>
      <c r="F6175" s="38" t="s">
        <v>338</v>
      </c>
      <c r="G6175" s="49" t="str">
        <f t="shared" si="1"/>
        <v>79140</v>
      </c>
      <c r="H6175" s="49">
        <f t="shared" si="2"/>
        <v>79096</v>
      </c>
    </row>
    <row r="6176">
      <c r="A6176" s="48" t="s">
        <v>9459</v>
      </c>
      <c r="B6176" s="38">
        <v>6162.0</v>
      </c>
      <c r="C6176" s="38" t="s">
        <v>9460</v>
      </c>
      <c r="D6176" s="38" t="str">
        <f>IFERROR(__xludf.DUMMYFUNCTION("REGEXREPLACE(C6176,""-\d+(.*)|--\d+(.*)"","""")"),"LA BRIGUE")</f>
        <v>LA BRIGUE</v>
      </c>
      <c r="E6176" s="38" t="s">
        <v>227</v>
      </c>
      <c r="F6176" s="38" t="s">
        <v>228</v>
      </c>
      <c r="G6176" s="49" t="str">
        <f t="shared" si="1"/>
        <v>06430</v>
      </c>
      <c r="H6176" s="49" t="str">
        <f t="shared" si="2"/>
        <v>06162</v>
      </c>
    </row>
    <row r="6177">
      <c r="A6177" s="48" t="s">
        <v>4018</v>
      </c>
      <c r="B6177" s="38">
        <v>55340.0</v>
      </c>
      <c r="C6177" s="38" t="s">
        <v>9461</v>
      </c>
      <c r="D6177" s="38" t="str">
        <f>IFERROR(__xludf.DUMMYFUNCTION("REGEXREPLACE(C6177,""-\d+(.*)|--\d+(.*)"","""")"),"MOGNEVILLE")</f>
        <v>MOGNEVILLE</v>
      </c>
      <c r="E6177" s="38" t="s">
        <v>322</v>
      </c>
      <c r="F6177" s="38" t="s">
        <v>195</v>
      </c>
      <c r="G6177" s="49" t="str">
        <f t="shared" si="1"/>
        <v>55800</v>
      </c>
      <c r="H6177" s="49">
        <f t="shared" si="2"/>
        <v>55340</v>
      </c>
    </row>
    <row r="6178">
      <c r="A6178" s="48" t="s">
        <v>6829</v>
      </c>
      <c r="B6178" s="38">
        <v>17219.0</v>
      </c>
      <c r="C6178" s="38" t="s">
        <v>9462</v>
      </c>
      <c r="D6178" s="38" t="str">
        <f>IFERROR(__xludf.DUMMYFUNCTION("REGEXREPLACE(C6178,""-\d+(.*)|--\d+(.*)"","""")"),"MARENNES")</f>
        <v>MARENNES</v>
      </c>
      <c r="E6178" s="38" t="s">
        <v>488</v>
      </c>
      <c r="F6178" s="38" t="s">
        <v>338</v>
      </c>
      <c r="G6178" s="49" t="str">
        <f t="shared" si="1"/>
        <v>17320</v>
      </c>
      <c r="H6178" s="49">
        <f t="shared" si="2"/>
        <v>17219</v>
      </c>
    </row>
    <row r="6179">
      <c r="A6179" s="48" t="s">
        <v>309</v>
      </c>
      <c r="B6179" s="38">
        <v>48033.0</v>
      </c>
      <c r="C6179" s="38" t="s">
        <v>9463</v>
      </c>
      <c r="D6179" s="38" t="str">
        <f>IFERROR(__xludf.DUMMYFUNCTION("REGEXREPLACE(C6179,""-\d+(.*)|--\d+(.*)"","""")"),"CANILHAC")</f>
        <v>CANILHAC</v>
      </c>
      <c r="E6179" s="38" t="s">
        <v>154</v>
      </c>
      <c r="F6179" s="38" t="s">
        <v>119</v>
      </c>
      <c r="G6179" s="49" t="str">
        <f t="shared" si="1"/>
        <v>48500</v>
      </c>
      <c r="H6179" s="49">
        <f t="shared" si="2"/>
        <v>48033</v>
      </c>
    </row>
    <row r="6180">
      <c r="A6180" s="48" t="s">
        <v>6038</v>
      </c>
      <c r="B6180" s="38">
        <v>88238.0</v>
      </c>
      <c r="C6180" s="38" t="s">
        <v>9464</v>
      </c>
      <c r="D6180" s="38" t="str">
        <f>IFERROR(__xludf.DUMMYFUNCTION("REGEXREPLACE(C6180,""-\d+(.*)|--\d+(.*)"","""")"),"HENNEZEL")</f>
        <v>HENNEZEL</v>
      </c>
      <c r="E6180" s="38" t="s">
        <v>194</v>
      </c>
      <c r="F6180" s="38" t="s">
        <v>195</v>
      </c>
      <c r="G6180" s="49" t="str">
        <f t="shared" si="1"/>
        <v>88260</v>
      </c>
      <c r="H6180" s="49">
        <f t="shared" si="2"/>
        <v>88238</v>
      </c>
    </row>
    <row r="6181">
      <c r="A6181" s="48" t="s">
        <v>5634</v>
      </c>
      <c r="B6181" s="38">
        <v>72221.0</v>
      </c>
      <c r="C6181" s="38" t="s">
        <v>9465</v>
      </c>
      <c r="D6181" s="38" t="str">
        <f>IFERROR(__xludf.DUMMYFUNCTION("REGEXREPLACE(C6181,""-\d+(.*)|--\d+(.*)"","""")"),"NOGENT-SUR-LOIR")</f>
        <v>NOGENT-SUR-LOIR</v>
      </c>
      <c r="E6181" s="38" t="s">
        <v>521</v>
      </c>
      <c r="F6181" s="38" t="s">
        <v>180</v>
      </c>
      <c r="G6181" s="49" t="str">
        <f t="shared" si="1"/>
        <v>72500</v>
      </c>
      <c r="H6181" s="49">
        <f t="shared" si="2"/>
        <v>72221</v>
      </c>
    </row>
    <row r="6182">
      <c r="A6182" s="48" t="s">
        <v>7371</v>
      </c>
      <c r="B6182" s="38">
        <v>17009.0</v>
      </c>
      <c r="C6182" s="38" t="s">
        <v>9466</v>
      </c>
      <c r="D6182" s="38" t="str">
        <f>IFERROR(__xludf.DUMMYFUNCTION("REGEXREPLACE(C6182,""-\d+(.*)|--\d+(.*)"","""")"),"ANGLIERS")</f>
        <v>ANGLIERS</v>
      </c>
      <c r="E6182" s="38" t="s">
        <v>488</v>
      </c>
      <c r="F6182" s="38" t="s">
        <v>338</v>
      </c>
      <c r="G6182" s="49" t="str">
        <f t="shared" si="1"/>
        <v>17540</v>
      </c>
      <c r="H6182" s="49">
        <f t="shared" si="2"/>
        <v>17009</v>
      </c>
    </row>
    <row r="6183">
      <c r="A6183" s="48" t="s">
        <v>9467</v>
      </c>
      <c r="B6183" s="38">
        <v>67359.0</v>
      </c>
      <c r="C6183" s="38" t="s">
        <v>9468</v>
      </c>
      <c r="D6183" s="38" t="str">
        <f>IFERROR(__xludf.DUMMYFUNCTION("REGEXREPLACE(C6183,""-\d+(.*)|--\d+(.*)"","""")"),"OHLUNGEN")</f>
        <v>OHLUNGEN</v>
      </c>
      <c r="E6183" s="38" t="s">
        <v>210</v>
      </c>
      <c r="F6183" s="38" t="s">
        <v>151</v>
      </c>
      <c r="G6183" s="49" t="str">
        <f t="shared" si="1"/>
        <v>67590</v>
      </c>
      <c r="H6183" s="49">
        <f t="shared" si="2"/>
        <v>67359</v>
      </c>
    </row>
    <row r="6184">
      <c r="A6184" s="48" t="s">
        <v>3675</v>
      </c>
      <c r="B6184" s="38">
        <v>58284.0</v>
      </c>
      <c r="C6184" s="38" t="s">
        <v>9469</v>
      </c>
      <c r="D6184" s="38" t="str">
        <f>IFERROR(__xludf.DUMMYFUNCTION("REGEXREPLACE(C6184,""-\d+(.*)|--\d+(.*)"","""")"),"TALON")</f>
        <v>TALON</v>
      </c>
      <c r="E6184" s="38" t="s">
        <v>219</v>
      </c>
      <c r="F6184" s="38" t="s">
        <v>106</v>
      </c>
      <c r="G6184" s="49" t="str">
        <f t="shared" si="1"/>
        <v>58190</v>
      </c>
      <c r="H6184" s="49">
        <f t="shared" si="2"/>
        <v>58284</v>
      </c>
    </row>
    <row r="6185">
      <c r="A6185" s="48" t="s">
        <v>1471</v>
      </c>
      <c r="B6185" s="38">
        <v>3256.0</v>
      </c>
      <c r="C6185" s="38" t="s">
        <v>9470</v>
      </c>
      <c r="D6185" s="38" t="str">
        <f>IFERROR(__xludf.DUMMYFUNCTION("REGEXREPLACE(C6185,""-\d+(.*)|--\d+(.*)"","""")"),"SAINT-PRIEST-EN-MURAT")</f>
        <v>SAINT-PRIEST-EN-MURAT</v>
      </c>
      <c r="E6185" s="38" t="s">
        <v>160</v>
      </c>
      <c r="F6185" s="38" t="s">
        <v>161</v>
      </c>
      <c r="G6185" s="49" t="str">
        <f t="shared" si="1"/>
        <v>03390</v>
      </c>
      <c r="H6185" s="49" t="str">
        <f t="shared" si="2"/>
        <v>03256</v>
      </c>
    </row>
    <row r="6186">
      <c r="A6186" s="48" t="s">
        <v>4773</v>
      </c>
      <c r="B6186" s="38">
        <v>87137.0</v>
      </c>
      <c r="C6186" s="38" t="s">
        <v>9471</v>
      </c>
      <c r="D6186" s="38" t="str">
        <f>IFERROR(__xludf.DUMMYFUNCTION("REGEXREPLACE(C6186,""-\d+(.*)|--\d+(.*)"","""")"),"SAINT-BAZILE")</f>
        <v>SAINT-BAZILE</v>
      </c>
      <c r="E6186" s="38" t="s">
        <v>897</v>
      </c>
      <c r="F6186" s="38" t="s">
        <v>98</v>
      </c>
      <c r="G6186" s="49" t="str">
        <f t="shared" si="1"/>
        <v>87150</v>
      </c>
      <c r="H6186" s="49">
        <f t="shared" si="2"/>
        <v>87137</v>
      </c>
    </row>
    <row r="6187">
      <c r="A6187" s="48" t="s">
        <v>9472</v>
      </c>
      <c r="B6187" s="38">
        <v>30062.0</v>
      </c>
      <c r="C6187" s="38" t="s">
        <v>9473</v>
      </c>
      <c r="D6187" s="38" t="str">
        <f>IFERROR(__xludf.DUMMYFUNCTION("REGEXREPLACE(C6187,""-\d+(.*)|--\d+(.*)"","""")"),"CALVISSON")</f>
        <v>CALVISSON</v>
      </c>
      <c r="E6187" s="38" t="s">
        <v>526</v>
      </c>
      <c r="F6187" s="38" t="s">
        <v>119</v>
      </c>
      <c r="G6187" s="49" t="str">
        <f t="shared" si="1"/>
        <v>30420</v>
      </c>
      <c r="H6187" s="49">
        <f t="shared" si="2"/>
        <v>30062</v>
      </c>
    </row>
    <row r="6188">
      <c r="A6188" s="48" t="s">
        <v>6409</v>
      </c>
      <c r="B6188" s="38">
        <v>79172.0</v>
      </c>
      <c r="C6188" s="38" t="s">
        <v>9474</v>
      </c>
      <c r="D6188" s="38" t="str">
        <f>IFERROR(__xludf.DUMMYFUNCTION("REGEXREPLACE(C6188,""-\d+(.*)|--\d+(.*)"","""")"),"MAZIERES-EN-GATINE")</f>
        <v>MAZIERES-EN-GATINE</v>
      </c>
      <c r="E6188" s="38" t="s">
        <v>337</v>
      </c>
      <c r="F6188" s="38" t="s">
        <v>338</v>
      </c>
      <c r="G6188" s="49" t="str">
        <f t="shared" si="1"/>
        <v>79310</v>
      </c>
      <c r="H6188" s="49">
        <f t="shared" si="2"/>
        <v>79172</v>
      </c>
    </row>
    <row r="6189">
      <c r="A6189" s="48" t="s">
        <v>9475</v>
      </c>
      <c r="B6189" s="38">
        <v>38155.0</v>
      </c>
      <c r="C6189" s="38" t="s">
        <v>9476</v>
      </c>
      <c r="D6189" s="38" t="str">
        <f>IFERROR(__xludf.DUMMYFUNCTION("REGEXREPLACE(C6189,""-\d+(.*)|--\d+(.*)"","""")"),"ENTRE-DEUX-GUIERS")</f>
        <v>ENTRE-DEUX-GUIERS</v>
      </c>
      <c r="E6189" s="38" t="s">
        <v>101</v>
      </c>
      <c r="F6189" s="38" t="s">
        <v>102</v>
      </c>
      <c r="G6189" s="49" t="str">
        <f t="shared" si="1"/>
        <v>38380</v>
      </c>
      <c r="H6189" s="49">
        <f t="shared" si="2"/>
        <v>38155</v>
      </c>
    </row>
    <row r="6190">
      <c r="A6190" s="48" t="s">
        <v>9477</v>
      </c>
      <c r="B6190" s="38">
        <v>59653.0</v>
      </c>
      <c r="C6190" s="38" t="s">
        <v>9478</v>
      </c>
      <c r="D6190" s="38" t="str">
        <f>IFERROR(__xludf.DUMMYFUNCTION("REGEXREPLACE(C6190,""-\d+(.*)|--\d+(.*)"","""")"),"WAVRIN")</f>
        <v>WAVRIN</v>
      </c>
      <c r="E6190" s="38" t="s">
        <v>85</v>
      </c>
      <c r="F6190" s="38" t="s">
        <v>86</v>
      </c>
      <c r="G6190" s="49" t="str">
        <f t="shared" si="1"/>
        <v>59136</v>
      </c>
      <c r="H6190" s="49">
        <f t="shared" si="2"/>
        <v>59653</v>
      </c>
    </row>
    <row r="6191">
      <c r="A6191" s="48" t="s">
        <v>8338</v>
      </c>
      <c r="B6191" s="38">
        <v>47167.0</v>
      </c>
      <c r="C6191" s="38" t="s">
        <v>9479</v>
      </c>
      <c r="D6191" s="38" t="str">
        <f>IFERROR(__xludf.DUMMYFUNCTION("REGEXREPLACE(C6191,""-\d+(.*)|--\d+(.*)"","""")"),"MEZIN")</f>
        <v>MEZIN</v>
      </c>
      <c r="E6191" s="38" t="s">
        <v>251</v>
      </c>
      <c r="F6191" s="38" t="s">
        <v>252</v>
      </c>
      <c r="G6191" s="49" t="str">
        <f t="shared" si="1"/>
        <v>47170</v>
      </c>
      <c r="H6191" s="49">
        <f t="shared" si="2"/>
        <v>47167</v>
      </c>
    </row>
    <row r="6192">
      <c r="A6192" s="48" t="s">
        <v>8032</v>
      </c>
      <c r="B6192" s="38">
        <v>46159.0</v>
      </c>
      <c r="C6192" s="38" t="s">
        <v>9480</v>
      </c>
      <c r="D6192" s="38" t="str">
        <f>IFERROR(__xludf.DUMMYFUNCTION("REGEXREPLACE(C6192,""-\d+(.*)|--\d+(.*)"","""")"),"LATOUILLE-LENTILLAC")</f>
        <v>LATOUILLE-LENTILLAC</v>
      </c>
      <c r="E6192" s="38" t="s">
        <v>185</v>
      </c>
      <c r="F6192" s="38" t="s">
        <v>94</v>
      </c>
      <c r="G6192" s="49" t="str">
        <f t="shared" si="1"/>
        <v>46400</v>
      </c>
      <c r="H6192" s="49">
        <f t="shared" si="2"/>
        <v>46159</v>
      </c>
    </row>
    <row r="6193">
      <c r="A6193" s="48" t="s">
        <v>9481</v>
      </c>
      <c r="B6193" s="38">
        <v>15175.0</v>
      </c>
      <c r="C6193" s="38" t="s">
        <v>9482</v>
      </c>
      <c r="D6193" s="38" t="str">
        <f>IFERROR(__xludf.DUMMYFUNCTION("REGEXREPLACE(C6193,""-\d+(.*)|--\d+(.*)"","""")"),"SAINT-CERNIN")</f>
        <v>SAINT-CERNIN</v>
      </c>
      <c r="E6193" s="38" t="s">
        <v>632</v>
      </c>
      <c r="F6193" s="38" t="s">
        <v>161</v>
      </c>
      <c r="G6193" s="49" t="str">
        <f t="shared" si="1"/>
        <v>15310</v>
      </c>
      <c r="H6193" s="49">
        <f t="shared" si="2"/>
        <v>15175</v>
      </c>
    </row>
    <row r="6194">
      <c r="A6194" s="48" t="s">
        <v>4642</v>
      </c>
      <c r="B6194" s="38">
        <v>21295.0</v>
      </c>
      <c r="C6194" s="38" t="s">
        <v>9483</v>
      </c>
      <c r="D6194" s="38" t="str">
        <f>IFERROR(__xludf.DUMMYFUNCTION("REGEXREPLACE(C6194,""-\d+(.*)|--\d+(.*)"","""")"),"GEVREY-CHAMBERTIN")</f>
        <v>GEVREY-CHAMBERTIN</v>
      </c>
      <c r="E6194" s="38" t="s">
        <v>105</v>
      </c>
      <c r="F6194" s="38" t="s">
        <v>106</v>
      </c>
      <c r="G6194" s="49" t="str">
        <f t="shared" si="1"/>
        <v>21220</v>
      </c>
      <c r="H6194" s="49">
        <f t="shared" si="2"/>
        <v>21295</v>
      </c>
    </row>
    <row r="6195">
      <c r="A6195" s="48" t="s">
        <v>9484</v>
      </c>
      <c r="B6195" s="38">
        <v>61278.0</v>
      </c>
      <c r="C6195" s="38" t="s">
        <v>9485</v>
      </c>
      <c r="D6195" s="38" t="str">
        <f>IFERROR(__xludf.DUMMYFUNCTION("REGEXREPLACE(C6195,""-\d+(.*)|--\d+(.*)"","""")"),"MESSEI")</f>
        <v>MESSEI</v>
      </c>
      <c r="E6195" s="38" t="s">
        <v>141</v>
      </c>
      <c r="F6195" s="38" t="s">
        <v>138</v>
      </c>
      <c r="G6195" s="49" t="str">
        <f t="shared" si="1"/>
        <v>61440</v>
      </c>
      <c r="H6195" s="49">
        <f t="shared" si="2"/>
        <v>61278</v>
      </c>
    </row>
    <row r="6196">
      <c r="A6196" s="48" t="s">
        <v>4728</v>
      </c>
      <c r="B6196" s="38">
        <v>37241.0</v>
      </c>
      <c r="C6196" s="38" t="s">
        <v>9486</v>
      </c>
      <c r="D6196" s="38" t="str">
        <f>IFERROR(__xludf.DUMMYFUNCTION("REGEXREPLACE(C6196,""-\d+(.*)|--\d+(.*)"","""")"),"SAVIGNE-SUR-LATHAN")</f>
        <v>SAVIGNE-SUR-LATHAN</v>
      </c>
      <c r="E6196" s="38" t="s">
        <v>205</v>
      </c>
      <c r="F6196" s="38" t="s">
        <v>123</v>
      </c>
      <c r="G6196" s="49" t="str">
        <f t="shared" si="1"/>
        <v>37340</v>
      </c>
      <c r="H6196" s="49">
        <f t="shared" si="2"/>
        <v>37241</v>
      </c>
    </row>
    <row r="6197">
      <c r="A6197" s="48" t="s">
        <v>4722</v>
      </c>
      <c r="B6197" s="38">
        <v>81171.0</v>
      </c>
      <c r="C6197" s="38" t="s">
        <v>9487</v>
      </c>
      <c r="D6197" s="38" t="str">
        <f>IFERROR(__xludf.DUMMYFUNCTION("REGEXREPLACE(C6197,""-\d+(.*)|--\d+(.*)"","""")"),"MONTANS")</f>
        <v>MONTANS</v>
      </c>
      <c r="E6197" s="38" t="s">
        <v>231</v>
      </c>
      <c r="F6197" s="38" t="s">
        <v>94</v>
      </c>
      <c r="G6197" s="49" t="str">
        <f t="shared" si="1"/>
        <v>81600</v>
      </c>
      <c r="H6197" s="49">
        <f t="shared" si="2"/>
        <v>81171</v>
      </c>
    </row>
    <row r="6198">
      <c r="A6198" s="48" t="s">
        <v>7741</v>
      </c>
      <c r="B6198" s="38">
        <v>37263.0</v>
      </c>
      <c r="C6198" s="38" t="s">
        <v>9488</v>
      </c>
      <c r="D6198" s="38" t="str">
        <f>IFERROR(__xludf.DUMMYFUNCTION("REGEXREPLACE(C6198,""-\d+(.*)|--\d+(.*)"","""")"),"TRUYES")</f>
        <v>TRUYES</v>
      </c>
      <c r="E6198" s="38" t="s">
        <v>205</v>
      </c>
      <c r="F6198" s="38" t="s">
        <v>123</v>
      </c>
      <c r="G6198" s="49" t="str">
        <f t="shared" si="1"/>
        <v>37320</v>
      </c>
      <c r="H6198" s="49">
        <f t="shared" si="2"/>
        <v>37263</v>
      </c>
    </row>
    <row r="6199">
      <c r="A6199" s="48" t="s">
        <v>7365</v>
      </c>
      <c r="B6199" s="38">
        <v>18134.0</v>
      </c>
      <c r="C6199" s="38" t="s">
        <v>9489</v>
      </c>
      <c r="D6199" s="38" t="str">
        <f>IFERROR(__xludf.DUMMYFUNCTION("REGEXREPLACE(C6199,""-\d+(.*)|--\d+(.*)"","""")"),"LURY-SUR-ARNON")</f>
        <v>LURY-SUR-ARNON</v>
      </c>
      <c r="E6199" s="38" t="s">
        <v>504</v>
      </c>
      <c r="F6199" s="38" t="s">
        <v>123</v>
      </c>
      <c r="G6199" s="49" t="str">
        <f t="shared" si="1"/>
        <v>18120</v>
      </c>
      <c r="H6199" s="49">
        <f t="shared" si="2"/>
        <v>18134</v>
      </c>
    </row>
    <row r="6200">
      <c r="A6200" s="48" t="s">
        <v>1102</v>
      </c>
      <c r="B6200" s="38">
        <v>35007.0</v>
      </c>
      <c r="C6200" s="38" t="s">
        <v>5628</v>
      </c>
      <c r="D6200" s="38" t="str">
        <f>IFERROR(__xludf.DUMMYFUNCTION("REGEXREPLACE(C6200,""-\d+(.*)|--\d+(.*)"","""")"),"AUBIGNE")</f>
        <v>AUBIGNE</v>
      </c>
      <c r="E6200" s="38" t="s">
        <v>347</v>
      </c>
      <c r="F6200" s="38" t="s">
        <v>90</v>
      </c>
      <c r="G6200" s="49" t="str">
        <f t="shared" si="1"/>
        <v>35250</v>
      </c>
      <c r="H6200" s="49">
        <f t="shared" si="2"/>
        <v>35007</v>
      </c>
    </row>
    <row r="6201">
      <c r="A6201" s="48" t="s">
        <v>4596</v>
      </c>
      <c r="B6201" s="38">
        <v>2411.0</v>
      </c>
      <c r="C6201" s="38" t="s">
        <v>9490</v>
      </c>
      <c r="D6201" s="38" t="str">
        <f>IFERROR(__xludf.DUMMYFUNCTION("REGEXREPLACE(C6201,""-\d+(.*)|--\d+(.*)"","""")"),"LATILLY")</f>
        <v>LATILLY</v>
      </c>
      <c r="E6201" s="38" t="s">
        <v>191</v>
      </c>
      <c r="F6201" s="38" t="s">
        <v>113</v>
      </c>
      <c r="G6201" s="49" t="str">
        <f t="shared" si="1"/>
        <v>02210</v>
      </c>
      <c r="H6201" s="49" t="str">
        <f t="shared" si="2"/>
        <v>02411</v>
      </c>
    </row>
    <row r="6202">
      <c r="A6202" s="48" t="s">
        <v>7423</v>
      </c>
      <c r="B6202" s="38">
        <v>22156.0</v>
      </c>
      <c r="C6202" s="38" t="s">
        <v>9491</v>
      </c>
      <c r="D6202" s="38" t="str">
        <f>IFERROR(__xludf.DUMMYFUNCTION("REGEXREPLACE(C6202,""-\d+(.*)|--\d+(.*)"","""")"),"MOUSTERU")</f>
        <v>MOUSTERU</v>
      </c>
      <c r="E6202" s="38" t="s">
        <v>89</v>
      </c>
      <c r="F6202" s="38" t="s">
        <v>90</v>
      </c>
      <c r="G6202" s="49" t="str">
        <f t="shared" si="1"/>
        <v>22200</v>
      </c>
      <c r="H6202" s="49">
        <f t="shared" si="2"/>
        <v>22156</v>
      </c>
    </row>
    <row r="6203">
      <c r="A6203" s="48" t="s">
        <v>3026</v>
      </c>
      <c r="B6203" s="38">
        <v>2498.0</v>
      </c>
      <c r="C6203" s="38" t="s">
        <v>9492</v>
      </c>
      <c r="D6203" s="38" t="str">
        <f>IFERROR(__xludf.DUMMYFUNCTION("REGEXREPLACE(C6203,""-\d+(.*)|--\d+(.*)"","""")"),"MONTAIGU")</f>
        <v>MONTAIGU</v>
      </c>
      <c r="E6203" s="38" t="s">
        <v>191</v>
      </c>
      <c r="F6203" s="38" t="s">
        <v>113</v>
      </c>
      <c r="G6203" s="49" t="str">
        <f t="shared" si="1"/>
        <v>02820</v>
      </c>
      <c r="H6203" s="49" t="str">
        <f t="shared" si="2"/>
        <v>02498</v>
      </c>
    </row>
    <row r="6204">
      <c r="A6204" s="48" t="s">
        <v>1120</v>
      </c>
      <c r="B6204" s="38">
        <v>64541.0</v>
      </c>
      <c r="C6204" s="38" t="s">
        <v>9493</v>
      </c>
      <c r="D6204" s="38" t="str">
        <f>IFERROR(__xludf.DUMMYFUNCTION("REGEXREPLACE(C6204,""-\d+(.*)|--\d+(.*)"","""")"),"URDES")</f>
        <v>URDES</v>
      </c>
      <c r="E6204" s="38" t="s">
        <v>268</v>
      </c>
      <c r="F6204" s="38" t="s">
        <v>252</v>
      </c>
      <c r="G6204" s="49" t="str">
        <f t="shared" si="1"/>
        <v>64370</v>
      </c>
      <c r="H6204" s="49">
        <f t="shared" si="2"/>
        <v>64541</v>
      </c>
    </row>
    <row r="6205">
      <c r="A6205" s="48" t="s">
        <v>6805</v>
      </c>
      <c r="B6205" s="38">
        <v>79253.0</v>
      </c>
      <c r="C6205" s="38" t="s">
        <v>9494</v>
      </c>
      <c r="D6205" s="38" t="str">
        <f>IFERROR(__xludf.DUMMYFUNCTION("REGEXREPLACE(C6205,""-\d+(.*)|--\d+(.*)"","""")"),"SAINT-GEORGES-DE-NOISNE")</f>
        <v>SAINT-GEORGES-DE-NOISNE</v>
      </c>
      <c r="E6205" s="38" t="s">
        <v>337</v>
      </c>
      <c r="F6205" s="38" t="s">
        <v>338</v>
      </c>
      <c r="G6205" s="49" t="str">
        <f t="shared" si="1"/>
        <v>79400</v>
      </c>
      <c r="H6205" s="49">
        <f t="shared" si="2"/>
        <v>79253</v>
      </c>
    </row>
    <row r="6206">
      <c r="A6206" s="48" t="s">
        <v>3458</v>
      </c>
      <c r="B6206" s="38">
        <v>52005.0</v>
      </c>
      <c r="C6206" s="38" t="s">
        <v>9495</v>
      </c>
      <c r="D6206" s="38" t="str">
        <f>IFERROR(__xludf.DUMMYFUNCTION("REGEXREPLACE(C6206,""-\d+(.*)|--\d+(.*)"","""")"),"AIZANVILLE")</f>
        <v>AIZANVILLE</v>
      </c>
      <c r="E6206" s="38" t="s">
        <v>234</v>
      </c>
      <c r="F6206" s="38" t="s">
        <v>130</v>
      </c>
      <c r="G6206" s="49" t="str">
        <f t="shared" si="1"/>
        <v>52120</v>
      </c>
      <c r="H6206" s="49">
        <f t="shared" si="2"/>
        <v>52005</v>
      </c>
    </row>
    <row r="6207">
      <c r="A6207" s="48" t="s">
        <v>8327</v>
      </c>
      <c r="B6207" s="38">
        <v>71108.0</v>
      </c>
      <c r="C6207" s="38" t="s">
        <v>9496</v>
      </c>
      <c r="D6207" s="38" t="str">
        <f>IFERROR(__xludf.DUMMYFUNCTION("REGEXREPLACE(C6207,""-\d+(.*)|--\d+(.*)"","""")"),"CHASSELAS")</f>
        <v>CHASSELAS</v>
      </c>
      <c r="E6207" s="38" t="s">
        <v>344</v>
      </c>
      <c r="F6207" s="38" t="s">
        <v>106</v>
      </c>
      <c r="G6207" s="49" t="str">
        <f t="shared" si="1"/>
        <v>71570</v>
      </c>
      <c r="H6207" s="49">
        <f t="shared" si="2"/>
        <v>71108</v>
      </c>
    </row>
    <row r="6208">
      <c r="A6208" s="48" t="s">
        <v>3127</v>
      </c>
      <c r="B6208" s="38">
        <v>70190.0</v>
      </c>
      <c r="C6208" s="38" t="s">
        <v>9497</v>
      </c>
      <c r="D6208" s="38" t="str">
        <f>IFERROR(__xludf.DUMMYFUNCTION("REGEXREPLACE(C6208,""-\d+(.*)|--\d+(.*)"","""")"),"CUBRY-LES-FAVERNEY")</f>
        <v>CUBRY-LES-FAVERNEY</v>
      </c>
      <c r="E6208" s="38" t="s">
        <v>956</v>
      </c>
      <c r="F6208" s="38" t="s">
        <v>214</v>
      </c>
      <c r="G6208" s="49" t="str">
        <f t="shared" si="1"/>
        <v>70160</v>
      </c>
      <c r="H6208" s="49">
        <f t="shared" si="2"/>
        <v>70190</v>
      </c>
    </row>
    <row r="6209">
      <c r="A6209" s="48" t="s">
        <v>9498</v>
      </c>
      <c r="B6209" s="38">
        <v>79077.0</v>
      </c>
      <c r="C6209" s="38" t="s">
        <v>9499</v>
      </c>
      <c r="D6209" s="38" t="str">
        <f>IFERROR(__xludf.DUMMYFUNCTION("REGEXREPLACE(C6209,""-\d+(.*)|--\d+(.*)"","""")"),"LA CHAPELLE-THIREUIL")</f>
        <v>LA CHAPELLE-THIREUIL</v>
      </c>
      <c r="E6209" s="38" t="s">
        <v>337</v>
      </c>
      <c r="F6209" s="38" t="s">
        <v>338</v>
      </c>
      <c r="G6209" s="49" t="str">
        <f t="shared" si="1"/>
        <v>79160</v>
      </c>
      <c r="H6209" s="49">
        <f t="shared" si="2"/>
        <v>79077</v>
      </c>
    </row>
    <row r="6210">
      <c r="A6210" s="48" t="s">
        <v>9500</v>
      </c>
      <c r="B6210" s="38">
        <v>49358.0</v>
      </c>
      <c r="C6210" s="38" t="s">
        <v>9501</v>
      </c>
      <c r="D6210" s="38" t="str">
        <f>IFERROR(__xludf.DUMMYFUNCTION("REGEXREPLACE(C6210,""-\d+(.*)|--\d+(.*)"","""")"),"TURQUANT")</f>
        <v>TURQUANT</v>
      </c>
      <c r="E6210" s="38" t="s">
        <v>653</v>
      </c>
      <c r="F6210" s="38" t="s">
        <v>180</v>
      </c>
      <c r="G6210" s="49" t="str">
        <f t="shared" si="1"/>
        <v>49730</v>
      </c>
      <c r="H6210" s="49">
        <f t="shared" si="2"/>
        <v>49358</v>
      </c>
    </row>
    <row r="6211">
      <c r="A6211" s="48" t="s">
        <v>4882</v>
      </c>
      <c r="B6211" s="38">
        <v>89081.0</v>
      </c>
      <c r="C6211" s="38" t="s">
        <v>9502</v>
      </c>
      <c r="D6211" s="38" t="str">
        <f>IFERROR(__xludf.DUMMYFUNCTION("REGEXREPLACE(C6211,""-\d+(.*)|--\d+(.*)"","""")"),"LA CHAPELLE-VAUPELTEIGNE")</f>
        <v>LA CHAPELLE-VAUPELTEIGNE</v>
      </c>
      <c r="E6211" s="38" t="s">
        <v>275</v>
      </c>
      <c r="F6211" s="38" t="s">
        <v>106</v>
      </c>
      <c r="G6211" s="49" t="str">
        <f t="shared" si="1"/>
        <v>89800</v>
      </c>
      <c r="H6211" s="49">
        <f t="shared" si="2"/>
        <v>89081</v>
      </c>
    </row>
    <row r="6212">
      <c r="A6212" s="48" t="s">
        <v>9503</v>
      </c>
      <c r="B6212" s="38">
        <v>95063.0</v>
      </c>
      <c r="C6212" s="38" t="s">
        <v>9504</v>
      </c>
      <c r="D6212" s="38" t="str">
        <f>IFERROR(__xludf.DUMMYFUNCTION("REGEXREPLACE(C6212,""-\d+(.*)|--\d+(.*)"","""")"),"BEZONS")</f>
        <v>BEZONS</v>
      </c>
      <c r="E6212" s="38" t="s">
        <v>541</v>
      </c>
      <c r="F6212" s="38" t="s">
        <v>245</v>
      </c>
      <c r="G6212" s="49" t="str">
        <f t="shared" si="1"/>
        <v>95870</v>
      </c>
      <c r="H6212" s="49">
        <f t="shared" si="2"/>
        <v>95063</v>
      </c>
    </row>
    <row r="6213">
      <c r="A6213" s="48" t="s">
        <v>9505</v>
      </c>
      <c r="B6213" s="38">
        <v>85011.0</v>
      </c>
      <c r="C6213" s="38" t="s">
        <v>9506</v>
      </c>
      <c r="D6213" s="38" t="str">
        <f>IFERROR(__xludf.DUMMYFUNCTION("REGEXREPLACE(C6213,""-\d+(.*)|--\d+(.*)"","""")"),"BARBATRE")</f>
        <v>BARBATRE</v>
      </c>
      <c r="E6213" s="38" t="s">
        <v>179</v>
      </c>
      <c r="F6213" s="38" t="s">
        <v>180</v>
      </c>
      <c r="G6213" s="49" t="str">
        <f t="shared" si="1"/>
        <v>85630</v>
      </c>
      <c r="H6213" s="49">
        <f t="shared" si="2"/>
        <v>85011</v>
      </c>
    </row>
    <row r="6214">
      <c r="A6214" s="48" t="s">
        <v>3958</v>
      </c>
      <c r="B6214" s="38">
        <v>31351.0</v>
      </c>
      <c r="C6214" s="38" t="s">
        <v>9507</v>
      </c>
      <c r="D6214" s="38" t="str">
        <f>IFERROR(__xludf.DUMMYFUNCTION("REGEXREPLACE(C6214,""-\d+(.*)|--\d+(.*)"","""")"),"MONDONVILLE")</f>
        <v>MONDONVILLE</v>
      </c>
      <c r="E6214" s="38" t="s">
        <v>93</v>
      </c>
      <c r="F6214" s="38" t="s">
        <v>94</v>
      </c>
      <c r="G6214" s="49" t="str">
        <f t="shared" si="1"/>
        <v>31700</v>
      </c>
      <c r="H6214" s="49">
        <f t="shared" si="2"/>
        <v>31351</v>
      </c>
    </row>
    <row r="6215">
      <c r="A6215" s="48" t="s">
        <v>960</v>
      </c>
      <c r="B6215" s="38">
        <v>28098.0</v>
      </c>
      <c r="C6215" s="38" t="s">
        <v>9508</v>
      </c>
      <c r="D6215" s="38" t="str">
        <f>IFERROR(__xludf.DUMMYFUNCTION("REGEXREPLACE(C6215,""-\d+(.*)|--\d+(.*)"","""")"),"CHERISY")</f>
        <v>CHERISY</v>
      </c>
      <c r="E6215" s="38" t="s">
        <v>300</v>
      </c>
      <c r="F6215" s="38" t="s">
        <v>123</v>
      </c>
      <c r="G6215" s="49" t="str">
        <f t="shared" si="1"/>
        <v>28500</v>
      </c>
      <c r="H6215" s="49">
        <f t="shared" si="2"/>
        <v>28098</v>
      </c>
    </row>
    <row r="6216">
      <c r="A6216" s="48" t="s">
        <v>9509</v>
      </c>
      <c r="B6216" s="38">
        <v>75120.0</v>
      </c>
      <c r="C6216" s="38" t="s">
        <v>9510</v>
      </c>
      <c r="D6216" s="38" t="str">
        <f>IFERROR(__xludf.DUMMYFUNCTION("REGEXREPLACE(C6216,""-\d+(.*)|--\d+(.*)"","""")"),"PARIS")</f>
        <v>PARIS</v>
      </c>
      <c r="E6216" s="38" t="s">
        <v>823</v>
      </c>
      <c r="F6216" s="38" t="s">
        <v>245</v>
      </c>
      <c r="G6216" s="49" t="str">
        <f t="shared" si="1"/>
        <v>75020</v>
      </c>
      <c r="H6216" s="49">
        <f t="shared" si="2"/>
        <v>75120</v>
      </c>
    </row>
    <row r="6217">
      <c r="A6217" s="48" t="s">
        <v>3983</v>
      </c>
      <c r="B6217" s="38">
        <v>67553.0</v>
      </c>
      <c r="C6217" s="38" t="s">
        <v>9511</v>
      </c>
      <c r="D6217" s="38" t="str">
        <f>IFERROR(__xludf.DUMMYFUNCTION("REGEXREPLACE(C6217,""-\d+(.*)|--\d+(.*)"","""")"),"WOLSCHHEIM")</f>
        <v>WOLSCHHEIM</v>
      </c>
      <c r="E6217" s="38" t="s">
        <v>210</v>
      </c>
      <c r="F6217" s="38" t="s">
        <v>151</v>
      </c>
      <c r="G6217" s="49" t="str">
        <f t="shared" si="1"/>
        <v>67700</v>
      </c>
      <c r="H6217" s="49">
        <f t="shared" si="2"/>
        <v>67553</v>
      </c>
    </row>
    <row r="6218">
      <c r="A6218" s="48" t="s">
        <v>2837</v>
      </c>
      <c r="B6218" s="38">
        <v>17270.0</v>
      </c>
      <c r="C6218" s="38" t="s">
        <v>9512</v>
      </c>
      <c r="D6218" s="38" t="str">
        <f>IFERROR(__xludf.DUMMYFUNCTION("REGEXREPLACE(C6218,""-\d+(.*)|--\d+(.*)"","""")"),"OZILLAC")</f>
        <v>OZILLAC</v>
      </c>
      <c r="E6218" s="38" t="s">
        <v>488</v>
      </c>
      <c r="F6218" s="38" t="s">
        <v>338</v>
      </c>
      <c r="G6218" s="49" t="str">
        <f t="shared" si="1"/>
        <v>17500</v>
      </c>
      <c r="H6218" s="49">
        <f t="shared" si="2"/>
        <v>17270</v>
      </c>
    </row>
    <row r="6219">
      <c r="A6219" s="48" t="s">
        <v>549</v>
      </c>
      <c r="B6219" s="38">
        <v>55278.0</v>
      </c>
      <c r="C6219" s="38" t="s">
        <v>9513</v>
      </c>
      <c r="D6219" s="38" t="str">
        <f>IFERROR(__xludf.DUMMYFUNCTION("REGEXREPLACE(C6219,""-\d+(.*)|--\d+(.*)"","""")"),"LANEUVILLE-AU-RUPT")</f>
        <v>LANEUVILLE-AU-RUPT</v>
      </c>
      <c r="E6219" s="38" t="s">
        <v>322</v>
      </c>
      <c r="F6219" s="38" t="s">
        <v>195</v>
      </c>
      <c r="G6219" s="49" t="str">
        <f t="shared" si="1"/>
        <v>55190</v>
      </c>
      <c r="H6219" s="49">
        <f t="shared" si="2"/>
        <v>55278</v>
      </c>
    </row>
    <row r="6220">
      <c r="A6220" s="48" t="s">
        <v>3450</v>
      </c>
      <c r="B6220" s="38">
        <v>60059.0</v>
      </c>
      <c r="C6220" s="38" t="s">
        <v>9514</v>
      </c>
      <c r="D6220" s="38" t="str">
        <f>IFERROR(__xludf.DUMMYFUNCTION("REGEXREPLACE(C6220,""-\d+(.*)|--\d+(.*)"","""")"),"BEHERICOURT")</f>
        <v>BEHERICOURT</v>
      </c>
      <c r="E6220" s="38" t="s">
        <v>112</v>
      </c>
      <c r="F6220" s="38" t="s">
        <v>113</v>
      </c>
      <c r="G6220" s="49" t="str">
        <f t="shared" si="1"/>
        <v>60400</v>
      </c>
      <c r="H6220" s="49">
        <f t="shared" si="2"/>
        <v>60059</v>
      </c>
    </row>
    <row r="6221">
      <c r="A6221" s="48" t="s">
        <v>5166</v>
      </c>
      <c r="B6221" s="38">
        <v>26025.0</v>
      </c>
      <c r="C6221" s="38" t="s">
        <v>9515</v>
      </c>
      <c r="D6221" s="38" t="str">
        <f>IFERROR(__xludf.DUMMYFUNCTION("REGEXREPLACE(C6221,""-\d+(.*)|--\d+(.*)"","""")"),"BARNAVE")</f>
        <v>BARNAVE</v>
      </c>
      <c r="E6221" s="38" t="s">
        <v>126</v>
      </c>
      <c r="F6221" s="38" t="s">
        <v>102</v>
      </c>
      <c r="G6221" s="49" t="str">
        <f t="shared" si="1"/>
        <v>26310</v>
      </c>
      <c r="H6221" s="49">
        <f t="shared" si="2"/>
        <v>26025</v>
      </c>
    </row>
    <row r="6222">
      <c r="A6222" s="48" t="s">
        <v>9288</v>
      </c>
      <c r="B6222" s="38">
        <v>24356.0</v>
      </c>
      <c r="C6222" s="38" t="s">
        <v>9516</v>
      </c>
      <c r="D6222" s="38" t="str">
        <f>IFERROR(__xludf.DUMMYFUNCTION("REGEXREPLACE(C6222,""-\d+(.*)|--\d+(.*)"","""")"),"ROUFFIGNAC-SAINT-CERNIN-DE-REILHAC")</f>
        <v>ROUFFIGNAC-SAINT-CERNIN-DE-REILHAC</v>
      </c>
      <c r="E6222" s="38" t="s">
        <v>261</v>
      </c>
      <c r="F6222" s="38" t="s">
        <v>252</v>
      </c>
      <c r="G6222" s="49" t="str">
        <f t="shared" si="1"/>
        <v>24580</v>
      </c>
      <c r="H6222" s="49">
        <f t="shared" si="2"/>
        <v>24356</v>
      </c>
    </row>
    <row r="6223">
      <c r="A6223" s="48" t="s">
        <v>9517</v>
      </c>
      <c r="B6223" s="38">
        <v>58044.0</v>
      </c>
      <c r="C6223" s="38" t="s">
        <v>9518</v>
      </c>
      <c r="D6223" s="38" t="str">
        <f>IFERROR(__xludf.DUMMYFUNCTION("REGEXREPLACE(C6223,""-\d+(.*)|--\d+(.*)"","""")"),"LA CELLE-SUR-LOIRE")</f>
        <v>LA CELLE-SUR-LOIRE</v>
      </c>
      <c r="E6223" s="38" t="s">
        <v>219</v>
      </c>
      <c r="F6223" s="38" t="s">
        <v>106</v>
      </c>
      <c r="G6223" s="49" t="str">
        <f t="shared" si="1"/>
        <v>58440</v>
      </c>
      <c r="H6223" s="49">
        <f t="shared" si="2"/>
        <v>58044</v>
      </c>
    </row>
    <row r="6224">
      <c r="A6224" s="48" t="s">
        <v>8252</v>
      </c>
      <c r="B6224" s="38">
        <v>60007.0</v>
      </c>
      <c r="C6224" s="38" t="s">
        <v>9519</v>
      </c>
      <c r="D6224" s="38" t="str">
        <f>IFERROR(__xludf.DUMMYFUNCTION("REGEXREPLACE(C6224,""-\d+(.*)|--\d+(.*)"","""")"),"AGNETZ")</f>
        <v>AGNETZ</v>
      </c>
      <c r="E6224" s="38" t="s">
        <v>112</v>
      </c>
      <c r="F6224" s="38" t="s">
        <v>113</v>
      </c>
      <c r="G6224" s="49" t="str">
        <f t="shared" si="1"/>
        <v>60600</v>
      </c>
      <c r="H6224" s="49">
        <f t="shared" si="2"/>
        <v>60007</v>
      </c>
    </row>
    <row r="6225">
      <c r="A6225" s="48" t="s">
        <v>1970</v>
      </c>
      <c r="B6225" s="38">
        <v>74141.0</v>
      </c>
      <c r="C6225" s="38" t="s">
        <v>9520</v>
      </c>
      <c r="D6225" s="38" t="str">
        <f>IFERROR(__xludf.DUMMYFUNCTION("REGEXREPLACE(C6225,""-\d+(.*)|--\d+(.*)"","""")"),"HAUTEVILLE-SUR-FIER")</f>
        <v>HAUTEVILLE-SUR-FIER</v>
      </c>
      <c r="E6225" s="38" t="s">
        <v>319</v>
      </c>
      <c r="F6225" s="38" t="s">
        <v>102</v>
      </c>
      <c r="G6225" s="49" t="str">
        <f t="shared" si="1"/>
        <v>74150</v>
      </c>
      <c r="H6225" s="49">
        <f t="shared" si="2"/>
        <v>74141</v>
      </c>
    </row>
    <row r="6226">
      <c r="A6226" s="48" t="s">
        <v>5806</v>
      </c>
      <c r="B6226" s="38">
        <v>39116.0</v>
      </c>
      <c r="C6226" s="38" t="s">
        <v>9521</v>
      </c>
      <c r="D6226" s="38" t="str">
        <f>IFERROR(__xludf.DUMMYFUNCTION("REGEXREPLACE(C6226,""-\d+(.*)|--\d+(.*)"","""")"),"LA CHATELAINE")</f>
        <v>LA CHATELAINE</v>
      </c>
      <c r="E6226" s="38" t="s">
        <v>400</v>
      </c>
      <c r="F6226" s="38" t="s">
        <v>214</v>
      </c>
      <c r="G6226" s="49" t="str">
        <f t="shared" si="1"/>
        <v>39600</v>
      </c>
      <c r="H6226" s="49">
        <f t="shared" si="2"/>
        <v>39116</v>
      </c>
    </row>
    <row r="6227">
      <c r="A6227" s="48" t="s">
        <v>9522</v>
      </c>
      <c r="B6227" s="38">
        <v>1210.0</v>
      </c>
      <c r="C6227" s="38" t="s">
        <v>9523</v>
      </c>
      <c r="D6227" s="38" t="str">
        <f>IFERROR(__xludf.DUMMYFUNCTION("REGEXREPLACE(C6227,""-\d+(.*)|--\d+(.*)"","""")"),"LELEX")</f>
        <v>LELEX</v>
      </c>
      <c r="E6227" s="38" t="s">
        <v>255</v>
      </c>
      <c r="F6227" s="38" t="s">
        <v>102</v>
      </c>
      <c r="G6227" s="49" t="str">
        <f t="shared" si="1"/>
        <v>01410</v>
      </c>
      <c r="H6227" s="49" t="str">
        <f t="shared" si="2"/>
        <v>01210</v>
      </c>
    </row>
    <row r="6228">
      <c r="A6228" s="48" t="s">
        <v>9524</v>
      </c>
      <c r="B6228" s="38">
        <v>77096.0</v>
      </c>
      <c r="C6228" s="38" t="s">
        <v>9525</v>
      </c>
      <c r="D6228" s="38" t="str">
        <f>IFERROR(__xludf.DUMMYFUNCTION("REGEXREPLACE(C6228,""-\d+(.*)|--\d+(.*)"","""")"),"CHARTRETTES")</f>
        <v>CHARTRETTES</v>
      </c>
      <c r="E6228" s="38" t="s">
        <v>244</v>
      </c>
      <c r="F6228" s="38" t="s">
        <v>245</v>
      </c>
      <c r="G6228" s="49" t="str">
        <f t="shared" si="1"/>
        <v>77590</v>
      </c>
      <c r="H6228" s="49">
        <f t="shared" si="2"/>
        <v>77096</v>
      </c>
    </row>
    <row r="6229">
      <c r="A6229" s="48" t="s">
        <v>9526</v>
      </c>
      <c r="B6229" s="38">
        <v>23187.0</v>
      </c>
      <c r="C6229" s="38" t="s">
        <v>9527</v>
      </c>
      <c r="D6229" s="38" t="str">
        <f>IFERROR(__xludf.DUMMYFUNCTION("REGEXREPLACE(C6229,""-\d+(.*)|--\d+(.*)"","""")"),"SAINT-DIZIER-LA-TOUR")</f>
        <v>SAINT-DIZIER-LA-TOUR</v>
      </c>
      <c r="E6229" s="38" t="s">
        <v>97</v>
      </c>
      <c r="F6229" s="38" t="s">
        <v>98</v>
      </c>
      <c r="G6229" s="49" t="str">
        <f t="shared" si="1"/>
        <v>23130</v>
      </c>
      <c r="H6229" s="49">
        <f t="shared" si="2"/>
        <v>23187</v>
      </c>
    </row>
    <row r="6230">
      <c r="A6230" s="48" t="s">
        <v>1756</v>
      </c>
      <c r="B6230" s="38">
        <v>28274.0</v>
      </c>
      <c r="C6230" s="38" t="s">
        <v>9528</v>
      </c>
      <c r="D6230" s="38" t="str">
        <f>IFERROR(__xludf.DUMMYFUNCTION("REGEXREPLACE(C6230,""-\d+(.*)|--\d+(.*)"","""")"),"MOUTIERS")</f>
        <v>MOUTIERS</v>
      </c>
      <c r="E6230" s="38" t="s">
        <v>300</v>
      </c>
      <c r="F6230" s="38" t="s">
        <v>123</v>
      </c>
      <c r="G6230" s="49" t="str">
        <f t="shared" si="1"/>
        <v>28150</v>
      </c>
      <c r="H6230" s="49">
        <f t="shared" si="2"/>
        <v>28274</v>
      </c>
    </row>
    <row r="6231">
      <c r="A6231" s="48" t="s">
        <v>580</v>
      </c>
      <c r="B6231" s="38">
        <v>31127.0</v>
      </c>
      <c r="C6231" s="38" t="s">
        <v>3829</v>
      </c>
      <c r="D6231" s="38" t="str">
        <f>IFERROR(__xludf.DUMMYFUNCTION("REGEXREPLACE(C6231,""-\d+(.*)|--\d+(.*)"","""")"),"CAUBOUS")</f>
        <v>CAUBOUS</v>
      </c>
      <c r="E6231" s="38" t="s">
        <v>93</v>
      </c>
      <c r="F6231" s="38" t="s">
        <v>94</v>
      </c>
      <c r="G6231" s="49" t="str">
        <f t="shared" si="1"/>
        <v>31110</v>
      </c>
      <c r="H6231" s="49">
        <f t="shared" si="2"/>
        <v>31127</v>
      </c>
    </row>
    <row r="6232">
      <c r="A6232" s="48" t="s">
        <v>4360</v>
      </c>
      <c r="B6232" s="38" t="s">
        <v>9529</v>
      </c>
      <c r="C6232" s="38" t="s">
        <v>9530</v>
      </c>
      <c r="D6232" s="38" t="str">
        <f>IFERROR(__xludf.DUMMYFUNCTION("REGEXREPLACE(C6232,""-\d+(.*)|--\d+(.*)"","""")"),"PRUNELLI-DI-FIUMORBO")</f>
        <v>PRUNELLI-DI-FIUMORBO</v>
      </c>
      <c r="E6232" s="38" t="s">
        <v>743</v>
      </c>
      <c r="F6232" s="38" t="s">
        <v>607</v>
      </c>
      <c r="G6232" s="49" t="str">
        <f t="shared" si="1"/>
        <v>20243</v>
      </c>
      <c r="H6232" s="49" t="str">
        <f t="shared" si="2"/>
        <v>2B251</v>
      </c>
    </row>
    <row r="6233">
      <c r="A6233" s="48" t="s">
        <v>5515</v>
      </c>
      <c r="B6233" s="38">
        <v>72367.0</v>
      </c>
      <c r="C6233" s="38" t="s">
        <v>9531</v>
      </c>
      <c r="D6233" s="38" t="str">
        <f>IFERROR(__xludf.DUMMYFUNCTION("REGEXREPLACE(C6233,""-\d+(.*)|--\d+(.*)"","""")"),"VALLON-SUR-GEE")</f>
        <v>VALLON-SUR-GEE</v>
      </c>
      <c r="E6233" s="38" t="s">
        <v>521</v>
      </c>
      <c r="F6233" s="38" t="s">
        <v>180</v>
      </c>
      <c r="G6233" s="49" t="str">
        <f t="shared" si="1"/>
        <v>72540</v>
      </c>
      <c r="H6233" s="49">
        <f t="shared" si="2"/>
        <v>72367</v>
      </c>
    </row>
    <row r="6234">
      <c r="A6234" s="48" t="s">
        <v>4441</v>
      </c>
      <c r="B6234" s="38">
        <v>6020.0</v>
      </c>
      <c r="C6234" s="38" t="s">
        <v>9532</v>
      </c>
      <c r="D6234" s="38" t="str">
        <f>IFERROR(__xludf.DUMMYFUNCTION("REGEXREPLACE(C6234,""-\d+(.*)|--\d+(.*)"","""")"),"LA BOLLENE-VESUBIE")</f>
        <v>LA BOLLENE-VESUBIE</v>
      </c>
      <c r="E6234" s="38" t="s">
        <v>227</v>
      </c>
      <c r="F6234" s="38" t="s">
        <v>228</v>
      </c>
      <c r="G6234" s="49" t="str">
        <f t="shared" si="1"/>
        <v>06450</v>
      </c>
      <c r="H6234" s="49" t="str">
        <f t="shared" si="2"/>
        <v>06020</v>
      </c>
    </row>
    <row r="6235">
      <c r="A6235" s="48" t="s">
        <v>2705</v>
      </c>
      <c r="B6235" s="38">
        <v>77060.0</v>
      </c>
      <c r="C6235" s="38" t="s">
        <v>9533</v>
      </c>
      <c r="D6235" s="38" t="str">
        <f>IFERROR(__xludf.DUMMYFUNCTION("REGEXREPLACE(C6235,""-\d+(.*)|--\d+(.*)"","""")"),"BUTHIERS")</f>
        <v>BUTHIERS</v>
      </c>
      <c r="E6235" s="38" t="s">
        <v>244</v>
      </c>
      <c r="F6235" s="38" t="s">
        <v>245</v>
      </c>
      <c r="G6235" s="49" t="str">
        <f t="shared" si="1"/>
        <v>77760</v>
      </c>
      <c r="H6235" s="49">
        <f t="shared" si="2"/>
        <v>77060</v>
      </c>
    </row>
    <row r="6236">
      <c r="A6236" s="48" t="s">
        <v>3574</v>
      </c>
      <c r="B6236" s="38">
        <v>19286.0</v>
      </c>
      <c r="C6236" s="38" t="s">
        <v>9534</v>
      </c>
      <c r="D6236" s="38" t="str">
        <f>IFERROR(__xludf.DUMMYFUNCTION("REGEXREPLACE(C6236,""-\d+(.*)|--\d+(.*)"","""")"),"VIGNOLS")</f>
        <v>VIGNOLS</v>
      </c>
      <c r="E6236" s="38" t="s">
        <v>271</v>
      </c>
      <c r="F6236" s="38" t="s">
        <v>98</v>
      </c>
      <c r="G6236" s="49" t="str">
        <f t="shared" si="1"/>
        <v>19130</v>
      </c>
      <c r="H6236" s="49">
        <f t="shared" si="2"/>
        <v>19286</v>
      </c>
    </row>
    <row r="6237">
      <c r="A6237" s="48" t="s">
        <v>1700</v>
      </c>
      <c r="B6237" s="38">
        <v>35342.0</v>
      </c>
      <c r="C6237" s="38" t="s">
        <v>9535</v>
      </c>
      <c r="D6237" s="38" t="str">
        <f>IFERROR(__xludf.DUMMYFUNCTION("REGEXREPLACE(C6237,""-\d+(.*)|--\d+(.*)"","""")"),"TREMEHEUC")</f>
        <v>TREMEHEUC</v>
      </c>
      <c r="E6237" s="38" t="s">
        <v>347</v>
      </c>
      <c r="F6237" s="38" t="s">
        <v>90</v>
      </c>
      <c r="G6237" s="49" t="str">
        <f t="shared" si="1"/>
        <v>35270</v>
      </c>
      <c r="H6237" s="49">
        <f t="shared" si="2"/>
        <v>35342</v>
      </c>
    </row>
    <row r="6238">
      <c r="A6238" s="48" t="s">
        <v>9536</v>
      </c>
      <c r="B6238" s="38">
        <v>8168.0</v>
      </c>
      <c r="C6238" s="38" t="s">
        <v>9537</v>
      </c>
      <c r="D6238" s="38" t="str">
        <f>IFERROR(__xludf.DUMMYFUNCTION("REGEXREPLACE(C6238,""-\d+(.*)|--\d+(.*)"","""")"),"LA FERTE-SUR-CHIERS")</f>
        <v>LA FERTE-SUR-CHIERS</v>
      </c>
      <c r="E6238" s="38" t="s">
        <v>327</v>
      </c>
      <c r="F6238" s="38" t="s">
        <v>130</v>
      </c>
      <c r="G6238" s="49" t="str">
        <f t="shared" si="1"/>
        <v>08370</v>
      </c>
      <c r="H6238" s="49" t="str">
        <f t="shared" si="2"/>
        <v>08168</v>
      </c>
    </row>
    <row r="6239">
      <c r="A6239" s="48" t="s">
        <v>3550</v>
      </c>
      <c r="B6239" s="38">
        <v>79350.0</v>
      </c>
      <c r="C6239" s="38" t="s">
        <v>9538</v>
      </c>
      <c r="D6239" s="38" t="str">
        <f>IFERROR(__xludf.DUMMYFUNCTION("REGEXREPLACE(C6239,""-\d+(.*)|--\d+(.*)"","""")"),"VILLIERS-EN-BOIS")</f>
        <v>VILLIERS-EN-BOIS</v>
      </c>
      <c r="E6239" s="38" t="s">
        <v>337</v>
      </c>
      <c r="F6239" s="38" t="s">
        <v>338</v>
      </c>
      <c r="G6239" s="49" t="str">
        <f t="shared" si="1"/>
        <v>79360</v>
      </c>
      <c r="H6239" s="49">
        <f t="shared" si="2"/>
        <v>79350</v>
      </c>
    </row>
    <row r="6240">
      <c r="A6240" s="48" t="s">
        <v>1868</v>
      </c>
      <c r="B6240" s="38">
        <v>86006.0</v>
      </c>
      <c r="C6240" s="38" t="s">
        <v>9539</v>
      </c>
      <c r="D6240" s="38" t="str">
        <f>IFERROR(__xludf.DUMMYFUNCTION("REGEXREPLACE(C6240,""-\d+(.*)|--\d+(.*)"","""")"),"ANTIGNY")</f>
        <v>ANTIGNY</v>
      </c>
      <c r="E6240" s="38" t="s">
        <v>529</v>
      </c>
      <c r="F6240" s="38" t="s">
        <v>338</v>
      </c>
      <c r="G6240" s="49" t="str">
        <f t="shared" si="1"/>
        <v>86310</v>
      </c>
      <c r="H6240" s="49">
        <f t="shared" si="2"/>
        <v>86006</v>
      </c>
    </row>
    <row r="6241">
      <c r="A6241" s="48" t="s">
        <v>5513</v>
      </c>
      <c r="B6241" s="38">
        <v>57346.0</v>
      </c>
      <c r="C6241" s="38" t="s">
        <v>9540</v>
      </c>
      <c r="D6241" s="38" t="str">
        <f>IFERROR(__xludf.DUMMYFUNCTION("REGEXREPLACE(C6241,""-\d+(.*)|--\d+(.*)"","""")"),"INSMING")</f>
        <v>INSMING</v>
      </c>
      <c r="E6241" s="38" t="s">
        <v>303</v>
      </c>
      <c r="F6241" s="38" t="s">
        <v>195</v>
      </c>
      <c r="G6241" s="49" t="str">
        <f t="shared" si="1"/>
        <v>57670</v>
      </c>
      <c r="H6241" s="49">
        <f t="shared" si="2"/>
        <v>57346</v>
      </c>
    </row>
    <row r="6242">
      <c r="A6242" s="48" t="s">
        <v>6328</v>
      </c>
      <c r="B6242" s="38">
        <v>30030.0</v>
      </c>
      <c r="C6242" s="38" t="s">
        <v>8712</v>
      </c>
      <c r="D6242" s="38" t="str">
        <f>IFERROR(__xludf.DUMMYFUNCTION("REGEXREPLACE(C6242,""-\d+(.*)|--\d+(.*)"","""")"),"BARON")</f>
        <v>BARON</v>
      </c>
      <c r="E6242" s="38" t="s">
        <v>526</v>
      </c>
      <c r="F6242" s="38" t="s">
        <v>119</v>
      </c>
      <c r="G6242" s="49" t="str">
        <f t="shared" si="1"/>
        <v>30700</v>
      </c>
      <c r="H6242" s="49">
        <f t="shared" si="2"/>
        <v>30030</v>
      </c>
    </row>
    <row r="6243">
      <c r="A6243" s="48" t="s">
        <v>2170</v>
      </c>
      <c r="B6243" s="38">
        <v>80017.0</v>
      </c>
      <c r="C6243" s="38" t="s">
        <v>9541</v>
      </c>
      <c r="D6243" s="38" t="str">
        <f>IFERROR(__xludf.DUMMYFUNCTION("REGEXREPLACE(C6243,""-\d+(.*)|--\d+(.*)"","""")"),"ALLAINES")</f>
        <v>ALLAINES</v>
      </c>
      <c r="E6243" s="38" t="s">
        <v>224</v>
      </c>
      <c r="F6243" s="38" t="s">
        <v>113</v>
      </c>
      <c r="G6243" s="49" t="str">
        <f t="shared" si="1"/>
        <v>80200</v>
      </c>
      <c r="H6243" s="49">
        <f t="shared" si="2"/>
        <v>80017</v>
      </c>
    </row>
    <row r="6244">
      <c r="A6244" s="48" t="s">
        <v>3277</v>
      </c>
      <c r="B6244" s="38">
        <v>29250.0</v>
      </c>
      <c r="C6244" s="38" t="s">
        <v>9542</v>
      </c>
      <c r="D6244" s="38" t="str">
        <f>IFERROR(__xludf.DUMMYFUNCTION("REGEXREPLACE(C6244,""-\d+(.*)|--\d+(.*)"","""")"),"SAINT-HERNIN")</f>
        <v>SAINT-HERNIN</v>
      </c>
      <c r="E6244" s="38" t="s">
        <v>176</v>
      </c>
      <c r="F6244" s="38" t="s">
        <v>90</v>
      </c>
      <c r="G6244" s="49" t="str">
        <f t="shared" si="1"/>
        <v>29270</v>
      </c>
      <c r="H6244" s="49">
        <f t="shared" si="2"/>
        <v>29250</v>
      </c>
    </row>
    <row r="6245">
      <c r="A6245" s="48" t="s">
        <v>5309</v>
      </c>
      <c r="B6245" s="38">
        <v>62051.0</v>
      </c>
      <c r="C6245" s="38" t="s">
        <v>9543</v>
      </c>
      <c r="D6245" s="38" t="str">
        <f>IFERROR(__xludf.DUMMYFUNCTION("REGEXREPLACE(C6245,""-\d+(.*)|--\d+(.*)"","""")"),"AUCHY-LES-MINES")</f>
        <v>AUCHY-LES-MINES</v>
      </c>
      <c r="E6245" s="38" t="s">
        <v>109</v>
      </c>
      <c r="F6245" s="38" t="s">
        <v>86</v>
      </c>
      <c r="G6245" s="49" t="str">
        <f t="shared" si="1"/>
        <v>62138</v>
      </c>
      <c r="H6245" s="49">
        <f t="shared" si="2"/>
        <v>62051</v>
      </c>
    </row>
    <row r="6246">
      <c r="A6246" s="48" t="s">
        <v>2989</v>
      </c>
      <c r="B6246" s="38">
        <v>70036.0</v>
      </c>
      <c r="C6246" s="38" t="s">
        <v>9544</v>
      </c>
      <c r="D6246" s="38" t="str">
        <f>IFERROR(__xludf.DUMMYFUNCTION("REGEXREPLACE(C6246,""-\d+(.*)|--\d+(.*)"","""")"),"AULX-LES-CROMARY")</f>
        <v>AULX-LES-CROMARY</v>
      </c>
      <c r="E6246" s="38" t="s">
        <v>956</v>
      </c>
      <c r="F6246" s="38" t="s">
        <v>214</v>
      </c>
      <c r="G6246" s="49" t="str">
        <f t="shared" si="1"/>
        <v>70190</v>
      </c>
      <c r="H6246" s="49">
        <f t="shared" si="2"/>
        <v>70036</v>
      </c>
    </row>
    <row r="6247">
      <c r="A6247" s="48" t="s">
        <v>5163</v>
      </c>
      <c r="B6247" s="38">
        <v>76485.0</v>
      </c>
      <c r="C6247" s="38" t="s">
        <v>9545</v>
      </c>
      <c r="D6247" s="38" t="str">
        <f>IFERROR(__xludf.DUMMYFUNCTION("REGEXREPLACE(C6247,""-\d+(.*)|--\d+(.*)"","""")"),"OMONVILLE")</f>
        <v>OMONVILLE</v>
      </c>
      <c r="E6247" s="38" t="s">
        <v>133</v>
      </c>
      <c r="F6247" s="38" t="s">
        <v>134</v>
      </c>
      <c r="G6247" s="49" t="str">
        <f t="shared" si="1"/>
        <v>76730</v>
      </c>
      <c r="H6247" s="49">
        <f t="shared" si="2"/>
        <v>76485</v>
      </c>
    </row>
    <row r="6248">
      <c r="A6248" s="48" t="s">
        <v>1887</v>
      </c>
      <c r="B6248" s="38">
        <v>88258.0</v>
      </c>
      <c r="C6248" s="38" t="s">
        <v>9546</v>
      </c>
      <c r="D6248" s="38" t="str">
        <f>IFERROR(__xludf.DUMMYFUNCTION("REGEXREPLACE(C6248,""-\d+(.*)|--\d+(.*)"","""")"),"LAMARCHE")</f>
        <v>LAMARCHE</v>
      </c>
      <c r="E6248" s="38" t="s">
        <v>194</v>
      </c>
      <c r="F6248" s="38" t="s">
        <v>195</v>
      </c>
      <c r="G6248" s="49" t="str">
        <f t="shared" si="1"/>
        <v>88320</v>
      </c>
      <c r="H6248" s="49">
        <f t="shared" si="2"/>
        <v>88258</v>
      </c>
    </row>
    <row r="6249">
      <c r="A6249" s="48" t="s">
        <v>2668</v>
      </c>
      <c r="B6249" s="38">
        <v>55192.0</v>
      </c>
      <c r="C6249" s="38" t="s">
        <v>9547</v>
      </c>
      <c r="D6249" s="38" t="str">
        <f>IFERROR(__xludf.DUMMYFUNCTION("REGEXREPLACE(C6249,""-\d+(.*)|--\d+(.*)"","""")"),"FONTAINES-SAINT-CLAIR")</f>
        <v>FONTAINES-SAINT-CLAIR</v>
      </c>
      <c r="E6249" s="38" t="s">
        <v>322</v>
      </c>
      <c r="F6249" s="38" t="s">
        <v>195</v>
      </c>
      <c r="G6249" s="49" t="str">
        <f t="shared" si="1"/>
        <v>55110</v>
      </c>
      <c r="H6249" s="49">
        <f t="shared" si="2"/>
        <v>55192</v>
      </c>
    </row>
    <row r="6250">
      <c r="A6250" s="48" t="s">
        <v>9548</v>
      </c>
      <c r="B6250" s="38">
        <v>77486.0</v>
      </c>
      <c r="C6250" s="38" t="s">
        <v>9549</v>
      </c>
      <c r="D6250" s="38" t="str">
        <f>IFERROR(__xludf.DUMMYFUNCTION("REGEXREPLACE(C6250,""-\d+(.*)|--\d+(.*)"","""")"),"VAUDOY-EN-BRIE")</f>
        <v>VAUDOY-EN-BRIE</v>
      </c>
      <c r="E6250" s="38" t="s">
        <v>244</v>
      </c>
      <c r="F6250" s="38" t="s">
        <v>245</v>
      </c>
      <c r="G6250" s="49" t="str">
        <f t="shared" si="1"/>
        <v>77141</v>
      </c>
      <c r="H6250" s="49">
        <f t="shared" si="2"/>
        <v>77486</v>
      </c>
    </row>
    <row r="6251">
      <c r="A6251" s="48" t="s">
        <v>6406</v>
      </c>
      <c r="B6251" s="38">
        <v>41088.0</v>
      </c>
      <c r="C6251" s="38" t="s">
        <v>9550</v>
      </c>
      <c r="D6251" s="38" t="str">
        <f>IFERROR(__xludf.DUMMYFUNCTION("REGEXREPLACE(C6251,""-\d+(.*)|--\d+(.*)"","""")"),"FONTAINE-RAOUL")</f>
        <v>FONTAINE-RAOUL</v>
      </c>
      <c r="E6251" s="38" t="s">
        <v>188</v>
      </c>
      <c r="F6251" s="38" t="s">
        <v>123</v>
      </c>
      <c r="G6251" s="49" t="str">
        <f t="shared" si="1"/>
        <v>41270</v>
      </c>
      <c r="H6251" s="49">
        <f t="shared" si="2"/>
        <v>41088</v>
      </c>
    </row>
    <row r="6252">
      <c r="A6252" s="48" t="s">
        <v>9551</v>
      </c>
      <c r="B6252" s="38">
        <v>22106.0</v>
      </c>
      <c r="C6252" s="38" t="s">
        <v>9552</v>
      </c>
      <c r="D6252" s="38" t="str">
        <f>IFERROR(__xludf.DUMMYFUNCTION("REGEXREPLACE(C6252,""-\d+(.*)|--\d+(.*)"","""")"),"LANGUEUX")</f>
        <v>LANGUEUX</v>
      </c>
      <c r="E6252" s="38" t="s">
        <v>89</v>
      </c>
      <c r="F6252" s="38" t="s">
        <v>90</v>
      </c>
      <c r="G6252" s="49" t="str">
        <f t="shared" si="1"/>
        <v>22360</v>
      </c>
      <c r="H6252" s="49">
        <f t="shared" si="2"/>
        <v>22106</v>
      </c>
    </row>
    <row r="6253">
      <c r="A6253" s="48" t="s">
        <v>2292</v>
      </c>
      <c r="B6253" s="38">
        <v>76271.0</v>
      </c>
      <c r="C6253" s="38" t="s">
        <v>9553</v>
      </c>
      <c r="D6253" s="38" t="str">
        <f>IFERROR(__xludf.DUMMYFUNCTION("REGEXREPLACE(C6253,""-\d+(.*)|--\d+(.*)"","""")"),"FONTAINE-LE-BOURG")</f>
        <v>FONTAINE-LE-BOURG</v>
      </c>
      <c r="E6253" s="38" t="s">
        <v>133</v>
      </c>
      <c r="F6253" s="38" t="s">
        <v>134</v>
      </c>
      <c r="G6253" s="49" t="str">
        <f t="shared" si="1"/>
        <v>76690</v>
      </c>
      <c r="H6253" s="49">
        <f t="shared" si="2"/>
        <v>76271</v>
      </c>
    </row>
    <row r="6254">
      <c r="A6254" s="48" t="s">
        <v>856</v>
      </c>
      <c r="B6254" s="38">
        <v>43196.0</v>
      </c>
      <c r="C6254" s="38" t="s">
        <v>9554</v>
      </c>
      <c r="D6254" s="38" t="str">
        <f>IFERROR(__xludf.DUMMYFUNCTION("REGEXREPLACE(C6254,""-\d+(.*)|--\d+(.*)"","""")"),"SAINT-JEAN-D'AUBRIGOUX")</f>
        <v>SAINT-JEAN-D'AUBRIGOUX</v>
      </c>
      <c r="E6254" s="38" t="s">
        <v>332</v>
      </c>
      <c r="F6254" s="38" t="s">
        <v>161</v>
      </c>
      <c r="G6254" s="49" t="str">
        <f t="shared" si="1"/>
        <v>43500</v>
      </c>
      <c r="H6254" s="49">
        <f t="shared" si="2"/>
        <v>43196</v>
      </c>
    </row>
    <row r="6255">
      <c r="A6255" s="48" t="s">
        <v>2792</v>
      </c>
      <c r="B6255" s="38">
        <v>58074.0</v>
      </c>
      <c r="C6255" s="38" t="s">
        <v>9555</v>
      </c>
      <c r="D6255" s="38" t="str">
        <f>IFERROR(__xludf.DUMMYFUNCTION("REGEXREPLACE(C6255,""-\d+(.*)|--\d+(.*)"","""")"),"CHIDDES")</f>
        <v>CHIDDES</v>
      </c>
      <c r="E6255" s="38" t="s">
        <v>219</v>
      </c>
      <c r="F6255" s="38" t="s">
        <v>106</v>
      </c>
      <c r="G6255" s="49" t="str">
        <f t="shared" si="1"/>
        <v>58170</v>
      </c>
      <c r="H6255" s="49">
        <f t="shared" si="2"/>
        <v>58074</v>
      </c>
    </row>
    <row r="6256">
      <c r="A6256" s="48" t="s">
        <v>9556</v>
      </c>
      <c r="B6256" s="38">
        <v>60622.0</v>
      </c>
      <c r="C6256" s="38" t="s">
        <v>9557</v>
      </c>
      <c r="D6256" s="38" t="str">
        <f>IFERROR(__xludf.DUMMYFUNCTION("REGEXREPLACE(C6256,""-\d+(.*)|--\d+(.*)"","""")"),"SOMMEREUX")</f>
        <v>SOMMEREUX</v>
      </c>
      <c r="E6256" s="38" t="s">
        <v>112</v>
      </c>
      <c r="F6256" s="38" t="s">
        <v>113</v>
      </c>
      <c r="G6256" s="49" t="str">
        <f t="shared" si="1"/>
        <v>60210</v>
      </c>
      <c r="H6256" s="49">
        <f t="shared" si="2"/>
        <v>60622</v>
      </c>
    </row>
    <row r="6257">
      <c r="A6257" s="48" t="s">
        <v>2128</v>
      </c>
      <c r="B6257" s="38">
        <v>2612.0</v>
      </c>
      <c r="C6257" s="38" t="s">
        <v>9558</v>
      </c>
      <c r="D6257" s="38" t="str">
        <f>IFERROR(__xludf.DUMMYFUNCTION("REGEXREPLACE(C6257,""-\d+(.*)|--\d+(.*)"","""")"),"PONT-ARCY")</f>
        <v>PONT-ARCY</v>
      </c>
      <c r="E6257" s="38" t="s">
        <v>191</v>
      </c>
      <c r="F6257" s="38" t="s">
        <v>113</v>
      </c>
      <c r="G6257" s="49" t="str">
        <f t="shared" si="1"/>
        <v>02160</v>
      </c>
      <c r="H6257" s="49" t="str">
        <f t="shared" si="2"/>
        <v>02612</v>
      </c>
    </row>
    <row r="6258">
      <c r="A6258" s="48" t="s">
        <v>7852</v>
      </c>
      <c r="B6258" s="38">
        <v>38042.0</v>
      </c>
      <c r="C6258" s="38" t="s">
        <v>9559</v>
      </c>
      <c r="D6258" s="38" t="str">
        <f>IFERROR(__xludf.DUMMYFUNCTION("REGEXREPLACE(C6258,""-\d+(.*)|--\d+(.*)"","""")"),"BEVENAIS")</f>
        <v>BEVENAIS</v>
      </c>
      <c r="E6258" s="38" t="s">
        <v>101</v>
      </c>
      <c r="F6258" s="38" t="s">
        <v>102</v>
      </c>
      <c r="G6258" s="49" t="str">
        <f t="shared" si="1"/>
        <v>38690</v>
      </c>
      <c r="H6258" s="49">
        <f t="shared" si="2"/>
        <v>38042</v>
      </c>
    </row>
    <row r="6259">
      <c r="A6259" s="48" t="s">
        <v>3958</v>
      </c>
      <c r="B6259" s="38">
        <v>31160.0</v>
      </c>
      <c r="C6259" s="38" t="s">
        <v>9560</v>
      </c>
      <c r="D6259" s="38" t="str">
        <f>IFERROR(__xludf.DUMMYFUNCTION("REGEXREPLACE(C6259,""-\d+(.*)|--\d+(.*)"","""")"),"DAUX")</f>
        <v>DAUX</v>
      </c>
      <c r="E6259" s="38" t="s">
        <v>93</v>
      </c>
      <c r="F6259" s="38" t="s">
        <v>94</v>
      </c>
      <c r="G6259" s="49" t="str">
        <f t="shared" si="1"/>
        <v>31700</v>
      </c>
      <c r="H6259" s="49">
        <f t="shared" si="2"/>
        <v>31160</v>
      </c>
    </row>
    <row r="6260">
      <c r="A6260" s="48" t="s">
        <v>1754</v>
      </c>
      <c r="B6260" s="38">
        <v>14634.0</v>
      </c>
      <c r="C6260" s="38" t="s">
        <v>9561</v>
      </c>
      <c r="D6260" s="38" t="str">
        <f>IFERROR(__xludf.DUMMYFUNCTION("REGEXREPLACE(C6260,""-\d+(.*)|--\d+(.*)"","""")"),"SAINT-MICHEL-DE-LIVET")</f>
        <v>SAINT-MICHEL-DE-LIVET</v>
      </c>
      <c r="E6260" s="38" t="s">
        <v>137</v>
      </c>
      <c r="F6260" s="38" t="s">
        <v>138</v>
      </c>
      <c r="G6260" s="49" t="str">
        <f t="shared" si="1"/>
        <v>14140</v>
      </c>
      <c r="H6260" s="49">
        <f t="shared" si="2"/>
        <v>14634</v>
      </c>
    </row>
    <row r="6261">
      <c r="A6261" s="48" t="s">
        <v>1467</v>
      </c>
      <c r="B6261" s="38">
        <v>7120.0</v>
      </c>
      <c r="C6261" s="38" t="s">
        <v>9562</v>
      </c>
      <c r="D6261" s="38" t="str">
        <f>IFERROR(__xludf.DUMMYFUNCTION("REGEXREPLACE(C6261,""-\d+(.*)|--\d+(.*)"","""")"),"LACHAMP-RAPHAEL")</f>
        <v>LACHAMP-RAPHAEL</v>
      </c>
      <c r="E6261" s="38" t="s">
        <v>144</v>
      </c>
      <c r="F6261" s="38" t="s">
        <v>102</v>
      </c>
      <c r="G6261" s="49" t="str">
        <f t="shared" si="1"/>
        <v>07530</v>
      </c>
      <c r="H6261" s="49" t="str">
        <f t="shared" si="2"/>
        <v>07120</v>
      </c>
    </row>
    <row r="6262">
      <c r="A6262" s="48" t="s">
        <v>3508</v>
      </c>
      <c r="B6262" s="38">
        <v>51603.0</v>
      </c>
      <c r="C6262" s="38" t="s">
        <v>9563</v>
      </c>
      <c r="D6262" s="38" t="str">
        <f>IFERROR(__xludf.DUMMYFUNCTION("REGEXREPLACE(C6262,""-\d+(.*)|--\d+(.*)"","""")"),"VELYE")</f>
        <v>VELYE</v>
      </c>
      <c r="E6262" s="38" t="s">
        <v>129</v>
      </c>
      <c r="F6262" s="38" t="s">
        <v>130</v>
      </c>
      <c r="G6262" s="49" t="str">
        <f t="shared" si="1"/>
        <v>51130</v>
      </c>
      <c r="H6262" s="49">
        <f t="shared" si="2"/>
        <v>51603</v>
      </c>
    </row>
    <row r="6263">
      <c r="A6263" s="48" t="s">
        <v>6389</v>
      </c>
      <c r="B6263" s="38">
        <v>14098.0</v>
      </c>
      <c r="C6263" s="38" t="s">
        <v>9564</v>
      </c>
      <c r="D6263" s="38" t="str">
        <f>IFERROR(__xludf.DUMMYFUNCTION("REGEXREPLACE(C6263,""-\d+(.*)|--\d+(.*)"","""")"),"BRETTEVILLE-L'ORGUEILLEUSE")</f>
        <v>BRETTEVILLE-L'ORGUEILLEUSE</v>
      </c>
      <c r="E6263" s="38" t="s">
        <v>137</v>
      </c>
      <c r="F6263" s="38" t="s">
        <v>138</v>
      </c>
      <c r="G6263" s="49" t="str">
        <f t="shared" si="1"/>
        <v>14740</v>
      </c>
      <c r="H6263" s="49">
        <f t="shared" si="2"/>
        <v>14098</v>
      </c>
    </row>
    <row r="6264">
      <c r="A6264" s="48" t="s">
        <v>9565</v>
      </c>
      <c r="B6264" s="38">
        <v>71033.0</v>
      </c>
      <c r="C6264" s="38" t="s">
        <v>9566</v>
      </c>
      <c r="D6264" s="38" t="str">
        <f>IFERROR(__xludf.DUMMYFUNCTION("REGEXREPLACE(C6264,""-\d+(.*)|--\d+(.*)"","""")"),"BEY")</f>
        <v>BEY</v>
      </c>
      <c r="E6264" s="38" t="s">
        <v>344</v>
      </c>
      <c r="F6264" s="38" t="s">
        <v>106</v>
      </c>
      <c r="G6264" s="49" t="str">
        <f t="shared" si="1"/>
        <v>71620</v>
      </c>
      <c r="H6264" s="49">
        <f t="shared" si="2"/>
        <v>71033</v>
      </c>
    </row>
    <row r="6265">
      <c r="A6265" s="48" t="s">
        <v>8600</v>
      </c>
      <c r="B6265" s="38">
        <v>68063.0</v>
      </c>
      <c r="C6265" s="38" t="s">
        <v>9567</v>
      </c>
      <c r="D6265" s="38" t="str">
        <f>IFERROR(__xludf.DUMMYFUNCTION("REGEXREPLACE(C6265,""-\d+(.*)|--\d+(.*)"","""")"),"CERNAY")</f>
        <v>CERNAY</v>
      </c>
      <c r="E6265" s="38" t="s">
        <v>150</v>
      </c>
      <c r="F6265" s="38" t="s">
        <v>151</v>
      </c>
      <c r="G6265" s="49" t="str">
        <f t="shared" si="1"/>
        <v>68700</v>
      </c>
      <c r="H6265" s="49">
        <f t="shared" si="2"/>
        <v>68063</v>
      </c>
    </row>
    <row r="6266">
      <c r="A6266" s="48" t="s">
        <v>1646</v>
      </c>
      <c r="B6266" s="38">
        <v>24160.0</v>
      </c>
      <c r="C6266" s="38" t="s">
        <v>9568</v>
      </c>
      <c r="D6266" s="38" t="str">
        <f>IFERROR(__xludf.DUMMYFUNCTION("REGEXREPLACE(C6266,""-\d+(.*)|--\d+(.*)"","""")"),"EGLISE-NEUVE-DE-VERGT")</f>
        <v>EGLISE-NEUVE-DE-VERGT</v>
      </c>
      <c r="E6266" s="38" t="s">
        <v>261</v>
      </c>
      <c r="F6266" s="38" t="s">
        <v>252</v>
      </c>
      <c r="G6266" s="49" t="str">
        <f t="shared" si="1"/>
        <v>24380</v>
      </c>
      <c r="H6266" s="49">
        <f t="shared" si="2"/>
        <v>24160</v>
      </c>
    </row>
    <row r="6267">
      <c r="A6267" s="48" t="s">
        <v>9569</v>
      </c>
      <c r="B6267" s="38">
        <v>62464.0</v>
      </c>
      <c r="C6267" s="38" t="s">
        <v>9570</v>
      </c>
      <c r="D6267" s="38" t="str">
        <f>IFERROR(__xludf.DUMMYFUNCTION("REGEXREPLACE(C6267,""-\d+(.*)|--\d+(.*)"","""")"),"HULLUCH")</f>
        <v>HULLUCH</v>
      </c>
      <c r="E6267" s="38" t="s">
        <v>109</v>
      </c>
      <c r="F6267" s="38" t="s">
        <v>86</v>
      </c>
      <c r="G6267" s="49" t="str">
        <f t="shared" si="1"/>
        <v>62410</v>
      </c>
      <c r="H6267" s="49">
        <f t="shared" si="2"/>
        <v>62464</v>
      </c>
    </row>
    <row r="6268">
      <c r="A6268" s="48" t="s">
        <v>9571</v>
      </c>
      <c r="B6268" s="38">
        <v>78299.0</v>
      </c>
      <c r="C6268" s="38" t="s">
        <v>9572</v>
      </c>
      <c r="D6268" s="38" t="str">
        <f>IFERROR(__xludf.DUMMYFUNCTION("REGEXREPLACE(C6268,""-\d+(.*)|--\d+(.*)"","""")"),"HARDRICOURT")</f>
        <v>HARDRICOURT</v>
      </c>
      <c r="E6268" s="38" t="s">
        <v>362</v>
      </c>
      <c r="F6268" s="38" t="s">
        <v>245</v>
      </c>
      <c r="G6268" s="49" t="str">
        <f t="shared" si="1"/>
        <v>78250</v>
      </c>
      <c r="H6268" s="49">
        <f t="shared" si="2"/>
        <v>78299</v>
      </c>
    </row>
    <row r="6269">
      <c r="A6269" s="48" t="s">
        <v>7804</v>
      </c>
      <c r="B6269" s="38">
        <v>51279.0</v>
      </c>
      <c r="C6269" s="38" t="s">
        <v>9573</v>
      </c>
      <c r="D6269" s="38" t="str">
        <f>IFERROR(__xludf.DUMMYFUNCTION("REGEXREPLACE(C6269,""-\d+(.*)|--\d+(.*)"","""")"),"GRANGES-SUR-AUBE")</f>
        <v>GRANGES-SUR-AUBE</v>
      </c>
      <c r="E6269" s="38" t="s">
        <v>129</v>
      </c>
      <c r="F6269" s="38" t="s">
        <v>130</v>
      </c>
      <c r="G6269" s="49" t="str">
        <f t="shared" si="1"/>
        <v>51260</v>
      </c>
      <c r="H6269" s="49">
        <f t="shared" si="2"/>
        <v>51279</v>
      </c>
    </row>
    <row r="6270">
      <c r="A6270" s="48" t="s">
        <v>1616</v>
      </c>
      <c r="B6270" s="38">
        <v>10007.0</v>
      </c>
      <c r="C6270" s="38" t="s">
        <v>9574</v>
      </c>
      <c r="D6270" s="38" t="str">
        <f>IFERROR(__xludf.DUMMYFUNCTION("REGEXREPLACE(C6270,""-\d+(.*)|--\d+(.*)"","""")"),"ARCONVILLE")</f>
        <v>ARCONVILLE</v>
      </c>
      <c r="E6270" s="38" t="s">
        <v>147</v>
      </c>
      <c r="F6270" s="38" t="s">
        <v>130</v>
      </c>
      <c r="G6270" s="49" t="str">
        <f t="shared" si="1"/>
        <v>10200</v>
      </c>
      <c r="H6270" s="49">
        <f t="shared" si="2"/>
        <v>10007</v>
      </c>
    </row>
    <row r="6271">
      <c r="A6271" s="48" t="s">
        <v>3198</v>
      </c>
      <c r="B6271" s="38">
        <v>32031.0</v>
      </c>
      <c r="C6271" s="38" t="s">
        <v>9575</v>
      </c>
      <c r="D6271" s="38" t="str">
        <f>IFERROR(__xludf.DUMMYFUNCTION("REGEXREPLACE(C6271,""-\d+(.*)|--\d+(.*)"","""")"),"BASCOUS")</f>
        <v>BASCOUS</v>
      </c>
      <c r="E6271" s="38" t="s">
        <v>440</v>
      </c>
      <c r="F6271" s="38" t="s">
        <v>94</v>
      </c>
      <c r="G6271" s="49" t="str">
        <f t="shared" si="1"/>
        <v>32190</v>
      </c>
      <c r="H6271" s="49">
        <f t="shared" si="2"/>
        <v>32031</v>
      </c>
    </row>
    <row r="6272">
      <c r="A6272" s="48" t="s">
        <v>4377</v>
      </c>
      <c r="B6272" s="38">
        <v>31403.0</v>
      </c>
      <c r="C6272" s="38" t="s">
        <v>9576</v>
      </c>
      <c r="D6272" s="38" t="str">
        <f>IFERROR(__xludf.DUMMYFUNCTION("REGEXREPLACE(C6272,""-\d+(.*)|--\d+(.*)"","""")"),"ONDES")</f>
        <v>ONDES</v>
      </c>
      <c r="E6272" s="38" t="s">
        <v>93</v>
      </c>
      <c r="F6272" s="38" t="s">
        <v>94</v>
      </c>
      <c r="G6272" s="49" t="str">
        <f t="shared" si="1"/>
        <v>31330</v>
      </c>
      <c r="H6272" s="49">
        <f t="shared" si="2"/>
        <v>31403</v>
      </c>
    </row>
    <row r="6273">
      <c r="A6273" s="48" t="s">
        <v>407</v>
      </c>
      <c r="B6273" s="38">
        <v>71067.0</v>
      </c>
      <c r="C6273" s="38" t="s">
        <v>9577</v>
      </c>
      <c r="D6273" s="38" t="str">
        <f>IFERROR(__xludf.DUMMYFUNCTION("REGEXREPLACE(C6273,""-\d+(.*)|--\d+(.*)"","""")"),"BURNAND")</f>
        <v>BURNAND</v>
      </c>
      <c r="E6273" s="38" t="s">
        <v>344</v>
      </c>
      <c r="F6273" s="38" t="s">
        <v>106</v>
      </c>
      <c r="G6273" s="49" t="str">
        <f t="shared" si="1"/>
        <v>71460</v>
      </c>
      <c r="H6273" s="49">
        <f t="shared" si="2"/>
        <v>71067</v>
      </c>
    </row>
    <row r="6274">
      <c r="A6274" s="48" t="s">
        <v>7641</v>
      </c>
      <c r="B6274" s="38">
        <v>3031.0</v>
      </c>
      <c r="C6274" s="38" t="s">
        <v>9578</v>
      </c>
      <c r="D6274" s="38" t="str">
        <f>IFERROR(__xludf.DUMMYFUNCTION("REGEXREPLACE(C6274,""-\d+(.*)|--\d+(.*)"","""")"),"BIZENEUILLE")</f>
        <v>BIZENEUILLE</v>
      </c>
      <c r="E6274" s="38" t="s">
        <v>160</v>
      </c>
      <c r="F6274" s="38" t="s">
        <v>161</v>
      </c>
      <c r="G6274" s="49" t="str">
        <f t="shared" si="1"/>
        <v>03170</v>
      </c>
      <c r="H6274" s="49" t="str">
        <f t="shared" si="2"/>
        <v>03031</v>
      </c>
    </row>
    <row r="6275">
      <c r="A6275" s="48" t="s">
        <v>3934</v>
      </c>
      <c r="B6275" s="38">
        <v>3117.0</v>
      </c>
      <c r="C6275" s="38" t="s">
        <v>9579</v>
      </c>
      <c r="D6275" s="38" t="str">
        <f>IFERROR(__xludf.DUMMYFUNCTION("REGEXREPLACE(C6275,""-\d+(.*)|--\d+(.*)"","""")"),"FRANCHESSE")</f>
        <v>FRANCHESSE</v>
      </c>
      <c r="E6275" s="38" t="s">
        <v>160</v>
      </c>
      <c r="F6275" s="38" t="s">
        <v>161</v>
      </c>
      <c r="G6275" s="49" t="str">
        <f t="shared" si="1"/>
        <v>03160</v>
      </c>
      <c r="H6275" s="49" t="str">
        <f t="shared" si="2"/>
        <v>03117</v>
      </c>
    </row>
    <row r="6276">
      <c r="A6276" s="48" t="s">
        <v>6256</v>
      </c>
      <c r="B6276" s="38">
        <v>55556.0</v>
      </c>
      <c r="C6276" s="38" t="s">
        <v>9580</v>
      </c>
      <c r="D6276" s="38" t="str">
        <f>IFERROR(__xludf.DUMMYFUNCTION("REGEXREPLACE(C6276,""-\d+(.*)|--\d+(.*)"","""")"),"VILLE-DEVANT-CHAUMONT")</f>
        <v>VILLE-DEVANT-CHAUMONT</v>
      </c>
      <c r="E6276" s="38" t="s">
        <v>322</v>
      </c>
      <c r="F6276" s="38" t="s">
        <v>195</v>
      </c>
      <c r="G6276" s="49" t="str">
        <f t="shared" si="1"/>
        <v>55150</v>
      </c>
      <c r="H6276" s="49">
        <f t="shared" si="2"/>
        <v>55556</v>
      </c>
    </row>
    <row r="6277">
      <c r="A6277" s="48" t="s">
        <v>8300</v>
      </c>
      <c r="B6277" s="38">
        <v>39179.0</v>
      </c>
      <c r="C6277" s="38" t="s">
        <v>9581</v>
      </c>
      <c r="D6277" s="38" t="str">
        <f>IFERROR(__xludf.DUMMYFUNCTION("REGEXREPLACE(C6277,""-\d+(.*)|--\d+(.*)"","""")"),"CRENANS")</f>
        <v>CRENANS</v>
      </c>
      <c r="E6277" s="38" t="s">
        <v>400</v>
      </c>
      <c r="F6277" s="38" t="s">
        <v>214</v>
      </c>
      <c r="G6277" s="49" t="str">
        <f t="shared" si="1"/>
        <v>39260</v>
      </c>
      <c r="H6277" s="49">
        <f t="shared" si="2"/>
        <v>39179</v>
      </c>
    </row>
    <row r="6278">
      <c r="A6278" s="48" t="s">
        <v>1560</v>
      </c>
      <c r="B6278" s="38">
        <v>14419.0</v>
      </c>
      <c r="C6278" s="38" t="s">
        <v>9582</v>
      </c>
      <c r="D6278" s="38" t="str">
        <f>IFERROR(__xludf.DUMMYFUNCTION("REGEXREPLACE(C6278,""-\d+(.*)|--\d+(.*)"","""")"),"LE MESNIL-EUDES")</f>
        <v>LE MESNIL-EUDES</v>
      </c>
      <c r="E6278" s="38" t="s">
        <v>137</v>
      </c>
      <c r="F6278" s="38" t="s">
        <v>138</v>
      </c>
      <c r="G6278" s="49" t="str">
        <f t="shared" si="1"/>
        <v>14100</v>
      </c>
      <c r="H6278" s="49">
        <f t="shared" si="2"/>
        <v>14419</v>
      </c>
    </row>
    <row r="6279">
      <c r="A6279" s="48" t="s">
        <v>398</v>
      </c>
      <c r="B6279" s="38">
        <v>39108.0</v>
      </c>
      <c r="C6279" s="38" t="s">
        <v>9583</v>
      </c>
      <c r="D6279" s="38" t="str">
        <f>IFERROR(__xludf.DUMMYFUNCTION("REGEXREPLACE(C6279,""-\d+(.*)|--\d+(.*)"","""")"),"CHARENCY")</f>
        <v>CHARENCY</v>
      </c>
      <c r="E6279" s="38" t="s">
        <v>400</v>
      </c>
      <c r="F6279" s="38" t="s">
        <v>214</v>
      </c>
      <c r="G6279" s="49" t="str">
        <f t="shared" si="1"/>
        <v>39250</v>
      </c>
      <c r="H6279" s="49">
        <f t="shared" si="2"/>
        <v>39108</v>
      </c>
    </row>
    <row r="6280">
      <c r="A6280" s="48" t="s">
        <v>2579</v>
      </c>
      <c r="B6280" s="38">
        <v>32280.0</v>
      </c>
      <c r="C6280" s="38" t="s">
        <v>9584</v>
      </c>
      <c r="D6280" s="38" t="str">
        <f>IFERROR(__xludf.DUMMYFUNCTION("REGEXREPLACE(C6280,""-\d+(.*)|--\d+(.*)"","""")"),"MONT-D'ASTARAC")</f>
        <v>MONT-D'ASTARAC</v>
      </c>
      <c r="E6280" s="38" t="s">
        <v>440</v>
      </c>
      <c r="F6280" s="38" t="s">
        <v>94</v>
      </c>
      <c r="G6280" s="49" t="str">
        <f t="shared" si="1"/>
        <v>32140</v>
      </c>
      <c r="H6280" s="49">
        <f t="shared" si="2"/>
        <v>32280</v>
      </c>
    </row>
    <row r="6281">
      <c r="A6281" s="48" t="s">
        <v>9585</v>
      </c>
      <c r="B6281" s="38">
        <v>25107.0</v>
      </c>
      <c r="C6281" s="38" t="s">
        <v>9586</v>
      </c>
      <c r="D6281" s="38" t="str">
        <f>IFERROR(__xludf.DUMMYFUNCTION("REGEXREPLACE(C6281,""-\d+(.*)|--\d+(.*)"","""")"),"CENDREY")</f>
        <v>CENDREY</v>
      </c>
      <c r="E6281" s="38" t="s">
        <v>213</v>
      </c>
      <c r="F6281" s="38" t="s">
        <v>214</v>
      </c>
      <c r="G6281" s="49" t="str">
        <f t="shared" si="1"/>
        <v>25640</v>
      </c>
      <c r="H6281" s="49">
        <f t="shared" si="2"/>
        <v>25107</v>
      </c>
    </row>
    <row r="6282">
      <c r="A6282" s="48" t="s">
        <v>9587</v>
      </c>
      <c r="B6282" s="38">
        <v>67281.0</v>
      </c>
      <c r="C6282" s="38" t="s">
        <v>9588</v>
      </c>
      <c r="D6282" s="38" t="str">
        <f>IFERROR(__xludf.DUMMYFUNCTION("REGEXREPLACE(C6282,""-\d+(.*)|--\d+(.*)"","""")"),"MARCKOLSHEIM")</f>
        <v>MARCKOLSHEIM</v>
      </c>
      <c r="E6282" s="38" t="s">
        <v>210</v>
      </c>
      <c r="F6282" s="38" t="s">
        <v>151</v>
      </c>
      <c r="G6282" s="49" t="str">
        <f t="shared" si="1"/>
        <v>67390</v>
      </c>
      <c r="H6282" s="49">
        <f t="shared" si="2"/>
        <v>67281</v>
      </c>
    </row>
    <row r="6283">
      <c r="A6283" s="48" t="s">
        <v>9589</v>
      </c>
      <c r="B6283" s="38">
        <v>35288.0</v>
      </c>
      <c r="C6283" s="38" t="s">
        <v>9590</v>
      </c>
      <c r="D6283" s="38" t="str">
        <f>IFERROR(__xludf.DUMMYFUNCTION("REGEXREPLACE(C6283,""-\d+(.*)|--\d+(.*)"","""")"),"SAINT-MALO")</f>
        <v>SAINT-MALO</v>
      </c>
      <c r="E6283" s="38" t="s">
        <v>347</v>
      </c>
      <c r="F6283" s="38" t="s">
        <v>90</v>
      </c>
      <c r="G6283" s="49" t="str">
        <f t="shared" si="1"/>
        <v>35400</v>
      </c>
      <c r="H6283" s="49">
        <f t="shared" si="2"/>
        <v>35288</v>
      </c>
    </row>
    <row r="6284">
      <c r="A6284" s="48" t="s">
        <v>5065</v>
      </c>
      <c r="B6284" s="38">
        <v>50123.0</v>
      </c>
      <c r="C6284" s="38" t="s">
        <v>9591</v>
      </c>
      <c r="D6284" s="38" t="str">
        <f>IFERROR(__xludf.DUMMYFUNCTION("REGEXREPLACE(C6284,""-\d+(.*)|--\d+(.*)"","""")"),"LA CHAPELLE-EN-JUGER")</f>
        <v>LA CHAPELLE-EN-JUGER</v>
      </c>
      <c r="E6284" s="38" t="s">
        <v>157</v>
      </c>
      <c r="F6284" s="38" t="s">
        <v>138</v>
      </c>
      <c r="G6284" s="49" t="str">
        <f t="shared" si="1"/>
        <v>50570</v>
      </c>
      <c r="H6284" s="49">
        <f t="shared" si="2"/>
        <v>50123</v>
      </c>
    </row>
    <row r="6285">
      <c r="A6285" s="48" t="s">
        <v>3093</v>
      </c>
      <c r="B6285" s="38">
        <v>57473.0</v>
      </c>
      <c r="C6285" s="38" t="s">
        <v>9592</v>
      </c>
      <c r="D6285" s="38" t="str">
        <f>IFERROR(__xludf.DUMMYFUNCTION("REGEXREPLACE(C6285,""-\d+(.*)|--\d+(.*)"","""")"),"MONCOURT")</f>
        <v>MONCOURT</v>
      </c>
      <c r="E6285" s="38" t="s">
        <v>303</v>
      </c>
      <c r="F6285" s="38" t="s">
        <v>195</v>
      </c>
      <c r="G6285" s="49" t="str">
        <f t="shared" si="1"/>
        <v>57810</v>
      </c>
      <c r="H6285" s="49">
        <f t="shared" si="2"/>
        <v>57473</v>
      </c>
    </row>
    <row r="6286">
      <c r="A6286" s="48" t="s">
        <v>6047</v>
      </c>
      <c r="B6286" s="38">
        <v>38037.0</v>
      </c>
      <c r="C6286" s="38" t="s">
        <v>9593</v>
      </c>
      <c r="D6286" s="38" t="str">
        <f>IFERROR(__xludf.DUMMYFUNCTION("REGEXREPLACE(C6286,""-\d+(.*)|--\d+(.*)"","""")"),"BELLEGARDE-POUSSIEU")</f>
        <v>BELLEGARDE-POUSSIEU</v>
      </c>
      <c r="E6286" s="38" t="s">
        <v>101</v>
      </c>
      <c r="F6286" s="38" t="s">
        <v>102</v>
      </c>
      <c r="G6286" s="49" t="str">
        <f t="shared" si="1"/>
        <v>38270</v>
      </c>
      <c r="H6286" s="49">
        <f t="shared" si="2"/>
        <v>38037</v>
      </c>
    </row>
    <row r="6287">
      <c r="A6287" s="48" t="s">
        <v>9594</v>
      </c>
      <c r="B6287" s="38">
        <v>44085.0</v>
      </c>
      <c r="C6287" s="38" t="s">
        <v>9595</v>
      </c>
      <c r="D6287" s="38" t="str">
        <f>IFERROR(__xludf.DUMMYFUNCTION("REGEXREPLACE(C6287,""-\d+(.*)|--\d+(.*)"","""")"),"LOUISFERT")</f>
        <v>LOUISFERT</v>
      </c>
      <c r="E6287" s="38" t="s">
        <v>759</v>
      </c>
      <c r="F6287" s="38" t="s">
        <v>180</v>
      </c>
      <c r="G6287" s="49" t="str">
        <f t="shared" si="1"/>
        <v>44110</v>
      </c>
      <c r="H6287" s="49">
        <f t="shared" si="2"/>
        <v>44085</v>
      </c>
    </row>
    <row r="6288">
      <c r="A6288" s="48" t="s">
        <v>2726</v>
      </c>
      <c r="B6288" s="38">
        <v>46282.0</v>
      </c>
      <c r="C6288" s="38" t="s">
        <v>9596</v>
      </c>
      <c r="D6288" s="38" t="str">
        <f>IFERROR(__xludf.DUMMYFUNCTION("REGEXREPLACE(C6288,""-\d+(.*)|--\d+(.*)"","""")"),"SAINT-MEDARD-NICOURBY")</f>
        <v>SAINT-MEDARD-NICOURBY</v>
      </c>
      <c r="E6288" s="38" t="s">
        <v>185</v>
      </c>
      <c r="F6288" s="38" t="s">
        <v>94</v>
      </c>
      <c r="G6288" s="49" t="str">
        <f t="shared" si="1"/>
        <v>46210</v>
      </c>
      <c r="H6288" s="49">
        <f t="shared" si="2"/>
        <v>46282</v>
      </c>
    </row>
    <row r="6289">
      <c r="A6289" s="48" t="s">
        <v>9597</v>
      </c>
      <c r="B6289" s="38">
        <v>29028.0</v>
      </c>
      <c r="C6289" s="38" t="s">
        <v>9598</v>
      </c>
      <c r="D6289" s="38" t="str">
        <f>IFERROR(__xludf.DUMMYFUNCTION("REGEXREPLACE(C6289,""-\d+(.*)|--\d+(.*)"","""")"),"CLEDEN-CAP-SIZUN")</f>
        <v>CLEDEN-CAP-SIZUN</v>
      </c>
      <c r="E6289" s="38" t="s">
        <v>176</v>
      </c>
      <c r="F6289" s="38" t="s">
        <v>90</v>
      </c>
      <c r="G6289" s="49" t="str">
        <f t="shared" si="1"/>
        <v>29770</v>
      </c>
      <c r="H6289" s="49">
        <f t="shared" si="2"/>
        <v>29028</v>
      </c>
    </row>
    <row r="6290">
      <c r="A6290" s="48" t="s">
        <v>8629</v>
      </c>
      <c r="B6290" s="38">
        <v>7025.0</v>
      </c>
      <c r="C6290" s="38" t="s">
        <v>9599</v>
      </c>
      <c r="D6290" s="38" t="str">
        <f>IFERROR(__xludf.DUMMYFUNCTION("REGEXREPLACE(C6290,""-\d+(.*)|--\d+(.*)"","""")"),"BARNAS")</f>
        <v>BARNAS</v>
      </c>
      <c r="E6290" s="38" t="s">
        <v>144</v>
      </c>
      <c r="F6290" s="38" t="s">
        <v>102</v>
      </c>
      <c r="G6290" s="49" t="str">
        <f t="shared" si="1"/>
        <v>07330</v>
      </c>
      <c r="H6290" s="49" t="str">
        <f t="shared" si="2"/>
        <v>07025</v>
      </c>
    </row>
    <row r="6291">
      <c r="A6291" s="48" t="s">
        <v>9600</v>
      </c>
      <c r="B6291" s="38">
        <v>7061.0</v>
      </c>
      <c r="C6291" s="38" t="s">
        <v>9601</v>
      </c>
      <c r="D6291" s="38" t="str">
        <f>IFERROR(__xludf.DUMMYFUNCTION("REGEXREPLACE(C6291,""-\d+(.*)|--\d+(.*)"","""")"),"CHAUZON")</f>
        <v>CHAUZON</v>
      </c>
      <c r="E6291" s="38" t="s">
        <v>144</v>
      </c>
      <c r="F6291" s="38" t="s">
        <v>102</v>
      </c>
      <c r="G6291" s="49" t="str">
        <f t="shared" si="1"/>
        <v>07120</v>
      </c>
      <c r="H6291" s="49" t="str">
        <f t="shared" si="2"/>
        <v>07061</v>
      </c>
    </row>
    <row r="6292">
      <c r="A6292" s="48" t="s">
        <v>9602</v>
      </c>
      <c r="B6292" s="38">
        <v>72210.0</v>
      </c>
      <c r="C6292" s="38" t="s">
        <v>9603</v>
      </c>
      <c r="D6292" s="38" t="str">
        <f>IFERROR(__xludf.DUMMYFUNCTION("REGEXREPLACE(C6292,""-\d+(.*)|--\d+(.*)"","""")"),"MONTREUIL-LE-HENRI")</f>
        <v>MONTREUIL-LE-HENRI</v>
      </c>
      <c r="E6292" s="38" t="s">
        <v>521</v>
      </c>
      <c r="F6292" s="38" t="s">
        <v>180</v>
      </c>
      <c r="G6292" s="49" t="str">
        <f t="shared" si="1"/>
        <v>72150</v>
      </c>
      <c r="H6292" s="49">
        <f t="shared" si="2"/>
        <v>72210</v>
      </c>
    </row>
    <row r="6293">
      <c r="A6293" s="48" t="s">
        <v>5953</v>
      </c>
      <c r="B6293" s="38">
        <v>76438.0</v>
      </c>
      <c r="C6293" s="38" t="s">
        <v>9604</v>
      </c>
      <c r="D6293" s="38" t="str">
        <f>IFERROR(__xludf.DUMMYFUNCTION("REGEXREPLACE(C6293,""-\d+(.*)|--\d+(.*)"","""")"),"MILLEBOSC")</f>
        <v>MILLEBOSC</v>
      </c>
      <c r="E6293" s="38" t="s">
        <v>133</v>
      </c>
      <c r="F6293" s="38" t="s">
        <v>134</v>
      </c>
      <c r="G6293" s="49" t="str">
        <f t="shared" si="1"/>
        <v>76260</v>
      </c>
      <c r="H6293" s="49">
        <f t="shared" si="2"/>
        <v>76438</v>
      </c>
    </row>
    <row r="6294">
      <c r="A6294" s="48" t="s">
        <v>1462</v>
      </c>
      <c r="B6294" s="38">
        <v>11343.0</v>
      </c>
      <c r="C6294" s="38" t="s">
        <v>9605</v>
      </c>
      <c r="D6294" s="38" t="str">
        <f>IFERROR(__xludf.DUMMYFUNCTION("REGEXREPLACE(C6294,""-\d+(.*)|--\d+(.*)"","""")"),"SAINT-GAUDERIC")</f>
        <v>SAINT-GAUDERIC</v>
      </c>
      <c r="E6294" s="38" t="s">
        <v>278</v>
      </c>
      <c r="F6294" s="38" t="s">
        <v>119</v>
      </c>
      <c r="G6294" s="49" t="str">
        <f t="shared" si="1"/>
        <v>11270</v>
      </c>
      <c r="H6294" s="49">
        <f t="shared" si="2"/>
        <v>11343</v>
      </c>
    </row>
    <row r="6295">
      <c r="A6295" s="48" t="s">
        <v>814</v>
      </c>
      <c r="B6295" s="38">
        <v>4151.0</v>
      </c>
      <c r="C6295" s="38" t="s">
        <v>9606</v>
      </c>
      <c r="D6295" s="38" t="str">
        <f>IFERROR(__xludf.DUMMYFUNCTION("REGEXREPLACE(C6295,""-\d+(.*)|--\d+(.*)"","""")"),"PIERRERUE")</f>
        <v>PIERRERUE</v>
      </c>
      <c r="E6295" s="38" t="s">
        <v>662</v>
      </c>
      <c r="F6295" s="38" t="s">
        <v>228</v>
      </c>
      <c r="G6295" s="49" t="str">
        <f t="shared" si="1"/>
        <v>04300</v>
      </c>
      <c r="H6295" s="49" t="str">
        <f t="shared" si="2"/>
        <v>04151</v>
      </c>
    </row>
    <row r="6296">
      <c r="A6296" s="48" t="s">
        <v>2042</v>
      </c>
      <c r="B6296" s="38">
        <v>80353.0</v>
      </c>
      <c r="C6296" s="38" t="s">
        <v>9607</v>
      </c>
      <c r="D6296" s="38" t="str">
        <f>IFERROR(__xludf.DUMMYFUNCTION("REGEXREPLACE(C6296,""-\d+(.*)|--\d+(.*)"","""")"),"FRESNES-MAZANCOURT")</f>
        <v>FRESNES-MAZANCOURT</v>
      </c>
      <c r="E6296" s="38" t="s">
        <v>224</v>
      </c>
      <c r="F6296" s="38" t="s">
        <v>113</v>
      </c>
      <c r="G6296" s="49" t="str">
        <f t="shared" si="1"/>
        <v>80320</v>
      </c>
      <c r="H6296" s="49">
        <f t="shared" si="2"/>
        <v>80353</v>
      </c>
    </row>
    <row r="6297">
      <c r="A6297" s="48" t="s">
        <v>7726</v>
      </c>
      <c r="B6297" s="38">
        <v>35169.0</v>
      </c>
      <c r="C6297" s="38" t="s">
        <v>9608</v>
      </c>
      <c r="D6297" s="38" t="str">
        <f>IFERROR(__xludf.DUMMYFUNCTION("REGEXREPLACE(C6297,""-\d+(.*)|--\d+(.*)"","""")"),"MAXENT")</f>
        <v>MAXENT</v>
      </c>
      <c r="E6297" s="38" t="s">
        <v>347</v>
      </c>
      <c r="F6297" s="38" t="s">
        <v>90</v>
      </c>
      <c r="G6297" s="49" t="str">
        <f t="shared" si="1"/>
        <v>35380</v>
      </c>
      <c r="H6297" s="49">
        <f t="shared" si="2"/>
        <v>35169</v>
      </c>
    </row>
    <row r="6298">
      <c r="A6298" s="48" t="s">
        <v>7274</v>
      </c>
      <c r="B6298" s="38">
        <v>11320.0</v>
      </c>
      <c r="C6298" s="38" t="s">
        <v>9609</v>
      </c>
      <c r="D6298" s="38" t="str">
        <f>IFERROR(__xludf.DUMMYFUNCTION("REGEXREPLACE(C6298,""-\d+(.*)|--\d+(.*)"","""")"),"ROQUEFEUIL")</f>
        <v>ROQUEFEUIL</v>
      </c>
      <c r="E6298" s="38" t="s">
        <v>278</v>
      </c>
      <c r="F6298" s="38" t="s">
        <v>119</v>
      </c>
      <c r="G6298" s="49" t="str">
        <f t="shared" si="1"/>
        <v>11340</v>
      </c>
      <c r="H6298" s="49">
        <f t="shared" si="2"/>
        <v>11320</v>
      </c>
    </row>
    <row r="6299">
      <c r="A6299" s="48" t="s">
        <v>3184</v>
      </c>
      <c r="B6299" s="38">
        <v>36189.0</v>
      </c>
      <c r="C6299" s="38" t="s">
        <v>9610</v>
      </c>
      <c r="D6299" s="38" t="str">
        <f>IFERROR(__xludf.DUMMYFUNCTION("REGEXREPLACE(C6299,""-\d+(.*)|--\d+(.*)"","""")"),"SAINT-DENIS-DE-JOUHET")</f>
        <v>SAINT-DENIS-DE-JOUHET</v>
      </c>
      <c r="E6299" s="38" t="s">
        <v>258</v>
      </c>
      <c r="F6299" s="38" t="s">
        <v>123</v>
      </c>
      <c r="G6299" s="49" t="str">
        <f t="shared" si="1"/>
        <v>36230</v>
      </c>
      <c r="H6299" s="49">
        <f t="shared" si="2"/>
        <v>36189</v>
      </c>
    </row>
    <row r="6300">
      <c r="A6300" s="48" t="s">
        <v>2042</v>
      </c>
      <c r="B6300" s="38">
        <v>80608.0</v>
      </c>
      <c r="C6300" s="38" t="s">
        <v>9611</v>
      </c>
      <c r="D6300" s="38" t="str">
        <f>IFERROR(__xludf.DUMMYFUNCTION("REGEXREPLACE(C6300,""-\d+(.*)|--\d+(.*)"","""")"),"OMIECOURT")</f>
        <v>OMIECOURT</v>
      </c>
      <c r="E6300" s="38" t="s">
        <v>224</v>
      </c>
      <c r="F6300" s="38" t="s">
        <v>113</v>
      </c>
      <c r="G6300" s="49" t="str">
        <f t="shared" si="1"/>
        <v>80320</v>
      </c>
      <c r="H6300" s="49">
        <f t="shared" si="2"/>
        <v>80608</v>
      </c>
    </row>
    <row r="6301">
      <c r="A6301" s="48" t="s">
        <v>626</v>
      </c>
      <c r="B6301" s="38">
        <v>31388.0</v>
      </c>
      <c r="C6301" s="38" t="s">
        <v>9612</v>
      </c>
      <c r="D6301" s="38" t="str">
        <f>IFERROR(__xludf.DUMMYFUNCTION("REGEXREPLACE(C6301,""-\d+(.*)|--\d+(.*)"","""")"),"MONTPITOL")</f>
        <v>MONTPITOL</v>
      </c>
      <c r="E6301" s="38" t="s">
        <v>93</v>
      </c>
      <c r="F6301" s="38" t="s">
        <v>94</v>
      </c>
      <c r="G6301" s="49" t="str">
        <f t="shared" si="1"/>
        <v>31380</v>
      </c>
      <c r="H6301" s="49">
        <f t="shared" si="2"/>
        <v>31388</v>
      </c>
    </row>
    <row r="6302">
      <c r="A6302" s="48" t="s">
        <v>9613</v>
      </c>
      <c r="B6302" s="38">
        <v>16382.0</v>
      </c>
      <c r="C6302" s="38" t="s">
        <v>9614</v>
      </c>
      <c r="D6302" s="38" t="str">
        <f>IFERROR(__xludf.DUMMYFUNCTION("REGEXREPLACE(C6302,""-\d+(.*)|--\d+(.*)"","""")"),"TORSAC")</f>
        <v>TORSAC</v>
      </c>
      <c r="E6302" s="38" t="s">
        <v>429</v>
      </c>
      <c r="F6302" s="38" t="s">
        <v>338</v>
      </c>
      <c r="G6302" s="49" t="str">
        <f t="shared" si="1"/>
        <v>16410</v>
      </c>
      <c r="H6302" s="49">
        <f t="shared" si="2"/>
        <v>16382</v>
      </c>
    </row>
    <row r="6303">
      <c r="A6303" s="48" t="s">
        <v>9615</v>
      </c>
      <c r="B6303" s="38">
        <v>86064.0</v>
      </c>
      <c r="C6303" s="38" t="s">
        <v>9616</v>
      </c>
      <c r="D6303" s="38" t="str">
        <f>IFERROR(__xludf.DUMMYFUNCTION("REGEXREPLACE(C6303,""-\d+(.*)|--\d+(.*)"","""")"),"CHATEAU-GARNIER")</f>
        <v>CHATEAU-GARNIER</v>
      </c>
      <c r="E6303" s="38" t="s">
        <v>529</v>
      </c>
      <c r="F6303" s="38" t="s">
        <v>338</v>
      </c>
      <c r="G6303" s="49" t="str">
        <f t="shared" si="1"/>
        <v>86350</v>
      </c>
      <c r="H6303" s="49">
        <f t="shared" si="2"/>
        <v>86064</v>
      </c>
    </row>
    <row r="6304">
      <c r="A6304" s="48" t="s">
        <v>1040</v>
      </c>
      <c r="B6304" s="38">
        <v>62340.0</v>
      </c>
      <c r="C6304" s="38" t="s">
        <v>9617</v>
      </c>
      <c r="D6304" s="38" t="str">
        <f>IFERROR(__xludf.DUMMYFUNCTION("REGEXREPLACE(C6304,""-\d+(.*)|--\d+(.*)"","""")"),"FLORINGHEM")</f>
        <v>FLORINGHEM</v>
      </c>
      <c r="E6304" s="38" t="s">
        <v>109</v>
      </c>
      <c r="F6304" s="38" t="s">
        <v>86</v>
      </c>
      <c r="G6304" s="49" t="str">
        <f t="shared" si="1"/>
        <v>62550</v>
      </c>
      <c r="H6304" s="49">
        <f t="shared" si="2"/>
        <v>62340</v>
      </c>
    </row>
    <row r="6305">
      <c r="A6305" s="48" t="s">
        <v>1991</v>
      </c>
      <c r="B6305" s="38">
        <v>54019.0</v>
      </c>
      <c r="C6305" s="38" t="s">
        <v>9618</v>
      </c>
      <c r="D6305" s="38" t="str">
        <f>IFERROR(__xludf.DUMMYFUNCTION("REGEXREPLACE(C6305,""-\d+(.*)|--\d+(.*)"","""")"),"ANSAUVILLE")</f>
        <v>ANSAUVILLE</v>
      </c>
      <c r="E6305" s="38" t="s">
        <v>548</v>
      </c>
      <c r="F6305" s="38" t="s">
        <v>195</v>
      </c>
      <c r="G6305" s="49" t="str">
        <f t="shared" si="1"/>
        <v>54470</v>
      </c>
      <c r="H6305" s="49">
        <f t="shared" si="2"/>
        <v>54019</v>
      </c>
    </row>
    <row r="6306">
      <c r="A6306" s="48" t="s">
        <v>3992</v>
      </c>
      <c r="B6306" s="38">
        <v>46317.0</v>
      </c>
      <c r="C6306" s="38" t="s">
        <v>9619</v>
      </c>
      <c r="D6306" s="38" t="str">
        <f>IFERROR(__xludf.DUMMYFUNCTION("REGEXREPLACE(C6306,""-\d+(.*)|--\d+(.*)"","""")"),"THEGRA")</f>
        <v>THEGRA</v>
      </c>
      <c r="E6306" s="38" t="s">
        <v>185</v>
      </c>
      <c r="F6306" s="38" t="s">
        <v>94</v>
      </c>
      <c r="G6306" s="49" t="str">
        <f t="shared" si="1"/>
        <v>46500</v>
      </c>
      <c r="H6306" s="49">
        <f t="shared" si="2"/>
        <v>46317</v>
      </c>
    </row>
    <row r="6307">
      <c r="A6307" s="48" t="s">
        <v>239</v>
      </c>
      <c r="B6307" s="38">
        <v>27698.0</v>
      </c>
      <c r="C6307" s="38" t="s">
        <v>9620</v>
      </c>
      <c r="D6307" s="38" t="str">
        <f>IFERROR(__xludf.DUMMYFUNCTION("REGEXREPLACE(C6307,""-\d+(.*)|--\d+(.*)"","""")"),"VITOT")</f>
        <v>VITOT</v>
      </c>
      <c r="E6307" s="38" t="s">
        <v>241</v>
      </c>
      <c r="F6307" s="38" t="s">
        <v>134</v>
      </c>
      <c r="G6307" s="49" t="str">
        <f t="shared" si="1"/>
        <v>27110</v>
      </c>
      <c r="H6307" s="49">
        <f t="shared" si="2"/>
        <v>27698</v>
      </c>
    </row>
    <row r="6308">
      <c r="A6308" s="48" t="s">
        <v>9621</v>
      </c>
      <c r="B6308" s="38">
        <v>43060.0</v>
      </c>
      <c r="C6308" s="38" t="s">
        <v>9622</v>
      </c>
      <c r="D6308" s="38" t="str">
        <f>IFERROR(__xludf.DUMMYFUNCTION("REGEXREPLACE(C6308,""-\d+(.*)|--\d+(.*)"","""")"),"CHARRAIX")</f>
        <v>CHARRAIX</v>
      </c>
      <c r="E6308" s="38" t="s">
        <v>332</v>
      </c>
      <c r="F6308" s="38" t="s">
        <v>161</v>
      </c>
      <c r="G6308" s="49" t="str">
        <f t="shared" si="1"/>
        <v>43300</v>
      </c>
      <c r="H6308" s="49">
        <f t="shared" si="2"/>
        <v>43060</v>
      </c>
    </row>
    <row r="6309">
      <c r="A6309" s="48" t="s">
        <v>9623</v>
      </c>
      <c r="B6309" s="38">
        <v>5006.0</v>
      </c>
      <c r="C6309" s="38" t="s">
        <v>9624</v>
      </c>
      <c r="D6309" s="38" t="str">
        <f>IFERROR(__xludf.DUMMYFUNCTION("REGEXREPLACE(C6309,""-\d+(.*)|--\d+(.*)"","""")"),"L'ARGENTIERE-LA-BESSEE")</f>
        <v>L'ARGENTIERE-LA-BESSEE</v>
      </c>
      <c r="E6309" s="38" t="s">
        <v>706</v>
      </c>
      <c r="F6309" s="38" t="s">
        <v>228</v>
      </c>
      <c r="G6309" s="49" t="str">
        <f t="shared" si="1"/>
        <v>05120</v>
      </c>
      <c r="H6309" s="49" t="str">
        <f t="shared" si="2"/>
        <v>05006</v>
      </c>
    </row>
    <row r="6310">
      <c r="A6310" s="48" t="s">
        <v>9625</v>
      </c>
      <c r="B6310" s="38">
        <v>11423.0</v>
      </c>
      <c r="C6310" s="38" t="s">
        <v>9626</v>
      </c>
      <c r="D6310" s="38" t="str">
        <f>IFERROR(__xludf.DUMMYFUNCTION("REGEXREPLACE(C6310,""-\d+(.*)|--\d+(.*)"","""")"),"VILLEFLOURE")</f>
        <v>VILLEFLOURE</v>
      </c>
      <c r="E6310" s="38" t="s">
        <v>278</v>
      </c>
      <c r="F6310" s="38" t="s">
        <v>119</v>
      </c>
      <c r="G6310" s="49" t="str">
        <f t="shared" si="1"/>
        <v>11570</v>
      </c>
      <c r="H6310" s="49">
        <f t="shared" si="2"/>
        <v>11423</v>
      </c>
    </row>
    <row r="6311">
      <c r="A6311" s="48" t="s">
        <v>960</v>
      </c>
      <c r="B6311" s="38">
        <v>28394.0</v>
      </c>
      <c r="C6311" s="38" t="s">
        <v>9627</v>
      </c>
      <c r="D6311" s="38" t="str">
        <f>IFERROR(__xludf.DUMMYFUNCTION("REGEXREPLACE(C6311,""-\d+(.*)|--\d+(.*)"","""")"),"TREON")</f>
        <v>TREON</v>
      </c>
      <c r="E6311" s="38" t="s">
        <v>300</v>
      </c>
      <c r="F6311" s="38" t="s">
        <v>123</v>
      </c>
      <c r="G6311" s="49" t="str">
        <f t="shared" si="1"/>
        <v>28500</v>
      </c>
      <c r="H6311" s="49">
        <f t="shared" si="2"/>
        <v>28394</v>
      </c>
    </row>
    <row r="6312">
      <c r="A6312" s="48" t="s">
        <v>1679</v>
      </c>
      <c r="B6312" s="38">
        <v>51594.0</v>
      </c>
      <c r="C6312" s="38" t="s">
        <v>9628</v>
      </c>
      <c r="D6312" s="38" t="str">
        <f>IFERROR(__xludf.DUMMYFUNCTION("REGEXREPLACE(C6312,""-\d+(.*)|--\d+(.*)"","""")"),"VASSIMONT-ET-CHAPELAINE")</f>
        <v>VASSIMONT-ET-CHAPELAINE</v>
      </c>
      <c r="E6312" s="38" t="s">
        <v>129</v>
      </c>
      <c r="F6312" s="38" t="s">
        <v>130</v>
      </c>
      <c r="G6312" s="49" t="str">
        <f t="shared" si="1"/>
        <v>51320</v>
      </c>
      <c r="H6312" s="49">
        <f t="shared" si="2"/>
        <v>51594</v>
      </c>
    </row>
    <row r="6313">
      <c r="A6313" s="48" t="s">
        <v>3925</v>
      </c>
      <c r="B6313" s="38">
        <v>41237.0</v>
      </c>
      <c r="C6313" s="38" t="s">
        <v>9629</v>
      </c>
      <c r="D6313" s="38" t="str">
        <f>IFERROR(__xludf.DUMMYFUNCTION("REGEXREPLACE(C6313,""-\d+(.*)|--\d+(.*)"","""")"),"SASSAY")</f>
        <v>SASSAY</v>
      </c>
      <c r="E6313" s="38" t="s">
        <v>188</v>
      </c>
      <c r="F6313" s="38" t="s">
        <v>123</v>
      </c>
      <c r="G6313" s="49" t="str">
        <f t="shared" si="1"/>
        <v>41700</v>
      </c>
      <c r="H6313" s="49">
        <f t="shared" si="2"/>
        <v>41237</v>
      </c>
    </row>
    <row r="6314">
      <c r="A6314" s="48" t="s">
        <v>167</v>
      </c>
      <c r="B6314" s="38">
        <v>34292.0</v>
      </c>
      <c r="C6314" s="38" t="s">
        <v>9630</v>
      </c>
      <c r="D6314" s="38" t="str">
        <f>IFERROR(__xludf.DUMMYFUNCTION("REGEXREPLACE(C6314,""-\d+(.*)|--\d+(.*)"","""")"),"SALASC")</f>
        <v>SALASC</v>
      </c>
      <c r="E6314" s="38" t="s">
        <v>118</v>
      </c>
      <c r="F6314" s="38" t="s">
        <v>119</v>
      </c>
      <c r="G6314" s="49" t="str">
        <f t="shared" si="1"/>
        <v>34800</v>
      </c>
      <c r="H6314" s="49">
        <f t="shared" si="2"/>
        <v>34292</v>
      </c>
    </row>
    <row r="6315">
      <c r="A6315" s="48" t="s">
        <v>580</v>
      </c>
      <c r="B6315" s="38">
        <v>31123.0</v>
      </c>
      <c r="C6315" s="38" t="s">
        <v>9631</v>
      </c>
      <c r="D6315" s="38" t="str">
        <f>IFERROR(__xludf.DUMMYFUNCTION("REGEXREPLACE(C6315,""-\d+(.*)|--\d+(.*)"","""")"),"CASTILLON-DE-LARBOUST")</f>
        <v>CASTILLON-DE-LARBOUST</v>
      </c>
      <c r="E6315" s="38" t="s">
        <v>93</v>
      </c>
      <c r="F6315" s="38" t="s">
        <v>94</v>
      </c>
      <c r="G6315" s="49" t="str">
        <f t="shared" si="1"/>
        <v>31110</v>
      </c>
      <c r="H6315" s="49">
        <f t="shared" si="2"/>
        <v>31123</v>
      </c>
    </row>
    <row r="6316">
      <c r="A6316" s="48" t="s">
        <v>9632</v>
      </c>
      <c r="B6316" s="38">
        <v>28103.0</v>
      </c>
      <c r="C6316" s="38" t="s">
        <v>9633</v>
      </c>
      <c r="D6316" s="38" t="str">
        <f>IFERROR(__xludf.DUMMYFUNCTION("REGEXREPLACE(C6316,""-\d+(.*)|--\d+(.*)"","""")"),"CLOYES-SUR-LE-LOIR")</f>
        <v>CLOYES-SUR-LE-LOIR</v>
      </c>
      <c r="E6316" s="38" t="s">
        <v>300</v>
      </c>
      <c r="F6316" s="38" t="s">
        <v>123</v>
      </c>
      <c r="G6316" s="49" t="str">
        <f t="shared" si="1"/>
        <v>28220</v>
      </c>
      <c r="H6316" s="49">
        <f t="shared" si="2"/>
        <v>28103</v>
      </c>
    </row>
    <row r="6317">
      <c r="A6317" s="48" t="s">
        <v>9526</v>
      </c>
      <c r="B6317" s="38">
        <v>23058.0</v>
      </c>
      <c r="C6317" s="38" t="s">
        <v>9634</v>
      </c>
      <c r="D6317" s="38" t="str">
        <f>IFERROR(__xludf.DUMMYFUNCTION("REGEXREPLACE(C6317,""-\d+(.*)|--\d+(.*)"","""")"),"LE CHAUCHET")</f>
        <v>LE CHAUCHET</v>
      </c>
      <c r="E6317" s="38" t="s">
        <v>97</v>
      </c>
      <c r="F6317" s="38" t="s">
        <v>98</v>
      </c>
      <c r="G6317" s="49" t="str">
        <f t="shared" si="1"/>
        <v>23130</v>
      </c>
      <c r="H6317" s="49">
        <f t="shared" si="2"/>
        <v>23058</v>
      </c>
    </row>
    <row r="6318">
      <c r="A6318" s="48" t="s">
        <v>415</v>
      </c>
      <c r="B6318" s="38">
        <v>21216.0</v>
      </c>
      <c r="C6318" s="38" t="s">
        <v>9635</v>
      </c>
      <c r="D6318" s="38" t="str">
        <f>IFERROR(__xludf.DUMMYFUNCTION("REGEXREPLACE(C6318,""-\d+(.*)|--\d+(.*)"","""")"),"CULETRE")</f>
        <v>CULETRE</v>
      </c>
      <c r="E6318" s="38" t="s">
        <v>105</v>
      </c>
      <c r="F6318" s="38" t="s">
        <v>106</v>
      </c>
      <c r="G6318" s="49" t="str">
        <f t="shared" si="1"/>
        <v>21230</v>
      </c>
      <c r="H6318" s="49">
        <f t="shared" si="2"/>
        <v>21216</v>
      </c>
    </row>
    <row r="6319">
      <c r="A6319" s="48" t="s">
        <v>9636</v>
      </c>
      <c r="B6319" s="38">
        <v>42141.0</v>
      </c>
      <c r="C6319" s="38" t="s">
        <v>1326</v>
      </c>
      <c r="D6319" s="38" t="str">
        <f>IFERROR(__xludf.DUMMYFUNCTION("REGEXREPLACE(C6319,""-\d+(.*)|--\d+(.*)"","""")"),"MARS")</f>
        <v>MARS</v>
      </c>
      <c r="E6319" s="38" t="s">
        <v>166</v>
      </c>
      <c r="F6319" s="38" t="s">
        <v>102</v>
      </c>
      <c r="G6319" s="49" t="str">
        <f t="shared" si="1"/>
        <v>42750</v>
      </c>
      <c r="H6319" s="49">
        <f t="shared" si="2"/>
        <v>42141</v>
      </c>
    </row>
    <row r="6320">
      <c r="A6320" s="48" t="s">
        <v>9637</v>
      </c>
      <c r="B6320" s="38">
        <v>95489.0</v>
      </c>
      <c r="C6320" s="38" t="s">
        <v>9638</v>
      </c>
      <c r="D6320" s="38" t="str">
        <f>IFERROR(__xludf.DUMMYFUNCTION("REGEXREPLACE(C6320,""-\d+(.*)|--\d+(.*)"","""")"),"PISCOP")</f>
        <v>PISCOP</v>
      </c>
      <c r="E6320" s="38" t="s">
        <v>541</v>
      </c>
      <c r="F6320" s="38" t="s">
        <v>245</v>
      </c>
      <c r="G6320" s="49" t="str">
        <f t="shared" si="1"/>
        <v>95350</v>
      </c>
      <c r="H6320" s="49">
        <f t="shared" si="2"/>
        <v>95489</v>
      </c>
    </row>
    <row r="6321">
      <c r="A6321" s="48" t="s">
        <v>9639</v>
      </c>
      <c r="B6321" s="38">
        <v>85026.0</v>
      </c>
      <c r="C6321" s="38" t="s">
        <v>9640</v>
      </c>
      <c r="D6321" s="38" t="str">
        <f>IFERROR(__xludf.DUMMYFUNCTION("REGEXREPLACE(C6321,""-\d+(.*)|--\d+(.*)"","""")"),"LA BOISSIERE-DES-LANDES")</f>
        <v>LA BOISSIERE-DES-LANDES</v>
      </c>
      <c r="E6321" s="38" t="s">
        <v>179</v>
      </c>
      <c r="F6321" s="38" t="s">
        <v>180</v>
      </c>
      <c r="G6321" s="49" t="str">
        <f t="shared" si="1"/>
        <v>85430</v>
      </c>
      <c r="H6321" s="49">
        <f t="shared" si="2"/>
        <v>85026</v>
      </c>
    </row>
    <row r="6322">
      <c r="A6322" s="48" t="s">
        <v>1012</v>
      </c>
      <c r="B6322" s="38">
        <v>21430.0</v>
      </c>
      <c r="C6322" s="38" t="s">
        <v>9641</v>
      </c>
      <c r="D6322" s="38" t="str">
        <f>IFERROR(__xludf.DUMMYFUNCTION("REGEXREPLACE(C6322,""-\d+(.*)|--\d+(.*)"","""")"),"MONTIGNY-SAINT-BARTHELEMY")</f>
        <v>MONTIGNY-SAINT-BARTHELEMY</v>
      </c>
      <c r="E6322" s="38" t="s">
        <v>105</v>
      </c>
      <c r="F6322" s="38" t="s">
        <v>106</v>
      </c>
      <c r="G6322" s="49" t="str">
        <f t="shared" si="1"/>
        <v>21390</v>
      </c>
      <c r="H6322" s="49">
        <f t="shared" si="2"/>
        <v>21430</v>
      </c>
    </row>
    <row r="6323">
      <c r="A6323" s="48" t="s">
        <v>8742</v>
      </c>
      <c r="B6323" s="38">
        <v>27128.0</v>
      </c>
      <c r="C6323" s="38" t="s">
        <v>9642</v>
      </c>
      <c r="D6323" s="38" t="str">
        <f>IFERROR(__xludf.DUMMYFUNCTION("REGEXREPLACE(C6323,""-\d+(.*)|--\d+(.*)"","""")"),"CANTIERS")</f>
        <v>CANTIERS</v>
      </c>
      <c r="E6323" s="38" t="s">
        <v>241</v>
      </c>
      <c r="F6323" s="38" t="s">
        <v>134</v>
      </c>
      <c r="G6323" s="49" t="str">
        <f t="shared" si="1"/>
        <v>27420</v>
      </c>
      <c r="H6323" s="49">
        <f t="shared" si="2"/>
        <v>27128</v>
      </c>
    </row>
    <row r="6324">
      <c r="A6324" s="48" t="s">
        <v>2697</v>
      </c>
      <c r="B6324" s="38">
        <v>61288.0</v>
      </c>
      <c r="C6324" s="38" t="s">
        <v>9643</v>
      </c>
      <c r="D6324" s="38" t="str">
        <f>IFERROR(__xludf.DUMMYFUNCTION("REGEXREPLACE(C6324,""-\d+(.*)|--\d+(.*)"","""")"),"MONTMERREI")</f>
        <v>MONTMERREI</v>
      </c>
      <c r="E6324" s="38" t="s">
        <v>141</v>
      </c>
      <c r="F6324" s="38" t="s">
        <v>138</v>
      </c>
      <c r="G6324" s="49" t="str">
        <f t="shared" si="1"/>
        <v>61570</v>
      </c>
      <c r="H6324" s="49">
        <f t="shared" si="2"/>
        <v>61288</v>
      </c>
    </row>
    <row r="6325">
      <c r="A6325" s="48" t="s">
        <v>9644</v>
      </c>
      <c r="B6325" s="38">
        <v>57537.0</v>
      </c>
      <c r="C6325" s="38" t="s">
        <v>9645</v>
      </c>
      <c r="D6325" s="38" t="str">
        <f>IFERROR(__xludf.DUMMYFUNCTION("REGEXREPLACE(C6325,""-\d+(.*)|--\d+(.*)"","""")"),"PETITE-ROSSELLE")</f>
        <v>PETITE-ROSSELLE</v>
      </c>
      <c r="E6325" s="38" t="s">
        <v>303</v>
      </c>
      <c r="F6325" s="38" t="s">
        <v>195</v>
      </c>
      <c r="G6325" s="49" t="str">
        <f t="shared" si="1"/>
        <v>57540</v>
      </c>
      <c r="H6325" s="49">
        <f t="shared" si="2"/>
        <v>57537</v>
      </c>
    </row>
    <row r="6326">
      <c r="A6326" s="48" t="s">
        <v>4779</v>
      </c>
      <c r="B6326" s="38">
        <v>28096.0</v>
      </c>
      <c r="C6326" s="38" t="s">
        <v>9646</v>
      </c>
      <c r="D6326" s="38" t="str">
        <f>IFERROR(__xludf.DUMMYFUNCTION("REGEXREPLACE(C6326,""-\d+(.*)|--\d+(.*)"","""")"),"LA CHAUSSEE-D'IVRY")</f>
        <v>LA CHAUSSEE-D'IVRY</v>
      </c>
      <c r="E6326" s="38" t="s">
        <v>300</v>
      </c>
      <c r="F6326" s="38" t="s">
        <v>123</v>
      </c>
      <c r="G6326" s="49" t="str">
        <f t="shared" si="1"/>
        <v>28260</v>
      </c>
      <c r="H6326" s="49">
        <f t="shared" si="2"/>
        <v>28096</v>
      </c>
    </row>
    <row r="6327">
      <c r="A6327" s="48" t="s">
        <v>3009</v>
      </c>
      <c r="B6327" s="38">
        <v>11117.0</v>
      </c>
      <c r="C6327" s="38" t="s">
        <v>9647</v>
      </c>
      <c r="D6327" s="38" t="str">
        <f>IFERROR(__xludf.DUMMYFUNCTION("REGEXREPLACE(C6327,""-\d+(.*)|--\d+(.*)"","""")"),"DAVEJEAN")</f>
        <v>DAVEJEAN</v>
      </c>
      <c r="E6327" s="38" t="s">
        <v>278</v>
      </c>
      <c r="F6327" s="38" t="s">
        <v>119</v>
      </c>
      <c r="G6327" s="49" t="str">
        <f t="shared" si="1"/>
        <v>11330</v>
      </c>
      <c r="H6327" s="49">
        <f t="shared" si="2"/>
        <v>11117</v>
      </c>
    </row>
    <row r="6328">
      <c r="A6328" s="48" t="s">
        <v>2429</v>
      </c>
      <c r="B6328" s="38">
        <v>63221.0</v>
      </c>
      <c r="C6328" s="38" t="s">
        <v>9648</v>
      </c>
      <c r="D6328" s="38" t="str">
        <f>IFERROR(__xludf.DUMMYFUNCTION("REGEXREPLACE(C6328,""-\d+(.*)|--\d+(.*)"","""")"),"MEDEYROLLES")</f>
        <v>MEDEYROLLES</v>
      </c>
      <c r="E6328" s="38" t="s">
        <v>353</v>
      </c>
      <c r="F6328" s="38" t="s">
        <v>161</v>
      </c>
      <c r="G6328" s="49" t="str">
        <f t="shared" si="1"/>
        <v>63220</v>
      </c>
      <c r="H6328" s="49">
        <f t="shared" si="2"/>
        <v>63221</v>
      </c>
    </row>
    <row r="6329">
      <c r="A6329" s="48" t="s">
        <v>9649</v>
      </c>
      <c r="B6329" s="38">
        <v>43159.0</v>
      </c>
      <c r="C6329" s="38" t="s">
        <v>9650</v>
      </c>
      <c r="D6329" s="38" t="str">
        <f>IFERROR(__xludf.DUMMYFUNCTION("REGEXREPLACE(C6329,""-\d+(.*)|--\d+(.*)"","""")"),"RAUCOULES")</f>
        <v>RAUCOULES</v>
      </c>
      <c r="E6329" s="38" t="s">
        <v>332</v>
      </c>
      <c r="F6329" s="38" t="s">
        <v>161</v>
      </c>
      <c r="G6329" s="49" t="str">
        <f t="shared" si="1"/>
        <v>43290</v>
      </c>
      <c r="H6329" s="49">
        <f t="shared" si="2"/>
        <v>43159</v>
      </c>
    </row>
    <row r="6330">
      <c r="A6330" s="48" t="s">
        <v>145</v>
      </c>
      <c r="B6330" s="38">
        <v>10108.0</v>
      </c>
      <c r="C6330" s="38" t="s">
        <v>9651</v>
      </c>
      <c r="D6330" s="38" t="str">
        <f>IFERROR(__xludf.DUMMYFUNCTION("REGEXREPLACE(C6330,""-\d+(.*)|--\d+(.*)"","""")"),"COURTAOULT")</f>
        <v>COURTAOULT</v>
      </c>
      <c r="E6330" s="38" t="s">
        <v>147</v>
      </c>
      <c r="F6330" s="38" t="s">
        <v>130</v>
      </c>
      <c r="G6330" s="49" t="str">
        <f t="shared" si="1"/>
        <v>10130</v>
      </c>
      <c r="H6330" s="49">
        <f t="shared" si="2"/>
        <v>10108</v>
      </c>
    </row>
    <row r="6331">
      <c r="A6331" s="48" t="s">
        <v>1700</v>
      </c>
      <c r="B6331" s="38">
        <v>35159.0</v>
      </c>
      <c r="C6331" s="38" t="s">
        <v>9652</v>
      </c>
      <c r="D6331" s="38" t="str">
        <f>IFERROR(__xludf.DUMMYFUNCTION("REGEXREPLACE(C6331,""-\d+(.*)|--\d+(.*)"","""")"),"LOURMAIS")</f>
        <v>LOURMAIS</v>
      </c>
      <c r="E6331" s="38" t="s">
        <v>347</v>
      </c>
      <c r="F6331" s="38" t="s">
        <v>90</v>
      </c>
      <c r="G6331" s="49" t="str">
        <f t="shared" si="1"/>
        <v>35270</v>
      </c>
      <c r="H6331" s="49">
        <f t="shared" si="2"/>
        <v>35159</v>
      </c>
    </row>
    <row r="6332">
      <c r="A6332" s="48" t="s">
        <v>9653</v>
      </c>
      <c r="B6332" s="38">
        <v>5002.0</v>
      </c>
      <c r="C6332" s="38" t="s">
        <v>9654</v>
      </c>
      <c r="D6332" s="38" t="str">
        <f>IFERROR(__xludf.DUMMYFUNCTION("REGEXREPLACE(C6332,""-\d+(.*)|--\d+(.*)"","""")"),"AGNIERES-EN-DEVOLUY")</f>
        <v>AGNIERES-EN-DEVOLUY</v>
      </c>
      <c r="E6332" s="38" t="s">
        <v>706</v>
      </c>
      <c r="F6332" s="38" t="s">
        <v>228</v>
      </c>
      <c r="G6332" s="49" t="str">
        <f t="shared" si="1"/>
        <v>05250</v>
      </c>
      <c r="H6332" s="49" t="str">
        <f t="shared" si="2"/>
        <v>05002</v>
      </c>
    </row>
    <row r="6333">
      <c r="A6333" s="48" t="s">
        <v>1203</v>
      </c>
      <c r="B6333" s="38">
        <v>17030.0</v>
      </c>
      <c r="C6333" s="38" t="s">
        <v>9655</v>
      </c>
      <c r="D6333" s="38" t="str">
        <f>IFERROR(__xludf.DUMMYFUNCTION("REGEXREPLACE(C6333,""-\d+(.*)|--\d+(.*)"","""")"),"BALANZAC")</f>
        <v>BALANZAC</v>
      </c>
      <c r="E6333" s="38" t="s">
        <v>488</v>
      </c>
      <c r="F6333" s="38" t="s">
        <v>338</v>
      </c>
      <c r="G6333" s="49" t="str">
        <f t="shared" si="1"/>
        <v>17600</v>
      </c>
      <c r="H6333" s="49">
        <f t="shared" si="2"/>
        <v>17030</v>
      </c>
    </row>
    <row r="6334">
      <c r="A6334" s="48" t="s">
        <v>3598</v>
      </c>
      <c r="B6334" s="38">
        <v>7127.0</v>
      </c>
      <c r="C6334" s="38" t="s">
        <v>9656</v>
      </c>
      <c r="D6334" s="38" t="str">
        <f>IFERROR(__xludf.DUMMYFUNCTION("REGEXREPLACE(C6334,""-\d+(.*)|--\d+(.*)"","""")"),"LALEVADE-D'ARDECHE")</f>
        <v>LALEVADE-D'ARDECHE</v>
      </c>
      <c r="E6334" s="38" t="s">
        <v>144</v>
      </c>
      <c r="F6334" s="38" t="s">
        <v>102</v>
      </c>
      <c r="G6334" s="49" t="str">
        <f t="shared" si="1"/>
        <v>07380</v>
      </c>
      <c r="H6334" s="49" t="str">
        <f t="shared" si="2"/>
        <v>07127</v>
      </c>
    </row>
    <row r="6335">
      <c r="A6335" s="48" t="s">
        <v>4510</v>
      </c>
      <c r="B6335" s="38">
        <v>29299.0</v>
      </c>
      <c r="C6335" s="38" t="s">
        <v>9657</v>
      </c>
      <c r="D6335" s="38" t="str">
        <f>IFERROR(__xludf.DUMMYFUNCTION("REGEXREPLACE(C6335,""-\d+(.*)|--\d+(.*)"","""")"),"TREOUERGAT")</f>
        <v>TREOUERGAT</v>
      </c>
      <c r="E6335" s="38" t="s">
        <v>176</v>
      </c>
      <c r="F6335" s="38" t="s">
        <v>90</v>
      </c>
      <c r="G6335" s="49" t="str">
        <f t="shared" si="1"/>
        <v>29290</v>
      </c>
      <c r="H6335" s="49">
        <f t="shared" si="2"/>
        <v>29299</v>
      </c>
    </row>
    <row r="6336">
      <c r="A6336" s="48" t="s">
        <v>883</v>
      </c>
      <c r="B6336" s="38">
        <v>71003.0</v>
      </c>
      <c r="C6336" s="38" t="s">
        <v>9658</v>
      </c>
      <c r="D6336" s="38" t="str">
        <f>IFERROR(__xludf.DUMMYFUNCTION("REGEXREPLACE(C6336,""-\d+(.*)|--\d+(.*)"","""")"),"ALLEREY-SUR-SAONE")</f>
        <v>ALLEREY-SUR-SAONE</v>
      </c>
      <c r="E6336" s="38" t="s">
        <v>344</v>
      </c>
      <c r="F6336" s="38" t="s">
        <v>106</v>
      </c>
      <c r="G6336" s="49" t="str">
        <f t="shared" si="1"/>
        <v>71350</v>
      </c>
      <c r="H6336" s="49">
        <f t="shared" si="2"/>
        <v>71003</v>
      </c>
    </row>
    <row r="6337">
      <c r="A6337" s="48" t="s">
        <v>1096</v>
      </c>
      <c r="B6337" s="38">
        <v>63196.0</v>
      </c>
      <c r="C6337" s="38" t="s">
        <v>9659</v>
      </c>
      <c r="D6337" s="38" t="str">
        <f>IFERROR(__xludf.DUMMYFUNCTION("REGEXREPLACE(C6337,""-\d+(.*)|--\d+(.*)"","""")"),"LIMONS")</f>
        <v>LIMONS</v>
      </c>
      <c r="E6337" s="38" t="s">
        <v>353</v>
      </c>
      <c r="F6337" s="38" t="s">
        <v>161</v>
      </c>
      <c r="G6337" s="49" t="str">
        <f t="shared" si="1"/>
        <v>63290</v>
      </c>
      <c r="H6337" s="49">
        <f t="shared" si="2"/>
        <v>63196</v>
      </c>
    </row>
    <row r="6338">
      <c r="A6338" s="48" t="s">
        <v>9660</v>
      </c>
      <c r="B6338" s="38">
        <v>89141.0</v>
      </c>
      <c r="C6338" s="38" t="s">
        <v>9661</v>
      </c>
      <c r="D6338" s="38" t="str">
        <f>IFERROR(__xludf.DUMMYFUNCTION("REGEXREPLACE(C6338,""-\d+(.*)|--\d+(.*)"","""")"),"DISSANGIS")</f>
        <v>DISSANGIS</v>
      </c>
      <c r="E6338" s="38" t="s">
        <v>275</v>
      </c>
      <c r="F6338" s="38" t="s">
        <v>106</v>
      </c>
      <c r="G6338" s="49" t="str">
        <f t="shared" si="1"/>
        <v>89440</v>
      </c>
      <c r="H6338" s="49">
        <f t="shared" si="2"/>
        <v>89141</v>
      </c>
    </row>
    <row r="6339">
      <c r="A6339" s="48" t="s">
        <v>2705</v>
      </c>
      <c r="B6339" s="38">
        <v>77003.0</v>
      </c>
      <c r="C6339" s="38" t="s">
        <v>9662</v>
      </c>
      <c r="D6339" s="38" t="str">
        <f>IFERROR(__xludf.DUMMYFUNCTION("REGEXREPLACE(C6339,""-\d+(.*)|--\d+(.*)"","""")"),"AMPONVILLE")</f>
        <v>AMPONVILLE</v>
      </c>
      <c r="E6339" s="38" t="s">
        <v>244</v>
      </c>
      <c r="F6339" s="38" t="s">
        <v>245</v>
      </c>
      <c r="G6339" s="49" t="str">
        <f t="shared" si="1"/>
        <v>77760</v>
      </c>
      <c r="H6339" s="49">
        <f t="shared" si="2"/>
        <v>77003</v>
      </c>
    </row>
    <row r="6340">
      <c r="A6340" s="48" t="s">
        <v>976</v>
      </c>
      <c r="B6340" s="38">
        <v>38006.0</v>
      </c>
      <c r="C6340" s="38" t="s">
        <v>9663</v>
      </c>
      <c r="D6340" s="38" t="str">
        <f>IFERROR(__xludf.DUMMYFUNCTION("REGEXREPLACE(C6340,""-\d+(.*)|--\d+(.*)"","""")"),"ALLEVARD")</f>
        <v>ALLEVARD</v>
      </c>
      <c r="E6340" s="38" t="s">
        <v>101</v>
      </c>
      <c r="F6340" s="38" t="s">
        <v>102</v>
      </c>
      <c r="G6340" s="49" t="str">
        <f t="shared" si="1"/>
        <v>38580</v>
      </c>
      <c r="H6340" s="49">
        <f t="shared" si="2"/>
        <v>38006</v>
      </c>
    </row>
    <row r="6341">
      <c r="A6341" s="48" t="s">
        <v>1381</v>
      </c>
      <c r="B6341" s="38">
        <v>62630.0</v>
      </c>
      <c r="C6341" s="38" t="s">
        <v>9664</v>
      </c>
      <c r="D6341" s="38" t="str">
        <f>IFERROR(__xludf.DUMMYFUNCTION("REGEXREPLACE(C6341,""-\d+(.*)|--\d+(.*)"","""")"),"NOYELLE-VION")</f>
        <v>NOYELLE-VION</v>
      </c>
      <c r="E6341" s="38" t="s">
        <v>109</v>
      </c>
      <c r="F6341" s="38" t="s">
        <v>86</v>
      </c>
      <c r="G6341" s="49" t="str">
        <f t="shared" si="1"/>
        <v>62810</v>
      </c>
      <c r="H6341" s="49">
        <f t="shared" si="2"/>
        <v>62630</v>
      </c>
    </row>
    <row r="6342">
      <c r="A6342" s="48" t="s">
        <v>3305</v>
      </c>
      <c r="B6342" s="38">
        <v>24151.0</v>
      </c>
      <c r="C6342" s="38" t="s">
        <v>9665</v>
      </c>
      <c r="D6342" s="38" t="str">
        <f>IFERROR(__xludf.DUMMYFUNCTION("REGEXREPLACE(C6342,""-\d+(.*)|--\d+(.*)"","""")"),"DOISSAT")</f>
        <v>DOISSAT</v>
      </c>
      <c r="E6342" s="38" t="s">
        <v>261</v>
      </c>
      <c r="F6342" s="38" t="s">
        <v>252</v>
      </c>
      <c r="G6342" s="49" t="str">
        <f t="shared" si="1"/>
        <v>24170</v>
      </c>
      <c r="H6342" s="49">
        <f t="shared" si="2"/>
        <v>24151</v>
      </c>
    </row>
    <row r="6343">
      <c r="A6343" s="48" t="s">
        <v>7893</v>
      </c>
      <c r="B6343" s="38">
        <v>63274.0</v>
      </c>
      <c r="C6343" s="38" t="s">
        <v>9666</v>
      </c>
      <c r="D6343" s="38" t="str">
        <f>IFERROR(__xludf.DUMMYFUNCTION("REGEXREPLACE(C6343,""-\d+(.*)|--\d+(.*)"","""")"),"PERPEZAT")</f>
        <v>PERPEZAT</v>
      </c>
      <c r="E6343" s="38" t="s">
        <v>353</v>
      </c>
      <c r="F6343" s="38" t="s">
        <v>161</v>
      </c>
      <c r="G6343" s="49" t="str">
        <f t="shared" si="1"/>
        <v>63210</v>
      </c>
      <c r="H6343" s="49">
        <f t="shared" si="2"/>
        <v>63274</v>
      </c>
    </row>
    <row r="6344">
      <c r="A6344" s="48" t="s">
        <v>4510</v>
      </c>
      <c r="B6344" s="38">
        <v>29260.0</v>
      </c>
      <c r="C6344" s="38" t="s">
        <v>9667</v>
      </c>
      <c r="D6344" s="38" t="str">
        <f>IFERROR(__xludf.DUMMYFUNCTION("REGEXREPLACE(C6344,""-\d+(.*)|--\d+(.*)"","""")"),"SAINT-RENAN")</f>
        <v>SAINT-RENAN</v>
      </c>
      <c r="E6344" s="38" t="s">
        <v>176</v>
      </c>
      <c r="F6344" s="38" t="s">
        <v>90</v>
      </c>
      <c r="G6344" s="49" t="str">
        <f t="shared" si="1"/>
        <v>29290</v>
      </c>
      <c r="H6344" s="49">
        <f t="shared" si="2"/>
        <v>29260</v>
      </c>
    </row>
    <row r="6345">
      <c r="A6345" s="48" t="s">
        <v>5334</v>
      </c>
      <c r="B6345" s="38" t="s">
        <v>9668</v>
      </c>
      <c r="C6345" s="38" t="s">
        <v>9669</v>
      </c>
      <c r="D6345" s="38" t="str">
        <f>IFERROR(__xludf.DUMMYFUNCTION("REGEXREPLACE(C6345,""-\d+(.*)|--\d+(.*)"","""")"),"URTACA")</f>
        <v>URTACA</v>
      </c>
      <c r="E6345" s="38" t="s">
        <v>743</v>
      </c>
      <c r="F6345" s="38" t="s">
        <v>607</v>
      </c>
      <c r="G6345" s="49" t="str">
        <f t="shared" si="1"/>
        <v>20218</v>
      </c>
      <c r="H6345" s="49" t="str">
        <f t="shared" si="2"/>
        <v>2B332</v>
      </c>
    </row>
    <row r="6346">
      <c r="A6346" s="48" t="s">
        <v>4121</v>
      </c>
      <c r="B6346" s="38">
        <v>11357.0</v>
      </c>
      <c r="C6346" s="38" t="s">
        <v>9670</v>
      </c>
      <c r="D6346" s="38" t="str">
        <f>IFERROR(__xludf.DUMMYFUNCTION("REGEXREPLACE(C6346,""-\d+(.*)|--\d+(.*)"","""")"),"SAINT-MARTIN-LE-VIEIL")</f>
        <v>SAINT-MARTIN-LE-VIEIL</v>
      </c>
      <c r="E6346" s="38" t="s">
        <v>278</v>
      </c>
      <c r="F6346" s="38" t="s">
        <v>119</v>
      </c>
      <c r="G6346" s="49" t="str">
        <f t="shared" si="1"/>
        <v>11170</v>
      </c>
      <c r="H6346" s="49">
        <f t="shared" si="2"/>
        <v>11357</v>
      </c>
    </row>
    <row r="6347">
      <c r="A6347" s="48" t="s">
        <v>667</v>
      </c>
      <c r="B6347" s="38">
        <v>64047.0</v>
      </c>
      <c r="C6347" s="38" t="s">
        <v>9671</v>
      </c>
      <c r="D6347" s="38" t="str">
        <f>IFERROR(__xludf.DUMMYFUNCTION("REGEXREPLACE(C6347,""-\d+(.*)|--\d+(.*)"","""")"),"ARNEGUY")</f>
        <v>ARNEGUY</v>
      </c>
      <c r="E6347" s="38" t="s">
        <v>268</v>
      </c>
      <c r="F6347" s="38" t="s">
        <v>252</v>
      </c>
      <c r="G6347" s="49" t="str">
        <f t="shared" si="1"/>
        <v>64220</v>
      </c>
      <c r="H6347" s="49">
        <f t="shared" si="2"/>
        <v>64047</v>
      </c>
    </row>
    <row r="6348">
      <c r="A6348" s="48" t="s">
        <v>4467</v>
      </c>
      <c r="B6348" s="38">
        <v>53005.0</v>
      </c>
      <c r="C6348" s="38" t="s">
        <v>9672</v>
      </c>
      <c r="D6348" s="38" t="str">
        <f>IFERROR(__xludf.DUMMYFUNCTION("REGEXREPLACE(C6348,""-\d+(.*)|--\d+(.*)"","""")"),"ANDOUILLE")</f>
        <v>ANDOUILLE</v>
      </c>
      <c r="E6348" s="38" t="s">
        <v>518</v>
      </c>
      <c r="F6348" s="38" t="s">
        <v>180</v>
      </c>
      <c r="G6348" s="49" t="str">
        <f t="shared" si="1"/>
        <v>53240</v>
      </c>
      <c r="H6348" s="49">
        <f t="shared" si="2"/>
        <v>53005</v>
      </c>
    </row>
    <row r="6349">
      <c r="A6349" s="48" t="s">
        <v>736</v>
      </c>
      <c r="B6349" s="38">
        <v>57548.0</v>
      </c>
      <c r="C6349" s="38" t="s">
        <v>9673</v>
      </c>
      <c r="D6349" s="38" t="str">
        <f>IFERROR(__xludf.DUMMYFUNCTION("REGEXREPLACE(C6349,""-\d+(.*)|--\d+(.*)"","""")"),"PONTOY")</f>
        <v>PONTOY</v>
      </c>
      <c r="E6349" s="38" t="s">
        <v>303</v>
      </c>
      <c r="F6349" s="38" t="s">
        <v>195</v>
      </c>
      <c r="G6349" s="49" t="str">
        <f t="shared" si="1"/>
        <v>57420</v>
      </c>
      <c r="H6349" s="49">
        <f t="shared" si="2"/>
        <v>57548</v>
      </c>
    </row>
    <row r="6350">
      <c r="A6350" s="48" t="s">
        <v>5218</v>
      </c>
      <c r="B6350" s="38">
        <v>6014.0</v>
      </c>
      <c r="C6350" s="38" t="s">
        <v>9674</v>
      </c>
      <c r="D6350" s="38" t="str">
        <f>IFERROR(__xludf.DUMMYFUNCTION("REGEXREPLACE(C6350,""-\d+(.*)|--\d+(.*)"","""")"),"BENDEJUN")</f>
        <v>BENDEJUN</v>
      </c>
      <c r="E6350" s="38" t="s">
        <v>227</v>
      </c>
      <c r="F6350" s="38" t="s">
        <v>228</v>
      </c>
      <c r="G6350" s="49" t="str">
        <f t="shared" si="1"/>
        <v>06390</v>
      </c>
      <c r="H6350" s="49" t="str">
        <f t="shared" si="2"/>
        <v>06014</v>
      </c>
    </row>
    <row r="6351">
      <c r="A6351" s="48" t="s">
        <v>9675</v>
      </c>
      <c r="B6351" s="38">
        <v>24145.0</v>
      </c>
      <c r="C6351" s="38" t="s">
        <v>9676</v>
      </c>
      <c r="D6351" s="38" t="str">
        <f>IFERROR(__xludf.DUMMYFUNCTION("REGEXREPLACE(C6351,""-\d+(.*)|--\d+(.*)"","""")"),"CREYSSE")</f>
        <v>CREYSSE</v>
      </c>
      <c r="E6351" s="38" t="s">
        <v>261</v>
      </c>
      <c r="F6351" s="38" t="s">
        <v>252</v>
      </c>
      <c r="G6351" s="49" t="str">
        <f t="shared" si="1"/>
        <v>24100</v>
      </c>
      <c r="H6351" s="49">
        <f t="shared" si="2"/>
        <v>24145</v>
      </c>
    </row>
    <row r="6352">
      <c r="A6352" s="48" t="s">
        <v>2807</v>
      </c>
      <c r="B6352" s="38">
        <v>81127.0</v>
      </c>
      <c r="C6352" s="38" t="s">
        <v>9677</v>
      </c>
      <c r="D6352" s="38" t="str">
        <f>IFERROR(__xludf.DUMMYFUNCTION("REGEXREPLACE(C6352,""-\d+(.*)|--\d+(.*)"","""")"),"LACROISILLE")</f>
        <v>LACROISILLE</v>
      </c>
      <c r="E6352" s="38" t="s">
        <v>231</v>
      </c>
      <c r="F6352" s="38" t="s">
        <v>94</v>
      </c>
      <c r="G6352" s="49" t="str">
        <f t="shared" si="1"/>
        <v>81470</v>
      </c>
      <c r="H6352" s="49">
        <f t="shared" si="2"/>
        <v>81127</v>
      </c>
    </row>
    <row r="6353">
      <c r="A6353" s="48" t="s">
        <v>6097</v>
      </c>
      <c r="B6353" s="38">
        <v>33223.0</v>
      </c>
      <c r="C6353" s="38" t="s">
        <v>9678</v>
      </c>
      <c r="D6353" s="38" t="str">
        <f>IFERROR(__xludf.DUMMYFUNCTION("REGEXREPLACE(C6353,""-\d+(.*)|--\d+(.*)"","""")"),"LANDERROUAT")</f>
        <v>LANDERROUAT</v>
      </c>
      <c r="E6353" s="38" t="s">
        <v>462</v>
      </c>
      <c r="F6353" s="38" t="s">
        <v>252</v>
      </c>
      <c r="G6353" s="49" t="str">
        <f t="shared" si="1"/>
        <v>33790</v>
      </c>
      <c r="H6353" s="49">
        <f t="shared" si="2"/>
        <v>33223</v>
      </c>
    </row>
    <row r="6354">
      <c r="A6354" s="48" t="s">
        <v>9679</v>
      </c>
      <c r="B6354" s="38">
        <v>26214.0</v>
      </c>
      <c r="C6354" s="38" t="s">
        <v>9680</v>
      </c>
      <c r="D6354" s="38" t="str">
        <f>IFERROR(__xludf.DUMMYFUNCTION("REGEXREPLACE(C6354,""-\d+(.*)|--\d+(.*)"","""")"),"MORNANS")</f>
        <v>MORNANS</v>
      </c>
      <c r="E6354" s="38" t="s">
        <v>126</v>
      </c>
      <c r="F6354" s="38" t="s">
        <v>102</v>
      </c>
      <c r="G6354" s="49" t="str">
        <f t="shared" si="1"/>
        <v>26460</v>
      </c>
      <c r="H6354" s="49">
        <f t="shared" si="2"/>
        <v>26214</v>
      </c>
    </row>
    <row r="6355">
      <c r="A6355" s="48" t="s">
        <v>342</v>
      </c>
      <c r="B6355" s="38">
        <v>71574.0</v>
      </c>
      <c r="C6355" s="38" t="s">
        <v>9681</v>
      </c>
      <c r="D6355" s="38" t="str">
        <f>IFERROR(__xludf.DUMMYFUNCTION("REGEXREPLACE(C6355,""-\d+(.*)|--\d+(.*)"","""")"),"VERZE")</f>
        <v>VERZE</v>
      </c>
      <c r="E6355" s="38" t="s">
        <v>344</v>
      </c>
      <c r="F6355" s="38" t="s">
        <v>106</v>
      </c>
      <c r="G6355" s="49" t="str">
        <f t="shared" si="1"/>
        <v>71960</v>
      </c>
      <c r="H6355" s="49">
        <f t="shared" si="2"/>
        <v>71574</v>
      </c>
    </row>
    <row r="6356">
      <c r="A6356" s="48" t="s">
        <v>87</v>
      </c>
      <c r="B6356" s="38">
        <v>22191.0</v>
      </c>
      <c r="C6356" s="38" t="s">
        <v>9682</v>
      </c>
      <c r="D6356" s="38" t="str">
        <f>IFERROR(__xludf.DUMMYFUNCTION("REGEXREPLACE(C6356,""-\d+(.*)|--\d+(.*)"","""")"),"PLESSALA")</f>
        <v>PLESSALA</v>
      </c>
      <c r="E6356" s="38" t="s">
        <v>89</v>
      </c>
      <c r="F6356" s="38" t="s">
        <v>90</v>
      </c>
      <c r="G6356" s="49" t="str">
        <f t="shared" si="1"/>
        <v>22330</v>
      </c>
      <c r="H6356" s="49">
        <f t="shared" si="2"/>
        <v>22191</v>
      </c>
    </row>
    <row r="6357">
      <c r="A6357" s="48" t="s">
        <v>9683</v>
      </c>
      <c r="B6357" s="38">
        <v>46320.0</v>
      </c>
      <c r="C6357" s="38" t="s">
        <v>9684</v>
      </c>
      <c r="D6357" s="38" t="str">
        <f>IFERROR(__xludf.DUMMYFUNCTION("REGEXREPLACE(C6357,""-\d+(.*)|--\d+(.*)"","""")"),"TOUR-DE-FAURE")</f>
        <v>TOUR-DE-FAURE</v>
      </c>
      <c r="E6357" s="38" t="s">
        <v>185</v>
      </c>
      <c r="F6357" s="38" t="s">
        <v>94</v>
      </c>
      <c r="G6357" s="49" t="str">
        <f t="shared" si="1"/>
        <v>46330</v>
      </c>
      <c r="H6357" s="49">
        <f t="shared" si="2"/>
        <v>46320</v>
      </c>
    </row>
    <row r="6358">
      <c r="A6358" s="48" t="s">
        <v>430</v>
      </c>
      <c r="B6358" s="38">
        <v>2185.0</v>
      </c>
      <c r="C6358" s="38" t="s">
        <v>9685</v>
      </c>
      <c r="D6358" s="38" t="str">
        <f>IFERROR(__xludf.DUMMYFUNCTION("REGEXREPLACE(C6358,""-\d+(.*)|--\d+(.*)"","""")"),"CHEZY-EN-ORXOIS")</f>
        <v>CHEZY-EN-ORXOIS</v>
      </c>
      <c r="E6358" s="38" t="s">
        <v>191</v>
      </c>
      <c r="F6358" s="38" t="s">
        <v>113</v>
      </c>
      <c r="G6358" s="49" t="str">
        <f t="shared" si="1"/>
        <v>02810</v>
      </c>
      <c r="H6358" s="49" t="str">
        <f t="shared" si="2"/>
        <v>02185</v>
      </c>
    </row>
    <row r="6359">
      <c r="A6359" s="48" t="s">
        <v>9686</v>
      </c>
      <c r="B6359" s="38">
        <v>36153.0</v>
      </c>
      <c r="C6359" s="38" t="s">
        <v>9687</v>
      </c>
      <c r="D6359" s="38" t="str">
        <f>IFERROR(__xludf.DUMMYFUNCTION("REGEXREPLACE(C6359,""-\d+(.*)|--\d+(.*)"","""")"),"PAULNAY")</f>
        <v>PAULNAY</v>
      </c>
      <c r="E6359" s="38" t="s">
        <v>258</v>
      </c>
      <c r="F6359" s="38" t="s">
        <v>123</v>
      </c>
      <c r="G6359" s="49" t="str">
        <f t="shared" si="1"/>
        <v>36290</v>
      </c>
      <c r="H6359" s="49">
        <f t="shared" si="2"/>
        <v>36153</v>
      </c>
    </row>
    <row r="6360">
      <c r="A6360" s="48" t="s">
        <v>9688</v>
      </c>
      <c r="B6360" s="38">
        <v>23216.0</v>
      </c>
      <c r="C6360" s="38" t="s">
        <v>9689</v>
      </c>
      <c r="D6360" s="38" t="str">
        <f>IFERROR(__xludf.DUMMYFUNCTION("REGEXREPLACE(C6360,""-\d+(.*)|--\d+(.*)"","""")"),"SAINT-MARTIN-CHATEAU")</f>
        <v>SAINT-MARTIN-CHATEAU</v>
      </c>
      <c r="E6360" s="38" t="s">
        <v>97</v>
      </c>
      <c r="F6360" s="38" t="s">
        <v>98</v>
      </c>
      <c r="G6360" s="49" t="str">
        <f t="shared" si="1"/>
        <v>23460</v>
      </c>
      <c r="H6360" s="49">
        <f t="shared" si="2"/>
        <v>23216</v>
      </c>
    </row>
    <row r="6361">
      <c r="A6361" s="48" t="s">
        <v>2859</v>
      </c>
      <c r="B6361" s="38">
        <v>22220.0</v>
      </c>
      <c r="C6361" s="38" t="s">
        <v>9690</v>
      </c>
      <c r="D6361" s="38" t="str">
        <f>IFERROR(__xludf.DUMMYFUNCTION("REGEXREPLACE(C6361,""-\d+(.*)|--\d+(.*)"","""")"),"PLOUGUERNEVEL")</f>
        <v>PLOUGUERNEVEL</v>
      </c>
      <c r="E6361" s="38" t="s">
        <v>89</v>
      </c>
      <c r="F6361" s="38" t="s">
        <v>90</v>
      </c>
      <c r="G6361" s="49" t="str">
        <f t="shared" si="1"/>
        <v>22110</v>
      </c>
      <c r="H6361" s="49">
        <f t="shared" si="2"/>
        <v>22220</v>
      </c>
    </row>
    <row r="6362">
      <c r="A6362" s="48" t="s">
        <v>8492</v>
      </c>
      <c r="B6362" s="38">
        <v>80609.0</v>
      </c>
      <c r="C6362" s="38" t="s">
        <v>9691</v>
      </c>
      <c r="D6362" s="38" t="str">
        <f>IFERROR(__xludf.DUMMYFUNCTION("REGEXREPLACE(C6362,""-\d+(.*)|--\d+(.*)"","""")"),"ONEUX")</f>
        <v>ONEUX</v>
      </c>
      <c r="E6362" s="38" t="s">
        <v>224</v>
      </c>
      <c r="F6362" s="38" t="s">
        <v>113</v>
      </c>
      <c r="G6362" s="49" t="str">
        <f t="shared" si="1"/>
        <v>80135</v>
      </c>
      <c r="H6362" s="49">
        <f t="shared" si="2"/>
        <v>80609</v>
      </c>
    </row>
    <row r="6363">
      <c r="A6363" s="48" t="s">
        <v>9692</v>
      </c>
      <c r="B6363" s="38">
        <v>18244.0</v>
      </c>
      <c r="C6363" s="38" t="s">
        <v>9693</v>
      </c>
      <c r="D6363" s="38" t="str">
        <f>IFERROR(__xludf.DUMMYFUNCTION("REGEXREPLACE(C6363,""-\d+(.*)|--\d+(.*)"","""")"),"SAUGY")</f>
        <v>SAUGY</v>
      </c>
      <c r="E6363" s="38" t="s">
        <v>504</v>
      </c>
      <c r="F6363" s="38" t="s">
        <v>123</v>
      </c>
      <c r="G6363" s="49" t="str">
        <f t="shared" si="1"/>
        <v>18290</v>
      </c>
      <c r="H6363" s="49">
        <f t="shared" si="2"/>
        <v>18244</v>
      </c>
    </row>
    <row r="6364">
      <c r="A6364" s="48" t="s">
        <v>7799</v>
      </c>
      <c r="B6364" s="38">
        <v>7340.0</v>
      </c>
      <c r="C6364" s="38" t="s">
        <v>9694</v>
      </c>
      <c r="D6364" s="38" t="str">
        <f>IFERROR(__xludf.DUMMYFUNCTION("REGEXREPLACE(C6364,""-\d+(.*)|--\d+(.*)"","""")"),"VEYRAS")</f>
        <v>VEYRAS</v>
      </c>
      <c r="E6364" s="38" t="s">
        <v>144</v>
      </c>
      <c r="F6364" s="38" t="s">
        <v>102</v>
      </c>
      <c r="G6364" s="49" t="str">
        <f t="shared" si="1"/>
        <v>07000</v>
      </c>
      <c r="H6364" s="49" t="str">
        <f t="shared" si="2"/>
        <v>07340</v>
      </c>
    </row>
    <row r="6365">
      <c r="A6365" s="48" t="s">
        <v>9695</v>
      </c>
      <c r="B6365" s="38">
        <v>43153.0</v>
      </c>
      <c r="C6365" s="38" t="s">
        <v>9696</v>
      </c>
      <c r="D6365" s="38" t="str">
        <f>IFERROR(__xludf.DUMMYFUNCTION("REGEXREPLACE(C6365,""-\d+(.*)|--\d+(.*)"","""")"),"PONT-SALOMON")</f>
        <v>PONT-SALOMON</v>
      </c>
      <c r="E6365" s="38" t="s">
        <v>332</v>
      </c>
      <c r="F6365" s="38" t="s">
        <v>161</v>
      </c>
      <c r="G6365" s="49" t="str">
        <f t="shared" si="1"/>
        <v>43330</v>
      </c>
      <c r="H6365" s="49">
        <f t="shared" si="2"/>
        <v>43153</v>
      </c>
    </row>
    <row r="6366">
      <c r="A6366" s="48" t="s">
        <v>7329</v>
      </c>
      <c r="B6366" s="38">
        <v>54583.0</v>
      </c>
      <c r="C6366" s="38" t="s">
        <v>9697</v>
      </c>
      <c r="D6366" s="38" t="str">
        <f>IFERROR(__xludf.DUMMYFUNCTION("REGEXREPLACE(C6366,""-\d+(.*)|--\d+(.*)"","""")"),"VILLEY-LE-SEC")</f>
        <v>VILLEY-LE-SEC</v>
      </c>
      <c r="E6366" s="38" t="s">
        <v>548</v>
      </c>
      <c r="F6366" s="38" t="s">
        <v>195</v>
      </c>
      <c r="G6366" s="49" t="str">
        <f t="shared" si="1"/>
        <v>54840</v>
      </c>
      <c r="H6366" s="49">
        <f t="shared" si="2"/>
        <v>54583</v>
      </c>
    </row>
    <row r="6367">
      <c r="A6367" s="48" t="s">
        <v>7600</v>
      </c>
      <c r="B6367" s="38">
        <v>69209.0</v>
      </c>
      <c r="C6367" s="38" t="s">
        <v>9698</v>
      </c>
      <c r="D6367" s="38" t="str">
        <f>IFERROR(__xludf.DUMMYFUNCTION("REGEXREPLACE(C6367,""-\d+(.*)|--\d+(.*)"","""")"),"SAINT-IGNY-DE-VERS")</f>
        <v>SAINT-IGNY-DE-VERS</v>
      </c>
      <c r="E6367" s="38" t="s">
        <v>350</v>
      </c>
      <c r="F6367" s="38" t="s">
        <v>102</v>
      </c>
      <c r="G6367" s="49" t="str">
        <f t="shared" si="1"/>
        <v>69790</v>
      </c>
      <c r="H6367" s="49">
        <f t="shared" si="2"/>
        <v>69209</v>
      </c>
    </row>
    <row r="6368">
      <c r="A6368" s="48" t="s">
        <v>1661</v>
      </c>
      <c r="B6368" s="38">
        <v>36203.0</v>
      </c>
      <c r="C6368" s="38" t="s">
        <v>9699</v>
      </c>
      <c r="D6368" s="38" t="str">
        <f>IFERROR(__xludf.DUMMYFUNCTION("REGEXREPLACE(C6368,""-\d+(.*)|--\d+(.*)"","""")"),"SAINT-MEDARD")</f>
        <v>SAINT-MEDARD</v>
      </c>
      <c r="E6368" s="38" t="s">
        <v>258</v>
      </c>
      <c r="F6368" s="38" t="s">
        <v>123</v>
      </c>
      <c r="G6368" s="49" t="str">
        <f t="shared" si="1"/>
        <v>36700</v>
      </c>
      <c r="H6368" s="49">
        <f t="shared" si="2"/>
        <v>36203</v>
      </c>
    </row>
    <row r="6369">
      <c r="A6369" s="48" t="s">
        <v>6736</v>
      </c>
      <c r="B6369" s="38">
        <v>31381.0</v>
      </c>
      <c r="C6369" s="38" t="s">
        <v>9700</v>
      </c>
      <c r="D6369" s="38" t="str">
        <f>IFERROR(__xludf.DUMMYFUNCTION("REGEXREPLACE(C6369,""-\d+(.*)|--\d+(.*)"","""")"),"MONTGISCARD")</f>
        <v>MONTGISCARD</v>
      </c>
      <c r="E6369" s="38" t="s">
        <v>93</v>
      </c>
      <c r="F6369" s="38" t="s">
        <v>94</v>
      </c>
      <c r="G6369" s="49" t="str">
        <f t="shared" si="1"/>
        <v>31450</v>
      </c>
      <c r="H6369" s="49">
        <f t="shared" si="2"/>
        <v>31381</v>
      </c>
    </row>
    <row r="6370">
      <c r="A6370" s="48" t="s">
        <v>5010</v>
      </c>
      <c r="B6370" s="38">
        <v>77254.0</v>
      </c>
      <c r="C6370" s="38" t="s">
        <v>9701</v>
      </c>
      <c r="D6370" s="38" t="str">
        <f>IFERROR(__xludf.DUMMYFUNCTION("REGEXREPLACE(C6370,""-\d+(.*)|--\d+(.*)"","""")"),"LIVERDY-EN-BRIE")</f>
        <v>LIVERDY-EN-BRIE</v>
      </c>
      <c r="E6370" s="38" t="s">
        <v>244</v>
      </c>
      <c r="F6370" s="38" t="s">
        <v>245</v>
      </c>
      <c r="G6370" s="49" t="str">
        <f t="shared" si="1"/>
        <v>77220</v>
      </c>
      <c r="H6370" s="49">
        <f t="shared" si="2"/>
        <v>77254</v>
      </c>
    </row>
    <row r="6371">
      <c r="A6371" s="48" t="s">
        <v>3973</v>
      </c>
      <c r="B6371" s="38">
        <v>33182.0</v>
      </c>
      <c r="C6371" s="38" t="s">
        <v>9702</v>
      </c>
      <c r="D6371" s="38" t="str">
        <f>IFERROR(__xludf.DUMMYFUNCTION("REGEXREPLACE(C6371,""-\d+(.*)|--\d+(.*)"","""")"),"GAURIAC")</f>
        <v>GAURIAC</v>
      </c>
      <c r="E6371" s="38" t="s">
        <v>462</v>
      </c>
      <c r="F6371" s="38" t="s">
        <v>252</v>
      </c>
      <c r="G6371" s="49" t="str">
        <f t="shared" si="1"/>
        <v>33710</v>
      </c>
      <c r="H6371" s="49">
        <f t="shared" si="2"/>
        <v>33182</v>
      </c>
    </row>
    <row r="6372">
      <c r="A6372" s="48" t="s">
        <v>2701</v>
      </c>
      <c r="B6372" s="38">
        <v>17254.0</v>
      </c>
      <c r="C6372" s="38" t="s">
        <v>9703</v>
      </c>
      <c r="D6372" s="38" t="str">
        <f>IFERROR(__xludf.DUMMYFUNCTION("REGEXREPLACE(C6372,""-\d+(.*)|--\d+(.*)"","""")"),"NACHAMPS")</f>
        <v>NACHAMPS</v>
      </c>
      <c r="E6372" s="38" t="s">
        <v>488</v>
      </c>
      <c r="F6372" s="38" t="s">
        <v>338</v>
      </c>
      <c r="G6372" s="49" t="str">
        <f t="shared" si="1"/>
        <v>17380</v>
      </c>
      <c r="H6372" s="49">
        <f t="shared" si="2"/>
        <v>17254</v>
      </c>
    </row>
    <row r="6373">
      <c r="A6373" s="48" t="s">
        <v>9704</v>
      </c>
      <c r="B6373" s="38">
        <v>22347.0</v>
      </c>
      <c r="C6373" s="38" t="s">
        <v>9705</v>
      </c>
      <c r="D6373" s="38" t="str">
        <f>IFERROR(__xludf.DUMMYFUNCTION("REGEXREPLACE(C6373,""-\d+(.*)|--\d+(.*)"","""")"),"TREDARZEC")</f>
        <v>TREDARZEC</v>
      </c>
      <c r="E6373" s="38" t="s">
        <v>89</v>
      </c>
      <c r="F6373" s="38" t="s">
        <v>90</v>
      </c>
      <c r="G6373" s="49" t="str">
        <f t="shared" si="1"/>
        <v>22220</v>
      </c>
      <c r="H6373" s="49">
        <f t="shared" si="2"/>
        <v>22347</v>
      </c>
    </row>
    <row r="6374">
      <c r="A6374" s="48" t="s">
        <v>4880</v>
      </c>
      <c r="B6374" s="38">
        <v>89010.0</v>
      </c>
      <c r="C6374" s="38" t="s">
        <v>9706</v>
      </c>
      <c r="D6374" s="38" t="str">
        <f>IFERROR(__xludf.DUMMYFUNCTION("REGEXREPLACE(C6374,""-\d+(.*)|--\d+(.*)"","""")"),"ANNAY-SUR-SEREIN")</f>
        <v>ANNAY-SUR-SEREIN</v>
      </c>
      <c r="E6374" s="38" t="s">
        <v>275</v>
      </c>
      <c r="F6374" s="38" t="s">
        <v>106</v>
      </c>
      <c r="G6374" s="49" t="str">
        <f t="shared" si="1"/>
        <v>89310</v>
      </c>
      <c r="H6374" s="49">
        <f t="shared" si="2"/>
        <v>89010</v>
      </c>
    </row>
    <row r="6375">
      <c r="A6375" s="48" t="s">
        <v>3973</v>
      </c>
      <c r="B6375" s="38">
        <v>33339.0</v>
      </c>
      <c r="C6375" s="38" t="s">
        <v>9707</v>
      </c>
      <c r="D6375" s="38" t="str">
        <f>IFERROR(__xludf.DUMMYFUNCTION("REGEXREPLACE(C6375,""-\d+(.*)|--\d+(.*)"","""")"),"PRIGNAC-ET-MARCAMPS")</f>
        <v>PRIGNAC-ET-MARCAMPS</v>
      </c>
      <c r="E6375" s="38" t="s">
        <v>462</v>
      </c>
      <c r="F6375" s="38" t="s">
        <v>252</v>
      </c>
      <c r="G6375" s="49" t="str">
        <f t="shared" si="1"/>
        <v>33710</v>
      </c>
      <c r="H6375" s="49">
        <f t="shared" si="2"/>
        <v>33339</v>
      </c>
    </row>
    <row r="6376">
      <c r="A6376" s="48" t="s">
        <v>5239</v>
      </c>
      <c r="B6376" s="38">
        <v>65377.0</v>
      </c>
      <c r="C6376" s="38" t="s">
        <v>9708</v>
      </c>
      <c r="D6376" s="38" t="str">
        <f>IFERROR(__xludf.DUMMYFUNCTION("REGEXREPLACE(C6376,""-\d+(.*)|--\d+(.*)"","""")"),"REJAUMONT")</f>
        <v>REJAUMONT</v>
      </c>
      <c r="E6376" s="38" t="s">
        <v>200</v>
      </c>
      <c r="F6376" s="38" t="s">
        <v>94</v>
      </c>
      <c r="G6376" s="49" t="str">
        <f t="shared" si="1"/>
        <v>65300</v>
      </c>
      <c r="H6376" s="49">
        <f t="shared" si="2"/>
        <v>65377</v>
      </c>
    </row>
    <row r="6377">
      <c r="A6377" s="48" t="s">
        <v>9709</v>
      </c>
      <c r="B6377" s="38">
        <v>34135.0</v>
      </c>
      <c r="C6377" s="38" t="s">
        <v>9710</v>
      </c>
      <c r="D6377" s="38" t="str">
        <f>IFERROR(__xludf.DUMMYFUNCTION("REGEXREPLACE(C6377,""-\d+(.*)|--\d+(.*)"","""")"),"LESPIGNAN")</f>
        <v>LESPIGNAN</v>
      </c>
      <c r="E6377" s="38" t="s">
        <v>118</v>
      </c>
      <c r="F6377" s="38" t="s">
        <v>119</v>
      </c>
      <c r="G6377" s="49" t="str">
        <f t="shared" si="1"/>
        <v>34710</v>
      </c>
      <c r="H6377" s="49">
        <f t="shared" si="2"/>
        <v>34135</v>
      </c>
    </row>
    <row r="6378">
      <c r="A6378" s="48" t="s">
        <v>599</v>
      </c>
      <c r="B6378" s="38">
        <v>16058.0</v>
      </c>
      <c r="C6378" s="38" t="s">
        <v>9711</v>
      </c>
      <c r="D6378" s="38" t="str">
        <f>IFERROR(__xludf.DUMMYFUNCTION("REGEXREPLACE(C6378,""-\d+(.*)|--\d+(.*)"","""")"),"BOUTIERS-SAINT-TROJAN")</f>
        <v>BOUTIERS-SAINT-TROJAN</v>
      </c>
      <c r="E6378" s="38" t="s">
        <v>429</v>
      </c>
      <c r="F6378" s="38" t="s">
        <v>338</v>
      </c>
      <c r="G6378" s="49" t="str">
        <f t="shared" si="1"/>
        <v>16100</v>
      </c>
      <c r="H6378" s="49">
        <f t="shared" si="2"/>
        <v>16058</v>
      </c>
    </row>
    <row r="6379">
      <c r="A6379" s="48" t="s">
        <v>524</v>
      </c>
      <c r="B6379" s="38">
        <v>30145.0</v>
      </c>
      <c r="C6379" s="38" t="s">
        <v>9712</v>
      </c>
      <c r="D6379" s="38" t="str">
        <f>IFERROR(__xludf.DUMMYFUNCTION("REGEXREPLACE(C6379,""-\d+(.*)|--\d+(.*)"","""")"),"LEDENON")</f>
        <v>LEDENON</v>
      </c>
      <c r="E6379" s="38" t="s">
        <v>526</v>
      </c>
      <c r="F6379" s="38" t="s">
        <v>119</v>
      </c>
      <c r="G6379" s="49" t="str">
        <f t="shared" si="1"/>
        <v>30210</v>
      </c>
      <c r="H6379" s="49">
        <f t="shared" si="2"/>
        <v>30145</v>
      </c>
    </row>
    <row r="6380">
      <c r="A6380" s="48" t="s">
        <v>9713</v>
      </c>
      <c r="B6380" s="38">
        <v>77245.0</v>
      </c>
      <c r="C6380" s="38" t="s">
        <v>9714</v>
      </c>
      <c r="D6380" s="38" t="str">
        <f>IFERROR(__xludf.DUMMYFUNCTION("REGEXREPLACE(C6380,""-\d+(.*)|--\d+(.*)"","""")"),"LAVAL-EN-BRIE")</f>
        <v>LAVAL-EN-BRIE</v>
      </c>
      <c r="E6380" s="38" t="s">
        <v>244</v>
      </c>
      <c r="F6380" s="38" t="s">
        <v>245</v>
      </c>
      <c r="G6380" s="49" t="str">
        <f t="shared" si="1"/>
        <v>77148</v>
      </c>
      <c r="H6380" s="49">
        <f t="shared" si="2"/>
        <v>77245</v>
      </c>
    </row>
    <row r="6381">
      <c r="A6381" s="48" t="s">
        <v>436</v>
      </c>
      <c r="B6381" s="38">
        <v>51135.0</v>
      </c>
      <c r="C6381" s="38" t="s">
        <v>9715</v>
      </c>
      <c r="D6381" s="38" t="str">
        <f>IFERROR(__xludf.DUMMYFUNCTION("REGEXREPLACE(C6381,""-\d+(.*)|--\d+(.*)"","""")"),"CHATILLON-SUR-BROUE")</f>
        <v>CHATILLON-SUR-BROUE</v>
      </c>
      <c r="E6381" s="38" t="s">
        <v>129</v>
      </c>
      <c r="F6381" s="38" t="s">
        <v>130</v>
      </c>
      <c r="G6381" s="49" t="str">
        <f t="shared" si="1"/>
        <v>51290</v>
      </c>
      <c r="H6381" s="49">
        <f t="shared" si="2"/>
        <v>51135</v>
      </c>
    </row>
    <row r="6382">
      <c r="A6382" s="48" t="s">
        <v>3731</v>
      </c>
      <c r="B6382" s="38">
        <v>4128.0</v>
      </c>
      <c r="C6382" s="38" t="s">
        <v>9716</v>
      </c>
      <c r="D6382" s="38" t="str">
        <f>IFERROR(__xludf.DUMMYFUNCTION("REGEXREPLACE(C6382,""-\d+(.*)|--\d+(.*)"","""")"),"MONTFURON")</f>
        <v>MONTFURON</v>
      </c>
      <c r="E6382" s="38" t="s">
        <v>662</v>
      </c>
      <c r="F6382" s="38" t="s">
        <v>228</v>
      </c>
      <c r="G6382" s="49" t="str">
        <f t="shared" si="1"/>
        <v>04110</v>
      </c>
      <c r="H6382" s="49" t="str">
        <f t="shared" si="2"/>
        <v>04128</v>
      </c>
    </row>
    <row r="6383">
      <c r="A6383" s="48" t="s">
        <v>7744</v>
      </c>
      <c r="B6383" s="38">
        <v>54425.0</v>
      </c>
      <c r="C6383" s="38" t="s">
        <v>9717</v>
      </c>
      <c r="D6383" s="38" t="str">
        <f>IFERROR(__xludf.DUMMYFUNCTION("REGEXREPLACE(C6383,""-\d+(.*)|--\d+(.*)"","""")"),"PIENNES")</f>
        <v>PIENNES</v>
      </c>
      <c r="E6383" s="38" t="s">
        <v>548</v>
      </c>
      <c r="F6383" s="38" t="s">
        <v>195</v>
      </c>
      <c r="G6383" s="49" t="str">
        <f t="shared" si="1"/>
        <v>54490</v>
      </c>
      <c r="H6383" s="49">
        <f t="shared" si="2"/>
        <v>54425</v>
      </c>
    </row>
    <row r="6384">
      <c r="A6384" s="48" t="s">
        <v>620</v>
      </c>
      <c r="B6384" s="38">
        <v>86257.0</v>
      </c>
      <c r="C6384" s="38" t="s">
        <v>9718</v>
      </c>
      <c r="D6384" s="38" t="str">
        <f>IFERROR(__xludf.DUMMYFUNCTION("REGEXREPLACE(C6384,""-\d+(.*)|--\d+(.*)"","""")"),"SAVIGNY-SOUS-FAYE")</f>
        <v>SAVIGNY-SOUS-FAYE</v>
      </c>
      <c r="E6384" s="38" t="s">
        <v>529</v>
      </c>
      <c r="F6384" s="38" t="s">
        <v>338</v>
      </c>
      <c r="G6384" s="49" t="str">
        <f t="shared" si="1"/>
        <v>86140</v>
      </c>
      <c r="H6384" s="49">
        <f t="shared" si="2"/>
        <v>86257</v>
      </c>
    </row>
    <row r="6385">
      <c r="A6385" s="48" t="s">
        <v>8134</v>
      </c>
      <c r="B6385" s="38">
        <v>47292.0</v>
      </c>
      <c r="C6385" s="38" t="s">
        <v>9719</v>
      </c>
      <c r="D6385" s="38" t="str">
        <f>IFERROR(__xludf.DUMMYFUNCTION("REGEXREPLACE(C6385,""-\d+(.*)|--\d+(.*)"","""")"),"SAUVETERRE-LA-LEMANCE")</f>
        <v>SAUVETERRE-LA-LEMANCE</v>
      </c>
      <c r="E6385" s="38" t="s">
        <v>251</v>
      </c>
      <c r="F6385" s="38" t="s">
        <v>252</v>
      </c>
      <c r="G6385" s="49" t="str">
        <f t="shared" si="1"/>
        <v>47500</v>
      </c>
      <c r="H6385" s="49">
        <f t="shared" si="2"/>
        <v>47292</v>
      </c>
    </row>
    <row r="6386">
      <c r="A6386" s="48" t="s">
        <v>1477</v>
      </c>
      <c r="B6386" s="38">
        <v>61275.0</v>
      </c>
      <c r="C6386" s="38" t="s">
        <v>9720</v>
      </c>
      <c r="D6386" s="38" t="str">
        <f>IFERROR(__xludf.DUMMYFUNCTION("REGEXREPLACE(C6386,""-\d+(.*)|--\d+(.*)"","""")"),"LE MERLERAULT")</f>
        <v>LE MERLERAULT</v>
      </c>
      <c r="E6386" s="38" t="s">
        <v>141</v>
      </c>
      <c r="F6386" s="38" t="s">
        <v>138</v>
      </c>
      <c r="G6386" s="49" t="str">
        <f t="shared" si="1"/>
        <v>61240</v>
      </c>
      <c r="H6386" s="49">
        <f t="shared" si="2"/>
        <v>61275</v>
      </c>
    </row>
    <row r="6387">
      <c r="A6387" s="48" t="s">
        <v>7080</v>
      </c>
      <c r="B6387" s="38">
        <v>86139.0</v>
      </c>
      <c r="C6387" s="38" t="s">
        <v>9721</v>
      </c>
      <c r="D6387" s="38" t="str">
        <f>IFERROR(__xludf.DUMMYFUNCTION("REGEXREPLACE(C6387,""-\d+(.*)|--\d+(.*)"","""")"),"LUSIGNAN")</f>
        <v>LUSIGNAN</v>
      </c>
      <c r="E6387" s="38" t="s">
        <v>529</v>
      </c>
      <c r="F6387" s="38" t="s">
        <v>338</v>
      </c>
      <c r="G6387" s="49" t="str">
        <f t="shared" si="1"/>
        <v>86600</v>
      </c>
      <c r="H6387" s="49">
        <f t="shared" si="2"/>
        <v>86139</v>
      </c>
    </row>
    <row r="6388">
      <c r="A6388" s="48" t="s">
        <v>3711</v>
      </c>
      <c r="B6388" s="38">
        <v>21686.0</v>
      </c>
      <c r="C6388" s="38" t="s">
        <v>9722</v>
      </c>
      <c r="D6388" s="38" t="str">
        <f>IFERROR(__xludf.DUMMYFUNCTION("REGEXREPLACE(C6388,""-\d+(.*)|--\d+(.*)"","""")"),"VILLAINES-LES-PREVOTES")</f>
        <v>VILLAINES-LES-PREVOTES</v>
      </c>
      <c r="E6388" s="38" t="s">
        <v>105</v>
      </c>
      <c r="F6388" s="38" t="s">
        <v>106</v>
      </c>
      <c r="G6388" s="49" t="str">
        <f t="shared" si="1"/>
        <v>21500</v>
      </c>
      <c r="H6388" s="49">
        <f t="shared" si="2"/>
        <v>21686</v>
      </c>
    </row>
    <row r="6389">
      <c r="A6389" s="48" t="s">
        <v>1178</v>
      </c>
      <c r="B6389" s="38">
        <v>1264.0</v>
      </c>
      <c r="C6389" s="38" t="s">
        <v>9723</v>
      </c>
      <c r="D6389" s="38" t="str">
        <f>IFERROR(__xludf.DUMMYFUNCTION("REGEXREPLACE(C6389,""-\d+(.*)|--\d+(.*)"","""")"),"MONTRACOL")</f>
        <v>MONTRACOL</v>
      </c>
      <c r="E6389" s="38" t="s">
        <v>255</v>
      </c>
      <c r="F6389" s="38" t="s">
        <v>102</v>
      </c>
      <c r="G6389" s="49" t="str">
        <f t="shared" si="1"/>
        <v>01310</v>
      </c>
      <c r="H6389" s="49" t="str">
        <f t="shared" si="2"/>
        <v>01264</v>
      </c>
    </row>
    <row r="6390">
      <c r="A6390" s="48" t="s">
        <v>524</v>
      </c>
      <c r="B6390" s="38">
        <v>30116.0</v>
      </c>
      <c r="C6390" s="38" t="s">
        <v>9724</v>
      </c>
      <c r="D6390" s="38" t="str">
        <f>IFERROR(__xludf.DUMMYFUNCTION("REGEXREPLACE(C6390,""-\d+(.*)|--\d+(.*)"","""")"),"FOURNES")</f>
        <v>FOURNES</v>
      </c>
      <c r="E6390" s="38" t="s">
        <v>526</v>
      </c>
      <c r="F6390" s="38" t="s">
        <v>119</v>
      </c>
      <c r="G6390" s="49" t="str">
        <f t="shared" si="1"/>
        <v>30210</v>
      </c>
      <c r="H6390" s="49">
        <f t="shared" si="2"/>
        <v>30116</v>
      </c>
    </row>
    <row r="6391">
      <c r="A6391" s="48" t="s">
        <v>4375</v>
      </c>
      <c r="B6391" s="38">
        <v>27551.0</v>
      </c>
      <c r="C6391" s="38" t="s">
        <v>9725</v>
      </c>
      <c r="D6391" s="38" t="str">
        <f>IFERROR(__xludf.DUMMYFUNCTION("REGEXREPLACE(C6391,""-\d+(.*)|--\d+(.*)"","""")"),"SAINT-JEAN-DE-LA-LEQUERAYE")</f>
        <v>SAINT-JEAN-DE-LA-LEQUERAYE</v>
      </c>
      <c r="E6391" s="38" t="s">
        <v>241</v>
      </c>
      <c r="F6391" s="38" t="s">
        <v>134</v>
      </c>
      <c r="G6391" s="49" t="str">
        <f t="shared" si="1"/>
        <v>27560</v>
      </c>
      <c r="H6391" s="49">
        <f t="shared" si="2"/>
        <v>27551</v>
      </c>
    </row>
    <row r="6392">
      <c r="A6392" s="48" t="s">
        <v>3835</v>
      </c>
      <c r="B6392" s="38">
        <v>25295.0</v>
      </c>
      <c r="C6392" s="38" t="s">
        <v>9726</v>
      </c>
      <c r="D6392" s="38" t="str">
        <f>IFERROR(__xludf.DUMMYFUNCTION("REGEXREPLACE(C6392,""-\d+(.*)|--\d+(.*)"","""")"),"LES GRANGETTES")</f>
        <v>LES GRANGETTES</v>
      </c>
      <c r="E6392" s="38" t="s">
        <v>213</v>
      </c>
      <c r="F6392" s="38" t="s">
        <v>214</v>
      </c>
      <c r="G6392" s="49" t="str">
        <f t="shared" si="1"/>
        <v>25160</v>
      </c>
      <c r="H6392" s="49">
        <f t="shared" si="2"/>
        <v>25295</v>
      </c>
    </row>
    <row r="6393">
      <c r="A6393" s="48" t="s">
        <v>4015</v>
      </c>
      <c r="B6393" s="38">
        <v>68091.0</v>
      </c>
      <c r="C6393" s="38" t="s">
        <v>9727</v>
      </c>
      <c r="D6393" s="38" t="str">
        <f>IFERROR(__xludf.DUMMYFUNCTION("REGEXREPLACE(C6393,""-\d+(.*)|--\d+(.*)"","""")"),"FESSENHEIM")</f>
        <v>FESSENHEIM</v>
      </c>
      <c r="E6393" s="38" t="s">
        <v>150</v>
      </c>
      <c r="F6393" s="38" t="s">
        <v>151</v>
      </c>
      <c r="G6393" s="49" t="str">
        <f t="shared" si="1"/>
        <v>68740</v>
      </c>
      <c r="H6393" s="49">
        <f t="shared" si="2"/>
        <v>68091</v>
      </c>
    </row>
    <row r="6394">
      <c r="A6394" s="48" t="s">
        <v>7061</v>
      </c>
      <c r="B6394" s="38">
        <v>60077.0</v>
      </c>
      <c r="C6394" s="38" t="s">
        <v>9728</v>
      </c>
      <c r="D6394" s="38" t="str">
        <f>IFERROR(__xludf.DUMMYFUNCTION("REGEXREPLACE(C6394,""-\d+(.*)|--\d+(.*)"","""")"),"BLICOURT")</f>
        <v>BLICOURT</v>
      </c>
      <c r="E6394" s="38" t="s">
        <v>112</v>
      </c>
      <c r="F6394" s="38" t="s">
        <v>113</v>
      </c>
      <c r="G6394" s="49" t="str">
        <f t="shared" si="1"/>
        <v>60860</v>
      </c>
      <c r="H6394" s="49">
        <f t="shared" si="2"/>
        <v>60077</v>
      </c>
    </row>
    <row r="6395">
      <c r="A6395" s="48" t="s">
        <v>5405</v>
      </c>
      <c r="B6395" s="38">
        <v>85094.0</v>
      </c>
      <c r="C6395" s="38" t="s">
        <v>9729</v>
      </c>
      <c r="D6395" s="38" t="str">
        <f>IFERROR(__xludf.DUMMYFUNCTION("REGEXREPLACE(C6395,""-\d+(.*)|--\d+(.*)"","""")"),"FOUSSAIS-PAYRE")</f>
        <v>FOUSSAIS-PAYRE</v>
      </c>
      <c r="E6395" s="38" t="s">
        <v>179</v>
      </c>
      <c r="F6395" s="38" t="s">
        <v>180</v>
      </c>
      <c r="G6395" s="49" t="str">
        <f t="shared" si="1"/>
        <v>85240</v>
      </c>
      <c r="H6395" s="49">
        <f t="shared" si="2"/>
        <v>85094</v>
      </c>
    </row>
    <row r="6396">
      <c r="A6396" s="48" t="s">
        <v>1385</v>
      </c>
      <c r="B6396" s="38">
        <v>17107.0</v>
      </c>
      <c r="C6396" s="38" t="s">
        <v>9730</v>
      </c>
      <c r="D6396" s="38" t="str">
        <f>IFERROR(__xludf.DUMMYFUNCTION("REGEXREPLACE(C6396,""-\d+(.*)|--\d+(.*)"","""")"),"CIRE-D'AUNIS")</f>
        <v>CIRE-D'AUNIS</v>
      </c>
      <c r="E6396" s="38" t="s">
        <v>488</v>
      </c>
      <c r="F6396" s="38" t="s">
        <v>338</v>
      </c>
      <c r="G6396" s="49" t="str">
        <f t="shared" si="1"/>
        <v>17290</v>
      </c>
      <c r="H6396" s="49">
        <f t="shared" si="2"/>
        <v>17107</v>
      </c>
    </row>
    <row r="6397">
      <c r="A6397" s="48" t="s">
        <v>3258</v>
      </c>
      <c r="B6397" s="38">
        <v>2409.0</v>
      </c>
      <c r="C6397" s="38" t="s">
        <v>9731</v>
      </c>
      <c r="D6397" s="38" t="str">
        <f>IFERROR(__xludf.DUMMYFUNCTION("REGEXREPLACE(C6397,""-\d+(.*)|--\d+(.*)"","""")"),"LAPPION")</f>
        <v>LAPPION</v>
      </c>
      <c r="E6397" s="38" t="s">
        <v>191</v>
      </c>
      <c r="F6397" s="38" t="s">
        <v>113</v>
      </c>
      <c r="G6397" s="49" t="str">
        <f t="shared" si="1"/>
        <v>02150</v>
      </c>
      <c r="H6397" s="49" t="str">
        <f t="shared" si="2"/>
        <v>02409</v>
      </c>
    </row>
    <row r="6398">
      <c r="A6398" s="48" t="s">
        <v>4235</v>
      </c>
      <c r="B6398" s="38">
        <v>50205.0</v>
      </c>
      <c r="C6398" s="38" t="s">
        <v>9732</v>
      </c>
      <c r="D6398" s="38" t="str">
        <f>IFERROR(__xludf.DUMMYFUNCTION("REGEXREPLACE(C6398,""-\d+(.*)|--\d+(.*)"","""")"),"LA GODEFROY")</f>
        <v>LA GODEFROY</v>
      </c>
      <c r="E6398" s="38" t="s">
        <v>157</v>
      </c>
      <c r="F6398" s="38" t="s">
        <v>138</v>
      </c>
      <c r="G6398" s="49" t="str">
        <f t="shared" si="1"/>
        <v>50300</v>
      </c>
      <c r="H6398" s="49">
        <f t="shared" si="2"/>
        <v>50205</v>
      </c>
    </row>
    <row r="6399">
      <c r="A6399" s="48" t="s">
        <v>1779</v>
      </c>
      <c r="B6399" s="38">
        <v>90018.0</v>
      </c>
      <c r="C6399" s="38" t="s">
        <v>9733</v>
      </c>
      <c r="D6399" s="38" t="str">
        <f>IFERROR(__xludf.DUMMYFUNCTION("REGEXREPLACE(C6399,""-\d+(.*)|--\d+(.*)"","""")"),"BREBOTTE")</f>
        <v>BREBOTTE</v>
      </c>
      <c r="E6399" s="38" t="s">
        <v>1283</v>
      </c>
      <c r="F6399" s="38" t="s">
        <v>214</v>
      </c>
      <c r="G6399" s="49" t="str">
        <f t="shared" si="1"/>
        <v>90140</v>
      </c>
      <c r="H6399" s="49">
        <f t="shared" si="2"/>
        <v>90018</v>
      </c>
    </row>
    <row r="6400">
      <c r="A6400" s="48" t="s">
        <v>7940</v>
      </c>
      <c r="B6400" s="38">
        <v>49268.0</v>
      </c>
      <c r="C6400" s="38" t="s">
        <v>6426</v>
      </c>
      <c r="D6400" s="38" t="str">
        <f>IFERROR(__xludf.DUMMYFUNCTION("REGEXREPLACE(C6400,""-\d+(.*)|--\d+(.*)"","""")"),"SAINTE-CHRISTINE")</f>
        <v>SAINTE-CHRISTINE</v>
      </c>
      <c r="E6400" s="38" t="s">
        <v>653</v>
      </c>
      <c r="F6400" s="38" t="s">
        <v>180</v>
      </c>
      <c r="G6400" s="49" t="str">
        <f t="shared" si="1"/>
        <v>49120</v>
      </c>
      <c r="H6400" s="49">
        <f t="shared" si="2"/>
        <v>49268</v>
      </c>
    </row>
    <row r="6401">
      <c r="A6401" s="48" t="s">
        <v>9734</v>
      </c>
      <c r="B6401" s="38">
        <v>62899.0</v>
      </c>
      <c r="C6401" s="38" t="s">
        <v>9735</v>
      </c>
      <c r="D6401" s="38" t="str">
        <f>IFERROR(__xludf.DUMMYFUNCTION("REGEXREPLACE(C6401,""-\d+(.*)|--\d+(.*)"","""")"),"WISSANT")</f>
        <v>WISSANT</v>
      </c>
      <c r="E6401" s="38" t="s">
        <v>109</v>
      </c>
      <c r="F6401" s="38" t="s">
        <v>86</v>
      </c>
      <c r="G6401" s="49" t="str">
        <f t="shared" si="1"/>
        <v>62179</v>
      </c>
      <c r="H6401" s="49">
        <f t="shared" si="2"/>
        <v>62899</v>
      </c>
    </row>
    <row r="6402">
      <c r="A6402" s="48" t="s">
        <v>4245</v>
      </c>
      <c r="B6402" s="38">
        <v>50030.0</v>
      </c>
      <c r="C6402" s="38" t="s">
        <v>9736</v>
      </c>
      <c r="D6402" s="38" t="str">
        <f>IFERROR(__xludf.DUMMYFUNCTION("REGEXREPLACE(C6402,""-\d+(.*)|--\d+(.*)"","""")"),"BARFLEUR")</f>
        <v>BARFLEUR</v>
      </c>
      <c r="E6402" s="38" t="s">
        <v>157</v>
      </c>
      <c r="F6402" s="38" t="s">
        <v>138</v>
      </c>
      <c r="G6402" s="49" t="str">
        <f t="shared" si="1"/>
        <v>50760</v>
      </c>
      <c r="H6402" s="49">
        <f t="shared" si="2"/>
        <v>50030</v>
      </c>
    </row>
    <row r="6403">
      <c r="A6403" s="48" t="s">
        <v>9737</v>
      </c>
      <c r="B6403" s="38">
        <v>89234.0</v>
      </c>
      <c r="C6403" s="38" t="s">
        <v>9738</v>
      </c>
      <c r="D6403" s="38" t="str">
        <f>IFERROR(__xludf.DUMMYFUNCTION("REGEXREPLACE(C6403,""-\d+(.*)|--\d+(.*)"","""")"),"LUCY-SUR-YONNE")</f>
        <v>LUCY-SUR-YONNE</v>
      </c>
      <c r="E6403" s="38" t="s">
        <v>275</v>
      </c>
      <c r="F6403" s="38" t="s">
        <v>106</v>
      </c>
      <c r="G6403" s="49" t="str">
        <f t="shared" si="1"/>
        <v>89480</v>
      </c>
      <c r="H6403" s="49">
        <f t="shared" si="2"/>
        <v>89234</v>
      </c>
    </row>
    <row r="6404">
      <c r="A6404" s="48" t="s">
        <v>2229</v>
      </c>
      <c r="B6404" s="38">
        <v>64514.0</v>
      </c>
      <c r="C6404" s="38" t="s">
        <v>9739</v>
      </c>
      <c r="D6404" s="38" t="str">
        <f>IFERROR(__xludf.DUMMYFUNCTION("REGEXREPLACE(C6404,""-\d+(.*)|--\d+(.*)"","""")"),"SEBY")</f>
        <v>SEBY</v>
      </c>
      <c r="E6404" s="38" t="s">
        <v>268</v>
      </c>
      <c r="F6404" s="38" t="s">
        <v>252</v>
      </c>
      <c r="G6404" s="49" t="str">
        <f t="shared" si="1"/>
        <v>64410</v>
      </c>
      <c r="H6404" s="49">
        <f t="shared" si="2"/>
        <v>64514</v>
      </c>
    </row>
    <row r="6405">
      <c r="A6405" s="48" t="s">
        <v>9740</v>
      </c>
      <c r="B6405" s="38">
        <v>13202.0</v>
      </c>
      <c r="C6405" s="38" t="s">
        <v>9741</v>
      </c>
      <c r="D6405" s="38" t="str">
        <f>IFERROR(__xludf.DUMMYFUNCTION("REGEXREPLACE(C6405,""-\d+(.*)|--\d+(.*)"","""")"),"MARSEILLE")</f>
        <v>MARSEILLE</v>
      </c>
      <c r="E6405" s="38" t="s">
        <v>980</v>
      </c>
      <c r="F6405" s="38" t="s">
        <v>228</v>
      </c>
      <c r="G6405" s="49" t="str">
        <f t="shared" si="1"/>
        <v>13002</v>
      </c>
      <c r="H6405" s="49">
        <f t="shared" si="2"/>
        <v>13202</v>
      </c>
    </row>
    <row r="6406">
      <c r="A6406" s="48" t="s">
        <v>2316</v>
      </c>
      <c r="B6406" s="38">
        <v>25298.0</v>
      </c>
      <c r="C6406" s="38" t="s">
        <v>9742</v>
      </c>
      <c r="D6406" s="38" t="str">
        <f>IFERROR(__xludf.DUMMYFUNCTION("REGEXREPLACE(C6406,""-\d+(.*)|--\d+(.*)"","""")"),"GROSBOIS")</f>
        <v>GROSBOIS</v>
      </c>
      <c r="E6406" s="38" t="s">
        <v>213</v>
      </c>
      <c r="F6406" s="38" t="s">
        <v>214</v>
      </c>
      <c r="G6406" s="49" t="str">
        <f t="shared" si="1"/>
        <v>25110</v>
      </c>
      <c r="H6406" s="49">
        <f t="shared" si="2"/>
        <v>25298</v>
      </c>
    </row>
    <row r="6407">
      <c r="A6407" s="48" t="s">
        <v>9743</v>
      </c>
      <c r="B6407" s="38">
        <v>36101.0</v>
      </c>
      <c r="C6407" s="38" t="s">
        <v>9744</v>
      </c>
      <c r="D6407" s="38" t="str">
        <f>IFERROR(__xludf.DUMMYFUNCTION("REGEXREPLACE(C6407,""-\d+(.*)|--\d+(.*)"","""")"),"LUANT")</f>
        <v>LUANT</v>
      </c>
      <c r="E6407" s="38" t="s">
        <v>258</v>
      </c>
      <c r="F6407" s="38" t="s">
        <v>123</v>
      </c>
      <c r="G6407" s="49" t="str">
        <f t="shared" si="1"/>
        <v>36350</v>
      </c>
      <c r="H6407" s="49">
        <f t="shared" si="2"/>
        <v>36101</v>
      </c>
    </row>
    <row r="6408">
      <c r="A6408" s="48" t="s">
        <v>1522</v>
      </c>
      <c r="B6408" s="38">
        <v>32452.0</v>
      </c>
      <c r="C6408" s="38" t="s">
        <v>9745</v>
      </c>
      <c r="D6408" s="38" t="str">
        <f>IFERROR(__xludf.DUMMYFUNCTION("REGEXREPLACE(C6408,""-\d+(.*)|--\d+(.*)"","""")"),"TOURNECOUPE")</f>
        <v>TOURNECOUPE</v>
      </c>
      <c r="E6408" s="38" t="s">
        <v>440</v>
      </c>
      <c r="F6408" s="38" t="s">
        <v>94</v>
      </c>
      <c r="G6408" s="49" t="str">
        <f t="shared" si="1"/>
        <v>32380</v>
      </c>
      <c r="H6408" s="49">
        <f t="shared" si="2"/>
        <v>32452</v>
      </c>
    </row>
    <row r="6409">
      <c r="A6409" s="48" t="s">
        <v>2342</v>
      </c>
      <c r="B6409" s="38">
        <v>11049.0</v>
      </c>
      <c r="C6409" s="38" t="s">
        <v>9746</v>
      </c>
      <c r="D6409" s="38" t="str">
        <f>IFERROR(__xludf.DUMMYFUNCTION("REGEXREPLACE(C6409,""-\d+(.*)|--\d+(.*)"","""")"),"BRAM")</f>
        <v>BRAM</v>
      </c>
      <c r="E6409" s="38" t="s">
        <v>278</v>
      </c>
      <c r="F6409" s="38" t="s">
        <v>119</v>
      </c>
      <c r="G6409" s="49" t="str">
        <f t="shared" si="1"/>
        <v>11150</v>
      </c>
      <c r="H6409" s="49">
        <f t="shared" si="2"/>
        <v>11049</v>
      </c>
    </row>
    <row r="6410">
      <c r="A6410" s="48" t="s">
        <v>7028</v>
      </c>
      <c r="B6410" s="38">
        <v>57492.0</v>
      </c>
      <c r="C6410" s="38" t="s">
        <v>9747</v>
      </c>
      <c r="D6410" s="38" t="str">
        <f>IFERROR(__xludf.DUMMYFUNCTION("REGEXREPLACE(C6410,""-\d+(.*)|--\d+(.*)"","""")"),"MOYEUVRE-PETITE")</f>
        <v>MOYEUVRE-PETITE</v>
      </c>
      <c r="E6410" s="38" t="s">
        <v>303</v>
      </c>
      <c r="F6410" s="38" t="s">
        <v>195</v>
      </c>
      <c r="G6410" s="49" t="str">
        <f t="shared" si="1"/>
        <v>57250</v>
      </c>
      <c r="H6410" s="49">
        <f t="shared" si="2"/>
        <v>57492</v>
      </c>
    </row>
    <row r="6411">
      <c r="A6411" s="48" t="s">
        <v>4400</v>
      </c>
      <c r="B6411" s="38">
        <v>66100.0</v>
      </c>
      <c r="C6411" s="38" t="s">
        <v>9748</v>
      </c>
      <c r="D6411" s="38" t="str">
        <f>IFERROR(__xludf.DUMMYFUNCTION("REGEXREPLACE(C6411,""-\d+(.*)|--\d+(.*)"","""")"),"LLO")</f>
        <v>LLO</v>
      </c>
      <c r="E6411" s="38" t="s">
        <v>248</v>
      </c>
      <c r="F6411" s="38" t="s">
        <v>119</v>
      </c>
      <c r="G6411" s="49" t="str">
        <f t="shared" si="1"/>
        <v>66800</v>
      </c>
      <c r="H6411" s="49">
        <f t="shared" si="2"/>
        <v>66100</v>
      </c>
    </row>
    <row r="6412">
      <c r="A6412" s="48" t="s">
        <v>6649</v>
      </c>
      <c r="B6412" s="38">
        <v>18260.0</v>
      </c>
      <c r="C6412" s="38" t="s">
        <v>9749</v>
      </c>
      <c r="D6412" s="38" t="str">
        <f>IFERROR(__xludf.DUMMYFUNCTION("REGEXREPLACE(C6412,""-\d+(.*)|--\d+(.*)"","""")"),"TENDRON")</f>
        <v>TENDRON</v>
      </c>
      <c r="E6412" s="38" t="s">
        <v>504</v>
      </c>
      <c r="F6412" s="38" t="s">
        <v>123</v>
      </c>
      <c r="G6412" s="49" t="str">
        <f t="shared" si="1"/>
        <v>18350</v>
      </c>
      <c r="H6412" s="49">
        <f t="shared" si="2"/>
        <v>18260</v>
      </c>
    </row>
    <row r="6413">
      <c r="A6413" s="48" t="s">
        <v>3747</v>
      </c>
      <c r="B6413" s="38">
        <v>52303.0</v>
      </c>
      <c r="C6413" s="38" t="s">
        <v>9750</v>
      </c>
      <c r="D6413" s="38" t="str">
        <f>IFERROR(__xludf.DUMMYFUNCTION("REGEXREPLACE(C6413,""-\d+(.*)|--\d+(.*)"","""")"),"MAIZIERES-SUR-AMANCE")</f>
        <v>MAIZIERES-SUR-AMANCE</v>
      </c>
      <c r="E6413" s="38" t="s">
        <v>234</v>
      </c>
      <c r="F6413" s="38" t="s">
        <v>130</v>
      </c>
      <c r="G6413" s="49" t="str">
        <f t="shared" si="1"/>
        <v>52500</v>
      </c>
      <c r="H6413" s="49">
        <f t="shared" si="2"/>
        <v>52303</v>
      </c>
    </row>
    <row r="6414">
      <c r="A6414" s="48" t="s">
        <v>8902</v>
      </c>
      <c r="B6414" s="38">
        <v>25334.0</v>
      </c>
      <c r="C6414" s="38" t="s">
        <v>9751</v>
      </c>
      <c r="D6414" s="38" t="str">
        <f>IFERROR(__xludf.DUMMYFUNCTION("REGEXREPLACE(C6414,""-\d+(.*)|--\d+(.*)"","""")"),"LEVIER")</f>
        <v>LEVIER</v>
      </c>
      <c r="E6414" s="38" t="s">
        <v>213</v>
      </c>
      <c r="F6414" s="38" t="s">
        <v>214</v>
      </c>
      <c r="G6414" s="49" t="str">
        <f t="shared" si="1"/>
        <v>25270</v>
      </c>
      <c r="H6414" s="49">
        <f t="shared" si="2"/>
        <v>25334</v>
      </c>
    </row>
    <row r="6415">
      <c r="A6415" s="48" t="s">
        <v>9752</v>
      </c>
      <c r="B6415" s="38">
        <v>45261.0</v>
      </c>
      <c r="C6415" s="38" t="s">
        <v>9753</v>
      </c>
      <c r="D6415" s="38" t="str">
        <f>IFERROR(__xludf.DUMMYFUNCTION("REGEXREPLACE(C6415,""-\d+(.*)|--\d+(.*)"","""")"),"REBRECHIEN")</f>
        <v>REBRECHIEN</v>
      </c>
      <c r="E6415" s="38" t="s">
        <v>122</v>
      </c>
      <c r="F6415" s="38" t="s">
        <v>123</v>
      </c>
      <c r="G6415" s="49" t="str">
        <f t="shared" si="1"/>
        <v>45470</v>
      </c>
      <c r="H6415" s="49">
        <f t="shared" si="2"/>
        <v>45261</v>
      </c>
    </row>
    <row r="6416">
      <c r="A6416" s="48" t="s">
        <v>1208</v>
      </c>
      <c r="B6416" s="38">
        <v>32170.0</v>
      </c>
      <c r="C6416" s="38" t="s">
        <v>9754</v>
      </c>
      <c r="D6416" s="38" t="str">
        <f>IFERROR(__xludf.DUMMYFUNCTION("REGEXREPLACE(C6416,""-\d+(.*)|--\d+(.*)"","""")"),"LABARTHETE")</f>
        <v>LABARTHETE</v>
      </c>
      <c r="E6416" s="38" t="s">
        <v>440</v>
      </c>
      <c r="F6416" s="38" t="s">
        <v>94</v>
      </c>
      <c r="G6416" s="49" t="str">
        <f t="shared" si="1"/>
        <v>32400</v>
      </c>
      <c r="H6416" s="49">
        <f t="shared" si="2"/>
        <v>32170</v>
      </c>
    </row>
    <row r="6417">
      <c r="A6417" s="48" t="s">
        <v>9755</v>
      </c>
      <c r="B6417" s="38">
        <v>51236.0</v>
      </c>
      <c r="C6417" s="38" t="s">
        <v>9756</v>
      </c>
      <c r="D6417" s="38" t="str">
        <f>IFERROR(__xludf.DUMMYFUNCTION("REGEXREPLACE(C6417,""-\d+(.*)|--\d+(.*)"","""")"),"LES ESSARTS-LE-VICOMTE")</f>
        <v>LES ESSARTS-LE-VICOMTE</v>
      </c>
      <c r="E6417" s="38" t="s">
        <v>129</v>
      </c>
      <c r="F6417" s="38" t="s">
        <v>130</v>
      </c>
      <c r="G6417" s="49" t="str">
        <f t="shared" si="1"/>
        <v>51310</v>
      </c>
      <c r="H6417" s="49">
        <f t="shared" si="2"/>
        <v>51236</v>
      </c>
    </row>
    <row r="6418">
      <c r="A6418" s="48" t="s">
        <v>9757</v>
      </c>
      <c r="B6418" s="38">
        <v>97124.0</v>
      </c>
      <c r="C6418" s="38" t="s">
        <v>9758</v>
      </c>
      <c r="D6418" s="38" t="str">
        <f>IFERROR(__xludf.DUMMYFUNCTION("REGEXREPLACE(C6418,""-\d+(.*)|--\d+(.*)"","""")"),"SAINT-CLAUDE")</f>
        <v>SAINT-CLAUDE</v>
      </c>
      <c r="E6418" s="38" t="s">
        <v>2023</v>
      </c>
      <c r="F6418" s="38" t="s">
        <v>2023</v>
      </c>
      <c r="G6418" s="49" t="str">
        <f t="shared" si="1"/>
        <v>97120</v>
      </c>
      <c r="H6418" s="49">
        <f t="shared" si="2"/>
        <v>97124</v>
      </c>
    </row>
    <row r="6419">
      <c r="A6419" s="48" t="s">
        <v>1641</v>
      </c>
      <c r="B6419" s="38">
        <v>18196.0</v>
      </c>
      <c r="C6419" s="38" t="s">
        <v>9759</v>
      </c>
      <c r="D6419" s="38" t="str">
        <f>IFERROR(__xludf.DUMMYFUNCTION("REGEXREPLACE(C6419,""-\d+(.*)|--\d+(.*)"","""")"),"SAINT-AIGNAN-DES-NOYERS")</f>
        <v>SAINT-AIGNAN-DES-NOYERS</v>
      </c>
      <c r="E6419" s="38" t="s">
        <v>504</v>
      </c>
      <c r="F6419" s="38" t="s">
        <v>123</v>
      </c>
      <c r="G6419" s="49" t="str">
        <f t="shared" si="1"/>
        <v>18600</v>
      </c>
      <c r="H6419" s="49">
        <f t="shared" si="2"/>
        <v>18196</v>
      </c>
    </row>
    <row r="6420">
      <c r="A6420" s="48" t="s">
        <v>2955</v>
      </c>
      <c r="B6420" s="38">
        <v>76376.0</v>
      </c>
      <c r="C6420" s="38" t="s">
        <v>9760</v>
      </c>
      <c r="D6420" s="38" t="str">
        <f>IFERROR(__xludf.DUMMYFUNCTION("REGEXREPLACE(C6420,""-\d+(.*)|--\d+(.*)"","""")"),"INTRAVILLE")</f>
        <v>INTRAVILLE</v>
      </c>
      <c r="E6420" s="38" t="s">
        <v>133</v>
      </c>
      <c r="F6420" s="38" t="s">
        <v>134</v>
      </c>
      <c r="G6420" s="49" t="str">
        <f t="shared" si="1"/>
        <v>76630</v>
      </c>
      <c r="H6420" s="49">
        <f t="shared" si="2"/>
        <v>76376</v>
      </c>
    </row>
    <row r="6421">
      <c r="A6421" s="48" t="s">
        <v>9761</v>
      </c>
      <c r="B6421" s="38">
        <v>66014.0</v>
      </c>
      <c r="C6421" s="38" t="s">
        <v>9762</v>
      </c>
      <c r="D6421" s="38" t="str">
        <f>IFERROR(__xludf.DUMMYFUNCTION("REGEXREPLACE(C6421,""-\d+(.*)|--\d+(.*)"","""")"),"BAIXAS")</f>
        <v>BAIXAS</v>
      </c>
      <c r="E6421" s="38" t="s">
        <v>248</v>
      </c>
      <c r="F6421" s="38" t="s">
        <v>119</v>
      </c>
      <c r="G6421" s="49" t="str">
        <f t="shared" si="1"/>
        <v>66390</v>
      </c>
      <c r="H6421" s="49">
        <f t="shared" si="2"/>
        <v>66014</v>
      </c>
    </row>
    <row r="6422">
      <c r="A6422" s="48" t="s">
        <v>711</v>
      </c>
      <c r="B6422" s="38">
        <v>49274.0</v>
      </c>
      <c r="C6422" s="38" t="s">
        <v>9763</v>
      </c>
      <c r="D6422" s="38" t="str">
        <f>IFERROR(__xludf.DUMMYFUNCTION("REGEXREPLACE(C6422,""-\d+(.*)|--\d+(.*)"","""")"),"SAINT-CYR-EN-BOURG")</f>
        <v>SAINT-CYR-EN-BOURG</v>
      </c>
      <c r="E6422" s="38" t="s">
        <v>653</v>
      </c>
      <c r="F6422" s="38" t="s">
        <v>180</v>
      </c>
      <c r="G6422" s="49" t="str">
        <f t="shared" si="1"/>
        <v>49260</v>
      </c>
      <c r="H6422" s="49">
        <f t="shared" si="2"/>
        <v>49274</v>
      </c>
    </row>
    <row r="6423">
      <c r="A6423" s="48" t="s">
        <v>2773</v>
      </c>
      <c r="B6423" s="38">
        <v>21444.0</v>
      </c>
      <c r="C6423" s="38" t="s">
        <v>9764</v>
      </c>
      <c r="D6423" s="38" t="str">
        <f>IFERROR(__xludf.DUMMYFUNCTION("REGEXREPLACE(C6423,""-\d+(.*)|--\d+(.*)"","""")"),"MOSSON")</f>
        <v>MOSSON</v>
      </c>
      <c r="E6423" s="38" t="s">
        <v>105</v>
      </c>
      <c r="F6423" s="38" t="s">
        <v>106</v>
      </c>
      <c r="G6423" s="49" t="str">
        <f t="shared" si="1"/>
        <v>21400</v>
      </c>
      <c r="H6423" s="49">
        <f t="shared" si="2"/>
        <v>21444</v>
      </c>
    </row>
    <row r="6424">
      <c r="A6424" s="48" t="s">
        <v>5553</v>
      </c>
      <c r="B6424" s="38">
        <v>34188.0</v>
      </c>
      <c r="C6424" s="38" t="s">
        <v>9765</v>
      </c>
      <c r="D6424" s="38" t="str">
        <f>IFERROR(__xludf.DUMMYFUNCTION("REGEXREPLACE(C6424,""-\d+(.*)|--\d+(.*)"","""")"),"OLMET-ET-VILLECUN")</f>
        <v>OLMET-ET-VILLECUN</v>
      </c>
      <c r="E6424" s="38" t="s">
        <v>118</v>
      </c>
      <c r="F6424" s="38" t="s">
        <v>119</v>
      </c>
      <c r="G6424" s="49" t="str">
        <f t="shared" si="1"/>
        <v>34700</v>
      </c>
      <c r="H6424" s="49">
        <f t="shared" si="2"/>
        <v>34188</v>
      </c>
    </row>
    <row r="6425">
      <c r="A6425" s="48" t="s">
        <v>6728</v>
      </c>
      <c r="B6425" s="38">
        <v>89386.0</v>
      </c>
      <c r="C6425" s="38" t="s">
        <v>9766</v>
      </c>
      <c r="D6425" s="38" t="str">
        <f>IFERROR(__xludf.DUMMYFUNCTION("REGEXREPLACE(C6425,""-\d+(.*)|--\d+(.*)"","""")"),"SENNEVOY-LE-HAUT")</f>
        <v>SENNEVOY-LE-HAUT</v>
      </c>
      <c r="E6425" s="38" t="s">
        <v>275</v>
      </c>
      <c r="F6425" s="38" t="s">
        <v>106</v>
      </c>
      <c r="G6425" s="49" t="str">
        <f t="shared" si="1"/>
        <v>89160</v>
      </c>
      <c r="H6425" s="49">
        <f t="shared" si="2"/>
        <v>89386</v>
      </c>
    </row>
    <row r="6426">
      <c r="A6426" s="48" t="s">
        <v>2794</v>
      </c>
      <c r="B6426" s="38">
        <v>39570.0</v>
      </c>
      <c r="C6426" s="38" t="s">
        <v>9767</v>
      </c>
      <c r="D6426" s="38" t="str">
        <f>IFERROR(__xludf.DUMMYFUNCTION("REGEXREPLACE(C6426,""-\d+(.*)|--\d+(.*)"","""")"),"VILLERS-LES-BOIS")</f>
        <v>VILLERS-LES-BOIS</v>
      </c>
      <c r="E6426" s="38" t="s">
        <v>400</v>
      </c>
      <c r="F6426" s="38" t="s">
        <v>214</v>
      </c>
      <c r="G6426" s="49" t="str">
        <f t="shared" si="1"/>
        <v>39800</v>
      </c>
      <c r="H6426" s="49">
        <f t="shared" si="2"/>
        <v>39570</v>
      </c>
    </row>
    <row r="6427">
      <c r="A6427" s="48" t="s">
        <v>1347</v>
      </c>
      <c r="B6427" s="38">
        <v>16228.0</v>
      </c>
      <c r="C6427" s="38" t="s">
        <v>9768</v>
      </c>
      <c r="D6427" s="38" t="str">
        <f>IFERROR(__xludf.DUMMYFUNCTION("REGEXREPLACE(C6427,""-\d+(.*)|--\d+(.*)"","""")"),"MONTIGNE")</f>
        <v>MONTIGNE</v>
      </c>
      <c r="E6427" s="38" t="s">
        <v>429</v>
      </c>
      <c r="F6427" s="38" t="s">
        <v>338</v>
      </c>
      <c r="G6427" s="49" t="str">
        <f t="shared" si="1"/>
        <v>16170</v>
      </c>
      <c r="H6427" s="49">
        <f t="shared" si="2"/>
        <v>16228</v>
      </c>
    </row>
    <row r="6428">
      <c r="A6428" s="48" t="s">
        <v>9769</v>
      </c>
      <c r="B6428" s="38">
        <v>46094.0</v>
      </c>
      <c r="C6428" s="38" t="s">
        <v>9770</v>
      </c>
      <c r="D6428" s="38" t="str">
        <f>IFERROR(__xludf.DUMMYFUNCTION("REGEXREPLACE(C6428,""-\d+(.*)|--\d+(.*)"","""")"),"ESPEDAILLAC")</f>
        <v>ESPEDAILLAC</v>
      </c>
      <c r="E6428" s="38" t="s">
        <v>185</v>
      </c>
      <c r="F6428" s="38" t="s">
        <v>94</v>
      </c>
      <c r="G6428" s="49" t="str">
        <f t="shared" si="1"/>
        <v>46320</v>
      </c>
      <c r="H6428" s="49">
        <f t="shared" si="2"/>
        <v>46094</v>
      </c>
    </row>
    <row r="6429">
      <c r="A6429" s="48" t="s">
        <v>3233</v>
      </c>
      <c r="B6429" s="38">
        <v>54346.0</v>
      </c>
      <c r="C6429" s="38" t="s">
        <v>9771</v>
      </c>
      <c r="D6429" s="38" t="str">
        <f>IFERROR(__xludf.DUMMYFUNCTION("REGEXREPLACE(C6429,""-\d+(.*)|--\d+(.*)"","""")"),"MANONCOURT-EN-WOEVRE")</f>
        <v>MANONCOURT-EN-WOEVRE</v>
      </c>
      <c r="E6429" s="38" t="s">
        <v>548</v>
      </c>
      <c r="F6429" s="38" t="s">
        <v>195</v>
      </c>
      <c r="G6429" s="49" t="str">
        <f t="shared" si="1"/>
        <v>54385</v>
      </c>
      <c r="H6429" s="49">
        <f t="shared" si="2"/>
        <v>54346</v>
      </c>
    </row>
    <row r="6430">
      <c r="A6430" s="48" t="s">
        <v>9772</v>
      </c>
      <c r="B6430" s="38">
        <v>25074.0</v>
      </c>
      <c r="C6430" s="38" t="s">
        <v>9773</v>
      </c>
      <c r="D6430" s="38" t="str">
        <f>IFERROR(__xludf.DUMMYFUNCTION("REGEXREPLACE(C6430,""-\d+(.*)|--\d+(.*)"","""")"),"BONNETAGE")</f>
        <v>BONNETAGE</v>
      </c>
      <c r="E6430" s="38" t="s">
        <v>213</v>
      </c>
      <c r="F6430" s="38" t="s">
        <v>214</v>
      </c>
      <c r="G6430" s="49" t="str">
        <f t="shared" si="1"/>
        <v>25210</v>
      </c>
      <c r="H6430" s="49">
        <f t="shared" si="2"/>
        <v>25074</v>
      </c>
    </row>
    <row r="6431">
      <c r="A6431" s="48" t="s">
        <v>6247</v>
      </c>
      <c r="B6431" s="38">
        <v>26041.0</v>
      </c>
      <c r="C6431" s="38" t="s">
        <v>9774</v>
      </c>
      <c r="D6431" s="38" t="str">
        <f>IFERROR(__xludf.DUMMYFUNCTION("REGEXREPLACE(C6431,""-\d+(.*)|--\d+(.*)"","""")"),"BEAUSEMBLANT")</f>
        <v>BEAUSEMBLANT</v>
      </c>
      <c r="E6431" s="38" t="s">
        <v>126</v>
      </c>
      <c r="F6431" s="38" t="s">
        <v>102</v>
      </c>
      <c r="G6431" s="49" t="str">
        <f t="shared" si="1"/>
        <v>26240</v>
      </c>
      <c r="H6431" s="49">
        <f t="shared" si="2"/>
        <v>26041</v>
      </c>
    </row>
    <row r="6432">
      <c r="A6432" s="48" t="s">
        <v>3635</v>
      </c>
      <c r="B6432" s="38">
        <v>16182.0</v>
      </c>
      <c r="C6432" s="38" t="s">
        <v>9775</v>
      </c>
      <c r="D6432" s="38" t="str">
        <f>IFERROR(__xludf.DUMMYFUNCTION("REGEXREPLACE(C6432,""-\d+(.*)|--\d+(.*)"","""")"),"LESTERPS")</f>
        <v>LESTERPS</v>
      </c>
      <c r="E6432" s="38" t="s">
        <v>429</v>
      </c>
      <c r="F6432" s="38" t="s">
        <v>338</v>
      </c>
      <c r="G6432" s="49" t="str">
        <f t="shared" si="1"/>
        <v>16420</v>
      </c>
      <c r="H6432" s="49">
        <f t="shared" si="2"/>
        <v>16182</v>
      </c>
    </row>
    <row r="6433">
      <c r="A6433" s="48" t="s">
        <v>2278</v>
      </c>
      <c r="B6433" s="38">
        <v>80742.0</v>
      </c>
      <c r="C6433" s="38" t="s">
        <v>9776</v>
      </c>
      <c r="D6433" s="38" t="str">
        <f>IFERROR(__xludf.DUMMYFUNCTION("REGEXREPLACE(C6433,""-\d+(.*)|--\d+(.*)"","""")"),"SURCAMPS")</f>
        <v>SURCAMPS</v>
      </c>
      <c r="E6433" s="38" t="s">
        <v>224</v>
      </c>
      <c r="F6433" s="38" t="s">
        <v>113</v>
      </c>
      <c r="G6433" s="49" t="str">
        <f t="shared" si="1"/>
        <v>80620</v>
      </c>
      <c r="H6433" s="49">
        <f t="shared" si="2"/>
        <v>80742</v>
      </c>
    </row>
    <row r="6434">
      <c r="A6434" s="48" t="s">
        <v>4715</v>
      </c>
      <c r="B6434" s="38">
        <v>74030.0</v>
      </c>
      <c r="C6434" s="38" t="s">
        <v>9777</v>
      </c>
      <c r="D6434" s="38" t="str">
        <f>IFERROR(__xludf.DUMMYFUNCTION("REGEXREPLACE(C6434,""-\d+(.*)|--\d+(.*)"","""")"),"LA BAUME")</f>
        <v>LA BAUME</v>
      </c>
      <c r="E6434" s="38" t="s">
        <v>319</v>
      </c>
      <c r="F6434" s="38" t="s">
        <v>102</v>
      </c>
      <c r="G6434" s="49" t="str">
        <f t="shared" si="1"/>
        <v>74430</v>
      </c>
      <c r="H6434" s="49">
        <f t="shared" si="2"/>
        <v>74030</v>
      </c>
    </row>
    <row r="6435">
      <c r="A6435" s="48" t="s">
        <v>9778</v>
      </c>
      <c r="B6435" s="38">
        <v>23244.0</v>
      </c>
      <c r="C6435" s="38" t="s">
        <v>9779</v>
      </c>
      <c r="D6435" s="38" t="str">
        <f>IFERROR(__xludf.DUMMYFUNCTION("REGEXREPLACE(C6435,""-\d+(.*)|--\d+(.*)"","""")"),"SAINT-SULPICE-LE-DUNOIS")</f>
        <v>SAINT-SULPICE-LE-DUNOIS</v>
      </c>
      <c r="E6435" s="38" t="s">
        <v>97</v>
      </c>
      <c r="F6435" s="38" t="s">
        <v>98</v>
      </c>
      <c r="G6435" s="49" t="str">
        <f t="shared" si="1"/>
        <v>23800</v>
      </c>
      <c r="H6435" s="49">
        <f t="shared" si="2"/>
        <v>23244</v>
      </c>
    </row>
    <row r="6436">
      <c r="A6436" s="48" t="s">
        <v>2955</v>
      </c>
      <c r="B6436" s="38">
        <v>76310.0</v>
      </c>
      <c r="C6436" s="38" t="s">
        <v>9780</v>
      </c>
      <c r="D6436" s="38" t="str">
        <f>IFERROR(__xludf.DUMMYFUNCTION("REGEXREPLACE(C6436,""-\d+(.*)|--\d+(.*)"","""")"),"GOUCHAUPRE")</f>
        <v>GOUCHAUPRE</v>
      </c>
      <c r="E6436" s="38" t="s">
        <v>133</v>
      </c>
      <c r="F6436" s="38" t="s">
        <v>134</v>
      </c>
      <c r="G6436" s="49" t="str">
        <f t="shared" si="1"/>
        <v>76630</v>
      </c>
      <c r="H6436" s="49">
        <f t="shared" si="2"/>
        <v>76310</v>
      </c>
    </row>
    <row r="6437">
      <c r="A6437" s="48" t="s">
        <v>9781</v>
      </c>
      <c r="B6437" s="38">
        <v>19149.0</v>
      </c>
      <c r="C6437" s="38" t="s">
        <v>9782</v>
      </c>
      <c r="D6437" s="38" t="str">
        <f>IFERROR(__xludf.DUMMYFUNCTION("REGEXREPLACE(C6437,""-\d+(.*)|--\d+(.*)"","""")"),"NEUVILLE")</f>
        <v>NEUVILLE</v>
      </c>
      <c r="E6437" s="38" t="s">
        <v>271</v>
      </c>
      <c r="F6437" s="38" t="s">
        <v>98</v>
      </c>
      <c r="G6437" s="49" t="str">
        <f t="shared" si="1"/>
        <v>19380</v>
      </c>
      <c r="H6437" s="49">
        <f t="shared" si="2"/>
        <v>19149</v>
      </c>
    </row>
    <row r="6438">
      <c r="A6438" s="48" t="s">
        <v>1700</v>
      </c>
      <c r="B6438" s="38">
        <v>35172.0</v>
      </c>
      <c r="C6438" s="38" t="s">
        <v>9783</v>
      </c>
      <c r="D6438" s="38" t="str">
        <f>IFERROR(__xludf.DUMMYFUNCTION("REGEXREPLACE(C6438,""-\d+(.*)|--\d+(.*)"","""")"),"MEILLAC")</f>
        <v>MEILLAC</v>
      </c>
      <c r="E6438" s="38" t="s">
        <v>347</v>
      </c>
      <c r="F6438" s="38" t="s">
        <v>90</v>
      </c>
      <c r="G6438" s="49" t="str">
        <f t="shared" si="1"/>
        <v>35270</v>
      </c>
      <c r="H6438" s="49">
        <f t="shared" si="2"/>
        <v>35172</v>
      </c>
    </row>
    <row r="6439">
      <c r="A6439" s="48" t="s">
        <v>4340</v>
      </c>
      <c r="B6439" s="38">
        <v>33444.0</v>
      </c>
      <c r="C6439" s="38" t="s">
        <v>9784</v>
      </c>
      <c r="D6439" s="38" t="str">
        <f>IFERROR(__xludf.DUMMYFUNCTION("REGEXREPLACE(C6439,""-\d+(.*)|--\d+(.*)"","""")"),"SAINT-MARTIN-DE-SESCAS")</f>
        <v>SAINT-MARTIN-DE-SESCAS</v>
      </c>
      <c r="E6439" s="38" t="s">
        <v>462</v>
      </c>
      <c r="F6439" s="38" t="s">
        <v>252</v>
      </c>
      <c r="G6439" s="49" t="str">
        <f t="shared" si="1"/>
        <v>33490</v>
      </c>
      <c r="H6439" s="49">
        <f t="shared" si="2"/>
        <v>33444</v>
      </c>
    </row>
    <row r="6440">
      <c r="A6440" s="48" t="s">
        <v>1590</v>
      </c>
      <c r="B6440" s="38">
        <v>33135.0</v>
      </c>
      <c r="C6440" s="38" t="s">
        <v>9785</v>
      </c>
      <c r="D6440" s="38" t="str">
        <f>IFERROR(__xludf.DUMMYFUNCTION("REGEXREPLACE(C6440,""-\d+(.*)|--\d+(.*)"","""")"),"COURPIAC")</f>
        <v>COURPIAC</v>
      </c>
      <c r="E6440" s="38" t="s">
        <v>462</v>
      </c>
      <c r="F6440" s="38" t="s">
        <v>252</v>
      </c>
      <c r="G6440" s="49" t="str">
        <f t="shared" si="1"/>
        <v>33760</v>
      </c>
      <c r="H6440" s="49">
        <f t="shared" si="2"/>
        <v>33135</v>
      </c>
    </row>
    <row r="6441">
      <c r="A6441" s="48" t="s">
        <v>7184</v>
      </c>
      <c r="B6441" s="38">
        <v>59320.0</v>
      </c>
      <c r="C6441" s="38" t="s">
        <v>9786</v>
      </c>
      <c r="D6441" s="38" t="str">
        <f>IFERROR(__xludf.DUMMYFUNCTION("REGEXREPLACE(C6441,""-\d+(.*)|--\d+(.*)"","""")"),"ILLIES")</f>
        <v>ILLIES</v>
      </c>
      <c r="E6441" s="38" t="s">
        <v>85</v>
      </c>
      <c r="F6441" s="38" t="s">
        <v>86</v>
      </c>
      <c r="G6441" s="49" t="str">
        <f t="shared" si="1"/>
        <v>59480</v>
      </c>
      <c r="H6441" s="49">
        <f t="shared" si="2"/>
        <v>59320</v>
      </c>
    </row>
    <row r="6442">
      <c r="A6442" s="48" t="s">
        <v>8059</v>
      </c>
      <c r="B6442" s="38">
        <v>70416.0</v>
      </c>
      <c r="C6442" s="38" t="s">
        <v>9787</v>
      </c>
      <c r="D6442" s="38" t="str">
        <f>IFERROR(__xludf.DUMMYFUNCTION("REGEXREPLACE(C6442,""-\d+(.*)|--\d+(.*)"","""")"),"POMOY")</f>
        <v>POMOY</v>
      </c>
      <c r="E6442" s="38" t="s">
        <v>956</v>
      </c>
      <c r="F6442" s="38" t="s">
        <v>214</v>
      </c>
      <c r="G6442" s="49" t="str">
        <f t="shared" si="1"/>
        <v>70240</v>
      </c>
      <c r="H6442" s="49">
        <f t="shared" si="2"/>
        <v>70416</v>
      </c>
    </row>
    <row r="6443">
      <c r="A6443" s="48" t="s">
        <v>1102</v>
      </c>
      <c r="B6443" s="38">
        <v>35079.0</v>
      </c>
      <c r="C6443" s="38" t="s">
        <v>9788</v>
      </c>
      <c r="D6443" s="38" t="str">
        <f>IFERROR(__xludf.DUMMYFUNCTION("REGEXREPLACE(C6443,""-\d+(.*)|--\d+(.*)"","""")"),"CHEVAIGNE")</f>
        <v>CHEVAIGNE</v>
      </c>
      <c r="E6443" s="38" t="s">
        <v>347</v>
      </c>
      <c r="F6443" s="38" t="s">
        <v>90</v>
      </c>
      <c r="G6443" s="49" t="str">
        <f t="shared" si="1"/>
        <v>35250</v>
      </c>
      <c r="H6443" s="49">
        <f t="shared" si="2"/>
        <v>35079</v>
      </c>
    </row>
    <row r="6444">
      <c r="A6444" s="48" t="s">
        <v>3583</v>
      </c>
      <c r="B6444" s="38">
        <v>7064.0</v>
      </c>
      <c r="C6444" s="38" t="s">
        <v>9789</v>
      </c>
      <c r="D6444" s="38" t="str">
        <f>IFERROR(__xludf.DUMMYFUNCTION("REGEXREPLACE(C6444,""-\d+(.*)|--\d+(.*)"","""")"),"LE CHEYLARD")</f>
        <v>LE CHEYLARD</v>
      </c>
      <c r="E6444" s="38" t="s">
        <v>144</v>
      </c>
      <c r="F6444" s="38" t="s">
        <v>102</v>
      </c>
      <c r="G6444" s="49" t="str">
        <f t="shared" si="1"/>
        <v>07160</v>
      </c>
      <c r="H6444" s="49" t="str">
        <f t="shared" si="2"/>
        <v>07064</v>
      </c>
    </row>
    <row r="6445">
      <c r="A6445" s="48" t="s">
        <v>1218</v>
      </c>
      <c r="B6445" s="38">
        <v>9313.0</v>
      </c>
      <c r="C6445" s="38" t="s">
        <v>9790</v>
      </c>
      <c r="D6445" s="38" t="str">
        <f>IFERROR(__xludf.DUMMYFUNCTION("REGEXREPLACE(C6445,""-\d+(.*)|--\d+(.*)"","""")"),"TOURTOUSE")</f>
        <v>TOURTOUSE</v>
      </c>
      <c r="E6445" s="38" t="s">
        <v>238</v>
      </c>
      <c r="F6445" s="38" t="s">
        <v>94</v>
      </c>
      <c r="G6445" s="49" t="str">
        <f t="shared" si="1"/>
        <v>09230</v>
      </c>
      <c r="H6445" s="49" t="str">
        <f t="shared" si="2"/>
        <v>09313</v>
      </c>
    </row>
    <row r="6446">
      <c r="A6446" s="48" t="s">
        <v>9791</v>
      </c>
      <c r="B6446" s="38">
        <v>37273.0</v>
      </c>
      <c r="C6446" s="38" t="s">
        <v>9792</v>
      </c>
      <c r="D6446" s="38" t="str">
        <f>IFERROR(__xludf.DUMMYFUNCTION("REGEXREPLACE(C6446,""-\d+(.*)|--\d+(.*)"","""")"),"LA VILLE-AUX-DAMES")</f>
        <v>LA VILLE-AUX-DAMES</v>
      </c>
      <c r="E6446" s="38" t="s">
        <v>205</v>
      </c>
      <c r="F6446" s="38" t="s">
        <v>123</v>
      </c>
      <c r="G6446" s="49" t="str">
        <f t="shared" si="1"/>
        <v>37700</v>
      </c>
      <c r="H6446" s="49">
        <f t="shared" si="2"/>
        <v>37273</v>
      </c>
    </row>
    <row r="6447">
      <c r="A6447" s="48" t="s">
        <v>1321</v>
      </c>
      <c r="B6447" s="38">
        <v>67526.0</v>
      </c>
      <c r="C6447" s="38" t="s">
        <v>9793</v>
      </c>
      <c r="D6447" s="38" t="str">
        <f>IFERROR(__xludf.DUMMYFUNCTION("REGEXREPLACE(C6447,""-\d+(.*)|--\d+(.*)"","""")"),"WESTHOUSE")</f>
        <v>WESTHOUSE</v>
      </c>
      <c r="E6447" s="38" t="s">
        <v>210</v>
      </c>
      <c r="F6447" s="38" t="s">
        <v>151</v>
      </c>
      <c r="G6447" s="49" t="str">
        <f t="shared" si="1"/>
        <v>67230</v>
      </c>
      <c r="H6447" s="49">
        <f t="shared" si="2"/>
        <v>67526</v>
      </c>
    </row>
    <row r="6448">
      <c r="A6448" s="48" t="s">
        <v>458</v>
      </c>
      <c r="B6448" s="38">
        <v>34060.0</v>
      </c>
      <c r="C6448" s="38" t="s">
        <v>9794</v>
      </c>
      <c r="D6448" s="38" t="str">
        <f>IFERROR(__xludf.DUMMYFUNCTION("REGEXREPLACE(C6448,""-\d+(.*)|--\d+(.*)"","""")"),"CAUSSE-DE-LA-SELLE")</f>
        <v>CAUSSE-DE-LA-SELLE</v>
      </c>
      <c r="E6448" s="38" t="s">
        <v>118</v>
      </c>
      <c r="F6448" s="38" t="s">
        <v>119</v>
      </c>
      <c r="G6448" s="49" t="str">
        <f t="shared" si="1"/>
        <v>34380</v>
      </c>
      <c r="H6448" s="49">
        <f t="shared" si="2"/>
        <v>34060</v>
      </c>
    </row>
    <row r="6449">
      <c r="A6449" s="48" t="s">
        <v>9795</v>
      </c>
      <c r="B6449" s="38">
        <v>33360.0</v>
      </c>
      <c r="C6449" s="38" t="s">
        <v>9796</v>
      </c>
      <c r="D6449" s="38" t="str">
        <f>IFERROR(__xludf.DUMMYFUNCTION("REGEXREPLACE(C6449,""-\d+(.*)|--\d+(.*)"","""")"),"LA ROQUILLE")</f>
        <v>LA ROQUILLE</v>
      </c>
      <c r="E6449" s="38" t="s">
        <v>462</v>
      </c>
      <c r="F6449" s="38" t="s">
        <v>252</v>
      </c>
      <c r="G6449" s="49" t="str">
        <f t="shared" si="1"/>
        <v>33220</v>
      </c>
      <c r="H6449" s="49">
        <f t="shared" si="2"/>
        <v>33360</v>
      </c>
    </row>
    <row r="6450">
      <c r="A6450" s="48" t="s">
        <v>9797</v>
      </c>
      <c r="B6450" s="38">
        <v>29272.0</v>
      </c>
      <c r="C6450" s="38" t="s">
        <v>9798</v>
      </c>
      <c r="D6450" s="38" t="str">
        <f>IFERROR(__xludf.DUMMYFUNCTION("REGEXREPLACE(C6450,""-\d+(.*)|--\d+(.*)"","""")"),"SAINT-YVI")</f>
        <v>SAINT-YVI</v>
      </c>
      <c r="E6450" s="38" t="s">
        <v>176</v>
      </c>
      <c r="F6450" s="38" t="s">
        <v>90</v>
      </c>
      <c r="G6450" s="49" t="str">
        <f t="shared" si="1"/>
        <v>29140</v>
      </c>
      <c r="H6450" s="49">
        <f t="shared" si="2"/>
        <v>29272</v>
      </c>
    </row>
    <row r="6451">
      <c r="A6451" s="48" t="s">
        <v>891</v>
      </c>
      <c r="B6451" s="38">
        <v>66222.0</v>
      </c>
      <c r="C6451" s="38" t="s">
        <v>9799</v>
      </c>
      <c r="D6451" s="38" t="str">
        <f>IFERROR(__xludf.DUMMYFUNCTION("REGEXREPLACE(C6451,""-\d+(.*)|--\d+(.*)"","""")"),"VERNET-LES-BAINS")</f>
        <v>VERNET-LES-BAINS</v>
      </c>
      <c r="E6451" s="38" t="s">
        <v>248</v>
      </c>
      <c r="F6451" s="38" t="s">
        <v>119</v>
      </c>
      <c r="G6451" s="49" t="str">
        <f t="shared" si="1"/>
        <v>66820</v>
      </c>
      <c r="H6451" s="49">
        <f t="shared" si="2"/>
        <v>66222</v>
      </c>
    </row>
    <row r="6452">
      <c r="A6452" s="48" t="s">
        <v>3080</v>
      </c>
      <c r="B6452" s="38">
        <v>71473.0</v>
      </c>
      <c r="C6452" s="38" t="s">
        <v>9800</v>
      </c>
      <c r="D6452" s="38" t="str">
        <f>IFERROR(__xludf.DUMMYFUNCTION("REGEXREPLACE(C6452,""-\d+(.*)|--\d+(.*)"","""")"),"SAINT-RACHO")</f>
        <v>SAINT-RACHO</v>
      </c>
      <c r="E6452" s="38" t="s">
        <v>344</v>
      </c>
      <c r="F6452" s="38" t="s">
        <v>106</v>
      </c>
      <c r="G6452" s="49" t="str">
        <f t="shared" si="1"/>
        <v>71800</v>
      </c>
      <c r="H6452" s="49">
        <f t="shared" si="2"/>
        <v>71473</v>
      </c>
    </row>
    <row r="6453">
      <c r="A6453" s="48" t="s">
        <v>9801</v>
      </c>
      <c r="B6453" s="38">
        <v>2466.0</v>
      </c>
      <c r="C6453" s="38" t="s">
        <v>9802</v>
      </c>
      <c r="D6453" s="38" t="str">
        <f>IFERROR(__xludf.DUMMYFUNCTION("REGEXREPLACE(C6453,""-\d+(.*)|--\d+(.*)"","""")"),"MARIZY-SAINTE-GENEVIEVE")</f>
        <v>MARIZY-SAINTE-GENEVIEVE</v>
      </c>
      <c r="E6453" s="38" t="s">
        <v>191</v>
      </c>
      <c r="F6453" s="38" t="s">
        <v>113</v>
      </c>
      <c r="G6453" s="49" t="str">
        <f t="shared" si="1"/>
        <v>02470</v>
      </c>
      <c r="H6453" s="49" t="str">
        <f t="shared" si="2"/>
        <v>02466</v>
      </c>
    </row>
    <row r="6454">
      <c r="A6454" s="48" t="s">
        <v>6261</v>
      </c>
      <c r="B6454" s="38">
        <v>76595.0</v>
      </c>
      <c r="C6454" s="38" t="s">
        <v>9803</v>
      </c>
      <c r="D6454" s="38" t="str">
        <f>IFERROR(__xludf.DUMMYFUNCTION("REGEXREPLACE(C6454,""-\d+(.*)|--\d+(.*)"","""")"),"SAINT-JOUIN-BRUNEVAL")</f>
        <v>SAINT-JOUIN-BRUNEVAL</v>
      </c>
      <c r="E6454" s="38" t="s">
        <v>133</v>
      </c>
      <c r="F6454" s="38" t="s">
        <v>134</v>
      </c>
      <c r="G6454" s="49" t="str">
        <f t="shared" si="1"/>
        <v>76280</v>
      </c>
      <c r="H6454" s="49">
        <f t="shared" si="2"/>
        <v>76595</v>
      </c>
    </row>
    <row r="6455">
      <c r="A6455" s="48" t="s">
        <v>9804</v>
      </c>
      <c r="B6455" s="38">
        <v>27676.0</v>
      </c>
      <c r="C6455" s="38" t="s">
        <v>9805</v>
      </c>
      <c r="D6455" s="38" t="str">
        <f>IFERROR(__xludf.DUMMYFUNCTION("REGEXREPLACE(C6455,""-\d+(.*)|--\d+(.*)"","""")"),"VENABLES")</f>
        <v>VENABLES</v>
      </c>
      <c r="E6455" s="38" t="s">
        <v>241</v>
      </c>
      <c r="F6455" s="38" t="s">
        <v>134</v>
      </c>
      <c r="G6455" s="49" t="str">
        <f t="shared" si="1"/>
        <v>27940</v>
      </c>
      <c r="H6455" s="49">
        <f t="shared" si="2"/>
        <v>27676</v>
      </c>
    </row>
    <row r="6456">
      <c r="A6456" s="48" t="s">
        <v>9806</v>
      </c>
      <c r="B6456" s="38">
        <v>94043.0</v>
      </c>
      <c r="C6456" s="38" t="s">
        <v>9807</v>
      </c>
      <c r="D6456" s="38" t="str">
        <f>IFERROR(__xludf.DUMMYFUNCTION("REGEXREPLACE(C6456,""-\d+(.*)|--\d+(.*)"","""")"),"LE KREMLIN-BICETRE")</f>
        <v>LE KREMLIN-BICETRE</v>
      </c>
      <c r="E6456" s="38" t="s">
        <v>561</v>
      </c>
      <c r="F6456" s="38" t="s">
        <v>245</v>
      </c>
      <c r="G6456" s="49" t="str">
        <f t="shared" si="1"/>
        <v>94270</v>
      </c>
      <c r="H6456" s="49">
        <f t="shared" si="2"/>
        <v>94043</v>
      </c>
    </row>
    <row r="6457">
      <c r="A6457" s="48" t="s">
        <v>7355</v>
      </c>
      <c r="B6457" s="38">
        <v>33017.0</v>
      </c>
      <c r="C6457" s="38" t="s">
        <v>9808</v>
      </c>
      <c r="D6457" s="38" t="str">
        <f>IFERROR(__xludf.DUMMYFUNCTION("REGEXREPLACE(C6457,""-\d+(.*)|--\d+(.*)"","""")"),"AUBIAC")</f>
        <v>AUBIAC</v>
      </c>
      <c r="E6457" s="38" t="s">
        <v>462</v>
      </c>
      <c r="F6457" s="38" t="s">
        <v>252</v>
      </c>
      <c r="G6457" s="49" t="str">
        <f t="shared" si="1"/>
        <v>33430</v>
      </c>
      <c r="H6457" s="49">
        <f t="shared" si="2"/>
        <v>33017</v>
      </c>
    </row>
    <row r="6458">
      <c r="A6458" s="48" t="s">
        <v>301</v>
      </c>
      <c r="B6458" s="38">
        <v>57423.0</v>
      </c>
      <c r="C6458" s="38" t="s">
        <v>9809</v>
      </c>
      <c r="D6458" s="38" t="str">
        <f>IFERROR(__xludf.DUMMYFUNCTION("REGEXREPLACE(C6458,""-\d+(.*)|--\d+(.*)"","""")"),"LUBECOURT")</f>
        <v>LUBECOURT</v>
      </c>
      <c r="E6458" s="38" t="s">
        <v>303</v>
      </c>
      <c r="F6458" s="38" t="s">
        <v>195</v>
      </c>
      <c r="G6458" s="49" t="str">
        <f t="shared" si="1"/>
        <v>57170</v>
      </c>
      <c r="H6458" s="49">
        <f t="shared" si="2"/>
        <v>57423</v>
      </c>
    </row>
    <row r="6459">
      <c r="A6459" s="48" t="s">
        <v>7777</v>
      </c>
      <c r="B6459" s="38">
        <v>54602.0</v>
      </c>
      <c r="C6459" s="38" t="s">
        <v>9810</v>
      </c>
      <c r="D6459" s="38" t="str">
        <f>IFERROR(__xludf.DUMMYFUNCTION("REGEXREPLACE(C6459,""-\d+(.*)|--\d+(.*)"","""")"),"HAN-DEVANT-PIERREPONT")</f>
        <v>HAN-DEVANT-PIERREPONT</v>
      </c>
      <c r="E6459" s="38" t="s">
        <v>548</v>
      </c>
      <c r="F6459" s="38" t="s">
        <v>195</v>
      </c>
      <c r="G6459" s="49" t="str">
        <f t="shared" si="1"/>
        <v>54620</v>
      </c>
      <c r="H6459" s="49">
        <f t="shared" si="2"/>
        <v>54602</v>
      </c>
    </row>
    <row r="6460">
      <c r="A6460" s="48" t="s">
        <v>3819</v>
      </c>
      <c r="B6460" s="38">
        <v>38145.0</v>
      </c>
      <c r="C6460" s="38" t="s">
        <v>9811</v>
      </c>
      <c r="D6460" s="38" t="str">
        <f>IFERROR(__xludf.DUMMYFUNCTION("REGEXREPLACE(C6460,""-\d+(.*)|--\d+(.*)"","""")"),"DIONAY")</f>
        <v>DIONAY</v>
      </c>
      <c r="E6460" s="38" t="s">
        <v>101</v>
      </c>
      <c r="F6460" s="38" t="s">
        <v>102</v>
      </c>
      <c r="G6460" s="49" t="str">
        <f t="shared" si="1"/>
        <v>38160</v>
      </c>
      <c r="H6460" s="49">
        <f t="shared" si="2"/>
        <v>38145</v>
      </c>
    </row>
    <row r="6461">
      <c r="A6461" s="48" t="s">
        <v>732</v>
      </c>
      <c r="B6461" s="38">
        <v>10167.0</v>
      </c>
      <c r="C6461" s="38" t="s">
        <v>9812</v>
      </c>
      <c r="D6461" s="38" t="str">
        <f>IFERROR(__xludf.DUMMYFUNCTION("REGEXREPLACE(C6461,""-\d+(.*)|--\d+(.*)"","""")"),"GRANDVILLE")</f>
        <v>GRANDVILLE</v>
      </c>
      <c r="E6461" s="38" t="s">
        <v>147</v>
      </c>
      <c r="F6461" s="38" t="s">
        <v>130</v>
      </c>
      <c r="G6461" s="49" t="str">
        <f t="shared" si="1"/>
        <v>10700</v>
      </c>
      <c r="H6461" s="49">
        <f t="shared" si="2"/>
        <v>10167</v>
      </c>
    </row>
    <row r="6462">
      <c r="A6462" s="48" t="s">
        <v>4447</v>
      </c>
      <c r="B6462" s="38">
        <v>39359.0</v>
      </c>
      <c r="C6462" s="38" t="s">
        <v>9813</v>
      </c>
      <c r="D6462" s="38" t="str">
        <f>IFERROR(__xludf.DUMMYFUNCTION("REGEXREPLACE(C6462,""-\d+(.*)|--\d+(.*)"","""")"),"MONTMARLON")</f>
        <v>MONTMARLON</v>
      </c>
      <c r="E6462" s="38" t="s">
        <v>400</v>
      </c>
      <c r="F6462" s="38" t="s">
        <v>214</v>
      </c>
      <c r="G6462" s="49" t="str">
        <f t="shared" si="1"/>
        <v>39110</v>
      </c>
      <c r="H6462" s="49">
        <f t="shared" si="2"/>
        <v>39359</v>
      </c>
    </row>
    <row r="6463">
      <c r="A6463" s="48" t="s">
        <v>8396</v>
      </c>
      <c r="B6463" s="38">
        <v>7238.0</v>
      </c>
      <c r="C6463" s="38" t="s">
        <v>9814</v>
      </c>
      <c r="D6463" s="38" t="str">
        <f>IFERROR(__xludf.DUMMYFUNCTION("REGEXREPLACE(C6463,""-\d+(.*)|--\d+(.*)"","""")"),"SAINT-GENEST-DE-BEAUZON")</f>
        <v>SAINT-GENEST-DE-BEAUZON</v>
      </c>
      <c r="E6463" s="38" t="s">
        <v>144</v>
      </c>
      <c r="F6463" s="38" t="s">
        <v>102</v>
      </c>
      <c r="G6463" s="49" t="str">
        <f t="shared" si="1"/>
        <v>07230</v>
      </c>
      <c r="H6463" s="49" t="str">
        <f t="shared" si="2"/>
        <v>07238</v>
      </c>
    </row>
    <row r="6464">
      <c r="A6464" s="48" t="s">
        <v>5091</v>
      </c>
      <c r="B6464" s="38">
        <v>41144.0</v>
      </c>
      <c r="C6464" s="38" t="s">
        <v>9815</v>
      </c>
      <c r="D6464" s="38" t="str">
        <f>IFERROR(__xludf.DUMMYFUNCTION("REGEXREPLACE(C6464,""-\d+(.*)|--\d+(.*)"","""")"),"MONTEAUX")</f>
        <v>MONTEAUX</v>
      </c>
      <c r="E6464" s="38" t="s">
        <v>188</v>
      </c>
      <c r="F6464" s="38" t="s">
        <v>123</v>
      </c>
      <c r="G6464" s="49" t="str">
        <f t="shared" si="1"/>
        <v>41150</v>
      </c>
      <c r="H6464" s="49">
        <f t="shared" si="2"/>
        <v>41144</v>
      </c>
    </row>
    <row r="6465">
      <c r="A6465" s="48" t="s">
        <v>2937</v>
      </c>
      <c r="B6465" s="38">
        <v>73302.0</v>
      </c>
      <c r="C6465" s="38" t="s">
        <v>7648</v>
      </c>
      <c r="D6465" s="38" t="str">
        <f>IFERROR(__xludf.DUMMYFUNCTION("REGEXREPLACE(C6465,""-\d+(.*)|--\d+(.*)"","""")"),"LA TRINITE")</f>
        <v>LA TRINITE</v>
      </c>
      <c r="E6465" s="38" t="s">
        <v>306</v>
      </c>
      <c r="F6465" s="38" t="s">
        <v>102</v>
      </c>
      <c r="G6465" s="49" t="str">
        <f t="shared" si="1"/>
        <v>73110</v>
      </c>
      <c r="H6465" s="49">
        <f t="shared" si="2"/>
        <v>73302</v>
      </c>
    </row>
    <row r="6466">
      <c r="A6466" s="48" t="s">
        <v>9365</v>
      </c>
      <c r="B6466" s="38">
        <v>90049.0</v>
      </c>
      <c r="C6466" s="38" t="s">
        <v>9816</v>
      </c>
      <c r="D6466" s="38" t="str">
        <f>IFERROR(__xludf.DUMMYFUNCTION("REGEXREPLACE(C6466,""-\d+(.*)|--\d+(.*)"","""")"),"FOUSSEMAGNE")</f>
        <v>FOUSSEMAGNE</v>
      </c>
      <c r="E6466" s="38" t="s">
        <v>1283</v>
      </c>
      <c r="F6466" s="38" t="s">
        <v>214</v>
      </c>
      <c r="G6466" s="49" t="str">
        <f t="shared" si="1"/>
        <v>90150</v>
      </c>
      <c r="H6466" s="49">
        <f t="shared" si="2"/>
        <v>90049</v>
      </c>
    </row>
    <row r="6467">
      <c r="A6467" s="48" t="s">
        <v>9817</v>
      </c>
      <c r="B6467" s="38">
        <v>85040.0</v>
      </c>
      <c r="C6467" s="38" t="s">
        <v>9818</v>
      </c>
      <c r="D6467" s="38" t="str">
        <f>IFERROR(__xludf.DUMMYFUNCTION("REGEXREPLACE(C6467,""-\d+(.*)|--\d+(.*)"","""")"),"LA CAILLERE-SAINT-HILAIRE")</f>
        <v>LA CAILLERE-SAINT-HILAIRE</v>
      </c>
      <c r="E6467" s="38" t="s">
        <v>179</v>
      </c>
      <c r="F6467" s="38" t="s">
        <v>180</v>
      </c>
      <c r="G6467" s="49" t="str">
        <f t="shared" si="1"/>
        <v>85410</v>
      </c>
      <c r="H6467" s="49">
        <f t="shared" si="2"/>
        <v>85040</v>
      </c>
    </row>
    <row r="6468">
      <c r="A6468" s="48" t="s">
        <v>669</v>
      </c>
      <c r="B6468" s="38">
        <v>12233.0</v>
      </c>
      <c r="C6468" s="38" t="s">
        <v>5439</v>
      </c>
      <c r="D6468" s="38" t="str">
        <f>IFERROR(__xludf.DUMMYFUNCTION("REGEXREPLACE(C6468,""-\d+(.*)|--\d+(.*)"","""")"),"SAINT-JUERY")</f>
        <v>SAINT-JUERY</v>
      </c>
      <c r="E6468" s="38" t="s">
        <v>465</v>
      </c>
      <c r="F6468" s="38" t="s">
        <v>94</v>
      </c>
      <c r="G6468" s="49" t="str">
        <f t="shared" si="1"/>
        <v>12550</v>
      </c>
      <c r="H6468" s="49">
        <f t="shared" si="2"/>
        <v>12233</v>
      </c>
    </row>
    <row r="6469">
      <c r="A6469" s="48" t="s">
        <v>2382</v>
      </c>
      <c r="B6469" s="38">
        <v>54158.0</v>
      </c>
      <c r="C6469" s="38" t="s">
        <v>9819</v>
      </c>
      <c r="D6469" s="38" t="str">
        <f>IFERROR(__xludf.DUMMYFUNCTION("REGEXREPLACE(C6469,""-\d+(.*)|--\d+(.*)"","""")"),"DOLCOURT")</f>
        <v>DOLCOURT</v>
      </c>
      <c r="E6469" s="38" t="s">
        <v>548</v>
      </c>
      <c r="F6469" s="38" t="s">
        <v>195</v>
      </c>
      <c r="G6469" s="49" t="str">
        <f t="shared" si="1"/>
        <v>54170</v>
      </c>
      <c r="H6469" s="49">
        <f t="shared" si="2"/>
        <v>54158</v>
      </c>
    </row>
    <row r="6470">
      <c r="A6470" s="48" t="s">
        <v>5313</v>
      </c>
      <c r="B6470" s="38">
        <v>60552.0</v>
      </c>
      <c r="C6470" s="38" t="s">
        <v>9820</v>
      </c>
      <c r="D6470" s="38" t="str">
        <f>IFERROR(__xludf.DUMMYFUNCTION("REGEXREPLACE(C6470,""-\d+(.*)|--\d+(.*)"","""")"),"ROUVILLE")</f>
        <v>ROUVILLE</v>
      </c>
      <c r="E6470" s="38" t="s">
        <v>112</v>
      </c>
      <c r="F6470" s="38" t="s">
        <v>113</v>
      </c>
      <c r="G6470" s="49" t="str">
        <f t="shared" si="1"/>
        <v>60800</v>
      </c>
      <c r="H6470" s="49">
        <f t="shared" si="2"/>
        <v>60552</v>
      </c>
    </row>
    <row r="6471">
      <c r="A6471" s="48" t="s">
        <v>9821</v>
      </c>
      <c r="B6471" s="38">
        <v>52200.0</v>
      </c>
      <c r="C6471" s="38" t="s">
        <v>9822</v>
      </c>
      <c r="D6471" s="38" t="str">
        <f>IFERROR(__xludf.DUMMYFUNCTION("REGEXREPLACE(C6471,""-\d+(.*)|--\d+(.*)"","""")"),"FLAGEY")</f>
        <v>FLAGEY</v>
      </c>
      <c r="E6471" s="38" t="s">
        <v>234</v>
      </c>
      <c r="F6471" s="38" t="s">
        <v>130</v>
      </c>
      <c r="G6471" s="49" t="str">
        <f t="shared" si="1"/>
        <v>52250</v>
      </c>
      <c r="H6471" s="49">
        <f t="shared" si="2"/>
        <v>52200</v>
      </c>
    </row>
    <row r="6472">
      <c r="A6472" s="48" t="s">
        <v>9683</v>
      </c>
      <c r="B6472" s="38">
        <v>46167.0</v>
      </c>
      <c r="C6472" s="38" t="s">
        <v>9823</v>
      </c>
      <c r="D6472" s="38" t="str">
        <f>IFERROR(__xludf.DUMMYFUNCTION("REGEXREPLACE(C6472,""-\d+(.*)|--\d+(.*)"","""")"),"LENTILLAC-DU-CAUSSE")</f>
        <v>LENTILLAC-DU-CAUSSE</v>
      </c>
      <c r="E6472" s="38" t="s">
        <v>185</v>
      </c>
      <c r="F6472" s="38" t="s">
        <v>94</v>
      </c>
      <c r="G6472" s="49" t="str">
        <f t="shared" si="1"/>
        <v>46330</v>
      </c>
      <c r="H6472" s="49">
        <f t="shared" si="2"/>
        <v>46167</v>
      </c>
    </row>
    <row r="6473">
      <c r="A6473" s="48" t="s">
        <v>9824</v>
      </c>
      <c r="B6473" s="38">
        <v>68204.0</v>
      </c>
      <c r="C6473" s="38" t="s">
        <v>9825</v>
      </c>
      <c r="D6473" s="38" t="str">
        <f>IFERROR(__xludf.DUMMYFUNCTION("REGEXREPLACE(C6473,""-\d+(.*)|--\d+(.*)"","""")"),"METZERAL")</f>
        <v>METZERAL</v>
      </c>
      <c r="E6473" s="38" t="s">
        <v>150</v>
      </c>
      <c r="F6473" s="38" t="s">
        <v>151</v>
      </c>
      <c r="G6473" s="49" t="str">
        <f t="shared" si="1"/>
        <v>68380</v>
      </c>
      <c r="H6473" s="49">
        <f t="shared" si="2"/>
        <v>68204</v>
      </c>
    </row>
    <row r="6474">
      <c r="A6474" s="48" t="s">
        <v>9021</v>
      </c>
      <c r="B6474" s="38">
        <v>88022.0</v>
      </c>
      <c r="C6474" s="38" t="s">
        <v>9826</v>
      </c>
      <c r="D6474" s="38" t="str">
        <f>IFERROR(__xludf.DUMMYFUNCTION("REGEXREPLACE(C6474,""-\d+(.*)|--\d+(.*)"","""")"),"AUZAINVILLIERS")</f>
        <v>AUZAINVILLIERS</v>
      </c>
      <c r="E6474" s="38" t="s">
        <v>194</v>
      </c>
      <c r="F6474" s="38" t="s">
        <v>195</v>
      </c>
      <c r="G6474" s="49" t="str">
        <f t="shared" si="1"/>
        <v>88140</v>
      </c>
      <c r="H6474" s="49">
        <f t="shared" si="2"/>
        <v>88022</v>
      </c>
    </row>
    <row r="6475">
      <c r="A6475" s="48" t="s">
        <v>330</v>
      </c>
      <c r="B6475" s="38">
        <v>43135.0</v>
      </c>
      <c r="C6475" s="38" t="s">
        <v>9827</v>
      </c>
      <c r="D6475" s="38" t="str">
        <f>IFERROR(__xludf.DUMMYFUNCTION("REGEXREPLACE(C6475,""-\d+(.*)|--\d+(.*)"","""")"),"LE MONASTIER-SUR-GAZEILLE")</f>
        <v>LE MONASTIER-SUR-GAZEILLE</v>
      </c>
      <c r="E6475" s="38" t="s">
        <v>332</v>
      </c>
      <c r="F6475" s="38" t="s">
        <v>161</v>
      </c>
      <c r="G6475" s="49" t="str">
        <f t="shared" si="1"/>
        <v>43150</v>
      </c>
      <c r="H6475" s="49">
        <f t="shared" si="2"/>
        <v>43135</v>
      </c>
    </row>
    <row r="6476">
      <c r="A6476" s="48" t="s">
        <v>9828</v>
      </c>
      <c r="B6476" s="38">
        <v>89295.0</v>
      </c>
      <c r="C6476" s="38" t="s">
        <v>9829</v>
      </c>
      <c r="D6476" s="38" t="str">
        <f>IFERROR(__xludf.DUMMYFUNCTION("REGEXREPLACE(C6476,""-\d+(.*)|--\d+(.*)"","""")"),"PERRIGNY")</f>
        <v>PERRIGNY</v>
      </c>
      <c r="E6476" s="38" t="s">
        <v>275</v>
      </c>
      <c r="F6476" s="38" t="s">
        <v>106</v>
      </c>
      <c r="G6476" s="49" t="str">
        <f t="shared" si="1"/>
        <v>89000</v>
      </c>
      <c r="H6476" s="49">
        <f t="shared" si="2"/>
        <v>89295</v>
      </c>
    </row>
    <row r="6477">
      <c r="A6477" s="48" t="s">
        <v>9830</v>
      </c>
      <c r="B6477" s="38">
        <v>29113.0</v>
      </c>
      <c r="C6477" s="38" t="s">
        <v>9831</v>
      </c>
      <c r="D6477" s="38" t="str">
        <f>IFERROR(__xludf.DUMMYFUNCTION("REGEXREPLACE(C6477,""-\d+(.*)|--\d+(.*)"","""")"),"LANMEUR")</f>
        <v>LANMEUR</v>
      </c>
      <c r="E6477" s="38" t="s">
        <v>176</v>
      </c>
      <c r="F6477" s="38" t="s">
        <v>90</v>
      </c>
      <c r="G6477" s="49" t="str">
        <f t="shared" si="1"/>
        <v>29620</v>
      </c>
      <c r="H6477" s="49">
        <f t="shared" si="2"/>
        <v>29113</v>
      </c>
    </row>
    <row r="6478">
      <c r="A6478" s="48" t="s">
        <v>5933</v>
      </c>
      <c r="B6478" s="38">
        <v>64136.0</v>
      </c>
      <c r="C6478" s="38" t="s">
        <v>9832</v>
      </c>
      <c r="D6478" s="38" t="str">
        <f>IFERROR(__xludf.DUMMYFUNCTION("REGEXREPLACE(C6478,""-\d+(.*)|--\d+(.*)"","""")"),"BORCE")</f>
        <v>BORCE</v>
      </c>
      <c r="E6478" s="38" t="s">
        <v>268</v>
      </c>
      <c r="F6478" s="38" t="s">
        <v>252</v>
      </c>
      <c r="G6478" s="49" t="str">
        <f t="shared" si="1"/>
        <v>64490</v>
      </c>
      <c r="H6478" s="49">
        <f t="shared" si="2"/>
        <v>64136</v>
      </c>
    </row>
    <row r="6479">
      <c r="A6479" s="48" t="s">
        <v>2766</v>
      </c>
      <c r="B6479" s="38">
        <v>2697.0</v>
      </c>
      <c r="C6479" s="38" t="s">
        <v>9833</v>
      </c>
      <c r="D6479" s="38" t="str">
        <f>IFERROR(__xludf.DUMMYFUNCTION("REGEXREPLACE(C6479,""-\d+(.*)|--\d+(.*)"","""")"),"SAMOUSSY")</f>
        <v>SAMOUSSY</v>
      </c>
      <c r="E6479" s="38" t="s">
        <v>191</v>
      </c>
      <c r="F6479" s="38" t="s">
        <v>113</v>
      </c>
      <c r="G6479" s="49" t="str">
        <f t="shared" si="1"/>
        <v>02840</v>
      </c>
      <c r="H6479" s="49" t="str">
        <f t="shared" si="2"/>
        <v>02697</v>
      </c>
    </row>
    <row r="6480">
      <c r="A6480" s="48" t="s">
        <v>522</v>
      </c>
      <c r="B6480" s="38">
        <v>39522.0</v>
      </c>
      <c r="C6480" s="38" t="s">
        <v>9834</v>
      </c>
      <c r="D6480" s="38" t="str">
        <f>IFERROR(__xludf.DUMMYFUNCTION("REGEXREPLACE(C6480,""-\d+(.*)|--\d+(.*)"","""")"),"SUPT")</f>
        <v>SUPT</v>
      </c>
      <c r="E6480" s="38" t="s">
        <v>400</v>
      </c>
      <c r="F6480" s="38" t="s">
        <v>214</v>
      </c>
      <c r="G6480" s="49" t="str">
        <f t="shared" si="1"/>
        <v>39300</v>
      </c>
      <c r="H6480" s="49">
        <f t="shared" si="2"/>
        <v>39522</v>
      </c>
    </row>
    <row r="6481">
      <c r="A6481" s="48" t="s">
        <v>7458</v>
      </c>
      <c r="B6481" s="38">
        <v>54537.0</v>
      </c>
      <c r="C6481" s="38" t="s">
        <v>9835</v>
      </c>
      <c r="D6481" s="38" t="str">
        <f>IFERROR(__xludf.DUMMYFUNCTION("REGEXREPLACE(C6481,""-\d+(.*)|--\d+(.*)"","""")"),"UGNY")</f>
        <v>UGNY</v>
      </c>
      <c r="E6481" s="38" t="s">
        <v>548</v>
      </c>
      <c r="F6481" s="38" t="s">
        <v>195</v>
      </c>
      <c r="G6481" s="49" t="str">
        <f t="shared" si="1"/>
        <v>54870</v>
      </c>
      <c r="H6481" s="49">
        <f t="shared" si="2"/>
        <v>54537</v>
      </c>
    </row>
    <row r="6482">
      <c r="A6482" s="48" t="s">
        <v>5358</v>
      </c>
      <c r="B6482" s="38">
        <v>23180.0</v>
      </c>
      <c r="C6482" s="38" t="s">
        <v>9836</v>
      </c>
      <c r="D6482" s="38" t="str">
        <f>IFERROR(__xludf.DUMMYFUNCTION("REGEXREPLACE(C6482,""-\d+(.*)|--\d+(.*)"","""")"),"SAINT-AMAND")</f>
        <v>SAINT-AMAND</v>
      </c>
      <c r="E6482" s="38" t="s">
        <v>97</v>
      </c>
      <c r="F6482" s="38" t="s">
        <v>98</v>
      </c>
      <c r="G6482" s="49" t="str">
        <f t="shared" si="1"/>
        <v>23200</v>
      </c>
      <c r="H6482" s="49">
        <f t="shared" si="2"/>
        <v>23180</v>
      </c>
    </row>
    <row r="6483">
      <c r="A6483" s="48" t="s">
        <v>8587</v>
      </c>
      <c r="B6483" s="38">
        <v>66090.0</v>
      </c>
      <c r="C6483" s="38" t="s">
        <v>9837</v>
      </c>
      <c r="D6483" s="38" t="str">
        <f>IFERROR(__xludf.DUMMYFUNCTION("REGEXREPLACE(C6483,""-\d+(.*)|--\d+(.*)"","""")"),"JUJOLS")</f>
        <v>JUJOLS</v>
      </c>
      <c r="E6483" s="38" t="s">
        <v>248</v>
      </c>
      <c r="F6483" s="38" t="s">
        <v>119</v>
      </c>
      <c r="G6483" s="49" t="str">
        <f t="shared" si="1"/>
        <v>66360</v>
      </c>
      <c r="H6483" s="49">
        <f t="shared" si="2"/>
        <v>66090</v>
      </c>
    </row>
    <row r="6484">
      <c r="A6484" s="48" t="s">
        <v>4416</v>
      </c>
      <c r="B6484" s="38">
        <v>56196.0</v>
      </c>
      <c r="C6484" s="38" t="s">
        <v>9838</v>
      </c>
      <c r="D6484" s="38" t="str">
        <f>IFERROR(__xludf.DUMMYFUNCTION("REGEXREPLACE(C6484,""-\d+(.*)|--\d+(.*)"","""")"),"ROCHEFORT-EN-TERRE")</f>
        <v>ROCHEFORT-EN-TERRE</v>
      </c>
      <c r="E6484" s="38" t="s">
        <v>173</v>
      </c>
      <c r="F6484" s="38" t="s">
        <v>90</v>
      </c>
      <c r="G6484" s="49" t="str">
        <f t="shared" si="1"/>
        <v>56220</v>
      </c>
      <c r="H6484" s="49">
        <f t="shared" si="2"/>
        <v>56196</v>
      </c>
    </row>
    <row r="6485">
      <c r="A6485" s="48" t="s">
        <v>2473</v>
      </c>
      <c r="B6485" s="38">
        <v>69136.0</v>
      </c>
      <c r="C6485" s="38" t="s">
        <v>9839</v>
      </c>
      <c r="D6485" s="38" t="str">
        <f>IFERROR(__xludf.DUMMYFUNCTION("REGEXREPLACE(C6485,""-\d+(.*)|--\d+(.*)"","""")"),"MONTAGNY")</f>
        <v>MONTAGNY</v>
      </c>
      <c r="E6485" s="38" t="s">
        <v>350</v>
      </c>
      <c r="F6485" s="38" t="s">
        <v>102</v>
      </c>
      <c r="G6485" s="49" t="str">
        <f t="shared" si="1"/>
        <v>69700</v>
      </c>
      <c r="H6485" s="49">
        <f t="shared" si="2"/>
        <v>69136</v>
      </c>
    </row>
    <row r="6486">
      <c r="A6486" s="48" t="s">
        <v>995</v>
      </c>
      <c r="B6486" s="38">
        <v>31438.0</v>
      </c>
      <c r="C6486" s="38" t="s">
        <v>9840</v>
      </c>
      <c r="D6486" s="38" t="str">
        <f>IFERROR(__xludf.DUMMYFUNCTION("REGEXREPLACE(C6486,""-\d+(.*)|--\d+(.*)"","""")"),"PRADERE-LES-BOURGUETS")</f>
        <v>PRADERE-LES-BOURGUETS</v>
      </c>
      <c r="E6486" s="38" t="s">
        <v>93</v>
      </c>
      <c r="F6486" s="38" t="s">
        <v>94</v>
      </c>
      <c r="G6486" s="49" t="str">
        <f t="shared" si="1"/>
        <v>31530</v>
      </c>
      <c r="H6486" s="49">
        <f t="shared" si="2"/>
        <v>31438</v>
      </c>
    </row>
    <row r="6487">
      <c r="A6487" s="48" t="s">
        <v>1252</v>
      </c>
      <c r="B6487" s="38">
        <v>72087.0</v>
      </c>
      <c r="C6487" s="38" t="s">
        <v>9841</v>
      </c>
      <c r="D6487" s="38" t="str">
        <f>IFERROR(__xludf.DUMMYFUNCTION("REGEXREPLACE(C6487,""-\d+(.*)|--\d+(.*)"","""")"),"CONFLANS-SUR-ANILLE")</f>
        <v>CONFLANS-SUR-ANILLE</v>
      </c>
      <c r="E6487" s="38" t="s">
        <v>521</v>
      </c>
      <c r="F6487" s="38" t="s">
        <v>180</v>
      </c>
      <c r="G6487" s="49" t="str">
        <f t="shared" si="1"/>
        <v>72120</v>
      </c>
      <c r="H6487" s="49">
        <f t="shared" si="2"/>
        <v>72087</v>
      </c>
    </row>
    <row r="6488">
      <c r="A6488" s="48" t="s">
        <v>5483</v>
      </c>
      <c r="B6488" s="38">
        <v>58108.0</v>
      </c>
      <c r="C6488" s="38" t="s">
        <v>9842</v>
      </c>
      <c r="D6488" s="38" t="str">
        <f>IFERROR(__xludf.DUMMYFUNCTION("REGEXREPLACE(C6488,""-\d+(.*)|--\d+(.*)"","""")"),"EMPURY")</f>
        <v>EMPURY</v>
      </c>
      <c r="E6488" s="38" t="s">
        <v>219</v>
      </c>
      <c r="F6488" s="38" t="s">
        <v>106</v>
      </c>
      <c r="G6488" s="49" t="str">
        <f t="shared" si="1"/>
        <v>58140</v>
      </c>
      <c r="H6488" s="49">
        <f t="shared" si="2"/>
        <v>58108</v>
      </c>
    </row>
    <row r="6489">
      <c r="A6489" s="48" t="s">
        <v>546</v>
      </c>
      <c r="B6489" s="38">
        <v>54387.0</v>
      </c>
      <c r="C6489" s="38" t="s">
        <v>9843</v>
      </c>
      <c r="D6489" s="38" t="str">
        <f>IFERROR(__xludf.DUMMYFUNCTION("REGEXREPLACE(C6489,""-\d+(.*)|--\d+(.*)"","""")"),"MORVILLE-SUR-SEILLE")</f>
        <v>MORVILLE-SUR-SEILLE</v>
      </c>
      <c r="E6489" s="38" t="s">
        <v>548</v>
      </c>
      <c r="F6489" s="38" t="s">
        <v>195</v>
      </c>
      <c r="G6489" s="49" t="str">
        <f t="shared" si="1"/>
        <v>54700</v>
      </c>
      <c r="H6489" s="49">
        <f t="shared" si="2"/>
        <v>54387</v>
      </c>
    </row>
    <row r="6490">
      <c r="A6490" s="48" t="s">
        <v>9844</v>
      </c>
      <c r="B6490" s="38">
        <v>17005.0</v>
      </c>
      <c r="C6490" s="38" t="s">
        <v>9845</v>
      </c>
      <c r="D6490" s="38" t="str">
        <f>IFERROR(__xludf.DUMMYFUNCTION("REGEXREPLACE(C6490,""-\d+(.*)|--\d+(.*)"","""")"),"ALLAS-BOCAGE")</f>
        <v>ALLAS-BOCAGE</v>
      </c>
      <c r="E6490" s="38" t="s">
        <v>488</v>
      </c>
      <c r="F6490" s="38" t="s">
        <v>338</v>
      </c>
      <c r="G6490" s="49" t="str">
        <f t="shared" si="1"/>
        <v>17150</v>
      </c>
      <c r="H6490" s="49">
        <f t="shared" si="2"/>
        <v>17005</v>
      </c>
    </row>
    <row r="6491">
      <c r="A6491" s="48" t="s">
        <v>9846</v>
      </c>
      <c r="B6491" s="38">
        <v>91099.0</v>
      </c>
      <c r="C6491" s="38" t="s">
        <v>9847</v>
      </c>
      <c r="D6491" s="38" t="str">
        <f>IFERROR(__xludf.DUMMYFUNCTION("REGEXREPLACE(C6491,""-\d+(.*)|--\d+(.*)"","""")"),"BOUTIGNY-SUR-ESSONNE")</f>
        <v>BOUTIGNY-SUR-ESSONNE</v>
      </c>
      <c r="E6491" s="38" t="s">
        <v>756</v>
      </c>
      <c r="F6491" s="38" t="s">
        <v>245</v>
      </c>
      <c r="G6491" s="49" t="str">
        <f t="shared" si="1"/>
        <v>91820</v>
      </c>
      <c r="H6491" s="49">
        <f t="shared" si="2"/>
        <v>91099</v>
      </c>
    </row>
    <row r="6492">
      <c r="A6492" s="48" t="s">
        <v>9848</v>
      </c>
      <c r="B6492" s="38">
        <v>10387.0</v>
      </c>
      <c r="C6492" s="38" t="s">
        <v>9849</v>
      </c>
      <c r="D6492" s="38" t="str">
        <f>IFERROR(__xludf.DUMMYFUNCTION("REGEXREPLACE(C6492,""-\d+(.*)|--\d+(.*)"","""")"),"TROYES")</f>
        <v>TROYES</v>
      </c>
      <c r="E6492" s="38" t="s">
        <v>147</v>
      </c>
      <c r="F6492" s="38" t="s">
        <v>130</v>
      </c>
      <c r="G6492" s="49" t="str">
        <f t="shared" si="1"/>
        <v>10000</v>
      </c>
      <c r="H6492" s="49">
        <f t="shared" si="2"/>
        <v>10387</v>
      </c>
    </row>
    <row r="6493">
      <c r="A6493" s="48" t="s">
        <v>9850</v>
      </c>
      <c r="B6493" s="38">
        <v>67459.0</v>
      </c>
      <c r="C6493" s="38" t="s">
        <v>9851</v>
      </c>
      <c r="D6493" s="38" t="str">
        <f>IFERROR(__xludf.DUMMYFUNCTION("REGEXREPLACE(C6493,""-\d+(.*)|--\d+(.*)"","""")"),"SCHWENHEIM")</f>
        <v>SCHWENHEIM</v>
      </c>
      <c r="E6493" s="38" t="s">
        <v>210</v>
      </c>
      <c r="F6493" s="38" t="s">
        <v>151</v>
      </c>
      <c r="G6493" s="49" t="str">
        <f t="shared" si="1"/>
        <v>67440</v>
      </c>
      <c r="H6493" s="49">
        <f t="shared" si="2"/>
        <v>67459</v>
      </c>
    </row>
    <row r="6494">
      <c r="A6494" s="48" t="s">
        <v>3219</v>
      </c>
      <c r="B6494" s="38">
        <v>22114.0</v>
      </c>
      <c r="C6494" s="38" t="s">
        <v>9852</v>
      </c>
      <c r="D6494" s="38" t="str">
        <f>IFERROR(__xludf.DUMMYFUNCTION("REGEXREPLACE(C6494,""-\d+(.*)|--\d+(.*)"","""")"),"LANRELAS")</f>
        <v>LANRELAS</v>
      </c>
      <c r="E6494" s="38" t="s">
        <v>89</v>
      </c>
      <c r="F6494" s="38" t="s">
        <v>90</v>
      </c>
      <c r="G6494" s="49" t="str">
        <f t="shared" si="1"/>
        <v>22250</v>
      </c>
      <c r="H6494" s="49">
        <f t="shared" si="2"/>
        <v>22114</v>
      </c>
    </row>
    <row r="6495">
      <c r="A6495" s="48" t="s">
        <v>1031</v>
      </c>
      <c r="B6495" s="38">
        <v>2478.0</v>
      </c>
      <c r="C6495" s="38" t="s">
        <v>9853</v>
      </c>
      <c r="D6495" s="38" t="str">
        <f>IFERROR(__xludf.DUMMYFUNCTION("REGEXREPLACE(C6495,""-\d+(.*)|--\d+(.*)"","""")"),"MERLIEUX-ET-FOUQUEROLLES")</f>
        <v>MERLIEUX-ET-FOUQUEROLLES</v>
      </c>
      <c r="E6495" s="38" t="s">
        <v>191</v>
      </c>
      <c r="F6495" s="38" t="s">
        <v>113</v>
      </c>
      <c r="G6495" s="49" t="str">
        <f t="shared" si="1"/>
        <v>02000</v>
      </c>
      <c r="H6495" s="49" t="str">
        <f t="shared" si="2"/>
        <v>02478</v>
      </c>
    </row>
    <row r="6496">
      <c r="A6496" s="48" t="s">
        <v>4283</v>
      </c>
      <c r="B6496" s="38">
        <v>7228.0</v>
      </c>
      <c r="C6496" s="38" t="s">
        <v>9854</v>
      </c>
      <c r="D6496" s="38" t="str">
        <f>IFERROR(__xludf.DUMMYFUNCTION("REGEXREPLACE(C6496,""-\d+(.*)|--\d+(.*)"","""")"),"SAINT-DESIRAT")</f>
        <v>SAINT-DESIRAT</v>
      </c>
      <c r="E6496" s="38" t="s">
        <v>144</v>
      </c>
      <c r="F6496" s="38" t="s">
        <v>102</v>
      </c>
      <c r="G6496" s="49" t="str">
        <f t="shared" si="1"/>
        <v>07340</v>
      </c>
      <c r="H6496" s="49" t="str">
        <f t="shared" si="2"/>
        <v>07228</v>
      </c>
    </row>
    <row r="6497">
      <c r="A6497" s="48" t="s">
        <v>2429</v>
      </c>
      <c r="B6497" s="38">
        <v>63398.0</v>
      </c>
      <c r="C6497" s="38" t="s">
        <v>9855</v>
      </c>
      <c r="D6497" s="38" t="str">
        <f>IFERROR(__xludf.DUMMYFUNCTION("REGEXREPLACE(C6497,""-\d+(.*)|--\d+(.*)"","""")"),"SAINT-SAUVEUR-LA-SAGNE")</f>
        <v>SAINT-SAUVEUR-LA-SAGNE</v>
      </c>
      <c r="E6497" s="38" t="s">
        <v>353</v>
      </c>
      <c r="F6497" s="38" t="s">
        <v>161</v>
      </c>
      <c r="G6497" s="49" t="str">
        <f t="shared" si="1"/>
        <v>63220</v>
      </c>
      <c r="H6497" s="49">
        <f t="shared" si="2"/>
        <v>63398</v>
      </c>
    </row>
    <row r="6498">
      <c r="A6498" s="48" t="s">
        <v>2447</v>
      </c>
      <c r="B6498" s="38">
        <v>42082.0</v>
      </c>
      <c r="C6498" s="38" t="s">
        <v>9856</v>
      </c>
      <c r="D6498" s="38" t="str">
        <f>IFERROR(__xludf.DUMMYFUNCTION("REGEXREPLACE(C6498,""-\d+(.*)|--\d+(.*)"","""")"),"DANCE")</f>
        <v>DANCE</v>
      </c>
      <c r="E6498" s="38" t="s">
        <v>166</v>
      </c>
      <c r="F6498" s="38" t="s">
        <v>102</v>
      </c>
      <c r="G6498" s="49" t="str">
        <f t="shared" si="1"/>
        <v>42260</v>
      </c>
      <c r="H6498" s="49">
        <f t="shared" si="2"/>
        <v>42082</v>
      </c>
    </row>
    <row r="6499">
      <c r="A6499" s="48" t="s">
        <v>9857</v>
      </c>
      <c r="B6499" s="38">
        <v>26085.0</v>
      </c>
      <c r="C6499" s="38" t="s">
        <v>9858</v>
      </c>
      <c r="D6499" s="38" t="str">
        <f>IFERROR(__xludf.DUMMYFUNCTION("REGEXREPLACE(C6499,""-\d+(.*)|--\d+(.*)"","""")"),"CHATEAUNEUF-DU-RHONE")</f>
        <v>CHATEAUNEUF-DU-RHONE</v>
      </c>
      <c r="E6499" s="38" t="s">
        <v>126</v>
      </c>
      <c r="F6499" s="38" t="s">
        <v>102</v>
      </c>
      <c r="G6499" s="49" t="str">
        <f t="shared" si="1"/>
        <v>26780</v>
      </c>
      <c r="H6499" s="49">
        <f t="shared" si="2"/>
        <v>26085</v>
      </c>
    </row>
    <row r="6500">
      <c r="A6500" s="48" t="s">
        <v>6038</v>
      </c>
      <c r="B6500" s="38">
        <v>88267.0</v>
      </c>
      <c r="C6500" s="38" t="s">
        <v>9859</v>
      </c>
      <c r="D6500" s="38" t="str">
        <f>IFERROR(__xludf.DUMMYFUNCTION("REGEXREPLACE(C6500,""-\d+(.*)|--\d+(.*)"","""")"),"LERRAIN")</f>
        <v>LERRAIN</v>
      </c>
      <c r="E6500" s="38" t="s">
        <v>194</v>
      </c>
      <c r="F6500" s="38" t="s">
        <v>195</v>
      </c>
      <c r="G6500" s="49" t="str">
        <f t="shared" si="1"/>
        <v>88260</v>
      </c>
      <c r="H6500" s="49">
        <f t="shared" si="2"/>
        <v>88267</v>
      </c>
    </row>
    <row r="6501">
      <c r="A6501" s="48" t="s">
        <v>7065</v>
      </c>
      <c r="B6501" s="38">
        <v>3003.0</v>
      </c>
      <c r="C6501" s="38" t="s">
        <v>9860</v>
      </c>
      <c r="D6501" s="38" t="str">
        <f>IFERROR(__xludf.DUMMYFUNCTION("REGEXREPLACE(C6501,""-\d+(.*)|--\d+(.*)"","""")"),"AINAY-LE-CHATEAU")</f>
        <v>AINAY-LE-CHATEAU</v>
      </c>
      <c r="E6501" s="38" t="s">
        <v>160</v>
      </c>
      <c r="F6501" s="38" t="s">
        <v>161</v>
      </c>
      <c r="G6501" s="49" t="str">
        <f t="shared" si="1"/>
        <v>03360</v>
      </c>
      <c r="H6501" s="49" t="str">
        <f t="shared" si="2"/>
        <v>03003</v>
      </c>
    </row>
    <row r="6502">
      <c r="A6502" s="48" t="s">
        <v>9861</v>
      </c>
      <c r="B6502" s="38">
        <v>59287.0</v>
      </c>
      <c r="C6502" s="38" t="s">
        <v>9862</v>
      </c>
      <c r="D6502" s="38" t="str">
        <f>IFERROR(__xludf.DUMMYFUNCTION("REGEXREPLACE(C6502,""-\d+(.*)|--\d+(.*)"","""")"),"HAUCOURT-EN-CAMBRESIS")</f>
        <v>HAUCOURT-EN-CAMBRESIS</v>
      </c>
      <c r="E6502" s="38" t="s">
        <v>85</v>
      </c>
      <c r="F6502" s="38" t="s">
        <v>86</v>
      </c>
      <c r="G6502" s="49" t="str">
        <f t="shared" si="1"/>
        <v>59191</v>
      </c>
      <c r="H6502" s="49">
        <f t="shared" si="2"/>
        <v>59287</v>
      </c>
    </row>
    <row r="6503">
      <c r="A6503" s="48" t="s">
        <v>9769</v>
      </c>
      <c r="B6503" s="38">
        <v>46039.0</v>
      </c>
      <c r="C6503" s="38" t="s">
        <v>9863</v>
      </c>
      <c r="D6503" s="38" t="str">
        <f>IFERROR(__xludf.DUMMYFUNCTION("REGEXREPLACE(C6503,""-\d+(.*)|--\d+(.*)"","""")"),"BRENGUES")</f>
        <v>BRENGUES</v>
      </c>
      <c r="E6503" s="38" t="s">
        <v>185</v>
      </c>
      <c r="F6503" s="38" t="s">
        <v>94</v>
      </c>
      <c r="G6503" s="49" t="str">
        <f t="shared" si="1"/>
        <v>46320</v>
      </c>
      <c r="H6503" s="49">
        <f t="shared" si="2"/>
        <v>46039</v>
      </c>
    </row>
    <row r="6504">
      <c r="A6504" s="48" t="s">
        <v>3364</v>
      </c>
      <c r="B6504" s="38">
        <v>62675.0</v>
      </c>
      <c r="C6504" s="38" t="s">
        <v>9864</v>
      </c>
      <c r="D6504" s="38" t="str">
        <f>IFERROR(__xludf.DUMMYFUNCTION("REGEXREPLACE(C6504,""-\d+(.*)|--\d+(.*)"","""")"),"QUERCAMPS")</f>
        <v>QUERCAMPS</v>
      </c>
      <c r="E6504" s="38" t="s">
        <v>109</v>
      </c>
      <c r="F6504" s="38" t="s">
        <v>86</v>
      </c>
      <c r="G6504" s="49" t="str">
        <f t="shared" si="1"/>
        <v>62380</v>
      </c>
      <c r="H6504" s="49">
        <f t="shared" si="2"/>
        <v>62675</v>
      </c>
    </row>
    <row r="6505">
      <c r="A6505" s="48" t="s">
        <v>3508</v>
      </c>
      <c r="B6505" s="38">
        <v>51110.0</v>
      </c>
      <c r="C6505" s="38" t="s">
        <v>9865</v>
      </c>
      <c r="D6505" s="38" t="str">
        <f>IFERROR(__xludf.DUMMYFUNCTION("REGEXREPLACE(C6505,""-\d+(.*)|--\d+(.*)"","""")"),"CHALTRAIT")</f>
        <v>CHALTRAIT</v>
      </c>
      <c r="E6505" s="38" t="s">
        <v>129</v>
      </c>
      <c r="F6505" s="38" t="s">
        <v>130</v>
      </c>
      <c r="G6505" s="49" t="str">
        <f t="shared" si="1"/>
        <v>51130</v>
      </c>
      <c r="H6505" s="49">
        <f t="shared" si="2"/>
        <v>51110</v>
      </c>
    </row>
    <row r="6506">
      <c r="A6506" s="48" t="s">
        <v>3116</v>
      </c>
      <c r="B6506" s="38">
        <v>91022.0</v>
      </c>
      <c r="C6506" s="38" t="s">
        <v>9866</v>
      </c>
      <c r="D6506" s="38" t="str">
        <f>IFERROR(__xludf.DUMMYFUNCTION("REGEXREPLACE(C6506,""-\d+(.*)|--\d+(.*)"","""")"),"ARRANCOURT")</f>
        <v>ARRANCOURT</v>
      </c>
      <c r="E6506" s="38" t="s">
        <v>756</v>
      </c>
      <c r="F6506" s="38" t="s">
        <v>245</v>
      </c>
      <c r="G6506" s="49" t="str">
        <f t="shared" si="1"/>
        <v>91690</v>
      </c>
      <c r="H6506" s="49">
        <f t="shared" si="2"/>
        <v>91022</v>
      </c>
    </row>
    <row r="6507">
      <c r="A6507" s="48" t="s">
        <v>1031</v>
      </c>
      <c r="B6507" s="38">
        <v>2294.0</v>
      </c>
      <c r="C6507" s="38" t="s">
        <v>9867</v>
      </c>
      <c r="D6507" s="38" t="str">
        <f>IFERROR(__xludf.DUMMYFUNCTION("REGEXREPLACE(C6507,""-\d+(.*)|--\d+(.*)"","""")"),"ETOUVELLES")</f>
        <v>ETOUVELLES</v>
      </c>
      <c r="E6507" s="38" t="s">
        <v>191</v>
      </c>
      <c r="F6507" s="38" t="s">
        <v>113</v>
      </c>
      <c r="G6507" s="49" t="str">
        <f t="shared" si="1"/>
        <v>02000</v>
      </c>
      <c r="H6507" s="49" t="str">
        <f t="shared" si="2"/>
        <v>02294</v>
      </c>
    </row>
    <row r="6508">
      <c r="A6508" s="48" t="s">
        <v>844</v>
      </c>
      <c r="B6508" s="38">
        <v>72170.0</v>
      </c>
      <c r="C6508" s="38" t="s">
        <v>9868</v>
      </c>
      <c r="D6508" s="38" t="str">
        <f>IFERROR(__xludf.DUMMYFUNCTION("REGEXREPLACE(C6508,""-\d+(.*)|--\d+(.*)"","""")"),"LOUVIGNY")</f>
        <v>LOUVIGNY</v>
      </c>
      <c r="E6508" s="38" t="s">
        <v>521</v>
      </c>
      <c r="F6508" s="38" t="s">
        <v>180</v>
      </c>
      <c r="G6508" s="49" t="str">
        <f t="shared" si="1"/>
        <v>72600</v>
      </c>
      <c r="H6508" s="49">
        <f t="shared" si="2"/>
        <v>72170</v>
      </c>
    </row>
    <row r="6509">
      <c r="A6509" s="48" t="s">
        <v>6256</v>
      </c>
      <c r="B6509" s="38">
        <v>55071.0</v>
      </c>
      <c r="C6509" s="38" t="s">
        <v>9869</v>
      </c>
      <c r="D6509" s="38" t="str">
        <f>IFERROR(__xludf.DUMMYFUNCTION("REGEXREPLACE(C6509,""-\d+(.*)|--\d+(.*)"","""")"),"BRANDEVILLE")</f>
        <v>BRANDEVILLE</v>
      </c>
      <c r="E6509" s="38" t="s">
        <v>322</v>
      </c>
      <c r="F6509" s="38" t="s">
        <v>195</v>
      </c>
      <c r="G6509" s="49" t="str">
        <f t="shared" si="1"/>
        <v>55150</v>
      </c>
      <c r="H6509" s="49">
        <f t="shared" si="2"/>
        <v>55071</v>
      </c>
    </row>
    <row r="6510">
      <c r="A6510" s="48" t="s">
        <v>6649</v>
      </c>
      <c r="B6510" s="38">
        <v>18154.0</v>
      </c>
      <c r="C6510" s="38" t="s">
        <v>9870</v>
      </c>
      <c r="D6510" s="38" t="str">
        <f>IFERROR(__xludf.DUMMYFUNCTION("REGEXREPLACE(C6510,""-\d+(.*)|--\d+(.*)"","""")"),"MORNAY-BERRY")</f>
        <v>MORNAY-BERRY</v>
      </c>
      <c r="E6510" s="38" t="s">
        <v>504</v>
      </c>
      <c r="F6510" s="38" t="s">
        <v>123</v>
      </c>
      <c r="G6510" s="49" t="str">
        <f t="shared" si="1"/>
        <v>18350</v>
      </c>
      <c r="H6510" s="49">
        <f t="shared" si="2"/>
        <v>18154</v>
      </c>
    </row>
    <row r="6511">
      <c r="A6511" s="48" t="s">
        <v>9871</v>
      </c>
      <c r="B6511" s="38">
        <v>22206.0</v>
      </c>
      <c r="C6511" s="38" t="s">
        <v>9872</v>
      </c>
      <c r="D6511" s="38" t="str">
        <f>IFERROR(__xludf.DUMMYFUNCTION("REGEXREPLACE(C6511,""-\d+(.*)|--\d+(.*)"","""")"),"PLOUAGAT")</f>
        <v>PLOUAGAT</v>
      </c>
      <c r="E6511" s="38" t="s">
        <v>89</v>
      </c>
      <c r="F6511" s="38" t="s">
        <v>90</v>
      </c>
      <c r="G6511" s="49" t="str">
        <f t="shared" si="1"/>
        <v>22170</v>
      </c>
      <c r="H6511" s="49">
        <f t="shared" si="2"/>
        <v>22206</v>
      </c>
    </row>
    <row r="6512">
      <c r="A6512" s="48" t="s">
        <v>942</v>
      </c>
      <c r="B6512" s="38">
        <v>2138.0</v>
      </c>
      <c r="C6512" s="38" t="s">
        <v>9873</v>
      </c>
      <c r="D6512" s="38" t="str">
        <f>IFERROR(__xludf.DUMMYFUNCTION("REGEXREPLACE(C6512,""-\d+(.*)|--\d+(.*)"","""")"),"BUZANCY")</f>
        <v>BUZANCY</v>
      </c>
      <c r="E6512" s="38" t="s">
        <v>191</v>
      </c>
      <c r="F6512" s="38" t="s">
        <v>113</v>
      </c>
      <c r="G6512" s="49" t="str">
        <f t="shared" si="1"/>
        <v>02200</v>
      </c>
      <c r="H6512" s="49" t="str">
        <f t="shared" si="2"/>
        <v>02138</v>
      </c>
    </row>
    <row r="6513">
      <c r="A6513" s="48" t="s">
        <v>3366</v>
      </c>
      <c r="B6513" s="38">
        <v>47263.0</v>
      </c>
      <c r="C6513" s="38" t="s">
        <v>9874</v>
      </c>
      <c r="D6513" s="38" t="str">
        <f>IFERROR(__xludf.DUMMYFUNCTION("REGEXREPLACE(C6513,""-\d+(.*)|--\d+(.*)"","""")"),"SAINT-PARDOUX-DU-BREUIL")</f>
        <v>SAINT-PARDOUX-DU-BREUIL</v>
      </c>
      <c r="E6513" s="38" t="s">
        <v>251</v>
      </c>
      <c r="F6513" s="38" t="s">
        <v>252</v>
      </c>
      <c r="G6513" s="49" t="str">
        <f t="shared" si="1"/>
        <v>47200</v>
      </c>
      <c r="H6513" s="49">
        <f t="shared" si="2"/>
        <v>47263</v>
      </c>
    </row>
    <row r="6514">
      <c r="A6514" s="48" t="s">
        <v>6019</v>
      </c>
      <c r="B6514" s="38">
        <v>39323.0</v>
      </c>
      <c r="C6514" s="38" t="s">
        <v>9875</v>
      </c>
      <c r="D6514" s="38" t="str">
        <f>IFERROR(__xludf.DUMMYFUNCTION("REGEXREPLACE(C6514,""-\d+(.*)|--\d+(.*)"","""")"),"MENOTEY")</f>
        <v>MENOTEY</v>
      </c>
      <c r="E6514" s="38" t="s">
        <v>400</v>
      </c>
      <c r="F6514" s="38" t="s">
        <v>214</v>
      </c>
      <c r="G6514" s="49" t="str">
        <f t="shared" si="1"/>
        <v>39290</v>
      </c>
      <c r="H6514" s="49">
        <f t="shared" si="2"/>
        <v>39323</v>
      </c>
    </row>
    <row r="6515">
      <c r="A6515" s="48" t="s">
        <v>3089</v>
      </c>
      <c r="B6515" s="38">
        <v>18003.0</v>
      </c>
      <c r="C6515" s="38" t="s">
        <v>9876</v>
      </c>
      <c r="D6515" s="38" t="str">
        <f>IFERROR(__xludf.DUMMYFUNCTION("REGEXREPLACE(C6515,""-\d+(.*)|--\d+(.*)"","""")"),"LES AIX-D'ANGILLON")</f>
        <v>LES AIX-D'ANGILLON</v>
      </c>
      <c r="E6515" s="38" t="s">
        <v>504</v>
      </c>
      <c r="F6515" s="38" t="s">
        <v>123</v>
      </c>
      <c r="G6515" s="49" t="str">
        <f t="shared" si="1"/>
        <v>18220</v>
      </c>
      <c r="H6515" s="49">
        <f t="shared" si="2"/>
        <v>18003</v>
      </c>
    </row>
    <row r="6516">
      <c r="A6516" s="48" t="s">
        <v>9755</v>
      </c>
      <c r="B6516" s="38">
        <v>51402.0</v>
      </c>
      <c r="C6516" s="38" t="s">
        <v>9877</v>
      </c>
      <c r="D6516" s="38" t="str">
        <f>IFERROR(__xludf.DUMMYFUNCTION("REGEXREPLACE(C6516,""-\d+(.*)|--\d+(.*)"","""")"),"NEUVY")</f>
        <v>NEUVY</v>
      </c>
      <c r="E6516" s="38" t="s">
        <v>129</v>
      </c>
      <c r="F6516" s="38" t="s">
        <v>130</v>
      </c>
      <c r="G6516" s="49" t="str">
        <f t="shared" si="1"/>
        <v>51310</v>
      </c>
      <c r="H6516" s="49">
        <f t="shared" si="2"/>
        <v>51402</v>
      </c>
    </row>
    <row r="6517">
      <c r="A6517" s="48" t="s">
        <v>698</v>
      </c>
      <c r="B6517" s="38">
        <v>11378.0</v>
      </c>
      <c r="C6517" s="38" t="s">
        <v>9878</v>
      </c>
      <c r="D6517" s="38" t="str">
        <f>IFERROR(__xludf.DUMMYFUNCTION("REGEXREPLACE(C6517,""-\d+(.*)|--\d+(.*)"","""")"),"SERVIES-EN-VAL")</f>
        <v>SERVIES-EN-VAL</v>
      </c>
      <c r="E6517" s="38" t="s">
        <v>278</v>
      </c>
      <c r="F6517" s="38" t="s">
        <v>119</v>
      </c>
      <c r="G6517" s="49" t="str">
        <f t="shared" si="1"/>
        <v>11220</v>
      </c>
      <c r="H6517" s="49">
        <f t="shared" si="2"/>
        <v>11378</v>
      </c>
    </row>
    <row r="6518">
      <c r="A6518" s="48" t="s">
        <v>9879</v>
      </c>
      <c r="B6518" s="38">
        <v>85196.0</v>
      </c>
      <c r="C6518" s="38" t="s">
        <v>9880</v>
      </c>
      <c r="D6518" s="38" t="str">
        <f>IFERROR(__xludf.DUMMYFUNCTION("REGEXREPLACE(C6518,""-\d+(.*)|--\d+(.*)"","""")"),"SAINT-ANDRE-GOULE-D'OIE")</f>
        <v>SAINT-ANDRE-GOULE-D'OIE</v>
      </c>
      <c r="E6518" s="38" t="s">
        <v>179</v>
      </c>
      <c r="F6518" s="38" t="s">
        <v>180</v>
      </c>
      <c r="G6518" s="49" t="str">
        <f t="shared" si="1"/>
        <v>85250</v>
      </c>
      <c r="H6518" s="49">
        <f t="shared" si="2"/>
        <v>85196</v>
      </c>
    </row>
    <row r="6519">
      <c r="A6519" s="48" t="s">
        <v>9881</v>
      </c>
      <c r="B6519" s="38">
        <v>73090.0</v>
      </c>
      <c r="C6519" s="38" t="s">
        <v>9882</v>
      </c>
      <c r="D6519" s="38" t="str">
        <f>IFERROR(__xludf.DUMMYFUNCTION("REGEXREPLACE(C6519,""-\d+(.*)|--\d+(.*)"","""")"),"LA COMPOTE")</f>
        <v>LA COMPOTE</v>
      </c>
      <c r="E6519" s="38" t="s">
        <v>306</v>
      </c>
      <c r="F6519" s="38" t="s">
        <v>102</v>
      </c>
      <c r="G6519" s="49" t="str">
        <f t="shared" si="1"/>
        <v>73630</v>
      </c>
      <c r="H6519" s="49">
        <f t="shared" si="2"/>
        <v>73090</v>
      </c>
    </row>
    <row r="6520">
      <c r="A6520" s="48" t="s">
        <v>9883</v>
      </c>
      <c r="B6520" s="38">
        <v>24008.0</v>
      </c>
      <c r="C6520" s="38" t="s">
        <v>9884</v>
      </c>
      <c r="D6520" s="38" t="str">
        <f>IFERROR(__xludf.DUMMYFUNCTION("REGEXREPLACE(C6520,""-\d+(.*)|--\d+(.*)"","""")"),"ANGOISSE")</f>
        <v>ANGOISSE</v>
      </c>
      <c r="E6520" s="38" t="s">
        <v>261</v>
      </c>
      <c r="F6520" s="38" t="s">
        <v>252</v>
      </c>
      <c r="G6520" s="49" t="str">
        <f t="shared" si="1"/>
        <v>24270</v>
      </c>
      <c r="H6520" s="49">
        <f t="shared" si="2"/>
        <v>24008</v>
      </c>
    </row>
    <row r="6521">
      <c r="A6521" s="48" t="s">
        <v>1733</v>
      </c>
      <c r="B6521" s="38">
        <v>23013.0</v>
      </c>
      <c r="C6521" s="38" t="s">
        <v>9885</v>
      </c>
      <c r="D6521" s="38" t="str">
        <f>IFERROR(__xludf.DUMMYFUNCTION("REGEXREPLACE(C6521,""-\d+(.*)|--\d+(.*)"","""")"),"AUZANCES")</f>
        <v>AUZANCES</v>
      </c>
      <c r="E6521" s="38" t="s">
        <v>97</v>
      </c>
      <c r="F6521" s="38" t="s">
        <v>98</v>
      </c>
      <c r="G6521" s="49" t="str">
        <f t="shared" si="1"/>
        <v>23700</v>
      </c>
      <c r="H6521" s="49">
        <f t="shared" si="2"/>
        <v>23013</v>
      </c>
    </row>
    <row r="6522">
      <c r="A6522" s="48" t="s">
        <v>4499</v>
      </c>
      <c r="B6522" s="38">
        <v>25149.0</v>
      </c>
      <c r="C6522" s="38" t="s">
        <v>9886</v>
      </c>
      <c r="D6522" s="38" t="str">
        <f>IFERROR(__xludf.DUMMYFUNCTION("REGEXREPLACE(C6522,""-\d+(.*)|--\d+(.*)"","""")"),"CHENECEY-BUILLON")</f>
        <v>CHENECEY-BUILLON</v>
      </c>
      <c r="E6522" s="38" t="s">
        <v>213</v>
      </c>
      <c r="F6522" s="38" t="s">
        <v>214</v>
      </c>
      <c r="G6522" s="49" t="str">
        <f t="shared" si="1"/>
        <v>25440</v>
      </c>
      <c r="H6522" s="49">
        <f t="shared" si="2"/>
        <v>25149</v>
      </c>
    </row>
    <row r="6523">
      <c r="A6523" s="48" t="s">
        <v>792</v>
      </c>
      <c r="B6523" s="38">
        <v>2794.0</v>
      </c>
      <c r="C6523" s="38" t="s">
        <v>9887</v>
      </c>
      <c r="D6523" s="38" t="str">
        <f>IFERROR(__xludf.DUMMYFUNCTION("REGEXREPLACE(C6523,""-\d+(.*)|--\d+(.*)"","""")"),"VEZILLY")</f>
        <v>VEZILLY</v>
      </c>
      <c r="E6523" s="38" t="s">
        <v>191</v>
      </c>
      <c r="F6523" s="38" t="s">
        <v>113</v>
      </c>
      <c r="G6523" s="49" t="str">
        <f t="shared" si="1"/>
        <v>02130</v>
      </c>
      <c r="H6523" s="49" t="str">
        <f t="shared" si="2"/>
        <v>02794</v>
      </c>
    </row>
    <row r="6524">
      <c r="A6524" s="48" t="s">
        <v>9888</v>
      </c>
      <c r="B6524" s="38">
        <v>64527.0</v>
      </c>
      <c r="C6524" s="38" t="s">
        <v>9889</v>
      </c>
      <c r="D6524" s="38" t="str">
        <f>IFERROR(__xludf.DUMMYFUNCTION("REGEXREPLACE(C6524,""-\d+(.*)|--\d+(.*)"","""")"),"SOURAIDE")</f>
        <v>SOURAIDE</v>
      </c>
      <c r="E6524" s="38" t="s">
        <v>268</v>
      </c>
      <c r="F6524" s="38" t="s">
        <v>252</v>
      </c>
      <c r="G6524" s="49" t="str">
        <f t="shared" si="1"/>
        <v>64250</v>
      </c>
      <c r="H6524" s="49">
        <f t="shared" si="2"/>
        <v>64527</v>
      </c>
    </row>
    <row r="6525">
      <c r="A6525" s="48" t="s">
        <v>9890</v>
      </c>
      <c r="B6525" s="38">
        <v>21305.0</v>
      </c>
      <c r="C6525" s="38" t="s">
        <v>9891</v>
      </c>
      <c r="D6525" s="38" t="str">
        <f>IFERROR(__xludf.DUMMYFUNCTION("REGEXREPLACE(C6525,""-\d+(.*)|--\d+(.*)"","""")"),"GRANCEY-SUR-OURCE")</f>
        <v>GRANCEY-SUR-OURCE</v>
      </c>
      <c r="E6525" s="38" t="s">
        <v>105</v>
      </c>
      <c r="F6525" s="38" t="s">
        <v>106</v>
      </c>
      <c r="G6525" s="49" t="str">
        <f t="shared" si="1"/>
        <v>21570</v>
      </c>
      <c r="H6525" s="49">
        <f t="shared" si="2"/>
        <v>21305</v>
      </c>
    </row>
    <row r="6526">
      <c r="A6526" s="48" t="s">
        <v>9892</v>
      </c>
      <c r="B6526" s="38">
        <v>65176.0</v>
      </c>
      <c r="C6526" s="38" t="s">
        <v>9893</v>
      </c>
      <c r="D6526" s="38" t="str">
        <f>IFERROR(__xludf.DUMMYFUNCTION("REGEXREPLACE(C6526,""-\d+(.*)|--\d+(.*)"","""")"),"FERRIERES")</f>
        <v>FERRIERES</v>
      </c>
      <c r="E6526" s="38" t="s">
        <v>200</v>
      </c>
      <c r="F6526" s="38" t="s">
        <v>94</v>
      </c>
      <c r="G6526" s="49" t="str">
        <f t="shared" si="1"/>
        <v>65560</v>
      </c>
      <c r="H6526" s="49">
        <f t="shared" si="2"/>
        <v>65176</v>
      </c>
    </row>
    <row r="6527">
      <c r="A6527" s="48" t="s">
        <v>2891</v>
      </c>
      <c r="B6527" s="38">
        <v>12006.0</v>
      </c>
      <c r="C6527" s="38" t="s">
        <v>9894</v>
      </c>
      <c r="D6527" s="38" t="str">
        <f>IFERROR(__xludf.DUMMYFUNCTION("REGEXREPLACE(C6527,""-\d+(.*)|--\d+(.*)"","""")"),"ALRANCE")</f>
        <v>ALRANCE</v>
      </c>
      <c r="E6527" s="38" t="s">
        <v>465</v>
      </c>
      <c r="F6527" s="38" t="s">
        <v>94</v>
      </c>
      <c r="G6527" s="49" t="str">
        <f t="shared" si="1"/>
        <v>12430</v>
      </c>
      <c r="H6527" s="49">
        <f t="shared" si="2"/>
        <v>12006</v>
      </c>
    </row>
    <row r="6528">
      <c r="A6528" s="48" t="s">
        <v>958</v>
      </c>
      <c r="B6528" s="38">
        <v>71060.0</v>
      </c>
      <c r="C6528" s="38" t="s">
        <v>9895</v>
      </c>
      <c r="D6528" s="38" t="str">
        <f>IFERROR(__xludf.DUMMYFUNCTION("REGEXREPLACE(C6528,""-\d+(.*)|--\d+(.*)"","""")"),"BRIANT")</f>
        <v>BRIANT</v>
      </c>
      <c r="E6528" s="38" t="s">
        <v>344</v>
      </c>
      <c r="F6528" s="38" t="s">
        <v>106</v>
      </c>
      <c r="G6528" s="49" t="str">
        <f t="shared" si="1"/>
        <v>71110</v>
      </c>
      <c r="H6528" s="49">
        <f t="shared" si="2"/>
        <v>71060</v>
      </c>
    </row>
    <row r="6529">
      <c r="A6529" s="48" t="s">
        <v>8199</v>
      </c>
      <c r="B6529" s="38">
        <v>63317.0</v>
      </c>
      <c r="C6529" s="38" t="s">
        <v>9896</v>
      </c>
      <c r="D6529" s="38" t="str">
        <f>IFERROR(__xludf.DUMMYFUNCTION("REGEXREPLACE(C6529,""-\d+(.*)|--\d+(.*)"","""")"),"SAINT-ANDRE-LE-COQ")</f>
        <v>SAINT-ANDRE-LE-COQ</v>
      </c>
      <c r="E6529" s="38" t="s">
        <v>353</v>
      </c>
      <c r="F6529" s="38" t="s">
        <v>161</v>
      </c>
      <c r="G6529" s="49" t="str">
        <f t="shared" si="1"/>
        <v>63310</v>
      </c>
      <c r="H6529" s="49">
        <f t="shared" si="2"/>
        <v>63317</v>
      </c>
    </row>
    <row r="6530">
      <c r="A6530" s="48" t="s">
        <v>3900</v>
      </c>
      <c r="B6530" s="38">
        <v>2573.0</v>
      </c>
      <c r="C6530" s="38" t="s">
        <v>6149</v>
      </c>
      <c r="D6530" s="38" t="str">
        <f>IFERROR(__xludf.DUMMYFUNCTION("REGEXREPLACE(C6530,""-\d+(.*)|--\d+(.*)"","""")"),"ORGEVAL")</f>
        <v>ORGEVAL</v>
      </c>
      <c r="E6530" s="38" t="s">
        <v>191</v>
      </c>
      <c r="F6530" s="38" t="s">
        <v>113</v>
      </c>
      <c r="G6530" s="49" t="str">
        <f t="shared" si="1"/>
        <v>02860</v>
      </c>
      <c r="H6530" s="49" t="str">
        <f t="shared" si="2"/>
        <v>02573</v>
      </c>
    </row>
    <row r="6531">
      <c r="A6531" s="48" t="s">
        <v>789</v>
      </c>
      <c r="B6531" s="38">
        <v>10394.0</v>
      </c>
      <c r="C6531" s="38" t="s">
        <v>1971</v>
      </c>
      <c r="D6531" s="38" t="str">
        <f>IFERROR(__xludf.DUMMYFUNCTION("REGEXREPLACE(C6531,""-\d+(.*)|--\d+(.*)"","""")"),"VALLIERES")</f>
        <v>VALLIERES</v>
      </c>
      <c r="E6531" s="38" t="s">
        <v>147</v>
      </c>
      <c r="F6531" s="38" t="s">
        <v>130</v>
      </c>
      <c r="G6531" s="49" t="str">
        <f t="shared" si="1"/>
        <v>10210</v>
      </c>
      <c r="H6531" s="49">
        <f t="shared" si="2"/>
        <v>10394</v>
      </c>
    </row>
    <row r="6532">
      <c r="A6532" s="48" t="s">
        <v>814</v>
      </c>
      <c r="B6532" s="38">
        <v>4190.0</v>
      </c>
      <c r="C6532" s="38" t="s">
        <v>9897</v>
      </c>
      <c r="D6532" s="38" t="str">
        <f>IFERROR(__xludf.DUMMYFUNCTION("REGEXREPLACE(C6532,""-\d+(.*)|--\d+(.*)"","""")"),"SAINT-MARTIN-LES-EAUX")</f>
        <v>SAINT-MARTIN-LES-EAUX</v>
      </c>
      <c r="E6532" s="38" t="s">
        <v>662</v>
      </c>
      <c r="F6532" s="38" t="s">
        <v>228</v>
      </c>
      <c r="G6532" s="49" t="str">
        <f t="shared" si="1"/>
        <v>04300</v>
      </c>
      <c r="H6532" s="49" t="str">
        <f t="shared" si="2"/>
        <v>04190</v>
      </c>
    </row>
    <row r="6533">
      <c r="A6533" s="48" t="s">
        <v>1058</v>
      </c>
      <c r="B6533" s="38">
        <v>21333.0</v>
      </c>
      <c r="C6533" s="38" t="s">
        <v>9898</v>
      </c>
      <c r="D6533" s="38" t="str">
        <f>IFERROR(__xludf.DUMMYFUNCTION("REGEXREPLACE(C6533,""-\d+(.*)|--\d+(.*)"","""")"),"LABRUYERE")</f>
        <v>LABRUYERE</v>
      </c>
      <c r="E6533" s="38" t="s">
        <v>105</v>
      </c>
      <c r="F6533" s="38" t="s">
        <v>106</v>
      </c>
      <c r="G6533" s="49" t="str">
        <f t="shared" si="1"/>
        <v>21250</v>
      </c>
      <c r="H6533" s="49">
        <f t="shared" si="2"/>
        <v>21333</v>
      </c>
    </row>
    <row r="6534">
      <c r="A6534" s="48" t="s">
        <v>1108</v>
      </c>
      <c r="B6534" s="38">
        <v>27372.0</v>
      </c>
      <c r="C6534" s="38" t="s">
        <v>9899</v>
      </c>
      <c r="D6534" s="38" t="str">
        <f>IFERROR(__xludf.DUMMYFUNCTION("REGEXREPLACE(C6534,""-\d+(.*)|--\d+(.*)"","""")"),"LONGCHAMPS")</f>
        <v>LONGCHAMPS</v>
      </c>
      <c r="E6534" s="38" t="s">
        <v>241</v>
      </c>
      <c r="F6534" s="38" t="s">
        <v>134</v>
      </c>
      <c r="G6534" s="49" t="str">
        <f t="shared" si="1"/>
        <v>27150</v>
      </c>
      <c r="H6534" s="49">
        <f t="shared" si="2"/>
        <v>27372</v>
      </c>
    </row>
    <row r="6535">
      <c r="A6535" s="48" t="s">
        <v>1473</v>
      </c>
      <c r="B6535" s="38">
        <v>50060.0</v>
      </c>
      <c r="C6535" s="38" t="s">
        <v>9900</v>
      </c>
      <c r="D6535" s="38" t="str">
        <f>IFERROR(__xludf.DUMMYFUNCTION("REGEXREPLACE(C6535,""-\d+(.*)|--\d+(.*)"","""")"),"LA BLOUTIERE")</f>
        <v>LA BLOUTIERE</v>
      </c>
      <c r="E6535" s="38" t="s">
        <v>157</v>
      </c>
      <c r="F6535" s="38" t="s">
        <v>138</v>
      </c>
      <c r="G6535" s="49" t="str">
        <f t="shared" si="1"/>
        <v>50800</v>
      </c>
      <c r="H6535" s="49">
        <f t="shared" si="2"/>
        <v>50060</v>
      </c>
    </row>
    <row r="6536">
      <c r="A6536" s="48" t="s">
        <v>9901</v>
      </c>
      <c r="B6536" s="38">
        <v>59482.0</v>
      </c>
      <c r="C6536" s="38" t="s">
        <v>9902</v>
      </c>
      <c r="D6536" s="38" t="str">
        <f>IFERROR(__xludf.DUMMYFUNCTION("REGEXREPLACE(C6536,""-\d+(.*)|--\d+(.*)"","""")"),"QUESNOY-SUR-DEULE")</f>
        <v>QUESNOY-SUR-DEULE</v>
      </c>
      <c r="E6536" s="38" t="s">
        <v>85</v>
      </c>
      <c r="F6536" s="38" t="s">
        <v>86</v>
      </c>
      <c r="G6536" s="49" t="str">
        <f t="shared" si="1"/>
        <v>59890</v>
      </c>
      <c r="H6536" s="49">
        <f t="shared" si="2"/>
        <v>59482</v>
      </c>
    </row>
    <row r="6537">
      <c r="A6537" s="48" t="s">
        <v>3349</v>
      </c>
      <c r="B6537" s="38">
        <v>34119.0</v>
      </c>
      <c r="C6537" s="38" t="s">
        <v>9903</v>
      </c>
      <c r="D6537" s="38" t="str">
        <f>IFERROR(__xludf.DUMMYFUNCTION("REGEXREPLACE(C6537,""-\d+(.*)|--\d+(.*)"","""")"),"HEREPIAN")</f>
        <v>HEREPIAN</v>
      </c>
      <c r="E6537" s="38" t="s">
        <v>118</v>
      </c>
      <c r="F6537" s="38" t="s">
        <v>119</v>
      </c>
      <c r="G6537" s="49" t="str">
        <f t="shared" si="1"/>
        <v>34600</v>
      </c>
      <c r="H6537" s="49">
        <f t="shared" si="2"/>
        <v>34119</v>
      </c>
    </row>
    <row r="6538">
      <c r="A6538" s="48" t="s">
        <v>9679</v>
      </c>
      <c r="B6538" s="38">
        <v>26241.0</v>
      </c>
      <c r="C6538" s="38" t="s">
        <v>9904</v>
      </c>
      <c r="D6538" s="38" t="str">
        <f>IFERROR(__xludf.DUMMYFUNCTION("REGEXREPLACE(C6538,""-\d+(.*)|--\d+(.*)"","""")"),"LE POET-CELARD")</f>
        <v>LE POET-CELARD</v>
      </c>
      <c r="E6538" s="38" t="s">
        <v>126</v>
      </c>
      <c r="F6538" s="38" t="s">
        <v>102</v>
      </c>
      <c r="G6538" s="49" t="str">
        <f t="shared" si="1"/>
        <v>26460</v>
      </c>
      <c r="H6538" s="49">
        <f t="shared" si="2"/>
        <v>26241</v>
      </c>
    </row>
    <row r="6539">
      <c r="A6539" s="48" t="s">
        <v>3258</v>
      </c>
      <c r="B6539" s="38">
        <v>2705.0</v>
      </c>
      <c r="C6539" s="38" t="s">
        <v>4795</v>
      </c>
      <c r="D6539" s="38" t="str">
        <f>IFERROR(__xludf.DUMMYFUNCTION("REGEXREPLACE(C6539,""-\d+(.*)|--\d+(.*)"","""")"),"LA SELVE")</f>
        <v>LA SELVE</v>
      </c>
      <c r="E6539" s="38" t="s">
        <v>191</v>
      </c>
      <c r="F6539" s="38" t="s">
        <v>113</v>
      </c>
      <c r="G6539" s="49" t="str">
        <f t="shared" si="1"/>
        <v>02150</v>
      </c>
      <c r="H6539" s="49" t="str">
        <f t="shared" si="2"/>
        <v>02705</v>
      </c>
    </row>
    <row r="6540">
      <c r="A6540" s="48" t="s">
        <v>9905</v>
      </c>
      <c r="B6540" s="38">
        <v>65012.0</v>
      </c>
      <c r="C6540" s="38" t="s">
        <v>9906</v>
      </c>
      <c r="D6540" s="38" t="str">
        <f>IFERROR(__xludf.DUMMYFUNCTION("REGEXREPLACE(C6540,""-\d+(.*)|--\d+(.*)"","""")"),"ANLA")</f>
        <v>ANLA</v>
      </c>
      <c r="E6540" s="38" t="s">
        <v>200</v>
      </c>
      <c r="F6540" s="38" t="s">
        <v>94</v>
      </c>
      <c r="G6540" s="49" t="str">
        <f t="shared" si="1"/>
        <v>65370</v>
      </c>
      <c r="H6540" s="49">
        <f t="shared" si="2"/>
        <v>65012</v>
      </c>
    </row>
    <row r="6541">
      <c r="A6541" s="48" t="s">
        <v>196</v>
      </c>
      <c r="B6541" s="38">
        <v>2495.0</v>
      </c>
      <c r="C6541" s="38" t="s">
        <v>9907</v>
      </c>
      <c r="D6541" s="38" t="str">
        <f>IFERROR(__xludf.DUMMYFUNCTION("REGEXREPLACE(C6541,""-\d+(.*)|--\d+(.*)"","""")"),"MONDREPUIS")</f>
        <v>MONDREPUIS</v>
      </c>
      <c r="E6541" s="38" t="s">
        <v>191</v>
      </c>
      <c r="F6541" s="38" t="s">
        <v>113</v>
      </c>
      <c r="G6541" s="49" t="str">
        <f t="shared" si="1"/>
        <v>02500</v>
      </c>
      <c r="H6541" s="49" t="str">
        <f t="shared" si="2"/>
        <v>02495</v>
      </c>
    </row>
    <row r="6542">
      <c r="A6542" s="48" t="s">
        <v>9908</v>
      </c>
      <c r="B6542" s="38">
        <v>62274.0</v>
      </c>
      <c r="C6542" s="38" t="s">
        <v>9909</v>
      </c>
      <c r="D6542" s="38" t="str">
        <f>IFERROR(__xludf.DUMMYFUNCTION("REGEXREPLACE(C6542,""-\d+(.*)|--\d+(.*)"","""")"),"DOURGES")</f>
        <v>DOURGES</v>
      </c>
      <c r="E6542" s="38" t="s">
        <v>109</v>
      </c>
      <c r="F6542" s="38" t="s">
        <v>86</v>
      </c>
      <c r="G6542" s="49" t="str">
        <f t="shared" si="1"/>
        <v>62119</v>
      </c>
      <c r="H6542" s="49">
        <f t="shared" si="2"/>
        <v>62274</v>
      </c>
    </row>
    <row r="6543">
      <c r="A6543" s="48" t="s">
        <v>9910</v>
      </c>
      <c r="B6543" s="38">
        <v>68066.0</v>
      </c>
      <c r="C6543" s="38" t="s">
        <v>9911</v>
      </c>
      <c r="D6543" s="38" t="str">
        <f>IFERROR(__xludf.DUMMYFUNCTION("REGEXREPLACE(C6543,""-\d+(.*)|--\d+(.*)"","""")"),"COLMAR")</f>
        <v>COLMAR</v>
      </c>
      <c r="E6543" s="38" t="s">
        <v>150</v>
      </c>
      <c r="F6543" s="38" t="s">
        <v>151</v>
      </c>
      <c r="G6543" s="49" t="str">
        <f t="shared" si="1"/>
        <v>68000</v>
      </c>
      <c r="H6543" s="49">
        <f t="shared" si="2"/>
        <v>68066</v>
      </c>
    </row>
    <row r="6544">
      <c r="A6544" s="48" t="s">
        <v>6207</v>
      </c>
      <c r="B6544" s="38">
        <v>23043.0</v>
      </c>
      <c r="C6544" s="38" t="s">
        <v>9912</v>
      </c>
      <c r="D6544" s="38" t="str">
        <f>IFERROR(__xludf.DUMMYFUNCTION("REGEXREPLACE(C6544,""-\d+(.*)|--\d+(.*)"","""")"),"CHAMBERAUD")</f>
        <v>CHAMBERAUD</v>
      </c>
      <c r="E6544" s="38" t="s">
        <v>97</v>
      </c>
      <c r="F6544" s="38" t="s">
        <v>98</v>
      </c>
      <c r="G6544" s="49" t="str">
        <f t="shared" si="1"/>
        <v>23480</v>
      </c>
      <c r="H6544" s="49">
        <f t="shared" si="2"/>
        <v>23043</v>
      </c>
    </row>
    <row r="6545">
      <c r="A6545" s="48" t="s">
        <v>4969</v>
      </c>
      <c r="B6545" s="38">
        <v>14311.0</v>
      </c>
      <c r="C6545" s="38" t="s">
        <v>9913</v>
      </c>
      <c r="D6545" s="38" t="str">
        <f>IFERROR(__xludf.DUMMYFUNCTION("REGEXREPLACE(C6545,""-\d+(.*)|--\d+(.*)"","""")"),"GRAINVILLE-SUR-ODON")</f>
        <v>GRAINVILLE-SUR-ODON</v>
      </c>
      <c r="E6545" s="38" t="s">
        <v>137</v>
      </c>
      <c r="F6545" s="38" t="s">
        <v>138</v>
      </c>
      <c r="G6545" s="49" t="str">
        <f t="shared" si="1"/>
        <v>14210</v>
      </c>
      <c r="H6545" s="49">
        <f t="shared" si="2"/>
        <v>14311</v>
      </c>
    </row>
    <row r="6546">
      <c r="A6546" s="48" t="s">
        <v>9914</v>
      </c>
      <c r="B6546" s="38">
        <v>29145.0</v>
      </c>
      <c r="C6546" s="38" t="s">
        <v>9915</v>
      </c>
      <c r="D6546" s="38" t="str">
        <f>IFERROR(__xludf.DUMMYFUNCTION("REGEXREPLACE(C6546,""-\d+(.*)|--\d+(.*)"","""")"),"CONFORT-MEILARS")</f>
        <v>CONFORT-MEILARS</v>
      </c>
      <c r="E6546" s="38" t="s">
        <v>176</v>
      </c>
      <c r="F6546" s="38" t="s">
        <v>90</v>
      </c>
      <c r="G6546" s="49" t="str">
        <f t="shared" si="1"/>
        <v>29790</v>
      </c>
      <c r="H6546" s="49">
        <f t="shared" si="2"/>
        <v>29145</v>
      </c>
    </row>
    <row r="6547">
      <c r="A6547" s="48" t="s">
        <v>2515</v>
      </c>
      <c r="B6547" s="38">
        <v>87128.0</v>
      </c>
      <c r="C6547" s="38" t="s">
        <v>9916</v>
      </c>
      <c r="D6547" s="38" t="str">
        <f>IFERROR(__xludf.DUMMYFUNCTION("REGEXREPLACE(C6547,""-\d+(.*)|--\d+(.*)"","""")"),"ROUSSAC")</f>
        <v>ROUSSAC</v>
      </c>
      <c r="E6547" s="38" t="s">
        <v>897</v>
      </c>
      <c r="F6547" s="38" t="s">
        <v>98</v>
      </c>
      <c r="G6547" s="49" t="str">
        <f t="shared" si="1"/>
        <v>87140</v>
      </c>
      <c r="H6547" s="49">
        <f t="shared" si="2"/>
        <v>87128</v>
      </c>
    </row>
    <row r="6548">
      <c r="A6548" s="48" t="s">
        <v>4235</v>
      </c>
      <c r="B6548" s="38">
        <v>50411.0</v>
      </c>
      <c r="C6548" s="38" t="s">
        <v>9917</v>
      </c>
      <c r="D6548" s="38" t="str">
        <f>IFERROR(__xludf.DUMMYFUNCTION("REGEXREPLACE(C6548,""-\d+(.*)|--\d+(.*)"","""")"),"PONTS")</f>
        <v>PONTS</v>
      </c>
      <c r="E6548" s="38" t="s">
        <v>157</v>
      </c>
      <c r="F6548" s="38" t="s">
        <v>138</v>
      </c>
      <c r="G6548" s="49" t="str">
        <f t="shared" si="1"/>
        <v>50300</v>
      </c>
      <c r="H6548" s="49">
        <f t="shared" si="2"/>
        <v>50411</v>
      </c>
    </row>
    <row r="6549">
      <c r="A6549" s="48" t="s">
        <v>9918</v>
      </c>
      <c r="B6549" s="38">
        <v>59385.0</v>
      </c>
      <c r="C6549" s="38" t="s">
        <v>9919</v>
      </c>
      <c r="D6549" s="38" t="str">
        <f>IFERROR(__xludf.DUMMYFUNCTION("REGEXREPLACE(C6549,""-\d+(.*)|--\d+(.*)"","""")"),"MARPENT")</f>
        <v>MARPENT</v>
      </c>
      <c r="E6549" s="38" t="s">
        <v>85</v>
      </c>
      <c r="F6549" s="38" t="s">
        <v>86</v>
      </c>
      <c r="G6549" s="49" t="str">
        <f t="shared" si="1"/>
        <v>59164</v>
      </c>
      <c r="H6549" s="49">
        <f t="shared" si="2"/>
        <v>59385</v>
      </c>
    </row>
    <row r="6550">
      <c r="A6550" s="48" t="s">
        <v>9920</v>
      </c>
      <c r="B6550" s="38">
        <v>79236.0</v>
      </c>
      <c r="C6550" s="38" t="s">
        <v>9921</v>
      </c>
      <c r="D6550" s="38" t="str">
        <f>IFERROR(__xludf.DUMMYFUNCTION("REGEXREPLACE(C6550,""-\d+(.*)|--\d+(.*)"","""")"),"SAINT-ANDRE-SUR-SEVRE")</f>
        <v>SAINT-ANDRE-SUR-SEVRE</v>
      </c>
      <c r="E6550" s="38" t="s">
        <v>337</v>
      </c>
      <c r="F6550" s="38" t="s">
        <v>338</v>
      </c>
      <c r="G6550" s="49" t="str">
        <f t="shared" si="1"/>
        <v>79380</v>
      </c>
      <c r="H6550" s="49">
        <f t="shared" si="2"/>
        <v>79236</v>
      </c>
    </row>
    <row r="6551">
      <c r="A6551" s="48" t="s">
        <v>724</v>
      </c>
      <c r="B6551" s="38">
        <v>32256.0</v>
      </c>
      <c r="C6551" s="38" t="s">
        <v>9922</v>
      </c>
      <c r="D6551" s="38" t="str">
        <f>IFERROR(__xludf.DUMMYFUNCTION("REGEXREPLACE(C6551,""-\d+(.*)|--\d+(.*)"","""")"),"MIRANDE")</f>
        <v>MIRANDE</v>
      </c>
      <c r="E6551" s="38" t="s">
        <v>440</v>
      </c>
      <c r="F6551" s="38" t="s">
        <v>94</v>
      </c>
      <c r="G6551" s="49" t="str">
        <f t="shared" si="1"/>
        <v>32300</v>
      </c>
      <c r="H6551" s="49">
        <f t="shared" si="2"/>
        <v>32256</v>
      </c>
    </row>
    <row r="6552">
      <c r="A6552" s="48" t="s">
        <v>1497</v>
      </c>
      <c r="B6552" s="38">
        <v>83140.0</v>
      </c>
      <c r="C6552" s="38" t="s">
        <v>9923</v>
      </c>
      <c r="D6552" s="38" t="str">
        <f>IFERROR(__xludf.DUMMYFUNCTION("REGEXREPLACE(C6552,""-\d+(.*)|--\d+(.*)"","""")"),"TOURVES")</f>
        <v>TOURVES</v>
      </c>
      <c r="E6552" s="38" t="s">
        <v>813</v>
      </c>
      <c r="F6552" s="38" t="s">
        <v>228</v>
      </c>
      <c r="G6552" s="49" t="str">
        <f t="shared" si="1"/>
        <v>83170</v>
      </c>
      <c r="H6552" s="49">
        <f t="shared" si="2"/>
        <v>83140</v>
      </c>
    </row>
    <row r="6553">
      <c r="A6553" s="48" t="s">
        <v>6025</v>
      </c>
      <c r="B6553" s="38">
        <v>31321.0</v>
      </c>
      <c r="C6553" s="38" t="s">
        <v>9924</v>
      </c>
      <c r="D6553" s="38" t="str">
        <f>IFERROR(__xludf.DUMMYFUNCTION("REGEXREPLACE(C6553,""-\d+(.*)|--\d+(.*)"","""")"),"MARSOULAS")</f>
        <v>MARSOULAS</v>
      </c>
      <c r="E6553" s="38" t="s">
        <v>93</v>
      </c>
      <c r="F6553" s="38" t="s">
        <v>94</v>
      </c>
      <c r="G6553" s="49" t="str">
        <f t="shared" si="1"/>
        <v>31260</v>
      </c>
      <c r="H6553" s="49">
        <f t="shared" si="2"/>
        <v>31321</v>
      </c>
    </row>
    <row r="6554">
      <c r="A6554" s="48" t="s">
        <v>8889</v>
      </c>
      <c r="B6554" s="38">
        <v>32037.0</v>
      </c>
      <c r="C6554" s="38" t="s">
        <v>2319</v>
      </c>
      <c r="D6554" s="38" t="str">
        <f>IFERROR(__xludf.DUMMYFUNCTION("REGEXREPLACE(C6554,""-\d+(.*)|--\d+(.*)"","""")"),"BEAUMONT")</f>
        <v>BEAUMONT</v>
      </c>
      <c r="E6554" s="38" t="s">
        <v>440</v>
      </c>
      <c r="F6554" s="38" t="s">
        <v>94</v>
      </c>
      <c r="G6554" s="49" t="str">
        <f t="shared" si="1"/>
        <v>32100</v>
      </c>
      <c r="H6554" s="49">
        <f t="shared" si="2"/>
        <v>32037</v>
      </c>
    </row>
    <row r="6555">
      <c r="A6555" s="48" t="s">
        <v>1695</v>
      </c>
      <c r="B6555" s="38">
        <v>80572.0</v>
      </c>
      <c r="C6555" s="38" t="s">
        <v>9925</v>
      </c>
      <c r="D6555" s="38" t="str">
        <f>IFERROR(__xludf.DUMMYFUNCTION("REGEXREPLACE(C6555,""-\d+(.*)|--\d+(.*)"","""")"),"MORLANCOURT")</f>
        <v>MORLANCOURT</v>
      </c>
      <c r="E6555" s="38" t="s">
        <v>224</v>
      </c>
      <c r="F6555" s="38" t="s">
        <v>113</v>
      </c>
      <c r="G6555" s="49" t="str">
        <f t="shared" si="1"/>
        <v>80300</v>
      </c>
      <c r="H6555" s="49">
        <f t="shared" si="2"/>
        <v>80572</v>
      </c>
    </row>
    <row r="6556">
      <c r="A6556" s="48" t="s">
        <v>1669</v>
      </c>
      <c r="B6556" s="38">
        <v>21079.0</v>
      </c>
      <c r="C6556" s="38" t="s">
        <v>9926</v>
      </c>
      <c r="D6556" s="38" t="str">
        <f>IFERROR(__xludf.DUMMYFUNCTION("REGEXREPLACE(C6556,""-\d+(.*)|--\d+(.*)"","""")"),"BLAGNY-SUR-VINGEANNE")</f>
        <v>BLAGNY-SUR-VINGEANNE</v>
      </c>
      <c r="E6556" s="38" t="s">
        <v>105</v>
      </c>
      <c r="F6556" s="38" t="s">
        <v>106</v>
      </c>
      <c r="G6556" s="49" t="str">
        <f t="shared" si="1"/>
        <v>21310</v>
      </c>
      <c r="H6556" s="49">
        <f t="shared" si="2"/>
        <v>21079</v>
      </c>
    </row>
    <row r="6557">
      <c r="A6557" s="48" t="s">
        <v>1661</v>
      </c>
      <c r="B6557" s="38">
        <v>36054.0</v>
      </c>
      <c r="C6557" s="38" t="s">
        <v>9927</v>
      </c>
      <c r="D6557" s="38" t="str">
        <f>IFERROR(__xludf.DUMMYFUNCTION("REGEXREPLACE(C6557,""-\d+(.*)|--\d+(.*)"","""")"),"CLERE-DU-BOIS")</f>
        <v>CLERE-DU-BOIS</v>
      </c>
      <c r="E6557" s="38" t="s">
        <v>258</v>
      </c>
      <c r="F6557" s="38" t="s">
        <v>123</v>
      </c>
      <c r="G6557" s="49" t="str">
        <f t="shared" si="1"/>
        <v>36700</v>
      </c>
      <c r="H6557" s="49">
        <f t="shared" si="2"/>
        <v>36054</v>
      </c>
    </row>
    <row r="6558">
      <c r="A6558" s="48" t="s">
        <v>9928</v>
      </c>
      <c r="B6558" s="38">
        <v>32283.0</v>
      </c>
      <c r="C6558" s="38" t="s">
        <v>9929</v>
      </c>
      <c r="D6558" s="38" t="str">
        <f>IFERROR(__xludf.DUMMYFUNCTION("REGEXREPLACE(C6558,""-\d+(.*)|--\d+(.*)"","""")"),"MONTEGUT-ARROS")</f>
        <v>MONTEGUT-ARROS</v>
      </c>
      <c r="E6558" s="38" t="s">
        <v>440</v>
      </c>
      <c r="F6558" s="38" t="s">
        <v>94</v>
      </c>
      <c r="G6558" s="49" t="str">
        <f t="shared" si="1"/>
        <v>32730</v>
      </c>
      <c r="H6558" s="49">
        <f t="shared" si="2"/>
        <v>32283</v>
      </c>
    </row>
    <row r="6559">
      <c r="A6559" s="48" t="s">
        <v>3305</v>
      </c>
      <c r="B6559" s="38">
        <v>24363.0</v>
      </c>
      <c r="C6559" s="38" t="s">
        <v>9930</v>
      </c>
      <c r="D6559" s="38" t="str">
        <f>IFERROR(__xludf.DUMMYFUNCTION("REGEXREPLACE(C6559,""-\d+(.*)|--\d+(.*)"","""")"),"SAINT-AMAND-DE-BELVES")</f>
        <v>SAINT-AMAND-DE-BELVES</v>
      </c>
      <c r="E6559" s="38" t="s">
        <v>261</v>
      </c>
      <c r="F6559" s="38" t="s">
        <v>252</v>
      </c>
      <c r="G6559" s="49" t="str">
        <f t="shared" si="1"/>
        <v>24170</v>
      </c>
      <c r="H6559" s="49">
        <f t="shared" si="2"/>
        <v>24363</v>
      </c>
    </row>
    <row r="6560">
      <c r="A6560" s="48" t="s">
        <v>6736</v>
      </c>
      <c r="B6560" s="38">
        <v>31162.0</v>
      </c>
      <c r="C6560" s="38" t="s">
        <v>9931</v>
      </c>
      <c r="D6560" s="38" t="str">
        <f>IFERROR(__xludf.DUMMYFUNCTION("REGEXREPLACE(C6560,""-\d+(.*)|--\d+(.*)"","""")"),"DONNEVILLE")</f>
        <v>DONNEVILLE</v>
      </c>
      <c r="E6560" s="38" t="s">
        <v>93</v>
      </c>
      <c r="F6560" s="38" t="s">
        <v>94</v>
      </c>
      <c r="G6560" s="49" t="str">
        <f t="shared" si="1"/>
        <v>31450</v>
      </c>
      <c r="H6560" s="49">
        <f t="shared" si="2"/>
        <v>31162</v>
      </c>
    </row>
    <row r="6561">
      <c r="A6561" s="48" t="s">
        <v>1872</v>
      </c>
      <c r="B6561" s="38">
        <v>80109.0</v>
      </c>
      <c r="C6561" s="38" t="s">
        <v>9932</v>
      </c>
      <c r="D6561" s="38" t="str">
        <f>IFERROR(__xludf.DUMMYFUNCTION("REGEXREPLACE(C6561,""-\d+(.*)|--\d+(.*)"","""")"),"LE BOISLE")</f>
        <v>LE BOISLE</v>
      </c>
      <c r="E6561" s="38" t="s">
        <v>224</v>
      </c>
      <c r="F6561" s="38" t="s">
        <v>113</v>
      </c>
      <c r="G6561" s="49" t="str">
        <f t="shared" si="1"/>
        <v>80150</v>
      </c>
      <c r="H6561" s="49">
        <f t="shared" si="2"/>
        <v>80109</v>
      </c>
    </row>
    <row r="6562">
      <c r="A6562" s="48" t="s">
        <v>580</v>
      </c>
      <c r="B6562" s="38">
        <v>31222.0</v>
      </c>
      <c r="C6562" s="38" t="s">
        <v>9933</v>
      </c>
      <c r="D6562" s="38" t="str">
        <f>IFERROR(__xludf.DUMMYFUNCTION("REGEXREPLACE(C6562,""-\d+(.*)|--\d+(.*)"","""")"),"GOUAUX-DE-LUCHON")</f>
        <v>GOUAUX-DE-LUCHON</v>
      </c>
      <c r="E6562" s="38" t="s">
        <v>93</v>
      </c>
      <c r="F6562" s="38" t="s">
        <v>94</v>
      </c>
      <c r="G6562" s="49" t="str">
        <f t="shared" si="1"/>
        <v>31110</v>
      </c>
      <c r="H6562" s="49">
        <f t="shared" si="2"/>
        <v>31222</v>
      </c>
    </row>
    <row r="6563">
      <c r="A6563" s="48" t="s">
        <v>5542</v>
      </c>
      <c r="B6563" s="38">
        <v>89405.0</v>
      </c>
      <c r="C6563" s="38" t="s">
        <v>9934</v>
      </c>
      <c r="D6563" s="38" t="str">
        <f>IFERROR(__xludf.DUMMYFUNCTION("REGEXREPLACE(C6563,""-\d+(.*)|--\d+(.*)"","""")"),"TAINGY")</f>
        <v>TAINGY</v>
      </c>
      <c r="E6563" s="38" t="s">
        <v>275</v>
      </c>
      <c r="F6563" s="38" t="s">
        <v>106</v>
      </c>
      <c r="G6563" s="49" t="str">
        <f t="shared" si="1"/>
        <v>89560</v>
      </c>
      <c r="H6563" s="49">
        <f t="shared" si="2"/>
        <v>89405</v>
      </c>
    </row>
    <row r="6564">
      <c r="A6564" s="48" t="s">
        <v>1991</v>
      </c>
      <c r="B6564" s="38">
        <v>54248.0</v>
      </c>
      <c r="C6564" s="38" t="s">
        <v>9935</v>
      </c>
      <c r="D6564" s="38" t="str">
        <f>IFERROR(__xludf.DUMMYFUNCTION("REGEXREPLACE(C6564,""-\d+(.*)|--\d+(.*)"","""")"),"HAMONVILLE")</f>
        <v>HAMONVILLE</v>
      </c>
      <c r="E6564" s="38" t="s">
        <v>548</v>
      </c>
      <c r="F6564" s="38" t="s">
        <v>195</v>
      </c>
      <c r="G6564" s="49" t="str">
        <f t="shared" si="1"/>
        <v>54470</v>
      </c>
      <c r="H6564" s="49">
        <f t="shared" si="2"/>
        <v>54248</v>
      </c>
    </row>
    <row r="6565">
      <c r="A6565" s="48" t="s">
        <v>8570</v>
      </c>
      <c r="B6565" s="38">
        <v>68133.0</v>
      </c>
      <c r="C6565" s="38" t="s">
        <v>9936</v>
      </c>
      <c r="D6565" s="38" t="str">
        <f>IFERROR(__xludf.DUMMYFUNCTION("REGEXREPLACE(C6565,""-\d+(.*)|--\d+(.*)"","""")"),"HENFLINGEN")</f>
        <v>HENFLINGEN</v>
      </c>
      <c r="E6565" s="38" t="s">
        <v>150</v>
      </c>
      <c r="F6565" s="38" t="s">
        <v>151</v>
      </c>
      <c r="G6565" s="49" t="str">
        <f t="shared" si="1"/>
        <v>68960</v>
      </c>
      <c r="H6565" s="49">
        <f t="shared" si="2"/>
        <v>68133</v>
      </c>
    </row>
    <row r="6566">
      <c r="A6566" s="48" t="s">
        <v>858</v>
      </c>
      <c r="B6566" s="38">
        <v>77462.0</v>
      </c>
      <c r="C6566" s="38" t="s">
        <v>9937</v>
      </c>
      <c r="D6566" s="38" t="str">
        <f>IFERROR(__xludf.DUMMYFUNCTION("REGEXREPLACE(C6566,""-\d+(.*)|--\d+(.*)"","""")"),"THIEUX")</f>
        <v>THIEUX</v>
      </c>
      <c r="E6566" s="38" t="s">
        <v>244</v>
      </c>
      <c r="F6566" s="38" t="s">
        <v>245</v>
      </c>
      <c r="G6566" s="49" t="str">
        <f t="shared" si="1"/>
        <v>77230</v>
      </c>
      <c r="H6566" s="49">
        <f t="shared" si="2"/>
        <v>77462</v>
      </c>
    </row>
    <row r="6567">
      <c r="A6567" s="48" t="s">
        <v>2905</v>
      </c>
      <c r="B6567" s="38">
        <v>21065.0</v>
      </c>
      <c r="C6567" s="38" t="s">
        <v>9938</v>
      </c>
      <c r="D6567" s="38" t="str">
        <f>IFERROR(__xludf.DUMMYFUNCTION("REGEXREPLACE(C6567,""-\d+(.*)|--\d+(.*)"","""")"),"BESSEY-EN-CHAUME")</f>
        <v>BESSEY-EN-CHAUME</v>
      </c>
      <c r="E6567" s="38" t="s">
        <v>105</v>
      </c>
      <c r="F6567" s="38" t="s">
        <v>106</v>
      </c>
      <c r="G6567" s="49" t="str">
        <f t="shared" si="1"/>
        <v>21360</v>
      </c>
      <c r="H6567" s="49">
        <f t="shared" si="2"/>
        <v>21065</v>
      </c>
    </row>
    <row r="6568">
      <c r="A6568" s="48" t="s">
        <v>2059</v>
      </c>
      <c r="B6568" s="38">
        <v>37087.0</v>
      </c>
      <c r="C6568" s="38" t="s">
        <v>9939</v>
      </c>
      <c r="D6568" s="38" t="str">
        <f>IFERROR(__xludf.DUMMYFUNCTION("REGEXREPLACE(C6568,""-\d+(.*)|--\d+(.*)"","""")"),"COURCOUE")</f>
        <v>COURCOUE</v>
      </c>
      <c r="E6568" s="38" t="s">
        <v>205</v>
      </c>
      <c r="F6568" s="38" t="s">
        <v>123</v>
      </c>
      <c r="G6568" s="49" t="str">
        <f t="shared" si="1"/>
        <v>37120</v>
      </c>
      <c r="H6568" s="49">
        <f t="shared" si="2"/>
        <v>37087</v>
      </c>
    </row>
    <row r="6569">
      <c r="A6569" s="48" t="s">
        <v>9940</v>
      </c>
      <c r="B6569" s="38">
        <v>62003.0</v>
      </c>
      <c r="C6569" s="38" t="s">
        <v>9941</v>
      </c>
      <c r="D6569" s="38" t="str">
        <f>IFERROR(__xludf.DUMMYFUNCTION("REGEXREPLACE(C6569,""-\d+(.*)|--\d+(.*)"","""")"),"ACHEVILLE")</f>
        <v>ACHEVILLE</v>
      </c>
      <c r="E6569" s="38" t="s">
        <v>109</v>
      </c>
      <c r="F6569" s="38" t="s">
        <v>86</v>
      </c>
      <c r="G6569" s="49" t="str">
        <f t="shared" si="1"/>
        <v>62320</v>
      </c>
      <c r="H6569" s="49">
        <f t="shared" si="2"/>
        <v>62003</v>
      </c>
    </row>
    <row r="6570">
      <c r="A6570" s="48" t="s">
        <v>4272</v>
      </c>
      <c r="B6570" s="38">
        <v>76417.0</v>
      </c>
      <c r="C6570" s="38" t="s">
        <v>9942</v>
      </c>
      <c r="D6570" s="38" t="str">
        <f>IFERROR(__xludf.DUMMYFUNCTION("REGEXREPLACE(C6570,""-\d+(.*)|--\d+(.*)"","""")"),"MAUCOMBLE")</f>
        <v>MAUCOMBLE</v>
      </c>
      <c r="E6570" s="38" t="s">
        <v>133</v>
      </c>
      <c r="F6570" s="38" t="s">
        <v>134</v>
      </c>
      <c r="G6570" s="49" t="str">
        <f t="shared" si="1"/>
        <v>76680</v>
      </c>
      <c r="H6570" s="49">
        <f t="shared" si="2"/>
        <v>76417</v>
      </c>
    </row>
    <row r="6571">
      <c r="A6571" s="48" t="s">
        <v>2659</v>
      </c>
      <c r="B6571" s="38">
        <v>80792.0</v>
      </c>
      <c r="C6571" s="38" t="s">
        <v>9943</v>
      </c>
      <c r="D6571" s="38" t="str">
        <f>IFERROR(__xludf.DUMMYFUNCTION("REGEXREPLACE(C6571,""-\d+(.*)|--\d+(.*)"","""")"),"LA VICOGNE")</f>
        <v>LA VICOGNE</v>
      </c>
      <c r="E6571" s="38" t="s">
        <v>224</v>
      </c>
      <c r="F6571" s="38" t="s">
        <v>113</v>
      </c>
      <c r="G6571" s="49" t="str">
        <f t="shared" si="1"/>
        <v>80260</v>
      </c>
      <c r="H6571" s="49">
        <f t="shared" si="2"/>
        <v>80792</v>
      </c>
    </row>
    <row r="6572">
      <c r="A6572" s="48" t="s">
        <v>9944</v>
      </c>
      <c r="B6572" s="38">
        <v>71506.0</v>
      </c>
      <c r="C6572" s="38" t="s">
        <v>9945</v>
      </c>
      <c r="D6572" s="38" t="str">
        <f>IFERROR(__xludf.DUMMYFUNCTION("REGEXREPLACE(C6572,""-\d+(.*)|--\d+(.*)"","""")"),"SAVIGNY-EN-REVERMONT")</f>
        <v>SAVIGNY-EN-REVERMONT</v>
      </c>
      <c r="E6572" s="38" t="s">
        <v>344</v>
      </c>
      <c r="F6572" s="38" t="s">
        <v>106</v>
      </c>
      <c r="G6572" s="49" t="str">
        <f t="shared" si="1"/>
        <v>71580</v>
      </c>
      <c r="H6572" s="49">
        <f t="shared" si="2"/>
        <v>71506</v>
      </c>
    </row>
    <row r="6573">
      <c r="A6573" s="48" t="s">
        <v>9946</v>
      </c>
      <c r="B6573" s="38">
        <v>15118.0</v>
      </c>
      <c r="C6573" s="38" t="s">
        <v>9947</v>
      </c>
      <c r="D6573" s="38" t="str">
        <f>IFERROR(__xludf.DUMMYFUNCTION("REGEXREPLACE(C6573,""-\d+(.*)|--\d+(.*)"","""")"),"MARMANHAC")</f>
        <v>MARMANHAC</v>
      </c>
      <c r="E6573" s="38" t="s">
        <v>632</v>
      </c>
      <c r="F6573" s="38" t="s">
        <v>161</v>
      </c>
      <c r="G6573" s="49" t="str">
        <f t="shared" si="1"/>
        <v>15250</v>
      </c>
      <c r="H6573" s="49">
        <f t="shared" si="2"/>
        <v>15118</v>
      </c>
    </row>
    <row r="6574">
      <c r="A6574" s="48" t="s">
        <v>5162</v>
      </c>
      <c r="B6574" s="38">
        <v>47160.0</v>
      </c>
      <c r="C6574" s="38" t="s">
        <v>9948</v>
      </c>
      <c r="D6574" s="38" t="str">
        <f>IFERROR(__xludf.DUMMYFUNCTION("REGEXREPLACE(C6574,""-\d+(.*)|--\d+(.*)"","""")"),"MASQUIERES")</f>
        <v>MASQUIERES</v>
      </c>
      <c r="E6574" s="38" t="s">
        <v>251</v>
      </c>
      <c r="F6574" s="38" t="s">
        <v>252</v>
      </c>
      <c r="G6574" s="49" t="str">
        <f t="shared" si="1"/>
        <v>47370</v>
      </c>
      <c r="H6574" s="49">
        <f t="shared" si="2"/>
        <v>47160</v>
      </c>
    </row>
    <row r="6575">
      <c r="A6575" s="48" t="s">
        <v>1718</v>
      </c>
      <c r="B6575" s="38">
        <v>43211.0</v>
      </c>
      <c r="C6575" s="38" t="s">
        <v>9949</v>
      </c>
      <c r="D6575" s="38" t="str">
        <f>IFERROR(__xludf.DUMMYFUNCTION("REGEXREPLACE(C6575,""-\d+(.*)|--\d+(.*)"","""")"),"SAINT-MAURICE-DE-LIGNON")</f>
        <v>SAINT-MAURICE-DE-LIGNON</v>
      </c>
      <c r="E6575" s="38" t="s">
        <v>332</v>
      </c>
      <c r="F6575" s="38" t="s">
        <v>161</v>
      </c>
      <c r="G6575" s="49" t="str">
        <f t="shared" si="1"/>
        <v>43200</v>
      </c>
      <c r="H6575" s="49">
        <f t="shared" si="2"/>
        <v>43211</v>
      </c>
    </row>
    <row r="6576">
      <c r="A6576" s="48" t="s">
        <v>8510</v>
      </c>
      <c r="B6576" s="38">
        <v>39317.0</v>
      </c>
      <c r="C6576" s="38" t="s">
        <v>9950</v>
      </c>
      <c r="D6576" s="38" t="str">
        <f>IFERROR(__xludf.DUMMYFUNCTION("REGEXREPLACE(C6576,""-\d+(.*)|--\d+(.*)"","""")"),"LA MARRE")</f>
        <v>LA MARRE</v>
      </c>
      <c r="E6576" s="38" t="s">
        <v>400</v>
      </c>
      <c r="F6576" s="38" t="s">
        <v>214</v>
      </c>
      <c r="G6576" s="49" t="str">
        <f t="shared" si="1"/>
        <v>39210</v>
      </c>
      <c r="H6576" s="49">
        <f t="shared" si="2"/>
        <v>39317</v>
      </c>
    </row>
    <row r="6577">
      <c r="A6577" s="48" t="s">
        <v>2668</v>
      </c>
      <c r="B6577" s="38">
        <v>55345.0</v>
      </c>
      <c r="C6577" s="38" t="s">
        <v>9951</v>
      </c>
      <c r="D6577" s="38" t="str">
        <f>IFERROR(__xludf.DUMMYFUNCTION("REGEXREPLACE(C6577,""-\d+(.*)|--\d+(.*)"","""")"),"MONT-DEVANT-SASSEY")</f>
        <v>MONT-DEVANT-SASSEY</v>
      </c>
      <c r="E6577" s="38" t="s">
        <v>322</v>
      </c>
      <c r="F6577" s="38" t="s">
        <v>195</v>
      </c>
      <c r="G6577" s="49" t="str">
        <f t="shared" si="1"/>
        <v>55110</v>
      </c>
      <c r="H6577" s="49">
        <f t="shared" si="2"/>
        <v>55345</v>
      </c>
    </row>
    <row r="6578">
      <c r="A6578" s="48" t="s">
        <v>3716</v>
      </c>
      <c r="B6578" s="38">
        <v>57167.0</v>
      </c>
      <c r="C6578" s="38" t="s">
        <v>9952</v>
      </c>
      <c r="D6578" s="38" t="str">
        <f>IFERROR(__xludf.DUMMYFUNCTION("REGEXREPLACE(C6578,""-\d+(.*)|--\d+(.*)"","""")"),"DALSTEIN")</f>
        <v>DALSTEIN</v>
      </c>
      <c r="E6578" s="38" t="s">
        <v>303</v>
      </c>
      <c r="F6578" s="38" t="s">
        <v>195</v>
      </c>
      <c r="G6578" s="49" t="str">
        <f t="shared" si="1"/>
        <v>57320</v>
      </c>
      <c r="H6578" s="49">
        <f t="shared" si="2"/>
        <v>57167</v>
      </c>
    </row>
    <row r="6579">
      <c r="A6579" s="48" t="s">
        <v>6129</v>
      </c>
      <c r="B6579" s="38">
        <v>67206.0</v>
      </c>
      <c r="C6579" s="38" t="s">
        <v>9953</v>
      </c>
      <c r="D6579" s="38" t="str">
        <f>IFERROR(__xludf.DUMMYFUNCTION("REGEXREPLACE(C6579,""-\d+(.*)|--\d+(.*)"","""")"),"HOFFEN")</f>
        <v>HOFFEN</v>
      </c>
      <c r="E6579" s="38" t="s">
        <v>210</v>
      </c>
      <c r="F6579" s="38" t="s">
        <v>151</v>
      </c>
      <c r="G6579" s="49" t="str">
        <f t="shared" si="1"/>
        <v>67250</v>
      </c>
      <c r="H6579" s="49">
        <f t="shared" si="2"/>
        <v>67206</v>
      </c>
    </row>
    <row r="6580">
      <c r="A6580" s="48" t="s">
        <v>4428</v>
      </c>
      <c r="B6580" s="38">
        <v>72034.0</v>
      </c>
      <c r="C6580" s="38" t="s">
        <v>9954</v>
      </c>
      <c r="D6580" s="38" t="str">
        <f>IFERROR(__xludf.DUMMYFUNCTION("REGEXREPLACE(C6580,""-\d+(.*)|--\d+(.*)"","""")"),"BERUS")</f>
        <v>BERUS</v>
      </c>
      <c r="E6580" s="38" t="s">
        <v>521</v>
      </c>
      <c r="F6580" s="38" t="s">
        <v>180</v>
      </c>
      <c r="G6580" s="49" t="str">
        <f t="shared" si="1"/>
        <v>72610</v>
      </c>
      <c r="H6580" s="49">
        <f t="shared" si="2"/>
        <v>72034</v>
      </c>
    </row>
    <row r="6581">
      <c r="A6581" s="48" t="s">
        <v>874</v>
      </c>
      <c r="B6581" s="38" t="s">
        <v>9955</v>
      </c>
      <c r="C6581" s="38" t="s">
        <v>9956</v>
      </c>
      <c r="D6581" s="38" t="str">
        <f>IFERROR(__xludf.DUMMYFUNCTION("REGEXREPLACE(C6581,""-\d+(.*)|--\d+(.*)"","""")"),"PIEDIPARTINO")</f>
        <v>PIEDIPARTINO</v>
      </c>
      <c r="E6581" s="38" t="s">
        <v>743</v>
      </c>
      <c r="F6581" s="38" t="s">
        <v>607</v>
      </c>
      <c r="G6581" s="49" t="str">
        <f t="shared" si="1"/>
        <v>20229</v>
      </c>
      <c r="H6581" s="49" t="str">
        <f t="shared" si="2"/>
        <v>2B221</v>
      </c>
    </row>
    <row r="6582">
      <c r="A6582" s="48" t="s">
        <v>1258</v>
      </c>
      <c r="B6582" s="38">
        <v>35201.0</v>
      </c>
      <c r="C6582" s="38" t="s">
        <v>9957</v>
      </c>
      <c r="D6582" s="38" t="str">
        <f>IFERROR(__xludf.DUMMYFUNCTION("REGEXREPLACE(C6582,""-\d+(.*)|--\d+(.*)"","""")"),"MUEL")</f>
        <v>MUEL</v>
      </c>
      <c r="E6582" s="38" t="s">
        <v>347</v>
      </c>
      <c r="F6582" s="38" t="s">
        <v>90</v>
      </c>
      <c r="G6582" s="49" t="str">
        <f t="shared" si="1"/>
        <v>35290</v>
      </c>
      <c r="H6582" s="49">
        <f t="shared" si="2"/>
        <v>35201</v>
      </c>
    </row>
    <row r="6583">
      <c r="A6583" s="48" t="s">
        <v>5302</v>
      </c>
      <c r="B6583" s="38">
        <v>14151.0</v>
      </c>
      <c r="C6583" s="38" t="s">
        <v>9958</v>
      </c>
      <c r="D6583" s="38" t="str">
        <f>IFERROR(__xludf.DUMMYFUNCTION("REGEXREPLACE(C6583,""-\d+(.*)|--\d+(.*)"","""")"),"CHAMP-DU-BOULT")</f>
        <v>CHAMP-DU-BOULT</v>
      </c>
      <c r="E6583" s="38" t="s">
        <v>137</v>
      </c>
      <c r="F6583" s="38" t="s">
        <v>138</v>
      </c>
      <c r="G6583" s="49" t="str">
        <f t="shared" si="1"/>
        <v>14380</v>
      </c>
      <c r="H6583" s="49">
        <f t="shared" si="2"/>
        <v>14151</v>
      </c>
    </row>
    <row r="6584">
      <c r="A6584" s="48" t="s">
        <v>3967</v>
      </c>
      <c r="B6584" s="38">
        <v>50460.0</v>
      </c>
      <c r="C6584" s="38" t="s">
        <v>9959</v>
      </c>
      <c r="D6584" s="38" t="str">
        <f>IFERROR(__xludf.DUMMYFUNCTION("REGEXREPLACE(C6584,""-\d+(.*)|--\d+(.*)"","""")"),"SAINTE-CROIX-HAGUE")</f>
        <v>SAINTE-CROIX-HAGUE</v>
      </c>
      <c r="E6584" s="38" t="s">
        <v>157</v>
      </c>
      <c r="F6584" s="38" t="s">
        <v>138</v>
      </c>
      <c r="G6584" s="49" t="str">
        <f t="shared" si="1"/>
        <v>50440</v>
      </c>
      <c r="H6584" s="49">
        <f t="shared" si="2"/>
        <v>50460</v>
      </c>
    </row>
    <row r="6585">
      <c r="A6585" s="48" t="s">
        <v>5612</v>
      </c>
      <c r="B6585" s="38">
        <v>52453.0</v>
      </c>
      <c r="C6585" s="38" t="s">
        <v>209</v>
      </c>
      <c r="D6585" s="38" t="str">
        <f>IFERROR(__xludf.DUMMYFUNCTION("REGEXREPLACE(C6585,""-\d+(.*)|--\d+(.*)"","""")"),"SAINT-MAURICE")</f>
        <v>SAINT-MAURICE</v>
      </c>
      <c r="E6585" s="38" t="s">
        <v>234</v>
      </c>
      <c r="F6585" s="38" t="s">
        <v>130</v>
      </c>
      <c r="G6585" s="49" t="str">
        <f t="shared" si="1"/>
        <v>52200</v>
      </c>
      <c r="H6585" s="49">
        <f t="shared" si="2"/>
        <v>52453</v>
      </c>
    </row>
    <row r="6586">
      <c r="A6586" s="48" t="s">
        <v>5648</v>
      </c>
      <c r="B6586" s="38">
        <v>76606.0</v>
      </c>
      <c r="C6586" s="38" t="s">
        <v>9960</v>
      </c>
      <c r="D6586" s="38" t="str">
        <f>IFERROR(__xludf.DUMMYFUNCTION("REGEXREPLACE(C6586,""-\d+(.*)|--\d+(.*)"","""")"),"MORIENNE")</f>
        <v>MORIENNE</v>
      </c>
      <c r="E6586" s="38" t="s">
        <v>133</v>
      </c>
      <c r="F6586" s="38" t="s">
        <v>134</v>
      </c>
      <c r="G6586" s="49" t="str">
        <f t="shared" si="1"/>
        <v>76390</v>
      </c>
      <c r="H6586" s="49">
        <f t="shared" si="2"/>
        <v>76606</v>
      </c>
    </row>
    <row r="6587">
      <c r="A6587" s="48" t="s">
        <v>4557</v>
      </c>
      <c r="B6587" s="38">
        <v>46199.0</v>
      </c>
      <c r="C6587" s="38" t="s">
        <v>9961</v>
      </c>
      <c r="D6587" s="38" t="str">
        <f>IFERROR(__xludf.DUMMYFUNCTION("REGEXREPLACE(C6587,""-\d+(.*)|--\d+(.*)"","""")"),"MONTCABRIER")</f>
        <v>MONTCABRIER</v>
      </c>
      <c r="E6587" s="38" t="s">
        <v>185</v>
      </c>
      <c r="F6587" s="38" t="s">
        <v>94</v>
      </c>
      <c r="G6587" s="49" t="str">
        <f t="shared" si="1"/>
        <v>46700</v>
      </c>
      <c r="H6587" s="49">
        <f t="shared" si="2"/>
        <v>46199</v>
      </c>
    </row>
    <row r="6588">
      <c r="A6588" s="48" t="s">
        <v>2547</v>
      </c>
      <c r="B6588" s="38">
        <v>8061.0</v>
      </c>
      <c r="C6588" s="38" t="s">
        <v>9962</v>
      </c>
      <c r="D6588" s="38" t="str">
        <f>IFERROR(__xludf.DUMMYFUNCTION("REGEXREPLACE(C6588,""-\d+(.*)|--\d+(.*)"","""")"),"LA BERLIERE")</f>
        <v>LA BERLIERE</v>
      </c>
      <c r="E6588" s="38" t="s">
        <v>327</v>
      </c>
      <c r="F6588" s="38" t="s">
        <v>130</v>
      </c>
      <c r="G6588" s="49" t="str">
        <f t="shared" si="1"/>
        <v>08240</v>
      </c>
      <c r="H6588" s="49" t="str">
        <f t="shared" si="2"/>
        <v>08061</v>
      </c>
    </row>
    <row r="6589">
      <c r="A6589" s="48" t="s">
        <v>6997</v>
      </c>
      <c r="B6589" s="38">
        <v>62679.0</v>
      </c>
      <c r="C6589" s="38" t="s">
        <v>9963</v>
      </c>
      <c r="D6589" s="38" t="str">
        <f>IFERROR(__xludf.DUMMYFUNCTION("REGEXREPLACE(C6589,""-\d+(.*)|--\d+(.*)"","""")"),"QUESTRECQUES")</f>
        <v>QUESTRECQUES</v>
      </c>
      <c r="E6589" s="38" t="s">
        <v>109</v>
      </c>
      <c r="F6589" s="38" t="s">
        <v>86</v>
      </c>
      <c r="G6589" s="49" t="str">
        <f t="shared" si="1"/>
        <v>62830</v>
      </c>
      <c r="H6589" s="49">
        <f t="shared" si="2"/>
        <v>62679</v>
      </c>
    </row>
    <row r="6590">
      <c r="A6590" s="48" t="s">
        <v>8059</v>
      </c>
      <c r="B6590" s="38">
        <v>70262.0</v>
      </c>
      <c r="C6590" s="38" t="s">
        <v>9964</v>
      </c>
      <c r="D6590" s="38" t="str">
        <f>IFERROR(__xludf.DUMMYFUNCTION("REGEXREPLACE(C6590,""-\d+(.*)|--\d+(.*)"","""")"),"GENEVREUILLE")</f>
        <v>GENEVREUILLE</v>
      </c>
      <c r="E6590" s="38" t="s">
        <v>956</v>
      </c>
      <c r="F6590" s="38" t="s">
        <v>214</v>
      </c>
      <c r="G6590" s="49" t="str">
        <f t="shared" si="1"/>
        <v>70240</v>
      </c>
      <c r="H6590" s="49">
        <f t="shared" si="2"/>
        <v>70262</v>
      </c>
    </row>
    <row r="6591">
      <c r="A6591" s="48" t="s">
        <v>9965</v>
      </c>
      <c r="B6591" s="38">
        <v>19074.0</v>
      </c>
      <c r="C6591" s="38" t="s">
        <v>9966</v>
      </c>
      <c r="D6591" s="38" t="str">
        <f>IFERROR(__xludf.DUMMYFUNCTION("REGEXREPLACE(C6591,""-\d+(.*)|--\d+(.*)"","""")"),"L'EGLISE-AUX-BOIS")</f>
        <v>L'EGLISE-AUX-BOIS</v>
      </c>
      <c r="E6591" s="38" t="s">
        <v>271</v>
      </c>
      <c r="F6591" s="38" t="s">
        <v>98</v>
      </c>
      <c r="G6591" s="49" t="str">
        <f t="shared" si="1"/>
        <v>19170</v>
      </c>
      <c r="H6591" s="49">
        <f t="shared" si="2"/>
        <v>19074</v>
      </c>
    </row>
    <row r="6592">
      <c r="A6592" s="48" t="s">
        <v>9967</v>
      </c>
      <c r="B6592" s="38">
        <v>35004.0</v>
      </c>
      <c r="C6592" s="38" t="s">
        <v>9968</v>
      </c>
      <c r="D6592" s="38" t="str">
        <f>IFERROR(__xludf.DUMMYFUNCTION("REGEXREPLACE(C6592,""-\d+(.*)|--\d+(.*)"","""")"),"ANTRAIN")</f>
        <v>ANTRAIN</v>
      </c>
      <c r="E6592" s="38" t="s">
        <v>347</v>
      </c>
      <c r="F6592" s="38" t="s">
        <v>90</v>
      </c>
      <c r="G6592" s="49" t="str">
        <f t="shared" si="1"/>
        <v>35560</v>
      </c>
      <c r="H6592" s="49">
        <f t="shared" si="2"/>
        <v>35004</v>
      </c>
    </row>
    <row r="6593">
      <c r="A6593" s="48" t="s">
        <v>2318</v>
      </c>
      <c r="B6593" s="38">
        <v>43074.0</v>
      </c>
      <c r="C6593" s="38" t="s">
        <v>9969</v>
      </c>
      <c r="D6593" s="38" t="str">
        <f>IFERROR(__xludf.DUMMYFUNCTION("REGEXREPLACE(C6593,""-\d+(.*)|--\d+(.*)"","""")"),"COHADE")</f>
        <v>COHADE</v>
      </c>
      <c r="E6593" s="38" t="s">
        <v>332</v>
      </c>
      <c r="F6593" s="38" t="s">
        <v>161</v>
      </c>
      <c r="G6593" s="49" t="str">
        <f t="shared" si="1"/>
        <v>43100</v>
      </c>
      <c r="H6593" s="49">
        <f t="shared" si="2"/>
        <v>43074</v>
      </c>
    </row>
    <row r="6594">
      <c r="A6594" s="48" t="s">
        <v>8439</v>
      </c>
      <c r="B6594" s="38">
        <v>89402.0</v>
      </c>
      <c r="C6594" s="38" t="s">
        <v>9970</v>
      </c>
      <c r="D6594" s="38" t="str">
        <f>IFERROR(__xludf.DUMMYFUNCTION("REGEXREPLACE(C6594,""-\d+(.*)|--\d+(.*)"","""")"),"SOUMAINTRAIN")</f>
        <v>SOUMAINTRAIN</v>
      </c>
      <c r="E6594" s="38" t="s">
        <v>275</v>
      </c>
      <c r="F6594" s="38" t="s">
        <v>106</v>
      </c>
      <c r="G6594" s="49" t="str">
        <f t="shared" si="1"/>
        <v>89570</v>
      </c>
      <c r="H6594" s="49">
        <f t="shared" si="2"/>
        <v>89402</v>
      </c>
    </row>
    <row r="6595">
      <c r="A6595" s="48" t="s">
        <v>1544</v>
      </c>
      <c r="B6595" s="38">
        <v>2312.0</v>
      </c>
      <c r="C6595" s="38" t="s">
        <v>9971</v>
      </c>
      <c r="D6595" s="38" t="str">
        <f>IFERROR(__xludf.DUMMYFUNCTION("REGEXREPLACE(C6595,""-\d+(.*)|--\d+(.*)"","""")"),"LA FLAMENGRIE")</f>
        <v>LA FLAMENGRIE</v>
      </c>
      <c r="E6595" s="38" t="s">
        <v>191</v>
      </c>
      <c r="F6595" s="38" t="s">
        <v>113</v>
      </c>
      <c r="G6595" s="49" t="str">
        <f t="shared" si="1"/>
        <v>02260</v>
      </c>
      <c r="H6595" s="49" t="str">
        <f t="shared" si="2"/>
        <v>02312</v>
      </c>
    </row>
    <row r="6596">
      <c r="A6596" s="48" t="s">
        <v>2285</v>
      </c>
      <c r="B6596" s="38">
        <v>23040.0</v>
      </c>
      <c r="C6596" s="38" t="s">
        <v>9972</v>
      </c>
      <c r="D6596" s="38" t="str">
        <f>IFERROR(__xludf.DUMMYFUNCTION("REGEXREPLACE(C6596,""-\d+(.*)|--\d+(.*)"","""")"),"LA CELLE-SOUS-GOUZON")</f>
        <v>LA CELLE-SOUS-GOUZON</v>
      </c>
      <c r="E6596" s="38" t="s">
        <v>97</v>
      </c>
      <c r="F6596" s="38" t="s">
        <v>98</v>
      </c>
      <c r="G6596" s="49" t="str">
        <f t="shared" si="1"/>
        <v>23230</v>
      </c>
      <c r="H6596" s="49">
        <f t="shared" si="2"/>
        <v>23040</v>
      </c>
    </row>
    <row r="6597">
      <c r="A6597" s="48" t="s">
        <v>232</v>
      </c>
      <c r="B6597" s="38">
        <v>52344.0</v>
      </c>
      <c r="C6597" s="38" t="s">
        <v>9973</v>
      </c>
      <c r="D6597" s="38" t="str">
        <f>IFERROR(__xludf.DUMMYFUNCTION("REGEXREPLACE(C6597,""-\d+(.*)|--\d+(.*)"","""")"),"MOUILLERON")</f>
        <v>MOUILLERON</v>
      </c>
      <c r="E6597" s="38" t="s">
        <v>234</v>
      </c>
      <c r="F6597" s="38" t="s">
        <v>130</v>
      </c>
      <c r="G6597" s="49" t="str">
        <f t="shared" si="1"/>
        <v>52160</v>
      </c>
      <c r="H6597" s="49">
        <f t="shared" si="2"/>
        <v>52344</v>
      </c>
    </row>
    <row r="6598">
      <c r="A6598" s="48" t="s">
        <v>4030</v>
      </c>
      <c r="B6598" s="38">
        <v>16188.0</v>
      </c>
      <c r="C6598" s="38" t="s">
        <v>9974</v>
      </c>
      <c r="D6598" s="38" t="str">
        <f>IFERROR(__xludf.DUMMYFUNCTION("REGEXREPLACE(C6598,""-\d+(.*)|--\d+(.*)"","""")"),"LE LINDOIS")</f>
        <v>LE LINDOIS</v>
      </c>
      <c r="E6598" s="38" t="s">
        <v>429</v>
      </c>
      <c r="F6598" s="38" t="s">
        <v>338</v>
      </c>
      <c r="G6598" s="49" t="str">
        <f t="shared" si="1"/>
        <v>16310</v>
      </c>
      <c r="H6598" s="49">
        <f t="shared" si="2"/>
        <v>16188</v>
      </c>
    </row>
    <row r="6599">
      <c r="A6599" s="48" t="s">
        <v>9975</v>
      </c>
      <c r="B6599" s="38">
        <v>41268.0</v>
      </c>
      <c r="C6599" s="38" t="s">
        <v>9976</v>
      </c>
      <c r="D6599" s="38" t="str">
        <f>IFERROR(__xludf.DUMMYFUNCTION("REGEXREPLACE(C6599,""-\d+(.*)|--\d+(.*)"","""")"),"VEILLEINS")</f>
        <v>VEILLEINS</v>
      </c>
      <c r="E6599" s="38" t="s">
        <v>188</v>
      </c>
      <c r="F6599" s="38" t="s">
        <v>123</v>
      </c>
      <c r="G6599" s="49" t="str">
        <f t="shared" si="1"/>
        <v>41230</v>
      </c>
      <c r="H6599" s="49">
        <f t="shared" si="2"/>
        <v>41268</v>
      </c>
    </row>
    <row r="6600">
      <c r="A6600" s="48" t="s">
        <v>1195</v>
      </c>
      <c r="B6600" s="38">
        <v>80156.0</v>
      </c>
      <c r="C6600" s="38" t="s">
        <v>9977</v>
      </c>
      <c r="D6600" s="38" t="str">
        <f>IFERROR(__xludf.DUMMYFUNCTION("REGEXREPLACE(C6600,""-\d+(.*)|--\d+(.*)"","""")"),"BUSSY-LES-DAOURS")</f>
        <v>BUSSY-LES-DAOURS</v>
      </c>
      <c r="E6600" s="38" t="s">
        <v>224</v>
      </c>
      <c r="F6600" s="38" t="s">
        <v>113</v>
      </c>
      <c r="G6600" s="49" t="str">
        <f t="shared" si="1"/>
        <v>80800</v>
      </c>
      <c r="H6600" s="49">
        <f t="shared" si="2"/>
        <v>80156</v>
      </c>
    </row>
    <row r="6601">
      <c r="A6601" s="48" t="s">
        <v>1885</v>
      </c>
      <c r="B6601" s="38">
        <v>27207.0</v>
      </c>
      <c r="C6601" s="38" t="s">
        <v>9978</v>
      </c>
      <c r="D6601" s="38" t="str">
        <f>IFERROR(__xludf.DUMMYFUNCTION("REGEXREPLACE(C6601,""-\d+(.*)|--\d+(.*)"","""")"),"DRUCOURT")</f>
        <v>DRUCOURT</v>
      </c>
      <c r="E6601" s="38" t="s">
        <v>241</v>
      </c>
      <c r="F6601" s="38" t="s">
        <v>134</v>
      </c>
      <c r="G6601" s="49" t="str">
        <f t="shared" si="1"/>
        <v>27230</v>
      </c>
      <c r="H6601" s="49">
        <f t="shared" si="2"/>
        <v>27207</v>
      </c>
    </row>
    <row r="6602">
      <c r="A6602" s="48" t="s">
        <v>1428</v>
      </c>
      <c r="B6602" s="38">
        <v>31498.0</v>
      </c>
      <c r="C6602" s="38" t="s">
        <v>9979</v>
      </c>
      <c r="D6602" s="38" t="str">
        <f>IFERROR(__xludf.DUMMYFUNCTION("REGEXREPLACE(C6602,""-\d+(.*)|--\d+(.*)"","""")"),"SAINT-LOUP-EN-COMMINGES")</f>
        <v>SAINT-LOUP-EN-COMMINGES</v>
      </c>
      <c r="E6602" s="38" t="s">
        <v>93</v>
      </c>
      <c r="F6602" s="38" t="s">
        <v>94</v>
      </c>
      <c r="G6602" s="49" t="str">
        <f t="shared" si="1"/>
        <v>31350</v>
      </c>
      <c r="H6602" s="49">
        <f t="shared" si="2"/>
        <v>31498</v>
      </c>
    </row>
    <row r="6603">
      <c r="A6603" s="48" t="s">
        <v>2029</v>
      </c>
      <c r="B6603" s="38">
        <v>50246.0</v>
      </c>
      <c r="C6603" s="38" t="s">
        <v>9980</v>
      </c>
      <c r="D6603" s="38" t="str">
        <f>IFERROR(__xludf.DUMMYFUNCTION("REGEXREPLACE(C6603,""-\d+(.*)|--\d+(.*)"","""")"),"HIESVILLE")</f>
        <v>HIESVILLE</v>
      </c>
      <c r="E6603" s="38" t="s">
        <v>157</v>
      </c>
      <c r="F6603" s="38" t="s">
        <v>138</v>
      </c>
      <c r="G6603" s="49" t="str">
        <f t="shared" si="1"/>
        <v>50480</v>
      </c>
      <c r="H6603" s="49">
        <f t="shared" si="2"/>
        <v>50246</v>
      </c>
    </row>
    <row r="6604">
      <c r="A6604" s="48" t="s">
        <v>9981</v>
      </c>
      <c r="B6604" s="38">
        <v>59645.0</v>
      </c>
      <c r="C6604" s="38" t="s">
        <v>9982</v>
      </c>
      <c r="D6604" s="38" t="str">
        <f>IFERROR(__xludf.DUMMYFUNCTION("REGEXREPLACE(C6604,""-\d+(.*)|--\d+(.*)"","""")"),"WASNES-AU-BAC")</f>
        <v>WASNES-AU-BAC</v>
      </c>
      <c r="E6604" s="38" t="s">
        <v>85</v>
      </c>
      <c r="F6604" s="38" t="s">
        <v>86</v>
      </c>
      <c r="G6604" s="49" t="str">
        <f t="shared" si="1"/>
        <v>59252</v>
      </c>
      <c r="H6604" s="49">
        <f t="shared" si="2"/>
        <v>59645</v>
      </c>
    </row>
    <row r="6605">
      <c r="A6605" s="48" t="s">
        <v>8845</v>
      </c>
      <c r="B6605" s="38">
        <v>8340.0</v>
      </c>
      <c r="C6605" s="38" t="s">
        <v>9983</v>
      </c>
      <c r="D6605" s="38" t="str">
        <f>IFERROR(__xludf.DUMMYFUNCTION("REGEXREPLACE(C6605,""-\d+(.*)|--\d+(.*)"","""")"),"POILCOURT-SYDNEY")</f>
        <v>POILCOURT-SYDNEY</v>
      </c>
      <c r="E6605" s="38" t="s">
        <v>327</v>
      </c>
      <c r="F6605" s="38" t="s">
        <v>130</v>
      </c>
      <c r="G6605" s="49" t="str">
        <f t="shared" si="1"/>
        <v>08190</v>
      </c>
      <c r="H6605" s="49" t="str">
        <f t="shared" si="2"/>
        <v>08340</v>
      </c>
    </row>
    <row r="6606">
      <c r="A6606" s="48" t="s">
        <v>1149</v>
      </c>
      <c r="B6606" s="38">
        <v>82069.0</v>
      </c>
      <c r="C6606" s="38" t="s">
        <v>9984</v>
      </c>
      <c r="D6606" s="38" t="str">
        <f>IFERROR(__xludf.DUMMYFUNCTION("REGEXREPLACE(C6606,""-\d+(.*)|--\d+(.*)"","""")"),"GINALS")</f>
        <v>GINALS</v>
      </c>
      <c r="E6606" s="38" t="s">
        <v>570</v>
      </c>
      <c r="F6606" s="38" t="s">
        <v>94</v>
      </c>
      <c r="G6606" s="49" t="str">
        <f t="shared" si="1"/>
        <v>82330</v>
      </c>
      <c r="H6606" s="49">
        <f t="shared" si="2"/>
        <v>82069</v>
      </c>
    </row>
    <row r="6607">
      <c r="A6607" s="48" t="s">
        <v>8967</v>
      </c>
      <c r="B6607" s="38">
        <v>80574.0</v>
      </c>
      <c r="C6607" s="38" t="s">
        <v>9985</v>
      </c>
      <c r="D6607" s="38" t="str">
        <f>IFERROR(__xludf.DUMMYFUNCTION("REGEXREPLACE(C6607,""-\d+(.*)|--\d+(.*)"","""")"),"MOUFLERS")</f>
        <v>MOUFLERS</v>
      </c>
      <c r="E6607" s="38" t="s">
        <v>224</v>
      </c>
      <c r="F6607" s="38" t="s">
        <v>113</v>
      </c>
      <c r="G6607" s="49" t="str">
        <f t="shared" si="1"/>
        <v>80690</v>
      </c>
      <c r="H6607" s="49">
        <f t="shared" si="2"/>
        <v>80574</v>
      </c>
    </row>
    <row r="6608">
      <c r="A6608" s="48" t="s">
        <v>2379</v>
      </c>
      <c r="B6608" s="38">
        <v>65017.0</v>
      </c>
      <c r="C6608" s="38" t="s">
        <v>9986</v>
      </c>
      <c r="D6608" s="38" t="str">
        <f>IFERROR(__xludf.DUMMYFUNCTION("REGEXREPLACE(C6608,""-\d+(.*)|--\d+(.*)"","""")"),"ARAGNOUET")</f>
        <v>ARAGNOUET</v>
      </c>
      <c r="E6608" s="38" t="s">
        <v>200</v>
      </c>
      <c r="F6608" s="38" t="s">
        <v>94</v>
      </c>
      <c r="G6608" s="49" t="str">
        <f t="shared" si="1"/>
        <v>65170</v>
      </c>
      <c r="H6608" s="49">
        <f t="shared" si="2"/>
        <v>65017</v>
      </c>
    </row>
    <row r="6609">
      <c r="A6609" s="48" t="s">
        <v>1031</v>
      </c>
      <c r="B6609" s="38">
        <v>2183.0</v>
      </c>
      <c r="C6609" s="38" t="s">
        <v>9987</v>
      </c>
      <c r="D6609" s="38" t="str">
        <f>IFERROR(__xludf.DUMMYFUNCTION("REGEXREPLACE(C6609,""-\d+(.*)|--\d+(.*)"","""")"),"CHEVREGNY")</f>
        <v>CHEVREGNY</v>
      </c>
      <c r="E6609" s="38" t="s">
        <v>191</v>
      </c>
      <c r="F6609" s="38" t="s">
        <v>113</v>
      </c>
      <c r="G6609" s="49" t="str">
        <f t="shared" si="1"/>
        <v>02000</v>
      </c>
      <c r="H6609" s="49" t="str">
        <f t="shared" si="2"/>
        <v>02183</v>
      </c>
    </row>
    <row r="6610">
      <c r="A6610" s="48" t="s">
        <v>7175</v>
      </c>
      <c r="B6610" s="38">
        <v>88197.0</v>
      </c>
      <c r="C6610" s="38" t="s">
        <v>9988</v>
      </c>
      <c r="D6610" s="38" t="str">
        <f>IFERROR(__xludf.DUMMYFUNCTION("REGEXREPLACE(C6610,""-\d+(.*)|--\d+(.*)"","""")"),"GERBAMONT")</f>
        <v>GERBAMONT</v>
      </c>
      <c r="E6610" s="38" t="s">
        <v>194</v>
      </c>
      <c r="F6610" s="38" t="s">
        <v>195</v>
      </c>
      <c r="G6610" s="49" t="str">
        <f t="shared" si="1"/>
        <v>88120</v>
      </c>
      <c r="H6610" s="49">
        <f t="shared" si="2"/>
        <v>88197</v>
      </c>
    </row>
    <row r="6611">
      <c r="A6611" s="48" t="s">
        <v>333</v>
      </c>
      <c r="B6611" s="38">
        <v>43100.0</v>
      </c>
      <c r="C6611" s="38" t="s">
        <v>9989</v>
      </c>
      <c r="D6611" s="38" t="str">
        <f>IFERROR(__xludf.DUMMYFUNCTION("REGEXREPLACE(C6611,""-\d+(.*)|--\d+(.*)"","""")"),"FRUGIERES-LE-PIN")</f>
        <v>FRUGIERES-LE-PIN</v>
      </c>
      <c r="E6611" s="38" t="s">
        <v>332</v>
      </c>
      <c r="F6611" s="38" t="s">
        <v>161</v>
      </c>
      <c r="G6611" s="49" t="str">
        <f t="shared" si="1"/>
        <v>43230</v>
      </c>
      <c r="H6611" s="49">
        <f t="shared" si="2"/>
        <v>43100</v>
      </c>
    </row>
    <row r="6612">
      <c r="A6612" s="48" t="s">
        <v>1870</v>
      </c>
      <c r="B6612" s="38">
        <v>37161.0</v>
      </c>
      <c r="C6612" s="38" t="s">
        <v>9990</v>
      </c>
      <c r="D6612" s="38" t="str">
        <f>IFERROR(__xludf.DUMMYFUNCTION("REGEXREPLACE(C6612,""-\d+(.*)|--\d+(.*)"","""")"),"MOSNES")</f>
        <v>MOSNES</v>
      </c>
      <c r="E6612" s="38" t="s">
        <v>205</v>
      </c>
      <c r="F6612" s="38" t="s">
        <v>123</v>
      </c>
      <c r="G6612" s="49" t="str">
        <f t="shared" si="1"/>
        <v>37530</v>
      </c>
      <c r="H6612" s="49">
        <f t="shared" si="2"/>
        <v>37161</v>
      </c>
    </row>
    <row r="6613">
      <c r="A6613" s="48" t="s">
        <v>9991</v>
      </c>
      <c r="B6613" s="38">
        <v>9171.0</v>
      </c>
      <c r="C6613" s="38" t="s">
        <v>9992</v>
      </c>
      <c r="D6613" s="38" t="str">
        <f>IFERROR(__xludf.DUMMYFUNCTION("REGEXREPLACE(C6613,""-\d+(.*)|--\d+(.*)"","""")"),"LORDAT")</f>
        <v>LORDAT</v>
      </c>
      <c r="E6613" s="38" t="s">
        <v>238</v>
      </c>
      <c r="F6613" s="38" t="s">
        <v>94</v>
      </c>
      <c r="G6613" s="49" t="str">
        <f t="shared" si="1"/>
        <v>09250</v>
      </c>
      <c r="H6613" s="49" t="str">
        <f t="shared" si="2"/>
        <v>09171</v>
      </c>
    </row>
    <row r="6614">
      <c r="A6614" s="48" t="s">
        <v>4642</v>
      </c>
      <c r="B6614" s="38">
        <v>21070.0</v>
      </c>
      <c r="C6614" s="38" t="s">
        <v>9993</v>
      </c>
      <c r="D6614" s="38" t="str">
        <f>IFERROR(__xludf.DUMMYFUNCTION("REGEXREPLACE(C6614,""-\d+(.*)|--\d+(.*)"","""")"),"BEVY")</f>
        <v>BEVY</v>
      </c>
      <c r="E6614" s="38" t="s">
        <v>105</v>
      </c>
      <c r="F6614" s="38" t="s">
        <v>106</v>
      </c>
      <c r="G6614" s="49" t="str">
        <f t="shared" si="1"/>
        <v>21220</v>
      </c>
      <c r="H6614" s="49">
        <f t="shared" si="2"/>
        <v>21070</v>
      </c>
    </row>
    <row r="6615">
      <c r="A6615" s="48" t="s">
        <v>6694</v>
      </c>
      <c r="B6615" s="38">
        <v>16294.0</v>
      </c>
      <c r="C6615" s="38" t="s">
        <v>9994</v>
      </c>
      <c r="D6615" s="38" t="str">
        <f>IFERROR(__xludf.DUMMYFUNCTION("REGEXREPLACE(C6615,""-\d+(.*)|--\d+(.*)"","""")"),"SAINT-AMANT")</f>
        <v>SAINT-AMANT</v>
      </c>
      <c r="E6615" s="38" t="s">
        <v>429</v>
      </c>
      <c r="F6615" s="38" t="s">
        <v>338</v>
      </c>
      <c r="G6615" s="49" t="str">
        <f t="shared" si="1"/>
        <v>16190</v>
      </c>
      <c r="H6615" s="49">
        <f t="shared" si="2"/>
        <v>16294</v>
      </c>
    </row>
    <row r="6616">
      <c r="A6616" s="48" t="s">
        <v>9995</v>
      </c>
      <c r="B6616" s="38">
        <v>49247.0</v>
      </c>
      <c r="C6616" s="38" t="s">
        <v>9996</v>
      </c>
      <c r="D6616" s="38" t="str">
        <f>IFERROR(__xludf.DUMMYFUNCTION("REGEXREPLACE(C6616,""-\d+(.*)|--\d+(.*)"","""")"),"LA POSSONNIERE")</f>
        <v>LA POSSONNIERE</v>
      </c>
      <c r="E6616" s="38" t="s">
        <v>653</v>
      </c>
      <c r="F6616" s="38" t="s">
        <v>180</v>
      </c>
      <c r="G6616" s="49" t="str">
        <f t="shared" si="1"/>
        <v>49170</v>
      </c>
      <c r="H6616" s="49">
        <f t="shared" si="2"/>
        <v>49247</v>
      </c>
    </row>
    <row r="6617">
      <c r="A6617" s="48" t="s">
        <v>6515</v>
      </c>
      <c r="B6617" s="38">
        <v>62698.0</v>
      </c>
      <c r="C6617" s="38" t="s">
        <v>9997</v>
      </c>
      <c r="D6617" s="38" t="str">
        <f>IFERROR(__xludf.DUMMYFUNCTION("REGEXREPLACE(C6617,""-\d+(.*)|--\d+(.*)"","""")"),"RECQUES-SUR-COURSE")</f>
        <v>RECQUES-SUR-COURSE</v>
      </c>
      <c r="E6617" s="38" t="s">
        <v>109</v>
      </c>
      <c r="F6617" s="38" t="s">
        <v>86</v>
      </c>
      <c r="G6617" s="49" t="str">
        <f t="shared" si="1"/>
        <v>62170</v>
      </c>
      <c r="H6617" s="49">
        <f t="shared" si="2"/>
        <v>62698</v>
      </c>
    </row>
    <row r="6618">
      <c r="A6618" s="48" t="s">
        <v>2429</v>
      </c>
      <c r="B6618" s="38">
        <v>63137.0</v>
      </c>
      <c r="C6618" s="38" t="s">
        <v>9998</v>
      </c>
      <c r="D6618" s="38" t="str">
        <f>IFERROR(__xludf.DUMMYFUNCTION("REGEXREPLACE(C6618,""-\d+(.*)|--\d+(.*)"","""")"),"DORANGES")</f>
        <v>DORANGES</v>
      </c>
      <c r="E6618" s="38" t="s">
        <v>353</v>
      </c>
      <c r="F6618" s="38" t="s">
        <v>161</v>
      </c>
      <c r="G6618" s="49" t="str">
        <f t="shared" si="1"/>
        <v>63220</v>
      </c>
      <c r="H6618" s="49">
        <f t="shared" si="2"/>
        <v>63137</v>
      </c>
    </row>
    <row r="6619">
      <c r="A6619" s="48" t="s">
        <v>9430</v>
      </c>
      <c r="B6619" s="38">
        <v>24364.0</v>
      </c>
      <c r="C6619" s="38" t="s">
        <v>9999</v>
      </c>
      <c r="D6619" s="38" t="str">
        <f>IFERROR(__xludf.DUMMYFUNCTION("REGEXREPLACE(C6619,""-\d+(.*)|--\d+(.*)"","""")"),"SAINT-AMAND-DE-COLY")</f>
        <v>SAINT-AMAND-DE-COLY</v>
      </c>
      <c r="E6619" s="38" t="s">
        <v>261</v>
      </c>
      <c r="F6619" s="38" t="s">
        <v>252</v>
      </c>
      <c r="G6619" s="49" t="str">
        <f t="shared" si="1"/>
        <v>24290</v>
      </c>
      <c r="H6619" s="49">
        <f t="shared" si="2"/>
        <v>24364</v>
      </c>
    </row>
    <row r="6620">
      <c r="A6620" s="48" t="s">
        <v>5487</v>
      </c>
      <c r="B6620" s="38">
        <v>27043.0</v>
      </c>
      <c r="C6620" s="38" t="s">
        <v>10000</v>
      </c>
      <c r="D6620" s="38" t="str">
        <f>IFERROR(__xludf.DUMMYFUNCTION("REGEXREPLACE(C6620,""-\d+(.*)|--\d+(.*)"","""")"),"LES BAUX-DE-BRETEUIL")</f>
        <v>LES BAUX-DE-BRETEUIL</v>
      </c>
      <c r="E6620" s="38" t="s">
        <v>241</v>
      </c>
      <c r="F6620" s="38" t="s">
        <v>134</v>
      </c>
      <c r="G6620" s="49" t="str">
        <f t="shared" si="1"/>
        <v>27160</v>
      </c>
      <c r="H6620" s="49">
        <f t="shared" si="2"/>
        <v>27043</v>
      </c>
    </row>
    <row r="6621">
      <c r="A6621" s="48" t="s">
        <v>5103</v>
      </c>
      <c r="B6621" s="38">
        <v>37063.0</v>
      </c>
      <c r="C6621" s="38" t="s">
        <v>10001</v>
      </c>
      <c r="D6621" s="38" t="str">
        <f>IFERROR(__xludf.DUMMYFUNCTION("REGEXREPLACE(C6621,""-\d+(.*)|--\d+(.*)"","""")"),"CHATEAU-RENAULT")</f>
        <v>CHATEAU-RENAULT</v>
      </c>
      <c r="E6621" s="38" t="s">
        <v>205</v>
      </c>
      <c r="F6621" s="38" t="s">
        <v>123</v>
      </c>
      <c r="G6621" s="49" t="str">
        <f t="shared" si="1"/>
        <v>37110</v>
      </c>
      <c r="H6621" s="49">
        <f t="shared" si="2"/>
        <v>37063</v>
      </c>
    </row>
    <row r="6622">
      <c r="A6622" s="48" t="s">
        <v>10002</v>
      </c>
      <c r="B6622" s="38">
        <v>67184.0</v>
      </c>
      <c r="C6622" s="38" t="s">
        <v>10003</v>
      </c>
      <c r="D6622" s="38" t="str">
        <f>IFERROR(__xludf.DUMMYFUNCTION("REGEXREPLACE(C6622,""-\d+(.*)|--\d+(.*)"","""")"),"HATTEN")</f>
        <v>HATTEN</v>
      </c>
      <c r="E6622" s="38" t="s">
        <v>210</v>
      </c>
      <c r="F6622" s="38" t="s">
        <v>151</v>
      </c>
      <c r="G6622" s="49" t="str">
        <f t="shared" si="1"/>
        <v>67690</v>
      </c>
      <c r="H6622" s="49">
        <f t="shared" si="2"/>
        <v>67184</v>
      </c>
    </row>
    <row r="6623">
      <c r="A6623" s="48" t="s">
        <v>2650</v>
      </c>
      <c r="B6623" s="38">
        <v>65368.0</v>
      </c>
      <c r="C6623" s="38" t="s">
        <v>10004</v>
      </c>
      <c r="D6623" s="38" t="str">
        <f>IFERROR(__xludf.DUMMYFUNCTION("REGEXREPLACE(C6623,""-\d+(.*)|--\d+(.*)"","""")"),"POUY")</f>
        <v>POUY</v>
      </c>
      <c r="E6623" s="38" t="s">
        <v>200</v>
      </c>
      <c r="F6623" s="38" t="s">
        <v>94</v>
      </c>
      <c r="G6623" s="49" t="str">
        <f t="shared" si="1"/>
        <v>65230</v>
      </c>
      <c r="H6623" s="49">
        <f t="shared" si="2"/>
        <v>65368</v>
      </c>
    </row>
    <row r="6624">
      <c r="A6624" s="48" t="s">
        <v>6542</v>
      </c>
      <c r="B6624" s="38">
        <v>40309.0</v>
      </c>
      <c r="C6624" s="38" t="s">
        <v>10005</v>
      </c>
      <c r="D6624" s="38" t="str">
        <f>IFERROR(__xludf.DUMMYFUNCTION("REGEXREPLACE(C6624,""-\d+(.*)|--\d+(.*)"","""")"),"SOUPROSSE")</f>
        <v>SOUPROSSE</v>
      </c>
      <c r="E6624" s="38" t="s">
        <v>281</v>
      </c>
      <c r="F6624" s="38" t="s">
        <v>252</v>
      </c>
      <c r="G6624" s="49" t="str">
        <f t="shared" si="1"/>
        <v>40250</v>
      </c>
      <c r="H6624" s="49">
        <f t="shared" si="2"/>
        <v>40309</v>
      </c>
    </row>
    <row r="6625">
      <c r="A6625" s="48" t="s">
        <v>3789</v>
      </c>
      <c r="B6625" s="38">
        <v>51161.0</v>
      </c>
      <c r="C6625" s="38" t="s">
        <v>10006</v>
      </c>
      <c r="D6625" s="38" t="str">
        <f>IFERROR(__xludf.DUMMYFUNCTION("REGEXREPLACE(C6625,""-\d+(.*)|--\d+(.*)"","""")"),"CONDE-SUR-MARNE")</f>
        <v>CONDE-SUR-MARNE</v>
      </c>
      <c r="E6625" s="38" t="s">
        <v>129</v>
      </c>
      <c r="F6625" s="38" t="s">
        <v>130</v>
      </c>
      <c r="G6625" s="49" t="str">
        <f t="shared" si="1"/>
        <v>51150</v>
      </c>
      <c r="H6625" s="49">
        <f t="shared" si="2"/>
        <v>51161</v>
      </c>
    </row>
    <row r="6626">
      <c r="A6626" s="48" t="s">
        <v>323</v>
      </c>
      <c r="B6626" s="38">
        <v>52543.0</v>
      </c>
      <c r="C6626" s="38" t="s">
        <v>10007</v>
      </c>
      <c r="D6626" s="38" t="str">
        <f>IFERROR(__xludf.DUMMYFUNCTION("REGEXREPLACE(C6626,""-\d+(.*)|--\d+(.*)"","""")"),"VOILLECOMTE")</f>
        <v>VOILLECOMTE</v>
      </c>
      <c r="E6626" s="38" t="s">
        <v>234</v>
      </c>
      <c r="F6626" s="38" t="s">
        <v>130</v>
      </c>
      <c r="G6626" s="49" t="str">
        <f t="shared" si="1"/>
        <v>52130</v>
      </c>
      <c r="H6626" s="49">
        <f t="shared" si="2"/>
        <v>52543</v>
      </c>
    </row>
    <row r="6627">
      <c r="A6627" s="48" t="s">
        <v>10008</v>
      </c>
      <c r="B6627" s="38">
        <v>36033.0</v>
      </c>
      <c r="C6627" s="38" t="s">
        <v>10009</v>
      </c>
      <c r="D6627" s="38" t="str">
        <f>IFERROR(__xludf.DUMMYFUNCTION("REGEXREPLACE(C6627,""-\d+(.*)|--\d+(.*)"","""")"),"CELON")</f>
        <v>CELON</v>
      </c>
      <c r="E6627" s="38" t="s">
        <v>258</v>
      </c>
      <c r="F6627" s="38" t="s">
        <v>123</v>
      </c>
      <c r="G6627" s="49" t="str">
        <f t="shared" si="1"/>
        <v>36200</v>
      </c>
      <c r="H6627" s="49">
        <f t="shared" si="2"/>
        <v>36033</v>
      </c>
    </row>
    <row r="6628">
      <c r="A6628" s="48" t="s">
        <v>10010</v>
      </c>
      <c r="B6628" s="38">
        <v>49153.0</v>
      </c>
      <c r="C6628" s="38" t="s">
        <v>10011</v>
      </c>
      <c r="D6628" s="38" t="str">
        <f>IFERROR(__xludf.DUMMYFUNCTION("REGEXREPLACE(C6628,""-\d+(.*)|--\d+(.*)"","""")"),"VALANJOU")</f>
        <v>VALANJOU</v>
      </c>
      <c r="E6628" s="38" t="s">
        <v>653</v>
      </c>
      <c r="F6628" s="38" t="s">
        <v>180</v>
      </c>
      <c r="G6628" s="49" t="str">
        <f t="shared" si="1"/>
        <v>49670</v>
      </c>
      <c r="H6628" s="49">
        <f t="shared" si="2"/>
        <v>49153</v>
      </c>
    </row>
    <row r="6629">
      <c r="A6629" s="48" t="s">
        <v>1315</v>
      </c>
      <c r="B6629" s="38">
        <v>19261.0</v>
      </c>
      <c r="C6629" s="38" t="s">
        <v>10012</v>
      </c>
      <c r="D6629" s="38" t="str">
        <f>IFERROR(__xludf.DUMMYFUNCTION("REGEXREPLACE(C6629,""-\d+(.*)|--\d+(.*)"","""")"),"SORNAC")</f>
        <v>SORNAC</v>
      </c>
      <c r="E6629" s="38" t="s">
        <v>271</v>
      </c>
      <c r="F6629" s="38" t="s">
        <v>98</v>
      </c>
      <c r="G6629" s="49" t="str">
        <f t="shared" si="1"/>
        <v>19290</v>
      </c>
      <c r="H6629" s="49">
        <f t="shared" si="2"/>
        <v>19261</v>
      </c>
    </row>
    <row r="6630">
      <c r="A6630" s="48" t="s">
        <v>10013</v>
      </c>
      <c r="B6630" s="38">
        <v>81167.0</v>
      </c>
      <c r="C6630" s="38" t="s">
        <v>10014</v>
      </c>
      <c r="D6630" s="38" t="str">
        <f>IFERROR(__xludf.DUMMYFUNCTION("REGEXREPLACE(C6630,""-\d+(.*)|--\d+(.*)"","""")"),"MIOLLES")</f>
        <v>MIOLLES</v>
      </c>
      <c r="E6630" s="38" t="s">
        <v>231</v>
      </c>
      <c r="F6630" s="38" t="s">
        <v>94</v>
      </c>
      <c r="G6630" s="49" t="str">
        <f t="shared" si="1"/>
        <v>81250</v>
      </c>
      <c r="H6630" s="49">
        <f t="shared" si="2"/>
        <v>81167</v>
      </c>
    </row>
    <row r="6631">
      <c r="A6631" s="48" t="s">
        <v>10015</v>
      </c>
      <c r="B6631" s="38">
        <v>78620.0</v>
      </c>
      <c r="C6631" s="38" t="s">
        <v>10016</v>
      </c>
      <c r="D6631" s="38" t="str">
        <f>IFERROR(__xludf.DUMMYFUNCTION("REGEXREPLACE(C6631,""-\d+(.*)|--\d+(.*)"","""")"),"TOUSSUS-LE-NOBLE")</f>
        <v>TOUSSUS-LE-NOBLE</v>
      </c>
      <c r="E6631" s="38" t="s">
        <v>362</v>
      </c>
      <c r="F6631" s="38" t="s">
        <v>245</v>
      </c>
      <c r="G6631" s="49" t="str">
        <f t="shared" si="1"/>
        <v>78117</v>
      </c>
      <c r="H6631" s="49">
        <f t="shared" si="2"/>
        <v>78620</v>
      </c>
    </row>
    <row r="6632">
      <c r="A6632" s="48" t="s">
        <v>10017</v>
      </c>
      <c r="B6632" s="38">
        <v>14014.0</v>
      </c>
      <c r="C6632" s="38" t="s">
        <v>10018</v>
      </c>
      <c r="D6632" s="38" t="str">
        <f>IFERROR(__xludf.DUMMYFUNCTION("REGEXREPLACE(C6632,""-\d+(.*)|--\d+(.*)"","""")"),"ANGUERNY")</f>
        <v>ANGUERNY</v>
      </c>
      <c r="E6632" s="38" t="s">
        <v>137</v>
      </c>
      <c r="F6632" s="38" t="s">
        <v>138</v>
      </c>
      <c r="G6632" s="49" t="str">
        <f t="shared" si="1"/>
        <v>14610</v>
      </c>
      <c r="H6632" s="49">
        <f t="shared" si="2"/>
        <v>14014</v>
      </c>
    </row>
    <row r="6633">
      <c r="A6633" s="48" t="s">
        <v>1520</v>
      </c>
      <c r="B6633" s="38">
        <v>16268.0</v>
      </c>
      <c r="C6633" s="38" t="s">
        <v>10019</v>
      </c>
      <c r="D6633" s="38" t="str">
        <f>IFERROR(__xludf.DUMMYFUNCTION("REGEXREPLACE(C6633,""-\d+(.*)|--\d+(.*)"","""")"),"POURSAC")</f>
        <v>POURSAC</v>
      </c>
      <c r="E6633" s="38" t="s">
        <v>429</v>
      </c>
      <c r="F6633" s="38" t="s">
        <v>338</v>
      </c>
      <c r="G6633" s="49" t="str">
        <f t="shared" si="1"/>
        <v>16700</v>
      </c>
      <c r="H6633" s="49">
        <f t="shared" si="2"/>
        <v>16268</v>
      </c>
    </row>
    <row r="6634">
      <c r="A6634" s="48" t="s">
        <v>4287</v>
      </c>
      <c r="B6634" s="38">
        <v>62106.0</v>
      </c>
      <c r="C6634" s="38" t="s">
        <v>10020</v>
      </c>
      <c r="D6634" s="38" t="str">
        <f>IFERROR(__xludf.DUMMYFUNCTION("REGEXREPLACE(C6634,""-\d+(.*)|--\d+(.*)"","""")"),"BELLONNE")</f>
        <v>BELLONNE</v>
      </c>
      <c r="E6634" s="38" t="s">
        <v>109</v>
      </c>
      <c r="F6634" s="38" t="s">
        <v>86</v>
      </c>
      <c r="G6634" s="49" t="str">
        <f t="shared" si="1"/>
        <v>62490</v>
      </c>
      <c r="H6634" s="49">
        <f t="shared" si="2"/>
        <v>62106</v>
      </c>
    </row>
    <row r="6635">
      <c r="A6635" s="48" t="s">
        <v>9905</v>
      </c>
      <c r="B6635" s="38">
        <v>65305.0</v>
      </c>
      <c r="C6635" s="38" t="s">
        <v>10021</v>
      </c>
      <c r="D6635" s="38" t="str">
        <f>IFERROR(__xludf.DUMMYFUNCTION("REGEXREPLACE(C6635,""-\d+(.*)|--\d+(.*)"","""")"),"MAULEON-BAROUSSE")</f>
        <v>MAULEON-BAROUSSE</v>
      </c>
      <c r="E6635" s="38" t="s">
        <v>200</v>
      </c>
      <c r="F6635" s="38" t="s">
        <v>94</v>
      </c>
      <c r="G6635" s="49" t="str">
        <f t="shared" si="1"/>
        <v>65370</v>
      </c>
      <c r="H6635" s="49">
        <f t="shared" si="2"/>
        <v>65305</v>
      </c>
    </row>
    <row r="6636">
      <c r="A6636" s="48" t="s">
        <v>2924</v>
      </c>
      <c r="B6636" s="38">
        <v>8001.0</v>
      </c>
      <c r="C6636" s="38" t="s">
        <v>10022</v>
      </c>
      <c r="D6636" s="38" t="str">
        <f>IFERROR(__xludf.DUMMYFUNCTION("REGEXREPLACE(C6636,""-\d+(.*)|--\d+(.*)"","""")"),"ACY-ROMANCE")</f>
        <v>ACY-ROMANCE</v>
      </c>
      <c r="E6636" s="38" t="s">
        <v>327</v>
      </c>
      <c r="F6636" s="38" t="s">
        <v>130</v>
      </c>
      <c r="G6636" s="49" t="str">
        <f t="shared" si="1"/>
        <v>08300</v>
      </c>
      <c r="H6636" s="49" t="str">
        <f t="shared" si="2"/>
        <v>08001</v>
      </c>
    </row>
    <row r="6637">
      <c r="A6637" s="48" t="s">
        <v>5499</v>
      </c>
      <c r="B6637" s="38">
        <v>47297.0</v>
      </c>
      <c r="C6637" s="38" t="s">
        <v>10023</v>
      </c>
      <c r="D6637" s="38" t="str">
        <f>IFERROR(__xludf.DUMMYFUNCTION("REGEXREPLACE(C6637,""-\d+(.*)|--\d+(.*)"","""")"),"SEMBAS")</f>
        <v>SEMBAS</v>
      </c>
      <c r="E6637" s="38" t="s">
        <v>251</v>
      </c>
      <c r="F6637" s="38" t="s">
        <v>252</v>
      </c>
      <c r="G6637" s="49" t="str">
        <f t="shared" si="1"/>
        <v>47360</v>
      </c>
      <c r="H6637" s="49">
        <f t="shared" si="2"/>
        <v>47297</v>
      </c>
    </row>
    <row r="6638">
      <c r="A6638" s="48" t="s">
        <v>3069</v>
      </c>
      <c r="B6638" s="38">
        <v>68361.0</v>
      </c>
      <c r="C6638" s="38" t="s">
        <v>10024</v>
      </c>
      <c r="D6638" s="38" t="str">
        <f>IFERROR(__xludf.DUMMYFUNCTION("REGEXREPLACE(C6638,""-\d+(.*)|--\d+(.*)"","""")"),"WEGSCHEID")</f>
        <v>WEGSCHEID</v>
      </c>
      <c r="E6638" s="38" t="s">
        <v>150</v>
      </c>
      <c r="F6638" s="38" t="s">
        <v>151</v>
      </c>
      <c r="G6638" s="49" t="str">
        <f t="shared" si="1"/>
        <v>68290</v>
      </c>
      <c r="H6638" s="49">
        <f t="shared" si="2"/>
        <v>68361</v>
      </c>
    </row>
    <row r="6639">
      <c r="A6639" s="48" t="s">
        <v>10025</v>
      </c>
      <c r="B6639" s="38">
        <v>66143.0</v>
      </c>
      <c r="C6639" s="38" t="s">
        <v>10026</v>
      </c>
      <c r="D6639" s="38" t="str">
        <f>IFERROR(__xludf.DUMMYFUNCTION("REGEXREPLACE(C6639,""-\d+(.*)|--\d+(.*)"","""")"),"PLANEZES")</f>
        <v>PLANEZES</v>
      </c>
      <c r="E6639" s="38" t="s">
        <v>248</v>
      </c>
      <c r="F6639" s="38" t="s">
        <v>119</v>
      </c>
      <c r="G6639" s="49" t="str">
        <f t="shared" si="1"/>
        <v>66720</v>
      </c>
      <c r="H6639" s="49">
        <f t="shared" si="2"/>
        <v>66143</v>
      </c>
    </row>
    <row r="6640">
      <c r="A6640" s="48" t="s">
        <v>4360</v>
      </c>
      <c r="B6640" s="38" t="s">
        <v>10027</v>
      </c>
      <c r="C6640" s="38" t="s">
        <v>10028</v>
      </c>
      <c r="D6640" s="38" t="str">
        <f>IFERROR(__xludf.DUMMYFUNCTION("REGEXREPLACE(C6640,""-\d+(.*)|--\d+(.*)"","""")"),"SAN-GAVINO-DI-FIUMORBO")</f>
        <v>SAN-GAVINO-DI-FIUMORBO</v>
      </c>
      <c r="E6640" s="38" t="s">
        <v>743</v>
      </c>
      <c r="F6640" s="38" t="s">
        <v>607</v>
      </c>
      <c r="G6640" s="49" t="str">
        <f t="shared" si="1"/>
        <v>20243</v>
      </c>
      <c r="H6640" s="49" t="str">
        <f t="shared" si="2"/>
        <v>2B365</v>
      </c>
    </row>
    <row r="6641">
      <c r="A6641" s="48" t="s">
        <v>9225</v>
      </c>
      <c r="B6641" s="38">
        <v>23251.0</v>
      </c>
      <c r="C6641" s="38" t="s">
        <v>10029</v>
      </c>
      <c r="D6641" s="38" t="str">
        <f>IFERROR(__xludf.DUMMYFUNCTION("REGEXREPLACE(C6641,""-\d+(.*)|--\d+(.*)"","""")"),"TARDES")</f>
        <v>TARDES</v>
      </c>
      <c r="E6641" s="38" t="s">
        <v>97</v>
      </c>
      <c r="F6641" s="38" t="s">
        <v>98</v>
      </c>
      <c r="G6641" s="49" t="str">
        <f t="shared" si="1"/>
        <v>23170</v>
      </c>
      <c r="H6641" s="49">
        <f t="shared" si="2"/>
        <v>23251</v>
      </c>
    </row>
    <row r="6642">
      <c r="A6642" s="48" t="s">
        <v>8100</v>
      </c>
      <c r="B6642" s="38">
        <v>91435.0</v>
      </c>
      <c r="C6642" s="38" t="s">
        <v>10030</v>
      </c>
      <c r="D6642" s="38" t="str">
        <f>IFERROR(__xludf.DUMMYFUNCTION("REGEXREPLACE(C6642,""-\d+(.*)|--\d+(.*)"","""")"),"MORSANG-SUR-SEINE")</f>
        <v>MORSANG-SUR-SEINE</v>
      </c>
      <c r="E6642" s="38" t="s">
        <v>756</v>
      </c>
      <c r="F6642" s="38" t="s">
        <v>245</v>
      </c>
      <c r="G6642" s="49" t="str">
        <f t="shared" si="1"/>
        <v>91250</v>
      </c>
      <c r="H6642" s="49">
        <f t="shared" si="2"/>
        <v>91435</v>
      </c>
    </row>
    <row r="6643">
      <c r="A6643" s="48" t="s">
        <v>10031</v>
      </c>
      <c r="B6643" s="38">
        <v>34183.0</v>
      </c>
      <c r="C6643" s="38" t="s">
        <v>10032</v>
      </c>
      <c r="D6643" s="38" t="str">
        <f>IFERROR(__xludf.DUMMYFUNCTION("REGEXREPLACE(C6643,""-\d+(.*)|--\d+(.*)"","""")"),"NISSAN-LEZ-ENSERUNE")</f>
        <v>NISSAN-LEZ-ENSERUNE</v>
      </c>
      <c r="E6643" s="38" t="s">
        <v>118</v>
      </c>
      <c r="F6643" s="38" t="s">
        <v>119</v>
      </c>
      <c r="G6643" s="49" t="str">
        <f t="shared" si="1"/>
        <v>34440</v>
      </c>
      <c r="H6643" s="49">
        <f t="shared" si="2"/>
        <v>34183</v>
      </c>
    </row>
    <row r="6644">
      <c r="A6644" s="48" t="s">
        <v>5553</v>
      </c>
      <c r="B6644" s="38">
        <v>34212.0</v>
      </c>
      <c r="C6644" s="38" t="s">
        <v>10033</v>
      </c>
      <c r="D6644" s="38" t="str">
        <f>IFERROR(__xludf.DUMMYFUNCTION("REGEXREPLACE(C6644,""-\d+(.*)|--\d+(.*)"","""")"),"POUJOLS")</f>
        <v>POUJOLS</v>
      </c>
      <c r="E6644" s="38" t="s">
        <v>118</v>
      </c>
      <c r="F6644" s="38" t="s">
        <v>119</v>
      </c>
      <c r="G6644" s="49" t="str">
        <f t="shared" si="1"/>
        <v>34700</v>
      </c>
      <c r="H6644" s="49">
        <f t="shared" si="2"/>
        <v>34212</v>
      </c>
    </row>
    <row r="6645">
      <c r="A6645" s="48" t="s">
        <v>10034</v>
      </c>
      <c r="B6645" s="38">
        <v>78398.0</v>
      </c>
      <c r="C6645" s="38" t="s">
        <v>10035</v>
      </c>
      <c r="D6645" s="38" t="str">
        <f>IFERROR(__xludf.DUMMYFUNCTION("REGEXREPLACE(C6645,""-\d+(.*)|--\d+(.*)"","""")"),"LES MESNULS")</f>
        <v>LES MESNULS</v>
      </c>
      <c r="E6645" s="38" t="s">
        <v>362</v>
      </c>
      <c r="F6645" s="38" t="s">
        <v>245</v>
      </c>
      <c r="G6645" s="49" t="str">
        <f t="shared" si="1"/>
        <v>78490</v>
      </c>
      <c r="H6645" s="49">
        <f t="shared" si="2"/>
        <v>78398</v>
      </c>
    </row>
    <row r="6646">
      <c r="A6646" s="48" t="s">
        <v>1305</v>
      </c>
      <c r="B6646" s="38">
        <v>36209.0</v>
      </c>
      <c r="C6646" s="38" t="s">
        <v>10036</v>
      </c>
      <c r="D6646" s="38" t="str">
        <f>IFERROR(__xludf.DUMMYFUNCTION("REGEXREPLACE(C6646,""-\d+(.*)|--\d+(.*)"","""")"),"SAINT-VALENTIN")</f>
        <v>SAINT-VALENTIN</v>
      </c>
      <c r="E6646" s="38" t="s">
        <v>258</v>
      </c>
      <c r="F6646" s="38" t="s">
        <v>123</v>
      </c>
      <c r="G6646" s="49" t="str">
        <f t="shared" si="1"/>
        <v>36100</v>
      </c>
      <c r="H6646" s="49">
        <f t="shared" si="2"/>
        <v>36209</v>
      </c>
    </row>
    <row r="6647">
      <c r="A6647" s="48" t="s">
        <v>10037</v>
      </c>
      <c r="B6647" s="38">
        <v>7247.0</v>
      </c>
      <c r="C6647" s="38" t="s">
        <v>10038</v>
      </c>
      <c r="D6647" s="38" t="str">
        <f>IFERROR(__xludf.DUMMYFUNCTION("REGEXREPLACE(C6647,""-\d+(.*)|--\d+(.*)"","""")"),"SAINT-JEAN-LE-CENTENIER")</f>
        <v>SAINT-JEAN-LE-CENTENIER</v>
      </c>
      <c r="E6647" s="38" t="s">
        <v>144</v>
      </c>
      <c r="F6647" s="38" t="s">
        <v>102</v>
      </c>
      <c r="G6647" s="49" t="str">
        <f t="shared" si="1"/>
        <v>07580</v>
      </c>
      <c r="H6647" s="49" t="str">
        <f t="shared" si="2"/>
        <v>07247</v>
      </c>
    </row>
    <row r="6648">
      <c r="A6648" s="48" t="s">
        <v>10039</v>
      </c>
      <c r="B6648" s="38">
        <v>47117.0</v>
      </c>
      <c r="C6648" s="38" t="s">
        <v>10040</v>
      </c>
      <c r="D6648" s="38" t="str">
        <f>IFERROR(__xludf.DUMMYFUNCTION("REGEXREPLACE(C6648,""-\d+(.*)|--\d+(.*)"","""")"),"HAUTEFAGE-LA-TOUR")</f>
        <v>HAUTEFAGE-LA-TOUR</v>
      </c>
      <c r="E6648" s="38" t="s">
        <v>251</v>
      </c>
      <c r="F6648" s="38" t="s">
        <v>252</v>
      </c>
      <c r="G6648" s="49" t="str">
        <f t="shared" si="1"/>
        <v>47340</v>
      </c>
      <c r="H6648" s="49">
        <f t="shared" si="2"/>
        <v>47117</v>
      </c>
    </row>
    <row r="6649">
      <c r="A6649" s="48" t="s">
        <v>10041</v>
      </c>
      <c r="B6649" s="38">
        <v>6108.0</v>
      </c>
      <c r="C6649" s="38" t="s">
        <v>10042</v>
      </c>
      <c r="D6649" s="38" t="str">
        <f>IFERROR(__xludf.DUMMYFUNCTION("REGEXREPLACE(C6649,""-\d+(.*)|--\d+(.*)"","""")"),"LA ROQUETTE-SUR-SIAGNE")</f>
        <v>LA ROQUETTE-SUR-SIAGNE</v>
      </c>
      <c r="E6649" s="38" t="s">
        <v>227</v>
      </c>
      <c r="F6649" s="38" t="s">
        <v>228</v>
      </c>
      <c r="G6649" s="49" t="str">
        <f t="shared" si="1"/>
        <v>06550</v>
      </c>
      <c r="H6649" s="49" t="str">
        <f t="shared" si="2"/>
        <v>06108</v>
      </c>
    </row>
    <row r="6650">
      <c r="A6650" s="48" t="s">
        <v>10043</v>
      </c>
      <c r="B6650" s="38">
        <v>34134.0</v>
      </c>
      <c r="C6650" s="38" t="s">
        <v>10044</v>
      </c>
      <c r="D6650" s="38" t="str">
        <f>IFERROR(__xludf.DUMMYFUNCTION("REGEXREPLACE(C6650,""-\d+(.*)|--\d+(.*)"","""")"),"LAVERUNE")</f>
        <v>LAVERUNE</v>
      </c>
      <c r="E6650" s="38" t="s">
        <v>118</v>
      </c>
      <c r="F6650" s="38" t="s">
        <v>119</v>
      </c>
      <c r="G6650" s="49" t="str">
        <f t="shared" si="1"/>
        <v>34880</v>
      </c>
      <c r="H6650" s="49">
        <f t="shared" si="2"/>
        <v>34134</v>
      </c>
    </row>
    <row r="6651">
      <c r="A6651" s="48" t="s">
        <v>2882</v>
      </c>
      <c r="B6651" s="38">
        <v>76323.0</v>
      </c>
      <c r="C6651" s="38" t="s">
        <v>10045</v>
      </c>
      <c r="D6651" s="38" t="str">
        <f>IFERROR(__xludf.DUMMYFUNCTION("REGEXREPLACE(C6651,""-\d+(.*)|--\d+(.*)"","""")"),"GRAVAL")</f>
        <v>GRAVAL</v>
      </c>
      <c r="E6651" s="38" t="s">
        <v>133</v>
      </c>
      <c r="F6651" s="38" t="s">
        <v>134</v>
      </c>
      <c r="G6651" s="49" t="str">
        <f t="shared" si="1"/>
        <v>76270</v>
      </c>
      <c r="H6651" s="49">
        <f t="shared" si="2"/>
        <v>76323</v>
      </c>
    </row>
    <row r="6652">
      <c r="A6652" s="48" t="s">
        <v>2922</v>
      </c>
      <c r="B6652" s="38">
        <v>5136.0</v>
      </c>
      <c r="C6652" s="38" t="s">
        <v>3472</v>
      </c>
      <c r="D6652" s="38" t="str">
        <f>IFERROR(__xludf.DUMMYFUNCTION("REGEXREPLACE(C6652,""-\d+(.*)|--\d+(.*)"","""")"),"SAINT-CREPIN")</f>
        <v>SAINT-CREPIN</v>
      </c>
      <c r="E6652" s="38" t="s">
        <v>706</v>
      </c>
      <c r="F6652" s="38" t="s">
        <v>228</v>
      </c>
      <c r="G6652" s="49" t="str">
        <f t="shared" si="1"/>
        <v>05600</v>
      </c>
      <c r="H6652" s="49" t="str">
        <f t="shared" si="2"/>
        <v>05136</v>
      </c>
    </row>
    <row r="6653">
      <c r="A6653" s="48" t="s">
        <v>6715</v>
      </c>
      <c r="B6653" s="38">
        <v>62421.0</v>
      </c>
      <c r="C6653" s="38" t="s">
        <v>10046</v>
      </c>
      <c r="D6653" s="38" t="str">
        <f>IFERROR(__xludf.DUMMYFUNCTION("REGEXREPLACE(C6653,""-\d+(.*)|--\d+(.*)"","""")"),"HAVRINCOURT")</f>
        <v>HAVRINCOURT</v>
      </c>
      <c r="E6653" s="38" t="s">
        <v>109</v>
      </c>
      <c r="F6653" s="38" t="s">
        <v>86</v>
      </c>
      <c r="G6653" s="49" t="str">
        <f t="shared" si="1"/>
        <v>62147</v>
      </c>
      <c r="H6653" s="49">
        <f t="shared" si="2"/>
        <v>62421</v>
      </c>
    </row>
    <row r="6654">
      <c r="A6654" s="48" t="s">
        <v>4784</v>
      </c>
      <c r="B6654" s="38">
        <v>24007.0</v>
      </c>
      <c r="C6654" s="38" t="s">
        <v>10047</v>
      </c>
      <c r="D6654" s="38" t="str">
        <f>IFERROR(__xludf.DUMMYFUNCTION("REGEXREPLACE(C6654,""-\d+(.*)|--\d+(.*)"","""")"),"ALLEMANS")</f>
        <v>ALLEMANS</v>
      </c>
      <c r="E6654" s="38" t="s">
        <v>261</v>
      </c>
      <c r="F6654" s="38" t="s">
        <v>252</v>
      </c>
      <c r="G6654" s="49" t="str">
        <f t="shared" si="1"/>
        <v>24600</v>
      </c>
      <c r="H6654" s="49">
        <f t="shared" si="2"/>
        <v>24007</v>
      </c>
    </row>
    <row r="6655">
      <c r="A6655" s="48" t="s">
        <v>1501</v>
      </c>
      <c r="B6655" s="38">
        <v>39232.0</v>
      </c>
      <c r="C6655" s="38" t="s">
        <v>10048</v>
      </c>
      <c r="D6655" s="38" t="str">
        <f>IFERROR(__xludf.DUMMYFUNCTION("REGEXREPLACE(C6655,""-\d+(.*)|--\d+(.*)"","""")"),"FORT-DU-PLASNE")</f>
        <v>FORT-DU-PLASNE</v>
      </c>
      <c r="E6655" s="38" t="s">
        <v>400</v>
      </c>
      <c r="F6655" s="38" t="s">
        <v>214</v>
      </c>
      <c r="G6655" s="49" t="str">
        <f t="shared" si="1"/>
        <v>39150</v>
      </c>
      <c r="H6655" s="49">
        <f t="shared" si="2"/>
        <v>39232</v>
      </c>
    </row>
    <row r="6656">
      <c r="A6656" s="48" t="s">
        <v>7852</v>
      </c>
      <c r="B6656" s="38">
        <v>38038.0</v>
      </c>
      <c r="C6656" s="38" t="s">
        <v>10049</v>
      </c>
      <c r="D6656" s="38" t="str">
        <f>IFERROR(__xludf.DUMMYFUNCTION("REGEXREPLACE(C6656,""-\d+(.*)|--\d+(.*)"","""")"),"BELMONT")</f>
        <v>BELMONT</v>
      </c>
      <c r="E6656" s="38" t="s">
        <v>101</v>
      </c>
      <c r="F6656" s="38" t="s">
        <v>102</v>
      </c>
      <c r="G6656" s="49" t="str">
        <f t="shared" si="1"/>
        <v>38690</v>
      </c>
      <c r="H6656" s="49">
        <f t="shared" si="2"/>
        <v>38038</v>
      </c>
    </row>
    <row r="6657">
      <c r="A6657" s="48" t="s">
        <v>3747</v>
      </c>
      <c r="B6657" s="38">
        <v>52213.0</v>
      </c>
      <c r="C6657" s="38" t="s">
        <v>10050</v>
      </c>
      <c r="D6657" s="38" t="str">
        <f>IFERROR(__xludf.DUMMYFUNCTION("REGEXREPLACE(C6657,""-\d+(.*)|--\d+(.*)"","""")"),"GENEVRIERES")</f>
        <v>GENEVRIERES</v>
      </c>
      <c r="E6657" s="38" t="s">
        <v>234</v>
      </c>
      <c r="F6657" s="38" t="s">
        <v>130</v>
      </c>
      <c r="G6657" s="49" t="str">
        <f t="shared" si="1"/>
        <v>52500</v>
      </c>
      <c r="H6657" s="49">
        <f t="shared" si="2"/>
        <v>52213</v>
      </c>
    </row>
    <row r="6658">
      <c r="A6658" s="48" t="s">
        <v>6767</v>
      </c>
      <c r="B6658" s="38">
        <v>15245.0</v>
      </c>
      <c r="C6658" s="38" t="s">
        <v>10051</v>
      </c>
      <c r="D6658" s="38" t="str">
        <f>IFERROR(__xludf.DUMMYFUNCTION("REGEXREPLACE(C6658,""-\d+(.*)|--\d+(.*)"","""")"),"VABRES")</f>
        <v>VABRES</v>
      </c>
      <c r="E6658" s="38" t="s">
        <v>632</v>
      </c>
      <c r="F6658" s="38" t="s">
        <v>161</v>
      </c>
      <c r="G6658" s="49" t="str">
        <f t="shared" si="1"/>
        <v>15100</v>
      </c>
      <c r="H6658" s="49">
        <f t="shared" si="2"/>
        <v>15245</v>
      </c>
    </row>
    <row r="6659">
      <c r="A6659" s="48" t="s">
        <v>10052</v>
      </c>
      <c r="B6659" s="38">
        <v>39280.0</v>
      </c>
      <c r="C6659" s="38" t="s">
        <v>10053</v>
      </c>
      <c r="D6659" s="38" t="str">
        <f>IFERROR(__xludf.DUMMYFUNCTION("REGEXREPLACE(C6659,""-\d+(.*)|--\d+(.*)"","""")"),"LARRIVOIRE")</f>
        <v>LARRIVOIRE</v>
      </c>
      <c r="E6659" s="38" t="s">
        <v>400</v>
      </c>
      <c r="F6659" s="38" t="s">
        <v>214</v>
      </c>
      <c r="G6659" s="49" t="str">
        <f t="shared" si="1"/>
        <v>39360</v>
      </c>
      <c r="H6659" s="49">
        <f t="shared" si="2"/>
        <v>39280</v>
      </c>
    </row>
    <row r="6660">
      <c r="A6660" s="48" t="s">
        <v>3508</v>
      </c>
      <c r="B6660" s="38">
        <v>51327.0</v>
      </c>
      <c r="C6660" s="38" t="s">
        <v>10054</v>
      </c>
      <c r="D6660" s="38" t="str">
        <f>IFERROR(__xludf.DUMMYFUNCTION("REGEXREPLACE(C6660,""-\d+(.*)|--\d+(.*)"","""")"),"LOISY-EN-BRIE")</f>
        <v>LOISY-EN-BRIE</v>
      </c>
      <c r="E6660" s="38" t="s">
        <v>129</v>
      </c>
      <c r="F6660" s="38" t="s">
        <v>130</v>
      </c>
      <c r="G6660" s="49" t="str">
        <f t="shared" si="1"/>
        <v>51130</v>
      </c>
      <c r="H6660" s="49">
        <f t="shared" si="2"/>
        <v>51327</v>
      </c>
    </row>
    <row r="6661">
      <c r="A6661" s="48" t="s">
        <v>1118</v>
      </c>
      <c r="B6661" s="38">
        <v>50617.0</v>
      </c>
      <c r="C6661" s="38" t="s">
        <v>10055</v>
      </c>
      <c r="D6661" s="38" t="str">
        <f>IFERROR(__xludf.DUMMYFUNCTION("REGEXREPLACE(C6661,""-\d+(.*)|--\d+(.*)"","""")"),"VARENGUEBEC")</f>
        <v>VARENGUEBEC</v>
      </c>
      <c r="E6661" s="38" t="s">
        <v>157</v>
      </c>
      <c r="F6661" s="38" t="s">
        <v>138</v>
      </c>
      <c r="G6661" s="49" t="str">
        <f t="shared" si="1"/>
        <v>50250</v>
      </c>
      <c r="H6661" s="49">
        <f t="shared" si="2"/>
        <v>50617</v>
      </c>
    </row>
    <row r="6662">
      <c r="A6662" s="48" t="s">
        <v>3590</v>
      </c>
      <c r="B6662" s="38">
        <v>76615.0</v>
      </c>
      <c r="C6662" s="38" t="s">
        <v>10056</v>
      </c>
      <c r="D6662" s="38" t="str">
        <f>IFERROR(__xludf.DUMMYFUNCTION("REGEXREPLACE(C6662,""-\d+(.*)|--\d+(.*)"","""")"),"SAINT-MARTIN-DU-BEC")</f>
        <v>SAINT-MARTIN-DU-BEC</v>
      </c>
      <c r="E6662" s="38" t="s">
        <v>133</v>
      </c>
      <c r="F6662" s="38" t="s">
        <v>134</v>
      </c>
      <c r="G6662" s="49" t="str">
        <f t="shared" si="1"/>
        <v>76133</v>
      </c>
      <c r="H6662" s="49">
        <f t="shared" si="2"/>
        <v>76615</v>
      </c>
    </row>
    <row r="6663">
      <c r="A6663" s="48" t="s">
        <v>1368</v>
      </c>
      <c r="B6663" s="38">
        <v>8351.0</v>
      </c>
      <c r="C6663" s="38" t="s">
        <v>10057</v>
      </c>
      <c r="D6663" s="38" t="str">
        <f>IFERROR(__xludf.DUMMYFUNCTION("REGEXREPLACE(C6663,""-\d+(.*)|--\d+(.*)"","""")"),"QUILLY")</f>
        <v>QUILLY</v>
      </c>
      <c r="E6663" s="38" t="s">
        <v>327</v>
      </c>
      <c r="F6663" s="38" t="s">
        <v>130</v>
      </c>
      <c r="G6663" s="49" t="str">
        <f t="shared" si="1"/>
        <v>08400</v>
      </c>
      <c r="H6663" s="49" t="str">
        <f t="shared" si="2"/>
        <v>08351</v>
      </c>
    </row>
    <row r="6664">
      <c r="A6664" s="48" t="s">
        <v>3026</v>
      </c>
      <c r="B6664" s="38">
        <v>2676.0</v>
      </c>
      <c r="C6664" s="38" t="s">
        <v>10058</v>
      </c>
      <c r="D6664" s="38" t="str">
        <f>IFERROR(__xludf.DUMMYFUNCTION("REGEXREPLACE(C6664,""-\d+(.*)|--\d+(.*)"","""")"),"SAINT-ERME-OUTRE-ET-RAMECOURT")</f>
        <v>SAINT-ERME-OUTRE-ET-RAMECOURT</v>
      </c>
      <c r="E6664" s="38" t="s">
        <v>191</v>
      </c>
      <c r="F6664" s="38" t="s">
        <v>113</v>
      </c>
      <c r="G6664" s="49" t="str">
        <f t="shared" si="1"/>
        <v>02820</v>
      </c>
      <c r="H6664" s="49" t="str">
        <f t="shared" si="2"/>
        <v>02676</v>
      </c>
    </row>
    <row r="6665">
      <c r="A6665" s="48" t="s">
        <v>1726</v>
      </c>
      <c r="B6665" s="38">
        <v>14691.0</v>
      </c>
      <c r="C6665" s="38" t="s">
        <v>10059</v>
      </c>
      <c r="D6665" s="38" t="str">
        <f>IFERROR(__xludf.DUMMYFUNCTION("REGEXREPLACE(C6665,""-\d+(.*)|--\d+(.*)"","""")"),"TILLY-LA-CAMPAGNE")</f>
        <v>TILLY-LA-CAMPAGNE</v>
      </c>
      <c r="E6665" s="38" t="s">
        <v>137</v>
      </c>
      <c r="F6665" s="38" t="s">
        <v>138</v>
      </c>
      <c r="G6665" s="49" t="str">
        <f t="shared" si="1"/>
        <v>14540</v>
      </c>
      <c r="H6665" s="49">
        <f t="shared" si="2"/>
        <v>14691</v>
      </c>
    </row>
    <row r="6666">
      <c r="A6666" s="48" t="s">
        <v>10060</v>
      </c>
      <c r="B6666" s="38">
        <v>35126.0</v>
      </c>
      <c r="C6666" s="38" t="s">
        <v>10061</v>
      </c>
      <c r="D6666" s="38" t="str">
        <f>IFERROR(__xludf.DUMMYFUNCTION("REGEXREPLACE(C6666,""-\d+(.*)|--\d+(.*)"","""")"),"GUICHEN")</f>
        <v>GUICHEN</v>
      </c>
      <c r="E6666" s="38" t="s">
        <v>347</v>
      </c>
      <c r="F6666" s="38" t="s">
        <v>90</v>
      </c>
      <c r="G6666" s="49" t="str">
        <f t="shared" si="1"/>
        <v>35580</v>
      </c>
      <c r="H6666" s="49">
        <f t="shared" si="2"/>
        <v>35126</v>
      </c>
    </row>
    <row r="6667">
      <c r="A6667" s="48" t="s">
        <v>807</v>
      </c>
      <c r="B6667" s="38">
        <v>68152.0</v>
      </c>
      <c r="C6667" s="38" t="s">
        <v>10062</v>
      </c>
      <c r="D6667" s="38" t="str">
        <f>IFERROR(__xludf.DUMMYFUNCTION("REGEXREPLACE(C6667,""-\d+(.*)|--\d+(.*)"","""")"),"ILLFURTH")</f>
        <v>ILLFURTH</v>
      </c>
      <c r="E6667" s="38" t="s">
        <v>150</v>
      </c>
      <c r="F6667" s="38" t="s">
        <v>151</v>
      </c>
      <c r="G6667" s="49" t="str">
        <f t="shared" si="1"/>
        <v>68720</v>
      </c>
      <c r="H6667" s="49">
        <f t="shared" si="2"/>
        <v>68152</v>
      </c>
    </row>
    <row r="6668">
      <c r="A6668" s="48" t="s">
        <v>10063</v>
      </c>
      <c r="B6668" s="38">
        <v>18013.0</v>
      </c>
      <c r="C6668" s="38" t="s">
        <v>8356</v>
      </c>
      <c r="D6668" s="38" t="str">
        <f>IFERROR(__xludf.DUMMYFUNCTION("REGEXREPLACE(C6668,""-\d+(.*)|--\d+(.*)"","""")"),"ARPHEUILLES")</f>
        <v>ARPHEUILLES</v>
      </c>
      <c r="E6668" s="38" t="s">
        <v>504</v>
      </c>
      <c r="F6668" s="38" t="s">
        <v>123</v>
      </c>
      <c r="G6668" s="49" t="str">
        <f t="shared" si="1"/>
        <v>18200</v>
      </c>
      <c r="H6668" s="49">
        <f t="shared" si="2"/>
        <v>18013</v>
      </c>
    </row>
    <row r="6669">
      <c r="A6669" s="48" t="s">
        <v>10064</v>
      </c>
      <c r="B6669" s="38">
        <v>26078.0</v>
      </c>
      <c r="C6669" s="38" t="s">
        <v>10065</v>
      </c>
      <c r="D6669" s="38" t="str">
        <f>IFERROR(__xludf.DUMMYFUNCTION("REGEXREPLACE(C6669,""-\d+(.*)|--\d+(.*)"","""")"),"CHAROLS")</f>
        <v>CHAROLS</v>
      </c>
      <c r="E6669" s="38" t="s">
        <v>126</v>
      </c>
      <c r="F6669" s="38" t="s">
        <v>102</v>
      </c>
      <c r="G6669" s="49" t="str">
        <f t="shared" si="1"/>
        <v>26450</v>
      </c>
      <c r="H6669" s="49">
        <f t="shared" si="2"/>
        <v>26078</v>
      </c>
    </row>
    <row r="6670">
      <c r="A6670" s="48" t="s">
        <v>3448</v>
      </c>
      <c r="B6670" s="38">
        <v>65149.0</v>
      </c>
      <c r="C6670" s="38" t="s">
        <v>8732</v>
      </c>
      <c r="D6670" s="38" t="str">
        <f>IFERROR(__xludf.DUMMYFUNCTION("REGEXREPLACE(C6670,""-\d+(.*)|--\d+(.*)"","""")"),"CLARAC")</f>
        <v>CLARAC</v>
      </c>
      <c r="E6670" s="38" t="s">
        <v>200</v>
      </c>
      <c r="F6670" s="38" t="s">
        <v>94</v>
      </c>
      <c r="G6670" s="49" t="str">
        <f t="shared" si="1"/>
        <v>65190</v>
      </c>
      <c r="H6670" s="49">
        <f t="shared" si="2"/>
        <v>65149</v>
      </c>
    </row>
    <row r="6671">
      <c r="A6671" s="48" t="s">
        <v>10066</v>
      </c>
      <c r="B6671" s="38">
        <v>1186.0</v>
      </c>
      <c r="C6671" s="38" t="s">
        <v>10067</v>
      </c>
      <c r="D6671" s="38" t="str">
        <f>IFERROR(__xludf.DUMMYFUNCTION("REGEXREPLACE(C6671,""-\d+(.*)|--\d+(.*)"","""")"),"HOSTIAZ")</f>
        <v>HOSTIAZ</v>
      </c>
      <c r="E6671" s="38" t="s">
        <v>255</v>
      </c>
      <c r="F6671" s="38" t="s">
        <v>102</v>
      </c>
      <c r="G6671" s="49" t="str">
        <f t="shared" si="1"/>
        <v>01110</v>
      </c>
      <c r="H6671" s="49" t="str">
        <f t="shared" si="2"/>
        <v>01186</v>
      </c>
    </row>
    <row r="6672">
      <c r="A6672" s="48" t="s">
        <v>4668</v>
      </c>
      <c r="B6672" s="38">
        <v>88167.0</v>
      </c>
      <c r="C6672" s="38" t="s">
        <v>10068</v>
      </c>
      <c r="D6672" s="38" t="str">
        <f>IFERROR(__xludf.DUMMYFUNCTION("REGEXREPLACE(C6672,""-\d+(.*)|--\d+(.*)"","""")"),"FAUCOMPIERRE")</f>
        <v>FAUCOMPIERRE</v>
      </c>
      <c r="E6672" s="38" t="s">
        <v>194</v>
      </c>
      <c r="F6672" s="38" t="s">
        <v>195</v>
      </c>
      <c r="G6672" s="49" t="str">
        <f t="shared" si="1"/>
        <v>88460</v>
      </c>
      <c r="H6672" s="49">
        <f t="shared" si="2"/>
        <v>88167</v>
      </c>
    </row>
    <row r="6673">
      <c r="A6673" s="48" t="s">
        <v>8167</v>
      </c>
      <c r="B6673" s="38">
        <v>41005.0</v>
      </c>
      <c r="C6673" s="38" t="s">
        <v>10069</v>
      </c>
      <c r="D6673" s="38" t="str">
        <f>IFERROR(__xludf.DUMMYFUNCTION("REGEXREPLACE(C6673,""-\d+(.*)|--\d+(.*)"","""")"),"ARVILLE")</f>
        <v>ARVILLE</v>
      </c>
      <c r="E6673" s="38" t="s">
        <v>188</v>
      </c>
      <c r="F6673" s="38" t="s">
        <v>123</v>
      </c>
      <c r="G6673" s="49" t="str">
        <f t="shared" si="1"/>
        <v>41170</v>
      </c>
      <c r="H6673" s="49">
        <f t="shared" si="2"/>
        <v>41005</v>
      </c>
    </row>
    <row r="6674">
      <c r="A6674" s="48" t="s">
        <v>4665</v>
      </c>
      <c r="B6674" s="38">
        <v>16121.0</v>
      </c>
      <c r="C6674" s="38" t="s">
        <v>10070</v>
      </c>
      <c r="D6674" s="38" t="str">
        <f>IFERROR(__xludf.DUMMYFUNCTION("REGEXREPLACE(C6674,""-\d+(.*)|--\d+(.*)"","""")"),"DOUZAT")</f>
        <v>DOUZAT</v>
      </c>
      <c r="E6674" s="38" t="s">
        <v>429</v>
      </c>
      <c r="F6674" s="38" t="s">
        <v>338</v>
      </c>
      <c r="G6674" s="49" t="str">
        <f t="shared" si="1"/>
        <v>16290</v>
      </c>
      <c r="H6674" s="49">
        <f t="shared" si="2"/>
        <v>16121</v>
      </c>
    </row>
    <row r="6675">
      <c r="A6675" s="48" t="s">
        <v>10071</v>
      </c>
      <c r="B6675" s="38">
        <v>91045.0</v>
      </c>
      <c r="C6675" s="38" t="s">
        <v>10072</v>
      </c>
      <c r="D6675" s="38" t="str">
        <f>IFERROR(__xludf.DUMMYFUNCTION("REGEXREPLACE(C6675,""-\d+(.*)|--\d+(.*)"","""")"),"BALLANCOURT-SUR-ESSONNE")</f>
        <v>BALLANCOURT-SUR-ESSONNE</v>
      </c>
      <c r="E6675" s="38" t="s">
        <v>756</v>
      </c>
      <c r="F6675" s="38" t="s">
        <v>245</v>
      </c>
      <c r="G6675" s="49" t="str">
        <f t="shared" si="1"/>
        <v>91610</v>
      </c>
      <c r="H6675" s="49">
        <f t="shared" si="2"/>
        <v>91045</v>
      </c>
    </row>
    <row r="6676">
      <c r="A6676" s="48" t="s">
        <v>1072</v>
      </c>
      <c r="B6676" s="38">
        <v>86295.0</v>
      </c>
      <c r="C6676" s="38" t="s">
        <v>10073</v>
      </c>
      <c r="D6676" s="38" t="str">
        <f>IFERROR(__xludf.DUMMYFUNCTION("REGEXREPLACE(C6676,""-\d+(.*)|--\d+(.*)"","""")"),"VOULEME")</f>
        <v>VOULEME</v>
      </c>
      <c r="E6676" s="38" t="s">
        <v>529</v>
      </c>
      <c r="F6676" s="38" t="s">
        <v>338</v>
      </c>
      <c r="G6676" s="49" t="str">
        <f t="shared" si="1"/>
        <v>86400</v>
      </c>
      <c r="H6676" s="49">
        <f t="shared" si="2"/>
        <v>86295</v>
      </c>
    </row>
    <row r="6677">
      <c r="A6677" s="48" t="s">
        <v>5515</v>
      </c>
      <c r="B6677" s="38">
        <v>72166.0</v>
      </c>
      <c r="C6677" s="38" t="s">
        <v>10074</v>
      </c>
      <c r="D6677" s="38" t="str">
        <f>IFERROR(__xludf.DUMMYFUNCTION("REGEXREPLACE(C6677,""-\d+(.*)|--\d+(.*)"","""")"),"LONGNES")</f>
        <v>LONGNES</v>
      </c>
      <c r="E6677" s="38" t="s">
        <v>521</v>
      </c>
      <c r="F6677" s="38" t="s">
        <v>180</v>
      </c>
      <c r="G6677" s="49" t="str">
        <f t="shared" si="1"/>
        <v>72540</v>
      </c>
      <c r="H6677" s="49">
        <f t="shared" si="2"/>
        <v>72166</v>
      </c>
    </row>
    <row r="6678">
      <c r="A6678" s="48" t="s">
        <v>10075</v>
      </c>
      <c r="B6678" s="38">
        <v>56085.0</v>
      </c>
      <c r="C6678" s="38" t="s">
        <v>10076</v>
      </c>
      <c r="D6678" s="38" t="str">
        <f>IFERROR(__xludf.DUMMYFUNCTION("REGEXREPLACE(C6678,""-\d+(.*)|--\d+(.*)"","""")"),"HOEDIC")</f>
        <v>HOEDIC</v>
      </c>
      <c r="E6678" s="38" t="s">
        <v>173</v>
      </c>
      <c r="F6678" s="38" t="s">
        <v>90</v>
      </c>
      <c r="G6678" s="49" t="str">
        <f t="shared" si="1"/>
        <v>56170</v>
      </c>
      <c r="H6678" s="49">
        <f t="shared" si="2"/>
        <v>56085</v>
      </c>
    </row>
    <row r="6679">
      <c r="A6679" s="48" t="s">
        <v>2968</v>
      </c>
      <c r="B6679" s="38">
        <v>45103.0</v>
      </c>
      <c r="C6679" s="38" t="s">
        <v>10077</v>
      </c>
      <c r="D6679" s="38" t="str">
        <f>IFERROR(__xludf.DUMMYFUNCTION("REGEXREPLACE(C6679,""-\d+(.*)|--\d+(.*)"","""")"),"CORBEILLES")</f>
        <v>CORBEILLES</v>
      </c>
      <c r="E6679" s="38" t="s">
        <v>122</v>
      </c>
      <c r="F6679" s="38" t="s">
        <v>123</v>
      </c>
      <c r="G6679" s="49" t="str">
        <f t="shared" si="1"/>
        <v>45490</v>
      </c>
      <c r="H6679" s="49">
        <f t="shared" si="2"/>
        <v>45103</v>
      </c>
    </row>
    <row r="6680">
      <c r="A6680" s="48" t="s">
        <v>2623</v>
      </c>
      <c r="B6680" s="38">
        <v>86102.0</v>
      </c>
      <c r="C6680" s="38" t="s">
        <v>10078</v>
      </c>
      <c r="D6680" s="38" t="str">
        <f>IFERROR(__xludf.DUMMYFUNCTION("REGEXREPLACE(C6680,""-\d+(.*)|--\d+(.*)"","""")"),"FROZES")</f>
        <v>FROZES</v>
      </c>
      <c r="E6680" s="38" t="s">
        <v>529</v>
      </c>
      <c r="F6680" s="38" t="s">
        <v>338</v>
      </c>
      <c r="G6680" s="49" t="str">
        <f t="shared" si="1"/>
        <v>86190</v>
      </c>
      <c r="H6680" s="49">
        <f t="shared" si="2"/>
        <v>86102</v>
      </c>
    </row>
    <row r="6681">
      <c r="A6681" s="48" t="s">
        <v>9632</v>
      </c>
      <c r="B6681" s="38">
        <v>28204.0</v>
      </c>
      <c r="C6681" s="38" t="s">
        <v>10079</v>
      </c>
      <c r="D6681" s="38" t="str">
        <f>IFERROR(__xludf.DUMMYFUNCTION("REGEXREPLACE(C6681,""-\d+(.*)|--\d+(.*)"","""")"),"LANGEY")</f>
        <v>LANGEY</v>
      </c>
      <c r="E6681" s="38" t="s">
        <v>300</v>
      </c>
      <c r="F6681" s="38" t="s">
        <v>123</v>
      </c>
      <c r="G6681" s="49" t="str">
        <f t="shared" si="1"/>
        <v>28220</v>
      </c>
      <c r="H6681" s="49">
        <f t="shared" si="2"/>
        <v>28204</v>
      </c>
    </row>
    <row r="6682">
      <c r="A6682" s="48" t="s">
        <v>6038</v>
      </c>
      <c r="B6682" s="38">
        <v>88049.0</v>
      </c>
      <c r="C6682" s="38" t="s">
        <v>10080</v>
      </c>
      <c r="D6682" s="38" t="str">
        <f>IFERROR(__xludf.DUMMYFUNCTION("REGEXREPLACE(C6682,""-\d+(.*)|--\d+(.*)"","""")"),"BELMONT-LES-DARNEY")</f>
        <v>BELMONT-LES-DARNEY</v>
      </c>
      <c r="E6682" s="38" t="s">
        <v>194</v>
      </c>
      <c r="F6682" s="38" t="s">
        <v>195</v>
      </c>
      <c r="G6682" s="49" t="str">
        <f t="shared" si="1"/>
        <v>88260</v>
      </c>
      <c r="H6682" s="49">
        <f t="shared" si="2"/>
        <v>88049</v>
      </c>
    </row>
    <row r="6683">
      <c r="A6683" s="48" t="s">
        <v>1210</v>
      </c>
      <c r="B6683" s="38">
        <v>50026.0</v>
      </c>
      <c r="C6683" s="38" t="s">
        <v>10081</v>
      </c>
      <c r="D6683" s="38" t="str">
        <f>IFERROR(__xludf.DUMMYFUNCTION("REGEXREPLACE(C6683,""-\d+(.*)|--\d+(.*)"","""")"),"AZEVILLE")</f>
        <v>AZEVILLE</v>
      </c>
      <c r="E6683" s="38" t="s">
        <v>157</v>
      </c>
      <c r="F6683" s="38" t="s">
        <v>138</v>
      </c>
      <c r="G6683" s="49" t="str">
        <f t="shared" si="1"/>
        <v>50310</v>
      </c>
      <c r="H6683" s="49">
        <f t="shared" si="2"/>
        <v>50026</v>
      </c>
    </row>
    <row r="6684">
      <c r="A6684" s="48" t="s">
        <v>2249</v>
      </c>
      <c r="B6684" s="38">
        <v>14529.0</v>
      </c>
      <c r="C6684" s="38" t="s">
        <v>10082</v>
      </c>
      <c r="D6684" s="38" t="str">
        <f>IFERROR(__xludf.DUMMYFUNCTION("REGEXREPLACE(C6684,""-\d+(.*)|--\d+(.*)"","""")"),"RANCHY")</f>
        <v>RANCHY</v>
      </c>
      <c r="E6684" s="38" t="s">
        <v>137</v>
      </c>
      <c r="F6684" s="38" t="s">
        <v>138</v>
      </c>
      <c r="G6684" s="49" t="str">
        <f t="shared" si="1"/>
        <v>14400</v>
      </c>
      <c r="H6684" s="49">
        <f t="shared" si="2"/>
        <v>14529</v>
      </c>
    </row>
    <row r="6685">
      <c r="A6685" s="48" t="s">
        <v>3990</v>
      </c>
      <c r="B6685" s="38">
        <v>2067.0</v>
      </c>
      <c r="C6685" s="38" t="s">
        <v>10083</v>
      </c>
      <c r="D6685" s="38" t="str">
        <f>IFERROR(__xludf.DUMMYFUNCTION("REGEXREPLACE(C6685,""-\d+(.*)|--\d+(.*)"","""")"),"BERGUES-SUR-SAMBRE")</f>
        <v>BERGUES-SUR-SAMBRE</v>
      </c>
      <c r="E6685" s="38" t="s">
        <v>191</v>
      </c>
      <c r="F6685" s="38" t="s">
        <v>113</v>
      </c>
      <c r="G6685" s="49" t="str">
        <f t="shared" si="1"/>
        <v>02450</v>
      </c>
      <c r="H6685" s="49" t="str">
        <f t="shared" si="2"/>
        <v>02067</v>
      </c>
    </row>
    <row r="6686">
      <c r="A6686" s="48" t="s">
        <v>10084</v>
      </c>
      <c r="B6686" s="38">
        <v>35066.0</v>
      </c>
      <c r="C6686" s="38" t="s">
        <v>10085</v>
      </c>
      <c r="D6686" s="38" t="str">
        <f>IFERROR(__xludf.DUMMYFUNCTION("REGEXREPLACE(C6686,""-\d+(.*)|--\d+(.*)"","""")"),"CHARTRES-DE-BRETAGNE")</f>
        <v>CHARTRES-DE-BRETAGNE</v>
      </c>
      <c r="E6686" s="38" t="s">
        <v>347</v>
      </c>
      <c r="F6686" s="38" t="s">
        <v>90</v>
      </c>
      <c r="G6686" s="49" t="str">
        <f t="shared" si="1"/>
        <v>35131</v>
      </c>
      <c r="H6686" s="49">
        <f t="shared" si="2"/>
        <v>35066</v>
      </c>
    </row>
    <row r="6687">
      <c r="A6687" s="48" t="s">
        <v>10086</v>
      </c>
      <c r="B6687" s="38">
        <v>29227.0</v>
      </c>
      <c r="C6687" s="38" t="s">
        <v>10087</v>
      </c>
      <c r="D6687" s="38" t="str">
        <f>IFERROR(__xludf.DUMMYFUNCTION("REGEXREPLACE(C6687,""-\d+(.*)|--\d+(.*)"","""")"),"POULLAOUEN")</f>
        <v>POULLAOUEN</v>
      </c>
      <c r="E6687" s="38" t="s">
        <v>176</v>
      </c>
      <c r="F6687" s="38" t="s">
        <v>90</v>
      </c>
      <c r="G6687" s="49" t="str">
        <f t="shared" si="1"/>
        <v>29246</v>
      </c>
      <c r="H6687" s="49">
        <f t="shared" si="2"/>
        <v>29227</v>
      </c>
    </row>
    <row r="6688">
      <c r="A6688" s="48" t="s">
        <v>4158</v>
      </c>
      <c r="B6688" s="38">
        <v>38320.0</v>
      </c>
      <c r="C6688" s="38" t="s">
        <v>10088</v>
      </c>
      <c r="D6688" s="38" t="str">
        <f>IFERROR(__xludf.DUMMYFUNCTION("REGEXREPLACE(C6688,""-\d+(.*)|--\d+(.*)"","""")"),"PORCIEU-AMBLAGNIEU")</f>
        <v>PORCIEU-AMBLAGNIEU</v>
      </c>
      <c r="E6688" s="38" t="s">
        <v>101</v>
      </c>
      <c r="F6688" s="38" t="s">
        <v>102</v>
      </c>
      <c r="G6688" s="49" t="str">
        <f t="shared" si="1"/>
        <v>38390</v>
      </c>
      <c r="H6688" s="49">
        <f t="shared" si="2"/>
        <v>38320</v>
      </c>
    </row>
    <row r="6689">
      <c r="A6689" s="48" t="s">
        <v>4902</v>
      </c>
      <c r="B6689" s="38">
        <v>61492.0</v>
      </c>
      <c r="C6689" s="38" t="s">
        <v>10089</v>
      </c>
      <c r="D6689" s="38" t="str">
        <f>IFERROR(__xludf.DUMMYFUNCTION("REGEXREPLACE(C6689,""-\d+(.*)|--\d+(.*)"","""")"),"TREMONT")</f>
        <v>TREMONT</v>
      </c>
      <c r="E6689" s="38" t="s">
        <v>141</v>
      </c>
      <c r="F6689" s="38" t="s">
        <v>138</v>
      </c>
      <c r="G6689" s="49" t="str">
        <f t="shared" si="1"/>
        <v>61390</v>
      </c>
      <c r="H6689" s="49">
        <f t="shared" si="2"/>
        <v>61492</v>
      </c>
    </row>
    <row r="6690">
      <c r="A6690" s="48" t="s">
        <v>4923</v>
      </c>
      <c r="B6690" s="38">
        <v>61180.0</v>
      </c>
      <c r="C6690" s="38" t="s">
        <v>10090</v>
      </c>
      <c r="D6690" s="38" t="str">
        <f>IFERROR(__xludf.DUMMYFUNCTION("REGEXREPLACE(C6690,""-\d+(.*)|--\d+(.*)"","""")"),"FRESNAY-LE-SAMSON")</f>
        <v>FRESNAY-LE-SAMSON</v>
      </c>
      <c r="E6690" s="38" t="s">
        <v>141</v>
      </c>
      <c r="F6690" s="38" t="s">
        <v>138</v>
      </c>
      <c r="G6690" s="49" t="str">
        <f t="shared" si="1"/>
        <v>61120</v>
      </c>
      <c r="H6690" s="49">
        <f t="shared" si="2"/>
        <v>61180</v>
      </c>
    </row>
    <row r="6691">
      <c r="A6691" s="48" t="s">
        <v>10091</v>
      </c>
      <c r="B6691" s="38">
        <v>59654.0</v>
      </c>
      <c r="C6691" s="38" t="s">
        <v>10092</v>
      </c>
      <c r="D6691" s="38" t="str">
        <f>IFERROR(__xludf.DUMMYFUNCTION("REGEXREPLACE(C6691,""-\d+(.*)|--\d+(.*)"","""")"),"WAZIERS")</f>
        <v>WAZIERS</v>
      </c>
      <c r="E6691" s="38" t="s">
        <v>85</v>
      </c>
      <c r="F6691" s="38" t="s">
        <v>86</v>
      </c>
      <c r="G6691" s="49" t="str">
        <f t="shared" si="1"/>
        <v>59119</v>
      </c>
      <c r="H6691" s="49">
        <f t="shared" si="2"/>
        <v>59654</v>
      </c>
    </row>
    <row r="6692">
      <c r="A6692" s="48" t="s">
        <v>2128</v>
      </c>
      <c r="B6692" s="38">
        <v>2656.0</v>
      </c>
      <c r="C6692" s="38" t="s">
        <v>10093</v>
      </c>
      <c r="D6692" s="38" t="str">
        <f>IFERROR(__xludf.DUMMYFUNCTION("REGEXREPLACE(C6692,""-\d+(.*)|--\d+(.*)"","""")"),"ROUCY")</f>
        <v>ROUCY</v>
      </c>
      <c r="E6692" s="38" t="s">
        <v>191</v>
      </c>
      <c r="F6692" s="38" t="s">
        <v>113</v>
      </c>
      <c r="G6692" s="49" t="str">
        <f t="shared" si="1"/>
        <v>02160</v>
      </c>
      <c r="H6692" s="49" t="str">
        <f t="shared" si="2"/>
        <v>02656</v>
      </c>
    </row>
    <row r="6693">
      <c r="A6693" s="48" t="s">
        <v>3814</v>
      </c>
      <c r="B6693" s="38">
        <v>71394.0</v>
      </c>
      <c r="C6693" s="38" t="s">
        <v>10094</v>
      </c>
      <c r="D6693" s="38" t="str">
        <f>IFERROR(__xludf.DUMMYFUNCTION("REGEXREPLACE(C6693,""-\d+(.*)|--\d+(.*)"","""")"),"SAINT-BONNET-DE-JOUX")</f>
        <v>SAINT-BONNET-DE-JOUX</v>
      </c>
      <c r="E6693" s="38" t="s">
        <v>344</v>
      </c>
      <c r="F6693" s="38" t="s">
        <v>106</v>
      </c>
      <c r="G6693" s="49" t="str">
        <f t="shared" si="1"/>
        <v>71220</v>
      </c>
      <c r="H6693" s="49">
        <f t="shared" si="2"/>
        <v>71394</v>
      </c>
    </row>
    <row r="6694">
      <c r="A6694" s="48" t="s">
        <v>5548</v>
      </c>
      <c r="B6694" s="38">
        <v>57408.0</v>
      </c>
      <c r="C6694" s="38" t="s">
        <v>10095</v>
      </c>
      <c r="D6694" s="38" t="str">
        <f>IFERROR(__xludf.DUMMYFUNCTION("REGEXREPLACE(C6694,""-\d+(.*)|--\d+(.*)"","""")"),"LIXING-LES-ROUHLING")</f>
        <v>LIXING-LES-ROUHLING</v>
      </c>
      <c r="E6694" s="38" t="s">
        <v>303</v>
      </c>
      <c r="F6694" s="38" t="s">
        <v>195</v>
      </c>
      <c r="G6694" s="49" t="str">
        <f t="shared" si="1"/>
        <v>57520</v>
      </c>
      <c r="H6694" s="49">
        <f t="shared" si="2"/>
        <v>57408</v>
      </c>
    </row>
    <row r="6695">
      <c r="A6695" s="48" t="s">
        <v>8414</v>
      </c>
      <c r="B6695" s="38">
        <v>60216.0</v>
      </c>
      <c r="C6695" s="38" t="s">
        <v>10096</v>
      </c>
      <c r="D6695" s="38" t="str">
        <f>IFERROR(__xludf.DUMMYFUNCTION("REGEXREPLACE(C6695,""-\d+(.*)|--\d+(.*)"","""")"),"ERQUINVILLERS")</f>
        <v>ERQUINVILLERS</v>
      </c>
      <c r="E6695" s="38" t="s">
        <v>112</v>
      </c>
      <c r="F6695" s="38" t="s">
        <v>113</v>
      </c>
      <c r="G6695" s="49" t="str">
        <f t="shared" si="1"/>
        <v>60130</v>
      </c>
      <c r="H6695" s="49">
        <f t="shared" si="2"/>
        <v>60216</v>
      </c>
    </row>
    <row r="6696">
      <c r="A6696" s="48" t="s">
        <v>3196</v>
      </c>
      <c r="B6696" s="38">
        <v>1195.0</v>
      </c>
      <c r="C6696" s="38" t="s">
        <v>10097</v>
      </c>
      <c r="D6696" s="38" t="str">
        <f>IFERROR(__xludf.DUMMYFUNCTION("REGEXREPLACE(C6696,""-\d+(.*)|--\d+(.*)"","""")"),"JASSERON")</f>
        <v>JASSERON</v>
      </c>
      <c r="E6696" s="38" t="s">
        <v>255</v>
      </c>
      <c r="F6696" s="38" t="s">
        <v>102</v>
      </c>
      <c r="G6696" s="49" t="str">
        <f t="shared" si="1"/>
        <v>01250</v>
      </c>
      <c r="H6696" s="49" t="str">
        <f t="shared" si="2"/>
        <v>01195</v>
      </c>
    </row>
    <row r="6697">
      <c r="A6697" s="48" t="s">
        <v>2773</v>
      </c>
      <c r="B6697" s="38">
        <v>21393.0</v>
      </c>
      <c r="C6697" s="38" t="s">
        <v>10098</v>
      </c>
      <c r="D6697" s="38" t="str">
        <f>IFERROR(__xludf.DUMMYFUNCTION("REGEXREPLACE(C6697,""-\d+(.*)|--\d+(.*)"","""")"),"MASSINGY")</f>
        <v>MASSINGY</v>
      </c>
      <c r="E6697" s="38" t="s">
        <v>105</v>
      </c>
      <c r="F6697" s="38" t="s">
        <v>106</v>
      </c>
      <c r="G6697" s="49" t="str">
        <f t="shared" si="1"/>
        <v>21400</v>
      </c>
      <c r="H6697" s="49">
        <f t="shared" si="2"/>
        <v>21393</v>
      </c>
    </row>
    <row r="6698">
      <c r="A6698" s="48" t="s">
        <v>3321</v>
      </c>
      <c r="B6698" s="38">
        <v>47241.0</v>
      </c>
      <c r="C6698" s="38" t="s">
        <v>10099</v>
      </c>
      <c r="D6698" s="38" t="str">
        <f>IFERROR(__xludf.DUMMYFUNCTION("REGEXREPLACE(C6698,""-\d+(.*)|--\d+(.*)"","""")"),"SAINT-EUTROPE-DE-BORN")</f>
        <v>SAINT-EUTROPE-DE-BORN</v>
      </c>
      <c r="E6698" s="38" t="s">
        <v>251</v>
      </c>
      <c r="F6698" s="38" t="s">
        <v>252</v>
      </c>
      <c r="G6698" s="49" t="str">
        <f t="shared" si="1"/>
        <v>47210</v>
      </c>
      <c r="H6698" s="49">
        <f t="shared" si="2"/>
        <v>47241</v>
      </c>
    </row>
    <row r="6699">
      <c r="A6699" s="48" t="s">
        <v>307</v>
      </c>
      <c r="B6699" s="38">
        <v>88242.0</v>
      </c>
      <c r="C6699" s="38" t="s">
        <v>10100</v>
      </c>
      <c r="D6699" s="38" t="str">
        <f>IFERROR(__xludf.DUMMYFUNCTION("REGEXREPLACE(C6699,""-\d+(.*)|--\d+(.*)"","""")"),"HOUEVILLE")</f>
        <v>HOUEVILLE</v>
      </c>
      <c r="E6699" s="38" t="s">
        <v>194</v>
      </c>
      <c r="F6699" s="38" t="s">
        <v>195</v>
      </c>
      <c r="G6699" s="49" t="str">
        <f t="shared" si="1"/>
        <v>88300</v>
      </c>
      <c r="H6699" s="49">
        <f t="shared" si="2"/>
        <v>88242</v>
      </c>
    </row>
    <row r="6700">
      <c r="A6700" s="48" t="s">
        <v>542</v>
      </c>
      <c r="B6700" s="38">
        <v>50540.0</v>
      </c>
      <c r="C6700" s="38" t="s">
        <v>10101</v>
      </c>
      <c r="D6700" s="38" t="str">
        <f>IFERROR(__xludf.DUMMYFUNCTION("REGEXREPLACE(C6700,""-\d+(.*)|--\d+(.*)"","""")"),"SAINT-PIERRE-LANGERS")</f>
        <v>SAINT-PIERRE-LANGERS</v>
      </c>
      <c r="E6700" s="38" t="s">
        <v>157</v>
      </c>
      <c r="F6700" s="38" t="s">
        <v>138</v>
      </c>
      <c r="G6700" s="49" t="str">
        <f t="shared" si="1"/>
        <v>50530</v>
      </c>
      <c r="H6700" s="49">
        <f t="shared" si="2"/>
        <v>50540</v>
      </c>
    </row>
    <row r="6701">
      <c r="A6701" s="48" t="s">
        <v>9297</v>
      </c>
      <c r="B6701" s="38">
        <v>41001.0</v>
      </c>
      <c r="C6701" s="38" t="s">
        <v>10102</v>
      </c>
      <c r="D6701" s="38" t="str">
        <f>IFERROR(__xludf.DUMMYFUNCTION("REGEXREPLACE(C6701,""-\d+(.*)|--\d+(.*)"","""")"),"AMBLOY")</f>
        <v>AMBLOY</v>
      </c>
      <c r="E6701" s="38" t="s">
        <v>188</v>
      </c>
      <c r="F6701" s="38" t="s">
        <v>123</v>
      </c>
      <c r="G6701" s="49" t="str">
        <f t="shared" si="1"/>
        <v>41310</v>
      </c>
      <c r="H6701" s="49">
        <f t="shared" si="2"/>
        <v>41001</v>
      </c>
    </row>
    <row r="6702">
      <c r="A6702" s="48" t="s">
        <v>2201</v>
      </c>
      <c r="B6702" s="38">
        <v>32238.0</v>
      </c>
      <c r="C6702" s="38" t="s">
        <v>10103</v>
      </c>
      <c r="D6702" s="38" t="str">
        <f>IFERROR(__xludf.DUMMYFUNCTION("REGEXREPLACE(C6702,""-\d+(.*)|--\d+(.*)"","""")"),"MARSEILLAN")</f>
        <v>MARSEILLAN</v>
      </c>
      <c r="E6702" s="38" t="s">
        <v>440</v>
      </c>
      <c r="F6702" s="38" t="s">
        <v>94</v>
      </c>
      <c r="G6702" s="49" t="str">
        <f t="shared" si="1"/>
        <v>32170</v>
      </c>
      <c r="H6702" s="49">
        <f t="shared" si="2"/>
        <v>32238</v>
      </c>
    </row>
    <row r="6703">
      <c r="A6703" s="48" t="s">
        <v>4131</v>
      </c>
      <c r="B6703" s="38">
        <v>27052.0</v>
      </c>
      <c r="C6703" s="38" t="s">
        <v>10104</v>
      </c>
      <c r="D6703" s="38" t="str">
        <f>IFERROR(__xludf.DUMMYFUNCTION("REGEXREPLACE(C6703,""-\d+(.*)|--\d+(.*)"","""")"),"LE BEC-HELLOUIN")</f>
        <v>LE BEC-HELLOUIN</v>
      </c>
      <c r="E6703" s="38" t="s">
        <v>241</v>
      </c>
      <c r="F6703" s="38" t="s">
        <v>134</v>
      </c>
      <c r="G6703" s="49" t="str">
        <f t="shared" si="1"/>
        <v>27800</v>
      </c>
      <c r="H6703" s="49">
        <f t="shared" si="2"/>
        <v>27052</v>
      </c>
    </row>
    <row r="6704">
      <c r="A6704" s="48" t="s">
        <v>1155</v>
      </c>
      <c r="B6704" s="38">
        <v>67508.0</v>
      </c>
      <c r="C6704" s="38" t="s">
        <v>10105</v>
      </c>
      <c r="D6704" s="38" t="str">
        <f>IFERROR(__xludf.DUMMYFUNCTION("REGEXREPLACE(C6704,""-\d+(.*)|--\d+(.*)"","""")"),"VOELLERDINGEN")</f>
        <v>VOELLERDINGEN</v>
      </c>
      <c r="E6704" s="38" t="s">
        <v>210</v>
      </c>
      <c r="F6704" s="38" t="s">
        <v>151</v>
      </c>
      <c r="G6704" s="49" t="str">
        <f t="shared" si="1"/>
        <v>67430</v>
      </c>
      <c r="H6704" s="49">
        <f t="shared" si="2"/>
        <v>67508</v>
      </c>
    </row>
    <row r="6705">
      <c r="A6705" s="48" t="s">
        <v>2942</v>
      </c>
      <c r="B6705" s="38">
        <v>14061.0</v>
      </c>
      <c r="C6705" s="38" t="s">
        <v>10106</v>
      </c>
      <c r="D6705" s="38" t="str">
        <f>IFERROR(__xludf.DUMMYFUNCTION("REGEXREPLACE(C6705,""-\d+(.*)|--\d+(.*)"","""")"),"LE BENY-BOCAGE")</f>
        <v>LE BENY-BOCAGE</v>
      </c>
      <c r="E6705" s="38" t="s">
        <v>137</v>
      </c>
      <c r="F6705" s="38" t="s">
        <v>138</v>
      </c>
      <c r="G6705" s="49" t="str">
        <f t="shared" si="1"/>
        <v>14350</v>
      </c>
      <c r="H6705" s="49">
        <f t="shared" si="2"/>
        <v>14061</v>
      </c>
    </row>
    <row r="6706">
      <c r="A6706" s="48" t="s">
        <v>10107</v>
      </c>
      <c r="B6706" s="38" t="s">
        <v>10108</v>
      </c>
      <c r="C6706" s="38" t="s">
        <v>10109</v>
      </c>
      <c r="D6706" s="38" t="str">
        <f>IFERROR(__xludf.DUMMYFUNCTION("REGEXREPLACE(C6706,""-\d+(.*)|--\d+(.*)"","""")"),"PIANO")</f>
        <v>PIANO</v>
      </c>
      <c r="E6706" s="38" t="s">
        <v>743</v>
      </c>
      <c r="F6706" s="38" t="s">
        <v>607</v>
      </c>
      <c r="G6706" s="49" t="str">
        <f t="shared" si="1"/>
        <v>20215</v>
      </c>
      <c r="H6706" s="49" t="str">
        <f t="shared" si="2"/>
        <v>2B214</v>
      </c>
    </row>
    <row r="6707">
      <c r="A6707" s="48" t="s">
        <v>10110</v>
      </c>
      <c r="B6707" s="38">
        <v>63158.0</v>
      </c>
      <c r="C6707" s="38" t="s">
        <v>10111</v>
      </c>
      <c r="D6707" s="38" t="str">
        <f>IFERROR(__xludf.DUMMYFUNCTION("REGEXREPLACE(C6707,""-\d+(.*)|--\d+(.*)"","""")"),"FAYET-RONAYE")</f>
        <v>FAYET-RONAYE</v>
      </c>
      <c r="E6707" s="38" t="s">
        <v>353</v>
      </c>
      <c r="F6707" s="38" t="s">
        <v>161</v>
      </c>
      <c r="G6707" s="49" t="str">
        <f t="shared" si="1"/>
        <v>63630</v>
      </c>
      <c r="H6707" s="49">
        <f t="shared" si="2"/>
        <v>63158</v>
      </c>
    </row>
    <row r="6708">
      <c r="A6708" s="48" t="s">
        <v>6858</v>
      </c>
      <c r="B6708" s="38">
        <v>71587.0</v>
      </c>
      <c r="C6708" s="38" t="s">
        <v>10112</v>
      </c>
      <c r="D6708" s="38" t="str">
        <f>IFERROR(__xludf.DUMMYFUNCTION("REGEXREPLACE(C6708,""-\d+(.*)|--\d+(.*)"","""")"),"VITRY-LES-CLUNY")</f>
        <v>VITRY-LES-CLUNY</v>
      </c>
      <c r="E6708" s="38" t="s">
        <v>344</v>
      </c>
      <c r="F6708" s="38" t="s">
        <v>106</v>
      </c>
      <c r="G6708" s="49" t="str">
        <f t="shared" si="1"/>
        <v>71250</v>
      </c>
      <c r="H6708" s="49">
        <f t="shared" si="2"/>
        <v>71587</v>
      </c>
    </row>
    <row r="6709">
      <c r="A6709" s="48" t="s">
        <v>3291</v>
      </c>
      <c r="B6709" s="38">
        <v>3301.0</v>
      </c>
      <c r="C6709" s="38" t="s">
        <v>1771</v>
      </c>
      <c r="D6709" s="38" t="str">
        <f>IFERROR(__xludf.DUMMYFUNCTION("REGEXREPLACE(C6709,""-\d+(.*)|--\d+(.*)"","""")"),"VAUX")</f>
        <v>VAUX</v>
      </c>
      <c r="E6709" s="38" t="s">
        <v>160</v>
      </c>
      <c r="F6709" s="38" t="s">
        <v>161</v>
      </c>
      <c r="G6709" s="49" t="str">
        <f t="shared" si="1"/>
        <v>03190</v>
      </c>
      <c r="H6709" s="49" t="str">
        <f t="shared" si="2"/>
        <v>03301</v>
      </c>
    </row>
    <row r="6710">
      <c r="A6710" s="48" t="s">
        <v>584</v>
      </c>
      <c r="B6710" s="38">
        <v>62406.0</v>
      </c>
      <c r="C6710" s="38" t="s">
        <v>10113</v>
      </c>
      <c r="D6710" s="38" t="str">
        <f>IFERROR(__xludf.DUMMYFUNCTION("REGEXREPLACE(C6710,""-\d+(.*)|--\d+(.*)"","""")"),"HAMELINCOURT")</f>
        <v>HAMELINCOURT</v>
      </c>
      <c r="E6710" s="38" t="s">
        <v>109</v>
      </c>
      <c r="F6710" s="38" t="s">
        <v>86</v>
      </c>
      <c r="G6710" s="49" t="str">
        <f t="shared" si="1"/>
        <v>62121</v>
      </c>
      <c r="H6710" s="49">
        <f t="shared" si="2"/>
        <v>62406</v>
      </c>
    </row>
    <row r="6711">
      <c r="A6711" s="48" t="s">
        <v>3624</v>
      </c>
      <c r="B6711" s="38">
        <v>39343.0</v>
      </c>
      <c r="C6711" s="38" t="s">
        <v>10114</v>
      </c>
      <c r="D6711" s="38" t="str">
        <f>IFERROR(__xludf.DUMMYFUNCTION("REGEXREPLACE(C6711,""-\d+(.*)|--\d+(.*)"","""")"),"MONNETAY")</f>
        <v>MONNETAY</v>
      </c>
      <c r="E6711" s="38" t="s">
        <v>400</v>
      </c>
      <c r="F6711" s="38" t="s">
        <v>214</v>
      </c>
      <c r="G6711" s="49" t="str">
        <f t="shared" si="1"/>
        <v>39320</v>
      </c>
      <c r="H6711" s="49">
        <f t="shared" si="2"/>
        <v>39343</v>
      </c>
    </row>
    <row r="6712">
      <c r="A6712" s="48" t="s">
        <v>1358</v>
      </c>
      <c r="B6712" s="38">
        <v>81088.0</v>
      </c>
      <c r="C6712" s="38" t="s">
        <v>10115</v>
      </c>
      <c r="D6712" s="38" t="str">
        <f>IFERROR(__xludf.DUMMYFUNCTION("REGEXREPLACE(C6712,""-\d+(.*)|--\d+(.*)"","""")"),"FAUCH")</f>
        <v>FAUCH</v>
      </c>
      <c r="E6712" s="38" t="s">
        <v>231</v>
      </c>
      <c r="F6712" s="38" t="s">
        <v>94</v>
      </c>
      <c r="G6712" s="49" t="str">
        <f t="shared" si="1"/>
        <v>81120</v>
      </c>
      <c r="H6712" s="49">
        <f t="shared" si="2"/>
        <v>81088</v>
      </c>
    </row>
    <row r="6713">
      <c r="A6713" s="48" t="s">
        <v>597</v>
      </c>
      <c r="B6713" s="38">
        <v>31115.0</v>
      </c>
      <c r="C6713" s="38" t="s">
        <v>10116</v>
      </c>
      <c r="D6713" s="38" t="str">
        <f>IFERROR(__xludf.DUMMYFUNCTION("REGEXREPLACE(C6713,""-\d+(.*)|--\d+(.*)"","""")"),"CASTELGAILLARD")</f>
        <v>CASTELGAILLARD</v>
      </c>
      <c r="E6713" s="38" t="s">
        <v>93</v>
      </c>
      <c r="F6713" s="38" t="s">
        <v>94</v>
      </c>
      <c r="G6713" s="49" t="str">
        <f t="shared" si="1"/>
        <v>31230</v>
      </c>
      <c r="H6713" s="49">
        <f t="shared" si="2"/>
        <v>31115</v>
      </c>
    </row>
    <row r="6714">
      <c r="A6714" s="48" t="s">
        <v>5596</v>
      </c>
      <c r="B6714" s="38">
        <v>25548.0</v>
      </c>
      <c r="C6714" s="38" t="s">
        <v>10117</v>
      </c>
      <c r="D6714" s="38" t="str">
        <f>IFERROR(__xludf.DUMMYFUNCTION("REGEXREPLACE(C6714,""-\d+(.*)|--\d+(.*)"","""")"),"SOLEMONT")</f>
        <v>SOLEMONT</v>
      </c>
      <c r="E6714" s="38" t="s">
        <v>213</v>
      </c>
      <c r="F6714" s="38" t="s">
        <v>214</v>
      </c>
      <c r="G6714" s="49" t="str">
        <f t="shared" si="1"/>
        <v>25190</v>
      </c>
      <c r="H6714" s="49">
        <f t="shared" si="2"/>
        <v>25548</v>
      </c>
    </row>
    <row r="6715">
      <c r="A6715" s="48" t="s">
        <v>10118</v>
      </c>
      <c r="B6715" s="38">
        <v>85307.0</v>
      </c>
      <c r="C6715" s="38" t="s">
        <v>10119</v>
      </c>
      <c r="D6715" s="38" t="str">
        <f>IFERROR(__xludf.DUMMYFUNCTION("REGEXREPLACE(C6715,""-\d+(.*)|--\d+(.*)"","""")"),"LA FAUTE-SUR-MER")</f>
        <v>LA FAUTE-SUR-MER</v>
      </c>
      <c r="E6715" s="38" t="s">
        <v>179</v>
      </c>
      <c r="F6715" s="38" t="s">
        <v>180</v>
      </c>
      <c r="G6715" s="49" t="str">
        <f t="shared" si="1"/>
        <v>85460</v>
      </c>
      <c r="H6715" s="49">
        <f t="shared" si="2"/>
        <v>85307</v>
      </c>
    </row>
    <row r="6716">
      <c r="A6716" s="48" t="s">
        <v>4065</v>
      </c>
      <c r="B6716" s="38">
        <v>21097.0</v>
      </c>
      <c r="C6716" s="38" t="s">
        <v>10120</v>
      </c>
      <c r="D6716" s="38" t="str">
        <f>IFERROR(__xludf.DUMMYFUNCTION("REGEXREPLACE(C6716,""-\d+(.*)|--\d+(.*)"","""")"),"BOUSSEY")</f>
        <v>BOUSSEY</v>
      </c>
      <c r="E6716" s="38" t="s">
        <v>105</v>
      </c>
      <c r="F6716" s="38" t="s">
        <v>106</v>
      </c>
      <c r="G6716" s="49" t="str">
        <f t="shared" si="1"/>
        <v>21350</v>
      </c>
      <c r="H6716" s="49">
        <f t="shared" si="2"/>
        <v>21097</v>
      </c>
    </row>
    <row r="6717">
      <c r="A6717" s="48" t="s">
        <v>6951</v>
      </c>
      <c r="B6717" s="38">
        <v>58017.0</v>
      </c>
      <c r="C6717" s="38" t="s">
        <v>10121</v>
      </c>
      <c r="D6717" s="38" t="str">
        <f>IFERROR(__xludf.DUMMYFUNCTION("REGEXREPLACE(C6717,""-\d+(.*)|--\d+(.*)"","""")"),"AUNAY-EN-BAZOIS")</f>
        <v>AUNAY-EN-BAZOIS</v>
      </c>
      <c r="E6717" s="38" t="s">
        <v>219</v>
      </c>
      <c r="F6717" s="38" t="s">
        <v>106</v>
      </c>
      <c r="G6717" s="49" t="str">
        <f t="shared" si="1"/>
        <v>58110</v>
      </c>
      <c r="H6717" s="49">
        <f t="shared" si="2"/>
        <v>58017</v>
      </c>
    </row>
    <row r="6718">
      <c r="A6718" s="48" t="s">
        <v>1381</v>
      </c>
      <c r="B6718" s="38">
        <v>62490.0</v>
      </c>
      <c r="C6718" s="38" t="s">
        <v>10122</v>
      </c>
      <c r="D6718" s="38" t="str">
        <f>IFERROR(__xludf.DUMMYFUNCTION("REGEXREPLACE(C6718,""-\d+(.*)|--\d+(.*)"","""")"),"LATTRE-SAINT-QUENTIN")</f>
        <v>LATTRE-SAINT-QUENTIN</v>
      </c>
      <c r="E6718" s="38" t="s">
        <v>109</v>
      </c>
      <c r="F6718" s="38" t="s">
        <v>86</v>
      </c>
      <c r="G6718" s="49" t="str">
        <f t="shared" si="1"/>
        <v>62810</v>
      </c>
      <c r="H6718" s="49">
        <f t="shared" si="2"/>
        <v>62490</v>
      </c>
    </row>
    <row r="6719">
      <c r="A6719" s="48" t="s">
        <v>10123</v>
      </c>
      <c r="B6719" s="38">
        <v>91552.0</v>
      </c>
      <c r="C6719" s="38" t="s">
        <v>10124</v>
      </c>
      <c r="D6719" s="38" t="str">
        <f>IFERROR(__xludf.DUMMYFUNCTION("REGEXREPLACE(C6719,""-\d+(.*)|--\d+(.*)"","""")"),"SAINT-GERMAIN-LES-ARPAJON")</f>
        <v>SAINT-GERMAIN-LES-ARPAJON</v>
      </c>
      <c r="E6719" s="38" t="s">
        <v>756</v>
      </c>
      <c r="F6719" s="38" t="s">
        <v>245</v>
      </c>
      <c r="G6719" s="49" t="str">
        <f t="shared" si="1"/>
        <v>91180</v>
      </c>
      <c r="H6719" s="49">
        <f t="shared" si="2"/>
        <v>91552</v>
      </c>
    </row>
    <row r="6720">
      <c r="A6720" s="48" t="s">
        <v>5137</v>
      </c>
      <c r="B6720" s="38">
        <v>53261.0</v>
      </c>
      <c r="C6720" s="38" t="s">
        <v>10125</v>
      </c>
      <c r="D6720" s="38" t="str">
        <f>IFERROR(__xludf.DUMMYFUNCTION("REGEXREPLACE(C6720,""-\d+(.*)|--\d+(.*)"","""")"),"SOUCE")</f>
        <v>SOUCE</v>
      </c>
      <c r="E6720" s="38" t="s">
        <v>518</v>
      </c>
      <c r="F6720" s="38" t="s">
        <v>180</v>
      </c>
      <c r="G6720" s="49" t="str">
        <f t="shared" si="1"/>
        <v>53300</v>
      </c>
      <c r="H6720" s="49">
        <f t="shared" si="2"/>
        <v>53261</v>
      </c>
    </row>
    <row r="6721">
      <c r="A6721" s="48" t="s">
        <v>10126</v>
      </c>
      <c r="B6721" s="38">
        <v>1011.0</v>
      </c>
      <c r="C6721" s="38" t="s">
        <v>10127</v>
      </c>
      <c r="D6721" s="38" t="str">
        <f>IFERROR(__xludf.DUMMYFUNCTION("REGEXREPLACE(C6721,""-\d+(.*)|--\d+(.*)"","""")"),"APREMONT")</f>
        <v>APREMONT</v>
      </c>
      <c r="E6721" s="38" t="s">
        <v>255</v>
      </c>
      <c r="F6721" s="38" t="s">
        <v>102</v>
      </c>
      <c r="G6721" s="49" t="str">
        <f t="shared" si="1"/>
        <v>01100</v>
      </c>
      <c r="H6721" s="49" t="str">
        <f t="shared" si="2"/>
        <v>01011</v>
      </c>
    </row>
    <row r="6722">
      <c r="A6722" s="48" t="s">
        <v>3226</v>
      </c>
      <c r="B6722" s="38">
        <v>61443.0</v>
      </c>
      <c r="C6722" s="38" t="s">
        <v>5044</v>
      </c>
      <c r="D6722" s="38" t="str">
        <f>IFERROR(__xludf.DUMMYFUNCTION("REGEXREPLACE(C6722,""-\d+(.*)|--\d+(.*)"","""")"),"SAINT-PAUL")</f>
        <v>SAINT-PAUL</v>
      </c>
      <c r="E6722" s="38" t="s">
        <v>141</v>
      </c>
      <c r="F6722" s="38" t="s">
        <v>138</v>
      </c>
      <c r="G6722" s="49" t="str">
        <f t="shared" si="1"/>
        <v>61100</v>
      </c>
      <c r="H6722" s="49">
        <f t="shared" si="2"/>
        <v>61443</v>
      </c>
    </row>
    <row r="6723">
      <c r="A6723" s="48" t="s">
        <v>5381</v>
      </c>
      <c r="B6723" s="38">
        <v>38174.0</v>
      </c>
      <c r="C6723" s="38" t="s">
        <v>10128</v>
      </c>
      <c r="D6723" s="38" t="str">
        <f>IFERROR(__xludf.DUMMYFUNCTION("REGEXREPLACE(C6723,""-\d+(.*)|--\d+(.*)"","""")"),"LA FRETTE")</f>
        <v>LA FRETTE</v>
      </c>
      <c r="E6723" s="38" t="s">
        <v>101</v>
      </c>
      <c r="F6723" s="38" t="s">
        <v>102</v>
      </c>
      <c r="G6723" s="49" t="str">
        <f t="shared" si="1"/>
        <v>38260</v>
      </c>
      <c r="H6723" s="49">
        <f t="shared" si="2"/>
        <v>38174</v>
      </c>
    </row>
    <row r="6724">
      <c r="A6724" s="48" t="s">
        <v>8349</v>
      </c>
      <c r="B6724" s="38">
        <v>34018.0</v>
      </c>
      <c r="C6724" s="38" t="s">
        <v>10129</v>
      </c>
      <c r="D6724" s="38" t="str">
        <f>IFERROR(__xludf.DUMMYFUNCTION("REGEXREPLACE(C6724,""-\d+(.*)|--\d+(.*)"","""")"),"AUTIGNAC")</f>
        <v>AUTIGNAC</v>
      </c>
      <c r="E6724" s="38" t="s">
        <v>118</v>
      </c>
      <c r="F6724" s="38" t="s">
        <v>119</v>
      </c>
      <c r="G6724" s="49" t="str">
        <f t="shared" si="1"/>
        <v>34480</v>
      </c>
      <c r="H6724" s="49">
        <f t="shared" si="2"/>
        <v>34018</v>
      </c>
    </row>
    <row r="6725">
      <c r="A6725" s="48" t="s">
        <v>578</v>
      </c>
      <c r="B6725" s="38">
        <v>52415.0</v>
      </c>
      <c r="C6725" s="38" t="s">
        <v>10130</v>
      </c>
      <c r="D6725" s="38" t="str">
        <f>IFERROR(__xludf.DUMMYFUNCTION("REGEXREPLACE(C6725,""-\d+(.*)|--\d+(.*)"","""")"),"RANCONNIERES")</f>
        <v>RANCONNIERES</v>
      </c>
      <c r="E6725" s="38" t="s">
        <v>234</v>
      </c>
      <c r="F6725" s="38" t="s">
        <v>130</v>
      </c>
      <c r="G6725" s="49" t="str">
        <f t="shared" si="1"/>
        <v>52140</v>
      </c>
      <c r="H6725" s="49">
        <f t="shared" si="2"/>
        <v>52415</v>
      </c>
    </row>
    <row r="6726">
      <c r="A6726" s="48" t="s">
        <v>10131</v>
      </c>
      <c r="B6726" s="38">
        <v>22366.0</v>
      </c>
      <c r="C6726" s="38" t="s">
        <v>10132</v>
      </c>
      <c r="D6726" s="38" t="str">
        <f>IFERROR(__xludf.DUMMYFUNCTION("REGEXREPLACE(C6726,""-\d+(.*)|--\d+(.*)"","""")"),"TREMEL")</f>
        <v>TREMEL</v>
      </c>
      <c r="E6726" s="38" t="s">
        <v>89</v>
      </c>
      <c r="F6726" s="38" t="s">
        <v>90</v>
      </c>
      <c r="G6726" s="49" t="str">
        <f t="shared" si="1"/>
        <v>22310</v>
      </c>
      <c r="H6726" s="49">
        <f t="shared" si="2"/>
        <v>22366</v>
      </c>
    </row>
    <row r="6727">
      <c r="A6727" s="48" t="s">
        <v>10133</v>
      </c>
      <c r="B6727" s="38">
        <v>26148.0</v>
      </c>
      <c r="C6727" s="38" t="s">
        <v>10134</v>
      </c>
      <c r="D6727" s="38" t="str">
        <f>IFERROR(__xludf.DUMMYFUNCTION("REGEXREPLACE(C6727,""-\d+(.*)|--\d+(.*)"","""")"),"HAUTERIVES")</f>
        <v>HAUTERIVES</v>
      </c>
      <c r="E6727" s="38" t="s">
        <v>126</v>
      </c>
      <c r="F6727" s="38" t="s">
        <v>102</v>
      </c>
      <c r="G6727" s="49" t="str">
        <f t="shared" si="1"/>
        <v>26390</v>
      </c>
      <c r="H6727" s="49">
        <f t="shared" si="2"/>
        <v>26148</v>
      </c>
    </row>
    <row r="6728">
      <c r="A6728" s="48" t="s">
        <v>8584</v>
      </c>
      <c r="B6728" s="38">
        <v>59649.0</v>
      </c>
      <c r="C6728" s="38" t="s">
        <v>10135</v>
      </c>
      <c r="D6728" s="38" t="str">
        <f>IFERROR(__xludf.DUMMYFUNCTION("REGEXREPLACE(C6728,""-\d+(.*)|--\d+(.*)"","""")"),"WATTIGNIES-LA-VICTOIRE")</f>
        <v>WATTIGNIES-LA-VICTOIRE</v>
      </c>
      <c r="E6728" s="38" t="s">
        <v>85</v>
      </c>
      <c r="F6728" s="38" t="s">
        <v>86</v>
      </c>
      <c r="G6728" s="49" t="str">
        <f t="shared" si="1"/>
        <v>59680</v>
      </c>
      <c r="H6728" s="49">
        <f t="shared" si="2"/>
        <v>59649</v>
      </c>
    </row>
    <row r="6729">
      <c r="A6729" s="48" t="s">
        <v>10136</v>
      </c>
      <c r="B6729" s="38">
        <v>33527.0</v>
      </c>
      <c r="C6729" s="38" t="s">
        <v>10137</v>
      </c>
      <c r="D6729" s="38" t="str">
        <f>IFERROR(__xludf.DUMMYFUNCTION("REGEXREPLACE(C6729,""-\d+(.*)|--\d+(.*)"","""")"),"LE TEICH")</f>
        <v>LE TEICH</v>
      </c>
      <c r="E6729" s="38" t="s">
        <v>462</v>
      </c>
      <c r="F6729" s="38" t="s">
        <v>252</v>
      </c>
      <c r="G6729" s="49" t="str">
        <f t="shared" si="1"/>
        <v>33470</v>
      </c>
      <c r="H6729" s="49">
        <f t="shared" si="2"/>
        <v>33527</v>
      </c>
    </row>
    <row r="6730">
      <c r="A6730" s="48" t="s">
        <v>1628</v>
      </c>
      <c r="B6730" s="38">
        <v>70400.0</v>
      </c>
      <c r="C6730" s="38" t="s">
        <v>10138</v>
      </c>
      <c r="D6730" s="38" t="str">
        <f>IFERROR(__xludf.DUMMYFUNCTION("REGEXREPLACE(C6730,""-\d+(.*)|--\d+(.*)"","""")"),"OUGE")</f>
        <v>OUGE</v>
      </c>
      <c r="E6730" s="38" t="s">
        <v>956</v>
      </c>
      <c r="F6730" s="38" t="s">
        <v>214</v>
      </c>
      <c r="G6730" s="49" t="str">
        <f t="shared" si="1"/>
        <v>70500</v>
      </c>
      <c r="H6730" s="49">
        <f t="shared" si="2"/>
        <v>70400</v>
      </c>
    </row>
    <row r="6731">
      <c r="A6731" s="48" t="s">
        <v>5443</v>
      </c>
      <c r="B6731" s="38">
        <v>76272.0</v>
      </c>
      <c r="C6731" s="38" t="s">
        <v>10139</v>
      </c>
      <c r="D6731" s="38" t="str">
        <f>IFERROR(__xludf.DUMMYFUNCTION("REGEXREPLACE(C6731,""-\d+(.*)|--\d+(.*)"","""")"),"FONTAINE-LE-DUN")</f>
        <v>FONTAINE-LE-DUN</v>
      </c>
      <c r="E6731" s="38" t="s">
        <v>133</v>
      </c>
      <c r="F6731" s="38" t="s">
        <v>134</v>
      </c>
      <c r="G6731" s="49" t="str">
        <f t="shared" si="1"/>
        <v>76740</v>
      </c>
      <c r="H6731" s="49">
        <f t="shared" si="2"/>
        <v>76272</v>
      </c>
    </row>
    <row r="6732">
      <c r="A6732" s="48" t="s">
        <v>1514</v>
      </c>
      <c r="B6732" s="38">
        <v>70064.0</v>
      </c>
      <c r="C6732" s="38" t="s">
        <v>10140</v>
      </c>
      <c r="D6732" s="38" t="str">
        <f>IFERROR(__xludf.DUMMYFUNCTION("REGEXREPLACE(C6732,""-\d+(.*)|--\d+(.*)"","""")"),"BELVERNE")</f>
        <v>BELVERNE</v>
      </c>
      <c r="E6732" s="38" t="s">
        <v>956</v>
      </c>
      <c r="F6732" s="38" t="s">
        <v>214</v>
      </c>
      <c r="G6732" s="49" t="str">
        <f t="shared" si="1"/>
        <v>70400</v>
      </c>
      <c r="H6732" s="49">
        <f t="shared" si="2"/>
        <v>70064</v>
      </c>
    </row>
    <row r="6733">
      <c r="A6733" s="48" t="s">
        <v>10141</v>
      </c>
      <c r="B6733" s="38">
        <v>31182.0</v>
      </c>
      <c r="C6733" s="38" t="s">
        <v>10142</v>
      </c>
      <c r="D6733" s="38" t="str">
        <f>IFERROR(__xludf.DUMMYFUNCTION("REGEXREPLACE(C6733,""-\d+(.*)|--\d+(.*)"","""")"),"FENOUILLET")</f>
        <v>FENOUILLET</v>
      </c>
      <c r="E6733" s="38" t="s">
        <v>93</v>
      </c>
      <c r="F6733" s="38" t="s">
        <v>94</v>
      </c>
      <c r="G6733" s="49" t="str">
        <f t="shared" si="1"/>
        <v>31150</v>
      </c>
      <c r="H6733" s="49">
        <f t="shared" si="2"/>
        <v>31182</v>
      </c>
    </row>
    <row r="6734">
      <c r="A6734" s="48" t="s">
        <v>4030</v>
      </c>
      <c r="B6734" s="38">
        <v>16213.0</v>
      </c>
      <c r="C6734" s="38" t="s">
        <v>10143</v>
      </c>
      <c r="D6734" s="38" t="str">
        <f>IFERROR(__xludf.DUMMYFUNCTION("REGEXREPLACE(C6734,""-\d+(.*)|--\d+(.*)"","""")"),"MAZEROLLES")</f>
        <v>MAZEROLLES</v>
      </c>
      <c r="E6734" s="38" t="s">
        <v>429</v>
      </c>
      <c r="F6734" s="38" t="s">
        <v>338</v>
      </c>
      <c r="G6734" s="49" t="str">
        <f t="shared" si="1"/>
        <v>16310</v>
      </c>
      <c r="H6734" s="49">
        <f t="shared" si="2"/>
        <v>16213</v>
      </c>
    </row>
    <row r="6735">
      <c r="A6735" s="48" t="s">
        <v>5938</v>
      </c>
      <c r="B6735" s="38">
        <v>58022.0</v>
      </c>
      <c r="C6735" s="38" t="s">
        <v>10144</v>
      </c>
      <c r="D6735" s="38" t="str">
        <f>IFERROR(__xludf.DUMMYFUNCTION("REGEXREPLACE(C6735,""-\d+(.*)|--\d+(.*)"","""")"),"BALLERAY")</f>
        <v>BALLERAY</v>
      </c>
      <c r="E6735" s="38" t="s">
        <v>219</v>
      </c>
      <c r="F6735" s="38" t="s">
        <v>106</v>
      </c>
      <c r="G6735" s="49" t="str">
        <f t="shared" si="1"/>
        <v>58130</v>
      </c>
      <c r="H6735" s="49">
        <f t="shared" si="2"/>
        <v>58022</v>
      </c>
    </row>
    <row r="6736">
      <c r="A6736" s="48" t="s">
        <v>5596</v>
      </c>
      <c r="B6736" s="38">
        <v>25584.0</v>
      </c>
      <c r="C6736" s="38" t="s">
        <v>10145</v>
      </c>
      <c r="D6736" s="38" t="str">
        <f>IFERROR(__xludf.DUMMYFUNCTION("REGEXREPLACE(C6736,""-\d+(.*)|--\d+(.*)"","""")"),"VALOREILLE")</f>
        <v>VALOREILLE</v>
      </c>
      <c r="E6736" s="38" t="s">
        <v>213</v>
      </c>
      <c r="F6736" s="38" t="s">
        <v>214</v>
      </c>
      <c r="G6736" s="49" t="str">
        <f t="shared" si="1"/>
        <v>25190</v>
      </c>
      <c r="H6736" s="49">
        <f t="shared" si="2"/>
        <v>25584</v>
      </c>
    </row>
    <row r="6737">
      <c r="A6737" s="48" t="s">
        <v>3716</v>
      </c>
      <c r="B6737" s="38">
        <v>57213.0</v>
      </c>
      <c r="C6737" s="38" t="s">
        <v>10146</v>
      </c>
      <c r="D6737" s="38" t="str">
        <f>IFERROR(__xludf.DUMMYFUNCTION("REGEXREPLACE(C6737,""-\d+(.*)|--\d+(.*)"","""")"),"FILSTROFF")</f>
        <v>FILSTROFF</v>
      </c>
      <c r="E6737" s="38" t="s">
        <v>303</v>
      </c>
      <c r="F6737" s="38" t="s">
        <v>195</v>
      </c>
      <c r="G6737" s="49" t="str">
        <f t="shared" si="1"/>
        <v>57320</v>
      </c>
      <c r="H6737" s="49">
        <f t="shared" si="2"/>
        <v>57213</v>
      </c>
    </row>
    <row r="6738">
      <c r="A6738" s="48" t="s">
        <v>2523</v>
      </c>
      <c r="B6738" s="38">
        <v>46110.0</v>
      </c>
      <c r="C6738" s="38" t="s">
        <v>10147</v>
      </c>
      <c r="D6738" s="38" t="str">
        <f>IFERROR(__xludf.DUMMYFUNCTION("REGEXREPLACE(C6738,""-\d+(.*)|--\d+(.*)"","""")"),"FONTANES-DU-CAUSSE")</f>
        <v>FONTANES-DU-CAUSSE</v>
      </c>
      <c r="E6738" s="38" t="s">
        <v>185</v>
      </c>
      <c r="F6738" s="38" t="s">
        <v>94</v>
      </c>
      <c r="G6738" s="49" t="str">
        <f t="shared" si="1"/>
        <v>46240</v>
      </c>
      <c r="H6738" s="49">
        <f t="shared" si="2"/>
        <v>46110</v>
      </c>
    </row>
    <row r="6739">
      <c r="A6739" s="48" t="s">
        <v>10148</v>
      </c>
      <c r="B6739" s="38">
        <v>59264.0</v>
      </c>
      <c r="C6739" s="38" t="s">
        <v>10149</v>
      </c>
      <c r="D6739" s="38" t="str">
        <f>IFERROR(__xludf.DUMMYFUNCTION("REGEXREPLACE(C6739,""-\d+(.*)|--\d+(.*)"","""")"),"GOGNIES-CHAUSSEE")</f>
        <v>GOGNIES-CHAUSSEE</v>
      </c>
      <c r="E6739" s="38" t="s">
        <v>85</v>
      </c>
      <c r="F6739" s="38" t="s">
        <v>86</v>
      </c>
      <c r="G6739" s="49" t="str">
        <f t="shared" si="1"/>
        <v>59600</v>
      </c>
      <c r="H6739" s="49">
        <f t="shared" si="2"/>
        <v>59264</v>
      </c>
    </row>
    <row r="6740">
      <c r="A6740" s="48" t="s">
        <v>2249</v>
      </c>
      <c r="B6740" s="38">
        <v>14377.0</v>
      </c>
      <c r="C6740" s="38" t="s">
        <v>10150</v>
      </c>
      <c r="D6740" s="38" t="str">
        <f>IFERROR(__xludf.DUMMYFUNCTION("REGEXREPLACE(C6740,""-\d+(.*)|--\d+(.*)"","""")"),"LONGUES-SUR-MER")</f>
        <v>LONGUES-SUR-MER</v>
      </c>
      <c r="E6740" s="38" t="s">
        <v>137</v>
      </c>
      <c r="F6740" s="38" t="s">
        <v>138</v>
      </c>
      <c r="G6740" s="49" t="str">
        <f t="shared" si="1"/>
        <v>14400</v>
      </c>
      <c r="H6740" s="49">
        <f t="shared" si="2"/>
        <v>14377</v>
      </c>
    </row>
    <row r="6741">
      <c r="A6741" s="48" t="s">
        <v>6487</v>
      </c>
      <c r="B6741" s="38">
        <v>1373.0</v>
      </c>
      <c r="C6741" s="38" t="s">
        <v>10151</v>
      </c>
      <c r="D6741" s="38" t="str">
        <f>IFERROR(__xludf.DUMMYFUNCTION("REGEXREPLACE(C6741,""-\d+(.*)|--\d+(.*)"","""")"),"SAINT-MARTIN-DU-FRENE")</f>
        <v>SAINT-MARTIN-DU-FRENE</v>
      </c>
      <c r="E6741" s="38" t="s">
        <v>255</v>
      </c>
      <c r="F6741" s="38" t="s">
        <v>102</v>
      </c>
      <c r="G6741" s="49" t="str">
        <f t="shared" si="1"/>
        <v>01430</v>
      </c>
      <c r="H6741" s="49" t="str">
        <f t="shared" si="2"/>
        <v>01373</v>
      </c>
    </row>
    <row r="6742">
      <c r="A6742" s="48" t="s">
        <v>5241</v>
      </c>
      <c r="B6742" s="38">
        <v>36206.0</v>
      </c>
      <c r="C6742" s="38" t="s">
        <v>10152</v>
      </c>
      <c r="D6742" s="38" t="str">
        <f>IFERROR(__xludf.DUMMYFUNCTION("REGEXREPLACE(C6742,""-\d+(.*)|--\d+(.*)"","""")"),"SAINT-PIERRE-DE-LAMPS")</f>
        <v>SAINT-PIERRE-DE-LAMPS</v>
      </c>
      <c r="E6742" s="38" t="s">
        <v>258</v>
      </c>
      <c r="F6742" s="38" t="s">
        <v>123</v>
      </c>
      <c r="G6742" s="49" t="str">
        <f t="shared" si="1"/>
        <v>36110</v>
      </c>
      <c r="H6742" s="49">
        <f t="shared" si="2"/>
        <v>36206</v>
      </c>
    </row>
    <row r="6743">
      <c r="A6743" s="48" t="s">
        <v>2156</v>
      </c>
      <c r="B6743" s="38">
        <v>26103.0</v>
      </c>
      <c r="C6743" s="38" t="s">
        <v>10153</v>
      </c>
      <c r="D6743" s="38" t="str">
        <f>IFERROR(__xludf.DUMMYFUNCTION("REGEXREPLACE(C6743,""-\d+(.*)|--\d+(.*)"","""")"),"CONDORCET")</f>
        <v>CONDORCET</v>
      </c>
      <c r="E6743" s="38" t="s">
        <v>126</v>
      </c>
      <c r="F6743" s="38" t="s">
        <v>102</v>
      </c>
      <c r="G6743" s="49" t="str">
        <f t="shared" si="1"/>
        <v>26110</v>
      </c>
      <c r="H6743" s="49">
        <f t="shared" si="2"/>
        <v>26103</v>
      </c>
    </row>
    <row r="6744">
      <c r="A6744" s="48" t="s">
        <v>315</v>
      </c>
      <c r="B6744" s="38">
        <v>27014.0</v>
      </c>
      <c r="C6744" s="38" t="s">
        <v>10154</v>
      </c>
      <c r="D6744" s="38" t="str">
        <f>IFERROR(__xludf.DUMMYFUNCTION("REGEXREPLACE(C6744,""-\d+(.*)|--\d+(.*)"","""")"),"AMFREVILLE-SUR-ITON")</f>
        <v>AMFREVILLE-SUR-ITON</v>
      </c>
      <c r="E6744" s="38" t="s">
        <v>241</v>
      </c>
      <c r="F6744" s="38" t="s">
        <v>134</v>
      </c>
      <c r="G6744" s="49" t="str">
        <f t="shared" si="1"/>
        <v>27400</v>
      </c>
      <c r="H6744" s="49">
        <f t="shared" si="2"/>
        <v>27014</v>
      </c>
    </row>
    <row r="6745">
      <c r="A6745" s="48" t="s">
        <v>8626</v>
      </c>
      <c r="B6745" s="38">
        <v>7294.0</v>
      </c>
      <c r="C6745" s="38" t="s">
        <v>10155</v>
      </c>
      <c r="D6745" s="38" t="str">
        <f>IFERROR(__xludf.DUMMYFUNCTION("REGEXREPLACE(C6745,""-\d+(.*)|--\d+(.*)"","""")"),"SAINT-SAUVEUR-DE-CRUZIERES")</f>
        <v>SAINT-SAUVEUR-DE-CRUZIERES</v>
      </c>
      <c r="E6745" s="38" t="s">
        <v>144</v>
      </c>
      <c r="F6745" s="38" t="s">
        <v>102</v>
      </c>
      <c r="G6745" s="49" t="str">
        <f t="shared" si="1"/>
        <v>07460</v>
      </c>
      <c r="H6745" s="49" t="str">
        <f t="shared" si="2"/>
        <v>07294</v>
      </c>
    </row>
    <row r="6746">
      <c r="A6746" s="48" t="s">
        <v>10156</v>
      </c>
      <c r="B6746" s="38">
        <v>62771.0</v>
      </c>
      <c r="C6746" s="38" t="s">
        <v>10157</v>
      </c>
      <c r="D6746" s="38" t="str">
        <f>IFERROR(__xludf.DUMMYFUNCTION("REGEXREPLACE(C6746,""-\d+(.*)|--\d+(.*)"","""")"),"SALLAUMINES")</f>
        <v>SALLAUMINES</v>
      </c>
      <c r="E6746" s="38" t="s">
        <v>109</v>
      </c>
      <c r="F6746" s="38" t="s">
        <v>86</v>
      </c>
      <c r="G6746" s="49" t="str">
        <f t="shared" si="1"/>
        <v>62430</v>
      </c>
      <c r="H6746" s="49">
        <f t="shared" si="2"/>
        <v>62771</v>
      </c>
    </row>
    <row r="6747">
      <c r="A6747" s="48" t="s">
        <v>2073</v>
      </c>
      <c r="B6747" s="38">
        <v>8434.0</v>
      </c>
      <c r="C6747" s="38" t="s">
        <v>10158</v>
      </c>
      <c r="D6747" s="38" t="str">
        <f>IFERROR(__xludf.DUMMYFUNCTION("REGEXREPLACE(C6747,""-\d+(.*)|--\d+(.*)"","""")"),"SY")</f>
        <v>SY</v>
      </c>
      <c r="E6747" s="38" t="s">
        <v>327</v>
      </c>
      <c r="F6747" s="38" t="s">
        <v>130</v>
      </c>
      <c r="G6747" s="49" t="str">
        <f t="shared" si="1"/>
        <v>08390</v>
      </c>
      <c r="H6747" s="49" t="str">
        <f t="shared" si="2"/>
        <v>08434</v>
      </c>
    </row>
    <row r="6748">
      <c r="A6748" s="48" t="s">
        <v>1688</v>
      </c>
      <c r="B6748" s="38">
        <v>76076.0</v>
      </c>
      <c r="C6748" s="38" t="s">
        <v>10159</v>
      </c>
      <c r="D6748" s="38" t="str">
        <f>IFERROR(__xludf.DUMMYFUNCTION("REGEXREPLACE(C6748,""-\d+(.*)|--\d+(.*)"","""")"),"BENARVILLE")</f>
        <v>BENARVILLE</v>
      </c>
      <c r="E6748" s="38" t="s">
        <v>133</v>
      </c>
      <c r="F6748" s="38" t="s">
        <v>134</v>
      </c>
      <c r="G6748" s="49" t="str">
        <f t="shared" si="1"/>
        <v>76110</v>
      </c>
      <c r="H6748" s="49">
        <f t="shared" si="2"/>
        <v>76076</v>
      </c>
    </row>
    <row r="6749">
      <c r="A6749" s="48" t="s">
        <v>4119</v>
      </c>
      <c r="B6749" s="38">
        <v>36124.0</v>
      </c>
      <c r="C6749" s="38" t="s">
        <v>10160</v>
      </c>
      <c r="D6749" s="38" t="str">
        <f>IFERROR(__xludf.DUMMYFUNCTION("REGEXREPLACE(C6749,""-\d+(.*)|--\d+(.*)"","""")"),"MIGNE")</f>
        <v>MIGNE</v>
      </c>
      <c r="E6749" s="38" t="s">
        <v>258</v>
      </c>
      <c r="F6749" s="38" t="s">
        <v>123</v>
      </c>
      <c r="G6749" s="49" t="str">
        <f t="shared" si="1"/>
        <v>36800</v>
      </c>
      <c r="H6749" s="49">
        <f t="shared" si="2"/>
        <v>36124</v>
      </c>
    </row>
    <row r="6750">
      <c r="A6750" s="48" t="s">
        <v>8845</v>
      </c>
      <c r="B6750" s="38">
        <v>8195.0</v>
      </c>
      <c r="C6750" s="38" t="s">
        <v>10161</v>
      </c>
      <c r="D6750" s="38" t="str">
        <f>IFERROR(__xludf.DUMMYFUNCTION("REGEXREPLACE(C6750,""-\d+(.*)|--\d+(.*)"","""")"),"GOMONT")</f>
        <v>GOMONT</v>
      </c>
      <c r="E6750" s="38" t="s">
        <v>327</v>
      </c>
      <c r="F6750" s="38" t="s">
        <v>130</v>
      </c>
      <c r="G6750" s="49" t="str">
        <f t="shared" si="1"/>
        <v>08190</v>
      </c>
      <c r="H6750" s="49" t="str">
        <f t="shared" si="2"/>
        <v>08195</v>
      </c>
    </row>
    <row r="6751">
      <c r="A6751" s="48" t="s">
        <v>1693</v>
      </c>
      <c r="B6751" s="38">
        <v>24481.0</v>
      </c>
      <c r="C6751" s="38" t="s">
        <v>10162</v>
      </c>
      <c r="D6751" s="38" t="str">
        <f>IFERROR(__xludf.DUMMYFUNCTION("REGEXREPLACE(C6751,""-\d+(.*)|--\d+(.*)"","""")"),"SAINT-PAUL-LA-ROCHE")</f>
        <v>SAINT-PAUL-LA-ROCHE</v>
      </c>
      <c r="E6751" s="38" t="s">
        <v>261</v>
      </c>
      <c r="F6751" s="38" t="s">
        <v>252</v>
      </c>
      <c r="G6751" s="49" t="str">
        <f t="shared" si="1"/>
        <v>24800</v>
      </c>
      <c r="H6751" s="49">
        <f t="shared" si="2"/>
        <v>24481</v>
      </c>
    </row>
    <row r="6752">
      <c r="A6752" s="48" t="s">
        <v>489</v>
      </c>
      <c r="B6752" s="38">
        <v>9175.0</v>
      </c>
      <c r="C6752" s="38" t="s">
        <v>10163</v>
      </c>
      <c r="D6752" s="38" t="str">
        <f>IFERROR(__xludf.DUMMYFUNCTION("REGEXREPLACE(C6752,""-\d+(.*)|--\d+(.*)"","""")"),"LUDIES")</f>
        <v>LUDIES</v>
      </c>
      <c r="E6752" s="38" t="s">
        <v>238</v>
      </c>
      <c r="F6752" s="38" t="s">
        <v>94</v>
      </c>
      <c r="G6752" s="49" t="str">
        <f t="shared" si="1"/>
        <v>09100</v>
      </c>
      <c r="H6752" s="49" t="str">
        <f t="shared" si="2"/>
        <v>09175</v>
      </c>
    </row>
    <row r="6753">
      <c r="A6753" s="48" t="s">
        <v>4870</v>
      </c>
      <c r="B6753" s="38">
        <v>85064.0</v>
      </c>
      <c r="C6753" s="38" t="s">
        <v>10164</v>
      </c>
      <c r="D6753" s="38" t="str">
        <f>IFERROR(__xludf.DUMMYFUNCTION("REGEXREPLACE(C6753,""-\d+(.*)|--\d+(.*)"","""")"),"CHAUCHE")</f>
        <v>CHAUCHE</v>
      </c>
      <c r="E6753" s="38" t="s">
        <v>179</v>
      </c>
      <c r="F6753" s="38" t="s">
        <v>180</v>
      </c>
      <c r="G6753" s="49" t="str">
        <f t="shared" si="1"/>
        <v>85140</v>
      </c>
      <c r="H6753" s="49">
        <f t="shared" si="2"/>
        <v>85064</v>
      </c>
    </row>
    <row r="6754">
      <c r="A6754" s="48" t="s">
        <v>5605</v>
      </c>
      <c r="B6754" s="38">
        <v>66003.0</v>
      </c>
      <c r="C6754" s="38" t="s">
        <v>10165</v>
      </c>
      <c r="D6754" s="38" t="str">
        <f>IFERROR(__xludf.DUMMYFUNCTION("REGEXREPLACE(C6754,""-\d+(.*)|--\d+(.*)"","""")"),"AMELIE-LES-BAINS-PALALDA")</f>
        <v>AMELIE-LES-BAINS-PALALDA</v>
      </c>
      <c r="E6754" s="38" t="s">
        <v>248</v>
      </c>
      <c r="F6754" s="38" t="s">
        <v>119</v>
      </c>
      <c r="G6754" s="49" t="str">
        <f t="shared" si="1"/>
        <v>66110</v>
      </c>
      <c r="H6754" s="49">
        <f t="shared" si="2"/>
        <v>66003</v>
      </c>
    </row>
    <row r="6755">
      <c r="A6755" s="48" t="s">
        <v>9660</v>
      </c>
      <c r="B6755" s="38">
        <v>89339.0</v>
      </c>
      <c r="C6755" s="38" t="s">
        <v>10166</v>
      </c>
      <c r="D6755" s="38" t="str">
        <f>IFERROR(__xludf.DUMMYFUNCTION("REGEXREPLACE(C6755,""-\d+(.*)|--\d+(.*)"","""")"),"SAINTE-COLOMBE")</f>
        <v>SAINTE-COLOMBE</v>
      </c>
      <c r="E6755" s="38" t="s">
        <v>275</v>
      </c>
      <c r="F6755" s="38" t="s">
        <v>106</v>
      </c>
      <c r="G6755" s="49" t="str">
        <f t="shared" si="1"/>
        <v>89440</v>
      </c>
      <c r="H6755" s="49">
        <f t="shared" si="2"/>
        <v>89339</v>
      </c>
    </row>
    <row r="6756">
      <c r="A6756" s="48" t="s">
        <v>10167</v>
      </c>
      <c r="B6756" s="38">
        <v>77508.0</v>
      </c>
      <c r="C6756" s="38" t="s">
        <v>10168</v>
      </c>
      <c r="D6756" s="38" t="str">
        <f>IFERROR(__xludf.DUMMYFUNCTION("REGEXREPLACE(C6756,""-\d+(.*)|--\d+(.*)"","""")"),"VILLENEUVE-LE-COMTE")</f>
        <v>VILLENEUVE-LE-COMTE</v>
      </c>
      <c r="E6756" s="38" t="s">
        <v>244</v>
      </c>
      <c r="F6756" s="38" t="s">
        <v>245</v>
      </c>
      <c r="G6756" s="49" t="str">
        <f t="shared" si="1"/>
        <v>77174</v>
      </c>
      <c r="H6756" s="49">
        <f t="shared" si="2"/>
        <v>77508</v>
      </c>
    </row>
    <row r="6757">
      <c r="A6757" s="48" t="s">
        <v>10169</v>
      </c>
      <c r="B6757" s="38">
        <v>25339.0</v>
      </c>
      <c r="C6757" s="38" t="s">
        <v>10170</v>
      </c>
      <c r="D6757" s="38" t="str">
        <f>IFERROR(__xludf.DUMMYFUNCTION("REGEXREPLACE(C6757,""-\d+(.*)|--\d+(.*)"","""")"),"LODS")</f>
        <v>LODS</v>
      </c>
      <c r="E6757" s="38" t="s">
        <v>213</v>
      </c>
      <c r="F6757" s="38" t="s">
        <v>214</v>
      </c>
      <c r="G6757" s="49" t="str">
        <f t="shared" si="1"/>
        <v>25930</v>
      </c>
      <c r="H6757" s="49">
        <f t="shared" si="2"/>
        <v>25339</v>
      </c>
    </row>
    <row r="6758">
      <c r="A6758" s="48" t="s">
        <v>2330</v>
      </c>
      <c r="B6758" s="38">
        <v>65098.0</v>
      </c>
      <c r="C6758" s="38" t="s">
        <v>10171</v>
      </c>
      <c r="D6758" s="38" t="str">
        <f>IFERROR(__xludf.DUMMYFUNCTION("REGEXREPLACE(C6758,""-\d+(.*)|--\d+(.*)"","""")"),"BOO-SILHEN")</f>
        <v>BOO-SILHEN</v>
      </c>
      <c r="E6758" s="38" t="s">
        <v>200</v>
      </c>
      <c r="F6758" s="38" t="s">
        <v>94</v>
      </c>
      <c r="G6758" s="49" t="str">
        <f t="shared" si="1"/>
        <v>65400</v>
      </c>
      <c r="H6758" s="49">
        <f t="shared" si="2"/>
        <v>65098</v>
      </c>
    </row>
    <row r="6759">
      <c r="A6759" s="48" t="s">
        <v>7161</v>
      </c>
      <c r="B6759" s="38">
        <v>17073.0</v>
      </c>
      <c r="C6759" s="38" t="s">
        <v>10172</v>
      </c>
      <c r="D6759" s="38" t="str">
        <f>IFERROR(__xludf.DUMMYFUNCTION("REGEXREPLACE(C6759,""-\d+(.*)|--\d+(.*)"","""")"),"BUSSAC-SUR-CHARENTE")</f>
        <v>BUSSAC-SUR-CHARENTE</v>
      </c>
      <c r="E6759" s="38" t="s">
        <v>488</v>
      </c>
      <c r="F6759" s="38" t="s">
        <v>338</v>
      </c>
      <c r="G6759" s="49" t="str">
        <f t="shared" si="1"/>
        <v>17100</v>
      </c>
      <c r="H6759" s="49">
        <f t="shared" si="2"/>
        <v>17073</v>
      </c>
    </row>
    <row r="6760">
      <c r="A6760" s="48" t="s">
        <v>1798</v>
      </c>
      <c r="B6760" s="38">
        <v>28316.0</v>
      </c>
      <c r="C6760" s="38" t="s">
        <v>10173</v>
      </c>
      <c r="D6760" s="38" t="str">
        <f>IFERROR(__xludf.DUMMYFUNCTION("REGEXREPLACE(C6760,""-\d+(.*)|--\d+(.*)"","""")"),"ROHAIRE")</f>
        <v>ROHAIRE</v>
      </c>
      <c r="E6760" s="38" t="s">
        <v>300</v>
      </c>
      <c r="F6760" s="38" t="s">
        <v>123</v>
      </c>
      <c r="G6760" s="49" t="str">
        <f t="shared" si="1"/>
        <v>28340</v>
      </c>
      <c r="H6760" s="49">
        <f t="shared" si="2"/>
        <v>28316</v>
      </c>
    </row>
    <row r="6761">
      <c r="A6761" s="48" t="s">
        <v>3515</v>
      </c>
      <c r="B6761" s="38">
        <v>26319.0</v>
      </c>
      <c r="C6761" s="38" t="s">
        <v>10174</v>
      </c>
      <c r="D6761" s="38" t="str">
        <f>IFERROR(__xludf.DUMMYFUNCTION("REGEXREPLACE(C6761,""-\d+(.*)|--\d+(.*)"","""")"),"SAINT-MICHEL-SUR-SAVASSE")</f>
        <v>SAINT-MICHEL-SUR-SAVASSE</v>
      </c>
      <c r="E6761" s="38" t="s">
        <v>126</v>
      </c>
      <c r="F6761" s="38" t="s">
        <v>102</v>
      </c>
      <c r="G6761" s="49" t="str">
        <f t="shared" si="1"/>
        <v>26750</v>
      </c>
      <c r="H6761" s="49">
        <f t="shared" si="2"/>
        <v>26319</v>
      </c>
    </row>
    <row r="6762">
      <c r="A6762" s="48" t="s">
        <v>10175</v>
      </c>
      <c r="B6762" s="38">
        <v>24138.0</v>
      </c>
      <c r="C6762" s="38" t="s">
        <v>10176</v>
      </c>
      <c r="D6762" s="38" t="str">
        <f>IFERROR(__xludf.DUMMYFUNCTION("REGEXREPLACE(C6762,""-\d+(.*)|--\d+(.*)"","""")"),"COULOUNIEIX-CHAMIERS")</f>
        <v>COULOUNIEIX-CHAMIERS</v>
      </c>
      <c r="E6762" s="38" t="s">
        <v>261</v>
      </c>
      <c r="F6762" s="38" t="s">
        <v>252</v>
      </c>
      <c r="G6762" s="49" t="str">
        <f t="shared" si="1"/>
        <v>24660</v>
      </c>
      <c r="H6762" s="49">
        <f t="shared" si="2"/>
        <v>24138</v>
      </c>
    </row>
    <row r="6763">
      <c r="A6763" s="48" t="s">
        <v>10177</v>
      </c>
      <c r="B6763" s="38">
        <v>80665.0</v>
      </c>
      <c r="C6763" s="38" t="s">
        <v>10178</v>
      </c>
      <c r="D6763" s="38" t="str">
        <f>IFERROR(__xludf.DUMMYFUNCTION("REGEXREPLACE(C6763,""-\d+(.*)|--\d+(.*)"","""")"),"REGNIERE-ECLUSE")</f>
        <v>REGNIERE-ECLUSE</v>
      </c>
      <c r="E6763" s="38" t="s">
        <v>224</v>
      </c>
      <c r="F6763" s="38" t="s">
        <v>113</v>
      </c>
      <c r="G6763" s="49" t="str">
        <f t="shared" si="1"/>
        <v>80120</v>
      </c>
      <c r="H6763" s="49">
        <f t="shared" si="2"/>
        <v>80665</v>
      </c>
    </row>
    <row r="6764">
      <c r="A6764" s="48" t="s">
        <v>10179</v>
      </c>
      <c r="B6764" s="38">
        <v>8187.0</v>
      </c>
      <c r="C6764" s="38" t="s">
        <v>10180</v>
      </c>
      <c r="D6764" s="38" t="str">
        <f>IFERROR(__xludf.DUMMYFUNCTION("REGEXREPLACE(C6764,""-\d+(.*)|--\d+(.*)"","""")"),"GERNELLE")</f>
        <v>GERNELLE</v>
      </c>
      <c r="E6764" s="38" t="s">
        <v>327</v>
      </c>
      <c r="F6764" s="38" t="s">
        <v>130</v>
      </c>
      <c r="G6764" s="49" t="str">
        <f t="shared" si="1"/>
        <v>08440</v>
      </c>
      <c r="H6764" s="49" t="str">
        <f t="shared" si="2"/>
        <v>08187</v>
      </c>
    </row>
    <row r="6765">
      <c r="A6765" s="48" t="s">
        <v>2081</v>
      </c>
      <c r="B6765" s="38">
        <v>4073.0</v>
      </c>
      <c r="C6765" s="38" t="s">
        <v>10181</v>
      </c>
      <c r="D6765" s="38" t="str">
        <f>IFERROR(__xludf.DUMMYFUNCTION("REGEXREPLACE(C6765,""-\d+(.*)|--\d+(.*)"","""")"),"ENCHASTRAYES")</f>
        <v>ENCHASTRAYES</v>
      </c>
      <c r="E6765" s="38" t="s">
        <v>662</v>
      </c>
      <c r="F6765" s="38" t="s">
        <v>228</v>
      </c>
      <c r="G6765" s="49" t="str">
        <f t="shared" si="1"/>
        <v>04400</v>
      </c>
      <c r="H6765" s="49" t="str">
        <f t="shared" si="2"/>
        <v>04073</v>
      </c>
    </row>
    <row r="6766">
      <c r="A6766" s="48" t="s">
        <v>2411</v>
      </c>
      <c r="B6766" s="38">
        <v>37248.0</v>
      </c>
      <c r="C6766" s="38" t="s">
        <v>10182</v>
      </c>
      <c r="D6766" s="38" t="str">
        <f>IFERROR(__xludf.DUMMYFUNCTION("REGEXREPLACE(C6766,""-\d+(.*)|--\d+(.*)"","""")"),"SEUILLY")</f>
        <v>SEUILLY</v>
      </c>
      <c r="E6766" s="38" t="s">
        <v>205</v>
      </c>
      <c r="F6766" s="38" t="s">
        <v>123</v>
      </c>
      <c r="G6766" s="49" t="str">
        <f t="shared" si="1"/>
        <v>37500</v>
      </c>
      <c r="H6766" s="49">
        <f t="shared" si="2"/>
        <v>37248</v>
      </c>
    </row>
    <row r="6767">
      <c r="A6767" s="48" t="s">
        <v>1066</v>
      </c>
      <c r="B6767" s="38">
        <v>49091.0</v>
      </c>
      <c r="C6767" s="38" t="s">
        <v>10183</v>
      </c>
      <c r="D6767" s="38" t="str">
        <f>IFERROR(__xludf.DUMMYFUNCTION("REGEXREPLACE(C6767,""-\d+(.*)|--\d+(.*)"","""")"),"CHEMELLIER")</f>
        <v>CHEMELLIER</v>
      </c>
      <c r="E6767" s="38" t="s">
        <v>653</v>
      </c>
      <c r="F6767" s="38" t="s">
        <v>180</v>
      </c>
      <c r="G6767" s="49" t="str">
        <f t="shared" si="1"/>
        <v>49320</v>
      </c>
      <c r="H6767" s="49">
        <f t="shared" si="2"/>
        <v>49091</v>
      </c>
    </row>
    <row r="6768">
      <c r="A6768" s="48" t="s">
        <v>942</v>
      </c>
      <c r="B6768" s="38">
        <v>2598.0</v>
      </c>
      <c r="C6768" s="38" t="s">
        <v>10184</v>
      </c>
      <c r="D6768" s="38" t="str">
        <f>IFERROR(__xludf.DUMMYFUNCTION("REGEXREPLACE(C6768,""-\d+(.*)|--\d+(.*)"","""")"),"PERNANT")</f>
        <v>PERNANT</v>
      </c>
      <c r="E6768" s="38" t="s">
        <v>191</v>
      </c>
      <c r="F6768" s="38" t="s">
        <v>113</v>
      </c>
      <c r="G6768" s="49" t="str">
        <f t="shared" si="1"/>
        <v>02200</v>
      </c>
      <c r="H6768" s="49" t="str">
        <f t="shared" si="2"/>
        <v>02598</v>
      </c>
    </row>
    <row r="6769">
      <c r="A6769" s="48" t="s">
        <v>5503</v>
      </c>
      <c r="B6769" s="38">
        <v>78530.0</v>
      </c>
      <c r="C6769" s="38" t="s">
        <v>10185</v>
      </c>
      <c r="D6769" s="38" t="str">
        <f>IFERROR(__xludf.DUMMYFUNCTION("REGEXREPLACE(C6769,""-\d+(.*)|--\d+(.*)"","""")"),"ROSAY")</f>
        <v>ROSAY</v>
      </c>
      <c r="E6769" s="38" t="s">
        <v>362</v>
      </c>
      <c r="F6769" s="38" t="s">
        <v>245</v>
      </c>
      <c r="G6769" s="49" t="str">
        <f t="shared" si="1"/>
        <v>78790</v>
      </c>
      <c r="H6769" s="49">
        <f t="shared" si="2"/>
        <v>78530</v>
      </c>
    </row>
    <row r="6770">
      <c r="A6770" s="48" t="s">
        <v>5443</v>
      </c>
      <c r="B6770" s="38">
        <v>76641.0</v>
      </c>
      <c r="C6770" s="38" t="s">
        <v>10186</v>
      </c>
      <c r="D6770" s="38" t="str">
        <f>IFERROR(__xludf.DUMMYFUNCTION("REGEXREPLACE(C6770,""-\d+(.*)|--\d+(.*)"","""")"),"SAINT-PIERRE-LE-VIEUX")</f>
        <v>SAINT-PIERRE-LE-VIEUX</v>
      </c>
      <c r="E6770" s="38" t="s">
        <v>133</v>
      </c>
      <c r="F6770" s="38" t="s">
        <v>134</v>
      </c>
      <c r="G6770" s="49" t="str">
        <f t="shared" si="1"/>
        <v>76740</v>
      </c>
      <c r="H6770" s="49">
        <f t="shared" si="2"/>
        <v>76641</v>
      </c>
    </row>
    <row r="6771">
      <c r="A6771" s="48" t="s">
        <v>3618</v>
      </c>
      <c r="B6771" s="38">
        <v>31040.0</v>
      </c>
      <c r="C6771" s="38" t="s">
        <v>10187</v>
      </c>
      <c r="D6771" s="38" t="str">
        <f>IFERROR(__xludf.DUMMYFUNCTION("REGEXREPLACE(C6771,""-\d+(.*)|--\d+(.*)"","""")"),"BACHOS")</f>
        <v>BACHOS</v>
      </c>
      <c r="E6771" s="38" t="s">
        <v>93</v>
      </c>
      <c r="F6771" s="38" t="s">
        <v>94</v>
      </c>
      <c r="G6771" s="49" t="str">
        <f t="shared" si="1"/>
        <v>31440</v>
      </c>
      <c r="H6771" s="49">
        <f t="shared" si="2"/>
        <v>31040</v>
      </c>
    </row>
    <row r="6772">
      <c r="A6772" s="48" t="s">
        <v>3733</v>
      </c>
      <c r="B6772" s="38">
        <v>78337.0</v>
      </c>
      <c r="C6772" s="38" t="s">
        <v>10188</v>
      </c>
      <c r="D6772" s="38" t="str">
        <f>IFERROR(__xludf.DUMMYFUNCTION("REGEXREPLACE(C6772,""-\d+(.*)|--\d+(.*)"","""")"),"LIMETZ-VILLEZ")</f>
        <v>LIMETZ-VILLEZ</v>
      </c>
      <c r="E6772" s="38" t="s">
        <v>362</v>
      </c>
      <c r="F6772" s="38" t="s">
        <v>245</v>
      </c>
      <c r="G6772" s="49" t="str">
        <f t="shared" si="1"/>
        <v>78270</v>
      </c>
      <c r="H6772" s="49">
        <f t="shared" si="2"/>
        <v>78337</v>
      </c>
    </row>
    <row r="6773">
      <c r="A6773" s="48" t="s">
        <v>10189</v>
      </c>
      <c r="B6773" s="38">
        <v>59122.0</v>
      </c>
      <c r="C6773" s="38" t="s">
        <v>10190</v>
      </c>
      <c r="D6773" s="38" t="str">
        <f>IFERROR(__xludf.DUMMYFUNCTION("REGEXREPLACE(C6773,""-\d+(.*)|--\d+(.*)"","""")"),"CAMBRAI")</f>
        <v>CAMBRAI</v>
      </c>
      <c r="E6773" s="38" t="s">
        <v>85</v>
      </c>
      <c r="F6773" s="38" t="s">
        <v>86</v>
      </c>
      <c r="G6773" s="49" t="str">
        <f t="shared" si="1"/>
        <v>59400</v>
      </c>
      <c r="H6773" s="49">
        <f t="shared" si="2"/>
        <v>59122</v>
      </c>
    </row>
    <row r="6774">
      <c r="A6774" s="48" t="s">
        <v>6743</v>
      </c>
      <c r="B6774" s="38">
        <v>53250.0</v>
      </c>
      <c r="C6774" s="38" t="s">
        <v>10191</v>
      </c>
      <c r="D6774" s="38" t="str">
        <f>IFERROR(__xludf.DUMMYFUNCTION("REGEXREPLACE(C6774,""-\d+(.*)|--\d+(.*)"","""")"),"SAINT-POIX")</f>
        <v>SAINT-POIX</v>
      </c>
      <c r="E6774" s="38" t="s">
        <v>518</v>
      </c>
      <c r="F6774" s="38" t="s">
        <v>180</v>
      </c>
      <c r="G6774" s="49" t="str">
        <f t="shared" si="1"/>
        <v>53540</v>
      </c>
      <c r="H6774" s="49">
        <f t="shared" si="2"/>
        <v>53250</v>
      </c>
    </row>
    <row r="6775">
      <c r="A6775" s="48" t="s">
        <v>2783</v>
      </c>
      <c r="B6775" s="38">
        <v>31342.0</v>
      </c>
      <c r="C6775" s="38" t="s">
        <v>10192</v>
      </c>
      <c r="D6775" s="38" t="str">
        <f>IFERROR(__xludf.DUMMYFUNCTION("REGEXREPLACE(C6775,""-\d+(.*)|--\d+(.*)"","""")"),"MILHAS")</f>
        <v>MILHAS</v>
      </c>
      <c r="E6775" s="38" t="s">
        <v>93</v>
      </c>
      <c r="F6775" s="38" t="s">
        <v>94</v>
      </c>
      <c r="G6775" s="49" t="str">
        <f t="shared" si="1"/>
        <v>31160</v>
      </c>
      <c r="H6775" s="49">
        <f t="shared" si="2"/>
        <v>31342</v>
      </c>
    </row>
    <row r="6776">
      <c r="A6776" s="48" t="s">
        <v>9021</v>
      </c>
      <c r="B6776" s="38">
        <v>88430.0</v>
      </c>
      <c r="C6776" s="38" t="s">
        <v>10193</v>
      </c>
      <c r="D6776" s="38" t="str">
        <f>IFERROR(__xludf.DUMMYFUNCTION("REGEXREPLACE(C6776,""-\d+(.*)|--\d+(.*)"","""")"),"SAINT-OUEN-LES-PAREY")</f>
        <v>SAINT-OUEN-LES-PAREY</v>
      </c>
      <c r="E6776" s="38" t="s">
        <v>194</v>
      </c>
      <c r="F6776" s="38" t="s">
        <v>195</v>
      </c>
      <c r="G6776" s="49" t="str">
        <f t="shared" si="1"/>
        <v>88140</v>
      </c>
      <c r="H6776" s="49">
        <f t="shared" si="2"/>
        <v>88430</v>
      </c>
    </row>
    <row r="6777">
      <c r="A6777" s="48" t="s">
        <v>10194</v>
      </c>
      <c r="B6777" s="38">
        <v>19154.0</v>
      </c>
      <c r="C6777" s="38" t="s">
        <v>10195</v>
      </c>
      <c r="D6777" s="38" t="str">
        <f>IFERROR(__xludf.DUMMYFUNCTION("REGEXREPLACE(C6777,""-\d+(.*)|--\d+(.*)"","""")"),"ORGNAC-SUR-VEZERE")</f>
        <v>ORGNAC-SUR-VEZERE</v>
      </c>
      <c r="E6777" s="38" t="s">
        <v>271</v>
      </c>
      <c r="F6777" s="38" t="s">
        <v>98</v>
      </c>
      <c r="G6777" s="49" t="str">
        <f t="shared" si="1"/>
        <v>19410</v>
      </c>
      <c r="H6777" s="49">
        <f t="shared" si="2"/>
        <v>19154</v>
      </c>
    </row>
    <row r="6778">
      <c r="A6778" s="48" t="s">
        <v>1332</v>
      </c>
      <c r="B6778" s="38">
        <v>51143.0</v>
      </c>
      <c r="C6778" s="38" t="s">
        <v>10196</v>
      </c>
      <c r="D6778" s="38" t="str">
        <f>IFERROR(__xludf.DUMMYFUNCTION("REGEXREPLACE(C6778,""-\d+(.*)|--\d+(.*)"","""")"),"LE CHEMIN")</f>
        <v>LE CHEMIN</v>
      </c>
      <c r="E6778" s="38" t="s">
        <v>129</v>
      </c>
      <c r="F6778" s="38" t="s">
        <v>130</v>
      </c>
      <c r="G6778" s="49" t="str">
        <f t="shared" si="1"/>
        <v>51800</v>
      </c>
      <c r="H6778" s="49">
        <f t="shared" si="2"/>
        <v>51143</v>
      </c>
    </row>
    <row r="6779">
      <c r="A6779" s="48" t="s">
        <v>5672</v>
      </c>
      <c r="B6779" s="38">
        <v>33429.0</v>
      </c>
      <c r="C6779" s="38" t="s">
        <v>10197</v>
      </c>
      <c r="D6779" s="38" t="str">
        <f>IFERROR(__xludf.DUMMYFUNCTION("REGEXREPLACE(C6779,""-\d+(.*)|--\d+(.*)"","""")"),"SAINT-LEGER-DE-BALSON")</f>
        <v>SAINT-LEGER-DE-BALSON</v>
      </c>
      <c r="E6779" s="38" t="s">
        <v>462</v>
      </c>
      <c r="F6779" s="38" t="s">
        <v>252</v>
      </c>
      <c r="G6779" s="49" t="str">
        <f t="shared" si="1"/>
        <v>33113</v>
      </c>
      <c r="H6779" s="49">
        <f t="shared" si="2"/>
        <v>33429</v>
      </c>
    </row>
    <row r="6780">
      <c r="A6780" s="48" t="s">
        <v>1300</v>
      </c>
      <c r="B6780" s="38">
        <v>60441.0</v>
      </c>
      <c r="C6780" s="38" t="s">
        <v>10198</v>
      </c>
      <c r="D6780" s="38" t="str">
        <f>IFERROR(__xludf.DUMMYFUNCTION("REGEXREPLACE(C6780,""-\d+(.*)|--\d+(.*)"","""")"),"MOYVILLERS")</f>
        <v>MOYVILLERS</v>
      </c>
      <c r="E6780" s="38" t="s">
        <v>112</v>
      </c>
      <c r="F6780" s="38" t="s">
        <v>113</v>
      </c>
      <c r="G6780" s="49" t="str">
        <f t="shared" si="1"/>
        <v>60190</v>
      </c>
      <c r="H6780" s="49">
        <f t="shared" si="2"/>
        <v>60441</v>
      </c>
    </row>
    <row r="6781">
      <c r="A6781" s="48" t="s">
        <v>3163</v>
      </c>
      <c r="B6781" s="38">
        <v>28019.0</v>
      </c>
      <c r="C6781" s="38" t="s">
        <v>1591</v>
      </c>
      <c r="D6781" s="38" t="str">
        <f>IFERROR(__xludf.DUMMYFUNCTION("REGEXREPLACE(C6781,""-\d+(.*)|--\d+(.*)"","""")"),"BAIGNEAUX")</f>
        <v>BAIGNEAUX</v>
      </c>
      <c r="E6781" s="38" t="s">
        <v>300</v>
      </c>
      <c r="F6781" s="38" t="s">
        <v>123</v>
      </c>
      <c r="G6781" s="49" t="str">
        <f t="shared" si="1"/>
        <v>28140</v>
      </c>
      <c r="H6781" s="49">
        <f t="shared" si="2"/>
        <v>28019</v>
      </c>
    </row>
    <row r="6782">
      <c r="A6782" s="48" t="s">
        <v>4543</v>
      </c>
      <c r="B6782" s="38">
        <v>64375.0</v>
      </c>
      <c r="C6782" s="38" t="s">
        <v>10199</v>
      </c>
      <c r="D6782" s="38" t="str">
        <f>IFERROR(__xludf.DUMMYFUNCTION("REGEXREPLACE(C6782,""-\d+(.*)|--\d+(.*)"","""")"),"MEHARIN")</f>
        <v>MEHARIN</v>
      </c>
      <c r="E6782" s="38" t="s">
        <v>268</v>
      </c>
      <c r="F6782" s="38" t="s">
        <v>252</v>
      </c>
      <c r="G6782" s="49" t="str">
        <f t="shared" si="1"/>
        <v>64120</v>
      </c>
      <c r="H6782" s="49">
        <f t="shared" si="2"/>
        <v>64375</v>
      </c>
    </row>
    <row r="6783">
      <c r="A6783" s="48" t="s">
        <v>1509</v>
      </c>
      <c r="B6783" s="38">
        <v>12230.0</v>
      </c>
      <c r="C6783" s="38" t="s">
        <v>10200</v>
      </c>
      <c r="D6783" s="38" t="str">
        <f>IFERROR(__xludf.DUMMYFUNCTION("REGEXREPLACE(C6783,""-\d+(.*)|--\d+(.*)"","""")"),"SAINT-JEAN-DELNOUS")</f>
        <v>SAINT-JEAN-DELNOUS</v>
      </c>
      <c r="E6783" s="38" t="s">
        <v>465</v>
      </c>
      <c r="F6783" s="38" t="s">
        <v>94</v>
      </c>
      <c r="G6783" s="49" t="str">
        <f t="shared" si="1"/>
        <v>12170</v>
      </c>
      <c r="H6783" s="49">
        <f t="shared" si="2"/>
        <v>12230</v>
      </c>
    </row>
    <row r="6784">
      <c r="A6784" s="48" t="s">
        <v>9436</v>
      </c>
      <c r="B6784" s="38">
        <v>63172.0</v>
      </c>
      <c r="C6784" s="38" t="s">
        <v>10201</v>
      </c>
      <c r="D6784" s="38" t="str">
        <f>IFERROR(__xludf.DUMMYFUNCTION("REGEXREPLACE(C6784,""-\d+(.*)|--\d+(.*)"","""")"),"GRANDEYROLLES")</f>
        <v>GRANDEYROLLES</v>
      </c>
      <c r="E6784" s="38" t="s">
        <v>353</v>
      </c>
      <c r="F6784" s="38" t="s">
        <v>161</v>
      </c>
      <c r="G6784" s="49" t="str">
        <f t="shared" si="1"/>
        <v>63320</v>
      </c>
      <c r="H6784" s="49">
        <f t="shared" si="2"/>
        <v>63172</v>
      </c>
    </row>
    <row r="6785">
      <c r="A6785" s="48" t="s">
        <v>10202</v>
      </c>
      <c r="B6785" s="38">
        <v>33334.0</v>
      </c>
      <c r="C6785" s="38" t="s">
        <v>10203</v>
      </c>
      <c r="D6785" s="38" t="str">
        <f>IFERROR(__xludf.DUMMYFUNCTION("REGEXREPLACE(C6785,""-\d+(.*)|--\d+(.*)"","""")"),"PORTETS")</f>
        <v>PORTETS</v>
      </c>
      <c r="E6785" s="38" t="s">
        <v>462</v>
      </c>
      <c r="F6785" s="38" t="s">
        <v>252</v>
      </c>
      <c r="G6785" s="49" t="str">
        <f t="shared" si="1"/>
        <v>33640</v>
      </c>
      <c r="H6785" s="49">
        <f t="shared" si="2"/>
        <v>33334</v>
      </c>
    </row>
    <row r="6786">
      <c r="A6786" s="48" t="s">
        <v>987</v>
      </c>
      <c r="B6786" s="38">
        <v>40325.0</v>
      </c>
      <c r="C6786" s="38" t="s">
        <v>10204</v>
      </c>
      <c r="D6786" s="38" t="str">
        <f>IFERROR(__xludf.DUMMYFUNCTION("REGEXREPLACE(C6786,""-\d+(.*)|--\d+(.*)"","""")"),"VIELLE-TURSAN")</f>
        <v>VIELLE-TURSAN</v>
      </c>
      <c r="E6786" s="38" t="s">
        <v>281</v>
      </c>
      <c r="F6786" s="38" t="s">
        <v>252</v>
      </c>
      <c r="G6786" s="49" t="str">
        <f t="shared" si="1"/>
        <v>40320</v>
      </c>
      <c r="H6786" s="49">
        <f t="shared" si="2"/>
        <v>40325</v>
      </c>
    </row>
    <row r="6787">
      <c r="A6787" s="48" t="s">
        <v>413</v>
      </c>
      <c r="B6787" s="38">
        <v>35178.0</v>
      </c>
      <c r="C6787" s="38" t="s">
        <v>10205</v>
      </c>
      <c r="D6787" s="38" t="str">
        <f>IFERROR(__xludf.DUMMYFUNCTION("REGEXREPLACE(C6787,""-\d+(.*)|--\d+(.*)"","""")"),"MEZIERES-SUR-COUESNON")</f>
        <v>MEZIERES-SUR-COUESNON</v>
      </c>
      <c r="E6787" s="38" t="s">
        <v>347</v>
      </c>
      <c r="F6787" s="38" t="s">
        <v>90</v>
      </c>
      <c r="G6787" s="49" t="str">
        <f t="shared" si="1"/>
        <v>35140</v>
      </c>
      <c r="H6787" s="49">
        <f t="shared" si="2"/>
        <v>35178</v>
      </c>
    </row>
    <row r="6788">
      <c r="A6788" s="48" t="s">
        <v>7247</v>
      </c>
      <c r="B6788" s="38">
        <v>24577.0</v>
      </c>
      <c r="C6788" s="38" t="s">
        <v>10206</v>
      </c>
      <c r="D6788" s="38" t="str">
        <f>IFERROR(__xludf.DUMMYFUNCTION("REGEXREPLACE(C6788,""-\d+(.*)|--\d+(.*)"","""")"),"VEZAC")</f>
        <v>VEZAC</v>
      </c>
      <c r="E6788" s="38" t="s">
        <v>261</v>
      </c>
      <c r="F6788" s="38" t="s">
        <v>252</v>
      </c>
      <c r="G6788" s="49" t="str">
        <f t="shared" si="1"/>
        <v>24220</v>
      </c>
      <c r="H6788" s="49">
        <f t="shared" si="2"/>
        <v>24577</v>
      </c>
    </row>
    <row r="6789">
      <c r="A6789" s="48" t="s">
        <v>564</v>
      </c>
      <c r="B6789" s="38">
        <v>73028.0</v>
      </c>
      <c r="C6789" s="38" t="s">
        <v>10207</v>
      </c>
      <c r="D6789" s="38" t="str">
        <f>IFERROR(__xludf.DUMMYFUNCTION("REGEXREPLACE(C6789,""-\d+(.*)|--\d+(.*)"","""")"),"LA BALME")</f>
        <v>LA BALME</v>
      </c>
      <c r="E6789" s="38" t="s">
        <v>306</v>
      </c>
      <c r="F6789" s="38" t="s">
        <v>102</v>
      </c>
      <c r="G6789" s="49" t="str">
        <f t="shared" si="1"/>
        <v>73170</v>
      </c>
      <c r="H6789" s="49">
        <f t="shared" si="2"/>
        <v>73028</v>
      </c>
    </row>
    <row r="6790">
      <c r="A6790" s="48" t="s">
        <v>1481</v>
      </c>
      <c r="B6790" s="38">
        <v>2505.0</v>
      </c>
      <c r="C6790" s="38" t="s">
        <v>2524</v>
      </c>
      <c r="D6790" s="38" t="str">
        <f>IFERROR(__xludf.DUMMYFUNCTION("REGEXREPLACE(C6790,""-\d+(.*)|--\d+(.*)"","""")"),"MONTFAUCON")</f>
        <v>MONTFAUCON</v>
      </c>
      <c r="E6790" s="38" t="s">
        <v>191</v>
      </c>
      <c r="F6790" s="38" t="s">
        <v>113</v>
      </c>
      <c r="G6790" s="49" t="str">
        <f t="shared" si="1"/>
        <v>02540</v>
      </c>
      <c r="H6790" s="49" t="str">
        <f t="shared" si="2"/>
        <v>02505</v>
      </c>
    </row>
    <row r="6791">
      <c r="A6791" s="48" t="s">
        <v>1935</v>
      </c>
      <c r="B6791" s="38">
        <v>48015.0</v>
      </c>
      <c r="C6791" s="38" t="s">
        <v>10208</v>
      </c>
      <c r="D6791" s="38" t="str">
        <f>IFERROR(__xludf.DUMMYFUNCTION("REGEXREPLACE(C6791,""-\d+(.*)|--\d+(.*)"","""")"),"PIED-DE-BORNE")</f>
        <v>PIED-DE-BORNE</v>
      </c>
      <c r="E6791" s="38" t="s">
        <v>154</v>
      </c>
      <c r="F6791" s="38" t="s">
        <v>119</v>
      </c>
      <c r="G6791" s="49" t="str">
        <f t="shared" si="1"/>
        <v>48800</v>
      </c>
      <c r="H6791" s="49">
        <f t="shared" si="2"/>
        <v>48015</v>
      </c>
    </row>
    <row r="6792">
      <c r="A6792" s="48" t="s">
        <v>10209</v>
      </c>
      <c r="B6792" s="38">
        <v>3077.0</v>
      </c>
      <c r="C6792" s="38" t="s">
        <v>10210</v>
      </c>
      <c r="D6792" s="38" t="str">
        <f>IFERROR(__xludf.DUMMYFUNCTION("REGEXREPLACE(C6792,""-\d+(.*)|--\d+(.*)"","""")"),"CHIRAT-L'EGLISE")</f>
        <v>CHIRAT-L'EGLISE</v>
      </c>
      <c r="E6792" s="38" t="s">
        <v>160</v>
      </c>
      <c r="F6792" s="38" t="s">
        <v>161</v>
      </c>
      <c r="G6792" s="49" t="str">
        <f t="shared" si="1"/>
        <v>03330</v>
      </c>
      <c r="H6792" s="49" t="str">
        <f t="shared" si="2"/>
        <v>03077</v>
      </c>
    </row>
    <row r="6793">
      <c r="A6793" s="48" t="s">
        <v>2746</v>
      </c>
      <c r="B6793" s="38">
        <v>38373.0</v>
      </c>
      <c r="C6793" s="38" t="s">
        <v>10211</v>
      </c>
      <c r="D6793" s="38" t="str">
        <f>IFERROR(__xludf.DUMMYFUNCTION("REGEXREPLACE(C6793,""-\d+(.*)|--\d+(.*)"","""")"),"SAINT-CASSIEN")</f>
        <v>SAINT-CASSIEN</v>
      </c>
      <c r="E6793" s="38" t="s">
        <v>101</v>
      </c>
      <c r="F6793" s="38" t="s">
        <v>102</v>
      </c>
      <c r="G6793" s="49" t="str">
        <f t="shared" si="1"/>
        <v>38500</v>
      </c>
      <c r="H6793" s="49">
        <f t="shared" si="2"/>
        <v>38373</v>
      </c>
    </row>
    <row r="6794">
      <c r="A6794" s="48" t="s">
        <v>10212</v>
      </c>
      <c r="B6794" s="38">
        <v>74019.0</v>
      </c>
      <c r="C6794" s="38" t="s">
        <v>10213</v>
      </c>
      <c r="D6794" s="38" t="str">
        <f>IFERROR(__xludf.DUMMYFUNCTION("REGEXREPLACE(C6794,""-\d+(.*)|--\d+(.*)"","""")"),"ARGONAY")</f>
        <v>ARGONAY</v>
      </c>
      <c r="E6794" s="38" t="s">
        <v>319</v>
      </c>
      <c r="F6794" s="38" t="s">
        <v>102</v>
      </c>
      <c r="G6794" s="49" t="str">
        <f t="shared" si="1"/>
        <v>74370</v>
      </c>
      <c r="H6794" s="49">
        <f t="shared" si="2"/>
        <v>74019</v>
      </c>
    </row>
    <row r="6795">
      <c r="A6795" s="48" t="s">
        <v>10214</v>
      </c>
      <c r="B6795" s="38">
        <v>81209.0</v>
      </c>
      <c r="C6795" s="38" t="s">
        <v>10215</v>
      </c>
      <c r="D6795" s="38" t="str">
        <f>IFERROR(__xludf.DUMMYFUNCTION("REGEXREPLACE(C6795,""-\d+(.*)|--\d+(.*)"","""")"),"PONT-DE-LARN")</f>
        <v>PONT-DE-LARN</v>
      </c>
      <c r="E6795" s="38" t="s">
        <v>231</v>
      </c>
      <c r="F6795" s="38" t="s">
        <v>94</v>
      </c>
      <c r="G6795" s="49" t="str">
        <f t="shared" si="1"/>
        <v>81660</v>
      </c>
      <c r="H6795" s="49">
        <f t="shared" si="2"/>
        <v>81209</v>
      </c>
    </row>
    <row r="6796">
      <c r="A6796" s="48" t="s">
        <v>4457</v>
      </c>
      <c r="B6796" s="38">
        <v>80752.0</v>
      </c>
      <c r="C6796" s="38" t="s">
        <v>10216</v>
      </c>
      <c r="D6796" s="38" t="str">
        <f>IFERROR(__xludf.DUMMYFUNCTION("REGEXREPLACE(C6796,""-\d+(.*)|--\d+(.*)"","""")"),"THEZY-GLIMONT")</f>
        <v>THEZY-GLIMONT</v>
      </c>
      <c r="E6796" s="38" t="s">
        <v>224</v>
      </c>
      <c r="F6796" s="38" t="s">
        <v>113</v>
      </c>
      <c r="G6796" s="49" t="str">
        <f t="shared" si="1"/>
        <v>80440</v>
      </c>
      <c r="H6796" s="49">
        <f t="shared" si="2"/>
        <v>80752</v>
      </c>
    </row>
    <row r="6797">
      <c r="A6797" s="48" t="s">
        <v>2156</v>
      </c>
      <c r="B6797" s="38">
        <v>26130.0</v>
      </c>
      <c r="C6797" s="38" t="s">
        <v>10217</v>
      </c>
      <c r="D6797" s="38" t="str">
        <f>IFERROR(__xludf.DUMMYFUNCTION("REGEXREPLACE(C6797,""-\d+(.*)|--\d+(.*)"","""")"),"EYROLES")</f>
        <v>EYROLES</v>
      </c>
      <c r="E6797" s="38" t="s">
        <v>126</v>
      </c>
      <c r="F6797" s="38" t="s">
        <v>102</v>
      </c>
      <c r="G6797" s="49" t="str">
        <f t="shared" si="1"/>
        <v>26110</v>
      </c>
      <c r="H6797" s="49">
        <f t="shared" si="2"/>
        <v>26130</v>
      </c>
    </row>
    <row r="6798">
      <c r="A6798" s="48" t="s">
        <v>1254</v>
      </c>
      <c r="B6798" s="38">
        <v>72066.0</v>
      </c>
      <c r="C6798" s="38" t="s">
        <v>10218</v>
      </c>
      <c r="D6798" s="38" t="str">
        <f>IFERROR(__xludf.DUMMYFUNCTION("REGEXREPLACE(C6798,""-\d+(.*)|--\d+(.*)"","""")"),"LA CHAPELLE-SAINT-FRAY")</f>
        <v>LA CHAPELLE-SAINT-FRAY</v>
      </c>
      <c r="E6798" s="38" t="s">
        <v>521</v>
      </c>
      <c r="F6798" s="38" t="s">
        <v>180</v>
      </c>
      <c r="G6798" s="49" t="str">
        <f t="shared" si="1"/>
        <v>72240</v>
      </c>
      <c r="H6798" s="49">
        <f t="shared" si="2"/>
        <v>72066</v>
      </c>
    </row>
    <row r="6799">
      <c r="A6799" s="48" t="s">
        <v>10219</v>
      </c>
      <c r="B6799" s="38">
        <v>34148.0</v>
      </c>
      <c r="C6799" s="38" t="s">
        <v>10220</v>
      </c>
      <c r="D6799" s="38" t="str">
        <f>IFERROR(__xludf.DUMMYFUNCTION("REGEXREPLACE(C6799,""-\d+(.*)|--\d+(.*)"","""")"),"MARAUSSAN")</f>
        <v>MARAUSSAN</v>
      </c>
      <c r="E6799" s="38" t="s">
        <v>118</v>
      </c>
      <c r="F6799" s="38" t="s">
        <v>119</v>
      </c>
      <c r="G6799" s="49" t="str">
        <f t="shared" si="1"/>
        <v>34370</v>
      </c>
      <c r="H6799" s="49">
        <f t="shared" si="2"/>
        <v>34148</v>
      </c>
    </row>
    <row r="6800">
      <c r="A6800" s="48" t="s">
        <v>10221</v>
      </c>
      <c r="B6800" s="38">
        <v>50003.0</v>
      </c>
      <c r="C6800" s="38" t="s">
        <v>10222</v>
      </c>
      <c r="D6800" s="38" t="str">
        <f>IFERROR(__xludf.DUMMYFUNCTION("REGEXREPLACE(C6800,""-\d+(.*)|--\d+(.*)"","""")"),"AGON-COUTAINVILLE")</f>
        <v>AGON-COUTAINVILLE</v>
      </c>
      <c r="E6800" s="38" t="s">
        <v>157</v>
      </c>
      <c r="F6800" s="38" t="s">
        <v>138</v>
      </c>
      <c r="G6800" s="49" t="str">
        <f t="shared" si="1"/>
        <v>50230</v>
      </c>
      <c r="H6800" s="49">
        <f t="shared" si="2"/>
        <v>50003</v>
      </c>
    </row>
    <row r="6801">
      <c r="A6801" s="48" t="s">
        <v>10223</v>
      </c>
      <c r="B6801" s="38">
        <v>13060.0</v>
      </c>
      <c r="C6801" s="38" t="s">
        <v>10224</v>
      </c>
      <c r="D6801" s="38" t="str">
        <f>IFERROR(__xludf.DUMMYFUNCTION("REGEXREPLACE(C6801,""-\d+(.*)|--\d+(.*)"","""")"),"MEYREUIL")</f>
        <v>MEYREUIL</v>
      </c>
      <c r="E6801" s="38" t="s">
        <v>980</v>
      </c>
      <c r="F6801" s="38" t="s">
        <v>228</v>
      </c>
      <c r="G6801" s="49" t="str">
        <f t="shared" si="1"/>
        <v>13590</v>
      </c>
      <c r="H6801" s="49">
        <f t="shared" si="2"/>
        <v>13060</v>
      </c>
    </row>
    <row r="6802">
      <c r="A6802" s="48" t="s">
        <v>7514</v>
      </c>
      <c r="B6802" s="38">
        <v>88523.0</v>
      </c>
      <c r="C6802" s="38" t="s">
        <v>10225</v>
      </c>
      <c r="D6802" s="38" t="str">
        <f>IFERROR(__xludf.DUMMYFUNCTION("REGEXREPLACE(C6802,""-\d+(.*)|--\d+(.*)"","""")"),"VOUXEY")</f>
        <v>VOUXEY</v>
      </c>
      <c r="E6802" s="38" t="s">
        <v>194</v>
      </c>
      <c r="F6802" s="38" t="s">
        <v>195</v>
      </c>
      <c r="G6802" s="49" t="str">
        <f t="shared" si="1"/>
        <v>88170</v>
      </c>
      <c r="H6802" s="49">
        <f t="shared" si="2"/>
        <v>88523</v>
      </c>
    </row>
    <row r="6803">
      <c r="A6803" s="48" t="s">
        <v>2893</v>
      </c>
      <c r="B6803" s="38">
        <v>27621.0</v>
      </c>
      <c r="C6803" s="38" t="s">
        <v>10226</v>
      </c>
      <c r="D6803" s="38" t="str">
        <f>IFERROR(__xludf.DUMMYFUNCTION("REGEXREPLACE(C6803,""-\d+(.*)|--\d+(.*)"","""")"),"SEREZ")</f>
        <v>SEREZ</v>
      </c>
      <c r="E6803" s="38" t="s">
        <v>241</v>
      </c>
      <c r="F6803" s="38" t="s">
        <v>134</v>
      </c>
      <c r="G6803" s="49" t="str">
        <f t="shared" si="1"/>
        <v>27220</v>
      </c>
      <c r="H6803" s="49">
        <f t="shared" si="2"/>
        <v>27621</v>
      </c>
    </row>
    <row r="6804">
      <c r="A6804" s="48" t="s">
        <v>10227</v>
      </c>
      <c r="B6804" s="38">
        <v>16223.0</v>
      </c>
      <c r="C6804" s="38" t="s">
        <v>10228</v>
      </c>
      <c r="D6804" s="38" t="str">
        <f>IFERROR(__xludf.DUMMYFUNCTION("REGEXREPLACE(C6804,""-\d+(.*)|--\d+(.*)"","""")"),"MONTBRON")</f>
        <v>MONTBRON</v>
      </c>
      <c r="E6804" s="38" t="s">
        <v>429</v>
      </c>
      <c r="F6804" s="38" t="s">
        <v>338</v>
      </c>
      <c r="G6804" s="49" t="str">
        <f t="shared" si="1"/>
        <v>16220</v>
      </c>
      <c r="H6804" s="49">
        <f t="shared" si="2"/>
        <v>16223</v>
      </c>
    </row>
    <row r="6805">
      <c r="A6805" s="48" t="s">
        <v>3655</v>
      </c>
      <c r="B6805" s="38">
        <v>51051.0</v>
      </c>
      <c r="C6805" s="38" t="s">
        <v>10229</v>
      </c>
      <c r="D6805" s="38" t="str">
        <f>IFERROR(__xludf.DUMMYFUNCTION("REGEXREPLACE(C6805,""-\d+(.*)|--\d+(.*)"","""")"),"BERMERICOURT")</f>
        <v>BERMERICOURT</v>
      </c>
      <c r="E6805" s="38" t="s">
        <v>129</v>
      </c>
      <c r="F6805" s="38" t="s">
        <v>130</v>
      </c>
      <c r="G6805" s="49" t="str">
        <f t="shared" si="1"/>
        <v>51220</v>
      </c>
      <c r="H6805" s="49">
        <f t="shared" si="2"/>
        <v>51051</v>
      </c>
    </row>
    <row r="6806">
      <c r="A6806" s="48" t="s">
        <v>6019</v>
      </c>
      <c r="B6806" s="38">
        <v>39141.0</v>
      </c>
      <c r="C6806" s="38" t="s">
        <v>10230</v>
      </c>
      <c r="D6806" s="38" t="str">
        <f>IFERROR(__xludf.DUMMYFUNCTION("REGEXREPLACE(C6806,""-\d+(.*)|--\d+(.*)"","""")"),"CHEVIGNY")</f>
        <v>CHEVIGNY</v>
      </c>
      <c r="E6806" s="38" t="s">
        <v>400</v>
      </c>
      <c r="F6806" s="38" t="s">
        <v>214</v>
      </c>
      <c r="G6806" s="49" t="str">
        <f t="shared" si="1"/>
        <v>39290</v>
      </c>
      <c r="H6806" s="49">
        <f t="shared" si="2"/>
        <v>39141</v>
      </c>
    </row>
    <row r="6807">
      <c r="A6807" s="48" t="s">
        <v>7501</v>
      </c>
      <c r="B6807" s="38">
        <v>9284.0</v>
      </c>
      <c r="C6807" s="38" t="s">
        <v>10231</v>
      </c>
      <c r="D6807" s="38" t="str">
        <f>IFERROR(__xludf.DUMMYFUNCTION("REGEXREPLACE(C6807,""-\d+(.*)|--\d+(.*)"","""")"),"SEGURA")</f>
        <v>SEGURA</v>
      </c>
      <c r="E6807" s="38" t="s">
        <v>238</v>
      </c>
      <c r="F6807" s="38" t="s">
        <v>94</v>
      </c>
      <c r="G6807" s="49" t="str">
        <f t="shared" si="1"/>
        <v>09120</v>
      </c>
      <c r="H6807" s="49" t="str">
        <f t="shared" si="2"/>
        <v>09284</v>
      </c>
    </row>
    <row r="6808">
      <c r="A6808" s="48" t="s">
        <v>5555</v>
      </c>
      <c r="B6808" s="38">
        <v>82070.0</v>
      </c>
      <c r="C6808" s="38" t="s">
        <v>10232</v>
      </c>
      <c r="D6808" s="38" t="str">
        <f>IFERROR(__xludf.DUMMYFUNCTION("REGEXREPLACE(C6808,""-\d+(.*)|--\d+(.*)"","""")"),"GLATENS")</f>
        <v>GLATENS</v>
      </c>
      <c r="E6808" s="38" t="s">
        <v>570</v>
      </c>
      <c r="F6808" s="38" t="s">
        <v>94</v>
      </c>
      <c r="G6808" s="49" t="str">
        <f t="shared" si="1"/>
        <v>82500</v>
      </c>
      <c r="H6808" s="49">
        <f t="shared" si="2"/>
        <v>82070</v>
      </c>
    </row>
    <row r="6809">
      <c r="A6809" s="48" t="s">
        <v>7829</v>
      </c>
      <c r="B6809" s="38">
        <v>89149.0</v>
      </c>
      <c r="C6809" s="38" t="s">
        <v>10233</v>
      </c>
      <c r="D6809" s="38" t="str">
        <f>IFERROR(__xludf.DUMMYFUNCTION("REGEXREPLACE(C6809,""-\d+(.*)|--\d+(.*)"","""")"),"DYE")</f>
        <v>DYE</v>
      </c>
      <c r="E6809" s="38" t="s">
        <v>275</v>
      </c>
      <c r="F6809" s="38" t="s">
        <v>106</v>
      </c>
      <c r="G6809" s="49" t="str">
        <f t="shared" si="1"/>
        <v>89360</v>
      </c>
      <c r="H6809" s="49">
        <f t="shared" si="2"/>
        <v>89149</v>
      </c>
    </row>
    <row r="6810">
      <c r="A6810" s="48" t="s">
        <v>2310</v>
      </c>
      <c r="B6810" s="38">
        <v>60593.0</v>
      </c>
      <c r="C6810" s="38" t="s">
        <v>10234</v>
      </c>
      <c r="D6810" s="38" t="str">
        <f>IFERROR(__xludf.DUMMYFUNCTION("REGEXREPLACE(C6810,""-\d+(.*)|--\d+(.*)"","""")"),"SAINT-PIERRE-LES-BITRY")</f>
        <v>SAINT-PIERRE-LES-BITRY</v>
      </c>
      <c r="E6810" s="38" t="s">
        <v>112</v>
      </c>
      <c r="F6810" s="38" t="s">
        <v>113</v>
      </c>
      <c r="G6810" s="49" t="str">
        <f t="shared" si="1"/>
        <v>60350</v>
      </c>
      <c r="H6810" s="49">
        <f t="shared" si="2"/>
        <v>60593</v>
      </c>
    </row>
    <row r="6811">
      <c r="A6811" s="48" t="s">
        <v>8293</v>
      </c>
      <c r="B6811" s="38">
        <v>62330.0</v>
      </c>
      <c r="C6811" s="38" t="s">
        <v>10235</v>
      </c>
      <c r="D6811" s="38" t="str">
        <f>IFERROR(__xludf.DUMMYFUNCTION("REGEXREPLACE(C6811,""-\d+(.*)|--\d+(.*)"","""")"),"FESTUBERT")</f>
        <v>FESTUBERT</v>
      </c>
      <c r="E6811" s="38" t="s">
        <v>109</v>
      </c>
      <c r="F6811" s="38" t="s">
        <v>86</v>
      </c>
      <c r="G6811" s="49" t="str">
        <f t="shared" si="1"/>
        <v>62149</v>
      </c>
      <c r="H6811" s="49">
        <f t="shared" si="2"/>
        <v>62330</v>
      </c>
    </row>
    <row r="6812">
      <c r="A6812" s="48" t="s">
        <v>3992</v>
      </c>
      <c r="B6812" s="38">
        <v>46030.0</v>
      </c>
      <c r="C6812" s="38" t="s">
        <v>10236</v>
      </c>
      <c r="D6812" s="38" t="str">
        <f>IFERROR(__xludf.DUMMYFUNCTION("REGEXREPLACE(C6812,""-\d+(.*)|--\d+(.*)"","""")"),"BIO")</f>
        <v>BIO</v>
      </c>
      <c r="E6812" s="38" t="s">
        <v>185</v>
      </c>
      <c r="F6812" s="38" t="s">
        <v>94</v>
      </c>
      <c r="G6812" s="49" t="str">
        <f t="shared" si="1"/>
        <v>46500</v>
      </c>
      <c r="H6812" s="49">
        <f t="shared" si="2"/>
        <v>46030</v>
      </c>
    </row>
    <row r="6813">
      <c r="A6813" s="48" t="s">
        <v>3747</v>
      </c>
      <c r="B6813" s="38">
        <v>52464.0</v>
      </c>
      <c r="C6813" s="38" t="s">
        <v>10237</v>
      </c>
      <c r="D6813" s="38" t="str">
        <f>IFERROR(__xludf.DUMMYFUNCTION("REGEXREPLACE(C6813,""-\d+(.*)|--\d+(.*)"","""")"),"SAULLES")</f>
        <v>SAULLES</v>
      </c>
      <c r="E6813" s="38" t="s">
        <v>234</v>
      </c>
      <c r="F6813" s="38" t="s">
        <v>130</v>
      </c>
      <c r="G6813" s="49" t="str">
        <f t="shared" si="1"/>
        <v>52500</v>
      </c>
      <c r="H6813" s="49">
        <f t="shared" si="2"/>
        <v>52464</v>
      </c>
    </row>
    <row r="6814">
      <c r="A6814" s="48" t="s">
        <v>3743</v>
      </c>
      <c r="B6814" s="38">
        <v>27317.0</v>
      </c>
      <c r="C6814" s="38" t="s">
        <v>10238</v>
      </c>
      <c r="D6814" s="38" t="str">
        <f>IFERROR(__xludf.DUMMYFUNCTION("REGEXREPLACE(C6814,""-\d+(.*)|--\d+(.*)"","""")"),"LA HAYE-AUBREE")</f>
        <v>LA HAYE-AUBREE</v>
      </c>
      <c r="E6814" s="38" t="s">
        <v>241</v>
      </c>
      <c r="F6814" s="38" t="s">
        <v>134</v>
      </c>
      <c r="G6814" s="49" t="str">
        <f t="shared" si="1"/>
        <v>27350</v>
      </c>
      <c r="H6814" s="49">
        <f t="shared" si="2"/>
        <v>27317</v>
      </c>
    </row>
    <row r="6815">
      <c r="A6815" s="48" t="s">
        <v>1330</v>
      </c>
      <c r="B6815" s="38">
        <v>6057.0</v>
      </c>
      <c r="C6815" s="38" t="s">
        <v>10239</v>
      </c>
      <c r="D6815" s="38" t="str">
        <f>IFERROR(__xludf.DUMMYFUNCTION("REGEXREPLACE(C6815,""-\d+(.*)|--\d+(.*)"","""")"),"L'ESCARENE")</f>
        <v>L'ESCARENE</v>
      </c>
      <c r="E6815" s="38" t="s">
        <v>227</v>
      </c>
      <c r="F6815" s="38" t="s">
        <v>228</v>
      </c>
      <c r="G6815" s="49" t="str">
        <f t="shared" si="1"/>
        <v>06440</v>
      </c>
      <c r="H6815" s="49" t="str">
        <f t="shared" si="2"/>
        <v>06057</v>
      </c>
    </row>
    <row r="6816">
      <c r="A6816" s="48" t="s">
        <v>8327</v>
      </c>
      <c r="B6816" s="38">
        <v>71487.0</v>
      </c>
      <c r="C6816" s="38" t="s">
        <v>10240</v>
      </c>
      <c r="D6816" s="38" t="str">
        <f>IFERROR(__xludf.DUMMYFUNCTION("REGEXREPLACE(C6816,""-\d+(.*)|--\d+(.*)"","""")"),"SAINT-VERAND")</f>
        <v>SAINT-VERAND</v>
      </c>
      <c r="E6816" s="38" t="s">
        <v>344</v>
      </c>
      <c r="F6816" s="38" t="s">
        <v>106</v>
      </c>
      <c r="G6816" s="49" t="str">
        <f t="shared" si="1"/>
        <v>71570</v>
      </c>
      <c r="H6816" s="49">
        <f t="shared" si="2"/>
        <v>71487</v>
      </c>
    </row>
    <row r="6817">
      <c r="A6817" s="48" t="s">
        <v>5466</v>
      </c>
      <c r="B6817" s="38">
        <v>88218.0</v>
      </c>
      <c r="C6817" s="38" t="s">
        <v>10241</v>
      </c>
      <c r="D6817" s="38" t="str">
        <f>IFERROR(__xludf.DUMMYFUNCTION("REGEXREPLACE(C6817,""-\d+(.*)|--\d+(.*)"","""")"),"GRANGES-SUR-VOLOGNE")</f>
        <v>GRANGES-SUR-VOLOGNE</v>
      </c>
      <c r="E6817" s="38" t="s">
        <v>194</v>
      </c>
      <c r="F6817" s="38" t="s">
        <v>195</v>
      </c>
      <c r="G6817" s="49" t="str">
        <f t="shared" si="1"/>
        <v>88640</v>
      </c>
      <c r="H6817" s="49">
        <f t="shared" si="2"/>
        <v>88218</v>
      </c>
    </row>
    <row r="6818">
      <c r="A6818" s="48" t="s">
        <v>1984</v>
      </c>
      <c r="B6818" s="38">
        <v>76503.0</v>
      </c>
      <c r="C6818" s="38" t="s">
        <v>10242</v>
      </c>
      <c r="D6818" s="38" t="str">
        <f>IFERROR(__xludf.DUMMYFUNCTION("REGEXREPLACE(C6818,""-\d+(.*)|--\d+(.*)"","""")"),"PISSY-POVILLE")</f>
        <v>PISSY-POVILLE</v>
      </c>
      <c r="E6818" s="38" t="s">
        <v>133</v>
      </c>
      <c r="F6818" s="38" t="s">
        <v>134</v>
      </c>
      <c r="G6818" s="49" t="str">
        <f t="shared" si="1"/>
        <v>76360</v>
      </c>
      <c r="H6818" s="49">
        <f t="shared" si="2"/>
        <v>76503</v>
      </c>
    </row>
    <row r="6819">
      <c r="A6819" s="48" t="s">
        <v>10039</v>
      </c>
      <c r="B6819" s="38">
        <v>47075.0</v>
      </c>
      <c r="C6819" s="38" t="s">
        <v>10243</v>
      </c>
      <c r="D6819" s="38" t="str">
        <f>IFERROR(__xludf.DUMMYFUNCTION("REGEXREPLACE(C6819,""-\d+(.*)|--\d+(.*)"","""")"),"LA CROIX-BLANCHE")</f>
        <v>LA CROIX-BLANCHE</v>
      </c>
      <c r="E6819" s="38" t="s">
        <v>251</v>
      </c>
      <c r="F6819" s="38" t="s">
        <v>252</v>
      </c>
      <c r="G6819" s="49" t="str">
        <f t="shared" si="1"/>
        <v>47340</v>
      </c>
      <c r="H6819" s="49">
        <f t="shared" si="2"/>
        <v>47075</v>
      </c>
    </row>
    <row r="6820">
      <c r="A6820" s="48" t="s">
        <v>5603</v>
      </c>
      <c r="B6820" s="38">
        <v>41142.0</v>
      </c>
      <c r="C6820" s="38" t="s">
        <v>10244</v>
      </c>
      <c r="D6820" s="38" t="str">
        <f>IFERROR(__xludf.DUMMYFUNCTION("REGEXREPLACE(C6820,""-\d+(.*)|--\d+(.*)"","""")"),"MOLINEUF")</f>
        <v>MOLINEUF</v>
      </c>
      <c r="E6820" s="38" t="s">
        <v>188</v>
      </c>
      <c r="F6820" s="38" t="s">
        <v>123</v>
      </c>
      <c r="G6820" s="49" t="str">
        <f t="shared" si="1"/>
        <v>41190</v>
      </c>
      <c r="H6820" s="49">
        <f t="shared" si="2"/>
        <v>41142</v>
      </c>
    </row>
    <row r="6821">
      <c r="A6821" s="48" t="s">
        <v>8979</v>
      </c>
      <c r="B6821" s="38">
        <v>17407.0</v>
      </c>
      <c r="C6821" s="38" t="s">
        <v>10245</v>
      </c>
      <c r="D6821" s="38" t="str">
        <f>IFERROR(__xludf.DUMMYFUNCTION("REGEXREPLACE(C6821,""-\d+(.*)|--\d+(.*)"","""")"),"SAINTE-SOULLE")</f>
        <v>SAINTE-SOULLE</v>
      </c>
      <c r="E6821" s="38" t="s">
        <v>488</v>
      </c>
      <c r="F6821" s="38" t="s">
        <v>338</v>
      </c>
      <c r="G6821" s="49" t="str">
        <f t="shared" si="1"/>
        <v>17220</v>
      </c>
      <c r="H6821" s="49">
        <f t="shared" si="2"/>
        <v>17407</v>
      </c>
    </row>
    <row r="6822">
      <c r="A6822" s="48" t="s">
        <v>9405</v>
      </c>
      <c r="B6822" s="38">
        <v>15174.0</v>
      </c>
      <c r="C6822" s="38" t="s">
        <v>10246</v>
      </c>
      <c r="D6822" s="38" t="str">
        <f>IFERROR(__xludf.DUMMYFUNCTION("REGEXREPLACE(C6822,""-\d+(.*)|--\d+(.*)"","""")"),"SAINT-BONNET-DE-SALERS")</f>
        <v>SAINT-BONNET-DE-SALERS</v>
      </c>
      <c r="E6822" s="38" t="s">
        <v>632</v>
      </c>
      <c r="F6822" s="38" t="s">
        <v>161</v>
      </c>
      <c r="G6822" s="49" t="str">
        <f t="shared" si="1"/>
        <v>15140</v>
      </c>
      <c r="H6822" s="49">
        <f t="shared" si="2"/>
        <v>15174</v>
      </c>
    </row>
    <row r="6823">
      <c r="A6823" s="48" t="s">
        <v>1966</v>
      </c>
      <c r="B6823" s="38">
        <v>2002.0</v>
      </c>
      <c r="C6823" s="38" t="s">
        <v>10247</v>
      </c>
      <c r="D6823" s="38" t="str">
        <f>IFERROR(__xludf.DUMMYFUNCTION("REGEXREPLACE(C6823,""-\d+(.*)|--\d+(.*)"","""")"),"ACHERY")</f>
        <v>ACHERY</v>
      </c>
      <c r="E6823" s="38" t="s">
        <v>191</v>
      </c>
      <c r="F6823" s="38" t="s">
        <v>113</v>
      </c>
      <c r="G6823" s="49" t="str">
        <f t="shared" si="1"/>
        <v>02800</v>
      </c>
      <c r="H6823" s="49" t="str">
        <f t="shared" si="2"/>
        <v>02002</v>
      </c>
    </row>
    <row r="6824">
      <c r="A6824" s="48" t="s">
        <v>10248</v>
      </c>
      <c r="B6824" s="38">
        <v>42099.0</v>
      </c>
      <c r="C6824" s="38" t="s">
        <v>10249</v>
      </c>
      <c r="D6824" s="38" t="str">
        <f>IFERROR(__xludf.DUMMYFUNCTION("REGEXREPLACE(C6824,""-\d+(.*)|--\d+(.*)"","""")"),"FRAISSES")</f>
        <v>FRAISSES</v>
      </c>
      <c r="E6824" s="38" t="s">
        <v>166</v>
      </c>
      <c r="F6824" s="38" t="s">
        <v>102</v>
      </c>
      <c r="G6824" s="49" t="str">
        <f t="shared" si="1"/>
        <v>42490</v>
      </c>
      <c r="H6824" s="49">
        <f t="shared" si="2"/>
        <v>42099</v>
      </c>
    </row>
    <row r="6825">
      <c r="A6825" s="48" t="s">
        <v>8626</v>
      </c>
      <c r="B6825" s="38">
        <v>7028.0</v>
      </c>
      <c r="C6825" s="38" t="s">
        <v>867</v>
      </c>
      <c r="D6825" s="38" t="str">
        <f>IFERROR(__xludf.DUMMYFUNCTION("REGEXREPLACE(C6825,""-\d+(.*)|--\d+(.*)"","""")"),"BEAULIEU")</f>
        <v>BEAULIEU</v>
      </c>
      <c r="E6825" s="38" t="s">
        <v>144</v>
      </c>
      <c r="F6825" s="38" t="s">
        <v>102</v>
      </c>
      <c r="G6825" s="49" t="str">
        <f t="shared" si="1"/>
        <v>07460</v>
      </c>
      <c r="H6825" s="49" t="str">
        <f t="shared" si="2"/>
        <v>07028</v>
      </c>
    </row>
    <row r="6826">
      <c r="A6826" s="48" t="s">
        <v>4559</v>
      </c>
      <c r="B6826" s="38">
        <v>72217.0</v>
      </c>
      <c r="C6826" s="38" t="s">
        <v>10250</v>
      </c>
      <c r="D6826" s="38" t="str">
        <f>IFERROR(__xludf.DUMMYFUNCTION("REGEXREPLACE(C6826,""-\d+(.*)|--\d+(.*)"","""")"),"NEUVILLE-SUR-SARTHE")</f>
        <v>NEUVILLE-SUR-SARTHE</v>
      </c>
      <c r="E6826" s="38" t="s">
        <v>521</v>
      </c>
      <c r="F6826" s="38" t="s">
        <v>180</v>
      </c>
      <c r="G6826" s="49" t="str">
        <f t="shared" si="1"/>
        <v>72190</v>
      </c>
      <c r="H6826" s="49">
        <f t="shared" si="2"/>
        <v>72217</v>
      </c>
    </row>
    <row r="6827">
      <c r="A6827" s="48" t="s">
        <v>2812</v>
      </c>
      <c r="B6827" s="38">
        <v>61046.0</v>
      </c>
      <c r="C6827" s="38" t="s">
        <v>10251</v>
      </c>
      <c r="D6827" s="38" t="str">
        <f>IFERROR(__xludf.DUMMYFUNCTION("REGEXREPLACE(C6827,""-\d+(.*)|--\d+(.*)"","""")"),"BIZOU")</f>
        <v>BIZOU</v>
      </c>
      <c r="E6827" s="38" t="s">
        <v>141</v>
      </c>
      <c r="F6827" s="38" t="s">
        <v>138</v>
      </c>
      <c r="G6827" s="49" t="str">
        <f t="shared" si="1"/>
        <v>61290</v>
      </c>
      <c r="H6827" s="49">
        <f t="shared" si="2"/>
        <v>61046</v>
      </c>
    </row>
    <row r="6828">
      <c r="A6828" s="48" t="s">
        <v>1638</v>
      </c>
      <c r="B6828" s="38">
        <v>70087.0</v>
      </c>
      <c r="C6828" s="38" t="s">
        <v>10252</v>
      </c>
      <c r="D6828" s="38" t="str">
        <f>IFERROR(__xludf.DUMMYFUNCTION("REGEXREPLACE(C6828,""-\d+(.*)|--\d+(.*)"","""")"),"BOURGUIGNON-LES-CONFLANS")</f>
        <v>BOURGUIGNON-LES-CONFLANS</v>
      </c>
      <c r="E6828" s="38" t="s">
        <v>956</v>
      </c>
      <c r="F6828" s="38" t="s">
        <v>214</v>
      </c>
      <c r="G6828" s="49" t="str">
        <f t="shared" si="1"/>
        <v>70800</v>
      </c>
      <c r="H6828" s="49">
        <f t="shared" si="2"/>
        <v>70087</v>
      </c>
    </row>
    <row r="6829">
      <c r="A6829" s="48" t="s">
        <v>10253</v>
      </c>
      <c r="B6829" s="38">
        <v>48184.0</v>
      </c>
      <c r="C6829" s="38" t="s">
        <v>863</v>
      </c>
      <c r="D6829" s="38" t="str">
        <f>IFERROR(__xludf.DUMMYFUNCTION("REGEXREPLACE(C6829,""-\d+(.*)|--\d+(.*)"","""")"),"SAINT-SYMPHORIEN")</f>
        <v>SAINT-SYMPHORIEN</v>
      </c>
      <c r="E6829" s="38" t="s">
        <v>154</v>
      </c>
      <c r="F6829" s="38" t="s">
        <v>119</v>
      </c>
      <c r="G6829" s="49" t="str">
        <f t="shared" si="1"/>
        <v>48600</v>
      </c>
      <c r="H6829" s="49">
        <f t="shared" si="2"/>
        <v>48184</v>
      </c>
    </row>
    <row r="6830">
      <c r="A6830" s="48" t="s">
        <v>8196</v>
      </c>
      <c r="B6830" s="38">
        <v>23096.0</v>
      </c>
      <c r="C6830" s="38" t="s">
        <v>10254</v>
      </c>
      <c r="D6830" s="38" t="str">
        <f>IFERROR(__xludf.DUMMYFUNCTION("REGEXREPLACE(C6830,""-\d+(.*)|--\d+(.*)"","""")"),"GUERET")</f>
        <v>GUERET</v>
      </c>
      <c r="E6830" s="38" t="s">
        <v>97</v>
      </c>
      <c r="F6830" s="38" t="s">
        <v>98</v>
      </c>
      <c r="G6830" s="49" t="str">
        <f t="shared" si="1"/>
        <v>23000</v>
      </c>
      <c r="H6830" s="49">
        <f t="shared" si="2"/>
        <v>23096</v>
      </c>
    </row>
    <row r="6831">
      <c r="A6831" s="48" t="s">
        <v>10255</v>
      </c>
      <c r="B6831" s="38">
        <v>87196.0</v>
      </c>
      <c r="C6831" s="38" t="s">
        <v>10256</v>
      </c>
      <c r="D6831" s="38" t="str">
        <f>IFERROR(__xludf.DUMMYFUNCTION("REGEXREPLACE(C6831,""-\d+(.*)|--\d+(.*)"","""")"),"THIAT")</f>
        <v>THIAT</v>
      </c>
      <c r="E6831" s="38" t="s">
        <v>897</v>
      </c>
      <c r="F6831" s="38" t="s">
        <v>98</v>
      </c>
      <c r="G6831" s="49" t="str">
        <f t="shared" si="1"/>
        <v>87320</v>
      </c>
      <c r="H6831" s="49">
        <f t="shared" si="2"/>
        <v>87196</v>
      </c>
    </row>
    <row r="6832">
      <c r="A6832" s="48" t="s">
        <v>1347</v>
      </c>
      <c r="B6832" s="38">
        <v>16123.0</v>
      </c>
      <c r="C6832" s="38" t="s">
        <v>10257</v>
      </c>
      <c r="D6832" s="38" t="str">
        <f>IFERROR(__xludf.DUMMYFUNCTION("REGEXREPLACE(C6832,""-\d+(.*)|--\d+(.*)"","""")"),"ECHALLAT")</f>
        <v>ECHALLAT</v>
      </c>
      <c r="E6832" s="38" t="s">
        <v>429</v>
      </c>
      <c r="F6832" s="38" t="s">
        <v>338</v>
      </c>
      <c r="G6832" s="49" t="str">
        <f t="shared" si="1"/>
        <v>16170</v>
      </c>
      <c r="H6832" s="49">
        <f t="shared" si="2"/>
        <v>16123</v>
      </c>
    </row>
    <row r="6833">
      <c r="A6833" s="48" t="s">
        <v>1477</v>
      </c>
      <c r="B6833" s="38">
        <v>61088.0</v>
      </c>
      <c r="C6833" s="38" t="s">
        <v>10258</v>
      </c>
      <c r="D6833" s="38" t="str">
        <f>IFERROR(__xludf.DUMMYFUNCTION("REGEXREPLACE(C6833,""-\d+(.*)|--\d+(.*)"","""")"),"CHAMP-HAUT")</f>
        <v>CHAMP-HAUT</v>
      </c>
      <c r="E6833" s="38" t="s">
        <v>141</v>
      </c>
      <c r="F6833" s="38" t="s">
        <v>138</v>
      </c>
      <c r="G6833" s="49" t="str">
        <f t="shared" si="1"/>
        <v>61240</v>
      </c>
      <c r="H6833" s="49">
        <f t="shared" si="2"/>
        <v>61088</v>
      </c>
    </row>
    <row r="6834">
      <c r="A6834" s="48" t="s">
        <v>10259</v>
      </c>
      <c r="B6834" s="38">
        <v>73163.0</v>
      </c>
      <c r="C6834" s="38" t="s">
        <v>10260</v>
      </c>
      <c r="D6834" s="38" t="str">
        <f>IFERROR(__xludf.DUMMYFUNCTION("REGEXREPLACE(C6834,""-\d+(.*)|--\d+(.*)"","""")"),"MONTAIMONT")</f>
        <v>MONTAIMONT</v>
      </c>
      <c r="E6834" s="38" t="s">
        <v>306</v>
      </c>
      <c r="F6834" s="38" t="s">
        <v>102</v>
      </c>
      <c r="G6834" s="49" t="str">
        <f t="shared" si="1"/>
        <v>73130</v>
      </c>
      <c r="H6834" s="49">
        <f t="shared" si="2"/>
        <v>73163</v>
      </c>
    </row>
    <row r="6835">
      <c r="A6835" s="48" t="s">
        <v>7371</v>
      </c>
      <c r="B6835" s="38">
        <v>17466.0</v>
      </c>
      <c r="C6835" s="38" t="s">
        <v>10261</v>
      </c>
      <c r="D6835" s="38" t="str">
        <f>IFERROR(__xludf.DUMMYFUNCTION("REGEXREPLACE(C6835,""-\d+(.*)|--\d+(.*)"","""")"),"VERINES")</f>
        <v>VERINES</v>
      </c>
      <c r="E6835" s="38" t="s">
        <v>488</v>
      </c>
      <c r="F6835" s="38" t="s">
        <v>338</v>
      </c>
      <c r="G6835" s="49" t="str">
        <f t="shared" si="1"/>
        <v>17540</v>
      </c>
      <c r="H6835" s="49">
        <f t="shared" si="2"/>
        <v>17466</v>
      </c>
    </row>
    <row r="6836">
      <c r="A6836" s="48" t="s">
        <v>7852</v>
      </c>
      <c r="B6836" s="38">
        <v>38182.0</v>
      </c>
      <c r="C6836" s="38" t="s">
        <v>10262</v>
      </c>
      <c r="D6836" s="38" t="str">
        <f>IFERROR(__xludf.DUMMYFUNCTION("REGEXREPLACE(C6836,""-\d+(.*)|--\d+(.*)"","""")"),"LE GRAND-LEMPS")</f>
        <v>LE GRAND-LEMPS</v>
      </c>
      <c r="E6836" s="38" t="s">
        <v>101</v>
      </c>
      <c r="F6836" s="38" t="s">
        <v>102</v>
      </c>
      <c r="G6836" s="49" t="str">
        <f t="shared" si="1"/>
        <v>38690</v>
      </c>
      <c r="H6836" s="49">
        <f t="shared" si="2"/>
        <v>38182</v>
      </c>
    </row>
    <row r="6837">
      <c r="A6837" s="48" t="s">
        <v>730</v>
      </c>
      <c r="B6837" s="38">
        <v>48019.0</v>
      </c>
      <c r="C6837" s="38" t="s">
        <v>10263</v>
      </c>
      <c r="D6837" s="38" t="str">
        <f>IFERROR(__xludf.DUMMYFUNCTION("REGEXREPLACE(C6837,""-\d+(.*)|--\d+(.*)"","""")"),"BARRE-DES-CEVENNES")</f>
        <v>BARRE-DES-CEVENNES</v>
      </c>
      <c r="E6837" s="38" t="s">
        <v>154</v>
      </c>
      <c r="F6837" s="38" t="s">
        <v>119</v>
      </c>
      <c r="G6837" s="49" t="str">
        <f t="shared" si="1"/>
        <v>48400</v>
      </c>
      <c r="H6837" s="49">
        <f t="shared" si="2"/>
        <v>48019</v>
      </c>
    </row>
    <row r="6838">
      <c r="A6838" s="48" t="s">
        <v>3307</v>
      </c>
      <c r="B6838" s="38">
        <v>65309.0</v>
      </c>
      <c r="C6838" s="38" t="s">
        <v>10264</v>
      </c>
      <c r="D6838" s="38" t="str">
        <f>IFERROR(__xludf.DUMMYFUNCTION("REGEXREPLACE(C6838,""-\d+(.*)|--\d+(.*)"","""")"),"MAZOUAU")</f>
        <v>MAZOUAU</v>
      </c>
      <c r="E6838" s="38" t="s">
        <v>200</v>
      </c>
      <c r="F6838" s="38" t="s">
        <v>94</v>
      </c>
      <c r="G6838" s="49" t="str">
        <f t="shared" si="1"/>
        <v>65250</v>
      </c>
      <c r="H6838" s="49">
        <f t="shared" si="2"/>
        <v>65309</v>
      </c>
    </row>
    <row r="6839">
      <c r="A6839" s="48" t="s">
        <v>5679</v>
      </c>
      <c r="B6839" s="38">
        <v>66089.0</v>
      </c>
      <c r="C6839" s="38" t="s">
        <v>10265</v>
      </c>
      <c r="D6839" s="38" t="str">
        <f>IFERROR(__xludf.DUMMYFUNCTION("REGEXREPLACE(C6839,""-\d+(.*)|--\d+(.*)"","""")"),"JOCH")</f>
        <v>JOCH</v>
      </c>
      <c r="E6839" s="38" t="s">
        <v>248</v>
      </c>
      <c r="F6839" s="38" t="s">
        <v>119</v>
      </c>
      <c r="G6839" s="49" t="str">
        <f t="shared" si="1"/>
        <v>66320</v>
      </c>
      <c r="H6839" s="49">
        <f t="shared" si="2"/>
        <v>66089</v>
      </c>
    </row>
    <row r="6840">
      <c r="A6840" s="48" t="s">
        <v>7199</v>
      </c>
      <c r="B6840" s="38">
        <v>76558.0</v>
      </c>
      <c r="C6840" s="38" t="s">
        <v>10266</v>
      </c>
      <c r="D6840" s="38" t="str">
        <f>IFERROR(__xludf.DUMMYFUNCTION("REGEXREPLACE(C6840,""-\d+(.*)|--\d+(.*)"","""")"),"SAINT-AUBIN-CELLOVILLE")</f>
        <v>SAINT-AUBIN-CELLOVILLE</v>
      </c>
      <c r="E6840" s="38" t="s">
        <v>133</v>
      </c>
      <c r="F6840" s="38" t="s">
        <v>134</v>
      </c>
      <c r="G6840" s="49" t="str">
        <f t="shared" si="1"/>
        <v>76520</v>
      </c>
      <c r="H6840" s="49">
        <f t="shared" si="2"/>
        <v>76558</v>
      </c>
    </row>
    <row r="6841">
      <c r="A6841" s="48" t="s">
        <v>4123</v>
      </c>
      <c r="B6841" s="38">
        <v>60646.0</v>
      </c>
      <c r="C6841" s="38" t="s">
        <v>10267</v>
      </c>
      <c r="D6841" s="38" t="str">
        <f>IFERROR(__xludf.DUMMYFUNCTION("REGEXREPLACE(C6841,""-\d+(.*)|--\d+(.*)"","""")"),"TROISSEREUX")</f>
        <v>TROISSEREUX</v>
      </c>
      <c r="E6841" s="38" t="s">
        <v>112</v>
      </c>
      <c r="F6841" s="38" t="s">
        <v>113</v>
      </c>
      <c r="G6841" s="49" t="str">
        <f t="shared" si="1"/>
        <v>60112</v>
      </c>
      <c r="H6841" s="49">
        <f t="shared" si="2"/>
        <v>60646</v>
      </c>
    </row>
    <row r="6842">
      <c r="A6842" s="48" t="s">
        <v>10268</v>
      </c>
      <c r="B6842" s="38">
        <v>41074.0</v>
      </c>
      <c r="C6842" s="38" t="s">
        <v>10269</v>
      </c>
      <c r="D6842" s="38" t="str">
        <f>IFERROR(__xludf.DUMMYFUNCTION("REGEXREPLACE(C6842,""-\d+(.*)|--\d+(.*)"","""")"),"DHUIZON")</f>
        <v>DHUIZON</v>
      </c>
      <c r="E6842" s="38" t="s">
        <v>188</v>
      </c>
      <c r="F6842" s="38" t="s">
        <v>123</v>
      </c>
      <c r="G6842" s="49" t="str">
        <f t="shared" si="1"/>
        <v>41220</v>
      </c>
      <c r="H6842" s="49">
        <f t="shared" si="2"/>
        <v>41074</v>
      </c>
    </row>
    <row r="6843">
      <c r="A6843" s="48" t="s">
        <v>10270</v>
      </c>
      <c r="B6843" s="38">
        <v>37257.0</v>
      </c>
      <c r="C6843" s="38" t="s">
        <v>10271</v>
      </c>
      <c r="D6843" s="38" t="str">
        <f>IFERROR(__xludf.DUMMYFUNCTION("REGEXREPLACE(C6843,""-\d+(.*)|--\d+(.*)"","""")"),"THILOUZE")</f>
        <v>THILOUZE</v>
      </c>
      <c r="E6843" s="38" t="s">
        <v>205</v>
      </c>
      <c r="F6843" s="38" t="s">
        <v>123</v>
      </c>
      <c r="G6843" s="49" t="str">
        <f t="shared" si="1"/>
        <v>37260</v>
      </c>
      <c r="H6843" s="49">
        <f t="shared" si="2"/>
        <v>37257</v>
      </c>
    </row>
    <row r="6844">
      <c r="A6844" s="48" t="s">
        <v>4543</v>
      </c>
      <c r="B6844" s="38">
        <v>64034.0</v>
      </c>
      <c r="C6844" s="38" t="s">
        <v>10272</v>
      </c>
      <c r="D6844" s="38" t="str">
        <f>IFERROR(__xludf.DUMMYFUNCTION("REGEXREPLACE(C6844,""-\d+(.*)|--\d+(.*)"","""")"),"ARBERATS-SILLEGUE")</f>
        <v>ARBERATS-SILLEGUE</v>
      </c>
      <c r="E6844" s="38" t="s">
        <v>268</v>
      </c>
      <c r="F6844" s="38" t="s">
        <v>252</v>
      </c>
      <c r="G6844" s="49" t="str">
        <f t="shared" si="1"/>
        <v>64120</v>
      </c>
      <c r="H6844" s="49">
        <f t="shared" si="2"/>
        <v>64034</v>
      </c>
    </row>
    <row r="6845">
      <c r="A6845" s="48" t="s">
        <v>8510</v>
      </c>
      <c r="B6845" s="38">
        <v>39421.0</v>
      </c>
      <c r="C6845" s="38" t="s">
        <v>820</v>
      </c>
      <c r="D6845" s="38" t="str">
        <f>IFERROR(__xludf.DUMMYFUNCTION("REGEXREPLACE(C6845,""-\d+(.*)|--\d+(.*)"","""")"),"LE PIN")</f>
        <v>LE PIN</v>
      </c>
      <c r="E6845" s="38" t="s">
        <v>400</v>
      </c>
      <c r="F6845" s="38" t="s">
        <v>214</v>
      </c>
      <c r="G6845" s="49" t="str">
        <f t="shared" si="1"/>
        <v>39210</v>
      </c>
      <c r="H6845" s="49">
        <f t="shared" si="2"/>
        <v>39421</v>
      </c>
    </row>
    <row r="6846">
      <c r="A6846" s="48" t="s">
        <v>698</v>
      </c>
      <c r="B6846" s="38">
        <v>11354.0</v>
      </c>
      <c r="C6846" s="38" t="s">
        <v>10273</v>
      </c>
      <c r="D6846" s="38" t="str">
        <f>IFERROR(__xludf.DUMMYFUNCTION("REGEXREPLACE(C6846,""-\d+(.*)|--\d+(.*)"","""")"),"SAINT-MARTIN-DES-PUITS")</f>
        <v>SAINT-MARTIN-DES-PUITS</v>
      </c>
      <c r="E6846" s="38" t="s">
        <v>278</v>
      </c>
      <c r="F6846" s="38" t="s">
        <v>119</v>
      </c>
      <c r="G6846" s="49" t="str">
        <f t="shared" si="1"/>
        <v>11220</v>
      </c>
      <c r="H6846" s="49">
        <f t="shared" si="2"/>
        <v>11354</v>
      </c>
    </row>
    <row r="6847">
      <c r="A6847" s="48" t="s">
        <v>1850</v>
      </c>
      <c r="B6847" s="38">
        <v>48078.0</v>
      </c>
      <c r="C6847" s="38" t="s">
        <v>10274</v>
      </c>
      <c r="D6847" s="38" t="str">
        <f>IFERROR(__xludf.DUMMYFUNCTION("REGEXREPLACE(C6847,""-\d+(.*)|--\d+(.*)"","""")"),"LACHAMP")</f>
        <v>LACHAMP</v>
      </c>
      <c r="E6847" s="38" t="s">
        <v>154</v>
      </c>
      <c r="F6847" s="38" t="s">
        <v>119</v>
      </c>
      <c r="G6847" s="49" t="str">
        <f t="shared" si="1"/>
        <v>48100</v>
      </c>
      <c r="H6847" s="49">
        <f t="shared" si="2"/>
        <v>48078</v>
      </c>
    </row>
    <row r="6848">
      <c r="A6848" s="48" t="s">
        <v>2642</v>
      </c>
      <c r="B6848" s="38">
        <v>86042.0</v>
      </c>
      <c r="C6848" s="38" t="s">
        <v>10275</v>
      </c>
      <c r="D6848" s="38" t="str">
        <f>IFERROR(__xludf.DUMMYFUNCTION("REGEXREPLACE(C6848,""-\d+(.*)|--\d+(.*)"","""")"),"BUXEUIL")</f>
        <v>BUXEUIL</v>
      </c>
      <c r="E6848" s="38" t="s">
        <v>529</v>
      </c>
      <c r="F6848" s="38" t="s">
        <v>338</v>
      </c>
      <c r="G6848" s="49" t="str">
        <f t="shared" si="1"/>
        <v>37160</v>
      </c>
      <c r="H6848" s="49">
        <f t="shared" si="2"/>
        <v>86042</v>
      </c>
    </row>
    <row r="6849">
      <c r="A6849" s="48" t="s">
        <v>10276</v>
      </c>
      <c r="B6849" s="38">
        <v>93027.0</v>
      </c>
      <c r="C6849" s="38" t="s">
        <v>10277</v>
      </c>
      <c r="D6849" s="38" t="str">
        <f>IFERROR(__xludf.DUMMYFUNCTION("REGEXREPLACE(C6849,""-\d+(.*)|--\d+(.*)"","""")"),"LA COURNEUVE")</f>
        <v>LA COURNEUVE</v>
      </c>
      <c r="E6849" s="38" t="s">
        <v>341</v>
      </c>
      <c r="F6849" s="38" t="s">
        <v>245</v>
      </c>
      <c r="G6849" s="49" t="str">
        <f t="shared" si="1"/>
        <v>93120</v>
      </c>
      <c r="H6849" s="49">
        <f t="shared" si="2"/>
        <v>93027</v>
      </c>
    </row>
    <row r="6850">
      <c r="A6850" s="48" t="s">
        <v>3087</v>
      </c>
      <c r="B6850" s="38">
        <v>64059.0</v>
      </c>
      <c r="C6850" s="38" t="s">
        <v>10278</v>
      </c>
      <c r="D6850" s="38" t="str">
        <f>IFERROR(__xludf.DUMMYFUNCTION("REGEXREPLACE(C6850,""-\d+(.*)|--\d+(.*)"","""")"),"ARTIGUELOUTAN")</f>
        <v>ARTIGUELOUTAN</v>
      </c>
      <c r="E6850" s="38" t="s">
        <v>268</v>
      </c>
      <c r="F6850" s="38" t="s">
        <v>252</v>
      </c>
      <c r="G6850" s="49" t="str">
        <f t="shared" si="1"/>
        <v>64420</v>
      </c>
      <c r="H6850" s="49">
        <f t="shared" si="2"/>
        <v>64059</v>
      </c>
    </row>
    <row r="6851">
      <c r="A6851" s="48" t="s">
        <v>1848</v>
      </c>
      <c r="B6851" s="38">
        <v>15082.0</v>
      </c>
      <c r="C6851" s="38" t="s">
        <v>10279</v>
      </c>
      <c r="D6851" s="38" t="str">
        <f>IFERROR(__xludf.DUMMYFUNCTION("REGEXREPLACE(C6851,""-\d+(.*)|--\d+(.*)"","""")"),"JUNHAC")</f>
        <v>JUNHAC</v>
      </c>
      <c r="E6851" s="38" t="s">
        <v>632</v>
      </c>
      <c r="F6851" s="38" t="s">
        <v>161</v>
      </c>
      <c r="G6851" s="49" t="str">
        <f t="shared" si="1"/>
        <v>15120</v>
      </c>
      <c r="H6851" s="49">
        <f t="shared" si="2"/>
        <v>15082</v>
      </c>
    </row>
    <row r="6852">
      <c r="A6852" s="48" t="s">
        <v>5163</v>
      </c>
      <c r="B6852" s="38">
        <v>76694.0</v>
      </c>
      <c r="C6852" s="38" t="s">
        <v>10280</v>
      </c>
      <c r="D6852" s="38" t="str">
        <f>IFERROR(__xludf.DUMMYFUNCTION("REGEXREPLACE(C6852,""-\d+(.*)|--\d+(.*)"","""")"),"TOCQUEVILLE-EN-CAUX")</f>
        <v>TOCQUEVILLE-EN-CAUX</v>
      </c>
      <c r="E6852" s="38" t="s">
        <v>133</v>
      </c>
      <c r="F6852" s="38" t="s">
        <v>134</v>
      </c>
      <c r="G6852" s="49" t="str">
        <f t="shared" si="1"/>
        <v>76730</v>
      </c>
      <c r="H6852" s="49">
        <f t="shared" si="2"/>
        <v>76694</v>
      </c>
    </row>
    <row r="6853">
      <c r="A6853" s="48" t="s">
        <v>5706</v>
      </c>
      <c r="B6853" s="38">
        <v>63180.0</v>
      </c>
      <c r="C6853" s="38" t="s">
        <v>10281</v>
      </c>
      <c r="D6853" s="38" t="str">
        <f>IFERROR(__xludf.DUMMYFUNCTION("REGEXREPLACE(C6853,""-\d+(.*)|--\d+(.*)"","""")"),"JOZE")</f>
        <v>JOZE</v>
      </c>
      <c r="E6853" s="38" t="s">
        <v>353</v>
      </c>
      <c r="F6853" s="38" t="s">
        <v>161</v>
      </c>
      <c r="G6853" s="49" t="str">
        <f t="shared" si="1"/>
        <v>63350</v>
      </c>
      <c r="H6853" s="49">
        <f t="shared" si="2"/>
        <v>63180</v>
      </c>
    </row>
    <row r="6854">
      <c r="A6854" s="48" t="s">
        <v>10282</v>
      </c>
      <c r="B6854" s="38">
        <v>81216.0</v>
      </c>
      <c r="C6854" s="38" t="s">
        <v>10283</v>
      </c>
      <c r="D6854" s="38" t="str">
        <f>IFERROR(__xludf.DUMMYFUNCTION("REGEXREPLACE(C6854,""-\d+(.*)|--\d+(.*)"","""")"),"PUYCALVEL")</f>
        <v>PUYCALVEL</v>
      </c>
      <c r="E6854" s="38" t="s">
        <v>231</v>
      </c>
      <c r="F6854" s="38" t="s">
        <v>94</v>
      </c>
      <c r="G6854" s="49" t="str">
        <f t="shared" si="1"/>
        <v>81440</v>
      </c>
      <c r="H6854" s="49">
        <f t="shared" si="2"/>
        <v>81216</v>
      </c>
    </row>
    <row r="6855">
      <c r="A6855" s="48" t="s">
        <v>3303</v>
      </c>
      <c r="B6855" s="38">
        <v>55182.0</v>
      </c>
      <c r="C6855" s="38" t="s">
        <v>10284</v>
      </c>
      <c r="D6855" s="38" t="str">
        <f>IFERROR(__xludf.DUMMYFUNCTION("REGEXREPLACE(C6855,""-\d+(.*)|--\d+(.*)"","""")"),"ETON")</f>
        <v>ETON</v>
      </c>
      <c r="E6855" s="38" t="s">
        <v>322</v>
      </c>
      <c r="F6855" s="38" t="s">
        <v>195</v>
      </c>
      <c r="G6855" s="49" t="str">
        <f t="shared" si="1"/>
        <v>55240</v>
      </c>
      <c r="H6855" s="49">
        <f t="shared" si="2"/>
        <v>55182</v>
      </c>
    </row>
    <row r="6856">
      <c r="A6856" s="48" t="s">
        <v>918</v>
      </c>
      <c r="B6856" s="38">
        <v>59535.0</v>
      </c>
      <c r="C6856" s="38" t="s">
        <v>10285</v>
      </c>
      <c r="D6856" s="38" t="str">
        <f>IFERROR(__xludf.DUMMYFUNCTION("REGEXREPLACE(C6856,""-\d+(.*)|--\d+(.*)"","""")"),"SAINT-JANS-CAPPEL")</f>
        <v>SAINT-JANS-CAPPEL</v>
      </c>
      <c r="E6856" s="38" t="s">
        <v>85</v>
      </c>
      <c r="F6856" s="38" t="s">
        <v>86</v>
      </c>
      <c r="G6856" s="49" t="str">
        <f t="shared" si="1"/>
        <v>59270</v>
      </c>
      <c r="H6856" s="49">
        <f t="shared" si="2"/>
        <v>59535</v>
      </c>
    </row>
    <row r="6857">
      <c r="A6857" s="48" t="s">
        <v>10286</v>
      </c>
      <c r="B6857" s="38" t="s">
        <v>10287</v>
      </c>
      <c r="C6857" s="38" t="s">
        <v>10288</v>
      </c>
      <c r="D6857" s="38" t="str">
        <f>IFERROR(__xludf.DUMMYFUNCTION("REGEXREPLACE(C6857,""-\d+(.*)|--\d+(.*)"","""")"),"BARBAGGIO")</f>
        <v>BARBAGGIO</v>
      </c>
      <c r="E6857" s="38" t="s">
        <v>743</v>
      </c>
      <c r="F6857" s="38" t="s">
        <v>607</v>
      </c>
      <c r="G6857" s="49" t="str">
        <f t="shared" si="1"/>
        <v>20253</v>
      </c>
      <c r="H6857" s="49" t="str">
        <f t="shared" si="2"/>
        <v>2B029</v>
      </c>
    </row>
    <row r="6858">
      <c r="A6858" s="48" t="s">
        <v>2176</v>
      </c>
      <c r="B6858" s="38">
        <v>62435.0</v>
      </c>
      <c r="C6858" s="38" t="s">
        <v>10289</v>
      </c>
      <c r="D6858" s="38" t="str">
        <f>IFERROR(__xludf.DUMMYFUNCTION("REGEXREPLACE(C6858,""-\d+(.*)|--\d+(.*)"","""")"),"HERLINCOURT")</f>
        <v>HERLINCOURT</v>
      </c>
      <c r="E6858" s="38" t="s">
        <v>109</v>
      </c>
      <c r="F6858" s="38" t="s">
        <v>86</v>
      </c>
      <c r="G6858" s="49" t="str">
        <f t="shared" si="1"/>
        <v>62130</v>
      </c>
      <c r="H6858" s="49">
        <f t="shared" si="2"/>
        <v>62435</v>
      </c>
    </row>
    <row r="6859">
      <c r="A6859" s="48" t="s">
        <v>3723</v>
      </c>
      <c r="B6859" s="38">
        <v>54313.0</v>
      </c>
      <c r="C6859" s="38" t="s">
        <v>10290</v>
      </c>
      <c r="D6859" s="38" t="str">
        <f>IFERROR(__xludf.DUMMYFUNCTION("REGEXREPLACE(C6859,""-\d+(.*)|--\d+(.*)"","""")"),"LETRICOURT")</f>
        <v>LETRICOURT</v>
      </c>
      <c r="E6859" s="38" t="s">
        <v>548</v>
      </c>
      <c r="F6859" s="38" t="s">
        <v>195</v>
      </c>
      <c r="G6859" s="49" t="str">
        <f t="shared" si="1"/>
        <v>54610</v>
      </c>
      <c r="H6859" s="49">
        <f t="shared" si="2"/>
        <v>54313</v>
      </c>
    </row>
    <row r="6860">
      <c r="A6860" s="48" t="s">
        <v>2194</v>
      </c>
      <c r="B6860" s="38">
        <v>38558.0</v>
      </c>
      <c r="C6860" s="38" t="s">
        <v>10291</v>
      </c>
      <c r="D6860" s="38" t="str">
        <f>IFERROR(__xludf.DUMMYFUNCTION("REGEXREPLACE(C6860,""-\d+(.*)|--\d+(.*)"","""")"),"VILLETTE-DE-VIENNE")</f>
        <v>VILLETTE-DE-VIENNE</v>
      </c>
      <c r="E6860" s="38" t="s">
        <v>101</v>
      </c>
      <c r="F6860" s="38" t="s">
        <v>102</v>
      </c>
      <c r="G6860" s="49" t="str">
        <f t="shared" si="1"/>
        <v>38200</v>
      </c>
      <c r="H6860" s="49">
        <f t="shared" si="2"/>
        <v>38558</v>
      </c>
    </row>
    <row r="6861">
      <c r="A6861" s="48" t="s">
        <v>671</v>
      </c>
      <c r="B6861" s="38">
        <v>21547.0</v>
      </c>
      <c r="C6861" s="38" t="s">
        <v>10292</v>
      </c>
      <c r="D6861" s="38" t="str">
        <f>IFERROR(__xludf.DUMMYFUNCTION("REGEXREPLACE(C6861,""-\d+(.*)|--\d+(.*)"","""")"),"SAINT-EUPHRONE")</f>
        <v>SAINT-EUPHRONE</v>
      </c>
      <c r="E6861" s="38" t="s">
        <v>105</v>
      </c>
      <c r="F6861" s="38" t="s">
        <v>106</v>
      </c>
      <c r="G6861" s="49" t="str">
        <f t="shared" si="1"/>
        <v>21140</v>
      </c>
      <c r="H6861" s="49">
        <f t="shared" si="2"/>
        <v>21547</v>
      </c>
    </row>
    <row r="6862">
      <c r="A6862" s="48" t="s">
        <v>9264</v>
      </c>
      <c r="B6862" s="38">
        <v>32119.0</v>
      </c>
      <c r="C6862" s="38" t="s">
        <v>10293</v>
      </c>
      <c r="D6862" s="38" t="str">
        <f>IFERROR(__xludf.DUMMYFUNCTION("REGEXREPLACE(C6862,""-\d+(.*)|--\d+(.*)"","""")"),"EAUZE")</f>
        <v>EAUZE</v>
      </c>
      <c r="E6862" s="38" t="s">
        <v>440</v>
      </c>
      <c r="F6862" s="38" t="s">
        <v>94</v>
      </c>
      <c r="G6862" s="49" t="str">
        <f t="shared" si="1"/>
        <v>32800</v>
      </c>
      <c r="H6862" s="49">
        <f t="shared" si="2"/>
        <v>32119</v>
      </c>
    </row>
    <row r="6863">
      <c r="A6863" s="48" t="s">
        <v>1955</v>
      </c>
      <c r="B6863" s="38">
        <v>40021.0</v>
      </c>
      <c r="C6863" s="38" t="s">
        <v>10294</v>
      </c>
      <c r="D6863" s="38" t="str">
        <f>IFERROR(__xludf.DUMMYFUNCTION("REGEXREPLACE(C6863,""-\d+(.*)|--\d+(.*)"","""")"),"AZUR")</f>
        <v>AZUR</v>
      </c>
      <c r="E6863" s="38" t="s">
        <v>281</v>
      </c>
      <c r="F6863" s="38" t="s">
        <v>252</v>
      </c>
      <c r="G6863" s="49" t="str">
        <f t="shared" si="1"/>
        <v>40140</v>
      </c>
      <c r="H6863" s="49">
        <f t="shared" si="2"/>
        <v>40021</v>
      </c>
    </row>
    <row r="6864">
      <c r="A6864" s="48" t="s">
        <v>8365</v>
      </c>
      <c r="B6864" s="38">
        <v>39350.0</v>
      </c>
      <c r="C6864" s="38" t="s">
        <v>10295</v>
      </c>
      <c r="D6864" s="38" t="str">
        <f>IFERROR(__xludf.DUMMYFUNCTION("REGEXREPLACE(C6864,""-\d+(.*)|--\d+(.*)"","""")"),"MONTBARREY")</f>
        <v>MONTBARREY</v>
      </c>
      <c r="E6864" s="38" t="s">
        <v>400</v>
      </c>
      <c r="F6864" s="38" t="s">
        <v>214</v>
      </c>
      <c r="G6864" s="49" t="str">
        <f t="shared" si="1"/>
        <v>39380</v>
      </c>
      <c r="H6864" s="49">
        <f t="shared" si="2"/>
        <v>39350</v>
      </c>
    </row>
    <row r="6865">
      <c r="A6865" s="48" t="s">
        <v>10296</v>
      </c>
      <c r="B6865" s="38">
        <v>62489.0</v>
      </c>
      <c r="C6865" s="38" t="s">
        <v>10297</v>
      </c>
      <c r="D6865" s="38" t="str">
        <f>IFERROR(__xludf.DUMMYFUNCTION("REGEXREPLACE(C6865,""-\d+(.*)|--\d+(.*)"","""")"),"LAPUGNOY")</f>
        <v>LAPUGNOY</v>
      </c>
      <c r="E6865" s="38" t="s">
        <v>109</v>
      </c>
      <c r="F6865" s="38" t="s">
        <v>86</v>
      </c>
      <c r="G6865" s="49" t="str">
        <f t="shared" si="1"/>
        <v>62122</v>
      </c>
      <c r="H6865" s="49">
        <f t="shared" si="2"/>
        <v>62489</v>
      </c>
    </row>
    <row r="6866">
      <c r="A6866" s="48" t="s">
        <v>7477</v>
      </c>
      <c r="B6866" s="38">
        <v>4099.0</v>
      </c>
      <c r="C6866" s="38" t="s">
        <v>10298</v>
      </c>
      <c r="D6866" s="38" t="str">
        <f>IFERROR(__xludf.DUMMYFUNCTION("REGEXREPLACE(C6866,""-\d+(.*)|--\d+(.*)"","""")"),"LAMBRUISSE")</f>
        <v>LAMBRUISSE</v>
      </c>
      <c r="E6866" s="38" t="s">
        <v>662</v>
      </c>
      <c r="F6866" s="38" t="s">
        <v>228</v>
      </c>
      <c r="G6866" s="49" t="str">
        <f t="shared" si="1"/>
        <v>04170</v>
      </c>
      <c r="H6866" s="49" t="str">
        <f t="shared" si="2"/>
        <v>04099</v>
      </c>
    </row>
    <row r="6867">
      <c r="A6867" s="48" t="s">
        <v>10299</v>
      </c>
      <c r="B6867" s="38">
        <v>67496.0</v>
      </c>
      <c r="C6867" s="38" t="s">
        <v>10300</v>
      </c>
      <c r="D6867" s="38" t="str">
        <f>IFERROR(__xludf.DUMMYFUNCTION("REGEXREPLACE(C6867,""-\d+(.*)|--\d+(.*)"","""")"),"UBERACH")</f>
        <v>UBERACH</v>
      </c>
      <c r="E6867" s="38" t="s">
        <v>210</v>
      </c>
      <c r="F6867" s="38" t="s">
        <v>151</v>
      </c>
      <c r="G6867" s="49" t="str">
        <f t="shared" si="1"/>
        <v>67350</v>
      </c>
      <c r="H6867" s="49">
        <f t="shared" si="2"/>
        <v>67496</v>
      </c>
    </row>
    <row r="6868">
      <c r="A6868" s="48" t="s">
        <v>10301</v>
      </c>
      <c r="B6868" s="38">
        <v>63103.0</v>
      </c>
      <c r="C6868" s="38" t="s">
        <v>10302</v>
      </c>
      <c r="D6868" s="38" t="str">
        <f>IFERROR(__xludf.DUMMYFUNCTION("REGEXREPLACE(C6868,""-\d+(.*)|--\d+(.*)"","""")"),"CHATEL-GUYON")</f>
        <v>CHATEL-GUYON</v>
      </c>
      <c r="E6868" s="38" t="s">
        <v>353</v>
      </c>
      <c r="F6868" s="38" t="s">
        <v>161</v>
      </c>
      <c r="G6868" s="49" t="str">
        <f t="shared" si="1"/>
        <v>63140</v>
      </c>
      <c r="H6868" s="49">
        <f t="shared" si="2"/>
        <v>63103</v>
      </c>
    </row>
    <row r="6869">
      <c r="A6869" s="48" t="s">
        <v>4215</v>
      </c>
      <c r="B6869" s="38">
        <v>27612.0</v>
      </c>
      <c r="C6869" s="38" t="s">
        <v>10303</v>
      </c>
      <c r="D6869" s="38" t="str">
        <f>IFERROR(__xludf.DUMMYFUNCTION("REGEXREPLACE(C6869,""-\d+(.*)|--\d+(.*)"","""")"),"SAINT-VINCENT-DES-BOIS")</f>
        <v>SAINT-VINCENT-DES-BOIS</v>
      </c>
      <c r="E6869" s="38" t="s">
        <v>241</v>
      </c>
      <c r="F6869" s="38" t="s">
        <v>134</v>
      </c>
      <c r="G6869" s="49" t="str">
        <f t="shared" si="1"/>
        <v>27950</v>
      </c>
      <c r="H6869" s="49">
        <f t="shared" si="2"/>
        <v>27612</v>
      </c>
    </row>
    <row r="6870">
      <c r="A6870" s="48" t="s">
        <v>1825</v>
      </c>
      <c r="B6870" s="38">
        <v>64212.0</v>
      </c>
      <c r="C6870" s="38" t="s">
        <v>10304</v>
      </c>
      <c r="D6870" s="38" t="str">
        <f>IFERROR(__xludf.DUMMYFUNCTION("REGEXREPLACE(C6870,""-\d+(.*)|--\d+(.*)"","""")"),"ESPECHEDE")</f>
        <v>ESPECHEDE</v>
      </c>
      <c r="E6870" s="38" t="s">
        <v>268</v>
      </c>
      <c r="F6870" s="38" t="s">
        <v>252</v>
      </c>
      <c r="G6870" s="49" t="str">
        <f t="shared" si="1"/>
        <v>64160</v>
      </c>
      <c r="H6870" s="49">
        <f t="shared" si="2"/>
        <v>64212</v>
      </c>
    </row>
    <row r="6871">
      <c r="A6871" s="48" t="s">
        <v>8137</v>
      </c>
      <c r="B6871" s="38">
        <v>62496.0</v>
      </c>
      <c r="C6871" s="38" t="s">
        <v>10305</v>
      </c>
      <c r="D6871" s="38" t="str">
        <f>IFERROR(__xludf.DUMMYFUNCTION("REGEXREPLACE(C6871,""-\d+(.*)|--\d+(.*)"","""")"),"LEFAUX")</f>
        <v>LEFAUX</v>
      </c>
      <c r="E6871" s="38" t="s">
        <v>109</v>
      </c>
      <c r="F6871" s="38" t="s">
        <v>86</v>
      </c>
      <c r="G6871" s="49" t="str">
        <f t="shared" si="1"/>
        <v>62630</v>
      </c>
      <c r="H6871" s="49">
        <f t="shared" si="2"/>
        <v>62496</v>
      </c>
    </row>
    <row r="6872">
      <c r="A6872" s="48" t="s">
        <v>3681</v>
      </c>
      <c r="B6872" s="38">
        <v>39488.0</v>
      </c>
      <c r="C6872" s="38" t="s">
        <v>10306</v>
      </c>
      <c r="D6872" s="38" t="str">
        <f>IFERROR(__xludf.DUMMYFUNCTION("REGEXREPLACE(C6872,""-\d+(.*)|--\d+(.*)"","""")"),"SAINT-LAURENT-LA-ROCHE")</f>
        <v>SAINT-LAURENT-LA-ROCHE</v>
      </c>
      <c r="E6872" s="38" t="s">
        <v>400</v>
      </c>
      <c r="F6872" s="38" t="s">
        <v>214</v>
      </c>
      <c r="G6872" s="49" t="str">
        <f t="shared" si="1"/>
        <v>39570</v>
      </c>
      <c r="H6872" s="49">
        <f t="shared" si="2"/>
        <v>39488</v>
      </c>
    </row>
    <row r="6873">
      <c r="A6873" s="48" t="s">
        <v>10307</v>
      </c>
      <c r="B6873" s="38">
        <v>35089.0</v>
      </c>
      <c r="C6873" s="38" t="s">
        <v>10308</v>
      </c>
      <c r="D6873" s="38" t="str">
        <f>IFERROR(__xludf.DUMMYFUNCTION("REGEXREPLACE(C6873,""-\d+(.*)|--\d+(.*)"","""")"),"LA COUYERE")</f>
        <v>LA COUYERE</v>
      </c>
      <c r="E6873" s="38" t="s">
        <v>347</v>
      </c>
      <c r="F6873" s="38" t="s">
        <v>90</v>
      </c>
      <c r="G6873" s="49" t="str">
        <f t="shared" si="1"/>
        <v>35320</v>
      </c>
      <c r="H6873" s="49">
        <f t="shared" si="2"/>
        <v>35089</v>
      </c>
    </row>
    <row r="6874">
      <c r="A6874" s="48" t="s">
        <v>10309</v>
      </c>
      <c r="B6874" s="38">
        <v>67482.0</v>
      </c>
      <c r="C6874" s="38" t="s">
        <v>10310</v>
      </c>
      <c r="D6874" s="38" t="str">
        <f>IFERROR(__xludf.DUMMYFUNCTION("REGEXREPLACE(C6874,""-\d+(.*)|--\d+(.*)"","""")"),"STRASBOURG")</f>
        <v>STRASBOURG</v>
      </c>
      <c r="E6874" s="38" t="s">
        <v>210</v>
      </c>
      <c r="F6874" s="38" t="s">
        <v>151</v>
      </c>
      <c r="G6874" s="49" t="str">
        <f t="shared" si="1"/>
        <v>67000/67100/67200</v>
      </c>
      <c r="H6874" s="49">
        <f t="shared" si="2"/>
        <v>67482</v>
      </c>
    </row>
    <row r="6875">
      <c r="A6875" s="48" t="s">
        <v>3100</v>
      </c>
      <c r="B6875" s="38">
        <v>7208.0</v>
      </c>
      <c r="C6875" s="38" t="s">
        <v>10311</v>
      </c>
      <c r="D6875" s="38" t="str">
        <f>IFERROR(__xludf.DUMMYFUNCTION("REGEXREPLACE(C6875,""-\d+(.*)|--\d+(.*)"","""")"),"SAINT-ANDEOL-DE-BERG")</f>
        <v>SAINT-ANDEOL-DE-BERG</v>
      </c>
      <c r="E6875" s="38" t="s">
        <v>144</v>
      </c>
      <c r="F6875" s="38" t="s">
        <v>102</v>
      </c>
      <c r="G6875" s="49" t="str">
        <f t="shared" si="1"/>
        <v>07170</v>
      </c>
      <c r="H6875" s="49" t="str">
        <f t="shared" si="2"/>
        <v>07208</v>
      </c>
    </row>
    <row r="6876">
      <c r="A6876" s="48" t="s">
        <v>10312</v>
      </c>
      <c r="B6876" s="38">
        <v>32085.0</v>
      </c>
      <c r="C6876" s="38" t="s">
        <v>10313</v>
      </c>
      <c r="D6876" s="38" t="str">
        <f>IFERROR(__xludf.DUMMYFUNCTION("REGEXREPLACE(C6876,""-\d+(.*)|--\d+(.*)"","""")"),"CASTET-ARROUY")</f>
        <v>CASTET-ARROUY</v>
      </c>
      <c r="E6876" s="38" t="s">
        <v>440</v>
      </c>
      <c r="F6876" s="38" t="s">
        <v>94</v>
      </c>
      <c r="G6876" s="49" t="str">
        <f t="shared" si="1"/>
        <v>32340</v>
      </c>
      <c r="H6876" s="49">
        <f t="shared" si="2"/>
        <v>32085</v>
      </c>
    </row>
    <row r="6877">
      <c r="A6877" s="48" t="s">
        <v>2534</v>
      </c>
      <c r="B6877" s="38">
        <v>27654.0</v>
      </c>
      <c r="C6877" s="38" t="s">
        <v>10314</v>
      </c>
      <c r="D6877" s="38" t="str">
        <f>IFERROR(__xludf.DUMMYFUNCTION("REGEXREPLACE(C6877,""-\d+(.*)|--\d+(.*)"","""")"),"TOURVILLE-LA-CAMPAGNE")</f>
        <v>TOURVILLE-LA-CAMPAGNE</v>
      </c>
      <c r="E6877" s="38" t="s">
        <v>241</v>
      </c>
      <c r="F6877" s="38" t="s">
        <v>134</v>
      </c>
      <c r="G6877" s="49" t="str">
        <f t="shared" si="1"/>
        <v>27370</v>
      </c>
      <c r="H6877" s="49">
        <f t="shared" si="2"/>
        <v>27654</v>
      </c>
    </row>
    <row r="6878">
      <c r="A6878" s="48" t="s">
        <v>4196</v>
      </c>
      <c r="B6878" s="38">
        <v>8191.0</v>
      </c>
      <c r="C6878" s="38" t="s">
        <v>10315</v>
      </c>
      <c r="D6878" s="38" t="str">
        <f>IFERROR(__xludf.DUMMYFUNCTION("REGEXREPLACE(C6878,""-\d+(.*)|--\d+(.*)"","""")"),"GIVONNE")</f>
        <v>GIVONNE</v>
      </c>
      <c r="E6878" s="38" t="s">
        <v>327</v>
      </c>
      <c r="F6878" s="38" t="s">
        <v>130</v>
      </c>
      <c r="G6878" s="49" t="str">
        <f t="shared" si="1"/>
        <v>08200</v>
      </c>
      <c r="H6878" s="49" t="str">
        <f t="shared" si="2"/>
        <v>08191</v>
      </c>
    </row>
    <row r="6879">
      <c r="A6879" s="48" t="s">
        <v>3400</v>
      </c>
      <c r="B6879" s="38">
        <v>89084.0</v>
      </c>
      <c r="C6879" s="38" t="s">
        <v>10316</v>
      </c>
      <c r="D6879" s="38" t="str">
        <f>IFERROR(__xludf.DUMMYFUNCTION("REGEXREPLACE(C6879,""-\d+(.*)|--\d+(.*)"","""")"),"CHARENTENAY")</f>
        <v>CHARENTENAY</v>
      </c>
      <c r="E6879" s="38" t="s">
        <v>275</v>
      </c>
      <c r="F6879" s="38" t="s">
        <v>106</v>
      </c>
      <c r="G6879" s="49" t="str">
        <f t="shared" si="1"/>
        <v>89580</v>
      </c>
      <c r="H6879" s="49">
        <f t="shared" si="2"/>
        <v>89084</v>
      </c>
    </row>
    <row r="6880">
      <c r="A6880" s="48" t="s">
        <v>4682</v>
      </c>
      <c r="B6880" s="38">
        <v>50387.0</v>
      </c>
      <c r="C6880" s="38" t="s">
        <v>10317</v>
      </c>
      <c r="D6880" s="38" t="str">
        <f>IFERROR(__xludf.DUMMYFUNCTION("REGEXREPLACE(C6880,""-\d+(.*)|--\d+(.*)"","""")"),"ORGLANDES")</f>
        <v>ORGLANDES</v>
      </c>
      <c r="E6880" s="38" t="s">
        <v>157</v>
      </c>
      <c r="F6880" s="38" t="s">
        <v>138</v>
      </c>
      <c r="G6880" s="49" t="str">
        <f t="shared" si="1"/>
        <v>50390</v>
      </c>
      <c r="H6880" s="49">
        <f t="shared" si="2"/>
        <v>50387</v>
      </c>
    </row>
    <row r="6881">
      <c r="A6881" s="48" t="s">
        <v>456</v>
      </c>
      <c r="B6881" s="38">
        <v>63411.0</v>
      </c>
      <c r="C6881" s="38" t="s">
        <v>10318</v>
      </c>
      <c r="D6881" s="38" t="str">
        <f>IFERROR(__xludf.DUMMYFUNCTION("REGEXREPLACE(C6881,""-\d+(.*)|--\d+(.*)"","""")"),"SAUVAGNAT-SAINTE-MARTHE")</f>
        <v>SAUVAGNAT-SAINTE-MARTHE</v>
      </c>
      <c r="E6881" s="38" t="s">
        <v>353</v>
      </c>
      <c r="F6881" s="38" t="s">
        <v>161</v>
      </c>
      <c r="G6881" s="49" t="str">
        <f t="shared" si="1"/>
        <v>63500</v>
      </c>
      <c r="H6881" s="49">
        <f t="shared" si="2"/>
        <v>63411</v>
      </c>
    </row>
    <row r="6882">
      <c r="A6882" s="48" t="s">
        <v>983</v>
      </c>
      <c r="B6882" s="38">
        <v>52181.0</v>
      </c>
      <c r="C6882" s="38" t="s">
        <v>10319</v>
      </c>
      <c r="D6882" s="38" t="str">
        <f>IFERROR(__xludf.DUMMYFUNCTION("REGEXREPLACE(C6882,""-\d+(.*)|--\d+(.*)"","""")"),"ECHENAY")</f>
        <v>ECHENAY</v>
      </c>
      <c r="E6882" s="38" t="s">
        <v>234</v>
      </c>
      <c r="F6882" s="38" t="s">
        <v>130</v>
      </c>
      <c r="G6882" s="49" t="str">
        <f t="shared" si="1"/>
        <v>52230</v>
      </c>
      <c r="H6882" s="49">
        <f t="shared" si="2"/>
        <v>52181</v>
      </c>
    </row>
    <row r="6883">
      <c r="A6883" s="48" t="s">
        <v>7239</v>
      </c>
      <c r="B6883" s="38">
        <v>24507.0</v>
      </c>
      <c r="C6883" s="38" t="s">
        <v>10320</v>
      </c>
      <c r="D6883" s="38" t="str">
        <f>IFERROR(__xludf.DUMMYFUNCTION("REGEXREPLACE(C6883,""-\d+(.*)|--\d+(.*)"","""")"),"SAINTE-TRIE")</f>
        <v>SAINTE-TRIE</v>
      </c>
      <c r="E6883" s="38" t="s">
        <v>261</v>
      </c>
      <c r="F6883" s="38" t="s">
        <v>252</v>
      </c>
      <c r="G6883" s="49" t="str">
        <f t="shared" si="1"/>
        <v>24160</v>
      </c>
      <c r="H6883" s="49">
        <f t="shared" si="2"/>
        <v>24507</v>
      </c>
    </row>
    <row r="6884">
      <c r="A6884" s="48" t="s">
        <v>10321</v>
      </c>
      <c r="B6884" s="38">
        <v>56207.0</v>
      </c>
      <c r="C6884" s="38" t="s">
        <v>10322</v>
      </c>
      <c r="D6884" s="38" t="str">
        <f>IFERROR(__xludf.DUMMYFUNCTION("REGEXREPLACE(C6884,""-\d+(.*)|--\d+(.*)"","""")"),"SAINT-BARTHELEMY")</f>
        <v>SAINT-BARTHELEMY</v>
      </c>
      <c r="E6884" s="38" t="s">
        <v>173</v>
      </c>
      <c r="F6884" s="38" t="s">
        <v>90</v>
      </c>
      <c r="G6884" s="49" t="str">
        <f t="shared" si="1"/>
        <v>56150</v>
      </c>
      <c r="H6884" s="49">
        <f t="shared" si="2"/>
        <v>56207</v>
      </c>
    </row>
    <row r="6885">
      <c r="A6885" s="48" t="s">
        <v>4722</v>
      </c>
      <c r="B6885" s="38">
        <v>81046.0</v>
      </c>
      <c r="C6885" s="38" t="s">
        <v>10323</v>
      </c>
      <c r="D6885" s="38" t="str">
        <f>IFERROR(__xludf.DUMMYFUNCTION("REGEXREPLACE(C6885,""-\d+(.*)|--\d+(.*)"","""")"),"CADALEN")</f>
        <v>CADALEN</v>
      </c>
      <c r="E6885" s="38" t="s">
        <v>231</v>
      </c>
      <c r="F6885" s="38" t="s">
        <v>94</v>
      </c>
      <c r="G6885" s="49" t="str">
        <f t="shared" si="1"/>
        <v>81600</v>
      </c>
      <c r="H6885" s="49">
        <f t="shared" si="2"/>
        <v>81046</v>
      </c>
    </row>
    <row r="6886">
      <c r="A6886" s="48" t="s">
        <v>10324</v>
      </c>
      <c r="B6886" s="38">
        <v>54185.0</v>
      </c>
      <c r="C6886" s="38" t="s">
        <v>10325</v>
      </c>
      <c r="D6886" s="38" t="str">
        <f>IFERROR(__xludf.DUMMYFUNCTION("REGEXREPLACE(C6886,""-\d+(.*)|--\d+(.*)"","""")"),"ETREVAL")</f>
        <v>ETREVAL</v>
      </c>
      <c r="E6886" s="38" t="s">
        <v>548</v>
      </c>
      <c r="F6886" s="38" t="s">
        <v>195</v>
      </c>
      <c r="G6886" s="49" t="str">
        <f t="shared" si="1"/>
        <v>54330</v>
      </c>
      <c r="H6886" s="49">
        <f t="shared" si="2"/>
        <v>54185</v>
      </c>
    </row>
    <row r="6887">
      <c r="A6887" s="48" t="s">
        <v>1669</v>
      </c>
      <c r="B6887" s="38">
        <v>21167.0</v>
      </c>
      <c r="C6887" s="38" t="s">
        <v>10326</v>
      </c>
      <c r="D6887" s="38" t="str">
        <f>IFERROR(__xludf.DUMMYFUNCTION("REGEXREPLACE(C6887,""-\d+(.*)|--\d+(.*)"","""")"),"CHEUGE")</f>
        <v>CHEUGE</v>
      </c>
      <c r="E6887" s="38" t="s">
        <v>105</v>
      </c>
      <c r="F6887" s="38" t="s">
        <v>106</v>
      </c>
      <c r="G6887" s="49" t="str">
        <f t="shared" si="1"/>
        <v>21310</v>
      </c>
      <c r="H6887" s="49">
        <f t="shared" si="2"/>
        <v>21167</v>
      </c>
    </row>
    <row r="6888">
      <c r="A6888" s="48" t="s">
        <v>10327</v>
      </c>
      <c r="B6888" s="38">
        <v>57634.0</v>
      </c>
      <c r="C6888" s="38" t="s">
        <v>10328</v>
      </c>
      <c r="D6888" s="38" t="str">
        <f>IFERROR(__xludf.DUMMYFUNCTION("REGEXREPLACE(C6888,""-\d+(.*)|--\d+(.*)"","""")"),"SAULNY")</f>
        <v>SAULNY</v>
      </c>
      <c r="E6888" s="38" t="s">
        <v>303</v>
      </c>
      <c r="F6888" s="38" t="s">
        <v>195</v>
      </c>
      <c r="G6888" s="49" t="str">
        <f t="shared" si="1"/>
        <v>57140</v>
      </c>
      <c r="H6888" s="49">
        <f t="shared" si="2"/>
        <v>57634</v>
      </c>
    </row>
    <row r="6889">
      <c r="A6889" s="48" t="s">
        <v>1628</v>
      </c>
      <c r="B6889" s="38">
        <v>70144.0</v>
      </c>
      <c r="C6889" s="38" t="s">
        <v>10329</v>
      </c>
      <c r="D6889" s="38" t="str">
        <f>IFERROR(__xludf.DUMMYFUNCTION("REGEXREPLACE(C6889,""-\d+(.*)|--\d+(.*)"","""")"),"CHAUVIREY-LE-VIEIL")</f>
        <v>CHAUVIREY-LE-VIEIL</v>
      </c>
      <c r="E6889" s="38" t="s">
        <v>956</v>
      </c>
      <c r="F6889" s="38" t="s">
        <v>214</v>
      </c>
      <c r="G6889" s="49" t="str">
        <f t="shared" si="1"/>
        <v>70500</v>
      </c>
      <c r="H6889" s="49">
        <f t="shared" si="2"/>
        <v>70144</v>
      </c>
    </row>
    <row r="6890">
      <c r="A6890" s="48" t="s">
        <v>7514</v>
      </c>
      <c r="B6890" s="38">
        <v>88440.0</v>
      </c>
      <c r="C6890" s="38" t="s">
        <v>10330</v>
      </c>
      <c r="D6890" s="38" t="str">
        <f>IFERROR(__xludf.DUMMYFUNCTION("REGEXREPLACE(C6890,""-\d+(.*)|--\d+(.*)"","""")"),"SANDAUCOURT")</f>
        <v>SANDAUCOURT</v>
      </c>
      <c r="E6890" s="38" t="s">
        <v>194</v>
      </c>
      <c r="F6890" s="38" t="s">
        <v>195</v>
      </c>
      <c r="G6890" s="49" t="str">
        <f t="shared" si="1"/>
        <v>88170</v>
      </c>
      <c r="H6890" s="49">
        <f t="shared" si="2"/>
        <v>88440</v>
      </c>
    </row>
    <row r="6891">
      <c r="A6891" s="48" t="s">
        <v>651</v>
      </c>
      <c r="B6891" s="38">
        <v>49125.0</v>
      </c>
      <c r="C6891" s="38" t="s">
        <v>10331</v>
      </c>
      <c r="D6891" s="38" t="str">
        <f>IFERROR(__xludf.DUMMYFUNCTION("REGEXREPLACE(C6891,""-\d+(.*)|--\d+(.*)"","""")"),"DOUE-LA-FONTAINE")</f>
        <v>DOUE-LA-FONTAINE</v>
      </c>
      <c r="E6891" s="38" t="s">
        <v>653</v>
      </c>
      <c r="F6891" s="38" t="s">
        <v>180</v>
      </c>
      <c r="G6891" s="49" t="str">
        <f t="shared" si="1"/>
        <v>49700</v>
      </c>
      <c r="H6891" s="49">
        <f t="shared" si="2"/>
        <v>49125</v>
      </c>
    </row>
    <row r="6892">
      <c r="A6892" s="48" t="s">
        <v>3778</v>
      </c>
      <c r="B6892" s="38">
        <v>62320.0</v>
      </c>
      <c r="C6892" s="38" t="s">
        <v>10332</v>
      </c>
      <c r="D6892" s="38" t="str">
        <f>IFERROR(__xludf.DUMMYFUNCTION("REGEXREPLACE(C6892,""-\d+(.*)|--\d+(.*)"","""")"),"ETRUN")</f>
        <v>ETRUN</v>
      </c>
      <c r="E6892" s="38" t="s">
        <v>109</v>
      </c>
      <c r="F6892" s="38" t="s">
        <v>86</v>
      </c>
      <c r="G6892" s="49" t="str">
        <f t="shared" si="1"/>
        <v>62161</v>
      </c>
      <c r="H6892" s="49">
        <f t="shared" si="2"/>
        <v>62320</v>
      </c>
    </row>
    <row r="6893">
      <c r="A6893" s="48" t="s">
        <v>2141</v>
      </c>
      <c r="B6893" s="38">
        <v>80582.0</v>
      </c>
      <c r="C6893" s="38" t="s">
        <v>10333</v>
      </c>
      <c r="D6893" s="38" t="str">
        <f>IFERROR(__xludf.DUMMYFUNCTION("REGEXREPLACE(C6893,""-\d+(.*)|--\d+(.*)"","""")"),"NAMPS-MAISNIL")</f>
        <v>NAMPS-MAISNIL</v>
      </c>
      <c r="E6893" s="38" t="s">
        <v>224</v>
      </c>
      <c r="F6893" s="38" t="s">
        <v>113</v>
      </c>
      <c r="G6893" s="49" t="str">
        <f t="shared" si="1"/>
        <v>80290</v>
      </c>
      <c r="H6893" s="49">
        <f t="shared" si="2"/>
        <v>80582</v>
      </c>
    </row>
    <row r="6894">
      <c r="A6894" s="48" t="s">
        <v>10334</v>
      </c>
      <c r="B6894" s="38">
        <v>68007.0</v>
      </c>
      <c r="C6894" s="38" t="s">
        <v>10335</v>
      </c>
      <c r="D6894" s="38" t="str">
        <f>IFERROR(__xludf.DUMMYFUNCTION("REGEXREPLACE(C6894,""-\d+(.*)|--\d+(.*)"","""")"),"ANDOLSHEIM")</f>
        <v>ANDOLSHEIM</v>
      </c>
      <c r="E6894" s="38" t="s">
        <v>150</v>
      </c>
      <c r="F6894" s="38" t="s">
        <v>151</v>
      </c>
      <c r="G6894" s="49" t="str">
        <f t="shared" si="1"/>
        <v>68280</v>
      </c>
      <c r="H6894" s="49">
        <f t="shared" si="2"/>
        <v>68007</v>
      </c>
    </row>
    <row r="6895">
      <c r="A6895" s="48" t="s">
        <v>6419</v>
      </c>
      <c r="B6895" s="38">
        <v>54591.0</v>
      </c>
      <c r="C6895" s="38" t="s">
        <v>10336</v>
      </c>
      <c r="D6895" s="38" t="str">
        <f>IFERROR(__xludf.DUMMYFUNCTION("REGEXREPLACE(C6895,""-\d+(.*)|--\d+(.*)"","""")"),"VOINEMONT")</f>
        <v>VOINEMONT</v>
      </c>
      <c r="E6895" s="38" t="s">
        <v>548</v>
      </c>
      <c r="F6895" s="38" t="s">
        <v>195</v>
      </c>
      <c r="G6895" s="49" t="str">
        <f t="shared" si="1"/>
        <v>54134</v>
      </c>
      <c r="H6895" s="49">
        <f t="shared" si="2"/>
        <v>54591</v>
      </c>
    </row>
    <row r="6896">
      <c r="A6896" s="48" t="s">
        <v>10337</v>
      </c>
      <c r="B6896" s="38">
        <v>10035.0</v>
      </c>
      <c r="C6896" s="38" t="s">
        <v>10338</v>
      </c>
      <c r="D6896" s="38" t="str">
        <f>IFERROR(__xludf.DUMMYFUNCTION("REGEXREPLACE(C6896,""-\d+(.*)|--\d+(.*)"","""")"),"BAYEL")</f>
        <v>BAYEL</v>
      </c>
      <c r="E6896" s="38" t="s">
        <v>147</v>
      </c>
      <c r="F6896" s="38" t="s">
        <v>130</v>
      </c>
      <c r="G6896" s="49" t="str">
        <f t="shared" si="1"/>
        <v>10310</v>
      </c>
      <c r="H6896" s="49">
        <f t="shared" si="2"/>
        <v>10035</v>
      </c>
    </row>
    <row r="6897">
      <c r="A6897" s="48" t="s">
        <v>7581</v>
      </c>
      <c r="B6897" s="38">
        <v>95058.0</v>
      </c>
      <c r="C6897" s="38" t="s">
        <v>10339</v>
      </c>
      <c r="D6897" s="38" t="str">
        <f>IFERROR(__xludf.DUMMYFUNCTION("REGEXREPLACE(C6897,""-\d+(.*)|--\d+(.*)"","""")"),"BERNES-SUR-OISE")</f>
        <v>BERNES-SUR-OISE</v>
      </c>
      <c r="E6897" s="38" t="s">
        <v>541</v>
      </c>
      <c r="F6897" s="38" t="s">
        <v>245</v>
      </c>
      <c r="G6897" s="49" t="str">
        <f t="shared" si="1"/>
        <v>95340</v>
      </c>
      <c r="H6897" s="49">
        <f t="shared" si="2"/>
        <v>95058</v>
      </c>
    </row>
    <row r="6898">
      <c r="A6898" s="48" t="s">
        <v>6350</v>
      </c>
      <c r="B6898" s="38">
        <v>6041.0</v>
      </c>
      <c r="C6898" s="38" t="s">
        <v>10340</v>
      </c>
      <c r="D6898" s="38" t="str">
        <f>IFERROR(__xludf.DUMMYFUNCTION("REGEXREPLACE(C6898,""-\d+(.*)|--\d+(.*)"","""")"),"CIPIERES")</f>
        <v>CIPIERES</v>
      </c>
      <c r="E6898" s="38" t="s">
        <v>227</v>
      </c>
      <c r="F6898" s="38" t="s">
        <v>228</v>
      </c>
      <c r="G6898" s="49" t="str">
        <f t="shared" si="1"/>
        <v>06620</v>
      </c>
      <c r="H6898" s="49" t="str">
        <f t="shared" si="2"/>
        <v>06041</v>
      </c>
    </row>
    <row r="6899">
      <c r="A6899" s="48" t="s">
        <v>2661</v>
      </c>
      <c r="B6899" s="38">
        <v>50348.0</v>
      </c>
      <c r="C6899" s="38" t="s">
        <v>10341</v>
      </c>
      <c r="D6899" s="38" t="str">
        <f>IFERROR(__xludf.DUMMYFUNCTION("REGEXREPLACE(C6899,""-\d+(.*)|--\d+(.*)"","""")"),"MONTMARTIN-EN-GRAIGNES")</f>
        <v>MONTMARTIN-EN-GRAIGNES</v>
      </c>
      <c r="E6899" s="38" t="s">
        <v>157</v>
      </c>
      <c r="F6899" s="38" t="s">
        <v>138</v>
      </c>
      <c r="G6899" s="49" t="str">
        <f t="shared" si="1"/>
        <v>50620</v>
      </c>
      <c r="H6899" s="49">
        <f t="shared" si="2"/>
        <v>50348</v>
      </c>
    </row>
    <row r="6900">
      <c r="A6900" s="48" t="s">
        <v>10342</v>
      </c>
      <c r="B6900" s="38">
        <v>12008.0</v>
      </c>
      <c r="C6900" s="38" t="s">
        <v>10343</v>
      </c>
      <c r="D6900" s="38" t="str">
        <f>IFERROR(__xludf.DUMMYFUNCTION("REGEXREPLACE(C6900,""-\d+(.*)|--\d+(.*)"","""")"),"ANGLARS-SAINT-FELIX")</f>
        <v>ANGLARS-SAINT-FELIX</v>
      </c>
      <c r="E6900" s="38" t="s">
        <v>465</v>
      </c>
      <c r="F6900" s="38" t="s">
        <v>94</v>
      </c>
      <c r="G6900" s="49" t="str">
        <f t="shared" si="1"/>
        <v>12390</v>
      </c>
      <c r="H6900" s="49">
        <f t="shared" si="2"/>
        <v>12008</v>
      </c>
    </row>
    <row r="6901">
      <c r="A6901" s="48" t="s">
        <v>2563</v>
      </c>
      <c r="B6901" s="38">
        <v>76120.0</v>
      </c>
      <c r="C6901" s="38" t="s">
        <v>10344</v>
      </c>
      <c r="D6901" s="38" t="str">
        <f>IFERROR(__xludf.DUMMYFUNCTION("REGEXREPLACE(C6901,""-\d+(.*)|--\d+(.*)"","""")"),"BOSC-BORDEL")</f>
        <v>BOSC-BORDEL</v>
      </c>
      <c r="E6901" s="38" t="s">
        <v>133</v>
      </c>
      <c r="F6901" s="38" t="s">
        <v>134</v>
      </c>
      <c r="G6901" s="49" t="str">
        <f t="shared" si="1"/>
        <v>76750</v>
      </c>
      <c r="H6901" s="49">
        <f t="shared" si="2"/>
        <v>76120</v>
      </c>
    </row>
    <row r="6902">
      <c r="A6902" s="48" t="s">
        <v>6271</v>
      </c>
      <c r="B6902" s="38">
        <v>66088.0</v>
      </c>
      <c r="C6902" s="38" t="s">
        <v>10345</v>
      </c>
      <c r="D6902" s="38" t="str">
        <f>IFERROR(__xludf.DUMMYFUNCTION("REGEXREPLACE(C6902,""-\d+(.*)|--\d+(.*)"","""")"),"ILLE-SUR-TET")</f>
        <v>ILLE-SUR-TET</v>
      </c>
      <c r="E6902" s="38" t="s">
        <v>248</v>
      </c>
      <c r="F6902" s="38" t="s">
        <v>119</v>
      </c>
      <c r="G6902" s="49" t="str">
        <f t="shared" si="1"/>
        <v>66130</v>
      </c>
      <c r="H6902" s="49">
        <f t="shared" si="2"/>
        <v>66088</v>
      </c>
    </row>
    <row r="6903">
      <c r="A6903" s="48" t="s">
        <v>10346</v>
      </c>
      <c r="B6903" s="38">
        <v>59001.0</v>
      </c>
      <c r="C6903" s="38" t="s">
        <v>10347</v>
      </c>
      <c r="D6903" s="38" t="str">
        <f>IFERROR(__xludf.DUMMYFUNCTION("REGEXREPLACE(C6903,""-\d+(.*)|--\d+(.*)"","""")"),"ABANCOURT")</f>
        <v>ABANCOURT</v>
      </c>
      <c r="E6903" s="38" t="s">
        <v>85</v>
      </c>
      <c r="F6903" s="38" t="s">
        <v>86</v>
      </c>
      <c r="G6903" s="49" t="str">
        <f t="shared" si="1"/>
        <v>59268</v>
      </c>
      <c r="H6903" s="49">
        <f t="shared" si="2"/>
        <v>59001</v>
      </c>
    </row>
    <row r="6904">
      <c r="A6904" s="48" t="s">
        <v>10348</v>
      </c>
      <c r="B6904" s="38">
        <v>61475.0</v>
      </c>
      <c r="C6904" s="38" t="s">
        <v>10349</v>
      </c>
      <c r="D6904" s="38" t="str">
        <f>IFERROR(__xludf.DUMMYFUNCTION("REGEXREPLACE(C6904,""-\d+(.*)|--\d+(.*)"","""")"),"SOLIGNY-LA-TRAPPE")</f>
        <v>SOLIGNY-LA-TRAPPE</v>
      </c>
      <c r="E6904" s="38" t="s">
        <v>141</v>
      </c>
      <c r="F6904" s="38" t="s">
        <v>138</v>
      </c>
      <c r="G6904" s="49" t="str">
        <f t="shared" si="1"/>
        <v>61380</v>
      </c>
      <c r="H6904" s="49">
        <f t="shared" si="2"/>
        <v>61475</v>
      </c>
    </row>
    <row r="6905">
      <c r="A6905" s="48" t="s">
        <v>6875</v>
      </c>
      <c r="B6905" s="38">
        <v>2265.0</v>
      </c>
      <c r="C6905" s="38" t="s">
        <v>10350</v>
      </c>
      <c r="D6905" s="38" t="str">
        <f>IFERROR(__xludf.DUMMYFUNCTION("REGEXREPLACE(C6905,""-\d+(.*)|--\d+(.*)"","""")"),"DOHIS")</f>
        <v>DOHIS</v>
      </c>
      <c r="E6905" s="38" t="s">
        <v>191</v>
      </c>
      <c r="F6905" s="38" t="s">
        <v>113</v>
      </c>
      <c r="G6905" s="49" t="str">
        <f t="shared" si="1"/>
        <v>02360</v>
      </c>
      <c r="H6905" s="49" t="str">
        <f t="shared" si="2"/>
        <v>02265</v>
      </c>
    </row>
    <row r="6906">
      <c r="A6906" s="48" t="s">
        <v>3804</v>
      </c>
      <c r="B6906" s="38">
        <v>80644.0</v>
      </c>
      <c r="C6906" s="38" t="s">
        <v>10351</v>
      </c>
      <c r="D6906" s="38" t="str">
        <f>IFERROR(__xludf.DUMMYFUNCTION("REGEXREPLACE(C6906,""-\d+(.*)|--\d+(.*)"","""")"),"PROYART")</f>
        <v>PROYART</v>
      </c>
      <c r="E6906" s="38" t="s">
        <v>224</v>
      </c>
      <c r="F6906" s="38" t="s">
        <v>113</v>
      </c>
      <c r="G6906" s="49" t="str">
        <f t="shared" si="1"/>
        <v>80340</v>
      </c>
      <c r="H6906" s="49">
        <f t="shared" si="2"/>
        <v>80644</v>
      </c>
    </row>
    <row r="6907">
      <c r="A6907" s="48" t="s">
        <v>1861</v>
      </c>
      <c r="B6907" s="38">
        <v>46224.0</v>
      </c>
      <c r="C6907" s="38" t="s">
        <v>10352</v>
      </c>
      <c r="D6907" s="38" t="str">
        <f>IFERROR(__xludf.DUMMYFUNCTION("REGEXREPLACE(C6907,""-\d+(.*)|--\d+(.*)"","""")"),"PRADINES")</f>
        <v>PRADINES</v>
      </c>
      <c r="E6907" s="38" t="s">
        <v>185</v>
      </c>
      <c r="F6907" s="38" t="s">
        <v>94</v>
      </c>
      <c r="G6907" s="49" t="str">
        <f t="shared" si="1"/>
        <v>46090</v>
      </c>
      <c r="H6907" s="49">
        <f t="shared" si="2"/>
        <v>46224</v>
      </c>
    </row>
    <row r="6908">
      <c r="A6908" s="48" t="s">
        <v>10353</v>
      </c>
      <c r="B6908" s="38">
        <v>44128.0</v>
      </c>
      <c r="C6908" s="38" t="s">
        <v>10354</v>
      </c>
      <c r="D6908" s="38" t="str">
        <f>IFERROR(__xludf.DUMMYFUNCTION("REGEXREPLACE(C6908,""-\d+(.*)|--\d+(.*)"","""")"),"PLESSE")</f>
        <v>PLESSE</v>
      </c>
      <c r="E6908" s="38" t="s">
        <v>759</v>
      </c>
      <c r="F6908" s="38" t="s">
        <v>180</v>
      </c>
      <c r="G6908" s="49" t="str">
        <f t="shared" si="1"/>
        <v>44630</v>
      </c>
      <c r="H6908" s="49">
        <f t="shared" si="2"/>
        <v>44128</v>
      </c>
    </row>
    <row r="6909">
      <c r="A6909" s="48" t="s">
        <v>3137</v>
      </c>
      <c r="B6909" s="38">
        <v>67239.0</v>
      </c>
      <c r="C6909" s="38" t="s">
        <v>10355</v>
      </c>
      <c r="D6909" s="38" t="str">
        <f>IFERROR(__xludf.DUMMYFUNCTION("REGEXREPLACE(C6909,""-\d+(.*)|--\d+(.*)"","""")"),"KINTZHEIM")</f>
        <v>KINTZHEIM</v>
      </c>
      <c r="E6909" s="38" t="s">
        <v>210</v>
      </c>
      <c r="F6909" s="38" t="s">
        <v>151</v>
      </c>
      <c r="G6909" s="49" t="str">
        <f t="shared" si="1"/>
        <v>67600</v>
      </c>
      <c r="H6909" s="49">
        <f t="shared" si="2"/>
        <v>67239</v>
      </c>
    </row>
    <row r="6910">
      <c r="A6910" s="48" t="s">
        <v>1641</v>
      </c>
      <c r="B6910" s="38">
        <v>18195.0</v>
      </c>
      <c r="C6910" s="38" t="s">
        <v>10356</v>
      </c>
      <c r="D6910" s="38" t="str">
        <f>IFERROR(__xludf.DUMMYFUNCTION("REGEXREPLACE(C6910,""-\d+(.*)|--\d+(.*)"","""")"),"SAGONNE")</f>
        <v>SAGONNE</v>
      </c>
      <c r="E6910" s="38" t="s">
        <v>504</v>
      </c>
      <c r="F6910" s="38" t="s">
        <v>123</v>
      </c>
      <c r="G6910" s="49" t="str">
        <f t="shared" si="1"/>
        <v>18600</v>
      </c>
      <c r="H6910" s="49">
        <f t="shared" si="2"/>
        <v>18195</v>
      </c>
    </row>
    <row r="6911">
      <c r="A6911" s="48" t="s">
        <v>507</v>
      </c>
      <c r="B6911" s="38">
        <v>8123.0</v>
      </c>
      <c r="C6911" s="38" t="s">
        <v>10357</v>
      </c>
      <c r="D6911" s="38" t="str">
        <f>IFERROR(__xludf.DUMMYFUNCTION("REGEXREPLACE(C6911,""-\d+(.*)|--\d+(.*)"","""")"),"CHUFFILLY-ROCHE")</f>
        <v>CHUFFILLY-ROCHE</v>
      </c>
      <c r="E6911" s="38" t="s">
        <v>327</v>
      </c>
      <c r="F6911" s="38" t="s">
        <v>130</v>
      </c>
      <c r="G6911" s="49" t="str">
        <f t="shared" si="1"/>
        <v>08130</v>
      </c>
      <c r="H6911" s="49" t="str">
        <f t="shared" si="2"/>
        <v>08123</v>
      </c>
    </row>
    <row r="6912">
      <c r="A6912" s="48" t="s">
        <v>1336</v>
      </c>
      <c r="B6912" s="38">
        <v>33272.0</v>
      </c>
      <c r="C6912" s="38" t="s">
        <v>6362</v>
      </c>
      <c r="D6912" s="38" t="str">
        <f>IFERROR(__xludf.DUMMYFUNCTION("REGEXREPLACE(C6912,""-\d+(.*)|--\d+(.*)"","""")"),"MARSAS")</f>
        <v>MARSAS</v>
      </c>
      <c r="E6912" s="38" t="s">
        <v>462</v>
      </c>
      <c r="F6912" s="38" t="s">
        <v>252</v>
      </c>
      <c r="G6912" s="49" t="str">
        <f t="shared" si="1"/>
        <v>33620</v>
      </c>
      <c r="H6912" s="49">
        <f t="shared" si="2"/>
        <v>33272</v>
      </c>
    </row>
    <row r="6913">
      <c r="A6913" s="48" t="s">
        <v>10358</v>
      </c>
      <c r="B6913" s="38">
        <v>42238.0</v>
      </c>
      <c r="C6913" s="38" t="s">
        <v>10359</v>
      </c>
      <c r="D6913" s="38" t="str">
        <f>IFERROR(__xludf.DUMMYFUNCTION("REGEXREPLACE(C6913,""-\d+(.*)|--\d+(.*)"","""")"),"SAINT-JEAN-LA-VETRE")</f>
        <v>SAINT-JEAN-LA-VETRE</v>
      </c>
      <c r="E6913" s="38" t="s">
        <v>166</v>
      </c>
      <c r="F6913" s="38" t="s">
        <v>102</v>
      </c>
      <c r="G6913" s="49" t="str">
        <f t="shared" si="1"/>
        <v>42440</v>
      </c>
      <c r="H6913" s="49">
        <f t="shared" si="2"/>
        <v>42238</v>
      </c>
    </row>
    <row r="6914">
      <c r="A6914" s="48" t="s">
        <v>1389</v>
      </c>
      <c r="B6914" s="38">
        <v>5140.0</v>
      </c>
      <c r="C6914" s="38" t="s">
        <v>10360</v>
      </c>
      <c r="D6914" s="38" t="str">
        <f>IFERROR(__xludf.DUMMYFUNCTION("REGEXREPLACE(C6914,""-\d+(.*)|--\d+(.*)"","""")"),"SAINT-ETIENNE-LE-LAUS")</f>
        <v>SAINT-ETIENNE-LE-LAUS</v>
      </c>
      <c r="E6914" s="38" t="s">
        <v>706</v>
      </c>
      <c r="F6914" s="38" t="s">
        <v>228</v>
      </c>
      <c r="G6914" s="49" t="str">
        <f t="shared" si="1"/>
        <v>05130</v>
      </c>
      <c r="H6914" s="49" t="str">
        <f t="shared" si="2"/>
        <v>05140</v>
      </c>
    </row>
    <row r="6915">
      <c r="A6915" s="48" t="s">
        <v>4586</v>
      </c>
      <c r="B6915" s="38">
        <v>40007.0</v>
      </c>
      <c r="C6915" s="38" t="s">
        <v>10361</v>
      </c>
      <c r="D6915" s="38" t="str">
        <f>IFERROR(__xludf.DUMMYFUNCTION("REGEXREPLACE(C6915,""-\d+(.*)|--\d+(.*)"","""")"),"ARGELOS")</f>
        <v>ARGELOS</v>
      </c>
      <c r="E6915" s="38" t="s">
        <v>281</v>
      </c>
      <c r="F6915" s="38" t="s">
        <v>252</v>
      </c>
      <c r="G6915" s="49" t="str">
        <f t="shared" si="1"/>
        <v>40700</v>
      </c>
      <c r="H6915" s="49">
        <f t="shared" si="2"/>
        <v>40007</v>
      </c>
    </row>
    <row r="6916">
      <c r="A6916" s="48" t="s">
        <v>466</v>
      </c>
      <c r="B6916" s="38">
        <v>52184.0</v>
      </c>
      <c r="C6916" s="38" t="s">
        <v>10362</v>
      </c>
      <c r="D6916" s="38" t="str">
        <f>IFERROR(__xludf.DUMMYFUNCTION("REGEXREPLACE(C6916,""-\d+(.*)|--\d+(.*)"","""")"),"EFFINCOURT")</f>
        <v>EFFINCOURT</v>
      </c>
      <c r="E6916" s="38" t="s">
        <v>234</v>
      </c>
      <c r="F6916" s="38" t="s">
        <v>130</v>
      </c>
      <c r="G6916" s="49" t="str">
        <f t="shared" si="1"/>
        <v>52300</v>
      </c>
      <c r="H6916" s="49">
        <f t="shared" si="2"/>
        <v>52184</v>
      </c>
    </row>
    <row r="6917">
      <c r="A6917" s="48" t="s">
        <v>10363</v>
      </c>
      <c r="B6917" s="38">
        <v>43066.0</v>
      </c>
      <c r="C6917" s="38" t="s">
        <v>10364</v>
      </c>
      <c r="D6917" s="38" t="str">
        <f>IFERROR(__xludf.DUMMYFUNCTION("REGEXREPLACE(C6917,""-\d+(.*)|--\d+(.*)"","""")"),"CHAUDEYROLLES")</f>
        <v>CHAUDEYROLLES</v>
      </c>
      <c r="E6917" s="38" t="s">
        <v>332</v>
      </c>
      <c r="F6917" s="38" t="s">
        <v>161</v>
      </c>
      <c r="G6917" s="49" t="str">
        <f t="shared" si="1"/>
        <v>43430</v>
      </c>
      <c r="H6917" s="49">
        <f t="shared" si="2"/>
        <v>43066</v>
      </c>
    </row>
    <row r="6918">
      <c r="A6918" s="48" t="s">
        <v>5381</v>
      </c>
      <c r="B6918" s="38">
        <v>38130.0</v>
      </c>
      <c r="C6918" s="38" t="s">
        <v>10365</v>
      </c>
      <c r="D6918" s="38" t="str">
        <f>IFERROR(__xludf.DUMMYFUNCTION("REGEXREPLACE(C6918,""-\d+(.*)|--\d+(.*)"","""")"),"LA COTE-SAINT-ANDRE")</f>
        <v>LA COTE-SAINT-ANDRE</v>
      </c>
      <c r="E6918" s="38" t="s">
        <v>101</v>
      </c>
      <c r="F6918" s="38" t="s">
        <v>102</v>
      </c>
      <c r="G6918" s="49" t="str">
        <f t="shared" si="1"/>
        <v>38260</v>
      </c>
      <c r="H6918" s="49">
        <f t="shared" si="2"/>
        <v>38130</v>
      </c>
    </row>
    <row r="6919">
      <c r="A6919" s="48" t="s">
        <v>10366</v>
      </c>
      <c r="B6919" s="38">
        <v>1151.0</v>
      </c>
      <c r="C6919" s="38" t="s">
        <v>10367</v>
      </c>
      <c r="D6919" s="38" t="str">
        <f>IFERROR(__xludf.DUMMYFUNCTION("REGEXREPLACE(C6919,""-\d+(.*)|--\d+(.*)"","""")"),"DRUILLAT")</f>
        <v>DRUILLAT</v>
      </c>
      <c r="E6919" s="38" t="s">
        <v>255</v>
      </c>
      <c r="F6919" s="38" t="s">
        <v>102</v>
      </c>
      <c r="G6919" s="49" t="str">
        <f t="shared" si="1"/>
        <v>01160</v>
      </c>
      <c r="H6919" s="49" t="str">
        <f t="shared" si="2"/>
        <v>01151</v>
      </c>
    </row>
    <row r="6920">
      <c r="A6920" s="48" t="s">
        <v>1448</v>
      </c>
      <c r="B6920" s="38">
        <v>29268.0</v>
      </c>
      <c r="C6920" s="38" t="s">
        <v>10368</v>
      </c>
      <c r="D6920" s="38" t="str">
        <f>IFERROR(__xludf.DUMMYFUNCTION("REGEXREPLACE(C6920,""-\d+(.*)|--\d+(.*)"","""")"),"SAINT-THONAN")</f>
        <v>SAINT-THONAN</v>
      </c>
      <c r="E6920" s="38" t="s">
        <v>176</v>
      </c>
      <c r="F6920" s="38" t="s">
        <v>90</v>
      </c>
      <c r="G6920" s="49" t="str">
        <f t="shared" si="1"/>
        <v>29800</v>
      </c>
      <c r="H6920" s="49">
        <f t="shared" si="2"/>
        <v>29268</v>
      </c>
    </row>
    <row r="6921">
      <c r="A6921" s="48" t="s">
        <v>10369</v>
      </c>
      <c r="B6921" s="38">
        <v>88088.0</v>
      </c>
      <c r="C6921" s="38" t="s">
        <v>10370</v>
      </c>
      <c r="D6921" s="38" t="str">
        <f>IFERROR(__xludf.DUMMYFUNCTION("REGEXREPLACE(C6921,""-\d+(.*)|--\d+(.*)"","""")"),"LA CHAPELLE-AUX-BOIS")</f>
        <v>LA CHAPELLE-AUX-BOIS</v>
      </c>
      <c r="E6921" s="38" t="s">
        <v>194</v>
      </c>
      <c r="F6921" s="38" t="s">
        <v>195</v>
      </c>
      <c r="G6921" s="49" t="str">
        <f t="shared" si="1"/>
        <v>88240</v>
      </c>
      <c r="H6921" s="49">
        <f t="shared" si="2"/>
        <v>88088</v>
      </c>
    </row>
    <row r="6922">
      <c r="A6922" s="48" t="s">
        <v>5748</v>
      </c>
      <c r="B6922" s="38">
        <v>13068.0</v>
      </c>
      <c r="C6922" s="38" t="s">
        <v>10371</v>
      </c>
      <c r="D6922" s="38" t="str">
        <f>IFERROR(__xludf.DUMMYFUNCTION("REGEXREPLACE(C6922,""-\d+(.*)|--\d+(.*)"","""")"),"PARADOU")</f>
        <v>PARADOU</v>
      </c>
      <c r="E6922" s="38" t="s">
        <v>980</v>
      </c>
      <c r="F6922" s="38" t="s">
        <v>228</v>
      </c>
      <c r="G6922" s="49" t="str">
        <f t="shared" si="1"/>
        <v>13520</v>
      </c>
      <c r="H6922" s="49">
        <f t="shared" si="2"/>
        <v>13068</v>
      </c>
    </row>
    <row r="6923">
      <c r="A6923" s="48" t="s">
        <v>866</v>
      </c>
      <c r="B6923" s="38">
        <v>63367.0</v>
      </c>
      <c r="C6923" s="38" t="s">
        <v>10372</v>
      </c>
      <c r="D6923" s="38" t="str">
        <f>IFERROR(__xludf.DUMMYFUNCTION("REGEXREPLACE(C6923,""-\d+(.*)|--\d+(.*)"","""")"),"SAINT-JEAN-SAINT-GERVAIS")</f>
        <v>SAINT-JEAN-SAINT-GERVAIS</v>
      </c>
      <c r="E6923" s="38" t="s">
        <v>353</v>
      </c>
      <c r="F6923" s="38" t="s">
        <v>161</v>
      </c>
      <c r="G6923" s="49" t="str">
        <f t="shared" si="1"/>
        <v>63570</v>
      </c>
      <c r="H6923" s="49">
        <f t="shared" si="2"/>
        <v>63367</v>
      </c>
    </row>
    <row r="6924">
      <c r="A6924" s="48" t="s">
        <v>9018</v>
      </c>
      <c r="B6924" s="38">
        <v>27553.0</v>
      </c>
      <c r="C6924" s="38" t="s">
        <v>10373</v>
      </c>
      <c r="D6924" s="38" t="str">
        <f>IFERROR(__xludf.DUMMYFUNCTION("REGEXREPLACE(C6924,""-\d+(.*)|--\d+(.*)"","""")"),"SAINT-JULIEN-DE-LA-LIEGUE")</f>
        <v>SAINT-JULIEN-DE-LA-LIEGUE</v>
      </c>
      <c r="E6924" s="38" t="s">
        <v>241</v>
      </c>
      <c r="F6924" s="38" t="s">
        <v>134</v>
      </c>
      <c r="G6924" s="49" t="str">
        <f t="shared" si="1"/>
        <v>27600</v>
      </c>
      <c r="H6924" s="49">
        <f t="shared" si="2"/>
        <v>27553</v>
      </c>
    </row>
    <row r="6925">
      <c r="A6925" s="48" t="s">
        <v>10374</v>
      </c>
      <c r="B6925" s="38">
        <v>83045.0</v>
      </c>
      <c r="C6925" s="38" t="s">
        <v>10375</v>
      </c>
      <c r="D6925" s="38" t="str">
        <f>IFERROR(__xludf.DUMMYFUNCTION("REGEXREPLACE(C6925,""-\d+(.*)|--\d+(.*)"","""")"),"CORRENS")</f>
        <v>CORRENS</v>
      </c>
      <c r="E6925" s="38" t="s">
        <v>813</v>
      </c>
      <c r="F6925" s="38" t="s">
        <v>228</v>
      </c>
      <c r="G6925" s="49" t="str">
        <f t="shared" si="1"/>
        <v>83570</v>
      </c>
      <c r="H6925" s="49">
        <f t="shared" si="2"/>
        <v>83045</v>
      </c>
    </row>
    <row r="6926">
      <c r="A6926" s="48" t="s">
        <v>10376</v>
      </c>
      <c r="B6926" s="38">
        <v>33203.0</v>
      </c>
      <c r="C6926" s="38" t="s">
        <v>10377</v>
      </c>
      <c r="D6926" s="38" t="str">
        <f>IFERROR(__xludf.DUMMYFUNCTION("REGEXREPLACE(C6926,""-\d+(.*)|--\d+(.*)"","""")"),"HOURTIN")</f>
        <v>HOURTIN</v>
      </c>
      <c r="E6926" s="38" t="s">
        <v>462</v>
      </c>
      <c r="F6926" s="38" t="s">
        <v>252</v>
      </c>
      <c r="G6926" s="49" t="str">
        <f t="shared" si="1"/>
        <v>33990</v>
      </c>
      <c r="H6926" s="49">
        <f t="shared" si="2"/>
        <v>33203</v>
      </c>
    </row>
    <row r="6927">
      <c r="A6927" s="48" t="s">
        <v>6872</v>
      </c>
      <c r="B6927" s="38">
        <v>45013.0</v>
      </c>
      <c r="C6927" s="38" t="s">
        <v>10378</v>
      </c>
      <c r="D6927" s="38" t="str">
        <f>IFERROR(__xludf.DUMMYFUNCTION("REGEXREPLACE(C6927,""-\d+(.*)|--\d+(.*)"","""")"),"AUGERVILLE-LA-RIVIERE")</f>
        <v>AUGERVILLE-LA-RIVIERE</v>
      </c>
      <c r="E6927" s="38" t="s">
        <v>122</v>
      </c>
      <c r="F6927" s="38" t="s">
        <v>123</v>
      </c>
      <c r="G6927" s="49" t="str">
        <f t="shared" si="1"/>
        <v>45330</v>
      </c>
      <c r="H6927" s="49">
        <f t="shared" si="2"/>
        <v>45013</v>
      </c>
    </row>
    <row r="6928">
      <c r="A6928" s="48" t="s">
        <v>6797</v>
      </c>
      <c r="B6928" s="38">
        <v>11432.0</v>
      </c>
      <c r="C6928" s="38" t="s">
        <v>10379</v>
      </c>
      <c r="D6928" s="38" t="str">
        <f>IFERROR(__xludf.DUMMYFUNCTION("REGEXREPLACE(C6928,""-\d+(.*)|--\d+(.*)"","""")"),"VILLENEUVE-LES-MONTREAL")</f>
        <v>VILLENEUVE-LES-MONTREAL</v>
      </c>
      <c r="E6928" s="38" t="s">
        <v>278</v>
      </c>
      <c r="F6928" s="38" t="s">
        <v>119</v>
      </c>
      <c r="G6928" s="49" t="str">
        <f t="shared" si="1"/>
        <v>11290</v>
      </c>
      <c r="H6928" s="49">
        <f t="shared" si="2"/>
        <v>11432</v>
      </c>
    </row>
    <row r="6929">
      <c r="A6929" s="48" t="s">
        <v>9844</v>
      </c>
      <c r="B6929" s="38">
        <v>17236.0</v>
      </c>
      <c r="C6929" s="38" t="s">
        <v>10380</v>
      </c>
      <c r="D6929" s="38" t="str">
        <f>IFERROR(__xludf.DUMMYFUNCTION("REGEXREPLACE(C6929,""-\d+(.*)|--\d+(.*)"","""")"),"MIRAMBEAU")</f>
        <v>MIRAMBEAU</v>
      </c>
      <c r="E6929" s="38" t="s">
        <v>488</v>
      </c>
      <c r="F6929" s="38" t="s">
        <v>338</v>
      </c>
      <c r="G6929" s="49" t="str">
        <f t="shared" si="1"/>
        <v>17150</v>
      </c>
      <c r="H6929" s="49">
        <f t="shared" si="2"/>
        <v>17236</v>
      </c>
    </row>
    <row r="6930">
      <c r="A6930" s="48" t="s">
        <v>1018</v>
      </c>
      <c r="B6930" s="38">
        <v>60228.0</v>
      </c>
      <c r="C6930" s="38" t="s">
        <v>10381</v>
      </c>
      <c r="D6930" s="38" t="str">
        <f>IFERROR(__xludf.DUMMYFUNCTION("REGEXREPLACE(C6930,""-\d+(.*)|--\d+(.*)"","""")"),"FAY-LES-ETANGS")</f>
        <v>FAY-LES-ETANGS</v>
      </c>
      <c r="E6930" s="38" t="s">
        <v>112</v>
      </c>
      <c r="F6930" s="38" t="s">
        <v>113</v>
      </c>
      <c r="G6930" s="49" t="str">
        <f t="shared" si="1"/>
        <v>60240</v>
      </c>
      <c r="H6930" s="49">
        <f t="shared" si="2"/>
        <v>60228</v>
      </c>
    </row>
    <row r="6931">
      <c r="A6931" s="48" t="s">
        <v>5783</v>
      </c>
      <c r="B6931" s="38">
        <v>37077.0</v>
      </c>
      <c r="C6931" s="38" t="s">
        <v>10382</v>
      </c>
      <c r="D6931" s="38" t="str">
        <f>IFERROR(__xludf.DUMMYFUNCTION("REGEXREPLACE(C6931,""-\d+(.*)|--\d+(.*)"","""")"),"CINQ-MARS-LA-PILE")</f>
        <v>CINQ-MARS-LA-PILE</v>
      </c>
      <c r="E6931" s="38" t="s">
        <v>205</v>
      </c>
      <c r="F6931" s="38" t="s">
        <v>123</v>
      </c>
      <c r="G6931" s="49" t="str">
        <f t="shared" si="1"/>
        <v>37130</v>
      </c>
      <c r="H6931" s="49">
        <f t="shared" si="2"/>
        <v>37077</v>
      </c>
    </row>
    <row r="6932">
      <c r="A6932" s="48" t="s">
        <v>10383</v>
      </c>
      <c r="B6932" s="38">
        <v>38438.0</v>
      </c>
      <c r="C6932" s="38" t="s">
        <v>10384</v>
      </c>
      <c r="D6932" s="38" t="str">
        <f>IFERROR(__xludf.DUMMYFUNCTION("REGEXREPLACE(C6932,""-\d+(.*)|--\d+(.*)"","""")"),"SAINT-PAUL-LES-MONESTIER")</f>
        <v>SAINT-PAUL-LES-MONESTIER</v>
      </c>
      <c r="E6932" s="38" t="s">
        <v>101</v>
      </c>
      <c r="F6932" s="38" t="s">
        <v>102</v>
      </c>
      <c r="G6932" s="49" t="str">
        <f t="shared" si="1"/>
        <v>38650</v>
      </c>
      <c r="H6932" s="49">
        <f t="shared" si="2"/>
        <v>38438</v>
      </c>
    </row>
    <row r="6933">
      <c r="A6933" s="48" t="s">
        <v>762</v>
      </c>
      <c r="B6933" s="38">
        <v>65122.0</v>
      </c>
      <c r="C6933" s="38" t="s">
        <v>10385</v>
      </c>
      <c r="D6933" s="38" t="str">
        <f>IFERROR(__xludf.DUMMYFUNCTION("REGEXREPLACE(C6933,""-\d+(.*)|--\d+(.*)"","""")"),"CAMOUS")</f>
        <v>CAMOUS</v>
      </c>
      <c r="E6933" s="38" t="s">
        <v>200</v>
      </c>
      <c r="F6933" s="38" t="s">
        <v>94</v>
      </c>
      <c r="G6933" s="49" t="str">
        <f t="shared" si="1"/>
        <v>65410</v>
      </c>
      <c r="H6933" s="49">
        <f t="shared" si="2"/>
        <v>65122</v>
      </c>
    </row>
    <row r="6934">
      <c r="A6934" s="48" t="s">
        <v>10386</v>
      </c>
      <c r="B6934" s="38">
        <v>63132.0</v>
      </c>
      <c r="C6934" s="38" t="s">
        <v>10387</v>
      </c>
      <c r="D6934" s="38" t="str">
        <f>IFERROR(__xludf.DUMMYFUNCTION("REGEXREPLACE(C6934,""-\d+(.*)|--\d+(.*)"","""")"),"CUNLHAT")</f>
        <v>CUNLHAT</v>
      </c>
      <c r="E6934" s="38" t="s">
        <v>353</v>
      </c>
      <c r="F6934" s="38" t="s">
        <v>161</v>
      </c>
      <c r="G6934" s="49" t="str">
        <f t="shared" si="1"/>
        <v>63590</v>
      </c>
      <c r="H6934" s="49">
        <f t="shared" si="2"/>
        <v>63132</v>
      </c>
    </row>
    <row r="6935">
      <c r="A6935" s="48" t="s">
        <v>10388</v>
      </c>
      <c r="B6935" s="38">
        <v>21590.0</v>
      </c>
      <c r="C6935" s="38" t="s">
        <v>10389</v>
      </c>
      <c r="D6935" s="38" t="str">
        <f>IFERROR(__xludf.DUMMYFUNCTION("REGEXREPLACE(C6935,""-\d+(.*)|--\d+(.*)"","""")"),"SAVIGNY-LES-BEAUNE")</f>
        <v>SAVIGNY-LES-BEAUNE</v>
      </c>
      <c r="E6935" s="38" t="s">
        <v>105</v>
      </c>
      <c r="F6935" s="38" t="s">
        <v>106</v>
      </c>
      <c r="G6935" s="49" t="str">
        <f t="shared" si="1"/>
        <v>21420</v>
      </c>
      <c r="H6935" s="49">
        <f t="shared" si="2"/>
        <v>21590</v>
      </c>
    </row>
    <row r="6936">
      <c r="A6936" s="48" t="s">
        <v>10390</v>
      </c>
      <c r="B6936" s="38">
        <v>74275.0</v>
      </c>
      <c r="C6936" s="38" t="s">
        <v>10391</v>
      </c>
      <c r="D6936" s="38" t="str">
        <f>IFERROR(__xludf.DUMMYFUNCTION("REGEXREPLACE(C6936,""-\d+(.*)|--\d+(.*)"","""")"),"TALLOIRES")</f>
        <v>TALLOIRES</v>
      </c>
      <c r="E6936" s="38" t="s">
        <v>319</v>
      </c>
      <c r="F6936" s="38" t="s">
        <v>102</v>
      </c>
      <c r="G6936" s="49" t="str">
        <f t="shared" si="1"/>
        <v>74290</v>
      </c>
      <c r="H6936" s="49">
        <f t="shared" si="2"/>
        <v>74275</v>
      </c>
    </row>
    <row r="6937">
      <c r="A6937" s="48" t="s">
        <v>10392</v>
      </c>
      <c r="B6937" s="38">
        <v>64277.0</v>
      </c>
      <c r="C6937" s="38" t="s">
        <v>10393</v>
      </c>
      <c r="D6937" s="38" t="str">
        <f>IFERROR(__xludf.DUMMYFUNCTION("REGEXREPLACE(C6937,""-\d+(.*)|--\d+(.*)"","""")"),"ISTURITS")</f>
        <v>ISTURITS</v>
      </c>
      <c r="E6937" s="38" t="s">
        <v>268</v>
      </c>
      <c r="F6937" s="38" t="s">
        <v>252</v>
      </c>
      <c r="G6937" s="49" t="str">
        <f t="shared" si="1"/>
        <v>64240</v>
      </c>
      <c r="H6937" s="49">
        <f t="shared" si="2"/>
        <v>64277</v>
      </c>
    </row>
    <row r="6938">
      <c r="A6938" s="48" t="s">
        <v>1812</v>
      </c>
      <c r="B6938" s="38">
        <v>51413.0</v>
      </c>
      <c r="C6938" s="38" t="s">
        <v>10394</v>
      </c>
      <c r="D6938" s="38" t="str">
        <f>IFERROR(__xludf.DUMMYFUNCTION("REGEXREPLACE(C6938,""-\d+(.*)|--\d+(.*)"","""")"),"OIRY")</f>
        <v>OIRY</v>
      </c>
      <c r="E6938" s="38" t="s">
        <v>129</v>
      </c>
      <c r="F6938" s="38" t="s">
        <v>130</v>
      </c>
      <c r="G6938" s="49" t="str">
        <f t="shared" si="1"/>
        <v>51530</v>
      </c>
      <c r="H6938" s="49">
        <f t="shared" si="2"/>
        <v>51413</v>
      </c>
    </row>
    <row r="6939">
      <c r="A6939" s="48" t="s">
        <v>599</v>
      </c>
      <c r="B6939" s="38">
        <v>16193.0</v>
      </c>
      <c r="C6939" s="38" t="s">
        <v>10395</v>
      </c>
      <c r="D6939" s="38" t="str">
        <f>IFERROR(__xludf.DUMMYFUNCTION("REGEXREPLACE(C6939,""-\d+(.*)|--\d+(.*)"","""")"),"LOUZAC-SAINT-ANDRE")</f>
        <v>LOUZAC-SAINT-ANDRE</v>
      </c>
      <c r="E6939" s="38" t="s">
        <v>429</v>
      </c>
      <c r="F6939" s="38" t="s">
        <v>338</v>
      </c>
      <c r="G6939" s="49" t="str">
        <f t="shared" si="1"/>
        <v>16100</v>
      </c>
      <c r="H6939" s="49">
        <f t="shared" si="2"/>
        <v>16193</v>
      </c>
    </row>
    <row r="6940">
      <c r="A6940" s="48" t="s">
        <v>1393</v>
      </c>
      <c r="B6940" s="38">
        <v>25521.0</v>
      </c>
      <c r="C6940" s="38" t="s">
        <v>10396</v>
      </c>
      <c r="D6940" s="38" t="str">
        <f>IFERROR(__xludf.DUMMYFUNCTION("REGEXREPLACE(C6940,""-\d+(.*)|--\d+(.*)"","""")"),"SAINT-JULIEN-LES-MONTBELIARD")</f>
        <v>SAINT-JULIEN-LES-MONTBELIARD</v>
      </c>
      <c r="E6940" s="38" t="s">
        <v>213</v>
      </c>
      <c r="F6940" s="38" t="s">
        <v>214</v>
      </c>
      <c r="G6940" s="49" t="str">
        <f t="shared" si="1"/>
        <v>25550</v>
      </c>
      <c r="H6940" s="49">
        <f t="shared" si="2"/>
        <v>25521</v>
      </c>
    </row>
    <row r="6941">
      <c r="A6941" s="48" t="s">
        <v>5560</v>
      </c>
      <c r="B6941" s="38">
        <v>4030.0</v>
      </c>
      <c r="C6941" s="38" t="s">
        <v>10397</v>
      </c>
      <c r="D6941" s="38" t="str">
        <f>IFERROR(__xludf.DUMMYFUNCTION("REGEXREPLACE(C6941,""-\d+(.*)|--\d+(.*)"","""")"),"BLIEUX")</f>
        <v>BLIEUX</v>
      </c>
      <c r="E6941" s="38" t="s">
        <v>662</v>
      </c>
      <c r="F6941" s="38" t="s">
        <v>228</v>
      </c>
      <c r="G6941" s="49" t="str">
        <f t="shared" si="1"/>
        <v>04330</v>
      </c>
      <c r="H6941" s="49" t="str">
        <f t="shared" si="2"/>
        <v>04030</v>
      </c>
    </row>
    <row r="6942">
      <c r="A6942" s="48" t="s">
        <v>10398</v>
      </c>
      <c r="B6942" s="38">
        <v>67486.0</v>
      </c>
      <c r="C6942" s="38" t="s">
        <v>10399</v>
      </c>
      <c r="D6942" s="38" t="str">
        <f>IFERROR(__xludf.DUMMYFUNCTION("REGEXREPLACE(C6942,""-\d+(.*)|--\d+(.*)"","""")"),"SUNDHOUSE")</f>
        <v>SUNDHOUSE</v>
      </c>
      <c r="E6942" s="38" t="s">
        <v>210</v>
      </c>
      <c r="F6942" s="38" t="s">
        <v>151</v>
      </c>
      <c r="G6942" s="49" t="str">
        <f t="shared" si="1"/>
        <v>67920</v>
      </c>
      <c r="H6942" s="49">
        <f t="shared" si="2"/>
        <v>67486</v>
      </c>
    </row>
    <row r="6943">
      <c r="A6943" s="48" t="s">
        <v>10400</v>
      </c>
      <c r="B6943" s="38">
        <v>13109.0</v>
      </c>
      <c r="C6943" s="38" t="s">
        <v>10401</v>
      </c>
      <c r="D6943" s="38" t="str">
        <f>IFERROR(__xludf.DUMMYFUNCTION("REGEXREPLACE(C6943,""-\d+(.*)|--\d+(.*)"","""")"),"LE THOLONET")</f>
        <v>LE THOLONET</v>
      </c>
      <c r="E6943" s="38" t="s">
        <v>980</v>
      </c>
      <c r="F6943" s="38" t="s">
        <v>228</v>
      </c>
      <c r="G6943" s="49" t="str">
        <f t="shared" si="1"/>
        <v>13100</v>
      </c>
      <c r="H6943" s="49">
        <f t="shared" si="2"/>
        <v>13109</v>
      </c>
    </row>
    <row r="6944">
      <c r="A6944" s="48" t="s">
        <v>6085</v>
      </c>
      <c r="B6944" s="38">
        <v>38200.0</v>
      </c>
      <c r="C6944" s="38" t="s">
        <v>10402</v>
      </c>
      <c r="D6944" s="38" t="str">
        <f>IFERROR(__xludf.DUMMYFUNCTION("REGEXREPLACE(C6944,""-\d+(.*)|--\d+(.*)"","""")"),"JARRIE")</f>
        <v>JARRIE</v>
      </c>
      <c r="E6944" s="38" t="s">
        <v>101</v>
      </c>
      <c r="F6944" s="38" t="s">
        <v>102</v>
      </c>
      <c r="G6944" s="49" t="str">
        <f t="shared" si="1"/>
        <v>38560</v>
      </c>
      <c r="H6944" s="49">
        <f t="shared" si="2"/>
        <v>38200</v>
      </c>
    </row>
    <row r="6945">
      <c r="A6945" s="48" t="s">
        <v>3925</v>
      </c>
      <c r="B6945" s="38">
        <v>41049.0</v>
      </c>
      <c r="C6945" s="38" t="s">
        <v>10403</v>
      </c>
      <c r="D6945" s="38" t="str">
        <f>IFERROR(__xludf.DUMMYFUNCTION("REGEXREPLACE(C6945,""-\d+(.*)|--\d+(.*)"","""")"),"CHEMERY")</f>
        <v>CHEMERY</v>
      </c>
      <c r="E6945" s="38" t="s">
        <v>188</v>
      </c>
      <c r="F6945" s="38" t="s">
        <v>123</v>
      </c>
      <c r="G6945" s="49" t="str">
        <f t="shared" si="1"/>
        <v>41700</v>
      </c>
      <c r="H6945" s="49">
        <f t="shared" si="2"/>
        <v>41049</v>
      </c>
    </row>
    <row r="6946">
      <c r="A6946" s="48" t="s">
        <v>1135</v>
      </c>
      <c r="B6946" s="38">
        <v>79161.0</v>
      </c>
      <c r="C6946" s="38" t="s">
        <v>10404</v>
      </c>
      <c r="D6946" s="38" t="str">
        <f>IFERROR(__xludf.DUMMYFUNCTION("REGEXREPLACE(C6946,""-\d+(.*)|--\d+(.*)"","""")"),"LUZAY")</f>
        <v>LUZAY</v>
      </c>
      <c r="E6946" s="38" t="s">
        <v>337</v>
      </c>
      <c r="F6946" s="38" t="s">
        <v>338</v>
      </c>
      <c r="G6946" s="49" t="str">
        <f t="shared" si="1"/>
        <v>79100</v>
      </c>
      <c r="H6946" s="49">
        <f t="shared" si="2"/>
        <v>79161</v>
      </c>
    </row>
    <row r="6947">
      <c r="A6947" s="48" t="s">
        <v>1852</v>
      </c>
      <c r="B6947" s="38">
        <v>57748.0</v>
      </c>
      <c r="C6947" s="38" t="s">
        <v>10405</v>
      </c>
      <c r="D6947" s="38" t="str">
        <f>IFERROR(__xludf.DUMMYFUNCTION("REGEXREPLACE(C6947,""-\d+(.*)|--\d+(.*)"","""")"),"WITTRING")</f>
        <v>WITTRING</v>
      </c>
      <c r="E6947" s="38" t="s">
        <v>303</v>
      </c>
      <c r="F6947" s="38" t="s">
        <v>195</v>
      </c>
      <c r="G6947" s="49" t="str">
        <f t="shared" si="1"/>
        <v>57905</v>
      </c>
      <c r="H6947" s="49">
        <f t="shared" si="2"/>
        <v>57748</v>
      </c>
    </row>
    <row r="6948">
      <c r="A6948" s="48" t="s">
        <v>8334</v>
      </c>
      <c r="B6948" s="38">
        <v>25608.0</v>
      </c>
      <c r="C6948" s="38" t="s">
        <v>10406</v>
      </c>
      <c r="D6948" s="38" t="str">
        <f>IFERROR(__xludf.DUMMYFUNCTION("REGEXREPLACE(C6948,""-\d+(.*)|--\d+(.*)"","""")"),"LE VERNOY")</f>
        <v>LE VERNOY</v>
      </c>
      <c r="E6948" s="38" t="s">
        <v>213</v>
      </c>
      <c r="F6948" s="38" t="s">
        <v>214</v>
      </c>
      <c r="G6948" s="49" t="str">
        <f t="shared" si="1"/>
        <v>25750</v>
      </c>
      <c r="H6948" s="49">
        <f t="shared" si="2"/>
        <v>25608</v>
      </c>
    </row>
    <row r="6949">
      <c r="A6949" s="48" t="s">
        <v>10407</v>
      </c>
      <c r="B6949" s="38">
        <v>87192.0</v>
      </c>
      <c r="C6949" s="38" t="s">
        <v>10408</v>
      </c>
      <c r="D6949" s="38" t="str">
        <f>IFERROR(__xludf.DUMMYFUNCTION("REGEXREPLACE(C6949,""-\d+(.*)|--\d+(.*)"","""")"),"SOLIGNAC")</f>
        <v>SOLIGNAC</v>
      </c>
      <c r="E6949" s="38" t="s">
        <v>897</v>
      </c>
      <c r="F6949" s="38" t="s">
        <v>98</v>
      </c>
      <c r="G6949" s="49" t="str">
        <f t="shared" si="1"/>
        <v>87110</v>
      </c>
      <c r="H6949" s="49">
        <f t="shared" si="2"/>
        <v>87192</v>
      </c>
    </row>
    <row r="6950">
      <c r="A6950" s="48" t="s">
        <v>5873</v>
      </c>
      <c r="B6950" s="38">
        <v>23124.0</v>
      </c>
      <c r="C6950" s="38" t="s">
        <v>8675</v>
      </c>
      <c r="D6950" s="38" t="str">
        <f>IFERROR(__xludf.DUMMYFUNCTION("REGEXREPLACE(C6950,""-\d+(.*)|--\d+(.*)"","""")"),"MARSAC")</f>
        <v>MARSAC</v>
      </c>
      <c r="E6950" s="38" t="s">
        <v>97</v>
      </c>
      <c r="F6950" s="38" t="s">
        <v>98</v>
      </c>
      <c r="G6950" s="49" t="str">
        <f t="shared" si="1"/>
        <v>23210</v>
      </c>
      <c r="H6950" s="49">
        <f t="shared" si="2"/>
        <v>23124</v>
      </c>
    </row>
    <row r="6951">
      <c r="A6951" s="48" t="s">
        <v>8327</v>
      </c>
      <c r="B6951" s="38">
        <v>71481.0</v>
      </c>
      <c r="C6951" s="38" t="s">
        <v>10409</v>
      </c>
      <c r="D6951" s="38" t="str">
        <f>IFERROR(__xludf.DUMMYFUNCTION("REGEXREPLACE(C6951,""-\d+(.*)|--\d+(.*)"","""")"),"SAINT-SYMPHORIEN-D'ANCELLES")</f>
        <v>SAINT-SYMPHORIEN-D'ANCELLES</v>
      </c>
      <c r="E6951" s="38" t="s">
        <v>344</v>
      </c>
      <c r="F6951" s="38" t="s">
        <v>106</v>
      </c>
      <c r="G6951" s="49" t="str">
        <f t="shared" si="1"/>
        <v>71570</v>
      </c>
      <c r="H6951" s="49">
        <f t="shared" si="2"/>
        <v>71481</v>
      </c>
    </row>
    <row r="6952">
      <c r="A6952" s="48" t="s">
        <v>2213</v>
      </c>
      <c r="B6952" s="38">
        <v>59121.0</v>
      </c>
      <c r="C6952" s="38" t="s">
        <v>10410</v>
      </c>
      <c r="D6952" s="38" t="str">
        <f>IFERROR(__xludf.DUMMYFUNCTION("REGEXREPLACE(C6952,""-\d+(.*)|--\d+(.*)"","""")"),"CAGNONCLES")</f>
        <v>CAGNONCLES</v>
      </c>
      <c r="E6952" s="38" t="s">
        <v>85</v>
      </c>
      <c r="F6952" s="38" t="s">
        <v>86</v>
      </c>
      <c r="G6952" s="49" t="str">
        <f t="shared" si="1"/>
        <v>59161</v>
      </c>
      <c r="H6952" s="49">
        <f t="shared" si="2"/>
        <v>59121</v>
      </c>
    </row>
    <row r="6953">
      <c r="A6953" s="48" t="s">
        <v>1522</v>
      </c>
      <c r="B6953" s="38">
        <v>32371.0</v>
      </c>
      <c r="C6953" s="38" t="s">
        <v>10411</v>
      </c>
      <c r="D6953" s="38" t="str">
        <f>IFERROR(__xludf.DUMMYFUNCTION("REGEXREPLACE(C6953,""-\d+(.*)|--\d+(.*)"","""")"),"SAINT-CREAC")</f>
        <v>SAINT-CREAC</v>
      </c>
      <c r="E6953" s="38" t="s">
        <v>440</v>
      </c>
      <c r="F6953" s="38" t="s">
        <v>94</v>
      </c>
      <c r="G6953" s="49" t="str">
        <f t="shared" si="1"/>
        <v>32380</v>
      </c>
      <c r="H6953" s="49">
        <f t="shared" si="2"/>
        <v>32371</v>
      </c>
    </row>
    <row r="6954">
      <c r="A6954" s="48" t="s">
        <v>10412</v>
      </c>
      <c r="B6954" s="38">
        <v>7076.0</v>
      </c>
      <c r="C6954" s="38" t="s">
        <v>10413</v>
      </c>
      <c r="D6954" s="38" t="str">
        <f>IFERROR(__xludf.DUMMYFUNCTION("REGEXREPLACE(C6954,""-\d+(.*)|--\d+(.*)"","""")"),"CRUAS")</f>
        <v>CRUAS</v>
      </c>
      <c r="E6954" s="38" t="s">
        <v>144</v>
      </c>
      <c r="F6954" s="38" t="s">
        <v>102</v>
      </c>
      <c r="G6954" s="49" t="str">
        <f t="shared" si="1"/>
        <v>07350</v>
      </c>
      <c r="H6954" s="49" t="str">
        <f t="shared" si="2"/>
        <v>07076</v>
      </c>
    </row>
    <row r="6955">
      <c r="A6955" s="48" t="s">
        <v>1616</v>
      </c>
      <c r="B6955" s="38">
        <v>10039.0</v>
      </c>
      <c r="C6955" s="38" t="s">
        <v>10414</v>
      </c>
      <c r="D6955" s="38" t="str">
        <f>IFERROR(__xludf.DUMMYFUNCTION("REGEXREPLACE(C6955,""-\d+(.*)|--\d+(.*)"","""")"),"BERGERES")</f>
        <v>BERGERES</v>
      </c>
      <c r="E6955" s="38" t="s">
        <v>147</v>
      </c>
      <c r="F6955" s="38" t="s">
        <v>130</v>
      </c>
      <c r="G6955" s="49" t="str">
        <f t="shared" si="1"/>
        <v>10200</v>
      </c>
      <c r="H6955" s="49">
        <f t="shared" si="2"/>
        <v>10039</v>
      </c>
    </row>
    <row r="6956">
      <c r="A6956" s="48" t="s">
        <v>2093</v>
      </c>
      <c r="B6956" s="38">
        <v>69101.0</v>
      </c>
      <c r="C6956" s="38" t="s">
        <v>10415</v>
      </c>
      <c r="D6956" s="38" t="str">
        <f>IFERROR(__xludf.DUMMYFUNCTION("REGEXREPLACE(C6956,""-\d+(.*)|--\d+(.*)"","""")"),"JARNIOUX")</f>
        <v>JARNIOUX</v>
      </c>
      <c r="E6956" s="38" t="s">
        <v>350</v>
      </c>
      <c r="F6956" s="38" t="s">
        <v>102</v>
      </c>
      <c r="G6956" s="49" t="str">
        <f t="shared" si="1"/>
        <v>69640</v>
      </c>
      <c r="H6956" s="49">
        <f t="shared" si="2"/>
        <v>69101</v>
      </c>
    </row>
    <row r="6957">
      <c r="A6957" s="48" t="s">
        <v>10416</v>
      </c>
      <c r="B6957" s="38">
        <v>50570.0</v>
      </c>
      <c r="C6957" s="38" t="s">
        <v>10417</v>
      </c>
      <c r="D6957" s="38" t="str">
        <f>IFERROR(__xludf.DUMMYFUNCTION("REGEXREPLACE(C6957,""-\d+(.*)|--\d+(.*)"","""")"),"SAVIGNY-LE-VIEUX")</f>
        <v>SAVIGNY-LE-VIEUX</v>
      </c>
      <c r="E6957" s="38" t="s">
        <v>157</v>
      </c>
      <c r="F6957" s="38" t="s">
        <v>138</v>
      </c>
      <c r="G6957" s="49" t="str">
        <f t="shared" si="1"/>
        <v>50640</v>
      </c>
      <c r="H6957" s="49">
        <f t="shared" si="2"/>
        <v>50570</v>
      </c>
    </row>
    <row r="6958">
      <c r="A6958" s="48" t="s">
        <v>3344</v>
      </c>
      <c r="B6958" s="38">
        <v>76639.0</v>
      </c>
      <c r="C6958" s="38" t="s">
        <v>10418</v>
      </c>
      <c r="D6958" s="38" t="str">
        <f>IFERROR(__xludf.DUMMYFUNCTION("REGEXREPLACE(C6958,""-\d+(.*)|--\d+(.*)"","""")"),"SAINT-PIERRE-LAVIS")</f>
        <v>SAINT-PIERRE-LAVIS</v>
      </c>
      <c r="E6958" s="38" t="s">
        <v>133</v>
      </c>
      <c r="F6958" s="38" t="s">
        <v>134</v>
      </c>
      <c r="G6958" s="49" t="str">
        <f t="shared" si="1"/>
        <v>76640</v>
      </c>
      <c r="H6958" s="49">
        <f t="shared" si="2"/>
        <v>76639</v>
      </c>
    </row>
    <row r="6959">
      <c r="A6959" s="48" t="s">
        <v>4512</v>
      </c>
      <c r="B6959" s="38">
        <v>86118.0</v>
      </c>
      <c r="C6959" s="38" t="s">
        <v>10419</v>
      </c>
      <c r="D6959" s="38" t="str">
        <f>IFERROR(__xludf.DUMMYFUNCTION("REGEXREPLACE(C6959,""-\d+(.*)|--\d+(.*)"","""")"),"JOURNET")</f>
        <v>JOURNET</v>
      </c>
      <c r="E6959" s="38" t="s">
        <v>529</v>
      </c>
      <c r="F6959" s="38" t="s">
        <v>338</v>
      </c>
      <c r="G6959" s="49" t="str">
        <f t="shared" si="1"/>
        <v>86290</v>
      </c>
      <c r="H6959" s="49">
        <f t="shared" si="2"/>
        <v>86118</v>
      </c>
    </row>
    <row r="6960">
      <c r="A6960" s="48" t="s">
        <v>4270</v>
      </c>
      <c r="B6960" s="38">
        <v>76208.0</v>
      </c>
      <c r="C6960" s="38" t="s">
        <v>10420</v>
      </c>
      <c r="D6960" s="38" t="str">
        <f>IFERROR(__xludf.DUMMYFUNCTION("REGEXREPLACE(C6960,""-\d+(.*)|--\d+(.*)"","""")"),"CUY-SAINT-FIACRE")</f>
        <v>CUY-SAINT-FIACRE</v>
      </c>
      <c r="E6960" s="38" t="s">
        <v>133</v>
      </c>
      <c r="F6960" s="38" t="s">
        <v>134</v>
      </c>
      <c r="G6960" s="49" t="str">
        <f t="shared" si="1"/>
        <v>76220</v>
      </c>
      <c r="H6960" s="49">
        <f t="shared" si="2"/>
        <v>76208</v>
      </c>
    </row>
    <row r="6961">
      <c r="A6961" s="48" t="s">
        <v>4481</v>
      </c>
      <c r="B6961" s="38">
        <v>66066.0</v>
      </c>
      <c r="C6961" s="38" t="s">
        <v>10421</v>
      </c>
      <c r="D6961" s="38" t="str">
        <f>IFERROR(__xludf.DUMMYFUNCTION("REGEXREPLACE(C6961,""-\d+(.*)|--\d+(.*)"","""")"),"ENVEITG")</f>
        <v>ENVEITG</v>
      </c>
      <c r="E6961" s="38" t="s">
        <v>248</v>
      </c>
      <c r="F6961" s="38" t="s">
        <v>119</v>
      </c>
      <c r="G6961" s="49" t="str">
        <f t="shared" si="1"/>
        <v>66760</v>
      </c>
      <c r="H6961" s="49">
        <f t="shared" si="2"/>
        <v>66066</v>
      </c>
    </row>
    <row r="6962">
      <c r="A6962" s="48" t="s">
        <v>7972</v>
      </c>
      <c r="B6962" s="38">
        <v>62851.0</v>
      </c>
      <c r="C6962" s="38" t="s">
        <v>10422</v>
      </c>
      <c r="D6962" s="38" t="str">
        <f>IFERROR(__xludf.DUMMYFUNCTION("REGEXREPLACE(C6962,""-\d+(.*)|--\d+(.*)"","""")"),"VIEILLE-CHAPELLE")</f>
        <v>VIEILLE-CHAPELLE</v>
      </c>
      <c r="E6962" s="38" t="s">
        <v>109</v>
      </c>
      <c r="F6962" s="38" t="s">
        <v>86</v>
      </c>
      <c r="G6962" s="49" t="str">
        <f t="shared" si="1"/>
        <v>62136</v>
      </c>
      <c r="H6962" s="49">
        <f t="shared" si="2"/>
        <v>62851</v>
      </c>
    </row>
    <row r="6963">
      <c r="A6963" s="48" t="s">
        <v>434</v>
      </c>
      <c r="B6963" s="38">
        <v>55306.0</v>
      </c>
      <c r="C6963" s="38" t="s">
        <v>10423</v>
      </c>
      <c r="D6963" s="38" t="str">
        <f>IFERROR(__xludf.DUMMYFUNCTION("REGEXREPLACE(C6963,""-\d+(.*)|--\d+(.*)"","""")"),"LOUPPY-SUR-LOISON")</f>
        <v>LOUPPY-SUR-LOISON</v>
      </c>
      <c r="E6963" s="38" t="s">
        <v>322</v>
      </c>
      <c r="F6963" s="38" t="s">
        <v>195</v>
      </c>
      <c r="G6963" s="49" t="str">
        <f t="shared" si="1"/>
        <v>55600</v>
      </c>
      <c r="H6963" s="49">
        <f t="shared" si="2"/>
        <v>55306</v>
      </c>
    </row>
    <row r="6964">
      <c r="A6964" s="48" t="s">
        <v>311</v>
      </c>
      <c r="B6964" s="38">
        <v>31035.0</v>
      </c>
      <c r="C6964" s="38" t="s">
        <v>10424</v>
      </c>
      <c r="D6964" s="38" t="str">
        <f>IFERROR(__xludf.DUMMYFUNCTION("REGEXREPLACE(C6964,""-\d+(.*)|--\d+(.*)"","""")"),"AUZEVILLE-TOLOSANE")</f>
        <v>AUZEVILLE-TOLOSANE</v>
      </c>
      <c r="E6964" s="38" t="s">
        <v>93</v>
      </c>
      <c r="F6964" s="38" t="s">
        <v>94</v>
      </c>
      <c r="G6964" s="49" t="str">
        <f t="shared" si="1"/>
        <v>31320</v>
      </c>
      <c r="H6964" s="49">
        <f t="shared" si="2"/>
        <v>31035</v>
      </c>
    </row>
    <row r="6965">
      <c r="A6965" s="48" t="s">
        <v>434</v>
      </c>
      <c r="B6965" s="38">
        <v>55546.0</v>
      </c>
      <c r="C6965" s="38" t="s">
        <v>10425</v>
      </c>
      <c r="D6965" s="38" t="str">
        <f>IFERROR(__xludf.DUMMYFUNCTION("REGEXREPLACE(C6965,""-\d+(.*)|--\d+(.*)"","""")"),"VERNEUIL-GRAND")</f>
        <v>VERNEUIL-GRAND</v>
      </c>
      <c r="E6965" s="38" t="s">
        <v>322</v>
      </c>
      <c r="F6965" s="38" t="s">
        <v>195</v>
      </c>
      <c r="G6965" s="49" t="str">
        <f t="shared" si="1"/>
        <v>55600</v>
      </c>
      <c r="H6965" s="49">
        <f t="shared" si="2"/>
        <v>55546</v>
      </c>
    </row>
    <row r="6966">
      <c r="A6966" s="48" t="s">
        <v>7416</v>
      </c>
      <c r="B6966" s="38">
        <v>49116.0</v>
      </c>
      <c r="C6966" s="38" t="s">
        <v>10426</v>
      </c>
      <c r="D6966" s="38" t="str">
        <f>IFERROR(__xludf.DUMMYFUNCTION("REGEXREPLACE(C6966,""-\d+(.*)|--\d+(.*)"","""")"),"CUON")</f>
        <v>CUON</v>
      </c>
      <c r="E6966" s="38" t="s">
        <v>653</v>
      </c>
      <c r="F6966" s="38" t="s">
        <v>180</v>
      </c>
      <c r="G6966" s="49" t="str">
        <f t="shared" si="1"/>
        <v>49150</v>
      </c>
      <c r="H6966" s="49">
        <f t="shared" si="2"/>
        <v>49116</v>
      </c>
    </row>
    <row r="6967">
      <c r="A6967" s="48" t="s">
        <v>987</v>
      </c>
      <c r="B6967" s="38">
        <v>40226.0</v>
      </c>
      <c r="C6967" s="38" t="s">
        <v>10427</v>
      </c>
      <c r="D6967" s="38" t="str">
        <f>IFERROR(__xludf.DUMMYFUNCTION("REGEXREPLACE(C6967,""-\d+(.*)|--\d+(.*)"","""")"),"PIMBO")</f>
        <v>PIMBO</v>
      </c>
      <c r="E6967" s="38" t="s">
        <v>281</v>
      </c>
      <c r="F6967" s="38" t="s">
        <v>252</v>
      </c>
      <c r="G6967" s="49" t="str">
        <f t="shared" si="1"/>
        <v>40320</v>
      </c>
      <c r="H6967" s="49">
        <f t="shared" si="2"/>
        <v>40226</v>
      </c>
    </row>
    <row r="6968">
      <c r="A6968" s="48" t="s">
        <v>2219</v>
      </c>
      <c r="B6968" s="38">
        <v>2492.0</v>
      </c>
      <c r="C6968" s="38" t="s">
        <v>10428</v>
      </c>
      <c r="D6968" s="38" t="str">
        <f>IFERROR(__xludf.DUMMYFUNCTION("REGEXREPLACE(C6968,""-\d+(.*)|--\d+(.*)"","""")"),"MONCEAU-LES-LEUPS")</f>
        <v>MONCEAU-LES-LEUPS</v>
      </c>
      <c r="E6968" s="38" t="s">
        <v>191</v>
      </c>
      <c r="F6968" s="38" t="s">
        <v>113</v>
      </c>
      <c r="G6968" s="49" t="str">
        <f t="shared" si="1"/>
        <v>02270</v>
      </c>
      <c r="H6968" s="49" t="str">
        <f t="shared" si="2"/>
        <v>02492</v>
      </c>
    </row>
    <row r="6969">
      <c r="A6969" s="48" t="s">
        <v>5322</v>
      </c>
      <c r="B6969" s="38">
        <v>32123.0</v>
      </c>
      <c r="C6969" s="38" t="s">
        <v>10429</v>
      </c>
      <c r="D6969" s="38" t="str">
        <f>IFERROR(__xludf.DUMMYFUNCTION("REGEXREPLACE(C6969,""-\d+(.*)|--\d+(.*)"","""")"),"ESCORNEBOEUF")</f>
        <v>ESCORNEBOEUF</v>
      </c>
      <c r="E6969" s="38" t="s">
        <v>440</v>
      </c>
      <c r="F6969" s="38" t="s">
        <v>94</v>
      </c>
      <c r="G6969" s="49" t="str">
        <f t="shared" si="1"/>
        <v>32200</v>
      </c>
      <c r="H6969" s="49">
        <f t="shared" si="2"/>
        <v>32123</v>
      </c>
    </row>
    <row r="6970">
      <c r="A6970" s="48" t="s">
        <v>5487</v>
      </c>
      <c r="B6970" s="38">
        <v>27573.0</v>
      </c>
      <c r="C6970" s="38" t="s">
        <v>10430</v>
      </c>
      <c r="D6970" s="38" t="str">
        <f>IFERROR(__xludf.DUMMYFUNCTION("REGEXREPLACE(C6970,""-\d+(.*)|--\d+(.*)"","""")"),"SAINT-NICOLAS-D'ATTEZ")</f>
        <v>SAINT-NICOLAS-D'ATTEZ</v>
      </c>
      <c r="E6970" s="38" t="s">
        <v>241</v>
      </c>
      <c r="F6970" s="38" t="s">
        <v>134</v>
      </c>
      <c r="G6970" s="49" t="str">
        <f t="shared" si="1"/>
        <v>27160</v>
      </c>
      <c r="H6970" s="49">
        <f t="shared" si="2"/>
        <v>27573</v>
      </c>
    </row>
    <row r="6971">
      <c r="A6971" s="48" t="s">
        <v>2438</v>
      </c>
      <c r="B6971" s="38">
        <v>64432.0</v>
      </c>
      <c r="C6971" s="38" t="s">
        <v>10431</v>
      </c>
      <c r="D6971" s="38" t="str">
        <f>IFERROR(__xludf.DUMMYFUNCTION("REGEXREPLACE(C6971,""-\d+(.*)|--\d+(.*)"","""")"),"OSSAS-SUHARE")</f>
        <v>OSSAS-SUHARE</v>
      </c>
      <c r="E6971" s="38" t="s">
        <v>268</v>
      </c>
      <c r="F6971" s="38" t="s">
        <v>252</v>
      </c>
      <c r="G6971" s="49" t="str">
        <f t="shared" si="1"/>
        <v>64470</v>
      </c>
      <c r="H6971" s="49">
        <f t="shared" si="2"/>
        <v>64432</v>
      </c>
    </row>
    <row r="6972">
      <c r="A6972" s="48" t="s">
        <v>4661</v>
      </c>
      <c r="B6972" s="38">
        <v>62308.0</v>
      </c>
      <c r="C6972" s="38" t="s">
        <v>10432</v>
      </c>
      <c r="D6972" s="38" t="str">
        <f>IFERROR(__xludf.DUMMYFUNCTION("REGEXREPLACE(C6972,""-\d+(.*)|--\d+(.*)"","""")"),"ESCOEUILLES")</f>
        <v>ESCOEUILLES</v>
      </c>
      <c r="E6972" s="38" t="s">
        <v>109</v>
      </c>
      <c r="F6972" s="38" t="s">
        <v>86</v>
      </c>
      <c r="G6972" s="49" t="str">
        <f t="shared" si="1"/>
        <v>62850</v>
      </c>
      <c r="H6972" s="49">
        <f t="shared" si="2"/>
        <v>62308</v>
      </c>
    </row>
    <row r="6973">
      <c r="A6973" s="48" t="s">
        <v>10433</v>
      </c>
      <c r="B6973" s="38">
        <v>46014.0</v>
      </c>
      <c r="C6973" s="38" t="s">
        <v>10434</v>
      </c>
      <c r="D6973" s="38" t="str">
        <f>IFERROR(__xludf.DUMMYFUNCTION("REGEXREPLACE(C6973,""-\d+(.*)|--\d+(.*)"","""")"),"BAGAT-EN-QUERCY")</f>
        <v>BAGAT-EN-QUERCY</v>
      </c>
      <c r="E6973" s="38" t="s">
        <v>185</v>
      </c>
      <c r="F6973" s="38" t="s">
        <v>94</v>
      </c>
      <c r="G6973" s="49" t="str">
        <f t="shared" si="1"/>
        <v>46800</v>
      </c>
      <c r="H6973" s="49">
        <f t="shared" si="2"/>
        <v>46014</v>
      </c>
    </row>
    <row r="6974">
      <c r="A6974" s="48" t="s">
        <v>407</v>
      </c>
      <c r="B6974" s="38">
        <v>71492.0</v>
      </c>
      <c r="C6974" s="38" t="s">
        <v>10435</v>
      </c>
      <c r="D6974" s="38" t="str">
        <f>IFERROR(__xludf.DUMMYFUNCTION("REGEXREPLACE(C6974,""-\d+(.*)|--\d+(.*)"","""")"),"SAINT-YTHAIRE")</f>
        <v>SAINT-YTHAIRE</v>
      </c>
      <c r="E6974" s="38" t="s">
        <v>344</v>
      </c>
      <c r="F6974" s="38" t="s">
        <v>106</v>
      </c>
      <c r="G6974" s="49" t="str">
        <f t="shared" si="1"/>
        <v>71460</v>
      </c>
      <c r="H6974" s="49">
        <f t="shared" si="2"/>
        <v>71492</v>
      </c>
    </row>
    <row r="6975">
      <c r="A6975" s="48" t="s">
        <v>301</v>
      </c>
      <c r="B6975" s="38">
        <v>57753.0</v>
      </c>
      <c r="C6975" s="38" t="s">
        <v>10436</v>
      </c>
      <c r="D6975" s="38" t="str">
        <f>IFERROR(__xludf.DUMMYFUNCTION("REGEXREPLACE(C6975,""-\d+(.*)|--\d+(.*)"","""")"),"WUISSE")</f>
        <v>WUISSE</v>
      </c>
      <c r="E6975" s="38" t="s">
        <v>303</v>
      </c>
      <c r="F6975" s="38" t="s">
        <v>195</v>
      </c>
      <c r="G6975" s="49" t="str">
        <f t="shared" si="1"/>
        <v>57170</v>
      </c>
      <c r="H6975" s="49">
        <f t="shared" si="2"/>
        <v>57753</v>
      </c>
    </row>
    <row r="6976">
      <c r="A6976" s="48" t="s">
        <v>3024</v>
      </c>
      <c r="B6976" s="38">
        <v>91345.0</v>
      </c>
      <c r="C6976" s="38" t="s">
        <v>10437</v>
      </c>
      <c r="D6976" s="38" t="str">
        <f>IFERROR(__xludf.DUMMYFUNCTION("REGEXREPLACE(C6976,""-\d+(.*)|--\d+(.*)"","""")"),"LONGJUMEAU")</f>
        <v>LONGJUMEAU</v>
      </c>
      <c r="E6976" s="38" t="s">
        <v>756</v>
      </c>
      <c r="F6976" s="38" t="s">
        <v>245</v>
      </c>
      <c r="G6976" s="49" t="str">
        <f t="shared" si="1"/>
        <v>91160</v>
      </c>
      <c r="H6976" s="49">
        <f t="shared" si="2"/>
        <v>91345</v>
      </c>
    </row>
    <row r="6977">
      <c r="A6977" s="48" t="s">
        <v>7355</v>
      </c>
      <c r="B6977" s="38">
        <v>33180.0</v>
      </c>
      <c r="C6977" s="38" t="s">
        <v>10438</v>
      </c>
      <c r="D6977" s="38" t="str">
        <f>IFERROR(__xludf.DUMMYFUNCTION("REGEXREPLACE(C6977,""-\d+(.*)|--\d+(.*)"","""")"),"GANS")</f>
        <v>GANS</v>
      </c>
      <c r="E6977" s="38" t="s">
        <v>462</v>
      </c>
      <c r="F6977" s="38" t="s">
        <v>252</v>
      </c>
      <c r="G6977" s="49" t="str">
        <f t="shared" si="1"/>
        <v>33430</v>
      </c>
      <c r="H6977" s="49">
        <f t="shared" si="2"/>
        <v>33180</v>
      </c>
    </row>
    <row r="6978">
      <c r="A6978" s="48" t="s">
        <v>6460</v>
      </c>
      <c r="B6978" s="38">
        <v>85048.0</v>
      </c>
      <c r="C6978" s="38" t="s">
        <v>10439</v>
      </c>
      <c r="D6978" s="38" t="str">
        <f>IFERROR(__xludf.DUMMYFUNCTION("REGEXREPLACE(C6978,""-\d+(.*)|--\d+(.*)"","""")"),"CHAMBRETAUD")</f>
        <v>CHAMBRETAUD</v>
      </c>
      <c r="E6978" s="38" t="s">
        <v>179</v>
      </c>
      <c r="F6978" s="38" t="s">
        <v>180</v>
      </c>
      <c r="G6978" s="49" t="str">
        <f t="shared" si="1"/>
        <v>85500</v>
      </c>
      <c r="H6978" s="49">
        <f t="shared" si="2"/>
        <v>85048</v>
      </c>
    </row>
    <row r="6979">
      <c r="A6979" s="48" t="s">
        <v>2019</v>
      </c>
      <c r="B6979" s="38">
        <v>90101.0</v>
      </c>
      <c r="C6979" s="38" t="s">
        <v>10440</v>
      </c>
      <c r="D6979" s="38" t="str">
        <f>IFERROR(__xludf.DUMMYFUNCTION("REGEXREPLACE(C6979,""-\d+(.*)|--\d+(.*)"","""")"),"VELLESCOT")</f>
        <v>VELLESCOT</v>
      </c>
      <c r="E6979" s="38" t="s">
        <v>1283</v>
      </c>
      <c r="F6979" s="38" t="s">
        <v>214</v>
      </c>
      <c r="G6979" s="49" t="str">
        <f t="shared" si="1"/>
        <v>90100</v>
      </c>
      <c r="H6979" s="49">
        <f t="shared" si="2"/>
        <v>90101</v>
      </c>
    </row>
    <row r="6980">
      <c r="A6980" s="48" t="s">
        <v>2164</v>
      </c>
      <c r="B6980" s="38">
        <v>63390.0</v>
      </c>
      <c r="C6980" s="38" t="s">
        <v>10441</v>
      </c>
      <c r="D6980" s="38" t="str">
        <f>IFERROR(__xludf.DUMMYFUNCTION("REGEXREPLACE(C6980,""-\d+(.*)|--\d+(.*)"","""")"),"SAINT-QUINTIN-SUR-SIOULE")</f>
        <v>SAINT-QUINTIN-SUR-SIOULE</v>
      </c>
      <c r="E6980" s="38" t="s">
        <v>353</v>
      </c>
      <c r="F6980" s="38" t="s">
        <v>161</v>
      </c>
      <c r="G6980" s="49" t="str">
        <f t="shared" si="1"/>
        <v>63440</v>
      </c>
      <c r="H6980" s="49">
        <f t="shared" si="2"/>
        <v>63390</v>
      </c>
    </row>
    <row r="6981">
      <c r="A6981" s="48" t="s">
        <v>10442</v>
      </c>
      <c r="B6981" s="38">
        <v>13204.0</v>
      </c>
      <c r="C6981" s="38" t="s">
        <v>10443</v>
      </c>
      <c r="D6981" s="38" t="str">
        <f>IFERROR(__xludf.DUMMYFUNCTION("REGEXREPLACE(C6981,""-\d+(.*)|--\d+(.*)"","""")"),"MARSEILLE")</f>
        <v>MARSEILLE</v>
      </c>
      <c r="E6981" s="38" t="s">
        <v>980</v>
      </c>
      <c r="F6981" s="38" t="s">
        <v>228</v>
      </c>
      <c r="G6981" s="49" t="str">
        <f t="shared" si="1"/>
        <v>13004</v>
      </c>
      <c r="H6981" s="49">
        <f t="shared" si="2"/>
        <v>13204</v>
      </c>
    </row>
    <row r="6982">
      <c r="A6982" s="48" t="s">
        <v>5032</v>
      </c>
      <c r="B6982" s="38">
        <v>44065.0</v>
      </c>
      <c r="C6982" s="38" t="s">
        <v>10444</v>
      </c>
      <c r="D6982" s="38" t="str">
        <f>IFERROR(__xludf.DUMMYFUNCTION("REGEXREPLACE(C6982,""-\d+(.*)|--\d+(.*)"","""")"),"GRAND-AUVERNE")</f>
        <v>GRAND-AUVERNE</v>
      </c>
      <c r="E6982" s="38" t="s">
        <v>759</v>
      </c>
      <c r="F6982" s="38" t="s">
        <v>180</v>
      </c>
      <c r="G6982" s="49" t="str">
        <f t="shared" si="1"/>
        <v>44520</v>
      </c>
      <c r="H6982" s="49">
        <f t="shared" si="2"/>
        <v>44065</v>
      </c>
    </row>
    <row r="6983">
      <c r="A6983" s="48" t="s">
        <v>10445</v>
      </c>
      <c r="B6983" s="38">
        <v>52042.0</v>
      </c>
      <c r="C6983" s="38" t="s">
        <v>10446</v>
      </c>
      <c r="D6983" s="38" t="str">
        <f>IFERROR(__xludf.DUMMYFUNCTION("REGEXREPLACE(C6983,""-\d+(.*)|--\d+(.*)"","""")"),"BEAUCHEMIN")</f>
        <v>BEAUCHEMIN</v>
      </c>
      <c r="E6983" s="38" t="s">
        <v>234</v>
      </c>
      <c r="F6983" s="38" t="s">
        <v>130</v>
      </c>
      <c r="G6983" s="49" t="str">
        <f t="shared" si="1"/>
        <v>52260</v>
      </c>
      <c r="H6983" s="49">
        <f t="shared" si="2"/>
        <v>52042</v>
      </c>
    </row>
    <row r="6984">
      <c r="A6984" s="48" t="s">
        <v>1074</v>
      </c>
      <c r="B6984" s="38">
        <v>27688.0</v>
      </c>
      <c r="C6984" s="38" t="s">
        <v>10447</v>
      </c>
      <c r="D6984" s="38" t="str">
        <f>IFERROR(__xludf.DUMMYFUNCTION("REGEXREPLACE(C6984,""-\d+(.*)|--\d+(.*)"","""")"),"VILLALET")</f>
        <v>VILLALET</v>
      </c>
      <c r="E6984" s="38" t="s">
        <v>241</v>
      </c>
      <c r="F6984" s="38" t="s">
        <v>134</v>
      </c>
      <c r="G6984" s="49" t="str">
        <f t="shared" si="1"/>
        <v>27240</v>
      </c>
      <c r="H6984" s="49">
        <f t="shared" si="2"/>
        <v>27688</v>
      </c>
    </row>
    <row r="6985">
      <c r="A6985" s="48" t="s">
        <v>5555</v>
      </c>
      <c r="B6985" s="38">
        <v>82068.0</v>
      </c>
      <c r="C6985" s="38" t="s">
        <v>10448</v>
      </c>
      <c r="D6985" s="38" t="str">
        <f>IFERROR(__xludf.DUMMYFUNCTION("REGEXREPLACE(C6985,""-\d+(.*)|--\d+(.*)"","""")"),"GIMAT")</f>
        <v>GIMAT</v>
      </c>
      <c r="E6985" s="38" t="s">
        <v>570</v>
      </c>
      <c r="F6985" s="38" t="s">
        <v>94</v>
      </c>
      <c r="G6985" s="49" t="str">
        <f t="shared" si="1"/>
        <v>82500</v>
      </c>
      <c r="H6985" s="49">
        <f t="shared" si="2"/>
        <v>82068</v>
      </c>
    </row>
    <row r="6986">
      <c r="A6986" s="48" t="s">
        <v>5560</v>
      </c>
      <c r="B6986" s="38">
        <v>4187.0</v>
      </c>
      <c r="C6986" s="38" t="s">
        <v>10449</v>
      </c>
      <c r="D6986" s="38" t="str">
        <f>IFERROR(__xludf.DUMMYFUNCTION("REGEXREPLACE(C6986,""-\d+(.*)|--\d+(.*)"","""")"),"SAINT-LIONS")</f>
        <v>SAINT-LIONS</v>
      </c>
      <c r="E6986" s="38" t="s">
        <v>662</v>
      </c>
      <c r="F6986" s="38" t="s">
        <v>228</v>
      </c>
      <c r="G6986" s="49" t="str">
        <f t="shared" si="1"/>
        <v>04330</v>
      </c>
      <c r="H6986" s="49" t="str">
        <f t="shared" si="2"/>
        <v>04187</v>
      </c>
    </row>
    <row r="6987">
      <c r="A6987" s="48" t="s">
        <v>9067</v>
      </c>
      <c r="B6987" s="38">
        <v>73012.0</v>
      </c>
      <c r="C6987" s="38" t="s">
        <v>10450</v>
      </c>
      <c r="D6987" s="38" t="str">
        <f>IFERROR(__xludf.DUMMYFUNCTION("REGEXREPLACE(C6987,""-\d+(.*)|--\d+(.*)"","""")"),"ALBIEZ-LE-JEUNE")</f>
        <v>ALBIEZ-LE-JEUNE</v>
      </c>
      <c r="E6987" s="38" t="s">
        <v>306</v>
      </c>
      <c r="F6987" s="38" t="s">
        <v>102</v>
      </c>
      <c r="G6987" s="49" t="str">
        <f t="shared" si="1"/>
        <v>73300</v>
      </c>
      <c r="H6987" s="49">
        <f t="shared" si="2"/>
        <v>73012</v>
      </c>
    </row>
    <row r="6988">
      <c r="A6988" s="48" t="s">
        <v>10451</v>
      </c>
      <c r="B6988" s="38">
        <v>76492.0</v>
      </c>
      <c r="C6988" s="38" t="s">
        <v>10452</v>
      </c>
      <c r="D6988" s="38" t="str">
        <f>IFERROR(__xludf.DUMMYFUNCTION("REGEXREPLACE(C6988,""-\d+(.*)|--\d+(.*)"","""")"),"OUVILLE-LA-RIVIERE")</f>
        <v>OUVILLE-LA-RIVIERE</v>
      </c>
      <c r="E6988" s="38" t="s">
        <v>133</v>
      </c>
      <c r="F6988" s="38" t="s">
        <v>134</v>
      </c>
      <c r="G6988" s="49" t="str">
        <f t="shared" si="1"/>
        <v>76860</v>
      </c>
      <c r="H6988" s="49">
        <f t="shared" si="2"/>
        <v>76492</v>
      </c>
    </row>
    <row r="6989">
      <c r="A6989" s="48" t="s">
        <v>1341</v>
      </c>
      <c r="B6989" s="38">
        <v>14200.0</v>
      </c>
      <c r="C6989" s="38" t="s">
        <v>10453</v>
      </c>
      <c r="D6989" s="38" t="str">
        <f>IFERROR(__xludf.DUMMYFUNCTION("REGEXREPLACE(C6989,""-\d+(.*)|--\d+(.*)"","""")"),"CREULLY")</f>
        <v>CREULLY</v>
      </c>
      <c r="E6989" s="38" t="s">
        <v>137</v>
      </c>
      <c r="F6989" s="38" t="s">
        <v>138</v>
      </c>
      <c r="G6989" s="49" t="str">
        <f t="shared" si="1"/>
        <v>14480</v>
      </c>
      <c r="H6989" s="49">
        <f t="shared" si="2"/>
        <v>14200</v>
      </c>
    </row>
    <row r="6990">
      <c r="A6990" s="48" t="s">
        <v>2328</v>
      </c>
      <c r="B6990" s="38">
        <v>57706.0</v>
      </c>
      <c r="C6990" s="38" t="s">
        <v>10454</v>
      </c>
      <c r="D6990" s="38" t="str">
        <f>IFERROR(__xludf.DUMMYFUNCTION("REGEXREPLACE(C6990,""-\d+(.*)|--\d+(.*)"","""")"),"VERGAVILLE")</f>
        <v>VERGAVILLE</v>
      </c>
      <c r="E6990" s="38" t="s">
        <v>303</v>
      </c>
      <c r="F6990" s="38" t="s">
        <v>195</v>
      </c>
      <c r="G6990" s="49" t="str">
        <f t="shared" si="1"/>
        <v>57260</v>
      </c>
      <c r="H6990" s="49">
        <f t="shared" si="2"/>
        <v>57706</v>
      </c>
    </row>
    <row r="6991">
      <c r="A6991" s="48" t="s">
        <v>3808</v>
      </c>
      <c r="B6991" s="38">
        <v>86171.0</v>
      </c>
      <c r="C6991" s="38" t="s">
        <v>10455</v>
      </c>
      <c r="D6991" s="38" t="str">
        <f>IFERROR(__xludf.DUMMYFUNCTION("REGEXREPLACE(C6991,""-\d+(.*)|--\d+(.*)"","""")"),"MOUSSAC")</f>
        <v>MOUSSAC</v>
      </c>
      <c r="E6991" s="38" t="s">
        <v>529</v>
      </c>
      <c r="F6991" s="38" t="s">
        <v>338</v>
      </c>
      <c r="G6991" s="49" t="str">
        <f t="shared" si="1"/>
        <v>86150</v>
      </c>
      <c r="H6991" s="49">
        <f t="shared" si="2"/>
        <v>86171</v>
      </c>
    </row>
    <row r="6992">
      <c r="A6992" s="48" t="s">
        <v>6019</v>
      </c>
      <c r="B6992" s="38">
        <v>39360.0</v>
      </c>
      <c r="C6992" s="38" t="s">
        <v>10456</v>
      </c>
      <c r="D6992" s="38" t="str">
        <f>IFERROR(__xludf.DUMMYFUNCTION("REGEXREPLACE(C6992,""-\d+(.*)|--\d+(.*)"","""")"),"MONTMIREY-LA-VILLE")</f>
        <v>MONTMIREY-LA-VILLE</v>
      </c>
      <c r="E6992" s="38" t="s">
        <v>400</v>
      </c>
      <c r="F6992" s="38" t="s">
        <v>214</v>
      </c>
      <c r="G6992" s="49" t="str">
        <f t="shared" si="1"/>
        <v>39290</v>
      </c>
      <c r="H6992" s="49">
        <f t="shared" si="2"/>
        <v>39360</v>
      </c>
    </row>
    <row r="6993">
      <c r="A6993" s="48" t="s">
        <v>2471</v>
      </c>
      <c r="B6993" s="38">
        <v>11024.0</v>
      </c>
      <c r="C6993" s="38" t="s">
        <v>10457</v>
      </c>
      <c r="D6993" s="38" t="str">
        <f>IFERROR(__xludf.DUMMYFUNCTION("REGEXREPLACE(C6993,""-\d+(.*)|--\d+(.*)"","""")"),"BAGES")</f>
        <v>BAGES</v>
      </c>
      <c r="E6993" s="38" t="s">
        <v>278</v>
      </c>
      <c r="F6993" s="38" t="s">
        <v>119</v>
      </c>
      <c r="G6993" s="49" t="str">
        <f t="shared" si="1"/>
        <v>11100</v>
      </c>
      <c r="H6993" s="49">
        <f t="shared" si="2"/>
        <v>11024</v>
      </c>
    </row>
    <row r="6994">
      <c r="A6994" s="48" t="s">
        <v>958</v>
      </c>
      <c r="B6994" s="38">
        <v>71500.0</v>
      </c>
      <c r="C6994" s="38" t="s">
        <v>2392</v>
      </c>
      <c r="D6994" s="38" t="str">
        <f>IFERROR(__xludf.DUMMYFUNCTION("REGEXREPLACE(C6994,""-\d+(.*)|--\d+(.*)"","""")"),"SARRY")</f>
        <v>SARRY</v>
      </c>
      <c r="E6994" s="38" t="s">
        <v>344</v>
      </c>
      <c r="F6994" s="38" t="s">
        <v>106</v>
      </c>
      <c r="G6994" s="49" t="str">
        <f t="shared" si="1"/>
        <v>71110</v>
      </c>
      <c r="H6994" s="49">
        <f t="shared" si="2"/>
        <v>71500</v>
      </c>
    </row>
    <row r="6995">
      <c r="A6995" s="48" t="s">
        <v>2176</v>
      </c>
      <c r="B6995" s="38">
        <v>62180.0</v>
      </c>
      <c r="C6995" s="38" t="s">
        <v>10458</v>
      </c>
      <c r="D6995" s="38" t="str">
        <f>IFERROR(__xludf.DUMMYFUNCTION("REGEXREPLACE(C6995,""-\d+(.*)|--\d+(.*)"","""")"),"BRIAS")</f>
        <v>BRIAS</v>
      </c>
      <c r="E6995" s="38" t="s">
        <v>109</v>
      </c>
      <c r="F6995" s="38" t="s">
        <v>86</v>
      </c>
      <c r="G6995" s="49" t="str">
        <f t="shared" si="1"/>
        <v>62130</v>
      </c>
      <c r="H6995" s="49">
        <f t="shared" si="2"/>
        <v>62180</v>
      </c>
    </row>
    <row r="6996">
      <c r="A6996" s="48" t="s">
        <v>10459</v>
      </c>
      <c r="B6996" s="38">
        <v>54546.0</v>
      </c>
      <c r="C6996" s="38" t="s">
        <v>10460</v>
      </c>
      <c r="D6996" s="38" t="str">
        <f>IFERROR(__xludf.DUMMYFUNCTION("REGEXREPLACE(C6996,""-\d+(.*)|--\d+(.*)"","""")"),"VANDIERES")</f>
        <v>VANDIERES</v>
      </c>
      <c r="E6996" s="38" t="s">
        <v>548</v>
      </c>
      <c r="F6996" s="38" t="s">
        <v>195</v>
      </c>
      <c r="G6996" s="49" t="str">
        <f t="shared" si="1"/>
        <v>54121</v>
      </c>
      <c r="H6996" s="49">
        <f t="shared" si="2"/>
        <v>54546</v>
      </c>
    </row>
    <row r="6997">
      <c r="A6997" s="48" t="s">
        <v>8969</v>
      </c>
      <c r="B6997" s="38">
        <v>19189.0</v>
      </c>
      <c r="C6997" s="38" t="s">
        <v>10461</v>
      </c>
      <c r="D6997" s="38" t="str">
        <f>IFERROR(__xludf.DUMMYFUNCTION("REGEXREPLACE(C6997,""-\d+(.*)|--\d+(.*)"","""")"),"SAINT-BONNET-LES-TOURS-DE-MERLE")</f>
        <v>SAINT-BONNET-LES-TOURS-DE-MERLE</v>
      </c>
      <c r="E6997" s="38" t="s">
        <v>271</v>
      </c>
      <c r="F6997" s="38" t="s">
        <v>98</v>
      </c>
      <c r="G6997" s="49" t="str">
        <f t="shared" si="1"/>
        <v>19430</v>
      </c>
      <c r="H6997" s="49">
        <f t="shared" si="2"/>
        <v>19189</v>
      </c>
    </row>
    <row r="6998">
      <c r="A6998" s="48" t="s">
        <v>1695</v>
      </c>
      <c r="B6998" s="38">
        <v>80216.0</v>
      </c>
      <c r="C6998" s="38" t="s">
        <v>10462</v>
      </c>
      <c r="D6998" s="38" t="str">
        <f>IFERROR(__xludf.DUMMYFUNCTION("REGEXREPLACE(C6998,""-\d+(.*)|--\d+(.*)"","""")"),"COURCELETTE")</f>
        <v>COURCELETTE</v>
      </c>
      <c r="E6998" s="38" t="s">
        <v>224</v>
      </c>
      <c r="F6998" s="38" t="s">
        <v>113</v>
      </c>
      <c r="G6998" s="49" t="str">
        <f t="shared" si="1"/>
        <v>80300</v>
      </c>
      <c r="H6998" s="49">
        <f t="shared" si="2"/>
        <v>80216</v>
      </c>
    </row>
    <row r="6999">
      <c r="A6999" s="48" t="s">
        <v>10463</v>
      </c>
      <c r="B6999" s="38">
        <v>50223.0</v>
      </c>
      <c r="C6999" s="38" t="s">
        <v>10464</v>
      </c>
      <c r="D6999" s="38" t="str">
        <f>IFERROR(__xludf.DUMMYFUNCTION("REGEXREPLACE(C6999,""-\d+(.*)|--\d+(.*)"","""")"),"GUEHEBERT")</f>
        <v>GUEHEBERT</v>
      </c>
      <c r="E6999" s="38" t="s">
        <v>157</v>
      </c>
      <c r="F6999" s="38" t="s">
        <v>138</v>
      </c>
      <c r="G6999" s="49" t="str">
        <f t="shared" si="1"/>
        <v>50210</v>
      </c>
      <c r="H6999" s="49">
        <f t="shared" si="2"/>
        <v>50223</v>
      </c>
    </row>
    <row r="7000">
      <c r="A7000" s="48" t="s">
        <v>10465</v>
      </c>
      <c r="B7000" s="38">
        <v>71223.0</v>
      </c>
      <c r="C7000" s="38" t="s">
        <v>10466</v>
      </c>
      <c r="D7000" s="38" t="str">
        <f>IFERROR(__xludf.DUMMYFUNCTION("REGEXREPLACE(C7000,""-\d+(.*)|--\d+(.*)"","""")"),"LA GRANDE-VERRIERE")</f>
        <v>LA GRANDE-VERRIERE</v>
      </c>
      <c r="E7000" s="38" t="s">
        <v>344</v>
      </c>
      <c r="F7000" s="38" t="s">
        <v>106</v>
      </c>
      <c r="G7000" s="49" t="str">
        <f t="shared" si="1"/>
        <v>71990</v>
      </c>
      <c r="H7000" s="49">
        <f t="shared" si="2"/>
        <v>71223</v>
      </c>
    </row>
    <row r="7001">
      <c r="A7001" s="48" t="s">
        <v>6633</v>
      </c>
      <c r="B7001" s="38">
        <v>64500.0</v>
      </c>
      <c r="C7001" s="38" t="s">
        <v>10467</v>
      </c>
      <c r="D7001" s="38" t="str">
        <f>IFERROR(__xludf.DUMMYFUNCTION("REGEXREPLACE(C7001,""-\d+(.*)|--\d+(.*)"","""")"),"SALLES-MONGISCARD")</f>
        <v>SALLES-MONGISCARD</v>
      </c>
      <c r="E7001" s="38" t="s">
        <v>268</v>
      </c>
      <c r="F7001" s="38" t="s">
        <v>252</v>
      </c>
      <c r="G7001" s="49" t="str">
        <f t="shared" si="1"/>
        <v>64300</v>
      </c>
      <c r="H7001" s="49">
        <f t="shared" si="2"/>
        <v>64500</v>
      </c>
    </row>
    <row r="7002">
      <c r="A7002" s="48" t="s">
        <v>10468</v>
      </c>
      <c r="B7002" s="38">
        <v>87138.0</v>
      </c>
      <c r="C7002" s="38" t="s">
        <v>10469</v>
      </c>
      <c r="D7002" s="38" t="str">
        <f>IFERROR(__xludf.DUMMYFUNCTION("REGEXREPLACE(C7002,""-\d+(.*)|--\d+(.*)"","""")"),"SAINT-BONNET-BRIANCE")</f>
        <v>SAINT-BONNET-BRIANCE</v>
      </c>
      <c r="E7002" s="38" t="s">
        <v>897</v>
      </c>
      <c r="F7002" s="38" t="s">
        <v>98</v>
      </c>
      <c r="G7002" s="49" t="str">
        <f t="shared" si="1"/>
        <v>87260</v>
      </c>
      <c r="H7002" s="49">
        <f t="shared" si="2"/>
        <v>87138</v>
      </c>
    </row>
    <row r="7003">
      <c r="A7003" s="48" t="s">
        <v>8577</v>
      </c>
      <c r="B7003" s="38">
        <v>3231.0</v>
      </c>
      <c r="C7003" s="38" t="s">
        <v>10470</v>
      </c>
      <c r="D7003" s="38" t="str">
        <f>IFERROR(__xludf.DUMMYFUNCTION("REGEXREPLACE(C7003,""-\d+(.*)|--\d+(.*)"","""")"),"SAINT-FARGEOL")</f>
        <v>SAINT-FARGEOL</v>
      </c>
      <c r="E7003" s="38" t="s">
        <v>160</v>
      </c>
      <c r="F7003" s="38" t="s">
        <v>161</v>
      </c>
      <c r="G7003" s="49" t="str">
        <f t="shared" si="1"/>
        <v>03420</v>
      </c>
      <c r="H7003" s="49" t="str">
        <f t="shared" si="2"/>
        <v>03231</v>
      </c>
    </row>
    <row r="7004">
      <c r="A7004" s="48" t="s">
        <v>8847</v>
      </c>
      <c r="B7004" s="38">
        <v>42320.0</v>
      </c>
      <c r="C7004" s="38" t="s">
        <v>10471</v>
      </c>
      <c r="D7004" s="38" t="str">
        <f>IFERROR(__xludf.DUMMYFUNCTION("REGEXREPLACE(C7004,""-\d+(.*)|--\d+(.*)"","""")"),"VALFLEURY")</f>
        <v>VALFLEURY</v>
      </c>
      <c r="E7004" s="38" t="s">
        <v>166</v>
      </c>
      <c r="F7004" s="38" t="s">
        <v>102</v>
      </c>
      <c r="G7004" s="49" t="str">
        <f t="shared" si="1"/>
        <v>42320</v>
      </c>
      <c r="H7004" s="49">
        <f t="shared" si="2"/>
        <v>42320</v>
      </c>
    </row>
    <row r="7005">
      <c r="A7005" s="48" t="s">
        <v>10472</v>
      </c>
      <c r="B7005" s="38">
        <v>26231.0</v>
      </c>
      <c r="C7005" s="38" t="s">
        <v>10473</v>
      </c>
      <c r="D7005" s="38" t="str">
        <f>IFERROR(__xludf.DUMMYFUNCTION("REGEXREPLACE(C7005,""-\d+(.*)|--\d+(.*)"","""")"),"PEYRINS")</f>
        <v>PEYRINS</v>
      </c>
      <c r="E7005" s="38" t="s">
        <v>126</v>
      </c>
      <c r="F7005" s="38" t="s">
        <v>102</v>
      </c>
      <c r="G7005" s="49" t="str">
        <f t="shared" si="1"/>
        <v>26380</v>
      </c>
      <c r="H7005" s="49">
        <f t="shared" si="2"/>
        <v>26231</v>
      </c>
    </row>
    <row r="7006">
      <c r="A7006" s="48" t="s">
        <v>3733</v>
      </c>
      <c r="B7006" s="38">
        <v>78320.0</v>
      </c>
      <c r="C7006" s="38" t="s">
        <v>10474</v>
      </c>
      <c r="D7006" s="38" t="str">
        <f>IFERROR(__xludf.DUMMYFUNCTION("REGEXREPLACE(C7006,""-\d+(.*)|--\d+(.*)"","""")"),"JEUFOSSE")</f>
        <v>JEUFOSSE</v>
      </c>
      <c r="E7006" s="38" t="s">
        <v>362</v>
      </c>
      <c r="F7006" s="38" t="s">
        <v>245</v>
      </c>
      <c r="G7006" s="49" t="str">
        <f t="shared" si="1"/>
        <v>78270</v>
      </c>
      <c r="H7006" s="49">
        <f t="shared" si="2"/>
        <v>78320</v>
      </c>
    </row>
    <row r="7007">
      <c r="A7007" s="48" t="s">
        <v>1104</v>
      </c>
      <c r="B7007" s="38">
        <v>52057.0</v>
      </c>
      <c r="C7007" s="38" t="s">
        <v>10475</v>
      </c>
      <c r="D7007" s="38" t="str">
        <f>IFERROR(__xludf.DUMMYFUNCTION("REGEXREPLACE(C7007,""-\d+(.*)|--\d+(.*)"","""")"),"BLUMERAY")</f>
        <v>BLUMERAY</v>
      </c>
      <c r="E7007" s="38" t="s">
        <v>234</v>
      </c>
      <c r="F7007" s="38" t="s">
        <v>130</v>
      </c>
      <c r="G7007" s="49" t="str">
        <f t="shared" si="1"/>
        <v>52110</v>
      </c>
      <c r="H7007" s="49">
        <f t="shared" si="2"/>
        <v>52057</v>
      </c>
    </row>
    <row r="7008">
      <c r="A7008" s="48" t="s">
        <v>1993</v>
      </c>
      <c r="B7008" s="38">
        <v>2742.0</v>
      </c>
      <c r="C7008" s="38" t="s">
        <v>10476</v>
      </c>
      <c r="D7008" s="38" t="str">
        <f>IFERROR(__xludf.DUMMYFUNCTION("REGEXREPLACE(C7008,""-\d+(.*)|--\d+(.*)"","""")"),"THIERNU")</f>
        <v>THIERNU</v>
      </c>
      <c r="E7008" s="38" t="s">
        <v>191</v>
      </c>
      <c r="F7008" s="38" t="s">
        <v>113</v>
      </c>
      <c r="G7008" s="49" t="str">
        <f t="shared" si="1"/>
        <v>02250</v>
      </c>
      <c r="H7008" s="49" t="str">
        <f t="shared" si="2"/>
        <v>02742</v>
      </c>
    </row>
    <row r="7009">
      <c r="A7009" s="48" t="s">
        <v>2312</v>
      </c>
      <c r="B7009" s="38">
        <v>67322.0</v>
      </c>
      <c r="C7009" s="38" t="s">
        <v>10477</v>
      </c>
      <c r="D7009" s="38" t="str">
        <f>IFERROR(__xludf.DUMMYFUNCTION("REGEXREPLACE(C7009,""-\d+(.*)|--\d+(.*)"","""")"),"NEUWILLER-LES-SAVERNE")</f>
        <v>NEUWILLER-LES-SAVERNE</v>
      </c>
      <c r="E7009" s="38" t="s">
        <v>210</v>
      </c>
      <c r="F7009" s="38" t="s">
        <v>151</v>
      </c>
      <c r="G7009" s="49" t="str">
        <f t="shared" si="1"/>
        <v>67330</v>
      </c>
      <c r="H7009" s="49">
        <f t="shared" si="2"/>
        <v>67322</v>
      </c>
    </row>
    <row r="7010">
      <c r="A7010" s="48" t="s">
        <v>407</v>
      </c>
      <c r="B7010" s="38">
        <v>71164.0</v>
      </c>
      <c r="C7010" s="38" t="s">
        <v>10478</v>
      </c>
      <c r="D7010" s="38" t="str">
        <f>IFERROR(__xludf.DUMMYFUNCTION("REGEXREPLACE(C7010,""-\d+(.*)|--\d+(.*)"","""")"),"CURTIL-SOUS-BURNAND")</f>
        <v>CURTIL-SOUS-BURNAND</v>
      </c>
      <c r="E7010" s="38" t="s">
        <v>344</v>
      </c>
      <c r="F7010" s="38" t="s">
        <v>106</v>
      </c>
      <c r="G7010" s="49" t="str">
        <f t="shared" si="1"/>
        <v>71460</v>
      </c>
      <c r="H7010" s="49">
        <f t="shared" si="2"/>
        <v>71164</v>
      </c>
    </row>
    <row r="7011">
      <c r="A7011" s="48" t="s">
        <v>3448</v>
      </c>
      <c r="B7011" s="38">
        <v>65303.0</v>
      </c>
      <c r="C7011" s="38" t="s">
        <v>7197</v>
      </c>
      <c r="D7011" s="38" t="str">
        <f>IFERROR(__xludf.DUMMYFUNCTION("REGEXREPLACE(C7011,""-\d+(.*)|--\d+(.*)"","""")"),"MASCARAS")</f>
        <v>MASCARAS</v>
      </c>
      <c r="E7011" s="38" t="s">
        <v>200</v>
      </c>
      <c r="F7011" s="38" t="s">
        <v>94</v>
      </c>
      <c r="G7011" s="49" t="str">
        <f t="shared" si="1"/>
        <v>65190</v>
      </c>
      <c r="H7011" s="49">
        <f t="shared" si="2"/>
        <v>65303</v>
      </c>
    </row>
    <row r="7012">
      <c r="A7012" s="48" t="s">
        <v>5070</v>
      </c>
      <c r="B7012" s="38">
        <v>79106.0</v>
      </c>
      <c r="C7012" s="38" t="s">
        <v>10479</v>
      </c>
      <c r="D7012" s="38" t="str">
        <f>IFERROR(__xludf.DUMMYFUNCTION("REGEXREPLACE(C7012,""-\d+(.*)|--\d+(.*)"","""")"),"COUTURE-D'ARGENSON")</f>
        <v>COUTURE-D'ARGENSON</v>
      </c>
      <c r="E7012" s="38" t="s">
        <v>337</v>
      </c>
      <c r="F7012" s="38" t="s">
        <v>338</v>
      </c>
      <c r="G7012" s="49" t="str">
        <f t="shared" si="1"/>
        <v>79110</v>
      </c>
      <c r="H7012" s="49">
        <f t="shared" si="2"/>
        <v>79106</v>
      </c>
    </row>
    <row r="7013">
      <c r="A7013" s="48" t="s">
        <v>9376</v>
      </c>
      <c r="B7013" s="38">
        <v>14621.0</v>
      </c>
      <c r="C7013" s="38" t="s">
        <v>10480</v>
      </c>
      <c r="D7013" s="38" t="str">
        <f>IFERROR(__xludf.DUMMYFUNCTION("REGEXREPLACE(C7013,""-\d+(.*)|--\d+(.*)"","""")"),"SAINT-MARTIN-DE-BIENFAITE-LA-CRESSONNIERE")</f>
        <v>SAINT-MARTIN-DE-BIENFAITE-LA-CRESSONNIERE</v>
      </c>
      <c r="E7013" s="38" t="s">
        <v>137</v>
      </c>
      <c r="F7013" s="38" t="s">
        <v>138</v>
      </c>
      <c r="G7013" s="49" t="str">
        <f t="shared" si="1"/>
        <v>14290</v>
      </c>
      <c r="H7013" s="49">
        <f t="shared" si="2"/>
        <v>14621</v>
      </c>
    </row>
    <row r="7014">
      <c r="A7014" s="48" t="s">
        <v>1042</v>
      </c>
      <c r="B7014" s="38">
        <v>60056.0</v>
      </c>
      <c r="C7014" s="38" t="s">
        <v>7405</v>
      </c>
      <c r="D7014" s="38" t="str">
        <f>IFERROR(__xludf.DUMMYFUNCTION("REGEXREPLACE(C7014,""-\d+(.*)|--\d+(.*)"","""")"),"BEAUREPAIRE")</f>
        <v>BEAUREPAIRE</v>
      </c>
      <c r="E7014" s="38" t="s">
        <v>112</v>
      </c>
      <c r="F7014" s="38" t="s">
        <v>113</v>
      </c>
      <c r="G7014" s="49" t="str">
        <f t="shared" si="1"/>
        <v>60700</v>
      </c>
      <c r="H7014" s="49">
        <f t="shared" si="2"/>
        <v>60056</v>
      </c>
    </row>
    <row r="7015">
      <c r="A7015" s="48" t="s">
        <v>10481</v>
      </c>
      <c r="B7015" s="38">
        <v>47201.0</v>
      </c>
      <c r="C7015" s="38" t="s">
        <v>10482</v>
      </c>
      <c r="D7015" s="38" t="str">
        <f>IFERROR(__xludf.DUMMYFUNCTION("REGEXREPLACE(C7015,""-\d+(.*)|--\d+(.*)"","""")"),"LE PASSAGE")</f>
        <v>LE PASSAGE</v>
      </c>
      <c r="E7015" s="38" t="s">
        <v>251</v>
      </c>
      <c r="F7015" s="38" t="s">
        <v>252</v>
      </c>
      <c r="G7015" s="49" t="str">
        <f t="shared" si="1"/>
        <v>47520</v>
      </c>
      <c r="H7015" s="49">
        <f t="shared" si="2"/>
        <v>47201</v>
      </c>
    </row>
    <row r="7016">
      <c r="A7016" s="48" t="s">
        <v>576</v>
      </c>
      <c r="B7016" s="38">
        <v>54161.0</v>
      </c>
      <c r="C7016" s="38" t="s">
        <v>10483</v>
      </c>
      <c r="D7016" s="38" t="str">
        <f>IFERROR(__xludf.DUMMYFUNCTION("REGEXREPLACE(C7016,""-\d+(.*)|--\d+(.*)"","""")"),"DOMEVRE-SUR-VEZOUZE")</f>
        <v>DOMEVRE-SUR-VEZOUZE</v>
      </c>
      <c r="E7016" s="38" t="s">
        <v>548</v>
      </c>
      <c r="F7016" s="38" t="s">
        <v>195</v>
      </c>
      <c r="G7016" s="49" t="str">
        <f t="shared" si="1"/>
        <v>54450</v>
      </c>
      <c r="H7016" s="49">
        <f t="shared" si="2"/>
        <v>54161</v>
      </c>
    </row>
    <row r="7017">
      <c r="A7017" s="48" t="s">
        <v>9795</v>
      </c>
      <c r="B7017" s="38">
        <v>33242.0</v>
      </c>
      <c r="C7017" s="38" t="s">
        <v>10484</v>
      </c>
      <c r="D7017" s="38" t="str">
        <f>IFERROR(__xludf.DUMMYFUNCTION("REGEXREPLACE(C7017,""-\d+(.*)|--\d+(.*)"","""")"),"LES LEVES-ET-THOUMEYRAGUES")</f>
        <v>LES LEVES-ET-THOUMEYRAGUES</v>
      </c>
      <c r="E7017" s="38" t="s">
        <v>462</v>
      </c>
      <c r="F7017" s="38" t="s">
        <v>252</v>
      </c>
      <c r="G7017" s="49" t="str">
        <f t="shared" si="1"/>
        <v>33220</v>
      </c>
      <c r="H7017" s="49">
        <f t="shared" si="2"/>
        <v>33242</v>
      </c>
    </row>
    <row r="7018">
      <c r="A7018" s="48" t="s">
        <v>131</v>
      </c>
      <c r="B7018" s="38">
        <v>76701.0</v>
      </c>
      <c r="C7018" s="38" t="s">
        <v>10485</v>
      </c>
      <c r="D7018" s="38" t="str">
        <f>IFERROR(__xludf.DUMMYFUNCTION("REGEXREPLACE(C7018,""-\d+(.*)|--\d+(.*)"","""")"),"TOUFFREVILLE-LA-CABLE")</f>
        <v>TOUFFREVILLE-LA-CABLE</v>
      </c>
      <c r="E7018" s="38" t="s">
        <v>133</v>
      </c>
      <c r="F7018" s="38" t="s">
        <v>134</v>
      </c>
      <c r="G7018" s="49" t="str">
        <f t="shared" si="1"/>
        <v>76170</v>
      </c>
      <c r="H7018" s="49">
        <f t="shared" si="2"/>
        <v>76701</v>
      </c>
    </row>
    <row r="7019">
      <c r="A7019" s="48" t="s">
        <v>1926</v>
      </c>
      <c r="B7019" s="38">
        <v>28231.0</v>
      </c>
      <c r="C7019" s="38" t="s">
        <v>10486</v>
      </c>
      <c r="D7019" s="38" t="str">
        <f>IFERROR(__xludf.DUMMYFUNCTION("REGEXREPLACE(C7019,""-\d+(.*)|--\d+(.*)"","""")"),"LA MANCELIERE")</f>
        <v>LA MANCELIERE</v>
      </c>
      <c r="E7019" s="38" t="s">
        <v>300</v>
      </c>
      <c r="F7019" s="38" t="s">
        <v>123</v>
      </c>
      <c r="G7019" s="49" t="str">
        <f t="shared" si="1"/>
        <v>28270</v>
      </c>
      <c r="H7019" s="49">
        <f t="shared" si="2"/>
        <v>28231</v>
      </c>
    </row>
    <row r="7020">
      <c r="A7020" s="48" t="s">
        <v>3502</v>
      </c>
      <c r="B7020" s="38">
        <v>22006.0</v>
      </c>
      <c r="C7020" s="38" t="s">
        <v>10487</v>
      </c>
      <c r="D7020" s="38" t="str">
        <f>IFERROR(__xludf.DUMMYFUNCTION("REGEXREPLACE(C7020,""-\d+(.*)|--\d+(.*)"","""")"),"BERHET")</f>
        <v>BERHET</v>
      </c>
      <c r="E7020" s="38" t="s">
        <v>89</v>
      </c>
      <c r="F7020" s="38" t="s">
        <v>90</v>
      </c>
      <c r="G7020" s="49" t="str">
        <f t="shared" si="1"/>
        <v>22140</v>
      </c>
      <c r="H7020" s="49">
        <f t="shared" si="2"/>
        <v>22006</v>
      </c>
    </row>
    <row r="7021">
      <c r="A7021" s="48" t="s">
        <v>1332</v>
      </c>
      <c r="B7021" s="38">
        <v>51588.0</v>
      </c>
      <c r="C7021" s="38" t="s">
        <v>10488</v>
      </c>
      <c r="D7021" s="38" t="str">
        <f>IFERROR(__xludf.DUMMYFUNCTION("REGEXREPLACE(C7021,""-\d+(.*)|--\d+(.*)"","""")"),"VALMY")</f>
        <v>VALMY</v>
      </c>
      <c r="E7021" s="38" t="s">
        <v>129</v>
      </c>
      <c r="F7021" s="38" t="s">
        <v>130</v>
      </c>
      <c r="G7021" s="49" t="str">
        <f t="shared" si="1"/>
        <v>51800</v>
      </c>
      <c r="H7021" s="49">
        <f t="shared" si="2"/>
        <v>51588</v>
      </c>
    </row>
    <row r="7022">
      <c r="A7022" s="48" t="s">
        <v>6647</v>
      </c>
      <c r="B7022" s="38">
        <v>58090.0</v>
      </c>
      <c r="C7022" s="38" t="s">
        <v>4680</v>
      </c>
      <c r="D7022" s="38" t="str">
        <f>IFERROR(__xludf.DUMMYFUNCTION("REGEXREPLACE(C7022,""-\d+(.*)|--\d+(.*)"","""")"),"COURCELLES")</f>
        <v>COURCELLES</v>
      </c>
      <c r="E7022" s="38" t="s">
        <v>219</v>
      </c>
      <c r="F7022" s="38" t="s">
        <v>106</v>
      </c>
      <c r="G7022" s="49" t="str">
        <f t="shared" si="1"/>
        <v>58210</v>
      </c>
      <c r="H7022" s="49">
        <f t="shared" si="2"/>
        <v>58090</v>
      </c>
    </row>
    <row r="7023">
      <c r="A7023" s="48" t="s">
        <v>5781</v>
      </c>
      <c r="B7023" s="38">
        <v>69291.0</v>
      </c>
      <c r="C7023" s="38" t="s">
        <v>10489</v>
      </c>
      <c r="D7023" s="38" t="str">
        <f>IFERROR(__xludf.DUMMYFUNCTION("REGEXREPLACE(C7023,""-\d+(.*)|--\d+(.*)"","""")"),"SAINT-SYMPHORIEN-D'OZON")</f>
        <v>SAINT-SYMPHORIEN-D'OZON</v>
      </c>
      <c r="E7023" s="38" t="s">
        <v>350</v>
      </c>
      <c r="F7023" s="38" t="s">
        <v>102</v>
      </c>
      <c r="G7023" s="49" t="str">
        <f t="shared" si="1"/>
        <v>69360</v>
      </c>
      <c r="H7023" s="49">
        <f t="shared" si="2"/>
        <v>69291</v>
      </c>
    </row>
    <row r="7024">
      <c r="A7024" s="48" t="s">
        <v>5166</v>
      </c>
      <c r="B7024" s="38">
        <v>26040.0</v>
      </c>
      <c r="C7024" s="38" t="s">
        <v>10490</v>
      </c>
      <c r="D7024" s="38" t="str">
        <f>IFERROR(__xludf.DUMMYFUNCTION("REGEXREPLACE(C7024,""-\d+(.*)|--\d+(.*)"","""")"),"BEAURIERES")</f>
        <v>BEAURIERES</v>
      </c>
      <c r="E7024" s="38" t="s">
        <v>126</v>
      </c>
      <c r="F7024" s="38" t="s">
        <v>102</v>
      </c>
      <c r="G7024" s="49" t="str">
        <f t="shared" si="1"/>
        <v>26310</v>
      </c>
      <c r="H7024" s="49">
        <f t="shared" si="2"/>
        <v>26040</v>
      </c>
    </row>
    <row r="7025">
      <c r="A7025" s="48" t="s">
        <v>639</v>
      </c>
      <c r="B7025" s="38">
        <v>16122.0</v>
      </c>
      <c r="C7025" s="38" t="s">
        <v>10491</v>
      </c>
      <c r="D7025" s="38" t="str">
        <f>IFERROR(__xludf.DUMMYFUNCTION("REGEXREPLACE(C7025,""-\d+(.*)|--\d+(.*)"","""")"),"EBREON")</f>
        <v>EBREON</v>
      </c>
      <c r="E7025" s="38" t="s">
        <v>429</v>
      </c>
      <c r="F7025" s="38" t="s">
        <v>338</v>
      </c>
      <c r="G7025" s="49" t="str">
        <f t="shared" si="1"/>
        <v>16140</v>
      </c>
      <c r="H7025" s="49">
        <f t="shared" si="2"/>
        <v>16122</v>
      </c>
    </row>
    <row r="7026">
      <c r="A7026" s="48" t="s">
        <v>1085</v>
      </c>
      <c r="B7026" s="38">
        <v>55492.0</v>
      </c>
      <c r="C7026" s="38" t="s">
        <v>10492</v>
      </c>
      <c r="D7026" s="38" t="str">
        <f>IFERROR(__xludf.DUMMYFUNCTION("REGEXREPLACE(C7026,""-\d+(.*)|--\d+(.*)"","""")"),"SOMMEDIEUE")</f>
        <v>SOMMEDIEUE</v>
      </c>
      <c r="E7026" s="38" t="s">
        <v>322</v>
      </c>
      <c r="F7026" s="38" t="s">
        <v>195</v>
      </c>
      <c r="G7026" s="49" t="str">
        <f t="shared" si="1"/>
        <v>55320</v>
      </c>
      <c r="H7026" s="49">
        <f t="shared" si="2"/>
        <v>55492</v>
      </c>
    </row>
    <row r="7027">
      <c r="A7027" s="48" t="s">
        <v>10493</v>
      </c>
      <c r="B7027" s="38">
        <v>94056.0</v>
      </c>
      <c r="C7027" s="38" t="s">
        <v>10494</v>
      </c>
      <c r="D7027" s="38" t="str">
        <f>IFERROR(__xludf.DUMMYFUNCTION("REGEXREPLACE(C7027,""-\d+(.*)|--\d+(.*)"","""")"),"PERIGNY")</f>
        <v>PERIGNY</v>
      </c>
      <c r="E7027" s="38" t="s">
        <v>561</v>
      </c>
      <c r="F7027" s="38" t="s">
        <v>245</v>
      </c>
      <c r="G7027" s="49" t="str">
        <f t="shared" si="1"/>
        <v>94520</v>
      </c>
      <c r="H7027" s="49">
        <f t="shared" si="2"/>
        <v>94056</v>
      </c>
    </row>
    <row r="7028">
      <c r="A7028" s="48" t="s">
        <v>2981</v>
      </c>
      <c r="B7028" s="38">
        <v>21469.0</v>
      </c>
      <c r="C7028" s="38" t="s">
        <v>10495</v>
      </c>
      <c r="D7028" s="38" t="str">
        <f>IFERROR(__xludf.DUMMYFUNCTION("REGEXREPLACE(C7028,""-\d+(.*)|--\d+(.*)"","""")"),"ORGEUX")</f>
        <v>ORGEUX</v>
      </c>
      <c r="E7028" s="38" t="s">
        <v>105</v>
      </c>
      <c r="F7028" s="38" t="s">
        <v>106</v>
      </c>
      <c r="G7028" s="49" t="str">
        <f t="shared" si="1"/>
        <v>21490</v>
      </c>
      <c r="H7028" s="49">
        <f t="shared" si="2"/>
        <v>21469</v>
      </c>
    </row>
    <row r="7029">
      <c r="A7029" s="48" t="s">
        <v>1646</v>
      </c>
      <c r="B7029" s="38">
        <v>24190.0</v>
      </c>
      <c r="C7029" s="38" t="s">
        <v>10496</v>
      </c>
      <c r="D7029" s="38" t="str">
        <f>IFERROR(__xludf.DUMMYFUNCTION("REGEXREPLACE(C7029,""-\d+(.*)|--\d+(.*)"","""")"),"FOULEIX")</f>
        <v>FOULEIX</v>
      </c>
      <c r="E7029" s="38" t="s">
        <v>261</v>
      </c>
      <c r="F7029" s="38" t="s">
        <v>252</v>
      </c>
      <c r="G7029" s="49" t="str">
        <f t="shared" si="1"/>
        <v>24380</v>
      </c>
      <c r="H7029" s="49">
        <f t="shared" si="2"/>
        <v>24190</v>
      </c>
    </row>
    <row r="7030">
      <c r="A7030" s="48" t="s">
        <v>7786</v>
      </c>
      <c r="B7030" s="38">
        <v>8343.0</v>
      </c>
      <c r="C7030" s="38" t="s">
        <v>10497</v>
      </c>
      <c r="D7030" s="38" t="str">
        <f>IFERROR(__xludf.DUMMYFUNCTION("REGEXREPLACE(C7030,""-\d+(.*)|--\d+(.*)"","""")"),"POURU-SAINT-REMY")</f>
        <v>POURU-SAINT-REMY</v>
      </c>
      <c r="E7030" s="38" t="s">
        <v>327</v>
      </c>
      <c r="F7030" s="38" t="s">
        <v>130</v>
      </c>
      <c r="G7030" s="49" t="str">
        <f t="shared" si="1"/>
        <v>08140</v>
      </c>
      <c r="H7030" s="49" t="str">
        <f t="shared" si="2"/>
        <v>08343</v>
      </c>
    </row>
    <row r="7031">
      <c r="A7031" s="48" t="s">
        <v>1077</v>
      </c>
      <c r="B7031" s="38">
        <v>25178.0</v>
      </c>
      <c r="C7031" s="38" t="s">
        <v>10498</v>
      </c>
      <c r="D7031" s="38" t="str">
        <f>IFERROR(__xludf.DUMMYFUNCTION("REGEXREPLACE(C7031,""-\d+(.*)|--\d+(.*)"","""")"),"CROSEY-LE-PETIT")</f>
        <v>CROSEY-LE-PETIT</v>
      </c>
      <c r="E7031" s="38" t="s">
        <v>213</v>
      </c>
      <c r="F7031" s="38" t="s">
        <v>214</v>
      </c>
      <c r="G7031" s="49" t="str">
        <f t="shared" si="1"/>
        <v>25340</v>
      </c>
      <c r="H7031" s="49">
        <f t="shared" si="2"/>
        <v>25178</v>
      </c>
    </row>
    <row r="7032">
      <c r="A7032" s="48" t="s">
        <v>6321</v>
      </c>
      <c r="B7032" s="38">
        <v>62753.0</v>
      </c>
      <c r="C7032" s="38" t="s">
        <v>10499</v>
      </c>
      <c r="D7032" s="38" t="str">
        <f>IFERROR(__xludf.DUMMYFUNCTION("REGEXREPLACE(C7032,""-\d+(.*)|--\d+(.*)"","""")"),"SAINT-LAURENT-BLANGY")</f>
        <v>SAINT-LAURENT-BLANGY</v>
      </c>
      <c r="E7032" s="38" t="s">
        <v>109</v>
      </c>
      <c r="F7032" s="38" t="s">
        <v>86</v>
      </c>
      <c r="G7032" s="49" t="str">
        <f t="shared" si="1"/>
        <v>62223</v>
      </c>
      <c r="H7032" s="49">
        <f t="shared" si="2"/>
        <v>62753</v>
      </c>
    </row>
    <row r="7033">
      <c r="A7033" s="48" t="s">
        <v>3635</v>
      </c>
      <c r="B7033" s="38">
        <v>16064.0</v>
      </c>
      <c r="C7033" s="38" t="s">
        <v>10500</v>
      </c>
      <c r="D7033" s="38" t="str">
        <f>IFERROR(__xludf.DUMMYFUNCTION("REGEXREPLACE(C7033,""-\d+(.*)|--\d+(.*)"","""")"),"BRIGUEUIL")</f>
        <v>BRIGUEUIL</v>
      </c>
      <c r="E7033" s="38" t="s">
        <v>429</v>
      </c>
      <c r="F7033" s="38" t="s">
        <v>338</v>
      </c>
      <c r="G7033" s="49" t="str">
        <f t="shared" si="1"/>
        <v>16420</v>
      </c>
      <c r="H7033" s="49">
        <f t="shared" si="2"/>
        <v>16064</v>
      </c>
    </row>
    <row r="7034">
      <c r="A7034" s="48" t="s">
        <v>1572</v>
      </c>
      <c r="B7034" s="38">
        <v>32435.0</v>
      </c>
      <c r="C7034" s="38" t="s">
        <v>10501</v>
      </c>
      <c r="D7034" s="38" t="str">
        <f>IFERROR(__xludf.DUMMYFUNCTION("REGEXREPLACE(C7034,""-\d+(.*)|--\d+(.*)"","""")"),"SIRAC")</f>
        <v>SIRAC</v>
      </c>
      <c r="E7034" s="38" t="s">
        <v>440</v>
      </c>
      <c r="F7034" s="38" t="s">
        <v>94</v>
      </c>
      <c r="G7034" s="49" t="str">
        <f t="shared" si="1"/>
        <v>32430</v>
      </c>
      <c r="H7034" s="49">
        <f t="shared" si="2"/>
        <v>32435</v>
      </c>
    </row>
    <row r="7035">
      <c r="A7035" s="48" t="s">
        <v>1106</v>
      </c>
      <c r="B7035" s="38">
        <v>14213.0</v>
      </c>
      <c r="C7035" s="38" t="s">
        <v>10502</v>
      </c>
      <c r="D7035" s="38" t="str">
        <f>IFERROR(__xludf.DUMMYFUNCTION("REGEXREPLACE(C7035,""-\d+(.*)|--\d+(.*)"","""")"),"CURCY-SUR-ORNE")</f>
        <v>CURCY-SUR-ORNE</v>
      </c>
      <c r="E7035" s="38" t="s">
        <v>137</v>
      </c>
      <c r="F7035" s="38" t="s">
        <v>138</v>
      </c>
      <c r="G7035" s="49" t="str">
        <f t="shared" si="1"/>
        <v>14220</v>
      </c>
      <c r="H7035" s="49">
        <f t="shared" si="2"/>
        <v>14213</v>
      </c>
    </row>
    <row r="7036">
      <c r="A7036" s="48" t="s">
        <v>5866</v>
      </c>
      <c r="B7036" s="38">
        <v>33157.0</v>
      </c>
      <c r="C7036" s="38" t="s">
        <v>10503</v>
      </c>
      <c r="D7036" s="38" t="str">
        <f>IFERROR(__xludf.DUMMYFUNCTION("REGEXREPLACE(C7036,""-\d+(.*)|--\d+(.*)"","""")"),"ESPIET")</f>
        <v>ESPIET</v>
      </c>
      <c r="E7036" s="38" t="s">
        <v>462</v>
      </c>
      <c r="F7036" s="38" t="s">
        <v>252</v>
      </c>
      <c r="G7036" s="49" t="str">
        <f t="shared" si="1"/>
        <v>33420</v>
      </c>
      <c r="H7036" s="49">
        <f t="shared" si="2"/>
        <v>33157</v>
      </c>
    </row>
    <row r="7037">
      <c r="A7037" s="48" t="s">
        <v>1903</v>
      </c>
      <c r="B7037" s="38">
        <v>10138.0</v>
      </c>
      <c r="C7037" s="38" t="s">
        <v>10504</v>
      </c>
      <c r="D7037" s="38" t="str">
        <f>IFERROR(__xludf.DUMMYFUNCTION("REGEXREPLACE(C7037,""-\d+(.*)|--\d+(.*)"","""")"),"EPAGNE")</f>
        <v>EPAGNE</v>
      </c>
      <c r="E7037" s="38" t="s">
        <v>147</v>
      </c>
      <c r="F7037" s="38" t="s">
        <v>130</v>
      </c>
      <c r="G7037" s="49" t="str">
        <f t="shared" si="1"/>
        <v>10500</v>
      </c>
      <c r="H7037" s="49">
        <f t="shared" si="2"/>
        <v>10138</v>
      </c>
    </row>
    <row r="7038">
      <c r="A7038" s="48" t="s">
        <v>10505</v>
      </c>
      <c r="B7038" s="38">
        <v>76350.0</v>
      </c>
      <c r="C7038" s="38" t="s">
        <v>10506</v>
      </c>
      <c r="D7038" s="38" t="str">
        <f>IFERROR(__xludf.DUMMYFUNCTION("REGEXREPLACE(C7038,""-\d+(.*)|--\d+(.*)"","""")"),"HAUTOT-SUR-SEINE")</f>
        <v>HAUTOT-SUR-SEINE</v>
      </c>
      <c r="E7038" s="38" t="s">
        <v>133</v>
      </c>
      <c r="F7038" s="38" t="s">
        <v>134</v>
      </c>
      <c r="G7038" s="49" t="str">
        <f t="shared" si="1"/>
        <v>76113</v>
      </c>
      <c r="H7038" s="49">
        <f t="shared" si="2"/>
        <v>76350</v>
      </c>
    </row>
    <row r="7039">
      <c r="A7039" s="48" t="s">
        <v>2773</v>
      </c>
      <c r="B7039" s="38">
        <v>21499.0</v>
      </c>
      <c r="C7039" s="38" t="s">
        <v>10507</v>
      </c>
      <c r="D7039" s="38" t="str">
        <f>IFERROR(__xludf.DUMMYFUNCTION("REGEXREPLACE(C7039,""-\d+(.*)|--\d+(.*)"","""")"),"POTHIERES")</f>
        <v>POTHIERES</v>
      </c>
      <c r="E7039" s="38" t="s">
        <v>105</v>
      </c>
      <c r="F7039" s="38" t="s">
        <v>106</v>
      </c>
      <c r="G7039" s="49" t="str">
        <f t="shared" si="1"/>
        <v>21400</v>
      </c>
      <c r="H7039" s="49">
        <f t="shared" si="2"/>
        <v>21499</v>
      </c>
    </row>
    <row r="7040">
      <c r="A7040" s="48" t="s">
        <v>3260</v>
      </c>
      <c r="B7040" s="38">
        <v>3067.0</v>
      </c>
      <c r="C7040" s="38" t="s">
        <v>10508</v>
      </c>
      <c r="D7040" s="38" t="str">
        <f>IFERROR(__xludf.DUMMYFUNCTION("REGEXREPLACE(C7040,""-\d+(.*)|--\d+(.*)"","""")"),"CHATELPERRON")</f>
        <v>CHATELPERRON</v>
      </c>
      <c r="E7040" s="38" t="s">
        <v>160</v>
      </c>
      <c r="F7040" s="38" t="s">
        <v>161</v>
      </c>
      <c r="G7040" s="49" t="str">
        <f t="shared" si="1"/>
        <v>03220</v>
      </c>
      <c r="H7040" s="49" t="str">
        <f t="shared" si="2"/>
        <v>03067</v>
      </c>
    </row>
    <row r="7041">
      <c r="A7041" s="48" t="s">
        <v>10509</v>
      </c>
      <c r="B7041" s="38">
        <v>42284.0</v>
      </c>
      <c r="C7041" s="38" t="s">
        <v>10510</v>
      </c>
      <c r="D7041" s="38" t="str">
        <f>IFERROR(__xludf.DUMMYFUNCTION("REGEXREPLACE(C7041,""-\d+(.*)|--\d+(.*)"","""")"),"SAINT-ROMAIN-LA-MOTTE")</f>
        <v>SAINT-ROMAIN-LA-MOTTE</v>
      </c>
      <c r="E7041" s="38" t="s">
        <v>166</v>
      </c>
      <c r="F7041" s="38" t="s">
        <v>102</v>
      </c>
      <c r="G7041" s="49" t="str">
        <f t="shared" si="1"/>
        <v>42640</v>
      </c>
      <c r="H7041" s="49">
        <f t="shared" si="2"/>
        <v>42284</v>
      </c>
    </row>
    <row r="7042">
      <c r="A7042" s="48" t="s">
        <v>3026</v>
      </c>
      <c r="B7042" s="38">
        <v>2215.0</v>
      </c>
      <c r="C7042" s="38" t="s">
        <v>10511</v>
      </c>
      <c r="D7042" s="38" t="str">
        <f>IFERROR(__xludf.DUMMYFUNCTION("REGEXREPLACE(C7042,""-\d+(.*)|--\d+(.*)"","""")"),"CORBENY")</f>
        <v>CORBENY</v>
      </c>
      <c r="E7042" s="38" t="s">
        <v>191</v>
      </c>
      <c r="F7042" s="38" t="s">
        <v>113</v>
      </c>
      <c r="G7042" s="49" t="str">
        <f t="shared" si="1"/>
        <v>02820</v>
      </c>
      <c r="H7042" s="49" t="str">
        <f t="shared" si="2"/>
        <v>02215</v>
      </c>
    </row>
    <row r="7043">
      <c r="A7043" s="48" t="s">
        <v>1122</v>
      </c>
      <c r="B7043" s="38">
        <v>18227.0</v>
      </c>
      <c r="C7043" s="38" t="s">
        <v>10512</v>
      </c>
      <c r="D7043" s="38" t="str">
        <f>IFERROR(__xludf.DUMMYFUNCTION("REGEXREPLACE(C7043,""-\d+(.*)|--\d+(.*)"","""")"),"SAINTE-MONTAINE")</f>
        <v>SAINTE-MONTAINE</v>
      </c>
      <c r="E7043" s="38" t="s">
        <v>504</v>
      </c>
      <c r="F7043" s="38" t="s">
        <v>123</v>
      </c>
      <c r="G7043" s="49" t="str">
        <f t="shared" si="1"/>
        <v>18700</v>
      </c>
      <c r="H7043" s="49">
        <f t="shared" si="2"/>
        <v>18227</v>
      </c>
    </row>
    <row r="7044">
      <c r="A7044" s="48" t="s">
        <v>7057</v>
      </c>
      <c r="B7044" s="38">
        <v>18097.0</v>
      </c>
      <c r="C7044" s="38" t="s">
        <v>10513</v>
      </c>
      <c r="D7044" s="38" t="str">
        <f>IFERROR(__xludf.DUMMYFUNCTION("REGEXREPLACE(C7044,""-\d+(.*)|--\d+(.*)"","""")"),"FUSSY")</f>
        <v>FUSSY</v>
      </c>
      <c r="E7044" s="38" t="s">
        <v>504</v>
      </c>
      <c r="F7044" s="38" t="s">
        <v>123</v>
      </c>
      <c r="G7044" s="49" t="str">
        <f t="shared" si="1"/>
        <v>18110</v>
      </c>
      <c r="H7044" s="49">
        <f t="shared" si="2"/>
        <v>18097</v>
      </c>
    </row>
    <row r="7045">
      <c r="A7045" s="48" t="s">
        <v>333</v>
      </c>
      <c r="B7045" s="38">
        <v>43086.0</v>
      </c>
      <c r="C7045" s="38" t="s">
        <v>10514</v>
      </c>
      <c r="D7045" s="38" t="str">
        <f>IFERROR(__xludf.DUMMYFUNCTION("REGEXREPLACE(C7045,""-\d+(.*)|--\d+(.*)"","""")"),"DOMEYRAT")</f>
        <v>DOMEYRAT</v>
      </c>
      <c r="E7045" s="38" t="s">
        <v>332</v>
      </c>
      <c r="F7045" s="38" t="s">
        <v>161</v>
      </c>
      <c r="G7045" s="49" t="str">
        <f t="shared" si="1"/>
        <v>43230</v>
      </c>
      <c r="H7045" s="49">
        <f t="shared" si="2"/>
        <v>43086</v>
      </c>
    </row>
    <row r="7046">
      <c r="A7046" s="48" t="s">
        <v>3382</v>
      </c>
      <c r="B7046" s="38">
        <v>41035.0</v>
      </c>
      <c r="C7046" s="38" t="s">
        <v>10515</v>
      </c>
      <c r="D7046" s="38" t="str">
        <f>IFERROR(__xludf.DUMMYFUNCTION("REGEXREPLACE(C7046,""-\d+(.*)|--\d+(.*)"","""")"),"CHAMPIGNY-EN-BEAUCE")</f>
        <v>CHAMPIGNY-EN-BEAUCE</v>
      </c>
      <c r="E7046" s="38" t="s">
        <v>188</v>
      </c>
      <c r="F7046" s="38" t="s">
        <v>123</v>
      </c>
      <c r="G7046" s="49" t="str">
        <f t="shared" si="1"/>
        <v>41330</v>
      </c>
      <c r="H7046" s="49">
        <f t="shared" si="2"/>
        <v>41035</v>
      </c>
    </row>
    <row r="7047">
      <c r="A7047" s="48" t="s">
        <v>2290</v>
      </c>
      <c r="B7047" s="38">
        <v>38017.0</v>
      </c>
      <c r="C7047" s="38" t="s">
        <v>10516</v>
      </c>
      <c r="D7047" s="38" t="str">
        <f>IFERROR(__xludf.DUMMYFUNCTION("REGEXREPLACE(C7047,""-\d+(.*)|--\d+(.*)"","""")"),"ASSIEU")</f>
        <v>ASSIEU</v>
      </c>
      <c r="E7047" s="38" t="s">
        <v>101</v>
      </c>
      <c r="F7047" s="38" t="s">
        <v>102</v>
      </c>
      <c r="G7047" s="49" t="str">
        <f t="shared" si="1"/>
        <v>38150</v>
      </c>
      <c r="H7047" s="49">
        <f t="shared" si="2"/>
        <v>38017</v>
      </c>
    </row>
    <row r="7048">
      <c r="A7048" s="48" t="s">
        <v>698</v>
      </c>
      <c r="B7048" s="38">
        <v>11110.0</v>
      </c>
      <c r="C7048" s="38" t="s">
        <v>10517</v>
      </c>
      <c r="D7048" s="38" t="str">
        <f>IFERROR(__xludf.DUMMYFUNCTION("REGEXREPLACE(C7048,""-\d+(.*)|--\d+(.*)"","""")"),"COUSTOUGE")</f>
        <v>COUSTOUGE</v>
      </c>
      <c r="E7048" s="38" t="s">
        <v>278</v>
      </c>
      <c r="F7048" s="38" t="s">
        <v>119</v>
      </c>
      <c r="G7048" s="49" t="str">
        <f t="shared" si="1"/>
        <v>11220</v>
      </c>
      <c r="H7048" s="49">
        <f t="shared" si="2"/>
        <v>11110</v>
      </c>
    </row>
    <row r="7049">
      <c r="A7049" s="48" t="s">
        <v>1868</v>
      </c>
      <c r="B7049" s="38">
        <v>86025.0</v>
      </c>
      <c r="C7049" s="38" t="s">
        <v>10518</v>
      </c>
      <c r="D7049" s="38" t="str">
        <f>IFERROR(__xludf.DUMMYFUNCTION("REGEXREPLACE(C7049,""-\d+(.*)|--\d+(.*)"","""")"),"BETHINES")</f>
        <v>BETHINES</v>
      </c>
      <c r="E7049" s="38" t="s">
        <v>529</v>
      </c>
      <c r="F7049" s="38" t="s">
        <v>338</v>
      </c>
      <c r="G7049" s="49" t="str">
        <f t="shared" si="1"/>
        <v>86310</v>
      </c>
      <c r="H7049" s="49">
        <f t="shared" si="2"/>
        <v>86025</v>
      </c>
    </row>
    <row r="7050">
      <c r="A7050" s="48" t="s">
        <v>830</v>
      </c>
      <c r="B7050" s="38">
        <v>68033.0</v>
      </c>
      <c r="C7050" s="38" t="s">
        <v>10519</v>
      </c>
      <c r="D7050" s="38" t="str">
        <f>IFERROR(__xludf.DUMMYFUNCTION("REGEXREPLACE(C7050,""-\d+(.*)|--\d+(.*)"","""")"),"BETTENDORF")</f>
        <v>BETTENDORF</v>
      </c>
      <c r="E7050" s="38" t="s">
        <v>150</v>
      </c>
      <c r="F7050" s="38" t="s">
        <v>151</v>
      </c>
      <c r="G7050" s="49" t="str">
        <f t="shared" si="1"/>
        <v>68560</v>
      </c>
      <c r="H7050" s="49">
        <f t="shared" si="2"/>
        <v>68033</v>
      </c>
    </row>
    <row r="7051">
      <c r="A7051" s="48" t="s">
        <v>10520</v>
      </c>
      <c r="B7051" s="38">
        <v>69120.0</v>
      </c>
      <c r="C7051" s="38" t="s">
        <v>10521</v>
      </c>
      <c r="D7051" s="38" t="str">
        <f>IFERROR(__xludf.DUMMYFUNCTION("REGEXREPLACE(C7051,""-\d+(.*)|--\d+(.*)"","""")"),"LONGESSAIGNE")</f>
        <v>LONGESSAIGNE</v>
      </c>
      <c r="E7051" s="38" t="s">
        <v>350</v>
      </c>
      <c r="F7051" s="38" t="s">
        <v>102</v>
      </c>
      <c r="G7051" s="49" t="str">
        <f t="shared" si="1"/>
        <v>69770</v>
      </c>
      <c r="H7051" s="49">
        <f t="shared" si="2"/>
        <v>69120</v>
      </c>
    </row>
    <row r="7052">
      <c r="A7052" s="48" t="s">
        <v>9309</v>
      </c>
      <c r="B7052" s="38">
        <v>60068.0</v>
      </c>
      <c r="C7052" s="38" t="s">
        <v>10522</v>
      </c>
      <c r="D7052" s="38" t="str">
        <f>IFERROR(__xludf.DUMMYFUNCTION("REGEXREPLACE(C7052,""-\d+(.*)|--\d+(.*)"","""")"),"BETHISY-SAINT-PIERRE")</f>
        <v>BETHISY-SAINT-PIERRE</v>
      </c>
      <c r="E7052" s="38" t="s">
        <v>112</v>
      </c>
      <c r="F7052" s="38" t="s">
        <v>113</v>
      </c>
      <c r="G7052" s="49" t="str">
        <f t="shared" si="1"/>
        <v>60320</v>
      </c>
      <c r="H7052" s="49">
        <f t="shared" si="2"/>
        <v>60068</v>
      </c>
    </row>
    <row r="7053">
      <c r="A7053" s="48" t="s">
        <v>1726</v>
      </c>
      <c r="B7053" s="38">
        <v>14294.0</v>
      </c>
      <c r="C7053" s="38" t="s">
        <v>10523</v>
      </c>
      <c r="D7053" s="38" t="str">
        <f>IFERROR(__xludf.DUMMYFUNCTION("REGEXREPLACE(C7053,""-\d+(.*)|--\d+(.*)"","""")"),"GARCELLES-SECQUEVILLE")</f>
        <v>GARCELLES-SECQUEVILLE</v>
      </c>
      <c r="E7053" s="38" t="s">
        <v>137</v>
      </c>
      <c r="F7053" s="38" t="s">
        <v>138</v>
      </c>
      <c r="G7053" s="49" t="str">
        <f t="shared" si="1"/>
        <v>14540</v>
      </c>
      <c r="H7053" s="49">
        <f t="shared" si="2"/>
        <v>14294</v>
      </c>
    </row>
    <row r="7054">
      <c r="A7054" s="48" t="s">
        <v>1153</v>
      </c>
      <c r="B7054" s="38">
        <v>73039.0</v>
      </c>
      <c r="C7054" s="38" t="s">
        <v>10524</v>
      </c>
      <c r="D7054" s="38" t="str">
        <f>IFERROR(__xludf.DUMMYFUNCTION("REGEXREPLACE(C7054,""-\d+(.*)|--\d+(.*)"","""")"),"BELMONT-TRAMONET")</f>
        <v>BELMONT-TRAMONET</v>
      </c>
      <c r="E7054" s="38" t="s">
        <v>306</v>
      </c>
      <c r="F7054" s="38" t="s">
        <v>102</v>
      </c>
      <c r="G7054" s="49" t="str">
        <f t="shared" si="1"/>
        <v>73330</v>
      </c>
      <c r="H7054" s="49">
        <f t="shared" si="2"/>
        <v>73039</v>
      </c>
    </row>
    <row r="7055">
      <c r="A7055" s="48" t="s">
        <v>7680</v>
      </c>
      <c r="B7055" s="38">
        <v>71519.0</v>
      </c>
      <c r="C7055" s="38" t="s">
        <v>10525</v>
      </c>
      <c r="D7055" s="38" t="str">
        <f>IFERROR(__xludf.DUMMYFUNCTION("REGEXREPLACE(C7055,""-\d+(.*)|--\d+(.*)"","""")"),"SERRIGNY-EN-BRESSE")</f>
        <v>SERRIGNY-EN-BRESSE</v>
      </c>
      <c r="E7055" s="38" t="s">
        <v>344</v>
      </c>
      <c r="F7055" s="38" t="s">
        <v>106</v>
      </c>
      <c r="G7055" s="49" t="str">
        <f t="shared" si="1"/>
        <v>71310</v>
      </c>
      <c r="H7055" s="49">
        <f t="shared" si="2"/>
        <v>71519</v>
      </c>
    </row>
    <row r="7056">
      <c r="A7056" s="48" t="s">
        <v>7702</v>
      </c>
      <c r="B7056" s="38">
        <v>57255.0</v>
      </c>
      <c r="C7056" s="38" t="s">
        <v>10526</v>
      </c>
      <c r="D7056" s="38" t="str">
        <f>IFERROR(__xludf.DUMMYFUNCTION("REGEXREPLACE(C7056,""-\d+(.*)|--\d+(.*)"","""")"),"GOSSELMING")</f>
        <v>GOSSELMING</v>
      </c>
      <c r="E7056" s="38" t="s">
        <v>303</v>
      </c>
      <c r="F7056" s="38" t="s">
        <v>195</v>
      </c>
      <c r="G7056" s="49" t="str">
        <f t="shared" si="1"/>
        <v>57930</v>
      </c>
      <c r="H7056" s="49">
        <f t="shared" si="2"/>
        <v>57255</v>
      </c>
    </row>
    <row r="7057">
      <c r="A7057" s="48" t="s">
        <v>4594</v>
      </c>
      <c r="B7057" s="38">
        <v>62125.0</v>
      </c>
      <c r="C7057" s="38" t="s">
        <v>10527</v>
      </c>
      <c r="D7057" s="38" t="str">
        <f>IFERROR(__xludf.DUMMYFUNCTION("REGEXREPLACE(C7057,""-\d+(.*)|--\d+(.*)"","""")"),"BEUVREQUEN")</f>
        <v>BEUVREQUEN</v>
      </c>
      <c r="E7057" s="38" t="s">
        <v>109</v>
      </c>
      <c r="F7057" s="38" t="s">
        <v>86</v>
      </c>
      <c r="G7057" s="49" t="str">
        <f t="shared" si="1"/>
        <v>62250</v>
      </c>
      <c r="H7057" s="49">
        <f t="shared" si="2"/>
        <v>62125</v>
      </c>
    </row>
    <row r="7058">
      <c r="A7058" s="48" t="s">
        <v>2920</v>
      </c>
      <c r="B7058" s="38">
        <v>62398.0</v>
      </c>
      <c r="C7058" s="38" t="s">
        <v>10528</v>
      </c>
      <c r="D7058" s="38" t="str">
        <f>IFERROR(__xludf.DUMMYFUNCTION("REGEXREPLACE(C7058,""-\d+(.*)|--\d+(.*)"","""")"),"GUISY")</f>
        <v>GUISY</v>
      </c>
      <c r="E7058" s="38" t="s">
        <v>109</v>
      </c>
      <c r="F7058" s="38" t="s">
        <v>86</v>
      </c>
      <c r="G7058" s="49" t="str">
        <f t="shared" si="1"/>
        <v>62140</v>
      </c>
      <c r="H7058" s="49">
        <f t="shared" si="2"/>
        <v>62398</v>
      </c>
    </row>
    <row r="7059">
      <c r="A7059" s="48" t="s">
        <v>4543</v>
      </c>
      <c r="B7059" s="38">
        <v>64019.0</v>
      </c>
      <c r="C7059" s="38" t="s">
        <v>10529</v>
      </c>
      <c r="D7059" s="38" t="str">
        <f>IFERROR(__xludf.DUMMYFUNCTION("REGEXREPLACE(C7059,""-\d+(.*)|--\d+(.*)"","""")"),"AMOROTS-SUCCOS")</f>
        <v>AMOROTS-SUCCOS</v>
      </c>
      <c r="E7059" s="38" t="s">
        <v>268</v>
      </c>
      <c r="F7059" s="38" t="s">
        <v>252</v>
      </c>
      <c r="G7059" s="49" t="str">
        <f t="shared" si="1"/>
        <v>64120</v>
      </c>
      <c r="H7059" s="49">
        <f t="shared" si="2"/>
        <v>64019</v>
      </c>
    </row>
    <row r="7060">
      <c r="A7060" s="48" t="s">
        <v>10530</v>
      </c>
      <c r="B7060" s="38">
        <v>60433.0</v>
      </c>
      <c r="C7060" s="38" t="s">
        <v>10531</v>
      </c>
      <c r="D7060" s="38" t="str">
        <f>IFERROR(__xludf.DUMMYFUNCTION("REGEXREPLACE(C7060,""-\d+(.*)|--\d+(.*)"","""")"),"MORTEFONTAINE-EN-THELLE")</f>
        <v>MORTEFONTAINE-EN-THELLE</v>
      </c>
      <c r="E7060" s="38" t="s">
        <v>112</v>
      </c>
      <c r="F7060" s="38" t="s">
        <v>113</v>
      </c>
      <c r="G7060" s="49" t="str">
        <f t="shared" si="1"/>
        <v>60570</v>
      </c>
      <c r="H7060" s="49">
        <f t="shared" si="2"/>
        <v>60433</v>
      </c>
    </row>
    <row r="7061">
      <c r="A7061" s="48" t="s">
        <v>6492</v>
      </c>
      <c r="B7061" s="38">
        <v>5076.0</v>
      </c>
      <c r="C7061" s="38" t="s">
        <v>10532</v>
      </c>
      <c r="D7061" s="38" t="str">
        <f>IFERROR(__xludf.DUMMYFUNCTION("REGEXREPLACE(C7061,""-\d+(.*)|--\d+(.*)"","""")"),"MEREUIL")</f>
        <v>MEREUIL</v>
      </c>
      <c r="E7061" s="38" t="s">
        <v>706</v>
      </c>
      <c r="F7061" s="38" t="s">
        <v>228</v>
      </c>
      <c r="G7061" s="49" t="str">
        <f t="shared" si="1"/>
        <v>05700</v>
      </c>
      <c r="H7061" s="49" t="str">
        <f t="shared" si="2"/>
        <v>05076</v>
      </c>
    </row>
    <row r="7062">
      <c r="A7062" s="48" t="s">
        <v>10533</v>
      </c>
      <c r="B7062" s="38">
        <v>87095.0</v>
      </c>
      <c r="C7062" s="38" t="s">
        <v>10534</v>
      </c>
      <c r="D7062" s="38" t="str">
        <f>IFERROR(__xludf.DUMMYFUNCTION("REGEXREPLACE(C7062,""-\d+(.*)|--\d+(.*)"","""")"),"MEUZAC")</f>
        <v>MEUZAC</v>
      </c>
      <c r="E7062" s="38" t="s">
        <v>897</v>
      </c>
      <c r="F7062" s="38" t="s">
        <v>98</v>
      </c>
      <c r="G7062" s="49" t="str">
        <f t="shared" si="1"/>
        <v>87380</v>
      </c>
      <c r="H7062" s="49">
        <f t="shared" si="2"/>
        <v>87095</v>
      </c>
    </row>
    <row r="7063">
      <c r="A7063" s="48" t="s">
        <v>10535</v>
      </c>
      <c r="B7063" s="38">
        <v>81177.0</v>
      </c>
      <c r="C7063" s="38" t="s">
        <v>939</v>
      </c>
      <c r="D7063" s="38" t="str">
        <f>IFERROR(__xludf.DUMMYFUNCTION("REGEXREPLACE(C7063,""-\d+(.*)|--\d+(.*)"","""")"),"MONTFA")</f>
        <v>MONTFA</v>
      </c>
      <c r="E7063" s="38" t="s">
        <v>231</v>
      </c>
      <c r="F7063" s="38" t="s">
        <v>94</v>
      </c>
      <c r="G7063" s="49" t="str">
        <f t="shared" si="1"/>
        <v>81210</v>
      </c>
      <c r="H7063" s="49">
        <f t="shared" si="2"/>
        <v>81177</v>
      </c>
    </row>
    <row r="7064">
      <c r="A7064" s="48" t="s">
        <v>10536</v>
      </c>
      <c r="B7064" s="38">
        <v>72174.0</v>
      </c>
      <c r="C7064" s="38" t="s">
        <v>10537</v>
      </c>
      <c r="D7064" s="38" t="str">
        <f>IFERROR(__xludf.DUMMYFUNCTION("REGEXREPLACE(C7064,""-\d+(.*)|--\d+(.*)"","""")"),"LUCE-SOUS-BALLON")</f>
        <v>LUCE-SOUS-BALLON</v>
      </c>
      <c r="E7064" s="38" t="s">
        <v>521</v>
      </c>
      <c r="F7064" s="38" t="s">
        <v>180</v>
      </c>
      <c r="G7064" s="49" t="str">
        <f t="shared" si="1"/>
        <v>72290</v>
      </c>
      <c r="H7064" s="49">
        <f t="shared" si="2"/>
        <v>72174</v>
      </c>
    </row>
    <row r="7065">
      <c r="A7065" s="48" t="s">
        <v>1420</v>
      </c>
      <c r="B7065" s="38">
        <v>4164.0</v>
      </c>
      <c r="C7065" s="38" t="s">
        <v>10538</v>
      </c>
      <c r="D7065" s="38" t="str">
        <f>IFERROR(__xludf.DUMMYFUNCTION("REGEXREPLACE(C7065,""-\d+(.*)|--\d+(.*)"","""")"),"REVEST-SAINT-MARTIN")</f>
        <v>REVEST-SAINT-MARTIN</v>
      </c>
      <c r="E7065" s="38" t="s">
        <v>662</v>
      </c>
      <c r="F7065" s="38" t="s">
        <v>228</v>
      </c>
      <c r="G7065" s="49" t="str">
        <f t="shared" si="1"/>
        <v>04230</v>
      </c>
      <c r="H7065" s="49" t="str">
        <f t="shared" si="2"/>
        <v>04164</v>
      </c>
    </row>
    <row r="7066">
      <c r="A7066" s="48" t="s">
        <v>3356</v>
      </c>
      <c r="B7066" s="38">
        <v>85067.0</v>
      </c>
      <c r="C7066" s="38" t="s">
        <v>10539</v>
      </c>
      <c r="D7066" s="38" t="str">
        <f>IFERROR(__xludf.DUMMYFUNCTION("REGEXREPLACE(C7066,""-\d+(.*)|--\d+(.*)"","""")"),"CHEFFOIS")</f>
        <v>CHEFFOIS</v>
      </c>
      <c r="E7066" s="38" t="s">
        <v>179</v>
      </c>
      <c r="F7066" s="38" t="s">
        <v>180</v>
      </c>
      <c r="G7066" s="49" t="str">
        <f t="shared" si="1"/>
        <v>85390</v>
      </c>
      <c r="H7066" s="49">
        <f t="shared" si="2"/>
        <v>85067</v>
      </c>
    </row>
    <row r="7067">
      <c r="A7067" s="48" t="s">
        <v>10540</v>
      </c>
      <c r="B7067" s="38">
        <v>94078.0</v>
      </c>
      <c r="C7067" s="38" t="s">
        <v>10541</v>
      </c>
      <c r="D7067" s="38" t="str">
        <f>IFERROR(__xludf.DUMMYFUNCTION("REGEXREPLACE(C7067,""-\d+(.*)|--\d+(.*)"","""")"),"VILLENEUVE-SAINT-GEORGES")</f>
        <v>VILLENEUVE-SAINT-GEORGES</v>
      </c>
      <c r="E7067" s="38" t="s">
        <v>561</v>
      </c>
      <c r="F7067" s="38" t="s">
        <v>245</v>
      </c>
      <c r="G7067" s="49" t="str">
        <f t="shared" si="1"/>
        <v>94190</v>
      </c>
      <c r="H7067" s="49">
        <f t="shared" si="2"/>
        <v>94078</v>
      </c>
    </row>
    <row r="7068">
      <c r="A7068" s="48" t="s">
        <v>10445</v>
      </c>
      <c r="B7068" s="38">
        <v>52307.0</v>
      </c>
      <c r="C7068" s="38" t="s">
        <v>10542</v>
      </c>
      <c r="D7068" s="38" t="str">
        <f>IFERROR(__xludf.DUMMYFUNCTION("REGEXREPLACE(C7068,""-\d+(.*)|--\d+(.*)"","""")"),"MARAC")</f>
        <v>MARAC</v>
      </c>
      <c r="E7068" s="38" t="s">
        <v>234</v>
      </c>
      <c r="F7068" s="38" t="s">
        <v>130</v>
      </c>
      <c r="G7068" s="49" t="str">
        <f t="shared" si="1"/>
        <v>52260</v>
      </c>
      <c r="H7068" s="49">
        <f t="shared" si="2"/>
        <v>52307</v>
      </c>
    </row>
    <row r="7069">
      <c r="A7069" s="48" t="s">
        <v>351</v>
      </c>
      <c r="B7069" s="38">
        <v>63117.0</v>
      </c>
      <c r="C7069" s="38" t="s">
        <v>10543</v>
      </c>
      <c r="D7069" s="38" t="str">
        <f>IFERROR(__xludf.DUMMYFUNCTION("REGEXREPLACE(C7069,""-\d+(.*)|--\d+(.*)"","""")"),"COMPAINS")</f>
        <v>COMPAINS</v>
      </c>
      <c r="E7069" s="38" t="s">
        <v>353</v>
      </c>
      <c r="F7069" s="38" t="s">
        <v>161</v>
      </c>
      <c r="G7069" s="49" t="str">
        <f t="shared" si="1"/>
        <v>63610</v>
      </c>
      <c r="H7069" s="49">
        <f t="shared" si="2"/>
        <v>63117</v>
      </c>
    </row>
    <row r="7070">
      <c r="A7070" s="48" t="s">
        <v>5743</v>
      </c>
      <c r="B7070" s="38">
        <v>52085.0</v>
      </c>
      <c r="C7070" s="38" t="s">
        <v>10544</v>
      </c>
      <c r="D7070" s="38" t="str">
        <f>IFERROR(__xludf.DUMMYFUNCTION("REGEXREPLACE(C7070,""-\d+(.*)|--\d+(.*)"","""")"),"BUXIERES-LES-CLEFMONT")</f>
        <v>BUXIERES-LES-CLEFMONT</v>
      </c>
      <c r="E7070" s="38" t="s">
        <v>234</v>
      </c>
      <c r="F7070" s="38" t="s">
        <v>130</v>
      </c>
      <c r="G7070" s="49" t="str">
        <f t="shared" si="1"/>
        <v>52240</v>
      </c>
      <c r="H7070" s="49">
        <f t="shared" si="2"/>
        <v>52085</v>
      </c>
    </row>
    <row r="7071">
      <c r="A7071" s="48" t="s">
        <v>10545</v>
      </c>
      <c r="B7071" s="38">
        <v>4245.0</v>
      </c>
      <c r="C7071" s="38" t="s">
        <v>10546</v>
      </c>
      <c r="D7071" s="38" t="str">
        <f>IFERROR(__xludf.DUMMYFUNCTION("REGEXREPLACE(C7071,""-\d+(.*)|--\d+(.*)"","""")"),"VOLX")</f>
        <v>VOLX</v>
      </c>
      <c r="E7071" s="38" t="s">
        <v>662</v>
      </c>
      <c r="F7071" s="38" t="s">
        <v>228</v>
      </c>
      <c r="G7071" s="49" t="str">
        <f t="shared" si="1"/>
        <v>04130</v>
      </c>
      <c r="H7071" s="49" t="str">
        <f t="shared" si="2"/>
        <v>04245</v>
      </c>
    </row>
    <row r="7072">
      <c r="A7072" s="48" t="s">
        <v>5702</v>
      </c>
      <c r="B7072" s="38">
        <v>26123.0</v>
      </c>
      <c r="C7072" s="38" t="s">
        <v>10547</v>
      </c>
      <c r="D7072" s="38" t="str">
        <f>IFERROR(__xludf.DUMMYFUNCTION("REGEXREPLACE(C7072,""-\d+(.*)|--\d+(.*)"","""")"),"ESTABLET")</f>
        <v>ESTABLET</v>
      </c>
      <c r="E7072" s="38" t="s">
        <v>126</v>
      </c>
      <c r="F7072" s="38" t="s">
        <v>102</v>
      </c>
      <c r="G7072" s="49" t="str">
        <f t="shared" si="1"/>
        <v>26470</v>
      </c>
      <c r="H7072" s="49">
        <f t="shared" si="2"/>
        <v>26123</v>
      </c>
    </row>
    <row r="7073">
      <c r="A7073" s="48" t="s">
        <v>1278</v>
      </c>
      <c r="B7073" s="38">
        <v>83064.0</v>
      </c>
      <c r="C7073" s="38" t="s">
        <v>10548</v>
      </c>
      <c r="D7073" s="38" t="str">
        <f>IFERROR(__xludf.DUMMYFUNCTION("REGEXREPLACE(C7073,""-\d+(.*)|--\d+(.*)"","""")"),"GAREOULT")</f>
        <v>GAREOULT</v>
      </c>
      <c r="E7073" s="38" t="s">
        <v>813</v>
      </c>
      <c r="F7073" s="38" t="s">
        <v>228</v>
      </c>
      <c r="G7073" s="49" t="str">
        <f t="shared" si="1"/>
        <v>83136</v>
      </c>
      <c r="H7073" s="49">
        <f t="shared" si="2"/>
        <v>83064</v>
      </c>
    </row>
    <row r="7074">
      <c r="A7074" s="48" t="s">
        <v>1172</v>
      </c>
      <c r="B7074" s="38">
        <v>76239.0</v>
      </c>
      <c r="C7074" s="38" t="s">
        <v>10549</v>
      </c>
      <c r="D7074" s="38" t="str">
        <f>IFERROR(__xludf.DUMMYFUNCTION("REGEXREPLACE(C7074,""-\d+(.*)|--\d+(.*)"","""")"),"EPRETOT")</f>
        <v>EPRETOT</v>
      </c>
      <c r="E7074" s="38" t="s">
        <v>133</v>
      </c>
      <c r="F7074" s="38" t="s">
        <v>134</v>
      </c>
      <c r="G7074" s="49" t="str">
        <f t="shared" si="1"/>
        <v>76430</v>
      </c>
      <c r="H7074" s="49">
        <f t="shared" si="2"/>
        <v>76239</v>
      </c>
    </row>
    <row r="7075">
      <c r="A7075" s="48" t="s">
        <v>10550</v>
      </c>
      <c r="B7075" s="38">
        <v>45316.0</v>
      </c>
      <c r="C7075" s="38" t="s">
        <v>10551</v>
      </c>
      <c r="D7075" s="38" t="str">
        <f>IFERROR(__xludf.DUMMYFUNCTION("REGEXREPLACE(C7075,""-\d+(.*)|--\d+(.*)"","""")"),"SURY-AUX-BOIS")</f>
        <v>SURY-AUX-BOIS</v>
      </c>
      <c r="E7075" s="38" t="s">
        <v>122</v>
      </c>
      <c r="F7075" s="38" t="s">
        <v>123</v>
      </c>
      <c r="G7075" s="49" t="str">
        <f t="shared" si="1"/>
        <v>45530</v>
      </c>
      <c r="H7075" s="49">
        <f t="shared" si="2"/>
        <v>45316</v>
      </c>
    </row>
    <row r="7076">
      <c r="A7076" s="48" t="s">
        <v>10552</v>
      </c>
      <c r="B7076" s="38">
        <v>22064.0</v>
      </c>
      <c r="C7076" s="38" t="s">
        <v>10553</v>
      </c>
      <c r="D7076" s="38" t="str">
        <f>IFERROR(__xludf.DUMMYFUNCTION("REGEXREPLACE(C7076,""-\d+(.*)|--\d+(.*)"","""")"),"GOUAREC")</f>
        <v>GOUAREC</v>
      </c>
      <c r="E7076" s="38" t="s">
        <v>89</v>
      </c>
      <c r="F7076" s="38" t="s">
        <v>90</v>
      </c>
      <c r="G7076" s="49" t="str">
        <f t="shared" si="1"/>
        <v>22570</v>
      </c>
      <c r="H7076" s="49">
        <f t="shared" si="2"/>
        <v>22064</v>
      </c>
    </row>
    <row r="7077">
      <c r="A7077" s="48" t="s">
        <v>1728</v>
      </c>
      <c r="B7077" s="38">
        <v>45252.0</v>
      </c>
      <c r="C7077" s="38" t="s">
        <v>10554</v>
      </c>
      <c r="D7077" s="38" t="str">
        <f>IFERROR(__xludf.DUMMYFUNCTION("REGEXREPLACE(C7077,""-\d+(.*)|--\d+(.*)"","""")"),"PITHIVIERS")</f>
        <v>PITHIVIERS</v>
      </c>
      <c r="E7077" s="38" t="s">
        <v>122</v>
      </c>
      <c r="F7077" s="38" t="s">
        <v>123</v>
      </c>
      <c r="G7077" s="49" t="str">
        <f t="shared" si="1"/>
        <v>45300</v>
      </c>
      <c r="H7077" s="49">
        <f t="shared" si="2"/>
        <v>45252</v>
      </c>
    </row>
    <row r="7078">
      <c r="A7078" s="48" t="s">
        <v>987</v>
      </c>
      <c r="B7078" s="38">
        <v>40082.0</v>
      </c>
      <c r="C7078" s="38" t="s">
        <v>10555</v>
      </c>
      <c r="D7078" s="38" t="str">
        <f>IFERROR(__xludf.DUMMYFUNCTION("REGEXREPLACE(C7078,""-\d+(.*)|--\d+(.*)"","""")"),"CLASSUN")</f>
        <v>CLASSUN</v>
      </c>
      <c r="E7078" s="38" t="s">
        <v>281</v>
      </c>
      <c r="F7078" s="38" t="s">
        <v>252</v>
      </c>
      <c r="G7078" s="49" t="str">
        <f t="shared" si="1"/>
        <v>40320</v>
      </c>
      <c r="H7078" s="49">
        <f t="shared" si="2"/>
        <v>40082</v>
      </c>
    </row>
    <row r="7079">
      <c r="A7079" s="48" t="s">
        <v>9769</v>
      </c>
      <c r="B7079" s="38">
        <v>46176.0</v>
      </c>
      <c r="C7079" s="38" t="s">
        <v>10556</v>
      </c>
      <c r="D7079" s="38" t="str">
        <f>IFERROR(__xludf.DUMMYFUNCTION("REGEXREPLACE(C7079,""-\d+(.*)|--\d+(.*)"","""")"),"LIVERNON")</f>
        <v>LIVERNON</v>
      </c>
      <c r="E7079" s="38" t="s">
        <v>185</v>
      </c>
      <c r="F7079" s="38" t="s">
        <v>94</v>
      </c>
      <c r="G7079" s="49" t="str">
        <f t="shared" si="1"/>
        <v>46320</v>
      </c>
      <c r="H7079" s="49">
        <f t="shared" si="2"/>
        <v>46176</v>
      </c>
    </row>
    <row r="7080">
      <c r="A7080" s="48" t="s">
        <v>10557</v>
      </c>
      <c r="B7080" s="38">
        <v>85127.0</v>
      </c>
      <c r="C7080" s="38" t="s">
        <v>10558</v>
      </c>
      <c r="D7080" s="38" t="str">
        <f>IFERROR(__xludf.DUMMYFUNCTION("REGEXREPLACE(C7080,""-\d+(.*)|--\d+(.*)"","""")"),"LONGEVILLE-SUR-MER")</f>
        <v>LONGEVILLE-SUR-MER</v>
      </c>
      <c r="E7080" s="38" t="s">
        <v>179</v>
      </c>
      <c r="F7080" s="38" t="s">
        <v>180</v>
      </c>
      <c r="G7080" s="49" t="str">
        <f t="shared" si="1"/>
        <v>85560</v>
      </c>
      <c r="H7080" s="49">
        <f t="shared" si="2"/>
        <v>85127</v>
      </c>
    </row>
    <row r="7081">
      <c r="A7081" s="48" t="s">
        <v>10559</v>
      </c>
      <c r="B7081" s="38">
        <v>91468.0</v>
      </c>
      <c r="C7081" s="38" t="s">
        <v>10560</v>
      </c>
      <c r="D7081" s="38" t="str">
        <f>IFERROR(__xludf.DUMMYFUNCTION("REGEXREPLACE(C7081,""-\d+(.*)|--\d+(.*)"","""")"),"ORMOY")</f>
        <v>ORMOY</v>
      </c>
      <c r="E7081" s="38" t="s">
        <v>756</v>
      </c>
      <c r="F7081" s="38" t="s">
        <v>245</v>
      </c>
      <c r="G7081" s="49" t="str">
        <f t="shared" si="1"/>
        <v>91540</v>
      </c>
      <c r="H7081" s="49">
        <f t="shared" si="2"/>
        <v>91468</v>
      </c>
    </row>
    <row r="7082">
      <c r="A7082" s="48" t="s">
        <v>3208</v>
      </c>
      <c r="B7082" s="38">
        <v>80576.0</v>
      </c>
      <c r="C7082" s="38" t="s">
        <v>10561</v>
      </c>
      <c r="D7082" s="38" t="str">
        <f>IFERROR(__xludf.DUMMYFUNCTION("REGEXREPLACE(C7082,""-\d+(.*)|--\d+(.*)"","""")"),"MOYENCOURT")</f>
        <v>MOYENCOURT</v>
      </c>
      <c r="E7082" s="38" t="s">
        <v>224</v>
      </c>
      <c r="F7082" s="38" t="s">
        <v>113</v>
      </c>
      <c r="G7082" s="49" t="str">
        <f t="shared" si="1"/>
        <v>80400</v>
      </c>
      <c r="H7082" s="49">
        <f t="shared" si="2"/>
        <v>80576</v>
      </c>
    </row>
    <row r="7083">
      <c r="A7083" s="48" t="s">
        <v>826</v>
      </c>
      <c r="B7083" s="38">
        <v>21411.0</v>
      </c>
      <c r="C7083" s="38" t="s">
        <v>10562</v>
      </c>
      <c r="D7083" s="38" t="str">
        <f>IFERROR(__xludf.DUMMYFUNCTION("REGEXREPLACE(C7083,""-\d+(.*)|--\d+(.*)"","""")"),"MEURSANGES")</f>
        <v>MEURSANGES</v>
      </c>
      <c r="E7083" s="38" t="s">
        <v>105</v>
      </c>
      <c r="F7083" s="38" t="s">
        <v>106</v>
      </c>
      <c r="G7083" s="49" t="str">
        <f t="shared" si="1"/>
        <v>21200</v>
      </c>
      <c r="H7083" s="49">
        <f t="shared" si="2"/>
        <v>21411</v>
      </c>
    </row>
    <row r="7084">
      <c r="A7084" s="48" t="s">
        <v>1400</v>
      </c>
      <c r="B7084" s="38">
        <v>21441.0</v>
      </c>
      <c r="C7084" s="38" t="s">
        <v>10563</v>
      </c>
      <c r="D7084" s="38" t="str">
        <f>IFERROR(__xludf.DUMMYFUNCTION("REGEXREPLACE(C7084,""-\d+(.*)|--\d+(.*)"","""")"),"MONT-SAINT-JEAN")</f>
        <v>MONT-SAINT-JEAN</v>
      </c>
      <c r="E7084" s="38" t="s">
        <v>105</v>
      </c>
      <c r="F7084" s="38" t="s">
        <v>106</v>
      </c>
      <c r="G7084" s="49" t="str">
        <f t="shared" si="1"/>
        <v>21320</v>
      </c>
      <c r="H7084" s="49">
        <f t="shared" si="2"/>
        <v>21441</v>
      </c>
    </row>
    <row r="7085">
      <c r="A7085" s="48" t="s">
        <v>10564</v>
      </c>
      <c r="B7085" s="38">
        <v>56023.0</v>
      </c>
      <c r="C7085" s="38" t="s">
        <v>10565</v>
      </c>
      <c r="D7085" s="38" t="str">
        <f>IFERROR(__xludf.DUMMYFUNCTION("REGEXREPLACE(C7085,""-\d+(.*)|--\d+(.*)"","""")"),"BRECH")</f>
        <v>BRECH</v>
      </c>
      <c r="E7085" s="38" t="s">
        <v>173</v>
      </c>
      <c r="F7085" s="38" t="s">
        <v>90</v>
      </c>
      <c r="G7085" s="49" t="str">
        <f t="shared" si="1"/>
        <v>56400</v>
      </c>
      <c r="H7085" s="49">
        <f t="shared" si="2"/>
        <v>56023</v>
      </c>
    </row>
    <row r="7086">
      <c r="A7086" s="48" t="s">
        <v>5292</v>
      </c>
      <c r="B7086" s="38">
        <v>1134.0</v>
      </c>
      <c r="C7086" s="38" t="s">
        <v>10566</v>
      </c>
      <c r="D7086" s="38" t="str">
        <f>IFERROR(__xludf.DUMMYFUNCTION("REGEXREPLACE(C7086,""-\d+(.*)|--\d+(.*)"","""")"),"CROTTET")</f>
        <v>CROTTET</v>
      </c>
      <c r="E7086" s="38" t="s">
        <v>255</v>
      </c>
      <c r="F7086" s="38" t="s">
        <v>102</v>
      </c>
      <c r="G7086" s="49" t="str">
        <f t="shared" si="1"/>
        <v>01290</v>
      </c>
      <c r="H7086" s="49" t="str">
        <f t="shared" si="2"/>
        <v>01134</v>
      </c>
    </row>
    <row r="7087">
      <c r="A7087" s="48" t="s">
        <v>3618</v>
      </c>
      <c r="B7087" s="38">
        <v>31085.0</v>
      </c>
      <c r="C7087" s="38" t="s">
        <v>10567</v>
      </c>
      <c r="D7087" s="38" t="str">
        <f>IFERROR(__xludf.DUMMYFUNCTION("REGEXREPLACE(C7087,""-\d+(.*)|--\d+(.*)"","""")"),"BOUTX")</f>
        <v>BOUTX</v>
      </c>
      <c r="E7087" s="38" t="s">
        <v>93</v>
      </c>
      <c r="F7087" s="38" t="s">
        <v>94</v>
      </c>
      <c r="G7087" s="49" t="str">
        <f t="shared" si="1"/>
        <v>31440</v>
      </c>
      <c r="H7087" s="49">
        <f t="shared" si="2"/>
        <v>31085</v>
      </c>
    </row>
    <row r="7088">
      <c r="A7088" s="48" t="s">
        <v>10568</v>
      </c>
      <c r="B7088" s="38">
        <v>33548.0</v>
      </c>
      <c r="C7088" s="38" t="s">
        <v>10569</v>
      </c>
      <c r="D7088" s="38" t="str">
        <f>IFERROR(__xludf.DUMMYFUNCTION("REGEXREPLACE(C7088,""-\d+(.*)|--\d+(.*)"","""")"),"VILLEGOUGE")</f>
        <v>VILLEGOUGE</v>
      </c>
      <c r="E7088" s="38" t="s">
        <v>462</v>
      </c>
      <c r="F7088" s="38" t="s">
        <v>252</v>
      </c>
      <c r="G7088" s="49" t="str">
        <f t="shared" si="1"/>
        <v>33141</v>
      </c>
      <c r="H7088" s="49">
        <f t="shared" si="2"/>
        <v>33548</v>
      </c>
    </row>
    <row r="7089">
      <c r="A7089" s="48" t="s">
        <v>10570</v>
      </c>
      <c r="B7089" s="38">
        <v>63028.0</v>
      </c>
      <c r="C7089" s="38" t="s">
        <v>10571</v>
      </c>
      <c r="D7089" s="38" t="str">
        <f>IFERROR(__xludf.DUMMYFUNCTION("REGEXREPLACE(C7089,""-\d+(.*)|--\d+(.*)"","""")"),"BAGNOLS")</f>
        <v>BAGNOLS</v>
      </c>
      <c r="E7089" s="38" t="s">
        <v>353</v>
      </c>
      <c r="F7089" s="38" t="s">
        <v>161</v>
      </c>
      <c r="G7089" s="49" t="str">
        <f t="shared" si="1"/>
        <v>63810</v>
      </c>
      <c r="H7089" s="49">
        <f t="shared" si="2"/>
        <v>63028</v>
      </c>
    </row>
    <row r="7090">
      <c r="A7090" s="48" t="s">
        <v>576</v>
      </c>
      <c r="B7090" s="38">
        <v>54014.0</v>
      </c>
      <c r="C7090" s="38" t="s">
        <v>10572</v>
      </c>
      <c r="D7090" s="38" t="str">
        <f>IFERROR(__xludf.DUMMYFUNCTION("REGEXREPLACE(C7090,""-\d+(.*)|--\d+(.*)"","""")"),"ANCERVILLER")</f>
        <v>ANCERVILLER</v>
      </c>
      <c r="E7090" s="38" t="s">
        <v>548</v>
      </c>
      <c r="F7090" s="38" t="s">
        <v>195</v>
      </c>
      <c r="G7090" s="49" t="str">
        <f t="shared" si="1"/>
        <v>54450</v>
      </c>
      <c r="H7090" s="49">
        <f t="shared" si="2"/>
        <v>54014</v>
      </c>
    </row>
    <row r="7091">
      <c r="A7091" s="48" t="s">
        <v>466</v>
      </c>
      <c r="B7091" s="38">
        <v>52302.0</v>
      </c>
      <c r="C7091" s="38" t="s">
        <v>10573</v>
      </c>
      <c r="D7091" s="38" t="str">
        <f>IFERROR(__xludf.DUMMYFUNCTION("REGEXREPLACE(C7091,""-\d+(.*)|--\d+(.*)"","""")"),"MAIZIERES")</f>
        <v>MAIZIERES</v>
      </c>
      <c r="E7091" s="38" t="s">
        <v>234</v>
      </c>
      <c r="F7091" s="38" t="s">
        <v>130</v>
      </c>
      <c r="G7091" s="49" t="str">
        <f t="shared" si="1"/>
        <v>52300</v>
      </c>
      <c r="H7091" s="49">
        <f t="shared" si="2"/>
        <v>52302</v>
      </c>
    </row>
    <row r="7092">
      <c r="A7092" s="48" t="s">
        <v>2538</v>
      </c>
      <c r="B7092" s="38">
        <v>12003.0</v>
      </c>
      <c r="C7092" s="38" t="s">
        <v>10574</v>
      </c>
      <c r="D7092" s="38" t="str">
        <f>IFERROR(__xludf.DUMMYFUNCTION("REGEXREPLACE(C7092,""-\d+(.*)|--\d+(.*)"","""")"),"LES ALBRES")</f>
        <v>LES ALBRES</v>
      </c>
      <c r="E7092" s="38" t="s">
        <v>465</v>
      </c>
      <c r="F7092" s="38" t="s">
        <v>94</v>
      </c>
      <c r="G7092" s="49" t="str">
        <f t="shared" si="1"/>
        <v>12220</v>
      </c>
      <c r="H7092" s="49">
        <f t="shared" si="2"/>
        <v>12003</v>
      </c>
    </row>
    <row r="7093">
      <c r="A7093" s="48" t="s">
        <v>10575</v>
      </c>
      <c r="B7093" s="38">
        <v>13215.0</v>
      </c>
      <c r="C7093" s="38" t="s">
        <v>10576</v>
      </c>
      <c r="D7093" s="38" t="str">
        <f>IFERROR(__xludf.DUMMYFUNCTION("REGEXREPLACE(C7093,""-\d+(.*)|--\d+(.*)"","""")"),"MARSEILLE")</f>
        <v>MARSEILLE</v>
      </c>
      <c r="E7093" s="38" t="s">
        <v>980</v>
      </c>
      <c r="F7093" s="38" t="s">
        <v>228</v>
      </c>
      <c r="G7093" s="49" t="str">
        <f t="shared" si="1"/>
        <v>13015</v>
      </c>
      <c r="H7093" s="49">
        <f t="shared" si="2"/>
        <v>13215</v>
      </c>
    </row>
    <row r="7094">
      <c r="A7094" s="48" t="s">
        <v>3795</v>
      </c>
      <c r="B7094" s="38">
        <v>24411.0</v>
      </c>
      <c r="C7094" s="38" t="s">
        <v>10577</v>
      </c>
      <c r="D7094" s="38" t="str">
        <f>IFERROR(__xludf.DUMMYFUNCTION("REGEXREPLACE(C7094,""-\d+(.*)|--\d+(.*)"","""")"),"SAINT-FRONT-SUR-NIZONNE")</f>
        <v>SAINT-FRONT-SUR-NIZONNE</v>
      </c>
      <c r="E7094" s="38" t="s">
        <v>261</v>
      </c>
      <c r="F7094" s="38" t="s">
        <v>252</v>
      </c>
      <c r="G7094" s="49" t="str">
        <f t="shared" si="1"/>
        <v>24300</v>
      </c>
      <c r="H7094" s="49">
        <f t="shared" si="2"/>
        <v>24411</v>
      </c>
    </row>
    <row r="7095">
      <c r="A7095" s="48" t="s">
        <v>10578</v>
      </c>
      <c r="B7095" s="38">
        <v>79243.0</v>
      </c>
      <c r="C7095" s="38" t="s">
        <v>10579</v>
      </c>
      <c r="D7095" s="38" t="str">
        <f>IFERROR(__xludf.DUMMYFUNCTION("REGEXREPLACE(C7095,""-\d+(.*)|--\d+(.*)"","""")"),"SAINT-COUTANT")</f>
        <v>SAINT-COUTANT</v>
      </c>
      <c r="E7095" s="38" t="s">
        <v>337</v>
      </c>
      <c r="F7095" s="38" t="s">
        <v>338</v>
      </c>
      <c r="G7095" s="49" t="str">
        <f t="shared" si="1"/>
        <v>79120</v>
      </c>
      <c r="H7095" s="49">
        <f t="shared" si="2"/>
        <v>79243</v>
      </c>
    </row>
    <row r="7096">
      <c r="A7096" s="48" t="s">
        <v>2156</v>
      </c>
      <c r="B7096" s="38">
        <v>26306.0</v>
      </c>
      <c r="C7096" s="38" t="s">
        <v>10580</v>
      </c>
      <c r="D7096" s="38" t="str">
        <f>IFERROR(__xludf.DUMMYFUNCTION("REGEXREPLACE(C7096,""-\d+(.*)|--\d+(.*)"","""")"),"SAINTE-JALLE")</f>
        <v>SAINTE-JALLE</v>
      </c>
      <c r="E7096" s="38" t="s">
        <v>126</v>
      </c>
      <c r="F7096" s="38" t="s">
        <v>102</v>
      </c>
      <c r="G7096" s="49" t="str">
        <f t="shared" si="1"/>
        <v>26110</v>
      </c>
      <c r="H7096" s="49">
        <f t="shared" si="2"/>
        <v>26306</v>
      </c>
    </row>
    <row r="7097">
      <c r="A7097" s="48" t="s">
        <v>3196</v>
      </c>
      <c r="B7097" s="38">
        <v>1422.0</v>
      </c>
      <c r="C7097" s="38" t="s">
        <v>10581</v>
      </c>
      <c r="D7097" s="38" t="str">
        <f>IFERROR(__xludf.DUMMYFUNCTION("REGEXREPLACE(C7097,""-\d+(.*)|--\d+(.*)"","""")"),"TOSSIAT")</f>
        <v>TOSSIAT</v>
      </c>
      <c r="E7097" s="38" t="s">
        <v>255</v>
      </c>
      <c r="F7097" s="38" t="s">
        <v>102</v>
      </c>
      <c r="G7097" s="49" t="str">
        <f t="shared" si="1"/>
        <v>01250</v>
      </c>
      <c r="H7097" s="49" t="str">
        <f t="shared" si="2"/>
        <v>01422</v>
      </c>
    </row>
    <row r="7098">
      <c r="A7098" s="48" t="s">
        <v>10582</v>
      </c>
      <c r="B7098" s="38">
        <v>77290.0</v>
      </c>
      <c r="C7098" s="38" t="s">
        <v>10583</v>
      </c>
      <c r="D7098" s="38" t="str">
        <f>IFERROR(__xludf.DUMMYFUNCTION("REGEXREPLACE(C7098,""-\d+(.*)|--\d+(.*)"","""")"),"MERY-SUR-MARNE")</f>
        <v>MERY-SUR-MARNE</v>
      </c>
      <c r="E7098" s="38" t="s">
        <v>244</v>
      </c>
      <c r="F7098" s="38" t="s">
        <v>245</v>
      </c>
      <c r="G7098" s="49" t="str">
        <f t="shared" si="1"/>
        <v>77730</v>
      </c>
      <c r="H7098" s="49">
        <f t="shared" si="2"/>
        <v>77290</v>
      </c>
    </row>
    <row r="7099">
      <c r="A7099" s="48" t="s">
        <v>10584</v>
      </c>
      <c r="B7099" s="38">
        <v>17318.0</v>
      </c>
      <c r="C7099" s="38" t="s">
        <v>10585</v>
      </c>
      <c r="D7099" s="38" t="str">
        <f>IFERROR(__xludf.DUMMYFUNCTION("REGEXREPLACE(C7099,""-\d+(.*)|--\d+(.*)"","""")"),"SAINT-CLEMENT-DES-BALEINES")</f>
        <v>SAINT-CLEMENT-DES-BALEINES</v>
      </c>
      <c r="E7099" s="38" t="s">
        <v>488</v>
      </c>
      <c r="F7099" s="38" t="s">
        <v>338</v>
      </c>
      <c r="G7099" s="49" t="str">
        <f t="shared" si="1"/>
        <v>17590</v>
      </c>
      <c r="H7099" s="49">
        <f t="shared" si="2"/>
        <v>17318</v>
      </c>
    </row>
    <row r="7100">
      <c r="A7100" s="48" t="s">
        <v>3127</v>
      </c>
      <c r="B7100" s="38">
        <v>70518.0</v>
      </c>
      <c r="C7100" s="38" t="s">
        <v>10586</v>
      </c>
      <c r="D7100" s="38" t="str">
        <f>IFERROR(__xludf.DUMMYFUNCTION("REGEXREPLACE(C7100,""-\d+(.*)|--\d+(.*)"","""")"),"LE VAL-SAINT-ELOI")</f>
        <v>LE VAL-SAINT-ELOI</v>
      </c>
      <c r="E7100" s="38" t="s">
        <v>956</v>
      </c>
      <c r="F7100" s="38" t="s">
        <v>214</v>
      </c>
      <c r="G7100" s="49" t="str">
        <f t="shared" si="1"/>
        <v>70160</v>
      </c>
      <c r="H7100" s="49">
        <f t="shared" si="2"/>
        <v>70518</v>
      </c>
    </row>
    <row r="7101">
      <c r="A7101" s="48" t="s">
        <v>5390</v>
      </c>
      <c r="B7101" s="38">
        <v>27151.0</v>
      </c>
      <c r="C7101" s="38" t="s">
        <v>10587</v>
      </c>
      <c r="D7101" s="38" t="str">
        <f>IFERROR(__xludf.DUMMYFUNCTION("REGEXREPLACE(C7101,""-\d+(.*)|--\d+(.*)"","""")"),"CHARLEVAL")</f>
        <v>CHARLEVAL</v>
      </c>
      <c r="E7101" s="38" t="s">
        <v>241</v>
      </c>
      <c r="F7101" s="38" t="s">
        <v>134</v>
      </c>
      <c r="G7101" s="49" t="str">
        <f t="shared" si="1"/>
        <v>27380</v>
      </c>
      <c r="H7101" s="49">
        <f t="shared" si="2"/>
        <v>27151</v>
      </c>
    </row>
    <row r="7102">
      <c r="A7102" s="48" t="s">
        <v>10588</v>
      </c>
      <c r="B7102" s="38">
        <v>40243.0</v>
      </c>
      <c r="C7102" s="38" t="s">
        <v>10589</v>
      </c>
      <c r="D7102" s="38" t="str">
        <f>IFERROR(__xludf.DUMMYFUNCTION("REGEXREPLACE(C7102,""-\d+(.*)|--\d+(.*)"","""")"),"RION-DES-LANDES")</f>
        <v>RION-DES-LANDES</v>
      </c>
      <c r="E7102" s="38" t="s">
        <v>281</v>
      </c>
      <c r="F7102" s="38" t="s">
        <v>252</v>
      </c>
      <c r="G7102" s="49" t="str">
        <f t="shared" si="1"/>
        <v>40370</v>
      </c>
      <c r="H7102" s="49">
        <f t="shared" si="2"/>
        <v>40243</v>
      </c>
    </row>
    <row r="7103">
      <c r="A7103" s="48" t="s">
        <v>3436</v>
      </c>
      <c r="B7103" s="38">
        <v>33154.0</v>
      </c>
      <c r="C7103" s="38" t="s">
        <v>10590</v>
      </c>
      <c r="D7103" s="38" t="str">
        <f>IFERROR(__xludf.DUMMYFUNCTION("REGEXREPLACE(C7103,""-\d+(.*)|--\d+(.*)"","""")"),"LES EGLISOTTES-ET-CHALAURES")</f>
        <v>LES EGLISOTTES-ET-CHALAURES</v>
      </c>
      <c r="E7103" s="38" t="s">
        <v>462</v>
      </c>
      <c r="F7103" s="38" t="s">
        <v>252</v>
      </c>
      <c r="G7103" s="49" t="str">
        <f t="shared" si="1"/>
        <v>33230</v>
      </c>
      <c r="H7103" s="49">
        <f t="shared" si="2"/>
        <v>33154</v>
      </c>
    </row>
    <row r="7104">
      <c r="A7104" s="48" t="s">
        <v>4840</v>
      </c>
      <c r="B7104" s="38">
        <v>16300.0</v>
      </c>
      <c r="C7104" s="38" t="s">
        <v>10591</v>
      </c>
      <c r="D7104" s="38" t="str">
        <f>IFERROR(__xludf.DUMMYFUNCTION("REGEXREPLACE(C7104,""-\d+(.*)|--\d+(.*)"","""")"),"SAINT-ANGEAU")</f>
        <v>SAINT-ANGEAU</v>
      </c>
      <c r="E7104" s="38" t="s">
        <v>429</v>
      </c>
      <c r="F7104" s="38" t="s">
        <v>338</v>
      </c>
      <c r="G7104" s="49" t="str">
        <f t="shared" si="1"/>
        <v>16230</v>
      </c>
      <c r="H7104" s="49">
        <f t="shared" si="2"/>
        <v>16300</v>
      </c>
    </row>
    <row r="7105">
      <c r="A7105" s="48" t="s">
        <v>394</v>
      </c>
      <c r="B7105" s="38">
        <v>41065.0</v>
      </c>
      <c r="C7105" s="38" t="s">
        <v>10592</v>
      </c>
      <c r="D7105" s="38" t="str">
        <f>IFERROR(__xludf.DUMMYFUNCTION("REGEXREPLACE(C7105,""-\d+(.*)|--\d+(.*)"","""")"),"COULOMMIERS-LA-TOUR")</f>
        <v>COULOMMIERS-LA-TOUR</v>
      </c>
      <c r="E7105" s="38" t="s">
        <v>188</v>
      </c>
      <c r="F7105" s="38" t="s">
        <v>123</v>
      </c>
      <c r="G7105" s="49" t="str">
        <f t="shared" si="1"/>
        <v>41100</v>
      </c>
      <c r="H7105" s="49">
        <f t="shared" si="2"/>
        <v>41065</v>
      </c>
    </row>
    <row r="7106">
      <c r="A7106" s="48" t="s">
        <v>4644</v>
      </c>
      <c r="B7106" s="38">
        <v>46088.0</v>
      </c>
      <c r="C7106" s="38" t="s">
        <v>10593</v>
      </c>
      <c r="D7106" s="38" t="str">
        <f>IFERROR(__xludf.DUMMYFUNCTION("REGEXREPLACE(C7106,""-\d+(.*)|--\d+(.*)"","""")"),"DOUELLE")</f>
        <v>DOUELLE</v>
      </c>
      <c r="E7106" s="38" t="s">
        <v>185</v>
      </c>
      <c r="F7106" s="38" t="s">
        <v>94</v>
      </c>
      <c r="G7106" s="49" t="str">
        <f t="shared" si="1"/>
        <v>46140</v>
      </c>
      <c r="H7106" s="49">
        <f t="shared" si="2"/>
        <v>46088</v>
      </c>
    </row>
    <row r="7107">
      <c r="A7107" s="48" t="s">
        <v>10594</v>
      </c>
      <c r="B7107" s="38">
        <v>78322.0</v>
      </c>
      <c r="C7107" s="38" t="s">
        <v>10595</v>
      </c>
      <c r="D7107" s="38" t="str">
        <f>IFERROR(__xludf.DUMMYFUNCTION("REGEXREPLACE(C7107,""-\d+(.*)|--\d+(.*)"","""")"),"JOUY-EN-JOSAS")</f>
        <v>JOUY-EN-JOSAS</v>
      </c>
      <c r="E7107" s="38" t="s">
        <v>362</v>
      </c>
      <c r="F7107" s="38" t="s">
        <v>245</v>
      </c>
      <c r="G7107" s="49" t="str">
        <f t="shared" si="1"/>
        <v>78350</v>
      </c>
      <c r="H7107" s="49">
        <f t="shared" si="2"/>
        <v>78322</v>
      </c>
    </row>
    <row r="7108">
      <c r="A7108" s="48" t="s">
        <v>3283</v>
      </c>
      <c r="B7108" s="38">
        <v>52142.0</v>
      </c>
      <c r="C7108" s="38" t="s">
        <v>10596</v>
      </c>
      <c r="D7108" s="38" t="str">
        <f>IFERROR(__xludf.DUMMYFUNCTION("REGEXREPLACE(C7108,""-\d+(.*)|--\d+(.*)"","""")"),"CONSIGNY")</f>
        <v>CONSIGNY</v>
      </c>
      <c r="E7108" s="38" t="s">
        <v>234</v>
      </c>
      <c r="F7108" s="38" t="s">
        <v>130</v>
      </c>
      <c r="G7108" s="49" t="str">
        <f t="shared" si="1"/>
        <v>52700</v>
      </c>
      <c r="H7108" s="49">
        <f t="shared" si="2"/>
        <v>52142</v>
      </c>
    </row>
    <row r="7109">
      <c r="A7109" s="48" t="s">
        <v>10597</v>
      </c>
      <c r="B7109" s="38">
        <v>14066.0</v>
      </c>
      <c r="C7109" s="38" t="s">
        <v>10598</v>
      </c>
      <c r="D7109" s="38" t="str">
        <f>IFERROR(__xludf.DUMMYFUNCTION("REGEXREPLACE(C7109,""-\d+(.*)|--\d+(.*)"","""")"),"BERNIERES-SUR-MER")</f>
        <v>BERNIERES-SUR-MER</v>
      </c>
      <c r="E7109" s="38" t="s">
        <v>137</v>
      </c>
      <c r="F7109" s="38" t="s">
        <v>138</v>
      </c>
      <c r="G7109" s="49" t="str">
        <f t="shared" si="1"/>
        <v>14990</v>
      </c>
      <c r="H7109" s="49">
        <f t="shared" si="2"/>
        <v>14066</v>
      </c>
    </row>
    <row r="7110">
      <c r="A7110" s="48" t="s">
        <v>3659</v>
      </c>
      <c r="B7110" s="38">
        <v>40323.0</v>
      </c>
      <c r="C7110" s="38" t="s">
        <v>10599</v>
      </c>
      <c r="D7110" s="38" t="str">
        <f>IFERROR(__xludf.DUMMYFUNCTION("REGEXREPLACE(C7110,""-\d+(.*)|--\d+(.*)"","""")"),"VERT")</f>
        <v>VERT</v>
      </c>
      <c r="E7110" s="38" t="s">
        <v>281</v>
      </c>
      <c r="F7110" s="38" t="s">
        <v>252</v>
      </c>
      <c r="G7110" s="49" t="str">
        <f t="shared" si="1"/>
        <v>40420</v>
      </c>
      <c r="H7110" s="49">
        <f t="shared" si="2"/>
        <v>40323</v>
      </c>
    </row>
    <row r="7111">
      <c r="A7111" s="48" t="s">
        <v>10600</v>
      </c>
      <c r="B7111" s="38">
        <v>77307.0</v>
      </c>
      <c r="C7111" s="38" t="s">
        <v>10601</v>
      </c>
      <c r="D7111" s="38" t="str">
        <f>IFERROR(__xludf.DUMMYFUNCTION("REGEXREPLACE(C7111,""-\d+(.*)|--\d+(.*)"","""")"),"MONTEVRAIN")</f>
        <v>MONTEVRAIN</v>
      </c>
      <c r="E7111" s="38" t="s">
        <v>244</v>
      </c>
      <c r="F7111" s="38" t="s">
        <v>245</v>
      </c>
      <c r="G7111" s="49" t="str">
        <f t="shared" si="1"/>
        <v>77144</v>
      </c>
      <c r="H7111" s="49">
        <f t="shared" si="2"/>
        <v>77307</v>
      </c>
    </row>
    <row r="7112">
      <c r="A7112" s="48" t="s">
        <v>4434</v>
      </c>
      <c r="B7112" s="38">
        <v>31168.0</v>
      </c>
      <c r="C7112" s="38" t="s">
        <v>10602</v>
      </c>
      <c r="D7112" s="38" t="str">
        <f>IFERROR(__xludf.DUMMYFUNCTION("REGEXREPLACE(C7112,""-\d+(.*)|--\d+(.*)"","""")"),"EOUX")</f>
        <v>EOUX</v>
      </c>
      <c r="E7112" s="38" t="s">
        <v>93</v>
      </c>
      <c r="F7112" s="38" t="s">
        <v>94</v>
      </c>
      <c r="G7112" s="49" t="str">
        <f t="shared" si="1"/>
        <v>31420</v>
      </c>
      <c r="H7112" s="49">
        <f t="shared" si="2"/>
        <v>31168</v>
      </c>
    </row>
    <row r="7113">
      <c r="A7113" s="48" t="s">
        <v>10603</v>
      </c>
      <c r="B7113" s="38">
        <v>94067.0</v>
      </c>
      <c r="C7113" s="38" t="s">
        <v>10604</v>
      </c>
      <c r="D7113" s="38" t="str">
        <f>IFERROR(__xludf.DUMMYFUNCTION("REGEXREPLACE(C7113,""-\d+(.*)|--\d+(.*)"","""")"),"SAINT-MANDE")</f>
        <v>SAINT-MANDE</v>
      </c>
      <c r="E7113" s="38" t="s">
        <v>561</v>
      </c>
      <c r="F7113" s="38" t="s">
        <v>245</v>
      </c>
      <c r="G7113" s="49" t="str">
        <f t="shared" si="1"/>
        <v>94160</v>
      </c>
      <c r="H7113" s="49">
        <f t="shared" si="2"/>
        <v>94067</v>
      </c>
    </row>
    <row r="7114">
      <c r="A7114" s="48" t="s">
        <v>9028</v>
      </c>
      <c r="B7114" s="38">
        <v>65259.0</v>
      </c>
      <c r="C7114" s="38" t="s">
        <v>3974</v>
      </c>
      <c r="D7114" s="38" t="str">
        <f>IFERROR(__xludf.DUMMYFUNCTION("REGEXREPLACE(C7114,""-\d+(.*)|--\d+(.*)"","""")"),"LANSAC")</f>
        <v>LANSAC</v>
      </c>
      <c r="E7114" s="38" t="s">
        <v>200</v>
      </c>
      <c r="F7114" s="38" t="s">
        <v>94</v>
      </c>
      <c r="G7114" s="49" t="str">
        <f t="shared" si="1"/>
        <v>65350</v>
      </c>
      <c r="H7114" s="49">
        <f t="shared" si="2"/>
        <v>65259</v>
      </c>
    </row>
    <row r="7115">
      <c r="A7115" s="48" t="s">
        <v>10605</v>
      </c>
      <c r="B7115" s="38" t="s">
        <v>10606</v>
      </c>
      <c r="C7115" s="38" t="s">
        <v>10607</v>
      </c>
      <c r="D7115" s="38" t="str">
        <f>IFERROR(__xludf.DUMMYFUNCTION("REGEXREPLACE(C7115,""-\d+(.*)|--\d+(.*)"","""")"),"CORRANO")</f>
        <v>CORRANO</v>
      </c>
      <c r="E7115" s="38" t="s">
        <v>606</v>
      </c>
      <c r="F7115" s="38" t="s">
        <v>607</v>
      </c>
      <c r="G7115" s="49" t="str">
        <f t="shared" si="1"/>
        <v>20168</v>
      </c>
      <c r="H7115" s="49" t="str">
        <f t="shared" si="2"/>
        <v>2A094</v>
      </c>
    </row>
    <row r="7116">
      <c r="A7116" s="48" t="s">
        <v>3948</v>
      </c>
      <c r="B7116" s="38">
        <v>21250.0</v>
      </c>
      <c r="C7116" s="38" t="s">
        <v>10608</v>
      </c>
      <c r="D7116" s="38" t="str">
        <f>IFERROR(__xludf.DUMMYFUNCTION("REGEXREPLACE(C7116,""-\d+(.*)|--\d+(.*)"","""")"),"ESSAROIS")</f>
        <v>ESSAROIS</v>
      </c>
      <c r="E7116" s="38" t="s">
        <v>105</v>
      </c>
      <c r="F7116" s="38" t="s">
        <v>106</v>
      </c>
      <c r="G7116" s="49" t="str">
        <f t="shared" si="1"/>
        <v>21290</v>
      </c>
      <c r="H7116" s="49">
        <f t="shared" si="2"/>
        <v>21250</v>
      </c>
    </row>
    <row r="7117">
      <c r="A7117" s="48" t="s">
        <v>10609</v>
      </c>
      <c r="B7117" s="38">
        <v>12254.0</v>
      </c>
      <c r="C7117" s="38" t="s">
        <v>10610</v>
      </c>
      <c r="D7117" s="38" t="str">
        <f>IFERROR(__xludf.DUMMYFUNCTION("REGEXREPLACE(C7117,""-\d+(.*)|--\d+(.*)"","""")"),"SALLES-LA-SOURCE")</f>
        <v>SALLES-LA-SOURCE</v>
      </c>
      <c r="E7117" s="38" t="s">
        <v>465</v>
      </c>
      <c r="F7117" s="38" t="s">
        <v>94</v>
      </c>
      <c r="G7117" s="49" t="str">
        <f t="shared" si="1"/>
        <v>12330</v>
      </c>
      <c r="H7117" s="49">
        <f t="shared" si="2"/>
        <v>12254</v>
      </c>
    </row>
    <row r="7118">
      <c r="A7118" s="48" t="s">
        <v>1928</v>
      </c>
      <c r="B7118" s="38">
        <v>1085.0</v>
      </c>
      <c r="C7118" s="38" t="s">
        <v>10611</v>
      </c>
      <c r="D7118" s="38" t="str">
        <f>IFERROR(__xludf.DUMMYFUNCTION("REGEXREPLACE(C7118,""-\d+(.*)|--\d+(.*)"","""")"),"LA CHAPELLE-DU-CHATELARD")</f>
        <v>LA CHAPELLE-DU-CHATELARD</v>
      </c>
      <c r="E7118" s="38" t="s">
        <v>255</v>
      </c>
      <c r="F7118" s="38" t="s">
        <v>102</v>
      </c>
      <c r="G7118" s="49" t="str">
        <f t="shared" si="1"/>
        <v>01240</v>
      </c>
      <c r="H7118" s="49" t="str">
        <f t="shared" si="2"/>
        <v>01085</v>
      </c>
    </row>
    <row r="7119">
      <c r="A7119" s="48" t="s">
        <v>7161</v>
      </c>
      <c r="B7119" s="38">
        <v>17412.0</v>
      </c>
      <c r="C7119" s="38" t="s">
        <v>10612</v>
      </c>
      <c r="D7119" s="38" t="str">
        <f>IFERROR(__xludf.DUMMYFUNCTION("REGEXREPLACE(C7119,""-\d+(.*)|--\d+(.*)"","""")"),"SAINT-VAIZE")</f>
        <v>SAINT-VAIZE</v>
      </c>
      <c r="E7119" s="38" t="s">
        <v>488</v>
      </c>
      <c r="F7119" s="38" t="s">
        <v>338</v>
      </c>
      <c r="G7119" s="49" t="str">
        <f t="shared" si="1"/>
        <v>17100</v>
      </c>
      <c r="H7119" s="49">
        <f t="shared" si="2"/>
        <v>17412</v>
      </c>
    </row>
    <row r="7120">
      <c r="A7120" s="48" t="s">
        <v>10613</v>
      </c>
      <c r="B7120" s="38">
        <v>92075.0</v>
      </c>
      <c r="C7120" s="38" t="s">
        <v>10614</v>
      </c>
      <c r="D7120" s="38" t="str">
        <f>IFERROR(__xludf.DUMMYFUNCTION("REGEXREPLACE(C7120,""-\d+(.*)|--\d+(.*)"","""")"),"VANVES")</f>
        <v>VANVES</v>
      </c>
      <c r="E7120" s="38" t="s">
        <v>838</v>
      </c>
      <c r="F7120" s="38" t="s">
        <v>245</v>
      </c>
      <c r="G7120" s="49" t="str">
        <f t="shared" si="1"/>
        <v>92170</v>
      </c>
      <c r="H7120" s="49">
        <f t="shared" si="2"/>
        <v>92075</v>
      </c>
    </row>
    <row r="7121">
      <c r="A7121" s="48" t="s">
        <v>4065</v>
      </c>
      <c r="B7121" s="38">
        <v>21224.0</v>
      </c>
      <c r="C7121" s="38" t="s">
        <v>10615</v>
      </c>
      <c r="D7121" s="38" t="str">
        <f>IFERROR(__xludf.DUMMYFUNCTION("REGEXREPLACE(C7121,""-\d+(.*)|--\d+(.*)"","""")"),"DAMPIERRE-EN-MONTAGNE")</f>
        <v>DAMPIERRE-EN-MONTAGNE</v>
      </c>
      <c r="E7121" s="38" t="s">
        <v>105</v>
      </c>
      <c r="F7121" s="38" t="s">
        <v>106</v>
      </c>
      <c r="G7121" s="49" t="str">
        <f t="shared" si="1"/>
        <v>21350</v>
      </c>
      <c r="H7121" s="49">
        <f t="shared" si="2"/>
        <v>21224</v>
      </c>
    </row>
    <row r="7122">
      <c r="A7122" s="48" t="s">
        <v>3743</v>
      </c>
      <c r="B7122" s="38">
        <v>27500.0</v>
      </c>
      <c r="C7122" s="38" t="s">
        <v>10616</v>
      </c>
      <c r="D7122" s="38" t="str">
        <f>IFERROR(__xludf.DUMMYFUNCTION("REGEXREPLACE(C7122,""-\d+(.*)|--\d+(.*)"","""")"),"ROUTOT")</f>
        <v>ROUTOT</v>
      </c>
      <c r="E7122" s="38" t="s">
        <v>241</v>
      </c>
      <c r="F7122" s="38" t="s">
        <v>134</v>
      </c>
      <c r="G7122" s="49" t="str">
        <f t="shared" si="1"/>
        <v>27350</v>
      </c>
      <c r="H7122" s="49">
        <f t="shared" si="2"/>
        <v>27500</v>
      </c>
    </row>
    <row r="7123">
      <c r="A7123" s="48" t="s">
        <v>10617</v>
      </c>
      <c r="B7123" s="38">
        <v>29280.0</v>
      </c>
      <c r="C7123" s="38" t="s">
        <v>10618</v>
      </c>
      <c r="D7123" s="38" t="str">
        <f>IFERROR(__xludf.DUMMYFUNCTION("REGEXREPLACE(C7123,""-\d+(.*)|--\d+(.*)"","""")"),"TELGRUC-SUR-MER")</f>
        <v>TELGRUC-SUR-MER</v>
      </c>
      <c r="E7123" s="38" t="s">
        <v>176</v>
      </c>
      <c r="F7123" s="38" t="s">
        <v>90</v>
      </c>
      <c r="G7123" s="49" t="str">
        <f t="shared" si="1"/>
        <v>29560</v>
      </c>
      <c r="H7123" s="49">
        <f t="shared" si="2"/>
        <v>29280</v>
      </c>
    </row>
    <row r="7124">
      <c r="A7124" s="48" t="s">
        <v>9021</v>
      </c>
      <c r="B7124" s="38">
        <v>88316.0</v>
      </c>
      <c r="C7124" s="38" t="s">
        <v>10619</v>
      </c>
      <c r="D7124" s="38" t="str">
        <f>IFERROR(__xludf.DUMMYFUNCTION("REGEXREPLACE(C7124,""-\d+(.*)|--\d+(.*)"","""")"),"MORVILLE")</f>
        <v>MORVILLE</v>
      </c>
      <c r="E7124" s="38" t="s">
        <v>194</v>
      </c>
      <c r="F7124" s="38" t="s">
        <v>195</v>
      </c>
      <c r="G7124" s="49" t="str">
        <f t="shared" si="1"/>
        <v>88140</v>
      </c>
      <c r="H7124" s="49">
        <f t="shared" si="2"/>
        <v>88316</v>
      </c>
    </row>
    <row r="7125">
      <c r="A7125" s="48" t="s">
        <v>6250</v>
      </c>
      <c r="B7125" s="38">
        <v>38534.0</v>
      </c>
      <c r="C7125" s="38" t="s">
        <v>10620</v>
      </c>
      <c r="D7125" s="38" t="str">
        <f>IFERROR(__xludf.DUMMYFUNCTION("REGEXREPLACE(C7125,""-\d+(.*)|--\d+(.*)"","""")"),"VENOSC")</f>
        <v>VENOSC</v>
      </c>
      <c r="E7125" s="38" t="s">
        <v>101</v>
      </c>
      <c r="F7125" s="38" t="s">
        <v>102</v>
      </c>
      <c r="G7125" s="49" t="str">
        <f t="shared" si="1"/>
        <v>38520</v>
      </c>
      <c r="H7125" s="49">
        <f t="shared" si="2"/>
        <v>38534</v>
      </c>
    </row>
    <row r="7126">
      <c r="A7126" s="48" t="s">
        <v>10621</v>
      </c>
      <c r="B7126" s="38">
        <v>84149.0</v>
      </c>
      <c r="C7126" s="38" t="s">
        <v>10622</v>
      </c>
      <c r="D7126" s="38" t="str">
        <f>IFERROR(__xludf.DUMMYFUNCTION("REGEXREPLACE(C7126,""-\d+(.*)|--\d+(.*)"","""")"),"VIOLES")</f>
        <v>VIOLES</v>
      </c>
      <c r="E7126" s="38" t="s">
        <v>1026</v>
      </c>
      <c r="F7126" s="38" t="s">
        <v>228</v>
      </c>
      <c r="G7126" s="49" t="str">
        <f t="shared" si="1"/>
        <v>84150</v>
      </c>
      <c r="H7126" s="49">
        <f t="shared" si="2"/>
        <v>84149</v>
      </c>
    </row>
    <row r="7127">
      <c r="A7127" s="48" t="s">
        <v>1731</v>
      </c>
      <c r="B7127" s="38">
        <v>38532.0</v>
      </c>
      <c r="C7127" s="38" t="s">
        <v>10623</v>
      </c>
      <c r="D7127" s="38" t="str">
        <f>IFERROR(__xludf.DUMMYFUNCTION("REGEXREPLACE(C7127,""-\d+(.*)|--\d+(.*)"","""")"),"VENERIEU")</f>
        <v>VENERIEU</v>
      </c>
      <c r="E7127" s="38" t="s">
        <v>101</v>
      </c>
      <c r="F7127" s="38" t="s">
        <v>102</v>
      </c>
      <c r="G7127" s="49" t="str">
        <f t="shared" si="1"/>
        <v>38460</v>
      </c>
      <c r="H7127" s="49">
        <f t="shared" si="2"/>
        <v>38532</v>
      </c>
    </row>
    <row r="7128">
      <c r="A7128" s="48" t="s">
        <v>10624</v>
      </c>
      <c r="B7128" s="38">
        <v>90058.0</v>
      </c>
      <c r="C7128" s="38" t="s">
        <v>10625</v>
      </c>
      <c r="D7128" s="38" t="str">
        <f>IFERROR(__xludf.DUMMYFUNCTION("REGEXREPLACE(C7128,""-\d+(.*)|--\d+(.*)"","""")"),"LACHAPELLE-SOUS-ROUGEMONT")</f>
        <v>LACHAPELLE-SOUS-ROUGEMONT</v>
      </c>
      <c r="E7128" s="38" t="s">
        <v>1283</v>
      </c>
      <c r="F7128" s="38" t="s">
        <v>214</v>
      </c>
      <c r="G7128" s="49" t="str">
        <f t="shared" si="1"/>
        <v>90360</v>
      </c>
      <c r="H7128" s="49">
        <f t="shared" si="2"/>
        <v>90058</v>
      </c>
    </row>
    <row r="7129">
      <c r="A7129" s="48" t="s">
        <v>2766</v>
      </c>
      <c r="B7129" s="38">
        <v>2493.0</v>
      </c>
      <c r="C7129" s="38" t="s">
        <v>10626</v>
      </c>
      <c r="D7129" s="38" t="str">
        <f>IFERROR(__xludf.DUMMYFUNCTION("REGEXREPLACE(C7129,""-\d+(.*)|--\d+(.*)"","""")"),"MONCEAU-LE-WAAST")</f>
        <v>MONCEAU-LE-WAAST</v>
      </c>
      <c r="E7129" s="38" t="s">
        <v>191</v>
      </c>
      <c r="F7129" s="38" t="s">
        <v>113</v>
      </c>
      <c r="G7129" s="49" t="str">
        <f t="shared" si="1"/>
        <v>02840</v>
      </c>
      <c r="H7129" s="49" t="str">
        <f t="shared" si="2"/>
        <v>02493</v>
      </c>
    </row>
    <row r="7130">
      <c r="A7130" s="48" t="s">
        <v>10627</v>
      </c>
      <c r="B7130" s="38">
        <v>83049.0</v>
      </c>
      <c r="C7130" s="38" t="s">
        <v>10628</v>
      </c>
      <c r="D7130" s="38" t="str">
        <f>IFERROR(__xludf.DUMMYFUNCTION("REGEXREPLACE(C7130,""-\d+(.*)|--\d+(.*)"","""")"),"CUERS")</f>
        <v>CUERS</v>
      </c>
      <c r="E7130" s="38" t="s">
        <v>813</v>
      </c>
      <c r="F7130" s="38" t="s">
        <v>228</v>
      </c>
      <c r="G7130" s="49" t="str">
        <f t="shared" si="1"/>
        <v>83390</v>
      </c>
      <c r="H7130" s="49">
        <f t="shared" si="2"/>
        <v>83049</v>
      </c>
    </row>
    <row r="7131">
      <c r="A7131" s="48" t="s">
        <v>239</v>
      </c>
      <c r="B7131" s="38">
        <v>27389.0</v>
      </c>
      <c r="C7131" s="38" t="s">
        <v>10629</v>
      </c>
      <c r="D7131" s="38" t="str">
        <f>IFERROR(__xludf.DUMMYFUNCTION("REGEXREPLACE(C7131,""-\d+(.*)|--\d+(.*)"","""")"),"MARBEUF")</f>
        <v>MARBEUF</v>
      </c>
      <c r="E7131" s="38" t="s">
        <v>241</v>
      </c>
      <c r="F7131" s="38" t="s">
        <v>134</v>
      </c>
      <c r="G7131" s="49" t="str">
        <f t="shared" si="1"/>
        <v>27110</v>
      </c>
      <c r="H7131" s="49">
        <f t="shared" si="2"/>
        <v>27389</v>
      </c>
    </row>
    <row r="7132">
      <c r="A7132" s="48" t="s">
        <v>2429</v>
      </c>
      <c r="B7132" s="38">
        <v>63010.0</v>
      </c>
      <c r="C7132" s="38" t="s">
        <v>10630</v>
      </c>
      <c r="D7132" s="38" t="str">
        <f>IFERROR(__xludf.DUMMYFUNCTION("REGEXREPLACE(C7132,""-\d+(.*)|--\d+(.*)"","""")"),"ARLANC")</f>
        <v>ARLANC</v>
      </c>
      <c r="E7132" s="38" t="s">
        <v>353</v>
      </c>
      <c r="F7132" s="38" t="s">
        <v>161</v>
      </c>
      <c r="G7132" s="49" t="str">
        <f t="shared" si="1"/>
        <v>63220</v>
      </c>
      <c r="H7132" s="49">
        <f t="shared" si="2"/>
        <v>63010</v>
      </c>
    </row>
    <row r="7133">
      <c r="A7133" s="48" t="s">
        <v>5443</v>
      </c>
      <c r="B7133" s="38">
        <v>76642.0</v>
      </c>
      <c r="C7133" s="38" t="s">
        <v>10631</v>
      </c>
      <c r="D7133" s="38" t="str">
        <f>IFERROR(__xludf.DUMMYFUNCTION("REGEXREPLACE(C7133,""-\d+(.*)|--\d+(.*)"","""")"),"SAINT-PIERRE-LE-VIGER")</f>
        <v>SAINT-PIERRE-LE-VIGER</v>
      </c>
      <c r="E7133" s="38" t="s">
        <v>133</v>
      </c>
      <c r="F7133" s="38" t="s">
        <v>134</v>
      </c>
      <c r="G7133" s="49" t="str">
        <f t="shared" si="1"/>
        <v>76740</v>
      </c>
      <c r="H7133" s="49">
        <f t="shared" si="2"/>
        <v>76642</v>
      </c>
    </row>
    <row r="7134">
      <c r="A7134" s="48" t="s">
        <v>10632</v>
      </c>
      <c r="B7134" s="38">
        <v>69191.0</v>
      </c>
      <c r="C7134" s="38" t="s">
        <v>10633</v>
      </c>
      <c r="D7134" s="38" t="str">
        <f>IFERROR(__xludf.DUMMYFUNCTION("REGEXREPLACE(C7134,""-\d+(.*)|--\d+(.*)"","""")"),"SAINT-CYR-AU-MONT-D'OR")</f>
        <v>SAINT-CYR-AU-MONT-D'OR</v>
      </c>
      <c r="E7134" s="38" t="s">
        <v>350</v>
      </c>
      <c r="F7134" s="38" t="s">
        <v>102</v>
      </c>
      <c r="G7134" s="49" t="str">
        <f t="shared" si="1"/>
        <v>69450</v>
      </c>
      <c r="H7134" s="49">
        <f t="shared" si="2"/>
        <v>69191</v>
      </c>
    </row>
    <row r="7135">
      <c r="A7135" s="48" t="s">
        <v>1758</v>
      </c>
      <c r="B7135" s="38">
        <v>65463.0</v>
      </c>
      <c r="C7135" s="38" t="s">
        <v>10634</v>
      </c>
      <c r="D7135" s="38" t="str">
        <f>IFERROR(__xludf.DUMMYFUNCTION("REGEXREPLACE(C7135,""-\d+(.*)|--\d+(.*)"","""")"),"VIELLA")</f>
        <v>VIELLA</v>
      </c>
      <c r="E7135" s="38" t="s">
        <v>200</v>
      </c>
      <c r="F7135" s="38" t="s">
        <v>94</v>
      </c>
      <c r="G7135" s="49" t="str">
        <f t="shared" si="1"/>
        <v>65120</v>
      </c>
      <c r="H7135" s="49">
        <f t="shared" si="2"/>
        <v>65463</v>
      </c>
    </row>
    <row r="7136">
      <c r="A7136" s="48" t="s">
        <v>2794</v>
      </c>
      <c r="B7136" s="38">
        <v>39354.0</v>
      </c>
      <c r="C7136" s="38" t="s">
        <v>10635</v>
      </c>
      <c r="D7136" s="38" t="str">
        <f>IFERROR(__xludf.DUMMYFUNCTION("REGEXREPLACE(C7136,""-\d+(.*)|--\d+(.*)"","""")"),"MONTHOLIER")</f>
        <v>MONTHOLIER</v>
      </c>
      <c r="E7136" s="38" t="s">
        <v>400</v>
      </c>
      <c r="F7136" s="38" t="s">
        <v>214</v>
      </c>
      <c r="G7136" s="49" t="str">
        <f t="shared" si="1"/>
        <v>39800</v>
      </c>
      <c r="H7136" s="49">
        <f t="shared" si="2"/>
        <v>39354</v>
      </c>
    </row>
    <row r="7137">
      <c r="A7137" s="48" t="s">
        <v>3424</v>
      </c>
      <c r="B7137" s="38">
        <v>10245.0</v>
      </c>
      <c r="C7137" s="38" t="s">
        <v>10636</v>
      </c>
      <c r="D7137" s="38" t="str">
        <f>IFERROR(__xludf.DUMMYFUNCTION("REGEXREPLACE(C7137,""-\d+(.*)|--\d+(.*)"","""")"),"MONTAULIN")</f>
        <v>MONTAULIN</v>
      </c>
      <c r="E7137" s="38" t="s">
        <v>147</v>
      </c>
      <c r="F7137" s="38" t="s">
        <v>130</v>
      </c>
      <c r="G7137" s="49" t="str">
        <f t="shared" si="1"/>
        <v>10270</v>
      </c>
      <c r="H7137" s="49">
        <f t="shared" si="2"/>
        <v>10245</v>
      </c>
    </row>
    <row r="7138">
      <c r="A7138" s="48" t="s">
        <v>10637</v>
      </c>
      <c r="B7138" s="38">
        <v>59138.0</v>
      </c>
      <c r="C7138" s="38" t="s">
        <v>10638</v>
      </c>
      <c r="D7138" s="38" t="str">
        <f>IFERROR(__xludf.DUMMYFUNCTION("REGEXREPLACE(C7138,""-\d+(.*)|--\d+(.*)"","""")"),"CATTENIERES")</f>
        <v>CATTENIERES</v>
      </c>
      <c r="E7138" s="38" t="s">
        <v>85</v>
      </c>
      <c r="F7138" s="38" t="s">
        <v>86</v>
      </c>
      <c r="G7138" s="49" t="str">
        <f t="shared" si="1"/>
        <v>59217</v>
      </c>
      <c r="H7138" s="49">
        <f t="shared" si="2"/>
        <v>59138</v>
      </c>
    </row>
    <row r="7139">
      <c r="A7139" s="48" t="s">
        <v>1274</v>
      </c>
      <c r="B7139" s="38">
        <v>33428.0</v>
      </c>
      <c r="C7139" s="38" t="s">
        <v>10639</v>
      </c>
      <c r="D7139" s="38" t="str">
        <f>IFERROR(__xludf.DUMMYFUNCTION("REGEXREPLACE(C7139,""-\d+(.*)|--\d+(.*)"","""")"),"SAINT-LAURENT-DU-PLAN")</f>
        <v>SAINT-LAURENT-DU-PLAN</v>
      </c>
      <c r="E7139" s="38" t="s">
        <v>462</v>
      </c>
      <c r="F7139" s="38" t="s">
        <v>252</v>
      </c>
      <c r="G7139" s="49" t="str">
        <f t="shared" si="1"/>
        <v>33190</v>
      </c>
      <c r="H7139" s="49">
        <f t="shared" si="2"/>
        <v>33428</v>
      </c>
    </row>
    <row r="7140">
      <c r="A7140" s="48" t="s">
        <v>2182</v>
      </c>
      <c r="B7140" s="38">
        <v>89111.0</v>
      </c>
      <c r="C7140" s="38" t="s">
        <v>10640</v>
      </c>
      <c r="D7140" s="38" t="str">
        <f>IFERROR(__xludf.DUMMYFUNCTION("REGEXREPLACE(C7140,""-\d+(.*)|--\d+(.*)"","""")"),"LES CLERIMOIS")</f>
        <v>LES CLERIMOIS</v>
      </c>
      <c r="E7140" s="38" t="s">
        <v>275</v>
      </c>
      <c r="F7140" s="38" t="s">
        <v>106</v>
      </c>
      <c r="G7140" s="49" t="str">
        <f t="shared" si="1"/>
        <v>89190</v>
      </c>
      <c r="H7140" s="49">
        <f t="shared" si="2"/>
        <v>89111</v>
      </c>
    </row>
    <row r="7141">
      <c r="A7141" s="48" t="s">
        <v>4292</v>
      </c>
      <c r="B7141" s="38">
        <v>74107.0</v>
      </c>
      <c r="C7141" s="38" t="s">
        <v>10641</v>
      </c>
      <c r="D7141" s="38" t="str">
        <f>IFERROR(__xludf.DUMMYFUNCTION("REGEXREPLACE(C7141,""-\d+(.*)|--\d+(.*)"","""")"),"DROISY")</f>
        <v>DROISY</v>
      </c>
      <c r="E7141" s="38" t="s">
        <v>319</v>
      </c>
      <c r="F7141" s="38" t="s">
        <v>102</v>
      </c>
      <c r="G7141" s="49" t="str">
        <f t="shared" si="1"/>
        <v>74270</v>
      </c>
      <c r="H7141" s="49">
        <f t="shared" si="2"/>
        <v>74107</v>
      </c>
    </row>
    <row r="7142">
      <c r="A7142" s="48" t="s">
        <v>1499</v>
      </c>
      <c r="B7142" s="38">
        <v>49071.0</v>
      </c>
      <c r="C7142" s="38" t="s">
        <v>10642</v>
      </c>
      <c r="D7142" s="38" t="str">
        <f>IFERROR(__xludf.DUMMYFUNCTION("REGEXREPLACE(C7142,""-\d+(.*)|--\d+(.*)"","""")"),"CHANZEAUX")</f>
        <v>CHANZEAUX</v>
      </c>
      <c r="E7142" s="38" t="s">
        <v>653</v>
      </c>
      <c r="F7142" s="38" t="s">
        <v>180</v>
      </c>
      <c r="G7142" s="49" t="str">
        <f t="shared" si="1"/>
        <v>49750</v>
      </c>
      <c r="H7142" s="49">
        <f t="shared" si="2"/>
        <v>49071</v>
      </c>
    </row>
    <row r="7143">
      <c r="A7143" s="48" t="s">
        <v>785</v>
      </c>
      <c r="B7143" s="38">
        <v>33359.0</v>
      </c>
      <c r="C7143" s="38" t="s">
        <v>5719</v>
      </c>
      <c r="D7143" s="38" t="str">
        <f>IFERROR(__xludf.DUMMYFUNCTION("REGEXREPLACE(C7143,""-\d+(.*)|--\d+(.*)"","""")"),"ROQUEBRUNE")</f>
        <v>ROQUEBRUNE</v>
      </c>
      <c r="E7143" s="38" t="s">
        <v>462</v>
      </c>
      <c r="F7143" s="38" t="s">
        <v>252</v>
      </c>
      <c r="G7143" s="49" t="str">
        <f t="shared" si="1"/>
        <v>33580</v>
      </c>
      <c r="H7143" s="49">
        <f t="shared" si="2"/>
        <v>33359</v>
      </c>
    </row>
    <row r="7144">
      <c r="A7144" s="48" t="s">
        <v>3346</v>
      </c>
      <c r="B7144" s="38">
        <v>65457.0</v>
      </c>
      <c r="C7144" s="38" t="s">
        <v>10643</v>
      </c>
      <c r="D7144" s="38" t="str">
        <f>IFERROR(__xludf.DUMMYFUNCTION("REGEXREPLACE(C7144,""-\d+(.*)|--\d+(.*)"","""")"),"UGNOUAS")</f>
        <v>UGNOUAS</v>
      </c>
      <c r="E7144" s="38" t="s">
        <v>200</v>
      </c>
      <c r="F7144" s="38" t="s">
        <v>94</v>
      </c>
      <c r="G7144" s="49" t="str">
        <f t="shared" si="1"/>
        <v>65140</v>
      </c>
      <c r="H7144" s="49">
        <f t="shared" si="2"/>
        <v>65457</v>
      </c>
    </row>
    <row r="7145">
      <c r="A7145" s="48" t="s">
        <v>7228</v>
      </c>
      <c r="B7145" s="38">
        <v>50156.0</v>
      </c>
      <c r="C7145" s="38" t="s">
        <v>10644</v>
      </c>
      <c r="D7145" s="38" t="str">
        <f>IFERROR(__xludf.DUMMYFUNCTION("REGEXREPLACE(C7145,""-\d+(.*)|--\d+(.*)"","""")"),"CROSVILLE-SUR-DOUVE")</f>
        <v>CROSVILLE-SUR-DOUVE</v>
      </c>
      <c r="E7145" s="38" t="s">
        <v>157</v>
      </c>
      <c r="F7145" s="38" t="s">
        <v>138</v>
      </c>
      <c r="G7145" s="49" t="str">
        <f t="shared" si="1"/>
        <v>50360</v>
      </c>
      <c r="H7145" s="49">
        <f t="shared" si="2"/>
        <v>50156</v>
      </c>
    </row>
    <row r="7146">
      <c r="A7146" s="48" t="s">
        <v>1598</v>
      </c>
      <c r="B7146" s="38">
        <v>77262.0</v>
      </c>
      <c r="C7146" s="38" t="s">
        <v>10645</v>
      </c>
      <c r="D7146" s="38" t="str">
        <f>IFERROR(__xludf.DUMMYFUNCTION("REGEXREPLACE(C7146,""-\d+(.*)|--\d+(.*)"","""")"),"LOUAN-VILLEGRUIS-FONTAINE")</f>
        <v>LOUAN-VILLEGRUIS-FONTAINE</v>
      </c>
      <c r="E7146" s="38" t="s">
        <v>244</v>
      </c>
      <c r="F7146" s="38" t="s">
        <v>245</v>
      </c>
      <c r="G7146" s="49" t="str">
        <f t="shared" si="1"/>
        <v>77560</v>
      </c>
      <c r="H7146" s="49">
        <f t="shared" si="2"/>
        <v>77262</v>
      </c>
    </row>
    <row r="7147">
      <c r="A7147" s="48" t="s">
        <v>10646</v>
      </c>
      <c r="B7147" s="38">
        <v>23056.0</v>
      </c>
      <c r="C7147" s="38" t="s">
        <v>10647</v>
      </c>
      <c r="D7147" s="38" t="str">
        <f>IFERROR(__xludf.DUMMYFUNCTION("REGEXREPLACE(C7147,""-\d+(.*)|--\d+(.*)"","""")"),"CHATELUS-LE-MARCHEIX")</f>
        <v>CHATELUS-LE-MARCHEIX</v>
      </c>
      <c r="E7147" s="38" t="s">
        <v>97</v>
      </c>
      <c r="F7147" s="38" t="s">
        <v>98</v>
      </c>
      <c r="G7147" s="49" t="str">
        <f t="shared" si="1"/>
        <v>23430</v>
      </c>
      <c r="H7147" s="49">
        <f t="shared" si="2"/>
        <v>23056</v>
      </c>
    </row>
    <row r="7148">
      <c r="A7148" s="48" t="s">
        <v>5735</v>
      </c>
      <c r="B7148" s="38">
        <v>2268.0</v>
      </c>
      <c r="C7148" s="38" t="s">
        <v>10648</v>
      </c>
      <c r="D7148" s="38" t="str">
        <f>IFERROR(__xludf.DUMMYFUNCTION("REGEXREPLACE(C7148,""-\d+(.*)|--\d+(.*)"","""")"),"DOMPTIN")</f>
        <v>DOMPTIN</v>
      </c>
      <c r="E7148" s="38" t="s">
        <v>191</v>
      </c>
      <c r="F7148" s="38" t="s">
        <v>113</v>
      </c>
      <c r="G7148" s="49" t="str">
        <f t="shared" si="1"/>
        <v>02310</v>
      </c>
      <c r="H7148" s="49" t="str">
        <f t="shared" si="2"/>
        <v>02268</v>
      </c>
    </row>
    <row r="7149">
      <c r="A7149" s="48" t="s">
        <v>3755</v>
      </c>
      <c r="B7149" s="38">
        <v>76559.0</v>
      </c>
      <c r="C7149" s="38" t="s">
        <v>10649</v>
      </c>
      <c r="D7149" s="38" t="str">
        <f>IFERROR(__xludf.DUMMYFUNCTION("REGEXREPLACE(C7149,""-\d+(.*)|--\d+(.*)"","""")"),"SAINT-AUBIN-DE-CRETOT")</f>
        <v>SAINT-AUBIN-DE-CRETOT</v>
      </c>
      <c r="E7149" s="38" t="s">
        <v>133</v>
      </c>
      <c r="F7149" s="38" t="s">
        <v>134</v>
      </c>
      <c r="G7149" s="49" t="str">
        <f t="shared" si="1"/>
        <v>76190</v>
      </c>
      <c r="H7149" s="49">
        <f t="shared" si="2"/>
        <v>76559</v>
      </c>
    </row>
    <row r="7150">
      <c r="A7150" s="48" t="s">
        <v>3368</v>
      </c>
      <c r="B7150" s="38">
        <v>61493.0</v>
      </c>
      <c r="C7150" s="38" t="s">
        <v>10650</v>
      </c>
      <c r="D7150" s="38" t="str">
        <f>IFERROR(__xludf.DUMMYFUNCTION("REGEXREPLACE(C7150,""-\d+(.*)|--\d+(.*)"","""")"),"LA TRINITE-DES-LAITIERS")</f>
        <v>LA TRINITE-DES-LAITIERS</v>
      </c>
      <c r="E7150" s="38" t="s">
        <v>141</v>
      </c>
      <c r="F7150" s="38" t="s">
        <v>138</v>
      </c>
      <c r="G7150" s="49" t="str">
        <f t="shared" si="1"/>
        <v>61230</v>
      </c>
      <c r="H7150" s="49">
        <f t="shared" si="2"/>
        <v>61493</v>
      </c>
    </row>
    <row r="7151">
      <c r="A7151" s="48" t="s">
        <v>10651</v>
      </c>
      <c r="B7151" s="38">
        <v>81053.0</v>
      </c>
      <c r="C7151" s="38" t="s">
        <v>10652</v>
      </c>
      <c r="D7151" s="38" t="str">
        <f>IFERROR(__xludf.DUMMYFUNCTION("REGEXREPLACE(C7151,""-\d+(.*)|--\d+(.*)"","""")"),"CAMBOUNES")</f>
        <v>CAMBOUNES</v>
      </c>
      <c r="E7151" s="38" t="s">
        <v>231</v>
      </c>
      <c r="F7151" s="38" t="s">
        <v>94</v>
      </c>
      <c r="G7151" s="49" t="str">
        <f t="shared" si="1"/>
        <v>81260</v>
      </c>
      <c r="H7151" s="49">
        <f t="shared" si="2"/>
        <v>81053</v>
      </c>
    </row>
    <row r="7152">
      <c r="A7152" s="48" t="s">
        <v>8453</v>
      </c>
      <c r="B7152" s="38">
        <v>8373.0</v>
      </c>
      <c r="C7152" s="38" t="s">
        <v>10653</v>
      </c>
      <c r="D7152" s="38" t="str">
        <f>IFERROR(__xludf.DUMMYFUNCTION("REGEXREPLACE(C7152,""-\d+(.*)|--\d+(.*)"","""")"),"RUMIGNY")</f>
        <v>RUMIGNY</v>
      </c>
      <c r="E7152" s="38" t="s">
        <v>327</v>
      </c>
      <c r="F7152" s="38" t="s">
        <v>130</v>
      </c>
      <c r="G7152" s="49" t="str">
        <f t="shared" si="1"/>
        <v>08290</v>
      </c>
      <c r="H7152" s="49" t="str">
        <f t="shared" si="2"/>
        <v>08373</v>
      </c>
    </row>
    <row r="7153">
      <c r="A7153" s="48" t="s">
        <v>8579</v>
      </c>
      <c r="B7153" s="38">
        <v>32434.0</v>
      </c>
      <c r="C7153" s="38" t="s">
        <v>10654</v>
      </c>
      <c r="D7153" s="38" t="str">
        <f>IFERROR(__xludf.DUMMYFUNCTION("REGEXREPLACE(C7153,""-\d+(.*)|--\d+(.*)"","""")"),"SION")</f>
        <v>SION</v>
      </c>
      <c r="E7153" s="38" t="s">
        <v>440</v>
      </c>
      <c r="F7153" s="38" t="s">
        <v>94</v>
      </c>
      <c r="G7153" s="49" t="str">
        <f t="shared" si="1"/>
        <v>32110</v>
      </c>
      <c r="H7153" s="49">
        <f t="shared" si="2"/>
        <v>32434</v>
      </c>
    </row>
    <row r="7154">
      <c r="A7154" s="48" t="s">
        <v>3986</v>
      </c>
      <c r="B7154" s="38">
        <v>62211.0</v>
      </c>
      <c r="C7154" s="38" t="s">
        <v>10655</v>
      </c>
      <c r="D7154" s="38" t="str">
        <f>IFERROR(__xludf.DUMMYFUNCTION("REGEXREPLACE(C7154,""-\d+(.*)|--\d+(.*)"","""")"),"CAPELLE-FERMONT")</f>
        <v>CAPELLE-FERMONT</v>
      </c>
      <c r="E7154" s="38" t="s">
        <v>109</v>
      </c>
      <c r="F7154" s="38" t="s">
        <v>86</v>
      </c>
      <c r="G7154" s="49" t="str">
        <f t="shared" si="1"/>
        <v>62690</v>
      </c>
      <c r="H7154" s="49">
        <f t="shared" si="2"/>
        <v>62211</v>
      </c>
    </row>
    <row r="7155">
      <c r="A7155" s="48" t="s">
        <v>5395</v>
      </c>
      <c r="B7155" s="38">
        <v>23067.0</v>
      </c>
      <c r="C7155" s="38" t="s">
        <v>10656</v>
      </c>
      <c r="D7155" s="38" t="str">
        <f>IFERROR(__xludf.DUMMYFUNCTION("REGEXREPLACE(C7155,""-\d+(.*)|--\d+(.*)"","""")"),"LA COURTINE")</f>
        <v>LA COURTINE</v>
      </c>
      <c r="E7155" s="38" t="s">
        <v>97</v>
      </c>
      <c r="F7155" s="38" t="s">
        <v>98</v>
      </c>
      <c r="G7155" s="49" t="str">
        <f t="shared" si="1"/>
        <v>23100</v>
      </c>
      <c r="H7155" s="49">
        <f t="shared" si="2"/>
        <v>23067</v>
      </c>
    </row>
    <row r="7156">
      <c r="A7156" s="48" t="s">
        <v>10657</v>
      </c>
      <c r="B7156" s="38">
        <v>50215.0</v>
      </c>
      <c r="C7156" s="38" t="s">
        <v>10658</v>
      </c>
      <c r="D7156" s="38" t="str">
        <f>IFERROR(__xludf.DUMMYFUNCTION("REGEXREPLACE(C7156,""-\d+(.*)|--\d+(.*)"","""")"),"GOUVILLE-SUR-MER")</f>
        <v>GOUVILLE-SUR-MER</v>
      </c>
      <c r="E7156" s="38" t="s">
        <v>157</v>
      </c>
      <c r="F7156" s="38" t="s">
        <v>138</v>
      </c>
      <c r="G7156" s="49" t="str">
        <f t="shared" si="1"/>
        <v>50560</v>
      </c>
      <c r="H7156" s="49">
        <f t="shared" si="2"/>
        <v>50215</v>
      </c>
    </row>
    <row r="7157">
      <c r="A7157" s="48" t="s">
        <v>3816</v>
      </c>
      <c r="B7157" s="38">
        <v>25307.0</v>
      </c>
      <c r="C7157" s="38" t="s">
        <v>10659</v>
      </c>
      <c r="D7157" s="38" t="str">
        <f>IFERROR(__xludf.DUMMYFUNCTION("REGEXREPLACE(C7157,""-\d+(.*)|--\d+(.*)"","""")"),"LES HOPITAUX-NEUFS")</f>
        <v>LES HOPITAUX-NEUFS</v>
      </c>
      <c r="E7157" s="38" t="s">
        <v>213</v>
      </c>
      <c r="F7157" s="38" t="s">
        <v>214</v>
      </c>
      <c r="G7157" s="49" t="str">
        <f t="shared" si="1"/>
        <v>25370</v>
      </c>
      <c r="H7157" s="49">
        <f t="shared" si="2"/>
        <v>25307</v>
      </c>
    </row>
    <row r="7158">
      <c r="A7158" s="48" t="s">
        <v>1272</v>
      </c>
      <c r="B7158" s="38">
        <v>51490.0</v>
      </c>
      <c r="C7158" s="38" t="s">
        <v>10660</v>
      </c>
      <c r="D7158" s="38" t="str">
        <f>IFERROR(__xludf.DUMMYFUNCTION("REGEXREPLACE(C7158,""-\d+(.*)|--\d+(.*)"","""")"),"SAINT-JEAN-SUR-MOIVRE")</f>
        <v>SAINT-JEAN-SUR-MOIVRE</v>
      </c>
      <c r="E7158" s="38" t="s">
        <v>129</v>
      </c>
      <c r="F7158" s="38" t="s">
        <v>130</v>
      </c>
      <c r="G7158" s="49" t="str">
        <f t="shared" si="1"/>
        <v>51240</v>
      </c>
      <c r="H7158" s="49">
        <f t="shared" si="2"/>
        <v>51490</v>
      </c>
    </row>
    <row r="7159">
      <c r="A7159" s="48" t="s">
        <v>3488</v>
      </c>
      <c r="B7159" s="38">
        <v>67107.0</v>
      </c>
      <c r="C7159" s="38" t="s">
        <v>10661</v>
      </c>
      <c r="D7159" s="38" t="str">
        <f>IFERROR(__xludf.DUMMYFUNCTION("REGEXREPLACE(C7159,""-\d+(.*)|--\d+(.*)"","""")"),"DUNTZENHEIM")</f>
        <v>DUNTZENHEIM</v>
      </c>
      <c r="E7159" s="38" t="s">
        <v>210</v>
      </c>
      <c r="F7159" s="38" t="s">
        <v>151</v>
      </c>
      <c r="G7159" s="49" t="str">
        <f t="shared" si="1"/>
        <v>67270</v>
      </c>
      <c r="H7159" s="49">
        <f t="shared" si="2"/>
        <v>67107</v>
      </c>
    </row>
    <row r="7160">
      <c r="A7160" s="48" t="s">
        <v>732</v>
      </c>
      <c r="B7160" s="38">
        <v>10075.0</v>
      </c>
      <c r="C7160" s="38" t="s">
        <v>10662</v>
      </c>
      <c r="D7160" s="38" t="str">
        <f>IFERROR(__xludf.DUMMYFUNCTION("REGEXREPLACE(C7160,""-\d+(.*)|--\d+(.*)"","""")"),"CHAMPFLEURY")</f>
        <v>CHAMPFLEURY</v>
      </c>
      <c r="E7160" s="38" t="s">
        <v>147</v>
      </c>
      <c r="F7160" s="38" t="s">
        <v>130</v>
      </c>
      <c r="G7160" s="49" t="str">
        <f t="shared" si="1"/>
        <v>10700</v>
      </c>
      <c r="H7160" s="49">
        <f t="shared" si="2"/>
        <v>10075</v>
      </c>
    </row>
    <row r="7161">
      <c r="A7161" s="48" t="s">
        <v>5028</v>
      </c>
      <c r="B7161" s="38">
        <v>25441.0</v>
      </c>
      <c r="C7161" s="38" t="s">
        <v>10663</v>
      </c>
      <c r="D7161" s="38" t="str">
        <f>IFERROR(__xludf.DUMMYFUNCTION("REGEXREPLACE(C7161,""-\d+(.*)|--\d+(.*)"","""")"),"OUVANS")</f>
        <v>OUVANS</v>
      </c>
      <c r="E7161" s="38" t="s">
        <v>213</v>
      </c>
      <c r="F7161" s="38" t="s">
        <v>214</v>
      </c>
      <c r="G7161" s="49" t="str">
        <f t="shared" si="1"/>
        <v>25530</v>
      </c>
      <c r="H7161" s="49">
        <f t="shared" si="2"/>
        <v>25441</v>
      </c>
    </row>
    <row r="7162">
      <c r="A7162" s="48" t="s">
        <v>8424</v>
      </c>
      <c r="B7162" s="38">
        <v>47111.0</v>
      </c>
      <c r="C7162" s="38" t="s">
        <v>10664</v>
      </c>
      <c r="D7162" s="38" t="str">
        <f>IFERROR(__xludf.DUMMYFUNCTION("REGEXREPLACE(C7162,""-\d+(.*)|--\d+(.*)"","""")"),"GRANGES-SUR-LOT")</f>
        <v>GRANGES-SUR-LOT</v>
      </c>
      <c r="E7162" s="38" t="s">
        <v>251</v>
      </c>
      <c r="F7162" s="38" t="s">
        <v>252</v>
      </c>
      <c r="G7162" s="49" t="str">
        <f t="shared" si="1"/>
        <v>47260</v>
      </c>
      <c r="H7162" s="49">
        <f t="shared" si="2"/>
        <v>47111</v>
      </c>
    </row>
    <row r="7163">
      <c r="A7163" s="48" t="s">
        <v>2330</v>
      </c>
      <c r="B7163" s="38">
        <v>65371.0</v>
      </c>
      <c r="C7163" s="38" t="s">
        <v>6938</v>
      </c>
      <c r="D7163" s="38" t="str">
        <f>IFERROR(__xludf.DUMMYFUNCTION("REGEXREPLACE(C7163,""-\d+(.*)|--\d+(.*)"","""")"),"PRECHAC")</f>
        <v>PRECHAC</v>
      </c>
      <c r="E7163" s="38" t="s">
        <v>200</v>
      </c>
      <c r="F7163" s="38" t="s">
        <v>94</v>
      </c>
      <c r="G7163" s="49" t="str">
        <f t="shared" si="1"/>
        <v>65400</v>
      </c>
      <c r="H7163" s="49">
        <f t="shared" si="2"/>
        <v>65371</v>
      </c>
    </row>
    <row r="7164">
      <c r="A7164" s="48" t="s">
        <v>3816</v>
      </c>
      <c r="B7164" s="38">
        <v>25514.0</v>
      </c>
      <c r="C7164" s="38" t="s">
        <v>10665</v>
      </c>
      <c r="D7164" s="38" t="str">
        <f>IFERROR(__xludf.DUMMYFUNCTION("REGEXREPLACE(C7164,""-\d+(.*)|--\d+(.*)"","""")"),"SAINT-ANTOINE")</f>
        <v>SAINT-ANTOINE</v>
      </c>
      <c r="E7164" s="38" t="s">
        <v>213</v>
      </c>
      <c r="F7164" s="38" t="s">
        <v>214</v>
      </c>
      <c r="G7164" s="49" t="str">
        <f t="shared" si="1"/>
        <v>25370</v>
      </c>
      <c r="H7164" s="49">
        <f t="shared" si="2"/>
        <v>25514</v>
      </c>
    </row>
    <row r="7165">
      <c r="A7165" s="48" t="s">
        <v>9632</v>
      </c>
      <c r="B7165" s="38">
        <v>28133.0</v>
      </c>
      <c r="C7165" s="38" t="s">
        <v>10666</v>
      </c>
      <c r="D7165" s="38" t="str">
        <f>IFERROR(__xludf.DUMMYFUNCTION("REGEXREPLACE(C7165,""-\d+(.*)|--\d+(.*)"","""")"),"DOUY")</f>
        <v>DOUY</v>
      </c>
      <c r="E7165" s="38" t="s">
        <v>300</v>
      </c>
      <c r="F7165" s="38" t="s">
        <v>123</v>
      </c>
      <c r="G7165" s="49" t="str">
        <f t="shared" si="1"/>
        <v>28220</v>
      </c>
      <c r="H7165" s="49">
        <f t="shared" si="2"/>
        <v>28133</v>
      </c>
    </row>
    <row r="7166">
      <c r="A7166" s="48" t="s">
        <v>1601</v>
      </c>
      <c r="B7166" s="38">
        <v>72332.0</v>
      </c>
      <c r="C7166" s="38" t="s">
        <v>10667</v>
      </c>
      <c r="D7166" s="38" t="str">
        <f>IFERROR(__xludf.DUMMYFUNCTION("REGEXREPLACE(C7166,""-\d+(.*)|--\d+(.*)"","""")"),"SEGRIE")</f>
        <v>SEGRIE</v>
      </c>
      <c r="E7166" s="38" t="s">
        <v>521</v>
      </c>
      <c r="F7166" s="38" t="s">
        <v>180</v>
      </c>
      <c r="G7166" s="49" t="str">
        <f t="shared" si="1"/>
        <v>72170</v>
      </c>
      <c r="H7166" s="49">
        <f t="shared" si="2"/>
        <v>72332</v>
      </c>
    </row>
    <row r="7167">
      <c r="A7167" s="48" t="s">
        <v>10668</v>
      </c>
      <c r="B7167" s="38">
        <v>61421.0</v>
      </c>
      <c r="C7167" s="38" t="s">
        <v>10669</v>
      </c>
      <c r="D7167" s="38" t="str">
        <f>IFERROR(__xludf.DUMMYFUNCTION("REGEXREPLACE(C7167,""-\d+(.*)|--\d+(.*)"","""")"),"SAINT-MARS-D'EGRENNE")</f>
        <v>SAINT-MARS-D'EGRENNE</v>
      </c>
      <c r="E7167" s="38" t="s">
        <v>141</v>
      </c>
      <c r="F7167" s="38" t="s">
        <v>138</v>
      </c>
      <c r="G7167" s="49" t="str">
        <f t="shared" si="1"/>
        <v>61350</v>
      </c>
      <c r="H7167" s="49">
        <f t="shared" si="2"/>
        <v>61421</v>
      </c>
    </row>
    <row r="7168">
      <c r="A7168" s="48" t="s">
        <v>10670</v>
      </c>
      <c r="B7168" s="38">
        <v>62019.0</v>
      </c>
      <c r="C7168" s="38" t="s">
        <v>10671</v>
      </c>
      <c r="D7168" s="38" t="str">
        <f>IFERROR(__xludf.DUMMYFUNCTION("REGEXREPLACE(C7168,""-\d+(.*)|--\d+(.*)"","""")"),"AIX-NOULETTE")</f>
        <v>AIX-NOULETTE</v>
      </c>
      <c r="E7168" s="38" t="s">
        <v>109</v>
      </c>
      <c r="F7168" s="38" t="s">
        <v>86</v>
      </c>
      <c r="G7168" s="49" t="str">
        <f t="shared" si="1"/>
        <v>62160</v>
      </c>
      <c r="H7168" s="49">
        <f t="shared" si="2"/>
        <v>62019</v>
      </c>
    </row>
    <row r="7169">
      <c r="A7169" s="48" t="s">
        <v>1744</v>
      </c>
      <c r="B7169" s="38">
        <v>31164.0</v>
      </c>
      <c r="C7169" s="38" t="s">
        <v>10672</v>
      </c>
      <c r="D7169" s="38" t="str">
        <f>IFERROR(__xludf.DUMMYFUNCTION("REGEXREPLACE(C7169,""-\d+(.*)|--\d+(.*)"","""")"),"DRUDAS")</f>
        <v>DRUDAS</v>
      </c>
      <c r="E7169" s="38" t="s">
        <v>93</v>
      </c>
      <c r="F7169" s="38" t="s">
        <v>94</v>
      </c>
      <c r="G7169" s="49" t="str">
        <f t="shared" si="1"/>
        <v>31480</v>
      </c>
      <c r="H7169" s="49">
        <f t="shared" si="2"/>
        <v>31164</v>
      </c>
    </row>
    <row r="7170">
      <c r="A7170" s="48" t="s">
        <v>403</v>
      </c>
      <c r="B7170" s="38">
        <v>59669.0</v>
      </c>
      <c r="C7170" s="38" t="s">
        <v>10673</v>
      </c>
      <c r="D7170" s="38" t="str">
        <f>IFERROR(__xludf.DUMMYFUNCTION("REGEXREPLACE(C7170,""-\d+(.*)|--\d+(.*)"","""")"),"ZUYTPEENE")</f>
        <v>ZUYTPEENE</v>
      </c>
      <c r="E7170" s="38" t="s">
        <v>85</v>
      </c>
      <c r="F7170" s="38" t="s">
        <v>86</v>
      </c>
      <c r="G7170" s="49" t="str">
        <f t="shared" si="1"/>
        <v>59670</v>
      </c>
      <c r="H7170" s="49">
        <f t="shared" si="2"/>
        <v>59669</v>
      </c>
    </row>
    <row r="7171">
      <c r="A7171" s="48" t="s">
        <v>522</v>
      </c>
      <c r="B7171" s="38">
        <v>39503.0</v>
      </c>
      <c r="C7171" s="38" t="s">
        <v>10674</v>
      </c>
      <c r="D7171" s="38" t="str">
        <f>IFERROR(__xludf.DUMMYFUNCTION("REGEXREPLACE(C7171,""-\d+(.*)|--\d+(.*)"","""")"),"SAPOIS")</f>
        <v>SAPOIS</v>
      </c>
      <c r="E7171" s="38" t="s">
        <v>400</v>
      </c>
      <c r="F7171" s="38" t="s">
        <v>214</v>
      </c>
      <c r="G7171" s="49" t="str">
        <f t="shared" si="1"/>
        <v>39300</v>
      </c>
      <c r="H7171" s="49">
        <f t="shared" si="2"/>
        <v>39503</v>
      </c>
    </row>
    <row r="7172">
      <c r="A7172" s="48" t="s">
        <v>10675</v>
      </c>
      <c r="B7172" s="38">
        <v>7079.0</v>
      </c>
      <c r="C7172" s="38" t="s">
        <v>10676</v>
      </c>
      <c r="D7172" s="38" t="str">
        <f>IFERROR(__xludf.DUMMYFUNCTION("REGEXREPLACE(C7172,""-\d+(.*)|--\d+(.*)"","""")"),"DESAIGNES")</f>
        <v>DESAIGNES</v>
      </c>
      <c r="E7172" s="38" t="s">
        <v>144</v>
      </c>
      <c r="F7172" s="38" t="s">
        <v>102</v>
      </c>
      <c r="G7172" s="49" t="str">
        <f t="shared" si="1"/>
        <v>07570</v>
      </c>
      <c r="H7172" s="49" t="str">
        <f t="shared" si="2"/>
        <v>07079</v>
      </c>
    </row>
    <row r="7173">
      <c r="A7173" s="48" t="s">
        <v>10677</v>
      </c>
      <c r="B7173" s="38">
        <v>29287.0</v>
      </c>
      <c r="C7173" s="38" t="s">
        <v>10678</v>
      </c>
      <c r="D7173" s="38" t="str">
        <f>IFERROR(__xludf.DUMMYFUNCTION("REGEXREPLACE(C7173,""-\d+(.*)|--\d+(.*)"","""")"),"TREFLEZ")</f>
        <v>TREFLEZ</v>
      </c>
      <c r="E7173" s="38" t="s">
        <v>176</v>
      </c>
      <c r="F7173" s="38" t="s">
        <v>90</v>
      </c>
      <c r="G7173" s="49" t="str">
        <f t="shared" si="1"/>
        <v>29430</v>
      </c>
      <c r="H7173" s="49">
        <f t="shared" si="2"/>
        <v>29287</v>
      </c>
    </row>
    <row r="7174">
      <c r="A7174" s="48" t="s">
        <v>1018</v>
      </c>
      <c r="B7174" s="38">
        <v>60420.0</v>
      </c>
      <c r="C7174" s="38" t="s">
        <v>10679</v>
      </c>
      <c r="D7174" s="38" t="str">
        <f>IFERROR(__xludf.DUMMYFUNCTION("REGEXREPLACE(C7174,""-\d+(.*)|--\d+(.*)"","""")"),"MONTJAVOULT")</f>
        <v>MONTJAVOULT</v>
      </c>
      <c r="E7174" s="38" t="s">
        <v>112</v>
      </c>
      <c r="F7174" s="38" t="s">
        <v>113</v>
      </c>
      <c r="G7174" s="49" t="str">
        <f t="shared" si="1"/>
        <v>60240</v>
      </c>
      <c r="H7174" s="49">
        <f t="shared" si="2"/>
        <v>60420</v>
      </c>
    </row>
    <row r="7175">
      <c r="A7175" s="48" t="s">
        <v>1700</v>
      </c>
      <c r="B7175" s="38">
        <v>35085.0</v>
      </c>
      <c r="C7175" s="38" t="s">
        <v>10680</v>
      </c>
      <c r="D7175" s="38" t="str">
        <f>IFERROR(__xludf.DUMMYFUNCTION("REGEXREPLACE(C7175,""-\d+(.*)|--\d+(.*)"","""")"),"COMBOURG")</f>
        <v>COMBOURG</v>
      </c>
      <c r="E7175" s="38" t="s">
        <v>347</v>
      </c>
      <c r="F7175" s="38" t="s">
        <v>90</v>
      </c>
      <c r="G7175" s="49" t="str">
        <f t="shared" si="1"/>
        <v>35270</v>
      </c>
      <c r="H7175" s="49">
        <f t="shared" si="2"/>
        <v>35085</v>
      </c>
    </row>
    <row r="7176">
      <c r="A7176" s="48" t="s">
        <v>1404</v>
      </c>
      <c r="B7176" s="38">
        <v>30224.0</v>
      </c>
      <c r="C7176" s="38" t="s">
        <v>10681</v>
      </c>
      <c r="D7176" s="38" t="str">
        <f>IFERROR(__xludf.DUMMYFUNCTION("REGEXREPLACE(C7176,""-\d+(.*)|--\d+(.*)"","""")"),"LA ROUVIERE")</f>
        <v>LA ROUVIERE</v>
      </c>
      <c r="E7176" s="38" t="s">
        <v>526</v>
      </c>
      <c r="F7176" s="38" t="s">
        <v>119</v>
      </c>
      <c r="G7176" s="49" t="str">
        <f t="shared" si="1"/>
        <v>30190</v>
      </c>
      <c r="H7176" s="49">
        <f t="shared" si="2"/>
        <v>30224</v>
      </c>
    </row>
    <row r="7177">
      <c r="A7177" s="48" t="s">
        <v>239</v>
      </c>
      <c r="B7177" s="38">
        <v>27641.0</v>
      </c>
      <c r="C7177" s="38" t="s">
        <v>10682</v>
      </c>
      <c r="D7177" s="38" t="str">
        <f>IFERROR(__xludf.DUMMYFUNCTION("REGEXREPLACE(C7177,""-\d+(.*)|--\d+(.*)"","""")"),"LE TILLEUL-LAMBERT")</f>
        <v>LE TILLEUL-LAMBERT</v>
      </c>
      <c r="E7177" s="38" t="s">
        <v>241</v>
      </c>
      <c r="F7177" s="38" t="s">
        <v>134</v>
      </c>
      <c r="G7177" s="49" t="str">
        <f t="shared" si="1"/>
        <v>27110</v>
      </c>
      <c r="H7177" s="49">
        <f t="shared" si="2"/>
        <v>27641</v>
      </c>
    </row>
    <row r="7178">
      <c r="A7178" s="48" t="s">
        <v>1628</v>
      </c>
      <c r="B7178" s="38">
        <v>70320.0</v>
      </c>
      <c r="C7178" s="38" t="s">
        <v>10683</v>
      </c>
      <c r="D7178" s="38" t="str">
        <f>IFERROR(__xludf.DUMMYFUNCTION("REGEXREPLACE(C7178,""-\d+(.*)|--\d+(.*)"","""")"),"MAGNY-LES-JUSSEY")</f>
        <v>MAGNY-LES-JUSSEY</v>
      </c>
      <c r="E7178" s="38" t="s">
        <v>956</v>
      </c>
      <c r="F7178" s="38" t="s">
        <v>214</v>
      </c>
      <c r="G7178" s="49" t="str">
        <f t="shared" si="1"/>
        <v>70500</v>
      </c>
      <c r="H7178" s="49">
        <f t="shared" si="2"/>
        <v>70320</v>
      </c>
    </row>
    <row r="7179">
      <c r="A7179" s="48" t="s">
        <v>2384</v>
      </c>
      <c r="B7179" s="38">
        <v>21338.0</v>
      </c>
      <c r="C7179" s="38" t="s">
        <v>10684</v>
      </c>
      <c r="D7179" s="38" t="str">
        <f>IFERROR(__xludf.DUMMYFUNCTION("REGEXREPLACE(C7179,""-\d+(.*)|--\d+(.*)"","""")"),"LAMARGELLE")</f>
        <v>LAMARGELLE</v>
      </c>
      <c r="E7179" s="38" t="s">
        <v>105</v>
      </c>
      <c r="F7179" s="38" t="s">
        <v>106</v>
      </c>
      <c r="G7179" s="49" t="str">
        <f t="shared" si="1"/>
        <v>21440</v>
      </c>
      <c r="H7179" s="49">
        <f t="shared" si="2"/>
        <v>21338</v>
      </c>
    </row>
    <row r="7180">
      <c r="A7180" s="48" t="s">
        <v>10189</v>
      </c>
      <c r="B7180" s="38">
        <v>59635.0</v>
      </c>
      <c r="C7180" s="38" t="s">
        <v>10685</v>
      </c>
      <c r="D7180" s="38" t="str">
        <f>IFERROR(__xludf.DUMMYFUNCTION("REGEXREPLACE(C7180,""-\d+(.*)|--\d+(.*)"","""")"),"WAMBAIX")</f>
        <v>WAMBAIX</v>
      </c>
      <c r="E7180" s="38" t="s">
        <v>85</v>
      </c>
      <c r="F7180" s="38" t="s">
        <v>86</v>
      </c>
      <c r="G7180" s="49" t="str">
        <f t="shared" si="1"/>
        <v>59400</v>
      </c>
      <c r="H7180" s="49">
        <f t="shared" si="2"/>
        <v>59635</v>
      </c>
    </row>
    <row r="7181">
      <c r="A7181" s="48" t="s">
        <v>6145</v>
      </c>
      <c r="B7181" s="38">
        <v>59506.0</v>
      </c>
      <c r="C7181" s="38" t="s">
        <v>10686</v>
      </c>
      <c r="D7181" s="38" t="str">
        <f>IFERROR(__xludf.DUMMYFUNCTION("REGEXREPLACE(C7181,""-\d+(.*)|--\d+(.*)"","""")"),"ROMERIES")</f>
        <v>ROMERIES</v>
      </c>
      <c r="E7181" s="38" t="s">
        <v>85</v>
      </c>
      <c r="F7181" s="38" t="s">
        <v>86</v>
      </c>
      <c r="G7181" s="49" t="str">
        <f t="shared" si="1"/>
        <v>59730</v>
      </c>
      <c r="H7181" s="49">
        <f t="shared" si="2"/>
        <v>59506</v>
      </c>
    </row>
    <row r="7182">
      <c r="A7182" s="48" t="s">
        <v>9686</v>
      </c>
      <c r="B7182" s="38">
        <v>36246.0</v>
      </c>
      <c r="C7182" s="38" t="s">
        <v>10687</v>
      </c>
      <c r="D7182" s="38" t="str">
        <f>IFERROR(__xludf.DUMMYFUNCTION("REGEXREPLACE(C7182,""-\d+(.*)|--\d+(.*)"","""")"),"VILLIERS")</f>
        <v>VILLIERS</v>
      </c>
      <c r="E7182" s="38" t="s">
        <v>258</v>
      </c>
      <c r="F7182" s="38" t="s">
        <v>123</v>
      </c>
      <c r="G7182" s="49" t="str">
        <f t="shared" si="1"/>
        <v>36290</v>
      </c>
      <c r="H7182" s="49">
        <f t="shared" si="2"/>
        <v>36246</v>
      </c>
    </row>
    <row r="7183">
      <c r="A7183" s="48" t="s">
        <v>1147</v>
      </c>
      <c r="B7183" s="38">
        <v>37280.0</v>
      </c>
      <c r="C7183" s="38" t="s">
        <v>10688</v>
      </c>
      <c r="D7183" s="38" t="str">
        <f>IFERROR(__xludf.DUMMYFUNCTION("REGEXREPLACE(C7183,""-\d+(.*)|--\d+(.*)"","""")"),"VOU")</f>
        <v>VOU</v>
      </c>
      <c r="E7183" s="38" t="s">
        <v>205</v>
      </c>
      <c r="F7183" s="38" t="s">
        <v>123</v>
      </c>
      <c r="G7183" s="49" t="str">
        <f t="shared" si="1"/>
        <v>37240</v>
      </c>
      <c r="H7183" s="49">
        <f t="shared" si="2"/>
        <v>37280</v>
      </c>
    </row>
    <row r="7184">
      <c r="A7184" s="48" t="s">
        <v>10689</v>
      </c>
      <c r="B7184" s="38">
        <v>59626.0</v>
      </c>
      <c r="C7184" s="38" t="s">
        <v>10690</v>
      </c>
      <c r="D7184" s="38" t="str">
        <f>IFERROR(__xludf.DUMMYFUNCTION("REGEXREPLACE(C7184,""-\d+(.*)|--\d+(.*)"","""")"),"VILLERS-POL")</f>
        <v>VILLERS-POL</v>
      </c>
      <c r="E7184" s="38" t="s">
        <v>85</v>
      </c>
      <c r="F7184" s="38" t="s">
        <v>86</v>
      </c>
      <c r="G7184" s="49" t="str">
        <f t="shared" si="1"/>
        <v>59530</v>
      </c>
      <c r="H7184" s="49">
        <f t="shared" si="2"/>
        <v>59626</v>
      </c>
    </row>
    <row r="7185">
      <c r="A7185" s="48" t="s">
        <v>9067</v>
      </c>
      <c r="B7185" s="38">
        <v>73116.0</v>
      </c>
      <c r="C7185" s="38" t="s">
        <v>10691</v>
      </c>
      <c r="D7185" s="38" t="str">
        <f>IFERROR(__xludf.DUMMYFUNCTION("REGEXREPLACE(C7185,""-\d+(.*)|--\d+(.*)"","""")"),"FONTCOUVERTE-LA-TOUSSUIRE")</f>
        <v>FONTCOUVERTE-LA-TOUSSUIRE</v>
      </c>
      <c r="E7185" s="38" t="s">
        <v>306</v>
      </c>
      <c r="F7185" s="38" t="s">
        <v>102</v>
      </c>
      <c r="G7185" s="49" t="str">
        <f t="shared" si="1"/>
        <v>73300</v>
      </c>
      <c r="H7185" s="49">
        <f t="shared" si="2"/>
        <v>73116</v>
      </c>
    </row>
    <row r="7186">
      <c r="A7186" s="48" t="s">
        <v>10692</v>
      </c>
      <c r="B7186" s="38">
        <v>78123.0</v>
      </c>
      <c r="C7186" s="38" t="s">
        <v>10693</v>
      </c>
      <c r="D7186" s="38" t="str">
        <f>IFERROR(__xludf.DUMMYFUNCTION("REGEXREPLACE(C7186,""-\d+(.*)|--\d+(.*)"","""")"),"CARRIERES-SOUS-POISSY")</f>
        <v>CARRIERES-SOUS-POISSY</v>
      </c>
      <c r="E7186" s="38" t="s">
        <v>362</v>
      </c>
      <c r="F7186" s="38" t="s">
        <v>245</v>
      </c>
      <c r="G7186" s="49" t="str">
        <f t="shared" si="1"/>
        <v>78955</v>
      </c>
      <c r="H7186" s="49">
        <f t="shared" si="2"/>
        <v>78123</v>
      </c>
    </row>
    <row r="7187">
      <c r="A7187" s="48" t="s">
        <v>10694</v>
      </c>
      <c r="B7187" s="38">
        <v>13201.0</v>
      </c>
      <c r="C7187" s="38" t="s">
        <v>10695</v>
      </c>
      <c r="D7187" s="38" t="str">
        <f>IFERROR(__xludf.DUMMYFUNCTION("REGEXREPLACE(C7187,""-\d+(.*)|--\d+(.*)"","""")"),"MARSEILLE")</f>
        <v>MARSEILLE</v>
      </c>
      <c r="E7187" s="38" t="s">
        <v>980</v>
      </c>
      <c r="F7187" s="38" t="s">
        <v>228</v>
      </c>
      <c r="G7187" s="49" t="str">
        <f t="shared" si="1"/>
        <v>13001</v>
      </c>
      <c r="H7187" s="49">
        <f t="shared" si="2"/>
        <v>13201</v>
      </c>
    </row>
    <row r="7188">
      <c r="A7188" s="48" t="s">
        <v>928</v>
      </c>
      <c r="B7188" s="38">
        <v>38089.0</v>
      </c>
      <c r="C7188" s="38" t="s">
        <v>10696</v>
      </c>
      <c r="D7188" s="38" t="str">
        <f>IFERROR(__xludf.DUMMYFUNCTION("REGEXREPLACE(C7188,""-\d+(.*)|--\d+(.*)"","""")"),"CHASSIGNIEU")</f>
        <v>CHASSIGNIEU</v>
      </c>
      <c r="E7188" s="38" t="s">
        <v>101</v>
      </c>
      <c r="F7188" s="38" t="s">
        <v>102</v>
      </c>
      <c r="G7188" s="49" t="str">
        <f t="shared" si="1"/>
        <v>38730</v>
      </c>
      <c r="H7188" s="49">
        <f t="shared" si="2"/>
        <v>38089</v>
      </c>
    </row>
    <row r="7189">
      <c r="A7189" s="48" t="s">
        <v>10697</v>
      </c>
      <c r="B7189" s="38">
        <v>54415.0</v>
      </c>
      <c r="C7189" s="38" t="s">
        <v>10698</v>
      </c>
      <c r="D7189" s="38" t="str">
        <f>IFERROR(__xludf.DUMMYFUNCTION("REGEXREPLACE(C7189,""-\d+(.*)|--\d+(.*)"","""")"),"PAGNY-SUR-MOSELLE")</f>
        <v>PAGNY-SUR-MOSELLE</v>
      </c>
      <c r="E7189" s="38" t="s">
        <v>548</v>
      </c>
      <c r="F7189" s="38" t="s">
        <v>195</v>
      </c>
      <c r="G7189" s="49" t="str">
        <f t="shared" si="1"/>
        <v>54530</v>
      </c>
      <c r="H7189" s="49">
        <f t="shared" si="2"/>
        <v>54415</v>
      </c>
    </row>
    <row r="7190">
      <c r="A7190" s="48" t="s">
        <v>3002</v>
      </c>
      <c r="B7190" s="38">
        <v>43104.0</v>
      </c>
      <c r="C7190" s="38" t="s">
        <v>1851</v>
      </c>
      <c r="D7190" s="38" t="str">
        <f>IFERROR(__xludf.DUMMYFUNCTION("REGEXREPLACE(C7190,""-\d+(.*)|--\d+(.*)"","""")"),"GREZES")</f>
        <v>GREZES</v>
      </c>
      <c r="E7190" s="38" t="s">
        <v>332</v>
      </c>
      <c r="F7190" s="38" t="s">
        <v>161</v>
      </c>
      <c r="G7190" s="49" t="str">
        <f t="shared" si="1"/>
        <v>43170</v>
      </c>
      <c r="H7190" s="49">
        <f t="shared" si="2"/>
        <v>43104</v>
      </c>
    </row>
    <row r="7191">
      <c r="A7191" s="48" t="s">
        <v>10699</v>
      </c>
      <c r="B7191" s="38">
        <v>97103.0</v>
      </c>
      <c r="C7191" s="38" t="s">
        <v>10700</v>
      </c>
      <c r="D7191" s="38" t="str">
        <f>IFERROR(__xludf.DUMMYFUNCTION("REGEXREPLACE(C7191,""-\d+(.*)|--\d+(.*)"","""")"),"BAIE-MAHAULT")</f>
        <v>BAIE-MAHAULT</v>
      </c>
      <c r="E7191" s="38" t="s">
        <v>2023</v>
      </c>
      <c r="F7191" s="38" t="s">
        <v>2023</v>
      </c>
      <c r="G7191" s="49" t="str">
        <f t="shared" si="1"/>
        <v>97122</v>
      </c>
      <c r="H7191" s="49">
        <f t="shared" si="2"/>
        <v>97103</v>
      </c>
    </row>
    <row r="7192">
      <c r="A7192" s="48" t="s">
        <v>10701</v>
      </c>
      <c r="B7192" s="38">
        <v>30169.0</v>
      </c>
      <c r="C7192" s="38" t="s">
        <v>10702</v>
      </c>
      <c r="D7192" s="38" t="str">
        <f>IFERROR(__xludf.DUMMYFUNCTION("REGEXREPLACE(C7192,""-\d+(.*)|--\d+(.*)"","""")"),"MILHAUD")</f>
        <v>MILHAUD</v>
      </c>
      <c r="E7192" s="38" t="s">
        <v>526</v>
      </c>
      <c r="F7192" s="38" t="s">
        <v>119</v>
      </c>
      <c r="G7192" s="49" t="str">
        <f t="shared" si="1"/>
        <v>30540</v>
      </c>
      <c r="H7192" s="49">
        <f t="shared" si="2"/>
        <v>30169</v>
      </c>
    </row>
    <row r="7193">
      <c r="A7193" s="48" t="s">
        <v>10064</v>
      </c>
      <c r="B7193" s="38">
        <v>26287.0</v>
      </c>
      <c r="C7193" s="38" t="s">
        <v>10703</v>
      </c>
      <c r="D7193" s="38" t="str">
        <f>IFERROR(__xludf.DUMMYFUNCTION("REGEXREPLACE(C7193,""-\d+(.*)|--\d+(.*)"","""")"),"ROYNAC")</f>
        <v>ROYNAC</v>
      </c>
      <c r="E7193" s="38" t="s">
        <v>126</v>
      </c>
      <c r="F7193" s="38" t="s">
        <v>102</v>
      </c>
      <c r="G7193" s="49" t="str">
        <f t="shared" si="1"/>
        <v>26450</v>
      </c>
      <c r="H7193" s="49">
        <f t="shared" si="2"/>
        <v>26287</v>
      </c>
    </row>
    <row r="7194">
      <c r="A7194" s="48" t="s">
        <v>6633</v>
      </c>
      <c r="B7194" s="38">
        <v>64179.0</v>
      </c>
      <c r="C7194" s="38" t="s">
        <v>10704</v>
      </c>
      <c r="D7194" s="38" t="str">
        <f>IFERROR(__xludf.DUMMYFUNCTION("REGEXREPLACE(C7194,""-\d+(.*)|--\d+(.*)"","""")"),"CASTETNER")</f>
        <v>CASTETNER</v>
      </c>
      <c r="E7194" s="38" t="s">
        <v>268</v>
      </c>
      <c r="F7194" s="38" t="s">
        <v>252</v>
      </c>
      <c r="G7194" s="49" t="str">
        <f t="shared" si="1"/>
        <v>64300</v>
      </c>
      <c r="H7194" s="49">
        <f t="shared" si="2"/>
        <v>64179</v>
      </c>
    </row>
    <row r="7195">
      <c r="A7195" s="48" t="s">
        <v>10705</v>
      </c>
      <c r="B7195" s="38">
        <v>64393.0</v>
      </c>
      <c r="C7195" s="38" t="s">
        <v>10706</v>
      </c>
      <c r="D7195" s="38" t="str">
        <f>IFERROR(__xludf.DUMMYFUNCTION("REGEXREPLACE(C7195,""-\d+(.*)|--\d+(.*)"","""")"),"MONEIN")</f>
        <v>MONEIN</v>
      </c>
      <c r="E7195" s="38" t="s">
        <v>268</v>
      </c>
      <c r="F7195" s="38" t="s">
        <v>252</v>
      </c>
      <c r="G7195" s="49" t="str">
        <f t="shared" si="1"/>
        <v>64360</v>
      </c>
      <c r="H7195" s="49">
        <f t="shared" si="2"/>
        <v>64393</v>
      </c>
    </row>
    <row r="7196">
      <c r="A7196" s="48" t="s">
        <v>6451</v>
      </c>
      <c r="B7196" s="38">
        <v>68310.0</v>
      </c>
      <c r="C7196" s="38" t="s">
        <v>10707</v>
      </c>
      <c r="D7196" s="38" t="str">
        <f>IFERROR(__xludf.DUMMYFUNCTION("REGEXREPLACE(C7196,""-\d+(.*)|--\d+(.*)"","""")"),"SIGOLSHEIM")</f>
        <v>SIGOLSHEIM</v>
      </c>
      <c r="E7196" s="38" t="s">
        <v>150</v>
      </c>
      <c r="F7196" s="38" t="s">
        <v>151</v>
      </c>
      <c r="G7196" s="49" t="str">
        <f t="shared" si="1"/>
        <v>68240</v>
      </c>
      <c r="H7196" s="49">
        <f t="shared" si="2"/>
        <v>68310</v>
      </c>
    </row>
    <row r="7197">
      <c r="A7197" s="48" t="s">
        <v>1074</v>
      </c>
      <c r="B7197" s="38">
        <v>27145.0</v>
      </c>
      <c r="C7197" s="38" t="s">
        <v>5633</v>
      </c>
      <c r="D7197" s="38" t="str">
        <f>IFERROR(__xludf.DUMMYFUNCTION("REGEXREPLACE(C7197,""-\d+(.*)|--\d+(.*)"","""")"),"CHANTELOUP")</f>
        <v>CHANTELOUP</v>
      </c>
      <c r="E7197" s="38" t="s">
        <v>241</v>
      </c>
      <c r="F7197" s="38" t="s">
        <v>134</v>
      </c>
      <c r="G7197" s="49" t="str">
        <f t="shared" si="1"/>
        <v>27240</v>
      </c>
      <c r="H7197" s="49">
        <f t="shared" si="2"/>
        <v>27145</v>
      </c>
    </row>
    <row r="7198">
      <c r="A7198" s="48" t="s">
        <v>1526</v>
      </c>
      <c r="B7198" s="38">
        <v>60476.0</v>
      </c>
      <c r="C7198" s="38" t="s">
        <v>10708</v>
      </c>
      <c r="D7198" s="38" t="str">
        <f>IFERROR(__xludf.DUMMYFUNCTION("REGEXREPLACE(C7198,""-\d+(.*)|--\d+(.*)"","""")"),"OMECOURT")</f>
        <v>OMECOURT</v>
      </c>
      <c r="E7198" s="38" t="s">
        <v>112</v>
      </c>
      <c r="F7198" s="38" t="s">
        <v>113</v>
      </c>
      <c r="G7198" s="49" t="str">
        <f t="shared" si="1"/>
        <v>60220</v>
      </c>
      <c r="H7198" s="49">
        <f t="shared" si="2"/>
        <v>60476</v>
      </c>
    </row>
    <row r="7199">
      <c r="A7199" s="48" t="s">
        <v>1368</v>
      </c>
      <c r="B7199" s="38">
        <v>8130.0</v>
      </c>
      <c r="C7199" s="38" t="s">
        <v>10709</v>
      </c>
      <c r="D7199" s="38" t="str">
        <f>IFERROR(__xludf.DUMMYFUNCTION("REGEXREPLACE(C7199,""-\d+(.*)|--\d+(.*)"","""")"),"CONTREUVE")</f>
        <v>CONTREUVE</v>
      </c>
      <c r="E7199" s="38" t="s">
        <v>327</v>
      </c>
      <c r="F7199" s="38" t="s">
        <v>130</v>
      </c>
      <c r="G7199" s="49" t="str">
        <f t="shared" si="1"/>
        <v>08400</v>
      </c>
      <c r="H7199" s="49" t="str">
        <f t="shared" si="2"/>
        <v>08130</v>
      </c>
    </row>
    <row r="7200">
      <c r="A7200" s="48" t="s">
        <v>10710</v>
      </c>
      <c r="B7200" s="38">
        <v>77521.0</v>
      </c>
      <c r="C7200" s="38" t="s">
        <v>10711</v>
      </c>
      <c r="D7200" s="38" t="str">
        <f>IFERROR(__xludf.DUMMYFUNCTION("REGEXREPLACE(C7200,""-\d+(.*)|--\d+(.*)"","""")"),"VILLIERS-SUR-MORIN")</f>
        <v>VILLIERS-SUR-MORIN</v>
      </c>
      <c r="E7200" s="38" t="s">
        <v>244</v>
      </c>
      <c r="F7200" s="38" t="s">
        <v>245</v>
      </c>
      <c r="G7200" s="49" t="str">
        <f t="shared" si="1"/>
        <v>77580</v>
      </c>
      <c r="H7200" s="49">
        <f t="shared" si="2"/>
        <v>77521</v>
      </c>
    </row>
    <row r="7201">
      <c r="A7201" s="48" t="s">
        <v>10008</v>
      </c>
      <c r="B7201" s="38">
        <v>36048.0</v>
      </c>
      <c r="C7201" s="38" t="s">
        <v>10712</v>
      </c>
      <c r="D7201" s="38" t="str">
        <f>IFERROR(__xludf.DUMMYFUNCTION("REGEXREPLACE(C7201,""-\d+(.*)|--\d+(.*)"","""")"),"CHAVIN")</f>
        <v>CHAVIN</v>
      </c>
      <c r="E7201" s="38" t="s">
        <v>258</v>
      </c>
      <c r="F7201" s="38" t="s">
        <v>123</v>
      </c>
      <c r="G7201" s="49" t="str">
        <f t="shared" si="1"/>
        <v>36200</v>
      </c>
      <c r="H7201" s="49">
        <f t="shared" si="2"/>
        <v>36048</v>
      </c>
    </row>
    <row r="7202">
      <c r="A7202" s="48" t="s">
        <v>5958</v>
      </c>
      <c r="B7202" s="38">
        <v>68330.0</v>
      </c>
      <c r="C7202" s="38" t="s">
        <v>10713</v>
      </c>
      <c r="D7202" s="38" t="str">
        <f>IFERROR(__xludf.DUMMYFUNCTION("REGEXREPLACE(C7202,""-\d+(.*)|--\d+(.*)"","""")"),"STRUETH")</f>
        <v>STRUETH</v>
      </c>
      <c r="E7202" s="38" t="s">
        <v>150</v>
      </c>
      <c r="F7202" s="38" t="s">
        <v>151</v>
      </c>
      <c r="G7202" s="49" t="str">
        <f t="shared" si="1"/>
        <v>68580</v>
      </c>
      <c r="H7202" s="49">
        <f t="shared" si="2"/>
        <v>68330</v>
      </c>
    </row>
    <row r="7203">
      <c r="A7203" s="48" t="s">
        <v>1989</v>
      </c>
      <c r="B7203" s="38">
        <v>60394.0</v>
      </c>
      <c r="C7203" s="38" t="s">
        <v>10714</v>
      </c>
      <c r="D7203" s="38" t="str">
        <f>IFERROR(__xludf.DUMMYFUNCTION("REGEXREPLACE(C7203,""-\d+(.*)|--\d+(.*)"","""")"),"MENEVILLERS")</f>
        <v>MENEVILLERS</v>
      </c>
      <c r="E7203" s="38" t="s">
        <v>112</v>
      </c>
      <c r="F7203" s="38" t="s">
        <v>113</v>
      </c>
      <c r="G7203" s="49" t="str">
        <f t="shared" si="1"/>
        <v>60420</v>
      </c>
      <c r="H7203" s="49">
        <f t="shared" si="2"/>
        <v>60394</v>
      </c>
    </row>
    <row r="7204">
      <c r="A7204" s="48" t="s">
        <v>6347</v>
      </c>
      <c r="B7204" s="38">
        <v>73142.0</v>
      </c>
      <c r="C7204" s="38" t="s">
        <v>10715</v>
      </c>
      <c r="D7204" s="38" t="str">
        <f>IFERROR(__xludf.DUMMYFUNCTION("REGEXREPLACE(C7204,""-\d+(.*)|--\d+(.*)"","""")"),"LANDRY")</f>
        <v>LANDRY</v>
      </c>
      <c r="E7204" s="38" t="s">
        <v>306</v>
      </c>
      <c r="F7204" s="38" t="s">
        <v>102</v>
      </c>
      <c r="G7204" s="49" t="str">
        <f t="shared" si="1"/>
        <v>73210</v>
      </c>
      <c r="H7204" s="49">
        <f t="shared" si="2"/>
        <v>73142</v>
      </c>
    </row>
    <row r="7205">
      <c r="A7205" s="48" t="s">
        <v>10716</v>
      </c>
      <c r="B7205" s="38">
        <v>37022.0</v>
      </c>
      <c r="C7205" s="38" t="s">
        <v>10717</v>
      </c>
      <c r="D7205" s="38" t="str">
        <f>IFERROR(__xludf.DUMMYFUNCTION("REGEXREPLACE(C7205,""-\d+(.*)|--\d+(.*)"","""")"),"BEAUMONT-EN-VERON")</f>
        <v>BEAUMONT-EN-VERON</v>
      </c>
      <c r="E7205" s="38" t="s">
        <v>205</v>
      </c>
      <c r="F7205" s="38" t="s">
        <v>123</v>
      </c>
      <c r="G7205" s="49" t="str">
        <f t="shared" si="1"/>
        <v>37420</v>
      </c>
      <c r="H7205" s="49">
        <f t="shared" si="2"/>
        <v>37022</v>
      </c>
    </row>
    <row r="7206">
      <c r="A7206" s="48" t="s">
        <v>1493</v>
      </c>
      <c r="B7206" s="38">
        <v>58311.0</v>
      </c>
      <c r="C7206" s="38" t="s">
        <v>10718</v>
      </c>
      <c r="D7206" s="38" t="str">
        <f>IFERROR(__xludf.DUMMYFUNCTION("REGEXREPLACE(C7206,""-\d+(.*)|--\d+(.*)"","""")"),"VILLE-LANGY")</f>
        <v>VILLE-LANGY</v>
      </c>
      <c r="E7206" s="38" t="s">
        <v>219</v>
      </c>
      <c r="F7206" s="38" t="s">
        <v>106</v>
      </c>
      <c r="G7206" s="49" t="str">
        <f t="shared" si="1"/>
        <v>58270</v>
      </c>
      <c r="H7206" s="49">
        <f t="shared" si="2"/>
        <v>58311</v>
      </c>
    </row>
    <row r="7207">
      <c r="A7207" s="48" t="s">
        <v>1077</v>
      </c>
      <c r="B7207" s="38">
        <v>25276.0</v>
      </c>
      <c r="C7207" s="38" t="s">
        <v>10719</v>
      </c>
      <c r="D7207" s="38" t="str">
        <f>IFERROR(__xludf.DUMMYFUNCTION("REGEXREPLACE(C7207,""-\d+(.*)|--\d+(.*)"","""")"),"GONDENANS-MONTBY")</f>
        <v>GONDENANS-MONTBY</v>
      </c>
      <c r="E7207" s="38" t="s">
        <v>213</v>
      </c>
      <c r="F7207" s="38" t="s">
        <v>214</v>
      </c>
      <c r="G7207" s="49" t="str">
        <f t="shared" si="1"/>
        <v>25340</v>
      </c>
      <c r="H7207" s="49">
        <f t="shared" si="2"/>
        <v>25276</v>
      </c>
    </row>
    <row r="7208">
      <c r="A7208" s="48" t="s">
        <v>3364</v>
      </c>
      <c r="B7208" s="38">
        <v>62702.0</v>
      </c>
      <c r="C7208" s="38" t="s">
        <v>10720</v>
      </c>
      <c r="D7208" s="38" t="str">
        <f>IFERROR(__xludf.DUMMYFUNCTION("REGEXREPLACE(C7208,""-\d+(.*)|--\d+(.*)"","""")"),"REMILLY-WIRQUIN")</f>
        <v>REMILLY-WIRQUIN</v>
      </c>
      <c r="E7208" s="38" t="s">
        <v>109</v>
      </c>
      <c r="F7208" s="38" t="s">
        <v>86</v>
      </c>
      <c r="G7208" s="49" t="str">
        <f t="shared" si="1"/>
        <v>62380</v>
      </c>
      <c r="H7208" s="49">
        <f t="shared" si="2"/>
        <v>62702</v>
      </c>
    </row>
    <row r="7209">
      <c r="A7209" s="48" t="s">
        <v>6460</v>
      </c>
      <c r="B7209" s="38">
        <v>85144.0</v>
      </c>
      <c r="C7209" s="38" t="s">
        <v>10721</v>
      </c>
      <c r="D7209" s="38" t="str">
        <f>IFERROR(__xludf.DUMMYFUNCTION("REGEXREPLACE(C7209,""-\d+(.*)|--\d+(.*)"","""")"),"MESNARD-LA-BAROTIERE")</f>
        <v>MESNARD-LA-BAROTIERE</v>
      </c>
      <c r="E7209" s="38" t="s">
        <v>179</v>
      </c>
      <c r="F7209" s="38" t="s">
        <v>180</v>
      </c>
      <c r="G7209" s="49" t="str">
        <f t="shared" si="1"/>
        <v>85500</v>
      </c>
      <c r="H7209" s="49">
        <f t="shared" si="2"/>
        <v>85144</v>
      </c>
    </row>
    <row r="7210">
      <c r="A7210" s="48" t="s">
        <v>10722</v>
      </c>
      <c r="B7210" s="38">
        <v>97214.0</v>
      </c>
      <c r="C7210" s="38" t="s">
        <v>10723</v>
      </c>
      <c r="D7210" s="38" t="str">
        <f>IFERROR(__xludf.DUMMYFUNCTION("REGEXREPLACE(C7210,""-\d+(.*)|--\d+(.*)"","""")"),"LE LORRAIN")</f>
        <v>LE LORRAIN</v>
      </c>
      <c r="E7210" s="38" t="s">
        <v>2282</v>
      </c>
      <c r="F7210" s="38" t="s">
        <v>2282</v>
      </c>
      <c r="G7210" s="49" t="str">
        <f t="shared" si="1"/>
        <v>97214</v>
      </c>
      <c r="H7210" s="49">
        <f t="shared" si="2"/>
        <v>97214</v>
      </c>
    </row>
    <row r="7211">
      <c r="A7211" s="48" t="s">
        <v>10126</v>
      </c>
      <c r="B7211" s="38">
        <v>1031.0</v>
      </c>
      <c r="C7211" s="38" t="s">
        <v>10724</v>
      </c>
      <c r="D7211" s="38" t="str">
        <f>IFERROR(__xludf.DUMMYFUNCTION("REGEXREPLACE(C7211,""-\d+(.*)|--\d+(.*)"","""")"),"BELLIGNAT")</f>
        <v>BELLIGNAT</v>
      </c>
      <c r="E7211" s="38" t="s">
        <v>255</v>
      </c>
      <c r="F7211" s="38" t="s">
        <v>102</v>
      </c>
      <c r="G7211" s="49" t="str">
        <f t="shared" si="1"/>
        <v>01100</v>
      </c>
      <c r="H7211" s="49" t="str">
        <f t="shared" si="2"/>
        <v>01031</v>
      </c>
    </row>
    <row r="7212">
      <c r="A7212" s="48" t="s">
        <v>10725</v>
      </c>
      <c r="B7212" s="38">
        <v>62657.0</v>
      </c>
      <c r="C7212" s="38" t="s">
        <v>10726</v>
      </c>
      <c r="D7212" s="38" t="str">
        <f>IFERROR(__xludf.DUMMYFUNCTION("REGEXREPLACE(C7212,""-\d+(.*)|--\d+(.*)"","""")"),"PIHEN-LES-GUINES")</f>
        <v>PIHEN-LES-GUINES</v>
      </c>
      <c r="E7212" s="38" t="s">
        <v>109</v>
      </c>
      <c r="F7212" s="38" t="s">
        <v>86</v>
      </c>
      <c r="G7212" s="49" t="str">
        <f t="shared" si="1"/>
        <v>62340</v>
      </c>
      <c r="H7212" s="49">
        <f t="shared" si="2"/>
        <v>62657</v>
      </c>
    </row>
    <row r="7213">
      <c r="A7213" s="48" t="s">
        <v>333</v>
      </c>
      <c r="B7213" s="38">
        <v>43075.0</v>
      </c>
      <c r="C7213" s="38" t="s">
        <v>10727</v>
      </c>
      <c r="D7213" s="38" t="str">
        <f>IFERROR(__xludf.DUMMYFUNCTION("REGEXREPLACE(C7213,""-\d+(.*)|--\d+(.*)"","""")"),"COLLAT")</f>
        <v>COLLAT</v>
      </c>
      <c r="E7213" s="38" t="s">
        <v>332</v>
      </c>
      <c r="F7213" s="38" t="s">
        <v>161</v>
      </c>
      <c r="G7213" s="49" t="str">
        <f t="shared" si="1"/>
        <v>43230</v>
      </c>
      <c r="H7213" s="49">
        <f t="shared" si="2"/>
        <v>43075</v>
      </c>
    </row>
    <row r="7214">
      <c r="A7214" s="48" t="s">
        <v>6868</v>
      </c>
      <c r="B7214" s="38" t="s">
        <v>10728</v>
      </c>
      <c r="C7214" s="38" t="s">
        <v>10729</v>
      </c>
      <c r="D7214" s="38" t="str">
        <f>IFERROR(__xludf.DUMMYFUNCTION("REGEXREPLACE(C7214,""-\d+(.*)|--\d+(.*)"","""")"),"NOCETA")</f>
        <v>NOCETA</v>
      </c>
      <c r="E7214" s="38" t="s">
        <v>743</v>
      </c>
      <c r="F7214" s="38" t="s">
        <v>607</v>
      </c>
      <c r="G7214" s="49" t="str">
        <f t="shared" si="1"/>
        <v>20242</v>
      </c>
      <c r="H7214" s="49" t="str">
        <f t="shared" si="2"/>
        <v>2B177</v>
      </c>
    </row>
    <row r="7215">
      <c r="A7215" s="48" t="s">
        <v>6296</v>
      </c>
      <c r="B7215" s="38">
        <v>50217.0</v>
      </c>
      <c r="C7215" s="38" t="s">
        <v>10730</v>
      </c>
      <c r="D7215" s="38" t="str">
        <f>IFERROR(__xludf.DUMMYFUNCTION("REGEXREPLACE(C7215,""-\d+(.*)|--\d+(.*)"","""")"),"LE GRAND-CELLAND")</f>
        <v>LE GRAND-CELLAND</v>
      </c>
      <c r="E7215" s="38" t="s">
        <v>157</v>
      </c>
      <c r="F7215" s="38" t="s">
        <v>138</v>
      </c>
      <c r="G7215" s="49" t="str">
        <f t="shared" si="1"/>
        <v>50370</v>
      </c>
      <c r="H7215" s="49">
        <f t="shared" si="2"/>
        <v>50217</v>
      </c>
    </row>
    <row r="7216">
      <c r="A7216" s="48" t="s">
        <v>6104</v>
      </c>
      <c r="B7216" s="38">
        <v>95214.0</v>
      </c>
      <c r="C7216" s="38" t="s">
        <v>10731</v>
      </c>
      <c r="D7216" s="38" t="str">
        <f>IFERROR(__xludf.DUMMYFUNCTION("REGEXREPLACE(C7216,""-\d+(.*)|--\d+(.*)"","""")"),"EPINAY-CHAMPLATREUX")</f>
        <v>EPINAY-CHAMPLATREUX</v>
      </c>
      <c r="E7216" s="38" t="s">
        <v>541</v>
      </c>
      <c r="F7216" s="38" t="s">
        <v>245</v>
      </c>
      <c r="G7216" s="49" t="str">
        <f t="shared" si="1"/>
        <v>95270</v>
      </c>
      <c r="H7216" s="49">
        <f t="shared" si="2"/>
        <v>95214</v>
      </c>
    </row>
    <row r="7217">
      <c r="A7217" s="48" t="s">
        <v>9946</v>
      </c>
      <c r="B7217" s="38">
        <v>15160.0</v>
      </c>
      <c r="C7217" s="38" t="s">
        <v>10732</v>
      </c>
      <c r="D7217" s="38" t="str">
        <f>IFERROR(__xludf.DUMMYFUNCTION("REGEXREPLACE(C7217,""-\d+(.*)|--\d+(.*)"","""")"),"REILHAC")</f>
        <v>REILHAC</v>
      </c>
      <c r="E7217" s="38" t="s">
        <v>632</v>
      </c>
      <c r="F7217" s="38" t="s">
        <v>161</v>
      </c>
      <c r="G7217" s="49" t="str">
        <f t="shared" si="1"/>
        <v>15250</v>
      </c>
      <c r="H7217" s="49">
        <f t="shared" si="2"/>
        <v>15160</v>
      </c>
    </row>
    <row r="7218">
      <c r="A7218" s="48" t="s">
        <v>103</v>
      </c>
      <c r="B7218" s="38">
        <v>21366.0</v>
      </c>
      <c r="C7218" s="38" t="s">
        <v>10733</v>
      </c>
      <c r="D7218" s="38" t="str">
        <f>IFERROR(__xludf.DUMMYFUNCTION("REGEXREPLACE(C7218,""-\d+(.*)|--\d+(.*)"","""")"),"MAGNY-LES-AUBIGNY")</f>
        <v>MAGNY-LES-AUBIGNY</v>
      </c>
      <c r="E7218" s="38" t="s">
        <v>105</v>
      </c>
      <c r="F7218" s="38" t="s">
        <v>106</v>
      </c>
      <c r="G7218" s="49" t="str">
        <f t="shared" si="1"/>
        <v>21170</v>
      </c>
      <c r="H7218" s="49">
        <f t="shared" si="2"/>
        <v>21366</v>
      </c>
    </row>
    <row r="7219">
      <c r="A7219" s="48" t="s">
        <v>2042</v>
      </c>
      <c r="B7219" s="38">
        <v>80447.0</v>
      </c>
      <c r="C7219" s="38" t="s">
        <v>10734</v>
      </c>
      <c r="D7219" s="38" t="str">
        <f>IFERROR(__xludf.DUMMYFUNCTION("REGEXREPLACE(C7219,""-\d+(.*)|--\d+(.*)"","""")"),"HYENCOURT-LE-GRAND")</f>
        <v>HYENCOURT-LE-GRAND</v>
      </c>
      <c r="E7219" s="38" t="s">
        <v>224</v>
      </c>
      <c r="F7219" s="38" t="s">
        <v>113</v>
      </c>
      <c r="G7219" s="49" t="str">
        <f t="shared" si="1"/>
        <v>80320</v>
      </c>
      <c r="H7219" s="49">
        <f t="shared" si="2"/>
        <v>80447</v>
      </c>
    </row>
    <row r="7220">
      <c r="A7220" s="48" t="s">
        <v>7876</v>
      </c>
      <c r="B7220" s="38">
        <v>58226.0</v>
      </c>
      <c r="C7220" s="38" t="s">
        <v>2000</v>
      </c>
      <c r="D7220" s="38" t="str">
        <f>IFERROR(__xludf.DUMMYFUNCTION("REGEXREPLACE(C7220,""-\d+(.*)|--\d+(.*)"","""")"),"SAINT-AGNAN")</f>
        <v>SAINT-AGNAN</v>
      </c>
      <c r="E7220" s="38" t="s">
        <v>219</v>
      </c>
      <c r="F7220" s="38" t="s">
        <v>106</v>
      </c>
      <c r="G7220" s="49" t="str">
        <f t="shared" si="1"/>
        <v>58230</v>
      </c>
      <c r="H7220" s="49">
        <f t="shared" si="2"/>
        <v>58226</v>
      </c>
    </row>
    <row r="7221">
      <c r="A7221" s="48" t="s">
        <v>5532</v>
      </c>
      <c r="B7221" s="38">
        <v>30215.0</v>
      </c>
      <c r="C7221" s="38" t="s">
        <v>10735</v>
      </c>
      <c r="D7221" s="38" t="str">
        <f>IFERROR(__xludf.DUMMYFUNCTION("REGEXREPLACE(C7221,""-\d+(.*)|--\d+(.*)"","""")"),"RIVIERES")</f>
        <v>RIVIERES</v>
      </c>
      <c r="E7221" s="38" t="s">
        <v>526</v>
      </c>
      <c r="F7221" s="38" t="s">
        <v>119</v>
      </c>
      <c r="G7221" s="49" t="str">
        <f t="shared" si="1"/>
        <v>30430</v>
      </c>
      <c r="H7221" s="49">
        <f t="shared" si="2"/>
        <v>30215</v>
      </c>
    </row>
    <row r="7222">
      <c r="A7222" s="48" t="s">
        <v>3675</v>
      </c>
      <c r="B7222" s="38">
        <v>58005.0</v>
      </c>
      <c r="C7222" s="38" t="s">
        <v>10736</v>
      </c>
      <c r="D7222" s="38" t="str">
        <f>IFERROR(__xludf.DUMMYFUNCTION("REGEXREPLACE(C7222,""-\d+(.*)|--\d+(.*)"","""")"),"AMAZY")</f>
        <v>AMAZY</v>
      </c>
      <c r="E7222" s="38" t="s">
        <v>219</v>
      </c>
      <c r="F7222" s="38" t="s">
        <v>106</v>
      </c>
      <c r="G7222" s="49" t="str">
        <f t="shared" si="1"/>
        <v>58190</v>
      </c>
      <c r="H7222" s="49">
        <f t="shared" si="2"/>
        <v>58005</v>
      </c>
    </row>
    <row r="7223">
      <c r="A7223" s="48" t="s">
        <v>6797</v>
      </c>
      <c r="B7223" s="38">
        <v>11005.0</v>
      </c>
      <c r="C7223" s="38" t="s">
        <v>10737</v>
      </c>
      <c r="D7223" s="38" t="str">
        <f>IFERROR(__xludf.DUMMYFUNCTION("REGEXREPLACE(C7223,""-\d+(.*)|--\d+(.*)"","""")"),"ALAIRAC")</f>
        <v>ALAIRAC</v>
      </c>
      <c r="E7223" s="38" t="s">
        <v>278</v>
      </c>
      <c r="F7223" s="38" t="s">
        <v>119</v>
      </c>
      <c r="G7223" s="49" t="str">
        <f t="shared" si="1"/>
        <v>11290</v>
      </c>
      <c r="H7223" s="49">
        <f t="shared" si="2"/>
        <v>11005</v>
      </c>
    </row>
    <row r="7224">
      <c r="A7224" s="48" t="s">
        <v>4617</v>
      </c>
      <c r="B7224" s="38">
        <v>15162.0</v>
      </c>
      <c r="C7224" s="38" t="s">
        <v>10738</v>
      </c>
      <c r="D7224" s="38" t="str">
        <f>IFERROR(__xludf.DUMMYFUNCTION("REGEXREPLACE(C7224,""-\d+(.*)|--\d+(.*)"","""")"),"RIOM-ES-MONTAGNES")</f>
        <v>RIOM-ES-MONTAGNES</v>
      </c>
      <c r="E7224" s="38" t="s">
        <v>632</v>
      </c>
      <c r="F7224" s="38" t="s">
        <v>161</v>
      </c>
      <c r="G7224" s="49" t="str">
        <f t="shared" si="1"/>
        <v>15400</v>
      </c>
      <c r="H7224" s="49">
        <f t="shared" si="2"/>
        <v>15162</v>
      </c>
    </row>
    <row r="7225">
      <c r="A7225" s="48" t="s">
        <v>3341</v>
      </c>
      <c r="B7225" s="38">
        <v>25483.0</v>
      </c>
      <c r="C7225" s="38" t="s">
        <v>10739</v>
      </c>
      <c r="D7225" s="38" t="str">
        <f>IFERROR(__xludf.DUMMYFUNCTION("REGEXREPLACE(C7225,""-\d+(.*)|--\d+(.*)"","""")"),"RECULFOZ")</f>
        <v>RECULFOZ</v>
      </c>
      <c r="E7225" s="38" t="s">
        <v>213</v>
      </c>
      <c r="F7225" s="38" t="s">
        <v>214</v>
      </c>
      <c r="G7225" s="49" t="str">
        <f t="shared" si="1"/>
        <v>25240</v>
      </c>
      <c r="H7225" s="49">
        <f t="shared" si="2"/>
        <v>25483</v>
      </c>
    </row>
    <row r="7226">
      <c r="A7226" s="48" t="s">
        <v>10740</v>
      </c>
      <c r="B7226" s="38">
        <v>78073.0</v>
      </c>
      <c r="C7226" s="38" t="s">
        <v>10741</v>
      </c>
      <c r="D7226" s="38" t="str">
        <f>IFERROR(__xludf.DUMMYFUNCTION("REGEXREPLACE(C7226,""-\d+(.*)|--\d+(.*)"","""")"),"BOIS-D'ARCY")</f>
        <v>BOIS-D'ARCY</v>
      </c>
      <c r="E7226" s="38" t="s">
        <v>362</v>
      </c>
      <c r="F7226" s="38" t="s">
        <v>245</v>
      </c>
      <c r="G7226" s="49" t="str">
        <f t="shared" si="1"/>
        <v>78390</v>
      </c>
      <c r="H7226" s="49">
        <f t="shared" si="2"/>
        <v>78073</v>
      </c>
    </row>
    <row r="7227">
      <c r="A7227" s="48" t="s">
        <v>549</v>
      </c>
      <c r="B7227" s="38">
        <v>55368.0</v>
      </c>
      <c r="C7227" s="38" t="s">
        <v>10742</v>
      </c>
      <c r="D7227" s="38" t="str">
        <f>IFERROR(__xludf.DUMMYFUNCTION("REGEXREPLACE(C7227,""-\d+(.*)|--\d+(.*)"","""")"),"NAIVES-EN-BLOIS")</f>
        <v>NAIVES-EN-BLOIS</v>
      </c>
      <c r="E7227" s="38" t="s">
        <v>322</v>
      </c>
      <c r="F7227" s="38" t="s">
        <v>195</v>
      </c>
      <c r="G7227" s="49" t="str">
        <f t="shared" si="1"/>
        <v>55190</v>
      </c>
      <c r="H7227" s="49">
        <f t="shared" si="2"/>
        <v>55368</v>
      </c>
    </row>
    <row r="7228">
      <c r="A7228" s="48" t="s">
        <v>1542</v>
      </c>
      <c r="B7228" s="38">
        <v>24404.0</v>
      </c>
      <c r="C7228" s="38" t="s">
        <v>10743</v>
      </c>
      <c r="D7228" s="38" t="str">
        <f>IFERROR(__xludf.DUMMYFUNCTION("REGEXREPLACE(C7228,""-\d+(.*)|--\d+(.*)"","""")"),"SAINT-FELIX-DE-REILLAC-ET-MORTEMART")</f>
        <v>SAINT-FELIX-DE-REILLAC-ET-MORTEMART</v>
      </c>
      <c r="E7228" s="38" t="s">
        <v>261</v>
      </c>
      <c r="F7228" s="38" t="s">
        <v>252</v>
      </c>
      <c r="G7228" s="49" t="str">
        <f t="shared" si="1"/>
        <v>24260</v>
      </c>
      <c r="H7228" s="49">
        <f t="shared" si="2"/>
        <v>24404</v>
      </c>
    </row>
    <row r="7229">
      <c r="A7229" s="48" t="s">
        <v>3983</v>
      </c>
      <c r="B7229" s="38">
        <v>67179.0</v>
      </c>
      <c r="C7229" s="38" t="s">
        <v>10744</v>
      </c>
      <c r="D7229" s="38" t="str">
        <f>IFERROR(__xludf.DUMMYFUNCTION("REGEXREPLACE(C7229,""-\d+(.*)|--\d+(.*)"","""")"),"HAEGEN")</f>
        <v>HAEGEN</v>
      </c>
      <c r="E7229" s="38" t="s">
        <v>210</v>
      </c>
      <c r="F7229" s="38" t="s">
        <v>151</v>
      </c>
      <c r="G7229" s="49" t="str">
        <f t="shared" si="1"/>
        <v>67700</v>
      </c>
      <c r="H7229" s="49">
        <f t="shared" si="2"/>
        <v>67179</v>
      </c>
    </row>
    <row r="7230">
      <c r="A7230" s="48" t="s">
        <v>5702</v>
      </c>
      <c r="B7230" s="38">
        <v>26075.0</v>
      </c>
      <c r="C7230" s="38" t="s">
        <v>10745</v>
      </c>
      <c r="D7230" s="38" t="str">
        <f>IFERROR(__xludf.DUMMYFUNCTION("REGEXREPLACE(C7230,""-\d+(.*)|--\d+(.*)"","""")"),"LA CHARCE")</f>
        <v>LA CHARCE</v>
      </c>
      <c r="E7230" s="38" t="s">
        <v>126</v>
      </c>
      <c r="F7230" s="38" t="s">
        <v>102</v>
      </c>
      <c r="G7230" s="49" t="str">
        <f t="shared" si="1"/>
        <v>26470</v>
      </c>
      <c r="H7230" s="49">
        <f t="shared" si="2"/>
        <v>26075</v>
      </c>
    </row>
    <row r="7231">
      <c r="A7231" s="48" t="s">
        <v>10746</v>
      </c>
      <c r="B7231" s="38">
        <v>88526.0</v>
      </c>
      <c r="C7231" s="38" t="s">
        <v>10747</v>
      </c>
      <c r="D7231" s="38" t="str">
        <f>IFERROR(__xludf.DUMMYFUNCTION("REGEXREPLACE(C7231,""-\d+(.*)|--\d+(.*)"","""")"),"WISEMBACH")</f>
        <v>WISEMBACH</v>
      </c>
      <c r="E7231" s="38" t="s">
        <v>194</v>
      </c>
      <c r="F7231" s="38" t="s">
        <v>195</v>
      </c>
      <c r="G7231" s="49" t="str">
        <f t="shared" si="1"/>
        <v>88520</v>
      </c>
      <c r="H7231" s="49">
        <f t="shared" si="2"/>
        <v>88526</v>
      </c>
    </row>
    <row r="7232">
      <c r="A7232" s="48" t="s">
        <v>6338</v>
      </c>
      <c r="B7232" s="38">
        <v>79174.0</v>
      </c>
      <c r="C7232" s="38" t="s">
        <v>6976</v>
      </c>
      <c r="D7232" s="38" t="str">
        <f>IFERROR(__xludf.DUMMYFUNCTION("REGEXREPLACE(C7232,""-\d+(.*)|--\d+(.*)"","""")"),"MELLE")</f>
        <v>MELLE</v>
      </c>
      <c r="E7232" s="38" t="s">
        <v>337</v>
      </c>
      <c r="F7232" s="38" t="s">
        <v>338</v>
      </c>
      <c r="G7232" s="49" t="str">
        <f t="shared" si="1"/>
        <v>79500</v>
      </c>
      <c r="H7232" s="49">
        <f t="shared" si="2"/>
        <v>79174</v>
      </c>
    </row>
    <row r="7233">
      <c r="A7233" s="48" t="s">
        <v>5453</v>
      </c>
      <c r="B7233" s="38">
        <v>52488.0</v>
      </c>
      <c r="C7233" s="38" t="s">
        <v>10748</v>
      </c>
      <c r="D7233" s="38" t="str">
        <f>IFERROR(__xludf.DUMMYFUNCTION("REGEXREPLACE(C7233,""-\d+(.*)|--\d+(.*)"","""")"),"THIVET")</f>
        <v>THIVET</v>
      </c>
      <c r="E7233" s="38" t="s">
        <v>234</v>
      </c>
      <c r="F7233" s="38" t="s">
        <v>130</v>
      </c>
      <c r="G7233" s="49" t="str">
        <f t="shared" si="1"/>
        <v>52800</v>
      </c>
      <c r="H7233" s="49">
        <f t="shared" si="2"/>
        <v>52488</v>
      </c>
    </row>
    <row r="7234">
      <c r="A7234" s="48" t="s">
        <v>3626</v>
      </c>
      <c r="B7234" s="38">
        <v>57028.0</v>
      </c>
      <c r="C7234" s="38" t="s">
        <v>10749</v>
      </c>
      <c r="D7234" s="38" t="str">
        <f>IFERROR(__xludf.DUMMYFUNCTION("REGEXREPLACE(C7234,""-\d+(.*)|--\d+(.*)"","""")"),"ARGANCY")</f>
        <v>ARGANCY</v>
      </c>
      <c r="E7234" s="38" t="s">
        <v>303</v>
      </c>
      <c r="F7234" s="38" t="s">
        <v>195</v>
      </c>
      <c r="G7234" s="49" t="str">
        <f t="shared" si="1"/>
        <v>57640</v>
      </c>
      <c r="H7234" s="49">
        <f t="shared" si="2"/>
        <v>57028</v>
      </c>
    </row>
    <row r="7235">
      <c r="A7235" s="48" t="s">
        <v>1441</v>
      </c>
      <c r="B7235" s="38">
        <v>52348.0</v>
      </c>
      <c r="C7235" s="38" t="s">
        <v>10750</v>
      </c>
      <c r="D7235" s="38" t="str">
        <f>IFERROR(__xludf.DUMMYFUNCTION("REGEXREPLACE(C7235,""-\d+(.*)|--\d+(.*)"","""")"),"NEUILLY-L'EVEQUE")</f>
        <v>NEUILLY-L'EVEQUE</v>
      </c>
      <c r="E7235" s="38" t="s">
        <v>234</v>
      </c>
      <c r="F7235" s="38" t="s">
        <v>130</v>
      </c>
      <c r="G7235" s="49" t="str">
        <f t="shared" si="1"/>
        <v>52360</v>
      </c>
      <c r="H7235" s="49">
        <f t="shared" si="2"/>
        <v>52348</v>
      </c>
    </row>
    <row r="7236">
      <c r="A7236" s="48" t="s">
        <v>1332</v>
      </c>
      <c r="B7236" s="38">
        <v>51646.0</v>
      </c>
      <c r="C7236" s="38" t="s">
        <v>10751</v>
      </c>
      <c r="D7236" s="38" t="str">
        <f>IFERROR(__xludf.DUMMYFUNCTION("REGEXREPLACE(C7236,""-\d+(.*)|--\d+(.*)"","""")"),"VIRGINY")</f>
        <v>VIRGINY</v>
      </c>
      <c r="E7236" s="38" t="s">
        <v>129</v>
      </c>
      <c r="F7236" s="38" t="s">
        <v>130</v>
      </c>
      <c r="G7236" s="49" t="str">
        <f t="shared" si="1"/>
        <v>51800</v>
      </c>
      <c r="H7236" s="49">
        <f t="shared" si="2"/>
        <v>51646</v>
      </c>
    </row>
    <row r="7237">
      <c r="A7237" s="48" t="s">
        <v>2946</v>
      </c>
      <c r="B7237" s="38">
        <v>51546.0</v>
      </c>
      <c r="C7237" s="38" t="s">
        <v>10752</v>
      </c>
      <c r="D7237" s="38" t="str">
        <f>IFERROR(__xludf.DUMMYFUNCTION("REGEXREPLACE(C7237,""-\d+(.*)|--\d+(.*)"","""")"),"SOMME-SUIPPE")</f>
        <v>SOMME-SUIPPE</v>
      </c>
      <c r="E7237" s="38" t="s">
        <v>129</v>
      </c>
      <c r="F7237" s="38" t="s">
        <v>130</v>
      </c>
      <c r="G7237" s="49" t="str">
        <f t="shared" si="1"/>
        <v>51600</v>
      </c>
      <c r="H7237" s="49">
        <f t="shared" si="2"/>
        <v>51546</v>
      </c>
    </row>
    <row r="7238">
      <c r="A7238" s="48" t="s">
        <v>4422</v>
      </c>
      <c r="B7238" s="38">
        <v>59286.0</v>
      </c>
      <c r="C7238" s="38" t="s">
        <v>10753</v>
      </c>
      <c r="D7238" s="38" t="str">
        <f>IFERROR(__xludf.DUMMYFUNCTION("REGEXREPLACE(C7238,""-\d+(.*)|--\d+(.*)"","""")"),"HAUBOURDIN")</f>
        <v>HAUBOURDIN</v>
      </c>
      <c r="E7238" s="38" t="s">
        <v>85</v>
      </c>
      <c r="F7238" s="38" t="s">
        <v>86</v>
      </c>
      <c r="G7238" s="49" t="str">
        <f t="shared" si="1"/>
        <v>59320</v>
      </c>
      <c r="H7238" s="49">
        <f t="shared" si="2"/>
        <v>59286</v>
      </c>
    </row>
    <row r="7239">
      <c r="A7239" s="48" t="s">
        <v>10754</v>
      </c>
      <c r="B7239" s="38">
        <v>57591.0</v>
      </c>
      <c r="C7239" s="38" t="s">
        <v>10755</v>
      </c>
      <c r="D7239" s="38" t="str">
        <f>IFERROR(__xludf.DUMMYFUNCTION("REGEXREPLACE(C7239,""-\d+(.*)|--\d+(.*)"","""")"),"ROMBAS")</f>
        <v>ROMBAS</v>
      </c>
      <c r="E7239" s="38" t="s">
        <v>303</v>
      </c>
      <c r="F7239" s="38" t="s">
        <v>195</v>
      </c>
      <c r="G7239" s="49" t="str">
        <f t="shared" si="1"/>
        <v>57120</v>
      </c>
      <c r="H7239" s="49">
        <f t="shared" si="2"/>
        <v>57591</v>
      </c>
    </row>
    <row r="7240">
      <c r="A7240" s="48" t="s">
        <v>3566</v>
      </c>
      <c r="B7240" s="38">
        <v>3070.0</v>
      </c>
      <c r="C7240" s="38" t="s">
        <v>10756</v>
      </c>
      <c r="D7240" s="38" t="str">
        <f>IFERROR(__xludf.DUMMYFUNCTION("REGEXREPLACE(C7240,""-\d+(.*)|--\d+(.*)"","""")"),"CHAVENON")</f>
        <v>CHAVENON</v>
      </c>
      <c r="E7240" s="38" t="s">
        <v>160</v>
      </c>
      <c r="F7240" s="38" t="s">
        <v>161</v>
      </c>
      <c r="G7240" s="49" t="str">
        <f t="shared" si="1"/>
        <v>03440</v>
      </c>
      <c r="H7240" s="49" t="str">
        <f t="shared" si="2"/>
        <v>03070</v>
      </c>
    </row>
    <row r="7241">
      <c r="A7241" s="48" t="s">
        <v>1132</v>
      </c>
      <c r="B7241" s="38">
        <v>2129.0</v>
      </c>
      <c r="C7241" s="38" t="s">
        <v>10757</v>
      </c>
      <c r="D7241" s="38" t="str">
        <f>IFERROR(__xludf.DUMMYFUNCTION("REGEXREPLACE(C7241,""-\d+(.*)|--\d+(.*)"","""")"),"BRUYS")</f>
        <v>BRUYS</v>
      </c>
      <c r="E7241" s="38" t="s">
        <v>191</v>
      </c>
      <c r="F7241" s="38" t="s">
        <v>113</v>
      </c>
      <c r="G7241" s="49" t="str">
        <f t="shared" si="1"/>
        <v>02220</v>
      </c>
      <c r="H7241" s="49" t="str">
        <f t="shared" si="2"/>
        <v>02129</v>
      </c>
    </row>
    <row r="7242">
      <c r="A7242" s="48" t="s">
        <v>1106</v>
      </c>
      <c r="B7242" s="38">
        <v>14628.0</v>
      </c>
      <c r="C7242" s="38" t="s">
        <v>10758</v>
      </c>
      <c r="D7242" s="38" t="str">
        <f>IFERROR(__xludf.DUMMYFUNCTION("REGEXREPLACE(C7242,""-\d+(.*)|--\d+(.*)"","""")"),"SAINT-MARTIN-DE-SALLEN")</f>
        <v>SAINT-MARTIN-DE-SALLEN</v>
      </c>
      <c r="E7242" s="38" t="s">
        <v>137</v>
      </c>
      <c r="F7242" s="38" t="s">
        <v>138</v>
      </c>
      <c r="G7242" s="49" t="str">
        <f t="shared" si="1"/>
        <v>14220</v>
      </c>
      <c r="H7242" s="49">
        <f t="shared" si="2"/>
        <v>14628</v>
      </c>
    </row>
    <row r="7243">
      <c r="A7243" s="48" t="s">
        <v>6125</v>
      </c>
      <c r="B7243" s="38">
        <v>38321.0</v>
      </c>
      <c r="C7243" s="38" t="s">
        <v>10759</v>
      </c>
      <c r="D7243" s="38" t="str">
        <f>IFERROR(__xludf.DUMMYFUNCTION("REGEXREPLACE(C7243,""-\d+(.*)|--\d+(.*)"","""")"),"PREBOIS")</f>
        <v>PREBOIS</v>
      </c>
      <c r="E7243" s="38" t="s">
        <v>101</v>
      </c>
      <c r="F7243" s="38" t="s">
        <v>102</v>
      </c>
      <c r="G7243" s="49" t="str">
        <f t="shared" si="1"/>
        <v>38710</v>
      </c>
      <c r="H7243" s="49">
        <f t="shared" si="2"/>
        <v>38321</v>
      </c>
    </row>
    <row r="7244">
      <c r="A7244" s="48" t="s">
        <v>10760</v>
      </c>
      <c r="B7244" s="38">
        <v>25063.0</v>
      </c>
      <c r="C7244" s="38" t="s">
        <v>8690</v>
      </c>
      <c r="D7244" s="38" t="str">
        <f>IFERROR(__xludf.DUMMYFUNCTION("REGEXREPLACE(C7244,""-\d+(.*)|--\d+(.*)"","""")"),"BLAMONT")</f>
        <v>BLAMONT</v>
      </c>
      <c r="E7244" s="38" t="s">
        <v>213</v>
      </c>
      <c r="F7244" s="38" t="s">
        <v>214</v>
      </c>
      <c r="G7244" s="49" t="str">
        <f t="shared" si="1"/>
        <v>25310</v>
      </c>
      <c r="H7244" s="49">
        <f t="shared" si="2"/>
        <v>25063</v>
      </c>
    </row>
    <row r="7245">
      <c r="A7245" s="48" t="s">
        <v>10761</v>
      </c>
      <c r="B7245" s="38">
        <v>90061.0</v>
      </c>
      <c r="C7245" s="38" t="s">
        <v>10762</v>
      </c>
      <c r="D7245" s="38" t="str">
        <f>IFERROR(__xludf.DUMMYFUNCTION("REGEXREPLACE(C7245,""-\d+(.*)|--\d+(.*)"","""")"),"LAMADELEINE-VAL-DES-ANGES")</f>
        <v>LAMADELEINE-VAL-DES-ANGES</v>
      </c>
      <c r="E7245" s="38" t="s">
        <v>1283</v>
      </c>
      <c r="F7245" s="38" t="s">
        <v>214</v>
      </c>
      <c r="G7245" s="49" t="str">
        <f t="shared" si="1"/>
        <v>90170</v>
      </c>
      <c r="H7245" s="49">
        <f t="shared" si="2"/>
        <v>90061</v>
      </c>
    </row>
    <row r="7246">
      <c r="A7246" s="48" t="s">
        <v>10763</v>
      </c>
      <c r="B7246" s="38">
        <v>22165.0</v>
      </c>
      <c r="C7246" s="38" t="s">
        <v>10764</v>
      </c>
      <c r="D7246" s="38" t="str">
        <f>IFERROR(__xludf.DUMMYFUNCTION("REGEXREPLACE(C7246,""-\d+(.*)|--\d+(.*)"","""")"),"PENGUILY")</f>
        <v>PENGUILY</v>
      </c>
      <c r="E7246" s="38" t="s">
        <v>89</v>
      </c>
      <c r="F7246" s="38" t="s">
        <v>90</v>
      </c>
      <c r="G7246" s="49" t="str">
        <f t="shared" si="1"/>
        <v>22510</v>
      </c>
      <c r="H7246" s="49">
        <f t="shared" si="2"/>
        <v>22165</v>
      </c>
    </row>
    <row r="7247">
      <c r="A7247" s="48" t="s">
        <v>10765</v>
      </c>
      <c r="B7247" s="38">
        <v>36020.0</v>
      </c>
      <c r="C7247" s="38" t="s">
        <v>5465</v>
      </c>
      <c r="D7247" s="38" t="str">
        <f>IFERROR(__xludf.DUMMYFUNCTION("REGEXREPLACE(C7247,""-\d+(.*)|--\d+(.*)"","""")"),"BONNEUIL")</f>
        <v>BONNEUIL</v>
      </c>
      <c r="E7247" s="38" t="s">
        <v>258</v>
      </c>
      <c r="F7247" s="38" t="s">
        <v>123</v>
      </c>
      <c r="G7247" s="49" t="str">
        <f t="shared" si="1"/>
        <v>36310</v>
      </c>
      <c r="H7247" s="49">
        <f t="shared" si="2"/>
        <v>36020</v>
      </c>
    </row>
    <row r="7248">
      <c r="A7248" s="48" t="s">
        <v>4926</v>
      </c>
      <c r="B7248" s="38">
        <v>14130.0</v>
      </c>
      <c r="C7248" s="38" t="s">
        <v>10766</v>
      </c>
      <c r="D7248" s="38" t="str">
        <f>IFERROR(__xludf.DUMMYFUNCTION("REGEXREPLACE(C7248,""-\d+(.*)|--\d+(.*)"","""")"),"CAMPIGNY")</f>
        <v>CAMPIGNY</v>
      </c>
      <c r="E7248" s="38" t="s">
        <v>137</v>
      </c>
      <c r="F7248" s="38" t="s">
        <v>138</v>
      </c>
      <c r="G7248" s="49" t="str">
        <f t="shared" si="1"/>
        <v>14490</v>
      </c>
      <c r="H7248" s="49">
        <f t="shared" si="2"/>
        <v>14130</v>
      </c>
    </row>
    <row r="7249">
      <c r="A7249" s="48" t="s">
        <v>9138</v>
      </c>
      <c r="B7249" s="38">
        <v>80486.0</v>
      </c>
      <c r="C7249" s="38" t="s">
        <v>10767</v>
      </c>
      <c r="D7249" s="38" t="str">
        <f>IFERROR(__xludf.DUMMYFUNCTION("REGEXREPLACE(C7249,""-\d+(.*)|--\d+(.*)"","""")"),"LONG")</f>
        <v>LONG</v>
      </c>
      <c r="E7249" s="38" t="s">
        <v>224</v>
      </c>
      <c r="F7249" s="38" t="s">
        <v>113</v>
      </c>
      <c r="G7249" s="49" t="str">
        <f t="shared" si="1"/>
        <v>80510</v>
      </c>
      <c r="H7249" s="49">
        <f t="shared" si="2"/>
        <v>80486</v>
      </c>
    </row>
    <row r="7250">
      <c r="A7250" s="48" t="s">
        <v>5174</v>
      </c>
      <c r="B7250" s="38">
        <v>82152.0</v>
      </c>
      <c r="C7250" s="38" t="s">
        <v>7967</v>
      </c>
      <c r="D7250" s="38" t="str">
        <f>IFERROR(__xludf.DUMMYFUNCTION("REGEXREPLACE(C7250,""-\d+(.*)|--\d+(.*)"","""")"),"SAINT-AIGNAN")</f>
        <v>SAINT-AIGNAN</v>
      </c>
      <c r="E7250" s="38" t="s">
        <v>570</v>
      </c>
      <c r="F7250" s="38" t="s">
        <v>94</v>
      </c>
      <c r="G7250" s="49" t="str">
        <f t="shared" si="1"/>
        <v>82100</v>
      </c>
      <c r="H7250" s="49">
        <f t="shared" si="2"/>
        <v>82152</v>
      </c>
    </row>
    <row r="7251">
      <c r="A7251" s="48" t="s">
        <v>10768</v>
      </c>
      <c r="B7251" s="38">
        <v>44171.0</v>
      </c>
      <c r="C7251" s="38" t="s">
        <v>10769</v>
      </c>
      <c r="D7251" s="38" t="str">
        <f>IFERROR(__xludf.DUMMYFUNCTION("REGEXREPLACE(C7251,""-\d+(.*)|--\d+(.*)"","""")"),"SAINT-LEGER-LES-VIGNES")</f>
        <v>SAINT-LEGER-LES-VIGNES</v>
      </c>
      <c r="E7251" s="38" t="s">
        <v>759</v>
      </c>
      <c r="F7251" s="38" t="s">
        <v>180</v>
      </c>
      <c r="G7251" s="49" t="str">
        <f t="shared" si="1"/>
        <v>44710</v>
      </c>
      <c r="H7251" s="49">
        <f t="shared" si="2"/>
        <v>44171</v>
      </c>
    </row>
    <row r="7252">
      <c r="A7252" s="48" t="s">
        <v>5913</v>
      </c>
      <c r="B7252" s="38">
        <v>7039.0</v>
      </c>
      <c r="C7252" s="38" t="s">
        <v>10770</v>
      </c>
      <c r="D7252" s="38" t="str">
        <f>IFERROR(__xludf.DUMMYFUNCTION("REGEXREPLACE(C7252,""-\d+(.*)|--\d+(.*)"","""")"),"BOZAS")</f>
        <v>BOZAS</v>
      </c>
      <c r="E7252" s="38" t="s">
        <v>144</v>
      </c>
      <c r="F7252" s="38" t="s">
        <v>102</v>
      </c>
      <c r="G7252" s="49" t="str">
        <f t="shared" si="1"/>
        <v>07410</v>
      </c>
      <c r="H7252" s="49" t="str">
        <f t="shared" si="2"/>
        <v>07039</v>
      </c>
    </row>
    <row r="7253">
      <c r="A7253" s="48" t="s">
        <v>8374</v>
      </c>
      <c r="B7253" s="38">
        <v>85223.0</v>
      </c>
      <c r="C7253" s="38" t="s">
        <v>10771</v>
      </c>
      <c r="D7253" s="38" t="str">
        <f>IFERROR(__xludf.DUMMYFUNCTION("REGEXREPLACE(C7253,""-\d+(.*)|--\d+(.*)"","""")"),"SAINTE-HERMINE")</f>
        <v>SAINTE-HERMINE</v>
      </c>
      <c r="E7253" s="38" t="s">
        <v>179</v>
      </c>
      <c r="F7253" s="38" t="s">
        <v>180</v>
      </c>
      <c r="G7253" s="49" t="str">
        <f t="shared" si="1"/>
        <v>85210</v>
      </c>
      <c r="H7253" s="49">
        <f t="shared" si="2"/>
        <v>85223</v>
      </c>
    </row>
    <row r="7254">
      <c r="A7254" s="48" t="s">
        <v>10772</v>
      </c>
      <c r="B7254" s="38">
        <v>16291.0</v>
      </c>
      <c r="C7254" s="38" t="s">
        <v>10773</v>
      </c>
      <c r="D7254" s="38" t="str">
        <f>IFERROR(__xludf.DUMMYFUNCTION("REGEXREPLACE(C7254,""-\d+(.*)|--\d+(.*)"","""")"),"RUELLE-SUR-TOUVRE")</f>
        <v>RUELLE-SUR-TOUVRE</v>
      </c>
      <c r="E7254" s="38" t="s">
        <v>429</v>
      </c>
      <c r="F7254" s="38" t="s">
        <v>338</v>
      </c>
      <c r="G7254" s="49" t="str">
        <f t="shared" si="1"/>
        <v>16600</v>
      </c>
      <c r="H7254" s="49">
        <f t="shared" si="2"/>
        <v>16291</v>
      </c>
    </row>
    <row r="7255">
      <c r="A7255" s="48" t="s">
        <v>2981</v>
      </c>
      <c r="B7255" s="38">
        <v>21535.0</v>
      </c>
      <c r="C7255" s="38" t="s">
        <v>10774</v>
      </c>
      <c r="D7255" s="38" t="str">
        <f>IFERROR(__xludf.DUMMYFUNCTION("REGEXREPLACE(C7255,""-\d+(.*)|--\d+(.*)"","""")"),"RUFFEY-LES-ECHIREY")</f>
        <v>RUFFEY-LES-ECHIREY</v>
      </c>
      <c r="E7255" s="38" t="s">
        <v>105</v>
      </c>
      <c r="F7255" s="38" t="s">
        <v>106</v>
      </c>
      <c r="G7255" s="49" t="str">
        <f t="shared" si="1"/>
        <v>21490</v>
      </c>
      <c r="H7255" s="49">
        <f t="shared" si="2"/>
        <v>21535</v>
      </c>
    </row>
    <row r="7256">
      <c r="A7256" s="48" t="s">
        <v>1172</v>
      </c>
      <c r="B7256" s="38">
        <v>76314.0</v>
      </c>
      <c r="C7256" s="38" t="s">
        <v>10775</v>
      </c>
      <c r="D7256" s="38" t="str">
        <f>IFERROR(__xludf.DUMMYFUNCTION("REGEXREPLACE(C7256,""-\d+(.*)|--\d+(.*)"","""")"),"GRAIMBOUVILLE")</f>
        <v>GRAIMBOUVILLE</v>
      </c>
      <c r="E7256" s="38" t="s">
        <v>133</v>
      </c>
      <c r="F7256" s="38" t="s">
        <v>134</v>
      </c>
      <c r="G7256" s="49" t="str">
        <f t="shared" si="1"/>
        <v>76430</v>
      </c>
      <c r="H7256" s="49">
        <f t="shared" si="2"/>
        <v>76314</v>
      </c>
    </row>
    <row r="7257">
      <c r="A7257" s="48" t="s">
        <v>10776</v>
      </c>
      <c r="B7257" s="38">
        <v>43223.0</v>
      </c>
      <c r="C7257" s="38" t="s">
        <v>10777</v>
      </c>
      <c r="D7257" s="38" t="str">
        <f>IFERROR(__xludf.DUMMYFUNCTION("REGEXREPLACE(C7257,""-\d+(.*)|--\d+(.*)"","""")"),"SAINT-ROMAIN-LACHALM")</f>
        <v>SAINT-ROMAIN-LACHALM</v>
      </c>
      <c r="E7257" s="38" t="s">
        <v>332</v>
      </c>
      <c r="F7257" s="38" t="s">
        <v>161</v>
      </c>
      <c r="G7257" s="49" t="str">
        <f t="shared" si="1"/>
        <v>43620</v>
      </c>
      <c r="H7257" s="49">
        <f t="shared" si="2"/>
        <v>43223</v>
      </c>
    </row>
    <row r="7258">
      <c r="A7258" s="48" t="s">
        <v>10778</v>
      </c>
      <c r="B7258" s="38">
        <v>21624.0</v>
      </c>
      <c r="C7258" s="38" t="s">
        <v>10779</v>
      </c>
      <c r="D7258" s="38" t="str">
        <f>IFERROR(__xludf.DUMMYFUNCTION("REGEXREPLACE(C7258,""-\d+(.*)|--\d+(.*)"","""")"),"TELLECEY")</f>
        <v>TELLECEY</v>
      </c>
      <c r="E7258" s="38" t="s">
        <v>105</v>
      </c>
      <c r="F7258" s="38" t="s">
        <v>106</v>
      </c>
      <c r="G7258" s="49" t="str">
        <f t="shared" si="1"/>
        <v>21270</v>
      </c>
      <c r="H7258" s="49">
        <f t="shared" si="2"/>
        <v>21624</v>
      </c>
    </row>
    <row r="7259">
      <c r="A7259" s="48" t="s">
        <v>887</v>
      </c>
      <c r="B7259" s="38">
        <v>62189.0</v>
      </c>
      <c r="C7259" s="38" t="s">
        <v>10780</v>
      </c>
      <c r="D7259" s="38" t="str">
        <f>IFERROR(__xludf.DUMMYFUNCTION("REGEXREPLACE(C7259,""-\d+(.*)|--\d+(.*)"","""")"),"BUS")</f>
        <v>BUS</v>
      </c>
      <c r="E7259" s="38" t="s">
        <v>109</v>
      </c>
      <c r="F7259" s="38" t="s">
        <v>86</v>
      </c>
      <c r="G7259" s="49" t="str">
        <f t="shared" si="1"/>
        <v>62124</v>
      </c>
      <c r="H7259" s="49">
        <f t="shared" si="2"/>
        <v>62189</v>
      </c>
    </row>
    <row r="7260">
      <c r="A7260" s="48" t="s">
        <v>5634</v>
      </c>
      <c r="B7260" s="38">
        <v>72134.0</v>
      </c>
      <c r="C7260" s="38" t="s">
        <v>9073</v>
      </c>
      <c r="D7260" s="38" t="str">
        <f>IFERROR(__xludf.DUMMYFUNCTION("REGEXREPLACE(C7260,""-\d+(.*)|--\d+(.*)"","""")"),"FLEE")</f>
        <v>FLEE</v>
      </c>
      <c r="E7260" s="38" t="s">
        <v>521</v>
      </c>
      <c r="F7260" s="38" t="s">
        <v>180</v>
      </c>
      <c r="G7260" s="49" t="str">
        <f t="shared" si="1"/>
        <v>72500</v>
      </c>
      <c r="H7260" s="49">
        <f t="shared" si="2"/>
        <v>72134</v>
      </c>
    </row>
    <row r="7261">
      <c r="A7261" s="48" t="s">
        <v>2549</v>
      </c>
      <c r="B7261" s="38">
        <v>55289.0</v>
      </c>
      <c r="C7261" s="38" t="s">
        <v>10781</v>
      </c>
      <c r="D7261" s="38" t="str">
        <f>IFERROR(__xludf.DUMMYFUNCTION("REGEXREPLACE(C7261,""-\d+(.*)|--\d+(.*)"","""")"),"LEVONCOURT")</f>
        <v>LEVONCOURT</v>
      </c>
      <c r="E7261" s="38" t="s">
        <v>322</v>
      </c>
      <c r="F7261" s="38" t="s">
        <v>195</v>
      </c>
      <c r="G7261" s="49" t="str">
        <f t="shared" si="1"/>
        <v>55260</v>
      </c>
      <c r="H7261" s="49">
        <f t="shared" si="2"/>
        <v>55289</v>
      </c>
    </row>
    <row r="7262">
      <c r="A7262" s="48" t="s">
        <v>4245</v>
      </c>
      <c r="B7262" s="38">
        <v>50469.0</v>
      </c>
      <c r="C7262" s="38" t="s">
        <v>547</v>
      </c>
      <c r="D7262" s="38" t="str">
        <f>IFERROR(__xludf.DUMMYFUNCTION("REGEXREPLACE(C7262,""-\d+(.*)|--\d+(.*)"","""")"),"SAINTE-GENEVIEVE")</f>
        <v>SAINTE-GENEVIEVE</v>
      </c>
      <c r="E7262" s="38" t="s">
        <v>157</v>
      </c>
      <c r="F7262" s="38" t="s">
        <v>138</v>
      </c>
      <c r="G7262" s="49" t="str">
        <f t="shared" si="1"/>
        <v>50760</v>
      </c>
      <c r="H7262" s="49">
        <f t="shared" si="2"/>
        <v>50469</v>
      </c>
    </row>
    <row r="7263">
      <c r="A7263" s="48" t="s">
        <v>789</v>
      </c>
      <c r="B7263" s="38">
        <v>10168.0</v>
      </c>
      <c r="C7263" s="38" t="s">
        <v>10782</v>
      </c>
      <c r="D7263" s="38" t="str">
        <f>IFERROR(__xludf.DUMMYFUNCTION("REGEXREPLACE(C7263,""-\d+(.*)|--\d+(.*)"","""")"),"LES GRANGES")</f>
        <v>LES GRANGES</v>
      </c>
      <c r="E7263" s="38" t="s">
        <v>147</v>
      </c>
      <c r="F7263" s="38" t="s">
        <v>130</v>
      </c>
      <c r="G7263" s="49" t="str">
        <f t="shared" si="1"/>
        <v>10210</v>
      </c>
      <c r="H7263" s="49">
        <f t="shared" si="2"/>
        <v>10168</v>
      </c>
    </row>
    <row r="7264">
      <c r="A7264" s="48" t="s">
        <v>3783</v>
      </c>
      <c r="B7264" s="38">
        <v>62283.0</v>
      </c>
      <c r="C7264" s="38" t="s">
        <v>10783</v>
      </c>
      <c r="D7264" s="38" t="str">
        <f>IFERROR(__xludf.DUMMYFUNCTION("REGEXREPLACE(C7264,""-\d+(.*)|--\d+(.*)"","""")"),"ECOIVRES")</f>
        <v>ECOIVRES</v>
      </c>
      <c r="E7264" s="38" t="s">
        <v>109</v>
      </c>
      <c r="F7264" s="38" t="s">
        <v>86</v>
      </c>
      <c r="G7264" s="49" t="str">
        <f t="shared" si="1"/>
        <v>62270</v>
      </c>
      <c r="H7264" s="49">
        <f t="shared" si="2"/>
        <v>62283</v>
      </c>
    </row>
    <row r="7265">
      <c r="A7265" s="48" t="s">
        <v>2884</v>
      </c>
      <c r="B7265" s="38">
        <v>57240.0</v>
      </c>
      <c r="C7265" s="38" t="s">
        <v>10784</v>
      </c>
      <c r="D7265" s="38" t="str">
        <f>IFERROR(__xludf.DUMMYFUNCTION("REGEXREPLACE(C7265,""-\d+(.*)|--\d+(.*)"","""")"),"FREYMING-MERLEBACH")</f>
        <v>FREYMING-MERLEBACH</v>
      </c>
      <c r="E7265" s="38" t="s">
        <v>303</v>
      </c>
      <c r="F7265" s="38" t="s">
        <v>195</v>
      </c>
      <c r="G7265" s="49" t="str">
        <f t="shared" si="1"/>
        <v>57800</v>
      </c>
      <c r="H7265" s="49">
        <f t="shared" si="2"/>
        <v>57240</v>
      </c>
    </row>
    <row r="7266">
      <c r="A7266" s="48" t="s">
        <v>3422</v>
      </c>
      <c r="B7266" s="38">
        <v>32387.0</v>
      </c>
      <c r="C7266" s="38" t="s">
        <v>10785</v>
      </c>
      <c r="D7266" s="38" t="str">
        <f>IFERROR(__xludf.DUMMYFUNCTION("REGEXREPLACE(C7266,""-\d+(.*)|--\d+(.*)"","""")"),"SAINT-LOUBE")</f>
        <v>SAINT-LOUBE</v>
      </c>
      <c r="E7266" s="38" t="s">
        <v>440</v>
      </c>
      <c r="F7266" s="38" t="s">
        <v>94</v>
      </c>
      <c r="G7266" s="49" t="str">
        <f t="shared" si="1"/>
        <v>32220</v>
      </c>
      <c r="H7266" s="49">
        <f t="shared" si="2"/>
        <v>32387</v>
      </c>
    </row>
    <row r="7267">
      <c r="A7267" s="48" t="s">
        <v>10786</v>
      </c>
      <c r="B7267" s="38">
        <v>32301.0</v>
      </c>
      <c r="C7267" s="38" t="s">
        <v>10787</v>
      </c>
      <c r="D7267" s="38" t="str">
        <f>IFERROR(__xludf.DUMMYFUNCTION("REGEXREPLACE(C7267,""-\d+(.*)|--\d+(.*)"","""")"),"ORDAN-LARROQUE")</f>
        <v>ORDAN-LARROQUE</v>
      </c>
      <c r="E7267" s="38" t="s">
        <v>440</v>
      </c>
      <c r="F7267" s="38" t="s">
        <v>94</v>
      </c>
      <c r="G7267" s="49" t="str">
        <f t="shared" si="1"/>
        <v>32350</v>
      </c>
      <c r="H7267" s="49">
        <f t="shared" si="2"/>
        <v>32301</v>
      </c>
    </row>
    <row r="7268">
      <c r="A7268" s="48" t="s">
        <v>1754</v>
      </c>
      <c r="B7268" s="38">
        <v>14750.0</v>
      </c>
      <c r="C7268" s="38" t="s">
        <v>10788</v>
      </c>
      <c r="D7268" s="38" t="str">
        <f>IFERROR(__xludf.DUMMYFUNCTION("REGEXREPLACE(C7268,""-\d+(.*)|--\d+(.*)"","""")"),"VIEUX-PONT-EN-AUGE")</f>
        <v>VIEUX-PONT-EN-AUGE</v>
      </c>
      <c r="E7268" s="38" t="s">
        <v>137</v>
      </c>
      <c r="F7268" s="38" t="s">
        <v>138</v>
      </c>
      <c r="G7268" s="49" t="str">
        <f t="shared" si="1"/>
        <v>14140</v>
      </c>
      <c r="H7268" s="49">
        <f t="shared" si="2"/>
        <v>14750</v>
      </c>
    </row>
    <row r="7269">
      <c r="A7269" s="48" t="s">
        <v>10789</v>
      </c>
      <c r="B7269" s="38">
        <v>62321.0</v>
      </c>
      <c r="C7269" s="38" t="s">
        <v>10790</v>
      </c>
      <c r="D7269" s="38" t="str">
        <f>IFERROR(__xludf.DUMMYFUNCTION("REGEXREPLACE(C7269,""-\d+(.*)|--\d+(.*)"","""")"),"EVIN-MALMAISON")</f>
        <v>EVIN-MALMAISON</v>
      </c>
      <c r="E7269" s="38" t="s">
        <v>109</v>
      </c>
      <c r="F7269" s="38" t="s">
        <v>86</v>
      </c>
      <c r="G7269" s="49" t="str">
        <f t="shared" si="1"/>
        <v>62141</v>
      </c>
      <c r="H7269" s="49">
        <f t="shared" si="2"/>
        <v>62321</v>
      </c>
    </row>
    <row r="7270">
      <c r="A7270" s="48" t="s">
        <v>8506</v>
      </c>
      <c r="B7270" s="38">
        <v>79180.0</v>
      </c>
      <c r="C7270" s="38" t="s">
        <v>10791</v>
      </c>
      <c r="D7270" s="38" t="str">
        <f>IFERROR(__xludf.DUMMYFUNCTION("REGEXREPLACE(C7270,""-\d+(.*)|--\d+(.*)"","""")"),"MONTALEMBERT")</f>
        <v>MONTALEMBERT</v>
      </c>
      <c r="E7270" s="38" t="s">
        <v>337</v>
      </c>
      <c r="F7270" s="38" t="s">
        <v>338</v>
      </c>
      <c r="G7270" s="49" t="str">
        <f t="shared" si="1"/>
        <v>79190</v>
      </c>
      <c r="H7270" s="49">
        <f t="shared" si="2"/>
        <v>79180</v>
      </c>
    </row>
    <row r="7271">
      <c r="A7271" s="48" t="s">
        <v>10792</v>
      </c>
      <c r="B7271" s="38">
        <v>6069.0</v>
      </c>
      <c r="C7271" s="38" t="s">
        <v>10793</v>
      </c>
      <c r="D7271" s="38" t="str">
        <f>IFERROR(__xludf.DUMMYFUNCTION("REGEXREPLACE(C7271,""-\d+(.*)|--\d+(.*)"","""")"),"GRASSE")</f>
        <v>GRASSE</v>
      </c>
      <c r="E7271" s="38" t="s">
        <v>227</v>
      </c>
      <c r="F7271" s="38" t="s">
        <v>228</v>
      </c>
      <c r="G7271" s="49" t="str">
        <f t="shared" si="1"/>
        <v>06130/06520</v>
      </c>
      <c r="H7271" s="49" t="str">
        <f t="shared" si="2"/>
        <v>06069</v>
      </c>
    </row>
    <row r="7272">
      <c r="A7272" s="48" t="s">
        <v>6446</v>
      </c>
      <c r="B7272" s="38">
        <v>77335.0</v>
      </c>
      <c r="C7272" s="38" t="s">
        <v>10794</v>
      </c>
      <c r="D7272" s="38" t="str">
        <f>IFERROR(__xludf.DUMMYFUNCTION("REGEXREPLACE(C7272,""-\d+(.*)|--\d+(.*)"","""")"),"CHAUCONIN-NEUFMONTIERS")</f>
        <v>CHAUCONIN-NEUFMONTIERS</v>
      </c>
      <c r="E7272" s="38" t="s">
        <v>244</v>
      </c>
      <c r="F7272" s="38" t="s">
        <v>245</v>
      </c>
      <c r="G7272" s="49" t="str">
        <f t="shared" si="1"/>
        <v>77124</v>
      </c>
      <c r="H7272" s="49">
        <f t="shared" si="2"/>
        <v>77335</v>
      </c>
    </row>
    <row r="7273">
      <c r="A7273" s="48" t="s">
        <v>635</v>
      </c>
      <c r="B7273" s="38">
        <v>15259.0</v>
      </c>
      <c r="C7273" s="38" t="s">
        <v>10795</v>
      </c>
      <c r="D7273" s="38" t="str">
        <f>IFERROR(__xludf.DUMMYFUNCTION("REGEXREPLACE(C7273,""-\d+(.*)|--\d+(.*)"","""")"),"VIEILLESPESSE")</f>
        <v>VIEILLESPESSE</v>
      </c>
      <c r="E7273" s="38" t="s">
        <v>632</v>
      </c>
      <c r="F7273" s="38" t="s">
        <v>161</v>
      </c>
      <c r="G7273" s="49" t="str">
        <f t="shared" si="1"/>
        <v>15500</v>
      </c>
      <c r="H7273" s="49">
        <f t="shared" si="2"/>
        <v>15259</v>
      </c>
    </row>
    <row r="7274">
      <c r="A7274" s="48" t="s">
        <v>2124</v>
      </c>
      <c r="B7274" s="38">
        <v>10141.0</v>
      </c>
      <c r="C7274" s="38" t="s">
        <v>10796</v>
      </c>
      <c r="D7274" s="38" t="str">
        <f>IFERROR(__xludf.DUMMYFUNCTION("REGEXREPLACE(C7274,""-\d+(.*)|--\d+(.*)"","""")"),"ESSOYES")</f>
        <v>ESSOYES</v>
      </c>
      <c r="E7274" s="38" t="s">
        <v>147</v>
      </c>
      <c r="F7274" s="38" t="s">
        <v>130</v>
      </c>
      <c r="G7274" s="49" t="str">
        <f t="shared" si="1"/>
        <v>10360</v>
      </c>
      <c r="H7274" s="49">
        <f t="shared" si="2"/>
        <v>10141</v>
      </c>
    </row>
    <row r="7275">
      <c r="A7275" s="48" t="s">
        <v>9016</v>
      </c>
      <c r="B7275" s="38">
        <v>76249.0</v>
      </c>
      <c r="C7275" s="38" t="s">
        <v>10797</v>
      </c>
      <c r="D7275" s="38" t="str">
        <f>IFERROR(__xludf.DUMMYFUNCTION("REGEXREPLACE(C7275,""-\d+(.*)|--\d+(.*)"","""")"),"ETAIMPUIS")</f>
        <v>ETAIMPUIS</v>
      </c>
      <c r="E7275" s="38" t="s">
        <v>133</v>
      </c>
      <c r="F7275" s="38" t="s">
        <v>134</v>
      </c>
      <c r="G7275" s="49" t="str">
        <f t="shared" si="1"/>
        <v>76850</v>
      </c>
      <c r="H7275" s="49">
        <f t="shared" si="2"/>
        <v>76249</v>
      </c>
    </row>
    <row r="7276">
      <c r="A7276" s="48" t="s">
        <v>1669</v>
      </c>
      <c r="B7276" s="38">
        <v>21416.0</v>
      </c>
      <c r="C7276" s="38" t="s">
        <v>10798</v>
      </c>
      <c r="D7276" s="38" t="str">
        <f>IFERROR(__xludf.DUMMYFUNCTION("REGEXREPLACE(C7276,""-\d+(.*)|--\d+(.*)"","""")"),"MIREBEAU-SUR-BEZE")</f>
        <v>MIREBEAU-SUR-BEZE</v>
      </c>
      <c r="E7276" s="38" t="s">
        <v>105</v>
      </c>
      <c r="F7276" s="38" t="s">
        <v>106</v>
      </c>
      <c r="G7276" s="49" t="str">
        <f t="shared" si="1"/>
        <v>21310</v>
      </c>
      <c r="H7276" s="49">
        <f t="shared" si="2"/>
        <v>21416</v>
      </c>
    </row>
    <row r="7277">
      <c r="A7277" s="48" t="s">
        <v>3426</v>
      </c>
      <c r="B7277" s="38">
        <v>57267.0</v>
      </c>
      <c r="C7277" s="38" t="s">
        <v>10799</v>
      </c>
      <c r="D7277" s="38" t="str">
        <f>IFERROR(__xludf.DUMMYFUNCTION("REGEXREPLACE(C7277,""-\d+(.*)|--\d+(.*)"","""")"),"LE VAL-DE-GUEBLANGE")</f>
        <v>LE VAL-DE-GUEBLANGE</v>
      </c>
      <c r="E7277" s="38" t="s">
        <v>303</v>
      </c>
      <c r="F7277" s="38" t="s">
        <v>195</v>
      </c>
      <c r="G7277" s="49" t="str">
        <f t="shared" si="1"/>
        <v>57430</v>
      </c>
      <c r="H7277" s="49">
        <f t="shared" si="2"/>
        <v>57267</v>
      </c>
    </row>
    <row r="7278">
      <c r="A7278" s="48" t="s">
        <v>5070</v>
      </c>
      <c r="B7278" s="38">
        <v>79027.0</v>
      </c>
      <c r="C7278" s="38" t="s">
        <v>10800</v>
      </c>
      <c r="D7278" s="38" t="str">
        <f>IFERROR(__xludf.DUMMYFUNCTION("REGEXREPLACE(C7278,""-\d+(.*)|--\d+(.*)"","""")"),"LA BATAILLE")</f>
        <v>LA BATAILLE</v>
      </c>
      <c r="E7278" s="38" t="s">
        <v>337</v>
      </c>
      <c r="F7278" s="38" t="s">
        <v>338</v>
      </c>
      <c r="G7278" s="49" t="str">
        <f t="shared" si="1"/>
        <v>79110</v>
      </c>
      <c r="H7278" s="49">
        <f t="shared" si="2"/>
        <v>79027</v>
      </c>
    </row>
    <row r="7279">
      <c r="A7279" s="48" t="s">
        <v>1681</v>
      </c>
      <c r="B7279" s="38">
        <v>80395.0</v>
      </c>
      <c r="C7279" s="38" t="s">
        <v>10801</v>
      </c>
      <c r="D7279" s="38" t="str">
        <f>IFERROR(__xludf.DUMMYFUNCTION("REGEXREPLACE(C7279,""-\d+(.*)|--\d+(.*)"","""")"),"GUERBIGNY")</f>
        <v>GUERBIGNY</v>
      </c>
      <c r="E7279" s="38" t="s">
        <v>224</v>
      </c>
      <c r="F7279" s="38" t="s">
        <v>113</v>
      </c>
      <c r="G7279" s="49" t="str">
        <f t="shared" si="1"/>
        <v>80500</v>
      </c>
      <c r="H7279" s="49">
        <f t="shared" si="2"/>
        <v>80395</v>
      </c>
    </row>
    <row r="7280">
      <c r="A7280" s="48" t="s">
        <v>10802</v>
      </c>
      <c r="B7280" s="38">
        <v>77501.0</v>
      </c>
      <c r="C7280" s="38" t="s">
        <v>10803</v>
      </c>
      <c r="D7280" s="38" t="str">
        <f>IFERROR(__xludf.DUMMYFUNCTION("REGEXREPLACE(C7280,""-\d+(.*)|--\d+(.*)"","""")"),"VILLECERF")</f>
        <v>VILLECERF</v>
      </c>
      <c r="E7280" s="38" t="s">
        <v>244</v>
      </c>
      <c r="F7280" s="38" t="s">
        <v>245</v>
      </c>
      <c r="G7280" s="49" t="str">
        <f t="shared" si="1"/>
        <v>77250</v>
      </c>
      <c r="H7280" s="49">
        <f t="shared" si="2"/>
        <v>77501</v>
      </c>
    </row>
    <row r="7281">
      <c r="A7281" s="48" t="s">
        <v>1000</v>
      </c>
      <c r="B7281" s="38">
        <v>70067.0</v>
      </c>
      <c r="C7281" s="38" t="s">
        <v>10804</v>
      </c>
      <c r="D7281" s="38" t="str">
        <f>IFERROR(__xludf.DUMMYFUNCTION("REGEXREPLACE(C7281,""-\d+(.*)|--\d+(.*)"","""")"),"BETONCOURT-LES-BROTTE")</f>
        <v>BETONCOURT-LES-BROTTE</v>
      </c>
      <c r="E7281" s="38" t="s">
        <v>956</v>
      </c>
      <c r="F7281" s="38" t="s">
        <v>214</v>
      </c>
      <c r="G7281" s="49" t="str">
        <f t="shared" si="1"/>
        <v>70300</v>
      </c>
      <c r="H7281" s="49">
        <f t="shared" si="2"/>
        <v>70067</v>
      </c>
    </row>
    <row r="7282">
      <c r="A7282" s="48" t="s">
        <v>1027</v>
      </c>
      <c r="B7282" s="38">
        <v>1338.0</v>
      </c>
      <c r="C7282" s="38" t="s">
        <v>2831</v>
      </c>
      <c r="D7282" s="38" t="str">
        <f>IFERROR(__xludf.DUMMYFUNCTION("REGEXREPLACE(C7282,""-\d+(.*)|--\d+(.*)"","""")"),"SAINT-BENOIT")</f>
        <v>SAINT-BENOIT</v>
      </c>
      <c r="E7282" s="38" t="s">
        <v>255</v>
      </c>
      <c r="F7282" s="38" t="s">
        <v>102</v>
      </c>
      <c r="G7282" s="49" t="str">
        <f t="shared" si="1"/>
        <v>01300</v>
      </c>
      <c r="H7282" s="49" t="str">
        <f t="shared" si="2"/>
        <v>01338</v>
      </c>
    </row>
    <row r="7283">
      <c r="A7283" s="48" t="s">
        <v>2332</v>
      </c>
      <c r="B7283" s="38">
        <v>81140.0</v>
      </c>
      <c r="C7283" s="38" t="s">
        <v>10805</v>
      </c>
      <c r="D7283" s="38" t="str">
        <f>IFERROR(__xludf.DUMMYFUNCTION("REGEXREPLACE(C7283,""-\d+(.*)|--\d+(.*)"","""")"),"LAVAUR")</f>
        <v>LAVAUR</v>
      </c>
      <c r="E7283" s="38" t="s">
        <v>231</v>
      </c>
      <c r="F7283" s="38" t="s">
        <v>94</v>
      </c>
      <c r="G7283" s="49" t="str">
        <f t="shared" si="1"/>
        <v>81500</v>
      </c>
      <c r="H7283" s="49">
        <f t="shared" si="2"/>
        <v>81140</v>
      </c>
    </row>
    <row r="7284">
      <c r="A7284" s="48" t="s">
        <v>9376</v>
      </c>
      <c r="B7284" s="38">
        <v>14292.0</v>
      </c>
      <c r="C7284" s="38" t="s">
        <v>10806</v>
      </c>
      <c r="D7284" s="38" t="str">
        <f>IFERROR(__xludf.DUMMYFUNCTION("REGEXREPLACE(C7284,""-\d+(.*)|--\d+(.*)"","""")"),"FRIARDEL")</f>
        <v>FRIARDEL</v>
      </c>
      <c r="E7284" s="38" t="s">
        <v>137</v>
      </c>
      <c r="F7284" s="38" t="s">
        <v>138</v>
      </c>
      <c r="G7284" s="49" t="str">
        <f t="shared" si="1"/>
        <v>14290</v>
      </c>
      <c r="H7284" s="49">
        <f t="shared" si="2"/>
        <v>14292</v>
      </c>
    </row>
    <row r="7285">
      <c r="A7285" s="48" t="s">
        <v>622</v>
      </c>
      <c r="B7285" s="38">
        <v>14289.0</v>
      </c>
      <c r="C7285" s="38" t="s">
        <v>10807</v>
      </c>
      <c r="D7285" s="38" t="str">
        <f>IFERROR(__xludf.DUMMYFUNCTION("REGEXREPLACE(C7285,""-\d+(.*)|--\d+(.*)"","""")"),"FRESNE-LA-MERE")</f>
        <v>FRESNE-LA-MERE</v>
      </c>
      <c r="E7285" s="38" t="s">
        <v>137</v>
      </c>
      <c r="F7285" s="38" t="s">
        <v>138</v>
      </c>
      <c r="G7285" s="49" t="str">
        <f t="shared" si="1"/>
        <v>14700</v>
      </c>
      <c r="H7285" s="49">
        <f t="shared" si="2"/>
        <v>14289</v>
      </c>
    </row>
    <row r="7286">
      <c r="A7286" s="48" t="s">
        <v>445</v>
      </c>
      <c r="B7286" s="38">
        <v>76151.0</v>
      </c>
      <c r="C7286" s="38" t="s">
        <v>10808</v>
      </c>
      <c r="D7286" s="38" t="str">
        <f>IFERROR(__xludf.DUMMYFUNCTION("REGEXREPLACE(C7286,""-\d+(.*)|--\d+(.*)"","""")"),"CAILLEVILLE")</f>
        <v>CAILLEVILLE</v>
      </c>
      <c r="E7286" s="38" t="s">
        <v>133</v>
      </c>
      <c r="F7286" s="38" t="s">
        <v>134</v>
      </c>
      <c r="G7286" s="49" t="str">
        <f t="shared" si="1"/>
        <v>76460</v>
      </c>
      <c r="H7286" s="49">
        <f t="shared" si="2"/>
        <v>76151</v>
      </c>
    </row>
    <row r="7287">
      <c r="A7287" s="48" t="s">
        <v>805</v>
      </c>
      <c r="B7287" s="38">
        <v>62224.0</v>
      </c>
      <c r="C7287" s="38" t="s">
        <v>10809</v>
      </c>
      <c r="D7287" s="38" t="str">
        <f>IFERROR(__xludf.DUMMYFUNCTION("REGEXREPLACE(C7287,""-\d+(.*)|--\d+(.*)"","""")"),"CHOCQUES")</f>
        <v>CHOCQUES</v>
      </c>
      <c r="E7287" s="38" t="s">
        <v>109</v>
      </c>
      <c r="F7287" s="38" t="s">
        <v>86</v>
      </c>
      <c r="G7287" s="49" t="str">
        <f t="shared" si="1"/>
        <v>62920</v>
      </c>
      <c r="H7287" s="49">
        <f t="shared" si="2"/>
        <v>62224</v>
      </c>
    </row>
    <row r="7288">
      <c r="A7288" s="48" t="s">
        <v>5405</v>
      </c>
      <c r="B7288" s="38">
        <v>85087.0</v>
      </c>
      <c r="C7288" s="38" t="s">
        <v>10810</v>
      </c>
      <c r="D7288" s="38" t="str">
        <f>IFERROR(__xludf.DUMMYFUNCTION("REGEXREPLACE(C7288,""-\d+(.*)|--\d+(.*)"","""")"),"FAYMOREAU")</f>
        <v>FAYMOREAU</v>
      </c>
      <c r="E7288" s="38" t="s">
        <v>179</v>
      </c>
      <c r="F7288" s="38" t="s">
        <v>180</v>
      </c>
      <c r="G7288" s="49" t="str">
        <f t="shared" si="1"/>
        <v>85240</v>
      </c>
      <c r="H7288" s="49">
        <f t="shared" si="2"/>
        <v>85087</v>
      </c>
    </row>
    <row r="7289">
      <c r="A7289" s="48" t="s">
        <v>10451</v>
      </c>
      <c r="B7289" s="38">
        <v>76572.0</v>
      </c>
      <c r="C7289" s="38" t="s">
        <v>10811</v>
      </c>
      <c r="D7289" s="38" t="str">
        <f>IFERROR(__xludf.DUMMYFUNCTION("REGEXREPLACE(C7289,""-\d+(.*)|--\d+(.*)"","""")"),"SAINT-DENIS-D'ACLON")</f>
        <v>SAINT-DENIS-D'ACLON</v>
      </c>
      <c r="E7289" s="38" t="s">
        <v>133</v>
      </c>
      <c r="F7289" s="38" t="s">
        <v>134</v>
      </c>
      <c r="G7289" s="49" t="str">
        <f t="shared" si="1"/>
        <v>76860</v>
      </c>
      <c r="H7289" s="49">
        <f t="shared" si="2"/>
        <v>76572</v>
      </c>
    </row>
    <row r="7290">
      <c r="A7290" s="48" t="s">
        <v>2029</v>
      </c>
      <c r="B7290" s="38">
        <v>50070.0</v>
      </c>
      <c r="C7290" s="38" t="s">
        <v>10812</v>
      </c>
      <c r="D7290" s="38" t="str">
        <f>IFERROR(__xludf.DUMMYFUNCTION("REGEXREPLACE(C7290,""-\d+(.*)|--\d+(.*)"","""")"),"BOUTTEVILLE")</f>
        <v>BOUTTEVILLE</v>
      </c>
      <c r="E7290" s="38" t="s">
        <v>157</v>
      </c>
      <c r="F7290" s="38" t="s">
        <v>138</v>
      </c>
      <c r="G7290" s="49" t="str">
        <f t="shared" si="1"/>
        <v>50480</v>
      </c>
      <c r="H7290" s="49">
        <f t="shared" si="2"/>
        <v>50070</v>
      </c>
    </row>
    <row r="7291">
      <c r="A7291" s="48" t="s">
        <v>2710</v>
      </c>
      <c r="B7291" s="38">
        <v>68074.0</v>
      </c>
      <c r="C7291" s="38" t="s">
        <v>10813</v>
      </c>
      <c r="D7291" s="38" t="str">
        <f>IFERROR(__xludf.DUMMYFUNCTION("REGEXREPLACE(C7291,""-\d+(.*)|--\d+(.*)"","""")"),"DURLINSDORF")</f>
        <v>DURLINSDORF</v>
      </c>
      <c r="E7291" s="38" t="s">
        <v>150</v>
      </c>
      <c r="F7291" s="38" t="s">
        <v>151</v>
      </c>
      <c r="G7291" s="49" t="str">
        <f t="shared" si="1"/>
        <v>68480</v>
      </c>
      <c r="H7291" s="49">
        <f t="shared" si="2"/>
        <v>68074</v>
      </c>
    </row>
    <row r="7292">
      <c r="A7292" s="48" t="s">
        <v>3244</v>
      </c>
      <c r="B7292" s="38">
        <v>27282.0</v>
      </c>
      <c r="C7292" s="38" t="s">
        <v>10814</v>
      </c>
      <c r="D7292" s="38" t="str">
        <f>IFERROR(__xludf.DUMMYFUNCTION("REGEXREPLACE(C7292,""-\d+(.*)|--\d+(.*)"","""")"),"GAUVILLE-LA-CAMPAGNE")</f>
        <v>GAUVILLE-LA-CAMPAGNE</v>
      </c>
      <c r="E7292" s="38" t="s">
        <v>241</v>
      </c>
      <c r="F7292" s="38" t="s">
        <v>134</v>
      </c>
      <c r="G7292" s="49" t="str">
        <f t="shared" si="1"/>
        <v>27930</v>
      </c>
      <c r="H7292" s="49">
        <f t="shared" si="2"/>
        <v>27282</v>
      </c>
    </row>
    <row r="7293">
      <c r="A7293" s="48" t="s">
        <v>1903</v>
      </c>
      <c r="B7293" s="38">
        <v>10047.0</v>
      </c>
      <c r="C7293" s="38" t="s">
        <v>10815</v>
      </c>
      <c r="D7293" s="38" t="str">
        <f>IFERROR(__xludf.DUMMYFUNCTION("REGEXREPLACE(C7293,""-\d+(.*)|--\d+(.*)"","""")"),"BLIGNICOURT")</f>
        <v>BLIGNICOURT</v>
      </c>
      <c r="E7293" s="38" t="s">
        <v>147</v>
      </c>
      <c r="F7293" s="38" t="s">
        <v>130</v>
      </c>
      <c r="G7293" s="49" t="str">
        <f t="shared" si="1"/>
        <v>10500</v>
      </c>
      <c r="H7293" s="49">
        <f t="shared" si="2"/>
        <v>10047</v>
      </c>
    </row>
    <row r="7294">
      <c r="A7294" s="48" t="s">
        <v>8515</v>
      </c>
      <c r="B7294" s="38">
        <v>8449.0</v>
      </c>
      <c r="C7294" s="38" t="s">
        <v>10816</v>
      </c>
      <c r="D7294" s="38" t="str">
        <f>IFERROR(__xludf.DUMMYFUNCTION("REGEXREPLACE(C7294,""-\d+(.*)|--\d+(.*)"","""")"),"THIN-LE-MOUTIER")</f>
        <v>THIN-LE-MOUTIER</v>
      </c>
      <c r="E7294" s="38" t="s">
        <v>327</v>
      </c>
      <c r="F7294" s="38" t="s">
        <v>130</v>
      </c>
      <c r="G7294" s="49" t="str">
        <f t="shared" si="1"/>
        <v>08460</v>
      </c>
      <c r="H7294" s="49" t="str">
        <f t="shared" si="2"/>
        <v>08449</v>
      </c>
    </row>
    <row r="7295">
      <c r="A7295" s="48" t="s">
        <v>10817</v>
      </c>
      <c r="B7295" s="38">
        <v>59553.0</v>
      </c>
      <c r="C7295" s="38" t="s">
        <v>10818</v>
      </c>
      <c r="D7295" s="38" t="str">
        <f>IFERROR(__xludf.DUMMYFUNCTION("REGEXREPLACE(C7295,""-\d+(.*)|--\d+(.*)"","""")"),"SANTES")</f>
        <v>SANTES</v>
      </c>
      <c r="E7295" s="38" t="s">
        <v>85</v>
      </c>
      <c r="F7295" s="38" t="s">
        <v>86</v>
      </c>
      <c r="G7295" s="49" t="str">
        <f t="shared" si="1"/>
        <v>59211</v>
      </c>
      <c r="H7295" s="49">
        <f t="shared" si="2"/>
        <v>59553</v>
      </c>
    </row>
    <row r="7296">
      <c r="A7296" s="48" t="s">
        <v>10819</v>
      </c>
      <c r="B7296" s="38">
        <v>65223.0</v>
      </c>
      <c r="C7296" s="38" t="s">
        <v>10820</v>
      </c>
      <c r="D7296" s="38" t="str">
        <f>IFERROR(__xludf.DUMMYFUNCTION("REGEXREPLACE(C7296,""-\d+(.*)|--\d+(.*)"","""")"),"HORGUES")</f>
        <v>HORGUES</v>
      </c>
      <c r="E7296" s="38" t="s">
        <v>200</v>
      </c>
      <c r="F7296" s="38" t="s">
        <v>94</v>
      </c>
      <c r="G7296" s="49" t="str">
        <f t="shared" si="1"/>
        <v>65310</v>
      </c>
      <c r="H7296" s="49">
        <f t="shared" si="2"/>
        <v>65223</v>
      </c>
    </row>
    <row r="7297">
      <c r="A7297" s="48" t="s">
        <v>10821</v>
      </c>
      <c r="B7297" s="38">
        <v>29165.0</v>
      </c>
      <c r="C7297" s="38" t="s">
        <v>10822</v>
      </c>
      <c r="D7297" s="38" t="str">
        <f>IFERROR(__xludf.DUMMYFUNCTION("REGEXREPLACE(C7297,""-\d+(.*)|--\d+(.*)"","""")"),"PLOBANNALEC-LESCONIL")</f>
        <v>PLOBANNALEC-LESCONIL</v>
      </c>
      <c r="E7297" s="38" t="s">
        <v>176</v>
      </c>
      <c r="F7297" s="38" t="s">
        <v>90</v>
      </c>
      <c r="G7297" s="49" t="str">
        <f t="shared" si="1"/>
        <v>29740</v>
      </c>
      <c r="H7297" s="49">
        <f t="shared" si="2"/>
        <v>29165</v>
      </c>
    </row>
    <row r="7298">
      <c r="A7298" s="48" t="s">
        <v>1072</v>
      </c>
      <c r="B7298" s="38">
        <v>86231.0</v>
      </c>
      <c r="C7298" s="38" t="s">
        <v>10823</v>
      </c>
      <c r="D7298" s="38" t="str">
        <f>IFERROR(__xludf.DUMMYFUNCTION("REGEXREPLACE(C7298,""-\d+(.*)|--\d+(.*)"","""")"),"SAINT-MACOUX")</f>
        <v>SAINT-MACOUX</v>
      </c>
      <c r="E7298" s="38" t="s">
        <v>529</v>
      </c>
      <c r="F7298" s="38" t="s">
        <v>338</v>
      </c>
      <c r="G7298" s="49" t="str">
        <f t="shared" si="1"/>
        <v>86400</v>
      </c>
      <c r="H7298" s="49">
        <f t="shared" si="2"/>
        <v>86231</v>
      </c>
    </row>
    <row r="7299">
      <c r="A7299" s="48" t="s">
        <v>10824</v>
      </c>
      <c r="B7299" s="38">
        <v>13041.0</v>
      </c>
      <c r="C7299" s="38" t="s">
        <v>10825</v>
      </c>
      <c r="D7299" s="38" t="str">
        <f>IFERROR(__xludf.DUMMYFUNCTION("REGEXREPLACE(C7299,""-\d+(.*)|--\d+(.*)"","""")"),"GARDANNE")</f>
        <v>GARDANNE</v>
      </c>
      <c r="E7299" s="38" t="s">
        <v>980</v>
      </c>
      <c r="F7299" s="38" t="s">
        <v>228</v>
      </c>
      <c r="G7299" s="49" t="str">
        <f t="shared" si="1"/>
        <v>13120</v>
      </c>
      <c r="H7299" s="49">
        <f t="shared" si="2"/>
        <v>13041</v>
      </c>
    </row>
    <row r="7300">
      <c r="A7300" s="48" t="s">
        <v>2886</v>
      </c>
      <c r="B7300" s="38">
        <v>89391.0</v>
      </c>
      <c r="C7300" s="38" t="s">
        <v>10826</v>
      </c>
      <c r="D7300" s="38" t="str">
        <f>IFERROR(__xludf.DUMMYFUNCTION("REGEXREPLACE(C7300,""-\d+(.*)|--\d+(.*)"","""")"),"SERGINES")</f>
        <v>SERGINES</v>
      </c>
      <c r="E7300" s="38" t="s">
        <v>275</v>
      </c>
      <c r="F7300" s="38" t="s">
        <v>106</v>
      </c>
      <c r="G7300" s="49" t="str">
        <f t="shared" si="1"/>
        <v>89140</v>
      </c>
      <c r="H7300" s="49">
        <f t="shared" si="2"/>
        <v>89391</v>
      </c>
    </row>
    <row r="7301">
      <c r="A7301" s="48" t="s">
        <v>10827</v>
      </c>
      <c r="B7301" s="38">
        <v>27002.0</v>
      </c>
      <c r="C7301" s="38" t="s">
        <v>10828</v>
      </c>
      <c r="D7301" s="38" t="str">
        <f>IFERROR(__xludf.DUMMYFUNCTION("REGEXREPLACE(C7301,""-\d+(.*)|--\d+(.*)"","""")"),"ACON")</f>
        <v>ACON</v>
      </c>
      <c r="E7301" s="38" t="s">
        <v>241</v>
      </c>
      <c r="F7301" s="38" t="s">
        <v>134</v>
      </c>
      <c r="G7301" s="49" t="str">
        <f t="shared" si="1"/>
        <v>27570</v>
      </c>
      <c r="H7301" s="49">
        <f t="shared" si="2"/>
        <v>27002</v>
      </c>
    </row>
    <row r="7302">
      <c r="A7302" s="48" t="s">
        <v>3574</v>
      </c>
      <c r="B7302" s="38">
        <v>19288.0</v>
      </c>
      <c r="C7302" s="38" t="s">
        <v>10829</v>
      </c>
      <c r="D7302" s="38" t="str">
        <f>IFERROR(__xludf.DUMMYFUNCTION("REGEXREPLACE(C7302,""-\d+(.*)|--\d+(.*)"","""")"),"VOUTEZAC")</f>
        <v>VOUTEZAC</v>
      </c>
      <c r="E7302" s="38" t="s">
        <v>271</v>
      </c>
      <c r="F7302" s="38" t="s">
        <v>98</v>
      </c>
      <c r="G7302" s="49" t="str">
        <f t="shared" si="1"/>
        <v>19130</v>
      </c>
      <c r="H7302" s="49">
        <f t="shared" si="2"/>
        <v>19288</v>
      </c>
    </row>
    <row r="7303">
      <c r="A7303" s="48" t="s">
        <v>5417</v>
      </c>
      <c r="B7303" s="38">
        <v>24366.0</v>
      </c>
      <c r="C7303" s="38" t="s">
        <v>10830</v>
      </c>
      <c r="D7303" s="38" t="str">
        <f>IFERROR(__xludf.DUMMYFUNCTION("REGEXREPLACE(C7303,""-\d+(.*)|--\d+(.*)"","""")"),"SAINT-ANDRE-D'ALLAS")</f>
        <v>SAINT-ANDRE-D'ALLAS</v>
      </c>
      <c r="E7303" s="38" t="s">
        <v>261</v>
      </c>
      <c r="F7303" s="38" t="s">
        <v>252</v>
      </c>
      <c r="G7303" s="49" t="str">
        <f t="shared" si="1"/>
        <v>24200</v>
      </c>
      <c r="H7303" s="49">
        <f t="shared" si="2"/>
        <v>24366</v>
      </c>
    </row>
    <row r="7304">
      <c r="A7304" s="48" t="s">
        <v>5487</v>
      </c>
      <c r="B7304" s="38">
        <v>27112.0</v>
      </c>
      <c r="C7304" s="38" t="s">
        <v>10831</v>
      </c>
      <c r="D7304" s="38" t="str">
        <f>IFERROR(__xludf.DUMMYFUNCTION("REGEXREPLACE(C7304,""-\d+(.*)|--\d+(.*)"","""")"),"BRETEUIL")</f>
        <v>BRETEUIL</v>
      </c>
      <c r="E7304" s="38" t="s">
        <v>241</v>
      </c>
      <c r="F7304" s="38" t="s">
        <v>134</v>
      </c>
      <c r="G7304" s="49" t="str">
        <f t="shared" si="1"/>
        <v>27160</v>
      </c>
      <c r="H7304" s="49">
        <f t="shared" si="2"/>
        <v>27112</v>
      </c>
    </row>
    <row r="7305">
      <c r="A7305" s="48" t="s">
        <v>10832</v>
      </c>
      <c r="B7305" s="38">
        <v>91648.0</v>
      </c>
      <c r="C7305" s="38" t="s">
        <v>10833</v>
      </c>
      <c r="D7305" s="38" t="str">
        <f>IFERROR(__xludf.DUMMYFUNCTION("REGEXREPLACE(C7305,""-\d+(.*)|--\d+(.*)"","""")"),"VERT-LE-GRAND")</f>
        <v>VERT-LE-GRAND</v>
      </c>
      <c r="E7305" s="38" t="s">
        <v>756</v>
      </c>
      <c r="F7305" s="38" t="s">
        <v>245</v>
      </c>
      <c r="G7305" s="49" t="str">
        <f t="shared" si="1"/>
        <v>91810</v>
      </c>
      <c r="H7305" s="49">
        <f t="shared" si="2"/>
        <v>91648</v>
      </c>
    </row>
    <row r="7306">
      <c r="A7306" s="48" t="s">
        <v>3967</v>
      </c>
      <c r="B7306" s="38">
        <v>50242.0</v>
      </c>
      <c r="C7306" s="38" t="s">
        <v>5486</v>
      </c>
      <c r="D7306" s="38" t="str">
        <f>IFERROR(__xludf.DUMMYFUNCTION("REGEXREPLACE(C7306,""-\d+(.*)|--\d+(.*)"","""")"),"HERQUEVILLE")</f>
        <v>HERQUEVILLE</v>
      </c>
      <c r="E7306" s="38" t="s">
        <v>157</v>
      </c>
      <c r="F7306" s="38" t="s">
        <v>138</v>
      </c>
      <c r="G7306" s="49" t="str">
        <f t="shared" si="1"/>
        <v>50440</v>
      </c>
      <c r="H7306" s="49">
        <f t="shared" si="2"/>
        <v>50242</v>
      </c>
    </row>
    <row r="7307">
      <c r="A7307" s="48" t="s">
        <v>3747</v>
      </c>
      <c r="B7307" s="38">
        <v>52195.0</v>
      </c>
      <c r="C7307" s="38" t="s">
        <v>10834</v>
      </c>
      <c r="D7307" s="38" t="str">
        <f>IFERROR(__xludf.DUMMYFUNCTION("REGEXREPLACE(C7307,""-\d+(.*)|--\d+(.*)"","""")"),"FARINCOURT")</f>
        <v>FARINCOURT</v>
      </c>
      <c r="E7307" s="38" t="s">
        <v>234</v>
      </c>
      <c r="F7307" s="38" t="s">
        <v>130</v>
      </c>
      <c r="G7307" s="49" t="str">
        <f t="shared" si="1"/>
        <v>52500</v>
      </c>
      <c r="H7307" s="49">
        <f t="shared" si="2"/>
        <v>52195</v>
      </c>
    </row>
    <row r="7308">
      <c r="A7308" s="48" t="s">
        <v>1354</v>
      </c>
      <c r="B7308" s="38">
        <v>28325.0</v>
      </c>
      <c r="C7308" s="38" t="s">
        <v>10835</v>
      </c>
      <c r="D7308" s="38" t="str">
        <f>IFERROR(__xludf.DUMMYFUNCTION("REGEXREPLACE(C7308,""-\d+(.*)|--\d+(.*)"","""")"),"SAINT-AUBIN-DES-BOIS")</f>
        <v>SAINT-AUBIN-DES-BOIS</v>
      </c>
      <c r="E7308" s="38" t="s">
        <v>300</v>
      </c>
      <c r="F7308" s="38" t="s">
        <v>123</v>
      </c>
      <c r="G7308" s="49" t="str">
        <f t="shared" si="1"/>
        <v>28300</v>
      </c>
      <c r="H7308" s="49">
        <f t="shared" si="2"/>
        <v>28325</v>
      </c>
    </row>
    <row r="7309">
      <c r="A7309" s="48" t="s">
        <v>3564</v>
      </c>
      <c r="B7309" s="38">
        <v>83031.0</v>
      </c>
      <c r="C7309" s="38" t="s">
        <v>10836</v>
      </c>
      <c r="D7309" s="38" t="str">
        <f>IFERROR(__xludf.DUMMYFUNCTION("REGEXREPLACE(C7309,""-\d+(.*)|--\d+(.*)"","""")"),"LE CANNET-DES-MAURES")</f>
        <v>LE CANNET-DES-MAURES</v>
      </c>
      <c r="E7309" s="38" t="s">
        <v>813</v>
      </c>
      <c r="F7309" s="38" t="s">
        <v>228</v>
      </c>
      <c r="G7309" s="49" t="str">
        <f t="shared" si="1"/>
        <v>83340</v>
      </c>
      <c r="H7309" s="49">
        <f t="shared" si="2"/>
        <v>83031</v>
      </c>
    </row>
    <row r="7310">
      <c r="A7310" s="48" t="s">
        <v>5423</v>
      </c>
      <c r="B7310" s="38">
        <v>31463.0</v>
      </c>
      <c r="C7310" s="38" t="s">
        <v>10837</v>
      </c>
      <c r="D7310" s="38" t="str">
        <f>IFERROR(__xludf.DUMMYFUNCTION("REGEXREPLACE(C7310,""-\d+(.*)|--\d+(.*)"","""")"),"ROUMENS")</f>
        <v>ROUMENS</v>
      </c>
      <c r="E7310" s="38" t="s">
        <v>93</v>
      </c>
      <c r="F7310" s="38" t="s">
        <v>94</v>
      </c>
      <c r="G7310" s="49" t="str">
        <f t="shared" si="1"/>
        <v>31540</v>
      </c>
      <c r="H7310" s="49">
        <f t="shared" si="2"/>
        <v>31463</v>
      </c>
    </row>
    <row r="7311">
      <c r="A7311" s="48" t="s">
        <v>6189</v>
      </c>
      <c r="B7311" s="38">
        <v>32367.0</v>
      </c>
      <c r="C7311" s="38" t="s">
        <v>10838</v>
      </c>
      <c r="D7311" s="38" t="str">
        <f>IFERROR(__xludf.DUMMYFUNCTION("REGEXREPLACE(C7311,""-\d+(.*)|--\d+(.*)"","""")"),"SAINT-CHRISTAUD")</f>
        <v>SAINT-CHRISTAUD</v>
      </c>
      <c r="E7311" s="38" t="s">
        <v>440</v>
      </c>
      <c r="F7311" s="38" t="s">
        <v>94</v>
      </c>
      <c r="G7311" s="49" t="str">
        <f t="shared" si="1"/>
        <v>32320</v>
      </c>
      <c r="H7311" s="49">
        <f t="shared" si="2"/>
        <v>32367</v>
      </c>
    </row>
    <row r="7312">
      <c r="A7312" s="48" t="s">
        <v>7496</v>
      </c>
      <c r="B7312" s="38">
        <v>62369.0</v>
      </c>
      <c r="C7312" s="38" t="s">
        <v>10839</v>
      </c>
      <c r="D7312" s="38" t="str">
        <f>IFERROR(__xludf.DUMMYFUNCTION("REGEXREPLACE(C7312,""-\d+(.*)|--\d+(.*)"","""")"),"GAVRELLE")</f>
        <v>GAVRELLE</v>
      </c>
      <c r="E7312" s="38" t="s">
        <v>109</v>
      </c>
      <c r="F7312" s="38" t="s">
        <v>86</v>
      </c>
      <c r="G7312" s="49" t="str">
        <f t="shared" si="1"/>
        <v>62580</v>
      </c>
      <c r="H7312" s="49">
        <f t="shared" si="2"/>
        <v>62369</v>
      </c>
    </row>
    <row r="7313">
      <c r="A7313" s="48" t="s">
        <v>1256</v>
      </c>
      <c r="B7313" s="38">
        <v>87109.0</v>
      </c>
      <c r="C7313" s="38" t="s">
        <v>10840</v>
      </c>
      <c r="D7313" s="38" t="str">
        <f>IFERROR(__xludf.DUMMYFUNCTION("REGEXREPLACE(C7313,""-\d+(.*)|--\d+(.*)"","""")"),"ORADOUR-SAINT-GENEST")</f>
        <v>ORADOUR-SAINT-GENEST</v>
      </c>
      <c r="E7313" s="38" t="s">
        <v>897</v>
      </c>
      <c r="F7313" s="38" t="s">
        <v>98</v>
      </c>
      <c r="G7313" s="49" t="str">
        <f t="shared" si="1"/>
        <v>87210</v>
      </c>
      <c r="H7313" s="49">
        <f t="shared" si="2"/>
        <v>87109</v>
      </c>
    </row>
    <row r="7314">
      <c r="A7314" s="48" t="s">
        <v>417</v>
      </c>
      <c r="B7314" s="38">
        <v>1032.0</v>
      </c>
      <c r="C7314" s="38" t="s">
        <v>10841</v>
      </c>
      <c r="D7314" s="38" t="str">
        <f>IFERROR(__xludf.DUMMYFUNCTION("REGEXREPLACE(C7314,""-\d+(.*)|--\d+(.*)"","""")"),"BELIGNEUX")</f>
        <v>BELIGNEUX</v>
      </c>
      <c r="E7314" s="38" t="s">
        <v>255</v>
      </c>
      <c r="F7314" s="38" t="s">
        <v>102</v>
      </c>
      <c r="G7314" s="49" t="str">
        <f t="shared" si="1"/>
        <v>01360</v>
      </c>
      <c r="H7314" s="49" t="str">
        <f t="shared" si="2"/>
        <v>01032</v>
      </c>
    </row>
    <row r="7315">
      <c r="A7315" s="48" t="s">
        <v>4659</v>
      </c>
      <c r="B7315" s="38">
        <v>32454.0</v>
      </c>
      <c r="C7315" s="38" t="s">
        <v>10842</v>
      </c>
      <c r="D7315" s="38" t="str">
        <f>IFERROR(__xludf.DUMMYFUNCTION("REGEXREPLACE(C7315,""-\d+(.*)|--\d+(.*)"","""")"),"TRAVERSERES")</f>
        <v>TRAVERSERES</v>
      </c>
      <c r="E7315" s="38" t="s">
        <v>440</v>
      </c>
      <c r="F7315" s="38" t="s">
        <v>94</v>
      </c>
      <c r="G7315" s="49" t="str">
        <f t="shared" si="1"/>
        <v>32450</v>
      </c>
      <c r="H7315" s="49">
        <f t="shared" si="2"/>
        <v>32454</v>
      </c>
    </row>
    <row r="7316">
      <c r="A7316" s="48" t="s">
        <v>2033</v>
      </c>
      <c r="B7316" s="38">
        <v>18269.0</v>
      </c>
      <c r="C7316" s="38" t="s">
        <v>10843</v>
      </c>
      <c r="D7316" s="38" t="str">
        <f>IFERROR(__xludf.DUMMYFUNCTION("REGEXREPLACE(C7316,""-\d+(.*)|--\d+(.*)"","""")"),"VAILLY-SUR-SAULDRE")</f>
        <v>VAILLY-SUR-SAULDRE</v>
      </c>
      <c r="E7316" s="38" t="s">
        <v>504</v>
      </c>
      <c r="F7316" s="38" t="s">
        <v>123</v>
      </c>
      <c r="G7316" s="49" t="str">
        <f t="shared" si="1"/>
        <v>18260</v>
      </c>
      <c r="H7316" s="49">
        <f t="shared" si="2"/>
        <v>18269</v>
      </c>
    </row>
    <row r="7317">
      <c r="A7317" s="48" t="s">
        <v>2770</v>
      </c>
      <c r="B7317" s="38">
        <v>25136.0</v>
      </c>
      <c r="C7317" s="38" t="s">
        <v>10844</v>
      </c>
      <c r="D7317" s="38" t="str">
        <f>IFERROR(__xludf.DUMMYFUNCTION("REGEXREPLACE(C7317,""-\d+(.*)|--\d+(.*)"","""")"),"CHAUCENNE")</f>
        <v>CHAUCENNE</v>
      </c>
      <c r="E7317" s="38" t="s">
        <v>213</v>
      </c>
      <c r="F7317" s="38" t="s">
        <v>214</v>
      </c>
      <c r="G7317" s="49" t="str">
        <f t="shared" si="1"/>
        <v>25170</v>
      </c>
      <c r="H7317" s="49">
        <f t="shared" si="2"/>
        <v>25136</v>
      </c>
    </row>
    <row r="7318">
      <c r="A7318" s="48" t="s">
        <v>3212</v>
      </c>
      <c r="B7318" s="38">
        <v>64217.0</v>
      </c>
      <c r="C7318" s="38" t="s">
        <v>10845</v>
      </c>
      <c r="D7318" s="38" t="str">
        <f>IFERROR(__xludf.DUMMYFUNCTION("REGEXREPLACE(C7318,""-\d+(.*)|--\d+(.*)"","""")"),"ESQUIULE")</f>
        <v>ESQUIULE</v>
      </c>
      <c r="E7318" s="38" t="s">
        <v>268</v>
      </c>
      <c r="F7318" s="38" t="s">
        <v>252</v>
      </c>
      <c r="G7318" s="49" t="str">
        <f t="shared" si="1"/>
        <v>64400</v>
      </c>
      <c r="H7318" s="49">
        <f t="shared" si="2"/>
        <v>64217</v>
      </c>
    </row>
    <row r="7319">
      <c r="A7319" s="48" t="s">
        <v>3441</v>
      </c>
      <c r="B7319" s="38">
        <v>7137.0</v>
      </c>
      <c r="C7319" s="38" t="s">
        <v>10846</v>
      </c>
      <c r="D7319" s="38" t="str">
        <f>IFERROR(__xludf.DUMMYFUNCTION("REGEXREPLACE(C7319,""-\d+(.*)|--\d+(.*)"","""")"),"LAVILLATTE")</f>
        <v>LAVILLATTE</v>
      </c>
      <c r="E7319" s="38" t="s">
        <v>144</v>
      </c>
      <c r="F7319" s="38" t="s">
        <v>102</v>
      </c>
      <c r="G7319" s="49" t="str">
        <f t="shared" si="1"/>
        <v>07660</v>
      </c>
      <c r="H7319" s="49" t="str">
        <f t="shared" si="2"/>
        <v>07137</v>
      </c>
    </row>
    <row r="7320">
      <c r="A7320" s="48" t="s">
        <v>10847</v>
      </c>
      <c r="B7320" s="38">
        <v>77306.0</v>
      </c>
      <c r="C7320" s="38" t="s">
        <v>10848</v>
      </c>
      <c r="D7320" s="38" t="str">
        <f>IFERROR(__xludf.DUMMYFUNCTION("REGEXREPLACE(C7320,""-\d+(.*)|--\d+(.*)"","""")"),"MONTEREAU-SUR-LE-JARD")</f>
        <v>MONTEREAU-SUR-LE-JARD</v>
      </c>
      <c r="E7320" s="38" t="s">
        <v>244</v>
      </c>
      <c r="F7320" s="38" t="s">
        <v>245</v>
      </c>
      <c r="G7320" s="49" t="str">
        <f t="shared" si="1"/>
        <v>77950</v>
      </c>
      <c r="H7320" s="49">
        <f t="shared" si="2"/>
        <v>77306</v>
      </c>
    </row>
    <row r="7321">
      <c r="A7321" s="48" t="s">
        <v>3214</v>
      </c>
      <c r="B7321" s="38">
        <v>36065.0</v>
      </c>
      <c r="C7321" s="38" t="s">
        <v>2315</v>
      </c>
      <c r="D7321" s="38" t="str">
        <f>IFERROR(__xludf.DUMMYFUNCTION("REGEXREPLACE(C7321,""-\d+(.*)|--\d+(.*)"","""")"),"DIOU")</f>
        <v>DIOU</v>
      </c>
      <c r="E7321" s="38" t="s">
        <v>258</v>
      </c>
      <c r="F7321" s="38" t="s">
        <v>123</v>
      </c>
      <c r="G7321" s="49" t="str">
        <f t="shared" si="1"/>
        <v>36260</v>
      </c>
      <c r="H7321" s="49">
        <f t="shared" si="2"/>
        <v>36065</v>
      </c>
    </row>
    <row r="7322">
      <c r="A7322" s="48" t="s">
        <v>10849</v>
      </c>
      <c r="B7322" s="38">
        <v>64329.0</v>
      </c>
      <c r="C7322" s="38" t="s">
        <v>10850</v>
      </c>
      <c r="D7322" s="38" t="str">
        <f>IFERROR(__xludf.DUMMYFUNCTION("REGEXREPLACE(C7322,""-\d+(.*)|--\d+(.*)"","""")"),"LEE")</f>
        <v>LEE</v>
      </c>
      <c r="E7322" s="38" t="s">
        <v>268</v>
      </c>
      <c r="F7322" s="38" t="s">
        <v>252</v>
      </c>
      <c r="G7322" s="49" t="str">
        <f t="shared" si="1"/>
        <v>64320</v>
      </c>
      <c r="H7322" s="49">
        <f t="shared" si="2"/>
        <v>64329</v>
      </c>
    </row>
    <row r="7323">
      <c r="A7323" s="48" t="s">
        <v>4617</v>
      </c>
      <c r="B7323" s="38">
        <v>15052.0</v>
      </c>
      <c r="C7323" s="38" t="s">
        <v>10851</v>
      </c>
      <c r="D7323" s="38" t="str">
        <f>IFERROR(__xludf.DUMMYFUNCTION("REGEXREPLACE(C7323,""-\d+(.*)|--\d+(.*)"","""")"),"COLLANDRES")</f>
        <v>COLLANDRES</v>
      </c>
      <c r="E7323" s="38" t="s">
        <v>632</v>
      </c>
      <c r="F7323" s="38" t="s">
        <v>161</v>
      </c>
      <c r="G7323" s="49" t="str">
        <f t="shared" si="1"/>
        <v>15400</v>
      </c>
      <c r="H7323" s="49">
        <f t="shared" si="2"/>
        <v>15052</v>
      </c>
    </row>
    <row r="7324">
      <c r="A7324" s="48" t="s">
        <v>2261</v>
      </c>
      <c r="B7324" s="38">
        <v>9006.0</v>
      </c>
      <c r="C7324" s="38" t="s">
        <v>10852</v>
      </c>
      <c r="D7324" s="38" t="str">
        <f>IFERROR(__xludf.DUMMYFUNCTION("REGEXREPLACE(C7324,""-\d+(.*)|--\d+(.*)"","""")"),"ALLIAT")</f>
        <v>ALLIAT</v>
      </c>
      <c r="E7324" s="38" t="s">
        <v>238</v>
      </c>
      <c r="F7324" s="38" t="s">
        <v>94</v>
      </c>
      <c r="G7324" s="49" t="str">
        <f t="shared" si="1"/>
        <v>09400</v>
      </c>
      <c r="H7324" s="49" t="str">
        <f t="shared" si="2"/>
        <v>09006</v>
      </c>
    </row>
    <row r="7325">
      <c r="A7325" s="48" t="s">
        <v>2340</v>
      </c>
      <c r="B7325" s="38">
        <v>21439.0</v>
      </c>
      <c r="C7325" s="38" t="s">
        <v>10853</v>
      </c>
      <c r="D7325" s="38" t="str">
        <f>IFERROR(__xludf.DUMMYFUNCTION("REGEXREPLACE(C7325,""-\d+(.*)|--\d+(.*)"","""")"),"MONTOILLOT")</f>
        <v>MONTOILLOT</v>
      </c>
      <c r="E7325" s="38" t="s">
        <v>105</v>
      </c>
      <c r="F7325" s="38" t="s">
        <v>106</v>
      </c>
      <c r="G7325" s="49" t="str">
        <f t="shared" si="1"/>
        <v>21540</v>
      </c>
      <c r="H7325" s="49">
        <f t="shared" si="2"/>
        <v>21439</v>
      </c>
    </row>
    <row r="7326">
      <c r="A7326" s="48" t="s">
        <v>10854</v>
      </c>
      <c r="B7326" s="38">
        <v>42331.0</v>
      </c>
      <c r="C7326" s="38" t="s">
        <v>10855</v>
      </c>
      <c r="D7326" s="38" t="str">
        <f>IFERROR(__xludf.DUMMYFUNCTION("REGEXREPLACE(C7326,""-\d+(.*)|--\d+(.*)"","""")"),"VILLEMONTAIS")</f>
        <v>VILLEMONTAIS</v>
      </c>
      <c r="E7326" s="38" t="s">
        <v>166</v>
      </c>
      <c r="F7326" s="38" t="s">
        <v>102</v>
      </c>
      <c r="G7326" s="49" t="str">
        <f t="shared" si="1"/>
        <v>42155</v>
      </c>
      <c r="H7326" s="49">
        <f t="shared" si="2"/>
        <v>42331</v>
      </c>
    </row>
    <row r="7327">
      <c r="A7327" s="48" t="s">
        <v>4002</v>
      </c>
      <c r="B7327" s="38">
        <v>51101.0</v>
      </c>
      <c r="C7327" s="38" t="s">
        <v>10856</v>
      </c>
      <c r="D7327" s="38" t="str">
        <f>IFERROR(__xludf.DUMMYFUNCTION("REGEXREPLACE(C7327,""-\d+(.*)|--\d+(.*)"","""")"),"CAUREL")</f>
        <v>CAUREL</v>
      </c>
      <c r="E7327" s="38" t="s">
        <v>129</v>
      </c>
      <c r="F7327" s="38" t="s">
        <v>130</v>
      </c>
      <c r="G7327" s="49" t="str">
        <f t="shared" si="1"/>
        <v>51110</v>
      </c>
      <c r="H7327" s="49">
        <f t="shared" si="2"/>
        <v>51101</v>
      </c>
    </row>
    <row r="7328">
      <c r="A7328" s="48" t="s">
        <v>10857</v>
      </c>
      <c r="B7328" s="38">
        <v>22387.0</v>
      </c>
      <c r="C7328" s="38" t="s">
        <v>10858</v>
      </c>
      <c r="D7328" s="38" t="str">
        <f>IFERROR(__xludf.DUMMYFUNCTION("REGEXREPLACE(C7328,""-\d+(.*)|--\d+(.*)"","""")"),"LE VIEUX-MARCHE")</f>
        <v>LE VIEUX-MARCHE</v>
      </c>
      <c r="E7328" s="38" t="s">
        <v>89</v>
      </c>
      <c r="F7328" s="38" t="s">
        <v>90</v>
      </c>
      <c r="G7328" s="49" t="str">
        <f t="shared" si="1"/>
        <v>22420</v>
      </c>
      <c r="H7328" s="49">
        <f t="shared" si="2"/>
        <v>22387</v>
      </c>
    </row>
    <row r="7329">
      <c r="A7329" s="48" t="s">
        <v>3458</v>
      </c>
      <c r="B7329" s="38">
        <v>52076.0</v>
      </c>
      <c r="C7329" s="38" t="s">
        <v>10859</v>
      </c>
      <c r="D7329" s="38" t="str">
        <f>IFERROR(__xludf.DUMMYFUNCTION("REGEXREPLACE(C7329,""-\d+(.*)|--\d+(.*)"","""")"),"BRICON")</f>
        <v>BRICON</v>
      </c>
      <c r="E7329" s="38" t="s">
        <v>234</v>
      </c>
      <c r="F7329" s="38" t="s">
        <v>130</v>
      </c>
      <c r="G7329" s="49" t="str">
        <f t="shared" si="1"/>
        <v>52120</v>
      </c>
      <c r="H7329" s="49">
        <f t="shared" si="2"/>
        <v>52076</v>
      </c>
    </row>
    <row r="7330">
      <c r="A7330" s="48" t="s">
        <v>702</v>
      </c>
      <c r="B7330" s="38">
        <v>31504.0</v>
      </c>
      <c r="C7330" s="38" t="s">
        <v>9699</v>
      </c>
      <c r="D7330" s="38" t="str">
        <f>IFERROR(__xludf.DUMMYFUNCTION("REGEXREPLACE(C7330,""-\d+(.*)|--\d+(.*)"","""")"),"SAINT-MEDARD")</f>
        <v>SAINT-MEDARD</v>
      </c>
      <c r="E7330" s="38" t="s">
        <v>93</v>
      </c>
      <c r="F7330" s="38" t="s">
        <v>94</v>
      </c>
      <c r="G7330" s="49" t="str">
        <f t="shared" si="1"/>
        <v>31360</v>
      </c>
      <c r="H7330" s="49">
        <f t="shared" si="2"/>
        <v>31504</v>
      </c>
    </row>
    <row r="7331">
      <c r="A7331" s="48" t="s">
        <v>4090</v>
      </c>
      <c r="B7331" s="38">
        <v>48194.0</v>
      </c>
      <c r="C7331" s="38" t="s">
        <v>10860</v>
      </c>
      <c r="D7331" s="38" t="str">
        <f>IFERROR(__xludf.DUMMYFUNCTION("REGEXREPLACE(C7331,""-\d+(.*)|--\d+(.*)"","""")"),"VIALAS")</f>
        <v>VIALAS</v>
      </c>
      <c r="E7331" s="38" t="s">
        <v>154</v>
      </c>
      <c r="F7331" s="38" t="s">
        <v>119</v>
      </c>
      <c r="G7331" s="49" t="str">
        <f t="shared" si="1"/>
        <v>48220</v>
      </c>
      <c r="H7331" s="49">
        <f t="shared" si="2"/>
        <v>48194</v>
      </c>
    </row>
    <row r="7332">
      <c r="A7332" s="48" t="s">
        <v>10861</v>
      </c>
      <c r="B7332" s="38">
        <v>35200.0</v>
      </c>
      <c r="C7332" s="38" t="s">
        <v>9528</v>
      </c>
      <c r="D7332" s="38" t="str">
        <f>IFERROR(__xludf.DUMMYFUNCTION("REGEXREPLACE(C7332,""-\d+(.*)|--\d+(.*)"","""")"),"MOUTIERS")</f>
        <v>MOUTIERS</v>
      </c>
      <c r="E7332" s="38" t="s">
        <v>347</v>
      </c>
      <c r="F7332" s="38" t="s">
        <v>90</v>
      </c>
      <c r="G7332" s="49" t="str">
        <f t="shared" si="1"/>
        <v>35130</v>
      </c>
      <c r="H7332" s="49">
        <f t="shared" si="2"/>
        <v>35200</v>
      </c>
    </row>
    <row r="7333">
      <c r="A7333" s="48" t="s">
        <v>966</v>
      </c>
      <c r="B7333" s="38">
        <v>70353.0</v>
      </c>
      <c r="C7333" s="38" t="s">
        <v>10862</v>
      </c>
      <c r="D7333" s="38" t="str">
        <f>IFERROR(__xludf.DUMMYFUNCTION("REGEXREPLACE(C7333,""-\d+(.*)|--\d+(.*)"","""")"),"MONTAGNEY")</f>
        <v>MONTAGNEY</v>
      </c>
      <c r="E7333" s="38" t="s">
        <v>956</v>
      </c>
      <c r="F7333" s="38" t="s">
        <v>214</v>
      </c>
      <c r="G7333" s="49" t="str">
        <f t="shared" si="1"/>
        <v>70140</v>
      </c>
      <c r="H7333" s="49">
        <f t="shared" si="2"/>
        <v>70353</v>
      </c>
    </row>
    <row r="7334">
      <c r="A7334" s="48" t="s">
        <v>948</v>
      </c>
      <c r="B7334" s="38">
        <v>68107.0</v>
      </c>
      <c r="C7334" s="38" t="s">
        <v>10863</v>
      </c>
      <c r="D7334" s="38" t="str">
        <f>IFERROR(__xludf.DUMMYFUNCTION("REGEXREPLACE(C7334,""-\d+(.*)|--\d+(.*)"","""")"),"GOMMERSDORF")</f>
        <v>GOMMERSDORF</v>
      </c>
      <c r="E7334" s="38" t="s">
        <v>150</v>
      </c>
      <c r="F7334" s="38" t="s">
        <v>151</v>
      </c>
      <c r="G7334" s="49" t="str">
        <f t="shared" si="1"/>
        <v>68210</v>
      </c>
      <c r="H7334" s="49">
        <f t="shared" si="2"/>
        <v>68107</v>
      </c>
    </row>
    <row r="7335">
      <c r="A7335" s="48" t="s">
        <v>734</v>
      </c>
      <c r="B7335" s="38">
        <v>54213.0</v>
      </c>
      <c r="C7335" s="38" t="s">
        <v>10864</v>
      </c>
      <c r="D7335" s="38" t="str">
        <f>IFERROR(__xludf.DUMMYFUNCTION("REGEXREPLACE(C7335,""-\d+(.*)|--\d+(.*)"","""")"),"FRIAUVILLE")</f>
        <v>FRIAUVILLE</v>
      </c>
      <c r="E7335" s="38" t="s">
        <v>548</v>
      </c>
      <c r="F7335" s="38" t="s">
        <v>195</v>
      </c>
      <c r="G7335" s="49" t="str">
        <f t="shared" si="1"/>
        <v>54800</v>
      </c>
      <c r="H7335" s="49">
        <f t="shared" si="2"/>
        <v>54213</v>
      </c>
    </row>
    <row r="7336">
      <c r="A7336" s="48" t="s">
        <v>1995</v>
      </c>
      <c r="B7336" s="38">
        <v>77087.0</v>
      </c>
      <c r="C7336" s="38" t="s">
        <v>10865</v>
      </c>
      <c r="D7336" s="38" t="str">
        <f>IFERROR(__xludf.DUMMYFUNCTION("REGEXREPLACE(C7336,""-\d+(.*)|--\d+(.*)"","""")"),"LA CHAPELLE-IGER")</f>
        <v>LA CHAPELLE-IGER</v>
      </c>
      <c r="E7336" s="38" t="s">
        <v>244</v>
      </c>
      <c r="F7336" s="38" t="s">
        <v>245</v>
      </c>
      <c r="G7336" s="49" t="str">
        <f t="shared" si="1"/>
        <v>77540</v>
      </c>
      <c r="H7336" s="49">
        <f t="shared" si="2"/>
        <v>77087</v>
      </c>
    </row>
    <row r="7337">
      <c r="A7337" s="48" t="s">
        <v>1066</v>
      </c>
      <c r="B7337" s="38">
        <v>49050.0</v>
      </c>
      <c r="C7337" s="38" t="s">
        <v>10866</v>
      </c>
      <c r="D7337" s="38" t="str">
        <f>IFERROR(__xludf.DUMMYFUNCTION("REGEXREPLACE(C7337,""-\d+(.*)|--\d+(.*)"","""")"),"BRISSAC-QUINCE")</f>
        <v>BRISSAC-QUINCE</v>
      </c>
      <c r="E7337" s="38" t="s">
        <v>653</v>
      </c>
      <c r="F7337" s="38" t="s">
        <v>180</v>
      </c>
      <c r="G7337" s="49" t="str">
        <f t="shared" si="1"/>
        <v>49320</v>
      </c>
      <c r="H7337" s="49">
        <f t="shared" si="2"/>
        <v>49050</v>
      </c>
    </row>
    <row r="7338">
      <c r="A7338" s="48" t="s">
        <v>2927</v>
      </c>
      <c r="B7338" s="38">
        <v>29256.0</v>
      </c>
      <c r="C7338" s="38" t="s">
        <v>10867</v>
      </c>
      <c r="D7338" s="38" t="str">
        <f>IFERROR(__xludf.DUMMYFUNCTION("REGEXREPLACE(C7338,""-\d+(.*)|--\d+(.*)"","""")"),"SAINT-NIC")</f>
        <v>SAINT-NIC</v>
      </c>
      <c r="E7338" s="38" t="s">
        <v>176</v>
      </c>
      <c r="F7338" s="38" t="s">
        <v>90</v>
      </c>
      <c r="G7338" s="49" t="str">
        <f t="shared" si="1"/>
        <v>29550</v>
      </c>
      <c r="H7338" s="49">
        <f t="shared" si="2"/>
        <v>29256</v>
      </c>
    </row>
    <row r="7339">
      <c r="A7339" s="48" t="s">
        <v>10868</v>
      </c>
      <c r="B7339" s="38">
        <v>84012.0</v>
      </c>
      <c r="C7339" s="38" t="s">
        <v>10869</v>
      </c>
      <c r="D7339" s="38" t="str">
        <f>IFERROR(__xludf.DUMMYFUNCTION("REGEXREPLACE(C7339,""-\d+(.*)|--\d+(.*)"","""")"),"BEAUMES-DE-VENISE")</f>
        <v>BEAUMES-DE-VENISE</v>
      </c>
      <c r="E7339" s="38" t="s">
        <v>1026</v>
      </c>
      <c r="F7339" s="38" t="s">
        <v>228</v>
      </c>
      <c r="G7339" s="49" t="str">
        <f t="shared" si="1"/>
        <v>84190</v>
      </c>
      <c r="H7339" s="49">
        <f t="shared" si="2"/>
        <v>84012</v>
      </c>
    </row>
    <row r="7340">
      <c r="A7340" s="48" t="s">
        <v>1300</v>
      </c>
      <c r="B7340" s="38">
        <v>60285.0</v>
      </c>
      <c r="C7340" s="38" t="s">
        <v>10870</v>
      </c>
      <c r="D7340" s="38" t="str">
        <f>IFERROR(__xludf.DUMMYFUNCTION("REGEXREPLACE(C7340,""-\d+(.*)|--\d+(.*)"","""")"),"GRANDVILLERS-AUX-BOIS")</f>
        <v>GRANDVILLERS-AUX-BOIS</v>
      </c>
      <c r="E7340" s="38" t="s">
        <v>112</v>
      </c>
      <c r="F7340" s="38" t="s">
        <v>113</v>
      </c>
      <c r="G7340" s="49" t="str">
        <f t="shared" si="1"/>
        <v>60190</v>
      </c>
      <c r="H7340" s="49">
        <f t="shared" si="2"/>
        <v>60285</v>
      </c>
    </row>
    <row r="7341">
      <c r="A7341" s="48" t="s">
        <v>1497</v>
      </c>
      <c r="B7341" s="38">
        <v>83023.0</v>
      </c>
      <c r="C7341" s="38" t="s">
        <v>10871</v>
      </c>
      <c r="D7341" s="38" t="str">
        <f>IFERROR(__xludf.DUMMYFUNCTION("REGEXREPLACE(C7341,""-\d+(.*)|--\d+(.*)"","""")"),"BRIGNOLES")</f>
        <v>BRIGNOLES</v>
      </c>
      <c r="E7341" s="38" t="s">
        <v>813</v>
      </c>
      <c r="F7341" s="38" t="s">
        <v>228</v>
      </c>
      <c r="G7341" s="49" t="str">
        <f t="shared" si="1"/>
        <v>83170</v>
      </c>
      <c r="H7341" s="49">
        <f t="shared" si="2"/>
        <v>83023</v>
      </c>
    </row>
    <row r="7342">
      <c r="A7342" s="48" t="s">
        <v>2059</v>
      </c>
      <c r="B7342" s="38">
        <v>37065.0</v>
      </c>
      <c r="C7342" s="38" t="s">
        <v>10872</v>
      </c>
      <c r="D7342" s="38" t="str">
        <f>IFERROR(__xludf.DUMMYFUNCTION("REGEXREPLACE(C7342,""-\d+(.*)|--\d+(.*)"","""")"),"CHAVEIGNES")</f>
        <v>CHAVEIGNES</v>
      </c>
      <c r="E7342" s="38" t="s">
        <v>205</v>
      </c>
      <c r="F7342" s="38" t="s">
        <v>123</v>
      </c>
      <c r="G7342" s="49" t="str">
        <f t="shared" si="1"/>
        <v>37120</v>
      </c>
      <c r="H7342" s="49">
        <f t="shared" si="2"/>
        <v>37065</v>
      </c>
    </row>
    <row r="7343">
      <c r="A7343" s="48" t="s">
        <v>3107</v>
      </c>
      <c r="B7343" s="38">
        <v>45083.0</v>
      </c>
      <c r="C7343" s="38" t="s">
        <v>10873</v>
      </c>
      <c r="D7343" s="38" t="str">
        <f>IFERROR(__xludf.DUMMYFUNCTION("REGEXREPLACE(C7343,""-\d+(.*)|--\d+(.*)"","""")"),"CHATEAU-RENARD")</f>
        <v>CHATEAU-RENARD</v>
      </c>
      <c r="E7343" s="38" t="s">
        <v>122</v>
      </c>
      <c r="F7343" s="38" t="s">
        <v>123</v>
      </c>
      <c r="G7343" s="49" t="str">
        <f t="shared" si="1"/>
        <v>45220</v>
      </c>
      <c r="H7343" s="49">
        <f t="shared" si="2"/>
        <v>45083</v>
      </c>
    </row>
    <row r="7344">
      <c r="A7344" s="48" t="s">
        <v>10874</v>
      </c>
      <c r="B7344" s="38">
        <v>38328.0</v>
      </c>
      <c r="C7344" s="38" t="s">
        <v>10875</v>
      </c>
      <c r="D7344" s="38" t="str">
        <f>IFERROR(__xludf.DUMMYFUNCTION("REGEXREPLACE(C7344,""-\d+(.*)|--\d+(.*)"","""")"),"QUAIX-EN-CHARTREUSE")</f>
        <v>QUAIX-EN-CHARTREUSE</v>
      </c>
      <c r="E7344" s="38" t="s">
        <v>101</v>
      </c>
      <c r="F7344" s="38" t="s">
        <v>102</v>
      </c>
      <c r="G7344" s="49" t="str">
        <f t="shared" si="1"/>
        <v>38950</v>
      </c>
      <c r="H7344" s="49">
        <f t="shared" si="2"/>
        <v>38328</v>
      </c>
    </row>
    <row r="7345">
      <c r="A7345" s="48" t="s">
        <v>4173</v>
      </c>
      <c r="B7345" s="38">
        <v>25297.0</v>
      </c>
      <c r="C7345" s="38" t="s">
        <v>10876</v>
      </c>
      <c r="D7345" s="38" t="str">
        <f>IFERROR(__xludf.DUMMYFUNCTION("REGEXREPLACE(C7345,""-\d+(.*)|--\d+(.*)"","""")"),"LE GRATTERIS")</f>
        <v>LE GRATTERIS</v>
      </c>
      <c r="E7345" s="38" t="s">
        <v>213</v>
      </c>
      <c r="F7345" s="38" t="s">
        <v>214</v>
      </c>
      <c r="G7345" s="49" t="str">
        <f t="shared" si="1"/>
        <v>25620</v>
      </c>
      <c r="H7345" s="49">
        <f t="shared" si="2"/>
        <v>25297</v>
      </c>
    </row>
    <row r="7346">
      <c r="A7346" s="48" t="s">
        <v>10877</v>
      </c>
      <c r="B7346" s="38" t="s">
        <v>10878</v>
      </c>
      <c r="C7346" s="38" t="s">
        <v>10879</v>
      </c>
      <c r="D7346" s="38" t="str">
        <f>IFERROR(__xludf.DUMMYFUNCTION("REGEXREPLACE(C7346,""-\d+(.*)|--\d+(.*)"","""")"),"LECCI")</f>
        <v>LECCI</v>
      </c>
      <c r="E7346" s="38" t="s">
        <v>606</v>
      </c>
      <c r="F7346" s="38" t="s">
        <v>607</v>
      </c>
      <c r="G7346" s="49" t="str">
        <f t="shared" si="1"/>
        <v>20137</v>
      </c>
      <c r="H7346" s="49" t="str">
        <f t="shared" si="2"/>
        <v>2A139</v>
      </c>
    </row>
    <row r="7347">
      <c r="A7347" s="48" t="s">
        <v>10880</v>
      </c>
      <c r="B7347" s="38">
        <v>72299.0</v>
      </c>
      <c r="C7347" s="38" t="s">
        <v>10881</v>
      </c>
      <c r="D7347" s="38" t="str">
        <f>IFERROR(__xludf.DUMMYFUNCTION("REGEXREPLACE(C7347,""-\d+(.*)|--\d+(.*)"","""")"),"SAINT-MARS-D'OUTILLE")</f>
        <v>SAINT-MARS-D'OUTILLE</v>
      </c>
      <c r="E7347" s="38" t="s">
        <v>521</v>
      </c>
      <c r="F7347" s="38" t="s">
        <v>180</v>
      </c>
      <c r="G7347" s="49" t="str">
        <f t="shared" si="1"/>
        <v>72220</v>
      </c>
      <c r="H7347" s="49">
        <f t="shared" si="2"/>
        <v>72299</v>
      </c>
    </row>
    <row r="7348">
      <c r="A7348" s="48" t="s">
        <v>10882</v>
      </c>
      <c r="B7348" s="38">
        <v>76410.0</v>
      </c>
      <c r="C7348" s="38" t="s">
        <v>10883</v>
      </c>
      <c r="D7348" s="38" t="str">
        <f>IFERROR(__xludf.DUMMYFUNCTION("REGEXREPLACE(C7348,""-\d+(.*)|--\d+(.*)"","""")"),"MAROMME")</f>
        <v>MAROMME</v>
      </c>
      <c r="E7348" s="38" t="s">
        <v>133</v>
      </c>
      <c r="F7348" s="38" t="s">
        <v>134</v>
      </c>
      <c r="G7348" s="49" t="str">
        <f t="shared" si="1"/>
        <v>76150</v>
      </c>
      <c r="H7348" s="49">
        <f t="shared" si="2"/>
        <v>76410</v>
      </c>
    </row>
    <row r="7349">
      <c r="A7349" s="48" t="s">
        <v>1120</v>
      </c>
      <c r="B7349" s="38">
        <v>64144.0</v>
      </c>
      <c r="C7349" s="38" t="s">
        <v>10884</v>
      </c>
      <c r="D7349" s="38" t="str">
        <f>IFERROR(__xludf.DUMMYFUNCTION("REGEXREPLACE(C7349,""-\d+(.*)|--\d+(.*)"","""")"),"BOUMOURT")</f>
        <v>BOUMOURT</v>
      </c>
      <c r="E7349" s="38" t="s">
        <v>268</v>
      </c>
      <c r="F7349" s="38" t="s">
        <v>252</v>
      </c>
      <c r="G7349" s="49" t="str">
        <f t="shared" si="1"/>
        <v>64370</v>
      </c>
      <c r="H7349" s="49">
        <f t="shared" si="2"/>
        <v>64144</v>
      </c>
    </row>
    <row r="7350">
      <c r="A7350" s="48" t="s">
        <v>1841</v>
      </c>
      <c r="B7350" s="38">
        <v>27141.0</v>
      </c>
      <c r="C7350" s="38" t="s">
        <v>10885</v>
      </c>
      <c r="D7350" s="38" t="str">
        <f>IFERROR(__xludf.DUMMYFUNCTION("REGEXREPLACE(C7350,""-\d+(.*)|--\d+(.*)"","""")"),"CHAMP-DOLENT")</f>
        <v>CHAMP-DOLENT</v>
      </c>
      <c r="E7350" s="38" t="s">
        <v>241</v>
      </c>
      <c r="F7350" s="38" t="s">
        <v>134</v>
      </c>
      <c r="G7350" s="49" t="str">
        <f t="shared" si="1"/>
        <v>27190</v>
      </c>
      <c r="H7350" s="49">
        <f t="shared" si="2"/>
        <v>27141</v>
      </c>
    </row>
    <row r="7351">
      <c r="A7351" s="48" t="s">
        <v>794</v>
      </c>
      <c r="B7351" s="38">
        <v>60104.0</v>
      </c>
      <c r="C7351" s="38" t="s">
        <v>10831</v>
      </c>
      <c r="D7351" s="38" t="str">
        <f>IFERROR(__xludf.DUMMYFUNCTION("REGEXREPLACE(C7351,""-\d+(.*)|--\d+(.*)"","""")"),"BRETEUIL")</f>
        <v>BRETEUIL</v>
      </c>
      <c r="E7351" s="38" t="s">
        <v>112</v>
      </c>
      <c r="F7351" s="38" t="s">
        <v>113</v>
      </c>
      <c r="G7351" s="49" t="str">
        <f t="shared" si="1"/>
        <v>60120</v>
      </c>
      <c r="H7351" s="49">
        <f t="shared" si="2"/>
        <v>60104</v>
      </c>
    </row>
    <row r="7352">
      <c r="A7352" s="48" t="s">
        <v>3165</v>
      </c>
      <c r="B7352" s="38">
        <v>11056.0</v>
      </c>
      <c r="C7352" s="38" t="s">
        <v>10886</v>
      </c>
      <c r="D7352" s="38" t="str">
        <f>IFERROR(__xludf.DUMMYFUNCTION("REGEXREPLACE(C7352,""-\d+(.*)|--\d+(.*)"","""")"),"CABRESPINE")</f>
        <v>CABRESPINE</v>
      </c>
      <c r="E7352" s="38" t="s">
        <v>278</v>
      </c>
      <c r="F7352" s="38" t="s">
        <v>119</v>
      </c>
      <c r="G7352" s="49" t="str">
        <f t="shared" si="1"/>
        <v>11160</v>
      </c>
      <c r="H7352" s="49">
        <f t="shared" si="2"/>
        <v>11056</v>
      </c>
    </row>
    <row r="7353">
      <c r="A7353" s="48" t="s">
        <v>2249</v>
      </c>
      <c r="B7353" s="38">
        <v>14078.0</v>
      </c>
      <c r="C7353" s="38" t="s">
        <v>10887</v>
      </c>
      <c r="D7353" s="38" t="str">
        <f>IFERROR(__xludf.DUMMYFUNCTION("REGEXREPLACE(C7353,""-\d+(.*)|--\d+(.*)"","""")"),"BLAY")</f>
        <v>BLAY</v>
      </c>
      <c r="E7353" s="38" t="s">
        <v>137</v>
      </c>
      <c r="F7353" s="38" t="s">
        <v>138</v>
      </c>
      <c r="G7353" s="49" t="str">
        <f t="shared" si="1"/>
        <v>14400</v>
      </c>
      <c r="H7353" s="49">
        <f t="shared" si="2"/>
        <v>14078</v>
      </c>
    </row>
    <row r="7354">
      <c r="A7354" s="48" t="s">
        <v>7477</v>
      </c>
      <c r="B7354" s="38">
        <v>4005.0</v>
      </c>
      <c r="C7354" s="38" t="s">
        <v>10888</v>
      </c>
      <c r="D7354" s="38" t="str">
        <f>IFERROR(__xludf.DUMMYFUNCTION("REGEXREPLACE(C7354,""-\d+(.*)|--\d+(.*)"","""")"),"ALLONS")</f>
        <v>ALLONS</v>
      </c>
      <c r="E7354" s="38" t="s">
        <v>662</v>
      </c>
      <c r="F7354" s="38" t="s">
        <v>228</v>
      </c>
      <c r="G7354" s="49" t="str">
        <f t="shared" si="1"/>
        <v>04170</v>
      </c>
      <c r="H7354" s="49" t="str">
        <f t="shared" si="2"/>
        <v>04005</v>
      </c>
    </row>
    <row r="7355">
      <c r="A7355" s="48" t="s">
        <v>10889</v>
      </c>
      <c r="B7355" s="38">
        <v>57202.0</v>
      </c>
      <c r="C7355" s="38" t="s">
        <v>10890</v>
      </c>
      <c r="D7355" s="38" t="str">
        <f>IFERROR(__xludf.DUMMYFUNCTION("REGEXREPLACE(C7355,""-\d+(.*)|--\d+(.*)"","""")"),"ETZLING")</f>
        <v>ETZLING</v>
      </c>
      <c r="E7355" s="38" t="s">
        <v>303</v>
      </c>
      <c r="F7355" s="38" t="s">
        <v>195</v>
      </c>
      <c r="G7355" s="49" t="str">
        <f t="shared" si="1"/>
        <v>57460</v>
      </c>
      <c r="H7355" s="49">
        <f t="shared" si="2"/>
        <v>57202</v>
      </c>
    </row>
    <row r="7356">
      <c r="A7356" s="48" t="s">
        <v>4893</v>
      </c>
      <c r="B7356" s="38">
        <v>56231.0</v>
      </c>
      <c r="C7356" s="38" t="s">
        <v>10891</v>
      </c>
      <c r="D7356" s="38" t="str">
        <f>IFERROR(__xludf.DUMMYFUNCTION("REGEXREPLACE(C7356,""-\d+(.*)|--\d+(.*)"","""")"),"SAINT-NOLFF")</f>
        <v>SAINT-NOLFF</v>
      </c>
      <c r="E7356" s="38" t="s">
        <v>173</v>
      </c>
      <c r="F7356" s="38" t="s">
        <v>90</v>
      </c>
      <c r="G7356" s="49" t="str">
        <f t="shared" si="1"/>
        <v>56250</v>
      </c>
      <c r="H7356" s="49">
        <f t="shared" si="2"/>
        <v>56231</v>
      </c>
    </row>
    <row r="7357">
      <c r="A7357" s="48" t="s">
        <v>10892</v>
      </c>
      <c r="B7357" s="38">
        <v>47309.0</v>
      </c>
      <c r="C7357" s="38" t="s">
        <v>10893</v>
      </c>
      <c r="D7357" s="38" t="str">
        <f>IFERROR(__xludf.DUMMYFUNCTION("REGEXREPLACE(C7357,""-\d+(.*)|--\d+(.*)"","""")"),"TOMBEBOEUF")</f>
        <v>TOMBEBOEUF</v>
      </c>
      <c r="E7357" s="38" t="s">
        <v>251</v>
      </c>
      <c r="F7357" s="38" t="s">
        <v>252</v>
      </c>
      <c r="G7357" s="49" t="str">
        <f t="shared" si="1"/>
        <v>47380</v>
      </c>
      <c r="H7357" s="49">
        <f t="shared" si="2"/>
        <v>47309</v>
      </c>
    </row>
    <row r="7358">
      <c r="A7358" s="48" t="s">
        <v>5575</v>
      </c>
      <c r="B7358" s="38">
        <v>62814.0</v>
      </c>
      <c r="C7358" s="38" t="s">
        <v>8937</v>
      </c>
      <c r="D7358" s="38" t="str">
        <f>IFERROR(__xludf.DUMMYFUNCTION("REGEXREPLACE(C7358,""-\d+(.*)|--\d+(.*)"","""")"),"THIEVRES")</f>
        <v>THIEVRES</v>
      </c>
      <c r="E7358" s="38" t="s">
        <v>109</v>
      </c>
      <c r="F7358" s="38" t="s">
        <v>86</v>
      </c>
      <c r="G7358" s="49" t="str">
        <f t="shared" si="1"/>
        <v>62760</v>
      </c>
      <c r="H7358" s="49">
        <f t="shared" si="2"/>
        <v>62814</v>
      </c>
    </row>
    <row r="7359">
      <c r="A7359" s="48" t="s">
        <v>9365</v>
      </c>
      <c r="B7359" s="38">
        <v>90100.0</v>
      </c>
      <c r="C7359" s="38" t="s">
        <v>10894</v>
      </c>
      <c r="D7359" s="38" t="str">
        <f>IFERROR(__xludf.DUMMYFUNCTION("REGEXREPLACE(C7359,""-\d+(.*)|--\d+(.*)"","""")"),"VAUTHIERMONT")</f>
        <v>VAUTHIERMONT</v>
      </c>
      <c r="E7359" s="38" t="s">
        <v>1283</v>
      </c>
      <c r="F7359" s="38" t="s">
        <v>214</v>
      </c>
      <c r="G7359" s="49" t="str">
        <f t="shared" si="1"/>
        <v>90150</v>
      </c>
      <c r="H7359" s="49">
        <f t="shared" si="2"/>
        <v>90100</v>
      </c>
    </row>
    <row r="7360">
      <c r="A7360" s="48" t="s">
        <v>3878</v>
      </c>
      <c r="B7360" s="38">
        <v>80124.0</v>
      </c>
      <c r="C7360" s="38" t="s">
        <v>10895</v>
      </c>
      <c r="D7360" s="38" t="str">
        <f>IFERROR(__xludf.DUMMYFUNCTION("REGEXREPLACE(C7360,""-\d+(.*)|--\d+(.*)"","""")"),"BOURSEVILLE")</f>
        <v>BOURSEVILLE</v>
      </c>
      <c r="E7360" s="38" t="s">
        <v>224</v>
      </c>
      <c r="F7360" s="38" t="s">
        <v>113</v>
      </c>
      <c r="G7360" s="49" t="str">
        <f t="shared" si="1"/>
        <v>80130</v>
      </c>
      <c r="H7360" s="49">
        <f t="shared" si="2"/>
        <v>80124</v>
      </c>
    </row>
    <row r="7361">
      <c r="A7361" s="48" t="s">
        <v>4867</v>
      </c>
      <c r="B7361" s="38">
        <v>82146.0</v>
      </c>
      <c r="C7361" s="38" t="s">
        <v>10896</v>
      </c>
      <c r="D7361" s="38" t="str">
        <f>IFERROR(__xludf.DUMMYFUNCTION("REGEXREPLACE(C7361,""-\d+(.*)|--\d+(.*)"","""")"),"PUYGAILLARD-DE-LOMAGNE")</f>
        <v>PUYGAILLARD-DE-LOMAGNE</v>
      </c>
      <c r="E7361" s="38" t="s">
        <v>570</v>
      </c>
      <c r="F7361" s="38" t="s">
        <v>94</v>
      </c>
      <c r="G7361" s="49" t="str">
        <f t="shared" si="1"/>
        <v>82120</v>
      </c>
      <c r="H7361" s="49">
        <f t="shared" si="2"/>
        <v>82146</v>
      </c>
    </row>
    <row r="7362">
      <c r="A7362" s="48" t="s">
        <v>2757</v>
      </c>
      <c r="B7362" s="38">
        <v>24264.0</v>
      </c>
      <c r="C7362" s="38" t="s">
        <v>10897</v>
      </c>
      <c r="D7362" s="38" t="str">
        <f>IFERROR(__xludf.DUMMYFUNCTION("REGEXREPLACE(C7362,""-\d+(.*)|--\d+(.*)"","""")"),"MENESPLET")</f>
        <v>MENESPLET</v>
      </c>
      <c r="E7362" s="38" t="s">
        <v>261</v>
      </c>
      <c r="F7362" s="38" t="s">
        <v>252</v>
      </c>
      <c r="G7362" s="49" t="str">
        <f t="shared" si="1"/>
        <v>24700</v>
      </c>
      <c r="H7362" s="49">
        <f t="shared" si="2"/>
        <v>24264</v>
      </c>
    </row>
    <row r="7363">
      <c r="A7363" s="48" t="s">
        <v>8300</v>
      </c>
      <c r="B7363" s="38">
        <v>39175.0</v>
      </c>
      <c r="C7363" s="38" t="s">
        <v>10898</v>
      </c>
      <c r="D7363" s="38" t="str">
        <f>IFERROR(__xludf.DUMMYFUNCTION("REGEXREPLACE(C7363,""-\d+(.*)|--\d+(.*)"","""")"),"COYRON")</f>
        <v>COYRON</v>
      </c>
      <c r="E7363" s="38" t="s">
        <v>400</v>
      </c>
      <c r="F7363" s="38" t="s">
        <v>214</v>
      </c>
      <c r="G7363" s="49" t="str">
        <f t="shared" si="1"/>
        <v>39260</v>
      </c>
      <c r="H7363" s="49">
        <f t="shared" si="2"/>
        <v>39175</v>
      </c>
    </row>
    <row r="7364">
      <c r="A7364" s="48" t="s">
        <v>2534</v>
      </c>
      <c r="B7364" s="38">
        <v>27011.0</v>
      </c>
      <c r="C7364" s="38" t="s">
        <v>10899</v>
      </c>
      <c r="D7364" s="38" t="str">
        <f>IFERROR(__xludf.DUMMYFUNCTION("REGEXREPLACE(C7364,""-\d+(.*)|--\d+(.*)"","""")"),"AMFREVILLE-LA-CAMPAGNE")</f>
        <v>AMFREVILLE-LA-CAMPAGNE</v>
      </c>
      <c r="E7364" s="38" t="s">
        <v>241</v>
      </c>
      <c r="F7364" s="38" t="s">
        <v>134</v>
      </c>
      <c r="G7364" s="49" t="str">
        <f t="shared" si="1"/>
        <v>27370</v>
      </c>
      <c r="H7364" s="49">
        <f t="shared" si="2"/>
        <v>27011</v>
      </c>
    </row>
    <row r="7365">
      <c r="A7365" s="48" t="s">
        <v>3612</v>
      </c>
      <c r="B7365" s="38">
        <v>60421.0</v>
      </c>
      <c r="C7365" s="38" t="s">
        <v>10900</v>
      </c>
      <c r="D7365" s="38" t="str">
        <f>IFERROR(__xludf.DUMMYFUNCTION("REGEXREPLACE(C7365,""-\d+(.*)|--\d+(.*)"","""")"),"MONT-L'EVEQUE")</f>
        <v>MONT-L'EVEQUE</v>
      </c>
      <c r="E7365" s="38" t="s">
        <v>112</v>
      </c>
      <c r="F7365" s="38" t="s">
        <v>113</v>
      </c>
      <c r="G7365" s="49" t="str">
        <f t="shared" si="1"/>
        <v>60300</v>
      </c>
      <c r="H7365" s="49">
        <f t="shared" si="2"/>
        <v>60421</v>
      </c>
    </row>
    <row r="7366">
      <c r="A7366" s="48" t="s">
        <v>8137</v>
      </c>
      <c r="B7366" s="38">
        <v>62554.0</v>
      </c>
      <c r="C7366" s="38" t="s">
        <v>10901</v>
      </c>
      <c r="D7366" s="38" t="str">
        <f>IFERROR(__xludf.DUMMYFUNCTION("REGEXREPLACE(C7366,""-\d+(.*)|--\d+(.*)"","""")"),"MARESVILLE")</f>
        <v>MARESVILLE</v>
      </c>
      <c r="E7366" s="38" t="s">
        <v>109</v>
      </c>
      <c r="F7366" s="38" t="s">
        <v>86</v>
      </c>
      <c r="G7366" s="49" t="str">
        <f t="shared" si="1"/>
        <v>62630</v>
      </c>
      <c r="H7366" s="49">
        <f t="shared" si="2"/>
        <v>62554</v>
      </c>
    </row>
    <row r="7367">
      <c r="A7367" s="48" t="s">
        <v>4840</v>
      </c>
      <c r="B7367" s="38">
        <v>16309.0</v>
      </c>
      <c r="C7367" s="38" t="s">
        <v>10166</v>
      </c>
      <c r="D7367" s="38" t="str">
        <f>IFERROR(__xludf.DUMMYFUNCTION("REGEXREPLACE(C7367,""-\d+(.*)|--\d+(.*)"","""")"),"SAINTE-COLOMBE")</f>
        <v>SAINTE-COLOMBE</v>
      </c>
      <c r="E7367" s="38" t="s">
        <v>429</v>
      </c>
      <c r="F7367" s="38" t="s">
        <v>338</v>
      </c>
      <c r="G7367" s="49" t="str">
        <f t="shared" si="1"/>
        <v>16230</v>
      </c>
      <c r="H7367" s="49">
        <f t="shared" si="2"/>
        <v>16309</v>
      </c>
    </row>
    <row r="7368">
      <c r="A7368" s="48" t="s">
        <v>736</v>
      </c>
      <c r="B7368" s="38">
        <v>57737.0</v>
      </c>
      <c r="C7368" s="38" t="s">
        <v>10902</v>
      </c>
      <c r="D7368" s="38" t="str">
        <f>IFERROR(__xludf.DUMMYFUNCTION("REGEXREPLACE(C7368,""-\d+(.*)|--\d+(.*)"","""")"),"VULMONT")</f>
        <v>VULMONT</v>
      </c>
      <c r="E7368" s="38" t="s">
        <v>303</v>
      </c>
      <c r="F7368" s="38" t="s">
        <v>195</v>
      </c>
      <c r="G7368" s="49" t="str">
        <f t="shared" si="1"/>
        <v>57420</v>
      </c>
      <c r="H7368" s="49">
        <f t="shared" si="2"/>
        <v>57737</v>
      </c>
    </row>
    <row r="7369">
      <c r="A7369" s="48" t="s">
        <v>698</v>
      </c>
      <c r="B7369" s="38">
        <v>11414.0</v>
      </c>
      <c r="C7369" s="38" t="s">
        <v>10903</v>
      </c>
      <c r="D7369" s="38" t="str">
        <f>IFERROR(__xludf.DUMMYFUNCTION("REGEXREPLACE(C7369,""-\d+(.*)|--\d+(.*)"","""")"),"VILLAR-EN-VAL")</f>
        <v>VILLAR-EN-VAL</v>
      </c>
      <c r="E7369" s="38" t="s">
        <v>278</v>
      </c>
      <c r="F7369" s="38" t="s">
        <v>119</v>
      </c>
      <c r="G7369" s="49" t="str">
        <f t="shared" si="1"/>
        <v>11220</v>
      </c>
      <c r="H7369" s="49">
        <f t="shared" si="2"/>
        <v>11414</v>
      </c>
    </row>
    <row r="7370">
      <c r="A7370" s="48" t="s">
        <v>2288</v>
      </c>
      <c r="B7370" s="38">
        <v>81326.0</v>
      </c>
      <c r="C7370" s="38" t="s">
        <v>1715</v>
      </c>
      <c r="D7370" s="38" t="str">
        <f>IFERROR(__xludf.DUMMYFUNCTION("REGEXREPLACE(C7370,""-\d+(.*)|--\d+(.*)"","""")"),"SAINTE-CROIX")</f>
        <v>SAINTE-CROIX</v>
      </c>
      <c r="E7370" s="38" t="s">
        <v>231</v>
      </c>
      <c r="F7370" s="38" t="s">
        <v>94</v>
      </c>
      <c r="G7370" s="49" t="str">
        <f t="shared" si="1"/>
        <v>81150</v>
      </c>
      <c r="H7370" s="49">
        <f t="shared" si="2"/>
        <v>81326</v>
      </c>
    </row>
    <row r="7371">
      <c r="A7371" s="48" t="s">
        <v>10904</v>
      </c>
      <c r="B7371" s="38">
        <v>74049.0</v>
      </c>
      <c r="C7371" s="38" t="s">
        <v>10905</v>
      </c>
      <c r="D7371" s="38" t="str">
        <f>IFERROR(__xludf.DUMMYFUNCTION("REGEXREPLACE(C7371,""-\d+(.*)|--\d+(.*)"","""")"),"BRIZON")</f>
        <v>BRIZON</v>
      </c>
      <c r="E7371" s="38" t="s">
        <v>319</v>
      </c>
      <c r="F7371" s="38" t="s">
        <v>102</v>
      </c>
      <c r="G7371" s="49" t="str">
        <f t="shared" si="1"/>
        <v>74130</v>
      </c>
      <c r="H7371" s="49">
        <f t="shared" si="2"/>
        <v>74049</v>
      </c>
    </row>
    <row r="7372">
      <c r="A7372" s="48" t="s">
        <v>1459</v>
      </c>
      <c r="B7372" s="38">
        <v>29292.0</v>
      </c>
      <c r="C7372" s="38" t="s">
        <v>10906</v>
      </c>
      <c r="D7372" s="38" t="str">
        <f>IFERROR(__xludf.DUMMYFUNCTION("REGEXREPLACE(C7372,""-\d+(.*)|--\d+(.*)"","""")"),"TREGUENNEC")</f>
        <v>TREGUENNEC</v>
      </c>
      <c r="E7372" s="38" t="s">
        <v>176</v>
      </c>
      <c r="F7372" s="38" t="s">
        <v>90</v>
      </c>
      <c r="G7372" s="49" t="str">
        <f t="shared" si="1"/>
        <v>29720</v>
      </c>
      <c r="H7372" s="49">
        <f t="shared" si="2"/>
        <v>29292</v>
      </c>
    </row>
    <row r="7373">
      <c r="A7373" s="48" t="s">
        <v>809</v>
      </c>
      <c r="B7373" s="38">
        <v>33098.0</v>
      </c>
      <c r="C7373" s="38" t="s">
        <v>10907</v>
      </c>
      <c r="D7373" s="38" t="str">
        <f>IFERROR(__xludf.DUMMYFUNCTION("REGEXREPLACE(C7373,""-\d+(.*)|--\d+(.*)"","""")"),"CARDAN")</f>
        <v>CARDAN</v>
      </c>
      <c r="E7373" s="38" t="s">
        <v>462</v>
      </c>
      <c r="F7373" s="38" t="s">
        <v>252</v>
      </c>
      <c r="G7373" s="49" t="str">
        <f t="shared" si="1"/>
        <v>33410</v>
      </c>
      <c r="H7373" s="49">
        <f t="shared" si="2"/>
        <v>33098</v>
      </c>
    </row>
    <row r="7374">
      <c r="A7374" s="48" t="s">
        <v>10908</v>
      </c>
      <c r="B7374" s="38">
        <v>11419.0</v>
      </c>
      <c r="C7374" s="38" t="s">
        <v>10909</v>
      </c>
      <c r="D7374" s="38" t="str">
        <f>IFERROR(__xludf.DUMMYFUNCTION("REGEXREPLACE(C7374,""-\d+(.*)|--\d+(.*)"","""")"),"VILLAUTOU")</f>
        <v>VILLAUTOU</v>
      </c>
      <c r="E7374" s="38" t="s">
        <v>278</v>
      </c>
      <c r="F7374" s="38" t="s">
        <v>119</v>
      </c>
      <c r="G7374" s="49" t="str">
        <f t="shared" si="1"/>
        <v>11420</v>
      </c>
      <c r="H7374" s="49">
        <f t="shared" si="2"/>
        <v>11419</v>
      </c>
    </row>
    <row r="7375">
      <c r="A7375" s="48" t="s">
        <v>6928</v>
      </c>
      <c r="B7375" s="38">
        <v>25349.0</v>
      </c>
      <c r="C7375" s="38" t="s">
        <v>10910</v>
      </c>
      <c r="D7375" s="38" t="str">
        <f>IFERROR(__xludf.DUMMYFUNCTION("REGEXREPLACE(C7375,""-\d+(.*)|--\d+(.*)"","""")"),"LORAY")</f>
        <v>LORAY</v>
      </c>
      <c r="E7375" s="38" t="s">
        <v>213</v>
      </c>
      <c r="F7375" s="38" t="s">
        <v>214</v>
      </c>
      <c r="G7375" s="49" t="str">
        <f t="shared" si="1"/>
        <v>25390</v>
      </c>
      <c r="H7375" s="49">
        <f t="shared" si="2"/>
        <v>25349</v>
      </c>
    </row>
    <row r="7376">
      <c r="A7376" s="48" t="s">
        <v>5103</v>
      </c>
      <c r="B7376" s="38">
        <v>37229.0</v>
      </c>
      <c r="C7376" s="38" t="s">
        <v>10911</v>
      </c>
      <c r="D7376" s="38" t="str">
        <f>IFERROR(__xludf.DUMMYFUNCTION("REGEXREPLACE(C7376,""-\d+(.*)|--\d+(.*)"","""")"),"SAINT-NICOLAS-DES-MOTETS")</f>
        <v>SAINT-NICOLAS-DES-MOTETS</v>
      </c>
      <c r="E7376" s="38" t="s">
        <v>205</v>
      </c>
      <c r="F7376" s="38" t="s">
        <v>123</v>
      </c>
      <c r="G7376" s="49" t="str">
        <f t="shared" si="1"/>
        <v>37110</v>
      </c>
      <c r="H7376" s="49">
        <f t="shared" si="2"/>
        <v>37229</v>
      </c>
    </row>
    <row r="7377">
      <c r="A7377" s="48" t="s">
        <v>1014</v>
      </c>
      <c r="B7377" s="38">
        <v>11077.0</v>
      </c>
      <c r="C7377" s="38" t="s">
        <v>10912</v>
      </c>
      <c r="D7377" s="38" t="str">
        <f>IFERROR(__xludf.DUMMYFUNCTION("REGEXREPLACE(C7377,""-\d+(.*)|--\d+(.*)"","""")"),"CASTELNAU-D'AUDE")</f>
        <v>CASTELNAU-D'AUDE</v>
      </c>
      <c r="E7377" s="38" t="s">
        <v>278</v>
      </c>
      <c r="F7377" s="38" t="s">
        <v>119</v>
      </c>
      <c r="G7377" s="49" t="str">
        <f t="shared" si="1"/>
        <v>11700</v>
      </c>
      <c r="H7377" s="49">
        <f t="shared" si="2"/>
        <v>11077</v>
      </c>
    </row>
    <row r="7378">
      <c r="A7378" s="48" t="s">
        <v>9315</v>
      </c>
      <c r="B7378" s="38">
        <v>68172.0</v>
      </c>
      <c r="C7378" s="38" t="s">
        <v>10913</v>
      </c>
      <c r="D7378" s="38" t="str">
        <f>IFERROR(__xludf.DUMMYFUNCTION("REGEXREPLACE(C7378,""-\d+(.*)|--\d+(.*)"","""")"),"KUNHEIM")</f>
        <v>KUNHEIM</v>
      </c>
      <c r="E7378" s="38" t="s">
        <v>150</v>
      </c>
      <c r="F7378" s="38" t="s">
        <v>151</v>
      </c>
      <c r="G7378" s="49" t="str">
        <f t="shared" si="1"/>
        <v>68320</v>
      </c>
      <c r="H7378" s="49">
        <f t="shared" si="2"/>
        <v>68172</v>
      </c>
    </row>
    <row r="7379">
      <c r="A7379" s="48" t="s">
        <v>972</v>
      </c>
      <c r="B7379" s="38">
        <v>37226.0</v>
      </c>
      <c r="C7379" s="38" t="s">
        <v>10914</v>
      </c>
      <c r="D7379" s="38" t="str">
        <f>IFERROR(__xludf.DUMMYFUNCTION("REGEXREPLACE(C7379,""-\d+(.*)|--\d+(.*)"","""")"),"SAINTE-MAURE-DE-TOURAINE")</f>
        <v>SAINTE-MAURE-DE-TOURAINE</v>
      </c>
      <c r="E7379" s="38" t="s">
        <v>205</v>
      </c>
      <c r="F7379" s="38" t="s">
        <v>123</v>
      </c>
      <c r="G7379" s="49" t="str">
        <f t="shared" si="1"/>
        <v>37800</v>
      </c>
      <c r="H7379" s="49">
        <f t="shared" si="2"/>
        <v>37226</v>
      </c>
    </row>
    <row r="7380">
      <c r="A7380" s="48" t="s">
        <v>5030</v>
      </c>
      <c r="B7380" s="38">
        <v>65459.0</v>
      </c>
      <c r="C7380" s="38" t="s">
        <v>10915</v>
      </c>
      <c r="D7380" s="38" t="str">
        <f>IFERROR(__xludf.DUMMYFUNCTION("REGEXREPLACE(C7380,""-\d+(.*)|--\d+(.*)"","""")"),"UZER")</f>
        <v>UZER</v>
      </c>
      <c r="E7380" s="38" t="s">
        <v>200</v>
      </c>
      <c r="F7380" s="38" t="s">
        <v>94</v>
      </c>
      <c r="G7380" s="49" t="str">
        <f t="shared" si="1"/>
        <v>65200</v>
      </c>
      <c r="H7380" s="49">
        <f t="shared" si="2"/>
        <v>65459</v>
      </c>
    </row>
    <row r="7381">
      <c r="A7381" s="48" t="s">
        <v>10916</v>
      </c>
      <c r="B7381" s="38">
        <v>40269.0</v>
      </c>
      <c r="C7381" s="38" t="s">
        <v>10917</v>
      </c>
      <c r="D7381" s="38" t="str">
        <f>IFERROR(__xludf.DUMMYFUNCTION("REGEXREPLACE(C7381,""-\d+(.*)|--\d+(.*)"","""")"),"SAINT-LON-LES-MINES")</f>
        <v>SAINT-LON-LES-MINES</v>
      </c>
      <c r="E7381" s="38" t="s">
        <v>281</v>
      </c>
      <c r="F7381" s="38" t="s">
        <v>252</v>
      </c>
      <c r="G7381" s="49" t="str">
        <f t="shared" si="1"/>
        <v>40300</v>
      </c>
      <c r="H7381" s="49">
        <f t="shared" si="2"/>
        <v>40269</v>
      </c>
    </row>
    <row r="7382">
      <c r="A7382" s="48" t="s">
        <v>1841</v>
      </c>
      <c r="B7382" s="38">
        <v>27162.0</v>
      </c>
      <c r="C7382" s="38" t="s">
        <v>10918</v>
      </c>
      <c r="D7382" s="38" t="str">
        <f>IFERROR(__xludf.DUMMYFUNCTION("REGEXREPLACE(C7382,""-\d+(.*)|--\d+(.*)"","""")"),"COLLANDRES-QUINCARNON")</f>
        <v>COLLANDRES-QUINCARNON</v>
      </c>
      <c r="E7382" s="38" t="s">
        <v>241</v>
      </c>
      <c r="F7382" s="38" t="s">
        <v>134</v>
      </c>
      <c r="G7382" s="49" t="str">
        <f t="shared" si="1"/>
        <v>27190</v>
      </c>
      <c r="H7382" s="49">
        <f t="shared" si="2"/>
        <v>27162</v>
      </c>
    </row>
    <row r="7383">
      <c r="A7383" s="48" t="s">
        <v>10919</v>
      </c>
      <c r="B7383" s="38">
        <v>24180.0</v>
      </c>
      <c r="C7383" s="38" t="s">
        <v>10920</v>
      </c>
      <c r="D7383" s="38" t="str">
        <f>IFERROR(__xludf.DUMMYFUNCTION("REGEXREPLACE(C7383,""-\d+(.*)|--\d+(.*)"","""")"),"FIRBEIX")</f>
        <v>FIRBEIX</v>
      </c>
      <c r="E7383" s="38" t="s">
        <v>261</v>
      </c>
      <c r="F7383" s="38" t="s">
        <v>252</v>
      </c>
      <c r="G7383" s="49" t="str">
        <f t="shared" si="1"/>
        <v>24450</v>
      </c>
      <c r="H7383" s="49">
        <f t="shared" si="2"/>
        <v>24180</v>
      </c>
    </row>
    <row r="7384">
      <c r="A7384" s="48" t="s">
        <v>6323</v>
      </c>
      <c r="B7384" s="38">
        <v>50339.0</v>
      </c>
      <c r="C7384" s="38" t="s">
        <v>10921</v>
      </c>
      <c r="D7384" s="38" t="str">
        <f>IFERROR(__xludf.DUMMYFUNCTION("REGEXREPLACE(C7384,""-\d+(.*)|--\d+(.*)"","""")"),"MONTCHATON")</f>
        <v>MONTCHATON</v>
      </c>
      <c r="E7384" s="38" t="s">
        <v>157</v>
      </c>
      <c r="F7384" s="38" t="s">
        <v>138</v>
      </c>
      <c r="G7384" s="49" t="str">
        <f t="shared" si="1"/>
        <v>50660</v>
      </c>
      <c r="H7384" s="49">
        <f t="shared" si="2"/>
        <v>50339</v>
      </c>
    </row>
    <row r="7385">
      <c r="A7385" s="48" t="s">
        <v>284</v>
      </c>
      <c r="B7385" s="38">
        <v>60459.0</v>
      </c>
      <c r="C7385" s="38" t="s">
        <v>10922</v>
      </c>
      <c r="D7385" s="38" t="str">
        <f>IFERROR(__xludf.DUMMYFUNCTION("REGEXREPLACE(C7385,""-\d+(.*)|--\d+(.*)"","""")"),"LA NEUVILLE-SUR-RESSONS")</f>
        <v>LA NEUVILLE-SUR-RESSONS</v>
      </c>
      <c r="E7385" s="38" t="s">
        <v>112</v>
      </c>
      <c r="F7385" s="38" t="s">
        <v>113</v>
      </c>
      <c r="G7385" s="49" t="str">
        <f t="shared" si="1"/>
        <v>60490</v>
      </c>
      <c r="H7385" s="49">
        <f t="shared" si="2"/>
        <v>60459</v>
      </c>
    </row>
    <row r="7386">
      <c r="A7386" s="48" t="s">
        <v>1932</v>
      </c>
      <c r="B7386" s="38">
        <v>70319.0</v>
      </c>
      <c r="C7386" s="38" t="s">
        <v>10923</v>
      </c>
      <c r="D7386" s="38" t="str">
        <f>IFERROR(__xludf.DUMMYFUNCTION("REGEXREPLACE(C7386,""-\d+(.*)|--\d+(.*)"","""")"),"MAGNY-JOBERT")</f>
        <v>MAGNY-JOBERT</v>
      </c>
      <c r="E7386" s="38" t="s">
        <v>956</v>
      </c>
      <c r="F7386" s="38" t="s">
        <v>214</v>
      </c>
      <c r="G7386" s="49" t="str">
        <f t="shared" si="1"/>
        <v>70200</v>
      </c>
      <c r="H7386" s="49">
        <f t="shared" si="2"/>
        <v>70319</v>
      </c>
    </row>
    <row r="7387">
      <c r="A7387" s="48" t="s">
        <v>6832</v>
      </c>
      <c r="B7387" s="38">
        <v>80067.0</v>
      </c>
      <c r="C7387" s="38" t="s">
        <v>10924</v>
      </c>
      <c r="D7387" s="38" t="str">
        <f>IFERROR(__xludf.DUMMYFUNCTION("REGEXREPLACE(C7387,""-\d+(.*)|--\d+(.*)"","""")"),"BEAUFORT-EN-SANTERRE")</f>
        <v>BEAUFORT-EN-SANTERRE</v>
      </c>
      <c r="E7387" s="38" t="s">
        <v>224</v>
      </c>
      <c r="F7387" s="38" t="s">
        <v>113</v>
      </c>
      <c r="G7387" s="49" t="str">
        <f t="shared" si="1"/>
        <v>80170</v>
      </c>
      <c r="H7387" s="49">
        <f t="shared" si="2"/>
        <v>80067</v>
      </c>
    </row>
    <row r="7388">
      <c r="A7388" s="48" t="s">
        <v>4121</v>
      </c>
      <c r="B7388" s="38">
        <v>11084.0</v>
      </c>
      <c r="C7388" s="38" t="s">
        <v>10925</v>
      </c>
      <c r="D7388" s="38" t="str">
        <f>IFERROR(__xludf.DUMMYFUNCTION("REGEXREPLACE(C7388,""-\d+(.*)|--\d+(.*)"","""")"),"CAUX-ET-SAUZENS")</f>
        <v>CAUX-ET-SAUZENS</v>
      </c>
      <c r="E7388" s="38" t="s">
        <v>278</v>
      </c>
      <c r="F7388" s="38" t="s">
        <v>119</v>
      </c>
      <c r="G7388" s="49" t="str">
        <f t="shared" si="1"/>
        <v>11170</v>
      </c>
      <c r="H7388" s="49">
        <f t="shared" si="2"/>
        <v>11084</v>
      </c>
    </row>
    <row r="7389">
      <c r="A7389" s="48" t="s">
        <v>9021</v>
      </c>
      <c r="B7389" s="38">
        <v>88524.0</v>
      </c>
      <c r="C7389" s="38" t="s">
        <v>10926</v>
      </c>
      <c r="D7389" s="38" t="str">
        <f>IFERROR(__xludf.DUMMYFUNCTION("REGEXREPLACE(C7389,""-\d+(.*)|--\d+(.*)"","""")"),"VRECOURT")</f>
        <v>VRECOURT</v>
      </c>
      <c r="E7389" s="38" t="s">
        <v>194</v>
      </c>
      <c r="F7389" s="38" t="s">
        <v>195</v>
      </c>
      <c r="G7389" s="49" t="str">
        <f t="shared" si="1"/>
        <v>88140</v>
      </c>
      <c r="H7389" s="49">
        <f t="shared" si="2"/>
        <v>88524</v>
      </c>
    </row>
    <row r="7390">
      <c r="A7390" s="48" t="s">
        <v>1746</v>
      </c>
      <c r="B7390" s="38">
        <v>62146.0</v>
      </c>
      <c r="C7390" s="38" t="s">
        <v>10927</v>
      </c>
      <c r="D7390" s="38" t="str">
        <f>IFERROR(__xludf.DUMMYFUNCTION("REGEXREPLACE(C7390,""-\d+(.*)|--\d+(.*)"","""")"),"BOIRY-SAINT-MARTIN")</f>
        <v>BOIRY-SAINT-MARTIN</v>
      </c>
      <c r="E7390" s="38" t="s">
        <v>109</v>
      </c>
      <c r="F7390" s="38" t="s">
        <v>86</v>
      </c>
      <c r="G7390" s="49" t="str">
        <f t="shared" si="1"/>
        <v>62175</v>
      </c>
      <c r="H7390" s="49">
        <f t="shared" si="2"/>
        <v>62146</v>
      </c>
    </row>
    <row r="7391">
      <c r="A7391" s="48" t="s">
        <v>2781</v>
      </c>
      <c r="B7391" s="38">
        <v>6099.0</v>
      </c>
      <c r="C7391" s="38" t="s">
        <v>10928</v>
      </c>
      <c r="D7391" s="38" t="str">
        <f>IFERROR(__xludf.DUMMYFUNCTION("REGEXREPLACE(C7391,""-\d+(.*)|--\d+(.*)"","""")"),"PUGET-THENIERS")</f>
        <v>PUGET-THENIERS</v>
      </c>
      <c r="E7391" s="38" t="s">
        <v>227</v>
      </c>
      <c r="F7391" s="38" t="s">
        <v>228</v>
      </c>
      <c r="G7391" s="49" t="str">
        <f t="shared" si="1"/>
        <v>06260</v>
      </c>
      <c r="H7391" s="49" t="str">
        <f t="shared" si="2"/>
        <v>06099</v>
      </c>
    </row>
    <row r="7392">
      <c r="A7392" s="48" t="s">
        <v>9091</v>
      </c>
      <c r="B7392" s="38">
        <v>46209.0</v>
      </c>
      <c r="C7392" s="38" t="s">
        <v>10929</v>
      </c>
      <c r="D7392" s="38" t="str">
        <f>IFERROR(__xludf.DUMMYFUNCTION("REGEXREPLACE(C7392,""-\d+(.*)|--\d+(.*)"","""")"),"NADAILLAC-DE-ROUGE")</f>
        <v>NADAILLAC-DE-ROUGE</v>
      </c>
      <c r="E7392" s="38" t="s">
        <v>185</v>
      </c>
      <c r="F7392" s="38" t="s">
        <v>94</v>
      </c>
      <c r="G7392" s="49" t="str">
        <f t="shared" si="1"/>
        <v>46350</v>
      </c>
      <c r="H7392" s="49">
        <f t="shared" si="2"/>
        <v>46209</v>
      </c>
    </row>
    <row r="7393">
      <c r="A7393" s="48" t="s">
        <v>10930</v>
      </c>
      <c r="B7393" s="38">
        <v>62711.0</v>
      </c>
      <c r="C7393" s="38" t="s">
        <v>10931</v>
      </c>
      <c r="D7393" s="38" t="str">
        <f>IFERROR(__xludf.DUMMYFUNCTION("REGEXREPLACE(C7393,""-\d+(.*)|--\d+(.*)"","""")"),"RINXENT")</f>
        <v>RINXENT</v>
      </c>
      <c r="E7393" s="38" t="s">
        <v>109</v>
      </c>
      <c r="F7393" s="38" t="s">
        <v>86</v>
      </c>
      <c r="G7393" s="49" t="str">
        <f t="shared" si="1"/>
        <v>62720</v>
      </c>
      <c r="H7393" s="49">
        <f t="shared" si="2"/>
        <v>62711</v>
      </c>
    </row>
    <row r="7394">
      <c r="A7394" s="48" t="s">
        <v>904</v>
      </c>
      <c r="B7394" s="38">
        <v>69150.0</v>
      </c>
      <c r="C7394" s="38" t="s">
        <v>10932</v>
      </c>
      <c r="D7394" s="38" t="str">
        <f>IFERROR(__xludf.DUMMYFUNCTION("REGEXREPLACE(C7394,""-\d+(.*)|--\d+(.*)"","""")"),"OUROUX")</f>
        <v>OUROUX</v>
      </c>
      <c r="E7394" s="38" t="s">
        <v>350</v>
      </c>
      <c r="F7394" s="38" t="s">
        <v>102</v>
      </c>
      <c r="G7394" s="49" t="str">
        <f t="shared" si="1"/>
        <v>69860</v>
      </c>
      <c r="H7394" s="49">
        <f t="shared" si="2"/>
        <v>69150</v>
      </c>
    </row>
    <row r="7395">
      <c r="A7395" s="48" t="s">
        <v>3863</v>
      </c>
      <c r="B7395" s="38">
        <v>1056.0</v>
      </c>
      <c r="C7395" s="38" t="s">
        <v>10933</v>
      </c>
      <c r="D7395" s="38" t="str">
        <f>IFERROR(__xludf.DUMMYFUNCTION("REGEXREPLACE(C7395,""-\d+(.*)|--\d+(.*)"","""")"),"BOYEUX-SAINT-JEROME")</f>
        <v>BOYEUX-SAINT-JEROME</v>
      </c>
      <c r="E7395" s="38" t="s">
        <v>255</v>
      </c>
      <c r="F7395" s="38" t="s">
        <v>102</v>
      </c>
      <c r="G7395" s="49" t="str">
        <f t="shared" si="1"/>
        <v>01640</v>
      </c>
      <c r="H7395" s="49" t="str">
        <f t="shared" si="2"/>
        <v>01056</v>
      </c>
    </row>
    <row r="7396">
      <c r="A7396" s="48" t="s">
        <v>4663</v>
      </c>
      <c r="B7396" s="38">
        <v>12248.0</v>
      </c>
      <c r="C7396" s="38" t="s">
        <v>10934</v>
      </c>
      <c r="D7396" s="38" t="str">
        <f>IFERROR(__xludf.DUMMYFUNCTION("REGEXREPLACE(C7396,""-\d+(.*)|--\d+(.*)"","""")"),"SAINT-SERNIN-SUR-RANCE")</f>
        <v>SAINT-SERNIN-SUR-RANCE</v>
      </c>
      <c r="E7396" s="38" t="s">
        <v>465</v>
      </c>
      <c r="F7396" s="38" t="s">
        <v>94</v>
      </c>
      <c r="G7396" s="49" t="str">
        <f t="shared" si="1"/>
        <v>12380</v>
      </c>
      <c r="H7396" s="49">
        <f t="shared" si="2"/>
        <v>12248</v>
      </c>
    </row>
    <row r="7397">
      <c r="A7397" s="48" t="s">
        <v>7752</v>
      </c>
      <c r="B7397" s="38">
        <v>69237.0</v>
      </c>
      <c r="C7397" s="38" t="s">
        <v>10935</v>
      </c>
      <c r="D7397" s="38" t="str">
        <f>IFERROR(__xludf.DUMMYFUNCTION("REGEXREPLACE(C7397,""-\d+(.*)|--\d+(.*)"","""")"),"SAINT-SORLIN")</f>
        <v>SAINT-SORLIN</v>
      </c>
      <c r="E7397" s="38" t="s">
        <v>350</v>
      </c>
      <c r="F7397" s="38" t="s">
        <v>102</v>
      </c>
      <c r="G7397" s="49" t="str">
        <f t="shared" si="1"/>
        <v>69440</v>
      </c>
      <c r="H7397" s="49">
        <f t="shared" si="2"/>
        <v>69237</v>
      </c>
    </row>
    <row r="7398">
      <c r="A7398" s="48" t="s">
        <v>616</v>
      </c>
      <c r="B7398" s="38">
        <v>89190.0</v>
      </c>
      <c r="C7398" s="38" t="s">
        <v>451</v>
      </c>
      <c r="D7398" s="38" t="str">
        <f>IFERROR(__xludf.DUMMYFUNCTION("REGEXREPLACE(C7398,""-\d+(.*)|--\d+(.*)"","""")"),"GIVRY")</f>
        <v>GIVRY</v>
      </c>
      <c r="E7398" s="38" t="s">
        <v>275</v>
      </c>
      <c r="F7398" s="38" t="s">
        <v>106</v>
      </c>
      <c r="G7398" s="49" t="str">
        <f t="shared" si="1"/>
        <v>89200</v>
      </c>
      <c r="H7398" s="49">
        <f t="shared" si="2"/>
        <v>89190</v>
      </c>
    </row>
    <row r="7399">
      <c r="A7399" s="48" t="s">
        <v>3483</v>
      </c>
      <c r="B7399" s="38">
        <v>77246.0</v>
      </c>
      <c r="C7399" s="38" t="s">
        <v>6330</v>
      </c>
      <c r="D7399" s="38" t="str">
        <f>IFERROR(__xludf.DUMMYFUNCTION("REGEXREPLACE(C7399,""-\d+(.*)|--\d+(.*)"","""")"),"LECHELLE")</f>
        <v>LECHELLE</v>
      </c>
      <c r="E7399" s="38" t="s">
        <v>244</v>
      </c>
      <c r="F7399" s="38" t="s">
        <v>245</v>
      </c>
      <c r="G7399" s="49" t="str">
        <f t="shared" si="1"/>
        <v>77171</v>
      </c>
      <c r="H7399" s="49">
        <f t="shared" si="2"/>
        <v>77246</v>
      </c>
    </row>
    <row r="7400">
      <c r="A7400" s="48" t="s">
        <v>1100</v>
      </c>
      <c r="B7400" s="38">
        <v>8393.0</v>
      </c>
      <c r="C7400" s="38" t="s">
        <v>10936</v>
      </c>
      <c r="D7400" s="38" t="str">
        <f>IFERROR(__xludf.DUMMYFUNCTION("REGEXREPLACE(C7400,""-\d+(.*)|--\d+(.*)"","""")"),"SAINT-PIERRE-A-ARNES")</f>
        <v>SAINT-PIERRE-A-ARNES</v>
      </c>
      <c r="E7400" s="38" t="s">
        <v>327</v>
      </c>
      <c r="F7400" s="38" t="s">
        <v>130</v>
      </c>
      <c r="G7400" s="49" t="str">
        <f t="shared" si="1"/>
        <v>08310</v>
      </c>
      <c r="H7400" s="49" t="str">
        <f t="shared" si="2"/>
        <v>08393</v>
      </c>
    </row>
    <row r="7401">
      <c r="A7401" s="48" t="s">
        <v>7071</v>
      </c>
      <c r="B7401" s="38">
        <v>59254.0</v>
      </c>
      <c r="C7401" s="38" t="s">
        <v>10937</v>
      </c>
      <c r="D7401" s="38" t="str">
        <f>IFERROR(__xludf.DUMMYFUNCTION("REGEXREPLACE(C7401,""-\d+(.*)|--\d+(.*)"","""")"),"FRESSAIN")</f>
        <v>FRESSAIN</v>
      </c>
      <c r="E7401" s="38" t="s">
        <v>85</v>
      </c>
      <c r="F7401" s="38" t="s">
        <v>86</v>
      </c>
      <c r="G7401" s="49" t="str">
        <f t="shared" si="1"/>
        <v>59234</v>
      </c>
      <c r="H7401" s="49">
        <f t="shared" si="2"/>
        <v>59254</v>
      </c>
    </row>
    <row r="7402">
      <c r="A7402" s="48" t="s">
        <v>2826</v>
      </c>
      <c r="B7402" s="38">
        <v>60284.0</v>
      </c>
      <c r="C7402" s="38" t="s">
        <v>10938</v>
      </c>
      <c r="D7402" s="38" t="str">
        <f>IFERROR(__xludf.DUMMYFUNCTION("REGEXREPLACE(C7402,""-\d+(.*)|--\d+(.*)"","""")"),"GRANDFRESNOY")</f>
        <v>GRANDFRESNOY</v>
      </c>
      <c r="E7402" s="38" t="s">
        <v>112</v>
      </c>
      <c r="F7402" s="38" t="s">
        <v>113</v>
      </c>
      <c r="G7402" s="49" t="str">
        <f t="shared" si="1"/>
        <v>60680</v>
      </c>
      <c r="H7402" s="49">
        <f t="shared" si="2"/>
        <v>60284</v>
      </c>
    </row>
    <row r="7403">
      <c r="A7403" s="48" t="s">
        <v>10939</v>
      </c>
      <c r="B7403" s="38">
        <v>77298.0</v>
      </c>
      <c r="C7403" s="38" t="s">
        <v>10940</v>
      </c>
      <c r="D7403" s="38" t="str">
        <f>IFERROR(__xludf.DUMMYFUNCTION("REGEXREPLACE(C7403,""-\d+(.*)|--\d+(.*)"","""")"),"MONS-EN-MONTOIS")</f>
        <v>MONS-EN-MONTOIS</v>
      </c>
      <c r="E7403" s="38" t="s">
        <v>244</v>
      </c>
      <c r="F7403" s="38" t="s">
        <v>245</v>
      </c>
      <c r="G7403" s="49" t="str">
        <f t="shared" si="1"/>
        <v>77520</v>
      </c>
      <c r="H7403" s="49">
        <f t="shared" si="2"/>
        <v>77298</v>
      </c>
    </row>
    <row r="7404">
      <c r="A7404" s="48" t="s">
        <v>10941</v>
      </c>
      <c r="B7404" s="38">
        <v>83061.0</v>
      </c>
      <c r="C7404" s="38" t="s">
        <v>10942</v>
      </c>
      <c r="D7404" s="38" t="str">
        <f>IFERROR(__xludf.DUMMYFUNCTION("REGEXREPLACE(C7404,""-\d+(.*)|--\d+(.*)"","""")"),"FREJUS")</f>
        <v>FREJUS</v>
      </c>
      <c r="E7404" s="38" t="s">
        <v>813</v>
      </c>
      <c r="F7404" s="38" t="s">
        <v>228</v>
      </c>
      <c r="G7404" s="49" t="str">
        <f t="shared" si="1"/>
        <v>83600/83370</v>
      </c>
      <c r="H7404" s="49">
        <f t="shared" si="2"/>
        <v>83061</v>
      </c>
    </row>
    <row r="7405">
      <c r="A7405" s="48" t="s">
        <v>10943</v>
      </c>
      <c r="B7405" s="38">
        <v>14591.0</v>
      </c>
      <c r="C7405" s="38" t="s">
        <v>10944</v>
      </c>
      <c r="D7405" s="38" t="str">
        <f>IFERROR(__xludf.DUMMYFUNCTION("REGEXREPLACE(C7405,""-\d+(.*)|--\d+(.*)"","""")"),"SAINTE-HONORINE-DES-PERTES")</f>
        <v>SAINTE-HONORINE-DES-PERTES</v>
      </c>
      <c r="E7405" s="38" t="s">
        <v>137</v>
      </c>
      <c r="F7405" s="38" t="s">
        <v>138</v>
      </c>
      <c r="G7405" s="49" t="str">
        <f t="shared" si="1"/>
        <v>14520</v>
      </c>
      <c r="H7405" s="49">
        <f t="shared" si="2"/>
        <v>14591</v>
      </c>
    </row>
    <row r="7406">
      <c r="A7406" s="48" t="s">
        <v>6021</v>
      </c>
      <c r="B7406" s="38">
        <v>30028.0</v>
      </c>
      <c r="C7406" s="38" t="s">
        <v>10945</v>
      </c>
      <c r="D7406" s="38" t="str">
        <f>IFERROR(__xludf.DUMMYFUNCTION("REGEXREPLACE(C7406,""-\d+(.*)|--\d+(.*)"","""")"),"BAGNOLS-SUR-CEZE")</f>
        <v>BAGNOLS-SUR-CEZE</v>
      </c>
      <c r="E7406" s="38" t="s">
        <v>526</v>
      </c>
      <c r="F7406" s="38" t="s">
        <v>119</v>
      </c>
      <c r="G7406" s="49" t="str">
        <f t="shared" si="1"/>
        <v>30200</v>
      </c>
      <c r="H7406" s="49">
        <f t="shared" si="2"/>
        <v>30028</v>
      </c>
    </row>
    <row r="7407">
      <c r="A7407" s="48" t="s">
        <v>6515</v>
      </c>
      <c r="B7407" s="38">
        <v>62196.0</v>
      </c>
      <c r="C7407" s="38" t="s">
        <v>10946</v>
      </c>
      <c r="D7407" s="38" t="str">
        <f>IFERROR(__xludf.DUMMYFUNCTION("REGEXREPLACE(C7407,""-\d+(.*)|--\d+(.*)"","""")"),"LA CALOTTERIE")</f>
        <v>LA CALOTTERIE</v>
      </c>
      <c r="E7407" s="38" t="s">
        <v>109</v>
      </c>
      <c r="F7407" s="38" t="s">
        <v>86</v>
      </c>
      <c r="G7407" s="49" t="str">
        <f t="shared" si="1"/>
        <v>62170</v>
      </c>
      <c r="H7407" s="49">
        <f t="shared" si="2"/>
        <v>62196</v>
      </c>
    </row>
    <row r="7408">
      <c r="A7408" s="48" t="s">
        <v>1435</v>
      </c>
      <c r="B7408" s="38">
        <v>14269.0</v>
      </c>
      <c r="C7408" s="38" t="s">
        <v>10947</v>
      </c>
      <c r="D7408" s="38" t="str">
        <f>IFERROR(__xludf.DUMMYFUNCTION("REGEXREPLACE(C7408,""-\d+(.*)|--\d+(.*)"","""")"),"FIERVILLE-LES-PARCS")</f>
        <v>FIERVILLE-LES-PARCS</v>
      </c>
      <c r="E7408" s="38" t="s">
        <v>137</v>
      </c>
      <c r="F7408" s="38" t="s">
        <v>138</v>
      </c>
      <c r="G7408" s="49" t="str">
        <f t="shared" si="1"/>
        <v>14130</v>
      </c>
      <c r="H7408" s="49">
        <f t="shared" si="2"/>
        <v>14269</v>
      </c>
    </row>
    <row r="7409">
      <c r="A7409" s="48" t="s">
        <v>1790</v>
      </c>
      <c r="B7409" s="38">
        <v>67432.0</v>
      </c>
      <c r="C7409" s="38" t="s">
        <v>10948</v>
      </c>
      <c r="D7409" s="38" t="str">
        <f>IFERROR(__xludf.DUMMYFUNCTION("REGEXREPLACE(C7409,""-\d+(.*)|--\d+(.*)"","""")"),"SALMBACH")</f>
        <v>SALMBACH</v>
      </c>
      <c r="E7409" s="38" t="s">
        <v>210</v>
      </c>
      <c r="F7409" s="38" t="s">
        <v>151</v>
      </c>
      <c r="G7409" s="49" t="str">
        <f t="shared" si="1"/>
        <v>67160</v>
      </c>
      <c r="H7409" s="49">
        <f t="shared" si="2"/>
        <v>67432</v>
      </c>
    </row>
    <row r="7410">
      <c r="A7410" s="48" t="s">
        <v>1892</v>
      </c>
      <c r="B7410" s="38">
        <v>67147.0</v>
      </c>
      <c r="C7410" s="38" t="s">
        <v>10949</v>
      </c>
      <c r="D7410" s="38" t="str">
        <f>IFERROR(__xludf.DUMMYFUNCTION("REGEXREPLACE(C7410,""-\d+(.*)|--\d+(.*)"","""")"),"FROESCHWILLER")</f>
        <v>FROESCHWILLER</v>
      </c>
      <c r="E7410" s="38" t="s">
        <v>210</v>
      </c>
      <c r="F7410" s="38" t="s">
        <v>151</v>
      </c>
      <c r="G7410" s="49" t="str">
        <f t="shared" si="1"/>
        <v>67360</v>
      </c>
      <c r="H7410" s="49">
        <f t="shared" si="2"/>
        <v>67147</v>
      </c>
    </row>
    <row r="7411">
      <c r="A7411" s="48" t="s">
        <v>10950</v>
      </c>
      <c r="B7411" s="38" t="s">
        <v>10951</v>
      </c>
      <c r="C7411" s="38" t="s">
        <v>10952</v>
      </c>
      <c r="D7411" s="38" t="str">
        <f>IFERROR(__xludf.DUMMYFUNCTION("REGEXREPLACE(C7411,""-\d+(.*)|--\d+(.*)"","""")"),"ZICAVO")</f>
        <v>ZICAVO</v>
      </c>
      <c r="E7411" s="38" t="s">
        <v>606</v>
      </c>
      <c r="F7411" s="38" t="s">
        <v>607</v>
      </c>
      <c r="G7411" s="49" t="str">
        <f t="shared" si="1"/>
        <v>20132</v>
      </c>
      <c r="H7411" s="49" t="str">
        <f t="shared" si="2"/>
        <v>2A359</v>
      </c>
    </row>
    <row r="7412">
      <c r="A7412" s="48" t="s">
        <v>2128</v>
      </c>
      <c r="B7412" s="38">
        <v>2208.0</v>
      </c>
      <c r="C7412" s="38" t="s">
        <v>10953</v>
      </c>
      <c r="D7412" s="38" t="str">
        <f>IFERROR(__xludf.DUMMYFUNCTION("REGEXREPLACE(C7412,""-\d+(.*)|--\d+(.*)"","""")"),"CONCEVREUX")</f>
        <v>CONCEVREUX</v>
      </c>
      <c r="E7412" s="38" t="s">
        <v>191</v>
      </c>
      <c r="F7412" s="38" t="s">
        <v>113</v>
      </c>
      <c r="G7412" s="49" t="str">
        <f t="shared" si="1"/>
        <v>02160</v>
      </c>
      <c r="H7412" s="49" t="str">
        <f t="shared" si="2"/>
        <v>02208</v>
      </c>
    </row>
    <row r="7413">
      <c r="A7413" s="48" t="s">
        <v>10954</v>
      </c>
      <c r="B7413" s="38">
        <v>87091.0</v>
      </c>
      <c r="C7413" s="38" t="s">
        <v>10955</v>
      </c>
      <c r="D7413" s="38" t="str">
        <f>IFERROR(__xludf.DUMMYFUNCTION("REGEXREPLACE(C7413,""-\d+(.*)|--\d+(.*)"","""")"),"MAISONNAIS-SUR-TARDOIRE")</f>
        <v>MAISONNAIS-SUR-TARDOIRE</v>
      </c>
      <c r="E7413" s="38" t="s">
        <v>897</v>
      </c>
      <c r="F7413" s="38" t="s">
        <v>98</v>
      </c>
      <c r="G7413" s="49" t="str">
        <f t="shared" si="1"/>
        <v>87440</v>
      </c>
      <c r="H7413" s="49">
        <f t="shared" si="2"/>
        <v>87091</v>
      </c>
    </row>
    <row r="7414">
      <c r="A7414" s="48" t="s">
        <v>1091</v>
      </c>
      <c r="B7414" s="38">
        <v>57654.0</v>
      </c>
      <c r="C7414" s="38" t="s">
        <v>10956</v>
      </c>
      <c r="D7414" s="38" t="str">
        <f>IFERROR(__xludf.DUMMYFUNCTION("REGEXREPLACE(C7414,""-\d+(.*)|--\d+(.*)"","""")"),"SILLY-SUR-NIED")</f>
        <v>SILLY-SUR-NIED</v>
      </c>
      <c r="E7414" s="38" t="s">
        <v>303</v>
      </c>
      <c r="F7414" s="38" t="s">
        <v>195</v>
      </c>
      <c r="G7414" s="49" t="str">
        <f t="shared" si="1"/>
        <v>57530</v>
      </c>
      <c r="H7414" s="49">
        <f t="shared" si="2"/>
        <v>57654</v>
      </c>
    </row>
    <row r="7415">
      <c r="A7415" s="48" t="s">
        <v>1885</v>
      </c>
      <c r="B7415" s="38">
        <v>27627.0</v>
      </c>
      <c r="C7415" s="38" t="s">
        <v>10957</v>
      </c>
      <c r="D7415" s="38" t="str">
        <f>IFERROR(__xludf.DUMMYFUNCTION("REGEXREPLACE(C7415,""-\d+(.*)|--\d+(.*)"","""")"),"LE THEIL-NOLENT")</f>
        <v>LE THEIL-NOLENT</v>
      </c>
      <c r="E7415" s="38" t="s">
        <v>241</v>
      </c>
      <c r="F7415" s="38" t="s">
        <v>134</v>
      </c>
      <c r="G7415" s="49" t="str">
        <f t="shared" si="1"/>
        <v>27230</v>
      </c>
      <c r="H7415" s="49">
        <f t="shared" si="2"/>
        <v>27627</v>
      </c>
    </row>
    <row r="7416">
      <c r="A7416" s="48" t="s">
        <v>6069</v>
      </c>
      <c r="B7416" s="38">
        <v>50131.0</v>
      </c>
      <c r="C7416" s="38" t="s">
        <v>10958</v>
      </c>
      <c r="D7416" s="38" t="str">
        <f>IFERROR(__xludf.DUMMYFUNCTION("REGEXREPLACE(C7416,""-\d+(.*)|--\d+(.*)"","""")"),"CHERENCE-LE-ROUSSEL")</f>
        <v>CHERENCE-LE-ROUSSEL</v>
      </c>
      <c r="E7416" s="38" t="s">
        <v>157</v>
      </c>
      <c r="F7416" s="38" t="s">
        <v>138</v>
      </c>
      <c r="G7416" s="49" t="str">
        <f t="shared" si="1"/>
        <v>50520</v>
      </c>
      <c r="H7416" s="49">
        <f t="shared" si="2"/>
        <v>50131</v>
      </c>
    </row>
    <row r="7417">
      <c r="A7417" s="48" t="s">
        <v>407</v>
      </c>
      <c r="B7417" s="38">
        <v>71147.0</v>
      </c>
      <c r="C7417" s="38" t="s">
        <v>10959</v>
      </c>
      <c r="D7417" s="38" t="str">
        <f>IFERROR(__xludf.DUMMYFUNCTION("REGEXREPLACE(C7417,""-\d+(.*)|--\d+(.*)"","""")"),"CORTEVAIX")</f>
        <v>CORTEVAIX</v>
      </c>
      <c r="E7417" s="38" t="s">
        <v>344</v>
      </c>
      <c r="F7417" s="38" t="s">
        <v>106</v>
      </c>
      <c r="G7417" s="49" t="str">
        <f t="shared" si="1"/>
        <v>71460</v>
      </c>
      <c r="H7417" s="49">
        <f t="shared" si="2"/>
        <v>71147</v>
      </c>
    </row>
    <row r="7418">
      <c r="A7418" s="48" t="s">
        <v>10960</v>
      </c>
      <c r="B7418" s="38">
        <v>59339.0</v>
      </c>
      <c r="C7418" s="38" t="s">
        <v>10961</v>
      </c>
      <c r="D7418" s="38" t="str">
        <f>IFERROR(__xludf.DUMMYFUNCTION("REGEXREPLACE(C7418,""-\d+(.*)|--\d+(.*)"","""")"),"LEERS")</f>
        <v>LEERS</v>
      </c>
      <c r="E7418" s="38" t="s">
        <v>85</v>
      </c>
      <c r="F7418" s="38" t="s">
        <v>86</v>
      </c>
      <c r="G7418" s="49" t="str">
        <f t="shared" si="1"/>
        <v>59115</v>
      </c>
      <c r="H7418" s="49">
        <f t="shared" si="2"/>
        <v>59339</v>
      </c>
    </row>
    <row r="7419">
      <c r="A7419" s="48" t="s">
        <v>5555</v>
      </c>
      <c r="B7419" s="38">
        <v>82106.0</v>
      </c>
      <c r="C7419" s="38" t="s">
        <v>8326</v>
      </c>
      <c r="D7419" s="38" t="str">
        <f>IFERROR(__xludf.DUMMYFUNCTION("REGEXREPLACE(C7419,""-\d+(.*)|--\d+(.*)"","""")"),"MAUBEC")</f>
        <v>MAUBEC</v>
      </c>
      <c r="E7419" s="38" t="s">
        <v>570</v>
      </c>
      <c r="F7419" s="38" t="s">
        <v>94</v>
      </c>
      <c r="G7419" s="49" t="str">
        <f t="shared" si="1"/>
        <v>82500</v>
      </c>
      <c r="H7419" s="49">
        <f t="shared" si="2"/>
        <v>82106</v>
      </c>
    </row>
    <row r="7420">
      <c r="A7420" s="48" t="s">
        <v>1835</v>
      </c>
      <c r="B7420" s="38">
        <v>76624.0</v>
      </c>
      <c r="C7420" s="38" t="s">
        <v>10962</v>
      </c>
      <c r="D7420" s="38" t="str">
        <f>IFERROR(__xludf.DUMMYFUNCTION("REGEXREPLACE(C7420,""-\d+(.*)|--\d+(.*)"","""")"),"SAINT-NICOLAS-D'ALIERMONT")</f>
        <v>SAINT-NICOLAS-D'ALIERMONT</v>
      </c>
      <c r="E7420" s="38" t="s">
        <v>133</v>
      </c>
      <c r="F7420" s="38" t="s">
        <v>134</v>
      </c>
      <c r="G7420" s="49" t="str">
        <f t="shared" si="1"/>
        <v>76510</v>
      </c>
      <c r="H7420" s="49">
        <f t="shared" si="2"/>
        <v>76624</v>
      </c>
    </row>
    <row r="7421">
      <c r="A7421" s="48" t="s">
        <v>6526</v>
      </c>
      <c r="B7421" s="38">
        <v>69064.0</v>
      </c>
      <c r="C7421" s="38" t="s">
        <v>10963</v>
      </c>
      <c r="D7421" s="38" t="str">
        <f>IFERROR(__xludf.DUMMYFUNCTION("REGEXREPLACE(C7421,""-\d+(.*)|--\d+(.*)"","""")"),"CONDRIEU")</f>
        <v>CONDRIEU</v>
      </c>
      <c r="E7421" s="38" t="s">
        <v>350</v>
      </c>
      <c r="F7421" s="38" t="s">
        <v>102</v>
      </c>
      <c r="G7421" s="49" t="str">
        <f t="shared" si="1"/>
        <v>69420</v>
      </c>
      <c r="H7421" s="49">
        <f t="shared" si="2"/>
        <v>69064</v>
      </c>
    </row>
    <row r="7422">
      <c r="A7422" s="48" t="s">
        <v>9297</v>
      </c>
      <c r="B7422" s="38">
        <v>41107.0</v>
      </c>
      <c r="C7422" s="38" t="s">
        <v>10964</v>
      </c>
      <c r="D7422" s="38" t="str">
        <f>IFERROR(__xludf.DUMMYFUNCTION("REGEXREPLACE(C7422,""-\d+(.*)|--\d+(.*)"","""")"),"LANCE")</f>
        <v>LANCE</v>
      </c>
      <c r="E7422" s="38" t="s">
        <v>188</v>
      </c>
      <c r="F7422" s="38" t="s">
        <v>123</v>
      </c>
      <c r="G7422" s="49" t="str">
        <f t="shared" si="1"/>
        <v>41310</v>
      </c>
      <c r="H7422" s="49">
        <f t="shared" si="2"/>
        <v>41107</v>
      </c>
    </row>
    <row r="7423">
      <c r="A7423" s="48" t="s">
        <v>10965</v>
      </c>
      <c r="B7423" s="38">
        <v>80082.0</v>
      </c>
      <c r="C7423" s="38" t="s">
        <v>10966</v>
      </c>
      <c r="D7423" s="38" t="str">
        <f>IFERROR(__xludf.DUMMYFUNCTION("REGEXREPLACE(C7423,""-\d+(.*)|--\d+(.*)"","""")"),"BELLOY-SUR-SOMME")</f>
        <v>BELLOY-SUR-SOMME</v>
      </c>
      <c r="E7423" s="38" t="s">
        <v>224</v>
      </c>
      <c r="F7423" s="38" t="s">
        <v>113</v>
      </c>
      <c r="G7423" s="49" t="str">
        <f t="shared" si="1"/>
        <v>80310</v>
      </c>
      <c r="H7423" s="49">
        <f t="shared" si="2"/>
        <v>80082</v>
      </c>
    </row>
    <row r="7424">
      <c r="A7424" s="48" t="s">
        <v>736</v>
      </c>
      <c r="B7424" s="38">
        <v>57527.0</v>
      </c>
      <c r="C7424" s="38" t="s">
        <v>10967</v>
      </c>
      <c r="D7424" s="38" t="str">
        <f>IFERROR(__xludf.DUMMYFUNCTION("REGEXREPLACE(C7424,""-\d+(.*)|--\d+(.*)"","""")"),"ORNY")</f>
        <v>ORNY</v>
      </c>
      <c r="E7424" s="38" t="s">
        <v>303</v>
      </c>
      <c r="F7424" s="38" t="s">
        <v>195</v>
      </c>
      <c r="G7424" s="49" t="str">
        <f t="shared" si="1"/>
        <v>57420</v>
      </c>
      <c r="H7424" s="49">
        <f t="shared" si="2"/>
        <v>57527</v>
      </c>
    </row>
    <row r="7425">
      <c r="A7425" s="48" t="s">
        <v>378</v>
      </c>
      <c r="B7425" s="38">
        <v>37180.0</v>
      </c>
      <c r="C7425" s="38" t="s">
        <v>10968</v>
      </c>
      <c r="D7425" s="38" t="str">
        <f>IFERROR(__xludf.DUMMYFUNCTION("REGEXREPLACE(C7425,""-\d+(.*)|--\d+(.*)"","""")"),"PARCAY-SUR-VIENNE")</f>
        <v>PARCAY-SUR-VIENNE</v>
      </c>
      <c r="E7425" s="38" t="s">
        <v>205</v>
      </c>
      <c r="F7425" s="38" t="s">
        <v>123</v>
      </c>
      <c r="G7425" s="49" t="str">
        <f t="shared" si="1"/>
        <v>37220</v>
      </c>
      <c r="H7425" s="49">
        <f t="shared" si="2"/>
        <v>37180</v>
      </c>
    </row>
    <row r="7426">
      <c r="A7426" s="48" t="s">
        <v>2582</v>
      </c>
      <c r="B7426" s="38">
        <v>14057.0</v>
      </c>
      <c r="C7426" s="38" t="s">
        <v>10969</v>
      </c>
      <c r="D7426" s="38" t="str">
        <f>IFERROR(__xludf.DUMMYFUNCTION("REGEXREPLACE(C7426,""-\d+(.*)|--\d+(.*)"","""")"),"BELLENGREVILLE")</f>
        <v>BELLENGREVILLE</v>
      </c>
      <c r="E7426" s="38" t="s">
        <v>137</v>
      </c>
      <c r="F7426" s="38" t="s">
        <v>138</v>
      </c>
      <c r="G7426" s="49" t="str">
        <f t="shared" si="1"/>
        <v>14370</v>
      </c>
      <c r="H7426" s="49">
        <f t="shared" si="2"/>
        <v>14057</v>
      </c>
    </row>
    <row r="7427">
      <c r="A7427" s="48" t="s">
        <v>10970</v>
      </c>
      <c r="B7427" s="38">
        <v>59478.0</v>
      </c>
      <c r="C7427" s="38" t="s">
        <v>10971</v>
      </c>
      <c r="D7427" s="38" t="str">
        <f>IFERROR(__xludf.DUMMYFUNCTION("REGEXREPLACE(C7427,""-\d+(.*)|--\d+(.*)"","""")"),"QUAEDYPRE")</f>
        <v>QUAEDYPRE</v>
      </c>
      <c r="E7427" s="38" t="s">
        <v>85</v>
      </c>
      <c r="F7427" s="38" t="s">
        <v>86</v>
      </c>
      <c r="G7427" s="49" t="str">
        <f t="shared" si="1"/>
        <v>59380</v>
      </c>
      <c r="H7427" s="49">
        <f t="shared" si="2"/>
        <v>59478</v>
      </c>
    </row>
    <row r="7428">
      <c r="A7428" s="48" t="s">
        <v>6269</v>
      </c>
      <c r="B7428" s="38">
        <v>24047.0</v>
      </c>
      <c r="C7428" s="38" t="s">
        <v>10972</v>
      </c>
      <c r="D7428" s="38" t="str">
        <f>IFERROR(__xludf.DUMMYFUNCTION("REGEXREPLACE(C7428,""-\d+(.*)|--\d+(.*)"","""")"),"LA BOISSIERE-D'ANS")</f>
        <v>LA BOISSIERE-D'ANS</v>
      </c>
      <c r="E7428" s="38" t="s">
        <v>261</v>
      </c>
      <c r="F7428" s="38" t="s">
        <v>252</v>
      </c>
      <c r="G7428" s="49" t="str">
        <f t="shared" si="1"/>
        <v>24640</v>
      </c>
      <c r="H7428" s="49">
        <f t="shared" si="2"/>
        <v>24047</v>
      </c>
    </row>
    <row r="7429">
      <c r="A7429" s="48" t="s">
        <v>6021</v>
      </c>
      <c r="B7429" s="38">
        <v>30251.0</v>
      </c>
      <c r="C7429" s="38" t="s">
        <v>10973</v>
      </c>
      <c r="D7429" s="38" t="str">
        <f>IFERROR(__xludf.DUMMYFUNCTION("REGEXREPLACE(C7429,""-\d+(.*)|--\d+(.*)"","""")"),"SAINT-ETIENNE-DES-SORTS")</f>
        <v>SAINT-ETIENNE-DES-SORTS</v>
      </c>
      <c r="E7429" s="38" t="s">
        <v>526</v>
      </c>
      <c r="F7429" s="38" t="s">
        <v>119</v>
      </c>
      <c r="G7429" s="49" t="str">
        <f t="shared" si="1"/>
        <v>30200</v>
      </c>
      <c r="H7429" s="49">
        <f t="shared" si="2"/>
        <v>30251</v>
      </c>
    </row>
    <row r="7430">
      <c r="A7430" s="48" t="s">
        <v>10974</v>
      </c>
      <c r="B7430" s="38">
        <v>66061.0</v>
      </c>
      <c r="C7430" s="38" t="s">
        <v>10975</v>
      </c>
      <c r="D7430" s="38" t="str">
        <f>IFERROR(__xludf.DUMMYFUNCTION("REGEXREPLACE(C7430,""-\d+(.*)|--\d+(.*)"","""")"),"COUSTOUGES")</f>
        <v>COUSTOUGES</v>
      </c>
      <c r="E7430" s="38" t="s">
        <v>248</v>
      </c>
      <c r="F7430" s="38" t="s">
        <v>119</v>
      </c>
      <c r="G7430" s="49" t="str">
        <f t="shared" si="1"/>
        <v>66260</v>
      </c>
      <c r="H7430" s="49">
        <f t="shared" si="2"/>
        <v>66061</v>
      </c>
    </row>
    <row r="7431">
      <c r="A7431" s="48" t="s">
        <v>7655</v>
      </c>
      <c r="B7431" s="38">
        <v>37018.0</v>
      </c>
      <c r="C7431" s="38" t="s">
        <v>10976</v>
      </c>
      <c r="D7431" s="38" t="str">
        <f>IFERROR(__xludf.DUMMYFUNCTION("REGEXREPLACE(C7431,""-\d+(.*)|--\d+(.*)"","""")"),"BALLAN-MIRE")</f>
        <v>BALLAN-MIRE</v>
      </c>
      <c r="E7431" s="38" t="s">
        <v>205</v>
      </c>
      <c r="F7431" s="38" t="s">
        <v>123</v>
      </c>
      <c r="G7431" s="49" t="str">
        <f t="shared" si="1"/>
        <v>37510</v>
      </c>
      <c r="H7431" s="49">
        <f t="shared" si="2"/>
        <v>37018</v>
      </c>
    </row>
    <row r="7432">
      <c r="A7432" s="48" t="s">
        <v>3928</v>
      </c>
      <c r="B7432" s="38">
        <v>78506.0</v>
      </c>
      <c r="C7432" s="38" t="s">
        <v>10977</v>
      </c>
      <c r="D7432" s="38" t="str">
        <f>IFERROR(__xludf.DUMMYFUNCTION("REGEXREPLACE(C7432,""-\d+(.*)|--\d+(.*)"","""")"),"PRUNAY-EN-YVELINES")</f>
        <v>PRUNAY-EN-YVELINES</v>
      </c>
      <c r="E7432" s="38" t="s">
        <v>362</v>
      </c>
      <c r="F7432" s="38" t="s">
        <v>245</v>
      </c>
      <c r="G7432" s="49" t="str">
        <f t="shared" si="1"/>
        <v>78660</v>
      </c>
      <c r="H7432" s="49">
        <f t="shared" si="2"/>
        <v>78506</v>
      </c>
    </row>
    <row r="7433">
      <c r="A7433" s="48" t="s">
        <v>4676</v>
      </c>
      <c r="B7433" s="38">
        <v>48064.0</v>
      </c>
      <c r="C7433" s="38" t="s">
        <v>10978</v>
      </c>
      <c r="D7433" s="38" t="str">
        <f>IFERROR(__xludf.DUMMYFUNCTION("REGEXREPLACE(C7433,""-\d+(.*)|--\d+(.*)"","""")"),"FOURNELS")</f>
        <v>FOURNELS</v>
      </c>
      <c r="E7433" s="38" t="s">
        <v>154</v>
      </c>
      <c r="F7433" s="38" t="s">
        <v>119</v>
      </c>
      <c r="G7433" s="49" t="str">
        <f t="shared" si="1"/>
        <v>48310</v>
      </c>
      <c r="H7433" s="49">
        <f t="shared" si="2"/>
        <v>48064</v>
      </c>
    </row>
    <row r="7434">
      <c r="A7434" s="48" t="s">
        <v>1381</v>
      </c>
      <c r="B7434" s="38">
        <v>62385.0</v>
      </c>
      <c r="C7434" s="38" t="s">
        <v>10979</v>
      </c>
      <c r="D7434" s="38" t="str">
        <f>IFERROR(__xludf.DUMMYFUNCTION("REGEXREPLACE(C7434,""-\d+(.*)|--\d+(.*)"","""")"),"GRAND-RULLECOURT")</f>
        <v>GRAND-RULLECOURT</v>
      </c>
      <c r="E7434" s="38" t="s">
        <v>109</v>
      </c>
      <c r="F7434" s="38" t="s">
        <v>86</v>
      </c>
      <c r="G7434" s="49" t="str">
        <f t="shared" si="1"/>
        <v>62810</v>
      </c>
      <c r="H7434" s="49">
        <f t="shared" si="2"/>
        <v>62385</v>
      </c>
    </row>
    <row r="7435">
      <c r="A7435" s="48" t="s">
        <v>1033</v>
      </c>
      <c r="B7435" s="38">
        <v>67375.0</v>
      </c>
      <c r="C7435" s="38" t="s">
        <v>10980</v>
      </c>
      <c r="D7435" s="38" t="str">
        <f>IFERROR(__xludf.DUMMYFUNCTION("REGEXREPLACE(C7435,""-\d+(.*)|--\d+(.*)"","""")"),"PFULGRIESHEIM")</f>
        <v>PFULGRIESHEIM</v>
      </c>
      <c r="E7435" s="38" t="s">
        <v>210</v>
      </c>
      <c r="F7435" s="38" t="s">
        <v>151</v>
      </c>
      <c r="G7435" s="49" t="str">
        <f t="shared" si="1"/>
        <v>67370</v>
      </c>
      <c r="H7435" s="49">
        <f t="shared" si="2"/>
        <v>67375</v>
      </c>
    </row>
    <row r="7436">
      <c r="A7436" s="48" t="s">
        <v>5634</v>
      </c>
      <c r="B7436" s="38">
        <v>72071.0</v>
      </c>
      <c r="C7436" s="38" t="s">
        <v>10981</v>
      </c>
      <c r="D7436" s="38" t="str">
        <f>IFERROR(__xludf.DUMMYFUNCTION("REGEXREPLACE(C7436,""-\d+(.*)|--\d+(.*)"","""")"),"CHATEAU-DU-LOIR")</f>
        <v>CHATEAU-DU-LOIR</v>
      </c>
      <c r="E7436" s="38" t="s">
        <v>521</v>
      </c>
      <c r="F7436" s="38" t="s">
        <v>180</v>
      </c>
      <c r="G7436" s="49" t="str">
        <f t="shared" si="1"/>
        <v>72500</v>
      </c>
      <c r="H7436" s="49">
        <f t="shared" si="2"/>
        <v>72071</v>
      </c>
    </row>
    <row r="7437">
      <c r="A7437" s="48" t="s">
        <v>628</v>
      </c>
      <c r="B7437" s="38">
        <v>45061.0</v>
      </c>
      <c r="C7437" s="38" t="s">
        <v>10982</v>
      </c>
      <c r="D7437" s="38" t="str">
        <f>IFERROR(__xludf.DUMMYFUNCTION("REGEXREPLACE(C7437,""-\d+(.*)|--\d+(.*)"","""")"),"CEPOY")</f>
        <v>CEPOY</v>
      </c>
      <c r="E7437" s="38" t="s">
        <v>122</v>
      </c>
      <c r="F7437" s="38" t="s">
        <v>123</v>
      </c>
      <c r="G7437" s="49" t="str">
        <f t="shared" si="1"/>
        <v>45120</v>
      </c>
      <c r="H7437" s="49">
        <f t="shared" si="2"/>
        <v>45061</v>
      </c>
    </row>
    <row r="7438">
      <c r="A7438" s="48" t="s">
        <v>1540</v>
      </c>
      <c r="B7438" s="38">
        <v>70429.0</v>
      </c>
      <c r="C7438" s="38" t="s">
        <v>10983</v>
      </c>
      <c r="D7438" s="38" t="str">
        <f>IFERROR(__xludf.DUMMYFUNCTION("REGEXREPLACE(C7438,""-\d+(.*)|--\d+(.*)"","""")"),"PUSY-ET-EPENOUX")</f>
        <v>PUSY-ET-EPENOUX</v>
      </c>
      <c r="E7438" s="38" t="s">
        <v>956</v>
      </c>
      <c r="F7438" s="38" t="s">
        <v>214</v>
      </c>
      <c r="G7438" s="49" t="str">
        <f t="shared" si="1"/>
        <v>70000</v>
      </c>
      <c r="H7438" s="49">
        <f t="shared" si="2"/>
        <v>70429</v>
      </c>
    </row>
    <row r="7439">
      <c r="A7439" s="48" t="s">
        <v>10984</v>
      </c>
      <c r="B7439" s="38">
        <v>62737.0</v>
      </c>
      <c r="C7439" s="38" t="s">
        <v>10985</v>
      </c>
      <c r="D7439" s="38" t="str">
        <f>IFERROR(__xludf.DUMMYFUNCTION("REGEXREPLACE(C7439,""-\d+(.*)|--\d+(.*)"","""")"),"SAINS-EN-GOHELLE")</f>
        <v>SAINS-EN-GOHELLE</v>
      </c>
      <c r="E7439" s="38" t="s">
        <v>109</v>
      </c>
      <c r="F7439" s="38" t="s">
        <v>86</v>
      </c>
      <c r="G7439" s="49" t="str">
        <f t="shared" si="1"/>
        <v>62114</v>
      </c>
      <c r="H7439" s="49">
        <f t="shared" si="2"/>
        <v>62737</v>
      </c>
    </row>
    <row r="7440">
      <c r="A7440" s="48" t="s">
        <v>3154</v>
      </c>
      <c r="B7440" s="38">
        <v>15189.0</v>
      </c>
      <c r="C7440" s="38" t="s">
        <v>10986</v>
      </c>
      <c r="D7440" s="38" t="str">
        <f>IFERROR(__xludf.DUMMYFUNCTION("REGEXREPLACE(C7440,""-\d+(.*)|--\d+(.*)"","""")"),"SAINT-GERONS")</f>
        <v>SAINT-GERONS</v>
      </c>
      <c r="E7440" s="38" t="s">
        <v>632</v>
      </c>
      <c r="F7440" s="38" t="s">
        <v>161</v>
      </c>
      <c r="G7440" s="49" t="str">
        <f t="shared" si="1"/>
        <v>15150</v>
      </c>
      <c r="H7440" s="49">
        <f t="shared" si="2"/>
        <v>15189</v>
      </c>
    </row>
    <row r="7441">
      <c r="A7441" s="48" t="s">
        <v>10987</v>
      </c>
      <c r="B7441" s="38">
        <v>31073.0</v>
      </c>
      <c r="C7441" s="38" t="s">
        <v>10988</v>
      </c>
      <c r="D7441" s="38" t="str">
        <f>IFERROR(__xludf.DUMMYFUNCTION("REGEXREPLACE(C7441,""-\d+(.*)|--\d+(.*)"","""")"),"BONDIGOUX")</f>
        <v>BONDIGOUX</v>
      </c>
      <c r="E7441" s="38" t="s">
        <v>93</v>
      </c>
      <c r="F7441" s="38" t="s">
        <v>94</v>
      </c>
      <c r="G7441" s="49" t="str">
        <f t="shared" si="1"/>
        <v>31340</v>
      </c>
      <c r="H7441" s="49">
        <f t="shared" si="2"/>
        <v>31073</v>
      </c>
    </row>
    <row r="7442">
      <c r="A7442" s="48" t="s">
        <v>4328</v>
      </c>
      <c r="B7442" s="38">
        <v>70533.0</v>
      </c>
      <c r="C7442" s="38" t="s">
        <v>10989</v>
      </c>
      <c r="D7442" s="38" t="str">
        <f>IFERROR(__xludf.DUMMYFUNCTION("REGEXREPLACE(C7442,""-\d+(.*)|--\d+(.*)"","""")"),"VELLEFREY-ET-VELLEFRANGE")</f>
        <v>VELLEFREY-ET-VELLEFRANGE</v>
      </c>
      <c r="E7442" s="38" t="s">
        <v>956</v>
      </c>
      <c r="F7442" s="38" t="s">
        <v>214</v>
      </c>
      <c r="G7442" s="49" t="str">
        <f t="shared" si="1"/>
        <v>70700</v>
      </c>
      <c r="H7442" s="49">
        <f t="shared" si="2"/>
        <v>70533</v>
      </c>
    </row>
    <row r="7443">
      <c r="A7443" s="48" t="s">
        <v>8414</v>
      </c>
      <c r="B7443" s="38">
        <v>60497.0</v>
      </c>
      <c r="C7443" s="38" t="s">
        <v>10990</v>
      </c>
      <c r="D7443" s="38" t="str">
        <f>IFERROR(__xludf.DUMMYFUNCTION("REGEXREPLACE(C7443,""-\d+(.*)|--\d+(.*)"","""")"),"LE PLESSIER-SUR-BULLES")</f>
        <v>LE PLESSIER-SUR-BULLES</v>
      </c>
      <c r="E7443" s="38" t="s">
        <v>112</v>
      </c>
      <c r="F7443" s="38" t="s">
        <v>113</v>
      </c>
      <c r="G7443" s="49" t="str">
        <f t="shared" si="1"/>
        <v>60130</v>
      </c>
      <c r="H7443" s="49">
        <f t="shared" si="2"/>
        <v>60497</v>
      </c>
    </row>
    <row r="7444">
      <c r="A7444" s="48" t="s">
        <v>9890</v>
      </c>
      <c r="B7444" s="38">
        <v>21628.0</v>
      </c>
      <c r="C7444" s="38" t="s">
        <v>10991</v>
      </c>
      <c r="D7444" s="38" t="str">
        <f>IFERROR(__xludf.DUMMYFUNCTION("REGEXREPLACE(C7444,""-\d+(.*)|--\d+(.*)"","""")"),"THOIRES")</f>
        <v>THOIRES</v>
      </c>
      <c r="E7444" s="38" t="s">
        <v>105</v>
      </c>
      <c r="F7444" s="38" t="s">
        <v>106</v>
      </c>
      <c r="G7444" s="49" t="str">
        <f t="shared" si="1"/>
        <v>21570</v>
      </c>
      <c r="H7444" s="49">
        <f t="shared" si="2"/>
        <v>21628</v>
      </c>
    </row>
    <row r="7445">
      <c r="A7445" s="48" t="s">
        <v>5850</v>
      </c>
      <c r="B7445" s="38">
        <v>22175.0</v>
      </c>
      <c r="C7445" s="38" t="s">
        <v>10992</v>
      </c>
      <c r="D7445" s="38" t="str">
        <f>IFERROR(__xludf.DUMMYFUNCTION("REGEXREPLACE(C7445,""-\d+(.*)|--\d+(.*)"","""")"),"PLEDELIAC")</f>
        <v>PLEDELIAC</v>
      </c>
      <c r="E7445" s="38" t="s">
        <v>89</v>
      </c>
      <c r="F7445" s="38" t="s">
        <v>90</v>
      </c>
      <c r="G7445" s="49" t="str">
        <f t="shared" si="1"/>
        <v>22270</v>
      </c>
      <c r="H7445" s="49">
        <f t="shared" si="2"/>
        <v>22175</v>
      </c>
    </row>
    <row r="7446">
      <c r="A7446" s="48" t="s">
        <v>5515</v>
      </c>
      <c r="B7446" s="38">
        <v>72274.0</v>
      </c>
      <c r="C7446" s="38" t="s">
        <v>10993</v>
      </c>
      <c r="D7446" s="38" t="str">
        <f>IFERROR(__xludf.DUMMYFUNCTION("REGEXREPLACE(C7446,""-\d+(.*)|--\d+(.*)"","""")"),"SAINT-CHRISTOPHE-EN-CHAMPAGNE")</f>
        <v>SAINT-CHRISTOPHE-EN-CHAMPAGNE</v>
      </c>
      <c r="E7446" s="38" t="s">
        <v>521</v>
      </c>
      <c r="F7446" s="38" t="s">
        <v>180</v>
      </c>
      <c r="G7446" s="49" t="str">
        <f t="shared" si="1"/>
        <v>72540</v>
      </c>
      <c r="H7446" s="49">
        <f t="shared" si="2"/>
        <v>72274</v>
      </c>
    </row>
    <row r="7447">
      <c r="A7447" s="48" t="s">
        <v>5956</v>
      </c>
      <c r="B7447" s="38">
        <v>62014.0</v>
      </c>
      <c r="C7447" s="38" t="s">
        <v>10994</v>
      </c>
      <c r="D7447" s="38" t="str">
        <f>IFERROR(__xludf.DUMMYFUNCTION("REGEXREPLACE(C7447,""-\d+(.*)|--\d+(.*)"","""")"),"AIRE-SUR-LA-LYS")</f>
        <v>AIRE-SUR-LA-LYS</v>
      </c>
      <c r="E7447" s="38" t="s">
        <v>109</v>
      </c>
      <c r="F7447" s="38" t="s">
        <v>86</v>
      </c>
      <c r="G7447" s="49" t="str">
        <f t="shared" si="1"/>
        <v>62120</v>
      </c>
      <c r="H7447" s="49">
        <f t="shared" si="2"/>
        <v>62014</v>
      </c>
    </row>
    <row r="7448">
      <c r="A7448" s="48" t="s">
        <v>8252</v>
      </c>
      <c r="B7448" s="38">
        <v>60215.0</v>
      </c>
      <c r="C7448" s="38" t="s">
        <v>10995</v>
      </c>
      <c r="D7448" s="38" t="str">
        <f>IFERROR(__xludf.DUMMYFUNCTION("REGEXREPLACE(C7448,""-\d+(.*)|--\d+(.*)"","""")"),"ERQUERY")</f>
        <v>ERQUERY</v>
      </c>
      <c r="E7448" s="38" t="s">
        <v>112</v>
      </c>
      <c r="F7448" s="38" t="s">
        <v>113</v>
      </c>
      <c r="G7448" s="49" t="str">
        <f t="shared" si="1"/>
        <v>60600</v>
      </c>
      <c r="H7448" s="49">
        <f t="shared" si="2"/>
        <v>60215</v>
      </c>
    </row>
    <row r="7449">
      <c r="A7449" s="48" t="s">
        <v>10996</v>
      </c>
      <c r="B7449" s="38">
        <v>29274.0</v>
      </c>
      <c r="C7449" s="38" t="s">
        <v>10997</v>
      </c>
      <c r="D7449" s="38" t="str">
        <f>IFERROR(__xludf.DUMMYFUNCTION("REGEXREPLACE(C7449,""-\d+(.*)|--\d+(.*)"","""")"),"SCAER")</f>
        <v>SCAER</v>
      </c>
      <c r="E7449" s="38" t="s">
        <v>176</v>
      </c>
      <c r="F7449" s="38" t="s">
        <v>90</v>
      </c>
      <c r="G7449" s="49" t="str">
        <f t="shared" si="1"/>
        <v>29390</v>
      </c>
      <c r="H7449" s="49">
        <f t="shared" si="2"/>
        <v>29274</v>
      </c>
    </row>
    <row r="7450">
      <c r="A7450" s="48" t="s">
        <v>8320</v>
      </c>
      <c r="B7450" s="38">
        <v>1404.0</v>
      </c>
      <c r="C7450" s="38" t="s">
        <v>10998</v>
      </c>
      <c r="D7450" s="38" t="str">
        <f>IFERROR(__xludf.DUMMYFUNCTION("REGEXREPLACE(C7450,""-\d+(.*)|--\d+(.*)"","""")"),"SERRIERES-SUR-AIN")</f>
        <v>SERRIERES-SUR-AIN</v>
      </c>
      <c r="E7450" s="38" t="s">
        <v>255</v>
      </c>
      <c r="F7450" s="38" t="s">
        <v>102</v>
      </c>
      <c r="G7450" s="49" t="str">
        <f t="shared" si="1"/>
        <v>01450</v>
      </c>
      <c r="H7450" s="49" t="str">
        <f t="shared" si="2"/>
        <v>01404</v>
      </c>
    </row>
    <row r="7451">
      <c r="A7451" s="48" t="s">
        <v>10999</v>
      </c>
      <c r="B7451" s="38">
        <v>66001.0</v>
      </c>
      <c r="C7451" s="38" t="s">
        <v>11000</v>
      </c>
      <c r="D7451" s="38" t="str">
        <f>IFERROR(__xludf.DUMMYFUNCTION("REGEXREPLACE(C7451,""-\d+(.*)|--\d+(.*)"","""")"),"L'ALBERE")</f>
        <v>L'ALBERE</v>
      </c>
      <c r="E7451" s="38" t="s">
        <v>248</v>
      </c>
      <c r="F7451" s="38" t="s">
        <v>119</v>
      </c>
      <c r="G7451" s="49" t="str">
        <f t="shared" si="1"/>
        <v>66480</v>
      </c>
      <c r="H7451" s="49">
        <f t="shared" si="2"/>
        <v>66001</v>
      </c>
    </row>
    <row r="7452">
      <c r="A7452" s="48" t="s">
        <v>546</v>
      </c>
      <c r="B7452" s="38">
        <v>54433.0</v>
      </c>
      <c r="C7452" s="38" t="s">
        <v>11001</v>
      </c>
      <c r="D7452" s="38" t="str">
        <f>IFERROR(__xludf.DUMMYFUNCTION("REGEXREPLACE(C7452,""-\d+(.*)|--\d+(.*)"","""")"),"PORT-SUR-SEILLE")</f>
        <v>PORT-SUR-SEILLE</v>
      </c>
      <c r="E7452" s="38" t="s">
        <v>548</v>
      </c>
      <c r="F7452" s="38" t="s">
        <v>195</v>
      </c>
      <c r="G7452" s="49" t="str">
        <f t="shared" si="1"/>
        <v>54700</v>
      </c>
      <c r="H7452" s="49">
        <f t="shared" si="2"/>
        <v>54433</v>
      </c>
    </row>
    <row r="7453">
      <c r="A7453" s="48" t="s">
        <v>2837</v>
      </c>
      <c r="B7453" s="38">
        <v>17339.0</v>
      </c>
      <c r="C7453" s="38" t="s">
        <v>11002</v>
      </c>
      <c r="D7453" s="38" t="str">
        <f>IFERROR(__xludf.DUMMYFUNCTION("REGEXREPLACE(C7453,""-\d+(.*)|--\d+(.*)"","""")"),"SAINT-GERMAIN-DE-LUSIGNAN")</f>
        <v>SAINT-GERMAIN-DE-LUSIGNAN</v>
      </c>
      <c r="E7453" s="38" t="s">
        <v>488</v>
      </c>
      <c r="F7453" s="38" t="s">
        <v>338</v>
      </c>
      <c r="G7453" s="49" t="str">
        <f t="shared" si="1"/>
        <v>17500</v>
      </c>
      <c r="H7453" s="49">
        <f t="shared" si="2"/>
        <v>17339</v>
      </c>
    </row>
    <row r="7454">
      <c r="A7454" s="48" t="s">
        <v>3335</v>
      </c>
      <c r="B7454" s="38">
        <v>53199.0</v>
      </c>
      <c r="C7454" s="38" t="s">
        <v>11003</v>
      </c>
      <c r="D7454" s="38" t="str">
        <f>IFERROR(__xludf.DUMMYFUNCTION("REGEXREPLACE(C7454,""-\d+(.*)|--\d+(.*)"","""")"),"SAINT-AUBIN-FOSSE-LOUVAIN")</f>
        <v>SAINT-AUBIN-FOSSE-LOUVAIN</v>
      </c>
      <c r="E7454" s="38" t="s">
        <v>518</v>
      </c>
      <c r="F7454" s="38" t="s">
        <v>180</v>
      </c>
      <c r="G7454" s="49" t="str">
        <f t="shared" si="1"/>
        <v>53120</v>
      </c>
      <c r="H7454" s="49">
        <f t="shared" si="2"/>
        <v>53199</v>
      </c>
    </row>
    <row r="7455">
      <c r="A7455" s="48" t="s">
        <v>944</v>
      </c>
      <c r="B7455" s="38">
        <v>61224.0</v>
      </c>
      <c r="C7455" s="38" t="s">
        <v>11004</v>
      </c>
      <c r="D7455" s="38" t="str">
        <f>IFERROR(__xludf.DUMMYFUNCTION("REGEXREPLACE(C7455,""-\d+(.*)|--\d+(.*)"","""")"),"LARRE")</f>
        <v>LARRE</v>
      </c>
      <c r="E7455" s="38" t="s">
        <v>141</v>
      </c>
      <c r="F7455" s="38" t="s">
        <v>138</v>
      </c>
      <c r="G7455" s="49" t="str">
        <f t="shared" si="1"/>
        <v>61250</v>
      </c>
      <c r="H7455" s="49">
        <f t="shared" si="2"/>
        <v>61224</v>
      </c>
    </row>
    <row r="7456">
      <c r="A7456" s="48" t="s">
        <v>390</v>
      </c>
      <c r="B7456" s="38">
        <v>11201.0</v>
      </c>
      <c r="C7456" s="38" t="s">
        <v>11005</v>
      </c>
      <c r="D7456" s="38" t="str">
        <f>IFERROR(__xludf.DUMMYFUNCTION("REGEXREPLACE(C7456,""-\d+(.*)|--\d+(.*)"","""")"),"LEUC")</f>
        <v>LEUC</v>
      </c>
      <c r="E7456" s="38" t="s">
        <v>278</v>
      </c>
      <c r="F7456" s="38" t="s">
        <v>119</v>
      </c>
      <c r="G7456" s="49" t="str">
        <f t="shared" si="1"/>
        <v>11250</v>
      </c>
      <c r="H7456" s="49">
        <f t="shared" si="2"/>
        <v>11201</v>
      </c>
    </row>
    <row r="7457">
      <c r="A7457" s="48" t="s">
        <v>2770</v>
      </c>
      <c r="B7457" s="38">
        <v>25510.0</v>
      </c>
      <c r="C7457" s="38" t="s">
        <v>11006</v>
      </c>
      <c r="D7457" s="38" t="str">
        <f>IFERROR(__xludf.DUMMYFUNCTION("REGEXREPLACE(C7457,""-\d+(.*)|--\d+(.*)"","""")"),"RUFFEY-LE-CHATEAU")</f>
        <v>RUFFEY-LE-CHATEAU</v>
      </c>
      <c r="E7457" s="38" t="s">
        <v>213</v>
      </c>
      <c r="F7457" s="38" t="s">
        <v>214</v>
      </c>
      <c r="G7457" s="49" t="str">
        <f t="shared" si="1"/>
        <v>25170</v>
      </c>
      <c r="H7457" s="49">
        <f t="shared" si="2"/>
        <v>25510</v>
      </c>
    </row>
    <row r="7458">
      <c r="A7458" s="48" t="s">
        <v>11007</v>
      </c>
      <c r="B7458" s="38">
        <v>17438.0</v>
      </c>
      <c r="C7458" s="38" t="s">
        <v>11008</v>
      </c>
      <c r="D7458" s="38" t="str">
        <f>IFERROR(__xludf.DUMMYFUNCTION("REGEXREPLACE(C7458,""-\d+(.*)|--\d+(.*)"","""")"),"TANZAC")</f>
        <v>TANZAC</v>
      </c>
      <c r="E7458" s="38" t="s">
        <v>488</v>
      </c>
      <c r="F7458" s="38" t="s">
        <v>338</v>
      </c>
      <c r="G7458" s="49" t="str">
        <f t="shared" si="1"/>
        <v>17260</v>
      </c>
      <c r="H7458" s="49">
        <f t="shared" si="2"/>
        <v>17438</v>
      </c>
    </row>
    <row r="7459">
      <c r="A7459" s="48" t="s">
        <v>11009</v>
      </c>
      <c r="B7459" s="38">
        <v>33177.0</v>
      </c>
      <c r="C7459" s="38" t="s">
        <v>11010</v>
      </c>
      <c r="D7459" s="38" t="str">
        <f>IFERROR(__xludf.DUMMYFUNCTION("REGEXREPLACE(C7459,""-\d+(.*)|--\d+(.*)"","""")"),"GAILLAN-EN-MEDOC")</f>
        <v>GAILLAN-EN-MEDOC</v>
      </c>
      <c r="E7459" s="38" t="s">
        <v>462</v>
      </c>
      <c r="F7459" s="38" t="s">
        <v>252</v>
      </c>
      <c r="G7459" s="49" t="str">
        <f t="shared" si="1"/>
        <v>33340</v>
      </c>
      <c r="H7459" s="49">
        <f t="shared" si="2"/>
        <v>33177</v>
      </c>
    </row>
    <row r="7460">
      <c r="A7460" s="48" t="s">
        <v>11011</v>
      </c>
      <c r="B7460" s="38">
        <v>14174.0</v>
      </c>
      <c r="C7460" s="38" t="s">
        <v>11012</v>
      </c>
      <c r="D7460" s="38" t="str">
        <f>IFERROR(__xludf.DUMMYFUNCTION("REGEXREPLACE(C7460,""-\d+(.*)|--\d+(.*)"","""")"),"CONDE-SUR-NOIREAU")</f>
        <v>CONDE-SUR-NOIREAU</v>
      </c>
      <c r="E7460" s="38" t="s">
        <v>137</v>
      </c>
      <c r="F7460" s="38" t="s">
        <v>138</v>
      </c>
      <c r="G7460" s="49" t="str">
        <f t="shared" si="1"/>
        <v>14110</v>
      </c>
      <c r="H7460" s="49">
        <f t="shared" si="2"/>
        <v>14174</v>
      </c>
    </row>
    <row r="7461">
      <c r="A7461" s="48" t="s">
        <v>582</v>
      </c>
      <c r="B7461" s="38">
        <v>39236.0</v>
      </c>
      <c r="C7461" s="38" t="s">
        <v>2945</v>
      </c>
      <c r="D7461" s="38" t="str">
        <f>IFERROR(__xludf.DUMMYFUNCTION("REGEXREPLACE(C7461,""-\d+(.*)|--\d+(.*)"","""")"),"FRANCHEVILLE")</f>
        <v>FRANCHEVILLE</v>
      </c>
      <c r="E7461" s="38" t="s">
        <v>400</v>
      </c>
      <c r="F7461" s="38" t="s">
        <v>214</v>
      </c>
      <c r="G7461" s="49" t="str">
        <f t="shared" si="1"/>
        <v>39230</v>
      </c>
      <c r="H7461" s="49">
        <f t="shared" si="2"/>
        <v>39236</v>
      </c>
    </row>
    <row r="7462">
      <c r="A7462" s="48" t="s">
        <v>535</v>
      </c>
      <c r="B7462" s="38">
        <v>36070.0</v>
      </c>
      <c r="C7462" s="38" t="s">
        <v>11013</v>
      </c>
      <c r="D7462" s="38" t="str">
        <f>IFERROR(__xludf.DUMMYFUNCTION("REGEXREPLACE(C7462,""-\d+(.*)|--\d+(.*)"","""")"),"EGUZON-CHANTOME")</f>
        <v>EGUZON-CHANTOME</v>
      </c>
      <c r="E7462" s="38" t="s">
        <v>258</v>
      </c>
      <c r="F7462" s="38" t="s">
        <v>123</v>
      </c>
      <c r="G7462" s="49" t="str">
        <f t="shared" si="1"/>
        <v>36270</v>
      </c>
      <c r="H7462" s="49">
        <f t="shared" si="2"/>
        <v>36070</v>
      </c>
    </row>
    <row r="7463">
      <c r="A7463" s="48" t="s">
        <v>5425</v>
      </c>
      <c r="B7463" s="38">
        <v>82139.0</v>
      </c>
      <c r="C7463" s="38" t="s">
        <v>820</v>
      </c>
      <c r="D7463" s="38" t="str">
        <f>IFERROR(__xludf.DUMMYFUNCTION("REGEXREPLACE(C7463,""-\d+(.*)|--\d+(.*)"","""")"),"LE PIN")</f>
        <v>LE PIN</v>
      </c>
      <c r="E7463" s="38" t="s">
        <v>570</v>
      </c>
      <c r="F7463" s="38" t="s">
        <v>94</v>
      </c>
      <c r="G7463" s="49" t="str">
        <f t="shared" si="1"/>
        <v>82340</v>
      </c>
      <c r="H7463" s="49">
        <f t="shared" si="2"/>
        <v>82139</v>
      </c>
    </row>
    <row r="7464">
      <c r="A7464" s="48" t="s">
        <v>1760</v>
      </c>
      <c r="B7464" s="38" t="s">
        <v>11014</v>
      </c>
      <c r="C7464" s="38" t="s">
        <v>11015</v>
      </c>
      <c r="D7464" s="38" t="str">
        <f>IFERROR(__xludf.DUMMYFUNCTION("REGEXREPLACE(C7464,""-\d+(.*)|--\d+(.*)"","""")"),"OLMETA-DI-TUDA")</f>
        <v>OLMETA-DI-TUDA</v>
      </c>
      <c r="E7464" s="38" t="s">
        <v>743</v>
      </c>
      <c r="F7464" s="38" t="s">
        <v>607</v>
      </c>
      <c r="G7464" s="49" t="str">
        <f t="shared" si="1"/>
        <v>20232</v>
      </c>
      <c r="H7464" s="49" t="str">
        <f t="shared" si="2"/>
        <v>2B188</v>
      </c>
    </row>
    <row r="7465">
      <c r="A7465" s="48" t="s">
        <v>1262</v>
      </c>
      <c r="B7465" s="38">
        <v>11356.0</v>
      </c>
      <c r="C7465" s="38" t="s">
        <v>11016</v>
      </c>
      <c r="D7465" s="38" t="str">
        <f>IFERROR(__xludf.DUMMYFUNCTION("REGEXREPLACE(C7465,""-\d+(.*)|--\d+(.*)"","""")"),"SAINT-MARTIN-LALANDE")</f>
        <v>SAINT-MARTIN-LALANDE</v>
      </c>
      <c r="E7465" s="38" t="s">
        <v>278</v>
      </c>
      <c r="F7465" s="38" t="s">
        <v>119</v>
      </c>
      <c r="G7465" s="49" t="str">
        <f t="shared" si="1"/>
        <v>11400</v>
      </c>
      <c r="H7465" s="49">
        <f t="shared" si="2"/>
        <v>11356</v>
      </c>
    </row>
    <row r="7466">
      <c r="A7466" s="48" t="s">
        <v>11017</v>
      </c>
      <c r="B7466" s="38">
        <v>91432.0</v>
      </c>
      <c r="C7466" s="38" t="s">
        <v>11018</v>
      </c>
      <c r="D7466" s="38" t="str">
        <f>IFERROR(__xludf.DUMMYFUNCTION("REGEXREPLACE(C7466,""-\d+(.*)|--\d+(.*)"","""")"),"MORANGIS")</f>
        <v>MORANGIS</v>
      </c>
      <c r="E7466" s="38" t="s">
        <v>756</v>
      </c>
      <c r="F7466" s="38" t="s">
        <v>245</v>
      </c>
      <c r="G7466" s="49" t="str">
        <f t="shared" si="1"/>
        <v>91420</v>
      </c>
      <c r="H7466" s="49">
        <f t="shared" si="2"/>
        <v>91432</v>
      </c>
    </row>
    <row r="7467">
      <c r="A7467" s="48" t="s">
        <v>3236</v>
      </c>
      <c r="B7467" s="38">
        <v>63272.0</v>
      </c>
      <c r="C7467" s="38" t="s">
        <v>11019</v>
      </c>
      <c r="D7467" s="38" t="str">
        <f>IFERROR(__xludf.DUMMYFUNCTION("REGEXREPLACE(C7467,""-\d+(.*)|--\d+(.*)"","""")"),"PERIGNAT-LES-SARLIEVE")</f>
        <v>PERIGNAT-LES-SARLIEVE</v>
      </c>
      <c r="E7467" s="38" t="s">
        <v>353</v>
      </c>
      <c r="F7467" s="38" t="s">
        <v>161</v>
      </c>
      <c r="G7467" s="49" t="str">
        <f t="shared" si="1"/>
        <v>63170</v>
      </c>
      <c r="H7467" s="49">
        <f t="shared" si="2"/>
        <v>63272</v>
      </c>
    </row>
    <row r="7468">
      <c r="A7468" s="48" t="s">
        <v>11020</v>
      </c>
      <c r="B7468" s="38">
        <v>59152.0</v>
      </c>
      <c r="C7468" s="38" t="s">
        <v>11021</v>
      </c>
      <c r="D7468" s="38" t="str">
        <f>IFERROR(__xludf.DUMMYFUNCTION("REGEXREPLACE(C7468,""-\d+(.*)|--\d+(.*)"","""")"),"COMINES")</f>
        <v>COMINES</v>
      </c>
      <c r="E7468" s="38" t="s">
        <v>85</v>
      </c>
      <c r="F7468" s="38" t="s">
        <v>86</v>
      </c>
      <c r="G7468" s="49" t="str">
        <f t="shared" si="1"/>
        <v>59560</v>
      </c>
      <c r="H7468" s="49">
        <f t="shared" si="2"/>
        <v>59152</v>
      </c>
    </row>
    <row r="7469">
      <c r="A7469" s="48" t="s">
        <v>2232</v>
      </c>
      <c r="B7469" s="38">
        <v>77474.0</v>
      </c>
      <c r="C7469" s="38" t="s">
        <v>11022</v>
      </c>
      <c r="D7469" s="38" t="str">
        <f>IFERROR(__xludf.DUMMYFUNCTION("REGEXREPLACE(C7469,""-\d+(.*)|--\d+(.*)"","""")"),"TRILBARDOU")</f>
        <v>TRILBARDOU</v>
      </c>
      <c r="E7469" s="38" t="s">
        <v>244</v>
      </c>
      <c r="F7469" s="38" t="s">
        <v>245</v>
      </c>
      <c r="G7469" s="49" t="str">
        <f t="shared" si="1"/>
        <v>77450</v>
      </c>
      <c r="H7469" s="49">
        <f t="shared" si="2"/>
        <v>77474</v>
      </c>
    </row>
    <row r="7470">
      <c r="A7470" s="48" t="s">
        <v>11023</v>
      </c>
      <c r="B7470" s="38">
        <v>73198.0</v>
      </c>
      <c r="C7470" s="38" t="s">
        <v>11024</v>
      </c>
      <c r="D7470" s="38" t="str">
        <f>IFERROR(__xludf.DUMMYFUNCTION("REGEXREPLACE(C7470,""-\d+(.*)|--\d+(.*)"","""")"),"LA PERRIERE")</f>
        <v>LA PERRIERE</v>
      </c>
      <c r="E7470" s="38" t="s">
        <v>306</v>
      </c>
      <c r="F7470" s="38" t="s">
        <v>102</v>
      </c>
      <c r="G7470" s="49" t="str">
        <f t="shared" si="1"/>
        <v>73120</v>
      </c>
      <c r="H7470" s="49">
        <f t="shared" si="2"/>
        <v>73198</v>
      </c>
    </row>
    <row r="7471">
      <c r="A7471" s="48" t="s">
        <v>11025</v>
      </c>
      <c r="B7471" s="38">
        <v>88269.0</v>
      </c>
      <c r="C7471" s="38" t="s">
        <v>11026</v>
      </c>
      <c r="D7471" s="38" t="str">
        <f>IFERROR(__xludf.DUMMYFUNCTION("REGEXREPLACE(C7471,""-\d+(.*)|--\d+(.*)"","""")"),"LIEZEY")</f>
        <v>LIEZEY</v>
      </c>
      <c r="E7471" s="38" t="s">
        <v>194</v>
      </c>
      <c r="F7471" s="38" t="s">
        <v>195</v>
      </c>
      <c r="G7471" s="49" t="str">
        <f t="shared" si="1"/>
        <v>88400</v>
      </c>
      <c r="H7471" s="49">
        <f t="shared" si="2"/>
        <v>88269</v>
      </c>
    </row>
    <row r="7472">
      <c r="A7472" s="48" t="s">
        <v>4270</v>
      </c>
      <c r="B7472" s="38">
        <v>76440.0</v>
      </c>
      <c r="C7472" s="38" t="s">
        <v>11027</v>
      </c>
      <c r="D7472" s="38" t="str">
        <f>IFERROR(__xludf.DUMMYFUNCTION("REGEXREPLACE(C7472,""-\d+(.*)|--\d+(.*)"","""")"),"MOLAGNIES")</f>
        <v>MOLAGNIES</v>
      </c>
      <c r="E7472" s="38" t="s">
        <v>133</v>
      </c>
      <c r="F7472" s="38" t="s">
        <v>134</v>
      </c>
      <c r="G7472" s="49" t="str">
        <f t="shared" si="1"/>
        <v>76220</v>
      </c>
      <c r="H7472" s="49">
        <f t="shared" si="2"/>
        <v>76440</v>
      </c>
    </row>
    <row r="7473">
      <c r="A7473" s="48" t="s">
        <v>11028</v>
      </c>
      <c r="B7473" s="38">
        <v>72361.0</v>
      </c>
      <c r="C7473" s="38" t="s">
        <v>11029</v>
      </c>
      <c r="D7473" s="38" t="str">
        <f>IFERROR(__xludf.DUMMYFUNCTION("REGEXREPLACE(C7473,""-\d+(.*)|--\d+(.*)"","""")"),"TRESSON")</f>
        <v>TRESSON</v>
      </c>
      <c r="E7473" s="38" t="s">
        <v>521</v>
      </c>
      <c r="F7473" s="38" t="s">
        <v>180</v>
      </c>
      <c r="G7473" s="49" t="str">
        <f t="shared" si="1"/>
        <v>72440</v>
      </c>
      <c r="H7473" s="49">
        <f t="shared" si="2"/>
        <v>72361</v>
      </c>
    </row>
    <row r="7474">
      <c r="A7474" s="48" t="s">
        <v>2701</v>
      </c>
      <c r="B7474" s="38">
        <v>17352.0</v>
      </c>
      <c r="C7474" s="38" t="s">
        <v>11030</v>
      </c>
      <c r="D7474" s="38" t="str">
        <f>IFERROR(__xludf.DUMMYFUNCTION("REGEXREPLACE(C7474,""-\d+(.*)|--\d+(.*)"","""")"),"SAINT-LAURENT-DE-LA-BARRIERE")</f>
        <v>SAINT-LAURENT-DE-LA-BARRIERE</v>
      </c>
      <c r="E7474" s="38" t="s">
        <v>488</v>
      </c>
      <c r="F7474" s="38" t="s">
        <v>338</v>
      </c>
      <c r="G7474" s="49" t="str">
        <f t="shared" si="1"/>
        <v>17380</v>
      </c>
      <c r="H7474" s="49">
        <f t="shared" si="2"/>
        <v>17352</v>
      </c>
    </row>
    <row r="7475">
      <c r="A7475" s="48" t="s">
        <v>9888</v>
      </c>
      <c r="B7475" s="38">
        <v>64213.0</v>
      </c>
      <c r="C7475" s="38" t="s">
        <v>11031</v>
      </c>
      <c r="D7475" s="38" t="str">
        <f>IFERROR(__xludf.DUMMYFUNCTION("REGEXREPLACE(C7475,""-\d+(.*)|--\d+(.*)"","""")"),"ESPELETTE")</f>
        <v>ESPELETTE</v>
      </c>
      <c r="E7475" s="38" t="s">
        <v>268</v>
      </c>
      <c r="F7475" s="38" t="s">
        <v>252</v>
      </c>
      <c r="G7475" s="49" t="str">
        <f t="shared" si="1"/>
        <v>64250</v>
      </c>
      <c r="H7475" s="49">
        <f t="shared" si="2"/>
        <v>64213</v>
      </c>
    </row>
    <row r="7476">
      <c r="A7476" s="48" t="s">
        <v>1752</v>
      </c>
      <c r="B7476" s="38">
        <v>49105.0</v>
      </c>
      <c r="C7476" s="38" t="s">
        <v>11032</v>
      </c>
      <c r="D7476" s="38" t="str">
        <f>IFERROR(__xludf.DUMMYFUNCTION("REGEXREPLACE(C7476,""-\d+(.*)|--\d+(.*)"","""")"),"CONTIGNE")</f>
        <v>CONTIGNE</v>
      </c>
      <c r="E7476" s="38" t="s">
        <v>653</v>
      </c>
      <c r="F7476" s="38" t="s">
        <v>180</v>
      </c>
      <c r="G7476" s="49" t="str">
        <f t="shared" si="1"/>
        <v>49330</v>
      </c>
      <c r="H7476" s="49">
        <f t="shared" si="2"/>
        <v>49105</v>
      </c>
    </row>
    <row r="7477">
      <c r="A7477" s="48" t="s">
        <v>2826</v>
      </c>
      <c r="B7477" s="38">
        <v>60125.0</v>
      </c>
      <c r="C7477" s="38" t="s">
        <v>11033</v>
      </c>
      <c r="D7477" s="38" t="str">
        <f>IFERROR(__xludf.DUMMYFUNCTION("REGEXREPLACE(C7477,""-\d+(.*)|--\d+(.*)"","""")"),"CANLY")</f>
        <v>CANLY</v>
      </c>
      <c r="E7477" s="38" t="s">
        <v>112</v>
      </c>
      <c r="F7477" s="38" t="s">
        <v>113</v>
      </c>
      <c r="G7477" s="49" t="str">
        <f t="shared" si="1"/>
        <v>60680</v>
      </c>
      <c r="H7477" s="49">
        <f t="shared" si="2"/>
        <v>60125</v>
      </c>
    </row>
    <row r="7478">
      <c r="A7478" s="48" t="s">
        <v>6858</v>
      </c>
      <c r="B7478" s="38">
        <v>71532.0</v>
      </c>
      <c r="C7478" s="38" t="s">
        <v>11034</v>
      </c>
      <c r="D7478" s="38" t="str">
        <f>IFERROR(__xludf.DUMMYFUNCTION("REGEXREPLACE(C7478,""-\d+(.*)|--\d+(.*)"","""")"),"TAIZE")</f>
        <v>TAIZE</v>
      </c>
      <c r="E7478" s="38" t="s">
        <v>344</v>
      </c>
      <c r="F7478" s="38" t="s">
        <v>106</v>
      </c>
      <c r="G7478" s="49" t="str">
        <f t="shared" si="1"/>
        <v>71250</v>
      </c>
      <c r="H7478" s="49">
        <f t="shared" si="2"/>
        <v>71532</v>
      </c>
    </row>
    <row r="7479">
      <c r="A7479" s="48" t="s">
        <v>3266</v>
      </c>
      <c r="B7479" s="38">
        <v>55179.0</v>
      </c>
      <c r="C7479" s="38" t="s">
        <v>11035</v>
      </c>
      <c r="D7479" s="38" t="str">
        <f>IFERROR(__xludf.DUMMYFUNCTION("REGEXREPLACE(C7479,""-\d+(.*)|--\d+(.*)"","""")"),"ERNEVILLE-AUX-BOIS")</f>
        <v>ERNEVILLE-AUX-BOIS</v>
      </c>
      <c r="E7479" s="38" t="s">
        <v>322</v>
      </c>
      <c r="F7479" s="38" t="s">
        <v>195</v>
      </c>
      <c r="G7479" s="49" t="str">
        <f t="shared" si="1"/>
        <v>55500</v>
      </c>
      <c r="H7479" s="49">
        <f t="shared" si="2"/>
        <v>55179</v>
      </c>
    </row>
    <row r="7480">
      <c r="A7480" s="48" t="s">
        <v>3022</v>
      </c>
      <c r="B7480" s="38">
        <v>14735.0</v>
      </c>
      <c r="C7480" s="38" t="s">
        <v>11036</v>
      </c>
      <c r="D7480" s="38" t="str">
        <f>IFERROR(__xludf.DUMMYFUNCTION("REGEXREPLACE(C7480,""-\d+(.*)|--\d+(.*)"","""")"),"VENDEUVRE")</f>
        <v>VENDEUVRE</v>
      </c>
      <c r="E7480" s="38" t="s">
        <v>137</v>
      </c>
      <c r="F7480" s="38" t="s">
        <v>138</v>
      </c>
      <c r="G7480" s="49" t="str">
        <f t="shared" si="1"/>
        <v>14170</v>
      </c>
      <c r="H7480" s="49">
        <f t="shared" si="2"/>
        <v>14735</v>
      </c>
    </row>
    <row r="7481">
      <c r="A7481" s="48" t="s">
        <v>4082</v>
      </c>
      <c r="B7481" s="38">
        <v>95110.0</v>
      </c>
      <c r="C7481" s="38" t="s">
        <v>11037</v>
      </c>
      <c r="D7481" s="38" t="str">
        <f>IFERROR(__xludf.DUMMYFUNCTION("REGEXREPLACE(C7481,""-\d+(.*)|--\d+(.*)"","""")"),"BRIGNANCOURT")</f>
        <v>BRIGNANCOURT</v>
      </c>
      <c r="E7481" s="38" t="s">
        <v>541</v>
      </c>
      <c r="F7481" s="38" t="s">
        <v>245</v>
      </c>
      <c r="G7481" s="49" t="str">
        <f t="shared" si="1"/>
        <v>95640</v>
      </c>
      <c r="H7481" s="49">
        <f t="shared" si="2"/>
        <v>95110</v>
      </c>
    </row>
    <row r="7482">
      <c r="A7482" s="48" t="s">
        <v>507</v>
      </c>
      <c r="B7482" s="38">
        <v>8433.0</v>
      </c>
      <c r="C7482" s="38" t="s">
        <v>11038</v>
      </c>
      <c r="D7482" s="38" t="str">
        <f>IFERROR(__xludf.DUMMYFUNCTION("REGEXREPLACE(C7482,""-\d+(.*)|--\d+(.*)"","""")"),"SUZANNE")</f>
        <v>SUZANNE</v>
      </c>
      <c r="E7482" s="38" t="s">
        <v>327</v>
      </c>
      <c r="F7482" s="38" t="s">
        <v>130</v>
      </c>
      <c r="G7482" s="49" t="str">
        <f t="shared" si="1"/>
        <v>08130</v>
      </c>
      <c r="H7482" s="49" t="str">
        <f t="shared" si="2"/>
        <v>08433</v>
      </c>
    </row>
    <row r="7483">
      <c r="A7483" s="48" t="s">
        <v>10063</v>
      </c>
      <c r="B7483" s="38">
        <v>18002.0</v>
      </c>
      <c r="C7483" s="38" t="s">
        <v>11039</v>
      </c>
      <c r="D7483" s="38" t="str">
        <f>IFERROR(__xludf.DUMMYFUNCTION("REGEXREPLACE(C7483,""-\d+(.*)|--\d+(.*)"","""")"),"AINAY-LE-VIEIL")</f>
        <v>AINAY-LE-VIEIL</v>
      </c>
      <c r="E7483" s="38" t="s">
        <v>504</v>
      </c>
      <c r="F7483" s="38" t="s">
        <v>123</v>
      </c>
      <c r="G7483" s="49" t="str">
        <f t="shared" si="1"/>
        <v>18200</v>
      </c>
      <c r="H7483" s="49">
        <f t="shared" si="2"/>
        <v>18002</v>
      </c>
    </row>
    <row r="7484">
      <c r="A7484" s="48" t="s">
        <v>5761</v>
      </c>
      <c r="B7484" s="38">
        <v>17342.0</v>
      </c>
      <c r="C7484" s="38" t="s">
        <v>11040</v>
      </c>
      <c r="D7484" s="38" t="str">
        <f>IFERROR(__xludf.DUMMYFUNCTION("REGEXREPLACE(C7484,""-\d+(.*)|--\d+(.*)"","""")"),"SAINT-GERMAIN-DU-SEUDRE")</f>
        <v>SAINT-GERMAIN-DU-SEUDRE</v>
      </c>
      <c r="E7484" s="38" t="s">
        <v>488</v>
      </c>
      <c r="F7484" s="38" t="s">
        <v>338</v>
      </c>
      <c r="G7484" s="49" t="str">
        <f t="shared" si="1"/>
        <v>17240</v>
      </c>
      <c r="H7484" s="49">
        <f t="shared" si="2"/>
        <v>17342</v>
      </c>
    </row>
    <row r="7485">
      <c r="A7485" s="48" t="s">
        <v>6492</v>
      </c>
      <c r="B7485" s="38">
        <v>5051.0</v>
      </c>
      <c r="C7485" s="38" t="s">
        <v>11041</v>
      </c>
      <c r="D7485" s="38" t="str">
        <f>IFERROR(__xludf.DUMMYFUNCTION("REGEXREPLACE(C7485,""-\d+(.*)|--\d+(.*)"","""")"),"ETOILE-SAINT-CYRICE")</f>
        <v>ETOILE-SAINT-CYRICE</v>
      </c>
      <c r="E7485" s="38" t="s">
        <v>706</v>
      </c>
      <c r="F7485" s="38" t="s">
        <v>228</v>
      </c>
      <c r="G7485" s="49" t="str">
        <f t="shared" si="1"/>
        <v>05700</v>
      </c>
      <c r="H7485" s="49" t="str">
        <f t="shared" si="2"/>
        <v>05051</v>
      </c>
    </row>
    <row r="7486">
      <c r="A7486" s="48" t="s">
        <v>11042</v>
      </c>
      <c r="B7486" s="38">
        <v>76552.0</v>
      </c>
      <c r="C7486" s="38" t="s">
        <v>11043</v>
      </c>
      <c r="D7486" s="38" t="str">
        <f>IFERROR(__xludf.DUMMYFUNCTION("REGEXREPLACE(C7486,""-\d+(.*)|--\d+(.*)"","""")"),"SAINTE-ADRESSE")</f>
        <v>SAINTE-ADRESSE</v>
      </c>
      <c r="E7486" s="38" t="s">
        <v>133</v>
      </c>
      <c r="F7486" s="38" t="s">
        <v>134</v>
      </c>
      <c r="G7486" s="49" t="str">
        <f t="shared" si="1"/>
        <v>76310</v>
      </c>
      <c r="H7486" s="49">
        <f t="shared" si="2"/>
        <v>76552</v>
      </c>
    </row>
    <row r="7487">
      <c r="A7487" s="48" t="s">
        <v>325</v>
      </c>
      <c r="B7487" s="38">
        <v>8382.0</v>
      </c>
      <c r="C7487" s="38" t="s">
        <v>11044</v>
      </c>
      <c r="D7487" s="38" t="str">
        <f>IFERROR(__xludf.DUMMYFUNCTION("REGEXREPLACE(C7487,""-\d+(.*)|--\d+(.*)"","""")"),"SAINT-JEAN-AUX-BOIS")</f>
        <v>SAINT-JEAN-AUX-BOIS</v>
      </c>
      <c r="E7487" s="38" t="s">
        <v>327</v>
      </c>
      <c r="F7487" s="38" t="s">
        <v>130</v>
      </c>
      <c r="G7487" s="49" t="str">
        <f t="shared" si="1"/>
        <v>08220</v>
      </c>
      <c r="H7487" s="49" t="str">
        <f t="shared" si="2"/>
        <v>08382</v>
      </c>
    </row>
    <row r="7488">
      <c r="A7488" s="48" t="s">
        <v>1174</v>
      </c>
      <c r="B7488" s="38">
        <v>51215.0</v>
      </c>
      <c r="C7488" s="38" t="s">
        <v>11045</v>
      </c>
      <c r="D7488" s="38" t="str">
        <f>IFERROR(__xludf.DUMMYFUNCTION("REGEXREPLACE(C7488,""-\d+(.*)|--\d+(.*)"","""")"),"DOMPREMY")</f>
        <v>DOMPREMY</v>
      </c>
      <c r="E7488" s="38" t="s">
        <v>129</v>
      </c>
      <c r="F7488" s="38" t="s">
        <v>130</v>
      </c>
      <c r="G7488" s="49" t="str">
        <f t="shared" si="1"/>
        <v>51300</v>
      </c>
      <c r="H7488" s="49">
        <f t="shared" si="2"/>
        <v>51215</v>
      </c>
    </row>
    <row r="7489">
      <c r="A7489" s="48" t="s">
        <v>1332</v>
      </c>
      <c r="B7489" s="38">
        <v>51640.0</v>
      </c>
      <c r="C7489" s="38" t="s">
        <v>11046</v>
      </c>
      <c r="D7489" s="38" t="str">
        <f>IFERROR(__xludf.DUMMYFUNCTION("REGEXREPLACE(C7489,""-\d+(.*)|--\d+(.*)"","""")"),"VILLE-SUR-TOURBE")</f>
        <v>VILLE-SUR-TOURBE</v>
      </c>
      <c r="E7489" s="38" t="s">
        <v>129</v>
      </c>
      <c r="F7489" s="38" t="s">
        <v>130</v>
      </c>
      <c r="G7489" s="49" t="str">
        <f t="shared" si="1"/>
        <v>51800</v>
      </c>
      <c r="H7489" s="49">
        <f t="shared" si="2"/>
        <v>51640</v>
      </c>
    </row>
    <row r="7490">
      <c r="A7490" s="48" t="s">
        <v>196</v>
      </c>
      <c r="B7490" s="38">
        <v>2020.0</v>
      </c>
      <c r="C7490" s="38" t="s">
        <v>11047</v>
      </c>
      <c r="D7490" s="38" t="str">
        <f>IFERROR(__xludf.DUMMYFUNCTION("REGEXREPLACE(C7490,""-\d+(.*)|--\d+(.*)"","""")"),"ANY-MARTIN-RIEUX")</f>
        <v>ANY-MARTIN-RIEUX</v>
      </c>
      <c r="E7490" s="38" t="s">
        <v>191</v>
      </c>
      <c r="F7490" s="38" t="s">
        <v>113</v>
      </c>
      <c r="G7490" s="49" t="str">
        <f t="shared" si="1"/>
        <v>02500</v>
      </c>
      <c r="H7490" s="49" t="str">
        <f t="shared" si="2"/>
        <v>02020</v>
      </c>
    </row>
    <row r="7491">
      <c r="A7491" s="48" t="s">
        <v>10468</v>
      </c>
      <c r="B7491" s="38">
        <v>87203.0</v>
      </c>
      <c r="C7491" s="38" t="s">
        <v>11048</v>
      </c>
      <c r="D7491" s="38" t="str">
        <f>IFERROR(__xludf.DUMMYFUNCTION("REGEXREPLACE(C7491,""-\d+(.*)|--\d+(.*)"","""")"),"VICQ-SUR-BREUILH")</f>
        <v>VICQ-SUR-BREUILH</v>
      </c>
      <c r="E7491" s="38" t="s">
        <v>897</v>
      </c>
      <c r="F7491" s="38" t="s">
        <v>98</v>
      </c>
      <c r="G7491" s="49" t="str">
        <f t="shared" si="1"/>
        <v>87260</v>
      </c>
      <c r="H7491" s="49">
        <f t="shared" si="2"/>
        <v>87203</v>
      </c>
    </row>
    <row r="7492">
      <c r="A7492" s="48" t="s">
        <v>2328</v>
      </c>
      <c r="B7492" s="38">
        <v>57268.0</v>
      </c>
      <c r="C7492" s="38" t="s">
        <v>11049</v>
      </c>
      <c r="D7492" s="38" t="str">
        <f>IFERROR(__xludf.DUMMYFUNCTION("REGEXREPLACE(C7492,""-\d+(.*)|--\d+(.*)"","""")"),"GUEBLING")</f>
        <v>GUEBLING</v>
      </c>
      <c r="E7492" s="38" t="s">
        <v>303</v>
      </c>
      <c r="F7492" s="38" t="s">
        <v>195</v>
      </c>
      <c r="G7492" s="49" t="str">
        <f t="shared" si="1"/>
        <v>57260</v>
      </c>
      <c r="H7492" s="49">
        <f t="shared" si="2"/>
        <v>57268</v>
      </c>
    </row>
    <row r="7493">
      <c r="A7493" s="48" t="s">
        <v>11050</v>
      </c>
      <c r="B7493" s="38">
        <v>38298.0</v>
      </c>
      <c r="C7493" s="38" t="s">
        <v>11051</v>
      </c>
      <c r="D7493" s="38" t="str">
        <f>IFERROR(__xludf.DUMMYFUNCTION("REGEXREPLACE(C7493,""-\d+(.*)|--\d+(.*)"","""")"),"LE PEAGE-DE-ROUSSILLON")</f>
        <v>LE PEAGE-DE-ROUSSILLON</v>
      </c>
      <c r="E7493" s="38" t="s">
        <v>101</v>
      </c>
      <c r="F7493" s="38" t="s">
        <v>102</v>
      </c>
      <c r="G7493" s="49" t="str">
        <f t="shared" si="1"/>
        <v>38550</v>
      </c>
      <c r="H7493" s="49">
        <f t="shared" si="2"/>
        <v>38298</v>
      </c>
    </row>
    <row r="7494">
      <c r="A7494" s="48" t="s">
        <v>6129</v>
      </c>
      <c r="B7494" s="38">
        <v>67487.0</v>
      </c>
      <c r="C7494" s="38" t="s">
        <v>11052</v>
      </c>
      <c r="D7494" s="38" t="str">
        <f>IFERROR(__xludf.DUMMYFUNCTION("REGEXREPLACE(C7494,""-\d+(.*)|--\d+(.*)"","""")"),"SURBOURG")</f>
        <v>SURBOURG</v>
      </c>
      <c r="E7494" s="38" t="s">
        <v>210</v>
      </c>
      <c r="F7494" s="38" t="s">
        <v>151</v>
      </c>
      <c r="G7494" s="49" t="str">
        <f t="shared" si="1"/>
        <v>67250</v>
      </c>
      <c r="H7494" s="49">
        <f t="shared" si="2"/>
        <v>67487</v>
      </c>
    </row>
    <row r="7495">
      <c r="A7495" s="48" t="s">
        <v>3812</v>
      </c>
      <c r="B7495" s="38">
        <v>71383.0</v>
      </c>
      <c r="C7495" s="38" t="s">
        <v>11053</v>
      </c>
      <c r="D7495" s="38" t="str">
        <f>IFERROR(__xludf.DUMMYFUNCTION("REGEXREPLACE(C7495,""-\d+(.*)|--\d+(.*)"","""")"),"SAINT-ALBAIN")</f>
        <v>SAINT-ALBAIN</v>
      </c>
      <c r="E7495" s="38" t="s">
        <v>344</v>
      </c>
      <c r="F7495" s="38" t="s">
        <v>106</v>
      </c>
      <c r="G7495" s="49" t="str">
        <f t="shared" si="1"/>
        <v>71260</v>
      </c>
      <c r="H7495" s="49">
        <f t="shared" si="2"/>
        <v>71383</v>
      </c>
    </row>
    <row r="7496">
      <c r="A7496" s="48" t="s">
        <v>9857</v>
      </c>
      <c r="B7496" s="38">
        <v>26169.0</v>
      </c>
      <c r="C7496" s="38" t="s">
        <v>11054</v>
      </c>
      <c r="D7496" s="38" t="str">
        <f>IFERROR(__xludf.DUMMYFUNCTION("REGEXREPLACE(C7496,""-\d+(.*)|--\d+(.*)"","""")"),"MALATAVERNE")</f>
        <v>MALATAVERNE</v>
      </c>
      <c r="E7496" s="38" t="s">
        <v>126</v>
      </c>
      <c r="F7496" s="38" t="s">
        <v>102</v>
      </c>
      <c r="G7496" s="49" t="str">
        <f t="shared" si="1"/>
        <v>26780</v>
      </c>
      <c r="H7496" s="49">
        <f t="shared" si="2"/>
        <v>26169</v>
      </c>
    </row>
    <row r="7497">
      <c r="A7497" s="48" t="s">
        <v>6357</v>
      </c>
      <c r="B7497" s="38">
        <v>91312.0</v>
      </c>
      <c r="C7497" s="38" t="s">
        <v>11055</v>
      </c>
      <c r="D7497" s="38" t="str">
        <f>IFERROR(__xludf.DUMMYFUNCTION("REGEXREPLACE(C7497,""-\d+(.*)|--\d+(.*)"","""")"),"IGNY")</f>
        <v>IGNY</v>
      </c>
      <c r="E7497" s="38" t="s">
        <v>756</v>
      </c>
      <c r="F7497" s="38" t="s">
        <v>245</v>
      </c>
      <c r="G7497" s="49" t="str">
        <f t="shared" si="1"/>
        <v>91430</v>
      </c>
      <c r="H7497" s="49">
        <f t="shared" si="2"/>
        <v>91312</v>
      </c>
    </row>
    <row r="7498">
      <c r="A7498" s="48" t="s">
        <v>11056</v>
      </c>
      <c r="B7498" s="38">
        <v>3064.0</v>
      </c>
      <c r="C7498" s="38" t="s">
        <v>11057</v>
      </c>
      <c r="D7498" s="38" t="str">
        <f>IFERROR(__xludf.DUMMYFUNCTION("REGEXREPLACE(C7498,""-\d+(.*)|--\d+(.*)"","""")"),"CHATEAU-SUR-ALLIER")</f>
        <v>CHATEAU-SUR-ALLIER</v>
      </c>
      <c r="E7498" s="38" t="s">
        <v>160</v>
      </c>
      <c r="F7498" s="38" t="s">
        <v>161</v>
      </c>
      <c r="G7498" s="49" t="str">
        <f t="shared" si="1"/>
        <v>03320</v>
      </c>
      <c r="H7498" s="49" t="str">
        <f t="shared" si="2"/>
        <v>03064</v>
      </c>
    </row>
    <row r="7499">
      <c r="A7499" s="48" t="s">
        <v>4969</v>
      </c>
      <c r="B7499" s="38">
        <v>14042.0</v>
      </c>
      <c r="C7499" s="38" t="s">
        <v>11058</v>
      </c>
      <c r="D7499" s="38" t="str">
        <f>IFERROR(__xludf.DUMMYFUNCTION("REGEXREPLACE(C7499,""-\d+(.*)|--\d+(.*)"","""")"),"BARON-SUR-ODON")</f>
        <v>BARON-SUR-ODON</v>
      </c>
      <c r="E7499" s="38" t="s">
        <v>137</v>
      </c>
      <c r="F7499" s="38" t="s">
        <v>138</v>
      </c>
      <c r="G7499" s="49" t="str">
        <f t="shared" si="1"/>
        <v>14210</v>
      </c>
      <c r="H7499" s="49">
        <f t="shared" si="2"/>
        <v>14042</v>
      </c>
    </row>
    <row r="7500">
      <c r="A7500" s="48" t="s">
        <v>11059</v>
      </c>
      <c r="B7500" s="38">
        <v>48177.0</v>
      </c>
      <c r="C7500" s="38" t="s">
        <v>10186</v>
      </c>
      <c r="D7500" s="38" t="str">
        <f>IFERROR(__xludf.DUMMYFUNCTION("REGEXREPLACE(C7500,""-\d+(.*)|--\d+(.*)"","""")"),"SAINT-PIERRE-LE-VIEUX")</f>
        <v>SAINT-PIERRE-LE-VIEUX</v>
      </c>
      <c r="E7500" s="38" t="s">
        <v>154</v>
      </c>
      <c r="F7500" s="38" t="s">
        <v>119</v>
      </c>
      <c r="G7500" s="49" t="str">
        <f t="shared" si="1"/>
        <v>48200</v>
      </c>
      <c r="H7500" s="49">
        <f t="shared" si="2"/>
        <v>48177</v>
      </c>
    </row>
    <row r="7501">
      <c r="A7501" s="48" t="s">
        <v>1036</v>
      </c>
      <c r="B7501" s="38">
        <v>57528.0</v>
      </c>
      <c r="C7501" s="38" t="s">
        <v>11060</v>
      </c>
      <c r="D7501" s="38" t="str">
        <f>IFERROR(__xludf.DUMMYFUNCTION("REGEXREPLACE(C7501,""-\d+(.*)|--\d+(.*)"","""")"),"ORON")</f>
        <v>ORON</v>
      </c>
      <c r="E7501" s="38" t="s">
        <v>303</v>
      </c>
      <c r="F7501" s="38" t="s">
        <v>195</v>
      </c>
      <c r="G7501" s="49" t="str">
        <f t="shared" si="1"/>
        <v>57590</v>
      </c>
      <c r="H7501" s="49">
        <f t="shared" si="2"/>
        <v>57528</v>
      </c>
    </row>
    <row r="7502">
      <c r="A7502" s="48" t="s">
        <v>11061</v>
      </c>
      <c r="B7502" s="38">
        <v>16137.0</v>
      </c>
      <c r="C7502" s="38" t="s">
        <v>11062</v>
      </c>
      <c r="D7502" s="38" t="str">
        <f>IFERROR(__xludf.DUMMYFUNCTION("REGEXREPLACE(C7502,""-\d+(.*)|--\d+(.*)"","""")"),"FEUILLADE")</f>
        <v>FEUILLADE</v>
      </c>
      <c r="E7502" s="38" t="s">
        <v>429</v>
      </c>
      <c r="F7502" s="38" t="s">
        <v>338</v>
      </c>
      <c r="G7502" s="49" t="str">
        <f t="shared" si="1"/>
        <v>16380</v>
      </c>
      <c r="H7502" s="49">
        <f t="shared" si="2"/>
        <v>16137</v>
      </c>
    </row>
    <row r="7503">
      <c r="A7503" s="48" t="s">
        <v>333</v>
      </c>
      <c r="B7503" s="38">
        <v>43131.0</v>
      </c>
      <c r="C7503" s="38" t="s">
        <v>11063</v>
      </c>
      <c r="D7503" s="38" t="str">
        <f>IFERROR(__xludf.DUMMYFUNCTION("REGEXREPLACE(C7503,""-\d+(.*)|--\d+(.*)"","""")"),"MAZERAT-AUROUZE")</f>
        <v>MAZERAT-AUROUZE</v>
      </c>
      <c r="E7503" s="38" t="s">
        <v>332</v>
      </c>
      <c r="F7503" s="38" t="s">
        <v>161</v>
      </c>
      <c r="G7503" s="49" t="str">
        <f t="shared" si="1"/>
        <v>43230</v>
      </c>
      <c r="H7503" s="49">
        <f t="shared" si="2"/>
        <v>43131</v>
      </c>
    </row>
    <row r="7504">
      <c r="A7504" s="48" t="s">
        <v>6775</v>
      </c>
      <c r="B7504" s="38">
        <v>79216.0</v>
      </c>
      <c r="C7504" s="38" t="s">
        <v>11064</v>
      </c>
      <c r="D7504" s="38" t="str">
        <f>IFERROR(__xludf.DUMMYFUNCTION("REGEXREPLACE(C7504,""-\d+(.*)|--\d+(.*)"","""")"),"PRAHECQ")</f>
        <v>PRAHECQ</v>
      </c>
      <c r="E7504" s="38" t="s">
        <v>337</v>
      </c>
      <c r="F7504" s="38" t="s">
        <v>338</v>
      </c>
      <c r="G7504" s="49" t="str">
        <f t="shared" si="1"/>
        <v>79230</v>
      </c>
      <c r="H7504" s="49">
        <f t="shared" si="2"/>
        <v>79216</v>
      </c>
    </row>
    <row r="7505">
      <c r="A7505" s="48" t="s">
        <v>9262</v>
      </c>
      <c r="B7505" s="38">
        <v>16345.0</v>
      </c>
      <c r="C7505" s="38" t="s">
        <v>11065</v>
      </c>
      <c r="D7505" s="38" t="str">
        <f>IFERROR(__xludf.DUMMYFUNCTION("REGEXREPLACE(C7505,""-\d+(.*)|--\d+(.*)"","""")"),"SAINT-QUENTIN-SUR-CHARENTE")</f>
        <v>SAINT-QUENTIN-SUR-CHARENTE</v>
      </c>
      <c r="E7505" s="38" t="s">
        <v>429</v>
      </c>
      <c r="F7505" s="38" t="s">
        <v>338</v>
      </c>
      <c r="G7505" s="49" t="str">
        <f t="shared" si="1"/>
        <v>16150</v>
      </c>
      <c r="H7505" s="49">
        <f t="shared" si="2"/>
        <v>16345</v>
      </c>
    </row>
    <row r="7506">
      <c r="A7506" s="48" t="s">
        <v>6890</v>
      </c>
      <c r="B7506" s="38">
        <v>51530.0</v>
      </c>
      <c r="C7506" s="38" t="s">
        <v>11066</v>
      </c>
      <c r="D7506" s="38" t="str">
        <f>IFERROR(__xludf.DUMMYFUNCTION("REGEXREPLACE(C7506,""-\d+(.*)|--\d+(.*)"","""")"),"SEPT-SAULX")</f>
        <v>SEPT-SAULX</v>
      </c>
      <c r="E7506" s="38" t="s">
        <v>129</v>
      </c>
      <c r="F7506" s="38" t="s">
        <v>130</v>
      </c>
      <c r="G7506" s="49" t="str">
        <f t="shared" si="1"/>
        <v>51400</v>
      </c>
      <c r="H7506" s="49">
        <f t="shared" si="2"/>
        <v>51530</v>
      </c>
    </row>
    <row r="7507">
      <c r="A7507" s="48" t="s">
        <v>3329</v>
      </c>
      <c r="B7507" s="38">
        <v>60371.0</v>
      </c>
      <c r="C7507" s="38" t="s">
        <v>11067</v>
      </c>
      <c r="D7507" s="38" t="str">
        <f>IFERROR(__xludf.DUMMYFUNCTION("REGEXREPLACE(C7507,""-\d+(.*)|--\d+(.*)"","""")"),"LOUEUSE")</f>
        <v>LOUEUSE</v>
      </c>
      <c r="E7507" s="38" t="s">
        <v>112</v>
      </c>
      <c r="F7507" s="38" t="s">
        <v>113</v>
      </c>
      <c r="G7507" s="49" t="str">
        <f t="shared" si="1"/>
        <v>60380</v>
      </c>
      <c r="H7507" s="49">
        <f t="shared" si="2"/>
        <v>60371</v>
      </c>
    </row>
    <row r="7508">
      <c r="A7508" s="48" t="s">
        <v>11068</v>
      </c>
      <c r="B7508" s="38">
        <v>7016.0</v>
      </c>
      <c r="C7508" s="38" t="s">
        <v>11069</v>
      </c>
      <c r="D7508" s="38" t="str">
        <f>IFERROR(__xludf.DUMMYFUNCTION("REGEXREPLACE(C7508,""-\d+(.*)|--\d+(.*)"","""")"),"ASPERJOC")</f>
        <v>ASPERJOC</v>
      </c>
      <c r="E7508" s="38" t="s">
        <v>144</v>
      </c>
      <c r="F7508" s="38" t="s">
        <v>102</v>
      </c>
      <c r="G7508" s="49" t="str">
        <f t="shared" si="1"/>
        <v>07600</v>
      </c>
      <c r="H7508" s="49" t="str">
        <f t="shared" si="2"/>
        <v>07016</v>
      </c>
    </row>
    <row r="7509">
      <c r="A7509" s="48" t="s">
        <v>2006</v>
      </c>
      <c r="B7509" s="38">
        <v>73144.0</v>
      </c>
      <c r="C7509" s="38" t="s">
        <v>11070</v>
      </c>
      <c r="D7509" s="38" t="str">
        <f>IFERROR(__xludf.DUMMYFUNCTION("REGEXREPLACE(C7509,""-\d+(.*)|--\d+(.*)"","""")"),"LANSLEVILLARD")</f>
        <v>LANSLEVILLARD</v>
      </c>
      <c r="E7509" s="38" t="s">
        <v>306</v>
      </c>
      <c r="F7509" s="38" t="s">
        <v>102</v>
      </c>
      <c r="G7509" s="49" t="str">
        <f t="shared" si="1"/>
        <v>73480</v>
      </c>
      <c r="H7509" s="49">
        <f t="shared" si="2"/>
        <v>73144</v>
      </c>
    </row>
    <row r="7510">
      <c r="A7510" s="48" t="s">
        <v>11071</v>
      </c>
      <c r="B7510" s="38">
        <v>29099.0</v>
      </c>
      <c r="C7510" s="38" t="s">
        <v>11072</v>
      </c>
      <c r="D7510" s="38" t="str">
        <f>IFERROR(__xludf.DUMMYFUNCTION("REGEXREPLACE(C7510,""-\d+(.*)|--\d+(.*)"","""")"),"LAMPAUL-PLOUDALMEZEAU")</f>
        <v>LAMPAUL-PLOUDALMEZEAU</v>
      </c>
      <c r="E7510" s="38" t="s">
        <v>176</v>
      </c>
      <c r="F7510" s="38" t="s">
        <v>90</v>
      </c>
      <c r="G7510" s="49" t="str">
        <f t="shared" si="1"/>
        <v>29830</v>
      </c>
      <c r="H7510" s="49">
        <f t="shared" si="2"/>
        <v>29099</v>
      </c>
    </row>
    <row r="7511">
      <c r="A7511" s="48" t="s">
        <v>4722</v>
      </c>
      <c r="B7511" s="38">
        <v>81294.0</v>
      </c>
      <c r="C7511" s="38" t="s">
        <v>11073</v>
      </c>
      <c r="D7511" s="38" t="str">
        <f>IFERROR(__xludf.DUMMYFUNCTION("REGEXREPLACE(C7511,""-\d+(.*)|--\d+(.*)"","""")"),"TECOU")</f>
        <v>TECOU</v>
      </c>
      <c r="E7511" s="38" t="s">
        <v>231</v>
      </c>
      <c r="F7511" s="38" t="s">
        <v>94</v>
      </c>
      <c r="G7511" s="49" t="str">
        <f t="shared" si="1"/>
        <v>81600</v>
      </c>
      <c r="H7511" s="49">
        <f t="shared" si="2"/>
        <v>81294</v>
      </c>
    </row>
    <row r="7512">
      <c r="A7512" s="48" t="s">
        <v>6258</v>
      </c>
      <c r="B7512" s="38">
        <v>95008.0</v>
      </c>
      <c r="C7512" s="38" t="s">
        <v>11074</v>
      </c>
      <c r="D7512" s="38" t="str">
        <f>IFERROR(__xludf.DUMMYFUNCTION("REGEXREPLACE(C7512,""-\d+(.*)|--\d+(.*)"","""")"),"AINCOURT")</f>
        <v>AINCOURT</v>
      </c>
      <c r="E7512" s="38" t="s">
        <v>541</v>
      </c>
      <c r="F7512" s="38" t="s">
        <v>245</v>
      </c>
      <c r="G7512" s="49" t="str">
        <f t="shared" si="1"/>
        <v>95510</v>
      </c>
      <c r="H7512" s="49">
        <f t="shared" si="2"/>
        <v>95008</v>
      </c>
    </row>
    <row r="7513">
      <c r="A7513" s="48" t="s">
        <v>2316</v>
      </c>
      <c r="B7513" s="38">
        <v>25629.0</v>
      </c>
      <c r="C7513" s="38" t="s">
        <v>11075</v>
      </c>
      <c r="D7513" s="38" t="str">
        <f>IFERROR(__xludf.DUMMYFUNCTION("REGEXREPLACE(C7513,""-\d+(.*)|--\d+(.*)"","""")"),"VOILLANS")</f>
        <v>VOILLANS</v>
      </c>
      <c r="E7513" s="38" t="s">
        <v>213</v>
      </c>
      <c r="F7513" s="38" t="s">
        <v>214</v>
      </c>
      <c r="G7513" s="49" t="str">
        <f t="shared" si="1"/>
        <v>25110</v>
      </c>
      <c r="H7513" s="49">
        <f t="shared" si="2"/>
        <v>25629</v>
      </c>
    </row>
    <row r="7514">
      <c r="A7514" s="48" t="s">
        <v>11076</v>
      </c>
      <c r="B7514" s="38">
        <v>49285.0</v>
      </c>
      <c r="C7514" s="38" t="s">
        <v>11077</v>
      </c>
      <c r="D7514" s="38" t="str">
        <f>IFERROR(__xludf.DUMMYFUNCTION("REGEXREPLACE(C7514,""-\d+(.*)|--\d+(.*)"","""")"),"SAINT-GERMAIN-SUR-MOINE")</f>
        <v>SAINT-GERMAIN-SUR-MOINE</v>
      </c>
      <c r="E7514" s="38" t="s">
        <v>653</v>
      </c>
      <c r="F7514" s="38" t="s">
        <v>180</v>
      </c>
      <c r="G7514" s="49" t="str">
        <f t="shared" si="1"/>
        <v>49230</v>
      </c>
      <c r="H7514" s="49">
        <f t="shared" si="2"/>
        <v>49285</v>
      </c>
    </row>
    <row r="7515">
      <c r="A7515" s="48" t="s">
        <v>11078</v>
      </c>
      <c r="B7515" s="38">
        <v>83152.0</v>
      </c>
      <c r="C7515" s="38" t="s">
        <v>11079</v>
      </c>
      <c r="D7515" s="38" t="str">
        <f>IFERROR(__xludf.DUMMYFUNCTION("REGEXREPLACE(C7515,""-\d+(.*)|--\d+(.*)"","""")"),"RAYOL-CANADEL-SUR-MER")</f>
        <v>RAYOL-CANADEL-SUR-MER</v>
      </c>
      <c r="E7515" s="38" t="s">
        <v>813</v>
      </c>
      <c r="F7515" s="38" t="s">
        <v>228</v>
      </c>
      <c r="G7515" s="49" t="str">
        <f t="shared" si="1"/>
        <v>83820</v>
      </c>
      <c r="H7515" s="49">
        <f t="shared" si="2"/>
        <v>83152</v>
      </c>
    </row>
    <row r="7516">
      <c r="A7516" s="48" t="s">
        <v>7107</v>
      </c>
      <c r="B7516" s="38">
        <v>10397.0</v>
      </c>
      <c r="C7516" s="38" t="s">
        <v>11080</v>
      </c>
      <c r="D7516" s="38" t="str">
        <f>IFERROR(__xludf.DUMMYFUNCTION("REGEXREPLACE(C7516,""-\d+(.*)|--\d+(.*)"","""")"),"VAUCHONVILLIERS")</f>
        <v>VAUCHONVILLIERS</v>
      </c>
      <c r="E7516" s="38" t="s">
        <v>147</v>
      </c>
      <c r="F7516" s="38" t="s">
        <v>130</v>
      </c>
      <c r="G7516" s="49" t="str">
        <f t="shared" si="1"/>
        <v>10140</v>
      </c>
      <c r="H7516" s="49">
        <f t="shared" si="2"/>
        <v>10397</v>
      </c>
    </row>
    <row r="7517">
      <c r="A7517" s="48" t="s">
        <v>3214</v>
      </c>
      <c r="B7517" s="38">
        <v>36152.0</v>
      </c>
      <c r="C7517" s="38" t="s">
        <v>11081</v>
      </c>
      <c r="D7517" s="38" t="str">
        <f>IFERROR(__xludf.DUMMYFUNCTION("REGEXREPLACE(C7517,""-\d+(.*)|--\d+(.*)"","""")"),"PAUDY")</f>
        <v>PAUDY</v>
      </c>
      <c r="E7517" s="38" t="s">
        <v>258</v>
      </c>
      <c r="F7517" s="38" t="s">
        <v>123</v>
      </c>
      <c r="G7517" s="49" t="str">
        <f t="shared" si="1"/>
        <v>36260</v>
      </c>
      <c r="H7517" s="49">
        <f t="shared" si="2"/>
        <v>36152</v>
      </c>
    </row>
    <row r="7518">
      <c r="A7518" s="48" t="s">
        <v>2326</v>
      </c>
      <c r="B7518" s="38">
        <v>54285.0</v>
      </c>
      <c r="C7518" s="38" t="s">
        <v>11082</v>
      </c>
      <c r="D7518" s="38" t="str">
        <f>IFERROR(__xludf.DUMMYFUNCTION("REGEXREPLACE(C7518,""-\d+(.*)|--\d+(.*)"","""")"),"JUVRECOURT")</f>
        <v>JUVRECOURT</v>
      </c>
      <c r="E7518" s="38" t="s">
        <v>548</v>
      </c>
      <c r="F7518" s="38" t="s">
        <v>195</v>
      </c>
      <c r="G7518" s="49" t="str">
        <f t="shared" si="1"/>
        <v>54370</v>
      </c>
      <c r="H7518" s="49">
        <f t="shared" si="2"/>
        <v>54285</v>
      </c>
    </row>
    <row r="7519">
      <c r="A7519" s="48" t="s">
        <v>1560</v>
      </c>
      <c r="B7519" s="38">
        <v>14582.0</v>
      </c>
      <c r="C7519" s="38" t="s">
        <v>11083</v>
      </c>
      <c r="D7519" s="38" t="str">
        <f>IFERROR(__xludf.DUMMYFUNCTION("REGEXREPLACE(C7519,""-\d+(.*)|--\d+(.*)"","""")"),"SAINT-GERMAIN-DE-LIVET")</f>
        <v>SAINT-GERMAIN-DE-LIVET</v>
      </c>
      <c r="E7519" s="38" t="s">
        <v>137</v>
      </c>
      <c r="F7519" s="38" t="s">
        <v>138</v>
      </c>
      <c r="G7519" s="49" t="str">
        <f t="shared" si="1"/>
        <v>14100</v>
      </c>
      <c r="H7519" s="49">
        <f t="shared" si="2"/>
        <v>14582</v>
      </c>
    </row>
    <row r="7520">
      <c r="A7520" s="48" t="s">
        <v>1208</v>
      </c>
      <c r="B7520" s="38">
        <v>32046.0</v>
      </c>
      <c r="C7520" s="38" t="s">
        <v>11084</v>
      </c>
      <c r="D7520" s="38" t="str">
        <f>IFERROR(__xludf.DUMMYFUNCTION("REGEXREPLACE(C7520,""-\d+(.*)|--\d+(.*)"","""")"),"BERNEDE")</f>
        <v>BERNEDE</v>
      </c>
      <c r="E7520" s="38" t="s">
        <v>440</v>
      </c>
      <c r="F7520" s="38" t="s">
        <v>94</v>
      </c>
      <c r="G7520" s="49" t="str">
        <f t="shared" si="1"/>
        <v>32400</v>
      </c>
      <c r="H7520" s="49">
        <f t="shared" si="2"/>
        <v>32046</v>
      </c>
    </row>
    <row r="7521">
      <c r="A7521" s="48" t="s">
        <v>1120</v>
      </c>
      <c r="B7521" s="38">
        <v>64048.0</v>
      </c>
      <c r="C7521" s="38" t="s">
        <v>11085</v>
      </c>
      <c r="D7521" s="38" t="str">
        <f>IFERROR(__xludf.DUMMYFUNCTION("REGEXREPLACE(C7521,""-\d+(.*)|--\d+(.*)"","""")"),"ARNOS")</f>
        <v>ARNOS</v>
      </c>
      <c r="E7521" s="38" t="s">
        <v>268</v>
      </c>
      <c r="F7521" s="38" t="s">
        <v>252</v>
      </c>
      <c r="G7521" s="49" t="str">
        <f t="shared" si="1"/>
        <v>64370</v>
      </c>
      <c r="H7521" s="49">
        <f t="shared" si="2"/>
        <v>64048</v>
      </c>
    </row>
    <row r="7522">
      <c r="A7522" s="48" t="s">
        <v>11086</v>
      </c>
      <c r="B7522" s="38">
        <v>7227.0</v>
      </c>
      <c r="C7522" s="38" t="s">
        <v>2665</v>
      </c>
      <c r="D7522" s="38" t="str">
        <f>IFERROR(__xludf.DUMMYFUNCTION("REGEXREPLACE(C7522,""-\d+(.*)|--\d+(.*)"","""")"),"SAINT-CYR")</f>
        <v>SAINT-CYR</v>
      </c>
      <c r="E7522" s="38" t="s">
        <v>144</v>
      </c>
      <c r="F7522" s="38" t="s">
        <v>102</v>
      </c>
      <c r="G7522" s="49" t="str">
        <f t="shared" si="1"/>
        <v>07430</v>
      </c>
      <c r="H7522" s="49" t="str">
        <f t="shared" si="2"/>
        <v>07227</v>
      </c>
    </row>
    <row r="7523">
      <c r="A7523" s="48" t="s">
        <v>2251</v>
      </c>
      <c r="B7523" s="38">
        <v>2708.0</v>
      </c>
      <c r="C7523" s="38" t="s">
        <v>11087</v>
      </c>
      <c r="D7523" s="38" t="str">
        <f>IFERROR(__xludf.DUMMYFUNCTION("REGEXREPLACE(C7523,""-\d+(.*)|--\d+(.*)"","""")"),"SEQUEHART")</f>
        <v>SEQUEHART</v>
      </c>
      <c r="E7523" s="38" t="s">
        <v>191</v>
      </c>
      <c r="F7523" s="38" t="s">
        <v>113</v>
      </c>
      <c r="G7523" s="49" t="str">
        <f t="shared" si="1"/>
        <v>02420</v>
      </c>
      <c r="H7523" s="49" t="str">
        <f t="shared" si="2"/>
        <v>02708</v>
      </c>
    </row>
    <row r="7524">
      <c r="A7524" s="48" t="s">
        <v>5575</v>
      </c>
      <c r="B7524" s="38">
        <v>62640.0</v>
      </c>
      <c r="C7524" s="38" t="s">
        <v>11088</v>
      </c>
      <c r="D7524" s="38" t="str">
        <f>IFERROR(__xludf.DUMMYFUNCTION("REGEXREPLACE(C7524,""-\d+(.*)|--\d+(.*)"","""")"),"ORVILLE")</f>
        <v>ORVILLE</v>
      </c>
      <c r="E7524" s="38" t="s">
        <v>109</v>
      </c>
      <c r="F7524" s="38" t="s">
        <v>86</v>
      </c>
      <c r="G7524" s="49" t="str">
        <f t="shared" si="1"/>
        <v>62760</v>
      </c>
      <c r="H7524" s="49">
        <f t="shared" si="2"/>
        <v>62640</v>
      </c>
    </row>
    <row r="7525">
      <c r="A7525" s="48" t="s">
        <v>10063</v>
      </c>
      <c r="B7525" s="38">
        <v>18042.0</v>
      </c>
      <c r="C7525" s="38" t="s">
        <v>1498</v>
      </c>
      <c r="D7525" s="38" t="str">
        <f>IFERROR(__xludf.DUMMYFUNCTION("REGEXREPLACE(C7525,""-\d+(.*)|--\d+(.*)"","""")"),"LA CELLE")</f>
        <v>LA CELLE</v>
      </c>
      <c r="E7525" s="38" t="s">
        <v>504</v>
      </c>
      <c r="F7525" s="38" t="s">
        <v>123</v>
      </c>
      <c r="G7525" s="49" t="str">
        <f t="shared" si="1"/>
        <v>18200</v>
      </c>
      <c r="H7525" s="49">
        <f t="shared" si="2"/>
        <v>18042</v>
      </c>
    </row>
    <row r="7526">
      <c r="A7526" s="48" t="s">
        <v>3238</v>
      </c>
      <c r="B7526" s="38">
        <v>61342.0</v>
      </c>
      <c r="C7526" s="38" t="s">
        <v>11089</v>
      </c>
      <c r="D7526" s="38" t="str">
        <f>IFERROR(__xludf.DUMMYFUNCTION("REGEXREPLACE(C7526,""-\d+(.*)|--\d+(.*)"","""")"),"RAI")</f>
        <v>RAI</v>
      </c>
      <c r="E7526" s="38" t="s">
        <v>141</v>
      </c>
      <c r="F7526" s="38" t="s">
        <v>138</v>
      </c>
      <c r="G7526" s="49" t="str">
        <f t="shared" si="1"/>
        <v>61270</v>
      </c>
      <c r="H7526" s="49">
        <f t="shared" si="2"/>
        <v>61342</v>
      </c>
    </row>
    <row r="7527">
      <c r="A7527" s="48" t="s">
        <v>11090</v>
      </c>
      <c r="B7527" s="38">
        <v>62170.0</v>
      </c>
      <c r="C7527" s="38" t="s">
        <v>11091</v>
      </c>
      <c r="D7527" s="38" t="str">
        <f>IFERROR(__xludf.DUMMYFUNCTION("REGEXREPLACE(C7527,""-\d+(.*)|--\d+(.*)"","""")"),"BOUVIGNY-BOYEFFLES")</f>
        <v>BOUVIGNY-BOYEFFLES</v>
      </c>
      <c r="E7527" s="38" t="s">
        <v>109</v>
      </c>
      <c r="F7527" s="38" t="s">
        <v>86</v>
      </c>
      <c r="G7527" s="49" t="str">
        <f t="shared" si="1"/>
        <v>62172</v>
      </c>
      <c r="H7527" s="49">
        <f t="shared" si="2"/>
        <v>62170</v>
      </c>
    </row>
    <row r="7528">
      <c r="A7528" s="48" t="s">
        <v>6210</v>
      </c>
      <c r="B7528" s="38">
        <v>54504.0</v>
      </c>
      <c r="C7528" s="38" t="s">
        <v>11092</v>
      </c>
      <c r="D7528" s="38" t="str">
        <f>IFERROR(__xludf.DUMMYFUNCTION("REGEXREPLACE(C7528,""-\d+(.*)|--\d+(.*)"","""")"),"SERROUVILLE")</f>
        <v>SERROUVILLE</v>
      </c>
      <c r="E7528" s="38" t="s">
        <v>548</v>
      </c>
      <c r="F7528" s="38" t="s">
        <v>195</v>
      </c>
      <c r="G7528" s="49" t="str">
        <f t="shared" si="1"/>
        <v>54560</v>
      </c>
      <c r="H7528" s="49">
        <f t="shared" si="2"/>
        <v>54504</v>
      </c>
    </row>
    <row r="7529">
      <c r="A7529" s="48" t="s">
        <v>2650</v>
      </c>
      <c r="B7529" s="38">
        <v>65068.0</v>
      </c>
      <c r="C7529" s="38" t="s">
        <v>11093</v>
      </c>
      <c r="D7529" s="38" t="str">
        <f>IFERROR(__xludf.DUMMYFUNCTION("REGEXREPLACE(C7529,""-\d+(.*)|--\d+(.*)"","""")"),"BARTHE")</f>
        <v>BARTHE</v>
      </c>
      <c r="E7529" s="38" t="s">
        <v>200</v>
      </c>
      <c r="F7529" s="38" t="s">
        <v>94</v>
      </c>
      <c r="G7529" s="49" t="str">
        <f t="shared" si="1"/>
        <v>65230</v>
      </c>
      <c r="H7529" s="49">
        <f t="shared" si="2"/>
        <v>65068</v>
      </c>
    </row>
    <row r="7530">
      <c r="A7530" s="48" t="s">
        <v>9293</v>
      </c>
      <c r="B7530" s="38">
        <v>9180.0</v>
      </c>
      <c r="C7530" s="38" t="s">
        <v>11094</v>
      </c>
      <c r="D7530" s="38" t="str">
        <f>IFERROR(__xludf.DUMMYFUNCTION("REGEXREPLACE(C7530,""-\d+(.*)|--\d+(.*)"","""")"),"MANSES")</f>
        <v>MANSES</v>
      </c>
      <c r="E7530" s="38" t="s">
        <v>238</v>
      </c>
      <c r="F7530" s="38" t="s">
        <v>94</v>
      </c>
      <c r="G7530" s="49" t="str">
        <f t="shared" si="1"/>
        <v>09500</v>
      </c>
      <c r="H7530" s="49" t="str">
        <f t="shared" si="2"/>
        <v>09180</v>
      </c>
    </row>
    <row r="7531">
      <c r="A7531" s="48" t="s">
        <v>891</v>
      </c>
      <c r="B7531" s="38">
        <v>66078.0</v>
      </c>
      <c r="C7531" s="38" t="s">
        <v>11095</v>
      </c>
      <c r="D7531" s="38" t="str">
        <f>IFERROR(__xludf.DUMMYFUNCTION("REGEXREPLACE(C7531,""-\d+(.*)|--\d+(.*)"","""")"),"FILLOLS")</f>
        <v>FILLOLS</v>
      </c>
      <c r="E7531" s="38" t="s">
        <v>248</v>
      </c>
      <c r="F7531" s="38" t="s">
        <v>119</v>
      </c>
      <c r="G7531" s="49" t="str">
        <f t="shared" si="1"/>
        <v>66820</v>
      </c>
      <c r="H7531" s="49">
        <f t="shared" si="2"/>
        <v>66078</v>
      </c>
    </row>
    <row r="7532">
      <c r="A7532" s="48" t="s">
        <v>1677</v>
      </c>
      <c r="B7532" s="38">
        <v>59435.0</v>
      </c>
      <c r="C7532" s="38" t="s">
        <v>11096</v>
      </c>
      <c r="D7532" s="38" t="str">
        <f>IFERROR(__xludf.DUMMYFUNCTION("REGEXREPLACE(C7532,""-\d+(.*)|--\d+(.*)"","""")"),"NOMAIN")</f>
        <v>NOMAIN</v>
      </c>
      <c r="E7532" s="38" t="s">
        <v>85</v>
      </c>
      <c r="F7532" s="38" t="s">
        <v>86</v>
      </c>
      <c r="G7532" s="49" t="str">
        <f t="shared" si="1"/>
        <v>59310</v>
      </c>
      <c r="H7532" s="49">
        <f t="shared" si="2"/>
        <v>59435</v>
      </c>
    </row>
    <row r="7533">
      <c r="A7533" s="48" t="s">
        <v>6829</v>
      </c>
      <c r="B7533" s="38">
        <v>17351.0</v>
      </c>
      <c r="C7533" s="38" t="s">
        <v>11097</v>
      </c>
      <c r="D7533" s="38" t="str">
        <f>IFERROR(__xludf.DUMMYFUNCTION("REGEXREPLACE(C7533,""-\d+(.*)|--\d+(.*)"","""")"),"SAINT-JUST-LUZAC")</f>
        <v>SAINT-JUST-LUZAC</v>
      </c>
      <c r="E7533" s="38" t="s">
        <v>488</v>
      </c>
      <c r="F7533" s="38" t="s">
        <v>338</v>
      </c>
      <c r="G7533" s="49" t="str">
        <f t="shared" si="1"/>
        <v>17320</v>
      </c>
      <c r="H7533" s="49">
        <f t="shared" si="2"/>
        <v>17351</v>
      </c>
    </row>
    <row r="7534">
      <c r="A7534" s="48" t="s">
        <v>5212</v>
      </c>
      <c r="B7534" s="38">
        <v>41228.0</v>
      </c>
      <c r="C7534" s="38" t="s">
        <v>11098</v>
      </c>
      <c r="D7534" s="38" t="str">
        <f>IFERROR(__xludf.DUMMYFUNCTION("REGEXREPLACE(C7534,""-\d+(.*)|--\d+(.*)"","""")"),"SAINT-RIMAY")</f>
        <v>SAINT-RIMAY</v>
      </c>
      <c r="E7534" s="38" t="s">
        <v>188</v>
      </c>
      <c r="F7534" s="38" t="s">
        <v>123</v>
      </c>
      <c r="G7534" s="49" t="str">
        <f t="shared" si="1"/>
        <v>41800</v>
      </c>
      <c r="H7534" s="49">
        <f t="shared" si="2"/>
        <v>41228</v>
      </c>
    </row>
    <row r="7535">
      <c r="A7535" s="48" t="s">
        <v>11099</v>
      </c>
      <c r="B7535" s="38">
        <v>1188.0</v>
      </c>
      <c r="C7535" s="38" t="s">
        <v>11100</v>
      </c>
      <c r="D7535" s="38" t="str">
        <f>IFERROR(__xludf.DUMMYFUNCTION("REGEXREPLACE(C7535,""-\d+(.*)|--\d+(.*)"","""")"),"ILLIAT")</f>
        <v>ILLIAT</v>
      </c>
      <c r="E7535" s="38" t="s">
        <v>255</v>
      </c>
      <c r="F7535" s="38" t="s">
        <v>102</v>
      </c>
      <c r="G7535" s="49" t="str">
        <f t="shared" si="1"/>
        <v>01140</v>
      </c>
      <c r="H7535" s="49" t="str">
        <f t="shared" si="2"/>
        <v>01188</v>
      </c>
    </row>
    <row r="7536">
      <c r="A7536" s="48" t="s">
        <v>11101</v>
      </c>
      <c r="B7536" s="38">
        <v>80533.0</v>
      </c>
      <c r="C7536" s="38" t="s">
        <v>11102</v>
      </c>
      <c r="D7536" s="38" t="str">
        <f>IFERROR(__xludf.DUMMYFUNCTION("REGEXREPLACE(C7536,""-\d+(.*)|--\d+(.*)"","""")"),"MERS-LES-BAINS")</f>
        <v>MERS-LES-BAINS</v>
      </c>
      <c r="E7536" s="38" t="s">
        <v>224</v>
      </c>
      <c r="F7536" s="38" t="s">
        <v>113</v>
      </c>
      <c r="G7536" s="49" t="str">
        <f t="shared" si="1"/>
        <v>80350</v>
      </c>
      <c r="H7536" s="49">
        <f t="shared" si="2"/>
        <v>80533</v>
      </c>
    </row>
    <row r="7537">
      <c r="A7537" s="48" t="s">
        <v>6406</v>
      </c>
      <c r="B7537" s="38">
        <v>41041.0</v>
      </c>
      <c r="C7537" s="38" t="s">
        <v>11103</v>
      </c>
      <c r="D7537" s="38" t="str">
        <f>IFERROR(__xludf.DUMMYFUNCTION("REGEXREPLACE(C7537,""-\d+(.*)|--\d+(.*)"","""")"),"LA CHAPELLE-VICOMTESSE")</f>
        <v>LA CHAPELLE-VICOMTESSE</v>
      </c>
      <c r="E7537" s="38" t="s">
        <v>188</v>
      </c>
      <c r="F7537" s="38" t="s">
        <v>123</v>
      </c>
      <c r="G7537" s="49" t="str">
        <f t="shared" si="1"/>
        <v>41270</v>
      </c>
      <c r="H7537" s="49">
        <f t="shared" si="2"/>
        <v>41041</v>
      </c>
    </row>
    <row r="7538">
      <c r="A7538" s="48" t="s">
        <v>11104</v>
      </c>
      <c r="B7538" s="38">
        <v>30245.0</v>
      </c>
      <c r="C7538" s="38" t="s">
        <v>11105</v>
      </c>
      <c r="D7538" s="38" t="str">
        <f>IFERROR(__xludf.DUMMYFUNCTION("REGEXREPLACE(C7538,""-\d+(.*)|--\d+(.*)"","""")"),"SAINT-COME-ET-MARUEJOLS")</f>
        <v>SAINT-COME-ET-MARUEJOLS</v>
      </c>
      <c r="E7538" s="38" t="s">
        <v>526</v>
      </c>
      <c r="F7538" s="38" t="s">
        <v>119</v>
      </c>
      <c r="G7538" s="49" t="str">
        <f t="shared" si="1"/>
        <v>30870</v>
      </c>
      <c r="H7538" s="49">
        <f t="shared" si="2"/>
        <v>30245</v>
      </c>
    </row>
    <row r="7539">
      <c r="A7539" s="48" t="s">
        <v>11106</v>
      </c>
      <c r="B7539" s="38">
        <v>13037.0</v>
      </c>
      <c r="C7539" s="38" t="s">
        <v>11107</v>
      </c>
      <c r="D7539" s="38" t="str">
        <f>IFERROR(__xludf.DUMMYFUNCTION("REGEXREPLACE(C7539,""-\d+(.*)|--\d+(.*)"","""")"),"LA FARE-LES-OLIVIERS")</f>
        <v>LA FARE-LES-OLIVIERS</v>
      </c>
      <c r="E7539" s="38" t="s">
        <v>980</v>
      </c>
      <c r="F7539" s="38" t="s">
        <v>228</v>
      </c>
      <c r="G7539" s="49" t="str">
        <f t="shared" si="1"/>
        <v>13580</v>
      </c>
      <c r="H7539" s="49">
        <f t="shared" si="2"/>
        <v>13037</v>
      </c>
    </row>
    <row r="7540">
      <c r="A7540" s="48" t="s">
        <v>3180</v>
      </c>
      <c r="B7540" s="38">
        <v>60679.0</v>
      </c>
      <c r="C7540" s="38" t="s">
        <v>11108</v>
      </c>
      <c r="D7540" s="38" t="str">
        <f>IFERROR(__xludf.DUMMYFUNCTION("REGEXREPLACE(C7540,""-\d+(.*)|--\d+(.*)"","""")"),"LA VILLENEUVE-SOUS-THURY")</f>
        <v>LA VILLENEUVE-SOUS-THURY</v>
      </c>
      <c r="E7540" s="38" t="s">
        <v>112</v>
      </c>
      <c r="F7540" s="38" t="s">
        <v>113</v>
      </c>
      <c r="G7540" s="49" t="str">
        <f t="shared" si="1"/>
        <v>60890</v>
      </c>
      <c r="H7540" s="49">
        <f t="shared" si="2"/>
        <v>60679</v>
      </c>
    </row>
    <row r="7541">
      <c r="A7541" s="48" t="s">
        <v>1422</v>
      </c>
      <c r="B7541" s="38">
        <v>14358.0</v>
      </c>
      <c r="C7541" s="38" t="s">
        <v>11109</v>
      </c>
      <c r="D7541" s="38" t="str">
        <f>IFERROR(__xludf.DUMMYFUNCTION("REGEXREPLACE(C7541,""-\d+(.*)|--\d+(.*)"","""")"),"LEAUPARTIE")</f>
        <v>LEAUPARTIE</v>
      </c>
      <c r="E7541" s="38" t="s">
        <v>137</v>
      </c>
      <c r="F7541" s="38" t="s">
        <v>138</v>
      </c>
      <c r="G7541" s="49" t="str">
        <f t="shared" si="1"/>
        <v>14340</v>
      </c>
      <c r="H7541" s="49">
        <f t="shared" si="2"/>
        <v>14358</v>
      </c>
    </row>
    <row r="7542">
      <c r="A7542" s="48" t="s">
        <v>11110</v>
      </c>
      <c r="B7542" s="38">
        <v>97115.0</v>
      </c>
      <c r="C7542" s="38" t="s">
        <v>11111</v>
      </c>
      <c r="D7542" s="38" t="str">
        <f>IFERROR(__xludf.DUMMYFUNCTION("REGEXREPLACE(C7542,""-\d+(.*)|--\d+(.*)"","""")"),"LAMENTIN")</f>
        <v>LAMENTIN</v>
      </c>
      <c r="E7542" s="38" t="s">
        <v>2023</v>
      </c>
      <c r="F7542" s="38" t="s">
        <v>2023</v>
      </c>
      <c r="G7542" s="49" t="str">
        <f t="shared" si="1"/>
        <v>97129</v>
      </c>
      <c r="H7542" s="49">
        <f t="shared" si="2"/>
        <v>97115</v>
      </c>
    </row>
    <row r="7543">
      <c r="A7543" s="48" t="s">
        <v>5241</v>
      </c>
      <c r="B7543" s="38">
        <v>36175.0</v>
      </c>
      <c r="C7543" s="38" t="s">
        <v>11112</v>
      </c>
      <c r="D7543" s="38" t="str">
        <f>IFERROR(__xludf.DUMMYFUNCTION("REGEXREPLACE(C7543,""-\d+(.*)|--\d+(.*)"","""")"),"ROUVRES-LES-BOIS")</f>
        <v>ROUVRES-LES-BOIS</v>
      </c>
      <c r="E7543" s="38" t="s">
        <v>258</v>
      </c>
      <c r="F7543" s="38" t="s">
        <v>123</v>
      </c>
      <c r="G7543" s="49" t="str">
        <f t="shared" si="1"/>
        <v>36110</v>
      </c>
      <c r="H7543" s="49">
        <f t="shared" si="2"/>
        <v>36175</v>
      </c>
    </row>
    <row r="7544">
      <c r="A7544" s="48" t="s">
        <v>7140</v>
      </c>
      <c r="B7544" s="38">
        <v>3188.0</v>
      </c>
      <c r="C7544" s="38" t="s">
        <v>11113</v>
      </c>
      <c r="D7544" s="38" t="str">
        <f>IFERROR(__xludf.DUMMYFUNCTION("REGEXREPLACE(C7544,""-\d+(.*)|--\d+(.*)"","""")"),"MONTORD")</f>
        <v>MONTORD</v>
      </c>
      <c r="E7544" s="38" t="s">
        <v>160</v>
      </c>
      <c r="F7544" s="38" t="s">
        <v>161</v>
      </c>
      <c r="G7544" s="49" t="str">
        <f t="shared" si="1"/>
        <v>03500</v>
      </c>
      <c r="H7544" s="49" t="str">
        <f t="shared" si="2"/>
        <v>03188</v>
      </c>
    </row>
    <row r="7545">
      <c r="A7545" s="48" t="s">
        <v>1315</v>
      </c>
      <c r="B7545" s="38">
        <v>19206.0</v>
      </c>
      <c r="C7545" s="38" t="s">
        <v>11114</v>
      </c>
      <c r="D7545" s="38" t="str">
        <f>IFERROR(__xludf.DUMMYFUNCTION("REGEXREPLACE(C7545,""-\d+(.*)|--\d+(.*)"","""")"),"SAINT-GERMAIN-LAVOLPS")</f>
        <v>SAINT-GERMAIN-LAVOLPS</v>
      </c>
      <c r="E7545" s="38" t="s">
        <v>271</v>
      </c>
      <c r="F7545" s="38" t="s">
        <v>98</v>
      </c>
      <c r="G7545" s="49" t="str">
        <f t="shared" si="1"/>
        <v>19290</v>
      </c>
      <c r="H7545" s="49">
        <f t="shared" si="2"/>
        <v>19206</v>
      </c>
    </row>
    <row r="7546">
      <c r="A7546" s="48" t="s">
        <v>11115</v>
      </c>
      <c r="B7546" s="38">
        <v>34182.0</v>
      </c>
      <c r="C7546" s="38" t="s">
        <v>11116</v>
      </c>
      <c r="D7546" s="38" t="str">
        <f>IFERROR(__xludf.DUMMYFUNCTION("REGEXREPLACE(C7546,""-\d+(.*)|--\d+(.*)"","""")"),"NEZIGNAN-L'EVEQUE")</f>
        <v>NEZIGNAN-L'EVEQUE</v>
      </c>
      <c r="E7546" s="38" t="s">
        <v>118</v>
      </c>
      <c r="F7546" s="38" t="s">
        <v>119</v>
      </c>
      <c r="G7546" s="49" t="str">
        <f t="shared" si="1"/>
        <v>34120</v>
      </c>
      <c r="H7546" s="49">
        <f t="shared" si="2"/>
        <v>34182</v>
      </c>
    </row>
    <row r="7547">
      <c r="A7547" s="48" t="s">
        <v>4880</v>
      </c>
      <c r="B7547" s="38">
        <v>89183.0</v>
      </c>
      <c r="C7547" s="38" t="s">
        <v>1767</v>
      </c>
      <c r="D7547" s="38" t="str">
        <f>IFERROR(__xludf.DUMMYFUNCTION("REGEXREPLACE(C7547,""-\d+(.*)|--\d+(.*)"","""")"),"FRESNES")</f>
        <v>FRESNES</v>
      </c>
      <c r="E7547" s="38" t="s">
        <v>275</v>
      </c>
      <c r="F7547" s="38" t="s">
        <v>106</v>
      </c>
      <c r="G7547" s="49" t="str">
        <f t="shared" si="1"/>
        <v>89310</v>
      </c>
      <c r="H7547" s="49">
        <f t="shared" si="2"/>
        <v>89183</v>
      </c>
    </row>
    <row r="7548">
      <c r="A7548" s="48" t="s">
        <v>3289</v>
      </c>
      <c r="B7548" s="38">
        <v>50627.0</v>
      </c>
      <c r="C7548" s="38" t="s">
        <v>11117</v>
      </c>
      <c r="D7548" s="38" t="str">
        <f>IFERROR(__xludf.DUMMYFUNCTION("REGEXREPLACE(C7548,""-\d+(.*)|--\d+(.*)"","""")"),"VERGONCEY")</f>
        <v>VERGONCEY</v>
      </c>
      <c r="E7548" s="38" t="s">
        <v>157</v>
      </c>
      <c r="F7548" s="38" t="s">
        <v>138</v>
      </c>
      <c r="G7548" s="49" t="str">
        <f t="shared" si="1"/>
        <v>50240</v>
      </c>
      <c r="H7548" s="49">
        <f t="shared" si="2"/>
        <v>50627</v>
      </c>
    </row>
    <row r="7549">
      <c r="A7549" s="48" t="s">
        <v>1450</v>
      </c>
      <c r="B7549" s="38">
        <v>50319.0</v>
      </c>
      <c r="C7549" s="38" t="s">
        <v>11118</v>
      </c>
      <c r="D7549" s="38" t="str">
        <f>IFERROR(__xludf.DUMMYFUNCTION("REGEXREPLACE(C7549,""-\d+(.*)|--\d+(.*)"","""")"),"LE MESNIL-RAOULT")</f>
        <v>LE MESNIL-RAOULT</v>
      </c>
      <c r="E7549" s="38" t="s">
        <v>157</v>
      </c>
      <c r="F7549" s="38" t="s">
        <v>138</v>
      </c>
      <c r="G7549" s="49" t="str">
        <f t="shared" si="1"/>
        <v>50420</v>
      </c>
      <c r="H7549" s="49">
        <f t="shared" si="2"/>
        <v>50319</v>
      </c>
    </row>
    <row r="7550">
      <c r="A7550" s="48" t="s">
        <v>11119</v>
      </c>
      <c r="B7550" s="38">
        <v>74267.0</v>
      </c>
      <c r="C7550" s="38" t="s">
        <v>11120</v>
      </c>
      <c r="D7550" s="38" t="str">
        <f>IFERROR(__xludf.DUMMYFUNCTION("REGEXREPLACE(C7550,""-\d+(.*)|--\d+(.*)"","""")"),"SEVRIER")</f>
        <v>SEVRIER</v>
      </c>
      <c r="E7550" s="38" t="s">
        <v>319</v>
      </c>
      <c r="F7550" s="38" t="s">
        <v>102</v>
      </c>
      <c r="G7550" s="49" t="str">
        <f t="shared" si="1"/>
        <v>74320</v>
      </c>
      <c r="H7550" s="49">
        <f t="shared" si="2"/>
        <v>74267</v>
      </c>
    </row>
    <row r="7551">
      <c r="A7551" s="48" t="s">
        <v>2116</v>
      </c>
      <c r="B7551" s="38">
        <v>26063.0</v>
      </c>
      <c r="C7551" s="38" t="s">
        <v>11121</v>
      </c>
      <c r="D7551" s="38" t="str">
        <f>IFERROR(__xludf.DUMMYFUNCTION("REGEXREPLACE(C7551,""-\d+(.*)|--\d+(.*)"","""")"),"BUIS-LES-BARONNIES")</f>
        <v>BUIS-LES-BARONNIES</v>
      </c>
      <c r="E7551" s="38" t="s">
        <v>126</v>
      </c>
      <c r="F7551" s="38" t="s">
        <v>102</v>
      </c>
      <c r="G7551" s="49" t="str">
        <f t="shared" si="1"/>
        <v>26170</v>
      </c>
      <c r="H7551" s="49">
        <f t="shared" si="2"/>
        <v>26063</v>
      </c>
    </row>
    <row r="7552">
      <c r="A7552" s="48" t="s">
        <v>1262</v>
      </c>
      <c r="B7552" s="38">
        <v>11225.0</v>
      </c>
      <c r="C7552" s="38" t="s">
        <v>11122</v>
      </c>
      <c r="D7552" s="38" t="str">
        <f>IFERROR(__xludf.DUMMYFUNCTION("REGEXREPLACE(C7552,""-\d+(.*)|--\d+(.*)"","""")"),"MAS-SAINTES-PUELLES")</f>
        <v>MAS-SAINTES-PUELLES</v>
      </c>
      <c r="E7552" s="38" t="s">
        <v>278</v>
      </c>
      <c r="F7552" s="38" t="s">
        <v>119</v>
      </c>
      <c r="G7552" s="49" t="str">
        <f t="shared" si="1"/>
        <v>11400</v>
      </c>
      <c r="H7552" s="49">
        <f t="shared" si="2"/>
        <v>11225</v>
      </c>
    </row>
    <row r="7553">
      <c r="A7553" s="48" t="s">
        <v>11123</v>
      </c>
      <c r="B7553" s="38">
        <v>38011.0</v>
      </c>
      <c r="C7553" s="38" t="s">
        <v>11124</v>
      </c>
      <c r="D7553" s="38" t="str">
        <f>IFERROR(__xludf.DUMMYFUNCTION("REGEXREPLACE(C7553,""-\d+(.*)|--\d+(.*)"","""")"),"ANTHON")</f>
        <v>ANTHON</v>
      </c>
      <c r="E7553" s="38" t="s">
        <v>101</v>
      </c>
      <c r="F7553" s="38" t="s">
        <v>102</v>
      </c>
      <c r="G7553" s="49" t="str">
        <f t="shared" si="1"/>
        <v>38280</v>
      </c>
      <c r="H7553" s="49">
        <f t="shared" si="2"/>
        <v>38011</v>
      </c>
    </row>
    <row r="7554">
      <c r="A7554" s="48" t="s">
        <v>3377</v>
      </c>
      <c r="B7554" s="38">
        <v>62128.0</v>
      </c>
      <c r="C7554" s="38" t="s">
        <v>11125</v>
      </c>
      <c r="D7554" s="38" t="str">
        <f>IFERROR(__xludf.DUMMYFUNCTION("REGEXREPLACE(C7554,""-\d+(.*)|--\d+(.*)"","""")"),"BIACHE-SAINT-VAAST")</f>
        <v>BIACHE-SAINT-VAAST</v>
      </c>
      <c r="E7554" s="38" t="s">
        <v>109</v>
      </c>
      <c r="F7554" s="38" t="s">
        <v>86</v>
      </c>
      <c r="G7554" s="49" t="str">
        <f t="shared" si="1"/>
        <v>62118</v>
      </c>
      <c r="H7554" s="49">
        <f t="shared" si="2"/>
        <v>62128</v>
      </c>
    </row>
    <row r="7555">
      <c r="A7555" s="48" t="s">
        <v>5398</v>
      </c>
      <c r="B7555" s="38">
        <v>64398.0</v>
      </c>
      <c r="C7555" s="38" t="s">
        <v>11126</v>
      </c>
      <c r="D7555" s="38" t="str">
        <f>IFERROR(__xludf.DUMMYFUNCTION("REGEXREPLACE(C7555,""-\d+(.*)|--\d+(.*)"","""")"),"MONTANER")</f>
        <v>MONTANER</v>
      </c>
      <c r="E7555" s="38" t="s">
        <v>268</v>
      </c>
      <c r="F7555" s="38" t="s">
        <v>252</v>
      </c>
      <c r="G7555" s="49" t="str">
        <f t="shared" si="1"/>
        <v>64460</v>
      </c>
      <c r="H7555" s="49">
        <f t="shared" si="2"/>
        <v>64398</v>
      </c>
    </row>
    <row r="7556">
      <c r="A7556" s="48" t="s">
        <v>3780</v>
      </c>
      <c r="B7556" s="38">
        <v>50228.0</v>
      </c>
      <c r="C7556" s="38" t="s">
        <v>11127</v>
      </c>
      <c r="D7556" s="38" t="str">
        <f>IFERROR(__xludf.DUMMYFUNCTION("REGEXREPLACE(C7556,""-\d+(.*)|--\d+(.*)"","""")"),"HAMBYE")</f>
        <v>HAMBYE</v>
      </c>
      <c r="E7556" s="38" t="s">
        <v>157</v>
      </c>
      <c r="F7556" s="38" t="s">
        <v>138</v>
      </c>
      <c r="G7556" s="49" t="str">
        <f t="shared" si="1"/>
        <v>50450</v>
      </c>
      <c r="H7556" s="49">
        <f t="shared" si="2"/>
        <v>50228</v>
      </c>
    </row>
    <row r="7557">
      <c r="A7557" s="48" t="s">
        <v>2316</v>
      </c>
      <c r="B7557" s="38">
        <v>25221.0</v>
      </c>
      <c r="C7557" s="38" t="s">
        <v>11128</v>
      </c>
      <c r="D7557" s="38" t="str">
        <f>IFERROR(__xludf.DUMMYFUNCTION("REGEXREPLACE(C7557,""-\d+(.*)|--\d+(.*)"","""")"),"ESNANS")</f>
        <v>ESNANS</v>
      </c>
      <c r="E7557" s="38" t="s">
        <v>213</v>
      </c>
      <c r="F7557" s="38" t="s">
        <v>214</v>
      </c>
      <c r="G7557" s="49" t="str">
        <f t="shared" si="1"/>
        <v>25110</v>
      </c>
      <c r="H7557" s="49">
        <f t="shared" si="2"/>
        <v>25221</v>
      </c>
    </row>
    <row r="7558">
      <c r="A7558" s="48" t="s">
        <v>11129</v>
      </c>
      <c r="B7558" s="38">
        <v>43021.0</v>
      </c>
      <c r="C7558" s="38" t="s">
        <v>867</v>
      </c>
      <c r="D7558" s="38" t="str">
        <f>IFERROR(__xludf.DUMMYFUNCTION("REGEXREPLACE(C7558,""-\d+(.*)|--\d+(.*)"","""")"),"BEAULIEU")</f>
        <v>BEAULIEU</v>
      </c>
      <c r="E7558" s="38" t="s">
        <v>332</v>
      </c>
      <c r="F7558" s="38" t="s">
        <v>161</v>
      </c>
      <c r="G7558" s="49" t="str">
        <f t="shared" si="1"/>
        <v>43800</v>
      </c>
      <c r="H7558" s="49">
        <f t="shared" si="2"/>
        <v>43021</v>
      </c>
    </row>
    <row r="7559">
      <c r="A7559" s="48" t="s">
        <v>8199</v>
      </c>
      <c r="B7559" s="38">
        <v>63387.0</v>
      </c>
      <c r="C7559" s="38" t="s">
        <v>11130</v>
      </c>
      <c r="D7559" s="38" t="str">
        <f>IFERROR(__xludf.DUMMYFUNCTION("REGEXREPLACE(C7559,""-\d+(.*)|--\d+(.*)"","""")"),"SAINT-PRIEST-BRAMEFANT")</f>
        <v>SAINT-PRIEST-BRAMEFANT</v>
      </c>
      <c r="E7559" s="38" t="s">
        <v>353</v>
      </c>
      <c r="F7559" s="38" t="s">
        <v>161</v>
      </c>
      <c r="G7559" s="49" t="str">
        <f t="shared" si="1"/>
        <v>63310</v>
      </c>
      <c r="H7559" s="49">
        <f t="shared" si="2"/>
        <v>63387</v>
      </c>
    </row>
    <row r="7560">
      <c r="A7560" s="48" t="s">
        <v>11131</v>
      </c>
      <c r="B7560" s="38">
        <v>53112.0</v>
      </c>
      <c r="C7560" s="38" t="s">
        <v>11132</v>
      </c>
      <c r="D7560" s="38" t="str">
        <f>IFERROR(__xludf.DUMMYFUNCTION("REGEXREPLACE(C7560,""-\d+(.*)|--\d+(.*)"","""")"),"LE HAM")</f>
        <v>LE HAM</v>
      </c>
      <c r="E7560" s="38" t="s">
        <v>518</v>
      </c>
      <c r="F7560" s="38" t="s">
        <v>180</v>
      </c>
      <c r="G7560" s="49" t="str">
        <f t="shared" si="1"/>
        <v>53250</v>
      </c>
      <c r="H7560" s="49">
        <f t="shared" si="2"/>
        <v>53112</v>
      </c>
    </row>
    <row r="7561">
      <c r="A7561" s="48" t="s">
        <v>1345</v>
      </c>
      <c r="B7561" s="38">
        <v>46045.0</v>
      </c>
      <c r="C7561" s="38" t="s">
        <v>11133</v>
      </c>
      <c r="D7561" s="38" t="str">
        <f>IFERROR(__xludf.DUMMYFUNCTION("REGEXREPLACE(C7561,""-\d+(.*)|--\d+(.*)"","""")"),"CAJARC")</f>
        <v>CAJARC</v>
      </c>
      <c r="E7561" s="38" t="s">
        <v>185</v>
      </c>
      <c r="F7561" s="38" t="s">
        <v>94</v>
      </c>
      <c r="G7561" s="49" t="str">
        <f t="shared" si="1"/>
        <v>46160</v>
      </c>
      <c r="H7561" s="49">
        <f t="shared" si="2"/>
        <v>46045</v>
      </c>
    </row>
    <row r="7562">
      <c r="A7562" s="48" t="s">
        <v>2391</v>
      </c>
      <c r="B7562" s="38">
        <v>51453.0</v>
      </c>
      <c r="C7562" s="38" t="s">
        <v>11134</v>
      </c>
      <c r="D7562" s="38" t="str">
        <f>IFERROR(__xludf.DUMMYFUNCTION("REGEXREPLACE(C7562,""-\d+(.*)|--\d+(.*)"","""")"),"RECY")</f>
        <v>RECY</v>
      </c>
      <c r="E7562" s="38" t="s">
        <v>129</v>
      </c>
      <c r="F7562" s="38" t="s">
        <v>130</v>
      </c>
      <c r="G7562" s="49" t="str">
        <f t="shared" si="1"/>
        <v>51520</v>
      </c>
      <c r="H7562" s="49">
        <f t="shared" si="2"/>
        <v>51453</v>
      </c>
    </row>
    <row r="7563">
      <c r="A7563" s="48" t="s">
        <v>2582</v>
      </c>
      <c r="B7563" s="38">
        <v>14020.0</v>
      </c>
      <c r="C7563" s="38" t="s">
        <v>11135</v>
      </c>
      <c r="D7563" s="38" t="str">
        <f>IFERROR(__xludf.DUMMYFUNCTION("REGEXREPLACE(C7563,""-\d+(.*)|--\d+(.*)"","""")"),"ARGENCES")</f>
        <v>ARGENCES</v>
      </c>
      <c r="E7563" s="38" t="s">
        <v>137</v>
      </c>
      <c r="F7563" s="38" t="s">
        <v>138</v>
      </c>
      <c r="G7563" s="49" t="str">
        <f t="shared" si="1"/>
        <v>14370</v>
      </c>
      <c r="H7563" s="49">
        <f t="shared" si="2"/>
        <v>14020</v>
      </c>
    </row>
    <row r="7564">
      <c r="A7564" s="48" t="s">
        <v>2989</v>
      </c>
      <c r="B7564" s="38">
        <v>70288.0</v>
      </c>
      <c r="C7564" s="38" t="s">
        <v>11136</v>
      </c>
      <c r="D7564" s="38" t="str">
        <f>IFERROR(__xludf.DUMMYFUNCTION("REGEXREPLACE(C7564,""-\d+(.*)|--\d+(.*)"","""")"),"HYET")</f>
        <v>HYET</v>
      </c>
      <c r="E7564" s="38" t="s">
        <v>956</v>
      </c>
      <c r="F7564" s="38" t="s">
        <v>214</v>
      </c>
      <c r="G7564" s="49" t="str">
        <f t="shared" si="1"/>
        <v>70190</v>
      </c>
      <c r="H7564" s="49">
        <f t="shared" si="2"/>
        <v>70288</v>
      </c>
    </row>
    <row r="7565">
      <c r="A7565" s="48" t="s">
        <v>5483</v>
      </c>
      <c r="B7565" s="38">
        <v>58037.0</v>
      </c>
      <c r="C7565" s="38" t="s">
        <v>11137</v>
      </c>
      <c r="D7565" s="38" t="str">
        <f>IFERROR(__xludf.DUMMYFUNCTION("REGEXREPLACE(C7565,""-\d+(.*)|--\d+(.*)"","""")"),"BRASSY")</f>
        <v>BRASSY</v>
      </c>
      <c r="E7565" s="38" t="s">
        <v>219</v>
      </c>
      <c r="F7565" s="38" t="s">
        <v>106</v>
      </c>
      <c r="G7565" s="49" t="str">
        <f t="shared" si="1"/>
        <v>58140</v>
      </c>
      <c r="H7565" s="49">
        <f t="shared" si="2"/>
        <v>58037</v>
      </c>
    </row>
    <row r="7566">
      <c r="A7566" s="48" t="s">
        <v>4709</v>
      </c>
      <c r="B7566" s="38">
        <v>95139.0</v>
      </c>
      <c r="C7566" s="38" t="s">
        <v>11138</v>
      </c>
      <c r="D7566" s="38" t="str">
        <f>IFERROR(__xludf.DUMMYFUNCTION("REGEXREPLACE(C7566,""-\d+(.*)|--\d+(.*)"","""")"),"LA CHAPELLE-EN-VEXIN")</f>
        <v>LA CHAPELLE-EN-VEXIN</v>
      </c>
      <c r="E7566" s="38" t="s">
        <v>541</v>
      </c>
      <c r="F7566" s="38" t="s">
        <v>245</v>
      </c>
      <c r="G7566" s="49" t="str">
        <f t="shared" si="1"/>
        <v>95420</v>
      </c>
      <c r="H7566" s="49">
        <f t="shared" si="2"/>
        <v>95139</v>
      </c>
    </row>
    <row r="7567">
      <c r="A7567" s="48" t="s">
        <v>3075</v>
      </c>
      <c r="B7567" s="38">
        <v>46239.0</v>
      </c>
      <c r="C7567" s="38" t="s">
        <v>11139</v>
      </c>
      <c r="D7567" s="38" t="str">
        <f>IFERROR(__xludf.DUMMYFUNCTION("REGEXREPLACE(C7567,""-\d+(.*)|--\d+(.*)"","""")"),"LE ROC")</f>
        <v>LE ROC</v>
      </c>
      <c r="E7567" s="38" t="s">
        <v>185</v>
      </c>
      <c r="F7567" s="38" t="s">
        <v>94</v>
      </c>
      <c r="G7567" s="49" t="str">
        <f t="shared" si="1"/>
        <v>46200</v>
      </c>
      <c r="H7567" s="49">
        <f t="shared" si="2"/>
        <v>46239</v>
      </c>
    </row>
    <row r="7568">
      <c r="A7568" s="48" t="s">
        <v>5759</v>
      </c>
      <c r="B7568" s="38">
        <v>59347.0</v>
      </c>
      <c r="C7568" s="38" t="s">
        <v>11140</v>
      </c>
      <c r="D7568" s="38" t="str">
        <f>IFERROR(__xludf.DUMMYFUNCTION("REGEXREPLACE(C7568,""-\d+(.*)|--\d+(.*)"","""")"),"LIESSIES")</f>
        <v>LIESSIES</v>
      </c>
      <c r="E7568" s="38" t="s">
        <v>85</v>
      </c>
      <c r="F7568" s="38" t="s">
        <v>86</v>
      </c>
      <c r="G7568" s="49" t="str">
        <f t="shared" si="1"/>
        <v>59740</v>
      </c>
      <c r="H7568" s="49">
        <f t="shared" si="2"/>
        <v>59347</v>
      </c>
    </row>
    <row r="7569">
      <c r="A7569" s="48" t="s">
        <v>7689</v>
      </c>
      <c r="B7569" s="38">
        <v>61211.0</v>
      </c>
      <c r="C7569" s="38" t="s">
        <v>11141</v>
      </c>
      <c r="D7569" s="38" t="str">
        <f>IFERROR(__xludf.DUMMYFUNCTION("REGEXREPLACE(C7569,""-\d+(.*)|--\d+(.*)"","""")"),"JUVIGNY-SOUS-ANDAINE")</f>
        <v>JUVIGNY-SOUS-ANDAINE</v>
      </c>
      <c r="E7569" s="38" t="s">
        <v>141</v>
      </c>
      <c r="F7569" s="38" t="s">
        <v>138</v>
      </c>
      <c r="G7569" s="49" t="str">
        <f t="shared" si="1"/>
        <v>61140</v>
      </c>
      <c r="H7569" s="49">
        <f t="shared" si="2"/>
        <v>61211</v>
      </c>
    </row>
    <row r="7570">
      <c r="A7570" s="48" t="s">
        <v>1212</v>
      </c>
      <c r="B7570" s="38">
        <v>11172.0</v>
      </c>
      <c r="C7570" s="38" t="s">
        <v>11142</v>
      </c>
      <c r="D7570" s="38" t="str">
        <f>IFERROR(__xludf.DUMMYFUNCTION("REGEXREPLACE(C7570,""-\d+(.*)|--\d+(.*)"","""")"),"HOMPS")</f>
        <v>HOMPS</v>
      </c>
      <c r="E7570" s="38" t="s">
        <v>278</v>
      </c>
      <c r="F7570" s="38" t="s">
        <v>119</v>
      </c>
      <c r="G7570" s="49" t="str">
        <f t="shared" si="1"/>
        <v>11200</v>
      </c>
      <c r="H7570" s="49">
        <f t="shared" si="2"/>
        <v>11172</v>
      </c>
    </row>
    <row r="7571">
      <c r="A7571" s="48" t="s">
        <v>744</v>
      </c>
      <c r="B7571" s="38">
        <v>14128.0</v>
      </c>
      <c r="C7571" s="38" t="s">
        <v>11143</v>
      </c>
      <c r="D7571" s="38" t="str">
        <f>IFERROR(__xludf.DUMMYFUNCTION("REGEXREPLACE(C7571,""-\d+(.*)|--\d+(.*)"","""")"),"CAMPANDRE-VALCONGRAIN")</f>
        <v>CAMPANDRE-VALCONGRAIN</v>
      </c>
      <c r="E7571" s="38" t="s">
        <v>137</v>
      </c>
      <c r="F7571" s="38" t="s">
        <v>138</v>
      </c>
      <c r="G7571" s="49" t="str">
        <f t="shared" si="1"/>
        <v>14260</v>
      </c>
      <c r="H7571" s="49">
        <f t="shared" si="2"/>
        <v>14128</v>
      </c>
    </row>
    <row r="7572">
      <c r="A7572" s="48" t="s">
        <v>3574</v>
      </c>
      <c r="B7572" s="38">
        <v>19195.0</v>
      </c>
      <c r="C7572" s="38" t="s">
        <v>3527</v>
      </c>
      <c r="D7572" s="38" t="str">
        <f>IFERROR(__xludf.DUMMYFUNCTION("REGEXREPLACE(C7572,""-\d+(.*)|--\d+(.*)"","""")"),"SAINT-CYPRIEN")</f>
        <v>SAINT-CYPRIEN</v>
      </c>
      <c r="E7572" s="38" t="s">
        <v>271</v>
      </c>
      <c r="F7572" s="38" t="s">
        <v>98</v>
      </c>
      <c r="G7572" s="49" t="str">
        <f t="shared" si="1"/>
        <v>19130</v>
      </c>
      <c r="H7572" s="49">
        <f t="shared" si="2"/>
        <v>19195</v>
      </c>
    </row>
    <row r="7573">
      <c r="A7573" s="48" t="s">
        <v>2268</v>
      </c>
      <c r="B7573" s="38">
        <v>55375.0</v>
      </c>
      <c r="C7573" s="38" t="s">
        <v>11144</v>
      </c>
      <c r="D7573" s="38" t="str">
        <f>IFERROR(__xludf.DUMMYFUNCTION("REGEXREPLACE(C7573,""-\d+(.*)|--\d+(.*)"","""")"),"NANTILLOIS")</f>
        <v>NANTILLOIS</v>
      </c>
      <c r="E7573" s="38" t="s">
        <v>322</v>
      </c>
      <c r="F7573" s="38" t="s">
        <v>195</v>
      </c>
      <c r="G7573" s="49" t="str">
        <f t="shared" si="1"/>
        <v>55270</v>
      </c>
      <c r="H7573" s="49">
        <f t="shared" si="2"/>
        <v>55375</v>
      </c>
    </row>
    <row r="7574">
      <c r="A7574" s="48" t="s">
        <v>8934</v>
      </c>
      <c r="B7574" s="38">
        <v>68042.0</v>
      </c>
      <c r="C7574" s="38" t="s">
        <v>11145</v>
      </c>
      <c r="D7574" s="38" t="str">
        <f>IFERROR(__xludf.DUMMYFUNCTION("REGEXREPLACE(C7574,""-\d+(.*)|--\d+(.*)"","""")"),"BLOTZHEIM")</f>
        <v>BLOTZHEIM</v>
      </c>
      <c r="E7574" s="38" t="s">
        <v>150</v>
      </c>
      <c r="F7574" s="38" t="s">
        <v>151</v>
      </c>
      <c r="G7574" s="49" t="str">
        <f t="shared" si="1"/>
        <v>68730</v>
      </c>
      <c r="H7574" s="49">
        <f t="shared" si="2"/>
        <v>68042</v>
      </c>
    </row>
    <row r="7575">
      <c r="A7575" s="48" t="s">
        <v>11146</v>
      </c>
      <c r="B7575" s="38">
        <v>89220.0</v>
      </c>
      <c r="C7575" s="38" t="s">
        <v>11147</v>
      </c>
      <c r="D7575" s="38" t="str">
        <f>IFERROR(__xludf.DUMMYFUNCTION("REGEXREPLACE(C7575,""-\d+(.*)|--\d+(.*)"","""")"),"LAVAU")</f>
        <v>LAVAU</v>
      </c>
      <c r="E7575" s="38" t="s">
        <v>275</v>
      </c>
      <c r="F7575" s="38" t="s">
        <v>106</v>
      </c>
      <c r="G7575" s="49" t="str">
        <f t="shared" si="1"/>
        <v>89170</v>
      </c>
      <c r="H7575" s="49">
        <f t="shared" si="2"/>
        <v>89220</v>
      </c>
    </row>
    <row r="7576">
      <c r="A7576" s="48" t="s">
        <v>1448</v>
      </c>
      <c r="B7576" s="38">
        <v>29156.0</v>
      </c>
      <c r="C7576" s="38" t="s">
        <v>11148</v>
      </c>
      <c r="D7576" s="38" t="str">
        <f>IFERROR(__xludf.DUMMYFUNCTION("REGEXREPLACE(C7576,""-\d+(.*)|--\d+(.*)"","""")"),"PENCRAN")</f>
        <v>PENCRAN</v>
      </c>
      <c r="E7576" s="38" t="s">
        <v>176</v>
      </c>
      <c r="F7576" s="38" t="s">
        <v>90</v>
      </c>
      <c r="G7576" s="49" t="str">
        <f t="shared" si="1"/>
        <v>29800</v>
      </c>
      <c r="H7576" s="49">
        <f t="shared" si="2"/>
        <v>29156</v>
      </c>
    </row>
    <row r="7577">
      <c r="A7577" s="48" t="s">
        <v>482</v>
      </c>
      <c r="B7577" s="38">
        <v>26293.0</v>
      </c>
      <c r="C7577" s="38" t="s">
        <v>2297</v>
      </c>
      <c r="D7577" s="38" t="str">
        <f>IFERROR(__xludf.DUMMYFUNCTION("REGEXREPLACE(C7577,""-\d+(.*)|--\d+(.*)"","""")"),"SAINT-AVIT")</f>
        <v>SAINT-AVIT</v>
      </c>
      <c r="E7577" s="38" t="s">
        <v>126</v>
      </c>
      <c r="F7577" s="38" t="s">
        <v>102</v>
      </c>
      <c r="G7577" s="49" t="str">
        <f t="shared" si="1"/>
        <v>26330</v>
      </c>
      <c r="H7577" s="49">
        <f t="shared" si="2"/>
        <v>26293</v>
      </c>
    </row>
    <row r="7578">
      <c r="A7578" s="48" t="s">
        <v>11149</v>
      </c>
      <c r="B7578" s="38">
        <v>43185.0</v>
      </c>
      <c r="C7578" s="38" t="s">
        <v>11150</v>
      </c>
      <c r="D7578" s="38" t="str">
        <f>IFERROR(__xludf.DUMMYFUNCTION("REGEXREPLACE(C7578,""-\d+(.*)|--\d+(.*)"","""")"),"SAINTE-FLORINE")</f>
        <v>SAINTE-FLORINE</v>
      </c>
      <c r="E7578" s="38" t="s">
        <v>332</v>
      </c>
      <c r="F7578" s="38" t="s">
        <v>161</v>
      </c>
      <c r="G7578" s="49" t="str">
        <f t="shared" si="1"/>
        <v>43250</v>
      </c>
      <c r="H7578" s="49">
        <f t="shared" si="2"/>
        <v>43185</v>
      </c>
    </row>
    <row r="7579">
      <c r="A7579" s="48" t="s">
        <v>9660</v>
      </c>
      <c r="B7579" s="38">
        <v>89204.0</v>
      </c>
      <c r="C7579" s="38" t="s">
        <v>11151</v>
      </c>
      <c r="D7579" s="38" t="str">
        <f>IFERROR(__xludf.DUMMYFUNCTION("REGEXREPLACE(C7579,""-\d+(.*)|--\d+(.*)"","""")"),"L'ISLE-SUR-SEREIN")</f>
        <v>L'ISLE-SUR-SEREIN</v>
      </c>
      <c r="E7579" s="38" t="s">
        <v>275</v>
      </c>
      <c r="F7579" s="38" t="s">
        <v>106</v>
      </c>
      <c r="G7579" s="49" t="str">
        <f t="shared" si="1"/>
        <v>89440</v>
      </c>
      <c r="H7579" s="49">
        <f t="shared" si="2"/>
        <v>89204</v>
      </c>
    </row>
    <row r="7580">
      <c r="A7580" s="48" t="s">
        <v>11152</v>
      </c>
      <c r="B7580" s="38">
        <v>61486.0</v>
      </c>
      <c r="C7580" s="38" t="s">
        <v>11153</v>
      </c>
      <c r="D7580" s="38" t="str">
        <f>IFERROR(__xludf.DUMMYFUNCTION("REGEXREPLACE(C7580,""-\d+(.*)|--\d+(.*)"","""")"),"TINCHEBRAY")</f>
        <v>TINCHEBRAY</v>
      </c>
      <c r="E7580" s="38" t="s">
        <v>141</v>
      </c>
      <c r="F7580" s="38" t="s">
        <v>138</v>
      </c>
      <c r="G7580" s="49" t="str">
        <f t="shared" si="1"/>
        <v>61800</v>
      </c>
      <c r="H7580" s="49">
        <f t="shared" si="2"/>
        <v>61486</v>
      </c>
    </row>
    <row r="7581">
      <c r="A7581" s="48" t="s">
        <v>3077</v>
      </c>
      <c r="B7581" s="38">
        <v>32416.0</v>
      </c>
      <c r="C7581" s="38" t="s">
        <v>11154</v>
      </c>
      <c r="D7581" s="38" t="str">
        <f>IFERROR(__xludf.DUMMYFUNCTION("REGEXREPLACE(C7581,""-\d+(.*)|--\d+(.*)"","""")"),"SARRANT")</f>
        <v>SARRANT</v>
      </c>
      <c r="E7581" s="38" t="s">
        <v>440</v>
      </c>
      <c r="F7581" s="38" t="s">
        <v>94</v>
      </c>
      <c r="G7581" s="49" t="str">
        <f t="shared" si="1"/>
        <v>32120</v>
      </c>
      <c r="H7581" s="49">
        <f t="shared" si="2"/>
        <v>32416</v>
      </c>
    </row>
    <row r="7582">
      <c r="A7582" s="48" t="s">
        <v>4428</v>
      </c>
      <c r="B7582" s="38">
        <v>72355.0</v>
      </c>
      <c r="C7582" s="38" t="s">
        <v>11155</v>
      </c>
      <c r="D7582" s="38" t="str">
        <f>IFERROR(__xludf.DUMMYFUNCTION("REGEXREPLACE(C7582,""-\d+(.*)|--\d+(.*)"","""")"),"THOIRE-SOUS-CONTENSOR")</f>
        <v>THOIRE-SOUS-CONTENSOR</v>
      </c>
      <c r="E7582" s="38" t="s">
        <v>521</v>
      </c>
      <c r="F7582" s="38" t="s">
        <v>180</v>
      </c>
      <c r="G7582" s="49" t="str">
        <f t="shared" si="1"/>
        <v>72610</v>
      </c>
      <c r="H7582" s="49">
        <f t="shared" si="2"/>
        <v>72355</v>
      </c>
    </row>
    <row r="7583">
      <c r="A7583" s="48" t="s">
        <v>10179</v>
      </c>
      <c r="B7583" s="38">
        <v>8235.0</v>
      </c>
      <c r="C7583" s="38" t="s">
        <v>11156</v>
      </c>
      <c r="D7583" s="38" t="str">
        <f>IFERROR(__xludf.DUMMYFUNCTION("REGEXREPLACE(C7583,""-\d+(.*)|--\d+(.*)"","""")"),"ISSANCOURT-ET-RUMEL")</f>
        <v>ISSANCOURT-ET-RUMEL</v>
      </c>
      <c r="E7583" s="38" t="s">
        <v>327</v>
      </c>
      <c r="F7583" s="38" t="s">
        <v>130</v>
      </c>
      <c r="G7583" s="49" t="str">
        <f t="shared" si="1"/>
        <v>08440</v>
      </c>
      <c r="H7583" s="49" t="str">
        <f t="shared" si="2"/>
        <v>08235</v>
      </c>
    </row>
    <row r="7584">
      <c r="A7584" s="48" t="s">
        <v>1972</v>
      </c>
      <c r="B7584" s="38">
        <v>57038.0</v>
      </c>
      <c r="C7584" s="38" t="s">
        <v>11157</v>
      </c>
      <c r="D7584" s="38" t="str">
        <f>IFERROR(__xludf.DUMMYFUNCTION("REGEXREPLACE(C7584,""-\d+(.*)|--\d+(.*)"","""")"),"AUDUN-LE-TICHE")</f>
        <v>AUDUN-LE-TICHE</v>
      </c>
      <c r="E7584" s="38" t="s">
        <v>303</v>
      </c>
      <c r="F7584" s="38" t="s">
        <v>195</v>
      </c>
      <c r="G7584" s="49" t="str">
        <f t="shared" si="1"/>
        <v>57390</v>
      </c>
      <c r="H7584" s="49">
        <f t="shared" si="2"/>
        <v>57038</v>
      </c>
    </row>
    <row r="7585">
      <c r="A7585" s="48" t="s">
        <v>10939</v>
      </c>
      <c r="B7585" s="38">
        <v>77452.0</v>
      </c>
      <c r="C7585" s="38" t="s">
        <v>11158</v>
      </c>
      <c r="D7585" s="38" t="str">
        <f>IFERROR(__xludf.DUMMYFUNCTION("REGEXREPLACE(C7585,""-\d+(.*)|--\d+(.*)"","""")"),"SIGY")</f>
        <v>SIGY</v>
      </c>
      <c r="E7585" s="38" t="s">
        <v>244</v>
      </c>
      <c r="F7585" s="38" t="s">
        <v>245</v>
      </c>
      <c r="G7585" s="49" t="str">
        <f t="shared" si="1"/>
        <v>77520</v>
      </c>
      <c r="H7585" s="49">
        <f t="shared" si="2"/>
        <v>77452</v>
      </c>
    </row>
    <row r="7586">
      <c r="A7586" s="48" t="s">
        <v>3882</v>
      </c>
      <c r="B7586" s="38">
        <v>62509.0</v>
      </c>
      <c r="C7586" s="38" t="s">
        <v>11159</v>
      </c>
      <c r="D7586" s="38" t="str">
        <f>IFERROR(__xludf.DUMMYFUNCTION("REGEXREPLACE(C7586,""-\d+(.*)|--\d+(.*)"","""")"),"LIETTRES")</f>
        <v>LIETTRES</v>
      </c>
      <c r="E7586" s="38" t="s">
        <v>109</v>
      </c>
      <c r="F7586" s="38" t="s">
        <v>86</v>
      </c>
      <c r="G7586" s="49" t="str">
        <f t="shared" si="1"/>
        <v>62145</v>
      </c>
      <c r="H7586" s="49">
        <f t="shared" si="2"/>
        <v>62509</v>
      </c>
    </row>
    <row r="7587">
      <c r="A7587" s="48" t="s">
        <v>3743</v>
      </c>
      <c r="B7587" s="38">
        <v>27134.0</v>
      </c>
      <c r="C7587" s="38" t="s">
        <v>11160</v>
      </c>
      <c r="D7587" s="38" t="str">
        <f>IFERROR(__xludf.DUMMYFUNCTION("REGEXREPLACE(C7587,""-\d+(.*)|--\d+(.*)"","""")"),"CAUVERVILLE-EN-ROUMOIS")</f>
        <v>CAUVERVILLE-EN-ROUMOIS</v>
      </c>
      <c r="E7587" s="38" t="s">
        <v>241</v>
      </c>
      <c r="F7587" s="38" t="s">
        <v>134</v>
      </c>
      <c r="G7587" s="49" t="str">
        <f t="shared" si="1"/>
        <v>27350</v>
      </c>
      <c r="H7587" s="49">
        <f t="shared" si="2"/>
        <v>27134</v>
      </c>
    </row>
    <row r="7588">
      <c r="A7588" s="48" t="s">
        <v>5076</v>
      </c>
      <c r="B7588" s="38">
        <v>14110.0</v>
      </c>
      <c r="C7588" s="38" t="s">
        <v>11161</v>
      </c>
      <c r="D7588" s="38" t="str">
        <f>IFERROR(__xludf.DUMMYFUNCTION("REGEXREPLACE(C7588,""-\d+(.*)|--\d+(.*)"","""")"),"BRUCOURT")</f>
        <v>BRUCOURT</v>
      </c>
      <c r="E7588" s="38" t="s">
        <v>137</v>
      </c>
      <c r="F7588" s="38" t="s">
        <v>138</v>
      </c>
      <c r="G7588" s="49" t="str">
        <f t="shared" si="1"/>
        <v>14160</v>
      </c>
      <c r="H7588" s="49">
        <f t="shared" si="2"/>
        <v>14110</v>
      </c>
    </row>
    <row r="7589">
      <c r="A7589" s="48" t="s">
        <v>5900</v>
      </c>
      <c r="B7589" s="38">
        <v>18290.0</v>
      </c>
      <c r="C7589" s="38" t="s">
        <v>11162</v>
      </c>
      <c r="D7589" s="38" t="str">
        <f>IFERROR(__xludf.DUMMYFUNCTION("REGEXREPLACE(C7589,""-\d+(.*)|--\d+(.*)"","""")"),"VOUZERON")</f>
        <v>VOUZERON</v>
      </c>
      <c r="E7589" s="38" t="s">
        <v>504</v>
      </c>
      <c r="F7589" s="38" t="s">
        <v>123</v>
      </c>
      <c r="G7589" s="49" t="str">
        <f t="shared" si="1"/>
        <v>18330</v>
      </c>
      <c r="H7589" s="49">
        <f t="shared" si="2"/>
        <v>18290</v>
      </c>
    </row>
    <row r="7590">
      <c r="A7590" s="48" t="s">
        <v>2628</v>
      </c>
      <c r="B7590" s="38">
        <v>19132.0</v>
      </c>
      <c r="C7590" s="38" t="s">
        <v>11163</v>
      </c>
      <c r="D7590" s="38" t="str">
        <f>IFERROR(__xludf.DUMMYFUNCTION("REGEXREPLACE(C7590,""-\d+(.*)|--\d+(.*)"","""")"),"MENOIRE")</f>
        <v>MENOIRE</v>
      </c>
      <c r="E7590" s="38" t="s">
        <v>271</v>
      </c>
      <c r="F7590" s="38" t="s">
        <v>98</v>
      </c>
      <c r="G7590" s="49" t="str">
        <f t="shared" si="1"/>
        <v>19190</v>
      </c>
      <c r="H7590" s="49">
        <f t="shared" si="2"/>
        <v>19132</v>
      </c>
    </row>
    <row r="7591">
      <c r="A7591" s="48" t="s">
        <v>858</v>
      </c>
      <c r="B7591" s="38">
        <v>77392.0</v>
      </c>
      <c r="C7591" s="38" t="s">
        <v>11164</v>
      </c>
      <c r="D7591" s="38" t="str">
        <f>IFERROR(__xludf.DUMMYFUNCTION("REGEXREPLACE(C7591,""-\d+(.*)|--\d+(.*)"","""")"),"ROUVRES")</f>
        <v>ROUVRES</v>
      </c>
      <c r="E7591" s="38" t="s">
        <v>244</v>
      </c>
      <c r="F7591" s="38" t="s">
        <v>245</v>
      </c>
      <c r="G7591" s="49" t="str">
        <f t="shared" si="1"/>
        <v>77230</v>
      </c>
      <c r="H7591" s="49">
        <f t="shared" si="2"/>
        <v>77392</v>
      </c>
    </row>
    <row r="7592">
      <c r="A7592" s="48" t="s">
        <v>7514</v>
      </c>
      <c r="B7592" s="38">
        <v>88274.0</v>
      </c>
      <c r="C7592" s="38" t="s">
        <v>11165</v>
      </c>
      <c r="D7592" s="38" t="str">
        <f>IFERROR(__xludf.DUMMYFUNCTION("REGEXREPLACE(C7592,""-\d+(.*)|--\d+(.*)"","""")"),"LONGCHAMP-SOUS-CHATENOIS")</f>
        <v>LONGCHAMP-SOUS-CHATENOIS</v>
      </c>
      <c r="E7592" s="38" t="s">
        <v>194</v>
      </c>
      <c r="F7592" s="38" t="s">
        <v>195</v>
      </c>
      <c r="G7592" s="49" t="str">
        <f t="shared" si="1"/>
        <v>88170</v>
      </c>
      <c r="H7592" s="49">
        <f t="shared" si="2"/>
        <v>88274</v>
      </c>
    </row>
    <row r="7593">
      <c r="A7593" s="48" t="s">
        <v>11166</v>
      </c>
      <c r="B7593" s="38">
        <v>55481.0</v>
      </c>
      <c r="C7593" s="38" t="s">
        <v>11167</v>
      </c>
      <c r="D7593" s="38" t="str">
        <f>IFERROR(__xludf.DUMMYFUNCTION("REGEXREPLACE(C7593,""-\d+(.*)|--\d+(.*)"","""")"),"SENON")</f>
        <v>SENON</v>
      </c>
      <c r="E7593" s="38" t="s">
        <v>322</v>
      </c>
      <c r="F7593" s="38" t="s">
        <v>195</v>
      </c>
      <c r="G7593" s="49" t="str">
        <f t="shared" si="1"/>
        <v>55230</v>
      </c>
      <c r="H7593" s="49">
        <f t="shared" si="2"/>
        <v>55481</v>
      </c>
    </row>
    <row r="7594">
      <c r="A7594" s="48" t="s">
        <v>2755</v>
      </c>
      <c r="B7594" s="38">
        <v>60661.0</v>
      </c>
      <c r="C7594" s="38" t="s">
        <v>11168</v>
      </c>
      <c r="D7594" s="38" t="str">
        <f>IFERROR(__xludf.DUMMYFUNCTION("REGEXREPLACE(C7594,""-\d+(.*)|--\d+(.*)"","""")"),"VAUMOISE")</f>
        <v>VAUMOISE</v>
      </c>
      <c r="E7594" s="38" t="s">
        <v>112</v>
      </c>
      <c r="F7594" s="38" t="s">
        <v>113</v>
      </c>
      <c r="G7594" s="49" t="str">
        <f t="shared" si="1"/>
        <v>60117</v>
      </c>
      <c r="H7594" s="49">
        <f t="shared" si="2"/>
        <v>60661</v>
      </c>
    </row>
    <row r="7595">
      <c r="A7595" s="48" t="s">
        <v>4563</v>
      </c>
      <c r="B7595" s="38">
        <v>38175.0</v>
      </c>
      <c r="C7595" s="38" t="s">
        <v>11169</v>
      </c>
      <c r="D7595" s="38" t="str">
        <f>IFERROR(__xludf.DUMMYFUNCTION("REGEXREPLACE(C7595,""-\d+(.*)|--\d+(.*)"","""")"),"FROGES")</f>
        <v>FROGES</v>
      </c>
      <c r="E7595" s="38" t="s">
        <v>101</v>
      </c>
      <c r="F7595" s="38" t="s">
        <v>102</v>
      </c>
      <c r="G7595" s="49" t="str">
        <f t="shared" si="1"/>
        <v>38190</v>
      </c>
      <c r="H7595" s="49">
        <f t="shared" si="2"/>
        <v>38175</v>
      </c>
    </row>
    <row r="7596">
      <c r="A7596" s="48" t="s">
        <v>3675</v>
      </c>
      <c r="B7596" s="38">
        <v>58308.0</v>
      </c>
      <c r="C7596" s="38" t="s">
        <v>11170</v>
      </c>
      <c r="D7596" s="38" t="str">
        <f>IFERROR(__xludf.DUMMYFUNCTION("REGEXREPLACE(C7596,""-\d+(.*)|--\d+(.*)"","""")"),"VIGNOL")</f>
        <v>VIGNOL</v>
      </c>
      <c r="E7596" s="38" t="s">
        <v>219</v>
      </c>
      <c r="F7596" s="38" t="s">
        <v>106</v>
      </c>
      <c r="G7596" s="49" t="str">
        <f t="shared" si="1"/>
        <v>58190</v>
      </c>
      <c r="H7596" s="49">
        <f t="shared" si="2"/>
        <v>58308</v>
      </c>
    </row>
    <row r="7597">
      <c r="A7597" s="48" t="s">
        <v>1178</v>
      </c>
      <c r="B7597" s="38">
        <v>1375.0</v>
      </c>
      <c r="C7597" s="38" t="s">
        <v>11171</v>
      </c>
      <c r="D7597" s="38" t="str">
        <f>IFERROR(__xludf.DUMMYFUNCTION("REGEXREPLACE(C7597,""-\d+(.*)|--\d+(.*)"","""")"),"SAINT-MARTIN-LE-CHATEL")</f>
        <v>SAINT-MARTIN-LE-CHATEL</v>
      </c>
      <c r="E7597" s="38" t="s">
        <v>255</v>
      </c>
      <c r="F7597" s="38" t="s">
        <v>102</v>
      </c>
      <c r="G7597" s="49" t="str">
        <f t="shared" si="1"/>
        <v>01310</v>
      </c>
      <c r="H7597" s="49" t="str">
        <f t="shared" si="2"/>
        <v>01375</v>
      </c>
    </row>
    <row r="7598">
      <c r="A7598" s="48" t="s">
        <v>10008</v>
      </c>
      <c r="B7598" s="38">
        <v>36117.0</v>
      </c>
      <c r="C7598" s="38" t="s">
        <v>11172</v>
      </c>
      <c r="D7598" s="38" t="str">
        <f>IFERROR(__xludf.DUMMYFUNCTION("REGEXREPLACE(C7598,""-\d+(.*)|--\d+(.*)"","""")"),"LE MENOUX")</f>
        <v>LE MENOUX</v>
      </c>
      <c r="E7598" s="38" t="s">
        <v>258</v>
      </c>
      <c r="F7598" s="38" t="s">
        <v>123</v>
      </c>
      <c r="G7598" s="49" t="str">
        <f t="shared" si="1"/>
        <v>36200</v>
      </c>
      <c r="H7598" s="49">
        <f t="shared" si="2"/>
        <v>36117</v>
      </c>
    </row>
    <row r="7599">
      <c r="A7599" s="48" t="s">
        <v>580</v>
      </c>
      <c r="B7599" s="38">
        <v>31064.0</v>
      </c>
      <c r="C7599" s="38" t="s">
        <v>11173</v>
      </c>
      <c r="D7599" s="38" t="str">
        <f>IFERROR(__xludf.DUMMYFUNCTION("REGEXREPLACE(C7599,""-\d+(.*)|--\d+(.*)"","""")"),"BENQUE-DESSOUS-ET-DESSUS")</f>
        <v>BENQUE-DESSOUS-ET-DESSUS</v>
      </c>
      <c r="E7599" s="38" t="s">
        <v>93</v>
      </c>
      <c r="F7599" s="38" t="s">
        <v>94</v>
      </c>
      <c r="G7599" s="49" t="str">
        <f t="shared" si="1"/>
        <v>31110</v>
      </c>
      <c r="H7599" s="49">
        <f t="shared" si="2"/>
        <v>31064</v>
      </c>
    </row>
    <row r="7600">
      <c r="A7600" s="48" t="s">
        <v>8439</v>
      </c>
      <c r="B7600" s="38">
        <v>89041.0</v>
      </c>
      <c r="C7600" s="38" t="s">
        <v>11174</v>
      </c>
      <c r="D7600" s="38" t="str">
        <f>IFERROR(__xludf.DUMMYFUNCTION("REGEXREPLACE(C7600,""-\d+(.*)|--\d+(.*)"","""")"),"BEUGNON")</f>
        <v>BEUGNON</v>
      </c>
      <c r="E7600" s="38" t="s">
        <v>275</v>
      </c>
      <c r="F7600" s="38" t="s">
        <v>106</v>
      </c>
      <c r="G7600" s="49" t="str">
        <f t="shared" si="1"/>
        <v>89570</v>
      </c>
      <c r="H7600" s="49">
        <f t="shared" si="2"/>
        <v>89041</v>
      </c>
    </row>
    <row r="7601">
      <c r="A7601" s="48" t="s">
        <v>1132</v>
      </c>
      <c r="B7601" s="38">
        <v>2054.0</v>
      </c>
      <c r="C7601" s="38" t="s">
        <v>11175</v>
      </c>
      <c r="D7601" s="38" t="str">
        <f>IFERROR(__xludf.DUMMYFUNCTION("REGEXREPLACE(C7601,""-\d+(.*)|--\d+(.*)"","""")"),"BAZOCHES-SUR-VESLES")</f>
        <v>BAZOCHES-SUR-VESLES</v>
      </c>
      <c r="E7601" s="38" t="s">
        <v>191</v>
      </c>
      <c r="F7601" s="38" t="s">
        <v>113</v>
      </c>
      <c r="G7601" s="49" t="str">
        <f t="shared" si="1"/>
        <v>02220</v>
      </c>
      <c r="H7601" s="49" t="str">
        <f t="shared" si="2"/>
        <v>02054</v>
      </c>
    </row>
    <row r="7602">
      <c r="A7602" s="48" t="s">
        <v>794</v>
      </c>
      <c r="B7602" s="38">
        <v>60311.0</v>
      </c>
      <c r="C7602" s="38" t="s">
        <v>11176</v>
      </c>
      <c r="D7602" s="38" t="str">
        <f>IFERROR(__xludf.DUMMYFUNCTION("REGEXREPLACE(C7602,""-\d+(.*)|--\d+(.*)"","""")"),"LA HERELLE")</f>
        <v>LA HERELLE</v>
      </c>
      <c r="E7602" s="38" t="s">
        <v>112</v>
      </c>
      <c r="F7602" s="38" t="s">
        <v>113</v>
      </c>
      <c r="G7602" s="49" t="str">
        <f t="shared" si="1"/>
        <v>60120</v>
      </c>
      <c r="H7602" s="49">
        <f t="shared" si="2"/>
        <v>60311</v>
      </c>
    </row>
    <row r="7603">
      <c r="A7603" s="48" t="s">
        <v>11177</v>
      </c>
      <c r="B7603" s="38">
        <v>12270.0</v>
      </c>
      <c r="C7603" s="38" t="s">
        <v>11178</v>
      </c>
      <c r="D7603" s="38" t="str">
        <f>IFERROR(__xludf.DUMMYFUNCTION("REGEXREPLACE(C7603,""-\d+(.*)|--\d+(.*)"","""")"),"SEVERAC-LE-CHATEAU")</f>
        <v>SEVERAC-LE-CHATEAU</v>
      </c>
      <c r="E7603" s="38" t="s">
        <v>465</v>
      </c>
      <c r="F7603" s="38" t="s">
        <v>94</v>
      </c>
      <c r="G7603" s="49" t="str">
        <f t="shared" si="1"/>
        <v>12150</v>
      </c>
      <c r="H7603" s="49">
        <f t="shared" si="2"/>
        <v>12270</v>
      </c>
    </row>
    <row r="7604">
      <c r="A7604" s="48" t="s">
        <v>9692</v>
      </c>
      <c r="B7604" s="38">
        <v>18198.0</v>
      </c>
      <c r="C7604" s="38" t="s">
        <v>11179</v>
      </c>
      <c r="D7604" s="38" t="str">
        <f>IFERROR(__xludf.DUMMYFUNCTION("REGEXREPLACE(C7604,""-\d+(.*)|--\d+(.*)"","""")"),"SAINT-AMBROIX")</f>
        <v>SAINT-AMBROIX</v>
      </c>
      <c r="E7604" s="38" t="s">
        <v>504</v>
      </c>
      <c r="F7604" s="38" t="s">
        <v>123</v>
      </c>
      <c r="G7604" s="49" t="str">
        <f t="shared" si="1"/>
        <v>18290</v>
      </c>
      <c r="H7604" s="49">
        <f t="shared" si="2"/>
        <v>18198</v>
      </c>
    </row>
    <row r="7605">
      <c r="A7605" s="48" t="s">
        <v>6566</v>
      </c>
      <c r="B7605" s="38">
        <v>49163.0</v>
      </c>
      <c r="C7605" s="38" t="s">
        <v>11180</v>
      </c>
      <c r="D7605" s="38" t="str">
        <f>IFERROR(__xludf.DUMMYFUNCTION("REGEXREPLACE(C7605,""-\d+(.*)|--\d+(.*)"","""")"),"JARZE")</f>
        <v>JARZE</v>
      </c>
      <c r="E7605" s="38" t="s">
        <v>653</v>
      </c>
      <c r="F7605" s="38" t="s">
        <v>180</v>
      </c>
      <c r="G7605" s="49" t="str">
        <f t="shared" si="1"/>
        <v>49140</v>
      </c>
      <c r="H7605" s="49">
        <f t="shared" si="2"/>
        <v>49163</v>
      </c>
    </row>
    <row r="7606">
      <c r="A7606" s="48" t="s">
        <v>1560</v>
      </c>
      <c r="B7606" s="38">
        <v>14193.0</v>
      </c>
      <c r="C7606" s="38" t="s">
        <v>11181</v>
      </c>
      <c r="D7606" s="38" t="str">
        <f>IFERROR(__xludf.DUMMYFUNCTION("REGEXREPLACE(C7606,""-\d+(.*)|--\d+(.*)"","""")"),"COURTONNE-LA-MEURDRAC")</f>
        <v>COURTONNE-LA-MEURDRAC</v>
      </c>
      <c r="E7606" s="38" t="s">
        <v>137</v>
      </c>
      <c r="F7606" s="38" t="s">
        <v>138</v>
      </c>
      <c r="G7606" s="49" t="str">
        <f t="shared" si="1"/>
        <v>14100</v>
      </c>
      <c r="H7606" s="49">
        <f t="shared" si="2"/>
        <v>14193</v>
      </c>
    </row>
    <row r="7607">
      <c r="A7607" s="48" t="s">
        <v>11182</v>
      </c>
      <c r="B7607" s="38">
        <v>97605.0</v>
      </c>
      <c r="C7607" s="38" t="s">
        <v>11183</v>
      </c>
      <c r="D7607" s="38" t="str">
        <f>IFERROR(__xludf.DUMMYFUNCTION("REGEXREPLACE(C7607,""-\d+(.*)|--\d+(.*)"","""")"),"CHICONI")</f>
        <v>CHICONI</v>
      </c>
      <c r="E7607" s="38" t="s">
        <v>2865</v>
      </c>
      <c r="F7607" s="38" t="s">
        <v>2865</v>
      </c>
      <c r="G7607" s="49" t="str">
        <f t="shared" si="1"/>
        <v>97670</v>
      </c>
      <c r="H7607" s="49">
        <f t="shared" si="2"/>
        <v>97605</v>
      </c>
    </row>
    <row r="7608">
      <c r="A7608" s="48" t="s">
        <v>1636</v>
      </c>
      <c r="B7608" s="38">
        <v>14070.0</v>
      </c>
      <c r="C7608" s="38" t="s">
        <v>11184</v>
      </c>
      <c r="D7608" s="38" t="str">
        <f>IFERROR(__xludf.DUMMYFUNCTION("REGEXREPLACE(C7608,""-\d+(.*)|--\d+(.*)"","""")"),"BEUVRON-EN-AUGE")</f>
        <v>BEUVRON-EN-AUGE</v>
      </c>
      <c r="E7608" s="38" t="s">
        <v>137</v>
      </c>
      <c r="F7608" s="38" t="s">
        <v>138</v>
      </c>
      <c r="G7608" s="49" t="str">
        <f t="shared" si="1"/>
        <v>14430</v>
      </c>
      <c r="H7608" s="49">
        <f t="shared" si="2"/>
        <v>14070</v>
      </c>
    </row>
    <row r="7609">
      <c r="A7609" s="48" t="s">
        <v>4832</v>
      </c>
      <c r="B7609" s="38">
        <v>18005.0</v>
      </c>
      <c r="C7609" s="38" t="s">
        <v>11185</v>
      </c>
      <c r="D7609" s="38" t="str">
        <f>IFERROR(__xludf.DUMMYFUNCTION("REGEXREPLACE(C7609,""-\d+(.*)|--\d+(.*)"","""")"),"ALLOUIS")</f>
        <v>ALLOUIS</v>
      </c>
      <c r="E7609" s="38" t="s">
        <v>504</v>
      </c>
      <c r="F7609" s="38" t="s">
        <v>123</v>
      </c>
      <c r="G7609" s="49" t="str">
        <f t="shared" si="1"/>
        <v>18500</v>
      </c>
      <c r="H7609" s="49">
        <f t="shared" si="2"/>
        <v>18005</v>
      </c>
    </row>
    <row r="7610">
      <c r="A7610" s="48" t="s">
        <v>3631</v>
      </c>
      <c r="B7610" s="38">
        <v>38337.0</v>
      </c>
      <c r="C7610" s="38" t="s">
        <v>7343</v>
      </c>
      <c r="D7610" s="38" t="str">
        <f>IFERROR(__xludf.DUMMYFUNCTION("REGEXREPLACE(C7610,""-\d+(.*)|--\d+(.*)"","""")"),"RIVES")</f>
        <v>RIVES</v>
      </c>
      <c r="E7610" s="38" t="s">
        <v>101</v>
      </c>
      <c r="F7610" s="38" t="s">
        <v>102</v>
      </c>
      <c r="G7610" s="49" t="str">
        <f t="shared" si="1"/>
        <v>38140</v>
      </c>
      <c r="H7610" s="49">
        <f t="shared" si="2"/>
        <v>38337</v>
      </c>
    </row>
    <row r="7611">
      <c r="A7611" s="48" t="s">
        <v>2833</v>
      </c>
      <c r="B7611" s="38">
        <v>77010.0</v>
      </c>
      <c r="C7611" s="38" t="s">
        <v>11186</v>
      </c>
      <c r="D7611" s="38" t="str">
        <f>IFERROR(__xludf.DUMMYFUNCTION("REGEXREPLACE(C7611,""-\d+(.*)|--\d+(.*)"","""")"),"AUBEPIERRE-OZOUER-LE-REPOS")</f>
        <v>AUBEPIERRE-OZOUER-LE-REPOS</v>
      </c>
      <c r="E7611" s="38" t="s">
        <v>244</v>
      </c>
      <c r="F7611" s="38" t="s">
        <v>245</v>
      </c>
      <c r="G7611" s="49" t="str">
        <f t="shared" si="1"/>
        <v>77720</v>
      </c>
      <c r="H7611" s="49">
        <f t="shared" si="2"/>
        <v>77010</v>
      </c>
    </row>
    <row r="7612">
      <c r="A7612" s="48" t="s">
        <v>1857</v>
      </c>
      <c r="B7612" s="38">
        <v>4231.0</v>
      </c>
      <c r="C7612" s="38" t="s">
        <v>11187</v>
      </c>
      <c r="D7612" s="38" t="str">
        <f>IFERROR(__xludf.DUMMYFUNCTION("REGEXREPLACE(C7612,""-\d+(.*)|--\d+(.*)"","""")"),"VALERNES")</f>
        <v>VALERNES</v>
      </c>
      <c r="E7612" s="38" t="s">
        <v>662</v>
      </c>
      <c r="F7612" s="38" t="s">
        <v>228</v>
      </c>
      <c r="G7612" s="49" t="str">
        <f t="shared" si="1"/>
        <v>04200</v>
      </c>
      <c r="H7612" s="49" t="str">
        <f t="shared" si="2"/>
        <v>04231</v>
      </c>
    </row>
    <row r="7613">
      <c r="A7613" s="48" t="s">
        <v>7918</v>
      </c>
      <c r="B7613" s="38">
        <v>17141.0</v>
      </c>
      <c r="C7613" s="38" t="s">
        <v>11188</v>
      </c>
      <c r="D7613" s="38" t="str">
        <f>IFERROR(__xludf.DUMMYFUNCTION("REGEXREPLACE(C7613,""-\d+(.*)|--\d+(.*)"","""")"),"DOMPIERRE-SUR-CHARENTE")</f>
        <v>DOMPIERRE-SUR-CHARENTE</v>
      </c>
      <c r="E7613" s="38" t="s">
        <v>488</v>
      </c>
      <c r="F7613" s="38" t="s">
        <v>338</v>
      </c>
      <c r="G7613" s="49" t="str">
        <f t="shared" si="1"/>
        <v>17610</v>
      </c>
      <c r="H7613" s="49">
        <f t="shared" si="2"/>
        <v>17141</v>
      </c>
    </row>
    <row r="7614">
      <c r="A7614" s="48" t="s">
        <v>11189</v>
      </c>
      <c r="B7614" s="38">
        <v>21582.0</v>
      </c>
      <c r="C7614" s="38" t="s">
        <v>11190</v>
      </c>
      <c r="D7614" s="38" t="str">
        <f>IFERROR(__xludf.DUMMYFUNCTION("REGEXREPLACE(C7614,""-\d+(.*)|--\d+(.*)"","""")"),"SANTENAY")</f>
        <v>SANTENAY</v>
      </c>
      <c r="E7614" s="38" t="s">
        <v>105</v>
      </c>
      <c r="F7614" s="38" t="s">
        <v>106</v>
      </c>
      <c r="G7614" s="49" t="str">
        <f t="shared" si="1"/>
        <v>21590</v>
      </c>
      <c r="H7614" s="49">
        <f t="shared" si="2"/>
        <v>21582</v>
      </c>
    </row>
    <row r="7615">
      <c r="A7615" s="48" t="s">
        <v>6474</v>
      </c>
      <c r="B7615" s="38">
        <v>61097.0</v>
      </c>
      <c r="C7615" s="38" t="s">
        <v>11191</v>
      </c>
      <c r="D7615" s="38" t="str">
        <f>IFERROR(__xludf.DUMMYFUNCTION("REGEXREPLACE(C7615,""-\d+(.*)|--\d+(.*)"","""")"),"LA CHAPELLE-MONTLIGEON")</f>
        <v>LA CHAPELLE-MONTLIGEON</v>
      </c>
      <c r="E7615" s="38" t="s">
        <v>141</v>
      </c>
      <c r="F7615" s="38" t="s">
        <v>138</v>
      </c>
      <c r="G7615" s="49" t="str">
        <f t="shared" si="1"/>
        <v>61400</v>
      </c>
      <c r="H7615" s="49">
        <f t="shared" si="2"/>
        <v>61097</v>
      </c>
    </row>
    <row r="7616">
      <c r="A7616" s="48" t="s">
        <v>2413</v>
      </c>
      <c r="B7616" s="38">
        <v>72098.0</v>
      </c>
      <c r="C7616" s="38" t="s">
        <v>11192</v>
      </c>
      <c r="D7616" s="38" t="str">
        <f>IFERROR(__xludf.DUMMYFUNCTION("REGEXREPLACE(C7616,""-\d+(.*)|--\d+(.*)"","""")"),"COULONGE")</f>
        <v>COULONGE</v>
      </c>
      <c r="E7616" s="38" t="s">
        <v>521</v>
      </c>
      <c r="F7616" s="38" t="s">
        <v>180</v>
      </c>
      <c r="G7616" s="49" t="str">
        <f t="shared" si="1"/>
        <v>72800</v>
      </c>
      <c r="H7616" s="49">
        <f t="shared" si="2"/>
        <v>72098</v>
      </c>
    </row>
    <row r="7617">
      <c r="A7617" s="48" t="s">
        <v>1898</v>
      </c>
      <c r="B7617" s="38">
        <v>31354.0</v>
      </c>
      <c r="C7617" s="38" t="s">
        <v>11193</v>
      </c>
      <c r="D7617" s="38" t="str">
        <f>IFERROR(__xludf.DUMMYFUNCTION("REGEXREPLACE(C7617,""-\d+(.*)|--\d+(.*)"","""")"),"MONESTROL")</f>
        <v>MONESTROL</v>
      </c>
      <c r="E7617" s="38" t="s">
        <v>93</v>
      </c>
      <c r="F7617" s="38" t="s">
        <v>94</v>
      </c>
      <c r="G7617" s="49" t="str">
        <f t="shared" si="1"/>
        <v>31560</v>
      </c>
      <c r="H7617" s="49">
        <f t="shared" si="2"/>
        <v>31354</v>
      </c>
    </row>
    <row r="7618">
      <c r="A7618" s="48" t="s">
        <v>10107</v>
      </c>
      <c r="B7618" s="38" t="s">
        <v>11194</v>
      </c>
      <c r="C7618" s="38" t="s">
        <v>11195</v>
      </c>
      <c r="D7618" s="38" t="str">
        <f>IFERROR(__xludf.DUMMYFUNCTION("REGEXREPLACE(C7618,""-\d+(.*)|--\d+(.*)"","""")"),"SILVARECCIO")</f>
        <v>SILVARECCIO</v>
      </c>
      <c r="E7618" s="38" t="s">
        <v>743</v>
      </c>
      <c r="F7618" s="38" t="s">
        <v>607</v>
      </c>
      <c r="G7618" s="49" t="str">
        <f t="shared" si="1"/>
        <v>20215</v>
      </c>
      <c r="H7618" s="49" t="str">
        <f t="shared" si="2"/>
        <v>2B280</v>
      </c>
    </row>
    <row r="7619">
      <c r="A7619" s="48" t="s">
        <v>6016</v>
      </c>
      <c r="B7619" s="38">
        <v>57026.0</v>
      </c>
      <c r="C7619" s="38" t="s">
        <v>11196</v>
      </c>
      <c r="D7619" s="38" t="str">
        <f>IFERROR(__xludf.DUMMYFUNCTION("REGEXREPLACE(C7619,""-\d+(.*)|--\d+(.*)"","""")"),"APACH")</f>
        <v>APACH</v>
      </c>
      <c r="E7619" s="38" t="s">
        <v>303</v>
      </c>
      <c r="F7619" s="38" t="s">
        <v>195</v>
      </c>
      <c r="G7619" s="49" t="str">
        <f t="shared" si="1"/>
        <v>57480</v>
      </c>
      <c r="H7619" s="49">
        <f t="shared" si="2"/>
        <v>57026</v>
      </c>
    </row>
    <row r="7620">
      <c r="A7620" s="48" t="s">
        <v>1859</v>
      </c>
      <c r="B7620" s="38">
        <v>88434.0</v>
      </c>
      <c r="C7620" s="38" t="s">
        <v>11197</v>
      </c>
      <c r="D7620" s="38" t="str">
        <f>IFERROR(__xludf.DUMMYFUNCTION("REGEXREPLACE(C7620,""-\d+(.*)|--\d+(.*)"","""")"),"SAINT-REMIMONT")</f>
        <v>SAINT-REMIMONT</v>
      </c>
      <c r="E7620" s="38" t="s">
        <v>194</v>
      </c>
      <c r="F7620" s="38" t="s">
        <v>195</v>
      </c>
      <c r="G7620" s="49" t="str">
        <f t="shared" si="1"/>
        <v>88800</v>
      </c>
      <c r="H7620" s="49">
        <f t="shared" si="2"/>
        <v>88434</v>
      </c>
    </row>
    <row r="7621">
      <c r="A7621" s="48" t="s">
        <v>1872</v>
      </c>
      <c r="B7621" s="38">
        <v>80327.0</v>
      </c>
      <c r="C7621" s="38" t="s">
        <v>11198</v>
      </c>
      <c r="D7621" s="38" t="str">
        <f>IFERROR(__xludf.DUMMYFUNCTION("REGEXREPLACE(C7621,""-\d+(.*)|--\d+(.*)"","""")"),"FONTAINE-SUR-MAYE")</f>
        <v>FONTAINE-SUR-MAYE</v>
      </c>
      <c r="E7621" s="38" t="s">
        <v>224</v>
      </c>
      <c r="F7621" s="38" t="s">
        <v>113</v>
      </c>
      <c r="G7621" s="49" t="str">
        <f t="shared" si="1"/>
        <v>80150</v>
      </c>
      <c r="H7621" s="49">
        <f t="shared" si="2"/>
        <v>80327</v>
      </c>
    </row>
    <row r="7622">
      <c r="A7622" s="48" t="s">
        <v>11199</v>
      </c>
      <c r="B7622" s="38">
        <v>31467.0</v>
      </c>
      <c r="C7622" s="38" t="s">
        <v>11200</v>
      </c>
      <c r="D7622" s="38" t="str">
        <f>IFERROR(__xludf.DUMMYFUNCTION("REGEXREPLACE(C7622,""-\d+(.*)|--\d+(.*)"","""")"),"SAINT-ALBAN")</f>
        <v>SAINT-ALBAN</v>
      </c>
      <c r="E7622" s="38" t="s">
        <v>93</v>
      </c>
      <c r="F7622" s="38" t="s">
        <v>94</v>
      </c>
      <c r="G7622" s="49" t="str">
        <f t="shared" si="1"/>
        <v>31140</v>
      </c>
      <c r="H7622" s="49">
        <f t="shared" si="2"/>
        <v>31467</v>
      </c>
    </row>
    <row r="7623">
      <c r="A7623" s="48" t="s">
        <v>1190</v>
      </c>
      <c r="B7623" s="38">
        <v>41129.0</v>
      </c>
      <c r="C7623" s="38" t="s">
        <v>11201</v>
      </c>
      <c r="D7623" s="38" t="str">
        <f>IFERROR(__xludf.DUMMYFUNCTION("REGEXREPLACE(C7623,""-\d+(.*)|--\d+(.*)"","""")"),"MASLIVES")</f>
        <v>MASLIVES</v>
      </c>
      <c r="E7623" s="38" t="s">
        <v>188</v>
      </c>
      <c r="F7623" s="38" t="s">
        <v>123</v>
      </c>
      <c r="G7623" s="49" t="str">
        <f t="shared" si="1"/>
        <v>41250</v>
      </c>
      <c r="H7623" s="49">
        <f t="shared" si="2"/>
        <v>41129</v>
      </c>
    </row>
    <row r="7624">
      <c r="A7624" s="48" t="s">
        <v>862</v>
      </c>
      <c r="B7624" s="38">
        <v>27563.0</v>
      </c>
      <c r="C7624" s="38" t="s">
        <v>11202</v>
      </c>
      <c r="D7624" s="38" t="str">
        <f>IFERROR(__xludf.DUMMYFUNCTION("REGEXREPLACE(C7624,""-\d+(.*)|--\d+(.*)"","""")"),"SAINT-MARDS-DE-BLACARVILLE")</f>
        <v>SAINT-MARDS-DE-BLACARVILLE</v>
      </c>
      <c r="E7624" s="38" t="s">
        <v>241</v>
      </c>
      <c r="F7624" s="38" t="s">
        <v>134</v>
      </c>
      <c r="G7624" s="49" t="str">
        <f t="shared" si="1"/>
        <v>27500</v>
      </c>
      <c r="H7624" s="49">
        <f t="shared" si="2"/>
        <v>27563</v>
      </c>
    </row>
    <row r="7625">
      <c r="A7625" s="48" t="s">
        <v>2549</v>
      </c>
      <c r="B7625" s="38">
        <v>55197.0</v>
      </c>
      <c r="C7625" s="38" t="s">
        <v>11203</v>
      </c>
      <c r="D7625" s="38" t="str">
        <f>IFERROR(__xludf.DUMMYFUNCTION("REGEXREPLACE(C7625,""-\d+(.*)|--\d+(.*)"","""")"),"FRESNES-AU-MONT")</f>
        <v>FRESNES-AU-MONT</v>
      </c>
      <c r="E7625" s="38" t="s">
        <v>322</v>
      </c>
      <c r="F7625" s="38" t="s">
        <v>195</v>
      </c>
      <c r="G7625" s="49" t="str">
        <f t="shared" si="1"/>
        <v>55260</v>
      </c>
      <c r="H7625" s="49">
        <f t="shared" si="2"/>
        <v>55197</v>
      </c>
    </row>
    <row r="7626">
      <c r="A7626" s="48" t="s">
        <v>7590</v>
      </c>
      <c r="B7626" s="38">
        <v>85201.0</v>
      </c>
      <c r="C7626" s="38" t="s">
        <v>11204</v>
      </c>
      <c r="D7626" s="38" t="str">
        <f>IFERROR(__xludf.DUMMYFUNCTION("REGEXREPLACE(C7626,""-\d+(.*)|--\d+(.*)"","""")"),"SAINT-BENOIST-SUR-MER")</f>
        <v>SAINT-BENOIST-SUR-MER</v>
      </c>
      <c r="E7626" s="38" t="s">
        <v>179</v>
      </c>
      <c r="F7626" s="38" t="s">
        <v>180</v>
      </c>
      <c r="G7626" s="49" t="str">
        <f t="shared" si="1"/>
        <v>85540</v>
      </c>
      <c r="H7626" s="49">
        <f t="shared" si="2"/>
        <v>85201</v>
      </c>
    </row>
    <row r="7627">
      <c r="A7627" s="48" t="s">
        <v>9704</v>
      </c>
      <c r="B7627" s="38">
        <v>22152.0</v>
      </c>
      <c r="C7627" s="38" t="s">
        <v>11205</v>
      </c>
      <c r="D7627" s="38" t="str">
        <f>IFERROR(__xludf.DUMMYFUNCTION("REGEXREPLACE(C7627,""-\d+(.*)|--\d+(.*)"","""")"),"MINIHY-TREGUIER")</f>
        <v>MINIHY-TREGUIER</v>
      </c>
      <c r="E7627" s="38" t="s">
        <v>89</v>
      </c>
      <c r="F7627" s="38" t="s">
        <v>90</v>
      </c>
      <c r="G7627" s="49" t="str">
        <f t="shared" si="1"/>
        <v>22220</v>
      </c>
      <c r="H7627" s="49">
        <f t="shared" si="2"/>
        <v>22152</v>
      </c>
    </row>
    <row r="7628">
      <c r="A7628" s="48" t="s">
        <v>378</v>
      </c>
      <c r="B7628" s="38">
        <v>37093.0</v>
      </c>
      <c r="C7628" s="38" t="s">
        <v>11206</v>
      </c>
      <c r="D7628" s="38" t="str">
        <f>IFERROR(__xludf.DUMMYFUNCTION("REGEXREPLACE(C7628,""-\d+(.*)|--\d+(.*)"","""")"),"CROUZILLES")</f>
        <v>CROUZILLES</v>
      </c>
      <c r="E7628" s="38" t="s">
        <v>205</v>
      </c>
      <c r="F7628" s="38" t="s">
        <v>123</v>
      </c>
      <c r="G7628" s="49" t="str">
        <f t="shared" si="1"/>
        <v>37220</v>
      </c>
      <c r="H7628" s="49">
        <f t="shared" si="2"/>
        <v>37093</v>
      </c>
    </row>
    <row r="7629">
      <c r="A7629" s="48" t="s">
        <v>5640</v>
      </c>
      <c r="B7629" s="38">
        <v>2702.0</v>
      </c>
      <c r="C7629" s="38" t="s">
        <v>11207</v>
      </c>
      <c r="D7629" s="38" t="str">
        <f>IFERROR(__xludf.DUMMYFUNCTION("REGEXREPLACE(C7629,""-\d+(.*)|--\d+(.*)"","""")"),"SAVY")</f>
        <v>SAVY</v>
      </c>
      <c r="E7629" s="38" t="s">
        <v>191</v>
      </c>
      <c r="F7629" s="38" t="s">
        <v>113</v>
      </c>
      <c r="G7629" s="49" t="str">
        <f t="shared" si="1"/>
        <v>02590</v>
      </c>
      <c r="H7629" s="49" t="str">
        <f t="shared" si="2"/>
        <v>02702</v>
      </c>
    </row>
    <row r="7630">
      <c r="A7630" s="48" t="s">
        <v>11208</v>
      </c>
      <c r="B7630" s="38">
        <v>97405.0</v>
      </c>
      <c r="C7630" s="38" t="s">
        <v>11209</v>
      </c>
      <c r="D7630" s="38" t="str">
        <f>IFERROR(__xludf.DUMMYFUNCTION("REGEXREPLACE(C7630,""-\d+(.*)|--\d+(.*)"","""")"),"PETITE-ILE")</f>
        <v>PETITE-ILE</v>
      </c>
      <c r="E7630" s="38" t="s">
        <v>7739</v>
      </c>
      <c r="F7630" s="38" t="s">
        <v>7739</v>
      </c>
      <c r="G7630" s="49" t="str">
        <f t="shared" si="1"/>
        <v>97429</v>
      </c>
      <c r="H7630" s="49">
        <f t="shared" si="2"/>
        <v>97405</v>
      </c>
    </row>
    <row r="7631">
      <c r="A7631" s="48" t="s">
        <v>1058</v>
      </c>
      <c r="B7631" s="38">
        <v>21089.0</v>
      </c>
      <c r="C7631" s="38" t="s">
        <v>11210</v>
      </c>
      <c r="D7631" s="38" t="str">
        <f>IFERROR(__xludf.DUMMYFUNCTION("REGEXREPLACE(C7631,""-\d+(.*)|--\d+(.*)"","""")"),"BONNENCONTRE")</f>
        <v>BONNENCONTRE</v>
      </c>
      <c r="E7631" s="38" t="s">
        <v>105</v>
      </c>
      <c r="F7631" s="38" t="s">
        <v>106</v>
      </c>
      <c r="G7631" s="49" t="str">
        <f t="shared" si="1"/>
        <v>21250</v>
      </c>
      <c r="H7631" s="49">
        <f t="shared" si="2"/>
        <v>21089</v>
      </c>
    </row>
    <row r="7632">
      <c r="A7632" s="48" t="s">
        <v>11211</v>
      </c>
      <c r="B7632" s="38">
        <v>29232.0</v>
      </c>
      <c r="C7632" s="38" t="s">
        <v>11212</v>
      </c>
      <c r="D7632" s="38" t="str">
        <f>IFERROR(__xludf.DUMMYFUNCTION("REGEXREPLACE(C7632,""-\d+(.*)|--\d+(.*)"","""")"),"QUIMPER")</f>
        <v>QUIMPER</v>
      </c>
      <c r="E7632" s="38" t="s">
        <v>176</v>
      </c>
      <c r="F7632" s="38" t="s">
        <v>90</v>
      </c>
      <c r="G7632" s="49" t="str">
        <f t="shared" si="1"/>
        <v>29000</v>
      </c>
      <c r="H7632" s="49">
        <f t="shared" si="2"/>
        <v>29232</v>
      </c>
    </row>
    <row r="7633">
      <c r="A7633" s="48" t="s">
        <v>1690</v>
      </c>
      <c r="B7633" s="38">
        <v>53118.0</v>
      </c>
      <c r="C7633" s="38" t="s">
        <v>11213</v>
      </c>
      <c r="D7633" s="38" t="str">
        <f>IFERROR(__xludf.DUMMYFUNCTION("REGEXREPLACE(C7633,""-\d+(.*)|--\d+(.*)"","""")"),"LE HOUSSEAU-BRETIGNOLLES")</f>
        <v>LE HOUSSEAU-BRETIGNOLLES</v>
      </c>
      <c r="E7633" s="38" t="s">
        <v>518</v>
      </c>
      <c r="F7633" s="38" t="s">
        <v>180</v>
      </c>
      <c r="G7633" s="49" t="str">
        <f t="shared" si="1"/>
        <v>53110</v>
      </c>
      <c r="H7633" s="49">
        <f t="shared" si="2"/>
        <v>53118</v>
      </c>
    </row>
    <row r="7634">
      <c r="A7634" s="48" t="s">
        <v>3716</v>
      </c>
      <c r="B7634" s="38">
        <v>57110.0</v>
      </c>
      <c r="C7634" s="38" t="s">
        <v>11214</v>
      </c>
      <c r="D7634" s="38" t="str">
        <f>IFERROR(__xludf.DUMMYFUNCTION("REGEXREPLACE(C7634,""-\d+(.*)|--\d+(.*)"","""")"),"BRETTNACH")</f>
        <v>BRETTNACH</v>
      </c>
      <c r="E7634" s="38" t="s">
        <v>303</v>
      </c>
      <c r="F7634" s="38" t="s">
        <v>195</v>
      </c>
      <c r="G7634" s="49" t="str">
        <f t="shared" si="1"/>
        <v>57320</v>
      </c>
      <c r="H7634" s="49">
        <f t="shared" si="2"/>
        <v>57110</v>
      </c>
    </row>
    <row r="7635">
      <c r="A7635" s="48" t="s">
        <v>3853</v>
      </c>
      <c r="B7635" s="38">
        <v>71301.0</v>
      </c>
      <c r="C7635" s="38" t="s">
        <v>7625</v>
      </c>
      <c r="D7635" s="38" t="str">
        <f>IFERROR(__xludf.DUMMYFUNCTION("REGEXREPLACE(C7635,""-\d+(.*)|--\d+(.*)"","""")"),"MONT")</f>
        <v>MONT</v>
      </c>
      <c r="E7635" s="38" t="s">
        <v>344</v>
      </c>
      <c r="F7635" s="38" t="s">
        <v>106</v>
      </c>
      <c r="G7635" s="49" t="str">
        <f t="shared" si="1"/>
        <v>71140</v>
      </c>
      <c r="H7635" s="49">
        <f t="shared" si="2"/>
        <v>71301</v>
      </c>
    </row>
    <row r="7636">
      <c r="A7636" s="48" t="s">
        <v>6805</v>
      </c>
      <c r="B7636" s="38">
        <v>79020.0</v>
      </c>
      <c r="C7636" s="38" t="s">
        <v>9226</v>
      </c>
      <c r="D7636" s="38" t="str">
        <f>IFERROR(__xludf.DUMMYFUNCTION("REGEXREPLACE(C7636,""-\d+(.*)|--\d+(.*)"","""")"),"AUGE")</f>
        <v>AUGE</v>
      </c>
      <c r="E7636" s="38" t="s">
        <v>337</v>
      </c>
      <c r="F7636" s="38" t="s">
        <v>338</v>
      </c>
      <c r="G7636" s="49" t="str">
        <f t="shared" si="1"/>
        <v>79400</v>
      </c>
      <c r="H7636" s="49">
        <f t="shared" si="2"/>
        <v>79020</v>
      </c>
    </row>
    <row r="7637">
      <c r="A7637" s="48" t="s">
        <v>11115</v>
      </c>
      <c r="B7637" s="38">
        <v>34136.0</v>
      </c>
      <c r="C7637" s="38" t="s">
        <v>11215</v>
      </c>
      <c r="D7637" s="38" t="str">
        <f>IFERROR(__xludf.DUMMYFUNCTION("REGEXREPLACE(C7637,""-\d+(.*)|--\d+(.*)"","""")"),"LEZIGNAN-LA-CEBE")</f>
        <v>LEZIGNAN-LA-CEBE</v>
      </c>
      <c r="E7637" s="38" t="s">
        <v>118</v>
      </c>
      <c r="F7637" s="38" t="s">
        <v>119</v>
      </c>
      <c r="G7637" s="49" t="str">
        <f t="shared" si="1"/>
        <v>34120</v>
      </c>
      <c r="H7637" s="49">
        <f t="shared" si="2"/>
        <v>34136</v>
      </c>
    </row>
    <row r="7638">
      <c r="A7638" s="48" t="s">
        <v>3523</v>
      </c>
      <c r="B7638" s="38">
        <v>31399.0</v>
      </c>
      <c r="C7638" s="38" t="s">
        <v>11216</v>
      </c>
      <c r="D7638" s="38" t="str">
        <f>IFERROR(__xludf.DUMMYFUNCTION("REGEXREPLACE(C7638,""-\d+(.*)|--\d+(.*)"","""")"),"NOE")</f>
        <v>NOE</v>
      </c>
      <c r="E7638" s="38" t="s">
        <v>93</v>
      </c>
      <c r="F7638" s="38" t="s">
        <v>94</v>
      </c>
      <c r="G7638" s="49" t="str">
        <f t="shared" si="1"/>
        <v>31410</v>
      </c>
      <c r="H7638" s="49">
        <f t="shared" si="2"/>
        <v>31399</v>
      </c>
    </row>
    <row r="7639">
      <c r="A7639" s="48" t="s">
        <v>1883</v>
      </c>
      <c r="B7639" s="38">
        <v>39031.0</v>
      </c>
      <c r="C7639" s="38" t="s">
        <v>11217</v>
      </c>
      <c r="D7639" s="38" t="str">
        <f>IFERROR(__xludf.DUMMYFUNCTION("REGEXREPLACE(C7639,""-\d+(.*)|--\d+(.*)"","""")"),"AUXANGE")</f>
        <v>AUXANGE</v>
      </c>
      <c r="E7639" s="38" t="s">
        <v>400</v>
      </c>
      <c r="F7639" s="38" t="s">
        <v>214</v>
      </c>
      <c r="G7639" s="49" t="str">
        <f t="shared" si="1"/>
        <v>39700</v>
      </c>
      <c r="H7639" s="49">
        <f t="shared" si="2"/>
        <v>39031</v>
      </c>
    </row>
    <row r="7640">
      <c r="A7640" s="48" t="s">
        <v>1077</v>
      </c>
      <c r="B7640" s="38">
        <v>25496.0</v>
      </c>
      <c r="C7640" s="38" t="s">
        <v>11218</v>
      </c>
      <c r="D7640" s="38" t="str">
        <f>IFERROR(__xludf.DUMMYFUNCTION("REGEXREPLACE(C7640,""-\d+(.*)|--\d+(.*)"","""")"),"ROCHE-LES-CLERVAL")</f>
        <v>ROCHE-LES-CLERVAL</v>
      </c>
      <c r="E7640" s="38" t="s">
        <v>213</v>
      </c>
      <c r="F7640" s="38" t="s">
        <v>214</v>
      </c>
      <c r="G7640" s="49" t="str">
        <f t="shared" si="1"/>
        <v>25340</v>
      </c>
      <c r="H7640" s="49">
        <f t="shared" si="2"/>
        <v>25496</v>
      </c>
    </row>
    <row r="7641">
      <c r="A7641" s="48" t="s">
        <v>1124</v>
      </c>
      <c r="B7641" s="38">
        <v>61106.0</v>
      </c>
      <c r="C7641" s="38" t="s">
        <v>11219</v>
      </c>
      <c r="D7641" s="38" t="str">
        <f>IFERROR(__xludf.DUMMYFUNCTION("REGEXREPLACE(C7641,""-\d+(.*)|--\d+(.*)"","""")"),"CHENEDOUIT")</f>
        <v>CHENEDOUIT</v>
      </c>
      <c r="E7641" s="38" t="s">
        <v>141</v>
      </c>
      <c r="F7641" s="38" t="s">
        <v>138</v>
      </c>
      <c r="G7641" s="49" t="str">
        <f t="shared" si="1"/>
        <v>61210</v>
      </c>
      <c r="H7641" s="49">
        <f t="shared" si="2"/>
        <v>61106</v>
      </c>
    </row>
    <row r="7642">
      <c r="A7642" s="48" t="s">
        <v>7639</v>
      </c>
      <c r="B7642" s="38">
        <v>11252.0</v>
      </c>
      <c r="C7642" s="38" t="s">
        <v>11220</v>
      </c>
      <c r="D7642" s="38" t="str">
        <f>IFERROR(__xludf.DUMMYFUNCTION("REGEXREPLACE(C7642,""-\d+(.*)|--\d+(.*)"","""")"),"MONTMAUR")</f>
        <v>MONTMAUR</v>
      </c>
      <c r="E7642" s="38" t="s">
        <v>278</v>
      </c>
      <c r="F7642" s="38" t="s">
        <v>119</v>
      </c>
      <c r="G7642" s="49" t="str">
        <f t="shared" si="1"/>
        <v>11320</v>
      </c>
      <c r="H7642" s="49">
        <f t="shared" si="2"/>
        <v>11252</v>
      </c>
    </row>
    <row r="7643">
      <c r="A7643" s="48" t="s">
        <v>2726</v>
      </c>
      <c r="B7643" s="38">
        <v>46338.0</v>
      </c>
      <c r="C7643" s="38" t="s">
        <v>11221</v>
      </c>
      <c r="D7643" s="38" t="str">
        <f>IFERROR(__xludf.DUMMYFUNCTION("REGEXREPLACE(C7643,""-\d+(.*)|--\d+(.*)"","""")"),"BESSONIES")</f>
        <v>BESSONIES</v>
      </c>
      <c r="E7643" s="38" t="s">
        <v>185</v>
      </c>
      <c r="F7643" s="38" t="s">
        <v>94</v>
      </c>
      <c r="G7643" s="49" t="str">
        <f t="shared" si="1"/>
        <v>46210</v>
      </c>
      <c r="H7643" s="49">
        <f t="shared" si="2"/>
        <v>46338</v>
      </c>
    </row>
    <row r="7644">
      <c r="A7644" s="48" t="s">
        <v>2837</v>
      </c>
      <c r="B7644" s="38">
        <v>17371.0</v>
      </c>
      <c r="C7644" s="38" t="s">
        <v>11222</v>
      </c>
      <c r="D7644" s="38" t="str">
        <f>IFERROR(__xludf.DUMMYFUNCTION("REGEXREPLACE(C7644,""-\d+(.*)|--\d+(.*)"","""")"),"SAINT-MAURICE-DE-TAVERNOLE")</f>
        <v>SAINT-MAURICE-DE-TAVERNOLE</v>
      </c>
      <c r="E7644" s="38" t="s">
        <v>488</v>
      </c>
      <c r="F7644" s="38" t="s">
        <v>338</v>
      </c>
      <c r="G7644" s="49" t="str">
        <f t="shared" si="1"/>
        <v>17500</v>
      </c>
      <c r="H7644" s="49">
        <f t="shared" si="2"/>
        <v>17371</v>
      </c>
    </row>
    <row r="7645">
      <c r="A7645" s="48" t="s">
        <v>5364</v>
      </c>
      <c r="B7645" s="38">
        <v>35209.0</v>
      </c>
      <c r="C7645" s="38" t="s">
        <v>11223</v>
      </c>
      <c r="D7645" s="38" t="str">
        <f>IFERROR(__xludf.DUMMYFUNCTION("REGEXREPLACE(C7645,""-\d+(.*)|--\d+(.*)"","""")"),"OSSE")</f>
        <v>OSSE</v>
      </c>
      <c r="E7645" s="38" t="s">
        <v>347</v>
      </c>
      <c r="F7645" s="38" t="s">
        <v>90</v>
      </c>
      <c r="G7645" s="49" t="str">
        <f t="shared" si="1"/>
        <v>35410</v>
      </c>
      <c r="H7645" s="49">
        <f t="shared" si="2"/>
        <v>35209</v>
      </c>
    </row>
    <row r="7646">
      <c r="A7646" s="48" t="s">
        <v>1632</v>
      </c>
      <c r="B7646" s="38">
        <v>63202.0</v>
      </c>
      <c r="C7646" s="38" t="s">
        <v>11224</v>
      </c>
      <c r="D7646" s="38" t="str">
        <f>IFERROR(__xludf.DUMMYFUNCTION("REGEXREPLACE(C7646,""-\d+(.*)|--\d+(.*)"","""")"),"MADRIAT")</f>
        <v>MADRIAT</v>
      </c>
      <c r="E7646" s="38" t="s">
        <v>353</v>
      </c>
      <c r="F7646" s="38" t="s">
        <v>161</v>
      </c>
      <c r="G7646" s="49" t="str">
        <f t="shared" si="1"/>
        <v>63340</v>
      </c>
      <c r="H7646" s="49">
        <f t="shared" si="2"/>
        <v>63202</v>
      </c>
    </row>
    <row r="7647">
      <c r="A7647" s="48" t="s">
        <v>11225</v>
      </c>
      <c r="B7647" s="38">
        <v>33312.0</v>
      </c>
      <c r="C7647" s="38" t="s">
        <v>11226</v>
      </c>
      <c r="D7647" s="38" t="str">
        <f>IFERROR(__xludf.DUMMYFUNCTION("REGEXREPLACE(C7647,""-\d+(.*)|--\d+(.*)"","""")"),"PAREMPUYRE")</f>
        <v>PAREMPUYRE</v>
      </c>
      <c r="E7647" s="38" t="s">
        <v>462</v>
      </c>
      <c r="F7647" s="38" t="s">
        <v>252</v>
      </c>
      <c r="G7647" s="49" t="str">
        <f t="shared" si="1"/>
        <v>33290</v>
      </c>
      <c r="H7647" s="49">
        <f t="shared" si="2"/>
        <v>33312</v>
      </c>
    </row>
    <row r="7648">
      <c r="A7648" s="48" t="s">
        <v>738</v>
      </c>
      <c r="B7648" s="38">
        <v>59549.0</v>
      </c>
      <c r="C7648" s="38" t="s">
        <v>11227</v>
      </c>
      <c r="D7648" s="38" t="str">
        <f>IFERROR(__xludf.DUMMYFUNCTION("REGEXREPLACE(C7648,""-\d+(.*)|--\d+(.*)"","""")"),"SALESCHES")</f>
        <v>SALESCHES</v>
      </c>
      <c r="E7648" s="38" t="s">
        <v>85</v>
      </c>
      <c r="F7648" s="38" t="s">
        <v>86</v>
      </c>
      <c r="G7648" s="49" t="str">
        <f t="shared" si="1"/>
        <v>59218</v>
      </c>
      <c r="H7648" s="49">
        <f t="shared" si="2"/>
        <v>59549</v>
      </c>
    </row>
    <row r="7649">
      <c r="A7649" s="48" t="s">
        <v>920</v>
      </c>
      <c r="B7649" s="38">
        <v>31537.0</v>
      </c>
      <c r="C7649" s="38" t="s">
        <v>11228</v>
      </c>
      <c r="D7649" s="38" t="str">
        <f>IFERROR(__xludf.DUMMYFUNCTION("REGEXREPLACE(C7649,""-\d+(.*)|--\d+(.*)"","""")"),"SAVARTHES")</f>
        <v>SAVARTHES</v>
      </c>
      <c r="E7649" s="38" t="s">
        <v>93</v>
      </c>
      <c r="F7649" s="38" t="s">
        <v>94</v>
      </c>
      <c r="G7649" s="49" t="str">
        <f t="shared" si="1"/>
        <v>31800</v>
      </c>
      <c r="H7649" s="49">
        <f t="shared" si="2"/>
        <v>31537</v>
      </c>
    </row>
    <row r="7650">
      <c r="A7650" s="48" t="s">
        <v>11229</v>
      </c>
      <c r="B7650" s="38">
        <v>90010.0</v>
      </c>
      <c r="C7650" s="38" t="s">
        <v>11230</v>
      </c>
      <c r="D7650" s="38" t="str">
        <f>IFERROR(__xludf.DUMMYFUNCTION("REGEXREPLACE(C7650,""-\d+(.*)|--\d+(.*)"","""")"),"BELFORT")</f>
        <v>BELFORT</v>
      </c>
      <c r="E7650" s="38" t="s">
        <v>1283</v>
      </c>
      <c r="F7650" s="38" t="s">
        <v>214</v>
      </c>
      <c r="G7650" s="49" t="str">
        <f t="shared" si="1"/>
        <v>90000</v>
      </c>
      <c r="H7650" s="49">
        <f t="shared" si="2"/>
        <v>90010</v>
      </c>
    </row>
    <row r="7651">
      <c r="A7651" s="48" t="s">
        <v>1501</v>
      </c>
      <c r="B7651" s="38">
        <v>39131.0</v>
      </c>
      <c r="C7651" s="38" t="s">
        <v>11231</v>
      </c>
      <c r="D7651" s="38" t="str">
        <f>IFERROR(__xludf.DUMMYFUNCTION("REGEXREPLACE(C7651,""-\d+(.*)|--\d+(.*)"","""")"),"LA CHAUX-DU-DOMBIEF")</f>
        <v>LA CHAUX-DU-DOMBIEF</v>
      </c>
      <c r="E7651" s="38" t="s">
        <v>400</v>
      </c>
      <c r="F7651" s="38" t="s">
        <v>214</v>
      </c>
      <c r="G7651" s="49" t="str">
        <f t="shared" si="1"/>
        <v>39150</v>
      </c>
      <c r="H7651" s="49">
        <f t="shared" si="2"/>
        <v>39131</v>
      </c>
    </row>
    <row r="7652">
      <c r="A7652" s="48" t="s">
        <v>9334</v>
      </c>
      <c r="B7652" s="38">
        <v>62474.0</v>
      </c>
      <c r="C7652" s="38" t="s">
        <v>11232</v>
      </c>
      <c r="D7652" s="38" t="str">
        <f>IFERROR(__xludf.DUMMYFUNCTION("REGEXREPLACE(C7652,""-\d+(.*)|--\d+(.*)"","""")"),"ISQUES")</f>
        <v>ISQUES</v>
      </c>
      <c r="E7652" s="38" t="s">
        <v>109</v>
      </c>
      <c r="F7652" s="38" t="s">
        <v>86</v>
      </c>
      <c r="G7652" s="49" t="str">
        <f t="shared" si="1"/>
        <v>62360</v>
      </c>
      <c r="H7652" s="49">
        <f t="shared" si="2"/>
        <v>62474</v>
      </c>
    </row>
    <row r="7653">
      <c r="A7653" s="48" t="s">
        <v>8620</v>
      </c>
      <c r="B7653" s="38">
        <v>45340.0</v>
      </c>
      <c r="C7653" s="38" t="s">
        <v>11233</v>
      </c>
      <c r="D7653" s="38" t="str">
        <f>IFERROR(__xludf.DUMMYFUNCTION("REGEXREPLACE(C7653,""-\d+(.*)|--\d+(.*)"","""")"),"VILLEMURLIN")</f>
        <v>VILLEMURLIN</v>
      </c>
      <c r="E7653" s="38" t="s">
        <v>122</v>
      </c>
      <c r="F7653" s="38" t="s">
        <v>123</v>
      </c>
      <c r="G7653" s="49" t="str">
        <f t="shared" si="1"/>
        <v>45600</v>
      </c>
      <c r="H7653" s="49">
        <f t="shared" si="2"/>
        <v>45340</v>
      </c>
    </row>
    <row r="7654">
      <c r="A7654" s="48" t="s">
        <v>1439</v>
      </c>
      <c r="B7654" s="38">
        <v>28372.0</v>
      </c>
      <c r="C7654" s="38" t="s">
        <v>11234</v>
      </c>
      <c r="D7654" s="38" t="str">
        <f>IFERROR(__xludf.DUMMYFUNCTION("REGEXREPLACE(C7654,""-\d+(.*)|--\d+(.*)"","""")"),"SENANTES")</f>
        <v>SENANTES</v>
      </c>
      <c r="E7654" s="38" t="s">
        <v>300</v>
      </c>
      <c r="F7654" s="38" t="s">
        <v>123</v>
      </c>
      <c r="G7654" s="49" t="str">
        <f t="shared" si="1"/>
        <v>28210</v>
      </c>
      <c r="H7654" s="49">
        <f t="shared" si="2"/>
        <v>28372</v>
      </c>
    </row>
    <row r="7655">
      <c r="A7655" s="48" t="s">
        <v>7845</v>
      </c>
      <c r="B7655" s="38">
        <v>12240.0</v>
      </c>
      <c r="C7655" s="38" t="s">
        <v>11235</v>
      </c>
      <c r="D7655" s="38" t="str">
        <f>IFERROR(__xludf.DUMMYFUNCTION("REGEXREPLACE(C7655,""-\d+(.*)|--\d+(.*)"","""")"),"SAINT-PARTHEM")</f>
        <v>SAINT-PARTHEM</v>
      </c>
      <c r="E7655" s="38" t="s">
        <v>465</v>
      </c>
      <c r="F7655" s="38" t="s">
        <v>94</v>
      </c>
      <c r="G7655" s="49" t="str">
        <f t="shared" si="1"/>
        <v>12300</v>
      </c>
      <c r="H7655" s="49">
        <f t="shared" si="2"/>
        <v>12240</v>
      </c>
    </row>
    <row r="7656">
      <c r="A7656" s="48" t="s">
        <v>3198</v>
      </c>
      <c r="B7656" s="38">
        <v>32043.0</v>
      </c>
      <c r="C7656" s="38" t="s">
        <v>10049</v>
      </c>
      <c r="D7656" s="38" t="str">
        <f>IFERROR(__xludf.DUMMYFUNCTION("REGEXREPLACE(C7656,""-\d+(.*)|--\d+(.*)"","""")"),"BELMONT")</f>
        <v>BELMONT</v>
      </c>
      <c r="E7656" s="38" t="s">
        <v>440</v>
      </c>
      <c r="F7656" s="38" t="s">
        <v>94</v>
      </c>
      <c r="G7656" s="49" t="str">
        <f t="shared" si="1"/>
        <v>32190</v>
      </c>
      <c r="H7656" s="49">
        <f t="shared" si="2"/>
        <v>32043</v>
      </c>
    </row>
    <row r="7657">
      <c r="A7657" s="48" t="s">
        <v>8414</v>
      </c>
      <c r="B7657" s="38">
        <v>60133.0</v>
      </c>
      <c r="C7657" s="38" t="s">
        <v>11236</v>
      </c>
      <c r="D7657" s="38" t="str">
        <f>IFERROR(__xludf.DUMMYFUNCTION("REGEXREPLACE(C7657,""-\d+(.*)|--\d+(.*)"","""")"),"CATILLON-FUMECHON")</f>
        <v>CATILLON-FUMECHON</v>
      </c>
      <c r="E7657" s="38" t="s">
        <v>112</v>
      </c>
      <c r="F7657" s="38" t="s">
        <v>113</v>
      </c>
      <c r="G7657" s="49" t="str">
        <f t="shared" si="1"/>
        <v>60130</v>
      </c>
      <c r="H7657" s="49">
        <f t="shared" si="2"/>
        <v>60133</v>
      </c>
    </row>
    <row r="7658">
      <c r="A7658" s="48" t="s">
        <v>5599</v>
      </c>
      <c r="B7658" s="38">
        <v>74305.0</v>
      </c>
      <c r="C7658" s="38" t="s">
        <v>11237</v>
      </c>
      <c r="D7658" s="38" t="str">
        <f>IFERROR(__xludf.DUMMYFUNCTION("REGEXREPLACE(C7658,""-\d+(.*)|--\d+(.*)"","""")"),"VILLE-LA-GRAND")</f>
        <v>VILLE-LA-GRAND</v>
      </c>
      <c r="E7658" s="38" t="s">
        <v>319</v>
      </c>
      <c r="F7658" s="38" t="s">
        <v>102</v>
      </c>
      <c r="G7658" s="49" t="str">
        <f t="shared" si="1"/>
        <v>74100</v>
      </c>
      <c r="H7658" s="49">
        <f t="shared" si="2"/>
        <v>74305</v>
      </c>
    </row>
    <row r="7659">
      <c r="A7659" s="48" t="s">
        <v>10847</v>
      </c>
      <c r="B7659" s="38">
        <v>77394.0</v>
      </c>
      <c r="C7659" s="38" t="s">
        <v>11238</v>
      </c>
      <c r="D7659" s="38" t="str">
        <f>IFERROR(__xludf.DUMMYFUNCTION("REGEXREPLACE(C7659,""-\d+(.*)|--\d+(.*)"","""")"),"RUBELLES")</f>
        <v>RUBELLES</v>
      </c>
      <c r="E7659" s="38" t="s">
        <v>244</v>
      </c>
      <c r="F7659" s="38" t="s">
        <v>245</v>
      </c>
      <c r="G7659" s="49" t="str">
        <f t="shared" si="1"/>
        <v>77950</v>
      </c>
      <c r="H7659" s="49">
        <f t="shared" si="2"/>
        <v>77394</v>
      </c>
    </row>
    <row r="7660">
      <c r="A7660" s="48" t="s">
        <v>5687</v>
      </c>
      <c r="B7660" s="38">
        <v>3319.0</v>
      </c>
      <c r="C7660" s="38" t="s">
        <v>11239</v>
      </c>
      <c r="D7660" s="38" t="str">
        <f>IFERROR(__xludf.DUMMYFUNCTION("REGEXREPLACE(C7660,""-\d+(.*)|--\d+(.*)"","""")"),"VOUSSAC")</f>
        <v>VOUSSAC</v>
      </c>
      <c r="E7660" s="38" t="s">
        <v>160</v>
      </c>
      <c r="F7660" s="38" t="s">
        <v>161</v>
      </c>
      <c r="G7660" s="49" t="str">
        <f t="shared" si="1"/>
        <v>03140</v>
      </c>
      <c r="H7660" s="49" t="str">
        <f t="shared" si="2"/>
        <v>03319</v>
      </c>
    </row>
    <row r="7661">
      <c r="A7661" s="48" t="s">
        <v>11240</v>
      </c>
      <c r="B7661" s="38">
        <v>51505.0</v>
      </c>
      <c r="C7661" s="38" t="s">
        <v>11241</v>
      </c>
      <c r="D7661" s="38" t="str">
        <f>IFERROR(__xludf.DUMMYFUNCTION("REGEXREPLACE(C7661,""-\d+(.*)|--\d+(.*)"","""")"),"SAINT-MASMES")</f>
        <v>SAINT-MASMES</v>
      </c>
      <c r="E7661" s="38" t="s">
        <v>129</v>
      </c>
      <c r="F7661" s="38" t="s">
        <v>130</v>
      </c>
      <c r="G7661" s="49" t="str">
        <f t="shared" si="1"/>
        <v>51490</v>
      </c>
      <c r="H7661" s="49">
        <f t="shared" si="2"/>
        <v>51505</v>
      </c>
    </row>
    <row r="7662">
      <c r="A7662" s="48" t="s">
        <v>11242</v>
      </c>
      <c r="B7662" s="38">
        <v>1429.0</v>
      </c>
      <c r="C7662" s="38" t="s">
        <v>11243</v>
      </c>
      <c r="D7662" s="38" t="str">
        <f>IFERROR(__xludf.DUMMYFUNCTION("REGEXREPLACE(C7662,""-\d+(.*)|--\d+(.*)"","""")"),"VANDEINS")</f>
        <v>VANDEINS</v>
      </c>
      <c r="E7662" s="38" t="s">
        <v>255</v>
      </c>
      <c r="F7662" s="38" t="s">
        <v>102</v>
      </c>
      <c r="G7662" s="49" t="str">
        <f t="shared" si="1"/>
        <v>01660</v>
      </c>
      <c r="H7662" s="49" t="str">
        <f t="shared" si="2"/>
        <v>01429</v>
      </c>
    </row>
    <row r="7663">
      <c r="A7663" s="48" t="s">
        <v>2176</v>
      </c>
      <c r="B7663" s="38">
        <v>62831.0</v>
      </c>
      <c r="C7663" s="38" t="s">
        <v>11244</v>
      </c>
      <c r="D7663" s="38" t="str">
        <f>IFERROR(__xludf.DUMMYFUNCTION("REGEXREPLACE(C7663,""-\d+(.*)|--\d+(.*)"","""")"),"TROISVAUX")</f>
        <v>TROISVAUX</v>
      </c>
      <c r="E7663" s="38" t="s">
        <v>109</v>
      </c>
      <c r="F7663" s="38" t="s">
        <v>86</v>
      </c>
      <c r="G7663" s="49" t="str">
        <f t="shared" si="1"/>
        <v>62130</v>
      </c>
      <c r="H7663" s="49">
        <f t="shared" si="2"/>
        <v>62831</v>
      </c>
    </row>
    <row r="7664">
      <c r="A7664" s="48" t="s">
        <v>4375</v>
      </c>
      <c r="B7664" s="38">
        <v>27435.0</v>
      </c>
      <c r="C7664" s="38" t="s">
        <v>11245</v>
      </c>
      <c r="D7664" s="38" t="str">
        <f>IFERROR(__xludf.DUMMYFUNCTION("REGEXREPLACE(C7664,""-\d+(.*)|--\d+(.*)"","""")"),"LA NOE-POULAIN")</f>
        <v>LA NOE-POULAIN</v>
      </c>
      <c r="E7664" s="38" t="s">
        <v>241</v>
      </c>
      <c r="F7664" s="38" t="s">
        <v>134</v>
      </c>
      <c r="G7664" s="49" t="str">
        <f t="shared" si="1"/>
        <v>27560</v>
      </c>
      <c r="H7664" s="49">
        <f t="shared" si="2"/>
        <v>27435</v>
      </c>
    </row>
    <row r="7665">
      <c r="A7665" s="48" t="s">
        <v>11246</v>
      </c>
      <c r="B7665" s="38">
        <v>17004.0</v>
      </c>
      <c r="C7665" s="38" t="s">
        <v>11247</v>
      </c>
      <c r="D7665" s="38" t="str">
        <f>IFERROR(__xludf.DUMMYFUNCTION("REGEXREPLACE(C7665,""-\d+(.*)|--\d+(.*)"","""")"),"ILE-D'AIX")</f>
        <v>ILE-D'AIX</v>
      </c>
      <c r="E7665" s="38" t="s">
        <v>488</v>
      </c>
      <c r="F7665" s="38" t="s">
        <v>338</v>
      </c>
      <c r="G7665" s="49" t="str">
        <f t="shared" si="1"/>
        <v>17123</v>
      </c>
      <c r="H7665" s="49">
        <f t="shared" si="2"/>
        <v>17004</v>
      </c>
    </row>
    <row r="7666">
      <c r="A7666" s="48" t="s">
        <v>4272</v>
      </c>
      <c r="B7666" s="38">
        <v>76461.0</v>
      </c>
      <c r="C7666" s="38" t="s">
        <v>11248</v>
      </c>
      <c r="D7666" s="38" t="str">
        <f>IFERROR(__xludf.DUMMYFUNCTION("REGEXREPLACE(C7666,""-\d+(.*)|--\d+(.*)"","""")"),"NEUFBOSC")</f>
        <v>NEUFBOSC</v>
      </c>
      <c r="E7666" s="38" t="s">
        <v>133</v>
      </c>
      <c r="F7666" s="38" t="s">
        <v>134</v>
      </c>
      <c r="G7666" s="49" t="str">
        <f t="shared" si="1"/>
        <v>76680</v>
      </c>
      <c r="H7666" s="49">
        <f t="shared" si="2"/>
        <v>76461</v>
      </c>
    </row>
    <row r="7667">
      <c r="A7667" s="48" t="s">
        <v>10299</v>
      </c>
      <c r="B7667" s="38">
        <v>67123.0</v>
      </c>
      <c r="C7667" s="38" t="s">
        <v>11249</v>
      </c>
      <c r="D7667" s="38" t="str">
        <f>IFERROR(__xludf.DUMMYFUNCTION("REGEXREPLACE(C7667,""-\d+(.*)|--\d+(.*)"","""")"),"ENGWILLER")</f>
        <v>ENGWILLER</v>
      </c>
      <c r="E7667" s="38" t="s">
        <v>210</v>
      </c>
      <c r="F7667" s="38" t="s">
        <v>151</v>
      </c>
      <c r="G7667" s="49" t="str">
        <f t="shared" si="1"/>
        <v>67350</v>
      </c>
      <c r="H7667" s="49">
        <f t="shared" si="2"/>
        <v>67123</v>
      </c>
    </row>
    <row r="7668">
      <c r="A7668" s="48" t="s">
        <v>3022</v>
      </c>
      <c r="B7668" s="38">
        <v>14669.0</v>
      </c>
      <c r="C7668" s="38" t="s">
        <v>11250</v>
      </c>
      <c r="D7668" s="38" t="str">
        <f>IFERROR(__xludf.DUMMYFUNCTION("REGEXREPLACE(C7668,""-\d+(.*)|--\d+(.*)"","""")"),"SASSY")</f>
        <v>SASSY</v>
      </c>
      <c r="E7668" s="38" t="s">
        <v>137</v>
      </c>
      <c r="F7668" s="38" t="s">
        <v>138</v>
      </c>
      <c r="G7668" s="49" t="str">
        <f t="shared" si="1"/>
        <v>14170</v>
      </c>
      <c r="H7668" s="49">
        <f t="shared" si="2"/>
        <v>14669</v>
      </c>
    </row>
    <row r="7669">
      <c r="A7669" s="48" t="s">
        <v>1060</v>
      </c>
      <c r="B7669" s="38">
        <v>57530.0</v>
      </c>
      <c r="C7669" s="38" t="s">
        <v>11251</v>
      </c>
      <c r="D7669" s="38" t="str">
        <f>IFERROR(__xludf.DUMMYFUNCTION("REGEXREPLACE(C7669,""-\d+(.*)|--\d+(.*)"","""")"),"OTTONVILLE")</f>
        <v>OTTONVILLE</v>
      </c>
      <c r="E7669" s="38" t="s">
        <v>303</v>
      </c>
      <c r="F7669" s="38" t="s">
        <v>195</v>
      </c>
      <c r="G7669" s="49" t="str">
        <f t="shared" si="1"/>
        <v>57220</v>
      </c>
      <c r="H7669" s="49">
        <f t="shared" si="2"/>
        <v>57530</v>
      </c>
    </row>
    <row r="7670">
      <c r="A7670" s="48" t="s">
        <v>7622</v>
      </c>
      <c r="B7670" s="38">
        <v>10416.0</v>
      </c>
      <c r="C7670" s="38" t="s">
        <v>11252</v>
      </c>
      <c r="D7670" s="38" t="str">
        <f>IFERROR(__xludf.DUMMYFUNCTION("REGEXREPLACE(C7670,""-\d+(.*)|--\d+(.*)"","""")"),"VILLEMEREUIL")</f>
        <v>VILLEMEREUIL</v>
      </c>
      <c r="E7670" s="38" t="s">
        <v>147</v>
      </c>
      <c r="F7670" s="38" t="s">
        <v>130</v>
      </c>
      <c r="G7670" s="49" t="str">
        <f t="shared" si="1"/>
        <v>10800</v>
      </c>
      <c r="H7670" s="49">
        <f t="shared" si="2"/>
        <v>10416</v>
      </c>
    </row>
    <row r="7671">
      <c r="A7671" s="48" t="s">
        <v>4178</v>
      </c>
      <c r="B7671" s="38">
        <v>25458.0</v>
      </c>
      <c r="C7671" s="38" t="s">
        <v>11253</v>
      </c>
      <c r="D7671" s="38" t="str">
        <f>IFERROR(__xludf.DUMMYFUNCTION("REGEXREPLACE(C7671,""-\d+(.*)|--\d+(.*)"","""")"),"LES PLAINS-ET-GRANDS-ESSARTS")</f>
        <v>LES PLAINS-ET-GRANDS-ESSARTS</v>
      </c>
      <c r="E7671" s="38" t="s">
        <v>213</v>
      </c>
      <c r="F7671" s="38" t="s">
        <v>214</v>
      </c>
      <c r="G7671" s="49" t="str">
        <f t="shared" si="1"/>
        <v>25470</v>
      </c>
      <c r="H7671" s="49">
        <f t="shared" si="2"/>
        <v>25458</v>
      </c>
    </row>
    <row r="7672">
      <c r="A7672" s="48" t="s">
        <v>11254</v>
      </c>
      <c r="B7672" s="38">
        <v>59507.0</v>
      </c>
      <c r="C7672" s="38" t="s">
        <v>11255</v>
      </c>
      <c r="D7672" s="38" t="str">
        <f>IFERROR(__xludf.DUMMYFUNCTION("REGEXREPLACE(C7672,""-\d+(.*)|--\d+(.*)"","""")"),"RONCHIN")</f>
        <v>RONCHIN</v>
      </c>
      <c r="E7672" s="38" t="s">
        <v>85</v>
      </c>
      <c r="F7672" s="38" t="s">
        <v>86</v>
      </c>
      <c r="G7672" s="49" t="str">
        <f t="shared" si="1"/>
        <v>59790</v>
      </c>
      <c r="H7672" s="49">
        <f t="shared" si="2"/>
        <v>59507</v>
      </c>
    </row>
    <row r="7673">
      <c r="A7673" s="48" t="s">
        <v>11256</v>
      </c>
      <c r="B7673" s="38">
        <v>30047.0</v>
      </c>
      <c r="C7673" s="38" t="s">
        <v>11257</v>
      </c>
      <c r="D7673" s="38" t="str">
        <f>IFERROR(__xludf.DUMMYFUNCTION("REGEXREPLACE(C7673,""-\d+(.*)|--\d+(.*)"","""")"),"BOUILLARGUES")</f>
        <v>BOUILLARGUES</v>
      </c>
      <c r="E7673" s="38" t="s">
        <v>526</v>
      </c>
      <c r="F7673" s="38" t="s">
        <v>119</v>
      </c>
      <c r="G7673" s="49" t="str">
        <f t="shared" si="1"/>
        <v>30230</v>
      </c>
      <c r="H7673" s="49">
        <f t="shared" si="2"/>
        <v>30047</v>
      </c>
    </row>
    <row r="7674">
      <c r="A7674" s="48" t="s">
        <v>970</v>
      </c>
      <c r="B7674" s="38">
        <v>2391.0</v>
      </c>
      <c r="C7674" s="38" t="s">
        <v>11258</v>
      </c>
      <c r="D7674" s="38" t="str">
        <f>IFERROR(__xludf.DUMMYFUNCTION("REGEXREPLACE(C7674,""-\d+(.*)|--\d+(.*)"","""")"),"JEANTES")</f>
        <v>JEANTES</v>
      </c>
      <c r="E7674" s="38" t="s">
        <v>191</v>
      </c>
      <c r="F7674" s="38" t="s">
        <v>113</v>
      </c>
      <c r="G7674" s="49" t="str">
        <f t="shared" si="1"/>
        <v>02140</v>
      </c>
      <c r="H7674" s="49" t="str">
        <f t="shared" si="2"/>
        <v>02391</v>
      </c>
    </row>
    <row r="7675">
      <c r="A7675" s="48" t="s">
        <v>1892</v>
      </c>
      <c r="B7675" s="38">
        <v>67259.0</v>
      </c>
      <c r="C7675" s="38" t="s">
        <v>11259</v>
      </c>
      <c r="D7675" s="38" t="str">
        <f>IFERROR(__xludf.DUMMYFUNCTION("REGEXREPLACE(C7675,""-\d+(.*)|--\d+(.*)"","""")"),"LANGENSOULTZBACH")</f>
        <v>LANGENSOULTZBACH</v>
      </c>
      <c r="E7675" s="38" t="s">
        <v>210</v>
      </c>
      <c r="F7675" s="38" t="s">
        <v>151</v>
      </c>
      <c r="G7675" s="49" t="str">
        <f t="shared" si="1"/>
        <v>67360</v>
      </c>
      <c r="H7675" s="49">
        <f t="shared" si="2"/>
        <v>67259</v>
      </c>
    </row>
    <row r="7676">
      <c r="A7676" s="48" t="s">
        <v>5487</v>
      </c>
      <c r="B7676" s="38">
        <v>27157.0</v>
      </c>
      <c r="C7676" s="38" t="s">
        <v>4673</v>
      </c>
      <c r="D7676" s="38" t="str">
        <f>IFERROR(__xludf.DUMMYFUNCTION("REGEXREPLACE(C7676,""-\d+(.*)|--\d+(.*)"","""")"),"LE CHESNE")</f>
        <v>LE CHESNE</v>
      </c>
      <c r="E7676" s="38" t="s">
        <v>241</v>
      </c>
      <c r="F7676" s="38" t="s">
        <v>134</v>
      </c>
      <c r="G7676" s="49" t="str">
        <f t="shared" si="1"/>
        <v>27160</v>
      </c>
      <c r="H7676" s="49">
        <f t="shared" si="2"/>
        <v>27157</v>
      </c>
    </row>
    <row r="7677">
      <c r="A7677" s="48" t="s">
        <v>1193</v>
      </c>
      <c r="B7677" s="38">
        <v>54455.0</v>
      </c>
      <c r="C7677" s="38" t="s">
        <v>11260</v>
      </c>
      <c r="D7677" s="38" t="str">
        <f>IFERROR(__xludf.DUMMYFUNCTION("REGEXREPLACE(C7677,""-\d+(.*)|--\d+(.*)"","""")"),"REMENOVILLE")</f>
        <v>REMENOVILLE</v>
      </c>
      <c r="E7677" s="38" t="s">
        <v>548</v>
      </c>
      <c r="F7677" s="38" t="s">
        <v>195</v>
      </c>
      <c r="G7677" s="49" t="str">
        <f t="shared" si="1"/>
        <v>54830</v>
      </c>
      <c r="H7677" s="49">
        <f t="shared" si="2"/>
        <v>54455</v>
      </c>
    </row>
    <row r="7678">
      <c r="A7678" s="48" t="s">
        <v>11261</v>
      </c>
      <c r="B7678" s="38">
        <v>38346.0</v>
      </c>
      <c r="C7678" s="38" t="s">
        <v>11262</v>
      </c>
      <c r="D7678" s="38" t="str">
        <f>IFERROR(__xludf.DUMMYFUNCTION("REGEXREPLACE(C7678,""-\d+(.*)|--\d+(.*)"","""")"),"ROYAS")</f>
        <v>ROYAS</v>
      </c>
      <c r="E7678" s="38" t="s">
        <v>101</v>
      </c>
      <c r="F7678" s="38" t="s">
        <v>102</v>
      </c>
      <c r="G7678" s="49" t="str">
        <f t="shared" si="1"/>
        <v>38440</v>
      </c>
      <c r="H7678" s="49">
        <f t="shared" si="2"/>
        <v>38346</v>
      </c>
    </row>
    <row r="7679">
      <c r="A7679" s="48" t="s">
        <v>4624</v>
      </c>
      <c r="B7679" s="38">
        <v>74044.0</v>
      </c>
      <c r="C7679" s="38" t="s">
        <v>11263</v>
      </c>
      <c r="D7679" s="38" t="str">
        <f>IFERROR(__xludf.DUMMYFUNCTION("REGEXREPLACE(C7679,""-\d+(.*)|--\d+(.*)"","""")"),"BOSSEY")</f>
        <v>BOSSEY</v>
      </c>
      <c r="E7679" s="38" t="s">
        <v>319</v>
      </c>
      <c r="F7679" s="38" t="s">
        <v>102</v>
      </c>
      <c r="G7679" s="49" t="str">
        <f t="shared" si="1"/>
        <v>74160</v>
      </c>
      <c r="H7679" s="49">
        <f t="shared" si="2"/>
        <v>74044</v>
      </c>
    </row>
    <row r="7680">
      <c r="A7680" s="48" t="s">
        <v>7906</v>
      </c>
      <c r="B7680" s="38">
        <v>44213.0</v>
      </c>
      <c r="C7680" s="38" t="s">
        <v>11264</v>
      </c>
      <c r="D7680" s="38" t="str">
        <f>IFERROR(__xludf.DUMMYFUNCTION("REGEXREPLACE(C7680,""-\d+(.*)|--\d+(.*)"","""")"),"VARADES")</f>
        <v>VARADES</v>
      </c>
      <c r="E7680" s="38" t="s">
        <v>759</v>
      </c>
      <c r="F7680" s="38" t="s">
        <v>180</v>
      </c>
      <c r="G7680" s="49" t="str">
        <f t="shared" si="1"/>
        <v>44370</v>
      </c>
      <c r="H7680" s="49">
        <f t="shared" si="2"/>
        <v>44213</v>
      </c>
    </row>
    <row r="7681">
      <c r="A7681" s="48" t="s">
        <v>3203</v>
      </c>
      <c r="B7681" s="38">
        <v>35355.0</v>
      </c>
      <c r="C7681" s="38" t="s">
        <v>11265</v>
      </c>
      <c r="D7681" s="38" t="str">
        <f>IFERROR(__xludf.DUMMYFUNCTION("REGEXREPLACE(C7681,""-\d+(.*)|--\d+(.*)"","""")"),"VIEUX-VY-SUR-COUESNON")</f>
        <v>VIEUX-VY-SUR-COUESNON</v>
      </c>
      <c r="E7681" s="38" t="s">
        <v>347</v>
      </c>
      <c r="F7681" s="38" t="s">
        <v>90</v>
      </c>
      <c r="G7681" s="49" t="str">
        <f t="shared" si="1"/>
        <v>35490</v>
      </c>
      <c r="H7681" s="49">
        <f t="shared" si="2"/>
        <v>35355</v>
      </c>
    </row>
    <row r="7682">
      <c r="A7682" s="48" t="s">
        <v>4646</v>
      </c>
      <c r="B7682" s="38">
        <v>79267.0</v>
      </c>
      <c r="C7682" s="38" t="s">
        <v>11266</v>
      </c>
      <c r="D7682" s="38" t="str">
        <f>IFERROR(__xludf.DUMMYFUNCTION("REGEXREPLACE(C7682,""-\d+(.*)|--\d+(.*)"","""")"),"SAINT-LIN")</f>
        <v>SAINT-LIN</v>
      </c>
      <c r="E7682" s="38" t="s">
        <v>337</v>
      </c>
      <c r="F7682" s="38" t="s">
        <v>338</v>
      </c>
      <c r="G7682" s="49" t="str">
        <f t="shared" si="1"/>
        <v>79420</v>
      </c>
      <c r="H7682" s="49">
        <f t="shared" si="2"/>
        <v>79267</v>
      </c>
    </row>
    <row r="7683">
      <c r="A7683" s="48" t="s">
        <v>2710</v>
      </c>
      <c r="B7683" s="38">
        <v>68243.0</v>
      </c>
      <c r="C7683" s="38" t="s">
        <v>11267</v>
      </c>
      <c r="D7683" s="38" t="str">
        <f>IFERROR(__xludf.DUMMYFUNCTION("REGEXREPLACE(C7683,""-\d+(.*)|--\d+(.*)"","""")"),"OBERLARG")</f>
        <v>OBERLARG</v>
      </c>
      <c r="E7683" s="38" t="s">
        <v>150</v>
      </c>
      <c r="F7683" s="38" t="s">
        <v>151</v>
      </c>
      <c r="G7683" s="49" t="str">
        <f t="shared" si="1"/>
        <v>68480</v>
      </c>
      <c r="H7683" s="49">
        <f t="shared" si="2"/>
        <v>68243</v>
      </c>
    </row>
    <row r="7684">
      <c r="A7684" s="48" t="s">
        <v>3244</v>
      </c>
      <c r="B7684" s="38">
        <v>27489.0</v>
      </c>
      <c r="C7684" s="38" t="s">
        <v>11268</v>
      </c>
      <c r="D7684" s="38" t="str">
        <f>IFERROR(__xludf.DUMMYFUNCTION("REGEXREPLACE(C7684,""-\d+(.*)|--\d+(.*)"","""")"),"REUILLY")</f>
        <v>REUILLY</v>
      </c>
      <c r="E7684" s="38" t="s">
        <v>241</v>
      </c>
      <c r="F7684" s="38" t="s">
        <v>134</v>
      </c>
      <c r="G7684" s="49" t="str">
        <f t="shared" si="1"/>
        <v>27930</v>
      </c>
      <c r="H7684" s="49">
        <f t="shared" si="2"/>
        <v>27489</v>
      </c>
    </row>
    <row r="7685">
      <c r="A7685" s="48" t="s">
        <v>11269</v>
      </c>
      <c r="B7685" s="38">
        <v>51281.0</v>
      </c>
      <c r="C7685" s="38" t="s">
        <v>11270</v>
      </c>
      <c r="D7685" s="38" t="str">
        <f>IFERROR(__xludf.DUMMYFUNCTION("REGEXREPLACE(C7685,""-\d+(.*)|--\d+(.*)"","""")"),"GRAUVES")</f>
        <v>GRAUVES</v>
      </c>
      <c r="E7685" s="38" t="s">
        <v>129</v>
      </c>
      <c r="F7685" s="38" t="s">
        <v>130</v>
      </c>
      <c r="G7685" s="49" t="str">
        <f t="shared" si="1"/>
        <v>51190</v>
      </c>
      <c r="H7685" s="49">
        <f t="shared" si="2"/>
        <v>51281</v>
      </c>
    </row>
    <row r="7686">
      <c r="A7686" s="48" t="s">
        <v>3948</v>
      </c>
      <c r="B7686" s="38">
        <v>21717.0</v>
      </c>
      <c r="C7686" s="38" t="s">
        <v>11271</v>
      </c>
      <c r="D7686" s="38" t="str">
        <f>IFERROR(__xludf.DUMMYFUNCTION("REGEXREPLACE(C7686,""-\d+(.*)|--\d+(.*)"","""")"),"VOULAINES-LES-TEMPLIERS")</f>
        <v>VOULAINES-LES-TEMPLIERS</v>
      </c>
      <c r="E7686" s="38" t="s">
        <v>105</v>
      </c>
      <c r="F7686" s="38" t="s">
        <v>106</v>
      </c>
      <c r="G7686" s="49" t="str">
        <f t="shared" si="1"/>
        <v>21290</v>
      </c>
      <c r="H7686" s="49">
        <f t="shared" si="2"/>
        <v>21717</v>
      </c>
    </row>
    <row r="7687">
      <c r="A7687" s="48" t="s">
        <v>2521</v>
      </c>
      <c r="B7687" s="38">
        <v>28366.0</v>
      </c>
      <c r="C7687" s="38" t="s">
        <v>4083</v>
      </c>
      <c r="D7687" s="38" t="str">
        <f>IFERROR(__xludf.DUMMYFUNCTION("REGEXREPLACE(C7687,""-\d+(.*)|--\d+(.*)"","""")"),"SANTEUIL")</f>
        <v>SANTEUIL</v>
      </c>
      <c r="E7687" s="38" t="s">
        <v>300</v>
      </c>
      <c r="F7687" s="38" t="s">
        <v>123</v>
      </c>
      <c r="G7687" s="49" t="str">
        <f t="shared" si="1"/>
        <v>28700</v>
      </c>
      <c r="H7687" s="49">
        <f t="shared" si="2"/>
        <v>28366</v>
      </c>
    </row>
    <row r="7688">
      <c r="A7688" s="48" t="s">
        <v>3626</v>
      </c>
      <c r="B7688" s="38">
        <v>57129.0</v>
      </c>
      <c r="C7688" s="38" t="s">
        <v>11272</v>
      </c>
      <c r="D7688" s="38" t="str">
        <f>IFERROR(__xludf.DUMMYFUNCTION("REGEXREPLACE(C7688,""-\d+(.*)|--\d+(.*)"","""")"),"CHARLY-ORADOUR")</f>
        <v>CHARLY-ORADOUR</v>
      </c>
      <c r="E7688" s="38" t="s">
        <v>303</v>
      </c>
      <c r="F7688" s="38" t="s">
        <v>195</v>
      </c>
      <c r="G7688" s="49" t="str">
        <f t="shared" si="1"/>
        <v>57640</v>
      </c>
      <c r="H7688" s="49">
        <f t="shared" si="2"/>
        <v>57129</v>
      </c>
    </row>
    <row r="7689">
      <c r="A7689" s="48" t="s">
        <v>4088</v>
      </c>
      <c r="B7689" s="38">
        <v>39519.0</v>
      </c>
      <c r="C7689" s="38" t="s">
        <v>11273</v>
      </c>
      <c r="D7689" s="38" t="str">
        <f>IFERROR(__xludf.DUMMYFUNCTION("REGEXREPLACE(C7689,""-\d+(.*)|--\d+(.*)"","""")"),"SOUCIA")</f>
        <v>SOUCIA</v>
      </c>
      <c r="E7689" s="38" t="s">
        <v>400</v>
      </c>
      <c r="F7689" s="38" t="s">
        <v>214</v>
      </c>
      <c r="G7689" s="49" t="str">
        <f t="shared" si="1"/>
        <v>39130</v>
      </c>
      <c r="H7689" s="49">
        <f t="shared" si="2"/>
        <v>39519</v>
      </c>
    </row>
    <row r="7690">
      <c r="A7690" s="48" t="s">
        <v>573</v>
      </c>
      <c r="B7690" s="38">
        <v>65166.0</v>
      </c>
      <c r="C7690" s="38" t="s">
        <v>11274</v>
      </c>
      <c r="D7690" s="38" t="str">
        <f>IFERROR(__xludf.DUMMYFUNCTION("REGEXREPLACE(C7690,""-\d+(.*)|--\d+(.*)"","""")"),"ESPECHE")</f>
        <v>ESPECHE</v>
      </c>
      <c r="E7690" s="38" t="s">
        <v>200</v>
      </c>
      <c r="F7690" s="38" t="s">
        <v>94</v>
      </c>
      <c r="G7690" s="49" t="str">
        <f t="shared" si="1"/>
        <v>65130</v>
      </c>
      <c r="H7690" s="49">
        <f t="shared" si="2"/>
        <v>65166</v>
      </c>
    </row>
    <row r="7691">
      <c r="A7691" s="48" t="s">
        <v>4210</v>
      </c>
      <c r="B7691" s="38">
        <v>71152.0</v>
      </c>
      <c r="C7691" s="38" t="s">
        <v>11275</v>
      </c>
      <c r="D7691" s="38" t="str">
        <f>IFERROR(__xludf.DUMMYFUNCTION("REGEXREPLACE(C7691,""-\d+(.*)|--\d+(.*)"","""")"),"CRESSY-SUR-SOMME")</f>
        <v>CRESSY-SUR-SOMME</v>
      </c>
      <c r="E7691" s="38" t="s">
        <v>344</v>
      </c>
      <c r="F7691" s="38" t="s">
        <v>106</v>
      </c>
      <c r="G7691" s="49" t="str">
        <f t="shared" si="1"/>
        <v>71760</v>
      </c>
      <c r="H7691" s="49">
        <f t="shared" si="2"/>
        <v>71152</v>
      </c>
    </row>
    <row r="7692">
      <c r="A7692" s="48" t="s">
        <v>7784</v>
      </c>
      <c r="B7692" s="38">
        <v>30142.0</v>
      </c>
      <c r="C7692" s="38" t="s">
        <v>11276</v>
      </c>
      <c r="D7692" s="38" t="str">
        <f>IFERROR(__xludf.DUMMYFUNCTION("REGEXREPLACE(C7692,""-\d+(.*)|--\d+(.*)"","""")"),"LAVAL-PRADEL")</f>
        <v>LAVAL-PRADEL</v>
      </c>
      <c r="E7692" s="38" t="s">
        <v>526</v>
      </c>
      <c r="F7692" s="38" t="s">
        <v>119</v>
      </c>
      <c r="G7692" s="49" t="str">
        <f t="shared" si="1"/>
        <v>30110</v>
      </c>
      <c r="H7692" s="49">
        <f t="shared" si="2"/>
        <v>30142</v>
      </c>
    </row>
    <row r="7693">
      <c r="A7693" s="48" t="s">
        <v>4358</v>
      </c>
      <c r="B7693" s="38">
        <v>1209.0</v>
      </c>
      <c r="C7693" s="38" t="s">
        <v>11277</v>
      </c>
      <c r="D7693" s="38" t="str">
        <f>IFERROR(__xludf.DUMMYFUNCTION("REGEXREPLACE(C7693,""-\d+(.*)|--\d+(.*)"","""")"),"LEAZ")</f>
        <v>LEAZ</v>
      </c>
      <c r="E7693" s="38" t="s">
        <v>255</v>
      </c>
      <c r="F7693" s="38" t="s">
        <v>102</v>
      </c>
      <c r="G7693" s="49" t="str">
        <f t="shared" si="1"/>
        <v>01200</v>
      </c>
      <c r="H7693" s="49" t="str">
        <f t="shared" si="2"/>
        <v>01209</v>
      </c>
    </row>
    <row r="7694">
      <c r="A7694" s="48" t="s">
        <v>1524</v>
      </c>
      <c r="B7694" s="38">
        <v>25095.0</v>
      </c>
      <c r="C7694" s="38" t="s">
        <v>11278</v>
      </c>
      <c r="D7694" s="38" t="str">
        <f>IFERROR(__xludf.DUMMYFUNCTION("REGEXREPLACE(C7694,""-\d+(.*)|--\d+(.*)"","""")"),"BRETONVILLERS")</f>
        <v>BRETONVILLERS</v>
      </c>
      <c r="E7694" s="38" t="s">
        <v>213</v>
      </c>
      <c r="F7694" s="38" t="s">
        <v>214</v>
      </c>
      <c r="G7694" s="49" t="str">
        <f t="shared" si="1"/>
        <v>25380</v>
      </c>
      <c r="H7694" s="49">
        <f t="shared" si="2"/>
        <v>25095</v>
      </c>
    </row>
    <row r="7695">
      <c r="A7695" s="48" t="s">
        <v>3346</v>
      </c>
      <c r="B7695" s="38">
        <v>65196.0</v>
      </c>
      <c r="C7695" s="38" t="s">
        <v>6665</v>
      </c>
      <c r="D7695" s="38" t="str">
        <f>IFERROR(__xludf.DUMMYFUNCTION("REGEXREPLACE(C7695,""-\d+(.*)|--\d+(.*)"","""")"),"GENSAC")</f>
        <v>GENSAC</v>
      </c>
      <c r="E7695" s="38" t="s">
        <v>200</v>
      </c>
      <c r="F7695" s="38" t="s">
        <v>94</v>
      </c>
      <c r="G7695" s="49" t="str">
        <f t="shared" si="1"/>
        <v>65140</v>
      </c>
      <c r="H7695" s="49">
        <f t="shared" si="2"/>
        <v>65196</v>
      </c>
    </row>
    <row r="7696">
      <c r="A7696" s="48" t="s">
        <v>582</v>
      </c>
      <c r="B7696" s="38">
        <v>39196.0</v>
      </c>
      <c r="C7696" s="38" t="s">
        <v>11279</v>
      </c>
      <c r="D7696" s="38" t="str">
        <f>IFERROR(__xludf.DUMMYFUNCTION("REGEXREPLACE(C7696,""-\d+(.*)|--\d+(.*)"","""")"),"LES DEUX-FAYS")</f>
        <v>LES DEUX-FAYS</v>
      </c>
      <c r="E7696" s="38" t="s">
        <v>400</v>
      </c>
      <c r="F7696" s="38" t="s">
        <v>214</v>
      </c>
      <c r="G7696" s="49" t="str">
        <f t="shared" si="1"/>
        <v>39230</v>
      </c>
      <c r="H7696" s="49">
        <f t="shared" si="2"/>
        <v>39196</v>
      </c>
    </row>
    <row r="7697">
      <c r="A7697" s="48" t="s">
        <v>966</v>
      </c>
      <c r="B7697" s="38">
        <v>70126.0</v>
      </c>
      <c r="C7697" s="38" t="s">
        <v>11280</v>
      </c>
      <c r="D7697" s="38" t="str">
        <f>IFERROR(__xludf.DUMMYFUNCTION("REGEXREPLACE(C7697,""-\d+(.*)|--\d+(.*)"","""")"),"CHANCEY")</f>
        <v>CHANCEY</v>
      </c>
      <c r="E7697" s="38" t="s">
        <v>956</v>
      </c>
      <c r="F7697" s="38" t="s">
        <v>214</v>
      </c>
      <c r="G7697" s="49" t="str">
        <f t="shared" si="1"/>
        <v>70140</v>
      </c>
      <c r="H7697" s="49">
        <f t="shared" si="2"/>
        <v>70126</v>
      </c>
    </row>
    <row r="7698">
      <c r="A7698" s="48" t="s">
        <v>7501</v>
      </c>
      <c r="B7698" s="38">
        <v>9103.0</v>
      </c>
      <c r="C7698" s="38" t="s">
        <v>11281</v>
      </c>
      <c r="D7698" s="38" t="str">
        <f>IFERROR(__xludf.DUMMYFUNCTION("REGEXREPLACE(C7698,""-\d+(.*)|--\d+(.*)"","""")"),"CRAMPAGNA")</f>
        <v>CRAMPAGNA</v>
      </c>
      <c r="E7698" s="38" t="s">
        <v>238</v>
      </c>
      <c r="F7698" s="38" t="s">
        <v>94</v>
      </c>
      <c r="G7698" s="49" t="str">
        <f t="shared" si="1"/>
        <v>09120</v>
      </c>
      <c r="H7698" s="49" t="str">
        <f t="shared" si="2"/>
        <v>09103</v>
      </c>
    </row>
    <row r="7699">
      <c r="A7699" s="48" t="s">
        <v>2736</v>
      </c>
      <c r="B7699" s="38">
        <v>89239.0</v>
      </c>
      <c r="C7699" s="38" t="s">
        <v>11282</v>
      </c>
      <c r="D7699" s="38" t="str">
        <f>IFERROR(__xludf.DUMMYFUNCTION("REGEXREPLACE(C7699,""-\d+(.*)|--\d+(.*)"","""")"),"MALAY-LE-GRAND")</f>
        <v>MALAY-LE-GRAND</v>
      </c>
      <c r="E7699" s="38" t="s">
        <v>275</v>
      </c>
      <c r="F7699" s="38" t="s">
        <v>106</v>
      </c>
      <c r="G7699" s="49" t="str">
        <f t="shared" si="1"/>
        <v>89100</v>
      </c>
      <c r="H7699" s="49">
        <f t="shared" si="2"/>
        <v>89239</v>
      </c>
    </row>
    <row r="7700">
      <c r="A7700" s="48" t="s">
        <v>1389</v>
      </c>
      <c r="B7700" s="38">
        <v>5057.0</v>
      </c>
      <c r="C7700" s="38" t="s">
        <v>11283</v>
      </c>
      <c r="D7700" s="38" t="str">
        <f>IFERROR(__xludf.DUMMYFUNCTION("REGEXREPLACE(C7700,""-\d+(.*)|--\d+(.*)"","""")"),"FOUILLOUSE")</f>
        <v>FOUILLOUSE</v>
      </c>
      <c r="E7700" s="38" t="s">
        <v>706</v>
      </c>
      <c r="F7700" s="38" t="s">
        <v>228</v>
      </c>
      <c r="G7700" s="49" t="str">
        <f t="shared" si="1"/>
        <v>05130</v>
      </c>
      <c r="H7700" s="49" t="str">
        <f t="shared" si="2"/>
        <v>05057</v>
      </c>
    </row>
    <row r="7701">
      <c r="A7701" s="48" t="s">
        <v>1448</v>
      </c>
      <c r="B7701" s="38">
        <v>29181.0</v>
      </c>
      <c r="C7701" s="38" t="s">
        <v>11284</v>
      </c>
      <c r="D7701" s="38" t="str">
        <f>IFERROR(__xludf.DUMMYFUNCTION("REGEXREPLACE(C7701,""-\d+(.*)|--\d+(.*)"","""")"),"PLOUEDERN")</f>
        <v>PLOUEDERN</v>
      </c>
      <c r="E7701" s="38" t="s">
        <v>176</v>
      </c>
      <c r="F7701" s="38" t="s">
        <v>90</v>
      </c>
      <c r="G7701" s="49" t="str">
        <f t="shared" si="1"/>
        <v>29800</v>
      </c>
      <c r="H7701" s="49">
        <f t="shared" si="2"/>
        <v>29181</v>
      </c>
    </row>
    <row r="7702">
      <c r="A7702" s="48" t="s">
        <v>9313</v>
      </c>
      <c r="B7702" s="38">
        <v>39478.0</v>
      </c>
      <c r="C7702" s="38" t="s">
        <v>9758</v>
      </c>
      <c r="D7702" s="38" t="str">
        <f>IFERROR(__xludf.DUMMYFUNCTION("REGEXREPLACE(C7702,""-\d+(.*)|--\d+(.*)"","""")"),"SAINT-CLAUDE")</f>
        <v>SAINT-CLAUDE</v>
      </c>
      <c r="E7702" s="38" t="s">
        <v>400</v>
      </c>
      <c r="F7702" s="38" t="s">
        <v>214</v>
      </c>
      <c r="G7702" s="49" t="str">
        <f t="shared" si="1"/>
        <v>39200</v>
      </c>
      <c r="H7702" s="49">
        <f t="shared" si="2"/>
        <v>39478</v>
      </c>
    </row>
    <row r="7703">
      <c r="A7703" s="48" t="s">
        <v>11285</v>
      </c>
      <c r="B7703" s="38" t="s">
        <v>11286</v>
      </c>
      <c r="C7703" s="38" t="s">
        <v>11287</v>
      </c>
      <c r="D7703" s="38" t="str">
        <f>IFERROR(__xludf.DUMMYFUNCTION("REGEXREPLACE(C7703,""-\d+(.*)|--\d+(.*)"","""")"),"ERONE")</f>
        <v>ERONE</v>
      </c>
      <c r="E7703" s="38" t="s">
        <v>743</v>
      </c>
      <c r="F7703" s="38" t="s">
        <v>607</v>
      </c>
      <c r="G7703" s="49" t="str">
        <f t="shared" si="1"/>
        <v>20244</v>
      </c>
      <c r="H7703" s="49" t="str">
        <f t="shared" si="2"/>
        <v>2B106</v>
      </c>
    </row>
    <row r="7704">
      <c r="A7704" s="48" t="s">
        <v>5063</v>
      </c>
      <c r="B7704" s="38">
        <v>24104.0</v>
      </c>
      <c r="C7704" s="38" t="s">
        <v>11288</v>
      </c>
      <c r="D7704" s="38" t="str">
        <f>IFERROR(__xludf.DUMMYFUNCTION("REGEXREPLACE(C7704,""-\d+(.*)|--\d+(.*)"","""")"),"CHANTERAC")</f>
        <v>CHANTERAC</v>
      </c>
      <c r="E7704" s="38" t="s">
        <v>261</v>
      </c>
      <c r="F7704" s="38" t="s">
        <v>252</v>
      </c>
      <c r="G7704" s="49" t="str">
        <f t="shared" si="1"/>
        <v>24190</v>
      </c>
      <c r="H7704" s="49">
        <f t="shared" si="2"/>
        <v>24104</v>
      </c>
    </row>
    <row r="7705">
      <c r="A7705" s="48" t="s">
        <v>2188</v>
      </c>
      <c r="B7705" s="38">
        <v>18162.0</v>
      </c>
      <c r="C7705" s="38" t="s">
        <v>11289</v>
      </c>
      <c r="D7705" s="38" t="str">
        <f>IFERROR(__xludf.DUMMYFUNCTION("REGEXREPLACE(C7705,""-\d+(.*)|--\d+(.*)"","""")"),"NEUILLY-EN-SANCERRE")</f>
        <v>NEUILLY-EN-SANCERRE</v>
      </c>
      <c r="E7705" s="38" t="s">
        <v>504</v>
      </c>
      <c r="F7705" s="38" t="s">
        <v>123</v>
      </c>
      <c r="G7705" s="49" t="str">
        <f t="shared" si="1"/>
        <v>18250</v>
      </c>
      <c r="H7705" s="49">
        <f t="shared" si="2"/>
        <v>18162</v>
      </c>
    </row>
    <row r="7706">
      <c r="A7706" s="48" t="s">
        <v>3539</v>
      </c>
      <c r="B7706" s="38">
        <v>54191.0</v>
      </c>
      <c r="C7706" s="38" t="s">
        <v>11290</v>
      </c>
      <c r="D7706" s="38" t="str">
        <f>IFERROR(__xludf.DUMMYFUNCTION("REGEXREPLACE(C7706,""-\d+(.*)|--\d+(.*)"","""")"),"FENNEVILLER")</f>
        <v>FENNEVILLER</v>
      </c>
      <c r="E7706" s="38" t="s">
        <v>548</v>
      </c>
      <c r="F7706" s="38" t="s">
        <v>195</v>
      </c>
      <c r="G7706" s="49" t="str">
        <f t="shared" si="1"/>
        <v>54540</v>
      </c>
      <c r="H7706" s="49">
        <f t="shared" si="2"/>
        <v>54191</v>
      </c>
    </row>
    <row r="7707">
      <c r="A7707" s="48" t="s">
        <v>6674</v>
      </c>
      <c r="B7707" s="38">
        <v>27427.0</v>
      </c>
      <c r="C7707" s="38" t="s">
        <v>11291</v>
      </c>
      <c r="D7707" s="38" t="str">
        <f>IFERROR(__xludf.DUMMYFUNCTION("REGEXREPLACE(C7707,""-\d+(.*)|--\d+(.*)"","""")"),"NEAUFLES-AUVERGNY")</f>
        <v>NEAUFLES-AUVERGNY</v>
      </c>
      <c r="E7707" s="38" t="s">
        <v>241</v>
      </c>
      <c r="F7707" s="38" t="s">
        <v>134</v>
      </c>
      <c r="G7707" s="49" t="str">
        <f t="shared" si="1"/>
        <v>27250</v>
      </c>
      <c r="H7707" s="49">
        <f t="shared" si="2"/>
        <v>27427</v>
      </c>
    </row>
    <row r="7708">
      <c r="A7708" s="48" t="s">
        <v>8059</v>
      </c>
      <c r="B7708" s="38">
        <v>70569.0</v>
      </c>
      <c r="C7708" s="38" t="s">
        <v>11292</v>
      </c>
      <c r="D7708" s="38" t="str">
        <f>IFERROR(__xludf.DUMMYFUNCTION("REGEXREPLACE(C7708,""-\d+(.*)|--\d+(.*)"","""")"),"VILORY")</f>
        <v>VILORY</v>
      </c>
      <c r="E7708" s="38" t="s">
        <v>956</v>
      </c>
      <c r="F7708" s="38" t="s">
        <v>214</v>
      </c>
      <c r="G7708" s="49" t="str">
        <f t="shared" si="1"/>
        <v>70240</v>
      </c>
      <c r="H7708" s="49">
        <f t="shared" si="2"/>
        <v>70569</v>
      </c>
    </row>
    <row r="7709">
      <c r="A7709" s="48" t="s">
        <v>5304</v>
      </c>
      <c r="B7709" s="38">
        <v>27648.0</v>
      </c>
      <c r="C7709" s="38" t="s">
        <v>11293</v>
      </c>
      <c r="D7709" s="38" t="str">
        <f>IFERROR(__xludf.DUMMYFUNCTION("REGEXREPLACE(C7709,""-\d+(.*)|--\d+(.*)"","""")"),"TOSTES")</f>
        <v>TOSTES</v>
      </c>
      <c r="E7709" s="38" t="s">
        <v>241</v>
      </c>
      <c r="F7709" s="38" t="s">
        <v>134</v>
      </c>
      <c r="G7709" s="49" t="str">
        <f t="shared" si="1"/>
        <v>27340</v>
      </c>
      <c r="H7709" s="49">
        <f t="shared" si="2"/>
        <v>27648</v>
      </c>
    </row>
    <row r="7710">
      <c r="A7710" s="48" t="s">
        <v>2960</v>
      </c>
      <c r="B7710" s="38">
        <v>86181.0</v>
      </c>
      <c r="C7710" s="38" t="s">
        <v>11294</v>
      </c>
      <c r="D7710" s="38" t="str">
        <f>IFERROR(__xludf.DUMMYFUNCTION("REGEXREPLACE(C7710,""-\d+(.*)|--\d+(.*)"","""")"),"NUEIL-SOUS-FAYE")</f>
        <v>NUEIL-SOUS-FAYE</v>
      </c>
      <c r="E7710" s="38" t="s">
        <v>529</v>
      </c>
      <c r="F7710" s="38" t="s">
        <v>338</v>
      </c>
      <c r="G7710" s="49" t="str">
        <f t="shared" si="1"/>
        <v>86200</v>
      </c>
      <c r="H7710" s="49">
        <f t="shared" si="2"/>
        <v>86181</v>
      </c>
    </row>
    <row r="7711">
      <c r="A7711" s="48" t="s">
        <v>4880</v>
      </c>
      <c r="B7711" s="38">
        <v>89277.0</v>
      </c>
      <c r="C7711" s="38" t="s">
        <v>11295</v>
      </c>
      <c r="D7711" s="38" t="str">
        <f>IFERROR(__xludf.DUMMYFUNCTION("REGEXREPLACE(C7711,""-\d+(.*)|--\d+(.*)"","""")"),"NITRY")</f>
        <v>NITRY</v>
      </c>
      <c r="E7711" s="38" t="s">
        <v>275</v>
      </c>
      <c r="F7711" s="38" t="s">
        <v>106</v>
      </c>
      <c r="G7711" s="49" t="str">
        <f t="shared" si="1"/>
        <v>89310</v>
      </c>
      <c r="H7711" s="49">
        <f t="shared" si="2"/>
        <v>89277</v>
      </c>
    </row>
    <row r="7712">
      <c r="A7712" s="48" t="s">
        <v>3961</v>
      </c>
      <c r="B7712" s="38">
        <v>19025.0</v>
      </c>
      <c r="C7712" s="38" t="s">
        <v>11296</v>
      </c>
      <c r="D7712" s="38" t="str">
        <f>IFERROR(__xludf.DUMMYFUNCTION("REGEXREPLACE(C7712,""-\d+(.*)|--\d+(.*)"","""")"),"BEYSSENAC")</f>
        <v>BEYSSENAC</v>
      </c>
      <c r="E7712" s="38" t="s">
        <v>271</v>
      </c>
      <c r="F7712" s="38" t="s">
        <v>98</v>
      </c>
      <c r="G7712" s="49" t="str">
        <f t="shared" si="1"/>
        <v>19230</v>
      </c>
      <c r="H7712" s="49">
        <f t="shared" si="2"/>
        <v>19025</v>
      </c>
    </row>
    <row r="7713">
      <c r="A7713" s="48" t="s">
        <v>2120</v>
      </c>
      <c r="B7713" s="38">
        <v>50442.0</v>
      </c>
      <c r="C7713" s="38" t="s">
        <v>11297</v>
      </c>
      <c r="D7713" s="38" t="str">
        <f>IFERROR(__xludf.DUMMYFUNCTION("REGEXREPLACE(C7713,""-\d+(.*)|--\d+(.*)"","""")"),"LE ROZEL")</f>
        <v>LE ROZEL</v>
      </c>
      <c r="E7713" s="38" t="s">
        <v>157</v>
      </c>
      <c r="F7713" s="38" t="s">
        <v>138</v>
      </c>
      <c r="G7713" s="49" t="str">
        <f t="shared" si="1"/>
        <v>50340</v>
      </c>
      <c r="H7713" s="49">
        <f t="shared" si="2"/>
        <v>50442</v>
      </c>
    </row>
    <row r="7714">
      <c r="A7714" s="48" t="s">
        <v>1128</v>
      </c>
      <c r="B7714" s="38">
        <v>2189.0</v>
      </c>
      <c r="C7714" s="38" t="s">
        <v>11298</v>
      </c>
      <c r="D7714" s="38" t="str">
        <f>IFERROR(__xludf.DUMMYFUNCTION("REGEXREPLACE(C7714,""-\d+(.*)|--\d+(.*)"","""")"),"CHIVRES-EN-LAONNOIS")</f>
        <v>CHIVRES-EN-LAONNOIS</v>
      </c>
      <c r="E7714" s="38" t="s">
        <v>191</v>
      </c>
      <c r="F7714" s="38" t="s">
        <v>113</v>
      </c>
      <c r="G7714" s="49" t="str">
        <f t="shared" si="1"/>
        <v>02350</v>
      </c>
      <c r="H7714" s="49" t="str">
        <f t="shared" si="2"/>
        <v>02189</v>
      </c>
    </row>
    <row r="7715">
      <c r="A7715" s="48" t="s">
        <v>2734</v>
      </c>
      <c r="B7715" s="38">
        <v>89180.0</v>
      </c>
      <c r="C7715" s="38" t="s">
        <v>11299</v>
      </c>
      <c r="D7715" s="38" t="str">
        <f>IFERROR(__xludf.DUMMYFUNCTION("REGEXREPLACE(C7715,""-\d+(.*)|--\d+(.*)"","""")"),"FOUCHERES")</f>
        <v>FOUCHERES</v>
      </c>
      <c r="E7715" s="38" t="s">
        <v>275</v>
      </c>
      <c r="F7715" s="38" t="s">
        <v>106</v>
      </c>
      <c r="G7715" s="49" t="str">
        <f t="shared" si="1"/>
        <v>89150</v>
      </c>
      <c r="H7715" s="49">
        <f t="shared" si="2"/>
        <v>89180</v>
      </c>
    </row>
    <row r="7716">
      <c r="A7716" s="48" t="s">
        <v>7645</v>
      </c>
      <c r="B7716" s="38">
        <v>34100.0</v>
      </c>
      <c r="C7716" s="38" t="s">
        <v>11300</v>
      </c>
      <c r="D7716" s="38" t="str">
        <f>IFERROR(__xludf.DUMMYFUNCTION("REGEXREPLACE(C7716,""-\d+(.*)|--\d+(.*)"","""")"),"FERRIERES-POUSSAROU")</f>
        <v>FERRIERES-POUSSAROU</v>
      </c>
      <c r="E7716" s="38" t="s">
        <v>118</v>
      </c>
      <c r="F7716" s="38" t="s">
        <v>119</v>
      </c>
      <c r="G7716" s="49" t="str">
        <f t="shared" si="1"/>
        <v>34360</v>
      </c>
      <c r="H7716" s="49">
        <f t="shared" si="2"/>
        <v>34100</v>
      </c>
    </row>
    <row r="7717">
      <c r="A7717" s="48" t="s">
        <v>4703</v>
      </c>
      <c r="B7717" s="38">
        <v>66119.0</v>
      </c>
      <c r="C7717" s="38" t="s">
        <v>11301</v>
      </c>
      <c r="D7717" s="38" t="str">
        <f>IFERROR(__xludf.DUMMYFUNCTION("REGEXREPLACE(C7717,""-\d+(.*)|--\d+(.*)"","""")"),"MOSSET")</f>
        <v>MOSSET</v>
      </c>
      <c r="E7717" s="38" t="s">
        <v>248</v>
      </c>
      <c r="F7717" s="38" t="s">
        <v>119</v>
      </c>
      <c r="G7717" s="49" t="str">
        <f t="shared" si="1"/>
        <v>66500</v>
      </c>
      <c r="H7717" s="49">
        <f t="shared" si="2"/>
        <v>66119</v>
      </c>
    </row>
    <row r="7718">
      <c r="A7718" s="48" t="s">
        <v>8446</v>
      </c>
      <c r="B7718" s="38">
        <v>22068.0</v>
      </c>
      <c r="C7718" s="38" t="s">
        <v>11302</v>
      </c>
      <c r="D7718" s="38" t="str">
        <f>IFERROR(__xludf.DUMMYFUNCTION("REGEXREPLACE(C7718,""-\d+(.*)|--\d+(.*)"","""")"),"GRACE-UZEL")</f>
        <v>GRACE-UZEL</v>
      </c>
      <c r="E7718" s="38" t="s">
        <v>89</v>
      </c>
      <c r="F7718" s="38" t="s">
        <v>90</v>
      </c>
      <c r="G7718" s="49" t="str">
        <f t="shared" si="1"/>
        <v>22460</v>
      </c>
      <c r="H7718" s="49">
        <f t="shared" si="2"/>
        <v>22068</v>
      </c>
    </row>
    <row r="7719">
      <c r="A7719" s="48" t="s">
        <v>1323</v>
      </c>
      <c r="B7719" s="38">
        <v>21046.0</v>
      </c>
      <c r="C7719" s="38" t="s">
        <v>11303</v>
      </c>
      <c r="D7719" s="38" t="str">
        <f>IFERROR(__xludf.DUMMYFUNCTION("REGEXREPLACE(C7719,""-\d+(.*)|--\d+(.*)"","""")"),"BARD-LE-REGULIER")</f>
        <v>BARD-LE-REGULIER</v>
      </c>
      <c r="E7719" s="38" t="s">
        <v>105</v>
      </c>
      <c r="F7719" s="38" t="s">
        <v>106</v>
      </c>
      <c r="G7719" s="49" t="str">
        <f t="shared" si="1"/>
        <v>21430</v>
      </c>
      <c r="H7719" s="49">
        <f t="shared" si="2"/>
        <v>21046</v>
      </c>
    </row>
    <row r="7720">
      <c r="A7720" s="48" t="s">
        <v>6316</v>
      </c>
      <c r="B7720" s="38">
        <v>50615.0</v>
      </c>
      <c r="C7720" s="38" t="s">
        <v>11304</v>
      </c>
      <c r="D7720" s="38" t="str">
        <f>IFERROR(__xludf.DUMMYFUNCTION("REGEXREPLACE(C7720,""-\d+(.*)|--\d+(.*)"","""")"),"VALOGNES")</f>
        <v>VALOGNES</v>
      </c>
      <c r="E7720" s="38" t="s">
        <v>157</v>
      </c>
      <c r="F7720" s="38" t="s">
        <v>138</v>
      </c>
      <c r="G7720" s="49" t="str">
        <f t="shared" si="1"/>
        <v>50700</v>
      </c>
      <c r="H7720" s="49">
        <f t="shared" si="2"/>
        <v>50615</v>
      </c>
    </row>
    <row r="7721">
      <c r="A7721" s="48" t="s">
        <v>3955</v>
      </c>
      <c r="B7721" s="38">
        <v>62047.0</v>
      </c>
      <c r="C7721" s="38" t="s">
        <v>11305</v>
      </c>
      <c r="D7721" s="38" t="str">
        <f>IFERROR(__xludf.DUMMYFUNCTION("REGEXREPLACE(C7721,""-\d+(.*)|--\d+(.*)"","""")"),"AUBROMETZ")</f>
        <v>AUBROMETZ</v>
      </c>
      <c r="E7721" s="38" t="s">
        <v>109</v>
      </c>
      <c r="F7721" s="38" t="s">
        <v>86</v>
      </c>
      <c r="G7721" s="49" t="str">
        <f t="shared" si="1"/>
        <v>62390</v>
      </c>
      <c r="H7721" s="49">
        <f t="shared" si="2"/>
        <v>62047</v>
      </c>
    </row>
    <row r="7722">
      <c r="A7722" s="48" t="s">
        <v>2942</v>
      </c>
      <c r="B7722" s="38">
        <v>14532.0</v>
      </c>
      <c r="C7722" s="38" t="s">
        <v>11306</v>
      </c>
      <c r="D7722" s="38" t="str">
        <f>IFERROR(__xludf.DUMMYFUNCTION("REGEXREPLACE(C7722,""-\d+(.*)|--\d+(.*)"","""")"),"LE RECULEY")</f>
        <v>LE RECULEY</v>
      </c>
      <c r="E7722" s="38" t="s">
        <v>137</v>
      </c>
      <c r="F7722" s="38" t="s">
        <v>138</v>
      </c>
      <c r="G7722" s="49" t="str">
        <f t="shared" si="1"/>
        <v>14350</v>
      </c>
      <c r="H7722" s="49">
        <f t="shared" si="2"/>
        <v>14532</v>
      </c>
    </row>
    <row r="7723">
      <c r="A7723" s="48" t="s">
        <v>4939</v>
      </c>
      <c r="B7723" s="38">
        <v>23157.0</v>
      </c>
      <c r="C7723" s="38" t="s">
        <v>11307</v>
      </c>
      <c r="D7723" s="38" t="str">
        <f>IFERROR(__xludf.DUMMYFUNCTION("REGEXREPLACE(C7723,""-\d+(.*)|--\d+(.*)"","""")"),"LA POUGE")</f>
        <v>LA POUGE</v>
      </c>
      <c r="E7723" s="38" t="s">
        <v>97</v>
      </c>
      <c r="F7723" s="38" t="s">
        <v>98</v>
      </c>
      <c r="G7723" s="49" t="str">
        <f t="shared" si="1"/>
        <v>23250</v>
      </c>
      <c r="H7723" s="49">
        <f t="shared" si="2"/>
        <v>23157</v>
      </c>
    </row>
    <row r="7724">
      <c r="A7724" s="48" t="s">
        <v>2174</v>
      </c>
      <c r="B7724" s="38">
        <v>35171.0</v>
      </c>
      <c r="C7724" s="38" t="s">
        <v>11308</v>
      </c>
      <c r="D7724" s="38" t="str">
        <f>IFERROR(__xludf.DUMMYFUNCTION("REGEXREPLACE(C7724,""-\d+(.*)|--\d+(.*)"","""")"),"MEDREAC")</f>
        <v>MEDREAC</v>
      </c>
      <c r="E7724" s="38" t="s">
        <v>347</v>
      </c>
      <c r="F7724" s="38" t="s">
        <v>90</v>
      </c>
      <c r="G7724" s="49" t="str">
        <f t="shared" si="1"/>
        <v>35360</v>
      </c>
      <c r="H7724" s="49">
        <f t="shared" si="2"/>
        <v>35171</v>
      </c>
    </row>
    <row r="7725">
      <c r="A7725" s="48" t="s">
        <v>8418</v>
      </c>
      <c r="B7725" s="38">
        <v>80437.0</v>
      </c>
      <c r="C7725" s="38" t="s">
        <v>11309</v>
      </c>
      <c r="D7725" s="38" t="str">
        <f>IFERROR(__xludf.DUMMYFUNCTION("REGEXREPLACE(C7725,""-\d+(.*)|--\d+(.*)"","""")"),"HEUCOURT-CROQUOISON")</f>
        <v>HEUCOURT-CROQUOISON</v>
      </c>
      <c r="E7725" s="38" t="s">
        <v>224</v>
      </c>
      <c r="F7725" s="38" t="s">
        <v>113</v>
      </c>
      <c r="G7725" s="49" t="str">
        <f t="shared" si="1"/>
        <v>80270</v>
      </c>
      <c r="H7725" s="49">
        <f t="shared" si="2"/>
        <v>80437</v>
      </c>
    </row>
    <row r="7726">
      <c r="A7726" s="48" t="s">
        <v>11310</v>
      </c>
      <c r="B7726" s="38">
        <v>50619.0</v>
      </c>
      <c r="C7726" s="38" t="s">
        <v>11311</v>
      </c>
      <c r="D7726" s="38" t="str">
        <f>IFERROR(__xludf.DUMMYFUNCTION("REGEXREPLACE(C7726,""-\d+(.*)|--\d+(.*)"","""")"),"LE VAST")</f>
        <v>LE VAST</v>
      </c>
      <c r="E7726" s="38" t="s">
        <v>157</v>
      </c>
      <c r="F7726" s="38" t="s">
        <v>138</v>
      </c>
      <c r="G7726" s="49" t="str">
        <f t="shared" si="1"/>
        <v>50630</v>
      </c>
      <c r="H7726" s="49">
        <f t="shared" si="2"/>
        <v>50619</v>
      </c>
    </row>
    <row r="7727">
      <c r="A7727" s="48" t="s">
        <v>3812</v>
      </c>
      <c r="B7727" s="38">
        <v>71099.0</v>
      </c>
      <c r="C7727" s="38" t="s">
        <v>1775</v>
      </c>
      <c r="D7727" s="38" t="str">
        <f>IFERROR(__xludf.DUMMYFUNCTION("REGEXREPLACE(C7727,""-\d+(.*)|--\d+(.*)"","""")"),"CHARBONNIERES")</f>
        <v>CHARBONNIERES</v>
      </c>
      <c r="E7727" s="38" t="s">
        <v>344</v>
      </c>
      <c r="F7727" s="38" t="s">
        <v>106</v>
      </c>
      <c r="G7727" s="49" t="str">
        <f t="shared" si="1"/>
        <v>71260</v>
      </c>
      <c r="H7727" s="49">
        <f t="shared" si="2"/>
        <v>71099</v>
      </c>
    </row>
    <row r="7728">
      <c r="A7728" s="48" t="s">
        <v>5772</v>
      </c>
      <c r="B7728" s="38">
        <v>43006.0</v>
      </c>
      <c r="C7728" s="38" t="s">
        <v>6305</v>
      </c>
      <c r="D7728" s="38" t="str">
        <f>IFERROR(__xludf.DUMMYFUNCTION("REGEXREPLACE(C7728,""-\d+(.*)|--\d+(.*)"","""")"),"ALLY")</f>
        <v>ALLY</v>
      </c>
      <c r="E7728" s="38" t="s">
        <v>332</v>
      </c>
      <c r="F7728" s="38" t="s">
        <v>161</v>
      </c>
      <c r="G7728" s="49" t="str">
        <f t="shared" si="1"/>
        <v>43380</v>
      </c>
      <c r="H7728" s="49">
        <f t="shared" si="2"/>
        <v>43006</v>
      </c>
    </row>
    <row r="7729">
      <c r="A7729" s="48" t="s">
        <v>259</v>
      </c>
      <c r="B7729" s="38">
        <v>24281.0</v>
      </c>
      <c r="C7729" s="38" t="s">
        <v>11312</v>
      </c>
      <c r="D7729" s="38" t="str">
        <f>IFERROR(__xludf.DUMMYFUNCTION("REGEXREPLACE(C7729,""-\d+(.*)|--\d+(.*)"","""")"),"MONSAC")</f>
        <v>MONSAC</v>
      </c>
      <c r="E7729" s="38" t="s">
        <v>261</v>
      </c>
      <c r="F7729" s="38" t="s">
        <v>252</v>
      </c>
      <c r="G7729" s="49" t="str">
        <f t="shared" si="1"/>
        <v>24440</v>
      </c>
      <c r="H7729" s="49">
        <f t="shared" si="2"/>
        <v>24281</v>
      </c>
    </row>
    <row r="7730">
      <c r="A7730" s="48" t="s">
        <v>505</v>
      </c>
      <c r="B7730" s="38">
        <v>12261.0</v>
      </c>
      <c r="C7730" s="38" t="s">
        <v>11313</v>
      </c>
      <c r="D7730" s="38" t="str">
        <f>IFERROR(__xludf.DUMMYFUNCTION("REGEXREPLACE(C7730,""-\d+(.*)|--\d+(.*)"","""")"),"SAUJAC")</f>
        <v>SAUJAC</v>
      </c>
      <c r="E7730" s="38" t="s">
        <v>465</v>
      </c>
      <c r="F7730" s="38" t="s">
        <v>94</v>
      </c>
      <c r="G7730" s="49" t="str">
        <f t="shared" si="1"/>
        <v>12260</v>
      </c>
      <c r="H7730" s="49">
        <f t="shared" si="2"/>
        <v>12261</v>
      </c>
    </row>
    <row r="7731">
      <c r="A7731" s="48" t="s">
        <v>2459</v>
      </c>
      <c r="B7731" s="38" t="s">
        <v>11314</v>
      </c>
      <c r="C7731" s="38" t="s">
        <v>11315</v>
      </c>
      <c r="D7731" s="38" t="str">
        <f>IFERROR(__xludf.DUMMYFUNCTION("REGEXREPLACE(C7731,""-\d+(.*)|--\d+(.*)"","""")"),"CASTELLARE-DI-CASINCA")</f>
        <v>CASTELLARE-DI-CASINCA</v>
      </c>
      <c r="E7731" s="38" t="s">
        <v>743</v>
      </c>
      <c r="F7731" s="38" t="s">
        <v>607</v>
      </c>
      <c r="G7731" s="49" t="str">
        <f t="shared" si="1"/>
        <v>20213</v>
      </c>
      <c r="H7731" s="49" t="str">
        <f t="shared" si="2"/>
        <v>2B077</v>
      </c>
    </row>
    <row r="7732">
      <c r="A7732" s="48" t="s">
        <v>1220</v>
      </c>
      <c r="B7732" s="38">
        <v>76158.0</v>
      </c>
      <c r="C7732" s="38" t="s">
        <v>11316</v>
      </c>
      <c r="D7732" s="38" t="str">
        <f>IFERROR(__xludf.DUMMYFUNCTION("REGEXREPLACE(C7732,""-\d+(.*)|--\d+(.*)"","""")"),"CANVILLE-LES-DEUX-EGLISES")</f>
        <v>CANVILLE-LES-DEUX-EGLISES</v>
      </c>
      <c r="E7732" s="38" t="s">
        <v>133</v>
      </c>
      <c r="F7732" s="38" t="s">
        <v>134</v>
      </c>
      <c r="G7732" s="49" t="str">
        <f t="shared" si="1"/>
        <v>76560</v>
      </c>
      <c r="H7732" s="49">
        <f t="shared" si="2"/>
        <v>76158</v>
      </c>
    </row>
    <row r="7733">
      <c r="A7733" s="48" t="s">
        <v>11317</v>
      </c>
      <c r="B7733" s="38">
        <v>6029.0</v>
      </c>
      <c r="C7733" s="38" t="s">
        <v>11318</v>
      </c>
      <c r="D7733" s="38" t="str">
        <f>IFERROR(__xludf.DUMMYFUNCTION("REGEXREPLACE(C7733,""-\d+(.*)|--\d+(.*)"","""")"),"CANNES")</f>
        <v>CANNES</v>
      </c>
      <c r="E7733" s="38" t="s">
        <v>227</v>
      </c>
      <c r="F7733" s="38" t="s">
        <v>228</v>
      </c>
      <c r="G7733" s="49" t="str">
        <f t="shared" si="1"/>
        <v>06400/06150</v>
      </c>
      <c r="H7733" s="49" t="str">
        <f t="shared" si="2"/>
        <v>06029</v>
      </c>
    </row>
    <row r="7734">
      <c r="A7734" s="48" t="s">
        <v>11319</v>
      </c>
      <c r="B7734" s="38">
        <v>51465.0</v>
      </c>
      <c r="C7734" s="38" t="s">
        <v>11320</v>
      </c>
      <c r="D7734" s="38" t="str">
        <f>IFERROR(__xludf.DUMMYFUNCTION("REGEXREPLACE(C7734,""-\d+(.*)|--\d+(.*)"","""")"),"ROMERY")</f>
        <v>ROMERY</v>
      </c>
      <c r="E7734" s="38" t="s">
        <v>129</v>
      </c>
      <c r="F7734" s="38" t="s">
        <v>130</v>
      </c>
      <c r="G7734" s="49" t="str">
        <f t="shared" si="1"/>
        <v>51480</v>
      </c>
      <c r="H7734" s="49">
        <f t="shared" si="2"/>
        <v>51465</v>
      </c>
    </row>
    <row r="7735">
      <c r="A7735" s="48" t="s">
        <v>10916</v>
      </c>
      <c r="B7735" s="38">
        <v>40212.0</v>
      </c>
      <c r="C7735" s="38" t="s">
        <v>11321</v>
      </c>
      <c r="D7735" s="38" t="str">
        <f>IFERROR(__xludf.DUMMYFUNCTION("REGEXREPLACE(C7735,""-\d+(.*)|--\d+(.*)"","""")"),"ORTHEVIELLE")</f>
        <v>ORTHEVIELLE</v>
      </c>
      <c r="E7735" s="38" t="s">
        <v>281</v>
      </c>
      <c r="F7735" s="38" t="s">
        <v>252</v>
      </c>
      <c r="G7735" s="49" t="str">
        <f t="shared" si="1"/>
        <v>40300</v>
      </c>
      <c r="H7735" s="49">
        <f t="shared" si="2"/>
        <v>40212</v>
      </c>
    </row>
    <row r="7736">
      <c r="A7736" s="48" t="s">
        <v>9755</v>
      </c>
      <c r="B7736" s="38">
        <v>51116.0</v>
      </c>
      <c r="C7736" s="38" t="s">
        <v>11322</v>
      </c>
      <c r="D7736" s="38" t="str">
        <f>IFERROR(__xludf.DUMMYFUNCTION("REGEXREPLACE(C7736,""-\d+(.*)|--\d+(.*)"","""")"),"CHAMPGUYON")</f>
        <v>CHAMPGUYON</v>
      </c>
      <c r="E7736" s="38" t="s">
        <v>129</v>
      </c>
      <c r="F7736" s="38" t="s">
        <v>130</v>
      </c>
      <c r="G7736" s="49" t="str">
        <f t="shared" si="1"/>
        <v>51310</v>
      </c>
      <c r="H7736" s="49">
        <f t="shared" si="2"/>
        <v>51116</v>
      </c>
    </row>
    <row r="7737">
      <c r="A7737" s="48" t="s">
        <v>1905</v>
      </c>
      <c r="B7737" s="38">
        <v>29204.0</v>
      </c>
      <c r="C7737" s="38" t="s">
        <v>11323</v>
      </c>
      <c r="D7737" s="38" t="str">
        <f>IFERROR(__xludf.DUMMYFUNCTION("REGEXREPLACE(C7737,""-\d+(.*)|--\d+(.*)"","""")"),"PLOUNEVENTER")</f>
        <v>PLOUNEVENTER</v>
      </c>
      <c r="E7737" s="38" t="s">
        <v>176</v>
      </c>
      <c r="F7737" s="38" t="s">
        <v>90</v>
      </c>
      <c r="G7737" s="49" t="str">
        <f t="shared" si="1"/>
        <v>29400</v>
      </c>
      <c r="H7737" s="49">
        <f t="shared" si="2"/>
        <v>29204</v>
      </c>
    </row>
    <row r="7738">
      <c r="A7738" s="48" t="s">
        <v>11324</v>
      </c>
      <c r="B7738" s="38">
        <v>97234.0</v>
      </c>
      <c r="C7738" s="38" t="s">
        <v>7612</v>
      </c>
      <c r="D7738" s="38" t="str">
        <f>IFERROR(__xludf.DUMMYFUNCTION("REGEXREPLACE(C7738,""-\d+(.*)|--\d+(.*)"","""")"),"BELLEFONTAINE")</f>
        <v>BELLEFONTAINE</v>
      </c>
      <c r="E7738" s="38" t="s">
        <v>2282</v>
      </c>
      <c r="F7738" s="38" t="s">
        <v>2282</v>
      </c>
      <c r="G7738" s="49" t="str">
        <f t="shared" si="1"/>
        <v>97222</v>
      </c>
      <c r="H7738" s="49">
        <f t="shared" si="2"/>
        <v>97234</v>
      </c>
    </row>
    <row r="7739">
      <c r="A7739" s="48" t="s">
        <v>580</v>
      </c>
      <c r="B7739" s="38">
        <v>31142.0</v>
      </c>
      <c r="C7739" s="38" t="s">
        <v>11325</v>
      </c>
      <c r="D7739" s="38" t="str">
        <f>IFERROR(__xludf.DUMMYFUNCTION("REGEXREPLACE(C7739,""-\d+(.*)|--\d+(.*)"","""")"),"CIER-DE-LUCHON")</f>
        <v>CIER-DE-LUCHON</v>
      </c>
      <c r="E7739" s="38" t="s">
        <v>93</v>
      </c>
      <c r="F7739" s="38" t="s">
        <v>94</v>
      </c>
      <c r="G7739" s="49" t="str">
        <f t="shared" si="1"/>
        <v>31110</v>
      </c>
      <c r="H7739" s="49">
        <f t="shared" si="2"/>
        <v>31142</v>
      </c>
    </row>
    <row r="7740">
      <c r="A7740" s="48" t="s">
        <v>4097</v>
      </c>
      <c r="B7740" s="38">
        <v>50644.0</v>
      </c>
      <c r="C7740" s="38" t="s">
        <v>11326</v>
      </c>
      <c r="D7740" s="38" t="str">
        <f>IFERROR(__xludf.DUMMYFUNCTION("REGEXREPLACE(C7740,""-\d+(.*)|--\d+(.*)"","""")"),"VIREY")</f>
        <v>VIREY</v>
      </c>
      <c r="E7740" s="38" t="s">
        <v>157</v>
      </c>
      <c r="F7740" s="38" t="s">
        <v>138</v>
      </c>
      <c r="G7740" s="49" t="str">
        <f t="shared" si="1"/>
        <v>50600</v>
      </c>
      <c r="H7740" s="49">
        <f t="shared" si="2"/>
        <v>50644</v>
      </c>
    </row>
    <row r="7741">
      <c r="A7741" s="48" t="s">
        <v>1576</v>
      </c>
      <c r="B7741" s="38" t="s">
        <v>11327</v>
      </c>
      <c r="C7741" s="38" t="s">
        <v>11328</v>
      </c>
      <c r="D7741" s="38" t="str">
        <f>IFERROR(__xludf.DUMMYFUNCTION("REGEXREPLACE(C7741,""-\d+(.*)|--\d+(.*)"","""")"),"SAINTE-LUCIE-DE-TALLANO")</f>
        <v>SAINTE-LUCIE-DE-TALLANO</v>
      </c>
      <c r="E7741" s="38" t="s">
        <v>606</v>
      </c>
      <c r="F7741" s="38" t="s">
        <v>607</v>
      </c>
      <c r="G7741" s="49" t="str">
        <f t="shared" si="1"/>
        <v>20112</v>
      </c>
      <c r="H7741" s="49" t="str">
        <f t="shared" si="2"/>
        <v>2A308</v>
      </c>
    </row>
    <row r="7742">
      <c r="A7742" s="48" t="s">
        <v>1018</v>
      </c>
      <c r="B7742" s="38">
        <v>60640.0</v>
      </c>
      <c r="C7742" s="38" t="s">
        <v>11329</v>
      </c>
      <c r="D7742" s="38" t="str">
        <f>IFERROR(__xludf.DUMMYFUNCTION("REGEXREPLACE(C7742,""-\d+(.*)|--\d+(.*)"","""")"),"TOURLY")</f>
        <v>TOURLY</v>
      </c>
      <c r="E7742" s="38" t="s">
        <v>112</v>
      </c>
      <c r="F7742" s="38" t="s">
        <v>113</v>
      </c>
      <c r="G7742" s="49" t="str">
        <f t="shared" si="1"/>
        <v>60240</v>
      </c>
      <c r="H7742" s="49">
        <f t="shared" si="2"/>
        <v>60640</v>
      </c>
    </row>
    <row r="7743">
      <c r="A7743" s="48" t="s">
        <v>7254</v>
      </c>
      <c r="B7743" s="38">
        <v>63124.0</v>
      </c>
      <c r="C7743" s="38" t="s">
        <v>11330</v>
      </c>
      <c r="D7743" s="38" t="str">
        <f>IFERROR(__xludf.DUMMYFUNCTION("REGEXREPLACE(C7743,""-\d+(.*)|--\d+(.*)"","""")"),"COURNON-D'AUVERGNE")</f>
        <v>COURNON-D'AUVERGNE</v>
      </c>
      <c r="E7743" s="38" t="s">
        <v>353</v>
      </c>
      <c r="F7743" s="38" t="s">
        <v>161</v>
      </c>
      <c r="G7743" s="49" t="str">
        <f t="shared" si="1"/>
        <v>63800</v>
      </c>
      <c r="H7743" s="49">
        <f t="shared" si="2"/>
        <v>63124</v>
      </c>
    </row>
    <row r="7744">
      <c r="A7744" s="48" t="s">
        <v>354</v>
      </c>
      <c r="B7744" s="38">
        <v>68351.0</v>
      </c>
      <c r="C7744" s="38" t="s">
        <v>11331</v>
      </c>
      <c r="D7744" s="38" t="str">
        <f>IFERROR(__xludf.DUMMYFUNCTION("REGEXREPLACE(C7744,""-\d+(.*)|--\d+(.*)"","""")"),"VOGELGRUN")</f>
        <v>VOGELGRUN</v>
      </c>
      <c r="E7744" s="38" t="s">
        <v>150</v>
      </c>
      <c r="F7744" s="38" t="s">
        <v>151</v>
      </c>
      <c r="G7744" s="49" t="str">
        <f t="shared" si="1"/>
        <v>68600</v>
      </c>
      <c r="H7744" s="49">
        <f t="shared" si="2"/>
        <v>68351</v>
      </c>
    </row>
    <row r="7745">
      <c r="A7745" s="48" t="s">
        <v>2905</v>
      </c>
      <c r="B7745" s="38">
        <v>21221.0</v>
      </c>
      <c r="C7745" s="38" t="s">
        <v>11332</v>
      </c>
      <c r="D7745" s="38" t="str">
        <f>IFERROR(__xludf.DUMMYFUNCTION("REGEXREPLACE(C7745,""-\d+(.*)|--\d+(.*)"","""")"),"CUSSY-LA-COLONNE")</f>
        <v>CUSSY-LA-COLONNE</v>
      </c>
      <c r="E7745" s="38" t="s">
        <v>105</v>
      </c>
      <c r="F7745" s="38" t="s">
        <v>106</v>
      </c>
      <c r="G7745" s="49" t="str">
        <f t="shared" si="1"/>
        <v>21360</v>
      </c>
      <c r="H7745" s="49">
        <f t="shared" si="2"/>
        <v>21221</v>
      </c>
    </row>
    <row r="7746">
      <c r="A7746" s="48" t="s">
        <v>1673</v>
      </c>
      <c r="B7746" s="38">
        <v>5179.0</v>
      </c>
      <c r="C7746" s="38" t="s">
        <v>11333</v>
      </c>
      <c r="D7746" s="38" t="str">
        <f>IFERROR(__xludf.DUMMYFUNCTION("REGEXREPLACE(C7746,""-\d+(.*)|--\d+(.*)"","""")"),"VEYNES")</f>
        <v>VEYNES</v>
      </c>
      <c r="E7746" s="38" t="s">
        <v>706</v>
      </c>
      <c r="F7746" s="38" t="s">
        <v>228</v>
      </c>
      <c r="G7746" s="49" t="str">
        <f t="shared" si="1"/>
        <v>05400</v>
      </c>
      <c r="H7746" s="49" t="str">
        <f t="shared" si="2"/>
        <v>05179</v>
      </c>
    </row>
    <row r="7747">
      <c r="A7747" s="48" t="s">
        <v>3161</v>
      </c>
      <c r="B7747" s="38">
        <v>70025.0</v>
      </c>
      <c r="C7747" s="38" t="s">
        <v>11334</v>
      </c>
      <c r="D7747" s="38" t="str">
        <f>IFERROR(__xludf.DUMMYFUNCTION("REGEXREPLACE(C7747,""-\d+(.*)|--\d+(.*)"","""")"),"ARBECEY")</f>
        <v>ARBECEY</v>
      </c>
      <c r="E7747" s="38" t="s">
        <v>956</v>
      </c>
      <c r="F7747" s="38" t="s">
        <v>214</v>
      </c>
      <c r="G7747" s="49" t="str">
        <f t="shared" si="1"/>
        <v>70120</v>
      </c>
      <c r="H7747" s="49">
        <f t="shared" si="2"/>
        <v>70025</v>
      </c>
    </row>
    <row r="7748">
      <c r="A7748" s="48" t="s">
        <v>2249</v>
      </c>
      <c r="B7748" s="38">
        <v>14400.0</v>
      </c>
      <c r="C7748" s="38" t="s">
        <v>1445</v>
      </c>
      <c r="D7748" s="38" t="str">
        <f>IFERROR(__xludf.DUMMYFUNCTION("REGEXREPLACE(C7748,""-\d+(.*)|--\d+(.*)"","""")"),"LE MANOIR")</f>
        <v>LE MANOIR</v>
      </c>
      <c r="E7748" s="38" t="s">
        <v>137</v>
      </c>
      <c r="F7748" s="38" t="s">
        <v>138</v>
      </c>
      <c r="G7748" s="49" t="str">
        <f t="shared" si="1"/>
        <v>14400</v>
      </c>
      <c r="H7748" s="49">
        <f t="shared" si="2"/>
        <v>14400</v>
      </c>
    </row>
    <row r="7749">
      <c r="A7749" s="48" t="s">
        <v>10177</v>
      </c>
      <c r="B7749" s="38">
        <v>80303.0</v>
      </c>
      <c r="C7749" s="38" t="s">
        <v>5896</v>
      </c>
      <c r="D7749" s="38" t="str">
        <f>IFERROR(__xludf.DUMMYFUNCTION("REGEXREPLACE(C7749,""-\d+(.*)|--\d+(.*)"","""")"),"FAVIERES")</f>
        <v>FAVIERES</v>
      </c>
      <c r="E7749" s="38" t="s">
        <v>224</v>
      </c>
      <c r="F7749" s="38" t="s">
        <v>113</v>
      </c>
      <c r="G7749" s="49" t="str">
        <f t="shared" si="1"/>
        <v>80120</v>
      </c>
      <c r="H7749" s="49">
        <f t="shared" si="2"/>
        <v>80303</v>
      </c>
    </row>
    <row r="7750">
      <c r="A7750" s="48" t="s">
        <v>1332</v>
      </c>
      <c r="B7750" s="38">
        <v>51104.0</v>
      </c>
      <c r="C7750" s="38" t="s">
        <v>11335</v>
      </c>
      <c r="D7750" s="38" t="str">
        <f>IFERROR(__xludf.DUMMYFUNCTION("REGEXREPLACE(C7750,""-\d+(.*)|--\d+(.*)"","""")"),"CERNAY-EN-DORMOIS")</f>
        <v>CERNAY-EN-DORMOIS</v>
      </c>
      <c r="E7750" s="38" t="s">
        <v>129</v>
      </c>
      <c r="F7750" s="38" t="s">
        <v>130</v>
      </c>
      <c r="G7750" s="49" t="str">
        <f t="shared" si="1"/>
        <v>51800</v>
      </c>
      <c r="H7750" s="49">
        <f t="shared" si="2"/>
        <v>51104</v>
      </c>
    </row>
    <row r="7751">
      <c r="A7751" s="48" t="s">
        <v>11336</v>
      </c>
      <c r="B7751" s="38">
        <v>10399.0</v>
      </c>
      <c r="C7751" s="38" t="s">
        <v>11337</v>
      </c>
      <c r="D7751" s="38" t="str">
        <f>IFERROR(__xludf.DUMMYFUNCTION("REGEXREPLACE(C7751,""-\d+(.*)|--\d+(.*)"","""")"),"VAUDES")</f>
        <v>VAUDES</v>
      </c>
      <c r="E7751" s="38" t="s">
        <v>147</v>
      </c>
      <c r="F7751" s="38" t="s">
        <v>130</v>
      </c>
      <c r="G7751" s="49" t="str">
        <f t="shared" si="1"/>
        <v>10260</v>
      </c>
      <c r="H7751" s="49">
        <f t="shared" si="2"/>
        <v>10399</v>
      </c>
    </row>
    <row r="7752">
      <c r="A7752" s="48" t="s">
        <v>1089</v>
      </c>
      <c r="B7752" s="38">
        <v>67002.0</v>
      </c>
      <c r="C7752" s="38" t="s">
        <v>11338</v>
      </c>
      <c r="D7752" s="38" t="str">
        <f>IFERROR(__xludf.DUMMYFUNCTION("REGEXREPLACE(C7752,""-\d+(.*)|--\d+(.*)"","""")"),"ADAMSWILLER")</f>
        <v>ADAMSWILLER</v>
      </c>
      <c r="E7752" s="38" t="s">
        <v>210</v>
      </c>
      <c r="F7752" s="38" t="s">
        <v>151</v>
      </c>
      <c r="G7752" s="49" t="str">
        <f t="shared" si="1"/>
        <v>67320</v>
      </c>
      <c r="H7752" s="49">
        <f t="shared" si="2"/>
        <v>67002</v>
      </c>
    </row>
    <row r="7753">
      <c r="A7753" s="48" t="s">
        <v>1040</v>
      </c>
      <c r="B7753" s="38">
        <v>62450.0</v>
      </c>
      <c r="C7753" s="38" t="s">
        <v>11339</v>
      </c>
      <c r="D7753" s="38" t="str">
        <f>IFERROR(__xludf.DUMMYFUNCTION("REGEXREPLACE(C7753,""-\d+(.*)|--\d+(.*)"","""")"),"HESTRUS")</f>
        <v>HESTRUS</v>
      </c>
      <c r="E7753" s="38" t="s">
        <v>109</v>
      </c>
      <c r="F7753" s="38" t="s">
        <v>86</v>
      </c>
      <c r="G7753" s="49" t="str">
        <f t="shared" si="1"/>
        <v>62550</v>
      </c>
      <c r="H7753" s="49">
        <f t="shared" si="2"/>
        <v>62450</v>
      </c>
    </row>
    <row r="7754">
      <c r="A7754" s="48" t="s">
        <v>8684</v>
      </c>
      <c r="B7754" s="38">
        <v>37146.0</v>
      </c>
      <c r="C7754" s="38" t="s">
        <v>11340</v>
      </c>
      <c r="D7754" s="38" t="str">
        <f>IFERROR(__xludf.DUMMYFUNCTION("REGEXREPLACE(C7754,""-\d+(.*)|--\d+(.*)"","""")"),"MARCILLY-SUR-MAULNE")</f>
        <v>MARCILLY-SUR-MAULNE</v>
      </c>
      <c r="E7754" s="38" t="s">
        <v>205</v>
      </c>
      <c r="F7754" s="38" t="s">
        <v>123</v>
      </c>
      <c r="G7754" s="49" t="str">
        <f t="shared" si="1"/>
        <v>37330</v>
      </c>
      <c r="H7754" s="49">
        <f t="shared" si="2"/>
        <v>37146</v>
      </c>
    </row>
    <row r="7755">
      <c r="A7755" s="48" t="s">
        <v>11341</v>
      </c>
      <c r="B7755" s="38">
        <v>58160.0</v>
      </c>
      <c r="C7755" s="38" t="s">
        <v>11342</v>
      </c>
      <c r="D7755" s="38" t="str">
        <f>IFERROR(__xludf.DUMMYFUNCTION("REGEXREPLACE(C7755,""-\d+(.*)|--\d+(.*)"","""")"),"MARZY")</f>
        <v>MARZY</v>
      </c>
      <c r="E7755" s="38" t="s">
        <v>219</v>
      </c>
      <c r="F7755" s="38" t="s">
        <v>106</v>
      </c>
      <c r="G7755" s="49" t="str">
        <f t="shared" si="1"/>
        <v>58180</v>
      </c>
      <c r="H7755" s="49">
        <f t="shared" si="2"/>
        <v>58160</v>
      </c>
    </row>
    <row r="7756">
      <c r="A7756" s="48" t="s">
        <v>1441</v>
      </c>
      <c r="B7756" s="38">
        <v>52362.0</v>
      </c>
      <c r="C7756" s="38" t="s">
        <v>11343</v>
      </c>
      <c r="D7756" s="38" t="str">
        <f>IFERROR(__xludf.DUMMYFUNCTION("REGEXREPLACE(C7756,""-\d+(.*)|--\d+(.*)"","""")"),"ORBIGNY-AU-MONT")</f>
        <v>ORBIGNY-AU-MONT</v>
      </c>
      <c r="E7756" s="38" t="s">
        <v>234</v>
      </c>
      <c r="F7756" s="38" t="s">
        <v>130</v>
      </c>
      <c r="G7756" s="49" t="str">
        <f t="shared" si="1"/>
        <v>52360</v>
      </c>
      <c r="H7756" s="49">
        <f t="shared" si="2"/>
        <v>52362</v>
      </c>
    </row>
    <row r="7757">
      <c r="A7757" s="48" t="s">
        <v>2605</v>
      </c>
      <c r="B7757" s="38">
        <v>39163.0</v>
      </c>
      <c r="C7757" s="38" t="s">
        <v>7436</v>
      </c>
      <c r="D7757" s="38" t="str">
        <f>IFERROR(__xludf.DUMMYFUNCTION("REGEXREPLACE(C7757,""-\d+(.*)|--\d+(.*)"","""")"),"CONDES")</f>
        <v>CONDES</v>
      </c>
      <c r="E7757" s="38" t="s">
        <v>400</v>
      </c>
      <c r="F7757" s="38" t="s">
        <v>214</v>
      </c>
      <c r="G7757" s="49" t="str">
        <f t="shared" si="1"/>
        <v>39240</v>
      </c>
      <c r="H7757" s="49">
        <f t="shared" si="2"/>
        <v>39163</v>
      </c>
    </row>
    <row r="7758">
      <c r="A7758" s="48" t="s">
        <v>8510</v>
      </c>
      <c r="B7758" s="38">
        <v>39244.0</v>
      </c>
      <c r="C7758" s="38" t="s">
        <v>11344</v>
      </c>
      <c r="D7758" s="38" t="str">
        <f>IFERROR(__xludf.DUMMYFUNCTION("REGEXREPLACE(C7758,""-\d+(.*)|--\d+(.*)"","""")"),"FRONTENAY")</f>
        <v>FRONTENAY</v>
      </c>
      <c r="E7758" s="38" t="s">
        <v>400</v>
      </c>
      <c r="F7758" s="38" t="s">
        <v>214</v>
      </c>
      <c r="G7758" s="49" t="str">
        <f t="shared" si="1"/>
        <v>39210</v>
      </c>
      <c r="H7758" s="49">
        <f t="shared" si="2"/>
        <v>39244</v>
      </c>
    </row>
    <row r="7759">
      <c r="A7759" s="48" t="s">
        <v>10710</v>
      </c>
      <c r="B7759" s="38">
        <v>77130.0</v>
      </c>
      <c r="C7759" s="38" t="s">
        <v>11345</v>
      </c>
      <c r="D7759" s="38" t="str">
        <f>IFERROR(__xludf.DUMMYFUNCTION("REGEXREPLACE(C7759,""-\d+(.*)|--\d+(.*)"","""")"),"COULOMMES")</f>
        <v>COULOMMES</v>
      </c>
      <c r="E7759" s="38" t="s">
        <v>244</v>
      </c>
      <c r="F7759" s="38" t="s">
        <v>245</v>
      </c>
      <c r="G7759" s="49" t="str">
        <f t="shared" si="1"/>
        <v>77580</v>
      </c>
      <c r="H7759" s="49">
        <f t="shared" si="2"/>
        <v>77130</v>
      </c>
    </row>
    <row r="7760">
      <c r="A7760" s="48" t="s">
        <v>11346</v>
      </c>
      <c r="B7760" s="38">
        <v>94017.0</v>
      </c>
      <c r="C7760" s="38" t="s">
        <v>11347</v>
      </c>
      <c r="D7760" s="38" t="str">
        <f>IFERROR(__xludf.DUMMYFUNCTION("REGEXREPLACE(C7760,""-\d+(.*)|--\d+(.*)"","""")"),"CHAMPIGNY-SUR-MARNE")</f>
        <v>CHAMPIGNY-SUR-MARNE</v>
      </c>
      <c r="E7760" s="38" t="s">
        <v>561</v>
      </c>
      <c r="F7760" s="38" t="s">
        <v>245</v>
      </c>
      <c r="G7760" s="49" t="str">
        <f t="shared" si="1"/>
        <v>94500</v>
      </c>
      <c r="H7760" s="49">
        <f t="shared" si="2"/>
        <v>94017</v>
      </c>
    </row>
    <row r="7761">
      <c r="A7761" s="48" t="s">
        <v>1570</v>
      </c>
      <c r="B7761" s="38">
        <v>16347.0</v>
      </c>
      <c r="C7761" s="38" t="s">
        <v>11348</v>
      </c>
      <c r="D7761" s="38" t="str">
        <f>IFERROR(__xludf.DUMMYFUNCTION("REGEXREPLACE(C7761,""-\d+(.*)|--\d+(.*)"","""")"),"SAINT-ROMAIN")</f>
        <v>SAINT-ROMAIN</v>
      </c>
      <c r="E7761" s="38" t="s">
        <v>429</v>
      </c>
      <c r="F7761" s="38" t="s">
        <v>338</v>
      </c>
      <c r="G7761" s="49" t="str">
        <f t="shared" si="1"/>
        <v>16210</v>
      </c>
      <c r="H7761" s="49">
        <f t="shared" si="2"/>
        <v>16347</v>
      </c>
    </row>
    <row r="7762">
      <c r="A7762" s="48" t="s">
        <v>7940</v>
      </c>
      <c r="B7762" s="38">
        <v>49351.0</v>
      </c>
      <c r="C7762" s="38" t="s">
        <v>11349</v>
      </c>
      <c r="D7762" s="38" t="str">
        <f>IFERROR(__xludf.DUMMYFUNCTION("REGEXREPLACE(C7762,""-\d+(.*)|--\d+(.*)"","""")"),"LA TOURLANDRY")</f>
        <v>LA TOURLANDRY</v>
      </c>
      <c r="E7762" s="38" t="s">
        <v>653</v>
      </c>
      <c r="F7762" s="38" t="s">
        <v>180</v>
      </c>
      <c r="G7762" s="49" t="str">
        <f t="shared" si="1"/>
        <v>49120</v>
      </c>
      <c r="H7762" s="49">
        <f t="shared" si="2"/>
        <v>49351</v>
      </c>
    </row>
    <row r="7763">
      <c r="A7763" s="48" t="s">
        <v>2266</v>
      </c>
      <c r="B7763" s="38">
        <v>55232.0</v>
      </c>
      <c r="C7763" s="38" t="s">
        <v>11350</v>
      </c>
      <c r="D7763" s="38" t="str">
        <f>IFERROR(__xludf.DUMMYFUNCTION("REGEXREPLACE(C7763,""-\d+(.*)|--\d+(.*)"","""")"),"HARVILLE")</f>
        <v>HARVILLE</v>
      </c>
      <c r="E7763" s="38" t="s">
        <v>322</v>
      </c>
      <c r="F7763" s="38" t="s">
        <v>195</v>
      </c>
      <c r="G7763" s="49" t="str">
        <f t="shared" si="1"/>
        <v>55160</v>
      </c>
      <c r="H7763" s="49">
        <f t="shared" si="2"/>
        <v>55232</v>
      </c>
    </row>
    <row r="7764">
      <c r="A7764" s="48" t="s">
        <v>721</v>
      </c>
      <c r="B7764" s="38">
        <v>14004.0</v>
      </c>
      <c r="C7764" s="38" t="s">
        <v>11351</v>
      </c>
      <c r="D7764" s="38" t="str">
        <f>IFERROR(__xludf.DUMMYFUNCTION("REGEXREPLACE(C7764,""-\d+(.*)|--\d+(.*)"","""")"),"AIGNERVILLE")</f>
        <v>AIGNERVILLE</v>
      </c>
      <c r="E7764" s="38" t="s">
        <v>137</v>
      </c>
      <c r="F7764" s="38" t="s">
        <v>138</v>
      </c>
      <c r="G7764" s="49" t="str">
        <f t="shared" si="1"/>
        <v>14710</v>
      </c>
      <c r="H7764" s="49">
        <f t="shared" si="2"/>
        <v>14004</v>
      </c>
    </row>
    <row r="7765">
      <c r="A7765" s="48" t="s">
        <v>724</v>
      </c>
      <c r="B7765" s="38">
        <v>32042.0</v>
      </c>
      <c r="C7765" s="38" t="s">
        <v>11352</v>
      </c>
      <c r="D7765" s="38" t="str">
        <f>IFERROR(__xludf.DUMMYFUNCTION("REGEXREPLACE(C7765,""-\d+(.*)|--\d+(.*)"","""")"),"BELLOC-SAINT-CLAMENS")</f>
        <v>BELLOC-SAINT-CLAMENS</v>
      </c>
      <c r="E7765" s="38" t="s">
        <v>440</v>
      </c>
      <c r="F7765" s="38" t="s">
        <v>94</v>
      </c>
      <c r="G7765" s="49" t="str">
        <f t="shared" si="1"/>
        <v>32300</v>
      </c>
      <c r="H7765" s="49">
        <f t="shared" si="2"/>
        <v>32042</v>
      </c>
    </row>
    <row r="7766">
      <c r="A7766" s="48" t="s">
        <v>11353</v>
      </c>
      <c r="B7766" s="38">
        <v>39029.0</v>
      </c>
      <c r="C7766" s="38" t="s">
        <v>11354</v>
      </c>
      <c r="D7766" s="38" t="str">
        <f>IFERROR(__xludf.DUMMYFUNCTION("REGEXREPLACE(C7766,""-\d+(.*)|--\d+(.*)"","""")"),"AUMUR")</f>
        <v>AUMUR</v>
      </c>
      <c r="E7766" s="38" t="s">
        <v>400</v>
      </c>
      <c r="F7766" s="38" t="s">
        <v>214</v>
      </c>
      <c r="G7766" s="49" t="str">
        <f t="shared" si="1"/>
        <v>39410</v>
      </c>
      <c r="H7766" s="49">
        <f t="shared" si="2"/>
        <v>39029</v>
      </c>
    </row>
    <row r="7767">
      <c r="A7767" s="48" t="s">
        <v>2845</v>
      </c>
      <c r="B7767" s="38" t="s">
        <v>11355</v>
      </c>
      <c r="C7767" s="38" t="s">
        <v>11356</v>
      </c>
      <c r="D7767" s="38" t="str">
        <f>IFERROR(__xludf.DUMMYFUNCTION("REGEXREPLACE(C7767,""-\d+(.*)|--\d+(.*)"","""")"),"VELONE-ORNETO")</f>
        <v>VELONE-ORNETO</v>
      </c>
      <c r="E7767" s="38" t="s">
        <v>743</v>
      </c>
      <c r="F7767" s="38" t="s">
        <v>607</v>
      </c>
      <c r="G7767" s="49" t="str">
        <f t="shared" si="1"/>
        <v>20230</v>
      </c>
      <c r="H7767" s="49" t="str">
        <f t="shared" si="2"/>
        <v>2B340</v>
      </c>
    </row>
    <row r="7768">
      <c r="A7768" s="48" t="s">
        <v>7818</v>
      </c>
      <c r="B7768" s="38">
        <v>90054.0</v>
      </c>
      <c r="C7768" s="38" t="s">
        <v>11357</v>
      </c>
      <c r="D7768" s="38" t="str">
        <f>IFERROR(__xludf.DUMMYFUNCTION("REGEXREPLACE(C7768,""-\d+(.*)|--\d+(.*)"","""")"),"GROSMAGNY")</f>
        <v>GROSMAGNY</v>
      </c>
      <c r="E7768" s="38" t="s">
        <v>1283</v>
      </c>
      <c r="F7768" s="38" t="s">
        <v>214</v>
      </c>
      <c r="G7768" s="49" t="str">
        <f t="shared" si="1"/>
        <v>90200</v>
      </c>
      <c r="H7768" s="49">
        <f t="shared" si="2"/>
        <v>90054</v>
      </c>
    </row>
    <row r="7769">
      <c r="A7769" s="48" t="s">
        <v>4907</v>
      </c>
      <c r="B7769" s="38">
        <v>73154.0</v>
      </c>
      <c r="C7769" s="38" t="s">
        <v>11358</v>
      </c>
      <c r="D7769" s="38" t="str">
        <f>IFERROR(__xludf.DUMMYFUNCTION("REGEXREPLACE(C7769,""-\d+(.*)|--\d+(.*)"","""")"),"MERCURY")</f>
        <v>MERCURY</v>
      </c>
      <c r="E7769" s="38" t="s">
        <v>306</v>
      </c>
      <c r="F7769" s="38" t="s">
        <v>102</v>
      </c>
      <c r="G7769" s="49" t="str">
        <f t="shared" si="1"/>
        <v>73200</v>
      </c>
      <c r="H7769" s="49">
        <f t="shared" si="2"/>
        <v>73154</v>
      </c>
    </row>
    <row r="7770">
      <c r="A7770" s="48" t="s">
        <v>3370</v>
      </c>
      <c r="B7770" s="38">
        <v>72375.0</v>
      </c>
      <c r="C7770" s="38" t="s">
        <v>11359</v>
      </c>
      <c r="D7770" s="38" t="str">
        <f>IFERROR(__xludf.DUMMYFUNCTION("REGEXREPLACE(C7770,""-\d+(.*)|--\d+(.*)"","""")"),"VILLAINES-LA-GONAIS")</f>
        <v>VILLAINES-LA-GONAIS</v>
      </c>
      <c r="E7770" s="38" t="s">
        <v>521</v>
      </c>
      <c r="F7770" s="38" t="s">
        <v>180</v>
      </c>
      <c r="G7770" s="49" t="str">
        <f t="shared" si="1"/>
        <v>72400</v>
      </c>
      <c r="H7770" s="49">
        <f t="shared" si="2"/>
        <v>72375</v>
      </c>
    </row>
    <row r="7771">
      <c r="A7771" s="48" t="s">
        <v>2631</v>
      </c>
      <c r="B7771" s="38">
        <v>64081.0</v>
      </c>
      <c r="C7771" s="38" t="s">
        <v>11360</v>
      </c>
      <c r="D7771" s="38" t="str">
        <f>IFERROR(__xludf.DUMMYFUNCTION("REGEXREPLACE(C7771,""-\d+(.*)|--\d+(.*)"","""")"),"AUSSURUCQ")</f>
        <v>AUSSURUCQ</v>
      </c>
      <c r="E7771" s="38" t="s">
        <v>268</v>
      </c>
      <c r="F7771" s="38" t="s">
        <v>252</v>
      </c>
      <c r="G7771" s="49" t="str">
        <f t="shared" si="1"/>
        <v>64130</v>
      </c>
      <c r="H7771" s="49">
        <f t="shared" si="2"/>
        <v>64081</v>
      </c>
    </row>
    <row r="7772">
      <c r="A7772" s="48" t="s">
        <v>5008</v>
      </c>
      <c r="B7772" s="38">
        <v>76755.0</v>
      </c>
      <c r="C7772" s="38" t="s">
        <v>11361</v>
      </c>
      <c r="D7772" s="38" t="str">
        <f>IFERROR(__xludf.DUMMYFUNCTION("REGEXREPLACE(C7772,""-\d+(.*)|--\d+(.*)"","""")"),"YPREVILLE-BIVILLE")</f>
        <v>YPREVILLE-BIVILLE</v>
      </c>
      <c r="E7772" s="38" t="s">
        <v>133</v>
      </c>
      <c r="F7772" s="38" t="s">
        <v>134</v>
      </c>
      <c r="G7772" s="49" t="str">
        <f t="shared" si="1"/>
        <v>76540</v>
      </c>
      <c r="H7772" s="49">
        <f t="shared" si="2"/>
        <v>76755</v>
      </c>
    </row>
    <row r="7773">
      <c r="A7773" s="48" t="s">
        <v>1262</v>
      </c>
      <c r="B7773" s="38">
        <v>11407.0</v>
      </c>
      <c r="C7773" s="38" t="s">
        <v>11362</v>
      </c>
      <c r="D7773" s="38" t="str">
        <f>IFERROR(__xludf.DUMMYFUNCTION("REGEXREPLACE(C7773,""-\d+(.*)|--\d+(.*)"","""")"),"VERDUN-EN-LAURAGAIS")</f>
        <v>VERDUN-EN-LAURAGAIS</v>
      </c>
      <c r="E7773" s="38" t="s">
        <v>278</v>
      </c>
      <c r="F7773" s="38" t="s">
        <v>119</v>
      </c>
      <c r="G7773" s="49" t="str">
        <f t="shared" si="1"/>
        <v>11400</v>
      </c>
      <c r="H7773" s="49">
        <f t="shared" si="2"/>
        <v>11407</v>
      </c>
    </row>
    <row r="7774">
      <c r="A7774" s="48" t="s">
        <v>4283</v>
      </c>
      <c r="B7774" s="38">
        <v>7009.0</v>
      </c>
      <c r="C7774" s="38" t="s">
        <v>11363</v>
      </c>
      <c r="D7774" s="38" t="str">
        <f>IFERROR(__xludf.DUMMYFUNCTION("REGEXREPLACE(C7774,""-\d+(.*)|--\d+(.*)"","""")"),"ANDANCE")</f>
        <v>ANDANCE</v>
      </c>
      <c r="E7774" s="38" t="s">
        <v>144</v>
      </c>
      <c r="F7774" s="38" t="s">
        <v>102</v>
      </c>
      <c r="G7774" s="49" t="str">
        <f t="shared" si="1"/>
        <v>07340</v>
      </c>
      <c r="H7774" s="49" t="str">
        <f t="shared" si="2"/>
        <v>07009</v>
      </c>
    </row>
    <row r="7775">
      <c r="A7775" s="48" t="s">
        <v>11364</v>
      </c>
      <c r="B7775" s="38">
        <v>59185.0</v>
      </c>
      <c r="C7775" s="38" t="s">
        <v>11365</v>
      </c>
      <c r="D7775" s="38" t="str">
        <f>IFERROR(__xludf.DUMMYFUNCTION("REGEXREPLACE(C7775,""-\d+(.*)|--\d+(.*)"","""")"),"ECAILLON")</f>
        <v>ECAILLON</v>
      </c>
      <c r="E7775" s="38" t="s">
        <v>85</v>
      </c>
      <c r="F7775" s="38" t="s">
        <v>86</v>
      </c>
      <c r="G7775" s="49" t="str">
        <f t="shared" si="1"/>
        <v>59176</v>
      </c>
      <c r="H7775" s="49">
        <f t="shared" si="2"/>
        <v>59185</v>
      </c>
    </row>
    <row r="7776">
      <c r="A7776" s="48" t="s">
        <v>5652</v>
      </c>
      <c r="B7776" s="38">
        <v>1215.0</v>
      </c>
      <c r="C7776" s="38" t="s">
        <v>11366</v>
      </c>
      <c r="D7776" s="38" t="str">
        <f>IFERROR(__xludf.DUMMYFUNCTION("REGEXREPLACE(C7776,""-\d+(.*)|--\d+(.*)"","""")"),"LHOPITAL")</f>
        <v>LHOPITAL</v>
      </c>
      <c r="E7776" s="38" t="s">
        <v>255</v>
      </c>
      <c r="F7776" s="38" t="s">
        <v>102</v>
      </c>
      <c r="G7776" s="49" t="str">
        <f t="shared" si="1"/>
        <v>01420</v>
      </c>
      <c r="H7776" s="49" t="str">
        <f t="shared" si="2"/>
        <v>01215</v>
      </c>
    </row>
    <row r="7777">
      <c r="A7777" s="48" t="s">
        <v>5763</v>
      </c>
      <c r="B7777" s="38">
        <v>63186.0</v>
      </c>
      <c r="C7777" s="38" t="s">
        <v>11367</v>
      </c>
      <c r="D7777" s="38" t="str">
        <f>IFERROR(__xludf.DUMMYFUNCTION("REGEXREPLACE(C7777,""-\d+(.*)|--\d+(.*)"","""")"),"LANDOGNE")</f>
        <v>LANDOGNE</v>
      </c>
      <c r="E7777" s="38" t="s">
        <v>353</v>
      </c>
      <c r="F7777" s="38" t="s">
        <v>161</v>
      </c>
      <c r="G7777" s="49" t="str">
        <f t="shared" si="1"/>
        <v>63380</v>
      </c>
      <c r="H7777" s="49">
        <f t="shared" si="2"/>
        <v>63186</v>
      </c>
    </row>
    <row r="7778">
      <c r="A7778" s="48" t="s">
        <v>3333</v>
      </c>
      <c r="B7778" s="38">
        <v>44214.0</v>
      </c>
      <c r="C7778" s="38" t="s">
        <v>11368</v>
      </c>
      <c r="D7778" s="38" t="str">
        <f>IFERROR(__xludf.DUMMYFUNCTION("REGEXREPLACE(C7778,""-\d+(.*)|--\d+(.*)"","""")"),"VAY")</f>
        <v>VAY</v>
      </c>
      <c r="E7778" s="38" t="s">
        <v>759</v>
      </c>
      <c r="F7778" s="38" t="s">
        <v>180</v>
      </c>
      <c r="G7778" s="49" t="str">
        <f t="shared" si="1"/>
        <v>44170</v>
      </c>
      <c r="H7778" s="49">
        <f t="shared" si="2"/>
        <v>44214</v>
      </c>
    </row>
    <row r="7779">
      <c r="A7779" s="48" t="s">
        <v>7532</v>
      </c>
      <c r="B7779" s="38">
        <v>37213.0</v>
      </c>
      <c r="C7779" s="38" t="s">
        <v>11369</v>
      </c>
      <c r="D7779" s="38" t="str">
        <f>IFERROR(__xludf.DUMMYFUNCTION("REGEXREPLACE(C7779,""-\d+(.*)|--\d+(.*)"","""")"),"SAINT-CHRISTOPHE-SUR-LE-NAIS")</f>
        <v>SAINT-CHRISTOPHE-SUR-LE-NAIS</v>
      </c>
      <c r="E7779" s="38" t="s">
        <v>205</v>
      </c>
      <c r="F7779" s="38" t="s">
        <v>123</v>
      </c>
      <c r="G7779" s="49" t="str">
        <f t="shared" si="1"/>
        <v>37370</v>
      </c>
      <c r="H7779" s="49">
        <f t="shared" si="2"/>
        <v>37213</v>
      </c>
    </row>
    <row r="7780">
      <c r="A7780" s="48" t="s">
        <v>3550</v>
      </c>
      <c r="B7780" s="38">
        <v>79033.0</v>
      </c>
      <c r="C7780" s="38" t="s">
        <v>7536</v>
      </c>
      <c r="D7780" s="38" t="str">
        <f>IFERROR(__xludf.DUMMYFUNCTION("REGEXREPLACE(C7780,""-\d+(.*)|--\d+(.*)"","""")"),"BELLEVILLE")</f>
        <v>BELLEVILLE</v>
      </c>
      <c r="E7780" s="38" t="s">
        <v>337</v>
      </c>
      <c r="F7780" s="38" t="s">
        <v>338</v>
      </c>
      <c r="G7780" s="49" t="str">
        <f t="shared" si="1"/>
        <v>79360</v>
      </c>
      <c r="H7780" s="49">
        <f t="shared" si="2"/>
        <v>79033</v>
      </c>
    </row>
    <row r="7781">
      <c r="A7781" s="48" t="s">
        <v>11370</v>
      </c>
      <c r="B7781" s="38">
        <v>26223.0</v>
      </c>
      <c r="C7781" s="38" t="s">
        <v>11371</v>
      </c>
      <c r="D7781" s="38" t="str">
        <f>IFERROR(__xludf.DUMMYFUNCTION("REGEXREPLACE(C7781,""-\d+(.*)|--\d+(.*)"","""")"),"ORIOL-EN-ROYANS")</f>
        <v>ORIOL-EN-ROYANS</v>
      </c>
      <c r="E7781" s="38" t="s">
        <v>126</v>
      </c>
      <c r="F7781" s="38" t="s">
        <v>102</v>
      </c>
      <c r="G7781" s="49" t="str">
        <f t="shared" si="1"/>
        <v>26190</v>
      </c>
      <c r="H7781" s="49">
        <f t="shared" si="2"/>
        <v>26223</v>
      </c>
    </row>
    <row r="7782">
      <c r="A7782" s="48" t="s">
        <v>9067</v>
      </c>
      <c r="B7782" s="38">
        <v>73135.0</v>
      </c>
      <c r="C7782" s="38" t="s">
        <v>11372</v>
      </c>
      <c r="D7782" s="38" t="str">
        <f>IFERROR(__xludf.DUMMYFUNCTION("REGEXREPLACE(C7782,""-\d+(.*)|--\d+(.*)"","""")"),"HERMILLON")</f>
        <v>HERMILLON</v>
      </c>
      <c r="E7782" s="38" t="s">
        <v>306</v>
      </c>
      <c r="F7782" s="38" t="s">
        <v>102</v>
      </c>
      <c r="G7782" s="49" t="str">
        <f t="shared" si="1"/>
        <v>73300</v>
      </c>
      <c r="H7782" s="49">
        <f t="shared" si="2"/>
        <v>73135</v>
      </c>
    </row>
    <row r="7783">
      <c r="A7783" s="48" t="s">
        <v>2625</v>
      </c>
      <c r="B7783" s="38">
        <v>30056.0</v>
      </c>
      <c r="C7783" s="38" t="s">
        <v>11373</v>
      </c>
      <c r="D7783" s="38" t="str">
        <f>IFERROR(__xludf.DUMMYFUNCTION("REGEXREPLACE(C7783,""-\d+(.*)|--\d+(.*)"","""")"),"LA BRUGUIERE")</f>
        <v>LA BRUGUIERE</v>
      </c>
      <c r="E7783" s="38" t="s">
        <v>526</v>
      </c>
      <c r="F7783" s="38" t="s">
        <v>119</v>
      </c>
      <c r="G7783" s="49" t="str">
        <f t="shared" si="1"/>
        <v>30580</v>
      </c>
      <c r="H7783" s="49">
        <f t="shared" si="2"/>
        <v>30056</v>
      </c>
    </row>
    <row r="7784">
      <c r="A7784" s="48" t="s">
        <v>2655</v>
      </c>
      <c r="B7784" s="38">
        <v>52529.0</v>
      </c>
      <c r="C7784" s="38" t="s">
        <v>11374</v>
      </c>
      <c r="D7784" s="38" t="str">
        <f>IFERROR(__xludf.DUMMYFUNCTION("REGEXREPLACE(C7784,""-\d+(.*)|--\d+(.*)"","""")"),"VILLEGUSIEN-LE-LAC")</f>
        <v>VILLEGUSIEN-LE-LAC</v>
      </c>
      <c r="E7784" s="38" t="s">
        <v>234</v>
      </c>
      <c r="F7784" s="38" t="s">
        <v>130</v>
      </c>
      <c r="G7784" s="49" t="str">
        <f t="shared" si="1"/>
        <v>52190</v>
      </c>
      <c r="H7784" s="49">
        <f t="shared" si="2"/>
        <v>52529</v>
      </c>
    </row>
    <row r="7785">
      <c r="A7785" s="48" t="s">
        <v>1239</v>
      </c>
      <c r="B7785" s="38">
        <v>2474.0</v>
      </c>
      <c r="C7785" s="38" t="s">
        <v>11375</v>
      </c>
      <c r="D7785" s="38" t="str">
        <f>IFERROR(__xludf.DUMMYFUNCTION("REGEXREPLACE(C7785,""-\d+(.*)|--\d+(.*)"","""")"),"MENNESSIS")</f>
        <v>MENNESSIS</v>
      </c>
      <c r="E7785" s="38" t="s">
        <v>191</v>
      </c>
      <c r="F7785" s="38" t="s">
        <v>113</v>
      </c>
      <c r="G7785" s="49" t="str">
        <f t="shared" si="1"/>
        <v>02700</v>
      </c>
      <c r="H7785" s="49" t="str">
        <f t="shared" si="2"/>
        <v>02474</v>
      </c>
    </row>
    <row r="7786">
      <c r="A7786" s="48" t="s">
        <v>8508</v>
      </c>
      <c r="B7786" s="38">
        <v>87116.0</v>
      </c>
      <c r="C7786" s="38" t="s">
        <v>11376</v>
      </c>
      <c r="D7786" s="38" t="str">
        <f>IFERROR(__xludf.DUMMYFUNCTION("REGEXREPLACE(C7786,""-\d+(.*)|--\d+(.*)"","""")"),"PEYRAT-DE-BELLAC")</f>
        <v>PEYRAT-DE-BELLAC</v>
      </c>
      <c r="E7786" s="38" t="s">
        <v>897</v>
      </c>
      <c r="F7786" s="38" t="s">
        <v>98</v>
      </c>
      <c r="G7786" s="49" t="str">
        <f t="shared" si="1"/>
        <v>87300</v>
      </c>
      <c r="H7786" s="49">
        <f t="shared" si="2"/>
        <v>87116</v>
      </c>
    </row>
    <row r="7787">
      <c r="A7787" s="48" t="s">
        <v>10366</v>
      </c>
      <c r="B7787" s="38">
        <v>1374.0</v>
      </c>
      <c r="C7787" s="38" t="s">
        <v>11377</v>
      </c>
      <c r="D7787" s="38" t="str">
        <f>IFERROR(__xludf.DUMMYFUNCTION("REGEXREPLACE(C7787,""-\d+(.*)|--\d+(.*)"","""")"),"SAINT-MARTIN-DU-MONT")</f>
        <v>SAINT-MARTIN-DU-MONT</v>
      </c>
      <c r="E7787" s="38" t="s">
        <v>255</v>
      </c>
      <c r="F7787" s="38" t="s">
        <v>102</v>
      </c>
      <c r="G7787" s="49" t="str">
        <f t="shared" si="1"/>
        <v>01160</v>
      </c>
      <c r="H7787" s="49" t="str">
        <f t="shared" si="2"/>
        <v>01374</v>
      </c>
    </row>
    <row r="7788">
      <c r="A7788" s="48" t="s">
        <v>2761</v>
      </c>
      <c r="B7788" s="38">
        <v>7266.0</v>
      </c>
      <c r="C7788" s="38" t="s">
        <v>11378</v>
      </c>
      <c r="D7788" s="38" t="str">
        <f>IFERROR(__xludf.DUMMYFUNCTION("REGEXREPLACE(C7788,""-\d+(.*)|--\d+(.*)"","""")"),"SAINTE-MARGUERITE-LAFIGERE")</f>
        <v>SAINTE-MARGUERITE-LAFIGERE</v>
      </c>
      <c r="E7788" s="38" t="s">
        <v>144</v>
      </c>
      <c r="F7788" s="38" t="s">
        <v>102</v>
      </c>
      <c r="G7788" s="49" t="str">
        <f t="shared" si="1"/>
        <v>07140</v>
      </c>
      <c r="H7788" s="49" t="str">
        <f t="shared" si="2"/>
        <v>07266</v>
      </c>
    </row>
    <row r="7789">
      <c r="A7789" s="48" t="s">
        <v>5405</v>
      </c>
      <c r="B7789" s="38">
        <v>85162.0</v>
      </c>
      <c r="C7789" s="38" t="s">
        <v>11379</v>
      </c>
      <c r="D7789" s="38" t="str">
        <f>IFERROR(__xludf.DUMMYFUNCTION("REGEXREPLACE(C7789,""-\d+(.*)|--\d+(.*)"","""")"),"NIEUL-SUR-L'AUTISE")</f>
        <v>NIEUL-SUR-L'AUTISE</v>
      </c>
      <c r="E7789" s="38" t="s">
        <v>179</v>
      </c>
      <c r="F7789" s="38" t="s">
        <v>180</v>
      </c>
      <c r="G7789" s="49" t="str">
        <f t="shared" si="1"/>
        <v>85240</v>
      </c>
      <c r="H7789" s="49">
        <f t="shared" si="2"/>
        <v>85162</v>
      </c>
    </row>
    <row r="7790">
      <c r="A7790" s="48" t="s">
        <v>11380</v>
      </c>
      <c r="B7790" s="38">
        <v>54393.0</v>
      </c>
      <c r="C7790" s="38" t="s">
        <v>11381</v>
      </c>
      <c r="D7790" s="38" t="str">
        <f>IFERROR(__xludf.DUMMYFUNCTION("REGEXREPLACE(C7790,""-\d+(.*)|--\d+(.*)"","""")"),"MOYEN")</f>
        <v>MOYEN</v>
      </c>
      <c r="E7790" s="38" t="s">
        <v>548</v>
      </c>
      <c r="F7790" s="38" t="s">
        <v>195</v>
      </c>
      <c r="G7790" s="49" t="str">
        <f t="shared" si="1"/>
        <v>54118</v>
      </c>
      <c r="H7790" s="49">
        <f t="shared" si="2"/>
        <v>54393</v>
      </c>
    </row>
    <row r="7791">
      <c r="A7791" s="48" t="s">
        <v>1857</v>
      </c>
      <c r="B7791" s="38">
        <v>4139.0</v>
      </c>
      <c r="C7791" s="38" t="s">
        <v>11382</v>
      </c>
      <c r="D7791" s="38" t="str">
        <f>IFERROR(__xludf.DUMMYFUNCTION("REGEXREPLACE(C7791,""-\d+(.*)|--\d+(.*)"","""")"),"NOYERS-SUR-JABRON")</f>
        <v>NOYERS-SUR-JABRON</v>
      </c>
      <c r="E7791" s="38" t="s">
        <v>662</v>
      </c>
      <c r="F7791" s="38" t="s">
        <v>228</v>
      </c>
      <c r="G7791" s="49" t="str">
        <f t="shared" si="1"/>
        <v>04200</v>
      </c>
      <c r="H7791" s="49" t="str">
        <f t="shared" si="2"/>
        <v>04139</v>
      </c>
    </row>
    <row r="7792">
      <c r="A7792" s="48" t="s">
        <v>874</v>
      </c>
      <c r="B7792" s="38" t="s">
        <v>11383</v>
      </c>
      <c r="C7792" s="38" t="s">
        <v>11384</v>
      </c>
      <c r="D7792" s="38" t="str">
        <f>IFERROR(__xludf.DUMMYFUNCTION("REGEXREPLACE(C7792,""-\d+(.*)|--\d+(.*)"","""")"),"PIE-D'OREZZA")</f>
        <v>PIE-D'OREZZA</v>
      </c>
      <c r="E7792" s="38" t="s">
        <v>743</v>
      </c>
      <c r="F7792" s="38" t="s">
        <v>607</v>
      </c>
      <c r="G7792" s="49" t="str">
        <f t="shared" si="1"/>
        <v>20229</v>
      </c>
      <c r="H7792" s="49" t="str">
        <f t="shared" si="2"/>
        <v>2B222</v>
      </c>
    </row>
    <row r="7793">
      <c r="A7793" s="48" t="s">
        <v>11385</v>
      </c>
      <c r="B7793" s="38">
        <v>44023.0</v>
      </c>
      <c r="C7793" s="38" t="s">
        <v>11386</v>
      </c>
      <c r="D7793" s="38" t="str">
        <f>IFERROR(__xludf.DUMMYFUNCTION("REGEXREPLACE(C7793,""-\d+(.*)|--\d+(.*)"","""")"),"BOUVRON")</f>
        <v>BOUVRON</v>
      </c>
      <c r="E7793" s="38" t="s">
        <v>759</v>
      </c>
      <c r="F7793" s="38" t="s">
        <v>180</v>
      </c>
      <c r="G7793" s="49" t="str">
        <f t="shared" si="1"/>
        <v>44130</v>
      </c>
      <c r="H7793" s="49">
        <f t="shared" si="2"/>
        <v>44023</v>
      </c>
    </row>
    <row r="7794">
      <c r="A7794" s="48" t="s">
        <v>11387</v>
      </c>
      <c r="B7794" s="38">
        <v>14409.0</v>
      </c>
      <c r="C7794" s="38" t="s">
        <v>11388</v>
      </c>
      <c r="D7794" s="38" t="str">
        <f>IFERROR(__xludf.DUMMYFUNCTION("REGEXREPLACE(C7794,""-\d+(.*)|--\d+(.*)"","""")"),"MERVILLE-FRANCEVILLE-PLAGE")</f>
        <v>MERVILLE-FRANCEVILLE-PLAGE</v>
      </c>
      <c r="E7794" s="38" t="s">
        <v>137</v>
      </c>
      <c r="F7794" s="38" t="s">
        <v>138</v>
      </c>
      <c r="G7794" s="49" t="str">
        <f t="shared" si="1"/>
        <v>14810</v>
      </c>
      <c r="H7794" s="49">
        <f t="shared" si="2"/>
        <v>14409</v>
      </c>
    </row>
    <row r="7795">
      <c r="A7795" s="48" t="s">
        <v>2459</v>
      </c>
      <c r="B7795" s="38" t="s">
        <v>11389</v>
      </c>
      <c r="C7795" s="38" t="s">
        <v>11390</v>
      </c>
      <c r="D7795" s="38" t="str">
        <f>IFERROR(__xludf.DUMMYFUNCTION("REGEXREPLACE(C7795,""-\d+(.*)|--\d+(.*)"","""")"),"SCATA")</f>
        <v>SCATA</v>
      </c>
      <c r="E7795" s="38" t="s">
        <v>743</v>
      </c>
      <c r="F7795" s="38" t="s">
        <v>607</v>
      </c>
      <c r="G7795" s="49" t="str">
        <f t="shared" si="1"/>
        <v>20213</v>
      </c>
      <c r="H7795" s="49" t="str">
        <f t="shared" si="2"/>
        <v>2B273</v>
      </c>
    </row>
    <row r="7796">
      <c r="A7796" s="48" t="s">
        <v>622</v>
      </c>
      <c r="B7796" s="38">
        <v>14244.0</v>
      </c>
      <c r="C7796" s="38" t="s">
        <v>11391</v>
      </c>
      <c r="D7796" s="38" t="str">
        <f>IFERROR(__xludf.DUMMYFUNCTION("REGEXREPLACE(C7796,""-\d+(.*)|--\d+(.*)"","""")"),"ERAINES")</f>
        <v>ERAINES</v>
      </c>
      <c r="E7796" s="38" t="s">
        <v>137</v>
      </c>
      <c r="F7796" s="38" t="s">
        <v>138</v>
      </c>
      <c r="G7796" s="49" t="str">
        <f t="shared" si="1"/>
        <v>14700</v>
      </c>
      <c r="H7796" s="49">
        <f t="shared" si="2"/>
        <v>14244</v>
      </c>
    </row>
    <row r="7797">
      <c r="A7797" s="48" t="s">
        <v>11392</v>
      </c>
      <c r="B7797" s="38">
        <v>95504.0</v>
      </c>
      <c r="C7797" s="38" t="s">
        <v>11393</v>
      </c>
      <c r="D7797" s="38" t="str">
        <f>IFERROR(__xludf.DUMMYFUNCTION("REGEXREPLACE(C7797,""-\d+(.*)|--\d+(.*)"","""")"),"PRESLES")</f>
        <v>PRESLES</v>
      </c>
      <c r="E7797" s="38" t="s">
        <v>541</v>
      </c>
      <c r="F7797" s="38" t="s">
        <v>245</v>
      </c>
      <c r="G7797" s="49" t="str">
        <f t="shared" si="1"/>
        <v>95590</v>
      </c>
      <c r="H7797" s="49">
        <f t="shared" si="2"/>
        <v>95504</v>
      </c>
    </row>
    <row r="7798">
      <c r="A7798" s="48" t="s">
        <v>11394</v>
      </c>
      <c r="B7798" s="38">
        <v>57332.0</v>
      </c>
      <c r="C7798" s="38" t="s">
        <v>11395</v>
      </c>
      <c r="D7798" s="38" t="str">
        <f>IFERROR(__xludf.DUMMYFUNCTION("REGEXREPLACE(C7798,""-\d+(.*)|--\d+(.*)"","""")"),"HOMBOURG-HAUT")</f>
        <v>HOMBOURG-HAUT</v>
      </c>
      <c r="E7798" s="38" t="s">
        <v>303</v>
      </c>
      <c r="F7798" s="38" t="s">
        <v>195</v>
      </c>
      <c r="G7798" s="49" t="str">
        <f t="shared" si="1"/>
        <v>57470</v>
      </c>
      <c r="H7798" s="49">
        <f t="shared" si="2"/>
        <v>57332</v>
      </c>
    </row>
    <row r="7799">
      <c r="A7799" s="48" t="s">
        <v>6644</v>
      </c>
      <c r="B7799" s="38">
        <v>11144.0</v>
      </c>
      <c r="C7799" s="38" t="s">
        <v>11396</v>
      </c>
      <c r="D7799" s="38" t="str">
        <f>IFERROR(__xludf.DUMMYFUNCTION("REGEXREPLACE(C7799,""-\d+(.*)|--\d+(.*)"","""")"),"FITOU")</f>
        <v>FITOU</v>
      </c>
      <c r="E7799" s="38" t="s">
        <v>278</v>
      </c>
      <c r="F7799" s="38" t="s">
        <v>119</v>
      </c>
      <c r="G7799" s="49" t="str">
        <f t="shared" si="1"/>
        <v>11510</v>
      </c>
      <c r="H7799" s="49">
        <f t="shared" si="2"/>
        <v>11144</v>
      </c>
    </row>
    <row r="7800">
      <c r="A7800" s="48" t="s">
        <v>9381</v>
      </c>
      <c r="B7800" s="38">
        <v>68078.0</v>
      </c>
      <c r="C7800" s="38" t="s">
        <v>11397</v>
      </c>
      <c r="D7800" s="38" t="str">
        <f>IFERROR(__xludf.DUMMYFUNCTION("REGEXREPLACE(C7800,""-\d+(.*)|--\d+(.*)"","""")"),"EGUISHEIM")</f>
        <v>EGUISHEIM</v>
      </c>
      <c r="E7800" s="38" t="s">
        <v>150</v>
      </c>
      <c r="F7800" s="38" t="s">
        <v>151</v>
      </c>
      <c r="G7800" s="49" t="str">
        <f t="shared" si="1"/>
        <v>68420</v>
      </c>
      <c r="H7800" s="49">
        <f t="shared" si="2"/>
        <v>68078</v>
      </c>
    </row>
    <row r="7801">
      <c r="A7801" s="48" t="s">
        <v>1485</v>
      </c>
      <c r="B7801" s="38">
        <v>21042.0</v>
      </c>
      <c r="C7801" s="38" t="s">
        <v>11398</v>
      </c>
      <c r="D7801" s="38" t="str">
        <f>IFERROR(__xludf.DUMMYFUNCTION("REGEXREPLACE(C7801,""-\d+(.*)|--\d+(.*)"","""")"),"BAGNOT")</f>
        <v>BAGNOT</v>
      </c>
      <c r="E7801" s="38" t="s">
        <v>105</v>
      </c>
      <c r="F7801" s="38" t="s">
        <v>106</v>
      </c>
      <c r="G7801" s="49" t="str">
        <f t="shared" si="1"/>
        <v>21700</v>
      </c>
      <c r="H7801" s="49">
        <f t="shared" si="2"/>
        <v>21042</v>
      </c>
    </row>
    <row r="7802">
      <c r="A7802" s="48" t="s">
        <v>1354</v>
      </c>
      <c r="B7802" s="38">
        <v>28358.0</v>
      </c>
      <c r="C7802" s="38" t="s">
        <v>11399</v>
      </c>
      <c r="D7802" s="38" t="str">
        <f>IFERROR(__xludf.DUMMYFUNCTION("REGEXREPLACE(C7802,""-\d+(.*)|--\d+(.*)"","""")"),"SAINT-PREST")</f>
        <v>SAINT-PREST</v>
      </c>
      <c r="E7802" s="38" t="s">
        <v>300</v>
      </c>
      <c r="F7802" s="38" t="s">
        <v>123</v>
      </c>
      <c r="G7802" s="49" t="str">
        <f t="shared" si="1"/>
        <v>28300</v>
      </c>
      <c r="H7802" s="49">
        <f t="shared" si="2"/>
        <v>28358</v>
      </c>
    </row>
    <row r="7803">
      <c r="A7803" s="48" t="s">
        <v>8502</v>
      </c>
      <c r="B7803" s="38">
        <v>67552.0</v>
      </c>
      <c r="C7803" s="38" t="s">
        <v>11400</v>
      </c>
      <c r="D7803" s="38" t="str">
        <f>IFERROR(__xludf.DUMMYFUNCTION("REGEXREPLACE(C7803,""-\d+(.*)|--\d+(.*)"","""")"),"WOLFSKIRCHEN")</f>
        <v>WOLFSKIRCHEN</v>
      </c>
      <c r="E7803" s="38" t="s">
        <v>210</v>
      </c>
      <c r="F7803" s="38" t="s">
        <v>151</v>
      </c>
      <c r="G7803" s="49" t="str">
        <f t="shared" si="1"/>
        <v>67260</v>
      </c>
      <c r="H7803" s="49">
        <f t="shared" si="2"/>
        <v>67552</v>
      </c>
    </row>
    <row r="7804">
      <c r="A7804" s="48" t="s">
        <v>2049</v>
      </c>
      <c r="B7804" s="38">
        <v>29282.0</v>
      </c>
      <c r="C7804" s="38" t="s">
        <v>11401</v>
      </c>
      <c r="D7804" s="38" t="str">
        <f>IFERROR(__xludf.DUMMYFUNCTION("REGEXREPLACE(C7804,""-\d+(.*)|--\d+(.*)"","""")"),"TREBABU")</f>
        <v>TREBABU</v>
      </c>
      <c r="E7804" s="38" t="s">
        <v>176</v>
      </c>
      <c r="F7804" s="38" t="s">
        <v>90</v>
      </c>
      <c r="G7804" s="49" t="str">
        <f t="shared" si="1"/>
        <v>29217</v>
      </c>
      <c r="H7804" s="49">
        <f t="shared" si="2"/>
        <v>29282</v>
      </c>
    </row>
    <row r="7805">
      <c r="A7805" s="48" t="s">
        <v>9376</v>
      </c>
      <c r="B7805" s="38">
        <v>14693.0</v>
      </c>
      <c r="C7805" s="38" t="s">
        <v>11402</v>
      </c>
      <c r="D7805" s="38" t="str">
        <f>IFERROR(__xludf.DUMMYFUNCTION("REGEXREPLACE(C7805,""-\d+(.*)|--\d+(.*)"","""")"),"TORDOUET")</f>
        <v>TORDOUET</v>
      </c>
      <c r="E7805" s="38" t="s">
        <v>137</v>
      </c>
      <c r="F7805" s="38" t="s">
        <v>138</v>
      </c>
      <c r="G7805" s="49" t="str">
        <f t="shared" si="1"/>
        <v>14290</v>
      </c>
      <c r="H7805" s="49">
        <f t="shared" si="2"/>
        <v>14693</v>
      </c>
    </row>
    <row r="7806">
      <c r="A7806" s="48" t="s">
        <v>11403</v>
      </c>
      <c r="B7806" s="38" t="s">
        <v>11404</v>
      </c>
      <c r="C7806" s="38" t="s">
        <v>11405</v>
      </c>
      <c r="D7806" s="38" t="str">
        <f>IFERROR(__xludf.DUMMYFUNCTION("REGEXREPLACE(C7806,""-\d+(.*)|--\d+(.*)"","""")"),"SERRIERA")</f>
        <v>SERRIERA</v>
      </c>
      <c r="E7806" s="38" t="s">
        <v>606</v>
      </c>
      <c r="F7806" s="38" t="s">
        <v>607</v>
      </c>
      <c r="G7806" s="49" t="str">
        <f t="shared" si="1"/>
        <v>20147</v>
      </c>
      <c r="H7806" s="49" t="str">
        <f t="shared" si="2"/>
        <v>2A279</v>
      </c>
    </row>
    <row r="7807">
      <c r="A7807" s="48" t="s">
        <v>11406</v>
      </c>
      <c r="B7807" s="38">
        <v>78481.0</v>
      </c>
      <c r="C7807" s="38" t="s">
        <v>11407</v>
      </c>
      <c r="D7807" s="38" t="str">
        <f>IFERROR(__xludf.DUMMYFUNCTION("REGEXREPLACE(C7807,""-\d+(.*)|--\d+(.*)"","""")"),"LE PECQ")</f>
        <v>LE PECQ</v>
      </c>
      <c r="E7807" s="38" t="s">
        <v>362</v>
      </c>
      <c r="F7807" s="38" t="s">
        <v>245</v>
      </c>
      <c r="G7807" s="49" t="str">
        <f t="shared" si="1"/>
        <v>78230</v>
      </c>
      <c r="H7807" s="49">
        <f t="shared" si="2"/>
        <v>78481</v>
      </c>
    </row>
    <row r="7808">
      <c r="A7808" s="48" t="s">
        <v>920</v>
      </c>
      <c r="B7808" s="38">
        <v>31300.0</v>
      </c>
      <c r="C7808" s="38" t="s">
        <v>11408</v>
      </c>
      <c r="D7808" s="38" t="str">
        <f>IFERROR(__xludf.DUMMYFUNCTION("REGEXREPLACE(C7808,""-\d+(.*)|--\d+(.*)"","""")"),"LIEOUX")</f>
        <v>LIEOUX</v>
      </c>
      <c r="E7808" s="38" t="s">
        <v>93</v>
      </c>
      <c r="F7808" s="38" t="s">
        <v>94</v>
      </c>
      <c r="G7808" s="49" t="str">
        <f t="shared" si="1"/>
        <v>31800</v>
      </c>
      <c r="H7808" s="49">
        <f t="shared" si="2"/>
        <v>31300</v>
      </c>
    </row>
    <row r="7809">
      <c r="A7809" s="48" t="s">
        <v>11409</v>
      </c>
      <c r="B7809" s="38">
        <v>94075.0</v>
      </c>
      <c r="C7809" s="38" t="s">
        <v>11410</v>
      </c>
      <c r="D7809" s="38" t="str">
        <f>IFERROR(__xludf.DUMMYFUNCTION("REGEXREPLACE(C7809,""-\d+(.*)|--\d+(.*)"","""")"),"VILLECRESNES")</f>
        <v>VILLECRESNES</v>
      </c>
      <c r="E7809" s="38" t="s">
        <v>561</v>
      </c>
      <c r="F7809" s="38" t="s">
        <v>245</v>
      </c>
      <c r="G7809" s="49" t="str">
        <f t="shared" si="1"/>
        <v>94440</v>
      </c>
      <c r="H7809" s="49">
        <f t="shared" si="2"/>
        <v>94075</v>
      </c>
    </row>
    <row r="7810">
      <c r="A7810" s="48" t="s">
        <v>2757</v>
      </c>
      <c r="B7810" s="38">
        <v>24449.0</v>
      </c>
      <c r="C7810" s="38" t="s">
        <v>11411</v>
      </c>
      <c r="D7810" s="38" t="str">
        <f>IFERROR(__xludf.DUMMYFUNCTION("REGEXREPLACE(C7810,""-\d+(.*)|--\d+(.*)"","""")"),"SAINT-MARTIAL-D'ARTENSET")</f>
        <v>SAINT-MARTIAL-D'ARTENSET</v>
      </c>
      <c r="E7810" s="38" t="s">
        <v>261</v>
      </c>
      <c r="F7810" s="38" t="s">
        <v>252</v>
      </c>
      <c r="G7810" s="49" t="str">
        <f t="shared" si="1"/>
        <v>24700</v>
      </c>
      <c r="H7810" s="49">
        <f t="shared" si="2"/>
        <v>24449</v>
      </c>
    </row>
    <row r="7811">
      <c r="A7811" s="48" t="s">
        <v>390</v>
      </c>
      <c r="B7811" s="38">
        <v>11094.0</v>
      </c>
      <c r="C7811" s="38" t="s">
        <v>11412</v>
      </c>
      <c r="D7811" s="38" t="str">
        <f>IFERROR(__xludf.DUMMYFUNCTION("REGEXREPLACE(C7811,""-\d+(.*)|--\d+(.*)"","""")"),"CLERMONT-SUR-LAUQUET")</f>
        <v>CLERMONT-SUR-LAUQUET</v>
      </c>
      <c r="E7811" s="38" t="s">
        <v>278</v>
      </c>
      <c r="F7811" s="38" t="s">
        <v>119</v>
      </c>
      <c r="G7811" s="49" t="str">
        <f t="shared" si="1"/>
        <v>11250</v>
      </c>
      <c r="H7811" s="49">
        <f t="shared" si="2"/>
        <v>11094</v>
      </c>
    </row>
    <row r="7812">
      <c r="A7812" s="48" t="s">
        <v>2710</v>
      </c>
      <c r="B7812" s="38">
        <v>68284.0</v>
      </c>
      <c r="C7812" s="38" t="s">
        <v>11413</v>
      </c>
      <c r="D7812" s="38" t="str">
        <f>IFERROR(__xludf.DUMMYFUNCTION("REGEXREPLACE(C7812,""-\d+(.*)|--\d+(.*)"","""")"),"ROPPENTZWILLER")</f>
        <v>ROPPENTZWILLER</v>
      </c>
      <c r="E7812" s="38" t="s">
        <v>150</v>
      </c>
      <c r="F7812" s="38" t="s">
        <v>151</v>
      </c>
      <c r="G7812" s="49" t="str">
        <f t="shared" si="1"/>
        <v>68480</v>
      </c>
      <c r="H7812" s="49">
        <f t="shared" si="2"/>
        <v>68284</v>
      </c>
    </row>
    <row r="7813">
      <c r="A7813" s="48" t="s">
        <v>6633</v>
      </c>
      <c r="B7813" s="38">
        <v>64349.0</v>
      </c>
      <c r="C7813" s="38" t="s">
        <v>11414</v>
      </c>
      <c r="D7813" s="38" t="str">
        <f>IFERROR(__xludf.DUMMYFUNCTION("REGEXREPLACE(C7813,""-\d+(.*)|--\d+(.*)"","""")"),"LOUBIENG")</f>
        <v>LOUBIENG</v>
      </c>
      <c r="E7813" s="38" t="s">
        <v>268</v>
      </c>
      <c r="F7813" s="38" t="s">
        <v>252</v>
      </c>
      <c r="G7813" s="49" t="str">
        <f t="shared" si="1"/>
        <v>64300</v>
      </c>
      <c r="H7813" s="49">
        <f t="shared" si="2"/>
        <v>64349</v>
      </c>
    </row>
    <row r="7814">
      <c r="A7814" s="48" t="s">
        <v>3631</v>
      </c>
      <c r="B7814" s="38">
        <v>38331.0</v>
      </c>
      <c r="C7814" s="38" t="s">
        <v>11415</v>
      </c>
      <c r="D7814" s="38" t="str">
        <f>IFERROR(__xludf.DUMMYFUNCTION("REGEXREPLACE(C7814,""-\d+(.*)|--\d+(.*)"","""")"),"REAUMONT")</f>
        <v>REAUMONT</v>
      </c>
      <c r="E7814" s="38" t="s">
        <v>101</v>
      </c>
      <c r="F7814" s="38" t="s">
        <v>102</v>
      </c>
      <c r="G7814" s="49" t="str">
        <f t="shared" si="1"/>
        <v>38140</v>
      </c>
      <c r="H7814" s="49">
        <f t="shared" si="2"/>
        <v>38331</v>
      </c>
    </row>
    <row r="7815">
      <c r="A7815" s="48" t="s">
        <v>5913</v>
      </c>
      <c r="B7815" s="38">
        <v>7236.0</v>
      </c>
      <c r="C7815" s="38" t="s">
        <v>11416</v>
      </c>
      <c r="D7815" s="38" t="str">
        <f>IFERROR(__xludf.DUMMYFUNCTION("REGEXREPLACE(C7815,""-\d+(.*)|--\d+(.*)"","""")"),"SAINT-FELICIEN")</f>
        <v>SAINT-FELICIEN</v>
      </c>
      <c r="E7815" s="38" t="s">
        <v>144</v>
      </c>
      <c r="F7815" s="38" t="s">
        <v>102</v>
      </c>
      <c r="G7815" s="49" t="str">
        <f t="shared" si="1"/>
        <v>07410</v>
      </c>
      <c r="H7815" s="49" t="str">
        <f t="shared" si="2"/>
        <v>07236</v>
      </c>
    </row>
    <row r="7816">
      <c r="A7816" s="48" t="s">
        <v>3532</v>
      </c>
      <c r="B7816" s="38">
        <v>2813.0</v>
      </c>
      <c r="C7816" s="38" t="s">
        <v>9306</v>
      </c>
      <c r="D7816" s="38" t="str">
        <f>IFERROR(__xludf.DUMMYFUNCTION("REGEXREPLACE(C7816,""-\d+(.*)|--\d+(.*)"","""")"),"VILLERS-LE-SEC")</f>
        <v>VILLERS-LE-SEC</v>
      </c>
      <c r="E7816" s="38" t="s">
        <v>191</v>
      </c>
      <c r="F7816" s="38" t="s">
        <v>113</v>
      </c>
      <c r="G7816" s="49" t="str">
        <f t="shared" si="1"/>
        <v>02240</v>
      </c>
      <c r="H7816" s="49" t="str">
        <f t="shared" si="2"/>
        <v>02813</v>
      </c>
    </row>
    <row r="7817">
      <c r="A7817" s="48" t="s">
        <v>2521</v>
      </c>
      <c r="B7817" s="38">
        <v>28257.0</v>
      </c>
      <c r="C7817" s="38" t="s">
        <v>11417</v>
      </c>
      <c r="D7817" s="38" t="str">
        <f>IFERROR(__xludf.DUMMYFUNCTION("REGEXREPLACE(C7817,""-\d+(.*)|--\d+(.*)"","""")"),"MONDONVILLE-SAINT-JEAN")</f>
        <v>MONDONVILLE-SAINT-JEAN</v>
      </c>
      <c r="E7817" s="38" t="s">
        <v>300</v>
      </c>
      <c r="F7817" s="38" t="s">
        <v>123</v>
      </c>
      <c r="G7817" s="49" t="str">
        <f t="shared" si="1"/>
        <v>28700</v>
      </c>
      <c r="H7817" s="49">
        <f t="shared" si="2"/>
        <v>28257</v>
      </c>
    </row>
    <row r="7818">
      <c r="A7818" s="48" t="s">
        <v>11418</v>
      </c>
      <c r="B7818" s="38">
        <v>94038.0</v>
      </c>
      <c r="C7818" s="38" t="s">
        <v>11419</v>
      </c>
      <c r="D7818" s="38" t="str">
        <f>IFERROR(__xludf.DUMMYFUNCTION("REGEXREPLACE(C7818,""-\d+(.*)|--\d+(.*)"","""")"),"L'HAY-LES-ROSES")</f>
        <v>L'HAY-LES-ROSES</v>
      </c>
      <c r="E7818" s="38" t="s">
        <v>561</v>
      </c>
      <c r="F7818" s="38" t="s">
        <v>245</v>
      </c>
      <c r="G7818" s="49" t="str">
        <f t="shared" si="1"/>
        <v>94240</v>
      </c>
      <c r="H7818" s="49">
        <f t="shared" si="2"/>
        <v>94038</v>
      </c>
    </row>
    <row r="7819">
      <c r="A7819" s="48" t="s">
        <v>2208</v>
      </c>
      <c r="B7819" s="38">
        <v>55153.0</v>
      </c>
      <c r="C7819" s="38" t="s">
        <v>11420</v>
      </c>
      <c r="D7819" s="38" t="str">
        <f>IFERROR(__xludf.DUMMYFUNCTION("REGEXREPLACE(C7819,""-\d+(.*)|--\d+(.*)"","""")"),"DIEPPE-SOUS-DOUAUMONT")</f>
        <v>DIEPPE-SOUS-DOUAUMONT</v>
      </c>
      <c r="E7819" s="38" t="s">
        <v>322</v>
      </c>
      <c r="F7819" s="38" t="s">
        <v>195</v>
      </c>
      <c r="G7819" s="49" t="str">
        <f t="shared" si="1"/>
        <v>55400</v>
      </c>
      <c r="H7819" s="49">
        <f t="shared" si="2"/>
        <v>55153</v>
      </c>
    </row>
    <row r="7820">
      <c r="A7820" s="48" t="s">
        <v>1669</v>
      </c>
      <c r="B7820" s="38">
        <v>21056.0</v>
      </c>
      <c r="C7820" s="38" t="s">
        <v>11421</v>
      </c>
      <c r="D7820" s="38" t="str">
        <f>IFERROR(__xludf.DUMMYFUNCTION("REGEXREPLACE(C7820,""-\d+(.*)|--\d+(.*)"","""")"),"BEIRE-LE-CHATEL")</f>
        <v>BEIRE-LE-CHATEL</v>
      </c>
      <c r="E7820" s="38" t="s">
        <v>105</v>
      </c>
      <c r="F7820" s="38" t="s">
        <v>106</v>
      </c>
      <c r="G7820" s="49" t="str">
        <f t="shared" si="1"/>
        <v>21310</v>
      </c>
      <c r="H7820" s="49">
        <f t="shared" si="2"/>
        <v>21056</v>
      </c>
    </row>
    <row r="7821">
      <c r="A7821" s="48" t="s">
        <v>11422</v>
      </c>
      <c r="B7821" s="38">
        <v>95271.0</v>
      </c>
      <c r="C7821" s="38" t="s">
        <v>11423</v>
      </c>
      <c r="D7821" s="38" t="str">
        <f>IFERROR(__xludf.DUMMYFUNCTION("REGEXREPLACE(C7821,""-\d+(.*)|--\d+(.*)"","""")"),"GENICOURT")</f>
        <v>GENICOURT</v>
      </c>
      <c r="E7821" s="38" t="s">
        <v>541</v>
      </c>
      <c r="F7821" s="38" t="s">
        <v>245</v>
      </c>
      <c r="G7821" s="49" t="str">
        <f t="shared" si="1"/>
        <v>95650</v>
      </c>
      <c r="H7821" s="49">
        <f t="shared" si="2"/>
        <v>95271</v>
      </c>
    </row>
    <row r="7822">
      <c r="A7822" s="48" t="s">
        <v>7309</v>
      </c>
      <c r="B7822" s="38">
        <v>45067.0</v>
      </c>
      <c r="C7822" s="38" t="s">
        <v>11424</v>
      </c>
      <c r="D7822" s="38" t="str">
        <f>IFERROR(__xludf.DUMMYFUNCTION("REGEXREPLACE(C7822,""-\d+(.*)|--\d+(.*)"","""")"),"CHAINGY")</f>
        <v>CHAINGY</v>
      </c>
      <c r="E7822" s="38" t="s">
        <v>122</v>
      </c>
      <c r="F7822" s="38" t="s">
        <v>123</v>
      </c>
      <c r="G7822" s="49" t="str">
        <f t="shared" si="1"/>
        <v>45380</v>
      </c>
      <c r="H7822" s="49">
        <f t="shared" si="2"/>
        <v>45067</v>
      </c>
    </row>
    <row r="7823">
      <c r="A7823" s="48" t="s">
        <v>1770</v>
      </c>
      <c r="B7823" s="38">
        <v>57624.0</v>
      </c>
      <c r="C7823" s="38" t="s">
        <v>11425</v>
      </c>
      <c r="D7823" s="38" t="str">
        <f>IFERROR(__xludf.DUMMYFUNCTION("REGEXREPLACE(C7823,""-\d+(.*)|--\d+(.*)"","""")"),"SAINTE-RUFFINE")</f>
        <v>SAINTE-RUFFINE</v>
      </c>
      <c r="E7823" s="38" t="s">
        <v>303</v>
      </c>
      <c r="F7823" s="38" t="s">
        <v>195</v>
      </c>
      <c r="G7823" s="49" t="str">
        <f t="shared" si="1"/>
        <v>57130</v>
      </c>
      <c r="H7823" s="49">
        <f t="shared" si="2"/>
        <v>57624</v>
      </c>
    </row>
    <row r="7824">
      <c r="A7824" s="48" t="s">
        <v>1157</v>
      </c>
      <c r="B7824" s="38">
        <v>16338.0</v>
      </c>
      <c r="C7824" s="38" t="s">
        <v>9699</v>
      </c>
      <c r="D7824" s="38" t="str">
        <f>IFERROR(__xludf.DUMMYFUNCTION("REGEXREPLACE(C7824,""-\d+(.*)|--\d+(.*)"","""")"),"SAINT-MEDARD")</f>
        <v>SAINT-MEDARD</v>
      </c>
      <c r="E7824" s="38" t="s">
        <v>429</v>
      </c>
      <c r="F7824" s="38" t="s">
        <v>338</v>
      </c>
      <c r="G7824" s="49" t="str">
        <f t="shared" si="1"/>
        <v>16300</v>
      </c>
      <c r="H7824" s="49">
        <f t="shared" si="2"/>
        <v>16338</v>
      </c>
    </row>
    <row r="7825">
      <c r="A7825" s="48" t="s">
        <v>663</v>
      </c>
      <c r="B7825" s="38">
        <v>86104.0</v>
      </c>
      <c r="C7825" s="38" t="s">
        <v>487</v>
      </c>
      <c r="D7825" s="38" t="str">
        <f>IFERROR(__xludf.DUMMYFUNCTION("REGEXREPLACE(C7825,""-\d+(.*)|--\d+(.*)"","""")"),"GENOUILLE")</f>
        <v>GENOUILLE</v>
      </c>
      <c r="E7825" s="38" t="s">
        <v>529</v>
      </c>
      <c r="F7825" s="38" t="s">
        <v>338</v>
      </c>
      <c r="G7825" s="49" t="str">
        <f t="shared" si="1"/>
        <v>86250</v>
      </c>
      <c r="H7825" s="49">
        <f t="shared" si="2"/>
        <v>86104</v>
      </c>
    </row>
    <row r="7826">
      <c r="A7826" s="48" t="s">
        <v>6937</v>
      </c>
      <c r="B7826" s="38">
        <v>33307.0</v>
      </c>
      <c r="C7826" s="38" t="s">
        <v>11426</v>
      </c>
      <c r="D7826" s="38" t="str">
        <f>IFERROR(__xludf.DUMMYFUNCTION("REGEXREPLACE(C7826,""-\d+(.*)|--\d+(.*)"","""")"),"NOAILLAN")</f>
        <v>NOAILLAN</v>
      </c>
      <c r="E7826" s="38" t="s">
        <v>462</v>
      </c>
      <c r="F7826" s="38" t="s">
        <v>252</v>
      </c>
      <c r="G7826" s="49" t="str">
        <f t="shared" si="1"/>
        <v>33730</v>
      </c>
      <c r="H7826" s="49">
        <f t="shared" si="2"/>
        <v>33307</v>
      </c>
    </row>
    <row r="7827">
      <c r="A7827" s="48" t="s">
        <v>1408</v>
      </c>
      <c r="B7827" s="38">
        <v>88300.0</v>
      </c>
      <c r="C7827" s="38" t="s">
        <v>11427</v>
      </c>
      <c r="D7827" s="38" t="str">
        <f>IFERROR(__xludf.DUMMYFUNCTION("REGEXREPLACE(C7827,""-\d+(.*)|--\d+(.*)"","""")"),"MENIL-DE-SENONES")</f>
        <v>MENIL-DE-SENONES</v>
      </c>
      <c r="E7827" s="38" t="s">
        <v>194</v>
      </c>
      <c r="F7827" s="38" t="s">
        <v>195</v>
      </c>
      <c r="G7827" s="49" t="str">
        <f t="shared" si="1"/>
        <v>88210</v>
      </c>
      <c r="H7827" s="49">
        <f t="shared" si="2"/>
        <v>88300</v>
      </c>
    </row>
    <row r="7828">
      <c r="A7828" s="48" t="s">
        <v>11428</v>
      </c>
      <c r="B7828" s="38">
        <v>42300.0</v>
      </c>
      <c r="C7828" s="38" t="s">
        <v>11429</v>
      </c>
      <c r="D7828" s="38" t="str">
        <f>IFERROR(__xludf.DUMMYFUNCTION("REGEXREPLACE(C7828,""-\d+(.*)|--\d+(.*)"","""")"),"SEVELINGES")</f>
        <v>SEVELINGES</v>
      </c>
      <c r="E7828" s="38" t="s">
        <v>166</v>
      </c>
      <c r="F7828" s="38" t="s">
        <v>102</v>
      </c>
      <c r="G7828" s="49" t="str">
        <f t="shared" si="1"/>
        <v>42460</v>
      </c>
      <c r="H7828" s="49">
        <f t="shared" si="2"/>
        <v>42300</v>
      </c>
    </row>
    <row r="7829">
      <c r="A7829" s="48" t="s">
        <v>1336</v>
      </c>
      <c r="B7829" s="38">
        <v>33142.0</v>
      </c>
      <c r="C7829" s="38" t="s">
        <v>11430</v>
      </c>
      <c r="D7829" s="38" t="str">
        <f>IFERROR(__xludf.DUMMYFUNCTION("REGEXREPLACE(C7829,""-\d+(.*)|--\d+(.*)"","""")"),"CUBNEZAIS")</f>
        <v>CUBNEZAIS</v>
      </c>
      <c r="E7829" s="38" t="s">
        <v>462</v>
      </c>
      <c r="F7829" s="38" t="s">
        <v>252</v>
      </c>
      <c r="G7829" s="49" t="str">
        <f t="shared" si="1"/>
        <v>33620</v>
      </c>
      <c r="H7829" s="49">
        <f t="shared" si="2"/>
        <v>33142</v>
      </c>
    </row>
    <row r="7830">
      <c r="A7830" s="48" t="s">
        <v>11431</v>
      </c>
      <c r="B7830" s="38">
        <v>95527.0</v>
      </c>
      <c r="C7830" s="38" t="s">
        <v>11432</v>
      </c>
      <c r="D7830" s="38" t="str">
        <f>IFERROR(__xludf.DUMMYFUNCTION("REGEXREPLACE(C7830,""-\d+(.*)|--\d+(.*)"","""")"),"ROISSY-EN-FRANCE")</f>
        <v>ROISSY-EN-FRANCE</v>
      </c>
      <c r="E7830" s="38" t="s">
        <v>541</v>
      </c>
      <c r="F7830" s="38" t="s">
        <v>245</v>
      </c>
      <c r="G7830" s="49" t="str">
        <f t="shared" si="1"/>
        <v>95700</v>
      </c>
      <c r="H7830" s="49">
        <f t="shared" si="2"/>
        <v>95527</v>
      </c>
    </row>
    <row r="7831">
      <c r="A7831" s="48" t="s">
        <v>1112</v>
      </c>
      <c r="B7831" s="38">
        <v>18024.0</v>
      </c>
      <c r="C7831" s="38" t="s">
        <v>11433</v>
      </c>
      <c r="D7831" s="38" t="str">
        <f>IFERROR(__xludf.DUMMYFUNCTION("REGEXREPLACE(C7831,""-\d+(.*)|--\d+(.*)"","""")"),"BEDDES")</f>
        <v>BEDDES</v>
      </c>
      <c r="E7831" s="38" t="s">
        <v>504</v>
      </c>
      <c r="F7831" s="38" t="s">
        <v>123</v>
      </c>
      <c r="G7831" s="49" t="str">
        <f t="shared" si="1"/>
        <v>18370</v>
      </c>
      <c r="H7831" s="49">
        <f t="shared" si="2"/>
        <v>18024</v>
      </c>
    </row>
    <row r="7832">
      <c r="A7832" s="48" t="s">
        <v>3945</v>
      </c>
      <c r="B7832" s="38">
        <v>34250.0</v>
      </c>
      <c r="C7832" s="38" t="s">
        <v>11434</v>
      </c>
      <c r="D7832" s="38" t="str">
        <f>IFERROR(__xludf.DUMMYFUNCTION("REGEXREPLACE(C7832,""-\d+(.*)|--\d+(.*)"","""")"),"SAINT-ETIENNE-D'ALBAGNAN")</f>
        <v>SAINT-ETIENNE-D'ALBAGNAN</v>
      </c>
      <c r="E7832" s="38" t="s">
        <v>118</v>
      </c>
      <c r="F7832" s="38" t="s">
        <v>119</v>
      </c>
      <c r="G7832" s="49" t="str">
        <f t="shared" si="1"/>
        <v>34390</v>
      </c>
      <c r="H7832" s="49">
        <f t="shared" si="2"/>
        <v>34250</v>
      </c>
    </row>
    <row r="7833">
      <c r="A7833" s="48" t="s">
        <v>7001</v>
      </c>
      <c r="B7833" s="38">
        <v>85110.0</v>
      </c>
      <c r="C7833" s="38" t="s">
        <v>11435</v>
      </c>
      <c r="D7833" s="38" t="str">
        <f>IFERROR(__xludf.DUMMYFUNCTION("REGEXREPLACE(C7833,""-\d+(.*)|--\d+(.*)"","""")"),"L'HERMENAULT")</f>
        <v>L'HERMENAULT</v>
      </c>
      <c r="E7833" s="38" t="s">
        <v>179</v>
      </c>
      <c r="F7833" s="38" t="s">
        <v>180</v>
      </c>
      <c r="G7833" s="49" t="str">
        <f t="shared" si="1"/>
        <v>85570</v>
      </c>
      <c r="H7833" s="49">
        <f t="shared" si="2"/>
        <v>85110</v>
      </c>
    </row>
    <row r="7834">
      <c r="A7834" s="48" t="s">
        <v>4697</v>
      </c>
      <c r="B7834" s="38">
        <v>67035.0</v>
      </c>
      <c r="C7834" s="38" t="s">
        <v>11436</v>
      </c>
      <c r="D7834" s="38" t="str">
        <f>IFERROR(__xludf.DUMMYFUNCTION("REGEXREPLACE(C7834,""-\d+(.*)|--\d+(.*)"","""")"),"BERSTHEIM")</f>
        <v>BERSTHEIM</v>
      </c>
      <c r="E7834" s="38" t="s">
        <v>210</v>
      </c>
      <c r="F7834" s="38" t="s">
        <v>151</v>
      </c>
      <c r="G7834" s="49" t="str">
        <f t="shared" si="1"/>
        <v>67170</v>
      </c>
      <c r="H7834" s="49">
        <f t="shared" si="2"/>
        <v>67035</v>
      </c>
    </row>
    <row r="7835">
      <c r="A7835" s="48" t="s">
        <v>11437</v>
      </c>
      <c r="B7835" s="38">
        <v>71552.0</v>
      </c>
      <c r="C7835" s="38" t="s">
        <v>11438</v>
      </c>
      <c r="D7835" s="38" t="str">
        <f>IFERROR(__xludf.DUMMYFUNCTION("REGEXREPLACE(C7835,""-\d+(.*)|--\d+(.*)"","""")"),"UXEAU")</f>
        <v>UXEAU</v>
      </c>
      <c r="E7835" s="38" t="s">
        <v>344</v>
      </c>
      <c r="F7835" s="38" t="s">
        <v>106</v>
      </c>
      <c r="G7835" s="49" t="str">
        <f t="shared" si="1"/>
        <v>71130</v>
      </c>
      <c r="H7835" s="49">
        <f t="shared" si="2"/>
        <v>71552</v>
      </c>
    </row>
    <row r="7836">
      <c r="A7836" s="48" t="s">
        <v>2035</v>
      </c>
      <c r="B7836" s="38">
        <v>64489.0</v>
      </c>
      <c r="C7836" s="38" t="s">
        <v>11439</v>
      </c>
      <c r="D7836" s="38" t="str">
        <f>IFERROR(__xludf.DUMMYFUNCTION("REGEXREPLACE(C7836,""-\d+(.*)|--\d+(.*)"","""")"),"SAINT-MARTIN-D'ARBEROUE")</f>
        <v>SAINT-MARTIN-D'ARBEROUE</v>
      </c>
      <c r="E7836" s="38" t="s">
        <v>268</v>
      </c>
      <c r="F7836" s="38" t="s">
        <v>252</v>
      </c>
      <c r="G7836" s="49" t="str">
        <f t="shared" si="1"/>
        <v>64640</v>
      </c>
      <c r="H7836" s="49">
        <f t="shared" si="2"/>
        <v>64489</v>
      </c>
    </row>
    <row r="7837">
      <c r="A7837" s="48" t="s">
        <v>2519</v>
      </c>
      <c r="B7837" s="38">
        <v>80657.0</v>
      </c>
      <c r="C7837" s="38" t="s">
        <v>11440</v>
      </c>
      <c r="D7837" s="38" t="str">
        <f>IFERROR(__xludf.DUMMYFUNCTION("REGEXREPLACE(C7837,""-\d+(.*)|--\d+(.*)"","""")"),"QUIRY-LE-SEC")</f>
        <v>QUIRY-LE-SEC</v>
      </c>
      <c r="E7837" s="38" t="s">
        <v>224</v>
      </c>
      <c r="F7837" s="38" t="s">
        <v>113</v>
      </c>
      <c r="G7837" s="49" t="str">
        <f t="shared" si="1"/>
        <v>80250</v>
      </c>
      <c r="H7837" s="49">
        <f t="shared" si="2"/>
        <v>80657</v>
      </c>
    </row>
    <row r="7838">
      <c r="A7838" s="48" t="s">
        <v>1819</v>
      </c>
      <c r="B7838" s="38">
        <v>16308.0</v>
      </c>
      <c r="C7838" s="38" t="s">
        <v>11441</v>
      </c>
      <c r="D7838" s="38" t="str">
        <f>IFERROR(__xludf.DUMMYFUNCTION("REGEXREPLACE(C7838,""-\d+(.*)|--\d+(.*)"","""")"),"SAINT-CLAUD")</f>
        <v>SAINT-CLAUD</v>
      </c>
      <c r="E7838" s="38" t="s">
        <v>429</v>
      </c>
      <c r="F7838" s="38" t="s">
        <v>338</v>
      </c>
      <c r="G7838" s="49" t="str">
        <f t="shared" si="1"/>
        <v>16450</v>
      </c>
      <c r="H7838" s="49">
        <f t="shared" si="2"/>
        <v>16308</v>
      </c>
    </row>
    <row r="7839">
      <c r="A7839" s="48" t="s">
        <v>11442</v>
      </c>
      <c r="B7839" s="38">
        <v>78586.0</v>
      </c>
      <c r="C7839" s="38" t="s">
        <v>11443</v>
      </c>
      <c r="D7839" s="38" t="str">
        <f>IFERROR(__xludf.DUMMYFUNCTION("REGEXREPLACE(C7839,""-\d+(.*)|--\d+(.*)"","""")"),"SARTROUVILLE")</f>
        <v>SARTROUVILLE</v>
      </c>
      <c r="E7839" s="38" t="s">
        <v>362</v>
      </c>
      <c r="F7839" s="38" t="s">
        <v>245</v>
      </c>
      <c r="G7839" s="49" t="str">
        <f t="shared" si="1"/>
        <v>78500</v>
      </c>
      <c r="H7839" s="49">
        <f t="shared" si="2"/>
        <v>78586</v>
      </c>
    </row>
    <row r="7840">
      <c r="A7840" s="48" t="s">
        <v>6849</v>
      </c>
      <c r="B7840" s="38">
        <v>28035.0</v>
      </c>
      <c r="C7840" s="38" t="s">
        <v>11444</v>
      </c>
      <c r="D7840" s="38" t="str">
        <f>IFERROR(__xludf.DUMMYFUNCTION("REGEXREPLACE(C7840,""-\d+(.*)|--\d+(.*)"","""")"),"BERCHERES-LES-PIERRES")</f>
        <v>BERCHERES-LES-PIERRES</v>
      </c>
      <c r="E7840" s="38" t="s">
        <v>300</v>
      </c>
      <c r="F7840" s="38" t="s">
        <v>123</v>
      </c>
      <c r="G7840" s="49" t="str">
        <f t="shared" si="1"/>
        <v>28630</v>
      </c>
      <c r="H7840" s="49">
        <f t="shared" si="2"/>
        <v>28035</v>
      </c>
    </row>
    <row r="7841">
      <c r="A7841" s="48" t="s">
        <v>3488</v>
      </c>
      <c r="B7841" s="38">
        <v>67439.0</v>
      </c>
      <c r="C7841" s="38" t="s">
        <v>11445</v>
      </c>
      <c r="D7841" s="38" t="str">
        <f>IFERROR(__xludf.DUMMYFUNCTION("REGEXREPLACE(C7841,""-\d+(.*)|--\d+(.*)"","""")"),"SCHAFFHOUSE-SUR-ZORN")</f>
        <v>SCHAFFHOUSE-SUR-ZORN</v>
      </c>
      <c r="E7841" s="38" t="s">
        <v>210</v>
      </c>
      <c r="F7841" s="38" t="s">
        <v>151</v>
      </c>
      <c r="G7841" s="49" t="str">
        <f t="shared" si="1"/>
        <v>67270</v>
      </c>
      <c r="H7841" s="49">
        <f t="shared" si="2"/>
        <v>67439</v>
      </c>
    </row>
    <row r="7842">
      <c r="A7842" s="48" t="s">
        <v>5525</v>
      </c>
      <c r="B7842" s="38">
        <v>10097.0</v>
      </c>
      <c r="C7842" s="38" t="s">
        <v>11446</v>
      </c>
      <c r="D7842" s="38" t="str">
        <f>IFERROR(__xludf.DUMMYFUNCTION("REGEXREPLACE(C7842,""-\d+(.*)|--\d+(.*)"","""")"),"CHERVEY")</f>
        <v>CHERVEY</v>
      </c>
      <c r="E7842" s="38" t="s">
        <v>147</v>
      </c>
      <c r="F7842" s="38" t="s">
        <v>130</v>
      </c>
      <c r="G7842" s="49" t="str">
        <f t="shared" si="1"/>
        <v>10110</v>
      </c>
      <c r="H7842" s="49">
        <f t="shared" si="2"/>
        <v>10097</v>
      </c>
    </row>
    <row r="7843">
      <c r="A7843" s="48" t="s">
        <v>3804</v>
      </c>
      <c r="B7843" s="38">
        <v>80593.0</v>
      </c>
      <c r="C7843" s="38" t="s">
        <v>11447</v>
      </c>
      <c r="D7843" s="38" t="str">
        <f>IFERROR(__xludf.DUMMYFUNCTION("REGEXREPLACE(C7843,""-\d+(.*)|--\d+(.*)"","""")"),"LA NEUVILLE-LES-BRAY")</f>
        <v>LA NEUVILLE-LES-BRAY</v>
      </c>
      <c r="E7843" s="38" t="s">
        <v>224</v>
      </c>
      <c r="F7843" s="38" t="s">
        <v>113</v>
      </c>
      <c r="G7843" s="49" t="str">
        <f t="shared" si="1"/>
        <v>80340</v>
      </c>
      <c r="H7843" s="49">
        <f t="shared" si="2"/>
        <v>80593</v>
      </c>
    </row>
    <row r="7844">
      <c r="A7844" s="48" t="s">
        <v>1186</v>
      </c>
      <c r="B7844" s="38">
        <v>16003.0</v>
      </c>
      <c r="C7844" s="38" t="s">
        <v>11448</v>
      </c>
      <c r="D7844" s="38" t="str">
        <f>IFERROR(__xludf.DUMMYFUNCTION("REGEXREPLACE(C7844,""-\d+(.*)|--\d+(.*)"","""")"),"AGRIS")</f>
        <v>AGRIS</v>
      </c>
      <c r="E7844" s="38" t="s">
        <v>429</v>
      </c>
      <c r="F7844" s="38" t="s">
        <v>338</v>
      </c>
      <c r="G7844" s="49" t="str">
        <f t="shared" si="1"/>
        <v>16110</v>
      </c>
      <c r="H7844" s="49">
        <f t="shared" si="2"/>
        <v>16003</v>
      </c>
    </row>
    <row r="7845">
      <c r="A7845" s="48" t="s">
        <v>236</v>
      </c>
      <c r="B7845" s="38">
        <v>9233.0</v>
      </c>
      <c r="C7845" s="38" t="s">
        <v>11449</v>
      </c>
      <c r="D7845" s="38" t="str">
        <f>IFERROR(__xludf.DUMMYFUNCTION("REGEXREPLACE(C7845,""-\d+(.*)|--\d+(.*)"","""")"),"PRADETTES")</f>
        <v>PRADETTES</v>
      </c>
      <c r="E7845" s="38" t="s">
        <v>238</v>
      </c>
      <c r="F7845" s="38" t="s">
        <v>94</v>
      </c>
      <c r="G7845" s="49" t="str">
        <f t="shared" si="1"/>
        <v>09600</v>
      </c>
      <c r="H7845" s="49" t="str">
        <f t="shared" si="2"/>
        <v>09233</v>
      </c>
    </row>
    <row r="7846">
      <c r="A7846" s="48" t="s">
        <v>1728</v>
      </c>
      <c r="B7846" s="38">
        <v>45047.0</v>
      </c>
      <c r="C7846" s="38" t="s">
        <v>11450</v>
      </c>
      <c r="D7846" s="38" t="str">
        <f>IFERROR(__xludf.DUMMYFUNCTION("REGEXREPLACE(C7846,""-\d+(.*)|--\d+(.*)"","""")"),"BOUZONVILLE-AUX-BOIS")</f>
        <v>BOUZONVILLE-AUX-BOIS</v>
      </c>
      <c r="E7846" s="38" t="s">
        <v>122</v>
      </c>
      <c r="F7846" s="38" t="s">
        <v>123</v>
      </c>
      <c r="G7846" s="49" t="str">
        <f t="shared" si="1"/>
        <v>45300</v>
      </c>
      <c r="H7846" s="49">
        <f t="shared" si="2"/>
        <v>45047</v>
      </c>
    </row>
    <row r="7847">
      <c r="A7847" s="48" t="s">
        <v>7966</v>
      </c>
      <c r="B7847" s="38">
        <v>56245.0</v>
      </c>
      <c r="C7847" s="38" t="s">
        <v>11451</v>
      </c>
      <c r="D7847" s="38" t="str">
        <f>IFERROR(__xludf.DUMMYFUNCTION("REGEXREPLACE(C7847,""-\d+(.*)|--\d+(.*)"","""")"),"SILFIAC")</f>
        <v>SILFIAC</v>
      </c>
      <c r="E7847" s="38" t="s">
        <v>173</v>
      </c>
      <c r="F7847" s="38" t="s">
        <v>90</v>
      </c>
      <c r="G7847" s="49" t="str">
        <f t="shared" si="1"/>
        <v>56480</v>
      </c>
      <c r="H7847" s="49">
        <f t="shared" si="2"/>
        <v>56245</v>
      </c>
    </row>
    <row r="7848">
      <c r="A7848" s="48" t="s">
        <v>3289</v>
      </c>
      <c r="B7848" s="38">
        <v>50154.0</v>
      </c>
      <c r="C7848" s="38" t="s">
        <v>11452</v>
      </c>
      <c r="D7848" s="38" t="str">
        <f>IFERROR(__xludf.DUMMYFUNCTION("REGEXREPLACE(C7848,""-\d+(.*)|--\d+(.*)"","""")"),"LA CROIX-AVRANCHIN")</f>
        <v>LA CROIX-AVRANCHIN</v>
      </c>
      <c r="E7848" s="38" t="s">
        <v>157</v>
      </c>
      <c r="F7848" s="38" t="s">
        <v>138</v>
      </c>
      <c r="G7848" s="49" t="str">
        <f t="shared" si="1"/>
        <v>50240</v>
      </c>
      <c r="H7848" s="49">
        <f t="shared" si="2"/>
        <v>50154</v>
      </c>
    </row>
    <row r="7849">
      <c r="A7849" s="48" t="s">
        <v>667</v>
      </c>
      <c r="B7849" s="38">
        <v>64218.0</v>
      </c>
      <c r="C7849" s="38" t="s">
        <v>11453</v>
      </c>
      <c r="D7849" s="38" t="str">
        <f>IFERROR(__xludf.DUMMYFUNCTION("REGEXREPLACE(C7849,""-\d+(.*)|--\d+(.*)"","""")"),"ESTERENCUBY")</f>
        <v>ESTERENCUBY</v>
      </c>
      <c r="E7849" s="38" t="s">
        <v>268</v>
      </c>
      <c r="F7849" s="38" t="s">
        <v>252</v>
      </c>
      <c r="G7849" s="49" t="str">
        <f t="shared" si="1"/>
        <v>64220</v>
      </c>
      <c r="H7849" s="49">
        <f t="shared" si="2"/>
        <v>64218</v>
      </c>
    </row>
    <row r="7850">
      <c r="A7850" s="48" t="s">
        <v>11454</v>
      </c>
      <c r="B7850" s="38">
        <v>87048.0</v>
      </c>
      <c r="C7850" s="38" t="s">
        <v>11455</v>
      </c>
      <c r="D7850" s="38" t="str">
        <f>IFERROR(__xludf.DUMMYFUNCTION("REGEXREPLACE(C7850,""-\d+(.*)|--\d+(.*)"","""")"),"CONDAT-SUR-VIENNE")</f>
        <v>CONDAT-SUR-VIENNE</v>
      </c>
      <c r="E7850" s="38" t="s">
        <v>897</v>
      </c>
      <c r="F7850" s="38" t="s">
        <v>98</v>
      </c>
      <c r="G7850" s="49" t="str">
        <f t="shared" si="1"/>
        <v>87920</v>
      </c>
      <c r="H7850" s="49">
        <f t="shared" si="2"/>
        <v>87048</v>
      </c>
    </row>
    <row r="7851">
      <c r="A7851" s="48" t="s">
        <v>11456</v>
      </c>
      <c r="B7851" s="38">
        <v>67073.0</v>
      </c>
      <c r="C7851" s="38" t="s">
        <v>8060</v>
      </c>
      <c r="D7851" s="38" t="str">
        <f>IFERROR(__xludf.DUMMYFUNCTION("REGEXREPLACE(C7851,""-\d+(.*)|--\d+(.*)"","""")"),"CHATENOIS")</f>
        <v>CHATENOIS</v>
      </c>
      <c r="E7851" s="38" t="s">
        <v>210</v>
      </c>
      <c r="F7851" s="38" t="s">
        <v>151</v>
      </c>
      <c r="G7851" s="49" t="str">
        <f t="shared" si="1"/>
        <v>67730</v>
      </c>
      <c r="H7851" s="49">
        <f t="shared" si="2"/>
        <v>67073</v>
      </c>
    </row>
    <row r="7852">
      <c r="A7852" s="48" t="s">
        <v>626</v>
      </c>
      <c r="B7852" s="38">
        <v>31212.0</v>
      </c>
      <c r="C7852" s="38" t="s">
        <v>11457</v>
      </c>
      <c r="D7852" s="38" t="str">
        <f>IFERROR(__xludf.DUMMYFUNCTION("REGEXREPLACE(C7852,""-\d+(.*)|--\d+(.*)"","""")"),"GARIDECH")</f>
        <v>GARIDECH</v>
      </c>
      <c r="E7852" s="38" t="s">
        <v>93</v>
      </c>
      <c r="F7852" s="38" t="s">
        <v>94</v>
      </c>
      <c r="G7852" s="49" t="str">
        <f t="shared" si="1"/>
        <v>31380</v>
      </c>
      <c r="H7852" s="49">
        <f t="shared" si="2"/>
        <v>31212</v>
      </c>
    </row>
    <row r="7853">
      <c r="A7853" s="48" t="s">
        <v>3869</v>
      </c>
      <c r="B7853" s="38">
        <v>21712.0</v>
      </c>
      <c r="C7853" s="38" t="s">
        <v>11458</v>
      </c>
      <c r="D7853" s="38" t="str">
        <f>IFERROR(__xludf.DUMMYFUNCTION("REGEXREPLACE(C7853,""-\d+(.*)|--\d+(.*)"","""")"),"VOLNAY")</f>
        <v>VOLNAY</v>
      </c>
      <c r="E7853" s="38" t="s">
        <v>105</v>
      </c>
      <c r="F7853" s="38" t="s">
        <v>106</v>
      </c>
      <c r="G7853" s="49" t="str">
        <f t="shared" si="1"/>
        <v>21190</v>
      </c>
      <c r="H7853" s="49">
        <f t="shared" si="2"/>
        <v>21712</v>
      </c>
    </row>
    <row r="7854">
      <c r="A7854" s="48" t="s">
        <v>4797</v>
      </c>
      <c r="B7854" s="38">
        <v>30015.0</v>
      </c>
      <c r="C7854" s="38" t="s">
        <v>11459</v>
      </c>
      <c r="D7854" s="38" t="str">
        <f>IFERROR(__xludf.DUMMYFUNCTION("REGEXREPLACE(C7854,""-\d+(.*)|--\d+(.*)"","""")"),"ARPHY")</f>
        <v>ARPHY</v>
      </c>
      <c r="E7854" s="38" t="s">
        <v>526</v>
      </c>
      <c r="F7854" s="38" t="s">
        <v>119</v>
      </c>
      <c r="G7854" s="49" t="str">
        <f t="shared" si="1"/>
        <v>30120</v>
      </c>
      <c r="H7854" s="49">
        <f t="shared" si="2"/>
        <v>30015</v>
      </c>
    </row>
    <row r="7855">
      <c r="A7855" s="48" t="s">
        <v>11460</v>
      </c>
      <c r="B7855" s="38">
        <v>73317.0</v>
      </c>
      <c r="C7855" s="38" t="s">
        <v>11461</v>
      </c>
      <c r="D7855" s="38" t="str">
        <f>IFERROR(__xludf.DUMMYFUNCTION("REGEXREPLACE(C7855,""-\d+(.*)|--\d+(.*)"","""")"),"VILLARD-SUR-DORON")</f>
        <v>VILLARD-SUR-DORON</v>
      </c>
      <c r="E7855" s="38" t="s">
        <v>306</v>
      </c>
      <c r="F7855" s="38" t="s">
        <v>102</v>
      </c>
      <c r="G7855" s="49" t="str">
        <f t="shared" si="1"/>
        <v>73270</v>
      </c>
      <c r="H7855" s="49">
        <f t="shared" si="2"/>
        <v>73317</v>
      </c>
    </row>
    <row r="7856">
      <c r="A7856" s="48" t="s">
        <v>2605</v>
      </c>
      <c r="B7856" s="38">
        <v>39089.0</v>
      </c>
      <c r="C7856" s="38" t="s">
        <v>11462</v>
      </c>
      <c r="D7856" s="38" t="str">
        <f>IFERROR(__xludf.DUMMYFUNCTION("REGEXREPLACE(C7856,""-\d+(.*)|--\d+(.*)"","""")"),"CEZIA")</f>
        <v>CEZIA</v>
      </c>
      <c r="E7856" s="38" t="s">
        <v>400</v>
      </c>
      <c r="F7856" s="38" t="s">
        <v>214</v>
      </c>
      <c r="G7856" s="49" t="str">
        <f t="shared" si="1"/>
        <v>39240</v>
      </c>
      <c r="H7856" s="49">
        <f t="shared" si="2"/>
        <v>39089</v>
      </c>
    </row>
    <row r="7857">
      <c r="A7857" s="48" t="s">
        <v>1616</v>
      </c>
      <c r="B7857" s="38">
        <v>10242.0</v>
      </c>
      <c r="C7857" s="38" t="s">
        <v>11463</v>
      </c>
      <c r="D7857" s="38" t="str">
        <f>IFERROR(__xludf.DUMMYFUNCTION("REGEXREPLACE(C7857,""-\d+(.*)|--\d+(.*)"","""")"),"MEURVILLE")</f>
        <v>MEURVILLE</v>
      </c>
      <c r="E7857" s="38" t="s">
        <v>147</v>
      </c>
      <c r="F7857" s="38" t="s">
        <v>130</v>
      </c>
      <c r="G7857" s="49" t="str">
        <f t="shared" si="1"/>
        <v>10200</v>
      </c>
      <c r="H7857" s="49">
        <f t="shared" si="2"/>
        <v>10242</v>
      </c>
    </row>
    <row r="7858">
      <c r="A7858" s="48" t="s">
        <v>8502</v>
      </c>
      <c r="B7858" s="38">
        <v>67199.0</v>
      </c>
      <c r="C7858" s="38" t="s">
        <v>11464</v>
      </c>
      <c r="D7858" s="38" t="str">
        <f>IFERROR(__xludf.DUMMYFUNCTION("REGEXREPLACE(C7858,""-\d+(.*)|--\d+(.*)"","""")"),"HINSINGEN")</f>
        <v>HINSINGEN</v>
      </c>
      <c r="E7858" s="38" t="s">
        <v>210</v>
      </c>
      <c r="F7858" s="38" t="s">
        <v>151</v>
      </c>
      <c r="G7858" s="49" t="str">
        <f t="shared" si="1"/>
        <v>67260</v>
      </c>
      <c r="H7858" s="49">
        <f t="shared" si="2"/>
        <v>67199</v>
      </c>
    </row>
    <row r="7859">
      <c r="A7859" s="48" t="s">
        <v>2274</v>
      </c>
      <c r="B7859" s="38">
        <v>48182.0</v>
      </c>
      <c r="C7859" s="38" t="s">
        <v>11465</v>
      </c>
      <c r="D7859" s="38" t="str">
        <f>IFERROR(__xludf.DUMMYFUNCTION("REGEXREPLACE(C7859,""-\d+(.*)|--\d+(.*)"","""")"),"SAINT-SAUVEUR-DE-GINESTOUX")</f>
        <v>SAINT-SAUVEUR-DE-GINESTOUX</v>
      </c>
      <c r="E7859" s="38" t="s">
        <v>154</v>
      </c>
      <c r="F7859" s="38" t="s">
        <v>119</v>
      </c>
      <c r="G7859" s="49" t="str">
        <f t="shared" si="1"/>
        <v>48170</v>
      </c>
      <c r="H7859" s="49">
        <f t="shared" si="2"/>
        <v>48182</v>
      </c>
    </row>
    <row r="7860">
      <c r="A7860" s="48" t="s">
        <v>1038</v>
      </c>
      <c r="B7860" s="38">
        <v>50168.0</v>
      </c>
      <c r="C7860" s="38" t="s">
        <v>11466</v>
      </c>
      <c r="D7860" s="38" t="str">
        <f>IFERROR(__xludf.DUMMYFUNCTION("REGEXREPLACE(C7860,""-\d+(.*)|--\d+(.*)"","""")"),"DUCEY")</f>
        <v>DUCEY</v>
      </c>
      <c r="E7860" s="38" t="s">
        <v>157</v>
      </c>
      <c r="F7860" s="38" t="s">
        <v>138</v>
      </c>
      <c r="G7860" s="49" t="str">
        <f t="shared" si="1"/>
        <v>50220</v>
      </c>
      <c r="H7860" s="49">
        <f t="shared" si="2"/>
        <v>50168</v>
      </c>
    </row>
    <row r="7861">
      <c r="A7861" s="48" t="s">
        <v>3519</v>
      </c>
      <c r="B7861" s="38">
        <v>15046.0</v>
      </c>
      <c r="C7861" s="38" t="s">
        <v>11467</v>
      </c>
      <c r="D7861" s="38" t="str">
        <f>IFERROR(__xludf.DUMMYFUNCTION("REGEXREPLACE(C7861,""-\d+(.*)|--\d+(.*)"","""")"),"CHAUSSENAC")</f>
        <v>CHAUSSENAC</v>
      </c>
      <c r="E7861" s="38" t="s">
        <v>632</v>
      </c>
      <c r="F7861" s="38" t="s">
        <v>161</v>
      </c>
      <c r="G7861" s="49" t="str">
        <f t="shared" si="1"/>
        <v>15700</v>
      </c>
      <c r="H7861" s="49">
        <f t="shared" si="2"/>
        <v>15046</v>
      </c>
    </row>
    <row r="7862">
      <c r="A7862" s="48" t="s">
        <v>6261</v>
      </c>
      <c r="B7862" s="38">
        <v>76508.0</v>
      </c>
      <c r="C7862" s="38" t="s">
        <v>11468</v>
      </c>
      <c r="D7862" s="38" t="str">
        <f>IFERROR(__xludf.DUMMYFUNCTION("REGEXREPLACE(C7862,""-\d+(.*)|--\d+(.*)"","""")"),"LA POTERIE-CAP-D'ANTIFER")</f>
        <v>LA POTERIE-CAP-D'ANTIFER</v>
      </c>
      <c r="E7862" s="38" t="s">
        <v>133</v>
      </c>
      <c r="F7862" s="38" t="s">
        <v>134</v>
      </c>
      <c r="G7862" s="49" t="str">
        <f t="shared" si="1"/>
        <v>76280</v>
      </c>
      <c r="H7862" s="49">
        <f t="shared" si="2"/>
        <v>76508</v>
      </c>
    </row>
    <row r="7863">
      <c r="A7863" s="48" t="s">
        <v>11469</v>
      </c>
      <c r="B7863" s="38">
        <v>17168.0</v>
      </c>
      <c r="C7863" s="38" t="s">
        <v>11470</v>
      </c>
      <c r="D7863" s="38" t="str">
        <f>IFERROR(__xludf.DUMMYFUNCTION("REGEXREPLACE(C7863,""-\d+(.*)|--\d+(.*)"","""")"),"FOURAS")</f>
        <v>FOURAS</v>
      </c>
      <c r="E7863" s="38" t="s">
        <v>488</v>
      </c>
      <c r="F7863" s="38" t="s">
        <v>338</v>
      </c>
      <c r="G7863" s="49" t="str">
        <f t="shared" si="1"/>
        <v>17450</v>
      </c>
      <c r="H7863" s="49">
        <f t="shared" si="2"/>
        <v>17168</v>
      </c>
    </row>
    <row r="7864">
      <c r="A7864" s="48" t="s">
        <v>4013</v>
      </c>
      <c r="B7864" s="38">
        <v>9196.0</v>
      </c>
      <c r="C7864" s="38" t="s">
        <v>11471</v>
      </c>
      <c r="D7864" s="38" t="str">
        <f>IFERROR(__xludf.DUMMYFUNCTION("REGEXREPLACE(C7864,""-\d+(.*)|--\d+(.*)"","""")"),"MONTAGAGNE")</f>
        <v>MONTAGAGNE</v>
      </c>
      <c r="E7864" s="38" t="s">
        <v>238</v>
      </c>
      <c r="F7864" s="38" t="s">
        <v>94</v>
      </c>
      <c r="G7864" s="49" t="str">
        <f t="shared" si="1"/>
        <v>09240</v>
      </c>
      <c r="H7864" s="49" t="str">
        <f t="shared" si="2"/>
        <v>09196</v>
      </c>
    </row>
    <row r="7865">
      <c r="A7865" s="48" t="s">
        <v>11472</v>
      </c>
      <c r="B7865" s="38">
        <v>30138.0</v>
      </c>
      <c r="C7865" s="38" t="s">
        <v>11473</v>
      </c>
      <c r="D7865" s="38" t="str">
        <f>IFERROR(__xludf.DUMMYFUNCTION("REGEXREPLACE(C7865,""-\d+(.*)|--\d+(.*)"","""")"),"LANGLADE")</f>
        <v>LANGLADE</v>
      </c>
      <c r="E7865" s="38" t="s">
        <v>526</v>
      </c>
      <c r="F7865" s="38" t="s">
        <v>119</v>
      </c>
      <c r="G7865" s="49" t="str">
        <f t="shared" si="1"/>
        <v>30980</v>
      </c>
      <c r="H7865" s="49">
        <f t="shared" si="2"/>
        <v>30138</v>
      </c>
    </row>
    <row r="7866">
      <c r="A7866" s="48" t="s">
        <v>8629</v>
      </c>
      <c r="B7866" s="38">
        <v>7322.0</v>
      </c>
      <c r="C7866" s="38" t="s">
        <v>11474</v>
      </c>
      <c r="D7866" s="38" t="str">
        <f>IFERROR(__xludf.DUMMYFUNCTION("REGEXREPLACE(C7866,""-\d+(.*)|--\d+(.*)"","""")"),"THUEYTS")</f>
        <v>THUEYTS</v>
      </c>
      <c r="E7866" s="38" t="s">
        <v>144</v>
      </c>
      <c r="F7866" s="38" t="s">
        <v>102</v>
      </c>
      <c r="G7866" s="49" t="str">
        <f t="shared" si="1"/>
        <v>07330</v>
      </c>
      <c r="H7866" s="49" t="str">
        <f t="shared" si="2"/>
        <v>07322</v>
      </c>
    </row>
    <row r="7867">
      <c r="A7867" s="48" t="s">
        <v>5616</v>
      </c>
      <c r="B7867" s="38">
        <v>71192.0</v>
      </c>
      <c r="C7867" s="38" t="s">
        <v>11475</v>
      </c>
      <c r="D7867" s="38" t="str">
        <f>IFERROR(__xludf.DUMMYFUNCTION("REGEXREPLACE(C7867,""-\d+(.*)|--\d+(.*)"","""")"),"ETANG-SUR-ARROUX")</f>
        <v>ETANG-SUR-ARROUX</v>
      </c>
      <c r="E7867" s="38" t="s">
        <v>344</v>
      </c>
      <c r="F7867" s="38" t="s">
        <v>106</v>
      </c>
      <c r="G7867" s="49" t="str">
        <f t="shared" si="1"/>
        <v>71190</v>
      </c>
      <c r="H7867" s="49">
        <f t="shared" si="2"/>
        <v>71192</v>
      </c>
    </row>
    <row r="7868">
      <c r="A7868" s="48" t="s">
        <v>9804</v>
      </c>
      <c r="B7868" s="38">
        <v>27022.0</v>
      </c>
      <c r="C7868" s="38" t="s">
        <v>11476</v>
      </c>
      <c r="D7868" s="38" t="str">
        <f>IFERROR(__xludf.DUMMYFUNCTION("REGEXREPLACE(C7868,""-\d+(.*)|--\d+(.*)"","""")"),"AUBEVOYE")</f>
        <v>AUBEVOYE</v>
      </c>
      <c r="E7868" s="38" t="s">
        <v>241</v>
      </c>
      <c r="F7868" s="38" t="s">
        <v>134</v>
      </c>
      <c r="G7868" s="49" t="str">
        <f t="shared" si="1"/>
        <v>27940</v>
      </c>
      <c r="H7868" s="49">
        <f t="shared" si="2"/>
        <v>27022</v>
      </c>
    </row>
    <row r="7869">
      <c r="A7869" s="48" t="s">
        <v>11477</v>
      </c>
      <c r="B7869" s="38">
        <v>33077.0</v>
      </c>
      <c r="C7869" s="38" t="s">
        <v>11478</v>
      </c>
      <c r="D7869" s="38" t="str">
        <f>IFERROR(__xludf.DUMMYFUNCTION("REGEXREPLACE(C7869,""-\d+(.*)|--\d+(.*)"","""")"),"CABANAC-ET-VILLAGRAINS")</f>
        <v>CABANAC-ET-VILLAGRAINS</v>
      </c>
      <c r="E7869" s="38" t="s">
        <v>462</v>
      </c>
      <c r="F7869" s="38" t="s">
        <v>252</v>
      </c>
      <c r="G7869" s="49" t="str">
        <f t="shared" si="1"/>
        <v>33650</v>
      </c>
      <c r="H7869" s="49">
        <f t="shared" si="2"/>
        <v>33077</v>
      </c>
    </row>
    <row r="7870">
      <c r="A7870" s="48" t="s">
        <v>2655</v>
      </c>
      <c r="B7870" s="38">
        <v>52158.0</v>
      </c>
      <c r="C7870" s="38" t="s">
        <v>11479</v>
      </c>
      <c r="D7870" s="38" t="str">
        <f>IFERROR(__xludf.DUMMYFUNCTION("REGEXREPLACE(C7870,""-\d+(.*)|--\d+(.*)"","""")"),"CUSEY")</f>
        <v>CUSEY</v>
      </c>
      <c r="E7870" s="38" t="s">
        <v>234</v>
      </c>
      <c r="F7870" s="38" t="s">
        <v>130</v>
      </c>
      <c r="G7870" s="49" t="str">
        <f t="shared" si="1"/>
        <v>52190</v>
      </c>
      <c r="H7870" s="49">
        <f t="shared" si="2"/>
        <v>52158</v>
      </c>
    </row>
    <row r="7871">
      <c r="A7871" s="48" t="s">
        <v>4030</v>
      </c>
      <c r="B7871" s="38">
        <v>16212.0</v>
      </c>
      <c r="C7871" s="38" t="s">
        <v>11480</v>
      </c>
      <c r="D7871" s="38" t="str">
        <f>IFERROR(__xludf.DUMMYFUNCTION("REGEXREPLACE(C7871,""-\d+(.*)|--\d+(.*)"","""")"),"MASSIGNAC")</f>
        <v>MASSIGNAC</v>
      </c>
      <c r="E7871" s="38" t="s">
        <v>429</v>
      </c>
      <c r="F7871" s="38" t="s">
        <v>338</v>
      </c>
      <c r="G7871" s="49" t="str">
        <f t="shared" si="1"/>
        <v>16310</v>
      </c>
      <c r="H7871" s="49">
        <f t="shared" si="2"/>
        <v>16212</v>
      </c>
    </row>
    <row r="7872">
      <c r="A7872" s="48" t="s">
        <v>11481</v>
      </c>
      <c r="B7872" s="38">
        <v>33211.0</v>
      </c>
      <c r="C7872" s="38" t="s">
        <v>11482</v>
      </c>
      <c r="D7872" s="38" t="str">
        <f>IFERROR(__xludf.DUMMYFUNCTION("REGEXREPLACE(C7872,""-\d+(.*)|--\d+(.*)"","""")"),"LABARDE")</f>
        <v>LABARDE</v>
      </c>
      <c r="E7872" s="38" t="s">
        <v>462</v>
      </c>
      <c r="F7872" s="38" t="s">
        <v>252</v>
      </c>
      <c r="G7872" s="49" t="str">
        <f t="shared" si="1"/>
        <v>33460</v>
      </c>
      <c r="H7872" s="49">
        <f t="shared" si="2"/>
        <v>33211</v>
      </c>
    </row>
    <row r="7873">
      <c r="A7873" s="48" t="s">
        <v>656</v>
      </c>
      <c r="B7873" s="38">
        <v>61112.0</v>
      </c>
      <c r="C7873" s="38" t="s">
        <v>11483</v>
      </c>
      <c r="D7873" s="38" t="str">
        <f>IFERROR(__xludf.DUMMYFUNCTION("REGEXREPLACE(C7873,""-\d+(.*)|--\d+(.*)"","""")"),"COLONARD-CORUBERT")</f>
        <v>COLONARD-CORUBERT</v>
      </c>
      <c r="E7873" s="38" t="s">
        <v>141</v>
      </c>
      <c r="F7873" s="38" t="s">
        <v>138</v>
      </c>
      <c r="G7873" s="49" t="str">
        <f t="shared" si="1"/>
        <v>61340</v>
      </c>
      <c r="H7873" s="49">
        <f t="shared" si="2"/>
        <v>61112</v>
      </c>
    </row>
    <row r="7874">
      <c r="A7874" s="48" t="s">
        <v>4844</v>
      </c>
      <c r="B7874" s="38">
        <v>14546.0</v>
      </c>
      <c r="C7874" s="38" t="s">
        <v>11164</v>
      </c>
      <c r="D7874" s="38" t="str">
        <f>IFERROR(__xludf.DUMMYFUNCTION("REGEXREPLACE(C7874,""-\d+(.*)|--\d+(.*)"","""")"),"ROUVRES")</f>
        <v>ROUVRES</v>
      </c>
      <c r="E7874" s="38" t="s">
        <v>137</v>
      </c>
      <c r="F7874" s="38" t="s">
        <v>138</v>
      </c>
      <c r="G7874" s="49" t="str">
        <f t="shared" si="1"/>
        <v>14190</v>
      </c>
      <c r="H7874" s="49">
        <f t="shared" si="2"/>
        <v>14546</v>
      </c>
    </row>
    <row r="7875">
      <c r="A7875" s="48" t="s">
        <v>10013</v>
      </c>
      <c r="B7875" s="38">
        <v>81203.0</v>
      </c>
      <c r="C7875" s="38" t="s">
        <v>11484</v>
      </c>
      <c r="D7875" s="38" t="str">
        <f>IFERROR(__xludf.DUMMYFUNCTION("REGEXREPLACE(C7875,""-\d+(.*)|--\d+(.*)"","""")"),"PAULINET")</f>
        <v>PAULINET</v>
      </c>
      <c r="E7875" s="38" t="s">
        <v>231</v>
      </c>
      <c r="F7875" s="38" t="s">
        <v>94</v>
      </c>
      <c r="G7875" s="49" t="str">
        <f t="shared" si="1"/>
        <v>81250</v>
      </c>
      <c r="H7875" s="49">
        <f t="shared" si="2"/>
        <v>81203</v>
      </c>
    </row>
    <row r="7876">
      <c r="A7876" s="48" t="s">
        <v>1452</v>
      </c>
      <c r="B7876" s="38">
        <v>55039.0</v>
      </c>
      <c r="C7876" s="38" t="s">
        <v>11485</v>
      </c>
      <c r="D7876" s="38" t="str">
        <f>IFERROR(__xludf.DUMMYFUNCTION("REGEXREPLACE(C7876,""-\d+(.*)|--\d+(.*)"","""")"),"BEAUMONT-EN-VERDUNOIS")</f>
        <v>BEAUMONT-EN-VERDUNOIS</v>
      </c>
      <c r="E7876" s="38" t="s">
        <v>322</v>
      </c>
      <c r="F7876" s="38" t="s">
        <v>195</v>
      </c>
      <c r="G7876" s="49" t="str">
        <f t="shared" si="1"/>
        <v>55100</v>
      </c>
      <c r="H7876" s="49">
        <f t="shared" si="2"/>
        <v>55039</v>
      </c>
    </row>
    <row r="7877">
      <c r="A7877" s="48" t="s">
        <v>858</v>
      </c>
      <c r="B7877" s="38">
        <v>77322.0</v>
      </c>
      <c r="C7877" s="38" t="s">
        <v>11486</v>
      </c>
      <c r="D7877" s="38" t="str">
        <f>IFERROR(__xludf.DUMMYFUNCTION("REGEXREPLACE(C7877,""-\d+(.*)|--\d+(.*)"","""")"),"MOUSSY-LE-NEUF")</f>
        <v>MOUSSY-LE-NEUF</v>
      </c>
      <c r="E7877" s="38" t="s">
        <v>244</v>
      </c>
      <c r="F7877" s="38" t="s">
        <v>245</v>
      </c>
      <c r="G7877" s="49" t="str">
        <f t="shared" si="1"/>
        <v>77230</v>
      </c>
      <c r="H7877" s="49">
        <f t="shared" si="2"/>
        <v>77322</v>
      </c>
    </row>
    <row r="7878">
      <c r="A7878" s="48" t="s">
        <v>1305</v>
      </c>
      <c r="B7878" s="38">
        <v>36215.0</v>
      </c>
      <c r="C7878" s="38" t="s">
        <v>11487</v>
      </c>
      <c r="D7878" s="38" t="str">
        <f>IFERROR(__xludf.DUMMYFUNCTION("REGEXREPLACE(C7878,""-\d+(.*)|--\d+(.*)"","""")"),"SEGRY")</f>
        <v>SEGRY</v>
      </c>
      <c r="E7878" s="38" t="s">
        <v>258</v>
      </c>
      <c r="F7878" s="38" t="s">
        <v>123</v>
      </c>
      <c r="G7878" s="49" t="str">
        <f t="shared" si="1"/>
        <v>36100</v>
      </c>
      <c r="H7878" s="49">
        <f t="shared" si="2"/>
        <v>36215</v>
      </c>
    </row>
    <row r="7879">
      <c r="A7879" s="48" t="s">
        <v>5063</v>
      </c>
      <c r="B7879" s="38">
        <v>24424.0</v>
      </c>
      <c r="C7879" s="38" t="s">
        <v>11488</v>
      </c>
      <c r="D7879" s="38" t="str">
        <f>IFERROR(__xludf.DUMMYFUNCTION("REGEXREPLACE(C7879,""-\d+(.*)|--\d+(.*)"","""")"),"SAINT-JEAN-D'ATAUX")</f>
        <v>SAINT-JEAN-D'ATAUX</v>
      </c>
      <c r="E7879" s="38" t="s">
        <v>261</v>
      </c>
      <c r="F7879" s="38" t="s">
        <v>252</v>
      </c>
      <c r="G7879" s="49" t="str">
        <f t="shared" si="1"/>
        <v>24190</v>
      </c>
      <c r="H7879" s="49">
        <f t="shared" si="2"/>
        <v>24424</v>
      </c>
    </row>
    <row r="7880">
      <c r="A7880" s="48" t="s">
        <v>734</v>
      </c>
      <c r="B7880" s="38">
        <v>54478.0</v>
      </c>
      <c r="C7880" s="38" t="s">
        <v>7456</v>
      </c>
      <c r="D7880" s="38" t="str">
        <f>IFERROR(__xludf.DUMMYFUNCTION("REGEXREPLACE(C7880,""-\d+(.*)|--\d+(.*)"","""")"),"SAINT-MARCEL")</f>
        <v>SAINT-MARCEL</v>
      </c>
      <c r="E7880" s="38" t="s">
        <v>548</v>
      </c>
      <c r="F7880" s="38" t="s">
        <v>195</v>
      </c>
      <c r="G7880" s="49" t="str">
        <f t="shared" si="1"/>
        <v>54800</v>
      </c>
      <c r="H7880" s="49">
        <f t="shared" si="2"/>
        <v>54478</v>
      </c>
    </row>
    <row r="7881">
      <c r="A7881" s="48" t="s">
        <v>6965</v>
      </c>
      <c r="B7881" s="38">
        <v>2766.0</v>
      </c>
      <c r="C7881" s="38" t="s">
        <v>11489</v>
      </c>
      <c r="D7881" s="38" t="str">
        <f>IFERROR(__xludf.DUMMYFUNCTION("REGEXREPLACE(C7881,""-\d+(.*)|--\d+(.*)"","""")"),"VAUDESSON")</f>
        <v>VAUDESSON</v>
      </c>
      <c r="E7881" s="38" t="s">
        <v>191</v>
      </c>
      <c r="F7881" s="38" t="s">
        <v>113</v>
      </c>
      <c r="G7881" s="49" t="str">
        <f t="shared" si="1"/>
        <v>02320</v>
      </c>
      <c r="H7881" s="49" t="str">
        <f t="shared" si="2"/>
        <v>02766</v>
      </c>
    </row>
    <row r="7882">
      <c r="A7882" s="48" t="s">
        <v>11490</v>
      </c>
      <c r="B7882" s="38">
        <v>59638.0</v>
      </c>
      <c r="C7882" s="38" t="s">
        <v>11491</v>
      </c>
      <c r="D7882" s="38" t="str">
        <f>IFERROR(__xludf.DUMMYFUNCTION("REGEXREPLACE(C7882,""-\d+(.*)|--\d+(.*)"","""")"),"WANNEHAIN")</f>
        <v>WANNEHAIN</v>
      </c>
      <c r="E7882" s="38" t="s">
        <v>85</v>
      </c>
      <c r="F7882" s="38" t="s">
        <v>86</v>
      </c>
      <c r="G7882" s="49" t="str">
        <f t="shared" si="1"/>
        <v>59830</v>
      </c>
      <c r="H7882" s="49">
        <f t="shared" si="2"/>
        <v>59638</v>
      </c>
    </row>
    <row r="7883">
      <c r="A7883" s="48" t="s">
        <v>7458</v>
      </c>
      <c r="B7883" s="38">
        <v>54378.0</v>
      </c>
      <c r="C7883" s="38" t="s">
        <v>11492</v>
      </c>
      <c r="D7883" s="38" t="str">
        <f>IFERROR(__xludf.DUMMYFUNCTION("REGEXREPLACE(C7883,""-\d+(.*)|--\d+(.*)"","""")"),"MONTIGNY-SUR-CHIERS")</f>
        <v>MONTIGNY-SUR-CHIERS</v>
      </c>
      <c r="E7883" s="38" t="s">
        <v>548</v>
      </c>
      <c r="F7883" s="38" t="s">
        <v>195</v>
      </c>
      <c r="G7883" s="49" t="str">
        <f t="shared" si="1"/>
        <v>54870</v>
      </c>
      <c r="H7883" s="49">
        <f t="shared" si="2"/>
        <v>54378</v>
      </c>
    </row>
    <row r="7884">
      <c r="A7884" s="48" t="s">
        <v>6285</v>
      </c>
      <c r="B7884" s="38">
        <v>16007.0</v>
      </c>
      <c r="C7884" s="38" t="s">
        <v>11493</v>
      </c>
      <c r="D7884" s="38" t="str">
        <f>IFERROR(__xludf.DUMMYFUNCTION("REGEXREPLACE(C7884,""-\d+(.*)|--\d+(.*)"","""")"),"ALLOUE")</f>
        <v>ALLOUE</v>
      </c>
      <c r="E7884" s="38" t="s">
        <v>429</v>
      </c>
      <c r="F7884" s="38" t="s">
        <v>338</v>
      </c>
      <c r="G7884" s="49" t="str">
        <f t="shared" si="1"/>
        <v>16490</v>
      </c>
      <c r="H7884" s="49">
        <f t="shared" si="2"/>
        <v>16007</v>
      </c>
    </row>
    <row r="7885">
      <c r="A7885" s="48" t="s">
        <v>4797</v>
      </c>
      <c r="B7885" s="38">
        <v>30157.0</v>
      </c>
      <c r="C7885" s="38" t="s">
        <v>1326</v>
      </c>
      <c r="D7885" s="38" t="str">
        <f>IFERROR(__xludf.DUMMYFUNCTION("REGEXREPLACE(C7885,""-\d+(.*)|--\d+(.*)"","""")"),"MARS")</f>
        <v>MARS</v>
      </c>
      <c r="E7885" s="38" t="s">
        <v>526</v>
      </c>
      <c r="F7885" s="38" t="s">
        <v>119</v>
      </c>
      <c r="G7885" s="49" t="str">
        <f t="shared" si="1"/>
        <v>30120</v>
      </c>
      <c r="H7885" s="49">
        <f t="shared" si="2"/>
        <v>30157</v>
      </c>
    </row>
    <row r="7886">
      <c r="A7886" s="48" t="s">
        <v>6890</v>
      </c>
      <c r="B7886" s="38">
        <v>51389.0</v>
      </c>
      <c r="C7886" s="38" t="s">
        <v>11494</v>
      </c>
      <c r="D7886" s="38" t="str">
        <f>IFERROR(__xludf.DUMMYFUNCTION("REGEXREPLACE(C7886,""-\d+(.*)|--\d+(.*)"","""")"),"MOURMELON-LE-PETIT")</f>
        <v>MOURMELON-LE-PETIT</v>
      </c>
      <c r="E7886" s="38" t="s">
        <v>129</v>
      </c>
      <c r="F7886" s="38" t="s">
        <v>130</v>
      </c>
      <c r="G7886" s="49" t="str">
        <f t="shared" si="1"/>
        <v>51400</v>
      </c>
      <c r="H7886" s="49">
        <f t="shared" si="2"/>
        <v>51389</v>
      </c>
    </row>
    <row r="7887">
      <c r="A7887" s="48" t="s">
        <v>4024</v>
      </c>
      <c r="B7887" s="38" t="s">
        <v>11495</v>
      </c>
      <c r="C7887" s="38" t="s">
        <v>11496</v>
      </c>
      <c r="D7887" s="38" t="str">
        <f>IFERROR(__xludf.DUMMYFUNCTION("REGEXREPLACE(C7887,""-\d+(.*)|--\d+(.*)"","""")"),"MURATO")</f>
        <v>MURATO</v>
      </c>
      <c r="E7887" s="38" t="s">
        <v>743</v>
      </c>
      <c r="F7887" s="38" t="s">
        <v>607</v>
      </c>
      <c r="G7887" s="49" t="str">
        <f t="shared" si="1"/>
        <v>20239</v>
      </c>
      <c r="H7887" s="49" t="str">
        <f t="shared" si="2"/>
        <v>2B172</v>
      </c>
    </row>
    <row r="7888">
      <c r="A7888" s="48" t="s">
        <v>208</v>
      </c>
      <c r="B7888" s="38">
        <v>67092.0</v>
      </c>
      <c r="C7888" s="38" t="s">
        <v>11497</v>
      </c>
      <c r="D7888" s="38" t="str">
        <f>IFERROR(__xludf.DUMMYFUNCTION("REGEXREPLACE(C7888,""-\d+(.*)|--\d+(.*)"","""")"),"DIEFFENBACH-AU-VAL")</f>
        <v>DIEFFENBACH-AU-VAL</v>
      </c>
      <c r="E7888" s="38" t="s">
        <v>210</v>
      </c>
      <c r="F7888" s="38" t="s">
        <v>151</v>
      </c>
      <c r="G7888" s="49" t="str">
        <f t="shared" si="1"/>
        <v>67220</v>
      </c>
      <c r="H7888" s="49">
        <f t="shared" si="2"/>
        <v>67092</v>
      </c>
    </row>
    <row r="7889">
      <c r="A7889" s="48" t="s">
        <v>11498</v>
      </c>
      <c r="B7889" s="38">
        <v>26028.0</v>
      </c>
      <c r="C7889" s="38" t="s">
        <v>11499</v>
      </c>
      <c r="D7889" s="38" t="str">
        <f>IFERROR(__xludf.DUMMYFUNCTION("REGEXREPLACE(C7889,""-\d+(.*)|--\d+(.*)"","""")"),"BATHERNAY")</f>
        <v>BATHERNAY</v>
      </c>
      <c r="E7889" s="38" t="s">
        <v>126</v>
      </c>
      <c r="F7889" s="38" t="s">
        <v>102</v>
      </c>
      <c r="G7889" s="49" t="str">
        <f t="shared" si="1"/>
        <v>26260</v>
      </c>
      <c r="H7889" s="49">
        <f t="shared" si="2"/>
        <v>26028</v>
      </c>
    </row>
    <row r="7890">
      <c r="A7890" s="48" t="s">
        <v>1693</v>
      </c>
      <c r="B7890" s="38">
        <v>24238.0</v>
      </c>
      <c r="C7890" s="38" t="s">
        <v>11500</v>
      </c>
      <c r="D7890" s="38" t="str">
        <f>IFERROR(__xludf.DUMMYFUNCTION("REGEXREPLACE(C7890,""-\d+(.*)|--\d+(.*)"","""")"),"LEMPZOURS")</f>
        <v>LEMPZOURS</v>
      </c>
      <c r="E7890" s="38" t="s">
        <v>261</v>
      </c>
      <c r="F7890" s="38" t="s">
        <v>252</v>
      </c>
      <c r="G7890" s="49" t="str">
        <f t="shared" si="1"/>
        <v>24800</v>
      </c>
      <c r="H7890" s="49">
        <f t="shared" si="2"/>
        <v>24238</v>
      </c>
    </row>
    <row r="7891">
      <c r="A7891" s="48" t="s">
        <v>6773</v>
      </c>
      <c r="B7891" s="38">
        <v>48090.0</v>
      </c>
      <c r="C7891" s="38" t="s">
        <v>11501</v>
      </c>
      <c r="D7891" s="38" t="str">
        <f>IFERROR(__xludf.DUMMYFUNCTION("REGEXREPLACE(C7891,""-\d+(.*)|--\d+(.*)"","""")"),"LE MALZIEU-VILLE")</f>
        <v>LE MALZIEU-VILLE</v>
      </c>
      <c r="E7891" s="38" t="s">
        <v>154</v>
      </c>
      <c r="F7891" s="38" t="s">
        <v>119</v>
      </c>
      <c r="G7891" s="49" t="str">
        <f t="shared" si="1"/>
        <v>48140</v>
      </c>
      <c r="H7891" s="49">
        <f t="shared" si="2"/>
        <v>48090</v>
      </c>
    </row>
    <row r="7892">
      <c r="A7892" s="48" t="s">
        <v>5565</v>
      </c>
      <c r="B7892" s="38">
        <v>63060.0</v>
      </c>
      <c r="C7892" s="38" t="s">
        <v>5387</v>
      </c>
      <c r="D7892" s="38" t="str">
        <f>IFERROR(__xludf.DUMMYFUNCTION("REGEXREPLACE(C7892,""-\d+(.*)|--\d+(.*)"","""")"),"BUSSIERES")</f>
        <v>BUSSIERES</v>
      </c>
      <c r="E7892" s="38" t="s">
        <v>353</v>
      </c>
      <c r="F7892" s="38" t="s">
        <v>161</v>
      </c>
      <c r="G7892" s="49" t="str">
        <f t="shared" si="1"/>
        <v>63330</v>
      </c>
      <c r="H7892" s="49">
        <f t="shared" si="2"/>
        <v>63060</v>
      </c>
    </row>
    <row r="7893">
      <c r="A7893" s="48" t="s">
        <v>542</v>
      </c>
      <c r="B7893" s="38">
        <v>50009.0</v>
      </c>
      <c r="C7893" s="38" t="s">
        <v>11502</v>
      </c>
      <c r="D7893" s="38" t="str">
        <f>IFERROR(__xludf.DUMMYFUNCTION("REGEXREPLACE(C7893,""-\d+(.*)|--\d+(.*)"","""")"),"ANGEY")</f>
        <v>ANGEY</v>
      </c>
      <c r="E7893" s="38" t="s">
        <v>157</v>
      </c>
      <c r="F7893" s="38" t="s">
        <v>138</v>
      </c>
      <c r="G7893" s="49" t="str">
        <f t="shared" si="1"/>
        <v>50530</v>
      </c>
      <c r="H7893" s="49">
        <f t="shared" si="2"/>
        <v>50009</v>
      </c>
    </row>
    <row r="7894">
      <c r="A7894" s="48" t="s">
        <v>7192</v>
      </c>
      <c r="B7894" s="38">
        <v>61208.0</v>
      </c>
      <c r="C7894" s="38" t="s">
        <v>11503</v>
      </c>
      <c r="D7894" s="38" t="str">
        <f>IFERROR(__xludf.DUMMYFUNCTION("REGEXREPLACE(C7894,""-\d+(.*)|--\d+(.*)"","""")"),"IRAI")</f>
        <v>IRAI</v>
      </c>
      <c r="E7894" s="38" t="s">
        <v>141</v>
      </c>
      <c r="F7894" s="38" t="s">
        <v>138</v>
      </c>
      <c r="G7894" s="49" t="str">
        <f t="shared" si="1"/>
        <v>61190</v>
      </c>
      <c r="H7894" s="49">
        <f t="shared" si="2"/>
        <v>61208</v>
      </c>
    </row>
    <row r="7895">
      <c r="A7895" s="48" t="s">
        <v>8404</v>
      </c>
      <c r="B7895" s="38" t="s">
        <v>11504</v>
      </c>
      <c r="C7895" s="38" t="s">
        <v>11505</v>
      </c>
      <c r="D7895" s="38" t="str">
        <f>IFERROR(__xludf.DUMMYFUNCTION("REGEXREPLACE(C7895,""-\d+(.*)|--\d+(.*)"","""")"),"PENTA-ACQUATELLA")</f>
        <v>PENTA-ACQUATELLA</v>
      </c>
      <c r="E7895" s="38" t="s">
        <v>743</v>
      </c>
      <c r="F7895" s="38" t="s">
        <v>607</v>
      </c>
      <c r="G7895" s="49" t="str">
        <f t="shared" si="1"/>
        <v>20290</v>
      </c>
      <c r="H7895" s="49" t="str">
        <f t="shared" si="2"/>
        <v>2B206</v>
      </c>
    </row>
    <row r="7896">
      <c r="A7896" s="48" t="s">
        <v>1091</v>
      </c>
      <c r="B7896" s="38">
        <v>57627.0</v>
      </c>
      <c r="C7896" s="38" t="s">
        <v>11506</v>
      </c>
      <c r="D7896" s="38" t="str">
        <f>IFERROR(__xludf.DUMMYFUNCTION("REGEXREPLACE(C7896,""-\d+(.*)|--\d+(.*)"","""")"),"SANRY-SUR-NIED")</f>
        <v>SANRY-SUR-NIED</v>
      </c>
      <c r="E7896" s="38" t="s">
        <v>303</v>
      </c>
      <c r="F7896" s="38" t="s">
        <v>195</v>
      </c>
      <c r="G7896" s="49" t="str">
        <f t="shared" si="1"/>
        <v>57530</v>
      </c>
      <c r="H7896" s="49">
        <f t="shared" si="2"/>
        <v>57627</v>
      </c>
    </row>
    <row r="7897">
      <c r="A7897" s="48" t="s">
        <v>2697</v>
      </c>
      <c r="B7897" s="38">
        <v>61249.0</v>
      </c>
      <c r="C7897" s="38" t="s">
        <v>11507</v>
      </c>
      <c r="D7897" s="38" t="str">
        <f>IFERROR(__xludf.DUMMYFUNCTION("REGEXREPLACE(C7897,""-\d+(.*)|--\d+(.*)"","""")"),"MARCEI")</f>
        <v>MARCEI</v>
      </c>
      <c r="E7897" s="38" t="s">
        <v>141</v>
      </c>
      <c r="F7897" s="38" t="s">
        <v>138</v>
      </c>
      <c r="G7897" s="49" t="str">
        <f t="shared" si="1"/>
        <v>61570</v>
      </c>
      <c r="H7897" s="49">
        <f t="shared" si="2"/>
        <v>61249</v>
      </c>
    </row>
    <row r="7898">
      <c r="A7898" s="48" t="s">
        <v>2845</v>
      </c>
      <c r="B7898" s="38" t="s">
        <v>11508</v>
      </c>
      <c r="C7898" s="38" t="s">
        <v>11509</v>
      </c>
      <c r="D7898" s="38" t="str">
        <f>IFERROR(__xludf.DUMMYFUNCTION("REGEXREPLACE(C7898,""-\d+(.*)|--\d+(.*)"","""")"),"CANALE-DI-VERDE")</f>
        <v>CANALE-DI-VERDE</v>
      </c>
      <c r="E7898" s="38" t="s">
        <v>743</v>
      </c>
      <c r="F7898" s="38" t="s">
        <v>607</v>
      </c>
      <c r="G7898" s="49" t="str">
        <f t="shared" si="1"/>
        <v>20230</v>
      </c>
      <c r="H7898" s="49" t="str">
        <f t="shared" si="2"/>
        <v>2B057</v>
      </c>
    </row>
    <row r="7899">
      <c r="A7899" s="48" t="s">
        <v>916</v>
      </c>
      <c r="B7899" s="38">
        <v>76491.0</v>
      </c>
      <c r="C7899" s="38" t="s">
        <v>11510</v>
      </c>
      <c r="D7899" s="38" t="str">
        <f>IFERROR(__xludf.DUMMYFUNCTION("REGEXREPLACE(C7899,""-\d+(.*)|--\d+(.*)"","""")"),"OUVILLE-L'ABBAYE")</f>
        <v>OUVILLE-L'ABBAYE</v>
      </c>
      <c r="E7899" s="38" t="s">
        <v>133</v>
      </c>
      <c r="F7899" s="38" t="s">
        <v>134</v>
      </c>
      <c r="G7899" s="49" t="str">
        <f t="shared" si="1"/>
        <v>76760</v>
      </c>
      <c r="H7899" s="49">
        <f t="shared" si="2"/>
        <v>76491</v>
      </c>
    </row>
    <row r="7900">
      <c r="A7900" s="48" t="s">
        <v>5142</v>
      </c>
      <c r="B7900" s="38">
        <v>58096.0</v>
      </c>
      <c r="C7900" s="38" t="s">
        <v>11511</v>
      </c>
      <c r="D7900" s="38" t="str">
        <f>IFERROR(__xludf.DUMMYFUNCTION("REGEXREPLACE(C7900,""-\d+(.*)|--\d+(.*)"","""")"),"DEVAY")</f>
        <v>DEVAY</v>
      </c>
      <c r="E7900" s="38" t="s">
        <v>219</v>
      </c>
      <c r="F7900" s="38" t="s">
        <v>106</v>
      </c>
      <c r="G7900" s="49" t="str">
        <f t="shared" si="1"/>
        <v>58300</v>
      </c>
      <c r="H7900" s="49">
        <f t="shared" si="2"/>
        <v>58096</v>
      </c>
    </row>
    <row r="7901">
      <c r="A7901" s="48" t="s">
        <v>1174</v>
      </c>
      <c r="B7901" s="38">
        <v>51417.0</v>
      </c>
      <c r="C7901" s="38" t="s">
        <v>11512</v>
      </c>
      <c r="D7901" s="38" t="str">
        <f>IFERROR(__xludf.DUMMYFUNCTION("REGEXREPLACE(C7901,""-\d+(.*)|--\d+(.*)"","""")"),"ORCONTE")</f>
        <v>ORCONTE</v>
      </c>
      <c r="E7901" s="38" t="s">
        <v>129</v>
      </c>
      <c r="F7901" s="38" t="s">
        <v>130</v>
      </c>
      <c r="G7901" s="49" t="str">
        <f t="shared" si="1"/>
        <v>51300</v>
      </c>
      <c r="H7901" s="49">
        <f t="shared" si="2"/>
        <v>51417</v>
      </c>
    </row>
    <row r="7902">
      <c r="A7902" s="48" t="s">
        <v>4830</v>
      </c>
      <c r="B7902" s="38">
        <v>61390.0</v>
      </c>
      <c r="C7902" s="38" t="s">
        <v>11513</v>
      </c>
      <c r="D7902" s="38" t="str">
        <f>IFERROR(__xludf.DUMMYFUNCTION("REGEXREPLACE(C7902,""-\d+(.*)|--\d+(.*)"","""")"),"SAINT-GEORGES-D'ANNEBECQ")</f>
        <v>SAINT-GEORGES-D'ANNEBECQ</v>
      </c>
      <c r="E7902" s="38" t="s">
        <v>141</v>
      </c>
      <c r="F7902" s="38" t="s">
        <v>138</v>
      </c>
      <c r="G7902" s="49" t="str">
        <f t="shared" si="1"/>
        <v>61600</v>
      </c>
      <c r="H7902" s="49">
        <f t="shared" si="2"/>
        <v>61390</v>
      </c>
    </row>
    <row r="7903">
      <c r="A7903" s="48" t="s">
        <v>954</v>
      </c>
      <c r="B7903" s="38">
        <v>70504.0</v>
      </c>
      <c r="C7903" s="38" t="s">
        <v>11514</v>
      </c>
      <c r="D7903" s="38" t="str">
        <f>IFERROR(__xludf.DUMMYFUNCTION("REGEXREPLACE(C7903,""-\d+(.*)|--\d+(.*)"","""")"),"TRAVES")</f>
        <v>TRAVES</v>
      </c>
      <c r="E7903" s="38" t="s">
        <v>956</v>
      </c>
      <c r="F7903" s="38" t="s">
        <v>214</v>
      </c>
      <c r="G7903" s="49" t="str">
        <f t="shared" si="1"/>
        <v>70360</v>
      </c>
      <c r="H7903" s="49">
        <f t="shared" si="2"/>
        <v>70504</v>
      </c>
    </row>
    <row r="7904">
      <c r="A7904" s="48" t="s">
        <v>3570</v>
      </c>
      <c r="B7904" s="38">
        <v>76154.0</v>
      </c>
      <c r="C7904" s="38" t="s">
        <v>11515</v>
      </c>
      <c r="D7904" s="38" t="str">
        <f>IFERROR(__xludf.DUMMYFUNCTION("REGEXREPLACE(C7904,""-\d+(.*)|--\d+(.*)"","""")"),"CAMPNEUSEVILLE")</f>
        <v>CAMPNEUSEVILLE</v>
      </c>
      <c r="E7904" s="38" t="s">
        <v>133</v>
      </c>
      <c r="F7904" s="38" t="s">
        <v>134</v>
      </c>
      <c r="G7904" s="49" t="str">
        <f t="shared" si="1"/>
        <v>76340</v>
      </c>
      <c r="H7904" s="49">
        <f t="shared" si="2"/>
        <v>76154</v>
      </c>
    </row>
    <row r="7905">
      <c r="A7905" s="48" t="s">
        <v>11516</v>
      </c>
      <c r="B7905" s="38" t="s">
        <v>11517</v>
      </c>
      <c r="C7905" s="38" t="s">
        <v>11518</v>
      </c>
      <c r="D7905" s="38" t="str">
        <f>IFERROR(__xludf.DUMMYFUNCTION("REGEXREPLACE(C7905,""-\d+(.*)|--\d+(.*)"","""")"),"PIANELLO")</f>
        <v>PIANELLO</v>
      </c>
      <c r="E7905" s="38" t="s">
        <v>743</v>
      </c>
      <c r="F7905" s="38" t="s">
        <v>607</v>
      </c>
      <c r="G7905" s="49" t="str">
        <f t="shared" si="1"/>
        <v>20272</v>
      </c>
      <c r="H7905" s="49" t="str">
        <f t="shared" si="2"/>
        <v>2B213</v>
      </c>
    </row>
    <row r="7906">
      <c r="A7906" s="48" t="s">
        <v>1774</v>
      </c>
      <c r="B7906" s="38">
        <v>28111.0</v>
      </c>
      <c r="C7906" s="38" t="s">
        <v>11519</v>
      </c>
      <c r="D7906" s="38" t="str">
        <f>IFERROR(__xludf.DUMMYFUNCTION("REGEXREPLACE(C7906,""-\d+(.*)|--\d+(.*)"","""")"),"COUDRAY-AU-PERCHE")</f>
        <v>COUDRAY-AU-PERCHE</v>
      </c>
      <c r="E7906" s="38" t="s">
        <v>300</v>
      </c>
      <c r="F7906" s="38" t="s">
        <v>123</v>
      </c>
      <c r="G7906" s="49" t="str">
        <f t="shared" si="1"/>
        <v>28330</v>
      </c>
      <c r="H7906" s="49">
        <f t="shared" si="2"/>
        <v>28111</v>
      </c>
    </row>
    <row r="7907">
      <c r="A7907" s="48" t="s">
        <v>2995</v>
      </c>
      <c r="B7907" s="38">
        <v>28141.0</v>
      </c>
      <c r="C7907" s="38" t="s">
        <v>11520</v>
      </c>
      <c r="D7907" s="38" t="str">
        <f>IFERROR(__xludf.DUMMYFUNCTION("REGEXREPLACE(C7907,""-\d+(.*)|--\d+(.*)"","""")"),"ERMENONVILLE-LA-GRANDE")</f>
        <v>ERMENONVILLE-LA-GRANDE</v>
      </c>
      <c r="E7907" s="38" t="s">
        <v>300</v>
      </c>
      <c r="F7907" s="38" t="s">
        <v>123</v>
      </c>
      <c r="G7907" s="49" t="str">
        <f t="shared" si="1"/>
        <v>28120</v>
      </c>
      <c r="H7907" s="49">
        <f t="shared" si="2"/>
        <v>28141</v>
      </c>
    </row>
    <row r="7908">
      <c r="A7908" s="48" t="s">
        <v>4519</v>
      </c>
      <c r="B7908" s="38">
        <v>26199.0</v>
      </c>
      <c r="C7908" s="38" t="s">
        <v>11521</v>
      </c>
      <c r="D7908" s="38" t="str">
        <f>IFERROR(__xludf.DUMMYFUNCTION("REGEXREPLACE(C7908,""-\d+(.*)|--\d+(.*)"","""")"),"MONTFERRAND-LA-FARE")</f>
        <v>MONTFERRAND-LA-FARE</v>
      </c>
      <c r="E7908" s="38" t="s">
        <v>126</v>
      </c>
      <c r="F7908" s="38" t="s">
        <v>102</v>
      </c>
      <c r="G7908" s="49" t="str">
        <f t="shared" si="1"/>
        <v>26510</v>
      </c>
      <c r="H7908" s="49">
        <f t="shared" si="2"/>
        <v>26199</v>
      </c>
    </row>
    <row r="7909">
      <c r="A7909" s="48" t="s">
        <v>6818</v>
      </c>
      <c r="B7909" s="38">
        <v>40047.0</v>
      </c>
      <c r="C7909" s="38" t="s">
        <v>11522</v>
      </c>
      <c r="D7909" s="38" t="str">
        <f>IFERROR(__xludf.DUMMYFUNCTION("REGEXREPLACE(C7909,""-\d+(.*)|--\d+(.*)"","""")"),"BONNEGARDE")</f>
        <v>BONNEGARDE</v>
      </c>
      <c r="E7909" s="38" t="s">
        <v>281</v>
      </c>
      <c r="F7909" s="38" t="s">
        <v>252</v>
      </c>
      <c r="G7909" s="49" t="str">
        <f t="shared" si="1"/>
        <v>40330</v>
      </c>
      <c r="H7909" s="49">
        <f t="shared" si="2"/>
        <v>40047</v>
      </c>
    </row>
    <row r="7910">
      <c r="A7910" s="48" t="s">
        <v>1754</v>
      </c>
      <c r="B7910" s="38">
        <v>14153.0</v>
      </c>
      <c r="C7910" s="38" t="s">
        <v>11523</v>
      </c>
      <c r="D7910" s="38" t="str">
        <f>IFERROR(__xludf.DUMMYFUNCTION("REGEXREPLACE(C7910,""-\d+(.*)|--\d+(.*)"","""")"),"LA CHAPELLE-HAUTE-GRUE")</f>
        <v>LA CHAPELLE-HAUTE-GRUE</v>
      </c>
      <c r="E7910" s="38" t="s">
        <v>137</v>
      </c>
      <c r="F7910" s="38" t="s">
        <v>138</v>
      </c>
      <c r="G7910" s="49" t="str">
        <f t="shared" si="1"/>
        <v>14140</v>
      </c>
      <c r="H7910" s="49">
        <f t="shared" si="2"/>
        <v>14153</v>
      </c>
    </row>
    <row r="7911">
      <c r="A7911" s="48" t="s">
        <v>5648</v>
      </c>
      <c r="B7911" s="38">
        <v>76233.0</v>
      </c>
      <c r="C7911" s="38" t="s">
        <v>11524</v>
      </c>
      <c r="D7911" s="38" t="str">
        <f>IFERROR(__xludf.DUMMYFUNCTION("REGEXREPLACE(C7911,""-\d+(.*)|--\d+(.*)"","""")"),"ELLECOURT")</f>
        <v>ELLECOURT</v>
      </c>
      <c r="E7911" s="38" t="s">
        <v>133</v>
      </c>
      <c r="F7911" s="38" t="s">
        <v>134</v>
      </c>
      <c r="G7911" s="49" t="str">
        <f t="shared" si="1"/>
        <v>76390</v>
      </c>
      <c r="H7911" s="49">
        <f t="shared" si="2"/>
        <v>76233</v>
      </c>
    </row>
    <row r="7912">
      <c r="A7912" s="48" t="s">
        <v>11525</v>
      </c>
      <c r="B7912" s="38">
        <v>58162.0</v>
      </c>
      <c r="C7912" s="38" t="s">
        <v>11526</v>
      </c>
      <c r="D7912" s="38" t="str">
        <f>IFERROR(__xludf.DUMMYFUNCTION("REGEXREPLACE(C7912,""-\d+(.*)|--\d+(.*)"","""")"),"MENESTREAU")</f>
        <v>MENESTREAU</v>
      </c>
      <c r="E7912" s="38" t="s">
        <v>219</v>
      </c>
      <c r="F7912" s="38" t="s">
        <v>106</v>
      </c>
      <c r="G7912" s="49" t="str">
        <f t="shared" si="1"/>
        <v>58410</v>
      </c>
      <c r="H7912" s="49">
        <f t="shared" si="2"/>
        <v>58162</v>
      </c>
    </row>
    <row r="7913">
      <c r="A7913" s="48" t="s">
        <v>4434</v>
      </c>
      <c r="B7913" s="38">
        <v>31083.0</v>
      </c>
      <c r="C7913" s="38" t="s">
        <v>11527</v>
      </c>
      <c r="D7913" s="38" t="str">
        <f>IFERROR(__xludf.DUMMYFUNCTION("REGEXREPLACE(C7913,""-\d+(.*)|--\d+(.*)"","""")"),"BOUSSAN")</f>
        <v>BOUSSAN</v>
      </c>
      <c r="E7913" s="38" t="s">
        <v>93</v>
      </c>
      <c r="F7913" s="38" t="s">
        <v>94</v>
      </c>
      <c r="G7913" s="49" t="str">
        <f t="shared" si="1"/>
        <v>31420</v>
      </c>
      <c r="H7913" s="49">
        <f t="shared" si="2"/>
        <v>31083</v>
      </c>
    </row>
    <row r="7914">
      <c r="A7914" s="48" t="s">
        <v>5702</v>
      </c>
      <c r="B7914" s="38">
        <v>26378.0</v>
      </c>
      <c r="C7914" s="38" t="s">
        <v>11528</v>
      </c>
      <c r="D7914" s="38" t="str">
        <f>IFERROR(__xludf.DUMMYFUNCTION("REGEXREPLACE(C7914,""-\d+(.*)|--\d+(.*)"","""")"),"VOLVENT")</f>
        <v>VOLVENT</v>
      </c>
      <c r="E7914" s="38" t="s">
        <v>126</v>
      </c>
      <c r="F7914" s="38" t="s">
        <v>102</v>
      </c>
      <c r="G7914" s="49" t="str">
        <f t="shared" si="1"/>
        <v>26470</v>
      </c>
      <c r="H7914" s="49">
        <f t="shared" si="2"/>
        <v>26378</v>
      </c>
    </row>
    <row r="7915">
      <c r="A7915" s="48" t="s">
        <v>724</v>
      </c>
      <c r="B7915" s="38">
        <v>32114.0</v>
      </c>
      <c r="C7915" s="38" t="s">
        <v>11529</v>
      </c>
      <c r="D7915" s="38" t="str">
        <f>IFERROR(__xludf.DUMMYFUNCTION("REGEXREPLACE(C7915,""-\d+(.*)|--\d+(.*)"","""")"),"CUELAS")</f>
        <v>CUELAS</v>
      </c>
      <c r="E7915" s="38" t="s">
        <v>440</v>
      </c>
      <c r="F7915" s="38" t="s">
        <v>94</v>
      </c>
      <c r="G7915" s="49" t="str">
        <f t="shared" si="1"/>
        <v>32300</v>
      </c>
      <c r="H7915" s="49">
        <f t="shared" si="2"/>
        <v>32114</v>
      </c>
    </row>
    <row r="7916">
      <c r="A7916" s="48" t="s">
        <v>1731</v>
      </c>
      <c r="B7916" s="38">
        <v>38392.0</v>
      </c>
      <c r="C7916" s="38" t="s">
        <v>11530</v>
      </c>
      <c r="D7916" s="38" t="str">
        <f>IFERROR(__xludf.DUMMYFUNCTION("REGEXREPLACE(C7916,""-\d+(.*)|--\d+(.*)"","""")"),"SAINT-HILAIRE-DE-BRENS")</f>
        <v>SAINT-HILAIRE-DE-BRENS</v>
      </c>
      <c r="E7916" s="38" t="s">
        <v>101</v>
      </c>
      <c r="F7916" s="38" t="s">
        <v>102</v>
      </c>
      <c r="G7916" s="49" t="str">
        <f t="shared" si="1"/>
        <v>38460</v>
      </c>
      <c r="H7916" s="49">
        <f t="shared" si="2"/>
        <v>38392</v>
      </c>
    </row>
    <row r="7917">
      <c r="A7917" s="48" t="s">
        <v>11531</v>
      </c>
      <c r="B7917" s="38">
        <v>13026.0</v>
      </c>
      <c r="C7917" s="38" t="s">
        <v>11532</v>
      </c>
      <c r="D7917" s="38" t="str">
        <f>IFERROR(__xludf.DUMMYFUNCTION("REGEXREPLACE(C7917,""-\d+(.*)|--\d+(.*)"","""")"),"CHATEAUNEUF-LES-MARTIGUES")</f>
        <v>CHATEAUNEUF-LES-MARTIGUES</v>
      </c>
      <c r="E7917" s="38" t="s">
        <v>980</v>
      </c>
      <c r="F7917" s="38" t="s">
        <v>228</v>
      </c>
      <c r="G7917" s="49" t="str">
        <f t="shared" si="1"/>
        <v>13220</v>
      </c>
      <c r="H7917" s="49">
        <f t="shared" si="2"/>
        <v>13026</v>
      </c>
    </row>
    <row r="7918">
      <c r="A7918" s="48" t="s">
        <v>3846</v>
      </c>
      <c r="B7918" s="38">
        <v>19174.0</v>
      </c>
      <c r="C7918" s="38" t="s">
        <v>11533</v>
      </c>
      <c r="D7918" s="38" t="str">
        <f>IFERROR(__xludf.DUMMYFUNCTION("REGEXREPLACE(C7918,""-\d+(.*)|--\d+(.*)"","""")"),"LA ROCHE-CANILLAC")</f>
        <v>LA ROCHE-CANILLAC</v>
      </c>
      <c r="E7918" s="38" t="s">
        <v>271</v>
      </c>
      <c r="F7918" s="38" t="s">
        <v>98</v>
      </c>
      <c r="G7918" s="49" t="str">
        <f t="shared" si="1"/>
        <v>19320</v>
      </c>
      <c r="H7918" s="49">
        <f t="shared" si="2"/>
        <v>19174</v>
      </c>
    </row>
    <row r="7919">
      <c r="A7919" s="48" t="s">
        <v>11534</v>
      </c>
      <c r="B7919" s="38">
        <v>30186.0</v>
      </c>
      <c r="C7919" s="38" t="s">
        <v>11535</v>
      </c>
      <c r="D7919" s="38" t="str">
        <f>IFERROR(__xludf.DUMMYFUNCTION("REGEXREPLACE(C7919,""-\d+(.*)|--\d+(.*)"","""")"),"NAGES-ET-SOLORGUES")</f>
        <v>NAGES-ET-SOLORGUES</v>
      </c>
      <c r="E7919" s="38" t="s">
        <v>526</v>
      </c>
      <c r="F7919" s="38" t="s">
        <v>119</v>
      </c>
      <c r="G7919" s="49" t="str">
        <f t="shared" si="1"/>
        <v>30114</v>
      </c>
      <c r="H7919" s="49">
        <f t="shared" si="2"/>
        <v>30186</v>
      </c>
    </row>
    <row r="7920">
      <c r="A7920" s="48" t="s">
        <v>5563</v>
      </c>
      <c r="B7920" s="38">
        <v>32258.0</v>
      </c>
      <c r="C7920" s="38" t="s">
        <v>11536</v>
      </c>
      <c r="D7920" s="38" t="str">
        <f>IFERROR(__xludf.DUMMYFUNCTION("REGEXREPLACE(C7920,""-\d+(.*)|--\d+(.*)"","""")"),"MIREPOIX")</f>
        <v>MIREPOIX</v>
      </c>
      <c r="E7920" s="38" t="s">
        <v>440</v>
      </c>
      <c r="F7920" s="38" t="s">
        <v>94</v>
      </c>
      <c r="G7920" s="49" t="str">
        <f t="shared" si="1"/>
        <v>32390</v>
      </c>
      <c r="H7920" s="49">
        <f t="shared" si="2"/>
        <v>32258</v>
      </c>
    </row>
    <row r="7921">
      <c r="A7921" s="48" t="s">
        <v>5996</v>
      </c>
      <c r="B7921" s="38">
        <v>67358.0</v>
      </c>
      <c r="C7921" s="38" t="s">
        <v>11537</v>
      </c>
      <c r="D7921" s="38" t="str">
        <f>IFERROR(__xludf.DUMMYFUNCTION("REGEXREPLACE(C7921,""-\d+(.*)|--\d+(.*)"","""")"),"OFFWILLER")</f>
        <v>OFFWILLER</v>
      </c>
      <c r="E7921" s="38" t="s">
        <v>210</v>
      </c>
      <c r="F7921" s="38" t="s">
        <v>151</v>
      </c>
      <c r="G7921" s="49" t="str">
        <f t="shared" si="1"/>
        <v>67340</v>
      </c>
      <c r="H7921" s="49">
        <f t="shared" si="2"/>
        <v>67358</v>
      </c>
    </row>
    <row r="7922">
      <c r="A7922" s="48" t="s">
        <v>11538</v>
      </c>
      <c r="B7922" s="38">
        <v>61092.0</v>
      </c>
      <c r="C7922" s="38" t="s">
        <v>11539</v>
      </c>
      <c r="D7922" s="38" t="str">
        <f>IFERROR(__xludf.DUMMYFUNCTION("REGEXREPLACE(C7922,""-\d+(.*)|--\d+(.*)"","""")"),"CHANDAI")</f>
        <v>CHANDAI</v>
      </c>
      <c r="E7922" s="38" t="s">
        <v>141</v>
      </c>
      <c r="F7922" s="38" t="s">
        <v>138</v>
      </c>
      <c r="G7922" s="49" t="str">
        <f t="shared" si="1"/>
        <v>61300</v>
      </c>
      <c r="H7922" s="49">
        <f t="shared" si="2"/>
        <v>61092</v>
      </c>
    </row>
    <row r="7923">
      <c r="A7923" s="48" t="s">
        <v>2600</v>
      </c>
      <c r="B7923" s="38">
        <v>60255.0</v>
      </c>
      <c r="C7923" s="38" t="s">
        <v>11540</v>
      </c>
      <c r="D7923" s="38" t="str">
        <f>IFERROR(__xludf.DUMMYFUNCTION("REGEXREPLACE(C7923,""-\d+(.*)|--\d+(.*)"","""")"),"FRENICHES")</f>
        <v>FRENICHES</v>
      </c>
      <c r="E7923" s="38" t="s">
        <v>112</v>
      </c>
      <c r="F7923" s="38" t="s">
        <v>113</v>
      </c>
      <c r="G7923" s="49" t="str">
        <f t="shared" si="1"/>
        <v>60640</v>
      </c>
      <c r="H7923" s="49">
        <f t="shared" si="2"/>
        <v>60255</v>
      </c>
    </row>
    <row r="7924">
      <c r="A7924" s="48" t="s">
        <v>5209</v>
      </c>
      <c r="B7924" s="38">
        <v>54510.0</v>
      </c>
      <c r="C7924" s="38" t="s">
        <v>11541</v>
      </c>
      <c r="D7924" s="38" t="str">
        <f>IFERROR(__xludf.DUMMYFUNCTION("REGEXREPLACE(C7924,""-\d+(.*)|--\d+(.*)"","""")"),"SORNEVILLE")</f>
        <v>SORNEVILLE</v>
      </c>
      <c r="E7924" s="38" t="s">
        <v>548</v>
      </c>
      <c r="F7924" s="38" t="s">
        <v>195</v>
      </c>
      <c r="G7924" s="49" t="str">
        <f t="shared" si="1"/>
        <v>54280</v>
      </c>
      <c r="H7924" s="49">
        <f t="shared" si="2"/>
        <v>54510</v>
      </c>
    </row>
    <row r="7925">
      <c r="A7925" s="48" t="s">
        <v>7225</v>
      </c>
      <c r="B7925" s="38">
        <v>5093.0</v>
      </c>
      <c r="C7925" s="38" t="s">
        <v>11542</v>
      </c>
      <c r="D7925" s="38" t="str">
        <f>IFERROR(__xludf.DUMMYFUNCTION("REGEXREPLACE(C7925,""-\d+(.*)|--\d+(.*)"","""")"),"NEVACHE")</f>
        <v>NEVACHE</v>
      </c>
      <c r="E7925" s="38" t="s">
        <v>706</v>
      </c>
      <c r="F7925" s="38" t="s">
        <v>228</v>
      </c>
      <c r="G7925" s="49" t="str">
        <f t="shared" si="1"/>
        <v>05100</v>
      </c>
      <c r="H7925" s="49" t="str">
        <f t="shared" si="2"/>
        <v>05093</v>
      </c>
    </row>
    <row r="7926">
      <c r="A7926" s="48" t="s">
        <v>6492</v>
      </c>
      <c r="B7926" s="38">
        <v>5102.0</v>
      </c>
      <c r="C7926" s="38" t="s">
        <v>11543</v>
      </c>
      <c r="D7926" s="38" t="str">
        <f>IFERROR(__xludf.DUMMYFUNCTION("REGEXREPLACE(C7926,""-\d+(.*)|--\d+(.*)"","""")"),"LA PIARRE")</f>
        <v>LA PIARRE</v>
      </c>
      <c r="E7926" s="38" t="s">
        <v>706</v>
      </c>
      <c r="F7926" s="38" t="s">
        <v>228</v>
      </c>
      <c r="G7926" s="49" t="str">
        <f t="shared" si="1"/>
        <v>05700</v>
      </c>
      <c r="H7926" s="49" t="str">
        <f t="shared" si="2"/>
        <v>05102</v>
      </c>
    </row>
    <row r="7927">
      <c r="A7927" s="48" t="s">
        <v>7786</v>
      </c>
      <c r="B7927" s="38">
        <v>8267.0</v>
      </c>
      <c r="C7927" s="38" t="s">
        <v>11544</v>
      </c>
      <c r="D7927" s="38" t="str">
        <f>IFERROR(__xludf.DUMMYFUNCTION("REGEXREPLACE(C7927,""-\d+(.*)|--\d+(.*)"","""")"),"MAIRY")</f>
        <v>MAIRY</v>
      </c>
      <c r="E7927" s="38" t="s">
        <v>327</v>
      </c>
      <c r="F7927" s="38" t="s">
        <v>130</v>
      </c>
      <c r="G7927" s="49" t="str">
        <f t="shared" si="1"/>
        <v>08140</v>
      </c>
      <c r="H7927" s="49" t="str">
        <f t="shared" si="2"/>
        <v>08267</v>
      </c>
    </row>
    <row r="7928">
      <c r="A7928" s="48" t="s">
        <v>3789</v>
      </c>
      <c r="B7928" s="38">
        <v>51576.0</v>
      </c>
      <c r="C7928" s="38" t="s">
        <v>11545</v>
      </c>
      <c r="D7928" s="38" t="str">
        <f>IFERROR(__xludf.DUMMYFUNCTION("REGEXREPLACE(C7928,""-\d+(.*)|--\d+(.*)"","""")"),"TOURS-SUR-MARNE")</f>
        <v>TOURS-SUR-MARNE</v>
      </c>
      <c r="E7928" s="38" t="s">
        <v>129</v>
      </c>
      <c r="F7928" s="38" t="s">
        <v>130</v>
      </c>
      <c r="G7928" s="49" t="str">
        <f t="shared" si="1"/>
        <v>51150</v>
      </c>
      <c r="H7928" s="49">
        <f t="shared" si="2"/>
        <v>51576</v>
      </c>
    </row>
    <row r="7929">
      <c r="A7929" s="48" t="s">
        <v>10299</v>
      </c>
      <c r="B7929" s="38">
        <v>67135.0</v>
      </c>
      <c r="C7929" s="38" t="s">
        <v>11546</v>
      </c>
      <c r="D7929" s="38" t="str">
        <f>IFERROR(__xludf.DUMMYFUNCTION("REGEXREPLACE(C7929,""-\d+(.*)|--\d+(.*)"","""")"),"ETTENDORF")</f>
        <v>ETTENDORF</v>
      </c>
      <c r="E7929" s="38" t="s">
        <v>210</v>
      </c>
      <c r="F7929" s="38" t="s">
        <v>151</v>
      </c>
      <c r="G7929" s="49" t="str">
        <f t="shared" si="1"/>
        <v>67350</v>
      </c>
      <c r="H7929" s="49">
        <f t="shared" si="2"/>
        <v>67135</v>
      </c>
    </row>
    <row r="7930">
      <c r="A7930" s="48" t="s">
        <v>1364</v>
      </c>
      <c r="B7930" s="38">
        <v>64536.0</v>
      </c>
      <c r="C7930" s="38" t="s">
        <v>11547</v>
      </c>
      <c r="D7930" s="38" t="str">
        <f>IFERROR(__xludf.DUMMYFUNCTION("REGEXREPLACE(C7930,""-\d+(.*)|--\d+(.*)"","""")"),"THEZE")</f>
        <v>THEZE</v>
      </c>
      <c r="E7930" s="38" t="s">
        <v>268</v>
      </c>
      <c r="F7930" s="38" t="s">
        <v>252</v>
      </c>
      <c r="G7930" s="49" t="str">
        <f t="shared" si="1"/>
        <v>64450</v>
      </c>
      <c r="H7930" s="49">
        <f t="shared" si="2"/>
        <v>64536</v>
      </c>
    </row>
    <row r="7931">
      <c r="A7931" s="48" t="s">
        <v>3341</v>
      </c>
      <c r="B7931" s="38">
        <v>25263.0</v>
      </c>
      <c r="C7931" s="38" t="s">
        <v>11548</v>
      </c>
      <c r="D7931" s="38" t="str">
        <f>IFERROR(__xludf.DUMMYFUNCTION("REGEXREPLACE(C7931,""-\d+(.*)|--\d+(.*)"","""")"),"GELLIN")</f>
        <v>GELLIN</v>
      </c>
      <c r="E7931" s="38" t="s">
        <v>213</v>
      </c>
      <c r="F7931" s="38" t="s">
        <v>214</v>
      </c>
      <c r="G7931" s="49" t="str">
        <f t="shared" si="1"/>
        <v>25240</v>
      </c>
      <c r="H7931" s="49">
        <f t="shared" si="2"/>
        <v>25263</v>
      </c>
    </row>
    <row r="7932">
      <c r="A7932" s="48" t="s">
        <v>8845</v>
      </c>
      <c r="B7932" s="38">
        <v>8404.0</v>
      </c>
      <c r="C7932" s="38" t="s">
        <v>11549</v>
      </c>
      <c r="D7932" s="38" t="str">
        <f>IFERROR(__xludf.DUMMYFUNCTION("REGEXREPLACE(C7932,""-\d+(.*)|--\d+(.*)"","""")"),"SAULT-SAINT-REMY")</f>
        <v>SAULT-SAINT-REMY</v>
      </c>
      <c r="E7932" s="38" t="s">
        <v>327</v>
      </c>
      <c r="F7932" s="38" t="s">
        <v>130</v>
      </c>
      <c r="G7932" s="49" t="str">
        <f t="shared" si="1"/>
        <v>08190</v>
      </c>
      <c r="H7932" s="49" t="str">
        <f t="shared" si="2"/>
        <v>08404</v>
      </c>
    </row>
    <row r="7933">
      <c r="A7933" s="48" t="s">
        <v>11550</v>
      </c>
      <c r="B7933" s="38">
        <v>68154.0</v>
      </c>
      <c r="C7933" s="38" t="s">
        <v>11551</v>
      </c>
      <c r="D7933" s="38" t="str">
        <f>IFERROR(__xludf.DUMMYFUNCTION("REGEXREPLACE(C7933,""-\d+(.*)|--\d+(.*)"","""")"),"ILLZACH")</f>
        <v>ILLZACH</v>
      </c>
      <c r="E7933" s="38" t="s">
        <v>150</v>
      </c>
      <c r="F7933" s="38" t="s">
        <v>151</v>
      </c>
      <c r="G7933" s="49" t="str">
        <f t="shared" si="1"/>
        <v>68110</v>
      </c>
      <c r="H7933" s="49">
        <f t="shared" si="2"/>
        <v>68154</v>
      </c>
    </row>
    <row r="7934">
      <c r="A7934" s="48" t="s">
        <v>6186</v>
      </c>
      <c r="B7934" s="38">
        <v>68015.0</v>
      </c>
      <c r="C7934" s="38" t="s">
        <v>11552</v>
      </c>
      <c r="D7934" s="38" t="str">
        <f>IFERROR(__xludf.DUMMYFUNCTION("REGEXREPLACE(C7934,""-\d+(.*)|--\d+(.*)"","""")"),"BALDERSHEIM")</f>
        <v>BALDERSHEIM</v>
      </c>
      <c r="E7934" s="38" t="s">
        <v>150</v>
      </c>
      <c r="F7934" s="38" t="s">
        <v>151</v>
      </c>
      <c r="G7934" s="49" t="str">
        <f t="shared" si="1"/>
        <v>68390</v>
      </c>
      <c r="H7934" s="49">
        <f t="shared" si="2"/>
        <v>68015</v>
      </c>
    </row>
    <row r="7935">
      <c r="A7935" s="48" t="s">
        <v>1874</v>
      </c>
      <c r="B7935" s="38">
        <v>73183.0</v>
      </c>
      <c r="C7935" s="38" t="s">
        <v>11553</v>
      </c>
      <c r="D7935" s="38" t="str">
        <f>IFERROR(__xludf.DUMMYFUNCTION("REGEXREPLACE(C7935,""-\d+(.*)|--\d+(.*)"","""")"),"MYANS")</f>
        <v>MYANS</v>
      </c>
      <c r="E7935" s="38" t="s">
        <v>306</v>
      </c>
      <c r="F7935" s="38" t="s">
        <v>102</v>
      </c>
      <c r="G7935" s="49" t="str">
        <f t="shared" si="1"/>
        <v>73800</v>
      </c>
      <c r="H7935" s="49">
        <f t="shared" si="2"/>
        <v>73183</v>
      </c>
    </row>
    <row r="7936">
      <c r="A7936" s="48" t="s">
        <v>10627</v>
      </c>
      <c r="B7936" s="38">
        <v>83100.0</v>
      </c>
      <c r="C7936" s="38" t="s">
        <v>11554</v>
      </c>
      <c r="D7936" s="38" t="str">
        <f>IFERROR(__xludf.DUMMYFUNCTION("REGEXREPLACE(C7936,""-\d+(.*)|--\d+(.*)"","""")"),"PUGET-VILLE")</f>
        <v>PUGET-VILLE</v>
      </c>
      <c r="E7936" s="38" t="s">
        <v>813</v>
      </c>
      <c r="F7936" s="38" t="s">
        <v>228</v>
      </c>
      <c r="G7936" s="49" t="str">
        <f t="shared" si="1"/>
        <v>83390</v>
      </c>
      <c r="H7936" s="49">
        <f t="shared" si="2"/>
        <v>83100</v>
      </c>
    </row>
    <row r="7937">
      <c r="A7937" s="48" t="s">
        <v>3693</v>
      </c>
      <c r="B7937" s="38">
        <v>24232.0</v>
      </c>
      <c r="C7937" s="38" t="s">
        <v>10805</v>
      </c>
      <c r="D7937" s="38" t="str">
        <f>IFERROR(__xludf.DUMMYFUNCTION("REGEXREPLACE(C7937,""-\d+(.*)|--\d+(.*)"","""")"),"LAVAUR")</f>
        <v>LAVAUR</v>
      </c>
      <c r="E7937" s="38" t="s">
        <v>261</v>
      </c>
      <c r="F7937" s="38" t="s">
        <v>252</v>
      </c>
      <c r="G7937" s="49" t="str">
        <f t="shared" si="1"/>
        <v>24550</v>
      </c>
      <c r="H7937" s="49">
        <f t="shared" si="2"/>
        <v>24232</v>
      </c>
    </row>
    <row r="7938">
      <c r="A7938" s="48" t="s">
        <v>11555</v>
      </c>
      <c r="B7938" s="38">
        <v>6083.0</v>
      </c>
      <c r="C7938" s="38" t="s">
        <v>11556</v>
      </c>
      <c r="D7938" s="38" t="str">
        <f>IFERROR(__xludf.DUMMYFUNCTION("REGEXREPLACE(C7938,""-\d+(.*)|--\d+(.*)"","""")"),"MENTON")</f>
        <v>MENTON</v>
      </c>
      <c r="E7938" s="38" t="s">
        <v>227</v>
      </c>
      <c r="F7938" s="38" t="s">
        <v>228</v>
      </c>
      <c r="G7938" s="49" t="str">
        <f t="shared" si="1"/>
        <v>06500</v>
      </c>
      <c r="H7938" s="49" t="str">
        <f t="shared" si="2"/>
        <v>06083</v>
      </c>
    </row>
    <row r="7939">
      <c r="A7939" s="48" t="s">
        <v>1792</v>
      </c>
      <c r="B7939" s="38">
        <v>1233.0</v>
      </c>
      <c r="C7939" s="38" t="s">
        <v>11557</v>
      </c>
      <c r="D7939" s="38" t="str">
        <f>IFERROR(__xludf.DUMMYFUNCTION("REGEXREPLACE(C7939,""-\d+(.*)|--\d+(.*)"","""")"),"MARCHAMP")</f>
        <v>MARCHAMP</v>
      </c>
      <c r="E7939" s="38" t="s">
        <v>255</v>
      </c>
      <c r="F7939" s="38" t="s">
        <v>102</v>
      </c>
      <c r="G7939" s="49" t="str">
        <f t="shared" si="1"/>
        <v>01680</v>
      </c>
      <c r="H7939" s="49" t="str">
        <f t="shared" si="2"/>
        <v>01233</v>
      </c>
    </row>
    <row r="7940">
      <c r="A7940" s="48" t="s">
        <v>789</v>
      </c>
      <c r="B7940" s="38">
        <v>10143.0</v>
      </c>
      <c r="C7940" s="38" t="s">
        <v>11558</v>
      </c>
      <c r="D7940" s="38" t="str">
        <f>IFERROR(__xludf.DUMMYFUNCTION("REGEXREPLACE(C7940,""-\d+(.*)|--\d+(.*)"","""")"),"ETOURVY")</f>
        <v>ETOURVY</v>
      </c>
      <c r="E7940" s="38" t="s">
        <v>147</v>
      </c>
      <c r="F7940" s="38" t="s">
        <v>130</v>
      </c>
      <c r="G7940" s="49" t="str">
        <f t="shared" si="1"/>
        <v>10210</v>
      </c>
      <c r="H7940" s="49">
        <f t="shared" si="2"/>
        <v>10143</v>
      </c>
    </row>
    <row r="7941">
      <c r="A7941" s="48" t="s">
        <v>3637</v>
      </c>
      <c r="B7941" s="38">
        <v>63195.0</v>
      </c>
      <c r="C7941" s="38" t="s">
        <v>11559</v>
      </c>
      <c r="D7941" s="38" t="str">
        <f>IFERROR(__xludf.DUMMYFUNCTION("REGEXREPLACE(C7941,""-\d+(.*)|--\d+(.*)"","""")"),"LEZOUX")</f>
        <v>LEZOUX</v>
      </c>
      <c r="E7941" s="38" t="s">
        <v>353</v>
      </c>
      <c r="F7941" s="38" t="s">
        <v>161</v>
      </c>
      <c r="G7941" s="49" t="str">
        <f t="shared" si="1"/>
        <v>63190</v>
      </c>
      <c r="H7941" s="49">
        <f t="shared" si="2"/>
        <v>63195</v>
      </c>
    </row>
    <row r="7942">
      <c r="A7942" s="48" t="s">
        <v>8120</v>
      </c>
      <c r="B7942" s="38">
        <v>61127.0</v>
      </c>
      <c r="C7942" s="38" t="s">
        <v>11560</v>
      </c>
      <c r="D7942" s="38" t="str">
        <f>IFERROR(__xludf.DUMMYFUNCTION("REGEXREPLACE(C7942,""-\d+(.*)|--\d+(.*)"","""")"),"LA COURBE")</f>
        <v>LA COURBE</v>
      </c>
      <c r="E7942" s="38" t="s">
        <v>141</v>
      </c>
      <c r="F7942" s="38" t="s">
        <v>138</v>
      </c>
      <c r="G7942" s="49" t="str">
        <f t="shared" si="1"/>
        <v>61150</v>
      </c>
      <c r="H7942" s="49">
        <f t="shared" si="2"/>
        <v>61127</v>
      </c>
    </row>
    <row r="7943">
      <c r="A7943" s="48" t="s">
        <v>11561</v>
      </c>
      <c r="B7943" s="38">
        <v>35081.0</v>
      </c>
      <c r="C7943" s="38" t="s">
        <v>11562</v>
      </c>
      <c r="D7943" s="38" t="str">
        <f>IFERROR(__xludf.DUMMYFUNCTION("REGEXREPLACE(C7943,""-\d+(.*)|--\d+(.*)"","""")"),"CLAYES")</f>
        <v>CLAYES</v>
      </c>
      <c r="E7943" s="38" t="s">
        <v>347</v>
      </c>
      <c r="F7943" s="38" t="s">
        <v>90</v>
      </c>
      <c r="G7943" s="49" t="str">
        <f t="shared" si="1"/>
        <v>35590</v>
      </c>
      <c r="H7943" s="49">
        <f t="shared" si="2"/>
        <v>35081</v>
      </c>
    </row>
    <row r="7944">
      <c r="A7944" s="48" t="s">
        <v>5894</v>
      </c>
      <c r="B7944" s="38">
        <v>69020.0</v>
      </c>
      <c r="C7944" s="38" t="s">
        <v>11563</v>
      </c>
      <c r="D7944" s="38" t="str">
        <f>IFERROR(__xludf.DUMMYFUNCTION("REGEXREPLACE(C7944,""-\d+(.*)|--\d+(.*)"","""")"),"BELMONT-D'AZERGUES")</f>
        <v>BELMONT-D'AZERGUES</v>
      </c>
      <c r="E7944" s="38" t="s">
        <v>350</v>
      </c>
      <c r="F7944" s="38" t="s">
        <v>102</v>
      </c>
      <c r="G7944" s="49" t="str">
        <f t="shared" si="1"/>
        <v>69380</v>
      </c>
      <c r="H7944" s="49">
        <f t="shared" si="2"/>
        <v>69020</v>
      </c>
    </row>
    <row r="7945">
      <c r="A7945" s="48" t="s">
        <v>571</v>
      </c>
      <c r="B7945" s="38">
        <v>55037.0</v>
      </c>
      <c r="C7945" s="38" t="s">
        <v>11564</v>
      </c>
      <c r="D7945" s="38" t="str">
        <f>IFERROR(__xludf.DUMMYFUNCTION("REGEXREPLACE(C7945,""-\d+(.*)|--\d+(.*)"","""")"),"BEAUFORT-EN-ARGONNE")</f>
        <v>BEAUFORT-EN-ARGONNE</v>
      </c>
      <c r="E7945" s="38" t="s">
        <v>322</v>
      </c>
      <c r="F7945" s="38" t="s">
        <v>195</v>
      </c>
      <c r="G7945" s="49" t="str">
        <f t="shared" si="1"/>
        <v>55700</v>
      </c>
      <c r="H7945" s="49">
        <f t="shared" si="2"/>
        <v>55037</v>
      </c>
    </row>
    <row r="7946">
      <c r="A7946" s="48" t="s">
        <v>11565</v>
      </c>
      <c r="B7946" s="38">
        <v>62656.0</v>
      </c>
      <c r="C7946" s="38" t="s">
        <v>11566</v>
      </c>
      <c r="D7946" s="38" t="str">
        <f>IFERROR(__xludf.DUMMYFUNCTION("REGEXREPLACE(C7946,""-\d+(.*)|--\d+(.*)"","""")"),"PIHEM")</f>
        <v>PIHEM</v>
      </c>
      <c r="E7946" s="38" t="s">
        <v>109</v>
      </c>
      <c r="F7946" s="38" t="s">
        <v>86</v>
      </c>
      <c r="G7946" s="49" t="str">
        <f t="shared" si="1"/>
        <v>62570</v>
      </c>
      <c r="H7946" s="49">
        <f t="shared" si="2"/>
        <v>62656</v>
      </c>
    </row>
    <row r="7947">
      <c r="A7947" s="48" t="s">
        <v>1222</v>
      </c>
      <c r="B7947" s="38">
        <v>47043.0</v>
      </c>
      <c r="C7947" s="38" t="s">
        <v>11567</v>
      </c>
      <c r="D7947" s="38" t="str">
        <f>IFERROR(__xludf.DUMMYFUNCTION("REGEXREPLACE(C7947,""-\d+(.*)|--\d+(.*)"","""")"),"BUZET-SUR-BAISE")</f>
        <v>BUZET-SUR-BAISE</v>
      </c>
      <c r="E7947" s="38" t="s">
        <v>251</v>
      </c>
      <c r="F7947" s="38" t="s">
        <v>252</v>
      </c>
      <c r="G7947" s="49" t="str">
        <f t="shared" si="1"/>
        <v>47160</v>
      </c>
      <c r="H7947" s="49">
        <f t="shared" si="2"/>
        <v>47043</v>
      </c>
    </row>
    <row r="7948">
      <c r="A7948" s="48" t="s">
        <v>1949</v>
      </c>
      <c r="B7948" s="38">
        <v>32002.0</v>
      </c>
      <c r="C7948" s="38" t="s">
        <v>11568</v>
      </c>
      <c r="D7948" s="38" t="str">
        <f>IFERROR(__xludf.DUMMYFUNCTION("REGEXREPLACE(C7948,""-\d+(.*)|--\d+(.*)"","""")"),"ANSAN")</f>
        <v>ANSAN</v>
      </c>
      <c r="E7948" s="38" t="s">
        <v>440</v>
      </c>
      <c r="F7948" s="38" t="s">
        <v>94</v>
      </c>
      <c r="G7948" s="49" t="str">
        <f t="shared" si="1"/>
        <v>32270</v>
      </c>
      <c r="H7948" s="49">
        <f t="shared" si="2"/>
        <v>32002</v>
      </c>
    </row>
    <row r="7949">
      <c r="A7949" s="48" t="s">
        <v>1540</v>
      </c>
      <c r="B7949" s="38">
        <v>70388.0</v>
      </c>
      <c r="C7949" s="38" t="s">
        <v>11569</v>
      </c>
      <c r="D7949" s="38" t="str">
        <f>IFERROR(__xludf.DUMMYFUNCTION("REGEXREPLACE(C7949,""-\d+(.*)|--\d+(.*)"","""")"),"NOIDANS-LES-VESOUL")</f>
        <v>NOIDANS-LES-VESOUL</v>
      </c>
      <c r="E7949" s="38" t="s">
        <v>956</v>
      </c>
      <c r="F7949" s="38" t="s">
        <v>214</v>
      </c>
      <c r="G7949" s="49" t="str">
        <f t="shared" si="1"/>
        <v>70000</v>
      </c>
      <c r="H7949" s="49">
        <f t="shared" si="2"/>
        <v>70388</v>
      </c>
    </row>
    <row r="7950">
      <c r="A7950" s="48" t="s">
        <v>239</v>
      </c>
      <c r="B7950" s="38">
        <v>27576.0</v>
      </c>
      <c r="C7950" s="38" t="s">
        <v>11570</v>
      </c>
      <c r="D7950" s="38" t="str">
        <f>IFERROR(__xludf.DUMMYFUNCTION("REGEXREPLACE(C7950,""-\d+(.*)|--\d+(.*)"","""")"),"SAINTE-OPPORTUNE-DU-BOSC")</f>
        <v>SAINTE-OPPORTUNE-DU-BOSC</v>
      </c>
      <c r="E7950" s="38" t="s">
        <v>241</v>
      </c>
      <c r="F7950" s="38" t="s">
        <v>134</v>
      </c>
      <c r="G7950" s="49" t="str">
        <f t="shared" si="1"/>
        <v>27110</v>
      </c>
      <c r="H7950" s="49">
        <f t="shared" si="2"/>
        <v>27576</v>
      </c>
    </row>
    <row r="7951">
      <c r="A7951" s="48" t="s">
        <v>11571</v>
      </c>
      <c r="B7951" s="38">
        <v>60086.0</v>
      </c>
      <c r="C7951" s="38" t="s">
        <v>11572</v>
      </c>
      <c r="D7951" s="38" t="str">
        <f>IFERROR(__xludf.DUMMYFUNCTION("REGEXREPLACE(C7951,""-\d+(.*)|--\d+(.*)"","""")"),"BORAN-SUR-OISE")</f>
        <v>BORAN-SUR-OISE</v>
      </c>
      <c r="E7951" s="38" t="s">
        <v>112</v>
      </c>
      <c r="F7951" s="38" t="s">
        <v>113</v>
      </c>
      <c r="G7951" s="49" t="str">
        <f t="shared" si="1"/>
        <v>60820</v>
      </c>
      <c r="H7951" s="49">
        <f t="shared" si="2"/>
        <v>60086</v>
      </c>
    </row>
    <row r="7952">
      <c r="A7952" s="48" t="s">
        <v>11573</v>
      </c>
      <c r="B7952" s="38">
        <v>73225.0</v>
      </c>
      <c r="C7952" s="38" t="s">
        <v>11574</v>
      </c>
      <c r="D7952" s="38" t="str">
        <f>IFERROR(__xludf.DUMMYFUNCTION("REGEXREPLACE(C7952,""-\d+(.*)|--\d+(.*)"","""")"),"SAINT-BALDOPH")</f>
        <v>SAINT-BALDOPH</v>
      </c>
      <c r="E7952" s="38" t="s">
        <v>306</v>
      </c>
      <c r="F7952" s="38" t="s">
        <v>102</v>
      </c>
      <c r="G7952" s="49" t="str">
        <f t="shared" si="1"/>
        <v>73190</v>
      </c>
      <c r="H7952" s="49">
        <f t="shared" si="2"/>
        <v>73225</v>
      </c>
    </row>
    <row r="7953">
      <c r="A7953" s="48" t="s">
        <v>11575</v>
      </c>
      <c r="B7953" s="38">
        <v>57013.0</v>
      </c>
      <c r="C7953" s="38" t="s">
        <v>11576</v>
      </c>
      <c r="D7953" s="38" t="str">
        <f>IFERROR(__xludf.DUMMYFUNCTION("REGEXREPLACE(C7953,""-\d+(.*)|--\d+(.*)"","""")"),"ALSTING")</f>
        <v>ALSTING</v>
      </c>
      <c r="E7953" s="38" t="s">
        <v>303</v>
      </c>
      <c r="F7953" s="38" t="s">
        <v>195</v>
      </c>
      <c r="G7953" s="49" t="str">
        <f t="shared" si="1"/>
        <v>57515</v>
      </c>
      <c r="H7953" s="49">
        <f t="shared" si="2"/>
        <v>57013</v>
      </c>
    </row>
    <row r="7954">
      <c r="A7954" s="48" t="s">
        <v>3346</v>
      </c>
      <c r="B7954" s="38">
        <v>65375.0</v>
      </c>
      <c r="C7954" s="38" t="s">
        <v>11577</v>
      </c>
      <c r="D7954" s="38" t="str">
        <f>IFERROR(__xludf.DUMMYFUNCTION("REGEXREPLACE(C7954,""-\d+(.*)|--\d+(.*)"","""")"),"RABASTENS-DE-BIGORRE")</f>
        <v>RABASTENS-DE-BIGORRE</v>
      </c>
      <c r="E7954" s="38" t="s">
        <v>200</v>
      </c>
      <c r="F7954" s="38" t="s">
        <v>94</v>
      </c>
      <c r="G7954" s="49" t="str">
        <f t="shared" si="1"/>
        <v>65140</v>
      </c>
      <c r="H7954" s="49">
        <f t="shared" si="2"/>
        <v>65375</v>
      </c>
    </row>
    <row r="7955">
      <c r="A7955" s="48" t="s">
        <v>2215</v>
      </c>
      <c r="B7955" s="38">
        <v>64490.0</v>
      </c>
      <c r="C7955" s="38" t="s">
        <v>11578</v>
      </c>
      <c r="D7955" s="38" t="str">
        <f>IFERROR(__xludf.DUMMYFUNCTION("REGEXREPLACE(C7955,""-\d+(.*)|--\d+(.*)"","""")"),"SAINT-MARTIN-D'ARROSSA")</f>
        <v>SAINT-MARTIN-D'ARROSSA</v>
      </c>
      <c r="E7955" s="38" t="s">
        <v>268</v>
      </c>
      <c r="F7955" s="38" t="s">
        <v>252</v>
      </c>
      <c r="G7955" s="49" t="str">
        <f t="shared" si="1"/>
        <v>64780</v>
      </c>
      <c r="H7955" s="49">
        <f t="shared" si="2"/>
        <v>64490</v>
      </c>
    </row>
    <row r="7956">
      <c r="A7956" s="48" t="s">
        <v>11579</v>
      </c>
      <c r="B7956" s="38">
        <v>57724.0</v>
      </c>
      <c r="C7956" s="38" t="s">
        <v>11580</v>
      </c>
      <c r="D7956" s="38" t="str">
        <f>IFERROR(__xludf.DUMMYFUNCTION("REGEXREPLACE(C7956,""-\d+(.*)|--\d+(.*)"","""")"),"VITRY-SUR-ORNE")</f>
        <v>VITRY-SUR-ORNE</v>
      </c>
      <c r="E7956" s="38" t="s">
        <v>303</v>
      </c>
      <c r="F7956" s="38" t="s">
        <v>195</v>
      </c>
      <c r="G7956" s="49" t="str">
        <f t="shared" si="1"/>
        <v>57185</v>
      </c>
      <c r="H7956" s="49">
        <f t="shared" si="2"/>
        <v>57724</v>
      </c>
    </row>
    <row r="7957">
      <c r="A7957" s="48" t="s">
        <v>1686</v>
      </c>
      <c r="B7957" s="38">
        <v>51063.0</v>
      </c>
      <c r="C7957" s="38" t="s">
        <v>11581</v>
      </c>
      <c r="D7957" s="38" t="str">
        <f>IFERROR(__xludf.DUMMYFUNCTION("REGEXREPLACE(C7957,""-\d+(.*)|--\d+(.*)"","""")"),"BINSON-ET-ORQUIGNY")</f>
        <v>BINSON-ET-ORQUIGNY</v>
      </c>
      <c r="E7957" s="38" t="s">
        <v>129</v>
      </c>
      <c r="F7957" s="38" t="s">
        <v>130</v>
      </c>
      <c r="G7957" s="49" t="str">
        <f t="shared" si="1"/>
        <v>51700</v>
      </c>
      <c r="H7957" s="49">
        <f t="shared" si="2"/>
        <v>51063</v>
      </c>
    </row>
    <row r="7958">
      <c r="A7958" s="48" t="s">
        <v>1887</v>
      </c>
      <c r="B7958" s="38">
        <v>88179.0</v>
      </c>
      <c r="C7958" s="38" t="s">
        <v>11582</v>
      </c>
      <c r="D7958" s="38" t="str">
        <f>IFERROR(__xludf.DUMMYFUNCTION("REGEXREPLACE(C7958,""-\d+(.*)|--\d+(.*)"","""")"),"FOUCHECOURT")</f>
        <v>FOUCHECOURT</v>
      </c>
      <c r="E7958" s="38" t="s">
        <v>194</v>
      </c>
      <c r="F7958" s="38" t="s">
        <v>195</v>
      </c>
      <c r="G7958" s="49" t="str">
        <f t="shared" si="1"/>
        <v>88320</v>
      </c>
      <c r="H7958" s="49">
        <f t="shared" si="2"/>
        <v>88179</v>
      </c>
    </row>
    <row r="7959">
      <c r="A7959" s="48" t="s">
        <v>1441</v>
      </c>
      <c r="B7959" s="38">
        <v>52116.0</v>
      </c>
      <c r="C7959" s="38" t="s">
        <v>11583</v>
      </c>
      <c r="D7959" s="38" t="str">
        <f>IFERROR(__xludf.DUMMYFUNCTION("REGEXREPLACE(C7959,""-\d+(.*)|--\d+(.*)"","""")"),"CHATENAY-VAUDIN")</f>
        <v>CHATENAY-VAUDIN</v>
      </c>
      <c r="E7959" s="38" t="s">
        <v>234</v>
      </c>
      <c r="F7959" s="38" t="s">
        <v>130</v>
      </c>
      <c r="G7959" s="49" t="str">
        <f t="shared" si="1"/>
        <v>52360</v>
      </c>
      <c r="H7959" s="49">
        <f t="shared" si="2"/>
        <v>52116</v>
      </c>
    </row>
    <row r="7960">
      <c r="A7960" s="48" t="s">
        <v>3214</v>
      </c>
      <c r="B7960" s="38">
        <v>36199.0</v>
      </c>
      <c r="C7960" s="38" t="s">
        <v>11584</v>
      </c>
      <c r="D7960" s="38" t="str">
        <f>IFERROR(__xludf.DUMMYFUNCTION("REGEXREPLACE(C7960,""-\d+(.*)|--\d+(.*)"","""")"),"SAINTE-LIZAIGNE")</f>
        <v>SAINTE-LIZAIGNE</v>
      </c>
      <c r="E7960" s="38" t="s">
        <v>258</v>
      </c>
      <c r="F7960" s="38" t="s">
        <v>123</v>
      </c>
      <c r="G7960" s="49" t="str">
        <f t="shared" si="1"/>
        <v>36260</v>
      </c>
      <c r="H7960" s="49">
        <f t="shared" si="2"/>
        <v>36199</v>
      </c>
    </row>
    <row r="7961">
      <c r="A7961" s="48" t="s">
        <v>5555</v>
      </c>
      <c r="B7961" s="38">
        <v>82103.0</v>
      </c>
      <c r="C7961" s="38" t="s">
        <v>11585</v>
      </c>
      <c r="D7961" s="38" t="str">
        <f>IFERROR(__xludf.DUMMYFUNCTION("REGEXREPLACE(C7961,""-\d+(.*)|--\d+(.*)"","""")"),"MARIGNAC")</f>
        <v>MARIGNAC</v>
      </c>
      <c r="E7961" s="38" t="s">
        <v>570</v>
      </c>
      <c r="F7961" s="38" t="s">
        <v>94</v>
      </c>
      <c r="G7961" s="49" t="str">
        <f t="shared" si="1"/>
        <v>82500</v>
      </c>
      <c r="H7961" s="49">
        <f t="shared" si="2"/>
        <v>82103</v>
      </c>
    </row>
    <row r="7962">
      <c r="A7962" s="48" t="s">
        <v>1636</v>
      </c>
      <c r="B7962" s="38">
        <v>14606.0</v>
      </c>
      <c r="C7962" s="38" t="s">
        <v>11586</v>
      </c>
      <c r="D7962" s="38" t="str">
        <f>IFERROR(__xludf.DUMMYFUNCTION("REGEXREPLACE(C7962,""-\d+(.*)|--\d+(.*)"","""")"),"SAINT-LEGER-DUBOSQ")</f>
        <v>SAINT-LEGER-DUBOSQ</v>
      </c>
      <c r="E7962" s="38" t="s">
        <v>137</v>
      </c>
      <c r="F7962" s="38" t="s">
        <v>138</v>
      </c>
      <c r="G7962" s="49" t="str">
        <f t="shared" si="1"/>
        <v>14430</v>
      </c>
      <c r="H7962" s="49">
        <f t="shared" si="2"/>
        <v>14606</v>
      </c>
    </row>
    <row r="7963">
      <c r="A7963" s="48" t="s">
        <v>9597</v>
      </c>
      <c r="B7963" s="38">
        <v>29168.0</v>
      </c>
      <c r="C7963" s="38" t="s">
        <v>11587</v>
      </c>
      <c r="D7963" s="38" t="str">
        <f>IFERROR(__xludf.DUMMYFUNCTION("REGEXREPLACE(C7963,""-\d+(.*)|--\d+(.*)"","""")"),"PLOGOFF")</f>
        <v>PLOGOFF</v>
      </c>
      <c r="E7963" s="38" t="s">
        <v>176</v>
      </c>
      <c r="F7963" s="38" t="s">
        <v>90</v>
      </c>
      <c r="G7963" s="49" t="str">
        <f t="shared" si="1"/>
        <v>29770</v>
      </c>
      <c r="H7963" s="49">
        <f t="shared" si="2"/>
        <v>29168</v>
      </c>
    </row>
    <row r="7964">
      <c r="A7964" s="48" t="s">
        <v>3364</v>
      </c>
      <c r="B7964" s="38">
        <v>62271.0</v>
      </c>
      <c r="C7964" s="38" t="s">
        <v>11588</v>
      </c>
      <c r="D7964" s="38" t="str">
        <f>IFERROR(__xludf.DUMMYFUNCTION("REGEXREPLACE(C7964,""-\d+(.*)|--\d+(.*)"","""")"),"DOHEM")</f>
        <v>DOHEM</v>
      </c>
      <c r="E7964" s="38" t="s">
        <v>109</v>
      </c>
      <c r="F7964" s="38" t="s">
        <v>86</v>
      </c>
      <c r="G7964" s="49" t="str">
        <f t="shared" si="1"/>
        <v>62380</v>
      </c>
      <c r="H7964" s="49">
        <f t="shared" si="2"/>
        <v>62271</v>
      </c>
    </row>
    <row r="7965">
      <c r="A7965" s="48" t="s">
        <v>8831</v>
      </c>
      <c r="B7965" s="38">
        <v>15151.0</v>
      </c>
      <c r="C7965" s="38" t="s">
        <v>11589</v>
      </c>
      <c r="D7965" s="38" t="str">
        <f>IFERROR(__xludf.DUMMYFUNCTION("REGEXREPLACE(C7965,""-\d+(.*)|--\d+(.*)"","""")"),"PEYRUSSE")</f>
        <v>PEYRUSSE</v>
      </c>
      <c r="E7965" s="38" t="s">
        <v>632</v>
      </c>
      <c r="F7965" s="38" t="s">
        <v>161</v>
      </c>
      <c r="G7965" s="49" t="str">
        <f t="shared" si="1"/>
        <v>15170</v>
      </c>
      <c r="H7965" s="49">
        <f t="shared" si="2"/>
        <v>15151</v>
      </c>
    </row>
    <row r="7966">
      <c r="A7966" s="48" t="s">
        <v>6626</v>
      </c>
      <c r="B7966" s="38">
        <v>58289.0</v>
      </c>
      <c r="C7966" s="38" t="s">
        <v>11590</v>
      </c>
      <c r="D7966" s="38" t="str">
        <f>IFERROR(__xludf.DUMMYFUNCTION("REGEXREPLACE(C7966,""-\d+(.*)|--\d+(.*)"","""")"),"TERNANT")</f>
        <v>TERNANT</v>
      </c>
      <c r="E7966" s="38" t="s">
        <v>219</v>
      </c>
      <c r="F7966" s="38" t="s">
        <v>106</v>
      </c>
      <c r="G7966" s="49" t="str">
        <f t="shared" si="1"/>
        <v>58250</v>
      </c>
      <c r="H7966" s="49">
        <f t="shared" si="2"/>
        <v>58289</v>
      </c>
    </row>
    <row r="7967">
      <c r="A7967" s="48" t="s">
        <v>1857</v>
      </c>
      <c r="B7967" s="38">
        <v>4199.0</v>
      </c>
      <c r="C7967" s="38" t="s">
        <v>11591</v>
      </c>
      <c r="D7967" s="38" t="str">
        <f>IFERROR(__xludf.DUMMYFUNCTION("REGEXREPLACE(C7967,""-\d+(.*)|--\d+(.*)"","""")"),"SAINT-VINCENT-SUR-JABRON")</f>
        <v>SAINT-VINCENT-SUR-JABRON</v>
      </c>
      <c r="E7967" s="38" t="s">
        <v>662</v>
      </c>
      <c r="F7967" s="38" t="s">
        <v>228</v>
      </c>
      <c r="G7967" s="49" t="str">
        <f t="shared" si="1"/>
        <v>04200</v>
      </c>
      <c r="H7967" s="49" t="str">
        <f t="shared" si="2"/>
        <v>04199</v>
      </c>
    </row>
    <row r="7968">
      <c r="A7968" s="48" t="s">
        <v>11592</v>
      </c>
      <c r="B7968" s="38">
        <v>68295.0</v>
      </c>
      <c r="C7968" s="38" t="s">
        <v>11593</v>
      </c>
      <c r="D7968" s="38" t="str">
        <f>IFERROR(__xludf.DUMMYFUNCTION("REGEXREPLACE(C7968,""-\d+(.*)|--\d+(.*)"","""")"),"SAINTE-CROIX-EN-PLAINE")</f>
        <v>SAINTE-CROIX-EN-PLAINE</v>
      </c>
      <c r="E7968" s="38" t="s">
        <v>150</v>
      </c>
      <c r="F7968" s="38" t="s">
        <v>151</v>
      </c>
      <c r="G7968" s="49" t="str">
        <f t="shared" si="1"/>
        <v>68127</v>
      </c>
      <c r="H7968" s="49">
        <f t="shared" si="2"/>
        <v>68295</v>
      </c>
    </row>
    <row r="7969">
      <c r="A7969" s="48" t="s">
        <v>5230</v>
      </c>
      <c r="B7969" s="38">
        <v>25093.0</v>
      </c>
      <c r="C7969" s="38" t="s">
        <v>11594</v>
      </c>
      <c r="D7969" s="38" t="str">
        <f>IFERROR(__xludf.DUMMYFUNCTION("REGEXREPLACE(C7969,""-\d+(.*)|--\d+(.*)"","""")"),"BRETIGNEY")</f>
        <v>BRETIGNEY</v>
      </c>
      <c r="E7969" s="38" t="s">
        <v>213</v>
      </c>
      <c r="F7969" s="38" t="s">
        <v>214</v>
      </c>
      <c r="G7969" s="49" t="str">
        <f t="shared" si="1"/>
        <v>25250</v>
      </c>
      <c r="H7969" s="49">
        <f t="shared" si="2"/>
        <v>25093</v>
      </c>
    </row>
    <row r="7970">
      <c r="A7970" s="48" t="s">
        <v>390</v>
      </c>
      <c r="B7970" s="38">
        <v>11344.0</v>
      </c>
      <c r="C7970" s="38" t="s">
        <v>3567</v>
      </c>
      <c r="D7970" s="38" t="str">
        <f>IFERROR(__xludf.DUMMYFUNCTION("REGEXREPLACE(C7970,""-\d+(.*)|--\d+(.*)"","""")"),"SAINT-HILAIRE")</f>
        <v>SAINT-HILAIRE</v>
      </c>
      <c r="E7970" s="38" t="s">
        <v>278</v>
      </c>
      <c r="F7970" s="38" t="s">
        <v>119</v>
      </c>
      <c r="G7970" s="49" t="str">
        <f t="shared" si="1"/>
        <v>11250</v>
      </c>
      <c r="H7970" s="49">
        <f t="shared" si="2"/>
        <v>11344</v>
      </c>
    </row>
    <row r="7971">
      <c r="A7971" s="48" t="s">
        <v>1018</v>
      </c>
      <c r="B7971" s="38">
        <v>60293.0</v>
      </c>
      <c r="C7971" s="38" t="s">
        <v>11595</v>
      </c>
      <c r="D7971" s="38" t="str">
        <f>IFERROR(__xludf.DUMMYFUNCTION("REGEXREPLACE(C7971,""-\d+(.*)|--\d+(.*)"","""")"),"HADANCOURT-LE-HAUT-CLOCHER")</f>
        <v>HADANCOURT-LE-HAUT-CLOCHER</v>
      </c>
      <c r="E7971" s="38" t="s">
        <v>112</v>
      </c>
      <c r="F7971" s="38" t="s">
        <v>113</v>
      </c>
      <c r="G7971" s="49" t="str">
        <f t="shared" si="1"/>
        <v>60240</v>
      </c>
      <c r="H7971" s="49">
        <f t="shared" si="2"/>
        <v>60293</v>
      </c>
    </row>
    <row r="7972">
      <c r="A7972" s="48" t="s">
        <v>1812</v>
      </c>
      <c r="B7972" s="38">
        <v>51093.0</v>
      </c>
      <c r="C7972" s="38" t="s">
        <v>11596</v>
      </c>
      <c r="D7972" s="38" t="str">
        <f>IFERROR(__xludf.DUMMYFUNCTION("REGEXREPLACE(C7972,""-\d+(.*)|--\d+(.*)"","""")"),"BRUGNY-VAUDANCOURT")</f>
        <v>BRUGNY-VAUDANCOURT</v>
      </c>
      <c r="E7972" s="38" t="s">
        <v>129</v>
      </c>
      <c r="F7972" s="38" t="s">
        <v>130</v>
      </c>
      <c r="G7972" s="49" t="str">
        <f t="shared" si="1"/>
        <v>51530</v>
      </c>
      <c r="H7972" s="49">
        <f t="shared" si="2"/>
        <v>51093</v>
      </c>
    </row>
    <row r="7973">
      <c r="A7973" s="48" t="s">
        <v>5325</v>
      </c>
      <c r="B7973" s="38">
        <v>60437.0</v>
      </c>
      <c r="C7973" s="38" t="s">
        <v>11597</v>
      </c>
      <c r="D7973" s="38" t="str">
        <f>IFERROR(__xludf.DUMMYFUNCTION("REGEXREPLACE(C7973,""-\d+(.*)|--\d+(.*)"","""")"),"MOUCHY-LE-CHATEL")</f>
        <v>MOUCHY-LE-CHATEL</v>
      </c>
      <c r="E7973" s="38" t="s">
        <v>112</v>
      </c>
      <c r="F7973" s="38" t="s">
        <v>113</v>
      </c>
      <c r="G7973" s="49" t="str">
        <f t="shared" si="1"/>
        <v>60250</v>
      </c>
      <c r="H7973" s="49">
        <f t="shared" si="2"/>
        <v>60437</v>
      </c>
    </row>
    <row r="7974">
      <c r="A7974" s="48" t="s">
        <v>4650</v>
      </c>
      <c r="B7974" s="38">
        <v>47063.0</v>
      </c>
      <c r="C7974" s="38" t="s">
        <v>11598</v>
      </c>
      <c r="D7974" s="38" t="str">
        <f>IFERROR(__xludf.DUMMYFUNCTION("REGEXREPLACE(C7974,""-\d+(.*)|--\d+(.*)"","""")"),"CAVARC")</f>
        <v>CAVARC</v>
      </c>
      <c r="E7974" s="38" t="s">
        <v>251</v>
      </c>
      <c r="F7974" s="38" t="s">
        <v>252</v>
      </c>
      <c r="G7974" s="49" t="str">
        <f t="shared" si="1"/>
        <v>47330</v>
      </c>
      <c r="H7974" s="49">
        <f t="shared" si="2"/>
        <v>47063</v>
      </c>
    </row>
    <row r="7975">
      <c r="A7975" s="48" t="s">
        <v>4125</v>
      </c>
      <c r="B7975" s="38">
        <v>19217.0</v>
      </c>
      <c r="C7975" s="38" t="s">
        <v>11599</v>
      </c>
      <c r="D7975" s="38" t="str">
        <f>IFERROR(__xludf.DUMMYFUNCTION("REGEXREPLACE(C7975,""-\d+(.*)|--\d+(.*)"","""")"),"SAINT-JULIEN-MAUMONT")</f>
        <v>SAINT-JULIEN-MAUMONT</v>
      </c>
      <c r="E7975" s="38" t="s">
        <v>271</v>
      </c>
      <c r="F7975" s="38" t="s">
        <v>98</v>
      </c>
      <c r="G7975" s="49" t="str">
        <f t="shared" si="1"/>
        <v>19500</v>
      </c>
      <c r="H7975" s="49">
        <f t="shared" si="2"/>
        <v>19217</v>
      </c>
    </row>
    <row r="7976">
      <c r="A7976" s="48" t="s">
        <v>11600</v>
      </c>
      <c r="B7976" s="38">
        <v>14341.0</v>
      </c>
      <c r="C7976" s="38" t="s">
        <v>11601</v>
      </c>
      <c r="D7976" s="38" t="str">
        <f>IFERROR(__xludf.DUMMYFUNCTION("REGEXREPLACE(C7976,""-\d+(.*)|--\d+(.*)"","""")"),"IFS")</f>
        <v>IFS</v>
      </c>
      <c r="E7976" s="38" t="s">
        <v>137</v>
      </c>
      <c r="F7976" s="38" t="s">
        <v>138</v>
      </c>
      <c r="G7976" s="49" t="str">
        <f t="shared" si="1"/>
        <v>14123</v>
      </c>
      <c r="H7976" s="49">
        <f t="shared" si="2"/>
        <v>14341</v>
      </c>
    </row>
    <row r="7977">
      <c r="A7977" s="48" t="s">
        <v>11602</v>
      </c>
      <c r="B7977" s="38">
        <v>5091.0</v>
      </c>
      <c r="C7977" s="38" t="s">
        <v>11603</v>
      </c>
      <c r="D7977" s="38" t="str">
        <f>IFERROR(__xludf.DUMMYFUNCTION("REGEXREPLACE(C7977,""-\d+(.*)|--\d+(.*)"","""")"),"MOYDANS")</f>
        <v>MOYDANS</v>
      </c>
      <c r="E7977" s="38" t="s">
        <v>706</v>
      </c>
      <c r="F7977" s="38" t="s">
        <v>228</v>
      </c>
      <c r="G7977" s="49" t="str">
        <f t="shared" si="1"/>
        <v>05150</v>
      </c>
      <c r="H7977" s="49" t="str">
        <f t="shared" si="2"/>
        <v>05091</v>
      </c>
    </row>
    <row r="7978">
      <c r="A7978" s="48" t="s">
        <v>2530</v>
      </c>
      <c r="B7978" s="38">
        <v>79353.0</v>
      </c>
      <c r="C7978" s="38" t="s">
        <v>11604</v>
      </c>
      <c r="D7978" s="38" t="str">
        <f>IFERROR(__xludf.DUMMYFUNCTION("REGEXREPLACE(C7978,""-\d+(.*)|--\d+(.*)"","""")"),"VITRE")</f>
        <v>VITRE</v>
      </c>
      <c r="E7978" s="38" t="s">
        <v>337</v>
      </c>
      <c r="F7978" s="38" t="s">
        <v>338</v>
      </c>
      <c r="G7978" s="49" t="str">
        <f t="shared" si="1"/>
        <v>79370</v>
      </c>
      <c r="H7978" s="49">
        <f t="shared" si="2"/>
        <v>79353</v>
      </c>
    </row>
    <row r="7979">
      <c r="A7979" s="48" t="s">
        <v>1332</v>
      </c>
      <c r="B7979" s="38">
        <v>51498.0</v>
      </c>
      <c r="C7979" s="38" t="s">
        <v>11605</v>
      </c>
      <c r="D7979" s="38" t="str">
        <f>IFERROR(__xludf.DUMMYFUNCTION("REGEXREPLACE(C7979,""-\d+(.*)|--\d+(.*)"","""")"),"SAINT-MARD-SUR-AUVE")</f>
        <v>SAINT-MARD-SUR-AUVE</v>
      </c>
      <c r="E7979" s="38" t="s">
        <v>129</v>
      </c>
      <c r="F7979" s="38" t="s">
        <v>130</v>
      </c>
      <c r="G7979" s="49" t="str">
        <f t="shared" si="1"/>
        <v>51800</v>
      </c>
      <c r="H7979" s="49">
        <f t="shared" si="2"/>
        <v>51498</v>
      </c>
    </row>
    <row r="7980">
      <c r="A7980" s="48" t="s">
        <v>3311</v>
      </c>
      <c r="B7980" s="38">
        <v>19054.0</v>
      </c>
      <c r="C7980" s="38" t="s">
        <v>11606</v>
      </c>
      <c r="D7980" s="38" t="str">
        <f>IFERROR(__xludf.DUMMYFUNCTION("REGEXREPLACE(C7980,""-\d+(.*)|--\d+(.*)"","""")"),"CHENAILLER-MASCHEIX")</f>
        <v>CHENAILLER-MASCHEIX</v>
      </c>
      <c r="E7980" s="38" t="s">
        <v>271</v>
      </c>
      <c r="F7980" s="38" t="s">
        <v>98</v>
      </c>
      <c r="G7980" s="49" t="str">
        <f t="shared" si="1"/>
        <v>19120</v>
      </c>
      <c r="H7980" s="49">
        <f t="shared" si="2"/>
        <v>19054</v>
      </c>
    </row>
    <row r="7981">
      <c r="A7981" s="48" t="s">
        <v>5612</v>
      </c>
      <c r="B7981" s="38">
        <v>52312.0</v>
      </c>
      <c r="C7981" s="38" t="s">
        <v>11607</v>
      </c>
      <c r="D7981" s="38" t="str">
        <f>IFERROR(__xludf.DUMMYFUNCTION("REGEXREPLACE(C7981,""-\d+(.*)|--\d+(.*)"","""")"),"MARDOR")</f>
        <v>MARDOR</v>
      </c>
      <c r="E7981" s="38" t="s">
        <v>234</v>
      </c>
      <c r="F7981" s="38" t="s">
        <v>130</v>
      </c>
      <c r="G7981" s="49" t="str">
        <f t="shared" si="1"/>
        <v>52200</v>
      </c>
      <c r="H7981" s="49">
        <f t="shared" si="2"/>
        <v>52312</v>
      </c>
    </row>
    <row r="7982">
      <c r="A7982" s="48" t="s">
        <v>6256</v>
      </c>
      <c r="B7982" s="38">
        <v>55024.0</v>
      </c>
      <c r="C7982" s="38" t="s">
        <v>11608</v>
      </c>
      <c r="D7982" s="38" t="str">
        <f>IFERROR(__xludf.DUMMYFUNCTION("REGEXREPLACE(C7982,""-\d+(.*)|--\d+(.*)"","""")"),"AZANNES-ET-SOUMAZANNES")</f>
        <v>AZANNES-ET-SOUMAZANNES</v>
      </c>
      <c r="E7982" s="38" t="s">
        <v>322</v>
      </c>
      <c r="F7982" s="38" t="s">
        <v>195</v>
      </c>
      <c r="G7982" s="49" t="str">
        <f t="shared" si="1"/>
        <v>55150</v>
      </c>
      <c r="H7982" s="49">
        <f t="shared" si="2"/>
        <v>55024</v>
      </c>
    </row>
    <row r="7983">
      <c r="A7983" s="48" t="s">
        <v>1932</v>
      </c>
      <c r="B7983" s="38">
        <v>70178.0</v>
      </c>
      <c r="C7983" s="38" t="s">
        <v>11609</v>
      </c>
      <c r="D7983" s="38" t="str">
        <f>IFERROR(__xludf.DUMMYFUNCTION("REGEXREPLACE(C7983,""-\d+(.*)|--\d+(.*)"","""")"),"LA COTE")</f>
        <v>LA COTE</v>
      </c>
      <c r="E7983" s="38" t="s">
        <v>956</v>
      </c>
      <c r="F7983" s="38" t="s">
        <v>214</v>
      </c>
      <c r="G7983" s="49" t="str">
        <f t="shared" si="1"/>
        <v>70200</v>
      </c>
      <c r="H7983" s="49">
        <f t="shared" si="2"/>
        <v>70178</v>
      </c>
    </row>
    <row r="7984">
      <c r="A7984" s="48" t="s">
        <v>10017</v>
      </c>
      <c r="B7984" s="38">
        <v>14685.0</v>
      </c>
      <c r="C7984" s="38" t="s">
        <v>11610</v>
      </c>
      <c r="D7984" s="38" t="str">
        <f>IFERROR(__xludf.DUMMYFUNCTION("REGEXREPLACE(C7984,""-\d+(.*)|--\d+(.*)"","""")"),"THAON")</f>
        <v>THAON</v>
      </c>
      <c r="E7984" s="38" t="s">
        <v>137</v>
      </c>
      <c r="F7984" s="38" t="s">
        <v>138</v>
      </c>
      <c r="G7984" s="49" t="str">
        <f t="shared" si="1"/>
        <v>14610</v>
      </c>
      <c r="H7984" s="49">
        <f t="shared" si="2"/>
        <v>14685</v>
      </c>
    </row>
    <row r="7985">
      <c r="A7985" s="48" t="s">
        <v>516</v>
      </c>
      <c r="B7985" s="38">
        <v>53083.0</v>
      </c>
      <c r="C7985" s="38" t="s">
        <v>11611</v>
      </c>
      <c r="D7985" s="38" t="str">
        <f>IFERROR(__xludf.DUMMYFUNCTION("REGEXREPLACE(C7985,""-\d+(.*)|--\d+(.*)"","""")"),"COURCITE")</f>
        <v>COURCITE</v>
      </c>
      <c r="E7985" s="38" t="s">
        <v>518</v>
      </c>
      <c r="F7985" s="38" t="s">
        <v>180</v>
      </c>
      <c r="G7985" s="49" t="str">
        <f t="shared" si="1"/>
        <v>53700</v>
      </c>
      <c r="H7985" s="49">
        <f t="shared" si="2"/>
        <v>53083</v>
      </c>
    </row>
    <row r="7986">
      <c r="A7986" s="48" t="s">
        <v>5463</v>
      </c>
      <c r="B7986" s="38">
        <v>26200.0</v>
      </c>
      <c r="C7986" s="38" t="s">
        <v>11612</v>
      </c>
      <c r="D7986" s="38" t="str">
        <f>IFERROR(__xludf.DUMMYFUNCTION("REGEXREPLACE(C7986,""-\d+(.*)|--\d+(.*)"","""")"),"MONTFROC")</f>
        <v>MONTFROC</v>
      </c>
      <c r="E7986" s="38" t="s">
        <v>126</v>
      </c>
      <c r="F7986" s="38" t="s">
        <v>102</v>
      </c>
      <c r="G7986" s="49" t="str">
        <f t="shared" si="1"/>
        <v>26560</v>
      </c>
      <c r="H7986" s="49">
        <f t="shared" si="2"/>
        <v>26200</v>
      </c>
    </row>
    <row r="7987">
      <c r="A7987" s="48" t="s">
        <v>816</v>
      </c>
      <c r="B7987" s="38">
        <v>11097.0</v>
      </c>
      <c r="C7987" s="38" t="s">
        <v>11613</v>
      </c>
      <c r="D7987" s="38" t="str">
        <f>IFERROR(__xludf.DUMMYFUNCTION("REGEXREPLACE(C7987,""-\d+(.*)|--\d+(.*)"","""")"),"CONILHAC-DE-LA-MONTAGNE")</f>
        <v>CONILHAC-DE-LA-MONTAGNE</v>
      </c>
      <c r="E7987" s="38" t="s">
        <v>278</v>
      </c>
      <c r="F7987" s="38" t="s">
        <v>119</v>
      </c>
      <c r="G7987" s="49" t="str">
        <f t="shared" si="1"/>
        <v>11190</v>
      </c>
      <c r="H7987" s="49">
        <f t="shared" si="2"/>
        <v>11097</v>
      </c>
    </row>
    <row r="7988">
      <c r="A7988" s="48" t="s">
        <v>1887</v>
      </c>
      <c r="B7988" s="38">
        <v>88248.0</v>
      </c>
      <c r="C7988" s="38" t="s">
        <v>11614</v>
      </c>
      <c r="D7988" s="38" t="str">
        <f>IFERROR(__xludf.DUMMYFUNCTION("REGEXREPLACE(C7988,""-\d+(.*)|--\d+(.*)"","""")"),"ISCHES")</f>
        <v>ISCHES</v>
      </c>
      <c r="E7988" s="38" t="s">
        <v>194</v>
      </c>
      <c r="F7988" s="38" t="s">
        <v>195</v>
      </c>
      <c r="G7988" s="49" t="str">
        <f t="shared" si="1"/>
        <v>88320</v>
      </c>
      <c r="H7988" s="49">
        <f t="shared" si="2"/>
        <v>88248</v>
      </c>
    </row>
    <row r="7989">
      <c r="A7989" s="48" t="s">
        <v>2071</v>
      </c>
      <c r="B7989" s="38">
        <v>58038.0</v>
      </c>
      <c r="C7989" s="38" t="s">
        <v>11615</v>
      </c>
      <c r="D7989" s="38" t="str">
        <f>IFERROR(__xludf.DUMMYFUNCTION("REGEXREPLACE(C7989,""-\d+(.*)|--\d+(.*)"","""")"),"BREUGNON")</f>
        <v>BREUGNON</v>
      </c>
      <c r="E7989" s="38" t="s">
        <v>219</v>
      </c>
      <c r="F7989" s="38" t="s">
        <v>106</v>
      </c>
      <c r="G7989" s="49" t="str">
        <f t="shared" si="1"/>
        <v>58460</v>
      </c>
      <c r="H7989" s="49">
        <f t="shared" si="2"/>
        <v>58038</v>
      </c>
    </row>
    <row r="7990">
      <c r="A7990" s="48" t="s">
        <v>1471</v>
      </c>
      <c r="B7990" s="38">
        <v>3032.0</v>
      </c>
      <c r="C7990" s="38" t="s">
        <v>11616</v>
      </c>
      <c r="D7990" s="38" t="str">
        <f>IFERROR(__xludf.DUMMYFUNCTION("REGEXREPLACE(C7990,""-\d+(.*)|--\d+(.*)"","""")"),"BLOMARD")</f>
        <v>BLOMARD</v>
      </c>
      <c r="E7990" s="38" t="s">
        <v>160</v>
      </c>
      <c r="F7990" s="38" t="s">
        <v>161</v>
      </c>
      <c r="G7990" s="49" t="str">
        <f t="shared" si="1"/>
        <v>03390</v>
      </c>
      <c r="H7990" s="49" t="str">
        <f t="shared" si="2"/>
        <v>03032</v>
      </c>
    </row>
    <row r="7991">
      <c r="A7991" s="48" t="s">
        <v>4002</v>
      </c>
      <c r="B7991" s="38">
        <v>51025.0</v>
      </c>
      <c r="C7991" s="38" t="s">
        <v>11617</v>
      </c>
      <c r="D7991" s="38" t="str">
        <f>IFERROR(__xludf.DUMMYFUNCTION("REGEXREPLACE(C7991,""-\d+(.*)|--\d+(.*)"","""")"),"AUMENANCOURT")</f>
        <v>AUMENANCOURT</v>
      </c>
      <c r="E7991" s="38" t="s">
        <v>129</v>
      </c>
      <c r="F7991" s="38" t="s">
        <v>130</v>
      </c>
      <c r="G7991" s="49" t="str">
        <f t="shared" si="1"/>
        <v>51110</v>
      </c>
      <c r="H7991" s="49">
        <f t="shared" si="2"/>
        <v>51025</v>
      </c>
    </row>
    <row r="7992">
      <c r="A7992" s="48" t="s">
        <v>1628</v>
      </c>
      <c r="B7992" s="38">
        <v>70091.0</v>
      </c>
      <c r="C7992" s="38" t="s">
        <v>11618</v>
      </c>
      <c r="D7992" s="38" t="str">
        <f>IFERROR(__xludf.DUMMYFUNCTION("REGEXREPLACE(C7992,""-\d+(.*)|--\d+(.*)"","""")"),"BOUSSERAUCOURT")</f>
        <v>BOUSSERAUCOURT</v>
      </c>
      <c r="E7992" s="38" t="s">
        <v>956</v>
      </c>
      <c r="F7992" s="38" t="s">
        <v>214</v>
      </c>
      <c r="G7992" s="49" t="str">
        <f t="shared" si="1"/>
        <v>70500</v>
      </c>
      <c r="H7992" s="49">
        <f t="shared" si="2"/>
        <v>70091</v>
      </c>
    </row>
    <row r="7993">
      <c r="A7993" s="48" t="s">
        <v>2508</v>
      </c>
      <c r="B7993" s="38">
        <v>1434.0</v>
      </c>
      <c r="C7993" s="38" t="s">
        <v>11619</v>
      </c>
      <c r="D7993" s="38" t="str">
        <f>IFERROR(__xludf.DUMMYFUNCTION("REGEXREPLACE(C7993,""-\d+(.*)|--\d+(.*)"","""")"),"VERSAILLEUX")</f>
        <v>VERSAILLEUX</v>
      </c>
      <c r="E7993" s="38" t="s">
        <v>255</v>
      </c>
      <c r="F7993" s="38" t="s">
        <v>102</v>
      </c>
      <c r="G7993" s="49" t="str">
        <f t="shared" si="1"/>
        <v>01330</v>
      </c>
      <c r="H7993" s="49" t="str">
        <f t="shared" si="2"/>
        <v>01434</v>
      </c>
    </row>
    <row r="7994">
      <c r="A7994" s="48" t="s">
        <v>1812</v>
      </c>
      <c r="B7994" s="38">
        <v>51384.0</v>
      </c>
      <c r="C7994" s="38" t="s">
        <v>11018</v>
      </c>
      <c r="D7994" s="38" t="str">
        <f>IFERROR(__xludf.DUMMYFUNCTION("REGEXREPLACE(C7994,""-\d+(.*)|--\d+(.*)"","""")"),"MORANGIS")</f>
        <v>MORANGIS</v>
      </c>
      <c r="E7994" s="38" t="s">
        <v>129</v>
      </c>
      <c r="F7994" s="38" t="s">
        <v>130</v>
      </c>
      <c r="G7994" s="49" t="str">
        <f t="shared" si="1"/>
        <v>51530</v>
      </c>
      <c r="H7994" s="49">
        <f t="shared" si="2"/>
        <v>51384</v>
      </c>
    </row>
    <row r="7995">
      <c r="A7995" s="48" t="s">
        <v>6504</v>
      </c>
      <c r="B7995" s="38">
        <v>24113.0</v>
      </c>
      <c r="C7995" s="38" t="s">
        <v>11620</v>
      </c>
      <c r="D7995" s="38" t="str">
        <f>IFERROR(__xludf.DUMMYFUNCTION("REGEXREPLACE(C7995,""-\d+(.*)|--\d+(.*)"","""")"),"LA CHAPELLE-SAINT-JEAN")</f>
        <v>LA CHAPELLE-SAINT-JEAN</v>
      </c>
      <c r="E7995" s="38" t="s">
        <v>261</v>
      </c>
      <c r="F7995" s="38" t="s">
        <v>252</v>
      </c>
      <c r="G7995" s="49" t="str">
        <f t="shared" si="1"/>
        <v>24390</v>
      </c>
      <c r="H7995" s="49">
        <f t="shared" si="2"/>
        <v>24113</v>
      </c>
    </row>
    <row r="7996">
      <c r="A7996" s="48" t="s">
        <v>3603</v>
      </c>
      <c r="B7996" s="38">
        <v>24501.0</v>
      </c>
      <c r="C7996" s="38" t="s">
        <v>11621</v>
      </c>
      <c r="D7996" s="38" t="str">
        <f>IFERROR(__xludf.DUMMYFUNCTION("REGEXREPLACE(C7996,""-\d+(.*)|--\d+(.*)"","""")"),"SAINT-SEURIN-DE-PRATS")</f>
        <v>SAINT-SEURIN-DE-PRATS</v>
      </c>
      <c r="E7996" s="38" t="s">
        <v>261</v>
      </c>
      <c r="F7996" s="38" t="s">
        <v>252</v>
      </c>
      <c r="G7996" s="49" t="str">
        <f t="shared" si="1"/>
        <v>24230</v>
      </c>
      <c r="H7996" s="49">
        <f t="shared" si="2"/>
        <v>24501</v>
      </c>
    </row>
    <row r="7997">
      <c r="A7997" s="48" t="s">
        <v>618</v>
      </c>
      <c r="B7997" s="38">
        <v>54494.0</v>
      </c>
      <c r="C7997" s="38" t="s">
        <v>11622</v>
      </c>
      <c r="D7997" s="38" t="str">
        <f>IFERROR(__xludf.DUMMYFUNCTION("REGEXREPLACE(C7997,""-\d+(.*)|--\d+(.*)"","""")"),"SAULXEROTTE")</f>
        <v>SAULXEROTTE</v>
      </c>
      <c r="E7997" s="38" t="s">
        <v>548</v>
      </c>
      <c r="F7997" s="38" t="s">
        <v>195</v>
      </c>
      <c r="G7997" s="49" t="str">
        <f t="shared" si="1"/>
        <v>54115</v>
      </c>
      <c r="H7997" s="49">
        <f t="shared" si="2"/>
        <v>54494</v>
      </c>
    </row>
    <row r="7998">
      <c r="A7998" s="48" t="s">
        <v>2384</v>
      </c>
      <c r="B7998" s="38">
        <v>21561.0</v>
      </c>
      <c r="C7998" s="38" t="s">
        <v>11377</v>
      </c>
      <c r="D7998" s="38" t="str">
        <f>IFERROR(__xludf.DUMMYFUNCTION("REGEXREPLACE(C7998,""-\d+(.*)|--\d+(.*)"","""")"),"SAINT-MARTIN-DU-MONT")</f>
        <v>SAINT-MARTIN-DU-MONT</v>
      </c>
      <c r="E7998" s="38" t="s">
        <v>105</v>
      </c>
      <c r="F7998" s="38" t="s">
        <v>106</v>
      </c>
      <c r="G7998" s="49" t="str">
        <f t="shared" si="1"/>
        <v>21440</v>
      </c>
      <c r="H7998" s="49">
        <f t="shared" si="2"/>
        <v>21561</v>
      </c>
    </row>
    <row r="7999">
      <c r="A7999" s="48" t="s">
        <v>11623</v>
      </c>
      <c r="B7999" s="38">
        <v>66182.0</v>
      </c>
      <c r="C7999" s="38" t="s">
        <v>7412</v>
      </c>
      <c r="D7999" s="38" t="str">
        <f>IFERROR(__xludf.DUMMYFUNCTION("REGEXREPLACE(C7999,""-\d+(.*)|--\d+(.*)"","""")"),"SAINTE-MARIE")</f>
        <v>SAINTE-MARIE</v>
      </c>
      <c r="E7999" s="38" t="s">
        <v>248</v>
      </c>
      <c r="F7999" s="38" t="s">
        <v>119</v>
      </c>
      <c r="G7999" s="49" t="str">
        <f t="shared" si="1"/>
        <v>66470</v>
      </c>
      <c r="H7999" s="49">
        <f t="shared" si="2"/>
        <v>66182</v>
      </c>
    </row>
    <row r="8000">
      <c r="A8000" s="48" t="s">
        <v>11624</v>
      </c>
      <c r="B8000" s="38">
        <v>77436.0</v>
      </c>
      <c r="C8000" s="38" t="s">
        <v>4376</v>
      </c>
      <c r="D8000" s="38" t="str">
        <f>IFERROR(__xludf.DUMMYFUNCTION("REGEXREPLACE(C8000,""-\d+(.*)|--\d+(.*)"","""")"),"SAINT-SIMEON")</f>
        <v>SAINT-SIMEON</v>
      </c>
      <c r="E8000" s="38" t="s">
        <v>244</v>
      </c>
      <c r="F8000" s="38" t="s">
        <v>245</v>
      </c>
      <c r="G8000" s="49" t="str">
        <f t="shared" si="1"/>
        <v>77169</v>
      </c>
      <c r="H8000" s="49">
        <f t="shared" si="2"/>
        <v>77436</v>
      </c>
    </row>
    <row r="8001">
      <c r="A8001" s="48" t="s">
        <v>11625</v>
      </c>
      <c r="B8001" s="38">
        <v>54533.0</v>
      </c>
      <c r="C8001" s="38" t="s">
        <v>11626</v>
      </c>
      <c r="D8001" s="38" t="str">
        <f>IFERROR(__xludf.DUMMYFUNCTION("REGEXREPLACE(C8001,""-\d+(.*)|--\d+(.*)"","""")"),"TRIEUX")</f>
        <v>TRIEUX</v>
      </c>
      <c r="E8001" s="38" t="s">
        <v>548</v>
      </c>
      <c r="F8001" s="38" t="s">
        <v>195</v>
      </c>
      <c r="G8001" s="49" t="str">
        <f t="shared" si="1"/>
        <v>54750</v>
      </c>
      <c r="H8001" s="49">
        <f t="shared" si="2"/>
        <v>54533</v>
      </c>
    </row>
    <row r="8002">
      <c r="A8002" s="48" t="s">
        <v>5485</v>
      </c>
      <c r="B8002" s="38">
        <v>27537.0</v>
      </c>
      <c r="C8002" s="38" t="s">
        <v>11627</v>
      </c>
      <c r="D8002" s="38" t="str">
        <f>IFERROR(__xludf.DUMMYFUNCTION("REGEXREPLACE(C8002,""-\d+(.*)|--\d+(.*)"","""")"),"SAINT-ETIENNE-DU-VAUVRAY")</f>
        <v>SAINT-ETIENNE-DU-VAUVRAY</v>
      </c>
      <c r="E8002" s="38" t="s">
        <v>241</v>
      </c>
      <c r="F8002" s="38" t="s">
        <v>134</v>
      </c>
      <c r="G8002" s="49" t="str">
        <f t="shared" si="1"/>
        <v>27430</v>
      </c>
      <c r="H8002" s="49">
        <f t="shared" si="2"/>
        <v>27537</v>
      </c>
    </row>
    <row r="8003">
      <c r="A8003" s="48" t="s">
        <v>1212</v>
      </c>
      <c r="B8003" s="38">
        <v>11132.0</v>
      </c>
      <c r="C8003" s="38" t="s">
        <v>11628</v>
      </c>
      <c r="D8003" s="38" t="str">
        <f>IFERROR(__xludf.DUMMYFUNCTION("REGEXREPLACE(C8003,""-\d+(.*)|--\d+(.*)"","""")"),"FABREZAN")</f>
        <v>FABREZAN</v>
      </c>
      <c r="E8003" s="38" t="s">
        <v>278</v>
      </c>
      <c r="F8003" s="38" t="s">
        <v>119</v>
      </c>
      <c r="G8003" s="49" t="str">
        <f t="shared" si="1"/>
        <v>11200</v>
      </c>
      <c r="H8003" s="49">
        <f t="shared" si="2"/>
        <v>11132</v>
      </c>
    </row>
    <row r="8004">
      <c r="A8004" s="48" t="s">
        <v>1989</v>
      </c>
      <c r="B8004" s="38">
        <v>60158.0</v>
      </c>
      <c r="C8004" s="38" t="s">
        <v>11629</v>
      </c>
      <c r="D8004" s="38" t="str">
        <f>IFERROR(__xludf.DUMMYFUNCTION("REGEXREPLACE(C8004,""-\d+(.*)|--\d+(.*)"","""")"),"COIVREL")</f>
        <v>COIVREL</v>
      </c>
      <c r="E8004" s="38" t="s">
        <v>112</v>
      </c>
      <c r="F8004" s="38" t="s">
        <v>113</v>
      </c>
      <c r="G8004" s="49" t="str">
        <f t="shared" si="1"/>
        <v>60420</v>
      </c>
      <c r="H8004" s="49">
        <f t="shared" si="2"/>
        <v>60158</v>
      </c>
    </row>
    <row r="8005">
      <c r="A8005" s="48" t="s">
        <v>8865</v>
      </c>
      <c r="B8005" s="38">
        <v>42224.0</v>
      </c>
      <c r="C8005" s="38" t="s">
        <v>11630</v>
      </c>
      <c r="D8005" s="38" t="str">
        <f>IFERROR(__xludf.DUMMYFUNCTION("REGEXREPLACE(C8005,""-\d+(.*)|--\d+(.*)"","""")"),"SAINT-GENEST-MALIFAUX")</f>
        <v>SAINT-GENEST-MALIFAUX</v>
      </c>
      <c r="E8005" s="38" t="s">
        <v>166</v>
      </c>
      <c r="F8005" s="38" t="s">
        <v>102</v>
      </c>
      <c r="G8005" s="49" t="str">
        <f t="shared" si="1"/>
        <v>42660</v>
      </c>
      <c r="H8005" s="49">
        <f t="shared" si="2"/>
        <v>42224</v>
      </c>
    </row>
    <row r="8006">
      <c r="A8006" s="48" t="s">
        <v>4328</v>
      </c>
      <c r="B8006" s="38">
        <v>70104.0</v>
      </c>
      <c r="C8006" s="38" t="s">
        <v>11631</v>
      </c>
      <c r="D8006" s="38" t="str">
        <f>IFERROR(__xludf.DUMMYFUNCTION("REGEXREPLACE(C8006,""-\d+(.*)|--\d+(.*)"","""")"),"BUCEY-LES-GY")</f>
        <v>BUCEY-LES-GY</v>
      </c>
      <c r="E8006" s="38" t="s">
        <v>956</v>
      </c>
      <c r="F8006" s="38" t="s">
        <v>214</v>
      </c>
      <c r="G8006" s="49" t="str">
        <f t="shared" si="1"/>
        <v>70700</v>
      </c>
      <c r="H8006" s="49">
        <f t="shared" si="2"/>
        <v>70104</v>
      </c>
    </row>
    <row r="8007">
      <c r="A8007" s="48" t="s">
        <v>8969</v>
      </c>
      <c r="B8007" s="38">
        <v>19215.0</v>
      </c>
      <c r="C8007" s="38" t="s">
        <v>11632</v>
      </c>
      <c r="D8007" s="38" t="str">
        <f>IFERROR(__xludf.DUMMYFUNCTION("REGEXREPLACE(C8007,""-\d+(.*)|--\d+(.*)"","""")"),"SAINT-JULIEN-LE-PELERIN")</f>
        <v>SAINT-JULIEN-LE-PELERIN</v>
      </c>
      <c r="E8007" s="38" t="s">
        <v>271</v>
      </c>
      <c r="F8007" s="38" t="s">
        <v>98</v>
      </c>
      <c r="G8007" s="49" t="str">
        <f t="shared" si="1"/>
        <v>19430</v>
      </c>
      <c r="H8007" s="49">
        <f t="shared" si="2"/>
        <v>19215</v>
      </c>
    </row>
    <row r="8008">
      <c r="A8008" s="48" t="s">
        <v>3036</v>
      </c>
      <c r="B8008" s="38">
        <v>61490.0</v>
      </c>
      <c r="C8008" s="38" t="s">
        <v>11633</v>
      </c>
      <c r="D8008" s="38" t="str">
        <f>IFERROR(__xludf.DUMMYFUNCTION("REGEXREPLACE(C8008,""-\d+(.*)|--\d+(.*)"","""")"),"TOURNAI-SUR-DIVE")</f>
        <v>TOURNAI-SUR-DIVE</v>
      </c>
      <c r="E8008" s="38" t="s">
        <v>141</v>
      </c>
      <c r="F8008" s="38" t="s">
        <v>138</v>
      </c>
      <c r="G8008" s="49" t="str">
        <f t="shared" si="1"/>
        <v>61160</v>
      </c>
      <c r="H8008" s="49">
        <f t="shared" si="2"/>
        <v>61490</v>
      </c>
    </row>
    <row r="8009">
      <c r="A8009" s="48" t="s">
        <v>5016</v>
      </c>
      <c r="B8009" s="38">
        <v>34178.0</v>
      </c>
      <c r="C8009" s="38" t="s">
        <v>11634</v>
      </c>
      <c r="D8009" s="38" t="str">
        <f>IFERROR(__xludf.DUMMYFUNCTION("REGEXREPLACE(C8009,""-\d+(.*)|--\d+(.*)"","""")"),"MURVIEL-LES-BEZIERS")</f>
        <v>MURVIEL-LES-BEZIERS</v>
      </c>
      <c r="E8009" s="38" t="s">
        <v>118</v>
      </c>
      <c r="F8009" s="38" t="s">
        <v>119</v>
      </c>
      <c r="G8009" s="49" t="str">
        <f t="shared" si="1"/>
        <v>34490</v>
      </c>
      <c r="H8009" s="49">
        <f t="shared" si="2"/>
        <v>34178</v>
      </c>
    </row>
    <row r="8010">
      <c r="A8010" s="48" t="s">
        <v>2605</v>
      </c>
      <c r="B8010" s="38">
        <v>39530.0</v>
      </c>
      <c r="C8010" s="38" t="s">
        <v>11635</v>
      </c>
      <c r="D8010" s="38" t="str">
        <f>IFERROR(__xludf.DUMMYFUNCTION("REGEXREPLACE(C8010,""-\d+(.*)|--\d+(.*)"","""")"),"THOIRETTE")</f>
        <v>THOIRETTE</v>
      </c>
      <c r="E8010" s="38" t="s">
        <v>400</v>
      </c>
      <c r="F8010" s="38" t="s">
        <v>214</v>
      </c>
      <c r="G8010" s="49" t="str">
        <f t="shared" si="1"/>
        <v>39240</v>
      </c>
      <c r="H8010" s="49">
        <f t="shared" si="2"/>
        <v>39530</v>
      </c>
    </row>
    <row r="8011">
      <c r="A8011" s="48" t="s">
        <v>3404</v>
      </c>
      <c r="B8011" s="38">
        <v>39309.0</v>
      </c>
      <c r="C8011" s="38" t="s">
        <v>11636</v>
      </c>
      <c r="D8011" s="38" t="str">
        <f>IFERROR(__xludf.DUMMYFUNCTION("REGEXREPLACE(C8011,""-\d+(.*)|--\d+(.*)"","""")"),"MALLEREY")</f>
        <v>MALLEREY</v>
      </c>
      <c r="E8011" s="38" t="s">
        <v>400</v>
      </c>
      <c r="F8011" s="38" t="s">
        <v>214</v>
      </c>
      <c r="G8011" s="49" t="str">
        <f t="shared" si="1"/>
        <v>39190</v>
      </c>
      <c r="H8011" s="49">
        <f t="shared" si="2"/>
        <v>39309</v>
      </c>
    </row>
    <row r="8012">
      <c r="A8012" s="48" t="s">
        <v>2611</v>
      </c>
      <c r="B8012" s="38">
        <v>40115.0</v>
      </c>
      <c r="C8012" s="38" t="s">
        <v>11637</v>
      </c>
      <c r="D8012" s="38" t="str">
        <f>IFERROR(__xludf.DUMMYFUNCTION("REGEXREPLACE(C8012,""-\d+(.*)|--\d+(.*)"","""")"),"GOUSSE")</f>
        <v>GOUSSE</v>
      </c>
      <c r="E8012" s="38" t="s">
        <v>281</v>
      </c>
      <c r="F8012" s="38" t="s">
        <v>252</v>
      </c>
      <c r="G8012" s="49" t="str">
        <f t="shared" si="1"/>
        <v>40465</v>
      </c>
      <c r="H8012" s="49">
        <f t="shared" si="2"/>
        <v>40115</v>
      </c>
    </row>
    <row r="8013">
      <c r="A8013" s="48" t="s">
        <v>2530</v>
      </c>
      <c r="B8013" s="38">
        <v>79030.0</v>
      </c>
      <c r="C8013" s="38" t="s">
        <v>11638</v>
      </c>
      <c r="D8013" s="38" t="str">
        <f>IFERROR(__xludf.DUMMYFUNCTION("REGEXREPLACE(C8013,""-\d+(.*)|--\d+(.*)"","""")"),"BEAUSSAIS")</f>
        <v>BEAUSSAIS</v>
      </c>
      <c r="E8013" s="38" t="s">
        <v>337</v>
      </c>
      <c r="F8013" s="38" t="s">
        <v>338</v>
      </c>
      <c r="G8013" s="49" t="str">
        <f t="shared" si="1"/>
        <v>79370</v>
      </c>
      <c r="H8013" s="49">
        <f t="shared" si="2"/>
        <v>79030</v>
      </c>
    </row>
    <row r="8014">
      <c r="A8014" s="48" t="s">
        <v>11639</v>
      </c>
      <c r="B8014" s="38">
        <v>59585.0</v>
      </c>
      <c r="C8014" s="38" t="s">
        <v>11640</v>
      </c>
      <c r="D8014" s="38" t="str">
        <f>IFERROR(__xludf.DUMMYFUNCTION("REGEXREPLACE(C8014,""-\d+(.*)|--\d+(.*)"","""")"),"TEMPLEMARS")</f>
        <v>TEMPLEMARS</v>
      </c>
      <c r="E8014" s="38" t="s">
        <v>85</v>
      </c>
      <c r="F8014" s="38" t="s">
        <v>86</v>
      </c>
      <c r="G8014" s="49" t="str">
        <f t="shared" si="1"/>
        <v>59175</v>
      </c>
      <c r="H8014" s="49">
        <f t="shared" si="2"/>
        <v>59585</v>
      </c>
    </row>
    <row r="8015">
      <c r="A8015" s="48" t="s">
        <v>11641</v>
      </c>
      <c r="B8015" s="38">
        <v>60139.0</v>
      </c>
      <c r="C8015" s="38" t="s">
        <v>11642</v>
      </c>
      <c r="D8015" s="38" t="str">
        <f>IFERROR(__xludf.DUMMYFUNCTION("REGEXREPLACE(C8015,""-\d+(.*)|--\d+(.*)"","""")"),"CHAMBLY")</f>
        <v>CHAMBLY</v>
      </c>
      <c r="E8015" s="38" t="s">
        <v>112</v>
      </c>
      <c r="F8015" s="38" t="s">
        <v>113</v>
      </c>
      <c r="G8015" s="49" t="str">
        <f t="shared" si="1"/>
        <v>60230</v>
      </c>
      <c r="H8015" s="49">
        <f t="shared" si="2"/>
        <v>60139</v>
      </c>
    </row>
    <row r="8016">
      <c r="A8016" s="48" t="s">
        <v>2061</v>
      </c>
      <c r="B8016" s="38">
        <v>21144.0</v>
      </c>
      <c r="C8016" s="38" t="s">
        <v>11643</v>
      </c>
      <c r="D8016" s="38" t="str">
        <f>IFERROR(__xludf.DUMMYFUNCTION("REGEXREPLACE(C8016,""-\d+(.*)|--\d+(.*)"","""")"),"CHARENCEY")</f>
        <v>CHARENCEY</v>
      </c>
      <c r="E8016" s="38" t="s">
        <v>105</v>
      </c>
      <c r="F8016" s="38" t="s">
        <v>106</v>
      </c>
      <c r="G8016" s="49" t="str">
        <f t="shared" si="1"/>
        <v>21690</v>
      </c>
      <c r="H8016" s="49">
        <f t="shared" si="2"/>
        <v>21144</v>
      </c>
    </row>
    <row r="8017">
      <c r="A8017" s="48" t="s">
        <v>6868</v>
      </c>
      <c r="B8017" s="38" t="s">
        <v>11644</v>
      </c>
      <c r="C8017" s="38" t="s">
        <v>11645</v>
      </c>
      <c r="D8017" s="38" t="str">
        <f>IFERROR(__xludf.DUMMYFUNCTION("REGEXREPLACE(C8017,""-\d+(.*)|--\d+(.*)"","""")"),"PIETROSO")</f>
        <v>PIETROSO</v>
      </c>
      <c r="E8017" s="38" t="s">
        <v>743</v>
      </c>
      <c r="F8017" s="38" t="s">
        <v>607</v>
      </c>
      <c r="G8017" s="49" t="str">
        <f t="shared" si="1"/>
        <v>20242</v>
      </c>
      <c r="H8017" s="49" t="str">
        <f t="shared" si="2"/>
        <v>2B229</v>
      </c>
    </row>
    <row r="8018">
      <c r="A8018" s="48" t="s">
        <v>2330</v>
      </c>
      <c r="B8018" s="38">
        <v>65112.0</v>
      </c>
      <c r="C8018" s="38" t="s">
        <v>11646</v>
      </c>
      <c r="D8018" s="38" t="str">
        <f>IFERROR(__xludf.DUMMYFUNCTION("REGEXREPLACE(C8018,""-\d+(.*)|--\d+(.*)"","""")"),"BUN")</f>
        <v>BUN</v>
      </c>
      <c r="E8018" s="38" t="s">
        <v>200</v>
      </c>
      <c r="F8018" s="38" t="s">
        <v>94</v>
      </c>
      <c r="G8018" s="49" t="str">
        <f t="shared" si="1"/>
        <v>65400</v>
      </c>
      <c r="H8018" s="49">
        <f t="shared" si="2"/>
        <v>65112</v>
      </c>
    </row>
    <row r="8019">
      <c r="A8019" s="48" t="s">
        <v>647</v>
      </c>
      <c r="B8019" s="38">
        <v>82145.0</v>
      </c>
      <c r="C8019" s="38" t="s">
        <v>11647</v>
      </c>
      <c r="D8019" s="38" t="str">
        <f>IFERROR(__xludf.DUMMYFUNCTION("REGEXREPLACE(C8019,""-\d+(.*)|--\d+(.*)"","""")"),"PUYGAILLARD-DE-QUERCY")</f>
        <v>PUYGAILLARD-DE-QUERCY</v>
      </c>
      <c r="E8019" s="38" t="s">
        <v>570</v>
      </c>
      <c r="F8019" s="38" t="s">
        <v>94</v>
      </c>
      <c r="G8019" s="49" t="str">
        <f t="shared" si="1"/>
        <v>82800</v>
      </c>
      <c r="H8019" s="49">
        <f t="shared" si="2"/>
        <v>82145</v>
      </c>
    </row>
    <row r="8020">
      <c r="A8020" s="48" t="s">
        <v>11385</v>
      </c>
      <c r="B8020" s="38">
        <v>44015.0</v>
      </c>
      <c r="C8020" s="38" t="s">
        <v>11648</v>
      </c>
      <c r="D8020" s="38" t="str">
        <f>IFERROR(__xludf.DUMMYFUNCTION("REGEXREPLACE(C8020,""-\d+(.*)|--\d+(.*)"","""")"),"BLAIN")</f>
        <v>BLAIN</v>
      </c>
      <c r="E8020" s="38" t="s">
        <v>759</v>
      </c>
      <c r="F8020" s="38" t="s">
        <v>180</v>
      </c>
      <c r="G8020" s="49" t="str">
        <f t="shared" si="1"/>
        <v>44130</v>
      </c>
      <c r="H8020" s="49">
        <f t="shared" si="2"/>
        <v>44015</v>
      </c>
    </row>
    <row r="8021">
      <c r="A8021" s="48" t="s">
        <v>3422</v>
      </c>
      <c r="B8021" s="38">
        <v>32213.0</v>
      </c>
      <c r="C8021" s="38" t="s">
        <v>11649</v>
      </c>
      <c r="D8021" s="38" t="str">
        <f>IFERROR(__xludf.DUMMYFUNCTION("REGEXREPLACE(C8021,""-\d+(.*)|--\d+(.*)"","""")"),"LOMBEZ")</f>
        <v>LOMBEZ</v>
      </c>
      <c r="E8021" s="38" t="s">
        <v>440</v>
      </c>
      <c r="F8021" s="38" t="s">
        <v>94</v>
      </c>
      <c r="G8021" s="49" t="str">
        <f t="shared" si="1"/>
        <v>32220</v>
      </c>
      <c r="H8021" s="49">
        <f t="shared" si="2"/>
        <v>32213</v>
      </c>
    </row>
    <row r="8022">
      <c r="A8022" s="48" t="s">
        <v>1928</v>
      </c>
      <c r="B8022" s="38">
        <v>1069.0</v>
      </c>
      <c r="C8022" s="38" t="s">
        <v>11650</v>
      </c>
      <c r="D8022" s="38" t="str">
        <f>IFERROR(__xludf.DUMMYFUNCTION("REGEXREPLACE(C8022,""-\d+(.*)|--\d+(.*)"","""")"),"CERTINES")</f>
        <v>CERTINES</v>
      </c>
      <c r="E8022" s="38" t="s">
        <v>255</v>
      </c>
      <c r="F8022" s="38" t="s">
        <v>102</v>
      </c>
      <c r="G8022" s="49" t="str">
        <f t="shared" si="1"/>
        <v>01240</v>
      </c>
      <c r="H8022" s="49" t="str">
        <f t="shared" si="2"/>
        <v>01069</v>
      </c>
    </row>
    <row r="8023">
      <c r="A8023" s="48" t="s">
        <v>11651</v>
      </c>
      <c r="B8023" s="38">
        <v>66016.0</v>
      </c>
      <c r="C8023" s="38" t="s">
        <v>11652</v>
      </c>
      <c r="D8023" s="38" t="str">
        <f>IFERROR(__xludf.DUMMYFUNCTION("REGEXREPLACE(C8023,""-\d+(.*)|--\d+(.*)"","""")"),"BANYULS-SUR-MER")</f>
        <v>BANYULS-SUR-MER</v>
      </c>
      <c r="E8023" s="38" t="s">
        <v>248</v>
      </c>
      <c r="F8023" s="38" t="s">
        <v>119</v>
      </c>
      <c r="G8023" s="49" t="str">
        <f t="shared" si="1"/>
        <v>66650</v>
      </c>
      <c r="H8023" s="49">
        <f t="shared" si="2"/>
        <v>66016</v>
      </c>
    </row>
    <row r="8024">
      <c r="A8024" s="48" t="s">
        <v>2047</v>
      </c>
      <c r="B8024" s="38">
        <v>62715.0</v>
      </c>
      <c r="C8024" s="38" t="s">
        <v>11653</v>
      </c>
      <c r="D8024" s="38" t="str">
        <f>IFERROR(__xludf.DUMMYFUNCTION("REGEXREPLACE(C8024,""-\d+(.*)|--\d+(.*)"","""")"),"ROCQUIGNY")</f>
        <v>ROCQUIGNY</v>
      </c>
      <c r="E8024" s="38" t="s">
        <v>109</v>
      </c>
      <c r="F8024" s="38" t="s">
        <v>86</v>
      </c>
      <c r="G8024" s="49" t="str">
        <f t="shared" si="1"/>
        <v>62450</v>
      </c>
      <c r="H8024" s="49">
        <f t="shared" si="2"/>
        <v>62715</v>
      </c>
    </row>
    <row r="8025">
      <c r="A8025" s="48" t="s">
        <v>1220</v>
      </c>
      <c r="B8025" s="38">
        <v>76355.0</v>
      </c>
      <c r="C8025" s="38" t="s">
        <v>11654</v>
      </c>
      <c r="D8025" s="38" t="str">
        <f>IFERROR(__xludf.DUMMYFUNCTION("REGEXREPLACE(C8025,""-\d+(.*)|--\d+(.*)"","""")"),"HERICOURT-EN-CAUX")</f>
        <v>HERICOURT-EN-CAUX</v>
      </c>
      <c r="E8025" s="38" t="s">
        <v>133</v>
      </c>
      <c r="F8025" s="38" t="s">
        <v>134</v>
      </c>
      <c r="G8025" s="49" t="str">
        <f t="shared" si="1"/>
        <v>76560</v>
      </c>
      <c r="H8025" s="49">
        <f t="shared" si="2"/>
        <v>76355</v>
      </c>
    </row>
    <row r="8026">
      <c r="A8026" s="48" t="s">
        <v>1744</v>
      </c>
      <c r="B8026" s="38">
        <v>31209.0</v>
      </c>
      <c r="C8026" s="38" t="s">
        <v>11655</v>
      </c>
      <c r="D8026" s="38" t="str">
        <f>IFERROR(__xludf.DUMMYFUNCTION("REGEXREPLACE(C8026,""-\d+(.*)|--\d+(.*)"","""")"),"GARAC")</f>
        <v>GARAC</v>
      </c>
      <c r="E8026" s="38" t="s">
        <v>93</v>
      </c>
      <c r="F8026" s="38" t="s">
        <v>94</v>
      </c>
      <c r="G8026" s="49" t="str">
        <f t="shared" si="1"/>
        <v>31480</v>
      </c>
      <c r="H8026" s="49">
        <f t="shared" si="2"/>
        <v>31209</v>
      </c>
    </row>
    <row r="8027">
      <c r="A8027" s="48" t="s">
        <v>11656</v>
      </c>
      <c r="B8027" s="38">
        <v>78162.0</v>
      </c>
      <c r="C8027" s="38" t="s">
        <v>11657</v>
      </c>
      <c r="D8027" s="38" t="str">
        <f>IFERROR(__xludf.DUMMYFUNCTION("REGEXREPLACE(C8027,""-\d+(.*)|--\d+(.*)"","""")"),"CHOISEL")</f>
        <v>CHOISEL</v>
      </c>
      <c r="E8027" s="38" t="s">
        <v>362</v>
      </c>
      <c r="F8027" s="38" t="s">
        <v>245</v>
      </c>
      <c r="G8027" s="49" t="str">
        <f t="shared" si="1"/>
        <v>78460</v>
      </c>
      <c r="H8027" s="49">
        <f t="shared" si="2"/>
        <v>78162</v>
      </c>
    </row>
    <row r="8028">
      <c r="A8028" s="48" t="s">
        <v>1272</v>
      </c>
      <c r="B8028" s="38">
        <v>51208.0</v>
      </c>
      <c r="C8028" s="38" t="s">
        <v>11658</v>
      </c>
      <c r="D8028" s="38" t="str">
        <f>IFERROR(__xludf.DUMMYFUNCTION("REGEXREPLACE(C8028,""-\d+(.*)|--\d+(.*)"","""")"),"DAMPIERRE-SUR-MOIVRE")</f>
        <v>DAMPIERRE-SUR-MOIVRE</v>
      </c>
      <c r="E8028" s="38" t="s">
        <v>129</v>
      </c>
      <c r="F8028" s="38" t="s">
        <v>130</v>
      </c>
      <c r="G8028" s="49" t="str">
        <f t="shared" si="1"/>
        <v>51240</v>
      </c>
      <c r="H8028" s="49">
        <f t="shared" si="2"/>
        <v>51208</v>
      </c>
    </row>
    <row r="8029">
      <c r="A8029" s="48" t="s">
        <v>11659</v>
      </c>
      <c r="B8029" s="38">
        <v>59470.0</v>
      </c>
      <c r="C8029" s="38" t="s">
        <v>11660</v>
      </c>
      <c r="D8029" s="38" t="str">
        <f>IFERROR(__xludf.DUMMYFUNCTION("REGEXREPLACE(C8029,""-\d+(.*)|--\d+(.*)"","""")"),"PREMESQUES")</f>
        <v>PREMESQUES</v>
      </c>
      <c r="E8029" s="38" t="s">
        <v>85</v>
      </c>
      <c r="F8029" s="38" t="s">
        <v>86</v>
      </c>
      <c r="G8029" s="49" t="str">
        <f t="shared" si="1"/>
        <v>59840</v>
      </c>
      <c r="H8029" s="49">
        <f t="shared" si="2"/>
        <v>59470</v>
      </c>
    </row>
    <row r="8030">
      <c r="A8030" s="48" t="s">
        <v>11661</v>
      </c>
      <c r="B8030" s="38">
        <v>13093.0</v>
      </c>
      <c r="C8030" s="38" t="s">
        <v>11662</v>
      </c>
      <c r="D8030" s="38" t="str">
        <f>IFERROR(__xludf.DUMMYFUNCTION("REGEXREPLACE(C8030,""-\d+(.*)|--\d+(.*)"","""")"),"SAINT-ESTEVE-JANSON")</f>
        <v>SAINT-ESTEVE-JANSON</v>
      </c>
      <c r="E8030" s="38" t="s">
        <v>980</v>
      </c>
      <c r="F8030" s="38" t="s">
        <v>228</v>
      </c>
      <c r="G8030" s="49" t="str">
        <f t="shared" si="1"/>
        <v>13610</v>
      </c>
      <c r="H8030" s="49">
        <f t="shared" si="2"/>
        <v>13093</v>
      </c>
    </row>
    <row r="8031">
      <c r="A8031" s="48" t="s">
        <v>651</v>
      </c>
      <c r="B8031" s="38">
        <v>49182.0</v>
      </c>
      <c r="C8031" s="38" t="s">
        <v>11663</v>
      </c>
      <c r="D8031" s="38" t="str">
        <f>IFERROR(__xludf.DUMMYFUNCTION("REGEXREPLACE(C8031,""-\d+(.*)|--\d+(.*)"","""")"),"LOURESSE-ROCHEMENIER")</f>
        <v>LOURESSE-ROCHEMENIER</v>
      </c>
      <c r="E8031" s="38" t="s">
        <v>653</v>
      </c>
      <c r="F8031" s="38" t="s">
        <v>180</v>
      </c>
      <c r="G8031" s="49" t="str">
        <f t="shared" si="1"/>
        <v>49700</v>
      </c>
      <c r="H8031" s="49">
        <f t="shared" si="2"/>
        <v>49182</v>
      </c>
    </row>
    <row r="8032">
      <c r="A8032" s="48" t="s">
        <v>5162</v>
      </c>
      <c r="B8032" s="38">
        <v>47072.0</v>
      </c>
      <c r="C8032" s="38" t="s">
        <v>11664</v>
      </c>
      <c r="D8032" s="38" t="str">
        <f>IFERROR(__xludf.DUMMYFUNCTION("REGEXREPLACE(C8032,""-\d+(.*)|--\d+(.*)"","""")"),"COURBIAC")</f>
        <v>COURBIAC</v>
      </c>
      <c r="E8032" s="38" t="s">
        <v>251</v>
      </c>
      <c r="F8032" s="38" t="s">
        <v>252</v>
      </c>
      <c r="G8032" s="49" t="str">
        <f t="shared" si="1"/>
        <v>47370</v>
      </c>
      <c r="H8032" s="49">
        <f t="shared" si="2"/>
        <v>47072</v>
      </c>
    </row>
    <row r="8033">
      <c r="A8033" s="48" t="s">
        <v>3268</v>
      </c>
      <c r="B8033" s="38">
        <v>82045.0</v>
      </c>
      <c r="C8033" s="38" t="s">
        <v>11665</v>
      </c>
      <c r="D8033" s="38" t="str">
        <f>IFERROR(__xludf.DUMMYFUNCTION("REGEXREPLACE(C8033,""-\d+(.*)|--\d+(.*)"","""")"),"CORDES-TOLOSANNES")</f>
        <v>CORDES-TOLOSANNES</v>
      </c>
      <c r="E8033" s="38" t="s">
        <v>570</v>
      </c>
      <c r="F8033" s="38" t="s">
        <v>94</v>
      </c>
      <c r="G8033" s="49" t="str">
        <f t="shared" si="1"/>
        <v>82700</v>
      </c>
      <c r="H8033" s="49">
        <f t="shared" si="2"/>
        <v>82045</v>
      </c>
    </row>
    <row r="8034">
      <c r="A8034" s="48" t="s">
        <v>3900</v>
      </c>
      <c r="B8034" s="38">
        <v>2471.0</v>
      </c>
      <c r="C8034" s="38" t="s">
        <v>11666</v>
      </c>
      <c r="D8034" s="38" t="str">
        <f>IFERROR(__xludf.DUMMYFUNCTION("REGEXREPLACE(C8034,""-\d+(.*)|--\d+(.*)"","""")"),"MARTIGNY-COURPIERRE")</f>
        <v>MARTIGNY-COURPIERRE</v>
      </c>
      <c r="E8034" s="38" t="s">
        <v>191</v>
      </c>
      <c r="F8034" s="38" t="s">
        <v>113</v>
      </c>
      <c r="G8034" s="49" t="str">
        <f t="shared" si="1"/>
        <v>02860</v>
      </c>
      <c r="H8034" s="49" t="str">
        <f t="shared" si="2"/>
        <v>02471</v>
      </c>
    </row>
    <row r="8035">
      <c r="A8035" s="48" t="s">
        <v>724</v>
      </c>
      <c r="B8035" s="38">
        <v>32045.0</v>
      </c>
      <c r="C8035" s="38" t="s">
        <v>11667</v>
      </c>
      <c r="D8035" s="38" t="str">
        <f>IFERROR(__xludf.DUMMYFUNCTION("REGEXREPLACE(C8035,""-\d+(.*)|--\d+(.*)"","""")"),"BERDOUES")</f>
        <v>BERDOUES</v>
      </c>
      <c r="E8035" s="38" t="s">
        <v>440</v>
      </c>
      <c r="F8035" s="38" t="s">
        <v>94</v>
      </c>
      <c r="G8035" s="49" t="str">
        <f t="shared" si="1"/>
        <v>32300</v>
      </c>
      <c r="H8035" s="49">
        <f t="shared" si="2"/>
        <v>32045</v>
      </c>
    </row>
    <row r="8036">
      <c r="A8036" s="48" t="s">
        <v>1986</v>
      </c>
      <c r="B8036" s="38">
        <v>79320.0</v>
      </c>
      <c r="C8036" s="38" t="s">
        <v>4809</v>
      </c>
      <c r="D8036" s="38" t="str">
        <f>IFERROR(__xludf.DUMMYFUNCTION("REGEXREPLACE(C8036,""-\d+(.*)|--\d+(.*)"","""")"),"SURIN")</f>
        <v>SURIN</v>
      </c>
      <c r="E8036" s="38" t="s">
        <v>337</v>
      </c>
      <c r="F8036" s="38" t="s">
        <v>338</v>
      </c>
      <c r="G8036" s="49" t="str">
        <f t="shared" si="1"/>
        <v>79220</v>
      </c>
      <c r="H8036" s="49">
        <f t="shared" si="2"/>
        <v>79320</v>
      </c>
    </row>
    <row r="8037">
      <c r="A8037" s="48" t="s">
        <v>8263</v>
      </c>
      <c r="B8037" s="38">
        <v>43181.0</v>
      </c>
      <c r="C8037" s="38" t="s">
        <v>11668</v>
      </c>
      <c r="D8037" s="38" t="str">
        <f>IFERROR(__xludf.DUMMYFUNCTION("REGEXREPLACE(C8037,""-\d+(.*)|--\d+(.*)"","""")"),"SAINT-ETIENNE-LARDEYROL")</f>
        <v>SAINT-ETIENNE-LARDEYROL</v>
      </c>
      <c r="E8037" s="38" t="s">
        <v>332</v>
      </c>
      <c r="F8037" s="38" t="s">
        <v>161</v>
      </c>
      <c r="G8037" s="49" t="str">
        <f t="shared" si="1"/>
        <v>43260</v>
      </c>
      <c r="H8037" s="49">
        <f t="shared" si="2"/>
        <v>43181</v>
      </c>
    </row>
    <row r="8038">
      <c r="A8038" s="48" t="s">
        <v>3156</v>
      </c>
      <c r="B8038" s="38">
        <v>77417.0</v>
      </c>
      <c r="C8038" s="38" t="s">
        <v>11669</v>
      </c>
      <c r="D8038" s="38" t="str">
        <f>IFERROR(__xludf.DUMMYFUNCTION("REGEXREPLACE(C8038,""-\d+(.*)|--\d+(.*)"","""")"),"SAINT-LEGER")</f>
        <v>SAINT-LEGER</v>
      </c>
      <c r="E8038" s="38" t="s">
        <v>244</v>
      </c>
      <c r="F8038" s="38" t="s">
        <v>245</v>
      </c>
      <c r="G8038" s="49" t="str">
        <f t="shared" si="1"/>
        <v>77510</v>
      </c>
      <c r="H8038" s="49">
        <f t="shared" si="2"/>
        <v>77417</v>
      </c>
    </row>
    <row r="8039">
      <c r="A8039" s="48" t="s">
        <v>3172</v>
      </c>
      <c r="B8039" s="38">
        <v>28153.0</v>
      </c>
      <c r="C8039" s="38" t="s">
        <v>2982</v>
      </c>
      <c r="D8039" s="38" t="str">
        <f>IFERROR(__xludf.DUMMYFUNCTION("REGEXREPLACE(C8039,""-\d+(.*)|--\d+(.*)"","""")"),"FLACEY")</f>
        <v>FLACEY</v>
      </c>
      <c r="E8039" s="38" t="s">
        <v>300</v>
      </c>
      <c r="F8039" s="38" t="s">
        <v>123</v>
      </c>
      <c r="G8039" s="49" t="str">
        <f t="shared" si="1"/>
        <v>28800</v>
      </c>
      <c r="H8039" s="49">
        <f t="shared" si="2"/>
        <v>28153</v>
      </c>
    </row>
    <row r="8040">
      <c r="A8040" s="48" t="s">
        <v>11670</v>
      </c>
      <c r="B8040" s="38">
        <v>31445.0</v>
      </c>
      <c r="C8040" s="38" t="s">
        <v>11671</v>
      </c>
      <c r="D8040" s="38" t="str">
        <f>IFERROR(__xludf.DUMMYFUNCTION("REGEXREPLACE(C8040,""-\d+(.*)|--\d+(.*)"","""")"),"QUINT-FONSEGRIVES")</f>
        <v>QUINT-FONSEGRIVES</v>
      </c>
      <c r="E8040" s="38" t="s">
        <v>93</v>
      </c>
      <c r="F8040" s="38" t="s">
        <v>94</v>
      </c>
      <c r="G8040" s="49" t="str">
        <f t="shared" si="1"/>
        <v>31130</v>
      </c>
      <c r="H8040" s="49">
        <f t="shared" si="2"/>
        <v>31445</v>
      </c>
    </row>
    <row r="8041">
      <c r="A8041" s="48" t="s">
        <v>960</v>
      </c>
      <c r="B8041" s="38">
        <v>28136.0</v>
      </c>
      <c r="C8041" s="38" t="s">
        <v>11672</v>
      </c>
      <c r="D8041" s="38" t="str">
        <f>IFERROR(__xludf.DUMMYFUNCTION("REGEXREPLACE(C8041,""-\d+(.*)|--\d+(.*)"","""")"),"ECLUZELLES")</f>
        <v>ECLUZELLES</v>
      </c>
      <c r="E8041" s="38" t="s">
        <v>300</v>
      </c>
      <c r="F8041" s="38" t="s">
        <v>123</v>
      </c>
      <c r="G8041" s="49" t="str">
        <f t="shared" si="1"/>
        <v>28500</v>
      </c>
      <c r="H8041" s="49">
        <f t="shared" si="2"/>
        <v>28136</v>
      </c>
    </row>
    <row r="8042">
      <c r="A8042" s="48" t="s">
        <v>11673</v>
      </c>
      <c r="B8042" s="38">
        <v>84106.0</v>
      </c>
      <c r="C8042" s="38" t="s">
        <v>11674</v>
      </c>
      <c r="D8042" s="38" t="str">
        <f>IFERROR(__xludf.DUMMYFUNCTION("REGEXREPLACE(C8042,""-\d+(.*)|--\d+(.*)"","""")"),"SAINTE-CECILE-LES-VIGNES")</f>
        <v>SAINTE-CECILE-LES-VIGNES</v>
      </c>
      <c r="E8042" s="38" t="s">
        <v>1026</v>
      </c>
      <c r="F8042" s="38" t="s">
        <v>228</v>
      </c>
      <c r="G8042" s="49" t="str">
        <f t="shared" si="1"/>
        <v>84290</v>
      </c>
      <c r="H8042" s="49">
        <f t="shared" si="2"/>
        <v>84106</v>
      </c>
    </row>
    <row r="8043">
      <c r="A8043" s="48" t="s">
        <v>1193</v>
      </c>
      <c r="B8043" s="38">
        <v>54543.0</v>
      </c>
      <c r="C8043" s="38" t="s">
        <v>11675</v>
      </c>
      <c r="D8043" s="38" t="str">
        <f>IFERROR(__xludf.DUMMYFUNCTION("REGEXREPLACE(C8043,""-\d+(.*)|--\d+(.*)"","""")"),"VALLOIS")</f>
        <v>VALLOIS</v>
      </c>
      <c r="E8043" s="38" t="s">
        <v>548</v>
      </c>
      <c r="F8043" s="38" t="s">
        <v>195</v>
      </c>
      <c r="G8043" s="49" t="str">
        <f t="shared" si="1"/>
        <v>54830</v>
      </c>
      <c r="H8043" s="49">
        <f t="shared" si="2"/>
        <v>54543</v>
      </c>
    </row>
    <row r="8044">
      <c r="A8044" s="48" t="s">
        <v>3889</v>
      </c>
      <c r="B8044" s="38">
        <v>87100.0</v>
      </c>
      <c r="C8044" s="38" t="s">
        <v>11676</v>
      </c>
      <c r="D8044" s="38" t="str">
        <f>IFERROR(__xludf.DUMMYFUNCTION("REGEXREPLACE(C8044,""-\d+(.*)|--\d+(.*)"","""")"),"MONTROL-SENARD")</f>
        <v>MONTROL-SENARD</v>
      </c>
      <c r="E8044" s="38" t="s">
        <v>897</v>
      </c>
      <c r="F8044" s="38" t="s">
        <v>98</v>
      </c>
      <c r="G8044" s="49" t="str">
        <f t="shared" si="1"/>
        <v>87330</v>
      </c>
      <c r="H8044" s="49">
        <f t="shared" si="2"/>
        <v>87100</v>
      </c>
    </row>
    <row r="8045">
      <c r="A8045" s="48" t="s">
        <v>5935</v>
      </c>
      <c r="B8045" s="38">
        <v>1043.0</v>
      </c>
      <c r="C8045" s="38" t="s">
        <v>11677</v>
      </c>
      <c r="D8045" s="38" t="str">
        <f>IFERROR(__xludf.DUMMYFUNCTION("REGEXREPLACE(C8045,""-\d+(.*)|--\d+(.*)"","""")"),"BEYNOST")</f>
        <v>BEYNOST</v>
      </c>
      <c r="E8045" s="38" t="s">
        <v>255</v>
      </c>
      <c r="F8045" s="38" t="s">
        <v>102</v>
      </c>
      <c r="G8045" s="49" t="str">
        <f t="shared" si="1"/>
        <v>01700</v>
      </c>
      <c r="H8045" s="49" t="str">
        <f t="shared" si="2"/>
        <v>01043</v>
      </c>
    </row>
    <row r="8046">
      <c r="A8046" s="48" t="s">
        <v>6992</v>
      </c>
      <c r="B8046" s="38">
        <v>24272.0</v>
      </c>
      <c r="C8046" s="38" t="s">
        <v>11678</v>
      </c>
      <c r="D8046" s="38" t="str">
        <f>IFERROR(__xludf.DUMMYFUNCTION("REGEXREPLACE(C8046,""-\d+(.*)|--\d+(.*)"","""")"),"MINZAC")</f>
        <v>MINZAC</v>
      </c>
      <c r="E8046" s="38" t="s">
        <v>261</v>
      </c>
      <c r="F8046" s="38" t="s">
        <v>252</v>
      </c>
      <c r="G8046" s="49" t="str">
        <f t="shared" si="1"/>
        <v>24610</v>
      </c>
      <c r="H8046" s="49">
        <f t="shared" si="2"/>
        <v>24272</v>
      </c>
    </row>
    <row r="8047">
      <c r="A8047" s="48" t="s">
        <v>1048</v>
      </c>
      <c r="B8047" s="38">
        <v>24499.0</v>
      </c>
      <c r="C8047" s="38" t="s">
        <v>4403</v>
      </c>
      <c r="D8047" s="38" t="str">
        <f>IFERROR(__xludf.DUMMYFUNCTION("REGEXREPLACE(C8047,""-\d+(.*)|--\d+(.*)"","""")"),"SAINT-SAUVEUR")</f>
        <v>SAINT-SAUVEUR</v>
      </c>
      <c r="E8047" s="38" t="s">
        <v>261</v>
      </c>
      <c r="F8047" s="38" t="s">
        <v>252</v>
      </c>
      <c r="G8047" s="49" t="str">
        <f t="shared" si="1"/>
        <v>24520</v>
      </c>
      <c r="H8047" s="49">
        <f t="shared" si="2"/>
        <v>24499</v>
      </c>
    </row>
    <row r="8048">
      <c r="A8048" s="48" t="s">
        <v>1607</v>
      </c>
      <c r="B8048" s="38">
        <v>81081.0</v>
      </c>
      <c r="C8048" s="38" t="s">
        <v>11679</v>
      </c>
      <c r="D8048" s="38" t="str">
        <f>IFERROR(__xludf.DUMMYFUNCTION("REGEXREPLACE(C8048,""-\d+(.*)|--\d+(.*)"","""")"),"DOURGNE")</f>
        <v>DOURGNE</v>
      </c>
      <c r="E8048" s="38" t="s">
        <v>231</v>
      </c>
      <c r="F8048" s="38" t="s">
        <v>94</v>
      </c>
      <c r="G8048" s="49" t="str">
        <f t="shared" si="1"/>
        <v>81110</v>
      </c>
      <c r="H8048" s="49">
        <f t="shared" si="2"/>
        <v>81081</v>
      </c>
    </row>
    <row r="8049">
      <c r="A8049" s="48" t="s">
        <v>1872</v>
      </c>
      <c r="B8049" s="38">
        <v>80462.0</v>
      </c>
      <c r="C8049" s="38" t="s">
        <v>11680</v>
      </c>
      <c r="D8049" s="38" t="str">
        <f>IFERROR(__xludf.DUMMYFUNCTION("REGEXREPLACE(C8049,""-\d+(.*)|--\d+(.*)"","""")"),"LAMOTTE-BULEUX")</f>
        <v>LAMOTTE-BULEUX</v>
      </c>
      <c r="E8049" s="38" t="s">
        <v>224</v>
      </c>
      <c r="F8049" s="38" t="s">
        <v>113</v>
      </c>
      <c r="G8049" s="49" t="str">
        <f t="shared" si="1"/>
        <v>80150</v>
      </c>
      <c r="H8049" s="49">
        <f t="shared" si="2"/>
        <v>80462</v>
      </c>
    </row>
    <row r="8050">
      <c r="A8050" s="48" t="s">
        <v>10908</v>
      </c>
      <c r="B8050" s="38">
        <v>11184.0</v>
      </c>
      <c r="C8050" s="38" t="s">
        <v>11681</v>
      </c>
      <c r="D8050" s="38" t="str">
        <f>IFERROR(__xludf.DUMMYFUNCTION("REGEXREPLACE(C8050,""-\d+(.*)|--\d+(.*)"","""")"),"LAFAGE")</f>
        <v>LAFAGE</v>
      </c>
      <c r="E8050" s="38" t="s">
        <v>278</v>
      </c>
      <c r="F8050" s="38" t="s">
        <v>119</v>
      </c>
      <c r="G8050" s="49" t="str">
        <f t="shared" si="1"/>
        <v>11420</v>
      </c>
      <c r="H8050" s="49">
        <f t="shared" si="2"/>
        <v>11184</v>
      </c>
    </row>
    <row r="8051">
      <c r="A8051" s="48" t="s">
        <v>11146</v>
      </c>
      <c r="B8051" s="38">
        <v>89352.0</v>
      </c>
      <c r="C8051" s="38" t="s">
        <v>11682</v>
      </c>
      <c r="D8051" s="38" t="str">
        <f>IFERROR(__xludf.DUMMYFUNCTION("REGEXREPLACE(C8051,""-\d+(.*)|--\d+(.*)"","""")"),"SAINT-MARTIN-DES-CHAMPS")</f>
        <v>SAINT-MARTIN-DES-CHAMPS</v>
      </c>
      <c r="E8051" s="38" t="s">
        <v>275</v>
      </c>
      <c r="F8051" s="38" t="s">
        <v>106</v>
      </c>
      <c r="G8051" s="49" t="str">
        <f t="shared" si="1"/>
        <v>89170</v>
      </c>
      <c r="H8051" s="49">
        <f t="shared" si="2"/>
        <v>89352</v>
      </c>
    </row>
    <row r="8052">
      <c r="A8052" s="48" t="s">
        <v>11683</v>
      </c>
      <c r="B8052" s="38">
        <v>54385.0</v>
      </c>
      <c r="C8052" s="38" t="s">
        <v>11684</v>
      </c>
      <c r="D8052" s="38" t="str">
        <f>IFERROR(__xludf.DUMMYFUNCTION("REGEXREPLACE(C8052,""-\d+(.*)|--\d+(.*)"","""")"),"MORFONTAINE")</f>
        <v>MORFONTAINE</v>
      </c>
      <c r="E8052" s="38" t="s">
        <v>548</v>
      </c>
      <c r="F8052" s="38" t="s">
        <v>195</v>
      </c>
      <c r="G8052" s="49" t="str">
        <f t="shared" si="1"/>
        <v>54920</v>
      </c>
      <c r="H8052" s="49">
        <f t="shared" si="2"/>
        <v>54385</v>
      </c>
    </row>
    <row r="8053">
      <c r="A8053" s="48" t="s">
        <v>7684</v>
      </c>
      <c r="B8053" s="38">
        <v>1350.0</v>
      </c>
      <c r="C8053" s="38" t="s">
        <v>5147</v>
      </c>
      <c r="D8053" s="38" t="str">
        <f>IFERROR(__xludf.DUMMYFUNCTION("REGEXREPLACE(C8053,""-\d+(.*)|--\d+(.*)"","""")"),"SAINT-ETIENNE-DU-BOIS")</f>
        <v>SAINT-ETIENNE-DU-BOIS</v>
      </c>
      <c r="E8053" s="38" t="s">
        <v>255</v>
      </c>
      <c r="F8053" s="38" t="s">
        <v>102</v>
      </c>
      <c r="G8053" s="49" t="str">
        <f t="shared" si="1"/>
        <v>01370</v>
      </c>
      <c r="H8053" s="49" t="str">
        <f t="shared" si="2"/>
        <v>01350</v>
      </c>
    </row>
    <row r="8054">
      <c r="A8054" s="48" t="s">
        <v>721</v>
      </c>
      <c r="B8054" s="38">
        <v>14745.0</v>
      </c>
      <c r="C8054" s="38" t="s">
        <v>11685</v>
      </c>
      <c r="D8054" s="38" t="str">
        <f>IFERROR(__xludf.DUMMYFUNCTION("REGEXREPLACE(C8054,""-\d+(.*)|--\d+(.*)"","""")"),"VIERVILLE-SUR-MER")</f>
        <v>VIERVILLE-SUR-MER</v>
      </c>
      <c r="E8054" s="38" t="s">
        <v>137</v>
      </c>
      <c r="F8054" s="38" t="s">
        <v>138</v>
      </c>
      <c r="G8054" s="49" t="str">
        <f t="shared" si="1"/>
        <v>14710</v>
      </c>
      <c r="H8054" s="49">
        <f t="shared" si="2"/>
        <v>14745</v>
      </c>
    </row>
    <row r="8055">
      <c r="A8055" s="48" t="s">
        <v>6145</v>
      </c>
      <c r="B8055" s="38">
        <v>59612.0</v>
      </c>
      <c r="C8055" s="38" t="s">
        <v>11686</v>
      </c>
      <c r="D8055" s="38" t="str">
        <f>IFERROR(__xludf.DUMMYFUNCTION("REGEXREPLACE(C8055,""-\d+(.*)|--\d+(.*)"","""")"),"VERTAIN")</f>
        <v>VERTAIN</v>
      </c>
      <c r="E8055" s="38" t="s">
        <v>85</v>
      </c>
      <c r="F8055" s="38" t="s">
        <v>86</v>
      </c>
      <c r="G8055" s="49" t="str">
        <f t="shared" si="1"/>
        <v>59730</v>
      </c>
      <c r="H8055" s="49">
        <f t="shared" si="2"/>
        <v>59612</v>
      </c>
    </row>
    <row r="8056">
      <c r="A8056" s="48" t="s">
        <v>1681</v>
      </c>
      <c r="B8056" s="38">
        <v>80278.0</v>
      </c>
      <c r="C8056" s="38" t="s">
        <v>11687</v>
      </c>
      <c r="D8056" s="38" t="str">
        <f>IFERROR(__xludf.DUMMYFUNCTION("REGEXREPLACE(C8056,""-\d+(.*)|--\d+(.*)"","""")"),"ERCHES")</f>
        <v>ERCHES</v>
      </c>
      <c r="E8056" s="38" t="s">
        <v>224</v>
      </c>
      <c r="F8056" s="38" t="s">
        <v>113</v>
      </c>
      <c r="G8056" s="49" t="str">
        <f t="shared" si="1"/>
        <v>80500</v>
      </c>
      <c r="H8056" s="49">
        <f t="shared" si="2"/>
        <v>80278</v>
      </c>
    </row>
    <row r="8057">
      <c r="A8057" s="48" t="s">
        <v>11688</v>
      </c>
      <c r="B8057" s="38">
        <v>95042.0</v>
      </c>
      <c r="C8057" s="38" t="s">
        <v>11689</v>
      </c>
      <c r="D8057" s="38" t="str">
        <f>IFERROR(__xludf.DUMMYFUNCTION("REGEXREPLACE(C8057,""-\d+(.*)|--\d+(.*)"","""")"),"BAILLET-EN-FRANCE")</f>
        <v>BAILLET-EN-FRANCE</v>
      </c>
      <c r="E8057" s="38" t="s">
        <v>541</v>
      </c>
      <c r="F8057" s="38" t="s">
        <v>245</v>
      </c>
      <c r="G8057" s="49" t="str">
        <f t="shared" si="1"/>
        <v>95560</v>
      </c>
      <c r="H8057" s="49">
        <f t="shared" si="2"/>
        <v>95042</v>
      </c>
    </row>
    <row r="8058">
      <c r="A8058" s="48" t="s">
        <v>1070</v>
      </c>
      <c r="B8058" s="38">
        <v>39346.0</v>
      </c>
      <c r="C8058" s="38" t="s">
        <v>11690</v>
      </c>
      <c r="D8058" s="38" t="str">
        <f>IFERROR(__xludf.DUMMYFUNCTION("REGEXREPLACE(C8058,""-\d+(.*)|--\d+(.*)"","""")"),"MONTAGNA-LE-RECONDUIT")</f>
        <v>MONTAGNA-LE-RECONDUIT</v>
      </c>
      <c r="E8058" s="38" t="s">
        <v>400</v>
      </c>
      <c r="F8058" s="38" t="s">
        <v>214</v>
      </c>
      <c r="G8058" s="49" t="str">
        <f t="shared" si="1"/>
        <v>39160</v>
      </c>
      <c r="H8058" s="49">
        <f t="shared" si="2"/>
        <v>39346</v>
      </c>
    </row>
    <row r="8059">
      <c r="A8059" s="48" t="s">
        <v>10060</v>
      </c>
      <c r="B8059" s="38">
        <v>35123.0</v>
      </c>
      <c r="C8059" s="38" t="s">
        <v>11691</v>
      </c>
      <c r="D8059" s="38" t="str">
        <f>IFERROR(__xludf.DUMMYFUNCTION("REGEXREPLACE(C8059,""-\d+(.*)|--\d+(.*)"","""")"),"GOVEN")</f>
        <v>GOVEN</v>
      </c>
      <c r="E8059" s="38" t="s">
        <v>347</v>
      </c>
      <c r="F8059" s="38" t="s">
        <v>90</v>
      </c>
      <c r="G8059" s="49" t="str">
        <f t="shared" si="1"/>
        <v>35580</v>
      </c>
      <c r="H8059" s="49">
        <f t="shared" si="2"/>
        <v>35123</v>
      </c>
    </row>
    <row r="8060">
      <c r="A8060" s="48" t="s">
        <v>11692</v>
      </c>
      <c r="B8060" s="38">
        <v>13035.0</v>
      </c>
      <c r="C8060" s="38" t="s">
        <v>11693</v>
      </c>
      <c r="D8060" s="38" t="str">
        <f>IFERROR(__xludf.DUMMYFUNCTION("REGEXREPLACE(C8060,""-\d+(.*)|--\d+(.*)"","""")"),"EYGUIERES")</f>
        <v>EYGUIERES</v>
      </c>
      <c r="E8060" s="38" t="s">
        <v>980</v>
      </c>
      <c r="F8060" s="38" t="s">
        <v>228</v>
      </c>
      <c r="G8060" s="49" t="str">
        <f t="shared" si="1"/>
        <v>13430</v>
      </c>
      <c r="H8060" s="49">
        <f t="shared" si="2"/>
        <v>13035</v>
      </c>
    </row>
    <row r="8061">
      <c r="A8061" s="48" t="s">
        <v>9028</v>
      </c>
      <c r="B8061" s="38">
        <v>65156.0</v>
      </c>
      <c r="C8061" s="38" t="s">
        <v>11694</v>
      </c>
      <c r="D8061" s="38" t="str">
        <f>IFERROR(__xludf.DUMMYFUNCTION("REGEXREPLACE(C8061,""-\d+(.*)|--\d+(.*)"","""")"),"DOURS")</f>
        <v>DOURS</v>
      </c>
      <c r="E8061" s="38" t="s">
        <v>200</v>
      </c>
      <c r="F8061" s="38" t="s">
        <v>94</v>
      </c>
      <c r="G8061" s="49" t="str">
        <f t="shared" si="1"/>
        <v>65350</v>
      </c>
      <c r="H8061" s="49">
        <f t="shared" si="2"/>
        <v>65156</v>
      </c>
    </row>
    <row r="8062">
      <c r="A8062" s="48" t="s">
        <v>9402</v>
      </c>
      <c r="B8062" s="38">
        <v>14720.0</v>
      </c>
      <c r="C8062" s="38" t="s">
        <v>11695</v>
      </c>
      <c r="D8062" s="38" t="str">
        <f>IFERROR(__xludf.DUMMYFUNCTION("REGEXREPLACE(C8062,""-\d+(.*)|--\d+(.*)"","""")"),"USSY")</f>
        <v>USSY</v>
      </c>
      <c r="E8062" s="38" t="s">
        <v>137</v>
      </c>
      <c r="F8062" s="38" t="s">
        <v>138</v>
      </c>
      <c r="G8062" s="49" t="str">
        <f t="shared" si="1"/>
        <v>14420</v>
      </c>
      <c r="H8062" s="49">
        <f t="shared" si="2"/>
        <v>14720</v>
      </c>
    </row>
    <row r="8063">
      <c r="A8063" s="48" t="s">
        <v>7501</v>
      </c>
      <c r="B8063" s="38">
        <v>9245.0</v>
      </c>
      <c r="C8063" s="38" t="s">
        <v>11696</v>
      </c>
      <c r="D8063" s="38" t="str">
        <f>IFERROR(__xludf.DUMMYFUNCTION("REGEXREPLACE(C8063,""-\d+(.*)|--\d+(.*)"","""")"),"RIEUX-DE-PELLEPORT")</f>
        <v>RIEUX-DE-PELLEPORT</v>
      </c>
      <c r="E8063" s="38" t="s">
        <v>238</v>
      </c>
      <c r="F8063" s="38" t="s">
        <v>94</v>
      </c>
      <c r="G8063" s="49" t="str">
        <f t="shared" si="1"/>
        <v>09120</v>
      </c>
      <c r="H8063" s="49" t="str">
        <f t="shared" si="2"/>
        <v>09245</v>
      </c>
    </row>
    <row r="8064">
      <c r="A8064" s="48" t="s">
        <v>2370</v>
      </c>
      <c r="B8064" s="38">
        <v>33506.0</v>
      </c>
      <c r="C8064" s="38" t="s">
        <v>11697</v>
      </c>
      <c r="D8064" s="38" t="str">
        <f>IFERROR(__xludf.DUMMYFUNCTION("REGEXREPLACE(C8064,""-\d+(.*)|--\d+(.*)"","""")"),"SAUVETERRE-DE-GUYENNE")</f>
        <v>SAUVETERRE-DE-GUYENNE</v>
      </c>
      <c r="E8064" s="38" t="s">
        <v>462</v>
      </c>
      <c r="F8064" s="38" t="s">
        <v>252</v>
      </c>
      <c r="G8064" s="49" t="str">
        <f t="shared" si="1"/>
        <v>33540</v>
      </c>
      <c r="H8064" s="49">
        <f t="shared" si="2"/>
        <v>33506</v>
      </c>
    </row>
    <row r="8065">
      <c r="A8065" s="48" t="s">
        <v>10126</v>
      </c>
      <c r="B8065" s="38">
        <v>1171.0</v>
      </c>
      <c r="C8065" s="38" t="s">
        <v>11698</v>
      </c>
      <c r="D8065" s="38" t="str">
        <f>IFERROR(__xludf.DUMMYFUNCTION("REGEXREPLACE(C8065,""-\d+(.*)|--\d+(.*)"","""")"),"GEOVREISSET")</f>
        <v>GEOVREISSET</v>
      </c>
      <c r="E8065" s="38" t="s">
        <v>255</v>
      </c>
      <c r="F8065" s="38" t="s">
        <v>102</v>
      </c>
      <c r="G8065" s="49" t="str">
        <f t="shared" si="1"/>
        <v>01100</v>
      </c>
      <c r="H8065" s="49" t="str">
        <f t="shared" si="2"/>
        <v>01171</v>
      </c>
    </row>
    <row r="8066">
      <c r="A8066" s="48" t="s">
        <v>11699</v>
      </c>
      <c r="B8066" s="38">
        <v>38333.0</v>
      </c>
      <c r="C8066" s="38" t="s">
        <v>11700</v>
      </c>
      <c r="D8066" s="38" t="str">
        <f>IFERROR(__xludf.DUMMYFUNCTION("REGEXREPLACE(C8066,""-\d+(.*)|--\d+(.*)"","""")"),"RENCUREL")</f>
        <v>RENCUREL</v>
      </c>
      <c r="E8066" s="38" t="s">
        <v>101</v>
      </c>
      <c r="F8066" s="38" t="s">
        <v>102</v>
      </c>
      <c r="G8066" s="49" t="str">
        <f t="shared" si="1"/>
        <v>38680</v>
      </c>
      <c r="H8066" s="49">
        <f t="shared" si="2"/>
        <v>38333</v>
      </c>
    </row>
    <row r="8067">
      <c r="A8067" s="48" t="s">
        <v>10189</v>
      </c>
      <c r="B8067" s="38">
        <v>59010.0</v>
      </c>
      <c r="C8067" s="38" t="s">
        <v>11701</v>
      </c>
      <c r="D8067" s="38" t="str">
        <f>IFERROR(__xludf.DUMMYFUNCTION("REGEXREPLACE(C8067,""-\d+(.*)|--\d+(.*)"","""")"),"ANNEUX")</f>
        <v>ANNEUX</v>
      </c>
      <c r="E8067" s="38" t="s">
        <v>85</v>
      </c>
      <c r="F8067" s="38" t="s">
        <v>86</v>
      </c>
      <c r="G8067" s="49" t="str">
        <f t="shared" si="1"/>
        <v>59400</v>
      </c>
      <c r="H8067" s="49">
        <f t="shared" si="2"/>
        <v>59010</v>
      </c>
    </row>
    <row r="8068">
      <c r="A8068" s="48" t="s">
        <v>573</v>
      </c>
      <c r="B8068" s="38">
        <v>65405.0</v>
      </c>
      <c r="C8068" s="38" t="s">
        <v>11702</v>
      </c>
      <c r="D8068" s="38" t="str">
        <f>IFERROR(__xludf.DUMMYFUNCTION("REGEXREPLACE(C8068,""-\d+(.*)|--\d+(.*)"","""")"),"SARLABOUS")</f>
        <v>SARLABOUS</v>
      </c>
      <c r="E8068" s="38" t="s">
        <v>200</v>
      </c>
      <c r="F8068" s="38" t="s">
        <v>94</v>
      </c>
      <c r="G8068" s="49" t="str">
        <f t="shared" si="1"/>
        <v>65130</v>
      </c>
      <c r="H8068" s="49">
        <f t="shared" si="2"/>
        <v>65405</v>
      </c>
    </row>
    <row r="8069">
      <c r="A8069" s="48" t="s">
        <v>11703</v>
      </c>
      <c r="B8069" s="38">
        <v>16113.0</v>
      </c>
      <c r="C8069" s="38" t="s">
        <v>11704</v>
      </c>
      <c r="D8069" s="38" t="str">
        <f>IFERROR(__xludf.DUMMYFUNCTION("REGEXREPLACE(C8069,""-\d+(.*)|--\d+(.*)"","""")"),"LA COURONNE")</f>
        <v>LA COURONNE</v>
      </c>
      <c r="E8069" s="38" t="s">
        <v>429</v>
      </c>
      <c r="F8069" s="38" t="s">
        <v>338</v>
      </c>
      <c r="G8069" s="49" t="str">
        <f t="shared" si="1"/>
        <v>16400</v>
      </c>
      <c r="H8069" s="49">
        <f t="shared" si="2"/>
        <v>16113</v>
      </c>
    </row>
    <row r="8070">
      <c r="A8070" s="48" t="s">
        <v>4082</v>
      </c>
      <c r="B8070" s="38">
        <v>95447.0</v>
      </c>
      <c r="C8070" s="38" t="s">
        <v>11705</v>
      </c>
      <c r="D8070" s="38" t="str">
        <f>IFERROR(__xludf.DUMMYFUNCTION("REGEXREPLACE(C8070,""-\d+(.*)|--\d+(.*)"","""")"),"NEUILLY-EN-VEXIN")</f>
        <v>NEUILLY-EN-VEXIN</v>
      </c>
      <c r="E8070" s="38" t="s">
        <v>541</v>
      </c>
      <c r="F8070" s="38" t="s">
        <v>245</v>
      </c>
      <c r="G8070" s="49" t="str">
        <f t="shared" si="1"/>
        <v>95640</v>
      </c>
      <c r="H8070" s="49">
        <f t="shared" si="2"/>
        <v>95447</v>
      </c>
    </row>
    <row r="8071">
      <c r="A8071" s="48" t="s">
        <v>11706</v>
      </c>
      <c r="B8071" s="38">
        <v>13206.0</v>
      </c>
      <c r="C8071" s="38" t="s">
        <v>11707</v>
      </c>
      <c r="D8071" s="38" t="str">
        <f>IFERROR(__xludf.DUMMYFUNCTION("REGEXREPLACE(C8071,""-\d+(.*)|--\d+(.*)"","""")"),"MARSEILLE")</f>
        <v>MARSEILLE</v>
      </c>
      <c r="E8071" s="38" t="s">
        <v>980</v>
      </c>
      <c r="F8071" s="38" t="s">
        <v>228</v>
      </c>
      <c r="G8071" s="49" t="str">
        <f t="shared" si="1"/>
        <v>13006</v>
      </c>
      <c r="H8071" s="49">
        <f t="shared" si="2"/>
        <v>13206</v>
      </c>
    </row>
    <row r="8072">
      <c r="A8072" s="48" t="s">
        <v>5381</v>
      </c>
      <c r="B8072" s="38">
        <v>38291.0</v>
      </c>
      <c r="C8072" s="38" t="s">
        <v>11708</v>
      </c>
      <c r="D8072" s="38" t="str">
        <f>IFERROR(__xludf.DUMMYFUNCTION("REGEXREPLACE(C8072,""-\d+(.*)|--\d+(.*)"","""")"),"PAJAY")</f>
        <v>PAJAY</v>
      </c>
      <c r="E8072" s="38" t="s">
        <v>101</v>
      </c>
      <c r="F8072" s="38" t="s">
        <v>102</v>
      </c>
      <c r="G8072" s="49" t="str">
        <f t="shared" si="1"/>
        <v>38260</v>
      </c>
      <c r="H8072" s="49">
        <f t="shared" si="2"/>
        <v>38291</v>
      </c>
    </row>
    <row r="8073">
      <c r="A8073" s="48" t="s">
        <v>9381</v>
      </c>
      <c r="B8073" s="38">
        <v>68123.0</v>
      </c>
      <c r="C8073" s="38" t="s">
        <v>11709</v>
      </c>
      <c r="D8073" s="38" t="str">
        <f>IFERROR(__xludf.DUMMYFUNCTION("REGEXREPLACE(C8073,""-\d+(.*)|--\d+(.*)"","""")"),"HATTSTATT")</f>
        <v>HATTSTATT</v>
      </c>
      <c r="E8073" s="38" t="s">
        <v>150</v>
      </c>
      <c r="F8073" s="38" t="s">
        <v>151</v>
      </c>
      <c r="G8073" s="49" t="str">
        <f t="shared" si="1"/>
        <v>68420</v>
      </c>
      <c r="H8073" s="49">
        <f t="shared" si="2"/>
        <v>68123</v>
      </c>
    </row>
    <row r="8074">
      <c r="A8074" s="48" t="s">
        <v>11710</v>
      </c>
      <c r="B8074" s="38">
        <v>28220.0</v>
      </c>
      <c r="C8074" s="38" t="s">
        <v>11711</v>
      </c>
      <c r="D8074" s="38" t="str">
        <f>IFERROR(__xludf.DUMMYFUNCTION("REGEXREPLACE(C8074,""-\d+(.*)|--\d+(.*)"","""")"),"LUISANT")</f>
        <v>LUISANT</v>
      </c>
      <c r="E8074" s="38" t="s">
        <v>300</v>
      </c>
      <c r="F8074" s="38" t="s">
        <v>123</v>
      </c>
      <c r="G8074" s="49" t="str">
        <f t="shared" si="1"/>
        <v>28600</v>
      </c>
      <c r="H8074" s="49">
        <f t="shared" si="2"/>
        <v>28220</v>
      </c>
    </row>
    <row r="8075">
      <c r="A8075" s="48" t="s">
        <v>11712</v>
      </c>
      <c r="B8075" s="38">
        <v>58282.0</v>
      </c>
      <c r="C8075" s="38" t="s">
        <v>11713</v>
      </c>
      <c r="D8075" s="38" t="str">
        <f>IFERROR(__xludf.DUMMYFUNCTION("REGEXREPLACE(C8075,""-\d+(.*)|--\d+(.*)"","""")"),"SURGY")</f>
        <v>SURGY</v>
      </c>
      <c r="E8075" s="38" t="s">
        <v>219</v>
      </c>
      <c r="F8075" s="38" t="s">
        <v>106</v>
      </c>
      <c r="G8075" s="49" t="str">
        <f t="shared" si="1"/>
        <v>58500</v>
      </c>
      <c r="H8075" s="49">
        <f t="shared" si="2"/>
        <v>58282</v>
      </c>
    </row>
    <row r="8076">
      <c r="A8076" s="48" t="s">
        <v>7474</v>
      </c>
      <c r="B8076" s="38">
        <v>42137.0</v>
      </c>
      <c r="C8076" s="38" t="s">
        <v>11714</v>
      </c>
      <c r="D8076" s="38" t="str">
        <f>IFERROR(__xludf.DUMMYFUNCTION("REGEXREPLACE(C8076,""-\d+(.*)|--\d+(.*)"","""")"),"MARGERIE-CHANTAGRET")</f>
        <v>MARGERIE-CHANTAGRET</v>
      </c>
      <c r="E8076" s="38" t="s">
        <v>166</v>
      </c>
      <c r="F8076" s="38" t="s">
        <v>102</v>
      </c>
      <c r="G8076" s="49" t="str">
        <f t="shared" si="1"/>
        <v>42560</v>
      </c>
      <c r="H8076" s="49">
        <f t="shared" si="2"/>
        <v>42137</v>
      </c>
    </row>
    <row r="8077">
      <c r="A8077" s="48" t="s">
        <v>11715</v>
      </c>
      <c r="B8077" s="38">
        <v>58146.0</v>
      </c>
      <c r="C8077" s="38" t="s">
        <v>11716</v>
      </c>
      <c r="D8077" s="38" t="str">
        <f>IFERROR(__xludf.DUMMYFUNCTION("REGEXREPLACE(C8077,""-\d+(.*)|--\d+(.*)"","""")"),"LUCENAY-LES-AIX")</f>
        <v>LUCENAY-LES-AIX</v>
      </c>
      <c r="E8077" s="38" t="s">
        <v>219</v>
      </c>
      <c r="F8077" s="38" t="s">
        <v>106</v>
      </c>
      <c r="G8077" s="49" t="str">
        <f t="shared" si="1"/>
        <v>58380</v>
      </c>
      <c r="H8077" s="49">
        <f t="shared" si="2"/>
        <v>58146</v>
      </c>
    </row>
    <row r="8078">
      <c r="A8078" s="48" t="s">
        <v>3655</v>
      </c>
      <c r="B8078" s="38">
        <v>51088.0</v>
      </c>
      <c r="C8078" s="38" t="s">
        <v>11717</v>
      </c>
      <c r="D8078" s="38" t="str">
        <f>IFERROR(__xludf.DUMMYFUNCTION("REGEXREPLACE(C8078,""-\d+(.*)|--\d+(.*)"","""")"),"BRIMONT")</f>
        <v>BRIMONT</v>
      </c>
      <c r="E8078" s="38" t="s">
        <v>129</v>
      </c>
      <c r="F8078" s="38" t="s">
        <v>130</v>
      </c>
      <c r="G8078" s="49" t="str">
        <f t="shared" si="1"/>
        <v>51220</v>
      </c>
      <c r="H8078" s="49">
        <f t="shared" si="2"/>
        <v>51088</v>
      </c>
    </row>
    <row r="8079">
      <c r="A8079" s="48" t="s">
        <v>5545</v>
      </c>
      <c r="B8079" s="38">
        <v>22261.0</v>
      </c>
      <c r="C8079" s="38" t="s">
        <v>11718</v>
      </c>
      <c r="D8079" s="38" t="str">
        <f>IFERROR(__xludf.DUMMYFUNCTION("REGEXREPLACE(C8079,""-\d+(.*)|--\d+(.*)"","""")"),"QUINTENIC")</f>
        <v>QUINTENIC</v>
      </c>
      <c r="E8079" s="38" t="s">
        <v>89</v>
      </c>
      <c r="F8079" s="38" t="s">
        <v>90</v>
      </c>
      <c r="G8079" s="49" t="str">
        <f t="shared" si="1"/>
        <v>22400</v>
      </c>
      <c r="H8079" s="49">
        <f t="shared" si="2"/>
        <v>22261</v>
      </c>
    </row>
    <row r="8080">
      <c r="A8080" s="48" t="s">
        <v>10916</v>
      </c>
      <c r="B8080" s="38">
        <v>40206.0</v>
      </c>
      <c r="C8080" s="38" t="s">
        <v>11719</v>
      </c>
      <c r="D8080" s="38" t="str">
        <f>IFERROR(__xludf.DUMMYFUNCTION("REGEXREPLACE(C8080,""-\d+(.*)|--\d+(.*)"","""")"),"OEYREGAVE")</f>
        <v>OEYREGAVE</v>
      </c>
      <c r="E8080" s="38" t="s">
        <v>281</v>
      </c>
      <c r="F8080" s="38" t="s">
        <v>252</v>
      </c>
      <c r="G8080" s="49" t="str">
        <f t="shared" si="1"/>
        <v>40300</v>
      </c>
      <c r="H8080" s="49">
        <f t="shared" si="2"/>
        <v>40206</v>
      </c>
    </row>
    <row r="8081">
      <c r="A8081" s="48" t="s">
        <v>2097</v>
      </c>
      <c r="B8081" s="38">
        <v>42319.0</v>
      </c>
      <c r="C8081" s="38" t="s">
        <v>11720</v>
      </c>
      <c r="D8081" s="38" t="str">
        <f>IFERROR(__xludf.DUMMYFUNCTION("REGEXREPLACE(C8081,""-\d+(.*)|--\d+(.*)"","""")"),"VALEILLE")</f>
        <v>VALEILLE</v>
      </c>
      <c r="E8081" s="38" t="s">
        <v>166</v>
      </c>
      <c r="F8081" s="38" t="s">
        <v>102</v>
      </c>
      <c r="G8081" s="49" t="str">
        <f t="shared" si="1"/>
        <v>42110</v>
      </c>
      <c r="H8081" s="49">
        <f t="shared" si="2"/>
        <v>42319</v>
      </c>
    </row>
    <row r="8082">
      <c r="A8082" s="48" t="s">
        <v>3488</v>
      </c>
      <c r="B8082" s="38">
        <v>67406.0</v>
      </c>
      <c r="C8082" s="38" t="s">
        <v>11721</v>
      </c>
      <c r="D8082" s="38" t="str">
        <f>IFERROR(__xludf.DUMMYFUNCTION("REGEXREPLACE(C8082,""-\d+(.*)|--\d+(.*)"","""")"),"ROHR")</f>
        <v>ROHR</v>
      </c>
      <c r="E8082" s="38" t="s">
        <v>210</v>
      </c>
      <c r="F8082" s="38" t="s">
        <v>151</v>
      </c>
      <c r="G8082" s="49" t="str">
        <f t="shared" si="1"/>
        <v>67270</v>
      </c>
      <c r="H8082" s="49">
        <f t="shared" si="2"/>
        <v>67406</v>
      </c>
    </row>
    <row r="8083">
      <c r="A8083" s="48" t="s">
        <v>7512</v>
      </c>
      <c r="B8083" s="38">
        <v>35136.0</v>
      </c>
      <c r="C8083" s="38" t="s">
        <v>11722</v>
      </c>
      <c r="D8083" s="38" t="str">
        <f>IFERROR(__xludf.DUMMYFUNCTION("REGEXREPLACE(C8083,""-\d+(.*)|--\d+(.*)"","""")"),"JANZE")</f>
        <v>JANZE</v>
      </c>
      <c r="E8083" s="38" t="s">
        <v>347</v>
      </c>
      <c r="F8083" s="38" t="s">
        <v>90</v>
      </c>
      <c r="G8083" s="49" t="str">
        <f t="shared" si="1"/>
        <v>35150</v>
      </c>
      <c r="H8083" s="49">
        <f t="shared" si="2"/>
        <v>35136</v>
      </c>
    </row>
    <row r="8084">
      <c r="A8084" s="48" t="s">
        <v>1938</v>
      </c>
      <c r="B8084" s="38">
        <v>55497.0</v>
      </c>
      <c r="C8084" s="38" t="s">
        <v>11723</v>
      </c>
      <c r="D8084" s="38" t="str">
        <f>IFERROR(__xludf.DUMMYFUNCTION("REGEXREPLACE(C8084,""-\d+(.*)|--\d+(.*)"","""")"),"LES SOUHESMES-RAMPONT")</f>
        <v>LES SOUHESMES-RAMPONT</v>
      </c>
      <c r="E8084" s="38" t="s">
        <v>322</v>
      </c>
      <c r="F8084" s="38" t="s">
        <v>195</v>
      </c>
      <c r="G8084" s="49" t="str">
        <f t="shared" si="1"/>
        <v>55220</v>
      </c>
      <c r="H8084" s="49">
        <f t="shared" si="2"/>
        <v>55497</v>
      </c>
    </row>
    <row r="8085">
      <c r="A8085" s="48" t="s">
        <v>2853</v>
      </c>
      <c r="B8085" s="38">
        <v>36118.0</v>
      </c>
      <c r="C8085" s="38" t="s">
        <v>11724</v>
      </c>
      <c r="D8085" s="38" t="str">
        <f>IFERROR(__xludf.DUMMYFUNCTION("REGEXREPLACE(C8085,""-\d+(.*)|--\d+(.*)"","""")"),"MEOBECQ")</f>
        <v>MEOBECQ</v>
      </c>
      <c r="E8085" s="38" t="s">
        <v>258</v>
      </c>
      <c r="F8085" s="38" t="s">
        <v>123</v>
      </c>
      <c r="G8085" s="49" t="str">
        <f t="shared" si="1"/>
        <v>36500</v>
      </c>
      <c r="H8085" s="49">
        <f t="shared" si="2"/>
        <v>36118</v>
      </c>
    </row>
    <row r="8086">
      <c r="A8086" s="48" t="s">
        <v>423</v>
      </c>
      <c r="B8086" s="38">
        <v>2015.0</v>
      </c>
      <c r="C8086" s="38" t="s">
        <v>11725</v>
      </c>
      <c r="D8086" s="38" t="str">
        <f>IFERROR(__xludf.DUMMYFUNCTION("REGEXREPLACE(C8086,""-\d+(.*)|--\d+(.*)"","""")"),"ANCIENVILLE")</f>
        <v>ANCIENVILLE</v>
      </c>
      <c r="E8086" s="38" t="s">
        <v>191</v>
      </c>
      <c r="F8086" s="38" t="s">
        <v>113</v>
      </c>
      <c r="G8086" s="49" t="str">
        <f t="shared" si="1"/>
        <v>02600</v>
      </c>
      <c r="H8086" s="49" t="str">
        <f t="shared" si="2"/>
        <v>02015</v>
      </c>
    </row>
    <row r="8087">
      <c r="A8087" s="48" t="s">
        <v>883</v>
      </c>
      <c r="B8087" s="38">
        <v>71054.0</v>
      </c>
      <c r="C8087" s="38" t="s">
        <v>11726</v>
      </c>
      <c r="D8087" s="38" t="str">
        <f>IFERROR(__xludf.DUMMYFUNCTION("REGEXREPLACE(C8087,""-\d+(.*)|--\d+(.*)"","""")"),"BRAGNY-SUR-SAONE")</f>
        <v>BRAGNY-SUR-SAONE</v>
      </c>
      <c r="E8087" s="38" t="s">
        <v>344</v>
      </c>
      <c r="F8087" s="38" t="s">
        <v>106</v>
      </c>
      <c r="G8087" s="49" t="str">
        <f t="shared" si="1"/>
        <v>71350</v>
      </c>
      <c r="H8087" s="49">
        <f t="shared" si="2"/>
        <v>71054</v>
      </c>
    </row>
    <row r="8088">
      <c r="A8088" s="48" t="s">
        <v>5503</v>
      </c>
      <c r="B8088" s="38">
        <v>78417.0</v>
      </c>
      <c r="C8088" s="38" t="s">
        <v>3713</v>
      </c>
      <c r="D8088" s="38" t="str">
        <f>IFERROR(__xludf.DUMMYFUNCTION("REGEXREPLACE(C8088,""-\d+(.*)|--\d+(.*)"","""")"),"MONTCHAUVET")</f>
        <v>MONTCHAUVET</v>
      </c>
      <c r="E8088" s="38" t="s">
        <v>362</v>
      </c>
      <c r="F8088" s="38" t="s">
        <v>245</v>
      </c>
      <c r="G8088" s="49" t="str">
        <f t="shared" si="1"/>
        <v>78790</v>
      </c>
      <c r="H8088" s="49">
        <f t="shared" si="2"/>
        <v>78417</v>
      </c>
    </row>
    <row r="8089">
      <c r="A8089" s="48" t="s">
        <v>6651</v>
      </c>
      <c r="B8089" s="38">
        <v>31527.0</v>
      </c>
      <c r="C8089" s="38" t="s">
        <v>11727</v>
      </c>
      <c r="D8089" s="38" t="str">
        <f>IFERROR(__xludf.DUMMYFUNCTION("REGEXREPLACE(C8089,""-\d+(.*)|--\d+(.*)"","""")"),"LA SALVETAT-LAURAGAIS")</f>
        <v>LA SALVETAT-LAURAGAIS</v>
      </c>
      <c r="E8089" s="38" t="s">
        <v>93</v>
      </c>
      <c r="F8089" s="38" t="s">
        <v>94</v>
      </c>
      <c r="G8089" s="49" t="str">
        <f t="shared" si="1"/>
        <v>31460</v>
      </c>
      <c r="H8089" s="49">
        <f t="shared" si="2"/>
        <v>31527</v>
      </c>
    </row>
    <row r="8090">
      <c r="A8090" s="48" t="s">
        <v>1137</v>
      </c>
      <c r="B8090" s="38">
        <v>60275.0</v>
      </c>
      <c r="C8090" s="38" t="s">
        <v>11728</v>
      </c>
      <c r="D8090" s="38" t="str">
        <f>IFERROR(__xludf.DUMMYFUNCTION("REGEXREPLACE(C8090,""-\d+(.*)|--\d+(.*)"","""")"),"GLATIGNY")</f>
        <v>GLATIGNY</v>
      </c>
      <c r="E8090" s="38" t="s">
        <v>112</v>
      </c>
      <c r="F8090" s="38" t="s">
        <v>113</v>
      </c>
      <c r="G8090" s="49" t="str">
        <f t="shared" si="1"/>
        <v>60650</v>
      </c>
      <c r="H8090" s="49">
        <f t="shared" si="2"/>
        <v>60275</v>
      </c>
    </row>
    <row r="8091">
      <c r="A8091" s="48" t="s">
        <v>2075</v>
      </c>
      <c r="B8091" s="38">
        <v>46139.0</v>
      </c>
      <c r="C8091" s="38" t="s">
        <v>11729</v>
      </c>
      <c r="D8091" s="38" t="str">
        <f>IFERROR(__xludf.DUMMYFUNCTION("REGEXREPLACE(C8091,""-\d+(.*)|--\d+(.*)"","""")"),"LABATHUDE")</f>
        <v>LABATHUDE</v>
      </c>
      <c r="E8091" s="38" t="s">
        <v>185</v>
      </c>
      <c r="F8091" s="38" t="s">
        <v>94</v>
      </c>
      <c r="G8091" s="49" t="str">
        <f t="shared" si="1"/>
        <v>46120</v>
      </c>
      <c r="H8091" s="49">
        <f t="shared" si="2"/>
        <v>46139</v>
      </c>
    </row>
    <row r="8092">
      <c r="A8092" s="48" t="s">
        <v>7786</v>
      </c>
      <c r="B8092" s="38">
        <v>8145.0</v>
      </c>
      <c r="C8092" s="38" t="s">
        <v>11730</v>
      </c>
      <c r="D8092" s="38" t="str">
        <f>IFERROR(__xludf.DUMMYFUNCTION("REGEXREPLACE(C8092,""-\d+(.*)|--\d+(.*)"","""")"),"DOUZY")</f>
        <v>DOUZY</v>
      </c>
      <c r="E8092" s="38" t="s">
        <v>327</v>
      </c>
      <c r="F8092" s="38" t="s">
        <v>130</v>
      </c>
      <c r="G8092" s="49" t="str">
        <f t="shared" si="1"/>
        <v>08140</v>
      </c>
      <c r="H8092" s="49" t="str">
        <f t="shared" si="2"/>
        <v>08145</v>
      </c>
    </row>
    <row r="8093">
      <c r="A8093" s="48" t="s">
        <v>4748</v>
      </c>
      <c r="B8093" s="38">
        <v>77126.0</v>
      </c>
      <c r="C8093" s="38" t="s">
        <v>11731</v>
      </c>
      <c r="D8093" s="38" t="str">
        <f>IFERROR(__xludf.DUMMYFUNCTION("REGEXREPLACE(C8093,""-\d+(.*)|--\d+(.*)"","""")"),"CONGIS-SUR-THEROUANNE")</f>
        <v>CONGIS-SUR-THEROUANNE</v>
      </c>
      <c r="E8093" s="38" t="s">
        <v>244</v>
      </c>
      <c r="F8093" s="38" t="s">
        <v>245</v>
      </c>
      <c r="G8093" s="49" t="str">
        <f t="shared" si="1"/>
        <v>77440</v>
      </c>
      <c r="H8093" s="49">
        <f t="shared" si="2"/>
        <v>77126</v>
      </c>
    </row>
    <row r="8094">
      <c r="A8094" s="48" t="s">
        <v>1027</v>
      </c>
      <c r="B8094" s="38">
        <v>1271.0</v>
      </c>
      <c r="C8094" s="38" t="s">
        <v>11732</v>
      </c>
      <c r="D8094" s="38" t="str">
        <f>IFERROR(__xludf.DUMMYFUNCTION("REGEXREPLACE(C8094,""-\d+(.*)|--\d+(.*)"","""")"),"NATTAGES")</f>
        <v>NATTAGES</v>
      </c>
      <c r="E8094" s="38" t="s">
        <v>255</v>
      </c>
      <c r="F8094" s="38" t="s">
        <v>102</v>
      </c>
      <c r="G8094" s="49" t="str">
        <f t="shared" si="1"/>
        <v>01300</v>
      </c>
      <c r="H8094" s="49" t="str">
        <f t="shared" si="2"/>
        <v>01271</v>
      </c>
    </row>
    <row r="8095">
      <c r="A8095" s="48" t="s">
        <v>3133</v>
      </c>
      <c r="B8095" s="38">
        <v>79183.0</v>
      </c>
      <c r="C8095" s="38" t="s">
        <v>11733</v>
      </c>
      <c r="D8095" s="38" t="str">
        <f>IFERROR(__xludf.DUMMYFUNCTION("REGEXREPLACE(C8095,""-\d+(.*)|--\d+(.*)"","""")"),"MONTRAVERS")</f>
        <v>MONTRAVERS</v>
      </c>
      <c r="E8095" s="38" t="s">
        <v>337</v>
      </c>
      <c r="F8095" s="38" t="s">
        <v>338</v>
      </c>
      <c r="G8095" s="49" t="str">
        <f t="shared" si="1"/>
        <v>79140</v>
      </c>
      <c r="H8095" s="49">
        <f t="shared" si="2"/>
        <v>79183</v>
      </c>
    </row>
    <row r="8096">
      <c r="A8096" s="48" t="s">
        <v>7334</v>
      </c>
      <c r="B8096" s="38">
        <v>45023.0</v>
      </c>
      <c r="C8096" s="38" t="s">
        <v>11734</v>
      </c>
      <c r="D8096" s="38" t="str">
        <f>IFERROR(__xludf.DUMMYFUNCTION("REGEXREPLACE(C8096,""-\d+(.*)|--\d+(.*)"","""")"),"BATILLY-EN-PUISAYE")</f>
        <v>BATILLY-EN-PUISAYE</v>
      </c>
      <c r="E8096" s="38" t="s">
        <v>122</v>
      </c>
      <c r="F8096" s="38" t="s">
        <v>123</v>
      </c>
      <c r="G8096" s="49" t="str">
        <f t="shared" si="1"/>
        <v>45420</v>
      </c>
      <c r="H8096" s="49">
        <f t="shared" si="2"/>
        <v>45023</v>
      </c>
    </row>
    <row r="8097">
      <c r="A8097" s="48" t="s">
        <v>3889</v>
      </c>
      <c r="B8097" s="38">
        <v>87097.0</v>
      </c>
      <c r="C8097" s="38" t="s">
        <v>11735</v>
      </c>
      <c r="D8097" s="38" t="str">
        <f>IFERROR(__xludf.DUMMYFUNCTION("REGEXREPLACE(C8097,""-\d+(.*)|--\d+(.*)"","""")"),"MEZIERES-SUR-ISSOIRE")</f>
        <v>MEZIERES-SUR-ISSOIRE</v>
      </c>
      <c r="E8097" s="38" t="s">
        <v>897</v>
      </c>
      <c r="F8097" s="38" t="s">
        <v>98</v>
      </c>
      <c r="G8097" s="49" t="str">
        <f t="shared" si="1"/>
        <v>87330</v>
      </c>
      <c r="H8097" s="49">
        <f t="shared" si="2"/>
        <v>87097</v>
      </c>
    </row>
    <row r="8098">
      <c r="A8098" s="48" t="s">
        <v>1796</v>
      </c>
      <c r="B8098" s="38">
        <v>31535.0</v>
      </c>
      <c r="C8098" s="38" t="s">
        <v>11736</v>
      </c>
      <c r="D8098" s="38" t="str">
        <f>IFERROR(__xludf.DUMMYFUNCTION("REGEXREPLACE(C8098,""-\d+(.*)|--\d+(.*)"","""")"),"SAUVETERRE-DE-COMMINGES")</f>
        <v>SAUVETERRE-DE-COMMINGES</v>
      </c>
      <c r="E8098" s="38" t="s">
        <v>93</v>
      </c>
      <c r="F8098" s="38" t="s">
        <v>94</v>
      </c>
      <c r="G8098" s="49" t="str">
        <f t="shared" si="1"/>
        <v>31510</v>
      </c>
      <c r="H8098" s="49">
        <f t="shared" si="2"/>
        <v>31535</v>
      </c>
    </row>
    <row r="8099">
      <c r="A8099" s="48" t="s">
        <v>6210</v>
      </c>
      <c r="B8099" s="38">
        <v>54015.0</v>
      </c>
      <c r="C8099" s="38" t="s">
        <v>11737</v>
      </c>
      <c r="D8099" s="38" t="str">
        <f>IFERROR(__xludf.DUMMYFUNCTION("REGEXREPLACE(C8099,""-\d+(.*)|--\d+(.*)"","""")"),"ANDERNY")</f>
        <v>ANDERNY</v>
      </c>
      <c r="E8099" s="38" t="s">
        <v>548</v>
      </c>
      <c r="F8099" s="38" t="s">
        <v>195</v>
      </c>
      <c r="G8099" s="49" t="str">
        <f t="shared" si="1"/>
        <v>54560</v>
      </c>
      <c r="H8099" s="49">
        <f t="shared" si="2"/>
        <v>54015</v>
      </c>
    </row>
    <row r="8100">
      <c r="A8100" s="48" t="s">
        <v>259</v>
      </c>
      <c r="B8100" s="38">
        <v>24393.0</v>
      </c>
      <c r="C8100" s="38" t="s">
        <v>1715</v>
      </c>
      <c r="D8100" s="38" t="str">
        <f>IFERROR(__xludf.DUMMYFUNCTION("REGEXREPLACE(C8100,""-\d+(.*)|--\d+(.*)"","""")"),"SAINTE-CROIX")</f>
        <v>SAINTE-CROIX</v>
      </c>
      <c r="E8100" s="38" t="s">
        <v>261</v>
      </c>
      <c r="F8100" s="38" t="s">
        <v>252</v>
      </c>
      <c r="G8100" s="49" t="str">
        <f t="shared" si="1"/>
        <v>24440</v>
      </c>
      <c r="H8100" s="49">
        <f t="shared" si="2"/>
        <v>24393</v>
      </c>
    </row>
    <row r="8101">
      <c r="A8101" s="48" t="s">
        <v>11738</v>
      </c>
      <c r="B8101" s="38">
        <v>56114.0</v>
      </c>
      <c r="C8101" s="38" t="s">
        <v>11739</v>
      </c>
      <c r="D8101" s="38" t="str">
        <f>IFERROR(__xludf.DUMMYFUNCTION("REGEXREPLACE(C8101,""-\d+(.*)|--\d+(.*)"","""")"),"LOCMARIA")</f>
        <v>LOCMARIA</v>
      </c>
      <c r="E8101" s="38" t="s">
        <v>173</v>
      </c>
      <c r="F8101" s="38" t="s">
        <v>90</v>
      </c>
      <c r="G8101" s="49" t="str">
        <f t="shared" si="1"/>
        <v>56360</v>
      </c>
      <c r="H8101" s="49">
        <f t="shared" si="2"/>
        <v>56114</v>
      </c>
    </row>
    <row r="8102">
      <c r="A8102" s="48" t="s">
        <v>3240</v>
      </c>
      <c r="B8102" s="38">
        <v>27581.0</v>
      </c>
      <c r="C8102" s="38" t="s">
        <v>11740</v>
      </c>
      <c r="D8102" s="38" t="str">
        <f>IFERROR(__xludf.DUMMYFUNCTION("REGEXREPLACE(C8102,""-\d+(.*)|--\d+(.*)"","""")"),"SAINT-OUEN-DES-CHAMPS")</f>
        <v>SAINT-OUEN-DES-CHAMPS</v>
      </c>
      <c r="E8102" s="38" t="s">
        <v>241</v>
      </c>
      <c r="F8102" s="38" t="s">
        <v>134</v>
      </c>
      <c r="G8102" s="49" t="str">
        <f t="shared" si="1"/>
        <v>27680</v>
      </c>
      <c r="H8102" s="49">
        <f t="shared" si="2"/>
        <v>27581</v>
      </c>
    </row>
    <row r="8103">
      <c r="A8103" s="48" t="s">
        <v>2681</v>
      </c>
      <c r="B8103" s="38">
        <v>67018.0</v>
      </c>
      <c r="C8103" s="38" t="s">
        <v>11741</v>
      </c>
      <c r="D8103" s="38" t="str">
        <f>IFERROR(__xludf.DUMMYFUNCTION("REGEXREPLACE(C8103,""-\d+(.*)|--\d+(.*)"","""")"),"BALBRONN")</f>
        <v>BALBRONN</v>
      </c>
      <c r="E8103" s="38" t="s">
        <v>210</v>
      </c>
      <c r="F8103" s="38" t="s">
        <v>151</v>
      </c>
      <c r="G8103" s="49" t="str">
        <f t="shared" si="1"/>
        <v>67310</v>
      </c>
      <c r="H8103" s="49">
        <f t="shared" si="2"/>
        <v>67018</v>
      </c>
    </row>
    <row r="8104">
      <c r="A8104" s="48" t="s">
        <v>3448</v>
      </c>
      <c r="B8104" s="38">
        <v>65272.0</v>
      </c>
      <c r="C8104" s="38" t="s">
        <v>11742</v>
      </c>
      <c r="D8104" s="38" t="str">
        <f>IFERROR(__xludf.DUMMYFUNCTION("REGEXREPLACE(C8104,""-\d+(.*)|--\d+(.*)"","""")"),"LHEZ")</f>
        <v>LHEZ</v>
      </c>
      <c r="E8104" s="38" t="s">
        <v>200</v>
      </c>
      <c r="F8104" s="38" t="s">
        <v>94</v>
      </c>
      <c r="G8104" s="49" t="str">
        <f t="shared" si="1"/>
        <v>65190</v>
      </c>
      <c r="H8104" s="49">
        <f t="shared" si="2"/>
        <v>65272</v>
      </c>
    </row>
    <row r="8105">
      <c r="A8105" s="48" t="s">
        <v>4267</v>
      </c>
      <c r="B8105" s="38">
        <v>62541.0</v>
      </c>
      <c r="C8105" s="38" t="s">
        <v>11743</v>
      </c>
      <c r="D8105" s="38" t="str">
        <f>IFERROR(__xludf.DUMMYFUNCTION("REGEXREPLACE(C8105,""-\d+(.*)|--\d+(.*)"","""")"),"MAISONCELLE")</f>
        <v>MAISONCELLE</v>
      </c>
      <c r="E8105" s="38" t="s">
        <v>109</v>
      </c>
      <c r="F8105" s="38" t="s">
        <v>86</v>
      </c>
      <c r="G8105" s="49" t="str">
        <f t="shared" si="1"/>
        <v>62310</v>
      </c>
      <c r="H8105" s="49">
        <f t="shared" si="2"/>
        <v>62541</v>
      </c>
    </row>
    <row r="8106">
      <c r="A8106" s="48" t="s">
        <v>3835</v>
      </c>
      <c r="B8106" s="38">
        <v>25320.0</v>
      </c>
      <c r="C8106" s="38" t="s">
        <v>11744</v>
      </c>
      <c r="D8106" s="38" t="str">
        <f>IFERROR(__xludf.DUMMYFUNCTION("REGEXREPLACE(C8106,""-\d+(.*)|--\d+(.*)"","""")"),"LABERGEMENT-SAINTE-MARIE")</f>
        <v>LABERGEMENT-SAINTE-MARIE</v>
      </c>
      <c r="E8106" s="38" t="s">
        <v>213</v>
      </c>
      <c r="F8106" s="38" t="s">
        <v>214</v>
      </c>
      <c r="G8106" s="49" t="str">
        <f t="shared" si="1"/>
        <v>25160</v>
      </c>
      <c r="H8106" s="49">
        <f t="shared" si="2"/>
        <v>25320</v>
      </c>
    </row>
    <row r="8107">
      <c r="A8107" s="48" t="s">
        <v>7399</v>
      </c>
      <c r="B8107" s="38">
        <v>28165.0</v>
      </c>
      <c r="C8107" s="38" t="s">
        <v>11745</v>
      </c>
      <c r="D8107" s="38" t="str">
        <f>IFERROR(__xludf.DUMMYFUNCTION("REGEXREPLACE(C8107,""-\d+(.*)|--\d+(.*)"","""")"),"FRETIGNY")</f>
        <v>FRETIGNY</v>
      </c>
      <c r="E8107" s="38" t="s">
        <v>300</v>
      </c>
      <c r="F8107" s="38" t="s">
        <v>123</v>
      </c>
      <c r="G8107" s="49" t="str">
        <f t="shared" si="1"/>
        <v>28480</v>
      </c>
      <c r="H8107" s="49">
        <f t="shared" si="2"/>
        <v>28165</v>
      </c>
    </row>
    <row r="8108">
      <c r="A8108" s="48" t="s">
        <v>3486</v>
      </c>
      <c r="B8108" s="38">
        <v>76111.0</v>
      </c>
      <c r="C8108" s="38" t="s">
        <v>11746</v>
      </c>
      <c r="D8108" s="38" t="str">
        <f>IFERROR(__xludf.DUMMYFUNCTION("REGEXREPLACE(C8108,""-\d+(.*)|--\d+(.*)"","""")"),"BOIS-L'EVEQUE")</f>
        <v>BOIS-L'EVEQUE</v>
      </c>
      <c r="E8108" s="38" t="s">
        <v>133</v>
      </c>
      <c r="F8108" s="38" t="s">
        <v>134</v>
      </c>
      <c r="G8108" s="49" t="str">
        <f t="shared" si="1"/>
        <v>76160</v>
      </c>
      <c r="H8108" s="49">
        <f t="shared" si="2"/>
        <v>76111</v>
      </c>
    </row>
    <row r="8109">
      <c r="A8109" s="48" t="s">
        <v>5616</v>
      </c>
      <c r="B8109" s="38">
        <v>71411.0</v>
      </c>
      <c r="C8109" s="38" t="s">
        <v>11747</v>
      </c>
      <c r="D8109" s="38" t="str">
        <f>IFERROR(__xludf.DUMMYFUNCTION("REGEXREPLACE(C8109,""-\d+(.*)|--\d+(.*)"","""")"),"SAINT-EUGENE")</f>
        <v>SAINT-EUGENE</v>
      </c>
      <c r="E8109" s="38" t="s">
        <v>344</v>
      </c>
      <c r="F8109" s="38" t="s">
        <v>106</v>
      </c>
      <c r="G8109" s="49" t="str">
        <f t="shared" si="1"/>
        <v>71190</v>
      </c>
      <c r="H8109" s="49">
        <f t="shared" si="2"/>
        <v>71411</v>
      </c>
    </row>
    <row r="8110">
      <c r="A8110" s="48" t="s">
        <v>11748</v>
      </c>
      <c r="B8110" s="38">
        <v>13118.0</v>
      </c>
      <c r="C8110" s="38" t="s">
        <v>11749</v>
      </c>
      <c r="D8110" s="38" t="str">
        <f>IFERROR(__xludf.DUMMYFUNCTION("REGEXREPLACE(C8110,""-\d+(.*)|--\d+(.*)"","""")"),"COUDOUX")</f>
        <v>COUDOUX</v>
      </c>
      <c r="E8110" s="38" t="s">
        <v>980</v>
      </c>
      <c r="F8110" s="38" t="s">
        <v>228</v>
      </c>
      <c r="G8110" s="49" t="str">
        <f t="shared" si="1"/>
        <v>13111</v>
      </c>
      <c r="H8110" s="49">
        <f t="shared" si="2"/>
        <v>13118</v>
      </c>
    </row>
    <row r="8111">
      <c r="A8111" s="48" t="s">
        <v>6965</v>
      </c>
      <c r="B8111" s="38">
        <v>2602.0</v>
      </c>
      <c r="C8111" s="38" t="s">
        <v>11750</v>
      </c>
      <c r="D8111" s="38" t="str">
        <f>IFERROR(__xludf.DUMMYFUNCTION("REGEXREPLACE(C8111,""-\d+(.*)|--\d+(.*)"","""")"),"PINON")</f>
        <v>PINON</v>
      </c>
      <c r="E8111" s="38" t="s">
        <v>191</v>
      </c>
      <c r="F8111" s="38" t="s">
        <v>113</v>
      </c>
      <c r="G8111" s="49" t="str">
        <f t="shared" si="1"/>
        <v>02320</v>
      </c>
      <c r="H8111" s="49" t="str">
        <f t="shared" si="2"/>
        <v>02602</v>
      </c>
    </row>
    <row r="8112">
      <c r="A8112" s="48" t="s">
        <v>3583</v>
      </c>
      <c r="B8112" s="38">
        <v>7001.0</v>
      </c>
      <c r="C8112" s="38" t="s">
        <v>11751</v>
      </c>
      <c r="D8112" s="38" t="str">
        <f>IFERROR(__xludf.DUMMYFUNCTION("REGEXREPLACE(C8112,""-\d+(.*)|--\d+(.*)"","""")"),"ACCONS")</f>
        <v>ACCONS</v>
      </c>
      <c r="E8112" s="38" t="s">
        <v>144</v>
      </c>
      <c r="F8112" s="38" t="s">
        <v>102</v>
      </c>
      <c r="G8112" s="49" t="str">
        <f t="shared" si="1"/>
        <v>07160</v>
      </c>
      <c r="H8112" s="49" t="str">
        <f t="shared" si="2"/>
        <v>07001</v>
      </c>
    </row>
    <row r="8113">
      <c r="A8113" s="48" t="s">
        <v>4926</v>
      </c>
      <c r="B8113" s="38">
        <v>14369.0</v>
      </c>
      <c r="C8113" s="38" t="s">
        <v>11752</v>
      </c>
      <c r="D8113" s="38" t="str">
        <f>IFERROR(__xludf.DUMMYFUNCTION("REGEXREPLACE(C8113,""-\d+(.*)|--\d+(.*)"","""")"),"LITTEAU")</f>
        <v>LITTEAU</v>
      </c>
      <c r="E8113" s="38" t="s">
        <v>137</v>
      </c>
      <c r="F8113" s="38" t="s">
        <v>138</v>
      </c>
      <c r="G8113" s="49" t="str">
        <f t="shared" si="1"/>
        <v>14490</v>
      </c>
      <c r="H8113" s="49">
        <f t="shared" si="2"/>
        <v>14369</v>
      </c>
    </row>
    <row r="8114">
      <c r="A8114" s="48" t="s">
        <v>1995</v>
      </c>
      <c r="B8114" s="38">
        <v>77264.0</v>
      </c>
      <c r="C8114" s="38" t="s">
        <v>11753</v>
      </c>
      <c r="D8114" s="38" t="str">
        <f>IFERROR(__xludf.DUMMYFUNCTION("REGEXREPLACE(C8114,""-\d+(.*)|--\d+(.*)"","""")"),"LUMIGNY-NESLES-ORMEAUX")</f>
        <v>LUMIGNY-NESLES-ORMEAUX</v>
      </c>
      <c r="E8114" s="38" t="s">
        <v>244</v>
      </c>
      <c r="F8114" s="38" t="s">
        <v>245</v>
      </c>
      <c r="G8114" s="49" t="str">
        <f t="shared" si="1"/>
        <v>77540</v>
      </c>
      <c r="H8114" s="49">
        <f t="shared" si="2"/>
        <v>77264</v>
      </c>
    </row>
    <row r="8115">
      <c r="A8115" s="48" t="s">
        <v>11754</v>
      </c>
      <c r="B8115" s="38">
        <v>4040.0</v>
      </c>
      <c r="C8115" s="38" t="s">
        <v>11755</v>
      </c>
      <c r="D8115" s="38" t="str">
        <f>IFERROR(__xludf.DUMMYFUNCTION("REGEXREPLACE(C8115,""-\d+(.*)|--\d+(.*)"","""")"),"LE CASTELLARD-MELAN")</f>
        <v>LE CASTELLARD-MELAN</v>
      </c>
      <c r="E8115" s="38" t="s">
        <v>662</v>
      </c>
      <c r="F8115" s="38" t="s">
        <v>228</v>
      </c>
      <c r="G8115" s="49" t="str">
        <f t="shared" si="1"/>
        <v>04380</v>
      </c>
      <c r="H8115" s="49" t="str">
        <f t="shared" si="2"/>
        <v>04040</v>
      </c>
    </row>
    <row r="8116">
      <c r="A8116" s="48" t="s">
        <v>8059</v>
      </c>
      <c r="B8116" s="38">
        <v>70322.0</v>
      </c>
      <c r="C8116" s="38" t="s">
        <v>11756</v>
      </c>
      <c r="D8116" s="38" t="str">
        <f>IFERROR(__xludf.DUMMYFUNCTION("REGEXREPLACE(C8116,""-\d+(.*)|--\d+(.*)"","""")"),"MAILLERONCOURT-CHARETTE")</f>
        <v>MAILLERONCOURT-CHARETTE</v>
      </c>
      <c r="E8116" s="38" t="s">
        <v>956</v>
      </c>
      <c r="F8116" s="38" t="s">
        <v>214</v>
      </c>
      <c r="G8116" s="49" t="str">
        <f t="shared" si="1"/>
        <v>70240</v>
      </c>
      <c r="H8116" s="49">
        <f t="shared" si="2"/>
        <v>70322</v>
      </c>
    </row>
    <row r="8117">
      <c r="A8117" s="48" t="s">
        <v>2219</v>
      </c>
      <c r="B8117" s="38">
        <v>2027.0</v>
      </c>
      <c r="C8117" s="38" t="s">
        <v>11757</v>
      </c>
      <c r="D8117" s="38" t="str">
        <f>IFERROR(__xludf.DUMMYFUNCTION("REGEXREPLACE(C8117,""-\d+(.*)|--\d+(.*)"","""")"),"ASSIS-SUR-SERRE")</f>
        <v>ASSIS-SUR-SERRE</v>
      </c>
      <c r="E8117" s="38" t="s">
        <v>191</v>
      </c>
      <c r="F8117" s="38" t="s">
        <v>113</v>
      </c>
      <c r="G8117" s="49" t="str">
        <f t="shared" si="1"/>
        <v>02270</v>
      </c>
      <c r="H8117" s="49" t="str">
        <f t="shared" si="2"/>
        <v>02027</v>
      </c>
    </row>
    <row r="8118">
      <c r="A8118" s="48" t="s">
        <v>1459</v>
      </c>
      <c r="B8118" s="38">
        <v>29174.0</v>
      </c>
      <c r="C8118" s="38" t="s">
        <v>11758</v>
      </c>
      <c r="D8118" s="38" t="str">
        <f>IFERROR(__xludf.DUMMYFUNCTION("REGEXREPLACE(C8118,""-\d+(.*)|--\d+(.*)"","""")"),"PLONEOUR-LANVERN")</f>
        <v>PLONEOUR-LANVERN</v>
      </c>
      <c r="E8118" s="38" t="s">
        <v>176</v>
      </c>
      <c r="F8118" s="38" t="s">
        <v>90</v>
      </c>
      <c r="G8118" s="49" t="str">
        <f t="shared" si="1"/>
        <v>29720</v>
      </c>
      <c r="H8118" s="49">
        <f t="shared" si="2"/>
        <v>29174</v>
      </c>
    </row>
    <row r="8119">
      <c r="A8119" s="48" t="s">
        <v>1012</v>
      </c>
      <c r="B8119" s="38">
        <v>21449.0</v>
      </c>
      <c r="C8119" s="38" t="s">
        <v>11759</v>
      </c>
      <c r="D8119" s="38" t="str">
        <f>IFERROR(__xludf.DUMMYFUNCTION("REGEXREPLACE(C8119,""-\d+(.*)|--\d+(.*)"","""")"),"NAN-SOUS-THIL")</f>
        <v>NAN-SOUS-THIL</v>
      </c>
      <c r="E8119" s="38" t="s">
        <v>105</v>
      </c>
      <c r="F8119" s="38" t="s">
        <v>106</v>
      </c>
      <c r="G8119" s="49" t="str">
        <f t="shared" si="1"/>
        <v>21390</v>
      </c>
      <c r="H8119" s="49">
        <f t="shared" si="2"/>
        <v>21449</v>
      </c>
    </row>
    <row r="8120">
      <c r="A8120" s="48" t="s">
        <v>3795</v>
      </c>
      <c r="B8120" s="38">
        <v>24458.0</v>
      </c>
      <c r="C8120" s="38" t="s">
        <v>11760</v>
      </c>
      <c r="D8120" s="38" t="str">
        <f>IFERROR(__xludf.DUMMYFUNCTION("REGEXREPLACE(C8120,""-\d+(.*)|--\d+(.*)"","""")"),"SAINT-MARTIN-LE-PIN")</f>
        <v>SAINT-MARTIN-LE-PIN</v>
      </c>
      <c r="E8120" s="38" t="s">
        <v>261</v>
      </c>
      <c r="F8120" s="38" t="s">
        <v>252</v>
      </c>
      <c r="G8120" s="49" t="str">
        <f t="shared" si="1"/>
        <v>24300</v>
      </c>
      <c r="H8120" s="49">
        <f t="shared" si="2"/>
        <v>24458</v>
      </c>
    </row>
    <row r="8121">
      <c r="A8121" s="48" t="s">
        <v>4079</v>
      </c>
      <c r="B8121" s="38">
        <v>1416.0</v>
      </c>
      <c r="C8121" s="38" t="s">
        <v>11761</v>
      </c>
      <c r="D8121" s="38" t="str">
        <f>IFERROR(__xludf.DUMMYFUNCTION("REGEXREPLACE(C8121,""-\d+(.*)|--\d+(.*)"","""")"),"TENAY")</f>
        <v>TENAY</v>
      </c>
      <c r="E8121" s="38" t="s">
        <v>255</v>
      </c>
      <c r="F8121" s="38" t="s">
        <v>102</v>
      </c>
      <c r="G8121" s="49" t="str">
        <f t="shared" si="1"/>
        <v>01230</v>
      </c>
      <c r="H8121" s="49" t="str">
        <f t="shared" si="2"/>
        <v>01416</v>
      </c>
    </row>
    <row r="8122">
      <c r="A8122" s="48" t="s">
        <v>4018</v>
      </c>
      <c r="B8122" s="38">
        <v>55388.0</v>
      </c>
      <c r="C8122" s="38" t="s">
        <v>11762</v>
      </c>
      <c r="D8122" s="38" t="str">
        <f>IFERROR(__xludf.DUMMYFUNCTION("REGEXREPLACE(C8122,""-\d+(.*)|--\d+(.*)"","""")"),"NOYERS-AUZECOURT")</f>
        <v>NOYERS-AUZECOURT</v>
      </c>
      <c r="E8122" s="38" t="s">
        <v>322</v>
      </c>
      <c r="F8122" s="38" t="s">
        <v>195</v>
      </c>
      <c r="G8122" s="49" t="str">
        <f t="shared" si="1"/>
        <v>55800</v>
      </c>
      <c r="H8122" s="49">
        <f t="shared" si="2"/>
        <v>55388</v>
      </c>
    </row>
    <row r="8123">
      <c r="A8123" s="48" t="s">
        <v>148</v>
      </c>
      <c r="B8123" s="38">
        <v>68131.0</v>
      </c>
      <c r="C8123" s="38" t="s">
        <v>11763</v>
      </c>
      <c r="D8123" s="38" t="str">
        <f>IFERROR(__xludf.DUMMYFUNCTION("REGEXREPLACE(C8123,""-\d+(.*)|--\d+(.*)"","""")"),"HEIWILLER")</f>
        <v>HEIWILLER</v>
      </c>
      <c r="E8123" s="38" t="s">
        <v>150</v>
      </c>
      <c r="F8123" s="38" t="s">
        <v>151</v>
      </c>
      <c r="G8123" s="49" t="str">
        <f t="shared" si="1"/>
        <v>68130</v>
      </c>
      <c r="H8123" s="49">
        <f t="shared" si="2"/>
        <v>68131</v>
      </c>
    </row>
    <row r="8124">
      <c r="A8124" s="48" t="s">
        <v>342</v>
      </c>
      <c r="B8124" s="38">
        <v>71069.0</v>
      </c>
      <c r="C8124" s="38" t="s">
        <v>5387</v>
      </c>
      <c r="D8124" s="38" t="str">
        <f>IFERROR(__xludf.DUMMYFUNCTION("REGEXREPLACE(C8124,""-\d+(.*)|--\d+(.*)"","""")"),"BUSSIERES")</f>
        <v>BUSSIERES</v>
      </c>
      <c r="E8124" s="38" t="s">
        <v>344</v>
      </c>
      <c r="F8124" s="38" t="s">
        <v>106</v>
      </c>
      <c r="G8124" s="49" t="str">
        <f t="shared" si="1"/>
        <v>71960</v>
      </c>
      <c r="H8124" s="49">
        <f t="shared" si="2"/>
        <v>71069</v>
      </c>
    </row>
    <row r="8125">
      <c r="A8125" s="48" t="s">
        <v>4018</v>
      </c>
      <c r="B8125" s="38">
        <v>55134.0</v>
      </c>
      <c r="C8125" s="38" t="s">
        <v>11764</v>
      </c>
      <c r="D8125" s="38" t="str">
        <f>IFERROR(__xludf.DUMMYFUNCTION("REGEXREPLACE(C8125,""-\d+(.*)|--\d+(.*)"","""")"),"COUVONGES")</f>
        <v>COUVONGES</v>
      </c>
      <c r="E8125" s="38" t="s">
        <v>322</v>
      </c>
      <c r="F8125" s="38" t="s">
        <v>195</v>
      </c>
      <c r="G8125" s="49" t="str">
        <f t="shared" si="1"/>
        <v>55800</v>
      </c>
      <c r="H8125" s="49">
        <f t="shared" si="2"/>
        <v>55134</v>
      </c>
    </row>
    <row r="8126">
      <c r="A8126" s="48" t="s">
        <v>11765</v>
      </c>
      <c r="B8126" s="38">
        <v>58104.0</v>
      </c>
      <c r="C8126" s="38" t="s">
        <v>11766</v>
      </c>
      <c r="D8126" s="38" t="str">
        <f>IFERROR(__xludf.DUMMYFUNCTION("REGEXREPLACE(C8126,""-\d+(.*)|--\d+(.*)"","""")"),"DORNES")</f>
        <v>DORNES</v>
      </c>
      <c r="E8126" s="38" t="s">
        <v>219</v>
      </c>
      <c r="F8126" s="38" t="s">
        <v>106</v>
      </c>
      <c r="G8126" s="49" t="str">
        <f t="shared" si="1"/>
        <v>58390</v>
      </c>
      <c r="H8126" s="49">
        <f t="shared" si="2"/>
        <v>58104</v>
      </c>
    </row>
    <row r="8127">
      <c r="A8127" s="48" t="s">
        <v>11767</v>
      </c>
      <c r="B8127" s="38">
        <v>33080.0</v>
      </c>
      <c r="C8127" s="38" t="s">
        <v>11768</v>
      </c>
      <c r="D8127" s="38" t="str">
        <f>IFERROR(__xludf.DUMMYFUNCTION("REGEXREPLACE(C8127,""-\d+(.*)|--\d+(.*)"","""")"),"CADAUJAC")</f>
        <v>CADAUJAC</v>
      </c>
      <c r="E8127" s="38" t="s">
        <v>462</v>
      </c>
      <c r="F8127" s="38" t="s">
        <v>252</v>
      </c>
      <c r="G8127" s="49" t="str">
        <f t="shared" si="1"/>
        <v>33140</v>
      </c>
      <c r="H8127" s="49">
        <f t="shared" si="2"/>
        <v>33080</v>
      </c>
    </row>
    <row r="8128">
      <c r="A8128" s="48" t="s">
        <v>1686</v>
      </c>
      <c r="B8128" s="38">
        <v>51609.0</v>
      </c>
      <c r="C8128" s="38" t="s">
        <v>8296</v>
      </c>
      <c r="D8128" s="38" t="str">
        <f>IFERROR(__xludf.DUMMYFUNCTION("REGEXREPLACE(C8128,""-\d+(.*)|--\d+(.*)"","""")"),"VERNEUIL")</f>
        <v>VERNEUIL</v>
      </c>
      <c r="E8128" s="38" t="s">
        <v>129</v>
      </c>
      <c r="F8128" s="38" t="s">
        <v>130</v>
      </c>
      <c r="G8128" s="49" t="str">
        <f t="shared" si="1"/>
        <v>51700</v>
      </c>
      <c r="H8128" s="49">
        <f t="shared" si="2"/>
        <v>51609</v>
      </c>
    </row>
    <row r="8129">
      <c r="A8129" s="48" t="s">
        <v>1295</v>
      </c>
      <c r="B8129" s="38">
        <v>57590.0</v>
      </c>
      <c r="C8129" s="38" t="s">
        <v>11769</v>
      </c>
      <c r="D8129" s="38" t="str">
        <f>IFERROR(__xludf.DUMMYFUNCTION("REGEXREPLACE(C8129,""-\d+(.*)|--\d+(.*)"","""")"),"ROLBING")</f>
        <v>ROLBING</v>
      </c>
      <c r="E8129" s="38" t="s">
        <v>303</v>
      </c>
      <c r="F8129" s="38" t="s">
        <v>195</v>
      </c>
      <c r="G8129" s="49" t="str">
        <f t="shared" si="1"/>
        <v>57720</v>
      </c>
      <c r="H8129" s="49">
        <f t="shared" si="2"/>
        <v>57590</v>
      </c>
    </row>
    <row r="8130">
      <c r="A8130" s="48" t="s">
        <v>11770</v>
      </c>
      <c r="B8130" s="38">
        <v>74311.0</v>
      </c>
      <c r="C8130" s="38" t="s">
        <v>11771</v>
      </c>
      <c r="D8130" s="38" t="str">
        <f>IFERROR(__xludf.DUMMYFUNCTION("REGEXREPLACE(C8130,""-\d+(.*)|--\d+(.*)"","""")"),"VIUZ-EN-SALLAZ")</f>
        <v>VIUZ-EN-SALLAZ</v>
      </c>
      <c r="E8130" s="38" t="s">
        <v>319</v>
      </c>
      <c r="F8130" s="38" t="s">
        <v>102</v>
      </c>
      <c r="G8130" s="49" t="str">
        <f t="shared" si="1"/>
        <v>74250</v>
      </c>
      <c r="H8130" s="49">
        <f t="shared" si="2"/>
        <v>74311</v>
      </c>
    </row>
    <row r="8131">
      <c r="A8131" s="48" t="s">
        <v>4086</v>
      </c>
      <c r="B8131" s="38">
        <v>79099.0</v>
      </c>
      <c r="C8131" s="38" t="s">
        <v>11772</v>
      </c>
      <c r="D8131" s="38" t="str">
        <f>IFERROR(__xludf.DUMMYFUNCTION("REGEXREPLACE(C8131,""-\d+(.*)|--\d+(.*)"","""")"),"LA COUDRE")</f>
        <v>LA COUDRE</v>
      </c>
      <c r="E8131" s="38" t="s">
        <v>337</v>
      </c>
      <c r="F8131" s="38" t="s">
        <v>338</v>
      </c>
      <c r="G8131" s="49" t="str">
        <f t="shared" si="1"/>
        <v>79150</v>
      </c>
      <c r="H8131" s="49">
        <f t="shared" si="2"/>
        <v>79099</v>
      </c>
    </row>
    <row r="8132">
      <c r="A8132" s="48" t="s">
        <v>2362</v>
      </c>
      <c r="B8132" s="38">
        <v>14718.0</v>
      </c>
      <c r="C8132" s="38" t="s">
        <v>11773</v>
      </c>
      <c r="D8132" s="38" t="str">
        <f>IFERROR(__xludf.DUMMYFUNCTION("REGEXREPLACE(C8132,""-\d+(.*)|--\d+(.*)"","""")"),"TRUTTEMER-LE-PETIT")</f>
        <v>TRUTTEMER-LE-PETIT</v>
      </c>
      <c r="E8132" s="38" t="s">
        <v>137</v>
      </c>
      <c r="F8132" s="38" t="s">
        <v>138</v>
      </c>
      <c r="G8132" s="49" t="str">
        <f t="shared" si="1"/>
        <v>14500</v>
      </c>
      <c r="H8132" s="49">
        <f t="shared" si="2"/>
        <v>14718</v>
      </c>
    </row>
    <row r="8133">
      <c r="A8133" s="48" t="s">
        <v>11774</v>
      </c>
      <c r="B8133" s="38">
        <v>91570.0</v>
      </c>
      <c r="C8133" s="38" t="s">
        <v>11775</v>
      </c>
      <c r="D8133" s="38" t="str">
        <f>IFERROR(__xludf.DUMMYFUNCTION("REGEXREPLACE(C8133,""-\d+(.*)|--\d+(.*)"","""")"),"SAINT-MICHEL-SUR-ORGE")</f>
        <v>SAINT-MICHEL-SUR-ORGE</v>
      </c>
      <c r="E8133" s="38" t="s">
        <v>756</v>
      </c>
      <c r="F8133" s="38" t="s">
        <v>245</v>
      </c>
      <c r="G8133" s="49" t="str">
        <f t="shared" si="1"/>
        <v>91240</v>
      </c>
      <c r="H8133" s="49">
        <f t="shared" si="2"/>
        <v>91570</v>
      </c>
    </row>
    <row r="8134">
      <c r="A8134" s="48" t="s">
        <v>2899</v>
      </c>
      <c r="B8134" s="38">
        <v>15058.0</v>
      </c>
      <c r="C8134" s="38" t="s">
        <v>11776</v>
      </c>
      <c r="D8134" s="38" t="str">
        <f>IFERROR(__xludf.DUMMYFUNCTION("REGEXREPLACE(C8134,""-\d+(.*)|--\d+(.*)"","""")"),"CROS-DE-RONESQUE")</f>
        <v>CROS-DE-RONESQUE</v>
      </c>
      <c r="E8134" s="38" t="s">
        <v>632</v>
      </c>
      <c r="F8134" s="38" t="s">
        <v>161</v>
      </c>
      <c r="G8134" s="49" t="str">
        <f t="shared" si="1"/>
        <v>15130</v>
      </c>
      <c r="H8134" s="49">
        <f t="shared" si="2"/>
        <v>15058</v>
      </c>
    </row>
    <row r="8135">
      <c r="A8135" s="48" t="s">
        <v>4434</v>
      </c>
      <c r="B8135" s="38">
        <v>31023.0</v>
      </c>
      <c r="C8135" s="38" t="s">
        <v>11777</v>
      </c>
      <c r="D8135" s="38" t="str">
        <f>IFERROR(__xludf.DUMMYFUNCTION("REGEXREPLACE(C8135,""-\d+(.*)|--\d+(.*)"","""")"),"AULON")</f>
        <v>AULON</v>
      </c>
      <c r="E8135" s="38" t="s">
        <v>93</v>
      </c>
      <c r="F8135" s="38" t="s">
        <v>94</v>
      </c>
      <c r="G8135" s="49" t="str">
        <f t="shared" si="1"/>
        <v>31420</v>
      </c>
      <c r="H8135" s="49">
        <f t="shared" si="2"/>
        <v>31023</v>
      </c>
    </row>
    <row r="8136">
      <c r="A8136" s="48" t="s">
        <v>1966</v>
      </c>
      <c r="B8136" s="38">
        <v>2222.0</v>
      </c>
      <c r="C8136" s="38" t="s">
        <v>11778</v>
      </c>
      <c r="D8136" s="38" t="str">
        <f>IFERROR(__xludf.DUMMYFUNCTION("REGEXREPLACE(C8136,""-\d+(.*)|--\d+(.*)"","""")"),"COURBES")</f>
        <v>COURBES</v>
      </c>
      <c r="E8136" s="38" t="s">
        <v>191</v>
      </c>
      <c r="F8136" s="38" t="s">
        <v>113</v>
      </c>
      <c r="G8136" s="49" t="str">
        <f t="shared" si="1"/>
        <v>02800</v>
      </c>
      <c r="H8136" s="49" t="str">
        <f t="shared" si="2"/>
        <v>02222</v>
      </c>
    </row>
    <row r="8137">
      <c r="A8137" s="48" t="s">
        <v>2300</v>
      </c>
      <c r="B8137" s="38">
        <v>28227.0</v>
      </c>
      <c r="C8137" s="38" t="s">
        <v>11779</v>
      </c>
      <c r="D8137" s="38" t="str">
        <f>IFERROR(__xludf.DUMMYFUNCTION("REGEXREPLACE(C8137,""-\d+(.*)|--\d+(.*)"","""")"),"MAINTENON")</f>
        <v>MAINTENON</v>
      </c>
      <c r="E8137" s="38" t="s">
        <v>300</v>
      </c>
      <c r="F8137" s="38" t="s">
        <v>123</v>
      </c>
      <c r="G8137" s="49" t="str">
        <f t="shared" si="1"/>
        <v>28130</v>
      </c>
      <c r="H8137" s="49">
        <f t="shared" si="2"/>
        <v>28227</v>
      </c>
    </row>
    <row r="8138">
      <c r="A8138" s="48" t="s">
        <v>2942</v>
      </c>
      <c r="B8138" s="38">
        <v>14217.0</v>
      </c>
      <c r="C8138" s="38" t="s">
        <v>11780</v>
      </c>
      <c r="D8138" s="38" t="str">
        <f>IFERROR(__xludf.DUMMYFUNCTION("REGEXREPLACE(C8138,""-\d+(.*)|--\d+(.*)"","""")"),"DAMPIERRE")</f>
        <v>DAMPIERRE</v>
      </c>
      <c r="E8138" s="38" t="s">
        <v>137</v>
      </c>
      <c r="F8138" s="38" t="s">
        <v>138</v>
      </c>
      <c r="G8138" s="49" t="str">
        <f t="shared" si="1"/>
        <v>14350</v>
      </c>
      <c r="H8138" s="49">
        <f t="shared" si="2"/>
        <v>14217</v>
      </c>
    </row>
    <row r="8139">
      <c r="A8139" s="48" t="s">
        <v>5166</v>
      </c>
      <c r="B8139" s="38">
        <v>26076.0</v>
      </c>
      <c r="C8139" s="38" t="s">
        <v>11781</v>
      </c>
      <c r="D8139" s="38" t="str">
        <f>IFERROR(__xludf.DUMMYFUNCTION("REGEXREPLACE(C8139,""-\d+(.*)|--\d+(.*)"","""")"),"CHARENS")</f>
        <v>CHARENS</v>
      </c>
      <c r="E8139" s="38" t="s">
        <v>126</v>
      </c>
      <c r="F8139" s="38" t="s">
        <v>102</v>
      </c>
      <c r="G8139" s="49" t="str">
        <f t="shared" si="1"/>
        <v>26310</v>
      </c>
      <c r="H8139" s="49">
        <f t="shared" si="2"/>
        <v>26076</v>
      </c>
    </row>
    <row r="8140">
      <c r="A8140" s="48" t="s">
        <v>6471</v>
      </c>
      <c r="B8140" s="38">
        <v>74239.0</v>
      </c>
      <c r="C8140" s="38" t="s">
        <v>11782</v>
      </c>
      <c r="D8140" s="38" t="str">
        <f>IFERROR(__xludf.DUMMYFUNCTION("REGEXREPLACE(C8140,""-\d+(.*)|--\d+(.*)"","""")"),"SAINT-JEAN-DE-SIXT")</f>
        <v>SAINT-JEAN-DE-SIXT</v>
      </c>
      <c r="E8140" s="38" t="s">
        <v>319</v>
      </c>
      <c r="F8140" s="38" t="s">
        <v>102</v>
      </c>
      <c r="G8140" s="49" t="str">
        <f t="shared" si="1"/>
        <v>74450</v>
      </c>
      <c r="H8140" s="49">
        <f t="shared" si="2"/>
        <v>74239</v>
      </c>
    </row>
    <row r="8141">
      <c r="A8141" s="48" t="s">
        <v>1093</v>
      </c>
      <c r="B8141" s="38">
        <v>62225.0</v>
      </c>
      <c r="C8141" s="38" t="s">
        <v>11783</v>
      </c>
      <c r="D8141" s="38" t="str">
        <f>IFERROR(__xludf.DUMMYFUNCTION("REGEXREPLACE(C8141,""-\d+(.*)|--\d+(.*)"","""")"),"CLAIRMARAIS")</f>
        <v>CLAIRMARAIS</v>
      </c>
      <c r="E8141" s="38" t="s">
        <v>109</v>
      </c>
      <c r="F8141" s="38" t="s">
        <v>86</v>
      </c>
      <c r="G8141" s="49" t="str">
        <f t="shared" si="1"/>
        <v>62500</v>
      </c>
      <c r="H8141" s="49">
        <f t="shared" si="2"/>
        <v>62225</v>
      </c>
    </row>
    <row r="8142">
      <c r="A8142" s="48" t="s">
        <v>5679</v>
      </c>
      <c r="B8142" s="38">
        <v>66070.0</v>
      </c>
      <c r="C8142" s="38" t="s">
        <v>11784</v>
      </c>
      <c r="D8142" s="38" t="str">
        <f>IFERROR(__xludf.DUMMYFUNCTION("REGEXREPLACE(C8142,""-\d+(.*)|--\d+(.*)"","""")"),"ESPIRA-DE-CONFLENT")</f>
        <v>ESPIRA-DE-CONFLENT</v>
      </c>
      <c r="E8142" s="38" t="s">
        <v>248</v>
      </c>
      <c r="F8142" s="38" t="s">
        <v>119</v>
      </c>
      <c r="G8142" s="49" t="str">
        <f t="shared" si="1"/>
        <v>66320</v>
      </c>
      <c r="H8142" s="49">
        <f t="shared" si="2"/>
        <v>66070</v>
      </c>
    </row>
    <row r="8143">
      <c r="A8143" s="48" t="s">
        <v>11785</v>
      </c>
      <c r="B8143" s="38">
        <v>85163.0</v>
      </c>
      <c r="C8143" s="38" t="s">
        <v>11786</v>
      </c>
      <c r="D8143" s="38" t="str">
        <f>IFERROR(__xludf.DUMMYFUNCTION("REGEXREPLACE(C8143,""-\d+(.*)|--\d+(.*)"","""")"),"NOIRMOUTIER-EN-L'ILE")</f>
        <v>NOIRMOUTIER-EN-L'ILE</v>
      </c>
      <c r="E8143" s="38" t="s">
        <v>179</v>
      </c>
      <c r="F8143" s="38" t="s">
        <v>180</v>
      </c>
      <c r="G8143" s="49" t="str">
        <f t="shared" si="1"/>
        <v>85330</v>
      </c>
      <c r="H8143" s="49">
        <f t="shared" si="2"/>
        <v>85163</v>
      </c>
    </row>
    <row r="8144">
      <c r="A8144" s="48" t="s">
        <v>1022</v>
      </c>
      <c r="B8144" s="38">
        <v>2188.0</v>
      </c>
      <c r="C8144" s="38" t="s">
        <v>11787</v>
      </c>
      <c r="D8144" s="38" t="str">
        <f>IFERROR(__xludf.DUMMYFUNCTION("REGEXREPLACE(C8144,""-\d+(.*)|--\d+(.*)"","""")"),"CHIGNY")</f>
        <v>CHIGNY</v>
      </c>
      <c r="E8144" s="38" t="s">
        <v>191</v>
      </c>
      <c r="F8144" s="38" t="s">
        <v>113</v>
      </c>
      <c r="G8144" s="49" t="str">
        <f t="shared" si="1"/>
        <v>02120</v>
      </c>
      <c r="H8144" s="49" t="str">
        <f t="shared" si="2"/>
        <v>02188</v>
      </c>
    </row>
    <row r="8145">
      <c r="A8145" s="48" t="s">
        <v>9526</v>
      </c>
      <c r="B8145" s="38">
        <v>23151.0</v>
      </c>
      <c r="C8145" s="38" t="s">
        <v>11788</v>
      </c>
      <c r="D8145" s="38" t="str">
        <f>IFERROR(__xludf.DUMMYFUNCTION("REGEXREPLACE(C8145,""-\d+(.*)|--\d+(.*)"","""")"),"PEYRAT-LA-NONIERE")</f>
        <v>PEYRAT-LA-NONIERE</v>
      </c>
      <c r="E8145" s="38" t="s">
        <v>97</v>
      </c>
      <c r="F8145" s="38" t="s">
        <v>98</v>
      </c>
      <c r="G8145" s="49" t="str">
        <f t="shared" si="1"/>
        <v>23130</v>
      </c>
      <c r="H8145" s="49">
        <f t="shared" si="2"/>
        <v>23151</v>
      </c>
    </row>
    <row r="8146">
      <c r="A8146" s="48" t="s">
        <v>3504</v>
      </c>
      <c r="B8146" s="38">
        <v>42009.0</v>
      </c>
      <c r="C8146" s="38" t="s">
        <v>11789</v>
      </c>
      <c r="D8146" s="38" t="str">
        <f>IFERROR(__xludf.DUMMYFUNCTION("REGEXREPLACE(C8146,""-\d+(.*)|--\d+(.*)"","""")"),"ARTHUN")</f>
        <v>ARTHUN</v>
      </c>
      <c r="E8146" s="38" t="s">
        <v>166</v>
      </c>
      <c r="F8146" s="38" t="s">
        <v>102</v>
      </c>
      <c r="G8146" s="49" t="str">
        <f t="shared" si="1"/>
        <v>42130</v>
      </c>
      <c r="H8146" s="49">
        <f t="shared" si="2"/>
        <v>42009</v>
      </c>
    </row>
    <row r="8147">
      <c r="A8147" s="48" t="s">
        <v>1203</v>
      </c>
      <c r="B8147" s="38">
        <v>17185.0</v>
      </c>
      <c r="C8147" s="38" t="s">
        <v>11790</v>
      </c>
      <c r="D8147" s="38" t="str">
        <f>IFERROR(__xludf.DUMMYFUNCTION("REGEXREPLACE(C8147,""-\d+(.*)|--\d+(.*)"","""")"),"LE GUA")</f>
        <v>LE GUA</v>
      </c>
      <c r="E8147" s="38" t="s">
        <v>488</v>
      </c>
      <c r="F8147" s="38" t="s">
        <v>338</v>
      </c>
      <c r="G8147" s="49" t="str">
        <f t="shared" si="1"/>
        <v>17600</v>
      </c>
      <c r="H8147" s="49">
        <f t="shared" si="2"/>
        <v>17185</v>
      </c>
    </row>
    <row r="8148">
      <c r="A8148" s="48" t="s">
        <v>920</v>
      </c>
      <c r="B8148" s="38">
        <v>31427.0</v>
      </c>
      <c r="C8148" s="38" t="s">
        <v>11791</v>
      </c>
      <c r="D8148" s="38" t="str">
        <f>IFERROR(__xludf.DUMMYFUNCTION("REGEXREPLACE(C8148,""-\d+(.*)|--\d+(.*)"","""")"),"POINTIS-INARD")</f>
        <v>POINTIS-INARD</v>
      </c>
      <c r="E8148" s="38" t="s">
        <v>93</v>
      </c>
      <c r="F8148" s="38" t="s">
        <v>94</v>
      </c>
      <c r="G8148" s="49" t="str">
        <f t="shared" si="1"/>
        <v>31800</v>
      </c>
      <c r="H8148" s="49">
        <f t="shared" si="2"/>
        <v>31427</v>
      </c>
    </row>
    <row r="8149">
      <c r="A8149" s="48" t="s">
        <v>11792</v>
      </c>
      <c r="B8149" s="38">
        <v>86225.0</v>
      </c>
      <c r="C8149" s="38" t="s">
        <v>11793</v>
      </c>
      <c r="D8149" s="38" t="str">
        <f>IFERROR(__xludf.DUMMYFUNCTION("REGEXREPLACE(C8149,""-\d+(.*)|--\d+(.*)"","""")"),"SAINT-JEAN-DE-SAUVES")</f>
        <v>SAINT-JEAN-DE-SAUVES</v>
      </c>
      <c r="E8149" s="38" t="s">
        <v>529</v>
      </c>
      <c r="F8149" s="38" t="s">
        <v>338</v>
      </c>
      <c r="G8149" s="49" t="str">
        <f t="shared" si="1"/>
        <v>86330</v>
      </c>
      <c r="H8149" s="49">
        <f t="shared" si="2"/>
        <v>86225</v>
      </c>
    </row>
    <row r="8150">
      <c r="A8150" s="48" t="s">
        <v>11794</v>
      </c>
      <c r="B8150" s="38">
        <v>12139.0</v>
      </c>
      <c r="C8150" s="38" t="s">
        <v>11795</v>
      </c>
      <c r="D8150" s="38" t="str">
        <f>IFERROR(__xludf.DUMMYFUNCTION("REGEXREPLACE(C8150,""-\d+(.*)|--\d+(.*)"","""")"),"MARNHAGUES-ET-LATOUR")</f>
        <v>MARNHAGUES-ET-LATOUR</v>
      </c>
      <c r="E8150" s="38" t="s">
        <v>465</v>
      </c>
      <c r="F8150" s="38" t="s">
        <v>94</v>
      </c>
      <c r="G8150" s="49" t="str">
        <f t="shared" si="1"/>
        <v>12540</v>
      </c>
      <c r="H8150" s="49">
        <f t="shared" si="2"/>
        <v>12139</v>
      </c>
    </row>
    <row r="8151">
      <c r="A8151" s="48" t="s">
        <v>6207</v>
      </c>
      <c r="B8151" s="38">
        <v>23246.0</v>
      </c>
      <c r="C8151" s="38" t="s">
        <v>11796</v>
      </c>
      <c r="D8151" s="38" t="str">
        <f>IFERROR(__xludf.DUMMYFUNCTION("REGEXREPLACE(C8151,""-\d+(.*)|--\d+(.*)"","""")"),"SAINT-SULPICE-LES-CHAMPS")</f>
        <v>SAINT-SULPICE-LES-CHAMPS</v>
      </c>
      <c r="E8151" s="38" t="s">
        <v>97</v>
      </c>
      <c r="F8151" s="38" t="s">
        <v>98</v>
      </c>
      <c r="G8151" s="49" t="str">
        <f t="shared" si="1"/>
        <v>23480</v>
      </c>
      <c r="H8151" s="49">
        <f t="shared" si="2"/>
        <v>23246</v>
      </c>
    </row>
    <row r="8152">
      <c r="A8152" s="48" t="s">
        <v>1636</v>
      </c>
      <c r="B8152" s="38">
        <v>14300.0</v>
      </c>
      <c r="C8152" s="38" t="s">
        <v>11797</v>
      </c>
      <c r="D8152" s="38" t="str">
        <f>IFERROR(__xludf.DUMMYFUNCTION("REGEXREPLACE(C8152,""-\d+(.*)|--\d+(.*)"","""")"),"GERROTS")</f>
        <v>GERROTS</v>
      </c>
      <c r="E8152" s="38" t="s">
        <v>137</v>
      </c>
      <c r="F8152" s="38" t="s">
        <v>138</v>
      </c>
      <c r="G8152" s="49" t="str">
        <f t="shared" si="1"/>
        <v>14430</v>
      </c>
      <c r="H8152" s="49">
        <f t="shared" si="2"/>
        <v>14300</v>
      </c>
    </row>
    <row r="8153">
      <c r="A8153" s="48" t="s">
        <v>11798</v>
      </c>
      <c r="B8153" s="38">
        <v>84081.0</v>
      </c>
      <c r="C8153" s="38" t="s">
        <v>11799</v>
      </c>
      <c r="D8153" s="38" t="str">
        <f>IFERROR(__xludf.DUMMYFUNCTION("REGEXREPLACE(C8153,""-\d+(.*)|--\d+(.*)"","""")"),"MORIERES-LES-AVIGNON")</f>
        <v>MORIERES-LES-AVIGNON</v>
      </c>
      <c r="E8153" s="38" t="s">
        <v>1026</v>
      </c>
      <c r="F8153" s="38" t="s">
        <v>228</v>
      </c>
      <c r="G8153" s="49" t="str">
        <f t="shared" si="1"/>
        <v>84310</v>
      </c>
      <c r="H8153" s="49">
        <f t="shared" si="2"/>
        <v>84081</v>
      </c>
    </row>
    <row r="8154">
      <c r="A8154" s="48" t="s">
        <v>715</v>
      </c>
      <c r="B8154" s="38">
        <v>88063.0</v>
      </c>
      <c r="C8154" s="38" t="s">
        <v>11800</v>
      </c>
      <c r="D8154" s="38" t="str">
        <f>IFERROR(__xludf.DUMMYFUNCTION("REGEXREPLACE(C8154,""-\d+(.*)|--\d+(.*)"","""")"),"BOCQUEGNEY")</f>
        <v>BOCQUEGNEY</v>
      </c>
      <c r="E8154" s="38" t="s">
        <v>194</v>
      </c>
      <c r="F8154" s="38" t="s">
        <v>195</v>
      </c>
      <c r="G8154" s="49" t="str">
        <f t="shared" si="1"/>
        <v>88270</v>
      </c>
      <c r="H8154" s="49">
        <f t="shared" si="2"/>
        <v>88063</v>
      </c>
    </row>
    <row r="8155">
      <c r="A8155" s="48" t="s">
        <v>11801</v>
      </c>
      <c r="B8155" s="38">
        <v>38239.0</v>
      </c>
      <c r="C8155" s="38" t="s">
        <v>11802</v>
      </c>
      <c r="D8155" s="38" t="str">
        <f>IFERROR(__xludf.DUMMYFUNCTION("REGEXREPLACE(C8155,""-\d+(.*)|--\d+(.*)"","""")"),"MOIRANS")</f>
        <v>MOIRANS</v>
      </c>
      <c r="E8155" s="38" t="s">
        <v>101</v>
      </c>
      <c r="F8155" s="38" t="s">
        <v>102</v>
      </c>
      <c r="G8155" s="49" t="str">
        <f t="shared" si="1"/>
        <v>38430</v>
      </c>
      <c r="H8155" s="49">
        <f t="shared" si="2"/>
        <v>38239</v>
      </c>
    </row>
    <row r="8156">
      <c r="A8156" s="48" t="s">
        <v>1930</v>
      </c>
      <c r="B8156" s="38">
        <v>28053.0</v>
      </c>
      <c r="C8156" s="38" t="s">
        <v>11803</v>
      </c>
      <c r="D8156" s="38" t="str">
        <f>IFERROR(__xludf.DUMMYFUNCTION("REGEXREPLACE(C8156,""-\d+(.*)|--\d+(.*)"","""")"),"LE BOULLAY-LES-DEUX-EGLISES")</f>
        <v>LE BOULLAY-LES-DEUX-EGLISES</v>
      </c>
      <c r="E8156" s="38" t="s">
        <v>300</v>
      </c>
      <c r="F8156" s="38" t="s">
        <v>123</v>
      </c>
      <c r="G8156" s="49" t="str">
        <f t="shared" si="1"/>
        <v>28170</v>
      </c>
      <c r="H8156" s="49">
        <f t="shared" si="2"/>
        <v>28053</v>
      </c>
    </row>
    <row r="8157">
      <c r="A8157" s="48" t="s">
        <v>11804</v>
      </c>
      <c r="B8157" s="38">
        <v>85058.0</v>
      </c>
      <c r="C8157" s="38" t="s">
        <v>11805</v>
      </c>
      <c r="D8157" s="38" t="str">
        <f>IFERROR(__xludf.DUMMYFUNCTION("REGEXREPLACE(C8157,""-\d+(.*)|--\d+(.*)"","""")"),"CHASNAIS")</f>
        <v>CHASNAIS</v>
      </c>
      <c r="E8157" s="38" t="s">
        <v>179</v>
      </c>
      <c r="F8157" s="38" t="s">
        <v>180</v>
      </c>
      <c r="G8157" s="49" t="str">
        <f t="shared" si="1"/>
        <v>85400</v>
      </c>
      <c r="H8157" s="49">
        <f t="shared" si="2"/>
        <v>85058</v>
      </c>
    </row>
    <row r="8158">
      <c r="A8158" s="48" t="s">
        <v>7084</v>
      </c>
      <c r="B8158" s="38">
        <v>45002.0</v>
      </c>
      <c r="C8158" s="38" t="s">
        <v>11806</v>
      </c>
      <c r="D8158" s="38" t="str">
        <f>IFERROR(__xludf.DUMMYFUNCTION("REGEXREPLACE(C8158,""-\d+(.*)|--\d+(.*)"","""")"),"AILLANT-SUR-MILLERON")</f>
        <v>AILLANT-SUR-MILLERON</v>
      </c>
      <c r="E8158" s="38" t="s">
        <v>122</v>
      </c>
      <c r="F8158" s="38" t="s">
        <v>123</v>
      </c>
      <c r="G8158" s="49" t="str">
        <f t="shared" si="1"/>
        <v>45230</v>
      </c>
      <c r="H8158" s="49">
        <f t="shared" si="2"/>
        <v>45002</v>
      </c>
    </row>
    <row r="8159">
      <c r="A8159" s="48" t="s">
        <v>11712</v>
      </c>
      <c r="B8159" s="38">
        <v>58222.0</v>
      </c>
      <c r="C8159" s="38" t="s">
        <v>11807</v>
      </c>
      <c r="D8159" s="38" t="str">
        <f>IFERROR(__xludf.DUMMYFUNCTION("REGEXREPLACE(C8159,""-\d+(.*)|--\d+(.*)"","""")"),"RIX")</f>
        <v>RIX</v>
      </c>
      <c r="E8159" s="38" t="s">
        <v>219</v>
      </c>
      <c r="F8159" s="38" t="s">
        <v>106</v>
      </c>
      <c r="G8159" s="49" t="str">
        <f t="shared" si="1"/>
        <v>58500</v>
      </c>
      <c r="H8159" s="49">
        <f t="shared" si="2"/>
        <v>58222</v>
      </c>
    </row>
    <row r="8160">
      <c r="A8160" s="48" t="s">
        <v>11808</v>
      </c>
      <c r="B8160" s="38">
        <v>89069.0</v>
      </c>
      <c r="C8160" s="38" t="s">
        <v>11809</v>
      </c>
      <c r="D8160" s="38" t="str">
        <f>IFERROR(__xludf.DUMMYFUNCTION("REGEXREPLACE(C8160,""-\d+(.*)|--\d+(.*)"","""")"),"CHAILLEY")</f>
        <v>CHAILLEY</v>
      </c>
      <c r="E8160" s="38" t="s">
        <v>275</v>
      </c>
      <c r="F8160" s="38" t="s">
        <v>106</v>
      </c>
      <c r="G8160" s="49" t="str">
        <f t="shared" si="1"/>
        <v>89770</v>
      </c>
      <c r="H8160" s="49">
        <f t="shared" si="2"/>
        <v>89069</v>
      </c>
    </row>
    <row r="8161">
      <c r="A8161" s="48" t="s">
        <v>11810</v>
      </c>
      <c r="B8161" s="38">
        <v>50643.0</v>
      </c>
      <c r="C8161" s="38" t="s">
        <v>11811</v>
      </c>
      <c r="D8161" s="38" t="str">
        <f>IFERROR(__xludf.DUMMYFUNCTION("REGEXREPLACE(C8161,""-\d+(.*)|--\d+(.*)"","""")"),"VIRANDEVILLE")</f>
        <v>VIRANDEVILLE</v>
      </c>
      <c r="E8161" s="38" t="s">
        <v>157</v>
      </c>
      <c r="F8161" s="38" t="s">
        <v>138</v>
      </c>
      <c r="G8161" s="49" t="str">
        <f t="shared" si="1"/>
        <v>50690</v>
      </c>
      <c r="H8161" s="49">
        <f t="shared" si="2"/>
        <v>50643</v>
      </c>
    </row>
    <row r="8162">
      <c r="A8162" s="48" t="s">
        <v>6129</v>
      </c>
      <c r="B8162" s="38">
        <v>67271.0</v>
      </c>
      <c r="C8162" s="38" t="s">
        <v>11812</v>
      </c>
      <c r="D8162" s="38" t="str">
        <f>IFERROR(__xludf.DUMMYFUNCTION("REGEXREPLACE(C8162,""-\d+(.*)|--\d+(.*)"","""")"),"LOBSANN")</f>
        <v>LOBSANN</v>
      </c>
      <c r="E8162" s="38" t="s">
        <v>210</v>
      </c>
      <c r="F8162" s="38" t="s">
        <v>151</v>
      </c>
      <c r="G8162" s="49" t="str">
        <f t="shared" si="1"/>
        <v>67250</v>
      </c>
      <c r="H8162" s="49">
        <f t="shared" si="2"/>
        <v>67271</v>
      </c>
    </row>
    <row r="8163">
      <c r="A8163" s="48" t="s">
        <v>489</v>
      </c>
      <c r="B8163" s="38">
        <v>9116.0</v>
      </c>
      <c r="C8163" s="38" t="s">
        <v>11813</v>
      </c>
      <c r="D8163" s="38" t="str">
        <f>IFERROR(__xludf.DUMMYFUNCTION("REGEXREPLACE(C8163,""-\d+(.*)|--\d+(.*)"","""")"),"ESCOSSE")</f>
        <v>ESCOSSE</v>
      </c>
      <c r="E8163" s="38" t="s">
        <v>238</v>
      </c>
      <c r="F8163" s="38" t="s">
        <v>94</v>
      </c>
      <c r="G8163" s="49" t="str">
        <f t="shared" si="1"/>
        <v>09100</v>
      </c>
      <c r="H8163" s="49" t="str">
        <f t="shared" si="2"/>
        <v>09116</v>
      </c>
    </row>
    <row r="8164">
      <c r="A8164" s="48" t="s">
        <v>4733</v>
      </c>
      <c r="B8164" s="38">
        <v>38091.0</v>
      </c>
      <c r="C8164" s="38" t="s">
        <v>11814</v>
      </c>
      <c r="D8164" s="38" t="str">
        <f>IFERROR(__xludf.DUMMYFUNCTION("REGEXREPLACE(C8164,""-\d+(.*)|--\d+(.*)"","""")"),"CHATEAUVILAIN")</f>
        <v>CHATEAUVILAIN</v>
      </c>
      <c r="E8164" s="38" t="s">
        <v>101</v>
      </c>
      <c r="F8164" s="38" t="s">
        <v>102</v>
      </c>
      <c r="G8164" s="49" t="str">
        <f t="shared" si="1"/>
        <v>38300</v>
      </c>
      <c r="H8164" s="49">
        <f t="shared" si="2"/>
        <v>38091</v>
      </c>
    </row>
    <row r="8165">
      <c r="A8165" s="48" t="s">
        <v>7874</v>
      </c>
      <c r="B8165" s="38">
        <v>40317.0</v>
      </c>
      <c r="C8165" s="38" t="s">
        <v>11815</v>
      </c>
      <c r="D8165" s="38" t="str">
        <f>IFERROR(__xludf.DUMMYFUNCTION("REGEXREPLACE(C8165,""-\d+(.*)|--\d+(.*)"","""")"),"TOSSE")</f>
        <v>TOSSE</v>
      </c>
      <c r="E8165" s="38" t="s">
        <v>281</v>
      </c>
      <c r="F8165" s="38" t="s">
        <v>252</v>
      </c>
      <c r="G8165" s="49" t="str">
        <f t="shared" si="1"/>
        <v>40230</v>
      </c>
      <c r="H8165" s="49">
        <f t="shared" si="2"/>
        <v>40317</v>
      </c>
    </row>
    <row r="8166">
      <c r="A8166" s="48" t="s">
        <v>1305</v>
      </c>
      <c r="B8166" s="38">
        <v>36190.0</v>
      </c>
      <c r="C8166" s="38" t="s">
        <v>11816</v>
      </c>
      <c r="D8166" s="38" t="str">
        <f>IFERROR(__xludf.DUMMYFUNCTION("REGEXREPLACE(C8166,""-\d+(.*)|--\d+(.*)"","""")"),"SAINTE-FAUSTE")</f>
        <v>SAINTE-FAUSTE</v>
      </c>
      <c r="E8166" s="38" t="s">
        <v>258</v>
      </c>
      <c r="F8166" s="38" t="s">
        <v>123</v>
      </c>
      <c r="G8166" s="49" t="str">
        <f t="shared" si="1"/>
        <v>36100</v>
      </c>
      <c r="H8166" s="49">
        <f t="shared" si="2"/>
        <v>36190</v>
      </c>
    </row>
    <row r="8167">
      <c r="A8167" s="48" t="s">
        <v>732</v>
      </c>
      <c r="B8167" s="38">
        <v>10386.0</v>
      </c>
      <c r="C8167" s="38" t="s">
        <v>11817</v>
      </c>
      <c r="D8167" s="38" t="str">
        <f>IFERROR(__xludf.DUMMYFUNCTION("REGEXREPLACE(C8167,""-\d+(.*)|--\d+(.*)"","""")"),"TROUANS")</f>
        <v>TROUANS</v>
      </c>
      <c r="E8167" s="38" t="s">
        <v>147</v>
      </c>
      <c r="F8167" s="38" t="s">
        <v>130</v>
      </c>
      <c r="G8167" s="49" t="str">
        <f t="shared" si="1"/>
        <v>10700</v>
      </c>
      <c r="H8167" s="49">
        <f t="shared" si="2"/>
        <v>10386</v>
      </c>
    </row>
    <row r="8168">
      <c r="A8168" s="48" t="s">
        <v>1487</v>
      </c>
      <c r="B8168" s="38">
        <v>37061.0</v>
      </c>
      <c r="C8168" s="38" t="s">
        <v>11818</v>
      </c>
      <c r="D8168" s="38" t="str">
        <f>IFERROR(__xludf.DUMMYFUNCTION("REGEXREPLACE(C8168,""-\d+(.*)|--\d+(.*)"","""")"),"CHARNIZAY")</f>
        <v>CHARNIZAY</v>
      </c>
      <c r="E8168" s="38" t="s">
        <v>205</v>
      </c>
      <c r="F8168" s="38" t="s">
        <v>123</v>
      </c>
      <c r="G8168" s="49" t="str">
        <f t="shared" si="1"/>
        <v>37290</v>
      </c>
      <c r="H8168" s="49">
        <f t="shared" si="2"/>
        <v>37061</v>
      </c>
    </row>
    <row r="8169">
      <c r="A8169" s="48" t="s">
        <v>2268</v>
      </c>
      <c r="B8169" s="38">
        <v>55346.0</v>
      </c>
      <c r="C8169" s="38" t="s">
        <v>11819</v>
      </c>
      <c r="D8169" s="38" t="str">
        <f>IFERROR(__xludf.DUMMYFUNCTION("REGEXREPLACE(C8169,""-\d+(.*)|--\d+(.*)"","""")"),"MONTFAUCON-D'ARGONNE")</f>
        <v>MONTFAUCON-D'ARGONNE</v>
      </c>
      <c r="E8169" s="38" t="s">
        <v>322</v>
      </c>
      <c r="F8169" s="38" t="s">
        <v>195</v>
      </c>
      <c r="G8169" s="49" t="str">
        <f t="shared" si="1"/>
        <v>55270</v>
      </c>
      <c r="H8169" s="49">
        <f t="shared" si="2"/>
        <v>55346</v>
      </c>
    </row>
    <row r="8170">
      <c r="A8170" s="48" t="s">
        <v>11820</v>
      </c>
      <c r="B8170" s="38">
        <v>59224.0</v>
      </c>
      <c r="C8170" s="38" t="s">
        <v>11821</v>
      </c>
      <c r="D8170" s="38" t="str">
        <f>IFERROR(__xludf.DUMMYFUNCTION("REGEXREPLACE(C8170,""-\d+(.*)|--\d+(.*)"","""")"),"FECHAIN")</f>
        <v>FECHAIN</v>
      </c>
      <c r="E8170" s="38" t="s">
        <v>85</v>
      </c>
      <c r="F8170" s="38" t="s">
        <v>86</v>
      </c>
      <c r="G8170" s="49" t="str">
        <f t="shared" si="1"/>
        <v>59247</v>
      </c>
      <c r="H8170" s="49">
        <f t="shared" si="2"/>
        <v>59224</v>
      </c>
    </row>
    <row r="8171">
      <c r="A8171" s="48" t="s">
        <v>335</v>
      </c>
      <c r="B8171" s="38">
        <v>79202.0</v>
      </c>
      <c r="C8171" s="38" t="s">
        <v>11822</v>
      </c>
      <c r="D8171" s="38" t="str">
        <f>IFERROR(__xludf.DUMMYFUNCTION("REGEXREPLACE(C8171,""-\d+(.*)|--\d+(.*)"","""")"),"PARTHENAY")</f>
        <v>PARTHENAY</v>
      </c>
      <c r="E8171" s="38" t="s">
        <v>337</v>
      </c>
      <c r="F8171" s="38" t="s">
        <v>338</v>
      </c>
      <c r="G8171" s="49" t="str">
        <f t="shared" si="1"/>
        <v>79200</v>
      </c>
      <c r="H8171" s="49">
        <f t="shared" si="2"/>
        <v>79202</v>
      </c>
    </row>
    <row r="8172">
      <c r="A8172" s="48" t="s">
        <v>11310</v>
      </c>
      <c r="B8172" s="38">
        <v>50150.0</v>
      </c>
      <c r="C8172" s="38" t="s">
        <v>11823</v>
      </c>
      <c r="D8172" s="38" t="str">
        <f>IFERROR(__xludf.DUMMYFUNCTION("REGEXREPLACE(C8172,""-\d+(.*)|--\d+(.*)"","""")"),"CRASVILLE")</f>
        <v>CRASVILLE</v>
      </c>
      <c r="E8172" s="38" t="s">
        <v>157</v>
      </c>
      <c r="F8172" s="38" t="s">
        <v>138</v>
      </c>
      <c r="G8172" s="49" t="str">
        <f t="shared" si="1"/>
        <v>50630</v>
      </c>
      <c r="H8172" s="49">
        <f t="shared" si="2"/>
        <v>50150</v>
      </c>
    </row>
    <row r="8173">
      <c r="A8173" s="48" t="s">
        <v>1953</v>
      </c>
      <c r="B8173" s="38">
        <v>36176.0</v>
      </c>
      <c r="C8173" s="38" t="s">
        <v>11824</v>
      </c>
      <c r="D8173" s="38" t="str">
        <f>IFERROR(__xludf.DUMMYFUNCTION("REGEXREPLACE(C8173,""-\d+(.*)|--\d+(.*)"","""")"),"RUFFEC")</f>
        <v>RUFFEC</v>
      </c>
      <c r="E8173" s="38" t="s">
        <v>258</v>
      </c>
      <c r="F8173" s="38" t="s">
        <v>123</v>
      </c>
      <c r="G8173" s="49" t="str">
        <f t="shared" si="1"/>
        <v>36300</v>
      </c>
      <c r="H8173" s="49">
        <f t="shared" si="2"/>
        <v>36176</v>
      </c>
    </row>
    <row r="8174">
      <c r="A8174" s="48" t="s">
        <v>6533</v>
      </c>
      <c r="B8174" s="38">
        <v>91511.0</v>
      </c>
      <c r="C8174" s="38" t="s">
        <v>11825</v>
      </c>
      <c r="D8174" s="38" t="str">
        <f>IFERROR(__xludf.DUMMYFUNCTION("REGEXREPLACE(C8174,""-\d+(.*)|--\d+(.*)"","""")"),"PUSSAY")</f>
        <v>PUSSAY</v>
      </c>
      <c r="E8174" s="38" t="s">
        <v>756</v>
      </c>
      <c r="F8174" s="38" t="s">
        <v>245</v>
      </c>
      <c r="G8174" s="49" t="str">
        <f t="shared" si="1"/>
        <v>91740</v>
      </c>
      <c r="H8174" s="49">
        <f t="shared" si="2"/>
        <v>91511</v>
      </c>
    </row>
    <row r="8175">
      <c r="A8175" s="48" t="s">
        <v>11826</v>
      </c>
      <c r="B8175" s="38">
        <v>92050.0</v>
      </c>
      <c r="C8175" s="38" t="s">
        <v>11827</v>
      </c>
      <c r="D8175" s="38" t="str">
        <f>IFERROR(__xludf.DUMMYFUNCTION("REGEXREPLACE(C8175,""-\d+(.*)|--\d+(.*)"","""")"),"NANTERRE")</f>
        <v>NANTERRE</v>
      </c>
      <c r="E8175" s="38" t="s">
        <v>838</v>
      </c>
      <c r="F8175" s="38" t="s">
        <v>245</v>
      </c>
      <c r="G8175" s="49" t="str">
        <f t="shared" si="1"/>
        <v>92000</v>
      </c>
      <c r="H8175" s="49">
        <f t="shared" si="2"/>
        <v>92050</v>
      </c>
    </row>
    <row r="8176">
      <c r="A8176" s="48" t="s">
        <v>3262</v>
      </c>
      <c r="B8176" s="38">
        <v>3034.0</v>
      </c>
      <c r="C8176" s="38" t="s">
        <v>11828</v>
      </c>
      <c r="D8176" s="38" t="str">
        <f>IFERROR(__xludf.DUMMYFUNCTION("REGEXREPLACE(C8176,""-\d+(.*)|--\d+(.*)"","""")"),"BOUCE")</f>
        <v>BOUCE</v>
      </c>
      <c r="E8176" s="38" t="s">
        <v>160</v>
      </c>
      <c r="F8176" s="38" t="s">
        <v>161</v>
      </c>
      <c r="G8176" s="49" t="str">
        <f t="shared" si="1"/>
        <v>03150</v>
      </c>
      <c r="H8176" s="49" t="str">
        <f t="shared" si="2"/>
        <v>03034</v>
      </c>
    </row>
    <row r="8177">
      <c r="A8177" s="48" t="s">
        <v>158</v>
      </c>
      <c r="B8177" s="38">
        <v>3131.0</v>
      </c>
      <c r="C8177" s="38" t="s">
        <v>11829</v>
      </c>
      <c r="D8177" s="38" t="str">
        <f>IFERROR(__xludf.DUMMYFUNCTION("REGEXREPLACE(C8177,""-\d+(.*)|--\d+(.*)"","""")"),"ISSERPENT")</f>
        <v>ISSERPENT</v>
      </c>
      <c r="E8177" s="38" t="s">
        <v>160</v>
      </c>
      <c r="F8177" s="38" t="s">
        <v>161</v>
      </c>
      <c r="G8177" s="49" t="str">
        <f t="shared" si="1"/>
        <v>03120</v>
      </c>
      <c r="H8177" s="49" t="str">
        <f t="shared" si="2"/>
        <v>03131</v>
      </c>
    </row>
    <row r="8178">
      <c r="A8178" s="48" t="s">
        <v>7706</v>
      </c>
      <c r="B8178" s="38">
        <v>59428.0</v>
      </c>
      <c r="C8178" s="38" t="s">
        <v>11830</v>
      </c>
      <c r="D8178" s="38" t="str">
        <f>IFERROR(__xludf.DUMMYFUNCTION("REGEXREPLACE(C8178,""-\d+(.*)|--\d+(.*)"","""")"),"NEUVILLE-SAINT-REMY")</f>
        <v>NEUVILLE-SAINT-REMY</v>
      </c>
      <c r="E8178" s="38" t="s">
        <v>85</v>
      </c>
      <c r="F8178" s="38" t="s">
        <v>86</v>
      </c>
      <c r="G8178" s="49" t="str">
        <f t="shared" si="1"/>
        <v>59554</v>
      </c>
      <c r="H8178" s="49">
        <f t="shared" si="2"/>
        <v>59428</v>
      </c>
    </row>
    <row r="8179">
      <c r="A8179" s="48" t="s">
        <v>5846</v>
      </c>
      <c r="B8179" s="38">
        <v>60092.0</v>
      </c>
      <c r="C8179" s="38" t="s">
        <v>11831</v>
      </c>
      <c r="D8179" s="38" t="str">
        <f>IFERROR(__xludf.DUMMYFUNCTION("REGEXREPLACE(C8179,""-\d+(.*)|--\d+(.*)"","""")"),"BOULLARRE")</f>
        <v>BOULLARRE</v>
      </c>
      <c r="E8179" s="38" t="s">
        <v>112</v>
      </c>
      <c r="F8179" s="38" t="s">
        <v>113</v>
      </c>
      <c r="G8179" s="49" t="str">
        <f t="shared" si="1"/>
        <v>60620</v>
      </c>
      <c r="H8179" s="49">
        <f t="shared" si="2"/>
        <v>60092</v>
      </c>
    </row>
    <row r="8180">
      <c r="A8180" s="48" t="s">
        <v>8502</v>
      </c>
      <c r="B8180" s="38">
        <v>67047.0</v>
      </c>
      <c r="C8180" s="38" t="s">
        <v>11832</v>
      </c>
      <c r="D8180" s="38" t="str">
        <f>IFERROR(__xludf.DUMMYFUNCTION("REGEXREPLACE(C8180,""-\d+(.*)|--\d+(.*)"","""")"),"BISSERT")</f>
        <v>BISSERT</v>
      </c>
      <c r="E8180" s="38" t="s">
        <v>210</v>
      </c>
      <c r="F8180" s="38" t="s">
        <v>151</v>
      </c>
      <c r="G8180" s="49" t="str">
        <f t="shared" si="1"/>
        <v>67260</v>
      </c>
      <c r="H8180" s="49">
        <f t="shared" si="2"/>
        <v>67047</v>
      </c>
    </row>
    <row r="8181">
      <c r="A8181" s="48" t="s">
        <v>3467</v>
      </c>
      <c r="B8181" s="38">
        <v>72336.0</v>
      </c>
      <c r="C8181" s="38" t="s">
        <v>6146</v>
      </c>
      <c r="D8181" s="38" t="str">
        <f>IFERROR(__xludf.DUMMYFUNCTION("REGEXREPLACE(C8181,""-\d+(.*)|--\d+(.*)"","""")"),"SOLESMES")</f>
        <v>SOLESMES</v>
      </c>
      <c r="E8181" s="38" t="s">
        <v>521</v>
      </c>
      <c r="F8181" s="38" t="s">
        <v>180</v>
      </c>
      <c r="G8181" s="49" t="str">
        <f t="shared" si="1"/>
        <v>72300</v>
      </c>
      <c r="H8181" s="49">
        <f t="shared" si="2"/>
        <v>72336</v>
      </c>
    </row>
    <row r="8182">
      <c r="A8182" s="48" t="s">
        <v>8902</v>
      </c>
      <c r="B8182" s="38">
        <v>25404.0</v>
      </c>
      <c r="C8182" s="38" t="s">
        <v>11833</v>
      </c>
      <c r="D8182" s="38" t="str">
        <f>IFERROR(__xludf.DUMMYFUNCTION("REGEXREPLACE(C8182,""-\d+(.*)|--\d+(.*)"","""")"),"MONTMAHOUX")</f>
        <v>MONTMAHOUX</v>
      </c>
      <c r="E8182" s="38" t="s">
        <v>213</v>
      </c>
      <c r="F8182" s="38" t="s">
        <v>214</v>
      </c>
      <c r="G8182" s="49" t="str">
        <f t="shared" si="1"/>
        <v>25270</v>
      </c>
      <c r="H8182" s="49">
        <f t="shared" si="2"/>
        <v>25404</v>
      </c>
    </row>
    <row r="8183">
      <c r="A8183" s="48" t="s">
        <v>276</v>
      </c>
      <c r="B8183" s="38">
        <v>11335.0</v>
      </c>
      <c r="C8183" s="38" t="s">
        <v>11834</v>
      </c>
      <c r="D8183" s="38" t="str">
        <f>IFERROR(__xludf.DUMMYFUNCTION("REGEXREPLACE(C8183,""-\d+(.*)|--\d+(.*)"","""")"),"SAINTE-COLOMBE-SUR-GUETTE")</f>
        <v>SAINTE-COLOMBE-SUR-GUETTE</v>
      </c>
      <c r="E8183" s="38" t="s">
        <v>278</v>
      </c>
      <c r="F8183" s="38" t="s">
        <v>119</v>
      </c>
      <c r="G8183" s="49" t="str">
        <f t="shared" si="1"/>
        <v>11140</v>
      </c>
      <c r="H8183" s="49">
        <f t="shared" si="2"/>
        <v>11335</v>
      </c>
    </row>
    <row r="8184">
      <c r="A8184" s="48" t="s">
        <v>5101</v>
      </c>
      <c r="B8184" s="38">
        <v>54465.0</v>
      </c>
      <c r="C8184" s="38" t="s">
        <v>11835</v>
      </c>
      <c r="D8184" s="38" t="str">
        <f>IFERROR(__xludf.DUMMYFUNCTION("REGEXREPLACE(C8184,""-\d+(.*)|--\d+(.*)"","""")"),"ROVILLE-DEVANT-BAYON")</f>
        <v>ROVILLE-DEVANT-BAYON</v>
      </c>
      <c r="E8184" s="38" t="s">
        <v>548</v>
      </c>
      <c r="F8184" s="38" t="s">
        <v>195</v>
      </c>
      <c r="G8184" s="49" t="str">
        <f t="shared" si="1"/>
        <v>54290</v>
      </c>
      <c r="H8184" s="49">
        <f t="shared" si="2"/>
        <v>54465</v>
      </c>
    </row>
    <row r="8185">
      <c r="A8185" s="48" t="s">
        <v>1174</v>
      </c>
      <c r="B8185" s="38">
        <v>51463.0</v>
      </c>
      <c r="C8185" s="38" t="s">
        <v>11836</v>
      </c>
      <c r="D8185" s="38" t="str">
        <f>IFERROR(__xludf.DUMMYFUNCTION("REGEXREPLACE(C8185,""-\d+(.*)|--\d+(.*)"","""")"),"LES RIVIERES-HENRUEL")</f>
        <v>LES RIVIERES-HENRUEL</v>
      </c>
      <c r="E8185" s="38" t="s">
        <v>129</v>
      </c>
      <c r="F8185" s="38" t="s">
        <v>130</v>
      </c>
      <c r="G8185" s="49" t="str">
        <f t="shared" si="1"/>
        <v>51300</v>
      </c>
      <c r="H8185" s="49">
        <f t="shared" si="2"/>
        <v>51463</v>
      </c>
    </row>
    <row r="8186">
      <c r="A8186" s="48" t="s">
        <v>3161</v>
      </c>
      <c r="B8186" s="38">
        <v>70299.0</v>
      </c>
      <c r="C8186" s="38" t="s">
        <v>11837</v>
      </c>
      <c r="D8186" s="38" t="str">
        <f>IFERROR(__xludf.DUMMYFUNCTION("REGEXREPLACE(C8186,""-\d+(.*)|--\d+(.*)"","""")"),"LAVONCOURT")</f>
        <v>LAVONCOURT</v>
      </c>
      <c r="E8186" s="38" t="s">
        <v>956</v>
      </c>
      <c r="F8186" s="38" t="s">
        <v>214</v>
      </c>
      <c r="G8186" s="49" t="str">
        <f t="shared" si="1"/>
        <v>70120</v>
      </c>
      <c r="H8186" s="49">
        <f t="shared" si="2"/>
        <v>70299</v>
      </c>
    </row>
    <row r="8187">
      <c r="A8187" s="48" t="s">
        <v>3266</v>
      </c>
      <c r="B8187" s="38">
        <v>55562.0</v>
      </c>
      <c r="C8187" s="38" t="s">
        <v>9306</v>
      </c>
      <c r="D8187" s="38" t="str">
        <f>IFERROR(__xludf.DUMMYFUNCTION("REGEXREPLACE(C8187,""-\d+(.*)|--\d+(.*)"","""")"),"VILLERS-LE-SEC")</f>
        <v>VILLERS-LE-SEC</v>
      </c>
      <c r="E8187" s="38" t="s">
        <v>322</v>
      </c>
      <c r="F8187" s="38" t="s">
        <v>195</v>
      </c>
      <c r="G8187" s="49" t="str">
        <f t="shared" si="1"/>
        <v>55500</v>
      </c>
      <c r="H8187" s="49">
        <f t="shared" si="2"/>
        <v>55562</v>
      </c>
    </row>
    <row r="8188">
      <c r="A8188" s="48" t="s">
        <v>11838</v>
      </c>
      <c r="B8188" s="38">
        <v>57512.0</v>
      </c>
      <c r="C8188" s="38" t="s">
        <v>11839</v>
      </c>
      <c r="D8188" s="38" t="str">
        <f>IFERROR(__xludf.DUMMYFUNCTION("REGEXREPLACE(C8188,""-\d+(.*)|--\d+(.*)"","""")"),"NOUILLY")</f>
        <v>NOUILLY</v>
      </c>
      <c r="E8188" s="38" t="s">
        <v>303</v>
      </c>
      <c r="F8188" s="38" t="s">
        <v>195</v>
      </c>
      <c r="G8188" s="49" t="str">
        <f t="shared" si="1"/>
        <v>57645</v>
      </c>
      <c r="H8188" s="49">
        <f t="shared" si="2"/>
        <v>57512</v>
      </c>
    </row>
    <row r="8189">
      <c r="A8189" s="48" t="s">
        <v>11840</v>
      </c>
      <c r="B8189" s="38">
        <v>40181.0</v>
      </c>
      <c r="C8189" s="38" t="s">
        <v>11841</v>
      </c>
      <c r="D8189" s="38" t="str">
        <f>IFERROR(__xludf.DUMMYFUNCTION("REGEXREPLACE(C8189,""-\d+(.*)|--\d+(.*)"","""")"),"MESSANGES")</f>
        <v>MESSANGES</v>
      </c>
      <c r="E8189" s="38" t="s">
        <v>281</v>
      </c>
      <c r="F8189" s="38" t="s">
        <v>252</v>
      </c>
      <c r="G8189" s="49" t="str">
        <f t="shared" si="1"/>
        <v>40660</v>
      </c>
      <c r="H8189" s="49">
        <f t="shared" si="2"/>
        <v>40181</v>
      </c>
    </row>
    <row r="8190">
      <c r="A8190" s="48" t="s">
        <v>6502</v>
      </c>
      <c r="B8190" s="38">
        <v>85160.0</v>
      </c>
      <c r="C8190" s="38" t="s">
        <v>11842</v>
      </c>
      <c r="D8190" s="38" t="str">
        <f>IFERROR(__xludf.DUMMYFUNCTION("REGEXREPLACE(C8190,""-\d+(.*)|--\d+(.*)"","""")"),"NESMY")</f>
        <v>NESMY</v>
      </c>
      <c r="E8190" s="38" t="s">
        <v>179</v>
      </c>
      <c r="F8190" s="38" t="s">
        <v>180</v>
      </c>
      <c r="G8190" s="49" t="str">
        <f t="shared" si="1"/>
        <v>85310</v>
      </c>
      <c r="H8190" s="49">
        <f t="shared" si="2"/>
        <v>85160</v>
      </c>
    </row>
    <row r="8191">
      <c r="A8191" s="48" t="s">
        <v>2848</v>
      </c>
      <c r="B8191" s="38">
        <v>51100.0</v>
      </c>
      <c r="C8191" s="38" t="s">
        <v>11843</v>
      </c>
      <c r="D8191" s="38" t="str">
        <f>IFERROR(__xludf.DUMMYFUNCTION("REGEXREPLACE(C8191,""-\d+(.*)|--\d+(.*)"","""")"),"LA CAURE")</f>
        <v>LA CAURE</v>
      </c>
      <c r="E8191" s="38" t="s">
        <v>129</v>
      </c>
      <c r="F8191" s="38" t="s">
        <v>130</v>
      </c>
      <c r="G8191" s="49" t="str">
        <f t="shared" si="1"/>
        <v>51270</v>
      </c>
      <c r="H8191" s="49">
        <f t="shared" si="2"/>
        <v>51100</v>
      </c>
    </row>
    <row r="8192">
      <c r="A8192" s="48" t="s">
        <v>948</v>
      </c>
      <c r="B8192" s="38">
        <v>68006.0</v>
      </c>
      <c r="C8192" s="38" t="s">
        <v>11844</v>
      </c>
      <c r="D8192" s="38" t="str">
        <f>IFERROR(__xludf.DUMMYFUNCTION("REGEXREPLACE(C8192,""-\d+(.*)|--\d+(.*)"","""")"),"AMMERZWILLER")</f>
        <v>AMMERZWILLER</v>
      </c>
      <c r="E8192" s="38" t="s">
        <v>150</v>
      </c>
      <c r="F8192" s="38" t="s">
        <v>151</v>
      </c>
      <c r="G8192" s="49" t="str">
        <f t="shared" si="1"/>
        <v>68210</v>
      </c>
      <c r="H8192" s="49">
        <f t="shared" si="2"/>
        <v>68006</v>
      </c>
    </row>
    <row r="8193">
      <c r="A8193" s="48" t="s">
        <v>2931</v>
      </c>
      <c r="B8193" s="38">
        <v>63141.0</v>
      </c>
      <c r="C8193" s="38" t="s">
        <v>11845</v>
      </c>
      <c r="D8193" s="38" t="str">
        <f>IFERROR(__xludf.DUMMYFUNCTION("REGEXREPLACE(C8193,""-\d+(.*)|--\d+(.*)"","""")"),"DURTOL")</f>
        <v>DURTOL</v>
      </c>
      <c r="E8193" s="38" t="s">
        <v>353</v>
      </c>
      <c r="F8193" s="38" t="s">
        <v>161</v>
      </c>
      <c r="G8193" s="49" t="str">
        <f t="shared" si="1"/>
        <v>63830</v>
      </c>
      <c r="H8193" s="49">
        <f t="shared" si="2"/>
        <v>63141</v>
      </c>
    </row>
    <row r="8194">
      <c r="A8194" s="48" t="s">
        <v>1166</v>
      </c>
      <c r="B8194" s="38">
        <v>9082.0</v>
      </c>
      <c r="C8194" s="38" t="s">
        <v>11846</v>
      </c>
      <c r="D8194" s="38" t="str">
        <f>IFERROR(__xludf.DUMMYFUNCTION("REGEXREPLACE(C8194,""-\d+(.*)|--\d+(.*)"","""")"),"CASTELNAU-DURBAN")</f>
        <v>CASTELNAU-DURBAN</v>
      </c>
      <c r="E8194" s="38" t="s">
        <v>238</v>
      </c>
      <c r="F8194" s="38" t="s">
        <v>94</v>
      </c>
      <c r="G8194" s="49" t="str">
        <f t="shared" si="1"/>
        <v>09420</v>
      </c>
      <c r="H8194" s="49" t="str">
        <f t="shared" si="2"/>
        <v>09082</v>
      </c>
    </row>
    <row r="8195">
      <c r="A8195" s="48" t="s">
        <v>7399</v>
      </c>
      <c r="B8195" s="38">
        <v>28031.0</v>
      </c>
      <c r="C8195" s="38" t="s">
        <v>11847</v>
      </c>
      <c r="D8195" s="38" t="str">
        <f>IFERROR(__xludf.DUMMYFUNCTION("REGEXREPLACE(C8195,""-\d+(.*)|--\d+(.*)"","""")"),"BEAUMONT-LES-AUTELS")</f>
        <v>BEAUMONT-LES-AUTELS</v>
      </c>
      <c r="E8195" s="38" t="s">
        <v>300</v>
      </c>
      <c r="F8195" s="38" t="s">
        <v>123</v>
      </c>
      <c r="G8195" s="49" t="str">
        <f t="shared" si="1"/>
        <v>28480</v>
      </c>
      <c r="H8195" s="49">
        <f t="shared" si="2"/>
        <v>28031</v>
      </c>
    </row>
    <row r="8196">
      <c r="A8196" s="48" t="s">
        <v>5709</v>
      </c>
      <c r="B8196" s="38">
        <v>44051.0</v>
      </c>
      <c r="C8196" s="38" t="s">
        <v>11848</v>
      </c>
      <c r="D8196" s="38" t="str">
        <f>IFERROR(__xludf.DUMMYFUNCTION("REGEXREPLACE(C8196,""-\d+(.*)|--\d+(.*)"","""")"),"DERVAL")</f>
        <v>DERVAL</v>
      </c>
      <c r="E8196" s="38" t="s">
        <v>759</v>
      </c>
      <c r="F8196" s="38" t="s">
        <v>180</v>
      </c>
      <c r="G8196" s="49" t="str">
        <f t="shared" si="1"/>
        <v>44590</v>
      </c>
      <c r="H8196" s="49">
        <f t="shared" si="2"/>
        <v>44051</v>
      </c>
    </row>
    <row r="8197">
      <c r="A8197" s="48" t="s">
        <v>1027</v>
      </c>
      <c r="B8197" s="38">
        <v>1341.0</v>
      </c>
      <c r="C8197" s="38" t="s">
        <v>11849</v>
      </c>
      <c r="D8197" s="38" t="str">
        <f>IFERROR(__xludf.DUMMYFUNCTION("REGEXREPLACE(C8197,""-\d+(.*)|--\d+(.*)"","""")"),"SAINT-CHAMP")</f>
        <v>SAINT-CHAMP</v>
      </c>
      <c r="E8197" s="38" t="s">
        <v>255</v>
      </c>
      <c r="F8197" s="38" t="s">
        <v>102</v>
      </c>
      <c r="G8197" s="49" t="str">
        <f t="shared" si="1"/>
        <v>01300</v>
      </c>
      <c r="H8197" s="49" t="str">
        <f t="shared" si="2"/>
        <v>01341</v>
      </c>
    </row>
    <row r="8198">
      <c r="A8198" s="48" t="s">
        <v>2800</v>
      </c>
      <c r="B8198" s="38">
        <v>77329.0</v>
      </c>
      <c r="C8198" s="38" t="s">
        <v>11850</v>
      </c>
      <c r="D8198" s="38" t="str">
        <f>IFERROR(__xludf.DUMMYFUNCTION("REGEXREPLACE(C8198,""-\d+(.*)|--\d+(.*)"","""")"),"NANTEAU-SUR-LUNAIN")</f>
        <v>NANTEAU-SUR-LUNAIN</v>
      </c>
      <c r="E8198" s="38" t="s">
        <v>244</v>
      </c>
      <c r="F8198" s="38" t="s">
        <v>245</v>
      </c>
      <c r="G8198" s="49" t="str">
        <f t="shared" si="1"/>
        <v>77710</v>
      </c>
      <c r="H8198" s="49">
        <f t="shared" si="2"/>
        <v>77329</v>
      </c>
    </row>
    <row r="8199">
      <c r="A8199" s="48" t="s">
        <v>942</v>
      </c>
      <c r="B8199" s="38">
        <v>2172.0</v>
      </c>
      <c r="C8199" s="38" t="s">
        <v>11851</v>
      </c>
      <c r="D8199" s="38" t="str">
        <f>IFERROR(__xludf.DUMMYFUNCTION("REGEXREPLACE(C8199,""-\d+(.*)|--\d+(.*)"","""")"),"CHAUDUN")</f>
        <v>CHAUDUN</v>
      </c>
      <c r="E8199" s="38" t="s">
        <v>191</v>
      </c>
      <c r="F8199" s="38" t="s">
        <v>113</v>
      </c>
      <c r="G8199" s="49" t="str">
        <f t="shared" si="1"/>
        <v>02200</v>
      </c>
      <c r="H8199" s="49" t="str">
        <f t="shared" si="2"/>
        <v>02172</v>
      </c>
    </row>
    <row r="8200">
      <c r="A8200" s="48" t="s">
        <v>480</v>
      </c>
      <c r="B8200" s="38">
        <v>3103.0</v>
      </c>
      <c r="C8200" s="38" t="s">
        <v>11852</v>
      </c>
      <c r="D8200" s="38" t="str">
        <f>IFERROR(__xludf.DUMMYFUNCTION("REGEXREPLACE(C8200,""-\d+(.*)|--\d+(.*)"","""")"),"LE DONJON")</f>
        <v>LE DONJON</v>
      </c>
      <c r="E8200" s="38" t="s">
        <v>160</v>
      </c>
      <c r="F8200" s="38" t="s">
        <v>161</v>
      </c>
      <c r="G8200" s="49" t="str">
        <f t="shared" si="1"/>
        <v>03130</v>
      </c>
      <c r="H8200" s="49" t="str">
        <f t="shared" si="2"/>
        <v>03103</v>
      </c>
    </row>
    <row r="8201">
      <c r="A8201" s="48" t="s">
        <v>11853</v>
      </c>
      <c r="B8201" s="38">
        <v>38434.0</v>
      </c>
      <c r="C8201" s="38" t="s">
        <v>11854</v>
      </c>
      <c r="D8201" s="38" t="str">
        <f>IFERROR(__xludf.DUMMYFUNCTION("REGEXREPLACE(C8201,""-\d+(.*)|--\d+(.*)"","""")"),"SAINT-ONDRAS")</f>
        <v>SAINT-ONDRAS</v>
      </c>
      <c r="E8201" s="38" t="s">
        <v>101</v>
      </c>
      <c r="F8201" s="38" t="s">
        <v>102</v>
      </c>
      <c r="G8201" s="49" t="str">
        <f t="shared" si="1"/>
        <v>38490</v>
      </c>
      <c r="H8201" s="49">
        <f t="shared" si="2"/>
        <v>38434</v>
      </c>
    </row>
    <row r="8202">
      <c r="A8202" s="48" t="s">
        <v>360</v>
      </c>
      <c r="B8202" s="38">
        <v>78465.0</v>
      </c>
      <c r="C8202" s="38" t="s">
        <v>11855</v>
      </c>
      <c r="D8202" s="38" t="str">
        <f>IFERROR(__xludf.DUMMYFUNCTION("REGEXREPLACE(C8202,""-\d+(.*)|--\d+(.*)"","""")"),"ORGERUS")</f>
        <v>ORGERUS</v>
      </c>
      <c r="E8202" s="38" t="s">
        <v>362</v>
      </c>
      <c r="F8202" s="38" t="s">
        <v>245</v>
      </c>
      <c r="G8202" s="49" t="str">
        <f t="shared" si="1"/>
        <v>78910</v>
      </c>
      <c r="H8202" s="49">
        <f t="shared" si="2"/>
        <v>78465</v>
      </c>
    </row>
    <row r="8203">
      <c r="A8203" s="48" t="s">
        <v>11856</v>
      </c>
      <c r="B8203" s="38">
        <v>88159.0</v>
      </c>
      <c r="C8203" s="38" t="s">
        <v>11857</v>
      </c>
      <c r="D8203" s="38" t="str">
        <f>IFERROR(__xludf.DUMMYFUNCTION("REGEXREPLACE(C8203,""-\d+(.*)|--\d+(.*)"","""")"),"ENTRE-DEUX-EAUX")</f>
        <v>ENTRE-DEUX-EAUX</v>
      </c>
      <c r="E8203" s="38" t="s">
        <v>194</v>
      </c>
      <c r="F8203" s="38" t="s">
        <v>195</v>
      </c>
      <c r="G8203" s="49" t="str">
        <f t="shared" si="1"/>
        <v>88650</v>
      </c>
      <c r="H8203" s="49">
        <f t="shared" si="2"/>
        <v>88159</v>
      </c>
    </row>
    <row r="8204">
      <c r="A8204" s="48" t="s">
        <v>3379</v>
      </c>
      <c r="B8204" s="38">
        <v>54121.0</v>
      </c>
      <c r="C8204" s="38" t="s">
        <v>11858</v>
      </c>
      <c r="D8204" s="38" t="str">
        <f>IFERROR(__xludf.DUMMYFUNCTION("REGEXREPLACE(C8204,""-\d+(.*)|--\d+(.*)"","""")"),"CHARMOIS")</f>
        <v>CHARMOIS</v>
      </c>
      <c r="E8204" s="38" t="s">
        <v>548</v>
      </c>
      <c r="F8204" s="38" t="s">
        <v>195</v>
      </c>
      <c r="G8204" s="49" t="str">
        <f t="shared" si="1"/>
        <v>54360</v>
      </c>
      <c r="H8204" s="49">
        <f t="shared" si="2"/>
        <v>54121</v>
      </c>
    </row>
    <row r="8205">
      <c r="A8205" s="48" t="s">
        <v>11859</v>
      </c>
      <c r="B8205" s="38">
        <v>71270.0</v>
      </c>
      <c r="C8205" s="38" t="s">
        <v>11860</v>
      </c>
      <c r="D8205" s="38" t="str">
        <f>IFERROR(__xludf.DUMMYFUNCTION("REGEXREPLACE(C8205,""-\d+(.*)|--\d+(.*)"","""")"),"MACON")</f>
        <v>MACON</v>
      </c>
      <c r="E8205" s="38" t="s">
        <v>344</v>
      </c>
      <c r="F8205" s="38" t="s">
        <v>106</v>
      </c>
      <c r="G8205" s="49" t="str">
        <f t="shared" si="1"/>
        <v>71000</v>
      </c>
      <c r="H8205" s="49">
        <f t="shared" si="2"/>
        <v>71270</v>
      </c>
    </row>
    <row r="8206">
      <c r="A8206" s="48" t="s">
        <v>11861</v>
      </c>
      <c r="B8206" s="38">
        <v>30213.0</v>
      </c>
      <c r="C8206" s="38" t="s">
        <v>11862</v>
      </c>
      <c r="D8206" s="38" t="str">
        <f>IFERROR(__xludf.DUMMYFUNCTION("REGEXREPLACE(C8206,""-\d+(.*)|--\d+(.*)"","""")"),"REVENS")</f>
        <v>REVENS</v>
      </c>
      <c r="E8206" s="38" t="s">
        <v>526</v>
      </c>
      <c r="F8206" s="38" t="s">
        <v>119</v>
      </c>
      <c r="G8206" s="49" t="str">
        <f t="shared" si="1"/>
        <v>30750</v>
      </c>
      <c r="H8206" s="49">
        <f t="shared" si="2"/>
        <v>30213</v>
      </c>
    </row>
    <row r="8207">
      <c r="A8207" s="48" t="s">
        <v>186</v>
      </c>
      <c r="B8207" s="38">
        <v>41123.0</v>
      </c>
      <c r="C8207" s="38" t="s">
        <v>11863</v>
      </c>
      <c r="D8207" s="38" t="str">
        <f>IFERROR(__xludf.DUMMYFUNCTION("REGEXREPLACE(C8207,""-\d+(.*)|--\d+(.*)"","""")"),"MARCHENOIR")</f>
        <v>MARCHENOIR</v>
      </c>
      <c r="E8207" s="38" t="s">
        <v>188</v>
      </c>
      <c r="F8207" s="38" t="s">
        <v>123</v>
      </c>
      <c r="G8207" s="49" t="str">
        <f t="shared" si="1"/>
        <v>41370</v>
      </c>
      <c r="H8207" s="49">
        <f t="shared" si="2"/>
        <v>41123</v>
      </c>
    </row>
    <row r="8208">
      <c r="A8208" s="48" t="s">
        <v>3434</v>
      </c>
      <c r="B8208" s="38">
        <v>11275.0</v>
      </c>
      <c r="C8208" s="38" t="s">
        <v>11864</v>
      </c>
      <c r="D8208" s="38" t="str">
        <f>IFERROR(__xludf.DUMMYFUNCTION("REGEXREPLACE(C8208,""-\d+(.*)|--\d+(.*)"","""")"),"PAYRA-SUR-L'HERS")</f>
        <v>PAYRA-SUR-L'HERS</v>
      </c>
      <c r="E8208" s="38" t="s">
        <v>278</v>
      </c>
      <c r="F8208" s="38" t="s">
        <v>119</v>
      </c>
      <c r="G8208" s="49" t="str">
        <f t="shared" si="1"/>
        <v>11410</v>
      </c>
      <c r="H8208" s="49">
        <f t="shared" si="2"/>
        <v>11275</v>
      </c>
    </row>
    <row r="8209">
      <c r="A8209" s="48" t="s">
        <v>11865</v>
      </c>
      <c r="B8209" s="38">
        <v>5120.0</v>
      </c>
      <c r="C8209" s="38" t="s">
        <v>11866</v>
      </c>
      <c r="D8209" s="38" t="str">
        <f>IFERROR(__xludf.DUMMYFUNCTION("REGEXREPLACE(C8209,""-\d+(.*)|--\d+(.*)"","""")"),"RISTOLAS")</f>
        <v>RISTOLAS</v>
      </c>
      <c r="E8209" s="38" t="s">
        <v>706</v>
      </c>
      <c r="F8209" s="38" t="s">
        <v>228</v>
      </c>
      <c r="G8209" s="49" t="str">
        <f t="shared" si="1"/>
        <v>05460</v>
      </c>
      <c r="H8209" s="49" t="str">
        <f t="shared" si="2"/>
        <v>05120</v>
      </c>
    </row>
    <row r="8210">
      <c r="A8210" s="48" t="s">
        <v>11867</v>
      </c>
      <c r="B8210" s="38">
        <v>34254.0</v>
      </c>
      <c r="C8210" s="38" t="s">
        <v>11868</v>
      </c>
      <c r="D8210" s="38" t="str">
        <f>IFERROR(__xludf.DUMMYFUNCTION("REGEXREPLACE(C8210,""-\d+(.*)|--\d+(.*)"","""")"),"SAINT-FELIX-DE-LODEZ")</f>
        <v>SAINT-FELIX-DE-LODEZ</v>
      </c>
      <c r="E8210" s="38" t="s">
        <v>118</v>
      </c>
      <c r="F8210" s="38" t="s">
        <v>119</v>
      </c>
      <c r="G8210" s="49" t="str">
        <f t="shared" si="1"/>
        <v>34725</v>
      </c>
      <c r="H8210" s="49">
        <f t="shared" si="2"/>
        <v>34254</v>
      </c>
    </row>
    <row r="8211">
      <c r="A8211" s="48" t="s">
        <v>10407</v>
      </c>
      <c r="B8211" s="38">
        <v>87205.0</v>
      </c>
      <c r="C8211" s="38" t="s">
        <v>11869</v>
      </c>
      <c r="D8211" s="38" t="str">
        <f>IFERROR(__xludf.DUMMYFUNCTION("REGEXREPLACE(C8211,""-\d+(.*)|--\d+(.*)"","""")"),"LE VIGEN")</f>
        <v>LE VIGEN</v>
      </c>
      <c r="E8211" s="38" t="s">
        <v>897</v>
      </c>
      <c r="F8211" s="38" t="s">
        <v>98</v>
      </c>
      <c r="G8211" s="49" t="str">
        <f t="shared" si="1"/>
        <v>87110</v>
      </c>
      <c r="H8211" s="49">
        <f t="shared" si="2"/>
        <v>87205</v>
      </c>
    </row>
    <row r="8212">
      <c r="A8212" s="48" t="s">
        <v>3842</v>
      </c>
      <c r="B8212" s="38">
        <v>88386.0</v>
      </c>
      <c r="C8212" s="38" t="s">
        <v>11870</v>
      </c>
      <c r="D8212" s="38" t="str">
        <f>IFERROR(__xludf.DUMMYFUNCTION("REGEXREPLACE(C8212,""-\d+(.*)|--\d+(.*)"","""")"),"REMOMEIX")</f>
        <v>REMOMEIX</v>
      </c>
      <c r="E8212" s="38" t="s">
        <v>194</v>
      </c>
      <c r="F8212" s="38" t="s">
        <v>195</v>
      </c>
      <c r="G8212" s="49" t="str">
        <f t="shared" si="1"/>
        <v>88100</v>
      </c>
      <c r="H8212" s="49">
        <f t="shared" si="2"/>
        <v>88386</v>
      </c>
    </row>
    <row r="8213">
      <c r="A8213" s="48" t="s">
        <v>851</v>
      </c>
      <c r="B8213" s="38">
        <v>44202.0</v>
      </c>
      <c r="C8213" s="38" t="s">
        <v>11871</v>
      </c>
      <c r="D8213" s="38" t="str">
        <f>IFERROR(__xludf.DUMMYFUNCTION("REGEXREPLACE(C8213,""-\d+(.*)|--\d+(.*)"","""")"),"TEILLE")</f>
        <v>TEILLE</v>
      </c>
      <c r="E8213" s="38" t="s">
        <v>759</v>
      </c>
      <c r="F8213" s="38" t="s">
        <v>180</v>
      </c>
      <c r="G8213" s="49" t="str">
        <f t="shared" si="1"/>
        <v>44440</v>
      </c>
      <c r="H8213" s="49">
        <f t="shared" si="2"/>
        <v>44202</v>
      </c>
    </row>
    <row r="8214">
      <c r="A8214" s="48" t="s">
        <v>942</v>
      </c>
      <c r="B8214" s="38">
        <v>2485.0</v>
      </c>
      <c r="C8214" s="38" t="s">
        <v>11872</v>
      </c>
      <c r="D8214" s="38" t="str">
        <f>IFERROR(__xludf.DUMMYFUNCTION("REGEXREPLACE(C8214,""-\d+(.*)|--\d+(.*)"","""")"),"MISSY-AUX-BOIS")</f>
        <v>MISSY-AUX-BOIS</v>
      </c>
      <c r="E8214" s="38" t="s">
        <v>191</v>
      </c>
      <c r="F8214" s="38" t="s">
        <v>113</v>
      </c>
      <c r="G8214" s="49" t="str">
        <f t="shared" si="1"/>
        <v>02200</v>
      </c>
      <c r="H8214" s="49" t="str">
        <f t="shared" si="2"/>
        <v>02485</v>
      </c>
    </row>
    <row r="8215">
      <c r="A8215" s="48" t="s">
        <v>11873</v>
      </c>
      <c r="B8215" s="38">
        <v>26058.0</v>
      </c>
      <c r="C8215" s="38" t="s">
        <v>11874</v>
      </c>
      <c r="D8215" s="38" t="str">
        <f>IFERROR(__xludf.DUMMYFUNCTION("REGEXREPLACE(C8215,""-\d+(.*)|--\d+(.*)"","""")"),"BOURG-LES-VALENCE")</f>
        <v>BOURG-LES-VALENCE</v>
      </c>
      <c r="E8215" s="38" t="s">
        <v>126</v>
      </c>
      <c r="F8215" s="38" t="s">
        <v>102</v>
      </c>
      <c r="G8215" s="49" t="str">
        <f t="shared" si="1"/>
        <v>26500</v>
      </c>
      <c r="H8215" s="49">
        <f t="shared" si="2"/>
        <v>26058</v>
      </c>
    </row>
    <row r="8216">
      <c r="A8216" s="48" t="s">
        <v>960</v>
      </c>
      <c r="B8216" s="38">
        <v>28251.0</v>
      </c>
      <c r="C8216" s="38" t="s">
        <v>11875</v>
      </c>
      <c r="D8216" s="38" t="str">
        <f>IFERROR(__xludf.DUMMYFUNCTION("REGEXREPLACE(C8216,""-\d+(.*)|--\d+(.*)"","""")"),"MEZIERES-EN-DROUAIS")</f>
        <v>MEZIERES-EN-DROUAIS</v>
      </c>
      <c r="E8216" s="38" t="s">
        <v>300</v>
      </c>
      <c r="F8216" s="38" t="s">
        <v>123</v>
      </c>
      <c r="G8216" s="49" t="str">
        <f t="shared" si="1"/>
        <v>28500</v>
      </c>
      <c r="H8216" s="49">
        <f t="shared" si="2"/>
        <v>28251</v>
      </c>
    </row>
    <row r="8217">
      <c r="A8217" s="48" t="s">
        <v>6519</v>
      </c>
      <c r="B8217" s="38">
        <v>81176.0</v>
      </c>
      <c r="C8217" s="38" t="s">
        <v>11876</v>
      </c>
      <c r="D8217" s="38" t="str">
        <f>IFERROR(__xludf.DUMMYFUNCTION("REGEXREPLACE(C8217,""-\d+(.*)|--\d+(.*)"","""")"),"MONTELS")</f>
        <v>MONTELS</v>
      </c>
      <c r="E8217" s="38" t="s">
        <v>231</v>
      </c>
      <c r="F8217" s="38" t="s">
        <v>94</v>
      </c>
      <c r="G8217" s="49" t="str">
        <f t="shared" si="1"/>
        <v>81140</v>
      </c>
      <c r="H8217" s="49">
        <f t="shared" si="2"/>
        <v>81176</v>
      </c>
    </row>
    <row r="8218">
      <c r="A8218" s="48" t="s">
        <v>1157</v>
      </c>
      <c r="B8218" s="38">
        <v>16014.0</v>
      </c>
      <c r="C8218" s="38" t="s">
        <v>11877</v>
      </c>
      <c r="D8218" s="38" t="str">
        <f>IFERROR(__xludf.DUMMYFUNCTION("REGEXREPLACE(C8218,""-\d+(.*)|--\d+(.*)"","""")"),"ANGEDUC")</f>
        <v>ANGEDUC</v>
      </c>
      <c r="E8218" s="38" t="s">
        <v>429</v>
      </c>
      <c r="F8218" s="38" t="s">
        <v>338</v>
      </c>
      <c r="G8218" s="49" t="str">
        <f t="shared" si="1"/>
        <v>16300</v>
      </c>
      <c r="H8218" s="49">
        <f t="shared" si="2"/>
        <v>16014</v>
      </c>
    </row>
    <row r="8219">
      <c r="A8219" s="48" t="s">
        <v>6849</v>
      </c>
      <c r="B8219" s="38">
        <v>28177.0</v>
      </c>
      <c r="C8219" s="38" t="s">
        <v>11878</v>
      </c>
      <c r="D8219" s="38" t="str">
        <f>IFERROR(__xludf.DUMMYFUNCTION("REGEXREPLACE(C8219,""-\d+(.*)|--\d+(.*)"","""")"),"GELLAINVILLE")</f>
        <v>GELLAINVILLE</v>
      </c>
      <c r="E8219" s="38" t="s">
        <v>300</v>
      </c>
      <c r="F8219" s="38" t="s">
        <v>123</v>
      </c>
      <c r="G8219" s="49" t="str">
        <f t="shared" si="1"/>
        <v>28630</v>
      </c>
      <c r="H8219" s="49">
        <f t="shared" si="2"/>
        <v>28177</v>
      </c>
    </row>
    <row r="8220">
      <c r="A8220" s="48" t="s">
        <v>6698</v>
      </c>
      <c r="B8220" s="38">
        <v>25071.0</v>
      </c>
      <c r="C8220" s="38" t="s">
        <v>11879</v>
      </c>
      <c r="D8220" s="38" t="str">
        <f>IFERROR(__xludf.DUMMYFUNCTION("REGEXREPLACE(C8220,""-\d+(.*)|--\d+(.*)"","""")"),"BONDEVAL")</f>
        <v>BONDEVAL</v>
      </c>
      <c r="E8220" s="38" t="s">
        <v>213</v>
      </c>
      <c r="F8220" s="38" t="s">
        <v>214</v>
      </c>
      <c r="G8220" s="49" t="str">
        <f t="shared" si="1"/>
        <v>25230</v>
      </c>
      <c r="H8220" s="49">
        <f t="shared" si="2"/>
        <v>25071</v>
      </c>
    </row>
    <row r="8221">
      <c r="A8221" s="48" t="s">
        <v>5894</v>
      </c>
      <c r="B8221" s="38">
        <v>69004.0</v>
      </c>
      <c r="C8221" s="38" t="s">
        <v>11880</v>
      </c>
      <c r="D8221" s="38" t="str">
        <f>IFERROR(__xludf.DUMMYFUNCTION("REGEXREPLACE(C8221,""-\d+(.*)|--\d+(.*)"","""")"),"ALIX")</f>
        <v>ALIX</v>
      </c>
      <c r="E8221" s="38" t="s">
        <v>350</v>
      </c>
      <c r="F8221" s="38" t="s">
        <v>102</v>
      </c>
      <c r="G8221" s="49" t="str">
        <f t="shared" si="1"/>
        <v>69380</v>
      </c>
      <c r="H8221" s="49">
        <f t="shared" si="2"/>
        <v>69004</v>
      </c>
    </row>
    <row r="8222">
      <c r="A8222" s="48" t="s">
        <v>6992</v>
      </c>
      <c r="B8222" s="38">
        <v>24454.0</v>
      </c>
      <c r="C8222" s="38" t="s">
        <v>11881</v>
      </c>
      <c r="D8222" s="38" t="str">
        <f>IFERROR(__xludf.DUMMYFUNCTION("REGEXREPLACE(C8222,""-\d+(.*)|--\d+(.*)"","""")"),"SAINT-MARTIN-DE-GURSON")</f>
        <v>SAINT-MARTIN-DE-GURSON</v>
      </c>
      <c r="E8222" s="38" t="s">
        <v>261</v>
      </c>
      <c r="F8222" s="38" t="s">
        <v>252</v>
      </c>
      <c r="G8222" s="49" t="str">
        <f t="shared" si="1"/>
        <v>24610</v>
      </c>
      <c r="H8222" s="49">
        <f t="shared" si="2"/>
        <v>24454</v>
      </c>
    </row>
    <row r="8223">
      <c r="A8223" s="48" t="s">
        <v>6038</v>
      </c>
      <c r="B8223" s="38">
        <v>88149.0</v>
      </c>
      <c r="C8223" s="38" t="s">
        <v>11882</v>
      </c>
      <c r="D8223" s="38" t="str">
        <f>IFERROR(__xludf.DUMMYFUNCTION("REGEXREPLACE(C8223,""-\d+(.*)|--\d+(.*)"","""")"),"DOMMARTIN-LES-VALLOIS")</f>
        <v>DOMMARTIN-LES-VALLOIS</v>
      </c>
      <c r="E8223" s="38" t="s">
        <v>194</v>
      </c>
      <c r="F8223" s="38" t="s">
        <v>195</v>
      </c>
      <c r="G8223" s="49" t="str">
        <f t="shared" si="1"/>
        <v>88260</v>
      </c>
      <c r="H8223" s="49">
        <f t="shared" si="2"/>
        <v>88149</v>
      </c>
    </row>
    <row r="8224">
      <c r="A8224" s="48" t="s">
        <v>1029</v>
      </c>
      <c r="B8224" s="38">
        <v>9286.0</v>
      </c>
      <c r="C8224" s="38" t="s">
        <v>11883</v>
      </c>
      <c r="D8224" s="38" t="str">
        <f>IFERROR(__xludf.DUMMYFUNCTION("REGEXREPLACE(C8224,""-\d+(.*)|--\d+(.*)"","""")"),"SEM")</f>
        <v>SEM</v>
      </c>
      <c r="E8224" s="38" t="s">
        <v>238</v>
      </c>
      <c r="F8224" s="38" t="s">
        <v>94</v>
      </c>
      <c r="G8224" s="49" t="str">
        <f t="shared" si="1"/>
        <v>09220</v>
      </c>
      <c r="H8224" s="49" t="str">
        <f t="shared" si="2"/>
        <v>09286</v>
      </c>
    </row>
    <row r="8225">
      <c r="A8225" s="48" t="s">
        <v>11884</v>
      </c>
      <c r="B8225" s="38">
        <v>37173.0</v>
      </c>
      <c r="C8225" s="38" t="s">
        <v>11885</v>
      </c>
      <c r="D8225" s="38" t="str">
        <f>IFERROR(__xludf.DUMMYFUNCTION("REGEXREPLACE(C8225,""-\d+(.*)|--\d+(.*)"","""")"),"NOUANS-LES-FONTAINES")</f>
        <v>NOUANS-LES-FONTAINES</v>
      </c>
      <c r="E8225" s="38" t="s">
        <v>205</v>
      </c>
      <c r="F8225" s="38" t="s">
        <v>123</v>
      </c>
      <c r="G8225" s="49" t="str">
        <f t="shared" si="1"/>
        <v>37460</v>
      </c>
      <c r="H8225" s="49">
        <f t="shared" si="2"/>
        <v>37173</v>
      </c>
    </row>
    <row r="8226">
      <c r="A8226" s="48" t="s">
        <v>4907</v>
      </c>
      <c r="B8226" s="38">
        <v>73130.0</v>
      </c>
      <c r="C8226" s="38" t="s">
        <v>11886</v>
      </c>
      <c r="D8226" s="38" t="str">
        <f>IFERROR(__xludf.DUMMYFUNCTION("REGEXREPLACE(C8226,""-\d+(.*)|--\d+(.*)"","""")"),"GRIGNON")</f>
        <v>GRIGNON</v>
      </c>
      <c r="E8226" s="38" t="s">
        <v>306</v>
      </c>
      <c r="F8226" s="38" t="s">
        <v>102</v>
      </c>
      <c r="G8226" s="49" t="str">
        <f t="shared" si="1"/>
        <v>73200</v>
      </c>
      <c r="H8226" s="49">
        <f t="shared" si="2"/>
        <v>73130</v>
      </c>
    </row>
    <row r="8227">
      <c r="A8227" s="48" t="s">
        <v>9381</v>
      </c>
      <c r="B8227" s="38">
        <v>68150.0</v>
      </c>
      <c r="C8227" s="38" t="s">
        <v>11887</v>
      </c>
      <c r="D8227" s="38" t="str">
        <f>IFERROR(__xludf.DUMMYFUNCTION("REGEXREPLACE(C8227,""-\d+(.*)|--\d+(.*)"","""")"),"HUSSEREN-LES-CHATEAUX")</f>
        <v>HUSSEREN-LES-CHATEAUX</v>
      </c>
      <c r="E8227" s="38" t="s">
        <v>150</v>
      </c>
      <c r="F8227" s="38" t="s">
        <v>151</v>
      </c>
      <c r="G8227" s="49" t="str">
        <f t="shared" si="1"/>
        <v>68420</v>
      </c>
      <c r="H8227" s="49">
        <f t="shared" si="2"/>
        <v>68150</v>
      </c>
    </row>
    <row r="8228">
      <c r="A8228" s="48" t="s">
        <v>2705</v>
      </c>
      <c r="B8228" s="38">
        <v>77112.0</v>
      </c>
      <c r="C8228" s="38" t="s">
        <v>11888</v>
      </c>
      <c r="D8228" s="38" t="str">
        <f>IFERROR(__xludf.DUMMYFUNCTION("REGEXREPLACE(C8228,""-\d+(.*)|--\d+(.*)"","""")"),"CHEVRAINVILLIERS")</f>
        <v>CHEVRAINVILLIERS</v>
      </c>
      <c r="E8228" s="38" t="s">
        <v>244</v>
      </c>
      <c r="F8228" s="38" t="s">
        <v>245</v>
      </c>
      <c r="G8228" s="49" t="str">
        <f t="shared" si="1"/>
        <v>77760</v>
      </c>
      <c r="H8228" s="49">
        <f t="shared" si="2"/>
        <v>77112</v>
      </c>
    </row>
    <row r="8229">
      <c r="A8229" s="48" t="s">
        <v>2077</v>
      </c>
      <c r="B8229" s="38">
        <v>8498.0</v>
      </c>
      <c r="C8229" s="38" t="s">
        <v>11889</v>
      </c>
      <c r="D8229" s="38" t="str">
        <f>IFERROR(__xludf.DUMMYFUNCTION("REGEXREPLACE(C8229,""-\d+(.*)|--\d+(.*)"","""")"),"WARNECOURT")</f>
        <v>WARNECOURT</v>
      </c>
      <c r="E8229" s="38" t="s">
        <v>327</v>
      </c>
      <c r="F8229" s="38" t="s">
        <v>130</v>
      </c>
      <c r="G8229" s="49" t="str">
        <f t="shared" si="1"/>
        <v>08090</v>
      </c>
      <c r="H8229" s="49" t="str">
        <f t="shared" si="2"/>
        <v>08498</v>
      </c>
    </row>
    <row r="8230">
      <c r="A8230" s="48" t="s">
        <v>4594</v>
      </c>
      <c r="B8230" s="38">
        <v>62636.0</v>
      </c>
      <c r="C8230" s="38" t="s">
        <v>11890</v>
      </c>
      <c r="D8230" s="38" t="str">
        <f>IFERROR(__xludf.DUMMYFUNCTION("REGEXREPLACE(C8230,""-\d+(.*)|--\d+(.*)"","""")"),"OFFRETHUN")</f>
        <v>OFFRETHUN</v>
      </c>
      <c r="E8230" s="38" t="s">
        <v>109</v>
      </c>
      <c r="F8230" s="38" t="s">
        <v>86</v>
      </c>
      <c r="G8230" s="49" t="str">
        <f t="shared" si="1"/>
        <v>62250</v>
      </c>
      <c r="H8230" s="49">
        <f t="shared" si="2"/>
        <v>62636</v>
      </c>
    </row>
    <row r="8231">
      <c r="A8231" s="48" t="s">
        <v>6945</v>
      </c>
      <c r="B8231" s="38">
        <v>80300.0</v>
      </c>
      <c r="C8231" s="38" t="s">
        <v>11891</v>
      </c>
      <c r="D8231" s="38" t="str">
        <f>IFERROR(__xludf.DUMMYFUNCTION("REGEXREPLACE(C8231,""-\d+(.*)|--\d+(.*)"","""")"),"FALVY")</f>
        <v>FALVY</v>
      </c>
      <c r="E8231" s="38" t="s">
        <v>224</v>
      </c>
      <c r="F8231" s="38" t="s">
        <v>113</v>
      </c>
      <c r="G8231" s="49" t="str">
        <f t="shared" si="1"/>
        <v>80190</v>
      </c>
      <c r="H8231" s="49">
        <f t="shared" si="2"/>
        <v>80300</v>
      </c>
    </row>
    <row r="8232">
      <c r="A8232" s="48" t="s">
        <v>11892</v>
      </c>
      <c r="B8232" s="38">
        <v>83097.0</v>
      </c>
      <c r="C8232" s="38" t="s">
        <v>11893</v>
      </c>
      <c r="D8232" s="38" t="str">
        <f>IFERROR(__xludf.DUMMYFUNCTION("REGEXREPLACE(C8232,""-\d+(.*)|--\d+(.*)"","""")"),"POURRIERES")</f>
        <v>POURRIERES</v>
      </c>
      <c r="E8232" s="38" t="s">
        <v>813</v>
      </c>
      <c r="F8232" s="38" t="s">
        <v>228</v>
      </c>
      <c r="G8232" s="49" t="str">
        <f t="shared" si="1"/>
        <v>83910</v>
      </c>
      <c r="H8232" s="49">
        <f t="shared" si="2"/>
        <v>83097</v>
      </c>
    </row>
    <row r="8233">
      <c r="A8233" s="48" t="s">
        <v>1199</v>
      </c>
      <c r="B8233" s="38">
        <v>55026.0</v>
      </c>
      <c r="C8233" s="38" t="s">
        <v>11894</v>
      </c>
      <c r="D8233" s="38" t="str">
        <f>IFERROR(__xludf.DUMMYFUNCTION("REGEXREPLACE(C8233,""-\d+(.*)|--\d+(.*)"","""")"),"BADONVILLIERS-GERAUVILLIERS")</f>
        <v>BADONVILLIERS-GERAUVILLIERS</v>
      </c>
      <c r="E8233" s="38" t="s">
        <v>322</v>
      </c>
      <c r="F8233" s="38" t="s">
        <v>195</v>
      </c>
      <c r="G8233" s="49" t="str">
        <f t="shared" si="1"/>
        <v>55130</v>
      </c>
      <c r="H8233" s="49">
        <f t="shared" si="2"/>
        <v>55026</v>
      </c>
    </row>
    <row r="8234">
      <c r="A8234" s="48" t="s">
        <v>6622</v>
      </c>
      <c r="B8234" s="38">
        <v>33073.0</v>
      </c>
      <c r="C8234" s="38" t="s">
        <v>11895</v>
      </c>
      <c r="D8234" s="38" t="str">
        <f>IFERROR(__xludf.DUMMYFUNCTION("REGEXREPLACE(C8234,""-\d+(.*)|--\d+(.*)"","""")"),"BRAUD-ET-SAINT-LOUIS")</f>
        <v>BRAUD-ET-SAINT-LOUIS</v>
      </c>
      <c r="E8234" s="38" t="s">
        <v>462</v>
      </c>
      <c r="F8234" s="38" t="s">
        <v>252</v>
      </c>
      <c r="G8234" s="49" t="str">
        <f t="shared" si="1"/>
        <v>33820</v>
      </c>
      <c r="H8234" s="49">
        <f t="shared" si="2"/>
        <v>33073</v>
      </c>
    </row>
    <row r="8235">
      <c r="A8235" s="48" t="s">
        <v>11009</v>
      </c>
      <c r="B8235" s="38">
        <v>33240.0</v>
      </c>
      <c r="C8235" s="38" t="s">
        <v>11896</v>
      </c>
      <c r="D8235" s="38" t="str">
        <f>IFERROR(__xludf.DUMMYFUNCTION("REGEXREPLACE(C8235,""-\d+(.*)|--\d+(.*)"","""")"),"LESPARRE-MEDOC")</f>
        <v>LESPARRE-MEDOC</v>
      </c>
      <c r="E8235" s="38" t="s">
        <v>462</v>
      </c>
      <c r="F8235" s="38" t="s">
        <v>252</v>
      </c>
      <c r="G8235" s="49" t="str">
        <f t="shared" si="1"/>
        <v>33340</v>
      </c>
      <c r="H8235" s="49">
        <f t="shared" si="2"/>
        <v>33240</v>
      </c>
    </row>
    <row r="8236">
      <c r="A8236" s="48" t="s">
        <v>11897</v>
      </c>
      <c r="B8236" s="38">
        <v>42322.0</v>
      </c>
      <c r="C8236" s="38" t="s">
        <v>11898</v>
      </c>
      <c r="D8236" s="38" t="str">
        <f>IFERROR(__xludf.DUMMYFUNCTION("REGEXREPLACE(C8236,""-\d+(.*)|--\d+(.*)"","""")"),"LA VALLA-EN-GIER")</f>
        <v>LA VALLA-EN-GIER</v>
      </c>
      <c r="E8236" s="38" t="s">
        <v>166</v>
      </c>
      <c r="F8236" s="38" t="s">
        <v>102</v>
      </c>
      <c r="G8236" s="49" t="str">
        <f t="shared" si="1"/>
        <v>42131</v>
      </c>
      <c r="H8236" s="49">
        <f t="shared" si="2"/>
        <v>42322</v>
      </c>
    </row>
    <row r="8237">
      <c r="A8237" s="48" t="s">
        <v>1706</v>
      </c>
      <c r="B8237" s="38">
        <v>50418.0</v>
      </c>
      <c r="C8237" s="38" t="s">
        <v>11899</v>
      </c>
      <c r="D8237" s="38" t="str">
        <f>IFERROR(__xludf.DUMMYFUNCTION("REGEXREPLACE(C8237,""-\d+(.*)|--\d+(.*)"","""")"),"QUETTETOT")</f>
        <v>QUETTETOT</v>
      </c>
      <c r="E8237" s="38" t="s">
        <v>157</v>
      </c>
      <c r="F8237" s="38" t="s">
        <v>138</v>
      </c>
      <c r="G8237" s="49" t="str">
        <f t="shared" si="1"/>
        <v>50260</v>
      </c>
      <c r="H8237" s="49">
        <f t="shared" si="2"/>
        <v>50418</v>
      </c>
    </row>
    <row r="8238">
      <c r="A8238" s="48" t="s">
        <v>6633</v>
      </c>
      <c r="B8238" s="38">
        <v>64471.0</v>
      </c>
      <c r="C8238" s="38" t="s">
        <v>11900</v>
      </c>
      <c r="D8238" s="38" t="str">
        <f>IFERROR(__xludf.DUMMYFUNCTION("REGEXREPLACE(C8238,""-\d+(.*)|--\d+(.*)"","""")"),"SAINT-BOES")</f>
        <v>SAINT-BOES</v>
      </c>
      <c r="E8238" s="38" t="s">
        <v>268</v>
      </c>
      <c r="F8238" s="38" t="s">
        <v>252</v>
      </c>
      <c r="G8238" s="49" t="str">
        <f t="shared" si="1"/>
        <v>64300</v>
      </c>
      <c r="H8238" s="49">
        <f t="shared" si="2"/>
        <v>64471</v>
      </c>
    </row>
    <row r="8239">
      <c r="A8239" s="48" t="s">
        <v>2495</v>
      </c>
      <c r="B8239" s="38">
        <v>41052.0</v>
      </c>
      <c r="C8239" s="38" t="s">
        <v>11901</v>
      </c>
      <c r="D8239" s="38" t="str">
        <f>IFERROR(__xludf.DUMMYFUNCTION("REGEXREPLACE(C8239,""-\d+(.*)|--\d+(.*)"","""")"),"CHITENAY")</f>
        <v>CHITENAY</v>
      </c>
      <c r="E8239" s="38" t="s">
        <v>188</v>
      </c>
      <c r="F8239" s="38" t="s">
        <v>123</v>
      </c>
      <c r="G8239" s="49" t="str">
        <f t="shared" si="1"/>
        <v>41120</v>
      </c>
      <c r="H8239" s="49">
        <f t="shared" si="2"/>
        <v>41052</v>
      </c>
    </row>
    <row r="8240">
      <c r="A8240" s="48" t="s">
        <v>10463</v>
      </c>
      <c r="B8240" s="38">
        <v>50437.0</v>
      </c>
      <c r="C8240" s="38" t="s">
        <v>11902</v>
      </c>
      <c r="D8240" s="38" t="str">
        <f>IFERROR(__xludf.DUMMYFUNCTION("REGEXREPLACE(C8240,""-\d+(.*)|--\d+(.*)"","""")"),"RONCEY")</f>
        <v>RONCEY</v>
      </c>
      <c r="E8240" s="38" t="s">
        <v>157</v>
      </c>
      <c r="F8240" s="38" t="s">
        <v>138</v>
      </c>
      <c r="G8240" s="49" t="str">
        <f t="shared" si="1"/>
        <v>50210</v>
      </c>
      <c r="H8240" s="49">
        <f t="shared" si="2"/>
        <v>50437</v>
      </c>
    </row>
    <row r="8241">
      <c r="A8241" s="48" t="s">
        <v>11903</v>
      </c>
      <c r="B8241" s="38">
        <v>74015.0</v>
      </c>
      <c r="C8241" s="38" t="s">
        <v>11904</v>
      </c>
      <c r="D8241" s="38" t="str">
        <f>IFERROR(__xludf.DUMMYFUNCTION("REGEXREPLACE(C8241,""-\d+(.*)|--\d+(.*)"","""")"),"ARBUSIGNY")</f>
        <v>ARBUSIGNY</v>
      </c>
      <c r="E8241" s="38" t="s">
        <v>319</v>
      </c>
      <c r="F8241" s="38" t="s">
        <v>102</v>
      </c>
      <c r="G8241" s="49" t="str">
        <f t="shared" si="1"/>
        <v>74930</v>
      </c>
      <c r="H8241" s="49">
        <f t="shared" si="2"/>
        <v>74015</v>
      </c>
    </row>
    <row r="8242">
      <c r="A8242" s="48" t="s">
        <v>5383</v>
      </c>
      <c r="B8242" s="38">
        <v>44017.0</v>
      </c>
      <c r="C8242" s="38" t="s">
        <v>11905</v>
      </c>
      <c r="D8242" s="38" t="str">
        <f>IFERROR(__xludf.DUMMYFUNCTION("REGEXREPLACE(C8242,""-\d+(.*)|--\d+(.*)"","""")"),"BONNOEUVRE")</f>
        <v>BONNOEUVRE</v>
      </c>
      <c r="E8242" s="38" t="s">
        <v>759</v>
      </c>
      <c r="F8242" s="38" t="s">
        <v>180</v>
      </c>
      <c r="G8242" s="49" t="str">
        <f t="shared" si="1"/>
        <v>44540</v>
      </c>
      <c r="H8242" s="49">
        <f t="shared" si="2"/>
        <v>44017</v>
      </c>
    </row>
    <row r="8243">
      <c r="A8243" s="48" t="s">
        <v>5806</v>
      </c>
      <c r="B8243" s="38">
        <v>39439.0</v>
      </c>
      <c r="C8243" s="38" t="s">
        <v>11906</v>
      </c>
      <c r="D8243" s="38" t="str">
        <f>IFERROR(__xludf.DUMMYFUNCTION("REGEXREPLACE(C8243,""-\d+(.*)|--\d+(.*)"","""")"),"PORT-LESNEY")</f>
        <v>PORT-LESNEY</v>
      </c>
      <c r="E8243" s="38" t="s">
        <v>400</v>
      </c>
      <c r="F8243" s="38" t="s">
        <v>214</v>
      </c>
      <c r="G8243" s="49" t="str">
        <f t="shared" si="1"/>
        <v>39600</v>
      </c>
      <c r="H8243" s="49">
        <f t="shared" si="2"/>
        <v>39439</v>
      </c>
    </row>
    <row r="8244">
      <c r="A8244" s="48" t="s">
        <v>3080</v>
      </c>
      <c r="B8244" s="38">
        <v>71553.0</v>
      </c>
      <c r="C8244" s="38" t="s">
        <v>766</v>
      </c>
      <c r="D8244" s="38" t="str">
        <f>IFERROR(__xludf.DUMMYFUNCTION("REGEXREPLACE(C8244,""-\d+(.*)|--\d+(.*)"","""")"),"VAREILLES")</f>
        <v>VAREILLES</v>
      </c>
      <c r="E8244" s="38" t="s">
        <v>344</v>
      </c>
      <c r="F8244" s="38" t="s">
        <v>106</v>
      </c>
      <c r="G8244" s="49" t="str">
        <f t="shared" si="1"/>
        <v>71800</v>
      </c>
      <c r="H8244" s="49">
        <f t="shared" si="2"/>
        <v>71553</v>
      </c>
    </row>
    <row r="8245">
      <c r="A8245" s="48" t="s">
        <v>1638</v>
      </c>
      <c r="B8245" s="38">
        <v>70196.0</v>
      </c>
      <c r="C8245" s="38" t="s">
        <v>11907</v>
      </c>
      <c r="D8245" s="38" t="str">
        <f>IFERROR(__xludf.DUMMYFUNCTION("REGEXREPLACE(C8245,""-\d+(.*)|--\d+(.*)"","""")"),"DAMPIERRE-LES-CONFLANS")</f>
        <v>DAMPIERRE-LES-CONFLANS</v>
      </c>
      <c r="E8245" s="38" t="s">
        <v>956</v>
      </c>
      <c r="F8245" s="38" t="s">
        <v>214</v>
      </c>
      <c r="G8245" s="49" t="str">
        <f t="shared" si="1"/>
        <v>70800</v>
      </c>
      <c r="H8245" s="49">
        <f t="shared" si="2"/>
        <v>70196</v>
      </c>
    </row>
    <row r="8246">
      <c r="A8246" s="48" t="s">
        <v>8821</v>
      </c>
      <c r="B8246" s="38">
        <v>26054.0</v>
      </c>
      <c r="C8246" s="38" t="s">
        <v>11908</v>
      </c>
      <c r="D8246" s="38" t="str">
        <f>IFERROR(__xludf.DUMMYFUNCTION("REGEXREPLACE(C8246,""-\d+(.*)|--\d+(.*)"","""")"),"BOUCHET")</f>
        <v>BOUCHET</v>
      </c>
      <c r="E8246" s="38" t="s">
        <v>126</v>
      </c>
      <c r="F8246" s="38" t="s">
        <v>102</v>
      </c>
      <c r="G8246" s="49" t="str">
        <f t="shared" si="1"/>
        <v>26790</v>
      </c>
      <c r="H8246" s="49">
        <f t="shared" si="2"/>
        <v>26054</v>
      </c>
    </row>
    <row r="8247">
      <c r="A8247" s="48" t="s">
        <v>2190</v>
      </c>
      <c r="B8247" s="38">
        <v>10231.0</v>
      </c>
      <c r="C8247" s="38" t="s">
        <v>11909</v>
      </c>
      <c r="D8247" s="38" t="str">
        <f>IFERROR(__xludf.DUMMYFUNCTION("REGEXREPLACE(C8247,""-\d+(.*)|--\d+(.*)"","""")"),"LE MERIOT")</f>
        <v>LE MERIOT</v>
      </c>
      <c r="E8247" s="38" t="s">
        <v>147</v>
      </c>
      <c r="F8247" s="38" t="s">
        <v>130</v>
      </c>
      <c r="G8247" s="49" t="str">
        <f t="shared" si="1"/>
        <v>10400</v>
      </c>
      <c r="H8247" s="49">
        <f t="shared" si="2"/>
        <v>10231</v>
      </c>
    </row>
    <row r="8248">
      <c r="A8248" s="48" t="s">
        <v>11910</v>
      </c>
      <c r="B8248" s="38">
        <v>46080.0</v>
      </c>
      <c r="C8248" s="38" t="s">
        <v>11911</v>
      </c>
      <c r="D8248" s="38" t="str">
        <f>IFERROR(__xludf.DUMMYFUNCTION("REGEXREPLACE(C8248,""-\d+(.*)|--\d+(.*)"","""")"),"CRAYSSAC")</f>
        <v>CRAYSSAC</v>
      </c>
      <c r="E8248" s="38" t="s">
        <v>185</v>
      </c>
      <c r="F8248" s="38" t="s">
        <v>94</v>
      </c>
      <c r="G8248" s="49" t="str">
        <f t="shared" si="1"/>
        <v>46150</v>
      </c>
      <c r="H8248" s="49">
        <f t="shared" si="2"/>
        <v>46080</v>
      </c>
    </row>
    <row r="8249">
      <c r="A8249" s="48" t="s">
        <v>4543</v>
      </c>
      <c r="B8249" s="38">
        <v>64265.0</v>
      </c>
      <c r="C8249" s="38" t="s">
        <v>11912</v>
      </c>
      <c r="D8249" s="38" t="str">
        <f>IFERROR(__xludf.DUMMYFUNCTION("REGEXREPLACE(C8249,""-\d+(.*)|--\d+(.*)"","""")"),"HOSTA")</f>
        <v>HOSTA</v>
      </c>
      <c r="E8249" s="38" t="s">
        <v>268</v>
      </c>
      <c r="F8249" s="38" t="s">
        <v>252</v>
      </c>
      <c r="G8249" s="49" t="str">
        <f t="shared" si="1"/>
        <v>64120</v>
      </c>
      <c r="H8249" s="49">
        <f t="shared" si="2"/>
        <v>64265</v>
      </c>
    </row>
    <row r="8250">
      <c r="A8250" s="48" t="s">
        <v>8404</v>
      </c>
      <c r="B8250" s="38" t="s">
        <v>11913</v>
      </c>
      <c r="C8250" s="38" t="s">
        <v>11914</v>
      </c>
      <c r="D8250" s="38" t="str">
        <f>IFERROR(__xludf.DUMMYFUNCTION("REGEXREPLACE(C8250,""-\d+(.*)|--\d+(.*)"","""")"),"ORTIPORIO")</f>
        <v>ORTIPORIO</v>
      </c>
      <c r="E8250" s="38" t="s">
        <v>743</v>
      </c>
      <c r="F8250" s="38" t="s">
        <v>607</v>
      </c>
      <c r="G8250" s="49" t="str">
        <f t="shared" si="1"/>
        <v>20290</v>
      </c>
      <c r="H8250" s="49" t="str">
        <f t="shared" si="2"/>
        <v>2B195</v>
      </c>
    </row>
    <row r="8251">
      <c r="A8251" s="48" t="s">
        <v>11915</v>
      </c>
      <c r="B8251" s="38" t="s">
        <v>11916</v>
      </c>
      <c r="C8251" s="38" t="s">
        <v>11917</v>
      </c>
      <c r="D8251" s="38" t="str">
        <f>IFERROR(__xludf.DUMMYFUNCTION("REGEXREPLACE(C8251,""-\d+(.*)|--\d+(.*)"","""")"),"LOPIGNA")</f>
        <v>LOPIGNA</v>
      </c>
      <c r="E8251" s="38" t="s">
        <v>606</v>
      </c>
      <c r="F8251" s="38" t="s">
        <v>607</v>
      </c>
      <c r="G8251" s="49" t="str">
        <f t="shared" si="1"/>
        <v>20139</v>
      </c>
      <c r="H8251" s="49" t="str">
        <f t="shared" si="2"/>
        <v>2A144</v>
      </c>
    </row>
    <row r="8252">
      <c r="A8252" s="48" t="s">
        <v>11918</v>
      </c>
      <c r="B8252" s="38">
        <v>27543.0</v>
      </c>
      <c r="C8252" s="38" t="s">
        <v>11919</v>
      </c>
      <c r="D8252" s="38" t="str">
        <f>IFERROR(__xludf.DUMMYFUNCTION("REGEXREPLACE(C8252,""-\d+(.*)|--\d+(.*)"","""")"),"SAINT-GEORGES-MOTEL")</f>
        <v>SAINT-GEORGES-MOTEL</v>
      </c>
      <c r="E8252" s="38" t="s">
        <v>241</v>
      </c>
      <c r="F8252" s="38" t="s">
        <v>134</v>
      </c>
      <c r="G8252" s="49" t="str">
        <f t="shared" si="1"/>
        <v>27710</v>
      </c>
      <c r="H8252" s="49">
        <f t="shared" si="2"/>
        <v>27543</v>
      </c>
    </row>
    <row r="8253">
      <c r="A8253" s="48" t="s">
        <v>11920</v>
      </c>
      <c r="B8253" s="38">
        <v>25523.0</v>
      </c>
      <c r="C8253" s="38" t="s">
        <v>7412</v>
      </c>
      <c r="D8253" s="38" t="str">
        <f>IFERROR(__xludf.DUMMYFUNCTION("REGEXREPLACE(C8253,""-\d+(.*)|--\d+(.*)"","""")"),"SAINTE-MARIE")</f>
        <v>SAINTE-MARIE</v>
      </c>
      <c r="E8253" s="38" t="s">
        <v>213</v>
      </c>
      <c r="F8253" s="38" t="s">
        <v>214</v>
      </c>
      <c r="G8253" s="49" t="str">
        <f t="shared" si="1"/>
        <v>25113</v>
      </c>
      <c r="H8253" s="49">
        <f t="shared" si="2"/>
        <v>25523</v>
      </c>
    </row>
    <row r="8254">
      <c r="A8254" s="48" t="s">
        <v>3465</v>
      </c>
      <c r="B8254" s="38">
        <v>11121.0</v>
      </c>
      <c r="C8254" s="38" t="s">
        <v>11921</v>
      </c>
      <c r="D8254" s="38" t="str">
        <f>IFERROR(__xludf.DUMMYFUNCTION("REGEXREPLACE(C8254,""-\d+(.*)|--\d+(.*)"","""")"),"DONAZAC")</f>
        <v>DONAZAC</v>
      </c>
      <c r="E8254" s="38" t="s">
        <v>278</v>
      </c>
      <c r="F8254" s="38" t="s">
        <v>119</v>
      </c>
      <c r="G8254" s="49" t="str">
        <f t="shared" si="1"/>
        <v>11240</v>
      </c>
      <c r="H8254" s="49">
        <f t="shared" si="2"/>
        <v>11121</v>
      </c>
    </row>
    <row r="8255">
      <c r="A8255" s="48" t="s">
        <v>3951</v>
      </c>
      <c r="B8255" s="38">
        <v>24308.0</v>
      </c>
      <c r="C8255" s="38" t="s">
        <v>11922</v>
      </c>
      <c r="D8255" s="38" t="str">
        <f>IFERROR(__xludf.DUMMYFUNCTION("REGEXREPLACE(C8255,""-\d+(.*)|--\d+(.*)"","""")"),"NEGRONDES")</f>
        <v>NEGRONDES</v>
      </c>
      <c r="E8255" s="38" t="s">
        <v>261</v>
      </c>
      <c r="F8255" s="38" t="s">
        <v>252</v>
      </c>
      <c r="G8255" s="49" t="str">
        <f t="shared" si="1"/>
        <v>24460</v>
      </c>
      <c r="H8255" s="49">
        <f t="shared" si="2"/>
        <v>24308</v>
      </c>
    </row>
    <row r="8256">
      <c r="A8256" s="48" t="s">
        <v>2332</v>
      </c>
      <c r="B8256" s="38">
        <v>81318.0</v>
      </c>
      <c r="C8256" s="38" t="s">
        <v>11923</v>
      </c>
      <c r="D8256" s="38" t="str">
        <f>IFERROR(__xludf.DUMMYFUNCTION("REGEXREPLACE(C8256,""-\d+(.*)|--\d+(.*)"","""")"),"VILLENEUVE-LES-LAVAUR")</f>
        <v>VILLENEUVE-LES-LAVAUR</v>
      </c>
      <c r="E8256" s="38" t="s">
        <v>231</v>
      </c>
      <c r="F8256" s="38" t="s">
        <v>94</v>
      </c>
      <c r="G8256" s="49" t="str">
        <f t="shared" si="1"/>
        <v>81500</v>
      </c>
      <c r="H8256" s="49">
        <f t="shared" si="2"/>
        <v>81318</v>
      </c>
    </row>
    <row r="8257">
      <c r="A8257" s="48" t="s">
        <v>6647</v>
      </c>
      <c r="B8257" s="38">
        <v>58156.0</v>
      </c>
      <c r="C8257" s="38" t="s">
        <v>11924</v>
      </c>
      <c r="D8257" s="38" t="str">
        <f>IFERROR(__xludf.DUMMYFUNCTION("REGEXREPLACE(C8257,""-\d+(.*)|--\d+(.*)"","""")"),"MARCY")</f>
        <v>MARCY</v>
      </c>
      <c r="E8257" s="38" t="s">
        <v>219</v>
      </c>
      <c r="F8257" s="38" t="s">
        <v>106</v>
      </c>
      <c r="G8257" s="49" t="str">
        <f t="shared" si="1"/>
        <v>58210</v>
      </c>
      <c r="H8257" s="49">
        <f t="shared" si="2"/>
        <v>58156</v>
      </c>
    </row>
    <row r="8258">
      <c r="A8258" s="48" t="s">
        <v>8105</v>
      </c>
      <c r="B8258" s="38">
        <v>25618.0</v>
      </c>
      <c r="C8258" s="38" t="s">
        <v>11925</v>
      </c>
      <c r="D8258" s="38" t="str">
        <f>IFERROR(__xludf.DUMMYFUNCTION("REGEXREPLACE(C8258,""-\d+(.*)|--\d+(.*)"","""")"),"VILLARS-SOUS-ECOT")</f>
        <v>VILLARS-SOUS-ECOT</v>
      </c>
      <c r="E8258" s="38" t="s">
        <v>213</v>
      </c>
      <c r="F8258" s="38" t="s">
        <v>214</v>
      </c>
      <c r="G8258" s="49" t="str">
        <f t="shared" si="1"/>
        <v>25150</v>
      </c>
      <c r="H8258" s="49">
        <f t="shared" si="2"/>
        <v>25618</v>
      </c>
    </row>
    <row r="8259">
      <c r="A8259" s="48" t="s">
        <v>11926</v>
      </c>
      <c r="B8259" s="38">
        <v>72344.0</v>
      </c>
      <c r="C8259" s="38" t="s">
        <v>11927</v>
      </c>
      <c r="D8259" s="38" t="str">
        <f>IFERROR(__xludf.DUMMYFUNCTION("REGEXREPLACE(C8259,""-\d+(.*)|--\d+(.*)"","""")"),"SPAY")</f>
        <v>SPAY</v>
      </c>
      <c r="E8259" s="38" t="s">
        <v>521</v>
      </c>
      <c r="F8259" s="38" t="s">
        <v>180</v>
      </c>
      <c r="G8259" s="49" t="str">
        <f t="shared" si="1"/>
        <v>72700</v>
      </c>
      <c r="H8259" s="49">
        <f t="shared" si="2"/>
        <v>72344</v>
      </c>
    </row>
    <row r="8260">
      <c r="A8260" s="48" t="s">
        <v>2995</v>
      </c>
      <c r="B8260" s="38">
        <v>28081.0</v>
      </c>
      <c r="C8260" s="38" t="s">
        <v>11928</v>
      </c>
      <c r="D8260" s="38" t="str">
        <f>IFERROR(__xludf.DUMMYFUNCTION("REGEXREPLACE(C8260,""-\d+(.*)|--\d+(.*)"","""")"),"CHARONVILLE")</f>
        <v>CHARONVILLE</v>
      </c>
      <c r="E8260" s="38" t="s">
        <v>300</v>
      </c>
      <c r="F8260" s="38" t="s">
        <v>123</v>
      </c>
      <c r="G8260" s="49" t="str">
        <f t="shared" si="1"/>
        <v>28120</v>
      </c>
      <c r="H8260" s="49">
        <f t="shared" si="2"/>
        <v>28081</v>
      </c>
    </row>
    <row r="8261">
      <c r="A8261" s="48" t="s">
        <v>2714</v>
      </c>
      <c r="B8261" s="38">
        <v>61331.0</v>
      </c>
      <c r="C8261" s="38" t="s">
        <v>11929</v>
      </c>
      <c r="D8261" s="38" t="str">
        <f>IFERROR(__xludf.DUMMYFUNCTION("REGEXREPLACE(C8261,""-\d+(.*)|--\d+(.*)"","""")"),"LE PLANTIS")</f>
        <v>LE PLANTIS</v>
      </c>
      <c r="E8261" s="38" t="s">
        <v>141</v>
      </c>
      <c r="F8261" s="38" t="s">
        <v>138</v>
      </c>
      <c r="G8261" s="49" t="str">
        <f t="shared" si="1"/>
        <v>61170</v>
      </c>
      <c r="H8261" s="49">
        <f t="shared" si="2"/>
        <v>61331</v>
      </c>
    </row>
    <row r="8262">
      <c r="A8262" s="48" t="s">
        <v>4594</v>
      </c>
      <c r="B8262" s="38">
        <v>62751.0</v>
      </c>
      <c r="C8262" s="38" t="s">
        <v>11930</v>
      </c>
      <c r="D8262" s="38" t="str">
        <f>IFERROR(__xludf.DUMMYFUNCTION("REGEXREPLACE(C8262,""-\d+(.*)|--\d+(.*)"","""")"),"SAINT-INGLEVERT")</f>
        <v>SAINT-INGLEVERT</v>
      </c>
      <c r="E8262" s="38" t="s">
        <v>109</v>
      </c>
      <c r="F8262" s="38" t="s">
        <v>86</v>
      </c>
      <c r="G8262" s="49" t="str">
        <f t="shared" si="1"/>
        <v>62250</v>
      </c>
      <c r="H8262" s="49">
        <f t="shared" si="2"/>
        <v>62751</v>
      </c>
    </row>
    <row r="8263">
      <c r="A8263" s="48" t="s">
        <v>1728</v>
      </c>
      <c r="B8263" s="38">
        <v>45045.0</v>
      </c>
      <c r="C8263" s="38" t="s">
        <v>11931</v>
      </c>
      <c r="D8263" s="38" t="str">
        <f>IFERROR(__xludf.DUMMYFUNCTION("REGEXREPLACE(C8263,""-\d+(.*)|--\d+(.*)"","""")"),"BOUILLY-EN-GATINAIS")</f>
        <v>BOUILLY-EN-GATINAIS</v>
      </c>
      <c r="E8263" s="38" t="s">
        <v>122</v>
      </c>
      <c r="F8263" s="38" t="s">
        <v>123</v>
      </c>
      <c r="G8263" s="49" t="str">
        <f t="shared" si="1"/>
        <v>45300</v>
      </c>
      <c r="H8263" s="49">
        <f t="shared" si="2"/>
        <v>45045</v>
      </c>
    </row>
    <row r="8264">
      <c r="A8264" s="48" t="s">
        <v>7175</v>
      </c>
      <c r="B8264" s="38">
        <v>88109.0</v>
      </c>
      <c r="C8264" s="38" t="s">
        <v>11932</v>
      </c>
      <c r="D8264" s="38" t="str">
        <f>IFERROR(__xludf.DUMMYFUNCTION("REGEXREPLACE(C8264,""-\d+(.*)|--\d+(.*)"","""")"),"CLEURIE")</f>
        <v>CLEURIE</v>
      </c>
      <c r="E8264" s="38" t="s">
        <v>194</v>
      </c>
      <c r="F8264" s="38" t="s">
        <v>195</v>
      </c>
      <c r="G8264" s="49" t="str">
        <f t="shared" si="1"/>
        <v>88120</v>
      </c>
      <c r="H8264" s="49">
        <f t="shared" si="2"/>
        <v>88109</v>
      </c>
    </row>
    <row r="8265">
      <c r="A8265" s="48" t="s">
        <v>9221</v>
      </c>
      <c r="B8265" s="38">
        <v>34179.0</v>
      </c>
      <c r="C8265" s="38" t="s">
        <v>11933</v>
      </c>
      <c r="D8265" s="38" t="str">
        <f>IFERROR(__xludf.DUMMYFUNCTION("REGEXREPLACE(C8265,""-\d+(.*)|--\d+(.*)"","""")"),"MURVIEL-LES-MONTPELLIER")</f>
        <v>MURVIEL-LES-MONTPELLIER</v>
      </c>
      <c r="E8265" s="38" t="s">
        <v>118</v>
      </c>
      <c r="F8265" s="38" t="s">
        <v>119</v>
      </c>
      <c r="G8265" s="49" t="str">
        <f t="shared" si="1"/>
        <v>34570</v>
      </c>
      <c r="H8265" s="49">
        <f t="shared" si="2"/>
        <v>34179</v>
      </c>
    </row>
    <row r="8266">
      <c r="A8266" s="48" t="s">
        <v>2145</v>
      </c>
      <c r="B8266" s="38">
        <v>89272.0</v>
      </c>
      <c r="C8266" s="38" t="s">
        <v>11934</v>
      </c>
      <c r="D8266" s="38" t="str">
        <f>IFERROR(__xludf.DUMMYFUNCTION("REGEXREPLACE(C8266,""-\d+(.*)|--\d+(.*)"","""")"),"MOULINS-SUR-OUANNE")</f>
        <v>MOULINS-SUR-OUANNE</v>
      </c>
      <c r="E8266" s="38" t="s">
        <v>275</v>
      </c>
      <c r="F8266" s="38" t="s">
        <v>106</v>
      </c>
      <c r="G8266" s="49" t="str">
        <f t="shared" si="1"/>
        <v>89130</v>
      </c>
      <c r="H8266" s="49">
        <f t="shared" si="2"/>
        <v>89272</v>
      </c>
    </row>
    <row r="8267">
      <c r="A8267" s="48" t="s">
        <v>5887</v>
      </c>
      <c r="B8267" s="38">
        <v>61051.0</v>
      </c>
      <c r="C8267" s="38" t="s">
        <v>11935</v>
      </c>
      <c r="D8267" s="38" t="str">
        <f>IFERROR(__xludf.DUMMYFUNCTION("REGEXREPLACE(C8267,""-\d+(.*)|--\d+(.*)"","""")"),"BOITRON")</f>
        <v>BOITRON</v>
      </c>
      <c r="E8267" s="38" t="s">
        <v>141</v>
      </c>
      <c r="F8267" s="38" t="s">
        <v>138</v>
      </c>
      <c r="G8267" s="49" t="str">
        <f t="shared" si="1"/>
        <v>61500</v>
      </c>
      <c r="H8267" s="49">
        <f t="shared" si="2"/>
        <v>61051</v>
      </c>
    </row>
    <row r="8268">
      <c r="A8268" s="48" t="s">
        <v>736</v>
      </c>
      <c r="B8268" s="38">
        <v>57231.0</v>
      </c>
      <c r="C8268" s="38" t="s">
        <v>11936</v>
      </c>
      <c r="D8268" s="38" t="str">
        <f>IFERROR(__xludf.DUMMYFUNCTION("REGEXREPLACE(C8268,""-\d+(.*)|--\d+(.*)"","""")"),"FOVILLE")</f>
        <v>FOVILLE</v>
      </c>
      <c r="E8268" s="38" t="s">
        <v>303</v>
      </c>
      <c r="F8268" s="38" t="s">
        <v>195</v>
      </c>
      <c r="G8268" s="49" t="str">
        <f t="shared" si="1"/>
        <v>57420</v>
      </c>
      <c r="H8268" s="49">
        <f t="shared" si="2"/>
        <v>57231</v>
      </c>
    </row>
    <row r="8269">
      <c r="A8269" s="48" t="s">
        <v>1900</v>
      </c>
      <c r="B8269" s="38">
        <v>45219.0</v>
      </c>
      <c r="C8269" s="38" t="s">
        <v>11937</v>
      </c>
      <c r="D8269" s="38" t="str">
        <f>IFERROR(__xludf.DUMMYFUNCTION("REGEXREPLACE(C8269,""-\d+(.*)|--\d+(.*)"","""")"),"MOULON")</f>
        <v>MOULON</v>
      </c>
      <c r="E8269" s="38" t="s">
        <v>122</v>
      </c>
      <c r="F8269" s="38" t="s">
        <v>123</v>
      </c>
      <c r="G8269" s="49" t="str">
        <f t="shared" si="1"/>
        <v>45270</v>
      </c>
      <c r="H8269" s="49">
        <f t="shared" si="2"/>
        <v>45219</v>
      </c>
    </row>
    <row r="8270">
      <c r="A8270" s="48" t="s">
        <v>635</v>
      </c>
      <c r="B8270" s="38">
        <v>15158.0</v>
      </c>
      <c r="C8270" s="38" t="s">
        <v>11938</v>
      </c>
      <c r="D8270" s="38" t="str">
        <f>IFERROR(__xludf.DUMMYFUNCTION("REGEXREPLACE(C8270,""-\d+(.*)|--\d+(.*)"","""")"),"RAGEADE")</f>
        <v>RAGEADE</v>
      </c>
      <c r="E8270" s="38" t="s">
        <v>632</v>
      </c>
      <c r="F8270" s="38" t="s">
        <v>161</v>
      </c>
      <c r="G8270" s="49" t="str">
        <f t="shared" si="1"/>
        <v>15500</v>
      </c>
      <c r="H8270" s="49">
        <f t="shared" si="2"/>
        <v>15158</v>
      </c>
    </row>
    <row r="8271">
      <c r="A8271" s="48" t="s">
        <v>4793</v>
      </c>
      <c r="B8271" s="38">
        <v>51614.0</v>
      </c>
      <c r="C8271" s="38" t="s">
        <v>11939</v>
      </c>
      <c r="D8271" s="38" t="str">
        <f>IFERROR(__xludf.DUMMYFUNCTION("REGEXREPLACE(C8271,""-\d+(.*)|--\d+(.*)"","""")"),"VERZY")</f>
        <v>VERZY</v>
      </c>
      <c r="E8271" s="38" t="s">
        <v>129</v>
      </c>
      <c r="F8271" s="38" t="s">
        <v>130</v>
      </c>
      <c r="G8271" s="49" t="str">
        <f t="shared" si="1"/>
        <v>51380</v>
      </c>
      <c r="H8271" s="49">
        <f t="shared" si="2"/>
        <v>51614</v>
      </c>
    </row>
    <row r="8272">
      <c r="A8272" s="48" t="s">
        <v>6492</v>
      </c>
      <c r="B8272" s="38">
        <v>5165.0</v>
      </c>
      <c r="C8272" s="38" t="s">
        <v>11940</v>
      </c>
      <c r="D8272" s="38" t="str">
        <f>IFERROR(__xludf.DUMMYFUNCTION("REGEXREPLACE(C8272,""-\d+(.*)|--\d+(.*)"","""")"),"SAVOURNON")</f>
        <v>SAVOURNON</v>
      </c>
      <c r="E8272" s="38" t="s">
        <v>706</v>
      </c>
      <c r="F8272" s="38" t="s">
        <v>228</v>
      </c>
      <c r="G8272" s="49" t="str">
        <f t="shared" si="1"/>
        <v>05700</v>
      </c>
      <c r="H8272" s="49" t="str">
        <f t="shared" si="2"/>
        <v>05165</v>
      </c>
    </row>
    <row r="8273">
      <c r="A8273" s="48" t="s">
        <v>5481</v>
      </c>
      <c r="B8273" s="38">
        <v>53254.0</v>
      </c>
      <c r="C8273" s="38" t="s">
        <v>1346</v>
      </c>
      <c r="D8273" s="38" t="str">
        <f>IFERROR(__xludf.DUMMYFUNCTION("REGEXREPLACE(C8273,""-\d+(.*)|--\d+(.*)"","""")"),"SAINT-SULPICE")</f>
        <v>SAINT-SULPICE</v>
      </c>
      <c r="E8273" s="38" t="s">
        <v>518</v>
      </c>
      <c r="F8273" s="38" t="s">
        <v>180</v>
      </c>
      <c r="G8273" s="49" t="str">
        <f t="shared" si="1"/>
        <v>53360</v>
      </c>
      <c r="H8273" s="49">
        <f t="shared" si="2"/>
        <v>53254</v>
      </c>
    </row>
    <row r="8274">
      <c r="A8274" s="48" t="s">
        <v>2966</v>
      </c>
      <c r="B8274" s="38">
        <v>85134.0</v>
      </c>
      <c r="C8274" s="38" t="s">
        <v>11941</v>
      </c>
      <c r="D8274" s="38" t="str">
        <f>IFERROR(__xludf.DUMMYFUNCTION("REGEXREPLACE(C8274,""-\d+(.*)|--\d+(.*)"","""")"),"MALLIEVRE")</f>
        <v>MALLIEVRE</v>
      </c>
      <c r="E8274" s="38" t="s">
        <v>179</v>
      </c>
      <c r="F8274" s="38" t="s">
        <v>180</v>
      </c>
      <c r="G8274" s="49" t="str">
        <f t="shared" si="1"/>
        <v>85590</v>
      </c>
      <c r="H8274" s="49">
        <f t="shared" si="2"/>
        <v>85134</v>
      </c>
    </row>
    <row r="8275">
      <c r="A8275" s="48" t="s">
        <v>1155</v>
      </c>
      <c r="B8275" s="38">
        <v>67072.0</v>
      </c>
      <c r="C8275" s="38" t="s">
        <v>11942</v>
      </c>
      <c r="D8275" s="38" t="str">
        <f>IFERROR(__xludf.DUMMYFUNCTION("REGEXREPLACE(C8275,""-\d+(.*)|--\d+(.*)"","""")"),"BUTTEN")</f>
        <v>BUTTEN</v>
      </c>
      <c r="E8275" s="38" t="s">
        <v>210</v>
      </c>
      <c r="F8275" s="38" t="s">
        <v>151</v>
      </c>
      <c r="G8275" s="49" t="str">
        <f t="shared" si="1"/>
        <v>67430</v>
      </c>
      <c r="H8275" s="49">
        <f t="shared" si="2"/>
        <v>67072</v>
      </c>
    </row>
    <row r="8276">
      <c r="A8276" s="48" t="s">
        <v>466</v>
      </c>
      <c r="B8276" s="38">
        <v>52316.0</v>
      </c>
      <c r="C8276" s="38" t="s">
        <v>11943</v>
      </c>
      <c r="D8276" s="38" t="str">
        <f>IFERROR(__xludf.DUMMYFUNCTION("REGEXREPLACE(C8276,""-\d+(.*)|--\d+(.*)"","""")"),"MATHONS")</f>
        <v>MATHONS</v>
      </c>
      <c r="E8276" s="38" t="s">
        <v>234</v>
      </c>
      <c r="F8276" s="38" t="s">
        <v>130</v>
      </c>
      <c r="G8276" s="49" t="str">
        <f t="shared" si="1"/>
        <v>52300</v>
      </c>
      <c r="H8276" s="49">
        <f t="shared" si="2"/>
        <v>52316</v>
      </c>
    </row>
    <row r="8277">
      <c r="A8277" s="48" t="s">
        <v>6038</v>
      </c>
      <c r="B8277" s="38">
        <v>88252.0</v>
      </c>
      <c r="C8277" s="38" t="s">
        <v>11944</v>
      </c>
      <c r="D8277" s="38" t="str">
        <f>IFERROR(__xludf.DUMMYFUNCTION("REGEXREPLACE(C8277,""-\d+(.*)|--\d+(.*)"","""")"),"JESONVILLE")</f>
        <v>JESONVILLE</v>
      </c>
      <c r="E8277" s="38" t="s">
        <v>194</v>
      </c>
      <c r="F8277" s="38" t="s">
        <v>195</v>
      </c>
      <c r="G8277" s="49" t="str">
        <f t="shared" si="1"/>
        <v>88260</v>
      </c>
      <c r="H8277" s="49">
        <f t="shared" si="2"/>
        <v>88252</v>
      </c>
    </row>
    <row r="8278">
      <c r="A8278" s="48" t="s">
        <v>10133</v>
      </c>
      <c r="B8278" s="38">
        <v>26349.0</v>
      </c>
      <c r="C8278" s="38" t="s">
        <v>11945</v>
      </c>
      <c r="D8278" s="38" t="str">
        <f>IFERROR(__xludf.DUMMYFUNCTION("REGEXREPLACE(C8278,""-\d+(.*)|--\d+(.*)"","""")"),"TERSANNE")</f>
        <v>TERSANNE</v>
      </c>
      <c r="E8278" s="38" t="s">
        <v>126</v>
      </c>
      <c r="F8278" s="38" t="s">
        <v>102</v>
      </c>
      <c r="G8278" s="49" t="str">
        <f t="shared" si="1"/>
        <v>26390</v>
      </c>
      <c r="H8278" s="49">
        <f t="shared" si="2"/>
        <v>26349</v>
      </c>
    </row>
    <row r="8279">
      <c r="A8279" s="48" t="s">
        <v>4158</v>
      </c>
      <c r="B8279" s="38">
        <v>38054.0</v>
      </c>
      <c r="C8279" s="38" t="s">
        <v>11946</v>
      </c>
      <c r="D8279" s="38" t="str">
        <f>IFERROR(__xludf.DUMMYFUNCTION("REGEXREPLACE(C8279,""-\d+(.*)|--\d+(.*)"","""")"),"BOUVESSE-QUIRIEU")</f>
        <v>BOUVESSE-QUIRIEU</v>
      </c>
      <c r="E8279" s="38" t="s">
        <v>101</v>
      </c>
      <c r="F8279" s="38" t="s">
        <v>102</v>
      </c>
      <c r="G8279" s="49" t="str">
        <f t="shared" si="1"/>
        <v>38390</v>
      </c>
      <c r="H8279" s="49">
        <f t="shared" si="2"/>
        <v>38054</v>
      </c>
    </row>
    <row r="8280">
      <c r="A8280" s="48" t="s">
        <v>5142</v>
      </c>
      <c r="B8280" s="38">
        <v>58280.0</v>
      </c>
      <c r="C8280" s="38" t="s">
        <v>11947</v>
      </c>
      <c r="D8280" s="38" t="str">
        <f>IFERROR(__xludf.DUMMYFUNCTION("REGEXREPLACE(C8280,""-\d+(.*)|--\d+(.*)"","""")"),"SOUGY-SUR-LOIRE")</f>
        <v>SOUGY-SUR-LOIRE</v>
      </c>
      <c r="E8280" s="38" t="s">
        <v>219</v>
      </c>
      <c r="F8280" s="38" t="s">
        <v>106</v>
      </c>
      <c r="G8280" s="49" t="str">
        <f t="shared" si="1"/>
        <v>58300</v>
      </c>
      <c r="H8280" s="49">
        <f t="shared" si="2"/>
        <v>58280</v>
      </c>
    </row>
    <row r="8281">
      <c r="A8281" s="48" t="s">
        <v>2310</v>
      </c>
      <c r="B8281" s="38">
        <v>60025.0</v>
      </c>
      <c r="C8281" s="38" t="s">
        <v>11948</v>
      </c>
      <c r="D8281" s="38" t="str">
        <f>IFERROR(__xludf.DUMMYFUNCTION("REGEXREPLACE(C8281,""-\d+(.*)|--\d+(.*)"","""")"),"ATTICHY")</f>
        <v>ATTICHY</v>
      </c>
      <c r="E8281" s="38" t="s">
        <v>112</v>
      </c>
      <c r="F8281" s="38" t="s">
        <v>113</v>
      </c>
      <c r="G8281" s="49" t="str">
        <f t="shared" si="1"/>
        <v>60350</v>
      </c>
      <c r="H8281" s="49">
        <f t="shared" si="2"/>
        <v>60025</v>
      </c>
    </row>
    <row r="8282">
      <c r="A8282" s="48" t="s">
        <v>11949</v>
      </c>
      <c r="B8282" s="38">
        <v>45043.0</v>
      </c>
      <c r="C8282" s="38" t="s">
        <v>11950</v>
      </c>
      <c r="D8282" s="38" t="str">
        <f>IFERROR(__xludf.DUMMYFUNCTION("REGEXREPLACE(C8282,""-\d+(.*)|--\d+(.*)"","""")"),"BOU")</f>
        <v>BOU</v>
      </c>
      <c r="E8282" s="38" t="s">
        <v>122</v>
      </c>
      <c r="F8282" s="38" t="s">
        <v>123</v>
      </c>
      <c r="G8282" s="49" t="str">
        <f t="shared" si="1"/>
        <v>45430</v>
      </c>
      <c r="H8282" s="49">
        <f t="shared" si="2"/>
        <v>45043</v>
      </c>
    </row>
    <row r="8283">
      <c r="A8283" s="48" t="s">
        <v>4917</v>
      </c>
      <c r="B8283" s="38">
        <v>76400.0</v>
      </c>
      <c r="C8283" s="38" t="s">
        <v>11951</v>
      </c>
      <c r="D8283" s="38" t="str">
        <f>IFERROR(__xludf.DUMMYFUNCTION("REGEXREPLACE(C8283,""-\d+(.*)|--\d+(.*)"","""")"),"LUNERAY")</f>
        <v>LUNERAY</v>
      </c>
      <c r="E8283" s="38" t="s">
        <v>133</v>
      </c>
      <c r="F8283" s="38" t="s">
        <v>134</v>
      </c>
      <c r="G8283" s="49" t="str">
        <f t="shared" si="1"/>
        <v>76810</v>
      </c>
      <c r="H8283" s="49">
        <f t="shared" si="2"/>
        <v>76400</v>
      </c>
    </row>
    <row r="8284">
      <c r="A8284" s="48" t="s">
        <v>11952</v>
      </c>
      <c r="B8284" s="38">
        <v>35012.0</v>
      </c>
      <c r="C8284" s="38" t="s">
        <v>11953</v>
      </c>
      <c r="D8284" s="38" t="str">
        <f>IFERROR(__xludf.DUMMYFUNCTION("REGEXREPLACE(C8284,""-\d+(.*)|--\d+(.*)"","""")"),"BAIN-DE-BRETAGNE")</f>
        <v>BAIN-DE-BRETAGNE</v>
      </c>
      <c r="E8284" s="38" t="s">
        <v>347</v>
      </c>
      <c r="F8284" s="38" t="s">
        <v>90</v>
      </c>
      <c r="G8284" s="49" t="str">
        <f t="shared" si="1"/>
        <v>35470</v>
      </c>
      <c r="H8284" s="49">
        <f t="shared" si="2"/>
        <v>35012</v>
      </c>
    </row>
    <row r="8285">
      <c r="A8285" s="48" t="s">
        <v>5262</v>
      </c>
      <c r="B8285" s="38">
        <v>15073.0</v>
      </c>
      <c r="C8285" s="38" t="s">
        <v>11954</v>
      </c>
      <c r="D8285" s="38" t="str">
        <f>IFERROR(__xludf.DUMMYFUNCTION("REGEXREPLACE(C8285,""-\d+(.*)|--\d+(.*)"","""")"),"FRIDEFONT")</f>
        <v>FRIDEFONT</v>
      </c>
      <c r="E8285" s="38" t="s">
        <v>632</v>
      </c>
      <c r="F8285" s="38" t="s">
        <v>161</v>
      </c>
      <c r="G8285" s="49" t="str">
        <f t="shared" si="1"/>
        <v>15110</v>
      </c>
      <c r="H8285" s="49">
        <f t="shared" si="2"/>
        <v>15073</v>
      </c>
    </row>
    <row r="8286">
      <c r="A8286" s="48" t="s">
        <v>900</v>
      </c>
      <c r="B8286" s="38">
        <v>12182.0</v>
      </c>
      <c r="C8286" s="38" t="s">
        <v>11955</v>
      </c>
      <c r="D8286" s="38" t="str">
        <f>IFERROR(__xludf.DUMMYFUNCTION("REGEXREPLACE(C8286,""-\d+(.*)|--\d+(.*)"","""")"),"PIERREFICHE")</f>
        <v>PIERREFICHE</v>
      </c>
      <c r="E8286" s="38" t="s">
        <v>465</v>
      </c>
      <c r="F8286" s="38" t="s">
        <v>94</v>
      </c>
      <c r="G8286" s="49" t="str">
        <f t="shared" si="1"/>
        <v>12130</v>
      </c>
      <c r="H8286" s="49">
        <f t="shared" si="2"/>
        <v>12182</v>
      </c>
    </row>
    <row r="8287">
      <c r="A8287" s="48" t="s">
        <v>781</v>
      </c>
      <c r="B8287" s="38">
        <v>65040.0</v>
      </c>
      <c r="C8287" s="38" t="s">
        <v>11956</v>
      </c>
      <c r="D8287" s="38" t="str">
        <f>IFERROR(__xludf.DUMMYFUNCTION("REGEXREPLACE(C8287,""-\d+(.*)|--\d+(.*)"","""")"),"ASPIN-EN-LAVEDAN")</f>
        <v>ASPIN-EN-LAVEDAN</v>
      </c>
      <c r="E8287" s="38" t="s">
        <v>200</v>
      </c>
      <c r="F8287" s="38" t="s">
        <v>94</v>
      </c>
      <c r="G8287" s="49" t="str">
        <f t="shared" si="1"/>
        <v>65100</v>
      </c>
      <c r="H8287" s="49">
        <f t="shared" si="2"/>
        <v>65040</v>
      </c>
    </row>
    <row r="8288">
      <c r="A8288" s="48" t="s">
        <v>5134</v>
      </c>
      <c r="B8288" s="38">
        <v>70278.0</v>
      </c>
      <c r="C8288" s="38" t="s">
        <v>11957</v>
      </c>
      <c r="D8288" s="38" t="str">
        <f>IFERROR(__xludf.DUMMYFUNCTION("REGEXREPLACE(C8288,""-\d+(.*)|--\d+(.*)"","""")"),"GRATTERY")</f>
        <v>GRATTERY</v>
      </c>
      <c r="E8288" s="38" t="s">
        <v>956</v>
      </c>
      <c r="F8288" s="38" t="s">
        <v>214</v>
      </c>
      <c r="G8288" s="49" t="str">
        <f t="shared" si="1"/>
        <v>70170</v>
      </c>
      <c r="H8288" s="49">
        <f t="shared" si="2"/>
        <v>70278</v>
      </c>
    </row>
    <row r="8289">
      <c r="A8289" s="48" t="s">
        <v>2714</v>
      </c>
      <c r="B8289" s="38">
        <v>61499.0</v>
      </c>
      <c r="C8289" s="38" t="s">
        <v>11958</v>
      </c>
      <c r="D8289" s="38" t="str">
        <f>IFERROR(__xludf.DUMMYFUNCTION("REGEXREPLACE(C8289,""-\d+(.*)|--\d+(.*)"","""")"),"LES VENTES-DE-BOURSE")</f>
        <v>LES VENTES-DE-BOURSE</v>
      </c>
      <c r="E8289" s="38" t="s">
        <v>141</v>
      </c>
      <c r="F8289" s="38" t="s">
        <v>138</v>
      </c>
      <c r="G8289" s="49" t="str">
        <f t="shared" si="1"/>
        <v>61170</v>
      </c>
      <c r="H8289" s="49">
        <f t="shared" si="2"/>
        <v>61499</v>
      </c>
    </row>
    <row r="8290">
      <c r="A8290" s="48" t="s">
        <v>946</v>
      </c>
      <c r="B8290" s="38">
        <v>81303.0</v>
      </c>
      <c r="C8290" s="38" t="s">
        <v>11959</v>
      </c>
      <c r="D8290" s="38" t="str">
        <f>IFERROR(__xludf.DUMMYFUNCTION("REGEXREPLACE(C8290,""-\d+(.*)|--\d+(.*)"","""")"),"TREBAS")</f>
        <v>TREBAS</v>
      </c>
      <c r="E8290" s="38" t="s">
        <v>231</v>
      </c>
      <c r="F8290" s="38" t="s">
        <v>94</v>
      </c>
      <c r="G8290" s="49" t="str">
        <f t="shared" si="1"/>
        <v>81340</v>
      </c>
      <c r="H8290" s="49">
        <f t="shared" si="2"/>
        <v>81303</v>
      </c>
    </row>
    <row r="8291">
      <c r="A8291" s="48" t="s">
        <v>3783</v>
      </c>
      <c r="B8291" s="38">
        <v>62208.0</v>
      </c>
      <c r="C8291" s="38" t="s">
        <v>11960</v>
      </c>
      <c r="D8291" s="38" t="str">
        <f>IFERROR(__xludf.DUMMYFUNCTION("REGEXREPLACE(C8291,""-\d+(.*)|--\d+(.*)"","""")"),"CANETTEMONT")</f>
        <v>CANETTEMONT</v>
      </c>
      <c r="E8291" s="38" t="s">
        <v>109</v>
      </c>
      <c r="F8291" s="38" t="s">
        <v>86</v>
      </c>
      <c r="G8291" s="49" t="str">
        <f t="shared" si="1"/>
        <v>62270</v>
      </c>
      <c r="H8291" s="49">
        <f t="shared" si="2"/>
        <v>62208</v>
      </c>
    </row>
    <row r="8292">
      <c r="A8292" s="48" t="s">
        <v>1991</v>
      </c>
      <c r="B8292" s="38">
        <v>54340.0</v>
      </c>
      <c r="C8292" s="38" t="s">
        <v>11961</v>
      </c>
      <c r="D8292" s="38" t="str">
        <f>IFERROR(__xludf.DUMMYFUNCTION("REGEXREPLACE(C8292,""-\d+(.*)|--\d+(.*)"","""")"),"MAMEY")</f>
        <v>MAMEY</v>
      </c>
      <c r="E8292" s="38" t="s">
        <v>548</v>
      </c>
      <c r="F8292" s="38" t="s">
        <v>195</v>
      </c>
      <c r="G8292" s="49" t="str">
        <f t="shared" si="1"/>
        <v>54470</v>
      </c>
      <c r="H8292" s="49">
        <f t="shared" si="2"/>
        <v>54340</v>
      </c>
    </row>
    <row r="8293">
      <c r="A8293" s="48" t="s">
        <v>2851</v>
      </c>
      <c r="B8293" s="38">
        <v>41218.0</v>
      </c>
      <c r="C8293" s="38" t="s">
        <v>11962</v>
      </c>
      <c r="D8293" s="38" t="str">
        <f>IFERROR(__xludf.DUMMYFUNCTION("REGEXREPLACE(C8293,""-\d+(.*)|--\d+(.*)"","""")"),"SAINT-JULIEN-SUR-CHER")</f>
        <v>SAINT-JULIEN-SUR-CHER</v>
      </c>
      <c r="E8293" s="38" t="s">
        <v>188</v>
      </c>
      <c r="F8293" s="38" t="s">
        <v>123</v>
      </c>
      <c r="G8293" s="49" t="str">
        <f t="shared" si="1"/>
        <v>41320</v>
      </c>
      <c r="H8293" s="49">
        <f t="shared" si="2"/>
        <v>41218</v>
      </c>
    </row>
    <row r="8294">
      <c r="A8294" s="48" t="s">
        <v>5179</v>
      </c>
      <c r="B8294" s="38">
        <v>10256.0</v>
      </c>
      <c r="C8294" s="38" t="s">
        <v>11963</v>
      </c>
      <c r="D8294" s="38" t="str">
        <f>IFERROR(__xludf.DUMMYFUNCTION("REGEXREPLACE(C8294,""-\d+(.*)|--\d+(.*)"","""")"),"MONTSUZAIN")</f>
        <v>MONTSUZAIN</v>
      </c>
      <c r="E8294" s="38" t="s">
        <v>147</v>
      </c>
      <c r="F8294" s="38" t="s">
        <v>130</v>
      </c>
      <c r="G8294" s="49" t="str">
        <f t="shared" si="1"/>
        <v>10150</v>
      </c>
      <c r="H8294" s="49">
        <f t="shared" si="2"/>
        <v>10256</v>
      </c>
    </row>
    <row r="8295">
      <c r="A8295" s="48" t="s">
        <v>2538</v>
      </c>
      <c r="B8295" s="38">
        <v>12108.0</v>
      </c>
      <c r="C8295" s="38" t="s">
        <v>11964</v>
      </c>
      <c r="D8295" s="38" t="str">
        <f>IFERROR(__xludf.DUMMYFUNCTION("REGEXREPLACE(C8295,""-\d+(.*)|--\d+(.*)"","""")"),"GALGAN")</f>
        <v>GALGAN</v>
      </c>
      <c r="E8295" s="38" t="s">
        <v>465</v>
      </c>
      <c r="F8295" s="38" t="s">
        <v>94</v>
      </c>
      <c r="G8295" s="49" t="str">
        <f t="shared" si="1"/>
        <v>12220</v>
      </c>
      <c r="H8295" s="49">
        <f t="shared" si="2"/>
        <v>12108</v>
      </c>
    </row>
    <row r="8296">
      <c r="A8296" s="48" t="s">
        <v>1721</v>
      </c>
      <c r="B8296" s="38">
        <v>33237.0</v>
      </c>
      <c r="C8296" s="38" t="s">
        <v>11965</v>
      </c>
      <c r="D8296" s="38" t="str">
        <f>IFERROR(__xludf.DUMMYFUNCTION("REGEXREPLACE(C8296,""-\d+(.*)|--\d+(.*)"","""")"),"LEOGEATS")</f>
        <v>LEOGEATS</v>
      </c>
      <c r="E8296" s="38" t="s">
        <v>462</v>
      </c>
      <c r="F8296" s="38" t="s">
        <v>252</v>
      </c>
      <c r="G8296" s="49" t="str">
        <f t="shared" si="1"/>
        <v>33210</v>
      </c>
      <c r="H8296" s="49">
        <f t="shared" si="2"/>
        <v>33237</v>
      </c>
    </row>
    <row r="8297">
      <c r="A8297" s="48" t="s">
        <v>328</v>
      </c>
      <c r="B8297" s="38">
        <v>2829.0</v>
      </c>
      <c r="C8297" s="38" t="s">
        <v>11966</v>
      </c>
      <c r="D8297" s="38" t="str">
        <f>IFERROR(__xludf.DUMMYFUNCTION("REGEXREPLACE(C8297,""-\d+(.*)|--\d+(.*)"","""")"),"VUILLERY")</f>
        <v>VUILLERY</v>
      </c>
      <c r="E8297" s="38" t="s">
        <v>191</v>
      </c>
      <c r="F8297" s="38" t="s">
        <v>113</v>
      </c>
      <c r="G8297" s="49" t="str">
        <f t="shared" si="1"/>
        <v>02880</v>
      </c>
      <c r="H8297" s="49" t="str">
        <f t="shared" si="2"/>
        <v>02829</v>
      </c>
    </row>
    <row r="8298">
      <c r="A8298" s="48" t="s">
        <v>618</v>
      </c>
      <c r="B8298" s="38">
        <v>54220.0</v>
      </c>
      <c r="C8298" s="38" t="s">
        <v>11967</v>
      </c>
      <c r="D8298" s="38" t="str">
        <f>IFERROR(__xludf.DUMMYFUNCTION("REGEXREPLACE(C8298,""-\d+(.*)|--\d+(.*)"","""")"),"GEMONVILLE")</f>
        <v>GEMONVILLE</v>
      </c>
      <c r="E8298" s="38" t="s">
        <v>548</v>
      </c>
      <c r="F8298" s="38" t="s">
        <v>195</v>
      </c>
      <c r="G8298" s="49" t="str">
        <f t="shared" si="1"/>
        <v>54115</v>
      </c>
      <c r="H8298" s="49">
        <f t="shared" si="2"/>
        <v>54220</v>
      </c>
    </row>
    <row r="8299">
      <c r="A8299" s="48" t="s">
        <v>9769</v>
      </c>
      <c r="B8299" s="38">
        <v>46131.0</v>
      </c>
      <c r="C8299" s="38" t="s">
        <v>1851</v>
      </c>
      <c r="D8299" s="38" t="str">
        <f>IFERROR(__xludf.DUMMYFUNCTION("REGEXREPLACE(C8299,""-\d+(.*)|--\d+(.*)"","""")"),"GREZES")</f>
        <v>GREZES</v>
      </c>
      <c r="E8299" s="38" t="s">
        <v>185</v>
      </c>
      <c r="F8299" s="38" t="s">
        <v>94</v>
      </c>
      <c r="G8299" s="49" t="str">
        <f t="shared" si="1"/>
        <v>46320</v>
      </c>
      <c r="H8299" s="49">
        <f t="shared" si="2"/>
        <v>46131</v>
      </c>
    </row>
    <row r="8300">
      <c r="A8300" s="48" t="s">
        <v>3026</v>
      </c>
      <c r="B8300" s="38">
        <v>2696.0</v>
      </c>
      <c r="C8300" s="38" t="s">
        <v>11968</v>
      </c>
      <c r="D8300" s="38" t="str">
        <f>IFERROR(__xludf.DUMMYFUNCTION("REGEXREPLACE(C8300,""-\d+(.*)|--\d+(.*)"","""")"),"SAINT-THOMAS")</f>
        <v>SAINT-THOMAS</v>
      </c>
      <c r="E8300" s="38" t="s">
        <v>191</v>
      </c>
      <c r="F8300" s="38" t="s">
        <v>113</v>
      </c>
      <c r="G8300" s="49" t="str">
        <f t="shared" si="1"/>
        <v>02820</v>
      </c>
      <c r="H8300" s="49" t="str">
        <f t="shared" si="2"/>
        <v>02696</v>
      </c>
    </row>
    <row r="8301">
      <c r="A8301" s="48" t="s">
        <v>3158</v>
      </c>
      <c r="B8301" s="38">
        <v>50086.0</v>
      </c>
      <c r="C8301" s="38" t="s">
        <v>11969</v>
      </c>
      <c r="D8301" s="38" t="str">
        <f>IFERROR(__xludf.DUMMYFUNCTION("REGEXREPLACE(C8301,""-\d+(.*)|--\d+(.*)"","""")"),"BRILLEVAST")</f>
        <v>BRILLEVAST</v>
      </c>
      <c r="E8301" s="38" t="s">
        <v>157</v>
      </c>
      <c r="F8301" s="38" t="s">
        <v>138</v>
      </c>
      <c r="G8301" s="49" t="str">
        <f t="shared" si="1"/>
        <v>50330</v>
      </c>
      <c r="H8301" s="49">
        <f t="shared" si="2"/>
        <v>50086</v>
      </c>
    </row>
    <row r="8302">
      <c r="A8302" s="48" t="s">
        <v>781</v>
      </c>
      <c r="B8302" s="38">
        <v>65345.0</v>
      </c>
      <c r="C8302" s="38" t="s">
        <v>11970</v>
      </c>
      <c r="D8302" s="38" t="str">
        <f>IFERROR(__xludf.DUMMYFUNCTION("REGEXREPLACE(C8302,""-\d+(.*)|--\d+(.*)"","""")"),"OSSUN-EZ-ANGLES")</f>
        <v>OSSUN-EZ-ANGLES</v>
      </c>
      <c r="E8302" s="38" t="s">
        <v>200</v>
      </c>
      <c r="F8302" s="38" t="s">
        <v>94</v>
      </c>
      <c r="G8302" s="49" t="str">
        <f t="shared" si="1"/>
        <v>65100</v>
      </c>
      <c r="H8302" s="49">
        <f t="shared" si="2"/>
        <v>65345</v>
      </c>
    </row>
    <row r="8303">
      <c r="A8303" s="48" t="s">
        <v>307</v>
      </c>
      <c r="B8303" s="38">
        <v>88020.0</v>
      </c>
      <c r="C8303" s="38" t="s">
        <v>11971</v>
      </c>
      <c r="D8303" s="38" t="str">
        <f>IFERROR(__xludf.DUMMYFUNCTION("REGEXREPLACE(C8303,""-\d+(.*)|--\d+(.*)"","""")"),"AUTREVILLE")</f>
        <v>AUTREVILLE</v>
      </c>
      <c r="E8303" s="38" t="s">
        <v>194</v>
      </c>
      <c r="F8303" s="38" t="s">
        <v>195</v>
      </c>
      <c r="G8303" s="49" t="str">
        <f t="shared" si="1"/>
        <v>88300</v>
      </c>
      <c r="H8303" s="49">
        <f t="shared" si="2"/>
        <v>88020</v>
      </c>
    </row>
    <row r="8304">
      <c r="A8304" s="48" t="s">
        <v>11972</v>
      </c>
      <c r="B8304" s="38">
        <v>89310.0</v>
      </c>
      <c r="C8304" s="38" t="s">
        <v>11973</v>
      </c>
      <c r="D8304" s="38" t="str">
        <f>IFERROR(__xludf.DUMMYFUNCTION("REGEXREPLACE(C8304,""-\d+(.*)|--\d+(.*)"","""")"),"LA POSTOLLE")</f>
        <v>LA POSTOLLE</v>
      </c>
      <c r="E8304" s="38" t="s">
        <v>275</v>
      </c>
      <c r="F8304" s="38" t="s">
        <v>106</v>
      </c>
      <c r="G8304" s="49" t="str">
        <f t="shared" si="1"/>
        <v>89260</v>
      </c>
      <c r="H8304" s="49">
        <f t="shared" si="2"/>
        <v>89310</v>
      </c>
    </row>
    <row r="8305">
      <c r="A8305" s="48" t="s">
        <v>721</v>
      </c>
      <c r="B8305" s="38">
        <v>14168.0</v>
      </c>
      <c r="C8305" s="38" t="s">
        <v>11974</v>
      </c>
      <c r="D8305" s="38" t="str">
        <f>IFERROR(__xludf.DUMMYFUNCTION("REGEXREPLACE(C8305,""-\d+(.*)|--\d+(.*)"","""")"),"COLOMBIERES")</f>
        <v>COLOMBIERES</v>
      </c>
      <c r="E8305" s="38" t="s">
        <v>137</v>
      </c>
      <c r="F8305" s="38" t="s">
        <v>138</v>
      </c>
      <c r="G8305" s="49" t="str">
        <f t="shared" si="1"/>
        <v>14710</v>
      </c>
      <c r="H8305" s="49">
        <f t="shared" si="2"/>
        <v>14168</v>
      </c>
    </row>
    <row r="8306">
      <c r="A8306" s="48" t="s">
        <v>3519</v>
      </c>
      <c r="B8306" s="38">
        <v>15018.0</v>
      </c>
      <c r="C8306" s="38" t="s">
        <v>11975</v>
      </c>
      <c r="D8306" s="38" t="str">
        <f>IFERROR(__xludf.DUMMYFUNCTION("REGEXREPLACE(C8306,""-\d+(.*)|--\d+(.*)"","""")"),"BARRIAC-LES-BOSQUETS")</f>
        <v>BARRIAC-LES-BOSQUETS</v>
      </c>
      <c r="E8306" s="38" t="s">
        <v>632</v>
      </c>
      <c r="F8306" s="38" t="s">
        <v>161</v>
      </c>
      <c r="G8306" s="49" t="str">
        <f t="shared" si="1"/>
        <v>15700</v>
      </c>
      <c r="H8306" s="49">
        <f t="shared" si="2"/>
        <v>15018</v>
      </c>
    </row>
    <row r="8307">
      <c r="A8307" s="48" t="s">
        <v>3161</v>
      </c>
      <c r="B8307" s="38">
        <v>70165.0</v>
      </c>
      <c r="C8307" s="38" t="s">
        <v>11976</v>
      </c>
      <c r="D8307" s="38" t="str">
        <f>IFERROR(__xludf.DUMMYFUNCTION("REGEXREPLACE(C8307,""-\d+(.*)|--\d+(.*)"","""")"),"COMBEAUFONTAINE")</f>
        <v>COMBEAUFONTAINE</v>
      </c>
      <c r="E8307" s="38" t="s">
        <v>956</v>
      </c>
      <c r="F8307" s="38" t="s">
        <v>214</v>
      </c>
      <c r="G8307" s="49" t="str">
        <f t="shared" si="1"/>
        <v>70120</v>
      </c>
      <c r="H8307" s="49">
        <f t="shared" si="2"/>
        <v>70165</v>
      </c>
    </row>
    <row r="8308">
      <c r="A8308" s="48" t="s">
        <v>6129</v>
      </c>
      <c r="B8308" s="38">
        <v>67221.0</v>
      </c>
      <c r="C8308" s="38" t="s">
        <v>11977</v>
      </c>
      <c r="D8308" s="38" t="str">
        <f>IFERROR(__xludf.DUMMYFUNCTION("REGEXREPLACE(C8308,""-\d+(.*)|--\d+(.*)"","""")"),"INGOLSHEIM")</f>
        <v>INGOLSHEIM</v>
      </c>
      <c r="E8308" s="38" t="s">
        <v>210</v>
      </c>
      <c r="F8308" s="38" t="s">
        <v>151</v>
      </c>
      <c r="G8308" s="49" t="str">
        <f t="shared" si="1"/>
        <v>67250</v>
      </c>
      <c r="H8308" s="49">
        <f t="shared" si="2"/>
        <v>67221</v>
      </c>
    </row>
    <row r="8309">
      <c r="A8309" s="48" t="s">
        <v>5073</v>
      </c>
      <c r="B8309" s="38">
        <v>59099.0</v>
      </c>
      <c r="C8309" s="38" t="s">
        <v>11978</v>
      </c>
      <c r="D8309" s="38" t="str">
        <f>IFERROR(__xludf.DUMMYFUNCTION("REGEXREPLACE(C8309,""-\d+(.*)|--\d+(.*)"","""")"),"BOUSIES")</f>
        <v>BOUSIES</v>
      </c>
      <c r="E8309" s="38" t="s">
        <v>85</v>
      </c>
      <c r="F8309" s="38" t="s">
        <v>86</v>
      </c>
      <c r="G8309" s="49" t="str">
        <f t="shared" si="1"/>
        <v>59222</v>
      </c>
      <c r="H8309" s="49">
        <f t="shared" si="2"/>
        <v>59099</v>
      </c>
    </row>
    <row r="8310">
      <c r="A8310" s="48" t="s">
        <v>11979</v>
      </c>
      <c r="B8310" s="38">
        <v>83127.0</v>
      </c>
      <c r="C8310" s="38" t="s">
        <v>11980</v>
      </c>
      <c r="D8310" s="38" t="str">
        <f>IFERROR(__xludf.DUMMYFUNCTION("REGEXREPLACE(C8310,""-\d+(.*)|--\d+(.*)"","""")"),"SIGNES")</f>
        <v>SIGNES</v>
      </c>
      <c r="E8310" s="38" t="s">
        <v>813</v>
      </c>
      <c r="F8310" s="38" t="s">
        <v>228</v>
      </c>
      <c r="G8310" s="49" t="str">
        <f t="shared" si="1"/>
        <v>83870</v>
      </c>
      <c r="H8310" s="49">
        <f t="shared" si="2"/>
        <v>83127</v>
      </c>
    </row>
    <row r="8311">
      <c r="A8311" s="48" t="s">
        <v>11981</v>
      </c>
      <c r="B8311" s="38">
        <v>49378.0</v>
      </c>
      <c r="C8311" s="38" t="s">
        <v>11982</v>
      </c>
      <c r="D8311" s="38" t="str">
        <f>IFERROR(__xludf.DUMMYFUNCTION("REGEXREPLACE(C8311,""-\d+(.*)|--\d+(.*)"","""")"),"VIVY")</f>
        <v>VIVY</v>
      </c>
      <c r="E8311" s="38" t="s">
        <v>653</v>
      </c>
      <c r="F8311" s="38" t="s">
        <v>180</v>
      </c>
      <c r="G8311" s="49" t="str">
        <f t="shared" si="1"/>
        <v>49680</v>
      </c>
      <c r="H8311" s="49">
        <f t="shared" si="2"/>
        <v>49378</v>
      </c>
    </row>
    <row r="8312">
      <c r="A8312" s="48" t="s">
        <v>5235</v>
      </c>
      <c r="B8312" s="38">
        <v>61003.0</v>
      </c>
      <c r="C8312" s="38" t="s">
        <v>11983</v>
      </c>
      <c r="D8312" s="38" t="str">
        <f>IFERROR(__xludf.DUMMYFUNCTION("REGEXREPLACE(C8312,""-\d+(.*)|--\d+(.*)"","""")"),"ANCEINS")</f>
        <v>ANCEINS</v>
      </c>
      <c r="E8312" s="38" t="s">
        <v>141</v>
      </c>
      <c r="F8312" s="38" t="s">
        <v>138</v>
      </c>
      <c r="G8312" s="49" t="str">
        <f t="shared" si="1"/>
        <v>61550</v>
      </c>
      <c r="H8312" s="49">
        <f t="shared" si="2"/>
        <v>61003</v>
      </c>
    </row>
    <row r="8313">
      <c r="A8313" s="48" t="s">
        <v>1845</v>
      </c>
      <c r="B8313" s="38">
        <v>79299.0</v>
      </c>
      <c r="C8313" s="38" t="s">
        <v>11984</v>
      </c>
      <c r="D8313" s="38" t="str">
        <f>IFERROR(__xludf.DUMMYFUNCTION("REGEXREPLACE(C8313,""-\d+(.*)|--\d+(.*)"","""")"),"SAINT-VARENT")</f>
        <v>SAINT-VARENT</v>
      </c>
      <c r="E8313" s="38" t="s">
        <v>337</v>
      </c>
      <c r="F8313" s="38" t="s">
        <v>338</v>
      </c>
      <c r="G8313" s="49" t="str">
        <f t="shared" si="1"/>
        <v>79330</v>
      </c>
      <c r="H8313" s="49">
        <f t="shared" si="2"/>
        <v>79299</v>
      </c>
    </row>
    <row r="8314">
      <c r="A8314" s="48" t="s">
        <v>6875</v>
      </c>
      <c r="B8314" s="38">
        <v>2660.0</v>
      </c>
      <c r="C8314" s="38" t="s">
        <v>11985</v>
      </c>
      <c r="D8314" s="38" t="str">
        <f>IFERROR(__xludf.DUMMYFUNCTION("REGEXREPLACE(C8314,""-\d+(.*)|--\d+(.*)"","""")"),"ROUVROY-SUR-SERRE")</f>
        <v>ROUVROY-SUR-SERRE</v>
      </c>
      <c r="E8314" s="38" t="s">
        <v>191</v>
      </c>
      <c r="F8314" s="38" t="s">
        <v>113</v>
      </c>
      <c r="G8314" s="49" t="str">
        <f t="shared" si="1"/>
        <v>02360</v>
      </c>
      <c r="H8314" s="49" t="str">
        <f t="shared" si="2"/>
        <v>02660</v>
      </c>
    </row>
    <row r="8315">
      <c r="A8315" s="48" t="s">
        <v>3344</v>
      </c>
      <c r="B8315" s="38">
        <v>76710.0</v>
      </c>
      <c r="C8315" s="38" t="s">
        <v>11986</v>
      </c>
      <c r="D8315" s="38" t="str">
        <f>IFERROR(__xludf.DUMMYFUNCTION("REGEXREPLACE(C8315,""-\d+(.*)|--\d+(.*)"","""")"),"TREMAUVILLE")</f>
        <v>TREMAUVILLE</v>
      </c>
      <c r="E8315" s="38" t="s">
        <v>133</v>
      </c>
      <c r="F8315" s="38" t="s">
        <v>134</v>
      </c>
      <c r="G8315" s="49" t="str">
        <f t="shared" si="1"/>
        <v>76640</v>
      </c>
      <c r="H8315" s="49">
        <f t="shared" si="2"/>
        <v>76710</v>
      </c>
    </row>
    <row r="8316">
      <c r="A8316" s="48" t="s">
        <v>2376</v>
      </c>
      <c r="B8316" s="38">
        <v>79176.0</v>
      </c>
      <c r="C8316" s="38" t="s">
        <v>11987</v>
      </c>
      <c r="D8316" s="38" t="str">
        <f>IFERROR(__xludf.DUMMYFUNCTION("REGEXREPLACE(C8316,""-\d+(.*)|--\d+(.*)"","""")"),"MENIGOUTE")</f>
        <v>MENIGOUTE</v>
      </c>
      <c r="E8316" s="38" t="s">
        <v>337</v>
      </c>
      <c r="F8316" s="38" t="s">
        <v>338</v>
      </c>
      <c r="G8316" s="49" t="str">
        <f t="shared" si="1"/>
        <v>79340</v>
      </c>
      <c r="H8316" s="49">
        <f t="shared" si="2"/>
        <v>79176</v>
      </c>
    </row>
    <row r="8317">
      <c r="A8317" s="48" t="s">
        <v>2642</v>
      </c>
      <c r="B8317" s="38">
        <v>37001.0</v>
      </c>
      <c r="C8317" s="38" t="s">
        <v>11988</v>
      </c>
      <c r="D8317" s="38" t="str">
        <f>IFERROR(__xludf.DUMMYFUNCTION("REGEXREPLACE(C8317,""-\d+(.*)|--\d+(.*)"","""")"),"ABILLY")</f>
        <v>ABILLY</v>
      </c>
      <c r="E8317" s="38" t="s">
        <v>205</v>
      </c>
      <c r="F8317" s="38" t="s">
        <v>123</v>
      </c>
      <c r="G8317" s="49" t="str">
        <f t="shared" si="1"/>
        <v>37160</v>
      </c>
      <c r="H8317" s="49">
        <f t="shared" si="2"/>
        <v>37001</v>
      </c>
    </row>
    <row r="8318">
      <c r="A8318" s="48" t="s">
        <v>10337</v>
      </c>
      <c r="B8318" s="38">
        <v>10426.0</v>
      </c>
      <c r="C8318" s="38" t="s">
        <v>11989</v>
      </c>
      <c r="D8318" s="38" t="str">
        <f>IFERROR(__xludf.DUMMYFUNCTION("REGEXREPLACE(C8318,""-\d+(.*)|--\d+(.*)"","""")"),"VILLE-SOUS-LA-FERTE")</f>
        <v>VILLE-SOUS-LA-FERTE</v>
      </c>
      <c r="E8318" s="38" t="s">
        <v>147</v>
      </c>
      <c r="F8318" s="38" t="s">
        <v>130</v>
      </c>
      <c r="G8318" s="49" t="str">
        <f t="shared" si="1"/>
        <v>10310</v>
      </c>
      <c r="H8318" s="49">
        <f t="shared" si="2"/>
        <v>10426</v>
      </c>
    </row>
    <row r="8319">
      <c r="A8319" s="48" t="s">
        <v>11990</v>
      </c>
      <c r="B8319" s="38">
        <v>62570.0</v>
      </c>
      <c r="C8319" s="38" t="s">
        <v>11991</v>
      </c>
      <c r="D8319" s="38" t="str">
        <f>IFERROR(__xludf.DUMMYFUNCTION("REGEXREPLACE(C8319,""-\d+(.*)|--\d+(.*)"","""")"),"MERICOURT")</f>
        <v>MERICOURT</v>
      </c>
      <c r="E8319" s="38" t="s">
        <v>109</v>
      </c>
      <c r="F8319" s="38" t="s">
        <v>86</v>
      </c>
      <c r="G8319" s="49" t="str">
        <f t="shared" si="1"/>
        <v>62680</v>
      </c>
      <c r="H8319" s="49">
        <f t="shared" si="2"/>
        <v>62570</v>
      </c>
    </row>
    <row r="8320">
      <c r="A8320" s="48" t="s">
        <v>10383</v>
      </c>
      <c r="B8320" s="38">
        <v>38391.0</v>
      </c>
      <c r="C8320" s="38" t="s">
        <v>11992</v>
      </c>
      <c r="D8320" s="38" t="str">
        <f>IFERROR(__xludf.DUMMYFUNCTION("REGEXREPLACE(C8320,""-\d+(.*)|--\d+(.*)"","""")"),"SAINT-GUILLAUME")</f>
        <v>SAINT-GUILLAUME</v>
      </c>
      <c r="E8320" s="38" t="s">
        <v>101</v>
      </c>
      <c r="F8320" s="38" t="s">
        <v>102</v>
      </c>
      <c r="G8320" s="49" t="str">
        <f t="shared" si="1"/>
        <v>38650</v>
      </c>
      <c r="H8320" s="49">
        <f t="shared" si="2"/>
        <v>38391</v>
      </c>
    </row>
    <row r="8321">
      <c r="A8321" s="48" t="s">
        <v>2770</v>
      </c>
      <c r="B8321" s="38">
        <v>25448.0</v>
      </c>
      <c r="C8321" s="38" t="s">
        <v>11993</v>
      </c>
      <c r="D8321" s="38" t="str">
        <f>IFERROR(__xludf.DUMMYFUNCTION("REGEXREPLACE(C8321,""-\d+(.*)|--\d+(.*)"","""")"),"PELOUSEY")</f>
        <v>PELOUSEY</v>
      </c>
      <c r="E8321" s="38" t="s">
        <v>213</v>
      </c>
      <c r="F8321" s="38" t="s">
        <v>214</v>
      </c>
      <c r="G8321" s="49" t="str">
        <f t="shared" si="1"/>
        <v>25170</v>
      </c>
      <c r="H8321" s="49">
        <f t="shared" si="2"/>
        <v>25448</v>
      </c>
    </row>
    <row r="8322">
      <c r="A8322" s="48" t="s">
        <v>8412</v>
      </c>
      <c r="B8322" s="38">
        <v>43136.0</v>
      </c>
      <c r="C8322" s="38" t="s">
        <v>11994</v>
      </c>
      <c r="D8322" s="38" t="str">
        <f>IFERROR(__xludf.DUMMYFUNCTION("REGEXREPLACE(C8322,""-\d+(.*)|--\d+(.*)"","""")"),"MONISTROL-D'ALLIER")</f>
        <v>MONISTROL-D'ALLIER</v>
      </c>
      <c r="E8322" s="38" t="s">
        <v>332</v>
      </c>
      <c r="F8322" s="38" t="s">
        <v>161</v>
      </c>
      <c r="G8322" s="49" t="str">
        <f t="shared" si="1"/>
        <v>43580</v>
      </c>
      <c r="H8322" s="49">
        <f t="shared" si="2"/>
        <v>43136</v>
      </c>
    </row>
    <row r="8323">
      <c r="A8323" s="48" t="s">
        <v>1193</v>
      </c>
      <c r="B8323" s="38">
        <v>54501.0</v>
      </c>
      <c r="C8323" s="38" t="s">
        <v>11995</v>
      </c>
      <c r="D8323" s="38" t="str">
        <f>IFERROR(__xludf.DUMMYFUNCTION("REGEXREPLACE(C8323,""-\d+(.*)|--\d+(.*)"","""")"),"SERANVILLE")</f>
        <v>SERANVILLE</v>
      </c>
      <c r="E8323" s="38" t="s">
        <v>548</v>
      </c>
      <c r="F8323" s="38" t="s">
        <v>195</v>
      </c>
      <c r="G8323" s="49" t="str">
        <f t="shared" si="1"/>
        <v>54830</v>
      </c>
      <c r="H8323" s="49">
        <f t="shared" si="2"/>
        <v>54501</v>
      </c>
    </row>
    <row r="8324">
      <c r="A8324" s="48" t="s">
        <v>4173</v>
      </c>
      <c r="B8324" s="38">
        <v>25558.0</v>
      </c>
      <c r="C8324" s="38" t="s">
        <v>11996</v>
      </c>
      <c r="D8324" s="38" t="str">
        <f>IFERROR(__xludf.DUMMYFUNCTION("REGEXREPLACE(C8324,""-\d+(.*)|--\d+(.*)"","""")"),"TARCENAY")</f>
        <v>TARCENAY</v>
      </c>
      <c r="E8324" s="38" t="s">
        <v>213</v>
      </c>
      <c r="F8324" s="38" t="s">
        <v>214</v>
      </c>
      <c r="G8324" s="49" t="str">
        <f t="shared" si="1"/>
        <v>25620</v>
      </c>
      <c r="H8324" s="49">
        <f t="shared" si="2"/>
        <v>25558</v>
      </c>
    </row>
    <row r="8325">
      <c r="A8325" s="48" t="s">
        <v>11997</v>
      </c>
      <c r="B8325" s="38">
        <v>76605.0</v>
      </c>
      <c r="C8325" s="38" t="s">
        <v>11998</v>
      </c>
      <c r="D8325" s="38" t="str">
        <f>IFERROR(__xludf.DUMMYFUNCTION("REGEXREPLACE(C8325,""-\d+(.*)|--\d+(.*)"","""")"),"SAINTE-MARGUERITE-SUR-MER")</f>
        <v>SAINTE-MARGUERITE-SUR-MER</v>
      </c>
      <c r="E8325" s="38" t="s">
        <v>133</v>
      </c>
      <c r="F8325" s="38" t="s">
        <v>134</v>
      </c>
      <c r="G8325" s="49" t="str">
        <f t="shared" si="1"/>
        <v>76119</v>
      </c>
      <c r="H8325" s="49">
        <f t="shared" si="2"/>
        <v>76605</v>
      </c>
    </row>
    <row r="8326">
      <c r="A8326" s="48" t="s">
        <v>8003</v>
      </c>
      <c r="B8326" s="38">
        <v>86122.0</v>
      </c>
      <c r="C8326" s="38" t="s">
        <v>11999</v>
      </c>
      <c r="D8326" s="38" t="str">
        <f>IFERROR(__xludf.DUMMYFUNCTION("REGEXREPLACE(C8326,""-\d+(.*)|--\d+(.*)"","""")"),"LAUTHIERS")</f>
        <v>LAUTHIERS</v>
      </c>
      <c r="E8326" s="38" t="s">
        <v>529</v>
      </c>
      <c r="F8326" s="38" t="s">
        <v>338</v>
      </c>
      <c r="G8326" s="49" t="str">
        <f t="shared" si="1"/>
        <v>86300</v>
      </c>
      <c r="H8326" s="49">
        <f t="shared" si="2"/>
        <v>86122</v>
      </c>
    </row>
    <row r="8327">
      <c r="A8327" s="48" t="s">
        <v>7052</v>
      </c>
      <c r="B8327" s="38">
        <v>10308.0</v>
      </c>
      <c r="C8327" s="38" t="s">
        <v>12000</v>
      </c>
      <c r="D8327" s="38" t="str">
        <f>IFERROR(__xludf.DUMMYFUNCTION("REGEXREPLACE(C8327,""-\d+(.*)|--\d+(.*)"","""")"),"PRUNAY-BELLEVILLE")</f>
        <v>PRUNAY-BELLEVILLE</v>
      </c>
      <c r="E8327" s="38" t="s">
        <v>147</v>
      </c>
      <c r="F8327" s="38" t="s">
        <v>130</v>
      </c>
      <c r="G8327" s="49" t="str">
        <f t="shared" si="1"/>
        <v>10350</v>
      </c>
      <c r="H8327" s="49">
        <f t="shared" si="2"/>
        <v>10308</v>
      </c>
    </row>
    <row r="8328">
      <c r="A8328" s="48" t="s">
        <v>12001</v>
      </c>
      <c r="B8328" s="38">
        <v>7289.0</v>
      </c>
      <c r="C8328" s="38" t="s">
        <v>12002</v>
      </c>
      <c r="D8328" s="38" t="str">
        <f>IFERROR(__xludf.DUMMYFUNCTION("REGEXREPLACE(C8328,""-\d+(.*)|--\d+(.*)"","""")"),"SAINT-PRIVAT")</f>
        <v>SAINT-PRIVAT</v>
      </c>
      <c r="E8328" s="38" t="s">
        <v>144</v>
      </c>
      <c r="F8328" s="38" t="s">
        <v>102</v>
      </c>
      <c r="G8328" s="49" t="str">
        <f t="shared" si="1"/>
        <v>07200</v>
      </c>
      <c r="H8328" s="49" t="str">
        <f t="shared" si="2"/>
        <v>07289</v>
      </c>
    </row>
    <row r="8329">
      <c r="A8329" s="48" t="s">
        <v>10564</v>
      </c>
      <c r="B8329" s="38">
        <v>56167.0</v>
      </c>
      <c r="C8329" s="38" t="s">
        <v>12003</v>
      </c>
      <c r="D8329" s="38" t="str">
        <f>IFERROR(__xludf.DUMMYFUNCTION("REGEXREPLACE(C8329,""-\d+(.*)|--\d+(.*)"","""")"),"PLOUGOUMELEN")</f>
        <v>PLOUGOUMELEN</v>
      </c>
      <c r="E8329" s="38" t="s">
        <v>173</v>
      </c>
      <c r="F8329" s="38" t="s">
        <v>90</v>
      </c>
      <c r="G8329" s="49" t="str">
        <f t="shared" si="1"/>
        <v>56400</v>
      </c>
      <c r="H8329" s="49">
        <f t="shared" si="2"/>
        <v>56167</v>
      </c>
    </row>
    <row r="8330">
      <c r="A8330" s="48" t="s">
        <v>2688</v>
      </c>
      <c r="B8330" s="38">
        <v>36049.0</v>
      </c>
      <c r="C8330" s="38" t="s">
        <v>12004</v>
      </c>
      <c r="D8330" s="38" t="str">
        <f>IFERROR(__xludf.DUMMYFUNCTION("REGEXREPLACE(C8330,""-\d+(.*)|--\d+(.*)"","""")"),"CHAZELET")</f>
        <v>CHAZELET</v>
      </c>
      <c r="E8330" s="38" t="s">
        <v>258</v>
      </c>
      <c r="F8330" s="38" t="s">
        <v>123</v>
      </c>
      <c r="G8330" s="49" t="str">
        <f t="shared" si="1"/>
        <v>36170</v>
      </c>
      <c r="H8330" s="49">
        <f t="shared" si="2"/>
        <v>36049</v>
      </c>
    </row>
    <row r="8331">
      <c r="A8331" s="48" t="s">
        <v>2675</v>
      </c>
      <c r="B8331" s="38">
        <v>44039.0</v>
      </c>
      <c r="C8331" s="38" t="s">
        <v>12005</v>
      </c>
      <c r="D8331" s="38" t="str">
        <f>IFERROR(__xludf.DUMMYFUNCTION("REGEXREPLACE(C8331,""-\d+(.*)|--\d+(.*)"","""")"),"CHEIX-EN-RETZ")</f>
        <v>CHEIX-EN-RETZ</v>
      </c>
      <c r="E8331" s="38" t="s">
        <v>759</v>
      </c>
      <c r="F8331" s="38" t="s">
        <v>180</v>
      </c>
      <c r="G8331" s="49" t="str">
        <f t="shared" si="1"/>
        <v>44640</v>
      </c>
      <c r="H8331" s="49">
        <f t="shared" si="2"/>
        <v>44039</v>
      </c>
    </row>
    <row r="8332">
      <c r="A8332" s="48" t="s">
        <v>4270</v>
      </c>
      <c r="B8332" s="38">
        <v>76263.0</v>
      </c>
      <c r="C8332" s="38" t="s">
        <v>12006</v>
      </c>
      <c r="D8332" s="38" t="str">
        <f>IFERROR(__xludf.DUMMYFUNCTION("REGEXREPLACE(C8332,""-\d+(.*)|--\d+(.*)"","""")"),"LA FEUILLIE")</f>
        <v>LA FEUILLIE</v>
      </c>
      <c r="E8332" s="38" t="s">
        <v>133</v>
      </c>
      <c r="F8332" s="38" t="s">
        <v>134</v>
      </c>
      <c r="G8332" s="49" t="str">
        <f t="shared" si="1"/>
        <v>76220</v>
      </c>
      <c r="H8332" s="49">
        <f t="shared" si="2"/>
        <v>76263</v>
      </c>
    </row>
    <row r="8333">
      <c r="A8333" s="48" t="s">
        <v>12007</v>
      </c>
      <c r="B8333" s="38">
        <v>37070.0</v>
      </c>
      <c r="C8333" s="38" t="s">
        <v>12008</v>
      </c>
      <c r="D8333" s="38" t="str">
        <f>IFERROR(__xludf.DUMMYFUNCTION("REGEXREPLACE(C8333,""-\d+(.*)|--\d+(.*)"","""")"),"CHENONCEAUX")</f>
        <v>CHENONCEAUX</v>
      </c>
      <c r="E8333" s="38" t="s">
        <v>205</v>
      </c>
      <c r="F8333" s="38" t="s">
        <v>123</v>
      </c>
      <c r="G8333" s="49" t="str">
        <f t="shared" si="1"/>
        <v>37150</v>
      </c>
      <c r="H8333" s="49">
        <f t="shared" si="2"/>
        <v>37070</v>
      </c>
    </row>
    <row r="8334">
      <c r="A8334" s="48" t="s">
        <v>12009</v>
      </c>
      <c r="B8334" s="38">
        <v>71064.0</v>
      </c>
      <c r="C8334" s="38" t="s">
        <v>12010</v>
      </c>
      <c r="D8334" s="38" t="str">
        <f>IFERROR(__xludf.DUMMYFUNCTION("REGEXREPLACE(C8334,""-\d+(.*)|--\d+(.*)"","""")"),"BRUAILLES")</f>
        <v>BRUAILLES</v>
      </c>
      <c r="E8334" s="38" t="s">
        <v>344</v>
      </c>
      <c r="F8334" s="38" t="s">
        <v>106</v>
      </c>
      <c r="G8334" s="49" t="str">
        <f t="shared" si="1"/>
        <v>71500</v>
      </c>
      <c r="H8334" s="49">
        <f t="shared" si="2"/>
        <v>71064</v>
      </c>
    </row>
    <row r="8335">
      <c r="A8335" s="48" t="s">
        <v>12011</v>
      </c>
      <c r="B8335" s="38">
        <v>60023.0</v>
      </c>
      <c r="C8335" s="38" t="s">
        <v>12012</v>
      </c>
      <c r="D8335" s="38" t="str">
        <f>IFERROR(__xludf.DUMMYFUNCTION("REGEXREPLACE(C8335,""-\d+(.*)|--\d+(.*)"","""")"),"ARMANCOURT")</f>
        <v>ARMANCOURT</v>
      </c>
      <c r="E8335" s="38" t="s">
        <v>112</v>
      </c>
      <c r="F8335" s="38" t="s">
        <v>113</v>
      </c>
      <c r="G8335" s="49" t="str">
        <f t="shared" si="1"/>
        <v>60880</v>
      </c>
      <c r="H8335" s="49">
        <f t="shared" si="2"/>
        <v>60023</v>
      </c>
    </row>
    <row r="8336">
      <c r="A8336" s="48" t="s">
        <v>8084</v>
      </c>
      <c r="B8336" s="38">
        <v>16383.0</v>
      </c>
      <c r="C8336" s="38" t="s">
        <v>12013</v>
      </c>
      <c r="D8336" s="38" t="str">
        <f>IFERROR(__xludf.DUMMYFUNCTION("REGEXREPLACE(C8336,""-\d+(.*)|--\d+(.*)"","""")"),"TOURRIERS")</f>
        <v>TOURRIERS</v>
      </c>
      <c r="E8336" s="38" t="s">
        <v>429</v>
      </c>
      <c r="F8336" s="38" t="s">
        <v>338</v>
      </c>
      <c r="G8336" s="49" t="str">
        <f t="shared" si="1"/>
        <v>16560</v>
      </c>
      <c r="H8336" s="49">
        <f t="shared" si="2"/>
        <v>16383</v>
      </c>
    </row>
    <row r="8337">
      <c r="A8337" s="48" t="s">
        <v>9795</v>
      </c>
      <c r="B8337" s="38">
        <v>33378.0</v>
      </c>
      <c r="C8337" s="38" t="s">
        <v>12014</v>
      </c>
      <c r="D8337" s="38" t="str">
        <f>IFERROR(__xludf.DUMMYFUNCTION("REGEXREPLACE(C8337,""-\d+(.*)|--\d+(.*)"","""")"),"SAINT-AVIT-SAINT-NAZAIRE")</f>
        <v>SAINT-AVIT-SAINT-NAZAIRE</v>
      </c>
      <c r="E8337" s="38" t="s">
        <v>462</v>
      </c>
      <c r="F8337" s="38" t="s">
        <v>252</v>
      </c>
      <c r="G8337" s="49" t="str">
        <f t="shared" si="1"/>
        <v>33220</v>
      </c>
      <c r="H8337" s="49">
        <f t="shared" si="2"/>
        <v>33378</v>
      </c>
    </row>
    <row r="8338">
      <c r="A8338" s="48" t="s">
        <v>12015</v>
      </c>
      <c r="B8338" s="38">
        <v>25014.0</v>
      </c>
      <c r="C8338" s="38" t="s">
        <v>12016</v>
      </c>
      <c r="D8338" s="38" t="str">
        <f>IFERROR(__xludf.DUMMYFUNCTION("REGEXREPLACE(C8338,""-\d+(.*)|--\d+(.*)"","""")"),"AMAGNEY")</f>
        <v>AMAGNEY</v>
      </c>
      <c r="E8338" s="38" t="s">
        <v>213</v>
      </c>
      <c r="F8338" s="38" t="s">
        <v>214</v>
      </c>
      <c r="G8338" s="49" t="str">
        <f t="shared" si="1"/>
        <v>25220</v>
      </c>
      <c r="H8338" s="49">
        <f t="shared" si="2"/>
        <v>25014</v>
      </c>
    </row>
    <row r="8339">
      <c r="A8339" s="48" t="s">
        <v>2960</v>
      </c>
      <c r="B8339" s="38">
        <v>86044.0</v>
      </c>
      <c r="C8339" s="38" t="s">
        <v>12017</v>
      </c>
      <c r="D8339" s="38" t="str">
        <f>IFERROR(__xludf.DUMMYFUNCTION("REGEXREPLACE(C8339,""-\d+(.*)|--\d+(.*)"","""")"),"CEAUX-EN-LOUDUN")</f>
        <v>CEAUX-EN-LOUDUN</v>
      </c>
      <c r="E8339" s="38" t="s">
        <v>529</v>
      </c>
      <c r="F8339" s="38" t="s">
        <v>338</v>
      </c>
      <c r="G8339" s="49" t="str">
        <f t="shared" si="1"/>
        <v>86200</v>
      </c>
      <c r="H8339" s="49">
        <f t="shared" si="2"/>
        <v>86044</v>
      </c>
    </row>
    <row r="8340">
      <c r="A8340" s="48" t="s">
        <v>2491</v>
      </c>
      <c r="B8340" s="38">
        <v>46141.0</v>
      </c>
      <c r="C8340" s="38" t="s">
        <v>12018</v>
      </c>
      <c r="D8340" s="38" t="str">
        <f>IFERROR(__xludf.DUMMYFUNCTION("REGEXREPLACE(C8340,""-\d+(.*)|--\d+(.*)"","""")"),"LACAM-D'OURCET")</f>
        <v>LACAM-D'OURCET</v>
      </c>
      <c r="E8340" s="38" t="s">
        <v>185</v>
      </c>
      <c r="F8340" s="38" t="s">
        <v>94</v>
      </c>
      <c r="G8340" s="49" t="str">
        <f t="shared" si="1"/>
        <v>46190</v>
      </c>
      <c r="H8340" s="49">
        <f t="shared" si="2"/>
        <v>46141</v>
      </c>
    </row>
    <row r="8341">
      <c r="A8341" s="48" t="s">
        <v>5195</v>
      </c>
      <c r="B8341" s="38">
        <v>47289.0</v>
      </c>
      <c r="C8341" s="38" t="s">
        <v>12019</v>
      </c>
      <c r="D8341" s="38" t="str">
        <f>IFERROR(__xludf.DUMMYFUNCTION("REGEXREPLACE(C8341,""-\d+(.*)|--\d+(.*)"","""")"),"LA SAUVETAT-DE-SAVERES")</f>
        <v>LA SAUVETAT-DE-SAVERES</v>
      </c>
      <c r="E8341" s="38" t="s">
        <v>251</v>
      </c>
      <c r="F8341" s="38" t="s">
        <v>252</v>
      </c>
      <c r="G8341" s="49" t="str">
        <f t="shared" si="1"/>
        <v>47270</v>
      </c>
      <c r="H8341" s="49">
        <f t="shared" si="2"/>
        <v>47289</v>
      </c>
    </row>
    <row r="8342">
      <c r="A8342" s="48" t="s">
        <v>3914</v>
      </c>
      <c r="B8342" s="38">
        <v>34228.0</v>
      </c>
      <c r="C8342" s="38" t="s">
        <v>12020</v>
      </c>
      <c r="D8342" s="38" t="str">
        <f>IFERROR(__xludf.DUMMYFUNCTION("REGEXREPLACE(C8342,""-\d+(.*)|--\d+(.*)"","""")"),"RIEUSSEC")</f>
        <v>RIEUSSEC</v>
      </c>
      <c r="E8342" s="38" t="s">
        <v>118</v>
      </c>
      <c r="F8342" s="38" t="s">
        <v>119</v>
      </c>
      <c r="G8342" s="49" t="str">
        <f t="shared" si="1"/>
        <v>34220</v>
      </c>
      <c r="H8342" s="49">
        <f t="shared" si="2"/>
        <v>34228</v>
      </c>
    </row>
    <row r="8343">
      <c r="A8343" s="48" t="s">
        <v>3036</v>
      </c>
      <c r="B8343" s="38">
        <v>61352.0</v>
      </c>
      <c r="C8343" s="38" t="s">
        <v>12021</v>
      </c>
      <c r="D8343" s="38" t="str">
        <f>IFERROR(__xludf.DUMMYFUNCTION("REGEXREPLACE(C8343,""-\d+(.*)|--\d+(.*)"","""")"),"RONAI")</f>
        <v>RONAI</v>
      </c>
      <c r="E8343" s="38" t="s">
        <v>141</v>
      </c>
      <c r="F8343" s="38" t="s">
        <v>138</v>
      </c>
      <c r="G8343" s="49" t="str">
        <f t="shared" si="1"/>
        <v>61160</v>
      </c>
      <c r="H8343" s="49">
        <f t="shared" si="2"/>
        <v>61352</v>
      </c>
    </row>
    <row r="8344">
      <c r="A8344" s="48" t="s">
        <v>3574</v>
      </c>
      <c r="B8344" s="38">
        <v>19187.0</v>
      </c>
      <c r="C8344" s="38" t="s">
        <v>12022</v>
      </c>
      <c r="D8344" s="38" t="str">
        <f>IFERROR(__xludf.DUMMYFUNCTION("REGEXREPLACE(C8344,""-\d+(.*)|--\d+(.*)"","""")"),"SAINT-BONNET-LA-RIVIERE")</f>
        <v>SAINT-BONNET-LA-RIVIERE</v>
      </c>
      <c r="E8344" s="38" t="s">
        <v>271</v>
      </c>
      <c r="F8344" s="38" t="s">
        <v>98</v>
      </c>
      <c r="G8344" s="49" t="str">
        <f t="shared" si="1"/>
        <v>19130</v>
      </c>
      <c r="H8344" s="49">
        <f t="shared" si="2"/>
        <v>19187</v>
      </c>
    </row>
    <row r="8345">
      <c r="A8345" s="48" t="s">
        <v>5020</v>
      </c>
      <c r="B8345" s="38">
        <v>51175.0</v>
      </c>
      <c r="C8345" s="38" t="s">
        <v>12023</v>
      </c>
      <c r="D8345" s="38" t="str">
        <f>IFERROR(__xludf.DUMMYFUNCTION("REGEXREPLACE(C8345,""-\d+(.*)|--\d+(.*)"","""")"),"CORROBERT")</f>
        <v>CORROBERT</v>
      </c>
      <c r="E8345" s="38" t="s">
        <v>129</v>
      </c>
      <c r="F8345" s="38" t="s">
        <v>130</v>
      </c>
      <c r="G8345" s="49" t="str">
        <f t="shared" si="1"/>
        <v>51210</v>
      </c>
      <c r="H8345" s="49">
        <f t="shared" si="2"/>
        <v>51175</v>
      </c>
    </row>
    <row r="8346">
      <c r="A8346" s="48" t="s">
        <v>7231</v>
      </c>
      <c r="B8346" s="38">
        <v>54089.0</v>
      </c>
      <c r="C8346" s="38" t="s">
        <v>12024</v>
      </c>
      <c r="D8346" s="38" t="str">
        <f>IFERROR(__xludf.DUMMYFUNCTION("REGEXREPLACE(C8346,""-\d+(.*)|--\d+(.*)"","""")"),"BOUXIERES-AUX-CHENES")</f>
        <v>BOUXIERES-AUX-CHENES</v>
      </c>
      <c r="E8346" s="38" t="s">
        <v>548</v>
      </c>
      <c r="F8346" s="38" t="s">
        <v>195</v>
      </c>
      <c r="G8346" s="49" t="str">
        <f t="shared" si="1"/>
        <v>54770</v>
      </c>
      <c r="H8346" s="49">
        <f t="shared" si="2"/>
        <v>54089</v>
      </c>
    </row>
    <row r="8347">
      <c r="A8347" s="48" t="s">
        <v>1864</v>
      </c>
      <c r="B8347" s="38">
        <v>70396.0</v>
      </c>
      <c r="C8347" s="38" t="s">
        <v>12025</v>
      </c>
      <c r="D8347" s="38" t="str">
        <f>IFERROR(__xludf.DUMMYFUNCTION("REGEXREPLACE(C8347,""-\d+(.*)|--\d+(.*)"","""")"),"ORICOURT")</f>
        <v>ORICOURT</v>
      </c>
      <c r="E8347" s="38" t="s">
        <v>956</v>
      </c>
      <c r="F8347" s="38" t="s">
        <v>214</v>
      </c>
      <c r="G8347" s="49" t="str">
        <f t="shared" si="1"/>
        <v>70110</v>
      </c>
      <c r="H8347" s="49">
        <f t="shared" si="2"/>
        <v>70396</v>
      </c>
    </row>
    <row r="8348">
      <c r="A8348" s="48" t="s">
        <v>5477</v>
      </c>
      <c r="B8348" s="38">
        <v>74158.0</v>
      </c>
      <c r="C8348" s="38" t="s">
        <v>12026</v>
      </c>
      <c r="D8348" s="38" t="str">
        <f>IFERROR(__xludf.DUMMYFUNCTION("REGEXREPLACE(C8348,""-\d+(.*)|--\d+(.*)"","""")"),"MACHILLY")</f>
        <v>MACHILLY</v>
      </c>
      <c r="E8348" s="38" t="s">
        <v>319</v>
      </c>
      <c r="F8348" s="38" t="s">
        <v>102</v>
      </c>
      <c r="G8348" s="49" t="str">
        <f t="shared" si="1"/>
        <v>74140</v>
      </c>
      <c r="H8348" s="49">
        <f t="shared" si="2"/>
        <v>74158</v>
      </c>
    </row>
    <row r="8349">
      <c r="A8349" s="48" t="s">
        <v>1679</v>
      </c>
      <c r="B8349" s="38">
        <v>51169.0</v>
      </c>
      <c r="C8349" s="38" t="s">
        <v>12027</v>
      </c>
      <c r="D8349" s="38" t="str">
        <f>IFERROR(__xludf.DUMMYFUNCTION("REGEXREPLACE(C8349,""-\d+(.*)|--\d+(.*)"","""")"),"CORBEIL")</f>
        <v>CORBEIL</v>
      </c>
      <c r="E8349" s="38" t="s">
        <v>129</v>
      </c>
      <c r="F8349" s="38" t="s">
        <v>130</v>
      </c>
      <c r="G8349" s="49" t="str">
        <f t="shared" si="1"/>
        <v>51320</v>
      </c>
      <c r="H8349" s="49">
        <f t="shared" si="2"/>
        <v>51169</v>
      </c>
    </row>
    <row r="8350">
      <c r="A8350" s="48" t="s">
        <v>8167</v>
      </c>
      <c r="B8350" s="38">
        <v>41177.0</v>
      </c>
      <c r="C8350" s="38" t="s">
        <v>12028</v>
      </c>
      <c r="D8350" s="38" t="str">
        <f>IFERROR(__xludf.DUMMYFUNCTION("REGEXREPLACE(C8350,""-\d+(.*)|--\d+(.*)"","""")"),"LE PLESSIS-DORIN")</f>
        <v>LE PLESSIS-DORIN</v>
      </c>
      <c r="E8350" s="38" t="s">
        <v>188</v>
      </c>
      <c r="F8350" s="38" t="s">
        <v>123</v>
      </c>
      <c r="G8350" s="49" t="str">
        <f t="shared" si="1"/>
        <v>41170</v>
      </c>
      <c r="H8350" s="49">
        <f t="shared" si="2"/>
        <v>41177</v>
      </c>
    </row>
    <row r="8351">
      <c r="A8351" s="48" t="s">
        <v>1341</v>
      </c>
      <c r="B8351" s="38">
        <v>14757.0</v>
      </c>
      <c r="C8351" s="38" t="s">
        <v>3549</v>
      </c>
      <c r="D8351" s="38" t="str">
        <f>IFERROR(__xludf.DUMMYFUNCTION("REGEXREPLACE(C8351,""-\d+(.*)|--\d+(.*)"","""")"),"VILLIERS-LE-SEC")</f>
        <v>VILLIERS-LE-SEC</v>
      </c>
      <c r="E8351" s="38" t="s">
        <v>137</v>
      </c>
      <c r="F8351" s="38" t="s">
        <v>138</v>
      </c>
      <c r="G8351" s="49" t="str">
        <f t="shared" si="1"/>
        <v>14480</v>
      </c>
      <c r="H8351" s="49">
        <f t="shared" si="2"/>
        <v>14757</v>
      </c>
    </row>
    <row r="8352">
      <c r="A8352" s="48" t="s">
        <v>12029</v>
      </c>
      <c r="B8352" s="38">
        <v>84120.0</v>
      </c>
      <c r="C8352" s="38" t="s">
        <v>12030</v>
      </c>
      <c r="D8352" s="38" t="str">
        <f>IFERROR(__xludf.DUMMYFUNCTION("REGEXREPLACE(C8352,""-\d+(.*)|--\d+(.*)"","""")"),"SAINT-TRINIT")</f>
        <v>SAINT-TRINIT</v>
      </c>
      <c r="E8352" s="38" t="s">
        <v>1026</v>
      </c>
      <c r="F8352" s="38" t="s">
        <v>228</v>
      </c>
      <c r="G8352" s="49" t="str">
        <f t="shared" si="1"/>
        <v>84390</v>
      </c>
      <c r="H8352" s="49">
        <f t="shared" si="2"/>
        <v>84120</v>
      </c>
    </row>
    <row r="8353">
      <c r="A8353" s="48" t="s">
        <v>4131</v>
      </c>
      <c r="B8353" s="38">
        <v>27380.0</v>
      </c>
      <c r="C8353" s="38" t="s">
        <v>12031</v>
      </c>
      <c r="D8353" s="38" t="str">
        <f>IFERROR(__xludf.DUMMYFUNCTION("REGEXREPLACE(C8353,""-\d+(.*)|--\d+(.*)"","""")"),"MALLEVILLE-SUR-LE-BEC")</f>
        <v>MALLEVILLE-SUR-LE-BEC</v>
      </c>
      <c r="E8353" s="38" t="s">
        <v>241</v>
      </c>
      <c r="F8353" s="38" t="s">
        <v>134</v>
      </c>
      <c r="G8353" s="49" t="str">
        <f t="shared" si="1"/>
        <v>27800</v>
      </c>
      <c r="H8353" s="49">
        <f t="shared" si="2"/>
        <v>27380</v>
      </c>
    </row>
    <row r="8354">
      <c r="A8354" s="48" t="s">
        <v>2521</v>
      </c>
      <c r="B8354" s="38">
        <v>28397.0</v>
      </c>
      <c r="C8354" s="38" t="s">
        <v>12032</v>
      </c>
      <c r="D8354" s="38" t="str">
        <f>IFERROR(__xludf.DUMMYFUNCTION("REGEXREPLACE(C8354,""-\d+(.*)|--\d+(.*)"","""")"),"UMPEAU")</f>
        <v>UMPEAU</v>
      </c>
      <c r="E8354" s="38" t="s">
        <v>300</v>
      </c>
      <c r="F8354" s="38" t="s">
        <v>123</v>
      </c>
      <c r="G8354" s="49" t="str">
        <f t="shared" si="1"/>
        <v>28700</v>
      </c>
      <c r="H8354" s="49">
        <f t="shared" si="2"/>
        <v>28397</v>
      </c>
    </row>
    <row r="8355">
      <c r="A8355" s="48" t="s">
        <v>1728</v>
      </c>
      <c r="B8355" s="38">
        <v>45263.0</v>
      </c>
      <c r="C8355" s="38" t="s">
        <v>12033</v>
      </c>
      <c r="D8355" s="38" t="str">
        <f>IFERROR(__xludf.DUMMYFUNCTION("REGEXREPLACE(C8355,""-\d+(.*)|--\d+(.*)"","""")"),"ROUVRES-SAINT-JEAN")</f>
        <v>ROUVRES-SAINT-JEAN</v>
      </c>
      <c r="E8355" s="38" t="s">
        <v>122</v>
      </c>
      <c r="F8355" s="38" t="s">
        <v>123</v>
      </c>
      <c r="G8355" s="49" t="str">
        <f t="shared" si="1"/>
        <v>45300</v>
      </c>
      <c r="H8355" s="49">
        <f t="shared" si="2"/>
        <v>45263</v>
      </c>
    </row>
    <row r="8356">
      <c r="A8356" s="48" t="s">
        <v>2882</v>
      </c>
      <c r="B8356" s="38">
        <v>76427.0</v>
      </c>
      <c r="C8356" s="38" t="s">
        <v>12034</v>
      </c>
      <c r="D8356" s="38" t="str">
        <f>IFERROR(__xludf.DUMMYFUNCTION("REGEXREPLACE(C8356,""-\d+(.*)|--\d+(.*)"","""")"),"MESNIERES-EN-BRAY")</f>
        <v>MESNIERES-EN-BRAY</v>
      </c>
      <c r="E8356" s="38" t="s">
        <v>133</v>
      </c>
      <c r="F8356" s="38" t="s">
        <v>134</v>
      </c>
      <c r="G8356" s="49" t="str">
        <f t="shared" si="1"/>
        <v>76270</v>
      </c>
      <c r="H8356" s="49">
        <f t="shared" si="2"/>
        <v>76427</v>
      </c>
    </row>
    <row r="8357">
      <c r="A8357" s="48" t="s">
        <v>8810</v>
      </c>
      <c r="B8357" s="38">
        <v>63154.0</v>
      </c>
      <c r="C8357" s="38" t="s">
        <v>12035</v>
      </c>
      <c r="D8357" s="38" t="str">
        <f>IFERROR(__xludf.DUMMYFUNCTION("REGEXREPLACE(C8357,""-\d+(.*)|--\d+(.*)"","""")"),"ESPIRAT")</f>
        <v>ESPIRAT</v>
      </c>
      <c r="E8357" s="38" t="s">
        <v>353</v>
      </c>
      <c r="F8357" s="38" t="s">
        <v>161</v>
      </c>
      <c r="G8357" s="49" t="str">
        <f t="shared" si="1"/>
        <v>63160</v>
      </c>
      <c r="H8357" s="49">
        <f t="shared" si="2"/>
        <v>63154</v>
      </c>
    </row>
    <row r="8358">
      <c r="A8358" s="48" t="s">
        <v>12036</v>
      </c>
      <c r="B8358" s="38">
        <v>91581.0</v>
      </c>
      <c r="C8358" s="38" t="s">
        <v>12037</v>
      </c>
      <c r="D8358" s="38" t="str">
        <f>IFERROR(__xludf.DUMMYFUNCTION("REGEXREPLACE(C8358,""-\d+(.*)|--\d+(.*)"","""")"),"SAINT-YON")</f>
        <v>SAINT-YON</v>
      </c>
      <c r="E8358" s="38" t="s">
        <v>756</v>
      </c>
      <c r="F8358" s="38" t="s">
        <v>245</v>
      </c>
      <c r="G8358" s="49" t="str">
        <f t="shared" si="1"/>
        <v>91650</v>
      </c>
      <c r="H8358" s="49">
        <f t="shared" si="2"/>
        <v>91581</v>
      </c>
    </row>
    <row r="8359">
      <c r="A8359" s="48" t="s">
        <v>12029</v>
      </c>
      <c r="B8359" s="38">
        <v>84005.0</v>
      </c>
      <c r="C8359" s="38" t="s">
        <v>12038</v>
      </c>
      <c r="D8359" s="38" t="str">
        <f>IFERROR(__xludf.DUMMYFUNCTION("REGEXREPLACE(C8359,""-\d+(.*)|--\d+(.*)"","""")"),"AUREL")</f>
        <v>AUREL</v>
      </c>
      <c r="E8359" s="38" t="s">
        <v>1026</v>
      </c>
      <c r="F8359" s="38" t="s">
        <v>228</v>
      </c>
      <c r="G8359" s="49" t="str">
        <f t="shared" si="1"/>
        <v>84390</v>
      </c>
      <c r="H8359" s="49">
        <f t="shared" si="2"/>
        <v>84005</v>
      </c>
    </row>
    <row r="8360">
      <c r="A8360" s="48" t="s">
        <v>3628</v>
      </c>
      <c r="B8360" s="38">
        <v>16091.0</v>
      </c>
      <c r="C8360" s="38" t="s">
        <v>12039</v>
      </c>
      <c r="D8360" s="38" t="str">
        <f>IFERROR(__xludf.DUMMYFUNCTION("REGEXREPLACE(C8360,""-\d+(.*)|--\d+(.*)"","""")"),"CHATIGNAC")</f>
        <v>CHATIGNAC</v>
      </c>
      <c r="E8360" s="38" t="s">
        <v>429</v>
      </c>
      <c r="F8360" s="38" t="s">
        <v>338</v>
      </c>
      <c r="G8360" s="49" t="str">
        <f t="shared" si="1"/>
        <v>16480</v>
      </c>
      <c r="H8360" s="49">
        <f t="shared" si="2"/>
        <v>16091</v>
      </c>
    </row>
    <row r="8361">
      <c r="A8361" s="48" t="s">
        <v>7140</v>
      </c>
      <c r="B8361" s="38">
        <v>3065.0</v>
      </c>
      <c r="C8361" s="38" t="s">
        <v>12040</v>
      </c>
      <c r="D8361" s="38" t="str">
        <f>IFERROR(__xludf.DUMMYFUNCTION("REGEXREPLACE(C8361,""-\d+(.*)|--\d+(.*)"","""")"),"CHATEL-DE-NEUVRE")</f>
        <v>CHATEL-DE-NEUVRE</v>
      </c>
      <c r="E8361" s="38" t="s">
        <v>160</v>
      </c>
      <c r="F8361" s="38" t="s">
        <v>161</v>
      </c>
      <c r="G8361" s="49" t="str">
        <f t="shared" si="1"/>
        <v>03500</v>
      </c>
      <c r="H8361" s="49" t="str">
        <f t="shared" si="2"/>
        <v>03065</v>
      </c>
    </row>
    <row r="8362">
      <c r="A8362" s="48" t="s">
        <v>8199</v>
      </c>
      <c r="B8362" s="38">
        <v>63459.0</v>
      </c>
      <c r="C8362" s="38" t="s">
        <v>12041</v>
      </c>
      <c r="D8362" s="38" t="str">
        <f>IFERROR(__xludf.DUMMYFUNCTION("REGEXREPLACE(C8362,""-\d+(.*)|--\d+(.*)"","""")"),"VILLENEUVE-LES-CERFS")</f>
        <v>VILLENEUVE-LES-CERFS</v>
      </c>
      <c r="E8362" s="38" t="s">
        <v>353</v>
      </c>
      <c r="F8362" s="38" t="s">
        <v>161</v>
      </c>
      <c r="G8362" s="49" t="str">
        <f t="shared" si="1"/>
        <v>63310</v>
      </c>
      <c r="H8362" s="49">
        <f t="shared" si="2"/>
        <v>63459</v>
      </c>
    </row>
    <row r="8363">
      <c r="A8363" s="48" t="s">
        <v>6651</v>
      </c>
      <c r="B8363" s="38">
        <v>31106.0</v>
      </c>
      <c r="C8363" s="38" t="s">
        <v>12042</v>
      </c>
      <c r="D8363" s="38" t="str">
        <f>IFERROR(__xludf.DUMMYFUNCTION("REGEXREPLACE(C8363,""-\d+(.*)|--\d+(.*)"","""")"),"CARAMAN")</f>
        <v>CARAMAN</v>
      </c>
      <c r="E8363" s="38" t="s">
        <v>93</v>
      </c>
      <c r="F8363" s="38" t="s">
        <v>94</v>
      </c>
      <c r="G8363" s="49" t="str">
        <f t="shared" si="1"/>
        <v>31460</v>
      </c>
      <c r="H8363" s="49">
        <f t="shared" si="2"/>
        <v>31106</v>
      </c>
    </row>
    <row r="8364">
      <c r="A8364" s="48" t="s">
        <v>12043</v>
      </c>
      <c r="B8364" s="38">
        <v>12083.0</v>
      </c>
      <c r="C8364" s="38" t="s">
        <v>12044</v>
      </c>
      <c r="D8364" s="38" t="str">
        <f>IFERROR(__xludf.DUMMYFUNCTION("REGEXREPLACE(C8364,""-\d+(.*)|--\d+(.*)"","""")"),"CRANSAC")</f>
        <v>CRANSAC</v>
      </c>
      <c r="E8364" s="38" t="s">
        <v>465</v>
      </c>
      <c r="F8364" s="38" t="s">
        <v>94</v>
      </c>
      <c r="G8364" s="49" t="str">
        <f t="shared" si="1"/>
        <v>12110</v>
      </c>
      <c r="H8364" s="49">
        <f t="shared" si="2"/>
        <v>12083</v>
      </c>
    </row>
    <row r="8365">
      <c r="A8365" s="48" t="s">
        <v>8252</v>
      </c>
      <c r="B8365" s="38">
        <v>60157.0</v>
      </c>
      <c r="C8365" s="38" t="s">
        <v>1167</v>
      </c>
      <c r="D8365" s="38" t="str">
        <f>IFERROR(__xludf.DUMMYFUNCTION("REGEXREPLACE(C8365,""-\d+(.*)|--\d+(.*)"","""")"),"CLERMONT")</f>
        <v>CLERMONT</v>
      </c>
      <c r="E8365" s="38" t="s">
        <v>112</v>
      </c>
      <c r="F8365" s="38" t="s">
        <v>113</v>
      </c>
      <c r="G8365" s="49" t="str">
        <f t="shared" si="1"/>
        <v>60600</v>
      </c>
      <c r="H8365" s="49">
        <f t="shared" si="2"/>
        <v>60157</v>
      </c>
    </row>
    <row r="8366">
      <c r="A8366" s="48" t="s">
        <v>8418</v>
      </c>
      <c r="B8366" s="38">
        <v>80459.0</v>
      </c>
      <c r="C8366" s="38" t="s">
        <v>12045</v>
      </c>
      <c r="D8366" s="38" t="str">
        <f>IFERROR(__xludf.DUMMYFUNCTION("REGEXREPLACE(C8366,""-\d+(.*)|--\d+(.*)"","""")"),"LALEU")</f>
        <v>LALEU</v>
      </c>
      <c r="E8366" s="38" t="s">
        <v>224</v>
      </c>
      <c r="F8366" s="38" t="s">
        <v>113</v>
      </c>
      <c r="G8366" s="49" t="str">
        <f t="shared" si="1"/>
        <v>80270</v>
      </c>
      <c r="H8366" s="49">
        <f t="shared" si="2"/>
        <v>80459</v>
      </c>
    </row>
    <row r="8367">
      <c r="A8367" s="48" t="s">
        <v>3011</v>
      </c>
      <c r="B8367" s="38">
        <v>63126.0</v>
      </c>
      <c r="C8367" s="38" t="s">
        <v>12046</v>
      </c>
      <c r="D8367" s="38" t="str">
        <f>IFERROR(__xludf.DUMMYFUNCTION("REGEXREPLACE(C8367,""-\d+(.*)|--\d+(.*)"","""")"),"LE CREST")</f>
        <v>LE CREST</v>
      </c>
      <c r="E8367" s="38" t="s">
        <v>353</v>
      </c>
      <c r="F8367" s="38" t="s">
        <v>161</v>
      </c>
      <c r="G8367" s="49" t="str">
        <f t="shared" si="1"/>
        <v>63450</v>
      </c>
      <c r="H8367" s="49">
        <f t="shared" si="2"/>
        <v>63126</v>
      </c>
    </row>
    <row r="8368">
      <c r="A8368" s="48" t="s">
        <v>12047</v>
      </c>
      <c r="B8368" s="38">
        <v>66151.0</v>
      </c>
      <c r="C8368" s="38" t="s">
        <v>12048</v>
      </c>
      <c r="D8368" s="38" t="str">
        <f>IFERROR(__xludf.DUMMYFUNCTION("REGEXREPLACE(C8368,""-\d+(.*)|--\d+(.*)"","""")"),"PRATS-DE-SOURNIA")</f>
        <v>PRATS-DE-SOURNIA</v>
      </c>
      <c r="E8368" s="38" t="s">
        <v>248</v>
      </c>
      <c r="F8368" s="38" t="s">
        <v>119</v>
      </c>
      <c r="G8368" s="49" t="str">
        <f t="shared" si="1"/>
        <v>66730</v>
      </c>
      <c r="H8368" s="49">
        <f t="shared" si="2"/>
        <v>66151</v>
      </c>
    </row>
    <row r="8369">
      <c r="A8369" s="48" t="s">
        <v>12049</v>
      </c>
      <c r="B8369" s="38">
        <v>17230.0</v>
      </c>
      <c r="C8369" s="38" t="s">
        <v>12050</v>
      </c>
      <c r="D8369" s="38" t="str">
        <f>IFERROR(__xludf.DUMMYFUNCTION("REGEXREPLACE(C8369,""-\d+(.*)|--\d+(.*)"","""")"),"MESCHERS-SUR-GIRONDE")</f>
        <v>MESCHERS-SUR-GIRONDE</v>
      </c>
      <c r="E8369" s="38" t="s">
        <v>488</v>
      </c>
      <c r="F8369" s="38" t="s">
        <v>338</v>
      </c>
      <c r="G8369" s="49" t="str">
        <f t="shared" si="1"/>
        <v>17132</v>
      </c>
      <c r="H8369" s="49">
        <f t="shared" si="2"/>
        <v>17230</v>
      </c>
    </row>
    <row r="8370">
      <c r="A8370" s="48" t="s">
        <v>10861</v>
      </c>
      <c r="B8370" s="38">
        <v>35235.0</v>
      </c>
      <c r="C8370" s="38" t="s">
        <v>12051</v>
      </c>
      <c r="D8370" s="38" t="str">
        <f>IFERROR(__xludf.DUMMYFUNCTION("REGEXREPLACE(C8370,""-\d+(.*)|--\d+(.*)"","""")"),"RANNEE")</f>
        <v>RANNEE</v>
      </c>
      <c r="E8370" s="38" t="s">
        <v>347</v>
      </c>
      <c r="F8370" s="38" t="s">
        <v>90</v>
      </c>
      <c r="G8370" s="49" t="str">
        <f t="shared" si="1"/>
        <v>35130</v>
      </c>
      <c r="H8370" s="49">
        <f t="shared" si="2"/>
        <v>35235</v>
      </c>
    </row>
    <row r="8371">
      <c r="A8371" s="48" t="s">
        <v>2503</v>
      </c>
      <c r="B8371" s="38">
        <v>33280.0</v>
      </c>
      <c r="C8371" s="38" t="s">
        <v>12052</v>
      </c>
      <c r="D8371" s="38" t="str">
        <f>IFERROR(__xludf.DUMMYFUNCTION("REGEXREPLACE(C8371,""-\d+(.*)|--\d+(.*)"","""")"),"MAZION")</f>
        <v>MAZION</v>
      </c>
      <c r="E8371" s="38" t="s">
        <v>462</v>
      </c>
      <c r="F8371" s="38" t="s">
        <v>252</v>
      </c>
      <c r="G8371" s="49" t="str">
        <f t="shared" si="1"/>
        <v>33390</v>
      </c>
      <c r="H8371" s="49">
        <f t="shared" si="2"/>
        <v>33280</v>
      </c>
    </row>
    <row r="8372">
      <c r="A8372" s="48" t="s">
        <v>4499</v>
      </c>
      <c r="B8372" s="38">
        <v>25126.0</v>
      </c>
      <c r="C8372" s="38" t="s">
        <v>12053</v>
      </c>
      <c r="D8372" s="38" t="str">
        <f>IFERROR(__xludf.DUMMYFUNCTION("REGEXREPLACE(C8372,""-\d+(.*)|--\d+(.*)"","""")"),"CHARNAY")</f>
        <v>CHARNAY</v>
      </c>
      <c r="E8372" s="38" t="s">
        <v>213</v>
      </c>
      <c r="F8372" s="38" t="s">
        <v>214</v>
      </c>
      <c r="G8372" s="49" t="str">
        <f t="shared" si="1"/>
        <v>25440</v>
      </c>
      <c r="H8372" s="49">
        <f t="shared" si="2"/>
        <v>25126</v>
      </c>
    </row>
    <row r="8373">
      <c r="A8373" s="48" t="s">
        <v>12054</v>
      </c>
      <c r="B8373" s="38">
        <v>38436.0</v>
      </c>
      <c r="C8373" s="38" t="s">
        <v>12055</v>
      </c>
      <c r="D8373" s="38" t="str">
        <f>IFERROR(__xludf.DUMMYFUNCTION("REGEXREPLACE(C8373,""-\d+(.*)|--\d+(.*)"","""")"),"SAINT-PAUL-DE-VARCES")</f>
        <v>SAINT-PAUL-DE-VARCES</v>
      </c>
      <c r="E8373" s="38" t="s">
        <v>101</v>
      </c>
      <c r="F8373" s="38" t="s">
        <v>102</v>
      </c>
      <c r="G8373" s="49" t="str">
        <f t="shared" si="1"/>
        <v>38760</v>
      </c>
      <c r="H8373" s="49">
        <f t="shared" si="2"/>
        <v>38436</v>
      </c>
    </row>
    <row r="8374">
      <c r="A8374" s="48" t="s">
        <v>3814</v>
      </c>
      <c r="B8374" s="38">
        <v>71025.0</v>
      </c>
      <c r="C8374" s="38" t="s">
        <v>12056</v>
      </c>
      <c r="D8374" s="38" t="str">
        <f>IFERROR(__xludf.DUMMYFUNCTION("REGEXREPLACE(C8374,""-\d+(.*)|--\d+(.*)"","""")"),"BEAUBERY")</f>
        <v>BEAUBERY</v>
      </c>
      <c r="E8374" s="38" t="s">
        <v>344</v>
      </c>
      <c r="F8374" s="38" t="s">
        <v>106</v>
      </c>
      <c r="G8374" s="49" t="str">
        <f t="shared" si="1"/>
        <v>71220</v>
      </c>
      <c r="H8374" s="49">
        <f t="shared" si="2"/>
        <v>71025</v>
      </c>
    </row>
    <row r="8375">
      <c r="A8375" s="48" t="s">
        <v>3212</v>
      </c>
      <c r="B8375" s="38">
        <v>64481.0</v>
      </c>
      <c r="C8375" s="38" t="s">
        <v>12057</v>
      </c>
      <c r="D8375" s="38" t="str">
        <f>IFERROR(__xludf.DUMMYFUNCTION("REGEXREPLACE(C8375,""-\d+(.*)|--\d+(.*)"","""")"),"SAINT-GOIN")</f>
        <v>SAINT-GOIN</v>
      </c>
      <c r="E8375" s="38" t="s">
        <v>268</v>
      </c>
      <c r="F8375" s="38" t="s">
        <v>252</v>
      </c>
      <c r="G8375" s="49" t="str">
        <f t="shared" si="1"/>
        <v>64400</v>
      </c>
      <c r="H8375" s="49">
        <f t="shared" si="2"/>
        <v>64481</v>
      </c>
    </row>
    <row r="8376">
      <c r="A8376" s="48" t="s">
        <v>4521</v>
      </c>
      <c r="B8376" s="38">
        <v>5111.0</v>
      </c>
      <c r="C8376" s="38" t="s">
        <v>12058</v>
      </c>
      <c r="D8376" s="38" t="str">
        <f>IFERROR(__xludf.DUMMYFUNCTION("REGEXREPLACE(C8376,""-\d+(.*)|--\d+(.*)"","""")"),"PUY-SANIERES")</f>
        <v>PUY-SANIERES</v>
      </c>
      <c r="E8376" s="38" t="s">
        <v>706</v>
      </c>
      <c r="F8376" s="38" t="s">
        <v>228</v>
      </c>
      <c r="G8376" s="49" t="str">
        <f t="shared" si="1"/>
        <v>05200</v>
      </c>
      <c r="H8376" s="49" t="str">
        <f t="shared" si="2"/>
        <v>05111</v>
      </c>
    </row>
    <row r="8377">
      <c r="A8377" s="48" t="s">
        <v>1524</v>
      </c>
      <c r="B8377" s="38">
        <v>25173.0</v>
      </c>
      <c r="C8377" s="38" t="s">
        <v>12059</v>
      </c>
      <c r="D8377" s="38" t="str">
        <f>IFERROR(__xludf.DUMMYFUNCTION("REGEXREPLACE(C8377,""-\d+(.*)|--\d+(.*)"","""")"),"COUR-SAINT-MAURICE")</f>
        <v>COUR-SAINT-MAURICE</v>
      </c>
      <c r="E8377" s="38" t="s">
        <v>213</v>
      </c>
      <c r="F8377" s="38" t="s">
        <v>214</v>
      </c>
      <c r="G8377" s="49" t="str">
        <f t="shared" si="1"/>
        <v>25380</v>
      </c>
      <c r="H8377" s="49">
        <f t="shared" si="2"/>
        <v>25173</v>
      </c>
    </row>
    <row r="8378">
      <c r="A8378" s="48" t="s">
        <v>3077</v>
      </c>
      <c r="B8378" s="38">
        <v>32335.0</v>
      </c>
      <c r="C8378" s="38" t="s">
        <v>12060</v>
      </c>
      <c r="D8378" s="38" t="str">
        <f>IFERROR(__xludf.DUMMYFUNCTION("REGEXREPLACE(C8378,""-\d+(.*)|--\d+(.*)"","""")"),"PUYCASQUIER")</f>
        <v>PUYCASQUIER</v>
      </c>
      <c r="E8378" s="38" t="s">
        <v>440</v>
      </c>
      <c r="F8378" s="38" t="s">
        <v>94</v>
      </c>
      <c r="G8378" s="49" t="str">
        <f t="shared" si="1"/>
        <v>32120</v>
      </c>
      <c r="H8378" s="49">
        <f t="shared" si="2"/>
        <v>32335</v>
      </c>
    </row>
    <row r="8379">
      <c r="A8379" s="48" t="s">
        <v>167</v>
      </c>
      <c r="B8379" s="38">
        <v>34079.0</v>
      </c>
      <c r="C8379" s="38" t="s">
        <v>12061</v>
      </c>
      <c r="D8379" s="38" t="str">
        <f>IFERROR(__xludf.DUMMYFUNCTION("REGEXREPLACE(C8379,""-\d+(.*)|--\d+(.*)"","""")"),"CLERMONT-L'HERAULT")</f>
        <v>CLERMONT-L'HERAULT</v>
      </c>
      <c r="E8379" s="38" t="s">
        <v>118</v>
      </c>
      <c r="F8379" s="38" t="s">
        <v>119</v>
      </c>
      <c r="G8379" s="49" t="str">
        <f t="shared" si="1"/>
        <v>34800</v>
      </c>
      <c r="H8379" s="49">
        <f t="shared" si="2"/>
        <v>34079</v>
      </c>
    </row>
    <row r="8380">
      <c r="A8380" s="48" t="s">
        <v>8298</v>
      </c>
      <c r="B8380" s="38">
        <v>54031.0</v>
      </c>
      <c r="C8380" s="38" t="s">
        <v>12062</v>
      </c>
      <c r="D8380" s="38" t="str">
        <f>IFERROR(__xludf.DUMMYFUNCTION("REGEXREPLACE(C8380,""-\d+(.*)|--\d+(.*)"","""")"),"AUTREVILLE-SUR-MOSELLE")</f>
        <v>AUTREVILLE-SUR-MOSELLE</v>
      </c>
      <c r="E8380" s="38" t="s">
        <v>548</v>
      </c>
      <c r="F8380" s="38" t="s">
        <v>195</v>
      </c>
      <c r="G8380" s="49" t="str">
        <f t="shared" si="1"/>
        <v>54380</v>
      </c>
      <c r="H8380" s="49">
        <f t="shared" si="2"/>
        <v>54031</v>
      </c>
    </row>
    <row r="8381">
      <c r="A8381" s="48" t="s">
        <v>5030</v>
      </c>
      <c r="B8381" s="38">
        <v>65479.0</v>
      </c>
      <c r="C8381" s="38" t="s">
        <v>12063</v>
      </c>
      <c r="D8381" s="38" t="str">
        <f>IFERROR(__xludf.DUMMYFUNCTION("REGEXREPLACE(C8381,""-\d+(.*)|--\d+(.*)"","""")"),"VISKER")</f>
        <v>VISKER</v>
      </c>
      <c r="E8381" s="38" t="s">
        <v>200</v>
      </c>
      <c r="F8381" s="38" t="s">
        <v>94</v>
      </c>
      <c r="G8381" s="49" t="str">
        <f t="shared" si="1"/>
        <v>65200</v>
      </c>
      <c r="H8381" s="49">
        <f t="shared" si="2"/>
        <v>65479</v>
      </c>
    </row>
    <row r="8382">
      <c r="A8382" s="48" t="s">
        <v>1024</v>
      </c>
      <c r="B8382" s="38">
        <v>84076.0</v>
      </c>
      <c r="C8382" s="38" t="s">
        <v>12064</v>
      </c>
      <c r="D8382" s="38" t="str">
        <f>IFERROR(__xludf.DUMMYFUNCTION("REGEXREPLACE(C8382,""-\d+(.*)|--\d+(.*)"","""")"),"MIRABEAU")</f>
        <v>MIRABEAU</v>
      </c>
      <c r="E8382" s="38" t="s">
        <v>1026</v>
      </c>
      <c r="F8382" s="38" t="s">
        <v>228</v>
      </c>
      <c r="G8382" s="49" t="str">
        <f t="shared" si="1"/>
        <v>84120</v>
      </c>
      <c r="H8382" s="49">
        <f t="shared" si="2"/>
        <v>84076</v>
      </c>
    </row>
    <row r="8383">
      <c r="A8383" s="48" t="s">
        <v>7702</v>
      </c>
      <c r="B8383" s="38">
        <v>57592.0</v>
      </c>
      <c r="C8383" s="38" t="s">
        <v>12065</v>
      </c>
      <c r="D8383" s="38" t="str">
        <f>IFERROR(__xludf.DUMMYFUNCTION("REGEXREPLACE(C8383,""-\d+(.*)|--\d+(.*)"","""")"),"ROMELFING")</f>
        <v>ROMELFING</v>
      </c>
      <c r="E8383" s="38" t="s">
        <v>303</v>
      </c>
      <c r="F8383" s="38" t="s">
        <v>195</v>
      </c>
      <c r="G8383" s="49" t="str">
        <f t="shared" si="1"/>
        <v>57930</v>
      </c>
      <c r="H8383" s="49">
        <f t="shared" si="2"/>
        <v>57592</v>
      </c>
    </row>
    <row r="8384">
      <c r="A8384" s="48" t="s">
        <v>12066</v>
      </c>
      <c r="B8384" s="38">
        <v>56061.0</v>
      </c>
      <c r="C8384" s="38" t="s">
        <v>12067</v>
      </c>
      <c r="D8384" s="38" t="str">
        <f>IFERROR(__xludf.DUMMYFUNCTION("REGEXREPLACE(C8384,""-\d+(.*)|--\d+(.*)"","""")"),"LA GACILLY")</f>
        <v>LA GACILLY</v>
      </c>
      <c r="E8384" s="38" t="s">
        <v>173</v>
      </c>
      <c r="F8384" s="38" t="s">
        <v>90</v>
      </c>
      <c r="G8384" s="49" t="str">
        <f t="shared" si="1"/>
        <v>56200</v>
      </c>
      <c r="H8384" s="49">
        <f t="shared" si="2"/>
        <v>56061</v>
      </c>
    </row>
    <row r="8385">
      <c r="A8385" s="48" t="s">
        <v>2955</v>
      </c>
      <c r="B8385" s="38">
        <v>76037.0</v>
      </c>
      <c r="C8385" s="38" t="s">
        <v>12068</v>
      </c>
      <c r="D8385" s="38" t="str">
        <f>IFERROR(__xludf.DUMMYFUNCTION("REGEXREPLACE(C8385,""-\d+(.*)|--\d+(.*)"","""")"),"AUQUEMESNIL")</f>
        <v>AUQUEMESNIL</v>
      </c>
      <c r="E8385" s="38" t="s">
        <v>133</v>
      </c>
      <c r="F8385" s="38" t="s">
        <v>134</v>
      </c>
      <c r="G8385" s="49" t="str">
        <f t="shared" si="1"/>
        <v>76630</v>
      </c>
      <c r="H8385" s="49">
        <f t="shared" si="2"/>
        <v>76037</v>
      </c>
    </row>
    <row r="8386">
      <c r="A8386" s="48" t="s">
        <v>12069</v>
      </c>
      <c r="B8386" s="38">
        <v>13008.0</v>
      </c>
      <c r="C8386" s="38" t="s">
        <v>12070</v>
      </c>
      <c r="D8386" s="38" t="str">
        <f>IFERROR(__xludf.DUMMYFUNCTION("REGEXREPLACE(C8386,""-\d+(.*)|--\d+(.*)"","""")"),"AURONS")</f>
        <v>AURONS</v>
      </c>
      <c r="E8386" s="38" t="s">
        <v>980</v>
      </c>
      <c r="F8386" s="38" t="s">
        <v>228</v>
      </c>
      <c r="G8386" s="49" t="str">
        <f t="shared" si="1"/>
        <v>13121</v>
      </c>
      <c r="H8386" s="49">
        <f t="shared" si="2"/>
        <v>13008</v>
      </c>
    </row>
    <row r="8387">
      <c r="A8387" s="48" t="s">
        <v>2393</v>
      </c>
      <c r="B8387" s="38">
        <v>38074.0</v>
      </c>
      <c r="C8387" s="38" t="s">
        <v>12071</v>
      </c>
      <c r="D8387" s="38" t="str">
        <f>IFERROR(__xludf.DUMMYFUNCTION("REGEXREPLACE(C8387,""-\d+(.*)|--\d+(.*)"","""")"),"CHANTESSE")</f>
        <v>CHANTESSE</v>
      </c>
      <c r="E8387" s="38" t="s">
        <v>101</v>
      </c>
      <c r="F8387" s="38" t="s">
        <v>102</v>
      </c>
      <c r="G8387" s="49" t="str">
        <f t="shared" si="1"/>
        <v>38470</v>
      </c>
      <c r="H8387" s="49">
        <f t="shared" si="2"/>
        <v>38074</v>
      </c>
    </row>
    <row r="8388">
      <c r="A8388" s="48" t="s">
        <v>3539</v>
      </c>
      <c r="B8388" s="38">
        <v>54443.0</v>
      </c>
      <c r="C8388" s="38" t="s">
        <v>12072</v>
      </c>
      <c r="D8388" s="38" t="str">
        <f>IFERROR(__xludf.DUMMYFUNCTION("REGEXREPLACE(C8388,""-\d+(.*)|--\d+(.*)"","""")"),"RAON-LES-LEAU")</f>
        <v>RAON-LES-LEAU</v>
      </c>
      <c r="E8388" s="38" t="s">
        <v>548</v>
      </c>
      <c r="F8388" s="38" t="s">
        <v>195</v>
      </c>
      <c r="G8388" s="49" t="str">
        <f t="shared" si="1"/>
        <v>54540</v>
      </c>
      <c r="H8388" s="49">
        <f t="shared" si="2"/>
        <v>54443</v>
      </c>
    </row>
    <row r="8389">
      <c r="A8389" s="48" t="s">
        <v>3887</v>
      </c>
      <c r="B8389" s="38">
        <v>84114.0</v>
      </c>
      <c r="C8389" s="38" t="s">
        <v>12073</v>
      </c>
      <c r="D8389" s="38" t="str">
        <f>IFERROR(__xludf.DUMMYFUNCTION("REGEXREPLACE(C8389,""-\d+(.*)|--\d+(.*)"","""")"),"SAINT-PANTALEON")</f>
        <v>SAINT-PANTALEON</v>
      </c>
      <c r="E8389" s="38" t="s">
        <v>1026</v>
      </c>
      <c r="F8389" s="38" t="s">
        <v>228</v>
      </c>
      <c r="G8389" s="49" t="str">
        <f t="shared" si="1"/>
        <v>84220</v>
      </c>
      <c r="H8389" s="49">
        <f t="shared" si="2"/>
        <v>84114</v>
      </c>
    </row>
    <row r="8390">
      <c r="A8390" s="48" t="s">
        <v>2338</v>
      </c>
      <c r="B8390" s="38">
        <v>8120.0</v>
      </c>
      <c r="C8390" s="38" t="s">
        <v>12074</v>
      </c>
      <c r="D8390" s="38" t="str">
        <f>IFERROR(__xludf.DUMMYFUNCTION("REGEXREPLACE(C8390,""-\d+(.*)|--\d+(.*)"","""")"),"CHEVIERES")</f>
        <v>CHEVIERES</v>
      </c>
      <c r="E8390" s="38" t="s">
        <v>327</v>
      </c>
      <c r="F8390" s="38" t="s">
        <v>130</v>
      </c>
      <c r="G8390" s="49" t="str">
        <f t="shared" si="1"/>
        <v>08250</v>
      </c>
      <c r="H8390" s="49" t="str">
        <f t="shared" si="2"/>
        <v>08120</v>
      </c>
    </row>
    <row r="8391">
      <c r="A8391" s="48" t="s">
        <v>8969</v>
      </c>
      <c r="B8391" s="38">
        <v>19171.0</v>
      </c>
      <c r="C8391" s="38" t="s">
        <v>12075</v>
      </c>
      <c r="D8391" s="38" t="str">
        <f>IFERROR(__xludf.DUMMYFUNCTION("REGEXREPLACE(C8391,""-\d+(.*)|--\d+(.*)"","""")"),"REYGADE")</f>
        <v>REYGADE</v>
      </c>
      <c r="E8391" s="38" t="s">
        <v>271</v>
      </c>
      <c r="F8391" s="38" t="s">
        <v>98</v>
      </c>
      <c r="G8391" s="49" t="str">
        <f t="shared" si="1"/>
        <v>19430</v>
      </c>
      <c r="H8391" s="49">
        <f t="shared" si="2"/>
        <v>19171</v>
      </c>
    </row>
    <row r="8392">
      <c r="A8392" s="48" t="s">
        <v>5453</v>
      </c>
      <c r="B8392" s="38">
        <v>52315.0</v>
      </c>
      <c r="C8392" s="38" t="s">
        <v>12076</v>
      </c>
      <c r="D8392" s="38" t="str">
        <f>IFERROR(__xludf.DUMMYFUNCTION("REGEXREPLACE(C8392,""-\d+(.*)|--\d+(.*)"","""")"),"MARNAY-SUR-MARNE")</f>
        <v>MARNAY-SUR-MARNE</v>
      </c>
      <c r="E8392" s="38" t="s">
        <v>234</v>
      </c>
      <c r="F8392" s="38" t="s">
        <v>130</v>
      </c>
      <c r="G8392" s="49" t="str">
        <f t="shared" si="1"/>
        <v>52800</v>
      </c>
      <c r="H8392" s="49">
        <f t="shared" si="2"/>
        <v>52315</v>
      </c>
    </row>
    <row r="8393">
      <c r="A8393" s="48" t="s">
        <v>8414</v>
      </c>
      <c r="B8393" s="38">
        <v>60522.0</v>
      </c>
      <c r="C8393" s="38" t="s">
        <v>12077</v>
      </c>
      <c r="D8393" s="38" t="str">
        <f>IFERROR(__xludf.DUMMYFUNCTION("REGEXREPLACE(C8393,""-\d+(.*)|--\d+(.*)"","""")"),"QUINQUEMPOIX")</f>
        <v>QUINQUEMPOIX</v>
      </c>
      <c r="E8393" s="38" t="s">
        <v>112</v>
      </c>
      <c r="F8393" s="38" t="s">
        <v>113</v>
      </c>
      <c r="G8393" s="49" t="str">
        <f t="shared" si="1"/>
        <v>60130</v>
      </c>
      <c r="H8393" s="49">
        <f t="shared" si="2"/>
        <v>60522</v>
      </c>
    </row>
    <row r="8394">
      <c r="A8394" s="48" t="s">
        <v>3329</v>
      </c>
      <c r="B8394" s="38">
        <v>60244.0</v>
      </c>
      <c r="C8394" s="38" t="s">
        <v>12078</v>
      </c>
      <c r="D8394" s="38" t="str">
        <f>IFERROR(__xludf.DUMMYFUNCTION("REGEXREPLACE(C8394,""-\d+(.*)|--\d+(.*)"","""")"),"FONTENAY-TORCY")</f>
        <v>FONTENAY-TORCY</v>
      </c>
      <c r="E8394" s="38" t="s">
        <v>112</v>
      </c>
      <c r="F8394" s="38" t="s">
        <v>113</v>
      </c>
      <c r="G8394" s="49" t="str">
        <f t="shared" si="1"/>
        <v>60380</v>
      </c>
      <c r="H8394" s="49">
        <f t="shared" si="2"/>
        <v>60244</v>
      </c>
    </row>
    <row r="8395">
      <c r="A8395" s="48" t="s">
        <v>1385</v>
      </c>
      <c r="B8395" s="38">
        <v>17443.0</v>
      </c>
      <c r="C8395" s="38" t="s">
        <v>12079</v>
      </c>
      <c r="D8395" s="38" t="str">
        <f>IFERROR(__xludf.DUMMYFUNCTION("REGEXREPLACE(C8395,""-\d+(.*)|--\d+(.*)"","""")"),"THAIRE")</f>
        <v>THAIRE</v>
      </c>
      <c r="E8395" s="38" t="s">
        <v>488</v>
      </c>
      <c r="F8395" s="38" t="s">
        <v>338</v>
      </c>
      <c r="G8395" s="49" t="str">
        <f t="shared" si="1"/>
        <v>17290</v>
      </c>
      <c r="H8395" s="49">
        <f t="shared" si="2"/>
        <v>17443</v>
      </c>
    </row>
    <row r="8396">
      <c r="A8396" s="48" t="s">
        <v>3750</v>
      </c>
      <c r="B8396" s="38">
        <v>47055.0</v>
      </c>
      <c r="C8396" s="38" t="s">
        <v>12080</v>
      </c>
      <c r="D8396" s="38" t="str">
        <f>IFERROR(__xludf.DUMMYFUNCTION("REGEXREPLACE(C8396,""-\d+(.*)|--\d+(.*)"","""")"),"CASTELNAUD-DE-GRATECAMBE")</f>
        <v>CASTELNAUD-DE-GRATECAMBE</v>
      </c>
      <c r="E8396" s="38" t="s">
        <v>251</v>
      </c>
      <c r="F8396" s="38" t="s">
        <v>252</v>
      </c>
      <c r="G8396" s="49" t="str">
        <f t="shared" si="1"/>
        <v>47290</v>
      </c>
      <c r="H8396" s="49">
        <f t="shared" si="2"/>
        <v>47055</v>
      </c>
    </row>
    <row r="8397">
      <c r="A8397" s="48" t="s">
        <v>12081</v>
      </c>
      <c r="B8397" s="38">
        <v>91691.0</v>
      </c>
      <c r="C8397" s="38" t="s">
        <v>12082</v>
      </c>
      <c r="D8397" s="38" t="str">
        <f>IFERROR(__xludf.DUMMYFUNCTION("REGEXREPLACE(C8397,""-\d+(.*)|--\d+(.*)"","""")"),"YERRES")</f>
        <v>YERRES</v>
      </c>
      <c r="E8397" s="38" t="s">
        <v>756</v>
      </c>
      <c r="F8397" s="38" t="s">
        <v>245</v>
      </c>
      <c r="G8397" s="49" t="str">
        <f t="shared" si="1"/>
        <v>91330</v>
      </c>
      <c r="H8397" s="49">
        <f t="shared" si="2"/>
        <v>91691</v>
      </c>
    </row>
    <row r="8398">
      <c r="A8398" s="48" t="s">
        <v>12083</v>
      </c>
      <c r="B8398" s="38">
        <v>26032.0</v>
      </c>
      <c r="C8398" s="38" t="s">
        <v>12084</v>
      </c>
      <c r="D8398" s="38" t="str">
        <f>IFERROR(__xludf.DUMMYFUNCTION("REGEXREPLACE(C8398,""-\d+(.*)|--\d+(.*)"","""")"),"LA BAUME-CORNILLANE")</f>
        <v>LA BAUME-CORNILLANE</v>
      </c>
      <c r="E8398" s="38" t="s">
        <v>126</v>
      </c>
      <c r="F8398" s="38" t="s">
        <v>102</v>
      </c>
      <c r="G8398" s="49" t="str">
        <f t="shared" si="1"/>
        <v>26120</v>
      </c>
      <c r="H8398" s="49">
        <f t="shared" si="2"/>
        <v>26032</v>
      </c>
    </row>
    <row r="8399">
      <c r="A8399" s="48" t="s">
        <v>6578</v>
      </c>
      <c r="B8399" s="38">
        <v>89291.0</v>
      </c>
      <c r="C8399" s="38" t="s">
        <v>12085</v>
      </c>
      <c r="D8399" s="38" t="str">
        <f>IFERROR(__xludf.DUMMYFUNCTION("REGEXREPLACE(C8399,""-\d+(.*)|--\d+(.*)"","""")"),"PASSY")</f>
        <v>PASSY</v>
      </c>
      <c r="E8399" s="38" t="s">
        <v>275</v>
      </c>
      <c r="F8399" s="38" t="s">
        <v>106</v>
      </c>
      <c r="G8399" s="49" t="str">
        <f t="shared" si="1"/>
        <v>89510</v>
      </c>
      <c r="H8399" s="49">
        <f t="shared" si="2"/>
        <v>89291</v>
      </c>
    </row>
    <row r="8400">
      <c r="A8400" s="48" t="s">
        <v>11225</v>
      </c>
      <c r="B8400" s="38">
        <v>33322.0</v>
      </c>
      <c r="C8400" s="38" t="s">
        <v>12086</v>
      </c>
      <c r="D8400" s="38" t="str">
        <f>IFERROR(__xludf.DUMMYFUNCTION("REGEXREPLACE(C8400,""-\d+(.*)|--\d+(.*)"","""")"),"LE PIAN-MEDOC")</f>
        <v>LE PIAN-MEDOC</v>
      </c>
      <c r="E8400" s="38" t="s">
        <v>462</v>
      </c>
      <c r="F8400" s="38" t="s">
        <v>252</v>
      </c>
      <c r="G8400" s="49" t="str">
        <f t="shared" si="1"/>
        <v>33290</v>
      </c>
      <c r="H8400" s="49">
        <f t="shared" si="2"/>
        <v>33322</v>
      </c>
    </row>
    <row r="8401">
      <c r="A8401" s="48" t="s">
        <v>7218</v>
      </c>
      <c r="B8401" s="38">
        <v>71382.0</v>
      </c>
      <c r="C8401" s="38" t="s">
        <v>2000</v>
      </c>
      <c r="D8401" s="38" t="str">
        <f>IFERROR(__xludf.DUMMYFUNCTION("REGEXREPLACE(C8401,""-\d+(.*)|--\d+(.*)"","""")"),"SAINT-AGNAN")</f>
        <v>SAINT-AGNAN</v>
      </c>
      <c r="E8401" s="38" t="s">
        <v>344</v>
      </c>
      <c r="F8401" s="38" t="s">
        <v>106</v>
      </c>
      <c r="G8401" s="49" t="str">
        <f t="shared" si="1"/>
        <v>71160</v>
      </c>
      <c r="H8401" s="49">
        <f t="shared" si="2"/>
        <v>71382</v>
      </c>
    </row>
    <row r="8402">
      <c r="A8402" s="48" t="s">
        <v>3069</v>
      </c>
      <c r="B8402" s="38">
        <v>68275.0</v>
      </c>
      <c r="C8402" s="38" t="s">
        <v>12087</v>
      </c>
      <c r="D8402" s="38" t="str">
        <f>IFERROR(__xludf.DUMMYFUNCTION("REGEXREPLACE(C8402,""-\d+(.*)|--\d+(.*)"","""")"),"RIMBACH-PRES-MASEVAUX")</f>
        <v>RIMBACH-PRES-MASEVAUX</v>
      </c>
      <c r="E8402" s="38" t="s">
        <v>150</v>
      </c>
      <c r="F8402" s="38" t="s">
        <v>151</v>
      </c>
      <c r="G8402" s="49" t="str">
        <f t="shared" si="1"/>
        <v>68290</v>
      </c>
      <c r="H8402" s="49">
        <f t="shared" si="2"/>
        <v>68275</v>
      </c>
    </row>
    <row r="8403">
      <c r="A8403" s="48" t="s">
        <v>3718</v>
      </c>
      <c r="B8403" s="38">
        <v>62378.0</v>
      </c>
      <c r="C8403" s="38" t="s">
        <v>12088</v>
      </c>
      <c r="D8403" s="38" t="str">
        <f>IFERROR(__xludf.DUMMYFUNCTION("REGEXREPLACE(C8403,""-\d+(.*)|--\d+(.*)"","""")"),"GOUVES")</f>
        <v>GOUVES</v>
      </c>
      <c r="E8403" s="38" t="s">
        <v>109</v>
      </c>
      <c r="F8403" s="38" t="s">
        <v>86</v>
      </c>
      <c r="G8403" s="49" t="str">
        <f t="shared" si="1"/>
        <v>62123</v>
      </c>
      <c r="H8403" s="49">
        <f t="shared" si="2"/>
        <v>62378</v>
      </c>
    </row>
    <row r="8404">
      <c r="A8404" s="48" t="s">
        <v>12089</v>
      </c>
      <c r="B8404" s="38">
        <v>27278.0</v>
      </c>
      <c r="C8404" s="38" t="s">
        <v>12090</v>
      </c>
      <c r="D8404" s="38" t="str">
        <f>IFERROR(__xludf.DUMMYFUNCTION("REGEXREPLACE(C8404,""-\d+(.*)|--\d+(.*)"","""")"),"GARENNES-SUR-EURE")</f>
        <v>GARENNES-SUR-EURE</v>
      </c>
      <c r="E8404" s="38" t="s">
        <v>241</v>
      </c>
      <c r="F8404" s="38" t="s">
        <v>134</v>
      </c>
      <c r="G8404" s="49" t="str">
        <f t="shared" si="1"/>
        <v>27780</v>
      </c>
      <c r="H8404" s="49">
        <f t="shared" si="2"/>
        <v>27278</v>
      </c>
    </row>
    <row r="8405">
      <c r="A8405" s="48" t="s">
        <v>12091</v>
      </c>
      <c r="B8405" s="38">
        <v>35103.0</v>
      </c>
      <c r="C8405" s="38" t="s">
        <v>12092</v>
      </c>
      <c r="D8405" s="38" t="str">
        <f>IFERROR(__xludf.DUMMYFUNCTION("REGEXREPLACE(C8405,""-\d+(.*)|--\d+(.*)"","""")"),"EANCE")</f>
        <v>EANCE</v>
      </c>
      <c r="E8405" s="38" t="s">
        <v>347</v>
      </c>
      <c r="F8405" s="38" t="s">
        <v>90</v>
      </c>
      <c r="G8405" s="49" t="str">
        <f t="shared" si="1"/>
        <v>35640</v>
      </c>
      <c r="H8405" s="49">
        <f t="shared" si="2"/>
        <v>35103</v>
      </c>
    </row>
    <row r="8406">
      <c r="A8406" s="48" t="s">
        <v>734</v>
      </c>
      <c r="B8406" s="38">
        <v>54273.0</v>
      </c>
      <c r="C8406" s="38" t="s">
        <v>12093</v>
      </c>
      <c r="D8406" s="38" t="str">
        <f>IFERROR(__xludf.DUMMYFUNCTION("REGEXREPLACE(C8406,""-\d+(.*)|--\d+(.*)"","""")"),"JARNY")</f>
        <v>JARNY</v>
      </c>
      <c r="E8406" s="38" t="s">
        <v>548</v>
      </c>
      <c r="F8406" s="38" t="s">
        <v>195</v>
      </c>
      <c r="G8406" s="49" t="str">
        <f t="shared" si="1"/>
        <v>54800</v>
      </c>
      <c r="H8406" s="49">
        <f t="shared" si="2"/>
        <v>54273</v>
      </c>
    </row>
    <row r="8407">
      <c r="A8407" s="48" t="s">
        <v>4082</v>
      </c>
      <c r="B8407" s="38">
        <v>95298.0</v>
      </c>
      <c r="C8407" s="38" t="s">
        <v>12094</v>
      </c>
      <c r="D8407" s="38" t="str">
        <f>IFERROR(__xludf.DUMMYFUNCTION("REGEXREPLACE(C8407,""-\d+(.*)|--\d+(.*)"","""")"),"HARAVILLIERS")</f>
        <v>HARAVILLIERS</v>
      </c>
      <c r="E8407" s="38" t="s">
        <v>541</v>
      </c>
      <c r="F8407" s="38" t="s">
        <v>245</v>
      </c>
      <c r="G8407" s="49" t="str">
        <f t="shared" si="1"/>
        <v>95640</v>
      </c>
      <c r="H8407" s="49">
        <f t="shared" si="2"/>
        <v>95298</v>
      </c>
    </row>
    <row r="8408">
      <c r="A8408" s="48" t="s">
        <v>3266</v>
      </c>
      <c r="B8408" s="38">
        <v>55371.0</v>
      </c>
      <c r="C8408" s="38" t="s">
        <v>12095</v>
      </c>
      <c r="D8408" s="38" t="str">
        <f>IFERROR(__xludf.DUMMYFUNCTION("REGEXREPLACE(C8408,""-\d+(.*)|--\d+(.*)"","""")"),"NANCOIS-LE-GRAND")</f>
        <v>NANCOIS-LE-GRAND</v>
      </c>
      <c r="E8408" s="38" t="s">
        <v>322</v>
      </c>
      <c r="F8408" s="38" t="s">
        <v>195</v>
      </c>
      <c r="G8408" s="49" t="str">
        <f t="shared" si="1"/>
        <v>55500</v>
      </c>
      <c r="H8408" s="49">
        <f t="shared" si="2"/>
        <v>55371</v>
      </c>
    </row>
    <row r="8409">
      <c r="A8409" s="48" t="s">
        <v>2773</v>
      </c>
      <c r="B8409" s="38">
        <v>21115.0</v>
      </c>
      <c r="C8409" s="38" t="s">
        <v>12096</v>
      </c>
      <c r="D8409" s="38" t="str">
        <f>IFERROR(__xludf.DUMMYFUNCTION("REGEXREPLACE(C8409,""-\d+(.*)|--\d+(.*)"","""")"),"BUNCEY")</f>
        <v>BUNCEY</v>
      </c>
      <c r="E8409" s="38" t="s">
        <v>105</v>
      </c>
      <c r="F8409" s="38" t="s">
        <v>106</v>
      </c>
      <c r="G8409" s="49" t="str">
        <f t="shared" si="1"/>
        <v>21400</v>
      </c>
      <c r="H8409" s="49">
        <f t="shared" si="2"/>
        <v>21115</v>
      </c>
    </row>
    <row r="8410">
      <c r="A8410" s="48" t="s">
        <v>158</v>
      </c>
      <c r="B8410" s="38">
        <v>3105.0</v>
      </c>
      <c r="C8410" s="38" t="s">
        <v>12097</v>
      </c>
      <c r="D8410" s="38" t="str">
        <f>IFERROR(__xludf.DUMMYFUNCTION("REGEXREPLACE(C8410,""-\d+(.*)|--\d+(.*)"","""")"),"DROITURIER")</f>
        <v>DROITURIER</v>
      </c>
      <c r="E8410" s="38" t="s">
        <v>160</v>
      </c>
      <c r="F8410" s="38" t="s">
        <v>161</v>
      </c>
      <c r="G8410" s="49" t="str">
        <f t="shared" si="1"/>
        <v>03120</v>
      </c>
      <c r="H8410" s="49" t="str">
        <f t="shared" si="2"/>
        <v>03105</v>
      </c>
    </row>
    <row r="8411">
      <c r="A8411" s="48" t="s">
        <v>1695</v>
      </c>
      <c r="B8411" s="38">
        <v>80238.0</v>
      </c>
      <c r="C8411" s="38" t="s">
        <v>12098</v>
      </c>
      <c r="D8411" s="38" t="str">
        <f>IFERROR(__xludf.DUMMYFUNCTION("REGEXREPLACE(C8411,""-\d+(.*)|--\d+(.*)"","""")"),"DERNANCOURT")</f>
        <v>DERNANCOURT</v>
      </c>
      <c r="E8411" s="38" t="s">
        <v>224</v>
      </c>
      <c r="F8411" s="38" t="s">
        <v>113</v>
      </c>
      <c r="G8411" s="49" t="str">
        <f t="shared" si="1"/>
        <v>80300</v>
      </c>
      <c r="H8411" s="49">
        <f t="shared" si="2"/>
        <v>80238</v>
      </c>
    </row>
    <row r="8412">
      <c r="A8412" s="48" t="s">
        <v>8525</v>
      </c>
      <c r="B8412" s="38">
        <v>44195.0</v>
      </c>
      <c r="C8412" s="38" t="s">
        <v>12099</v>
      </c>
      <c r="D8412" s="38" t="str">
        <f>IFERROR(__xludf.DUMMYFUNCTION("REGEXREPLACE(C8412,""-\d+(.*)|--\d+(.*)"","""")"),"SAVENAY")</f>
        <v>SAVENAY</v>
      </c>
      <c r="E8412" s="38" t="s">
        <v>759</v>
      </c>
      <c r="F8412" s="38" t="s">
        <v>180</v>
      </c>
      <c r="G8412" s="49" t="str">
        <f t="shared" si="1"/>
        <v>44260</v>
      </c>
      <c r="H8412" s="49">
        <f t="shared" si="2"/>
        <v>44195</v>
      </c>
    </row>
    <row r="8413">
      <c r="A8413" s="48" t="s">
        <v>3031</v>
      </c>
      <c r="B8413" s="38">
        <v>21075.0</v>
      </c>
      <c r="C8413" s="38" t="s">
        <v>12100</v>
      </c>
      <c r="D8413" s="38" t="str">
        <f>IFERROR(__xludf.DUMMYFUNCTION("REGEXREPLACE(C8413,""-\d+(.*)|--\d+(.*)"","""")"),"BILLY-LES-CHANCEAUX")</f>
        <v>BILLY-LES-CHANCEAUX</v>
      </c>
      <c r="E8413" s="38" t="s">
        <v>105</v>
      </c>
      <c r="F8413" s="38" t="s">
        <v>106</v>
      </c>
      <c r="G8413" s="49" t="str">
        <f t="shared" si="1"/>
        <v>21450</v>
      </c>
      <c r="H8413" s="49">
        <f t="shared" si="2"/>
        <v>21075</v>
      </c>
    </row>
    <row r="8414">
      <c r="A8414" s="48" t="s">
        <v>2567</v>
      </c>
      <c r="B8414" s="38">
        <v>6129.0</v>
      </c>
      <c r="C8414" s="38" t="s">
        <v>12101</v>
      </c>
      <c r="D8414" s="38" t="str">
        <f>IFERROR(__xludf.DUMMYFUNCTION("REGEXREPLACE(C8414,""-\d+(.*)|--\d+(.*)"","""")"),"SAINT-SAUVEUR-SUR-TINEE")</f>
        <v>SAINT-SAUVEUR-SUR-TINEE</v>
      </c>
      <c r="E8414" s="38" t="s">
        <v>227</v>
      </c>
      <c r="F8414" s="38" t="s">
        <v>228</v>
      </c>
      <c r="G8414" s="49" t="str">
        <f t="shared" si="1"/>
        <v>06420</v>
      </c>
      <c r="H8414" s="49" t="str">
        <f t="shared" si="2"/>
        <v>06129</v>
      </c>
    </row>
    <row r="8415">
      <c r="A8415" s="48" t="s">
        <v>860</v>
      </c>
      <c r="B8415" s="38">
        <v>80554.0</v>
      </c>
      <c r="C8415" s="38" t="s">
        <v>12102</v>
      </c>
      <c r="D8415" s="38" t="str">
        <f>IFERROR(__xludf.DUMMYFUNCTION("REGEXREPLACE(C8415,""-\d+(.*)|--\d+(.*)"","""")"),"MOLLIENS-DREUIL")</f>
        <v>MOLLIENS-DREUIL</v>
      </c>
      <c r="E8415" s="38" t="s">
        <v>224</v>
      </c>
      <c r="F8415" s="38" t="s">
        <v>113</v>
      </c>
      <c r="G8415" s="49" t="str">
        <f t="shared" si="1"/>
        <v>80540</v>
      </c>
      <c r="H8415" s="49">
        <f t="shared" si="2"/>
        <v>80554</v>
      </c>
    </row>
    <row r="8416">
      <c r="A8416" s="48" t="s">
        <v>1887</v>
      </c>
      <c r="B8416" s="38">
        <v>88180.0</v>
      </c>
      <c r="C8416" s="38" t="s">
        <v>12103</v>
      </c>
      <c r="D8416" s="38" t="str">
        <f>IFERROR(__xludf.DUMMYFUNCTION("REGEXREPLACE(C8416,""-\d+(.*)|--\d+(.*)"","""")"),"FRAIN")</f>
        <v>FRAIN</v>
      </c>
      <c r="E8416" s="38" t="s">
        <v>194</v>
      </c>
      <c r="F8416" s="38" t="s">
        <v>195</v>
      </c>
      <c r="G8416" s="49" t="str">
        <f t="shared" si="1"/>
        <v>88320</v>
      </c>
      <c r="H8416" s="49">
        <f t="shared" si="2"/>
        <v>88180</v>
      </c>
    </row>
    <row r="8417">
      <c r="A8417" s="48" t="s">
        <v>603</v>
      </c>
      <c r="B8417" s="38" t="s">
        <v>12104</v>
      </c>
      <c r="C8417" s="38" t="s">
        <v>12105</v>
      </c>
      <c r="D8417" s="38" t="str">
        <f>IFERROR(__xludf.DUMMYFUNCTION("REGEXREPLACE(C8417,""-\d+(.*)|--\d+(.*)"","""")"),"ARGIUSTA-MORICCIO")</f>
        <v>ARGIUSTA-MORICCIO</v>
      </c>
      <c r="E8417" s="38" t="s">
        <v>606</v>
      </c>
      <c r="F8417" s="38" t="s">
        <v>607</v>
      </c>
      <c r="G8417" s="49" t="str">
        <f t="shared" si="1"/>
        <v>20140</v>
      </c>
      <c r="H8417" s="49" t="str">
        <f t="shared" si="2"/>
        <v>2A021</v>
      </c>
    </row>
    <row r="8418">
      <c r="A8418" s="48" t="s">
        <v>1132</v>
      </c>
      <c r="B8418" s="38">
        <v>2447.0</v>
      </c>
      <c r="C8418" s="38" t="s">
        <v>12106</v>
      </c>
      <c r="D8418" s="38" t="str">
        <f>IFERROR(__xludf.DUMMYFUNCTION("REGEXREPLACE(C8418,""-\d+(.*)|--\d+(.*)"","""")"),"MAAST-ET-VIOLAINE")</f>
        <v>MAAST-ET-VIOLAINE</v>
      </c>
      <c r="E8418" s="38" t="s">
        <v>191</v>
      </c>
      <c r="F8418" s="38" t="s">
        <v>113</v>
      </c>
      <c r="G8418" s="49" t="str">
        <f t="shared" si="1"/>
        <v>02220</v>
      </c>
      <c r="H8418" s="49" t="str">
        <f t="shared" si="2"/>
        <v>02447</v>
      </c>
    </row>
    <row r="8419">
      <c r="A8419" s="48" t="s">
        <v>116</v>
      </c>
      <c r="B8419" s="38">
        <v>34091.0</v>
      </c>
      <c r="C8419" s="38" t="s">
        <v>12107</v>
      </c>
      <c r="D8419" s="38" t="str">
        <f>IFERROR(__xludf.DUMMYFUNCTION("REGEXREPLACE(C8419,""-\d+(.*)|--\d+(.*)"","""")"),"LE CROS")</f>
        <v>LE CROS</v>
      </c>
      <c r="E8419" s="38" t="s">
        <v>118</v>
      </c>
      <c r="F8419" s="38" t="s">
        <v>119</v>
      </c>
      <c r="G8419" s="49" t="str">
        <f t="shared" si="1"/>
        <v>34520</v>
      </c>
      <c r="H8419" s="49">
        <f t="shared" si="2"/>
        <v>34091</v>
      </c>
    </row>
    <row r="8420">
      <c r="A8420" s="48" t="s">
        <v>12108</v>
      </c>
      <c r="B8420" s="38">
        <v>38263.0</v>
      </c>
      <c r="C8420" s="38" t="s">
        <v>12109</v>
      </c>
      <c r="D8420" s="38" t="str">
        <f>IFERROR(__xludf.DUMMYFUNCTION("REGEXREPLACE(C8420,""-\d+(.*)|--\d+(.*)"","""")"),"MORETTE")</f>
        <v>MORETTE</v>
      </c>
      <c r="E8420" s="38" t="s">
        <v>101</v>
      </c>
      <c r="F8420" s="38" t="s">
        <v>102</v>
      </c>
      <c r="G8420" s="49" t="str">
        <f t="shared" si="1"/>
        <v>38210</v>
      </c>
      <c r="H8420" s="49">
        <f t="shared" si="2"/>
        <v>38263</v>
      </c>
    </row>
    <row r="8421">
      <c r="A8421" s="48" t="s">
        <v>407</v>
      </c>
      <c r="B8421" s="38">
        <v>71507.0</v>
      </c>
      <c r="C8421" s="38" t="s">
        <v>12110</v>
      </c>
      <c r="D8421" s="38" t="str">
        <f>IFERROR(__xludf.DUMMYFUNCTION("REGEXREPLACE(C8421,""-\d+(.*)|--\d+(.*)"","""")"),"SAVIGNY-SUR-GROSNE")</f>
        <v>SAVIGNY-SUR-GROSNE</v>
      </c>
      <c r="E8421" s="38" t="s">
        <v>344</v>
      </c>
      <c r="F8421" s="38" t="s">
        <v>106</v>
      </c>
      <c r="G8421" s="49" t="str">
        <f t="shared" si="1"/>
        <v>71460</v>
      </c>
      <c r="H8421" s="49">
        <f t="shared" si="2"/>
        <v>71507</v>
      </c>
    </row>
    <row r="8422">
      <c r="A8422" s="48" t="s">
        <v>7263</v>
      </c>
      <c r="B8422" s="38">
        <v>88532.0</v>
      </c>
      <c r="C8422" s="38" t="s">
        <v>12111</v>
      </c>
      <c r="D8422" s="38" t="str">
        <f>IFERROR(__xludf.DUMMYFUNCTION("REGEXREPLACE(C8422,""-\d+(.*)|--\d+(.*)"","""")"),"ZINCOURT")</f>
        <v>ZINCOURT</v>
      </c>
      <c r="E8422" s="38" t="s">
        <v>194</v>
      </c>
      <c r="F8422" s="38" t="s">
        <v>195</v>
      </c>
      <c r="G8422" s="49" t="str">
        <f t="shared" si="1"/>
        <v>88330</v>
      </c>
      <c r="H8422" s="49">
        <f t="shared" si="2"/>
        <v>88532</v>
      </c>
    </row>
    <row r="8423">
      <c r="A8423" s="48" t="s">
        <v>10468</v>
      </c>
      <c r="B8423" s="38">
        <v>87151.0</v>
      </c>
      <c r="C8423" s="38" t="s">
        <v>12112</v>
      </c>
      <c r="D8423" s="38" t="str">
        <f>IFERROR(__xludf.DUMMYFUNCTION("REGEXREPLACE(C8423,""-\d+(.*)|--\d+(.*)"","""")"),"SAINT-JEAN-LIGOURE")</f>
        <v>SAINT-JEAN-LIGOURE</v>
      </c>
      <c r="E8423" s="38" t="s">
        <v>897</v>
      </c>
      <c r="F8423" s="38" t="s">
        <v>98</v>
      </c>
      <c r="G8423" s="49" t="str">
        <f t="shared" si="1"/>
        <v>87260</v>
      </c>
      <c r="H8423" s="49">
        <f t="shared" si="2"/>
        <v>87151</v>
      </c>
    </row>
    <row r="8424">
      <c r="A8424" s="48" t="s">
        <v>2814</v>
      </c>
      <c r="B8424" s="38">
        <v>45287.0</v>
      </c>
      <c r="C8424" s="38" t="s">
        <v>12113</v>
      </c>
      <c r="D8424" s="38" t="str">
        <f>IFERROR(__xludf.DUMMYFUNCTION("REGEXREPLACE(C8424,""-\d+(.*)|--\d+(.*)"","""")"),"SAINT-LOUP-DE-GONOIS")</f>
        <v>SAINT-LOUP-DE-GONOIS</v>
      </c>
      <c r="E8424" s="38" t="s">
        <v>122</v>
      </c>
      <c r="F8424" s="38" t="s">
        <v>123</v>
      </c>
      <c r="G8424" s="49" t="str">
        <f t="shared" si="1"/>
        <v>45210</v>
      </c>
      <c r="H8424" s="49">
        <f t="shared" si="2"/>
        <v>45287</v>
      </c>
    </row>
    <row r="8425">
      <c r="A8425" s="48" t="s">
        <v>3776</v>
      </c>
      <c r="B8425" s="38">
        <v>15206.0</v>
      </c>
      <c r="C8425" s="38" t="s">
        <v>4772</v>
      </c>
      <c r="D8425" s="38" t="str">
        <f>IFERROR(__xludf.DUMMYFUNCTION("REGEXREPLACE(C8425,""-\d+(.*)|--\d+(.*)"","""")"),"SAINT-PIERRE")</f>
        <v>SAINT-PIERRE</v>
      </c>
      <c r="E8425" s="38" t="s">
        <v>632</v>
      </c>
      <c r="F8425" s="38" t="s">
        <v>161</v>
      </c>
      <c r="G8425" s="49" t="str">
        <f t="shared" si="1"/>
        <v>15350</v>
      </c>
      <c r="H8425" s="49">
        <f t="shared" si="2"/>
        <v>15206</v>
      </c>
    </row>
    <row r="8426">
      <c r="A8426" s="48" t="s">
        <v>12114</v>
      </c>
      <c r="B8426" s="38">
        <v>77333.0</v>
      </c>
      <c r="C8426" s="38" t="s">
        <v>12115</v>
      </c>
      <c r="D8426" s="38" t="str">
        <f>IFERROR(__xludf.DUMMYFUNCTION("REGEXREPLACE(C8426,""-\d+(.*)|--\d+(.*)"","""")"),"NEMOURS")</f>
        <v>NEMOURS</v>
      </c>
      <c r="E8426" s="38" t="s">
        <v>244</v>
      </c>
      <c r="F8426" s="38" t="s">
        <v>245</v>
      </c>
      <c r="G8426" s="49" t="str">
        <f t="shared" si="1"/>
        <v>77140</v>
      </c>
      <c r="H8426" s="49">
        <f t="shared" si="2"/>
        <v>77333</v>
      </c>
    </row>
    <row r="8427">
      <c r="A8427" s="48" t="s">
        <v>5214</v>
      </c>
      <c r="B8427" s="38">
        <v>9204.0</v>
      </c>
      <c r="C8427" s="38" t="s">
        <v>12116</v>
      </c>
      <c r="D8427" s="38" t="str">
        <f>IFERROR(__xludf.DUMMYFUNCTION("REGEXREPLACE(C8427,""-\d+(.*)|--\d+(.*)"","""")"),"MONTESQUIEU-AVANTES")</f>
        <v>MONTESQUIEU-AVANTES</v>
      </c>
      <c r="E8427" s="38" t="s">
        <v>238</v>
      </c>
      <c r="F8427" s="38" t="s">
        <v>94</v>
      </c>
      <c r="G8427" s="49" t="str">
        <f t="shared" si="1"/>
        <v>09200</v>
      </c>
      <c r="H8427" s="49" t="str">
        <f t="shared" si="2"/>
        <v>09204</v>
      </c>
    </row>
    <row r="8428">
      <c r="A8428" s="48" t="s">
        <v>12117</v>
      </c>
      <c r="B8428" s="38">
        <v>38537.0</v>
      </c>
      <c r="C8428" s="38" t="s">
        <v>12118</v>
      </c>
      <c r="D8428" s="38" t="str">
        <f>IFERROR(__xludf.DUMMYFUNCTION("REGEXREPLACE(C8428,""-\d+(.*)|--\d+(.*)"","""")"),"LA VERPILLIERE")</f>
        <v>LA VERPILLIERE</v>
      </c>
      <c r="E8428" s="38" t="s">
        <v>101</v>
      </c>
      <c r="F8428" s="38" t="s">
        <v>102</v>
      </c>
      <c r="G8428" s="49" t="str">
        <f t="shared" si="1"/>
        <v>38290</v>
      </c>
      <c r="H8428" s="49">
        <f t="shared" si="2"/>
        <v>38537</v>
      </c>
    </row>
    <row r="8429">
      <c r="A8429" s="48" t="s">
        <v>3530</v>
      </c>
      <c r="B8429" s="38">
        <v>44028.0</v>
      </c>
      <c r="C8429" s="38" t="s">
        <v>12119</v>
      </c>
      <c r="D8429" s="38" t="str">
        <f>IFERROR(__xludf.DUMMYFUNCTION("REGEXREPLACE(C8429,""-\d+(.*)|--\d+(.*)"","""")"),"LE CELLIER")</f>
        <v>LE CELLIER</v>
      </c>
      <c r="E8429" s="38" t="s">
        <v>759</v>
      </c>
      <c r="F8429" s="38" t="s">
        <v>180</v>
      </c>
      <c r="G8429" s="49" t="str">
        <f t="shared" si="1"/>
        <v>44850</v>
      </c>
      <c r="H8429" s="49">
        <f t="shared" si="2"/>
        <v>44028</v>
      </c>
    </row>
    <row r="8430">
      <c r="A8430" s="48" t="s">
        <v>7037</v>
      </c>
      <c r="B8430" s="38">
        <v>34128.0</v>
      </c>
      <c r="C8430" s="38" t="s">
        <v>12120</v>
      </c>
      <c r="D8430" s="38" t="str">
        <f>IFERROR(__xludf.DUMMYFUNCTION("REGEXREPLACE(C8430,""-\d+(.*)|--\d+(.*)"","""")"),"LAROQUE")</f>
        <v>LAROQUE</v>
      </c>
      <c r="E8430" s="38" t="s">
        <v>118</v>
      </c>
      <c r="F8430" s="38" t="s">
        <v>119</v>
      </c>
      <c r="G8430" s="49" t="str">
        <f t="shared" si="1"/>
        <v>34190</v>
      </c>
      <c r="H8430" s="49">
        <f t="shared" si="2"/>
        <v>34128</v>
      </c>
    </row>
    <row r="8431">
      <c r="A8431" s="48" t="s">
        <v>6690</v>
      </c>
      <c r="B8431" s="38">
        <v>38431.0</v>
      </c>
      <c r="C8431" s="38" t="s">
        <v>12121</v>
      </c>
      <c r="D8431" s="38" t="str">
        <f>IFERROR(__xludf.DUMMYFUNCTION("REGEXREPLACE(C8431,""-\d+(.*)|--\d+(.*)"","""")"),"SAINT-NAZAIRE-LES-EYMES")</f>
        <v>SAINT-NAZAIRE-LES-EYMES</v>
      </c>
      <c r="E8431" s="38" t="s">
        <v>101</v>
      </c>
      <c r="F8431" s="38" t="s">
        <v>102</v>
      </c>
      <c r="G8431" s="49" t="str">
        <f t="shared" si="1"/>
        <v>38330</v>
      </c>
      <c r="H8431" s="49">
        <f t="shared" si="2"/>
        <v>38431</v>
      </c>
    </row>
    <row r="8432">
      <c r="A8432" s="48" t="s">
        <v>2532</v>
      </c>
      <c r="B8432" s="38">
        <v>51535.0</v>
      </c>
      <c r="C8432" s="38" t="s">
        <v>12122</v>
      </c>
      <c r="D8432" s="38" t="str">
        <f>IFERROR(__xludf.DUMMYFUNCTION("REGEXREPLACE(C8432,""-\d+(.*)|--\d+(.*)"","""")"),"SEZANNE")</f>
        <v>SEZANNE</v>
      </c>
      <c r="E8432" s="38" t="s">
        <v>129</v>
      </c>
      <c r="F8432" s="38" t="s">
        <v>130</v>
      </c>
      <c r="G8432" s="49" t="str">
        <f t="shared" si="1"/>
        <v>51120</v>
      </c>
      <c r="H8432" s="49">
        <f t="shared" si="2"/>
        <v>51535</v>
      </c>
    </row>
    <row r="8433">
      <c r="A8433" s="48" t="s">
        <v>4079</v>
      </c>
      <c r="B8433" s="38">
        <v>1017.0</v>
      </c>
      <c r="C8433" s="38" t="s">
        <v>12123</v>
      </c>
      <c r="D8433" s="38" t="str">
        <f>IFERROR(__xludf.DUMMYFUNCTION("REGEXREPLACE(C8433,""-\d+(.*)|--\d+(.*)"","""")"),"ARGIS")</f>
        <v>ARGIS</v>
      </c>
      <c r="E8433" s="38" t="s">
        <v>255</v>
      </c>
      <c r="F8433" s="38" t="s">
        <v>102</v>
      </c>
      <c r="G8433" s="49" t="str">
        <f t="shared" si="1"/>
        <v>01230</v>
      </c>
      <c r="H8433" s="49" t="str">
        <f t="shared" si="2"/>
        <v>01017</v>
      </c>
    </row>
    <row r="8434">
      <c r="A8434" s="48" t="s">
        <v>6078</v>
      </c>
      <c r="B8434" s="38">
        <v>10257.0</v>
      </c>
      <c r="C8434" s="38" t="s">
        <v>12124</v>
      </c>
      <c r="D8434" s="38" t="str">
        <f>IFERROR(__xludf.DUMMYFUNCTION("REGEXREPLACE(C8434,""-\d+(.*)|--\d+(.*)"","""")"),"MOREMBERT")</f>
        <v>MOREMBERT</v>
      </c>
      <c r="E8434" s="38" t="s">
        <v>147</v>
      </c>
      <c r="F8434" s="38" t="s">
        <v>130</v>
      </c>
      <c r="G8434" s="49" t="str">
        <f t="shared" si="1"/>
        <v>10240</v>
      </c>
      <c r="H8434" s="49">
        <f t="shared" si="2"/>
        <v>10257</v>
      </c>
    </row>
    <row r="8435">
      <c r="A8435" s="48" t="s">
        <v>2465</v>
      </c>
      <c r="B8435" s="38">
        <v>35329.0</v>
      </c>
      <c r="C8435" s="38" t="s">
        <v>12125</v>
      </c>
      <c r="D8435" s="38" t="str">
        <f>IFERROR(__xludf.DUMMYFUNCTION("REGEXREPLACE(C8435,""-\d+(.*)|--\d+(.*)"","""")"),"SOUGEAL")</f>
        <v>SOUGEAL</v>
      </c>
      <c r="E8435" s="38" t="s">
        <v>347</v>
      </c>
      <c r="F8435" s="38" t="s">
        <v>90</v>
      </c>
      <c r="G8435" s="49" t="str">
        <f t="shared" si="1"/>
        <v>35610</v>
      </c>
      <c r="H8435" s="49">
        <f t="shared" si="2"/>
        <v>35329</v>
      </c>
    </row>
    <row r="8436">
      <c r="A8436" s="48" t="s">
        <v>2681</v>
      </c>
      <c r="B8436" s="38">
        <v>67081.0</v>
      </c>
      <c r="C8436" s="38" t="s">
        <v>12126</v>
      </c>
      <c r="D8436" s="38" t="str">
        <f>IFERROR(__xludf.DUMMYFUNCTION("REGEXREPLACE(C8436,""-\d+(.*)|--\d+(.*)"","""")"),"DAHLENHEIM")</f>
        <v>DAHLENHEIM</v>
      </c>
      <c r="E8436" s="38" t="s">
        <v>210</v>
      </c>
      <c r="F8436" s="38" t="s">
        <v>151</v>
      </c>
      <c r="G8436" s="49" t="str">
        <f t="shared" si="1"/>
        <v>67310</v>
      </c>
      <c r="H8436" s="49">
        <f t="shared" si="2"/>
        <v>67081</v>
      </c>
    </row>
    <row r="8437">
      <c r="A8437" s="48" t="s">
        <v>12127</v>
      </c>
      <c r="B8437" s="38">
        <v>7307.0</v>
      </c>
      <c r="C8437" s="38" t="s">
        <v>12128</v>
      </c>
      <c r="D8437" s="38" t="str">
        <f>IFERROR(__xludf.DUMMYFUNCTION("REGEXREPLACE(C8437,""-\d+(.*)|--\d+(.*)"","""")"),"SANILHAC")</f>
        <v>SANILHAC</v>
      </c>
      <c r="E8437" s="38" t="s">
        <v>144</v>
      </c>
      <c r="F8437" s="38" t="s">
        <v>102</v>
      </c>
      <c r="G8437" s="49" t="str">
        <f t="shared" si="1"/>
        <v>07110</v>
      </c>
      <c r="H8437" s="49" t="str">
        <f t="shared" si="2"/>
        <v>07307</v>
      </c>
    </row>
    <row r="8438">
      <c r="A8438" s="48" t="s">
        <v>1756</v>
      </c>
      <c r="B8438" s="38">
        <v>28320.0</v>
      </c>
      <c r="C8438" s="38" t="s">
        <v>12129</v>
      </c>
      <c r="D8438" s="38" t="str">
        <f>IFERROR(__xludf.DUMMYFUNCTION("REGEXREPLACE(C8438,""-\d+(.*)|--\d+(.*)"","""")"),"ROUVRAY-SAINT-FLORENTIN")</f>
        <v>ROUVRAY-SAINT-FLORENTIN</v>
      </c>
      <c r="E8438" s="38" t="s">
        <v>300</v>
      </c>
      <c r="F8438" s="38" t="s">
        <v>123</v>
      </c>
      <c r="G8438" s="49" t="str">
        <f t="shared" si="1"/>
        <v>28150</v>
      </c>
      <c r="H8438" s="49">
        <f t="shared" si="2"/>
        <v>28320</v>
      </c>
    </row>
    <row r="8439">
      <c r="A8439" s="48" t="s">
        <v>4969</v>
      </c>
      <c r="B8439" s="38">
        <v>14475.0</v>
      </c>
      <c r="C8439" s="38" t="s">
        <v>12130</v>
      </c>
      <c r="D8439" s="38" t="str">
        <f>IFERROR(__xludf.DUMMYFUNCTION("REGEXREPLACE(C8439,""-\d+(.*)|--\d+(.*)"","""")"),"NOYERS-BOCAGE")</f>
        <v>NOYERS-BOCAGE</v>
      </c>
      <c r="E8439" s="38" t="s">
        <v>137</v>
      </c>
      <c r="F8439" s="38" t="s">
        <v>138</v>
      </c>
      <c r="G8439" s="49" t="str">
        <f t="shared" si="1"/>
        <v>14210</v>
      </c>
      <c r="H8439" s="49">
        <f t="shared" si="2"/>
        <v>14475</v>
      </c>
    </row>
    <row r="8440">
      <c r="A8440" s="48" t="s">
        <v>7858</v>
      </c>
      <c r="B8440" s="38">
        <v>47277.0</v>
      </c>
      <c r="C8440" s="38" t="s">
        <v>12131</v>
      </c>
      <c r="D8440" s="38" t="str">
        <f>IFERROR(__xludf.DUMMYFUNCTION("REGEXREPLACE(C8440,""-\d+(.*)|--\d+(.*)"","""")"),"SAINT-SAUVEUR-DE-MEILHAN")</f>
        <v>SAINT-SAUVEUR-DE-MEILHAN</v>
      </c>
      <c r="E8440" s="38" t="s">
        <v>251</v>
      </c>
      <c r="F8440" s="38" t="s">
        <v>252</v>
      </c>
      <c r="G8440" s="49" t="str">
        <f t="shared" si="1"/>
        <v>47180</v>
      </c>
      <c r="H8440" s="49">
        <f t="shared" si="2"/>
        <v>47277</v>
      </c>
    </row>
    <row r="8441">
      <c r="A8441" s="48" t="s">
        <v>12132</v>
      </c>
      <c r="B8441" s="38">
        <v>33065.0</v>
      </c>
      <c r="C8441" s="38" t="s">
        <v>12133</v>
      </c>
      <c r="D8441" s="38" t="str">
        <f>IFERROR(__xludf.DUMMYFUNCTION("REGEXREPLACE(C8441,""-\d+(.*)|--\d+(.*)"","""")"),"BOULIAC")</f>
        <v>BOULIAC</v>
      </c>
      <c r="E8441" s="38" t="s">
        <v>462</v>
      </c>
      <c r="F8441" s="38" t="s">
        <v>252</v>
      </c>
      <c r="G8441" s="49" t="str">
        <f t="shared" si="1"/>
        <v>33270</v>
      </c>
      <c r="H8441" s="49">
        <f t="shared" si="2"/>
        <v>33065</v>
      </c>
    </row>
    <row r="8442">
      <c r="A8442" s="48" t="s">
        <v>1947</v>
      </c>
      <c r="B8442" s="38">
        <v>52227.0</v>
      </c>
      <c r="C8442" s="38" t="s">
        <v>12134</v>
      </c>
      <c r="D8442" s="38" t="str">
        <f>IFERROR(__xludf.DUMMYFUNCTION("REGEXREPLACE(C8442,""-\d+(.*)|--\d+(.*)"","""")"),"GRAFFIGNY-CHEMIN")</f>
        <v>GRAFFIGNY-CHEMIN</v>
      </c>
      <c r="E8442" s="38" t="s">
        <v>234</v>
      </c>
      <c r="F8442" s="38" t="s">
        <v>130</v>
      </c>
      <c r="G8442" s="49" t="str">
        <f t="shared" si="1"/>
        <v>52150</v>
      </c>
      <c r="H8442" s="49">
        <f t="shared" si="2"/>
        <v>52227</v>
      </c>
    </row>
    <row r="8443">
      <c r="A8443" s="48" t="s">
        <v>1968</v>
      </c>
      <c r="B8443" s="38">
        <v>52414.0</v>
      </c>
      <c r="C8443" s="38" t="s">
        <v>12135</v>
      </c>
      <c r="D8443" s="38" t="str">
        <f>IFERROR(__xludf.DUMMYFUNCTION("REGEXREPLACE(C8443,""-\d+(.*)|--\d+(.*)"","""")"),"RACHECOURT-SUR-MARNE")</f>
        <v>RACHECOURT-SUR-MARNE</v>
      </c>
      <c r="E8443" s="38" t="s">
        <v>234</v>
      </c>
      <c r="F8443" s="38" t="s">
        <v>130</v>
      </c>
      <c r="G8443" s="49" t="str">
        <f t="shared" si="1"/>
        <v>52170</v>
      </c>
      <c r="H8443" s="49">
        <f t="shared" si="2"/>
        <v>52414</v>
      </c>
    </row>
    <row r="8444">
      <c r="A8444" s="48" t="s">
        <v>12136</v>
      </c>
      <c r="B8444" s="38">
        <v>3316.0</v>
      </c>
      <c r="C8444" s="38" t="s">
        <v>12137</v>
      </c>
      <c r="D8444" s="38" t="str">
        <f>IFERROR(__xludf.DUMMYFUNCTION("REGEXREPLACE(C8444,""-\d+(.*)|--\d+(.*)"","""")"),"VILLENEUVE-SUR-ALLIER")</f>
        <v>VILLENEUVE-SUR-ALLIER</v>
      </c>
      <c r="E8444" s="38" t="s">
        <v>160</v>
      </c>
      <c r="F8444" s="38" t="s">
        <v>161</v>
      </c>
      <c r="G8444" s="49" t="str">
        <f t="shared" si="1"/>
        <v>03460</v>
      </c>
      <c r="H8444" s="49" t="str">
        <f t="shared" si="2"/>
        <v>03316</v>
      </c>
    </row>
    <row r="8445">
      <c r="A8445" s="48" t="s">
        <v>5103</v>
      </c>
      <c r="B8445" s="38">
        <v>37030.0</v>
      </c>
      <c r="C8445" s="38" t="s">
        <v>12138</v>
      </c>
      <c r="D8445" s="38" t="str">
        <f>IFERROR(__xludf.DUMMYFUNCTION("REGEXREPLACE(C8445,""-\d+(.*)|--\d+(.*)"","""")"),"LE BOULAY")</f>
        <v>LE BOULAY</v>
      </c>
      <c r="E8445" s="38" t="s">
        <v>205</v>
      </c>
      <c r="F8445" s="38" t="s">
        <v>123</v>
      </c>
      <c r="G8445" s="49" t="str">
        <f t="shared" si="1"/>
        <v>37110</v>
      </c>
      <c r="H8445" s="49">
        <f t="shared" si="2"/>
        <v>37030</v>
      </c>
    </row>
    <row r="8446">
      <c r="A8446" s="48" t="s">
        <v>12139</v>
      </c>
      <c r="B8446" s="38">
        <v>67443.0</v>
      </c>
      <c r="C8446" s="38" t="s">
        <v>12140</v>
      </c>
      <c r="D8446" s="38" t="str">
        <f>IFERROR(__xludf.DUMMYFUNCTION("REGEXREPLACE(C8446,""-\d+(.*)|--\d+(.*)"","""")"),"SCHEIBENHARD")</f>
        <v>SCHEIBENHARD</v>
      </c>
      <c r="E8446" s="38" t="s">
        <v>210</v>
      </c>
      <c r="F8446" s="38" t="s">
        <v>151</v>
      </c>
      <c r="G8446" s="49" t="str">
        <f t="shared" si="1"/>
        <v>67630</v>
      </c>
      <c r="H8446" s="49">
        <f t="shared" si="2"/>
        <v>67443</v>
      </c>
    </row>
    <row r="8447">
      <c r="A8447" s="48" t="s">
        <v>507</v>
      </c>
      <c r="B8447" s="38">
        <v>8374.0</v>
      </c>
      <c r="C8447" s="38" t="s">
        <v>12141</v>
      </c>
      <c r="D8447" s="38" t="str">
        <f>IFERROR(__xludf.DUMMYFUNCTION("REGEXREPLACE(C8447,""-\d+(.*)|--\d+(.*)"","""")"),"LA SABOTTERIE")</f>
        <v>LA SABOTTERIE</v>
      </c>
      <c r="E8447" s="38" t="s">
        <v>327</v>
      </c>
      <c r="F8447" s="38" t="s">
        <v>130</v>
      </c>
      <c r="G8447" s="49" t="str">
        <f t="shared" si="1"/>
        <v>08130</v>
      </c>
      <c r="H8447" s="49" t="str">
        <f t="shared" si="2"/>
        <v>08374</v>
      </c>
    </row>
    <row r="8448">
      <c r="A8448" s="48" t="s">
        <v>7657</v>
      </c>
      <c r="B8448" s="38">
        <v>80445.0</v>
      </c>
      <c r="C8448" s="38" t="s">
        <v>12142</v>
      </c>
      <c r="D8448" s="38" t="str">
        <f>IFERROR(__xludf.DUMMYFUNCTION("REGEXREPLACE(C8448,""-\d+(.*)|--\d+(.*)"","""")"),"HUMBERCOURT")</f>
        <v>HUMBERCOURT</v>
      </c>
      <c r="E8448" s="38" t="s">
        <v>224</v>
      </c>
      <c r="F8448" s="38" t="s">
        <v>113</v>
      </c>
      <c r="G8448" s="49" t="str">
        <f t="shared" si="1"/>
        <v>80600</v>
      </c>
      <c r="H8448" s="49">
        <f t="shared" si="2"/>
        <v>80445</v>
      </c>
    </row>
    <row r="8449">
      <c r="A8449" s="48" t="s">
        <v>4561</v>
      </c>
      <c r="B8449" s="38">
        <v>79057.0</v>
      </c>
      <c r="C8449" s="38" t="s">
        <v>12143</v>
      </c>
      <c r="D8449" s="38" t="str">
        <f>IFERROR(__xludf.DUMMYFUNCTION("REGEXREPLACE(C8449,""-\d+(.*)|--\d+(.*)"","""")"),"BRIOUX-SUR-BOUTONNE")</f>
        <v>BRIOUX-SUR-BOUTONNE</v>
      </c>
      <c r="E8449" s="38" t="s">
        <v>337</v>
      </c>
      <c r="F8449" s="38" t="s">
        <v>338</v>
      </c>
      <c r="G8449" s="49" t="str">
        <f t="shared" si="1"/>
        <v>79170</v>
      </c>
      <c r="H8449" s="49">
        <f t="shared" si="2"/>
        <v>79057</v>
      </c>
    </row>
    <row r="8450">
      <c r="A8450" s="48" t="s">
        <v>8235</v>
      </c>
      <c r="B8450" s="38">
        <v>48134.0</v>
      </c>
      <c r="C8450" s="38" t="s">
        <v>12144</v>
      </c>
      <c r="D8450" s="38" t="str">
        <f>IFERROR(__xludf.DUMMYFUNCTION("REGEXREPLACE(C8450,""-\d+(.*)|--\d+(.*)"","""")"),"SAINT-ANDEOL-DE-CLERGUEMORT")</f>
        <v>SAINT-ANDEOL-DE-CLERGUEMORT</v>
      </c>
      <c r="E8450" s="38" t="s">
        <v>154</v>
      </c>
      <c r="F8450" s="38" t="s">
        <v>119</v>
      </c>
      <c r="G8450" s="49" t="str">
        <f t="shared" si="1"/>
        <v>48160</v>
      </c>
      <c r="H8450" s="49">
        <f t="shared" si="2"/>
        <v>48134</v>
      </c>
    </row>
    <row r="8451">
      <c r="A8451" s="48" t="s">
        <v>3570</v>
      </c>
      <c r="B8451" s="38">
        <v>76744.0</v>
      </c>
      <c r="C8451" s="38" t="s">
        <v>12145</v>
      </c>
      <c r="D8451" s="38" t="str">
        <f>IFERROR(__xludf.DUMMYFUNCTION("REGEXREPLACE(C8451,""-\d+(.*)|--\d+(.*)"","""")"),"VILLERS-SOUS-FOUCARMONT")</f>
        <v>VILLERS-SOUS-FOUCARMONT</v>
      </c>
      <c r="E8451" s="38" t="s">
        <v>133</v>
      </c>
      <c r="F8451" s="38" t="s">
        <v>134</v>
      </c>
      <c r="G8451" s="49" t="str">
        <f t="shared" si="1"/>
        <v>76340</v>
      </c>
      <c r="H8451" s="49">
        <f t="shared" si="2"/>
        <v>76744</v>
      </c>
    </row>
    <row r="8452">
      <c r="A8452" s="48" t="s">
        <v>4838</v>
      </c>
      <c r="B8452" s="38">
        <v>17054.0</v>
      </c>
      <c r="C8452" s="38" t="s">
        <v>12146</v>
      </c>
      <c r="D8452" s="38" t="str">
        <f>IFERROR(__xludf.DUMMYFUNCTION("REGEXREPLACE(C8452,""-\d+(.*)|--\d+(.*)"","""")"),"BORESSE-ET-MARTRON")</f>
        <v>BORESSE-ET-MARTRON</v>
      </c>
      <c r="E8452" s="38" t="s">
        <v>488</v>
      </c>
      <c r="F8452" s="38" t="s">
        <v>338</v>
      </c>
      <c r="G8452" s="49" t="str">
        <f t="shared" si="1"/>
        <v>17270</v>
      </c>
      <c r="H8452" s="49">
        <f t="shared" si="2"/>
        <v>17054</v>
      </c>
    </row>
    <row r="8453">
      <c r="A8453" s="48" t="s">
        <v>10463</v>
      </c>
      <c r="B8453" s="38">
        <v>50569.0</v>
      </c>
      <c r="C8453" s="38" t="s">
        <v>12147</v>
      </c>
      <c r="D8453" s="38" t="str">
        <f>IFERROR(__xludf.DUMMYFUNCTION("REGEXREPLACE(C8453,""-\d+(.*)|--\d+(.*)"","""")"),"SAVIGNY")</f>
        <v>SAVIGNY</v>
      </c>
      <c r="E8453" s="38" t="s">
        <v>157</v>
      </c>
      <c r="F8453" s="38" t="s">
        <v>138</v>
      </c>
      <c r="G8453" s="49" t="str">
        <f t="shared" si="1"/>
        <v>50210</v>
      </c>
      <c r="H8453" s="49">
        <f t="shared" si="2"/>
        <v>50569</v>
      </c>
    </row>
    <row r="8454">
      <c r="A8454" s="48" t="s">
        <v>3920</v>
      </c>
      <c r="B8454" s="38">
        <v>50298.0</v>
      </c>
      <c r="C8454" s="38" t="s">
        <v>12148</v>
      </c>
      <c r="D8454" s="38" t="str">
        <f>IFERROR(__xludf.DUMMYFUNCTION("REGEXREPLACE(C8454,""-\d+(.*)|--\d+(.*)"","""")"),"MEAUTIS")</f>
        <v>MEAUTIS</v>
      </c>
      <c r="E8454" s="38" t="s">
        <v>157</v>
      </c>
      <c r="F8454" s="38" t="s">
        <v>138</v>
      </c>
      <c r="G8454" s="49" t="str">
        <f t="shared" si="1"/>
        <v>50500</v>
      </c>
      <c r="H8454" s="49">
        <f t="shared" si="2"/>
        <v>50298</v>
      </c>
    </row>
    <row r="8455">
      <c r="A8455" s="48" t="s">
        <v>5125</v>
      </c>
      <c r="B8455" s="38">
        <v>49062.0</v>
      </c>
      <c r="C8455" s="38" t="s">
        <v>12149</v>
      </c>
      <c r="D8455" s="38" t="str">
        <f>IFERROR(__xludf.DUMMYFUNCTION("REGEXREPLACE(C8455,""-\d+(.*)|--\d+(.*)"","""")"),"CHALONNES-SOUS-LE-LUDE")</f>
        <v>CHALONNES-SOUS-LE-LUDE</v>
      </c>
      <c r="E8455" s="38" t="s">
        <v>653</v>
      </c>
      <c r="F8455" s="38" t="s">
        <v>180</v>
      </c>
      <c r="G8455" s="49" t="str">
        <f t="shared" si="1"/>
        <v>49490</v>
      </c>
      <c r="H8455" s="49">
        <f t="shared" si="2"/>
        <v>49062</v>
      </c>
    </row>
    <row r="8456">
      <c r="A8456" s="48" t="s">
        <v>5212</v>
      </c>
      <c r="B8456" s="38">
        <v>41215.0</v>
      </c>
      <c r="C8456" s="38" t="s">
        <v>12150</v>
      </c>
      <c r="D8456" s="38" t="str">
        <f>IFERROR(__xludf.DUMMYFUNCTION("REGEXREPLACE(C8456,""-\d+(.*)|--\d+(.*)"","""")"),"SAINT-JACQUES-DES-GUERETS")</f>
        <v>SAINT-JACQUES-DES-GUERETS</v>
      </c>
      <c r="E8456" s="38" t="s">
        <v>188</v>
      </c>
      <c r="F8456" s="38" t="s">
        <v>123</v>
      </c>
      <c r="G8456" s="49" t="str">
        <f t="shared" si="1"/>
        <v>41800</v>
      </c>
      <c r="H8456" s="49">
        <f t="shared" si="2"/>
        <v>41215</v>
      </c>
    </row>
    <row r="8457">
      <c r="A8457" s="48" t="s">
        <v>3502</v>
      </c>
      <c r="B8457" s="38">
        <v>22018.0</v>
      </c>
      <c r="C8457" s="38" t="s">
        <v>12151</v>
      </c>
      <c r="D8457" s="38" t="str">
        <f>IFERROR(__xludf.DUMMYFUNCTION("REGEXREPLACE(C8457,""-\d+(.*)|--\d+(.*)"","""")"),"BRELIDY")</f>
        <v>BRELIDY</v>
      </c>
      <c r="E8457" s="38" t="s">
        <v>89</v>
      </c>
      <c r="F8457" s="38" t="s">
        <v>90</v>
      </c>
      <c r="G8457" s="49" t="str">
        <f t="shared" si="1"/>
        <v>22140</v>
      </c>
      <c r="H8457" s="49">
        <f t="shared" si="2"/>
        <v>22018</v>
      </c>
    </row>
    <row r="8458">
      <c r="A8458" s="48" t="s">
        <v>9850</v>
      </c>
      <c r="B8458" s="38">
        <v>67190.0</v>
      </c>
      <c r="C8458" s="38" t="s">
        <v>12152</v>
      </c>
      <c r="D8458" s="38" t="str">
        <f>IFERROR(__xludf.DUMMYFUNCTION("REGEXREPLACE(C8458,""-\d+(.*)|--\d+(.*)"","""")"),"HENGWILLER")</f>
        <v>HENGWILLER</v>
      </c>
      <c r="E8458" s="38" t="s">
        <v>210</v>
      </c>
      <c r="F8458" s="38" t="s">
        <v>151</v>
      </c>
      <c r="G8458" s="49" t="str">
        <f t="shared" si="1"/>
        <v>67440</v>
      </c>
      <c r="H8458" s="49">
        <f t="shared" si="2"/>
        <v>67190</v>
      </c>
    </row>
    <row r="8459">
      <c r="A8459" s="48" t="s">
        <v>5020</v>
      </c>
      <c r="B8459" s="38">
        <v>51579.0</v>
      </c>
      <c r="C8459" s="38" t="s">
        <v>12153</v>
      </c>
      <c r="D8459" s="38" t="str">
        <f>IFERROR(__xludf.DUMMYFUNCTION("REGEXREPLACE(C8459,""-\d+(.*)|--\d+(.*)"","""")"),"TREFOLS")</f>
        <v>TREFOLS</v>
      </c>
      <c r="E8459" s="38" t="s">
        <v>129</v>
      </c>
      <c r="F8459" s="38" t="s">
        <v>130</v>
      </c>
      <c r="G8459" s="49" t="str">
        <f t="shared" si="1"/>
        <v>51210</v>
      </c>
      <c r="H8459" s="49">
        <f t="shared" si="2"/>
        <v>51579</v>
      </c>
    </row>
    <row r="8460">
      <c r="A8460" s="48" t="s">
        <v>282</v>
      </c>
      <c r="B8460" s="38">
        <v>46118.0</v>
      </c>
      <c r="C8460" s="38" t="s">
        <v>3338</v>
      </c>
      <c r="D8460" s="38" t="str">
        <f>IFERROR(__xludf.DUMMYFUNCTION("REGEXREPLACE(C8460,""-\d+(.*)|--\d+(.*)"","""")"),"GIGNAC")</f>
        <v>GIGNAC</v>
      </c>
      <c r="E8460" s="38" t="s">
        <v>185</v>
      </c>
      <c r="F8460" s="38" t="s">
        <v>94</v>
      </c>
      <c r="G8460" s="49" t="str">
        <f t="shared" si="1"/>
        <v>46600</v>
      </c>
      <c r="H8460" s="49">
        <f t="shared" si="2"/>
        <v>46118</v>
      </c>
    </row>
    <row r="8461">
      <c r="A8461" s="48" t="s">
        <v>12154</v>
      </c>
      <c r="B8461" s="38">
        <v>95074.0</v>
      </c>
      <c r="C8461" s="38" t="s">
        <v>9195</v>
      </c>
      <c r="D8461" s="38" t="str">
        <f>IFERROR(__xludf.DUMMYFUNCTION("REGEXREPLACE(C8461,""-\d+(.*)|--\d+(.*)"","""")"),"BOISEMONT")</f>
        <v>BOISEMONT</v>
      </c>
      <c r="E8461" s="38" t="s">
        <v>541</v>
      </c>
      <c r="F8461" s="38" t="s">
        <v>245</v>
      </c>
      <c r="G8461" s="49" t="str">
        <f t="shared" si="1"/>
        <v>95000</v>
      </c>
      <c r="H8461" s="49">
        <f t="shared" si="2"/>
        <v>95074</v>
      </c>
    </row>
    <row r="8462">
      <c r="A8462" s="48" t="s">
        <v>10052</v>
      </c>
      <c r="B8462" s="38">
        <v>39113.0</v>
      </c>
      <c r="C8462" s="38" t="s">
        <v>12155</v>
      </c>
      <c r="D8462" s="38" t="str">
        <f>IFERROR(__xludf.DUMMYFUNCTION("REGEXREPLACE(C8462,""-\d+(.*)|--\d+(.*)"","""")"),"CHASSAL")</f>
        <v>CHASSAL</v>
      </c>
      <c r="E8462" s="38" t="s">
        <v>400</v>
      </c>
      <c r="F8462" s="38" t="s">
        <v>214</v>
      </c>
      <c r="G8462" s="49" t="str">
        <f t="shared" si="1"/>
        <v>39360</v>
      </c>
      <c r="H8462" s="49">
        <f t="shared" si="2"/>
        <v>39113</v>
      </c>
    </row>
    <row r="8463">
      <c r="A8463" s="48" t="s">
        <v>1435</v>
      </c>
      <c r="B8463" s="38">
        <v>14601.0</v>
      </c>
      <c r="C8463" s="38" t="s">
        <v>12156</v>
      </c>
      <c r="D8463" s="38" t="str">
        <f>IFERROR(__xludf.DUMMYFUNCTION("REGEXREPLACE(C8463,""-\d+(.*)|--\d+(.*)"","""")"),"SAINT-JULIEN-SUR-CALONNE")</f>
        <v>SAINT-JULIEN-SUR-CALONNE</v>
      </c>
      <c r="E8463" s="38" t="s">
        <v>137</v>
      </c>
      <c r="F8463" s="38" t="s">
        <v>138</v>
      </c>
      <c r="G8463" s="49" t="str">
        <f t="shared" si="1"/>
        <v>14130</v>
      </c>
      <c r="H8463" s="49">
        <f t="shared" si="2"/>
        <v>14601</v>
      </c>
    </row>
    <row r="8464">
      <c r="A8464" s="48" t="s">
        <v>12157</v>
      </c>
      <c r="B8464" s="38">
        <v>80718.0</v>
      </c>
      <c r="C8464" s="38" t="s">
        <v>4403</v>
      </c>
      <c r="D8464" s="38" t="str">
        <f>IFERROR(__xludf.DUMMYFUNCTION("REGEXREPLACE(C8464,""-\d+(.*)|--\d+(.*)"","""")"),"SAINT-SAUVEUR")</f>
        <v>SAINT-SAUVEUR</v>
      </c>
      <c r="E8464" s="38" t="s">
        <v>224</v>
      </c>
      <c r="F8464" s="38" t="s">
        <v>113</v>
      </c>
      <c r="G8464" s="49" t="str">
        <f t="shared" si="1"/>
        <v>80470</v>
      </c>
      <c r="H8464" s="49">
        <f t="shared" si="2"/>
        <v>80718</v>
      </c>
    </row>
    <row r="8465">
      <c r="A8465" s="48" t="s">
        <v>4217</v>
      </c>
      <c r="B8465" s="38">
        <v>7167.0</v>
      </c>
      <c r="C8465" s="38" t="s">
        <v>12158</v>
      </c>
      <c r="D8465" s="38" t="str">
        <f>IFERROR(__xludf.DUMMYFUNCTION("REGEXREPLACE(C8465,""-\d+(.*)|--\d+(.*)"","""")"),"LES OLLIERES-SUR-EYRIEUX")</f>
        <v>LES OLLIERES-SUR-EYRIEUX</v>
      </c>
      <c r="E8465" s="38" t="s">
        <v>144</v>
      </c>
      <c r="F8465" s="38" t="s">
        <v>102</v>
      </c>
      <c r="G8465" s="49" t="str">
        <f t="shared" si="1"/>
        <v>07360</v>
      </c>
      <c r="H8465" s="49" t="str">
        <f t="shared" si="2"/>
        <v>07167</v>
      </c>
    </row>
    <row r="8466">
      <c r="A8466" s="48" t="s">
        <v>12159</v>
      </c>
      <c r="B8466" s="38" t="s">
        <v>12160</v>
      </c>
      <c r="C8466" s="38" t="s">
        <v>12161</v>
      </c>
      <c r="D8466" s="38" t="str">
        <f>IFERROR(__xludf.DUMMYFUNCTION("REGEXREPLACE(C8466,""-\d+(.*)|--\d+(.*)"","""")"),"SOVERIA")</f>
        <v>SOVERIA</v>
      </c>
      <c r="E8466" s="38" t="s">
        <v>743</v>
      </c>
      <c r="F8466" s="38" t="s">
        <v>607</v>
      </c>
      <c r="G8466" s="49" t="str">
        <f t="shared" si="1"/>
        <v>20250</v>
      </c>
      <c r="H8466" s="49" t="str">
        <f t="shared" si="2"/>
        <v>2B289</v>
      </c>
    </row>
    <row r="8467">
      <c r="A8467" s="48" t="s">
        <v>5146</v>
      </c>
      <c r="B8467" s="38">
        <v>85204.0</v>
      </c>
      <c r="C8467" s="38" t="s">
        <v>12162</v>
      </c>
      <c r="D8467" s="38" t="str">
        <f>IFERROR(__xludf.DUMMYFUNCTION("REGEXREPLACE(C8467,""-\d+(.*)|--\d+(.*)"","""")"),"SAINT-CHRISTOPHE-DU-LIGNERON")</f>
        <v>SAINT-CHRISTOPHE-DU-LIGNERON</v>
      </c>
      <c r="E8467" s="38" t="s">
        <v>179</v>
      </c>
      <c r="F8467" s="38" t="s">
        <v>180</v>
      </c>
      <c r="G8467" s="49" t="str">
        <f t="shared" si="1"/>
        <v>85670</v>
      </c>
      <c r="H8467" s="49">
        <f t="shared" si="2"/>
        <v>85204</v>
      </c>
    </row>
    <row r="8468">
      <c r="A8468" s="48" t="s">
        <v>12163</v>
      </c>
      <c r="B8468" s="38">
        <v>2159.0</v>
      </c>
      <c r="C8468" s="38" t="s">
        <v>12164</v>
      </c>
      <c r="D8468" s="38" t="str">
        <f>IFERROR(__xludf.DUMMYFUNCTION("REGEXREPLACE(C8468,""-\d+(.*)|--\d+(.*)"","""")"),"CHAMPS")</f>
        <v>CHAMPS</v>
      </c>
      <c r="E8468" s="38" t="s">
        <v>191</v>
      </c>
      <c r="F8468" s="38" t="s">
        <v>113</v>
      </c>
      <c r="G8468" s="49" t="str">
        <f t="shared" si="1"/>
        <v>02670</v>
      </c>
      <c r="H8468" s="49" t="str">
        <f t="shared" si="2"/>
        <v>02159</v>
      </c>
    </row>
    <row r="8469">
      <c r="A8469" s="48" t="s">
        <v>6451</v>
      </c>
      <c r="B8469" s="38">
        <v>68164.0</v>
      </c>
      <c r="C8469" s="38" t="s">
        <v>12165</v>
      </c>
      <c r="D8469" s="38" t="str">
        <f>IFERROR(__xludf.DUMMYFUNCTION("REGEXREPLACE(C8469,""-\d+(.*)|--\d+(.*)"","""")"),"KIENTZHEIM")</f>
        <v>KIENTZHEIM</v>
      </c>
      <c r="E8469" s="38" t="s">
        <v>150</v>
      </c>
      <c r="F8469" s="38" t="s">
        <v>151</v>
      </c>
      <c r="G8469" s="49" t="str">
        <f t="shared" si="1"/>
        <v>68240</v>
      </c>
      <c r="H8469" s="49">
        <f t="shared" si="2"/>
        <v>68164</v>
      </c>
    </row>
    <row r="8470">
      <c r="A8470" s="48" t="s">
        <v>12166</v>
      </c>
      <c r="B8470" s="38">
        <v>22080.0</v>
      </c>
      <c r="C8470" s="38" t="s">
        <v>12167</v>
      </c>
      <c r="D8470" s="38" t="str">
        <f>IFERROR(__xludf.DUMMYFUNCTION("REGEXREPLACE(C8470,""-\d+(.*)|--\d+(.*)"","""")"),"L'HERMITAGE-LORGE")</f>
        <v>L'HERMITAGE-LORGE</v>
      </c>
      <c r="E8470" s="38" t="s">
        <v>89</v>
      </c>
      <c r="F8470" s="38" t="s">
        <v>90</v>
      </c>
      <c r="G8470" s="49" t="str">
        <f t="shared" si="1"/>
        <v>22150</v>
      </c>
      <c r="H8470" s="49">
        <f t="shared" si="2"/>
        <v>22080</v>
      </c>
    </row>
    <row r="8471">
      <c r="A8471" s="48" t="s">
        <v>522</v>
      </c>
      <c r="B8471" s="38">
        <v>39015.0</v>
      </c>
      <c r="C8471" s="38" t="s">
        <v>12168</v>
      </c>
      <c r="D8471" s="38" t="str">
        <f>IFERROR(__xludf.DUMMYFUNCTION("REGEXREPLACE(C8471,""-\d+(.*)|--\d+(.*)"","""")"),"ARDON")</f>
        <v>ARDON</v>
      </c>
      <c r="E8471" s="38" t="s">
        <v>400</v>
      </c>
      <c r="F8471" s="38" t="s">
        <v>214</v>
      </c>
      <c r="G8471" s="49" t="str">
        <f t="shared" si="1"/>
        <v>39300</v>
      </c>
      <c r="H8471" s="49">
        <f t="shared" si="2"/>
        <v>39015</v>
      </c>
    </row>
    <row r="8472">
      <c r="A8472" s="48" t="s">
        <v>3190</v>
      </c>
      <c r="B8472" s="38">
        <v>70520.0</v>
      </c>
      <c r="C8472" s="38" t="s">
        <v>12169</v>
      </c>
      <c r="D8472" s="38" t="str">
        <f>IFERROR(__xludf.DUMMYFUNCTION("REGEXREPLACE(C8472,""-\d+(.*)|--\d+(.*)"","""")"),"VANNE")</f>
        <v>VANNE</v>
      </c>
      <c r="E8472" s="38" t="s">
        <v>956</v>
      </c>
      <c r="F8472" s="38" t="s">
        <v>214</v>
      </c>
      <c r="G8472" s="49" t="str">
        <f t="shared" si="1"/>
        <v>70130</v>
      </c>
      <c r="H8472" s="49">
        <f t="shared" si="2"/>
        <v>70520</v>
      </c>
    </row>
    <row r="8473">
      <c r="A8473" s="48" t="s">
        <v>3172</v>
      </c>
      <c r="B8473" s="38">
        <v>28065.0</v>
      </c>
      <c r="C8473" s="38" t="s">
        <v>12170</v>
      </c>
      <c r="D8473" s="38" t="str">
        <f>IFERROR(__xludf.DUMMYFUNCTION("REGEXREPLACE(C8473,""-\d+(.*)|--\d+(.*)"","""")"),"BULLAINVILLE")</f>
        <v>BULLAINVILLE</v>
      </c>
      <c r="E8473" s="38" t="s">
        <v>300</v>
      </c>
      <c r="F8473" s="38" t="s">
        <v>123</v>
      </c>
      <c r="G8473" s="49" t="str">
        <f t="shared" si="1"/>
        <v>28800</v>
      </c>
      <c r="H8473" s="49">
        <f t="shared" si="2"/>
        <v>28065</v>
      </c>
    </row>
    <row r="8474">
      <c r="A8474" s="48" t="s">
        <v>4779</v>
      </c>
      <c r="B8474" s="38">
        <v>28007.0</v>
      </c>
      <c r="C8474" s="38" t="s">
        <v>12171</v>
      </c>
      <c r="D8474" s="38" t="str">
        <f>IFERROR(__xludf.DUMMYFUNCTION("REGEXREPLACE(C8474,""-\d+(.*)|--\d+(.*)"","""")"),"ANET")</f>
        <v>ANET</v>
      </c>
      <c r="E8474" s="38" t="s">
        <v>300</v>
      </c>
      <c r="F8474" s="38" t="s">
        <v>123</v>
      </c>
      <c r="G8474" s="49" t="str">
        <f t="shared" si="1"/>
        <v>28260</v>
      </c>
      <c r="H8474" s="49">
        <f t="shared" si="2"/>
        <v>28007</v>
      </c>
    </row>
    <row r="8475">
      <c r="A8475" s="48" t="s">
        <v>456</v>
      </c>
      <c r="B8475" s="38">
        <v>63321.0</v>
      </c>
      <c r="C8475" s="38" t="s">
        <v>12172</v>
      </c>
      <c r="D8475" s="38" t="str">
        <f>IFERROR(__xludf.DUMMYFUNCTION("REGEXREPLACE(C8475,""-\d+(.*)|--\d+(.*)"","""")"),"SAINT-BABEL")</f>
        <v>SAINT-BABEL</v>
      </c>
      <c r="E8475" s="38" t="s">
        <v>353</v>
      </c>
      <c r="F8475" s="38" t="s">
        <v>161</v>
      </c>
      <c r="G8475" s="49" t="str">
        <f t="shared" si="1"/>
        <v>63500</v>
      </c>
      <c r="H8475" s="49">
        <f t="shared" si="2"/>
        <v>63321</v>
      </c>
    </row>
    <row r="8476">
      <c r="A8476" s="48" t="s">
        <v>11392</v>
      </c>
      <c r="B8476" s="38">
        <v>95445.0</v>
      </c>
      <c r="C8476" s="38" t="s">
        <v>12173</v>
      </c>
      <c r="D8476" s="38" t="str">
        <f>IFERROR(__xludf.DUMMYFUNCTION("REGEXREPLACE(C8476,""-\d+(.*)|--\d+(.*)"","""")"),"NERVILLE-LA-FORET")</f>
        <v>NERVILLE-LA-FORET</v>
      </c>
      <c r="E8476" s="38" t="s">
        <v>541</v>
      </c>
      <c r="F8476" s="38" t="s">
        <v>245</v>
      </c>
      <c r="G8476" s="49" t="str">
        <f t="shared" si="1"/>
        <v>95590</v>
      </c>
      <c r="H8476" s="49">
        <f t="shared" si="2"/>
        <v>95445</v>
      </c>
    </row>
    <row r="8477">
      <c r="A8477" s="48" t="s">
        <v>2312</v>
      </c>
      <c r="B8477" s="38">
        <v>67242.0</v>
      </c>
      <c r="C8477" s="38" t="s">
        <v>12174</v>
      </c>
      <c r="D8477" s="38" t="str">
        <f>IFERROR(__xludf.DUMMYFUNCTION("REGEXREPLACE(C8477,""-\d+(.*)|--\d+(.*)"","""")"),"KIRRWILLER")</f>
        <v>KIRRWILLER</v>
      </c>
      <c r="E8477" s="38" t="s">
        <v>210</v>
      </c>
      <c r="F8477" s="38" t="s">
        <v>151</v>
      </c>
      <c r="G8477" s="49" t="str">
        <f t="shared" si="1"/>
        <v>67330</v>
      </c>
      <c r="H8477" s="49">
        <f t="shared" si="2"/>
        <v>67242</v>
      </c>
    </row>
    <row r="8478">
      <c r="A8478" s="48" t="s">
        <v>12175</v>
      </c>
      <c r="B8478" s="38">
        <v>80282.0</v>
      </c>
      <c r="C8478" s="38" t="s">
        <v>12176</v>
      </c>
      <c r="D8478" s="38" t="str">
        <f>IFERROR(__xludf.DUMMYFUNCTION("REGEXREPLACE(C8478,""-\d+(.*)|--\d+(.*)"","""")"),"ERONDELLE")</f>
        <v>ERONDELLE</v>
      </c>
      <c r="E8478" s="38" t="s">
        <v>224</v>
      </c>
      <c r="F8478" s="38" t="s">
        <v>113</v>
      </c>
      <c r="G8478" s="49" t="str">
        <f t="shared" si="1"/>
        <v>80580</v>
      </c>
      <c r="H8478" s="49">
        <f t="shared" si="2"/>
        <v>80282</v>
      </c>
    </row>
    <row r="8479">
      <c r="A8479" s="48" t="s">
        <v>4203</v>
      </c>
      <c r="B8479" s="38">
        <v>77256.0</v>
      </c>
      <c r="C8479" s="38" t="s">
        <v>12177</v>
      </c>
      <c r="D8479" s="38" t="str">
        <f>IFERROR(__xludf.DUMMYFUNCTION("REGEXREPLACE(C8479,""-\d+(.*)|--\d+(.*)"","""")"),"LIZINES")</f>
        <v>LIZINES</v>
      </c>
      <c r="E8479" s="38" t="s">
        <v>244</v>
      </c>
      <c r="F8479" s="38" t="s">
        <v>245</v>
      </c>
      <c r="G8479" s="49" t="str">
        <f t="shared" si="1"/>
        <v>77650</v>
      </c>
      <c r="H8479" s="49">
        <f t="shared" si="2"/>
        <v>77256</v>
      </c>
    </row>
    <row r="8480">
      <c r="A8480" s="48" t="s">
        <v>1180</v>
      </c>
      <c r="B8480" s="38">
        <v>60253.0</v>
      </c>
      <c r="C8480" s="38" t="s">
        <v>12178</v>
      </c>
      <c r="D8480" s="38" t="str">
        <f>IFERROR(__xludf.DUMMYFUNCTION("REGEXREPLACE(C8480,""-\d+(.*)|--\d+(.*)"","""")"),"FRANCASTEL")</f>
        <v>FRANCASTEL</v>
      </c>
      <c r="E8480" s="38" t="s">
        <v>112</v>
      </c>
      <c r="F8480" s="38" t="s">
        <v>113</v>
      </c>
      <c r="G8480" s="49" t="str">
        <f t="shared" si="1"/>
        <v>60480</v>
      </c>
      <c r="H8480" s="49">
        <f t="shared" si="2"/>
        <v>60253</v>
      </c>
    </row>
    <row r="8481">
      <c r="A8481" s="48" t="s">
        <v>2340</v>
      </c>
      <c r="B8481" s="38">
        <v>21669.0</v>
      </c>
      <c r="C8481" s="38" t="s">
        <v>12179</v>
      </c>
      <c r="D8481" s="38" t="str">
        <f>IFERROR(__xludf.DUMMYFUNCTION("REGEXREPLACE(C8481,""-\d+(.*)|--\d+(.*)"","""")"),"VERREY-SOUS-DREE")</f>
        <v>VERREY-SOUS-DREE</v>
      </c>
      <c r="E8481" s="38" t="s">
        <v>105</v>
      </c>
      <c r="F8481" s="38" t="s">
        <v>106</v>
      </c>
      <c r="G8481" s="49" t="str">
        <f t="shared" si="1"/>
        <v>21540</v>
      </c>
      <c r="H8481" s="49">
        <f t="shared" si="2"/>
        <v>21669</v>
      </c>
    </row>
    <row r="8482">
      <c r="A8482" s="48" t="s">
        <v>8979</v>
      </c>
      <c r="B8482" s="38">
        <v>17420.0</v>
      </c>
      <c r="C8482" s="38" t="s">
        <v>12180</v>
      </c>
      <c r="D8482" s="38" t="str">
        <f>IFERROR(__xludf.DUMMYFUNCTION("REGEXREPLACE(C8482,""-\d+(.*)|--\d+(.*)"","""")"),"SALLES-SUR-MER")</f>
        <v>SALLES-SUR-MER</v>
      </c>
      <c r="E8482" s="38" t="s">
        <v>488</v>
      </c>
      <c r="F8482" s="38" t="s">
        <v>338</v>
      </c>
      <c r="G8482" s="49" t="str">
        <f t="shared" si="1"/>
        <v>17220</v>
      </c>
      <c r="H8482" s="49">
        <f t="shared" si="2"/>
        <v>17420</v>
      </c>
    </row>
    <row r="8483">
      <c r="A8483" s="48" t="s">
        <v>4926</v>
      </c>
      <c r="B8483" s="38">
        <v>14140.0</v>
      </c>
      <c r="C8483" s="38" t="s">
        <v>3363</v>
      </c>
      <c r="D8483" s="38" t="str">
        <f>IFERROR(__xludf.DUMMYFUNCTION("REGEXREPLACE(C8483,""-\d+(.*)|--\d+(.*)"","""")"),"CASTILLON")</f>
        <v>CASTILLON</v>
      </c>
      <c r="E8483" s="38" t="s">
        <v>137</v>
      </c>
      <c r="F8483" s="38" t="s">
        <v>138</v>
      </c>
      <c r="G8483" s="49" t="str">
        <f t="shared" si="1"/>
        <v>14490</v>
      </c>
      <c r="H8483" s="49">
        <f t="shared" si="2"/>
        <v>14140</v>
      </c>
    </row>
    <row r="8484">
      <c r="A8484" s="48" t="s">
        <v>8589</v>
      </c>
      <c r="B8484" s="38">
        <v>27561.0</v>
      </c>
      <c r="C8484" s="38" t="s">
        <v>12181</v>
      </c>
      <c r="D8484" s="38" t="str">
        <f>IFERROR(__xludf.DUMMYFUNCTION("REGEXREPLACE(C8484,""-\d+(.*)|--\d+(.*)"","""")"),"SAINT-MACLOU")</f>
        <v>SAINT-MACLOU</v>
      </c>
      <c r="E8484" s="38" t="s">
        <v>241</v>
      </c>
      <c r="F8484" s="38" t="s">
        <v>134</v>
      </c>
      <c r="G8484" s="49" t="str">
        <f t="shared" si="1"/>
        <v>27210</v>
      </c>
      <c r="H8484" s="49">
        <f t="shared" si="2"/>
        <v>27561</v>
      </c>
    </row>
    <row r="8485">
      <c r="A8485" s="48" t="s">
        <v>12182</v>
      </c>
      <c r="B8485" s="38">
        <v>97203.0</v>
      </c>
      <c r="C8485" s="38" t="s">
        <v>12183</v>
      </c>
      <c r="D8485" s="38" t="str">
        <f>IFERROR(__xludf.DUMMYFUNCTION("REGEXREPLACE(C8485,""-\d+(.*)|--\d+(.*)"","""")"),"BASSE-POINTE")</f>
        <v>BASSE-POINTE</v>
      </c>
      <c r="E8485" s="38" t="s">
        <v>2282</v>
      </c>
      <c r="F8485" s="38" t="s">
        <v>2282</v>
      </c>
      <c r="G8485" s="49" t="str">
        <f t="shared" si="1"/>
        <v>97218</v>
      </c>
      <c r="H8485" s="49">
        <f t="shared" si="2"/>
        <v>97203</v>
      </c>
    </row>
    <row r="8486">
      <c r="A8486" s="48" t="s">
        <v>12184</v>
      </c>
      <c r="B8486" s="38">
        <v>49055.0</v>
      </c>
      <c r="C8486" s="38" t="s">
        <v>12185</v>
      </c>
      <c r="D8486" s="38" t="str">
        <f>IFERROR(__xludf.DUMMYFUNCTION("REGEXREPLACE(C8486,""-\d+(.*)|--\d+(.*)"","""")"),"CANTENAY-EPINARD")</f>
        <v>CANTENAY-EPINARD</v>
      </c>
      <c r="E8486" s="38" t="s">
        <v>653</v>
      </c>
      <c r="F8486" s="38" t="s">
        <v>180</v>
      </c>
      <c r="G8486" s="49" t="str">
        <f t="shared" si="1"/>
        <v>49460</v>
      </c>
      <c r="H8486" s="49">
        <f t="shared" si="2"/>
        <v>49055</v>
      </c>
    </row>
    <row r="8487">
      <c r="A8487" s="48" t="s">
        <v>2814</v>
      </c>
      <c r="B8487" s="38">
        <v>45161.0</v>
      </c>
      <c r="C8487" s="38" t="s">
        <v>12186</v>
      </c>
      <c r="D8487" s="38" t="str">
        <f>IFERROR(__xludf.DUMMYFUNCTION("REGEXREPLACE(C8487,""-\d+(.*)|--\d+(.*)"","""")"),"GRISELLES")</f>
        <v>GRISELLES</v>
      </c>
      <c r="E8487" s="38" t="s">
        <v>122</v>
      </c>
      <c r="F8487" s="38" t="s">
        <v>123</v>
      </c>
      <c r="G8487" s="49" t="str">
        <f t="shared" si="1"/>
        <v>45210</v>
      </c>
      <c r="H8487" s="49">
        <f t="shared" si="2"/>
        <v>45161</v>
      </c>
    </row>
    <row r="8488">
      <c r="A8488" s="48" t="s">
        <v>3570</v>
      </c>
      <c r="B8488" s="38">
        <v>76029.0</v>
      </c>
      <c r="C8488" s="38" t="s">
        <v>12187</v>
      </c>
      <c r="D8488" s="38" t="str">
        <f>IFERROR(__xludf.DUMMYFUNCTION("REGEXREPLACE(C8488,""-\d+(.*)|--\d+(.*)"","""")"),"AUBERMESNIL-AUX-ERABLES")</f>
        <v>AUBERMESNIL-AUX-ERABLES</v>
      </c>
      <c r="E8488" s="38" t="s">
        <v>133</v>
      </c>
      <c r="F8488" s="38" t="s">
        <v>134</v>
      </c>
      <c r="G8488" s="49" t="str">
        <f t="shared" si="1"/>
        <v>76340</v>
      </c>
      <c r="H8488" s="49">
        <f t="shared" si="2"/>
        <v>76029</v>
      </c>
    </row>
    <row r="8489">
      <c r="A8489" s="48" t="s">
        <v>12188</v>
      </c>
      <c r="B8489" s="38">
        <v>69267.0</v>
      </c>
      <c r="C8489" s="38" t="s">
        <v>12189</v>
      </c>
      <c r="D8489" s="38" t="str">
        <f>IFERROR(__xludf.DUMMYFUNCTION("REGEXREPLACE(C8489,""-\d+(.*)|--\d+(.*)"","""")"),"VILLIE-MORGON")</f>
        <v>VILLIE-MORGON</v>
      </c>
      <c r="E8489" s="38" t="s">
        <v>350</v>
      </c>
      <c r="F8489" s="38" t="s">
        <v>102</v>
      </c>
      <c r="G8489" s="49" t="str">
        <f t="shared" si="1"/>
        <v>69910</v>
      </c>
      <c r="H8489" s="49">
        <f t="shared" si="2"/>
        <v>69267</v>
      </c>
    </row>
    <row r="8490">
      <c r="A8490" s="48" t="s">
        <v>458</v>
      </c>
      <c r="B8490" s="38">
        <v>34274.0</v>
      </c>
      <c r="C8490" s="38" t="s">
        <v>12190</v>
      </c>
      <c r="D8490" s="38" t="str">
        <f>IFERROR(__xludf.DUMMYFUNCTION("REGEXREPLACE(C8490,""-\d+(.*)|--\d+(.*)"","""")"),"SAINT-MARTIN-DE-LONDRES")</f>
        <v>SAINT-MARTIN-DE-LONDRES</v>
      </c>
      <c r="E8490" s="38" t="s">
        <v>118</v>
      </c>
      <c r="F8490" s="38" t="s">
        <v>119</v>
      </c>
      <c r="G8490" s="49" t="str">
        <f t="shared" si="1"/>
        <v>34380</v>
      </c>
      <c r="H8490" s="49">
        <f t="shared" si="2"/>
        <v>34274</v>
      </c>
    </row>
    <row r="8491">
      <c r="A8491" s="48" t="s">
        <v>2571</v>
      </c>
      <c r="B8491" s="38">
        <v>61209.0</v>
      </c>
      <c r="C8491" s="38" t="s">
        <v>12191</v>
      </c>
      <c r="D8491" s="38" t="str">
        <f>IFERROR(__xludf.DUMMYFUNCTION("REGEXREPLACE(C8491,""-\d+(.*)|--\d+(.*)"","""")"),"JOUE-DU-BOIS")</f>
        <v>JOUE-DU-BOIS</v>
      </c>
      <c r="E8491" s="38" t="s">
        <v>141</v>
      </c>
      <c r="F8491" s="38" t="s">
        <v>138</v>
      </c>
      <c r="G8491" s="49" t="str">
        <f t="shared" si="1"/>
        <v>61320</v>
      </c>
      <c r="H8491" s="49">
        <f t="shared" si="2"/>
        <v>61209</v>
      </c>
    </row>
    <row r="8492">
      <c r="A8492" s="48" t="s">
        <v>580</v>
      </c>
      <c r="B8492" s="38">
        <v>31432.0</v>
      </c>
      <c r="C8492" s="38" t="s">
        <v>12192</v>
      </c>
      <c r="D8492" s="38" t="str">
        <f>IFERROR(__xludf.DUMMYFUNCTION("REGEXREPLACE(C8492,""-\d+(.*)|--\d+(.*)"","""")"),"PORTET-DE-LUCHON")</f>
        <v>PORTET-DE-LUCHON</v>
      </c>
      <c r="E8492" s="38" t="s">
        <v>93</v>
      </c>
      <c r="F8492" s="38" t="s">
        <v>94</v>
      </c>
      <c r="G8492" s="49" t="str">
        <f t="shared" si="1"/>
        <v>31110</v>
      </c>
      <c r="H8492" s="49">
        <f t="shared" si="2"/>
        <v>31432</v>
      </c>
    </row>
    <row r="8493">
      <c r="A8493" s="48" t="s">
        <v>12193</v>
      </c>
      <c r="B8493" s="38">
        <v>77216.0</v>
      </c>
      <c r="C8493" s="38" t="s">
        <v>12194</v>
      </c>
      <c r="D8493" s="38" t="str">
        <f>IFERROR(__xludf.DUMMYFUNCTION("REGEXREPLACE(C8493,""-\d+(.*)|--\d+(.*)"","""")"),"GREZ-SUR-LOING")</f>
        <v>GREZ-SUR-LOING</v>
      </c>
      <c r="E8493" s="38" t="s">
        <v>244</v>
      </c>
      <c r="F8493" s="38" t="s">
        <v>245</v>
      </c>
      <c r="G8493" s="49" t="str">
        <f t="shared" si="1"/>
        <v>77880</v>
      </c>
      <c r="H8493" s="49">
        <f t="shared" si="2"/>
        <v>77216</v>
      </c>
    </row>
    <row r="8494">
      <c r="A8494" s="48" t="s">
        <v>12195</v>
      </c>
      <c r="B8494" s="38">
        <v>22029.0</v>
      </c>
      <c r="C8494" s="38" t="s">
        <v>12196</v>
      </c>
      <c r="D8494" s="38" t="str">
        <f>IFERROR(__xludf.DUMMYFUNCTION("REGEXREPLACE(C8494,""-\d+(.*)|--\d+(.*)"","""")"),"CANIHUEL")</f>
        <v>CANIHUEL</v>
      </c>
      <c r="E8494" s="38" t="s">
        <v>89</v>
      </c>
      <c r="F8494" s="38" t="s">
        <v>90</v>
      </c>
      <c r="G8494" s="49" t="str">
        <f t="shared" si="1"/>
        <v>22480</v>
      </c>
      <c r="H8494" s="49">
        <f t="shared" si="2"/>
        <v>22029</v>
      </c>
    </row>
    <row r="8495">
      <c r="A8495" s="48" t="s">
        <v>5515</v>
      </c>
      <c r="B8495" s="38">
        <v>72348.0</v>
      </c>
      <c r="C8495" s="38" t="s">
        <v>12197</v>
      </c>
      <c r="D8495" s="38" t="str">
        <f>IFERROR(__xludf.DUMMYFUNCTION("REGEXREPLACE(C8495,""-\d+(.*)|--\d+(.*)"","""")"),"TASSILLE")</f>
        <v>TASSILLE</v>
      </c>
      <c r="E8495" s="38" t="s">
        <v>521</v>
      </c>
      <c r="F8495" s="38" t="s">
        <v>180</v>
      </c>
      <c r="G8495" s="49" t="str">
        <f t="shared" si="1"/>
        <v>72540</v>
      </c>
      <c r="H8495" s="49">
        <f t="shared" si="2"/>
        <v>72348</v>
      </c>
    </row>
    <row r="8496">
      <c r="A8496" s="48" t="s">
        <v>2130</v>
      </c>
      <c r="B8496" s="38">
        <v>62437.0</v>
      </c>
      <c r="C8496" s="38" t="s">
        <v>12198</v>
      </c>
      <c r="D8496" s="38" t="str">
        <f>IFERROR(__xludf.DUMMYFUNCTION("REGEXREPLACE(C8496,""-\d+(.*)|--\d+(.*)"","""")"),"HERLY")</f>
        <v>HERLY</v>
      </c>
      <c r="E8496" s="38" t="s">
        <v>109</v>
      </c>
      <c r="F8496" s="38" t="s">
        <v>86</v>
      </c>
      <c r="G8496" s="49" t="str">
        <f t="shared" si="1"/>
        <v>62650</v>
      </c>
      <c r="H8496" s="49">
        <f t="shared" si="2"/>
        <v>62437</v>
      </c>
    </row>
    <row r="8497">
      <c r="A8497" s="48" t="s">
        <v>2176</v>
      </c>
      <c r="B8497" s="38">
        <v>62655.0</v>
      </c>
      <c r="C8497" s="38" t="s">
        <v>12199</v>
      </c>
      <c r="D8497" s="38" t="str">
        <f>IFERROR(__xludf.DUMMYFUNCTION("REGEXREPLACE(C8497,""-\d+(.*)|--\d+(.*)"","""")"),"PIERREMONT")</f>
        <v>PIERREMONT</v>
      </c>
      <c r="E8497" s="38" t="s">
        <v>109</v>
      </c>
      <c r="F8497" s="38" t="s">
        <v>86</v>
      </c>
      <c r="G8497" s="49" t="str">
        <f t="shared" si="1"/>
        <v>62130</v>
      </c>
      <c r="H8497" s="49">
        <f t="shared" si="2"/>
        <v>62655</v>
      </c>
    </row>
    <row r="8498">
      <c r="A8498" s="48" t="s">
        <v>12200</v>
      </c>
      <c r="B8498" s="38">
        <v>74153.0</v>
      </c>
      <c r="C8498" s="38" t="s">
        <v>12201</v>
      </c>
      <c r="D8498" s="38" t="str">
        <f>IFERROR(__xludf.DUMMYFUNCTION("REGEXREPLACE(C8498,""-\d+(.*)|--\d+(.*)"","""")"),"LUCINGES")</f>
        <v>LUCINGES</v>
      </c>
      <c r="E8498" s="38" t="s">
        <v>319</v>
      </c>
      <c r="F8498" s="38" t="s">
        <v>102</v>
      </c>
      <c r="G8498" s="49" t="str">
        <f t="shared" si="1"/>
        <v>74380</v>
      </c>
      <c r="H8498" s="49">
        <f t="shared" si="2"/>
        <v>74153</v>
      </c>
    </row>
    <row r="8499">
      <c r="A8499" s="48" t="s">
        <v>4642</v>
      </c>
      <c r="B8499" s="38">
        <v>21650.0</v>
      </c>
      <c r="C8499" s="38" t="s">
        <v>12202</v>
      </c>
      <c r="D8499" s="38" t="str">
        <f>IFERROR(__xludf.DUMMYFUNCTION("REGEXREPLACE(C8499,""-\d+(.*)|--\d+(.*)"","""")"),"URCY")</f>
        <v>URCY</v>
      </c>
      <c r="E8499" s="38" t="s">
        <v>105</v>
      </c>
      <c r="F8499" s="38" t="s">
        <v>106</v>
      </c>
      <c r="G8499" s="49" t="str">
        <f t="shared" si="1"/>
        <v>21220</v>
      </c>
      <c r="H8499" s="49">
        <f t="shared" si="2"/>
        <v>21650</v>
      </c>
    </row>
    <row r="8500">
      <c r="A8500" s="48" t="s">
        <v>3925</v>
      </c>
      <c r="B8500" s="38">
        <v>41059.0</v>
      </c>
      <c r="C8500" s="38" t="s">
        <v>12203</v>
      </c>
      <c r="D8500" s="38" t="str">
        <f>IFERROR(__xludf.DUMMYFUNCTION("REGEXREPLACE(C8500,""-\d+(.*)|--\d+(.*)"","""")"),"CONTRES")</f>
        <v>CONTRES</v>
      </c>
      <c r="E8500" s="38" t="s">
        <v>188</v>
      </c>
      <c r="F8500" s="38" t="s">
        <v>123</v>
      </c>
      <c r="G8500" s="49" t="str">
        <f t="shared" si="1"/>
        <v>41700</v>
      </c>
      <c r="H8500" s="49">
        <f t="shared" si="2"/>
        <v>41059</v>
      </c>
    </row>
    <row r="8501">
      <c r="A8501" s="48" t="s">
        <v>12204</v>
      </c>
      <c r="B8501" s="38">
        <v>25237.0</v>
      </c>
      <c r="C8501" s="38" t="s">
        <v>12205</v>
      </c>
      <c r="D8501" s="38" t="str">
        <f>IFERROR(__xludf.DUMMYFUNCTION("REGEXREPLACE(C8501,""-\d+(.*)|--\d+(.*)"","""")"),"FESCHES-LE-CHATEL")</f>
        <v>FESCHES-LE-CHATEL</v>
      </c>
      <c r="E8501" s="38" t="s">
        <v>213</v>
      </c>
      <c r="F8501" s="38" t="s">
        <v>214</v>
      </c>
      <c r="G8501" s="49" t="str">
        <f t="shared" si="1"/>
        <v>25490</v>
      </c>
      <c r="H8501" s="49">
        <f t="shared" si="2"/>
        <v>25237</v>
      </c>
    </row>
    <row r="8502">
      <c r="A8502" s="48" t="s">
        <v>696</v>
      </c>
      <c r="B8502" s="38">
        <v>9148.0</v>
      </c>
      <c r="C8502" s="38" t="s">
        <v>3076</v>
      </c>
      <c r="D8502" s="38" t="str">
        <f>IFERROR(__xludf.DUMMYFUNCTION("REGEXREPLACE(C8502,""-\d+(.*)|--\d+(.*)"","""")"),"LACAVE")</f>
        <v>LACAVE</v>
      </c>
      <c r="E8502" s="38" t="s">
        <v>238</v>
      </c>
      <c r="F8502" s="38" t="s">
        <v>94</v>
      </c>
      <c r="G8502" s="49" t="str">
        <f t="shared" si="1"/>
        <v>09160</v>
      </c>
      <c r="H8502" s="49" t="str">
        <f t="shared" si="2"/>
        <v>09148</v>
      </c>
    </row>
    <row r="8503">
      <c r="A8503" s="48" t="s">
        <v>11119</v>
      </c>
      <c r="B8503" s="38">
        <v>74148.0</v>
      </c>
      <c r="C8503" s="38" t="s">
        <v>12206</v>
      </c>
      <c r="D8503" s="38" t="str">
        <f>IFERROR(__xludf.DUMMYFUNCTION("REGEXREPLACE(C8503,""-\d+(.*)|--\d+(.*)"","""")"),"LESCHAUX")</f>
        <v>LESCHAUX</v>
      </c>
      <c r="E8503" s="38" t="s">
        <v>319</v>
      </c>
      <c r="F8503" s="38" t="s">
        <v>102</v>
      </c>
      <c r="G8503" s="49" t="str">
        <f t="shared" si="1"/>
        <v>74320</v>
      </c>
      <c r="H8503" s="49">
        <f t="shared" si="2"/>
        <v>74148</v>
      </c>
    </row>
    <row r="8504">
      <c r="A8504" s="48" t="s">
        <v>5198</v>
      </c>
      <c r="B8504" s="38">
        <v>39469.0</v>
      </c>
      <c r="C8504" s="38" t="s">
        <v>12207</v>
      </c>
      <c r="D8504" s="38" t="str">
        <f>IFERROR(__xludf.DUMMYFUNCTION("REGEXREPLACE(C8504,""-\d+(.*)|--\d+(.*)"","""")"),"ROUFFANGE")</f>
        <v>ROUFFANGE</v>
      </c>
      <c r="E8504" s="38" t="s">
        <v>400</v>
      </c>
      <c r="F8504" s="38" t="s">
        <v>214</v>
      </c>
      <c r="G8504" s="49" t="str">
        <f t="shared" si="1"/>
        <v>39350</v>
      </c>
      <c r="H8504" s="49">
        <f t="shared" si="2"/>
        <v>39469</v>
      </c>
    </row>
    <row r="8505">
      <c r="A8505" s="48" t="s">
        <v>12208</v>
      </c>
      <c r="B8505" s="38" t="s">
        <v>12209</v>
      </c>
      <c r="C8505" s="38" t="s">
        <v>12210</v>
      </c>
      <c r="D8505" s="38" t="str">
        <f>IFERROR(__xludf.DUMMYFUNCTION("REGEXREPLACE(C8505,""-\d+(.*)|--\d+(.*)"","""")"),"CARBINI")</f>
        <v>CARBINI</v>
      </c>
      <c r="E8505" s="38" t="s">
        <v>606</v>
      </c>
      <c r="F8505" s="38" t="s">
        <v>607</v>
      </c>
      <c r="G8505" s="49" t="str">
        <f t="shared" si="1"/>
        <v>20170</v>
      </c>
      <c r="H8505" s="49" t="str">
        <f t="shared" si="2"/>
        <v>2A061</v>
      </c>
    </row>
    <row r="8506">
      <c r="A8506" s="48" t="s">
        <v>3906</v>
      </c>
      <c r="B8506" s="38">
        <v>24295.0</v>
      </c>
      <c r="C8506" s="38" t="s">
        <v>12211</v>
      </c>
      <c r="D8506" s="38" t="str">
        <f>IFERROR(__xludf.DUMMYFUNCTION("REGEXREPLACE(C8506,""-\d+(.*)|--\d+(.*)"","""")"),"MONTREM")</f>
        <v>MONTREM</v>
      </c>
      <c r="E8506" s="38" t="s">
        <v>261</v>
      </c>
      <c r="F8506" s="38" t="s">
        <v>252</v>
      </c>
      <c r="G8506" s="49" t="str">
        <f t="shared" si="1"/>
        <v>24110</v>
      </c>
      <c r="H8506" s="49">
        <f t="shared" si="2"/>
        <v>24295</v>
      </c>
    </row>
    <row r="8507">
      <c r="A8507" s="48" t="s">
        <v>1812</v>
      </c>
      <c r="B8507" s="38">
        <v>51002.0</v>
      </c>
      <c r="C8507" s="38" t="s">
        <v>12212</v>
      </c>
      <c r="D8507" s="38" t="str">
        <f>IFERROR(__xludf.DUMMYFUNCTION("REGEXREPLACE(C8507,""-\d+(.*)|--\d+(.*)"","""")"),"SAINT-MARTIN-D'ABLOIS")</f>
        <v>SAINT-MARTIN-D'ABLOIS</v>
      </c>
      <c r="E8507" s="38" t="s">
        <v>129</v>
      </c>
      <c r="F8507" s="38" t="s">
        <v>130</v>
      </c>
      <c r="G8507" s="49" t="str">
        <f t="shared" si="1"/>
        <v>51530</v>
      </c>
      <c r="H8507" s="49">
        <f t="shared" si="2"/>
        <v>51002</v>
      </c>
    </row>
    <row r="8508">
      <c r="A8508" s="48" t="s">
        <v>447</v>
      </c>
      <c r="B8508" s="38">
        <v>88201.0</v>
      </c>
      <c r="C8508" s="38" t="s">
        <v>12213</v>
      </c>
      <c r="D8508" s="38" t="str">
        <f>IFERROR(__xludf.DUMMYFUNCTION("REGEXREPLACE(C8508,""-\d+(.*)|--\d+(.*)"","""")"),"GIRANCOURT")</f>
        <v>GIRANCOURT</v>
      </c>
      <c r="E8508" s="38" t="s">
        <v>194</v>
      </c>
      <c r="F8508" s="38" t="s">
        <v>195</v>
      </c>
      <c r="G8508" s="49" t="str">
        <f t="shared" si="1"/>
        <v>88390</v>
      </c>
      <c r="H8508" s="49">
        <f t="shared" si="2"/>
        <v>88201</v>
      </c>
    </row>
    <row r="8509">
      <c r="A8509" s="48" t="s">
        <v>1896</v>
      </c>
      <c r="B8509" s="38">
        <v>51333.0</v>
      </c>
      <c r="C8509" s="38" t="s">
        <v>12214</v>
      </c>
      <c r="D8509" s="38" t="str">
        <f>IFERROR(__xludf.DUMMYFUNCTION("REGEXREPLACE(C8509,""-\d+(.*)|--\d+(.*)"","""")"),"LUDES")</f>
        <v>LUDES</v>
      </c>
      <c r="E8509" s="38" t="s">
        <v>129</v>
      </c>
      <c r="F8509" s="38" t="s">
        <v>130</v>
      </c>
      <c r="G8509" s="49" t="str">
        <f t="shared" si="1"/>
        <v>51500</v>
      </c>
      <c r="H8509" s="49">
        <f t="shared" si="2"/>
        <v>51333</v>
      </c>
    </row>
    <row r="8510">
      <c r="A8510" s="48" t="s">
        <v>3344</v>
      </c>
      <c r="B8510" s="38">
        <v>76236.0</v>
      </c>
      <c r="C8510" s="38" t="s">
        <v>12215</v>
      </c>
      <c r="D8510" s="38" t="str">
        <f>IFERROR(__xludf.DUMMYFUNCTION("REGEXREPLACE(C8510,""-\d+(.*)|--\d+(.*)"","""")"),"ENVRONVILLE")</f>
        <v>ENVRONVILLE</v>
      </c>
      <c r="E8510" s="38" t="s">
        <v>133</v>
      </c>
      <c r="F8510" s="38" t="s">
        <v>134</v>
      </c>
      <c r="G8510" s="49" t="str">
        <f t="shared" si="1"/>
        <v>76640</v>
      </c>
      <c r="H8510" s="49">
        <f t="shared" si="2"/>
        <v>76236</v>
      </c>
    </row>
    <row r="8511">
      <c r="A8511" s="48" t="s">
        <v>2019</v>
      </c>
      <c r="B8511" s="38">
        <v>90033.0</v>
      </c>
      <c r="C8511" s="38" t="s">
        <v>12216</v>
      </c>
      <c r="D8511" s="38" t="str">
        <f>IFERROR(__xludf.DUMMYFUNCTION("REGEXREPLACE(C8511,""-\d+(.*)|--\d+(.*)"","""")"),"DELLE")</f>
        <v>DELLE</v>
      </c>
      <c r="E8511" s="38" t="s">
        <v>1283</v>
      </c>
      <c r="F8511" s="38" t="s">
        <v>214</v>
      </c>
      <c r="G8511" s="49" t="str">
        <f t="shared" si="1"/>
        <v>90100</v>
      </c>
      <c r="H8511" s="49">
        <f t="shared" si="2"/>
        <v>90033</v>
      </c>
    </row>
    <row r="8512">
      <c r="A8512" s="48" t="s">
        <v>3699</v>
      </c>
      <c r="B8512" s="38">
        <v>18257.0</v>
      </c>
      <c r="C8512" s="38" t="s">
        <v>12217</v>
      </c>
      <c r="D8512" s="38" t="str">
        <f>IFERROR(__xludf.DUMMYFUNCTION("REGEXREPLACE(C8512,""-\d+(.*)|--\d+(.*)"","""")"),"SURY-PRES-LERE")</f>
        <v>SURY-PRES-LERE</v>
      </c>
      <c r="E8512" s="38" t="s">
        <v>504</v>
      </c>
      <c r="F8512" s="38" t="s">
        <v>123</v>
      </c>
      <c r="G8512" s="49" t="str">
        <f t="shared" si="1"/>
        <v>18240</v>
      </c>
      <c r="H8512" s="49">
        <f t="shared" si="2"/>
        <v>18257</v>
      </c>
    </row>
    <row r="8513">
      <c r="A8513" s="48" t="s">
        <v>582</v>
      </c>
      <c r="B8513" s="38">
        <v>39555.0</v>
      </c>
      <c r="C8513" s="38" t="s">
        <v>12218</v>
      </c>
      <c r="D8513" s="38" t="str">
        <f>IFERROR(__xludf.DUMMYFUNCTION("REGEXREPLACE(C8513,""-\d+(.*)|--\d+(.*)"","""")"),"VERS-SOUS-SELLIERES")</f>
        <v>VERS-SOUS-SELLIERES</v>
      </c>
      <c r="E8513" s="38" t="s">
        <v>400</v>
      </c>
      <c r="F8513" s="38" t="s">
        <v>214</v>
      </c>
      <c r="G8513" s="49" t="str">
        <f t="shared" si="1"/>
        <v>39230</v>
      </c>
      <c r="H8513" s="49">
        <f t="shared" si="2"/>
        <v>39555</v>
      </c>
    </row>
    <row r="8514">
      <c r="A8514" s="48" t="s">
        <v>3980</v>
      </c>
      <c r="B8514" s="38">
        <v>71175.0</v>
      </c>
      <c r="C8514" s="38" t="s">
        <v>12219</v>
      </c>
      <c r="D8514" s="38" t="str">
        <f>IFERROR(__xludf.DUMMYFUNCTION("REGEXREPLACE(C8514,""-\d+(.*)|--\d+(.*)"","""")"),"DICONNE")</f>
        <v>DICONNE</v>
      </c>
      <c r="E8514" s="38" t="s">
        <v>344</v>
      </c>
      <c r="F8514" s="38" t="s">
        <v>106</v>
      </c>
      <c r="G8514" s="49" t="str">
        <f t="shared" si="1"/>
        <v>71330</v>
      </c>
      <c r="H8514" s="49">
        <f t="shared" si="2"/>
        <v>71175</v>
      </c>
    </row>
    <row r="8515">
      <c r="A8515" s="48" t="s">
        <v>386</v>
      </c>
      <c r="B8515" s="38">
        <v>21388.0</v>
      </c>
      <c r="C8515" s="38" t="s">
        <v>12220</v>
      </c>
      <c r="D8515" s="38" t="str">
        <f>IFERROR(__xludf.DUMMYFUNCTION("REGEXREPLACE(C8515,""-\d+(.*)|--\d+(.*)"","""")"),"MARLIENS")</f>
        <v>MARLIENS</v>
      </c>
      <c r="E8515" s="38" t="s">
        <v>105</v>
      </c>
      <c r="F8515" s="38" t="s">
        <v>106</v>
      </c>
      <c r="G8515" s="49" t="str">
        <f t="shared" si="1"/>
        <v>21110</v>
      </c>
      <c r="H8515" s="49">
        <f t="shared" si="2"/>
        <v>21388</v>
      </c>
    </row>
    <row r="8516">
      <c r="A8516" s="48" t="s">
        <v>12221</v>
      </c>
      <c r="B8516" s="38">
        <v>41008.0</v>
      </c>
      <c r="C8516" s="38" t="s">
        <v>12222</v>
      </c>
      <c r="D8516" s="38" t="str">
        <f>IFERROR(__xludf.DUMMYFUNCTION("REGEXREPLACE(C8516,""-\d+(.*)|--\d+(.*)"","""")"),"AVARAY")</f>
        <v>AVARAY</v>
      </c>
      <c r="E8516" s="38" t="s">
        <v>188</v>
      </c>
      <c r="F8516" s="38" t="s">
        <v>123</v>
      </c>
      <c r="G8516" s="49" t="str">
        <f t="shared" si="1"/>
        <v>41500</v>
      </c>
      <c r="H8516" s="49">
        <f t="shared" si="2"/>
        <v>41008</v>
      </c>
    </row>
    <row r="8517">
      <c r="A8517" s="48" t="s">
        <v>12223</v>
      </c>
      <c r="B8517" s="38">
        <v>3273.0</v>
      </c>
      <c r="C8517" s="38" t="s">
        <v>12224</v>
      </c>
      <c r="D8517" s="38" t="str">
        <f>IFERROR(__xludf.DUMMYFUNCTION("REGEXREPLACE(C8517,""-\d+(.*)|--\d+(.*)"","""")"),"SEUILLET")</f>
        <v>SEUILLET</v>
      </c>
      <c r="E8517" s="38" t="s">
        <v>160</v>
      </c>
      <c r="F8517" s="38" t="s">
        <v>161</v>
      </c>
      <c r="G8517" s="49" t="str">
        <f t="shared" si="1"/>
        <v>03260</v>
      </c>
      <c r="H8517" s="49" t="str">
        <f t="shared" si="2"/>
        <v>03273</v>
      </c>
    </row>
    <row r="8518">
      <c r="A8518" s="48" t="s">
        <v>2462</v>
      </c>
      <c r="B8518" s="38">
        <v>1444.0</v>
      </c>
      <c r="C8518" s="38" t="s">
        <v>12225</v>
      </c>
      <c r="D8518" s="38" t="str">
        <f>IFERROR(__xludf.DUMMYFUNCTION("REGEXREPLACE(C8518,""-\d+(.*)|--\d+(.*)"","""")"),"VILLEBOIS")</f>
        <v>VILLEBOIS</v>
      </c>
      <c r="E8518" s="38" t="s">
        <v>255</v>
      </c>
      <c r="F8518" s="38" t="s">
        <v>102</v>
      </c>
      <c r="G8518" s="49" t="str">
        <f t="shared" si="1"/>
        <v>01150</v>
      </c>
      <c r="H8518" s="49" t="str">
        <f t="shared" si="2"/>
        <v>01444</v>
      </c>
    </row>
    <row r="8519">
      <c r="A8519" s="48" t="s">
        <v>9385</v>
      </c>
      <c r="B8519" s="38">
        <v>89298.0</v>
      </c>
      <c r="C8519" s="38" t="s">
        <v>12226</v>
      </c>
      <c r="D8519" s="38" t="str">
        <f>IFERROR(__xludf.DUMMYFUNCTION("REGEXREPLACE(C8519,""-\d+(.*)|--\d+(.*)"","""")"),"PIFFONDS")</f>
        <v>PIFFONDS</v>
      </c>
      <c r="E8519" s="38" t="s">
        <v>275</v>
      </c>
      <c r="F8519" s="38" t="s">
        <v>106</v>
      </c>
      <c r="G8519" s="49" t="str">
        <f t="shared" si="1"/>
        <v>89330</v>
      </c>
      <c r="H8519" s="49">
        <f t="shared" si="2"/>
        <v>89298</v>
      </c>
    </row>
    <row r="8520">
      <c r="A8520" s="48" t="s">
        <v>2008</v>
      </c>
      <c r="B8520" s="38">
        <v>46057.0</v>
      </c>
      <c r="C8520" s="38" t="s">
        <v>12227</v>
      </c>
      <c r="D8520" s="38" t="str">
        <f>IFERROR(__xludf.DUMMYFUNCTION("REGEXREPLACE(C8520,""-\d+(.*)|--\d+(.*)"","""")"),"CARDAILLAC")</f>
        <v>CARDAILLAC</v>
      </c>
      <c r="E8520" s="38" t="s">
        <v>185</v>
      </c>
      <c r="F8520" s="38" t="s">
        <v>94</v>
      </c>
      <c r="G8520" s="49" t="str">
        <f t="shared" si="1"/>
        <v>46100</v>
      </c>
      <c r="H8520" s="49">
        <f t="shared" si="2"/>
        <v>46057</v>
      </c>
    </row>
    <row r="8521">
      <c r="A8521" s="48" t="s">
        <v>736</v>
      </c>
      <c r="B8521" s="38">
        <v>57422.0</v>
      </c>
      <c r="C8521" s="38" t="s">
        <v>9868</v>
      </c>
      <c r="D8521" s="38" t="str">
        <f>IFERROR(__xludf.DUMMYFUNCTION("REGEXREPLACE(C8521,""-\d+(.*)|--\d+(.*)"","""")"),"LOUVIGNY")</f>
        <v>LOUVIGNY</v>
      </c>
      <c r="E8521" s="38" t="s">
        <v>303</v>
      </c>
      <c r="F8521" s="38" t="s">
        <v>195</v>
      </c>
      <c r="G8521" s="49" t="str">
        <f t="shared" si="1"/>
        <v>57420</v>
      </c>
      <c r="H8521" s="49">
        <f t="shared" si="2"/>
        <v>57422</v>
      </c>
    </row>
    <row r="8522">
      <c r="A8522" s="48" t="s">
        <v>9016</v>
      </c>
      <c r="B8522" s="38">
        <v>76328.0</v>
      </c>
      <c r="C8522" s="38" t="s">
        <v>12228</v>
      </c>
      <c r="D8522" s="38" t="str">
        <f>IFERROR(__xludf.DUMMYFUNCTION("REGEXREPLACE(C8522,""-\d+(.*)|--\d+(.*)"","""")"),"GRIGNEUSEVILLE")</f>
        <v>GRIGNEUSEVILLE</v>
      </c>
      <c r="E8522" s="38" t="s">
        <v>133</v>
      </c>
      <c r="F8522" s="38" t="s">
        <v>134</v>
      </c>
      <c r="G8522" s="49" t="str">
        <f t="shared" si="1"/>
        <v>76850</v>
      </c>
      <c r="H8522" s="49">
        <f t="shared" si="2"/>
        <v>76328</v>
      </c>
    </row>
    <row r="8523">
      <c r="A8523" s="48" t="s">
        <v>6495</v>
      </c>
      <c r="B8523" s="38">
        <v>23102.0</v>
      </c>
      <c r="C8523" s="38" t="s">
        <v>12229</v>
      </c>
      <c r="D8523" s="38" t="str">
        <f>IFERROR(__xludf.DUMMYFUNCTION("REGEXREPLACE(C8523,""-\d+(.*)|--\d+(.*)"","""")"),"LADAPEYRE")</f>
        <v>LADAPEYRE</v>
      </c>
      <c r="E8523" s="38" t="s">
        <v>97</v>
      </c>
      <c r="F8523" s="38" t="s">
        <v>98</v>
      </c>
      <c r="G8523" s="49" t="str">
        <f t="shared" si="1"/>
        <v>23270</v>
      </c>
      <c r="H8523" s="49">
        <f t="shared" si="2"/>
        <v>23102</v>
      </c>
    </row>
    <row r="8524">
      <c r="A8524" s="48" t="s">
        <v>3242</v>
      </c>
      <c r="B8524" s="38">
        <v>2246.0</v>
      </c>
      <c r="C8524" s="38" t="s">
        <v>12230</v>
      </c>
      <c r="D8524" s="38" t="str">
        <f>IFERROR(__xludf.DUMMYFUNCTION("REGEXREPLACE(C8524,""-\d+(.*)|--\d+(.*)"","""")"),"CUGNY")</f>
        <v>CUGNY</v>
      </c>
      <c r="E8524" s="38" t="s">
        <v>191</v>
      </c>
      <c r="F8524" s="38" t="s">
        <v>113</v>
      </c>
      <c r="G8524" s="49" t="str">
        <f t="shared" si="1"/>
        <v>02480</v>
      </c>
      <c r="H8524" s="49" t="str">
        <f t="shared" si="2"/>
        <v>02246</v>
      </c>
    </row>
    <row r="8525">
      <c r="A8525" s="48" t="s">
        <v>3450</v>
      </c>
      <c r="B8525" s="38">
        <v>60488.0</v>
      </c>
      <c r="C8525" s="38" t="s">
        <v>12231</v>
      </c>
      <c r="D8525" s="38" t="str">
        <f>IFERROR(__xludf.DUMMYFUNCTION("REGEXREPLACE(C8525,""-\d+(.*)|--\d+(.*)"","""")"),"PASSEL")</f>
        <v>PASSEL</v>
      </c>
      <c r="E8525" s="38" t="s">
        <v>112</v>
      </c>
      <c r="F8525" s="38" t="s">
        <v>113</v>
      </c>
      <c r="G8525" s="49" t="str">
        <f t="shared" si="1"/>
        <v>60400</v>
      </c>
      <c r="H8525" s="49">
        <f t="shared" si="2"/>
        <v>60488</v>
      </c>
    </row>
    <row r="8526">
      <c r="A8526" s="48" t="s">
        <v>12232</v>
      </c>
      <c r="B8526" s="38">
        <v>11345.0</v>
      </c>
      <c r="C8526" s="38" t="s">
        <v>12233</v>
      </c>
      <c r="D8526" s="38" t="str">
        <f>IFERROR(__xludf.DUMMYFUNCTION("REGEXREPLACE(C8526,""-\d+(.*)|--\d+(.*)"","""")"),"SAINT-JEAN-DE-BARROU")</f>
        <v>SAINT-JEAN-DE-BARROU</v>
      </c>
      <c r="E8526" s="38" t="s">
        <v>278</v>
      </c>
      <c r="F8526" s="38" t="s">
        <v>119</v>
      </c>
      <c r="G8526" s="49" t="str">
        <f t="shared" si="1"/>
        <v>11360</v>
      </c>
      <c r="H8526" s="49">
        <f t="shared" si="2"/>
        <v>11345</v>
      </c>
    </row>
    <row r="8527">
      <c r="A8527" s="48" t="s">
        <v>351</v>
      </c>
      <c r="B8527" s="38">
        <v>63440.0</v>
      </c>
      <c r="C8527" s="38" t="s">
        <v>12234</v>
      </c>
      <c r="D8527" s="38" t="str">
        <f>IFERROR(__xludf.DUMMYFUNCTION("REGEXREPLACE(C8527,""-\d+(.*)|--\d+(.*)"","""")"),"VALBELEIX")</f>
        <v>VALBELEIX</v>
      </c>
      <c r="E8527" s="38" t="s">
        <v>353</v>
      </c>
      <c r="F8527" s="38" t="s">
        <v>161</v>
      </c>
      <c r="G8527" s="49" t="str">
        <f t="shared" si="1"/>
        <v>63610</v>
      </c>
      <c r="H8527" s="49">
        <f t="shared" si="2"/>
        <v>63440</v>
      </c>
    </row>
    <row r="8528">
      <c r="A8528" s="48" t="s">
        <v>1993</v>
      </c>
      <c r="B8528" s="38">
        <v>2513.0</v>
      </c>
      <c r="C8528" s="38" t="s">
        <v>12235</v>
      </c>
      <c r="D8528" s="38" t="str">
        <f>IFERROR(__xludf.DUMMYFUNCTION("REGEXREPLACE(C8528,""-\d+(.*)|--\d+(.*)"","""")"),"MONTIGNY-LE-FRANC")</f>
        <v>MONTIGNY-LE-FRANC</v>
      </c>
      <c r="E8528" s="38" t="s">
        <v>191</v>
      </c>
      <c r="F8528" s="38" t="s">
        <v>113</v>
      </c>
      <c r="G8528" s="49" t="str">
        <f t="shared" si="1"/>
        <v>02250</v>
      </c>
      <c r="H8528" s="49" t="str">
        <f t="shared" si="2"/>
        <v>02513</v>
      </c>
    </row>
    <row r="8529">
      <c r="A8529" s="48" t="s">
        <v>2055</v>
      </c>
      <c r="B8529" s="38">
        <v>4201.0</v>
      </c>
      <c r="C8529" s="38" t="s">
        <v>9256</v>
      </c>
      <c r="D8529" s="38" t="str">
        <f>IFERROR(__xludf.DUMMYFUNCTION("REGEXREPLACE(C8529,""-\d+(.*)|--\d+(.*)"","""")"),"SAUMANE")</f>
        <v>SAUMANE</v>
      </c>
      <c r="E8529" s="38" t="s">
        <v>662</v>
      </c>
      <c r="F8529" s="38" t="s">
        <v>228</v>
      </c>
      <c r="G8529" s="49" t="str">
        <f t="shared" si="1"/>
        <v>04150</v>
      </c>
      <c r="H8529" s="49" t="str">
        <f t="shared" si="2"/>
        <v>04201</v>
      </c>
    </row>
    <row r="8530">
      <c r="A8530" s="48" t="s">
        <v>12236</v>
      </c>
      <c r="B8530" s="38">
        <v>10271.0</v>
      </c>
      <c r="C8530" s="38" t="s">
        <v>12237</v>
      </c>
      <c r="D8530" s="38" t="str">
        <f>IFERROR(__xludf.DUMMYFUNCTION("REGEXREPLACE(C8530,""-\d+(.*)|--\d+(.*)"","""")"),"ORIGNY-LE-SEC")</f>
        <v>ORIGNY-LE-SEC</v>
      </c>
      <c r="E8530" s="38" t="s">
        <v>147</v>
      </c>
      <c r="F8530" s="38" t="s">
        <v>130</v>
      </c>
      <c r="G8530" s="49" t="str">
        <f t="shared" si="1"/>
        <v>10510</v>
      </c>
      <c r="H8530" s="49">
        <f t="shared" si="2"/>
        <v>10271</v>
      </c>
    </row>
    <row r="8531">
      <c r="A8531" s="48" t="s">
        <v>1688</v>
      </c>
      <c r="B8531" s="38">
        <v>76224.0</v>
      </c>
      <c r="C8531" s="38" t="s">
        <v>12238</v>
      </c>
      <c r="D8531" s="38" t="str">
        <f>IFERROR(__xludf.DUMMYFUNCTION("REGEXREPLACE(C8531,""-\d+(.*)|--\d+(.*)"","""")"),"ECRAINVILLE")</f>
        <v>ECRAINVILLE</v>
      </c>
      <c r="E8531" s="38" t="s">
        <v>133</v>
      </c>
      <c r="F8531" s="38" t="s">
        <v>134</v>
      </c>
      <c r="G8531" s="49" t="str">
        <f t="shared" si="1"/>
        <v>76110</v>
      </c>
      <c r="H8531" s="49">
        <f t="shared" si="2"/>
        <v>76224</v>
      </c>
    </row>
    <row r="8532">
      <c r="A8532" s="48" t="s">
        <v>3002</v>
      </c>
      <c r="B8532" s="38">
        <v>43245.0</v>
      </c>
      <c r="C8532" s="38" t="s">
        <v>12239</v>
      </c>
      <c r="D8532" s="38" t="str">
        <f>IFERROR(__xludf.DUMMYFUNCTION("REGEXREPLACE(C8532,""-\d+(.*)|--\d+(.*)"","""")"),"THORAS")</f>
        <v>THORAS</v>
      </c>
      <c r="E8532" s="38" t="s">
        <v>332</v>
      </c>
      <c r="F8532" s="38" t="s">
        <v>161</v>
      </c>
      <c r="G8532" s="49" t="str">
        <f t="shared" si="1"/>
        <v>43170</v>
      </c>
      <c r="H8532" s="49">
        <f t="shared" si="2"/>
        <v>43245</v>
      </c>
    </row>
    <row r="8533">
      <c r="A8533" s="48" t="s">
        <v>2411</v>
      </c>
      <c r="B8533" s="38">
        <v>37129.0</v>
      </c>
      <c r="C8533" s="38" t="s">
        <v>12240</v>
      </c>
      <c r="D8533" s="38" t="str">
        <f>IFERROR(__xludf.DUMMYFUNCTION("REGEXREPLACE(C8533,""-\d+(.*)|--\d+(.*)"","""")"),"LIGRE")</f>
        <v>LIGRE</v>
      </c>
      <c r="E8533" s="38" t="s">
        <v>205</v>
      </c>
      <c r="F8533" s="38" t="s">
        <v>123</v>
      </c>
      <c r="G8533" s="49" t="str">
        <f t="shared" si="1"/>
        <v>37500</v>
      </c>
      <c r="H8533" s="49">
        <f t="shared" si="2"/>
        <v>37129</v>
      </c>
    </row>
    <row r="8534">
      <c r="A8534" s="48" t="s">
        <v>757</v>
      </c>
      <c r="B8534" s="38">
        <v>44123.0</v>
      </c>
      <c r="C8534" s="38" t="s">
        <v>12241</v>
      </c>
      <c r="D8534" s="38" t="str">
        <f>IFERROR(__xludf.DUMMYFUNCTION("REGEXREPLACE(C8534,""-\d+(.*)|--\d+(.*)"","""")"),"PIERRIC")</f>
        <v>PIERRIC</v>
      </c>
      <c r="E8534" s="38" t="s">
        <v>759</v>
      </c>
      <c r="F8534" s="38" t="s">
        <v>180</v>
      </c>
      <c r="G8534" s="49" t="str">
        <f t="shared" si="1"/>
        <v>44290</v>
      </c>
      <c r="H8534" s="49">
        <f t="shared" si="2"/>
        <v>44123</v>
      </c>
    </row>
    <row r="8535">
      <c r="A8535" s="48" t="s">
        <v>7874</v>
      </c>
      <c r="B8535" s="38">
        <v>40284.0</v>
      </c>
      <c r="C8535" s="38" t="s">
        <v>12242</v>
      </c>
      <c r="D8535" s="38" t="str">
        <f>IFERROR(__xludf.DUMMYFUNCTION("REGEXREPLACE(C8535,""-\d+(.*)|--\d+(.*)"","""")"),"SAINT-VINCENT-DE-TYROSSE")</f>
        <v>SAINT-VINCENT-DE-TYROSSE</v>
      </c>
      <c r="E8535" s="38" t="s">
        <v>281</v>
      </c>
      <c r="F8535" s="38" t="s">
        <v>252</v>
      </c>
      <c r="G8535" s="49" t="str">
        <f t="shared" si="1"/>
        <v>40230</v>
      </c>
      <c r="H8535" s="49">
        <f t="shared" si="2"/>
        <v>40284</v>
      </c>
    </row>
    <row r="8536">
      <c r="A8536" s="48" t="s">
        <v>10705</v>
      </c>
      <c r="B8536" s="38">
        <v>64442.0</v>
      </c>
      <c r="C8536" s="38" t="s">
        <v>12243</v>
      </c>
      <c r="D8536" s="38" t="str">
        <f>IFERROR(__xludf.DUMMYFUNCTION("REGEXREPLACE(C8536,""-\d+(.*)|--\d+(.*)"","""")"),"PARBAYSE")</f>
        <v>PARBAYSE</v>
      </c>
      <c r="E8536" s="38" t="s">
        <v>268</v>
      </c>
      <c r="F8536" s="38" t="s">
        <v>252</v>
      </c>
      <c r="G8536" s="49" t="str">
        <f t="shared" si="1"/>
        <v>64360</v>
      </c>
      <c r="H8536" s="49">
        <f t="shared" si="2"/>
        <v>64442</v>
      </c>
    </row>
    <row r="8537">
      <c r="A8537" s="48" t="s">
        <v>5038</v>
      </c>
      <c r="B8537" s="38">
        <v>17338.0</v>
      </c>
      <c r="C8537" s="38" t="s">
        <v>12244</v>
      </c>
      <c r="D8537" s="38" t="str">
        <f>IFERROR(__xludf.DUMMYFUNCTION("REGEXREPLACE(C8537,""-\d+(.*)|--\d+(.*)"","""")"),"SAINT-GEORGES-DU-BOIS")</f>
        <v>SAINT-GEORGES-DU-BOIS</v>
      </c>
      <c r="E8537" s="38" t="s">
        <v>488</v>
      </c>
      <c r="F8537" s="38" t="s">
        <v>338</v>
      </c>
      <c r="G8537" s="49" t="str">
        <f t="shared" si="1"/>
        <v>17700</v>
      </c>
      <c r="H8537" s="49">
        <f t="shared" si="2"/>
        <v>17338</v>
      </c>
    </row>
    <row r="8538">
      <c r="A8538" s="48" t="s">
        <v>12245</v>
      </c>
      <c r="B8538" s="38">
        <v>33545.0</v>
      </c>
      <c r="C8538" s="38" t="s">
        <v>12246</v>
      </c>
      <c r="D8538" s="38" t="str">
        <f>IFERROR(__xludf.DUMMYFUNCTION("REGEXREPLACE(C8538,""-\d+(.*)|--\d+(.*)"","""")"),"VERTHEUIL")</f>
        <v>VERTHEUIL</v>
      </c>
      <c r="E8538" s="38" t="s">
        <v>462</v>
      </c>
      <c r="F8538" s="38" t="s">
        <v>252</v>
      </c>
      <c r="G8538" s="49" t="str">
        <f t="shared" si="1"/>
        <v>33180</v>
      </c>
      <c r="H8538" s="49">
        <f t="shared" si="2"/>
        <v>33545</v>
      </c>
    </row>
    <row r="8539">
      <c r="A8539" s="48" t="s">
        <v>5603</v>
      </c>
      <c r="B8539" s="38">
        <v>41169.0</v>
      </c>
      <c r="C8539" s="38" t="s">
        <v>12247</v>
      </c>
      <c r="D8539" s="38" t="str">
        <f>IFERROR(__xludf.DUMMYFUNCTION("REGEXREPLACE(C8539,""-\d+(.*)|--\d+(.*)"","""")"),"ORCHAISE")</f>
        <v>ORCHAISE</v>
      </c>
      <c r="E8539" s="38" t="s">
        <v>188</v>
      </c>
      <c r="F8539" s="38" t="s">
        <v>123</v>
      </c>
      <c r="G8539" s="49" t="str">
        <f t="shared" si="1"/>
        <v>41190</v>
      </c>
      <c r="H8539" s="49">
        <f t="shared" si="2"/>
        <v>41169</v>
      </c>
    </row>
    <row r="8540">
      <c r="A8540" s="48" t="s">
        <v>1332</v>
      </c>
      <c r="B8540" s="38">
        <v>51211.0</v>
      </c>
      <c r="C8540" s="38" t="s">
        <v>12248</v>
      </c>
      <c r="D8540" s="38" t="str">
        <f>IFERROR(__xludf.DUMMYFUNCTION("REGEXREPLACE(C8540,""-\d+(.*)|--\d+(.*)"","""")"),"DOMMARTIN-DAMPIERRE")</f>
        <v>DOMMARTIN-DAMPIERRE</v>
      </c>
      <c r="E8540" s="38" t="s">
        <v>129</v>
      </c>
      <c r="F8540" s="38" t="s">
        <v>130</v>
      </c>
      <c r="G8540" s="49" t="str">
        <f t="shared" si="1"/>
        <v>51800</v>
      </c>
      <c r="H8540" s="49">
        <f t="shared" si="2"/>
        <v>51211</v>
      </c>
    </row>
    <row r="8541">
      <c r="A8541" s="48" t="s">
        <v>12249</v>
      </c>
      <c r="B8541" s="38">
        <v>71204.0</v>
      </c>
      <c r="C8541" s="38" t="s">
        <v>12250</v>
      </c>
      <c r="D8541" s="38" t="str">
        <f>IFERROR(__xludf.DUMMYFUNCTION("REGEXREPLACE(C8541,""-\d+(.*)|--\d+(.*)"","""")"),"FRAGNES")</f>
        <v>FRAGNES</v>
      </c>
      <c r="E8541" s="38" t="s">
        <v>344</v>
      </c>
      <c r="F8541" s="38" t="s">
        <v>106</v>
      </c>
      <c r="G8541" s="49" t="str">
        <f t="shared" si="1"/>
        <v>71530</v>
      </c>
      <c r="H8541" s="49">
        <f t="shared" si="2"/>
        <v>71204</v>
      </c>
    </row>
    <row r="8542">
      <c r="A8542" s="48" t="s">
        <v>8626</v>
      </c>
      <c r="B8542" s="38">
        <v>7031.0</v>
      </c>
      <c r="C8542" s="38" t="s">
        <v>12251</v>
      </c>
      <c r="D8542" s="38" t="str">
        <f>IFERROR(__xludf.DUMMYFUNCTION("REGEXREPLACE(C8542,""-\d+(.*)|--\d+(.*)"","""")"),"BERRIAS-ET-CASTELJAU")</f>
        <v>BERRIAS-ET-CASTELJAU</v>
      </c>
      <c r="E8542" s="38" t="s">
        <v>144</v>
      </c>
      <c r="F8542" s="38" t="s">
        <v>102</v>
      </c>
      <c r="G8542" s="49" t="str">
        <f t="shared" si="1"/>
        <v>07460</v>
      </c>
      <c r="H8542" s="49" t="str">
        <f t="shared" si="2"/>
        <v>07031</v>
      </c>
    </row>
    <row r="8543">
      <c r="A8543" s="48" t="s">
        <v>12252</v>
      </c>
      <c r="B8543" s="38">
        <v>56011.0</v>
      </c>
      <c r="C8543" s="38" t="s">
        <v>12253</v>
      </c>
      <c r="D8543" s="38" t="str">
        <f>IFERROR(__xludf.DUMMYFUNCTION("REGEXREPLACE(C8543,""-\d+(.*)|--\d+(.*)"","""")"),"BEGANNE")</f>
        <v>BEGANNE</v>
      </c>
      <c r="E8543" s="38" t="s">
        <v>173</v>
      </c>
      <c r="F8543" s="38" t="s">
        <v>90</v>
      </c>
      <c r="G8543" s="49" t="str">
        <f t="shared" si="1"/>
        <v>56350</v>
      </c>
      <c r="H8543" s="49">
        <f t="shared" si="2"/>
        <v>56011</v>
      </c>
    </row>
    <row r="8544">
      <c r="A8544" s="48" t="s">
        <v>12254</v>
      </c>
      <c r="B8544" s="38">
        <v>29027.0</v>
      </c>
      <c r="C8544" s="38" t="s">
        <v>12255</v>
      </c>
      <c r="D8544" s="38" t="str">
        <f>IFERROR(__xludf.DUMMYFUNCTION("REGEXREPLACE(C8544,""-\d+(.*)|--\d+(.*)"","""")"),"CHATEAUNEUF-DU-FAOU")</f>
        <v>CHATEAUNEUF-DU-FAOU</v>
      </c>
      <c r="E8544" s="38" t="s">
        <v>176</v>
      </c>
      <c r="F8544" s="38" t="s">
        <v>90</v>
      </c>
      <c r="G8544" s="49" t="str">
        <f t="shared" si="1"/>
        <v>29520</v>
      </c>
      <c r="H8544" s="49">
        <f t="shared" si="2"/>
        <v>29027</v>
      </c>
    </row>
    <row r="8545">
      <c r="A8545" s="48" t="s">
        <v>3838</v>
      </c>
      <c r="B8545" s="38">
        <v>27550.0</v>
      </c>
      <c r="C8545" s="38" t="s">
        <v>12256</v>
      </c>
      <c r="D8545" s="38" t="str">
        <f>IFERROR(__xludf.DUMMYFUNCTION("REGEXREPLACE(C8545,""-\d+(.*)|--\d+(.*)"","""")"),"SAINT-GREGOIRE-DU-VIEVRE")</f>
        <v>SAINT-GREGOIRE-DU-VIEVRE</v>
      </c>
      <c r="E8545" s="38" t="s">
        <v>241</v>
      </c>
      <c r="F8545" s="38" t="s">
        <v>134</v>
      </c>
      <c r="G8545" s="49" t="str">
        <f t="shared" si="1"/>
        <v>27450</v>
      </c>
      <c r="H8545" s="49">
        <f t="shared" si="2"/>
        <v>27550</v>
      </c>
    </row>
    <row r="8546">
      <c r="A8546" s="48" t="s">
        <v>10651</v>
      </c>
      <c r="B8546" s="38">
        <v>81153.0</v>
      </c>
      <c r="C8546" s="38" t="s">
        <v>12257</v>
      </c>
      <c r="D8546" s="38" t="str">
        <f>IFERROR(__xludf.DUMMYFUNCTION("REGEXREPLACE(C8546,""-\d+(.*)|--\d+(.*)"","""")"),"LE MARGNES")</f>
        <v>LE MARGNES</v>
      </c>
      <c r="E8546" s="38" t="s">
        <v>231</v>
      </c>
      <c r="F8546" s="38" t="s">
        <v>94</v>
      </c>
      <c r="G8546" s="49" t="str">
        <f t="shared" si="1"/>
        <v>81260</v>
      </c>
      <c r="H8546" s="49">
        <f t="shared" si="2"/>
        <v>81153</v>
      </c>
    </row>
    <row r="8547">
      <c r="A8547" s="48" t="s">
        <v>12258</v>
      </c>
      <c r="B8547" s="38">
        <v>69008.0</v>
      </c>
      <c r="C8547" s="38" t="s">
        <v>12259</v>
      </c>
      <c r="D8547" s="38" t="str">
        <f>IFERROR(__xludf.DUMMYFUNCTION("REGEXREPLACE(C8547,""-\d+(.*)|--\d+(.*)"","""")"),"ANCY")</f>
        <v>ANCY</v>
      </c>
      <c r="E8547" s="38" t="s">
        <v>350</v>
      </c>
      <c r="F8547" s="38" t="s">
        <v>102</v>
      </c>
      <c r="G8547" s="49" t="str">
        <f t="shared" si="1"/>
        <v>69490</v>
      </c>
      <c r="H8547" s="49">
        <f t="shared" si="2"/>
        <v>69008</v>
      </c>
    </row>
    <row r="8548">
      <c r="A8548" s="48" t="s">
        <v>8396</v>
      </c>
      <c r="B8548" s="38">
        <v>7171.0</v>
      </c>
      <c r="C8548" s="38" t="s">
        <v>12260</v>
      </c>
      <c r="D8548" s="38" t="str">
        <f>IFERROR(__xludf.DUMMYFUNCTION("REGEXREPLACE(C8548,""-\d+(.*)|--\d+(.*)"","""")"),"PAYZAC")</f>
        <v>PAYZAC</v>
      </c>
      <c r="E8548" s="38" t="s">
        <v>144</v>
      </c>
      <c r="F8548" s="38" t="s">
        <v>102</v>
      </c>
      <c r="G8548" s="49" t="str">
        <f t="shared" si="1"/>
        <v>07230</v>
      </c>
      <c r="H8548" s="49" t="str">
        <f t="shared" si="2"/>
        <v>07171</v>
      </c>
    </row>
    <row r="8549">
      <c r="A8549" s="48" t="s">
        <v>5428</v>
      </c>
      <c r="B8549" s="38">
        <v>74313.0</v>
      </c>
      <c r="C8549" s="38" t="s">
        <v>12261</v>
      </c>
      <c r="D8549" s="38" t="str">
        <f>IFERROR(__xludf.DUMMYFUNCTION("REGEXREPLACE(C8549,""-\d+(.*)|--\d+(.*)"","""")"),"VOVRAY-EN-BORNES")</f>
        <v>VOVRAY-EN-BORNES</v>
      </c>
      <c r="E8549" s="38" t="s">
        <v>319</v>
      </c>
      <c r="F8549" s="38" t="s">
        <v>102</v>
      </c>
      <c r="G8549" s="49" t="str">
        <f t="shared" si="1"/>
        <v>74350</v>
      </c>
      <c r="H8549" s="49">
        <f t="shared" si="2"/>
        <v>74313</v>
      </c>
    </row>
    <row r="8550">
      <c r="A8550" s="48" t="s">
        <v>2547</v>
      </c>
      <c r="B8550" s="38">
        <v>8059.0</v>
      </c>
      <c r="C8550" s="38" t="s">
        <v>12262</v>
      </c>
      <c r="D8550" s="38" t="str">
        <f>IFERROR(__xludf.DUMMYFUNCTION("REGEXREPLACE(C8550,""-\d+(.*)|--\d+(.*)"","""")"),"BELVAL-BOIS-DES-DAMES")</f>
        <v>BELVAL-BOIS-DES-DAMES</v>
      </c>
      <c r="E8550" s="38" t="s">
        <v>327</v>
      </c>
      <c r="F8550" s="38" t="s">
        <v>130</v>
      </c>
      <c r="G8550" s="49" t="str">
        <f t="shared" si="1"/>
        <v>08240</v>
      </c>
      <c r="H8550" s="49" t="str">
        <f t="shared" si="2"/>
        <v>08059</v>
      </c>
    </row>
    <row r="8551">
      <c r="A8551" s="48" t="s">
        <v>8779</v>
      </c>
      <c r="B8551" s="38">
        <v>45262.0</v>
      </c>
      <c r="C8551" s="38" t="s">
        <v>12263</v>
      </c>
      <c r="D8551" s="38" t="str">
        <f>IFERROR(__xludf.DUMMYFUNCTION("REGEXREPLACE(C8551,""-\d+(.*)|--\d+(.*)"","""")"),"ROUVRAY-SAINTE-CROIX")</f>
        <v>ROUVRAY-SAINTE-CROIX</v>
      </c>
      <c r="E8551" s="38" t="s">
        <v>122</v>
      </c>
      <c r="F8551" s="38" t="s">
        <v>123</v>
      </c>
      <c r="G8551" s="49" t="str">
        <f t="shared" si="1"/>
        <v>45310</v>
      </c>
      <c r="H8551" s="49">
        <f t="shared" si="2"/>
        <v>45262</v>
      </c>
    </row>
    <row r="8552">
      <c r="A8552" s="48" t="s">
        <v>12264</v>
      </c>
      <c r="B8552" s="38">
        <v>16138.0</v>
      </c>
      <c r="C8552" s="38" t="s">
        <v>12265</v>
      </c>
      <c r="D8552" s="38" t="str">
        <f>IFERROR(__xludf.DUMMYFUNCTION("REGEXREPLACE(C8552,""-\d+(.*)|--\d+(.*)"","""")"),"FLEAC")</f>
        <v>FLEAC</v>
      </c>
      <c r="E8552" s="38" t="s">
        <v>429</v>
      </c>
      <c r="F8552" s="38" t="s">
        <v>338</v>
      </c>
      <c r="G8552" s="49" t="str">
        <f t="shared" si="1"/>
        <v>16730</v>
      </c>
      <c r="H8552" s="49">
        <f t="shared" si="2"/>
        <v>16138</v>
      </c>
    </row>
    <row r="8553">
      <c r="A8553" s="48" t="s">
        <v>7786</v>
      </c>
      <c r="B8553" s="38">
        <v>8136.0</v>
      </c>
      <c r="C8553" s="38" t="s">
        <v>12266</v>
      </c>
      <c r="D8553" s="38" t="str">
        <f>IFERROR(__xludf.DUMMYFUNCTION("REGEXREPLACE(C8553,""-\d+(.*)|--\d+(.*)"","""")"),"DAIGNY")</f>
        <v>DAIGNY</v>
      </c>
      <c r="E8553" s="38" t="s">
        <v>327</v>
      </c>
      <c r="F8553" s="38" t="s">
        <v>130</v>
      </c>
      <c r="G8553" s="49" t="str">
        <f t="shared" si="1"/>
        <v>08140</v>
      </c>
      <c r="H8553" s="49" t="str">
        <f t="shared" si="2"/>
        <v>08136</v>
      </c>
    </row>
    <row r="8554">
      <c r="A8554" s="48" t="s">
        <v>10386</v>
      </c>
      <c r="B8554" s="38">
        <v>63086.0</v>
      </c>
      <c r="C8554" s="38" t="s">
        <v>12267</v>
      </c>
      <c r="D8554" s="38" t="str">
        <f>IFERROR(__xludf.DUMMYFUNCTION("REGEXREPLACE(C8554,""-\d+(.*)|--\d+(.*)"","""")"),"LA CHAPELLE-AGNON")</f>
        <v>LA CHAPELLE-AGNON</v>
      </c>
      <c r="E8554" s="38" t="s">
        <v>353</v>
      </c>
      <c r="F8554" s="38" t="s">
        <v>161</v>
      </c>
      <c r="G8554" s="49" t="str">
        <f t="shared" si="1"/>
        <v>63590</v>
      </c>
      <c r="H8554" s="49">
        <f t="shared" si="2"/>
        <v>63086</v>
      </c>
    </row>
    <row r="8555">
      <c r="A8555" s="48" t="s">
        <v>2942</v>
      </c>
      <c r="B8555" s="38">
        <v>14264.0</v>
      </c>
      <c r="C8555" s="38" t="s">
        <v>12268</v>
      </c>
      <c r="D8555" s="38" t="str">
        <f>IFERROR(__xludf.DUMMYFUNCTION("REGEXREPLACE(C8555,""-\d+(.*)|--\d+(.*)"","""")"),"LA FERRIERE-HARANG")</f>
        <v>LA FERRIERE-HARANG</v>
      </c>
      <c r="E8555" s="38" t="s">
        <v>137</v>
      </c>
      <c r="F8555" s="38" t="s">
        <v>138</v>
      </c>
      <c r="G8555" s="49" t="str">
        <f t="shared" si="1"/>
        <v>14350</v>
      </c>
      <c r="H8555" s="49">
        <f t="shared" si="2"/>
        <v>14264</v>
      </c>
    </row>
    <row r="8556">
      <c r="A8556" s="48" t="s">
        <v>12269</v>
      </c>
      <c r="B8556" s="38">
        <v>86163.0</v>
      </c>
      <c r="C8556" s="38" t="s">
        <v>12270</v>
      </c>
      <c r="D8556" s="38" t="str">
        <f>IFERROR(__xludf.DUMMYFUNCTION("REGEXREPLACE(C8556,""-\d+(.*)|--\d+(.*)"","""")"),"MONTAMISE")</f>
        <v>MONTAMISE</v>
      </c>
      <c r="E8556" s="38" t="s">
        <v>529</v>
      </c>
      <c r="F8556" s="38" t="s">
        <v>338</v>
      </c>
      <c r="G8556" s="49" t="str">
        <f t="shared" si="1"/>
        <v>86360</v>
      </c>
      <c r="H8556" s="49">
        <f t="shared" si="2"/>
        <v>86163</v>
      </c>
    </row>
    <row r="8557">
      <c r="A8557" s="48" t="s">
        <v>5122</v>
      </c>
      <c r="B8557" s="38">
        <v>62078.0</v>
      </c>
      <c r="C8557" s="38" t="s">
        <v>12271</v>
      </c>
      <c r="D8557" s="38" t="str">
        <f>IFERROR(__xludf.DUMMYFUNCTION("REGEXREPLACE(C8557,""-\d+(.*)|--\d+(.*)"","""")"),"BALINGHEM")</f>
        <v>BALINGHEM</v>
      </c>
      <c r="E8557" s="38" t="s">
        <v>109</v>
      </c>
      <c r="F8557" s="38" t="s">
        <v>86</v>
      </c>
      <c r="G8557" s="49" t="str">
        <f t="shared" si="1"/>
        <v>62610</v>
      </c>
      <c r="H8557" s="49">
        <f t="shared" si="2"/>
        <v>62078</v>
      </c>
    </row>
    <row r="8558">
      <c r="A8558" s="48" t="s">
        <v>960</v>
      </c>
      <c r="B8558" s="38">
        <v>28405.0</v>
      </c>
      <c r="C8558" s="38" t="s">
        <v>12272</v>
      </c>
      <c r="D8558" s="38" t="str">
        <f>IFERROR(__xludf.DUMMYFUNCTION("REGEXREPLACE(C8558,""-\d+(.*)|--\d+(.*)"","""")"),"VERT-EN-DROUAIS")</f>
        <v>VERT-EN-DROUAIS</v>
      </c>
      <c r="E8558" s="38" t="s">
        <v>300</v>
      </c>
      <c r="F8558" s="38" t="s">
        <v>123</v>
      </c>
      <c r="G8558" s="49" t="str">
        <f t="shared" si="1"/>
        <v>28500</v>
      </c>
      <c r="H8558" s="49">
        <f t="shared" si="2"/>
        <v>28405</v>
      </c>
    </row>
    <row r="8559">
      <c r="A8559" s="48" t="s">
        <v>1201</v>
      </c>
      <c r="B8559" s="38">
        <v>78246.0</v>
      </c>
      <c r="C8559" s="38" t="s">
        <v>12273</v>
      </c>
      <c r="D8559" s="38" t="str">
        <f>IFERROR(__xludf.DUMMYFUNCTION("REGEXREPLACE(C8559,""-\d+(.*)|--\d+(.*)"","""")"),"FONTENAY-SAINT-PERE")</f>
        <v>FONTENAY-SAINT-PERE</v>
      </c>
      <c r="E8559" s="38" t="s">
        <v>362</v>
      </c>
      <c r="F8559" s="38" t="s">
        <v>245</v>
      </c>
      <c r="G8559" s="49" t="str">
        <f t="shared" si="1"/>
        <v>78440</v>
      </c>
      <c r="H8559" s="49">
        <f t="shared" si="2"/>
        <v>78246</v>
      </c>
    </row>
    <row r="8560">
      <c r="A8560" s="48" t="s">
        <v>2957</v>
      </c>
      <c r="B8560" s="38">
        <v>86190.0</v>
      </c>
      <c r="C8560" s="38" t="s">
        <v>12274</v>
      </c>
      <c r="D8560" s="38" t="str">
        <f>IFERROR(__xludf.DUMMYFUNCTION("REGEXREPLACE(C8560,""-\d+(.*)|--\d+(.*)"","""")"),"PERSAC")</f>
        <v>PERSAC</v>
      </c>
      <c r="E8560" s="38" t="s">
        <v>529</v>
      </c>
      <c r="F8560" s="38" t="s">
        <v>338</v>
      </c>
      <c r="G8560" s="49" t="str">
        <f t="shared" si="1"/>
        <v>86320</v>
      </c>
      <c r="H8560" s="49">
        <f t="shared" si="2"/>
        <v>86190</v>
      </c>
    </row>
    <row r="8561">
      <c r="A8561" s="48" t="s">
        <v>10227</v>
      </c>
      <c r="B8561" s="38">
        <v>16353.0</v>
      </c>
      <c r="C8561" s="38" t="s">
        <v>12275</v>
      </c>
      <c r="D8561" s="38" t="str">
        <f>IFERROR(__xludf.DUMMYFUNCTION("REGEXREPLACE(C8561,""-\d+(.*)|--\d+(.*)"","""")"),"SAINT-SORNIN")</f>
        <v>SAINT-SORNIN</v>
      </c>
      <c r="E8561" s="38" t="s">
        <v>429</v>
      </c>
      <c r="F8561" s="38" t="s">
        <v>338</v>
      </c>
      <c r="G8561" s="49" t="str">
        <f t="shared" si="1"/>
        <v>16220</v>
      </c>
      <c r="H8561" s="49">
        <f t="shared" si="2"/>
        <v>16353</v>
      </c>
    </row>
    <row r="8562">
      <c r="A8562" s="48" t="s">
        <v>5810</v>
      </c>
      <c r="B8562" s="38">
        <v>54092.0</v>
      </c>
      <c r="C8562" s="38" t="s">
        <v>12276</v>
      </c>
      <c r="D8562" s="38" t="str">
        <f>IFERROR(__xludf.DUMMYFUNCTION("REGEXREPLACE(C8562,""-\d+(.*)|--\d+(.*)"","""")"),"BOUZANVILLE")</f>
        <v>BOUZANVILLE</v>
      </c>
      <c r="E8562" s="38" t="s">
        <v>548</v>
      </c>
      <c r="F8562" s="38" t="s">
        <v>195</v>
      </c>
      <c r="G8562" s="49" t="str">
        <f t="shared" si="1"/>
        <v>54930</v>
      </c>
      <c r="H8562" s="49">
        <f t="shared" si="2"/>
        <v>54092</v>
      </c>
    </row>
    <row r="8563">
      <c r="A8563" s="48" t="s">
        <v>928</v>
      </c>
      <c r="B8563" s="38">
        <v>38305.0</v>
      </c>
      <c r="C8563" s="38" t="s">
        <v>820</v>
      </c>
      <c r="D8563" s="38" t="str">
        <f>IFERROR(__xludf.DUMMYFUNCTION("REGEXREPLACE(C8563,""-\d+(.*)|--\d+(.*)"","""")"),"LE PIN")</f>
        <v>LE PIN</v>
      </c>
      <c r="E8563" s="38" t="s">
        <v>101</v>
      </c>
      <c r="F8563" s="38" t="s">
        <v>102</v>
      </c>
      <c r="G8563" s="49" t="str">
        <f t="shared" si="1"/>
        <v>38730</v>
      </c>
      <c r="H8563" s="49">
        <f t="shared" si="2"/>
        <v>38305</v>
      </c>
    </row>
    <row r="8564">
      <c r="A8564" s="48" t="s">
        <v>1014</v>
      </c>
      <c r="B8564" s="38">
        <v>11261.0</v>
      </c>
      <c r="C8564" s="38" t="s">
        <v>12277</v>
      </c>
      <c r="D8564" s="38" t="str">
        <f>IFERROR(__xludf.DUMMYFUNCTION("REGEXREPLACE(C8564,""-\d+(.*)|--\d+(.*)"","""")"),"MOUX")</f>
        <v>MOUX</v>
      </c>
      <c r="E8564" s="38" t="s">
        <v>278</v>
      </c>
      <c r="F8564" s="38" t="s">
        <v>119</v>
      </c>
      <c r="G8564" s="49" t="str">
        <f t="shared" si="1"/>
        <v>11700</v>
      </c>
      <c r="H8564" s="49">
        <f t="shared" si="2"/>
        <v>11261</v>
      </c>
    </row>
    <row r="8565">
      <c r="A8565" s="48" t="s">
        <v>5831</v>
      </c>
      <c r="B8565" s="38">
        <v>5034.0</v>
      </c>
      <c r="C8565" s="38" t="s">
        <v>12278</v>
      </c>
      <c r="D8565" s="38" t="str">
        <f>IFERROR(__xludf.DUMMYFUNCTION("REGEXREPLACE(C8565,""-\d+(.*)|--\d+(.*)"","""")"),"CHATEAUNEUF-DE-CHABRE")</f>
        <v>CHATEAUNEUF-DE-CHABRE</v>
      </c>
      <c r="E8565" s="38" t="s">
        <v>706</v>
      </c>
      <c r="F8565" s="38" t="s">
        <v>228</v>
      </c>
      <c r="G8565" s="49" t="str">
        <f t="shared" si="1"/>
        <v>05300</v>
      </c>
      <c r="H8565" s="49" t="str">
        <f t="shared" si="2"/>
        <v>05034</v>
      </c>
    </row>
    <row r="8566">
      <c r="A8566" s="48" t="s">
        <v>3266</v>
      </c>
      <c r="B8566" s="38">
        <v>55141.0</v>
      </c>
      <c r="C8566" s="38" t="s">
        <v>12279</v>
      </c>
      <c r="D8566" s="38" t="str">
        <f>IFERROR(__xludf.DUMMYFUNCTION("REGEXREPLACE(C8566,""-\d+(.*)|--\d+(.*)"","""")"),"DAGONVILLE")</f>
        <v>DAGONVILLE</v>
      </c>
      <c r="E8566" s="38" t="s">
        <v>322</v>
      </c>
      <c r="F8566" s="38" t="s">
        <v>195</v>
      </c>
      <c r="G8566" s="49" t="str">
        <f t="shared" si="1"/>
        <v>55500</v>
      </c>
      <c r="H8566" s="49">
        <f t="shared" si="2"/>
        <v>55141</v>
      </c>
    </row>
    <row r="8567">
      <c r="A8567" s="48" t="s">
        <v>5241</v>
      </c>
      <c r="B8567" s="38">
        <v>36024.0</v>
      </c>
      <c r="C8567" s="38" t="s">
        <v>3803</v>
      </c>
      <c r="D8567" s="38" t="str">
        <f>IFERROR(__xludf.DUMMYFUNCTION("REGEXREPLACE(C8567,""-\d+(.*)|--\d+(.*)"","""")"),"BRETAGNE")</f>
        <v>BRETAGNE</v>
      </c>
      <c r="E8567" s="38" t="s">
        <v>258</v>
      </c>
      <c r="F8567" s="38" t="s">
        <v>123</v>
      </c>
      <c r="G8567" s="49" t="str">
        <f t="shared" si="1"/>
        <v>36110</v>
      </c>
      <c r="H8567" s="49">
        <f t="shared" si="2"/>
        <v>36024</v>
      </c>
    </row>
    <row r="8568">
      <c r="A8568" s="48" t="s">
        <v>239</v>
      </c>
      <c r="B8568" s="38">
        <v>27201.0</v>
      </c>
      <c r="C8568" s="38" t="s">
        <v>12280</v>
      </c>
      <c r="D8568" s="38" t="str">
        <f>IFERROR(__xludf.DUMMYFUNCTION("REGEXREPLACE(C8568,""-\d+(.*)|--\d+(.*)"","""")"),"DAUBEUF-LA-CAMPAGNE")</f>
        <v>DAUBEUF-LA-CAMPAGNE</v>
      </c>
      <c r="E8568" s="38" t="s">
        <v>241</v>
      </c>
      <c r="F8568" s="38" t="s">
        <v>134</v>
      </c>
      <c r="G8568" s="49" t="str">
        <f t="shared" si="1"/>
        <v>27110</v>
      </c>
      <c r="H8568" s="49">
        <f t="shared" si="2"/>
        <v>27201</v>
      </c>
    </row>
    <row r="8569">
      <c r="A8569" s="48" t="s">
        <v>12281</v>
      </c>
      <c r="B8569" s="38">
        <v>54020.0</v>
      </c>
      <c r="C8569" s="38" t="s">
        <v>12282</v>
      </c>
      <c r="D8569" s="38" t="str">
        <f>IFERROR(__xludf.DUMMYFUNCTION("REGEXREPLACE(C8569,""-\d+(.*)|--\d+(.*)"","""")"),"ANTHELUPT")</f>
        <v>ANTHELUPT</v>
      </c>
      <c r="E8569" s="38" t="s">
        <v>548</v>
      </c>
      <c r="F8569" s="38" t="s">
        <v>195</v>
      </c>
      <c r="G8569" s="49" t="str">
        <f t="shared" si="1"/>
        <v>54110</v>
      </c>
      <c r="H8569" s="49">
        <f t="shared" si="2"/>
        <v>54020</v>
      </c>
    </row>
    <row r="8570">
      <c r="A8570" s="48" t="s">
        <v>12283</v>
      </c>
      <c r="B8570" s="38">
        <v>81002.0</v>
      </c>
      <c r="C8570" s="38" t="s">
        <v>12284</v>
      </c>
      <c r="D8570" s="38" t="str">
        <f>IFERROR(__xludf.DUMMYFUNCTION("REGEXREPLACE(C8570,""-\d+(.*)|--\d+(.*)"","""")"),"AIGUEFONDE")</f>
        <v>AIGUEFONDE</v>
      </c>
      <c r="E8570" s="38" t="s">
        <v>231</v>
      </c>
      <c r="F8570" s="38" t="s">
        <v>94</v>
      </c>
      <c r="G8570" s="49" t="str">
        <f t="shared" si="1"/>
        <v>81200</v>
      </c>
      <c r="H8570" s="49">
        <f t="shared" si="2"/>
        <v>81002</v>
      </c>
    </row>
    <row r="8571">
      <c r="A8571" s="48" t="s">
        <v>5525</v>
      </c>
      <c r="B8571" s="38">
        <v>10029.0</v>
      </c>
      <c r="C8571" s="38" t="s">
        <v>12285</v>
      </c>
      <c r="D8571" s="38" t="str">
        <f>IFERROR(__xludf.DUMMYFUNCTION("REGEXREPLACE(C8571,""-\d+(.*)|--\d+(.*)"","""")"),"BALNOT-SUR-LAIGNES")</f>
        <v>BALNOT-SUR-LAIGNES</v>
      </c>
      <c r="E8571" s="38" t="s">
        <v>147</v>
      </c>
      <c r="F8571" s="38" t="s">
        <v>130</v>
      </c>
      <c r="G8571" s="49" t="str">
        <f t="shared" si="1"/>
        <v>10110</v>
      </c>
      <c r="H8571" s="49">
        <f t="shared" si="2"/>
        <v>10029</v>
      </c>
    </row>
    <row r="8572">
      <c r="A8572" s="48" t="s">
        <v>4326</v>
      </c>
      <c r="B8572" s="38">
        <v>46287.0</v>
      </c>
      <c r="C8572" s="38" t="s">
        <v>12286</v>
      </c>
      <c r="D8572" s="38" t="str">
        <f>IFERROR(__xludf.DUMMYFUNCTION("REGEXREPLACE(C8572,""-\d+(.*)|--\d+(.*)"","""")"),"SAINT-PAUL-DE-LOUBRESSAC")</f>
        <v>SAINT-PAUL-DE-LOUBRESSAC</v>
      </c>
      <c r="E8572" s="38" t="s">
        <v>185</v>
      </c>
      <c r="F8572" s="38" t="s">
        <v>94</v>
      </c>
      <c r="G8572" s="49" t="str">
        <f t="shared" si="1"/>
        <v>46170</v>
      </c>
      <c r="H8572" s="49">
        <f t="shared" si="2"/>
        <v>46287</v>
      </c>
    </row>
    <row r="8573">
      <c r="A8573" s="48" t="s">
        <v>3983</v>
      </c>
      <c r="B8573" s="38">
        <v>67258.0</v>
      </c>
      <c r="C8573" s="38" t="s">
        <v>12287</v>
      </c>
      <c r="D8573" s="38" t="str">
        <f>IFERROR(__xludf.DUMMYFUNCTION("REGEXREPLACE(C8573,""-\d+(.*)|--\d+(.*)"","""")"),"LANDERSHEIM")</f>
        <v>LANDERSHEIM</v>
      </c>
      <c r="E8573" s="38" t="s">
        <v>210</v>
      </c>
      <c r="F8573" s="38" t="s">
        <v>151</v>
      </c>
      <c r="G8573" s="49" t="str">
        <f t="shared" si="1"/>
        <v>67700</v>
      </c>
      <c r="H8573" s="49">
        <f t="shared" si="2"/>
        <v>67258</v>
      </c>
    </row>
    <row r="8574">
      <c r="A8574" s="48" t="s">
        <v>12288</v>
      </c>
      <c r="B8574" s="38">
        <v>34032.0</v>
      </c>
      <c r="C8574" s="38" t="s">
        <v>12289</v>
      </c>
      <c r="D8574" s="38" t="str">
        <f>IFERROR(__xludf.DUMMYFUNCTION("REGEXREPLACE(C8574,""-\d+(.*)|--\d+(.*)"","""")"),"BEZIERS")</f>
        <v>BEZIERS</v>
      </c>
      <c r="E8574" s="38" t="s">
        <v>118</v>
      </c>
      <c r="F8574" s="38" t="s">
        <v>119</v>
      </c>
      <c r="G8574" s="49" t="str">
        <f t="shared" si="1"/>
        <v>34500</v>
      </c>
      <c r="H8574" s="49">
        <f t="shared" si="2"/>
        <v>34032</v>
      </c>
    </row>
    <row r="8575">
      <c r="A8575" s="48" t="s">
        <v>2613</v>
      </c>
      <c r="B8575" s="38">
        <v>47325.0</v>
      </c>
      <c r="C8575" s="38" t="s">
        <v>12290</v>
      </c>
      <c r="D8575" s="38" t="str">
        <f>IFERROR(__xludf.DUMMYFUNCTION("REGEXREPLACE(C8575,""-\d+(.*)|--\d+(.*)"","""")"),"VILLETON")</f>
        <v>VILLETON</v>
      </c>
      <c r="E8575" s="38" t="s">
        <v>251</v>
      </c>
      <c r="F8575" s="38" t="s">
        <v>252</v>
      </c>
      <c r="G8575" s="49" t="str">
        <f t="shared" si="1"/>
        <v>47400</v>
      </c>
      <c r="H8575" s="49">
        <f t="shared" si="2"/>
        <v>47325</v>
      </c>
    </row>
    <row r="8576">
      <c r="A8576" s="48" t="s">
        <v>4570</v>
      </c>
      <c r="B8576" s="38">
        <v>57460.0</v>
      </c>
      <c r="C8576" s="38" t="s">
        <v>12291</v>
      </c>
      <c r="D8576" s="38" t="str">
        <f>IFERROR(__xludf.DUMMYFUNCTION("REGEXREPLACE(C8576,""-\d+(.*)|--\d+(.*)"","""")"),"MERTEN")</f>
        <v>MERTEN</v>
      </c>
      <c r="E8576" s="38" t="s">
        <v>303</v>
      </c>
      <c r="F8576" s="38" t="s">
        <v>195</v>
      </c>
      <c r="G8576" s="49" t="str">
        <f t="shared" si="1"/>
        <v>57550</v>
      </c>
      <c r="H8576" s="49">
        <f t="shared" si="2"/>
        <v>57460</v>
      </c>
    </row>
    <row r="8577">
      <c r="A8577" s="48" t="s">
        <v>12007</v>
      </c>
      <c r="B8577" s="38">
        <v>37091.0</v>
      </c>
      <c r="C8577" s="38" t="s">
        <v>12292</v>
      </c>
      <c r="D8577" s="38" t="str">
        <f>IFERROR(__xludf.DUMMYFUNCTION("REGEXREPLACE(C8577,""-\d+(.*)|--\d+(.*)"","""")"),"LA CROIX-EN-TOURAINE")</f>
        <v>LA CROIX-EN-TOURAINE</v>
      </c>
      <c r="E8577" s="38" t="s">
        <v>205</v>
      </c>
      <c r="F8577" s="38" t="s">
        <v>123</v>
      </c>
      <c r="G8577" s="49" t="str">
        <f t="shared" si="1"/>
        <v>37150</v>
      </c>
      <c r="H8577" s="49">
        <f t="shared" si="2"/>
        <v>37091</v>
      </c>
    </row>
    <row r="8578">
      <c r="A8578" s="48" t="s">
        <v>12066</v>
      </c>
      <c r="B8578" s="38">
        <v>56044.0</v>
      </c>
      <c r="C8578" s="38" t="s">
        <v>12293</v>
      </c>
      <c r="D8578" s="38" t="str">
        <f>IFERROR(__xludf.DUMMYFUNCTION("REGEXREPLACE(C8578,""-\d+(.*)|--\d+(.*)"","""")"),"COURNON")</f>
        <v>COURNON</v>
      </c>
      <c r="E8578" s="38" t="s">
        <v>173</v>
      </c>
      <c r="F8578" s="38" t="s">
        <v>90</v>
      </c>
      <c r="G8578" s="49" t="str">
        <f t="shared" si="1"/>
        <v>56200</v>
      </c>
      <c r="H8578" s="49">
        <f t="shared" si="2"/>
        <v>56044</v>
      </c>
    </row>
    <row r="8579">
      <c r="A8579" s="48" t="s">
        <v>7676</v>
      </c>
      <c r="B8579" s="38">
        <v>63135.0</v>
      </c>
      <c r="C8579" s="38" t="s">
        <v>12294</v>
      </c>
      <c r="D8579" s="38" t="str">
        <f>IFERROR(__xludf.DUMMYFUNCTION("REGEXREPLACE(C8579,""-\d+(.*)|--\d+(.*)"","""")"),"DAVAYAT")</f>
        <v>DAVAYAT</v>
      </c>
      <c r="E8579" s="38" t="s">
        <v>353</v>
      </c>
      <c r="F8579" s="38" t="s">
        <v>161</v>
      </c>
      <c r="G8579" s="49" t="str">
        <f t="shared" si="1"/>
        <v>63200</v>
      </c>
      <c r="H8579" s="49">
        <f t="shared" si="2"/>
        <v>63135</v>
      </c>
    </row>
    <row r="8580">
      <c r="A8580" s="48" t="s">
        <v>7122</v>
      </c>
      <c r="B8580" s="38">
        <v>57541.0</v>
      </c>
      <c r="C8580" s="38" t="s">
        <v>12295</v>
      </c>
      <c r="D8580" s="38" t="str">
        <f>IFERROR(__xludf.DUMMYFUNCTION("REGEXREPLACE(C8580,""-\d+(.*)|--\d+(.*)"","""")"),"PHILIPPSBOURG")</f>
        <v>PHILIPPSBOURG</v>
      </c>
      <c r="E8580" s="38" t="s">
        <v>303</v>
      </c>
      <c r="F8580" s="38" t="s">
        <v>195</v>
      </c>
      <c r="G8580" s="49" t="str">
        <f t="shared" si="1"/>
        <v>57230</v>
      </c>
      <c r="H8580" s="49">
        <f t="shared" si="2"/>
        <v>57541</v>
      </c>
    </row>
    <row r="8581">
      <c r="A8581" s="48" t="s">
        <v>12296</v>
      </c>
      <c r="B8581" s="38">
        <v>73032.0</v>
      </c>
      <c r="C8581" s="38" t="s">
        <v>12297</v>
      </c>
      <c r="D8581" s="38" t="str">
        <f>IFERROR(__xludf.DUMMYFUNCTION("REGEXREPLACE(C8581,""-\d+(.*)|--\d+(.*)"","""")"),"LA BATHIE")</f>
        <v>LA BATHIE</v>
      </c>
      <c r="E8581" s="38" t="s">
        <v>306</v>
      </c>
      <c r="F8581" s="38" t="s">
        <v>102</v>
      </c>
      <c r="G8581" s="49" t="str">
        <f t="shared" si="1"/>
        <v>73540</v>
      </c>
      <c r="H8581" s="49">
        <f t="shared" si="2"/>
        <v>73032</v>
      </c>
    </row>
    <row r="8582">
      <c r="A8582" s="48" t="s">
        <v>1224</v>
      </c>
      <c r="B8582" s="38">
        <v>18093.0</v>
      </c>
      <c r="C8582" s="38" t="s">
        <v>12298</v>
      </c>
      <c r="D8582" s="38" t="str">
        <f>IFERROR(__xludf.DUMMYFUNCTION("REGEXREPLACE(C8582,""-\d+(.*)|--\d+(.*)"","""")"),"FAVERDINES")</f>
        <v>FAVERDINES</v>
      </c>
      <c r="E8582" s="38" t="s">
        <v>504</v>
      </c>
      <c r="F8582" s="38" t="s">
        <v>123</v>
      </c>
      <c r="G8582" s="49" t="str">
        <f t="shared" si="1"/>
        <v>18360</v>
      </c>
      <c r="H8582" s="49">
        <f t="shared" si="2"/>
        <v>18093</v>
      </c>
    </row>
    <row r="8583">
      <c r="A8583" s="48" t="s">
        <v>8587</v>
      </c>
      <c r="B8583" s="38">
        <v>66155.0</v>
      </c>
      <c r="C8583" s="38" t="s">
        <v>12299</v>
      </c>
      <c r="D8583" s="38" t="str">
        <f>IFERROR(__xludf.DUMMYFUNCTION("REGEXREPLACE(C8583,""-\d+(.*)|--\d+(.*)"","""")"),"PY")</f>
        <v>PY</v>
      </c>
      <c r="E8583" s="38" t="s">
        <v>248</v>
      </c>
      <c r="F8583" s="38" t="s">
        <v>119</v>
      </c>
      <c r="G8583" s="49" t="str">
        <f t="shared" si="1"/>
        <v>66360</v>
      </c>
      <c r="H8583" s="49">
        <f t="shared" si="2"/>
        <v>66155</v>
      </c>
    </row>
    <row r="8584">
      <c r="A8584" s="48" t="s">
        <v>12300</v>
      </c>
      <c r="B8584" s="38">
        <v>37039.0</v>
      </c>
      <c r="C8584" s="38" t="s">
        <v>12301</v>
      </c>
      <c r="D8584" s="38" t="str">
        <f>IFERROR(__xludf.DUMMYFUNCTION("REGEXREPLACE(C8584,""-\d+(.*)|--\d+(.*)"","""")"),"BRIDORE")</f>
        <v>BRIDORE</v>
      </c>
      <c r="E8584" s="38" t="s">
        <v>205</v>
      </c>
      <c r="F8584" s="38" t="s">
        <v>123</v>
      </c>
      <c r="G8584" s="49" t="str">
        <f t="shared" si="1"/>
        <v>37600</v>
      </c>
      <c r="H8584" s="49">
        <f t="shared" si="2"/>
        <v>37039</v>
      </c>
    </row>
    <row r="8585">
      <c r="A8585" s="48" t="s">
        <v>12302</v>
      </c>
      <c r="B8585" s="38">
        <v>73076.0</v>
      </c>
      <c r="C8585" s="38" t="s">
        <v>12303</v>
      </c>
      <c r="D8585" s="38" t="str">
        <f>IFERROR(__xludf.DUMMYFUNCTION("REGEXREPLACE(C8585,""-\d+(.*)|--\d+(.*)"","""")"),"LA CHAPELLE-DU-MONT-DU-CHAT")</f>
        <v>LA CHAPELLE-DU-MONT-DU-CHAT</v>
      </c>
      <c r="E8585" s="38" t="s">
        <v>306</v>
      </c>
      <c r="F8585" s="38" t="s">
        <v>102</v>
      </c>
      <c r="G8585" s="49" t="str">
        <f t="shared" si="1"/>
        <v>73370</v>
      </c>
      <c r="H8585" s="49">
        <f t="shared" si="2"/>
        <v>73076</v>
      </c>
    </row>
    <row r="8586">
      <c r="A8586" s="48" t="s">
        <v>7933</v>
      </c>
      <c r="B8586" s="38">
        <v>27290.0</v>
      </c>
      <c r="C8586" s="38" t="s">
        <v>12304</v>
      </c>
      <c r="D8586" s="38" t="str">
        <f>IFERROR(__xludf.DUMMYFUNCTION("REGEXREPLACE(C8586,""-\d+(.*)|--\d+(.*)"","""")"),"GOUPILLIERES")</f>
        <v>GOUPILLIERES</v>
      </c>
      <c r="E8586" s="38" t="s">
        <v>241</v>
      </c>
      <c r="F8586" s="38" t="s">
        <v>134</v>
      </c>
      <c r="G8586" s="49" t="str">
        <f t="shared" si="1"/>
        <v>27170</v>
      </c>
      <c r="H8586" s="49">
        <f t="shared" si="2"/>
        <v>27290</v>
      </c>
    </row>
    <row r="8587">
      <c r="A8587" s="48" t="s">
        <v>8839</v>
      </c>
      <c r="B8587" s="38">
        <v>53173.0</v>
      </c>
      <c r="C8587" s="38" t="s">
        <v>12305</v>
      </c>
      <c r="D8587" s="38" t="str">
        <f>IFERROR(__xludf.DUMMYFUNCTION("REGEXREPLACE(C8587,""-\d+(.*)|--\d+(.*)"","""")"),"LA PALLU")</f>
        <v>LA PALLU</v>
      </c>
      <c r="E8587" s="38" t="s">
        <v>518</v>
      </c>
      <c r="F8587" s="38" t="s">
        <v>180</v>
      </c>
      <c r="G8587" s="49" t="str">
        <f t="shared" si="1"/>
        <v>53140</v>
      </c>
      <c r="H8587" s="49">
        <f t="shared" si="2"/>
        <v>53173</v>
      </c>
    </row>
    <row r="8588">
      <c r="A8588" s="48" t="s">
        <v>9795</v>
      </c>
      <c r="B8588" s="38">
        <v>33324.0</v>
      </c>
      <c r="C8588" s="38" t="s">
        <v>12306</v>
      </c>
      <c r="D8588" s="38" t="str">
        <f>IFERROR(__xludf.DUMMYFUNCTION("REGEXREPLACE(C8588,""-\d+(.*)|--\d+(.*)"","""")"),"PINEUILH")</f>
        <v>PINEUILH</v>
      </c>
      <c r="E8588" s="38" t="s">
        <v>462</v>
      </c>
      <c r="F8588" s="38" t="s">
        <v>252</v>
      </c>
      <c r="G8588" s="49" t="str">
        <f t="shared" si="1"/>
        <v>33220</v>
      </c>
      <c r="H8588" s="49">
        <f t="shared" si="2"/>
        <v>33324</v>
      </c>
    </row>
    <row r="8589">
      <c r="A8589" s="48" t="s">
        <v>12307</v>
      </c>
      <c r="B8589" s="38">
        <v>22109.0</v>
      </c>
      <c r="C8589" s="38" t="s">
        <v>12308</v>
      </c>
      <c r="D8589" s="38" t="str">
        <f>IFERROR(__xludf.DUMMYFUNCTION("REGEXREPLACE(C8589,""-\d+(.*)|--\d+(.*)"","""")"),"LANLOUP")</f>
        <v>LANLOUP</v>
      </c>
      <c r="E8589" s="38" t="s">
        <v>89</v>
      </c>
      <c r="F8589" s="38" t="s">
        <v>90</v>
      </c>
      <c r="G8589" s="49" t="str">
        <f t="shared" si="1"/>
        <v>22580</v>
      </c>
      <c r="H8589" s="49">
        <f t="shared" si="2"/>
        <v>22109</v>
      </c>
    </row>
    <row r="8590">
      <c r="A8590" s="48" t="s">
        <v>3305</v>
      </c>
      <c r="B8590" s="38">
        <v>24538.0</v>
      </c>
      <c r="C8590" s="38" t="s">
        <v>12309</v>
      </c>
      <c r="D8590" s="38" t="str">
        <f>IFERROR(__xludf.DUMMYFUNCTION("REGEXREPLACE(C8590,""-\d+(.*)|--\d+(.*)"","""")"),"SIORAC-EN-PERIGORD")</f>
        <v>SIORAC-EN-PERIGORD</v>
      </c>
      <c r="E8590" s="38" t="s">
        <v>261</v>
      </c>
      <c r="F8590" s="38" t="s">
        <v>252</v>
      </c>
      <c r="G8590" s="49" t="str">
        <f t="shared" si="1"/>
        <v>24170</v>
      </c>
      <c r="H8590" s="49">
        <f t="shared" si="2"/>
        <v>24538</v>
      </c>
    </row>
    <row r="8591">
      <c r="A8591" s="48" t="s">
        <v>2338</v>
      </c>
      <c r="B8591" s="38">
        <v>8109.0</v>
      </c>
      <c r="C8591" s="38" t="s">
        <v>12310</v>
      </c>
      <c r="D8591" s="38" t="str">
        <f>IFERROR(__xludf.DUMMYFUNCTION("REGEXREPLACE(C8591,""-\d+(.*)|--\d+(.*)"","""")"),"CHATEL-CHEHERY")</f>
        <v>CHATEL-CHEHERY</v>
      </c>
      <c r="E8591" s="38" t="s">
        <v>327</v>
      </c>
      <c r="F8591" s="38" t="s">
        <v>130</v>
      </c>
      <c r="G8591" s="49" t="str">
        <f t="shared" si="1"/>
        <v>08250</v>
      </c>
      <c r="H8591" s="49" t="str">
        <f t="shared" si="2"/>
        <v>08109</v>
      </c>
    </row>
    <row r="8592">
      <c r="A8592" s="48" t="s">
        <v>423</v>
      </c>
      <c r="B8592" s="38">
        <v>2557.0</v>
      </c>
      <c r="C8592" s="38" t="s">
        <v>12311</v>
      </c>
      <c r="D8592" s="38" t="str">
        <f>IFERROR(__xludf.DUMMYFUNCTION("REGEXREPLACE(C8592,""-\d+(.*)|--\d+(.*)"","""")"),"NOROY-SUR-OURCQ")</f>
        <v>NOROY-SUR-OURCQ</v>
      </c>
      <c r="E8592" s="38" t="s">
        <v>191</v>
      </c>
      <c r="F8592" s="38" t="s">
        <v>113</v>
      </c>
      <c r="G8592" s="49" t="str">
        <f t="shared" si="1"/>
        <v>02600</v>
      </c>
      <c r="H8592" s="49" t="str">
        <f t="shared" si="2"/>
        <v>02557</v>
      </c>
    </row>
    <row r="8593">
      <c r="A8593" s="48" t="s">
        <v>4799</v>
      </c>
      <c r="B8593" s="38">
        <v>38388.0</v>
      </c>
      <c r="C8593" s="38" t="s">
        <v>12312</v>
      </c>
      <c r="D8593" s="38" t="str">
        <f>IFERROR(__xludf.DUMMYFUNCTION("REGEXREPLACE(C8593,""-\d+(.*)|--\d+(.*)"","""")"),"SAINT-GEORGES-DE-COMMIERS")</f>
        <v>SAINT-GEORGES-DE-COMMIERS</v>
      </c>
      <c r="E8593" s="38" t="s">
        <v>101</v>
      </c>
      <c r="F8593" s="38" t="s">
        <v>102</v>
      </c>
      <c r="G8593" s="49" t="str">
        <f t="shared" si="1"/>
        <v>38450</v>
      </c>
      <c r="H8593" s="49">
        <f t="shared" si="2"/>
        <v>38388</v>
      </c>
    </row>
    <row r="8594">
      <c r="A8594" s="48" t="s">
        <v>3036</v>
      </c>
      <c r="B8594" s="38">
        <v>61083.0</v>
      </c>
      <c r="C8594" s="38" t="s">
        <v>12313</v>
      </c>
      <c r="D8594" s="38" t="str">
        <f>IFERROR(__xludf.DUMMYFUNCTION("REGEXREPLACE(C8594,""-\d+(.*)|--\d+(.*)"","""")"),"CHAMBOIS")</f>
        <v>CHAMBOIS</v>
      </c>
      <c r="E8594" s="38" t="s">
        <v>141</v>
      </c>
      <c r="F8594" s="38" t="s">
        <v>138</v>
      </c>
      <c r="G8594" s="49" t="str">
        <f t="shared" si="1"/>
        <v>61160</v>
      </c>
      <c r="H8594" s="49">
        <f t="shared" si="2"/>
        <v>61083</v>
      </c>
    </row>
    <row r="8595">
      <c r="A8595" s="48" t="s">
        <v>4880</v>
      </c>
      <c r="B8595" s="38">
        <v>89271.0</v>
      </c>
      <c r="C8595" s="38" t="s">
        <v>12314</v>
      </c>
      <c r="D8595" s="38" t="str">
        <f>IFERROR(__xludf.DUMMYFUNCTION("REGEXREPLACE(C8595,""-\d+(.*)|--\d+(.*)"","""")"),"MOULINS-EN-TONNERROIS")</f>
        <v>MOULINS-EN-TONNERROIS</v>
      </c>
      <c r="E8595" s="38" t="s">
        <v>275</v>
      </c>
      <c r="F8595" s="38" t="s">
        <v>106</v>
      </c>
      <c r="G8595" s="49" t="str">
        <f t="shared" si="1"/>
        <v>89310</v>
      </c>
      <c r="H8595" s="49">
        <f t="shared" si="2"/>
        <v>89271</v>
      </c>
    </row>
    <row r="8596">
      <c r="A8596" s="48" t="s">
        <v>8892</v>
      </c>
      <c r="B8596" s="38">
        <v>60530.0</v>
      </c>
      <c r="C8596" s="38" t="s">
        <v>12315</v>
      </c>
      <c r="D8596" s="38" t="str">
        <f>IFERROR(__xludf.DUMMYFUNCTION("REGEXREPLACE(C8596,""-\d+(.*)|--\d+(.*)"","""")"),"REMERANGLES")</f>
        <v>REMERANGLES</v>
      </c>
      <c r="E8596" s="38" t="s">
        <v>112</v>
      </c>
      <c r="F8596" s="38" t="s">
        <v>113</v>
      </c>
      <c r="G8596" s="49" t="str">
        <f t="shared" si="1"/>
        <v>60510</v>
      </c>
      <c r="H8596" s="49">
        <f t="shared" si="2"/>
        <v>60530</v>
      </c>
    </row>
    <row r="8597">
      <c r="A8597" s="48" t="s">
        <v>1332</v>
      </c>
      <c r="B8597" s="38">
        <v>51015.0</v>
      </c>
      <c r="C8597" s="38" t="s">
        <v>12316</v>
      </c>
      <c r="D8597" s="38" t="str">
        <f>IFERROR(__xludf.DUMMYFUNCTION("REGEXREPLACE(C8597,""-\d+(.*)|--\d+(.*)"","""")"),"ARGERS")</f>
        <v>ARGERS</v>
      </c>
      <c r="E8597" s="38" t="s">
        <v>129</v>
      </c>
      <c r="F8597" s="38" t="s">
        <v>130</v>
      </c>
      <c r="G8597" s="49" t="str">
        <f t="shared" si="1"/>
        <v>51800</v>
      </c>
      <c r="H8597" s="49">
        <f t="shared" si="2"/>
        <v>51015</v>
      </c>
    </row>
    <row r="8598">
      <c r="A8598" s="48" t="s">
        <v>645</v>
      </c>
      <c r="B8598" s="38">
        <v>57118.0</v>
      </c>
      <c r="C8598" s="38" t="s">
        <v>12317</v>
      </c>
      <c r="D8598" s="38" t="str">
        <f>IFERROR(__xludf.DUMMYFUNCTION("REGEXREPLACE(C8598,""-\d+(.*)|--\d+(.*)"","""")"),"BUDLING")</f>
        <v>BUDLING</v>
      </c>
      <c r="E8598" s="38" t="s">
        <v>303</v>
      </c>
      <c r="F8598" s="38" t="s">
        <v>195</v>
      </c>
      <c r="G8598" s="49" t="str">
        <f t="shared" si="1"/>
        <v>57970</v>
      </c>
      <c r="H8598" s="49">
        <f t="shared" si="2"/>
        <v>57118</v>
      </c>
    </row>
    <row r="8599">
      <c r="A8599" s="48" t="s">
        <v>10321</v>
      </c>
      <c r="B8599" s="38">
        <v>56010.0</v>
      </c>
      <c r="C8599" s="38" t="s">
        <v>12318</v>
      </c>
      <c r="D8599" s="38" t="str">
        <f>IFERROR(__xludf.DUMMYFUNCTION("REGEXREPLACE(C8599,""-\d+(.*)|--\d+(.*)"","""")"),"BAUD")</f>
        <v>BAUD</v>
      </c>
      <c r="E8599" s="38" t="s">
        <v>173</v>
      </c>
      <c r="F8599" s="38" t="s">
        <v>90</v>
      </c>
      <c r="G8599" s="49" t="str">
        <f t="shared" si="1"/>
        <v>56150</v>
      </c>
      <c r="H8599" s="49">
        <f t="shared" si="2"/>
        <v>56010</v>
      </c>
    </row>
    <row r="8600">
      <c r="A8600" s="48" t="s">
        <v>12319</v>
      </c>
      <c r="B8600" s="38">
        <v>59012.0</v>
      </c>
      <c r="C8600" s="38" t="s">
        <v>12320</v>
      </c>
      <c r="D8600" s="38" t="str">
        <f>IFERROR(__xludf.DUMMYFUNCTION("REGEXREPLACE(C8600,""-\d+(.*)|--\d+(.*)"","""")"),"ANOR")</f>
        <v>ANOR</v>
      </c>
      <c r="E8600" s="38" t="s">
        <v>85</v>
      </c>
      <c r="F8600" s="38" t="s">
        <v>86</v>
      </c>
      <c r="G8600" s="49" t="str">
        <f t="shared" si="1"/>
        <v>59186</v>
      </c>
      <c r="H8600" s="49">
        <f t="shared" si="2"/>
        <v>59012</v>
      </c>
    </row>
    <row r="8601">
      <c r="A8601" s="48" t="s">
        <v>279</v>
      </c>
      <c r="B8601" s="38">
        <v>40025.0</v>
      </c>
      <c r="C8601" s="38" t="s">
        <v>12321</v>
      </c>
      <c r="D8601" s="38" t="str">
        <f>IFERROR(__xludf.DUMMYFUNCTION("REGEXREPLACE(C8601,""-\d+(.*)|--\d+(.*)"","""")"),"BASCONS")</f>
        <v>BASCONS</v>
      </c>
      <c r="E8601" s="38" t="s">
        <v>281</v>
      </c>
      <c r="F8601" s="38" t="s">
        <v>252</v>
      </c>
      <c r="G8601" s="49" t="str">
        <f t="shared" si="1"/>
        <v>40090</v>
      </c>
      <c r="H8601" s="49">
        <f t="shared" si="2"/>
        <v>40025</v>
      </c>
    </row>
    <row r="8602">
      <c r="A8602" s="48" t="s">
        <v>12322</v>
      </c>
      <c r="B8602" s="38">
        <v>89085.0</v>
      </c>
      <c r="C8602" s="38" t="s">
        <v>7049</v>
      </c>
      <c r="D8602" s="38" t="str">
        <f>IFERROR(__xludf.DUMMYFUNCTION("REGEXREPLACE(C8602,""-\d+(.*)|--\d+(.*)"","""")"),"CHARMOY")</f>
        <v>CHARMOY</v>
      </c>
      <c r="E8602" s="38" t="s">
        <v>275</v>
      </c>
      <c r="F8602" s="38" t="s">
        <v>106</v>
      </c>
      <c r="G8602" s="49" t="str">
        <f t="shared" si="1"/>
        <v>89400</v>
      </c>
      <c r="H8602" s="49">
        <f t="shared" si="2"/>
        <v>89085</v>
      </c>
    </row>
    <row r="8603">
      <c r="A8603" s="48" t="s">
        <v>1014</v>
      </c>
      <c r="B8603" s="38">
        <v>11190.0</v>
      </c>
      <c r="C8603" s="38" t="s">
        <v>12323</v>
      </c>
      <c r="D8603" s="38" t="str">
        <f>IFERROR(__xludf.DUMMYFUNCTION("REGEXREPLACE(C8603,""-\d+(.*)|--\d+(.*)"","""")"),"LA REDORTE")</f>
        <v>LA REDORTE</v>
      </c>
      <c r="E8603" s="38" t="s">
        <v>278</v>
      </c>
      <c r="F8603" s="38" t="s">
        <v>119</v>
      </c>
      <c r="G8603" s="49" t="str">
        <f t="shared" si="1"/>
        <v>11700</v>
      </c>
      <c r="H8603" s="49">
        <f t="shared" si="2"/>
        <v>11190</v>
      </c>
    </row>
    <row r="8604">
      <c r="A8604" s="48" t="s">
        <v>6825</v>
      </c>
      <c r="B8604" s="38">
        <v>14113.0</v>
      </c>
      <c r="C8604" s="38" t="s">
        <v>12324</v>
      </c>
      <c r="D8604" s="38" t="str">
        <f>IFERROR(__xludf.DUMMYFUNCTION("REGEXREPLACE(C8604,""-\d+(.*)|--\d+(.*)"","""")"),"BURCY")</f>
        <v>BURCY</v>
      </c>
      <c r="E8604" s="38" t="s">
        <v>137</v>
      </c>
      <c r="F8604" s="38" t="s">
        <v>138</v>
      </c>
      <c r="G8604" s="49" t="str">
        <f t="shared" si="1"/>
        <v>14410</v>
      </c>
      <c r="H8604" s="49">
        <f t="shared" si="2"/>
        <v>14113</v>
      </c>
    </row>
    <row r="8605">
      <c r="A8605" s="48" t="s">
        <v>5235</v>
      </c>
      <c r="B8605" s="38">
        <v>61047.0</v>
      </c>
      <c r="C8605" s="38" t="s">
        <v>12325</v>
      </c>
      <c r="D8605" s="38" t="str">
        <f>IFERROR(__xludf.DUMMYFUNCTION("REGEXREPLACE(C8605,""-\d+(.*)|--\d+(.*)"","""")"),"BOCQUENCE")</f>
        <v>BOCQUENCE</v>
      </c>
      <c r="E8605" s="38" t="s">
        <v>141</v>
      </c>
      <c r="F8605" s="38" t="s">
        <v>138</v>
      </c>
      <c r="G8605" s="49" t="str">
        <f t="shared" si="1"/>
        <v>61550</v>
      </c>
      <c r="H8605" s="49">
        <f t="shared" si="2"/>
        <v>61047</v>
      </c>
    </row>
    <row r="8606">
      <c r="A8606" s="48" t="s">
        <v>239</v>
      </c>
      <c r="B8606" s="38">
        <v>27135.0</v>
      </c>
      <c r="C8606" s="38" t="s">
        <v>12326</v>
      </c>
      <c r="D8606" s="38" t="str">
        <f>IFERROR(__xludf.DUMMYFUNCTION("REGEXREPLACE(C8606,""-\d+(.*)|--\d+(.*)"","""")"),"CESSEVILLE")</f>
        <v>CESSEVILLE</v>
      </c>
      <c r="E8606" s="38" t="s">
        <v>241</v>
      </c>
      <c r="F8606" s="38" t="s">
        <v>134</v>
      </c>
      <c r="G8606" s="49" t="str">
        <f t="shared" si="1"/>
        <v>27110</v>
      </c>
      <c r="H8606" s="49">
        <f t="shared" si="2"/>
        <v>27135</v>
      </c>
    </row>
    <row r="8607">
      <c r="A8607" s="48" t="s">
        <v>4766</v>
      </c>
      <c r="B8607" s="38">
        <v>64448.0</v>
      </c>
      <c r="C8607" s="38" t="s">
        <v>12327</v>
      </c>
      <c r="D8607" s="38" t="str">
        <f>IFERROR(__xludf.DUMMYFUNCTION("REGEXREPLACE(C8607,""-\d+(.*)|--\d+(.*)"","""")"),"POEY-DE-LESCAR")</f>
        <v>POEY-DE-LESCAR</v>
      </c>
      <c r="E8607" s="38" t="s">
        <v>268</v>
      </c>
      <c r="F8607" s="38" t="s">
        <v>252</v>
      </c>
      <c r="G8607" s="49" t="str">
        <f t="shared" si="1"/>
        <v>64230</v>
      </c>
      <c r="H8607" s="49">
        <f t="shared" si="2"/>
        <v>64448</v>
      </c>
    </row>
    <row r="8608">
      <c r="A8608" s="48" t="s">
        <v>8218</v>
      </c>
      <c r="B8608" s="38">
        <v>80443.0</v>
      </c>
      <c r="C8608" s="38" t="s">
        <v>12328</v>
      </c>
      <c r="D8608" s="38" t="str">
        <f>IFERROR(__xludf.DUMMYFUNCTION("REGEXREPLACE(C8608,""-\d+(.*)|--\d+(.*)"","""")"),"HORNOY-LE-BOURG")</f>
        <v>HORNOY-LE-BOURG</v>
      </c>
      <c r="E8608" s="38" t="s">
        <v>224</v>
      </c>
      <c r="F8608" s="38" t="s">
        <v>113</v>
      </c>
      <c r="G8608" s="49" t="str">
        <f t="shared" si="1"/>
        <v>80640</v>
      </c>
      <c r="H8608" s="49">
        <f t="shared" si="2"/>
        <v>80443</v>
      </c>
    </row>
    <row r="8609">
      <c r="A8609" s="48" t="s">
        <v>1087</v>
      </c>
      <c r="B8609" s="38">
        <v>3023.0</v>
      </c>
      <c r="C8609" s="38" t="s">
        <v>12329</v>
      </c>
      <c r="D8609" s="38" t="str">
        <f>IFERROR(__xludf.DUMMYFUNCTION("REGEXREPLACE(C8609,""-\d+(.*)|--\d+(.*)"","""")"),"BELLERIVE-SUR-ALLIER")</f>
        <v>BELLERIVE-SUR-ALLIER</v>
      </c>
      <c r="E8609" s="38" t="s">
        <v>160</v>
      </c>
      <c r="F8609" s="38" t="s">
        <v>161</v>
      </c>
      <c r="G8609" s="49" t="str">
        <f t="shared" si="1"/>
        <v>03700</v>
      </c>
      <c r="H8609" s="49" t="str">
        <f t="shared" si="2"/>
        <v>03023</v>
      </c>
    </row>
    <row r="8610">
      <c r="A8610" s="48" t="s">
        <v>2479</v>
      </c>
      <c r="B8610" s="38">
        <v>45084.0</v>
      </c>
      <c r="C8610" s="38" t="s">
        <v>12330</v>
      </c>
      <c r="D8610" s="38" t="str">
        <f>IFERROR(__xludf.DUMMYFUNCTION("REGEXREPLACE(C8610,""-\d+(.*)|--\d+(.*)"","""")"),"CHATENOY")</f>
        <v>CHATENOY</v>
      </c>
      <c r="E8610" s="38" t="s">
        <v>122</v>
      </c>
      <c r="F8610" s="38" t="s">
        <v>123</v>
      </c>
      <c r="G8610" s="49" t="str">
        <f t="shared" si="1"/>
        <v>45260</v>
      </c>
      <c r="H8610" s="49">
        <f t="shared" si="2"/>
        <v>45084</v>
      </c>
    </row>
    <row r="8611">
      <c r="A8611" s="48" t="s">
        <v>5887</v>
      </c>
      <c r="B8611" s="38">
        <v>61164.0</v>
      </c>
      <c r="C8611" s="38" t="s">
        <v>12331</v>
      </c>
      <c r="D8611" s="38" t="str">
        <f>IFERROR(__xludf.DUMMYFUNCTION("REGEXREPLACE(C8611,""-\d+(.*)|--\d+(.*)"","""")"),"LA FERRIERE-BECHET")</f>
        <v>LA FERRIERE-BECHET</v>
      </c>
      <c r="E8611" s="38" t="s">
        <v>141</v>
      </c>
      <c r="F8611" s="38" t="s">
        <v>138</v>
      </c>
      <c r="G8611" s="49" t="str">
        <f t="shared" si="1"/>
        <v>61500</v>
      </c>
      <c r="H8611" s="49">
        <f t="shared" si="2"/>
        <v>61164</v>
      </c>
    </row>
    <row r="8612">
      <c r="A8612" s="48" t="s">
        <v>10259</v>
      </c>
      <c r="B8612" s="38">
        <v>73231.0</v>
      </c>
      <c r="C8612" s="38" t="s">
        <v>12332</v>
      </c>
      <c r="D8612" s="38" t="str">
        <f>IFERROR(__xludf.DUMMYFUNCTION("REGEXREPLACE(C8612,""-\d+(.*)|--\d+(.*)"","""")"),"SAINT-ETIENNE-DE-CUINES")</f>
        <v>SAINT-ETIENNE-DE-CUINES</v>
      </c>
      <c r="E8612" s="38" t="s">
        <v>306</v>
      </c>
      <c r="F8612" s="38" t="s">
        <v>102</v>
      </c>
      <c r="G8612" s="49" t="str">
        <f t="shared" si="1"/>
        <v>73130</v>
      </c>
      <c r="H8612" s="49">
        <f t="shared" si="2"/>
        <v>73231</v>
      </c>
    </row>
    <row r="8613">
      <c r="A8613" s="48" t="s">
        <v>10126</v>
      </c>
      <c r="B8613" s="38">
        <v>1237.0</v>
      </c>
      <c r="C8613" s="38" t="s">
        <v>12333</v>
      </c>
      <c r="D8613" s="38" t="str">
        <f>IFERROR(__xludf.DUMMYFUNCTION("REGEXREPLACE(C8613,""-\d+(.*)|--\d+(.*)"","""")"),"MARTIGNAT")</f>
        <v>MARTIGNAT</v>
      </c>
      <c r="E8613" s="38" t="s">
        <v>255</v>
      </c>
      <c r="F8613" s="38" t="s">
        <v>102</v>
      </c>
      <c r="G8613" s="49" t="str">
        <f t="shared" si="1"/>
        <v>01100</v>
      </c>
      <c r="H8613" s="49" t="str">
        <f t="shared" si="2"/>
        <v>01237</v>
      </c>
    </row>
    <row r="8614">
      <c r="A8614" s="48" t="s">
        <v>9067</v>
      </c>
      <c r="B8614" s="38">
        <v>73177.0</v>
      </c>
      <c r="C8614" s="38" t="s">
        <v>12334</v>
      </c>
      <c r="D8614" s="38" t="str">
        <f>IFERROR(__xludf.DUMMYFUNCTION("REGEXREPLACE(C8614,""-\d+(.*)|--\d+(.*)"","""")"),"MONTVERNIER")</f>
        <v>MONTVERNIER</v>
      </c>
      <c r="E8614" s="38" t="s">
        <v>306</v>
      </c>
      <c r="F8614" s="38" t="s">
        <v>102</v>
      </c>
      <c r="G8614" s="49" t="str">
        <f t="shared" si="1"/>
        <v>73300</v>
      </c>
      <c r="H8614" s="49">
        <f t="shared" si="2"/>
        <v>73177</v>
      </c>
    </row>
    <row r="8615">
      <c r="A8615" s="48" t="s">
        <v>783</v>
      </c>
      <c r="B8615" s="38">
        <v>12190.0</v>
      </c>
      <c r="C8615" s="38" t="s">
        <v>12335</v>
      </c>
      <c r="D8615" s="38" t="str">
        <f>IFERROR(__xludf.DUMMYFUNCTION("REGEXREPLACE(C8615,""-\d+(.*)|--\d+(.*)"","""")"),"PREVINQUIERES")</f>
        <v>PREVINQUIERES</v>
      </c>
      <c r="E8615" s="38" t="s">
        <v>465</v>
      </c>
      <c r="F8615" s="38" t="s">
        <v>94</v>
      </c>
      <c r="G8615" s="49" t="str">
        <f t="shared" si="1"/>
        <v>12350</v>
      </c>
      <c r="H8615" s="49">
        <f t="shared" si="2"/>
        <v>12190</v>
      </c>
    </row>
    <row r="8616">
      <c r="A8616" s="48" t="s">
        <v>12336</v>
      </c>
      <c r="B8616" s="38" t="s">
        <v>12337</v>
      </c>
      <c r="C8616" s="38" t="s">
        <v>12338</v>
      </c>
      <c r="D8616" s="38" t="str">
        <f>IFERROR(__xludf.DUMMYFUNCTION("REGEXREPLACE(C8616,""-\d+(.*)|--\d+(.*)"","""")"),"CALENZANA")</f>
        <v>CALENZANA</v>
      </c>
      <c r="E8616" s="38" t="s">
        <v>743</v>
      </c>
      <c r="F8616" s="38" t="s">
        <v>607</v>
      </c>
      <c r="G8616" s="49" t="str">
        <f t="shared" si="1"/>
        <v>20214</v>
      </c>
      <c r="H8616" s="49" t="str">
        <f t="shared" si="2"/>
        <v>2B049</v>
      </c>
    </row>
    <row r="8617">
      <c r="A8617" s="48" t="s">
        <v>5332</v>
      </c>
      <c r="B8617" s="38">
        <v>1176.0</v>
      </c>
      <c r="C8617" s="38" t="s">
        <v>12339</v>
      </c>
      <c r="D8617" s="38" t="str">
        <f>IFERROR(__xludf.DUMMYFUNCTION("REGEXREPLACE(C8617,""-\d+(.*)|--\d+(.*)"","""")"),"LE GRAND-ABERGEMENT")</f>
        <v>LE GRAND-ABERGEMENT</v>
      </c>
      <c r="E8617" s="38" t="s">
        <v>255</v>
      </c>
      <c r="F8617" s="38" t="s">
        <v>102</v>
      </c>
      <c r="G8617" s="49" t="str">
        <f t="shared" si="1"/>
        <v>01260</v>
      </c>
      <c r="H8617" s="49" t="str">
        <f t="shared" si="2"/>
        <v>01176</v>
      </c>
    </row>
    <row r="8618">
      <c r="A8618" s="48" t="s">
        <v>1618</v>
      </c>
      <c r="B8618" s="38">
        <v>11025.0</v>
      </c>
      <c r="C8618" s="38" t="s">
        <v>12340</v>
      </c>
      <c r="D8618" s="38" t="str">
        <f>IFERROR(__xludf.DUMMYFUNCTION("REGEXREPLACE(C8618,""-\d+(.*)|--\d+(.*)"","""")"),"BAGNOLES")</f>
        <v>BAGNOLES</v>
      </c>
      <c r="E8618" s="38" t="s">
        <v>278</v>
      </c>
      <c r="F8618" s="38" t="s">
        <v>119</v>
      </c>
      <c r="G8618" s="49" t="str">
        <f t="shared" si="1"/>
        <v>11600</v>
      </c>
      <c r="H8618" s="49">
        <f t="shared" si="2"/>
        <v>11025</v>
      </c>
    </row>
    <row r="8619">
      <c r="A8619" s="48" t="s">
        <v>12341</v>
      </c>
      <c r="B8619" s="38">
        <v>85278.0</v>
      </c>
      <c r="C8619" s="38" t="s">
        <v>12342</v>
      </c>
      <c r="D8619" s="38" t="str">
        <f>IFERROR(__xludf.DUMMYFUNCTION("REGEXREPLACE(C8619,""-\d+(.*)|--\d+(.*)"","""")"),"SAINT-VINCENT-SUR-JARD")</f>
        <v>SAINT-VINCENT-SUR-JARD</v>
      </c>
      <c r="E8619" s="38" t="s">
        <v>179</v>
      </c>
      <c r="F8619" s="38" t="s">
        <v>180</v>
      </c>
      <c r="G8619" s="49" t="str">
        <f t="shared" si="1"/>
        <v>85520</v>
      </c>
      <c r="H8619" s="49">
        <f t="shared" si="2"/>
        <v>85278</v>
      </c>
    </row>
    <row r="8620">
      <c r="A8620" s="48" t="s">
        <v>3857</v>
      </c>
      <c r="B8620" s="38">
        <v>12115.0</v>
      </c>
      <c r="C8620" s="38" t="s">
        <v>12343</v>
      </c>
      <c r="D8620" s="38" t="str">
        <f>IFERROR(__xludf.DUMMYFUNCTION("REGEXREPLACE(C8620,""-\d+(.*)|--\d+(.*)"","""")"),"L'HOSPITALET-DU-LARZAC")</f>
        <v>L'HOSPITALET-DU-LARZAC</v>
      </c>
      <c r="E8620" s="38" t="s">
        <v>465</v>
      </c>
      <c r="F8620" s="38" t="s">
        <v>94</v>
      </c>
      <c r="G8620" s="49" t="str">
        <f t="shared" si="1"/>
        <v>12230</v>
      </c>
      <c r="H8620" s="49">
        <f t="shared" si="2"/>
        <v>12115</v>
      </c>
    </row>
    <row r="8621">
      <c r="A8621" s="48" t="s">
        <v>6515</v>
      </c>
      <c r="B8621" s="38">
        <v>62018.0</v>
      </c>
      <c r="C8621" s="38" t="s">
        <v>12344</v>
      </c>
      <c r="D8621" s="38" t="str">
        <f>IFERROR(__xludf.DUMMYFUNCTION("REGEXREPLACE(C8621,""-\d+(.*)|--\d+(.*)"","""")"),"AIX-EN-ISSART")</f>
        <v>AIX-EN-ISSART</v>
      </c>
      <c r="E8621" s="38" t="s">
        <v>109</v>
      </c>
      <c r="F8621" s="38" t="s">
        <v>86</v>
      </c>
      <c r="G8621" s="49" t="str">
        <f t="shared" si="1"/>
        <v>62170</v>
      </c>
      <c r="H8621" s="49">
        <f t="shared" si="2"/>
        <v>62018</v>
      </c>
    </row>
    <row r="8622">
      <c r="A8622" s="48" t="s">
        <v>5720</v>
      </c>
      <c r="B8622" s="38">
        <v>86209.0</v>
      </c>
      <c r="C8622" s="38" t="s">
        <v>12345</v>
      </c>
      <c r="D8622" s="38" t="str">
        <f>IFERROR(__xludf.DUMMYFUNCTION("REGEXREPLACE(C8622,""-\d+(.*)|--\d+(.*)"","""")"),"ROCHES-PREMARIE-ANDILLE")</f>
        <v>ROCHES-PREMARIE-ANDILLE</v>
      </c>
      <c r="E8622" s="38" t="s">
        <v>529</v>
      </c>
      <c r="F8622" s="38" t="s">
        <v>338</v>
      </c>
      <c r="G8622" s="49" t="str">
        <f t="shared" si="1"/>
        <v>86340</v>
      </c>
      <c r="H8622" s="49">
        <f t="shared" si="2"/>
        <v>86209</v>
      </c>
    </row>
    <row r="8623">
      <c r="A8623" s="48" t="s">
        <v>2659</v>
      </c>
      <c r="B8623" s="38">
        <v>80316.0</v>
      </c>
      <c r="C8623" s="38" t="s">
        <v>12346</v>
      </c>
      <c r="D8623" s="38" t="str">
        <f>IFERROR(__xludf.DUMMYFUNCTION("REGEXREPLACE(C8623,""-\d+(.*)|--\d+(.*)"","""")"),"FLESSELLES")</f>
        <v>FLESSELLES</v>
      </c>
      <c r="E8623" s="38" t="s">
        <v>224</v>
      </c>
      <c r="F8623" s="38" t="s">
        <v>113</v>
      </c>
      <c r="G8623" s="49" t="str">
        <f t="shared" si="1"/>
        <v>80260</v>
      </c>
      <c r="H8623" s="49">
        <f t="shared" si="2"/>
        <v>80316</v>
      </c>
    </row>
    <row r="8624">
      <c r="A8624" s="48" t="s">
        <v>2455</v>
      </c>
      <c r="B8624" s="38">
        <v>73077.0</v>
      </c>
      <c r="C8624" s="38" t="s">
        <v>12347</v>
      </c>
      <c r="D8624" s="38" t="str">
        <f>IFERROR(__xludf.DUMMYFUNCTION("REGEXREPLACE(C8624,""-\d+(.*)|--\d+(.*)"","""")"),"LES CHAPELLES")</f>
        <v>LES CHAPELLES</v>
      </c>
      <c r="E8624" s="38" t="s">
        <v>306</v>
      </c>
      <c r="F8624" s="38" t="s">
        <v>102</v>
      </c>
      <c r="G8624" s="49" t="str">
        <f t="shared" si="1"/>
        <v>73700</v>
      </c>
      <c r="H8624" s="49">
        <f t="shared" si="2"/>
        <v>73077</v>
      </c>
    </row>
    <row r="8625">
      <c r="A8625" s="48" t="s">
        <v>12348</v>
      </c>
      <c r="B8625" s="38">
        <v>67205.0</v>
      </c>
      <c r="C8625" s="38" t="s">
        <v>12349</v>
      </c>
      <c r="D8625" s="38" t="str">
        <f>IFERROR(__xludf.DUMMYFUNCTION("REGEXREPLACE(C8625,""-\d+(.*)|--\d+(.*)"","""")"),"HOERDT")</f>
        <v>HOERDT</v>
      </c>
      <c r="E8625" s="38" t="s">
        <v>210</v>
      </c>
      <c r="F8625" s="38" t="s">
        <v>151</v>
      </c>
      <c r="G8625" s="49" t="str">
        <f t="shared" si="1"/>
        <v>67720</v>
      </c>
      <c r="H8625" s="49">
        <f t="shared" si="2"/>
        <v>67205</v>
      </c>
    </row>
    <row r="8626">
      <c r="A8626" s="48" t="s">
        <v>2002</v>
      </c>
      <c r="B8626" s="38">
        <v>57582.0</v>
      </c>
      <c r="C8626" s="38" t="s">
        <v>12350</v>
      </c>
      <c r="D8626" s="38" t="str">
        <f>IFERROR(__xludf.DUMMYFUNCTION("REGEXREPLACE(C8626,""-\d+(.*)|--\d+(.*)"","""")"),"RICHEMONT")</f>
        <v>RICHEMONT</v>
      </c>
      <c r="E8626" s="38" t="s">
        <v>303</v>
      </c>
      <c r="F8626" s="38" t="s">
        <v>195</v>
      </c>
      <c r="G8626" s="49" t="str">
        <f t="shared" si="1"/>
        <v>57270</v>
      </c>
      <c r="H8626" s="49">
        <f t="shared" si="2"/>
        <v>57582</v>
      </c>
    </row>
    <row r="8627">
      <c r="A8627" s="48" t="s">
        <v>12351</v>
      </c>
      <c r="B8627" s="38">
        <v>97206.0</v>
      </c>
      <c r="C8627" s="38" t="s">
        <v>12352</v>
      </c>
      <c r="D8627" s="38" t="str">
        <f>IFERROR(__xludf.DUMMYFUNCTION("REGEXREPLACE(C8627,""-\d+(.*)|--\d+(.*)"","""")"),"LE DIAMANT")</f>
        <v>LE DIAMANT</v>
      </c>
      <c r="E8627" s="38" t="s">
        <v>2282</v>
      </c>
      <c r="F8627" s="38" t="s">
        <v>2282</v>
      </c>
      <c r="G8627" s="49" t="str">
        <f t="shared" si="1"/>
        <v>97223</v>
      </c>
      <c r="H8627" s="49">
        <f t="shared" si="2"/>
        <v>97206</v>
      </c>
    </row>
    <row r="8628">
      <c r="A8628" s="48" t="s">
        <v>12353</v>
      </c>
      <c r="B8628" s="38">
        <v>47031.0</v>
      </c>
      <c r="C8628" s="38" t="s">
        <v>12354</v>
      </c>
      <c r="D8628" s="38" t="str">
        <f>IFERROR(__xludf.DUMMYFUNCTION("REGEXREPLACE(C8628,""-\d+(.*)|--\d+(.*)"","""")"),"BOE")</f>
        <v>BOE</v>
      </c>
      <c r="E8628" s="38" t="s">
        <v>251</v>
      </c>
      <c r="F8628" s="38" t="s">
        <v>252</v>
      </c>
      <c r="G8628" s="49" t="str">
        <f t="shared" si="1"/>
        <v>47550</v>
      </c>
      <c r="H8628" s="49">
        <f t="shared" si="2"/>
        <v>47031</v>
      </c>
    </row>
    <row r="8629">
      <c r="A8629" s="48" t="s">
        <v>4644</v>
      </c>
      <c r="B8629" s="38">
        <v>46182.0</v>
      </c>
      <c r="C8629" s="38" t="s">
        <v>12355</v>
      </c>
      <c r="D8629" s="38" t="str">
        <f>IFERROR(__xludf.DUMMYFUNCTION("REGEXREPLACE(C8629,""-\d+(.*)|--\d+(.*)"","""")"),"LUZECH")</f>
        <v>LUZECH</v>
      </c>
      <c r="E8629" s="38" t="s">
        <v>185</v>
      </c>
      <c r="F8629" s="38" t="s">
        <v>94</v>
      </c>
      <c r="G8629" s="49" t="str">
        <f t="shared" si="1"/>
        <v>46140</v>
      </c>
      <c r="H8629" s="49">
        <f t="shared" si="2"/>
        <v>46182</v>
      </c>
    </row>
    <row r="8630">
      <c r="A8630" s="48" t="s">
        <v>3329</v>
      </c>
      <c r="B8630" s="38">
        <v>60312.0</v>
      </c>
      <c r="C8630" s="38" t="s">
        <v>12356</v>
      </c>
      <c r="D8630" s="38" t="str">
        <f>IFERROR(__xludf.DUMMYFUNCTION("REGEXREPLACE(C8630,""-\d+(.*)|--\d+(.*)"","""")"),"HERICOURT-SUR-THERAIN")</f>
        <v>HERICOURT-SUR-THERAIN</v>
      </c>
      <c r="E8630" s="38" t="s">
        <v>112</v>
      </c>
      <c r="F8630" s="38" t="s">
        <v>113</v>
      </c>
      <c r="G8630" s="49" t="str">
        <f t="shared" si="1"/>
        <v>60380</v>
      </c>
      <c r="H8630" s="49">
        <f t="shared" si="2"/>
        <v>60312</v>
      </c>
    </row>
    <row r="8631">
      <c r="A8631" s="48" t="s">
        <v>689</v>
      </c>
      <c r="B8631" s="38">
        <v>62848.0</v>
      </c>
      <c r="C8631" s="38" t="s">
        <v>12357</v>
      </c>
      <c r="D8631" s="38" t="str">
        <f>IFERROR(__xludf.DUMMYFUNCTION("REGEXREPLACE(C8631,""-\d+(.*)|--\d+(.*)"","""")"),"VERQUIN")</f>
        <v>VERQUIN</v>
      </c>
      <c r="E8631" s="38" t="s">
        <v>109</v>
      </c>
      <c r="F8631" s="38" t="s">
        <v>86</v>
      </c>
      <c r="G8631" s="49" t="str">
        <f t="shared" si="1"/>
        <v>62131</v>
      </c>
      <c r="H8631" s="49">
        <f t="shared" si="2"/>
        <v>62848</v>
      </c>
    </row>
    <row r="8632">
      <c r="A8632" s="48" t="s">
        <v>12358</v>
      </c>
      <c r="B8632" s="38">
        <v>12022.0</v>
      </c>
      <c r="C8632" s="38" t="s">
        <v>12359</v>
      </c>
      <c r="D8632" s="38" t="str">
        <f>IFERROR(__xludf.DUMMYFUNCTION("REGEXREPLACE(C8632,""-\d+(.*)|--\d+(.*)"","""")"),"LA BASTIDE-PRADINES")</f>
        <v>LA BASTIDE-PRADINES</v>
      </c>
      <c r="E8632" s="38" t="s">
        <v>465</v>
      </c>
      <c r="F8632" s="38" t="s">
        <v>94</v>
      </c>
      <c r="G8632" s="49" t="str">
        <f t="shared" si="1"/>
        <v>12490</v>
      </c>
      <c r="H8632" s="49">
        <f t="shared" si="2"/>
        <v>12022</v>
      </c>
    </row>
    <row r="8633">
      <c r="A8633" s="48" t="s">
        <v>12360</v>
      </c>
      <c r="B8633" s="38">
        <v>74196.0</v>
      </c>
      <c r="C8633" s="38" t="s">
        <v>12361</v>
      </c>
      <c r="D8633" s="38" t="str">
        <f>IFERROR(__xludf.DUMMYFUNCTION("REGEXREPLACE(C8633,""-\d+(.*)|--\d+(.*)"","""")"),"NANCY-SUR-CLUSES")</f>
        <v>NANCY-SUR-CLUSES</v>
      </c>
      <c r="E8633" s="38" t="s">
        <v>319</v>
      </c>
      <c r="F8633" s="38" t="s">
        <v>102</v>
      </c>
      <c r="G8633" s="49" t="str">
        <f t="shared" si="1"/>
        <v>74300</v>
      </c>
      <c r="H8633" s="49">
        <f t="shared" si="2"/>
        <v>74196</v>
      </c>
    </row>
    <row r="8634">
      <c r="A8634" s="48" t="s">
        <v>12362</v>
      </c>
      <c r="B8634" s="38">
        <v>39367.0</v>
      </c>
      <c r="C8634" s="38" t="s">
        <v>12363</v>
      </c>
      <c r="D8634" s="38" t="str">
        <f>IFERROR(__xludf.DUMMYFUNCTION("REGEXREPLACE(C8634,""-\d+(.*)|--\d+(.*)"","""")"),"MORBIER")</f>
        <v>MORBIER</v>
      </c>
      <c r="E8634" s="38" t="s">
        <v>400</v>
      </c>
      <c r="F8634" s="38" t="s">
        <v>214</v>
      </c>
      <c r="G8634" s="49" t="str">
        <f t="shared" si="1"/>
        <v>39400</v>
      </c>
      <c r="H8634" s="49">
        <f t="shared" si="2"/>
        <v>39367</v>
      </c>
    </row>
    <row r="8635">
      <c r="A8635" s="48" t="s">
        <v>12364</v>
      </c>
      <c r="B8635" s="38">
        <v>89366.0</v>
      </c>
      <c r="C8635" s="38" t="s">
        <v>12365</v>
      </c>
      <c r="D8635" s="38" t="str">
        <f>IFERROR(__xludf.DUMMYFUNCTION("REGEXREPLACE(C8635,""-\d+(.*)|--\d+(.*)"","""")"),"SAINT-ROMAIN-LE-PREUX")</f>
        <v>SAINT-ROMAIN-LE-PREUX</v>
      </c>
      <c r="E8635" s="38" t="s">
        <v>275</v>
      </c>
      <c r="F8635" s="38" t="s">
        <v>106</v>
      </c>
      <c r="G8635" s="49" t="str">
        <f t="shared" si="1"/>
        <v>89116</v>
      </c>
      <c r="H8635" s="49">
        <f t="shared" si="2"/>
        <v>89366</v>
      </c>
    </row>
    <row r="8636">
      <c r="A8636" s="48" t="s">
        <v>4252</v>
      </c>
      <c r="B8636" s="38">
        <v>77132.0</v>
      </c>
      <c r="C8636" s="38" t="s">
        <v>12366</v>
      </c>
      <c r="D8636" s="38" t="str">
        <f>IFERROR(__xludf.DUMMYFUNCTION("REGEXREPLACE(C8636,""-\d+(.*)|--\d+(.*)"","""")"),"COUPVRAY")</f>
        <v>COUPVRAY</v>
      </c>
      <c r="E8636" s="38" t="s">
        <v>244</v>
      </c>
      <c r="F8636" s="38" t="s">
        <v>245</v>
      </c>
      <c r="G8636" s="49" t="str">
        <f t="shared" si="1"/>
        <v>77700</v>
      </c>
      <c r="H8636" s="49">
        <f t="shared" si="2"/>
        <v>77132</v>
      </c>
    </row>
    <row r="8637">
      <c r="A8637" s="48" t="s">
        <v>7702</v>
      </c>
      <c r="B8637" s="38">
        <v>57071.0</v>
      </c>
      <c r="C8637" s="38" t="s">
        <v>12367</v>
      </c>
      <c r="D8637" s="38" t="str">
        <f>IFERROR(__xludf.DUMMYFUNCTION("REGEXREPLACE(C8637,""-\d+(.*)|--\d+(.*)"","""")"),"BETTBORN")</f>
        <v>BETTBORN</v>
      </c>
      <c r="E8637" s="38" t="s">
        <v>303</v>
      </c>
      <c r="F8637" s="38" t="s">
        <v>195</v>
      </c>
      <c r="G8637" s="49" t="str">
        <f t="shared" si="1"/>
        <v>57930</v>
      </c>
      <c r="H8637" s="49">
        <f t="shared" si="2"/>
        <v>57071</v>
      </c>
    </row>
    <row r="8638">
      <c r="A8638" s="48" t="s">
        <v>5953</v>
      </c>
      <c r="B8638" s="38">
        <v>76644.0</v>
      </c>
      <c r="C8638" s="38" t="s">
        <v>12368</v>
      </c>
      <c r="D8638" s="38" t="str">
        <f>IFERROR(__xludf.DUMMYFUNCTION("REGEXREPLACE(C8638,""-\d+(.*)|--\d+(.*)"","""")"),"SAINT-REMY-BOSCROCOURT")</f>
        <v>SAINT-REMY-BOSCROCOURT</v>
      </c>
      <c r="E8638" s="38" t="s">
        <v>133</v>
      </c>
      <c r="F8638" s="38" t="s">
        <v>134</v>
      </c>
      <c r="G8638" s="49" t="str">
        <f t="shared" si="1"/>
        <v>76260</v>
      </c>
      <c r="H8638" s="49">
        <f t="shared" si="2"/>
        <v>76644</v>
      </c>
    </row>
    <row r="8639">
      <c r="A8639" s="48" t="s">
        <v>544</v>
      </c>
      <c r="B8639" s="38">
        <v>57743.0</v>
      </c>
      <c r="C8639" s="38" t="s">
        <v>12369</v>
      </c>
      <c r="D8639" s="38" t="str">
        <f>IFERROR(__xludf.DUMMYFUNCTION("REGEXREPLACE(C8639,""-\d+(.*)|--\d+(.*)"","""")"),"WALTEMBOURG")</f>
        <v>WALTEMBOURG</v>
      </c>
      <c r="E8639" s="38" t="s">
        <v>303</v>
      </c>
      <c r="F8639" s="38" t="s">
        <v>195</v>
      </c>
      <c r="G8639" s="49" t="str">
        <f t="shared" si="1"/>
        <v>57370</v>
      </c>
      <c r="H8639" s="49">
        <f t="shared" si="2"/>
        <v>57743</v>
      </c>
    </row>
    <row r="8640">
      <c r="A8640" s="48" t="s">
        <v>3793</v>
      </c>
      <c r="B8640" s="38">
        <v>86191.0</v>
      </c>
      <c r="C8640" s="38" t="s">
        <v>12370</v>
      </c>
      <c r="D8640" s="38" t="str">
        <f>IFERROR(__xludf.DUMMYFUNCTION("REGEXREPLACE(C8640,""-\d+(.*)|--\d+(.*)"","""")"),"PINDRAY")</f>
        <v>PINDRAY</v>
      </c>
      <c r="E8640" s="38" t="s">
        <v>529</v>
      </c>
      <c r="F8640" s="38" t="s">
        <v>338</v>
      </c>
      <c r="G8640" s="49" t="str">
        <f t="shared" si="1"/>
        <v>86500</v>
      </c>
      <c r="H8640" s="49">
        <f t="shared" si="2"/>
        <v>86191</v>
      </c>
    </row>
    <row r="8641">
      <c r="A8641" s="48" t="s">
        <v>9168</v>
      </c>
      <c r="B8641" s="38">
        <v>71086.0</v>
      </c>
      <c r="C8641" s="38" t="s">
        <v>12371</v>
      </c>
      <c r="D8641" s="38" t="str">
        <f>IFERROR(__xludf.DUMMYFUNCTION("REGEXREPLACE(C8641,""-\d+(.*)|--\d+(.*)"","""")"),"CHANGY")</f>
        <v>CHANGY</v>
      </c>
      <c r="E8641" s="38" t="s">
        <v>344</v>
      </c>
      <c r="F8641" s="38" t="s">
        <v>106</v>
      </c>
      <c r="G8641" s="49" t="str">
        <f t="shared" si="1"/>
        <v>71120</v>
      </c>
      <c r="H8641" s="49">
        <f t="shared" si="2"/>
        <v>71086</v>
      </c>
    </row>
    <row r="8642">
      <c r="A8642" s="48" t="s">
        <v>1130</v>
      </c>
      <c r="B8642" s="38">
        <v>71509.0</v>
      </c>
      <c r="C8642" s="38" t="s">
        <v>12372</v>
      </c>
      <c r="D8642" s="38" t="str">
        <f>IFERROR(__xludf.DUMMYFUNCTION("REGEXREPLACE(C8642,""-\d+(.*)|--\d+(.*)"","""")"),"LA CELLE-EN-MORVAN")</f>
        <v>LA CELLE-EN-MORVAN</v>
      </c>
      <c r="E8642" s="38" t="s">
        <v>344</v>
      </c>
      <c r="F8642" s="38" t="s">
        <v>106</v>
      </c>
      <c r="G8642" s="49" t="str">
        <f t="shared" si="1"/>
        <v>71400</v>
      </c>
      <c r="H8642" s="49">
        <f t="shared" si="2"/>
        <v>71509</v>
      </c>
    </row>
    <row r="8643">
      <c r="A8643" s="48" t="s">
        <v>2318</v>
      </c>
      <c r="B8643" s="38">
        <v>43207.0</v>
      </c>
      <c r="C8643" s="38" t="s">
        <v>12373</v>
      </c>
      <c r="D8643" s="38" t="str">
        <f>IFERROR(__xludf.DUMMYFUNCTION("REGEXREPLACE(C8643,""-\d+(.*)|--\d+(.*)"","""")"),"SAINT-LAURENT-CHABREUGES")</f>
        <v>SAINT-LAURENT-CHABREUGES</v>
      </c>
      <c r="E8643" s="38" t="s">
        <v>332</v>
      </c>
      <c r="F8643" s="38" t="s">
        <v>161</v>
      </c>
      <c r="G8643" s="49" t="str">
        <f t="shared" si="1"/>
        <v>43100</v>
      </c>
      <c r="H8643" s="49">
        <f t="shared" si="2"/>
        <v>43207</v>
      </c>
    </row>
    <row r="8644">
      <c r="A8644" s="48" t="s">
        <v>9152</v>
      </c>
      <c r="B8644" s="38">
        <v>37253.0</v>
      </c>
      <c r="C8644" s="38" t="s">
        <v>12374</v>
      </c>
      <c r="D8644" s="38" t="str">
        <f>IFERROR(__xludf.DUMMYFUNCTION("REGEXREPLACE(C8644,""-\d+(.*)|--\d+(.*)"","""")"),"SUBLAINES")</f>
        <v>SUBLAINES</v>
      </c>
      <c r="E8644" s="38" t="s">
        <v>205</v>
      </c>
      <c r="F8644" s="38" t="s">
        <v>123</v>
      </c>
      <c r="G8644" s="49" t="str">
        <f t="shared" si="1"/>
        <v>37310</v>
      </c>
      <c r="H8644" s="49">
        <f t="shared" si="2"/>
        <v>37253</v>
      </c>
    </row>
    <row r="8645">
      <c r="A8645" s="48" t="s">
        <v>6753</v>
      </c>
      <c r="B8645" s="38">
        <v>42156.0</v>
      </c>
      <c r="C8645" s="38" t="s">
        <v>12375</v>
      </c>
      <c r="D8645" s="38" t="str">
        <f>IFERROR(__xludf.DUMMYFUNCTION("REGEXREPLACE(C8645,""-\d+(.*)|--\d+(.*)"","""")"),"NEULISE")</f>
        <v>NEULISE</v>
      </c>
      <c r="E8645" s="38" t="s">
        <v>166</v>
      </c>
      <c r="F8645" s="38" t="s">
        <v>102</v>
      </c>
      <c r="G8645" s="49" t="str">
        <f t="shared" si="1"/>
        <v>42590</v>
      </c>
      <c r="H8645" s="49">
        <f t="shared" si="2"/>
        <v>42156</v>
      </c>
    </row>
    <row r="8646">
      <c r="A8646" s="48" t="s">
        <v>4358</v>
      </c>
      <c r="B8646" s="38">
        <v>1033.0</v>
      </c>
      <c r="C8646" s="38" t="s">
        <v>12376</v>
      </c>
      <c r="D8646" s="38" t="str">
        <f>IFERROR(__xludf.DUMMYFUNCTION("REGEXREPLACE(C8646,""-\d+(.*)|--\d+(.*)"","""")"),"BELLEGARDE-SUR-VALSERINE")</f>
        <v>BELLEGARDE-SUR-VALSERINE</v>
      </c>
      <c r="E8646" s="38" t="s">
        <v>255</v>
      </c>
      <c r="F8646" s="38" t="s">
        <v>102</v>
      </c>
      <c r="G8646" s="49" t="str">
        <f t="shared" si="1"/>
        <v>01200</v>
      </c>
      <c r="H8646" s="49" t="str">
        <f t="shared" si="2"/>
        <v>01033</v>
      </c>
    </row>
    <row r="8647">
      <c r="A8647" s="48" t="s">
        <v>12377</v>
      </c>
      <c r="B8647" s="38">
        <v>90022.0</v>
      </c>
      <c r="C8647" s="38" t="s">
        <v>12378</v>
      </c>
      <c r="D8647" s="38" t="str">
        <f>IFERROR(__xludf.DUMMYFUNCTION("REGEXREPLACE(C8647,""-\d+(.*)|--\d+(.*)"","""")"),"CHATENOIS-LES-FORGES")</f>
        <v>CHATENOIS-LES-FORGES</v>
      </c>
      <c r="E8647" s="38" t="s">
        <v>1283</v>
      </c>
      <c r="F8647" s="38" t="s">
        <v>214</v>
      </c>
      <c r="G8647" s="49" t="str">
        <f t="shared" si="1"/>
        <v>90700</v>
      </c>
      <c r="H8647" s="49">
        <f t="shared" si="2"/>
        <v>90022</v>
      </c>
    </row>
    <row r="8648">
      <c r="A8648" s="48" t="s">
        <v>158</v>
      </c>
      <c r="B8648" s="38">
        <v>3138.0</v>
      </c>
      <c r="C8648" s="38" t="s">
        <v>12379</v>
      </c>
      <c r="D8648" s="38" t="str">
        <f>IFERROR(__xludf.DUMMYFUNCTION("REGEXREPLACE(C8648,""-\d+(.*)|--\d+(.*)"","""")"),"LAPALISSE")</f>
        <v>LAPALISSE</v>
      </c>
      <c r="E8648" s="38" t="s">
        <v>160</v>
      </c>
      <c r="F8648" s="38" t="s">
        <v>161</v>
      </c>
      <c r="G8648" s="49" t="str">
        <f t="shared" si="1"/>
        <v>03120</v>
      </c>
      <c r="H8648" s="49" t="str">
        <f t="shared" si="2"/>
        <v>03138</v>
      </c>
    </row>
    <row r="8649">
      <c r="A8649" s="48" t="s">
        <v>7140</v>
      </c>
      <c r="B8649" s="38">
        <v>3267.0</v>
      </c>
      <c r="C8649" s="38" t="s">
        <v>12380</v>
      </c>
      <c r="D8649" s="38" t="str">
        <f>IFERROR(__xludf.DUMMYFUNCTION("REGEXREPLACE(C8649,""-\d+(.*)|--\d+(.*)"","""")"),"SAULCET")</f>
        <v>SAULCET</v>
      </c>
      <c r="E8649" s="38" t="s">
        <v>160</v>
      </c>
      <c r="F8649" s="38" t="s">
        <v>161</v>
      </c>
      <c r="G8649" s="49" t="str">
        <f t="shared" si="1"/>
        <v>03500</v>
      </c>
      <c r="H8649" s="49" t="str">
        <f t="shared" si="2"/>
        <v>03267</v>
      </c>
    </row>
    <row r="8650">
      <c r="A8650" s="48" t="s">
        <v>276</v>
      </c>
      <c r="B8650" s="38">
        <v>11021.0</v>
      </c>
      <c r="C8650" s="38" t="s">
        <v>12381</v>
      </c>
      <c r="D8650" s="38" t="str">
        <f>IFERROR(__xludf.DUMMYFUNCTION("REGEXREPLACE(C8650,""-\d+(.*)|--\d+(.*)"","""")"),"AXAT")</f>
        <v>AXAT</v>
      </c>
      <c r="E8650" s="38" t="s">
        <v>278</v>
      </c>
      <c r="F8650" s="38" t="s">
        <v>119</v>
      </c>
      <c r="G8650" s="49" t="str">
        <f t="shared" si="1"/>
        <v>11140</v>
      </c>
      <c r="H8650" s="49">
        <f t="shared" si="2"/>
        <v>11021</v>
      </c>
    </row>
    <row r="8651">
      <c r="A8651" s="48" t="s">
        <v>222</v>
      </c>
      <c r="B8651" s="38">
        <v>80514.0</v>
      </c>
      <c r="C8651" s="38" t="s">
        <v>12382</v>
      </c>
      <c r="D8651" s="38" t="str">
        <f>IFERROR(__xludf.DUMMYFUNCTION("REGEXREPLACE(C8651,""-\d+(.*)|--\d+(.*)"","""")"),"MARIEUX")</f>
        <v>MARIEUX</v>
      </c>
      <c r="E8651" s="38" t="s">
        <v>224</v>
      </c>
      <c r="F8651" s="38" t="s">
        <v>113</v>
      </c>
      <c r="G8651" s="49" t="str">
        <f t="shared" si="1"/>
        <v>80560</v>
      </c>
      <c r="H8651" s="49">
        <f t="shared" si="2"/>
        <v>80514</v>
      </c>
    </row>
    <row r="8652">
      <c r="A8652" s="48" t="s">
        <v>12195</v>
      </c>
      <c r="B8652" s="38">
        <v>22088.0</v>
      </c>
      <c r="C8652" s="38" t="s">
        <v>12383</v>
      </c>
      <c r="D8652" s="38" t="str">
        <f>IFERROR(__xludf.DUMMYFUNCTION("REGEXREPLACE(C8652,""-\d+(.*)|--\d+(.*)"","""")"),"KERIEN")</f>
        <v>KERIEN</v>
      </c>
      <c r="E8652" s="38" t="s">
        <v>89</v>
      </c>
      <c r="F8652" s="38" t="s">
        <v>90</v>
      </c>
      <c r="G8652" s="49" t="str">
        <f t="shared" si="1"/>
        <v>22480</v>
      </c>
      <c r="H8652" s="49">
        <f t="shared" si="2"/>
        <v>22088</v>
      </c>
    </row>
    <row r="8653">
      <c r="A8653" s="48" t="s">
        <v>5634</v>
      </c>
      <c r="B8653" s="38">
        <v>72049.0</v>
      </c>
      <c r="C8653" s="38" t="s">
        <v>12384</v>
      </c>
      <c r="D8653" s="38" t="str">
        <f>IFERROR(__xludf.DUMMYFUNCTION("REGEXREPLACE(C8653,""-\d+(.*)|--\d+(.*)"","""")"),"LA BRUERE-SUR-LOIR")</f>
        <v>LA BRUERE-SUR-LOIR</v>
      </c>
      <c r="E8653" s="38" t="s">
        <v>521</v>
      </c>
      <c r="F8653" s="38" t="s">
        <v>180</v>
      </c>
      <c r="G8653" s="49" t="str">
        <f t="shared" si="1"/>
        <v>72500</v>
      </c>
      <c r="H8653" s="49">
        <f t="shared" si="2"/>
        <v>72049</v>
      </c>
    </row>
    <row r="8654">
      <c r="A8654" s="48" t="s">
        <v>369</v>
      </c>
      <c r="B8654" s="38">
        <v>63012.0</v>
      </c>
      <c r="C8654" s="38" t="s">
        <v>12385</v>
      </c>
      <c r="D8654" s="38" t="str">
        <f>IFERROR(__xludf.DUMMYFUNCTION("REGEXREPLACE(C8654,""-\d+(.*)|--\d+(.*)"","""")"),"ARTONNE")</f>
        <v>ARTONNE</v>
      </c>
      <c r="E8654" s="38" t="s">
        <v>353</v>
      </c>
      <c r="F8654" s="38" t="s">
        <v>161</v>
      </c>
      <c r="G8654" s="49" t="str">
        <f t="shared" si="1"/>
        <v>63460</v>
      </c>
      <c r="H8654" s="49">
        <f t="shared" si="2"/>
        <v>63012</v>
      </c>
    </row>
    <row r="8655">
      <c r="A8655" s="48" t="s">
        <v>3198</v>
      </c>
      <c r="B8655" s="38">
        <v>32382.0</v>
      </c>
      <c r="C8655" s="38" t="s">
        <v>12386</v>
      </c>
      <c r="D8655" s="38" t="str">
        <f>IFERROR(__xludf.DUMMYFUNCTION("REGEXREPLACE(C8655,""-\d+(.*)|--\d+(.*)"","""")"),"SAINT-JEAN-POUTGE")</f>
        <v>SAINT-JEAN-POUTGE</v>
      </c>
      <c r="E8655" s="38" t="s">
        <v>440</v>
      </c>
      <c r="F8655" s="38" t="s">
        <v>94</v>
      </c>
      <c r="G8655" s="49" t="str">
        <f t="shared" si="1"/>
        <v>32190</v>
      </c>
      <c r="H8655" s="49">
        <f t="shared" si="2"/>
        <v>32382</v>
      </c>
    </row>
    <row r="8656">
      <c r="A8656" s="48" t="s">
        <v>7332</v>
      </c>
      <c r="B8656" s="38">
        <v>24405.0</v>
      </c>
      <c r="C8656" s="38" t="s">
        <v>12387</v>
      </c>
      <c r="D8656" s="38" t="str">
        <f>IFERROR(__xludf.DUMMYFUNCTION("REGEXREPLACE(C8656,""-\d+(.*)|--\d+(.*)"","""")"),"SAINT-FELIX-DE-VILLADEIX")</f>
        <v>SAINT-FELIX-DE-VILLADEIX</v>
      </c>
      <c r="E8656" s="38" t="s">
        <v>261</v>
      </c>
      <c r="F8656" s="38" t="s">
        <v>252</v>
      </c>
      <c r="G8656" s="49" t="str">
        <f t="shared" si="1"/>
        <v>24510</v>
      </c>
      <c r="H8656" s="49">
        <f t="shared" si="2"/>
        <v>24405</v>
      </c>
    </row>
    <row r="8657">
      <c r="A8657" s="48" t="s">
        <v>2073</v>
      </c>
      <c r="B8657" s="38">
        <v>8278.0</v>
      </c>
      <c r="C8657" s="38" t="s">
        <v>12388</v>
      </c>
      <c r="D8657" s="38" t="str">
        <f>IFERROR(__xludf.DUMMYFUNCTION("REGEXREPLACE(C8657,""-\d+(.*)|--\d+(.*)"","""")"),"MARQUIGNY")</f>
        <v>MARQUIGNY</v>
      </c>
      <c r="E8657" s="38" t="s">
        <v>327</v>
      </c>
      <c r="F8657" s="38" t="s">
        <v>130</v>
      </c>
      <c r="G8657" s="49" t="str">
        <f t="shared" si="1"/>
        <v>08390</v>
      </c>
      <c r="H8657" s="49" t="str">
        <f t="shared" si="2"/>
        <v>08278</v>
      </c>
    </row>
    <row r="8658">
      <c r="A8658" s="48" t="s">
        <v>12389</v>
      </c>
      <c r="B8658" s="38">
        <v>71235.0</v>
      </c>
      <c r="C8658" s="38" t="s">
        <v>12390</v>
      </c>
      <c r="D8658" s="38" t="str">
        <f>IFERROR(__xludf.DUMMYFUNCTION("REGEXREPLACE(C8658,""-\d+(.*)|--\d+(.*)"","""")"),"HURIGNY")</f>
        <v>HURIGNY</v>
      </c>
      <c r="E8658" s="38" t="s">
        <v>344</v>
      </c>
      <c r="F8658" s="38" t="s">
        <v>106</v>
      </c>
      <c r="G8658" s="49" t="str">
        <f t="shared" si="1"/>
        <v>71870</v>
      </c>
      <c r="H8658" s="49">
        <f t="shared" si="2"/>
        <v>71235</v>
      </c>
    </row>
    <row r="8659">
      <c r="A8659" s="48" t="s">
        <v>1681</v>
      </c>
      <c r="B8659" s="38">
        <v>80170.0</v>
      </c>
      <c r="C8659" s="38" t="s">
        <v>12391</v>
      </c>
      <c r="D8659" s="38" t="str">
        <f>IFERROR(__xludf.DUMMYFUNCTION("REGEXREPLACE(C8659,""-\d+(.*)|--\d+(.*)"","""")"),"CANTIGNY")</f>
        <v>CANTIGNY</v>
      </c>
      <c r="E8659" s="38" t="s">
        <v>224</v>
      </c>
      <c r="F8659" s="38" t="s">
        <v>113</v>
      </c>
      <c r="G8659" s="49" t="str">
        <f t="shared" si="1"/>
        <v>80500</v>
      </c>
      <c r="H8659" s="49">
        <f t="shared" si="2"/>
        <v>80170</v>
      </c>
    </row>
    <row r="8660">
      <c r="A8660" s="48" t="s">
        <v>1114</v>
      </c>
      <c r="B8660" s="38">
        <v>2107.0</v>
      </c>
      <c r="C8660" s="38" t="s">
        <v>12392</v>
      </c>
      <c r="D8660" s="38" t="str">
        <f>IFERROR(__xludf.DUMMYFUNCTION("REGEXREPLACE(C8660,""-\d+(.*)|--\d+(.*)"","""")"),"BOURGUIGNON-SOUS-COUCY")</f>
        <v>BOURGUIGNON-SOUS-COUCY</v>
      </c>
      <c r="E8660" s="38" t="s">
        <v>191</v>
      </c>
      <c r="F8660" s="38" t="s">
        <v>113</v>
      </c>
      <c r="G8660" s="49" t="str">
        <f t="shared" si="1"/>
        <v>02300</v>
      </c>
      <c r="H8660" s="49" t="str">
        <f t="shared" si="2"/>
        <v>02107</v>
      </c>
    </row>
    <row r="8661">
      <c r="A8661" s="48" t="s">
        <v>1102</v>
      </c>
      <c r="B8661" s="38">
        <v>35315.0</v>
      </c>
      <c r="C8661" s="38" t="s">
        <v>12393</v>
      </c>
      <c r="D8661" s="38" t="str">
        <f>IFERROR(__xludf.DUMMYFUNCTION("REGEXREPLACE(C8661,""-\d+(.*)|--\d+(.*)"","""")"),"SAINT-SULPICE-LA-FORET")</f>
        <v>SAINT-SULPICE-LA-FORET</v>
      </c>
      <c r="E8661" s="38" t="s">
        <v>347</v>
      </c>
      <c r="F8661" s="38" t="s">
        <v>90</v>
      </c>
      <c r="G8661" s="49" t="str">
        <f t="shared" si="1"/>
        <v>35250</v>
      </c>
      <c r="H8661" s="49">
        <f t="shared" si="2"/>
        <v>35315</v>
      </c>
    </row>
    <row r="8662">
      <c r="A8662" s="48" t="s">
        <v>595</v>
      </c>
      <c r="B8662" s="38">
        <v>29045.0</v>
      </c>
      <c r="C8662" s="38" t="s">
        <v>12394</v>
      </c>
      <c r="D8662" s="38" t="str">
        <f>IFERROR(__xludf.DUMMYFUNCTION("REGEXREPLACE(C8662,""-\d+(.*)|--\d+(.*)"","""")"),"DIRINON")</f>
        <v>DIRINON</v>
      </c>
      <c r="E8662" s="38" t="s">
        <v>176</v>
      </c>
      <c r="F8662" s="38" t="s">
        <v>90</v>
      </c>
      <c r="G8662" s="49" t="str">
        <f t="shared" si="1"/>
        <v>29460</v>
      </c>
      <c r="H8662" s="49">
        <f t="shared" si="2"/>
        <v>29045</v>
      </c>
    </row>
    <row r="8663">
      <c r="A8663" s="48" t="s">
        <v>7926</v>
      </c>
      <c r="B8663" s="38">
        <v>71178.0</v>
      </c>
      <c r="C8663" s="38" t="s">
        <v>12395</v>
      </c>
      <c r="D8663" s="38" t="str">
        <f>IFERROR(__xludf.DUMMYFUNCTION("REGEXREPLACE(C8663,""-\d+(.*)|--\d+(.*)"","""")"),"DOMPIERRE-LES-ORMES")</f>
        <v>DOMPIERRE-LES-ORMES</v>
      </c>
      <c r="E8663" s="38" t="s">
        <v>344</v>
      </c>
      <c r="F8663" s="38" t="s">
        <v>106</v>
      </c>
      <c r="G8663" s="49" t="str">
        <f t="shared" si="1"/>
        <v>71520</v>
      </c>
      <c r="H8663" s="49">
        <f t="shared" si="2"/>
        <v>71178</v>
      </c>
    </row>
    <row r="8664">
      <c r="A8664" s="48" t="s">
        <v>12396</v>
      </c>
      <c r="B8664" s="38">
        <v>49221.0</v>
      </c>
      <c r="C8664" s="38" t="s">
        <v>12397</v>
      </c>
      <c r="D8664" s="38" t="str">
        <f>IFERROR(__xludf.DUMMYFUNCTION("REGEXREPLACE(C8664,""-\d+(.*)|--\d+(.*)"","""")"),"MOULIHERNE")</f>
        <v>MOULIHERNE</v>
      </c>
      <c r="E8664" s="38" t="s">
        <v>653</v>
      </c>
      <c r="F8664" s="38" t="s">
        <v>180</v>
      </c>
      <c r="G8664" s="49" t="str">
        <f t="shared" si="1"/>
        <v>49390</v>
      </c>
      <c r="H8664" s="49">
        <f t="shared" si="2"/>
        <v>49221</v>
      </c>
    </row>
    <row r="8665">
      <c r="A8665" s="48" t="s">
        <v>4032</v>
      </c>
      <c r="B8665" s="38">
        <v>17344.0</v>
      </c>
      <c r="C8665" s="38" t="s">
        <v>12398</v>
      </c>
      <c r="D8665" s="38" t="str">
        <f>IFERROR(__xludf.DUMMYFUNCTION("REGEXREPLACE(C8665,""-\d+(.*)|--\d+(.*)"","""")"),"SAINT-HILAIRE-DE-VILLEFRANCHE")</f>
        <v>SAINT-HILAIRE-DE-VILLEFRANCHE</v>
      </c>
      <c r="E8665" s="38" t="s">
        <v>488</v>
      </c>
      <c r="F8665" s="38" t="s">
        <v>338</v>
      </c>
      <c r="G8665" s="49" t="str">
        <f t="shared" si="1"/>
        <v>17770</v>
      </c>
      <c r="H8665" s="49">
        <f t="shared" si="2"/>
        <v>17344</v>
      </c>
    </row>
    <row r="8666">
      <c r="A8666" s="48" t="s">
        <v>1352</v>
      </c>
      <c r="B8666" s="38">
        <v>79184.0</v>
      </c>
      <c r="C8666" s="38" t="s">
        <v>12399</v>
      </c>
      <c r="D8666" s="38" t="str">
        <f>IFERROR(__xludf.DUMMYFUNCTION("REGEXREPLACE(C8666,""-\d+(.*)|--\d+(.*)"","""")"),"LA MOTHE-SAINT-HERAY")</f>
        <v>LA MOTHE-SAINT-HERAY</v>
      </c>
      <c r="E8666" s="38" t="s">
        <v>337</v>
      </c>
      <c r="F8666" s="38" t="s">
        <v>338</v>
      </c>
      <c r="G8666" s="49" t="str">
        <f t="shared" si="1"/>
        <v>79800</v>
      </c>
      <c r="H8666" s="49">
        <f t="shared" si="2"/>
        <v>79184</v>
      </c>
    </row>
    <row r="8667">
      <c r="A8667" s="48" t="s">
        <v>9632</v>
      </c>
      <c r="B8667" s="38">
        <v>28044.0</v>
      </c>
      <c r="C8667" s="38" t="s">
        <v>12400</v>
      </c>
      <c r="D8667" s="38" t="str">
        <f>IFERROR(__xludf.DUMMYFUNCTION("REGEXREPLACE(C8667,""-\d+(.*)|--\d+(.*)"","""")"),"BOISGASSON")</f>
        <v>BOISGASSON</v>
      </c>
      <c r="E8667" s="38" t="s">
        <v>300</v>
      </c>
      <c r="F8667" s="38" t="s">
        <v>123</v>
      </c>
      <c r="G8667" s="49" t="str">
        <f t="shared" si="1"/>
        <v>28220</v>
      </c>
      <c r="H8667" s="49">
        <f t="shared" si="2"/>
        <v>28044</v>
      </c>
    </row>
    <row r="8668">
      <c r="A8668" s="48" t="s">
        <v>5292</v>
      </c>
      <c r="B8668" s="38">
        <v>1203.0</v>
      </c>
      <c r="C8668" s="38" t="s">
        <v>12401</v>
      </c>
      <c r="D8668" s="38" t="str">
        <f>IFERROR(__xludf.DUMMYFUNCTION("REGEXREPLACE(C8668,""-\d+(.*)|--\d+(.*)"","""")"),"LAIZ")</f>
        <v>LAIZ</v>
      </c>
      <c r="E8668" s="38" t="s">
        <v>255</v>
      </c>
      <c r="F8668" s="38" t="s">
        <v>102</v>
      </c>
      <c r="G8668" s="49" t="str">
        <f t="shared" si="1"/>
        <v>01290</v>
      </c>
      <c r="H8668" s="49" t="str">
        <f t="shared" si="2"/>
        <v>01203</v>
      </c>
    </row>
    <row r="8669">
      <c r="A8669" s="48" t="s">
        <v>12402</v>
      </c>
      <c r="B8669" s="38" t="s">
        <v>12403</v>
      </c>
      <c r="C8669" s="38" t="s">
        <v>12404</v>
      </c>
      <c r="D8669" s="38" t="str">
        <f>IFERROR(__xludf.DUMMYFUNCTION("REGEXREPLACE(C8669,""-\d+(.*)|--\d+(.*)"","""")"),"PIOGGIOLA")</f>
        <v>PIOGGIOLA</v>
      </c>
      <c r="E8669" s="38" t="s">
        <v>743</v>
      </c>
      <c r="F8669" s="38" t="s">
        <v>607</v>
      </c>
      <c r="G8669" s="49" t="str">
        <f t="shared" si="1"/>
        <v>20259</v>
      </c>
      <c r="H8669" s="49" t="str">
        <f t="shared" si="2"/>
        <v>2B235</v>
      </c>
    </row>
    <row r="8670">
      <c r="A8670" s="48" t="s">
        <v>9436</v>
      </c>
      <c r="B8670" s="38">
        <v>63335.0</v>
      </c>
      <c r="C8670" s="38" t="s">
        <v>12405</v>
      </c>
      <c r="D8670" s="38" t="str">
        <f>IFERROR(__xludf.DUMMYFUNCTION("REGEXREPLACE(C8670,""-\d+(.*)|--\d+(.*)"","""")"),"SAINT-DIERY")</f>
        <v>SAINT-DIERY</v>
      </c>
      <c r="E8670" s="38" t="s">
        <v>353</v>
      </c>
      <c r="F8670" s="38" t="s">
        <v>161</v>
      </c>
      <c r="G8670" s="49" t="str">
        <f t="shared" si="1"/>
        <v>63320</v>
      </c>
      <c r="H8670" s="49">
        <f t="shared" si="2"/>
        <v>63335</v>
      </c>
    </row>
    <row r="8671">
      <c r="A8671" s="48" t="s">
        <v>2219</v>
      </c>
      <c r="B8671" s="38">
        <v>2480.0</v>
      </c>
      <c r="C8671" s="38" t="s">
        <v>12406</v>
      </c>
      <c r="D8671" s="38" t="str">
        <f>IFERROR(__xludf.DUMMYFUNCTION("REGEXREPLACE(C8671,""-\d+(.*)|--\d+(.*)"","""")"),"MESBRECOURT-RICHECOURT")</f>
        <v>MESBRECOURT-RICHECOURT</v>
      </c>
      <c r="E8671" s="38" t="s">
        <v>191</v>
      </c>
      <c r="F8671" s="38" t="s">
        <v>113</v>
      </c>
      <c r="G8671" s="49" t="str">
        <f t="shared" si="1"/>
        <v>02270</v>
      </c>
      <c r="H8671" s="49" t="str">
        <f t="shared" si="2"/>
        <v>02480</v>
      </c>
    </row>
    <row r="8672">
      <c r="A8672" s="48" t="s">
        <v>12407</v>
      </c>
      <c r="B8672" s="38">
        <v>38562.0</v>
      </c>
      <c r="C8672" s="38" t="s">
        <v>12408</v>
      </c>
      <c r="D8672" s="38" t="str">
        <f>IFERROR(__xludf.DUMMYFUNCTION("REGEXREPLACE(C8672,""-\d+(.*)|--\d+(.*)"","""")"),"VIZILLE")</f>
        <v>VIZILLE</v>
      </c>
      <c r="E8672" s="38" t="s">
        <v>101</v>
      </c>
      <c r="F8672" s="38" t="s">
        <v>102</v>
      </c>
      <c r="G8672" s="49" t="str">
        <f t="shared" si="1"/>
        <v>38220</v>
      </c>
      <c r="H8672" s="49">
        <f t="shared" si="2"/>
        <v>38562</v>
      </c>
    </row>
    <row r="8673">
      <c r="A8673" s="48" t="s">
        <v>3725</v>
      </c>
      <c r="B8673" s="38">
        <v>50637.0</v>
      </c>
      <c r="C8673" s="38" t="s">
        <v>12409</v>
      </c>
      <c r="D8673" s="38" t="str">
        <f>IFERROR(__xludf.DUMMYFUNCTION("REGEXREPLACE(C8673,""-\d+(.*)|--\d+(.*)"","""")"),"VILLEBAUDON")</f>
        <v>VILLEBAUDON</v>
      </c>
      <c r="E8673" s="38" t="s">
        <v>157</v>
      </c>
      <c r="F8673" s="38" t="s">
        <v>138</v>
      </c>
      <c r="G8673" s="49" t="str">
        <f t="shared" si="1"/>
        <v>50410</v>
      </c>
      <c r="H8673" s="49">
        <f t="shared" si="2"/>
        <v>50637</v>
      </c>
    </row>
    <row r="8674">
      <c r="A8674" s="48" t="s">
        <v>12410</v>
      </c>
      <c r="B8674" s="38">
        <v>66020.0</v>
      </c>
      <c r="C8674" s="38" t="s">
        <v>12411</v>
      </c>
      <c r="D8674" s="38" t="str">
        <f>IFERROR(__xludf.DUMMYFUNCTION("REGEXREPLACE(C8674,""-\d+(.*)|--\d+(.*)"","""")"),"BOLQUERE")</f>
        <v>BOLQUERE</v>
      </c>
      <c r="E8674" s="38" t="s">
        <v>248</v>
      </c>
      <c r="F8674" s="38" t="s">
        <v>119</v>
      </c>
      <c r="G8674" s="49" t="str">
        <f t="shared" si="1"/>
        <v>66210</v>
      </c>
      <c r="H8674" s="49">
        <f t="shared" si="2"/>
        <v>66020</v>
      </c>
    </row>
    <row r="8675">
      <c r="A8675" s="48" t="s">
        <v>5395</v>
      </c>
      <c r="B8675" s="38">
        <v>23221.0</v>
      </c>
      <c r="C8675" s="38" t="s">
        <v>12412</v>
      </c>
      <c r="D8675" s="38" t="str">
        <f>IFERROR(__xludf.DUMMYFUNCTION("REGEXREPLACE(C8675,""-\d+(.*)|--\d+(.*)"","""")"),"SAINT-MERD-LA-BREUILLE")</f>
        <v>SAINT-MERD-LA-BREUILLE</v>
      </c>
      <c r="E8675" s="38" t="s">
        <v>97</v>
      </c>
      <c r="F8675" s="38" t="s">
        <v>98</v>
      </c>
      <c r="G8675" s="49" t="str">
        <f t="shared" si="1"/>
        <v>23100</v>
      </c>
      <c r="H8675" s="49">
        <f t="shared" si="2"/>
        <v>23221</v>
      </c>
    </row>
    <row r="8676">
      <c r="A8676" s="48" t="s">
        <v>1089</v>
      </c>
      <c r="B8676" s="38">
        <v>67178.0</v>
      </c>
      <c r="C8676" s="38" t="s">
        <v>12413</v>
      </c>
      <c r="D8676" s="38" t="str">
        <f>IFERROR(__xludf.DUMMYFUNCTION("REGEXREPLACE(C8676,""-\d+(.*)|--\d+(.*)"","""")"),"GUNGWILLER")</f>
        <v>GUNGWILLER</v>
      </c>
      <c r="E8676" s="38" t="s">
        <v>210</v>
      </c>
      <c r="F8676" s="38" t="s">
        <v>151</v>
      </c>
      <c r="G8676" s="49" t="str">
        <f t="shared" si="1"/>
        <v>67320</v>
      </c>
      <c r="H8676" s="49">
        <f t="shared" si="2"/>
        <v>67178</v>
      </c>
    </row>
    <row r="8677">
      <c r="A8677" s="48" t="s">
        <v>1970</v>
      </c>
      <c r="B8677" s="38">
        <v>74035.0</v>
      </c>
      <c r="C8677" s="38" t="s">
        <v>12414</v>
      </c>
      <c r="D8677" s="38" t="str">
        <f>IFERROR(__xludf.DUMMYFUNCTION("REGEXREPLACE(C8677,""-\d+(.*)|--\d+(.*)"","""")"),"BLOYE")</f>
        <v>BLOYE</v>
      </c>
      <c r="E8677" s="38" t="s">
        <v>319</v>
      </c>
      <c r="F8677" s="38" t="s">
        <v>102</v>
      </c>
      <c r="G8677" s="49" t="str">
        <f t="shared" si="1"/>
        <v>74150</v>
      </c>
      <c r="H8677" s="49">
        <f t="shared" si="2"/>
        <v>74035</v>
      </c>
    </row>
    <row r="8678">
      <c r="A8678" s="48" t="s">
        <v>284</v>
      </c>
      <c r="B8678" s="38">
        <v>60533.0</v>
      </c>
      <c r="C8678" s="38" t="s">
        <v>12415</v>
      </c>
      <c r="D8678" s="38" t="str">
        <f>IFERROR(__xludf.DUMMYFUNCTION("REGEXREPLACE(C8678,""-\d+(.*)|--\d+(.*)"","""")"),"RESSONS-SUR-MATZ")</f>
        <v>RESSONS-SUR-MATZ</v>
      </c>
      <c r="E8678" s="38" t="s">
        <v>112</v>
      </c>
      <c r="F8678" s="38" t="s">
        <v>113</v>
      </c>
      <c r="G8678" s="49" t="str">
        <f t="shared" si="1"/>
        <v>60490</v>
      </c>
      <c r="H8678" s="49">
        <f t="shared" si="2"/>
        <v>60533</v>
      </c>
    </row>
    <row r="8679">
      <c r="A8679" s="48" t="s">
        <v>6321</v>
      </c>
      <c r="B8679" s="38">
        <v>62042.0</v>
      </c>
      <c r="C8679" s="38" t="s">
        <v>12416</v>
      </c>
      <c r="D8679" s="38" t="str">
        <f>IFERROR(__xludf.DUMMYFUNCTION("REGEXREPLACE(C8679,""-\d+(.*)|--\d+(.*)"","""")"),"ATHIES")</f>
        <v>ATHIES</v>
      </c>
      <c r="E8679" s="38" t="s">
        <v>109</v>
      </c>
      <c r="F8679" s="38" t="s">
        <v>86</v>
      </c>
      <c r="G8679" s="49" t="str">
        <f t="shared" si="1"/>
        <v>62223</v>
      </c>
      <c r="H8679" s="49">
        <f t="shared" si="2"/>
        <v>62042</v>
      </c>
    </row>
    <row r="8680">
      <c r="A8680" s="48" t="s">
        <v>7700</v>
      </c>
      <c r="B8680" s="38">
        <v>23205.0</v>
      </c>
      <c r="C8680" s="38" t="s">
        <v>12417</v>
      </c>
      <c r="D8680" s="38" t="str">
        <f>IFERROR(__xludf.DUMMYFUNCTION("REGEXREPLACE(C8680,""-\d+(.*)|--\d+(.*)"","""")"),"SAINT-JUNIEN-LA-BREGERE")</f>
        <v>SAINT-JUNIEN-LA-BREGERE</v>
      </c>
      <c r="E8680" s="38" t="s">
        <v>97</v>
      </c>
      <c r="F8680" s="38" t="s">
        <v>98</v>
      </c>
      <c r="G8680" s="49" t="str">
        <f t="shared" si="1"/>
        <v>23400</v>
      </c>
      <c r="H8680" s="49">
        <f t="shared" si="2"/>
        <v>23205</v>
      </c>
    </row>
    <row r="8681">
      <c r="A8681" s="48" t="s">
        <v>447</v>
      </c>
      <c r="B8681" s="38">
        <v>88200.0</v>
      </c>
      <c r="C8681" s="38" t="s">
        <v>12418</v>
      </c>
      <c r="D8681" s="38" t="str">
        <f>IFERROR(__xludf.DUMMYFUNCTION("REGEXREPLACE(C8681,""-\d+(.*)|--\d+(.*)"","""")"),"GIGNEY")</f>
        <v>GIGNEY</v>
      </c>
      <c r="E8681" s="38" t="s">
        <v>194</v>
      </c>
      <c r="F8681" s="38" t="s">
        <v>195</v>
      </c>
      <c r="G8681" s="49" t="str">
        <f t="shared" si="1"/>
        <v>88390</v>
      </c>
      <c r="H8681" s="49">
        <f t="shared" si="2"/>
        <v>88200</v>
      </c>
    </row>
    <row r="8682">
      <c r="A8682" s="48" t="s">
        <v>12419</v>
      </c>
      <c r="B8682" s="38">
        <v>35281.0</v>
      </c>
      <c r="C8682" s="38" t="s">
        <v>12420</v>
      </c>
      <c r="D8682" s="38" t="str">
        <f>IFERROR(__xludf.DUMMYFUNCTION("REGEXREPLACE(C8682,""-\d+(.*)|--\d+(.*)"","""")"),"SAINT-JACQUES-DE-LA-LANDE")</f>
        <v>SAINT-JACQUES-DE-LA-LANDE</v>
      </c>
      <c r="E8682" s="38" t="s">
        <v>347</v>
      </c>
      <c r="F8682" s="38" t="s">
        <v>90</v>
      </c>
      <c r="G8682" s="49" t="str">
        <f t="shared" si="1"/>
        <v>35136</v>
      </c>
      <c r="H8682" s="49">
        <f t="shared" si="2"/>
        <v>35281</v>
      </c>
    </row>
    <row r="8683">
      <c r="A8683" s="48" t="s">
        <v>5212</v>
      </c>
      <c r="B8683" s="38">
        <v>41250.0</v>
      </c>
      <c r="C8683" s="38" t="s">
        <v>12421</v>
      </c>
      <c r="D8683" s="38" t="str">
        <f>IFERROR(__xludf.DUMMYFUNCTION("REGEXREPLACE(C8683,""-\d+(.*)|--\d+(.*)"","""")"),"SOUGE")</f>
        <v>SOUGE</v>
      </c>
      <c r="E8683" s="38" t="s">
        <v>188</v>
      </c>
      <c r="F8683" s="38" t="s">
        <v>123</v>
      </c>
      <c r="G8683" s="49" t="str">
        <f t="shared" si="1"/>
        <v>41800</v>
      </c>
      <c r="H8683" s="49">
        <f t="shared" si="2"/>
        <v>41250</v>
      </c>
    </row>
    <row r="8684">
      <c r="A8684" s="48" t="s">
        <v>691</v>
      </c>
      <c r="B8684" s="38">
        <v>64462.0</v>
      </c>
      <c r="C8684" s="38" t="s">
        <v>12422</v>
      </c>
      <c r="D8684" s="38" t="str">
        <f>IFERROR(__xludf.DUMMYFUNCTION("REGEXREPLACE(C8684,""-\d+(.*)|--\d+(.*)"","""")"),"RAMOUS")</f>
        <v>RAMOUS</v>
      </c>
      <c r="E8684" s="38" t="s">
        <v>268</v>
      </c>
      <c r="F8684" s="38" t="s">
        <v>252</v>
      </c>
      <c r="G8684" s="49" t="str">
        <f t="shared" si="1"/>
        <v>64270</v>
      </c>
      <c r="H8684" s="49">
        <f t="shared" si="2"/>
        <v>64462</v>
      </c>
    </row>
    <row r="8685">
      <c r="A8685" s="48" t="s">
        <v>5674</v>
      </c>
      <c r="B8685" s="38">
        <v>55477.0</v>
      </c>
      <c r="C8685" s="38" t="s">
        <v>12423</v>
      </c>
      <c r="D8685" s="38" t="str">
        <f>IFERROR(__xludf.DUMMYFUNCTION("REGEXREPLACE(C8685,""-\d+(.*)|--\d+(.*)"","""")"),"SAVONNIERES-EN-PERTHOIS")</f>
        <v>SAVONNIERES-EN-PERTHOIS</v>
      </c>
      <c r="E8685" s="38" t="s">
        <v>322</v>
      </c>
      <c r="F8685" s="38" t="s">
        <v>195</v>
      </c>
      <c r="G8685" s="49" t="str">
        <f t="shared" si="1"/>
        <v>55170</v>
      </c>
      <c r="H8685" s="49">
        <f t="shared" si="2"/>
        <v>55477</v>
      </c>
    </row>
    <row r="8686">
      <c r="A8686" s="48" t="s">
        <v>5587</v>
      </c>
      <c r="B8686" s="38">
        <v>3172.0</v>
      </c>
      <c r="C8686" s="38" t="s">
        <v>12424</v>
      </c>
      <c r="D8686" s="38" t="str">
        <f>IFERROR(__xludf.DUMMYFUNCTION("REGEXREPLACE(C8686,""-\d+(.*)|--\d+(.*)"","""")"),"MESPLES")</f>
        <v>MESPLES</v>
      </c>
      <c r="E8686" s="38" t="s">
        <v>160</v>
      </c>
      <c r="F8686" s="38" t="s">
        <v>161</v>
      </c>
      <c r="G8686" s="49" t="str">
        <f t="shared" si="1"/>
        <v>03370</v>
      </c>
      <c r="H8686" s="49" t="str">
        <f t="shared" si="2"/>
        <v>03172</v>
      </c>
    </row>
    <row r="8687">
      <c r="A8687" s="48" t="s">
        <v>12425</v>
      </c>
      <c r="B8687" s="38">
        <v>84072.0</v>
      </c>
      <c r="C8687" s="38" t="s">
        <v>12426</v>
      </c>
      <c r="D8687" s="38" t="str">
        <f>IFERROR(__xludf.DUMMYFUNCTION("REGEXREPLACE(C8687,""-\d+(.*)|--\d+(.*)"","""")"),"MAZAN")</f>
        <v>MAZAN</v>
      </c>
      <c r="E8687" s="38" t="s">
        <v>1026</v>
      </c>
      <c r="F8687" s="38" t="s">
        <v>228</v>
      </c>
      <c r="G8687" s="49" t="str">
        <f t="shared" si="1"/>
        <v>84380</v>
      </c>
      <c r="H8687" s="49">
        <f t="shared" si="2"/>
        <v>84072</v>
      </c>
    </row>
    <row r="8688">
      <c r="A8688" s="48" t="s">
        <v>918</v>
      </c>
      <c r="B8688" s="38">
        <v>59073.0</v>
      </c>
      <c r="C8688" s="38" t="s">
        <v>12427</v>
      </c>
      <c r="D8688" s="38" t="str">
        <f>IFERROR(__xludf.DUMMYFUNCTION("REGEXREPLACE(C8688,""-\d+(.*)|--\d+(.*)"","""")"),"BERTHEN")</f>
        <v>BERTHEN</v>
      </c>
      <c r="E8688" s="38" t="s">
        <v>85</v>
      </c>
      <c r="F8688" s="38" t="s">
        <v>86</v>
      </c>
      <c r="G8688" s="49" t="str">
        <f t="shared" si="1"/>
        <v>59270</v>
      </c>
      <c r="H8688" s="49">
        <f t="shared" si="2"/>
        <v>59073</v>
      </c>
    </row>
    <row r="8689">
      <c r="A8689" s="48" t="s">
        <v>7017</v>
      </c>
      <c r="B8689" s="38" t="s">
        <v>12428</v>
      </c>
      <c r="C8689" s="38" t="s">
        <v>12429</v>
      </c>
      <c r="D8689" s="38" t="str">
        <f>IFERROR(__xludf.DUMMYFUNCTION("REGEXREPLACE(C8689,""-\d+(.*)|--\d+(.*)"","""")"),"GIUNCAGGIO")</f>
        <v>GIUNCAGGIO</v>
      </c>
      <c r="E8689" s="38" t="s">
        <v>743</v>
      </c>
      <c r="F8689" s="38" t="s">
        <v>607</v>
      </c>
      <c r="G8689" s="49" t="str">
        <f t="shared" si="1"/>
        <v>20251</v>
      </c>
      <c r="H8689" s="49" t="str">
        <f t="shared" si="2"/>
        <v>2B126</v>
      </c>
    </row>
    <row r="8690">
      <c r="A8690" s="48" t="s">
        <v>1250</v>
      </c>
      <c r="B8690" s="38">
        <v>31043.0</v>
      </c>
      <c r="C8690" s="38" t="s">
        <v>12430</v>
      </c>
      <c r="D8690" s="38" t="str">
        <f>IFERROR(__xludf.DUMMYFUNCTION("REGEXREPLACE(C8690,""-\d+(.*)|--\d+(.*)"","""")"),"BALESTA")</f>
        <v>BALESTA</v>
      </c>
      <c r="E8690" s="38" t="s">
        <v>93</v>
      </c>
      <c r="F8690" s="38" t="s">
        <v>94</v>
      </c>
      <c r="G8690" s="49" t="str">
        <f t="shared" si="1"/>
        <v>31580</v>
      </c>
      <c r="H8690" s="49">
        <f t="shared" si="2"/>
        <v>31043</v>
      </c>
    </row>
    <row r="8691">
      <c r="A8691" s="48" t="s">
        <v>12431</v>
      </c>
      <c r="B8691" s="38">
        <v>67172.0</v>
      </c>
      <c r="C8691" s="38" t="s">
        <v>12432</v>
      </c>
      <c r="D8691" s="38" t="str">
        <f>IFERROR(__xludf.DUMMYFUNCTION("REGEXREPLACE(C8691,""-\d+(.*)|--\d+(.*)"","""")"),"GRIESHEIM-PRES-MOLSHEIM")</f>
        <v>GRIESHEIM-PRES-MOLSHEIM</v>
      </c>
      <c r="E8691" s="38" t="s">
        <v>210</v>
      </c>
      <c r="F8691" s="38" t="s">
        <v>151</v>
      </c>
      <c r="G8691" s="49" t="str">
        <f t="shared" si="1"/>
        <v>67870</v>
      </c>
      <c r="H8691" s="49">
        <f t="shared" si="2"/>
        <v>67172</v>
      </c>
    </row>
    <row r="8692">
      <c r="A8692" s="48" t="s">
        <v>12433</v>
      </c>
      <c r="B8692" s="38">
        <v>18267.0</v>
      </c>
      <c r="C8692" s="38" t="s">
        <v>12434</v>
      </c>
      <c r="D8692" s="38" t="str">
        <f>IFERROR(__xludf.DUMMYFUNCTION("REGEXREPLACE(C8692,""-\d+(.*)|--\d+(.*)"","""")"),"TROUY")</f>
        <v>TROUY</v>
      </c>
      <c r="E8692" s="38" t="s">
        <v>504</v>
      </c>
      <c r="F8692" s="38" t="s">
        <v>123</v>
      </c>
      <c r="G8692" s="49" t="str">
        <f t="shared" si="1"/>
        <v>18570</v>
      </c>
      <c r="H8692" s="49">
        <f t="shared" si="2"/>
        <v>18267</v>
      </c>
    </row>
    <row r="8693">
      <c r="A8693" s="48" t="s">
        <v>4682</v>
      </c>
      <c r="B8693" s="38">
        <v>50055.0</v>
      </c>
      <c r="C8693" s="38" t="s">
        <v>12435</v>
      </c>
      <c r="D8693" s="38" t="str">
        <f>IFERROR(__xludf.DUMMYFUNCTION("REGEXREPLACE(C8693,""-\d+(.*)|--\d+(.*)"","""")"),"BINIVILLE")</f>
        <v>BINIVILLE</v>
      </c>
      <c r="E8693" s="38" t="s">
        <v>157</v>
      </c>
      <c r="F8693" s="38" t="s">
        <v>138</v>
      </c>
      <c r="G8693" s="49" t="str">
        <f t="shared" si="1"/>
        <v>50390</v>
      </c>
      <c r="H8693" s="49">
        <f t="shared" si="2"/>
        <v>50055</v>
      </c>
    </row>
    <row r="8694">
      <c r="A8694" s="48" t="s">
        <v>6073</v>
      </c>
      <c r="B8694" s="38">
        <v>40099.0</v>
      </c>
      <c r="C8694" s="38" t="s">
        <v>2212</v>
      </c>
      <c r="D8694" s="38" t="str">
        <f>IFERROR(__xludf.DUMMYFUNCTION("REGEXREPLACE(C8694,""-\d+(.*)|--\d+(.*)"","""")"),"FARGUES")</f>
        <v>FARGUES</v>
      </c>
      <c r="E8694" s="38" t="s">
        <v>281</v>
      </c>
      <c r="F8694" s="38" t="s">
        <v>252</v>
      </c>
      <c r="G8694" s="49" t="str">
        <f t="shared" si="1"/>
        <v>40500</v>
      </c>
      <c r="H8694" s="49">
        <f t="shared" si="2"/>
        <v>40099</v>
      </c>
    </row>
    <row r="8695">
      <c r="A8695" s="48" t="s">
        <v>794</v>
      </c>
      <c r="B8695" s="38">
        <v>60664.0</v>
      </c>
      <c r="C8695" s="38" t="s">
        <v>12436</v>
      </c>
      <c r="D8695" s="38" t="str">
        <f>IFERROR(__xludf.DUMMYFUNCTION("REGEXREPLACE(C8695,""-\d+(.*)|--\d+(.*)"","""")"),"VENDEUIL-CAPLY")</f>
        <v>VENDEUIL-CAPLY</v>
      </c>
      <c r="E8695" s="38" t="s">
        <v>112</v>
      </c>
      <c r="F8695" s="38" t="s">
        <v>113</v>
      </c>
      <c r="G8695" s="49" t="str">
        <f t="shared" si="1"/>
        <v>60120</v>
      </c>
      <c r="H8695" s="49">
        <f t="shared" si="2"/>
        <v>60664</v>
      </c>
    </row>
    <row r="8696">
      <c r="A8696" s="48" t="s">
        <v>1866</v>
      </c>
      <c r="B8696" s="38">
        <v>61232.0</v>
      </c>
      <c r="C8696" s="38" t="s">
        <v>12437</v>
      </c>
      <c r="D8696" s="38" t="str">
        <f>IFERROR(__xludf.DUMMYFUNCTION("REGEXREPLACE(C8696,""-\d+(.*)|--\d+(.*)"","""")"),"LONLAY-L'ABBAYE")</f>
        <v>LONLAY-L'ABBAYE</v>
      </c>
      <c r="E8696" s="38" t="s">
        <v>141</v>
      </c>
      <c r="F8696" s="38" t="s">
        <v>138</v>
      </c>
      <c r="G8696" s="49" t="str">
        <f t="shared" si="1"/>
        <v>61700</v>
      </c>
      <c r="H8696" s="49">
        <f t="shared" si="2"/>
        <v>61232</v>
      </c>
    </row>
    <row r="8697">
      <c r="A8697" s="48" t="s">
        <v>1562</v>
      </c>
      <c r="B8697" s="38">
        <v>24457.0</v>
      </c>
      <c r="C8697" s="38" t="s">
        <v>12438</v>
      </c>
      <c r="D8697" s="38" t="str">
        <f>IFERROR(__xludf.DUMMYFUNCTION("REGEXREPLACE(C8697,""-\d+(.*)|--\d+(.*)"","""")"),"SAINT-MARTIN-L'ASTIER")</f>
        <v>SAINT-MARTIN-L'ASTIER</v>
      </c>
      <c r="E8697" s="38" t="s">
        <v>261</v>
      </c>
      <c r="F8697" s="38" t="s">
        <v>252</v>
      </c>
      <c r="G8697" s="49" t="str">
        <f t="shared" si="1"/>
        <v>24400</v>
      </c>
      <c r="H8697" s="49">
        <f t="shared" si="2"/>
        <v>24457</v>
      </c>
    </row>
    <row r="8698">
      <c r="A8698" s="48" t="s">
        <v>4701</v>
      </c>
      <c r="B8698" s="38">
        <v>62375.0</v>
      </c>
      <c r="C8698" s="38" t="s">
        <v>12439</v>
      </c>
      <c r="D8698" s="38" t="str">
        <f>IFERROR(__xludf.DUMMYFUNCTION("REGEXREPLACE(C8698,""-\d+(.*)|--\d+(.*)"","""")"),"GOMMECOURT")</f>
        <v>GOMMECOURT</v>
      </c>
      <c r="E8698" s="38" t="s">
        <v>109</v>
      </c>
      <c r="F8698" s="38" t="s">
        <v>86</v>
      </c>
      <c r="G8698" s="49" t="str">
        <f t="shared" si="1"/>
        <v>62111</v>
      </c>
      <c r="H8698" s="49">
        <f t="shared" si="2"/>
        <v>62375</v>
      </c>
    </row>
    <row r="8699">
      <c r="A8699" s="48" t="s">
        <v>1155</v>
      </c>
      <c r="B8699" s="38">
        <v>67095.0</v>
      </c>
      <c r="C8699" s="38" t="s">
        <v>12440</v>
      </c>
      <c r="D8699" s="38" t="str">
        <f>IFERROR(__xludf.DUMMYFUNCTION("REGEXREPLACE(C8699,""-\d+(.*)|--\d+(.*)"","""")"),"DIEMERINGEN")</f>
        <v>DIEMERINGEN</v>
      </c>
      <c r="E8699" s="38" t="s">
        <v>210</v>
      </c>
      <c r="F8699" s="38" t="s">
        <v>151</v>
      </c>
      <c r="G8699" s="49" t="str">
        <f t="shared" si="1"/>
        <v>67430</v>
      </c>
      <c r="H8699" s="49">
        <f t="shared" si="2"/>
        <v>67095</v>
      </c>
    </row>
    <row r="8700">
      <c r="A8700" s="48" t="s">
        <v>983</v>
      </c>
      <c r="B8700" s="38">
        <v>52131.0</v>
      </c>
      <c r="C8700" s="38" t="s">
        <v>12441</v>
      </c>
      <c r="D8700" s="38" t="str">
        <f>IFERROR(__xludf.DUMMYFUNCTION("REGEXREPLACE(C8700,""-\d+(.*)|--\d+(.*)"","""")"),"CIRFONTAINES-EN-ORNOIS")</f>
        <v>CIRFONTAINES-EN-ORNOIS</v>
      </c>
      <c r="E8700" s="38" t="s">
        <v>234</v>
      </c>
      <c r="F8700" s="38" t="s">
        <v>130</v>
      </c>
      <c r="G8700" s="49" t="str">
        <f t="shared" si="1"/>
        <v>52230</v>
      </c>
      <c r="H8700" s="49">
        <f t="shared" si="2"/>
        <v>52131</v>
      </c>
    </row>
    <row r="8701">
      <c r="A8701" s="48" t="s">
        <v>507</v>
      </c>
      <c r="B8701" s="38">
        <v>8462.0</v>
      </c>
      <c r="C8701" s="38" t="s">
        <v>12442</v>
      </c>
      <c r="D8701" s="38" t="str">
        <f>IFERROR(__xludf.DUMMYFUNCTION("REGEXREPLACE(C8701,""-\d+(.*)|--\d+(.*)"","""")"),"VAUX-CHAMPAGNE")</f>
        <v>VAUX-CHAMPAGNE</v>
      </c>
      <c r="E8701" s="38" t="s">
        <v>327</v>
      </c>
      <c r="F8701" s="38" t="s">
        <v>130</v>
      </c>
      <c r="G8701" s="49" t="str">
        <f t="shared" si="1"/>
        <v>08130</v>
      </c>
      <c r="H8701" s="49" t="str">
        <f t="shared" si="2"/>
        <v>08462</v>
      </c>
    </row>
    <row r="8702">
      <c r="A8702" s="48" t="s">
        <v>8600</v>
      </c>
      <c r="B8702" s="38">
        <v>68012.0</v>
      </c>
      <c r="C8702" s="38" t="s">
        <v>12443</v>
      </c>
      <c r="D8702" s="38" t="str">
        <f>IFERROR(__xludf.DUMMYFUNCTION("REGEXREPLACE(C8702,""-\d+(.*)|--\d+(.*)"","""")"),"ASPACH-LE-HAUT")</f>
        <v>ASPACH-LE-HAUT</v>
      </c>
      <c r="E8702" s="38" t="s">
        <v>150</v>
      </c>
      <c r="F8702" s="38" t="s">
        <v>151</v>
      </c>
      <c r="G8702" s="49" t="str">
        <f t="shared" si="1"/>
        <v>68700</v>
      </c>
      <c r="H8702" s="49">
        <f t="shared" si="2"/>
        <v>68012</v>
      </c>
    </row>
    <row r="8703">
      <c r="A8703" s="48" t="s">
        <v>8365</v>
      </c>
      <c r="B8703" s="38">
        <v>39149.0</v>
      </c>
      <c r="C8703" s="38" t="s">
        <v>12444</v>
      </c>
      <c r="D8703" s="38" t="str">
        <f>IFERROR(__xludf.DUMMYFUNCTION("REGEXREPLACE(C8703,""-\d+(.*)|--\d+(.*)"","""")"),"CHISSEY-SUR-LOUE")</f>
        <v>CHISSEY-SUR-LOUE</v>
      </c>
      <c r="E8703" s="38" t="s">
        <v>400</v>
      </c>
      <c r="F8703" s="38" t="s">
        <v>214</v>
      </c>
      <c r="G8703" s="49" t="str">
        <f t="shared" si="1"/>
        <v>39380</v>
      </c>
      <c r="H8703" s="49">
        <f t="shared" si="2"/>
        <v>39149</v>
      </c>
    </row>
    <row r="8704">
      <c r="A8704" s="48" t="s">
        <v>6649</v>
      </c>
      <c r="B8704" s="38">
        <v>18054.0</v>
      </c>
      <c r="C8704" s="38" t="s">
        <v>7092</v>
      </c>
      <c r="D8704" s="38" t="str">
        <f>IFERROR(__xludf.DUMMYFUNCTION("REGEXREPLACE(C8704,""-\d+(.*)|--\d+(.*)"","""")"),"CHARLY")</f>
        <v>CHARLY</v>
      </c>
      <c r="E8704" s="38" t="s">
        <v>504</v>
      </c>
      <c r="F8704" s="38" t="s">
        <v>123</v>
      </c>
      <c r="G8704" s="49" t="str">
        <f t="shared" si="1"/>
        <v>18350</v>
      </c>
      <c r="H8704" s="49">
        <f t="shared" si="2"/>
        <v>18054</v>
      </c>
    </row>
    <row r="8705">
      <c r="A8705" s="48" t="s">
        <v>5650</v>
      </c>
      <c r="B8705" s="38">
        <v>1300.0</v>
      </c>
      <c r="C8705" s="38" t="s">
        <v>12445</v>
      </c>
      <c r="D8705" s="38" t="str">
        <f>IFERROR(__xludf.DUMMYFUNCTION("REGEXREPLACE(C8705,""-\d+(.*)|--\d+(.*)"","""")"),"LE POIZAT")</f>
        <v>LE POIZAT</v>
      </c>
      <c r="E8705" s="38" t="s">
        <v>255</v>
      </c>
      <c r="F8705" s="38" t="s">
        <v>102</v>
      </c>
      <c r="G8705" s="49" t="str">
        <f t="shared" si="1"/>
        <v>01130</v>
      </c>
      <c r="H8705" s="49" t="str">
        <f t="shared" si="2"/>
        <v>01300</v>
      </c>
    </row>
    <row r="8706">
      <c r="A8706" s="48" t="s">
        <v>2219</v>
      </c>
      <c r="B8706" s="38">
        <v>2338.0</v>
      </c>
      <c r="C8706" s="38" t="s">
        <v>12446</v>
      </c>
      <c r="D8706" s="38" t="str">
        <f>IFERROR(__xludf.DUMMYFUNCTION("REGEXREPLACE(C8706,""-\d+(.*)|--\d+(.*)"","""")"),"FROIDMONT-COHARTILLE")</f>
        <v>FROIDMONT-COHARTILLE</v>
      </c>
      <c r="E8706" s="38" t="s">
        <v>191</v>
      </c>
      <c r="F8706" s="38" t="s">
        <v>113</v>
      </c>
      <c r="G8706" s="49" t="str">
        <f t="shared" si="1"/>
        <v>02270</v>
      </c>
      <c r="H8706" s="49" t="str">
        <f t="shared" si="2"/>
        <v>02338</v>
      </c>
    </row>
    <row r="8707">
      <c r="A8707" s="48" t="s">
        <v>8525</v>
      </c>
      <c r="B8707" s="38">
        <v>44089.0</v>
      </c>
      <c r="C8707" s="38" t="s">
        <v>12447</v>
      </c>
      <c r="D8707" s="38" t="str">
        <f>IFERROR(__xludf.DUMMYFUNCTION("REGEXREPLACE(C8707,""-\d+(.*)|--\d+(.*)"","""")"),"MALVILLE")</f>
        <v>MALVILLE</v>
      </c>
      <c r="E8707" s="38" t="s">
        <v>759</v>
      </c>
      <c r="F8707" s="38" t="s">
        <v>180</v>
      </c>
      <c r="G8707" s="49" t="str">
        <f t="shared" si="1"/>
        <v>44260</v>
      </c>
      <c r="H8707" s="49">
        <f t="shared" si="2"/>
        <v>44089</v>
      </c>
    </row>
    <row r="8708">
      <c r="A8708" s="48" t="s">
        <v>3102</v>
      </c>
      <c r="B8708" s="38">
        <v>55122.0</v>
      </c>
      <c r="C8708" s="38" t="s">
        <v>12448</v>
      </c>
      <c r="D8708" s="38" t="str">
        <f>IFERROR(__xludf.DUMMYFUNCTION("REGEXREPLACE(C8708,""-\d+(.*)|--\d+(.*)"","""")"),"COMMERCY")</f>
        <v>COMMERCY</v>
      </c>
      <c r="E8708" s="38" t="s">
        <v>322</v>
      </c>
      <c r="F8708" s="38" t="s">
        <v>195</v>
      </c>
      <c r="G8708" s="49" t="str">
        <f t="shared" si="1"/>
        <v>55200</v>
      </c>
      <c r="H8708" s="49">
        <f t="shared" si="2"/>
        <v>55122</v>
      </c>
    </row>
    <row r="8709">
      <c r="A8709" s="48" t="s">
        <v>5292</v>
      </c>
      <c r="B8709" s="38">
        <v>1306.0</v>
      </c>
      <c r="C8709" s="38" t="s">
        <v>12449</v>
      </c>
      <c r="D8709" s="38" t="str">
        <f>IFERROR(__xludf.DUMMYFUNCTION("REGEXREPLACE(C8709,""-\d+(.*)|--\d+(.*)"","""")"),"PONT-DE-VEYLE")</f>
        <v>PONT-DE-VEYLE</v>
      </c>
      <c r="E8709" s="38" t="s">
        <v>255</v>
      </c>
      <c r="F8709" s="38" t="s">
        <v>102</v>
      </c>
      <c r="G8709" s="49" t="str">
        <f t="shared" si="1"/>
        <v>01290</v>
      </c>
      <c r="H8709" s="49" t="str">
        <f t="shared" si="2"/>
        <v>01306</v>
      </c>
    </row>
    <row r="8710">
      <c r="A8710" s="48" t="s">
        <v>3747</v>
      </c>
      <c r="B8710" s="38">
        <v>52406.0</v>
      </c>
      <c r="C8710" s="38" t="s">
        <v>7083</v>
      </c>
      <c r="D8710" s="38" t="str">
        <f>IFERROR(__xludf.DUMMYFUNCTION("REGEXREPLACE(C8710,""-\d+(.*)|--\d+(.*)"","""")"),"PRESSIGNY")</f>
        <v>PRESSIGNY</v>
      </c>
      <c r="E8710" s="38" t="s">
        <v>234</v>
      </c>
      <c r="F8710" s="38" t="s">
        <v>130</v>
      </c>
      <c r="G8710" s="49" t="str">
        <f t="shared" si="1"/>
        <v>52500</v>
      </c>
      <c r="H8710" s="49">
        <f t="shared" si="2"/>
        <v>52406</v>
      </c>
    </row>
    <row r="8711">
      <c r="A8711" s="48" t="s">
        <v>3283</v>
      </c>
      <c r="B8711" s="38">
        <v>52095.0</v>
      </c>
      <c r="C8711" s="38" t="s">
        <v>12450</v>
      </c>
      <c r="D8711" s="38" t="str">
        <f>IFERROR(__xludf.DUMMYFUNCTION("REGEXREPLACE(C8711,""-\d+(.*)|--\d+(.*)"","""")"),"CHALVRAINES")</f>
        <v>CHALVRAINES</v>
      </c>
      <c r="E8711" s="38" t="s">
        <v>234</v>
      </c>
      <c r="F8711" s="38" t="s">
        <v>130</v>
      </c>
      <c r="G8711" s="49" t="str">
        <f t="shared" si="1"/>
        <v>52700</v>
      </c>
      <c r="H8711" s="49">
        <f t="shared" si="2"/>
        <v>52095</v>
      </c>
    </row>
    <row r="8712">
      <c r="A8712" s="48" t="s">
        <v>1224</v>
      </c>
      <c r="B8712" s="38">
        <v>18041.0</v>
      </c>
      <c r="C8712" s="38" t="s">
        <v>12451</v>
      </c>
      <c r="D8712" s="38" t="str">
        <f>IFERROR(__xludf.DUMMYFUNCTION("REGEXREPLACE(C8712,""-\d+(.*)|--\d+(.*)"","""")"),"LA CELETTE")</f>
        <v>LA CELETTE</v>
      </c>
      <c r="E8712" s="38" t="s">
        <v>504</v>
      </c>
      <c r="F8712" s="38" t="s">
        <v>123</v>
      </c>
      <c r="G8712" s="49" t="str">
        <f t="shared" si="1"/>
        <v>18360</v>
      </c>
      <c r="H8712" s="49">
        <f t="shared" si="2"/>
        <v>18041</v>
      </c>
    </row>
    <row r="8713">
      <c r="A8713" s="48" t="s">
        <v>7496</v>
      </c>
      <c r="B8713" s="38">
        <v>62324.0</v>
      </c>
      <c r="C8713" s="38" t="s">
        <v>12452</v>
      </c>
      <c r="D8713" s="38" t="str">
        <f>IFERROR(__xludf.DUMMYFUNCTION("REGEXREPLACE(C8713,""-\d+(.*)|--\d+(.*)"","""")"),"FARBUS")</f>
        <v>FARBUS</v>
      </c>
      <c r="E8713" s="38" t="s">
        <v>109</v>
      </c>
      <c r="F8713" s="38" t="s">
        <v>86</v>
      </c>
      <c r="G8713" s="49" t="str">
        <f t="shared" si="1"/>
        <v>62580</v>
      </c>
      <c r="H8713" s="49">
        <f t="shared" si="2"/>
        <v>62324</v>
      </c>
    </row>
    <row r="8714">
      <c r="A8714" s="48" t="s">
        <v>5924</v>
      </c>
      <c r="B8714" s="38">
        <v>87058.0</v>
      </c>
      <c r="C8714" s="38" t="s">
        <v>12453</v>
      </c>
      <c r="D8714" s="38" t="str">
        <f>IFERROR(__xludf.DUMMYFUNCTION("REGEXREPLACE(C8714,""-\d+(.*)|--\d+(.*)"","""")"),"DOMPS")</f>
        <v>DOMPS</v>
      </c>
      <c r="E8714" s="38" t="s">
        <v>897</v>
      </c>
      <c r="F8714" s="38" t="s">
        <v>98</v>
      </c>
      <c r="G8714" s="49" t="str">
        <f t="shared" si="1"/>
        <v>87120</v>
      </c>
      <c r="H8714" s="49">
        <f t="shared" si="2"/>
        <v>87058</v>
      </c>
    </row>
    <row r="8715">
      <c r="A8715" s="48" t="s">
        <v>12454</v>
      </c>
      <c r="B8715" s="38">
        <v>3185.0</v>
      </c>
      <c r="C8715" s="38" t="s">
        <v>12455</v>
      </c>
      <c r="D8715" s="38" t="str">
        <f>IFERROR(__xludf.DUMMYFUNCTION("REGEXREPLACE(C8715,""-\d+(.*)|--\d+(.*)"","""")"),"MONTLUCON")</f>
        <v>MONTLUCON</v>
      </c>
      <c r="E8715" s="38" t="s">
        <v>160</v>
      </c>
      <c r="F8715" s="38" t="s">
        <v>161</v>
      </c>
      <c r="G8715" s="49" t="str">
        <f t="shared" si="1"/>
        <v>03100</v>
      </c>
      <c r="H8715" s="49" t="str">
        <f t="shared" si="2"/>
        <v>03185</v>
      </c>
    </row>
    <row r="8716">
      <c r="A8716" s="48" t="s">
        <v>145</v>
      </c>
      <c r="B8716" s="38">
        <v>10018.0</v>
      </c>
      <c r="C8716" s="38" t="s">
        <v>12456</v>
      </c>
      <c r="D8716" s="38" t="str">
        <f>IFERROR(__xludf.DUMMYFUNCTION("REGEXREPLACE(C8716,""-\d+(.*)|--\d+(.*)"","""")"),"AUXON")</f>
        <v>AUXON</v>
      </c>
      <c r="E8716" s="38" t="s">
        <v>147</v>
      </c>
      <c r="F8716" s="38" t="s">
        <v>130</v>
      </c>
      <c r="G8716" s="49" t="str">
        <f t="shared" si="1"/>
        <v>10130</v>
      </c>
      <c r="H8716" s="49">
        <f t="shared" si="2"/>
        <v>10018</v>
      </c>
    </row>
    <row r="8717">
      <c r="A8717" s="48" t="s">
        <v>10916</v>
      </c>
      <c r="B8717" s="38">
        <v>40211.0</v>
      </c>
      <c r="C8717" s="38" t="s">
        <v>12457</v>
      </c>
      <c r="D8717" s="38" t="str">
        <f>IFERROR(__xludf.DUMMYFUNCTION("REGEXREPLACE(C8717,""-\d+(.*)|--\d+(.*)"","""")"),"ORIST")</f>
        <v>ORIST</v>
      </c>
      <c r="E8717" s="38" t="s">
        <v>281</v>
      </c>
      <c r="F8717" s="38" t="s">
        <v>252</v>
      </c>
      <c r="G8717" s="49" t="str">
        <f t="shared" si="1"/>
        <v>40300</v>
      </c>
      <c r="H8717" s="49">
        <f t="shared" si="2"/>
        <v>40211</v>
      </c>
    </row>
    <row r="8718">
      <c r="A8718" s="48" t="s">
        <v>8054</v>
      </c>
      <c r="B8718" s="38">
        <v>95351.0</v>
      </c>
      <c r="C8718" s="38" t="s">
        <v>12458</v>
      </c>
      <c r="D8718" s="38" t="str">
        <f>IFERROR(__xludf.DUMMYFUNCTION("REGEXREPLACE(C8718,""-\d+(.*)|--\d+(.*)"","""")"),"LOUVRES")</f>
        <v>LOUVRES</v>
      </c>
      <c r="E8718" s="38" t="s">
        <v>541</v>
      </c>
      <c r="F8718" s="38" t="s">
        <v>245</v>
      </c>
      <c r="G8718" s="49" t="str">
        <f t="shared" si="1"/>
        <v>95380</v>
      </c>
      <c r="H8718" s="49">
        <f t="shared" si="2"/>
        <v>95351</v>
      </c>
    </row>
    <row r="8719">
      <c r="A8719" s="48" t="s">
        <v>3812</v>
      </c>
      <c r="B8719" s="38">
        <v>71416.0</v>
      </c>
      <c r="C8719" s="38" t="s">
        <v>12459</v>
      </c>
      <c r="D8719" s="38" t="str">
        <f>IFERROR(__xludf.DUMMYFUNCTION("REGEXREPLACE(C8719,""-\d+(.*)|--\d+(.*)"","""")"),"SAINT-GENGOUX-DE-SCISSE")</f>
        <v>SAINT-GENGOUX-DE-SCISSE</v>
      </c>
      <c r="E8719" s="38" t="s">
        <v>344</v>
      </c>
      <c r="F8719" s="38" t="s">
        <v>106</v>
      </c>
      <c r="G8719" s="49" t="str">
        <f t="shared" si="1"/>
        <v>71260</v>
      </c>
      <c r="H8719" s="49">
        <f t="shared" si="2"/>
        <v>71416</v>
      </c>
    </row>
    <row r="8720">
      <c r="A8720" s="48" t="s">
        <v>12460</v>
      </c>
      <c r="B8720" s="38">
        <v>64421.0</v>
      </c>
      <c r="C8720" s="38" t="s">
        <v>12461</v>
      </c>
      <c r="D8720" s="38" t="str">
        <f>IFERROR(__xludf.DUMMYFUNCTION("REGEXREPLACE(C8720,""-\d+(.*)|--\d+(.*)"","""")"),"OGEU-LES-BAINS")</f>
        <v>OGEU-LES-BAINS</v>
      </c>
      <c r="E8720" s="38" t="s">
        <v>268</v>
      </c>
      <c r="F8720" s="38" t="s">
        <v>252</v>
      </c>
      <c r="G8720" s="49" t="str">
        <f t="shared" si="1"/>
        <v>64680</v>
      </c>
      <c r="H8720" s="49">
        <f t="shared" si="2"/>
        <v>64421</v>
      </c>
    </row>
    <row r="8721">
      <c r="A8721" s="48" t="s">
        <v>4733</v>
      </c>
      <c r="B8721" s="38">
        <v>38512.0</v>
      </c>
      <c r="C8721" s="38" t="s">
        <v>12462</v>
      </c>
      <c r="D8721" s="38" t="str">
        <f>IFERROR(__xludf.DUMMYFUNCTION("REGEXREPLACE(C8721,""-\d+(.*)|--\d+(.*)"","""")"),"TRAMOLE")</f>
        <v>TRAMOLE</v>
      </c>
      <c r="E8721" s="38" t="s">
        <v>101</v>
      </c>
      <c r="F8721" s="38" t="s">
        <v>102</v>
      </c>
      <c r="G8721" s="49" t="str">
        <f t="shared" si="1"/>
        <v>38300</v>
      </c>
      <c r="H8721" s="49">
        <f t="shared" si="2"/>
        <v>38512</v>
      </c>
    </row>
    <row r="8722">
      <c r="A8722" s="48" t="s">
        <v>7514</v>
      </c>
      <c r="B8722" s="38">
        <v>88401.0</v>
      </c>
      <c r="C8722" s="38" t="s">
        <v>12463</v>
      </c>
      <c r="D8722" s="38" t="str">
        <f>IFERROR(__xludf.DUMMYFUNCTION("REGEXREPLACE(C8722,""-\d+(.*)|--\d+(.*)"","""")"),"ROUVRES-LA-CHETIVE")</f>
        <v>ROUVRES-LA-CHETIVE</v>
      </c>
      <c r="E8722" s="38" t="s">
        <v>194</v>
      </c>
      <c r="F8722" s="38" t="s">
        <v>195</v>
      </c>
      <c r="G8722" s="49" t="str">
        <f t="shared" si="1"/>
        <v>88170</v>
      </c>
      <c r="H8722" s="49">
        <f t="shared" si="2"/>
        <v>88401</v>
      </c>
    </row>
    <row r="8723">
      <c r="A8723" s="48" t="s">
        <v>5477</v>
      </c>
      <c r="B8723" s="38">
        <v>74070.0</v>
      </c>
      <c r="C8723" s="38" t="s">
        <v>12464</v>
      </c>
      <c r="D8723" s="38" t="str">
        <f>IFERROR(__xludf.DUMMYFUNCTION("REGEXREPLACE(C8723,""-\d+(.*)|--\d+(.*)"","""")"),"CHENS-SUR-LEMAN")</f>
        <v>CHENS-SUR-LEMAN</v>
      </c>
      <c r="E8723" s="38" t="s">
        <v>319</v>
      </c>
      <c r="F8723" s="38" t="s">
        <v>102</v>
      </c>
      <c r="G8723" s="49" t="str">
        <f t="shared" si="1"/>
        <v>74140</v>
      </c>
      <c r="H8723" s="49">
        <f t="shared" si="2"/>
        <v>74070</v>
      </c>
    </row>
    <row r="8724">
      <c r="A8724" s="48" t="s">
        <v>4011</v>
      </c>
      <c r="B8724" s="38">
        <v>80334.0</v>
      </c>
      <c r="C8724" s="38" t="s">
        <v>12465</v>
      </c>
      <c r="D8724" s="38" t="str">
        <f>IFERROR(__xludf.DUMMYFUNCTION("REGEXREPLACE(C8724,""-\d+(.*)|--\d+(.*)"","""")"),"FOSSEMANANT")</f>
        <v>FOSSEMANANT</v>
      </c>
      <c r="E8724" s="38" t="s">
        <v>224</v>
      </c>
      <c r="F8724" s="38" t="s">
        <v>113</v>
      </c>
      <c r="G8724" s="49" t="str">
        <f t="shared" si="1"/>
        <v>80160</v>
      </c>
      <c r="H8724" s="49">
        <f t="shared" si="2"/>
        <v>80334</v>
      </c>
    </row>
    <row r="8725">
      <c r="A8725" s="48" t="s">
        <v>6047</v>
      </c>
      <c r="B8725" s="38">
        <v>38219.0</v>
      </c>
      <c r="C8725" s="38" t="s">
        <v>12466</v>
      </c>
      <c r="D8725" s="38" t="str">
        <f>IFERROR(__xludf.DUMMYFUNCTION("REGEXREPLACE(C8725,""-\d+(.*)|--\d+(.*)"","""")"),"MARCOLLIN")</f>
        <v>MARCOLLIN</v>
      </c>
      <c r="E8725" s="38" t="s">
        <v>101</v>
      </c>
      <c r="F8725" s="38" t="s">
        <v>102</v>
      </c>
      <c r="G8725" s="49" t="str">
        <f t="shared" si="1"/>
        <v>38270</v>
      </c>
      <c r="H8725" s="49">
        <f t="shared" si="2"/>
        <v>38219</v>
      </c>
    </row>
    <row r="8726">
      <c r="A8726" s="48" t="s">
        <v>2093</v>
      </c>
      <c r="B8726" s="38">
        <v>69061.0</v>
      </c>
      <c r="C8726" s="38" t="s">
        <v>7170</v>
      </c>
      <c r="D8726" s="38" t="str">
        <f>IFERROR(__xludf.DUMMYFUNCTION("REGEXREPLACE(C8726,""-\d+(.*)|--\d+(.*)"","""")"),"COGNY")</f>
        <v>COGNY</v>
      </c>
      <c r="E8726" s="38" t="s">
        <v>350</v>
      </c>
      <c r="F8726" s="38" t="s">
        <v>102</v>
      </c>
      <c r="G8726" s="49" t="str">
        <f t="shared" si="1"/>
        <v>69640</v>
      </c>
      <c r="H8726" s="49">
        <f t="shared" si="2"/>
        <v>69061</v>
      </c>
    </row>
    <row r="8727">
      <c r="A8727" s="48" t="s">
        <v>12467</v>
      </c>
      <c r="B8727" s="38">
        <v>72381.0</v>
      </c>
      <c r="C8727" s="38" t="s">
        <v>12468</v>
      </c>
      <c r="D8727" s="38" t="str">
        <f>IFERROR(__xludf.DUMMYFUNCTION("REGEXREPLACE(C8727,""-\d+(.*)|--\d+(.*)"","""")"),"VOIVRES-LES-LE-MANS")</f>
        <v>VOIVRES-LES-LE-MANS</v>
      </c>
      <c r="E8727" s="38" t="s">
        <v>521</v>
      </c>
      <c r="F8727" s="38" t="s">
        <v>180</v>
      </c>
      <c r="G8727" s="49" t="str">
        <f t="shared" si="1"/>
        <v>72210</v>
      </c>
      <c r="H8727" s="49">
        <f t="shared" si="2"/>
        <v>72381</v>
      </c>
    </row>
    <row r="8728">
      <c r="A8728" s="48" t="s">
        <v>232</v>
      </c>
      <c r="B8728" s="38">
        <v>52040.0</v>
      </c>
      <c r="C8728" s="38" t="s">
        <v>12469</v>
      </c>
      <c r="D8728" s="38" t="str">
        <f>IFERROR(__xludf.DUMMYFUNCTION("REGEXREPLACE(C8728,""-\d+(.*)|--\d+(.*)"","""")"),"BAY-SUR-AUBE")</f>
        <v>BAY-SUR-AUBE</v>
      </c>
      <c r="E8728" s="38" t="s">
        <v>234</v>
      </c>
      <c r="F8728" s="38" t="s">
        <v>130</v>
      </c>
      <c r="G8728" s="49" t="str">
        <f t="shared" si="1"/>
        <v>52160</v>
      </c>
      <c r="H8728" s="49">
        <f t="shared" si="2"/>
        <v>52040</v>
      </c>
    </row>
    <row r="8729">
      <c r="A8729" s="48" t="s">
        <v>4764</v>
      </c>
      <c r="B8729" s="38">
        <v>63008.0</v>
      </c>
      <c r="C8729" s="38" t="s">
        <v>12470</v>
      </c>
      <c r="D8729" s="38" t="str">
        <f>IFERROR(__xludf.DUMMYFUNCTION("REGEXREPLACE(C8729,""-\d+(.*)|--\d+(.*)"","""")"),"ARCONSAT")</f>
        <v>ARCONSAT</v>
      </c>
      <c r="E8729" s="38" t="s">
        <v>353</v>
      </c>
      <c r="F8729" s="38" t="s">
        <v>161</v>
      </c>
      <c r="G8729" s="49" t="str">
        <f t="shared" si="1"/>
        <v>63250</v>
      </c>
      <c r="H8729" s="49">
        <f t="shared" si="2"/>
        <v>63008</v>
      </c>
    </row>
    <row r="8730">
      <c r="A8730" s="48" t="s">
        <v>12471</v>
      </c>
      <c r="B8730" s="38">
        <v>22055.0</v>
      </c>
      <c r="C8730" s="38" t="s">
        <v>12472</v>
      </c>
      <c r="D8730" s="38" t="str">
        <f>IFERROR(__xludf.DUMMYFUNCTION("REGEXREPLACE(C8730,""-\d+(.*)|--\d+(.*)"","""")"),"ETABLES-SUR-MER")</f>
        <v>ETABLES-SUR-MER</v>
      </c>
      <c r="E8730" s="38" t="s">
        <v>89</v>
      </c>
      <c r="F8730" s="38" t="s">
        <v>90</v>
      </c>
      <c r="G8730" s="49" t="str">
        <f t="shared" si="1"/>
        <v>22680</v>
      </c>
      <c r="H8730" s="49">
        <f t="shared" si="2"/>
        <v>22055</v>
      </c>
    </row>
    <row r="8731">
      <c r="A8731" s="48" t="s">
        <v>12473</v>
      </c>
      <c r="B8731" s="38">
        <v>22377.0</v>
      </c>
      <c r="C8731" s="38" t="s">
        <v>12474</v>
      </c>
      <c r="D8731" s="38" t="str">
        <f>IFERROR(__xludf.DUMMYFUNCTION("REGEXREPLACE(C8731,""-\d+(.*)|--\d+(.*)"","""")"),"TREVENEUC")</f>
        <v>TREVENEUC</v>
      </c>
      <c r="E8731" s="38" t="s">
        <v>89</v>
      </c>
      <c r="F8731" s="38" t="s">
        <v>90</v>
      </c>
      <c r="G8731" s="49" t="str">
        <f t="shared" si="1"/>
        <v>22410</v>
      </c>
      <c r="H8731" s="49">
        <f t="shared" si="2"/>
        <v>22377</v>
      </c>
    </row>
    <row r="8732">
      <c r="A8732" s="48" t="s">
        <v>12475</v>
      </c>
      <c r="B8732" s="38">
        <v>2040.0</v>
      </c>
      <c r="C8732" s="38" t="s">
        <v>12476</v>
      </c>
      <c r="D8732" s="38" t="str">
        <f>IFERROR(__xludf.DUMMYFUNCTION("REGEXREPLACE(C8732,""-\d+(.*)|--\d+(.*)"","""")"),"AUTREPPES")</f>
        <v>AUTREPPES</v>
      </c>
      <c r="E8732" s="38" t="s">
        <v>191</v>
      </c>
      <c r="F8732" s="38" t="s">
        <v>113</v>
      </c>
      <c r="G8732" s="49" t="str">
        <f t="shared" si="1"/>
        <v>02580</v>
      </c>
      <c r="H8732" s="49" t="str">
        <f t="shared" si="2"/>
        <v>02040</v>
      </c>
    </row>
    <row r="8733">
      <c r="A8733" s="48" t="s">
        <v>12477</v>
      </c>
      <c r="B8733" s="38">
        <v>27370.0</v>
      </c>
      <c r="C8733" s="38" t="s">
        <v>12478</v>
      </c>
      <c r="D8733" s="38" t="str">
        <f>IFERROR(__xludf.DUMMYFUNCTION("REGEXREPLACE(C8733,""-\d+(.*)|--\d+(.*)"","""")"),"LISORS")</f>
        <v>LISORS</v>
      </c>
      <c r="E8733" s="38" t="s">
        <v>241</v>
      </c>
      <c r="F8733" s="38" t="s">
        <v>134</v>
      </c>
      <c r="G8733" s="49" t="str">
        <f t="shared" si="1"/>
        <v>27440</v>
      </c>
      <c r="H8733" s="49">
        <f t="shared" si="2"/>
        <v>27370</v>
      </c>
    </row>
    <row r="8734">
      <c r="A8734" s="48" t="s">
        <v>12479</v>
      </c>
      <c r="B8734" s="38">
        <v>35001.0</v>
      </c>
      <c r="C8734" s="38" t="s">
        <v>12480</v>
      </c>
      <c r="D8734" s="38" t="str">
        <f>IFERROR(__xludf.DUMMYFUNCTION("REGEXREPLACE(C8734,""-\d+(.*)|--\d+(.*)"","""")"),"ACIGNE")</f>
        <v>ACIGNE</v>
      </c>
      <c r="E8734" s="38" t="s">
        <v>347</v>
      </c>
      <c r="F8734" s="38" t="s">
        <v>90</v>
      </c>
      <c r="G8734" s="49" t="str">
        <f t="shared" si="1"/>
        <v>35690</v>
      </c>
      <c r="H8734" s="49">
        <f t="shared" si="2"/>
        <v>35001</v>
      </c>
    </row>
    <row r="8735">
      <c r="A8735" s="48" t="s">
        <v>12481</v>
      </c>
      <c r="B8735" s="38">
        <v>88148.0</v>
      </c>
      <c r="C8735" s="38" t="s">
        <v>12482</v>
      </c>
      <c r="D8735" s="38" t="str">
        <f>IFERROR(__xludf.DUMMYFUNCTION("REGEXREPLACE(C8735,""-\d+(.*)|--\d+(.*)"","""")"),"DOMMARTIN-LES-REMIREMONT")</f>
        <v>DOMMARTIN-LES-REMIREMONT</v>
      </c>
      <c r="E8735" s="38" t="s">
        <v>194</v>
      </c>
      <c r="F8735" s="38" t="s">
        <v>195</v>
      </c>
      <c r="G8735" s="49" t="str">
        <f t="shared" si="1"/>
        <v>88200</v>
      </c>
      <c r="H8735" s="49">
        <f t="shared" si="2"/>
        <v>88148</v>
      </c>
    </row>
    <row r="8736">
      <c r="A8736" s="48" t="s">
        <v>12483</v>
      </c>
      <c r="B8736" s="38">
        <v>56052.0</v>
      </c>
      <c r="C8736" s="38" t="s">
        <v>12484</v>
      </c>
      <c r="D8736" s="38" t="str">
        <f>IFERROR(__xludf.DUMMYFUNCTION("REGEXREPLACE(C8736,""-\d+(.*)|--\d+(.*)"","""")"),"DAMGAN")</f>
        <v>DAMGAN</v>
      </c>
      <c r="E8736" s="38" t="s">
        <v>173</v>
      </c>
      <c r="F8736" s="38" t="s">
        <v>90</v>
      </c>
      <c r="G8736" s="49" t="str">
        <f t="shared" si="1"/>
        <v>56750</v>
      </c>
      <c r="H8736" s="49">
        <f t="shared" si="2"/>
        <v>56052</v>
      </c>
    </row>
    <row r="8737">
      <c r="A8737" s="48" t="s">
        <v>10307</v>
      </c>
      <c r="B8737" s="38">
        <v>35343.0</v>
      </c>
      <c r="C8737" s="38" t="s">
        <v>12485</v>
      </c>
      <c r="D8737" s="38" t="str">
        <f>IFERROR(__xludf.DUMMYFUNCTION("REGEXREPLACE(C8737,""-\d+(.*)|--\d+(.*)"","""")"),"TRESBOEUF")</f>
        <v>TRESBOEUF</v>
      </c>
      <c r="E8737" s="38" t="s">
        <v>347</v>
      </c>
      <c r="F8737" s="38" t="s">
        <v>90</v>
      </c>
      <c r="G8737" s="49" t="str">
        <f t="shared" si="1"/>
        <v>35320</v>
      </c>
      <c r="H8737" s="49">
        <f t="shared" si="2"/>
        <v>35343</v>
      </c>
    </row>
    <row r="8738">
      <c r="A8738" s="48" t="s">
        <v>1752</v>
      </c>
      <c r="B8738" s="38">
        <v>49065.0</v>
      </c>
      <c r="C8738" s="38" t="s">
        <v>12486</v>
      </c>
      <c r="D8738" s="38" t="str">
        <f>IFERROR(__xludf.DUMMYFUNCTION("REGEXREPLACE(C8738,""-\d+(.*)|--\d+(.*)"","""")"),"CHAMPIGNE")</f>
        <v>CHAMPIGNE</v>
      </c>
      <c r="E8738" s="38" t="s">
        <v>653</v>
      </c>
      <c r="F8738" s="38" t="s">
        <v>180</v>
      </c>
      <c r="G8738" s="49" t="str">
        <f t="shared" si="1"/>
        <v>49330</v>
      </c>
      <c r="H8738" s="49">
        <f t="shared" si="2"/>
        <v>49065</v>
      </c>
    </row>
    <row r="8739">
      <c r="A8739" s="48" t="s">
        <v>1632</v>
      </c>
      <c r="B8739" s="38">
        <v>63429.0</v>
      </c>
      <c r="C8739" s="38" t="s">
        <v>12487</v>
      </c>
      <c r="D8739" s="38" t="str">
        <f>IFERROR(__xludf.DUMMYFUNCTION("REGEXREPLACE(C8739,""-\d+(.*)|--\d+(.*)"","""")"),"TERNANT-LES-EAUX")</f>
        <v>TERNANT-LES-EAUX</v>
      </c>
      <c r="E8739" s="38" t="s">
        <v>353</v>
      </c>
      <c r="F8739" s="38" t="s">
        <v>161</v>
      </c>
      <c r="G8739" s="49" t="str">
        <f t="shared" si="1"/>
        <v>63340</v>
      </c>
      <c r="H8739" s="49">
        <f t="shared" si="2"/>
        <v>63429</v>
      </c>
    </row>
    <row r="8740">
      <c r="A8740" s="48" t="s">
        <v>12488</v>
      </c>
      <c r="B8740" s="38">
        <v>13053.0</v>
      </c>
      <c r="C8740" s="38" t="s">
        <v>12489</v>
      </c>
      <c r="D8740" s="38" t="str">
        <f>IFERROR(__xludf.DUMMYFUNCTION("REGEXREPLACE(C8740,""-\d+(.*)|--\d+(.*)"","""")"),"MALLEMORT")</f>
        <v>MALLEMORT</v>
      </c>
      <c r="E8740" s="38" t="s">
        <v>980</v>
      </c>
      <c r="F8740" s="38" t="s">
        <v>228</v>
      </c>
      <c r="G8740" s="49" t="str">
        <f t="shared" si="1"/>
        <v>13370</v>
      </c>
      <c r="H8740" s="49">
        <f t="shared" si="2"/>
        <v>13053</v>
      </c>
    </row>
    <row r="8741">
      <c r="A8741" s="48" t="s">
        <v>6290</v>
      </c>
      <c r="B8741" s="38">
        <v>60391.0</v>
      </c>
      <c r="C8741" s="38" t="s">
        <v>12490</v>
      </c>
      <c r="D8741" s="38" t="str">
        <f>IFERROR(__xludf.DUMMYFUNCTION("REGEXREPLACE(C8741,""-\d+(.*)|--\d+(.*)"","""")"),"MAYSEL")</f>
        <v>MAYSEL</v>
      </c>
      <c r="E8741" s="38" t="s">
        <v>112</v>
      </c>
      <c r="F8741" s="38" t="s">
        <v>113</v>
      </c>
      <c r="G8741" s="49" t="str">
        <f t="shared" si="1"/>
        <v>60660</v>
      </c>
      <c r="H8741" s="49">
        <f t="shared" si="2"/>
        <v>60391</v>
      </c>
    </row>
    <row r="8742">
      <c r="A8742" s="48" t="s">
        <v>12491</v>
      </c>
      <c r="B8742" s="38">
        <v>21090.0</v>
      </c>
      <c r="C8742" s="38" t="s">
        <v>12492</v>
      </c>
      <c r="D8742" s="38" t="str">
        <f>IFERROR(__xludf.DUMMYFUNCTION("REGEXREPLACE(C8742,""-\d+(.*)|--\d+(.*)"","""")"),"BOUDREVILLE")</f>
        <v>BOUDREVILLE</v>
      </c>
      <c r="E8742" s="38" t="s">
        <v>105</v>
      </c>
      <c r="F8742" s="38" t="s">
        <v>106</v>
      </c>
      <c r="G8742" s="49" t="str">
        <f t="shared" si="1"/>
        <v>21520</v>
      </c>
      <c r="H8742" s="49">
        <f t="shared" si="2"/>
        <v>21090</v>
      </c>
    </row>
    <row r="8743">
      <c r="A8743" s="48" t="s">
        <v>1389</v>
      </c>
      <c r="B8743" s="38">
        <v>4234.0</v>
      </c>
      <c r="C8743" s="38" t="s">
        <v>12493</v>
      </c>
      <c r="D8743" s="38" t="str">
        <f>IFERROR(__xludf.DUMMYFUNCTION("REGEXREPLACE(C8743,""-\d+(.*)|--\d+(.*)"","""")"),"VENTEROL")</f>
        <v>VENTEROL</v>
      </c>
      <c r="E8743" s="38" t="s">
        <v>662</v>
      </c>
      <c r="F8743" s="38" t="s">
        <v>228</v>
      </c>
      <c r="G8743" s="49" t="str">
        <f t="shared" si="1"/>
        <v>05130</v>
      </c>
      <c r="H8743" s="49" t="str">
        <f t="shared" si="2"/>
        <v>04234</v>
      </c>
    </row>
    <row r="8744">
      <c r="A8744" s="48" t="s">
        <v>1274</v>
      </c>
      <c r="B8744" s="38">
        <v>33294.0</v>
      </c>
      <c r="C8744" s="38" t="s">
        <v>12494</v>
      </c>
      <c r="D8744" s="38" t="str">
        <f>IFERROR(__xludf.DUMMYFUNCTION("REGEXREPLACE(C8744,""-\d+(.*)|--\d+(.*)"","""")"),"MORIZES")</f>
        <v>MORIZES</v>
      </c>
      <c r="E8744" s="38" t="s">
        <v>462</v>
      </c>
      <c r="F8744" s="38" t="s">
        <v>252</v>
      </c>
      <c r="G8744" s="49" t="str">
        <f t="shared" si="1"/>
        <v>33190</v>
      </c>
      <c r="H8744" s="49">
        <f t="shared" si="2"/>
        <v>33294</v>
      </c>
    </row>
    <row r="8745">
      <c r="A8745" s="48" t="s">
        <v>12495</v>
      </c>
      <c r="B8745" s="38">
        <v>38281.0</v>
      </c>
      <c r="C8745" s="38" t="s">
        <v>12496</v>
      </c>
      <c r="D8745" s="38" t="str">
        <f>IFERROR(__xludf.DUMMYFUNCTION("REGEXREPLACE(C8745,""-\d+(.*)|--\d+(.*)"","""")"),"NOYAREY")</f>
        <v>NOYAREY</v>
      </c>
      <c r="E8745" s="38" t="s">
        <v>101</v>
      </c>
      <c r="F8745" s="38" t="s">
        <v>102</v>
      </c>
      <c r="G8745" s="49" t="str">
        <f t="shared" si="1"/>
        <v>38360</v>
      </c>
      <c r="H8745" s="49">
        <f t="shared" si="2"/>
        <v>38281</v>
      </c>
    </row>
    <row r="8746">
      <c r="A8746" s="48" t="s">
        <v>6016</v>
      </c>
      <c r="B8746" s="38">
        <v>57740.0</v>
      </c>
      <c r="C8746" s="38" t="s">
        <v>12497</v>
      </c>
      <c r="D8746" s="38" t="str">
        <f>IFERROR(__xludf.DUMMYFUNCTION("REGEXREPLACE(C8746,""-\d+(.*)|--\d+(.*)"","""")"),"WALDWISSE")</f>
        <v>WALDWISSE</v>
      </c>
      <c r="E8746" s="38" t="s">
        <v>303</v>
      </c>
      <c r="F8746" s="38" t="s">
        <v>195</v>
      </c>
      <c r="G8746" s="49" t="str">
        <f t="shared" si="1"/>
        <v>57480</v>
      </c>
      <c r="H8746" s="49">
        <f t="shared" si="2"/>
        <v>57740</v>
      </c>
    </row>
    <row r="8747">
      <c r="A8747" s="48" t="s">
        <v>2794</v>
      </c>
      <c r="B8747" s="38">
        <v>39094.0</v>
      </c>
      <c r="C8747" s="38" t="s">
        <v>12498</v>
      </c>
      <c r="D8747" s="38" t="str">
        <f>IFERROR(__xludf.DUMMYFUNCTION("REGEXREPLACE(C8747,""-\d+(.*)|--\d+(.*)"","""")"),"CHAMOLE")</f>
        <v>CHAMOLE</v>
      </c>
      <c r="E8747" s="38" t="s">
        <v>400</v>
      </c>
      <c r="F8747" s="38" t="s">
        <v>214</v>
      </c>
      <c r="G8747" s="49" t="str">
        <f t="shared" si="1"/>
        <v>39800</v>
      </c>
      <c r="H8747" s="49">
        <f t="shared" si="2"/>
        <v>39094</v>
      </c>
    </row>
    <row r="8748">
      <c r="A8748" s="48" t="s">
        <v>3147</v>
      </c>
      <c r="B8748" s="38">
        <v>68159.0</v>
      </c>
      <c r="C8748" s="38" t="s">
        <v>12499</v>
      </c>
      <c r="D8748" s="38" t="str">
        <f>IFERROR(__xludf.DUMMYFUNCTION("REGEXREPLACE(C8748,""-\d+(.*)|--\d+(.*)"","""")"),"JUNGHOLTZ")</f>
        <v>JUNGHOLTZ</v>
      </c>
      <c r="E8748" s="38" t="s">
        <v>150</v>
      </c>
      <c r="F8748" s="38" t="s">
        <v>151</v>
      </c>
      <c r="G8748" s="49" t="str">
        <f t="shared" si="1"/>
        <v>68500</v>
      </c>
      <c r="H8748" s="49">
        <f t="shared" si="2"/>
        <v>68159</v>
      </c>
    </row>
    <row r="8749">
      <c r="A8749" s="48" t="s">
        <v>12117</v>
      </c>
      <c r="B8749" s="38">
        <v>38475.0</v>
      </c>
      <c r="C8749" s="38" t="s">
        <v>12500</v>
      </c>
      <c r="D8749" s="38" t="str">
        <f>IFERROR(__xludf.DUMMYFUNCTION("REGEXREPLACE(C8749,""-\d+(.*)|--\d+(.*)"","""")"),"SATOLAS-ET-BONCE")</f>
        <v>SATOLAS-ET-BONCE</v>
      </c>
      <c r="E8749" s="38" t="s">
        <v>101</v>
      </c>
      <c r="F8749" s="38" t="s">
        <v>102</v>
      </c>
      <c r="G8749" s="49" t="str">
        <f t="shared" si="1"/>
        <v>38290</v>
      </c>
      <c r="H8749" s="49">
        <f t="shared" si="2"/>
        <v>38475</v>
      </c>
    </row>
    <row r="8750">
      <c r="A8750" s="48" t="s">
        <v>12501</v>
      </c>
      <c r="B8750" s="38">
        <v>27060.0</v>
      </c>
      <c r="C8750" s="38" t="s">
        <v>12502</v>
      </c>
      <c r="D8750" s="38" t="str">
        <f>IFERROR(__xludf.DUMMYFUNCTION("REGEXREPLACE(C8750,""-\d+(.*)|--\d+(.*)"","""")"),"BERTHENONVILLE")</f>
        <v>BERTHENONVILLE</v>
      </c>
      <c r="E8750" s="38" t="s">
        <v>241</v>
      </c>
      <c r="F8750" s="38" t="s">
        <v>134</v>
      </c>
      <c r="G8750" s="49" t="str">
        <f t="shared" si="1"/>
        <v>27630</v>
      </c>
      <c r="H8750" s="49">
        <f t="shared" si="2"/>
        <v>27060</v>
      </c>
    </row>
    <row r="8751">
      <c r="A8751" s="48" t="s">
        <v>3812</v>
      </c>
      <c r="B8751" s="38">
        <v>71066.0</v>
      </c>
      <c r="C8751" s="38" t="s">
        <v>12503</v>
      </c>
      <c r="D8751" s="38" t="str">
        <f>IFERROR(__xludf.DUMMYFUNCTION("REGEXREPLACE(C8751,""-\d+(.*)|--\d+(.*)"","""")"),"BURGY")</f>
        <v>BURGY</v>
      </c>
      <c r="E8751" s="38" t="s">
        <v>344</v>
      </c>
      <c r="F8751" s="38" t="s">
        <v>106</v>
      </c>
      <c r="G8751" s="49" t="str">
        <f t="shared" si="1"/>
        <v>71260</v>
      </c>
      <c r="H8751" s="49">
        <f t="shared" si="2"/>
        <v>71066</v>
      </c>
    </row>
    <row r="8752">
      <c r="A8752" s="48" t="s">
        <v>12504</v>
      </c>
      <c r="B8752" s="38">
        <v>44209.0</v>
      </c>
      <c r="C8752" s="38" t="s">
        <v>12505</v>
      </c>
      <c r="D8752" s="38" t="str">
        <f>IFERROR(__xludf.DUMMYFUNCTION("REGEXREPLACE(C8752,""-\d+(.*)|--\d+(.*)"","""")"),"TREILLIERES")</f>
        <v>TREILLIERES</v>
      </c>
      <c r="E8752" s="38" t="s">
        <v>759</v>
      </c>
      <c r="F8752" s="38" t="s">
        <v>180</v>
      </c>
      <c r="G8752" s="49" t="str">
        <f t="shared" si="1"/>
        <v>44119</v>
      </c>
      <c r="H8752" s="49">
        <f t="shared" si="2"/>
        <v>44209</v>
      </c>
    </row>
    <row r="8753">
      <c r="A8753" s="48" t="s">
        <v>5214</v>
      </c>
      <c r="B8753" s="38">
        <v>9247.0</v>
      </c>
      <c r="C8753" s="38" t="s">
        <v>12506</v>
      </c>
      <c r="D8753" s="38" t="str">
        <f>IFERROR(__xludf.DUMMYFUNCTION("REGEXREPLACE(C8753,""-\d+(.*)|--\d+(.*)"","""")"),"RIVERENERT")</f>
        <v>RIVERENERT</v>
      </c>
      <c r="E8753" s="38" t="s">
        <v>238</v>
      </c>
      <c r="F8753" s="38" t="s">
        <v>94</v>
      </c>
      <c r="G8753" s="49" t="str">
        <f t="shared" si="1"/>
        <v>09200</v>
      </c>
      <c r="H8753" s="49" t="str">
        <f t="shared" si="2"/>
        <v>09247</v>
      </c>
    </row>
    <row r="8754">
      <c r="A8754" s="48" t="s">
        <v>12507</v>
      </c>
      <c r="B8754" s="38">
        <v>69386.0</v>
      </c>
      <c r="C8754" s="38" t="s">
        <v>12508</v>
      </c>
      <c r="D8754" s="38" t="str">
        <f>IFERROR(__xludf.DUMMYFUNCTION("REGEXREPLACE(C8754,""-\d+(.*)|--\d+(.*)"","""")"),"LYON")</f>
        <v>LYON</v>
      </c>
      <c r="E8754" s="38" t="s">
        <v>350</v>
      </c>
      <c r="F8754" s="38" t="s">
        <v>102</v>
      </c>
      <c r="G8754" s="49" t="str">
        <f t="shared" si="1"/>
        <v>69006</v>
      </c>
      <c r="H8754" s="49">
        <f t="shared" si="2"/>
        <v>69386</v>
      </c>
    </row>
    <row r="8755">
      <c r="A8755" s="48" t="s">
        <v>2288</v>
      </c>
      <c r="B8755" s="38">
        <v>81131.0</v>
      </c>
      <c r="C8755" s="38" t="s">
        <v>12509</v>
      </c>
      <c r="D8755" s="38" t="str">
        <f>IFERROR(__xludf.DUMMYFUNCTION("REGEXREPLACE(C8755,""-\d+(.*)|--\d+(.*)"","""")"),"LAGRAVE")</f>
        <v>LAGRAVE</v>
      </c>
      <c r="E8755" s="38" t="s">
        <v>231</v>
      </c>
      <c r="F8755" s="38" t="s">
        <v>94</v>
      </c>
      <c r="G8755" s="49" t="str">
        <f t="shared" si="1"/>
        <v>81150</v>
      </c>
      <c r="H8755" s="49">
        <f t="shared" si="2"/>
        <v>81131</v>
      </c>
    </row>
    <row r="8756">
      <c r="A8756" s="48" t="s">
        <v>3869</v>
      </c>
      <c r="B8756" s="38">
        <v>21397.0</v>
      </c>
      <c r="C8756" s="38" t="s">
        <v>12510</v>
      </c>
      <c r="D8756" s="38" t="str">
        <f>IFERROR(__xludf.DUMMYFUNCTION("REGEXREPLACE(C8756,""-\d+(.*)|--\d+(.*)"","""")"),"MAVILLY-MANDELOT")</f>
        <v>MAVILLY-MANDELOT</v>
      </c>
      <c r="E8756" s="38" t="s">
        <v>105</v>
      </c>
      <c r="F8756" s="38" t="s">
        <v>106</v>
      </c>
      <c r="G8756" s="49" t="str">
        <f t="shared" si="1"/>
        <v>21190</v>
      </c>
      <c r="H8756" s="49">
        <f t="shared" si="2"/>
        <v>21397</v>
      </c>
    </row>
    <row r="8757">
      <c r="A8757" s="48" t="s">
        <v>7600</v>
      </c>
      <c r="B8757" s="38">
        <v>69161.0</v>
      </c>
      <c r="C8757" s="38" t="s">
        <v>12511</v>
      </c>
      <c r="D8757" s="38" t="str">
        <f>IFERROR(__xludf.DUMMYFUNCTION("REGEXREPLACE(C8757,""-\d+(.*)|--\d+(.*)"","""")"),"PROPIERES")</f>
        <v>PROPIERES</v>
      </c>
      <c r="E8757" s="38" t="s">
        <v>350</v>
      </c>
      <c r="F8757" s="38" t="s">
        <v>102</v>
      </c>
      <c r="G8757" s="49" t="str">
        <f t="shared" si="1"/>
        <v>69790</v>
      </c>
      <c r="H8757" s="49">
        <f t="shared" si="2"/>
        <v>69161</v>
      </c>
    </row>
    <row r="8758">
      <c r="A8758" s="48" t="s">
        <v>1020</v>
      </c>
      <c r="B8758" s="38">
        <v>1445.0</v>
      </c>
      <c r="C8758" s="38" t="s">
        <v>12512</v>
      </c>
      <c r="D8758" s="38" t="str">
        <f>IFERROR(__xludf.DUMMYFUNCTION("REGEXREPLACE(C8758,""-\d+(.*)|--\d+(.*)"","""")"),"VILLEMOTIER")</f>
        <v>VILLEMOTIER</v>
      </c>
      <c r="E8758" s="38" t="s">
        <v>255</v>
      </c>
      <c r="F8758" s="38" t="s">
        <v>102</v>
      </c>
      <c r="G8758" s="49" t="str">
        <f t="shared" si="1"/>
        <v>01270</v>
      </c>
      <c r="H8758" s="49" t="str">
        <f t="shared" si="2"/>
        <v>01445</v>
      </c>
    </row>
    <row r="8759">
      <c r="A8759" s="48" t="s">
        <v>9021</v>
      </c>
      <c r="B8759" s="38">
        <v>88079.0</v>
      </c>
      <c r="C8759" s="38" t="s">
        <v>12513</v>
      </c>
      <c r="D8759" s="38" t="str">
        <f>IFERROR(__xludf.DUMMYFUNCTION("REGEXREPLACE(C8759,""-\d+(.*)|--\d+(.*)"","""")"),"BULGNEVILLE")</f>
        <v>BULGNEVILLE</v>
      </c>
      <c r="E8759" s="38" t="s">
        <v>194</v>
      </c>
      <c r="F8759" s="38" t="s">
        <v>195</v>
      </c>
      <c r="G8759" s="49" t="str">
        <f t="shared" si="1"/>
        <v>88140</v>
      </c>
      <c r="H8759" s="49">
        <f t="shared" si="2"/>
        <v>88079</v>
      </c>
    </row>
    <row r="8760">
      <c r="A8760" s="48" t="s">
        <v>2668</v>
      </c>
      <c r="B8760" s="38">
        <v>55490.0</v>
      </c>
      <c r="C8760" s="38" t="s">
        <v>12514</v>
      </c>
      <c r="D8760" s="38" t="str">
        <f>IFERROR(__xludf.DUMMYFUNCTION("REGEXREPLACE(C8760,""-\d+(.*)|--\d+(.*)"","""")"),"SIVRY-SUR-MEUSE")</f>
        <v>SIVRY-SUR-MEUSE</v>
      </c>
      <c r="E8760" s="38" t="s">
        <v>322</v>
      </c>
      <c r="F8760" s="38" t="s">
        <v>195</v>
      </c>
      <c r="G8760" s="49" t="str">
        <f t="shared" si="1"/>
        <v>55110</v>
      </c>
      <c r="H8760" s="49">
        <f t="shared" si="2"/>
        <v>55490</v>
      </c>
    </row>
    <row r="8761">
      <c r="A8761" s="48" t="s">
        <v>3689</v>
      </c>
      <c r="B8761" s="38">
        <v>1113.0</v>
      </c>
      <c r="C8761" s="38" t="s">
        <v>12515</v>
      </c>
      <c r="D8761" s="38" t="str">
        <f>IFERROR(__xludf.DUMMYFUNCTION("REGEXREPLACE(C8761,""-\d+(.*)|--\d+(.*)"","""")"),"CONDEISSIAT")</f>
        <v>CONDEISSIAT</v>
      </c>
      <c r="E8761" s="38" t="s">
        <v>255</v>
      </c>
      <c r="F8761" s="38" t="s">
        <v>102</v>
      </c>
      <c r="G8761" s="49" t="str">
        <f t="shared" si="1"/>
        <v>01400</v>
      </c>
      <c r="H8761" s="49" t="str">
        <f t="shared" si="2"/>
        <v>01113</v>
      </c>
    </row>
    <row r="8762">
      <c r="A8762" s="48" t="s">
        <v>1368</v>
      </c>
      <c r="B8762" s="38">
        <v>8443.0</v>
      </c>
      <c r="C8762" s="38" t="s">
        <v>12516</v>
      </c>
      <c r="D8762" s="38" t="str">
        <f>IFERROR(__xludf.DUMMYFUNCTION("REGEXREPLACE(C8762,""-\d+(.*)|--\d+(.*)"","""")"),"TERRON-SUR-AISNE")</f>
        <v>TERRON-SUR-AISNE</v>
      </c>
      <c r="E8762" s="38" t="s">
        <v>327</v>
      </c>
      <c r="F8762" s="38" t="s">
        <v>130</v>
      </c>
      <c r="G8762" s="49" t="str">
        <f t="shared" si="1"/>
        <v>08400</v>
      </c>
      <c r="H8762" s="49" t="str">
        <f t="shared" si="2"/>
        <v>08443</v>
      </c>
    </row>
    <row r="8763">
      <c r="A8763" s="48" t="s">
        <v>1663</v>
      </c>
      <c r="B8763" s="38">
        <v>88204.0</v>
      </c>
      <c r="C8763" s="38" t="s">
        <v>12517</v>
      </c>
      <c r="D8763" s="38" t="str">
        <f>IFERROR(__xludf.DUMMYFUNCTION("REGEXREPLACE(C8763,""-\d+(.*)|--\d+(.*)"","""")"),"GIRMONT")</f>
        <v>GIRMONT</v>
      </c>
      <c r="E8763" s="38" t="s">
        <v>194</v>
      </c>
      <c r="F8763" s="38" t="s">
        <v>195</v>
      </c>
      <c r="G8763" s="49" t="str">
        <f t="shared" si="1"/>
        <v>88150</v>
      </c>
      <c r="H8763" s="49">
        <f t="shared" si="2"/>
        <v>88204</v>
      </c>
    </row>
    <row r="8764">
      <c r="A8764" s="48" t="s">
        <v>12518</v>
      </c>
      <c r="B8764" s="38">
        <v>62497.0</v>
      </c>
      <c r="C8764" s="38" t="s">
        <v>12519</v>
      </c>
      <c r="D8764" s="38" t="str">
        <f>IFERROR(__xludf.DUMMYFUNCTION("REGEXREPLACE(C8764,""-\d+(.*)|--\d+(.*)"","""")"),"LEFOREST")</f>
        <v>LEFOREST</v>
      </c>
      <c r="E8764" s="38" t="s">
        <v>109</v>
      </c>
      <c r="F8764" s="38" t="s">
        <v>86</v>
      </c>
      <c r="G8764" s="49" t="str">
        <f t="shared" si="1"/>
        <v>62790</v>
      </c>
      <c r="H8764" s="49">
        <f t="shared" si="2"/>
        <v>62497</v>
      </c>
    </row>
    <row r="8765">
      <c r="A8765" s="48" t="s">
        <v>10363</v>
      </c>
      <c r="B8765" s="38">
        <v>43092.0</v>
      </c>
      <c r="C8765" s="38" t="s">
        <v>12520</v>
      </c>
      <c r="D8765" s="38" t="str">
        <f>IFERROR(__xludf.DUMMYFUNCTION("REGEXREPLACE(C8765,""-\d+(.*)|--\d+(.*)"","""")"),"FAY-SUR-LIGNON")</f>
        <v>FAY-SUR-LIGNON</v>
      </c>
      <c r="E8765" s="38" t="s">
        <v>332</v>
      </c>
      <c r="F8765" s="38" t="s">
        <v>161</v>
      </c>
      <c r="G8765" s="49" t="str">
        <f t="shared" si="1"/>
        <v>43430</v>
      </c>
      <c r="H8765" s="49">
        <f t="shared" si="2"/>
        <v>43092</v>
      </c>
    </row>
    <row r="8766">
      <c r="A8766" s="48" t="s">
        <v>856</v>
      </c>
      <c r="B8766" s="38">
        <v>43071.0</v>
      </c>
      <c r="C8766" s="38" t="s">
        <v>12521</v>
      </c>
      <c r="D8766" s="38" t="str">
        <f>IFERROR(__xludf.DUMMYFUNCTION("REGEXREPLACE(C8766,""-\d+(.*)|--\d+(.*)"","""")"),"CHOMELIX")</f>
        <v>CHOMELIX</v>
      </c>
      <c r="E8766" s="38" t="s">
        <v>332</v>
      </c>
      <c r="F8766" s="38" t="s">
        <v>161</v>
      </c>
      <c r="G8766" s="49" t="str">
        <f t="shared" si="1"/>
        <v>43500</v>
      </c>
      <c r="H8766" s="49">
        <f t="shared" si="2"/>
        <v>43071</v>
      </c>
    </row>
    <row r="8767">
      <c r="A8767" s="48" t="s">
        <v>12522</v>
      </c>
      <c r="B8767" s="38">
        <v>59092.0</v>
      </c>
      <c r="C8767" s="38" t="s">
        <v>12523</v>
      </c>
      <c r="D8767" s="38" t="str">
        <f>IFERROR(__xludf.DUMMYFUNCTION("REGEXREPLACE(C8767,""-\d+(.*)|--\d+(.*)"","""")"),"BOUCHAIN")</f>
        <v>BOUCHAIN</v>
      </c>
      <c r="E8767" s="38" t="s">
        <v>85</v>
      </c>
      <c r="F8767" s="38" t="s">
        <v>86</v>
      </c>
      <c r="G8767" s="49" t="str">
        <f t="shared" si="1"/>
        <v>59111</v>
      </c>
      <c r="H8767" s="49">
        <f t="shared" si="2"/>
        <v>59092</v>
      </c>
    </row>
    <row r="8768">
      <c r="A8768" s="48" t="s">
        <v>1505</v>
      </c>
      <c r="B8768" s="38">
        <v>81132.0</v>
      </c>
      <c r="C8768" s="38" t="s">
        <v>12524</v>
      </c>
      <c r="D8768" s="38" t="str">
        <f>IFERROR(__xludf.DUMMYFUNCTION("REGEXREPLACE(C8768,""-\d+(.*)|--\d+(.*)"","""")"),"GUITALENS-L'ALBAREDE")</f>
        <v>GUITALENS-L'ALBAREDE</v>
      </c>
      <c r="E8768" s="38" t="s">
        <v>231</v>
      </c>
      <c r="F8768" s="38" t="s">
        <v>94</v>
      </c>
      <c r="G8768" s="49" t="str">
        <f t="shared" si="1"/>
        <v>81220</v>
      </c>
      <c r="H8768" s="49">
        <f t="shared" si="2"/>
        <v>81132</v>
      </c>
    </row>
    <row r="8769">
      <c r="A8769" s="48" t="s">
        <v>208</v>
      </c>
      <c r="B8769" s="38">
        <v>67320.0</v>
      </c>
      <c r="C8769" s="38" t="s">
        <v>12525</v>
      </c>
      <c r="D8769" s="38" t="str">
        <f>IFERROR(__xludf.DUMMYFUNCTION("REGEXREPLACE(C8769,""-\d+(.*)|--\d+(.*)"","""")"),"NEUVE-EGLISE")</f>
        <v>NEUVE-EGLISE</v>
      </c>
      <c r="E8769" s="38" t="s">
        <v>210</v>
      </c>
      <c r="F8769" s="38" t="s">
        <v>151</v>
      </c>
      <c r="G8769" s="49" t="str">
        <f t="shared" si="1"/>
        <v>67220</v>
      </c>
      <c r="H8769" s="49">
        <f t="shared" si="2"/>
        <v>67320</v>
      </c>
    </row>
    <row r="8770">
      <c r="A8770" s="48" t="s">
        <v>12526</v>
      </c>
      <c r="B8770" s="38">
        <v>44174.0</v>
      </c>
      <c r="C8770" s="38" t="s">
        <v>12527</v>
      </c>
      <c r="D8770" s="38" t="str">
        <f>IFERROR(__xludf.DUMMYFUNCTION("REGEXREPLACE(C8770,""-\d+(.*)|--\d+(.*)"","""")"),"SAINT-LUMINE-DE-COUTAIS")</f>
        <v>SAINT-LUMINE-DE-COUTAIS</v>
      </c>
      <c r="E8770" s="38" t="s">
        <v>759</v>
      </c>
      <c r="F8770" s="38" t="s">
        <v>180</v>
      </c>
      <c r="G8770" s="49" t="str">
        <f t="shared" si="1"/>
        <v>44310</v>
      </c>
      <c r="H8770" s="49">
        <f t="shared" si="2"/>
        <v>44174</v>
      </c>
    </row>
    <row r="8771">
      <c r="A8771" s="48" t="s">
        <v>724</v>
      </c>
      <c r="B8771" s="38">
        <v>32104.0</v>
      </c>
      <c r="C8771" s="38" t="s">
        <v>12528</v>
      </c>
      <c r="D8771" s="38" t="str">
        <f>IFERROR(__xludf.DUMMYFUNCTION("REGEXREPLACE(C8771,""-\d+(.*)|--\d+(.*)"","""")"),"CLERMONT-POUYGUILLES")</f>
        <v>CLERMONT-POUYGUILLES</v>
      </c>
      <c r="E8771" s="38" t="s">
        <v>440</v>
      </c>
      <c r="F8771" s="38" t="s">
        <v>94</v>
      </c>
      <c r="G8771" s="49" t="str">
        <f t="shared" si="1"/>
        <v>32300</v>
      </c>
      <c r="H8771" s="49">
        <f t="shared" si="2"/>
        <v>32104</v>
      </c>
    </row>
    <row r="8772">
      <c r="A8772" s="48" t="s">
        <v>1624</v>
      </c>
      <c r="B8772" s="38">
        <v>34300.0</v>
      </c>
      <c r="C8772" s="38" t="s">
        <v>12529</v>
      </c>
      <c r="D8772" s="38" t="str">
        <f>IFERROR(__xludf.DUMMYFUNCTION("REGEXREPLACE(C8772,""-\d+(.*)|--\d+(.*)"","""")"),"SERVIAN")</f>
        <v>SERVIAN</v>
      </c>
      <c r="E8772" s="38" t="s">
        <v>118</v>
      </c>
      <c r="F8772" s="38" t="s">
        <v>119</v>
      </c>
      <c r="G8772" s="49" t="str">
        <f t="shared" si="1"/>
        <v>34290</v>
      </c>
      <c r="H8772" s="49">
        <f t="shared" si="2"/>
        <v>34300</v>
      </c>
    </row>
    <row r="8773">
      <c r="A8773" s="48" t="s">
        <v>4013</v>
      </c>
      <c r="B8773" s="38">
        <v>9304.0</v>
      </c>
      <c r="C8773" s="38" t="s">
        <v>12530</v>
      </c>
      <c r="D8773" s="38" t="str">
        <f>IFERROR(__xludf.DUMMYFUNCTION("REGEXREPLACE(C8773,""-\d+(.*)|--\d+(.*)"","""")"),"SUZAN")</f>
        <v>SUZAN</v>
      </c>
      <c r="E8773" s="38" t="s">
        <v>238</v>
      </c>
      <c r="F8773" s="38" t="s">
        <v>94</v>
      </c>
      <c r="G8773" s="49" t="str">
        <f t="shared" si="1"/>
        <v>09240</v>
      </c>
      <c r="H8773" s="49" t="str">
        <f t="shared" si="2"/>
        <v>09304</v>
      </c>
    </row>
    <row r="8774">
      <c r="A8774" s="48" t="s">
        <v>5558</v>
      </c>
      <c r="B8774" s="38">
        <v>14136.0</v>
      </c>
      <c r="C8774" s="38" t="s">
        <v>12531</v>
      </c>
      <c r="D8774" s="38" t="str">
        <f>IFERROR(__xludf.DUMMYFUNCTION("REGEXREPLACE(C8774,""-\d+(.*)|--\d+(.*)"","""")"),"CARDONVILLE")</f>
        <v>CARDONVILLE</v>
      </c>
      <c r="E8774" s="38" t="s">
        <v>137</v>
      </c>
      <c r="F8774" s="38" t="s">
        <v>138</v>
      </c>
      <c r="G8774" s="49" t="str">
        <f t="shared" si="1"/>
        <v>14230</v>
      </c>
      <c r="H8774" s="49">
        <f t="shared" si="2"/>
        <v>14136</v>
      </c>
    </row>
    <row r="8775">
      <c r="A8775" s="48" t="s">
        <v>1345</v>
      </c>
      <c r="B8775" s="38">
        <v>46157.0</v>
      </c>
      <c r="C8775" s="38" t="s">
        <v>12532</v>
      </c>
      <c r="D8775" s="38" t="str">
        <f>IFERROR(__xludf.DUMMYFUNCTION("REGEXREPLACE(C8775,""-\d+(.*)|--\d+(.*)"","""")"),"LARROQUE-TOIRAC")</f>
        <v>LARROQUE-TOIRAC</v>
      </c>
      <c r="E8775" s="38" t="s">
        <v>185</v>
      </c>
      <c r="F8775" s="38" t="s">
        <v>94</v>
      </c>
      <c r="G8775" s="49" t="str">
        <f t="shared" si="1"/>
        <v>46160</v>
      </c>
      <c r="H8775" s="49">
        <f t="shared" si="2"/>
        <v>46157</v>
      </c>
    </row>
    <row r="8776">
      <c r="A8776" s="48" t="s">
        <v>12533</v>
      </c>
      <c r="B8776" s="38">
        <v>63164.0</v>
      </c>
      <c r="C8776" s="38" t="s">
        <v>12534</v>
      </c>
      <c r="D8776" s="38" t="str">
        <f>IFERROR(__xludf.DUMMYFUNCTION("REGEXREPLACE(C8776,""-\d+(.*)|--\d+(.*)"","""")"),"GERZAT")</f>
        <v>GERZAT</v>
      </c>
      <c r="E8776" s="38" t="s">
        <v>353</v>
      </c>
      <c r="F8776" s="38" t="s">
        <v>161</v>
      </c>
      <c r="G8776" s="49" t="str">
        <f t="shared" si="1"/>
        <v>63360</v>
      </c>
      <c r="H8776" s="49">
        <f t="shared" si="2"/>
        <v>63164</v>
      </c>
    </row>
    <row r="8777">
      <c r="A8777" s="48" t="s">
        <v>1031</v>
      </c>
      <c r="B8777" s="38">
        <v>2311.0</v>
      </c>
      <c r="C8777" s="38" t="s">
        <v>12535</v>
      </c>
      <c r="D8777" s="38" t="str">
        <f>IFERROR(__xludf.DUMMYFUNCTION("REGEXREPLACE(C8777,""-\d+(.*)|--\d+(.*)"","""")"),"FILAIN")</f>
        <v>FILAIN</v>
      </c>
      <c r="E8777" s="38" t="s">
        <v>191</v>
      </c>
      <c r="F8777" s="38" t="s">
        <v>113</v>
      </c>
      <c r="G8777" s="49" t="str">
        <f t="shared" si="1"/>
        <v>02000</v>
      </c>
      <c r="H8777" s="49" t="str">
        <f t="shared" si="2"/>
        <v>02311</v>
      </c>
    </row>
    <row r="8778">
      <c r="A8778" s="48" t="s">
        <v>12536</v>
      </c>
      <c r="B8778" s="38">
        <v>6058.0</v>
      </c>
      <c r="C8778" s="38" t="s">
        <v>12537</v>
      </c>
      <c r="D8778" s="38" t="str">
        <f>IFERROR(__xludf.DUMMYFUNCTION("REGEXREPLACE(C8778,""-\d+(.*)|--\d+(.*)"","""")"),"ESCRAGNOLLES")</f>
        <v>ESCRAGNOLLES</v>
      </c>
      <c r="E8778" s="38" t="s">
        <v>227</v>
      </c>
      <c r="F8778" s="38" t="s">
        <v>228</v>
      </c>
      <c r="G8778" s="49" t="str">
        <f t="shared" si="1"/>
        <v>06460</v>
      </c>
      <c r="H8778" s="49" t="str">
        <f t="shared" si="2"/>
        <v>06058</v>
      </c>
    </row>
    <row r="8779">
      <c r="A8779" s="48" t="s">
        <v>5700</v>
      </c>
      <c r="B8779" s="38">
        <v>36113.0</v>
      </c>
      <c r="C8779" s="38" t="s">
        <v>12538</v>
      </c>
      <c r="D8779" s="38" t="str">
        <f>IFERROR(__xludf.DUMMYFUNCTION("REGEXREPLACE(C8779,""-\d+(.*)|--\d+(.*)"","""")"),"MARTIZAY")</f>
        <v>MARTIZAY</v>
      </c>
      <c r="E8779" s="38" t="s">
        <v>258</v>
      </c>
      <c r="F8779" s="38" t="s">
        <v>123</v>
      </c>
      <c r="G8779" s="49" t="str">
        <f t="shared" si="1"/>
        <v>36220</v>
      </c>
      <c r="H8779" s="49">
        <f t="shared" si="2"/>
        <v>36113</v>
      </c>
    </row>
    <row r="8780">
      <c r="A8780" s="48" t="s">
        <v>12539</v>
      </c>
      <c r="B8780" s="38">
        <v>14708.0</v>
      </c>
      <c r="C8780" s="38" t="s">
        <v>12540</v>
      </c>
      <c r="D8780" s="38" t="str">
        <f>IFERROR(__xludf.DUMMYFUNCTION("REGEXREPLACE(C8780,""-\d+(.*)|--\d+(.*)"","""")"),"TRACY-BOCAGE")</f>
        <v>TRACY-BOCAGE</v>
      </c>
      <c r="E8780" s="38" t="s">
        <v>137</v>
      </c>
      <c r="F8780" s="38" t="s">
        <v>138</v>
      </c>
      <c r="G8780" s="49" t="str">
        <f t="shared" si="1"/>
        <v>14310</v>
      </c>
      <c r="H8780" s="49">
        <f t="shared" si="2"/>
        <v>14708</v>
      </c>
    </row>
    <row r="8781">
      <c r="A8781" s="48" t="s">
        <v>155</v>
      </c>
      <c r="B8781" s="38">
        <v>50354.0</v>
      </c>
      <c r="C8781" s="38" t="s">
        <v>12541</v>
      </c>
      <c r="D8781" s="38" t="str">
        <f>IFERROR(__xludf.DUMMYFUNCTION("REGEXREPLACE(C8781,""-\d+(.*)|--\d+(.*)"","""")"),"MONTSURVENT")</f>
        <v>MONTSURVENT</v>
      </c>
      <c r="E8781" s="38" t="s">
        <v>157</v>
      </c>
      <c r="F8781" s="38" t="s">
        <v>138</v>
      </c>
      <c r="G8781" s="49" t="str">
        <f t="shared" si="1"/>
        <v>50200</v>
      </c>
      <c r="H8781" s="49">
        <f t="shared" si="2"/>
        <v>50354</v>
      </c>
    </row>
    <row r="8782">
      <c r="A8782" s="48" t="s">
        <v>3618</v>
      </c>
      <c r="B8782" s="38">
        <v>31176.0</v>
      </c>
      <c r="C8782" s="38" t="s">
        <v>12542</v>
      </c>
      <c r="D8782" s="38" t="str">
        <f>IFERROR(__xludf.DUMMYFUNCTION("REGEXREPLACE(C8782,""-\d+(.*)|--\d+(.*)"","""")"),"ESTENOS")</f>
        <v>ESTENOS</v>
      </c>
      <c r="E8782" s="38" t="s">
        <v>93</v>
      </c>
      <c r="F8782" s="38" t="s">
        <v>94</v>
      </c>
      <c r="G8782" s="49" t="str">
        <f t="shared" si="1"/>
        <v>31440</v>
      </c>
      <c r="H8782" s="49">
        <f t="shared" si="2"/>
        <v>31176</v>
      </c>
    </row>
    <row r="8783">
      <c r="A8783" s="48" t="s">
        <v>4032</v>
      </c>
      <c r="B8783" s="38">
        <v>17025.0</v>
      </c>
      <c r="C8783" s="38" t="s">
        <v>12543</v>
      </c>
      <c r="D8783" s="38" t="str">
        <f>IFERROR(__xludf.DUMMYFUNCTION("REGEXREPLACE(C8783,""-\d+(.*)|--\d+(.*)"","""")"),"AUMAGNE")</f>
        <v>AUMAGNE</v>
      </c>
      <c r="E8783" s="38" t="s">
        <v>488</v>
      </c>
      <c r="F8783" s="38" t="s">
        <v>338</v>
      </c>
      <c r="G8783" s="49" t="str">
        <f t="shared" si="1"/>
        <v>17770</v>
      </c>
      <c r="H8783" s="49">
        <f t="shared" si="2"/>
        <v>17025</v>
      </c>
    </row>
    <row r="8784">
      <c r="A8784" s="48" t="s">
        <v>6275</v>
      </c>
      <c r="B8784" s="38">
        <v>8469.0</v>
      </c>
      <c r="C8784" s="38" t="s">
        <v>12544</v>
      </c>
      <c r="D8784" s="38" t="str">
        <f>IFERROR(__xludf.DUMMYFUNCTION("REGEXREPLACE(C8784,""-\d+(.*)|--\d+(.*)"","""")"),"VENDRESSE")</f>
        <v>VENDRESSE</v>
      </c>
      <c r="E8784" s="38" t="s">
        <v>327</v>
      </c>
      <c r="F8784" s="38" t="s">
        <v>130</v>
      </c>
      <c r="G8784" s="49" t="str">
        <f t="shared" si="1"/>
        <v>08160</v>
      </c>
      <c r="H8784" s="49" t="str">
        <f t="shared" si="2"/>
        <v>08469</v>
      </c>
    </row>
    <row r="8785">
      <c r="A8785" s="48" t="s">
        <v>5443</v>
      </c>
      <c r="B8785" s="38">
        <v>76015.0</v>
      </c>
      <c r="C8785" s="38" t="s">
        <v>12545</v>
      </c>
      <c r="D8785" s="38" t="str">
        <f>IFERROR(__xludf.DUMMYFUNCTION("REGEXREPLACE(C8785,""-\d+(.*)|--\d+(.*)"","""")"),"ANGIENS")</f>
        <v>ANGIENS</v>
      </c>
      <c r="E8785" s="38" t="s">
        <v>133</v>
      </c>
      <c r="F8785" s="38" t="s">
        <v>134</v>
      </c>
      <c r="G8785" s="49" t="str">
        <f t="shared" si="1"/>
        <v>76740</v>
      </c>
      <c r="H8785" s="49">
        <f t="shared" si="2"/>
        <v>76015</v>
      </c>
    </row>
    <row r="8786">
      <c r="A8786" s="48" t="s">
        <v>8742</v>
      </c>
      <c r="B8786" s="38">
        <v>27026.0</v>
      </c>
      <c r="C8786" s="38" t="s">
        <v>12546</v>
      </c>
      <c r="D8786" s="38" t="str">
        <f>IFERROR(__xludf.DUMMYFUNCTION("REGEXREPLACE(C8786,""-\d+(.*)|--\d+(.*)"","""")"),"AUTHEVERNES")</f>
        <v>AUTHEVERNES</v>
      </c>
      <c r="E8786" s="38" t="s">
        <v>241</v>
      </c>
      <c r="F8786" s="38" t="s">
        <v>134</v>
      </c>
      <c r="G8786" s="49" t="str">
        <f t="shared" si="1"/>
        <v>27420</v>
      </c>
      <c r="H8786" s="49">
        <f t="shared" si="2"/>
        <v>27026</v>
      </c>
    </row>
    <row r="8787">
      <c r="A8787" s="48" t="s">
        <v>12547</v>
      </c>
      <c r="B8787" s="38">
        <v>60002.0</v>
      </c>
      <c r="C8787" s="38" t="s">
        <v>12548</v>
      </c>
      <c r="D8787" s="38" t="str">
        <f>IFERROR(__xludf.DUMMYFUNCTION("REGEXREPLACE(C8787,""-\d+(.*)|--\d+(.*)"","""")"),"ABBECOURT")</f>
        <v>ABBECOURT</v>
      </c>
      <c r="E8787" s="38" t="s">
        <v>112</v>
      </c>
      <c r="F8787" s="38" t="s">
        <v>113</v>
      </c>
      <c r="G8787" s="49" t="str">
        <f t="shared" si="1"/>
        <v>60430</v>
      </c>
      <c r="H8787" s="49">
        <f t="shared" si="2"/>
        <v>60002</v>
      </c>
    </row>
    <row r="8788">
      <c r="A8788" s="48" t="s">
        <v>2989</v>
      </c>
      <c r="B8788" s="38">
        <v>70355.0</v>
      </c>
      <c r="C8788" s="38" t="s">
        <v>12549</v>
      </c>
      <c r="D8788" s="38" t="str">
        <f>IFERROR(__xludf.DUMMYFUNCTION("REGEXREPLACE(C8788,""-\d+(.*)|--\d+(.*)"","""")"),"MONTARLOT-LES-RIOZ")</f>
        <v>MONTARLOT-LES-RIOZ</v>
      </c>
      <c r="E8788" s="38" t="s">
        <v>956</v>
      </c>
      <c r="F8788" s="38" t="s">
        <v>214</v>
      </c>
      <c r="G8788" s="49" t="str">
        <f t="shared" si="1"/>
        <v>70190</v>
      </c>
      <c r="H8788" s="49">
        <f t="shared" si="2"/>
        <v>70355</v>
      </c>
    </row>
    <row r="8789">
      <c r="A8789" s="48" t="s">
        <v>12550</v>
      </c>
      <c r="B8789" s="38">
        <v>22005.0</v>
      </c>
      <c r="C8789" s="38" t="s">
        <v>12551</v>
      </c>
      <c r="D8789" s="38" t="str">
        <f>IFERROR(__xludf.DUMMYFUNCTION("REGEXREPLACE(C8789,""-\d+(.*)|--\d+(.*)"","""")"),"BELLE-ISLE-EN-TERRE")</f>
        <v>BELLE-ISLE-EN-TERRE</v>
      </c>
      <c r="E8789" s="38" t="s">
        <v>89</v>
      </c>
      <c r="F8789" s="38" t="s">
        <v>90</v>
      </c>
      <c r="G8789" s="49" t="str">
        <f t="shared" si="1"/>
        <v>22810</v>
      </c>
      <c r="H8789" s="49">
        <f t="shared" si="2"/>
        <v>22005</v>
      </c>
    </row>
    <row r="8790">
      <c r="A8790" s="48" t="s">
        <v>1787</v>
      </c>
      <c r="B8790" s="38">
        <v>62325.0</v>
      </c>
      <c r="C8790" s="38" t="s">
        <v>12552</v>
      </c>
      <c r="D8790" s="38" t="str">
        <f>IFERROR(__xludf.DUMMYFUNCTION("REGEXREPLACE(C8790,""-\d+(.*)|--\d+(.*)"","""")"),"FAUQUEMBERGUES")</f>
        <v>FAUQUEMBERGUES</v>
      </c>
      <c r="E8790" s="38" t="s">
        <v>109</v>
      </c>
      <c r="F8790" s="38" t="s">
        <v>86</v>
      </c>
      <c r="G8790" s="49" t="str">
        <f t="shared" si="1"/>
        <v>62560</v>
      </c>
      <c r="H8790" s="49">
        <f t="shared" si="2"/>
        <v>62325</v>
      </c>
    </row>
    <row r="8791">
      <c r="A8791" s="48" t="s">
        <v>441</v>
      </c>
      <c r="B8791" s="38">
        <v>42282.0</v>
      </c>
      <c r="C8791" s="38" t="s">
        <v>12553</v>
      </c>
      <c r="D8791" s="38" t="str">
        <f>IFERROR(__xludf.DUMMYFUNCTION("REGEXREPLACE(C8791,""-\d+(.*)|--\d+(.*)"","""")"),"SAINT-ROMAIN-D'URFE")</f>
        <v>SAINT-ROMAIN-D'URFE</v>
      </c>
      <c r="E8791" s="38" t="s">
        <v>166</v>
      </c>
      <c r="F8791" s="38" t="s">
        <v>102</v>
      </c>
      <c r="G8791" s="49" t="str">
        <f t="shared" si="1"/>
        <v>42430</v>
      </c>
      <c r="H8791" s="49">
        <f t="shared" si="2"/>
        <v>42282</v>
      </c>
    </row>
    <row r="8792">
      <c r="A8792" s="48" t="s">
        <v>844</v>
      </c>
      <c r="B8792" s="38">
        <v>72015.0</v>
      </c>
      <c r="C8792" s="38" t="s">
        <v>12554</v>
      </c>
      <c r="D8792" s="38" t="str">
        <f>IFERROR(__xludf.DUMMYFUNCTION("REGEXREPLACE(C8792,""-\d+(.*)|--\d+(.*)"","""")"),"LES AULNEAUX")</f>
        <v>LES AULNEAUX</v>
      </c>
      <c r="E8792" s="38" t="s">
        <v>521</v>
      </c>
      <c r="F8792" s="38" t="s">
        <v>180</v>
      </c>
      <c r="G8792" s="49" t="str">
        <f t="shared" si="1"/>
        <v>72600</v>
      </c>
      <c r="H8792" s="49">
        <f t="shared" si="2"/>
        <v>72015</v>
      </c>
    </row>
    <row r="8793">
      <c r="A8793" s="48" t="s">
        <v>1560</v>
      </c>
      <c r="B8793" s="38">
        <v>14179.0</v>
      </c>
      <c r="C8793" s="38" t="s">
        <v>12555</v>
      </c>
      <c r="D8793" s="38" t="str">
        <f>IFERROR(__xludf.DUMMYFUNCTION("REGEXREPLACE(C8793,""-\d+(.*)|--\d+(.*)"","""")"),"CORDEBUGLE")</f>
        <v>CORDEBUGLE</v>
      </c>
      <c r="E8793" s="38" t="s">
        <v>137</v>
      </c>
      <c r="F8793" s="38" t="s">
        <v>138</v>
      </c>
      <c r="G8793" s="49" t="str">
        <f t="shared" si="1"/>
        <v>14100</v>
      </c>
      <c r="H8793" s="49">
        <f t="shared" si="2"/>
        <v>14179</v>
      </c>
    </row>
    <row r="8794">
      <c r="A8794" s="48" t="s">
        <v>2993</v>
      </c>
      <c r="B8794" s="38">
        <v>66033.0</v>
      </c>
      <c r="C8794" s="38" t="s">
        <v>12556</v>
      </c>
      <c r="D8794" s="38" t="str">
        <f>IFERROR(__xludf.DUMMYFUNCTION("REGEXREPLACE(C8794,""-\d+(.*)|--\d+(.*)"","""")"),"CAMELAS")</f>
        <v>CAMELAS</v>
      </c>
      <c r="E8794" s="38" t="s">
        <v>248</v>
      </c>
      <c r="F8794" s="38" t="s">
        <v>119</v>
      </c>
      <c r="G8794" s="49" t="str">
        <f t="shared" si="1"/>
        <v>66300</v>
      </c>
      <c r="H8794" s="49">
        <f t="shared" si="2"/>
        <v>66033</v>
      </c>
    </row>
    <row r="8795">
      <c r="A8795" s="48" t="s">
        <v>1120</v>
      </c>
      <c r="B8795" s="38">
        <v>64254.0</v>
      </c>
      <c r="C8795" s="38" t="s">
        <v>12557</v>
      </c>
      <c r="D8795" s="38" t="str">
        <f>IFERROR(__xludf.DUMMYFUNCTION("REGEXREPLACE(C8795,""-\d+(.*)|--\d+(.*)"","""")"),"HAGETAUBIN")</f>
        <v>HAGETAUBIN</v>
      </c>
      <c r="E8795" s="38" t="s">
        <v>268</v>
      </c>
      <c r="F8795" s="38" t="s">
        <v>252</v>
      </c>
      <c r="G8795" s="49" t="str">
        <f t="shared" si="1"/>
        <v>64370</v>
      </c>
      <c r="H8795" s="49">
        <f t="shared" si="2"/>
        <v>64254</v>
      </c>
    </row>
    <row r="8796">
      <c r="A8796" s="48" t="s">
        <v>5195</v>
      </c>
      <c r="B8796" s="38">
        <v>47260.0</v>
      </c>
      <c r="C8796" s="38" t="s">
        <v>12558</v>
      </c>
      <c r="D8796" s="38" t="str">
        <f>IFERROR(__xludf.DUMMYFUNCTION("REGEXREPLACE(C8796,""-\d+(.*)|--\d+(.*)"","""")"),"SAINT-MAURIN")</f>
        <v>SAINT-MAURIN</v>
      </c>
      <c r="E8796" s="38" t="s">
        <v>251</v>
      </c>
      <c r="F8796" s="38" t="s">
        <v>252</v>
      </c>
      <c r="G8796" s="49" t="str">
        <f t="shared" si="1"/>
        <v>47270</v>
      </c>
      <c r="H8796" s="49">
        <f t="shared" si="2"/>
        <v>47260</v>
      </c>
    </row>
    <row r="8797">
      <c r="A8797" s="48" t="s">
        <v>1872</v>
      </c>
      <c r="B8797" s="38">
        <v>80118.0</v>
      </c>
      <c r="C8797" s="38" t="s">
        <v>12559</v>
      </c>
      <c r="D8797" s="38" t="str">
        <f>IFERROR(__xludf.DUMMYFUNCTION("REGEXREPLACE(C8797,""-\d+(.*)|--\d+(.*)"","""")"),"BOUFFLERS")</f>
        <v>BOUFFLERS</v>
      </c>
      <c r="E8797" s="38" t="s">
        <v>224</v>
      </c>
      <c r="F8797" s="38" t="s">
        <v>113</v>
      </c>
      <c r="G8797" s="49" t="str">
        <f t="shared" si="1"/>
        <v>80150</v>
      </c>
      <c r="H8797" s="49">
        <f t="shared" si="2"/>
        <v>80118</v>
      </c>
    </row>
    <row r="8798">
      <c r="A8798" s="48" t="s">
        <v>12560</v>
      </c>
      <c r="B8798" s="38">
        <v>46147.0</v>
      </c>
      <c r="C8798" s="38" t="s">
        <v>12561</v>
      </c>
      <c r="D8798" s="38" t="str">
        <f>IFERROR(__xludf.DUMMYFUNCTION("REGEXREPLACE(C8798,""-\d+(.*)|--\d+(.*)"","""")"),"LAGARDELLE")</f>
        <v>LAGARDELLE</v>
      </c>
      <c r="E8798" s="38" t="s">
        <v>185</v>
      </c>
      <c r="F8798" s="38" t="s">
        <v>94</v>
      </c>
      <c r="G8798" s="49" t="str">
        <f t="shared" si="1"/>
        <v>46220</v>
      </c>
      <c r="H8798" s="49">
        <f t="shared" si="2"/>
        <v>46147</v>
      </c>
    </row>
    <row r="8799">
      <c r="A8799" s="48" t="s">
        <v>1132</v>
      </c>
      <c r="B8799" s="38">
        <v>2036.0</v>
      </c>
      <c r="C8799" s="38" t="s">
        <v>12562</v>
      </c>
      <c r="D8799" s="38" t="str">
        <f>IFERROR(__xludf.DUMMYFUNCTION("REGEXREPLACE(C8799,""-\d+(.*)|--\d+(.*)"","""")"),"AUGY")</f>
        <v>AUGY</v>
      </c>
      <c r="E8799" s="38" t="s">
        <v>191</v>
      </c>
      <c r="F8799" s="38" t="s">
        <v>113</v>
      </c>
      <c r="G8799" s="49" t="str">
        <f t="shared" si="1"/>
        <v>02220</v>
      </c>
      <c r="H8799" s="49" t="str">
        <f t="shared" si="2"/>
        <v>02036</v>
      </c>
    </row>
    <row r="8800">
      <c r="A8800" s="48" t="s">
        <v>1605</v>
      </c>
      <c r="B8800" s="38">
        <v>17041.0</v>
      </c>
      <c r="C8800" s="38" t="s">
        <v>12563</v>
      </c>
      <c r="D8800" s="38" t="str">
        <f>IFERROR(__xludf.DUMMYFUNCTION("REGEXREPLACE(C8800,""-\d+(.*)|--\d+(.*)"","""")"),"BENON")</f>
        <v>BENON</v>
      </c>
      <c r="E8800" s="38" t="s">
        <v>488</v>
      </c>
      <c r="F8800" s="38" t="s">
        <v>338</v>
      </c>
      <c r="G8800" s="49" t="str">
        <f t="shared" si="1"/>
        <v>17170</v>
      </c>
      <c r="H8800" s="49">
        <f t="shared" si="2"/>
        <v>17041</v>
      </c>
    </row>
    <row r="8801">
      <c r="A8801" s="48" t="s">
        <v>1540</v>
      </c>
      <c r="B8801" s="38">
        <v>70044.0</v>
      </c>
      <c r="C8801" s="38" t="s">
        <v>12456</v>
      </c>
      <c r="D8801" s="38" t="str">
        <f>IFERROR(__xludf.DUMMYFUNCTION("REGEXREPLACE(C8801,""-\d+(.*)|--\d+(.*)"","""")"),"AUXON")</f>
        <v>AUXON</v>
      </c>
      <c r="E8801" s="38" t="s">
        <v>956</v>
      </c>
      <c r="F8801" s="38" t="s">
        <v>214</v>
      </c>
      <c r="G8801" s="49" t="str">
        <f t="shared" si="1"/>
        <v>70000</v>
      </c>
      <c r="H8801" s="49">
        <f t="shared" si="2"/>
        <v>70044</v>
      </c>
    </row>
    <row r="8802">
      <c r="A8802" s="48" t="s">
        <v>2837</v>
      </c>
      <c r="B8802" s="38">
        <v>17163.0</v>
      </c>
      <c r="C8802" s="38" t="s">
        <v>12564</v>
      </c>
      <c r="D8802" s="38" t="str">
        <f>IFERROR(__xludf.DUMMYFUNCTION("REGEXREPLACE(C8802,""-\d+(.*)|--\d+(.*)"","""")"),"FONTAINES-D'OZILLAC")</f>
        <v>FONTAINES-D'OZILLAC</v>
      </c>
      <c r="E8802" s="38" t="s">
        <v>488</v>
      </c>
      <c r="F8802" s="38" t="s">
        <v>338</v>
      </c>
      <c r="G8802" s="49" t="str">
        <f t="shared" si="1"/>
        <v>17500</v>
      </c>
      <c r="H8802" s="49">
        <f t="shared" si="2"/>
        <v>17163</v>
      </c>
    </row>
    <row r="8803">
      <c r="A8803" s="48" t="s">
        <v>5223</v>
      </c>
      <c r="B8803" s="38">
        <v>65110.0</v>
      </c>
      <c r="C8803" s="38" t="s">
        <v>12565</v>
      </c>
      <c r="D8803" s="38" t="str">
        <f>IFERROR(__xludf.DUMMYFUNCTION("REGEXREPLACE(C8803,""-\d+(.*)|--\d+(.*)"","""")"),"BUGARD")</f>
        <v>BUGARD</v>
      </c>
      <c r="E8803" s="38" t="s">
        <v>200</v>
      </c>
      <c r="F8803" s="38" t="s">
        <v>94</v>
      </c>
      <c r="G8803" s="49" t="str">
        <f t="shared" si="1"/>
        <v>65220</v>
      </c>
      <c r="H8803" s="49">
        <f t="shared" si="2"/>
        <v>65110</v>
      </c>
    </row>
    <row r="8804">
      <c r="A8804" s="48" t="s">
        <v>4311</v>
      </c>
      <c r="B8804" s="38">
        <v>47194.0</v>
      </c>
      <c r="C8804" s="38" t="s">
        <v>12566</v>
      </c>
      <c r="D8804" s="38" t="str">
        <f>IFERROR(__xludf.DUMMYFUNCTION("REGEXREPLACE(C8804,""-\d+(.*)|--\d+(.*)"","""")"),"MOUSTIER")</f>
        <v>MOUSTIER</v>
      </c>
      <c r="E8804" s="38" t="s">
        <v>251</v>
      </c>
      <c r="F8804" s="38" t="s">
        <v>252</v>
      </c>
      <c r="G8804" s="49" t="str">
        <f t="shared" si="1"/>
        <v>47800</v>
      </c>
      <c r="H8804" s="49">
        <f t="shared" si="2"/>
        <v>47194</v>
      </c>
    </row>
    <row r="8805">
      <c r="A8805" s="48" t="s">
        <v>12567</v>
      </c>
      <c r="B8805" s="38">
        <v>48152.0</v>
      </c>
      <c r="C8805" s="38" t="s">
        <v>12568</v>
      </c>
      <c r="D8805" s="38" t="str">
        <f>IFERROR(__xludf.DUMMYFUNCTION("REGEXREPLACE(C8805,""-\d+(.*)|--\d+(.*)"","""")"),"SAINT-FREZAL-DE-VENTALON")</f>
        <v>SAINT-FREZAL-DE-VENTALON</v>
      </c>
      <c r="E8805" s="38" t="s">
        <v>154</v>
      </c>
      <c r="F8805" s="38" t="s">
        <v>119</v>
      </c>
      <c r="G8805" s="49" t="str">
        <f t="shared" si="1"/>
        <v>48240</v>
      </c>
      <c r="H8805" s="49">
        <f t="shared" si="2"/>
        <v>48152</v>
      </c>
    </row>
    <row r="8806">
      <c r="A8806" s="48" t="s">
        <v>5631</v>
      </c>
      <c r="B8806" s="38">
        <v>76173.0</v>
      </c>
      <c r="C8806" s="38" t="s">
        <v>12569</v>
      </c>
      <c r="D8806" s="38" t="str">
        <f>IFERROR(__xludf.DUMMYFUNCTION("REGEXREPLACE(C8806,""-\d+(.*)|--\d+(.*)"","""")"),"LA CHAUSSEE")</f>
        <v>LA CHAUSSEE</v>
      </c>
      <c r="E8806" s="38" t="s">
        <v>133</v>
      </c>
      <c r="F8806" s="38" t="s">
        <v>134</v>
      </c>
      <c r="G8806" s="49" t="str">
        <f t="shared" si="1"/>
        <v>76590</v>
      </c>
      <c r="H8806" s="49">
        <f t="shared" si="2"/>
        <v>76173</v>
      </c>
    </row>
    <row r="8807">
      <c r="A8807" s="48" t="s">
        <v>4181</v>
      </c>
      <c r="B8807" s="38">
        <v>89412.0</v>
      </c>
      <c r="C8807" s="38" t="s">
        <v>12570</v>
      </c>
      <c r="D8807" s="38" t="str">
        <f>IFERROR(__xludf.DUMMYFUNCTION("REGEXREPLACE(C8807,""-\d+(.*)|--\d+(.*)"","""")"),"THIZY")</f>
        <v>THIZY</v>
      </c>
      <c r="E8807" s="38" t="s">
        <v>275</v>
      </c>
      <c r="F8807" s="38" t="s">
        <v>106</v>
      </c>
      <c r="G8807" s="49" t="str">
        <f t="shared" si="1"/>
        <v>89420</v>
      </c>
      <c r="H8807" s="49">
        <f t="shared" si="2"/>
        <v>89412</v>
      </c>
    </row>
    <row r="8808">
      <c r="A8808" s="48" t="s">
        <v>12571</v>
      </c>
      <c r="B8808" s="38">
        <v>57315.0</v>
      </c>
      <c r="C8808" s="38" t="s">
        <v>12572</v>
      </c>
      <c r="D8808" s="38" t="str">
        <f>IFERROR(__xludf.DUMMYFUNCTION("REGEXREPLACE(C8808,""-\d+(.*)|--\d+(.*)"","""")"),"HENRIDORFF")</f>
        <v>HENRIDORFF</v>
      </c>
      <c r="E8808" s="38" t="s">
        <v>303</v>
      </c>
      <c r="F8808" s="38" t="s">
        <v>195</v>
      </c>
      <c r="G8808" s="49" t="str">
        <f t="shared" si="1"/>
        <v>57820</v>
      </c>
      <c r="H8808" s="49">
        <f t="shared" si="2"/>
        <v>57315</v>
      </c>
    </row>
    <row r="8809">
      <c r="A8809" s="48" t="s">
        <v>12573</v>
      </c>
      <c r="B8809" s="38">
        <v>7295.0</v>
      </c>
      <c r="C8809" s="38" t="s">
        <v>12574</v>
      </c>
      <c r="D8809" s="38" t="str">
        <f>IFERROR(__xludf.DUMMYFUNCTION("REGEXREPLACE(C8809,""-\d+(.*)|--\d+(.*)"","""")"),"SAINT-SAUVEUR-DE-MONTAGUT")</f>
        <v>SAINT-SAUVEUR-DE-MONTAGUT</v>
      </c>
      <c r="E8809" s="38" t="s">
        <v>144</v>
      </c>
      <c r="F8809" s="38" t="s">
        <v>102</v>
      </c>
      <c r="G8809" s="49" t="str">
        <f t="shared" si="1"/>
        <v>07190</v>
      </c>
      <c r="H8809" s="49" t="str">
        <f t="shared" si="2"/>
        <v>07295</v>
      </c>
    </row>
    <row r="8810">
      <c r="A8810" s="48" t="s">
        <v>914</v>
      </c>
      <c r="B8810" s="38">
        <v>35294.0</v>
      </c>
      <c r="C8810" s="38" t="s">
        <v>7412</v>
      </c>
      <c r="D8810" s="38" t="str">
        <f>IFERROR(__xludf.DUMMYFUNCTION("REGEXREPLACE(C8810,""-\d+(.*)|--\d+(.*)"","""")"),"SAINTE-MARIE")</f>
        <v>SAINTE-MARIE</v>
      </c>
      <c r="E8810" s="38" t="s">
        <v>347</v>
      </c>
      <c r="F8810" s="38" t="s">
        <v>90</v>
      </c>
      <c r="G8810" s="49" t="str">
        <f t="shared" si="1"/>
        <v>35600</v>
      </c>
      <c r="H8810" s="49">
        <f t="shared" si="2"/>
        <v>35294</v>
      </c>
    </row>
    <row r="8811">
      <c r="A8811" s="48" t="s">
        <v>12575</v>
      </c>
      <c r="B8811" s="38">
        <v>73258.0</v>
      </c>
      <c r="C8811" s="38" t="s">
        <v>12576</v>
      </c>
      <c r="D8811" s="38" t="str">
        <f>IFERROR(__xludf.DUMMYFUNCTION("REGEXREPLACE(C8811,""-\d+(.*)|--\d+(.*)"","""")"),"SAINT-MARTIN-DE-LA-PORTE")</f>
        <v>SAINT-MARTIN-DE-LA-PORTE</v>
      </c>
      <c r="E8811" s="38" t="s">
        <v>306</v>
      </c>
      <c r="F8811" s="38" t="s">
        <v>102</v>
      </c>
      <c r="G8811" s="49" t="str">
        <f t="shared" si="1"/>
        <v>73140</v>
      </c>
      <c r="H8811" s="49">
        <f t="shared" si="2"/>
        <v>73258</v>
      </c>
    </row>
    <row r="8812">
      <c r="A8812" s="48" t="s">
        <v>1216</v>
      </c>
      <c r="B8812" s="38">
        <v>21327.0</v>
      </c>
      <c r="C8812" s="38" t="s">
        <v>12577</v>
      </c>
      <c r="D8812" s="38" t="str">
        <f>IFERROR(__xludf.DUMMYFUNCTION("REGEXREPLACE(C8812,""-\d+(.*)|--\d+(.*)"","""")"),"JOURS-EN-VAUX")</f>
        <v>JOURS-EN-VAUX</v>
      </c>
      <c r="E8812" s="38" t="s">
        <v>105</v>
      </c>
      <c r="F8812" s="38" t="s">
        <v>106</v>
      </c>
      <c r="G8812" s="49" t="str">
        <f t="shared" si="1"/>
        <v>21340</v>
      </c>
      <c r="H8812" s="49">
        <f t="shared" si="2"/>
        <v>21327</v>
      </c>
    </row>
    <row r="8813">
      <c r="A8813" s="48" t="s">
        <v>3046</v>
      </c>
      <c r="B8813" s="38">
        <v>70371.0</v>
      </c>
      <c r="C8813" s="38" t="s">
        <v>12578</v>
      </c>
      <c r="D8813" s="38" t="str">
        <f>IFERROR(__xludf.DUMMYFUNCTION("REGEXREPLACE(C8813,""-\d+(.*)|--\d+(.*)"","""")"),"MONTUREUX-ET-PRANTIGNY")</f>
        <v>MONTUREUX-ET-PRANTIGNY</v>
      </c>
      <c r="E8813" s="38" t="s">
        <v>956</v>
      </c>
      <c r="F8813" s="38" t="s">
        <v>214</v>
      </c>
      <c r="G8813" s="49" t="str">
        <f t="shared" si="1"/>
        <v>70100</v>
      </c>
      <c r="H8813" s="49">
        <f t="shared" si="2"/>
        <v>70371</v>
      </c>
    </row>
    <row r="8814">
      <c r="A8814" s="48" t="s">
        <v>4586</v>
      </c>
      <c r="B8814" s="38">
        <v>40128.0</v>
      </c>
      <c r="C8814" s="38" t="s">
        <v>12579</v>
      </c>
      <c r="D8814" s="38" t="str">
        <f>IFERROR(__xludf.DUMMYFUNCTION("REGEXREPLACE(C8814,""-\d+(.*)|--\d+(.*)"","""")"),"HORSARRIEU")</f>
        <v>HORSARRIEU</v>
      </c>
      <c r="E8814" s="38" t="s">
        <v>281</v>
      </c>
      <c r="F8814" s="38" t="s">
        <v>252</v>
      </c>
      <c r="G8814" s="49" t="str">
        <f t="shared" si="1"/>
        <v>40700</v>
      </c>
      <c r="H8814" s="49">
        <f t="shared" si="2"/>
        <v>40128</v>
      </c>
    </row>
    <row r="8815">
      <c r="A8815" s="48" t="s">
        <v>7399</v>
      </c>
      <c r="B8815" s="38">
        <v>28010.0</v>
      </c>
      <c r="C8815" s="38" t="s">
        <v>12580</v>
      </c>
      <c r="D8815" s="38" t="str">
        <f>IFERROR(__xludf.DUMMYFUNCTION("REGEXREPLACE(C8815,""-\d+(.*)|--\d+(.*)"","""")"),"ARGENVILLIERS")</f>
        <v>ARGENVILLIERS</v>
      </c>
      <c r="E8815" s="38" t="s">
        <v>300</v>
      </c>
      <c r="F8815" s="38" t="s">
        <v>123</v>
      </c>
      <c r="G8815" s="49" t="str">
        <f t="shared" si="1"/>
        <v>28480</v>
      </c>
      <c r="H8815" s="49">
        <f t="shared" si="2"/>
        <v>28010</v>
      </c>
    </row>
    <row r="8816">
      <c r="A8816" s="48" t="s">
        <v>1572</v>
      </c>
      <c r="B8816" s="38">
        <v>32448.0</v>
      </c>
      <c r="C8816" s="38" t="s">
        <v>12581</v>
      </c>
      <c r="D8816" s="38" t="str">
        <f>IFERROR(__xludf.DUMMYFUNCTION("REGEXREPLACE(C8816,""-\d+(.*)|--\d+(.*)"","""")"),"TOUGET")</f>
        <v>TOUGET</v>
      </c>
      <c r="E8816" s="38" t="s">
        <v>440</v>
      </c>
      <c r="F8816" s="38" t="s">
        <v>94</v>
      </c>
      <c r="G8816" s="49" t="str">
        <f t="shared" si="1"/>
        <v>32430</v>
      </c>
      <c r="H8816" s="49">
        <f t="shared" si="2"/>
        <v>32448</v>
      </c>
    </row>
    <row r="8817">
      <c r="A8817" s="48" t="s">
        <v>12254</v>
      </c>
      <c r="B8817" s="38">
        <v>29267.0</v>
      </c>
      <c r="C8817" s="38" t="s">
        <v>12582</v>
      </c>
      <c r="D8817" s="38" t="str">
        <f>IFERROR(__xludf.DUMMYFUNCTION("REGEXREPLACE(C8817,""-\d+(.*)|--\d+(.*)"","""")"),"SAINT-THOIS")</f>
        <v>SAINT-THOIS</v>
      </c>
      <c r="E8817" s="38" t="s">
        <v>176</v>
      </c>
      <c r="F8817" s="38" t="s">
        <v>90</v>
      </c>
      <c r="G8817" s="49" t="str">
        <f t="shared" si="1"/>
        <v>29520</v>
      </c>
      <c r="H8817" s="49">
        <f t="shared" si="2"/>
        <v>29267</v>
      </c>
    </row>
    <row r="8818">
      <c r="A8818" s="48" t="s">
        <v>1874</v>
      </c>
      <c r="B8818" s="38">
        <v>73084.0</v>
      </c>
      <c r="C8818" s="38" t="s">
        <v>12583</v>
      </c>
      <c r="D8818" s="38" t="str">
        <f>IFERROR(__xludf.DUMMYFUNCTION("REGEXREPLACE(C8818,""-\d+(.*)|--\d+(.*)"","""")"),"CHIGNIN")</f>
        <v>CHIGNIN</v>
      </c>
      <c r="E8818" s="38" t="s">
        <v>306</v>
      </c>
      <c r="F8818" s="38" t="s">
        <v>102</v>
      </c>
      <c r="G8818" s="49" t="str">
        <f t="shared" si="1"/>
        <v>73800</v>
      </c>
      <c r="H8818" s="49">
        <f t="shared" si="2"/>
        <v>73084</v>
      </c>
    </row>
    <row r="8819">
      <c r="A8819" s="48" t="s">
        <v>4973</v>
      </c>
      <c r="B8819" s="38">
        <v>58048.0</v>
      </c>
      <c r="C8819" s="38" t="s">
        <v>12584</v>
      </c>
      <c r="D8819" s="38" t="str">
        <f>IFERROR(__xludf.DUMMYFUNCTION("REGEXREPLACE(C8819,""-\d+(.*)|--\d+(.*)"","""")"),"CESSY-LES-BOIS")</f>
        <v>CESSY-LES-BOIS</v>
      </c>
      <c r="E8819" s="38" t="s">
        <v>219</v>
      </c>
      <c r="F8819" s="38" t="s">
        <v>106</v>
      </c>
      <c r="G8819" s="49" t="str">
        <f t="shared" si="1"/>
        <v>58220</v>
      </c>
      <c r="H8819" s="49">
        <f t="shared" si="2"/>
        <v>58048</v>
      </c>
    </row>
    <row r="8820">
      <c r="A8820" s="48" t="s">
        <v>4506</v>
      </c>
      <c r="B8820" s="38">
        <v>7007.0</v>
      </c>
      <c r="C8820" s="38" t="s">
        <v>12585</v>
      </c>
      <c r="D8820" s="38" t="str">
        <f>IFERROR(__xludf.DUMMYFUNCTION("REGEXREPLACE(C8820,""-\d+(.*)|--\d+(.*)"","""")"),"ALBOUSSIERE")</f>
        <v>ALBOUSSIERE</v>
      </c>
      <c r="E8820" s="38" t="s">
        <v>144</v>
      </c>
      <c r="F8820" s="38" t="s">
        <v>102</v>
      </c>
      <c r="G8820" s="49" t="str">
        <f t="shared" si="1"/>
        <v>07440</v>
      </c>
      <c r="H8820" s="49" t="str">
        <f t="shared" si="2"/>
        <v>07007</v>
      </c>
    </row>
    <row r="8821">
      <c r="A8821" s="48" t="s">
        <v>4934</v>
      </c>
      <c r="B8821" s="38">
        <v>44009.0</v>
      </c>
      <c r="C8821" s="38" t="s">
        <v>12586</v>
      </c>
      <c r="D8821" s="38" t="str">
        <f>IFERROR(__xludf.DUMMYFUNCTION("REGEXREPLACE(C8821,""-\d+(.*)|--\d+(.*)"","""")"),"BASSE-GOULAINE")</f>
        <v>BASSE-GOULAINE</v>
      </c>
      <c r="E8821" s="38" t="s">
        <v>759</v>
      </c>
      <c r="F8821" s="38" t="s">
        <v>180</v>
      </c>
      <c r="G8821" s="49" t="str">
        <f t="shared" si="1"/>
        <v>44115</v>
      </c>
      <c r="H8821" s="49">
        <f t="shared" si="2"/>
        <v>44009</v>
      </c>
    </row>
    <row r="8822">
      <c r="A8822" s="48" t="s">
        <v>7237</v>
      </c>
      <c r="B8822" s="38">
        <v>17284.0</v>
      </c>
      <c r="C8822" s="38" t="s">
        <v>12587</v>
      </c>
      <c r="D8822" s="38" t="str">
        <f>IFERROR(__xludf.DUMMYFUNCTION("REGEXREPLACE(C8822,""-\d+(.*)|--\d+(.*)"","""")"),"PONT-L'ABBE-D'ARNOULT")</f>
        <v>PONT-L'ABBE-D'ARNOULT</v>
      </c>
      <c r="E8822" s="38" t="s">
        <v>488</v>
      </c>
      <c r="F8822" s="38" t="s">
        <v>338</v>
      </c>
      <c r="G8822" s="49" t="str">
        <f t="shared" si="1"/>
        <v>17250</v>
      </c>
      <c r="H8822" s="49">
        <f t="shared" si="2"/>
        <v>17284</v>
      </c>
    </row>
    <row r="8823">
      <c r="A8823" s="48" t="s">
        <v>162</v>
      </c>
      <c r="B8823" s="38">
        <v>31436.0</v>
      </c>
      <c r="C8823" s="38" t="s">
        <v>12588</v>
      </c>
      <c r="D8823" s="38" t="str">
        <f>IFERROR(__xludf.DUMMYFUNCTION("REGEXREPLACE(C8823,""-\d+(.*)|--\d+(.*)"","""")"),"POUY-DE-TOUGES")</f>
        <v>POUY-DE-TOUGES</v>
      </c>
      <c r="E8823" s="38" t="s">
        <v>93</v>
      </c>
      <c r="F8823" s="38" t="s">
        <v>94</v>
      </c>
      <c r="G8823" s="49" t="str">
        <f t="shared" si="1"/>
        <v>31430</v>
      </c>
      <c r="H8823" s="49">
        <f t="shared" si="2"/>
        <v>31436</v>
      </c>
    </row>
    <row r="8824">
      <c r="A8824" s="48" t="s">
        <v>12589</v>
      </c>
      <c r="B8824" s="38">
        <v>1094.0</v>
      </c>
      <c r="C8824" s="38" t="s">
        <v>12590</v>
      </c>
      <c r="D8824" s="38" t="str">
        <f>IFERROR(__xludf.DUMMYFUNCTION("REGEXREPLACE(C8824,""-\d+(.*)|--\d+(.*)"","""")"),"CHAVANNES-SUR-REYSSOUZE")</f>
        <v>CHAVANNES-SUR-REYSSOUZE</v>
      </c>
      <c r="E8824" s="38" t="s">
        <v>255</v>
      </c>
      <c r="F8824" s="38" t="s">
        <v>102</v>
      </c>
      <c r="G8824" s="49" t="str">
        <f t="shared" si="1"/>
        <v>01190</v>
      </c>
      <c r="H8824" s="49" t="str">
        <f t="shared" si="2"/>
        <v>01094</v>
      </c>
    </row>
    <row r="8825">
      <c r="A8825" s="48" t="s">
        <v>1681</v>
      </c>
      <c r="B8825" s="38">
        <v>80625.0</v>
      </c>
      <c r="C8825" s="38" t="s">
        <v>12591</v>
      </c>
      <c r="D8825" s="38" t="str">
        <f>IFERROR(__xludf.DUMMYFUNCTION("REGEXREPLACE(C8825,""-\d+(.*)|--\d+(.*)"","""")"),"PIERREPONT-SUR-AVRE")</f>
        <v>PIERREPONT-SUR-AVRE</v>
      </c>
      <c r="E8825" s="38" t="s">
        <v>224</v>
      </c>
      <c r="F8825" s="38" t="s">
        <v>113</v>
      </c>
      <c r="G8825" s="49" t="str">
        <f t="shared" si="1"/>
        <v>80500</v>
      </c>
      <c r="H8825" s="49">
        <f t="shared" si="2"/>
        <v>80625</v>
      </c>
    </row>
    <row r="8826">
      <c r="A8826" s="48" t="s">
        <v>2419</v>
      </c>
      <c r="B8826" s="38">
        <v>58183.0</v>
      </c>
      <c r="C8826" s="38" t="s">
        <v>12592</v>
      </c>
      <c r="D8826" s="38" t="str">
        <f>IFERROR(__xludf.DUMMYFUNCTION("REGEXREPLACE(C8826,""-\d+(.*)|--\d+(.*)"","""")"),"MOURON-SUR-YONNE")</f>
        <v>MOURON-SUR-YONNE</v>
      </c>
      <c r="E8826" s="38" t="s">
        <v>219</v>
      </c>
      <c r="F8826" s="38" t="s">
        <v>106</v>
      </c>
      <c r="G8826" s="49" t="str">
        <f t="shared" si="1"/>
        <v>58800</v>
      </c>
      <c r="H8826" s="49">
        <f t="shared" si="2"/>
        <v>58183</v>
      </c>
    </row>
    <row r="8827">
      <c r="A8827" s="48" t="s">
        <v>10148</v>
      </c>
      <c r="B8827" s="38">
        <v>59370.0</v>
      </c>
      <c r="C8827" s="38" t="s">
        <v>12593</v>
      </c>
      <c r="D8827" s="38" t="str">
        <f>IFERROR(__xludf.DUMMYFUNCTION("REGEXREPLACE(C8827,""-\d+(.*)|--\d+(.*)"","""")"),"MAIRIEUX")</f>
        <v>MAIRIEUX</v>
      </c>
      <c r="E8827" s="38" t="s">
        <v>85</v>
      </c>
      <c r="F8827" s="38" t="s">
        <v>86</v>
      </c>
      <c r="G8827" s="49" t="str">
        <f t="shared" si="1"/>
        <v>59600</v>
      </c>
      <c r="H8827" s="49">
        <f t="shared" si="2"/>
        <v>59370</v>
      </c>
    </row>
    <row r="8828">
      <c r="A8828" s="48" t="s">
        <v>7596</v>
      </c>
      <c r="B8828" s="38">
        <v>12084.0</v>
      </c>
      <c r="C8828" s="38" t="s">
        <v>12594</v>
      </c>
      <c r="D8828" s="38" t="str">
        <f>IFERROR(__xludf.DUMMYFUNCTION("REGEXREPLACE(C8828,""-\d+(.*)|--\d+(.*)"","""")"),"CREISSELS")</f>
        <v>CREISSELS</v>
      </c>
      <c r="E8828" s="38" t="s">
        <v>465</v>
      </c>
      <c r="F8828" s="38" t="s">
        <v>94</v>
      </c>
      <c r="G8828" s="49" t="str">
        <f t="shared" si="1"/>
        <v>12100</v>
      </c>
      <c r="H8828" s="49">
        <f t="shared" si="2"/>
        <v>12084</v>
      </c>
    </row>
    <row r="8829">
      <c r="A8829" s="48" t="s">
        <v>1435</v>
      </c>
      <c r="B8829" s="38">
        <v>14500.0</v>
      </c>
      <c r="C8829" s="38" t="s">
        <v>12595</v>
      </c>
      <c r="D8829" s="38" t="str">
        <f>IFERROR(__xludf.DUMMYFUNCTION("REGEXREPLACE(C8829,""-\d+(.*)|--\d+(.*)"","""")"),"PIERREFITTE-EN-AUGE")</f>
        <v>PIERREFITTE-EN-AUGE</v>
      </c>
      <c r="E8829" s="38" t="s">
        <v>137</v>
      </c>
      <c r="F8829" s="38" t="s">
        <v>138</v>
      </c>
      <c r="G8829" s="49" t="str">
        <f t="shared" si="1"/>
        <v>14130</v>
      </c>
      <c r="H8829" s="49">
        <f t="shared" si="2"/>
        <v>14500</v>
      </c>
    </row>
    <row r="8830">
      <c r="A8830" s="48" t="s">
        <v>4178</v>
      </c>
      <c r="B8830" s="38">
        <v>25234.0</v>
      </c>
      <c r="C8830" s="38" t="s">
        <v>12596</v>
      </c>
      <c r="D8830" s="38" t="str">
        <f>IFERROR(__xludf.DUMMYFUNCTION("REGEXREPLACE(C8830,""-\d+(.*)|--\d+(.*)"","""")"),"FERRIERES-LE-LAC")</f>
        <v>FERRIERES-LE-LAC</v>
      </c>
      <c r="E8830" s="38" t="s">
        <v>213</v>
      </c>
      <c r="F8830" s="38" t="s">
        <v>214</v>
      </c>
      <c r="G8830" s="49" t="str">
        <f t="shared" si="1"/>
        <v>25470</v>
      </c>
      <c r="H8830" s="49">
        <f t="shared" si="2"/>
        <v>25234</v>
      </c>
    </row>
    <row r="8831">
      <c r="A8831" s="48" t="s">
        <v>1341</v>
      </c>
      <c r="B8831" s="38">
        <v>14288.0</v>
      </c>
      <c r="C8831" s="38" t="s">
        <v>12597</v>
      </c>
      <c r="D8831" s="38" t="str">
        <f>IFERROR(__xludf.DUMMYFUNCTION("REGEXREPLACE(C8831,""-\d+(.*)|--\d+(.*)"","""")"),"LE FRESNE-CAMILLY")</f>
        <v>LE FRESNE-CAMILLY</v>
      </c>
      <c r="E8831" s="38" t="s">
        <v>137</v>
      </c>
      <c r="F8831" s="38" t="s">
        <v>138</v>
      </c>
      <c r="G8831" s="49" t="str">
        <f t="shared" si="1"/>
        <v>14480</v>
      </c>
      <c r="H8831" s="49">
        <f t="shared" si="2"/>
        <v>14288</v>
      </c>
    </row>
    <row r="8832">
      <c r="A8832" s="48" t="s">
        <v>5608</v>
      </c>
      <c r="B8832" s="38">
        <v>57442.0</v>
      </c>
      <c r="C8832" s="38" t="s">
        <v>12598</v>
      </c>
      <c r="D8832" s="38" t="str">
        <f>IFERROR(__xludf.DUMMYFUNCTION("REGEXREPLACE(C8832,""-\d+(.*)|--\d+(.*)"","""")"),"MANY")</f>
        <v>MANY</v>
      </c>
      <c r="E8832" s="38" t="s">
        <v>303</v>
      </c>
      <c r="F8832" s="38" t="s">
        <v>195</v>
      </c>
      <c r="G8832" s="49" t="str">
        <f t="shared" si="1"/>
        <v>57380</v>
      </c>
      <c r="H8832" s="49">
        <f t="shared" si="2"/>
        <v>57442</v>
      </c>
    </row>
    <row r="8833">
      <c r="A8833" s="48" t="s">
        <v>1997</v>
      </c>
      <c r="B8833" s="38">
        <v>21094.0</v>
      </c>
      <c r="C8833" s="38" t="s">
        <v>12599</v>
      </c>
      <c r="D8833" s="38" t="str">
        <f>IFERROR(__xludf.DUMMYFUNCTION("REGEXREPLACE(C8833,""-\d+(.*)|--\d+(.*)"","""")"),"BOURBERAIN")</f>
        <v>BOURBERAIN</v>
      </c>
      <c r="E8833" s="38" t="s">
        <v>105</v>
      </c>
      <c r="F8833" s="38" t="s">
        <v>106</v>
      </c>
      <c r="G8833" s="49" t="str">
        <f t="shared" si="1"/>
        <v>21610</v>
      </c>
      <c r="H8833" s="49">
        <f t="shared" si="2"/>
        <v>21094</v>
      </c>
    </row>
    <row r="8834">
      <c r="A8834" s="48" t="s">
        <v>2705</v>
      </c>
      <c r="B8834" s="38">
        <v>77001.0</v>
      </c>
      <c r="C8834" s="38" t="s">
        <v>12600</v>
      </c>
      <c r="D8834" s="38" t="str">
        <f>IFERROR(__xludf.DUMMYFUNCTION("REGEXREPLACE(C8834,""-\d+(.*)|--\d+(.*)"","""")"),"ACHERES-LA-FORET")</f>
        <v>ACHERES-LA-FORET</v>
      </c>
      <c r="E8834" s="38" t="s">
        <v>244</v>
      </c>
      <c r="F8834" s="38" t="s">
        <v>245</v>
      </c>
      <c r="G8834" s="49" t="str">
        <f t="shared" si="1"/>
        <v>77760</v>
      </c>
      <c r="H8834" s="49">
        <f t="shared" si="2"/>
        <v>77001</v>
      </c>
    </row>
    <row r="8835">
      <c r="A8835" s="48" t="s">
        <v>1487</v>
      </c>
      <c r="B8835" s="38">
        <v>37048.0</v>
      </c>
      <c r="C8835" s="38" t="s">
        <v>12601</v>
      </c>
      <c r="D8835" s="38" t="str">
        <f>IFERROR(__xludf.DUMMYFUNCTION("REGEXREPLACE(C8835,""-\d+(.*)|--\d+(.*)"","""")"),"CHAMBON")</f>
        <v>CHAMBON</v>
      </c>
      <c r="E8835" s="38" t="s">
        <v>205</v>
      </c>
      <c r="F8835" s="38" t="s">
        <v>123</v>
      </c>
      <c r="G8835" s="49" t="str">
        <f t="shared" si="1"/>
        <v>37290</v>
      </c>
      <c r="H8835" s="49">
        <f t="shared" si="2"/>
        <v>37048</v>
      </c>
    </row>
    <row r="8836">
      <c r="A8836" s="48" t="s">
        <v>183</v>
      </c>
      <c r="B8836" s="38">
        <v>46169.0</v>
      </c>
      <c r="C8836" s="38" t="s">
        <v>12602</v>
      </c>
      <c r="D8836" s="38" t="str">
        <f>IFERROR(__xludf.DUMMYFUNCTION("REGEXREPLACE(C8836,""-\d+(.*)|--\d+(.*)"","""")"),"LEOBARD")</f>
        <v>LEOBARD</v>
      </c>
      <c r="E8836" s="38" t="s">
        <v>185</v>
      </c>
      <c r="F8836" s="38" t="s">
        <v>94</v>
      </c>
      <c r="G8836" s="49" t="str">
        <f t="shared" si="1"/>
        <v>46300</v>
      </c>
      <c r="H8836" s="49">
        <f t="shared" si="2"/>
        <v>46169</v>
      </c>
    </row>
    <row r="8837">
      <c r="A8837" s="48" t="s">
        <v>1358</v>
      </c>
      <c r="B8837" s="38">
        <v>81222.0</v>
      </c>
      <c r="C8837" s="38" t="s">
        <v>12603</v>
      </c>
      <c r="D8837" s="38" t="str">
        <f>IFERROR(__xludf.DUMMYFUNCTION("REGEXREPLACE(C8837,""-\d+(.*)|--\d+(.*)"","""")"),"REALMONT")</f>
        <v>REALMONT</v>
      </c>
      <c r="E8837" s="38" t="s">
        <v>231</v>
      </c>
      <c r="F8837" s="38" t="s">
        <v>94</v>
      </c>
      <c r="G8837" s="49" t="str">
        <f t="shared" si="1"/>
        <v>81120</v>
      </c>
      <c r="H8837" s="49">
        <f t="shared" si="2"/>
        <v>81222</v>
      </c>
    </row>
    <row r="8838">
      <c r="A8838" s="48" t="s">
        <v>5286</v>
      </c>
      <c r="B8838" s="38">
        <v>71490.0</v>
      </c>
      <c r="C8838" s="38" t="s">
        <v>12604</v>
      </c>
      <c r="D8838" s="38" t="str">
        <f>IFERROR(__xludf.DUMMYFUNCTION("REGEXREPLACE(C8838,""-\d+(.*)|--\d+(.*)"","""")"),"SAINT-VINCENT-BRAGNY")</f>
        <v>SAINT-VINCENT-BRAGNY</v>
      </c>
      <c r="E8838" s="38" t="s">
        <v>344</v>
      </c>
      <c r="F8838" s="38" t="s">
        <v>106</v>
      </c>
      <c r="G8838" s="49" t="str">
        <f t="shared" si="1"/>
        <v>71430</v>
      </c>
      <c r="H8838" s="49">
        <f t="shared" si="2"/>
        <v>71490</v>
      </c>
    </row>
    <row r="8839">
      <c r="A8839" s="48" t="s">
        <v>11009</v>
      </c>
      <c r="B8839" s="38">
        <v>33134.0</v>
      </c>
      <c r="C8839" s="38" t="s">
        <v>12605</v>
      </c>
      <c r="D8839" s="38" t="str">
        <f>IFERROR(__xludf.DUMMYFUNCTION("REGEXREPLACE(C8839,""-\d+(.*)|--\d+(.*)"","""")"),"COUQUEQUES")</f>
        <v>COUQUEQUES</v>
      </c>
      <c r="E8839" s="38" t="s">
        <v>462</v>
      </c>
      <c r="F8839" s="38" t="s">
        <v>252</v>
      </c>
      <c r="G8839" s="49" t="str">
        <f t="shared" si="1"/>
        <v>33340</v>
      </c>
      <c r="H8839" s="49">
        <f t="shared" si="2"/>
        <v>33134</v>
      </c>
    </row>
    <row r="8840">
      <c r="A8840" s="48" t="s">
        <v>203</v>
      </c>
      <c r="B8840" s="38">
        <v>37281.0</v>
      </c>
      <c r="C8840" s="38" t="s">
        <v>12606</v>
      </c>
      <c r="D8840" s="38" t="str">
        <f>IFERROR(__xludf.DUMMYFUNCTION("REGEXREPLACE(C8840,""-\d+(.*)|--\d+(.*)"","""")"),"VOUVRAY")</f>
        <v>VOUVRAY</v>
      </c>
      <c r="E8840" s="38" t="s">
        <v>205</v>
      </c>
      <c r="F8840" s="38" t="s">
        <v>123</v>
      </c>
      <c r="G8840" s="49" t="str">
        <f t="shared" si="1"/>
        <v>37210</v>
      </c>
      <c r="H8840" s="49">
        <f t="shared" si="2"/>
        <v>37281</v>
      </c>
    </row>
    <row r="8841">
      <c r="A8841" s="48" t="s">
        <v>1089</v>
      </c>
      <c r="B8841" s="38">
        <v>67029.0</v>
      </c>
      <c r="C8841" s="38" t="s">
        <v>12607</v>
      </c>
      <c r="D8841" s="38" t="str">
        <f>IFERROR(__xludf.DUMMYFUNCTION("REGEXREPLACE(C8841,""-\d+(.*)|--\d+(.*)"","""")"),"BERG")</f>
        <v>BERG</v>
      </c>
      <c r="E8841" s="38" t="s">
        <v>210</v>
      </c>
      <c r="F8841" s="38" t="s">
        <v>151</v>
      </c>
      <c r="G8841" s="49" t="str">
        <f t="shared" si="1"/>
        <v>67320</v>
      </c>
      <c r="H8841" s="49">
        <f t="shared" si="2"/>
        <v>67029</v>
      </c>
    </row>
    <row r="8842">
      <c r="A8842" s="48" t="s">
        <v>630</v>
      </c>
      <c r="B8842" s="38">
        <v>15248.0</v>
      </c>
      <c r="C8842" s="38" t="s">
        <v>12608</v>
      </c>
      <c r="D8842" s="38" t="str">
        <f>IFERROR(__xludf.DUMMYFUNCTION("REGEXREPLACE(C8842,""-\d+(.*)|--\d+(.*)"","""")"),"VALUEJOLS")</f>
        <v>VALUEJOLS</v>
      </c>
      <c r="E8842" s="38" t="s">
        <v>632</v>
      </c>
      <c r="F8842" s="38" t="s">
        <v>161</v>
      </c>
      <c r="G8842" s="49" t="str">
        <f t="shared" si="1"/>
        <v>15300</v>
      </c>
      <c r="H8842" s="49">
        <f t="shared" si="2"/>
        <v>15248</v>
      </c>
    </row>
    <row r="8843">
      <c r="A8843" s="48" t="s">
        <v>2237</v>
      </c>
      <c r="B8843" s="38">
        <v>45126.0</v>
      </c>
      <c r="C8843" s="38" t="s">
        <v>12609</v>
      </c>
      <c r="D8843" s="38" t="str">
        <f>IFERROR(__xludf.DUMMYFUNCTION("REGEXREPLACE(C8843,""-\d+(.*)|--\d+(.*)"","""")"),"DONNERY")</f>
        <v>DONNERY</v>
      </c>
      <c r="E8843" s="38" t="s">
        <v>122</v>
      </c>
      <c r="F8843" s="38" t="s">
        <v>123</v>
      </c>
      <c r="G8843" s="49" t="str">
        <f t="shared" si="1"/>
        <v>45450</v>
      </c>
      <c r="H8843" s="49">
        <f t="shared" si="2"/>
        <v>45126</v>
      </c>
    </row>
    <row r="8844">
      <c r="A8844" s="48" t="s">
        <v>12610</v>
      </c>
      <c r="B8844" s="38">
        <v>62852.0</v>
      </c>
      <c r="C8844" s="38" t="s">
        <v>12611</v>
      </c>
      <c r="D8844" s="38" t="str">
        <f>IFERROR(__xludf.DUMMYFUNCTION("REGEXREPLACE(C8844,""-\d+(.*)|--\d+(.*)"","""")"),"VIEILLE-EGLISE")</f>
        <v>VIEILLE-EGLISE</v>
      </c>
      <c r="E8844" s="38" t="s">
        <v>109</v>
      </c>
      <c r="F8844" s="38" t="s">
        <v>86</v>
      </c>
      <c r="G8844" s="49" t="str">
        <f t="shared" si="1"/>
        <v>62162</v>
      </c>
      <c r="H8844" s="49">
        <f t="shared" si="2"/>
        <v>62852</v>
      </c>
    </row>
    <row r="8845">
      <c r="A8845" s="48" t="s">
        <v>6266</v>
      </c>
      <c r="B8845" s="38">
        <v>76020.0</v>
      </c>
      <c r="C8845" s="38" t="s">
        <v>12612</v>
      </c>
      <c r="D8845" s="38" t="str">
        <f>IFERROR(__xludf.DUMMYFUNCTION("REGEXREPLACE(C8845,""-\d+(.*)|--\d+(.*)"","""")"),"ANNEVILLE-AMBOURVILLE")</f>
        <v>ANNEVILLE-AMBOURVILLE</v>
      </c>
      <c r="E8845" s="38" t="s">
        <v>133</v>
      </c>
      <c r="F8845" s="38" t="s">
        <v>134</v>
      </c>
      <c r="G8845" s="49" t="str">
        <f t="shared" si="1"/>
        <v>76480</v>
      </c>
      <c r="H8845" s="49">
        <f t="shared" si="2"/>
        <v>76020</v>
      </c>
    </row>
    <row r="8846">
      <c r="A8846" s="48" t="s">
        <v>1991</v>
      </c>
      <c r="B8846" s="38">
        <v>54416.0</v>
      </c>
      <c r="C8846" s="38" t="s">
        <v>1292</v>
      </c>
      <c r="D8846" s="38" t="str">
        <f>IFERROR(__xludf.DUMMYFUNCTION("REGEXREPLACE(C8846,""-\d+(.*)|--\d+(.*)"","""")"),"PANNES")</f>
        <v>PANNES</v>
      </c>
      <c r="E8846" s="38" t="s">
        <v>548</v>
      </c>
      <c r="F8846" s="38" t="s">
        <v>195</v>
      </c>
      <c r="G8846" s="49" t="str">
        <f t="shared" si="1"/>
        <v>54470</v>
      </c>
      <c r="H8846" s="49">
        <f t="shared" si="2"/>
        <v>54416</v>
      </c>
    </row>
    <row r="8847">
      <c r="A8847" s="48" t="s">
        <v>883</v>
      </c>
      <c r="B8847" s="38">
        <v>71341.0</v>
      </c>
      <c r="C8847" s="38" t="s">
        <v>12613</v>
      </c>
      <c r="D8847" s="38" t="str">
        <f>IFERROR(__xludf.DUMMYFUNCTION("REGEXREPLACE(C8847,""-\d+(.*)|--\d+(.*)"","""")"),"PALLEAU")</f>
        <v>PALLEAU</v>
      </c>
      <c r="E8847" s="38" t="s">
        <v>344</v>
      </c>
      <c r="F8847" s="38" t="s">
        <v>106</v>
      </c>
      <c r="G8847" s="49" t="str">
        <f t="shared" si="1"/>
        <v>71350</v>
      </c>
      <c r="H8847" s="49">
        <f t="shared" si="2"/>
        <v>71341</v>
      </c>
    </row>
    <row r="8848">
      <c r="A8848" s="48" t="s">
        <v>12614</v>
      </c>
      <c r="B8848" s="38">
        <v>56036.0</v>
      </c>
      <c r="C8848" s="38" t="s">
        <v>12615</v>
      </c>
      <c r="D8848" s="38" t="str">
        <f>IFERROR(__xludf.DUMMYFUNCTION("REGEXREPLACE(C8848,""-\d+(.*)|--\d+(.*)"","""")"),"CAUDAN")</f>
        <v>CAUDAN</v>
      </c>
      <c r="E8848" s="38" t="s">
        <v>173</v>
      </c>
      <c r="F8848" s="38" t="s">
        <v>90</v>
      </c>
      <c r="G8848" s="49" t="str">
        <f t="shared" si="1"/>
        <v>56850</v>
      </c>
      <c r="H8848" s="49">
        <f t="shared" si="2"/>
        <v>56036</v>
      </c>
    </row>
    <row r="8849">
      <c r="A8849" s="48" t="s">
        <v>8120</v>
      </c>
      <c r="B8849" s="38">
        <v>61027.0</v>
      </c>
      <c r="C8849" s="38" t="s">
        <v>12616</v>
      </c>
      <c r="D8849" s="38" t="str">
        <f>IFERROR(__xludf.DUMMYFUNCTION("REGEXREPLACE(C8849,""-\d+(.*)|--\d+(.*)"","""")"),"BATILLY")</f>
        <v>BATILLY</v>
      </c>
      <c r="E8849" s="38" t="s">
        <v>141</v>
      </c>
      <c r="F8849" s="38" t="s">
        <v>138</v>
      </c>
      <c r="G8849" s="49" t="str">
        <f t="shared" si="1"/>
        <v>61150</v>
      </c>
      <c r="H8849" s="49">
        <f t="shared" si="2"/>
        <v>61027</v>
      </c>
    </row>
    <row r="8850">
      <c r="A8850" s="48" t="s">
        <v>12617</v>
      </c>
      <c r="B8850" s="38">
        <v>68298.0</v>
      </c>
      <c r="C8850" s="38" t="s">
        <v>12618</v>
      </c>
      <c r="D8850" s="38" t="str">
        <f>IFERROR(__xludf.DUMMYFUNCTION("REGEXREPLACE(C8850,""-\d+(.*)|--\d+(.*)"","""")"),"SAINTE-MARIE-AUX-MINES")</f>
        <v>SAINTE-MARIE-AUX-MINES</v>
      </c>
      <c r="E8850" s="38" t="s">
        <v>150</v>
      </c>
      <c r="F8850" s="38" t="s">
        <v>151</v>
      </c>
      <c r="G8850" s="49" t="str">
        <f t="shared" si="1"/>
        <v>68160</v>
      </c>
      <c r="H8850" s="49">
        <f t="shared" si="2"/>
        <v>68298</v>
      </c>
    </row>
    <row r="8851">
      <c r="A8851" s="48" t="s">
        <v>12619</v>
      </c>
      <c r="B8851" s="38">
        <v>24071.0</v>
      </c>
      <c r="C8851" s="38" t="s">
        <v>12620</v>
      </c>
      <c r="D8851" s="38" t="str">
        <f>IFERROR(__xludf.DUMMYFUNCTION("REGEXREPLACE(C8851,""-\d+(.*)|--\d+(.*)"","""")"),"BUSSIERE-BADIL")</f>
        <v>BUSSIERE-BADIL</v>
      </c>
      <c r="E8851" s="38" t="s">
        <v>261</v>
      </c>
      <c r="F8851" s="38" t="s">
        <v>252</v>
      </c>
      <c r="G8851" s="49" t="str">
        <f t="shared" si="1"/>
        <v>24360</v>
      </c>
      <c r="H8851" s="49">
        <f t="shared" si="2"/>
        <v>24071</v>
      </c>
    </row>
    <row r="8852">
      <c r="A8852" s="48" t="s">
        <v>5612</v>
      </c>
      <c r="B8852" s="38">
        <v>52102.0</v>
      </c>
      <c r="C8852" s="38" t="s">
        <v>12621</v>
      </c>
      <c r="D8852" s="38" t="str">
        <f>IFERROR(__xludf.DUMMYFUNCTION("REGEXREPLACE(C8852,""-\d+(.*)|--\d+(.*)"","""")"),"CHAMPIGNY-LES-LANGRES")</f>
        <v>CHAMPIGNY-LES-LANGRES</v>
      </c>
      <c r="E8852" s="38" t="s">
        <v>234</v>
      </c>
      <c r="F8852" s="38" t="s">
        <v>130</v>
      </c>
      <c r="G8852" s="49" t="str">
        <f t="shared" si="1"/>
        <v>52200</v>
      </c>
      <c r="H8852" s="49">
        <f t="shared" si="2"/>
        <v>52102</v>
      </c>
    </row>
    <row r="8853">
      <c r="A8853" s="48" t="s">
        <v>1400</v>
      </c>
      <c r="B8853" s="38">
        <v>21152.0</v>
      </c>
      <c r="C8853" s="38" t="s">
        <v>12622</v>
      </c>
      <c r="D8853" s="38" t="str">
        <f>IFERROR(__xludf.DUMMYFUNCTION("REGEXREPLACE(C8853,""-\d+(.*)|--\d+(.*)"","""")"),"CHATEAUNEUF")</f>
        <v>CHATEAUNEUF</v>
      </c>
      <c r="E8853" s="38" t="s">
        <v>105</v>
      </c>
      <c r="F8853" s="38" t="s">
        <v>106</v>
      </c>
      <c r="G8853" s="49" t="str">
        <f t="shared" si="1"/>
        <v>21320</v>
      </c>
      <c r="H8853" s="49">
        <f t="shared" si="2"/>
        <v>21152</v>
      </c>
    </row>
    <row r="8854">
      <c r="A8854" s="48" t="s">
        <v>8684</v>
      </c>
      <c r="B8854" s="38">
        <v>37137.0</v>
      </c>
      <c r="C8854" s="38" t="s">
        <v>12623</v>
      </c>
      <c r="D8854" s="38" t="str">
        <f>IFERROR(__xludf.DUMMYFUNCTION("REGEXREPLACE(C8854,""-\d+(.*)|--\d+(.*)"","""")"),"LUBLE")</f>
        <v>LUBLE</v>
      </c>
      <c r="E8854" s="38" t="s">
        <v>205</v>
      </c>
      <c r="F8854" s="38" t="s">
        <v>123</v>
      </c>
      <c r="G8854" s="49" t="str">
        <f t="shared" si="1"/>
        <v>37330</v>
      </c>
      <c r="H8854" s="49">
        <f t="shared" si="2"/>
        <v>37137</v>
      </c>
    </row>
    <row r="8855">
      <c r="A8855" s="48" t="s">
        <v>628</v>
      </c>
      <c r="B8855" s="38">
        <v>45104.0</v>
      </c>
      <c r="C8855" s="38" t="s">
        <v>12624</v>
      </c>
      <c r="D8855" s="38" t="str">
        <f>IFERROR(__xludf.DUMMYFUNCTION("REGEXREPLACE(C8855,""-\d+(.*)|--\d+(.*)"","""")"),"CORQUILLEROY")</f>
        <v>CORQUILLEROY</v>
      </c>
      <c r="E8855" s="38" t="s">
        <v>122</v>
      </c>
      <c r="F8855" s="38" t="s">
        <v>123</v>
      </c>
      <c r="G8855" s="49" t="str">
        <f t="shared" si="1"/>
        <v>45120</v>
      </c>
      <c r="H8855" s="49">
        <f t="shared" si="2"/>
        <v>45104</v>
      </c>
    </row>
    <row r="8856">
      <c r="A8856" s="48" t="s">
        <v>1896</v>
      </c>
      <c r="B8856" s="38">
        <v>51562.0</v>
      </c>
      <c r="C8856" s="38" t="s">
        <v>12625</v>
      </c>
      <c r="D8856" s="38" t="str">
        <f>IFERROR(__xludf.DUMMYFUNCTION("REGEXREPLACE(C8856,""-\d+(.*)|--\d+(.*)"","""")"),"TAISSY")</f>
        <v>TAISSY</v>
      </c>
      <c r="E8856" s="38" t="s">
        <v>129</v>
      </c>
      <c r="F8856" s="38" t="s">
        <v>130</v>
      </c>
      <c r="G8856" s="49" t="str">
        <f t="shared" si="1"/>
        <v>51500</v>
      </c>
      <c r="H8856" s="49">
        <f t="shared" si="2"/>
        <v>51562</v>
      </c>
    </row>
    <row r="8857">
      <c r="A8857" s="48" t="s">
        <v>12281</v>
      </c>
      <c r="B8857" s="38">
        <v>54159.0</v>
      </c>
      <c r="C8857" s="38" t="s">
        <v>12626</v>
      </c>
      <c r="D8857" s="38" t="str">
        <f>IFERROR(__xludf.DUMMYFUNCTION("REGEXREPLACE(C8857,""-\d+(.*)|--\d+(.*)"","""")"),"DOMBASLE-SUR-MEURTHE")</f>
        <v>DOMBASLE-SUR-MEURTHE</v>
      </c>
      <c r="E8857" s="38" t="s">
        <v>548</v>
      </c>
      <c r="F8857" s="38" t="s">
        <v>195</v>
      </c>
      <c r="G8857" s="49" t="str">
        <f t="shared" si="1"/>
        <v>54110</v>
      </c>
      <c r="H8857" s="49">
        <f t="shared" si="2"/>
        <v>54159</v>
      </c>
    </row>
    <row r="8858">
      <c r="A8858" s="48" t="s">
        <v>425</v>
      </c>
      <c r="B8858" s="38">
        <v>88152.0</v>
      </c>
      <c r="C8858" s="38" t="s">
        <v>1867</v>
      </c>
      <c r="D8858" s="38" t="str">
        <f>IFERROR(__xludf.DUMMYFUNCTION("REGEXREPLACE(C8858,""-\d+(.*)|--\d+(.*)"","""")"),"DOMPIERRE")</f>
        <v>DOMPIERRE</v>
      </c>
      <c r="E8858" s="38" t="s">
        <v>194</v>
      </c>
      <c r="F8858" s="38" t="s">
        <v>195</v>
      </c>
      <c r="G8858" s="49" t="str">
        <f t="shared" si="1"/>
        <v>88600</v>
      </c>
      <c r="H8858" s="49">
        <f t="shared" si="2"/>
        <v>88152</v>
      </c>
    </row>
    <row r="8859">
      <c r="A8859" s="48" t="s">
        <v>3196</v>
      </c>
      <c r="B8859" s="38">
        <v>1317.0</v>
      </c>
      <c r="C8859" s="38" t="s">
        <v>12627</v>
      </c>
      <c r="D8859" s="38" t="str">
        <f>IFERROR(__xludf.DUMMYFUNCTION("REGEXREPLACE(C8859,""-\d+(.*)|--\d+(.*)"","""")"),"RAMASSE")</f>
        <v>RAMASSE</v>
      </c>
      <c r="E8859" s="38" t="s">
        <v>255</v>
      </c>
      <c r="F8859" s="38" t="s">
        <v>102</v>
      </c>
      <c r="G8859" s="49" t="str">
        <f t="shared" si="1"/>
        <v>01250</v>
      </c>
      <c r="H8859" s="49" t="str">
        <f t="shared" si="2"/>
        <v>01317</v>
      </c>
    </row>
    <row r="8860">
      <c r="A8860" s="48" t="s">
        <v>4895</v>
      </c>
      <c r="B8860" s="38">
        <v>34296.0</v>
      </c>
      <c r="C8860" s="38" t="s">
        <v>12628</v>
      </c>
      <c r="D8860" s="38" t="str">
        <f>IFERROR(__xludf.DUMMYFUNCTION("REGEXREPLACE(C8860,""-\d+(.*)|--\d+(.*)"","""")"),"SAUSSINES")</f>
        <v>SAUSSINES</v>
      </c>
      <c r="E8860" s="38" t="s">
        <v>118</v>
      </c>
      <c r="F8860" s="38" t="s">
        <v>119</v>
      </c>
      <c r="G8860" s="49" t="str">
        <f t="shared" si="1"/>
        <v>34160</v>
      </c>
      <c r="H8860" s="49">
        <f t="shared" si="2"/>
        <v>34296</v>
      </c>
    </row>
    <row r="8861">
      <c r="A8861" s="48" t="s">
        <v>1054</v>
      </c>
      <c r="B8861" s="38">
        <v>46117.0</v>
      </c>
      <c r="C8861" s="38" t="s">
        <v>12629</v>
      </c>
      <c r="D8861" s="38" t="str">
        <f>IFERROR(__xludf.DUMMYFUNCTION("REGEXREPLACE(C8861,""-\d+(.*)|--\d+(.*)"","""")"),"GAGNAC-SUR-CERE")</f>
        <v>GAGNAC-SUR-CERE</v>
      </c>
      <c r="E8861" s="38" t="s">
        <v>185</v>
      </c>
      <c r="F8861" s="38" t="s">
        <v>94</v>
      </c>
      <c r="G8861" s="49" t="str">
        <f t="shared" si="1"/>
        <v>46130</v>
      </c>
      <c r="H8861" s="49">
        <f t="shared" si="2"/>
        <v>46117</v>
      </c>
    </row>
    <row r="8862">
      <c r="A8862" s="48" t="s">
        <v>5683</v>
      </c>
      <c r="B8862" s="38">
        <v>4076.0</v>
      </c>
      <c r="C8862" s="38" t="s">
        <v>12630</v>
      </c>
      <c r="D8862" s="38" t="str">
        <f>IFERROR(__xludf.DUMMYFUNCTION("REGEXREPLACE(C8862,""-\d+(.*)|--\d+(.*)"","""")"),"ENTREVAUX")</f>
        <v>ENTREVAUX</v>
      </c>
      <c r="E8862" s="38" t="s">
        <v>662</v>
      </c>
      <c r="F8862" s="38" t="s">
        <v>228</v>
      </c>
      <c r="G8862" s="49" t="str">
        <f t="shared" si="1"/>
        <v>04320</v>
      </c>
      <c r="H8862" s="49" t="str">
        <f t="shared" si="2"/>
        <v>04076</v>
      </c>
    </row>
    <row r="8863">
      <c r="A8863" s="48" t="s">
        <v>4316</v>
      </c>
      <c r="B8863" s="38">
        <v>49312.0</v>
      </c>
      <c r="C8863" s="38" t="s">
        <v>12631</v>
      </c>
      <c r="D8863" s="38" t="str">
        <f>IFERROR(__xludf.DUMMYFUNCTION("REGEXREPLACE(C8863,""-\d+(.*)|--\d+(.*)"","""")"),"SAINT-PHILBERT-EN-MAUGES")</f>
        <v>SAINT-PHILBERT-EN-MAUGES</v>
      </c>
      <c r="E8863" s="38" t="s">
        <v>653</v>
      </c>
      <c r="F8863" s="38" t="s">
        <v>180</v>
      </c>
      <c r="G8863" s="49" t="str">
        <f t="shared" si="1"/>
        <v>49600</v>
      </c>
      <c r="H8863" s="49">
        <f t="shared" si="2"/>
        <v>49312</v>
      </c>
    </row>
    <row r="8864">
      <c r="A8864" s="48" t="s">
        <v>8969</v>
      </c>
      <c r="B8864" s="38">
        <v>19017.0</v>
      </c>
      <c r="C8864" s="38" t="s">
        <v>12632</v>
      </c>
      <c r="D8864" s="38" t="str">
        <f>IFERROR(__xludf.DUMMYFUNCTION("REGEXREPLACE(C8864,""-\d+(.*)|--\d+(.*)"","""")"),"BASSIGNAC-LE-BAS")</f>
        <v>BASSIGNAC-LE-BAS</v>
      </c>
      <c r="E8864" s="38" t="s">
        <v>271</v>
      </c>
      <c r="F8864" s="38" t="s">
        <v>98</v>
      </c>
      <c r="G8864" s="49" t="str">
        <f t="shared" si="1"/>
        <v>19430</v>
      </c>
      <c r="H8864" s="49">
        <f t="shared" si="2"/>
        <v>19017</v>
      </c>
    </row>
    <row r="8865">
      <c r="A8865" s="48" t="s">
        <v>645</v>
      </c>
      <c r="B8865" s="38">
        <v>57343.0</v>
      </c>
      <c r="C8865" s="38" t="s">
        <v>12633</v>
      </c>
      <c r="D8865" s="38" t="str">
        <f>IFERROR(__xludf.DUMMYFUNCTION("REGEXREPLACE(C8865,""-\d+(.*)|--\d+(.*)"","""")"),"ILLANGE")</f>
        <v>ILLANGE</v>
      </c>
      <c r="E8865" s="38" t="s">
        <v>303</v>
      </c>
      <c r="F8865" s="38" t="s">
        <v>195</v>
      </c>
      <c r="G8865" s="49" t="str">
        <f t="shared" si="1"/>
        <v>57970</v>
      </c>
      <c r="H8865" s="49">
        <f t="shared" si="2"/>
        <v>57343</v>
      </c>
    </row>
    <row r="8866">
      <c r="A8866" s="48" t="s">
        <v>8892</v>
      </c>
      <c r="B8866" s="38">
        <v>60081.0</v>
      </c>
      <c r="C8866" s="38" t="s">
        <v>12634</v>
      </c>
      <c r="D8866" s="38" t="str">
        <f>IFERROR(__xludf.DUMMYFUNCTION("REGEXREPLACE(C8866,""-\d+(.*)|--\d+(.*)"","""")"),"BONLIER")</f>
        <v>BONLIER</v>
      </c>
      <c r="E8866" s="38" t="s">
        <v>112</v>
      </c>
      <c r="F8866" s="38" t="s">
        <v>113</v>
      </c>
      <c r="G8866" s="49" t="str">
        <f t="shared" si="1"/>
        <v>60510</v>
      </c>
      <c r="H8866" s="49">
        <f t="shared" si="2"/>
        <v>60081</v>
      </c>
    </row>
    <row r="8867">
      <c r="A8867" s="48" t="s">
        <v>12635</v>
      </c>
      <c r="B8867" s="38">
        <v>59458.0</v>
      </c>
      <c r="C8867" s="38" t="s">
        <v>12636</v>
      </c>
      <c r="D8867" s="38" t="str">
        <f>IFERROR(__xludf.DUMMYFUNCTION("REGEXREPLACE(C8867,""-\d+(.*)|--\d+(.*)"","""")"),"PERONNE-EN-MELANTOIS")</f>
        <v>PERONNE-EN-MELANTOIS</v>
      </c>
      <c r="E8867" s="38" t="s">
        <v>85</v>
      </c>
      <c r="F8867" s="38" t="s">
        <v>86</v>
      </c>
      <c r="G8867" s="49" t="str">
        <f t="shared" si="1"/>
        <v>59273</v>
      </c>
      <c r="H8867" s="49">
        <f t="shared" si="2"/>
        <v>59458</v>
      </c>
    </row>
    <row r="8868">
      <c r="A8868" s="48" t="s">
        <v>5200</v>
      </c>
      <c r="B8868" s="38">
        <v>45024.0</v>
      </c>
      <c r="C8868" s="38" t="s">
        <v>12637</v>
      </c>
      <c r="D8868" s="38" t="str">
        <f>IFERROR(__xludf.DUMMYFUNCTION("REGEXREPLACE(C8868,""-\d+(.*)|--\d+(.*)"","""")"),"BAULE")</f>
        <v>BAULE</v>
      </c>
      <c r="E8868" s="38" t="s">
        <v>122</v>
      </c>
      <c r="F8868" s="38" t="s">
        <v>123</v>
      </c>
      <c r="G8868" s="49" t="str">
        <f t="shared" si="1"/>
        <v>45130</v>
      </c>
      <c r="H8868" s="49">
        <f t="shared" si="2"/>
        <v>45024</v>
      </c>
    </row>
    <row r="8869">
      <c r="A8869" s="48" t="s">
        <v>828</v>
      </c>
      <c r="B8869" s="38">
        <v>86111.0</v>
      </c>
      <c r="C8869" s="38" t="s">
        <v>3872</v>
      </c>
      <c r="D8869" s="38" t="str">
        <f>IFERROR(__xludf.DUMMYFUNCTION("REGEXREPLACE(C8869,""-\d+(.*)|--\d+(.*)"","""")"),"INGRANDES")</f>
        <v>INGRANDES</v>
      </c>
      <c r="E8869" s="38" t="s">
        <v>529</v>
      </c>
      <c r="F8869" s="38" t="s">
        <v>338</v>
      </c>
      <c r="G8869" s="49" t="str">
        <f t="shared" si="1"/>
        <v>86220</v>
      </c>
      <c r="H8869" s="49">
        <f t="shared" si="2"/>
        <v>86111</v>
      </c>
    </row>
    <row r="8870">
      <c r="A8870" s="48" t="s">
        <v>5887</v>
      </c>
      <c r="B8870" s="38">
        <v>61076.0</v>
      </c>
      <c r="C8870" s="38" t="s">
        <v>12638</v>
      </c>
      <c r="D8870" s="38" t="str">
        <f>IFERROR(__xludf.DUMMYFUNCTION("REGEXREPLACE(C8870,""-\d+(.*)|--\d+(.*)"","""")"),"LE CERCUEIL")</f>
        <v>LE CERCUEIL</v>
      </c>
      <c r="E8870" s="38" t="s">
        <v>141</v>
      </c>
      <c r="F8870" s="38" t="s">
        <v>138</v>
      </c>
      <c r="G8870" s="49" t="str">
        <f t="shared" si="1"/>
        <v>61500</v>
      </c>
      <c r="H8870" s="49">
        <f t="shared" si="2"/>
        <v>61076</v>
      </c>
    </row>
    <row r="8871">
      <c r="A8871" s="48" t="s">
        <v>12639</v>
      </c>
      <c r="B8871" s="38">
        <v>81224.0</v>
      </c>
      <c r="C8871" s="38" t="s">
        <v>12640</v>
      </c>
      <c r="D8871" s="38" t="str">
        <f>IFERROR(__xludf.DUMMYFUNCTION("REGEXREPLACE(C8871,""-\d+(.*)|--\d+(.*)"","""")"),"LE RIOLS")</f>
        <v>LE RIOLS</v>
      </c>
      <c r="E8871" s="38" t="s">
        <v>231</v>
      </c>
      <c r="F8871" s="38" t="s">
        <v>94</v>
      </c>
      <c r="G8871" s="49" t="str">
        <f t="shared" si="1"/>
        <v>81170</v>
      </c>
      <c r="H8871" s="49">
        <f t="shared" si="2"/>
        <v>81224</v>
      </c>
    </row>
    <row r="8872">
      <c r="A8872" s="48" t="s">
        <v>2326</v>
      </c>
      <c r="B8872" s="38">
        <v>54176.0</v>
      </c>
      <c r="C8872" s="38" t="s">
        <v>12641</v>
      </c>
      <c r="D8872" s="38" t="str">
        <f>IFERROR(__xludf.DUMMYFUNCTION("REGEXREPLACE(C8872,""-\d+(.*)|--\d+(.*)"","""")"),"EINVILLE-AU-JARD")</f>
        <v>EINVILLE-AU-JARD</v>
      </c>
      <c r="E8872" s="38" t="s">
        <v>548</v>
      </c>
      <c r="F8872" s="38" t="s">
        <v>195</v>
      </c>
      <c r="G8872" s="49" t="str">
        <f t="shared" si="1"/>
        <v>54370</v>
      </c>
      <c r="H8872" s="49">
        <f t="shared" si="2"/>
        <v>54176</v>
      </c>
    </row>
    <row r="8873">
      <c r="A8873" s="48" t="s">
        <v>12642</v>
      </c>
      <c r="B8873" s="38">
        <v>50550.0</v>
      </c>
      <c r="C8873" s="38" t="s">
        <v>12643</v>
      </c>
      <c r="D8873" s="38" t="str">
        <f>IFERROR(__xludf.DUMMYFUNCTION("REGEXREPLACE(C8873,""-\d+(.*)|--\d+(.*)"","""")"),"SAINT-SAUVEUR-LENDELIN")</f>
        <v>SAINT-SAUVEUR-LENDELIN</v>
      </c>
      <c r="E8873" s="38" t="s">
        <v>157</v>
      </c>
      <c r="F8873" s="38" t="s">
        <v>138</v>
      </c>
      <c r="G8873" s="49" t="str">
        <f t="shared" si="1"/>
        <v>50490</v>
      </c>
      <c r="H8873" s="49">
        <f t="shared" si="2"/>
        <v>50550</v>
      </c>
    </row>
    <row r="8874">
      <c r="A8874" s="48" t="s">
        <v>8502</v>
      </c>
      <c r="B8874" s="38">
        <v>67183.0</v>
      </c>
      <c r="C8874" s="38" t="s">
        <v>12644</v>
      </c>
      <c r="D8874" s="38" t="str">
        <f>IFERROR(__xludf.DUMMYFUNCTION("REGEXREPLACE(C8874,""-\d+(.*)|--\d+(.*)"","""")"),"HARSKIRCHEN")</f>
        <v>HARSKIRCHEN</v>
      </c>
      <c r="E8874" s="38" t="s">
        <v>210</v>
      </c>
      <c r="F8874" s="38" t="s">
        <v>151</v>
      </c>
      <c r="G8874" s="49" t="str">
        <f t="shared" si="1"/>
        <v>67260</v>
      </c>
      <c r="H8874" s="49">
        <f t="shared" si="2"/>
        <v>67183</v>
      </c>
    </row>
    <row r="8875">
      <c r="A8875" s="48" t="s">
        <v>12254</v>
      </c>
      <c r="B8875" s="38">
        <v>29122.0</v>
      </c>
      <c r="C8875" s="38" t="s">
        <v>12645</v>
      </c>
      <c r="D8875" s="38" t="str">
        <f>IFERROR(__xludf.DUMMYFUNCTION("REGEXREPLACE(C8875,""-\d+(.*)|--\d+(.*)"","""")"),"LAZ")</f>
        <v>LAZ</v>
      </c>
      <c r="E8875" s="38" t="s">
        <v>176</v>
      </c>
      <c r="F8875" s="38" t="s">
        <v>90</v>
      </c>
      <c r="G8875" s="49" t="str">
        <f t="shared" si="1"/>
        <v>29520</v>
      </c>
      <c r="H8875" s="49">
        <f t="shared" si="2"/>
        <v>29122</v>
      </c>
    </row>
    <row r="8876">
      <c r="A8876" s="48" t="s">
        <v>8111</v>
      </c>
      <c r="B8876" s="38">
        <v>40259.0</v>
      </c>
      <c r="C8876" s="38" t="s">
        <v>12646</v>
      </c>
      <c r="D8876" s="38" t="str">
        <f>IFERROR(__xludf.DUMMYFUNCTION("REGEXREPLACE(C8876,""-\d+(.*)|--\d+(.*)"","""")"),"SAINT-GEIN")</f>
        <v>SAINT-GEIN</v>
      </c>
      <c r="E8876" s="38" t="s">
        <v>281</v>
      </c>
      <c r="F8876" s="38" t="s">
        <v>252</v>
      </c>
      <c r="G8876" s="49" t="str">
        <f t="shared" si="1"/>
        <v>40190</v>
      </c>
      <c r="H8876" s="49">
        <f t="shared" si="2"/>
        <v>40259</v>
      </c>
    </row>
    <row r="8877">
      <c r="A8877" s="48" t="s">
        <v>2103</v>
      </c>
      <c r="B8877" s="38">
        <v>54350.0</v>
      </c>
      <c r="C8877" s="38" t="s">
        <v>12647</v>
      </c>
      <c r="D8877" s="38" t="str">
        <f>IFERROR(__xludf.DUMMYFUNCTION("REGEXREPLACE(C8877,""-\d+(.*)|--\d+(.*)"","""")"),"MARAINVILLER")</f>
        <v>MARAINVILLER</v>
      </c>
      <c r="E8877" s="38" t="s">
        <v>548</v>
      </c>
      <c r="F8877" s="38" t="s">
        <v>195</v>
      </c>
      <c r="G8877" s="49" t="str">
        <f t="shared" si="1"/>
        <v>54300</v>
      </c>
      <c r="H8877" s="49">
        <f t="shared" si="2"/>
        <v>54350</v>
      </c>
    </row>
    <row r="8878">
      <c r="A8878" s="48" t="s">
        <v>601</v>
      </c>
      <c r="B8878" s="38">
        <v>51358.0</v>
      </c>
      <c r="C8878" s="38" t="s">
        <v>12648</v>
      </c>
      <c r="D8878" s="38" t="str">
        <f>IFERROR(__xludf.DUMMYFUNCTION("REGEXREPLACE(C8878,""-\d+(.*)|--\d+(.*)"","""")"),"MAURUPT-LE-MONTOIS")</f>
        <v>MAURUPT-LE-MONTOIS</v>
      </c>
      <c r="E8878" s="38" t="s">
        <v>129</v>
      </c>
      <c r="F8878" s="38" t="s">
        <v>130</v>
      </c>
      <c r="G8878" s="49" t="str">
        <f t="shared" si="1"/>
        <v>51340</v>
      </c>
      <c r="H8878" s="49">
        <f t="shared" si="2"/>
        <v>51358</v>
      </c>
    </row>
    <row r="8879">
      <c r="A8879" s="48" t="s">
        <v>12649</v>
      </c>
      <c r="B8879" s="38">
        <v>12049.0</v>
      </c>
      <c r="C8879" s="38" t="s">
        <v>12650</v>
      </c>
      <c r="D8879" s="38" t="str">
        <f>IFERROR(__xludf.DUMMYFUNCTION("REGEXREPLACE(C8879,""-\d+(.*)|--\d+(.*)"","""")"),"CAMPUAC")</f>
        <v>CAMPUAC</v>
      </c>
      <c r="E8879" s="38" t="s">
        <v>465</v>
      </c>
      <c r="F8879" s="38" t="s">
        <v>94</v>
      </c>
      <c r="G8879" s="49" t="str">
        <f t="shared" si="1"/>
        <v>12580</v>
      </c>
      <c r="H8879" s="49">
        <f t="shared" si="2"/>
        <v>12049</v>
      </c>
    </row>
    <row r="8880">
      <c r="A8880" s="48" t="s">
        <v>3576</v>
      </c>
      <c r="B8880" s="38">
        <v>63169.0</v>
      </c>
      <c r="C8880" s="38" t="s">
        <v>12651</v>
      </c>
      <c r="D8880" s="38" t="str">
        <f>IFERROR(__xludf.DUMMYFUNCTION("REGEXREPLACE(C8880,""-\d+(.*)|--\d+(.*)"","""")"),"LA GODIVELLE")</f>
        <v>LA GODIVELLE</v>
      </c>
      <c r="E8880" s="38" t="s">
        <v>353</v>
      </c>
      <c r="F8880" s="38" t="s">
        <v>161</v>
      </c>
      <c r="G8880" s="49" t="str">
        <f t="shared" si="1"/>
        <v>63850</v>
      </c>
      <c r="H8880" s="49">
        <f t="shared" si="2"/>
        <v>63169</v>
      </c>
    </row>
    <row r="8881">
      <c r="A8881" s="48" t="s">
        <v>12652</v>
      </c>
      <c r="B8881" s="38">
        <v>97107.0</v>
      </c>
      <c r="C8881" s="38" t="s">
        <v>12653</v>
      </c>
      <c r="D8881" s="38" t="str">
        <f>IFERROR(__xludf.DUMMYFUNCTION("REGEXREPLACE(C8881,""-\d+(.*)|--\d+(.*)"","""")"),"CAPESTERRE-BELLE-EAU")</f>
        <v>CAPESTERRE-BELLE-EAU</v>
      </c>
      <c r="E8881" s="38" t="s">
        <v>2023</v>
      </c>
      <c r="F8881" s="38" t="s">
        <v>2023</v>
      </c>
      <c r="G8881" s="49" t="str">
        <f t="shared" si="1"/>
        <v>97130</v>
      </c>
      <c r="H8881" s="49">
        <f t="shared" si="2"/>
        <v>97107</v>
      </c>
    </row>
    <row r="8882">
      <c r="A8882" s="48" t="s">
        <v>2920</v>
      </c>
      <c r="B8882" s="38">
        <v>62549.0</v>
      </c>
      <c r="C8882" s="38" t="s">
        <v>12654</v>
      </c>
      <c r="D8882" s="38" t="str">
        <f>IFERROR(__xludf.DUMMYFUNCTION("REGEXREPLACE(C8882,""-\d+(.*)|--\d+(.*)"","""")"),"MARCONNE")</f>
        <v>MARCONNE</v>
      </c>
      <c r="E8882" s="38" t="s">
        <v>109</v>
      </c>
      <c r="F8882" s="38" t="s">
        <v>86</v>
      </c>
      <c r="G8882" s="49" t="str">
        <f t="shared" si="1"/>
        <v>62140</v>
      </c>
      <c r="H8882" s="49">
        <f t="shared" si="2"/>
        <v>62549</v>
      </c>
    </row>
    <row r="8883">
      <c r="A8883" s="48" t="s">
        <v>2592</v>
      </c>
      <c r="B8883" s="38">
        <v>34285.0</v>
      </c>
      <c r="C8883" s="38" t="s">
        <v>12655</v>
      </c>
      <c r="D8883" s="38" t="str">
        <f>IFERROR(__xludf.DUMMYFUNCTION("REGEXREPLACE(C8883,""-\d+(.*)|--\d+(.*)"","""")"),"SAINT-PONS-DE-MAUCHIENS")</f>
        <v>SAINT-PONS-DE-MAUCHIENS</v>
      </c>
      <c r="E8883" s="38" t="s">
        <v>118</v>
      </c>
      <c r="F8883" s="38" t="s">
        <v>119</v>
      </c>
      <c r="G8883" s="49" t="str">
        <f t="shared" si="1"/>
        <v>34230</v>
      </c>
      <c r="H8883" s="49">
        <f t="shared" si="2"/>
        <v>34285</v>
      </c>
    </row>
    <row r="8884">
      <c r="A8884" s="48" t="s">
        <v>10388</v>
      </c>
      <c r="B8884" s="38">
        <v>21480.0</v>
      </c>
      <c r="C8884" s="38" t="s">
        <v>12656</v>
      </c>
      <c r="D8884" s="38" t="str">
        <f>IFERROR(__xludf.DUMMYFUNCTION("REGEXREPLACE(C8884,""-\d+(.*)|--\d+(.*)"","""")"),"PERNAND-VERGELESSES")</f>
        <v>PERNAND-VERGELESSES</v>
      </c>
      <c r="E8884" s="38" t="s">
        <v>105</v>
      </c>
      <c r="F8884" s="38" t="s">
        <v>106</v>
      </c>
      <c r="G8884" s="49" t="str">
        <f t="shared" si="1"/>
        <v>21420</v>
      </c>
      <c r="H8884" s="49">
        <f t="shared" si="2"/>
        <v>21480</v>
      </c>
    </row>
    <row r="8885">
      <c r="A8885" s="48" t="s">
        <v>1756</v>
      </c>
      <c r="B8885" s="38">
        <v>28411.0</v>
      </c>
      <c r="C8885" s="38" t="s">
        <v>12657</v>
      </c>
      <c r="D8885" s="38" t="str">
        <f>IFERROR(__xludf.DUMMYFUNCTION("REGEXREPLACE(C8885,""-\d+(.*)|--\d+(.*)"","""")"),"VILLARS")</f>
        <v>VILLARS</v>
      </c>
      <c r="E8885" s="38" t="s">
        <v>300</v>
      </c>
      <c r="F8885" s="38" t="s">
        <v>123</v>
      </c>
      <c r="G8885" s="49" t="str">
        <f t="shared" si="1"/>
        <v>28150</v>
      </c>
      <c r="H8885" s="49">
        <f t="shared" si="2"/>
        <v>28411</v>
      </c>
    </row>
    <row r="8886">
      <c r="A8886" s="48" t="s">
        <v>12658</v>
      </c>
      <c r="B8886" s="38">
        <v>32168.0</v>
      </c>
      <c r="C8886" s="38" t="s">
        <v>12659</v>
      </c>
      <c r="D8886" s="38" t="str">
        <f>IFERROR(__xludf.DUMMYFUNCTION("REGEXREPLACE(C8886,""-\d+(.*)|--\d+(.*)"","""")"),"LABARRERE")</f>
        <v>LABARRERE</v>
      </c>
      <c r="E8886" s="38" t="s">
        <v>440</v>
      </c>
      <c r="F8886" s="38" t="s">
        <v>94</v>
      </c>
      <c r="G8886" s="49" t="str">
        <f t="shared" si="1"/>
        <v>32250</v>
      </c>
      <c r="H8886" s="49">
        <f t="shared" si="2"/>
        <v>32168</v>
      </c>
    </row>
    <row r="8887">
      <c r="A8887" s="48" t="s">
        <v>12660</v>
      </c>
      <c r="B8887" s="38">
        <v>29106.0</v>
      </c>
      <c r="C8887" s="38" t="s">
        <v>12661</v>
      </c>
      <c r="D8887" s="38" t="str">
        <f>IFERROR(__xludf.DUMMYFUNCTION("REGEXREPLACE(C8887,""-\d+(.*)|--\d+(.*)"","""")"),"LANDREVARZEC")</f>
        <v>LANDREVARZEC</v>
      </c>
      <c r="E8887" s="38" t="s">
        <v>176</v>
      </c>
      <c r="F8887" s="38" t="s">
        <v>90</v>
      </c>
      <c r="G8887" s="49" t="str">
        <f t="shared" si="1"/>
        <v>29510</v>
      </c>
      <c r="H8887" s="49">
        <f t="shared" si="2"/>
        <v>29106</v>
      </c>
    </row>
    <row r="8888">
      <c r="A8888" s="48" t="s">
        <v>12662</v>
      </c>
      <c r="B8888" s="38">
        <v>85177.0</v>
      </c>
      <c r="C8888" s="38" t="s">
        <v>12663</v>
      </c>
      <c r="D8888" s="38" t="str">
        <f>IFERROR(__xludf.DUMMYFUNCTION("REGEXREPLACE(C8888,""-\d+(.*)|--\d+(.*)"","""")"),"LE POIRE-SUR-VELLUIRE")</f>
        <v>LE POIRE-SUR-VELLUIRE</v>
      </c>
      <c r="E8888" s="38" t="s">
        <v>179</v>
      </c>
      <c r="F8888" s="38" t="s">
        <v>180</v>
      </c>
      <c r="G8888" s="49" t="str">
        <f t="shared" si="1"/>
        <v>85770</v>
      </c>
      <c r="H8888" s="49">
        <f t="shared" si="2"/>
        <v>85177</v>
      </c>
    </row>
    <row r="8889">
      <c r="A8889" s="48" t="s">
        <v>2946</v>
      </c>
      <c r="B8889" s="38">
        <v>51019.0</v>
      </c>
      <c r="C8889" s="38" t="s">
        <v>8041</v>
      </c>
      <c r="D8889" s="38" t="str">
        <f>IFERROR(__xludf.DUMMYFUNCTION("REGEXREPLACE(C8889,""-\d+(.*)|--\d+(.*)"","""")"),"AUBERIVE")</f>
        <v>AUBERIVE</v>
      </c>
      <c r="E8889" s="38" t="s">
        <v>129</v>
      </c>
      <c r="F8889" s="38" t="s">
        <v>130</v>
      </c>
      <c r="G8889" s="49" t="str">
        <f t="shared" si="1"/>
        <v>51600</v>
      </c>
      <c r="H8889" s="49">
        <f t="shared" si="2"/>
        <v>51019</v>
      </c>
    </row>
    <row r="8890">
      <c r="A8890" s="48" t="s">
        <v>4499</v>
      </c>
      <c r="B8890" s="38">
        <v>25416.0</v>
      </c>
      <c r="C8890" s="38" t="s">
        <v>12664</v>
      </c>
      <c r="D8890" s="38" t="str">
        <f>IFERROR(__xludf.DUMMYFUNCTION("REGEXREPLACE(C8890,""-\d+(.*)|--\d+(.*)"","""")"),"MYON")</f>
        <v>MYON</v>
      </c>
      <c r="E8890" s="38" t="s">
        <v>213</v>
      </c>
      <c r="F8890" s="38" t="s">
        <v>214</v>
      </c>
      <c r="G8890" s="49" t="str">
        <f t="shared" si="1"/>
        <v>25440</v>
      </c>
      <c r="H8890" s="49">
        <f t="shared" si="2"/>
        <v>25416</v>
      </c>
    </row>
    <row r="8891">
      <c r="A8891" s="48" t="s">
        <v>4340</v>
      </c>
      <c r="B8891" s="38">
        <v>33323.0</v>
      </c>
      <c r="C8891" s="38" t="s">
        <v>12665</v>
      </c>
      <c r="D8891" s="38" t="str">
        <f>IFERROR(__xludf.DUMMYFUNCTION("REGEXREPLACE(C8891,""-\d+(.*)|--\d+(.*)"","""")"),"LE PIAN-SUR-GARONNE")</f>
        <v>LE PIAN-SUR-GARONNE</v>
      </c>
      <c r="E8891" s="38" t="s">
        <v>462</v>
      </c>
      <c r="F8891" s="38" t="s">
        <v>252</v>
      </c>
      <c r="G8891" s="49" t="str">
        <f t="shared" si="1"/>
        <v>33490</v>
      </c>
      <c r="H8891" s="49">
        <f t="shared" si="2"/>
        <v>33323</v>
      </c>
    </row>
    <row r="8892">
      <c r="A8892" s="48" t="s">
        <v>3305</v>
      </c>
      <c r="B8892" s="38">
        <v>24406.0</v>
      </c>
      <c r="C8892" s="38" t="s">
        <v>12666</v>
      </c>
      <c r="D8892" s="38" t="str">
        <f>IFERROR(__xludf.DUMMYFUNCTION("REGEXREPLACE(C8892,""-\d+(.*)|--\d+(.*)"","""")"),"SAINTE-FOY-DE-BELVES")</f>
        <v>SAINTE-FOY-DE-BELVES</v>
      </c>
      <c r="E8892" s="38" t="s">
        <v>261</v>
      </c>
      <c r="F8892" s="38" t="s">
        <v>252</v>
      </c>
      <c r="G8892" s="49" t="str">
        <f t="shared" si="1"/>
        <v>24170</v>
      </c>
      <c r="H8892" s="49">
        <f t="shared" si="2"/>
        <v>24406</v>
      </c>
    </row>
    <row r="8893">
      <c r="A8893" s="48" t="s">
        <v>1199</v>
      </c>
      <c r="B8893" s="38">
        <v>55104.0</v>
      </c>
      <c r="C8893" s="38" t="s">
        <v>12667</v>
      </c>
      <c r="D8893" s="38" t="str">
        <f>IFERROR(__xludf.DUMMYFUNCTION("REGEXREPLACE(C8893,""-\d+(.*)|--\d+(.*)"","""")"),"CHASSEY-BEAUPRE")</f>
        <v>CHASSEY-BEAUPRE</v>
      </c>
      <c r="E8893" s="38" t="s">
        <v>322</v>
      </c>
      <c r="F8893" s="38" t="s">
        <v>195</v>
      </c>
      <c r="G8893" s="49" t="str">
        <f t="shared" si="1"/>
        <v>55130</v>
      </c>
      <c r="H8893" s="49">
        <f t="shared" si="2"/>
        <v>55104</v>
      </c>
    </row>
    <row r="8894">
      <c r="A8894" s="48" t="s">
        <v>1825</v>
      </c>
      <c r="B8894" s="38">
        <v>64338.0</v>
      </c>
      <c r="C8894" s="38" t="s">
        <v>12668</v>
      </c>
      <c r="D8894" s="38" t="str">
        <f>IFERROR(__xludf.DUMMYFUNCTION("REGEXREPLACE(C8894,""-\d+(.*)|--\d+(.*)"","""")"),"LESPOURCY")</f>
        <v>LESPOURCY</v>
      </c>
      <c r="E8894" s="38" t="s">
        <v>268</v>
      </c>
      <c r="F8894" s="38" t="s">
        <v>252</v>
      </c>
      <c r="G8894" s="49" t="str">
        <f t="shared" si="1"/>
        <v>64160</v>
      </c>
      <c r="H8894" s="49">
        <f t="shared" si="2"/>
        <v>64338</v>
      </c>
    </row>
    <row r="8895">
      <c r="A8895" s="48" t="s">
        <v>2736</v>
      </c>
      <c r="B8895" s="38">
        <v>89287.0</v>
      </c>
      <c r="C8895" s="38" t="s">
        <v>12669</v>
      </c>
      <c r="D8895" s="38" t="str">
        <f>IFERROR(__xludf.DUMMYFUNCTION("REGEXREPLACE(C8895,""-\d+(.*)|--\d+(.*)"","""")"),"PARON")</f>
        <v>PARON</v>
      </c>
      <c r="E8895" s="38" t="s">
        <v>275</v>
      </c>
      <c r="F8895" s="38" t="s">
        <v>106</v>
      </c>
      <c r="G8895" s="49" t="str">
        <f t="shared" si="1"/>
        <v>89100</v>
      </c>
      <c r="H8895" s="49">
        <f t="shared" si="2"/>
        <v>89287</v>
      </c>
    </row>
    <row r="8896">
      <c r="A8896" s="48" t="s">
        <v>2353</v>
      </c>
      <c r="B8896" s="38">
        <v>13023.0</v>
      </c>
      <c r="C8896" s="38" t="s">
        <v>12670</v>
      </c>
      <c r="D8896" s="38" t="str">
        <f>IFERROR(__xludf.DUMMYFUNCTION("REGEXREPLACE(C8896,""-\d+(.*)|--\d+(.*)"","""")"),"CEYRESTE")</f>
        <v>CEYRESTE</v>
      </c>
      <c r="E8896" s="38" t="s">
        <v>980</v>
      </c>
      <c r="F8896" s="38" t="s">
        <v>228</v>
      </c>
      <c r="G8896" s="49" t="str">
        <f t="shared" si="1"/>
        <v>13600</v>
      </c>
      <c r="H8896" s="49">
        <f t="shared" si="2"/>
        <v>13023</v>
      </c>
    </row>
    <row r="8897">
      <c r="A8897" s="48" t="s">
        <v>12671</v>
      </c>
      <c r="B8897" s="38">
        <v>60453.0</v>
      </c>
      <c r="C8897" s="38" t="s">
        <v>12672</v>
      </c>
      <c r="D8897" s="38" t="str">
        <f>IFERROR(__xludf.DUMMYFUNCTION("REGEXREPLACE(C8897,""-\d+(.*)|--\d+(.*)"","""")"),"LA NEUVILLE-D'AUMONT")</f>
        <v>LA NEUVILLE-D'AUMONT</v>
      </c>
      <c r="E8897" s="38" t="s">
        <v>112</v>
      </c>
      <c r="F8897" s="38" t="s">
        <v>113</v>
      </c>
      <c r="G8897" s="49" t="str">
        <f t="shared" si="1"/>
        <v>60790</v>
      </c>
      <c r="H8897" s="49">
        <f t="shared" si="2"/>
        <v>60453</v>
      </c>
    </row>
    <row r="8898">
      <c r="A8898" s="48" t="s">
        <v>643</v>
      </c>
      <c r="B8898" s="38">
        <v>88374.0</v>
      </c>
      <c r="C8898" s="38" t="s">
        <v>12673</v>
      </c>
      <c r="D8898" s="38" t="str">
        <f>IFERROR(__xludf.DUMMYFUNCTION("REGEXREPLACE(C8898,""-\d+(.*)|--\d+(.*)"","""")"),"RAPEY")</f>
        <v>RAPEY</v>
      </c>
      <c r="E8898" s="38" t="s">
        <v>194</v>
      </c>
      <c r="F8898" s="38" t="s">
        <v>195</v>
      </c>
      <c r="G8898" s="49" t="str">
        <f t="shared" si="1"/>
        <v>88130</v>
      </c>
      <c r="H8898" s="49">
        <f t="shared" si="2"/>
        <v>88374</v>
      </c>
    </row>
    <row r="8899">
      <c r="A8899" s="48" t="s">
        <v>12674</v>
      </c>
      <c r="B8899" s="38">
        <v>2694.0</v>
      </c>
      <c r="C8899" s="38" t="s">
        <v>12675</v>
      </c>
      <c r="D8899" s="38" t="str">
        <f>IFERROR(__xludf.DUMMYFUNCTION("REGEXREPLACE(C8899,""-\d+(.*)|--\d+(.*)"","""")"),"SAINT-SIMON")</f>
        <v>SAINT-SIMON</v>
      </c>
      <c r="E8899" s="38" t="s">
        <v>191</v>
      </c>
      <c r="F8899" s="38" t="s">
        <v>113</v>
      </c>
      <c r="G8899" s="49" t="str">
        <f t="shared" si="1"/>
        <v>02640</v>
      </c>
      <c r="H8899" s="49" t="str">
        <f t="shared" si="2"/>
        <v>02694</v>
      </c>
    </row>
    <row r="8900">
      <c r="A8900" s="48" t="s">
        <v>809</v>
      </c>
      <c r="B8900" s="38">
        <v>33308.0</v>
      </c>
      <c r="C8900" s="38" t="s">
        <v>12676</v>
      </c>
      <c r="D8900" s="38" t="str">
        <f>IFERROR(__xludf.DUMMYFUNCTION("REGEXREPLACE(C8900,""-\d+(.*)|--\d+(.*)"","""")"),"OMET")</f>
        <v>OMET</v>
      </c>
      <c r="E8900" s="38" t="s">
        <v>462</v>
      </c>
      <c r="F8900" s="38" t="s">
        <v>252</v>
      </c>
      <c r="G8900" s="49" t="str">
        <f t="shared" si="1"/>
        <v>33410</v>
      </c>
      <c r="H8900" s="49">
        <f t="shared" si="2"/>
        <v>33308</v>
      </c>
    </row>
    <row r="8901">
      <c r="A8901" s="48" t="s">
        <v>12677</v>
      </c>
      <c r="B8901" s="38">
        <v>37050.0</v>
      </c>
      <c r="C8901" s="38" t="s">
        <v>12678</v>
      </c>
      <c r="D8901" s="38" t="str">
        <f>IFERROR(__xludf.DUMMYFUNCTION("REGEXREPLACE(C8901,""-\d+(.*)|--\d+(.*)"","""")"),"CHAMBRAY-LES-TOURS")</f>
        <v>CHAMBRAY-LES-TOURS</v>
      </c>
      <c r="E8901" s="38" t="s">
        <v>205</v>
      </c>
      <c r="F8901" s="38" t="s">
        <v>123</v>
      </c>
      <c r="G8901" s="49" t="str">
        <f t="shared" si="1"/>
        <v>37170</v>
      </c>
      <c r="H8901" s="49">
        <f t="shared" si="2"/>
        <v>37050</v>
      </c>
    </row>
    <row r="8902">
      <c r="A8902" s="48" t="s">
        <v>8122</v>
      </c>
      <c r="B8902" s="38">
        <v>42232.0</v>
      </c>
      <c r="C8902" s="38" t="s">
        <v>12679</v>
      </c>
      <c r="D8902" s="38" t="str">
        <f>IFERROR(__xludf.DUMMYFUNCTION("REGEXREPLACE(C8902,""-\d+(.*)|--\d+(.*)"","""")"),"SAINT-HAON-LE-CHATEL")</f>
        <v>SAINT-HAON-LE-CHATEL</v>
      </c>
      <c r="E8902" s="38" t="s">
        <v>166</v>
      </c>
      <c r="F8902" s="38" t="s">
        <v>102</v>
      </c>
      <c r="G8902" s="49" t="str">
        <f t="shared" si="1"/>
        <v>42370</v>
      </c>
      <c r="H8902" s="49">
        <f t="shared" si="2"/>
        <v>42232</v>
      </c>
    </row>
    <row r="8903">
      <c r="A8903" s="48" t="s">
        <v>1300</v>
      </c>
      <c r="B8903" s="38">
        <v>60024.0</v>
      </c>
      <c r="C8903" s="38" t="s">
        <v>12680</v>
      </c>
      <c r="D8903" s="38" t="str">
        <f>IFERROR(__xludf.DUMMYFUNCTION("REGEXREPLACE(C8903,""-\d+(.*)|--\d+(.*)"","""")"),"ARSY")</f>
        <v>ARSY</v>
      </c>
      <c r="E8903" s="38" t="s">
        <v>112</v>
      </c>
      <c r="F8903" s="38" t="s">
        <v>113</v>
      </c>
      <c r="G8903" s="49" t="str">
        <f t="shared" si="1"/>
        <v>60190</v>
      </c>
      <c r="H8903" s="49">
        <f t="shared" si="2"/>
        <v>60024</v>
      </c>
    </row>
    <row r="8904">
      <c r="A8904" s="48" t="s">
        <v>12681</v>
      </c>
      <c r="B8904" s="38">
        <v>2446.0</v>
      </c>
      <c r="C8904" s="38" t="s">
        <v>12682</v>
      </c>
      <c r="D8904" s="38" t="str">
        <f>IFERROR(__xludf.DUMMYFUNCTION("REGEXREPLACE(C8904,""-\d+(.*)|--\d+(.*)"","""")"),"LY-FONTAINE")</f>
        <v>LY-FONTAINE</v>
      </c>
      <c r="E8904" s="38" t="s">
        <v>191</v>
      </c>
      <c r="F8904" s="38" t="s">
        <v>113</v>
      </c>
      <c r="G8904" s="49" t="str">
        <f t="shared" si="1"/>
        <v>02440</v>
      </c>
      <c r="H8904" s="49" t="str">
        <f t="shared" si="2"/>
        <v>02446</v>
      </c>
    </row>
    <row r="8905">
      <c r="A8905" s="48" t="s">
        <v>12683</v>
      </c>
      <c r="B8905" s="38">
        <v>86157.0</v>
      </c>
      <c r="C8905" s="38" t="s">
        <v>12684</v>
      </c>
      <c r="D8905" s="38" t="str">
        <f>IFERROR(__xludf.DUMMYFUNCTION("REGEXREPLACE(C8905,""-\d+(.*)|--\d+(.*)"","""")"),"MIGNALOUX-BEAUVOIR")</f>
        <v>MIGNALOUX-BEAUVOIR</v>
      </c>
      <c r="E8905" s="38" t="s">
        <v>529</v>
      </c>
      <c r="F8905" s="38" t="s">
        <v>338</v>
      </c>
      <c r="G8905" s="49" t="str">
        <f t="shared" si="1"/>
        <v>86550</v>
      </c>
      <c r="H8905" s="49">
        <f t="shared" si="2"/>
        <v>86157</v>
      </c>
    </row>
    <row r="8906">
      <c r="A8906" s="48" t="s">
        <v>1766</v>
      </c>
      <c r="B8906" s="38">
        <v>2236.0</v>
      </c>
      <c r="C8906" s="38" t="s">
        <v>12685</v>
      </c>
      <c r="D8906" s="38" t="str">
        <f>IFERROR(__xludf.DUMMYFUNCTION("REGEXREPLACE(C8906,""-\d+(.*)|--\d+(.*)"","""")"),"CRECY-AU-MONT")</f>
        <v>CRECY-AU-MONT</v>
      </c>
      <c r="E8906" s="38" t="s">
        <v>191</v>
      </c>
      <c r="F8906" s="38" t="s">
        <v>113</v>
      </c>
      <c r="G8906" s="49" t="str">
        <f t="shared" si="1"/>
        <v>02380</v>
      </c>
      <c r="H8906" s="49" t="str">
        <f t="shared" si="2"/>
        <v>02236</v>
      </c>
    </row>
    <row r="8907">
      <c r="A8907" s="48" t="s">
        <v>2298</v>
      </c>
      <c r="B8907" s="38">
        <v>85208.0</v>
      </c>
      <c r="C8907" s="38" t="s">
        <v>12686</v>
      </c>
      <c r="D8907" s="38" t="str">
        <f>IFERROR(__xludf.DUMMYFUNCTION("REGEXREPLACE(C8907,""-\d+(.*)|--\d+(.*)"","""")"),"SAINT-DENIS-LA-CHEVASSE")</f>
        <v>SAINT-DENIS-LA-CHEVASSE</v>
      </c>
      <c r="E8907" s="38" t="s">
        <v>179</v>
      </c>
      <c r="F8907" s="38" t="s">
        <v>180</v>
      </c>
      <c r="G8907" s="49" t="str">
        <f t="shared" si="1"/>
        <v>85170</v>
      </c>
      <c r="H8907" s="49">
        <f t="shared" si="2"/>
        <v>85208</v>
      </c>
    </row>
    <row r="8908">
      <c r="A8908" s="48" t="s">
        <v>3631</v>
      </c>
      <c r="B8908" s="38">
        <v>38437.0</v>
      </c>
      <c r="C8908" s="38" t="s">
        <v>12687</v>
      </c>
      <c r="D8908" s="38" t="str">
        <f>IFERROR(__xludf.DUMMYFUNCTION("REGEXREPLACE(C8908,""-\d+(.*)|--\d+(.*)"","""")"),"SAINT-PAUL-D'IZEAUX")</f>
        <v>SAINT-PAUL-D'IZEAUX</v>
      </c>
      <c r="E8908" s="38" t="s">
        <v>101</v>
      </c>
      <c r="F8908" s="38" t="s">
        <v>102</v>
      </c>
      <c r="G8908" s="49" t="str">
        <f t="shared" si="1"/>
        <v>38140</v>
      </c>
      <c r="H8908" s="49">
        <f t="shared" si="2"/>
        <v>38437</v>
      </c>
    </row>
    <row r="8909">
      <c r="A8909" s="48" t="s">
        <v>1603</v>
      </c>
      <c r="B8909" s="38">
        <v>25397.0</v>
      </c>
      <c r="C8909" s="38" t="s">
        <v>12688</v>
      </c>
      <c r="D8909" s="38" t="str">
        <f>IFERROR(__xludf.DUMMYFUNCTION("REGEXREPLACE(C8909,""-\d+(.*)|--\d+(.*)"","""")"),"MONTFERRAND-LE-CHATEAU")</f>
        <v>MONTFERRAND-LE-CHATEAU</v>
      </c>
      <c r="E8909" s="38" t="s">
        <v>213</v>
      </c>
      <c r="F8909" s="38" t="s">
        <v>214</v>
      </c>
      <c r="G8909" s="49" t="str">
        <f t="shared" si="1"/>
        <v>25320</v>
      </c>
      <c r="H8909" s="49">
        <f t="shared" si="2"/>
        <v>25397</v>
      </c>
    </row>
    <row r="8910">
      <c r="A8910" s="48" t="s">
        <v>2882</v>
      </c>
      <c r="B8910" s="38">
        <v>76462.0</v>
      </c>
      <c r="C8910" s="38" t="s">
        <v>12689</v>
      </c>
      <c r="D8910" s="38" t="str">
        <f>IFERROR(__xludf.DUMMYFUNCTION("REGEXREPLACE(C8910,""-\d+(.*)|--\d+(.*)"","""")"),"NEUFCHATEL-EN-BRAY")</f>
        <v>NEUFCHATEL-EN-BRAY</v>
      </c>
      <c r="E8910" s="38" t="s">
        <v>133</v>
      </c>
      <c r="F8910" s="38" t="s">
        <v>134</v>
      </c>
      <c r="G8910" s="49" t="str">
        <f t="shared" si="1"/>
        <v>76270</v>
      </c>
      <c r="H8910" s="49">
        <f t="shared" si="2"/>
        <v>76462</v>
      </c>
    </row>
    <row r="8911">
      <c r="A8911" s="48" t="s">
        <v>12690</v>
      </c>
      <c r="B8911" s="38">
        <v>4081.0</v>
      </c>
      <c r="C8911" s="38" t="s">
        <v>12691</v>
      </c>
      <c r="D8911" s="38" t="str">
        <f>IFERROR(__xludf.DUMMYFUNCTION("REGEXREPLACE(C8911,""-\d+(.*)|--\d+(.*)"","""")"),"ESPARRON-DE-VERDON")</f>
        <v>ESPARRON-DE-VERDON</v>
      </c>
      <c r="E8911" s="38" t="s">
        <v>662</v>
      </c>
      <c r="F8911" s="38" t="s">
        <v>228</v>
      </c>
      <c r="G8911" s="49" t="str">
        <f t="shared" si="1"/>
        <v>04800</v>
      </c>
      <c r="H8911" s="49" t="str">
        <f t="shared" si="2"/>
        <v>04081</v>
      </c>
    </row>
    <row r="8912">
      <c r="A8912" s="48" t="s">
        <v>12692</v>
      </c>
      <c r="B8912" s="38">
        <v>47010.0</v>
      </c>
      <c r="C8912" s="38" t="s">
        <v>12693</v>
      </c>
      <c r="D8912" s="38" t="str">
        <f>IFERROR(__xludf.DUMMYFUNCTION("REGEXREPLACE(C8912,""-\d+(.*)|--\d+(.*)"","""")"),"ANTAGNAC")</f>
        <v>ANTAGNAC</v>
      </c>
      <c r="E8912" s="38" t="s">
        <v>251</v>
      </c>
      <c r="F8912" s="38" t="s">
        <v>252</v>
      </c>
      <c r="G8912" s="49" t="str">
        <f t="shared" si="1"/>
        <v>47700</v>
      </c>
      <c r="H8912" s="49">
        <f t="shared" si="2"/>
        <v>47010</v>
      </c>
    </row>
    <row r="8913">
      <c r="A8913" s="48" t="s">
        <v>1628</v>
      </c>
      <c r="B8913" s="38">
        <v>70554.0</v>
      </c>
      <c r="C8913" s="38" t="s">
        <v>12694</v>
      </c>
      <c r="D8913" s="38" t="str">
        <f>IFERROR(__xludf.DUMMYFUNCTION("REGEXREPLACE(C8913,""-\d+(.*)|--\d+(.*)"","""")"),"VILLARS-LE-PAUTEL")</f>
        <v>VILLARS-LE-PAUTEL</v>
      </c>
      <c r="E8913" s="38" t="s">
        <v>956</v>
      </c>
      <c r="F8913" s="38" t="s">
        <v>214</v>
      </c>
      <c r="G8913" s="49" t="str">
        <f t="shared" si="1"/>
        <v>70500</v>
      </c>
      <c r="H8913" s="49">
        <f t="shared" si="2"/>
        <v>70554</v>
      </c>
    </row>
    <row r="8914">
      <c r="A8914" s="48" t="s">
        <v>12695</v>
      </c>
      <c r="B8914" s="38">
        <v>26143.0</v>
      </c>
      <c r="C8914" s="38" t="s">
        <v>12696</v>
      </c>
      <c r="D8914" s="38" t="str">
        <f>IFERROR(__xludf.DUMMYFUNCTION("REGEXREPLACE(C8914,""-\d+(.*)|--\d+(.*)"","""")"),"LE GRAND-SERRE")</f>
        <v>LE GRAND-SERRE</v>
      </c>
      <c r="E8914" s="38" t="s">
        <v>126</v>
      </c>
      <c r="F8914" s="38" t="s">
        <v>102</v>
      </c>
      <c r="G8914" s="49" t="str">
        <f t="shared" si="1"/>
        <v>26530</v>
      </c>
      <c r="H8914" s="49">
        <f t="shared" si="2"/>
        <v>26143</v>
      </c>
    </row>
    <row r="8915">
      <c r="A8915" s="48" t="s">
        <v>2360</v>
      </c>
      <c r="B8915" s="38">
        <v>79086.0</v>
      </c>
      <c r="C8915" s="38" t="s">
        <v>12697</v>
      </c>
      <c r="D8915" s="38" t="str">
        <f>IFERROR(__xludf.DUMMYFUNCTION("REGEXREPLACE(C8915,""-\d+(.*)|--\d+(.*)"","""")"),"CHERVEUX")</f>
        <v>CHERVEUX</v>
      </c>
      <c r="E8915" s="38" t="s">
        <v>337</v>
      </c>
      <c r="F8915" s="38" t="s">
        <v>338</v>
      </c>
      <c r="G8915" s="49" t="str">
        <f t="shared" si="1"/>
        <v>79410</v>
      </c>
      <c r="H8915" s="49">
        <f t="shared" si="2"/>
        <v>79086</v>
      </c>
    </row>
    <row r="8916">
      <c r="A8916" s="48" t="s">
        <v>1570</v>
      </c>
      <c r="B8916" s="38">
        <v>16029.0</v>
      </c>
      <c r="C8916" s="38" t="s">
        <v>12698</v>
      </c>
      <c r="D8916" s="38" t="str">
        <f>IFERROR(__xludf.DUMMYFUNCTION("REGEXREPLACE(C8916,""-\d+(.*)|--\d+(.*)"","""")"),"BARDENAC")</f>
        <v>BARDENAC</v>
      </c>
      <c r="E8916" s="38" t="s">
        <v>429</v>
      </c>
      <c r="F8916" s="38" t="s">
        <v>338</v>
      </c>
      <c r="G8916" s="49" t="str">
        <f t="shared" si="1"/>
        <v>16210</v>
      </c>
      <c r="H8916" s="49">
        <f t="shared" si="2"/>
        <v>16029</v>
      </c>
    </row>
    <row r="8917">
      <c r="A8917" s="48" t="s">
        <v>10819</v>
      </c>
      <c r="B8917" s="38">
        <v>65251.0</v>
      </c>
      <c r="C8917" s="38" t="s">
        <v>12699</v>
      </c>
      <c r="D8917" s="38" t="str">
        <f>IFERROR(__xludf.DUMMYFUNCTION("REGEXREPLACE(C8917,""-\d+(.*)|--\d+(.*)"","""")"),"LALOUBERE")</f>
        <v>LALOUBERE</v>
      </c>
      <c r="E8917" s="38" t="s">
        <v>200</v>
      </c>
      <c r="F8917" s="38" t="s">
        <v>94</v>
      </c>
      <c r="G8917" s="49" t="str">
        <f t="shared" si="1"/>
        <v>65310</v>
      </c>
      <c r="H8917" s="49">
        <f t="shared" si="2"/>
        <v>65251</v>
      </c>
    </row>
    <row r="8918">
      <c r="A8918" s="48" t="s">
        <v>384</v>
      </c>
      <c r="B8918" s="38">
        <v>55221.0</v>
      </c>
      <c r="C8918" s="38" t="s">
        <v>12700</v>
      </c>
      <c r="D8918" s="38" t="str">
        <f>IFERROR(__xludf.DUMMYFUNCTION("REGEXREPLACE(C8918,""-\d+(.*)|--\d+(.*)"","""")"),"GUERPONT")</f>
        <v>GUERPONT</v>
      </c>
      <c r="E8918" s="38" t="s">
        <v>322</v>
      </c>
      <c r="F8918" s="38" t="s">
        <v>195</v>
      </c>
      <c r="G8918" s="49" t="str">
        <f t="shared" si="1"/>
        <v>55000</v>
      </c>
      <c r="H8918" s="49">
        <f t="shared" si="2"/>
        <v>55221</v>
      </c>
    </row>
    <row r="8919">
      <c r="A8919" s="48" t="s">
        <v>186</v>
      </c>
      <c r="B8919" s="38">
        <v>41121.0</v>
      </c>
      <c r="C8919" s="38" t="s">
        <v>12701</v>
      </c>
      <c r="D8919" s="38" t="str">
        <f>IFERROR(__xludf.DUMMYFUNCTION("REGEXREPLACE(C8919,""-\d+(.*)|--\d+(.*)"","""")"),"LA MADELEINE-VILLEFROUIN")</f>
        <v>LA MADELEINE-VILLEFROUIN</v>
      </c>
      <c r="E8919" s="38" t="s">
        <v>188</v>
      </c>
      <c r="F8919" s="38" t="s">
        <v>123</v>
      </c>
      <c r="G8919" s="49" t="str">
        <f t="shared" si="1"/>
        <v>41370</v>
      </c>
      <c r="H8919" s="49">
        <f t="shared" si="2"/>
        <v>41121</v>
      </c>
    </row>
    <row r="8920">
      <c r="A8920" s="48" t="s">
        <v>1940</v>
      </c>
      <c r="B8920" s="38">
        <v>51276.0</v>
      </c>
      <c r="C8920" s="38" t="s">
        <v>12702</v>
      </c>
      <c r="D8920" s="38" t="str">
        <f>IFERROR(__xludf.DUMMYFUNCTION("REGEXREPLACE(C8920,""-\d+(.*)|--\d+(.*)"","""")"),"GOURGANCON")</f>
        <v>GOURGANCON</v>
      </c>
      <c r="E8920" s="38" t="s">
        <v>129</v>
      </c>
      <c r="F8920" s="38" t="s">
        <v>130</v>
      </c>
      <c r="G8920" s="49" t="str">
        <f t="shared" si="1"/>
        <v>51230</v>
      </c>
      <c r="H8920" s="49">
        <f t="shared" si="2"/>
        <v>51276</v>
      </c>
    </row>
    <row r="8921">
      <c r="A8921" s="48" t="s">
        <v>3978</v>
      </c>
      <c r="B8921" s="38">
        <v>21300.0</v>
      </c>
      <c r="C8921" s="38" t="s">
        <v>12703</v>
      </c>
      <c r="D8921" s="38" t="str">
        <f>IFERROR(__xludf.DUMMYFUNCTION("REGEXREPLACE(C8921,""-\d+(.*)|--\d+(.*)"","""")"),"GISSEY-SUR-OUCHE")</f>
        <v>GISSEY-SUR-OUCHE</v>
      </c>
      <c r="E8921" s="38" t="s">
        <v>105</v>
      </c>
      <c r="F8921" s="38" t="s">
        <v>106</v>
      </c>
      <c r="G8921" s="49" t="str">
        <f t="shared" si="1"/>
        <v>21410</v>
      </c>
      <c r="H8921" s="49">
        <f t="shared" si="2"/>
        <v>21300</v>
      </c>
    </row>
    <row r="8922">
      <c r="A8922" s="48" t="s">
        <v>2168</v>
      </c>
      <c r="B8922" s="38">
        <v>77401.0</v>
      </c>
      <c r="C8922" s="38" t="s">
        <v>12704</v>
      </c>
      <c r="D8922" s="38" t="str">
        <f>IFERROR(__xludf.DUMMYFUNCTION("REGEXREPLACE(C8922,""-\d+(.*)|--\d+(.*)"","""")"),"SAINTE-AULDE")</f>
        <v>SAINTE-AULDE</v>
      </c>
      <c r="E8922" s="38" t="s">
        <v>244</v>
      </c>
      <c r="F8922" s="38" t="s">
        <v>245</v>
      </c>
      <c r="G8922" s="49" t="str">
        <f t="shared" si="1"/>
        <v>77260</v>
      </c>
      <c r="H8922" s="49">
        <f t="shared" si="2"/>
        <v>77401</v>
      </c>
    </row>
    <row r="8923">
      <c r="A8923" s="48" t="s">
        <v>2093</v>
      </c>
      <c r="B8923" s="38">
        <v>69074.0</v>
      </c>
      <c r="C8923" s="38" t="s">
        <v>12705</v>
      </c>
      <c r="D8923" s="38" t="str">
        <f>IFERROR(__xludf.DUMMYFUNCTION("REGEXREPLACE(C8923,""-\d+(.*)|--\d+(.*)"","""")"),"DENICE")</f>
        <v>DENICE</v>
      </c>
      <c r="E8923" s="38" t="s">
        <v>350</v>
      </c>
      <c r="F8923" s="38" t="s">
        <v>102</v>
      </c>
      <c r="G8923" s="49" t="str">
        <f t="shared" si="1"/>
        <v>69640</v>
      </c>
      <c r="H8923" s="49">
        <f t="shared" si="2"/>
        <v>69074</v>
      </c>
    </row>
    <row r="8924">
      <c r="A8924" s="48" t="s">
        <v>2608</v>
      </c>
      <c r="B8924" s="38">
        <v>24346.0</v>
      </c>
      <c r="C8924" s="38" t="s">
        <v>12706</v>
      </c>
      <c r="D8924" s="38" t="str">
        <f>IFERROR(__xludf.DUMMYFUNCTION("REGEXREPLACE(C8924,""-\d+(.*)|--\d+(.*)"","""")"),"QUINSAC")</f>
        <v>QUINSAC</v>
      </c>
      <c r="E8924" s="38" t="s">
        <v>261</v>
      </c>
      <c r="F8924" s="38" t="s">
        <v>252</v>
      </c>
      <c r="G8924" s="49" t="str">
        <f t="shared" si="1"/>
        <v>24530</v>
      </c>
      <c r="H8924" s="49">
        <f t="shared" si="2"/>
        <v>24346</v>
      </c>
    </row>
    <row r="8925">
      <c r="A8925" s="48" t="s">
        <v>7749</v>
      </c>
      <c r="B8925" s="38">
        <v>85036.0</v>
      </c>
      <c r="C8925" s="38" t="s">
        <v>12707</v>
      </c>
      <c r="D8925" s="38" t="str">
        <f>IFERROR(__xludf.DUMMYFUNCTION("REGEXREPLACE(C8925,""-\d+(.*)|--\d+(.*)"","""")"),"LA BRETONNIERE-LA-CLAYE")</f>
        <v>LA BRETONNIERE-LA-CLAYE</v>
      </c>
      <c r="E8925" s="38" t="s">
        <v>179</v>
      </c>
      <c r="F8925" s="38" t="s">
        <v>180</v>
      </c>
      <c r="G8925" s="49" t="str">
        <f t="shared" si="1"/>
        <v>85320</v>
      </c>
      <c r="H8925" s="49">
        <f t="shared" si="2"/>
        <v>85036</v>
      </c>
    </row>
    <row r="8926">
      <c r="A8926" s="48" t="s">
        <v>1721</v>
      </c>
      <c r="B8926" s="38">
        <v>33227.0</v>
      </c>
      <c r="C8926" s="38" t="s">
        <v>12708</v>
      </c>
      <c r="D8926" s="38" t="str">
        <f>IFERROR(__xludf.DUMMYFUNCTION("REGEXREPLACE(C8926,""-\d+(.*)|--\d+(.*)"","""")"),"LANGON")</f>
        <v>LANGON</v>
      </c>
      <c r="E8926" s="38" t="s">
        <v>462</v>
      </c>
      <c r="F8926" s="38" t="s">
        <v>252</v>
      </c>
      <c r="G8926" s="49" t="str">
        <f t="shared" si="1"/>
        <v>33210</v>
      </c>
      <c r="H8926" s="49">
        <f t="shared" si="2"/>
        <v>33227</v>
      </c>
    </row>
    <row r="8927">
      <c r="A8927" s="48" t="s">
        <v>522</v>
      </c>
      <c r="B8927" s="38">
        <v>39545.0</v>
      </c>
      <c r="C8927" s="38" t="s">
        <v>12709</v>
      </c>
      <c r="D8927" s="38" t="str">
        <f>IFERROR(__xludf.DUMMYFUNCTION("REGEXREPLACE(C8927,""-\d+(.*)|--\d+(.*)"","""")"),"LE VAUDIOUX")</f>
        <v>LE VAUDIOUX</v>
      </c>
      <c r="E8927" s="38" t="s">
        <v>400</v>
      </c>
      <c r="F8927" s="38" t="s">
        <v>214</v>
      </c>
      <c r="G8927" s="49" t="str">
        <f t="shared" si="1"/>
        <v>39300</v>
      </c>
      <c r="H8927" s="49">
        <f t="shared" si="2"/>
        <v>39545</v>
      </c>
    </row>
    <row r="8928">
      <c r="A8928" s="48" t="s">
        <v>3422</v>
      </c>
      <c r="B8928" s="38">
        <v>32206.0</v>
      </c>
      <c r="C8928" s="38" t="s">
        <v>12710</v>
      </c>
      <c r="D8928" s="38" t="str">
        <f>IFERROR(__xludf.DUMMYFUNCTION("REGEXREPLACE(C8928,""-\d+(.*)|--\d+(.*)"","""")"),"LAYMONT")</f>
        <v>LAYMONT</v>
      </c>
      <c r="E8928" s="38" t="s">
        <v>440</v>
      </c>
      <c r="F8928" s="38" t="s">
        <v>94</v>
      </c>
      <c r="G8928" s="49" t="str">
        <f t="shared" si="1"/>
        <v>32220</v>
      </c>
      <c r="H8928" s="49">
        <f t="shared" si="2"/>
        <v>32206</v>
      </c>
    </row>
    <row r="8929">
      <c r="A8929" s="48" t="s">
        <v>4754</v>
      </c>
      <c r="B8929" s="38">
        <v>12113.0</v>
      </c>
      <c r="C8929" s="38" t="s">
        <v>12711</v>
      </c>
      <c r="D8929" s="38" t="str">
        <f>IFERROR(__xludf.DUMMYFUNCTION("REGEXREPLACE(C8929,""-\d+(.*)|--\d+(.*)"","""")"),"GRAMOND")</f>
        <v>GRAMOND</v>
      </c>
      <c r="E8929" s="38" t="s">
        <v>465</v>
      </c>
      <c r="F8929" s="38" t="s">
        <v>94</v>
      </c>
      <c r="G8929" s="49" t="str">
        <f t="shared" si="1"/>
        <v>12160</v>
      </c>
      <c r="H8929" s="49">
        <f t="shared" si="2"/>
        <v>12113</v>
      </c>
    </row>
    <row r="8930">
      <c r="A8930" s="48" t="s">
        <v>3450</v>
      </c>
      <c r="B8930" s="38">
        <v>60189.0</v>
      </c>
      <c r="C8930" s="38" t="s">
        <v>12712</v>
      </c>
      <c r="D8930" s="38" t="str">
        <f>IFERROR(__xludf.DUMMYFUNCTION("REGEXREPLACE(C8930,""-\d+(.*)|--\d+(.*)"","""")"),"CUTS")</f>
        <v>CUTS</v>
      </c>
      <c r="E8930" s="38" t="s">
        <v>112</v>
      </c>
      <c r="F8930" s="38" t="s">
        <v>113</v>
      </c>
      <c r="G8930" s="49" t="str">
        <f t="shared" si="1"/>
        <v>60400</v>
      </c>
      <c r="H8930" s="49">
        <f t="shared" si="2"/>
        <v>60189</v>
      </c>
    </row>
    <row r="8931">
      <c r="A8931" s="48" t="s">
        <v>2942</v>
      </c>
      <c r="B8931" s="38">
        <v>14442.0</v>
      </c>
      <c r="C8931" s="38" t="s">
        <v>12713</v>
      </c>
      <c r="D8931" s="38" t="str">
        <f>IFERROR(__xludf.DUMMYFUNCTION("REGEXREPLACE(C8931,""-\d+(.*)|--\d+(.*)"","""")"),"MONTCHAMP")</f>
        <v>MONTCHAMP</v>
      </c>
      <c r="E8931" s="38" t="s">
        <v>137</v>
      </c>
      <c r="F8931" s="38" t="s">
        <v>138</v>
      </c>
      <c r="G8931" s="49" t="str">
        <f t="shared" si="1"/>
        <v>14350</v>
      </c>
      <c r="H8931" s="49">
        <f t="shared" si="2"/>
        <v>14442</v>
      </c>
    </row>
    <row r="8932">
      <c r="A8932" s="48" t="s">
        <v>6822</v>
      </c>
      <c r="B8932" s="38">
        <v>79034.0</v>
      </c>
      <c r="C8932" s="38" t="s">
        <v>12714</v>
      </c>
      <c r="D8932" s="38" t="str">
        <f>IFERROR(__xludf.DUMMYFUNCTION("REGEXREPLACE(C8932,""-\d+(.*)|--\d+(.*)"","""")"),"BESSINES")</f>
        <v>BESSINES</v>
      </c>
      <c r="E8932" s="38" t="s">
        <v>337</v>
      </c>
      <c r="F8932" s="38" t="s">
        <v>338</v>
      </c>
      <c r="G8932" s="49" t="str">
        <f t="shared" si="1"/>
        <v>79000</v>
      </c>
      <c r="H8932" s="49">
        <f t="shared" si="2"/>
        <v>79034</v>
      </c>
    </row>
    <row r="8933">
      <c r="A8933" s="48" t="s">
        <v>2384</v>
      </c>
      <c r="B8933" s="38">
        <v>21284.0</v>
      </c>
      <c r="C8933" s="38" t="s">
        <v>2945</v>
      </c>
      <c r="D8933" s="38" t="str">
        <f>IFERROR(__xludf.DUMMYFUNCTION("REGEXREPLACE(C8933,""-\d+(.*)|--\d+(.*)"","""")"),"FRANCHEVILLE")</f>
        <v>FRANCHEVILLE</v>
      </c>
      <c r="E8933" s="38" t="s">
        <v>105</v>
      </c>
      <c r="F8933" s="38" t="s">
        <v>106</v>
      </c>
      <c r="G8933" s="49" t="str">
        <f t="shared" si="1"/>
        <v>21440</v>
      </c>
      <c r="H8933" s="49">
        <f t="shared" si="2"/>
        <v>21284</v>
      </c>
    </row>
    <row r="8934">
      <c r="A8934" s="48" t="s">
        <v>12715</v>
      </c>
      <c r="B8934" s="38">
        <v>29224.0</v>
      </c>
      <c r="C8934" s="38" t="s">
        <v>12716</v>
      </c>
      <c r="D8934" s="38" t="str">
        <f>IFERROR(__xludf.DUMMYFUNCTION("REGEXREPLACE(C8934,""-\d+(.*)|--\d+(.*)"","""")"),"POULDERGAT")</f>
        <v>POULDERGAT</v>
      </c>
      <c r="E8934" s="38" t="s">
        <v>176</v>
      </c>
      <c r="F8934" s="38" t="s">
        <v>90</v>
      </c>
      <c r="G8934" s="49" t="str">
        <f t="shared" si="1"/>
        <v>29100</v>
      </c>
      <c r="H8934" s="49">
        <f t="shared" si="2"/>
        <v>29224</v>
      </c>
    </row>
    <row r="8935">
      <c r="A8935" s="48" t="s">
        <v>4992</v>
      </c>
      <c r="B8935" s="38">
        <v>80603.0</v>
      </c>
      <c r="C8935" s="38" t="s">
        <v>12717</v>
      </c>
      <c r="D8935" s="38" t="str">
        <f>IFERROR(__xludf.DUMMYFUNCTION("REGEXREPLACE(C8935,""-\d+(.*)|--\d+(.*)"","""")"),"OCHANCOURT")</f>
        <v>OCHANCOURT</v>
      </c>
      <c r="E8935" s="38" t="s">
        <v>224</v>
      </c>
      <c r="F8935" s="38" t="s">
        <v>113</v>
      </c>
      <c r="G8935" s="49" t="str">
        <f t="shared" si="1"/>
        <v>80210</v>
      </c>
      <c r="H8935" s="49">
        <f t="shared" si="2"/>
        <v>80603</v>
      </c>
    </row>
    <row r="8936">
      <c r="A8936" s="48" t="s">
        <v>6414</v>
      </c>
      <c r="B8936" s="38">
        <v>34049.0</v>
      </c>
      <c r="C8936" s="38" t="s">
        <v>12718</v>
      </c>
      <c r="D8936" s="38" t="str">
        <f>IFERROR(__xludf.DUMMYFUNCTION("REGEXREPLACE(C8936,""-\d+(.*)|--\d+(.*)"","""")"),"CAMPLONG")</f>
        <v>CAMPLONG</v>
      </c>
      <c r="E8936" s="38" t="s">
        <v>118</v>
      </c>
      <c r="F8936" s="38" t="s">
        <v>119</v>
      </c>
      <c r="G8936" s="49" t="str">
        <f t="shared" si="1"/>
        <v>34260</v>
      </c>
      <c r="H8936" s="49">
        <f t="shared" si="2"/>
        <v>34049</v>
      </c>
    </row>
    <row r="8937">
      <c r="A8937" s="48" t="s">
        <v>10416</v>
      </c>
      <c r="B8937" s="38">
        <v>50179.0</v>
      </c>
      <c r="C8937" s="38" t="s">
        <v>9893</v>
      </c>
      <c r="D8937" s="38" t="str">
        <f>IFERROR(__xludf.DUMMYFUNCTION("REGEXREPLACE(C8937,""-\d+(.*)|--\d+(.*)"","""")"),"FERRIERES")</f>
        <v>FERRIERES</v>
      </c>
      <c r="E8937" s="38" t="s">
        <v>157</v>
      </c>
      <c r="F8937" s="38" t="s">
        <v>138</v>
      </c>
      <c r="G8937" s="49" t="str">
        <f t="shared" si="1"/>
        <v>50640</v>
      </c>
      <c r="H8937" s="49">
        <f t="shared" si="2"/>
        <v>50179</v>
      </c>
    </row>
    <row r="8938">
      <c r="A8938" s="48" t="s">
        <v>5212</v>
      </c>
      <c r="B8938" s="38">
        <v>41225.0</v>
      </c>
      <c r="C8938" s="38" t="s">
        <v>12719</v>
      </c>
      <c r="D8938" s="38" t="str">
        <f>IFERROR(__xludf.DUMMYFUNCTION("REGEXREPLACE(C8938,""-\d+(.*)|--\d+(.*)"","""")"),"SAINT-MARTIN-DES-BOIS")</f>
        <v>SAINT-MARTIN-DES-BOIS</v>
      </c>
      <c r="E8938" s="38" t="s">
        <v>188</v>
      </c>
      <c r="F8938" s="38" t="s">
        <v>123</v>
      </c>
      <c r="G8938" s="49" t="str">
        <f t="shared" si="1"/>
        <v>41800</v>
      </c>
      <c r="H8938" s="49">
        <f t="shared" si="2"/>
        <v>41225</v>
      </c>
    </row>
    <row r="8939">
      <c r="A8939" s="48" t="s">
        <v>983</v>
      </c>
      <c r="B8939" s="38">
        <v>52218.0</v>
      </c>
      <c r="C8939" s="38" t="s">
        <v>12720</v>
      </c>
      <c r="D8939" s="38" t="str">
        <f>IFERROR(__xludf.DUMMYFUNCTION("REGEXREPLACE(C8939,""-\d+(.*)|--\d+(.*)"","""")"),"GERMAY")</f>
        <v>GERMAY</v>
      </c>
      <c r="E8939" s="38" t="s">
        <v>234</v>
      </c>
      <c r="F8939" s="38" t="s">
        <v>130</v>
      </c>
      <c r="G8939" s="49" t="str">
        <f t="shared" si="1"/>
        <v>52230</v>
      </c>
      <c r="H8939" s="49">
        <f t="shared" si="2"/>
        <v>52218</v>
      </c>
    </row>
    <row r="8940">
      <c r="A8940" s="48" t="s">
        <v>1036</v>
      </c>
      <c r="B8940" s="38">
        <v>57009.0</v>
      </c>
      <c r="C8940" s="38" t="s">
        <v>12721</v>
      </c>
      <c r="D8940" s="38" t="str">
        <f>IFERROR(__xludf.DUMMYFUNCTION("REGEXREPLACE(C8940,""-\d+(.*)|--\d+(.*)"","""")"),"AJONCOURT")</f>
        <v>AJONCOURT</v>
      </c>
      <c r="E8940" s="38" t="s">
        <v>303</v>
      </c>
      <c r="F8940" s="38" t="s">
        <v>195</v>
      </c>
      <c r="G8940" s="49" t="str">
        <f t="shared" si="1"/>
        <v>57590</v>
      </c>
      <c r="H8940" s="49">
        <f t="shared" si="2"/>
        <v>57009</v>
      </c>
    </row>
    <row r="8941">
      <c r="A8941" s="48" t="s">
        <v>2330</v>
      </c>
      <c r="B8941" s="38">
        <v>65467.0</v>
      </c>
      <c r="C8941" s="38" t="s">
        <v>12722</v>
      </c>
      <c r="D8941" s="38" t="str">
        <f>IFERROR(__xludf.DUMMYFUNCTION("REGEXREPLACE(C8941,""-\d+(.*)|--\d+(.*)"","""")"),"VIER-BORDES")</f>
        <v>VIER-BORDES</v>
      </c>
      <c r="E8941" s="38" t="s">
        <v>200</v>
      </c>
      <c r="F8941" s="38" t="s">
        <v>94</v>
      </c>
      <c r="G8941" s="49" t="str">
        <f t="shared" si="1"/>
        <v>65400</v>
      </c>
      <c r="H8941" s="49">
        <f t="shared" si="2"/>
        <v>65467</v>
      </c>
    </row>
    <row r="8942">
      <c r="A8942" s="48" t="s">
        <v>1889</v>
      </c>
      <c r="B8942" s="38">
        <v>25612.0</v>
      </c>
      <c r="C8942" s="38" t="s">
        <v>12723</v>
      </c>
      <c r="D8942" s="38" t="str">
        <f>IFERROR(__xludf.DUMMYFUNCTION("REGEXREPLACE(C8942,""-\d+(.*)|--\d+(.*)"","""")"),"VIEILLEY")</f>
        <v>VIEILLEY</v>
      </c>
      <c r="E8942" s="38" t="s">
        <v>213</v>
      </c>
      <c r="F8942" s="38" t="s">
        <v>214</v>
      </c>
      <c r="G8942" s="49" t="str">
        <f t="shared" si="1"/>
        <v>25870</v>
      </c>
      <c r="H8942" s="49">
        <f t="shared" si="2"/>
        <v>25612</v>
      </c>
    </row>
    <row r="8943">
      <c r="A8943" s="48" t="s">
        <v>12724</v>
      </c>
      <c r="B8943" s="38">
        <v>34118.0</v>
      </c>
      <c r="C8943" s="38" t="s">
        <v>12725</v>
      </c>
      <c r="D8943" s="38" t="str">
        <f>IFERROR(__xludf.DUMMYFUNCTION("REGEXREPLACE(C8943,""-\d+(.*)|--\d+(.*)"","""")"),"GUZARGUES")</f>
        <v>GUZARGUES</v>
      </c>
      <c r="E8943" s="38" t="s">
        <v>118</v>
      </c>
      <c r="F8943" s="38" t="s">
        <v>119</v>
      </c>
      <c r="G8943" s="49" t="str">
        <f t="shared" si="1"/>
        <v>34820</v>
      </c>
      <c r="H8943" s="49">
        <f t="shared" si="2"/>
        <v>34118</v>
      </c>
    </row>
    <row r="8944">
      <c r="A8944" s="48" t="s">
        <v>5759</v>
      </c>
      <c r="B8944" s="38">
        <v>59174.0</v>
      </c>
      <c r="C8944" s="38" t="s">
        <v>12726</v>
      </c>
      <c r="D8944" s="38" t="str">
        <f>IFERROR(__xludf.DUMMYFUNCTION("REGEXREPLACE(C8944,""-\d+(.*)|--\d+(.*)"","""")"),"DIMECHAUX")</f>
        <v>DIMECHAUX</v>
      </c>
      <c r="E8944" s="38" t="s">
        <v>85</v>
      </c>
      <c r="F8944" s="38" t="s">
        <v>86</v>
      </c>
      <c r="G8944" s="49" t="str">
        <f t="shared" si="1"/>
        <v>59740</v>
      </c>
      <c r="H8944" s="49">
        <f t="shared" si="2"/>
        <v>59174</v>
      </c>
    </row>
    <row r="8945">
      <c r="A8945" s="48" t="s">
        <v>1495</v>
      </c>
      <c r="B8945" s="38">
        <v>33499.0</v>
      </c>
      <c r="C8945" s="38" t="s">
        <v>12727</v>
      </c>
      <c r="D8945" s="38" t="str">
        <f>IFERROR(__xludf.DUMMYFUNCTION("REGEXREPLACE(C8945,""-\d+(.*)|--\d+(.*)"","""")"),"LES SALLES-DE-CASTILLON")</f>
        <v>LES SALLES-DE-CASTILLON</v>
      </c>
      <c r="E8945" s="38" t="s">
        <v>462</v>
      </c>
      <c r="F8945" s="38" t="s">
        <v>252</v>
      </c>
      <c r="G8945" s="49" t="str">
        <f t="shared" si="1"/>
        <v>33350</v>
      </c>
      <c r="H8945" s="49">
        <f t="shared" si="2"/>
        <v>33499</v>
      </c>
    </row>
    <row r="8946">
      <c r="A8946" s="48" t="s">
        <v>3948</v>
      </c>
      <c r="B8946" s="38">
        <v>21359.0</v>
      </c>
      <c r="C8946" s="38" t="s">
        <v>565</v>
      </c>
      <c r="D8946" s="38" t="str">
        <f>IFERROR(__xludf.DUMMYFUNCTION("REGEXREPLACE(C8946,""-\d+(.*)|--\d+(.*)"","""")"),"LUCEY")</f>
        <v>LUCEY</v>
      </c>
      <c r="E8946" s="38" t="s">
        <v>105</v>
      </c>
      <c r="F8946" s="38" t="s">
        <v>106</v>
      </c>
      <c r="G8946" s="49" t="str">
        <f t="shared" si="1"/>
        <v>21290</v>
      </c>
      <c r="H8946" s="49">
        <f t="shared" si="2"/>
        <v>21359</v>
      </c>
    </row>
    <row r="8947">
      <c r="A8947" s="48" t="s">
        <v>12728</v>
      </c>
      <c r="B8947" s="38">
        <v>75102.0</v>
      </c>
      <c r="C8947" s="38" t="s">
        <v>12729</v>
      </c>
      <c r="D8947" s="38" t="str">
        <f>IFERROR(__xludf.DUMMYFUNCTION("REGEXREPLACE(C8947,""-\d+(.*)|--\d+(.*)"","""")"),"PARIS")</f>
        <v>PARIS</v>
      </c>
      <c r="E8947" s="38" t="s">
        <v>823</v>
      </c>
      <c r="F8947" s="38" t="s">
        <v>245</v>
      </c>
      <c r="G8947" s="49" t="str">
        <f t="shared" si="1"/>
        <v>75002</v>
      </c>
      <c r="H8947" s="49">
        <f t="shared" si="2"/>
        <v>75102</v>
      </c>
    </row>
    <row r="8948">
      <c r="A8948" s="48" t="s">
        <v>12730</v>
      </c>
      <c r="B8948" s="38">
        <v>74083.0</v>
      </c>
      <c r="C8948" s="38" t="s">
        <v>12731</v>
      </c>
      <c r="D8948" s="38" t="str">
        <f>IFERROR(__xludf.DUMMYFUNCTION("REGEXREPLACE(C8948,""-\d+(.*)|--\d+(.*)"","""")"),"COMBLOUX")</f>
        <v>COMBLOUX</v>
      </c>
      <c r="E8948" s="38" t="s">
        <v>319</v>
      </c>
      <c r="F8948" s="38" t="s">
        <v>102</v>
      </c>
      <c r="G8948" s="49" t="str">
        <f t="shared" si="1"/>
        <v>74920</v>
      </c>
      <c r="H8948" s="49">
        <f t="shared" si="2"/>
        <v>74083</v>
      </c>
    </row>
    <row r="8949">
      <c r="A8949" s="48" t="s">
        <v>12732</v>
      </c>
      <c r="B8949" s="38">
        <v>29047.0</v>
      </c>
      <c r="C8949" s="38" t="s">
        <v>12733</v>
      </c>
      <c r="D8949" s="38" t="str">
        <f>IFERROR(__xludf.DUMMYFUNCTION("REGEXREPLACE(C8949,""-\d+(.*)|--\d+(.*)"","""")"),"LE DRENNEC")</f>
        <v>LE DRENNEC</v>
      </c>
      <c r="E8949" s="38" t="s">
        <v>176</v>
      </c>
      <c r="F8949" s="38" t="s">
        <v>90</v>
      </c>
      <c r="G8949" s="49" t="str">
        <f t="shared" si="1"/>
        <v>29860</v>
      </c>
      <c r="H8949" s="49">
        <f t="shared" si="2"/>
        <v>29047</v>
      </c>
    </row>
    <row r="8950">
      <c r="A8950" s="48" t="s">
        <v>2141</v>
      </c>
      <c r="B8950" s="38">
        <v>80276.0</v>
      </c>
      <c r="C8950" s="38" t="s">
        <v>12734</v>
      </c>
      <c r="D8950" s="38" t="str">
        <f>IFERROR(__xludf.DUMMYFUNCTION("REGEXREPLACE(C8950,""-\d+(.*)|--\d+(.*)"","""")"),"EQUENNES-ERAMECOURT")</f>
        <v>EQUENNES-ERAMECOURT</v>
      </c>
      <c r="E8950" s="38" t="s">
        <v>224</v>
      </c>
      <c r="F8950" s="38" t="s">
        <v>113</v>
      </c>
      <c r="G8950" s="49" t="str">
        <f t="shared" si="1"/>
        <v>80290</v>
      </c>
      <c r="H8950" s="49">
        <f t="shared" si="2"/>
        <v>80276</v>
      </c>
    </row>
    <row r="8951">
      <c r="A8951" s="48" t="s">
        <v>12735</v>
      </c>
      <c r="B8951" s="38">
        <v>13005.0</v>
      </c>
      <c r="C8951" s="38" t="s">
        <v>12736</v>
      </c>
      <c r="D8951" s="38" t="str">
        <f>IFERROR(__xludf.DUMMYFUNCTION("REGEXREPLACE(C8951,""-\d+(.*)|--\d+(.*)"","""")"),"AUBAGNE")</f>
        <v>AUBAGNE</v>
      </c>
      <c r="E8951" s="38" t="s">
        <v>980</v>
      </c>
      <c r="F8951" s="38" t="s">
        <v>228</v>
      </c>
      <c r="G8951" s="49" t="str">
        <f t="shared" si="1"/>
        <v>13400</v>
      </c>
      <c r="H8951" s="49">
        <f t="shared" si="2"/>
        <v>13005</v>
      </c>
    </row>
    <row r="8952">
      <c r="A8952" s="48" t="s">
        <v>12737</v>
      </c>
      <c r="B8952" s="38">
        <v>59382.0</v>
      </c>
      <c r="C8952" s="38" t="s">
        <v>12738</v>
      </c>
      <c r="D8952" s="38" t="str">
        <f>IFERROR(__xludf.DUMMYFUNCTION("REGEXREPLACE(C8952,""-\d+(.*)|--\d+(.*)"","""")"),"MARETZ")</f>
        <v>MARETZ</v>
      </c>
      <c r="E8952" s="38" t="s">
        <v>85</v>
      </c>
      <c r="F8952" s="38" t="s">
        <v>86</v>
      </c>
      <c r="G8952" s="49" t="str">
        <f t="shared" si="1"/>
        <v>59238</v>
      </c>
      <c r="H8952" s="49">
        <f t="shared" si="2"/>
        <v>59382</v>
      </c>
    </row>
    <row r="8953">
      <c r="A8953" s="48" t="s">
        <v>9264</v>
      </c>
      <c r="B8953" s="38">
        <v>32025.0</v>
      </c>
      <c r="C8953" s="38" t="s">
        <v>12739</v>
      </c>
      <c r="D8953" s="38" t="str">
        <f>IFERROR(__xludf.DUMMYFUNCTION("REGEXREPLACE(C8953,""-\d+(.*)|--\d+(.*)"","""")"),"AYZIEU")</f>
        <v>AYZIEU</v>
      </c>
      <c r="E8953" s="38" t="s">
        <v>440</v>
      </c>
      <c r="F8953" s="38" t="s">
        <v>94</v>
      </c>
      <c r="G8953" s="49" t="str">
        <f t="shared" si="1"/>
        <v>32800</v>
      </c>
      <c r="H8953" s="49">
        <f t="shared" si="2"/>
        <v>32025</v>
      </c>
    </row>
    <row r="8954">
      <c r="A8954" s="48" t="s">
        <v>6878</v>
      </c>
      <c r="B8954" s="38">
        <v>80039.0</v>
      </c>
      <c r="C8954" s="38" t="s">
        <v>12740</v>
      </c>
      <c r="D8954" s="38" t="str">
        <f>IFERROR(__xludf.DUMMYFUNCTION("REGEXREPLACE(C8954,""-\d+(.*)|--\d+(.*)"","""")"),"AULT")</f>
        <v>AULT</v>
      </c>
      <c r="E8954" s="38" t="s">
        <v>224</v>
      </c>
      <c r="F8954" s="38" t="s">
        <v>113</v>
      </c>
      <c r="G8954" s="49" t="str">
        <f t="shared" si="1"/>
        <v>80460</v>
      </c>
      <c r="H8954" s="49">
        <f t="shared" si="2"/>
        <v>80039</v>
      </c>
    </row>
    <row r="8955">
      <c r="A8955" s="48" t="s">
        <v>5687</v>
      </c>
      <c r="B8955" s="38">
        <v>3016.0</v>
      </c>
      <c r="C8955" s="38" t="s">
        <v>12741</v>
      </c>
      <c r="D8955" s="38" t="str">
        <f>IFERROR(__xludf.DUMMYFUNCTION("REGEXREPLACE(C8955,""-\d+(.*)|--\d+(.*)"","""")"),"BARBERIER")</f>
        <v>BARBERIER</v>
      </c>
      <c r="E8955" s="38" t="s">
        <v>160</v>
      </c>
      <c r="F8955" s="38" t="s">
        <v>161</v>
      </c>
      <c r="G8955" s="49" t="str">
        <f t="shared" si="1"/>
        <v>03140</v>
      </c>
      <c r="H8955" s="49" t="str">
        <f t="shared" si="2"/>
        <v>03016</v>
      </c>
    </row>
    <row r="8956">
      <c r="A8956" s="48" t="s">
        <v>12742</v>
      </c>
      <c r="B8956" s="38">
        <v>56048.0</v>
      </c>
      <c r="C8956" s="38" t="s">
        <v>12743</v>
      </c>
      <c r="D8956" s="38" t="str">
        <f>IFERROR(__xludf.DUMMYFUNCTION("REGEXREPLACE(C8956,""-\d+(.*)|--\d+(.*)"","""")"),"LE CROISTY")</f>
        <v>LE CROISTY</v>
      </c>
      <c r="E8956" s="38" t="s">
        <v>173</v>
      </c>
      <c r="F8956" s="38" t="s">
        <v>90</v>
      </c>
      <c r="G8956" s="49" t="str">
        <f t="shared" si="1"/>
        <v>56540</v>
      </c>
      <c r="H8956" s="49">
        <f t="shared" si="2"/>
        <v>56048</v>
      </c>
    </row>
    <row r="8957">
      <c r="A8957" s="48" t="s">
        <v>12302</v>
      </c>
      <c r="B8957" s="38">
        <v>73051.0</v>
      </c>
      <c r="C8957" s="38" t="s">
        <v>12744</v>
      </c>
      <c r="D8957" s="38" t="str">
        <f>IFERROR(__xludf.DUMMYFUNCTION("REGEXREPLACE(C8957,""-\d+(.*)|--\d+(.*)"","""")"),"LE BOURGET-DU-LAC")</f>
        <v>LE BOURGET-DU-LAC</v>
      </c>
      <c r="E8957" s="38" t="s">
        <v>306</v>
      </c>
      <c r="F8957" s="38" t="s">
        <v>102</v>
      </c>
      <c r="G8957" s="49" t="str">
        <f t="shared" si="1"/>
        <v>73370</v>
      </c>
      <c r="H8957" s="49">
        <f t="shared" si="2"/>
        <v>73051</v>
      </c>
    </row>
    <row r="8958">
      <c r="A8958" s="48" t="s">
        <v>208</v>
      </c>
      <c r="B8958" s="38">
        <v>67507.0</v>
      </c>
      <c r="C8958" s="38" t="s">
        <v>12745</v>
      </c>
      <c r="D8958" s="38" t="str">
        <f>IFERROR(__xludf.DUMMYFUNCTION("REGEXREPLACE(C8958,""-\d+(.*)|--\d+(.*)"","""")"),"VILLE")</f>
        <v>VILLE</v>
      </c>
      <c r="E8958" s="38" t="s">
        <v>210</v>
      </c>
      <c r="F8958" s="38" t="s">
        <v>151</v>
      </c>
      <c r="G8958" s="49" t="str">
        <f t="shared" si="1"/>
        <v>67220</v>
      </c>
      <c r="H8958" s="49">
        <f t="shared" si="2"/>
        <v>67507</v>
      </c>
    </row>
    <row r="8959">
      <c r="A8959" s="48" t="s">
        <v>5831</v>
      </c>
      <c r="B8959" s="38">
        <v>5069.0</v>
      </c>
      <c r="C8959" s="38" t="s">
        <v>12746</v>
      </c>
      <c r="D8959" s="38" t="str">
        <f>IFERROR(__xludf.DUMMYFUNCTION("REGEXREPLACE(C8959,""-\d+(.*)|--\d+(.*)"","""")"),"LAGRAND")</f>
        <v>LAGRAND</v>
      </c>
      <c r="E8959" s="38" t="s">
        <v>706</v>
      </c>
      <c r="F8959" s="38" t="s">
        <v>228</v>
      </c>
      <c r="G8959" s="49" t="str">
        <f t="shared" si="1"/>
        <v>05300</v>
      </c>
      <c r="H8959" s="49" t="str">
        <f t="shared" si="2"/>
        <v>05069</v>
      </c>
    </row>
    <row r="8960">
      <c r="A8960" s="48" t="s">
        <v>2547</v>
      </c>
      <c r="B8960" s="38">
        <v>8089.0</v>
      </c>
      <c r="C8960" s="38" t="s">
        <v>9873</v>
      </c>
      <c r="D8960" s="38" t="str">
        <f>IFERROR(__xludf.DUMMYFUNCTION("REGEXREPLACE(C8960,""-\d+(.*)|--\d+(.*)"","""")"),"BUZANCY")</f>
        <v>BUZANCY</v>
      </c>
      <c r="E8960" s="38" t="s">
        <v>327</v>
      </c>
      <c r="F8960" s="38" t="s">
        <v>130</v>
      </c>
      <c r="G8960" s="49" t="str">
        <f t="shared" si="1"/>
        <v>08240</v>
      </c>
      <c r="H8960" s="49" t="str">
        <f t="shared" si="2"/>
        <v>08089</v>
      </c>
    </row>
    <row r="8961">
      <c r="A8961" s="48" t="s">
        <v>9135</v>
      </c>
      <c r="B8961" s="38">
        <v>1028.0</v>
      </c>
      <c r="C8961" s="38" t="s">
        <v>12747</v>
      </c>
      <c r="D8961" s="38" t="str">
        <f>IFERROR(__xludf.DUMMYFUNCTION("REGEXREPLACE(C8961,""-\d+(.*)|--\d+(.*)"","""")"),"BANEINS")</f>
        <v>BANEINS</v>
      </c>
      <c r="E8961" s="38" t="s">
        <v>255</v>
      </c>
      <c r="F8961" s="38" t="s">
        <v>102</v>
      </c>
      <c r="G8961" s="49" t="str">
        <f t="shared" si="1"/>
        <v>01990</v>
      </c>
      <c r="H8961" s="49" t="str">
        <f t="shared" si="2"/>
        <v>01028</v>
      </c>
    </row>
    <row r="8962">
      <c r="A8962" s="48" t="s">
        <v>12748</v>
      </c>
      <c r="B8962" s="38">
        <v>62360.0</v>
      </c>
      <c r="C8962" s="38" t="s">
        <v>12749</v>
      </c>
      <c r="D8962" s="38" t="str">
        <f>IFERROR(__xludf.DUMMYFUNCTION("REGEXREPLACE(C8962,""-\d+(.*)|--\d+(.*)"","""")"),"FRETHUN")</f>
        <v>FRETHUN</v>
      </c>
      <c r="E8962" s="38" t="s">
        <v>109</v>
      </c>
      <c r="F8962" s="38" t="s">
        <v>86</v>
      </c>
      <c r="G8962" s="49" t="str">
        <f t="shared" si="1"/>
        <v>62185</v>
      </c>
      <c r="H8962" s="49">
        <f t="shared" si="2"/>
        <v>62360</v>
      </c>
    </row>
    <row r="8963">
      <c r="A8963" s="48" t="s">
        <v>4062</v>
      </c>
      <c r="B8963" s="38">
        <v>50012.0</v>
      </c>
      <c r="C8963" s="38" t="s">
        <v>12750</v>
      </c>
      <c r="D8963" s="38" t="str">
        <f>IFERROR(__xludf.DUMMYFUNCTION("REGEXREPLACE(C8963,""-\d+(.*)|--\d+(.*)"","""")"),"ANGOVILLE-SUR-AY")</f>
        <v>ANGOVILLE-SUR-AY</v>
      </c>
      <c r="E8963" s="38" t="s">
        <v>157</v>
      </c>
      <c r="F8963" s="38" t="s">
        <v>138</v>
      </c>
      <c r="G8963" s="49" t="str">
        <f t="shared" si="1"/>
        <v>50430</v>
      </c>
      <c r="H8963" s="49">
        <f t="shared" si="2"/>
        <v>50012</v>
      </c>
    </row>
    <row r="8964">
      <c r="A8964" s="48" t="s">
        <v>425</v>
      </c>
      <c r="B8964" s="38">
        <v>88203.0</v>
      </c>
      <c r="C8964" s="38" t="s">
        <v>12751</v>
      </c>
      <c r="D8964" s="38" t="str">
        <f>IFERROR(__xludf.DUMMYFUNCTION("REGEXREPLACE(C8964,""-\d+(.*)|--\d+(.*)"","""")"),"GIRECOURT-SUR-DURBION")</f>
        <v>GIRECOURT-SUR-DURBION</v>
      </c>
      <c r="E8964" s="38" t="s">
        <v>194</v>
      </c>
      <c r="F8964" s="38" t="s">
        <v>195</v>
      </c>
      <c r="G8964" s="49" t="str">
        <f t="shared" si="1"/>
        <v>88600</v>
      </c>
      <c r="H8964" s="49">
        <f t="shared" si="2"/>
        <v>88203</v>
      </c>
    </row>
    <row r="8965">
      <c r="A8965" s="48" t="s">
        <v>5179</v>
      </c>
      <c r="B8965" s="38">
        <v>10391.0</v>
      </c>
      <c r="C8965" s="38" t="s">
        <v>778</v>
      </c>
      <c r="D8965" s="38" t="str">
        <f>IFERROR(__xludf.DUMMYFUNCTION("REGEXREPLACE(C8965,""-\d+(.*)|--\d+(.*)"","""")"),"VAILLY")</f>
        <v>VAILLY</v>
      </c>
      <c r="E8965" s="38" t="s">
        <v>147</v>
      </c>
      <c r="F8965" s="38" t="s">
        <v>130</v>
      </c>
      <c r="G8965" s="49" t="str">
        <f t="shared" si="1"/>
        <v>10150</v>
      </c>
      <c r="H8965" s="49">
        <f t="shared" si="2"/>
        <v>10391</v>
      </c>
    </row>
    <row r="8966">
      <c r="A8966" s="48" t="s">
        <v>1697</v>
      </c>
      <c r="B8966" s="38">
        <v>39314.0</v>
      </c>
      <c r="C8966" s="38" t="s">
        <v>12752</v>
      </c>
      <c r="D8966" s="38" t="str">
        <f>IFERROR(__xludf.DUMMYFUNCTION("REGEXREPLACE(C8966,""-\d+(.*)|--\d+(.*)"","""")"),"MARNEZIA")</f>
        <v>MARNEZIA</v>
      </c>
      <c r="E8966" s="38" t="s">
        <v>400</v>
      </c>
      <c r="F8966" s="38" t="s">
        <v>214</v>
      </c>
      <c r="G8966" s="49" t="str">
        <f t="shared" si="1"/>
        <v>39270</v>
      </c>
      <c r="H8966" s="49">
        <f t="shared" si="2"/>
        <v>39314</v>
      </c>
    </row>
    <row r="8967">
      <c r="A8967" s="48" t="s">
        <v>12753</v>
      </c>
      <c r="B8967" s="38">
        <v>49308.0</v>
      </c>
      <c r="C8967" s="38" t="s">
        <v>12754</v>
      </c>
      <c r="D8967" s="38" t="str">
        <f>IFERROR(__xludf.DUMMYFUNCTION("REGEXREPLACE(C8967,""-\d+(.*)|--\d+(.*)"","""")"),"SAINT-MELAINE-SUR-AUBANCE")</f>
        <v>SAINT-MELAINE-SUR-AUBANCE</v>
      </c>
      <c r="E8967" s="38" t="s">
        <v>653</v>
      </c>
      <c r="F8967" s="38" t="s">
        <v>180</v>
      </c>
      <c r="G8967" s="49" t="str">
        <f t="shared" si="1"/>
        <v>49610</v>
      </c>
      <c r="H8967" s="49">
        <f t="shared" si="2"/>
        <v>49308</v>
      </c>
    </row>
    <row r="8968">
      <c r="A8968" s="48" t="s">
        <v>12755</v>
      </c>
      <c r="B8968" s="38">
        <v>56222.0</v>
      </c>
      <c r="C8968" s="38" t="s">
        <v>12756</v>
      </c>
      <c r="D8968" s="38" t="str">
        <f>IFERROR(__xludf.DUMMYFUNCTION("REGEXREPLACE(C8968,""-\d+(.*)|--\d+(.*)"","""")"),"SAINT-JEAN-BREVELAY")</f>
        <v>SAINT-JEAN-BREVELAY</v>
      </c>
      <c r="E8968" s="38" t="s">
        <v>173</v>
      </c>
      <c r="F8968" s="38" t="s">
        <v>90</v>
      </c>
      <c r="G8968" s="49" t="str">
        <f t="shared" si="1"/>
        <v>56660</v>
      </c>
      <c r="H8968" s="49">
        <f t="shared" si="2"/>
        <v>56222</v>
      </c>
    </row>
    <row r="8969">
      <c r="A8969" s="48" t="s">
        <v>3391</v>
      </c>
      <c r="B8969" s="38">
        <v>14228.0</v>
      </c>
      <c r="C8969" s="38" t="s">
        <v>12757</v>
      </c>
      <c r="D8969" s="38" t="str">
        <f>IFERROR(__xludf.DUMMYFUNCTION("REGEXREPLACE(C8969,""-\d+(.*)|--\d+(.*)"","""")"),"DOUVRES-LA-DELIVRANDE")</f>
        <v>DOUVRES-LA-DELIVRANDE</v>
      </c>
      <c r="E8969" s="38" t="s">
        <v>137</v>
      </c>
      <c r="F8969" s="38" t="s">
        <v>138</v>
      </c>
      <c r="G8969" s="49" t="str">
        <f t="shared" si="1"/>
        <v>14440</v>
      </c>
      <c r="H8969" s="49">
        <f t="shared" si="2"/>
        <v>14228</v>
      </c>
    </row>
    <row r="8970">
      <c r="A8970" s="48" t="s">
        <v>3967</v>
      </c>
      <c r="B8970" s="38">
        <v>50385.0</v>
      </c>
      <c r="C8970" s="38" t="s">
        <v>12758</v>
      </c>
      <c r="D8970" s="38" t="str">
        <f>IFERROR(__xludf.DUMMYFUNCTION("REGEXREPLACE(C8970,""-\d+(.*)|--\d+(.*)"","""")"),"OMONVILLE-LA-PETITE")</f>
        <v>OMONVILLE-LA-PETITE</v>
      </c>
      <c r="E8970" s="38" t="s">
        <v>157</v>
      </c>
      <c r="F8970" s="38" t="s">
        <v>138</v>
      </c>
      <c r="G8970" s="49" t="str">
        <f t="shared" si="1"/>
        <v>50440</v>
      </c>
      <c r="H8970" s="49">
        <f t="shared" si="2"/>
        <v>50385</v>
      </c>
    </row>
    <row r="8971">
      <c r="A8971" s="48" t="s">
        <v>3120</v>
      </c>
      <c r="B8971" s="38">
        <v>10132.0</v>
      </c>
      <c r="C8971" s="38" t="s">
        <v>12759</v>
      </c>
      <c r="D8971" s="38" t="str">
        <f>IFERROR(__xludf.DUMMYFUNCTION("REGEXREPLACE(C8971,""-\d+(.*)|--\d+(.*)"","""")"),"DROUPT-SAINTE-MARIE")</f>
        <v>DROUPT-SAINTE-MARIE</v>
      </c>
      <c r="E8971" s="38" t="s">
        <v>147</v>
      </c>
      <c r="F8971" s="38" t="s">
        <v>130</v>
      </c>
      <c r="G8971" s="49" t="str">
        <f t="shared" si="1"/>
        <v>10170</v>
      </c>
      <c r="H8971" s="49">
        <f t="shared" si="2"/>
        <v>10132</v>
      </c>
    </row>
    <row r="8972">
      <c r="A8972" s="48" t="s">
        <v>651</v>
      </c>
      <c r="B8972" s="38">
        <v>49359.0</v>
      </c>
      <c r="C8972" s="38" t="s">
        <v>12760</v>
      </c>
      <c r="D8972" s="38" t="str">
        <f>IFERROR(__xludf.DUMMYFUNCTION("REGEXREPLACE(C8972,""-\d+(.*)|--\d+(.*)"","""")"),"LES ULMES")</f>
        <v>LES ULMES</v>
      </c>
      <c r="E8972" s="38" t="s">
        <v>653</v>
      </c>
      <c r="F8972" s="38" t="s">
        <v>180</v>
      </c>
      <c r="G8972" s="49" t="str">
        <f t="shared" si="1"/>
        <v>49700</v>
      </c>
      <c r="H8972" s="49">
        <f t="shared" si="2"/>
        <v>49359</v>
      </c>
    </row>
    <row r="8973">
      <c r="A8973" s="48" t="s">
        <v>12761</v>
      </c>
      <c r="B8973" s="38">
        <v>36080.0</v>
      </c>
      <c r="C8973" s="38" t="s">
        <v>12762</v>
      </c>
      <c r="D8973" s="38" t="str">
        <f>IFERROR(__xludf.DUMMYFUNCTION("REGEXREPLACE(C8973,""-\d+(.*)|--\d+(.*)"","""")"),"FREDILLE")</f>
        <v>FREDILLE</v>
      </c>
      <c r="E8973" s="38" t="s">
        <v>258</v>
      </c>
      <c r="F8973" s="38" t="s">
        <v>123</v>
      </c>
      <c r="G8973" s="49" t="str">
        <f t="shared" si="1"/>
        <v>36180</v>
      </c>
      <c r="H8973" s="49">
        <f t="shared" si="2"/>
        <v>36080</v>
      </c>
    </row>
    <row r="8974">
      <c r="A8974" s="48" t="s">
        <v>1354</v>
      </c>
      <c r="B8974" s="38">
        <v>28068.0</v>
      </c>
      <c r="C8974" s="38" t="s">
        <v>12763</v>
      </c>
      <c r="D8974" s="38" t="str">
        <f>IFERROR(__xludf.DUMMYFUNCTION("REGEXREPLACE(C8974,""-\d+(.*)|--\d+(.*)"","""")"),"CHALLET")</f>
        <v>CHALLET</v>
      </c>
      <c r="E8974" s="38" t="s">
        <v>300</v>
      </c>
      <c r="F8974" s="38" t="s">
        <v>123</v>
      </c>
      <c r="G8974" s="49" t="str">
        <f t="shared" si="1"/>
        <v>28300</v>
      </c>
      <c r="H8974" s="49">
        <f t="shared" si="2"/>
        <v>28068</v>
      </c>
    </row>
    <row r="8975">
      <c r="A8975" s="48" t="s">
        <v>3283</v>
      </c>
      <c r="B8975" s="38">
        <v>52444.0</v>
      </c>
      <c r="C8975" s="38" t="s">
        <v>12764</v>
      </c>
      <c r="D8975" s="38" t="str">
        <f>IFERROR(__xludf.DUMMYFUNCTION("REGEXREPLACE(C8975,""-\d+(.*)|--\d+(.*)"","""")"),"SAINT-BLIN")</f>
        <v>SAINT-BLIN</v>
      </c>
      <c r="E8975" s="38" t="s">
        <v>234</v>
      </c>
      <c r="F8975" s="38" t="s">
        <v>130</v>
      </c>
      <c r="G8975" s="49" t="str">
        <f t="shared" si="1"/>
        <v>52700</v>
      </c>
      <c r="H8975" s="49">
        <f t="shared" si="2"/>
        <v>52444</v>
      </c>
    </row>
    <row r="8976">
      <c r="A8976" s="48" t="s">
        <v>8587</v>
      </c>
      <c r="B8976" s="38">
        <v>66157.0</v>
      </c>
      <c r="C8976" s="38" t="s">
        <v>12765</v>
      </c>
      <c r="D8976" s="38" t="str">
        <f>IFERROR(__xludf.DUMMYFUNCTION("REGEXREPLACE(C8976,""-\d+(.*)|--\d+(.*)"","""")"),"RAILLEU")</f>
        <v>RAILLEU</v>
      </c>
      <c r="E8976" s="38" t="s">
        <v>248</v>
      </c>
      <c r="F8976" s="38" t="s">
        <v>119</v>
      </c>
      <c r="G8976" s="49" t="str">
        <f t="shared" si="1"/>
        <v>66360</v>
      </c>
      <c r="H8976" s="49">
        <f t="shared" si="2"/>
        <v>66157</v>
      </c>
    </row>
    <row r="8977">
      <c r="A8977" s="48" t="s">
        <v>5381</v>
      </c>
      <c r="B8977" s="38">
        <v>38274.0</v>
      </c>
      <c r="C8977" s="38" t="s">
        <v>12766</v>
      </c>
      <c r="D8977" s="38" t="str">
        <f>IFERROR(__xludf.DUMMYFUNCTION("REGEXREPLACE(C8977,""-\d+(.*)|--\d+(.*)"","""")"),"NANTOIN")</f>
        <v>NANTOIN</v>
      </c>
      <c r="E8977" s="38" t="s">
        <v>101</v>
      </c>
      <c r="F8977" s="38" t="s">
        <v>102</v>
      </c>
      <c r="G8977" s="49" t="str">
        <f t="shared" si="1"/>
        <v>38260</v>
      </c>
      <c r="H8977" s="49">
        <f t="shared" si="2"/>
        <v>38274</v>
      </c>
    </row>
    <row r="8978">
      <c r="A8978" s="48" t="s">
        <v>484</v>
      </c>
      <c r="B8978" s="38">
        <v>16109.0</v>
      </c>
      <c r="C8978" s="38" t="s">
        <v>12767</v>
      </c>
      <c r="D8978" s="38" t="str">
        <f>IFERROR(__xludf.DUMMYFUNCTION("REGEXREPLACE(C8978,""-\d+(.*)|--\d+(.*)"","""")"),"COURBILLAC")</f>
        <v>COURBILLAC</v>
      </c>
      <c r="E8978" s="38" t="s">
        <v>429</v>
      </c>
      <c r="F8978" s="38" t="s">
        <v>338</v>
      </c>
      <c r="G8978" s="49" t="str">
        <f t="shared" si="1"/>
        <v>16200</v>
      </c>
      <c r="H8978" s="49">
        <f t="shared" si="2"/>
        <v>16109</v>
      </c>
    </row>
    <row r="8979">
      <c r="A8979" s="48" t="s">
        <v>1564</v>
      </c>
      <c r="B8979" s="38">
        <v>45054.0</v>
      </c>
      <c r="C8979" s="38" t="s">
        <v>12768</v>
      </c>
      <c r="D8979" s="38" t="str">
        <f>IFERROR(__xludf.DUMMYFUNCTION("REGEXREPLACE(C8979,""-\d+(.*)|--\d+(.*)"","""")"),"BRIARRES-SUR-ESSONNE")</f>
        <v>BRIARRES-SUR-ESSONNE</v>
      </c>
      <c r="E8979" s="38" t="s">
        <v>122</v>
      </c>
      <c r="F8979" s="38" t="s">
        <v>123</v>
      </c>
      <c r="G8979" s="49" t="str">
        <f t="shared" si="1"/>
        <v>45390</v>
      </c>
      <c r="H8979" s="49">
        <f t="shared" si="2"/>
        <v>45054</v>
      </c>
    </row>
    <row r="8980">
      <c r="A8980" s="48" t="s">
        <v>3339</v>
      </c>
      <c r="B8980" s="38">
        <v>67060.0</v>
      </c>
      <c r="C8980" s="38" t="s">
        <v>12769</v>
      </c>
      <c r="D8980" s="38" t="str">
        <f>IFERROR(__xludf.DUMMYFUNCTION("REGEXREPLACE(C8980,""-\d+(.*)|--\d+(.*)"","""")"),"BOURGHEIM")</f>
        <v>BOURGHEIM</v>
      </c>
      <c r="E8980" s="38" t="s">
        <v>210</v>
      </c>
      <c r="F8980" s="38" t="s">
        <v>151</v>
      </c>
      <c r="G8980" s="49" t="str">
        <f t="shared" si="1"/>
        <v>67140</v>
      </c>
      <c r="H8980" s="49">
        <f t="shared" si="2"/>
        <v>67060</v>
      </c>
    </row>
    <row r="8981">
      <c r="A8981" s="48" t="s">
        <v>2995</v>
      </c>
      <c r="B8981" s="38">
        <v>28336.0</v>
      </c>
      <c r="C8981" s="38" t="s">
        <v>12770</v>
      </c>
      <c r="D8981" s="38" t="str">
        <f>IFERROR(__xludf.DUMMYFUNCTION("REGEXREPLACE(C8981,""-\d+(.*)|--\d+(.*)"","""")"),"SAINT-EMAN")</f>
        <v>SAINT-EMAN</v>
      </c>
      <c r="E8981" s="38" t="s">
        <v>300</v>
      </c>
      <c r="F8981" s="38" t="s">
        <v>123</v>
      </c>
      <c r="G8981" s="49" t="str">
        <f t="shared" si="1"/>
        <v>28120</v>
      </c>
      <c r="H8981" s="49">
        <f t="shared" si="2"/>
        <v>28336</v>
      </c>
    </row>
    <row r="8982">
      <c r="A8982" s="48" t="s">
        <v>2571</v>
      </c>
      <c r="B8982" s="38">
        <v>61213.0</v>
      </c>
      <c r="C8982" s="38" t="s">
        <v>12771</v>
      </c>
      <c r="D8982" s="38" t="str">
        <f>IFERROR(__xludf.DUMMYFUNCTION("REGEXREPLACE(C8982,""-\d+(.*)|--\d+(.*)"","""")"),"LALACELLE")</f>
        <v>LALACELLE</v>
      </c>
      <c r="E8982" s="38" t="s">
        <v>141</v>
      </c>
      <c r="F8982" s="38" t="s">
        <v>138</v>
      </c>
      <c r="G8982" s="49" t="str">
        <f t="shared" si="1"/>
        <v>61320</v>
      </c>
      <c r="H8982" s="49">
        <f t="shared" si="2"/>
        <v>61213</v>
      </c>
    </row>
    <row r="8983">
      <c r="A8983" s="48" t="s">
        <v>2710</v>
      </c>
      <c r="B8983" s="38">
        <v>68373.0</v>
      </c>
      <c r="C8983" s="38" t="s">
        <v>12772</v>
      </c>
      <c r="D8983" s="38" t="str">
        <f>IFERROR(__xludf.DUMMYFUNCTION("REGEXREPLACE(C8983,""-\d+(.*)|--\d+(.*)"","""")"),"WINKEL")</f>
        <v>WINKEL</v>
      </c>
      <c r="E8983" s="38" t="s">
        <v>150</v>
      </c>
      <c r="F8983" s="38" t="s">
        <v>151</v>
      </c>
      <c r="G8983" s="49" t="str">
        <f t="shared" si="1"/>
        <v>68480</v>
      </c>
      <c r="H8983" s="49">
        <f t="shared" si="2"/>
        <v>68373</v>
      </c>
    </row>
    <row r="8984">
      <c r="A8984" s="48" t="s">
        <v>4697</v>
      </c>
      <c r="B8984" s="38">
        <v>67250.0</v>
      </c>
      <c r="C8984" s="38" t="s">
        <v>12773</v>
      </c>
      <c r="D8984" s="38" t="str">
        <f>IFERROR(__xludf.DUMMYFUNCTION("REGEXREPLACE(C8984,""-\d+(.*)|--\d+(.*)"","""")"),"KRIEGSHEIM")</f>
        <v>KRIEGSHEIM</v>
      </c>
      <c r="E8984" s="38" t="s">
        <v>210</v>
      </c>
      <c r="F8984" s="38" t="s">
        <v>151</v>
      </c>
      <c r="G8984" s="49" t="str">
        <f t="shared" si="1"/>
        <v>67170</v>
      </c>
      <c r="H8984" s="49">
        <f t="shared" si="2"/>
        <v>67250</v>
      </c>
    </row>
    <row r="8985">
      <c r="A8985" s="48" t="s">
        <v>5409</v>
      </c>
      <c r="B8985" s="38">
        <v>57765.0</v>
      </c>
      <c r="C8985" s="38" t="s">
        <v>12774</v>
      </c>
      <c r="D8985" s="38" t="str">
        <f>IFERROR(__xludf.DUMMYFUNCTION("REGEXREPLACE(C8985,""-\d+(.*)|--\d+(.*)"","""")"),"DIESEN")</f>
        <v>DIESEN</v>
      </c>
      <c r="E8985" s="38" t="s">
        <v>303</v>
      </c>
      <c r="F8985" s="38" t="s">
        <v>195</v>
      </c>
      <c r="G8985" s="49" t="str">
        <f t="shared" si="1"/>
        <v>57890</v>
      </c>
      <c r="H8985" s="49">
        <f t="shared" si="2"/>
        <v>57765</v>
      </c>
    </row>
    <row r="8986">
      <c r="A8986" s="48" t="s">
        <v>6775</v>
      </c>
      <c r="B8986" s="38">
        <v>79355.0</v>
      </c>
      <c r="C8986" s="38" t="s">
        <v>12775</v>
      </c>
      <c r="D8986" s="38" t="str">
        <f>IFERROR(__xludf.DUMMYFUNCTION("REGEXREPLACE(C8986,""-\d+(.*)|--\d+(.*)"","""")"),"VOUILLE")</f>
        <v>VOUILLE</v>
      </c>
      <c r="E8986" s="38" t="s">
        <v>337</v>
      </c>
      <c r="F8986" s="38" t="s">
        <v>338</v>
      </c>
      <c r="G8986" s="49" t="str">
        <f t="shared" si="1"/>
        <v>79230</v>
      </c>
      <c r="H8986" s="49">
        <f t="shared" si="2"/>
        <v>79355</v>
      </c>
    </row>
    <row r="8987">
      <c r="A8987" s="48" t="s">
        <v>895</v>
      </c>
      <c r="B8987" s="38">
        <v>87130.0</v>
      </c>
      <c r="C8987" s="38" t="s">
        <v>12776</v>
      </c>
      <c r="D8987" s="38" t="str">
        <f>IFERROR(__xludf.DUMMYFUNCTION("REGEXREPLACE(C8987,""-\d+(.*)|--\d+(.*)"","""")"),"ROZIERS-SAINT-GEORGES")</f>
        <v>ROZIERS-SAINT-GEORGES</v>
      </c>
      <c r="E8987" s="38" t="s">
        <v>897</v>
      </c>
      <c r="F8987" s="38" t="s">
        <v>98</v>
      </c>
      <c r="G8987" s="49" t="str">
        <f t="shared" si="1"/>
        <v>87130</v>
      </c>
      <c r="H8987" s="49">
        <f t="shared" si="2"/>
        <v>87130</v>
      </c>
    </row>
    <row r="8988">
      <c r="A8988" s="48" t="s">
        <v>12777</v>
      </c>
      <c r="B8988" s="38">
        <v>73282.0</v>
      </c>
      <c r="C8988" s="38" t="s">
        <v>12778</v>
      </c>
      <c r="D8988" s="38" t="str">
        <f>IFERROR(__xludf.DUMMYFUNCTION("REGEXREPLACE(C8988,""-\d+(.*)|--\d+(.*)"","""")"),"SAINT-THIBAUD-DE-COUZ")</f>
        <v>SAINT-THIBAUD-DE-COUZ</v>
      </c>
      <c r="E8988" s="38" t="s">
        <v>306</v>
      </c>
      <c r="F8988" s="38" t="s">
        <v>102</v>
      </c>
      <c r="G8988" s="49" t="str">
        <f t="shared" si="1"/>
        <v>73160</v>
      </c>
      <c r="H8988" s="49">
        <f t="shared" si="2"/>
        <v>73282</v>
      </c>
    </row>
    <row r="8989">
      <c r="A8989" s="48" t="s">
        <v>6660</v>
      </c>
      <c r="B8989" s="38">
        <v>66160.0</v>
      </c>
      <c r="C8989" s="38" t="s">
        <v>12779</v>
      </c>
      <c r="D8989" s="38" t="str">
        <f>IFERROR(__xludf.DUMMYFUNCTION("REGEXREPLACE(C8989,""-\d+(.*)|--\d+(.*)"","""")"),"REYNES")</f>
        <v>REYNES</v>
      </c>
      <c r="E8989" s="38" t="s">
        <v>248</v>
      </c>
      <c r="F8989" s="38" t="s">
        <v>119</v>
      </c>
      <c r="G8989" s="49" t="str">
        <f t="shared" si="1"/>
        <v>66400</v>
      </c>
      <c r="H8989" s="49">
        <f t="shared" si="2"/>
        <v>66160</v>
      </c>
    </row>
    <row r="8990">
      <c r="A8990" s="48" t="s">
        <v>12780</v>
      </c>
      <c r="B8990" s="38">
        <v>41258.0</v>
      </c>
      <c r="C8990" s="38" t="s">
        <v>12781</v>
      </c>
      <c r="D8990" s="38" t="str">
        <f>IFERROR(__xludf.DUMMYFUNCTION("REGEXREPLACE(C8990,""-\d+(.*)|--\d+(.*)"","""")"),"THESEE")</f>
        <v>THESEE</v>
      </c>
      <c r="E8990" s="38" t="s">
        <v>188</v>
      </c>
      <c r="F8990" s="38" t="s">
        <v>123</v>
      </c>
      <c r="G8990" s="49" t="str">
        <f t="shared" si="1"/>
        <v>41140</v>
      </c>
      <c r="H8990" s="49">
        <f t="shared" si="2"/>
        <v>41258</v>
      </c>
    </row>
    <row r="8991">
      <c r="A8991" s="48" t="s">
        <v>12782</v>
      </c>
      <c r="B8991" s="38">
        <v>68321.0</v>
      </c>
      <c r="C8991" s="38" t="s">
        <v>12783</v>
      </c>
      <c r="D8991" s="38" t="str">
        <f>IFERROR(__xludf.DUMMYFUNCTION("REGEXREPLACE(C8991,""-\d+(.*)|--\d+(.*)"","""")"),"STAFFELFELDEN")</f>
        <v>STAFFELFELDEN</v>
      </c>
      <c r="E8991" s="38" t="s">
        <v>150</v>
      </c>
      <c r="F8991" s="38" t="s">
        <v>151</v>
      </c>
      <c r="G8991" s="49" t="str">
        <f t="shared" si="1"/>
        <v>68850</v>
      </c>
      <c r="H8991" s="49">
        <f t="shared" si="2"/>
        <v>68321</v>
      </c>
    </row>
    <row r="8992">
      <c r="A8992" s="48" t="s">
        <v>1547</v>
      </c>
      <c r="B8992" s="38">
        <v>24394.0</v>
      </c>
      <c r="C8992" s="38" t="s">
        <v>12784</v>
      </c>
      <c r="D8992" s="38" t="str">
        <f>IFERROR(__xludf.DUMMYFUNCTION("REGEXREPLACE(C8992,""-\d+(.*)|--\d+(.*)"","""")"),"SAINTE-CROIX-DE-MAREUIL")</f>
        <v>SAINTE-CROIX-DE-MAREUIL</v>
      </c>
      <c r="E8992" s="38" t="s">
        <v>261</v>
      </c>
      <c r="F8992" s="38" t="s">
        <v>252</v>
      </c>
      <c r="G8992" s="49" t="str">
        <f t="shared" si="1"/>
        <v>24340</v>
      </c>
      <c r="H8992" s="49">
        <f t="shared" si="2"/>
        <v>24394</v>
      </c>
    </row>
    <row r="8993">
      <c r="A8993" s="48" t="s">
        <v>4292</v>
      </c>
      <c r="B8993" s="38">
        <v>74100.0</v>
      </c>
      <c r="C8993" s="38" t="s">
        <v>12785</v>
      </c>
      <c r="D8993" s="38" t="str">
        <f>IFERROR(__xludf.DUMMYFUNCTION("REGEXREPLACE(C8993,""-\d+(.*)|--\d+(.*)"","""")"),"DESINGY")</f>
        <v>DESINGY</v>
      </c>
      <c r="E8993" s="38" t="s">
        <v>319</v>
      </c>
      <c r="F8993" s="38" t="s">
        <v>102</v>
      </c>
      <c r="G8993" s="49" t="str">
        <f t="shared" si="1"/>
        <v>74270</v>
      </c>
      <c r="H8993" s="49">
        <f t="shared" si="2"/>
        <v>74100</v>
      </c>
    </row>
    <row r="8994">
      <c r="A8994" s="48" t="s">
        <v>2326</v>
      </c>
      <c r="B8994" s="38">
        <v>54541.0</v>
      </c>
      <c r="C8994" s="38" t="s">
        <v>12786</v>
      </c>
      <c r="D8994" s="38" t="str">
        <f>IFERROR(__xludf.DUMMYFUNCTION("REGEXREPLACE(C8994,""-\d+(.*)|--\d+(.*)"","""")"),"VALHEY")</f>
        <v>VALHEY</v>
      </c>
      <c r="E8994" s="38" t="s">
        <v>548</v>
      </c>
      <c r="F8994" s="38" t="s">
        <v>195</v>
      </c>
      <c r="G8994" s="49" t="str">
        <f t="shared" si="1"/>
        <v>54370</v>
      </c>
      <c r="H8994" s="49">
        <f t="shared" si="2"/>
        <v>54541</v>
      </c>
    </row>
    <row r="8995">
      <c r="A8995" s="48" t="s">
        <v>9556</v>
      </c>
      <c r="B8995" s="38">
        <v>60194.0</v>
      </c>
      <c r="C8995" s="38" t="s">
        <v>12787</v>
      </c>
      <c r="D8995" s="38" t="str">
        <f>IFERROR(__xludf.DUMMYFUNCTION("REGEXREPLACE(C8995,""-\d+(.*)|--\d+(.*)"","""")"),"DARGIES")</f>
        <v>DARGIES</v>
      </c>
      <c r="E8995" s="38" t="s">
        <v>112</v>
      </c>
      <c r="F8995" s="38" t="s">
        <v>113</v>
      </c>
      <c r="G8995" s="49" t="str">
        <f t="shared" si="1"/>
        <v>60210</v>
      </c>
      <c r="H8995" s="49">
        <f t="shared" si="2"/>
        <v>60194</v>
      </c>
    </row>
    <row r="8996">
      <c r="A8996" s="48" t="s">
        <v>12788</v>
      </c>
      <c r="B8996" s="38">
        <v>14167.0</v>
      </c>
      <c r="C8996" s="38" t="s">
        <v>12789</v>
      </c>
      <c r="D8996" s="38" t="str">
        <f>IFERROR(__xludf.DUMMYFUNCTION("REGEXREPLACE(C8996,""-\d+(.*)|--\d+(.*)"","""")"),"COLOMBELLES")</f>
        <v>COLOMBELLES</v>
      </c>
      <c r="E8996" s="38" t="s">
        <v>137</v>
      </c>
      <c r="F8996" s="38" t="s">
        <v>138</v>
      </c>
      <c r="G8996" s="49" t="str">
        <f t="shared" si="1"/>
        <v>14460</v>
      </c>
      <c r="H8996" s="49">
        <f t="shared" si="2"/>
        <v>14167</v>
      </c>
    </row>
    <row r="8997">
      <c r="A8997" s="48" t="s">
        <v>4697</v>
      </c>
      <c r="B8997" s="38">
        <v>67298.0</v>
      </c>
      <c r="C8997" s="38" t="s">
        <v>12790</v>
      </c>
      <c r="D8997" s="38" t="str">
        <f>IFERROR(__xludf.DUMMYFUNCTION("REGEXREPLACE(C8997,""-\d+(.*)|--\d+(.*)"","""")"),"MITTELSCHAEFFOLSHEIM")</f>
        <v>MITTELSCHAEFFOLSHEIM</v>
      </c>
      <c r="E8997" s="38" t="s">
        <v>210</v>
      </c>
      <c r="F8997" s="38" t="s">
        <v>151</v>
      </c>
      <c r="G8997" s="49" t="str">
        <f t="shared" si="1"/>
        <v>67170</v>
      </c>
      <c r="H8997" s="49">
        <f t="shared" si="2"/>
        <v>67298</v>
      </c>
    </row>
    <row r="8998">
      <c r="A8998" s="48" t="s">
        <v>6483</v>
      </c>
      <c r="B8998" s="38">
        <v>58142.0</v>
      </c>
      <c r="C8998" s="38" t="s">
        <v>12791</v>
      </c>
      <c r="D8998" s="38" t="str">
        <f>IFERROR(__xludf.DUMMYFUNCTION("REGEXREPLACE(C8998,""-\d+(.*)|--\d+(.*)"","""")"),"LIMANTON")</f>
        <v>LIMANTON</v>
      </c>
      <c r="E8998" s="38" t="s">
        <v>219</v>
      </c>
      <c r="F8998" s="38" t="s">
        <v>106</v>
      </c>
      <c r="G8998" s="49" t="str">
        <f t="shared" si="1"/>
        <v>58290</v>
      </c>
      <c r="H8998" s="49">
        <f t="shared" si="2"/>
        <v>58142</v>
      </c>
    </row>
    <row r="8999">
      <c r="A8999" s="48" t="s">
        <v>8883</v>
      </c>
      <c r="B8999" s="38">
        <v>39138.0</v>
      </c>
      <c r="C8999" s="38" t="s">
        <v>12792</v>
      </c>
      <c r="D8999" s="38" t="str">
        <f>IFERROR(__xludf.DUMMYFUNCTION("REGEXREPLACE(C8999,""-\d+(.*)|--\d+(.*)"","""")"),"CHEMIN")</f>
        <v>CHEMIN</v>
      </c>
      <c r="E8999" s="38" t="s">
        <v>400</v>
      </c>
      <c r="F8999" s="38" t="s">
        <v>214</v>
      </c>
      <c r="G8999" s="49" t="str">
        <f t="shared" si="1"/>
        <v>39120</v>
      </c>
      <c r="H8999" s="49">
        <f t="shared" si="2"/>
        <v>39138</v>
      </c>
    </row>
    <row r="9000">
      <c r="A9000" s="48" t="s">
        <v>5538</v>
      </c>
      <c r="B9000" s="38">
        <v>31273.0</v>
      </c>
      <c r="C9000" s="38" t="s">
        <v>12793</v>
      </c>
      <c r="D9000" s="38" t="str">
        <f>IFERROR(__xludf.DUMMYFUNCTION("REGEXREPLACE(C9000,""-\d+(.*)|--\d+(.*)"","""")"),"LAPEYROUSE-FOSSAT")</f>
        <v>LAPEYROUSE-FOSSAT</v>
      </c>
      <c r="E9000" s="38" t="s">
        <v>93</v>
      </c>
      <c r="F9000" s="38" t="s">
        <v>94</v>
      </c>
      <c r="G9000" s="49" t="str">
        <f t="shared" si="1"/>
        <v>31180</v>
      </c>
      <c r="H9000" s="49">
        <f t="shared" si="2"/>
        <v>31273</v>
      </c>
    </row>
    <row r="9001">
      <c r="A9001" s="48" t="s">
        <v>5111</v>
      </c>
      <c r="B9001" s="38">
        <v>47090.0</v>
      </c>
      <c r="C9001" s="38" t="s">
        <v>12794</v>
      </c>
      <c r="D9001" s="38" t="str">
        <f>IFERROR(__xludf.DUMMYFUNCTION("REGEXREPLACE(C9001,""-\d+(.*)|--\d+(.*)"","""")"),"ESPIENS")</f>
        <v>ESPIENS</v>
      </c>
      <c r="E9001" s="38" t="s">
        <v>251</v>
      </c>
      <c r="F9001" s="38" t="s">
        <v>252</v>
      </c>
      <c r="G9001" s="49" t="str">
        <f t="shared" si="1"/>
        <v>47600</v>
      </c>
      <c r="H9001" s="49">
        <f t="shared" si="2"/>
        <v>47090</v>
      </c>
    </row>
    <row r="9002">
      <c r="A9002" s="48" t="s">
        <v>1462</v>
      </c>
      <c r="B9002" s="38">
        <v>11153.0</v>
      </c>
      <c r="C9002" s="38" t="s">
        <v>12795</v>
      </c>
      <c r="D9002" s="38" t="str">
        <f>IFERROR(__xludf.DUMMYFUNCTION("REGEXREPLACE(C9002,""-\d+(.*)|--\d+(.*)"","""")"),"LA FORCE")</f>
        <v>LA FORCE</v>
      </c>
      <c r="E9002" s="38" t="s">
        <v>278</v>
      </c>
      <c r="F9002" s="38" t="s">
        <v>119</v>
      </c>
      <c r="G9002" s="49" t="str">
        <f t="shared" si="1"/>
        <v>11270</v>
      </c>
      <c r="H9002" s="49">
        <f t="shared" si="2"/>
        <v>11153</v>
      </c>
    </row>
    <row r="9003">
      <c r="A9003" s="48" t="s">
        <v>3900</v>
      </c>
      <c r="B9003" s="38">
        <v>2205.0</v>
      </c>
      <c r="C9003" s="38" t="s">
        <v>12796</v>
      </c>
      <c r="D9003" s="38" t="str">
        <f>IFERROR(__xludf.DUMMYFUNCTION("REGEXREPLACE(C9003,""-\d+(.*)|--\d+(.*)"","""")"),"COLLIGIS-CRANDELAIN")</f>
        <v>COLLIGIS-CRANDELAIN</v>
      </c>
      <c r="E9003" s="38" t="s">
        <v>191</v>
      </c>
      <c r="F9003" s="38" t="s">
        <v>113</v>
      </c>
      <c r="G9003" s="49" t="str">
        <f t="shared" si="1"/>
        <v>02860</v>
      </c>
      <c r="H9003" s="49" t="str">
        <f t="shared" si="2"/>
        <v>02205</v>
      </c>
    </row>
    <row r="9004">
      <c r="A9004" s="48" t="s">
        <v>1006</v>
      </c>
      <c r="B9004" s="38">
        <v>16218.0</v>
      </c>
      <c r="C9004" s="38" t="s">
        <v>12797</v>
      </c>
      <c r="D9004" s="38" t="str">
        <f>IFERROR(__xludf.DUMMYFUNCTION("REGEXREPLACE(C9004,""-\d+(.*)|--\d+(.*)"","""")"),"MESNAC")</f>
        <v>MESNAC</v>
      </c>
      <c r="E9004" s="38" t="s">
        <v>429</v>
      </c>
      <c r="F9004" s="38" t="s">
        <v>338</v>
      </c>
      <c r="G9004" s="49" t="str">
        <f t="shared" si="1"/>
        <v>16370</v>
      </c>
      <c r="H9004" s="49">
        <f t="shared" si="2"/>
        <v>16218</v>
      </c>
    </row>
    <row r="9005">
      <c r="A9005" s="48" t="s">
        <v>276</v>
      </c>
      <c r="B9005" s="38">
        <v>11104.0</v>
      </c>
      <c r="C9005" s="38" t="s">
        <v>12798</v>
      </c>
      <c r="D9005" s="38" t="str">
        <f>IFERROR(__xludf.DUMMYFUNCTION("REGEXREPLACE(C9005,""-\d+(.*)|--\d+(.*)"","""")"),"COUNOZOULS")</f>
        <v>COUNOZOULS</v>
      </c>
      <c r="E9005" s="38" t="s">
        <v>278</v>
      </c>
      <c r="F9005" s="38" t="s">
        <v>119</v>
      </c>
      <c r="G9005" s="49" t="str">
        <f t="shared" si="1"/>
        <v>11140</v>
      </c>
      <c r="H9005" s="49">
        <f t="shared" si="2"/>
        <v>11104</v>
      </c>
    </row>
    <row r="9006">
      <c r="A9006" s="48" t="s">
        <v>12799</v>
      </c>
      <c r="B9006" s="38">
        <v>11353.0</v>
      </c>
      <c r="C9006" s="38" t="s">
        <v>12800</v>
      </c>
      <c r="D9006" s="38" t="str">
        <f>IFERROR(__xludf.DUMMYFUNCTION("REGEXREPLACE(C9006,""-\d+(.*)|--\d+(.*)"","""")"),"SAINT-MARCEL-SUR-AUDE")</f>
        <v>SAINT-MARCEL-SUR-AUDE</v>
      </c>
      <c r="E9006" s="38" t="s">
        <v>278</v>
      </c>
      <c r="F9006" s="38" t="s">
        <v>119</v>
      </c>
      <c r="G9006" s="49" t="str">
        <f t="shared" si="1"/>
        <v>11120</v>
      </c>
      <c r="H9006" s="49">
        <f t="shared" si="2"/>
        <v>11353</v>
      </c>
    </row>
    <row r="9007">
      <c r="A9007" s="48" t="s">
        <v>5687</v>
      </c>
      <c r="B9007" s="38">
        <v>3294.0</v>
      </c>
      <c r="C9007" s="38" t="s">
        <v>12801</v>
      </c>
      <c r="D9007" s="38" t="str">
        <f>IFERROR(__xludf.DUMMYFUNCTION("REGEXREPLACE(C9007,""-\d+(.*)|--\d+(.*)"","""")"),"USSEL-D'ALLIER")</f>
        <v>USSEL-D'ALLIER</v>
      </c>
      <c r="E9007" s="38" t="s">
        <v>160</v>
      </c>
      <c r="F9007" s="38" t="s">
        <v>161</v>
      </c>
      <c r="G9007" s="49" t="str">
        <f t="shared" si="1"/>
        <v>03140</v>
      </c>
      <c r="H9007" s="49" t="str">
        <f t="shared" si="2"/>
        <v>03294</v>
      </c>
    </row>
    <row r="9008">
      <c r="A9008" s="48" t="s">
        <v>870</v>
      </c>
      <c r="B9008" s="38">
        <v>22283.0</v>
      </c>
      <c r="C9008" s="38" t="s">
        <v>12802</v>
      </c>
      <c r="D9008" s="38" t="str">
        <f>IFERROR(__xludf.DUMMYFUNCTION("REGEXREPLACE(C9008,""-\d+(.*)|--\d+(.*)"","""")"),"SAINT-CLET")</f>
        <v>SAINT-CLET</v>
      </c>
      <c r="E9008" s="38" t="s">
        <v>89</v>
      </c>
      <c r="F9008" s="38" t="s">
        <v>90</v>
      </c>
      <c r="G9008" s="49" t="str">
        <f t="shared" si="1"/>
        <v>22260</v>
      </c>
      <c r="H9008" s="49">
        <f t="shared" si="2"/>
        <v>22283</v>
      </c>
    </row>
    <row r="9009">
      <c r="A9009" s="48" t="s">
        <v>12108</v>
      </c>
      <c r="B9009" s="38">
        <v>38450.0</v>
      </c>
      <c r="C9009" s="38" t="s">
        <v>12803</v>
      </c>
      <c r="D9009" s="38" t="str">
        <f>IFERROR(__xludf.DUMMYFUNCTION("REGEXREPLACE(C9009,""-\d+(.*)|--\d+(.*)"","""")"),"SAINT-QUENTIN-SUR-ISERE")</f>
        <v>SAINT-QUENTIN-SUR-ISERE</v>
      </c>
      <c r="E9009" s="38" t="s">
        <v>101</v>
      </c>
      <c r="F9009" s="38" t="s">
        <v>102</v>
      </c>
      <c r="G9009" s="49" t="str">
        <f t="shared" si="1"/>
        <v>38210</v>
      </c>
      <c r="H9009" s="49">
        <f t="shared" si="2"/>
        <v>38450</v>
      </c>
    </row>
    <row r="9010">
      <c r="A9010" s="48" t="s">
        <v>3063</v>
      </c>
      <c r="B9010" s="38">
        <v>54110.0</v>
      </c>
      <c r="C9010" s="38" t="s">
        <v>12804</v>
      </c>
      <c r="D9010" s="38" t="str">
        <f>IFERROR(__xludf.DUMMYFUNCTION("REGEXREPLACE(C9010,""-\d+(.*)|--\d+(.*)"","""")"),"CERVILLE")</f>
        <v>CERVILLE</v>
      </c>
      <c r="E9010" s="38" t="s">
        <v>548</v>
      </c>
      <c r="F9010" s="38" t="s">
        <v>195</v>
      </c>
      <c r="G9010" s="49" t="str">
        <f t="shared" si="1"/>
        <v>54420</v>
      </c>
      <c r="H9010" s="49">
        <f t="shared" si="2"/>
        <v>54110</v>
      </c>
    </row>
    <row r="9011">
      <c r="A9011" s="48" t="s">
        <v>12805</v>
      </c>
      <c r="B9011" s="38">
        <v>87082.0</v>
      </c>
      <c r="C9011" s="38" t="s">
        <v>12806</v>
      </c>
      <c r="D9011" s="38" t="str">
        <f>IFERROR(__xludf.DUMMYFUNCTION("REGEXREPLACE(C9011,""-\d+(.*)|--\d+(.*)"","""")"),"LADIGNAC-LE-LONG")</f>
        <v>LADIGNAC-LE-LONG</v>
      </c>
      <c r="E9011" s="38" t="s">
        <v>897</v>
      </c>
      <c r="F9011" s="38" t="s">
        <v>98</v>
      </c>
      <c r="G9011" s="49" t="str">
        <f t="shared" si="1"/>
        <v>87500</v>
      </c>
      <c r="H9011" s="49">
        <f t="shared" si="2"/>
        <v>87082</v>
      </c>
    </row>
    <row r="9012">
      <c r="A9012" s="48" t="s">
        <v>12807</v>
      </c>
      <c r="B9012" s="38">
        <v>42135.0</v>
      </c>
      <c r="C9012" s="38" t="s">
        <v>12808</v>
      </c>
      <c r="D9012" s="38" t="str">
        <f>IFERROR(__xludf.DUMMYFUNCTION("REGEXREPLACE(C9012,""-\d+(.*)|--\d+(.*)"","""")"),"MARCLOPT")</f>
        <v>MARCLOPT</v>
      </c>
      <c r="E9012" s="38" t="s">
        <v>166</v>
      </c>
      <c r="F9012" s="38" t="s">
        <v>102</v>
      </c>
      <c r="G9012" s="49" t="str">
        <f t="shared" si="1"/>
        <v>42210</v>
      </c>
      <c r="H9012" s="49">
        <f t="shared" si="2"/>
        <v>42135</v>
      </c>
    </row>
    <row r="9013">
      <c r="A9013" s="48" t="s">
        <v>4295</v>
      </c>
      <c r="B9013" s="38">
        <v>40006.0</v>
      </c>
      <c r="C9013" s="38" t="s">
        <v>12809</v>
      </c>
      <c r="D9013" s="38" t="str">
        <f>IFERROR(__xludf.DUMMYFUNCTION("REGEXREPLACE(C9013,""-\d+(.*)|--\d+(.*)"","""")"),"ARENGOSSE")</f>
        <v>ARENGOSSE</v>
      </c>
      <c r="E9013" s="38" t="s">
        <v>281</v>
      </c>
      <c r="F9013" s="38" t="s">
        <v>252</v>
      </c>
      <c r="G9013" s="49" t="str">
        <f t="shared" si="1"/>
        <v>40110</v>
      </c>
      <c r="H9013" s="49">
        <f t="shared" si="2"/>
        <v>40006</v>
      </c>
    </row>
    <row r="9014">
      <c r="A9014" s="48" t="s">
        <v>6485</v>
      </c>
      <c r="B9014" s="38">
        <v>38309.0</v>
      </c>
      <c r="C9014" s="38" t="s">
        <v>12810</v>
      </c>
      <c r="D9014" s="38" t="str">
        <f>IFERROR(__xludf.DUMMYFUNCTION("REGEXREPLACE(C9014,""-\d+(.*)|--\d+(.*)"","""")"),"POISAT")</f>
        <v>POISAT</v>
      </c>
      <c r="E9014" s="38" t="s">
        <v>101</v>
      </c>
      <c r="F9014" s="38" t="s">
        <v>102</v>
      </c>
      <c r="G9014" s="49" t="str">
        <f t="shared" si="1"/>
        <v>38320</v>
      </c>
      <c r="H9014" s="49">
        <f t="shared" si="2"/>
        <v>38309</v>
      </c>
    </row>
    <row r="9015">
      <c r="A9015" s="48" t="s">
        <v>1014</v>
      </c>
      <c r="B9015" s="38">
        <v>11042.0</v>
      </c>
      <c r="C9015" s="38" t="s">
        <v>12811</v>
      </c>
      <c r="D9015" s="38" t="str">
        <f>IFERROR(__xludf.DUMMYFUNCTION("REGEXREPLACE(C9015,""-\d+(.*)|--\d+(.*)"","""")"),"BLOMAC")</f>
        <v>BLOMAC</v>
      </c>
      <c r="E9015" s="38" t="s">
        <v>278</v>
      </c>
      <c r="F9015" s="38" t="s">
        <v>119</v>
      </c>
      <c r="G9015" s="49" t="str">
        <f t="shared" si="1"/>
        <v>11700</v>
      </c>
      <c r="H9015" s="49">
        <f t="shared" si="2"/>
        <v>11042</v>
      </c>
    </row>
    <row r="9016">
      <c r="A9016" s="48" t="s">
        <v>3711</v>
      </c>
      <c r="B9016" s="38">
        <v>21248.0</v>
      </c>
      <c r="C9016" s="38" t="s">
        <v>12812</v>
      </c>
      <c r="D9016" s="38" t="str">
        <f>IFERROR(__xludf.DUMMYFUNCTION("REGEXREPLACE(C9016,""-\d+(.*)|--\d+(.*)"","""")"),"ERINGES")</f>
        <v>ERINGES</v>
      </c>
      <c r="E9016" s="38" t="s">
        <v>105</v>
      </c>
      <c r="F9016" s="38" t="s">
        <v>106</v>
      </c>
      <c r="G9016" s="49" t="str">
        <f t="shared" si="1"/>
        <v>21500</v>
      </c>
      <c r="H9016" s="49">
        <f t="shared" si="2"/>
        <v>21248</v>
      </c>
    </row>
    <row r="9017">
      <c r="A9017" s="48" t="s">
        <v>3120</v>
      </c>
      <c r="B9017" s="38">
        <v>10274.0</v>
      </c>
      <c r="C9017" s="38" t="s">
        <v>12813</v>
      </c>
      <c r="D9017" s="38" t="str">
        <f>IFERROR(__xludf.DUMMYFUNCTION("REGEXREPLACE(C9017,""-\d+(.*)|--\d+(.*)"","""")"),"ORVILLIERS-SAINT-JULIEN")</f>
        <v>ORVILLIERS-SAINT-JULIEN</v>
      </c>
      <c r="E9017" s="38" t="s">
        <v>147</v>
      </c>
      <c r="F9017" s="38" t="s">
        <v>130</v>
      </c>
      <c r="G9017" s="49" t="str">
        <f t="shared" si="1"/>
        <v>10170</v>
      </c>
      <c r="H9017" s="49">
        <f t="shared" si="2"/>
        <v>10274</v>
      </c>
    </row>
    <row r="9018">
      <c r="A9018" s="48" t="s">
        <v>10063</v>
      </c>
      <c r="B9018" s="38">
        <v>18169.0</v>
      </c>
      <c r="C9018" s="38" t="s">
        <v>3153</v>
      </c>
      <c r="D9018" s="38" t="str">
        <f>IFERROR(__xludf.DUMMYFUNCTION("REGEXREPLACE(C9018,""-\d+(.*)|--\d+(.*)"","""")"),"NOZIERES")</f>
        <v>NOZIERES</v>
      </c>
      <c r="E9018" s="38" t="s">
        <v>504</v>
      </c>
      <c r="F9018" s="38" t="s">
        <v>123</v>
      </c>
      <c r="G9018" s="49" t="str">
        <f t="shared" si="1"/>
        <v>18200</v>
      </c>
      <c r="H9018" s="49">
        <f t="shared" si="2"/>
        <v>18169</v>
      </c>
    </row>
    <row r="9019">
      <c r="A9019" s="48" t="s">
        <v>5101</v>
      </c>
      <c r="B9019" s="38">
        <v>54567.0</v>
      </c>
      <c r="C9019" s="38" t="s">
        <v>12814</v>
      </c>
      <c r="D9019" s="38" t="str">
        <f>IFERROR(__xludf.DUMMYFUNCTION("REGEXREPLACE(C9019,""-\d+(.*)|--\d+(.*)"","""")"),"VILLACOURT")</f>
        <v>VILLACOURT</v>
      </c>
      <c r="E9019" s="38" t="s">
        <v>548</v>
      </c>
      <c r="F9019" s="38" t="s">
        <v>195</v>
      </c>
      <c r="G9019" s="49" t="str">
        <f t="shared" si="1"/>
        <v>54290</v>
      </c>
      <c r="H9019" s="49">
        <f t="shared" si="2"/>
        <v>54567</v>
      </c>
    </row>
    <row r="9020">
      <c r="A9020" s="48" t="s">
        <v>3523</v>
      </c>
      <c r="B9020" s="38">
        <v>31379.0</v>
      </c>
      <c r="C9020" s="38" t="s">
        <v>12815</v>
      </c>
      <c r="D9020" s="38" t="str">
        <f>IFERROR(__xludf.DUMMYFUNCTION("REGEXREPLACE(C9020,""-\d+(.*)|--\d+(.*)"","""")"),"MONTGAZIN")</f>
        <v>MONTGAZIN</v>
      </c>
      <c r="E9020" s="38" t="s">
        <v>93</v>
      </c>
      <c r="F9020" s="38" t="s">
        <v>94</v>
      </c>
      <c r="G9020" s="49" t="str">
        <f t="shared" si="1"/>
        <v>31410</v>
      </c>
      <c r="H9020" s="49">
        <f t="shared" si="2"/>
        <v>31379</v>
      </c>
    </row>
    <row r="9021">
      <c r="A9021" s="48" t="s">
        <v>403</v>
      </c>
      <c r="B9021" s="38">
        <v>59667.0</v>
      </c>
      <c r="C9021" s="38" t="s">
        <v>12816</v>
      </c>
      <c r="D9021" s="38" t="str">
        <f>IFERROR(__xludf.DUMMYFUNCTION("REGEXREPLACE(C9021,""-\d+(.*)|--\d+(.*)"","""")"),"ZERMEZEELE")</f>
        <v>ZERMEZEELE</v>
      </c>
      <c r="E9021" s="38" t="s">
        <v>85</v>
      </c>
      <c r="F9021" s="38" t="s">
        <v>86</v>
      </c>
      <c r="G9021" s="49" t="str">
        <f t="shared" si="1"/>
        <v>59670</v>
      </c>
      <c r="H9021" s="49">
        <f t="shared" si="2"/>
        <v>59667</v>
      </c>
    </row>
    <row r="9022">
      <c r="A9022" s="48" t="s">
        <v>12817</v>
      </c>
      <c r="B9022" s="38">
        <v>75111.0</v>
      </c>
      <c r="C9022" s="38" t="s">
        <v>12818</v>
      </c>
      <c r="D9022" s="38" t="str">
        <f>IFERROR(__xludf.DUMMYFUNCTION("REGEXREPLACE(C9022,""-\d+(.*)|--\d+(.*)"","""")"),"PARIS")</f>
        <v>PARIS</v>
      </c>
      <c r="E9022" s="38" t="s">
        <v>823</v>
      </c>
      <c r="F9022" s="38" t="s">
        <v>245</v>
      </c>
      <c r="G9022" s="49" t="str">
        <f t="shared" si="1"/>
        <v>75011</v>
      </c>
      <c r="H9022" s="49">
        <f t="shared" si="2"/>
        <v>75111</v>
      </c>
    </row>
    <row r="9023">
      <c r="A9023" s="48" t="s">
        <v>10778</v>
      </c>
      <c r="B9023" s="38">
        <v>21175.0</v>
      </c>
      <c r="C9023" s="38" t="s">
        <v>12819</v>
      </c>
      <c r="D9023" s="38" t="str">
        <f>IFERROR(__xludf.DUMMYFUNCTION("REGEXREPLACE(C9023,""-\d+(.*)|--\d+(.*)"","""")"),"CIREY-LES-PONTAILLER")</f>
        <v>CIREY-LES-PONTAILLER</v>
      </c>
      <c r="E9023" s="38" t="s">
        <v>105</v>
      </c>
      <c r="F9023" s="38" t="s">
        <v>106</v>
      </c>
      <c r="G9023" s="49" t="str">
        <f t="shared" si="1"/>
        <v>21270</v>
      </c>
      <c r="H9023" s="49">
        <f t="shared" si="2"/>
        <v>21175</v>
      </c>
    </row>
    <row r="9024">
      <c r="A9024" s="48" t="s">
        <v>995</v>
      </c>
      <c r="B9024" s="38">
        <v>31338.0</v>
      </c>
      <c r="C9024" s="38" t="s">
        <v>12820</v>
      </c>
      <c r="D9024" s="38" t="str">
        <f>IFERROR(__xludf.DUMMYFUNCTION("REGEXREPLACE(C9024,""-\d+(.*)|--\d+(.*)"","""")"),"MENVILLE")</f>
        <v>MENVILLE</v>
      </c>
      <c r="E9024" s="38" t="s">
        <v>93</v>
      </c>
      <c r="F9024" s="38" t="s">
        <v>94</v>
      </c>
      <c r="G9024" s="49" t="str">
        <f t="shared" si="1"/>
        <v>31530</v>
      </c>
      <c r="H9024" s="49">
        <f t="shared" si="2"/>
        <v>31338</v>
      </c>
    </row>
    <row r="9025">
      <c r="A9025" s="48" t="s">
        <v>1327</v>
      </c>
      <c r="B9025" s="38">
        <v>51037.0</v>
      </c>
      <c r="C9025" s="38" t="s">
        <v>12821</v>
      </c>
      <c r="D9025" s="38" t="str">
        <f>IFERROR(__xludf.DUMMYFUNCTION("REGEXREPLACE(C9025,""-\d+(.*)|--\d+(.*)"","""")"),"BASLIEUX-LES-FISMES")</f>
        <v>BASLIEUX-LES-FISMES</v>
      </c>
      <c r="E9025" s="38" t="s">
        <v>129</v>
      </c>
      <c r="F9025" s="38" t="s">
        <v>130</v>
      </c>
      <c r="G9025" s="49" t="str">
        <f t="shared" si="1"/>
        <v>51170</v>
      </c>
      <c r="H9025" s="49">
        <f t="shared" si="2"/>
        <v>51037</v>
      </c>
    </row>
    <row r="9026">
      <c r="A9026" s="48" t="s">
        <v>6328</v>
      </c>
      <c r="B9026" s="38">
        <v>30041.0</v>
      </c>
      <c r="C9026" s="38" t="s">
        <v>12822</v>
      </c>
      <c r="D9026" s="38" t="str">
        <f>IFERROR(__xludf.DUMMYFUNCTION("REGEXREPLACE(C9026,""-\d+(.*)|--\d+(.*)"","""")"),"BLAUZAC")</f>
        <v>BLAUZAC</v>
      </c>
      <c r="E9026" s="38" t="s">
        <v>526</v>
      </c>
      <c r="F9026" s="38" t="s">
        <v>119</v>
      </c>
      <c r="G9026" s="49" t="str">
        <f t="shared" si="1"/>
        <v>30700</v>
      </c>
      <c r="H9026" s="49">
        <f t="shared" si="2"/>
        <v>30041</v>
      </c>
    </row>
    <row r="9027">
      <c r="A9027" s="48" t="s">
        <v>6323</v>
      </c>
      <c r="B9027" s="38">
        <v>50255.0</v>
      </c>
      <c r="C9027" s="38" t="s">
        <v>12823</v>
      </c>
      <c r="D9027" s="38" t="str">
        <f>IFERROR(__xludf.DUMMYFUNCTION("REGEXREPLACE(C9027,""-\d+(.*)|--\d+(.*)"","""")"),"HYENVILLE")</f>
        <v>HYENVILLE</v>
      </c>
      <c r="E9027" s="38" t="s">
        <v>157</v>
      </c>
      <c r="F9027" s="38" t="s">
        <v>138</v>
      </c>
      <c r="G9027" s="49" t="str">
        <f t="shared" si="1"/>
        <v>50660</v>
      </c>
      <c r="H9027" s="49">
        <f t="shared" si="2"/>
        <v>50255</v>
      </c>
    </row>
    <row r="9028">
      <c r="A9028" s="48" t="s">
        <v>12824</v>
      </c>
      <c r="B9028" s="38">
        <v>78561.0</v>
      </c>
      <c r="C9028" s="38" t="s">
        <v>12825</v>
      </c>
      <c r="D9028" s="38" t="str">
        <f>IFERROR(__xludf.DUMMYFUNCTION("REGEXREPLACE(C9028,""-\d+(.*)|--\d+(.*)"","""")"),"SAINT-LAMBERT")</f>
        <v>SAINT-LAMBERT</v>
      </c>
      <c r="E9028" s="38" t="s">
        <v>362</v>
      </c>
      <c r="F9028" s="38" t="s">
        <v>245</v>
      </c>
      <c r="G9028" s="49" t="str">
        <f t="shared" si="1"/>
        <v>78470</v>
      </c>
      <c r="H9028" s="49">
        <f t="shared" si="2"/>
        <v>78561</v>
      </c>
    </row>
    <row r="9029">
      <c r="A9029" s="48" t="s">
        <v>12826</v>
      </c>
      <c r="B9029" s="38">
        <v>45224.0</v>
      </c>
      <c r="C9029" s="38" t="s">
        <v>12827</v>
      </c>
      <c r="D9029" s="38" t="str">
        <f>IFERROR(__xludf.DUMMYFUNCTION("REGEXREPLACE(C9029,""-\d+(.*)|--\d+(.*)"","""")"),"NEUVILLE-AUX-BOIS")</f>
        <v>NEUVILLE-AUX-BOIS</v>
      </c>
      <c r="E9029" s="38" t="s">
        <v>122</v>
      </c>
      <c r="F9029" s="38" t="s">
        <v>123</v>
      </c>
      <c r="G9029" s="49" t="str">
        <f t="shared" si="1"/>
        <v>45170</v>
      </c>
      <c r="H9029" s="49">
        <f t="shared" si="2"/>
        <v>45224</v>
      </c>
    </row>
    <row r="9030">
      <c r="A9030" s="48" t="s">
        <v>9240</v>
      </c>
      <c r="B9030" s="38">
        <v>47158.0</v>
      </c>
      <c r="C9030" s="38" t="s">
        <v>12828</v>
      </c>
      <c r="D9030" s="38" t="str">
        <f>IFERROR(__xludf.DUMMYFUNCTION("REGEXREPLACE(C9030,""-\d+(.*)|--\d+(.*)"","""")"),"MARMONT-PACHAS")</f>
        <v>MARMONT-PACHAS</v>
      </c>
      <c r="E9030" s="38" t="s">
        <v>251</v>
      </c>
      <c r="F9030" s="38" t="s">
        <v>252</v>
      </c>
      <c r="G9030" s="49" t="str">
        <f t="shared" si="1"/>
        <v>47220</v>
      </c>
      <c r="H9030" s="49">
        <f t="shared" si="2"/>
        <v>47158</v>
      </c>
    </row>
    <row r="9031">
      <c r="A9031" s="48" t="s">
        <v>474</v>
      </c>
      <c r="B9031" s="38">
        <v>76082.0</v>
      </c>
      <c r="C9031" s="38" t="s">
        <v>12829</v>
      </c>
      <c r="D9031" s="38" t="str">
        <f>IFERROR(__xludf.DUMMYFUNCTION("REGEXREPLACE(C9031,""-\d+(.*)|--\d+(.*)"","""")"),"BERNIERES")</f>
        <v>BERNIERES</v>
      </c>
      <c r="E9031" s="38" t="s">
        <v>133</v>
      </c>
      <c r="F9031" s="38" t="s">
        <v>134</v>
      </c>
      <c r="G9031" s="49" t="str">
        <f t="shared" si="1"/>
        <v>76210</v>
      </c>
      <c r="H9031" s="49">
        <f t="shared" si="2"/>
        <v>76082</v>
      </c>
    </row>
    <row r="9032">
      <c r="A9032" s="48" t="s">
        <v>2924</v>
      </c>
      <c r="B9032" s="38">
        <v>8219.0</v>
      </c>
      <c r="C9032" s="38" t="s">
        <v>12830</v>
      </c>
      <c r="D9032" s="38" t="str">
        <f>IFERROR(__xludf.DUMMYFUNCTION("REGEXREPLACE(C9032,""-\d+(.*)|--\d+(.*)"","""")"),"HAUTEVILLE")</f>
        <v>HAUTEVILLE</v>
      </c>
      <c r="E9032" s="38" t="s">
        <v>327</v>
      </c>
      <c r="F9032" s="38" t="s">
        <v>130</v>
      </c>
      <c r="G9032" s="49" t="str">
        <f t="shared" si="1"/>
        <v>08300</v>
      </c>
      <c r="H9032" s="49" t="str">
        <f t="shared" si="2"/>
        <v>08219</v>
      </c>
    </row>
    <row r="9033">
      <c r="A9033" s="48" t="s">
        <v>3943</v>
      </c>
      <c r="B9033" s="38">
        <v>15181.0</v>
      </c>
      <c r="C9033" s="38" t="s">
        <v>12831</v>
      </c>
      <c r="D9033" s="38" t="str">
        <f>IFERROR(__xludf.DUMMYFUNCTION("REGEXREPLACE(C9033,""-\d+(.*)|--\d+(.*)"","""")"),"SAINT-CONSTANT")</f>
        <v>SAINT-CONSTANT</v>
      </c>
      <c r="E9033" s="38" t="s">
        <v>632</v>
      </c>
      <c r="F9033" s="38" t="s">
        <v>161</v>
      </c>
      <c r="G9033" s="49" t="str">
        <f t="shared" si="1"/>
        <v>15600</v>
      </c>
      <c r="H9033" s="49">
        <f t="shared" si="2"/>
        <v>15181</v>
      </c>
    </row>
    <row r="9034">
      <c r="A9034" s="48" t="s">
        <v>2631</v>
      </c>
      <c r="B9034" s="38">
        <v>64214.0</v>
      </c>
      <c r="C9034" s="38" t="s">
        <v>12832</v>
      </c>
      <c r="D9034" s="38" t="str">
        <f>IFERROR(__xludf.DUMMYFUNCTION("REGEXREPLACE(C9034,""-\d+(.*)|--\d+(.*)"","""")"),"ESPES-UNDUREIN")</f>
        <v>ESPES-UNDUREIN</v>
      </c>
      <c r="E9034" s="38" t="s">
        <v>268</v>
      </c>
      <c r="F9034" s="38" t="s">
        <v>252</v>
      </c>
      <c r="G9034" s="49" t="str">
        <f t="shared" si="1"/>
        <v>64130</v>
      </c>
      <c r="H9034" s="49">
        <f t="shared" si="2"/>
        <v>64214</v>
      </c>
    </row>
    <row r="9035">
      <c r="A9035" s="48" t="s">
        <v>11319</v>
      </c>
      <c r="B9035" s="38">
        <v>51393.0</v>
      </c>
      <c r="C9035" s="38" t="s">
        <v>12833</v>
      </c>
      <c r="D9035" s="38" t="str">
        <f>IFERROR(__xludf.DUMMYFUNCTION("REGEXREPLACE(C9035,""-\d+(.*)|--\d+(.*)"","""")"),"NANTEUIL-LA-FORET")</f>
        <v>NANTEUIL-LA-FORET</v>
      </c>
      <c r="E9035" s="38" t="s">
        <v>129</v>
      </c>
      <c r="F9035" s="38" t="s">
        <v>130</v>
      </c>
      <c r="G9035" s="49" t="str">
        <f t="shared" si="1"/>
        <v>51480</v>
      </c>
      <c r="H9035" s="49">
        <f t="shared" si="2"/>
        <v>51393</v>
      </c>
    </row>
    <row r="9036">
      <c r="A9036" s="48" t="s">
        <v>12834</v>
      </c>
      <c r="B9036" s="38">
        <v>73070.0</v>
      </c>
      <c r="C9036" s="38" t="s">
        <v>12835</v>
      </c>
      <c r="D9036" s="38" t="str">
        <f>IFERROR(__xludf.DUMMYFUNCTION("REGEXREPLACE(C9036,""-\d+(.*)|--\d+(.*)"","""")"),"CHAMPAGNEUX")</f>
        <v>CHAMPAGNEUX</v>
      </c>
      <c r="E9036" s="38" t="s">
        <v>306</v>
      </c>
      <c r="F9036" s="38" t="s">
        <v>102</v>
      </c>
      <c r="G9036" s="49" t="str">
        <f t="shared" si="1"/>
        <v>73240</v>
      </c>
      <c r="H9036" s="49">
        <f t="shared" si="2"/>
        <v>73070</v>
      </c>
    </row>
    <row r="9037">
      <c r="A9037" s="48" t="s">
        <v>5958</v>
      </c>
      <c r="B9037" s="38">
        <v>68137.0</v>
      </c>
      <c r="C9037" s="38" t="s">
        <v>12836</v>
      </c>
      <c r="D9037" s="38" t="str">
        <f>IFERROR(__xludf.DUMMYFUNCTION("REGEXREPLACE(C9037,""-\d+(.*)|--\d+(.*)"","""")"),"HINDLINGEN")</f>
        <v>HINDLINGEN</v>
      </c>
      <c r="E9037" s="38" t="s">
        <v>150</v>
      </c>
      <c r="F9037" s="38" t="s">
        <v>151</v>
      </c>
      <c r="G9037" s="49" t="str">
        <f t="shared" si="1"/>
        <v>68580</v>
      </c>
      <c r="H9037" s="49">
        <f t="shared" si="2"/>
        <v>68137</v>
      </c>
    </row>
    <row r="9038">
      <c r="A9038" s="48" t="s">
        <v>7199</v>
      </c>
      <c r="B9038" s="38">
        <v>76039.0</v>
      </c>
      <c r="C9038" s="38" t="s">
        <v>12837</v>
      </c>
      <c r="D9038" s="38" t="str">
        <f>IFERROR(__xludf.DUMMYFUNCTION("REGEXREPLACE(C9038,""-\d+(.*)|--\d+(.*)"","""")"),"LES AUTHIEUX-SUR-LE-PORT-SAINT-OUEN")</f>
        <v>LES AUTHIEUX-SUR-LE-PORT-SAINT-OUEN</v>
      </c>
      <c r="E9038" s="38" t="s">
        <v>133</v>
      </c>
      <c r="F9038" s="38" t="s">
        <v>134</v>
      </c>
      <c r="G9038" s="49" t="str">
        <f t="shared" si="1"/>
        <v>76520</v>
      </c>
      <c r="H9038" s="49">
        <f t="shared" si="2"/>
        <v>76039</v>
      </c>
    </row>
    <row r="9039">
      <c r="A9039" s="48" t="s">
        <v>3920</v>
      </c>
      <c r="B9039" s="38">
        <v>50485.0</v>
      </c>
      <c r="C9039" s="38" t="s">
        <v>12838</v>
      </c>
      <c r="D9039" s="38" t="str">
        <f>IFERROR(__xludf.DUMMYFUNCTION("REGEXREPLACE(C9039,""-\d+(.*)|--\d+(.*)"","""")"),"SAINT-HILAIRE-PETITVILLE")</f>
        <v>SAINT-HILAIRE-PETITVILLE</v>
      </c>
      <c r="E9039" s="38" t="s">
        <v>157</v>
      </c>
      <c r="F9039" s="38" t="s">
        <v>138</v>
      </c>
      <c r="G9039" s="49" t="str">
        <f t="shared" si="1"/>
        <v>50500</v>
      </c>
      <c r="H9039" s="49">
        <f t="shared" si="2"/>
        <v>50485</v>
      </c>
    </row>
    <row r="9040">
      <c r="A9040" s="48" t="s">
        <v>2835</v>
      </c>
      <c r="B9040" s="38">
        <v>18184.0</v>
      </c>
      <c r="C9040" s="38" t="s">
        <v>12839</v>
      </c>
      <c r="D9040" s="38" t="str">
        <f>IFERROR(__xludf.DUMMYFUNCTION("REGEXREPLACE(C9040,""-\d+(.*)|--\d+(.*)"","""")"),"PRECY")</f>
        <v>PRECY</v>
      </c>
      <c r="E9040" s="38" t="s">
        <v>504</v>
      </c>
      <c r="F9040" s="38" t="s">
        <v>123</v>
      </c>
      <c r="G9040" s="49" t="str">
        <f t="shared" si="1"/>
        <v>18140</v>
      </c>
      <c r="H9040" s="49">
        <f t="shared" si="2"/>
        <v>18184</v>
      </c>
    </row>
    <row r="9041">
      <c r="A9041" s="48" t="s">
        <v>12840</v>
      </c>
      <c r="B9041" s="38">
        <v>27391.0</v>
      </c>
      <c r="C9041" s="38" t="s">
        <v>12841</v>
      </c>
      <c r="D9041" s="38" t="str">
        <f>IFERROR(__xludf.DUMMYFUNCTION("REGEXREPLACE(C9041,""-\d+(.*)|--\d+(.*)"","""")"),"MARCILLY-SUR-EURE")</f>
        <v>MARCILLY-SUR-EURE</v>
      </c>
      <c r="E9041" s="38" t="s">
        <v>241</v>
      </c>
      <c r="F9041" s="38" t="s">
        <v>134</v>
      </c>
      <c r="G9041" s="49" t="str">
        <f t="shared" si="1"/>
        <v>27810</v>
      </c>
      <c r="H9041" s="49">
        <f t="shared" si="2"/>
        <v>27391</v>
      </c>
    </row>
    <row r="9042">
      <c r="A9042" s="48" t="s">
        <v>5008</v>
      </c>
      <c r="B9042" s="38">
        <v>76386.0</v>
      </c>
      <c r="C9042" s="38" t="s">
        <v>12842</v>
      </c>
      <c r="D9042" s="38" t="str">
        <f>IFERROR(__xludf.DUMMYFUNCTION("REGEXREPLACE(C9042,""-\d+(.*)|--\d+(.*)"","""")"),"LIMPIVILLE")</f>
        <v>LIMPIVILLE</v>
      </c>
      <c r="E9042" s="38" t="s">
        <v>133</v>
      </c>
      <c r="F9042" s="38" t="s">
        <v>134</v>
      </c>
      <c r="G9042" s="49" t="str">
        <f t="shared" si="1"/>
        <v>76540</v>
      </c>
      <c r="H9042" s="49">
        <f t="shared" si="2"/>
        <v>76386</v>
      </c>
    </row>
    <row r="9043">
      <c r="A9043" s="48" t="s">
        <v>12843</v>
      </c>
      <c r="B9043" s="38">
        <v>76540.0</v>
      </c>
      <c r="C9043" s="38" t="s">
        <v>12844</v>
      </c>
      <c r="D9043" s="38" t="str">
        <f>IFERROR(__xludf.DUMMYFUNCTION("REGEXREPLACE(C9043,""-\d+(.*)|--\d+(.*)"","""")"),"ROUEN")</f>
        <v>ROUEN</v>
      </c>
      <c r="E9043" s="38" t="s">
        <v>133</v>
      </c>
      <c r="F9043" s="38" t="s">
        <v>134</v>
      </c>
      <c r="G9043" s="49" t="str">
        <f t="shared" si="1"/>
        <v>76000/76100</v>
      </c>
      <c r="H9043" s="49">
        <f t="shared" si="2"/>
        <v>76540</v>
      </c>
    </row>
    <row r="9044">
      <c r="A9044" s="48" t="s">
        <v>12845</v>
      </c>
      <c r="B9044" s="38">
        <v>85018.0</v>
      </c>
      <c r="C9044" s="38" t="s">
        <v>12846</v>
      </c>
      <c r="D9044" s="38" t="str">
        <f>IFERROR(__xludf.DUMMYFUNCTION("REGEXREPLACE(C9044,""-\d+(.*)|--\d+(.*)"","""")"),"BEAUVOIR-SUR-MER")</f>
        <v>BEAUVOIR-SUR-MER</v>
      </c>
      <c r="E9044" s="38" t="s">
        <v>179</v>
      </c>
      <c r="F9044" s="38" t="s">
        <v>180</v>
      </c>
      <c r="G9044" s="49" t="str">
        <f t="shared" si="1"/>
        <v>85230</v>
      </c>
      <c r="H9044" s="49">
        <f t="shared" si="2"/>
        <v>85018</v>
      </c>
    </row>
    <row r="9045">
      <c r="A9045" s="48" t="s">
        <v>3291</v>
      </c>
      <c r="B9045" s="38">
        <v>3153.0</v>
      </c>
      <c r="C9045" s="38" t="s">
        <v>12847</v>
      </c>
      <c r="D9045" s="38" t="str">
        <f>IFERROR(__xludf.DUMMYFUNCTION("REGEXREPLACE(C9045,""-\d+(.*)|--\d+(.*)"","""")"),"LOUROUX-HODEMENT")</f>
        <v>LOUROUX-HODEMENT</v>
      </c>
      <c r="E9045" s="38" t="s">
        <v>160</v>
      </c>
      <c r="F9045" s="38" t="s">
        <v>161</v>
      </c>
      <c r="G9045" s="49" t="str">
        <f t="shared" si="1"/>
        <v>03190</v>
      </c>
      <c r="H9045" s="49" t="str">
        <f t="shared" si="2"/>
        <v>03153</v>
      </c>
    </row>
    <row r="9046">
      <c r="A9046" s="48" t="s">
        <v>2332</v>
      </c>
      <c r="B9046" s="38">
        <v>81022.0</v>
      </c>
      <c r="C9046" s="38" t="s">
        <v>12848</v>
      </c>
      <c r="D9046" s="38" t="str">
        <f>IFERROR(__xludf.DUMMYFUNCTION("REGEXREPLACE(C9046,""-\d+(.*)|--\d+(.*)"","""")"),"BANNIERES")</f>
        <v>BANNIERES</v>
      </c>
      <c r="E9046" s="38" t="s">
        <v>231</v>
      </c>
      <c r="F9046" s="38" t="s">
        <v>94</v>
      </c>
      <c r="G9046" s="49" t="str">
        <f t="shared" si="1"/>
        <v>81500</v>
      </c>
      <c r="H9046" s="49">
        <f t="shared" si="2"/>
        <v>81022</v>
      </c>
    </row>
    <row r="9047">
      <c r="A9047" s="48" t="s">
        <v>1385</v>
      </c>
      <c r="B9047" s="38">
        <v>17166.0</v>
      </c>
      <c r="C9047" s="38" t="s">
        <v>8532</v>
      </c>
      <c r="D9047" s="38" t="str">
        <f>IFERROR(__xludf.DUMMYFUNCTION("REGEXREPLACE(C9047,""-\d+(.*)|--\d+(.*)"","""")"),"FORGES")</f>
        <v>FORGES</v>
      </c>
      <c r="E9047" s="38" t="s">
        <v>488</v>
      </c>
      <c r="F9047" s="38" t="s">
        <v>338</v>
      </c>
      <c r="G9047" s="49" t="str">
        <f t="shared" si="1"/>
        <v>17290</v>
      </c>
      <c r="H9047" s="49">
        <f t="shared" si="2"/>
        <v>17166</v>
      </c>
    </row>
    <row r="9048">
      <c r="A9048" s="48" t="s">
        <v>7549</v>
      </c>
      <c r="B9048" s="38">
        <v>50522.0</v>
      </c>
      <c r="C9048" s="38" t="s">
        <v>12849</v>
      </c>
      <c r="D9048" s="38" t="str">
        <f>IFERROR(__xludf.DUMMYFUNCTION("REGEXREPLACE(C9048,""-\d+(.*)|--\d+(.*)"","""")"),"SAINT-MAURICE-EN-COTENTIN")</f>
        <v>SAINT-MAURICE-EN-COTENTIN</v>
      </c>
      <c r="E9048" s="38" t="s">
        <v>157</v>
      </c>
      <c r="F9048" s="38" t="s">
        <v>138</v>
      </c>
      <c r="G9048" s="49" t="str">
        <f t="shared" si="1"/>
        <v>50270</v>
      </c>
      <c r="H9048" s="49">
        <f t="shared" si="2"/>
        <v>50522</v>
      </c>
    </row>
    <row r="9049">
      <c r="A9049" s="48" t="s">
        <v>11573</v>
      </c>
      <c r="B9049" s="38">
        <v>73064.0</v>
      </c>
      <c r="C9049" s="38" t="s">
        <v>12850</v>
      </c>
      <c r="D9049" s="38" t="str">
        <f>IFERROR(__xludf.DUMMYFUNCTION("REGEXREPLACE(C9049,""-\d+(.*)|--\d+(.*)"","""")"),"CHALLES-LES-EAUX")</f>
        <v>CHALLES-LES-EAUX</v>
      </c>
      <c r="E9049" s="38" t="s">
        <v>306</v>
      </c>
      <c r="F9049" s="38" t="s">
        <v>102</v>
      </c>
      <c r="G9049" s="49" t="str">
        <f t="shared" si="1"/>
        <v>73190</v>
      </c>
      <c r="H9049" s="49">
        <f t="shared" si="2"/>
        <v>73064</v>
      </c>
    </row>
    <row r="9050">
      <c r="A9050" s="48" t="s">
        <v>2316</v>
      </c>
      <c r="B9050" s="38">
        <v>25183.0</v>
      </c>
      <c r="C9050" s="38" t="s">
        <v>12851</v>
      </c>
      <c r="D9050" s="38" t="str">
        <f>IFERROR(__xludf.DUMMYFUNCTION("REGEXREPLACE(C9050,""-\d+(.*)|--\d+(.*)"","""")"),"CUSANCE")</f>
        <v>CUSANCE</v>
      </c>
      <c r="E9050" s="38" t="s">
        <v>213</v>
      </c>
      <c r="F9050" s="38" t="s">
        <v>214</v>
      </c>
      <c r="G9050" s="49" t="str">
        <f t="shared" si="1"/>
        <v>25110</v>
      </c>
      <c r="H9050" s="49">
        <f t="shared" si="2"/>
        <v>25183</v>
      </c>
    </row>
    <row r="9051">
      <c r="A9051" s="48" t="s">
        <v>3681</v>
      </c>
      <c r="B9051" s="38">
        <v>39251.0</v>
      </c>
      <c r="C9051" s="38" t="s">
        <v>12852</v>
      </c>
      <c r="D9051" s="38" t="str">
        <f>IFERROR(__xludf.DUMMYFUNCTION("REGEXREPLACE(C9051,""-\d+(.*)|--\d+(.*)"","""")"),"GEVINGEY")</f>
        <v>GEVINGEY</v>
      </c>
      <c r="E9051" s="38" t="s">
        <v>400</v>
      </c>
      <c r="F9051" s="38" t="s">
        <v>214</v>
      </c>
      <c r="G9051" s="49" t="str">
        <f t="shared" si="1"/>
        <v>39570</v>
      </c>
      <c r="H9051" s="49">
        <f t="shared" si="2"/>
        <v>39251</v>
      </c>
    </row>
    <row r="9052">
      <c r="A9052" s="48" t="s">
        <v>7741</v>
      </c>
      <c r="B9052" s="38">
        <v>37134.0</v>
      </c>
      <c r="C9052" s="38" t="s">
        <v>12853</v>
      </c>
      <c r="D9052" s="38" t="str">
        <f>IFERROR(__xludf.DUMMYFUNCTION("REGEXREPLACE(C9052,""-\d+(.*)|--\d+(.*)"","""")"),"LOUANS")</f>
        <v>LOUANS</v>
      </c>
      <c r="E9052" s="38" t="s">
        <v>205</v>
      </c>
      <c r="F9052" s="38" t="s">
        <v>123</v>
      </c>
      <c r="G9052" s="49" t="str">
        <f t="shared" si="1"/>
        <v>37320</v>
      </c>
      <c r="H9052" s="49">
        <f t="shared" si="2"/>
        <v>37134</v>
      </c>
    </row>
    <row r="9053">
      <c r="A9053" s="48" t="s">
        <v>2136</v>
      </c>
      <c r="B9053" s="38">
        <v>52262.0</v>
      </c>
      <c r="C9053" s="38" t="s">
        <v>12854</v>
      </c>
      <c r="D9053" s="38" t="str">
        <f>IFERROR(__xludf.DUMMYFUNCTION("REGEXREPLACE(C9053,""-\d+(.*)|--\d+(.*)"","""")"),"LAMOTHE-EN-BLAISY")</f>
        <v>LAMOTHE-EN-BLAISY</v>
      </c>
      <c r="E9053" s="38" t="s">
        <v>234</v>
      </c>
      <c r="F9053" s="38" t="s">
        <v>130</v>
      </c>
      <c r="G9053" s="49" t="str">
        <f t="shared" si="1"/>
        <v>52330</v>
      </c>
      <c r="H9053" s="49">
        <f t="shared" si="2"/>
        <v>52262</v>
      </c>
    </row>
    <row r="9054">
      <c r="A9054" s="48" t="s">
        <v>862</v>
      </c>
      <c r="B9054" s="38">
        <v>27645.0</v>
      </c>
      <c r="C9054" s="38" t="s">
        <v>12855</v>
      </c>
      <c r="D9054" s="38" t="str">
        <f>IFERROR(__xludf.DUMMYFUNCTION("REGEXREPLACE(C9054,""-\d+(.*)|--\d+(.*)"","""")"),"TOCQUEVILLE")</f>
        <v>TOCQUEVILLE</v>
      </c>
      <c r="E9054" s="38" t="s">
        <v>241</v>
      </c>
      <c r="F9054" s="38" t="s">
        <v>134</v>
      </c>
      <c r="G9054" s="49" t="str">
        <f t="shared" si="1"/>
        <v>27500</v>
      </c>
      <c r="H9054" s="49">
        <f t="shared" si="2"/>
        <v>27645</v>
      </c>
    </row>
    <row r="9055">
      <c r="A9055" s="48" t="s">
        <v>436</v>
      </c>
      <c r="B9055" s="38">
        <v>51300.0</v>
      </c>
      <c r="C9055" s="38" t="s">
        <v>12856</v>
      </c>
      <c r="D9055" s="38" t="str">
        <f>IFERROR(__xludf.DUMMYFUNCTION("REGEXREPLACE(C9055,""-\d+(.*)|--\d+(.*)"","""")"),"ISLE-SUR-MARNE")</f>
        <v>ISLE-SUR-MARNE</v>
      </c>
      <c r="E9055" s="38" t="s">
        <v>129</v>
      </c>
      <c r="F9055" s="38" t="s">
        <v>130</v>
      </c>
      <c r="G9055" s="49" t="str">
        <f t="shared" si="1"/>
        <v>51290</v>
      </c>
      <c r="H9055" s="49">
        <f t="shared" si="2"/>
        <v>51300</v>
      </c>
    </row>
    <row r="9056">
      <c r="A9056" s="48" t="s">
        <v>262</v>
      </c>
      <c r="B9056" s="38">
        <v>9151.0</v>
      </c>
      <c r="C9056" s="38" t="s">
        <v>12857</v>
      </c>
      <c r="D9056" s="38" t="str">
        <f>IFERROR(__xludf.DUMMYFUNCTION("REGEXREPLACE(C9056,""-\d+(.*)|--\d+(.*)"","""")"),"LANOUX")</f>
        <v>LANOUX</v>
      </c>
      <c r="E9056" s="38" t="s">
        <v>238</v>
      </c>
      <c r="F9056" s="38" t="s">
        <v>94</v>
      </c>
      <c r="G9056" s="49" t="str">
        <f t="shared" si="1"/>
        <v>09130</v>
      </c>
      <c r="H9056" s="49" t="str">
        <f t="shared" si="2"/>
        <v>09151</v>
      </c>
    </row>
    <row r="9057">
      <c r="A9057" s="48" t="s">
        <v>3920</v>
      </c>
      <c r="B9057" s="38">
        <v>50107.0</v>
      </c>
      <c r="C9057" s="38" t="s">
        <v>12858</v>
      </c>
      <c r="D9057" s="38" t="str">
        <f>IFERROR(__xludf.DUMMYFUNCTION("REGEXREPLACE(C9057,""-\d+(.*)|--\d+(.*)"","""")"),"CATZ")</f>
        <v>CATZ</v>
      </c>
      <c r="E9057" s="38" t="s">
        <v>157</v>
      </c>
      <c r="F9057" s="38" t="s">
        <v>138</v>
      </c>
      <c r="G9057" s="49" t="str">
        <f t="shared" si="1"/>
        <v>50500</v>
      </c>
      <c r="H9057" s="49">
        <f t="shared" si="2"/>
        <v>50107</v>
      </c>
    </row>
    <row r="9058">
      <c r="A9058" s="48" t="s">
        <v>1060</v>
      </c>
      <c r="B9058" s="38">
        <v>57542.0</v>
      </c>
      <c r="C9058" s="38" t="s">
        <v>12859</v>
      </c>
      <c r="D9058" s="38" t="str">
        <f>IFERROR(__xludf.DUMMYFUNCTION("REGEXREPLACE(C9058,""-\d+(.*)|--\d+(.*)"","""")"),"PIBLANGE")</f>
        <v>PIBLANGE</v>
      </c>
      <c r="E9058" s="38" t="s">
        <v>303</v>
      </c>
      <c r="F9058" s="38" t="s">
        <v>195</v>
      </c>
      <c r="G9058" s="49" t="str">
        <f t="shared" si="1"/>
        <v>57220</v>
      </c>
      <c r="H9058" s="49">
        <f t="shared" si="2"/>
        <v>57542</v>
      </c>
    </row>
    <row r="9059">
      <c r="A9059" s="48" t="s">
        <v>2421</v>
      </c>
      <c r="B9059" s="38">
        <v>4093.0</v>
      </c>
      <c r="C9059" s="38" t="s">
        <v>12860</v>
      </c>
      <c r="D9059" s="38" t="str">
        <f>IFERROR(__xludf.DUMMYFUNCTION("REGEXREPLACE(C9059,""-\d+(.*)|--\d+(.*)"","""")"),"GIGORS")</f>
        <v>GIGORS</v>
      </c>
      <c r="E9059" s="38" t="s">
        <v>662</v>
      </c>
      <c r="F9059" s="38" t="s">
        <v>228</v>
      </c>
      <c r="G9059" s="49" t="str">
        <f t="shared" si="1"/>
        <v>04250</v>
      </c>
      <c r="H9059" s="49" t="str">
        <f t="shared" si="2"/>
        <v>04093</v>
      </c>
    </row>
    <row r="9060">
      <c r="A9060" s="48" t="s">
        <v>12861</v>
      </c>
      <c r="B9060" s="38">
        <v>86125.0</v>
      </c>
      <c r="C9060" s="38" t="s">
        <v>12862</v>
      </c>
      <c r="D9060" s="38" t="str">
        <f>IFERROR(__xludf.DUMMYFUNCTION("REGEXREPLACE(C9060,""-\d+(.*)|--\d+(.*)"","""")"),"LEIGNE-LES-BOIS")</f>
        <v>LEIGNE-LES-BOIS</v>
      </c>
      <c r="E9060" s="38" t="s">
        <v>529</v>
      </c>
      <c r="F9060" s="38" t="s">
        <v>338</v>
      </c>
      <c r="G9060" s="49" t="str">
        <f t="shared" si="1"/>
        <v>86450</v>
      </c>
      <c r="H9060" s="49">
        <f t="shared" si="2"/>
        <v>86125</v>
      </c>
    </row>
    <row r="9061">
      <c r="A9061" s="48" t="s">
        <v>2316</v>
      </c>
      <c r="B9061" s="38">
        <v>25401.0</v>
      </c>
      <c r="C9061" s="38" t="s">
        <v>12863</v>
      </c>
      <c r="D9061" s="38" t="str">
        <f>IFERROR(__xludf.DUMMYFUNCTION("REGEXREPLACE(C9061,""-\d+(.*)|--\d+(.*)"","""")"),"MONTIVERNAGE")</f>
        <v>MONTIVERNAGE</v>
      </c>
      <c r="E9061" s="38" t="s">
        <v>213</v>
      </c>
      <c r="F9061" s="38" t="s">
        <v>214</v>
      </c>
      <c r="G9061" s="49" t="str">
        <f t="shared" si="1"/>
        <v>25110</v>
      </c>
      <c r="H9061" s="49">
        <f t="shared" si="2"/>
        <v>25401</v>
      </c>
    </row>
    <row r="9062">
      <c r="A9062" s="48" t="s">
        <v>7811</v>
      </c>
      <c r="B9062" s="38">
        <v>59543.0</v>
      </c>
      <c r="C9062" s="38" t="s">
        <v>12864</v>
      </c>
      <c r="D9062" s="38" t="str">
        <f>IFERROR(__xludf.DUMMYFUNCTION("REGEXREPLACE(C9062,""-\d+(.*)|--\d+(.*)"","""")"),"SAINT-REMY-DU-NORD")</f>
        <v>SAINT-REMY-DU-NORD</v>
      </c>
      <c r="E9062" s="38" t="s">
        <v>85</v>
      </c>
      <c r="F9062" s="38" t="s">
        <v>86</v>
      </c>
      <c r="G9062" s="49" t="str">
        <f t="shared" si="1"/>
        <v>59330</v>
      </c>
      <c r="H9062" s="49">
        <f t="shared" si="2"/>
        <v>59543</v>
      </c>
    </row>
    <row r="9063">
      <c r="A9063" s="48" t="s">
        <v>2433</v>
      </c>
      <c r="B9063" s="38">
        <v>70183.0</v>
      </c>
      <c r="C9063" s="38" t="s">
        <v>12865</v>
      </c>
      <c r="D9063" s="38" t="str">
        <f>IFERROR(__xludf.DUMMYFUNCTION("REGEXREPLACE(C9063,""-\d+(.*)|--\d+(.*)"","""")"),"COURTESOULT-ET-GATEY")</f>
        <v>COURTESOULT-ET-GATEY</v>
      </c>
      <c r="E9063" s="38" t="s">
        <v>956</v>
      </c>
      <c r="F9063" s="38" t="s">
        <v>214</v>
      </c>
      <c r="G9063" s="49" t="str">
        <f t="shared" si="1"/>
        <v>70600</v>
      </c>
      <c r="H9063" s="49">
        <f t="shared" si="2"/>
        <v>70183</v>
      </c>
    </row>
    <row r="9064">
      <c r="A9064" s="48" t="s">
        <v>7396</v>
      </c>
      <c r="B9064" s="38">
        <v>60106.0</v>
      </c>
      <c r="C9064" s="38" t="s">
        <v>12866</v>
      </c>
      <c r="D9064" s="38" t="str">
        <f>IFERROR(__xludf.DUMMYFUNCTION("REGEXREPLACE(C9064,""-\d+(.*)|--\d+(.*)"","""")"),"BREUIL-LE-SEC")</f>
        <v>BREUIL-LE-SEC</v>
      </c>
      <c r="E9064" s="38" t="s">
        <v>112</v>
      </c>
      <c r="F9064" s="38" t="s">
        <v>113</v>
      </c>
      <c r="G9064" s="49" t="str">
        <f t="shared" si="1"/>
        <v>60840</v>
      </c>
      <c r="H9064" s="49">
        <f t="shared" si="2"/>
        <v>60106</v>
      </c>
    </row>
    <row r="9065">
      <c r="A9065" s="48" t="s">
        <v>12867</v>
      </c>
      <c r="B9065" s="38">
        <v>38334.0</v>
      </c>
      <c r="C9065" s="38" t="s">
        <v>2867</v>
      </c>
      <c r="D9065" s="38" t="str">
        <f>IFERROR(__xludf.DUMMYFUNCTION("REGEXREPLACE(C9065,""-\d+(.*)|--\d+(.*)"","""")"),"REVEL")</f>
        <v>REVEL</v>
      </c>
      <c r="E9065" s="38" t="s">
        <v>101</v>
      </c>
      <c r="F9065" s="38" t="s">
        <v>102</v>
      </c>
      <c r="G9065" s="49" t="str">
        <f t="shared" si="1"/>
        <v>38420</v>
      </c>
      <c r="H9065" s="49">
        <f t="shared" si="2"/>
        <v>38334</v>
      </c>
    </row>
    <row r="9066">
      <c r="A9066" s="48" t="s">
        <v>11561</v>
      </c>
      <c r="B9066" s="38">
        <v>35131.0</v>
      </c>
      <c r="C9066" s="38" t="s">
        <v>12868</v>
      </c>
      <c r="D9066" s="38" t="str">
        <f>IFERROR(__xludf.DUMMYFUNCTION("REGEXREPLACE(C9066,""-\d+(.*)|--\d+(.*)"","""")"),"L'HERMITAGE")</f>
        <v>L'HERMITAGE</v>
      </c>
      <c r="E9066" s="38" t="s">
        <v>347</v>
      </c>
      <c r="F9066" s="38" t="s">
        <v>90</v>
      </c>
      <c r="G9066" s="49" t="str">
        <f t="shared" si="1"/>
        <v>35590</v>
      </c>
      <c r="H9066" s="49">
        <f t="shared" si="2"/>
        <v>35131</v>
      </c>
    </row>
    <row r="9067">
      <c r="A9067" s="48" t="s">
        <v>765</v>
      </c>
      <c r="B9067" s="38">
        <v>89411.0</v>
      </c>
      <c r="C9067" s="38" t="s">
        <v>12869</v>
      </c>
      <c r="D9067" s="38" t="str">
        <f>IFERROR(__xludf.DUMMYFUNCTION("REGEXREPLACE(C9067,""-\d+(.*)|--\d+(.*)"","""")"),"THEIL-SUR-VANNE")</f>
        <v>THEIL-SUR-VANNE</v>
      </c>
      <c r="E9067" s="38" t="s">
        <v>275</v>
      </c>
      <c r="F9067" s="38" t="s">
        <v>106</v>
      </c>
      <c r="G9067" s="49" t="str">
        <f t="shared" si="1"/>
        <v>89320</v>
      </c>
      <c r="H9067" s="49">
        <f t="shared" si="2"/>
        <v>89411</v>
      </c>
    </row>
    <row r="9068">
      <c r="A9068" s="48" t="s">
        <v>12589</v>
      </c>
      <c r="B9068" s="38">
        <v>1323.0</v>
      </c>
      <c r="C9068" s="38" t="s">
        <v>12870</v>
      </c>
      <c r="D9068" s="38" t="str">
        <f>IFERROR(__xludf.DUMMYFUNCTION("REGEXREPLACE(C9068,""-\d+(.*)|--\d+(.*)"","""")"),"REYSSOUZE")</f>
        <v>REYSSOUZE</v>
      </c>
      <c r="E9068" s="38" t="s">
        <v>255</v>
      </c>
      <c r="F9068" s="38" t="s">
        <v>102</v>
      </c>
      <c r="G9068" s="49" t="str">
        <f t="shared" si="1"/>
        <v>01190</v>
      </c>
      <c r="H9068" s="49" t="str">
        <f t="shared" si="2"/>
        <v>01323</v>
      </c>
    </row>
    <row r="9069">
      <c r="A9069" s="48" t="s">
        <v>1428</v>
      </c>
      <c r="B9069" s="38">
        <v>31138.0</v>
      </c>
      <c r="C9069" s="38" t="s">
        <v>12871</v>
      </c>
      <c r="D9069" s="38" t="str">
        <f>IFERROR(__xludf.DUMMYFUNCTION("REGEXREPLACE(C9069,""-\d+(.*)|--\d+(.*)"","""")"),"CHARLAS")</f>
        <v>CHARLAS</v>
      </c>
      <c r="E9069" s="38" t="s">
        <v>93</v>
      </c>
      <c r="F9069" s="38" t="s">
        <v>94</v>
      </c>
      <c r="G9069" s="49" t="str">
        <f t="shared" si="1"/>
        <v>31350</v>
      </c>
      <c r="H9069" s="49">
        <f t="shared" si="2"/>
        <v>31138</v>
      </c>
    </row>
    <row r="9070">
      <c r="A9070" s="48" t="s">
        <v>4699</v>
      </c>
      <c r="B9070" s="38">
        <v>53023.0</v>
      </c>
      <c r="C9070" s="38" t="s">
        <v>12872</v>
      </c>
      <c r="D9070" s="38" t="str">
        <f>IFERROR(__xludf.DUMMYFUNCTION("REGEXREPLACE(C9070,""-\d+(.*)|--\d+(.*)"","""")"),"LA BAZOUGE-DES-ALLEUX")</f>
        <v>LA BAZOUGE-DES-ALLEUX</v>
      </c>
      <c r="E9070" s="38" t="s">
        <v>518</v>
      </c>
      <c r="F9070" s="38" t="s">
        <v>180</v>
      </c>
      <c r="G9070" s="49" t="str">
        <f t="shared" si="1"/>
        <v>53470</v>
      </c>
      <c r="H9070" s="49">
        <f t="shared" si="2"/>
        <v>53023</v>
      </c>
    </row>
    <row r="9071">
      <c r="A9071" s="48" t="s">
        <v>12873</v>
      </c>
      <c r="B9071" s="38">
        <v>63260.0</v>
      </c>
      <c r="C9071" s="38" t="s">
        <v>12874</v>
      </c>
      <c r="D9071" s="38" t="str">
        <f>IFERROR(__xludf.DUMMYFUNCTION("REGEXREPLACE(C9071,""-\d+(.*)|--\d+(.*)"","""")"),"OLMET")</f>
        <v>OLMET</v>
      </c>
      <c r="E9071" s="38" t="s">
        <v>353</v>
      </c>
      <c r="F9071" s="38" t="s">
        <v>161</v>
      </c>
      <c r="G9071" s="49" t="str">
        <f t="shared" si="1"/>
        <v>63880</v>
      </c>
      <c r="H9071" s="49">
        <f t="shared" si="2"/>
        <v>63260</v>
      </c>
    </row>
    <row r="9072">
      <c r="A9072" s="48" t="s">
        <v>6107</v>
      </c>
      <c r="B9072" s="38">
        <v>61142.0</v>
      </c>
      <c r="C9072" s="38" t="s">
        <v>6123</v>
      </c>
      <c r="D9072" s="38" t="str">
        <f>IFERROR(__xludf.DUMMYFUNCTION("REGEXREPLACE(C9072,""-\d+(.*)|--\d+(.*)"","""")"),"DAME-MARIE")</f>
        <v>DAME-MARIE</v>
      </c>
      <c r="E9072" s="38" t="s">
        <v>141</v>
      </c>
      <c r="F9072" s="38" t="s">
        <v>138</v>
      </c>
      <c r="G9072" s="49" t="str">
        <f t="shared" si="1"/>
        <v>61130</v>
      </c>
      <c r="H9072" s="49">
        <f t="shared" si="2"/>
        <v>61142</v>
      </c>
    </row>
    <row r="9073">
      <c r="A9073" s="48" t="s">
        <v>484</v>
      </c>
      <c r="B9073" s="38">
        <v>16153.0</v>
      </c>
      <c r="C9073" s="38" t="s">
        <v>12875</v>
      </c>
      <c r="D9073" s="38" t="str">
        <f>IFERROR(__xludf.DUMMYFUNCTION("REGEXREPLACE(C9073,""-\d+(.*)|--\d+(.*)"","""")"),"GONDEVILLE")</f>
        <v>GONDEVILLE</v>
      </c>
      <c r="E9073" s="38" t="s">
        <v>429</v>
      </c>
      <c r="F9073" s="38" t="s">
        <v>338</v>
      </c>
      <c r="G9073" s="49" t="str">
        <f t="shared" si="1"/>
        <v>16200</v>
      </c>
      <c r="H9073" s="49">
        <f t="shared" si="2"/>
        <v>16153</v>
      </c>
    </row>
    <row r="9074">
      <c r="A9074" s="48" t="s">
        <v>885</v>
      </c>
      <c r="B9074" s="38">
        <v>71306.0</v>
      </c>
      <c r="C9074" s="38" t="s">
        <v>12876</v>
      </c>
      <c r="D9074" s="38" t="str">
        <f>IFERROR(__xludf.DUMMYFUNCTION("REGEXREPLACE(C9074,""-\d+(.*)|--\d+(.*)"","""")"),"MONTCEAU-LES-MINES")</f>
        <v>MONTCEAU-LES-MINES</v>
      </c>
      <c r="E9074" s="38" t="s">
        <v>344</v>
      </c>
      <c r="F9074" s="38" t="s">
        <v>106</v>
      </c>
      <c r="G9074" s="49" t="str">
        <f t="shared" si="1"/>
        <v>71300</v>
      </c>
      <c r="H9074" s="49">
        <f t="shared" si="2"/>
        <v>71306</v>
      </c>
    </row>
    <row r="9075">
      <c r="A9075" s="48" t="s">
        <v>9632</v>
      </c>
      <c r="B9075" s="38">
        <v>28262.0</v>
      </c>
      <c r="C9075" s="38" t="s">
        <v>12877</v>
      </c>
      <c r="D9075" s="38" t="str">
        <f>IFERROR(__xludf.DUMMYFUNCTION("REGEXREPLACE(C9075,""-\d+(.*)|--\d+(.*)"","""")"),"MONTIGNY-LE-GANNELON")</f>
        <v>MONTIGNY-LE-GANNELON</v>
      </c>
      <c r="E9075" s="38" t="s">
        <v>300</v>
      </c>
      <c r="F9075" s="38" t="s">
        <v>123</v>
      </c>
      <c r="G9075" s="49" t="str">
        <f t="shared" si="1"/>
        <v>28220</v>
      </c>
      <c r="H9075" s="49">
        <f t="shared" si="2"/>
        <v>28262</v>
      </c>
    </row>
    <row r="9076">
      <c r="A9076" s="48" t="s">
        <v>1526</v>
      </c>
      <c r="B9076" s="38">
        <v>60219.0</v>
      </c>
      <c r="C9076" s="38" t="s">
        <v>12878</v>
      </c>
      <c r="D9076" s="38" t="str">
        <f>IFERROR(__xludf.DUMMYFUNCTION("REGEXREPLACE(C9076,""-\d+(.*)|--\d+(.*)"","""")"),"ESCLES-SAINT-PIERRE")</f>
        <v>ESCLES-SAINT-PIERRE</v>
      </c>
      <c r="E9076" s="38" t="s">
        <v>112</v>
      </c>
      <c r="F9076" s="38" t="s">
        <v>113</v>
      </c>
      <c r="G9076" s="49" t="str">
        <f t="shared" si="1"/>
        <v>60220</v>
      </c>
      <c r="H9076" s="49">
        <f t="shared" si="2"/>
        <v>60219</v>
      </c>
    </row>
    <row r="9077">
      <c r="A9077" s="48" t="s">
        <v>1710</v>
      </c>
      <c r="B9077" s="38">
        <v>24249.0</v>
      </c>
      <c r="C9077" s="38" t="s">
        <v>12879</v>
      </c>
      <c r="D9077" s="38" t="str">
        <f>IFERROR(__xludf.DUMMYFUNCTION("REGEXREPLACE(C9077,""-\d+(.*)|--\d+(.*)"","""")"),"MANAURIE")</f>
        <v>MANAURIE</v>
      </c>
      <c r="E9077" s="38" t="s">
        <v>261</v>
      </c>
      <c r="F9077" s="38" t="s">
        <v>252</v>
      </c>
      <c r="G9077" s="49" t="str">
        <f t="shared" si="1"/>
        <v>24620</v>
      </c>
      <c r="H9077" s="49">
        <f t="shared" si="2"/>
        <v>24249</v>
      </c>
    </row>
    <row r="9078">
      <c r="A9078" s="48" t="s">
        <v>6474</v>
      </c>
      <c r="B9078" s="38">
        <v>61293.0</v>
      </c>
      <c r="C9078" s="38" t="s">
        <v>12880</v>
      </c>
      <c r="D9078" s="38" t="str">
        <f>IFERROR(__xludf.DUMMYFUNCTION("REGEXREPLACE(C9078,""-\d+(.*)|--\d+(.*)"","""")"),"MORTAGNE-AU-PERCHE")</f>
        <v>MORTAGNE-AU-PERCHE</v>
      </c>
      <c r="E9078" s="38" t="s">
        <v>141</v>
      </c>
      <c r="F9078" s="38" t="s">
        <v>138</v>
      </c>
      <c r="G9078" s="49" t="str">
        <f t="shared" si="1"/>
        <v>61400</v>
      </c>
      <c r="H9078" s="49">
        <f t="shared" si="2"/>
        <v>61293</v>
      </c>
    </row>
    <row r="9079">
      <c r="A9079" s="48" t="s">
        <v>2234</v>
      </c>
      <c r="B9079" s="38">
        <v>30232.0</v>
      </c>
      <c r="C9079" s="38" t="s">
        <v>12881</v>
      </c>
      <c r="D9079" s="38" t="str">
        <f>IFERROR(__xludf.DUMMYFUNCTION("REGEXREPLACE(C9079,""-\d+(.*)|--\d+(.*)"","""")"),"SAINT-ANDRE-D'OLERARGUES")</f>
        <v>SAINT-ANDRE-D'OLERARGUES</v>
      </c>
      <c r="E9079" s="38" t="s">
        <v>526</v>
      </c>
      <c r="F9079" s="38" t="s">
        <v>119</v>
      </c>
      <c r="G9079" s="49" t="str">
        <f t="shared" si="1"/>
        <v>30330</v>
      </c>
      <c r="H9079" s="49">
        <f t="shared" si="2"/>
        <v>30232</v>
      </c>
    </row>
    <row r="9080">
      <c r="A9080" s="48" t="s">
        <v>12882</v>
      </c>
      <c r="B9080" s="38">
        <v>40303.0</v>
      </c>
      <c r="C9080" s="38" t="s">
        <v>12883</v>
      </c>
      <c r="D9080" s="38" t="str">
        <f>IFERROR(__xludf.DUMMYFUNCTION("REGEXREPLACE(C9080,""-\d+(.*)|--\d+(.*)"","""")"),"SOLFERINO")</f>
        <v>SOLFERINO</v>
      </c>
      <c r="E9080" s="38" t="s">
        <v>281</v>
      </c>
      <c r="F9080" s="38" t="s">
        <v>252</v>
      </c>
      <c r="G9080" s="49" t="str">
        <f t="shared" si="1"/>
        <v>40210</v>
      </c>
      <c r="H9080" s="49">
        <f t="shared" si="2"/>
        <v>40303</v>
      </c>
    </row>
    <row r="9081">
      <c r="A9081" s="48" t="s">
        <v>6761</v>
      </c>
      <c r="B9081" s="38">
        <v>1075.0</v>
      </c>
      <c r="C9081" s="38" t="s">
        <v>12884</v>
      </c>
      <c r="D9081" s="38" t="str">
        <f>IFERROR(__xludf.DUMMYFUNCTION("REGEXREPLACE(C9081,""-\d+(.*)|--\d+(.*)"","""")"),"CHALEINS")</f>
        <v>CHALEINS</v>
      </c>
      <c r="E9081" s="38" t="s">
        <v>255</v>
      </c>
      <c r="F9081" s="38" t="s">
        <v>102</v>
      </c>
      <c r="G9081" s="49" t="str">
        <f t="shared" si="1"/>
        <v>01480</v>
      </c>
      <c r="H9081" s="49" t="str">
        <f t="shared" si="2"/>
        <v>01075</v>
      </c>
    </row>
    <row r="9082">
      <c r="A9082" s="48" t="s">
        <v>643</v>
      </c>
      <c r="B9082" s="38">
        <v>88239.0</v>
      </c>
      <c r="C9082" s="38" t="s">
        <v>12885</v>
      </c>
      <c r="D9082" s="38" t="str">
        <f>IFERROR(__xludf.DUMMYFUNCTION("REGEXREPLACE(C9082,""-\d+(.*)|--\d+(.*)"","""")"),"HERGUGNEY")</f>
        <v>HERGUGNEY</v>
      </c>
      <c r="E9082" s="38" t="s">
        <v>194</v>
      </c>
      <c r="F9082" s="38" t="s">
        <v>195</v>
      </c>
      <c r="G9082" s="49" t="str">
        <f t="shared" si="1"/>
        <v>88130</v>
      </c>
      <c r="H9082" s="49">
        <f t="shared" si="2"/>
        <v>88239</v>
      </c>
    </row>
    <row r="9083">
      <c r="A9083" s="48" t="s">
        <v>993</v>
      </c>
      <c r="B9083" s="38">
        <v>73182.0</v>
      </c>
      <c r="C9083" s="38" t="s">
        <v>12886</v>
      </c>
      <c r="D9083" s="38" t="str">
        <f>IFERROR(__xludf.DUMMYFUNCTION("REGEXREPLACE(C9083,""-\d+(.*)|--\d+(.*)"","""")"),"MOUXY")</f>
        <v>MOUXY</v>
      </c>
      <c r="E9083" s="38" t="s">
        <v>306</v>
      </c>
      <c r="F9083" s="38" t="s">
        <v>102</v>
      </c>
      <c r="G9083" s="49" t="str">
        <f t="shared" si="1"/>
        <v>73100</v>
      </c>
      <c r="H9083" s="49">
        <f t="shared" si="2"/>
        <v>73182</v>
      </c>
    </row>
    <row r="9084">
      <c r="A9084" s="48" t="s">
        <v>12887</v>
      </c>
      <c r="B9084" s="38">
        <v>21191.0</v>
      </c>
      <c r="C9084" s="38" t="s">
        <v>12888</v>
      </c>
      <c r="D9084" s="38" t="str">
        <f>IFERROR(__xludf.DUMMYFUNCTION("REGEXREPLACE(C9084,""-\d+(.*)|--\d+(.*)"","""")"),"CORCELLES-LES-CITEAUX")</f>
        <v>CORCELLES-LES-CITEAUX</v>
      </c>
      <c r="E9084" s="38" t="s">
        <v>105</v>
      </c>
      <c r="F9084" s="38" t="s">
        <v>106</v>
      </c>
      <c r="G9084" s="49" t="str">
        <f t="shared" si="1"/>
        <v>21910</v>
      </c>
      <c r="H9084" s="49">
        <f t="shared" si="2"/>
        <v>21191</v>
      </c>
    </row>
    <row r="9085">
      <c r="A9085" s="48" t="s">
        <v>1628</v>
      </c>
      <c r="B9085" s="38">
        <v>70576.0</v>
      </c>
      <c r="C9085" s="38" t="s">
        <v>12889</v>
      </c>
      <c r="D9085" s="38" t="str">
        <f>IFERROR(__xludf.DUMMYFUNCTION("REGEXREPLACE(C9085,""-\d+(.*)|--\d+(.*)"","""")"),"VOUGECOURT")</f>
        <v>VOUGECOURT</v>
      </c>
      <c r="E9085" s="38" t="s">
        <v>956</v>
      </c>
      <c r="F9085" s="38" t="s">
        <v>214</v>
      </c>
      <c r="G9085" s="49" t="str">
        <f t="shared" si="1"/>
        <v>70500</v>
      </c>
      <c r="H9085" s="49">
        <f t="shared" si="2"/>
        <v>70576</v>
      </c>
    </row>
    <row r="9086">
      <c r="A9086" s="48" t="s">
        <v>2103</v>
      </c>
      <c r="B9086" s="38">
        <v>54507.0</v>
      </c>
      <c r="C9086" s="38" t="s">
        <v>12890</v>
      </c>
      <c r="D9086" s="38" t="str">
        <f>IFERROR(__xludf.DUMMYFUNCTION("REGEXREPLACE(C9086,""-\d+(.*)|--\d+(.*)"","""")"),"SIONVILLER")</f>
        <v>SIONVILLER</v>
      </c>
      <c r="E9086" s="38" t="s">
        <v>548</v>
      </c>
      <c r="F9086" s="38" t="s">
        <v>195</v>
      </c>
      <c r="G9086" s="49" t="str">
        <f t="shared" si="1"/>
        <v>54300</v>
      </c>
      <c r="H9086" s="49">
        <f t="shared" si="2"/>
        <v>54507</v>
      </c>
    </row>
    <row r="9087">
      <c r="A9087" s="48" t="s">
        <v>12891</v>
      </c>
      <c r="B9087" s="38">
        <v>67355.0</v>
      </c>
      <c r="C9087" s="38" t="s">
        <v>12892</v>
      </c>
      <c r="D9087" s="38" t="str">
        <f>IFERROR(__xludf.DUMMYFUNCTION("REGEXREPLACE(C9087,""-\d+(.*)|--\d+(.*)"","""")"),"OERMINGEN")</f>
        <v>OERMINGEN</v>
      </c>
      <c r="E9087" s="38" t="s">
        <v>210</v>
      </c>
      <c r="F9087" s="38" t="s">
        <v>151</v>
      </c>
      <c r="G9087" s="49" t="str">
        <f t="shared" si="1"/>
        <v>67970</v>
      </c>
      <c r="H9087" s="49">
        <f t="shared" si="2"/>
        <v>67355</v>
      </c>
    </row>
    <row r="9088">
      <c r="A9088" s="48" t="s">
        <v>732</v>
      </c>
      <c r="B9088" s="38">
        <v>10400.0</v>
      </c>
      <c r="C9088" s="38" t="s">
        <v>12893</v>
      </c>
      <c r="D9088" s="38" t="str">
        <f>IFERROR(__xludf.DUMMYFUNCTION("REGEXREPLACE(C9088,""-\d+(.*)|--\d+(.*)"","""")"),"VAUPOISSON")</f>
        <v>VAUPOISSON</v>
      </c>
      <c r="E9088" s="38" t="s">
        <v>147</v>
      </c>
      <c r="F9088" s="38" t="s">
        <v>130</v>
      </c>
      <c r="G9088" s="49" t="str">
        <f t="shared" si="1"/>
        <v>10700</v>
      </c>
      <c r="H9088" s="49">
        <f t="shared" si="2"/>
        <v>10400</v>
      </c>
    </row>
    <row r="9089">
      <c r="A9089" s="48" t="s">
        <v>12894</v>
      </c>
      <c r="B9089" s="38">
        <v>48146.0</v>
      </c>
      <c r="C9089" s="38" t="s">
        <v>12895</v>
      </c>
      <c r="D9089" s="38" t="str">
        <f>IFERROR(__xludf.DUMMYFUNCTION("REGEXREPLACE(C9089,""-\d+(.*)|--\d+(.*)"","""")"),"SAINTE-ENIMIE")</f>
        <v>SAINTE-ENIMIE</v>
      </c>
      <c r="E9089" s="38" t="s">
        <v>154</v>
      </c>
      <c r="F9089" s="38" t="s">
        <v>119</v>
      </c>
      <c r="G9089" s="49" t="str">
        <f t="shared" si="1"/>
        <v>48210</v>
      </c>
      <c r="H9089" s="49">
        <f t="shared" si="2"/>
        <v>48146</v>
      </c>
    </row>
    <row r="9090">
      <c r="A9090" s="48" t="s">
        <v>10374</v>
      </c>
      <c r="B9090" s="38">
        <v>83083.0</v>
      </c>
      <c r="C9090" s="38" t="s">
        <v>12896</v>
      </c>
      <c r="D9090" s="38" t="str">
        <f>IFERROR(__xludf.DUMMYFUNCTION("REGEXREPLACE(C9090,""-\d+(.*)|--\d+(.*)"","""")"),"MONTFORT-SUR-ARGENS")</f>
        <v>MONTFORT-SUR-ARGENS</v>
      </c>
      <c r="E9090" s="38" t="s">
        <v>813</v>
      </c>
      <c r="F9090" s="38" t="s">
        <v>228</v>
      </c>
      <c r="G9090" s="49" t="str">
        <f t="shared" si="1"/>
        <v>83570</v>
      </c>
      <c r="H9090" s="49">
        <f t="shared" si="2"/>
        <v>83083</v>
      </c>
    </row>
    <row r="9091">
      <c r="A9091" s="48" t="s">
        <v>12897</v>
      </c>
      <c r="B9091" s="38">
        <v>67450.0</v>
      </c>
      <c r="C9091" s="38" t="s">
        <v>12898</v>
      </c>
      <c r="D9091" s="38" t="str">
        <f>IFERROR(__xludf.DUMMYFUNCTION("REGEXREPLACE(C9091,""-\d+(.*)|--\d+(.*)"","""")"),"SCHIRRHOFFEN")</f>
        <v>SCHIRRHOFFEN</v>
      </c>
      <c r="E9091" s="38" t="s">
        <v>210</v>
      </c>
      <c r="F9091" s="38" t="s">
        <v>151</v>
      </c>
      <c r="G9091" s="49" t="str">
        <f t="shared" si="1"/>
        <v>67240</v>
      </c>
      <c r="H9091" s="49">
        <f t="shared" si="2"/>
        <v>67450</v>
      </c>
    </row>
    <row r="9092">
      <c r="A9092" s="48" t="s">
        <v>2820</v>
      </c>
      <c r="B9092" s="38">
        <v>2277.0</v>
      </c>
      <c r="C9092" s="38" t="s">
        <v>12899</v>
      </c>
      <c r="D9092" s="38" t="str">
        <f>IFERROR(__xludf.DUMMYFUNCTION("REGEXREPLACE(C9092,""-\d+(.*)|--\d+(.*)"","""")"),"EPAGNY")</f>
        <v>EPAGNY</v>
      </c>
      <c r="E9092" s="38" t="s">
        <v>191</v>
      </c>
      <c r="F9092" s="38" t="s">
        <v>113</v>
      </c>
      <c r="G9092" s="49" t="str">
        <f t="shared" si="1"/>
        <v>02290</v>
      </c>
      <c r="H9092" s="49" t="str">
        <f t="shared" si="2"/>
        <v>02277</v>
      </c>
    </row>
    <row r="9093">
      <c r="A9093" s="48" t="s">
        <v>1823</v>
      </c>
      <c r="B9093" s="38">
        <v>48018.0</v>
      </c>
      <c r="C9093" s="38" t="s">
        <v>8409</v>
      </c>
      <c r="D9093" s="38" t="str">
        <f>IFERROR(__xludf.DUMMYFUNCTION("REGEXREPLACE(C9093,""-\d+(.*)|--\d+(.*)"","""")"),"BARJAC")</f>
        <v>BARJAC</v>
      </c>
      <c r="E9093" s="38" t="s">
        <v>154</v>
      </c>
      <c r="F9093" s="38" t="s">
        <v>119</v>
      </c>
      <c r="G9093" s="49" t="str">
        <f t="shared" si="1"/>
        <v>48000</v>
      </c>
      <c r="H9093" s="49">
        <f t="shared" si="2"/>
        <v>48018</v>
      </c>
    </row>
    <row r="9094">
      <c r="A9094" s="48" t="s">
        <v>3755</v>
      </c>
      <c r="B9094" s="38">
        <v>76348.0</v>
      </c>
      <c r="C9094" s="38" t="s">
        <v>12900</v>
      </c>
      <c r="D9094" s="38" t="str">
        <f>IFERROR(__xludf.DUMMYFUNCTION("REGEXREPLACE(C9094,""-\d+(.*)|--\d+(.*)"","""")"),"HAUTOT-SAINT-SULPICE")</f>
        <v>HAUTOT-SAINT-SULPICE</v>
      </c>
      <c r="E9094" s="38" t="s">
        <v>133</v>
      </c>
      <c r="F9094" s="38" t="s">
        <v>134</v>
      </c>
      <c r="G9094" s="49" t="str">
        <f t="shared" si="1"/>
        <v>76190</v>
      </c>
      <c r="H9094" s="49">
        <f t="shared" si="2"/>
        <v>76348</v>
      </c>
    </row>
    <row r="9095">
      <c r="A9095" s="48" t="s">
        <v>454</v>
      </c>
      <c r="B9095" s="38">
        <v>71138.0</v>
      </c>
      <c r="C9095" s="38" t="s">
        <v>12901</v>
      </c>
      <c r="D9095" s="38" t="str">
        <f>IFERROR(__xludf.DUMMYFUNCTION("REGEXREPLACE(C9095,""-\d+(.*)|--\d+(.*)"","""")"),"CLUX")</f>
        <v>CLUX</v>
      </c>
      <c r="E9095" s="38" t="s">
        <v>344</v>
      </c>
      <c r="F9095" s="38" t="s">
        <v>106</v>
      </c>
      <c r="G9095" s="49" t="str">
        <f t="shared" si="1"/>
        <v>71270</v>
      </c>
      <c r="H9095" s="49">
        <f t="shared" si="2"/>
        <v>71138</v>
      </c>
    </row>
    <row r="9096">
      <c r="A9096" s="48" t="s">
        <v>3548</v>
      </c>
      <c r="B9096" s="38">
        <v>95395.0</v>
      </c>
      <c r="C9096" s="38" t="s">
        <v>12902</v>
      </c>
      <c r="D9096" s="38" t="str">
        <f>IFERROR(__xludf.DUMMYFUNCTION("REGEXREPLACE(C9096,""-\d+(.*)|--\d+(.*)"","""")"),"LE MESNIL-AUBRY")</f>
        <v>LE MESNIL-AUBRY</v>
      </c>
      <c r="E9096" s="38" t="s">
        <v>541</v>
      </c>
      <c r="F9096" s="38" t="s">
        <v>245</v>
      </c>
      <c r="G9096" s="49" t="str">
        <f t="shared" si="1"/>
        <v>95720</v>
      </c>
      <c r="H9096" s="49">
        <f t="shared" si="2"/>
        <v>95395</v>
      </c>
    </row>
    <row r="9097">
      <c r="A9097" s="48" t="s">
        <v>2411</v>
      </c>
      <c r="B9097" s="38">
        <v>37076.0</v>
      </c>
      <c r="C9097" s="38" t="s">
        <v>12903</v>
      </c>
      <c r="D9097" s="38" t="str">
        <f>IFERROR(__xludf.DUMMYFUNCTION("REGEXREPLACE(C9097,""-\d+(.*)|--\d+(.*)"","""")"),"CINAIS")</f>
        <v>CINAIS</v>
      </c>
      <c r="E9097" s="38" t="s">
        <v>205</v>
      </c>
      <c r="F9097" s="38" t="s">
        <v>123</v>
      </c>
      <c r="G9097" s="49" t="str">
        <f t="shared" si="1"/>
        <v>37500</v>
      </c>
      <c r="H9097" s="49">
        <f t="shared" si="2"/>
        <v>37076</v>
      </c>
    </row>
    <row r="9098">
      <c r="A9098" s="48" t="s">
        <v>12904</v>
      </c>
      <c r="B9098" s="38">
        <v>68005.0</v>
      </c>
      <c r="C9098" s="38" t="s">
        <v>12905</v>
      </c>
      <c r="D9098" s="38" t="str">
        <f>IFERROR(__xludf.DUMMYFUNCTION("REGEXREPLACE(C9098,""-\d+(.*)|--\d+(.*)"","""")"),"AMMERSCHWIHR")</f>
        <v>AMMERSCHWIHR</v>
      </c>
      <c r="E9098" s="38" t="s">
        <v>150</v>
      </c>
      <c r="F9098" s="38" t="s">
        <v>151</v>
      </c>
      <c r="G9098" s="49" t="str">
        <f t="shared" si="1"/>
        <v>68770</v>
      </c>
      <c r="H9098" s="49">
        <f t="shared" si="2"/>
        <v>68005</v>
      </c>
    </row>
    <row r="9099">
      <c r="A9099" s="48" t="s">
        <v>12906</v>
      </c>
      <c r="B9099" s="38">
        <v>80597.0</v>
      </c>
      <c r="C9099" s="38" t="s">
        <v>12907</v>
      </c>
      <c r="D9099" s="38" t="str">
        <f>IFERROR(__xludf.DUMMYFUNCTION("REGEXREPLACE(C9099,""-\d+(.*)|--\d+(.*)"","""")"),"NIBAS")</f>
        <v>NIBAS</v>
      </c>
      <c r="E9099" s="38" t="s">
        <v>224</v>
      </c>
      <c r="F9099" s="38" t="s">
        <v>113</v>
      </c>
      <c r="G9099" s="49" t="str">
        <f t="shared" si="1"/>
        <v>80390</v>
      </c>
      <c r="H9099" s="49">
        <f t="shared" si="2"/>
        <v>80597</v>
      </c>
    </row>
    <row r="9100">
      <c r="A9100" s="48" t="s">
        <v>997</v>
      </c>
      <c r="B9100" s="38">
        <v>55533.0</v>
      </c>
      <c r="C9100" s="38" t="s">
        <v>12908</v>
      </c>
      <c r="D9100" s="38" t="str">
        <f>IFERROR(__xludf.DUMMYFUNCTION("REGEXREPLACE(C9100,""-\d+(.*)|--\d+(.*)"","""")"),"VAUCOULEURS")</f>
        <v>VAUCOULEURS</v>
      </c>
      <c r="E9100" s="38" t="s">
        <v>322</v>
      </c>
      <c r="F9100" s="38" t="s">
        <v>195</v>
      </c>
      <c r="G9100" s="49" t="str">
        <f t="shared" si="1"/>
        <v>55140</v>
      </c>
      <c r="H9100" s="49">
        <f t="shared" si="2"/>
        <v>55533</v>
      </c>
    </row>
    <row r="9101">
      <c r="A9101" s="48" t="s">
        <v>964</v>
      </c>
      <c r="B9101" s="38">
        <v>71026.0</v>
      </c>
      <c r="C9101" s="38" t="s">
        <v>12909</v>
      </c>
      <c r="D9101" s="38" t="str">
        <f>IFERROR(__xludf.DUMMYFUNCTION("REGEXREPLACE(C9101,""-\d+(.*)|--\d+(.*)"","""")"),"BEAUMONT-SUR-GROSNE")</f>
        <v>BEAUMONT-SUR-GROSNE</v>
      </c>
      <c r="E9101" s="38" t="s">
        <v>344</v>
      </c>
      <c r="F9101" s="38" t="s">
        <v>106</v>
      </c>
      <c r="G9101" s="49" t="str">
        <f t="shared" si="1"/>
        <v>71240</v>
      </c>
      <c r="H9101" s="49">
        <f t="shared" si="2"/>
        <v>71026</v>
      </c>
    </row>
    <row r="9102">
      <c r="A9102" s="48" t="s">
        <v>1547</v>
      </c>
      <c r="B9102" s="38">
        <v>24221.0</v>
      </c>
      <c r="C9102" s="38" t="s">
        <v>12910</v>
      </c>
      <c r="D9102" s="38" t="str">
        <f>IFERROR(__xludf.DUMMYFUNCTION("REGEXREPLACE(C9102,""-\d+(.*)|--\d+(.*)"","""")"),"RUDEAU-LADOSSE")</f>
        <v>RUDEAU-LADOSSE</v>
      </c>
      <c r="E9102" s="38" t="s">
        <v>261</v>
      </c>
      <c r="F9102" s="38" t="s">
        <v>252</v>
      </c>
      <c r="G9102" s="49" t="str">
        <f t="shared" si="1"/>
        <v>24340</v>
      </c>
      <c r="H9102" s="49">
        <f t="shared" si="2"/>
        <v>24221</v>
      </c>
    </row>
    <row r="9103">
      <c r="A9103" s="48" t="s">
        <v>1889</v>
      </c>
      <c r="B9103" s="38">
        <v>25265.0</v>
      </c>
      <c r="C9103" s="38" t="s">
        <v>12911</v>
      </c>
      <c r="D9103" s="38" t="str">
        <f>IFERROR(__xludf.DUMMYFUNCTION("REGEXREPLACE(C9103,""-\d+(.*)|--\d+(.*)"","""")"),"GENEUILLE")</f>
        <v>GENEUILLE</v>
      </c>
      <c r="E9103" s="38" t="s">
        <v>213</v>
      </c>
      <c r="F9103" s="38" t="s">
        <v>214</v>
      </c>
      <c r="G9103" s="49" t="str">
        <f t="shared" si="1"/>
        <v>25870</v>
      </c>
      <c r="H9103" s="49">
        <f t="shared" si="2"/>
        <v>25265</v>
      </c>
    </row>
    <row r="9104">
      <c r="A9104" s="48" t="s">
        <v>6914</v>
      </c>
      <c r="B9104" s="38">
        <v>59047.0</v>
      </c>
      <c r="C9104" s="38" t="s">
        <v>12912</v>
      </c>
      <c r="D9104" s="38" t="str">
        <f>IFERROR(__xludf.DUMMYFUNCTION("REGEXREPLACE(C9104,""-\d+(.*)|--\d+(.*)"","""")"),"BANTEUX")</f>
        <v>BANTEUX</v>
      </c>
      <c r="E9104" s="38" t="s">
        <v>85</v>
      </c>
      <c r="F9104" s="38" t="s">
        <v>86</v>
      </c>
      <c r="G9104" s="49" t="str">
        <f t="shared" si="1"/>
        <v>59266</v>
      </c>
      <c r="H9104" s="49">
        <f t="shared" si="2"/>
        <v>59047</v>
      </c>
    </row>
    <row r="9105">
      <c r="A9105" s="48" t="s">
        <v>12913</v>
      </c>
      <c r="B9105" s="38">
        <v>59420.0</v>
      </c>
      <c r="C9105" s="38" t="s">
        <v>12914</v>
      </c>
      <c r="D9105" s="38" t="str">
        <f>IFERROR(__xludf.DUMMYFUNCTION("REGEXREPLACE(C9105,""-\d+(.*)|--\d+(.*)"","""")"),"MOUSTIER-EN-FAGNE")</f>
        <v>MOUSTIER-EN-FAGNE</v>
      </c>
      <c r="E9105" s="38" t="s">
        <v>85</v>
      </c>
      <c r="F9105" s="38" t="s">
        <v>86</v>
      </c>
      <c r="G9105" s="49" t="str">
        <f t="shared" si="1"/>
        <v>59132</v>
      </c>
      <c r="H9105" s="49">
        <f t="shared" si="2"/>
        <v>59420</v>
      </c>
    </row>
    <row r="9106">
      <c r="A9106" s="48" t="s">
        <v>12915</v>
      </c>
      <c r="B9106" s="38">
        <v>4135.0</v>
      </c>
      <c r="C9106" s="38" t="s">
        <v>12916</v>
      </c>
      <c r="D9106" s="38" t="str">
        <f>IFERROR(__xludf.DUMMYFUNCTION("REGEXREPLACE(C9106,""-\d+(.*)|--\d+(.*)"","""")"),"MOUSTIERS-SAINTE-MARIE")</f>
        <v>MOUSTIERS-SAINTE-MARIE</v>
      </c>
      <c r="E9106" s="38" t="s">
        <v>662</v>
      </c>
      <c r="F9106" s="38" t="s">
        <v>228</v>
      </c>
      <c r="G9106" s="49" t="str">
        <f t="shared" si="1"/>
        <v>04360</v>
      </c>
      <c r="H9106" s="49" t="str">
        <f t="shared" si="2"/>
        <v>04135</v>
      </c>
    </row>
    <row r="9107">
      <c r="A9107" s="48" t="s">
        <v>1628</v>
      </c>
      <c r="B9107" s="38">
        <v>70035.0</v>
      </c>
      <c r="C9107" s="38" t="s">
        <v>12917</v>
      </c>
      <c r="D9107" s="38" t="str">
        <f>IFERROR(__xludf.DUMMYFUNCTION("REGEXREPLACE(C9107,""-\d+(.*)|--\d+(.*)"","""")"),"AUGICOURT")</f>
        <v>AUGICOURT</v>
      </c>
      <c r="E9107" s="38" t="s">
        <v>956</v>
      </c>
      <c r="F9107" s="38" t="s">
        <v>214</v>
      </c>
      <c r="G9107" s="49" t="str">
        <f t="shared" si="1"/>
        <v>70500</v>
      </c>
      <c r="H9107" s="49">
        <f t="shared" si="2"/>
        <v>70035</v>
      </c>
    </row>
    <row r="9108">
      <c r="A9108" s="48" t="s">
        <v>633</v>
      </c>
      <c r="B9108" s="38">
        <v>85293.0</v>
      </c>
      <c r="C9108" s="38" t="s">
        <v>12918</v>
      </c>
      <c r="D9108" s="38" t="str">
        <f>IFERROR(__xludf.DUMMYFUNCTION("REGEXREPLACE(C9108,""-\d+(.*)|--\d+(.*)"","""")"),"TIFFAUGES")</f>
        <v>TIFFAUGES</v>
      </c>
      <c r="E9108" s="38" t="s">
        <v>179</v>
      </c>
      <c r="F9108" s="38" t="s">
        <v>180</v>
      </c>
      <c r="G9108" s="49" t="str">
        <f t="shared" si="1"/>
        <v>85130</v>
      </c>
      <c r="H9108" s="49">
        <f t="shared" si="2"/>
        <v>85293</v>
      </c>
    </row>
    <row r="9109">
      <c r="A9109" s="48" t="s">
        <v>12919</v>
      </c>
      <c r="B9109" s="38">
        <v>56021.0</v>
      </c>
      <c r="C9109" s="38" t="s">
        <v>12920</v>
      </c>
      <c r="D9109" s="38" t="str">
        <f>IFERROR(__xludf.DUMMYFUNCTION("REGEXREPLACE(C9109,""-\d+(.*)|--\d+(.*)"","""")"),"BRANDERION")</f>
        <v>BRANDERION</v>
      </c>
      <c r="E9109" s="38" t="s">
        <v>173</v>
      </c>
      <c r="F9109" s="38" t="s">
        <v>90</v>
      </c>
      <c r="G9109" s="49" t="str">
        <f t="shared" si="1"/>
        <v>56700</v>
      </c>
      <c r="H9109" s="49">
        <f t="shared" si="2"/>
        <v>56021</v>
      </c>
    </row>
    <row r="9110">
      <c r="A9110" s="48" t="s">
        <v>1646</v>
      </c>
      <c r="B9110" s="38">
        <v>24092.0</v>
      </c>
      <c r="C9110" s="38" t="s">
        <v>12921</v>
      </c>
      <c r="D9110" s="38" t="str">
        <f>IFERROR(__xludf.DUMMYFUNCTION("REGEXREPLACE(C9110,""-\d+(.*)|--\d+(.*)"","""")"),"CENDRIEUX")</f>
        <v>CENDRIEUX</v>
      </c>
      <c r="E9110" s="38" t="s">
        <v>261</v>
      </c>
      <c r="F9110" s="38" t="s">
        <v>252</v>
      </c>
      <c r="G9110" s="49" t="str">
        <f t="shared" si="1"/>
        <v>24380</v>
      </c>
      <c r="H9110" s="49">
        <f t="shared" si="2"/>
        <v>24092</v>
      </c>
    </row>
    <row r="9111">
      <c r="A9111" s="48" t="s">
        <v>12922</v>
      </c>
      <c r="B9111" s="38">
        <v>57498.0</v>
      </c>
      <c r="C9111" s="38" t="s">
        <v>12923</v>
      </c>
      <c r="D9111" s="38" t="str">
        <f>IFERROR(__xludf.DUMMYFUNCTION("REGEXREPLACE(C9111,""-\d+(.*)|--\d+(.*)"","""")"),"NEUFCHEF")</f>
        <v>NEUFCHEF</v>
      </c>
      <c r="E9111" s="38" t="s">
        <v>303</v>
      </c>
      <c r="F9111" s="38" t="s">
        <v>195</v>
      </c>
      <c r="G9111" s="49" t="str">
        <f t="shared" si="1"/>
        <v>57700</v>
      </c>
      <c r="H9111" s="49">
        <f t="shared" si="2"/>
        <v>57498</v>
      </c>
    </row>
    <row r="9112">
      <c r="A9112" s="48" t="s">
        <v>10954</v>
      </c>
      <c r="B9112" s="38">
        <v>87189.0</v>
      </c>
      <c r="C9112" s="38" t="s">
        <v>12924</v>
      </c>
      <c r="D9112" s="38" t="str">
        <f>IFERROR(__xludf.DUMMYFUNCTION("REGEXREPLACE(C9112,""-\d+(.*)|--\d+(.*)"","""")"),"LES SALLES-LAVAUGUYON")</f>
        <v>LES SALLES-LAVAUGUYON</v>
      </c>
      <c r="E9112" s="38" t="s">
        <v>897</v>
      </c>
      <c r="F9112" s="38" t="s">
        <v>98</v>
      </c>
      <c r="G9112" s="49" t="str">
        <f t="shared" si="1"/>
        <v>87440</v>
      </c>
      <c r="H9112" s="49">
        <f t="shared" si="2"/>
        <v>87189</v>
      </c>
    </row>
    <row r="9113">
      <c r="A9113" s="48" t="s">
        <v>2861</v>
      </c>
      <c r="B9113" s="38">
        <v>62469.0</v>
      </c>
      <c r="C9113" s="38" t="s">
        <v>12925</v>
      </c>
      <c r="D9113" s="38" t="str">
        <f>IFERROR(__xludf.DUMMYFUNCTION("REGEXREPLACE(C9113,""-\d+(.*)|--\d+(.*)"","""")"),"INCHY-EN-ARTOIS")</f>
        <v>INCHY-EN-ARTOIS</v>
      </c>
      <c r="E9113" s="38" t="s">
        <v>109</v>
      </c>
      <c r="F9113" s="38" t="s">
        <v>86</v>
      </c>
      <c r="G9113" s="49" t="str">
        <f t="shared" si="1"/>
        <v>62860</v>
      </c>
      <c r="H9113" s="49">
        <f t="shared" si="2"/>
        <v>62469</v>
      </c>
    </row>
    <row r="9114">
      <c r="A9114" s="48" t="s">
        <v>546</v>
      </c>
      <c r="B9114" s="38">
        <v>54566.0</v>
      </c>
      <c r="C9114" s="38" t="s">
        <v>12926</v>
      </c>
      <c r="D9114" s="38" t="str">
        <f>IFERROR(__xludf.DUMMYFUNCTION("REGEXREPLACE(C9114,""-\d+(.*)|--\d+(.*)"","""")"),"VILCEY-SUR-TREY")</f>
        <v>VILCEY-SUR-TREY</v>
      </c>
      <c r="E9114" s="38" t="s">
        <v>548</v>
      </c>
      <c r="F9114" s="38" t="s">
        <v>195</v>
      </c>
      <c r="G9114" s="49" t="str">
        <f t="shared" si="1"/>
        <v>54700</v>
      </c>
      <c r="H9114" s="49">
        <f t="shared" si="2"/>
        <v>54566</v>
      </c>
    </row>
    <row r="9115">
      <c r="A9115" s="48" t="s">
        <v>12927</v>
      </c>
      <c r="B9115" s="38">
        <v>9139.0</v>
      </c>
      <c r="C9115" s="38" t="s">
        <v>12928</v>
      </c>
      <c r="D9115" s="38" t="str">
        <f>IFERROR(__xludf.DUMMYFUNCTION("REGEXREPLACE(C9115,""-\d+(.*)|--\d+(.*)"","""")"),"L'HOSPITALET-PRES-L'ANDORRE")</f>
        <v>L'HOSPITALET-PRES-L'ANDORRE</v>
      </c>
      <c r="E9115" s="38" t="s">
        <v>238</v>
      </c>
      <c r="F9115" s="38" t="s">
        <v>94</v>
      </c>
      <c r="G9115" s="49" t="str">
        <f t="shared" si="1"/>
        <v>09390</v>
      </c>
      <c r="H9115" s="49" t="str">
        <f t="shared" si="2"/>
        <v>09139</v>
      </c>
    </row>
    <row r="9116">
      <c r="A9116" s="48" t="s">
        <v>12929</v>
      </c>
      <c r="B9116" s="38">
        <v>73312.0</v>
      </c>
      <c r="C9116" s="38" t="s">
        <v>12930</v>
      </c>
      <c r="D9116" s="38" t="str">
        <f>IFERROR(__xludf.DUMMYFUNCTION("REGEXREPLACE(C9116,""-\d+(.*)|--\d+(.*)"","""")"),"VERRENS-ARVEY")</f>
        <v>VERRENS-ARVEY</v>
      </c>
      <c r="E9116" s="38" t="s">
        <v>306</v>
      </c>
      <c r="F9116" s="38" t="s">
        <v>102</v>
      </c>
      <c r="G9116" s="49" t="str">
        <f t="shared" si="1"/>
        <v>73460</v>
      </c>
      <c r="H9116" s="49">
        <f t="shared" si="2"/>
        <v>73312</v>
      </c>
    </row>
    <row r="9117">
      <c r="A9117" s="48" t="s">
        <v>12931</v>
      </c>
      <c r="B9117" s="38">
        <v>57672.0</v>
      </c>
      <c r="C9117" s="38" t="s">
        <v>12932</v>
      </c>
      <c r="D9117" s="38" t="str">
        <f>IFERROR(__xludf.DUMMYFUNCTION("REGEXREPLACE(C9117,""-\d+(.*)|--\d+(.*)"","""")"),"THIONVILLE")</f>
        <v>THIONVILLE</v>
      </c>
      <c r="E9117" s="38" t="s">
        <v>303</v>
      </c>
      <c r="F9117" s="38" t="s">
        <v>195</v>
      </c>
      <c r="G9117" s="49" t="str">
        <f t="shared" si="1"/>
        <v>57100</v>
      </c>
      <c r="H9117" s="49">
        <f t="shared" si="2"/>
        <v>57672</v>
      </c>
    </row>
    <row r="9118">
      <c r="A9118" s="48" t="s">
        <v>546</v>
      </c>
      <c r="B9118" s="38">
        <v>54320.0</v>
      </c>
      <c r="C9118" s="38" t="s">
        <v>12933</v>
      </c>
      <c r="D9118" s="38" t="str">
        <f>IFERROR(__xludf.DUMMYFUNCTION("REGEXREPLACE(C9118,""-\d+(.*)|--\d+(.*)"","""")"),"LOISY")</f>
        <v>LOISY</v>
      </c>
      <c r="E9118" s="38" t="s">
        <v>548</v>
      </c>
      <c r="F9118" s="38" t="s">
        <v>195</v>
      </c>
      <c r="G9118" s="49" t="str">
        <f t="shared" si="1"/>
        <v>54700</v>
      </c>
      <c r="H9118" s="49">
        <f t="shared" si="2"/>
        <v>54320</v>
      </c>
    </row>
    <row r="9119">
      <c r="A9119" s="48" t="s">
        <v>5207</v>
      </c>
      <c r="B9119" s="38">
        <v>85257.0</v>
      </c>
      <c r="C9119" s="38" t="s">
        <v>12934</v>
      </c>
      <c r="D9119" s="38" t="str">
        <f>IFERROR(__xludf.DUMMYFUNCTION("REGEXREPLACE(C9119,""-\d+(.*)|--\d+(.*)"","""")"),"SAINT-MICHEL-MONT-MERCURE")</f>
        <v>SAINT-MICHEL-MONT-MERCURE</v>
      </c>
      <c r="E9119" s="38" t="s">
        <v>179</v>
      </c>
      <c r="F9119" s="38" t="s">
        <v>180</v>
      </c>
      <c r="G9119" s="49" t="str">
        <f t="shared" si="1"/>
        <v>85700</v>
      </c>
      <c r="H9119" s="49">
        <f t="shared" si="2"/>
        <v>85257</v>
      </c>
    </row>
    <row r="9120">
      <c r="A9120" s="48" t="s">
        <v>12935</v>
      </c>
      <c r="B9120" s="38">
        <v>91679.0</v>
      </c>
      <c r="C9120" s="38" t="s">
        <v>12936</v>
      </c>
      <c r="D9120" s="38" t="str">
        <f>IFERROR(__xludf.DUMMYFUNCTION("REGEXREPLACE(C9120,""-\d+(.*)|--\d+(.*)"","""")"),"VILLIERS-LE-BACLE")</f>
        <v>VILLIERS-LE-BACLE</v>
      </c>
      <c r="E9120" s="38" t="s">
        <v>756</v>
      </c>
      <c r="F9120" s="38" t="s">
        <v>245</v>
      </c>
      <c r="G9120" s="49" t="str">
        <f t="shared" si="1"/>
        <v>91190</v>
      </c>
      <c r="H9120" s="49">
        <f t="shared" si="2"/>
        <v>91679</v>
      </c>
    </row>
    <row r="9121">
      <c r="A9121" s="48" t="s">
        <v>2886</v>
      </c>
      <c r="B9121" s="38">
        <v>89189.0</v>
      </c>
      <c r="C9121" s="38" t="s">
        <v>12937</v>
      </c>
      <c r="D9121" s="38" t="str">
        <f>IFERROR(__xludf.DUMMYFUNCTION("REGEXREPLACE(C9121,""-\d+(.*)|--\d+(.*)"","""")"),"GISY-LES-NOBLES")</f>
        <v>GISY-LES-NOBLES</v>
      </c>
      <c r="E9121" s="38" t="s">
        <v>275</v>
      </c>
      <c r="F9121" s="38" t="s">
        <v>106</v>
      </c>
      <c r="G9121" s="49" t="str">
        <f t="shared" si="1"/>
        <v>89140</v>
      </c>
      <c r="H9121" s="49">
        <f t="shared" si="2"/>
        <v>89189</v>
      </c>
    </row>
    <row r="9122">
      <c r="A9122" s="48" t="s">
        <v>2907</v>
      </c>
      <c r="B9122" s="38">
        <v>22043.0</v>
      </c>
      <c r="C9122" s="38" t="s">
        <v>12938</v>
      </c>
      <c r="D9122" s="38" t="str">
        <f>IFERROR(__xludf.DUMMYFUNCTION("REGEXREPLACE(C9122,""-\d+(.*)|--\d+(.*)"","""")"),"COETLOGON")</f>
        <v>COETLOGON</v>
      </c>
      <c r="E9122" s="38" t="s">
        <v>89</v>
      </c>
      <c r="F9122" s="38" t="s">
        <v>90</v>
      </c>
      <c r="G9122" s="49" t="str">
        <f t="shared" si="1"/>
        <v>22210</v>
      </c>
      <c r="H9122" s="49">
        <f t="shared" si="2"/>
        <v>22043</v>
      </c>
    </row>
    <row r="9123">
      <c r="A9123" s="48" t="s">
        <v>7643</v>
      </c>
      <c r="B9123" s="38">
        <v>30233.0</v>
      </c>
      <c r="C9123" s="38" t="s">
        <v>12939</v>
      </c>
      <c r="D9123" s="38" t="str">
        <f>IFERROR(__xludf.DUMMYFUNCTION("REGEXREPLACE(C9123,""-\d+(.*)|--\d+(.*)"","""")"),"SAINT-BAUZELY")</f>
        <v>SAINT-BAUZELY</v>
      </c>
      <c r="E9123" s="38" t="s">
        <v>526</v>
      </c>
      <c r="F9123" s="38" t="s">
        <v>119</v>
      </c>
      <c r="G9123" s="49" t="str">
        <f t="shared" si="1"/>
        <v>30730</v>
      </c>
      <c r="H9123" s="49">
        <f t="shared" si="2"/>
        <v>30233</v>
      </c>
    </row>
    <row r="9124">
      <c r="A9124" s="48" t="s">
        <v>7926</v>
      </c>
      <c r="B9124" s="38">
        <v>71091.0</v>
      </c>
      <c r="C9124" s="38" t="s">
        <v>12940</v>
      </c>
      <c r="D9124" s="38" t="str">
        <f>IFERROR(__xludf.DUMMYFUNCTION("REGEXREPLACE(C9124,""-\d+(.*)|--\d+(.*)"","""")"),"LA CHAPELLE-DU-MONT-DE-FRANCE")</f>
        <v>LA CHAPELLE-DU-MONT-DE-FRANCE</v>
      </c>
      <c r="E9124" s="38" t="s">
        <v>344</v>
      </c>
      <c r="F9124" s="38" t="s">
        <v>106</v>
      </c>
      <c r="G9124" s="49" t="str">
        <f t="shared" si="1"/>
        <v>71520</v>
      </c>
      <c r="H9124" s="49">
        <f t="shared" si="2"/>
        <v>71091</v>
      </c>
    </row>
    <row r="9125">
      <c r="A9125" s="48" t="s">
        <v>1408</v>
      </c>
      <c r="B9125" s="38">
        <v>88306.0</v>
      </c>
      <c r="C9125" s="38" t="s">
        <v>12941</v>
      </c>
      <c r="D9125" s="38" t="str">
        <f>IFERROR(__xludf.DUMMYFUNCTION("REGEXREPLACE(C9125,""-\d+(.*)|--\d+(.*)"","""")"),"LE MONT")</f>
        <v>LE MONT</v>
      </c>
      <c r="E9125" s="38" t="s">
        <v>194</v>
      </c>
      <c r="F9125" s="38" t="s">
        <v>195</v>
      </c>
      <c r="G9125" s="49" t="str">
        <f t="shared" si="1"/>
        <v>88210</v>
      </c>
      <c r="H9125" s="49">
        <f t="shared" si="2"/>
        <v>88306</v>
      </c>
    </row>
    <row r="9126">
      <c r="A9126" s="48" t="s">
        <v>970</v>
      </c>
      <c r="B9126" s="38">
        <v>2759.0</v>
      </c>
      <c r="C9126" s="38" t="s">
        <v>12942</v>
      </c>
      <c r="D9126" s="38" t="str">
        <f>IFERROR(__xludf.DUMMYFUNCTION("REGEXREPLACE(C9126,""-\d+(.*)|--\d+(.*)"","""")"),"LA VALLEE-AU-BLE")</f>
        <v>LA VALLEE-AU-BLE</v>
      </c>
      <c r="E9126" s="38" t="s">
        <v>191</v>
      </c>
      <c r="F9126" s="38" t="s">
        <v>113</v>
      </c>
      <c r="G9126" s="49" t="str">
        <f t="shared" si="1"/>
        <v>02140</v>
      </c>
      <c r="H9126" s="49" t="str">
        <f t="shared" si="2"/>
        <v>02759</v>
      </c>
    </row>
    <row r="9127">
      <c r="A9127" s="48" t="s">
        <v>12639</v>
      </c>
      <c r="B9127" s="38">
        <v>81263.0</v>
      </c>
      <c r="C9127" s="38" t="s">
        <v>12943</v>
      </c>
      <c r="D9127" s="38" t="str">
        <f>IFERROR(__xludf.DUMMYFUNCTION("REGEXREPLACE(C9127,""-\d+(.*)|--\d+(.*)"","""")"),"SAINT-MARTIN-LAGUEPIE")</f>
        <v>SAINT-MARTIN-LAGUEPIE</v>
      </c>
      <c r="E9127" s="38" t="s">
        <v>231</v>
      </c>
      <c r="F9127" s="38" t="s">
        <v>94</v>
      </c>
      <c r="G9127" s="49" t="str">
        <f t="shared" si="1"/>
        <v>81170</v>
      </c>
      <c r="H9127" s="49">
        <f t="shared" si="2"/>
        <v>81263</v>
      </c>
    </row>
    <row r="9128">
      <c r="A9128" s="48" t="s">
        <v>8434</v>
      </c>
      <c r="B9128" s="38">
        <v>41077.0</v>
      </c>
      <c r="C9128" s="38" t="s">
        <v>12944</v>
      </c>
      <c r="D9128" s="38" t="str">
        <f>IFERROR(__xludf.DUMMYFUNCTION("REGEXREPLACE(C9128,""-\d+(.*)|--\d+(.*)"","""")"),"EPIAIS")</f>
        <v>EPIAIS</v>
      </c>
      <c r="E9128" s="38" t="s">
        <v>188</v>
      </c>
      <c r="F9128" s="38" t="s">
        <v>123</v>
      </c>
      <c r="G9128" s="49" t="str">
        <f t="shared" si="1"/>
        <v>41290</v>
      </c>
      <c r="H9128" s="49">
        <f t="shared" si="2"/>
        <v>41077</v>
      </c>
    </row>
    <row r="9129">
      <c r="A9129" s="48" t="s">
        <v>9967</v>
      </c>
      <c r="B9129" s="38">
        <v>35113.0</v>
      </c>
      <c r="C9129" s="38" t="s">
        <v>12945</v>
      </c>
      <c r="D9129" s="38" t="str">
        <f>IFERROR(__xludf.DUMMYFUNCTION("REGEXREPLACE(C9129,""-\d+(.*)|--\d+(.*)"","""")"),"LA FONTENELLE")</f>
        <v>LA FONTENELLE</v>
      </c>
      <c r="E9129" s="38" t="s">
        <v>347</v>
      </c>
      <c r="F9129" s="38" t="s">
        <v>90</v>
      </c>
      <c r="G9129" s="49" t="str">
        <f t="shared" si="1"/>
        <v>35560</v>
      </c>
      <c r="H9129" s="49">
        <f t="shared" si="2"/>
        <v>35113</v>
      </c>
    </row>
    <row r="9130">
      <c r="A9130" s="48" t="s">
        <v>2272</v>
      </c>
      <c r="B9130" s="38">
        <v>27089.0</v>
      </c>
      <c r="C9130" s="38" t="s">
        <v>12946</v>
      </c>
      <c r="D9130" s="38" t="str">
        <f>IFERROR(__xludf.DUMMYFUNCTION("REGEXREPLACE(C9130,""-\d+(.*)|--\d+(.*)"","""")"),"BOSC-RENOULT-EN-ROUMOIS")</f>
        <v>BOSC-RENOULT-EN-ROUMOIS</v>
      </c>
      <c r="E9130" s="38" t="s">
        <v>241</v>
      </c>
      <c r="F9130" s="38" t="s">
        <v>134</v>
      </c>
      <c r="G9130" s="49" t="str">
        <f t="shared" si="1"/>
        <v>27520</v>
      </c>
      <c r="H9130" s="49">
        <f t="shared" si="2"/>
        <v>27089</v>
      </c>
    </row>
    <row r="9131">
      <c r="A9131" s="48" t="s">
        <v>4594</v>
      </c>
      <c r="B9131" s="38">
        <v>62546.0</v>
      </c>
      <c r="C9131" s="38" t="s">
        <v>12947</v>
      </c>
      <c r="D9131" s="38" t="str">
        <f>IFERROR(__xludf.DUMMYFUNCTION("REGEXREPLACE(C9131,""-\d+(.*)|--\d+(.*)"","""")"),"MANINGHEN-HENNE")</f>
        <v>MANINGHEN-HENNE</v>
      </c>
      <c r="E9131" s="38" t="s">
        <v>109</v>
      </c>
      <c r="F9131" s="38" t="s">
        <v>86</v>
      </c>
      <c r="G9131" s="49" t="str">
        <f t="shared" si="1"/>
        <v>62250</v>
      </c>
      <c r="H9131" s="49">
        <f t="shared" si="2"/>
        <v>62546</v>
      </c>
    </row>
    <row r="9132">
      <c r="A9132" s="48" t="s">
        <v>1864</v>
      </c>
      <c r="B9132" s="38">
        <v>70307.0</v>
      </c>
      <c r="C9132" s="38" t="s">
        <v>12948</v>
      </c>
      <c r="D9132" s="38" t="str">
        <f>IFERROR(__xludf.DUMMYFUNCTION("REGEXREPLACE(C9132,""-\d+(.*)|--\d+(.*)"","""")"),"LONGEVELLE")</f>
        <v>LONGEVELLE</v>
      </c>
      <c r="E9132" s="38" t="s">
        <v>956</v>
      </c>
      <c r="F9132" s="38" t="s">
        <v>214</v>
      </c>
      <c r="G9132" s="49" t="str">
        <f t="shared" si="1"/>
        <v>70110</v>
      </c>
      <c r="H9132" s="49">
        <f t="shared" si="2"/>
        <v>70307</v>
      </c>
    </row>
    <row r="9133">
      <c r="A9133" s="48" t="s">
        <v>2162</v>
      </c>
      <c r="B9133" s="38">
        <v>26272.0</v>
      </c>
      <c r="C9133" s="38" t="s">
        <v>12949</v>
      </c>
      <c r="D9133" s="38" t="str">
        <f>IFERROR(__xludf.DUMMYFUNCTION("REGEXREPLACE(C9133,""-\d+(.*)|--\d+(.*)"","""")"),"ROCHEFORT-EN-VALDAINE")</f>
        <v>ROCHEFORT-EN-VALDAINE</v>
      </c>
      <c r="E9133" s="38" t="s">
        <v>126</v>
      </c>
      <c r="F9133" s="38" t="s">
        <v>102</v>
      </c>
      <c r="G9133" s="49" t="str">
        <f t="shared" si="1"/>
        <v>26160</v>
      </c>
      <c r="H9133" s="49">
        <f t="shared" si="2"/>
        <v>26272</v>
      </c>
    </row>
    <row r="9134">
      <c r="A9134" s="48" t="s">
        <v>1272</v>
      </c>
      <c r="B9134" s="38">
        <v>51141.0</v>
      </c>
      <c r="C9134" s="38" t="s">
        <v>12950</v>
      </c>
      <c r="D9134" s="38" t="str">
        <f>IFERROR(__xludf.DUMMYFUNCTION("REGEXREPLACE(C9134,""-\d+(.*)|--\d+(.*)"","""")"),"LA CHAUSSEE-SUR-MARNE")</f>
        <v>LA CHAUSSEE-SUR-MARNE</v>
      </c>
      <c r="E9134" s="38" t="s">
        <v>129</v>
      </c>
      <c r="F9134" s="38" t="s">
        <v>130</v>
      </c>
      <c r="G9134" s="49" t="str">
        <f t="shared" si="1"/>
        <v>51240</v>
      </c>
      <c r="H9134" s="49">
        <f t="shared" si="2"/>
        <v>51141</v>
      </c>
    </row>
    <row r="9135">
      <c r="A9135" s="48" t="s">
        <v>4803</v>
      </c>
      <c r="B9135" s="38">
        <v>33214.0</v>
      </c>
      <c r="C9135" s="38" t="s">
        <v>12951</v>
      </c>
      <c r="D9135" s="38" t="str">
        <f>IFERROR(__xludf.DUMMYFUNCTION("REGEXREPLACE(C9135,""-\d+(.*)|--\d+(.*)"","""")"),"LACANAU")</f>
        <v>LACANAU</v>
      </c>
      <c r="E9135" s="38" t="s">
        <v>462</v>
      </c>
      <c r="F9135" s="38" t="s">
        <v>252</v>
      </c>
      <c r="G9135" s="49" t="str">
        <f t="shared" si="1"/>
        <v>33680</v>
      </c>
      <c r="H9135" s="49">
        <f t="shared" si="2"/>
        <v>33214</v>
      </c>
    </row>
    <row r="9136">
      <c r="A9136" s="48" t="s">
        <v>12952</v>
      </c>
      <c r="B9136" s="38" t="s">
        <v>12953</v>
      </c>
      <c r="C9136" s="38" t="s">
        <v>12954</v>
      </c>
      <c r="D9136" s="38" t="str">
        <f>IFERROR(__xludf.DUMMYFUNCTION("REGEXREPLACE(C9136,""-\d+(.*)|--\d+(.*)"","""")"),"ALERIA")</f>
        <v>ALERIA</v>
      </c>
      <c r="E9136" s="38" t="s">
        <v>743</v>
      </c>
      <c r="F9136" s="38" t="s">
        <v>607</v>
      </c>
      <c r="G9136" s="49" t="str">
        <f t="shared" si="1"/>
        <v>20270</v>
      </c>
      <c r="H9136" s="49" t="str">
        <f t="shared" si="2"/>
        <v>2B009</v>
      </c>
    </row>
    <row r="9137">
      <c r="A9137" s="48" t="s">
        <v>2451</v>
      </c>
      <c r="B9137" s="38">
        <v>31258.0</v>
      </c>
      <c r="C9137" s="38" t="s">
        <v>12955</v>
      </c>
      <c r="D9137" s="38" t="str">
        <f>IFERROR(__xludf.DUMMYFUNCTION("REGEXREPLACE(C9137,""-\d+(.*)|--\d+(.*)"","""")"),"LACAUGNE")</f>
        <v>LACAUGNE</v>
      </c>
      <c r="E9137" s="38" t="s">
        <v>93</v>
      </c>
      <c r="F9137" s="38" t="s">
        <v>94</v>
      </c>
      <c r="G9137" s="49" t="str">
        <f t="shared" si="1"/>
        <v>31390</v>
      </c>
      <c r="H9137" s="49">
        <f t="shared" si="2"/>
        <v>31258</v>
      </c>
    </row>
    <row r="9138">
      <c r="A9138" s="48" t="s">
        <v>1833</v>
      </c>
      <c r="B9138" s="38">
        <v>31567.0</v>
      </c>
      <c r="C9138" s="38" t="s">
        <v>12956</v>
      </c>
      <c r="D9138" s="38" t="str">
        <f>IFERROR(__xludf.DUMMYFUNCTION("REGEXREPLACE(C9138,""-\d+(.*)|--\d+(.*)"","""")"),"VALLESVILLES")</f>
        <v>VALLESVILLES</v>
      </c>
      <c r="E9138" s="38" t="s">
        <v>93</v>
      </c>
      <c r="F9138" s="38" t="s">
        <v>94</v>
      </c>
      <c r="G9138" s="49" t="str">
        <f t="shared" si="1"/>
        <v>31570</v>
      </c>
      <c r="H9138" s="49">
        <f t="shared" si="2"/>
        <v>31567</v>
      </c>
    </row>
    <row r="9139">
      <c r="A9139" s="48" t="s">
        <v>4490</v>
      </c>
      <c r="B9139" s="38">
        <v>6061.0</v>
      </c>
      <c r="C9139" s="38" t="s">
        <v>12957</v>
      </c>
      <c r="D9139" s="38" t="str">
        <f>IFERROR(__xludf.DUMMYFUNCTION("REGEXREPLACE(C9139,""-\d+(.*)|--\d+(.*)"","""")"),"LES FERRES")</f>
        <v>LES FERRES</v>
      </c>
      <c r="E9139" s="38" t="s">
        <v>227</v>
      </c>
      <c r="F9139" s="38" t="s">
        <v>228</v>
      </c>
      <c r="G9139" s="49" t="str">
        <f t="shared" si="1"/>
        <v>06510</v>
      </c>
      <c r="H9139" s="49" t="str">
        <f t="shared" si="2"/>
        <v>06061</v>
      </c>
    </row>
    <row r="9140">
      <c r="A9140" s="48" t="s">
        <v>12958</v>
      </c>
      <c r="B9140" s="38">
        <v>27036.0</v>
      </c>
      <c r="C9140" s="38" t="s">
        <v>12959</v>
      </c>
      <c r="D9140" s="38" t="str">
        <f>IFERROR(__xludf.DUMMYFUNCTION("REGEXREPLACE(C9140,""-\d+(.*)|--\d+(.*)"","""")"),"BALINES")</f>
        <v>BALINES</v>
      </c>
      <c r="E9140" s="38" t="s">
        <v>241</v>
      </c>
      <c r="F9140" s="38" t="s">
        <v>134</v>
      </c>
      <c r="G9140" s="49" t="str">
        <f t="shared" si="1"/>
        <v>27130</v>
      </c>
      <c r="H9140" s="49">
        <f t="shared" si="2"/>
        <v>27036</v>
      </c>
    </row>
    <row r="9141">
      <c r="A9141" s="48" t="s">
        <v>12960</v>
      </c>
      <c r="B9141" s="38" t="s">
        <v>12961</v>
      </c>
      <c r="C9141" s="38" t="s">
        <v>12962</v>
      </c>
      <c r="D9141" s="38" t="str">
        <f>IFERROR(__xludf.DUMMYFUNCTION("REGEXREPLACE(C9141,""-\d+(.*)|--\d+(.*)"","""")"),"VILLE-DI-PIETRABUGNO")</f>
        <v>VILLE-DI-PIETRABUGNO</v>
      </c>
      <c r="E9141" s="38" t="s">
        <v>743</v>
      </c>
      <c r="F9141" s="38" t="s">
        <v>607</v>
      </c>
      <c r="G9141" s="49" t="str">
        <f t="shared" si="1"/>
        <v>20200</v>
      </c>
      <c r="H9141" s="49" t="str">
        <f t="shared" si="2"/>
        <v>2B353</v>
      </c>
    </row>
    <row r="9142">
      <c r="A9142" s="48" t="s">
        <v>8902</v>
      </c>
      <c r="B9142" s="38">
        <v>25270.0</v>
      </c>
      <c r="C9142" s="38" t="s">
        <v>12963</v>
      </c>
      <c r="D9142" s="38" t="str">
        <f>IFERROR(__xludf.DUMMYFUNCTION("REGEXREPLACE(C9142,""-\d+(.*)|--\d+(.*)"","""")"),"GEVRESIN")</f>
        <v>GEVRESIN</v>
      </c>
      <c r="E9142" s="38" t="s">
        <v>213</v>
      </c>
      <c r="F9142" s="38" t="s">
        <v>214</v>
      </c>
      <c r="G9142" s="49" t="str">
        <f t="shared" si="1"/>
        <v>25270</v>
      </c>
      <c r="H9142" s="49">
        <f t="shared" si="2"/>
        <v>25270</v>
      </c>
    </row>
    <row r="9143">
      <c r="A9143" s="48" t="s">
        <v>8595</v>
      </c>
      <c r="B9143" s="38">
        <v>42036.0</v>
      </c>
      <c r="C9143" s="38" t="s">
        <v>12964</v>
      </c>
      <c r="D9143" s="38" t="str">
        <f>IFERROR(__xludf.DUMMYFUNCTION("REGEXREPLACE(C9143,""-\d+(.*)|--\d+(.*)"","""")"),"CHAGNON")</f>
        <v>CHAGNON</v>
      </c>
      <c r="E9143" s="38" t="s">
        <v>166</v>
      </c>
      <c r="F9143" s="38" t="s">
        <v>102</v>
      </c>
      <c r="G9143" s="49" t="str">
        <f t="shared" si="1"/>
        <v>42800</v>
      </c>
      <c r="H9143" s="49">
        <f t="shared" si="2"/>
        <v>42036</v>
      </c>
    </row>
    <row r="9144">
      <c r="A9144" s="48" t="s">
        <v>3307</v>
      </c>
      <c r="B9144" s="38">
        <v>65076.0</v>
      </c>
      <c r="C9144" s="38" t="s">
        <v>12965</v>
      </c>
      <c r="D9144" s="38" t="str">
        <f>IFERROR(__xludf.DUMMYFUNCTION("REGEXREPLACE(C9144,""-\d+(.*)|--\d+(.*)"","""")"),"BAZUS-NESTE")</f>
        <v>BAZUS-NESTE</v>
      </c>
      <c r="E9144" s="38" t="s">
        <v>200</v>
      </c>
      <c r="F9144" s="38" t="s">
        <v>94</v>
      </c>
      <c r="G9144" s="49" t="str">
        <f t="shared" si="1"/>
        <v>65250</v>
      </c>
      <c r="H9144" s="49">
        <f t="shared" si="2"/>
        <v>65076</v>
      </c>
    </row>
    <row r="9145">
      <c r="A9145" s="48" t="s">
        <v>922</v>
      </c>
      <c r="B9145" s="38">
        <v>76269.0</v>
      </c>
      <c r="C9145" s="38" t="s">
        <v>12966</v>
      </c>
      <c r="D9145" s="38" t="str">
        <f>IFERROR(__xludf.DUMMYFUNCTION("REGEXREPLACE(C9145,""-\d+(.*)|--\d+(.*)"","""")"),"FONTAINE-EN-BRAY")</f>
        <v>FONTAINE-EN-BRAY</v>
      </c>
      <c r="E9145" s="38" t="s">
        <v>133</v>
      </c>
      <c r="F9145" s="38" t="s">
        <v>134</v>
      </c>
      <c r="G9145" s="49" t="str">
        <f t="shared" si="1"/>
        <v>76440</v>
      </c>
      <c r="H9145" s="49">
        <f t="shared" si="2"/>
        <v>76269</v>
      </c>
    </row>
    <row r="9146">
      <c r="A9146" s="48" t="s">
        <v>2773</v>
      </c>
      <c r="B9146" s="38">
        <v>21149.0</v>
      </c>
      <c r="C9146" s="38" t="s">
        <v>12967</v>
      </c>
      <c r="D9146" s="38" t="str">
        <f>IFERROR(__xludf.DUMMYFUNCTION("REGEXREPLACE(C9146,""-\d+(.*)|--\d+(.*)"","""")"),"CHARREY-SUR-SEINE")</f>
        <v>CHARREY-SUR-SEINE</v>
      </c>
      <c r="E9146" s="38" t="s">
        <v>105</v>
      </c>
      <c r="F9146" s="38" t="s">
        <v>106</v>
      </c>
      <c r="G9146" s="49" t="str">
        <f t="shared" si="1"/>
        <v>21400</v>
      </c>
      <c r="H9146" s="49">
        <f t="shared" si="2"/>
        <v>21149</v>
      </c>
    </row>
    <row r="9147">
      <c r="A9147" s="48" t="s">
        <v>11600</v>
      </c>
      <c r="B9147" s="38">
        <v>14181.0</v>
      </c>
      <c r="C9147" s="38" t="s">
        <v>12968</v>
      </c>
      <c r="D9147" s="38" t="str">
        <f>IFERROR(__xludf.DUMMYFUNCTION("REGEXREPLACE(C9147,""-\d+(.*)|--\d+(.*)"","""")"),"CORMELLES-LE-ROYAL")</f>
        <v>CORMELLES-LE-ROYAL</v>
      </c>
      <c r="E9147" s="38" t="s">
        <v>137</v>
      </c>
      <c r="F9147" s="38" t="s">
        <v>138</v>
      </c>
      <c r="G9147" s="49" t="str">
        <f t="shared" si="1"/>
        <v>14123</v>
      </c>
      <c r="H9147" s="49">
        <f t="shared" si="2"/>
        <v>14181</v>
      </c>
    </row>
    <row r="9148">
      <c r="A9148" s="48" t="s">
        <v>5575</v>
      </c>
      <c r="B9148" s="38">
        <v>62368.0</v>
      </c>
      <c r="C9148" s="38" t="s">
        <v>12969</v>
      </c>
      <c r="D9148" s="38" t="str">
        <f>IFERROR(__xludf.DUMMYFUNCTION("REGEXREPLACE(C9148,""-\d+(.*)|--\d+(.*)"","""")"),"GAUDIEMPRE")</f>
        <v>GAUDIEMPRE</v>
      </c>
      <c r="E9148" s="38" t="s">
        <v>109</v>
      </c>
      <c r="F9148" s="38" t="s">
        <v>86</v>
      </c>
      <c r="G9148" s="49" t="str">
        <f t="shared" si="1"/>
        <v>62760</v>
      </c>
      <c r="H9148" s="49">
        <f t="shared" si="2"/>
        <v>62368</v>
      </c>
    </row>
    <row r="9149">
      <c r="A9149" s="48" t="s">
        <v>9028</v>
      </c>
      <c r="B9149" s="38">
        <v>65265.0</v>
      </c>
      <c r="C9149" s="38" t="s">
        <v>12970</v>
      </c>
      <c r="D9149" s="38" t="str">
        <f>IFERROR(__xludf.DUMMYFUNCTION("REGEXREPLACE(C9149,""-\d+(.*)|--\d+(.*)"","""")"),"LASLADES")</f>
        <v>LASLADES</v>
      </c>
      <c r="E9149" s="38" t="s">
        <v>200</v>
      </c>
      <c r="F9149" s="38" t="s">
        <v>94</v>
      </c>
      <c r="G9149" s="49" t="str">
        <f t="shared" si="1"/>
        <v>65350</v>
      </c>
      <c r="H9149" s="49">
        <f t="shared" si="2"/>
        <v>65265</v>
      </c>
    </row>
    <row r="9150">
      <c r="A9150" s="48" t="s">
        <v>3093</v>
      </c>
      <c r="B9150" s="38">
        <v>57241.0</v>
      </c>
      <c r="C9150" s="38" t="s">
        <v>12971</v>
      </c>
      <c r="D9150" s="38" t="str">
        <f>IFERROR(__xludf.DUMMYFUNCTION("REGEXREPLACE(C9150,""-\d+(.*)|--\d+(.*)"","""")"),"FRIBOURG")</f>
        <v>FRIBOURG</v>
      </c>
      <c r="E9150" s="38" t="s">
        <v>303</v>
      </c>
      <c r="F9150" s="38" t="s">
        <v>195</v>
      </c>
      <c r="G9150" s="49" t="str">
        <f t="shared" si="1"/>
        <v>57810</v>
      </c>
      <c r="H9150" s="49">
        <f t="shared" si="2"/>
        <v>57241</v>
      </c>
    </row>
    <row r="9151">
      <c r="A9151" s="48" t="s">
        <v>12972</v>
      </c>
      <c r="B9151" s="38" t="s">
        <v>12973</v>
      </c>
      <c r="C9151" s="38" t="s">
        <v>12974</v>
      </c>
      <c r="D9151" s="38" t="str">
        <f>IFERROR(__xludf.DUMMYFUNCTION("REGEXREPLACE(C9151,""-\d+(.*)|--\d+(.*)"","""")"),"CASAMACCIOLI")</f>
        <v>CASAMACCIOLI</v>
      </c>
      <c r="E9151" s="38" t="s">
        <v>743</v>
      </c>
      <c r="F9151" s="38" t="s">
        <v>607</v>
      </c>
      <c r="G9151" s="49" t="str">
        <f t="shared" si="1"/>
        <v>20224</v>
      </c>
      <c r="H9151" s="49" t="str">
        <f t="shared" si="2"/>
        <v>2B073</v>
      </c>
    </row>
    <row r="9152">
      <c r="A9152" s="48" t="s">
        <v>6613</v>
      </c>
      <c r="B9152" s="38">
        <v>61332.0</v>
      </c>
      <c r="C9152" s="38" t="s">
        <v>12975</v>
      </c>
      <c r="D9152" s="38" t="str">
        <f>IFERROR(__xludf.DUMMYFUNCTION("REGEXREPLACE(C9152,""-\d+(.*)|--\d+(.*)"","""")"),"POINTEL")</f>
        <v>POINTEL</v>
      </c>
      <c r="E9152" s="38" t="s">
        <v>141</v>
      </c>
      <c r="F9152" s="38" t="s">
        <v>138</v>
      </c>
      <c r="G9152" s="49" t="str">
        <f t="shared" si="1"/>
        <v>61220</v>
      </c>
      <c r="H9152" s="49">
        <f t="shared" si="2"/>
        <v>61332</v>
      </c>
    </row>
    <row r="9153">
      <c r="A9153" s="48" t="s">
        <v>2659</v>
      </c>
      <c r="B9153" s="38">
        <v>80351.0</v>
      </c>
      <c r="C9153" s="38" t="s">
        <v>12976</v>
      </c>
      <c r="D9153" s="38" t="str">
        <f>IFERROR(__xludf.DUMMYFUNCTION("REGEXREPLACE(C9153,""-\d+(.*)|--\d+(.*)"","""")"),"FRECHENCOURT")</f>
        <v>FRECHENCOURT</v>
      </c>
      <c r="E9153" s="38" t="s">
        <v>224</v>
      </c>
      <c r="F9153" s="38" t="s">
        <v>113</v>
      </c>
      <c r="G9153" s="49" t="str">
        <f t="shared" si="1"/>
        <v>80260</v>
      </c>
      <c r="H9153" s="49">
        <f t="shared" si="2"/>
        <v>80351</v>
      </c>
    </row>
    <row r="9154">
      <c r="A9154" s="48" t="s">
        <v>12977</v>
      </c>
      <c r="B9154" s="38">
        <v>59204.0</v>
      </c>
      <c r="C9154" s="38" t="s">
        <v>12978</v>
      </c>
      <c r="D9154" s="38" t="str">
        <f>IFERROR(__xludf.DUMMYFUNCTION("REGEXREPLACE(C9154,""-\d+(.*)|--\d+(.*)"","""")"),"ESCARMAIN")</f>
        <v>ESCARMAIN</v>
      </c>
      <c r="E9154" s="38" t="s">
        <v>85</v>
      </c>
      <c r="F9154" s="38" t="s">
        <v>86</v>
      </c>
      <c r="G9154" s="49" t="str">
        <f t="shared" si="1"/>
        <v>59213</v>
      </c>
      <c r="H9154" s="49">
        <f t="shared" si="2"/>
        <v>59204</v>
      </c>
    </row>
    <row r="9155">
      <c r="A9155" s="48" t="s">
        <v>12979</v>
      </c>
      <c r="B9155" s="38">
        <v>19124.0</v>
      </c>
      <c r="C9155" s="38" t="s">
        <v>12980</v>
      </c>
      <c r="D9155" s="38" t="str">
        <f>IFERROR(__xludf.DUMMYFUNCTION("REGEXREPLACE(C9155,""-\d+(.*)|--\d+(.*)"","""")"),"MANSAC")</f>
        <v>MANSAC</v>
      </c>
      <c r="E9155" s="38" t="s">
        <v>271</v>
      </c>
      <c r="F9155" s="38" t="s">
        <v>98</v>
      </c>
      <c r="G9155" s="49" t="str">
        <f t="shared" si="1"/>
        <v>19520</v>
      </c>
      <c r="H9155" s="49">
        <f t="shared" si="2"/>
        <v>19124</v>
      </c>
    </row>
    <row r="9156">
      <c r="A9156" s="48" t="s">
        <v>920</v>
      </c>
      <c r="B9156" s="38">
        <v>31502.0</v>
      </c>
      <c r="C9156" s="38" t="s">
        <v>12981</v>
      </c>
      <c r="D9156" s="38" t="str">
        <f>IFERROR(__xludf.DUMMYFUNCTION("REGEXREPLACE(C9156,""-\d+(.*)|--\d+(.*)"","""")"),"SAINT-MARCET")</f>
        <v>SAINT-MARCET</v>
      </c>
      <c r="E9156" s="38" t="s">
        <v>93</v>
      </c>
      <c r="F9156" s="38" t="s">
        <v>94</v>
      </c>
      <c r="G9156" s="49" t="str">
        <f t="shared" si="1"/>
        <v>31800</v>
      </c>
      <c r="H9156" s="49">
        <f t="shared" si="2"/>
        <v>31502</v>
      </c>
    </row>
    <row r="9157">
      <c r="A9157" s="48" t="s">
        <v>1093</v>
      </c>
      <c r="B9157" s="38">
        <v>62674.0</v>
      </c>
      <c r="C9157" s="38" t="s">
        <v>12982</v>
      </c>
      <c r="D9157" s="38" t="str">
        <f>IFERROR(__xludf.DUMMYFUNCTION("REGEXREPLACE(C9157,""-\d+(.*)|--\d+(.*)"","""")"),"QUELMES")</f>
        <v>QUELMES</v>
      </c>
      <c r="E9157" s="38" t="s">
        <v>109</v>
      </c>
      <c r="F9157" s="38" t="s">
        <v>86</v>
      </c>
      <c r="G9157" s="49" t="str">
        <f t="shared" si="1"/>
        <v>62500</v>
      </c>
      <c r="H9157" s="49">
        <f t="shared" si="2"/>
        <v>62674</v>
      </c>
    </row>
    <row r="9158">
      <c r="A9158" s="48" t="s">
        <v>12983</v>
      </c>
      <c r="B9158" s="38">
        <v>22278.0</v>
      </c>
      <c r="C9158" s="38" t="s">
        <v>12984</v>
      </c>
      <c r="D9158" s="38" t="str">
        <f>IFERROR(__xludf.DUMMYFUNCTION("REGEXREPLACE(C9158,""-\d+(.*)|--\d+(.*)"","""")"),"SAINT-BRIEUC")</f>
        <v>SAINT-BRIEUC</v>
      </c>
      <c r="E9158" s="38" t="s">
        <v>89</v>
      </c>
      <c r="F9158" s="38" t="s">
        <v>90</v>
      </c>
      <c r="G9158" s="49" t="str">
        <f t="shared" si="1"/>
        <v>22000</v>
      </c>
      <c r="H9158" s="49">
        <f t="shared" si="2"/>
        <v>22278</v>
      </c>
    </row>
    <row r="9159">
      <c r="A9159" s="48" t="s">
        <v>573</v>
      </c>
      <c r="B9159" s="38">
        <v>65165.0</v>
      </c>
      <c r="C9159" s="38" t="s">
        <v>12985</v>
      </c>
      <c r="D9159" s="38" t="str">
        <f>IFERROR(__xludf.DUMMYFUNCTION("REGEXREPLACE(C9159,""-\d+(.*)|--\d+(.*)"","""")"),"ESPARROS")</f>
        <v>ESPARROS</v>
      </c>
      <c r="E9159" s="38" t="s">
        <v>200</v>
      </c>
      <c r="F9159" s="38" t="s">
        <v>94</v>
      </c>
      <c r="G9159" s="49" t="str">
        <f t="shared" si="1"/>
        <v>65130</v>
      </c>
      <c r="H9159" s="49">
        <f t="shared" si="2"/>
        <v>65165</v>
      </c>
    </row>
    <row r="9160">
      <c r="A9160" s="48" t="s">
        <v>1624</v>
      </c>
      <c r="B9160" s="38">
        <v>34009.0</v>
      </c>
      <c r="C9160" s="38" t="s">
        <v>12986</v>
      </c>
      <c r="D9160" s="38" t="str">
        <f>IFERROR(__xludf.DUMMYFUNCTION("REGEXREPLACE(C9160,""-\d+(.*)|--\d+(.*)"","""")"),"ALIGNAN-DU-VENT")</f>
        <v>ALIGNAN-DU-VENT</v>
      </c>
      <c r="E9160" s="38" t="s">
        <v>118</v>
      </c>
      <c r="F9160" s="38" t="s">
        <v>119</v>
      </c>
      <c r="G9160" s="49" t="str">
        <f t="shared" si="1"/>
        <v>34290</v>
      </c>
      <c r="H9160" s="49">
        <f t="shared" si="2"/>
        <v>34009</v>
      </c>
    </row>
    <row r="9161">
      <c r="A9161" s="48" t="s">
        <v>10212</v>
      </c>
      <c r="B9161" s="38">
        <v>74062.0</v>
      </c>
      <c r="C9161" s="38" t="s">
        <v>12987</v>
      </c>
      <c r="D9161" s="38" t="str">
        <f>IFERROR(__xludf.DUMMYFUNCTION("REGEXREPLACE(C9161,""-\d+(.*)|--\d+(.*)"","""")"),"CHARVONNEX")</f>
        <v>CHARVONNEX</v>
      </c>
      <c r="E9161" s="38" t="s">
        <v>319</v>
      </c>
      <c r="F9161" s="38" t="s">
        <v>102</v>
      </c>
      <c r="G9161" s="49" t="str">
        <f t="shared" si="1"/>
        <v>74370</v>
      </c>
      <c r="H9161" s="49">
        <f t="shared" si="2"/>
        <v>74062</v>
      </c>
    </row>
    <row r="9162">
      <c r="A9162" s="48" t="s">
        <v>456</v>
      </c>
      <c r="B9162" s="38">
        <v>63270.0</v>
      </c>
      <c r="C9162" s="38" t="s">
        <v>12988</v>
      </c>
      <c r="D9162" s="38" t="str">
        <f>IFERROR(__xludf.DUMMYFUNCTION("REGEXREPLACE(C9162,""-\d+(.*)|--\d+(.*)"","""")"),"PARENTIGNAT")</f>
        <v>PARENTIGNAT</v>
      </c>
      <c r="E9162" s="38" t="s">
        <v>353</v>
      </c>
      <c r="F9162" s="38" t="s">
        <v>161</v>
      </c>
      <c r="G9162" s="49" t="str">
        <f t="shared" si="1"/>
        <v>63500</v>
      </c>
      <c r="H9162" s="49">
        <f t="shared" si="2"/>
        <v>63270</v>
      </c>
    </row>
    <row r="9163">
      <c r="A9163" s="48" t="s">
        <v>5840</v>
      </c>
      <c r="B9163" s="38">
        <v>71442.0</v>
      </c>
      <c r="C9163" s="38" t="s">
        <v>12989</v>
      </c>
      <c r="D9163" s="38" t="str">
        <f>IFERROR(__xludf.DUMMYFUNCTION("REGEXREPLACE(C9163,""-\d+(.*)|--\d+(.*)"","""")"),"SAINT-LEGER-SUR-DHEUNE")</f>
        <v>SAINT-LEGER-SUR-DHEUNE</v>
      </c>
      <c r="E9163" s="38" t="s">
        <v>344</v>
      </c>
      <c r="F9163" s="38" t="s">
        <v>106</v>
      </c>
      <c r="G9163" s="49" t="str">
        <f t="shared" si="1"/>
        <v>71510</v>
      </c>
      <c r="H9163" s="49">
        <f t="shared" si="2"/>
        <v>71442</v>
      </c>
    </row>
    <row r="9164">
      <c r="A9164" s="48" t="s">
        <v>2067</v>
      </c>
      <c r="B9164" s="38">
        <v>18180.0</v>
      </c>
      <c r="C9164" s="38" t="s">
        <v>12990</v>
      </c>
      <c r="D9164" s="38" t="str">
        <f>IFERROR(__xludf.DUMMYFUNCTION("REGEXREPLACE(C9164,""-\d+(.*)|--\d+(.*)"","""")"),"PLAIMPIED-GIVAUDINS")</f>
        <v>PLAIMPIED-GIVAUDINS</v>
      </c>
      <c r="E9164" s="38" t="s">
        <v>504</v>
      </c>
      <c r="F9164" s="38" t="s">
        <v>123</v>
      </c>
      <c r="G9164" s="49" t="str">
        <f t="shared" si="1"/>
        <v>18340</v>
      </c>
      <c r="H9164" s="49">
        <f t="shared" si="2"/>
        <v>18180</v>
      </c>
    </row>
    <row r="9165">
      <c r="A9165" s="48" t="s">
        <v>6519</v>
      </c>
      <c r="B9165" s="38">
        <v>81265.0</v>
      </c>
      <c r="C9165" s="38" t="s">
        <v>12991</v>
      </c>
      <c r="D9165" s="38" t="str">
        <f>IFERROR(__xludf.DUMMYFUNCTION("REGEXREPLACE(C9165,""-\d+(.*)|--\d+(.*)"","""")"),"SAINT-MICHEL-DE-VAX")</f>
        <v>SAINT-MICHEL-DE-VAX</v>
      </c>
      <c r="E9165" s="38" t="s">
        <v>231</v>
      </c>
      <c r="F9165" s="38" t="s">
        <v>94</v>
      </c>
      <c r="G9165" s="49" t="str">
        <f t="shared" si="1"/>
        <v>81140</v>
      </c>
      <c r="H9165" s="49">
        <f t="shared" si="2"/>
        <v>81265</v>
      </c>
    </row>
    <row r="9166">
      <c r="A9166" s="48" t="s">
        <v>5008</v>
      </c>
      <c r="B9166" s="38">
        <v>76680.0</v>
      </c>
      <c r="C9166" s="38" t="s">
        <v>12992</v>
      </c>
      <c r="D9166" s="38" t="str">
        <f>IFERROR(__xludf.DUMMYFUNCTION("REGEXREPLACE(C9166,""-\d+(.*)|--\d+(.*)"","""")"),"SORQUAINVILLE")</f>
        <v>SORQUAINVILLE</v>
      </c>
      <c r="E9166" s="38" t="s">
        <v>133</v>
      </c>
      <c r="F9166" s="38" t="s">
        <v>134</v>
      </c>
      <c r="G9166" s="49" t="str">
        <f t="shared" si="1"/>
        <v>76540</v>
      </c>
      <c r="H9166" s="49">
        <f t="shared" si="2"/>
        <v>76680</v>
      </c>
    </row>
    <row r="9167">
      <c r="A9167" s="48" t="s">
        <v>667</v>
      </c>
      <c r="B9167" s="38">
        <v>64066.0</v>
      </c>
      <c r="C9167" s="38" t="s">
        <v>12993</v>
      </c>
      <c r="D9167" s="38" t="str">
        <f>IFERROR(__xludf.DUMMYFUNCTION("REGEXREPLACE(C9167,""-\d+(.*)|--\d+(.*)"","""")"),"ASCARAT")</f>
        <v>ASCARAT</v>
      </c>
      <c r="E9167" s="38" t="s">
        <v>268</v>
      </c>
      <c r="F9167" s="38" t="s">
        <v>252</v>
      </c>
      <c r="G9167" s="49" t="str">
        <f t="shared" si="1"/>
        <v>64220</v>
      </c>
      <c r="H9167" s="49">
        <f t="shared" si="2"/>
        <v>64066</v>
      </c>
    </row>
    <row r="9168">
      <c r="A9168" s="48" t="s">
        <v>2326</v>
      </c>
      <c r="B9168" s="38">
        <v>54155.0</v>
      </c>
      <c r="C9168" s="38" t="s">
        <v>12994</v>
      </c>
      <c r="D9168" s="38" t="str">
        <f>IFERROR(__xludf.DUMMYFUNCTION("REGEXREPLACE(C9168,""-\d+(.*)|--\d+(.*)"","""")"),"DEUXVILLE")</f>
        <v>DEUXVILLE</v>
      </c>
      <c r="E9168" s="38" t="s">
        <v>548</v>
      </c>
      <c r="F9168" s="38" t="s">
        <v>195</v>
      </c>
      <c r="G9168" s="49" t="str">
        <f t="shared" si="1"/>
        <v>54370</v>
      </c>
      <c r="H9168" s="49">
        <f t="shared" si="2"/>
        <v>54155</v>
      </c>
    </row>
    <row r="9169">
      <c r="A9169" s="48" t="s">
        <v>12995</v>
      </c>
      <c r="B9169" s="38">
        <v>18145.0</v>
      </c>
      <c r="C9169" s="38" t="s">
        <v>12996</v>
      </c>
      <c r="D9169" s="38" t="str">
        <f>IFERROR(__xludf.DUMMYFUNCTION("REGEXREPLACE(C9169,""-\d+(.*)|--\d+(.*)"","""")"),"MENETOU-SALON")</f>
        <v>MENETOU-SALON</v>
      </c>
      <c r="E9169" s="38" t="s">
        <v>504</v>
      </c>
      <c r="F9169" s="38" t="s">
        <v>123</v>
      </c>
      <c r="G9169" s="49" t="str">
        <f t="shared" si="1"/>
        <v>18510</v>
      </c>
      <c r="H9169" s="49">
        <f t="shared" si="2"/>
        <v>18145</v>
      </c>
    </row>
    <row r="9170">
      <c r="A9170" s="48" t="s">
        <v>849</v>
      </c>
      <c r="B9170" s="38">
        <v>51635.0</v>
      </c>
      <c r="C9170" s="38" t="s">
        <v>9306</v>
      </c>
      <c r="D9170" s="38" t="str">
        <f>IFERROR(__xludf.DUMMYFUNCTION("REGEXREPLACE(C9170,""-\d+(.*)|--\d+(.*)"","""")"),"VILLERS-LE-SEC")</f>
        <v>VILLERS-LE-SEC</v>
      </c>
      <c r="E9170" s="38" t="s">
        <v>129</v>
      </c>
      <c r="F9170" s="38" t="s">
        <v>130</v>
      </c>
      <c r="G9170" s="49" t="str">
        <f t="shared" si="1"/>
        <v>51250</v>
      </c>
      <c r="H9170" s="49">
        <f t="shared" si="2"/>
        <v>51635</v>
      </c>
    </row>
    <row r="9171">
      <c r="A9171" s="48" t="s">
        <v>12997</v>
      </c>
      <c r="B9171" s="38">
        <v>65121.0</v>
      </c>
      <c r="C9171" s="38" t="s">
        <v>12998</v>
      </c>
      <c r="D9171" s="38" t="str">
        <f>IFERROR(__xludf.DUMMYFUNCTION("REGEXREPLACE(C9171,""-\d+(.*)|--\d+(.*)"","""")"),"CAMALES")</f>
        <v>CAMALES</v>
      </c>
      <c r="E9171" s="38" t="s">
        <v>200</v>
      </c>
      <c r="F9171" s="38" t="s">
        <v>94</v>
      </c>
      <c r="G9171" s="49" t="str">
        <f t="shared" si="1"/>
        <v>65500</v>
      </c>
      <c r="H9171" s="49">
        <f t="shared" si="2"/>
        <v>65121</v>
      </c>
    </row>
    <row r="9172">
      <c r="A9172" s="48" t="s">
        <v>4123</v>
      </c>
      <c r="B9172" s="38">
        <v>60460.0</v>
      </c>
      <c r="C9172" s="38" t="s">
        <v>12999</v>
      </c>
      <c r="D9172" s="38" t="str">
        <f>IFERROR(__xludf.DUMMYFUNCTION("REGEXREPLACE(C9172,""-\d+(.*)|--\d+(.*)"","""")"),"LA NEUVILLE-VAULT")</f>
        <v>LA NEUVILLE-VAULT</v>
      </c>
      <c r="E9172" s="38" t="s">
        <v>112</v>
      </c>
      <c r="F9172" s="38" t="s">
        <v>113</v>
      </c>
      <c r="G9172" s="49" t="str">
        <f t="shared" si="1"/>
        <v>60112</v>
      </c>
      <c r="H9172" s="49">
        <f t="shared" si="2"/>
        <v>60460</v>
      </c>
    </row>
    <row r="9173">
      <c r="A9173" s="48" t="s">
        <v>960</v>
      </c>
      <c r="B9173" s="38">
        <v>28404.0</v>
      </c>
      <c r="C9173" s="38" t="s">
        <v>13000</v>
      </c>
      <c r="D9173" s="38" t="str">
        <f>IFERROR(__xludf.DUMMYFUNCTION("REGEXREPLACE(C9173,""-\d+(.*)|--\d+(.*)"","""")"),"VERNOUILLET")</f>
        <v>VERNOUILLET</v>
      </c>
      <c r="E9173" s="38" t="s">
        <v>300</v>
      </c>
      <c r="F9173" s="38" t="s">
        <v>123</v>
      </c>
      <c r="G9173" s="49" t="str">
        <f t="shared" si="1"/>
        <v>28500</v>
      </c>
      <c r="H9173" s="49">
        <f t="shared" si="2"/>
        <v>28404</v>
      </c>
    </row>
    <row r="9174">
      <c r="A9174" s="48" t="s">
        <v>7265</v>
      </c>
      <c r="B9174" s="38">
        <v>68182.0</v>
      </c>
      <c r="C9174" s="38" t="s">
        <v>13001</v>
      </c>
      <c r="D9174" s="38" t="str">
        <f>IFERROR(__xludf.DUMMYFUNCTION("REGEXREPLACE(C9174,""-\d+(.*)|--\d+(.*)"","""")"),"LEYMEN")</f>
        <v>LEYMEN</v>
      </c>
      <c r="E9174" s="38" t="s">
        <v>150</v>
      </c>
      <c r="F9174" s="38" t="s">
        <v>151</v>
      </c>
      <c r="G9174" s="49" t="str">
        <f t="shared" si="1"/>
        <v>68220</v>
      </c>
      <c r="H9174" s="49">
        <f t="shared" si="2"/>
        <v>68182</v>
      </c>
    </row>
    <row r="9175">
      <c r="A9175" s="48" t="s">
        <v>13002</v>
      </c>
      <c r="B9175" s="38">
        <v>62391.0</v>
      </c>
      <c r="C9175" s="38" t="s">
        <v>13003</v>
      </c>
      <c r="D9175" s="38" t="str">
        <f>IFERROR(__xludf.DUMMYFUNCTION("REGEXREPLACE(C9175,""-\d+(.*)|--\d+(.*)"","""")"),"GUARBECQUE")</f>
        <v>GUARBECQUE</v>
      </c>
      <c r="E9175" s="38" t="s">
        <v>109</v>
      </c>
      <c r="F9175" s="38" t="s">
        <v>86</v>
      </c>
      <c r="G9175" s="49" t="str">
        <f t="shared" si="1"/>
        <v>62330</v>
      </c>
      <c r="H9175" s="49">
        <f t="shared" si="2"/>
        <v>62391</v>
      </c>
    </row>
    <row r="9176">
      <c r="A9176" s="48" t="s">
        <v>6943</v>
      </c>
      <c r="B9176" s="38">
        <v>64023.0</v>
      </c>
      <c r="C9176" s="38" t="s">
        <v>13004</v>
      </c>
      <c r="D9176" s="38" t="str">
        <f>IFERROR(__xludf.DUMMYFUNCTION("REGEXREPLACE(C9176,""-\d+(.*)|--\d+(.*)"","""")"),"ANGAIS")</f>
        <v>ANGAIS</v>
      </c>
      <c r="E9176" s="38" t="s">
        <v>268</v>
      </c>
      <c r="F9176" s="38" t="s">
        <v>252</v>
      </c>
      <c r="G9176" s="49" t="str">
        <f t="shared" si="1"/>
        <v>64510</v>
      </c>
      <c r="H9176" s="49">
        <f t="shared" si="2"/>
        <v>64023</v>
      </c>
    </row>
    <row r="9177">
      <c r="A9177" s="48" t="s">
        <v>2194</v>
      </c>
      <c r="B9177" s="38">
        <v>38459.0</v>
      </c>
      <c r="C9177" s="38" t="s">
        <v>13005</v>
      </c>
      <c r="D9177" s="38" t="str">
        <f>IFERROR(__xludf.DUMMYFUNCTION("REGEXREPLACE(C9177,""-\d+(.*)|--\d+(.*)"","""")"),"SAINT-SORLIN-DE-VIENNE")</f>
        <v>SAINT-SORLIN-DE-VIENNE</v>
      </c>
      <c r="E9177" s="38" t="s">
        <v>101</v>
      </c>
      <c r="F9177" s="38" t="s">
        <v>102</v>
      </c>
      <c r="G9177" s="49" t="str">
        <f t="shared" si="1"/>
        <v>38200</v>
      </c>
      <c r="H9177" s="49">
        <f t="shared" si="2"/>
        <v>38459</v>
      </c>
    </row>
    <row r="9178">
      <c r="A9178" s="48" t="s">
        <v>13006</v>
      </c>
      <c r="B9178" s="38">
        <v>80706.0</v>
      </c>
      <c r="C9178" s="38" t="s">
        <v>13007</v>
      </c>
      <c r="D9178" s="38" t="str">
        <f>IFERROR(__xludf.DUMMYFUNCTION("REGEXREPLACE(C9178,""-\d+(.*)|--\d+(.*)"","""")"),"SAINT-LEGER-LES-DOMART")</f>
        <v>SAINT-LEGER-LES-DOMART</v>
      </c>
      <c r="E9178" s="38" t="s">
        <v>224</v>
      </c>
      <c r="F9178" s="38" t="s">
        <v>113</v>
      </c>
      <c r="G9178" s="49" t="str">
        <f t="shared" si="1"/>
        <v>80780</v>
      </c>
      <c r="H9178" s="49">
        <f t="shared" si="2"/>
        <v>80706</v>
      </c>
    </row>
    <row r="9179">
      <c r="A9179" s="48" t="s">
        <v>6875</v>
      </c>
      <c r="B9179" s="38">
        <v>2181.0</v>
      </c>
      <c r="C9179" s="38" t="s">
        <v>13008</v>
      </c>
      <c r="D9179" s="38" t="str">
        <f>IFERROR(__xludf.DUMMYFUNCTION("REGEXREPLACE(C9179,""-\d+(.*)|--\d+(.*)"","""")"),"CHERY-LES-ROZOY")</f>
        <v>CHERY-LES-ROZOY</v>
      </c>
      <c r="E9179" s="38" t="s">
        <v>191</v>
      </c>
      <c r="F9179" s="38" t="s">
        <v>113</v>
      </c>
      <c r="G9179" s="49" t="str">
        <f t="shared" si="1"/>
        <v>02360</v>
      </c>
      <c r="H9179" s="49" t="str">
        <f t="shared" si="2"/>
        <v>02181</v>
      </c>
    </row>
    <row r="9180">
      <c r="A9180" s="48" t="s">
        <v>10465</v>
      </c>
      <c r="B9180" s="38">
        <v>71440.0</v>
      </c>
      <c r="C9180" s="38" t="s">
        <v>13009</v>
      </c>
      <c r="D9180" s="38" t="str">
        <f>IFERROR(__xludf.DUMMYFUNCTION("REGEXREPLACE(C9180,""-\d+(.*)|--\d+(.*)"","""")"),"SAINT-LEGER-SOUS-BEUVRAY")</f>
        <v>SAINT-LEGER-SOUS-BEUVRAY</v>
      </c>
      <c r="E9180" s="38" t="s">
        <v>344</v>
      </c>
      <c r="F9180" s="38" t="s">
        <v>106</v>
      </c>
      <c r="G9180" s="49" t="str">
        <f t="shared" si="1"/>
        <v>71990</v>
      </c>
      <c r="H9180" s="49">
        <f t="shared" si="2"/>
        <v>71440</v>
      </c>
    </row>
    <row r="9181">
      <c r="A9181" s="48" t="s">
        <v>8892</v>
      </c>
      <c r="B9181" s="38">
        <v>60251.0</v>
      </c>
      <c r="C9181" s="38" t="s">
        <v>13010</v>
      </c>
      <c r="D9181" s="38" t="str">
        <f>IFERROR(__xludf.DUMMYFUNCTION("REGEXREPLACE(C9181,""-\d+(.*)|--\d+(.*)"","""")"),"FOUQUEROLLES")</f>
        <v>FOUQUEROLLES</v>
      </c>
      <c r="E9181" s="38" t="s">
        <v>112</v>
      </c>
      <c r="F9181" s="38" t="s">
        <v>113</v>
      </c>
      <c r="G9181" s="49" t="str">
        <f t="shared" si="1"/>
        <v>60510</v>
      </c>
      <c r="H9181" s="49">
        <f t="shared" si="2"/>
        <v>60251</v>
      </c>
    </row>
    <row r="9182">
      <c r="A9182" s="48" t="s">
        <v>9817</v>
      </c>
      <c r="B9182" s="38">
        <v>85271.0</v>
      </c>
      <c r="C9182" s="38" t="s">
        <v>13011</v>
      </c>
      <c r="D9182" s="38" t="str">
        <f>IFERROR(__xludf.DUMMYFUNCTION("REGEXREPLACE(C9182,""-\d+(.*)|--\d+(.*)"","""")"),"SAINT-SULPICE-EN-PAREDS")</f>
        <v>SAINT-SULPICE-EN-PAREDS</v>
      </c>
      <c r="E9182" s="38" t="s">
        <v>179</v>
      </c>
      <c r="F9182" s="38" t="s">
        <v>180</v>
      </c>
      <c r="G9182" s="49" t="str">
        <f t="shared" si="1"/>
        <v>85410</v>
      </c>
      <c r="H9182" s="49">
        <f t="shared" si="2"/>
        <v>85271</v>
      </c>
    </row>
    <row r="9183">
      <c r="A9183" s="48" t="s">
        <v>13012</v>
      </c>
      <c r="B9183" s="38">
        <v>68252.0</v>
      </c>
      <c r="C9183" s="38" t="s">
        <v>13013</v>
      </c>
      <c r="D9183" s="38" t="str">
        <f>IFERROR(__xludf.DUMMYFUNCTION("REGEXREPLACE(C9183,""-\d+(.*)|--\d+(.*)"","""")"),"OSTHEIM")</f>
        <v>OSTHEIM</v>
      </c>
      <c r="E9183" s="38" t="s">
        <v>150</v>
      </c>
      <c r="F9183" s="38" t="s">
        <v>151</v>
      </c>
      <c r="G9183" s="49" t="str">
        <f t="shared" si="1"/>
        <v>68150</v>
      </c>
      <c r="H9183" s="49">
        <f t="shared" si="2"/>
        <v>68252</v>
      </c>
    </row>
    <row r="9184">
      <c r="A9184" s="48" t="s">
        <v>1358</v>
      </c>
      <c r="B9184" s="38">
        <v>81296.0</v>
      </c>
      <c r="C9184" s="38" t="s">
        <v>13014</v>
      </c>
      <c r="D9184" s="38" t="str">
        <f>IFERROR(__xludf.DUMMYFUNCTION("REGEXREPLACE(C9184,""-\d+(.*)|--\d+(.*)"","""")"),"TERRE-CLAPIER")</f>
        <v>TERRE-CLAPIER</v>
      </c>
      <c r="E9184" s="38" t="s">
        <v>231</v>
      </c>
      <c r="F9184" s="38" t="s">
        <v>94</v>
      </c>
      <c r="G9184" s="49" t="str">
        <f t="shared" si="1"/>
        <v>81120</v>
      </c>
      <c r="H9184" s="49">
        <f t="shared" si="2"/>
        <v>81296</v>
      </c>
    </row>
    <row r="9185">
      <c r="A9185" s="48" t="s">
        <v>12491</v>
      </c>
      <c r="B9185" s="38">
        <v>21432.0</v>
      </c>
      <c r="C9185" s="38" t="s">
        <v>13015</v>
      </c>
      <c r="D9185" s="38" t="str">
        <f>IFERROR(__xludf.DUMMYFUNCTION("REGEXREPLACE(C9185,""-\d+(.*)|--\d+(.*)"","""")"),"MONTIGNY-SUR-AUBE")</f>
        <v>MONTIGNY-SUR-AUBE</v>
      </c>
      <c r="E9185" s="38" t="s">
        <v>105</v>
      </c>
      <c r="F9185" s="38" t="s">
        <v>106</v>
      </c>
      <c r="G9185" s="49" t="str">
        <f t="shared" si="1"/>
        <v>21520</v>
      </c>
      <c r="H9185" s="49">
        <f t="shared" si="2"/>
        <v>21432</v>
      </c>
    </row>
    <row r="9186">
      <c r="A9186" s="48" t="s">
        <v>2077</v>
      </c>
      <c r="B9186" s="38">
        <v>8162.0</v>
      </c>
      <c r="C9186" s="38" t="s">
        <v>13016</v>
      </c>
      <c r="D9186" s="38" t="str">
        <f>IFERROR(__xludf.DUMMYFUNCTION("REGEXREPLACE(C9186,""-\d+(.*)|--\d+(.*)"","""")"),"FAGNON")</f>
        <v>FAGNON</v>
      </c>
      <c r="E9186" s="38" t="s">
        <v>327</v>
      </c>
      <c r="F9186" s="38" t="s">
        <v>130</v>
      </c>
      <c r="G9186" s="49" t="str">
        <f t="shared" si="1"/>
        <v>08090</v>
      </c>
      <c r="H9186" s="49" t="str">
        <f t="shared" si="2"/>
        <v>08162</v>
      </c>
    </row>
    <row r="9187">
      <c r="A9187" s="48" t="s">
        <v>1679</v>
      </c>
      <c r="B9187" s="38">
        <v>51084.0</v>
      </c>
      <c r="C9187" s="38" t="s">
        <v>13017</v>
      </c>
      <c r="D9187" s="38" t="str">
        <f>IFERROR(__xludf.DUMMYFUNCTION("REGEXREPLACE(C9187,""-\d+(.*)|--\d+(.*)"","""")"),"BREBAN")</f>
        <v>BREBAN</v>
      </c>
      <c r="E9187" s="38" t="s">
        <v>129</v>
      </c>
      <c r="F9187" s="38" t="s">
        <v>130</v>
      </c>
      <c r="G9187" s="49" t="str">
        <f t="shared" si="1"/>
        <v>51320</v>
      </c>
      <c r="H9187" s="49">
        <f t="shared" si="2"/>
        <v>51084</v>
      </c>
    </row>
    <row r="9188">
      <c r="A9188" s="48" t="s">
        <v>10034</v>
      </c>
      <c r="B9188" s="38">
        <v>78262.0</v>
      </c>
      <c r="C9188" s="38" t="s">
        <v>13018</v>
      </c>
      <c r="D9188" s="38" t="str">
        <f>IFERROR(__xludf.DUMMYFUNCTION("REGEXREPLACE(C9188,""-\d+(.*)|--\d+(.*)"","""")"),"GALLUIS")</f>
        <v>GALLUIS</v>
      </c>
      <c r="E9188" s="38" t="s">
        <v>362</v>
      </c>
      <c r="F9188" s="38" t="s">
        <v>245</v>
      </c>
      <c r="G9188" s="49" t="str">
        <f t="shared" si="1"/>
        <v>78490</v>
      </c>
      <c r="H9188" s="49">
        <f t="shared" si="2"/>
        <v>78262</v>
      </c>
    </row>
    <row r="9189">
      <c r="A9189" s="48" t="s">
        <v>110</v>
      </c>
      <c r="B9189" s="38">
        <v>60097.0</v>
      </c>
      <c r="C9189" s="38" t="s">
        <v>13019</v>
      </c>
      <c r="D9189" s="38" t="str">
        <f>IFERROR(__xludf.DUMMYFUNCTION("REGEXREPLACE(C9189,""-\d+(.*)|--\d+(.*)"","""")"),"BOUTENCOURT")</f>
        <v>BOUTENCOURT</v>
      </c>
      <c r="E9189" s="38" t="s">
        <v>112</v>
      </c>
      <c r="F9189" s="38" t="s">
        <v>113</v>
      </c>
      <c r="G9189" s="49" t="str">
        <f t="shared" si="1"/>
        <v>60590</v>
      </c>
      <c r="H9189" s="49">
        <f t="shared" si="2"/>
        <v>60097</v>
      </c>
    </row>
    <row r="9190">
      <c r="A9190" s="48" t="s">
        <v>1056</v>
      </c>
      <c r="B9190" s="38">
        <v>11142.0</v>
      </c>
      <c r="C9190" s="38" t="s">
        <v>13020</v>
      </c>
      <c r="D9190" s="38" t="str">
        <f>IFERROR(__xludf.DUMMYFUNCTION("REGEXREPLACE(C9190,""-\d+(.*)|--\d+(.*)"","""")"),"FESTES-ET-SAINT-ANDRE")</f>
        <v>FESTES-ET-SAINT-ANDRE</v>
      </c>
      <c r="E9190" s="38" t="s">
        <v>278</v>
      </c>
      <c r="F9190" s="38" t="s">
        <v>119</v>
      </c>
      <c r="G9190" s="49" t="str">
        <f t="shared" si="1"/>
        <v>11300</v>
      </c>
      <c r="H9190" s="49">
        <f t="shared" si="2"/>
        <v>11142</v>
      </c>
    </row>
    <row r="9191">
      <c r="A9191" s="48" t="s">
        <v>13021</v>
      </c>
      <c r="B9191" s="38">
        <v>57015.0</v>
      </c>
      <c r="C9191" s="38" t="s">
        <v>13022</v>
      </c>
      <c r="D9191" s="38" t="str">
        <f>IFERROR(__xludf.DUMMYFUNCTION("REGEXREPLACE(C9191,""-\d+(.*)|--\d+(.*)"","""")"),"ALTVILLER")</f>
        <v>ALTVILLER</v>
      </c>
      <c r="E9191" s="38" t="s">
        <v>303</v>
      </c>
      <c r="F9191" s="38" t="s">
        <v>195</v>
      </c>
      <c r="G9191" s="49" t="str">
        <f t="shared" si="1"/>
        <v>57730</v>
      </c>
      <c r="H9191" s="49">
        <f t="shared" si="2"/>
        <v>57015</v>
      </c>
    </row>
    <row r="9192">
      <c r="A9192" s="48" t="s">
        <v>2406</v>
      </c>
      <c r="B9192" s="38">
        <v>55540.0</v>
      </c>
      <c r="C9192" s="38" t="s">
        <v>13023</v>
      </c>
      <c r="D9192" s="38" t="str">
        <f>IFERROR(__xludf.DUMMYFUNCTION("REGEXREPLACE(C9192,""-\d+(.*)|--\d+(.*)"","""")"),"VAUX-LES-PALAMEIX")</f>
        <v>VAUX-LES-PALAMEIX</v>
      </c>
      <c r="E9192" s="38" t="s">
        <v>322</v>
      </c>
      <c r="F9192" s="38" t="s">
        <v>195</v>
      </c>
      <c r="G9192" s="49" t="str">
        <f t="shared" si="1"/>
        <v>55300</v>
      </c>
      <c r="H9192" s="49">
        <f t="shared" si="2"/>
        <v>55540</v>
      </c>
    </row>
    <row r="9193">
      <c r="A9193" s="48" t="s">
        <v>5679</v>
      </c>
      <c r="B9193" s="38">
        <v>66230.0</v>
      </c>
      <c r="C9193" s="38" t="s">
        <v>13024</v>
      </c>
      <c r="D9193" s="38" t="str">
        <f>IFERROR(__xludf.DUMMYFUNCTION("REGEXREPLACE(C9193,""-\d+(.*)|--\d+(.*)"","""")"),"VINCA")</f>
        <v>VINCA</v>
      </c>
      <c r="E9193" s="38" t="s">
        <v>248</v>
      </c>
      <c r="F9193" s="38" t="s">
        <v>119</v>
      </c>
      <c r="G9193" s="49" t="str">
        <f t="shared" si="1"/>
        <v>66320</v>
      </c>
      <c r="H9193" s="49">
        <f t="shared" si="2"/>
        <v>66230</v>
      </c>
    </row>
    <row r="9194">
      <c r="A9194" s="48" t="s">
        <v>12547</v>
      </c>
      <c r="B9194" s="38">
        <v>60462.0</v>
      </c>
      <c r="C9194" s="38" t="s">
        <v>13025</v>
      </c>
      <c r="D9194" s="38" t="str">
        <f>IFERROR(__xludf.DUMMYFUNCTION("REGEXREPLACE(C9194,""-\d+(.*)|--\d+(.*)"","""")"),"NOAILLES")</f>
        <v>NOAILLES</v>
      </c>
      <c r="E9194" s="38" t="s">
        <v>112</v>
      </c>
      <c r="F9194" s="38" t="s">
        <v>113</v>
      </c>
      <c r="G9194" s="49" t="str">
        <f t="shared" si="1"/>
        <v>60430</v>
      </c>
      <c r="H9194" s="49">
        <f t="shared" si="2"/>
        <v>60462</v>
      </c>
    </row>
    <row r="9195">
      <c r="A9195" s="48" t="s">
        <v>9405</v>
      </c>
      <c r="B9195" s="38">
        <v>15202.0</v>
      </c>
      <c r="C9195" s="38" t="s">
        <v>13026</v>
      </c>
      <c r="D9195" s="38" t="str">
        <f>IFERROR(__xludf.DUMMYFUNCTION("REGEXREPLACE(C9195,""-\d+(.*)|--\d+(.*)"","""")"),"SAINT-MARTIN-VALMEROUX")</f>
        <v>SAINT-MARTIN-VALMEROUX</v>
      </c>
      <c r="E9195" s="38" t="s">
        <v>632</v>
      </c>
      <c r="F9195" s="38" t="s">
        <v>161</v>
      </c>
      <c r="G9195" s="49" t="str">
        <f t="shared" si="1"/>
        <v>15140</v>
      </c>
      <c r="H9195" s="49">
        <f t="shared" si="2"/>
        <v>15202</v>
      </c>
    </row>
    <row r="9196">
      <c r="A9196" s="48" t="s">
        <v>103</v>
      </c>
      <c r="B9196" s="38">
        <v>21554.0</v>
      </c>
      <c r="C9196" s="38" t="s">
        <v>13027</v>
      </c>
      <c r="D9196" s="38" t="str">
        <f>IFERROR(__xludf.DUMMYFUNCTION("REGEXREPLACE(C9196,""-\d+(.*)|--\d+(.*)"","""")"),"SAINT-JEAN-DE-LOSNE")</f>
        <v>SAINT-JEAN-DE-LOSNE</v>
      </c>
      <c r="E9196" s="38" t="s">
        <v>105</v>
      </c>
      <c r="F9196" s="38" t="s">
        <v>106</v>
      </c>
      <c r="G9196" s="49" t="str">
        <f t="shared" si="1"/>
        <v>21170</v>
      </c>
      <c r="H9196" s="49">
        <f t="shared" si="2"/>
        <v>21554</v>
      </c>
    </row>
    <row r="9197">
      <c r="A9197" s="48" t="s">
        <v>2326</v>
      </c>
      <c r="B9197" s="38">
        <v>54177.0</v>
      </c>
      <c r="C9197" s="38" t="s">
        <v>13028</v>
      </c>
      <c r="D9197" s="38" t="str">
        <f>IFERROR(__xludf.DUMMYFUNCTION("REGEXREPLACE(C9197,""-\d+(.*)|--\d+(.*)"","""")"),"EMBERMENIL")</f>
        <v>EMBERMENIL</v>
      </c>
      <c r="E9197" s="38" t="s">
        <v>548</v>
      </c>
      <c r="F9197" s="38" t="s">
        <v>195</v>
      </c>
      <c r="G9197" s="49" t="str">
        <f t="shared" si="1"/>
        <v>54370</v>
      </c>
      <c r="H9197" s="49">
        <f t="shared" si="2"/>
        <v>54177</v>
      </c>
    </row>
    <row r="9198">
      <c r="A9198" s="48" t="s">
        <v>4036</v>
      </c>
      <c r="B9198" s="38">
        <v>49067.0</v>
      </c>
      <c r="C9198" s="38" t="s">
        <v>13029</v>
      </c>
      <c r="D9198" s="38" t="str">
        <f>IFERROR(__xludf.DUMMYFUNCTION("REGEXREPLACE(C9198,""-\d+(.*)|--\d+(.*)"","""")"),"CHAMPTEUSSE-SUR-BACONNE")</f>
        <v>CHAMPTEUSSE-SUR-BACONNE</v>
      </c>
      <c r="E9198" s="38" t="s">
        <v>653</v>
      </c>
      <c r="F9198" s="38" t="s">
        <v>180</v>
      </c>
      <c r="G9198" s="49" t="str">
        <f t="shared" si="1"/>
        <v>49220</v>
      </c>
      <c r="H9198" s="49">
        <f t="shared" si="2"/>
        <v>49067</v>
      </c>
    </row>
    <row r="9199">
      <c r="A9199" s="48" t="s">
        <v>2734</v>
      </c>
      <c r="B9199" s="38">
        <v>89144.0</v>
      </c>
      <c r="C9199" s="38" t="s">
        <v>13030</v>
      </c>
      <c r="D9199" s="38" t="str">
        <f>IFERROR(__xludf.DUMMYFUNCTION("REGEXREPLACE(C9199,""-\d+(.*)|--\d+(.*)"","""")"),"DOMATS")</f>
        <v>DOMATS</v>
      </c>
      <c r="E9199" s="38" t="s">
        <v>275</v>
      </c>
      <c r="F9199" s="38" t="s">
        <v>106</v>
      </c>
      <c r="G9199" s="49" t="str">
        <f t="shared" si="1"/>
        <v>89150</v>
      </c>
      <c r="H9199" s="49">
        <f t="shared" si="2"/>
        <v>89144</v>
      </c>
    </row>
    <row r="9200">
      <c r="A9200" s="48" t="s">
        <v>591</v>
      </c>
      <c r="B9200" s="38">
        <v>85167.0</v>
      </c>
      <c r="C9200" s="38" t="s">
        <v>13031</v>
      </c>
      <c r="D9200" s="38" t="str">
        <f>IFERROR(__xludf.DUMMYFUNCTION("REGEXREPLACE(C9200,""-\d+(.*)|--\d+(.*)"","""")"),"L'ORBRIE")</f>
        <v>L'ORBRIE</v>
      </c>
      <c r="E9200" s="38" t="s">
        <v>179</v>
      </c>
      <c r="F9200" s="38" t="s">
        <v>180</v>
      </c>
      <c r="G9200" s="49" t="str">
        <f t="shared" si="1"/>
        <v>85200</v>
      </c>
      <c r="H9200" s="49">
        <f t="shared" si="2"/>
        <v>85167</v>
      </c>
    </row>
    <row r="9201">
      <c r="A9201" s="48" t="s">
        <v>3583</v>
      </c>
      <c r="B9201" s="38">
        <v>7215.0</v>
      </c>
      <c r="C9201" s="38" t="s">
        <v>13032</v>
      </c>
      <c r="D9201" s="38" t="str">
        <f>IFERROR(__xludf.DUMMYFUNCTION("REGEXREPLACE(C9201,""-\d+(.*)|--\d+(.*)"","""")"),"SAINT-BARTHELEMY-LE-MEIL")</f>
        <v>SAINT-BARTHELEMY-LE-MEIL</v>
      </c>
      <c r="E9201" s="38" t="s">
        <v>144</v>
      </c>
      <c r="F9201" s="38" t="s">
        <v>102</v>
      </c>
      <c r="G9201" s="49" t="str">
        <f t="shared" si="1"/>
        <v>07160</v>
      </c>
      <c r="H9201" s="49" t="str">
        <f t="shared" si="2"/>
        <v>07215</v>
      </c>
    </row>
    <row r="9202">
      <c r="A9202" s="48" t="s">
        <v>13033</v>
      </c>
      <c r="B9202" s="38">
        <v>38389.0</v>
      </c>
      <c r="C9202" s="38" t="s">
        <v>13034</v>
      </c>
      <c r="D9202" s="38" t="str">
        <f>IFERROR(__xludf.DUMMYFUNCTION("REGEXREPLACE(C9202,""-\d+(.*)|--\d+(.*)"","""")"),"SAINT-GEORGES-D'ESPERANCHE")</f>
        <v>SAINT-GEORGES-D'ESPERANCHE</v>
      </c>
      <c r="E9202" s="38" t="s">
        <v>101</v>
      </c>
      <c r="F9202" s="38" t="s">
        <v>102</v>
      </c>
      <c r="G9202" s="49" t="str">
        <f t="shared" si="1"/>
        <v>38790</v>
      </c>
      <c r="H9202" s="49">
        <f t="shared" si="2"/>
        <v>38389</v>
      </c>
    </row>
    <row r="9203">
      <c r="A9203" s="48" t="s">
        <v>1721</v>
      </c>
      <c r="B9203" s="38">
        <v>33337.0</v>
      </c>
      <c r="C9203" s="38" t="s">
        <v>13035</v>
      </c>
      <c r="D9203" s="38" t="str">
        <f>IFERROR(__xludf.DUMMYFUNCTION("REGEXREPLACE(C9203,""-\d+(.*)|--\d+(.*)"","""")"),"PREIGNAC")</f>
        <v>PREIGNAC</v>
      </c>
      <c r="E9203" s="38" t="s">
        <v>462</v>
      </c>
      <c r="F9203" s="38" t="s">
        <v>252</v>
      </c>
      <c r="G9203" s="49" t="str">
        <f t="shared" si="1"/>
        <v>33210</v>
      </c>
      <c r="H9203" s="49">
        <f t="shared" si="2"/>
        <v>33337</v>
      </c>
    </row>
    <row r="9204">
      <c r="A9204" s="48" t="s">
        <v>4706</v>
      </c>
      <c r="B9204" s="38">
        <v>74218.0</v>
      </c>
      <c r="C9204" s="38" t="s">
        <v>13036</v>
      </c>
      <c r="D9204" s="38" t="str">
        <f>IFERROR(__xludf.DUMMYFUNCTION("REGEXREPLACE(C9204,""-\d+(.*)|--\d+(.*)"","""")"),"PUBLIER")</f>
        <v>PUBLIER</v>
      </c>
      <c r="E9204" s="38" t="s">
        <v>319</v>
      </c>
      <c r="F9204" s="38" t="s">
        <v>102</v>
      </c>
      <c r="G9204" s="49" t="str">
        <f t="shared" si="1"/>
        <v>74500</v>
      </c>
      <c r="H9204" s="49">
        <f t="shared" si="2"/>
        <v>74218</v>
      </c>
    </row>
    <row r="9205">
      <c r="A9205" s="48" t="s">
        <v>5956</v>
      </c>
      <c r="B9205" s="38">
        <v>62205.0</v>
      </c>
      <c r="C9205" s="38" t="s">
        <v>13037</v>
      </c>
      <c r="D9205" s="38" t="str">
        <f>IFERROR(__xludf.DUMMYFUNCTION("REGEXREPLACE(C9205,""-\d+(.*)|--\d+(.*)"","""")"),"CAMPAGNE-LES-WARDRECQUES")</f>
        <v>CAMPAGNE-LES-WARDRECQUES</v>
      </c>
      <c r="E9205" s="38" t="s">
        <v>109</v>
      </c>
      <c r="F9205" s="38" t="s">
        <v>86</v>
      </c>
      <c r="G9205" s="49" t="str">
        <f t="shared" si="1"/>
        <v>62120</v>
      </c>
      <c r="H9205" s="49">
        <f t="shared" si="2"/>
        <v>62205</v>
      </c>
    </row>
    <row r="9206">
      <c r="A9206" s="48" t="s">
        <v>9152</v>
      </c>
      <c r="B9206" s="38">
        <v>37192.0</v>
      </c>
      <c r="C9206" s="38" t="s">
        <v>13038</v>
      </c>
      <c r="D9206" s="38" t="str">
        <f>IFERROR(__xludf.DUMMYFUNCTION("REGEXREPLACE(C9206,""-\d+(.*)|--\d+(.*)"","""")"),"REIGNAC-SUR-INDRE")</f>
        <v>REIGNAC-SUR-INDRE</v>
      </c>
      <c r="E9206" s="38" t="s">
        <v>205</v>
      </c>
      <c r="F9206" s="38" t="s">
        <v>123</v>
      </c>
      <c r="G9206" s="49" t="str">
        <f t="shared" si="1"/>
        <v>37310</v>
      </c>
      <c r="H9206" s="49">
        <f t="shared" si="2"/>
        <v>37192</v>
      </c>
    </row>
    <row r="9207">
      <c r="A9207" s="48" t="s">
        <v>2447</v>
      </c>
      <c r="B9207" s="38">
        <v>42274.0</v>
      </c>
      <c r="C9207" s="38" t="s">
        <v>13039</v>
      </c>
      <c r="D9207" s="38" t="str">
        <f>IFERROR(__xludf.DUMMYFUNCTION("REGEXREPLACE(C9207,""-\d+(.*)|--\d+(.*)"","""")"),"SAINT-POLGUES")</f>
        <v>SAINT-POLGUES</v>
      </c>
      <c r="E9207" s="38" t="s">
        <v>166</v>
      </c>
      <c r="F9207" s="38" t="s">
        <v>102</v>
      </c>
      <c r="G9207" s="49" t="str">
        <f t="shared" si="1"/>
        <v>42260</v>
      </c>
      <c r="H9207" s="49">
        <f t="shared" si="2"/>
        <v>42274</v>
      </c>
    </row>
    <row r="9208">
      <c r="A9208" s="48" t="s">
        <v>2393</v>
      </c>
      <c r="B9208" s="38">
        <v>38275.0</v>
      </c>
      <c r="C9208" s="38" t="s">
        <v>13040</v>
      </c>
      <c r="D9208" s="38" t="str">
        <f>IFERROR(__xludf.DUMMYFUNCTION("REGEXREPLACE(C9208,""-\d+(.*)|--\d+(.*)"","""")"),"SERRE-NERPOL")</f>
        <v>SERRE-NERPOL</v>
      </c>
      <c r="E9208" s="38" t="s">
        <v>101</v>
      </c>
      <c r="F9208" s="38" t="s">
        <v>102</v>
      </c>
      <c r="G9208" s="49" t="str">
        <f t="shared" si="1"/>
        <v>38470</v>
      </c>
      <c r="H9208" s="49">
        <f t="shared" si="2"/>
        <v>38275</v>
      </c>
    </row>
    <row r="9209">
      <c r="A9209" s="48" t="s">
        <v>13041</v>
      </c>
      <c r="B9209" s="38">
        <v>27025.0</v>
      </c>
      <c r="C9209" s="38" t="s">
        <v>13042</v>
      </c>
      <c r="D9209" s="38" t="str">
        <f>IFERROR(__xludf.DUMMYFUNCTION("REGEXREPLACE(C9209,""-\d+(.*)|--\d+(.*)"","""")"),"AUTHEUIL-AUTHOUILLET")</f>
        <v>AUTHEUIL-AUTHOUILLET</v>
      </c>
      <c r="E9209" s="38" t="s">
        <v>241</v>
      </c>
      <c r="F9209" s="38" t="s">
        <v>134</v>
      </c>
      <c r="G9209" s="49" t="str">
        <f t="shared" si="1"/>
        <v>27490</v>
      </c>
      <c r="H9209" s="49">
        <f t="shared" si="2"/>
        <v>27025</v>
      </c>
    </row>
    <row r="9210">
      <c r="A9210" s="48" t="s">
        <v>12495</v>
      </c>
      <c r="B9210" s="38">
        <v>38153.0</v>
      </c>
      <c r="C9210" s="38" t="s">
        <v>13043</v>
      </c>
      <c r="D9210" s="38" t="str">
        <f>IFERROR(__xludf.DUMMYFUNCTION("REGEXREPLACE(C9210,""-\d+(.*)|--\d+(.*)"","""")"),"ENGINS")</f>
        <v>ENGINS</v>
      </c>
      <c r="E9210" s="38" t="s">
        <v>101</v>
      </c>
      <c r="F9210" s="38" t="s">
        <v>102</v>
      </c>
      <c r="G9210" s="49" t="str">
        <f t="shared" si="1"/>
        <v>38360</v>
      </c>
      <c r="H9210" s="49">
        <f t="shared" si="2"/>
        <v>38153</v>
      </c>
    </row>
    <row r="9211">
      <c r="A9211" s="48" t="s">
        <v>5425</v>
      </c>
      <c r="B9211" s="38">
        <v>82165.0</v>
      </c>
      <c r="C9211" s="38" t="s">
        <v>1320</v>
      </c>
      <c r="D9211" s="38" t="str">
        <f>IFERROR(__xludf.DUMMYFUNCTION("REGEXREPLACE(C9211,""-\d+(.*)|--\d+(.*)"","""")"),"SAINT-LOUP")</f>
        <v>SAINT-LOUP</v>
      </c>
      <c r="E9211" s="38" t="s">
        <v>570</v>
      </c>
      <c r="F9211" s="38" t="s">
        <v>94</v>
      </c>
      <c r="G9211" s="49" t="str">
        <f t="shared" si="1"/>
        <v>82340</v>
      </c>
      <c r="H9211" s="49">
        <f t="shared" si="2"/>
        <v>82165</v>
      </c>
    </row>
    <row r="9212">
      <c r="A9212" s="48" t="s">
        <v>912</v>
      </c>
      <c r="B9212" s="38">
        <v>82140.0</v>
      </c>
      <c r="C9212" s="38" t="s">
        <v>13044</v>
      </c>
      <c r="D9212" s="38" t="str">
        <f>IFERROR(__xludf.DUMMYFUNCTION("REGEXREPLACE(C9212,""-\d+(.*)|--\d+(.*)"","""")"),"PIQUECOS")</f>
        <v>PIQUECOS</v>
      </c>
      <c r="E9212" s="38" t="s">
        <v>570</v>
      </c>
      <c r="F9212" s="38" t="s">
        <v>94</v>
      </c>
      <c r="G9212" s="49" t="str">
        <f t="shared" si="1"/>
        <v>82130</v>
      </c>
      <c r="H9212" s="49">
        <f t="shared" si="2"/>
        <v>82140</v>
      </c>
    </row>
    <row r="9213">
      <c r="A9213" s="48" t="s">
        <v>1850</v>
      </c>
      <c r="B9213" s="38">
        <v>48120.0</v>
      </c>
      <c r="C9213" s="38" t="s">
        <v>13045</v>
      </c>
      <c r="D9213" s="38" t="str">
        <f>IFERROR(__xludf.DUMMYFUNCTION("REGEXREPLACE(C9213,""-\d+(.*)|--\d+(.*)"","""")"),"PRINSUEJOLS")</f>
        <v>PRINSUEJOLS</v>
      </c>
      <c r="E9213" s="38" t="s">
        <v>154</v>
      </c>
      <c r="F9213" s="38" t="s">
        <v>119</v>
      </c>
      <c r="G9213" s="49" t="str">
        <f t="shared" si="1"/>
        <v>48100</v>
      </c>
      <c r="H9213" s="49">
        <f t="shared" si="2"/>
        <v>48120</v>
      </c>
    </row>
    <row r="9214">
      <c r="A9214" s="48" t="s">
        <v>13046</v>
      </c>
      <c r="B9214" s="38">
        <v>68028.0</v>
      </c>
      <c r="C9214" s="38" t="s">
        <v>13047</v>
      </c>
      <c r="D9214" s="38" t="str">
        <f>IFERROR(__xludf.DUMMYFUNCTION("REGEXREPLACE(C9214,""-\d+(.*)|--\d+(.*)"","""")"),"BERGHEIM")</f>
        <v>BERGHEIM</v>
      </c>
      <c r="E9214" s="38" t="s">
        <v>150</v>
      </c>
      <c r="F9214" s="38" t="s">
        <v>151</v>
      </c>
      <c r="G9214" s="49" t="str">
        <f t="shared" si="1"/>
        <v>68750</v>
      </c>
      <c r="H9214" s="49">
        <f t="shared" si="2"/>
        <v>68028</v>
      </c>
    </row>
    <row r="9215">
      <c r="A9215" s="48" t="s">
        <v>13048</v>
      </c>
      <c r="B9215" s="38">
        <v>77282.0</v>
      </c>
      <c r="C9215" s="38" t="s">
        <v>13049</v>
      </c>
      <c r="D9215" s="38" t="str">
        <f>IFERROR(__xludf.DUMMYFUNCTION("REGEXREPLACE(C9215,""-\d+(.*)|--\d+(.*)"","""")"),"MAUREGARD")</f>
        <v>MAUREGARD</v>
      </c>
      <c r="E9215" s="38" t="s">
        <v>244</v>
      </c>
      <c r="F9215" s="38" t="s">
        <v>245</v>
      </c>
      <c r="G9215" s="49" t="str">
        <f t="shared" si="1"/>
        <v>77990</v>
      </c>
      <c r="H9215" s="49">
        <f t="shared" si="2"/>
        <v>77282</v>
      </c>
    </row>
    <row r="9216">
      <c r="A9216" s="48" t="s">
        <v>9168</v>
      </c>
      <c r="B9216" s="38">
        <v>71276.0</v>
      </c>
      <c r="C9216" s="38" t="s">
        <v>13050</v>
      </c>
      <c r="D9216" s="38" t="str">
        <f>IFERROR(__xludf.DUMMYFUNCTION("REGEXREPLACE(C9216,""-\d+(.*)|--\d+(.*)"","""")"),"MARCILLY-LA-GUEURCE")</f>
        <v>MARCILLY-LA-GUEURCE</v>
      </c>
      <c r="E9216" s="38" t="s">
        <v>344</v>
      </c>
      <c r="F9216" s="38" t="s">
        <v>106</v>
      </c>
      <c r="G9216" s="49" t="str">
        <f t="shared" si="1"/>
        <v>71120</v>
      </c>
      <c r="H9216" s="49">
        <f t="shared" si="2"/>
        <v>71276</v>
      </c>
    </row>
    <row r="9217">
      <c r="A9217" s="48" t="s">
        <v>470</v>
      </c>
      <c r="B9217" s="38">
        <v>8331.0</v>
      </c>
      <c r="C9217" s="38" t="s">
        <v>13051</v>
      </c>
      <c r="D9217" s="38" t="str">
        <f>IFERROR(__xludf.DUMMYFUNCTION("REGEXREPLACE(C9217,""-\d+(.*)|--\d+(.*)"","""")"),"NOYERS-PONT-MAUGIS")</f>
        <v>NOYERS-PONT-MAUGIS</v>
      </c>
      <c r="E9217" s="38" t="s">
        <v>327</v>
      </c>
      <c r="F9217" s="38" t="s">
        <v>130</v>
      </c>
      <c r="G9217" s="49" t="str">
        <f t="shared" si="1"/>
        <v>08350</v>
      </c>
      <c r="H9217" s="49" t="str">
        <f t="shared" si="2"/>
        <v>08331</v>
      </c>
    </row>
    <row r="9218">
      <c r="A9218" s="48" t="s">
        <v>6308</v>
      </c>
      <c r="B9218" s="38">
        <v>62195.0</v>
      </c>
      <c r="C9218" s="38" t="s">
        <v>13052</v>
      </c>
      <c r="D9218" s="38" t="str">
        <f>IFERROR(__xludf.DUMMYFUNCTION("REGEXREPLACE(C9218,""-\d+(.*)|--\d+(.*)"","""")"),"CALONNE-SUR-LA-LYS")</f>
        <v>CALONNE-SUR-LA-LYS</v>
      </c>
      <c r="E9218" s="38" t="s">
        <v>109</v>
      </c>
      <c r="F9218" s="38" t="s">
        <v>86</v>
      </c>
      <c r="G9218" s="49" t="str">
        <f t="shared" si="1"/>
        <v>62350</v>
      </c>
      <c r="H9218" s="49">
        <f t="shared" si="2"/>
        <v>62195</v>
      </c>
    </row>
    <row r="9219">
      <c r="A9219" s="48" t="s">
        <v>3109</v>
      </c>
      <c r="B9219" s="38">
        <v>9147.0</v>
      </c>
      <c r="C9219" s="38" t="s">
        <v>5399</v>
      </c>
      <c r="D9219" s="38" t="str">
        <f>IFERROR(__xludf.DUMMYFUNCTION("REGEXREPLACE(C9219,""-\d+(.*)|--\d+(.*)"","""")"),"LABATUT")</f>
        <v>LABATUT</v>
      </c>
      <c r="E9219" s="38" t="s">
        <v>238</v>
      </c>
      <c r="F9219" s="38" t="s">
        <v>94</v>
      </c>
      <c r="G9219" s="49" t="str">
        <f t="shared" si="1"/>
        <v>09700</v>
      </c>
      <c r="H9219" s="49" t="str">
        <f t="shared" si="2"/>
        <v>09147</v>
      </c>
    </row>
    <row r="9220">
      <c r="A9220" s="48" t="s">
        <v>13053</v>
      </c>
      <c r="B9220" s="38">
        <v>38352.0</v>
      </c>
      <c r="C9220" s="38" t="s">
        <v>13054</v>
      </c>
      <c r="D9220" s="38" t="str">
        <f>IFERROR(__xludf.DUMMYFUNCTION("REGEXREPLACE(C9220,""-\d+(.*)|--\d+(.*)"","""")"),"SAINT-ALBAN-DE-ROCHE")</f>
        <v>SAINT-ALBAN-DE-ROCHE</v>
      </c>
      <c r="E9220" s="38" t="s">
        <v>101</v>
      </c>
      <c r="F9220" s="38" t="s">
        <v>102</v>
      </c>
      <c r="G9220" s="49" t="str">
        <f t="shared" si="1"/>
        <v>38080</v>
      </c>
      <c r="H9220" s="49">
        <f t="shared" si="2"/>
        <v>38352</v>
      </c>
    </row>
    <row r="9221">
      <c r="A9221" s="48" t="s">
        <v>6383</v>
      </c>
      <c r="B9221" s="38">
        <v>42229.0</v>
      </c>
      <c r="C9221" s="38" t="s">
        <v>13055</v>
      </c>
      <c r="D9221" s="38" t="str">
        <f>IFERROR(__xludf.DUMMYFUNCTION("REGEXREPLACE(C9221,""-\d+(.*)|--\d+(.*)"","""")"),"SAINT-GERMAIN-LA-MONTAGNE")</f>
        <v>SAINT-GERMAIN-LA-MONTAGNE</v>
      </c>
      <c r="E9221" s="38" t="s">
        <v>166</v>
      </c>
      <c r="F9221" s="38" t="s">
        <v>102</v>
      </c>
      <c r="G9221" s="49" t="str">
        <f t="shared" si="1"/>
        <v>42670</v>
      </c>
      <c r="H9221" s="49">
        <f t="shared" si="2"/>
        <v>42229</v>
      </c>
    </row>
    <row r="9222">
      <c r="A9222" s="48" t="s">
        <v>3812</v>
      </c>
      <c r="B9222" s="38">
        <v>71305.0</v>
      </c>
      <c r="C9222" s="38" t="s">
        <v>13056</v>
      </c>
      <c r="D9222" s="38" t="str">
        <f>IFERROR(__xludf.DUMMYFUNCTION("REGEXREPLACE(C9222,""-\d+(.*)|--\d+(.*)"","""")"),"MONTBELLET")</f>
        <v>MONTBELLET</v>
      </c>
      <c r="E9222" s="38" t="s">
        <v>344</v>
      </c>
      <c r="F9222" s="38" t="s">
        <v>106</v>
      </c>
      <c r="G9222" s="49" t="str">
        <f t="shared" si="1"/>
        <v>71260</v>
      </c>
      <c r="H9222" s="49">
        <f t="shared" si="2"/>
        <v>71305</v>
      </c>
    </row>
    <row r="9223">
      <c r="A9223" s="48" t="s">
        <v>13057</v>
      </c>
      <c r="B9223" s="38">
        <v>58214.0</v>
      </c>
      <c r="C9223" s="38" t="s">
        <v>13058</v>
      </c>
      <c r="D9223" s="38" t="str">
        <f>IFERROR(__xludf.DUMMYFUNCTION("REGEXREPLACE(C9223,""-\d+(.*)|--\d+(.*)"","""")"),"POUGUES-LES-EAUX")</f>
        <v>POUGUES-LES-EAUX</v>
      </c>
      <c r="E9223" s="38" t="s">
        <v>219</v>
      </c>
      <c r="F9223" s="38" t="s">
        <v>106</v>
      </c>
      <c r="G9223" s="49" t="str">
        <f t="shared" si="1"/>
        <v>58320</v>
      </c>
      <c r="H9223" s="49">
        <f t="shared" si="2"/>
        <v>58214</v>
      </c>
    </row>
    <row r="9224">
      <c r="A9224" s="48" t="s">
        <v>1276</v>
      </c>
      <c r="B9224" s="38">
        <v>64192.0</v>
      </c>
      <c r="C9224" s="38" t="s">
        <v>13059</v>
      </c>
      <c r="D9224" s="38" t="str">
        <f>IFERROR(__xludf.DUMMYFUNCTION("REGEXREPLACE(C9224,""-\d+(.*)|--\d+(.*)"","""")"),"CONCHEZ-DE-BEARN")</f>
        <v>CONCHEZ-DE-BEARN</v>
      </c>
      <c r="E9224" s="38" t="s">
        <v>268</v>
      </c>
      <c r="F9224" s="38" t="s">
        <v>252</v>
      </c>
      <c r="G9224" s="49" t="str">
        <f t="shared" si="1"/>
        <v>64330</v>
      </c>
      <c r="H9224" s="49">
        <f t="shared" si="2"/>
        <v>64192</v>
      </c>
    </row>
    <row r="9225">
      <c r="A9225" s="48" t="s">
        <v>13060</v>
      </c>
      <c r="B9225" s="38">
        <v>45138.0</v>
      </c>
      <c r="C9225" s="38" t="s">
        <v>13061</v>
      </c>
      <c r="D9225" s="38" t="str">
        <f>IFERROR(__xludf.DUMMYFUNCTION("REGEXREPLACE(C9225,""-\d+(.*)|--\d+(.*)"","""")"),"ESCRIGNELLES")</f>
        <v>ESCRIGNELLES</v>
      </c>
      <c r="E9225" s="38" t="s">
        <v>122</v>
      </c>
      <c r="F9225" s="38" t="s">
        <v>123</v>
      </c>
      <c r="G9225" s="49" t="str">
        <f t="shared" si="1"/>
        <v>45250</v>
      </c>
      <c r="H9225" s="49">
        <f t="shared" si="2"/>
        <v>45138</v>
      </c>
    </row>
    <row r="9226">
      <c r="A9226" s="48" t="s">
        <v>5753</v>
      </c>
      <c r="B9226" s="38">
        <v>72354.0</v>
      </c>
      <c r="C9226" s="38" t="s">
        <v>13062</v>
      </c>
      <c r="D9226" s="38" t="str">
        <f>IFERROR(__xludf.DUMMYFUNCTION("REGEXREPLACE(C9226,""-\d+(.*)|--\d+(.*)"","""")"),"THOIGNE")</f>
        <v>THOIGNE</v>
      </c>
      <c r="E9226" s="38" t="s">
        <v>521</v>
      </c>
      <c r="F9226" s="38" t="s">
        <v>180</v>
      </c>
      <c r="G9226" s="49" t="str">
        <f t="shared" si="1"/>
        <v>72260</v>
      </c>
      <c r="H9226" s="49">
        <f t="shared" si="2"/>
        <v>72354</v>
      </c>
    </row>
    <row r="9227">
      <c r="A9227" s="48" t="s">
        <v>626</v>
      </c>
      <c r="B9227" s="38">
        <v>31383.0</v>
      </c>
      <c r="C9227" s="38" t="s">
        <v>13063</v>
      </c>
      <c r="D9227" s="38" t="str">
        <f>IFERROR(__xludf.DUMMYFUNCTION("REGEXREPLACE(C9227,""-\d+(.*)|--\d+(.*)"","""")"),"MONTJOIRE")</f>
        <v>MONTJOIRE</v>
      </c>
      <c r="E9227" s="38" t="s">
        <v>93</v>
      </c>
      <c r="F9227" s="38" t="s">
        <v>94</v>
      </c>
      <c r="G9227" s="49" t="str">
        <f t="shared" si="1"/>
        <v>31380</v>
      </c>
      <c r="H9227" s="49">
        <f t="shared" si="2"/>
        <v>31383</v>
      </c>
    </row>
    <row r="9228">
      <c r="A9228" s="48" t="s">
        <v>4388</v>
      </c>
      <c r="B9228" s="38">
        <v>31530.0</v>
      </c>
      <c r="C9228" s="38" t="s">
        <v>13064</v>
      </c>
      <c r="D9228" s="38" t="str">
        <f>IFERROR(__xludf.DUMMYFUNCTION("REGEXREPLACE(C9228,""-\d+(.*)|--\d+(.*)"","""")"),"SANA")</f>
        <v>SANA</v>
      </c>
      <c r="E9228" s="38" t="s">
        <v>93</v>
      </c>
      <c r="F9228" s="38" t="s">
        <v>94</v>
      </c>
      <c r="G9228" s="49" t="str">
        <f t="shared" si="1"/>
        <v>31220</v>
      </c>
      <c r="H9228" s="49">
        <f t="shared" si="2"/>
        <v>31530</v>
      </c>
    </row>
    <row r="9229">
      <c r="A9229" s="48" t="s">
        <v>8523</v>
      </c>
      <c r="B9229" s="38">
        <v>9020.0</v>
      </c>
      <c r="C9229" s="38" t="s">
        <v>8725</v>
      </c>
      <c r="D9229" s="38" t="str">
        <f>IFERROR(__xludf.DUMMYFUNCTION("REGEXREPLACE(C9229,""-\d+(.*)|--\d+(.*)"","""")"),"ARTIGUES")</f>
        <v>ARTIGUES</v>
      </c>
      <c r="E9229" s="38" t="s">
        <v>238</v>
      </c>
      <c r="F9229" s="38" t="s">
        <v>94</v>
      </c>
      <c r="G9229" s="49" t="str">
        <f t="shared" si="1"/>
        <v>09460</v>
      </c>
      <c r="H9229" s="49" t="str">
        <f t="shared" si="2"/>
        <v>09020</v>
      </c>
    </row>
    <row r="9230">
      <c r="A9230" s="48" t="s">
        <v>1681</v>
      </c>
      <c r="B9230" s="38">
        <v>80561.0</v>
      </c>
      <c r="C9230" s="38" t="s">
        <v>8133</v>
      </c>
      <c r="D9230" s="38" t="str">
        <f>IFERROR(__xludf.DUMMYFUNCTION("REGEXREPLACE(C9230,""-\d+(.*)|--\d+(.*)"","""")"),"MONTDIDIER")</f>
        <v>MONTDIDIER</v>
      </c>
      <c r="E9230" s="38" t="s">
        <v>224</v>
      </c>
      <c r="F9230" s="38" t="s">
        <v>113</v>
      </c>
      <c r="G9230" s="49" t="str">
        <f t="shared" si="1"/>
        <v>80500</v>
      </c>
      <c r="H9230" s="49">
        <f t="shared" si="2"/>
        <v>80561</v>
      </c>
    </row>
    <row r="9231">
      <c r="A9231" s="48" t="s">
        <v>715</v>
      </c>
      <c r="B9231" s="38">
        <v>88122.0</v>
      </c>
      <c r="C9231" s="38" t="s">
        <v>13065</v>
      </c>
      <c r="D9231" s="38" t="str">
        <f>IFERROR(__xludf.DUMMYFUNCTION("REGEXREPLACE(C9231,""-\d+(.*)|--\d+(.*)"","""")"),"DAMAS-ET-BETTEGNEY")</f>
        <v>DAMAS-ET-BETTEGNEY</v>
      </c>
      <c r="E9231" s="38" t="s">
        <v>194</v>
      </c>
      <c r="F9231" s="38" t="s">
        <v>195</v>
      </c>
      <c r="G9231" s="49" t="str">
        <f t="shared" si="1"/>
        <v>88270</v>
      </c>
      <c r="H9231" s="49">
        <f t="shared" si="2"/>
        <v>88122</v>
      </c>
    </row>
    <row r="9232">
      <c r="A9232" s="48" t="s">
        <v>9587</v>
      </c>
      <c r="B9232" s="38">
        <v>67277.0</v>
      </c>
      <c r="C9232" s="38" t="s">
        <v>13066</v>
      </c>
      <c r="D9232" s="38" t="str">
        <f>IFERROR(__xludf.DUMMYFUNCTION("REGEXREPLACE(C9232,""-\d+(.*)|--\d+(.*)"","""")"),"MACKENHEIM")</f>
        <v>MACKENHEIM</v>
      </c>
      <c r="E9232" s="38" t="s">
        <v>210</v>
      </c>
      <c r="F9232" s="38" t="s">
        <v>151</v>
      </c>
      <c r="G9232" s="49" t="str">
        <f t="shared" si="1"/>
        <v>67390</v>
      </c>
      <c r="H9232" s="49">
        <f t="shared" si="2"/>
        <v>67277</v>
      </c>
    </row>
    <row r="9233">
      <c r="A9233" s="48" t="s">
        <v>3653</v>
      </c>
      <c r="B9233" s="38">
        <v>61460.0</v>
      </c>
      <c r="C9233" s="38" t="s">
        <v>13067</v>
      </c>
      <c r="D9233" s="38" t="str">
        <f>IFERROR(__xludf.DUMMYFUNCTION("REGEXREPLACE(C9233,""-\d+(.*)|--\d+(.*)"","""")"),"LE SAP")</f>
        <v>LE SAP</v>
      </c>
      <c r="E9233" s="38" t="s">
        <v>141</v>
      </c>
      <c r="F9233" s="38" t="s">
        <v>138</v>
      </c>
      <c r="G9233" s="49" t="str">
        <f t="shared" si="1"/>
        <v>61470</v>
      </c>
      <c r="H9233" s="49">
        <f t="shared" si="2"/>
        <v>61460</v>
      </c>
    </row>
    <row r="9234">
      <c r="A9234" s="48" t="s">
        <v>7073</v>
      </c>
      <c r="B9234" s="38">
        <v>38525.0</v>
      </c>
      <c r="C9234" s="38" t="s">
        <v>13068</v>
      </c>
      <c r="D9234" s="38" t="str">
        <f>IFERROR(__xludf.DUMMYFUNCTION("REGEXREPLACE(C9234,""-\d+(.*)|--\d+(.*)"","""")"),"VASSELIN")</f>
        <v>VASSELIN</v>
      </c>
      <c r="E9234" s="38" t="s">
        <v>101</v>
      </c>
      <c r="F9234" s="38" t="s">
        <v>102</v>
      </c>
      <c r="G9234" s="49" t="str">
        <f t="shared" si="1"/>
        <v>38890</v>
      </c>
      <c r="H9234" s="49">
        <f t="shared" si="2"/>
        <v>38525</v>
      </c>
    </row>
    <row r="9235">
      <c r="A9235" s="48" t="s">
        <v>5866</v>
      </c>
      <c r="B9235" s="38">
        <v>33209.0</v>
      </c>
      <c r="C9235" s="38" t="s">
        <v>13069</v>
      </c>
      <c r="D9235" s="38" t="str">
        <f>IFERROR(__xludf.DUMMYFUNCTION("REGEXREPLACE(C9235,""-\d+(.*)|--\d+(.*)"","""")"),"JUGAZAN")</f>
        <v>JUGAZAN</v>
      </c>
      <c r="E9235" s="38" t="s">
        <v>462</v>
      </c>
      <c r="F9235" s="38" t="s">
        <v>252</v>
      </c>
      <c r="G9235" s="49" t="str">
        <f t="shared" si="1"/>
        <v>33420</v>
      </c>
      <c r="H9235" s="49">
        <f t="shared" si="2"/>
        <v>33209</v>
      </c>
    </row>
    <row r="9236">
      <c r="A9236" s="48" t="s">
        <v>794</v>
      </c>
      <c r="B9236" s="38">
        <v>60183.0</v>
      </c>
      <c r="C9236" s="38" t="s">
        <v>13070</v>
      </c>
      <c r="D9236" s="38" t="str">
        <f>IFERROR(__xludf.DUMMYFUNCTION("REGEXREPLACE(C9236,""-\d+(.*)|--\d+(.*)"","""")"),"CROISSY-SUR-CELLE")</f>
        <v>CROISSY-SUR-CELLE</v>
      </c>
      <c r="E9236" s="38" t="s">
        <v>112</v>
      </c>
      <c r="F9236" s="38" t="s">
        <v>113</v>
      </c>
      <c r="G9236" s="49" t="str">
        <f t="shared" si="1"/>
        <v>60120</v>
      </c>
      <c r="H9236" s="49">
        <f t="shared" si="2"/>
        <v>60183</v>
      </c>
    </row>
    <row r="9237">
      <c r="A9237" s="48" t="s">
        <v>9781</v>
      </c>
      <c r="B9237" s="38">
        <v>19004.0</v>
      </c>
      <c r="C9237" s="38" t="s">
        <v>13071</v>
      </c>
      <c r="D9237" s="38" t="str">
        <f>IFERROR(__xludf.DUMMYFUNCTION("REGEXREPLACE(C9237,""-\d+(.*)|--\d+(.*)"","""")"),"ALBUSSAC")</f>
        <v>ALBUSSAC</v>
      </c>
      <c r="E9237" s="38" t="s">
        <v>271</v>
      </c>
      <c r="F9237" s="38" t="s">
        <v>98</v>
      </c>
      <c r="G9237" s="49" t="str">
        <f t="shared" si="1"/>
        <v>19380</v>
      </c>
      <c r="H9237" s="49">
        <f t="shared" si="2"/>
        <v>19004</v>
      </c>
    </row>
    <row r="9238">
      <c r="A9238" s="48" t="s">
        <v>704</v>
      </c>
      <c r="B9238" s="38">
        <v>5106.0</v>
      </c>
      <c r="C9238" s="38" t="s">
        <v>9277</v>
      </c>
      <c r="D9238" s="38" t="str">
        <f>IFERROR(__xludf.DUMMYFUNCTION("REGEXREPLACE(C9238,""-\d+(.*)|--\d+(.*)"","""")"),"PRUNIERES")</f>
        <v>PRUNIERES</v>
      </c>
      <c r="E9238" s="38" t="s">
        <v>706</v>
      </c>
      <c r="F9238" s="38" t="s">
        <v>228</v>
      </c>
      <c r="G9238" s="49" t="str">
        <f t="shared" si="1"/>
        <v>05230</v>
      </c>
      <c r="H9238" s="49" t="str">
        <f t="shared" si="2"/>
        <v>05106</v>
      </c>
    </row>
    <row r="9239">
      <c r="A9239" s="48" t="s">
        <v>719</v>
      </c>
      <c r="B9239" s="38">
        <v>8503.0</v>
      </c>
      <c r="C9239" s="38" t="s">
        <v>13072</v>
      </c>
      <c r="D9239" s="38" t="str">
        <f>IFERROR(__xludf.DUMMYFUNCTION("REGEXREPLACE(C9239,""-\d+(.*)|--\d+(.*)"","""")"),"YVERNAUMONT")</f>
        <v>YVERNAUMONT</v>
      </c>
      <c r="E9239" s="38" t="s">
        <v>327</v>
      </c>
      <c r="F9239" s="38" t="s">
        <v>130</v>
      </c>
      <c r="G9239" s="49" t="str">
        <f t="shared" si="1"/>
        <v>08430</v>
      </c>
      <c r="H9239" s="49" t="str">
        <f t="shared" si="2"/>
        <v>08503</v>
      </c>
    </row>
    <row r="9240">
      <c r="A9240" s="48" t="s">
        <v>3532</v>
      </c>
      <c r="B9240" s="38">
        <v>2648.0</v>
      </c>
      <c r="C9240" s="38" t="s">
        <v>13073</v>
      </c>
      <c r="D9240" s="38" t="str">
        <f>IFERROR(__xludf.DUMMYFUNCTION("REGEXREPLACE(C9240,""-\d+(.*)|--\d+(.*)"","""")"),"RIBEMONT")</f>
        <v>RIBEMONT</v>
      </c>
      <c r="E9240" s="38" t="s">
        <v>191</v>
      </c>
      <c r="F9240" s="38" t="s">
        <v>113</v>
      </c>
      <c r="G9240" s="49" t="str">
        <f t="shared" si="1"/>
        <v>02240</v>
      </c>
      <c r="H9240" s="49" t="str">
        <f t="shared" si="2"/>
        <v>02648</v>
      </c>
    </row>
    <row r="9241">
      <c r="A9241" s="48" t="s">
        <v>2047</v>
      </c>
      <c r="B9241" s="38">
        <v>62326.0</v>
      </c>
      <c r="C9241" s="38" t="s">
        <v>13074</v>
      </c>
      <c r="D9241" s="38" t="str">
        <f>IFERROR(__xludf.DUMMYFUNCTION("REGEXREPLACE(C9241,""-\d+(.*)|--\d+(.*)"","""")"),"FAVREUIL")</f>
        <v>FAVREUIL</v>
      </c>
      <c r="E9241" s="38" t="s">
        <v>109</v>
      </c>
      <c r="F9241" s="38" t="s">
        <v>86</v>
      </c>
      <c r="G9241" s="49" t="str">
        <f t="shared" si="1"/>
        <v>62450</v>
      </c>
      <c r="H9241" s="49">
        <f t="shared" si="2"/>
        <v>62326</v>
      </c>
    </row>
    <row r="9242">
      <c r="A9242" s="48" t="s">
        <v>13075</v>
      </c>
      <c r="B9242" s="38">
        <v>85088.0</v>
      </c>
      <c r="C9242" s="38" t="s">
        <v>13076</v>
      </c>
      <c r="D9242" s="38" t="str">
        <f>IFERROR(__xludf.DUMMYFUNCTION("REGEXREPLACE(C9242,""-\d+(.*)|--\d+(.*)"","""")"),"LE FENOUILLER")</f>
        <v>LE FENOUILLER</v>
      </c>
      <c r="E9242" s="38" t="s">
        <v>179</v>
      </c>
      <c r="F9242" s="38" t="s">
        <v>180</v>
      </c>
      <c r="G9242" s="49" t="str">
        <f t="shared" si="1"/>
        <v>85800</v>
      </c>
      <c r="H9242" s="49">
        <f t="shared" si="2"/>
        <v>85088</v>
      </c>
    </row>
    <row r="9243">
      <c r="A9243" s="48" t="s">
        <v>13077</v>
      </c>
      <c r="B9243" s="38">
        <v>3005.0</v>
      </c>
      <c r="C9243" s="38" t="s">
        <v>13078</v>
      </c>
      <c r="D9243" s="38" t="str">
        <f>IFERROR(__xludf.DUMMYFUNCTION("REGEXREPLACE(C9243,""-\d+(.*)|--\d+(.*)"","""")"),"ARCHIGNAT")</f>
        <v>ARCHIGNAT</v>
      </c>
      <c r="E9243" s="38" t="s">
        <v>160</v>
      </c>
      <c r="F9243" s="38" t="s">
        <v>161</v>
      </c>
      <c r="G9243" s="49" t="str">
        <f t="shared" si="1"/>
        <v>03380</v>
      </c>
      <c r="H9243" s="49" t="str">
        <f t="shared" si="2"/>
        <v>03005</v>
      </c>
    </row>
    <row r="9244">
      <c r="A9244" s="48" t="s">
        <v>4455</v>
      </c>
      <c r="B9244" s="38">
        <v>1371.0</v>
      </c>
      <c r="C9244" s="38" t="s">
        <v>7456</v>
      </c>
      <c r="D9244" s="38" t="str">
        <f>IFERROR(__xludf.DUMMYFUNCTION("REGEXREPLACE(C9244,""-\d+(.*)|--\d+(.*)"","""")"),"SAINT-MARCEL")</f>
        <v>SAINT-MARCEL</v>
      </c>
      <c r="E9244" s="38" t="s">
        <v>255</v>
      </c>
      <c r="F9244" s="38" t="s">
        <v>102</v>
      </c>
      <c r="G9244" s="49" t="str">
        <f t="shared" si="1"/>
        <v>01390</v>
      </c>
      <c r="H9244" s="49" t="str">
        <f t="shared" si="2"/>
        <v>01371</v>
      </c>
    </row>
    <row r="9245">
      <c r="A9245" s="48" t="s">
        <v>1585</v>
      </c>
      <c r="B9245" s="38">
        <v>12276.0</v>
      </c>
      <c r="C9245" s="38" t="s">
        <v>13079</v>
      </c>
      <c r="D9245" s="38" t="str">
        <f>IFERROR(__xludf.DUMMYFUNCTION("REGEXREPLACE(C9245,""-\d+(.*)|--\d+(.*)"","""")"),"TAURIAC-DE-NAUCELLE")</f>
        <v>TAURIAC-DE-NAUCELLE</v>
      </c>
      <c r="E9245" s="38" t="s">
        <v>465</v>
      </c>
      <c r="F9245" s="38" t="s">
        <v>94</v>
      </c>
      <c r="G9245" s="49" t="str">
        <f t="shared" si="1"/>
        <v>12800</v>
      </c>
      <c r="H9245" s="49">
        <f t="shared" si="2"/>
        <v>12276</v>
      </c>
    </row>
    <row r="9246">
      <c r="A9246" s="48" t="s">
        <v>13080</v>
      </c>
      <c r="B9246" s="38">
        <v>71149.0</v>
      </c>
      <c r="C9246" s="38" t="s">
        <v>13081</v>
      </c>
      <c r="D9246" s="38" t="str">
        <f>IFERROR(__xludf.DUMMYFUNCTION("REGEXREPLACE(C9246,""-\d+(.*)|--\d+(.*)"","""")"),"COUCHES")</f>
        <v>COUCHES</v>
      </c>
      <c r="E9246" s="38" t="s">
        <v>344</v>
      </c>
      <c r="F9246" s="38" t="s">
        <v>106</v>
      </c>
      <c r="G9246" s="49" t="str">
        <f t="shared" si="1"/>
        <v>71490</v>
      </c>
      <c r="H9246" s="49">
        <f t="shared" si="2"/>
        <v>71149</v>
      </c>
    </row>
    <row r="9247">
      <c r="A9247" s="48" t="s">
        <v>773</v>
      </c>
      <c r="B9247" s="38">
        <v>27254.0</v>
      </c>
      <c r="C9247" s="38" t="s">
        <v>13082</v>
      </c>
      <c r="D9247" s="38" t="str">
        <f>IFERROR(__xludf.DUMMYFUNCTION("REGEXREPLACE(C9247,""-\d+(.*)|--\d+(.*)"","""")"),"FONTAINE-SOUS-JOUY")</f>
        <v>FONTAINE-SOUS-JOUY</v>
      </c>
      <c r="E9247" s="38" t="s">
        <v>241</v>
      </c>
      <c r="F9247" s="38" t="s">
        <v>134</v>
      </c>
      <c r="G9247" s="49" t="str">
        <f t="shared" si="1"/>
        <v>27120</v>
      </c>
      <c r="H9247" s="49">
        <f t="shared" si="2"/>
        <v>27254</v>
      </c>
    </row>
    <row r="9248">
      <c r="A9248" s="48" t="s">
        <v>8508</v>
      </c>
      <c r="B9248" s="38">
        <v>87139.0</v>
      </c>
      <c r="C9248" s="38" t="s">
        <v>13083</v>
      </c>
      <c r="D9248" s="38" t="str">
        <f>IFERROR(__xludf.DUMMYFUNCTION("REGEXREPLACE(C9248,""-\d+(.*)|--\d+(.*)"","""")"),"SAINT-BONNET-DE-BELLAC")</f>
        <v>SAINT-BONNET-DE-BELLAC</v>
      </c>
      <c r="E9248" s="38" t="s">
        <v>897</v>
      </c>
      <c r="F9248" s="38" t="s">
        <v>98</v>
      </c>
      <c r="G9248" s="49" t="str">
        <f t="shared" si="1"/>
        <v>87300</v>
      </c>
      <c r="H9248" s="49">
        <f t="shared" si="2"/>
        <v>87139</v>
      </c>
    </row>
    <row r="9249">
      <c r="A9249" s="48" t="s">
        <v>2406</v>
      </c>
      <c r="B9249" s="38">
        <v>55444.0</v>
      </c>
      <c r="C9249" s="38" t="s">
        <v>13084</v>
      </c>
      <c r="D9249" s="38" t="str">
        <f>IFERROR(__xludf.DUMMYFUNCTION("REGEXREPLACE(C9249,""-\d+(.*)|--\d+(.*)"","""")"),"ROUVROIS-SUR-MEUSE")</f>
        <v>ROUVROIS-SUR-MEUSE</v>
      </c>
      <c r="E9249" s="38" t="s">
        <v>322</v>
      </c>
      <c r="F9249" s="38" t="s">
        <v>195</v>
      </c>
      <c r="G9249" s="49" t="str">
        <f t="shared" si="1"/>
        <v>55300</v>
      </c>
      <c r="H9249" s="49">
        <f t="shared" si="2"/>
        <v>55444</v>
      </c>
    </row>
    <row r="9250">
      <c r="A9250" s="48" t="s">
        <v>2989</v>
      </c>
      <c r="B9250" s="38">
        <v>70088.0</v>
      </c>
      <c r="C9250" s="38" t="s">
        <v>13085</v>
      </c>
      <c r="D9250" s="38" t="str">
        <f>IFERROR(__xludf.DUMMYFUNCTION("REGEXREPLACE(C9250,""-\d+(.*)|--\d+(.*)"","""")"),"BOURGUIGNON-LES-LA-CHARITE")</f>
        <v>BOURGUIGNON-LES-LA-CHARITE</v>
      </c>
      <c r="E9250" s="38" t="s">
        <v>956</v>
      </c>
      <c r="F9250" s="38" t="s">
        <v>214</v>
      </c>
      <c r="G9250" s="49" t="str">
        <f t="shared" si="1"/>
        <v>70190</v>
      </c>
      <c r="H9250" s="49">
        <f t="shared" si="2"/>
        <v>70088</v>
      </c>
    </row>
    <row r="9251">
      <c r="A9251" s="48" t="s">
        <v>307</v>
      </c>
      <c r="B9251" s="38">
        <v>88265.0</v>
      </c>
      <c r="C9251" s="38" t="s">
        <v>13086</v>
      </c>
      <c r="D9251" s="38" t="str">
        <f>IFERROR(__xludf.DUMMYFUNCTION("REGEXREPLACE(C9251,""-\d+(.*)|--\d+(.*)"","""")"),"LEMMECOURT")</f>
        <v>LEMMECOURT</v>
      </c>
      <c r="E9251" s="38" t="s">
        <v>194</v>
      </c>
      <c r="F9251" s="38" t="s">
        <v>195</v>
      </c>
      <c r="G9251" s="49" t="str">
        <f t="shared" si="1"/>
        <v>88300</v>
      </c>
      <c r="H9251" s="49">
        <f t="shared" si="2"/>
        <v>88265</v>
      </c>
    </row>
    <row r="9252">
      <c r="A9252" s="48" t="s">
        <v>3368</v>
      </c>
      <c r="B9252" s="38">
        <v>61347.0</v>
      </c>
      <c r="C9252" s="38" t="s">
        <v>13087</v>
      </c>
      <c r="D9252" s="38" t="str">
        <f>IFERROR(__xludf.DUMMYFUNCTION("REGEXREPLACE(C9252,""-\d+(.*)|--\d+(.*)"","""")"),"RESENLIEU")</f>
        <v>RESENLIEU</v>
      </c>
      <c r="E9252" s="38" t="s">
        <v>141</v>
      </c>
      <c r="F9252" s="38" t="s">
        <v>138</v>
      </c>
      <c r="G9252" s="49" t="str">
        <f t="shared" si="1"/>
        <v>61230</v>
      </c>
      <c r="H9252" s="49">
        <f t="shared" si="2"/>
        <v>61347</v>
      </c>
    </row>
    <row r="9253">
      <c r="A9253" s="48" t="s">
        <v>4803</v>
      </c>
      <c r="B9253" s="38">
        <v>33333.0</v>
      </c>
      <c r="C9253" s="38" t="s">
        <v>13088</v>
      </c>
      <c r="D9253" s="38" t="str">
        <f>IFERROR(__xludf.DUMMYFUNCTION("REGEXREPLACE(C9253,""-\d+(.*)|--\d+(.*)"","""")"),"LE PORGE")</f>
        <v>LE PORGE</v>
      </c>
      <c r="E9253" s="38" t="s">
        <v>462</v>
      </c>
      <c r="F9253" s="38" t="s">
        <v>252</v>
      </c>
      <c r="G9253" s="49" t="str">
        <f t="shared" si="1"/>
        <v>33680</v>
      </c>
      <c r="H9253" s="49">
        <f t="shared" si="2"/>
        <v>33333</v>
      </c>
    </row>
    <row r="9254">
      <c r="A9254" s="48" t="s">
        <v>13089</v>
      </c>
      <c r="B9254" s="38">
        <v>42026.0</v>
      </c>
      <c r="C9254" s="38" t="s">
        <v>13090</v>
      </c>
      <c r="D9254" s="38" t="str">
        <f>IFERROR(__xludf.DUMMYFUNCTION("REGEXREPLACE(C9254,""-\d+(.*)|--\d+(.*)"","""")"),"BRIENNON")</f>
        <v>BRIENNON</v>
      </c>
      <c r="E9254" s="38" t="s">
        <v>166</v>
      </c>
      <c r="F9254" s="38" t="s">
        <v>102</v>
      </c>
      <c r="G9254" s="49" t="str">
        <f t="shared" si="1"/>
        <v>42720</v>
      </c>
      <c r="H9254" s="49">
        <f t="shared" si="2"/>
        <v>42026</v>
      </c>
    </row>
    <row r="9255">
      <c r="A9255" s="48" t="s">
        <v>13091</v>
      </c>
      <c r="B9255" s="38">
        <v>38169.0</v>
      </c>
      <c r="C9255" s="38" t="s">
        <v>13092</v>
      </c>
      <c r="D9255" s="38" t="str">
        <f>IFERROR(__xludf.DUMMYFUNCTION("REGEXREPLACE(C9255,""-\d+(.*)|--\d+(.*)"","""")"),"FONTAINE")</f>
        <v>FONTAINE</v>
      </c>
      <c r="E9255" s="38" t="s">
        <v>101</v>
      </c>
      <c r="F9255" s="38" t="s">
        <v>102</v>
      </c>
      <c r="G9255" s="49" t="str">
        <f t="shared" si="1"/>
        <v>38600</v>
      </c>
      <c r="H9255" s="49">
        <f t="shared" si="2"/>
        <v>38169</v>
      </c>
    </row>
    <row r="9256">
      <c r="A9256" s="48" t="s">
        <v>2162</v>
      </c>
      <c r="B9256" s="38">
        <v>26249.0</v>
      </c>
      <c r="C9256" s="38" t="s">
        <v>13093</v>
      </c>
      <c r="D9256" s="38" t="str">
        <f>IFERROR(__xludf.DUMMYFUNCTION("REGEXREPLACE(C9256,""-\d+(.*)|--\d+(.*)"","""")"),"PONT-DE-BARRET")</f>
        <v>PONT-DE-BARRET</v>
      </c>
      <c r="E9256" s="38" t="s">
        <v>126</v>
      </c>
      <c r="F9256" s="38" t="s">
        <v>102</v>
      </c>
      <c r="G9256" s="49" t="str">
        <f t="shared" si="1"/>
        <v>26160</v>
      </c>
      <c r="H9256" s="49">
        <f t="shared" si="2"/>
        <v>26249</v>
      </c>
    </row>
    <row r="9257">
      <c r="A9257" s="48" t="s">
        <v>13094</v>
      </c>
      <c r="B9257" s="38">
        <v>56075.0</v>
      </c>
      <c r="C9257" s="38" t="s">
        <v>13095</v>
      </c>
      <c r="D9257" s="38" t="str">
        <f>IFERROR(__xludf.DUMMYFUNCTION("REGEXREPLACE(C9257,""-\d+(.*)|--\d+(.*)"","""")"),"GUER")</f>
        <v>GUER</v>
      </c>
      <c r="E9257" s="38" t="s">
        <v>173</v>
      </c>
      <c r="F9257" s="38" t="s">
        <v>90</v>
      </c>
      <c r="G9257" s="49" t="str">
        <f t="shared" si="1"/>
        <v>56380</v>
      </c>
      <c r="H9257" s="49">
        <f t="shared" si="2"/>
        <v>56075</v>
      </c>
    </row>
    <row r="9258">
      <c r="A9258" s="48" t="s">
        <v>12083</v>
      </c>
      <c r="B9258" s="38">
        <v>26206.0</v>
      </c>
      <c r="C9258" s="38" t="s">
        <v>13096</v>
      </c>
      <c r="D9258" s="38" t="str">
        <f>IFERROR(__xludf.DUMMYFUNCTION("REGEXREPLACE(C9258,""-\d+(.*)|--\d+(.*)"","""")"),"MONTMEYRAN")</f>
        <v>MONTMEYRAN</v>
      </c>
      <c r="E9258" s="38" t="s">
        <v>126</v>
      </c>
      <c r="F9258" s="38" t="s">
        <v>102</v>
      </c>
      <c r="G9258" s="49" t="str">
        <f t="shared" si="1"/>
        <v>26120</v>
      </c>
      <c r="H9258" s="49">
        <f t="shared" si="2"/>
        <v>26206</v>
      </c>
    </row>
    <row r="9259">
      <c r="A9259" s="48" t="s">
        <v>13097</v>
      </c>
      <c r="B9259" s="38">
        <v>40307.0</v>
      </c>
      <c r="C9259" s="38" t="s">
        <v>13098</v>
      </c>
      <c r="D9259" s="38" t="str">
        <f>IFERROR(__xludf.DUMMYFUNCTION("REGEXREPLACE(C9259,""-\d+(.*)|--\d+(.*)"","""")"),"SORE")</f>
        <v>SORE</v>
      </c>
      <c r="E9259" s="38" t="s">
        <v>281</v>
      </c>
      <c r="F9259" s="38" t="s">
        <v>252</v>
      </c>
      <c r="G9259" s="49" t="str">
        <f t="shared" si="1"/>
        <v>40430</v>
      </c>
      <c r="H9259" s="49">
        <f t="shared" si="2"/>
        <v>40307</v>
      </c>
    </row>
    <row r="9260">
      <c r="A9260" s="48" t="s">
        <v>13099</v>
      </c>
      <c r="B9260" s="38">
        <v>83021.0</v>
      </c>
      <c r="C9260" s="38" t="s">
        <v>13100</v>
      </c>
      <c r="D9260" s="38" t="str">
        <f>IFERROR(__xludf.DUMMYFUNCTION("REGEXREPLACE(C9260,""-\d+(.*)|--\d+(.*)"","""")"),"BRAS")</f>
        <v>BRAS</v>
      </c>
      <c r="E9260" s="38" t="s">
        <v>813</v>
      </c>
      <c r="F9260" s="38" t="s">
        <v>228</v>
      </c>
      <c r="G9260" s="49" t="str">
        <f t="shared" si="1"/>
        <v>83149</v>
      </c>
      <c r="H9260" s="49">
        <f t="shared" si="2"/>
        <v>83021</v>
      </c>
    </row>
    <row r="9261">
      <c r="A9261" s="48" t="s">
        <v>12136</v>
      </c>
      <c r="B9261" s="38">
        <v>3009.0</v>
      </c>
      <c r="C9261" s="38" t="s">
        <v>8395</v>
      </c>
      <c r="D9261" s="38" t="str">
        <f>IFERROR(__xludf.DUMMYFUNCTION("REGEXREPLACE(C9261,""-\d+(.*)|--\d+(.*)"","""")"),"AUBIGNY")</f>
        <v>AUBIGNY</v>
      </c>
      <c r="E9261" s="38" t="s">
        <v>160</v>
      </c>
      <c r="F9261" s="38" t="s">
        <v>161</v>
      </c>
      <c r="G9261" s="49" t="str">
        <f t="shared" si="1"/>
        <v>03460</v>
      </c>
      <c r="H9261" s="49" t="str">
        <f t="shared" si="2"/>
        <v>03009</v>
      </c>
    </row>
    <row r="9262">
      <c r="A9262" s="48" t="s">
        <v>2457</v>
      </c>
      <c r="B9262" s="38">
        <v>17327.0</v>
      </c>
      <c r="C9262" s="38" t="s">
        <v>7139</v>
      </c>
      <c r="D9262" s="38" t="str">
        <f>IFERROR(__xludf.DUMMYFUNCTION("REGEXREPLACE(C9262,""-\d+(.*)|--\d+(.*)"","""")"),"SAINT-FELIX")</f>
        <v>SAINT-FELIX</v>
      </c>
      <c r="E9262" s="38" t="s">
        <v>488</v>
      </c>
      <c r="F9262" s="38" t="s">
        <v>338</v>
      </c>
      <c r="G9262" s="49" t="str">
        <f t="shared" si="1"/>
        <v>17330</v>
      </c>
      <c r="H9262" s="49">
        <f t="shared" si="2"/>
        <v>17327</v>
      </c>
    </row>
    <row r="9263">
      <c r="A9263" s="48" t="s">
        <v>1864</v>
      </c>
      <c r="B9263" s="38">
        <v>70005.0</v>
      </c>
      <c r="C9263" s="38" t="s">
        <v>13101</v>
      </c>
      <c r="D9263" s="38" t="str">
        <f>IFERROR(__xludf.DUMMYFUNCTION("REGEXREPLACE(C9263,""-\d+(.*)|--\d+(.*)"","""")"),"AILLEVANS")</f>
        <v>AILLEVANS</v>
      </c>
      <c r="E9263" s="38" t="s">
        <v>956</v>
      </c>
      <c r="F9263" s="38" t="s">
        <v>214</v>
      </c>
      <c r="G9263" s="49" t="str">
        <f t="shared" si="1"/>
        <v>70110</v>
      </c>
      <c r="H9263" s="49">
        <f t="shared" si="2"/>
        <v>70005</v>
      </c>
    </row>
    <row r="9264">
      <c r="A9264" s="48" t="s">
        <v>4375</v>
      </c>
      <c r="B9264" s="38">
        <v>27434.0</v>
      </c>
      <c r="C9264" s="38" t="s">
        <v>13102</v>
      </c>
      <c r="D9264" s="38" t="str">
        <f>IFERROR(__xludf.DUMMYFUNCTION("REGEXREPLACE(C9264,""-\d+(.*)|--\d+(.*)"","""")"),"NOARDS")</f>
        <v>NOARDS</v>
      </c>
      <c r="E9264" s="38" t="s">
        <v>241</v>
      </c>
      <c r="F9264" s="38" t="s">
        <v>134</v>
      </c>
      <c r="G9264" s="49" t="str">
        <f t="shared" si="1"/>
        <v>27560</v>
      </c>
      <c r="H9264" s="49">
        <f t="shared" si="2"/>
        <v>27434</v>
      </c>
    </row>
    <row r="9265">
      <c r="A9265" s="48" t="s">
        <v>5532</v>
      </c>
      <c r="B9265" s="38">
        <v>30218.0</v>
      </c>
      <c r="C9265" s="38" t="s">
        <v>8822</v>
      </c>
      <c r="D9265" s="38" t="str">
        <f>IFERROR(__xludf.DUMMYFUNCTION("REGEXREPLACE(C9265,""-\d+(.*)|--\d+(.*)"","""")"),"ROCHEGUDE")</f>
        <v>ROCHEGUDE</v>
      </c>
      <c r="E9265" s="38" t="s">
        <v>526</v>
      </c>
      <c r="F9265" s="38" t="s">
        <v>119</v>
      </c>
      <c r="G9265" s="49" t="str">
        <f t="shared" si="1"/>
        <v>30430</v>
      </c>
      <c r="H9265" s="49">
        <f t="shared" si="2"/>
        <v>30218</v>
      </c>
    </row>
    <row r="9266">
      <c r="A9266" s="48" t="s">
        <v>8414</v>
      </c>
      <c r="B9266" s="38">
        <v>60495.0</v>
      </c>
      <c r="C9266" s="38" t="s">
        <v>13103</v>
      </c>
      <c r="D9266" s="38" t="str">
        <f>IFERROR(__xludf.DUMMYFUNCTION("REGEXREPLACE(C9266,""-\d+(.*)|--\d+(.*)"","""")"),"PLAINVAL")</f>
        <v>PLAINVAL</v>
      </c>
      <c r="E9266" s="38" t="s">
        <v>112</v>
      </c>
      <c r="F9266" s="38" t="s">
        <v>113</v>
      </c>
      <c r="G9266" s="49" t="str">
        <f t="shared" si="1"/>
        <v>60130</v>
      </c>
      <c r="H9266" s="49">
        <f t="shared" si="2"/>
        <v>60495</v>
      </c>
    </row>
    <row r="9267">
      <c r="A9267" s="48" t="s">
        <v>4030</v>
      </c>
      <c r="B9267" s="38">
        <v>16239.0</v>
      </c>
      <c r="C9267" s="38" t="s">
        <v>13104</v>
      </c>
      <c r="D9267" s="38" t="str">
        <f>IFERROR(__xludf.DUMMYFUNCTION("REGEXREPLACE(C9267,""-\d+(.*)|--\d+(.*)"","""")"),"MOUZON")</f>
        <v>MOUZON</v>
      </c>
      <c r="E9267" s="38" t="s">
        <v>429</v>
      </c>
      <c r="F9267" s="38" t="s">
        <v>338</v>
      </c>
      <c r="G9267" s="49" t="str">
        <f t="shared" si="1"/>
        <v>16310</v>
      </c>
      <c r="H9267" s="49">
        <f t="shared" si="2"/>
        <v>16239</v>
      </c>
    </row>
    <row r="9268">
      <c r="A9268" s="48" t="s">
        <v>3163</v>
      </c>
      <c r="B9268" s="38">
        <v>28190.0</v>
      </c>
      <c r="C9268" s="38" t="s">
        <v>13105</v>
      </c>
      <c r="D9268" s="38" t="str">
        <f>IFERROR(__xludf.DUMMYFUNCTION("REGEXREPLACE(C9268,""-\d+(.*)|--\d+(.*)"","""")"),"GUILLONVILLE")</f>
        <v>GUILLONVILLE</v>
      </c>
      <c r="E9268" s="38" t="s">
        <v>300</v>
      </c>
      <c r="F9268" s="38" t="s">
        <v>123</v>
      </c>
      <c r="G9268" s="49" t="str">
        <f t="shared" si="1"/>
        <v>28140</v>
      </c>
      <c r="H9268" s="49">
        <f t="shared" si="2"/>
        <v>28190</v>
      </c>
    </row>
    <row r="9269">
      <c r="A9269" s="48" t="s">
        <v>13106</v>
      </c>
      <c r="B9269" s="38">
        <v>88270.0</v>
      </c>
      <c r="C9269" s="38" t="s">
        <v>13107</v>
      </c>
      <c r="D9269" s="38" t="str">
        <f>IFERROR(__xludf.DUMMYFUNCTION("REGEXREPLACE(C9269,""-\d+(.*)|--\d+(.*)"","""")"),"LIFFOL-LE-GRAND")</f>
        <v>LIFFOL-LE-GRAND</v>
      </c>
      <c r="E9269" s="38" t="s">
        <v>194</v>
      </c>
      <c r="F9269" s="38" t="s">
        <v>195</v>
      </c>
      <c r="G9269" s="49" t="str">
        <f t="shared" si="1"/>
        <v>88350</v>
      </c>
      <c r="H9269" s="49">
        <f t="shared" si="2"/>
        <v>88270</v>
      </c>
    </row>
    <row r="9270">
      <c r="A9270" s="48" t="s">
        <v>13108</v>
      </c>
      <c r="B9270" s="38">
        <v>11269.0</v>
      </c>
      <c r="C9270" s="38" t="s">
        <v>13109</v>
      </c>
      <c r="D9270" s="38" t="str">
        <f>IFERROR(__xludf.DUMMYFUNCTION("REGEXREPLACE(C9270,""-\d+(.*)|--\d+(.*)"","""")"),"OUVEILLAN")</f>
        <v>OUVEILLAN</v>
      </c>
      <c r="E9270" s="38" t="s">
        <v>278</v>
      </c>
      <c r="F9270" s="38" t="s">
        <v>119</v>
      </c>
      <c r="G9270" s="49" t="str">
        <f t="shared" si="1"/>
        <v>11590</v>
      </c>
      <c r="H9270" s="49">
        <f t="shared" si="2"/>
        <v>11269</v>
      </c>
    </row>
    <row r="9271">
      <c r="A9271" s="48" t="s">
        <v>1018</v>
      </c>
      <c r="B9271" s="38">
        <v>60144.0</v>
      </c>
      <c r="C9271" s="38" t="s">
        <v>13110</v>
      </c>
      <c r="D9271" s="38" t="str">
        <f>IFERROR(__xludf.DUMMYFUNCTION("REGEXREPLACE(C9271,""-\d+(.*)|--\d+(.*)"","""")"),"CHAVENCON")</f>
        <v>CHAVENCON</v>
      </c>
      <c r="E9271" s="38" t="s">
        <v>112</v>
      </c>
      <c r="F9271" s="38" t="s">
        <v>113</v>
      </c>
      <c r="G9271" s="49" t="str">
        <f t="shared" si="1"/>
        <v>60240</v>
      </c>
      <c r="H9271" s="49">
        <f t="shared" si="2"/>
        <v>60144</v>
      </c>
    </row>
    <row r="9272">
      <c r="A9272" s="48" t="s">
        <v>626</v>
      </c>
      <c r="B9272" s="38">
        <v>31049.0</v>
      </c>
      <c r="C9272" s="38" t="s">
        <v>13111</v>
      </c>
      <c r="D9272" s="38" t="str">
        <f>IFERROR(__xludf.DUMMYFUNCTION("REGEXREPLACE(C9272,""-\d+(.*)|--\d+(.*)"","""")"),"BAZUS")</f>
        <v>BAZUS</v>
      </c>
      <c r="E9272" s="38" t="s">
        <v>93</v>
      </c>
      <c r="F9272" s="38" t="s">
        <v>94</v>
      </c>
      <c r="G9272" s="49" t="str">
        <f t="shared" si="1"/>
        <v>31380</v>
      </c>
      <c r="H9272" s="49">
        <f t="shared" si="2"/>
        <v>31049</v>
      </c>
    </row>
    <row r="9273">
      <c r="A9273" s="48" t="s">
        <v>13112</v>
      </c>
      <c r="B9273" s="38">
        <v>40242.0</v>
      </c>
      <c r="C9273" s="38" t="s">
        <v>13113</v>
      </c>
      <c r="D9273" s="38" t="str">
        <f>IFERROR(__xludf.DUMMYFUNCTION("REGEXREPLACE(C9273,""-\d+(.*)|--\d+(.*)"","""")"),"RIMBEZ-ET-BAUDIETS")</f>
        <v>RIMBEZ-ET-BAUDIETS</v>
      </c>
      <c r="E9273" s="38" t="s">
        <v>281</v>
      </c>
      <c r="F9273" s="38" t="s">
        <v>252</v>
      </c>
      <c r="G9273" s="49" t="str">
        <f t="shared" si="1"/>
        <v>40310</v>
      </c>
      <c r="H9273" s="49">
        <f t="shared" si="2"/>
        <v>40242</v>
      </c>
    </row>
    <row r="9274">
      <c r="A9274" s="48" t="s">
        <v>13114</v>
      </c>
      <c r="B9274" s="38">
        <v>14318.0</v>
      </c>
      <c r="C9274" s="38" t="s">
        <v>13115</v>
      </c>
      <c r="D9274" s="38" t="str">
        <f>IFERROR(__xludf.DUMMYFUNCTION("REGEXREPLACE(C9274,""-\d+(.*)|--\d+(.*)"","""")"),"GRAYE-SUR-MER")</f>
        <v>GRAYE-SUR-MER</v>
      </c>
      <c r="E9274" s="38" t="s">
        <v>137</v>
      </c>
      <c r="F9274" s="38" t="s">
        <v>138</v>
      </c>
      <c r="G9274" s="49" t="str">
        <f t="shared" si="1"/>
        <v>14470</v>
      </c>
      <c r="H9274" s="49">
        <f t="shared" si="2"/>
        <v>14318</v>
      </c>
    </row>
    <row r="9275">
      <c r="A9275" s="48" t="s">
        <v>10433</v>
      </c>
      <c r="B9275" s="38">
        <v>46262.0</v>
      </c>
      <c r="C9275" s="38" t="s">
        <v>3527</v>
      </c>
      <c r="D9275" s="38" t="str">
        <f>IFERROR(__xludf.DUMMYFUNCTION("REGEXREPLACE(C9275,""-\d+(.*)|--\d+(.*)"","""")"),"SAINT-CYPRIEN")</f>
        <v>SAINT-CYPRIEN</v>
      </c>
      <c r="E9275" s="38" t="s">
        <v>185</v>
      </c>
      <c r="F9275" s="38" t="s">
        <v>94</v>
      </c>
      <c r="G9275" s="49" t="str">
        <f t="shared" si="1"/>
        <v>46800</v>
      </c>
      <c r="H9275" s="49">
        <f t="shared" si="2"/>
        <v>46262</v>
      </c>
    </row>
    <row r="9276">
      <c r="A9276" s="48" t="s">
        <v>3120</v>
      </c>
      <c r="B9276" s="38">
        <v>10131.0</v>
      </c>
      <c r="C9276" s="38" t="s">
        <v>13116</v>
      </c>
      <c r="D9276" s="38" t="str">
        <f>IFERROR(__xludf.DUMMYFUNCTION("REGEXREPLACE(C9276,""-\d+(.*)|--\d+(.*)"","""")"),"DROUPT-SAINT-BASLE")</f>
        <v>DROUPT-SAINT-BASLE</v>
      </c>
      <c r="E9276" s="38" t="s">
        <v>147</v>
      </c>
      <c r="F9276" s="38" t="s">
        <v>130</v>
      </c>
      <c r="G9276" s="49" t="str">
        <f t="shared" si="1"/>
        <v>10170</v>
      </c>
      <c r="H9276" s="49">
        <f t="shared" si="2"/>
        <v>10131</v>
      </c>
    </row>
    <row r="9277">
      <c r="A9277" s="48" t="s">
        <v>5837</v>
      </c>
      <c r="B9277" s="38">
        <v>95304.0</v>
      </c>
      <c r="C9277" s="38" t="s">
        <v>13117</v>
      </c>
      <c r="D9277" s="38" t="str">
        <f>IFERROR(__xludf.DUMMYFUNCTION("REGEXREPLACE(C9277,""-\d+(.*)|--\d+(.*)"","""")"),"HEDOUVILLE")</f>
        <v>HEDOUVILLE</v>
      </c>
      <c r="E9277" s="38" t="s">
        <v>541</v>
      </c>
      <c r="F9277" s="38" t="s">
        <v>245</v>
      </c>
      <c r="G9277" s="49" t="str">
        <f t="shared" si="1"/>
        <v>95690</v>
      </c>
      <c r="H9277" s="49">
        <f t="shared" si="2"/>
        <v>95304</v>
      </c>
    </row>
    <row r="9278">
      <c r="A9278" s="48" t="s">
        <v>3961</v>
      </c>
      <c r="B9278" s="38">
        <v>19024.0</v>
      </c>
      <c r="C9278" s="38" t="s">
        <v>13118</v>
      </c>
      <c r="D9278" s="38" t="str">
        <f>IFERROR(__xludf.DUMMYFUNCTION("REGEXREPLACE(C9278,""-\d+(.*)|--\d+(.*)"","""")"),"BEYSSAC")</f>
        <v>BEYSSAC</v>
      </c>
      <c r="E9278" s="38" t="s">
        <v>271</v>
      </c>
      <c r="F9278" s="38" t="s">
        <v>98</v>
      </c>
      <c r="G9278" s="49" t="str">
        <f t="shared" si="1"/>
        <v>19230</v>
      </c>
      <c r="H9278" s="49">
        <f t="shared" si="2"/>
        <v>19024</v>
      </c>
    </row>
    <row r="9279">
      <c r="A9279" s="48" t="s">
        <v>1469</v>
      </c>
      <c r="B9279" s="38">
        <v>71119.0</v>
      </c>
      <c r="C9279" s="38" t="s">
        <v>3622</v>
      </c>
      <c r="D9279" s="38" t="str">
        <f>IFERROR(__xludf.DUMMYFUNCTION("REGEXREPLACE(C9279,""-\d+(.*)|--\d+(.*)"","""")"),"CHAUDENAY")</f>
        <v>CHAUDENAY</v>
      </c>
      <c r="E9279" s="38" t="s">
        <v>344</v>
      </c>
      <c r="F9279" s="38" t="s">
        <v>106</v>
      </c>
      <c r="G9279" s="49" t="str">
        <f t="shared" si="1"/>
        <v>71150</v>
      </c>
      <c r="H9279" s="49">
        <f t="shared" si="2"/>
        <v>71119</v>
      </c>
    </row>
    <row r="9280">
      <c r="A9280" s="48" t="s">
        <v>315</v>
      </c>
      <c r="B9280" s="38">
        <v>27184.0</v>
      </c>
      <c r="C9280" s="38" t="s">
        <v>11823</v>
      </c>
      <c r="D9280" s="38" t="str">
        <f>IFERROR(__xludf.DUMMYFUNCTION("REGEXREPLACE(C9280,""-\d+(.*)|--\d+(.*)"","""")"),"CRASVILLE")</f>
        <v>CRASVILLE</v>
      </c>
      <c r="E9280" s="38" t="s">
        <v>241</v>
      </c>
      <c r="F9280" s="38" t="s">
        <v>134</v>
      </c>
      <c r="G9280" s="49" t="str">
        <f t="shared" si="1"/>
        <v>27400</v>
      </c>
      <c r="H9280" s="49">
        <f t="shared" si="2"/>
        <v>27184</v>
      </c>
    </row>
    <row r="9281">
      <c r="A9281" s="48" t="s">
        <v>1505</v>
      </c>
      <c r="B9281" s="38">
        <v>81323.0</v>
      </c>
      <c r="C9281" s="38" t="s">
        <v>13119</v>
      </c>
      <c r="D9281" s="38" t="str">
        <f>IFERROR(__xludf.DUMMYFUNCTION("REGEXREPLACE(C9281,""-\d+(.*)|--\d+(.*)"","""")"),"VITERBE")</f>
        <v>VITERBE</v>
      </c>
      <c r="E9281" s="38" t="s">
        <v>231</v>
      </c>
      <c r="F9281" s="38" t="s">
        <v>94</v>
      </c>
      <c r="G9281" s="49" t="str">
        <f t="shared" si="1"/>
        <v>81220</v>
      </c>
      <c r="H9281" s="49">
        <f t="shared" si="2"/>
        <v>81323</v>
      </c>
    </row>
    <row r="9282">
      <c r="A9282" s="48" t="s">
        <v>5700</v>
      </c>
      <c r="B9282" s="38">
        <v>36076.0</v>
      </c>
      <c r="C9282" s="38" t="s">
        <v>13120</v>
      </c>
      <c r="D9282" s="38" t="str">
        <f>IFERROR(__xludf.DUMMYFUNCTION("REGEXREPLACE(C9282,""-\d+(.*)|--\d+(.*)"","""")"),"FONTGOMBAULT")</f>
        <v>FONTGOMBAULT</v>
      </c>
      <c r="E9282" s="38" t="s">
        <v>258</v>
      </c>
      <c r="F9282" s="38" t="s">
        <v>123</v>
      </c>
      <c r="G9282" s="49" t="str">
        <f t="shared" si="1"/>
        <v>36220</v>
      </c>
      <c r="H9282" s="49">
        <f t="shared" si="2"/>
        <v>36076</v>
      </c>
    </row>
    <row r="9283">
      <c r="A9283" s="48" t="s">
        <v>1679</v>
      </c>
      <c r="B9283" s="38">
        <v>51099.0</v>
      </c>
      <c r="C9283" s="38" t="s">
        <v>13121</v>
      </c>
      <c r="D9283" s="38" t="str">
        <f>IFERROR(__xludf.DUMMYFUNCTION("REGEXREPLACE(C9283,""-\d+(.*)|--\d+(.*)"","""")"),"BUSSY-LETTREE")</f>
        <v>BUSSY-LETTREE</v>
      </c>
      <c r="E9283" s="38" t="s">
        <v>129</v>
      </c>
      <c r="F9283" s="38" t="s">
        <v>130</v>
      </c>
      <c r="G9283" s="49" t="str">
        <f t="shared" si="1"/>
        <v>51320</v>
      </c>
      <c r="H9283" s="49">
        <f t="shared" si="2"/>
        <v>51099</v>
      </c>
    </row>
    <row r="9284">
      <c r="A9284" s="48" t="s">
        <v>6948</v>
      </c>
      <c r="B9284" s="38">
        <v>17175.0</v>
      </c>
      <c r="C9284" s="38" t="s">
        <v>13122</v>
      </c>
      <c r="D9284" s="38" t="str">
        <f>IFERROR(__xludf.DUMMYFUNCTION("REGEXREPLACE(C9284,""-\d+(.*)|--\d+(.*)"","""")"),"GERMIGNAC")</f>
        <v>GERMIGNAC</v>
      </c>
      <c r="E9284" s="38" t="s">
        <v>488</v>
      </c>
      <c r="F9284" s="38" t="s">
        <v>338</v>
      </c>
      <c r="G9284" s="49" t="str">
        <f t="shared" si="1"/>
        <v>17520</v>
      </c>
      <c r="H9284" s="49">
        <f t="shared" si="2"/>
        <v>17175</v>
      </c>
    </row>
    <row r="9285">
      <c r="A9285" s="48" t="s">
        <v>2712</v>
      </c>
      <c r="B9285" s="38">
        <v>72271.0</v>
      </c>
      <c r="C9285" s="38" t="s">
        <v>13123</v>
      </c>
      <c r="D9285" s="38" t="str">
        <f>IFERROR(__xludf.DUMMYFUNCTION("REGEXREPLACE(C9285,""-\d+(.*)|--\d+(.*)"","""")"),"SAINT-CELERIN")</f>
        <v>SAINT-CELERIN</v>
      </c>
      <c r="E9285" s="38" t="s">
        <v>521</v>
      </c>
      <c r="F9285" s="38" t="s">
        <v>180</v>
      </c>
      <c r="G9285" s="49" t="str">
        <f t="shared" si="1"/>
        <v>72110</v>
      </c>
      <c r="H9285" s="49">
        <f t="shared" si="2"/>
        <v>72271</v>
      </c>
    </row>
    <row r="9286">
      <c r="A9286" s="48" t="s">
        <v>4873</v>
      </c>
      <c r="B9286" s="38">
        <v>67522.0</v>
      </c>
      <c r="C9286" s="38" t="s">
        <v>13124</v>
      </c>
      <c r="D9286" s="38" t="str">
        <f>IFERROR(__xludf.DUMMYFUNCTION("REGEXREPLACE(C9286,""-\d+(.*)|--\d+(.*)"","""")"),"WEISLINGEN")</f>
        <v>WEISLINGEN</v>
      </c>
      <c r="E9286" s="38" t="s">
        <v>210</v>
      </c>
      <c r="F9286" s="38" t="s">
        <v>151</v>
      </c>
      <c r="G9286" s="49" t="str">
        <f t="shared" si="1"/>
        <v>67290</v>
      </c>
      <c r="H9286" s="49">
        <f t="shared" si="2"/>
        <v>67522</v>
      </c>
    </row>
    <row r="9287">
      <c r="A9287" s="48" t="s">
        <v>382</v>
      </c>
      <c r="B9287" s="38">
        <v>47210.0</v>
      </c>
      <c r="C9287" s="38" t="s">
        <v>13125</v>
      </c>
      <c r="D9287" s="38" t="str">
        <f>IFERROR(__xludf.DUMMYFUNCTION("REGEXREPLACE(C9287,""-\d+(.*)|--\d+(.*)"","""")"),"PORT-SAINTE-MARIE")</f>
        <v>PORT-SAINTE-MARIE</v>
      </c>
      <c r="E9287" s="38" t="s">
        <v>251</v>
      </c>
      <c r="F9287" s="38" t="s">
        <v>252</v>
      </c>
      <c r="G9287" s="49" t="str">
        <f t="shared" si="1"/>
        <v>47130</v>
      </c>
      <c r="H9287" s="49">
        <f t="shared" si="2"/>
        <v>47210</v>
      </c>
    </row>
    <row r="9288">
      <c r="A9288" s="48" t="s">
        <v>13126</v>
      </c>
      <c r="B9288" s="38">
        <v>62898.0</v>
      </c>
      <c r="C9288" s="38" t="s">
        <v>13127</v>
      </c>
      <c r="D9288" s="38" t="str">
        <f>IFERROR(__xludf.DUMMYFUNCTION("REGEXREPLACE(C9288,""-\d+(.*)|--\d+(.*)"","""")"),"WISQUES")</f>
        <v>WISQUES</v>
      </c>
      <c r="E9288" s="38" t="s">
        <v>109</v>
      </c>
      <c r="F9288" s="38" t="s">
        <v>86</v>
      </c>
      <c r="G9288" s="49" t="str">
        <f t="shared" si="1"/>
        <v>62219</v>
      </c>
      <c r="H9288" s="49">
        <f t="shared" si="2"/>
        <v>62898</v>
      </c>
    </row>
    <row r="9289">
      <c r="A9289" s="48" t="s">
        <v>9006</v>
      </c>
      <c r="B9289" s="38">
        <v>67150.0</v>
      </c>
      <c r="C9289" s="38" t="s">
        <v>13128</v>
      </c>
      <c r="D9289" s="38" t="str">
        <f>IFERROR(__xludf.DUMMYFUNCTION("REGEXREPLACE(C9289,""-\d+(.*)|--\d+(.*)"","""")"),"FURDENHEIM")</f>
        <v>FURDENHEIM</v>
      </c>
      <c r="E9289" s="38" t="s">
        <v>210</v>
      </c>
      <c r="F9289" s="38" t="s">
        <v>151</v>
      </c>
      <c r="G9289" s="49" t="str">
        <f t="shared" si="1"/>
        <v>67117</v>
      </c>
      <c r="H9289" s="49">
        <f t="shared" si="2"/>
        <v>67150</v>
      </c>
    </row>
    <row r="9290">
      <c r="A9290" s="48" t="s">
        <v>13129</v>
      </c>
      <c r="B9290" s="38">
        <v>24566.0</v>
      </c>
      <c r="C9290" s="38" t="s">
        <v>13130</v>
      </c>
      <c r="D9290" s="38" t="str">
        <f>IFERROR(__xludf.DUMMYFUNCTION("REGEXREPLACE(C9290,""-\d+(.*)|--\d+(.*)"","""")"),"VARENNES")</f>
        <v>VARENNES</v>
      </c>
      <c r="E9290" s="38" t="s">
        <v>261</v>
      </c>
      <c r="F9290" s="38" t="s">
        <v>252</v>
      </c>
      <c r="G9290" s="49" t="str">
        <f t="shared" si="1"/>
        <v>24150</v>
      </c>
      <c r="H9290" s="49">
        <f t="shared" si="2"/>
        <v>24566</v>
      </c>
    </row>
    <row r="9291">
      <c r="A9291" s="48" t="s">
        <v>5230</v>
      </c>
      <c r="B9291" s="38">
        <v>25067.0</v>
      </c>
      <c r="C9291" s="38" t="s">
        <v>13131</v>
      </c>
      <c r="D9291" s="38" t="str">
        <f>IFERROR(__xludf.DUMMYFUNCTION("REGEXREPLACE(C9291,""-\d+(.*)|--\d+(.*)"","""")"),"BLUSSANS")</f>
        <v>BLUSSANS</v>
      </c>
      <c r="E9291" s="38" t="s">
        <v>213</v>
      </c>
      <c r="F9291" s="38" t="s">
        <v>214</v>
      </c>
      <c r="G9291" s="49" t="str">
        <f t="shared" si="1"/>
        <v>25250</v>
      </c>
      <c r="H9291" s="49">
        <f t="shared" si="2"/>
        <v>25067</v>
      </c>
    </row>
    <row r="9292">
      <c r="A9292" s="48" t="s">
        <v>135</v>
      </c>
      <c r="B9292" s="38">
        <v>14277.0</v>
      </c>
      <c r="C9292" s="38" t="s">
        <v>13132</v>
      </c>
      <c r="D9292" s="38" t="str">
        <f>IFERROR(__xludf.DUMMYFUNCTION("REGEXREPLACE(C9292,""-\d+(.*)|--\d+(.*)"","""")"),"FONTENAY-LE-MARMION")</f>
        <v>FONTENAY-LE-MARMION</v>
      </c>
      <c r="E9292" s="38" t="s">
        <v>137</v>
      </c>
      <c r="F9292" s="38" t="s">
        <v>138</v>
      </c>
      <c r="G9292" s="49" t="str">
        <f t="shared" si="1"/>
        <v>14320</v>
      </c>
      <c r="H9292" s="49">
        <f t="shared" si="2"/>
        <v>14277</v>
      </c>
    </row>
    <row r="9293">
      <c r="A9293" s="48" t="s">
        <v>586</v>
      </c>
      <c r="B9293" s="38">
        <v>67440.0</v>
      </c>
      <c r="C9293" s="38" t="s">
        <v>13133</v>
      </c>
      <c r="D9293" s="38" t="str">
        <f>IFERROR(__xludf.DUMMYFUNCTION("REGEXREPLACE(C9293,""-\d+(.*)|--\d+(.*)"","""")"),"SCHAFFHOUSE-PRES-SELTZ")</f>
        <v>SCHAFFHOUSE-PRES-SELTZ</v>
      </c>
      <c r="E9293" s="38" t="s">
        <v>210</v>
      </c>
      <c r="F9293" s="38" t="s">
        <v>151</v>
      </c>
      <c r="G9293" s="49" t="str">
        <f t="shared" si="1"/>
        <v>67470</v>
      </c>
      <c r="H9293" s="49">
        <f t="shared" si="2"/>
        <v>67440</v>
      </c>
    </row>
    <row r="9294">
      <c r="A9294" s="48" t="s">
        <v>5584</v>
      </c>
      <c r="B9294" s="38">
        <v>41186.0</v>
      </c>
      <c r="C9294" s="38" t="s">
        <v>13134</v>
      </c>
      <c r="D9294" s="38" t="str">
        <f>IFERROR(__xludf.DUMMYFUNCTION("REGEXREPLACE(C9294,""-\d+(.*)|--\d+(.*)"","""")"),"RAHART")</f>
        <v>RAHART</v>
      </c>
      <c r="E9294" s="38" t="s">
        <v>188</v>
      </c>
      <c r="F9294" s="38" t="s">
        <v>123</v>
      </c>
      <c r="G9294" s="49" t="str">
        <f t="shared" si="1"/>
        <v>41160</v>
      </c>
      <c r="H9294" s="49">
        <f t="shared" si="2"/>
        <v>41186</v>
      </c>
    </row>
    <row r="9295">
      <c r="A9295" s="48" t="s">
        <v>2613</v>
      </c>
      <c r="B9295" s="38">
        <v>47110.0</v>
      </c>
      <c r="C9295" s="38" t="s">
        <v>13135</v>
      </c>
      <c r="D9295" s="38" t="str">
        <f>IFERROR(__xludf.DUMMYFUNCTION("REGEXREPLACE(C9295,""-\d+(.*)|--\d+(.*)"","""")"),"GONTAUD-DE-NOGARET")</f>
        <v>GONTAUD-DE-NOGARET</v>
      </c>
      <c r="E9295" s="38" t="s">
        <v>251</v>
      </c>
      <c r="F9295" s="38" t="s">
        <v>252</v>
      </c>
      <c r="G9295" s="49" t="str">
        <f t="shared" si="1"/>
        <v>47400</v>
      </c>
      <c r="H9295" s="49">
        <f t="shared" si="2"/>
        <v>47110</v>
      </c>
    </row>
    <row r="9296">
      <c r="A9296" s="48" t="s">
        <v>12997</v>
      </c>
      <c r="B9296" s="38">
        <v>65035.0</v>
      </c>
      <c r="C9296" s="38" t="s">
        <v>13136</v>
      </c>
      <c r="D9296" s="38" t="str">
        <f>IFERROR(__xludf.DUMMYFUNCTION("REGEXREPLACE(C9296,""-\d+(.*)|--\d+(.*)"","""")"),"ARTAGNAN")</f>
        <v>ARTAGNAN</v>
      </c>
      <c r="E9296" s="38" t="s">
        <v>200</v>
      </c>
      <c r="F9296" s="38" t="s">
        <v>94</v>
      </c>
      <c r="G9296" s="49" t="str">
        <f t="shared" si="1"/>
        <v>65500</v>
      </c>
      <c r="H9296" s="49">
        <f t="shared" si="2"/>
        <v>65035</v>
      </c>
    </row>
    <row r="9297">
      <c r="A9297" s="48" t="s">
        <v>13137</v>
      </c>
      <c r="B9297" s="38">
        <v>13002.0</v>
      </c>
      <c r="C9297" s="38" t="s">
        <v>13138</v>
      </c>
      <c r="D9297" s="38" t="str">
        <f>IFERROR(__xludf.DUMMYFUNCTION("REGEXREPLACE(C9297,""-\d+(.*)|--\d+(.*)"","""")"),"ALLAUCH")</f>
        <v>ALLAUCH</v>
      </c>
      <c r="E9297" s="38" t="s">
        <v>980</v>
      </c>
      <c r="F9297" s="38" t="s">
        <v>228</v>
      </c>
      <c r="G9297" s="49" t="str">
        <f t="shared" si="1"/>
        <v>13190</v>
      </c>
      <c r="H9297" s="49">
        <f t="shared" si="2"/>
        <v>13002</v>
      </c>
    </row>
    <row r="9298">
      <c r="A9298" s="48" t="s">
        <v>13139</v>
      </c>
      <c r="B9298" s="38">
        <v>62336.0</v>
      </c>
      <c r="C9298" s="38" t="s">
        <v>13140</v>
      </c>
      <c r="D9298" s="38" t="str">
        <f>IFERROR(__xludf.DUMMYFUNCTION("REGEXREPLACE(C9298,""-\d+(.*)|--\d+(.*)"","""")"),"FLECHIN")</f>
        <v>FLECHIN</v>
      </c>
      <c r="E9298" s="38" t="s">
        <v>109</v>
      </c>
      <c r="F9298" s="38" t="s">
        <v>86</v>
      </c>
      <c r="G9298" s="49" t="str">
        <f t="shared" si="1"/>
        <v>62960</v>
      </c>
      <c r="H9298" s="49">
        <f t="shared" si="2"/>
        <v>62336</v>
      </c>
    </row>
    <row r="9299">
      <c r="A9299" s="48" t="s">
        <v>2884</v>
      </c>
      <c r="B9299" s="38">
        <v>57073.0</v>
      </c>
      <c r="C9299" s="38" t="s">
        <v>13141</v>
      </c>
      <c r="D9299" s="38" t="str">
        <f>IFERROR(__xludf.DUMMYFUNCTION("REGEXREPLACE(C9299,""-\d+(.*)|--\d+(.*)"","""")"),"BETTING")</f>
        <v>BETTING</v>
      </c>
      <c r="E9299" s="38" t="s">
        <v>303</v>
      </c>
      <c r="F9299" s="38" t="s">
        <v>195</v>
      </c>
      <c r="G9299" s="49" t="str">
        <f t="shared" si="1"/>
        <v>57800</v>
      </c>
      <c r="H9299" s="49">
        <f t="shared" si="2"/>
        <v>57073</v>
      </c>
    </row>
    <row r="9300">
      <c r="A9300" s="48" t="s">
        <v>7657</v>
      </c>
      <c r="B9300" s="38">
        <v>80108.0</v>
      </c>
      <c r="C9300" s="38" t="s">
        <v>13142</v>
      </c>
      <c r="D9300" s="38" t="str">
        <f>IFERROR(__xludf.DUMMYFUNCTION("REGEXREPLACE(C9300,""-\d+(.*)|--\d+(.*)"","""")"),"BOISBERGUES")</f>
        <v>BOISBERGUES</v>
      </c>
      <c r="E9300" s="38" t="s">
        <v>224</v>
      </c>
      <c r="F9300" s="38" t="s">
        <v>113</v>
      </c>
      <c r="G9300" s="49" t="str">
        <f t="shared" si="1"/>
        <v>80600</v>
      </c>
      <c r="H9300" s="49">
        <f t="shared" si="2"/>
        <v>80108</v>
      </c>
    </row>
    <row r="9301">
      <c r="A9301" s="48" t="s">
        <v>9152</v>
      </c>
      <c r="B9301" s="38">
        <v>37097.0</v>
      </c>
      <c r="C9301" s="38" t="s">
        <v>13143</v>
      </c>
      <c r="D9301" s="38" t="str">
        <f>IFERROR(__xludf.DUMMYFUNCTION("REGEXREPLACE(C9301,""-\d+(.*)|--\d+(.*)"","""")"),"DOLUS-LE-SEC")</f>
        <v>DOLUS-LE-SEC</v>
      </c>
      <c r="E9301" s="38" t="s">
        <v>205</v>
      </c>
      <c r="F9301" s="38" t="s">
        <v>123</v>
      </c>
      <c r="G9301" s="49" t="str">
        <f t="shared" si="1"/>
        <v>37310</v>
      </c>
      <c r="H9301" s="49">
        <f t="shared" si="2"/>
        <v>37097</v>
      </c>
    </row>
    <row r="9302">
      <c r="A9302" s="48" t="s">
        <v>13144</v>
      </c>
      <c r="B9302" s="38">
        <v>27364.0</v>
      </c>
      <c r="C9302" s="38" t="s">
        <v>13145</v>
      </c>
      <c r="D9302" s="38" t="str">
        <f>IFERROR(__xludf.DUMMYFUNCTION("REGEXREPLACE(C9302,""-\d+(.*)|--\d+(.*)"","""")"),"LAUNAY")</f>
        <v>LAUNAY</v>
      </c>
      <c r="E9302" s="38" t="s">
        <v>241</v>
      </c>
      <c r="F9302" s="38" t="s">
        <v>134</v>
      </c>
      <c r="G9302" s="49" t="str">
        <f t="shared" si="1"/>
        <v>27470</v>
      </c>
      <c r="H9302" s="49">
        <f t="shared" si="2"/>
        <v>27364</v>
      </c>
    </row>
    <row r="9303">
      <c r="A9303" s="48" t="s">
        <v>5338</v>
      </c>
      <c r="B9303" s="38">
        <v>63402.0</v>
      </c>
      <c r="C9303" s="38" t="s">
        <v>13146</v>
      </c>
      <c r="D9303" s="38" t="str">
        <f>IFERROR(__xludf.DUMMYFUNCTION("REGEXREPLACE(C9303,""-\d+(.*)|--\d+(.*)"","""")"),"SAINT-VICTOR-MONTVIANEIX")</f>
        <v>SAINT-VICTOR-MONTVIANEIX</v>
      </c>
      <c r="E9303" s="38" t="s">
        <v>353</v>
      </c>
      <c r="F9303" s="38" t="s">
        <v>161</v>
      </c>
      <c r="G9303" s="49" t="str">
        <f t="shared" si="1"/>
        <v>63550</v>
      </c>
      <c r="H9303" s="49">
        <f t="shared" si="2"/>
        <v>63402</v>
      </c>
    </row>
    <row r="9304">
      <c r="A9304" s="48" t="s">
        <v>468</v>
      </c>
      <c r="B9304" s="38">
        <v>26027.0</v>
      </c>
      <c r="C9304" s="38" t="s">
        <v>13147</v>
      </c>
      <c r="D9304" s="38" t="str">
        <f>IFERROR(__xludf.DUMMYFUNCTION("REGEXREPLACE(C9304,""-\d+(.*)|--\d+(.*)"","""")"),"BARSAC")</f>
        <v>BARSAC</v>
      </c>
      <c r="E9304" s="38" t="s">
        <v>126</v>
      </c>
      <c r="F9304" s="38" t="s">
        <v>102</v>
      </c>
      <c r="G9304" s="49" t="str">
        <f t="shared" si="1"/>
        <v>26150</v>
      </c>
      <c r="H9304" s="49">
        <f t="shared" si="2"/>
        <v>26027</v>
      </c>
    </row>
    <row r="9305">
      <c r="A9305" s="48" t="s">
        <v>13148</v>
      </c>
      <c r="B9305" s="38">
        <v>42205.0</v>
      </c>
      <c r="C9305" s="38" t="s">
        <v>13149</v>
      </c>
      <c r="D9305" s="38" t="str">
        <f>IFERROR(__xludf.DUMMYFUNCTION("REGEXREPLACE(C9305,""-\d+(.*)|--\d+(.*)"","""")"),"SAINT-BONNET-LE-COURREAU")</f>
        <v>SAINT-BONNET-LE-COURREAU</v>
      </c>
      <c r="E9305" s="38" t="s">
        <v>166</v>
      </c>
      <c r="F9305" s="38" t="s">
        <v>102</v>
      </c>
      <c r="G9305" s="49" t="str">
        <f t="shared" si="1"/>
        <v>42940</v>
      </c>
      <c r="H9305" s="49">
        <f t="shared" si="2"/>
        <v>42205</v>
      </c>
    </row>
    <row r="9306">
      <c r="A9306" s="48" t="s">
        <v>13150</v>
      </c>
      <c r="B9306" s="38">
        <v>69063.0</v>
      </c>
      <c r="C9306" s="38" t="s">
        <v>13151</v>
      </c>
      <c r="D9306" s="38" t="str">
        <f>IFERROR(__xludf.DUMMYFUNCTION("REGEXREPLACE(C9306,""-\d+(.*)|--\d+(.*)"","""")"),"COLLONGES-AU-MONT-D'OR")</f>
        <v>COLLONGES-AU-MONT-D'OR</v>
      </c>
      <c r="E9306" s="38" t="s">
        <v>350</v>
      </c>
      <c r="F9306" s="38" t="s">
        <v>102</v>
      </c>
      <c r="G9306" s="49" t="str">
        <f t="shared" si="1"/>
        <v>69660</v>
      </c>
      <c r="H9306" s="49">
        <f t="shared" si="2"/>
        <v>69063</v>
      </c>
    </row>
    <row r="9307">
      <c r="A9307" s="48" t="s">
        <v>139</v>
      </c>
      <c r="B9307" s="38">
        <v>61502.0</v>
      </c>
      <c r="C9307" s="38" t="s">
        <v>13152</v>
      </c>
      <c r="D9307" s="38" t="str">
        <f>IFERROR(__xludf.DUMMYFUNCTION("REGEXREPLACE(C9307,""-\d+(.*)|--\d+(.*)"","""")"),"VIDAI")</f>
        <v>VIDAI</v>
      </c>
      <c r="E9307" s="38" t="s">
        <v>141</v>
      </c>
      <c r="F9307" s="38" t="s">
        <v>138</v>
      </c>
      <c r="G9307" s="49" t="str">
        <f t="shared" si="1"/>
        <v>61360</v>
      </c>
      <c r="H9307" s="49">
        <f t="shared" si="2"/>
        <v>61502</v>
      </c>
    </row>
    <row r="9308">
      <c r="A9308" s="48" t="s">
        <v>3069</v>
      </c>
      <c r="B9308" s="38">
        <v>68308.0</v>
      </c>
      <c r="C9308" s="38" t="s">
        <v>13153</v>
      </c>
      <c r="D9308" s="38" t="str">
        <f>IFERROR(__xludf.DUMMYFUNCTION("REGEXREPLACE(C9308,""-\d+(.*)|--\d+(.*)"","""")"),"SICKERT")</f>
        <v>SICKERT</v>
      </c>
      <c r="E9308" s="38" t="s">
        <v>150</v>
      </c>
      <c r="F9308" s="38" t="s">
        <v>151</v>
      </c>
      <c r="G9308" s="49" t="str">
        <f t="shared" si="1"/>
        <v>68290</v>
      </c>
      <c r="H9308" s="49">
        <f t="shared" si="2"/>
        <v>68308</v>
      </c>
    </row>
    <row r="9309">
      <c r="A9309" s="48" t="s">
        <v>13154</v>
      </c>
      <c r="B9309" s="38">
        <v>27396.0</v>
      </c>
      <c r="C9309" s="38" t="s">
        <v>13155</v>
      </c>
      <c r="D9309" s="38" t="str">
        <f>IFERROR(__xludf.DUMMYFUNCTION("REGEXREPLACE(C9309,""-\d+(.*)|--\d+(.*)"","""")"),"MENESQUEVILLE")</f>
        <v>MENESQUEVILLE</v>
      </c>
      <c r="E9309" s="38" t="s">
        <v>241</v>
      </c>
      <c r="F9309" s="38" t="s">
        <v>134</v>
      </c>
      <c r="G9309" s="49" t="str">
        <f t="shared" si="1"/>
        <v>27850</v>
      </c>
      <c r="H9309" s="49">
        <f t="shared" si="2"/>
        <v>27396</v>
      </c>
    </row>
    <row r="9310">
      <c r="A9310" s="48" t="s">
        <v>576</v>
      </c>
      <c r="B9310" s="38">
        <v>54013.0</v>
      </c>
      <c r="C9310" s="38" t="s">
        <v>13156</v>
      </c>
      <c r="D9310" s="38" t="str">
        <f>IFERROR(__xludf.DUMMYFUNCTION("REGEXREPLACE(C9310,""-\d+(.*)|--\d+(.*)"","""")"),"AMENONCOURT")</f>
        <v>AMENONCOURT</v>
      </c>
      <c r="E9310" s="38" t="s">
        <v>548</v>
      </c>
      <c r="F9310" s="38" t="s">
        <v>195</v>
      </c>
      <c r="G9310" s="49" t="str">
        <f t="shared" si="1"/>
        <v>54450</v>
      </c>
      <c r="H9310" s="49">
        <f t="shared" si="2"/>
        <v>54013</v>
      </c>
    </row>
    <row r="9311">
      <c r="A9311" s="48" t="s">
        <v>5212</v>
      </c>
      <c r="B9311" s="38">
        <v>41192.0</v>
      </c>
      <c r="C9311" s="38" t="s">
        <v>13157</v>
      </c>
      <c r="D9311" s="38" t="str">
        <f>IFERROR(__xludf.DUMMYFUNCTION("REGEXREPLACE(C9311,""-\d+(.*)|--\d+(.*)"","""")"),"LES ROCHES-L'EVEQUE")</f>
        <v>LES ROCHES-L'EVEQUE</v>
      </c>
      <c r="E9311" s="38" t="s">
        <v>188</v>
      </c>
      <c r="F9311" s="38" t="s">
        <v>123</v>
      </c>
      <c r="G9311" s="49" t="str">
        <f t="shared" si="1"/>
        <v>41800</v>
      </c>
      <c r="H9311" s="49">
        <f t="shared" si="2"/>
        <v>41192</v>
      </c>
    </row>
    <row r="9312">
      <c r="A9312" s="48" t="s">
        <v>9517</v>
      </c>
      <c r="B9312" s="38">
        <v>58187.0</v>
      </c>
      <c r="C9312" s="38" t="s">
        <v>13158</v>
      </c>
      <c r="D9312" s="38" t="str">
        <f>IFERROR(__xludf.DUMMYFUNCTION("REGEXREPLACE(C9312,""-\d+(.*)|--\d+(.*)"","""")"),"MYENNES")</f>
        <v>MYENNES</v>
      </c>
      <c r="E9312" s="38" t="s">
        <v>219</v>
      </c>
      <c r="F9312" s="38" t="s">
        <v>106</v>
      </c>
      <c r="G9312" s="49" t="str">
        <f t="shared" si="1"/>
        <v>58440</v>
      </c>
      <c r="H9312" s="49">
        <f t="shared" si="2"/>
        <v>58187</v>
      </c>
    </row>
    <row r="9313">
      <c r="A9313" s="48" t="s">
        <v>2300</v>
      </c>
      <c r="B9313" s="38">
        <v>28052.0</v>
      </c>
      <c r="C9313" s="38" t="s">
        <v>13159</v>
      </c>
      <c r="D9313" s="38" t="str">
        <f>IFERROR(__xludf.DUMMYFUNCTION("REGEXREPLACE(C9313,""-\d+(.*)|--\d+(.*)"","""")"),"BOUGLAINVAL")</f>
        <v>BOUGLAINVAL</v>
      </c>
      <c r="E9313" s="38" t="s">
        <v>300</v>
      </c>
      <c r="F9313" s="38" t="s">
        <v>123</v>
      </c>
      <c r="G9313" s="49" t="str">
        <f t="shared" si="1"/>
        <v>28130</v>
      </c>
      <c r="H9313" s="49">
        <f t="shared" si="2"/>
        <v>28052</v>
      </c>
    </row>
    <row r="9314">
      <c r="A9314" s="48" t="s">
        <v>3508</v>
      </c>
      <c r="B9314" s="38">
        <v>51558.0</v>
      </c>
      <c r="C9314" s="38" t="s">
        <v>13160</v>
      </c>
      <c r="D9314" s="38" t="str">
        <f>IFERROR(__xludf.DUMMYFUNCTION("REGEXREPLACE(C9314,""-\d+(.*)|--\d+(.*)"","""")"),"SOULIERES")</f>
        <v>SOULIERES</v>
      </c>
      <c r="E9314" s="38" t="s">
        <v>129</v>
      </c>
      <c r="F9314" s="38" t="s">
        <v>130</v>
      </c>
      <c r="G9314" s="49" t="str">
        <f t="shared" si="1"/>
        <v>51130</v>
      </c>
      <c r="H9314" s="49">
        <f t="shared" si="2"/>
        <v>51558</v>
      </c>
    </row>
    <row r="9315">
      <c r="A9315" s="48" t="s">
        <v>9028</v>
      </c>
      <c r="B9315" s="38">
        <v>65131.0</v>
      </c>
      <c r="C9315" s="38" t="s">
        <v>13161</v>
      </c>
      <c r="D9315" s="38" t="str">
        <f>IFERROR(__xludf.DUMMYFUNCTION("REGEXREPLACE(C9315,""-\d+(.*)|--\d+(.*)"","""")"),"CASTELVIEILH")</f>
        <v>CASTELVIEILH</v>
      </c>
      <c r="E9315" s="38" t="s">
        <v>200</v>
      </c>
      <c r="F9315" s="38" t="s">
        <v>94</v>
      </c>
      <c r="G9315" s="49" t="str">
        <f t="shared" si="1"/>
        <v>65350</v>
      </c>
      <c r="H9315" s="49">
        <f t="shared" si="2"/>
        <v>65131</v>
      </c>
    </row>
    <row r="9316">
      <c r="A9316" s="48" t="s">
        <v>3370</v>
      </c>
      <c r="B9316" s="38">
        <v>72062.0</v>
      </c>
      <c r="C9316" s="38" t="s">
        <v>13162</v>
      </c>
      <c r="D9316" s="38" t="str">
        <f>IFERROR(__xludf.DUMMYFUNCTION("REGEXREPLACE(C9316,""-\d+(.*)|--\d+(.*)"","""")"),"LA CHAPELLE-DU-BOIS")</f>
        <v>LA CHAPELLE-DU-BOIS</v>
      </c>
      <c r="E9316" s="38" t="s">
        <v>521</v>
      </c>
      <c r="F9316" s="38" t="s">
        <v>180</v>
      </c>
      <c r="G9316" s="49" t="str">
        <f t="shared" si="1"/>
        <v>72400</v>
      </c>
      <c r="H9316" s="49">
        <f t="shared" si="2"/>
        <v>72062</v>
      </c>
    </row>
    <row r="9317">
      <c r="A9317" s="48" t="s">
        <v>8979</v>
      </c>
      <c r="B9317" s="38">
        <v>17109.0</v>
      </c>
      <c r="C9317" s="38" t="s">
        <v>13163</v>
      </c>
      <c r="D9317" s="38" t="str">
        <f>IFERROR(__xludf.DUMMYFUNCTION("REGEXREPLACE(C9317,""-\d+(.*)|--\d+(.*)"","""")"),"CLAVETTE")</f>
        <v>CLAVETTE</v>
      </c>
      <c r="E9317" s="38" t="s">
        <v>488</v>
      </c>
      <c r="F9317" s="38" t="s">
        <v>338</v>
      </c>
      <c r="G9317" s="49" t="str">
        <f t="shared" si="1"/>
        <v>17220</v>
      </c>
      <c r="H9317" s="49">
        <f t="shared" si="2"/>
        <v>17109</v>
      </c>
    </row>
    <row r="9318">
      <c r="A9318" s="48" t="s">
        <v>4086</v>
      </c>
      <c r="B9318" s="38">
        <v>79356.0</v>
      </c>
      <c r="C9318" s="38" t="s">
        <v>13164</v>
      </c>
      <c r="D9318" s="38" t="str">
        <f>IFERROR(__xludf.DUMMYFUNCTION("REGEXREPLACE(C9318,""-\d+(.*)|--\d+(.*)"","""")"),"VOULTEGON")</f>
        <v>VOULTEGON</v>
      </c>
      <c r="E9318" s="38" t="s">
        <v>337</v>
      </c>
      <c r="F9318" s="38" t="s">
        <v>338</v>
      </c>
      <c r="G9318" s="49" t="str">
        <f t="shared" si="1"/>
        <v>79150</v>
      </c>
      <c r="H9318" s="49">
        <f t="shared" si="2"/>
        <v>79356</v>
      </c>
    </row>
    <row r="9319">
      <c r="A9319" s="48" t="s">
        <v>2995</v>
      </c>
      <c r="B9319" s="38">
        <v>28286.0</v>
      </c>
      <c r="C9319" s="38" t="s">
        <v>13165</v>
      </c>
      <c r="D9319" s="38" t="str">
        <f>IFERROR(__xludf.DUMMYFUNCTION("REGEXREPLACE(C9319,""-\d+(.*)|--\d+(.*)"","""")"),"OLLE")</f>
        <v>OLLE</v>
      </c>
      <c r="E9319" s="38" t="s">
        <v>300</v>
      </c>
      <c r="F9319" s="38" t="s">
        <v>123</v>
      </c>
      <c r="G9319" s="49" t="str">
        <f t="shared" si="1"/>
        <v>28120</v>
      </c>
      <c r="H9319" s="49">
        <f t="shared" si="2"/>
        <v>28286</v>
      </c>
    </row>
    <row r="9320">
      <c r="A9320" s="48" t="s">
        <v>3609</v>
      </c>
      <c r="B9320" s="38">
        <v>22391.0</v>
      </c>
      <c r="C9320" s="38" t="s">
        <v>13166</v>
      </c>
      <c r="D9320" s="38" t="str">
        <f>IFERROR(__xludf.DUMMYFUNCTION("REGEXREPLACE(C9320,""-\d+(.*)|--\d+(.*)"","""")"),"YVIGNAC-LA-TOUR")</f>
        <v>YVIGNAC-LA-TOUR</v>
      </c>
      <c r="E9320" s="38" t="s">
        <v>89</v>
      </c>
      <c r="F9320" s="38" t="s">
        <v>90</v>
      </c>
      <c r="G9320" s="49" t="str">
        <f t="shared" si="1"/>
        <v>22350</v>
      </c>
      <c r="H9320" s="49">
        <f t="shared" si="2"/>
        <v>22391</v>
      </c>
    </row>
    <row r="9321">
      <c r="A9321" s="48" t="s">
        <v>2899</v>
      </c>
      <c r="B9321" s="38">
        <v>15266.0</v>
      </c>
      <c r="C9321" s="38" t="s">
        <v>13167</v>
      </c>
      <c r="D9321" s="38" t="str">
        <f>IFERROR(__xludf.DUMMYFUNCTION("REGEXREPLACE(C9321,""-\d+(.*)|--\d+(.*)"","""")"),"YOLET")</f>
        <v>YOLET</v>
      </c>
      <c r="E9321" s="38" t="s">
        <v>632</v>
      </c>
      <c r="F9321" s="38" t="s">
        <v>161</v>
      </c>
      <c r="G9321" s="49" t="str">
        <f t="shared" si="1"/>
        <v>15130</v>
      </c>
      <c r="H9321" s="49">
        <f t="shared" si="2"/>
        <v>15266</v>
      </c>
    </row>
    <row r="9322">
      <c r="A9322" s="48" t="s">
        <v>5390</v>
      </c>
      <c r="B9322" s="38">
        <v>27205.0</v>
      </c>
      <c r="C9322" s="38" t="s">
        <v>13168</v>
      </c>
      <c r="D9322" s="38" t="str">
        <f>IFERROR(__xludf.DUMMYFUNCTION("REGEXREPLACE(C9322,""-\d+(.*)|--\d+(.*)"","""")"),"DOUVILLE-SUR-ANDELLE")</f>
        <v>DOUVILLE-SUR-ANDELLE</v>
      </c>
      <c r="E9322" s="38" t="s">
        <v>241</v>
      </c>
      <c r="F9322" s="38" t="s">
        <v>134</v>
      </c>
      <c r="G9322" s="49" t="str">
        <f t="shared" si="1"/>
        <v>27380</v>
      </c>
      <c r="H9322" s="49">
        <f t="shared" si="2"/>
        <v>27205</v>
      </c>
    </row>
    <row r="9323">
      <c r="A9323" s="48" t="s">
        <v>10908</v>
      </c>
      <c r="B9323" s="38">
        <v>11057.0</v>
      </c>
      <c r="C9323" s="38" t="s">
        <v>4651</v>
      </c>
      <c r="D9323" s="38" t="str">
        <f>IFERROR(__xludf.DUMMYFUNCTION("REGEXREPLACE(C9323,""-\d+(.*)|--\d+(.*)"","""")"),"CAHUZAC")</f>
        <v>CAHUZAC</v>
      </c>
      <c r="E9323" s="38" t="s">
        <v>278</v>
      </c>
      <c r="F9323" s="38" t="s">
        <v>119</v>
      </c>
      <c r="G9323" s="49" t="str">
        <f t="shared" si="1"/>
        <v>11420</v>
      </c>
      <c r="H9323" s="49">
        <f t="shared" si="2"/>
        <v>11057</v>
      </c>
    </row>
    <row r="9324">
      <c r="A9324" s="48" t="s">
        <v>3666</v>
      </c>
      <c r="B9324" s="38">
        <v>21247.0</v>
      </c>
      <c r="C9324" s="38" t="s">
        <v>13169</v>
      </c>
      <c r="D9324" s="38" t="str">
        <f>IFERROR(__xludf.DUMMYFUNCTION("REGEXREPLACE(C9324,""-\d+(.*)|--\d+(.*)"","""")"),"EPOISSES")</f>
        <v>EPOISSES</v>
      </c>
      <c r="E9324" s="38" t="s">
        <v>105</v>
      </c>
      <c r="F9324" s="38" t="s">
        <v>106</v>
      </c>
      <c r="G9324" s="49" t="str">
        <f t="shared" si="1"/>
        <v>21460</v>
      </c>
      <c r="H9324" s="49">
        <f t="shared" si="2"/>
        <v>21247</v>
      </c>
    </row>
    <row r="9325">
      <c r="A9325" s="48" t="s">
        <v>1276</v>
      </c>
      <c r="B9325" s="38">
        <v>64233.0</v>
      </c>
      <c r="C9325" s="38" t="s">
        <v>13170</v>
      </c>
      <c r="D9325" s="38" t="str">
        <f>IFERROR(__xludf.DUMMYFUNCTION("REGEXREPLACE(C9325,""-\d+(.*)|--\d+(.*)"","""")"),"GARLIN")</f>
        <v>GARLIN</v>
      </c>
      <c r="E9325" s="38" t="s">
        <v>268</v>
      </c>
      <c r="F9325" s="38" t="s">
        <v>252</v>
      </c>
      <c r="G9325" s="49" t="str">
        <f t="shared" si="1"/>
        <v>64330</v>
      </c>
      <c r="H9325" s="49">
        <f t="shared" si="2"/>
        <v>64233</v>
      </c>
    </row>
    <row r="9326">
      <c r="A9326" s="48" t="s">
        <v>13171</v>
      </c>
      <c r="B9326" s="38">
        <v>15136.0</v>
      </c>
      <c r="C9326" s="38" t="s">
        <v>13172</v>
      </c>
      <c r="D9326" s="38" t="str">
        <f>IFERROR(__xludf.DUMMYFUNCTION("REGEXREPLACE(C9326,""-\d+(.*)|--\d+(.*)"","""")"),"MOURJOU")</f>
        <v>MOURJOU</v>
      </c>
      <c r="E9326" s="38" t="s">
        <v>632</v>
      </c>
      <c r="F9326" s="38" t="s">
        <v>161</v>
      </c>
      <c r="G9326" s="49" t="str">
        <f t="shared" si="1"/>
        <v>15340</v>
      </c>
      <c r="H9326" s="49">
        <f t="shared" si="2"/>
        <v>15136</v>
      </c>
    </row>
    <row r="9327">
      <c r="A9327" s="48" t="s">
        <v>1104</v>
      </c>
      <c r="B9327" s="38">
        <v>52065.0</v>
      </c>
      <c r="C9327" s="38" t="s">
        <v>13173</v>
      </c>
      <c r="D9327" s="38" t="str">
        <f>IFERROR(__xludf.DUMMYFUNCTION("REGEXREPLACE(C9327,""-\d+(.*)|--\d+(.*)"","""")"),"BOUZANCOURT")</f>
        <v>BOUZANCOURT</v>
      </c>
      <c r="E9327" s="38" t="s">
        <v>234</v>
      </c>
      <c r="F9327" s="38" t="s">
        <v>130</v>
      </c>
      <c r="G9327" s="49" t="str">
        <f t="shared" si="1"/>
        <v>52110</v>
      </c>
      <c r="H9327" s="49">
        <f t="shared" si="2"/>
        <v>52065</v>
      </c>
    </row>
    <row r="9328">
      <c r="A9328" s="48" t="s">
        <v>13174</v>
      </c>
      <c r="B9328" s="38">
        <v>33376.0</v>
      </c>
      <c r="C9328" s="38" t="s">
        <v>13175</v>
      </c>
      <c r="D9328" s="38" t="str">
        <f>IFERROR(__xludf.DUMMYFUNCTION("REGEXREPLACE(C9328,""-\d+(.*)|--\d+(.*)"","""")"),"SAINT-AUBIN-DE-MEDOC")</f>
        <v>SAINT-AUBIN-DE-MEDOC</v>
      </c>
      <c r="E9328" s="38" t="s">
        <v>462</v>
      </c>
      <c r="F9328" s="38" t="s">
        <v>252</v>
      </c>
      <c r="G9328" s="49" t="str">
        <f t="shared" si="1"/>
        <v>33160</v>
      </c>
      <c r="H9328" s="49">
        <f t="shared" si="2"/>
        <v>33376</v>
      </c>
    </row>
    <row r="9329">
      <c r="A9329" s="48" t="s">
        <v>1669</v>
      </c>
      <c r="B9329" s="38">
        <v>21467.0</v>
      </c>
      <c r="C9329" s="38" t="s">
        <v>13176</v>
      </c>
      <c r="D9329" s="38" t="str">
        <f>IFERROR(__xludf.DUMMYFUNCTION("REGEXREPLACE(C9329,""-\d+(.*)|--\d+(.*)"","""")"),"OISILLY")</f>
        <v>OISILLY</v>
      </c>
      <c r="E9329" s="38" t="s">
        <v>105</v>
      </c>
      <c r="F9329" s="38" t="s">
        <v>106</v>
      </c>
      <c r="G9329" s="49" t="str">
        <f t="shared" si="1"/>
        <v>21310</v>
      </c>
      <c r="H9329" s="49">
        <f t="shared" si="2"/>
        <v>21467</v>
      </c>
    </row>
    <row r="9330">
      <c r="A9330" s="48" t="s">
        <v>13177</v>
      </c>
      <c r="B9330" s="38">
        <v>91645.0</v>
      </c>
      <c r="C9330" s="38" t="s">
        <v>13178</v>
      </c>
      <c r="D9330" s="38" t="str">
        <f>IFERROR(__xludf.DUMMYFUNCTION("REGEXREPLACE(C9330,""-\d+(.*)|--\d+(.*)"","""")"),"VERRIERES-LE-BUISSON")</f>
        <v>VERRIERES-LE-BUISSON</v>
      </c>
      <c r="E9330" s="38" t="s">
        <v>756</v>
      </c>
      <c r="F9330" s="38" t="s">
        <v>245</v>
      </c>
      <c r="G9330" s="49" t="str">
        <f t="shared" si="1"/>
        <v>91370</v>
      </c>
      <c r="H9330" s="49">
        <f t="shared" si="2"/>
        <v>91645</v>
      </c>
    </row>
    <row r="9331">
      <c r="A9331" s="48" t="s">
        <v>9174</v>
      </c>
      <c r="B9331" s="38">
        <v>35232.0</v>
      </c>
      <c r="C9331" s="38" t="s">
        <v>13179</v>
      </c>
      <c r="D9331" s="38" t="str">
        <f>IFERROR(__xludf.DUMMYFUNCTION("REGEXREPLACE(C9331,""-\d+(.*)|--\d+(.*)"","""")"),"PRINCE")</f>
        <v>PRINCE</v>
      </c>
      <c r="E9331" s="38" t="s">
        <v>347</v>
      </c>
      <c r="F9331" s="38" t="s">
        <v>90</v>
      </c>
      <c r="G9331" s="49" t="str">
        <f t="shared" si="1"/>
        <v>35210</v>
      </c>
      <c r="H9331" s="49">
        <f t="shared" si="2"/>
        <v>35232</v>
      </c>
    </row>
    <row r="9332">
      <c r="A9332" s="48" t="s">
        <v>13180</v>
      </c>
      <c r="B9332" s="38">
        <v>77133.0</v>
      </c>
      <c r="C9332" s="38" t="s">
        <v>13181</v>
      </c>
      <c r="D9332" s="38" t="str">
        <f>IFERROR(__xludf.DUMMYFUNCTION("REGEXREPLACE(C9332,""-\d+(.*)|--\d+(.*)"","""")"),"COURCELLES-EN-BASSEE")</f>
        <v>COURCELLES-EN-BASSEE</v>
      </c>
      <c r="E9332" s="38" t="s">
        <v>244</v>
      </c>
      <c r="F9332" s="38" t="s">
        <v>245</v>
      </c>
      <c r="G9332" s="49" t="str">
        <f t="shared" si="1"/>
        <v>77126</v>
      </c>
      <c r="H9332" s="49">
        <f t="shared" si="2"/>
        <v>77133</v>
      </c>
    </row>
    <row r="9333">
      <c r="A9333" s="48" t="s">
        <v>7821</v>
      </c>
      <c r="B9333" s="38">
        <v>8154.0</v>
      </c>
      <c r="C9333" s="38" t="s">
        <v>13182</v>
      </c>
      <c r="D9333" s="38" t="str">
        <f>IFERROR(__xludf.DUMMYFUNCTION("REGEXREPLACE(C9333,""-\d+(.*)|--\d+(.*)"","""")"),"ESTREBAY")</f>
        <v>ESTREBAY</v>
      </c>
      <c r="E9333" s="38" t="s">
        <v>327</v>
      </c>
      <c r="F9333" s="38" t="s">
        <v>130</v>
      </c>
      <c r="G9333" s="49" t="str">
        <f t="shared" si="1"/>
        <v>08260</v>
      </c>
      <c r="H9333" s="49" t="str">
        <f t="shared" si="2"/>
        <v>08154</v>
      </c>
    </row>
    <row r="9334">
      <c r="A9334" s="48" t="s">
        <v>4344</v>
      </c>
      <c r="B9334" s="38">
        <v>14668.0</v>
      </c>
      <c r="C9334" s="38" t="s">
        <v>13183</v>
      </c>
      <c r="D9334" s="38" t="str">
        <f>IFERROR(__xludf.DUMMYFUNCTION("REGEXREPLACE(C9334,""-\d+(.*)|--\d+(.*)"","""")"),"SAONNET")</f>
        <v>SAONNET</v>
      </c>
      <c r="E9334" s="38" t="s">
        <v>137</v>
      </c>
      <c r="F9334" s="38" t="s">
        <v>138</v>
      </c>
      <c r="G9334" s="49" t="str">
        <f t="shared" si="1"/>
        <v>14330</v>
      </c>
      <c r="H9334" s="49">
        <f t="shared" si="2"/>
        <v>14668</v>
      </c>
    </row>
    <row r="9335">
      <c r="A9335" s="48" t="s">
        <v>398</v>
      </c>
      <c r="B9335" s="38">
        <v>39237.0</v>
      </c>
      <c r="C9335" s="38" t="s">
        <v>13184</v>
      </c>
      <c r="D9335" s="38" t="str">
        <f>IFERROR(__xludf.DUMMYFUNCTION("REGEXREPLACE(C9335,""-\d+(.*)|--\d+(.*)"","""")"),"FRAROZ")</f>
        <v>FRAROZ</v>
      </c>
      <c r="E9335" s="38" t="s">
        <v>400</v>
      </c>
      <c r="F9335" s="38" t="s">
        <v>214</v>
      </c>
      <c r="G9335" s="49" t="str">
        <f t="shared" si="1"/>
        <v>39250</v>
      </c>
      <c r="H9335" s="49">
        <f t="shared" si="2"/>
        <v>39237</v>
      </c>
    </row>
    <row r="9336">
      <c r="A9336" s="48" t="s">
        <v>13185</v>
      </c>
      <c r="B9336" s="38">
        <v>60494.0</v>
      </c>
      <c r="C9336" s="38" t="s">
        <v>13186</v>
      </c>
      <c r="D9336" s="38" t="str">
        <f>IFERROR(__xludf.DUMMYFUNCTION("REGEXREPLACE(C9336,""-\d+(.*)|--\d+(.*)"","""")"),"PLAILLY")</f>
        <v>PLAILLY</v>
      </c>
      <c r="E9336" s="38" t="s">
        <v>112</v>
      </c>
      <c r="F9336" s="38" t="s">
        <v>113</v>
      </c>
      <c r="G9336" s="49" t="str">
        <f t="shared" si="1"/>
        <v>60128</v>
      </c>
      <c r="H9336" s="49">
        <f t="shared" si="2"/>
        <v>60494</v>
      </c>
    </row>
    <row r="9337">
      <c r="A9337" s="48" t="s">
        <v>8966</v>
      </c>
      <c r="B9337" s="38">
        <v>38553.0</v>
      </c>
      <c r="C9337" s="38" t="s">
        <v>13187</v>
      </c>
      <c r="D9337" s="38" t="str">
        <f>IFERROR(__xludf.DUMMYFUNCTION("REGEXREPLACE(C9337,""-\d+(.*)|--\d+(.*)"","""")"),"VILLEFONTAINE")</f>
        <v>VILLEFONTAINE</v>
      </c>
      <c r="E9337" s="38" t="s">
        <v>101</v>
      </c>
      <c r="F9337" s="38" t="s">
        <v>102</v>
      </c>
      <c r="G9337" s="49" t="str">
        <f t="shared" si="1"/>
        <v>38090</v>
      </c>
      <c r="H9337" s="49">
        <f t="shared" si="2"/>
        <v>38553</v>
      </c>
    </row>
    <row r="9338">
      <c r="A9338" s="48" t="s">
        <v>2835</v>
      </c>
      <c r="B9338" s="38">
        <v>18224.0</v>
      </c>
      <c r="C9338" s="38" t="s">
        <v>11682</v>
      </c>
      <c r="D9338" s="38" t="str">
        <f>IFERROR(__xludf.DUMMYFUNCTION("REGEXREPLACE(C9338,""-\d+(.*)|--\d+(.*)"","""")"),"SAINT-MARTIN-DES-CHAMPS")</f>
        <v>SAINT-MARTIN-DES-CHAMPS</v>
      </c>
      <c r="E9338" s="38" t="s">
        <v>504</v>
      </c>
      <c r="F9338" s="38" t="s">
        <v>123</v>
      </c>
      <c r="G9338" s="49" t="str">
        <f t="shared" si="1"/>
        <v>18140</v>
      </c>
      <c r="H9338" s="49">
        <f t="shared" si="2"/>
        <v>18224</v>
      </c>
    </row>
    <row r="9339">
      <c r="A9339" s="48" t="s">
        <v>155</v>
      </c>
      <c r="B9339" s="38">
        <v>50219.0</v>
      </c>
      <c r="C9339" s="38" t="s">
        <v>13188</v>
      </c>
      <c r="D9339" s="38" t="str">
        <f>IFERROR(__xludf.DUMMYFUNCTION("REGEXREPLACE(C9339,""-\d+(.*)|--\d+(.*)"","""")"),"GRATOT")</f>
        <v>GRATOT</v>
      </c>
      <c r="E9339" s="38" t="s">
        <v>157</v>
      </c>
      <c r="F9339" s="38" t="s">
        <v>138</v>
      </c>
      <c r="G9339" s="49" t="str">
        <f t="shared" si="1"/>
        <v>50200</v>
      </c>
      <c r="H9339" s="49">
        <f t="shared" si="2"/>
        <v>50219</v>
      </c>
    </row>
    <row r="9340">
      <c r="A9340" s="48" t="s">
        <v>3450</v>
      </c>
      <c r="B9340" s="38">
        <v>60410.0</v>
      </c>
      <c r="C9340" s="38" t="s">
        <v>13189</v>
      </c>
      <c r="D9340" s="38" t="str">
        <f>IFERROR(__xludf.DUMMYFUNCTION("REGEXREPLACE(C9340,""-\d+(.*)|--\d+(.*)"","""")"),"MONDESCOURT")</f>
        <v>MONDESCOURT</v>
      </c>
      <c r="E9340" s="38" t="s">
        <v>112</v>
      </c>
      <c r="F9340" s="38" t="s">
        <v>113</v>
      </c>
      <c r="G9340" s="49" t="str">
        <f t="shared" si="1"/>
        <v>60400</v>
      </c>
      <c r="H9340" s="49">
        <f t="shared" si="2"/>
        <v>60410</v>
      </c>
    </row>
    <row r="9341">
      <c r="A9341" s="48" t="s">
        <v>3450</v>
      </c>
      <c r="B9341" s="38">
        <v>60348.0</v>
      </c>
      <c r="C9341" s="38" t="s">
        <v>13190</v>
      </c>
      <c r="D9341" s="38" t="str">
        <f>IFERROR(__xludf.DUMMYFUNCTION("REGEXREPLACE(C9341,""-\d+(.*)|--\d+(.*)"","""")"),"LARBROYE")</f>
        <v>LARBROYE</v>
      </c>
      <c r="E9341" s="38" t="s">
        <v>112</v>
      </c>
      <c r="F9341" s="38" t="s">
        <v>113</v>
      </c>
      <c r="G9341" s="49" t="str">
        <f t="shared" si="1"/>
        <v>60400</v>
      </c>
      <c r="H9341" s="49">
        <f t="shared" si="2"/>
        <v>60348</v>
      </c>
    </row>
    <row r="9342">
      <c r="A9342" s="48" t="s">
        <v>8873</v>
      </c>
      <c r="B9342" s="38">
        <v>34294.0</v>
      </c>
      <c r="C9342" s="38" t="s">
        <v>13191</v>
      </c>
      <c r="D9342" s="38" t="str">
        <f>IFERROR(__xludf.DUMMYFUNCTION("REGEXREPLACE(C9342,""-\d+(.*)|--\d+(.*)"","""")"),"SATURARGUES")</f>
        <v>SATURARGUES</v>
      </c>
      <c r="E9342" s="38" t="s">
        <v>118</v>
      </c>
      <c r="F9342" s="38" t="s">
        <v>119</v>
      </c>
      <c r="G9342" s="49" t="str">
        <f t="shared" si="1"/>
        <v>34400</v>
      </c>
      <c r="H9342" s="49">
        <f t="shared" si="2"/>
        <v>34294</v>
      </c>
    </row>
    <row r="9343">
      <c r="A9343" s="48" t="s">
        <v>1857</v>
      </c>
      <c r="B9343" s="38">
        <v>4233.0</v>
      </c>
      <c r="C9343" s="38" t="s">
        <v>13192</v>
      </c>
      <c r="D9343" s="38" t="str">
        <f>IFERROR(__xludf.DUMMYFUNCTION("REGEXREPLACE(C9343,""-\d+(.*)|--\d+(.*)"","""")"),"VAUMEILH")</f>
        <v>VAUMEILH</v>
      </c>
      <c r="E9343" s="38" t="s">
        <v>662</v>
      </c>
      <c r="F9343" s="38" t="s">
        <v>228</v>
      </c>
      <c r="G9343" s="49" t="str">
        <f t="shared" si="1"/>
        <v>04200</v>
      </c>
      <c r="H9343" s="49" t="str">
        <f t="shared" si="2"/>
        <v>04233</v>
      </c>
    </row>
    <row r="9344">
      <c r="A9344" s="48" t="s">
        <v>13193</v>
      </c>
      <c r="B9344" s="38">
        <v>50029.0</v>
      </c>
      <c r="C9344" s="38" t="s">
        <v>13194</v>
      </c>
      <c r="D9344" s="38" t="str">
        <f>IFERROR(__xludf.DUMMYFUNCTION("REGEXREPLACE(C9344,""-\d+(.*)|--\d+(.*)"","""")"),"BARENTON")</f>
        <v>BARENTON</v>
      </c>
      <c r="E9344" s="38" t="s">
        <v>157</v>
      </c>
      <c r="F9344" s="38" t="s">
        <v>138</v>
      </c>
      <c r="G9344" s="49" t="str">
        <f t="shared" si="1"/>
        <v>50720</v>
      </c>
      <c r="H9344" s="49">
        <f t="shared" si="2"/>
        <v>50029</v>
      </c>
    </row>
    <row r="9345">
      <c r="A9345" s="48" t="s">
        <v>1106</v>
      </c>
      <c r="B9345" s="38">
        <v>14689.0</v>
      </c>
      <c r="C9345" s="38" t="s">
        <v>13195</v>
      </c>
      <c r="D9345" s="38" t="str">
        <f>IFERROR(__xludf.DUMMYFUNCTION("REGEXREPLACE(C9345,""-\d+(.*)|--\d+(.*)"","""")"),"THURY-HARCOURT")</f>
        <v>THURY-HARCOURT</v>
      </c>
      <c r="E9345" s="38" t="s">
        <v>137</v>
      </c>
      <c r="F9345" s="38" t="s">
        <v>138</v>
      </c>
      <c r="G9345" s="49" t="str">
        <f t="shared" si="1"/>
        <v>14220</v>
      </c>
      <c r="H9345" s="49">
        <f t="shared" si="2"/>
        <v>14689</v>
      </c>
    </row>
    <row r="9346">
      <c r="A9346" s="48" t="s">
        <v>330</v>
      </c>
      <c r="B9346" s="38">
        <v>43047.0</v>
      </c>
      <c r="C9346" s="38" t="s">
        <v>13196</v>
      </c>
      <c r="D9346" s="38" t="str">
        <f>IFERROR(__xludf.DUMMYFUNCTION("REGEXREPLACE(C9346,""-\d+(.*)|--\d+(.*)"","""")"),"CHADRON")</f>
        <v>CHADRON</v>
      </c>
      <c r="E9346" s="38" t="s">
        <v>332</v>
      </c>
      <c r="F9346" s="38" t="s">
        <v>161</v>
      </c>
      <c r="G9346" s="49" t="str">
        <f t="shared" si="1"/>
        <v>43150</v>
      </c>
      <c r="H9346" s="49">
        <f t="shared" si="2"/>
        <v>43047</v>
      </c>
    </row>
    <row r="9347">
      <c r="A9347" s="48" t="s">
        <v>13197</v>
      </c>
      <c r="B9347" s="38">
        <v>91378.0</v>
      </c>
      <c r="C9347" s="38" t="s">
        <v>13198</v>
      </c>
      <c r="D9347" s="38" t="str">
        <f>IFERROR(__xludf.DUMMYFUNCTION("REGEXREPLACE(C9347,""-\d+(.*)|--\d+(.*)"","""")"),"MAUCHAMPS")</f>
        <v>MAUCHAMPS</v>
      </c>
      <c r="E9347" s="38" t="s">
        <v>756</v>
      </c>
      <c r="F9347" s="38" t="s">
        <v>245</v>
      </c>
      <c r="G9347" s="49" t="str">
        <f t="shared" si="1"/>
        <v>91730</v>
      </c>
      <c r="H9347" s="49">
        <f t="shared" si="2"/>
        <v>91378</v>
      </c>
    </row>
    <row r="9348">
      <c r="A9348" s="48" t="s">
        <v>2326</v>
      </c>
      <c r="B9348" s="38">
        <v>54446.0</v>
      </c>
      <c r="C9348" s="38" t="s">
        <v>13199</v>
      </c>
      <c r="D9348" s="38" t="str">
        <f>IFERROR(__xludf.DUMMYFUNCTION("REGEXREPLACE(C9348,""-\d+(.*)|--\d+(.*)"","""")"),"RECHICOURT-LA-PETITE")</f>
        <v>RECHICOURT-LA-PETITE</v>
      </c>
      <c r="E9348" s="38" t="s">
        <v>548</v>
      </c>
      <c r="F9348" s="38" t="s">
        <v>195</v>
      </c>
      <c r="G9348" s="49" t="str">
        <f t="shared" si="1"/>
        <v>54370</v>
      </c>
      <c r="H9348" s="49">
        <f t="shared" si="2"/>
        <v>54446</v>
      </c>
    </row>
    <row r="9349">
      <c r="A9349" s="48" t="s">
        <v>1208</v>
      </c>
      <c r="B9349" s="38">
        <v>32209.0</v>
      </c>
      <c r="C9349" s="38" t="s">
        <v>13200</v>
      </c>
      <c r="D9349" s="38" t="str">
        <f>IFERROR(__xludf.DUMMYFUNCTION("REGEXREPLACE(C9349,""-\d+(.*)|--\d+(.*)"","""")"),"LELIN-LAPUJOLLE")</f>
        <v>LELIN-LAPUJOLLE</v>
      </c>
      <c r="E9349" s="38" t="s">
        <v>440</v>
      </c>
      <c r="F9349" s="38" t="s">
        <v>94</v>
      </c>
      <c r="G9349" s="49" t="str">
        <f t="shared" si="1"/>
        <v>32400</v>
      </c>
      <c r="H9349" s="49">
        <f t="shared" si="2"/>
        <v>32209</v>
      </c>
    </row>
    <row r="9350">
      <c r="A9350" s="48" t="s">
        <v>12221</v>
      </c>
      <c r="B9350" s="38">
        <v>41039.0</v>
      </c>
      <c r="C9350" s="38" t="s">
        <v>13201</v>
      </c>
      <c r="D9350" s="38" t="str">
        <f>IFERROR(__xludf.DUMMYFUNCTION("REGEXREPLACE(C9350,""-\d+(.*)|--\d+(.*)"","""")"),"LA CHAPELLE-SAINT-MARTIN-EN-PLAINE")</f>
        <v>LA CHAPELLE-SAINT-MARTIN-EN-PLAINE</v>
      </c>
      <c r="E9350" s="38" t="s">
        <v>188</v>
      </c>
      <c r="F9350" s="38" t="s">
        <v>123</v>
      </c>
      <c r="G9350" s="49" t="str">
        <f t="shared" si="1"/>
        <v>41500</v>
      </c>
      <c r="H9350" s="49">
        <f t="shared" si="2"/>
        <v>41039</v>
      </c>
    </row>
    <row r="9351">
      <c r="A9351" s="48" t="s">
        <v>12195</v>
      </c>
      <c r="B9351" s="38">
        <v>22284.0</v>
      </c>
      <c r="C9351" s="38" t="s">
        <v>13202</v>
      </c>
      <c r="D9351" s="38" t="str">
        <f>IFERROR(__xludf.DUMMYFUNCTION("REGEXREPLACE(C9351,""-\d+(.*)|--\d+(.*)"","""")"),"SAINT-CONNAN")</f>
        <v>SAINT-CONNAN</v>
      </c>
      <c r="E9351" s="38" t="s">
        <v>89</v>
      </c>
      <c r="F9351" s="38" t="s">
        <v>90</v>
      </c>
      <c r="G9351" s="49" t="str">
        <f t="shared" si="1"/>
        <v>22480</v>
      </c>
      <c r="H9351" s="49">
        <f t="shared" si="2"/>
        <v>22284</v>
      </c>
    </row>
    <row r="9352">
      <c r="A9352" s="48" t="s">
        <v>3283</v>
      </c>
      <c r="B9352" s="38">
        <v>52468.0</v>
      </c>
      <c r="C9352" s="38" t="s">
        <v>13203</v>
      </c>
      <c r="D9352" s="38" t="str">
        <f>IFERROR(__xludf.DUMMYFUNCTION("REGEXREPLACE(C9352,""-\d+(.*)|--\d+(.*)"","""")"),"SEMILLY")</f>
        <v>SEMILLY</v>
      </c>
      <c r="E9352" s="38" t="s">
        <v>234</v>
      </c>
      <c r="F9352" s="38" t="s">
        <v>130</v>
      </c>
      <c r="G9352" s="49" t="str">
        <f t="shared" si="1"/>
        <v>52700</v>
      </c>
      <c r="H9352" s="49">
        <f t="shared" si="2"/>
        <v>52468</v>
      </c>
    </row>
    <row r="9353">
      <c r="A9353" s="48" t="s">
        <v>614</v>
      </c>
      <c r="B9353" s="38">
        <v>24159.0</v>
      </c>
      <c r="C9353" s="38" t="s">
        <v>13204</v>
      </c>
      <c r="D9353" s="38" t="str">
        <f>IFERROR(__xludf.DUMMYFUNCTION("REGEXREPLACE(C9353,""-\d+(.*)|--\d+(.*)"","""")"),"ECHOURGNAC")</f>
        <v>ECHOURGNAC</v>
      </c>
      <c r="E9353" s="38" t="s">
        <v>261</v>
      </c>
      <c r="F9353" s="38" t="s">
        <v>252</v>
      </c>
      <c r="G9353" s="49" t="str">
        <f t="shared" si="1"/>
        <v>24410</v>
      </c>
      <c r="H9353" s="49">
        <f t="shared" si="2"/>
        <v>24159</v>
      </c>
    </row>
    <row r="9354">
      <c r="A9354" s="48" t="s">
        <v>2924</v>
      </c>
      <c r="B9354" s="38">
        <v>8386.0</v>
      </c>
      <c r="C9354" s="38" t="s">
        <v>13205</v>
      </c>
      <c r="D9354" s="38" t="str">
        <f>IFERROR(__xludf.DUMMYFUNCTION("REGEXREPLACE(C9354,""-\d+(.*)|--\d+(.*)"","""")"),"SAINT-LOUP-EN-CHAMPAGNE")</f>
        <v>SAINT-LOUP-EN-CHAMPAGNE</v>
      </c>
      <c r="E9354" s="38" t="s">
        <v>327</v>
      </c>
      <c r="F9354" s="38" t="s">
        <v>130</v>
      </c>
      <c r="G9354" s="49" t="str">
        <f t="shared" si="1"/>
        <v>08300</v>
      </c>
      <c r="H9354" s="49" t="str">
        <f t="shared" si="2"/>
        <v>08386</v>
      </c>
    </row>
    <row r="9355">
      <c r="A9355" s="48" t="s">
        <v>3716</v>
      </c>
      <c r="B9355" s="38">
        <v>57749.0</v>
      </c>
      <c r="C9355" s="38" t="s">
        <v>13206</v>
      </c>
      <c r="D9355" s="38" t="str">
        <f>IFERROR(__xludf.DUMMYFUNCTION("REGEXREPLACE(C9355,""-\d+(.*)|--\d+(.*)"","""")"),"VOELFLING-LES-BOUZONVILLE")</f>
        <v>VOELFLING-LES-BOUZONVILLE</v>
      </c>
      <c r="E9355" s="38" t="s">
        <v>303</v>
      </c>
      <c r="F9355" s="38" t="s">
        <v>195</v>
      </c>
      <c r="G9355" s="49" t="str">
        <f t="shared" si="1"/>
        <v>57320</v>
      </c>
      <c r="H9355" s="49">
        <f t="shared" si="2"/>
        <v>57749</v>
      </c>
    </row>
    <row r="9356">
      <c r="A9356" s="48" t="s">
        <v>1483</v>
      </c>
      <c r="B9356" s="38">
        <v>80161.0</v>
      </c>
      <c r="C9356" s="38" t="s">
        <v>13207</v>
      </c>
      <c r="D9356" s="38" t="str">
        <f>IFERROR(__xludf.DUMMYFUNCTION("REGEXREPLACE(C9356,""-\d+(.*)|--\d+(.*)"","""")"),"CAHON")</f>
        <v>CAHON</v>
      </c>
      <c r="E9356" s="38" t="s">
        <v>224</v>
      </c>
      <c r="F9356" s="38" t="s">
        <v>113</v>
      </c>
      <c r="G9356" s="49" t="str">
        <f t="shared" si="1"/>
        <v>80132</v>
      </c>
      <c r="H9356" s="49">
        <f t="shared" si="2"/>
        <v>80161</v>
      </c>
    </row>
    <row r="9357">
      <c r="A9357" s="48" t="s">
        <v>1728</v>
      </c>
      <c r="B9357" s="38">
        <v>45253.0</v>
      </c>
      <c r="C9357" s="38" t="s">
        <v>13208</v>
      </c>
      <c r="D9357" s="38" t="str">
        <f>IFERROR(__xludf.DUMMYFUNCTION("REGEXREPLACE(C9357,""-\d+(.*)|--\d+(.*)"","""")"),"PITHIVIERS-LE-VIEIL")</f>
        <v>PITHIVIERS-LE-VIEIL</v>
      </c>
      <c r="E9357" s="38" t="s">
        <v>122</v>
      </c>
      <c r="F9357" s="38" t="s">
        <v>123</v>
      </c>
      <c r="G9357" s="49" t="str">
        <f t="shared" si="1"/>
        <v>45300</v>
      </c>
      <c r="H9357" s="49">
        <f t="shared" si="2"/>
        <v>45253</v>
      </c>
    </row>
    <row r="9358">
      <c r="A9358" s="48" t="s">
        <v>3958</v>
      </c>
      <c r="B9358" s="38">
        <v>31069.0</v>
      </c>
      <c r="C9358" s="38" t="s">
        <v>13209</v>
      </c>
      <c r="D9358" s="38" t="str">
        <f>IFERROR(__xludf.DUMMYFUNCTION("REGEXREPLACE(C9358,""-\d+(.*)|--\d+(.*)"","""")"),"BLAGNAC")</f>
        <v>BLAGNAC</v>
      </c>
      <c r="E9358" s="38" t="s">
        <v>93</v>
      </c>
      <c r="F9358" s="38" t="s">
        <v>94</v>
      </c>
      <c r="G9358" s="49" t="str">
        <f t="shared" si="1"/>
        <v>31700</v>
      </c>
      <c r="H9358" s="49">
        <f t="shared" si="2"/>
        <v>31069</v>
      </c>
    </row>
    <row r="9359">
      <c r="A9359" s="48" t="s">
        <v>637</v>
      </c>
      <c r="B9359" s="38">
        <v>1007.0</v>
      </c>
      <c r="C9359" s="38" t="s">
        <v>13210</v>
      </c>
      <c r="D9359" s="38" t="str">
        <f>IFERROR(__xludf.DUMMYFUNCTION("REGEXREPLACE(C9359,""-\d+(.*)|--\d+(.*)"","""")"),"AMBRONAY")</f>
        <v>AMBRONAY</v>
      </c>
      <c r="E9359" s="38" t="s">
        <v>255</v>
      </c>
      <c r="F9359" s="38" t="s">
        <v>102</v>
      </c>
      <c r="G9359" s="49" t="str">
        <f t="shared" si="1"/>
        <v>01500</v>
      </c>
      <c r="H9359" s="49" t="str">
        <f t="shared" si="2"/>
        <v>01007</v>
      </c>
    </row>
    <row r="9360">
      <c r="A9360" s="48" t="s">
        <v>10063</v>
      </c>
      <c r="B9360" s="38">
        <v>18172.0</v>
      </c>
      <c r="C9360" s="38" t="s">
        <v>13211</v>
      </c>
      <c r="D9360" s="38" t="str">
        <f>IFERROR(__xludf.DUMMYFUNCTION("REGEXREPLACE(C9360,""-\d+(.*)|--\d+(.*)"","""")"),"ORVAL")</f>
        <v>ORVAL</v>
      </c>
      <c r="E9360" s="38" t="s">
        <v>504</v>
      </c>
      <c r="F9360" s="38" t="s">
        <v>123</v>
      </c>
      <c r="G9360" s="49" t="str">
        <f t="shared" si="1"/>
        <v>18200</v>
      </c>
      <c r="H9360" s="49">
        <f t="shared" si="2"/>
        <v>18172</v>
      </c>
    </row>
    <row r="9361">
      <c r="A9361" s="48" t="s">
        <v>8302</v>
      </c>
      <c r="B9361" s="38">
        <v>66046.0</v>
      </c>
      <c r="C9361" s="38" t="s">
        <v>13212</v>
      </c>
      <c r="D9361" s="38" t="str">
        <f>IFERROR(__xludf.DUMMYFUNCTION("REGEXREPLACE(C9361,""-\d+(.*)|--\d+(.*)"","""")"),"CAUDIES-DE-FENOUILLEDES")</f>
        <v>CAUDIES-DE-FENOUILLEDES</v>
      </c>
      <c r="E9361" s="38" t="s">
        <v>248</v>
      </c>
      <c r="F9361" s="38" t="s">
        <v>119</v>
      </c>
      <c r="G9361" s="49" t="str">
        <f t="shared" si="1"/>
        <v>66220</v>
      </c>
      <c r="H9361" s="49">
        <f t="shared" si="2"/>
        <v>66046</v>
      </c>
    </row>
    <row r="9362">
      <c r="A9362" s="48" t="s">
        <v>1174</v>
      </c>
      <c r="B9362" s="38">
        <v>51340.0</v>
      </c>
      <c r="C9362" s="38" t="s">
        <v>13213</v>
      </c>
      <c r="D9362" s="38" t="str">
        <f>IFERROR(__xludf.DUMMYFUNCTION("REGEXREPLACE(C9362,""-\d+(.*)|--\d+(.*)"","""")"),"MAISONS-EN-CHAMPAGNE")</f>
        <v>MAISONS-EN-CHAMPAGNE</v>
      </c>
      <c r="E9362" s="38" t="s">
        <v>129</v>
      </c>
      <c r="F9362" s="38" t="s">
        <v>130</v>
      </c>
      <c r="G9362" s="49" t="str">
        <f t="shared" si="1"/>
        <v>51300</v>
      </c>
      <c r="H9362" s="49">
        <f t="shared" si="2"/>
        <v>51340</v>
      </c>
    </row>
    <row r="9363">
      <c r="A9363" s="48" t="s">
        <v>1450</v>
      </c>
      <c r="B9363" s="38">
        <v>50134.0</v>
      </c>
      <c r="C9363" s="38" t="s">
        <v>13214</v>
      </c>
      <c r="D9363" s="38" t="str">
        <f>IFERROR(__xludf.DUMMYFUNCTION("REGEXREPLACE(C9363,""-\d+(.*)|--\d+(.*)"","""")"),"CHEVRY")</f>
        <v>CHEVRY</v>
      </c>
      <c r="E9363" s="38" t="s">
        <v>157</v>
      </c>
      <c r="F9363" s="38" t="s">
        <v>138</v>
      </c>
      <c r="G9363" s="49" t="str">
        <f t="shared" si="1"/>
        <v>50420</v>
      </c>
      <c r="H9363" s="49">
        <f t="shared" si="2"/>
        <v>50134</v>
      </c>
    </row>
    <row r="9364">
      <c r="A9364" s="48" t="s">
        <v>7804</v>
      </c>
      <c r="B9364" s="38">
        <v>51443.0</v>
      </c>
      <c r="C9364" s="38" t="s">
        <v>13215</v>
      </c>
      <c r="D9364" s="38" t="str">
        <f>IFERROR(__xludf.DUMMYFUNCTION("REGEXREPLACE(C9364,""-\d+(.*)|--\d+(.*)"","""")"),"POTANGIS")</f>
        <v>POTANGIS</v>
      </c>
      <c r="E9364" s="38" t="s">
        <v>129</v>
      </c>
      <c r="F9364" s="38" t="s">
        <v>130</v>
      </c>
      <c r="G9364" s="49" t="str">
        <f t="shared" si="1"/>
        <v>51260</v>
      </c>
      <c r="H9364" s="49">
        <f t="shared" si="2"/>
        <v>51443</v>
      </c>
    </row>
    <row r="9365">
      <c r="A9365" s="48" t="s">
        <v>10390</v>
      </c>
      <c r="B9365" s="38">
        <v>74036.0</v>
      </c>
      <c r="C9365" s="38" t="s">
        <v>13216</v>
      </c>
      <c r="D9365" s="38" t="str">
        <f>IFERROR(__xludf.DUMMYFUNCTION("REGEXREPLACE(C9365,""-\d+(.*)|--\d+(.*)"","""")"),"BLUFFY")</f>
        <v>BLUFFY</v>
      </c>
      <c r="E9365" s="38" t="s">
        <v>319</v>
      </c>
      <c r="F9365" s="38" t="s">
        <v>102</v>
      </c>
      <c r="G9365" s="49" t="str">
        <f t="shared" si="1"/>
        <v>74290</v>
      </c>
      <c r="H9365" s="49">
        <f t="shared" si="2"/>
        <v>74036</v>
      </c>
    </row>
    <row r="9366">
      <c r="A9366" s="48" t="s">
        <v>3687</v>
      </c>
      <c r="B9366" s="38">
        <v>53141.0</v>
      </c>
      <c r="C9366" s="38" t="s">
        <v>13217</v>
      </c>
      <c r="D9366" s="38" t="str">
        <f>IFERROR(__xludf.DUMMYFUNCTION("REGEXREPLACE(C9366,""-\d+(.*)|--\d+(.*)"","""")"),"LOUVIGNE")</f>
        <v>LOUVIGNE</v>
      </c>
      <c r="E9366" s="38" t="s">
        <v>518</v>
      </c>
      <c r="F9366" s="38" t="s">
        <v>180</v>
      </c>
      <c r="G9366" s="49" t="str">
        <f t="shared" si="1"/>
        <v>53210</v>
      </c>
      <c r="H9366" s="49">
        <f t="shared" si="2"/>
        <v>53141</v>
      </c>
    </row>
    <row r="9367">
      <c r="A9367" s="48" t="s">
        <v>13218</v>
      </c>
      <c r="B9367" s="38">
        <v>13021.0</v>
      </c>
      <c r="C9367" s="38" t="s">
        <v>13219</v>
      </c>
      <c r="D9367" s="38" t="str">
        <f>IFERROR(__xludf.DUMMYFUNCTION("REGEXREPLACE(C9367,""-\d+(.*)|--\d+(.*)"","""")"),"CARRY-LE-ROUET")</f>
        <v>CARRY-LE-ROUET</v>
      </c>
      <c r="E9367" s="38" t="s">
        <v>980</v>
      </c>
      <c r="F9367" s="38" t="s">
        <v>228</v>
      </c>
      <c r="G9367" s="49" t="str">
        <f t="shared" si="1"/>
        <v>13620</v>
      </c>
      <c r="H9367" s="49">
        <f t="shared" si="2"/>
        <v>13021</v>
      </c>
    </row>
    <row r="9368">
      <c r="A9368" s="48" t="s">
        <v>1997</v>
      </c>
      <c r="B9368" s="38">
        <v>21574.0</v>
      </c>
      <c r="C9368" s="38" t="s">
        <v>13220</v>
      </c>
      <c r="D9368" s="38" t="str">
        <f>IFERROR(__xludf.DUMMYFUNCTION("REGEXREPLACE(C9368,""-\d+(.*)|--\d+(.*)"","""")"),"SAINT-SEINE-SUR-VINGEANNE")</f>
        <v>SAINT-SEINE-SUR-VINGEANNE</v>
      </c>
      <c r="E9368" s="38" t="s">
        <v>105</v>
      </c>
      <c r="F9368" s="38" t="s">
        <v>106</v>
      </c>
      <c r="G9368" s="49" t="str">
        <f t="shared" si="1"/>
        <v>21610</v>
      </c>
      <c r="H9368" s="49">
        <f t="shared" si="2"/>
        <v>21574</v>
      </c>
    </row>
    <row r="9369">
      <c r="A9369" s="48" t="s">
        <v>3488</v>
      </c>
      <c r="B9369" s="38">
        <v>67109.0</v>
      </c>
      <c r="C9369" s="38" t="s">
        <v>13221</v>
      </c>
      <c r="D9369" s="38" t="str">
        <f>IFERROR(__xludf.DUMMYFUNCTION("REGEXREPLACE(C9369,""-\d+(.*)|--\d+(.*)"","""")"),"DURNINGEN")</f>
        <v>DURNINGEN</v>
      </c>
      <c r="E9369" s="38" t="s">
        <v>210</v>
      </c>
      <c r="F9369" s="38" t="s">
        <v>151</v>
      </c>
      <c r="G9369" s="49" t="str">
        <f t="shared" si="1"/>
        <v>67270</v>
      </c>
      <c r="H9369" s="49">
        <f t="shared" si="2"/>
        <v>67109</v>
      </c>
    </row>
    <row r="9370">
      <c r="A9370" s="48" t="s">
        <v>2111</v>
      </c>
      <c r="B9370" s="38">
        <v>77243.0</v>
      </c>
      <c r="C9370" s="38" t="s">
        <v>13222</v>
      </c>
      <c r="D9370" s="38" t="str">
        <f>IFERROR(__xludf.DUMMYFUNCTION("REGEXREPLACE(C9370,""-\d+(.*)|--\d+(.*)"","""")"),"LAGNY-SUR-MARNE")</f>
        <v>LAGNY-SUR-MARNE</v>
      </c>
      <c r="E9370" s="38" t="s">
        <v>244</v>
      </c>
      <c r="F9370" s="38" t="s">
        <v>245</v>
      </c>
      <c r="G9370" s="49" t="str">
        <f t="shared" si="1"/>
        <v>77400</v>
      </c>
      <c r="H9370" s="49">
        <f t="shared" si="2"/>
        <v>77243</v>
      </c>
    </row>
    <row r="9371">
      <c r="A9371" s="48" t="s">
        <v>13171</v>
      </c>
      <c r="B9371" s="38">
        <v>15027.0</v>
      </c>
      <c r="C9371" s="38" t="s">
        <v>13223</v>
      </c>
      <c r="D9371" s="38" t="str">
        <f>IFERROR(__xludf.DUMMYFUNCTION("REGEXREPLACE(C9371,""-\d+(.*)|--\d+(.*)"","""")"),"CALVINET")</f>
        <v>CALVINET</v>
      </c>
      <c r="E9371" s="38" t="s">
        <v>632</v>
      </c>
      <c r="F9371" s="38" t="s">
        <v>161</v>
      </c>
      <c r="G9371" s="49" t="str">
        <f t="shared" si="1"/>
        <v>15340</v>
      </c>
      <c r="H9371" s="49">
        <f t="shared" si="2"/>
        <v>15027</v>
      </c>
    </row>
    <row r="9372">
      <c r="A9372" s="48" t="s">
        <v>443</v>
      </c>
      <c r="B9372" s="38">
        <v>24303.0</v>
      </c>
      <c r="C9372" s="38" t="s">
        <v>13224</v>
      </c>
      <c r="D9372" s="38" t="str">
        <f>IFERROR(__xludf.DUMMYFUNCTION("REGEXREPLACE(C9372,""-\d+(.*)|--\d+(.*)"","""")"),"NANTEUIL-AURIAC-DE-BOURZAC")</f>
        <v>NANTEUIL-AURIAC-DE-BOURZAC</v>
      </c>
      <c r="E9372" s="38" t="s">
        <v>261</v>
      </c>
      <c r="F9372" s="38" t="s">
        <v>252</v>
      </c>
      <c r="G9372" s="49" t="str">
        <f t="shared" si="1"/>
        <v>24320</v>
      </c>
      <c r="H9372" s="49">
        <f t="shared" si="2"/>
        <v>24303</v>
      </c>
    </row>
    <row r="9373">
      <c r="A9373" s="48" t="s">
        <v>2328</v>
      </c>
      <c r="B9373" s="38">
        <v>57266.0</v>
      </c>
      <c r="C9373" s="38" t="s">
        <v>13225</v>
      </c>
      <c r="D9373" s="38" t="str">
        <f>IFERROR(__xludf.DUMMYFUNCTION("REGEXREPLACE(C9373,""-\d+(.*)|--\d+(.*)"","""")"),"GUEBLANGE-LES-DIEUZE")</f>
        <v>GUEBLANGE-LES-DIEUZE</v>
      </c>
      <c r="E9373" s="38" t="s">
        <v>303</v>
      </c>
      <c r="F9373" s="38" t="s">
        <v>195</v>
      </c>
      <c r="G9373" s="49" t="str">
        <f t="shared" si="1"/>
        <v>57260</v>
      </c>
      <c r="H9373" s="49">
        <f t="shared" si="2"/>
        <v>57266</v>
      </c>
    </row>
    <row r="9374">
      <c r="A9374" s="48" t="s">
        <v>1560</v>
      </c>
      <c r="B9374" s="38">
        <v>14626.0</v>
      </c>
      <c r="C9374" s="38" t="s">
        <v>13226</v>
      </c>
      <c r="D9374" s="38" t="str">
        <f>IFERROR(__xludf.DUMMYFUNCTION("REGEXREPLACE(C9374,""-\d+(.*)|--\d+(.*)"","""")"),"SAINT-MARTIN-DE-MAILLOC")</f>
        <v>SAINT-MARTIN-DE-MAILLOC</v>
      </c>
      <c r="E9374" s="38" t="s">
        <v>137</v>
      </c>
      <c r="F9374" s="38" t="s">
        <v>138</v>
      </c>
      <c r="G9374" s="49" t="str">
        <f t="shared" si="1"/>
        <v>14100</v>
      </c>
      <c r="H9374" s="49">
        <f t="shared" si="2"/>
        <v>14626</v>
      </c>
    </row>
    <row r="9375">
      <c r="A9375" s="48" t="s">
        <v>11028</v>
      </c>
      <c r="B9375" s="38">
        <v>72303.0</v>
      </c>
      <c r="C9375" s="38" t="s">
        <v>13227</v>
      </c>
      <c r="D9375" s="38" t="str">
        <f>IFERROR(__xludf.DUMMYFUNCTION("REGEXREPLACE(C9375,""-\d+(.*)|--\d+(.*)"","""")"),"SAINT-MICHEL-DE-CHAVAIGNES")</f>
        <v>SAINT-MICHEL-DE-CHAVAIGNES</v>
      </c>
      <c r="E9375" s="38" t="s">
        <v>521</v>
      </c>
      <c r="F9375" s="38" t="s">
        <v>180</v>
      </c>
      <c r="G9375" s="49" t="str">
        <f t="shared" si="1"/>
        <v>72440</v>
      </c>
      <c r="H9375" s="49">
        <f t="shared" si="2"/>
        <v>72303</v>
      </c>
    </row>
    <row r="9376">
      <c r="A9376" s="48" t="s">
        <v>13228</v>
      </c>
      <c r="B9376" s="38">
        <v>38540.0</v>
      </c>
      <c r="C9376" s="38" t="s">
        <v>13229</v>
      </c>
      <c r="D9376" s="38" t="str">
        <f>IFERROR(__xludf.DUMMYFUNCTION("REGEXREPLACE(C9376,""-\d+(.*)|--\d+(.*)"","""")"),"VEUREY-VOROIZE")</f>
        <v>VEUREY-VOROIZE</v>
      </c>
      <c r="E9376" s="38" t="s">
        <v>101</v>
      </c>
      <c r="F9376" s="38" t="s">
        <v>102</v>
      </c>
      <c r="G9376" s="49" t="str">
        <f t="shared" si="1"/>
        <v>38113</v>
      </c>
      <c r="H9376" s="49">
        <f t="shared" si="2"/>
        <v>38540</v>
      </c>
    </row>
    <row r="9377">
      <c r="A9377" s="48" t="s">
        <v>4231</v>
      </c>
      <c r="B9377" s="38">
        <v>68177.0</v>
      </c>
      <c r="C9377" s="38" t="s">
        <v>13230</v>
      </c>
      <c r="D9377" s="38" t="str">
        <f>IFERROR(__xludf.DUMMYFUNCTION("REGEXREPLACE(C9377,""-\d+(.*)|--\d+(.*)"","""")"),"LAUTENBACH")</f>
        <v>LAUTENBACH</v>
      </c>
      <c r="E9377" s="38" t="s">
        <v>150</v>
      </c>
      <c r="F9377" s="38" t="s">
        <v>151</v>
      </c>
      <c r="G9377" s="49" t="str">
        <f t="shared" si="1"/>
        <v>68610</v>
      </c>
      <c r="H9377" s="49">
        <f t="shared" si="2"/>
        <v>68177</v>
      </c>
    </row>
    <row r="9378">
      <c r="A9378" s="48" t="s">
        <v>3212</v>
      </c>
      <c r="B9378" s="38">
        <v>64241.0</v>
      </c>
      <c r="C9378" s="38" t="s">
        <v>13231</v>
      </c>
      <c r="D9378" s="38" t="str">
        <f>IFERROR(__xludf.DUMMYFUNCTION("REGEXREPLACE(C9378,""-\d+(.*)|--\d+(.*)"","""")"),"GERONCE")</f>
        <v>GERONCE</v>
      </c>
      <c r="E9378" s="38" t="s">
        <v>268</v>
      </c>
      <c r="F9378" s="38" t="s">
        <v>252</v>
      </c>
      <c r="G9378" s="49" t="str">
        <f t="shared" si="1"/>
        <v>64400</v>
      </c>
      <c r="H9378" s="49">
        <f t="shared" si="2"/>
        <v>64241</v>
      </c>
    </row>
    <row r="9379">
      <c r="A9379" s="48" t="s">
        <v>13232</v>
      </c>
      <c r="B9379" s="38">
        <v>8318.0</v>
      </c>
      <c r="C9379" s="38" t="s">
        <v>13233</v>
      </c>
      <c r="D9379" s="38" t="str">
        <f>IFERROR(__xludf.DUMMYFUNCTION("REGEXREPLACE(C9379,""-\d+(.*)|--\d+(.*)"","""")"),"LA NEUVILLE-AUX-JOUTES")</f>
        <v>LA NEUVILLE-AUX-JOUTES</v>
      </c>
      <c r="E9379" s="38" t="s">
        <v>327</v>
      </c>
      <c r="F9379" s="38" t="s">
        <v>130</v>
      </c>
      <c r="G9379" s="49" t="str">
        <f t="shared" si="1"/>
        <v>08380</v>
      </c>
      <c r="H9379" s="49" t="str">
        <f t="shared" si="2"/>
        <v>08318</v>
      </c>
    </row>
    <row r="9380">
      <c r="A9380" s="48" t="s">
        <v>2328</v>
      </c>
      <c r="B9380" s="38">
        <v>57493.0</v>
      </c>
      <c r="C9380" s="38" t="s">
        <v>13234</v>
      </c>
      <c r="D9380" s="38" t="str">
        <f>IFERROR(__xludf.DUMMYFUNCTION("REGEXREPLACE(C9380,""-\d+(.*)|--\d+(.*)"","""")"),"MULCEY")</f>
        <v>MULCEY</v>
      </c>
      <c r="E9380" s="38" t="s">
        <v>303</v>
      </c>
      <c r="F9380" s="38" t="s">
        <v>195</v>
      </c>
      <c r="G9380" s="49" t="str">
        <f t="shared" si="1"/>
        <v>57260</v>
      </c>
      <c r="H9380" s="49">
        <f t="shared" si="2"/>
        <v>57493</v>
      </c>
    </row>
    <row r="9381">
      <c r="A9381" s="48" t="s">
        <v>493</v>
      </c>
      <c r="B9381" s="38">
        <v>28088.0</v>
      </c>
      <c r="C9381" s="38" t="s">
        <v>13235</v>
      </c>
      <c r="D9381" s="38" t="str">
        <f>IFERROR(__xludf.DUMMYFUNCTION("REGEXREPLACE(C9381,""-\d+(.*)|--\d+(.*)"","""")"),"CHATEAUDUN")</f>
        <v>CHATEAUDUN</v>
      </c>
      <c r="E9381" s="38" t="s">
        <v>300</v>
      </c>
      <c r="F9381" s="38" t="s">
        <v>123</v>
      </c>
      <c r="G9381" s="49" t="str">
        <f t="shared" si="1"/>
        <v>28200</v>
      </c>
      <c r="H9381" s="49">
        <f t="shared" si="2"/>
        <v>28088</v>
      </c>
    </row>
    <row r="9382">
      <c r="A9382" s="48" t="s">
        <v>13236</v>
      </c>
      <c r="B9382" s="38">
        <v>84113.0</v>
      </c>
      <c r="C9382" s="38" t="s">
        <v>13237</v>
      </c>
      <c r="D9382" s="38" t="str">
        <f>IFERROR(__xludf.DUMMYFUNCTION("REGEXREPLACE(C9382,""-\d+(.*)|--\d+(.*)"","""")"),"SAINT-MARTIN-DE-LA-BRASQUE")</f>
        <v>SAINT-MARTIN-DE-LA-BRASQUE</v>
      </c>
      <c r="E9382" s="38" t="s">
        <v>1026</v>
      </c>
      <c r="F9382" s="38" t="s">
        <v>228</v>
      </c>
      <c r="G9382" s="49" t="str">
        <f t="shared" si="1"/>
        <v>84760</v>
      </c>
      <c r="H9382" s="49">
        <f t="shared" si="2"/>
        <v>84113</v>
      </c>
    </row>
    <row r="9383">
      <c r="A9383" s="48" t="s">
        <v>2421</v>
      </c>
      <c r="B9383" s="38">
        <v>4037.0</v>
      </c>
      <c r="C9383" s="38" t="s">
        <v>13238</v>
      </c>
      <c r="D9383" s="38" t="str">
        <f>IFERROR(__xludf.DUMMYFUNCTION("REGEXREPLACE(C9383,""-\d+(.*)|--\d+(.*)"","""")"),"LE CAIRE")</f>
        <v>LE CAIRE</v>
      </c>
      <c r="E9383" s="38" t="s">
        <v>662</v>
      </c>
      <c r="F9383" s="38" t="s">
        <v>228</v>
      </c>
      <c r="G9383" s="49" t="str">
        <f t="shared" si="1"/>
        <v>04250</v>
      </c>
      <c r="H9383" s="49" t="str">
        <f t="shared" si="2"/>
        <v>04037</v>
      </c>
    </row>
    <row r="9384">
      <c r="A9384" s="48" t="s">
        <v>9174</v>
      </c>
      <c r="B9384" s="38">
        <v>35072.0</v>
      </c>
      <c r="C9384" s="38" t="s">
        <v>13239</v>
      </c>
      <c r="D9384" s="38" t="str">
        <f>IFERROR(__xludf.DUMMYFUNCTION("REGEXREPLACE(C9384,""-\d+(.*)|--\d+(.*)"","""")"),"CHATILLON-EN-VENDELAIS")</f>
        <v>CHATILLON-EN-VENDELAIS</v>
      </c>
      <c r="E9384" s="38" t="s">
        <v>347</v>
      </c>
      <c r="F9384" s="38" t="s">
        <v>90</v>
      </c>
      <c r="G9384" s="49" t="str">
        <f t="shared" si="1"/>
        <v>35210</v>
      </c>
      <c r="H9384" s="49">
        <f t="shared" si="2"/>
        <v>35072</v>
      </c>
    </row>
    <row r="9385">
      <c r="A9385" s="48" t="s">
        <v>6298</v>
      </c>
      <c r="B9385" s="38">
        <v>26335.0</v>
      </c>
      <c r="C9385" s="38" t="s">
        <v>13240</v>
      </c>
      <c r="D9385" s="38" t="str">
        <f>IFERROR(__xludf.DUMMYFUNCTION("REGEXREPLACE(C9385,""-\d+(.*)|--\d+(.*)"","""")"),"SALLES-SOUS-BOIS")</f>
        <v>SALLES-SOUS-BOIS</v>
      </c>
      <c r="E9385" s="38" t="s">
        <v>126</v>
      </c>
      <c r="F9385" s="38" t="s">
        <v>102</v>
      </c>
      <c r="G9385" s="49" t="str">
        <f t="shared" si="1"/>
        <v>26770</v>
      </c>
      <c r="H9385" s="49">
        <f t="shared" si="2"/>
        <v>26335</v>
      </c>
    </row>
    <row r="9386">
      <c r="A9386" s="48" t="s">
        <v>3675</v>
      </c>
      <c r="B9386" s="38">
        <v>58023.0</v>
      </c>
      <c r="C9386" s="38" t="s">
        <v>13241</v>
      </c>
      <c r="D9386" s="38" t="str">
        <f>IFERROR(__xludf.DUMMYFUNCTION("REGEXREPLACE(C9386,""-\d+(.*)|--\d+(.*)"","""")"),"BAZOCHES")</f>
        <v>BAZOCHES</v>
      </c>
      <c r="E9386" s="38" t="s">
        <v>219</v>
      </c>
      <c r="F9386" s="38" t="s">
        <v>106</v>
      </c>
      <c r="G9386" s="49" t="str">
        <f t="shared" si="1"/>
        <v>58190</v>
      </c>
      <c r="H9386" s="49">
        <f t="shared" si="2"/>
        <v>58023</v>
      </c>
    </row>
    <row r="9387">
      <c r="A9387" s="48" t="s">
        <v>746</v>
      </c>
      <c r="B9387" s="38">
        <v>76046.0</v>
      </c>
      <c r="C9387" s="38" t="s">
        <v>13242</v>
      </c>
      <c r="D9387" s="38" t="str">
        <f>IFERROR(__xludf.DUMMYFUNCTION("REGEXREPLACE(C9387,""-\d+(.*)|--\d+(.*)"","""")"),"AUZOUVILLE-SUR-RY")</f>
        <v>AUZOUVILLE-SUR-RY</v>
      </c>
      <c r="E9387" s="38" t="s">
        <v>133</v>
      </c>
      <c r="F9387" s="38" t="s">
        <v>134</v>
      </c>
      <c r="G9387" s="49" t="str">
        <f t="shared" si="1"/>
        <v>76116</v>
      </c>
      <c r="H9387" s="49">
        <f t="shared" si="2"/>
        <v>76046</v>
      </c>
    </row>
    <row r="9388">
      <c r="A9388" s="48" t="s">
        <v>348</v>
      </c>
      <c r="B9388" s="38">
        <v>69217.0</v>
      </c>
      <c r="C9388" s="38" t="s">
        <v>13243</v>
      </c>
      <c r="D9388" s="38" t="str">
        <f>IFERROR(__xludf.DUMMYFUNCTION("REGEXREPLACE(C9388,""-\d+(.*)|--\d+(.*)"","""")"),"SAINT-JUST-D'AVRAY")</f>
        <v>SAINT-JUST-D'AVRAY</v>
      </c>
      <c r="E9388" s="38" t="s">
        <v>350</v>
      </c>
      <c r="F9388" s="38" t="s">
        <v>102</v>
      </c>
      <c r="G9388" s="49" t="str">
        <f t="shared" si="1"/>
        <v>69870</v>
      </c>
      <c r="H9388" s="49">
        <f t="shared" si="2"/>
        <v>69217</v>
      </c>
    </row>
    <row r="9389">
      <c r="A9389" s="48" t="s">
        <v>13244</v>
      </c>
      <c r="B9389" s="38">
        <v>76217.0</v>
      </c>
      <c r="C9389" s="38" t="s">
        <v>13245</v>
      </c>
      <c r="D9389" s="38" t="str">
        <f>IFERROR(__xludf.DUMMYFUNCTION("REGEXREPLACE(C9389,""-\d+(.*)|--\d+(.*)"","""")"),"DIEPPE")</f>
        <v>DIEPPE</v>
      </c>
      <c r="E9389" s="38" t="s">
        <v>133</v>
      </c>
      <c r="F9389" s="38" t="s">
        <v>134</v>
      </c>
      <c r="G9389" s="49" t="str">
        <f t="shared" si="1"/>
        <v>76200</v>
      </c>
      <c r="H9389" s="49">
        <f t="shared" si="2"/>
        <v>76217</v>
      </c>
    </row>
    <row r="9390">
      <c r="A9390" s="48" t="s">
        <v>1441</v>
      </c>
      <c r="B9390" s="38">
        <v>52009.0</v>
      </c>
      <c r="C9390" s="38" t="s">
        <v>13246</v>
      </c>
      <c r="D9390" s="38" t="str">
        <f>IFERROR(__xludf.DUMMYFUNCTION("REGEXREPLACE(C9390,""-\d+(.*)|--\d+(.*)"","""")"),"ANDILLY-EN-BASSIGNY")</f>
        <v>ANDILLY-EN-BASSIGNY</v>
      </c>
      <c r="E9390" s="38" t="s">
        <v>234</v>
      </c>
      <c r="F9390" s="38" t="s">
        <v>130</v>
      </c>
      <c r="G9390" s="49" t="str">
        <f t="shared" si="1"/>
        <v>52360</v>
      </c>
      <c r="H9390" s="49">
        <f t="shared" si="2"/>
        <v>52009</v>
      </c>
    </row>
    <row r="9391">
      <c r="A9391" s="48" t="s">
        <v>6019</v>
      </c>
      <c r="B9391" s="38">
        <v>39051.0</v>
      </c>
      <c r="C9391" s="38" t="s">
        <v>13247</v>
      </c>
      <c r="D9391" s="38" t="str">
        <f>IFERROR(__xludf.DUMMYFUNCTION("REGEXREPLACE(C9391,""-\d+(.*)|--\d+(.*)"","""")"),"BIARNE")</f>
        <v>BIARNE</v>
      </c>
      <c r="E9391" s="38" t="s">
        <v>400</v>
      </c>
      <c r="F9391" s="38" t="s">
        <v>214</v>
      </c>
      <c r="G9391" s="49" t="str">
        <f t="shared" si="1"/>
        <v>39290</v>
      </c>
      <c r="H9391" s="49">
        <f t="shared" si="2"/>
        <v>39051</v>
      </c>
    </row>
    <row r="9392">
      <c r="A9392" s="48" t="s">
        <v>13248</v>
      </c>
      <c r="B9392" s="38">
        <v>97302.0</v>
      </c>
      <c r="C9392" s="38" t="s">
        <v>13249</v>
      </c>
      <c r="D9392" s="38" t="str">
        <f>IFERROR(__xludf.DUMMYFUNCTION("REGEXREPLACE(C9392,""-\d+(.*)|--\d+(.*)"","""")"),"CAYENNE")</f>
        <v>CAYENNE</v>
      </c>
      <c r="E9392" s="38" t="s">
        <v>1737</v>
      </c>
      <c r="F9392" s="38" t="s">
        <v>1737</v>
      </c>
      <c r="G9392" s="49" t="str">
        <f t="shared" si="1"/>
        <v>97300</v>
      </c>
      <c r="H9392" s="49">
        <f t="shared" si="2"/>
        <v>97302</v>
      </c>
    </row>
    <row r="9393">
      <c r="A9393" s="48" t="s">
        <v>450</v>
      </c>
      <c r="B9393" s="38">
        <v>71459.0</v>
      </c>
      <c r="C9393" s="38" t="s">
        <v>13250</v>
      </c>
      <c r="D9393" s="38" t="str">
        <f>IFERROR(__xludf.DUMMYFUNCTION("REGEXREPLACE(C9393,""-\d+(.*)|--\d+(.*)"","""")"),"SAINT-MARTIN-SOUS-MONTAIGU")</f>
        <v>SAINT-MARTIN-SOUS-MONTAIGU</v>
      </c>
      <c r="E9393" s="38" t="s">
        <v>344</v>
      </c>
      <c r="F9393" s="38" t="s">
        <v>106</v>
      </c>
      <c r="G9393" s="49" t="str">
        <f t="shared" si="1"/>
        <v>71640</v>
      </c>
      <c r="H9393" s="49">
        <f t="shared" si="2"/>
        <v>71459</v>
      </c>
    </row>
    <row r="9394">
      <c r="A9394" s="48" t="s">
        <v>3356</v>
      </c>
      <c r="B9394" s="38">
        <v>85287.0</v>
      </c>
      <c r="C9394" s="38" t="s">
        <v>13251</v>
      </c>
      <c r="D9394" s="38" t="str">
        <f>IFERROR(__xludf.DUMMYFUNCTION("REGEXREPLACE(C9394,""-\d+(.*)|--\d+(.*)"","""")"),"TALLUD-SAINTE-GEMME")</f>
        <v>TALLUD-SAINTE-GEMME</v>
      </c>
      <c r="E9394" s="38" t="s">
        <v>179</v>
      </c>
      <c r="F9394" s="38" t="s">
        <v>180</v>
      </c>
      <c r="G9394" s="49" t="str">
        <f t="shared" si="1"/>
        <v>85390</v>
      </c>
      <c r="H9394" s="49">
        <f t="shared" si="2"/>
        <v>85287</v>
      </c>
    </row>
    <row r="9395">
      <c r="A9395" s="48" t="s">
        <v>6264</v>
      </c>
      <c r="B9395" s="38">
        <v>77414.0</v>
      </c>
      <c r="C9395" s="38" t="s">
        <v>13252</v>
      </c>
      <c r="D9395" s="38" t="str">
        <f>IFERROR(__xludf.DUMMYFUNCTION("REGEXREPLACE(C9395,""-\d+(.*)|--\d+(.*)"","""")"),"SAINT-HILLIERS")</f>
        <v>SAINT-HILLIERS</v>
      </c>
      <c r="E9395" s="38" t="s">
        <v>244</v>
      </c>
      <c r="F9395" s="38" t="s">
        <v>245</v>
      </c>
      <c r="G9395" s="49" t="str">
        <f t="shared" si="1"/>
        <v>77160</v>
      </c>
      <c r="H9395" s="49">
        <f t="shared" si="2"/>
        <v>77414</v>
      </c>
    </row>
    <row r="9396">
      <c r="A9396" s="48" t="s">
        <v>13253</v>
      </c>
      <c r="B9396" s="38">
        <v>50077.0</v>
      </c>
      <c r="C9396" s="38" t="s">
        <v>13254</v>
      </c>
      <c r="D9396" s="38" t="str">
        <f>IFERROR(__xludf.DUMMYFUNCTION("REGEXREPLACE(C9396,""-\d+(.*)|--\d+(.*)"","""")"),"BRETTEVILLE")</f>
        <v>BRETTEVILLE</v>
      </c>
      <c r="E9396" s="38" t="s">
        <v>157</v>
      </c>
      <c r="F9396" s="38" t="s">
        <v>138</v>
      </c>
      <c r="G9396" s="49" t="str">
        <f t="shared" si="1"/>
        <v>50110</v>
      </c>
      <c r="H9396" s="49">
        <f t="shared" si="2"/>
        <v>50077</v>
      </c>
    </row>
    <row r="9397">
      <c r="A9397" s="48" t="s">
        <v>13255</v>
      </c>
      <c r="B9397" s="38">
        <v>35317.0</v>
      </c>
      <c r="C9397" s="38" t="s">
        <v>863</v>
      </c>
      <c r="D9397" s="38" t="str">
        <f>IFERROR(__xludf.DUMMYFUNCTION("REGEXREPLACE(C9397,""-\d+(.*)|--\d+(.*)"","""")"),"SAINT-SYMPHORIEN")</f>
        <v>SAINT-SYMPHORIEN</v>
      </c>
      <c r="E9397" s="38" t="s">
        <v>347</v>
      </c>
      <c r="F9397" s="38" t="s">
        <v>90</v>
      </c>
      <c r="G9397" s="49" t="str">
        <f t="shared" si="1"/>
        <v>35630</v>
      </c>
      <c r="H9397" s="49">
        <f t="shared" si="2"/>
        <v>35317</v>
      </c>
    </row>
    <row r="9398">
      <c r="A9398" s="48" t="s">
        <v>4123</v>
      </c>
      <c r="B9398" s="38">
        <v>60388.0</v>
      </c>
      <c r="C9398" s="38" t="s">
        <v>13256</v>
      </c>
      <c r="D9398" s="38" t="str">
        <f>IFERROR(__xludf.DUMMYFUNCTION("REGEXREPLACE(C9398,""-\d+(.*)|--\d+(.*)"","""")"),"MARTINCOURT")</f>
        <v>MARTINCOURT</v>
      </c>
      <c r="E9398" s="38" t="s">
        <v>112</v>
      </c>
      <c r="F9398" s="38" t="s">
        <v>113</v>
      </c>
      <c r="G9398" s="49" t="str">
        <f t="shared" si="1"/>
        <v>60112</v>
      </c>
      <c r="H9398" s="49">
        <f t="shared" si="2"/>
        <v>60388</v>
      </c>
    </row>
    <row r="9399">
      <c r="A9399" s="48" t="s">
        <v>13257</v>
      </c>
      <c r="B9399" s="38">
        <v>16015.0</v>
      </c>
      <c r="C9399" s="38" t="s">
        <v>13258</v>
      </c>
      <c r="D9399" s="38" t="str">
        <f>IFERROR(__xludf.DUMMYFUNCTION("REGEXREPLACE(C9399,""-\d+(.*)|--\d+(.*)"","""")"),"ANGOULEME")</f>
        <v>ANGOULEME</v>
      </c>
      <c r="E9399" s="38" t="s">
        <v>429</v>
      </c>
      <c r="F9399" s="38" t="s">
        <v>338</v>
      </c>
      <c r="G9399" s="49" t="str">
        <f t="shared" si="1"/>
        <v>16000</v>
      </c>
      <c r="H9399" s="49">
        <f t="shared" si="2"/>
        <v>16015</v>
      </c>
    </row>
    <row r="9400">
      <c r="A9400" s="48" t="s">
        <v>3015</v>
      </c>
      <c r="B9400" s="38">
        <v>16237.0</v>
      </c>
      <c r="C9400" s="38" t="s">
        <v>13259</v>
      </c>
      <c r="D9400" s="38" t="str">
        <f>IFERROR(__xludf.DUMMYFUNCTION("REGEXREPLACE(C9400,""-\d+(.*)|--\d+(.*)"","""")"),"MOUTON")</f>
        <v>MOUTON</v>
      </c>
      <c r="E9400" s="38" t="s">
        <v>429</v>
      </c>
      <c r="F9400" s="38" t="s">
        <v>338</v>
      </c>
      <c r="G9400" s="49" t="str">
        <f t="shared" si="1"/>
        <v>16460</v>
      </c>
      <c r="H9400" s="49">
        <f t="shared" si="2"/>
        <v>16237</v>
      </c>
    </row>
    <row r="9401">
      <c r="A9401" s="48" t="s">
        <v>2462</v>
      </c>
      <c r="B9401" s="38">
        <v>1202.0</v>
      </c>
      <c r="C9401" s="38" t="s">
        <v>13260</v>
      </c>
      <c r="D9401" s="38" t="str">
        <f>IFERROR(__xludf.DUMMYFUNCTION("REGEXREPLACE(C9401,""-\d+(.*)|--\d+(.*)"","""")"),"LAGNIEU")</f>
        <v>LAGNIEU</v>
      </c>
      <c r="E9401" s="38" t="s">
        <v>255</v>
      </c>
      <c r="F9401" s="38" t="s">
        <v>102</v>
      </c>
      <c r="G9401" s="49" t="str">
        <f t="shared" si="1"/>
        <v>01150</v>
      </c>
      <c r="H9401" s="49" t="str">
        <f t="shared" si="2"/>
        <v>01202</v>
      </c>
    </row>
    <row r="9402">
      <c r="A9402" s="48" t="s">
        <v>12639</v>
      </c>
      <c r="B9402" s="38">
        <v>81184.0</v>
      </c>
      <c r="C9402" s="38" t="s">
        <v>13261</v>
      </c>
      <c r="D9402" s="38" t="str">
        <f>IFERROR(__xludf.DUMMYFUNCTION("REGEXREPLACE(C9402,""-\d+(.*)|--\d+(.*)"","""")"),"MONTROSIER")</f>
        <v>MONTROSIER</v>
      </c>
      <c r="E9402" s="38" t="s">
        <v>231</v>
      </c>
      <c r="F9402" s="38" t="s">
        <v>94</v>
      </c>
      <c r="G9402" s="49" t="str">
        <f t="shared" si="1"/>
        <v>81170</v>
      </c>
      <c r="H9402" s="49">
        <f t="shared" si="2"/>
        <v>81184</v>
      </c>
    </row>
    <row r="9403">
      <c r="A9403" s="48" t="s">
        <v>505</v>
      </c>
      <c r="B9403" s="38">
        <v>12018.0</v>
      </c>
      <c r="C9403" s="38" t="s">
        <v>13262</v>
      </c>
      <c r="D9403" s="38" t="str">
        <f>IFERROR(__xludf.DUMMYFUNCTION("REGEXREPLACE(C9403,""-\d+(.*)|--\d+(.*)"","""")"),"BALAGUIER-D'OLT")</f>
        <v>BALAGUIER-D'OLT</v>
      </c>
      <c r="E9403" s="38" t="s">
        <v>465</v>
      </c>
      <c r="F9403" s="38" t="s">
        <v>94</v>
      </c>
      <c r="G9403" s="49" t="str">
        <f t="shared" si="1"/>
        <v>12260</v>
      </c>
      <c r="H9403" s="49">
        <f t="shared" si="2"/>
        <v>12018</v>
      </c>
    </row>
    <row r="9404">
      <c r="A9404" s="48" t="s">
        <v>13263</v>
      </c>
      <c r="B9404" s="38">
        <v>50181.0</v>
      </c>
      <c r="C9404" s="38" t="s">
        <v>13264</v>
      </c>
      <c r="D9404" s="38" t="str">
        <f>IFERROR(__xludf.DUMMYFUNCTION("REGEXREPLACE(C9404,""-\d+(.*)|--\d+(.*)"","""")"),"FEUGERES")</f>
        <v>FEUGERES</v>
      </c>
      <c r="E9404" s="38" t="s">
        <v>157</v>
      </c>
      <c r="F9404" s="38" t="s">
        <v>138</v>
      </c>
      <c r="G9404" s="49" t="str">
        <f t="shared" si="1"/>
        <v>50190</v>
      </c>
      <c r="H9404" s="49">
        <f t="shared" si="2"/>
        <v>50181</v>
      </c>
    </row>
    <row r="9405">
      <c r="A9405" s="48" t="s">
        <v>13265</v>
      </c>
      <c r="B9405" s="38">
        <v>77214.0</v>
      </c>
      <c r="C9405" s="38" t="s">
        <v>13266</v>
      </c>
      <c r="D9405" s="38" t="str">
        <f>IFERROR(__xludf.DUMMYFUNCTION("REGEXREPLACE(C9405,""-\d+(.*)|--\d+(.*)"","""")"),"GRESSY")</f>
        <v>GRESSY</v>
      </c>
      <c r="E9405" s="38" t="s">
        <v>244</v>
      </c>
      <c r="F9405" s="38" t="s">
        <v>245</v>
      </c>
      <c r="G9405" s="49" t="str">
        <f t="shared" si="1"/>
        <v>77410</v>
      </c>
      <c r="H9405" s="49">
        <f t="shared" si="2"/>
        <v>77214</v>
      </c>
    </row>
    <row r="9406">
      <c r="A9406" s="48" t="s">
        <v>13267</v>
      </c>
      <c r="B9406" s="38">
        <v>19244.0</v>
      </c>
      <c r="C9406" s="38" t="s">
        <v>13268</v>
      </c>
      <c r="D9406" s="38" t="str">
        <f>IFERROR(__xludf.DUMMYFUNCTION("REGEXREPLACE(C9406,""-\d+(.*)|--\d+(.*)"","""")"),"SAINT-SULPICE-LES-BOIS")</f>
        <v>SAINT-SULPICE-LES-BOIS</v>
      </c>
      <c r="E9406" s="38" t="s">
        <v>271</v>
      </c>
      <c r="F9406" s="38" t="s">
        <v>98</v>
      </c>
      <c r="G9406" s="49" t="str">
        <f t="shared" si="1"/>
        <v>19250</v>
      </c>
      <c r="H9406" s="49">
        <f t="shared" si="2"/>
        <v>19244</v>
      </c>
    </row>
    <row r="9407">
      <c r="A9407" s="48" t="s">
        <v>13269</v>
      </c>
      <c r="B9407" s="38">
        <v>4017.0</v>
      </c>
      <c r="C9407" s="38" t="s">
        <v>13270</v>
      </c>
      <c r="D9407" s="38" t="str">
        <f>IFERROR(__xludf.DUMMYFUNCTION("REGEXREPLACE(C9407,""-\d+(.*)|--\d+(.*)"","""")"),"AUZET")</f>
        <v>AUZET</v>
      </c>
      <c r="E9407" s="38" t="s">
        <v>662</v>
      </c>
      <c r="F9407" s="38" t="s">
        <v>228</v>
      </c>
      <c r="G9407" s="49" t="str">
        <f t="shared" si="1"/>
        <v>04140</v>
      </c>
      <c r="H9407" s="49" t="str">
        <f t="shared" si="2"/>
        <v>04017</v>
      </c>
    </row>
    <row r="9408">
      <c r="A9408" s="48" t="s">
        <v>13271</v>
      </c>
      <c r="B9408" s="38">
        <v>78297.0</v>
      </c>
      <c r="C9408" s="38" t="s">
        <v>13272</v>
      </c>
      <c r="D9408" s="38" t="str">
        <f>IFERROR(__xludf.DUMMYFUNCTION("REGEXREPLACE(C9408,""-\d+(.*)|--\d+(.*)"","""")"),"GUYANCOURT")</f>
        <v>GUYANCOURT</v>
      </c>
      <c r="E9408" s="38" t="s">
        <v>362</v>
      </c>
      <c r="F9408" s="38" t="s">
        <v>245</v>
      </c>
      <c r="G9408" s="49" t="str">
        <f t="shared" si="1"/>
        <v>78280</v>
      </c>
      <c r="H9408" s="49">
        <f t="shared" si="2"/>
        <v>78297</v>
      </c>
    </row>
    <row r="9409">
      <c r="A9409" s="48" t="s">
        <v>3375</v>
      </c>
      <c r="B9409" s="38">
        <v>24521.0</v>
      </c>
      <c r="C9409" s="38" t="s">
        <v>13273</v>
      </c>
      <c r="D9409" s="38" t="str">
        <f>IFERROR(__xludf.DUMMYFUNCTION("REGEXREPLACE(C9409,""-\d+(.*)|--\d+(.*)"","""")"),"SARLIAC-SUR-L'ISLE")</f>
        <v>SARLIAC-SUR-L'ISLE</v>
      </c>
      <c r="E9409" s="38" t="s">
        <v>261</v>
      </c>
      <c r="F9409" s="38" t="s">
        <v>252</v>
      </c>
      <c r="G9409" s="49" t="str">
        <f t="shared" si="1"/>
        <v>24420</v>
      </c>
      <c r="H9409" s="49">
        <f t="shared" si="2"/>
        <v>24521</v>
      </c>
    </row>
    <row r="9410">
      <c r="A9410" s="48" t="s">
        <v>2328</v>
      </c>
      <c r="B9410" s="38">
        <v>57763.0</v>
      </c>
      <c r="C9410" s="38" t="s">
        <v>13274</v>
      </c>
      <c r="D9410" s="38" t="str">
        <f>IFERROR(__xludf.DUMMYFUNCTION("REGEXREPLACE(C9410,""-\d+(.*)|--\d+(.*)"","""")"),"ZOMMANGE")</f>
        <v>ZOMMANGE</v>
      </c>
      <c r="E9410" s="38" t="s">
        <v>303</v>
      </c>
      <c r="F9410" s="38" t="s">
        <v>195</v>
      </c>
      <c r="G9410" s="49" t="str">
        <f t="shared" si="1"/>
        <v>57260</v>
      </c>
      <c r="H9410" s="49">
        <f t="shared" si="2"/>
        <v>57763</v>
      </c>
    </row>
    <row r="9411">
      <c r="A9411" s="48" t="s">
        <v>2736</v>
      </c>
      <c r="B9411" s="38">
        <v>89373.0</v>
      </c>
      <c r="C9411" s="38" t="s">
        <v>13275</v>
      </c>
      <c r="D9411" s="38" t="str">
        <f>IFERROR(__xludf.DUMMYFUNCTION("REGEXREPLACE(C9411,""-\d+(.*)|--\d+(.*)"","""")"),"SALIGNY")</f>
        <v>SALIGNY</v>
      </c>
      <c r="E9411" s="38" t="s">
        <v>275</v>
      </c>
      <c r="F9411" s="38" t="s">
        <v>106</v>
      </c>
      <c r="G9411" s="49" t="str">
        <f t="shared" si="1"/>
        <v>89100</v>
      </c>
      <c r="H9411" s="49">
        <f t="shared" si="2"/>
        <v>89373</v>
      </c>
    </row>
    <row r="9412">
      <c r="A9412" s="48" t="s">
        <v>5759</v>
      </c>
      <c r="B9412" s="38">
        <v>59066.0</v>
      </c>
      <c r="C9412" s="38" t="s">
        <v>13276</v>
      </c>
      <c r="D9412" s="38" t="str">
        <f>IFERROR(__xludf.DUMMYFUNCTION("REGEXREPLACE(C9412,""-\d+(.*)|--\d+(.*)"","""")"),"BERELLES")</f>
        <v>BERELLES</v>
      </c>
      <c r="E9412" s="38" t="s">
        <v>85</v>
      </c>
      <c r="F9412" s="38" t="s">
        <v>86</v>
      </c>
      <c r="G9412" s="49" t="str">
        <f t="shared" si="1"/>
        <v>59740</v>
      </c>
      <c r="H9412" s="49">
        <f t="shared" si="2"/>
        <v>59066</v>
      </c>
    </row>
    <row r="9413">
      <c r="A9413" s="48" t="s">
        <v>2332</v>
      </c>
      <c r="B9413" s="38">
        <v>81261.0</v>
      </c>
      <c r="C9413" s="38" t="s">
        <v>13277</v>
      </c>
      <c r="D9413" s="38" t="str">
        <f>IFERROR(__xludf.DUMMYFUNCTION("REGEXREPLACE(C9413,""-\d+(.*)|--\d+(.*)"","""")"),"SAINT-LIEUX-LES-LAVAUR")</f>
        <v>SAINT-LIEUX-LES-LAVAUR</v>
      </c>
      <c r="E9413" s="38" t="s">
        <v>231</v>
      </c>
      <c r="F9413" s="38" t="s">
        <v>94</v>
      </c>
      <c r="G9413" s="49" t="str">
        <f t="shared" si="1"/>
        <v>81500</v>
      </c>
      <c r="H9413" s="49">
        <f t="shared" si="2"/>
        <v>81261</v>
      </c>
    </row>
    <row r="9414">
      <c r="A9414" s="48" t="s">
        <v>8902</v>
      </c>
      <c r="B9414" s="38">
        <v>25026.0</v>
      </c>
      <c r="C9414" s="38" t="s">
        <v>13278</v>
      </c>
      <c r="D9414" s="38" t="str">
        <f>IFERROR(__xludf.DUMMYFUNCTION("REGEXREPLACE(C9414,""-\d+(.*)|--\d+(.*)"","""")"),"ARC-SOUS-MONTENOT")</f>
        <v>ARC-SOUS-MONTENOT</v>
      </c>
      <c r="E9414" s="38" t="s">
        <v>213</v>
      </c>
      <c r="F9414" s="38" t="s">
        <v>214</v>
      </c>
      <c r="G9414" s="49" t="str">
        <f t="shared" si="1"/>
        <v>25270</v>
      </c>
      <c r="H9414" s="49">
        <f t="shared" si="2"/>
        <v>25026</v>
      </c>
    </row>
    <row r="9415">
      <c r="A9415" s="48" t="s">
        <v>13279</v>
      </c>
      <c r="B9415" s="38">
        <v>84080.0</v>
      </c>
      <c r="C9415" s="38" t="s">
        <v>13280</v>
      </c>
      <c r="D9415" s="38" t="str">
        <f>IFERROR(__xludf.DUMMYFUNCTION("REGEXREPLACE(C9415,""-\d+(.*)|--\d+(.*)"","""")"),"MONTEUX")</f>
        <v>MONTEUX</v>
      </c>
      <c r="E9415" s="38" t="s">
        <v>1026</v>
      </c>
      <c r="F9415" s="38" t="s">
        <v>228</v>
      </c>
      <c r="G9415" s="49" t="str">
        <f t="shared" si="1"/>
        <v>84170</v>
      </c>
      <c r="H9415" s="49">
        <f t="shared" si="2"/>
        <v>84080</v>
      </c>
    </row>
    <row r="9416">
      <c r="A9416" s="48" t="s">
        <v>13281</v>
      </c>
      <c r="B9416" s="38">
        <v>57666.0</v>
      </c>
      <c r="C9416" s="38" t="s">
        <v>13282</v>
      </c>
      <c r="D9416" s="38" t="str">
        <f>IFERROR(__xludf.DUMMYFUNCTION("REGEXREPLACE(C9416,""-\d+(.*)|--\d+(.*)"","""")"),"TERVILLE")</f>
        <v>TERVILLE</v>
      </c>
      <c r="E9416" s="38" t="s">
        <v>303</v>
      </c>
      <c r="F9416" s="38" t="s">
        <v>195</v>
      </c>
      <c r="G9416" s="49" t="str">
        <f t="shared" si="1"/>
        <v>57180</v>
      </c>
      <c r="H9416" s="49">
        <f t="shared" si="2"/>
        <v>57666</v>
      </c>
    </row>
    <row r="9417">
      <c r="A9417" s="48" t="s">
        <v>7926</v>
      </c>
      <c r="B9417" s="38">
        <v>71050.0</v>
      </c>
      <c r="C9417" s="38" t="s">
        <v>13283</v>
      </c>
      <c r="D9417" s="38" t="str">
        <f>IFERROR(__xludf.DUMMYFUNCTION("REGEXREPLACE(C9417,""-\d+(.*)|--\d+(.*)"","""")"),"BOURGVILAIN")</f>
        <v>BOURGVILAIN</v>
      </c>
      <c r="E9417" s="38" t="s">
        <v>344</v>
      </c>
      <c r="F9417" s="38" t="s">
        <v>106</v>
      </c>
      <c r="G9417" s="49" t="str">
        <f t="shared" si="1"/>
        <v>71520</v>
      </c>
      <c r="H9417" s="49">
        <f t="shared" si="2"/>
        <v>71050</v>
      </c>
    </row>
    <row r="9418">
      <c r="A9418" s="48" t="s">
        <v>4462</v>
      </c>
      <c r="B9418" s="38">
        <v>79179.0</v>
      </c>
      <c r="C9418" s="38" t="s">
        <v>13284</v>
      </c>
      <c r="D9418" s="38" t="str">
        <f>IFERROR(__xludf.DUMMYFUNCTION("REGEXREPLACE(C9418,""-\d+(.*)|--\d+(.*)"","""")"),"MONCOUTANT")</f>
        <v>MONCOUTANT</v>
      </c>
      <c r="E9418" s="38" t="s">
        <v>337</v>
      </c>
      <c r="F9418" s="38" t="s">
        <v>338</v>
      </c>
      <c r="G9418" s="49" t="str">
        <f t="shared" si="1"/>
        <v>79320</v>
      </c>
      <c r="H9418" s="49">
        <f t="shared" si="2"/>
        <v>79179</v>
      </c>
    </row>
    <row r="9419">
      <c r="A9419" s="48" t="s">
        <v>13285</v>
      </c>
      <c r="B9419" s="38">
        <v>73216.0</v>
      </c>
      <c r="C9419" s="38" t="s">
        <v>13286</v>
      </c>
      <c r="D9419" s="38" t="str">
        <f>IFERROR(__xludf.DUMMYFUNCTION("REGEXREPLACE(C9419,""-\d+(.*)|--\d+(.*)"","""")"),"ROGNAIX")</f>
        <v>ROGNAIX</v>
      </c>
      <c r="E9419" s="38" t="s">
        <v>306</v>
      </c>
      <c r="F9419" s="38" t="s">
        <v>102</v>
      </c>
      <c r="G9419" s="49" t="str">
        <f t="shared" si="1"/>
        <v>73730</v>
      </c>
      <c r="H9419" s="49">
        <f t="shared" si="2"/>
        <v>73216</v>
      </c>
    </row>
    <row r="9420">
      <c r="A9420" s="48" t="s">
        <v>3297</v>
      </c>
      <c r="B9420" s="38">
        <v>41002.0</v>
      </c>
      <c r="C9420" s="38" t="s">
        <v>13287</v>
      </c>
      <c r="D9420" s="38" t="str">
        <f>IFERROR(__xludf.DUMMYFUNCTION("REGEXREPLACE(C9420,""-\d+(.*)|--\d+(.*)"","""")"),"ANGE")</f>
        <v>ANGE</v>
      </c>
      <c r="E9420" s="38" t="s">
        <v>188</v>
      </c>
      <c r="F9420" s="38" t="s">
        <v>123</v>
      </c>
      <c r="G9420" s="49" t="str">
        <f t="shared" si="1"/>
        <v>41400</v>
      </c>
      <c r="H9420" s="49">
        <f t="shared" si="2"/>
        <v>41002</v>
      </c>
    </row>
    <row r="9421">
      <c r="A9421" s="48" t="s">
        <v>10008</v>
      </c>
      <c r="B9421" s="38">
        <v>36158.0</v>
      </c>
      <c r="C9421" s="38" t="s">
        <v>13288</v>
      </c>
      <c r="D9421" s="38" t="str">
        <f>IFERROR(__xludf.DUMMYFUNCTION("REGEXREPLACE(C9421,""-\d+(.*)|--\d+(.*)"","""")"),"BADECON-LE-PIN")</f>
        <v>BADECON-LE-PIN</v>
      </c>
      <c r="E9421" s="38" t="s">
        <v>258</v>
      </c>
      <c r="F9421" s="38" t="s">
        <v>123</v>
      </c>
      <c r="G9421" s="49" t="str">
        <f t="shared" si="1"/>
        <v>36200</v>
      </c>
      <c r="H9421" s="49">
        <f t="shared" si="2"/>
        <v>36158</v>
      </c>
    </row>
    <row r="9422">
      <c r="A9422" s="48" t="s">
        <v>5028</v>
      </c>
      <c r="B9422" s="38">
        <v>25151.0</v>
      </c>
      <c r="C9422" s="38" t="s">
        <v>13289</v>
      </c>
      <c r="D9422" s="38" t="str">
        <f>IFERROR(__xludf.DUMMYFUNCTION("REGEXREPLACE(C9422,""-\d+(.*)|--\d+(.*)"","""")"),"CHEVIGNEY-LES-VERCEL")</f>
        <v>CHEVIGNEY-LES-VERCEL</v>
      </c>
      <c r="E9422" s="38" t="s">
        <v>213</v>
      </c>
      <c r="F9422" s="38" t="s">
        <v>214</v>
      </c>
      <c r="G9422" s="49" t="str">
        <f t="shared" si="1"/>
        <v>25530</v>
      </c>
      <c r="H9422" s="49">
        <f t="shared" si="2"/>
        <v>25151</v>
      </c>
    </row>
    <row r="9423">
      <c r="A9423" s="48" t="s">
        <v>10754</v>
      </c>
      <c r="B9423" s="38">
        <v>57543.0</v>
      </c>
      <c r="C9423" s="38" t="s">
        <v>13290</v>
      </c>
      <c r="D9423" s="38" t="str">
        <f>IFERROR(__xludf.DUMMYFUNCTION("REGEXREPLACE(C9423,""-\d+(.*)|--\d+(.*)"","""")"),"PIERREVILLERS")</f>
        <v>PIERREVILLERS</v>
      </c>
      <c r="E9423" s="38" t="s">
        <v>303</v>
      </c>
      <c r="F9423" s="38" t="s">
        <v>195</v>
      </c>
      <c r="G9423" s="49" t="str">
        <f t="shared" si="1"/>
        <v>57120</v>
      </c>
      <c r="H9423" s="49">
        <f t="shared" si="2"/>
        <v>57543</v>
      </c>
    </row>
    <row r="9424">
      <c r="A9424" s="48" t="s">
        <v>13291</v>
      </c>
      <c r="B9424" s="38">
        <v>38394.0</v>
      </c>
      <c r="C9424" s="38" t="s">
        <v>13292</v>
      </c>
      <c r="D9424" s="38" t="str">
        <f>IFERROR(__xludf.DUMMYFUNCTION("REGEXREPLACE(C9424,""-\d+(.*)|--\d+(.*)"","""")"),"SAINT-HILAIRE-DU-ROSIER")</f>
        <v>SAINT-HILAIRE-DU-ROSIER</v>
      </c>
      <c r="E9424" s="38" t="s">
        <v>101</v>
      </c>
      <c r="F9424" s="38" t="s">
        <v>102</v>
      </c>
      <c r="G9424" s="49" t="str">
        <f t="shared" si="1"/>
        <v>38840</v>
      </c>
      <c r="H9424" s="49">
        <f t="shared" si="2"/>
        <v>38394</v>
      </c>
    </row>
    <row r="9425">
      <c r="A9425" s="48" t="s">
        <v>10282</v>
      </c>
      <c r="B9425" s="38">
        <v>81040.0</v>
      </c>
      <c r="C9425" s="38" t="s">
        <v>13293</v>
      </c>
      <c r="D9425" s="38" t="str">
        <f>IFERROR(__xludf.DUMMYFUNCTION("REGEXREPLACE(C9425,""-\d+(.*)|--\d+(.*)"","""")"),"BROUSSE")</f>
        <v>BROUSSE</v>
      </c>
      <c r="E9425" s="38" t="s">
        <v>231</v>
      </c>
      <c r="F9425" s="38" t="s">
        <v>94</v>
      </c>
      <c r="G9425" s="49" t="str">
        <f t="shared" si="1"/>
        <v>81440</v>
      </c>
      <c r="H9425" s="49">
        <f t="shared" si="2"/>
        <v>81040</v>
      </c>
    </row>
    <row r="9426">
      <c r="A9426" s="48" t="s">
        <v>4381</v>
      </c>
      <c r="B9426" s="38">
        <v>82027.0</v>
      </c>
      <c r="C9426" s="38" t="s">
        <v>13294</v>
      </c>
      <c r="D9426" s="38" t="str">
        <f>IFERROR(__xludf.DUMMYFUNCTION("REGEXREPLACE(C9426,""-\d+(.*)|--\d+(.*)"","""")"),"CAMPSAS")</f>
        <v>CAMPSAS</v>
      </c>
      <c r="E9426" s="38" t="s">
        <v>570</v>
      </c>
      <c r="F9426" s="38" t="s">
        <v>94</v>
      </c>
      <c r="G9426" s="49" t="str">
        <f t="shared" si="1"/>
        <v>82370</v>
      </c>
      <c r="H9426" s="49">
        <f t="shared" si="2"/>
        <v>82027</v>
      </c>
    </row>
    <row r="9427">
      <c r="A9427" s="48" t="s">
        <v>135</v>
      </c>
      <c r="B9427" s="38">
        <v>14164.0</v>
      </c>
      <c r="C9427" s="38" t="s">
        <v>13295</v>
      </c>
      <c r="D9427" s="38" t="str">
        <f>IFERROR(__xludf.DUMMYFUNCTION("REGEXREPLACE(C9427,""-\d+(.*)|--\d+(.*)"","""")"),"CLINCHAMPS-SUR-ORNE")</f>
        <v>CLINCHAMPS-SUR-ORNE</v>
      </c>
      <c r="E9427" s="38" t="s">
        <v>137</v>
      </c>
      <c r="F9427" s="38" t="s">
        <v>138</v>
      </c>
      <c r="G9427" s="49" t="str">
        <f t="shared" si="1"/>
        <v>14320</v>
      </c>
      <c r="H9427" s="49">
        <f t="shared" si="2"/>
        <v>14164</v>
      </c>
    </row>
    <row r="9428">
      <c r="A9428" s="48" t="s">
        <v>533</v>
      </c>
      <c r="B9428" s="38">
        <v>50032.0</v>
      </c>
      <c r="C9428" s="38" t="s">
        <v>13296</v>
      </c>
      <c r="D9428" s="38" t="str">
        <f>IFERROR(__xludf.DUMMYFUNCTION("REGEXREPLACE(C9428,""-\d+(.*)|--\d+(.*)"","""")"),"LA BARRE-DE-SEMILLY")</f>
        <v>LA BARRE-DE-SEMILLY</v>
      </c>
      <c r="E9428" s="38" t="s">
        <v>157</v>
      </c>
      <c r="F9428" s="38" t="s">
        <v>138</v>
      </c>
      <c r="G9428" s="49" t="str">
        <f t="shared" si="1"/>
        <v>50810</v>
      </c>
      <c r="H9428" s="49">
        <f t="shared" si="2"/>
        <v>50032</v>
      </c>
    </row>
    <row r="9429">
      <c r="A9429" s="48" t="s">
        <v>148</v>
      </c>
      <c r="B9429" s="38">
        <v>68303.0</v>
      </c>
      <c r="C9429" s="38" t="s">
        <v>13297</v>
      </c>
      <c r="D9429" s="38" t="str">
        <f>IFERROR(__xludf.DUMMYFUNCTION("REGEXREPLACE(C9429,""-\d+(.*)|--\d+(.*)"","""")"),"SCHWOBEN")</f>
        <v>SCHWOBEN</v>
      </c>
      <c r="E9429" s="38" t="s">
        <v>150</v>
      </c>
      <c r="F9429" s="38" t="s">
        <v>151</v>
      </c>
      <c r="G9429" s="49" t="str">
        <f t="shared" si="1"/>
        <v>68130</v>
      </c>
      <c r="H9429" s="49">
        <f t="shared" si="2"/>
        <v>68303</v>
      </c>
    </row>
    <row r="9430">
      <c r="A9430" s="48" t="s">
        <v>2712</v>
      </c>
      <c r="B9430" s="38">
        <v>72026.0</v>
      </c>
      <c r="C9430" s="38" t="s">
        <v>13298</v>
      </c>
      <c r="D9430" s="38" t="str">
        <f>IFERROR(__xludf.DUMMYFUNCTION("REGEXREPLACE(C9430,""-\d+(.*)|--\d+(.*)"","""")"),"BEAUFAY")</f>
        <v>BEAUFAY</v>
      </c>
      <c r="E9430" s="38" t="s">
        <v>521</v>
      </c>
      <c r="F9430" s="38" t="s">
        <v>180</v>
      </c>
      <c r="G9430" s="49" t="str">
        <f t="shared" si="1"/>
        <v>72110</v>
      </c>
      <c r="H9430" s="49">
        <f t="shared" si="2"/>
        <v>72026</v>
      </c>
    </row>
    <row r="9431">
      <c r="A9431" s="48" t="s">
        <v>6592</v>
      </c>
      <c r="B9431" s="38">
        <v>5146.0</v>
      </c>
      <c r="C9431" s="38" t="s">
        <v>13299</v>
      </c>
      <c r="D9431" s="38" t="str">
        <f>IFERROR(__xludf.DUMMYFUNCTION("REGEXREPLACE(C9431,""-\d+(.*)|--\d+(.*)"","""")"),"SAINT-JULIEN-EN-BEAUCHENE")</f>
        <v>SAINT-JULIEN-EN-BEAUCHENE</v>
      </c>
      <c r="E9431" s="38" t="s">
        <v>706</v>
      </c>
      <c r="F9431" s="38" t="s">
        <v>228</v>
      </c>
      <c r="G9431" s="49" t="str">
        <f t="shared" si="1"/>
        <v>05140</v>
      </c>
      <c r="H9431" s="49" t="str">
        <f t="shared" si="2"/>
        <v>05146</v>
      </c>
    </row>
    <row r="9432">
      <c r="A9432" s="48" t="s">
        <v>7247</v>
      </c>
      <c r="B9432" s="38">
        <v>24040.0</v>
      </c>
      <c r="C9432" s="38" t="s">
        <v>13300</v>
      </c>
      <c r="D9432" s="38" t="str">
        <f>IFERROR(__xludf.DUMMYFUNCTION("REGEXREPLACE(C9432,""-\d+(.*)|--\d+(.*)"","""")"),"BEYNAC-ET-CAZENAC")</f>
        <v>BEYNAC-ET-CAZENAC</v>
      </c>
      <c r="E9432" s="38" t="s">
        <v>261</v>
      </c>
      <c r="F9432" s="38" t="s">
        <v>252</v>
      </c>
      <c r="G9432" s="49" t="str">
        <f t="shared" si="1"/>
        <v>24220</v>
      </c>
      <c r="H9432" s="49">
        <f t="shared" si="2"/>
        <v>24040</v>
      </c>
    </row>
    <row r="9433">
      <c r="A9433" s="48" t="s">
        <v>12083</v>
      </c>
      <c r="B9433" s="38">
        <v>26064.0</v>
      </c>
      <c r="C9433" s="38" t="s">
        <v>13301</v>
      </c>
      <c r="D9433" s="38" t="str">
        <f>IFERROR(__xludf.DUMMYFUNCTION("REGEXREPLACE(C9433,""-\d+(.*)|--\d+(.*)"","""")"),"CHABEUIL")</f>
        <v>CHABEUIL</v>
      </c>
      <c r="E9433" s="38" t="s">
        <v>126</v>
      </c>
      <c r="F9433" s="38" t="s">
        <v>102</v>
      </c>
      <c r="G9433" s="49" t="str">
        <f t="shared" si="1"/>
        <v>26120</v>
      </c>
      <c r="H9433" s="49">
        <f t="shared" si="2"/>
        <v>26064</v>
      </c>
    </row>
    <row r="9434">
      <c r="A9434" s="48" t="s">
        <v>2824</v>
      </c>
      <c r="B9434" s="38">
        <v>25220.0</v>
      </c>
      <c r="C9434" s="38" t="s">
        <v>13302</v>
      </c>
      <c r="D9434" s="38" t="str">
        <f>IFERROR(__xludf.DUMMYFUNCTION("REGEXREPLACE(C9434,""-\d+(.*)|--\d+(.*)"","""")"),"EPEUGNEY")</f>
        <v>EPEUGNEY</v>
      </c>
      <c r="E9434" s="38" t="s">
        <v>213</v>
      </c>
      <c r="F9434" s="38" t="s">
        <v>214</v>
      </c>
      <c r="G9434" s="49" t="str">
        <f t="shared" si="1"/>
        <v>25290</v>
      </c>
      <c r="H9434" s="49">
        <f t="shared" si="2"/>
        <v>25220</v>
      </c>
    </row>
    <row r="9435">
      <c r="A9435" s="48" t="s">
        <v>1254</v>
      </c>
      <c r="B9435" s="38">
        <v>72119.0</v>
      </c>
      <c r="C9435" s="38" t="s">
        <v>13303</v>
      </c>
      <c r="D9435" s="38" t="str">
        <f>IFERROR(__xludf.DUMMYFUNCTION("REGEXREPLACE(C9435,""-\d+(.*)|--\d+(.*)"","""")"),"DOMFRONT-EN-CHAMPAGNE")</f>
        <v>DOMFRONT-EN-CHAMPAGNE</v>
      </c>
      <c r="E9435" s="38" t="s">
        <v>521</v>
      </c>
      <c r="F9435" s="38" t="s">
        <v>180</v>
      </c>
      <c r="G9435" s="49" t="str">
        <f t="shared" si="1"/>
        <v>72240</v>
      </c>
      <c r="H9435" s="49">
        <f t="shared" si="2"/>
        <v>72119</v>
      </c>
    </row>
    <row r="9436">
      <c r="A9436" s="48" t="s">
        <v>5513</v>
      </c>
      <c r="B9436" s="38">
        <v>57394.0</v>
      </c>
      <c r="C9436" s="38" t="s">
        <v>13304</v>
      </c>
      <c r="D9436" s="38" t="str">
        <f>IFERROR(__xludf.DUMMYFUNCTION("REGEXREPLACE(C9436,""-\d+(.*)|--\d+(.*)"","""")"),"LENING")</f>
        <v>LENING</v>
      </c>
      <c r="E9436" s="38" t="s">
        <v>303</v>
      </c>
      <c r="F9436" s="38" t="s">
        <v>195</v>
      </c>
      <c r="G9436" s="49" t="str">
        <f t="shared" si="1"/>
        <v>57670</v>
      </c>
      <c r="H9436" s="49">
        <f t="shared" si="2"/>
        <v>57394</v>
      </c>
    </row>
    <row r="9437">
      <c r="A9437" s="48" t="s">
        <v>7012</v>
      </c>
      <c r="B9437" s="38">
        <v>68118.0</v>
      </c>
      <c r="C9437" s="38" t="s">
        <v>13305</v>
      </c>
      <c r="D9437" s="38" t="str">
        <f>IFERROR(__xludf.DUMMYFUNCTION("REGEXREPLACE(C9437,""-\d+(.*)|--\d+(.*)"","""")"),"HABSHEIM")</f>
        <v>HABSHEIM</v>
      </c>
      <c r="E9437" s="38" t="s">
        <v>150</v>
      </c>
      <c r="F9437" s="38" t="s">
        <v>151</v>
      </c>
      <c r="G9437" s="49" t="str">
        <f t="shared" si="1"/>
        <v>68440</v>
      </c>
      <c r="H9437" s="49">
        <f t="shared" si="2"/>
        <v>68118</v>
      </c>
    </row>
    <row r="9438">
      <c r="A9438" s="48" t="s">
        <v>4131</v>
      </c>
      <c r="B9438" s="38">
        <v>27536.0</v>
      </c>
      <c r="C9438" s="38" t="s">
        <v>13306</v>
      </c>
      <c r="D9438" s="38" t="str">
        <f>IFERROR(__xludf.DUMMYFUNCTION("REGEXREPLACE(C9438,""-\d+(.*)|--\d+(.*)"","""")"),"SAINT-ELOI-DE-FOURQUES")</f>
        <v>SAINT-ELOI-DE-FOURQUES</v>
      </c>
      <c r="E9438" s="38" t="s">
        <v>241</v>
      </c>
      <c r="F9438" s="38" t="s">
        <v>134</v>
      </c>
      <c r="G9438" s="49" t="str">
        <f t="shared" si="1"/>
        <v>27800</v>
      </c>
      <c r="H9438" s="49">
        <f t="shared" si="2"/>
        <v>27536</v>
      </c>
    </row>
    <row r="9439">
      <c r="A9439" s="48" t="s">
        <v>10705</v>
      </c>
      <c r="B9439" s="38">
        <v>64005.0</v>
      </c>
      <c r="C9439" s="38" t="s">
        <v>13307</v>
      </c>
      <c r="D9439" s="38" t="str">
        <f>IFERROR(__xludf.DUMMYFUNCTION("REGEXREPLACE(C9439,""-\d+(.*)|--\d+(.*)"","""")"),"ABOS")</f>
        <v>ABOS</v>
      </c>
      <c r="E9439" s="38" t="s">
        <v>268</v>
      </c>
      <c r="F9439" s="38" t="s">
        <v>252</v>
      </c>
      <c r="G9439" s="49" t="str">
        <f t="shared" si="1"/>
        <v>64360</v>
      </c>
      <c r="H9439" s="49">
        <f t="shared" si="2"/>
        <v>64005</v>
      </c>
    </row>
    <row r="9440">
      <c r="A9440" s="48" t="s">
        <v>2491</v>
      </c>
      <c r="B9440" s="38">
        <v>46048.0</v>
      </c>
      <c r="C9440" s="38" t="s">
        <v>13308</v>
      </c>
      <c r="D9440" s="38" t="str">
        <f>IFERROR(__xludf.DUMMYFUNCTION("REGEXREPLACE(C9440,""-\d+(.*)|--\d+(.*)"","""")"),"CALVIAC")</f>
        <v>CALVIAC</v>
      </c>
      <c r="E9440" s="38" t="s">
        <v>185</v>
      </c>
      <c r="F9440" s="38" t="s">
        <v>94</v>
      </c>
      <c r="G9440" s="49" t="str">
        <f t="shared" si="1"/>
        <v>46190</v>
      </c>
      <c r="H9440" s="49">
        <f t="shared" si="2"/>
        <v>46048</v>
      </c>
    </row>
    <row r="9441">
      <c r="A9441" s="48" t="s">
        <v>13309</v>
      </c>
      <c r="B9441" s="38">
        <v>83103.0</v>
      </c>
      <c r="C9441" s="38" t="s">
        <v>13310</v>
      </c>
      <c r="D9441" s="38" t="str">
        <f>IFERROR(__xludf.DUMMYFUNCTION("REGEXREPLACE(C9441,""-\d+(.*)|--\d+(.*)"","""")"),"LE REVEST-LES-EAUX")</f>
        <v>LE REVEST-LES-EAUX</v>
      </c>
      <c r="E9441" s="38" t="s">
        <v>813</v>
      </c>
      <c r="F9441" s="38" t="s">
        <v>228</v>
      </c>
      <c r="G9441" s="49" t="str">
        <f t="shared" si="1"/>
        <v>83200</v>
      </c>
      <c r="H9441" s="49">
        <f t="shared" si="2"/>
        <v>83103</v>
      </c>
    </row>
    <row r="9442">
      <c r="A9442" s="48" t="s">
        <v>1356</v>
      </c>
      <c r="B9442" s="38">
        <v>57229.0</v>
      </c>
      <c r="C9442" s="38" t="s">
        <v>13311</v>
      </c>
      <c r="D9442" s="38" t="str">
        <f>IFERROR(__xludf.DUMMYFUNCTION("REGEXREPLACE(C9442,""-\d+(.*)|--\d+(.*)"","""")"),"FOULCREY")</f>
        <v>FOULCREY</v>
      </c>
      <c r="E9442" s="38" t="s">
        <v>303</v>
      </c>
      <c r="F9442" s="38" t="s">
        <v>195</v>
      </c>
      <c r="G9442" s="49" t="str">
        <f t="shared" si="1"/>
        <v>57830</v>
      </c>
      <c r="H9442" s="49">
        <f t="shared" si="2"/>
        <v>57229</v>
      </c>
    </row>
    <row r="9443">
      <c r="A9443" s="48" t="s">
        <v>10559</v>
      </c>
      <c r="B9443" s="38">
        <v>91386.0</v>
      </c>
      <c r="C9443" s="38" t="s">
        <v>13312</v>
      </c>
      <c r="D9443" s="38" t="str">
        <f>IFERROR(__xludf.DUMMYFUNCTION("REGEXREPLACE(C9443,""-\d+(.*)|--\d+(.*)"","""")"),"MENNECY")</f>
        <v>MENNECY</v>
      </c>
      <c r="E9443" s="38" t="s">
        <v>756</v>
      </c>
      <c r="F9443" s="38" t="s">
        <v>245</v>
      </c>
      <c r="G9443" s="49" t="str">
        <f t="shared" si="1"/>
        <v>91540</v>
      </c>
      <c r="H9443" s="49">
        <f t="shared" si="2"/>
        <v>91386</v>
      </c>
    </row>
    <row r="9444">
      <c r="A9444" s="48" t="s">
        <v>4431</v>
      </c>
      <c r="B9444" s="38">
        <v>32224.0</v>
      </c>
      <c r="C9444" s="38" t="s">
        <v>13313</v>
      </c>
      <c r="D9444" s="38" t="str">
        <f>IFERROR(__xludf.DUMMYFUNCTION("REGEXREPLACE(C9444,""-\d+(.*)|--\d+(.*)"","""")"),"MAIGNAUT-TAUZIA")</f>
        <v>MAIGNAUT-TAUZIA</v>
      </c>
      <c r="E9444" s="38" t="s">
        <v>440</v>
      </c>
      <c r="F9444" s="38" t="s">
        <v>94</v>
      </c>
      <c r="G9444" s="49" t="str">
        <f t="shared" si="1"/>
        <v>32310</v>
      </c>
      <c r="H9444" s="49">
        <f t="shared" si="2"/>
        <v>32224</v>
      </c>
    </row>
    <row r="9445">
      <c r="A9445" s="48" t="s">
        <v>10212</v>
      </c>
      <c r="B9445" s="38">
        <v>74181.0</v>
      </c>
      <c r="C9445" s="38" t="s">
        <v>13314</v>
      </c>
      <c r="D9445" s="38" t="str">
        <f>IFERROR(__xludf.DUMMYFUNCTION("REGEXREPLACE(C9445,""-\d+(.*)|--\d+(.*)"","""")"),"METZ-TESSY")</f>
        <v>METZ-TESSY</v>
      </c>
      <c r="E9445" s="38" t="s">
        <v>319</v>
      </c>
      <c r="F9445" s="38" t="s">
        <v>102</v>
      </c>
      <c r="G9445" s="49" t="str">
        <f t="shared" si="1"/>
        <v>74370</v>
      </c>
      <c r="H9445" s="49">
        <f t="shared" si="2"/>
        <v>74181</v>
      </c>
    </row>
    <row r="9446">
      <c r="A9446" s="48" t="s">
        <v>1932</v>
      </c>
      <c r="B9446" s="38">
        <v>70577.0</v>
      </c>
      <c r="C9446" s="38" t="s">
        <v>13315</v>
      </c>
      <c r="D9446" s="38" t="str">
        <f>IFERROR(__xludf.DUMMYFUNCTION("REGEXREPLACE(C9446,""-\d+(.*)|--\d+(.*)"","""")"),"VOUHENANS")</f>
        <v>VOUHENANS</v>
      </c>
      <c r="E9446" s="38" t="s">
        <v>956</v>
      </c>
      <c r="F9446" s="38" t="s">
        <v>214</v>
      </c>
      <c r="G9446" s="49" t="str">
        <f t="shared" si="1"/>
        <v>70200</v>
      </c>
      <c r="H9446" s="49">
        <f t="shared" si="2"/>
        <v>70577</v>
      </c>
    </row>
    <row r="9447">
      <c r="A9447" s="48" t="s">
        <v>674</v>
      </c>
      <c r="B9447" s="38">
        <v>49280.0</v>
      </c>
      <c r="C9447" s="38" t="s">
        <v>12244</v>
      </c>
      <c r="D9447" s="38" t="str">
        <f>IFERROR(__xludf.DUMMYFUNCTION("REGEXREPLACE(C9447,""-\d+(.*)|--\d+(.*)"","""")"),"SAINT-GEORGES-DU-BOIS")</f>
        <v>SAINT-GEORGES-DU-BOIS</v>
      </c>
      <c r="E9447" s="38" t="s">
        <v>653</v>
      </c>
      <c r="F9447" s="38" t="s">
        <v>180</v>
      </c>
      <c r="G9447" s="49" t="str">
        <f t="shared" si="1"/>
        <v>49250</v>
      </c>
      <c r="H9447" s="49">
        <f t="shared" si="2"/>
        <v>49280</v>
      </c>
    </row>
    <row r="9448">
      <c r="A9448" s="48" t="s">
        <v>13316</v>
      </c>
      <c r="B9448" s="38">
        <v>45244.0</v>
      </c>
      <c r="C9448" s="38" t="s">
        <v>13317</v>
      </c>
      <c r="D9448" s="38" t="str">
        <f>IFERROR(__xludf.DUMMYFUNCTION("REGEXREPLACE(C9448,""-\d+(.*)|--\d+(.*)"","""")"),"OUZOUER-SUR-LOIRE")</f>
        <v>OUZOUER-SUR-LOIRE</v>
      </c>
      <c r="E9448" s="38" t="s">
        <v>122</v>
      </c>
      <c r="F9448" s="38" t="s">
        <v>123</v>
      </c>
      <c r="G9448" s="49" t="str">
        <f t="shared" si="1"/>
        <v>45570</v>
      </c>
      <c r="H9448" s="49">
        <f t="shared" si="2"/>
        <v>45244</v>
      </c>
    </row>
    <row r="9449">
      <c r="A9449" s="48" t="s">
        <v>7492</v>
      </c>
      <c r="B9449" s="38">
        <v>15128.0</v>
      </c>
      <c r="C9449" s="38" t="s">
        <v>13318</v>
      </c>
      <c r="D9449" s="38" t="str">
        <f>IFERROR(__xludf.DUMMYFUNCTION("REGEXREPLACE(C9449,""-\d+(.*)|--\d+(.*)"","""")"),"LA MONSELIE")</f>
        <v>LA MONSELIE</v>
      </c>
      <c r="E9449" s="38" t="s">
        <v>632</v>
      </c>
      <c r="F9449" s="38" t="s">
        <v>161</v>
      </c>
      <c r="G9449" s="49" t="str">
        <f t="shared" si="1"/>
        <v>15240</v>
      </c>
      <c r="H9449" s="49">
        <f t="shared" si="2"/>
        <v>15128</v>
      </c>
    </row>
    <row r="9450">
      <c r="A9450" s="48" t="s">
        <v>1132</v>
      </c>
      <c r="B9450" s="38">
        <v>2763.0</v>
      </c>
      <c r="C9450" s="38" t="s">
        <v>13319</v>
      </c>
      <c r="D9450" s="38" t="str">
        <f>IFERROR(__xludf.DUMMYFUNCTION("REGEXREPLACE(C9450,""-\d+(.*)|--\d+(.*)"","""")"),"VASSENY")</f>
        <v>VASSENY</v>
      </c>
      <c r="E9450" s="38" t="s">
        <v>191</v>
      </c>
      <c r="F9450" s="38" t="s">
        <v>113</v>
      </c>
      <c r="G9450" s="49" t="str">
        <f t="shared" si="1"/>
        <v>02220</v>
      </c>
      <c r="H9450" s="49" t="str">
        <f t="shared" si="2"/>
        <v>02763</v>
      </c>
    </row>
    <row r="9451">
      <c r="A9451" s="48" t="s">
        <v>1246</v>
      </c>
      <c r="B9451" s="38">
        <v>62055.0</v>
      </c>
      <c r="C9451" s="38" t="s">
        <v>13320</v>
      </c>
      <c r="D9451" s="38" t="str">
        <f>IFERROR(__xludf.DUMMYFUNCTION("REGEXREPLACE(C9451,""-\d+(.*)|--\d+(.*)"","""")"),"AUDREHEM")</f>
        <v>AUDREHEM</v>
      </c>
      <c r="E9451" s="38" t="s">
        <v>109</v>
      </c>
      <c r="F9451" s="38" t="s">
        <v>86</v>
      </c>
      <c r="G9451" s="49" t="str">
        <f t="shared" si="1"/>
        <v>62890</v>
      </c>
      <c r="H9451" s="49">
        <f t="shared" si="2"/>
        <v>62055</v>
      </c>
    </row>
    <row r="9452">
      <c r="A9452" s="48" t="s">
        <v>4853</v>
      </c>
      <c r="B9452" s="38">
        <v>32318.0</v>
      </c>
      <c r="C9452" s="38" t="s">
        <v>13321</v>
      </c>
      <c r="D9452" s="38" t="str">
        <f>IFERROR(__xludf.DUMMYFUNCTION("REGEXREPLACE(C9452,""-\d+(.*)|--\d+(.*)"","""")"),"PIS")</f>
        <v>PIS</v>
      </c>
      <c r="E9452" s="38" t="s">
        <v>440</v>
      </c>
      <c r="F9452" s="38" t="s">
        <v>94</v>
      </c>
      <c r="G9452" s="49" t="str">
        <f t="shared" si="1"/>
        <v>32500</v>
      </c>
      <c r="H9452" s="49">
        <f t="shared" si="2"/>
        <v>32318</v>
      </c>
    </row>
    <row r="9453">
      <c r="A9453" s="48" t="s">
        <v>8962</v>
      </c>
      <c r="B9453" s="38">
        <v>12135.0</v>
      </c>
      <c r="C9453" s="38" t="s">
        <v>13322</v>
      </c>
      <c r="D9453" s="38" t="str">
        <f>IFERROR(__xludf.DUMMYFUNCTION("REGEXREPLACE(C9453,""-\d+(.*)|--\d+(.*)"","""")"),"LUNAC")</f>
        <v>LUNAC</v>
      </c>
      <c r="E9453" s="38" t="s">
        <v>465</v>
      </c>
      <c r="F9453" s="38" t="s">
        <v>94</v>
      </c>
      <c r="G9453" s="49" t="str">
        <f t="shared" si="1"/>
        <v>12270</v>
      </c>
      <c r="H9453" s="49">
        <f t="shared" si="2"/>
        <v>12135</v>
      </c>
    </row>
    <row r="9454">
      <c r="A9454" s="48" t="s">
        <v>13323</v>
      </c>
      <c r="B9454" s="38">
        <v>22144.0</v>
      </c>
      <c r="C9454" s="38" t="s">
        <v>13324</v>
      </c>
      <c r="D9454" s="38" t="str">
        <f>IFERROR(__xludf.DUMMYFUNCTION("REGEXREPLACE(C9454,""-\d+(.*)|--\d+(.*)"","""")"),"LA MEAUGON")</f>
        <v>LA MEAUGON</v>
      </c>
      <c r="E9454" s="38" t="s">
        <v>89</v>
      </c>
      <c r="F9454" s="38" t="s">
        <v>90</v>
      </c>
      <c r="G9454" s="49" t="str">
        <f t="shared" si="1"/>
        <v>22440</v>
      </c>
      <c r="H9454" s="49">
        <f t="shared" si="2"/>
        <v>22144</v>
      </c>
    </row>
    <row r="9455">
      <c r="A9455" s="48" t="s">
        <v>13197</v>
      </c>
      <c r="B9455" s="38">
        <v>91619.0</v>
      </c>
      <c r="C9455" s="38" t="s">
        <v>13325</v>
      </c>
      <c r="D9455" s="38" t="str">
        <f>IFERROR(__xludf.DUMMYFUNCTION("REGEXREPLACE(C9455,""-\d+(.*)|--\d+(.*)"","""")"),"TORFOU")</f>
        <v>TORFOU</v>
      </c>
      <c r="E9455" s="38" t="s">
        <v>756</v>
      </c>
      <c r="F9455" s="38" t="s">
        <v>245</v>
      </c>
      <c r="G9455" s="49" t="str">
        <f t="shared" si="1"/>
        <v>91730</v>
      </c>
      <c r="H9455" s="49">
        <f t="shared" si="2"/>
        <v>91619</v>
      </c>
    </row>
    <row r="9456">
      <c r="A9456" s="48" t="s">
        <v>8439</v>
      </c>
      <c r="B9456" s="38">
        <v>89425.0</v>
      </c>
      <c r="C9456" s="38" t="s">
        <v>13326</v>
      </c>
      <c r="D9456" s="38" t="str">
        <f>IFERROR(__xludf.DUMMYFUNCTION("REGEXREPLACE(C9456,""-\d+(.*)|--\d+(.*)"","""")"),"TURNY")</f>
        <v>TURNY</v>
      </c>
      <c r="E9456" s="38" t="s">
        <v>275</v>
      </c>
      <c r="F9456" s="38" t="s">
        <v>106</v>
      </c>
      <c r="G9456" s="49" t="str">
        <f t="shared" si="1"/>
        <v>89570</v>
      </c>
      <c r="H9456" s="49">
        <f t="shared" si="2"/>
        <v>89425</v>
      </c>
    </row>
    <row r="9457">
      <c r="A9457" s="48" t="s">
        <v>507</v>
      </c>
      <c r="B9457" s="38">
        <v>8398.0</v>
      </c>
      <c r="C9457" s="38" t="s">
        <v>13327</v>
      </c>
      <c r="D9457" s="38" t="str">
        <f>IFERROR(__xludf.DUMMYFUNCTION("REGEXREPLACE(C9457,""-\d+(.*)|--\d+(.*)"","""")"),"SAINTE-VAUBOURG")</f>
        <v>SAINTE-VAUBOURG</v>
      </c>
      <c r="E9457" s="38" t="s">
        <v>327</v>
      </c>
      <c r="F9457" s="38" t="s">
        <v>130</v>
      </c>
      <c r="G9457" s="49" t="str">
        <f t="shared" si="1"/>
        <v>08130</v>
      </c>
      <c r="H9457" s="49" t="str">
        <f t="shared" si="2"/>
        <v>08398</v>
      </c>
    </row>
    <row r="9458">
      <c r="A9458" s="48" t="s">
        <v>748</v>
      </c>
      <c r="B9458" s="38">
        <v>60373.0</v>
      </c>
      <c r="C9458" s="38" t="s">
        <v>13328</v>
      </c>
      <c r="D9458" s="38" t="str">
        <f>IFERROR(__xludf.DUMMYFUNCTION("REGEXREPLACE(C9458,""-\d+(.*)|--\d+(.*)"","""")"),"MACHEMONT")</f>
        <v>MACHEMONT</v>
      </c>
      <c r="E9458" s="38" t="s">
        <v>112</v>
      </c>
      <c r="F9458" s="38" t="s">
        <v>113</v>
      </c>
      <c r="G9458" s="49" t="str">
        <f t="shared" si="1"/>
        <v>60150</v>
      </c>
      <c r="H9458" s="49">
        <f t="shared" si="2"/>
        <v>60373</v>
      </c>
    </row>
    <row r="9459">
      <c r="A9459" s="48" t="s">
        <v>7706</v>
      </c>
      <c r="B9459" s="38">
        <v>59597.0</v>
      </c>
      <c r="C9459" s="38" t="s">
        <v>13329</v>
      </c>
      <c r="D9459" s="38" t="str">
        <f>IFERROR(__xludf.DUMMYFUNCTION("REGEXREPLACE(C9459,""-\d+(.*)|--\d+(.*)"","""")"),"TILLOY-LEZ-CAMBRAI")</f>
        <v>TILLOY-LEZ-CAMBRAI</v>
      </c>
      <c r="E9459" s="38" t="s">
        <v>85</v>
      </c>
      <c r="F9459" s="38" t="s">
        <v>86</v>
      </c>
      <c r="G9459" s="49" t="str">
        <f t="shared" si="1"/>
        <v>59554</v>
      </c>
      <c r="H9459" s="49">
        <f t="shared" si="2"/>
        <v>59597</v>
      </c>
    </row>
    <row r="9460">
      <c r="A9460" s="48" t="s">
        <v>1448</v>
      </c>
      <c r="B9460" s="38">
        <v>29180.0</v>
      </c>
      <c r="C9460" s="38" t="s">
        <v>13330</v>
      </c>
      <c r="D9460" s="38" t="str">
        <f>IFERROR(__xludf.DUMMYFUNCTION("REGEXREPLACE(C9460,""-\d+(.*)|--\d+(.*)"","""")"),"PLOUDIRY")</f>
        <v>PLOUDIRY</v>
      </c>
      <c r="E9460" s="38" t="s">
        <v>176</v>
      </c>
      <c r="F9460" s="38" t="s">
        <v>90</v>
      </c>
      <c r="G9460" s="49" t="str">
        <f t="shared" si="1"/>
        <v>29800</v>
      </c>
      <c r="H9460" s="49">
        <f t="shared" si="2"/>
        <v>29180</v>
      </c>
    </row>
    <row r="9461">
      <c r="A9461" s="48" t="s">
        <v>486</v>
      </c>
      <c r="B9461" s="38">
        <v>17346.0</v>
      </c>
      <c r="C9461" s="38" t="s">
        <v>5910</v>
      </c>
      <c r="D9461" s="38" t="str">
        <f>IFERROR(__xludf.DUMMYFUNCTION("REGEXREPLACE(C9461,""-\d+(.*)|--\d+(.*)"","""")"),"SAINT-HIPPOLYTE")</f>
        <v>SAINT-HIPPOLYTE</v>
      </c>
      <c r="E9461" s="38" t="s">
        <v>488</v>
      </c>
      <c r="F9461" s="38" t="s">
        <v>338</v>
      </c>
      <c r="G9461" s="49" t="str">
        <f t="shared" si="1"/>
        <v>17430</v>
      </c>
      <c r="H9461" s="49">
        <f t="shared" si="2"/>
        <v>17346</v>
      </c>
    </row>
    <row r="9462">
      <c r="A9462" s="48" t="s">
        <v>13331</v>
      </c>
      <c r="B9462" s="38">
        <v>12087.0</v>
      </c>
      <c r="C9462" s="38" t="s">
        <v>13332</v>
      </c>
      <c r="D9462" s="38" t="str">
        <f>IFERROR(__xludf.DUMMYFUNCTION("REGEXREPLACE(C9462,""-\d+(.*)|--\d+(.*)"","""")"),"CRUEJOULS")</f>
        <v>CRUEJOULS</v>
      </c>
      <c r="E9462" s="38" t="s">
        <v>465</v>
      </c>
      <c r="F9462" s="38" t="s">
        <v>94</v>
      </c>
      <c r="G9462" s="49" t="str">
        <f t="shared" si="1"/>
        <v>12340</v>
      </c>
      <c r="H9462" s="49">
        <f t="shared" si="2"/>
        <v>12087</v>
      </c>
    </row>
    <row r="9463">
      <c r="A9463" s="48" t="s">
        <v>1603</v>
      </c>
      <c r="B9463" s="38">
        <v>25105.0</v>
      </c>
      <c r="C9463" s="38" t="s">
        <v>13333</v>
      </c>
      <c r="D9463" s="38" t="str">
        <f>IFERROR(__xludf.DUMMYFUNCTION("REGEXREPLACE(C9463,""-\d+(.*)|--\d+(.*)"","""")"),"BYANS-SUR-DOUBS")</f>
        <v>BYANS-SUR-DOUBS</v>
      </c>
      <c r="E9463" s="38" t="s">
        <v>213</v>
      </c>
      <c r="F9463" s="38" t="s">
        <v>214</v>
      </c>
      <c r="G9463" s="49" t="str">
        <f t="shared" si="1"/>
        <v>25320</v>
      </c>
      <c r="H9463" s="49">
        <f t="shared" si="2"/>
        <v>25105</v>
      </c>
    </row>
    <row r="9464">
      <c r="A9464" s="48" t="s">
        <v>1132</v>
      </c>
      <c r="B9464" s="38">
        <v>2224.0</v>
      </c>
      <c r="C9464" s="38" t="s">
        <v>13334</v>
      </c>
      <c r="D9464" s="38" t="str">
        <f>IFERROR(__xludf.DUMMYFUNCTION("REGEXREPLACE(C9464,""-\d+(.*)|--\d+(.*)"","""")"),"COURCELLES-SUR-VESLE")</f>
        <v>COURCELLES-SUR-VESLE</v>
      </c>
      <c r="E9464" s="38" t="s">
        <v>191</v>
      </c>
      <c r="F9464" s="38" t="s">
        <v>113</v>
      </c>
      <c r="G9464" s="49" t="str">
        <f t="shared" si="1"/>
        <v>02220</v>
      </c>
      <c r="H9464" s="49" t="str">
        <f t="shared" si="2"/>
        <v>02224</v>
      </c>
    </row>
    <row r="9465">
      <c r="A9465" s="48" t="s">
        <v>11104</v>
      </c>
      <c r="B9465" s="38">
        <v>30082.0</v>
      </c>
      <c r="C9465" s="38" t="s">
        <v>13335</v>
      </c>
      <c r="D9465" s="38" t="str">
        <f>IFERROR(__xludf.DUMMYFUNCTION("REGEXREPLACE(C9465,""-\d+(.*)|--\d+(.*)"","""")"),"CLARENSAC")</f>
        <v>CLARENSAC</v>
      </c>
      <c r="E9465" s="38" t="s">
        <v>526</v>
      </c>
      <c r="F9465" s="38" t="s">
        <v>119</v>
      </c>
      <c r="G9465" s="49" t="str">
        <f t="shared" si="1"/>
        <v>30870</v>
      </c>
      <c r="H9465" s="49">
        <f t="shared" si="2"/>
        <v>30082</v>
      </c>
    </row>
    <row r="9466">
      <c r="A9466" s="48" t="s">
        <v>2600</v>
      </c>
      <c r="B9466" s="38">
        <v>60062.0</v>
      </c>
      <c r="C9466" s="38" t="s">
        <v>13336</v>
      </c>
      <c r="D9466" s="38" t="str">
        <f>IFERROR(__xludf.DUMMYFUNCTION("REGEXREPLACE(C9466,""-\d+(.*)|--\d+(.*)"","""")"),"BERLANCOURT")</f>
        <v>BERLANCOURT</v>
      </c>
      <c r="E9466" s="38" t="s">
        <v>112</v>
      </c>
      <c r="F9466" s="38" t="s">
        <v>113</v>
      </c>
      <c r="G9466" s="49" t="str">
        <f t="shared" si="1"/>
        <v>60640</v>
      </c>
      <c r="H9466" s="49">
        <f t="shared" si="2"/>
        <v>60062</v>
      </c>
    </row>
    <row r="9467">
      <c r="A9467" s="48" t="s">
        <v>1940</v>
      </c>
      <c r="B9467" s="38">
        <v>51090.0</v>
      </c>
      <c r="C9467" s="38" t="s">
        <v>13337</v>
      </c>
      <c r="D9467" s="38" t="str">
        <f>IFERROR(__xludf.DUMMYFUNCTION("REGEXREPLACE(C9467,""-\d+(.*)|--\d+(.*)"","""")"),"BROUSSY-LE-GRAND")</f>
        <v>BROUSSY-LE-GRAND</v>
      </c>
      <c r="E9467" s="38" t="s">
        <v>129</v>
      </c>
      <c r="F9467" s="38" t="s">
        <v>130</v>
      </c>
      <c r="G9467" s="49" t="str">
        <f t="shared" si="1"/>
        <v>51230</v>
      </c>
      <c r="H9467" s="49">
        <f t="shared" si="2"/>
        <v>51090</v>
      </c>
    </row>
    <row r="9468">
      <c r="A9468" s="48" t="s">
        <v>5205</v>
      </c>
      <c r="B9468" s="38">
        <v>59402.0</v>
      </c>
      <c r="C9468" s="38" t="s">
        <v>13338</v>
      </c>
      <c r="D9468" s="38" t="str">
        <f>IFERROR(__xludf.DUMMYFUNCTION("REGEXREPLACE(C9468,""-\d+(.*)|--\d+(.*)"","""")"),"MILLAM")</f>
        <v>MILLAM</v>
      </c>
      <c r="E9468" s="38" t="s">
        <v>85</v>
      </c>
      <c r="F9468" s="38" t="s">
        <v>86</v>
      </c>
      <c r="G9468" s="49" t="str">
        <f t="shared" si="1"/>
        <v>59143</v>
      </c>
      <c r="H9468" s="49">
        <f t="shared" si="2"/>
        <v>59402</v>
      </c>
    </row>
    <row r="9469">
      <c r="A9469" s="48" t="s">
        <v>13339</v>
      </c>
      <c r="B9469" s="38">
        <v>62317.0</v>
      </c>
      <c r="C9469" s="38" t="s">
        <v>13340</v>
      </c>
      <c r="D9469" s="38" t="str">
        <f>IFERROR(__xludf.DUMMYFUNCTION("REGEXREPLACE(C9469,""-\d+(.*)|--\d+(.*)"","""")"),"ETAING")</f>
        <v>ETAING</v>
      </c>
      <c r="E9469" s="38" t="s">
        <v>109</v>
      </c>
      <c r="F9469" s="38" t="s">
        <v>86</v>
      </c>
      <c r="G9469" s="49" t="str">
        <f t="shared" si="1"/>
        <v>62156</v>
      </c>
      <c r="H9469" s="49">
        <f t="shared" si="2"/>
        <v>62317</v>
      </c>
    </row>
    <row r="9470">
      <c r="A9470" s="48" t="s">
        <v>7462</v>
      </c>
      <c r="B9470" s="38">
        <v>25390.0</v>
      </c>
      <c r="C9470" s="38" t="s">
        <v>13341</v>
      </c>
      <c r="D9470" s="38" t="str">
        <f>IFERROR(__xludf.DUMMYFUNCTION("REGEXREPLACE(C9470,""-\d+(.*)|--\d+(.*)"","""")"),"MONTBENOIT")</f>
        <v>MONTBENOIT</v>
      </c>
      <c r="E9470" s="38" t="s">
        <v>213</v>
      </c>
      <c r="F9470" s="38" t="s">
        <v>214</v>
      </c>
      <c r="G9470" s="49" t="str">
        <f t="shared" si="1"/>
        <v>25650</v>
      </c>
      <c r="H9470" s="49">
        <f t="shared" si="2"/>
        <v>25390</v>
      </c>
    </row>
    <row r="9471">
      <c r="A9471" s="48" t="s">
        <v>8418</v>
      </c>
      <c r="B9471" s="38">
        <v>80543.0</v>
      </c>
      <c r="C9471" s="38" t="s">
        <v>13342</v>
      </c>
      <c r="D9471" s="38" t="str">
        <f>IFERROR(__xludf.DUMMYFUNCTION("REGEXREPLACE(C9471,""-\d+(.*)|--\d+(.*)"","""")"),"METIGNY")</f>
        <v>METIGNY</v>
      </c>
      <c r="E9471" s="38" t="s">
        <v>224</v>
      </c>
      <c r="F9471" s="38" t="s">
        <v>113</v>
      </c>
      <c r="G9471" s="49" t="str">
        <f t="shared" si="1"/>
        <v>80270</v>
      </c>
      <c r="H9471" s="49">
        <f t="shared" si="2"/>
        <v>80543</v>
      </c>
    </row>
    <row r="9472">
      <c r="A9472" s="48" t="s">
        <v>12748</v>
      </c>
      <c r="B9472" s="38">
        <v>62769.0</v>
      </c>
      <c r="C9472" s="38" t="s">
        <v>13343</v>
      </c>
      <c r="D9472" s="38" t="str">
        <f>IFERROR(__xludf.DUMMYFUNCTION("REGEXREPLACE(C9472,""-\d+(.*)|--\d+(.*)"","""")"),"SAINT-TRICAT")</f>
        <v>SAINT-TRICAT</v>
      </c>
      <c r="E9472" s="38" t="s">
        <v>109</v>
      </c>
      <c r="F9472" s="38" t="s">
        <v>86</v>
      </c>
      <c r="G9472" s="49" t="str">
        <f t="shared" si="1"/>
        <v>62185</v>
      </c>
      <c r="H9472" s="49">
        <f t="shared" si="2"/>
        <v>62769</v>
      </c>
    </row>
    <row r="9473">
      <c r="A9473" s="48" t="s">
        <v>13344</v>
      </c>
      <c r="B9473" s="38">
        <v>37204.0</v>
      </c>
      <c r="C9473" s="38" t="s">
        <v>13345</v>
      </c>
      <c r="D9473" s="38" t="str">
        <f>IFERROR(__xludf.DUMMYFUNCTION("REGEXREPLACE(C9473,""-\d+(.*)|--\d+(.*)"","""")"),"ROUZIERS-DE-TOURAINE")</f>
        <v>ROUZIERS-DE-TOURAINE</v>
      </c>
      <c r="E9473" s="38" t="s">
        <v>205</v>
      </c>
      <c r="F9473" s="38" t="s">
        <v>123</v>
      </c>
      <c r="G9473" s="49" t="str">
        <f t="shared" si="1"/>
        <v>37360</v>
      </c>
      <c r="H9473" s="49">
        <f t="shared" si="2"/>
        <v>37204</v>
      </c>
    </row>
    <row r="9474">
      <c r="A9474" s="48" t="s">
        <v>580</v>
      </c>
      <c r="B9474" s="38">
        <v>31221.0</v>
      </c>
      <c r="C9474" s="38" t="s">
        <v>13346</v>
      </c>
      <c r="D9474" s="38" t="str">
        <f>IFERROR(__xludf.DUMMYFUNCTION("REGEXREPLACE(C9474,""-\d+(.*)|--\d+(.*)"","""")"),"GOUAUX-DE-LARBOUST")</f>
        <v>GOUAUX-DE-LARBOUST</v>
      </c>
      <c r="E9474" s="38" t="s">
        <v>93</v>
      </c>
      <c r="F9474" s="38" t="s">
        <v>94</v>
      </c>
      <c r="G9474" s="49" t="str">
        <f t="shared" si="1"/>
        <v>31110</v>
      </c>
      <c r="H9474" s="49">
        <f t="shared" si="2"/>
        <v>31221</v>
      </c>
    </row>
    <row r="9475">
      <c r="A9475" s="48" t="s">
        <v>217</v>
      </c>
      <c r="B9475" s="38">
        <v>58013.0</v>
      </c>
      <c r="C9475" s="38" t="s">
        <v>13347</v>
      </c>
      <c r="D9475" s="38" t="str">
        <f>IFERROR(__xludf.DUMMYFUNCTION("REGEXREPLACE(C9475,""-\d+(.*)|--\d+(.*)"","""")"),"ARTHEL")</f>
        <v>ARTHEL</v>
      </c>
      <c r="E9475" s="38" t="s">
        <v>219</v>
      </c>
      <c r="F9475" s="38" t="s">
        <v>106</v>
      </c>
      <c r="G9475" s="49" t="str">
        <f t="shared" si="1"/>
        <v>58700</v>
      </c>
      <c r="H9475" s="49">
        <f t="shared" si="2"/>
        <v>58013</v>
      </c>
    </row>
    <row r="9476">
      <c r="A9476" s="48" t="s">
        <v>3324</v>
      </c>
      <c r="B9476" s="38">
        <v>62689.0</v>
      </c>
      <c r="C9476" s="38" t="s">
        <v>13348</v>
      </c>
      <c r="D9476" s="38" t="str">
        <f>IFERROR(__xludf.DUMMYFUNCTION("REGEXREPLACE(C9476,""-\d+(.*)|--\d+(.*)"","""")"),"RANSART")</f>
        <v>RANSART</v>
      </c>
      <c r="E9476" s="38" t="s">
        <v>109</v>
      </c>
      <c r="F9476" s="38" t="s">
        <v>86</v>
      </c>
      <c r="G9476" s="49" t="str">
        <f t="shared" si="1"/>
        <v>62173</v>
      </c>
      <c r="H9476" s="49">
        <f t="shared" si="2"/>
        <v>62689</v>
      </c>
    </row>
    <row r="9477">
      <c r="A9477" s="48" t="s">
        <v>5616</v>
      </c>
      <c r="B9477" s="38">
        <v>71466.0</v>
      </c>
      <c r="C9477" s="38" t="s">
        <v>13349</v>
      </c>
      <c r="D9477" s="38" t="str">
        <f>IFERROR(__xludf.DUMMYFUNCTION("REGEXREPLACE(C9477,""-\d+(.*)|--\d+(.*)"","""")"),"SAINT-NIZIER-SUR-ARROUX")</f>
        <v>SAINT-NIZIER-SUR-ARROUX</v>
      </c>
      <c r="E9477" s="38" t="s">
        <v>344</v>
      </c>
      <c r="F9477" s="38" t="s">
        <v>106</v>
      </c>
      <c r="G9477" s="49" t="str">
        <f t="shared" si="1"/>
        <v>71190</v>
      </c>
      <c r="H9477" s="49">
        <f t="shared" si="2"/>
        <v>71466</v>
      </c>
    </row>
    <row r="9478">
      <c r="A9478" s="48" t="s">
        <v>13350</v>
      </c>
      <c r="B9478" s="38">
        <v>35047.0</v>
      </c>
      <c r="C9478" s="38" t="s">
        <v>13351</v>
      </c>
      <c r="D9478" s="38" t="str">
        <f>IFERROR(__xludf.DUMMYFUNCTION("REGEXREPLACE(C9478,""-\d+(.*)|--\d+(.*)"","""")"),"BRUZ")</f>
        <v>BRUZ</v>
      </c>
      <c r="E9478" s="38" t="s">
        <v>347</v>
      </c>
      <c r="F9478" s="38" t="s">
        <v>90</v>
      </c>
      <c r="G9478" s="49" t="str">
        <f t="shared" si="1"/>
        <v>35170</v>
      </c>
      <c r="H9478" s="49">
        <f t="shared" si="2"/>
        <v>35047</v>
      </c>
    </row>
    <row r="9479">
      <c r="A9479" s="48" t="s">
        <v>2503</v>
      </c>
      <c r="B9479" s="38">
        <v>33058.0</v>
      </c>
      <c r="C9479" s="38" t="s">
        <v>13352</v>
      </c>
      <c r="D9479" s="38" t="str">
        <f>IFERROR(__xludf.DUMMYFUNCTION("REGEXREPLACE(C9479,""-\d+(.*)|--\d+(.*)"","""")"),"BLAYE")</f>
        <v>BLAYE</v>
      </c>
      <c r="E9479" s="38" t="s">
        <v>462</v>
      </c>
      <c r="F9479" s="38" t="s">
        <v>252</v>
      </c>
      <c r="G9479" s="49" t="str">
        <f t="shared" si="1"/>
        <v>33390</v>
      </c>
      <c r="H9479" s="49">
        <f t="shared" si="2"/>
        <v>33058</v>
      </c>
    </row>
    <row r="9480">
      <c r="A9480" s="48" t="s">
        <v>4338</v>
      </c>
      <c r="B9480" s="38">
        <v>70435.0</v>
      </c>
      <c r="C9480" s="38" t="s">
        <v>13353</v>
      </c>
      <c r="D9480" s="38" t="str">
        <f>IFERROR(__xludf.DUMMYFUNCTION("REGEXREPLACE(C9480,""-\d+(.*)|--\d+(.*)"","""")"),"RADDON-ET-CHAPENDU")</f>
        <v>RADDON-ET-CHAPENDU</v>
      </c>
      <c r="E9480" s="38" t="s">
        <v>956</v>
      </c>
      <c r="F9480" s="38" t="s">
        <v>214</v>
      </c>
      <c r="G9480" s="49" t="str">
        <f t="shared" si="1"/>
        <v>70280</v>
      </c>
      <c r="H9480" s="49">
        <f t="shared" si="2"/>
        <v>70435</v>
      </c>
    </row>
    <row r="9481">
      <c r="A9481" s="48" t="s">
        <v>582</v>
      </c>
      <c r="B9481" s="38">
        <v>39454.0</v>
      </c>
      <c r="C9481" s="38" t="s">
        <v>13354</v>
      </c>
      <c r="D9481" s="38" t="str">
        <f>IFERROR(__xludf.DUMMYFUNCTION("REGEXREPLACE(C9481,""-\d+(.*)|--\d+(.*)"","""")"),"RECANOZ")</f>
        <v>RECANOZ</v>
      </c>
      <c r="E9481" s="38" t="s">
        <v>400</v>
      </c>
      <c r="F9481" s="38" t="s">
        <v>214</v>
      </c>
      <c r="G9481" s="49" t="str">
        <f t="shared" si="1"/>
        <v>39230</v>
      </c>
      <c r="H9481" s="49">
        <f t="shared" si="2"/>
        <v>39454</v>
      </c>
    </row>
    <row r="9482">
      <c r="A9482" s="48" t="s">
        <v>7933</v>
      </c>
      <c r="B9482" s="38">
        <v>27051.0</v>
      </c>
      <c r="C9482" s="38" t="s">
        <v>13355</v>
      </c>
      <c r="D9482" s="38" t="str">
        <f>IFERROR(__xludf.DUMMYFUNCTION("REGEXREPLACE(C9482,""-\d+(.*)|--\d+(.*)"","""")"),"BEAUMONT-LE-ROGER")</f>
        <v>BEAUMONT-LE-ROGER</v>
      </c>
      <c r="E9482" s="38" t="s">
        <v>241</v>
      </c>
      <c r="F9482" s="38" t="s">
        <v>134</v>
      </c>
      <c r="G9482" s="49" t="str">
        <f t="shared" si="1"/>
        <v>27170</v>
      </c>
      <c r="H9482" s="49">
        <f t="shared" si="2"/>
        <v>27051</v>
      </c>
    </row>
    <row r="9483">
      <c r="A9483" s="48" t="s">
        <v>4650</v>
      </c>
      <c r="B9483" s="38">
        <v>47084.0</v>
      </c>
      <c r="C9483" s="38" t="s">
        <v>13356</v>
      </c>
      <c r="D9483" s="38" t="str">
        <f>IFERROR(__xludf.DUMMYFUNCTION("REGEXREPLACE(C9483,""-\d+(.*)|--\d+(.*)"","""")"),"DOUZAINS")</f>
        <v>DOUZAINS</v>
      </c>
      <c r="E9483" s="38" t="s">
        <v>251</v>
      </c>
      <c r="F9483" s="38" t="s">
        <v>252</v>
      </c>
      <c r="G9483" s="49" t="str">
        <f t="shared" si="1"/>
        <v>47330</v>
      </c>
      <c r="H9483" s="49">
        <f t="shared" si="2"/>
        <v>47084</v>
      </c>
    </row>
    <row r="9484">
      <c r="A9484" s="48" t="s">
        <v>2820</v>
      </c>
      <c r="B9484" s="38">
        <v>2087.0</v>
      </c>
      <c r="C9484" s="38" t="s">
        <v>13357</v>
      </c>
      <c r="D9484" s="38" t="str">
        <f>IFERROR(__xludf.DUMMYFUNCTION("REGEXREPLACE(C9484,""-\d+(.*)|--\d+(.*)"","""")"),"BIEUXY")</f>
        <v>BIEUXY</v>
      </c>
      <c r="E9484" s="38" t="s">
        <v>191</v>
      </c>
      <c r="F9484" s="38" t="s">
        <v>113</v>
      </c>
      <c r="G9484" s="49" t="str">
        <f t="shared" si="1"/>
        <v>02290</v>
      </c>
      <c r="H9484" s="49" t="str">
        <f t="shared" si="2"/>
        <v>02087</v>
      </c>
    </row>
    <row r="9485">
      <c r="A9485" s="48" t="s">
        <v>3080</v>
      </c>
      <c r="B9485" s="38">
        <v>71561.0</v>
      </c>
      <c r="C9485" s="38" t="s">
        <v>13358</v>
      </c>
      <c r="D9485" s="38" t="str">
        <f>IFERROR(__xludf.DUMMYFUNCTION("REGEXREPLACE(C9485,""-\d+(.*)|--\d+(.*)"","""")"),"VAUBAN")</f>
        <v>VAUBAN</v>
      </c>
      <c r="E9485" s="38" t="s">
        <v>344</v>
      </c>
      <c r="F9485" s="38" t="s">
        <v>106</v>
      </c>
      <c r="G9485" s="49" t="str">
        <f t="shared" si="1"/>
        <v>71800</v>
      </c>
      <c r="H9485" s="49">
        <f t="shared" si="2"/>
        <v>71561</v>
      </c>
    </row>
    <row r="9486">
      <c r="A9486" s="48" t="s">
        <v>6021</v>
      </c>
      <c r="B9486" s="38">
        <v>30277.0</v>
      </c>
      <c r="C9486" s="38" t="s">
        <v>13359</v>
      </c>
      <c r="D9486" s="38" t="str">
        <f>IFERROR(__xludf.DUMMYFUNCTION("REGEXREPLACE(C9486,""-\d+(.*)|--\d+(.*)"","""")"),"SAINT-LAURENT-DE-CARNOLS")</f>
        <v>SAINT-LAURENT-DE-CARNOLS</v>
      </c>
      <c r="E9486" s="38" t="s">
        <v>526</v>
      </c>
      <c r="F9486" s="38" t="s">
        <v>119</v>
      </c>
      <c r="G9486" s="49" t="str">
        <f t="shared" si="1"/>
        <v>30200</v>
      </c>
      <c r="H9486" s="49">
        <f t="shared" si="2"/>
        <v>30277</v>
      </c>
    </row>
    <row r="9487">
      <c r="A9487" s="48" t="s">
        <v>8790</v>
      </c>
      <c r="B9487" s="38">
        <v>42314.0</v>
      </c>
      <c r="C9487" s="38" t="s">
        <v>13360</v>
      </c>
      <c r="D9487" s="38" t="str">
        <f>IFERROR(__xludf.DUMMYFUNCTION("REGEXREPLACE(C9487,""-\d+(.*)|--\d+(.*)"","""")"),"LA TUILIERE")</f>
        <v>LA TUILIERE</v>
      </c>
      <c r="E9487" s="38" t="s">
        <v>166</v>
      </c>
      <c r="F9487" s="38" t="s">
        <v>102</v>
      </c>
      <c r="G9487" s="49" t="str">
        <f t="shared" si="1"/>
        <v>42830</v>
      </c>
      <c r="H9487" s="49">
        <f t="shared" si="2"/>
        <v>42314</v>
      </c>
    </row>
    <row r="9488">
      <c r="A9488" s="48" t="s">
        <v>3329</v>
      </c>
      <c r="B9488" s="38">
        <v>60435.0</v>
      </c>
      <c r="C9488" s="38" t="s">
        <v>13361</v>
      </c>
      <c r="D9488" s="38" t="str">
        <f>IFERROR(__xludf.DUMMYFUNCTION("REGEXREPLACE(C9488,""-\d+(.*)|--\d+(.*)"","""")"),"MORVILLERS")</f>
        <v>MORVILLERS</v>
      </c>
      <c r="E9488" s="38" t="s">
        <v>112</v>
      </c>
      <c r="F9488" s="38" t="s">
        <v>113</v>
      </c>
      <c r="G9488" s="49" t="str">
        <f t="shared" si="1"/>
        <v>60380</v>
      </c>
      <c r="H9488" s="49">
        <f t="shared" si="2"/>
        <v>60435</v>
      </c>
    </row>
    <row r="9489">
      <c r="A9489" s="48" t="s">
        <v>6628</v>
      </c>
      <c r="B9489" s="38">
        <v>1349.0</v>
      </c>
      <c r="C9489" s="38" t="s">
        <v>13362</v>
      </c>
      <c r="D9489" s="38" t="str">
        <f>IFERROR(__xludf.DUMMYFUNCTION("REGEXREPLACE(C9489,""-\d+(.*)|--\d+(.*)"","""")"),"SAINT-ELOI")</f>
        <v>SAINT-ELOI</v>
      </c>
      <c r="E9489" s="38" t="s">
        <v>255</v>
      </c>
      <c r="F9489" s="38" t="s">
        <v>102</v>
      </c>
      <c r="G9489" s="49" t="str">
        <f t="shared" si="1"/>
        <v>01800</v>
      </c>
      <c r="H9489" s="49" t="str">
        <f t="shared" si="2"/>
        <v>01349</v>
      </c>
    </row>
    <row r="9490">
      <c r="A9490" s="48" t="s">
        <v>1199</v>
      </c>
      <c r="B9490" s="38">
        <v>55142.0</v>
      </c>
      <c r="C9490" s="38" t="s">
        <v>13363</v>
      </c>
      <c r="D9490" s="38" t="str">
        <f>IFERROR(__xludf.DUMMYFUNCTION("REGEXREPLACE(C9490,""-\d+(.*)|--\d+(.*)"","""")"),"DAINVILLE-BERTHELEVILLE")</f>
        <v>DAINVILLE-BERTHELEVILLE</v>
      </c>
      <c r="E9490" s="38" t="s">
        <v>322</v>
      </c>
      <c r="F9490" s="38" t="s">
        <v>195</v>
      </c>
      <c r="G9490" s="49" t="str">
        <f t="shared" si="1"/>
        <v>55130</v>
      </c>
      <c r="H9490" s="49">
        <f t="shared" si="2"/>
        <v>55142</v>
      </c>
    </row>
    <row r="9491">
      <c r="A9491" s="48" t="s">
        <v>6230</v>
      </c>
      <c r="B9491" s="38">
        <v>53206.0</v>
      </c>
      <c r="C9491" s="38" t="s">
        <v>13364</v>
      </c>
      <c r="D9491" s="38" t="str">
        <f>IFERROR(__xludf.DUMMYFUNCTION("REGEXREPLACE(C9491,""-\d+(.*)|--\d+(.*)"","""")"),"SAINT-CHARLES-LA-FORET")</f>
        <v>SAINT-CHARLES-LA-FORET</v>
      </c>
      <c r="E9491" s="38" t="s">
        <v>518</v>
      </c>
      <c r="F9491" s="38" t="s">
        <v>180</v>
      </c>
      <c r="G9491" s="49" t="str">
        <f t="shared" si="1"/>
        <v>53170</v>
      </c>
      <c r="H9491" s="49">
        <f t="shared" si="2"/>
        <v>53206</v>
      </c>
    </row>
    <row r="9492">
      <c r="A9492" s="48" t="s">
        <v>8111</v>
      </c>
      <c r="B9492" s="38">
        <v>40013.0</v>
      </c>
      <c r="C9492" s="38" t="s">
        <v>13365</v>
      </c>
      <c r="D9492" s="38" t="str">
        <f>IFERROR(__xludf.DUMMYFUNCTION("REGEXREPLACE(C9492,""-\d+(.*)|--\d+(.*)"","""")"),"ARTHEZ-D'ARMAGNAC")</f>
        <v>ARTHEZ-D'ARMAGNAC</v>
      </c>
      <c r="E9492" s="38" t="s">
        <v>281</v>
      </c>
      <c r="F9492" s="38" t="s">
        <v>252</v>
      </c>
      <c r="G9492" s="49" t="str">
        <f t="shared" si="1"/>
        <v>40190</v>
      </c>
      <c r="H9492" s="49">
        <f t="shared" si="2"/>
        <v>40013</v>
      </c>
    </row>
    <row r="9493">
      <c r="A9493" s="48" t="s">
        <v>13366</v>
      </c>
      <c r="B9493" s="38">
        <v>40326.0</v>
      </c>
      <c r="C9493" s="38" t="s">
        <v>13367</v>
      </c>
      <c r="D9493" s="38" t="str">
        <f>IFERROR(__xludf.DUMMYFUNCTION("REGEXREPLACE(C9493,""-\d+(.*)|--\d+(.*)"","""")"),"VIELLE-SAINT-GIRONS")</f>
        <v>VIELLE-SAINT-GIRONS</v>
      </c>
      <c r="E9493" s="38" t="s">
        <v>281</v>
      </c>
      <c r="F9493" s="38" t="s">
        <v>252</v>
      </c>
      <c r="G9493" s="49" t="str">
        <f t="shared" si="1"/>
        <v>40560</v>
      </c>
      <c r="H9493" s="49">
        <f t="shared" si="2"/>
        <v>40326</v>
      </c>
    </row>
    <row r="9494">
      <c r="A9494" s="48" t="s">
        <v>7893</v>
      </c>
      <c r="B9494" s="38">
        <v>63071.0</v>
      </c>
      <c r="C9494" s="38" t="s">
        <v>13368</v>
      </c>
      <c r="D9494" s="38" t="str">
        <f>IFERROR(__xludf.DUMMYFUNCTION("REGEXREPLACE(C9494,""-\d+(.*)|--\d+(.*)"","""")"),"CEYSSAT")</f>
        <v>CEYSSAT</v>
      </c>
      <c r="E9494" s="38" t="s">
        <v>353</v>
      </c>
      <c r="F9494" s="38" t="s">
        <v>161</v>
      </c>
      <c r="G9494" s="49" t="str">
        <f t="shared" si="1"/>
        <v>63210</v>
      </c>
      <c r="H9494" s="49">
        <f t="shared" si="2"/>
        <v>63071</v>
      </c>
    </row>
    <row r="9495">
      <c r="A9495" s="48" t="s">
        <v>3448</v>
      </c>
      <c r="B9495" s="38">
        <v>65132.0</v>
      </c>
      <c r="C9495" s="38" t="s">
        <v>13369</v>
      </c>
      <c r="D9495" s="38" t="str">
        <f>IFERROR(__xludf.DUMMYFUNCTION("REGEXREPLACE(C9495,""-\d+(.*)|--\d+(.*)"","""")"),"CASTERA-LANUSSE")</f>
        <v>CASTERA-LANUSSE</v>
      </c>
      <c r="E9495" s="38" t="s">
        <v>200</v>
      </c>
      <c r="F9495" s="38" t="s">
        <v>94</v>
      </c>
      <c r="G9495" s="49" t="str">
        <f t="shared" si="1"/>
        <v>65190</v>
      </c>
      <c r="H9495" s="49">
        <f t="shared" si="2"/>
        <v>65132</v>
      </c>
    </row>
    <row r="9496">
      <c r="A9496" s="48" t="s">
        <v>13370</v>
      </c>
      <c r="B9496" s="38">
        <v>22314.0</v>
      </c>
      <c r="C9496" s="38" t="s">
        <v>13371</v>
      </c>
      <c r="D9496" s="38" t="str">
        <f>IFERROR(__xludf.DUMMYFUNCTION("REGEXREPLACE(C9496,""-\d+(.*)|--\d+(.*)"","""")"),"SAINT-MAUDAN")</f>
        <v>SAINT-MAUDAN</v>
      </c>
      <c r="E9496" s="38" t="s">
        <v>89</v>
      </c>
      <c r="F9496" s="38" t="s">
        <v>90</v>
      </c>
      <c r="G9496" s="49" t="str">
        <f t="shared" si="1"/>
        <v>22600</v>
      </c>
      <c r="H9496" s="49">
        <f t="shared" si="2"/>
        <v>22314</v>
      </c>
    </row>
    <row r="9497">
      <c r="A9497" s="48" t="s">
        <v>887</v>
      </c>
      <c r="B9497" s="38">
        <v>62096.0</v>
      </c>
      <c r="C9497" s="38" t="s">
        <v>13372</v>
      </c>
      <c r="D9497" s="38" t="str">
        <f>IFERROR(__xludf.DUMMYFUNCTION("REGEXREPLACE(C9497,""-\d+(.*)|--\d+(.*)"","""")"),"BEAUMETZ-LES-CAMBRAI")</f>
        <v>BEAUMETZ-LES-CAMBRAI</v>
      </c>
      <c r="E9497" s="38" t="s">
        <v>109</v>
      </c>
      <c r="F9497" s="38" t="s">
        <v>86</v>
      </c>
      <c r="G9497" s="49" t="str">
        <f t="shared" si="1"/>
        <v>62124</v>
      </c>
      <c r="H9497" s="49">
        <f t="shared" si="2"/>
        <v>62096</v>
      </c>
    </row>
    <row r="9498">
      <c r="A9498" s="48" t="s">
        <v>1132</v>
      </c>
      <c r="B9498" s="38">
        <v>2230.0</v>
      </c>
      <c r="C9498" s="38" t="s">
        <v>13373</v>
      </c>
      <c r="D9498" s="38" t="str">
        <f>IFERROR(__xludf.DUMMYFUNCTION("REGEXREPLACE(C9498,""-\d+(.*)|--\d+(.*)"","""")"),"COUVRELLES")</f>
        <v>COUVRELLES</v>
      </c>
      <c r="E9498" s="38" t="s">
        <v>191</v>
      </c>
      <c r="F9498" s="38" t="s">
        <v>113</v>
      </c>
      <c r="G9498" s="49" t="str">
        <f t="shared" si="1"/>
        <v>02220</v>
      </c>
      <c r="H9498" s="49" t="str">
        <f t="shared" si="2"/>
        <v>02230</v>
      </c>
    </row>
    <row r="9499">
      <c r="A9499" s="48" t="s">
        <v>1544</v>
      </c>
      <c r="B9499" s="38">
        <v>2342.0</v>
      </c>
      <c r="C9499" s="38" t="s">
        <v>13374</v>
      </c>
      <c r="D9499" s="38" t="str">
        <f>IFERROR(__xludf.DUMMYFUNCTION("REGEXREPLACE(C9499,""-\d+(.*)|--\d+(.*)"","""")"),"GERGNY")</f>
        <v>GERGNY</v>
      </c>
      <c r="E9499" s="38" t="s">
        <v>191</v>
      </c>
      <c r="F9499" s="38" t="s">
        <v>113</v>
      </c>
      <c r="G9499" s="49" t="str">
        <f t="shared" si="1"/>
        <v>02260</v>
      </c>
      <c r="H9499" s="49" t="str">
        <f t="shared" si="2"/>
        <v>02342</v>
      </c>
    </row>
    <row r="9500">
      <c r="A9500" s="48" t="s">
        <v>7657</v>
      </c>
      <c r="B9500" s="38">
        <v>80596.0</v>
      </c>
      <c r="C9500" s="38" t="s">
        <v>13375</v>
      </c>
      <c r="D9500" s="38" t="str">
        <f>IFERROR(__xludf.DUMMYFUNCTION("REGEXREPLACE(C9500,""-\d+(.*)|--\d+(.*)"","""")"),"NEUVILLETTE")</f>
        <v>NEUVILLETTE</v>
      </c>
      <c r="E9500" s="38" t="s">
        <v>224</v>
      </c>
      <c r="F9500" s="38" t="s">
        <v>113</v>
      </c>
      <c r="G9500" s="49" t="str">
        <f t="shared" si="1"/>
        <v>80600</v>
      </c>
      <c r="H9500" s="49">
        <f t="shared" si="2"/>
        <v>80596</v>
      </c>
    </row>
    <row r="9501">
      <c r="A9501" s="48" t="s">
        <v>828</v>
      </c>
      <c r="B9501" s="38">
        <v>86241.0</v>
      </c>
      <c r="C9501" s="38" t="s">
        <v>13376</v>
      </c>
      <c r="D9501" s="38" t="str">
        <f>IFERROR(__xludf.DUMMYFUNCTION("REGEXREPLACE(C9501,""-\d+(.*)|--\d+(.*)"","""")"),"SAINT-REMY-SUR-CREUSE")</f>
        <v>SAINT-REMY-SUR-CREUSE</v>
      </c>
      <c r="E9501" s="38" t="s">
        <v>529</v>
      </c>
      <c r="F9501" s="38" t="s">
        <v>338</v>
      </c>
      <c r="G9501" s="49" t="str">
        <f t="shared" si="1"/>
        <v>86220</v>
      </c>
      <c r="H9501" s="49">
        <f t="shared" si="2"/>
        <v>86241</v>
      </c>
    </row>
    <row r="9502">
      <c r="A9502" s="48" t="s">
        <v>8589</v>
      </c>
      <c r="B9502" s="38">
        <v>27597.0</v>
      </c>
      <c r="C9502" s="38" t="s">
        <v>13377</v>
      </c>
      <c r="D9502" s="38" t="str">
        <f>IFERROR(__xludf.DUMMYFUNCTION("REGEXREPLACE(C9502,""-\d+(.*)|--\d+(.*)"","""")"),"SAINT-PIERRE-DU-VAL")</f>
        <v>SAINT-PIERRE-DU-VAL</v>
      </c>
      <c r="E9502" s="38" t="s">
        <v>241</v>
      </c>
      <c r="F9502" s="38" t="s">
        <v>134</v>
      </c>
      <c r="G9502" s="49" t="str">
        <f t="shared" si="1"/>
        <v>27210</v>
      </c>
      <c r="H9502" s="49">
        <f t="shared" si="2"/>
        <v>27597</v>
      </c>
    </row>
    <row r="9503">
      <c r="A9503" s="48" t="s">
        <v>8221</v>
      </c>
      <c r="B9503" s="38">
        <v>32403.0</v>
      </c>
      <c r="C9503" s="38" t="s">
        <v>13378</v>
      </c>
      <c r="D9503" s="38" t="str">
        <f>IFERROR(__xludf.DUMMYFUNCTION("REGEXREPLACE(C9503,""-\d+(.*)|--\d+(.*)"","""")"),"SAINT-PIERRE-D'AUBEZIES")</f>
        <v>SAINT-PIERRE-D'AUBEZIES</v>
      </c>
      <c r="E9503" s="38" t="s">
        <v>440</v>
      </c>
      <c r="F9503" s="38" t="s">
        <v>94</v>
      </c>
      <c r="G9503" s="49" t="str">
        <f t="shared" si="1"/>
        <v>32290</v>
      </c>
      <c r="H9503" s="49">
        <f t="shared" si="2"/>
        <v>32403</v>
      </c>
    </row>
    <row r="9504">
      <c r="A9504" s="48" t="s">
        <v>13379</v>
      </c>
      <c r="B9504" s="38">
        <v>77384.0</v>
      </c>
      <c r="C9504" s="38" t="s">
        <v>13380</v>
      </c>
      <c r="D9504" s="38" t="str">
        <f>IFERROR(__xludf.DUMMYFUNCTION("REGEXREPLACE(C9504,""-\d+(.*)|--\d+(.*)"","""")"),"REAU")</f>
        <v>REAU</v>
      </c>
      <c r="E9504" s="38" t="s">
        <v>244</v>
      </c>
      <c r="F9504" s="38" t="s">
        <v>245</v>
      </c>
      <c r="G9504" s="49" t="str">
        <f t="shared" si="1"/>
        <v>77550</v>
      </c>
      <c r="H9504" s="49">
        <f t="shared" si="2"/>
        <v>77384</v>
      </c>
    </row>
    <row r="9505">
      <c r="A9505" s="48" t="s">
        <v>13381</v>
      </c>
      <c r="B9505" s="38">
        <v>1308.0</v>
      </c>
      <c r="C9505" s="38" t="s">
        <v>13382</v>
      </c>
      <c r="D9505" s="38" t="str">
        <f>IFERROR(__xludf.DUMMYFUNCTION("REGEXREPLACE(C9505,""-\d+(.*)|--\d+(.*)"","""")"),"POUGNY")</f>
        <v>POUGNY</v>
      </c>
      <c r="E9505" s="38" t="s">
        <v>255</v>
      </c>
      <c r="F9505" s="38" t="s">
        <v>102</v>
      </c>
      <c r="G9505" s="49" t="str">
        <f t="shared" si="1"/>
        <v>01550</v>
      </c>
      <c r="H9505" s="49" t="str">
        <f t="shared" si="2"/>
        <v>01308</v>
      </c>
    </row>
    <row r="9506">
      <c r="A9506" s="48" t="s">
        <v>10039</v>
      </c>
      <c r="B9506" s="38">
        <v>47050.0</v>
      </c>
      <c r="C9506" s="38" t="s">
        <v>13383</v>
      </c>
      <c r="D9506" s="38" t="str">
        <f>IFERROR(__xludf.DUMMYFUNCTION("REGEXREPLACE(C9506,""-\d+(.*)|--\d+(.*)"","""")"),"CASSIGNAS")</f>
        <v>CASSIGNAS</v>
      </c>
      <c r="E9506" s="38" t="s">
        <v>251</v>
      </c>
      <c r="F9506" s="38" t="s">
        <v>252</v>
      </c>
      <c r="G9506" s="49" t="str">
        <f t="shared" si="1"/>
        <v>47340</v>
      </c>
      <c r="H9506" s="49">
        <f t="shared" si="2"/>
        <v>47050</v>
      </c>
    </row>
    <row r="9507">
      <c r="A9507" s="48" t="s">
        <v>2457</v>
      </c>
      <c r="B9507" s="38">
        <v>17139.0</v>
      </c>
      <c r="C9507" s="38" t="s">
        <v>13384</v>
      </c>
      <c r="D9507" s="38" t="str">
        <f>IFERROR(__xludf.DUMMYFUNCTION("REGEXREPLACE(C9507,""-\d+(.*)|--\d+(.*)"","""")"),"DOEUIL-SUR-LE-MIGNON")</f>
        <v>DOEUIL-SUR-LE-MIGNON</v>
      </c>
      <c r="E9507" s="38" t="s">
        <v>488</v>
      </c>
      <c r="F9507" s="38" t="s">
        <v>338</v>
      </c>
      <c r="G9507" s="49" t="str">
        <f t="shared" si="1"/>
        <v>17330</v>
      </c>
      <c r="H9507" s="49">
        <f t="shared" si="2"/>
        <v>17139</v>
      </c>
    </row>
    <row r="9508">
      <c r="A9508" s="48" t="s">
        <v>8642</v>
      </c>
      <c r="B9508" s="38" t="s">
        <v>13385</v>
      </c>
      <c r="C9508" s="38" t="s">
        <v>13386</v>
      </c>
      <c r="D9508" s="38" t="str">
        <f>IFERROR(__xludf.DUMMYFUNCTION("REGEXREPLACE(C9508,""-\d+(.*)|--\d+(.*)"","""")"),"FICAJA")</f>
        <v>FICAJA</v>
      </c>
      <c r="E9508" s="38" t="s">
        <v>743</v>
      </c>
      <c r="F9508" s="38" t="s">
        <v>607</v>
      </c>
      <c r="G9508" s="49" t="str">
        <f t="shared" si="1"/>
        <v>20237</v>
      </c>
      <c r="H9508" s="49" t="str">
        <f t="shared" si="2"/>
        <v>2B113</v>
      </c>
    </row>
    <row r="9509">
      <c r="A9509" s="48" t="s">
        <v>12642</v>
      </c>
      <c r="B9509" s="38">
        <v>50622.0</v>
      </c>
      <c r="C9509" s="38" t="s">
        <v>13387</v>
      </c>
      <c r="D9509" s="38" t="str">
        <f>IFERROR(__xludf.DUMMYFUNCTION("REGEXREPLACE(C9509,""-\d+(.*)|--\d+(.*)"","""")"),"VAUDRIMESNIL")</f>
        <v>VAUDRIMESNIL</v>
      </c>
      <c r="E9509" s="38" t="s">
        <v>157</v>
      </c>
      <c r="F9509" s="38" t="s">
        <v>138</v>
      </c>
      <c r="G9509" s="49" t="str">
        <f t="shared" si="1"/>
        <v>50490</v>
      </c>
      <c r="H9509" s="49">
        <f t="shared" si="2"/>
        <v>50622</v>
      </c>
    </row>
    <row r="9510">
      <c r="A9510" s="48" t="s">
        <v>2170</v>
      </c>
      <c r="B9510" s="38">
        <v>80090.0</v>
      </c>
      <c r="C9510" s="38" t="s">
        <v>13388</v>
      </c>
      <c r="D9510" s="38" t="str">
        <f>IFERROR(__xludf.DUMMYFUNCTION("REGEXREPLACE(C9510,""-\d+(.*)|--\d+(.*)"","""")"),"BERNY-EN-SANTERRE")</f>
        <v>BERNY-EN-SANTERRE</v>
      </c>
      <c r="E9510" s="38" t="s">
        <v>224</v>
      </c>
      <c r="F9510" s="38" t="s">
        <v>113</v>
      </c>
      <c r="G9510" s="49" t="str">
        <f t="shared" si="1"/>
        <v>80200</v>
      </c>
      <c r="H9510" s="49">
        <f t="shared" si="2"/>
        <v>80090</v>
      </c>
    </row>
    <row r="9511">
      <c r="A9511" s="48" t="s">
        <v>13389</v>
      </c>
      <c r="B9511" s="38">
        <v>58297.0</v>
      </c>
      <c r="C9511" s="38" t="s">
        <v>13390</v>
      </c>
      <c r="D9511" s="38" t="str">
        <f>IFERROR(__xludf.DUMMYFUNCTION("REGEXREPLACE(C9511,""-\d+(.*)|--\d+(.*)"","""")"),"TROIS-VEVRES")</f>
        <v>TROIS-VEVRES</v>
      </c>
      <c r="E9511" s="38" t="s">
        <v>219</v>
      </c>
      <c r="F9511" s="38" t="s">
        <v>106</v>
      </c>
      <c r="G9511" s="49" t="str">
        <f t="shared" si="1"/>
        <v>58260</v>
      </c>
      <c r="H9511" s="49">
        <f t="shared" si="2"/>
        <v>58297</v>
      </c>
    </row>
    <row r="9512">
      <c r="A9512" s="48" t="s">
        <v>495</v>
      </c>
      <c r="B9512" s="38">
        <v>40266.0</v>
      </c>
      <c r="C9512" s="38" t="s">
        <v>13391</v>
      </c>
      <c r="D9512" s="38" t="str">
        <f>IFERROR(__xludf.DUMMYFUNCTION("REGEXREPLACE(C9512,""-\d+(.*)|--\d+(.*)"","""")"),"SAINT-JULIEN-EN-BORN")</f>
        <v>SAINT-JULIEN-EN-BORN</v>
      </c>
      <c r="E9512" s="38" t="s">
        <v>281</v>
      </c>
      <c r="F9512" s="38" t="s">
        <v>252</v>
      </c>
      <c r="G9512" s="49" t="str">
        <f t="shared" si="1"/>
        <v>40170</v>
      </c>
      <c r="H9512" s="49">
        <f t="shared" si="2"/>
        <v>40266</v>
      </c>
    </row>
    <row r="9513">
      <c r="A9513" s="48" t="s">
        <v>4044</v>
      </c>
      <c r="B9513" s="38">
        <v>52206.0</v>
      </c>
      <c r="C9513" s="38" t="s">
        <v>13392</v>
      </c>
      <c r="D9513" s="38" t="str">
        <f>IFERROR(__xludf.DUMMYFUNCTION("REGEXREPLACE(C9513,""-\d+(.*)|--\d+(.*)"","""")"),"FRAMPAS")</f>
        <v>FRAMPAS</v>
      </c>
      <c r="E9513" s="38" t="s">
        <v>234</v>
      </c>
      <c r="F9513" s="38" t="s">
        <v>130</v>
      </c>
      <c r="G9513" s="49" t="str">
        <f t="shared" si="1"/>
        <v>52220</v>
      </c>
      <c r="H9513" s="49">
        <f t="shared" si="2"/>
        <v>52206</v>
      </c>
    </row>
    <row r="9514">
      <c r="A9514" s="48" t="s">
        <v>3978</v>
      </c>
      <c r="B9514" s="38">
        <v>21045.0</v>
      </c>
      <c r="C9514" s="38" t="s">
        <v>13393</v>
      </c>
      <c r="D9514" s="38" t="str">
        <f>IFERROR(__xludf.DUMMYFUNCTION("REGEXREPLACE(C9514,""-\d+(.*)|--\d+(.*)"","""")"),"BARBIREY-SUR-OUCHE")</f>
        <v>BARBIREY-SUR-OUCHE</v>
      </c>
      <c r="E9514" s="38" t="s">
        <v>105</v>
      </c>
      <c r="F9514" s="38" t="s">
        <v>106</v>
      </c>
      <c r="G9514" s="49" t="str">
        <f t="shared" si="1"/>
        <v>21410</v>
      </c>
      <c r="H9514" s="49">
        <f t="shared" si="2"/>
        <v>21045</v>
      </c>
    </row>
    <row r="9515">
      <c r="A9515" s="48" t="s">
        <v>4969</v>
      </c>
      <c r="B9515" s="38">
        <v>14519.0</v>
      </c>
      <c r="C9515" s="38" t="s">
        <v>13394</v>
      </c>
      <c r="D9515" s="38" t="str">
        <f>IFERROR(__xludf.DUMMYFUNCTION("REGEXREPLACE(C9515,""-\d+(.*)|--\d+(.*)"","""")"),"PREAUX-BOCAGE")</f>
        <v>PREAUX-BOCAGE</v>
      </c>
      <c r="E9515" s="38" t="s">
        <v>137</v>
      </c>
      <c r="F9515" s="38" t="s">
        <v>138</v>
      </c>
      <c r="G9515" s="49" t="str">
        <f t="shared" si="1"/>
        <v>14210</v>
      </c>
      <c r="H9515" s="49">
        <f t="shared" si="2"/>
        <v>14519</v>
      </c>
    </row>
    <row r="9516">
      <c r="A9516" s="48" t="s">
        <v>13395</v>
      </c>
      <c r="B9516" s="38">
        <v>57323.0</v>
      </c>
      <c r="C9516" s="38" t="s">
        <v>13396</v>
      </c>
      <c r="D9516" s="38" t="str">
        <f>IFERROR(__xludf.DUMMYFUNCTION("REGEXREPLACE(C9516,""-\d+(.*)|--\d+(.*)"","""")"),"HETTANGE-GRANDE")</f>
        <v>HETTANGE-GRANDE</v>
      </c>
      <c r="E9516" s="38" t="s">
        <v>303</v>
      </c>
      <c r="F9516" s="38" t="s">
        <v>195</v>
      </c>
      <c r="G9516" s="49" t="str">
        <f t="shared" si="1"/>
        <v>57330</v>
      </c>
      <c r="H9516" s="49">
        <f t="shared" si="2"/>
        <v>57323</v>
      </c>
    </row>
    <row r="9517">
      <c r="A9517" s="48" t="s">
        <v>1195</v>
      </c>
      <c r="B9517" s="38">
        <v>80530.0</v>
      </c>
      <c r="C9517" s="38" t="s">
        <v>13397</v>
      </c>
      <c r="D9517" s="38" t="str">
        <f>IFERROR(__xludf.DUMMYFUNCTION("REGEXREPLACE(C9517,""-\d+(.*)|--\d+(.*)"","""")"),"MERICOURT-L'ABBE")</f>
        <v>MERICOURT-L'ABBE</v>
      </c>
      <c r="E9517" s="38" t="s">
        <v>224</v>
      </c>
      <c r="F9517" s="38" t="s">
        <v>113</v>
      </c>
      <c r="G9517" s="49" t="str">
        <f t="shared" si="1"/>
        <v>80800</v>
      </c>
      <c r="H9517" s="49">
        <f t="shared" si="2"/>
        <v>80530</v>
      </c>
    </row>
    <row r="9518">
      <c r="A9518" s="48" t="s">
        <v>860</v>
      </c>
      <c r="B9518" s="38">
        <v>80607.0</v>
      </c>
      <c r="C9518" s="38" t="s">
        <v>13398</v>
      </c>
      <c r="D9518" s="38" t="str">
        <f>IFERROR(__xludf.DUMMYFUNCTION("REGEXREPLACE(C9518,""-\d+(.*)|--\d+(.*)"","""")"),"OISSY")</f>
        <v>OISSY</v>
      </c>
      <c r="E9518" s="38" t="s">
        <v>224</v>
      </c>
      <c r="F9518" s="38" t="s">
        <v>113</v>
      </c>
      <c r="G9518" s="49" t="str">
        <f t="shared" si="1"/>
        <v>80540</v>
      </c>
      <c r="H9518" s="49">
        <f t="shared" si="2"/>
        <v>80607</v>
      </c>
    </row>
    <row r="9519">
      <c r="A9519" s="48" t="s">
        <v>4626</v>
      </c>
      <c r="B9519" s="38">
        <v>16229.0</v>
      </c>
      <c r="C9519" s="38" t="s">
        <v>13399</v>
      </c>
      <c r="D9519" s="38" t="str">
        <f>IFERROR(__xludf.DUMMYFUNCTION("REGEXREPLACE(C9519,""-\d+(.*)|--\d+(.*)"","""")"),"MONTJEAN")</f>
        <v>MONTJEAN</v>
      </c>
      <c r="E9519" s="38" t="s">
        <v>429</v>
      </c>
      <c r="F9519" s="38" t="s">
        <v>338</v>
      </c>
      <c r="G9519" s="49" t="str">
        <f t="shared" si="1"/>
        <v>16240</v>
      </c>
      <c r="H9519" s="49">
        <f t="shared" si="2"/>
        <v>16229</v>
      </c>
    </row>
    <row r="9520">
      <c r="A9520" s="48" t="s">
        <v>5759</v>
      </c>
      <c r="B9520" s="38">
        <v>59186.0</v>
      </c>
      <c r="C9520" s="38" t="s">
        <v>13400</v>
      </c>
      <c r="D9520" s="38" t="str">
        <f>IFERROR(__xludf.DUMMYFUNCTION("REGEXREPLACE(C9520,""-\d+(.*)|--\d+(.*)"","""")"),"ECCLES")</f>
        <v>ECCLES</v>
      </c>
      <c r="E9520" s="38" t="s">
        <v>85</v>
      </c>
      <c r="F9520" s="38" t="s">
        <v>86</v>
      </c>
      <c r="G9520" s="49" t="str">
        <f t="shared" si="1"/>
        <v>59740</v>
      </c>
      <c r="H9520" s="49">
        <f t="shared" si="2"/>
        <v>59186</v>
      </c>
    </row>
    <row r="9521">
      <c r="A9521" s="48" t="s">
        <v>5049</v>
      </c>
      <c r="B9521" s="38">
        <v>60065.0</v>
      </c>
      <c r="C9521" s="38" t="s">
        <v>13401</v>
      </c>
      <c r="D9521" s="38" t="str">
        <f>IFERROR(__xludf.DUMMYFUNCTION("REGEXREPLACE(C9521,""-\d+(.*)|--\d+(.*)"","""")"),"BERTHECOURT")</f>
        <v>BERTHECOURT</v>
      </c>
      <c r="E9521" s="38" t="s">
        <v>112</v>
      </c>
      <c r="F9521" s="38" t="s">
        <v>113</v>
      </c>
      <c r="G9521" s="49" t="str">
        <f t="shared" si="1"/>
        <v>60370</v>
      </c>
      <c r="H9521" s="49">
        <f t="shared" si="2"/>
        <v>60065</v>
      </c>
    </row>
    <row r="9522">
      <c r="A9522" s="48" t="s">
        <v>3920</v>
      </c>
      <c r="B9522" s="38">
        <v>50458.0</v>
      </c>
      <c r="C9522" s="38" t="s">
        <v>13402</v>
      </c>
      <c r="D9522" s="38" t="str">
        <f>IFERROR(__xludf.DUMMYFUNCTION("REGEXREPLACE(C9522,""-\d+(.*)|--\d+(.*)"","""")"),"SAINT-COME-DU-MONT")</f>
        <v>SAINT-COME-DU-MONT</v>
      </c>
      <c r="E9522" s="38" t="s">
        <v>157</v>
      </c>
      <c r="F9522" s="38" t="s">
        <v>138</v>
      </c>
      <c r="G9522" s="49" t="str">
        <f t="shared" si="1"/>
        <v>50500</v>
      </c>
      <c r="H9522" s="49">
        <f t="shared" si="2"/>
        <v>50458</v>
      </c>
    </row>
    <row r="9523">
      <c r="A9523" s="48" t="s">
        <v>1520</v>
      </c>
      <c r="B9523" s="38">
        <v>16031.0</v>
      </c>
      <c r="C9523" s="38" t="s">
        <v>13403</v>
      </c>
      <c r="D9523" s="38" t="str">
        <f>IFERROR(__xludf.DUMMYFUNCTION("REGEXREPLACE(C9523,""-\d+(.*)|--\d+(.*)"","""")"),"BARRO")</f>
        <v>BARRO</v>
      </c>
      <c r="E9523" s="38" t="s">
        <v>429</v>
      </c>
      <c r="F9523" s="38" t="s">
        <v>338</v>
      </c>
      <c r="G9523" s="49" t="str">
        <f t="shared" si="1"/>
        <v>16700</v>
      </c>
      <c r="H9523" s="49">
        <f t="shared" si="2"/>
        <v>16031</v>
      </c>
    </row>
    <row r="9524">
      <c r="A9524" s="48" t="s">
        <v>2571</v>
      </c>
      <c r="B9524" s="38">
        <v>61420.0</v>
      </c>
      <c r="C9524" s="38" t="s">
        <v>13404</v>
      </c>
      <c r="D9524" s="38" t="str">
        <f>IFERROR(__xludf.DUMMYFUNCTION("REGEXREPLACE(C9524,""-\d+(.*)|--\d+(.*)"","""")"),"SAINTE-MARIE-LA-ROBERT")</f>
        <v>SAINTE-MARIE-LA-ROBERT</v>
      </c>
      <c r="E9524" s="38" t="s">
        <v>141</v>
      </c>
      <c r="F9524" s="38" t="s">
        <v>138</v>
      </c>
      <c r="G9524" s="49" t="str">
        <f t="shared" si="1"/>
        <v>61320</v>
      </c>
      <c r="H9524" s="49">
        <f t="shared" si="2"/>
        <v>61420</v>
      </c>
    </row>
    <row r="9525">
      <c r="A9525" s="48" t="s">
        <v>13405</v>
      </c>
      <c r="B9525" s="38">
        <v>28159.0</v>
      </c>
      <c r="C9525" s="38" t="s">
        <v>13406</v>
      </c>
      <c r="D9525" s="38" t="str">
        <f>IFERROR(__xludf.DUMMYFUNCTION("REGEXREPLACE(C9525,""-\d+(.*)|--\d+(.*)"","""")"),"LA FRAMBOISIERE")</f>
        <v>LA FRAMBOISIERE</v>
      </c>
      <c r="E9525" s="38" t="s">
        <v>300</v>
      </c>
      <c r="F9525" s="38" t="s">
        <v>123</v>
      </c>
      <c r="G9525" s="49" t="str">
        <f t="shared" si="1"/>
        <v>28250</v>
      </c>
      <c r="H9525" s="49">
        <f t="shared" si="2"/>
        <v>28159</v>
      </c>
    </row>
    <row r="9526">
      <c r="A9526" s="48" t="s">
        <v>2675</v>
      </c>
      <c r="B9526" s="38">
        <v>44145.0</v>
      </c>
      <c r="C9526" s="38" t="s">
        <v>13407</v>
      </c>
      <c r="D9526" s="38" t="str">
        <f>IFERROR(__xludf.DUMMYFUNCTION("REGEXREPLACE(C9526,""-\d+(.*)|--\d+(.*)"","""")"),"ROUANS")</f>
        <v>ROUANS</v>
      </c>
      <c r="E9526" s="38" t="s">
        <v>759</v>
      </c>
      <c r="F9526" s="38" t="s">
        <v>180</v>
      </c>
      <c r="G9526" s="49" t="str">
        <f t="shared" si="1"/>
        <v>44640</v>
      </c>
      <c r="H9526" s="49">
        <f t="shared" si="2"/>
        <v>44145</v>
      </c>
    </row>
    <row r="9527">
      <c r="A9527" s="48" t="s">
        <v>8097</v>
      </c>
      <c r="B9527" s="38">
        <v>85108.0</v>
      </c>
      <c r="C9527" s="38" t="s">
        <v>13408</v>
      </c>
      <c r="D9527" s="38" t="str">
        <f>IFERROR(__xludf.DUMMYFUNCTION("REGEXREPLACE(C9527,""-\d+(.*)|--\d+(.*)"","""")"),"L'HERBERGEMENT")</f>
        <v>L'HERBERGEMENT</v>
      </c>
      <c r="E9527" s="38" t="s">
        <v>179</v>
      </c>
      <c r="F9527" s="38" t="s">
        <v>180</v>
      </c>
      <c r="G9527" s="49" t="str">
        <f t="shared" si="1"/>
        <v>85260</v>
      </c>
      <c r="H9527" s="49">
        <f t="shared" si="2"/>
        <v>85108</v>
      </c>
    </row>
    <row r="9528">
      <c r="A9528" s="48" t="s">
        <v>13409</v>
      </c>
      <c r="B9528" s="38">
        <v>35056.0</v>
      </c>
      <c r="C9528" s="38" t="s">
        <v>13410</v>
      </c>
      <c r="D9528" s="38" t="str">
        <f>IFERROR(__xludf.DUMMYFUNCTION("REGEXREPLACE(C9528,""-\d+(.*)|--\d+(.*)"","""")"),"LA CHAPELLE-AUX-FILTZMEENS")</f>
        <v>LA CHAPELLE-AUX-FILTZMEENS</v>
      </c>
      <c r="E9528" s="38" t="s">
        <v>347</v>
      </c>
      <c r="F9528" s="38" t="s">
        <v>90</v>
      </c>
      <c r="G9528" s="49" t="str">
        <f t="shared" si="1"/>
        <v>35190</v>
      </c>
      <c r="H9528" s="49">
        <f t="shared" si="2"/>
        <v>35056</v>
      </c>
    </row>
    <row r="9529">
      <c r="A9529" s="48" t="s">
        <v>1182</v>
      </c>
      <c r="B9529" s="38">
        <v>67008.0</v>
      </c>
      <c r="C9529" s="38" t="s">
        <v>13411</v>
      </c>
      <c r="D9529" s="38" t="str">
        <f>IFERROR(__xludf.DUMMYFUNCTION("REGEXREPLACE(C9529,""-\d+(.*)|--\d+(.*)"","""")"),"ALTORF")</f>
        <v>ALTORF</v>
      </c>
      <c r="E9529" s="38" t="s">
        <v>210</v>
      </c>
      <c r="F9529" s="38" t="s">
        <v>151</v>
      </c>
      <c r="G9529" s="49" t="str">
        <f t="shared" si="1"/>
        <v>67120</v>
      </c>
      <c r="H9529" s="49">
        <f t="shared" si="2"/>
        <v>67008</v>
      </c>
    </row>
    <row r="9530">
      <c r="A9530" s="48" t="s">
        <v>1208</v>
      </c>
      <c r="B9530" s="38">
        <v>32424.0</v>
      </c>
      <c r="C9530" s="38" t="s">
        <v>13412</v>
      </c>
      <c r="D9530" s="38" t="str">
        <f>IFERROR(__xludf.DUMMYFUNCTION("REGEXREPLACE(C9530,""-\d+(.*)|--\d+(.*)"","""")"),"SEGOS")</f>
        <v>SEGOS</v>
      </c>
      <c r="E9530" s="38" t="s">
        <v>440</v>
      </c>
      <c r="F9530" s="38" t="s">
        <v>94</v>
      </c>
      <c r="G9530" s="49" t="str">
        <f t="shared" si="1"/>
        <v>32400</v>
      </c>
      <c r="H9530" s="49">
        <f t="shared" si="2"/>
        <v>32424</v>
      </c>
    </row>
    <row r="9531">
      <c r="A9531" s="48" t="s">
        <v>1118</v>
      </c>
      <c r="B9531" s="38">
        <v>50136.0</v>
      </c>
      <c r="C9531" s="38" t="s">
        <v>13413</v>
      </c>
      <c r="D9531" s="38" t="str">
        <f>IFERROR(__xludf.DUMMYFUNCTION("REGEXREPLACE(C9531,""-\d+(.*)|--\d+(.*)"","""")"),"COIGNY")</f>
        <v>COIGNY</v>
      </c>
      <c r="E9531" s="38" t="s">
        <v>157</v>
      </c>
      <c r="F9531" s="38" t="s">
        <v>138</v>
      </c>
      <c r="G9531" s="49" t="str">
        <f t="shared" si="1"/>
        <v>50250</v>
      </c>
      <c r="H9531" s="49">
        <f t="shared" si="2"/>
        <v>50136</v>
      </c>
    </row>
    <row r="9532">
      <c r="A9532" s="48" t="s">
        <v>1518</v>
      </c>
      <c r="B9532" s="38">
        <v>88186.0</v>
      </c>
      <c r="C9532" s="38" t="s">
        <v>13414</v>
      </c>
      <c r="D9532" s="38" t="str">
        <f>IFERROR(__xludf.DUMMYFUNCTION("REGEXREPLACE(C9532,""-\d+(.*)|--\d+(.*)"","""")"),"FRENELLE-LA-PETITE")</f>
        <v>FRENELLE-LA-PETITE</v>
      </c>
      <c r="E9532" s="38" t="s">
        <v>194</v>
      </c>
      <c r="F9532" s="38" t="s">
        <v>195</v>
      </c>
      <c r="G9532" s="49" t="str">
        <f t="shared" si="1"/>
        <v>88500</v>
      </c>
      <c r="H9532" s="49">
        <f t="shared" si="2"/>
        <v>88186</v>
      </c>
    </row>
    <row r="9533">
      <c r="A9533" s="48" t="s">
        <v>1295</v>
      </c>
      <c r="B9533" s="38">
        <v>57338.0</v>
      </c>
      <c r="C9533" s="38" t="s">
        <v>13415</v>
      </c>
      <c r="D9533" s="38" t="str">
        <f>IFERROR(__xludf.DUMMYFUNCTION("REGEXREPLACE(C9533,""-\d+(.*)|--\d+(.*)"","""")"),"HOTTVILLER")</f>
        <v>HOTTVILLER</v>
      </c>
      <c r="E9533" s="38" t="s">
        <v>303</v>
      </c>
      <c r="F9533" s="38" t="s">
        <v>195</v>
      </c>
      <c r="G9533" s="49" t="str">
        <f t="shared" si="1"/>
        <v>57720</v>
      </c>
      <c r="H9533" s="49">
        <f t="shared" si="2"/>
        <v>57338</v>
      </c>
    </row>
    <row r="9534">
      <c r="A9534" s="48" t="s">
        <v>2473</v>
      </c>
      <c r="B9534" s="38">
        <v>69048.0</v>
      </c>
      <c r="C9534" s="38" t="s">
        <v>13416</v>
      </c>
      <c r="D9534" s="38" t="str">
        <f>IFERROR(__xludf.DUMMYFUNCTION("REGEXREPLACE(C9534,""-\d+(.*)|--\d+(.*)"","""")"),"CHASSAGNY")</f>
        <v>CHASSAGNY</v>
      </c>
      <c r="E9534" s="38" t="s">
        <v>350</v>
      </c>
      <c r="F9534" s="38" t="s">
        <v>102</v>
      </c>
      <c r="G9534" s="49" t="str">
        <f t="shared" si="1"/>
        <v>69700</v>
      </c>
      <c r="H9534" s="49">
        <f t="shared" si="2"/>
        <v>69048</v>
      </c>
    </row>
    <row r="9535">
      <c r="A9535" s="48" t="s">
        <v>8434</v>
      </c>
      <c r="B9535" s="38">
        <v>41284.0</v>
      </c>
      <c r="C9535" s="38" t="s">
        <v>13417</v>
      </c>
      <c r="D9535" s="38" t="str">
        <f>IFERROR(__xludf.DUMMYFUNCTION("REGEXREPLACE(C9535,""-\d+(.*)|--\d+(.*)"","""")"),"VILLENEUVE-FROUVILLE")</f>
        <v>VILLENEUVE-FROUVILLE</v>
      </c>
      <c r="E9535" s="38" t="s">
        <v>188</v>
      </c>
      <c r="F9535" s="38" t="s">
        <v>123</v>
      </c>
      <c r="G9535" s="49" t="str">
        <f t="shared" si="1"/>
        <v>41290</v>
      </c>
      <c r="H9535" s="49">
        <f t="shared" si="2"/>
        <v>41284</v>
      </c>
    </row>
    <row r="9536">
      <c r="A9536" s="48" t="s">
        <v>1077</v>
      </c>
      <c r="B9536" s="38">
        <v>25531.0</v>
      </c>
      <c r="C9536" s="38" t="s">
        <v>13418</v>
      </c>
      <c r="D9536" s="38" t="str">
        <f>IFERROR(__xludf.DUMMYFUNCTION("REGEXREPLACE(C9536,""-\d+(.*)|--\d+(.*)"","""")"),"SANTOCHE")</f>
        <v>SANTOCHE</v>
      </c>
      <c r="E9536" s="38" t="s">
        <v>213</v>
      </c>
      <c r="F9536" s="38" t="s">
        <v>214</v>
      </c>
      <c r="G9536" s="49" t="str">
        <f t="shared" si="1"/>
        <v>25340</v>
      </c>
      <c r="H9536" s="49">
        <f t="shared" si="2"/>
        <v>25531</v>
      </c>
    </row>
    <row r="9537">
      <c r="A9537" s="48" t="s">
        <v>301</v>
      </c>
      <c r="B9537" s="38">
        <v>57120.0</v>
      </c>
      <c r="C9537" s="38" t="s">
        <v>13419</v>
      </c>
      <c r="D9537" s="38" t="str">
        <f>IFERROR(__xludf.DUMMYFUNCTION("REGEXREPLACE(C9537,""-\d+(.*)|--\d+(.*)"","""")"),"BURLIONCOURT")</f>
        <v>BURLIONCOURT</v>
      </c>
      <c r="E9537" s="38" t="s">
        <v>303</v>
      </c>
      <c r="F9537" s="38" t="s">
        <v>195</v>
      </c>
      <c r="G9537" s="49" t="str">
        <f t="shared" si="1"/>
        <v>57170</v>
      </c>
      <c r="H9537" s="49">
        <f t="shared" si="2"/>
        <v>57120</v>
      </c>
    </row>
    <row r="9538">
      <c r="A9538" s="48" t="s">
        <v>298</v>
      </c>
      <c r="B9538" s="38">
        <v>28109.0</v>
      </c>
      <c r="C9538" s="38" t="s">
        <v>13420</v>
      </c>
      <c r="D9538" s="38" t="str">
        <f>IFERROR(__xludf.DUMMYFUNCTION("REGEXREPLACE(C9538,""-\d+(.*)|--\d+(.*)"","""")"),"LES CORVEES-LES-YYS")</f>
        <v>LES CORVEES-LES-YYS</v>
      </c>
      <c r="E9538" s="38" t="s">
        <v>300</v>
      </c>
      <c r="F9538" s="38" t="s">
        <v>123</v>
      </c>
      <c r="G9538" s="49" t="str">
        <f t="shared" si="1"/>
        <v>28240</v>
      </c>
      <c r="H9538" s="49">
        <f t="shared" si="2"/>
        <v>28109</v>
      </c>
    </row>
    <row r="9539">
      <c r="A9539" s="48" t="s">
        <v>450</v>
      </c>
      <c r="B9539" s="38">
        <v>71294.0</v>
      </c>
      <c r="C9539" s="38" t="s">
        <v>13421</v>
      </c>
      <c r="D9539" s="38" t="str">
        <f>IFERROR(__xludf.DUMMYFUNCTION("REGEXREPLACE(C9539,""-\d+(.*)|--\d+(.*)"","""")"),"MERCUREY")</f>
        <v>MERCUREY</v>
      </c>
      <c r="E9539" s="38" t="s">
        <v>344</v>
      </c>
      <c r="F9539" s="38" t="s">
        <v>106</v>
      </c>
      <c r="G9539" s="49" t="str">
        <f t="shared" si="1"/>
        <v>71640</v>
      </c>
      <c r="H9539" s="49">
        <f t="shared" si="2"/>
        <v>71294</v>
      </c>
    </row>
    <row r="9540">
      <c r="A9540" s="48" t="s">
        <v>2814</v>
      </c>
      <c r="B9540" s="38">
        <v>45265.0</v>
      </c>
      <c r="C9540" s="38" t="s">
        <v>13422</v>
      </c>
      <c r="D9540" s="38" t="str">
        <f>IFERROR(__xludf.DUMMYFUNCTION("REGEXREPLACE(C9540,""-\d+(.*)|--\d+(.*)"","""")"),"ROZOY-LE-VIEIL")</f>
        <v>ROZOY-LE-VIEIL</v>
      </c>
      <c r="E9540" s="38" t="s">
        <v>122</v>
      </c>
      <c r="F9540" s="38" t="s">
        <v>123</v>
      </c>
      <c r="G9540" s="49" t="str">
        <f t="shared" si="1"/>
        <v>45210</v>
      </c>
      <c r="H9540" s="49">
        <f t="shared" si="2"/>
        <v>45265</v>
      </c>
    </row>
    <row r="9541">
      <c r="A9541" s="48" t="s">
        <v>1887</v>
      </c>
      <c r="B9541" s="38">
        <v>88390.0</v>
      </c>
      <c r="C9541" s="38" t="s">
        <v>13423</v>
      </c>
      <c r="D9541" s="38" t="str">
        <f>IFERROR(__xludf.DUMMYFUNCTION("REGEXREPLACE(C9541,""-\d+(.*)|--\d+(.*)"","""")"),"ROBECOURT")</f>
        <v>ROBECOURT</v>
      </c>
      <c r="E9541" s="38" t="s">
        <v>194</v>
      </c>
      <c r="F9541" s="38" t="s">
        <v>195</v>
      </c>
      <c r="G9541" s="49" t="str">
        <f t="shared" si="1"/>
        <v>88320</v>
      </c>
      <c r="H9541" s="49">
        <f t="shared" si="2"/>
        <v>88390</v>
      </c>
    </row>
    <row r="9542">
      <c r="A9542" s="48" t="s">
        <v>13424</v>
      </c>
      <c r="B9542" s="38">
        <v>54263.0</v>
      </c>
      <c r="C9542" s="38" t="s">
        <v>13425</v>
      </c>
      <c r="D9542" s="38" t="str">
        <f>IFERROR(__xludf.DUMMYFUNCTION("REGEXREPLACE(C9542,""-\d+(.*)|--\d+(.*)"","""")"),"HOMECOURT")</f>
        <v>HOMECOURT</v>
      </c>
      <c r="E9542" s="38" t="s">
        <v>548</v>
      </c>
      <c r="F9542" s="38" t="s">
        <v>195</v>
      </c>
      <c r="G9542" s="49" t="str">
        <f t="shared" si="1"/>
        <v>54310</v>
      </c>
      <c r="H9542" s="49">
        <f t="shared" si="2"/>
        <v>54263</v>
      </c>
    </row>
    <row r="9543">
      <c r="A9543" s="48" t="s">
        <v>796</v>
      </c>
      <c r="B9543" s="38">
        <v>89098.0</v>
      </c>
      <c r="C9543" s="38" t="s">
        <v>13426</v>
      </c>
      <c r="D9543" s="38" t="str">
        <f>IFERROR(__xludf.DUMMYFUNCTION("REGEXREPLACE(C9543,""-\d+(.*)|--\d+(.*)"","""")"),"CHENEY")</f>
        <v>CHENEY</v>
      </c>
      <c r="E9543" s="38" t="s">
        <v>275</v>
      </c>
      <c r="F9543" s="38" t="s">
        <v>106</v>
      </c>
      <c r="G9543" s="49" t="str">
        <f t="shared" si="1"/>
        <v>89700</v>
      </c>
      <c r="H9543" s="49">
        <f t="shared" si="2"/>
        <v>89098</v>
      </c>
    </row>
    <row r="9544">
      <c r="A9544" s="48" t="s">
        <v>4274</v>
      </c>
      <c r="B9544" s="38">
        <v>52164.0</v>
      </c>
      <c r="C9544" s="38" t="s">
        <v>13427</v>
      </c>
      <c r="D9544" s="38" t="str">
        <f>IFERROR(__xludf.DUMMYFUNCTION("REGEXREPLACE(C9544,""-\d+(.*)|--\d+(.*)"","""")"),"DAMREMONT")</f>
        <v>DAMREMONT</v>
      </c>
      <c r="E9544" s="38" t="s">
        <v>234</v>
      </c>
      <c r="F9544" s="38" t="s">
        <v>130</v>
      </c>
      <c r="G9544" s="49" t="str">
        <f t="shared" si="1"/>
        <v>52400</v>
      </c>
      <c r="H9544" s="49">
        <f t="shared" si="2"/>
        <v>52164</v>
      </c>
    </row>
    <row r="9545">
      <c r="A9545" s="48" t="s">
        <v>1659</v>
      </c>
      <c r="B9545" s="38">
        <v>45227.0</v>
      </c>
      <c r="C9545" s="38" t="s">
        <v>13428</v>
      </c>
      <c r="D9545" s="38" t="str">
        <f>IFERROR(__xludf.DUMMYFUNCTION("REGEXREPLACE(C9545,""-\d+(.*)|--\d+(.*)"","""")"),"NEVOY")</f>
        <v>NEVOY</v>
      </c>
      <c r="E9545" s="38" t="s">
        <v>122</v>
      </c>
      <c r="F9545" s="38" t="s">
        <v>123</v>
      </c>
      <c r="G9545" s="49" t="str">
        <f t="shared" si="1"/>
        <v>45500</v>
      </c>
      <c r="H9545" s="49">
        <f t="shared" si="2"/>
        <v>45227</v>
      </c>
    </row>
    <row r="9546">
      <c r="A9546" s="48" t="s">
        <v>12477</v>
      </c>
      <c r="B9546" s="38">
        <v>27034.0</v>
      </c>
      <c r="C9546" s="38" t="s">
        <v>13429</v>
      </c>
      <c r="D9546" s="38" t="str">
        <f>IFERROR(__xludf.DUMMYFUNCTION("REGEXREPLACE(C9546,""-\d+(.*)|--\d+(.*)"","""")"),"BACQUEVILLE")</f>
        <v>BACQUEVILLE</v>
      </c>
      <c r="E9546" s="38" t="s">
        <v>241</v>
      </c>
      <c r="F9546" s="38" t="s">
        <v>134</v>
      </c>
      <c r="G9546" s="49" t="str">
        <f t="shared" si="1"/>
        <v>27440</v>
      </c>
      <c r="H9546" s="49">
        <f t="shared" si="2"/>
        <v>27034</v>
      </c>
    </row>
    <row r="9547">
      <c r="A9547" s="48" t="s">
        <v>5753</v>
      </c>
      <c r="B9547" s="38">
        <v>72104.0</v>
      </c>
      <c r="C9547" s="38" t="s">
        <v>13430</v>
      </c>
      <c r="D9547" s="38" t="str">
        <f>IFERROR(__xludf.DUMMYFUNCTION("REGEXREPLACE(C9547,""-\d+(.*)|--\d+(.*)"","""")"),"COURGAINS")</f>
        <v>COURGAINS</v>
      </c>
      <c r="E9547" s="38" t="s">
        <v>521</v>
      </c>
      <c r="F9547" s="38" t="s">
        <v>180</v>
      </c>
      <c r="G9547" s="49" t="str">
        <f t="shared" si="1"/>
        <v>72260</v>
      </c>
      <c r="H9547" s="49">
        <f t="shared" si="2"/>
        <v>72104</v>
      </c>
    </row>
    <row r="9548">
      <c r="A9548" s="48" t="s">
        <v>7144</v>
      </c>
      <c r="B9548" s="38">
        <v>76201.0</v>
      </c>
      <c r="C9548" s="38" t="s">
        <v>13431</v>
      </c>
      <c r="D9548" s="38" t="str">
        <f>IFERROR(__xludf.DUMMYFUNCTION("REGEXREPLACE(C9548,""-\d+(.*)|--\d+(.*)"","""")"),"CROISY-SUR-ANDELLE")</f>
        <v>CROISY-SUR-ANDELLE</v>
      </c>
      <c r="E9548" s="38" t="s">
        <v>133</v>
      </c>
      <c r="F9548" s="38" t="s">
        <v>134</v>
      </c>
      <c r="G9548" s="49" t="str">
        <f t="shared" si="1"/>
        <v>76780</v>
      </c>
      <c r="H9548" s="49">
        <f t="shared" si="2"/>
        <v>76201</v>
      </c>
    </row>
    <row r="9549">
      <c r="A9549" s="48" t="s">
        <v>1721</v>
      </c>
      <c r="B9549" s="38">
        <v>33050.0</v>
      </c>
      <c r="C9549" s="38" t="s">
        <v>13432</v>
      </c>
      <c r="D9549" s="38" t="str">
        <f>IFERROR(__xludf.DUMMYFUNCTION("REGEXREPLACE(C9549,""-\d+(.*)|--\d+(.*)"","""")"),"BIEUJAC")</f>
        <v>BIEUJAC</v>
      </c>
      <c r="E9549" s="38" t="s">
        <v>462</v>
      </c>
      <c r="F9549" s="38" t="s">
        <v>252</v>
      </c>
      <c r="G9549" s="49" t="str">
        <f t="shared" si="1"/>
        <v>33210</v>
      </c>
      <c r="H9549" s="49">
        <f t="shared" si="2"/>
        <v>33050</v>
      </c>
    </row>
    <row r="9550">
      <c r="A9550" s="48" t="s">
        <v>10916</v>
      </c>
      <c r="B9550" s="38">
        <v>40132.0</v>
      </c>
      <c r="C9550" s="38" t="s">
        <v>5399</v>
      </c>
      <c r="D9550" s="38" t="str">
        <f>IFERROR(__xludf.DUMMYFUNCTION("REGEXREPLACE(C9550,""-\d+(.*)|--\d+(.*)"","""")"),"LABATUT")</f>
        <v>LABATUT</v>
      </c>
      <c r="E9550" s="38" t="s">
        <v>281</v>
      </c>
      <c r="F9550" s="38" t="s">
        <v>252</v>
      </c>
      <c r="G9550" s="49" t="str">
        <f t="shared" si="1"/>
        <v>40300</v>
      </c>
      <c r="H9550" s="49">
        <f t="shared" si="2"/>
        <v>40132</v>
      </c>
    </row>
    <row r="9551">
      <c r="A9551" s="48" t="s">
        <v>622</v>
      </c>
      <c r="B9551" s="38">
        <v>14649.0</v>
      </c>
      <c r="C9551" s="38" t="s">
        <v>13433</v>
      </c>
      <c r="D9551" s="38" t="str">
        <f>IFERROR(__xludf.DUMMYFUNCTION("REGEXREPLACE(C9551,""-\d+(.*)|--\d+(.*)"","""")"),"SAINT-PIERRE-DU-BU")</f>
        <v>SAINT-PIERRE-DU-BU</v>
      </c>
      <c r="E9551" s="38" t="s">
        <v>137</v>
      </c>
      <c r="F9551" s="38" t="s">
        <v>138</v>
      </c>
      <c r="G9551" s="49" t="str">
        <f t="shared" si="1"/>
        <v>14700</v>
      </c>
      <c r="H9551" s="49">
        <f t="shared" si="2"/>
        <v>14649</v>
      </c>
    </row>
    <row r="9552">
      <c r="A9552" s="48" t="s">
        <v>3368</v>
      </c>
      <c r="B9552" s="38">
        <v>61317.0</v>
      </c>
      <c r="C9552" s="38" t="s">
        <v>13434</v>
      </c>
      <c r="D9552" s="38" t="str">
        <f>IFERROR(__xludf.DUMMYFUNCTION("REGEXREPLACE(C9552,""-\d+(.*)|--\d+(.*)"","""")"),"ORGERES")</f>
        <v>ORGERES</v>
      </c>
      <c r="E9552" s="38" t="s">
        <v>141</v>
      </c>
      <c r="F9552" s="38" t="s">
        <v>138</v>
      </c>
      <c r="G9552" s="49" t="str">
        <f t="shared" si="1"/>
        <v>61230</v>
      </c>
      <c r="H9552" s="49">
        <f t="shared" si="2"/>
        <v>61317</v>
      </c>
    </row>
    <row r="9553">
      <c r="A9553" s="48" t="s">
        <v>3305</v>
      </c>
      <c r="B9553" s="38">
        <v>24360.0</v>
      </c>
      <c r="C9553" s="38" t="s">
        <v>13435</v>
      </c>
      <c r="D9553" s="38" t="str">
        <f>IFERROR(__xludf.DUMMYFUNCTION("REGEXREPLACE(C9553,""-\d+(.*)|--\d+(.*)"","""")"),"SAGELAT")</f>
        <v>SAGELAT</v>
      </c>
      <c r="E9553" s="38" t="s">
        <v>261</v>
      </c>
      <c r="F9553" s="38" t="s">
        <v>252</v>
      </c>
      <c r="G9553" s="49" t="str">
        <f t="shared" si="1"/>
        <v>24170</v>
      </c>
      <c r="H9553" s="49">
        <f t="shared" si="2"/>
        <v>24360</v>
      </c>
    </row>
    <row r="9554">
      <c r="A9554" s="48" t="s">
        <v>6025</v>
      </c>
      <c r="B9554" s="38">
        <v>31237.0</v>
      </c>
      <c r="C9554" s="38" t="s">
        <v>13436</v>
      </c>
      <c r="D9554" s="38" t="str">
        <f>IFERROR(__xludf.DUMMYFUNCTION("REGEXREPLACE(C9554,""-\d+(.*)|--\d+(.*)"","""")"),"HIS")</f>
        <v>HIS</v>
      </c>
      <c r="E9554" s="38" t="s">
        <v>93</v>
      </c>
      <c r="F9554" s="38" t="s">
        <v>94</v>
      </c>
      <c r="G9554" s="49" t="str">
        <f t="shared" si="1"/>
        <v>31260</v>
      </c>
      <c r="H9554" s="49">
        <f t="shared" si="2"/>
        <v>31237</v>
      </c>
    </row>
    <row r="9555">
      <c r="A9555" s="48" t="s">
        <v>1046</v>
      </c>
      <c r="B9555" s="38">
        <v>26221.0</v>
      </c>
      <c r="C9555" s="38" t="s">
        <v>13437</v>
      </c>
      <c r="D9555" s="38" t="str">
        <f>IFERROR(__xludf.DUMMYFUNCTION("REGEXREPLACE(C9555,""-\d+(.*)|--\d+(.*)"","""")"),"OMBLEZE")</f>
        <v>OMBLEZE</v>
      </c>
      <c r="E9555" s="38" t="s">
        <v>126</v>
      </c>
      <c r="F9555" s="38" t="s">
        <v>102</v>
      </c>
      <c r="G9555" s="49" t="str">
        <f t="shared" si="1"/>
        <v>26400</v>
      </c>
      <c r="H9555" s="49">
        <f t="shared" si="2"/>
        <v>26221</v>
      </c>
    </row>
    <row r="9556">
      <c r="A9556" s="48" t="s">
        <v>1618</v>
      </c>
      <c r="B9556" s="38">
        <v>11425.0</v>
      </c>
      <c r="C9556" s="38" t="s">
        <v>13438</v>
      </c>
      <c r="D9556" s="38" t="str">
        <f>IFERROR(__xludf.DUMMYFUNCTION("REGEXREPLACE(C9556,""-\d+(.*)|--\d+(.*)"","""")"),"VILLEGAILHENC")</f>
        <v>VILLEGAILHENC</v>
      </c>
      <c r="E9556" s="38" t="s">
        <v>278</v>
      </c>
      <c r="F9556" s="38" t="s">
        <v>119</v>
      </c>
      <c r="G9556" s="49" t="str">
        <f t="shared" si="1"/>
        <v>11600</v>
      </c>
      <c r="H9556" s="49">
        <f t="shared" si="2"/>
        <v>11425</v>
      </c>
    </row>
    <row r="9557">
      <c r="A9557" s="48" t="s">
        <v>3321</v>
      </c>
      <c r="B9557" s="38">
        <v>47184.0</v>
      </c>
      <c r="C9557" s="38" t="s">
        <v>2818</v>
      </c>
      <c r="D9557" s="38" t="str">
        <f>IFERROR(__xludf.DUMMYFUNCTION("REGEXREPLACE(C9557,""-\d+(.*)|--\d+(.*)"","""")"),"MONTAUT")</f>
        <v>MONTAUT</v>
      </c>
      <c r="E9557" s="38" t="s">
        <v>251</v>
      </c>
      <c r="F9557" s="38" t="s">
        <v>252</v>
      </c>
      <c r="G9557" s="49" t="str">
        <f t="shared" si="1"/>
        <v>47210</v>
      </c>
      <c r="H9557" s="49">
        <f t="shared" si="2"/>
        <v>47184</v>
      </c>
    </row>
    <row r="9558">
      <c r="A9558" s="48" t="s">
        <v>3426</v>
      </c>
      <c r="B9558" s="38">
        <v>57628.0</v>
      </c>
      <c r="C9558" s="38" t="s">
        <v>13439</v>
      </c>
      <c r="D9558" s="38" t="str">
        <f>IFERROR(__xludf.DUMMYFUNCTION("REGEXREPLACE(C9558,""-\d+(.*)|--\d+(.*)"","""")"),"SARRALBE")</f>
        <v>SARRALBE</v>
      </c>
      <c r="E9558" s="38" t="s">
        <v>303</v>
      </c>
      <c r="F9558" s="38" t="s">
        <v>195</v>
      </c>
      <c r="G9558" s="49" t="str">
        <f t="shared" si="1"/>
        <v>57430</v>
      </c>
      <c r="H9558" s="49">
        <f t="shared" si="2"/>
        <v>57628</v>
      </c>
    </row>
    <row r="9559">
      <c r="A9559" s="48" t="s">
        <v>8120</v>
      </c>
      <c r="B9559" s="38">
        <v>61371.0</v>
      </c>
      <c r="C9559" s="38" t="s">
        <v>13440</v>
      </c>
      <c r="D9559" s="38" t="str">
        <f>IFERROR(__xludf.DUMMYFUNCTION("REGEXREPLACE(C9559,""-\d+(.*)|--\d+(.*)"","""")"),"SAINT-BRICE-SOUS-RANES")</f>
        <v>SAINT-BRICE-SOUS-RANES</v>
      </c>
      <c r="E9559" s="38" t="s">
        <v>141</v>
      </c>
      <c r="F9559" s="38" t="s">
        <v>138</v>
      </c>
      <c r="G9559" s="49" t="str">
        <f t="shared" si="1"/>
        <v>61150</v>
      </c>
      <c r="H9559" s="49">
        <f t="shared" si="2"/>
        <v>61371</v>
      </c>
    </row>
    <row r="9560">
      <c r="A9560" s="48" t="s">
        <v>145</v>
      </c>
      <c r="B9560" s="38">
        <v>10441.0</v>
      </c>
      <c r="C9560" s="38" t="s">
        <v>13441</v>
      </c>
      <c r="D9560" s="38" t="str">
        <f>IFERROR(__xludf.DUMMYFUNCTION("REGEXREPLACE(C9560,""-\d+(.*)|--\d+(.*)"","""")"),"VOSNON")</f>
        <v>VOSNON</v>
      </c>
      <c r="E9560" s="38" t="s">
        <v>147</v>
      </c>
      <c r="F9560" s="38" t="s">
        <v>130</v>
      </c>
      <c r="G9560" s="49" t="str">
        <f t="shared" si="1"/>
        <v>10130</v>
      </c>
      <c r="H9560" s="49">
        <f t="shared" si="2"/>
        <v>10441</v>
      </c>
    </row>
    <row r="9561">
      <c r="A9561" s="48" t="s">
        <v>2318</v>
      </c>
      <c r="B9561" s="38">
        <v>43110.0</v>
      </c>
      <c r="C9561" s="38" t="s">
        <v>13442</v>
      </c>
      <c r="D9561" s="38" t="str">
        <f>IFERROR(__xludf.DUMMYFUNCTION("REGEXREPLACE(C9561,""-\d+(.*)|--\d+(.*)"","""")"),"LAMOTHE")</f>
        <v>LAMOTHE</v>
      </c>
      <c r="E9561" s="38" t="s">
        <v>332</v>
      </c>
      <c r="F9561" s="38" t="s">
        <v>161</v>
      </c>
      <c r="G9561" s="49" t="str">
        <f t="shared" si="1"/>
        <v>43100</v>
      </c>
      <c r="H9561" s="49">
        <f t="shared" si="2"/>
        <v>43110</v>
      </c>
    </row>
    <row r="9562">
      <c r="A9562" s="48" t="s">
        <v>13443</v>
      </c>
      <c r="B9562" s="38">
        <v>84026.0</v>
      </c>
      <c r="C9562" s="38" t="s">
        <v>13444</v>
      </c>
      <c r="D9562" s="38" t="str">
        <f>IFERROR(__xludf.DUMMYFUNCTION("REGEXREPLACE(C9562,""-\d+(.*)|--\d+(.*)"","""")"),"CADENET")</f>
        <v>CADENET</v>
      </c>
      <c r="E9562" s="38" t="s">
        <v>1026</v>
      </c>
      <c r="F9562" s="38" t="s">
        <v>228</v>
      </c>
      <c r="G9562" s="49" t="str">
        <f t="shared" si="1"/>
        <v>84160</v>
      </c>
      <c r="H9562" s="49">
        <f t="shared" si="2"/>
        <v>84026</v>
      </c>
    </row>
    <row r="9563">
      <c r="A9563" s="48" t="s">
        <v>6626</v>
      </c>
      <c r="B9563" s="38">
        <v>58290.0</v>
      </c>
      <c r="C9563" s="38" t="s">
        <v>13445</v>
      </c>
      <c r="D9563" s="38" t="str">
        <f>IFERROR(__xludf.DUMMYFUNCTION("REGEXREPLACE(C9563,""-\d+(.*)|--\d+(.*)"","""")"),"THAIX")</f>
        <v>THAIX</v>
      </c>
      <c r="E9563" s="38" t="s">
        <v>219</v>
      </c>
      <c r="F9563" s="38" t="s">
        <v>106</v>
      </c>
      <c r="G9563" s="49" t="str">
        <f t="shared" si="1"/>
        <v>58250</v>
      </c>
      <c r="H9563" s="49">
        <f t="shared" si="2"/>
        <v>58290</v>
      </c>
    </row>
    <row r="9564">
      <c r="A9564" s="48" t="s">
        <v>1199</v>
      </c>
      <c r="B9564" s="38">
        <v>55148.0</v>
      </c>
      <c r="C9564" s="38" t="s">
        <v>13446</v>
      </c>
      <c r="D9564" s="38" t="str">
        <f>IFERROR(__xludf.DUMMYFUNCTION("REGEXREPLACE(C9564,""-\d+(.*)|--\d+(.*)"","""")"),"DELOUZE-ROSIERES")</f>
        <v>DELOUZE-ROSIERES</v>
      </c>
      <c r="E9564" s="38" t="s">
        <v>322</v>
      </c>
      <c r="F9564" s="38" t="s">
        <v>195</v>
      </c>
      <c r="G9564" s="49" t="str">
        <f t="shared" si="1"/>
        <v>55130</v>
      </c>
      <c r="H9564" s="49">
        <f t="shared" si="2"/>
        <v>55148</v>
      </c>
    </row>
    <row r="9565">
      <c r="A9565" s="48" t="s">
        <v>9218</v>
      </c>
      <c r="B9565" s="38">
        <v>17091.0</v>
      </c>
      <c r="C9565" s="38" t="s">
        <v>13447</v>
      </c>
      <c r="D9565" s="38" t="str">
        <f>IFERROR(__xludf.DUMMYFUNCTION("REGEXREPLACE(C9565,""-\d+(.*)|--\d+(.*)"","""")"),"CHARRON")</f>
        <v>CHARRON</v>
      </c>
      <c r="E9565" s="38" t="s">
        <v>488</v>
      </c>
      <c r="F9565" s="38" t="s">
        <v>338</v>
      </c>
      <c r="G9565" s="49" t="str">
        <f t="shared" si="1"/>
        <v>17230</v>
      </c>
      <c r="H9565" s="49">
        <f t="shared" si="2"/>
        <v>17091</v>
      </c>
    </row>
    <row r="9566">
      <c r="A9566" s="48" t="s">
        <v>6875</v>
      </c>
      <c r="B9566" s="38">
        <v>2674.0</v>
      </c>
      <c r="C9566" s="38" t="s">
        <v>6198</v>
      </c>
      <c r="D9566" s="38" t="str">
        <f>IFERROR(__xludf.DUMMYFUNCTION("REGEXREPLACE(C9566,""-\d+(.*)|--\d+(.*)"","""")"),"SAINT-CLEMENT")</f>
        <v>SAINT-CLEMENT</v>
      </c>
      <c r="E9566" s="38" t="s">
        <v>191</v>
      </c>
      <c r="F9566" s="38" t="s">
        <v>113</v>
      </c>
      <c r="G9566" s="49" t="str">
        <f t="shared" si="1"/>
        <v>02360</v>
      </c>
      <c r="H9566" s="49" t="str">
        <f t="shared" si="2"/>
        <v>02674</v>
      </c>
    </row>
    <row r="9567">
      <c r="A9567" s="48" t="s">
        <v>7885</v>
      </c>
      <c r="B9567" s="38">
        <v>73270.0</v>
      </c>
      <c r="C9567" s="38" t="s">
        <v>13448</v>
      </c>
      <c r="D9567" s="38" t="str">
        <f>IFERROR(__xludf.DUMMYFUNCTION("REGEXREPLACE(C9567,""-\d+(.*)|--\d+(.*)"","""")"),"SAINT-PIERRE-D'ALBIGNY")</f>
        <v>SAINT-PIERRE-D'ALBIGNY</v>
      </c>
      <c r="E9567" s="38" t="s">
        <v>306</v>
      </c>
      <c r="F9567" s="38" t="s">
        <v>102</v>
      </c>
      <c r="G9567" s="49" t="str">
        <f t="shared" si="1"/>
        <v>73250</v>
      </c>
      <c r="H9567" s="49">
        <f t="shared" si="2"/>
        <v>73270</v>
      </c>
    </row>
    <row r="9568">
      <c r="A9568" s="48" t="s">
        <v>507</v>
      </c>
      <c r="B9568" s="38">
        <v>8306.0</v>
      </c>
      <c r="C9568" s="38" t="s">
        <v>13449</v>
      </c>
      <c r="D9568" s="38" t="str">
        <f>IFERROR(__xludf.DUMMYFUNCTION("REGEXREPLACE(C9568,""-\d+(.*)|--\d+(.*)"","""")"),"MONT-LAURENT")</f>
        <v>MONT-LAURENT</v>
      </c>
      <c r="E9568" s="38" t="s">
        <v>327</v>
      </c>
      <c r="F9568" s="38" t="s">
        <v>130</v>
      </c>
      <c r="G9568" s="49" t="str">
        <f t="shared" si="1"/>
        <v>08130</v>
      </c>
      <c r="H9568" s="49" t="str">
        <f t="shared" si="2"/>
        <v>08306</v>
      </c>
    </row>
    <row r="9569">
      <c r="A9569" s="48" t="s">
        <v>443</v>
      </c>
      <c r="B9569" s="38">
        <v>24199.0</v>
      </c>
      <c r="C9569" s="38" t="s">
        <v>13450</v>
      </c>
      <c r="D9569" s="38" t="str">
        <f>IFERROR(__xludf.DUMMYFUNCTION("REGEXREPLACE(C9569,""-\d+(.*)|--\d+(.*)"","""")"),"GOUT-ROSSIGNOL")</f>
        <v>GOUT-ROSSIGNOL</v>
      </c>
      <c r="E9569" s="38" t="s">
        <v>261</v>
      </c>
      <c r="F9569" s="38" t="s">
        <v>252</v>
      </c>
      <c r="G9569" s="49" t="str">
        <f t="shared" si="1"/>
        <v>24320</v>
      </c>
      <c r="H9569" s="49">
        <f t="shared" si="2"/>
        <v>24199</v>
      </c>
    </row>
    <row r="9570">
      <c r="A9570" s="48" t="s">
        <v>2106</v>
      </c>
      <c r="B9570" s="38">
        <v>18143.0</v>
      </c>
      <c r="C9570" s="38" t="s">
        <v>13451</v>
      </c>
      <c r="D9570" s="38" t="str">
        <f>IFERROR(__xludf.DUMMYFUNCTION("REGEXREPLACE(C9570,""-\d+(.*)|--\d+(.*)"","""")"),"MENETOU-COUTURE")</f>
        <v>MENETOU-COUTURE</v>
      </c>
      <c r="E9570" s="38" t="s">
        <v>504</v>
      </c>
      <c r="F9570" s="38" t="s">
        <v>123</v>
      </c>
      <c r="G9570" s="49" t="str">
        <f t="shared" si="1"/>
        <v>18320</v>
      </c>
      <c r="H9570" s="49">
        <f t="shared" si="2"/>
        <v>18143</v>
      </c>
    </row>
    <row r="9571">
      <c r="A9571" s="48" t="s">
        <v>11370</v>
      </c>
      <c r="B9571" s="38">
        <v>26163.0</v>
      </c>
      <c r="C9571" s="38" t="s">
        <v>13452</v>
      </c>
      <c r="D9571" s="38" t="str">
        <f>IFERROR(__xludf.DUMMYFUNCTION("REGEXREPLACE(C9571,""-\d+(.*)|--\d+(.*)"","""")"),"LEONCEL")</f>
        <v>LEONCEL</v>
      </c>
      <c r="E9571" s="38" t="s">
        <v>126</v>
      </c>
      <c r="F9571" s="38" t="s">
        <v>102</v>
      </c>
      <c r="G9571" s="49" t="str">
        <f t="shared" si="1"/>
        <v>26190</v>
      </c>
      <c r="H9571" s="49">
        <f t="shared" si="2"/>
        <v>26163</v>
      </c>
    </row>
    <row r="9572">
      <c r="A9572" s="48" t="s">
        <v>2455</v>
      </c>
      <c r="B9572" s="38">
        <v>73285.0</v>
      </c>
      <c r="C9572" s="38" t="s">
        <v>13453</v>
      </c>
      <c r="D9572" s="38" t="str">
        <f>IFERROR(__xludf.DUMMYFUNCTION("REGEXREPLACE(C9572,""-\d+(.*)|--\d+(.*)"","""")"),"SEEZ")</f>
        <v>SEEZ</v>
      </c>
      <c r="E9572" s="38" t="s">
        <v>306</v>
      </c>
      <c r="F9572" s="38" t="s">
        <v>102</v>
      </c>
      <c r="G9572" s="49" t="str">
        <f t="shared" si="1"/>
        <v>73700</v>
      </c>
      <c r="H9572" s="49">
        <f t="shared" si="2"/>
        <v>73285</v>
      </c>
    </row>
    <row r="9573">
      <c r="A9573" s="48" t="s">
        <v>3240</v>
      </c>
      <c r="B9573" s="38">
        <v>27577.0</v>
      </c>
      <c r="C9573" s="38" t="s">
        <v>13454</v>
      </c>
      <c r="D9573" s="38" t="str">
        <f>IFERROR(__xludf.DUMMYFUNCTION("REGEXREPLACE(C9573,""-\d+(.*)|--\d+(.*)"","""")"),"SAINTE-OPPORTUNE-LA-MARE")</f>
        <v>SAINTE-OPPORTUNE-LA-MARE</v>
      </c>
      <c r="E9573" s="38" t="s">
        <v>241</v>
      </c>
      <c r="F9573" s="38" t="s">
        <v>134</v>
      </c>
      <c r="G9573" s="49" t="str">
        <f t="shared" si="1"/>
        <v>27680</v>
      </c>
      <c r="H9573" s="49">
        <f t="shared" si="2"/>
        <v>27577</v>
      </c>
    </row>
    <row r="9574">
      <c r="A9574" s="48" t="s">
        <v>13455</v>
      </c>
      <c r="B9574" s="38">
        <v>68343.0</v>
      </c>
      <c r="C9574" s="38" t="s">
        <v>13456</v>
      </c>
      <c r="D9574" s="38" t="str">
        <f>IFERROR(__xludf.DUMMYFUNCTION("REGEXREPLACE(C9574,""-\d+(.*)|--\d+(.*)"","""")"),"UNGERSHEIM")</f>
        <v>UNGERSHEIM</v>
      </c>
      <c r="E9574" s="38" t="s">
        <v>150</v>
      </c>
      <c r="F9574" s="38" t="s">
        <v>151</v>
      </c>
      <c r="G9574" s="49" t="str">
        <f t="shared" si="1"/>
        <v>68190</v>
      </c>
      <c r="H9574" s="49">
        <f t="shared" si="2"/>
        <v>68343</v>
      </c>
    </row>
    <row r="9575">
      <c r="A9575" s="48" t="s">
        <v>11699</v>
      </c>
      <c r="B9575" s="38">
        <v>38319.0</v>
      </c>
      <c r="C9575" s="38" t="s">
        <v>13457</v>
      </c>
      <c r="D9575" s="38" t="str">
        <f>IFERROR(__xludf.DUMMYFUNCTION("REGEXREPLACE(C9575,""-\d+(.*)|--\d+(.*)"","""")"),"PONT-EN-ROYANS")</f>
        <v>PONT-EN-ROYANS</v>
      </c>
      <c r="E9575" s="38" t="s">
        <v>101</v>
      </c>
      <c r="F9575" s="38" t="s">
        <v>102</v>
      </c>
      <c r="G9575" s="49" t="str">
        <f t="shared" si="1"/>
        <v>38680</v>
      </c>
      <c r="H9575" s="49">
        <f t="shared" si="2"/>
        <v>38319</v>
      </c>
    </row>
    <row r="9576">
      <c r="A9576" s="48" t="s">
        <v>13458</v>
      </c>
      <c r="B9576" s="38">
        <v>53246.0</v>
      </c>
      <c r="C9576" s="38" t="s">
        <v>13459</v>
      </c>
      <c r="D9576" s="38" t="str">
        <f>IFERROR(__xludf.DUMMYFUNCTION("REGEXREPLACE(C9576,""-\d+(.*)|--\d+(.*)"","""")"),"SAINT-PIERRE-DES-NIDS")</f>
        <v>SAINT-PIERRE-DES-NIDS</v>
      </c>
      <c r="E9576" s="38" t="s">
        <v>518</v>
      </c>
      <c r="F9576" s="38" t="s">
        <v>180</v>
      </c>
      <c r="G9576" s="49" t="str">
        <f t="shared" si="1"/>
        <v>53370</v>
      </c>
      <c r="H9576" s="49">
        <f t="shared" si="2"/>
        <v>53246</v>
      </c>
    </row>
    <row r="9577">
      <c r="A9577" s="48" t="s">
        <v>13460</v>
      </c>
      <c r="B9577" s="38">
        <v>68089.0</v>
      </c>
      <c r="C9577" s="38" t="s">
        <v>13461</v>
      </c>
      <c r="D9577" s="38" t="str">
        <f>IFERROR(__xludf.DUMMYFUNCTION("REGEXREPLACE(C9577,""-\d+(.*)|--\d+(.*)"","""")"),"FELLERING")</f>
        <v>FELLERING</v>
      </c>
      <c r="E9577" s="38" t="s">
        <v>150</v>
      </c>
      <c r="F9577" s="38" t="s">
        <v>151</v>
      </c>
      <c r="G9577" s="49" t="str">
        <f t="shared" si="1"/>
        <v>68470</v>
      </c>
      <c r="H9577" s="49">
        <f t="shared" si="2"/>
        <v>68089</v>
      </c>
    </row>
    <row r="9578">
      <c r="A9578" s="48" t="s">
        <v>3046</v>
      </c>
      <c r="B9578" s="38">
        <v>70124.0</v>
      </c>
      <c r="C9578" s="38" t="s">
        <v>13462</v>
      </c>
      <c r="D9578" s="38" t="str">
        <f>IFERROR(__xludf.DUMMYFUNCTION("REGEXREPLACE(C9578,""-\d+(.*)|--\d+(.*)"","""")"),"CHAMPTONNAY")</f>
        <v>CHAMPTONNAY</v>
      </c>
      <c r="E9578" s="38" t="s">
        <v>956</v>
      </c>
      <c r="F9578" s="38" t="s">
        <v>214</v>
      </c>
      <c r="G9578" s="49" t="str">
        <f t="shared" si="1"/>
        <v>70100</v>
      </c>
      <c r="H9578" s="49">
        <f t="shared" si="2"/>
        <v>70124</v>
      </c>
    </row>
    <row r="9579">
      <c r="A9579" s="48" t="s">
        <v>1616</v>
      </c>
      <c r="B9579" s="38">
        <v>10161.0</v>
      </c>
      <c r="C9579" s="38" t="s">
        <v>13463</v>
      </c>
      <c r="D9579" s="38" t="str">
        <f>IFERROR(__xludf.DUMMYFUNCTION("REGEXREPLACE(C9579,""-\d+(.*)|--\d+(.*)"","""")"),"FRESNAY")</f>
        <v>FRESNAY</v>
      </c>
      <c r="E9579" s="38" t="s">
        <v>147</v>
      </c>
      <c r="F9579" s="38" t="s">
        <v>130</v>
      </c>
      <c r="G9579" s="49" t="str">
        <f t="shared" si="1"/>
        <v>10200</v>
      </c>
      <c r="H9579" s="49">
        <f t="shared" si="2"/>
        <v>10161</v>
      </c>
    </row>
    <row r="9580">
      <c r="A9580" s="48" t="s">
        <v>2159</v>
      </c>
      <c r="B9580" s="38">
        <v>57671.0</v>
      </c>
      <c r="C9580" s="38" t="s">
        <v>13464</v>
      </c>
      <c r="D9580" s="38" t="str">
        <f>IFERROR(__xludf.DUMMYFUNCTION("REGEXREPLACE(C9580,""-\d+(.*)|--\d+(.*)"","""")"),"THIMONVILLE")</f>
        <v>THIMONVILLE</v>
      </c>
      <c r="E9580" s="38" t="s">
        <v>303</v>
      </c>
      <c r="F9580" s="38" t="s">
        <v>195</v>
      </c>
      <c r="G9580" s="49" t="str">
        <f t="shared" si="1"/>
        <v>57580</v>
      </c>
      <c r="H9580" s="49">
        <f t="shared" si="2"/>
        <v>57671</v>
      </c>
    </row>
    <row r="9581">
      <c r="A9581" s="48" t="s">
        <v>5601</v>
      </c>
      <c r="B9581" s="38">
        <v>71238.0</v>
      </c>
      <c r="C9581" s="38" t="s">
        <v>13465</v>
      </c>
      <c r="D9581" s="38" t="str">
        <f>IFERROR(__xludf.DUMMYFUNCTION("REGEXREPLACE(C9581,""-\d+(.*)|--\d+(.*)"","""")"),"IGUERANDE")</f>
        <v>IGUERANDE</v>
      </c>
      <c r="E9581" s="38" t="s">
        <v>344</v>
      </c>
      <c r="F9581" s="38" t="s">
        <v>106</v>
      </c>
      <c r="G9581" s="49" t="str">
        <f t="shared" si="1"/>
        <v>71340</v>
      </c>
      <c r="H9581" s="49">
        <f t="shared" si="2"/>
        <v>71238</v>
      </c>
    </row>
    <row r="9582">
      <c r="A9582" s="48" t="s">
        <v>13466</v>
      </c>
      <c r="B9582" s="38">
        <v>3315.0</v>
      </c>
      <c r="C9582" s="38" t="s">
        <v>13467</v>
      </c>
      <c r="D9582" s="38" t="str">
        <f>IFERROR(__xludf.DUMMYFUNCTION("REGEXREPLACE(C9582,""-\d+(.*)|--\d+(.*)"","""")"),"VILLEFRANCHE-D'ALLIER")</f>
        <v>VILLEFRANCHE-D'ALLIER</v>
      </c>
      <c r="E9582" s="38" t="s">
        <v>160</v>
      </c>
      <c r="F9582" s="38" t="s">
        <v>161</v>
      </c>
      <c r="G9582" s="49" t="str">
        <f t="shared" si="1"/>
        <v>03430</v>
      </c>
      <c r="H9582" s="49" t="str">
        <f t="shared" si="2"/>
        <v>03315</v>
      </c>
    </row>
    <row r="9583">
      <c r="A9583" s="48" t="s">
        <v>6038</v>
      </c>
      <c r="B9583" s="38">
        <v>88441.0</v>
      </c>
      <c r="C9583" s="38" t="s">
        <v>13468</v>
      </c>
      <c r="D9583" s="38" t="str">
        <f>IFERROR(__xludf.DUMMYFUNCTION("REGEXREPLACE(C9583,""-\d+(.*)|--\d+(.*)"","""")"),"SANS-VALLOIS")</f>
        <v>SANS-VALLOIS</v>
      </c>
      <c r="E9583" s="38" t="s">
        <v>194</v>
      </c>
      <c r="F9583" s="38" t="s">
        <v>195</v>
      </c>
      <c r="G9583" s="49" t="str">
        <f t="shared" si="1"/>
        <v>88260</v>
      </c>
      <c r="H9583" s="49">
        <f t="shared" si="2"/>
        <v>88441</v>
      </c>
    </row>
    <row r="9584">
      <c r="A9584" s="48" t="s">
        <v>13469</v>
      </c>
      <c r="B9584" s="38" t="s">
        <v>13470</v>
      </c>
      <c r="C9584" s="38" t="s">
        <v>13471</v>
      </c>
      <c r="D9584" s="38" t="str">
        <f>IFERROR(__xludf.DUMMYFUNCTION("REGEXREPLACE(C9584,""-\d+(.*)|--\d+(.*)"","""")"),"CASAGLIONE")</f>
        <v>CASAGLIONE</v>
      </c>
      <c r="E9584" s="38" t="s">
        <v>606</v>
      </c>
      <c r="F9584" s="38" t="s">
        <v>607</v>
      </c>
      <c r="G9584" s="49" t="str">
        <f t="shared" si="1"/>
        <v>20111</v>
      </c>
      <c r="H9584" s="49" t="str">
        <f t="shared" si="2"/>
        <v>2A070</v>
      </c>
    </row>
    <row r="9585">
      <c r="A9585" s="48" t="s">
        <v>6025</v>
      </c>
      <c r="B9585" s="38">
        <v>31391.0</v>
      </c>
      <c r="C9585" s="38" t="s">
        <v>13472</v>
      </c>
      <c r="D9585" s="38" t="str">
        <f>IFERROR(__xludf.DUMMYFUNCTION("REGEXREPLACE(C9585,""-\d+(.*)|--\d+(.*)"","""")"),"MONTSAUNES")</f>
        <v>MONTSAUNES</v>
      </c>
      <c r="E9585" s="38" t="s">
        <v>93</v>
      </c>
      <c r="F9585" s="38" t="s">
        <v>94</v>
      </c>
      <c r="G9585" s="49" t="str">
        <f t="shared" si="1"/>
        <v>31260</v>
      </c>
      <c r="H9585" s="49">
        <f t="shared" si="2"/>
        <v>31391</v>
      </c>
    </row>
    <row r="9586">
      <c r="A9586" s="48" t="s">
        <v>13473</v>
      </c>
      <c r="B9586" s="38">
        <v>54434.0</v>
      </c>
      <c r="C9586" s="38" t="s">
        <v>13474</v>
      </c>
      <c r="D9586" s="38" t="str">
        <f>IFERROR(__xludf.DUMMYFUNCTION("REGEXREPLACE(C9586,""-\d+(.*)|--\d+(.*)"","""")"),"PRAYE")</f>
        <v>PRAYE</v>
      </c>
      <c r="E9586" s="38" t="s">
        <v>548</v>
      </c>
      <c r="F9586" s="38" t="s">
        <v>195</v>
      </c>
      <c r="G9586" s="49" t="str">
        <f t="shared" si="1"/>
        <v>54116</v>
      </c>
      <c r="H9586" s="49">
        <f t="shared" si="2"/>
        <v>54434</v>
      </c>
    </row>
    <row r="9587">
      <c r="A9587" s="48" t="s">
        <v>2188</v>
      </c>
      <c r="B9587" s="38">
        <v>18051.0</v>
      </c>
      <c r="C9587" s="38" t="s">
        <v>13475</v>
      </c>
      <c r="D9587" s="38" t="str">
        <f>IFERROR(__xludf.DUMMYFUNCTION("REGEXREPLACE(C9587,""-\d+(.*)|--\d+(.*)"","""")"),"LA CHAPELOTTE")</f>
        <v>LA CHAPELOTTE</v>
      </c>
      <c r="E9587" s="38" t="s">
        <v>504</v>
      </c>
      <c r="F9587" s="38" t="s">
        <v>123</v>
      </c>
      <c r="G9587" s="49" t="str">
        <f t="shared" si="1"/>
        <v>18250</v>
      </c>
      <c r="H9587" s="49">
        <f t="shared" si="2"/>
        <v>18051</v>
      </c>
    </row>
    <row r="9588">
      <c r="A9588" s="48" t="s">
        <v>974</v>
      </c>
      <c r="B9588" s="38">
        <v>83128.0</v>
      </c>
      <c r="C9588" s="38" t="s">
        <v>13476</v>
      </c>
      <c r="D9588" s="38" t="str">
        <f>IFERROR(__xludf.DUMMYFUNCTION("REGEXREPLACE(C9588,""-\d+(.*)|--\d+(.*)"","""")"),"SILLANS-LA-CASCADE")</f>
        <v>SILLANS-LA-CASCADE</v>
      </c>
      <c r="E9588" s="38" t="s">
        <v>813</v>
      </c>
      <c r="F9588" s="38" t="s">
        <v>228</v>
      </c>
      <c r="G9588" s="49" t="str">
        <f t="shared" si="1"/>
        <v>83690</v>
      </c>
      <c r="H9588" s="49">
        <f t="shared" si="2"/>
        <v>83128</v>
      </c>
    </row>
    <row r="9589">
      <c r="A9589" s="48" t="s">
        <v>456</v>
      </c>
      <c r="B9589" s="38">
        <v>63287.0</v>
      </c>
      <c r="C9589" s="38" t="s">
        <v>13477</v>
      </c>
      <c r="D9589" s="38" t="str">
        <f>IFERROR(__xludf.DUMMYFUNCTION("REGEXREPLACE(C9589,""-\d+(.*)|--\d+(.*)"","""")"),"LES PRADEAUX")</f>
        <v>LES PRADEAUX</v>
      </c>
      <c r="E9589" s="38" t="s">
        <v>353</v>
      </c>
      <c r="F9589" s="38" t="s">
        <v>161</v>
      </c>
      <c r="G9589" s="49" t="str">
        <f t="shared" si="1"/>
        <v>63500</v>
      </c>
      <c r="H9589" s="49">
        <f t="shared" si="2"/>
        <v>63287</v>
      </c>
    </row>
    <row r="9590">
      <c r="A9590" s="48" t="s">
        <v>13405</v>
      </c>
      <c r="B9590" s="38">
        <v>28373.0</v>
      </c>
      <c r="C9590" s="38" t="s">
        <v>13478</v>
      </c>
      <c r="D9590" s="38" t="str">
        <f>IFERROR(__xludf.DUMMYFUNCTION("REGEXREPLACE(C9590,""-\d+(.*)|--\d+(.*)"","""")"),"SENONCHES")</f>
        <v>SENONCHES</v>
      </c>
      <c r="E9590" s="38" t="s">
        <v>300</v>
      </c>
      <c r="F9590" s="38" t="s">
        <v>123</v>
      </c>
      <c r="G9590" s="49" t="str">
        <f t="shared" si="1"/>
        <v>28250</v>
      </c>
      <c r="H9590" s="49">
        <f t="shared" si="2"/>
        <v>28373</v>
      </c>
    </row>
    <row r="9591">
      <c r="A9591" s="48" t="s">
        <v>669</v>
      </c>
      <c r="B9591" s="38">
        <v>12183.0</v>
      </c>
      <c r="C9591" s="38" t="s">
        <v>6814</v>
      </c>
      <c r="D9591" s="38" t="str">
        <f>IFERROR(__xludf.DUMMYFUNCTION("REGEXREPLACE(C9591,""-\d+(.*)|--\d+(.*)"","""")"),"PLAISANCE")</f>
        <v>PLAISANCE</v>
      </c>
      <c r="E9591" s="38" t="s">
        <v>465</v>
      </c>
      <c r="F9591" s="38" t="s">
        <v>94</v>
      </c>
      <c r="G9591" s="49" t="str">
        <f t="shared" si="1"/>
        <v>12550</v>
      </c>
      <c r="H9591" s="49">
        <f t="shared" si="2"/>
        <v>12183</v>
      </c>
    </row>
    <row r="9592">
      <c r="A9592" s="48" t="s">
        <v>3624</v>
      </c>
      <c r="B9592" s="38">
        <v>39363.0</v>
      </c>
      <c r="C9592" s="38" t="s">
        <v>13479</v>
      </c>
      <c r="D9592" s="38" t="str">
        <f>IFERROR(__xludf.DUMMYFUNCTION("REGEXREPLACE(C9592,""-\d+(.*)|--\d+(.*)"","""")"),"MONTREVEL")</f>
        <v>MONTREVEL</v>
      </c>
      <c r="E9592" s="38" t="s">
        <v>400</v>
      </c>
      <c r="F9592" s="38" t="s">
        <v>214</v>
      </c>
      <c r="G9592" s="49" t="str">
        <f t="shared" si="1"/>
        <v>39320</v>
      </c>
      <c r="H9592" s="49">
        <f t="shared" si="2"/>
        <v>39363</v>
      </c>
    </row>
    <row r="9593">
      <c r="A9593" s="48" t="s">
        <v>434</v>
      </c>
      <c r="B9593" s="38">
        <v>55508.0</v>
      </c>
      <c r="C9593" s="38" t="s">
        <v>13480</v>
      </c>
      <c r="D9593" s="38" t="str">
        <f>IFERROR(__xludf.DUMMYFUNCTION("REGEXREPLACE(C9593,""-\d+(.*)|--\d+(.*)"","""")"),"THONNE-LA-LONG")</f>
        <v>THONNE-LA-LONG</v>
      </c>
      <c r="E9593" s="38" t="s">
        <v>322</v>
      </c>
      <c r="F9593" s="38" t="s">
        <v>195</v>
      </c>
      <c r="G9593" s="49" t="str">
        <f t="shared" si="1"/>
        <v>55600</v>
      </c>
      <c r="H9593" s="49">
        <f t="shared" si="2"/>
        <v>55508</v>
      </c>
    </row>
    <row r="9594">
      <c r="A9594" s="48" t="s">
        <v>13481</v>
      </c>
      <c r="B9594" s="38">
        <v>54429.0</v>
      </c>
      <c r="C9594" s="38" t="s">
        <v>13482</v>
      </c>
      <c r="D9594" s="38" t="str">
        <f>IFERROR(__xludf.DUMMYFUNCTION("REGEXREPLACE(C9594,""-\d+(.*)|--\d+(.*)"","""")"),"PIERREVILLE")</f>
        <v>PIERREVILLE</v>
      </c>
      <c r="E9594" s="38" t="s">
        <v>548</v>
      </c>
      <c r="F9594" s="38" t="s">
        <v>195</v>
      </c>
      <c r="G9594" s="49" t="str">
        <f t="shared" si="1"/>
        <v>54160</v>
      </c>
      <c r="H9594" s="49">
        <f t="shared" si="2"/>
        <v>54429</v>
      </c>
    </row>
    <row r="9595">
      <c r="A9595" s="48" t="s">
        <v>497</v>
      </c>
      <c r="B9595" s="38">
        <v>62501.0</v>
      </c>
      <c r="C9595" s="38" t="s">
        <v>13483</v>
      </c>
      <c r="D9595" s="38" t="str">
        <f>IFERROR(__xludf.DUMMYFUNCTION("REGEXREPLACE(C9595,""-\d+(.*)|--\d+(.*)"","""")"),"LESPINOY")</f>
        <v>LESPINOY</v>
      </c>
      <c r="E9595" s="38" t="s">
        <v>109</v>
      </c>
      <c r="F9595" s="38" t="s">
        <v>86</v>
      </c>
      <c r="G9595" s="49" t="str">
        <f t="shared" si="1"/>
        <v>62990</v>
      </c>
      <c r="H9595" s="49">
        <f t="shared" si="2"/>
        <v>62501</v>
      </c>
    </row>
    <row r="9596">
      <c r="A9596" s="48" t="s">
        <v>3311</v>
      </c>
      <c r="B9596" s="38">
        <v>19170.0</v>
      </c>
      <c r="C9596" s="38" t="s">
        <v>13484</v>
      </c>
      <c r="D9596" s="38" t="str">
        <f>IFERROR(__xludf.DUMMYFUNCTION("REGEXREPLACE(C9596,""-\d+(.*)|--\d+(.*)"","""")"),"QUEYSSAC-LES-VIGNES")</f>
        <v>QUEYSSAC-LES-VIGNES</v>
      </c>
      <c r="E9596" s="38" t="s">
        <v>271</v>
      </c>
      <c r="F9596" s="38" t="s">
        <v>98</v>
      </c>
      <c r="G9596" s="49" t="str">
        <f t="shared" si="1"/>
        <v>19120</v>
      </c>
      <c r="H9596" s="49">
        <f t="shared" si="2"/>
        <v>19170</v>
      </c>
    </row>
    <row r="9597">
      <c r="A9597" s="48" t="s">
        <v>8757</v>
      </c>
      <c r="B9597" s="38">
        <v>84060.0</v>
      </c>
      <c r="C9597" s="38" t="s">
        <v>13485</v>
      </c>
      <c r="D9597" s="38" t="str">
        <f>IFERROR(__xludf.DUMMYFUNCTION("REGEXREPLACE(C9597,""-\d+(.*)|--\d+(.*)"","""")"),"LAGARDE-D'APT")</f>
        <v>LAGARDE-D'APT</v>
      </c>
      <c r="E9597" s="38" t="s">
        <v>1026</v>
      </c>
      <c r="F9597" s="38" t="s">
        <v>228</v>
      </c>
      <c r="G9597" s="49" t="str">
        <f t="shared" si="1"/>
        <v>84400</v>
      </c>
      <c r="H9597" s="49">
        <f t="shared" si="2"/>
        <v>84060</v>
      </c>
    </row>
    <row r="9598">
      <c r="A9598" s="48" t="s">
        <v>4563</v>
      </c>
      <c r="B9598" s="38">
        <v>38070.0</v>
      </c>
      <c r="C9598" s="38" t="s">
        <v>13486</v>
      </c>
      <c r="D9598" s="38" t="str">
        <f>IFERROR(__xludf.DUMMYFUNCTION("REGEXREPLACE(C9598,""-\d+(.*)|--\d+(.*)"","""")"),"LE CHAMP-PRES-FROGES")</f>
        <v>LE CHAMP-PRES-FROGES</v>
      </c>
      <c r="E9598" s="38" t="s">
        <v>101</v>
      </c>
      <c r="F9598" s="38" t="s">
        <v>102</v>
      </c>
      <c r="G9598" s="49" t="str">
        <f t="shared" si="1"/>
        <v>38190</v>
      </c>
      <c r="H9598" s="49">
        <f t="shared" si="2"/>
        <v>38070</v>
      </c>
    </row>
    <row r="9599">
      <c r="A9599" s="48" t="s">
        <v>12473</v>
      </c>
      <c r="B9599" s="38">
        <v>22232.0</v>
      </c>
      <c r="C9599" s="38" t="s">
        <v>13487</v>
      </c>
      <c r="D9599" s="38" t="str">
        <f>IFERROR(__xludf.DUMMYFUNCTION("REGEXREPLACE(C9599,""-\d+(.*)|--\d+(.*)"","""")"),"PLOURHAN")</f>
        <v>PLOURHAN</v>
      </c>
      <c r="E9599" s="38" t="s">
        <v>89</v>
      </c>
      <c r="F9599" s="38" t="s">
        <v>90</v>
      </c>
      <c r="G9599" s="49" t="str">
        <f t="shared" si="1"/>
        <v>22410</v>
      </c>
      <c r="H9599" s="49">
        <f t="shared" si="2"/>
        <v>22232</v>
      </c>
    </row>
    <row r="9600">
      <c r="A9600" s="48" t="s">
        <v>394</v>
      </c>
      <c r="B9600" s="38">
        <v>41003.0</v>
      </c>
      <c r="C9600" s="38" t="s">
        <v>13488</v>
      </c>
      <c r="D9600" s="38" t="str">
        <f>IFERROR(__xludf.DUMMYFUNCTION("REGEXREPLACE(C9600,""-\d+(.*)|--\d+(.*)"","""")"),"AREINES")</f>
        <v>AREINES</v>
      </c>
      <c r="E9600" s="38" t="s">
        <v>188</v>
      </c>
      <c r="F9600" s="38" t="s">
        <v>123</v>
      </c>
      <c r="G9600" s="49" t="str">
        <f t="shared" si="1"/>
        <v>41100</v>
      </c>
      <c r="H9600" s="49">
        <f t="shared" si="2"/>
        <v>41003</v>
      </c>
    </row>
    <row r="9601">
      <c r="A9601" s="48" t="s">
        <v>87</v>
      </c>
      <c r="B9601" s="38">
        <v>22303.0</v>
      </c>
      <c r="C9601" s="38" t="s">
        <v>13489</v>
      </c>
      <c r="D9601" s="38" t="str">
        <f>IFERROR(__xludf.DUMMYFUNCTION("REGEXREPLACE(C9601,""-\d+(.*)|--\d+(.*)"","""")"),"SAINT-JACUT-DU-MENE")</f>
        <v>SAINT-JACUT-DU-MENE</v>
      </c>
      <c r="E9601" s="38" t="s">
        <v>89</v>
      </c>
      <c r="F9601" s="38" t="s">
        <v>90</v>
      </c>
      <c r="G9601" s="49" t="str">
        <f t="shared" si="1"/>
        <v>22330</v>
      </c>
      <c r="H9601" s="49">
        <f t="shared" si="2"/>
        <v>22303</v>
      </c>
    </row>
    <row r="9602">
      <c r="A9602" s="48" t="s">
        <v>13490</v>
      </c>
      <c r="B9602" s="38">
        <v>59615.0</v>
      </c>
      <c r="C9602" s="38" t="s">
        <v>13491</v>
      </c>
      <c r="D9602" s="38" t="str">
        <f>IFERROR(__xludf.DUMMYFUNCTION("REGEXREPLACE(C9602,""-\d+(.*)|--\d+(.*)"","""")"),"VIEUX-BERQUIN")</f>
        <v>VIEUX-BERQUIN</v>
      </c>
      <c r="E9602" s="38" t="s">
        <v>85</v>
      </c>
      <c r="F9602" s="38" t="s">
        <v>86</v>
      </c>
      <c r="G9602" s="49" t="str">
        <f t="shared" si="1"/>
        <v>59232</v>
      </c>
      <c r="H9602" s="49">
        <f t="shared" si="2"/>
        <v>59615</v>
      </c>
    </row>
    <row r="9603">
      <c r="A9603" s="48" t="s">
        <v>6849</v>
      </c>
      <c r="B9603" s="38">
        <v>28380.0</v>
      </c>
      <c r="C9603" s="38" t="s">
        <v>13492</v>
      </c>
      <c r="D9603" s="38" t="str">
        <f>IFERROR(__xludf.DUMMYFUNCTION("REGEXREPLACE(C9603,""-\d+(.*)|--\d+(.*)"","""")"),"SOURS")</f>
        <v>SOURS</v>
      </c>
      <c r="E9603" s="38" t="s">
        <v>300</v>
      </c>
      <c r="F9603" s="38" t="s">
        <v>123</v>
      </c>
      <c r="G9603" s="49" t="str">
        <f t="shared" si="1"/>
        <v>28630</v>
      </c>
      <c r="H9603" s="49">
        <f t="shared" si="2"/>
        <v>28380</v>
      </c>
    </row>
    <row r="9604">
      <c r="A9604" s="48" t="s">
        <v>3093</v>
      </c>
      <c r="B9604" s="38">
        <v>57564.0</v>
      </c>
      <c r="C9604" s="38" t="s">
        <v>13493</v>
      </c>
      <c r="D9604" s="38" t="str">
        <f>IFERROR(__xludf.DUMMYFUNCTION("REGEXREPLACE(C9604,""-\d+(.*)|--\d+(.*)"","""")"),"RECHICOURT-LE-CHATEAU")</f>
        <v>RECHICOURT-LE-CHATEAU</v>
      </c>
      <c r="E9604" s="38" t="s">
        <v>303</v>
      </c>
      <c r="F9604" s="38" t="s">
        <v>195</v>
      </c>
      <c r="G9604" s="49" t="str">
        <f t="shared" si="1"/>
        <v>57810</v>
      </c>
      <c r="H9604" s="49">
        <f t="shared" si="2"/>
        <v>57564</v>
      </c>
    </row>
    <row r="9605">
      <c r="A9605" s="48" t="s">
        <v>2411</v>
      </c>
      <c r="B9605" s="38">
        <v>37210.0</v>
      </c>
      <c r="C9605" s="38" t="s">
        <v>13494</v>
      </c>
      <c r="D9605" s="38" t="str">
        <f>IFERROR(__xludf.DUMMYFUNCTION("REGEXREPLACE(C9605,""-\d+(.*)|--\d+(.*)"","""")"),"SAINT-BENOIT-LA-FORET")</f>
        <v>SAINT-BENOIT-LA-FORET</v>
      </c>
      <c r="E9605" s="38" t="s">
        <v>205</v>
      </c>
      <c r="F9605" s="38" t="s">
        <v>123</v>
      </c>
      <c r="G9605" s="49" t="str">
        <f t="shared" si="1"/>
        <v>37500</v>
      </c>
      <c r="H9605" s="49">
        <f t="shared" si="2"/>
        <v>37210</v>
      </c>
    </row>
    <row r="9606">
      <c r="A9606" s="48" t="s">
        <v>5894</v>
      </c>
      <c r="B9606" s="38">
        <v>69049.0</v>
      </c>
      <c r="C9606" s="38" t="s">
        <v>13495</v>
      </c>
      <c r="D9606" s="38" t="str">
        <f>IFERROR(__xludf.DUMMYFUNCTION("REGEXREPLACE(C9606,""-\d+(.*)|--\d+(.*)"","""")"),"CHASSELAY")</f>
        <v>CHASSELAY</v>
      </c>
      <c r="E9606" s="38" t="s">
        <v>350</v>
      </c>
      <c r="F9606" s="38" t="s">
        <v>102</v>
      </c>
      <c r="G9606" s="49" t="str">
        <f t="shared" si="1"/>
        <v>69380</v>
      </c>
      <c r="H9606" s="49">
        <f t="shared" si="2"/>
        <v>69049</v>
      </c>
    </row>
    <row r="9607">
      <c r="A9607" s="48" t="s">
        <v>2837</v>
      </c>
      <c r="B9607" s="38">
        <v>17341.0</v>
      </c>
      <c r="C9607" s="38" t="s">
        <v>13496</v>
      </c>
      <c r="D9607" s="38" t="str">
        <f>IFERROR(__xludf.DUMMYFUNCTION("REGEXREPLACE(C9607,""-\d+(.*)|--\d+(.*)"","""")"),"SAINT-GERMAIN-DE-VIBRAC")</f>
        <v>SAINT-GERMAIN-DE-VIBRAC</v>
      </c>
      <c r="E9607" s="38" t="s">
        <v>488</v>
      </c>
      <c r="F9607" s="38" t="s">
        <v>338</v>
      </c>
      <c r="G9607" s="49" t="str">
        <f t="shared" si="1"/>
        <v>17500</v>
      </c>
      <c r="H9607" s="49">
        <f t="shared" si="2"/>
        <v>17341</v>
      </c>
    </row>
    <row r="9608">
      <c r="A9608" s="48" t="s">
        <v>8711</v>
      </c>
      <c r="B9608" s="38">
        <v>33303.0</v>
      </c>
      <c r="C9608" s="38" t="s">
        <v>13497</v>
      </c>
      <c r="D9608" s="38" t="str">
        <f>IFERROR(__xludf.DUMMYFUNCTION("REGEXREPLACE(C9608,""-\d+(.*)|--\d+(.*)"","""")"),"NERIGEAN")</f>
        <v>NERIGEAN</v>
      </c>
      <c r="E9608" s="38" t="s">
        <v>462</v>
      </c>
      <c r="F9608" s="38" t="s">
        <v>252</v>
      </c>
      <c r="G9608" s="49" t="str">
        <f t="shared" si="1"/>
        <v>33750</v>
      </c>
      <c r="H9608" s="49">
        <f t="shared" si="2"/>
        <v>33303</v>
      </c>
    </row>
    <row r="9609">
      <c r="A9609" s="48" t="s">
        <v>3662</v>
      </c>
      <c r="B9609" s="38">
        <v>80356.0</v>
      </c>
      <c r="C9609" s="38" t="s">
        <v>13498</v>
      </c>
      <c r="D9609" s="38" t="str">
        <f>IFERROR(__xludf.DUMMYFUNCTION("REGEXREPLACE(C9609,""-\d+(.*)|--\d+(.*)"","""")"),"FRESNOY-ANDAINVILLE")</f>
        <v>FRESNOY-ANDAINVILLE</v>
      </c>
      <c r="E9609" s="38" t="s">
        <v>224</v>
      </c>
      <c r="F9609" s="38" t="s">
        <v>113</v>
      </c>
      <c r="G9609" s="49" t="str">
        <f t="shared" si="1"/>
        <v>80140</v>
      </c>
      <c r="H9609" s="49">
        <f t="shared" si="2"/>
        <v>80356</v>
      </c>
    </row>
    <row r="9610">
      <c r="A9610" s="48" t="s">
        <v>4907</v>
      </c>
      <c r="B9610" s="38">
        <v>73196.0</v>
      </c>
      <c r="C9610" s="38" t="s">
        <v>13499</v>
      </c>
      <c r="D9610" s="38" t="str">
        <f>IFERROR(__xludf.DUMMYFUNCTION("REGEXREPLACE(C9610,""-\d+(.*)|--\d+(.*)"","""")"),"PALLUD")</f>
        <v>PALLUD</v>
      </c>
      <c r="E9610" s="38" t="s">
        <v>306</v>
      </c>
      <c r="F9610" s="38" t="s">
        <v>102</v>
      </c>
      <c r="G9610" s="49" t="str">
        <f t="shared" si="1"/>
        <v>73200</v>
      </c>
      <c r="H9610" s="49">
        <f t="shared" si="2"/>
        <v>73196</v>
      </c>
    </row>
    <row r="9611">
      <c r="A9611" s="48" t="s">
        <v>1616</v>
      </c>
      <c r="B9611" s="38">
        <v>10135.0</v>
      </c>
      <c r="C9611" s="38" t="s">
        <v>13500</v>
      </c>
      <c r="D9611" s="38" t="str">
        <f>IFERROR(__xludf.DUMMYFUNCTION("REGEXREPLACE(C9611,""-\d+(.*)|--\d+(.*)"","""")"),"ECLANCE")</f>
        <v>ECLANCE</v>
      </c>
      <c r="E9611" s="38" t="s">
        <v>147</v>
      </c>
      <c r="F9611" s="38" t="s">
        <v>130</v>
      </c>
      <c r="G9611" s="49" t="str">
        <f t="shared" si="1"/>
        <v>10200</v>
      </c>
      <c r="H9611" s="49">
        <f t="shared" si="2"/>
        <v>10135</v>
      </c>
    </row>
    <row r="9612">
      <c r="A9612" s="48" t="s">
        <v>13501</v>
      </c>
      <c r="B9612" s="38">
        <v>31145.0</v>
      </c>
      <c r="C9612" s="38" t="s">
        <v>13502</v>
      </c>
      <c r="D9612" s="38" t="str">
        <f>IFERROR(__xludf.DUMMYFUNCTION("REGEXREPLACE(C9612,""-\d+(.*)|--\d+(.*)"","""")"),"CINTEGABELLE")</f>
        <v>CINTEGABELLE</v>
      </c>
      <c r="E9612" s="38" t="s">
        <v>93</v>
      </c>
      <c r="F9612" s="38" t="s">
        <v>94</v>
      </c>
      <c r="G9612" s="49" t="str">
        <f t="shared" si="1"/>
        <v>31550</v>
      </c>
      <c r="H9612" s="49">
        <f t="shared" si="2"/>
        <v>31145</v>
      </c>
    </row>
    <row r="9613">
      <c r="A9613" s="48" t="s">
        <v>13503</v>
      </c>
      <c r="B9613" s="38">
        <v>65006.0</v>
      </c>
      <c r="C9613" s="38" t="s">
        <v>13504</v>
      </c>
      <c r="D9613" s="38" t="str">
        <f>IFERROR(__xludf.DUMMYFUNCTION("REGEXREPLACE(C9613,""-\d+(.*)|--\d+(.*)"","""")"),"ANCIZAN")</f>
        <v>ANCIZAN</v>
      </c>
      <c r="E9613" s="38" t="s">
        <v>200</v>
      </c>
      <c r="F9613" s="38" t="s">
        <v>94</v>
      </c>
      <c r="G9613" s="49" t="str">
        <f t="shared" si="1"/>
        <v>65440</v>
      </c>
      <c r="H9613" s="49">
        <f t="shared" si="2"/>
        <v>65006</v>
      </c>
    </row>
    <row r="9614">
      <c r="A9614" s="48" t="s">
        <v>1010</v>
      </c>
      <c r="B9614" s="38">
        <v>27023.0</v>
      </c>
      <c r="C9614" s="38" t="s">
        <v>13505</v>
      </c>
      <c r="D9614" s="38" t="str">
        <f>IFERROR(__xludf.DUMMYFUNCTION("REGEXREPLACE(C9614,""-\d+(.*)|--\d+(.*)"","""")"),"AULNAY-SUR-ITON")</f>
        <v>AULNAY-SUR-ITON</v>
      </c>
      <c r="E9614" s="38" t="s">
        <v>241</v>
      </c>
      <c r="F9614" s="38" t="s">
        <v>134</v>
      </c>
      <c r="G9614" s="49" t="str">
        <f t="shared" si="1"/>
        <v>27180</v>
      </c>
      <c r="H9614" s="49">
        <f t="shared" si="2"/>
        <v>27023</v>
      </c>
    </row>
    <row r="9615">
      <c r="A9615" s="48" t="s">
        <v>3621</v>
      </c>
      <c r="B9615" s="38">
        <v>52375.0</v>
      </c>
      <c r="C9615" s="38" t="s">
        <v>13506</v>
      </c>
      <c r="D9615" s="38" t="str">
        <f>IFERROR(__xludf.DUMMYFUNCTION("REGEXREPLACE(C9615,""-\d+(.*)|--\d+(.*)"","""")"),"PALAISEUL")</f>
        <v>PALAISEUL</v>
      </c>
      <c r="E9615" s="38" t="s">
        <v>234</v>
      </c>
      <c r="F9615" s="38" t="s">
        <v>130</v>
      </c>
      <c r="G9615" s="49" t="str">
        <f t="shared" si="1"/>
        <v>52600</v>
      </c>
      <c r="H9615" s="49">
        <f t="shared" si="2"/>
        <v>52375</v>
      </c>
    </row>
    <row r="9616">
      <c r="A9616" s="48" t="s">
        <v>3515</v>
      </c>
      <c r="B9616" s="38">
        <v>26139.0</v>
      </c>
      <c r="C9616" s="38" t="s">
        <v>13507</v>
      </c>
      <c r="D9616" s="38" t="str">
        <f>IFERROR(__xludf.DUMMYFUNCTION("REGEXREPLACE(C9616,""-\d+(.*)|--\d+(.*)"","""")"),"GENISSIEUX")</f>
        <v>GENISSIEUX</v>
      </c>
      <c r="E9616" s="38" t="s">
        <v>126</v>
      </c>
      <c r="F9616" s="38" t="s">
        <v>102</v>
      </c>
      <c r="G9616" s="49" t="str">
        <f t="shared" si="1"/>
        <v>26750</v>
      </c>
      <c r="H9616" s="49">
        <f t="shared" si="2"/>
        <v>26139</v>
      </c>
    </row>
    <row r="9617">
      <c r="A9617" s="48" t="s">
        <v>8032</v>
      </c>
      <c r="B9617" s="38">
        <v>46115.0</v>
      </c>
      <c r="C9617" s="38" t="s">
        <v>13508</v>
      </c>
      <c r="D9617" s="38" t="str">
        <f>IFERROR(__xludf.DUMMYFUNCTION("REGEXREPLACE(C9617,""-\d+(.*)|--\d+(.*)"","""")"),"FRAYSSINHES")</f>
        <v>FRAYSSINHES</v>
      </c>
      <c r="E9617" s="38" t="s">
        <v>185</v>
      </c>
      <c r="F9617" s="38" t="s">
        <v>94</v>
      </c>
      <c r="G9617" s="49" t="str">
        <f t="shared" si="1"/>
        <v>46400</v>
      </c>
      <c r="H9617" s="49">
        <f t="shared" si="2"/>
        <v>46115</v>
      </c>
    </row>
    <row r="9618">
      <c r="A9618" s="48" t="s">
        <v>942</v>
      </c>
      <c r="B9618" s="38">
        <v>2536.0</v>
      </c>
      <c r="C9618" s="38" t="s">
        <v>13509</v>
      </c>
      <c r="D9618" s="38" t="str">
        <f>IFERROR(__xludf.DUMMYFUNCTION("REGEXREPLACE(C9618,""-\d+(.*)|--\d+(.*)"","""")"),"NAMPTEUIL-SOUS-MURET")</f>
        <v>NAMPTEUIL-SOUS-MURET</v>
      </c>
      <c r="E9618" s="38" t="s">
        <v>191</v>
      </c>
      <c r="F9618" s="38" t="s">
        <v>113</v>
      </c>
      <c r="G9618" s="49" t="str">
        <f t="shared" si="1"/>
        <v>02200</v>
      </c>
      <c r="H9618" s="49" t="str">
        <f t="shared" si="2"/>
        <v>02536</v>
      </c>
    </row>
    <row r="9619">
      <c r="A9619" s="48" t="s">
        <v>9737</v>
      </c>
      <c r="B9619" s="38">
        <v>89119.0</v>
      </c>
      <c r="C9619" s="38" t="s">
        <v>13510</v>
      </c>
      <c r="D9619" s="38" t="str">
        <f>IFERROR(__xludf.DUMMYFUNCTION("REGEXREPLACE(C9619,""-\d+(.*)|--\d+(.*)"","""")"),"COULANGES-SUR-YONNE")</f>
        <v>COULANGES-SUR-YONNE</v>
      </c>
      <c r="E9619" s="38" t="s">
        <v>275</v>
      </c>
      <c r="F9619" s="38" t="s">
        <v>106</v>
      </c>
      <c r="G9619" s="49" t="str">
        <f t="shared" si="1"/>
        <v>89480</v>
      </c>
      <c r="H9619" s="49">
        <f t="shared" si="2"/>
        <v>89119</v>
      </c>
    </row>
    <row r="9620">
      <c r="A9620" s="48" t="s">
        <v>2848</v>
      </c>
      <c r="B9620" s="38">
        <v>51639.0</v>
      </c>
      <c r="C9620" s="38" t="s">
        <v>13511</v>
      </c>
      <c r="D9620" s="38" t="str">
        <f>IFERROR(__xludf.DUMMYFUNCTION("REGEXREPLACE(C9620,""-\d+(.*)|--\d+(.*)"","""")"),"LA VILLE-SOUS-ORBAIS")</f>
        <v>LA VILLE-SOUS-ORBAIS</v>
      </c>
      <c r="E9620" s="38" t="s">
        <v>129</v>
      </c>
      <c r="F9620" s="38" t="s">
        <v>130</v>
      </c>
      <c r="G9620" s="49" t="str">
        <f t="shared" si="1"/>
        <v>51270</v>
      </c>
      <c r="H9620" s="49">
        <f t="shared" si="2"/>
        <v>51639</v>
      </c>
    </row>
    <row r="9621">
      <c r="A9621" s="48" t="s">
        <v>13512</v>
      </c>
      <c r="B9621" s="38">
        <v>72041.0</v>
      </c>
      <c r="C9621" s="38" t="s">
        <v>13513</v>
      </c>
      <c r="D9621" s="38" t="str">
        <f>IFERROR(__xludf.DUMMYFUNCTION("REGEXREPLACE(C9621,""-\d+(.*)|--\d+(.*)"","""")"),"BOUER")</f>
        <v>BOUER</v>
      </c>
      <c r="E9621" s="38" t="s">
        <v>521</v>
      </c>
      <c r="F9621" s="38" t="s">
        <v>180</v>
      </c>
      <c r="G9621" s="49" t="str">
        <f t="shared" si="1"/>
        <v>72390</v>
      </c>
      <c r="H9621" s="49">
        <f t="shared" si="2"/>
        <v>72041</v>
      </c>
    </row>
    <row r="9622">
      <c r="A9622" s="48" t="s">
        <v>1276</v>
      </c>
      <c r="B9622" s="38">
        <v>64392.0</v>
      </c>
      <c r="C9622" s="38" t="s">
        <v>13514</v>
      </c>
      <c r="D9622" s="38" t="str">
        <f>IFERROR(__xludf.DUMMYFUNCTION("REGEXREPLACE(C9622,""-\d+(.*)|--\d+(.*)"","""")"),"MONCLA")</f>
        <v>MONCLA</v>
      </c>
      <c r="E9622" s="38" t="s">
        <v>268</v>
      </c>
      <c r="F9622" s="38" t="s">
        <v>252</v>
      </c>
      <c r="G9622" s="49" t="str">
        <f t="shared" si="1"/>
        <v>64330</v>
      </c>
      <c r="H9622" s="49">
        <f t="shared" si="2"/>
        <v>64392</v>
      </c>
    </row>
    <row r="9623">
      <c r="A9623" s="48" t="s">
        <v>5810</v>
      </c>
      <c r="B9623" s="38">
        <v>54268.0</v>
      </c>
      <c r="C9623" s="38" t="s">
        <v>13515</v>
      </c>
      <c r="D9623" s="38" t="str">
        <f>IFERROR(__xludf.DUMMYFUNCTION("REGEXREPLACE(C9623,""-\d+(.*)|--\d+(.*)"","""")"),"HOUSSEVILLE")</f>
        <v>HOUSSEVILLE</v>
      </c>
      <c r="E9623" s="38" t="s">
        <v>548</v>
      </c>
      <c r="F9623" s="38" t="s">
        <v>195</v>
      </c>
      <c r="G9623" s="49" t="str">
        <f t="shared" si="1"/>
        <v>54930</v>
      </c>
      <c r="H9623" s="49">
        <f t="shared" si="2"/>
        <v>54268</v>
      </c>
    </row>
    <row r="9624">
      <c r="A9624" s="48" t="s">
        <v>3810</v>
      </c>
      <c r="B9624" s="38">
        <v>77190.0</v>
      </c>
      <c r="C9624" s="38" t="s">
        <v>13516</v>
      </c>
      <c r="D9624" s="38" t="str">
        <f>IFERROR(__xludf.DUMMYFUNCTION("REGEXREPLACE(C9624,""-\d+(.*)|--\d+(.*)"","""")"),"FONTAINS")</f>
        <v>FONTAINS</v>
      </c>
      <c r="E9624" s="38" t="s">
        <v>244</v>
      </c>
      <c r="F9624" s="38" t="s">
        <v>245</v>
      </c>
      <c r="G9624" s="49" t="str">
        <f t="shared" si="1"/>
        <v>77370</v>
      </c>
      <c r="H9624" s="49">
        <f t="shared" si="2"/>
        <v>77190</v>
      </c>
    </row>
    <row r="9625">
      <c r="A9625" s="48" t="s">
        <v>9597</v>
      </c>
      <c r="B9625" s="38">
        <v>29003.0</v>
      </c>
      <c r="C9625" s="38" t="s">
        <v>13517</v>
      </c>
      <c r="D9625" s="38" t="str">
        <f>IFERROR(__xludf.DUMMYFUNCTION("REGEXREPLACE(C9625,""-\d+(.*)|--\d+(.*)"","""")"),"AUDIERNE")</f>
        <v>AUDIERNE</v>
      </c>
      <c r="E9625" s="38" t="s">
        <v>176</v>
      </c>
      <c r="F9625" s="38" t="s">
        <v>90</v>
      </c>
      <c r="G9625" s="49" t="str">
        <f t="shared" si="1"/>
        <v>29770</v>
      </c>
      <c r="H9625" s="49">
        <f t="shared" si="2"/>
        <v>29003</v>
      </c>
    </row>
    <row r="9626">
      <c r="A9626" s="48" t="s">
        <v>5545</v>
      </c>
      <c r="B9626" s="38">
        <v>22173.0</v>
      </c>
      <c r="C9626" s="38" t="s">
        <v>13518</v>
      </c>
      <c r="D9626" s="38" t="str">
        <f>IFERROR(__xludf.DUMMYFUNCTION("REGEXREPLACE(C9626,""-\d+(.*)|--\d+(.*)"","""")"),"PLANGUENOUAL")</f>
        <v>PLANGUENOUAL</v>
      </c>
      <c r="E9626" s="38" t="s">
        <v>89</v>
      </c>
      <c r="F9626" s="38" t="s">
        <v>90</v>
      </c>
      <c r="G9626" s="49" t="str">
        <f t="shared" si="1"/>
        <v>22400</v>
      </c>
      <c r="H9626" s="49">
        <f t="shared" si="2"/>
        <v>22173</v>
      </c>
    </row>
    <row r="9627">
      <c r="A9627" s="48" t="s">
        <v>3655</v>
      </c>
      <c r="B9627" s="38">
        <v>51518.0</v>
      </c>
      <c r="C9627" s="38" t="s">
        <v>13519</v>
      </c>
      <c r="D9627" s="38" t="str">
        <f>IFERROR(__xludf.DUMMYFUNCTION("REGEXREPLACE(C9627,""-\d+(.*)|--\d+(.*)"","""")"),"SAINT-THIERRY")</f>
        <v>SAINT-THIERRY</v>
      </c>
      <c r="E9627" s="38" t="s">
        <v>129</v>
      </c>
      <c r="F9627" s="38" t="s">
        <v>130</v>
      </c>
      <c r="G9627" s="49" t="str">
        <f t="shared" si="1"/>
        <v>51220</v>
      </c>
      <c r="H9627" s="49">
        <f t="shared" si="2"/>
        <v>51518</v>
      </c>
    </row>
    <row r="9628">
      <c r="A9628" s="48" t="s">
        <v>1302</v>
      </c>
      <c r="B9628" s="38">
        <v>38224.0</v>
      </c>
      <c r="C9628" s="38" t="s">
        <v>13520</v>
      </c>
      <c r="D9628" s="38" t="str">
        <f>IFERROR(__xludf.DUMMYFUNCTION("REGEXREPLACE(C9628,""-\d+(.*)|--\d+(.*)"","""")"),"MAYRES-SAVEL")</f>
        <v>MAYRES-SAVEL</v>
      </c>
      <c r="E9628" s="38" t="s">
        <v>101</v>
      </c>
      <c r="F9628" s="38" t="s">
        <v>102</v>
      </c>
      <c r="G9628" s="49" t="str">
        <f t="shared" si="1"/>
        <v>38350</v>
      </c>
      <c r="H9628" s="49">
        <f t="shared" si="2"/>
        <v>38224</v>
      </c>
    </row>
    <row r="9629">
      <c r="A9629" s="48" t="s">
        <v>9688</v>
      </c>
      <c r="B9629" s="38">
        <v>23232.0</v>
      </c>
      <c r="C9629" s="38" t="s">
        <v>13521</v>
      </c>
      <c r="D9629" s="38" t="str">
        <f>IFERROR(__xludf.DUMMYFUNCTION("REGEXREPLACE(C9629,""-\d+(.*)|--\d+(.*)"","""")"),"SAINT-PIERRE-BELLEVUE")</f>
        <v>SAINT-PIERRE-BELLEVUE</v>
      </c>
      <c r="E9629" s="38" t="s">
        <v>97</v>
      </c>
      <c r="F9629" s="38" t="s">
        <v>98</v>
      </c>
      <c r="G9629" s="49" t="str">
        <f t="shared" si="1"/>
        <v>23460</v>
      </c>
      <c r="H9629" s="49">
        <f t="shared" si="2"/>
        <v>23232</v>
      </c>
    </row>
    <row r="9630">
      <c r="A9630" s="48" t="s">
        <v>11770</v>
      </c>
      <c r="B9630" s="38">
        <v>74240.0</v>
      </c>
      <c r="C9630" s="38" t="s">
        <v>13522</v>
      </c>
      <c r="D9630" s="38" t="str">
        <f>IFERROR(__xludf.DUMMYFUNCTION("REGEXREPLACE(C9630,""-\d+(.*)|--\d+(.*)"","""")"),"SAINT-JEAN-DE-THOLOME")</f>
        <v>SAINT-JEAN-DE-THOLOME</v>
      </c>
      <c r="E9630" s="38" t="s">
        <v>319</v>
      </c>
      <c r="F9630" s="38" t="s">
        <v>102</v>
      </c>
      <c r="G9630" s="49" t="str">
        <f t="shared" si="1"/>
        <v>74250</v>
      </c>
      <c r="H9630" s="49">
        <f t="shared" si="2"/>
        <v>74240</v>
      </c>
    </row>
    <row r="9631">
      <c r="A9631" s="48" t="s">
        <v>1040</v>
      </c>
      <c r="B9631" s="38">
        <v>62600.0</v>
      </c>
      <c r="C9631" s="38" t="s">
        <v>13523</v>
      </c>
      <c r="D9631" s="38" t="str">
        <f>IFERROR(__xludf.DUMMYFUNCTION("REGEXREPLACE(C9631,""-\d+(.*)|--\d+(.*)"","""")"),"NEDON")</f>
        <v>NEDON</v>
      </c>
      <c r="E9631" s="38" t="s">
        <v>109</v>
      </c>
      <c r="F9631" s="38" t="s">
        <v>86</v>
      </c>
      <c r="G9631" s="49" t="str">
        <f t="shared" si="1"/>
        <v>62550</v>
      </c>
      <c r="H9631" s="49">
        <f t="shared" si="2"/>
        <v>62600</v>
      </c>
    </row>
    <row r="9632">
      <c r="A9632" s="48" t="s">
        <v>148</v>
      </c>
      <c r="B9632" s="38">
        <v>68245.0</v>
      </c>
      <c r="C9632" s="38" t="s">
        <v>13524</v>
      </c>
      <c r="D9632" s="38" t="str">
        <f>IFERROR(__xludf.DUMMYFUNCTION("REGEXREPLACE(C9632,""-\d+(.*)|--\d+(.*)"","""")"),"OBERMORSCHWILLER")</f>
        <v>OBERMORSCHWILLER</v>
      </c>
      <c r="E9632" s="38" t="s">
        <v>150</v>
      </c>
      <c r="F9632" s="38" t="s">
        <v>151</v>
      </c>
      <c r="G9632" s="49" t="str">
        <f t="shared" si="1"/>
        <v>68130</v>
      </c>
      <c r="H9632" s="49">
        <f t="shared" si="2"/>
        <v>68245</v>
      </c>
    </row>
    <row r="9633">
      <c r="A9633" s="48" t="s">
        <v>8441</v>
      </c>
      <c r="B9633" s="38">
        <v>30131.0</v>
      </c>
      <c r="C9633" s="38" t="s">
        <v>13525</v>
      </c>
      <c r="D9633" s="38" t="str">
        <f>IFERROR(__xludf.DUMMYFUNCTION("REGEXREPLACE(C9633,""-\d+(.*)|--\d+(.*)"","""")"),"GOUDARGUES")</f>
        <v>GOUDARGUES</v>
      </c>
      <c r="E9633" s="38" t="s">
        <v>526</v>
      </c>
      <c r="F9633" s="38" t="s">
        <v>119</v>
      </c>
      <c r="G9633" s="49" t="str">
        <f t="shared" si="1"/>
        <v>30630</v>
      </c>
      <c r="H9633" s="49">
        <f t="shared" si="2"/>
        <v>30131</v>
      </c>
    </row>
    <row r="9634">
      <c r="A9634" s="48" t="s">
        <v>7140</v>
      </c>
      <c r="B9634" s="38">
        <v>3149.0</v>
      </c>
      <c r="C9634" s="38" t="s">
        <v>13526</v>
      </c>
      <c r="D9634" s="38" t="str">
        <f>IFERROR(__xludf.DUMMYFUNCTION("REGEXREPLACE(C9634,""-\d+(.*)|--\d+(.*)"","""")"),"LOUCHY-MONTFAND")</f>
        <v>LOUCHY-MONTFAND</v>
      </c>
      <c r="E9634" s="38" t="s">
        <v>160</v>
      </c>
      <c r="F9634" s="38" t="s">
        <v>161</v>
      </c>
      <c r="G9634" s="49" t="str">
        <f t="shared" si="1"/>
        <v>03500</v>
      </c>
      <c r="H9634" s="49" t="str">
        <f t="shared" si="2"/>
        <v>03149</v>
      </c>
    </row>
    <row r="9635">
      <c r="A9635" s="48" t="s">
        <v>4754</v>
      </c>
      <c r="B9635" s="38">
        <v>12056.0</v>
      </c>
      <c r="C9635" s="38" t="s">
        <v>13527</v>
      </c>
      <c r="D9635" s="38" t="str">
        <f>IFERROR(__xludf.DUMMYFUNCTION("REGEXREPLACE(C9635,""-\d+(.*)|--\d+(.*)"","""")"),"BARAQUEVILLE")</f>
        <v>BARAQUEVILLE</v>
      </c>
      <c r="E9635" s="38" t="s">
        <v>465</v>
      </c>
      <c r="F9635" s="38" t="s">
        <v>94</v>
      </c>
      <c r="G9635" s="49" t="str">
        <f t="shared" si="1"/>
        <v>12160</v>
      </c>
      <c r="H9635" s="49">
        <f t="shared" si="2"/>
        <v>12056</v>
      </c>
    </row>
    <row r="9636">
      <c r="A9636" s="48" t="s">
        <v>4092</v>
      </c>
      <c r="B9636" s="38">
        <v>17336.0</v>
      </c>
      <c r="C9636" s="38" t="s">
        <v>13528</v>
      </c>
      <c r="D9636" s="38" t="str">
        <f>IFERROR(__xludf.DUMMYFUNCTION("REGEXREPLACE(C9636,""-\d+(.*)|--\d+(.*)"","""")"),"SAINT-GEORGES-DES-COTEAUX")</f>
        <v>SAINT-GEORGES-DES-COTEAUX</v>
      </c>
      <c r="E9636" s="38" t="s">
        <v>488</v>
      </c>
      <c r="F9636" s="38" t="s">
        <v>338</v>
      </c>
      <c r="G9636" s="49" t="str">
        <f t="shared" si="1"/>
        <v>17810</v>
      </c>
      <c r="H9636" s="49">
        <f t="shared" si="2"/>
        <v>17336</v>
      </c>
    </row>
    <row r="9637">
      <c r="A9637" s="48" t="s">
        <v>7736</v>
      </c>
      <c r="B9637" s="38">
        <v>11043.0</v>
      </c>
      <c r="C9637" s="38" t="s">
        <v>13529</v>
      </c>
      <c r="D9637" s="38" t="str">
        <f>IFERROR(__xludf.DUMMYFUNCTION("REGEXREPLACE(C9637,""-\d+(.*)|--\d+(.*)"","""")"),"BOUILHONNAC")</f>
        <v>BOUILHONNAC</v>
      </c>
      <c r="E9637" s="38" t="s">
        <v>278</v>
      </c>
      <c r="F9637" s="38" t="s">
        <v>119</v>
      </c>
      <c r="G9637" s="49" t="str">
        <f t="shared" si="1"/>
        <v>11800</v>
      </c>
      <c r="H9637" s="49">
        <f t="shared" si="2"/>
        <v>11043</v>
      </c>
    </row>
    <row r="9638">
      <c r="A9638" s="48" t="s">
        <v>2582</v>
      </c>
      <c r="B9638" s="38">
        <v>14158.0</v>
      </c>
      <c r="C9638" s="38" t="s">
        <v>13530</v>
      </c>
      <c r="D9638" s="38" t="str">
        <f>IFERROR(__xludf.DUMMYFUNCTION("REGEXREPLACE(C9638,""-\d+(.*)|--\d+(.*)"","""")"),"CHICHEBOVILLE")</f>
        <v>CHICHEBOVILLE</v>
      </c>
      <c r="E9638" s="38" t="s">
        <v>137</v>
      </c>
      <c r="F9638" s="38" t="s">
        <v>138</v>
      </c>
      <c r="G9638" s="49" t="str">
        <f t="shared" si="1"/>
        <v>14370</v>
      </c>
      <c r="H9638" s="49">
        <f t="shared" si="2"/>
        <v>14158</v>
      </c>
    </row>
    <row r="9639">
      <c r="A9639" s="48" t="s">
        <v>754</v>
      </c>
      <c r="B9639" s="38">
        <v>91495.0</v>
      </c>
      <c r="C9639" s="38" t="s">
        <v>13531</v>
      </c>
      <c r="D9639" s="38" t="str">
        <f>IFERROR(__xludf.DUMMYFUNCTION("REGEXREPLACE(C9639,""-\d+(.*)|--\d+(.*)"","""")"),"PLESSIS-SAINT-BENOIST")</f>
        <v>PLESSIS-SAINT-BENOIST</v>
      </c>
      <c r="E9639" s="38" t="s">
        <v>756</v>
      </c>
      <c r="F9639" s="38" t="s">
        <v>245</v>
      </c>
      <c r="G9639" s="49" t="str">
        <f t="shared" si="1"/>
        <v>91410</v>
      </c>
      <c r="H9639" s="49">
        <f t="shared" si="2"/>
        <v>91495</v>
      </c>
    </row>
    <row r="9640">
      <c r="A9640" s="48" t="s">
        <v>2077</v>
      </c>
      <c r="B9640" s="38">
        <v>8385.0</v>
      </c>
      <c r="C9640" s="38" t="s">
        <v>13532</v>
      </c>
      <c r="D9640" s="38" t="str">
        <f>IFERROR(__xludf.DUMMYFUNCTION("REGEXREPLACE(C9640,""-\d+(.*)|--\d+(.*)"","""")"),"SAINT-LAURENT")</f>
        <v>SAINT-LAURENT</v>
      </c>
      <c r="E9640" s="38" t="s">
        <v>327</v>
      </c>
      <c r="F9640" s="38" t="s">
        <v>130</v>
      </c>
      <c r="G9640" s="49" t="str">
        <f t="shared" si="1"/>
        <v>08090</v>
      </c>
      <c r="H9640" s="49" t="str">
        <f t="shared" si="2"/>
        <v>08385</v>
      </c>
    </row>
    <row r="9641">
      <c r="A9641" s="48" t="s">
        <v>781</v>
      </c>
      <c r="B9641" s="38">
        <v>65351.0</v>
      </c>
      <c r="C9641" s="38" t="s">
        <v>13533</v>
      </c>
      <c r="D9641" s="38" t="str">
        <f>IFERROR(__xludf.DUMMYFUNCTION("REGEXREPLACE(C9641,""-\d+(.*)|--\d+(.*)"","""")"),"OUSTE")</f>
        <v>OUSTE</v>
      </c>
      <c r="E9641" s="38" t="s">
        <v>200</v>
      </c>
      <c r="F9641" s="38" t="s">
        <v>94</v>
      </c>
      <c r="G9641" s="49" t="str">
        <f t="shared" si="1"/>
        <v>65100</v>
      </c>
      <c r="H9641" s="49">
        <f t="shared" si="2"/>
        <v>65351</v>
      </c>
    </row>
    <row r="9642">
      <c r="A9642" s="48" t="s">
        <v>2960</v>
      </c>
      <c r="B9642" s="38">
        <v>86205.0</v>
      </c>
      <c r="C9642" s="38" t="s">
        <v>13534</v>
      </c>
      <c r="D9642" s="38" t="str">
        <f>IFERROR(__xludf.DUMMYFUNCTION("REGEXREPLACE(C9642,""-\d+(.*)|--\d+(.*)"","""")"),"RANTON")</f>
        <v>RANTON</v>
      </c>
      <c r="E9642" s="38" t="s">
        <v>529</v>
      </c>
      <c r="F9642" s="38" t="s">
        <v>338</v>
      </c>
      <c r="G9642" s="49" t="str">
        <f t="shared" si="1"/>
        <v>86200</v>
      </c>
      <c r="H9642" s="49">
        <f t="shared" si="2"/>
        <v>86205</v>
      </c>
    </row>
    <row r="9643">
      <c r="A9643" s="48" t="s">
        <v>12692</v>
      </c>
      <c r="B9643" s="38">
        <v>47026.0</v>
      </c>
      <c r="C9643" s="38" t="s">
        <v>13535</v>
      </c>
      <c r="D9643" s="38" t="str">
        <f>IFERROR(__xludf.DUMMYFUNCTION("REGEXREPLACE(C9643,""-\d+(.*)|--\d+(.*)"","""")"),"BEAUZIAC")</f>
        <v>BEAUZIAC</v>
      </c>
      <c r="E9643" s="38" t="s">
        <v>251</v>
      </c>
      <c r="F9643" s="38" t="s">
        <v>252</v>
      </c>
      <c r="G9643" s="49" t="str">
        <f t="shared" si="1"/>
        <v>47700</v>
      </c>
      <c r="H9643" s="49">
        <f t="shared" si="2"/>
        <v>47026</v>
      </c>
    </row>
    <row r="9644">
      <c r="A9644" s="48" t="s">
        <v>13536</v>
      </c>
      <c r="B9644" s="38">
        <v>57597.0</v>
      </c>
      <c r="C9644" s="38" t="s">
        <v>13537</v>
      </c>
      <c r="D9644" s="38" t="str">
        <f>IFERROR(__xludf.DUMMYFUNCTION("REGEXREPLACE(C9644,""-\d+(.*)|--\d+(.*)"","""")"),"ROSSELANGE")</f>
        <v>ROSSELANGE</v>
      </c>
      <c r="E9644" s="38" t="s">
        <v>303</v>
      </c>
      <c r="F9644" s="38" t="s">
        <v>195</v>
      </c>
      <c r="G9644" s="49" t="str">
        <f t="shared" si="1"/>
        <v>57780</v>
      </c>
      <c r="H9644" s="49">
        <f t="shared" si="2"/>
        <v>57597</v>
      </c>
    </row>
    <row r="9645">
      <c r="A9645" s="48" t="s">
        <v>127</v>
      </c>
      <c r="B9645" s="38">
        <v>51206.0</v>
      </c>
      <c r="C9645" s="38" t="s">
        <v>13538</v>
      </c>
      <c r="D9645" s="38" t="str">
        <f>IFERROR(__xludf.DUMMYFUNCTION("REGEXREPLACE(C9645,""-\d+(.*)|--\d+(.*)"","""")"),"DAMPIERRE-LE-CHATEAU")</f>
        <v>DAMPIERRE-LE-CHATEAU</v>
      </c>
      <c r="E9645" s="38" t="s">
        <v>129</v>
      </c>
      <c r="F9645" s="38" t="s">
        <v>130</v>
      </c>
      <c r="G9645" s="49" t="str">
        <f t="shared" si="1"/>
        <v>51330</v>
      </c>
      <c r="H9645" s="49">
        <f t="shared" si="2"/>
        <v>51206</v>
      </c>
    </row>
    <row r="9646">
      <c r="A9646" s="48" t="s">
        <v>13539</v>
      </c>
      <c r="B9646" s="38">
        <v>77374.0</v>
      </c>
      <c r="C9646" s="38" t="s">
        <v>13540</v>
      </c>
      <c r="D9646" s="38" t="str">
        <f>IFERROR(__xludf.DUMMYFUNCTION("REGEXREPLACE(C9646,""-\d+(.*)|--\d+(.*)"","""")"),"PONTCARRE")</f>
        <v>PONTCARRE</v>
      </c>
      <c r="E9646" s="38" t="s">
        <v>244</v>
      </c>
      <c r="F9646" s="38" t="s">
        <v>245</v>
      </c>
      <c r="G9646" s="49" t="str">
        <f t="shared" si="1"/>
        <v>77135</v>
      </c>
      <c r="H9646" s="49">
        <f t="shared" si="2"/>
        <v>77374</v>
      </c>
    </row>
    <row r="9647">
      <c r="A9647" s="48" t="s">
        <v>12658</v>
      </c>
      <c r="B9647" s="38">
        <v>32133.0</v>
      </c>
      <c r="C9647" s="38" t="s">
        <v>13541</v>
      </c>
      <c r="D9647" s="38" t="str">
        <f>IFERROR(__xludf.DUMMYFUNCTION("REGEXREPLACE(C9647,""-\d+(.*)|--\d+(.*)"","""")"),"FOURCES")</f>
        <v>FOURCES</v>
      </c>
      <c r="E9647" s="38" t="s">
        <v>440</v>
      </c>
      <c r="F9647" s="38" t="s">
        <v>94</v>
      </c>
      <c r="G9647" s="49" t="str">
        <f t="shared" si="1"/>
        <v>32250</v>
      </c>
      <c r="H9647" s="49">
        <f t="shared" si="2"/>
        <v>32133</v>
      </c>
    </row>
    <row r="9648">
      <c r="A9648" s="48" t="s">
        <v>3653</v>
      </c>
      <c r="B9648" s="38">
        <v>61392.0</v>
      </c>
      <c r="C9648" s="38" t="s">
        <v>13542</v>
      </c>
      <c r="D9648" s="38" t="str">
        <f>IFERROR(__xludf.DUMMYFUNCTION("REGEXREPLACE(C9648,""-\d+(.*)|--\d+(.*)"","""")"),"SAINT-GERMAIN-D'AUNAY")</f>
        <v>SAINT-GERMAIN-D'AUNAY</v>
      </c>
      <c r="E9648" s="38" t="s">
        <v>141</v>
      </c>
      <c r="F9648" s="38" t="s">
        <v>138</v>
      </c>
      <c r="G9648" s="49" t="str">
        <f t="shared" si="1"/>
        <v>61470</v>
      </c>
      <c r="H9648" s="49">
        <f t="shared" si="2"/>
        <v>61392</v>
      </c>
    </row>
    <row r="9649">
      <c r="A9649" s="48" t="s">
        <v>13543</v>
      </c>
      <c r="B9649" s="38">
        <v>13048.0</v>
      </c>
      <c r="C9649" s="38" t="s">
        <v>13544</v>
      </c>
      <c r="D9649" s="38" t="str">
        <f>IFERROR(__xludf.DUMMYFUNCTION("REGEXREPLACE(C9649,""-\d+(.*)|--\d+(.*)"","""")"),"JOUQUES")</f>
        <v>JOUQUES</v>
      </c>
      <c r="E9649" s="38" t="s">
        <v>980</v>
      </c>
      <c r="F9649" s="38" t="s">
        <v>228</v>
      </c>
      <c r="G9649" s="49" t="str">
        <f t="shared" si="1"/>
        <v>13490</v>
      </c>
      <c r="H9649" s="49">
        <f t="shared" si="2"/>
        <v>13048</v>
      </c>
    </row>
    <row r="9650">
      <c r="A9650" s="48" t="s">
        <v>2554</v>
      </c>
      <c r="B9650" s="38">
        <v>95658.0</v>
      </c>
      <c r="C9650" s="38" t="s">
        <v>13545</v>
      </c>
      <c r="D9650" s="38" t="str">
        <f>IFERROR(__xludf.DUMMYFUNCTION("REGEXREPLACE(C9650,""-\d+(.*)|--\d+(.*)"","""")"),"VIGNY")</f>
        <v>VIGNY</v>
      </c>
      <c r="E9650" s="38" t="s">
        <v>541</v>
      </c>
      <c r="F9650" s="38" t="s">
        <v>245</v>
      </c>
      <c r="G9650" s="49" t="str">
        <f t="shared" si="1"/>
        <v>95450</v>
      </c>
      <c r="H9650" s="49">
        <f t="shared" si="2"/>
        <v>95658</v>
      </c>
    </row>
    <row r="9651">
      <c r="A9651" s="48" t="s">
        <v>6097</v>
      </c>
      <c r="B9651" s="38">
        <v>33316.0</v>
      </c>
      <c r="C9651" s="38" t="s">
        <v>13546</v>
      </c>
      <c r="D9651" s="38" t="str">
        <f>IFERROR(__xludf.DUMMYFUNCTION("REGEXREPLACE(C9651,""-\d+(.*)|--\d+(.*)"","""")"),"PELLEGRUE")</f>
        <v>PELLEGRUE</v>
      </c>
      <c r="E9651" s="38" t="s">
        <v>462</v>
      </c>
      <c r="F9651" s="38" t="s">
        <v>252</v>
      </c>
      <c r="G9651" s="49" t="str">
        <f t="shared" si="1"/>
        <v>33790</v>
      </c>
      <c r="H9651" s="49">
        <f t="shared" si="2"/>
        <v>33316</v>
      </c>
    </row>
    <row r="9652">
      <c r="A9652" s="48" t="s">
        <v>1014</v>
      </c>
      <c r="B9652" s="38">
        <v>11068.0</v>
      </c>
      <c r="C9652" s="38" t="s">
        <v>13547</v>
      </c>
      <c r="D9652" s="38" t="str">
        <f>IFERROR(__xludf.DUMMYFUNCTION("REGEXREPLACE(C9652,""-\d+(.*)|--\d+(.*)"","""")"),"CAPENDU")</f>
        <v>CAPENDU</v>
      </c>
      <c r="E9652" s="38" t="s">
        <v>278</v>
      </c>
      <c r="F9652" s="38" t="s">
        <v>119</v>
      </c>
      <c r="G9652" s="49" t="str">
        <f t="shared" si="1"/>
        <v>11700</v>
      </c>
      <c r="H9652" s="49">
        <f t="shared" si="2"/>
        <v>11068</v>
      </c>
    </row>
    <row r="9653">
      <c r="A9653" s="48" t="s">
        <v>11422</v>
      </c>
      <c r="B9653" s="38">
        <v>95181.0</v>
      </c>
      <c r="C9653" s="38" t="s">
        <v>13548</v>
      </c>
      <c r="D9653" s="38" t="str">
        <f>IFERROR(__xludf.DUMMYFUNCTION("REGEXREPLACE(C9653,""-\d+(.*)|--\d+(.*)"","""")"),"COURCELLES-SUR-VIOSNE")</f>
        <v>COURCELLES-SUR-VIOSNE</v>
      </c>
      <c r="E9653" s="38" t="s">
        <v>541</v>
      </c>
      <c r="F9653" s="38" t="s">
        <v>245</v>
      </c>
      <c r="G9653" s="49" t="str">
        <f t="shared" si="1"/>
        <v>95650</v>
      </c>
      <c r="H9653" s="49">
        <f t="shared" si="2"/>
        <v>95181</v>
      </c>
    </row>
    <row r="9654">
      <c r="A9654" s="48" t="s">
        <v>732</v>
      </c>
      <c r="B9654" s="38">
        <v>10095.0</v>
      </c>
      <c r="C9654" s="38" t="s">
        <v>13549</v>
      </c>
      <c r="D9654" s="38" t="str">
        <f>IFERROR(__xludf.DUMMYFUNCTION("REGEXREPLACE(C9654,""-\d+(.*)|--\d+(.*)"","""")"),"LE CHENE")</f>
        <v>LE CHENE</v>
      </c>
      <c r="E9654" s="38" t="s">
        <v>147</v>
      </c>
      <c r="F9654" s="38" t="s">
        <v>130</v>
      </c>
      <c r="G9654" s="49" t="str">
        <f t="shared" si="1"/>
        <v>10700</v>
      </c>
      <c r="H9654" s="49">
        <f t="shared" si="2"/>
        <v>10095</v>
      </c>
    </row>
    <row r="9655">
      <c r="A9655" s="48" t="s">
        <v>9026</v>
      </c>
      <c r="B9655" s="38">
        <v>21699.0</v>
      </c>
      <c r="C9655" s="38" t="s">
        <v>13550</v>
      </c>
      <c r="D9655" s="38" t="str">
        <f>IFERROR(__xludf.DUMMYFUNCTION("REGEXREPLACE(C9655,""-\d+(.*)|--\d+(.*)"","""")"),"VILLERS-LES-POTS")</f>
        <v>VILLERS-LES-POTS</v>
      </c>
      <c r="E9655" s="38" t="s">
        <v>105</v>
      </c>
      <c r="F9655" s="38" t="s">
        <v>106</v>
      </c>
      <c r="G9655" s="49" t="str">
        <f t="shared" si="1"/>
        <v>21130</v>
      </c>
      <c r="H9655" s="49">
        <f t="shared" si="2"/>
        <v>21699</v>
      </c>
    </row>
    <row r="9656">
      <c r="A9656" s="48" t="s">
        <v>4249</v>
      </c>
      <c r="B9656" s="38">
        <v>38317.0</v>
      </c>
      <c r="C9656" s="38" t="s">
        <v>13551</v>
      </c>
      <c r="D9656" s="38" t="str">
        <f>IFERROR(__xludf.DUMMYFUNCTION("REGEXREPLACE(C9656,""-\d+(.*)|--\d+(.*)"","""")"),"LE PONT-DE-CLAIX")</f>
        <v>LE PONT-DE-CLAIX</v>
      </c>
      <c r="E9656" s="38" t="s">
        <v>101</v>
      </c>
      <c r="F9656" s="38" t="s">
        <v>102</v>
      </c>
      <c r="G9656" s="49" t="str">
        <f t="shared" si="1"/>
        <v>38800</v>
      </c>
      <c r="H9656" s="49">
        <f t="shared" si="2"/>
        <v>38317</v>
      </c>
    </row>
    <row r="9657">
      <c r="A9657" s="48" t="s">
        <v>1336</v>
      </c>
      <c r="B9657" s="38">
        <v>33114.0</v>
      </c>
      <c r="C9657" s="38" t="s">
        <v>13552</v>
      </c>
      <c r="D9657" s="38" t="str">
        <f>IFERROR(__xludf.DUMMYFUNCTION("REGEXREPLACE(C9657,""-\d+(.*)|--\d+(.*)"","""")"),"CAVIGNAC")</f>
        <v>CAVIGNAC</v>
      </c>
      <c r="E9657" s="38" t="s">
        <v>462</v>
      </c>
      <c r="F9657" s="38" t="s">
        <v>252</v>
      </c>
      <c r="G9657" s="49" t="str">
        <f t="shared" si="1"/>
        <v>33620</v>
      </c>
      <c r="H9657" s="49">
        <f t="shared" si="2"/>
        <v>33114</v>
      </c>
    </row>
    <row r="9658">
      <c r="A9658" s="48" t="s">
        <v>2540</v>
      </c>
      <c r="B9658" s="38">
        <v>2098.0</v>
      </c>
      <c r="C9658" s="38" t="s">
        <v>13553</v>
      </c>
      <c r="D9658" s="38" t="str">
        <f>IFERROR(__xludf.DUMMYFUNCTION("REGEXREPLACE(C9658,""-\d+(.*)|--\d+(.*)"","""")"),"BONNEIL")</f>
        <v>BONNEIL</v>
      </c>
      <c r="E9658" s="38" t="s">
        <v>191</v>
      </c>
      <c r="F9658" s="38" t="s">
        <v>113</v>
      </c>
      <c r="G9658" s="49" t="str">
        <f t="shared" si="1"/>
        <v>02400</v>
      </c>
      <c r="H9658" s="49" t="str">
        <f t="shared" si="2"/>
        <v>02098</v>
      </c>
    </row>
    <row r="9659">
      <c r="A9659" s="48" t="s">
        <v>10987</v>
      </c>
      <c r="B9659" s="38">
        <v>31563.0</v>
      </c>
      <c r="C9659" s="38" t="s">
        <v>13554</v>
      </c>
      <c r="D9659" s="38" t="str">
        <f>IFERROR(__xludf.DUMMYFUNCTION("REGEXREPLACE(C9659,""-\d+(.*)|--\d+(.*)"","""")"),"VACQUIERS")</f>
        <v>VACQUIERS</v>
      </c>
      <c r="E9659" s="38" t="s">
        <v>93</v>
      </c>
      <c r="F9659" s="38" t="s">
        <v>94</v>
      </c>
      <c r="G9659" s="49" t="str">
        <f t="shared" si="1"/>
        <v>31340</v>
      </c>
      <c r="H9659" s="49">
        <f t="shared" si="2"/>
        <v>31563</v>
      </c>
    </row>
    <row r="9660">
      <c r="A9660" s="48" t="s">
        <v>13555</v>
      </c>
      <c r="B9660" s="38">
        <v>57211.0</v>
      </c>
      <c r="C9660" s="38" t="s">
        <v>13556</v>
      </c>
      <c r="D9660" s="38" t="str">
        <f>IFERROR(__xludf.DUMMYFUNCTION("REGEXREPLACE(C9660,""-\d+(.*)|--\d+(.*)"","""")"),"FEVES")</f>
        <v>FEVES</v>
      </c>
      <c r="E9660" s="38" t="s">
        <v>303</v>
      </c>
      <c r="F9660" s="38" t="s">
        <v>195</v>
      </c>
      <c r="G9660" s="49" t="str">
        <f t="shared" si="1"/>
        <v>57280</v>
      </c>
      <c r="H9660" s="49">
        <f t="shared" si="2"/>
        <v>57211</v>
      </c>
    </row>
    <row r="9661">
      <c r="A9661" s="48" t="s">
        <v>13557</v>
      </c>
      <c r="B9661" s="38">
        <v>84115.0</v>
      </c>
      <c r="C9661" s="38" t="s">
        <v>13558</v>
      </c>
      <c r="D9661" s="38" t="str">
        <f>IFERROR(__xludf.DUMMYFUNCTION("REGEXREPLACE(C9661,""-\d+(.*)|--\d+(.*)"","""")"),"SAINT-PIERRE-DE-VASSOLS")</f>
        <v>SAINT-PIERRE-DE-VASSOLS</v>
      </c>
      <c r="E9661" s="38" t="s">
        <v>1026</v>
      </c>
      <c r="F9661" s="38" t="s">
        <v>228</v>
      </c>
      <c r="G9661" s="49" t="str">
        <f t="shared" si="1"/>
        <v>84330</v>
      </c>
      <c r="H9661" s="49">
        <f t="shared" si="2"/>
        <v>84115</v>
      </c>
    </row>
    <row r="9662">
      <c r="A9662" s="48" t="s">
        <v>1957</v>
      </c>
      <c r="B9662" s="38">
        <v>12119.0</v>
      </c>
      <c r="C9662" s="38" t="s">
        <v>13559</v>
      </c>
      <c r="D9662" s="38" t="str">
        <f>IFERROR(__xludf.DUMMYFUNCTION("REGEXREPLACE(C9662,""-\d+(.*)|--\d+(.*)"","""")"),"LAGUIOLE")</f>
        <v>LAGUIOLE</v>
      </c>
      <c r="E9662" s="38" t="s">
        <v>465</v>
      </c>
      <c r="F9662" s="38" t="s">
        <v>94</v>
      </c>
      <c r="G9662" s="49" t="str">
        <f t="shared" si="1"/>
        <v>12210</v>
      </c>
      <c r="H9662" s="49">
        <f t="shared" si="2"/>
        <v>12119</v>
      </c>
    </row>
    <row r="9663">
      <c r="A9663" s="48" t="s">
        <v>1060</v>
      </c>
      <c r="B9663" s="38">
        <v>57252.0</v>
      </c>
      <c r="C9663" s="38" t="s">
        <v>13560</v>
      </c>
      <c r="D9663" s="38" t="str">
        <f>IFERROR(__xludf.DUMMYFUNCTION("REGEXREPLACE(C9663,""-\d+(.*)|--\d+(.*)"","""")"),"GOMELANGE")</f>
        <v>GOMELANGE</v>
      </c>
      <c r="E9663" s="38" t="s">
        <v>303</v>
      </c>
      <c r="F9663" s="38" t="s">
        <v>195</v>
      </c>
      <c r="G9663" s="49" t="str">
        <f t="shared" si="1"/>
        <v>57220</v>
      </c>
      <c r="H9663" s="49">
        <f t="shared" si="2"/>
        <v>57252</v>
      </c>
    </row>
    <row r="9664">
      <c r="A9664" s="48" t="s">
        <v>7926</v>
      </c>
      <c r="B9664" s="38">
        <v>71545.0</v>
      </c>
      <c r="C9664" s="38" t="s">
        <v>13561</v>
      </c>
      <c r="D9664" s="38" t="str">
        <f>IFERROR(__xludf.DUMMYFUNCTION("REGEXREPLACE(C9664,""-\d+(.*)|--\d+(.*)"","""")"),"TRAMAYES")</f>
        <v>TRAMAYES</v>
      </c>
      <c r="E9664" s="38" t="s">
        <v>344</v>
      </c>
      <c r="F9664" s="38" t="s">
        <v>106</v>
      </c>
      <c r="G9664" s="49" t="str">
        <f t="shared" si="1"/>
        <v>71520</v>
      </c>
      <c r="H9664" s="49">
        <f t="shared" si="2"/>
        <v>71545</v>
      </c>
    </row>
    <row r="9665">
      <c r="A9665" s="48" t="s">
        <v>715</v>
      </c>
      <c r="B9665" s="38">
        <v>88047.0</v>
      </c>
      <c r="C9665" s="38" t="s">
        <v>13562</v>
      </c>
      <c r="D9665" s="38" t="str">
        <f>IFERROR(__xludf.DUMMYFUNCTION("REGEXREPLACE(C9665,""-\d+(.*)|--\d+(.*)"","""")"),"BEGNECOURT")</f>
        <v>BEGNECOURT</v>
      </c>
      <c r="E9665" s="38" t="s">
        <v>194</v>
      </c>
      <c r="F9665" s="38" t="s">
        <v>195</v>
      </c>
      <c r="G9665" s="49" t="str">
        <f t="shared" si="1"/>
        <v>88270</v>
      </c>
      <c r="H9665" s="49">
        <f t="shared" si="2"/>
        <v>88047</v>
      </c>
    </row>
    <row r="9666">
      <c r="A9666" s="48" t="s">
        <v>2130</v>
      </c>
      <c r="B9666" s="38">
        <v>62134.0</v>
      </c>
      <c r="C9666" s="38" t="s">
        <v>13563</v>
      </c>
      <c r="D9666" s="38" t="str">
        <f>IFERROR(__xludf.DUMMYFUNCTION("REGEXREPLACE(C9666,""-\d+(.*)|--\d+(.*)"","""")"),"BIMONT")</f>
        <v>BIMONT</v>
      </c>
      <c r="E9666" s="38" t="s">
        <v>109</v>
      </c>
      <c r="F9666" s="38" t="s">
        <v>86</v>
      </c>
      <c r="G9666" s="49" t="str">
        <f t="shared" si="1"/>
        <v>62650</v>
      </c>
      <c r="H9666" s="49">
        <f t="shared" si="2"/>
        <v>62134</v>
      </c>
    </row>
    <row r="9667">
      <c r="A9667" s="48" t="s">
        <v>2288</v>
      </c>
      <c r="B9667" s="38">
        <v>81063.0</v>
      </c>
      <c r="C9667" s="38" t="s">
        <v>13564</v>
      </c>
      <c r="D9667" s="38" t="str">
        <f>IFERROR(__xludf.DUMMYFUNCTION("REGEXREPLACE(C9667,""-\d+(.*)|--\d+(.*)"","""")"),"CASTELNAU-DE-LEVIS")</f>
        <v>CASTELNAU-DE-LEVIS</v>
      </c>
      <c r="E9667" s="38" t="s">
        <v>231</v>
      </c>
      <c r="F9667" s="38" t="s">
        <v>94</v>
      </c>
      <c r="G9667" s="49" t="str">
        <f t="shared" si="1"/>
        <v>81150</v>
      </c>
      <c r="H9667" s="49">
        <f t="shared" si="2"/>
        <v>81063</v>
      </c>
    </row>
    <row r="9668">
      <c r="A9668" s="48" t="s">
        <v>5575</v>
      </c>
      <c r="B9668" s="38">
        <v>62877.0</v>
      </c>
      <c r="C9668" s="38" t="s">
        <v>13565</v>
      </c>
      <c r="D9668" s="38" t="str">
        <f>IFERROR(__xludf.DUMMYFUNCTION("REGEXREPLACE(C9668,""-\d+(.*)|--\d+(.*)"","""")"),"WARLINCOURT-LES-PAS")</f>
        <v>WARLINCOURT-LES-PAS</v>
      </c>
      <c r="E9668" s="38" t="s">
        <v>109</v>
      </c>
      <c r="F9668" s="38" t="s">
        <v>86</v>
      </c>
      <c r="G9668" s="49" t="str">
        <f t="shared" si="1"/>
        <v>62760</v>
      </c>
      <c r="H9668" s="49">
        <f t="shared" si="2"/>
        <v>62877</v>
      </c>
    </row>
    <row r="9669">
      <c r="A9669" s="48" t="s">
        <v>844</v>
      </c>
      <c r="B9669" s="38">
        <v>72227.0</v>
      </c>
      <c r="C9669" s="38" t="s">
        <v>13566</v>
      </c>
      <c r="D9669" s="38" t="str">
        <f>IFERROR(__xludf.DUMMYFUNCTION("REGEXREPLACE(C9669,""-\d+(.*)|--\d+(.*)"","""")"),"PANON")</f>
        <v>PANON</v>
      </c>
      <c r="E9669" s="38" t="s">
        <v>521</v>
      </c>
      <c r="F9669" s="38" t="s">
        <v>180</v>
      </c>
      <c r="G9669" s="49" t="str">
        <f t="shared" si="1"/>
        <v>72600</v>
      </c>
      <c r="H9669" s="49">
        <f t="shared" si="2"/>
        <v>72227</v>
      </c>
    </row>
    <row r="9670">
      <c r="A9670" s="48" t="s">
        <v>639</v>
      </c>
      <c r="B9670" s="38">
        <v>16411.0</v>
      </c>
      <c r="C9670" s="38" t="s">
        <v>13567</v>
      </c>
      <c r="D9670" s="38" t="str">
        <f>IFERROR(__xludf.DUMMYFUNCTION("REGEXREPLACE(C9670,""-\d+(.*)|--\d+(.*)"","""")"),"VILLEJESUS")</f>
        <v>VILLEJESUS</v>
      </c>
      <c r="E9670" s="38" t="s">
        <v>429</v>
      </c>
      <c r="F9670" s="38" t="s">
        <v>338</v>
      </c>
      <c r="G9670" s="49" t="str">
        <f t="shared" si="1"/>
        <v>16140</v>
      </c>
      <c r="H9670" s="49">
        <f t="shared" si="2"/>
        <v>16411</v>
      </c>
    </row>
    <row r="9671">
      <c r="A9671" s="48" t="s">
        <v>4178</v>
      </c>
      <c r="B9671" s="38">
        <v>25102.0</v>
      </c>
      <c r="C9671" s="38" t="s">
        <v>13568</v>
      </c>
      <c r="D9671" s="38" t="str">
        <f>IFERROR(__xludf.DUMMYFUNCTION("REGEXREPLACE(C9671,""-\d+(.*)|--\d+(.*)"","""")"),"BURNEVILLERS")</f>
        <v>BURNEVILLERS</v>
      </c>
      <c r="E9671" s="38" t="s">
        <v>213</v>
      </c>
      <c r="F9671" s="38" t="s">
        <v>214</v>
      </c>
      <c r="G9671" s="49" t="str">
        <f t="shared" si="1"/>
        <v>25470</v>
      </c>
      <c r="H9671" s="49">
        <f t="shared" si="2"/>
        <v>25102</v>
      </c>
    </row>
    <row r="9672">
      <c r="A9672" s="48" t="s">
        <v>11792</v>
      </c>
      <c r="B9672" s="38">
        <v>86149.0</v>
      </c>
      <c r="C9672" s="38" t="s">
        <v>13569</v>
      </c>
      <c r="D9672" s="38" t="str">
        <f>IFERROR(__xludf.DUMMYFUNCTION("REGEXREPLACE(C9672,""-\d+(.*)|--\d+(.*)"","""")"),"MARTAIZE")</f>
        <v>MARTAIZE</v>
      </c>
      <c r="E9672" s="38" t="s">
        <v>529</v>
      </c>
      <c r="F9672" s="38" t="s">
        <v>338</v>
      </c>
      <c r="G9672" s="49" t="str">
        <f t="shared" si="1"/>
        <v>86330</v>
      </c>
      <c r="H9672" s="49">
        <f t="shared" si="2"/>
        <v>86149</v>
      </c>
    </row>
    <row r="9673">
      <c r="A9673" s="48" t="s">
        <v>13570</v>
      </c>
      <c r="B9673" s="38">
        <v>85243.0</v>
      </c>
      <c r="C9673" s="38" t="s">
        <v>13571</v>
      </c>
      <c r="D9673" s="38" t="str">
        <f>IFERROR(__xludf.DUMMYFUNCTION("REGEXREPLACE(C9673,""-\d+(.*)|--\d+(.*)"","""")"),"BREM-SUR-MER")</f>
        <v>BREM-SUR-MER</v>
      </c>
      <c r="E9673" s="38" t="s">
        <v>179</v>
      </c>
      <c r="F9673" s="38" t="s">
        <v>180</v>
      </c>
      <c r="G9673" s="49" t="str">
        <f t="shared" si="1"/>
        <v>85470</v>
      </c>
      <c r="H9673" s="49">
        <f t="shared" si="2"/>
        <v>85243</v>
      </c>
    </row>
    <row r="9674">
      <c r="A9674" s="48" t="s">
        <v>4483</v>
      </c>
      <c r="B9674" s="38">
        <v>4008.0</v>
      </c>
      <c r="C9674" s="38" t="s">
        <v>13572</v>
      </c>
      <c r="D9674" s="38" t="str">
        <f>IFERROR(__xludf.DUMMYFUNCTION("REGEXREPLACE(C9674,""-\d+(.*)|--\d+(.*)"","""")"),"ANNOT")</f>
        <v>ANNOT</v>
      </c>
      <c r="E9674" s="38" t="s">
        <v>662</v>
      </c>
      <c r="F9674" s="38" t="s">
        <v>228</v>
      </c>
      <c r="G9674" s="49" t="str">
        <f t="shared" si="1"/>
        <v>04240</v>
      </c>
      <c r="H9674" s="49" t="str">
        <f t="shared" si="2"/>
        <v>04008</v>
      </c>
    </row>
    <row r="9675">
      <c r="A9675" s="48" t="s">
        <v>5381</v>
      </c>
      <c r="B9675" s="38">
        <v>38300.0</v>
      </c>
      <c r="C9675" s="38" t="s">
        <v>13573</v>
      </c>
      <c r="D9675" s="38" t="str">
        <f>IFERROR(__xludf.DUMMYFUNCTION("REGEXREPLACE(C9675,""-\d+(.*)|--\d+(.*)"","""")"),"PENOL")</f>
        <v>PENOL</v>
      </c>
      <c r="E9675" s="38" t="s">
        <v>101</v>
      </c>
      <c r="F9675" s="38" t="s">
        <v>102</v>
      </c>
      <c r="G9675" s="49" t="str">
        <f t="shared" si="1"/>
        <v>38260</v>
      </c>
      <c r="H9675" s="49">
        <f t="shared" si="2"/>
        <v>38300</v>
      </c>
    </row>
    <row r="9676">
      <c r="A9676" s="48" t="s">
        <v>1883</v>
      </c>
      <c r="B9676" s="38">
        <v>39190.0</v>
      </c>
      <c r="C9676" s="38" t="s">
        <v>11780</v>
      </c>
      <c r="D9676" s="38" t="str">
        <f>IFERROR(__xludf.DUMMYFUNCTION("REGEXREPLACE(C9676,""-\d+(.*)|--\d+(.*)"","""")"),"DAMPIERRE")</f>
        <v>DAMPIERRE</v>
      </c>
      <c r="E9676" s="38" t="s">
        <v>400</v>
      </c>
      <c r="F9676" s="38" t="s">
        <v>214</v>
      </c>
      <c r="G9676" s="49" t="str">
        <f t="shared" si="1"/>
        <v>39700</v>
      </c>
      <c r="H9676" s="49">
        <f t="shared" si="2"/>
        <v>39190</v>
      </c>
    </row>
    <row r="9677">
      <c r="A9677" s="48" t="s">
        <v>3377</v>
      </c>
      <c r="B9677" s="38">
        <v>62650.0</v>
      </c>
      <c r="C9677" s="38" t="s">
        <v>13574</v>
      </c>
      <c r="D9677" s="38" t="str">
        <f>IFERROR(__xludf.DUMMYFUNCTION("REGEXREPLACE(C9677,""-\d+(.*)|--\d+(.*)"","""")"),"PELVES")</f>
        <v>PELVES</v>
      </c>
      <c r="E9677" s="38" t="s">
        <v>109</v>
      </c>
      <c r="F9677" s="38" t="s">
        <v>86</v>
      </c>
      <c r="G9677" s="49" t="str">
        <f t="shared" si="1"/>
        <v>62118</v>
      </c>
      <c r="H9677" s="49">
        <f t="shared" si="2"/>
        <v>62650</v>
      </c>
    </row>
    <row r="9678">
      <c r="A9678" s="48" t="s">
        <v>3681</v>
      </c>
      <c r="B9678" s="38">
        <v>39558.0</v>
      </c>
      <c r="C9678" s="38" t="s">
        <v>13575</v>
      </c>
      <c r="D9678" s="38" t="str">
        <f>IFERROR(__xludf.DUMMYFUNCTION("REGEXREPLACE(C9678,""-\d+(.*)|--\d+(.*)"","""")"),"VEVY")</f>
        <v>VEVY</v>
      </c>
      <c r="E9678" s="38" t="s">
        <v>400</v>
      </c>
      <c r="F9678" s="38" t="s">
        <v>214</v>
      </c>
      <c r="G9678" s="49" t="str">
        <f t="shared" si="1"/>
        <v>39570</v>
      </c>
      <c r="H9678" s="49">
        <f t="shared" si="2"/>
        <v>39558</v>
      </c>
    </row>
    <row r="9679">
      <c r="A9679" s="48" t="s">
        <v>5101</v>
      </c>
      <c r="B9679" s="38">
        <v>54324.0</v>
      </c>
      <c r="C9679" s="38" t="s">
        <v>13576</v>
      </c>
      <c r="D9679" s="38" t="str">
        <f>IFERROR(__xludf.DUMMYFUNCTION("REGEXREPLACE(C9679,""-\d+(.*)|--\d+(.*)"","""")"),"LOREY")</f>
        <v>LOREY</v>
      </c>
      <c r="E9679" s="38" t="s">
        <v>548</v>
      </c>
      <c r="F9679" s="38" t="s">
        <v>195</v>
      </c>
      <c r="G9679" s="49" t="str">
        <f t="shared" si="1"/>
        <v>54290</v>
      </c>
      <c r="H9679" s="49">
        <f t="shared" si="2"/>
        <v>54324</v>
      </c>
    </row>
    <row r="9680">
      <c r="A9680" s="48" t="s">
        <v>13577</v>
      </c>
      <c r="B9680" s="38">
        <v>21661.0</v>
      </c>
      <c r="C9680" s="38" t="s">
        <v>13578</v>
      </c>
      <c r="D9680" s="38" t="str">
        <f>IFERROR(__xludf.DUMMYFUNCTION("REGEXREPLACE(C9680,""-\d+(.*)|--\d+(.*)"","""")"),"VELARS-SUR-OUCHE")</f>
        <v>VELARS-SUR-OUCHE</v>
      </c>
      <c r="E9680" s="38" t="s">
        <v>105</v>
      </c>
      <c r="F9680" s="38" t="s">
        <v>106</v>
      </c>
      <c r="G9680" s="49" t="str">
        <f t="shared" si="1"/>
        <v>21370</v>
      </c>
      <c r="H9680" s="49">
        <f t="shared" si="2"/>
        <v>21661</v>
      </c>
    </row>
    <row r="9681">
      <c r="A9681" s="48" t="s">
        <v>2268</v>
      </c>
      <c r="B9681" s="38">
        <v>55536.0</v>
      </c>
      <c r="C9681" s="38" t="s">
        <v>13579</v>
      </c>
      <c r="D9681" s="38" t="str">
        <f>IFERROR(__xludf.DUMMYFUNCTION("REGEXREPLACE(C9681,""-\d+(.*)|--\d+(.*)"","""")"),"VAUQUOIS")</f>
        <v>VAUQUOIS</v>
      </c>
      <c r="E9681" s="38" t="s">
        <v>322</v>
      </c>
      <c r="F9681" s="38" t="s">
        <v>195</v>
      </c>
      <c r="G9681" s="49" t="str">
        <f t="shared" si="1"/>
        <v>55270</v>
      </c>
      <c r="H9681" s="49">
        <f t="shared" si="2"/>
        <v>55536</v>
      </c>
    </row>
    <row r="9682">
      <c r="A9682" s="48" t="s">
        <v>1560</v>
      </c>
      <c r="B9682" s="38">
        <v>14595.0</v>
      </c>
      <c r="C9682" s="38" t="s">
        <v>13580</v>
      </c>
      <c r="D9682" s="38" t="str">
        <f>IFERROR(__xludf.DUMMYFUNCTION("REGEXREPLACE(C9682,""-\d+(.*)|--\d+(.*)"","""")"),"SAINT-JEAN-DE-LIVET")</f>
        <v>SAINT-JEAN-DE-LIVET</v>
      </c>
      <c r="E9682" s="38" t="s">
        <v>137</v>
      </c>
      <c r="F9682" s="38" t="s">
        <v>138</v>
      </c>
      <c r="G9682" s="49" t="str">
        <f t="shared" si="1"/>
        <v>14100</v>
      </c>
      <c r="H9682" s="49">
        <f t="shared" si="2"/>
        <v>14595</v>
      </c>
    </row>
    <row r="9683">
      <c r="A9683" s="48" t="s">
        <v>13581</v>
      </c>
      <c r="B9683" s="38">
        <v>78444.0</v>
      </c>
      <c r="C9683" s="38" t="s">
        <v>13582</v>
      </c>
      <c r="D9683" s="38" t="str">
        <f>IFERROR(__xludf.DUMMYFUNCTION("REGEXREPLACE(C9683,""-\d+(.*)|--\d+(.*)"","""")"),"NEAUPHLETTE")</f>
        <v>NEAUPHLETTE</v>
      </c>
      <c r="E9683" s="38" t="s">
        <v>362</v>
      </c>
      <c r="F9683" s="38" t="s">
        <v>245</v>
      </c>
      <c r="G9683" s="49" t="str">
        <f t="shared" si="1"/>
        <v>78980</v>
      </c>
      <c r="H9683" s="49">
        <f t="shared" si="2"/>
        <v>78444</v>
      </c>
    </row>
    <row r="9684">
      <c r="A9684" s="48" t="s">
        <v>13583</v>
      </c>
      <c r="B9684" s="38">
        <v>90099.0</v>
      </c>
      <c r="C9684" s="38" t="s">
        <v>13584</v>
      </c>
      <c r="D9684" s="38" t="str">
        <f>IFERROR(__xludf.DUMMYFUNCTION("REGEXREPLACE(C9684,""-\d+(.*)|--\d+(.*)"","""")"),"VALDOIE")</f>
        <v>VALDOIE</v>
      </c>
      <c r="E9684" s="38" t="s">
        <v>1283</v>
      </c>
      <c r="F9684" s="38" t="s">
        <v>214</v>
      </c>
      <c r="G9684" s="49" t="str">
        <f t="shared" si="1"/>
        <v>90300</v>
      </c>
      <c r="H9684" s="49">
        <f t="shared" si="2"/>
        <v>90099</v>
      </c>
    </row>
    <row r="9685">
      <c r="A9685" s="48" t="s">
        <v>10383</v>
      </c>
      <c r="B9685" s="38">
        <v>38429.0</v>
      </c>
      <c r="C9685" s="38" t="s">
        <v>13585</v>
      </c>
      <c r="D9685" s="38" t="str">
        <f>IFERROR(__xludf.DUMMYFUNCTION("REGEXREPLACE(C9685,""-\d+(.*)|--\d+(.*)"","""")"),"SAINT-MICHEL-LES-PORTES")</f>
        <v>SAINT-MICHEL-LES-PORTES</v>
      </c>
      <c r="E9685" s="38" t="s">
        <v>101</v>
      </c>
      <c r="F9685" s="38" t="s">
        <v>102</v>
      </c>
      <c r="G9685" s="49" t="str">
        <f t="shared" si="1"/>
        <v>38650</v>
      </c>
      <c r="H9685" s="49">
        <f t="shared" si="2"/>
        <v>38429</v>
      </c>
    </row>
    <row r="9686">
      <c r="A9686" s="48" t="s">
        <v>2617</v>
      </c>
      <c r="B9686" s="38">
        <v>89416.0</v>
      </c>
      <c r="C9686" s="38" t="s">
        <v>5531</v>
      </c>
      <c r="D9686" s="38" t="str">
        <f>IFERROR(__xludf.DUMMYFUNCTION("REGEXREPLACE(C9686,""-\d+(.*)|--\d+(.*)"","""")"),"THURY")</f>
        <v>THURY</v>
      </c>
      <c r="E9686" s="38" t="s">
        <v>275</v>
      </c>
      <c r="F9686" s="38" t="s">
        <v>106</v>
      </c>
      <c r="G9686" s="49" t="str">
        <f t="shared" si="1"/>
        <v>89520</v>
      </c>
      <c r="H9686" s="49">
        <f t="shared" si="2"/>
        <v>89416</v>
      </c>
    </row>
    <row r="9687">
      <c r="A9687" s="48" t="s">
        <v>7474</v>
      </c>
      <c r="B9687" s="38">
        <v>42107.0</v>
      </c>
      <c r="C9687" s="38" t="s">
        <v>13586</v>
      </c>
      <c r="D9687" s="38" t="str">
        <f>IFERROR(__xludf.DUMMYFUNCTION("REGEXREPLACE(C9687,""-\d+(.*)|--\d+(.*)"","""")"),"GUMIERES")</f>
        <v>GUMIERES</v>
      </c>
      <c r="E9687" s="38" t="s">
        <v>166</v>
      </c>
      <c r="F9687" s="38" t="s">
        <v>102</v>
      </c>
      <c r="G9687" s="49" t="str">
        <f t="shared" si="1"/>
        <v>42560</v>
      </c>
      <c r="H9687" s="49">
        <f t="shared" si="2"/>
        <v>42107</v>
      </c>
    </row>
    <row r="9688">
      <c r="A9688" s="48" t="s">
        <v>2592</v>
      </c>
      <c r="B9688" s="38">
        <v>34315.0</v>
      </c>
      <c r="C9688" s="38" t="s">
        <v>13587</v>
      </c>
      <c r="D9688" s="38" t="str">
        <f>IFERROR(__xludf.DUMMYFUNCTION("REGEXREPLACE(C9688,""-\d+(.*)|--\d+(.*)"","""")"),"USCLAS-D'HERAULT")</f>
        <v>USCLAS-D'HERAULT</v>
      </c>
      <c r="E9688" s="38" t="s">
        <v>118</v>
      </c>
      <c r="F9688" s="38" t="s">
        <v>119</v>
      </c>
      <c r="G9688" s="49" t="str">
        <f t="shared" si="1"/>
        <v>34230</v>
      </c>
      <c r="H9688" s="49">
        <f t="shared" si="2"/>
        <v>34315</v>
      </c>
    </row>
    <row r="9689">
      <c r="A9689" s="48" t="s">
        <v>9526</v>
      </c>
      <c r="B9689" s="38">
        <v>23152.0</v>
      </c>
      <c r="C9689" s="38" t="s">
        <v>3976</v>
      </c>
      <c r="D9689" s="38" t="str">
        <f>IFERROR(__xludf.DUMMYFUNCTION("REGEXREPLACE(C9689,""-\d+(.*)|--\d+(.*)"","""")"),"PIERREFITTE")</f>
        <v>PIERREFITTE</v>
      </c>
      <c r="E9689" s="38" t="s">
        <v>97</v>
      </c>
      <c r="F9689" s="38" t="s">
        <v>98</v>
      </c>
      <c r="G9689" s="49" t="str">
        <f t="shared" si="1"/>
        <v>23130</v>
      </c>
      <c r="H9689" s="49">
        <f t="shared" si="2"/>
        <v>23152</v>
      </c>
    </row>
    <row r="9690">
      <c r="A9690" s="48" t="s">
        <v>2567</v>
      </c>
      <c r="B9690" s="38">
        <v>6009.0</v>
      </c>
      <c r="C9690" s="38" t="s">
        <v>13588</v>
      </c>
      <c r="D9690" s="38" t="str">
        <f>IFERROR(__xludf.DUMMYFUNCTION("REGEXREPLACE(C9690,""-\d+(.*)|--\d+(.*)"","""")"),"BAIROLS")</f>
        <v>BAIROLS</v>
      </c>
      <c r="E9690" s="38" t="s">
        <v>227</v>
      </c>
      <c r="F9690" s="38" t="s">
        <v>228</v>
      </c>
      <c r="G9690" s="49" t="str">
        <f t="shared" si="1"/>
        <v>06420</v>
      </c>
      <c r="H9690" s="49" t="str">
        <f t="shared" si="2"/>
        <v>06009</v>
      </c>
    </row>
    <row r="9691">
      <c r="A9691" s="48" t="s">
        <v>436</v>
      </c>
      <c r="B9691" s="38">
        <v>51269.0</v>
      </c>
      <c r="C9691" s="38" t="s">
        <v>13589</v>
      </c>
      <c r="D9691" s="38" t="str">
        <f>IFERROR(__xludf.DUMMYFUNCTION("REGEXREPLACE(C9691,""-\d+(.*)|--\d+(.*)"","""")"),"GIFFAUMONT-CHAMPAUBERT")</f>
        <v>GIFFAUMONT-CHAMPAUBERT</v>
      </c>
      <c r="E9691" s="38" t="s">
        <v>129</v>
      </c>
      <c r="F9691" s="38" t="s">
        <v>130</v>
      </c>
      <c r="G9691" s="49" t="str">
        <f t="shared" si="1"/>
        <v>51290</v>
      </c>
      <c r="H9691" s="49">
        <f t="shared" si="2"/>
        <v>51269</v>
      </c>
    </row>
    <row r="9692">
      <c r="A9692" s="48" t="s">
        <v>6805</v>
      </c>
      <c r="B9692" s="38">
        <v>79270.0</v>
      </c>
      <c r="C9692" s="38" t="s">
        <v>13590</v>
      </c>
      <c r="D9692" s="38" t="str">
        <f>IFERROR(__xludf.DUMMYFUNCTION("REGEXREPLACE(C9692,""-\d+(.*)|--\d+(.*)"","""")"),"SAINT-MAIXENT-L'ECOLE")</f>
        <v>SAINT-MAIXENT-L'ECOLE</v>
      </c>
      <c r="E9692" s="38" t="s">
        <v>337</v>
      </c>
      <c r="F9692" s="38" t="s">
        <v>338</v>
      </c>
      <c r="G9692" s="49" t="str">
        <f t="shared" si="1"/>
        <v>79400</v>
      </c>
      <c r="H9692" s="49">
        <f t="shared" si="2"/>
        <v>79270</v>
      </c>
    </row>
    <row r="9693">
      <c r="A9693" s="48" t="s">
        <v>4088</v>
      </c>
      <c r="B9693" s="38">
        <v>39278.0</v>
      </c>
      <c r="C9693" s="38" t="s">
        <v>13591</v>
      </c>
      <c r="D9693" s="38" t="str">
        <f>IFERROR(__xludf.DUMMYFUNCTION("REGEXREPLACE(C9693,""-\d+(.*)|--\d+(.*)"","""")"),"LARGILLAY-MARSONNAY")</f>
        <v>LARGILLAY-MARSONNAY</v>
      </c>
      <c r="E9693" s="38" t="s">
        <v>400</v>
      </c>
      <c r="F9693" s="38" t="s">
        <v>214</v>
      </c>
      <c r="G9693" s="49" t="str">
        <f t="shared" si="1"/>
        <v>39130</v>
      </c>
      <c r="H9693" s="49">
        <f t="shared" si="2"/>
        <v>39278</v>
      </c>
    </row>
    <row r="9694">
      <c r="A9694" s="48" t="s">
        <v>1446</v>
      </c>
      <c r="B9694" s="38">
        <v>76240.0</v>
      </c>
      <c r="C9694" s="38" t="s">
        <v>13592</v>
      </c>
      <c r="D9694" s="38" t="str">
        <f>IFERROR(__xludf.DUMMYFUNCTION("REGEXREPLACE(C9694,""-\d+(.*)|--\d+(.*)"","""")"),"EPREVILLE")</f>
        <v>EPREVILLE</v>
      </c>
      <c r="E9694" s="38" t="s">
        <v>133</v>
      </c>
      <c r="F9694" s="38" t="s">
        <v>134</v>
      </c>
      <c r="G9694" s="49" t="str">
        <f t="shared" si="1"/>
        <v>76400</v>
      </c>
      <c r="H9694" s="49">
        <f t="shared" si="2"/>
        <v>76240</v>
      </c>
    </row>
    <row r="9695">
      <c r="A9695" s="48" t="s">
        <v>8506</v>
      </c>
      <c r="B9695" s="38">
        <v>79006.0</v>
      </c>
      <c r="C9695" s="38" t="s">
        <v>13593</v>
      </c>
      <c r="D9695" s="38" t="str">
        <f>IFERROR(__xludf.DUMMYFUNCTION("REGEXREPLACE(C9695,""-\d+(.*)|--\d+(.*)"","""")"),"LES ALLEUDS")</f>
        <v>LES ALLEUDS</v>
      </c>
      <c r="E9695" s="38" t="s">
        <v>337</v>
      </c>
      <c r="F9695" s="38" t="s">
        <v>338</v>
      </c>
      <c r="G9695" s="49" t="str">
        <f t="shared" si="1"/>
        <v>79190</v>
      </c>
      <c r="H9695" s="49">
        <f t="shared" si="2"/>
        <v>79006</v>
      </c>
    </row>
    <row r="9696">
      <c r="A9696" s="48" t="s">
        <v>13594</v>
      </c>
      <c r="B9696" s="38">
        <v>59466.0</v>
      </c>
      <c r="C9696" s="38" t="s">
        <v>13595</v>
      </c>
      <c r="D9696" s="38" t="str">
        <f>IFERROR(__xludf.DUMMYFUNCTION("REGEXREPLACE(C9696,""-\d+(.*)|--\d+(.*)"","""")"),"PONT-A-MARCQ")</f>
        <v>PONT-A-MARCQ</v>
      </c>
      <c r="E9696" s="38" t="s">
        <v>85</v>
      </c>
      <c r="F9696" s="38" t="s">
        <v>86</v>
      </c>
      <c r="G9696" s="49" t="str">
        <f t="shared" si="1"/>
        <v>59710</v>
      </c>
      <c r="H9696" s="49">
        <f t="shared" si="2"/>
        <v>59466</v>
      </c>
    </row>
    <row r="9697">
      <c r="A9697" s="48" t="s">
        <v>5241</v>
      </c>
      <c r="B9697" s="38">
        <v>36079.0</v>
      </c>
      <c r="C9697" s="38" t="s">
        <v>13596</v>
      </c>
      <c r="D9697" s="38" t="str">
        <f>IFERROR(__xludf.DUMMYFUNCTION("REGEXREPLACE(C9697,""-\d+(.*)|--\d+(.*)"","""")"),"FRANCILLON")</f>
        <v>FRANCILLON</v>
      </c>
      <c r="E9697" s="38" t="s">
        <v>258</v>
      </c>
      <c r="F9697" s="38" t="s">
        <v>123</v>
      </c>
      <c r="G9697" s="49" t="str">
        <f t="shared" si="1"/>
        <v>36110</v>
      </c>
      <c r="H9697" s="49">
        <f t="shared" si="2"/>
        <v>36079</v>
      </c>
    </row>
    <row r="9698">
      <c r="A9698" s="48" t="s">
        <v>13597</v>
      </c>
      <c r="B9698" s="38">
        <v>87131.0</v>
      </c>
      <c r="C9698" s="38" t="s">
        <v>13598</v>
      </c>
      <c r="D9698" s="38" t="str">
        <f>IFERROR(__xludf.DUMMYFUNCTION("REGEXREPLACE(C9698,""-\d+(.*)|--\d+(.*)"","""")"),"SAILLAT-SUR-VIENNE")</f>
        <v>SAILLAT-SUR-VIENNE</v>
      </c>
      <c r="E9698" s="38" t="s">
        <v>897</v>
      </c>
      <c r="F9698" s="38" t="s">
        <v>98</v>
      </c>
      <c r="G9698" s="49" t="str">
        <f t="shared" si="1"/>
        <v>87720</v>
      </c>
      <c r="H9698" s="49">
        <f t="shared" si="2"/>
        <v>87131</v>
      </c>
    </row>
    <row r="9699">
      <c r="A9699" s="48" t="s">
        <v>3902</v>
      </c>
      <c r="B9699" s="38">
        <v>63024.0</v>
      </c>
      <c r="C9699" s="38" t="s">
        <v>13599</v>
      </c>
      <c r="D9699" s="38" t="str">
        <f>IFERROR(__xludf.DUMMYFUNCTION("REGEXREPLACE(C9699,""-\d+(.*)|--\d+(.*)"","""")"),"AVEZE")</f>
        <v>AVEZE</v>
      </c>
      <c r="E9699" s="38" t="s">
        <v>353</v>
      </c>
      <c r="F9699" s="38" t="s">
        <v>161</v>
      </c>
      <c r="G9699" s="49" t="str">
        <f t="shared" si="1"/>
        <v>63690</v>
      </c>
      <c r="H9699" s="49">
        <f t="shared" si="2"/>
        <v>63024</v>
      </c>
    </row>
    <row r="9700">
      <c r="A9700" s="48" t="s">
        <v>13600</v>
      </c>
      <c r="B9700" s="38">
        <v>74106.0</v>
      </c>
      <c r="C9700" s="38" t="s">
        <v>13601</v>
      </c>
      <c r="D9700" s="38" t="str">
        <f>IFERROR(__xludf.DUMMYFUNCTION("REGEXREPLACE(C9700,""-\d+(.*)|--\d+(.*)"","""")"),"DRAILLANT")</f>
        <v>DRAILLANT</v>
      </c>
      <c r="E9700" s="38" t="s">
        <v>319</v>
      </c>
      <c r="F9700" s="38" t="s">
        <v>102</v>
      </c>
      <c r="G9700" s="49" t="str">
        <f t="shared" si="1"/>
        <v>74550</v>
      </c>
      <c r="H9700" s="49">
        <f t="shared" si="2"/>
        <v>74106</v>
      </c>
    </row>
    <row r="9701">
      <c r="A9701" s="48" t="s">
        <v>7845</v>
      </c>
      <c r="B9701" s="38">
        <v>12030.0</v>
      </c>
      <c r="C9701" s="38" t="s">
        <v>13602</v>
      </c>
      <c r="D9701" s="38" t="str">
        <f>IFERROR(__xludf.DUMMYFUNCTION("REGEXREPLACE(C9701,""-\d+(.*)|--\d+(.*)"","""")"),"BOUILLAC")</f>
        <v>BOUILLAC</v>
      </c>
      <c r="E9701" s="38" t="s">
        <v>465</v>
      </c>
      <c r="F9701" s="38" t="s">
        <v>94</v>
      </c>
      <c r="G9701" s="49" t="str">
        <f t="shared" si="1"/>
        <v>12300</v>
      </c>
      <c r="H9701" s="49">
        <f t="shared" si="2"/>
        <v>12030</v>
      </c>
    </row>
    <row r="9702">
      <c r="A9702" s="48" t="s">
        <v>1974</v>
      </c>
      <c r="B9702" s="38">
        <v>59094.0</v>
      </c>
      <c r="C9702" s="38" t="s">
        <v>13603</v>
      </c>
      <c r="D9702" s="38" t="str">
        <f>IFERROR(__xludf.DUMMYFUNCTION("REGEXREPLACE(C9702,""-\d+(.*)|--\d+(.*)"","""")"),"BOURBOURG")</f>
        <v>BOURBOURG</v>
      </c>
      <c r="E9702" s="38" t="s">
        <v>85</v>
      </c>
      <c r="F9702" s="38" t="s">
        <v>86</v>
      </c>
      <c r="G9702" s="49" t="str">
        <f t="shared" si="1"/>
        <v>59630</v>
      </c>
      <c r="H9702" s="49">
        <f t="shared" si="2"/>
        <v>59094</v>
      </c>
    </row>
    <row r="9703">
      <c r="A9703" s="48" t="s">
        <v>7477</v>
      </c>
      <c r="B9703" s="38">
        <v>4183.0</v>
      </c>
      <c r="C9703" s="38" t="s">
        <v>13604</v>
      </c>
      <c r="D9703" s="38" t="str">
        <f>IFERROR(__xludf.DUMMYFUNCTION("REGEXREPLACE(C9703,""-\d+(.*)|--\d+(.*)"","""")"),"SAINT-JULIEN-DU-VERDON")</f>
        <v>SAINT-JULIEN-DU-VERDON</v>
      </c>
      <c r="E9703" s="38" t="s">
        <v>662</v>
      </c>
      <c r="F9703" s="38" t="s">
        <v>228</v>
      </c>
      <c r="G9703" s="49" t="str">
        <f t="shared" si="1"/>
        <v>04170</v>
      </c>
      <c r="H9703" s="49" t="str">
        <f t="shared" si="2"/>
        <v>04183</v>
      </c>
    </row>
    <row r="9704">
      <c r="A9704" s="48" t="s">
        <v>13605</v>
      </c>
      <c r="B9704" s="38">
        <v>49261.0</v>
      </c>
      <c r="C9704" s="38" t="s">
        <v>13606</v>
      </c>
      <c r="D9704" s="38" t="str">
        <f>IFERROR(__xludf.DUMMYFUNCTION("REGEXREPLACE(C9704,""-\d+(.*)|--\d+(.*)"","""")"),"LES ROSIERS-SUR-LOIRE")</f>
        <v>LES ROSIERS-SUR-LOIRE</v>
      </c>
      <c r="E9704" s="38" t="s">
        <v>653</v>
      </c>
      <c r="F9704" s="38" t="s">
        <v>180</v>
      </c>
      <c r="G9704" s="49" t="str">
        <f t="shared" si="1"/>
        <v>49350</v>
      </c>
      <c r="H9704" s="49">
        <f t="shared" si="2"/>
        <v>49261</v>
      </c>
    </row>
    <row r="9705">
      <c r="A9705" s="48" t="s">
        <v>2775</v>
      </c>
      <c r="B9705" s="38">
        <v>59465.0</v>
      </c>
      <c r="C9705" s="38" t="s">
        <v>13607</v>
      </c>
      <c r="D9705" s="38" t="str">
        <f>IFERROR(__xludf.DUMMYFUNCTION("REGEXREPLACE(C9705,""-\d+(.*)|--\d+(.*)"","""")"),"POMMEREUIL")</f>
        <v>POMMEREUIL</v>
      </c>
      <c r="E9705" s="38" t="s">
        <v>85</v>
      </c>
      <c r="F9705" s="38" t="s">
        <v>86</v>
      </c>
      <c r="G9705" s="49" t="str">
        <f t="shared" si="1"/>
        <v>59360</v>
      </c>
      <c r="H9705" s="49">
        <f t="shared" si="2"/>
        <v>59465</v>
      </c>
    </row>
    <row r="9706">
      <c r="A9706" s="48" t="s">
        <v>5417</v>
      </c>
      <c r="B9706" s="38">
        <v>24512.0</v>
      </c>
      <c r="C9706" s="38" t="s">
        <v>13608</v>
      </c>
      <c r="D9706" s="38" t="str">
        <f>IFERROR(__xludf.DUMMYFUNCTION("REGEXREPLACE(C9706,""-\d+(.*)|--\d+(.*)"","""")"),"SAINT-VINCENT-LE-PALUEL")</f>
        <v>SAINT-VINCENT-LE-PALUEL</v>
      </c>
      <c r="E9706" s="38" t="s">
        <v>261</v>
      </c>
      <c r="F9706" s="38" t="s">
        <v>252</v>
      </c>
      <c r="G9706" s="49" t="str">
        <f t="shared" si="1"/>
        <v>24200</v>
      </c>
      <c r="H9706" s="49">
        <f t="shared" si="2"/>
        <v>24512</v>
      </c>
    </row>
    <row r="9707">
      <c r="A9707" s="48" t="s">
        <v>4873</v>
      </c>
      <c r="B9707" s="38">
        <v>67413.0</v>
      </c>
      <c r="C9707" s="38" t="s">
        <v>13609</v>
      </c>
      <c r="D9707" s="38" t="str">
        <f>IFERROR(__xludf.DUMMYFUNCTION("REGEXREPLACE(C9707,""-\d+(.*)|--\d+(.*)"","""")"),"ROSTEIG")</f>
        <v>ROSTEIG</v>
      </c>
      <c r="E9707" s="38" t="s">
        <v>210</v>
      </c>
      <c r="F9707" s="38" t="s">
        <v>151</v>
      </c>
      <c r="G9707" s="49" t="str">
        <f t="shared" si="1"/>
        <v>67290</v>
      </c>
      <c r="H9707" s="49">
        <f t="shared" si="2"/>
        <v>67413</v>
      </c>
    </row>
    <row r="9708">
      <c r="A9708" s="48" t="s">
        <v>10857</v>
      </c>
      <c r="B9708" s="38">
        <v>22119.0</v>
      </c>
      <c r="C9708" s="38" t="s">
        <v>13610</v>
      </c>
      <c r="D9708" s="38" t="str">
        <f>IFERROR(__xludf.DUMMYFUNCTION("REGEXREPLACE(C9708,""-\d+(.*)|--\d+(.*)"","""")"),"LANVELLEC")</f>
        <v>LANVELLEC</v>
      </c>
      <c r="E9708" s="38" t="s">
        <v>89</v>
      </c>
      <c r="F9708" s="38" t="s">
        <v>90</v>
      </c>
      <c r="G9708" s="49" t="str">
        <f t="shared" si="1"/>
        <v>22420</v>
      </c>
      <c r="H9708" s="49">
        <f t="shared" si="2"/>
        <v>22119</v>
      </c>
    </row>
    <row r="9709">
      <c r="A9709" s="48" t="s">
        <v>1748</v>
      </c>
      <c r="B9709" s="38">
        <v>30257.0</v>
      </c>
      <c r="C9709" s="38" t="s">
        <v>13611</v>
      </c>
      <c r="D9709" s="38" t="str">
        <f>IFERROR(__xludf.DUMMYFUNCTION("REGEXREPLACE(C9709,""-\d+(.*)|--\d+(.*)"","""")"),"SAINT-GERVASY")</f>
        <v>SAINT-GERVASY</v>
      </c>
      <c r="E9709" s="38" t="s">
        <v>526</v>
      </c>
      <c r="F9709" s="38" t="s">
        <v>119</v>
      </c>
      <c r="G9709" s="49" t="str">
        <f t="shared" si="1"/>
        <v>30320</v>
      </c>
      <c r="H9709" s="49">
        <f t="shared" si="2"/>
        <v>30257</v>
      </c>
    </row>
    <row r="9710">
      <c r="A9710" s="48" t="s">
        <v>8105</v>
      </c>
      <c r="B9710" s="38">
        <v>25216.0</v>
      </c>
      <c r="C9710" s="38" t="s">
        <v>13612</v>
      </c>
      <c r="D9710" s="38" t="str">
        <f>IFERROR(__xludf.DUMMYFUNCTION("REGEXREPLACE(C9710,""-\d+(.*)|--\d+(.*)"","""")"),"ECURCEY")</f>
        <v>ECURCEY</v>
      </c>
      <c r="E9710" s="38" t="s">
        <v>213</v>
      </c>
      <c r="F9710" s="38" t="s">
        <v>214</v>
      </c>
      <c r="G9710" s="49" t="str">
        <f t="shared" si="1"/>
        <v>25150</v>
      </c>
      <c r="H9710" s="49">
        <f t="shared" si="2"/>
        <v>25216</v>
      </c>
    </row>
    <row r="9711">
      <c r="A9711" s="48" t="s">
        <v>11856</v>
      </c>
      <c r="B9711" s="38">
        <v>88009.0</v>
      </c>
      <c r="C9711" s="38" t="s">
        <v>13613</v>
      </c>
      <c r="D9711" s="38" t="str">
        <f>IFERROR(__xludf.DUMMYFUNCTION("REGEXREPLACE(C9711,""-\d+(.*)|--\d+(.*)"","""")"),"ANOULD")</f>
        <v>ANOULD</v>
      </c>
      <c r="E9711" s="38" t="s">
        <v>194</v>
      </c>
      <c r="F9711" s="38" t="s">
        <v>195</v>
      </c>
      <c r="G9711" s="49" t="str">
        <f t="shared" si="1"/>
        <v>88650</v>
      </c>
      <c r="H9711" s="49">
        <f t="shared" si="2"/>
        <v>88009</v>
      </c>
    </row>
    <row r="9712">
      <c r="A9712" s="48" t="s">
        <v>5262</v>
      </c>
      <c r="B9712" s="38">
        <v>15121.0</v>
      </c>
      <c r="C9712" s="38" t="s">
        <v>13614</v>
      </c>
      <c r="D9712" s="38" t="str">
        <f>IFERROR(__xludf.DUMMYFUNCTION("REGEXREPLACE(C9712,""-\d+(.*)|--\d+(.*)"","""")"),"MAURINES")</f>
        <v>MAURINES</v>
      </c>
      <c r="E9712" s="38" t="s">
        <v>632</v>
      </c>
      <c r="F9712" s="38" t="s">
        <v>161</v>
      </c>
      <c r="G9712" s="49" t="str">
        <f t="shared" si="1"/>
        <v>15110</v>
      </c>
      <c r="H9712" s="49">
        <f t="shared" si="2"/>
        <v>15121</v>
      </c>
    </row>
    <row r="9713">
      <c r="A9713" s="48" t="s">
        <v>1905</v>
      </c>
      <c r="B9713" s="38">
        <v>29010.0</v>
      </c>
      <c r="C9713" s="38" t="s">
        <v>13615</v>
      </c>
      <c r="D9713" s="38" t="str">
        <f>IFERROR(__xludf.DUMMYFUNCTION("REGEXREPLACE(C9713,""-\d+(.*)|--\d+(.*)"","""")"),"BODILIS")</f>
        <v>BODILIS</v>
      </c>
      <c r="E9713" s="38" t="s">
        <v>176</v>
      </c>
      <c r="F9713" s="38" t="s">
        <v>90</v>
      </c>
      <c r="G9713" s="49" t="str">
        <f t="shared" si="1"/>
        <v>29400</v>
      </c>
      <c r="H9713" s="49">
        <f t="shared" si="2"/>
        <v>29010</v>
      </c>
    </row>
    <row r="9714">
      <c r="A9714" s="48" t="s">
        <v>2613</v>
      </c>
      <c r="B9714" s="38">
        <v>47316.0</v>
      </c>
      <c r="C9714" s="38" t="s">
        <v>13616</v>
      </c>
      <c r="D9714" s="38" t="str">
        <f>IFERROR(__xludf.DUMMYFUNCTION("REGEXREPLACE(C9714,""-\d+(.*)|--\d+(.*)"","""")"),"VARES")</f>
        <v>VARES</v>
      </c>
      <c r="E9714" s="38" t="s">
        <v>251</v>
      </c>
      <c r="F9714" s="38" t="s">
        <v>252</v>
      </c>
      <c r="G9714" s="49" t="str">
        <f t="shared" si="1"/>
        <v>47400</v>
      </c>
      <c r="H9714" s="49">
        <f t="shared" si="2"/>
        <v>47316</v>
      </c>
    </row>
    <row r="9715">
      <c r="A9715" s="48" t="s">
        <v>5257</v>
      </c>
      <c r="B9715" s="38">
        <v>15152.0</v>
      </c>
      <c r="C9715" s="38" t="s">
        <v>13617</v>
      </c>
      <c r="D9715" s="38" t="str">
        <f>IFERROR(__xludf.DUMMYFUNCTION("REGEXREPLACE(C9715,""-\d+(.*)|--\d+(.*)"","""")"),"PIERREFORT")</f>
        <v>PIERREFORT</v>
      </c>
      <c r="E9715" s="38" t="s">
        <v>632</v>
      </c>
      <c r="F9715" s="38" t="s">
        <v>161</v>
      </c>
      <c r="G9715" s="49" t="str">
        <f t="shared" si="1"/>
        <v>15230</v>
      </c>
      <c r="H9715" s="49">
        <f t="shared" si="2"/>
        <v>15152</v>
      </c>
    </row>
    <row r="9716">
      <c r="A9716" s="48" t="s">
        <v>3606</v>
      </c>
      <c r="B9716" s="38">
        <v>67180.0</v>
      </c>
      <c r="C9716" s="38" t="s">
        <v>13618</v>
      </c>
      <c r="D9716" s="38" t="str">
        <f>IFERROR(__xludf.DUMMYFUNCTION("REGEXREPLACE(C9716,""-\d+(.*)|--\d+(.*)"","""")"),"HAGUENAU")</f>
        <v>HAGUENAU</v>
      </c>
      <c r="E9716" s="38" t="s">
        <v>210</v>
      </c>
      <c r="F9716" s="38" t="s">
        <v>151</v>
      </c>
      <c r="G9716" s="49" t="str">
        <f t="shared" si="1"/>
        <v>67500</v>
      </c>
      <c r="H9716" s="49">
        <f t="shared" si="2"/>
        <v>67180</v>
      </c>
    </row>
    <row r="9717">
      <c r="A9717" s="48" t="s">
        <v>13619</v>
      </c>
      <c r="B9717" s="38">
        <v>22307.0</v>
      </c>
      <c r="C9717" s="38" t="s">
        <v>812</v>
      </c>
      <c r="D9717" s="38" t="str">
        <f>IFERROR(__xludf.DUMMYFUNCTION("REGEXREPLACE(C9717,""-\d+(.*)|--\d+(.*)"","""")"),"SAINT-JULIEN")</f>
        <v>SAINT-JULIEN</v>
      </c>
      <c r="E9717" s="38" t="s">
        <v>89</v>
      </c>
      <c r="F9717" s="38" t="s">
        <v>90</v>
      </c>
      <c r="G9717" s="49" t="str">
        <f t="shared" si="1"/>
        <v>22940</v>
      </c>
      <c r="H9717" s="49">
        <f t="shared" si="2"/>
        <v>22307</v>
      </c>
    </row>
    <row r="9718">
      <c r="A9718" s="48" t="s">
        <v>9683</v>
      </c>
      <c r="B9718" s="38">
        <v>46212.0</v>
      </c>
      <c r="C9718" s="38" t="s">
        <v>13620</v>
      </c>
      <c r="D9718" s="38" t="str">
        <f>IFERROR(__xludf.DUMMYFUNCTION("REGEXREPLACE(C9718,""-\d+(.*)|--\d+(.*)"","""")"),"ORNIAC")</f>
        <v>ORNIAC</v>
      </c>
      <c r="E9718" s="38" t="s">
        <v>185</v>
      </c>
      <c r="F9718" s="38" t="s">
        <v>94</v>
      </c>
      <c r="G9718" s="49" t="str">
        <f t="shared" si="1"/>
        <v>46330</v>
      </c>
      <c r="H9718" s="49">
        <f t="shared" si="2"/>
        <v>46212</v>
      </c>
    </row>
    <row r="9719">
      <c r="A9719" s="48" t="s">
        <v>9928</v>
      </c>
      <c r="B9719" s="38">
        <v>32225.0</v>
      </c>
      <c r="C9719" s="38" t="s">
        <v>13621</v>
      </c>
      <c r="D9719" s="38" t="str">
        <f>IFERROR(__xludf.DUMMYFUNCTION("REGEXREPLACE(C9719,""-\d+(.*)|--\d+(.*)"","""")"),"MALABAT")</f>
        <v>MALABAT</v>
      </c>
      <c r="E9719" s="38" t="s">
        <v>440</v>
      </c>
      <c r="F9719" s="38" t="s">
        <v>94</v>
      </c>
      <c r="G9719" s="49" t="str">
        <f t="shared" si="1"/>
        <v>32730</v>
      </c>
      <c r="H9719" s="49">
        <f t="shared" si="2"/>
        <v>32225</v>
      </c>
    </row>
    <row r="9720">
      <c r="A9720" s="48" t="s">
        <v>12571</v>
      </c>
      <c r="B9720" s="38">
        <v>57244.0</v>
      </c>
      <c r="C9720" s="38" t="s">
        <v>13622</v>
      </c>
      <c r="D9720" s="38" t="str">
        <f>IFERROR(__xludf.DUMMYFUNCTION("REGEXREPLACE(C9720,""-\d+(.*)|--\d+(.*)"","""")"),"GARREBOURG")</f>
        <v>GARREBOURG</v>
      </c>
      <c r="E9720" s="38" t="s">
        <v>303</v>
      </c>
      <c r="F9720" s="38" t="s">
        <v>195</v>
      </c>
      <c r="G9720" s="49" t="str">
        <f t="shared" si="1"/>
        <v>57820</v>
      </c>
      <c r="H9720" s="49">
        <f t="shared" si="2"/>
        <v>57244</v>
      </c>
    </row>
    <row r="9721">
      <c r="A9721" s="48" t="s">
        <v>13623</v>
      </c>
      <c r="B9721" s="38">
        <v>43046.0</v>
      </c>
      <c r="C9721" s="38" t="s">
        <v>13624</v>
      </c>
      <c r="D9721" s="38" t="str">
        <f>IFERROR(__xludf.DUMMYFUNCTION("REGEXREPLACE(C9721,""-\d+(.*)|--\d+(.*)"","""")"),"CHADRAC")</f>
        <v>CHADRAC</v>
      </c>
      <c r="E9721" s="38" t="s">
        <v>332</v>
      </c>
      <c r="F9721" s="38" t="s">
        <v>161</v>
      </c>
      <c r="G9721" s="49" t="str">
        <f t="shared" si="1"/>
        <v>43770</v>
      </c>
      <c r="H9721" s="49">
        <f t="shared" si="2"/>
        <v>43046</v>
      </c>
    </row>
    <row r="9722">
      <c r="A9722" s="48" t="s">
        <v>13625</v>
      </c>
      <c r="B9722" s="38">
        <v>38062.0</v>
      </c>
      <c r="C9722" s="38" t="s">
        <v>13626</v>
      </c>
      <c r="D9722" s="38" t="str">
        <f>IFERROR(__xludf.DUMMYFUNCTION("REGEXREPLACE(C9722,""-\d+(.*)|--\d+(.*)"","""")"),"LA BUISSIERE")</f>
        <v>LA BUISSIERE</v>
      </c>
      <c r="E9722" s="38" t="s">
        <v>101</v>
      </c>
      <c r="F9722" s="38" t="s">
        <v>102</v>
      </c>
      <c r="G9722" s="49" t="str">
        <f t="shared" si="1"/>
        <v>38530</v>
      </c>
      <c r="H9722" s="49">
        <f t="shared" si="2"/>
        <v>38062</v>
      </c>
    </row>
    <row r="9723">
      <c r="A9723" s="48" t="s">
        <v>7702</v>
      </c>
      <c r="B9723" s="38">
        <v>57086.0</v>
      </c>
      <c r="C9723" s="38" t="s">
        <v>13627</v>
      </c>
      <c r="D9723" s="38" t="str">
        <f>IFERROR(__xludf.DUMMYFUNCTION("REGEXREPLACE(C9723,""-\d+(.*)|--\d+(.*)"","""")"),"BELLES-FORETS")</f>
        <v>BELLES-FORETS</v>
      </c>
      <c r="E9723" s="38" t="s">
        <v>303</v>
      </c>
      <c r="F9723" s="38" t="s">
        <v>195</v>
      </c>
      <c r="G9723" s="49" t="str">
        <f t="shared" si="1"/>
        <v>57930</v>
      </c>
      <c r="H9723" s="49">
        <f t="shared" si="2"/>
        <v>57086</v>
      </c>
    </row>
    <row r="9724">
      <c r="A9724" s="48" t="s">
        <v>1027</v>
      </c>
      <c r="B9724" s="38">
        <v>1454.0</v>
      </c>
      <c r="C9724" s="38" t="s">
        <v>13628</v>
      </c>
      <c r="D9724" s="38" t="str">
        <f>IFERROR(__xludf.DUMMYFUNCTION("REGEXREPLACE(C9724,""-\d+(.*)|--\d+(.*)"","""")"),"VIRIGNIN")</f>
        <v>VIRIGNIN</v>
      </c>
      <c r="E9724" s="38" t="s">
        <v>255</v>
      </c>
      <c r="F9724" s="38" t="s">
        <v>102</v>
      </c>
      <c r="G9724" s="49" t="str">
        <f t="shared" si="1"/>
        <v>01300</v>
      </c>
      <c r="H9724" s="49" t="str">
        <f t="shared" si="2"/>
        <v>01454</v>
      </c>
    </row>
    <row r="9725">
      <c r="A9725" s="48" t="s">
        <v>6019</v>
      </c>
      <c r="B9725" s="38">
        <v>39409.0</v>
      </c>
      <c r="C9725" s="38" t="s">
        <v>13629</v>
      </c>
      <c r="D9725" s="38" t="str">
        <f>IFERROR(__xludf.DUMMYFUNCTION("REGEXREPLACE(C9725,""-\d+(.*)|--\d+(.*)"","""")"),"PEINTRE")</f>
        <v>PEINTRE</v>
      </c>
      <c r="E9725" s="38" t="s">
        <v>400</v>
      </c>
      <c r="F9725" s="38" t="s">
        <v>214</v>
      </c>
      <c r="G9725" s="49" t="str">
        <f t="shared" si="1"/>
        <v>39290</v>
      </c>
      <c r="H9725" s="49">
        <f t="shared" si="2"/>
        <v>39409</v>
      </c>
    </row>
    <row r="9726">
      <c r="A9726" s="48" t="s">
        <v>7933</v>
      </c>
      <c r="B9726" s="38">
        <v>27050.0</v>
      </c>
      <c r="C9726" s="38" t="s">
        <v>13630</v>
      </c>
      <c r="D9726" s="38" t="str">
        <f>IFERROR(__xludf.DUMMYFUNCTION("REGEXREPLACE(C9726,""-\d+(.*)|--\d+(.*)"","""")"),"BEAUMONTEL")</f>
        <v>BEAUMONTEL</v>
      </c>
      <c r="E9726" s="38" t="s">
        <v>241</v>
      </c>
      <c r="F9726" s="38" t="s">
        <v>134</v>
      </c>
      <c r="G9726" s="49" t="str">
        <f t="shared" si="1"/>
        <v>27170</v>
      </c>
      <c r="H9726" s="49">
        <f t="shared" si="2"/>
        <v>27050</v>
      </c>
    </row>
    <row r="9727">
      <c r="A9727" s="48" t="s">
        <v>167</v>
      </c>
      <c r="B9727" s="38">
        <v>34013.0</v>
      </c>
      <c r="C9727" s="38" t="s">
        <v>13631</v>
      </c>
      <c r="D9727" s="38" t="str">
        <f>IFERROR(__xludf.DUMMYFUNCTION("REGEXREPLACE(C9727,""-\d+(.*)|--\d+(.*)"","""")"),"ASPIRAN")</f>
        <v>ASPIRAN</v>
      </c>
      <c r="E9727" s="38" t="s">
        <v>118</v>
      </c>
      <c r="F9727" s="38" t="s">
        <v>119</v>
      </c>
      <c r="G9727" s="49" t="str">
        <f t="shared" si="1"/>
        <v>34800</v>
      </c>
      <c r="H9727" s="49">
        <f t="shared" si="2"/>
        <v>34013</v>
      </c>
    </row>
    <row r="9728">
      <c r="A9728" s="48" t="s">
        <v>1118</v>
      </c>
      <c r="B9728" s="38">
        <v>50642.0</v>
      </c>
      <c r="C9728" s="38" t="s">
        <v>13632</v>
      </c>
      <c r="D9728" s="38" t="str">
        <f>IFERROR(__xludf.DUMMYFUNCTION("REGEXREPLACE(C9728,""-\d+(.*)|--\d+(.*)"","""")"),"VINDEFONTAINE")</f>
        <v>VINDEFONTAINE</v>
      </c>
      <c r="E9728" s="38" t="s">
        <v>157</v>
      </c>
      <c r="F9728" s="38" t="s">
        <v>138</v>
      </c>
      <c r="G9728" s="49" t="str">
        <f t="shared" si="1"/>
        <v>50250</v>
      </c>
      <c r="H9728" s="49">
        <f t="shared" si="2"/>
        <v>50642</v>
      </c>
    </row>
    <row r="9729">
      <c r="A9729" s="48" t="s">
        <v>9373</v>
      </c>
      <c r="B9729" s="38">
        <v>84133.0</v>
      </c>
      <c r="C9729" s="38" t="s">
        <v>13633</v>
      </c>
      <c r="D9729" s="38" t="str">
        <f>IFERROR(__xludf.DUMMYFUNCTION("REGEXREPLACE(C9729,""-\d+(.*)|--\d+(.*)"","""")"),"LA TOUR-D'AIGUES")</f>
        <v>LA TOUR-D'AIGUES</v>
      </c>
      <c r="E9729" s="38" t="s">
        <v>1026</v>
      </c>
      <c r="F9729" s="38" t="s">
        <v>228</v>
      </c>
      <c r="G9729" s="49" t="str">
        <f t="shared" si="1"/>
        <v>84240</v>
      </c>
      <c r="H9729" s="49">
        <f t="shared" si="2"/>
        <v>84133</v>
      </c>
    </row>
    <row r="9730">
      <c r="A9730" s="48" t="s">
        <v>13339</v>
      </c>
      <c r="B9730" s="38">
        <v>62145.0</v>
      </c>
      <c r="C9730" s="38" t="s">
        <v>13634</v>
      </c>
      <c r="D9730" s="38" t="str">
        <f>IFERROR(__xludf.DUMMYFUNCTION("REGEXREPLACE(C9730,""-\d+(.*)|--\d+(.*)"","""")"),"BOIRY-NOTRE-DAME")</f>
        <v>BOIRY-NOTRE-DAME</v>
      </c>
      <c r="E9730" s="38" t="s">
        <v>109</v>
      </c>
      <c r="F9730" s="38" t="s">
        <v>86</v>
      </c>
      <c r="G9730" s="49" t="str">
        <f t="shared" si="1"/>
        <v>62156</v>
      </c>
      <c r="H9730" s="49">
        <f t="shared" si="2"/>
        <v>62145</v>
      </c>
    </row>
    <row r="9731">
      <c r="A9731" s="48" t="s">
        <v>360</v>
      </c>
      <c r="B9731" s="38">
        <v>78474.0</v>
      </c>
      <c r="C9731" s="38" t="s">
        <v>13635</v>
      </c>
      <c r="D9731" s="38" t="str">
        <f>IFERROR(__xludf.DUMMYFUNCTION("REGEXREPLACE(C9731,""-\d+(.*)|--\d+(.*)"","""")"),"ORVILLIERS")</f>
        <v>ORVILLIERS</v>
      </c>
      <c r="E9731" s="38" t="s">
        <v>362</v>
      </c>
      <c r="F9731" s="38" t="s">
        <v>245</v>
      </c>
      <c r="G9731" s="49" t="str">
        <f t="shared" si="1"/>
        <v>78910</v>
      </c>
      <c r="H9731" s="49">
        <f t="shared" si="2"/>
        <v>78474</v>
      </c>
    </row>
    <row r="9732">
      <c r="A9732" s="48" t="s">
        <v>944</v>
      </c>
      <c r="B9732" s="38">
        <v>61111.0</v>
      </c>
      <c r="C9732" s="38" t="s">
        <v>8344</v>
      </c>
      <c r="D9732" s="38" t="str">
        <f>IFERROR(__xludf.DUMMYFUNCTION("REGEXREPLACE(C9732,""-\d+(.*)|--\d+(.*)"","""")"),"COLOMBIERS")</f>
        <v>COLOMBIERS</v>
      </c>
      <c r="E9732" s="38" t="s">
        <v>141</v>
      </c>
      <c r="F9732" s="38" t="s">
        <v>138</v>
      </c>
      <c r="G9732" s="49" t="str">
        <f t="shared" si="1"/>
        <v>61250</v>
      </c>
      <c r="H9732" s="49">
        <f t="shared" si="2"/>
        <v>61111</v>
      </c>
    </row>
    <row r="9733">
      <c r="A9733" s="48" t="s">
        <v>13636</v>
      </c>
      <c r="B9733" s="38">
        <v>57412.0</v>
      </c>
      <c r="C9733" s="38" t="s">
        <v>13637</v>
      </c>
      <c r="D9733" s="38" t="str">
        <f>IFERROR(__xludf.DUMMYFUNCTION("REGEXREPLACE(C9733,""-\d+(.*)|--\d+(.*)"","""")"),"LONGEVILLE-LES-METZ")</f>
        <v>LONGEVILLE-LES-METZ</v>
      </c>
      <c r="E9733" s="38" t="s">
        <v>303</v>
      </c>
      <c r="F9733" s="38" t="s">
        <v>195</v>
      </c>
      <c r="G9733" s="49" t="str">
        <f t="shared" si="1"/>
        <v>57050</v>
      </c>
      <c r="H9733" s="49">
        <f t="shared" si="2"/>
        <v>57412</v>
      </c>
    </row>
    <row r="9734">
      <c r="A9734" s="48" t="s">
        <v>13638</v>
      </c>
      <c r="B9734" s="38">
        <v>56045.0</v>
      </c>
      <c r="C9734" s="38" t="s">
        <v>13639</v>
      </c>
      <c r="D9734" s="38" t="str">
        <f>IFERROR(__xludf.DUMMYFUNCTION("REGEXREPLACE(C9734,""-\d+(.*)|--\d+(.*)"","""")"),"LE COURS")</f>
        <v>LE COURS</v>
      </c>
      <c r="E9734" s="38" t="s">
        <v>173</v>
      </c>
      <c r="F9734" s="38" t="s">
        <v>90</v>
      </c>
      <c r="G9734" s="49" t="str">
        <f t="shared" si="1"/>
        <v>56230</v>
      </c>
      <c r="H9734" s="49">
        <f t="shared" si="2"/>
        <v>56045</v>
      </c>
    </row>
    <row r="9735">
      <c r="A9735" s="48" t="s">
        <v>6258</v>
      </c>
      <c r="B9735" s="38">
        <v>95543.0</v>
      </c>
      <c r="C9735" s="38" t="s">
        <v>13640</v>
      </c>
      <c r="D9735" s="38" t="str">
        <f>IFERROR(__xludf.DUMMYFUNCTION("REGEXREPLACE(C9735,""-\d+(.*)|--\d+(.*)"","""")"),"SAINT-CYR-EN-ARTHIES")</f>
        <v>SAINT-CYR-EN-ARTHIES</v>
      </c>
      <c r="E9735" s="38" t="s">
        <v>541</v>
      </c>
      <c r="F9735" s="38" t="s">
        <v>245</v>
      </c>
      <c r="G9735" s="49" t="str">
        <f t="shared" si="1"/>
        <v>95510</v>
      </c>
      <c r="H9735" s="49">
        <f t="shared" si="2"/>
        <v>95543</v>
      </c>
    </row>
    <row r="9736">
      <c r="A9736" s="48" t="s">
        <v>279</v>
      </c>
      <c r="B9736" s="38">
        <v>40320.0</v>
      </c>
      <c r="C9736" s="38" t="s">
        <v>13641</v>
      </c>
      <c r="D9736" s="38" t="str">
        <f>IFERROR(__xludf.DUMMYFUNCTION("REGEXREPLACE(C9736,""-\d+(.*)|--\d+(.*)"","""")"),"UCHACQ-ET-PARENTIS")</f>
        <v>UCHACQ-ET-PARENTIS</v>
      </c>
      <c r="E9736" s="38" t="s">
        <v>281</v>
      </c>
      <c r="F9736" s="38" t="s">
        <v>252</v>
      </c>
      <c r="G9736" s="49" t="str">
        <f t="shared" si="1"/>
        <v>40090</v>
      </c>
      <c r="H9736" s="49">
        <f t="shared" si="2"/>
        <v>40320</v>
      </c>
    </row>
    <row r="9737">
      <c r="A9737" s="48" t="s">
        <v>883</v>
      </c>
      <c r="B9737" s="38">
        <v>71423.0</v>
      </c>
      <c r="C9737" s="38" t="s">
        <v>13642</v>
      </c>
      <c r="D9737" s="38" t="str">
        <f>IFERROR(__xludf.DUMMYFUNCTION("REGEXREPLACE(C9737,""-\d+(.*)|--\d+(.*)"","""")"),"SAINT-GERVAIS-EN-VALLIERE")</f>
        <v>SAINT-GERVAIS-EN-VALLIERE</v>
      </c>
      <c r="E9737" s="38" t="s">
        <v>344</v>
      </c>
      <c r="F9737" s="38" t="s">
        <v>106</v>
      </c>
      <c r="G9737" s="49" t="str">
        <f t="shared" si="1"/>
        <v>71350</v>
      </c>
      <c r="H9737" s="49">
        <f t="shared" si="2"/>
        <v>71423</v>
      </c>
    </row>
    <row r="9738">
      <c r="A9738" s="48" t="s">
        <v>721</v>
      </c>
      <c r="B9738" s="38">
        <v>14605.0</v>
      </c>
      <c r="C9738" s="38" t="s">
        <v>13643</v>
      </c>
      <c r="D9738" s="38" t="str">
        <f>IFERROR(__xludf.DUMMYFUNCTION("REGEXREPLACE(C9738,""-\d+(.*)|--\d+(.*)"","""")"),"SAINT-LAURENT-SUR-MER")</f>
        <v>SAINT-LAURENT-SUR-MER</v>
      </c>
      <c r="E9738" s="38" t="s">
        <v>137</v>
      </c>
      <c r="F9738" s="38" t="s">
        <v>138</v>
      </c>
      <c r="G9738" s="49" t="str">
        <f t="shared" si="1"/>
        <v>14710</v>
      </c>
      <c r="H9738" s="49">
        <f t="shared" si="2"/>
        <v>14605</v>
      </c>
    </row>
    <row r="9739">
      <c r="A9739" s="48" t="s">
        <v>13644</v>
      </c>
      <c r="B9739" s="38">
        <v>5181.0</v>
      </c>
      <c r="C9739" s="38" t="s">
        <v>13645</v>
      </c>
      <c r="D9739" s="38" t="str">
        <f>IFERROR(__xludf.DUMMYFUNCTION("REGEXREPLACE(C9739,""-\d+(.*)|--\d+(.*)"","""")"),"VILLAR-D'ARENE")</f>
        <v>VILLAR-D'ARENE</v>
      </c>
      <c r="E9739" s="38" t="s">
        <v>706</v>
      </c>
      <c r="F9739" s="38" t="s">
        <v>228</v>
      </c>
      <c r="G9739" s="49" t="str">
        <f t="shared" si="1"/>
        <v>05480</v>
      </c>
      <c r="H9739" s="49" t="str">
        <f t="shared" si="2"/>
        <v>05181</v>
      </c>
    </row>
    <row r="9740">
      <c r="A9740" s="48" t="s">
        <v>2067</v>
      </c>
      <c r="B9740" s="38">
        <v>18288.0</v>
      </c>
      <c r="C9740" s="38" t="s">
        <v>13646</v>
      </c>
      <c r="D9740" s="38" t="str">
        <f>IFERROR(__xludf.DUMMYFUNCTION("REGEXREPLACE(C9740,""-\d+(.*)|--\d+(.*)"","""")"),"VORLY")</f>
        <v>VORLY</v>
      </c>
      <c r="E9740" s="38" t="s">
        <v>504</v>
      </c>
      <c r="F9740" s="38" t="s">
        <v>123</v>
      </c>
      <c r="G9740" s="49" t="str">
        <f t="shared" si="1"/>
        <v>18340</v>
      </c>
      <c r="H9740" s="49">
        <f t="shared" si="2"/>
        <v>18288</v>
      </c>
    </row>
    <row r="9741">
      <c r="A9741" s="48" t="s">
        <v>844</v>
      </c>
      <c r="B9741" s="38">
        <v>72295.0</v>
      </c>
      <c r="C9741" s="38" t="s">
        <v>13647</v>
      </c>
      <c r="D9741" s="38" t="str">
        <f>IFERROR(__xludf.DUMMYFUNCTION("REGEXREPLACE(C9741,""-\d+(.*)|--\d+(.*)"","""")"),"SAINT-LONGIS")</f>
        <v>SAINT-LONGIS</v>
      </c>
      <c r="E9741" s="38" t="s">
        <v>521</v>
      </c>
      <c r="F9741" s="38" t="s">
        <v>180</v>
      </c>
      <c r="G9741" s="49" t="str">
        <f t="shared" si="1"/>
        <v>72600</v>
      </c>
      <c r="H9741" s="49">
        <f t="shared" si="2"/>
        <v>72295</v>
      </c>
    </row>
    <row r="9742">
      <c r="A9742" s="48" t="s">
        <v>5616</v>
      </c>
      <c r="B9742" s="38">
        <v>71251.0</v>
      </c>
      <c r="C9742" s="38" t="s">
        <v>13648</v>
      </c>
      <c r="D9742" s="38" t="str">
        <f>IFERROR(__xludf.DUMMYFUNCTION("REGEXREPLACE(C9742,""-\d+(.*)|--\d+(.*)"","""")"),"LAIZY")</f>
        <v>LAIZY</v>
      </c>
      <c r="E9742" s="38" t="s">
        <v>344</v>
      </c>
      <c r="F9742" s="38" t="s">
        <v>106</v>
      </c>
      <c r="G9742" s="49" t="str">
        <f t="shared" si="1"/>
        <v>71190</v>
      </c>
      <c r="H9742" s="49">
        <f t="shared" si="2"/>
        <v>71251</v>
      </c>
    </row>
    <row r="9743">
      <c r="A9743" s="48" t="s">
        <v>5443</v>
      </c>
      <c r="B9743" s="38">
        <v>76365.0</v>
      </c>
      <c r="C9743" s="38" t="s">
        <v>13649</v>
      </c>
      <c r="D9743" s="38" t="str">
        <f>IFERROR(__xludf.DUMMYFUNCTION("REGEXREPLACE(C9743,""-\d+(.*)|--\d+(.*)"","""")"),"HOUDETOT")</f>
        <v>HOUDETOT</v>
      </c>
      <c r="E9743" s="38" t="s">
        <v>133</v>
      </c>
      <c r="F9743" s="38" t="s">
        <v>134</v>
      </c>
      <c r="G9743" s="49" t="str">
        <f t="shared" si="1"/>
        <v>76740</v>
      </c>
      <c r="H9743" s="49">
        <f t="shared" si="2"/>
        <v>76365</v>
      </c>
    </row>
    <row r="9744">
      <c r="A9744" s="48" t="s">
        <v>13650</v>
      </c>
      <c r="B9744" s="38">
        <v>40075.0</v>
      </c>
      <c r="C9744" s="38" t="s">
        <v>13651</v>
      </c>
      <c r="D9744" s="38" t="str">
        <f>IFERROR(__xludf.DUMMYFUNCTION("REGEXREPLACE(C9744,""-\d+(.*)|--\d+(.*)"","""")"),"CASTETS")</f>
        <v>CASTETS</v>
      </c>
      <c r="E9744" s="38" t="s">
        <v>281</v>
      </c>
      <c r="F9744" s="38" t="s">
        <v>252</v>
      </c>
      <c r="G9744" s="49" t="str">
        <f t="shared" si="1"/>
        <v>40260</v>
      </c>
      <c r="H9744" s="49">
        <f t="shared" si="2"/>
        <v>40075</v>
      </c>
    </row>
    <row r="9745">
      <c r="A9745" s="48" t="s">
        <v>2899</v>
      </c>
      <c r="B9745" s="38">
        <v>15221.0</v>
      </c>
      <c r="C9745" s="38" t="s">
        <v>13652</v>
      </c>
      <c r="D9745" s="38" t="str">
        <f>IFERROR(__xludf.DUMMYFUNCTION("REGEXREPLACE(C9745,""-\d+(.*)|--\d+(.*)"","""")"),"SANSAC-DE-MARMIESSE")</f>
        <v>SANSAC-DE-MARMIESSE</v>
      </c>
      <c r="E9745" s="38" t="s">
        <v>632</v>
      </c>
      <c r="F9745" s="38" t="s">
        <v>161</v>
      </c>
      <c r="G9745" s="49" t="str">
        <f t="shared" si="1"/>
        <v>15130</v>
      </c>
      <c r="H9745" s="49">
        <f t="shared" si="2"/>
        <v>15221</v>
      </c>
    </row>
    <row r="9746">
      <c r="A9746" s="48" t="s">
        <v>3422</v>
      </c>
      <c r="B9746" s="38">
        <v>32289.0</v>
      </c>
      <c r="C9746" s="38" t="s">
        <v>13653</v>
      </c>
      <c r="D9746" s="38" t="str">
        <f>IFERROR(__xludf.DUMMYFUNCTION("REGEXREPLACE(C9746,""-\d+(.*)|--\d+(.*)"","""")"),"MONTPEZAT")</f>
        <v>MONTPEZAT</v>
      </c>
      <c r="E9746" s="38" t="s">
        <v>440</v>
      </c>
      <c r="F9746" s="38" t="s">
        <v>94</v>
      </c>
      <c r="G9746" s="49" t="str">
        <f t="shared" si="1"/>
        <v>32220</v>
      </c>
      <c r="H9746" s="49">
        <f t="shared" si="2"/>
        <v>32289</v>
      </c>
    </row>
    <row r="9747">
      <c r="A9747" s="48" t="s">
        <v>12083</v>
      </c>
      <c r="B9747" s="38">
        <v>26024.0</v>
      </c>
      <c r="C9747" s="38" t="s">
        <v>13654</v>
      </c>
      <c r="D9747" s="38" t="str">
        <f>IFERROR(__xludf.DUMMYFUNCTION("REGEXREPLACE(C9747,""-\d+(.*)|--\d+(.*)"","""")"),"BARCELONNE")</f>
        <v>BARCELONNE</v>
      </c>
      <c r="E9747" s="38" t="s">
        <v>126</v>
      </c>
      <c r="F9747" s="38" t="s">
        <v>102</v>
      </c>
      <c r="G9747" s="49" t="str">
        <f t="shared" si="1"/>
        <v>26120</v>
      </c>
      <c r="H9747" s="49">
        <f t="shared" si="2"/>
        <v>26024</v>
      </c>
    </row>
    <row r="9748">
      <c r="A9748" s="48" t="s">
        <v>13655</v>
      </c>
      <c r="B9748" s="38">
        <v>17411.0</v>
      </c>
      <c r="C9748" s="38" t="s">
        <v>13656</v>
      </c>
      <c r="D9748" s="38" t="str">
        <f>IFERROR(__xludf.DUMMYFUNCTION("REGEXREPLACE(C9748,""-\d+(.*)|--\d+(.*)"","""")"),"SAINT-TROJAN-LES-BAINS")</f>
        <v>SAINT-TROJAN-LES-BAINS</v>
      </c>
      <c r="E9748" s="38" t="s">
        <v>488</v>
      </c>
      <c r="F9748" s="38" t="s">
        <v>338</v>
      </c>
      <c r="G9748" s="49" t="str">
        <f t="shared" si="1"/>
        <v>17370</v>
      </c>
      <c r="H9748" s="49">
        <f t="shared" si="2"/>
        <v>17411</v>
      </c>
    </row>
    <row r="9749">
      <c r="A9749" s="48" t="s">
        <v>1336</v>
      </c>
      <c r="B9749" s="38">
        <v>33532.0</v>
      </c>
      <c r="C9749" s="38" t="s">
        <v>13657</v>
      </c>
      <c r="D9749" s="38" t="str">
        <f>IFERROR(__xludf.DUMMYFUNCTION("REGEXREPLACE(C9749,""-\d+(.*)|--\d+(.*)"","""")"),"TIZAC-DE-LAPOUYADE")</f>
        <v>TIZAC-DE-LAPOUYADE</v>
      </c>
      <c r="E9749" s="38" t="s">
        <v>462</v>
      </c>
      <c r="F9749" s="38" t="s">
        <v>252</v>
      </c>
      <c r="G9749" s="49" t="str">
        <f t="shared" si="1"/>
        <v>33620</v>
      </c>
      <c r="H9749" s="49">
        <f t="shared" si="2"/>
        <v>33532</v>
      </c>
    </row>
    <row r="9750">
      <c r="A9750" s="48" t="s">
        <v>7393</v>
      </c>
      <c r="B9750" s="38">
        <v>42326.0</v>
      </c>
      <c r="C9750" s="38" t="s">
        <v>13658</v>
      </c>
      <c r="D9750" s="38" t="str">
        <f>IFERROR(__xludf.DUMMYFUNCTION("REGEXREPLACE(C9750,""-\d+(.*)|--\d+(.*)"","""")"),"VERANNE")</f>
        <v>VERANNE</v>
      </c>
      <c r="E9750" s="38" t="s">
        <v>166</v>
      </c>
      <c r="F9750" s="38" t="s">
        <v>102</v>
      </c>
      <c r="G9750" s="49" t="str">
        <f t="shared" si="1"/>
        <v>42520</v>
      </c>
      <c r="H9750" s="49">
        <f t="shared" si="2"/>
        <v>42326</v>
      </c>
    </row>
    <row r="9751">
      <c r="A9751" s="48" t="s">
        <v>4073</v>
      </c>
      <c r="B9751" s="38">
        <v>11339.0</v>
      </c>
      <c r="C9751" s="38" t="s">
        <v>13659</v>
      </c>
      <c r="D9751" s="38" t="str">
        <f>IFERROR(__xludf.DUMMYFUNCTION("REGEXREPLACE(C9751,""-\d+(.*)|--\d+(.*)"","""")"),"SAINT-DENIS")</f>
        <v>SAINT-DENIS</v>
      </c>
      <c r="E9751" s="38" t="s">
        <v>278</v>
      </c>
      <c r="F9751" s="38" t="s">
        <v>119</v>
      </c>
      <c r="G9751" s="49" t="str">
        <f t="shared" si="1"/>
        <v>11310</v>
      </c>
      <c r="H9751" s="49">
        <f t="shared" si="2"/>
        <v>11339</v>
      </c>
    </row>
    <row r="9752">
      <c r="A9752" s="48" t="s">
        <v>6002</v>
      </c>
      <c r="B9752" s="38">
        <v>18287.0</v>
      </c>
      <c r="C9752" s="38" t="s">
        <v>13660</v>
      </c>
      <c r="D9752" s="38" t="str">
        <f>IFERROR(__xludf.DUMMYFUNCTION("REGEXREPLACE(C9752,""-\d+(.*)|--\d+(.*)"","""")"),"VINON")</f>
        <v>VINON</v>
      </c>
      <c r="E9752" s="38" t="s">
        <v>504</v>
      </c>
      <c r="F9752" s="38" t="s">
        <v>123</v>
      </c>
      <c r="G9752" s="49" t="str">
        <f t="shared" si="1"/>
        <v>18300</v>
      </c>
      <c r="H9752" s="49">
        <f t="shared" si="2"/>
        <v>18287</v>
      </c>
    </row>
    <row r="9753">
      <c r="A9753" s="48" t="s">
        <v>8587</v>
      </c>
      <c r="B9753" s="38">
        <v>66068.0</v>
      </c>
      <c r="C9753" s="38" t="s">
        <v>13661</v>
      </c>
      <c r="D9753" s="38" t="str">
        <f>IFERROR(__xludf.DUMMYFUNCTION("REGEXREPLACE(C9753,""-\d+(.*)|--\d+(.*)"","""")"),"ESCARO")</f>
        <v>ESCARO</v>
      </c>
      <c r="E9753" s="38" t="s">
        <v>248</v>
      </c>
      <c r="F9753" s="38" t="s">
        <v>119</v>
      </c>
      <c r="G9753" s="49" t="str">
        <f t="shared" si="1"/>
        <v>66360</v>
      </c>
      <c r="H9753" s="49">
        <f t="shared" si="2"/>
        <v>66068</v>
      </c>
    </row>
    <row r="9754">
      <c r="A9754" s="48" t="s">
        <v>13581</v>
      </c>
      <c r="B9754" s="38">
        <v>78346.0</v>
      </c>
      <c r="C9754" s="38" t="s">
        <v>10074</v>
      </c>
      <c r="D9754" s="38" t="str">
        <f>IFERROR(__xludf.DUMMYFUNCTION("REGEXREPLACE(C9754,""-\d+(.*)|--\d+(.*)"","""")"),"LONGNES")</f>
        <v>LONGNES</v>
      </c>
      <c r="E9754" s="38" t="s">
        <v>362</v>
      </c>
      <c r="F9754" s="38" t="s">
        <v>245</v>
      </c>
      <c r="G9754" s="49" t="str">
        <f t="shared" si="1"/>
        <v>78980</v>
      </c>
      <c r="H9754" s="49">
        <f t="shared" si="2"/>
        <v>78346</v>
      </c>
    </row>
    <row r="9755">
      <c r="A9755" s="48" t="s">
        <v>307</v>
      </c>
      <c r="B9755" s="38">
        <v>88229.0</v>
      </c>
      <c r="C9755" s="38" t="s">
        <v>13662</v>
      </c>
      <c r="D9755" s="38" t="str">
        <f>IFERROR(__xludf.DUMMYFUNCTION("REGEXREPLACE(C9755,""-\d+(.*)|--\d+(.*)"","""")"),"HARCHECHAMP")</f>
        <v>HARCHECHAMP</v>
      </c>
      <c r="E9755" s="38" t="s">
        <v>194</v>
      </c>
      <c r="F9755" s="38" t="s">
        <v>195</v>
      </c>
      <c r="G9755" s="49" t="str">
        <f t="shared" si="1"/>
        <v>88300</v>
      </c>
      <c r="H9755" s="49">
        <f t="shared" si="2"/>
        <v>88229</v>
      </c>
    </row>
    <row r="9756">
      <c r="A9756" s="48" t="s">
        <v>3523</v>
      </c>
      <c r="B9756" s="38">
        <v>31517.0</v>
      </c>
      <c r="C9756" s="38" t="s">
        <v>13663</v>
      </c>
      <c r="D9756" s="38" t="str">
        <f>IFERROR(__xludf.DUMMYFUNCTION("REGEXREPLACE(C9756,""-\d+(.*)|--\d+(.*)"","""")"),"SAINT-SULPICE-SUR-LEZE")</f>
        <v>SAINT-SULPICE-SUR-LEZE</v>
      </c>
      <c r="E9756" s="38" t="s">
        <v>93</v>
      </c>
      <c r="F9756" s="38" t="s">
        <v>94</v>
      </c>
      <c r="G9756" s="49" t="str">
        <f t="shared" si="1"/>
        <v>31410</v>
      </c>
      <c r="H9756" s="49">
        <f t="shared" si="2"/>
        <v>31517</v>
      </c>
    </row>
    <row r="9757">
      <c r="A9757" s="48" t="s">
        <v>4775</v>
      </c>
      <c r="B9757" s="38">
        <v>12002.0</v>
      </c>
      <c r="C9757" s="38" t="s">
        <v>13664</v>
      </c>
      <c r="D9757" s="38" t="str">
        <f>IFERROR(__xludf.DUMMYFUNCTION("REGEXREPLACE(C9757,""-\d+(.*)|--\d+(.*)"","""")"),"AGUESSAC")</f>
        <v>AGUESSAC</v>
      </c>
      <c r="E9757" s="38" t="s">
        <v>465</v>
      </c>
      <c r="F9757" s="38" t="s">
        <v>94</v>
      </c>
      <c r="G9757" s="49" t="str">
        <f t="shared" si="1"/>
        <v>12520</v>
      </c>
      <c r="H9757" s="49">
        <f t="shared" si="2"/>
        <v>12002</v>
      </c>
    </row>
    <row r="9758">
      <c r="A9758" s="48" t="s">
        <v>6628</v>
      </c>
      <c r="B9758" s="38">
        <v>1156.0</v>
      </c>
      <c r="C9758" s="38" t="s">
        <v>13665</v>
      </c>
      <c r="D9758" s="38" t="str">
        <f>IFERROR(__xludf.DUMMYFUNCTION("REGEXREPLACE(C9758,""-\d+(.*)|--\d+(.*)"","""")"),"FARAMANS")</f>
        <v>FARAMANS</v>
      </c>
      <c r="E9758" s="38" t="s">
        <v>255</v>
      </c>
      <c r="F9758" s="38" t="s">
        <v>102</v>
      </c>
      <c r="G9758" s="49" t="str">
        <f t="shared" si="1"/>
        <v>01800</v>
      </c>
      <c r="H9758" s="49" t="str">
        <f t="shared" si="2"/>
        <v>01156</v>
      </c>
    </row>
    <row r="9759">
      <c r="A9759" s="48" t="s">
        <v>236</v>
      </c>
      <c r="B9759" s="38">
        <v>9161.0</v>
      </c>
      <c r="C9759" s="38" t="s">
        <v>13666</v>
      </c>
      <c r="D9759" s="38" t="str">
        <f>IFERROR(__xludf.DUMMYFUNCTION("REGEXREPLACE(C9759,""-\d+(.*)|--\d+(.*)"","""")"),"LERAN")</f>
        <v>LERAN</v>
      </c>
      <c r="E9759" s="38" t="s">
        <v>238</v>
      </c>
      <c r="F9759" s="38" t="s">
        <v>94</v>
      </c>
      <c r="G9759" s="49" t="str">
        <f t="shared" si="1"/>
        <v>09600</v>
      </c>
      <c r="H9759" s="49" t="str">
        <f t="shared" si="2"/>
        <v>09161</v>
      </c>
    </row>
    <row r="9760">
      <c r="A9760" s="48" t="s">
        <v>1310</v>
      </c>
      <c r="B9760" s="38">
        <v>25233.0</v>
      </c>
      <c r="C9760" s="38" t="s">
        <v>13667</v>
      </c>
      <c r="D9760" s="38" t="str">
        <f>IFERROR(__xludf.DUMMYFUNCTION("REGEXREPLACE(C9760,""-\d+(.*)|--\d+(.*)"","""")"),"FALLERANS")</f>
        <v>FALLERANS</v>
      </c>
      <c r="E9760" s="38" t="s">
        <v>213</v>
      </c>
      <c r="F9760" s="38" t="s">
        <v>214</v>
      </c>
      <c r="G9760" s="49" t="str">
        <f t="shared" si="1"/>
        <v>25580</v>
      </c>
      <c r="H9760" s="49">
        <f t="shared" si="2"/>
        <v>25233</v>
      </c>
    </row>
    <row r="9761">
      <c r="A9761" s="48" t="s">
        <v>1940</v>
      </c>
      <c r="B9761" s="38">
        <v>51351.0</v>
      </c>
      <c r="C9761" s="38" t="s">
        <v>13668</v>
      </c>
      <c r="D9761" s="38" t="str">
        <f>IFERROR(__xludf.DUMMYFUNCTION("REGEXREPLACE(C9761,""-\d+(.*)|--\d+(.*)"","""")"),"MARIGNY")</f>
        <v>MARIGNY</v>
      </c>
      <c r="E9761" s="38" t="s">
        <v>129</v>
      </c>
      <c r="F9761" s="38" t="s">
        <v>130</v>
      </c>
      <c r="G9761" s="49" t="str">
        <f t="shared" si="1"/>
        <v>51230</v>
      </c>
      <c r="H9761" s="49">
        <f t="shared" si="2"/>
        <v>51351</v>
      </c>
    </row>
    <row r="9762">
      <c r="A9762" s="48" t="s">
        <v>3238</v>
      </c>
      <c r="B9762" s="38">
        <v>61060.0</v>
      </c>
      <c r="C9762" s="38" t="s">
        <v>13669</v>
      </c>
      <c r="D9762" s="38" t="str">
        <f>IFERROR(__xludf.DUMMYFUNCTION("REGEXREPLACE(C9762,""-\d+(.*)|--\d+(.*)"","""")"),"BRETHEL")</f>
        <v>BRETHEL</v>
      </c>
      <c r="E9762" s="38" t="s">
        <v>141</v>
      </c>
      <c r="F9762" s="38" t="s">
        <v>138</v>
      </c>
      <c r="G9762" s="49" t="str">
        <f t="shared" si="1"/>
        <v>61270</v>
      </c>
      <c r="H9762" s="49">
        <f t="shared" si="2"/>
        <v>61060</v>
      </c>
    </row>
    <row r="9763">
      <c r="A9763" s="48" t="s">
        <v>13670</v>
      </c>
      <c r="B9763" s="38" t="s">
        <v>13671</v>
      </c>
      <c r="C9763" s="38" t="s">
        <v>13672</v>
      </c>
      <c r="D9763" s="38" t="str">
        <f>IFERROR(__xludf.DUMMYFUNCTION("REGEXREPLACE(C9763,""-\d+(.*)|--\d+(.*)"","""")"),"OLMETO")</f>
        <v>OLMETO</v>
      </c>
      <c r="E9763" s="38" t="s">
        <v>606</v>
      </c>
      <c r="F9763" s="38" t="s">
        <v>607</v>
      </c>
      <c r="G9763" s="49" t="str">
        <f t="shared" si="1"/>
        <v>20113</v>
      </c>
      <c r="H9763" s="49" t="str">
        <f t="shared" si="2"/>
        <v>2A189</v>
      </c>
    </row>
    <row r="9764">
      <c r="A9764" s="48" t="s">
        <v>10348</v>
      </c>
      <c r="B9764" s="38">
        <v>61363.0</v>
      </c>
      <c r="C9764" s="38" t="s">
        <v>13673</v>
      </c>
      <c r="D9764" s="38" t="str">
        <f>IFERROR(__xludf.DUMMYFUNCTION("REGEXREPLACE(C9764,""-\d+(.*)|--\d+(.*)"","""")"),"SAINT-AQUILIN-DE-CORBION")</f>
        <v>SAINT-AQUILIN-DE-CORBION</v>
      </c>
      <c r="E9764" s="38" t="s">
        <v>141</v>
      </c>
      <c r="F9764" s="38" t="s">
        <v>138</v>
      </c>
      <c r="G9764" s="49" t="str">
        <f t="shared" si="1"/>
        <v>61380</v>
      </c>
      <c r="H9764" s="49">
        <f t="shared" si="2"/>
        <v>61363</v>
      </c>
    </row>
    <row r="9765">
      <c r="A9765" s="48" t="s">
        <v>4695</v>
      </c>
      <c r="B9765" s="38">
        <v>36110.0</v>
      </c>
      <c r="C9765" s="38" t="s">
        <v>13674</v>
      </c>
      <c r="D9765" s="38" t="str">
        <f>IFERROR(__xludf.DUMMYFUNCTION("REGEXREPLACE(C9765,""-\d+(.*)|--\d+(.*)"","""")"),"MAILLET")</f>
        <v>MAILLET</v>
      </c>
      <c r="E9765" s="38" t="s">
        <v>258</v>
      </c>
      <c r="F9765" s="38" t="s">
        <v>123</v>
      </c>
      <c r="G9765" s="49" t="str">
        <f t="shared" si="1"/>
        <v>36340</v>
      </c>
      <c r="H9765" s="49">
        <f t="shared" si="2"/>
        <v>36110</v>
      </c>
    </row>
    <row r="9766">
      <c r="A9766" s="48" t="s">
        <v>10509</v>
      </c>
      <c r="B9766" s="38">
        <v>42157.0</v>
      </c>
      <c r="C9766" s="38" t="s">
        <v>13675</v>
      </c>
      <c r="D9766" s="38" t="str">
        <f>IFERROR(__xludf.DUMMYFUNCTION("REGEXREPLACE(C9766,""-\d+(.*)|--\d+(.*)"","""")"),"NOAILLY")</f>
        <v>NOAILLY</v>
      </c>
      <c r="E9766" s="38" t="s">
        <v>166</v>
      </c>
      <c r="F9766" s="38" t="s">
        <v>102</v>
      </c>
      <c r="G9766" s="49" t="str">
        <f t="shared" si="1"/>
        <v>42640</v>
      </c>
      <c r="H9766" s="49">
        <f t="shared" si="2"/>
        <v>42157</v>
      </c>
    </row>
    <row r="9767">
      <c r="A9767" s="48" t="s">
        <v>5806</v>
      </c>
      <c r="B9767" s="38">
        <v>39565.0</v>
      </c>
      <c r="C9767" s="38" t="s">
        <v>13676</v>
      </c>
      <c r="D9767" s="38" t="str">
        <f>IFERROR(__xludf.DUMMYFUNCTION("REGEXREPLACE(C9767,""-\d+(.*)|--\d+(.*)"","""")"),"VILLENEUVE-D'AVAL")</f>
        <v>VILLENEUVE-D'AVAL</v>
      </c>
      <c r="E9767" s="38" t="s">
        <v>400</v>
      </c>
      <c r="F9767" s="38" t="s">
        <v>214</v>
      </c>
      <c r="G9767" s="49" t="str">
        <f t="shared" si="1"/>
        <v>39600</v>
      </c>
      <c r="H9767" s="49">
        <f t="shared" si="2"/>
        <v>39565</v>
      </c>
    </row>
    <row r="9768">
      <c r="A9768" s="48" t="s">
        <v>4586</v>
      </c>
      <c r="B9768" s="38">
        <v>40079.0</v>
      </c>
      <c r="C9768" s="38" t="s">
        <v>13677</v>
      </c>
      <c r="D9768" s="38" t="str">
        <f>IFERROR(__xludf.DUMMYFUNCTION("REGEXREPLACE(C9768,""-\d+(.*)|--\d+(.*)"","""")"),"CAZALIS")</f>
        <v>CAZALIS</v>
      </c>
      <c r="E9768" s="38" t="s">
        <v>281</v>
      </c>
      <c r="F9768" s="38" t="s">
        <v>252</v>
      </c>
      <c r="G9768" s="49" t="str">
        <f t="shared" si="1"/>
        <v>40700</v>
      </c>
      <c r="H9768" s="49">
        <f t="shared" si="2"/>
        <v>40079</v>
      </c>
    </row>
    <row r="9769">
      <c r="A9769" s="48" t="s">
        <v>3061</v>
      </c>
      <c r="B9769" s="38">
        <v>71354.0</v>
      </c>
      <c r="C9769" s="38" t="s">
        <v>13678</v>
      </c>
      <c r="D9769" s="38" t="str">
        <f>IFERROR(__xludf.DUMMYFUNCTION("REGEXREPLACE(C9769,""-\d+(.*)|--\d+(.*)"","""")"),"POISSON")</f>
        <v>POISSON</v>
      </c>
      <c r="E9769" s="38" t="s">
        <v>344</v>
      </c>
      <c r="F9769" s="38" t="s">
        <v>106</v>
      </c>
      <c r="G9769" s="49" t="str">
        <f t="shared" si="1"/>
        <v>71600</v>
      </c>
      <c r="H9769" s="49">
        <f t="shared" si="2"/>
        <v>71354</v>
      </c>
    </row>
    <row r="9770">
      <c r="A9770" s="48" t="s">
        <v>6207</v>
      </c>
      <c r="B9770" s="38">
        <v>23183.0</v>
      </c>
      <c r="C9770" s="38" t="s">
        <v>13679</v>
      </c>
      <c r="D9770" s="38" t="str">
        <f>IFERROR(__xludf.DUMMYFUNCTION("REGEXREPLACE(C9770,""-\d+(.*)|--\d+(.*)"","""")"),"SAINT-AVIT-LE-PAUVRE")</f>
        <v>SAINT-AVIT-LE-PAUVRE</v>
      </c>
      <c r="E9770" s="38" t="s">
        <v>97</v>
      </c>
      <c r="F9770" s="38" t="s">
        <v>98</v>
      </c>
      <c r="G9770" s="49" t="str">
        <f t="shared" si="1"/>
        <v>23480</v>
      </c>
      <c r="H9770" s="49">
        <f t="shared" si="2"/>
        <v>23183</v>
      </c>
    </row>
    <row r="9771">
      <c r="A9771" s="48" t="s">
        <v>3022</v>
      </c>
      <c r="B9771" s="38">
        <v>14654.0</v>
      </c>
      <c r="C9771" s="38" t="s">
        <v>13680</v>
      </c>
      <c r="D9771" s="38" t="str">
        <f>IFERROR(__xludf.DUMMYFUNCTION("REGEXREPLACE(C9771,""-\d+(.*)|--\d+(.*)"","""")"),"SAINT-PIERRE-SUR-DIVES")</f>
        <v>SAINT-PIERRE-SUR-DIVES</v>
      </c>
      <c r="E9771" s="38" t="s">
        <v>137</v>
      </c>
      <c r="F9771" s="38" t="s">
        <v>138</v>
      </c>
      <c r="G9771" s="49" t="str">
        <f t="shared" si="1"/>
        <v>14170</v>
      </c>
      <c r="H9771" s="49">
        <f t="shared" si="2"/>
        <v>14654</v>
      </c>
    </row>
    <row r="9772">
      <c r="A9772" s="48" t="s">
        <v>9755</v>
      </c>
      <c r="B9772" s="38">
        <v>51071.0</v>
      </c>
      <c r="C9772" s="38" t="s">
        <v>13681</v>
      </c>
      <c r="D9772" s="38" t="str">
        <f>IFERROR(__xludf.DUMMYFUNCTION("REGEXREPLACE(C9772,""-\d+(.*)|--\d+(.*)"","""")"),"BOUCHY-SAINT-GENEST")</f>
        <v>BOUCHY-SAINT-GENEST</v>
      </c>
      <c r="E9772" s="38" t="s">
        <v>129</v>
      </c>
      <c r="F9772" s="38" t="s">
        <v>130</v>
      </c>
      <c r="G9772" s="49" t="str">
        <f t="shared" si="1"/>
        <v>51310</v>
      </c>
      <c r="H9772" s="49">
        <f t="shared" si="2"/>
        <v>51071</v>
      </c>
    </row>
    <row r="9773">
      <c r="A9773" s="48" t="s">
        <v>13682</v>
      </c>
      <c r="B9773" s="38">
        <v>43121.0</v>
      </c>
      <c r="C9773" s="38" t="s">
        <v>13683</v>
      </c>
      <c r="D9773" s="38" t="str">
        <f>IFERROR(__xludf.DUMMYFUNCTION("REGEXREPLACE(C9773,""-\d+(.*)|--\d+(.*)"","""")"),"LEOTOING")</f>
        <v>LEOTOING</v>
      </c>
      <c r="E9773" s="38" t="s">
        <v>332</v>
      </c>
      <c r="F9773" s="38" t="s">
        <v>161</v>
      </c>
      <c r="G9773" s="49" t="str">
        <f t="shared" si="1"/>
        <v>43410</v>
      </c>
      <c r="H9773" s="49">
        <f t="shared" si="2"/>
        <v>43121</v>
      </c>
    </row>
    <row r="9774">
      <c r="A9774" s="48" t="s">
        <v>1274</v>
      </c>
      <c r="B9774" s="38">
        <v>33187.0</v>
      </c>
      <c r="C9774" s="38" t="s">
        <v>13684</v>
      </c>
      <c r="D9774" s="38" t="str">
        <f>IFERROR(__xludf.DUMMYFUNCTION("REGEXREPLACE(C9774,""-\d+(.*)|--\d+(.*)"","""")"),"GIRONDE-SUR-DROPT")</f>
        <v>GIRONDE-SUR-DROPT</v>
      </c>
      <c r="E9774" s="38" t="s">
        <v>462</v>
      </c>
      <c r="F9774" s="38" t="s">
        <v>252</v>
      </c>
      <c r="G9774" s="49" t="str">
        <f t="shared" si="1"/>
        <v>33190</v>
      </c>
      <c r="H9774" s="49">
        <f t="shared" si="2"/>
        <v>33187</v>
      </c>
    </row>
    <row r="9775">
      <c r="A9775" s="48" t="s">
        <v>3050</v>
      </c>
      <c r="B9775" s="38">
        <v>11350.0</v>
      </c>
      <c r="C9775" s="38" t="s">
        <v>13685</v>
      </c>
      <c r="D9775" s="38" t="str">
        <f>IFERROR(__xludf.DUMMYFUNCTION("REGEXREPLACE(C9775,""-\d+(.*)|--\d+(.*)"","""")"),"SAINT-JUST-ET-LE-BEZU")</f>
        <v>SAINT-JUST-ET-LE-BEZU</v>
      </c>
      <c r="E9775" s="38" t="s">
        <v>278</v>
      </c>
      <c r="F9775" s="38" t="s">
        <v>119</v>
      </c>
      <c r="G9775" s="49" t="str">
        <f t="shared" si="1"/>
        <v>11500</v>
      </c>
      <c r="H9775" s="49">
        <f t="shared" si="2"/>
        <v>11350</v>
      </c>
    </row>
    <row r="9776">
      <c r="A9776" s="48" t="s">
        <v>6668</v>
      </c>
      <c r="B9776" s="38">
        <v>89324.0</v>
      </c>
      <c r="C9776" s="38" t="s">
        <v>13686</v>
      </c>
      <c r="D9776" s="38" t="str">
        <f>IFERROR(__xludf.DUMMYFUNCTION("REGEXREPLACE(C9776,""-\d+(.*)|--\d+(.*)"","""")"),"ROGNY-LES-SEPT-ECLUSES")</f>
        <v>ROGNY-LES-SEPT-ECLUSES</v>
      </c>
      <c r="E9776" s="38" t="s">
        <v>275</v>
      </c>
      <c r="F9776" s="38" t="s">
        <v>106</v>
      </c>
      <c r="G9776" s="49" t="str">
        <f t="shared" si="1"/>
        <v>89220</v>
      </c>
      <c r="H9776" s="49">
        <f t="shared" si="2"/>
        <v>89324</v>
      </c>
    </row>
    <row r="9777">
      <c r="A9777" s="48" t="s">
        <v>13687</v>
      </c>
      <c r="B9777" s="38">
        <v>13029.0</v>
      </c>
      <c r="C9777" s="38" t="s">
        <v>13688</v>
      </c>
      <c r="D9777" s="38" t="str">
        <f>IFERROR(__xludf.DUMMYFUNCTION("REGEXREPLACE(C9777,""-\d+(.*)|--\d+(.*)"","""")"),"CORNILLON-CONFOUX")</f>
        <v>CORNILLON-CONFOUX</v>
      </c>
      <c r="E9777" s="38" t="s">
        <v>980</v>
      </c>
      <c r="F9777" s="38" t="s">
        <v>228</v>
      </c>
      <c r="G9777" s="49" t="str">
        <f t="shared" si="1"/>
        <v>13250</v>
      </c>
      <c r="H9777" s="49">
        <f t="shared" si="2"/>
        <v>13029</v>
      </c>
    </row>
    <row r="9778">
      <c r="A9778" s="48" t="s">
        <v>13682</v>
      </c>
      <c r="B9778" s="38">
        <v>43050.0</v>
      </c>
      <c r="C9778" s="38" t="s">
        <v>13689</v>
      </c>
      <c r="D9778" s="38" t="str">
        <f>IFERROR(__xludf.DUMMYFUNCTION("REGEXREPLACE(C9778,""-\d+(.*)|--\d+(.*)"","""")"),"CHAMBEZON")</f>
        <v>CHAMBEZON</v>
      </c>
      <c r="E9778" s="38" t="s">
        <v>332</v>
      </c>
      <c r="F9778" s="38" t="s">
        <v>161</v>
      </c>
      <c r="G9778" s="49" t="str">
        <f t="shared" si="1"/>
        <v>43410</v>
      </c>
      <c r="H9778" s="49">
        <f t="shared" si="2"/>
        <v>43050</v>
      </c>
    </row>
    <row r="9779">
      <c r="A9779" s="48" t="s">
        <v>13690</v>
      </c>
      <c r="B9779" s="38">
        <v>38567.0</v>
      </c>
      <c r="C9779" s="38" t="s">
        <v>13691</v>
      </c>
      <c r="D9779" s="38" t="str">
        <f>IFERROR(__xludf.DUMMYFUNCTION("REGEXREPLACE(C9779,""-\d+(.*)|--\d+(.*)"","""")"),"CHAMROUSSE")</f>
        <v>CHAMROUSSE</v>
      </c>
      <c r="E9779" s="38" t="s">
        <v>101</v>
      </c>
      <c r="F9779" s="38" t="s">
        <v>102</v>
      </c>
      <c r="G9779" s="49" t="str">
        <f t="shared" si="1"/>
        <v>38410</v>
      </c>
      <c r="H9779" s="49">
        <f t="shared" si="2"/>
        <v>38567</v>
      </c>
    </row>
    <row r="9780">
      <c r="A9780" s="48" t="s">
        <v>10324</v>
      </c>
      <c r="B9780" s="38">
        <v>54409.0</v>
      </c>
      <c r="C9780" s="38" t="s">
        <v>13692</v>
      </c>
      <c r="D9780" s="38" t="str">
        <f>IFERROR(__xludf.DUMMYFUNCTION("REGEXREPLACE(C9780,""-\d+(.*)|--\d+(.*)"","""")"),"OMELMONT")</f>
        <v>OMELMONT</v>
      </c>
      <c r="E9780" s="38" t="s">
        <v>548</v>
      </c>
      <c r="F9780" s="38" t="s">
        <v>195</v>
      </c>
      <c r="G9780" s="49" t="str">
        <f t="shared" si="1"/>
        <v>54330</v>
      </c>
      <c r="H9780" s="49">
        <f t="shared" si="2"/>
        <v>54409</v>
      </c>
    </row>
    <row r="9781">
      <c r="A9781" s="48" t="s">
        <v>8883</v>
      </c>
      <c r="B9781" s="38">
        <v>39245.0</v>
      </c>
      <c r="C9781" s="38" t="s">
        <v>13693</v>
      </c>
      <c r="D9781" s="38" t="str">
        <f>IFERROR(__xludf.DUMMYFUNCTION("REGEXREPLACE(C9781,""-\d+(.*)|--\d+(.*)"","""")"),"GATEY")</f>
        <v>GATEY</v>
      </c>
      <c r="E9781" s="38" t="s">
        <v>400</v>
      </c>
      <c r="F9781" s="38" t="s">
        <v>214</v>
      </c>
      <c r="G9781" s="49" t="str">
        <f t="shared" si="1"/>
        <v>39120</v>
      </c>
      <c r="H9781" s="49">
        <f t="shared" si="2"/>
        <v>39245</v>
      </c>
    </row>
    <row r="9782">
      <c r="A9782" s="48" t="s">
        <v>11403</v>
      </c>
      <c r="B9782" s="38" t="s">
        <v>13694</v>
      </c>
      <c r="C9782" s="38" t="s">
        <v>13695</v>
      </c>
      <c r="D9782" s="38" t="str">
        <f>IFERROR(__xludf.DUMMYFUNCTION("REGEXREPLACE(C9782,""-\d+(.*)|--\d+(.*)"","""")"),"PARTINELLO")</f>
        <v>PARTINELLO</v>
      </c>
      <c r="E9782" s="38" t="s">
        <v>606</v>
      </c>
      <c r="F9782" s="38" t="s">
        <v>607</v>
      </c>
      <c r="G9782" s="49" t="str">
        <f t="shared" si="1"/>
        <v>20147</v>
      </c>
      <c r="H9782" s="49" t="str">
        <f t="shared" si="2"/>
        <v>2A203</v>
      </c>
    </row>
    <row r="9783">
      <c r="A9783" s="48" t="s">
        <v>794</v>
      </c>
      <c r="B9783" s="38">
        <v>60182.0</v>
      </c>
      <c r="C9783" s="38" t="s">
        <v>13696</v>
      </c>
      <c r="D9783" s="38" t="str">
        <f>IFERROR(__xludf.DUMMYFUNCTION("REGEXREPLACE(C9783,""-\d+(.*)|--\d+(.*)"","""")"),"LE CROCQ")</f>
        <v>LE CROCQ</v>
      </c>
      <c r="E9783" s="38" t="s">
        <v>112</v>
      </c>
      <c r="F9783" s="38" t="s">
        <v>113</v>
      </c>
      <c r="G9783" s="49" t="str">
        <f t="shared" si="1"/>
        <v>60120</v>
      </c>
      <c r="H9783" s="49">
        <f t="shared" si="2"/>
        <v>60182</v>
      </c>
    </row>
    <row r="9784">
      <c r="A9784" s="48" t="s">
        <v>12501</v>
      </c>
      <c r="B9784" s="38">
        <v>27160.0</v>
      </c>
      <c r="C9784" s="38" t="s">
        <v>13697</v>
      </c>
      <c r="D9784" s="38" t="str">
        <f>IFERROR(__xludf.DUMMYFUNCTION("REGEXREPLACE(C9784,""-\d+(.*)|--\d+(.*)"","""")"),"CIVIERES")</f>
        <v>CIVIERES</v>
      </c>
      <c r="E9784" s="38" t="s">
        <v>241</v>
      </c>
      <c r="F9784" s="38" t="s">
        <v>134</v>
      </c>
      <c r="G9784" s="49" t="str">
        <f t="shared" si="1"/>
        <v>27630</v>
      </c>
      <c r="H9784" s="49">
        <f t="shared" si="2"/>
        <v>27160</v>
      </c>
    </row>
    <row r="9785">
      <c r="A9785" s="48" t="s">
        <v>9850</v>
      </c>
      <c r="B9785" s="38">
        <v>67527.0</v>
      </c>
      <c r="C9785" s="38" t="s">
        <v>13698</v>
      </c>
      <c r="D9785" s="38" t="str">
        <f>IFERROR(__xludf.DUMMYFUNCTION("REGEXREPLACE(C9785,""-\d+(.*)|--\d+(.*)"","""")"),"WESTHOUSE-MARMOUTIER")</f>
        <v>WESTHOUSE-MARMOUTIER</v>
      </c>
      <c r="E9785" s="38" t="s">
        <v>210</v>
      </c>
      <c r="F9785" s="38" t="s">
        <v>151</v>
      </c>
      <c r="G9785" s="49" t="str">
        <f t="shared" si="1"/>
        <v>67440</v>
      </c>
      <c r="H9785" s="49">
        <f t="shared" si="2"/>
        <v>67527</v>
      </c>
    </row>
    <row r="9786">
      <c r="A9786" s="48" t="s">
        <v>13699</v>
      </c>
      <c r="B9786" s="38">
        <v>22024.0</v>
      </c>
      <c r="C9786" s="38" t="s">
        <v>13700</v>
      </c>
      <c r="D9786" s="38" t="str">
        <f>IFERROR(__xludf.DUMMYFUNCTION("REGEXREPLACE(C9786,""-\d+(.*)|--\d+(.*)"","""")"),"CALANHEL")</f>
        <v>CALANHEL</v>
      </c>
      <c r="E9786" s="38" t="s">
        <v>89</v>
      </c>
      <c r="F9786" s="38" t="s">
        <v>90</v>
      </c>
      <c r="G9786" s="49" t="str">
        <f t="shared" si="1"/>
        <v>22160</v>
      </c>
      <c r="H9786" s="49">
        <f t="shared" si="2"/>
        <v>22024</v>
      </c>
    </row>
    <row r="9787">
      <c r="A9787" s="48" t="s">
        <v>1195</v>
      </c>
      <c r="B9787" s="38">
        <v>80181.0</v>
      </c>
      <c r="C9787" s="38" t="s">
        <v>13701</v>
      </c>
      <c r="D9787" s="38" t="str">
        <f>IFERROR(__xludf.DUMMYFUNCTION("REGEXREPLACE(C9787,""-\d+(.*)|--\d+(.*)"","""")"),"CAYEUX-EN-SANTERRE")</f>
        <v>CAYEUX-EN-SANTERRE</v>
      </c>
      <c r="E9787" s="38" t="s">
        <v>224</v>
      </c>
      <c r="F9787" s="38" t="s">
        <v>113</v>
      </c>
      <c r="G9787" s="49" t="str">
        <f t="shared" si="1"/>
        <v>80800</v>
      </c>
      <c r="H9787" s="49">
        <f t="shared" si="2"/>
        <v>80181</v>
      </c>
    </row>
    <row r="9788">
      <c r="A9788" s="48" t="s">
        <v>8642</v>
      </c>
      <c r="B9788" s="38" t="s">
        <v>13702</v>
      </c>
      <c r="C9788" s="38" t="s">
        <v>13703</v>
      </c>
      <c r="D9788" s="38" t="str">
        <f>IFERROR(__xludf.DUMMYFUNCTION("REGEXREPLACE(C9788,""-\d+(.*)|--\d+(.*)"","""")"),"LA PORTA")</f>
        <v>LA PORTA</v>
      </c>
      <c r="E9788" s="38" t="s">
        <v>743</v>
      </c>
      <c r="F9788" s="38" t="s">
        <v>607</v>
      </c>
      <c r="G9788" s="49" t="str">
        <f t="shared" si="1"/>
        <v>20237</v>
      </c>
      <c r="H9788" s="49" t="str">
        <f t="shared" si="2"/>
        <v>2B246</v>
      </c>
    </row>
    <row r="9789">
      <c r="A9789" s="48" t="s">
        <v>2128</v>
      </c>
      <c r="B9789" s="38">
        <v>2348.0</v>
      </c>
      <c r="C9789" s="38" t="s">
        <v>13704</v>
      </c>
      <c r="D9789" s="38" t="str">
        <f>IFERROR(__xludf.DUMMYFUNCTION("REGEXREPLACE(C9789,""-\d+(.*)|--\d+(.*)"","""")"),"GLENNES")</f>
        <v>GLENNES</v>
      </c>
      <c r="E9789" s="38" t="s">
        <v>191</v>
      </c>
      <c r="F9789" s="38" t="s">
        <v>113</v>
      </c>
      <c r="G9789" s="49" t="str">
        <f t="shared" si="1"/>
        <v>02160</v>
      </c>
      <c r="H9789" s="49" t="str">
        <f t="shared" si="2"/>
        <v>02348</v>
      </c>
    </row>
    <row r="9790">
      <c r="A9790" s="48" t="s">
        <v>1704</v>
      </c>
      <c r="B9790" s="38">
        <v>48098.0</v>
      </c>
      <c r="C9790" s="38" t="s">
        <v>13705</v>
      </c>
      <c r="D9790" s="38" t="str">
        <f>IFERROR(__xludf.DUMMYFUNCTION("REGEXREPLACE(C9790,""-\d+(.*)|--\d+(.*)"","""")"),"MOLEZON")</f>
        <v>MOLEZON</v>
      </c>
      <c r="E9790" s="38" t="s">
        <v>154</v>
      </c>
      <c r="F9790" s="38" t="s">
        <v>119</v>
      </c>
      <c r="G9790" s="49" t="str">
        <f t="shared" si="1"/>
        <v>48110</v>
      </c>
      <c r="H9790" s="49">
        <f t="shared" si="2"/>
        <v>48098</v>
      </c>
    </row>
    <row r="9791">
      <c r="A9791" s="48" t="s">
        <v>5332</v>
      </c>
      <c r="B9791" s="38">
        <v>1218.0</v>
      </c>
      <c r="C9791" s="38" t="s">
        <v>13706</v>
      </c>
      <c r="D9791" s="38" t="str">
        <f>IFERROR(__xludf.DUMMYFUNCTION("REGEXREPLACE(C9791,""-\d+(.*)|--\d+(.*)"","""")"),"LOCHIEU")</f>
        <v>LOCHIEU</v>
      </c>
      <c r="E9791" s="38" t="s">
        <v>255</v>
      </c>
      <c r="F9791" s="38" t="s">
        <v>102</v>
      </c>
      <c r="G9791" s="49" t="str">
        <f t="shared" si="1"/>
        <v>01260</v>
      </c>
      <c r="H9791" s="49" t="str">
        <f t="shared" si="2"/>
        <v>01218</v>
      </c>
    </row>
    <row r="9792">
      <c r="A9792" s="48" t="s">
        <v>1323</v>
      </c>
      <c r="B9792" s="38">
        <v>21375.0</v>
      </c>
      <c r="C9792" s="38" t="s">
        <v>13707</v>
      </c>
      <c r="D9792" s="38" t="str">
        <f>IFERROR(__xludf.DUMMYFUNCTION("REGEXREPLACE(C9792,""-\d+(.*)|--\d+(.*)"","""")"),"MANLAY")</f>
        <v>MANLAY</v>
      </c>
      <c r="E9792" s="38" t="s">
        <v>105</v>
      </c>
      <c r="F9792" s="38" t="s">
        <v>106</v>
      </c>
      <c r="G9792" s="49" t="str">
        <f t="shared" si="1"/>
        <v>21430</v>
      </c>
      <c r="H9792" s="49">
        <f t="shared" si="2"/>
        <v>21375</v>
      </c>
    </row>
    <row r="9793">
      <c r="A9793" s="48" t="s">
        <v>8019</v>
      </c>
      <c r="B9793" s="38">
        <v>53006.0</v>
      </c>
      <c r="C9793" s="38" t="s">
        <v>13708</v>
      </c>
      <c r="D9793" s="38" t="str">
        <f>IFERROR(__xludf.DUMMYFUNCTION("REGEXREPLACE(C9793,""-\d+(.*)|--\d+(.*)"","""")"),"ARGENTON-NOTRE-DAME")</f>
        <v>ARGENTON-NOTRE-DAME</v>
      </c>
      <c r="E9793" s="38" t="s">
        <v>518</v>
      </c>
      <c r="F9793" s="38" t="s">
        <v>180</v>
      </c>
      <c r="G9793" s="49" t="str">
        <f t="shared" si="1"/>
        <v>53290</v>
      </c>
      <c r="H9793" s="49">
        <f t="shared" si="2"/>
        <v>53006</v>
      </c>
    </row>
    <row r="9794">
      <c r="A9794" s="48" t="s">
        <v>3375</v>
      </c>
      <c r="B9794" s="38">
        <v>24527.0</v>
      </c>
      <c r="C9794" s="38" t="s">
        <v>13709</v>
      </c>
      <c r="D9794" s="38" t="str">
        <f>IFERROR(__xludf.DUMMYFUNCTION("REGEXREPLACE(C9794,""-\d+(.*)|--\d+(.*)"","""")"),"SAVIGNAC-LES-EGLISES")</f>
        <v>SAVIGNAC-LES-EGLISES</v>
      </c>
      <c r="E9794" s="38" t="s">
        <v>261</v>
      </c>
      <c r="F9794" s="38" t="s">
        <v>252</v>
      </c>
      <c r="G9794" s="49" t="str">
        <f t="shared" si="1"/>
        <v>24420</v>
      </c>
      <c r="H9794" s="49">
        <f t="shared" si="2"/>
        <v>24527</v>
      </c>
    </row>
    <row r="9795">
      <c r="A9795" s="48" t="s">
        <v>1516</v>
      </c>
      <c r="B9795" s="38">
        <v>60695.0</v>
      </c>
      <c r="C9795" s="38" t="s">
        <v>13710</v>
      </c>
      <c r="D9795" s="38" t="str">
        <f>IFERROR(__xludf.DUMMYFUNCTION("REGEXREPLACE(C9795,""-\d+(.*)|--\d+(.*)"","""")"),"VINEUIL-SAINT-FIRMIN")</f>
        <v>VINEUIL-SAINT-FIRMIN</v>
      </c>
      <c r="E9795" s="38" t="s">
        <v>112</v>
      </c>
      <c r="F9795" s="38" t="s">
        <v>113</v>
      </c>
      <c r="G9795" s="49" t="str">
        <f t="shared" si="1"/>
        <v>60500</v>
      </c>
      <c r="H9795" s="49">
        <f t="shared" si="2"/>
        <v>60695</v>
      </c>
    </row>
    <row r="9796">
      <c r="A9796" s="48" t="s">
        <v>13711</v>
      </c>
      <c r="B9796" s="38">
        <v>42275.0</v>
      </c>
      <c r="C9796" s="38" t="s">
        <v>13712</v>
      </c>
      <c r="D9796" s="38" t="str">
        <f>IFERROR(__xludf.DUMMYFUNCTION("REGEXREPLACE(C9796,""-\d+(.*)|--\d+(.*)"","""")"),"SAINT-PRIEST-EN-JAREZ")</f>
        <v>SAINT-PRIEST-EN-JAREZ</v>
      </c>
      <c r="E9796" s="38" t="s">
        <v>166</v>
      </c>
      <c r="F9796" s="38" t="s">
        <v>102</v>
      </c>
      <c r="G9796" s="49" t="str">
        <f t="shared" si="1"/>
        <v>42270</v>
      </c>
      <c r="H9796" s="49">
        <f t="shared" si="2"/>
        <v>42275</v>
      </c>
    </row>
    <row r="9797">
      <c r="A9797" s="48" t="s">
        <v>5654</v>
      </c>
      <c r="B9797" s="38">
        <v>8107.0</v>
      </c>
      <c r="C9797" s="38" t="s">
        <v>13713</v>
      </c>
      <c r="D9797" s="38" t="str">
        <f>IFERROR(__xludf.DUMMYFUNCTION("REGEXREPLACE(C9797,""-\d+(.*)|--\d+(.*)"","""")"),"CHATEAU-PORCIEN")</f>
        <v>CHATEAU-PORCIEN</v>
      </c>
      <c r="E9797" s="38" t="s">
        <v>327</v>
      </c>
      <c r="F9797" s="38" t="s">
        <v>130</v>
      </c>
      <c r="G9797" s="49" t="str">
        <f t="shared" si="1"/>
        <v>08360</v>
      </c>
      <c r="H9797" s="49" t="str">
        <f t="shared" si="2"/>
        <v>08107</v>
      </c>
    </row>
    <row r="9798">
      <c r="A9798" s="48" t="s">
        <v>2625</v>
      </c>
      <c r="B9798" s="38">
        <v>30275.0</v>
      </c>
      <c r="C9798" s="38" t="s">
        <v>13714</v>
      </c>
      <c r="D9798" s="38" t="str">
        <f>IFERROR(__xludf.DUMMYFUNCTION("REGEXREPLACE(C9798,""-\d+(.*)|--\d+(.*)"","""")"),"SAINT-JUST-ET-VACQUIERES")</f>
        <v>SAINT-JUST-ET-VACQUIERES</v>
      </c>
      <c r="E9798" s="38" t="s">
        <v>526</v>
      </c>
      <c r="F9798" s="38" t="s">
        <v>119</v>
      </c>
      <c r="G9798" s="49" t="str">
        <f t="shared" si="1"/>
        <v>30580</v>
      </c>
      <c r="H9798" s="49">
        <f t="shared" si="2"/>
        <v>30275</v>
      </c>
    </row>
    <row r="9799">
      <c r="A9799" s="48" t="s">
        <v>1420</v>
      </c>
      <c r="B9799" s="38">
        <v>4109.0</v>
      </c>
      <c r="C9799" s="38" t="s">
        <v>13715</v>
      </c>
      <c r="D9799" s="38" t="str">
        <f>IFERROR(__xludf.DUMMYFUNCTION("REGEXREPLACE(C9799,""-\d+(.*)|--\d+(.*)"","""")"),"MALLEFOUGASSE-AUGES")</f>
        <v>MALLEFOUGASSE-AUGES</v>
      </c>
      <c r="E9799" s="38" t="s">
        <v>662</v>
      </c>
      <c r="F9799" s="38" t="s">
        <v>228</v>
      </c>
      <c r="G9799" s="49" t="str">
        <f t="shared" si="1"/>
        <v>04230</v>
      </c>
      <c r="H9799" s="49" t="str">
        <f t="shared" si="2"/>
        <v>04109</v>
      </c>
    </row>
    <row r="9800">
      <c r="A9800" s="48" t="s">
        <v>3120</v>
      </c>
      <c r="B9800" s="38">
        <v>10144.0</v>
      </c>
      <c r="C9800" s="38" t="s">
        <v>13716</v>
      </c>
      <c r="D9800" s="38" t="str">
        <f>IFERROR(__xludf.DUMMYFUNCTION("REGEXREPLACE(C9800,""-\d+(.*)|--\d+(.*)"","""")"),"ETRELLES-SUR-AUBE")</f>
        <v>ETRELLES-SUR-AUBE</v>
      </c>
      <c r="E9800" s="38" t="s">
        <v>147</v>
      </c>
      <c r="F9800" s="38" t="s">
        <v>130</v>
      </c>
      <c r="G9800" s="49" t="str">
        <f t="shared" si="1"/>
        <v>10170</v>
      </c>
      <c r="H9800" s="49">
        <f t="shared" si="2"/>
        <v>10144</v>
      </c>
    </row>
    <row r="9801">
      <c r="A9801" s="48" t="s">
        <v>3755</v>
      </c>
      <c r="B9801" s="38">
        <v>76253.0</v>
      </c>
      <c r="C9801" s="38" t="s">
        <v>13717</v>
      </c>
      <c r="D9801" s="38" t="str">
        <f>IFERROR(__xludf.DUMMYFUNCTION("REGEXREPLACE(C9801,""-\d+(.*)|--\d+(.*)"","""")"),"ETOUTTEVILLE")</f>
        <v>ETOUTTEVILLE</v>
      </c>
      <c r="E9801" s="38" t="s">
        <v>133</v>
      </c>
      <c r="F9801" s="38" t="s">
        <v>134</v>
      </c>
      <c r="G9801" s="49" t="str">
        <f t="shared" si="1"/>
        <v>76190</v>
      </c>
      <c r="H9801" s="49">
        <f t="shared" si="2"/>
        <v>76253</v>
      </c>
    </row>
    <row r="9802">
      <c r="A9802" s="48" t="s">
        <v>8510</v>
      </c>
      <c r="B9802" s="38">
        <v>39288.0</v>
      </c>
      <c r="C9802" s="38" t="s">
        <v>13718</v>
      </c>
      <c r="D9802" s="38" t="str">
        <f>IFERROR(__xludf.DUMMYFUNCTION("REGEXREPLACE(C9802,""-\d+(.*)|--\d+(.*)"","""")"),"LAVIGNY")</f>
        <v>LAVIGNY</v>
      </c>
      <c r="E9802" s="38" t="s">
        <v>400</v>
      </c>
      <c r="F9802" s="38" t="s">
        <v>214</v>
      </c>
      <c r="G9802" s="49" t="str">
        <f t="shared" si="1"/>
        <v>39210</v>
      </c>
      <c r="H9802" s="49">
        <f t="shared" si="2"/>
        <v>39288</v>
      </c>
    </row>
    <row r="9803">
      <c r="A9803" s="48" t="s">
        <v>1469</v>
      </c>
      <c r="B9803" s="38">
        <v>71194.0</v>
      </c>
      <c r="C9803" s="38" t="s">
        <v>13719</v>
      </c>
      <c r="D9803" s="38" t="str">
        <f>IFERROR(__xludf.DUMMYFUNCTION("REGEXREPLACE(C9803,""-\d+(.*)|--\d+(.*)"","""")"),"FARGES-LES-CHALON")</f>
        <v>FARGES-LES-CHALON</v>
      </c>
      <c r="E9803" s="38" t="s">
        <v>344</v>
      </c>
      <c r="F9803" s="38" t="s">
        <v>106</v>
      </c>
      <c r="G9803" s="49" t="str">
        <f t="shared" si="1"/>
        <v>71150</v>
      </c>
      <c r="H9803" s="49">
        <f t="shared" si="2"/>
        <v>71194</v>
      </c>
    </row>
    <row r="9804">
      <c r="A9804" s="48" t="s">
        <v>3564</v>
      </c>
      <c r="B9804" s="38">
        <v>83073.0</v>
      </c>
      <c r="C9804" s="38" t="s">
        <v>13720</v>
      </c>
      <c r="D9804" s="38" t="str">
        <f>IFERROR(__xludf.DUMMYFUNCTION("REGEXREPLACE(C9804,""-\d+(.*)|--\d+(.*)"","""")"),"LE LUC")</f>
        <v>LE LUC</v>
      </c>
      <c r="E9804" s="38" t="s">
        <v>813</v>
      </c>
      <c r="F9804" s="38" t="s">
        <v>228</v>
      </c>
      <c r="G9804" s="49" t="str">
        <f t="shared" si="1"/>
        <v>83340</v>
      </c>
      <c r="H9804" s="49">
        <f t="shared" si="2"/>
        <v>83073</v>
      </c>
    </row>
    <row r="9805">
      <c r="A9805" s="48" t="s">
        <v>601</v>
      </c>
      <c r="B9805" s="38">
        <v>51289.0</v>
      </c>
      <c r="C9805" s="38" t="s">
        <v>13721</v>
      </c>
      <c r="D9805" s="38" t="str">
        <f>IFERROR(__xludf.DUMMYFUNCTION("REGEXREPLACE(C9805,""-\d+(.*)|--\d+(.*)"","""")"),"HEILTZ-LE-MAURUPT")</f>
        <v>HEILTZ-LE-MAURUPT</v>
      </c>
      <c r="E9805" s="38" t="s">
        <v>129</v>
      </c>
      <c r="F9805" s="38" t="s">
        <v>130</v>
      </c>
      <c r="G9805" s="49" t="str">
        <f t="shared" si="1"/>
        <v>51340</v>
      </c>
      <c r="H9805" s="49">
        <f t="shared" si="2"/>
        <v>51289</v>
      </c>
    </row>
    <row r="9806">
      <c r="A9806" s="48" t="s">
        <v>1932</v>
      </c>
      <c r="B9806" s="38">
        <v>70515.0</v>
      </c>
      <c r="C9806" s="38" t="s">
        <v>13722</v>
      </c>
      <c r="D9806" s="38" t="str">
        <f>IFERROR(__xludf.DUMMYFUNCTION("REGEXREPLACE(C9806,""-\d+(.*)|--\d+(.*)"","""")"),"LE VAL-DE-GOUHENANS")</f>
        <v>LE VAL-DE-GOUHENANS</v>
      </c>
      <c r="E9806" s="38" t="s">
        <v>956</v>
      </c>
      <c r="F9806" s="38" t="s">
        <v>214</v>
      </c>
      <c r="G9806" s="49" t="str">
        <f t="shared" si="1"/>
        <v>70200</v>
      </c>
      <c r="H9806" s="49">
        <f t="shared" si="2"/>
        <v>70515</v>
      </c>
    </row>
    <row r="9807">
      <c r="A9807" s="48" t="s">
        <v>13723</v>
      </c>
      <c r="B9807" s="38">
        <v>59520.0</v>
      </c>
      <c r="C9807" s="38" t="s">
        <v>13724</v>
      </c>
      <c r="D9807" s="38" t="str">
        <f>IFERROR(__xludf.DUMMYFUNCTION("REGEXREPLACE(C9807,""-\d+(.*)|--\d+(.*)"","""")"),"RUMILLY-EN-CAMBRESIS")</f>
        <v>RUMILLY-EN-CAMBRESIS</v>
      </c>
      <c r="E9807" s="38" t="s">
        <v>85</v>
      </c>
      <c r="F9807" s="38" t="s">
        <v>86</v>
      </c>
      <c r="G9807" s="49" t="str">
        <f t="shared" si="1"/>
        <v>59281</v>
      </c>
      <c r="H9807" s="49">
        <f t="shared" si="2"/>
        <v>59520</v>
      </c>
    </row>
    <row r="9808">
      <c r="A9808" s="48" t="s">
        <v>458</v>
      </c>
      <c r="B9808" s="38">
        <v>34152.0</v>
      </c>
      <c r="C9808" s="38" t="s">
        <v>13725</v>
      </c>
      <c r="D9808" s="38" t="str">
        <f>IFERROR(__xludf.DUMMYFUNCTION("REGEXREPLACE(C9808,""-\d+(.*)|--\d+(.*)"","""")"),"MAS-DE-LONDRES")</f>
        <v>MAS-DE-LONDRES</v>
      </c>
      <c r="E9808" s="38" t="s">
        <v>118</v>
      </c>
      <c r="F9808" s="38" t="s">
        <v>119</v>
      </c>
      <c r="G9808" s="49" t="str">
        <f t="shared" si="1"/>
        <v>34380</v>
      </c>
      <c r="H9808" s="49">
        <f t="shared" si="2"/>
        <v>34152</v>
      </c>
    </row>
    <row r="9809">
      <c r="A9809" s="48" t="s">
        <v>1850</v>
      </c>
      <c r="B9809" s="38">
        <v>48187.0</v>
      </c>
      <c r="C9809" s="38" t="s">
        <v>13726</v>
      </c>
      <c r="D9809" s="38" t="str">
        <f>IFERROR(__xludf.DUMMYFUNCTION("REGEXREPLACE(C9809,""-\d+(.*)|--\d+(.*)"","""")"),"LES SALCES")</f>
        <v>LES SALCES</v>
      </c>
      <c r="E9809" s="38" t="s">
        <v>154</v>
      </c>
      <c r="F9809" s="38" t="s">
        <v>119</v>
      </c>
      <c r="G9809" s="49" t="str">
        <f t="shared" si="1"/>
        <v>48100</v>
      </c>
      <c r="H9809" s="49">
        <f t="shared" si="2"/>
        <v>48187</v>
      </c>
    </row>
    <row r="9810">
      <c r="A9810" s="48" t="s">
        <v>3755</v>
      </c>
      <c r="B9810" s="38">
        <v>76347.0</v>
      </c>
      <c r="C9810" s="38" t="s">
        <v>13727</v>
      </c>
      <c r="D9810" s="38" t="str">
        <f>IFERROR(__xludf.DUMMYFUNCTION("REGEXREPLACE(C9810,""-\d+(.*)|--\d+(.*)"","""")"),"HAUTOT-LE-VATOIS")</f>
        <v>HAUTOT-LE-VATOIS</v>
      </c>
      <c r="E9810" s="38" t="s">
        <v>133</v>
      </c>
      <c r="F9810" s="38" t="s">
        <v>134</v>
      </c>
      <c r="G9810" s="49" t="str">
        <f t="shared" si="1"/>
        <v>76190</v>
      </c>
      <c r="H9810" s="49">
        <f t="shared" si="2"/>
        <v>76347</v>
      </c>
    </row>
    <row r="9811">
      <c r="A9811" s="48" t="s">
        <v>6104</v>
      </c>
      <c r="B9811" s="38">
        <v>95056.0</v>
      </c>
      <c r="C9811" s="38" t="s">
        <v>13728</v>
      </c>
      <c r="D9811" s="38" t="str">
        <f>IFERROR(__xludf.DUMMYFUNCTION("REGEXREPLACE(C9811,""-\d+(.*)|--\d+(.*)"","""")"),"BELLOY-EN-FRANCE")</f>
        <v>BELLOY-EN-FRANCE</v>
      </c>
      <c r="E9811" s="38" t="s">
        <v>541</v>
      </c>
      <c r="F9811" s="38" t="s">
        <v>245</v>
      </c>
      <c r="G9811" s="49" t="str">
        <f t="shared" si="1"/>
        <v>95270</v>
      </c>
      <c r="H9811" s="49">
        <f t="shared" si="2"/>
        <v>95056</v>
      </c>
    </row>
    <row r="9812">
      <c r="A9812" s="48" t="s">
        <v>2790</v>
      </c>
      <c r="B9812" s="38">
        <v>40037.0</v>
      </c>
      <c r="C9812" s="38" t="s">
        <v>13729</v>
      </c>
      <c r="D9812" s="38" t="str">
        <f>IFERROR(__xludf.DUMMYFUNCTION("REGEXREPLACE(C9812,""-\d+(.*)|--\d+(.*)"","""")"),"BENQUET")</f>
        <v>BENQUET</v>
      </c>
      <c r="E9812" s="38" t="s">
        <v>281</v>
      </c>
      <c r="F9812" s="38" t="s">
        <v>252</v>
      </c>
      <c r="G9812" s="49" t="str">
        <f t="shared" si="1"/>
        <v>40280</v>
      </c>
      <c r="H9812" s="49">
        <f t="shared" si="2"/>
        <v>40037</v>
      </c>
    </row>
    <row r="9813">
      <c r="A9813" s="48" t="s">
        <v>13730</v>
      </c>
      <c r="B9813" s="38">
        <v>95287.0</v>
      </c>
      <c r="C9813" s="38" t="s">
        <v>13731</v>
      </c>
      <c r="D9813" s="38" t="str">
        <f>IFERROR(__xludf.DUMMYFUNCTION("REGEXREPLACE(C9813,""-\d+(.*)|--\d+(.*)"","""")"),"GRISY-LES-PLATRES")</f>
        <v>GRISY-LES-PLATRES</v>
      </c>
      <c r="E9813" s="38" t="s">
        <v>541</v>
      </c>
      <c r="F9813" s="38" t="s">
        <v>245</v>
      </c>
      <c r="G9813" s="49" t="str">
        <f t="shared" si="1"/>
        <v>95810</v>
      </c>
      <c r="H9813" s="49">
        <f t="shared" si="2"/>
        <v>95287</v>
      </c>
    </row>
    <row r="9814">
      <c r="A9814" s="48" t="s">
        <v>2740</v>
      </c>
      <c r="B9814" s="38">
        <v>46173.0</v>
      </c>
      <c r="C9814" s="38" t="s">
        <v>13732</v>
      </c>
      <c r="D9814" s="38" t="str">
        <f>IFERROR(__xludf.DUMMYFUNCTION("REGEXREPLACE(C9814,""-\d+(.*)|--\d+(.*)"","""")"),"LIMOGNE-EN-QUERCY")</f>
        <v>LIMOGNE-EN-QUERCY</v>
      </c>
      <c r="E9814" s="38" t="s">
        <v>185</v>
      </c>
      <c r="F9814" s="38" t="s">
        <v>94</v>
      </c>
      <c r="G9814" s="49" t="str">
        <f t="shared" si="1"/>
        <v>46260</v>
      </c>
      <c r="H9814" s="49">
        <f t="shared" si="2"/>
        <v>46173</v>
      </c>
    </row>
    <row r="9815">
      <c r="A9815" s="48" t="s">
        <v>1718</v>
      </c>
      <c r="B9815" s="38">
        <v>43024.0</v>
      </c>
      <c r="C9815" s="38" t="s">
        <v>13733</v>
      </c>
      <c r="D9815" s="38" t="str">
        <f>IFERROR(__xludf.DUMMYFUNCTION("REGEXREPLACE(C9815,""-\d+(.*)|--\d+(.*)"","""")"),"BEAUX")</f>
        <v>BEAUX</v>
      </c>
      <c r="E9815" s="38" t="s">
        <v>332</v>
      </c>
      <c r="F9815" s="38" t="s">
        <v>161</v>
      </c>
      <c r="G9815" s="49" t="str">
        <f t="shared" si="1"/>
        <v>43200</v>
      </c>
      <c r="H9815" s="49">
        <f t="shared" si="2"/>
        <v>43024</v>
      </c>
    </row>
    <row r="9816">
      <c r="A9816" s="48" t="s">
        <v>13129</v>
      </c>
      <c r="B9816" s="38">
        <v>24073.0</v>
      </c>
      <c r="C9816" s="38" t="s">
        <v>13734</v>
      </c>
      <c r="D9816" s="38" t="str">
        <f>IFERROR(__xludf.DUMMYFUNCTION("REGEXREPLACE(C9816,""-\d+(.*)|--\d+(.*)"","""")"),"CALES")</f>
        <v>CALES</v>
      </c>
      <c r="E9816" s="38" t="s">
        <v>261</v>
      </c>
      <c r="F9816" s="38" t="s">
        <v>252</v>
      </c>
      <c r="G9816" s="49" t="str">
        <f t="shared" si="1"/>
        <v>24150</v>
      </c>
      <c r="H9816" s="49">
        <f t="shared" si="2"/>
        <v>24073</v>
      </c>
    </row>
    <row r="9817">
      <c r="A9817" s="48" t="s">
        <v>5709</v>
      </c>
      <c r="B9817" s="38">
        <v>44105.0</v>
      </c>
      <c r="C9817" s="38" t="s">
        <v>13735</v>
      </c>
      <c r="D9817" s="38" t="str">
        <f>IFERROR(__xludf.DUMMYFUNCTION("REGEXREPLACE(C9817,""-\d+(.*)|--\d+(.*)"","""")"),"MOUAIS")</f>
        <v>MOUAIS</v>
      </c>
      <c r="E9817" s="38" t="s">
        <v>759</v>
      </c>
      <c r="F9817" s="38" t="s">
        <v>180</v>
      </c>
      <c r="G9817" s="49" t="str">
        <f t="shared" si="1"/>
        <v>44590</v>
      </c>
      <c r="H9817" s="49">
        <f t="shared" si="2"/>
        <v>44105</v>
      </c>
    </row>
    <row r="9818">
      <c r="A9818" s="48" t="s">
        <v>10987</v>
      </c>
      <c r="B9818" s="38">
        <v>31346.0</v>
      </c>
      <c r="C9818" s="38" t="s">
        <v>13736</v>
      </c>
      <c r="D9818" s="38" t="str">
        <f>IFERROR(__xludf.DUMMYFUNCTION("REGEXREPLACE(C9818,""-\d+(.*)|--\d+(.*)"","""")"),"MIREPOIX-SUR-TARN")</f>
        <v>MIREPOIX-SUR-TARN</v>
      </c>
      <c r="E9818" s="38" t="s">
        <v>93</v>
      </c>
      <c r="F9818" s="38" t="s">
        <v>94</v>
      </c>
      <c r="G9818" s="49" t="str">
        <f t="shared" si="1"/>
        <v>31340</v>
      </c>
      <c r="H9818" s="49">
        <f t="shared" si="2"/>
        <v>31346</v>
      </c>
    </row>
    <row r="9819">
      <c r="A9819" s="48" t="s">
        <v>1124</v>
      </c>
      <c r="B9819" s="38">
        <v>61179.0</v>
      </c>
      <c r="C9819" s="38" t="s">
        <v>13737</v>
      </c>
      <c r="D9819" s="38" t="str">
        <f>IFERROR(__xludf.DUMMYFUNCTION("REGEXREPLACE(C9819,""-\d+(.*)|--\d+(.*)"","""")"),"LA FRESNAYE-AU-SAUVAGE")</f>
        <v>LA FRESNAYE-AU-SAUVAGE</v>
      </c>
      <c r="E9819" s="38" t="s">
        <v>141</v>
      </c>
      <c r="F9819" s="38" t="s">
        <v>138</v>
      </c>
      <c r="G9819" s="49" t="str">
        <f t="shared" si="1"/>
        <v>61210</v>
      </c>
      <c r="H9819" s="49">
        <f t="shared" si="2"/>
        <v>61179</v>
      </c>
    </row>
    <row r="9820">
      <c r="A9820" s="48" t="s">
        <v>8851</v>
      </c>
      <c r="B9820" s="38">
        <v>63345.0</v>
      </c>
      <c r="C9820" s="38" t="s">
        <v>13738</v>
      </c>
      <c r="D9820" s="38" t="str">
        <f>IFERROR(__xludf.DUMMYFUNCTION("REGEXREPLACE(C9820,""-\d+(.*)|--\d+(.*)"","""")"),"SAINT-GENES-CHAMPANELLE")</f>
        <v>SAINT-GENES-CHAMPANELLE</v>
      </c>
      <c r="E9820" s="38" t="s">
        <v>353</v>
      </c>
      <c r="F9820" s="38" t="s">
        <v>161</v>
      </c>
      <c r="G9820" s="49" t="str">
        <f t="shared" si="1"/>
        <v>63122</v>
      </c>
      <c r="H9820" s="49">
        <f t="shared" si="2"/>
        <v>63345</v>
      </c>
    </row>
    <row r="9821">
      <c r="A9821" s="48" t="s">
        <v>13739</v>
      </c>
      <c r="B9821" s="38">
        <v>72054.0</v>
      </c>
      <c r="C9821" s="38" t="s">
        <v>13740</v>
      </c>
      <c r="D9821" s="38" t="str">
        <f>IFERROR(__xludf.DUMMYFUNCTION("REGEXREPLACE(C9821,""-\d+(.*)|--\d+(.*)"","""")"),"CHAMPAGNE")</f>
        <v>CHAMPAGNE</v>
      </c>
      <c r="E9821" s="38" t="s">
        <v>521</v>
      </c>
      <c r="F9821" s="38" t="s">
        <v>180</v>
      </c>
      <c r="G9821" s="49" t="str">
        <f t="shared" si="1"/>
        <v>72470</v>
      </c>
      <c r="H9821" s="49">
        <f t="shared" si="2"/>
        <v>72054</v>
      </c>
    </row>
    <row r="9822">
      <c r="A9822" s="48" t="s">
        <v>11794</v>
      </c>
      <c r="B9822" s="38">
        <v>12212.0</v>
      </c>
      <c r="C9822" s="38" t="s">
        <v>13741</v>
      </c>
      <c r="D9822" s="38" t="str">
        <f>IFERROR(__xludf.DUMMYFUNCTION("REGEXREPLACE(C9822,""-\d+(.*)|--\d+(.*)"","""")"),"SAINT-BEAULIZE")</f>
        <v>SAINT-BEAULIZE</v>
      </c>
      <c r="E9822" s="38" t="s">
        <v>465</v>
      </c>
      <c r="F9822" s="38" t="s">
        <v>94</v>
      </c>
      <c r="G9822" s="49" t="str">
        <f t="shared" si="1"/>
        <v>12540</v>
      </c>
      <c r="H9822" s="49">
        <f t="shared" si="2"/>
        <v>12212</v>
      </c>
    </row>
    <row r="9823">
      <c r="A9823" s="48" t="s">
        <v>1471</v>
      </c>
      <c r="B9823" s="38">
        <v>3219.0</v>
      </c>
      <c r="C9823" s="38" t="s">
        <v>13742</v>
      </c>
      <c r="D9823" s="38" t="str">
        <f>IFERROR(__xludf.DUMMYFUNCTION("REGEXREPLACE(C9823,""-\d+(.*)|--\d+(.*)"","""")"),"SAINT-BONNET-DE-FOUR")</f>
        <v>SAINT-BONNET-DE-FOUR</v>
      </c>
      <c r="E9823" s="38" t="s">
        <v>160</v>
      </c>
      <c r="F9823" s="38" t="s">
        <v>161</v>
      </c>
      <c r="G9823" s="49" t="str">
        <f t="shared" si="1"/>
        <v>03390</v>
      </c>
      <c r="H9823" s="49" t="str">
        <f t="shared" si="2"/>
        <v>03219</v>
      </c>
    </row>
    <row r="9824">
      <c r="A9824" s="48" t="s">
        <v>6572</v>
      </c>
      <c r="B9824" s="38">
        <v>31065.0</v>
      </c>
      <c r="C9824" s="38" t="s">
        <v>13743</v>
      </c>
      <c r="D9824" s="38" t="str">
        <f>IFERROR(__xludf.DUMMYFUNCTION("REGEXREPLACE(C9824,""-\d+(.*)|--\d+(.*)"","""")"),"BERAT")</f>
        <v>BERAT</v>
      </c>
      <c r="E9824" s="38" t="s">
        <v>93</v>
      </c>
      <c r="F9824" s="38" t="s">
        <v>94</v>
      </c>
      <c r="G9824" s="49" t="str">
        <f t="shared" si="1"/>
        <v>31370</v>
      </c>
      <c r="H9824" s="49">
        <f t="shared" si="2"/>
        <v>31065</v>
      </c>
    </row>
    <row r="9825">
      <c r="A9825" s="48" t="s">
        <v>5661</v>
      </c>
      <c r="B9825" s="38">
        <v>63443.0</v>
      </c>
      <c r="C9825" s="38" t="s">
        <v>13744</v>
      </c>
      <c r="D9825" s="38" t="str">
        <f>IFERROR(__xludf.DUMMYFUNCTION("REGEXREPLACE(C9825,""-\d+(.*)|--\d+(.*)"","""")"),"VARENNES-SUR-MORGE")</f>
        <v>VARENNES-SUR-MORGE</v>
      </c>
      <c r="E9825" s="38" t="s">
        <v>353</v>
      </c>
      <c r="F9825" s="38" t="s">
        <v>161</v>
      </c>
      <c r="G9825" s="49" t="str">
        <f t="shared" si="1"/>
        <v>63720</v>
      </c>
      <c r="H9825" s="49">
        <f t="shared" si="2"/>
        <v>63443</v>
      </c>
    </row>
    <row r="9826">
      <c r="A9826" s="48" t="s">
        <v>2438</v>
      </c>
      <c r="B9826" s="38">
        <v>64537.0</v>
      </c>
      <c r="C9826" s="38" t="s">
        <v>13745</v>
      </c>
      <c r="D9826" s="38" t="str">
        <f>IFERROR(__xludf.DUMMYFUNCTION("REGEXREPLACE(C9826,""-\d+(.*)|--\d+(.*)"","""")"),"TROIS-VILLES")</f>
        <v>TROIS-VILLES</v>
      </c>
      <c r="E9826" s="38" t="s">
        <v>268</v>
      </c>
      <c r="F9826" s="38" t="s">
        <v>252</v>
      </c>
      <c r="G9826" s="49" t="str">
        <f t="shared" si="1"/>
        <v>64470</v>
      </c>
      <c r="H9826" s="49">
        <f t="shared" si="2"/>
        <v>64537</v>
      </c>
    </row>
    <row r="9827">
      <c r="A9827" s="48" t="s">
        <v>1833</v>
      </c>
      <c r="B9827" s="38">
        <v>31551.0</v>
      </c>
      <c r="C9827" s="38" t="s">
        <v>13746</v>
      </c>
      <c r="D9827" s="38" t="str">
        <f>IFERROR(__xludf.DUMMYFUNCTION("REGEXREPLACE(C9827,""-\d+(.*)|--\d+(.*)"","""")"),"TARABEL")</f>
        <v>TARABEL</v>
      </c>
      <c r="E9827" s="38" t="s">
        <v>93</v>
      </c>
      <c r="F9827" s="38" t="s">
        <v>94</v>
      </c>
      <c r="G9827" s="49" t="str">
        <f t="shared" si="1"/>
        <v>31570</v>
      </c>
      <c r="H9827" s="49">
        <f t="shared" si="2"/>
        <v>31551</v>
      </c>
    </row>
    <row r="9828">
      <c r="A9828" s="48" t="s">
        <v>4088</v>
      </c>
      <c r="B9828" s="38">
        <v>39538.0</v>
      </c>
      <c r="C9828" s="38" t="s">
        <v>13747</v>
      </c>
      <c r="D9828" s="38" t="str">
        <f>IFERROR(__xludf.DUMMYFUNCTION("REGEXREPLACE(C9828,""-\d+(.*)|--\d+(.*)"","""")"),"UXELLES")</f>
        <v>UXELLES</v>
      </c>
      <c r="E9828" s="38" t="s">
        <v>400</v>
      </c>
      <c r="F9828" s="38" t="s">
        <v>214</v>
      </c>
      <c r="G9828" s="49" t="str">
        <f t="shared" si="1"/>
        <v>39130</v>
      </c>
      <c r="H9828" s="49">
        <f t="shared" si="2"/>
        <v>39538</v>
      </c>
    </row>
    <row r="9829">
      <c r="A9829" s="48" t="s">
        <v>436</v>
      </c>
      <c r="B9829" s="38">
        <v>51513.0</v>
      </c>
      <c r="C9829" s="38" t="s">
        <v>13748</v>
      </c>
      <c r="D9829" s="38" t="str">
        <f>IFERROR(__xludf.DUMMYFUNCTION("REGEXREPLACE(C9829,""-\d+(.*)|--\d+(.*)"","""")"),"SAINT-REMY-EN-BOUZEMONT-SAINT-GENEST-ET-ISSON")</f>
        <v>SAINT-REMY-EN-BOUZEMONT-SAINT-GENEST-ET-ISSON</v>
      </c>
      <c r="E9829" s="38" t="s">
        <v>129</v>
      </c>
      <c r="F9829" s="38" t="s">
        <v>130</v>
      </c>
      <c r="G9829" s="49" t="str">
        <f t="shared" si="1"/>
        <v>51290</v>
      </c>
      <c r="H9829" s="49">
        <f t="shared" si="2"/>
        <v>51513</v>
      </c>
    </row>
    <row r="9830">
      <c r="A9830" s="48" t="s">
        <v>3810</v>
      </c>
      <c r="B9830" s="38">
        <v>77147.0</v>
      </c>
      <c r="C9830" s="38" t="s">
        <v>13749</v>
      </c>
      <c r="D9830" s="38" t="str">
        <f>IFERROR(__xludf.DUMMYFUNCTION("REGEXREPLACE(C9830,""-\d+(.*)|--\d+(.*)"","""")"),"LA CROIX-EN-BRIE")</f>
        <v>LA CROIX-EN-BRIE</v>
      </c>
      <c r="E9830" s="38" t="s">
        <v>244</v>
      </c>
      <c r="F9830" s="38" t="s">
        <v>245</v>
      </c>
      <c r="G9830" s="49" t="str">
        <f t="shared" si="1"/>
        <v>77370</v>
      </c>
      <c r="H9830" s="49">
        <f t="shared" si="2"/>
        <v>77147</v>
      </c>
    </row>
    <row r="9831">
      <c r="A9831" s="48" t="s">
        <v>13750</v>
      </c>
      <c r="B9831" s="38">
        <v>79190.0</v>
      </c>
      <c r="C9831" s="38" t="s">
        <v>13751</v>
      </c>
      <c r="D9831" s="38" t="str">
        <f>IFERROR(__xludf.DUMMYFUNCTION("REGEXREPLACE(C9831,""-\d+(.*)|--\d+(.*)"","""")"),"NEUVY-BOUIN")</f>
        <v>NEUVY-BOUIN</v>
      </c>
      <c r="E9831" s="38" t="s">
        <v>337</v>
      </c>
      <c r="F9831" s="38" t="s">
        <v>338</v>
      </c>
      <c r="G9831" s="49" t="str">
        <f t="shared" si="1"/>
        <v>79130</v>
      </c>
      <c r="H9831" s="49">
        <f t="shared" si="2"/>
        <v>79190</v>
      </c>
    </row>
    <row r="9832">
      <c r="A9832" s="48" t="s">
        <v>13752</v>
      </c>
      <c r="B9832" s="38">
        <v>72198.0</v>
      </c>
      <c r="C9832" s="38" t="s">
        <v>13753</v>
      </c>
      <c r="D9832" s="38" t="str">
        <f>IFERROR(__xludf.DUMMYFUNCTION("REGEXREPLACE(C9832,""-\d+(.*)|--\d+(.*)"","""")"),"LA MILESSE")</f>
        <v>LA MILESSE</v>
      </c>
      <c r="E9832" s="38" t="s">
        <v>521</v>
      </c>
      <c r="F9832" s="38" t="s">
        <v>180</v>
      </c>
      <c r="G9832" s="49" t="str">
        <f t="shared" si="1"/>
        <v>72650</v>
      </c>
      <c r="H9832" s="49">
        <f t="shared" si="2"/>
        <v>72198</v>
      </c>
    </row>
    <row r="9833">
      <c r="A9833" s="48" t="s">
        <v>1697</v>
      </c>
      <c r="B9833" s="38">
        <v>39092.0</v>
      </c>
      <c r="C9833" s="38" t="s">
        <v>13754</v>
      </c>
      <c r="D9833" s="38" t="str">
        <f>IFERROR(__xludf.DUMMYFUNCTION("REGEXREPLACE(C9833,""-\d+(.*)|--\d+(.*)"","""")"),"CHAMBERIA")</f>
        <v>CHAMBERIA</v>
      </c>
      <c r="E9833" s="38" t="s">
        <v>400</v>
      </c>
      <c r="F9833" s="38" t="s">
        <v>214</v>
      </c>
      <c r="G9833" s="49" t="str">
        <f t="shared" si="1"/>
        <v>39270</v>
      </c>
      <c r="H9833" s="49">
        <f t="shared" si="2"/>
        <v>39092</v>
      </c>
    </row>
    <row r="9834">
      <c r="A9834" s="48" t="s">
        <v>13755</v>
      </c>
      <c r="B9834" s="38">
        <v>34116.0</v>
      </c>
      <c r="C9834" s="38" t="s">
        <v>13756</v>
      </c>
      <c r="D9834" s="38" t="str">
        <f>IFERROR(__xludf.DUMMYFUNCTION("REGEXREPLACE(C9834,""-\d+(.*)|--\d+(.*)"","""")"),"GRABELS")</f>
        <v>GRABELS</v>
      </c>
      <c r="E9834" s="38" t="s">
        <v>118</v>
      </c>
      <c r="F9834" s="38" t="s">
        <v>119</v>
      </c>
      <c r="G9834" s="49" t="str">
        <f t="shared" si="1"/>
        <v>34790</v>
      </c>
      <c r="H9834" s="49">
        <f t="shared" si="2"/>
        <v>34116</v>
      </c>
    </row>
    <row r="9835">
      <c r="A9835" s="48" t="s">
        <v>423</v>
      </c>
      <c r="B9835" s="38">
        <v>2232.0</v>
      </c>
      <c r="C9835" s="38" t="s">
        <v>13757</v>
      </c>
      <c r="D9835" s="38" t="str">
        <f>IFERROR(__xludf.DUMMYFUNCTION("REGEXREPLACE(C9835,""-\d+(.*)|--\d+(.*)"","""")"),"COYOLLES")</f>
        <v>COYOLLES</v>
      </c>
      <c r="E9835" s="38" t="s">
        <v>191</v>
      </c>
      <c r="F9835" s="38" t="s">
        <v>113</v>
      </c>
      <c r="G9835" s="49" t="str">
        <f t="shared" si="1"/>
        <v>02600</v>
      </c>
      <c r="H9835" s="49" t="str">
        <f t="shared" si="2"/>
        <v>02232</v>
      </c>
    </row>
    <row r="9836">
      <c r="A9836" s="48" t="s">
        <v>1327</v>
      </c>
      <c r="B9836" s="38">
        <v>51484.0</v>
      </c>
      <c r="C9836" s="38" t="s">
        <v>2153</v>
      </c>
      <c r="D9836" s="38" t="str">
        <f>IFERROR(__xludf.DUMMYFUNCTION("REGEXREPLACE(C9836,""-\d+(.*)|--\d+(.*)"","""")"),"SAINT-GILLES")</f>
        <v>SAINT-GILLES</v>
      </c>
      <c r="E9836" s="38" t="s">
        <v>129</v>
      </c>
      <c r="F9836" s="38" t="s">
        <v>130</v>
      </c>
      <c r="G9836" s="49" t="str">
        <f t="shared" si="1"/>
        <v>51170</v>
      </c>
      <c r="H9836" s="49">
        <f t="shared" si="2"/>
        <v>51484</v>
      </c>
    </row>
    <row r="9837">
      <c r="A9837" s="48" t="s">
        <v>3069</v>
      </c>
      <c r="B9837" s="38">
        <v>68307.0</v>
      </c>
      <c r="C9837" s="38" t="s">
        <v>13758</v>
      </c>
      <c r="D9837" s="38" t="str">
        <f>IFERROR(__xludf.DUMMYFUNCTION("REGEXREPLACE(C9837,""-\d+(.*)|--\d+(.*)"","""")"),"SEWEN")</f>
        <v>SEWEN</v>
      </c>
      <c r="E9837" s="38" t="s">
        <v>150</v>
      </c>
      <c r="F9837" s="38" t="s">
        <v>151</v>
      </c>
      <c r="G9837" s="49" t="str">
        <f t="shared" si="1"/>
        <v>68290</v>
      </c>
      <c r="H9837" s="49">
        <f t="shared" si="2"/>
        <v>68307</v>
      </c>
    </row>
    <row r="9838">
      <c r="A9838" s="48" t="s">
        <v>2029</v>
      </c>
      <c r="B9838" s="38">
        <v>50170.0</v>
      </c>
      <c r="C9838" s="38" t="s">
        <v>13759</v>
      </c>
      <c r="D9838" s="38" t="str">
        <f>IFERROR(__xludf.DUMMYFUNCTION("REGEXREPLACE(C9838,""-\d+(.*)|--\d+(.*)"","""")"),"ECOQUENEAUVILLE")</f>
        <v>ECOQUENEAUVILLE</v>
      </c>
      <c r="E9838" s="38" t="s">
        <v>157</v>
      </c>
      <c r="F9838" s="38" t="s">
        <v>138</v>
      </c>
      <c r="G9838" s="49" t="str">
        <f t="shared" si="1"/>
        <v>50480</v>
      </c>
      <c r="H9838" s="49">
        <f t="shared" si="2"/>
        <v>50170</v>
      </c>
    </row>
    <row r="9839">
      <c r="A9839" s="48" t="s">
        <v>1428</v>
      </c>
      <c r="B9839" s="38">
        <v>31121.0</v>
      </c>
      <c r="C9839" s="38" t="s">
        <v>13760</v>
      </c>
      <c r="D9839" s="38" t="str">
        <f>IFERROR(__xludf.DUMMYFUNCTION("REGEXREPLACE(C9839,""-\d+(.*)|--\d+(.*)"","""")"),"CASTERA-VIGNOLES")</f>
        <v>CASTERA-VIGNOLES</v>
      </c>
      <c r="E9839" s="38" t="s">
        <v>93</v>
      </c>
      <c r="F9839" s="38" t="s">
        <v>94</v>
      </c>
      <c r="G9839" s="49" t="str">
        <f t="shared" si="1"/>
        <v>31350</v>
      </c>
      <c r="H9839" s="49">
        <f t="shared" si="2"/>
        <v>31121</v>
      </c>
    </row>
    <row r="9840">
      <c r="A9840" s="48" t="s">
        <v>4443</v>
      </c>
      <c r="B9840" s="38">
        <v>27514.0</v>
      </c>
      <c r="C9840" s="38" t="s">
        <v>13761</v>
      </c>
      <c r="D9840" s="38" t="str">
        <f>IFERROR(__xludf.DUMMYFUNCTION("REGEXREPLACE(C9840,""-\d+(.*)|--\d+(.*)"","""")"),"SAINT-AUBIN-DU-THENNEY")</f>
        <v>SAINT-AUBIN-DU-THENNEY</v>
      </c>
      <c r="E9840" s="38" t="s">
        <v>241</v>
      </c>
      <c r="F9840" s="38" t="s">
        <v>134</v>
      </c>
      <c r="G9840" s="49" t="str">
        <f t="shared" si="1"/>
        <v>27270</v>
      </c>
      <c r="H9840" s="49">
        <f t="shared" si="2"/>
        <v>27514</v>
      </c>
    </row>
    <row r="9841">
      <c r="A9841" s="48" t="s">
        <v>11269</v>
      </c>
      <c r="B9841" s="38">
        <v>51302.0</v>
      </c>
      <c r="C9841" s="38" t="s">
        <v>13762</v>
      </c>
      <c r="D9841" s="38" t="str">
        <f>IFERROR(__xludf.DUMMYFUNCTION("REGEXREPLACE(C9841,""-\d+(.*)|--\d+(.*)"","""")"),"LES ISTRES-ET-BURY")</f>
        <v>LES ISTRES-ET-BURY</v>
      </c>
      <c r="E9841" s="38" t="s">
        <v>129</v>
      </c>
      <c r="F9841" s="38" t="s">
        <v>130</v>
      </c>
      <c r="G9841" s="49" t="str">
        <f t="shared" si="1"/>
        <v>51190</v>
      </c>
      <c r="H9841" s="49">
        <f t="shared" si="2"/>
        <v>51302</v>
      </c>
    </row>
    <row r="9842">
      <c r="A9842" s="48" t="s">
        <v>13763</v>
      </c>
      <c r="B9842" s="38">
        <v>1192.0</v>
      </c>
      <c r="C9842" s="38" t="s">
        <v>13764</v>
      </c>
      <c r="D9842" s="38" t="str">
        <f>IFERROR(__xludf.DUMMYFUNCTION("REGEXREPLACE(C9842,""-\d+(.*)|--\d+(.*)"","""")"),"IZERNORE")</f>
        <v>IZERNORE</v>
      </c>
      <c r="E9842" s="38" t="s">
        <v>255</v>
      </c>
      <c r="F9842" s="38" t="s">
        <v>102</v>
      </c>
      <c r="G9842" s="49" t="str">
        <f t="shared" si="1"/>
        <v>01580</v>
      </c>
      <c r="H9842" s="49" t="str">
        <f t="shared" si="2"/>
        <v>01192</v>
      </c>
    </row>
    <row r="9843">
      <c r="A9843" s="48" t="s">
        <v>3015</v>
      </c>
      <c r="B9843" s="38">
        <v>16238.0</v>
      </c>
      <c r="C9843" s="38" t="s">
        <v>13765</v>
      </c>
      <c r="D9843" s="38" t="str">
        <f>IFERROR(__xludf.DUMMYFUNCTION("REGEXREPLACE(C9843,""-\d+(.*)|--\d+(.*)"","""")"),"MOUTONNEAU")</f>
        <v>MOUTONNEAU</v>
      </c>
      <c r="E9843" s="38" t="s">
        <v>429</v>
      </c>
      <c r="F9843" s="38" t="s">
        <v>338</v>
      </c>
      <c r="G9843" s="49" t="str">
        <f t="shared" si="1"/>
        <v>16460</v>
      </c>
      <c r="H9843" s="49">
        <f t="shared" si="2"/>
        <v>16238</v>
      </c>
    </row>
    <row r="9844">
      <c r="A9844" s="48" t="s">
        <v>7954</v>
      </c>
      <c r="B9844" s="38">
        <v>40202.0</v>
      </c>
      <c r="C9844" s="38" t="s">
        <v>13766</v>
      </c>
      <c r="D9844" s="38" t="str">
        <f>IFERROR(__xludf.DUMMYFUNCTION("REGEXREPLACE(C9844,""-\d+(.*)|--\d+(.*)"","""")"),"NARROSSE")</f>
        <v>NARROSSE</v>
      </c>
      <c r="E9844" s="38" t="s">
        <v>281</v>
      </c>
      <c r="F9844" s="38" t="s">
        <v>252</v>
      </c>
      <c r="G9844" s="49" t="str">
        <f t="shared" si="1"/>
        <v>40180</v>
      </c>
      <c r="H9844" s="49">
        <f t="shared" si="2"/>
        <v>40202</v>
      </c>
    </row>
    <row r="9845">
      <c r="A9845" s="48" t="s">
        <v>2217</v>
      </c>
      <c r="B9845" s="38">
        <v>24375.0</v>
      </c>
      <c r="C9845" s="38" t="s">
        <v>13767</v>
      </c>
      <c r="D9845" s="38" t="str">
        <f>IFERROR(__xludf.DUMMYFUNCTION("REGEXREPLACE(C9845,""-\d+(.*)|--\d+(.*)"","""")"),"SAINT-AUBIN-DE-NABIRAT")</f>
        <v>SAINT-AUBIN-DE-NABIRAT</v>
      </c>
      <c r="E9845" s="38" t="s">
        <v>261</v>
      </c>
      <c r="F9845" s="38" t="s">
        <v>252</v>
      </c>
      <c r="G9845" s="49" t="str">
        <f t="shared" si="1"/>
        <v>24250</v>
      </c>
      <c r="H9845" s="49">
        <f t="shared" si="2"/>
        <v>24375</v>
      </c>
    </row>
    <row r="9846">
      <c r="A9846" s="48" t="s">
        <v>3190</v>
      </c>
      <c r="B9846" s="38">
        <v>70549.0</v>
      </c>
      <c r="C9846" s="38" t="s">
        <v>13768</v>
      </c>
      <c r="D9846" s="38" t="str">
        <f>IFERROR(__xludf.DUMMYFUNCTION("REGEXREPLACE(C9846,""-\d+(.*)|--\d+(.*)"","""")"),"LA VERNOTTE")</f>
        <v>LA VERNOTTE</v>
      </c>
      <c r="E9846" s="38" t="s">
        <v>956</v>
      </c>
      <c r="F9846" s="38" t="s">
        <v>214</v>
      </c>
      <c r="G9846" s="49" t="str">
        <f t="shared" si="1"/>
        <v>70130</v>
      </c>
      <c r="H9846" s="49">
        <f t="shared" si="2"/>
        <v>70549</v>
      </c>
    </row>
    <row r="9847">
      <c r="A9847" s="48" t="s">
        <v>8586</v>
      </c>
      <c r="B9847" s="38">
        <v>46013.0</v>
      </c>
      <c r="C9847" s="38" t="s">
        <v>13769</v>
      </c>
      <c r="D9847" s="38" t="str">
        <f>IFERROR(__xludf.DUMMYFUNCTION("REGEXREPLACE(C9847,""-\d+(.*)|--\d+(.*)"","""")"),"BACH")</f>
        <v>BACH</v>
      </c>
      <c r="E9847" s="38" t="s">
        <v>185</v>
      </c>
      <c r="F9847" s="38" t="s">
        <v>94</v>
      </c>
      <c r="G9847" s="49" t="str">
        <f t="shared" si="1"/>
        <v>46230</v>
      </c>
      <c r="H9847" s="49">
        <f t="shared" si="2"/>
        <v>46013</v>
      </c>
    </row>
    <row r="9848">
      <c r="A9848" s="48" t="s">
        <v>2792</v>
      </c>
      <c r="B9848" s="38">
        <v>58274.0</v>
      </c>
      <c r="C9848" s="38" t="s">
        <v>13770</v>
      </c>
      <c r="D9848" s="38" t="str">
        <f>IFERROR(__xludf.DUMMYFUNCTION("REGEXREPLACE(C9848,""-\d+(.*)|--\d+(.*)"","""")"),"SAVIGNY-POIL-FOL")</f>
        <v>SAVIGNY-POIL-FOL</v>
      </c>
      <c r="E9848" s="38" t="s">
        <v>219</v>
      </c>
      <c r="F9848" s="38" t="s">
        <v>106</v>
      </c>
      <c r="G9848" s="49" t="str">
        <f t="shared" si="1"/>
        <v>58170</v>
      </c>
      <c r="H9848" s="49">
        <f t="shared" si="2"/>
        <v>58274</v>
      </c>
    </row>
    <row r="9849">
      <c r="A9849" s="48" t="s">
        <v>1716</v>
      </c>
      <c r="B9849" s="38">
        <v>38420.0</v>
      </c>
      <c r="C9849" s="38" t="s">
        <v>13771</v>
      </c>
      <c r="D9849" s="38" t="str">
        <f>IFERROR(__xludf.DUMMYFUNCTION("REGEXREPLACE(C9849,""-\d+(.*)|--\d+(.*)"","""")"),"SAINT-MARTIN-DE-VAULSERRE")</f>
        <v>SAINT-MARTIN-DE-VAULSERRE</v>
      </c>
      <c r="E9849" s="38" t="s">
        <v>101</v>
      </c>
      <c r="F9849" s="38" t="s">
        <v>102</v>
      </c>
      <c r="G9849" s="49" t="str">
        <f t="shared" si="1"/>
        <v>38480</v>
      </c>
      <c r="H9849" s="49">
        <f t="shared" si="2"/>
        <v>38420</v>
      </c>
    </row>
    <row r="9850">
      <c r="A9850" s="48" t="s">
        <v>4838</v>
      </c>
      <c r="B9850" s="38">
        <v>17260.0</v>
      </c>
      <c r="C9850" s="38" t="s">
        <v>13772</v>
      </c>
      <c r="D9850" s="38" t="str">
        <f>IFERROR(__xludf.DUMMYFUNCTION("REGEXREPLACE(C9850,""-\d+(.*)|--\d+(.*)"","""")"),"NEUVICQ")</f>
        <v>NEUVICQ</v>
      </c>
      <c r="E9850" s="38" t="s">
        <v>488</v>
      </c>
      <c r="F9850" s="38" t="s">
        <v>338</v>
      </c>
      <c r="G9850" s="49" t="str">
        <f t="shared" si="1"/>
        <v>17270</v>
      </c>
      <c r="H9850" s="49">
        <f t="shared" si="2"/>
        <v>17260</v>
      </c>
    </row>
    <row r="9851">
      <c r="A9851" s="48" t="s">
        <v>13773</v>
      </c>
      <c r="B9851" s="38">
        <v>60233.0</v>
      </c>
      <c r="C9851" s="38" t="s">
        <v>13774</v>
      </c>
      <c r="D9851" s="38" t="str">
        <f>IFERROR(__xludf.DUMMYFUNCTION("REGEXREPLACE(C9851,""-\d+(.*)|--\d+(.*)"","""")"),"FEUQUIERES")</f>
        <v>FEUQUIERES</v>
      </c>
      <c r="E9851" s="38" t="s">
        <v>112</v>
      </c>
      <c r="F9851" s="38" t="s">
        <v>113</v>
      </c>
      <c r="G9851" s="49" t="str">
        <f t="shared" si="1"/>
        <v>60960</v>
      </c>
      <c r="H9851" s="49">
        <f t="shared" si="2"/>
        <v>60233</v>
      </c>
    </row>
    <row r="9852">
      <c r="A9852" s="48" t="s">
        <v>5432</v>
      </c>
      <c r="B9852" s="38">
        <v>33311.0</v>
      </c>
      <c r="C9852" s="38" t="s">
        <v>13775</v>
      </c>
      <c r="D9852" s="38" t="str">
        <f>IFERROR(__xludf.DUMMYFUNCTION("REGEXREPLACE(C9852,""-\d+(.*)|--\d+(.*)"","""")"),"PAILLET")</f>
        <v>PAILLET</v>
      </c>
      <c r="E9852" s="38" t="s">
        <v>462</v>
      </c>
      <c r="F9852" s="38" t="s">
        <v>252</v>
      </c>
      <c r="G9852" s="49" t="str">
        <f t="shared" si="1"/>
        <v>33550</v>
      </c>
      <c r="H9852" s="49">
        <f t="shared" si="2"/>
        <v>33311</v>
      </c>
    </row>
    <row r="9853">
      <c r="A9853" s="48" t="s">
        <v>2095</v>
      </c>
      <c r="B9853" s="38">
        <v>72011.0</v>
      </c>
      <c r="C9853" s="38" t="s">
        <v>13776</v>
      </c>
      <c r="D9853" s="38" t="str">
        <f>IFERROR(__xludf.DUMMYFUNCTION("REGEXREPLACE(C9853,""-\d+(.*)|--\d+(.*)"","""")"),"ASSE-LE-BOISNE")</f>
        <v>ASSE-LE-BOISNE</v>
      </c>
      <c r="E9853" s="38" t="s">
        <v>521</v>
      </c>
      <c r="F9853" s="38" t="s">
        <v>180</v>
      </c>
      <c r="G9853" s="49" t="str">
        <f t="shared" si="1"/>
        <v>72130</v>
      </c>
      <c r="H9853" s="49">
        <f t="shared" si="2"/>
        <v>72011</v>
      </c>
    </row>
    <row r="9854">
      <c r="A9854" s="48" t="s">
        <v>509</v>
      </c>
      <c r="B9854" s="38">
        <v>28367.0</v>
      </c>
      <c r="C9854" s="38" t="s">
        <v>13777</v>
      </c>
      <c r="D9854" s="38" t="str">
        <f>IFERROR(__xludf.DUMMYFUNCTION("REGEXREPLACE(C9854,""-\d+(.*)|--\d+(.*)"","""")"),"SANTILLY")</f>
        <v>SANTILLY</v>
      </c>
      <c r="E9854" s="38" t="s">
        <v>300</v>
      </c>
      <c r="F9854" s="38" t="s">
        <v>123</v>
      </c>
      <c r="G9854" s="49" t="str">
        <f t="shared" si="1"/>
        <v>28310</v>
      </c>
      <c r="H9854" s="49">
        <f t="shared" si="2"/>
        <v>28367</v>
      </c>
    </row>
    <row r="9855">
      <c r="A9855" s="48" t="s">
        <v>564</v>
      </c>
      <c r="B9855" s="38">
        <v>73313.0</v>
      </c>
      <c r="C9855" s="38" t="s">
        <v>13778</v>
      </c>
      <c r="D9855" s="38" t="str">
        <f>IFERROR(__xludf.DUMMYFUNCTION("REGEXREPLACE(C9855,""-\d+(.*)|--\d+(.*)"","""")"),"VERTHEMEX")</f>
        <v>VERTHEMEX</v>
      </c>
      <c r="E9855" s="38" t="s">
        <v>306</v>
      </c>
      <c r="F9855" s="38" t="s">
        <v>102</v>
      </c>
      <c r="G9855" s="49" t="str">
        <f t="shared" si="1"/>
        <v>73170</v>
      </c>
      <c r="H9855" s="49">
        <f t="shared" si="2"/>
        <v>73313</v>
      </c>
    </row>
    <row r="9856">
      <c r="A9856" s="48" t="s">
        <v>8459</v>
      </c>
      <c r="B9856" s="38">
        <v>89192.0</v>
      </c>
      <c r="C9856" s="38" t="s">
        <v>13779</v>
      </c>
      <c r="D9856" s="38" t="str">
        <f>IFERROR(__xludf.DUMMYFUNCTION("REGEXREPLACE(C9856,""-\d+(.*)|--\d+(.*)"","""")"),"GRANDCHAMP")</f>
        <v>GRANDCHAMP</v>
      </c>
      <c r="E9856" s="38" t="s">
        <v>275</v>
      </c>
      <c r="F9856" s="38" t="s">
        <v>106</v>
      </c>
      <c r="G9856" s="49" t="str">
        <f t="shared" si="1"/>
        <v>89350</v>
      </c>
      <c r="H9856" s="49">
        <f t="shared" si="2"/>
        <v>89192</v>
      </c>
    </row>
    <row r="9857">
      <c r="A9857" s="48" t="s">
        <v>4065</v>
      </c>
      <c r="B9857" s="38">
        <v>21633.0</v>
      </c>
      <c r="C9857" s="38" t="s">
        <v>13780</v>
      </c>
      <c r="D9857" s="38" t="str">
        <f>IFERROR(__xludf.DUMMYFUNCTION("REGEXREPLACE(C9857,""-\d+(.*)|--\d+(.*)"","""")"),"THOREY-SOUS-CHARNY")</f>
        <v>THOREY-SOUS-CHARNY</v>
      </c>
      <c r="E9857" s="38" t="s">
        <v>105</v>
      </c>
      <c r="F9857" s="38" t="s">
        <v>106</v>
      </c>
      <c r="G9857" s="49" t="str">
        <f t="shared" si="1"/>
        <v>21350</v>
      </c>
      <c r="H9857" s="49">
        <f t="shared" si="2"/>
        <v>21633</v>
      </c>
    </row>
    <row r="9858">
      <c r="A9858" s="48" t="s">
        <v>9879</v>
      </c>
      <c r="B9858" s="38">
        <v>85215.0</v>
      </c>
      <c r="C9858" s="38" t="s">
        <v>13781</v>
      </c>
      <c r="D9858" s="38" t="str">
        <f>IFERROR(__xludf.DUMMYFUNCTION("REGEXREPLACE(C9858,""-\d+(.*)|--\d+(.*)"","""")"),"SAINT-FULGENT")</f>
        <v>SAINT-FULGENT</v>
      </c>
      <c r="E9858" s="38" t="s">
        <v>179</v>
      </c>
      <c r="F9858" s="38" t="s">
        <v>180</v>
      </c>
      <c r="G9858" s="49" t="str">
        <f t="shared" si="1"/>
        <v>85250</v>
      </c>
      <c r="H9858" s="49">
        <f t="shared" si="2"/>
        <v>85215</v>
      </c>
    </row>
    <row r="9859">
      <c r="A9859" s="48" t="s">
        <v>693</v>
      </c>
      <c r="B9859" s="38">
        <v>23243.0</v>
      </c>
      <c r="C9859" s="38" t="s">
        <v>13782</v>
      </c>
      <c r="D9859" s="38" t="str">
        <f>IFERROR(__xludf.DUMMYFUNCTION("REGEXREPLACE(C9859,""-\d+(.*)|--\d+(.*)"","""")"),"SAINT-SILVAIN-SOUS-TOULX")</f>
        <v>SAINT-SILVAIN-SOUS-TOULX</v>
      </c>
      <c r="E9859" s="38" t="s">
        <v>97</v>
      </c>
      <c r="F9859" s="38" t="s">
        <v>98</v>
      </c>
      <c r="G9859" s="49" t="str">
        <f t="shared" si="1"/>
        <v>23140</v>
      </c>
      <c r="H9859" s="49">
        <f t="shared" si="2"/>
        <v>23243</v>
      </c>
    </row>
    <row r="9860">
      <c r="A9860" s="48" t="s">
        <v>5542</v>
      </c>
      <c r="B9860" s="38">
        <v>89215.0</v>
      </c>
      <c r="C9860" s="38" t="s">
        <v>13783</v>
      </c>
      <c r="D9860" s="38" t="str">
        <f>IFERROR(__xludf.DUMMYFUNCTION("REGEXREPLACE(C9860,""-\d+(.*)|--\d+(.*)"","""")"),"LAIN")</f>
        <v>LAIN</v>
      </c>
      <c r="E9860" s="38" t="s">
        <v>275</v>
      </c>
      <c r="F9860" s="38" t="s">
        <v>106</v>
      </c>
      <c r="G9860" s="49" t="str">
        <f t="shared" si="1"/>
        <v>89560</v>
      </c>
      <c r="H9860" s="49">
        <f t="shared" si="2"/>
        <v>89215</v>
      </c>
    </row>
    <row r="9861">
      <c r="A9861" s="48" t="s">
        <v>5212</v>
      </c>
      <c r="B9861" s="38">
        <v>41087.0</v>
      </c>
      <c r="C9861" s="38" t="s">
        <v>13784</v>
      </c>
      <c r="D9861" s="38" t="str">
        <f>IFERROR(__xludf.DUMMYFUNCTION("REGEXREPLACE(C9861,""-\d+(.*)|--\d+(.*)"","""")"),"FONTAINE-LES-COTEAUX")</f>
        <v>FONTAINE-LES-COTEAUX</v>
      </c>
      <c r="E9861" s="38" t="s">
        <v>188</v>
      </c>
      <c r="F9861" s="38" t="s">
        <v>123</v>
      </c>
      <c r="G9861" s="49" t="str">
        <f t="shared" si="1"/>
        <v>41800</v>
      </c>
      <c r="H9861" s="49">
        <f t="shared" si="2"/>
        <v>41087</v>
      </c>
    </row>
    <row r="9862">
      <c r="A9862" s="48" t="s">
        <v>2332</v>
      </c>
      <c r="B9862" s="38">
        <v>81159.0</v>
      </c>
      <c r="C9862" s="38" t="s">
        <v>13785</v>
      </c>
      <c r="D9862" s="38" t="str">
        <f>IFERROR(__xludf.DUMMYFUNCTION("REGEXREPLACE(C9862,""-\d+(.*)|--\d+(.*)"","""")"),"MASSAC-SERAN")</f>
        <v>MASSAC-SERAN</v>
      </c>
      <c r="E9862" s="38" t="s">
        <v>231</v>
      </c>
      <c r="F9862" s="38" t="s">
        <v>94</v>
      </c>
      <c r="G9862" s="49" t="str">
        <f t="shared" si="1"/>
        <v>81500</v>
      </c>
      <c r="H9862" s="49">
        <f t="shared" si="2"/>
        <v>81159</v>
      </c>
    </row>
    <row r="9863">
      <c r="A9863" s="48" t="s">
        <v>9272</v>
      </c>
      <c r="B9863" s="38">
        <v>95052.0</v>
      </c>
      <c r="C9863" s="38" t="s">
        <v>13786</v>
      </c>
      <c r="D9863" s="38" t="str">
        <f>IFERROR(__xludf.DUMMYFUNCTION("REGEXREPLACE(C9863,""-\d+(.*)|--\d+(.*)"","""")"),"BEAUMONT-SUR-OISE")</f>
        <v>BEAUMONT-SUR-OISE</v>
      </c>
      <c r="E9863" s="38" t="s">
        <v>541</v>
      </c>
      <c r="F9863" s="38" t="s">
        <v>245</v>
      </c>
      <c r="G9863" s="49" t="str">
        <f t="shared" si="1"/>
        <v>95260</v>
      </c>
      <c r="H9863" s="49">
        <f t="shared" si="2"/>
        <v>95052</v>
      </c>
    </row>
    <row r="9864">
      <c r="A9864" s="48" t="s">
        <v>671</v>
      </c>
      <c r="B9864" s="38">
        <v>21676.0</v>
      </c>
      <c r="C9864" s="38" t="s">
        <v>13787</v>
      </c>
      <c r="D9864" s="38" t="str">
        <f>IFERROR(__xludf.DUMMYFUNCTION("REGEXREPLACE(C9864,""-\d+(.*)|--\d+(.*)"","""")"),"VIC-DE-CHASSENAY")</f>
        <v>VIC-DE-CHASSENAY</v>
      </c>
      <c r="E9864" s="38" t="s">
        <v>105</v>
      </c>
      <c r="F9864" s="38" t="s">
        <v>106</v>
      </c>
      <c r="G9864" s="49" t="str">
        <f t="shared" si="1"/>
        <v>21140</v>
      </c>
      <c r="H9864" s="49">
        <f t="shared" si="2"/>
        <v>21676</v>
      </c>
    </row>
    <row r="9865">
      <c r="A9865" s="48" t="s">
        <v>3704</v>
      </c>
      <c r="B9865" s="38">
        <v>2008.0</v>
      </c>
      <c r="C9865" s="38" t="s">
        <v>13788</v>
      </c>
      <c r="D9865" s="38" t="str">
        <f>IFERROR(__xludf.DUMMYFUNCTION("REGEXREPLACE(C9865,""-\d+(.*)|--\d+(.*)"","""")"),"AIZY-JOUY")</f>
        <v>AIZY-JOUY</v>
      </c>
      <c r="E9865" s="38" t="s">
        <v>191</v>
      </c>
      <c r="F9865" s="38" t="s">
        <v>113</v>
      </c>
      <c r="G9865" s="49" t="str">
        <f t="shared" si="1"/>
        <v>02370</v>
      </c>
      <c r="H9865" s="49" t="str">
        <f t="shared" si="2"/>
        <v>02008</v>
      </c>
    </row>
    <row r="9866">
      <c r="A9866" s="48" t="s">
        <v>2920</v>
      </c>
      <c r="B9866" s="38">
        <v>62690.0</v>
      </c>
      <c r="C9866" s="38" t="s">
        <v>13789</v>
      </c>
      <c r="D9866" s="38" t="str">
        <f>IFERROR(__xludf.DUMMYFUNCTION("REGEXREPLACE(C9866,""-\d+(.*)|--\d+(.*)"","""")"),"RAYE-SUR-AUTHIE")</f>
        <v>RAYE-SUR-AUTHIE</v>
      </c>
      <c r="E9866" s="38" t="s">
        <v>109</v>
      </c>
      <c r="F9866" s="38" t="s">
        <v>86</v>
      </c>
      <c r="G9866" s="49" t="str">
        <f t="shared" si="1"/>
        <v>62140</v>
      </c>
      <c r="H9866" s="49">
        <f t="shared" si="2"/>
        <v>62690</v>
      </c>
    </row>
    <row r="9867">
      <c r="A9867" s="48" t="s">
        <v>11712</v>
      </c>
      <c r="B9867" s="38">
        <v>58032.0</v>
      </c>
      <c r="C9867" s="38" t="s">
        <v>13790</v>
      </c>
      <c r="D9867" s="38" t="str">
        <f>IFERROR(__xludf.DUMMYFUNCTION("REGEXREPLACE(C9867,""-\d+(.*)|--\d+(.*)"","""")"),"BILLY-SUR-OISY")</f>
        <v>BILLY-SUR-OISY</v>
      </c>
      <c r="E9867" s="38" t="s">
        <v>219</v>
      </c>
      <c r="F9867" s="38" t="s">
        <v>106</v>
      </c>
      <c r="G9867" s="49" t="str">
        <f t="shared" si="1"/>
        <v>58500</v>
      </c>
      <c r="H9867" s="49">
        <f t="shared" si="2"/>
        <v>58032</v>
      </c>
    </row>
    <row r="9868">
      <c r="A9868" s="48" t="s">
        <v>1203</v>
      </c>
      <c r="B9868" s="38">
        <v>17097.0</v>
      </c>
      <c r="C9868" s="38" t="s">
        <v>13791</v>
      </c>
      <c r="D9868" s="38" t="str">
        <f>IFERROR(__xludf.DUMMYFUNCTION("REGEXREPLACE(C9868,""-\d+(.*)|--\d+(.*)"","""")"),"LE CHAY")</f>
        <v>LE CHAY</v>
      </c>
      <c r="E9868" s="38" t="s">
        <v>488</v>
      </c>
      <c r="F9868" s="38" t="s">
        <v>338</v>
      </c>
      <c r="G9868" s="49" t="str">
        <f t="shared" si="1"/>
        <v>17600</v>
      </c>
      <c r="H9868" s="49">
        <f t="shared" si="2"/>
        <v>17097</v>
      </c>
    </row>
    <row r="9869">
      <c r="A9869" s="48" t="s">
        <v>3990</v>
      </c>
      <c r="B9869" s="38">
        <v>2414.0</v>
      </c>
      <c r="C9869" s="38" t="s">
        <v>13792</v>
      </c>
      <c r="D9869" s="38" t="str">
        <f>IFERROR(__xludf.DUMMYFUNCTION("REGEXREPLACE(C9869,""-\d+(.*)|--\d+(.*)"","""")"),"LAVAQUERESSE")</f>
        <v>LAVAQUERESSE</v>
      </c>
      <c r="E9869" s="38" t="s">
        <v>191</v>
      </c>
      <c r="F9869" s="38" t="s">
        <v>113</v>
      </c>
      <c r="G9869" s="49" t="str">
        <f t="shared" si="1"/>
        <v>02450</v>
      </c>
      <c r="H9869" s="49" t="str">
        <f t="shared" si="2"/>
        <v>02414</v>
      </c>
    </row>
    <row r="9870">
      <c r="A9870" s="48" t="s">
        <v>12873</v>
      </c>
      <c r="B9870" s="38">
        <v>63355.0</v>
      </c>
      <c r="C9870" s="38" t="s">
        <v>13793</v>
      </c>
      <c r="D9870" s="38" t="str">
        <f>IFERROR(__xludf.DUMMYFUNCTION("REGEXREPLACE(C9870,""-\d+(.*)|--\d+(.*)"","""")"),"SAINT-GERVAIS-SOUS-MEYMONT")</f>
        <v>SAINT-GERVAIS-SOUS-MEYMONT</v>
      </c>
      <c r="E9870" s="38" t="s">
        <v>353</v>
      </c>
      <c r="F9870" s="38" t="s">
        <v>161</v>
      </c>
      <c r="G9870" s="49" t="str">
        <f t="shared" si="1"/>
        <v>63880</v>
      </c>
      <c r="H9870" s="49">
        <f t="shared" si="2"/>
        <v>63355</v>
      </c>
    </row>
    <row r="9871">
      <c r="A9871" s="48" t="s">
        <v>7876</v>
      </c>
      <c r="B9871" s="38">
        <v>58141.0</v>
      </c>
      <c r="C9871" s="38" t="s">
        <v>13794</v>
      </c>
      <c r="D9871" s="38" t="str">
        <f>IFERROR(__xludf.DUMMYFUNCTION("REGEXREPLACE(C9871,""-\d+(.*)|--\d+(.*)"","""")"),"LAVAULT-DE-FRETOY")</f>
        <v>LAVAULT-DE-FRETOY</v>
      </c>
      <c r="E9871" s="38" t="s">
        <v>219</v>
      </c>
      <c r="F9871" s="38" t="s">
        <v>106</v>
      </c>
      <c r="G9871" s="49" t="str">
        <f t="shared" si="1"/>
        <v>58230</v>
      </c>
      <c r="H9871" s="49">
        <f t="shared" si="2"/>
        <v>58141</v>
      </c>
    </row>
    <row r="9872">
      <c r="A9872" s="48" t="s">
        <v>2387</v>
      </c>
      <c r="B9872" s="38">
        <v>42147.0</v>
      </c>
      <c r="C9872" s="38" t="s">
        <v>13795</v>
      </c>
      <c r="D9872" s="38" t="str">
        <f>IFERROR(__xludf.DUMMYFUNCTION("REGEXREPLACE(C9872,""-\d+(.*)|--\d+(.*)"","""")"),"MONTBRISON")</f>
        <v>MONTBRISON</v>
      </c>
      <c r="E9872" s="38" t="s">
        <v>166</v>
      </c>
      <c r="F9872" s="38" t="s">
        <v>102</v>
      </c>
      <c r="G9872" s="49" t="str">
        <f t="shared" si="1"/>
        <v>42600</v>
      </c>
      <c r="H9872" s="49">
        <f t="shared" si="2"/>
        <v>42147</v>
      </c>
    </row>
    <row r="9873">
      <c r="A9873" s="48" t="s">
        <v>9297</v>
      </c>
      <c r="B9873" s="38">
        <v>41278.0</v>
      </c>
      <c r="C9873" s="38" t="s">
        <v>13796</v>
      </c>
      <c r="D9873" s="38" t="str">
        <f>IFERROR(__xludf.DUMMYFUNCTION("REGEXREPLACE(C9873,""-\d+(.*)|--\d+(.*)"","""")"),"VILLECHAUVE")</f>
        <v>VILLECHAUVE</v>
      </c>
      <c r="E9873" s="38" t="s">
        <v>188</v>
      </c>
      <c r="F9873" s="38" t="s">
        <v>123</v>
      </c>
      <c r="G9873" s="49" t="str">
        <f t="shared" si="1"/>
        <v>41310</v>
      </c>
      <c r="H9873" s="49">
        <f t="shared" si="2"/>
        <v>41278</v>
      </c>
    </row>
    <row r="9874">
      <c r="A9874" s="48" t="s">
        <v>1220</v>
      </c>
      <c r="B9874" s="38">
        <v>76087.0</v>
      </c>
      <c r="C9874" s="38" t="s">
        <v>13797</v>
      </c>
      <c r="D9874" s="38" t="str">
        <f>IFERROR(__xludf.DUMMYFUNCTION("REGEXREPLACE(C9874,""-\d+(.*)|--\d+(.*)"","""")"),"BERVILLE")</f>
        <v>BERVILLE</v>
      </c>
      <c r="E9874" s="38" t="s">
        <v>133</v>
      </c>
      <c r="F9874" s="38" t="s">
        <v>134</v>
      </c>
      <c r="G9874" s="49" t="str">
        <f t="shared" si="1"/>
        <v>76560</v>
      </c>
      <c r="H9874" s="49">
        <f t="shared" si="2"/>
        <v>76087</v>
      </c>
    </row>
    <row r="9875">
      <c r="A9875" s="48" t="s">
        <v>13798</v>
      </c>
      <c r="B9875" s="38">
        <v>42223.0</v>
      </c>
      <c r="C9875" s="38" t="s">
        <v>13799</v>
      </c>
      <c r="D9875" s="38" t="str">
        <f>IFERROR(__xludf.DUMMYFUNCTION("REGEXREPLACE(C9875,""-\d+(.*)|--\d+(.*)"","""")"),"SAINT-GENEST-LERPT")</f>
        <v>SAINT-GENEST-LERPT</v>
      </c>
      <c r="E9875" s="38" t="s">
        <v>166</v>
      </c>
      <c r="F9875" s="38" t="s">
        <v>102</v>
      </c>
      <c r="G9875" s="49" t="str">
        <f t="shared" si="1"/>
        <v>42530</v>
      </c>
      <c r="H9875" s="49">
        <f t="shared" si="2"/>
        <v>42223</v>
      </c>
    </row>
    <row r="9876">
      <c r="A9876" s="48" t="s">
        <v>557</v>
      </c>
      <c r="B9876" s="38">
        <v>16181.0</v>
      </c>
      <c r="C9876" s="38" t="s">
        <v>13800</v>
      </c>
      <c r="D9876" s="38" t="str">
        <f>IFERROR(__xludf.DUMMYFUNCTION("REGEXREPLACE(C9876,""-\d+(.*)|--\d+(.*)"","""")"),"LESSAC")</f>
        <v>LESSAC</v>
      </c>
      <c r="E9876" s="38" t="s">
        <v>429</v>
      </c>
      <c r="F9876" s="38" t="s">
        <v>338</v>
      </c>
      <c r="G9876" s="49" t="str">
        <f t="shared" si="1"/>
        <v>16500</v>
      </c>
      <c r="H9876" s="49">
        <f t="shared" si="2"/>
        <v>16181</v>
      </c>
    </row>
    <row r="9877">
      <c r="A9877" s="48" t="s">
        <v>3992</v>
      </c>
      <c r="B9877" s="38">
        <v>46128.0</v>
      </c>
      <c r="C9877" s="38" t="s">
        <v>13801</v>
      </c>
      <c r="D9877" s="38" t="str">
        <f>IFERROR(__xludf.DUMMYFUNCTION("REGEXREPLACE(C9877,""-\d+(.*)|--\d+(.*)"","""")"),"GRAMAT")</f>
        <v>GRAMAT</v>
      </c>
      <c r="E9877" s="38" t="s">
        <v>185</v>
      </c>
      <c r="F9877" s="38" t="s">
        <v>94</v>
      </c>
      <c r="G9877" s="49" t="str">
        <f t="shared" si="1"/>
        <v>46500</v>
      </c>
      <c r="H9877" s="49">
        <f t="shared" si="2"/>
        <v>46128</v>
      </c>
    </row>
    <row r="9878">
      <c r="A9878" s="48" t="s">
        <v>6328</v>
      </c>
      <c r="B9878" s="38">
        <v>30299.0</v>
      </c>
      <c r="C9878" s="38" t="s">
        <v>13802</v>
      </c>
      <c r="D9878" s="38" t="str">
        <f>IFERROR(__xludf.DUMMYFUNCTION("REGEXREPLACE(C9878,""-\d+(.*)|--\d+(.*)"","""")"),"SAINT-SIFFRET")</f>
        <v>SAINT-SIFFRET</v>
      </c>
      <c r="E9878" s="38" t="s">
        <v>526</v>
      </c>
      <c r="F9878" s="38" t="s">
        <v>119</v>
      </c>
      <c r="G9878" s="49" t="str">
        <f t="shared" si="1"/>
        <v>30700</v>
      </c>
      <c r="H9878" s="49">
        <f t="shared" si="2"/>
        <v>30299</v>
      </c>
    </row>
    <row r="9879">
      <c r="A9879" s="48" t="s">
        <v>962</v>
      </c>
      <c r="B9879" s="38">
        <v>24155.0</v>
      </c>
      <c r="C9879" s="38" t="s">
        <v>13803</v>
      </c>
      <c r="D9879" s="38" t="str">
        <f>IFERROR(__xludf.DUMMYFUNCTION("REGEXREPLACE(C9879,""-\d+(.*)|--\d+(.*)"","""")"),"DOUVILLE")</f>
        <v>DOUVILLE</v>
      </c>
      <c r="E9879" s="38" t="s">
        <v>261</v>
      </c>
      <c r="F9879" s="38" t="s">
        <v>252</v>
      </c>
      <c r="G9879" s="49" t="str">
        <f t="shared" si="1"/>
        <v>24140</v>
      </c>
      <c r="H9879" s="49">
        <f t="shared" si="2"/>
        <v>24155</v>
      </c>
    </row>
    <row r="9880">
      <c r="A9880" s="48" t="s">
        <v>12547</v>
      </c>
      <c r="B9880" s="38">
        <v>60598.0</v>
      </c>
      <c r="C9880" s="38" t="s">
        <v>1346</v>
      </c>
      <c r="D9880" s="38" t="str">
        <f>IFERROR(__xludf.DUMMYFUNCTION("REGEXREPLACE(C9880,""-\d+(.*)|--\d+(.*)"","""")"),"SAINT-SULPICE")</f>
        <v>SAINT-SULPICE</v>
      </c>
      <c r="E9880" s="38" t="s">
        <v>112</v>
      </c>
      <c r="F9880" s="38" t="s">
        <v>113</v>
      </c>
      <c r="G9880" s="49" t="str">
        <f t="shared" si="1"/>
        <v>60430</v>
      </c>
      <c r="H9880" s="49">
        <f t="shared" si="2"/>
        <v>60598</v>
      </c>
    </row>
    <row r="9881">
      <c r="A9881" s="48" t="s">
        <v>3172</v>
      </c>
      <c r="B9881" s="38">
        <v>28005.0</v>
      </c>
      <c r="C9881" s="38" t="s">
        <v>13804</v>
      </c>
      <c r="D9881" s="38" t="str">
        <f>IFERROR(__xludf.DUMMYFUNCTION("REGEXREPLACE(C9881,""-\d+(.*)|--\d+(.*)"","""")"),"ALLUYES")</f>
        <v>ALLUYES</v>
      </c>
      <c r="E9881" s="38" t="s">
        <v>300</v>
      </c>
      <c r="F9881" s="38" t="s">
        <v>123</v>
      </c>
      <c r="G9881" s="49" t="str">
        <f t="shared" si="1"/>
        <v>28800</v>
      </c>
      <c r="H9881" s="49">
        <f t="shared" si="2"/>
        <v>28005</v>
      </c>
    </row>
    <row r="9882">
      <c r="A9882" s="48" t="s">
        <v>13805</v>
      </c>
      <c r="B9882" s="38">
        <v>17161.0</v>
      </c>
      <c r="C9882" s="38" t="s">
        <v>13806</v>
      </c>
      <c r="D9882" s="38" t="str">
        <f>IFERROR(__xludf.DUMMYFUNCTION("REGEXREPLACE(C9882,""-\d+(.*)|--\d+(.*)"","""")"),"LA FLOTTE")</f>
        <v>LA FLOTTE</v>
      </c>
      <c r="E9882" s="38" t="s">
        <v>488</v>
      </c>
      <c r="F9882" s="38" t="s">
        <v>338</v>
      </c>
      <c r="G9882" s="49" t="str">
        <f t="shared" si="1"/>
        <v>17630</v>
      </c>
      <c r="H9882" s="49">
        <f t="shared" si="2"/>
        <v>17161</v>
      </c>
    </row>
    <row r="9883">
      <c r="A9883" s="48" t="s">
        <v>13807</v>
      </c>
      <c r="B9883" s="38">
        <v>38316.0</v>
      </c>
      <c r="C9883" s="38" t="s">
        <v>13808</v>
      </c>
      <c r="D9883" s="38" t="str">
        <f>IFERROR(__xludf.DUMMYFUNCTION("REGEXREPLACE(C9883,""-\d+(.*)|--\d+(.*)"","""")"),"PONT-DE-CHERUY")</f>
        <v>PONT-DE-CHERUY</v>
      </c>
      <c r="E9883" s="38" t="s">
        <v>101</v>
      </c>
      <c r="F9883" s="38" t="s">
        <v>102</v>
      </c>
      <c r="G9883" s="49" t="str">
        <f t="shared" si="1"/>
        <v>38230</v>
      </c>
      <c r="H9883" s="49">
        <f t="shared" si="2"/>
        <v>38316</v>
      </c>
    </row>
    <row r="9884">
      <c r="A9884" s="48" t="s">
        <v>5581</v>
      </c>
      <c r="B9884" s="38">
        <v>62666.0</v>
      </c>
      <c r="C9884" s="38" t="s">
        <v>13809</v>
      </c>
      <c r="D9884" s="38" t="str">
        <f>IFERROR(__xludf.DUMMYFUNCTION("REGEXREPLACE(C9884,""-\d+(.*)|--\d+(.*)"","""")"),"PONT-A-VENDIN")</f>
        <v>PONT-A-VENDIN</v>
      </c>
      <c r="E9884" s="38" t="s">
        <v>109</v>
      </c>
      <c r="F9884" s="38" t="s">
        <v>86</v>
      </c>
      <c r="G9884" s="49" t="str">
        <f t="shared" si="1"/>
        <v>62880</v>
      </c>
      <c r="H9884" s="49">
        <f t="shared" si="2"/>
        <v>62666</v>
      </c>
    </row>
    <row r="9885">
      <c r="A9885" s="48" t="s">
        <v>1866</v>
      </c>
      <c r="B9885" s="38">
        <v>61091.0</v>
      </c>
      <c r="C9885" s="38" t="s">
        <v>13810</v>
      </c>
      <c r="D9885" s="38" t="str">
        <f>IFERROR(__xludf.DUMMYFUNCTION("REGEXREPLACE(C9885,""-\d+(.*)|--\d+(.*)"","""")"),"CHAMPSECRET")</f>
        <v>CHAMPSECRET</v>
      </c>
      <c r="E9885" s="38" t="s">
        <v>141</v>
      </c>
      <c r="F9885" s="38" t="s">
        <v>138</v>
      </c>
      <c r="G9885" s="49" t="str">
        <f t="shared" si="1"/>
        <v>61700</v>
      </c>
      <c r="H9885" s="49">
        <f t="shared" si="2"/>
        <v>61091</v>
      </c>
    </row>
    <row r="9886">
      <c r="A9886" s="48" t="s">
        <v>5965</v>
      </c>
      <c r="B9886" s="38">
        <v>62226.0</v>
      </c>
      <c r="C9886" s="38" t="s">
        <v>13811</v>
      </c>
      <c r="D9886" s="38" t="str">
        <f>IFERROR(__xludf.DUMMYFUNCTION("REGEXREPLACE(C9886,""-\d+(.*)|--\d+(.*)"","""")"),"CLARQUES")</f>
        <v>CLARQUES</v>
      </c>
      <c r="E9886" s="38" t="s">
        <v>109</v>
      </c>
      <c r="F9886" s="38" t="s">
        <v>86</v>
      </c>
      <c r="G9886" s="49" t="str">
        <f t="shared" si="1"/>
        <v>62129</v>
      </c>
      <c r="H9886" s="49">
        <f t="shared" si="2"/>
        <v>62226</v>
      </c>
    </row>
    <row r="9887">
      <c r="A9887" s="48" t="s">
        <v>5273</v>
      </c>
      <c r="B9887" s="38">
        <v>53138.0</v>
      </c>
      <c r="C9887" s="38" t="s">
        <v>13812</v>
      </c>
      <c r="D9887" s="38" t="str">
        <f>IFERROR(__xludf.DUMMYFUNCTION("REGEXREPLACE(C9887,""-\d+(.*)|--\d+(.*)"","""")"),"LONGUEFUYE")</f>
        <v>LONGUEFUYE</v>
      </c>
      <c r="E9887" s="38" t="s">
        <v>518</v>
      </c>
      <c r="F9887" s="38" t="s">
        <v>180</v>
      </c>
      <c r="G9887" s="49" t="str">
        <f t="shared" si="1"/>
        <v>53200</v>
      </c>
      <c r="H9887" s="49">
        <f t="shared" si="2"/>
        <v>53138</v>
      </c>
    </row>
    <row r="9888">
      <c r="A9888" s="48" t="s">
        <v>1132</v>
      </c>
      <c r="B9888" s="38">
        <v>2152.0</v>
      </c>
      <c r="C9888" s="38" t="s">
        <v>13813</v>
      </c>
      <c r="D9888" s="38" t="str">
        <f>IFERROR(__xludf.DUMMYFUNCTION("REGEXREPLACE(C9888,""-\d+(.*)|--\d+(.*)"","""")"),"CERSEUIL")</f>
        <v>CERSEUIL</v>
      </c>
      <c r="E9888" s="38" t="s">
        <v>191</v>
      </c>
      <c r="F9888" s="38" t="s">
        <v>113</v>
      </c>
      <c r="G9888" s="49" t="str">
        <f t="shared" si="1"/>
        <v>02220</v>
      </c>
      <c r="H9888" s="49" t="str">
        <f t="shared" si="2"/>
        <v>02152</v>
      </c>
    </row>
    <row r="9889">
      <c r="A9889" s="48" t="s">
        <v>4121</v>
      </c>
      <c r="B9889" s="38">
        <v>11253.0</v>
      </c>
      <c r="C9889" s="38" t="s">
        <v>13814</v>
      </c>
      <c r="D9889" s="38" t="str">
        <f>IFERROR(__xludf.DUMMYFUNCTION("REGEXREPLACE(C9889,""-\d+(.*)|--\d+(.*)"","""")"),"MONTOLIEU")</f>
        <v>MONTOLIEU</v>
      </c>
      <c r="E9889" s="38" t="s">
        <v>278</v>
      </c>
      <c r="F9889" s="38" t="s">
        <v>119</v>
      </c>
      <c r="G9889" s="49" t="str">
        <f t="shared" si="1"/>
        <v>11170</v>
      </c>
      <c r="H9889" s="49">
        <f t="shared" si="2"/>
        <v>11253</v>
      </c>
    </row>
    <row r="9890">
      <c r="A9890" s="48" t="s">
        <v>13815</v>
      </c>
      <c r="B9890" s="38">
        <v>69220.0</v>
      </c>
      <c r="C9890" s="38" t="s">
        <v>13816</v>
      </c>
      <c r="D9890" s="38" t="str">
        <f>IFERROR(__xludf.DUMMYFUNCTION("REGEXREPLACE(C9890,""-\d+(.*)|--\d+(.*)"","""")"),"SAINT-LAURENT-DE-CHAMOUSSET")</f>
        <v>SAINT-LAURENT-DE-CHAMOUSSET</v>
      </c>
      <c r="E9890" s="38" t="s">
        <v>350</v>
      </c>
      <c r="F9890" s="38" t="s">
        <v>102</v>
      </c>
      <c r="G9890" s="49" t="str">
        <f t="shared" si="1"/>
        <v>69930</v>
      </c>
      <c r="H9890" s="49">
        <f t="shared" si="2"/>
        <v>69220</v>
      </c>
    </row>
    <row r="9891">
      <c r="A9891" s="48" t="s">
        <v>5700</v>
      </c>
      <c r="B9891" s="38">
        <v>36213.0</v>
      </c>
      <c r="C9891" s="38" t="s">
        <v>13817</v>
      </c>
      <c r="D9891" s="38" t="str">
        <f>IFERROR(__xludf.DUMMYFUNCTION("REGEXREPLACE(C9891,""-\d+(.*)|--\d+(.*)"","""")"),"SAUZELLES")</f>
        <v>SAUZELLES</v>
      </c>
      <c r="E9891" s="38" t="s">
        <v>258</v>
      </c>
      <c r="F9891" s="38" t="s">
        <v>123</v>
      </c>
      <c r="G9891" s="49" t="str">
        <f t="shared" si="1"/>
        <v>36220</v>
      </c>
      <c r="H9891" s="49">
        <f t="shared" si="2"/>
        <v>36213</v>
      </c>
    </row>
    <row r="9892">
      <c r="A9892" s="48" t="s">
        <v>5101</v>
      </c>
      <c r="B9892" s="38">
        <v>54479.0</v>
      </c>
      <c r="C9892" s="38" t="s">
        <v>13818</v>
      </c>
      <c r="D9892" s="38" t="str">
        <f>IFERROR(__xludf.DUMMYFUNCTION("REGEXREPLACE(C9892,""-\d+(.*)|--\d+(.*)"","""")"),"SAINT-MARD")</f>
        <v>SAINT-MARD</v>
      </c>
      <c r="E9892" s="38" t="s">
        <v>548</v>
      </c>
      <c r="F9892" s="38" t="s">
        <v>195</v>
      </c>
      <c r="G9892" s="49" t="str">
        <f t="shared" si="1"/>
        <v>54290</v>
      </c>
      <c r="H9892" s="49">
        <f t="shared" si="2"/>
        <v>54479</v>
      </c>
    </row>
    <row r="9893">
      <c r="A9893" s="48" t="s">
        <v>1921</v>
      </c>
      <c r="B9893" s="38">
        <v>2288.0</v>
      </c>
      <c r="C9893" s="38" t="s">
        <v>13819</v>
      </c>
      <c r="D9893" s="38" t="str">
        <f>IFERROR(__xludf.DUMMYFUNCTION("REGEXREPLACE(C9893,""-\d+(.*)|--\d+(.*)"","""")"),"ESSIGNY-LE-PETIT")</f>
        <v>ESSIGNY-LE-PETIT</v>
      </c>
      <c r="E9893" s="38" t="s">
        <v>191</v>
      </c>
      <c r="F9893" s="38" t="s">
        <v>113</v>
      </c>
      <c r="G9893" s="49" t="str">
        <f t="shared" si="1"/>
        <v>02100</v>
      </c>
      <c r="H9893" s="49" t="str">
        <f t="shared" si="2"/>
        <v>02288</v>
      </c>
    </row>
    <row r="9894">
      <c r="A9894" s="48" t="s">
        <v>3238</v>
      </c>
      <c r="B9894" s="38">
        <v>61008.0</v>
      </c>
      <c r="C9894" s="38" t="s">
        <v>13820</v>
      </c>
      <c r="D9894" s="38" t="str">
        <f>IFERROR(__xludf.DUMMYFUNCTION("REGEXREPLACE(C9894,""-\d+(.*)|--\d+(.*)"","""")"),"AUBE")</f>
        <v>AUBE</v>
      </c>
      <c r="E9894" s="38" t="s">
        <v>141</v>
      </c>
      <c r="F9894" s="38" t="s">
        <v>138</v>
      </c>
      <c r="G9894" s="49" t="str">
        <f t="shared" si="1"/>
        <v>61270</v>
      </c>
      <c r="H9894" s="49">
        <f t="shared" si="2"/>
        <v>61008</v>
      </c>
    </row>
    <row r="9895">
      <c r="A9895" s="48" t="s">
        <v>2940</v>
      </c>
      <c r="B9895" s="38">
        <v>53251.0</v>
      </c>
      <c r="C9895" s="38" t="s">
        <v>13821</v>
      </c>
      <c r="D9895" s="38" t="str">
        <f>IFERROR(__xludf.DUMMYFUNCTION("REGEXREPLACE(C9895,""-\d+(.*)|--\d+(.*)"","""")"),"SAINT-QUENTIN-LES-ANGES")</f>
        <v>SAINT-QUENTIN-LES-ANGES</v>
      </c>
      <c r="E9895" s="38" t="s">
        <v>518</v>
      </c>
      <c r="F9895" s="38" t="s">
        <v>180</v>
      </c>
      <c r="G9895" s="49" t="str">
        <f t="shared" si="1"/>
        <v>53400</v>
      </c>
      <c r="H9895" s="49">
        <f t="shared" si="2"/>
        <v>53251</v>
      </c>
    </row>
    <row r="9896">
      <c r="A9896" s="48" t="s">
        <v>10433</v>
      </c>
      <c r="B9896" s="38">
        <v>46326.0</v>
      </c>
      <c r="C9896" s="38" t="s">
        <v>13822</v>
      </c>
      <c r="D9896" s="38" t="str">
        <f>IFERROR(__xludf.DUMMYFUNCTION("REGEXREPLACE(C9896,""-\d+(.*)|--\d+(.*)"","""")"),"VALPRIONDE")</f>
        <v>VALPRIONDE</v>
      </c>
      <c r="E9896" s="38" t="s">
        <v>185</v>
      </c>
      <c r="F9896" s="38" t="s">
        <v>94</v>
      </c>
      <c r="G9896" s="49" t="str">
        <f t="shared" si="1"/>
        <v>46800</v>
      </c>
      <c r="H9896" s="49">
        <f t="shared" si="2"/>
        <v>46326</v>
      </c>
    </row>
    <row r="9897">
      <c r="A9897" s="48" t="s">
        <v>2547</v>
      </c>
      <c r="B9897" s="38">
        <v>8394.0</v>
      </c>
      <c r="C9897" s="38" t="s">
        <v>13823</v>
      </c>
      <c r="D9897" s="38" t="str">
        <f>IFERROR(__xludf.DUMMYFUNCTION("REGEXREPLACE(C9897,""-\d+(.*)|--\d+(.*)"","""")"),"SAINT-PIERREMONT")</f>
        <v>SAINT-PIERREMONT</v>
      </c>
      <c r="E9897" s="38" t="s">
        <v>327</v>
      </c>
      <c r="F9897" s="38" t="s">
        <v>130</v>
      </c>
      <c r="G9897" s="49" t="str">
        <f t="shared" si="1"/>
        <v>08240</v>
      </c>
      <c r="H9897" s="49" t="str">
        <f t="shared" si="2"/>
        <v>08394</v>
      </c>
    </row>
    <row r="9898">
      <c r="A9898" s="48" t="s">
        <v>1004</v>
      </c>
      <c r="B9898" s="38">
        <v>71576.0</v>
      </c>
      <c r="C9898" s="38" t="s">
        <v>13824</v>
      </c>
      <c r="D9898" s="38" t="str">
        <f>IFERROR(__xludf.DUMMYFUNCTION("REGEXREPLACE(C9898,""-\d+(.*)|--\d+(.*)"","""")"),"LE VILLARS")</f>
        <v>LE VILLARS</v>
      </c>
      <c r="E9898" s="38" t="s">
        <v>344</v>
      </c>
      <c r="F9898" s="38" t="s">
        <v>106</v>
      </c>
      <c r="G9898" s="49" t="str">
        <f t="shared" si="1"/>
        <v>71700</v>
      </c>
      <c r="H9898" s="49">
        <f t="shared" si="2"/>
        <v>71576</v>
      </c>
    </row>
    <row r="9899">
      <c r="A9899" s="48" t="s">
        <v>1435</v>
      </c>
      <c r="B9899" s="38">
        <v>14687.0</v>
      </c>
      <c r="C9899" s="38" t="s">
        <v>13825</v>
      </c>
      <c r="D9899" s="38" t="str">
        <f>IFERROR(__xludf.DUMMYFUNCTION("REGEXREPLACE(C9899,""-\d+(.*)|--\d+(.*)"","""")"),"LE THEIL-EN-AUGE")</f>
        <v>LE THEIL-EN-AUGE</v>
      </c>
      <c r="E9899" s="38" t="s">
        <v>137</v>
      </c>
      <c r="F9899" s="38" t="s">
        <v>138</v>
      </c>
      <c r="G9899" s="49" t="str">
        <f t="shared" si="1"/>
        <v>14130</v>
      </c>
      <c r="H9899" s="49">
        <f t="shared" si="2"/>
        <v>14687</v>
      </c>
    </row>
    <row r="9900">
      <c r="A9900" s="48" t="s">
        <v>7700</v>
      </c>
      <c r="B9900" s="38">
        <v>23223.0</v>
      </c>
      <c r="C9900" s="38" t="s">
        <v>13826</v>
      </c>
      <c r="D9900" s="38" t="str">
        <f>IFERROR(__xludf.DUMMYFUNCTION("REGEXREPLACE(C9900,""-\d+(.*)|--\d+(.*)"","""")"),"SAINT-MOREIL")</f>
        <v>SAINT-MOREIL</v>
      </c>
      <c r="E9900" s="38" t="s">
        <v>97</v>
      </c>
      <c r="F9900" s="38" t="s">
        <v>98</v>
      </c>
      <c r="G9900" s="49" t="str">
        <f t="shared" si="1"/>
        <v>23400</v>
      </c>
      <c r="H9900" s="49">
        <f t="shared" si="2"/>
        <v>23223</v>
      </c>
    </row>
    <row r="9901">
      <c r="A9901" s="48" t="s">
        <v>4011</v>
      </c>
      <c r="B9901" s="38">
        <v>80079.0</v>
      </c>
      <c r="C9901" s="38" t="s">
        <v>13827</v>
      </c>
      <c r="D9901" s="38" t="str">
        <f>IFERROR(__xludf.DUMMYFUNCTION("REGEXREPLACE(C9901,""-\d+(.*)|--\d+(.*)"","""")"),"BELLEUSE")</f>
        <v>BELLEUSE</v>
      </c>
      <c r="E9901" s="38" t="s">
        <v>224</v>
      </c>
      <c r="F9901" s="38" t="s">
        <v>113</v>
      </c>
      <c r="G9901" s="49" t="str">
        <f t="shared" si="1"/>
        <v>80160</v>
      </c>
      <c r="H9901" s="49">
        <f t="shared" si="2"/>
        <v>80079</v>
      </c>
    </row>
    <row r="9902">
      <c r="A9902" s="48" t="s">
        <v>3900</v>
      </c>
      <c r="B9902" s="38">
        <v>2088.0</v>
      </c>
      <c r="C9902" s="38" t="s">
        <v>13828</v>
      </c>
      <c r="D9902" s="38" t="str">
        <f>IFERROR(__xludf.DUMMYFUNCTION("REGEXREPLACE(C9902,""-\d+(.*)|--\d+(.*)"","""")"),"BIEVRES")</f>
        <v>BIEVRES</v>
      </c>
      <c r="E9902" s="38" t="s">
        <v>191</v>
      </c>
      <c r="F9902" s="38" t="s">
        <v>113</v>
      </c>
      <c r="G9902" s="49" t="str">
        <f t="shared" si="1"/>
        <v>02860</v>
      </c>
      <c r="H9902" s="49" t="str">
        <f t="shared" si="2"/>
        <v>02088</v>
      </c>
    </row>
    <row r="9903">
      <c r="A9903" s="48" t="s">
        <v>7237</v>
      </c>
      <c r="B9903" s="38">
        <v>17453.0</v>
      </c>
      <c r="C9903" s="38" t="s">
        <v>13829</v>
      </c>
      <c r="D9903" s="38" t="str">
        <f>IFERROR(__xludf.DUMMYFUNCTION("REGEXREPLACE(C9903,""-\d+(.*)|--\d+(.*)"","""")"),"TRIZAY")</f>
        <v>TRIZAY</v>
      </c>
      <c r="E9903" s="38" t="s">
        <v>488</v>
      </c>
      <c r="F9903" s="38" t="s">
        <v>338</v>
      </c>
      <c r="G9903" s="49" t="str">
        <f t="shared" si="1"/>
        <v>17250</v>
      </c>
      <c r="H9903" s="49">
        <f t="shared" si="2"/>
        <v>17453</v>
      </c>
    </row>
    <row r="9904">
      <c r="A9904" s="48" t="s">
        <v>2661</v>
      </c>
      <c r="B9904" s="38">
        <v>50606.0</v>
      </c>
      <c r="C9904" s="38" t="s">
        <v>13830</v>
      </c>
      <c r="D9904" s="38" t="str">
        <f>IFERROR(__xludf.DUMMYFUNCTION("REGEXREPLACE(C9904,""-\d+(.*)|--\d+(.*)"","""")"),"TRIBEHOU")</f>
        <v>TRIBEHOU</v>
      </c>
      <c r="E9904" s="38" t="s">
        <v>157</v>
      </c>
      <c r="F9904" s="38" t="s">
        <v>138</v>
      </c>
      <c r="G9904" s="49" t="str">
        <f t="shared" si="1"/>
        <v>50620</v>
      </c>
      <c r="H9904" s="49">
        <f t="shared" si="2"/>
        <v>50606</v>
      </c>
    </row>
    <row r="9905">
      <c r="A9905" s="48" t="s">
        <v>13831</v>
      </c>
      <c r="B9905" s="38">
        <v>66213.0</v>
      </c>
      <c r="C9905" s="38" t="s">
        <v>13832</v>
      </c>
      <c r="D9905" s="38" t="str">
        <f>IFERROR(__xludf.DUMMYFUNCTION("REGEXREPLACE(C9905,""-\d+(.*)|--\d+(.*)"","""")"),"TOULOUGES")</f>
        <v>TOULOUGES</v>
      </c>
      <c r="E9905" s="38" t="s">
        <v>248</v>
      </c>
      <c r="F9905" s="38" t="s">
        <v>119</v>
      </c>
      <c r="G9905" s="49" t="str">
        <f t="shared" si="1"/>
        <v>66350</v>
      </c>
      <c r="H9905" s="49">
        <f t="shared" si="2"/>
        <v>66213</v>
      </c>
    </row>
    <row r="9906">
      <c r="A9906" s="48" t="s">
        <v>1626</v>
      </c>
      <c r="B9906" s="38">
        <v>44037.0</v>
      </c>
      <c r="C9906" s="38" t="s">
        <v>13833</v>
      </c>
      <c r="D9906" s="38" t="str">
        <f>IFERROR(__xludf.DUMMYFUNCTION("REGEXREPLACE(C9906,""-\d+(.*)|--\d+(.*)"","""")"),"CHATEAU-THEBAUD")</f>
        <v>CHATEAU-THEBAUD</v>
      </c>
      <c r="E9906" s="38" t="s">
        <v>759</v>
      </c>
      <c r="F9906" s="38" t="s">
        <v>180</v>
      </c>
      <c r="G9906" s="49" t="str">
        <f t="shared" si="1"/>
        <v>44690</v>
      </c>
      <c r="H9906" s="49">
        <f t="shared" si="2"/>
        <v>44037</v>
      </c>
    </row>
    <row r="9907">
      <c r="A9907" s="48" t="s">
        <v>13834</v>
      </c>
      <c r="B9907" s="38">
        <v>36095.0</v>
      </c>
      <c r="C9907" s="38" t="s">
        <v>13835</v>
      </c>
      <c r="D9907" s="38" t="str">
        <f>IFERROR(__xludf.DUMMYFUNCTION("REGEXREPLACE(C9907,""-\d+(.*)|--\d+(.*)"","""")"),"LIGNEROLLES")</f>
        <v>LIGNEROLLES</v>
      </c>
      <c r="E9907" s="38" t="s">
        <v>258</v>
      </c>
      <c r="F9907" s="38" t="s">
        <v>123</v>
      </c>
      <c r="G9907" s="49" t="str">
        <f t="shared" si="1"/>
        <v>36160</v>
      </c>
      <c r="H9907" s="49">
        <f t="shared" si="2"/>
        <v>36095</v>
      </c>
    </row>
    <row r="9908">
      <c r="A9908" s="48" t="s">
        <v>1286</v>
      </c>
      <c r="B9908" s="38">
        <v>47016.0</v>
      </c>
      <c r="C9908" s="38" t="s">
        <v>9808</v>
      </c>
      <c r="D9908" s="38" t="str">
        <f>IFERROR(__xludf.DUMMYFUNCTION("REGEXREPLACE(C9908,""-\d+(.*)|--\d+(.*)"","""")"),"AUBIAC")</f>
        <v>AUBIAC</v>
      </c>
      <c r="E9908" s="38" t="s">
        <v>251</v>
      </c>
      <c r="F9908" s="38" t="s">
        <v>252</v>
      </c>
      <c r="G9908" s="49" t="str">
        <f t="shared" si="1"/>
        <v>47310</v>
      </c>
      <c r="H9908" s="49">
        <f t="shared" si="2"/>
        <v>47016</v>
      </c>
    </row>
    <row r="9909">
      <c r="A9909" s="48" t="s">
        <v>376</v>
      </c>
      <c r="B9909" s="38">
        <v>73002.0</v>
      </c>
      <c r="C9909" s="38" t="s">
        <v>13836</v>
      </c>
      <c r="D9909" s="38" t="str">
        <f>IFERROR(__xludf.DUMMYFUNCTION("REGEXREPLACE(C9909,""-\d+(.*)|--\d+(.*)"","""")"),"AIGUEBELLE")</f>
        <v>AIGUEBELLE</v>
      </c>
      <c r="E9909" s="38" t="s">
        <v>306</v>
      </c>
      <c r="F9909" s="38" t="s">
        <v>102</v>
      </c>
      <c r="G9909" s="49" t="str">
        <f t="shared" si="1"/>
        <v>73220</v>
      </c>
      <c r="H9909" s="49">
        <f t="shared" si="2"/>
        <v>73002</v>
      </c>
    </row>
    <row r="9910">
      <c r="A9910" s="48" t="s">
        <v>222</v>
      </c>
      <c r="B9910" s="38">
        <v>80003.0</v>
      </c>
      <c r="C9910" s="38" t="s">
        <v>13837</v>
      </c>
      <c r="D9910" s="38" t="str">
        <f>IFERROR(__xludf.DUMMYFUNCTION("REGEXREPLACE(C9910,""-\d+(.*)|--\d+(.*)"","""")"),"ACHEUX-EN-AMIENOIS")</f>
        <v>ACHEUX-EN-AMIENOIS</v>
      </c>
      <c r="E9910" s="38" t="s">
        <v>224</v>
      </c>
      <c r="F9910" s="38" t="s">
        <v>113</v>
      </c>
      <c r="G9910" s="49" t="str">
        <f t="shared" si="1"/>
        <v>80560</v>
      </c>
      <c r="H9910" s="49">
        <f t="shared" si="2"/>
        <v>80003</v>
      </c>
    </row>
    <row r="9911">
      <c r="A9911" s="48" t="s">
        <v>9846</v>
      </c>
      <c r="B9911" s="38">
        <v>91639.0</v>
      </c>
      <c r="C9911" s="38" t="s">
        <v>13838</v>
      </c>
      <c r="D9911" s="38" t="str">
        <f>IFERROR(__xludf.DUMMYFUNCTION("REGEXREPLACE(C9911,""-\d+(.*)|--\d+(.*)"","""")"),"VAYRES-SUR-ESSONNE")</f>
        <v>VAYRES-SUR-ESSONNE</v>
      </c>
      <c r="E9911" s="38" t="s">
        <v>756</v>
      </c>
      <c r="F9911" s="38" t="s">
        <v>245</v>
      </c>
      <c r="G9911" s="49" t="str">
        <f t="shared" si="1"/>
        <v>91820</v>
      </c>
      <c r="H9911" s="49">
        <f t="shared" si="2"/>
        <v>91639</v>
      </c>
    </row>
    <row r="9912">
      <c r="A9912" s="48" t="s">
        <v>9342</v>
      </c>
      <c r="B9912" s="38">
        <v>48055.0</v>
      </c>
      <c r="C9912" s="38" t="s">
        <v>13839</v>
      </c>
      <c r="D9912" s="38" t="str">
        <f>IFERROR(__xludf.DUMMYFUNCTION("REGEXREPLACE(C9912,""-\d+(.*)|--\d+(.*)"","""")"),"CULTURES")</f>
        <v>CULTURES</v>
      </c>
      <c r="E9912" s="38" t="s">
        <v>154</v>
      </c>
      <c r="F9912" s="38" t="s">
        <v>119</v>
      </c>
      <c r="G9912" s="49" t="str">
        <f t="shared" si="1"/>
        <v>48230</v>
      </c>
      <c r="H9912" s="49">
        <f t="shared" si="2"/>
        <v>48055</v>
      </c>
    </row>
    <row r="9913">
      <c r="A9913" s="48" t="s">
        <v>9649</v>
      </c>
      <c r="B9913" s="38">
        <v>43172.0</v>
      </c>
      <c r="C9913" s="38" t="s">
        <v>13840</v>
      </c>
      <c r="D9913" s="38" t="str">
        <f>IFERROR(__xludf.DUMMYFUNCTION("REGEXREPLACE(C9913,""-\d+(.*)|--\d+(.*)"","""")"),"SAINT-BONNET-LE-FROID")</f>
        <v>SAINT-BONNET-LE-FROID</v>
      </c>
      <c r="E9913" s="38" t="s">
        <v>332</v>
      </c>
      <c r="F9913" s="38" t="s">
        <v>161</v>
      </c>
      <c r="G9913" s="49" t="str">
        <f t="shared" si="1"/>
        <v>43290</v>
      </c>
      <c r="H9913" s="49">
        <f t="shared" si="2"/>
        <v>43172</v>
      </c>
    </row>
    <row r="9914">
      <c r="A9914" s="48" t="s">
        <v>4499</v>
      </c>
      <c r="B9914" s="38">
        <v>25379.0</v>
      </c>
      <c r="C9914" s="38" t="s">
        <v>13841</v>
      </c>
      <c r="D9914" s="38" t="str">
        <f>IFERROR(__xludf.DUMMYFUNCTION("REGEXREPLACE(C9914,""-\d+(.*)|--\d+(.*)"","""")"),"MESMAY")</f>
        <v>MESMAY</v>
      </c>
      <c r="E9914" s="38" t="s">
        <v>213</v>
      </c>
      <c r="F9914" s="38" t="s">
        <v>214</v>
      </c>
      <c r="G9914" s="49" t="str">
        <f t="shared" si="1"/>
        <v>25440</v>
      </c>
      <c r="H9914" s="49">
        <f t="shared" si="2"/>
        <v>25379</v>
      </c>
    </row>
    <row r="9915">
      <c r="A9915" s="48" t="s">
        <v>3317</v>
      </c>
      <c r="B9915" s="38">
        <v>1154.0</v>
      </c>
      <c r="C9915" s="38" t="s">
        <v>13842</v>
      </c>
      <c r="D9915" s="38" t="str">
        <f>IFERROR(__xludf.DUMMYFUNCTION("REGEXREPLACE(C9915,""-\d+(.*)|--\d+(.*)"","""")"),"ETREZ")</f>
        <v>ETREZ</v>
      </c>
      <c r="E9915" s="38" t="s">
        <v>255</v>
      </c>
      <c r="F9915" s="38" t="s">
        <v>102</v>
      </c>
      <c r="G9915" s="49" t="str">
        <f t="shared" si="1"/>
        <v>01340</v>
      </c>
      <c r="H9915" s="49" t="str">
        <f t="shared" si="2"/>
        <v>01154</v>
      </c>
    </row>
    <row r="9916">
      <c r="A9916" s="48" t="s">
        <v>3696</v>
      </c>
      <c r="B9916" s="38">
        <v>78278.0</v>
      </c>
      <c r="C9916" s="38" t="s">
        <v>12304</v>
      </c>
      <c r="D9916" s="38" t="str">
        <f>IFERROR(__xludf.DUMMYFUNCTION("REGEXREPLACE(C9916,""-\d+(.*)|--\d+(.*)"","""")"),"GOUPILLIERES")</f>
        <v>GOUPILLIERES</v>
      </c>
      <c r="E9916" s="38" t="s">
        <v>362</v>
      </c>
      <c r="F9916" s="38" t="s">
        <v>245</v>
      </c>
      <c r="G9916" s="49" t="str">
        <f t="shared" si="1"/>
        <v>78770</v>
      </c>
      <c r="H9916" s="49">
        <f t="shared" si="2"/>
        <v>78278</v>
      </c>
    </row>
    <row r="9917">
      <c r="A9917" s="48" t="s">
        <v>3129</v>
      </c>
      <c r="B9917" s="38">
        <v>18276.0</v>
      </c>
      <c r="C9917" s="38" t="s">
        <v>13843</v>
      </c>
      <c r="D9917" s="38" t="str">
        <f>IFERROR(__xludf.DUMMYFUNCTION("REGEXREPLACE(C9917,""-\d+(.*)|--\d+(.*)"","""")"),"VERNAIS")</f>
        <v>VERNAIS</v>
      </c>
      <c r="E9917" s="38" t="s">
        <v>504</v>
      </c>
      <c r="F9917" s="38" t="s">
        <v>123</v>
      </c>
      <c r="G9917" s="49" t="str">
        <f t="shared" si="1"/>
        <v>18210</v>
      </c>
      <c r="H9917" s="49">
        <f t="shared" si="2"/>
        <v>18276</v>
      </c>
    </row>
    <row r="9918">
      <c r="A9918" s="48" t="s">
        <v>13844</v>
      </c>
      <c r="B9918" s="38">
        <v>88011.0</v>
      </c>
      <c r="C9918" s="38" t="s">
        <v>13845</v>
      </c>
      <c r="D9918" s="38" t="str">
        <f>IFERROR(__xludf.DUMMYFUNCTION("REGEXREPLACE(C9918,""-\d+(.*)|--\d+(.*)"","""")"),"ARCHES")</f>
        <v>ARCHES</v>
      </c>
      <c r="E9918" s="38" t="s">
        <v>194</v>
      </c>
      <c r="F9918" s="38" t="s">
        <v>195</v>
      </c>
      <c r="G9918" s="49" t="str">
        <f t="shared" si="1"/>
        <v>88380</v>
      </c>
      <c r="H9918" s="49">
        <f t="shared" si="2"/>
        <v>88011</v>
      </c>
    </row>
    <row r="9919">
      <c r="A9919" s="48" t="s">
        <v>8137</v>
      </c>
      <c r="B9919" s="38">
        <v>62460.0</v>
      </c>
      <c r="C9919" s="38" t="s">
        <v>13846</v>
      </c>
      <c r="D9919" s="38" t="str">
        <f>IFERROR(__xludf.DUMMYFUNCTION("REGEXREPLACE(C9919,""-\d+(.*)|--\d+(.*)"","""")"),"HUBERSENT")</f>
        <v>HUBERSENT</v>
      </c>
      <c r="E9919" s="38" t="s">
        <v>109</v>
      </c>
      <c r="F9919" s="38" t="s">
        <v>86</v>
      </c>
      <c r="G9919" s="49" t="str">
        <f t="shared" si="1"/>
        <v>62630</v>
      </c>
      <c r="H9919" s="49">
        <f t="shared" si="2"/>
        <v>62460</v>
      </c>
    </row>
    <row r="9920">
      <c r="A9920" s="48" t="s">
        <v>4326</v>
      </c>
      <c r="B9920" s="38">
        <v>46172.0</v>
      </c>
      <c r="C9920" s="38" t="s">
        <v>13847</v>
      </c>
      <c r="D9920" s="38" t="str">
        <f>IFERROR(__xludf.DUMMYFUNCTION("REGEXREPLACE(C9920,""-\d+(.*)|--\d+(.*)"","""")"),"LHOSPITALET")</f>
        <v>LHOSPITALET</v>
      </c>
      <c r="E9920" s="38" t="s">
        <v>185</v>
      </c>
      <c r="F9920" s="38" t="s">
        <v>94</v>
      </c>
      <c r="G9920" s="49" t="str">
        <f t="shared" si="1"/>
        <v>46170</v>
      </c>
      <c r="H9920" s="49">
        <f t="shared" si="2"/>
        <v>46172</v>
      </c>
    </row>
    <row r="9921">
      <c r="A9921" s="48" t="s">
        <v>3725</v>
      </c>
      <c r="B9921" s="38">
        <v>50291.0</v>
      </c>
      <c r="C9921" s="38" t="s">
        <v>13848</v>
      </c>
      <c r="D9921" s="38" t="str">
        <f>IFERROR(__xludf.DUMMYFUNCTION("REGEXREPLACE(C9921,""-\d+(.*)|--\d+(.*)"","""")"),"MARGUERAY")</f>
        <v>MARGUERAY</v>
      </c>
      <c r="E9921" s="38" t="s">
        <v>157</v>
      </c>
      <c r="F9921" s="38" t="s">
        <v>138</v>
      </c>
      <c r="G9921" s="49" t="str">
        <f t="shared" si="1"/>
        <v>50410</v>
      </c>
      <c r="H9921" s="49">
        <f t="shared" si="2"/>
        <v>50291</v>
      </c>
    </row>
    <row r="9922">
      <c r="A9922" s="48" t="s">
        <v>601</v>
      </c>
      <c r="B9922" s="38">
        <v>51497.0</v>
      </c>
      <c r="C9922" s="38" t="s">
        <v>13849</v>
      </c>
      <c r="D9922" s="38" t="str">
        <f>IFERROR(__xludf.DUMMYFUNCTION("REGEXREPLACE(C9922,""-\d+(.*)|--\d+(.*)"","""")"),"SAINT-LUMIER-LA-POPULEUSE")</f>
        <v>SAINT-LUMIER-LA-POPULEUSE</v>
      </c>
      <c r="E9922" s="38" t="s">
        <v>129</v>
      </c>
      <c r="F9922" s="38" t="s">
        <v>130</v>
      </c>
      <c r="G9922" s="49" t="str">
        <f t="shared" si="1"/>
        <v>51340</v>
      </c>
      <c r="H9922" s="49">
        <f t="shared" si="2"/>
        <v>51497</v>
      </c>
    </row>
    <row r="9923">
      <c r="A9923" s="48" t="s">
        <v>4711</v>
      </c>
      <c r="B9923" s="38">
        <v>88115.0</v>
      </c>
      <c r="C9923" s="38" t="s">
        <v>13850</v>
      </c>
      <c r="D9923" s="38" t="str">
        <f>IFERROR(__xludf.DUMMYFUNCTION("REGEXREPLACE(C9923,""-\d+(.*)|--\d+(.*)"","""")"),"CORCIEUX")</f>
        <v>CORCIEUX</v>
      </c>
      <c r="E9923" s="38" t="s">
        <v>194</v>
      </c>
      <c r="F9923" s="38" t="s">
        <v>195</v>
      </c>
      <c r="G9923" s="49" t="str">
        <f t="shared" si="1"/>
        <v>88430</v>
      </c>
      <c r="H9923" s="49">
        <f t="shared" si="2"/>
        <v>88115</v>
      </c>
    </row>
    <row r="9924">
      <c r="A9924" s="48" t="s">
        <v>5163</v>
      </c>
      <c r="B9924" s="38">
        <v>76051.0</v>
      </c>
      <c r="C9924" s="38" t="s">
        <v>13851</v>
      </c>
      <c r="D9924" s="38" t="str">
        <f>IFERROR(__xludf.DUMMYFUNCTION("REGEXREPLACE(C9924,""-\d+(.*)|--\d+(.*)"","""")"),"BACQUEVILLE-EN-CAUX")</f>
        <v>BACQUEVILLE-EN-CAUX</v>
      </c>
      <c r="E9924" s="38" t="s">
        <v>133</v>
      </c>
      <c r="F9924" s="38" t="s">
        <v>134</v>
      </c>
      <c r="G9924" s="49" t="str">
        <f t="shared" si="1"/>
        <v>76730</v>
      </c>
      <c r="H9924" s="49">
        <f t="shared" si="2"/>
        <v>76051</v>
      </c>
    </row>
    <row r="9925">
      <c r="A9925" s="48" t="s">
        <v>2130</v>
      </c>
      <c r="B9925" s="38">
        <v>62545.0</v>
      </c>
      <c r="C9925" s="38" t="s">
        <v>13852</v>
      </c>
      <c r="D9925" s="38" t="str">
        <f>IFERROR(__xludf.DUMMYFUNCTION("REGEXREPLACE(C9925,""-\d+(.*)|--\d+(.*)"","""")"),"MANINGHEM")</f>
        <v>MANINGHEM</v>
      </c>
      <c r="E9925" s="38" t="s">
        <v>109</v>
      </c>
      <c r="F9925" s="38" t="s">
        <v>86</v>
      </c>
      <c r="G9925" s="49" t="str">
        <f t="shared" si="1"/>
        <v>62650</v>
      </c>
      <c r="H9925" s="49">
        <f t="shared" si="2"/>
        <v>62545</v>
      </c>
    </row>
    <row r="9926">
      <c r="A9926" s="48" t="s">
        <v>13344</v>
      </c>
      <c r="B9926" s="38">
        <v>37249.0</v>
      </c>
      <c r="C9926" s="38" t="s">
        <v>13853</v>
      </c>
      <c r="D9926" s="38" t="str">
        <f>IFERROR(__xludf.DUMMYFUNCTION("REGEXREPLACE(C9926,""-\d+(.*)|--\d+(.*)"","""")"),"SONZAY")</f>
        <v>SONZAY</v>
      </c>
      <c r="E9926" s="38" t="s">
        <v>205</v>
      </c>
      <c r="F9926" s="38" t="s">
        <v>123</v>
      </c>
      <c r="G9926" s="49" t="str">
        <f t="shared" si="1"/>
        <v>37360</v>
      </c>
      <c r="H9926" s="49">
        <f t="shared" si="2"/>
        <v>37249</v>
      </c>
    </row>
    <row r="9927">
      <c r="A9927" s="48" t="s">
        <v>1295</v>
      </c>
      <c r="B9927" s="38">
        <v>57738.0</v>
      </c>
      <c r="C9927" s="38" t="s">
        <v>13854</v>
      </c>
      <c r="D9927" s="38" t="str">
        <f>IFERROR(__xludf.DUMMYFUNCTION("REGEXREPLACE(C9927,""-\d+(.*)|--\d+(.*)"","""")"),"WALDHOUSE")</f>
        <v>WALDHOUSE</v>
      </c>
      <c r="E9927" s="38" t="s">
        <v>303</v>
      </c>
      <c r="F9927" s="38" t="s">
        <v>195</v>
      </c>
      <c r="G9927" s="49" t="str">
        <f t="shared" si="1"/>
        <v>57720</v>
      </c>
      <c r="H9927" s="49">
        <f t="shared" si="2"/>
        <v>57738</v>
      </c>
    </row>
    <row r="9928">
      <c r="A9928" s="48" t="s">
        <v>3637</v>
      </c>
      <c r="B9928" s="38">
        <v>63420.0</v>
      </c>
      <c r="C9928" s="38" t="s">
        <v>13855</v>
      </c>
      <c r="D9928" s="38" t="str">
        <f>IFERROR(__xludf.DUMMYFUNCTION("REGEXREPLACE(C9928,""-\d+(.*)|--\d+(.*)"","""")"),"SEYCHALLES")</f>
        <v>SEYCHALLES</v>
      </c>
      <c r="E9928" s="38" t="s">
        <v>353</v>
      </c>
      <c r="F9928" s="38" t="s">
        <v>161</v>
      </c>
      <c r="G9928" s="49" t="str">
        <f t="shared" si="1"/>
        <v>63190</v>
      </c>
      <c r="H9928" s="49">
        <f t="shared" si="2"/>
        <v>63420</v>
      </c>
    </row>
    <row r="9929">
      <c r="A9929" s="48" t="s">
        <v>6928</v>
      </c>
      <c r="B9929" s="38">
        <v>25301.0</v>
      </c>
      <c r="C9929" s="38" t="s">
        <v>13856</v>
      </c>
      <c r="D9929" s="38" t="str">
        <f>IFERROR(__xludf.DUMMYFUNCTION("REGEXREPLACE(C9929,""-\d+(.*)|--\d+(.*)"","""")"),"GUYANS-VENNES")</f>
        <v>GUYANS-VENNES</v>
      </c>
      <c r="E9929" s="38" t="s">
        <v>213</v>
      </c>
      <c r="F9929" s="38" t="s">
        <v>214</v>
      </c>
      <c r="G9929" s="49" t="str">
        <f t="shared" si="1"/>
        <v>25390</v>
      </c>
      <c r="H9929" s="49">
        <f t="shared" si="2"/>
        <v>25301</v>
      </c>
    </row>
    <row r="9930">
      <c r="A9930" s="48" t="s">
        <v>13265</v>
      </c>
      <c r="B9930" s="38">
        <v>77118.0</v>
      </c>
      <c r="C9930" s="38" t="s">
        <v>13857</v>
      </c>
      <c r="D9930" s="38" t="str">
        <f>IFERROR(__xludf.DUMMYFUNCTION("REGEXREPLACE(C9930,""-\d+(.*)|--\d+(.*)"","""")"),"CLAYE-SOUILLY")</f>
        <v>CLAYE-SOUILLY</v>
      </c>
      <c r="E9930" s="38" t="s">
        <v>244</v>
      </c>
      <c r="F9930" s="38" t="s">
        <v>245</v>
      </c>
      <c r="G9930" s="49" t="str">
        <f t="shared" si="1"/>
        <v>77410</v>
      </c>
      <c r="H9930" s="49">
        <f t="shared" si="2"/>
        <v>77118</v>
      </c>
    </row>
    <row r="9931">
      <c r="A9931" s="48" t="s">
        <v>13858</v>
      </c>
      <c r="B9931" s="38">
        <v>85024.0</v>
      </c>
      <c r="C9931" s="38" t="s">
        <v>13859</v>
      </c>
      <c r="D9931" s="38" t="str">
        <f>IFERROR(__xludf.DUMMYFUNCTION("REGEXREPLACE(C9931,""-\d+(.*)|--\d+(.*)"","""")"),"BOIS-DE-CENE")</f>
        <v>BOIS-DE-CENE</v>
      </c>
      <c r="E9931" s="38" t="s">
        <v>179</v>
      </c>
      <c r="F9931" s="38" t="s">
        <v>180</v>
      </c>
      <c r="G9931" s="49" t="str">
        <f t="shared" si="1"/>
        <v>85710</v>
      </c>
      <c r="H9931" s="49">
        <f t="shared" si="2"/>
        <v>85024</v>
      </c>
    </row>
    <row r="9932">
      <c r="A9932" s="48" t="s">
        <v>91</v>
      </c>
      <c r="B9932" s="38">
        <v>31365.0</v>
      </c>
      <c r="C9932" s="38" t="s">
        <v>13860</v>
      </c>
      <c r="D9932" s="38" t="str">
        <f>IFERROR(__xludf.DUMMYFUNCTION("REGEXREPLACE(C9932,""-\d+(.*)|--\d+(.*)"","""")"),"MONTBRUN-BOCAGE")</f>
        <v>MONTBRUN-BOCAGE</v>
      </c>
      <c r="E9932" s="38" t="s">
        <v>93</v>
      </c>
      <c r="F9932" s="38" t="s">
        <v>94</v>
      </c>
      <c r="G9932" s="49" t="str">
        <f t="shared" si="1"/>
        <v>31310</v>
      </c>
      <c r="H9932" s="49">
        <f t="shared" si="2"/>
        <v>31365</v>
      </c>
    </row>
    <row r="9933">
      <c r="A9933" s="48" t="s">
        <v>2188</v>
      </c>
      <c r="B9933" s="38">
        <v>18163.0</v>
      </c>
      <c r="C9933" s="38" t="s">
        <v>13861</v>
      </c>
      <c r="D9933" s="38" t="str">
        <f>IFERROR(__xludf.DUMMYFUNCTION("REGEXREPLACE(C9933,""-\d+(.*)|--\d+(.*)"","""")"),"NEUVY-DEUX-CLOCHERS")</f>
        <v>NEUVY-DEUX-CLOCHERS</v>
      </c>
      <c r="E9933" s="38" t="s">
        <v>504</v>
      </c>
      <c r="F9933" s="38" t="s">
        <v>123</v>
      </c>
      <c r="G9933" s="49" t="str">
        <f t="shared" si="1"/>
        <v>18250</v>
      </c>
      <c r="H9933" s="49">
        <f t="shared" si="2"/>
        <v>18163</v>
      </c>
    </row>
    <row r="9934">
      <c r="A9934" s="48" t="s">
        <v>13862</v>
      </c>
      <c r="B9934" s="38">
        <v>94054.0</v>
      </c>
      <c r="C9934" s="38" t="s">
        <v>13863</v>
      </c>
      <c r="D9934" s="38" t="str">
        <f>IFERROR(__xludf.DUMMYFUNCTION("REGEXREPLACE(C9934,""-\d+(.*)|--\d+(.*)"","""")"),"ORLY")</f>
        <v>ORLY</v>
      </c>
      <c r="E9934" s="38" t="s">
        <v>561</v>
      </c>
      <c r="F9934" s="38" t="s">
        <v>245</v>
      </c>
      <c r="G9934" s="49" t="str">
        <f t="shared" si="1"/>
        <v>94310</v>
      </c>
      <c r="H9934" s="49">
        <f t="shared" si="2"/>
        <v>94054</v>
      </c>
    </row>
    <row r="9935">
      <c r="A9935" s="48" t="s">
        <v>3465</v>
      </c>
      <c r="B9935" s="38">
        <v>11061.0</v>
      </c>
      <c r="C9935" s="38" t="s">
        <v>13864</v>
      </c>
      <c r="D9935" s="38" t="str">
        <f>IFERROR(__xludf.DUMMYFUNCTION("REGEXREPLACE(C9935,""-\d+(.*)|--\d+(.*)"","""")"),"CAMBIEURE")</f>
        <v>CAMBIEURE</v>
      </c>
      <c r="E9935" s="38" t="s">
        <v>278</v>
      </c>
      <c r="F9935" s="38" t="s">
        <v>119</v>
      </c>
      <c r="G9935" s="49" t="str">
        <f t="shared" si="1"/>
        <v>11240</v>
      </c>
      <c r="H9935" s="49">
        <f t="shared" si="2"/>
        <v>11061</v>
      </c>
    </row>
    <row r="9936">
      <c r="A9936" s="48" t="s">
        <v>3473</v>
      </c>
      <c r="B9936" s="38">
        <v>69041.0</v>
      </c>
      <c r="C9936" s="38" t="s">
        <v>13865</v>
      </c>
      <c r="D9936" s="38" t="str">
        <f>IFERROR(__xludf.DUMMYFUNCTION("REGEXREPLACE(C9936,""-\d+(.*)|--\d+(.*)"","""")"),"LA CHAPELLE-DE-MARDORE")</f>
        <v>LA CHAPELLE-DE-MARDORE</v>
      </c>
      <c r="E9936" s="38" t="s">
        <v>350</v>
      </c>
      <c r="F9936" s="38" t="s">
        <v>102</v>
      </c>
      <c r="G9936" s="49" t="str">
        <f t="shared" si="1"/>
        <v>69240</v>
      </c>
      <c r="H9936" s="49">
        <f t="shared" si="2"/>
        <v>69041</v>
      </c>
    </row>
    <row r="9937">
      <c r="A9937" s="48" t="s">
        <v>3795</v>
      </c>
      <c r="B9937" s="38">
        <v>24214.0</v>
      </c>
      <c r="C9937" s="38" t="s">
        <v>13866</v>
      </c>
      <c r="D9937" s="38" t="str">
        <f>IFERROR(__xludf.DUMMYFUNCTION("REGEXREPLACE(C9937,""-\d+(.*)|--\d+(.*)"","""")"),"JAVERLHAC-ET-LA-CHAPELLE-SAINT-ROBERT")</f>
        <v>JAVERLHAC-ET-LA-CHAPELLE-SAINT-ROBERT</v>
      </c>
      <c r="E9937" s="38" t="s">
        <v>261</v>
      </c>
      <c r="F9937" s="38" t="s">
        <v>252</v>
      </c>
      <c r="G9937" s="49" t="str">
        <f t="shared" si="1"/>
        <v>24300</v>
      </c>
      <c r="H9937" s="49">
        <f t="shared" si="2"/>
        <v>24214</v>
      </c>
    </row>
    <row r="9938">
      <c r="A9938" s="48" t="s">
        <v>7756</v>
      </c>
      <c r="B9938" s="38">
        <v>27094.0</v>
      </c>
      <c r="C9938" s="38" t="s">
        <v>13867</v>
      </c>
      <c r="D9938" s="38" t="str">
        <f>IFERROR(__xludf.DUMMYFUNCTION("REGEXREPLACE(C9938,""-\d+(.*)|--\d+(.*)"","""")"),"BOSQUENTIN")</f>
        <v>BOSQUENTIN</v>
      </c>
      <c r="E9938" s="38" t="s">
        <v>241</v>
      </c>
      <c r="F9938" s="38" t="s">
        <v>134</v>
      </c>
      <c r="G9938" s="49" t="str">
        <f t="shared" si="1"/>
        <v>27480</v>
      </c>
      <c r="H9938" s="49">
        <f t="shared" si="2"/>
        <v>27094</v>
      </c>
    </row>
    <row r="9939">
      <c r="A9939" s="48" t="s">
        <v>1628</v>
      </c>
      <c r="B9939" s="38">
        <v>70545.0</v>
      </c>
      <c r="C9939" s="38" t="s">
        <v>13868</v>
      </c>
      <c r="D9939" s="38" t="str">
        <f>IFERROR(__xludf.DUMMYFUNCTION("REGEXREPLACE(C9939,""-\d+(.*)|--\d+(.*)"","""")"),"VENISEY")</f>
        <v>VENISEY</v>
      </c>
      <c r="E9939" s="38" t="s">
        <v>956</v>
      </c>
      <c r="F9939" s="38" t="s">
        <v>214</v>
      </c>
      <c r="G9939" s="49" t="str">
        <f t="shared" si="1"/>
        <v>70500</v>
      </c>
      <c r="H9939" s="49">
        <f t="shared" si="2"/>
        <v>70545</v>
      </c>
    </row>
    <row r="9940">
      <c r="A9940" s="48" t="s">
        <v>744</v>
      </c>
      <c r="B9940" s="38">
        <v>14056.0</v>
      </c>
      <c r="C9940" s="38" t="s">
        <v>13869</v>
      </c>
      <c r="D9940" s="38" t="str">
        <f>IFERROR(__xludf.DUMMYFUNCTION("REGEXREPLACE(C9940,""-\d+(.*)|--\d+(.*)"","""")"),"BAUQUAY")</f>
        <v>BAUQUAY</v>
      </c>
      <c r="E9940" s="38" t="s">
        <v>137</v>
      </c>
      <c r="F9940" s="38" t="s">
        <v>138</v>
      </c>
      <c r="G9940" s="49" t="str">
        <f t="shared" si="1"/>
        <v>14260</v>
      </c>
      <c r="H9940" s="49">
        <f t="shared" si="2"/>
        <v>14056</v>
      </c>
    </row>
    <row r="9941">
      <c r="A9941" s="48" t="s">
        <v>5503</v>
      </c>
      <c r="B9941" s="38">
        <v>78020.0</v>
      </c>
      <c r="C9941" s="38" t="s">
        <v>13870</v>
      </c>
      <c r="D9941" s="38" t="str">
        <f>IFERROR(__xludf.DUMMYFUNCTION("REGEXREPLACE(C9941,""-\d+(.*)|--\d+(.*)"","""")"),"ARNOUVILLE-LES-MANTES")</f>
        <v>ARNOUVILLE-LES-MANTES</v>
      </c>
      <c r="E9941" s="38" t="s">
        <v>362</v>
      </c>
      <c r="F9941" s="38" t="s">
        <v>245</v>
      </c>
      <c r="G9941" s="49" t="str">
        <f t="shared" si="1"/>
        <v>78790</v>
      </c>
      <c r="H9941" s="49">
        <f t="shared" si="2"/>
        <v>78020</v>
      </c>
    </row>
    <row r="9942">
      <c r="A9942" s="48" t="s">
        <v>13871</v>
      </c>
      <c r="B9942" s="38">
        <v>73027.0</v>
      </c>
      <c r="C9942" s="38" t="s">
        <v>13872</v>
      </c>
      <c r="D9942" s="38" t="str">
        <f>IFERROR(__xludf.DUMMYFUNCTION("REGEXREPLACE(C9942,""-\d+(.*)|--\d+(.*)"","""")"),"AYN")</f>
        <v>AYN</v>
      </c>
      <c r="E9942" s="38" t="s">
        <v>306</v>
      </c>
      <c r="F9942" s="38" t="s">
        <v>102</v>
      </c>
      <c r="G9942" s="49" t="str">
        <f t="shared" si="1"/>
        <v>73470</v>
      </c>
      <c r="H9942" s="49">
        <f t="shared" si="2"/>
        <v>73027</v>
      </c>
    </row>
    <row r="9943">
      <c r="A9943" s="48" t="s">
        <v>1555</v>
      </c>
      <c r="B9943" s="38">
        <v>52104.0</v>
      </c>
      <c r="C9943" s="38" t="s">
        <v>13873</v>
      </c>
      <c r="D9943" s="38" t="str">
        <f>IFERROR(__xludf.DUMMYFUNCTION("REGEXREPLACE(C9943,""-\d+(.*)|--\d+(.*)"","""")"),"CHANCENAY")</f>
        <v>CHANCENAY</v>
      </c>
      <c r="E9943" s="38" t="s">
        <v>234</v>
      </c>
      <c r="F9943" s="38" t="s">
        <v>130</v>
      </c>
      <c r="G9943" s="49" t="str">
        <f t="shared" si="1"/>
        <v>52100</v>
      </c>
      <c r="H9943" s="49">
        <f t="shared" si="2"/>
        <v>52104</v>
      </c>
    </row>
    <row r="9944">
      <c r="A9944" s="48" t="s">
        <v>8527</v>
      </c>
      <c r="B9944" s="38">
        <v>44003.0</v>
      </c>
      <c r="C9944" s="38" t="s">
        <v>13874</v>
      </c>
      <c r="D9944" s="38" t="str">
        <f>IFERROR(__xludf.DUMMYFUNCTION("REGEXREPLACE(C9944,""-\d+(.*)|--\d+(.*)"","""")"),"ANCENIS")</f>
        <v>ANCENIS</v>
      </c>
      <c r="E9944" s="38" t="s">
        <v>759</v>
      </c>
      <c r="F9944" s="38" t="s">
        <v>180</v>
      </c>
      <c r="G9944" s="49" t="str">
        <f t="shared" si="1"/>
        <v>44150</v>
      </c>
      <c r="H9944" s="49">
        <f t="shared" si="2"/>
        <v>44003</v>
      </c>
    </row>
    <row r="9945">
      <c r="A9945" s="48" t="s">
        <v>9850</v>
      </c>
      <c r="B9945" s="38">
        <v>67469.0</v>
      </c>
      <c r="C9945" s="38" t="s">
        <v>13875</v>
      </c>
      <c r="D9945" s="38" t="str">
        <f>IFERROR(__xludf.DUMMYFUNCTION("REGEXREPLACE(C9945,""-\d+(.*)|--\d+(.*)"","""")"),"SINGRIST")</f>
        <v>SINGRIST</v>
      </c>
      <c r="E9945" s="38" t="s">
        <v>210</v>
      </c>
      <c r="F9945" s="38" t="s">
        <v>151</v>
      </c>
      <c r="G9945" s="49" t="str">
        <f t="shared" si="1"/>
        <v>67440</v>
      </c>
      <c r="H9945" s="49">
        <f t="shared" si="2"/>
        <v>67469</v>
      </c>
    </row>
    <row r="9946">
      <c r="A9946" s="48" t="s">
        <v>5789</v>
      </c>
      <c r="B9946" s="38">
        <v>30290.0</v>
      </c>
      <c r="C9946" s="38" t="s">
        <v>13876</v>
      </c>
      <c r="D9946" s="38" t="str">
        <f>IFERROR(__xludf.DUMMYFUNCTION("REGEXREPLACE(C9946,""-\d+(.*)|--\d+(.*)"","""")"),"SAINT-PAULET-DE-CAISSON")</f>
        <v>SAINT-PAULET-DE-CAISSON</v>
      </c>
      <c r="E9946" s="38" t="s">
        <v>526</v>
      </c>
      <c r="F9946" s="38" t="s">
        <v>119</v>
      </c>
      <c r="G9946" s="49" t="str">
        <f t="shared" si="1"/>
        <v>30130</v>
      </c>
      <c r="H9946" s="49">
        <f t="shared" si="2"/>
        <v>30290</v>
      </c>
    </row>
    <row r="9947">
      <c r="A9947" s="48" t="s">
        <v>9315</v>
      </c>
      <c r="B9947" s="38">
        <v>68367.0</v>
      </c>
      <c r="C9947" s="38" t="s">
        <v>13877</v>
      </c>
      <c r="D9947" s="38" t="str">
        <f>IFERROR(__xludf.DUMMYFUNCTION("REGEXREPLACE(C9947,""-\d+(.*)|--\d+(.*)"","""")"),"WIDENSOLEN")</f>
        <v>WIDENSOLEN</v>
      </c>
      <c r="E9947" s="38" t="s">
        <v>150</v>
      </c>
      <c r="F9947" s="38" t="s">
        <v>151</v>
      </c>
      <c r="G9947" s="49" t="str">
        <f t="shared" si="1"/>
        <v>68320</v>
      </c>
      <c r="H9947" s="49">
        <f t="shared" si="2"/>
        <v>68367</v>
      </c>
    </row>
    <row r="9948">
      <c r="A9948" s="48" t="s">
        <v>1636</v>
      </c>
      <c r="B9948" s="38">
        <v>14218.0</v>
      </c>
      <c r="C9948" s="38" t="s">
        <v>13878</v>
      </c>
      <c r="D9948" s="38" t="str">
        <f>IFERROR(__xludf.DUMMYFUNCTION("REGEXREPLACE(C9948,""-\d+(.*)|--\d+(.*)"","""")"),"DANESTAL")</f>
        <v>DANESTAL</v>
      </c>
      <c r="E9948" s="38" t="s">
        <v>137</v>
      </c>
      <c r="F9948" s="38" t="s">
        <v>138</v>
      </c>
      <c r="G9948" s="49" t="str">
        <f t="shared" si="1"/>
        <v>14430</v>
      </c>
      <c r="H9948" s="49">
        <f t="shared" si="2"/>
        <v>14218</v>
      </c>
    </row>
    <row r="9949">
      <c r="A9949" s="48" t="s">
        <v>6872</v>
      </c>
      <c r="B9949" s="38">
        <v>45190.0</v>
      </c>
      <c r="C9949" s="38" t="s">
        <v>6162</v>
      </c>
      <c r="D9949" s="38" t="str">
        <f>IFERROR(__xludf.DUMMYFUNCTION("REGEXREPLACE(C9949,""-\d+(.*)|--\d+(.*)"","""")"),"MAINVILLIERS")</f>
        <v>MAINVILLIERS</v>
      </c>
      <c r="E9949" s="38" t="s">
        <v>122</v>
      </c>
      <c r="F9949" s="38" t="s">
        <v>123</v>
      </c>
      <c r="G9949" s="49" t="str">
        <f t="shared" si="1"/>
        <v>45330</v>
      </c>
      <c r="H9949" s="49">
        <f t="shared" si="2"/>
        <v>45190</v>
      </c>
    </row>
    <row r="9950">
      <c r="A9950" s="48" t="s">
        <v>114</v>
      </c>
      <c r="B9950" s="38">
        <v>62050.0</v>
      </c>
      <c r="C9950" s="38" t="s">
        <v>13879</v>
      </c>
      <c r="D9950" s="38" t="str">
        <f>IFERROR(__xludf.DUMMYFUNCTION("REGEXREPLACE(C9950,""-\d+(.*)|--\d+(.*)"","""")"),"AUCHY-LES-HESDIN")</f>
        <v>AUCHY-LES-HESDIN</v>
      </c>
      <c r="E9950" s="38" t="s">
        <v>109</v>
      </c>
      <c r="F9950" s="38" t="s">
        <v>86</v>
      </c>
      <c r="G9950" s="49" t="str">
        <f t="shared" si="1"/>
        <v>62770</v>
      </c>
      <c r="H9950" s="49">
        <f t="shared" si="2"/>
        <v>62050</v>
      </c>
    </row>
    <row r="9951">
      <c r="A9951" s="48" t="s">
        <v>1821</v>
      </c>
      <c r="B9951" s="38">
        <v>3255.0</v>
      </c>
      <c r="C9951" s="38" t="s">
        <v>13880</v>
      </c>
      <c r="D9951" s="38" t="str">
        <f>IFERROR(__xludf.DUMMYFUNCTION("REGEXREPLACE(C9951,""-\d+(.*)|--\d+(.*)"","""")"),"SAINT-PRIEST-D'ANDELOT")</f>
        <v>SAINT-PRIEST-D'ANDELOT</v>
      </c>
      <c r="E9951" s="38" t="s">
        <v>160</v>
      </c>
      <c r="F9951" s="38" t="s">
        <v>161</v>
      </c>
      <c r="G9951" s="49" t="str">
        <f t="shared" si="1"/>
        <v>03800</v>
      </c>
      <c r="H9951" s="49" t="str">
        <f t="shared" si="2"/>
        <v>03255</v>
      </c>
    </row>
    <row r="9952">
      <c r="A9952" s="48" t="s">
        <v>13881</v>
      </c>
      <c r="B9952" s="38">
        <v>56103.0</v>
      </c>
      <c r="C9952" s="38" t="s">
        <v>13882</v>
      </c>
      <c r="D9952" s="38" t="str">
        <f>IFERROR(__xludf.DUMMYFUNCTION("REGEXREPLACE(C9952,""-\d+(.*)|--\d+(.*)"","""")"),"LANTILLAC")</f>
        <v>LANTILLAC</v>
      </c>
      <c r="E9952" s="38" t="s">
        <v>173</v>
      </c>
      <c r="F9952" s="38" t="s">
        <v>90</v>
      </c>
      <c r="G9952" s="49" t="str">
        <f t="shared" si="1"/>
        <v>56120</v>
      </c>
      <c r="H9952" s="49">
        <f t="shared" si="2"/>
        <v>56103</v>
      </c>
    </row>
    <row r="9953">
      <c r="A9953" s="48" t="s">
        <v>3224</v>
      </c>
      <c r="B9953" s="38">
        <v>54278.0</v>
      </c>
      <c r="C9953" s="38" t="s">
        <v>13883</v>
      </c>
      <c r="D9953" s="38" t="str">
        <f>IFERROR(__xludf.DUMMYFUNCTION("REGEXREPLACE(C9953,""-\d+(.*)|--\d+(.*)"","""")"),"JEVONCOURT")</f>
        <v>JEVONCOURT</v>
      </c>
      <c r="E9953" s="38" t="s">
        <v>548</v>
      </c>
      <c r="F9953" s="38" t="s">
        <v>195</v>
      </c>
      <c r="G9953" s="49" t="str">
        <f t="shared" si="1"/>
        <v>54740</v>
      </c>
      <c r="H9953" s="49">
        <f t="shared" si="2"/>
        <v>54278</v>
      </c>
    </row>
    <row r="9954">
      <c r="A9954" s="48" t="s">
        <v>13884</v>
      </c>
      <c r="B9954" s="38">
        <v>14041.0</v>
      </c>
      <c r="C9954" s="38" t="s">
        <v>13885</v>
      </c>
      <c r="D9954" s="38" t="str">
        <f>IFERROR(__xludf.DUMMYFUNCTION("REGEXREPLACE(C9954,""-\d+(.*)|--\d+(.*)"","""")"),"BARNEVILLE-LA-BERTRAN")</f>
        <v>BARNEVILLE-LA-BERTRAN</v>
      </c>
      <c r="E9954" s="38" t="s">
        <v>137</v>
      </c>
      <c r="F9954" s="38" t="s">
        <v>138</v>
      </c>
      <c r="G9954" s="49" t="str">
        <f t="shared" si="1"/>
        <v>14600</v>
      </c>
      <c r="H9954" s="49">
        <f t="shared" si="2"/>
        <v>14041</v>
      </c>
    </row>
    <row r="9955">
      <c r="A9955" s="48" t="s">
        <v>546</v>
      </c>
      <c r="B9955" s="38">
        <v>54027.0</v>
      </c>
      <c r="C9955" s="38" t="s">
        <v>13886</v>
      </c>
      <c r="D9955" s="38" t="str">
        <f>IFERROR(__xludf.DUMMYFUNCTION("REGEXREPLACE(C9955,""-\d+(.*)|--\d+(.*)"","""")"),"ATTON")</f>
        <v>ATTON</v>
      </c>
      <c r="E9955" s="38" t="s">
        <v>548</v>
      </c>
      <c r="F9955" s="38" t="s">
        <v>195</v>
      </c>
      <c r="G9955" s="49" t="str">
        <f t="shared" si="1"/>
        <v>54700</v>
      </c>
      <c r="H9955" s="49">
        <f t="shared" si="2"/>
        <v>54027</v>
      </c>
    </row>
    <row r="9956">
      <c r="A9956" s="48" t="s">
        <v>3346</v>
      </c>
      <c r="B9956" s="38">
        <v>65073.0</v>
      </c>
      <c r="C9956" s="38" t="s">
        <v>13887</v>
      </c>
      <c r="D9956" s="38" t="str">
        <f>IFERROR(__xludf.DUMMYFUNCTION("REGEXREPLACE(C9956,""-\d+(.*)|--\d+(.*)"","""")"),"BAZILLAC")</f>
        <v>BAZILLAC</v>
      </c>
      <c r="E9956" s="38" t="s">
        <v>200</v>
      </c>
      <c r="F9956" s="38" t="s">
        <v>94</v>
      </c>
      <c r="G9956" s="49" t="str">
        <f t="shared" si="1"/>
        <v>65140</v>
      </c>
      <c r="H9956" s="49">
        <f t="shared" si="2"/>
        <v>65073</v>
      </c>
    </row>
    <row r="9957">
      <c r="A9957" s="48" t="s">
        <v>9615</v>
      </c>
      <c r="B9957" s="38">
        <v>86234.0</v>
      </c>
      <c r="C9957" s="38" t="s">
        <v>13888</v>
      </c>
      <c r="D9957" s="38" t="str">
        <f>IFERROR(__xludf.DUMMYFUNCTION("REGEXREPLACE(C9957,""-\d+(.*)|--\d+(.*)"","""")"),"SAINT-MARTIN-L'ARS")</f>
        <v>SAINT-MARTIN-L'ARS</v>
      </c>
      <c r="E9957" s="38" t="s">
        <v>529</v>
      </c>
      <c r="F9957" s="38" t="s">
        <v>338</v>
      </c>
      <c r="G9957" s="49" t="str">
        <f t="shared" si="1"/>
        <v>86350</v>
      </c>
      <c r="H9957" s="49">
        <f t="shared" si="2"/>
        <v>86234</v>
      </c>
    </row>
    <row r="9958">
      <c r="A9958" s="48" t="s">
        <v>10651</v>
      </c>
      <c r="B9958" s="38">
        <v>81134.0</v>
      </c>
      <c r="C9958" s="38" t="s">
        <v>13889</v>
      </c>
      <c r="D9958" s="38" t="str">
        <f>IFERROR(__xludf.DUMMYFUNCTION("REGEXREPLACE(C9958,""-\d+(.*)|--\d+(.*)"","""")"),"LAMONTELARIE")</f>
        <v>LAMONTELARIE</v>
      </c>
      <c r="E9958" s="38" t="s">
        <v>231</v>
      </c>
      <c r="F9958" s="38" t="s">
        <v>94</v>
      </c>
      <c r="G9958" s="49" t="str">
        <f t="shared" si="1"/>
        <v>81260</v>
      </c>
      <c r="H9958" s="49">
        <f t="shared" si="2"/>
        <v>81134</v>
      </c>
    </row>
    <row r="9959">
      <c r="A9959" s="48" t="s">
        <v>3621</v>
      </c>
      <c r="B9959" s="38">
        <v>52242.0</v>
      </c>
      <c r="C9959" s="38" t="s">
        <v>13890</v>
      </c>
      <c r="D9959" s="38" t="str">
        <f>IFERROR(__xludf.DUMMYFUNCTION("REGEXREPLACE(C9959,""-\d+(.*)|--\d+(.*)"","""")"),"HAUTE-AMANCE")</f>
        <v>HAUTE-AMANCE</v>
      </c>
      <c r="E9959" s="38" t="s">
        <v>234</v>
      </c>
      <c r="F9959" s="38" t="s">
        <v>130</v>
      </c>
      <c r="G9959" s="49" t="str">
        <f t="shared" si="1"/>
        <v>52600</v>
      </c>
      <c r="H9959" s="49">
        <f t="shared" si="2"/>
        <v>52242</v>
      </c>
    </row>
    <row r="9960">
      <c r="A9960" s="48" t="s">
        <v>13891</v>
      </c>
      <c r="B9960" s="38" t="s">
        <v>13892</v>
      </c>
      <c r="C9960" s="38" t="s">
        <v>13893</v>
      </c>
      <c r="D9960" s="38" t="str">
        <f>IFERROR(__xludf.DUMMYFUNCTION("REGEXREPLACE(C9960,""-\d+(.*)|--\d+(.*)"","""")"),"SANTA-MARIA-FIGANIELLA")</f>
        <v>SANTA-MARIA-FIGANIELLA</v>
      </c>
      <c r="E9960" s="38" t="s">
        <v>606</v>
      </c>
      <c r="F9960" s="38" t="s">
        <v>607</v>
      </c>
      <c r="G9960" s="49" t="str">
        <f t="shared" si="1"/>
        <v>20143</v>
      </c>
      <c r="H9960" s="49" t="str">
        <f t="shared" si="2"/>
        <v>2A310</v>
      </c>
    </row>
    <row r="9961">
      <c r="A9961" s="48" t="s">
        <v>6168</v>
      </c>
      <c r="B9961" s="38">
        <v>16384.0</v>
      </c>
      <c r="C9961" s="38" t="s">
        <v>13894</v>
      </c>
      <c r="D9961" s="38" t="str">
        <f>IFERROR(__xludf.DUMMYFUNCTION("REGEXREPLACE(C9961,""-\d+(.*)|--\d+(.*)"","""")"),"TOUVERAC")</f>
        <v>TOUVERAC</v>
      </c>
      <c r="E9961" s="38" t="s">
        <v>429</v>
      </c>
      <c r="F9961" s="38" t="s">
        <v>338</v>
      </c>
      <c r="G9961" s="49" t="str">
        <f t="shared" si="1"/>
        <v>16360</v>
      </c>
      <c r="H9961" s="49">
        <f t="shared" si="2"/>
        <v>16384</v>
      </c>
    </row>
    <row r="9962">
      <c r="A9962" s="48" t="s">
        <v>358</v>
      </c>
      <c r="B9962" s="38">
        <v>10014.0</v>
      </c>
      <c r="C9962" s="38" t="s">
        <v>13895</v>
      </c>
      <c r="D9962" s="38" t="str">
        <f>IFERROR(__xludf.DUMMYFUNCTION("REGEXREPLACE(C9962,""-\d+(.*)|--\d+(.*)"","""")"),"ASSENCIERES")</f>
        <v>ASSENCIERES</v>
      </c>
      <c r="E9962" s="38" t="s">
        <v>147</v>
      </c>
      <c r="F9962" s="38" t="s">
        <v>130</v>
      </c>
      <c r="G9962" s="49" t="str">
        <f t="shared" si="1"/>
        <v>10220</v>
      </c>
      <c r="H9962" s="49">
        <f t="shared" si="2"/>
        <v>10014</v>
      </c>
    </row>
    <row r="9963">
      <c r="A9963" s="48" t="s">
        <v>3147</v>
      </c>
      <c r="B9963" s="38">
        <v>68276.0</v>
      </c>
      <c r="C9963" s="38" t="s">
        <v>13896</v>
      </c>
      <c r="D9963" s="38" t="str">
        <f>IFERROR(__xludf.DUMMYFUNCTION("REGEXREPLACE(C9963,""-\d+(.*)|--\d+(.*)"","""")"),"RIMBACHZELL")</f>
        <v>RIMBACHZELL</v>
      </c>
      <c r="E9963" s="38" t="s">
        <v>150</v>
      </c>
      <c r="F9963" s="38" t="s">
        <v>151</v>
      </c>
      <c r="G9963" s="49" t="str">
        <f t="shared" si="1"/>
        <v>68500</v>
      </c>
      <c r="H9963" s="49">
        <f t="shared" si="2"/>
        <v>68276</v>
      </c>
    </row>
    <row r="9964">
      <c r="A9964" s="48" t="s">
        <v>12897</v>
      </c>
      <c r="B9964" s="38">
        <v>67169.0</v>
      </c>
      <c r="C9964" s="38" t="s">
        <v>13897</v>
      </c>
      <c r="D9964" s="38" t="str">
        <f>IFERROR(__xludf.DUMMYFUNCTION("REGEXREPLACE(C9964,""-\d+(.*)|--\d+(.*)"","""")"),"GRIES")</f>
        <v>GRIES</v>
      </c>
      <c r="E9964" s="38" t="s">
        <v>210</v>
      </c>
      <c r="F9964" s="38" t="s">
        <v>151</v>
      </c>
      <c r="G9964" s="49" t="str">
        <f t="shared" si="1"/>
        <v>67240</v>
      </c>
      <c r="H9964" s="49">
        <f t="shared" si="2"/>
        <v>67169</v>
      </c>
    </row>
    <row r="9965">
      <c r="A9965" s="48" t="s">
        <v>1278</v>
      </c>
      <c r="B9965" s="38">
        <v>83077.0</v>
      </c>
      <c r="C9965" s="38" t="s">
        <v>13898</v>
      </c>
      <c r="D9965" s="38" t="str">
        <f>IFERROR(__xludf.DUMMYFUNCTION("REGEXREPLACE(C9965,""-\d+(.*)|--\d+(.*)"","""")"),"MEOUNES-LES-MONTRIEUX")</f>
        <v>MEOUNES-LES-MONTRIEUX</v>
      </c>
      <c r="E9965" s="38" t="s">
        <v>813</v>
      </c>
      <c r="F9965" s="38" t="s">
        <v>228</v>
      </c>
      <c r="G9965" s="49" t="str">
        <f t="shared" si="1"/>
        <v>83136</v>
      </c>
      <c r="H9965" s="49">
        <f t="shared" si="2"/>
        <v>83077</v>
      </c>
    </row>
    <row r="9966">
      <c r="A9966" s="48" t="s">
        <v>217</v>
      </c>
      <c r="B9966" s="38">
        <v>58127.0</v>
      </c>
      <c r="C9966" s="38" t="s">
        <v>13899</v>
      </c>
      <c r="D9966" s="38" t="str">
        <f>IFERROR(__xludf.DUMMYFUNCTION("REGEXREPLACE(C9966,""-\d+(.*)|--\d+(.*)"","""")"),"GIRY")</f>
        <v>GIRY</v>
      </c>
      <c r="E9966" s="38" t="s">
        <v>219</v>
      </c>
      <c r="F9966" s="38" t="s">
        <v>106</v>
      </c>
      <c r="G9966" s="49" t="str">
        <f t="shared" si="1"/>
        <v>58700</v>
      </c>
      <c r="H9966" s="49">
        <f t="shared" si="2"/>
        <v>58127</v>
      </c>
    </row>
    <row r="9967">
      <c r="A9967" s="48" t="s">
        <v>2920</v>
      </c>
      <c r="B9967" s="38">
        <v>62395.0</v>
      </c>
      <c r="C9967" s="38" t="s">
        <v>13900</v>
      </c>
      <c r="D9967" s="38" t="str">
        <f>IFERROR(__xludf.DUMMYFUNCTION("REGEXREPLACE(C9967,""-\d+(.*)|--\d+(.*)"","""")"),"GUIGNY")</f>
        <v>GUIGNY</v>
      </c>
      <c r="E9967" s="38" t="s">
        <v>109</v>
      </c>
      <c r="F9967" s="38" t="s">
        <v>86</v>
      </c>
      <c r="G9967" s="49" t="str">
        <f t="shared" si="1"/>
        <v>62140</v>
      </c>
      <c r="H9967" s="49">
        <f t="shared" si="2"/>
        <v>62395</v>
      </c>
    </row>
    <row r="9968">
      <c r="A9968" s="48" t="s">
        <v>8985</v>
      </c>
      <c r="B9968" s="38">
        <v>37138.0</v>
      </c>
      <c r="C9968" s="38" t="s">
        <v>13901</v>
      </c>
      <c r="D9968" s="38" t="str">
        <f>IFERROR(__xludf.DUMMYFUNCTION("REGEXREPLACE(C9968,""-\d+(.*)|--\d+(.*)"","""")"),"LUSSAULT-SUR-LOIRE")</f>
        <v>LUSSAULT-SUR-LOIRE</v>
      </c>
      <c r="E9968" s="38" t="s">
        <v>205</v>
      </c>
      <c r="F9968" s="38" t="s">
        <v>123</v>
      </c>
      <c r="G9968" s="49" t="str">
        <f t="shared" si="1"/>
        <v>37400</v>
      </c>
      <c r="H9968" s="49">
        <f t="shared" si="2"/>
        <v>37138</v>
      </c>
    </row>
    <row r="9969">
      <c r="A9969" s="48" t="s">
        <v>13902</v>
      </c>
      <c r="B9969" s="38">
        <v>49270.0</v>
      </c>
      <c r="C9969" s="38" t="s">
        <v>13903</v>
      </c>
      <c r="D9969" s="38" t="str">
        <f>IFERROR(__xludf.DUMMYFUNCTION("REGEXREPLACE(C9969,""-\d+(.*)|--\d+(.*)"","""")"),"SAINT-CHRISTOPHE-LA-COUPERIE")</f>
        <v>SAINT-CHRISTOPHE-LA-COUPERIE</v>
      </c>
      <c r="E9969" s="38" t="s">
        <v>653</v>
      </c>
      <c r="F9969" s="38" t="s">
        <v>180</v>
      </c>
      <c r="G9969" s="49" t="str">
        <f t="shared" si="1"/>
        <v>49270</v>
      </c>
      <c r="H9969" s="49">
        <f t="shared" si="2"/>
        <v>49270</v>
      </c>
    </row>
    <row r="9970">
      <c r="A9970" s="48" t="s">
        <v>1208</v>
      </c>
      <c r="B9970" s="38">
        <v>32244.0</v>
      </c>
      <c r="C9970" s="38" t="s">
        <v>13904</v>
      </c>
      <c r="D9970" s="38" t="str">
        <f>IFERROR(__xludf.DUMMYFUNCTION("REGEXREPLACE(C9970,""-\d+(.*)|--\d+(.*)"","""")"),"MAULICHERES")</f>
        <v>MAULICHERES</v>
      </c>
      <c r="E9970" s="38" t="s">
        <v>440</v>
      </c>
      <c r="F9970" s="38" t="s">
        <v>94</v>
      </c>
      <c r="G9970" s="49" t="str">
        <f t="shared" si="1"/>
        <v>32400</v>
      </c>
      <c r="H9970" s="49">
        <f t="shared" si="2"/>
        <v>32244</v>
      </c>
    </row>
    <row r="9971">
      <c r="A9971" s="48" t="s">
        <v>3046</v>
      </c>
      <c r="B9971" s="38">
        <v>70446.0</v>
      </c>
      <c r="C9971" s="38" t="s">
        <v>13905</v>
      </c>
      <c r="D9971" s="38" t="str">
        <f>IFERROR(__xludf.DUMMYFUNCTION("REGEXREPLACE(C9971,""-\d+(.*)|--\d+(.*)"","""")"),"RIGNY")</f>
        <v>RIGNY</v>
      </c>
      <c r="E9971" s="38" t="s">
        <v>956</v>
      </c>
      <c r="F9971" s="38" t="s">
        <v>214</v>
      </c>
      <c r="G9971" s="49" t="str">
        <f t="shared" si="1"/>
        <v>70100</v>
      </c>
      <c r="H9971" s="49">
        <f t="shared" si="2"/>
        <v>70446</v>
      </c>
    </row>
    <row r="9972">
      <c r="A9972" s="48" t="s">
        <v>13906</v>
      </c>
      <c r="B9972" s="38">
        <v>3302.0</v>
      </c>
      <c r="C9972" s="38" t="s">
        <v>13907</v>
      </c>
      <c r="D9972" s="38" t="str">
        <f>IFERROR(__xludf.DUMMYFUNCTION("REGEXREPLACE(C9972,""-\d+(.*)|--\d+(.*)"","""")"),"VEAUCE")</f>
        <v>VEAUCE</v>
      </c>
      <c r="E9972" s="38" t="s">
        <v>160</v>
      </c>
      <c r="F9972" s="38" t="s">
        <v>161</v>
      </c>
      <c r="G9972" s="49" t="str">
        <f t="shared" si="1"/>
        <v>03450</v>
      </c>
      <c r="H9972" s="49" t="str">
        <f t="shared" si="2"/>
        <v>03302</v>
      </c>
    </row>
    <row r="9973">
      <c r="A9973" s="48" t="s">
        <v>3898</v>
      </c>
      <c r="B9973" s="38">
        <v>65057.0</v>
      </c>
      <c r="C9973" s="38" t="s">
        <v>13908</v>
      </c>
      <c r="D9973" s="38" t="str">
        <f>IFERROR(__xludf.DUMMYFUNCTION("REGEXREPLACE(C9973,""-\d+(.*)|--\d+(.*)"","""")"),"AZEREIX")</f>
        <v>AZEREIX</v>
      </c>
      <c r="E9973" s="38" t="s">
        <v>200</v>
      </c>
      <c r="F9973" s="38" t="s">
        <v>94</v>
      </c>
      <c r="G9973" s="49" t="str">
        <f t="shared" si="1"/>
        <v>65380</v>
      </c>
      <c r="H9973" s="49">
        <f t="shared" si="2"/>
        <v>65057</v>
      </c>
    </row>
    <row r="9974">
      <c r="A9974" s="48" t="s">
        <v>2069</v>
      </c>
      <c r="B9974" s="38">
        <v>47141.0</v>
      </c>
      <c r="C9974" s="38" t="s">
        <v>13909</v>
      </c>
      <c r="D9974" s="38" t="str">
        <f>IFERROR(__xludf.DUMMYFUNCTION("REGEXREPLACE(C9974,""-\d+(.*)|--\d+(.*)"","""")"),"LAUSSOU")</f>
        <v>LAUSSOU</v>
      </c>
      <c r="E9974" s="38" t="s">
        <v>251</v>
      </c>
      <c r="F9974" s="38" t="s">
        <v>252</v>
      </c>
      <c r="G9974" s="49" t="str">
        <f t="shared" si="1"/>
        <v>47150</v>
      </c>
      <c r="H9974" s="49">
        <f t="shared" si="2"/>
        <v>47141</v>
      </c>
    </row>
    <row r="9975">
      <c r="A9975" s="48" t="s">
        <v>2817</v>
      </c>
      <c r="B9975" s="38">
        <v>64417.0</v>
      </c>
      <c r="C9975" s="38" t="s">
        <v>13910</v>
      </c>
      <c r="D9975" s="38" t="str">
        <f>IFERROR(__xludf.DUMMYFUNCTION("REGEXREPLACE(C9975,""-\d+(.*)|--\d+(.*)"","""")"),"NAY")</f>
        <v>NAY</v>
      </c>
      <c r="E9975" s="38" t="s">
        <v>268</v>
      </c>
      <c r="F9975" s="38" t="s">
        <v>252</v>
      </c>
      <c r="G9975" s="49" t="str">
        <f t="shared" si="1"/>
        <v>64800</v>
      </c>
      <c r="H9975" s="49">
        <f t="shared" si="2"/>
        <v>64417</v>
      </c>
    </row>
    <row r="9976">
      <c r="A9976" s="48" t="s">
        <v>4384</v>
      </c>
      <c r="B9976" s="38">
        <v>41133.0</v>
      </c>
      <c r="C9976" s="38" t="s">
        <v>13911</v>
      </c>
      <c r="D9976" s="38" t="str">
        <f>IFERROR(__xludf.DUMMYFUNCTION("REGEXREPLACE(C9976,""-\d+(.*)|--\d+(.*)"","""")"),"MEMBROLLES")</f>
        <v>MEMBROLLES</v>
      </c>
      <c r="E9976" s="38" t="s">
        <v>188</v>
      </c>
      <c r="F9976" s="38" t="s">
        <v>123</v>
      </c>
      <c r="G9976" s="49" t="str">
        <f t="shared" si="1"/>
        <v>41240</v>
      </c>
      <c r="H9976" s="49">
        <f t="shared" si="2"/>
        <v>41133</v>
      </c>
    </row>
    <row r="9977">
      <c r="A9977" s="48" t="s">
        <v>1040</v>
      </c>
      <c r="B9977" s="38">
        <v>62166.0</v>
      </c>
      <c r="C9977" s="38" t="s">
        <v>13912</v>
      </c>
      <c r="D9977" s="38" t="str">
        <f>IFERROR(__xludf.DUMMYFUNCTION("REGEXREPLACE(C9977,""-\d+(.*)|--\d+(.*)"","""")"),"BOURS")</f>
        <v>BOURS</v>
      </c>
      <c r="E9977" s="38" t="s">
        <v>109</v>
      </c>
      <c r="F9977" s="38" t="s">
        <v>86</v>
      </c>
      <c r="G9977" s="49" t="str">
        <f t="shared" si="1"/>
        <v>62550</v>
      </c>
      <c r="H9977" s="49">
        <f t="shared" si="2"/>
        <v>62166</v>
      </c>
    </row>
    <row r="9978">
      <c r="A9978" s="48" t="s">
        <v>5230</v>
      </c>
      <c r="B9978" s="38">
        <v>25264.0</v>
      </c>
      <c r="C9978" s="38" t="s">
        <v>13913</v>
      </c>
      <c r="D9978" s="38" t="str">
        <f>IFERROR(__xludf.DUMMYFUNCTION("REGEXREPLACE(C9978,""-\d+(.*)|--\d+(.*)"","""")"),"GEMONVAL")</f>
        <v>GEMONVAL</v>
      </c>
      <c r="E9978" s="38" t="s">
        <v>213</v>
      </c>
      <c r="F9978" s="38" t="s">
        <v>214</v>
      </c>
      <c r="G9978" s="49" t="str">
        <f t="shared" si="1"/>
        <v>25250</v>
      </c>
      <c r="H9978" s="49">
        <f t="shared" si="2"/>
        <v>25264</v>
      </c>
    </row>
    <row r="9979">
      <c r="A9979" s="48" t="s">
        <v>3992</v>
      </c>
      <c r="B9979" s="38">
        <v>46165.0</v>
      </c>
      <c r="C9979" s="38" t="s">
        <v>13914</v>
      </c>
      <c r="D9979" s="38" t="str">
        <f>IFERROR(__xludf.DUMMYFUNCTION("REGEXREPLACE(C9979,""-\d+(.*)|--\d+(.*)"","""")"),"LAVERGNE")</f>
        <v>LAVERGNE</v>
      </c>
      <c r="E9979" s="38" t="s">
        <v>185</v>
      </c>
      <c r="F9979" s="38" t="s">
        <v>94</v>
      </c>
      <c r="G9979" s="49" t="str">
        <f t="shared" si="1"/>
        <v>46500</v>
      </c>
      <c r="H9979" s="49">
        <f t="shared" si="2"/>
        <v>46165</v>
      </c>
    </row>
    <row r="9980">
      <c r="A9980" s="48" t="s">
        <v>2330</v>
      </c>
      <c r="B9980" s="38">
        <v>65400.0</v>
      </c>
      <c r="C9980" s="38" t="s">
        <v>1353</v>
      </c>
      <c r="D9980" s="38" t="str">
        <f>IFERROR(__xludf.DUMMYFUNCTION("REGEXREPLACE(C9980,""-\d+(.*)|--\d+(.*)"","""")"),"SALLES")</f>
        <v>SALLES</v>
      </c>
      <c r="E9980" s="38" t="s">
        <v>200</v>
      </c>
      <c r="F9980" s="38" t="s">
        <v>94</v>
      </c>
      <c r="G9980" s="49" t="str">
        <f t="shared" si="1"/>
        <v>65400</v>
      </c>
      <c r="H9980" s="49">
        <f t="shared" si="2"/>
        <v>65400</v>
      </c>
    </row>
    <row r="9981">
      <c r="A9981" s="48" t="s">
        <v>2905</v>
      </c>
      <c r="B9981" s="38">
        <v>21156.0</v>
      </c>
      <c r="C9981" s="38" t="s">
        <v>13915</v>
      </c>
      <c r="D9981" s="38" t="str">
        <f>IFERROR(__xludf.DUMMYFUNCTION("REGEXREPLACE(C9981,""-\d+(.*)|--\d+(.*)"","""")"),"CHAUDENAY-LE-CHATEAU")</f>
        <v>CHAUDENAY-LE-CHATEAU</v>
      </c>
      <c r="E9981" s="38" t="s">
        <v>105</v>
      </c>
      <c r="F9981" s="38" t="s">
        <v>106</v>
      </c>
      <c r="G9981" s="49" t="str">
        <f t="shared" si="1"/>
        <v>21360</v>
      </c>
      <c r="H9981" s="49">
        <f t="shared" si="2"/>
        <v>21156</v>
      </c>
    </row>
    <row r="9982">
      <c r="A9982" s="48" t="s">
        <v>6875</v>
      </c>
      <c r="B9982" s="38">
        <v>2021.0</v>
      </c>
      <c r="C9982" s="38" t="s">
        <v>13916</v>
      </c>
      <c r="D9982" s="38" t="str">
        <f>IFERROR(__xludf.DUMMYFUNCTION("REGEXREPLACE(C9982,""-\d+(.*)|--\d+(.*)"","""")"),"ARCHON")</f>
        <v>ARCHON</v>
      </c>
      <c r="E9982" s="38" t="s">
        <v>191</v>
      </c>
      <c r="F9982" s="38" t="s">
        <v>113</v>
      </c>
      <c r="G9982" s="49" t="str">
        <f t="shared" si="1"/>
        <v>02360</v>
      </c>
      <c r="H9982" s="49" t="str">
        <f t="shared" si="2"/>
        <v>02021</v>
      </c>
    </row>
    <row r="9983">
      <c r="A9983" s="48" t="s">
        <v>13917</v>
      </c>
      <c r="B9983" s="38">
        <v>87075.0</v>
      </c>
      <c r="C9983" s="38" t="s">
        <v>13918</v>
      </c>
      <c r="D9983" s="38" t="str">
        <f>IFERROR(__xludf.DUMMYFUNCTION("REGEXREPLACE(C9983,""-\d+(.*)|--\d+(.*)"","""")"),"ISLE")</f>
        <v>ISLE</v>
      </c>
      <c r="E9983" s="38" t="s">
        <v>897</v>
      </c>
      <c r="F9983" s="38" t="s">
        <v>98</v>
      </c>
      <c r="G9983" s="49" t="str">
        <f t="shared" si="1"/>
        <v>87170</v>
      </c>
      <c r="H9983" s="49">
        <f t="shared" si="2"/>
        <v>87075</v>
      </c>
    </row>
    <row r="9984">
      <c r="A9984" s="48" t="s">
        <v>2387</v>
      </c>
      <c r="B9984" s="38">
        <v>42105.0</v>
      </c>
      <c r="C9984" s="38" t="s">
        <v>13919</v>
      </c>
      <c r="D9984" s="38" t="str">
        <f>IFERROR(__xludf.DUMMYFUNCTION("REGEXREPLACE(C9984,""-\d+(.*)|--\d+(.*)"","""")"),"GREZIEUX-LE-FROMENTAL")</f>
        <v>GREZIEUX-LE-FROMENTAL</v>
      </c>
      <c r="E9984" s="38" t="s">
        <v>166</v>
      </c>
      <c r="F9984" s="38" t="s">
        <v>102</v>
      </c>
      <c r="G9984" s="49" t="str">
        <f t="shared" si="1"/>
        <v>42600</v>
      </c>
      <c r="H9984" s="49">
        <f t="shared" si="2"/>
        <v>42105</v>
      </c>
    </row>
    <row r="9985">
      <c r="A9985" s="48" t="s">
        <v>1216</v>
      </c>
      <c r="B9985" s="38">
        <v>21420.0</v>
      </c>
      <c r="C9985" s="38" t="s">
        <v>13920</v>
      </c>
      <c r="D9985" s="38" t="str">
        <f>IFERROR(__xludf.DUMMYFUNCTION("REGEXREPLACE(C9985,""-\d+(.*)|--\d+(.*)"","""")"),"MOLINOT")</f>
        <v>MOLINOT</v>
      </c>
      <c r="E9985" s="38" t="s">
        <v>105</v>
      </c>
      <c r="F9985" s="38" t="s">
        <v>106</v>
      </c>
      <c r="G9985" s="49" t="str">
        <f t="shared" si="1"/>
        <v>21340</v>
      </c>
      <c r="H9985" s="49">
        <f t="shared" si="2"/>
        <v>21420</v>
      </c>
    </row>
    <row r="9986">
      <c r="A9986" s="48" t="s">
        <v>667</v>
      </c>
      <c r="B9986" s="38">
        <v>64485.0</v>
      </c>
      <c r="C9986" s="38" t="s">
        <v>13921</v>
      </c>
      <c r="D9986" s="38" t="str">
        <f>IFERROR(__xludf.DUMMYFUNCTION("REGEXREPLACE(C9986,""-\d+(.*)|--\d+(.*)"","""")"),"SAINT-JEAN-PIED-DE-PORT")</f>
        <v>SAINT-JEAN-PIED-DE-PORT</v>
      </c>
      <c r="E9986" s="38" t="s">
        <v>268</v>
      </c>
      <c r="F9986" s="38" t="s">
        <v>252</v>
      </c>
      <c r="G9986" s="49" t="str">
        <f t="shared" si="1"/>
        <v>64220</v>
      </c>
      <c r="H9986" s="49">
        <f t="shared" si="2"/>
        <v>64485</v>
      </c>
    </row>
    <row r="9987">
      <c r="A9987" s="48" t="s">
        <v>2748</v>
      </c>
      <c r="B9987" s="38">
        <v>32233.0</v>
      </c>
      <c r="C9987" s="38" t="s">
        <v>13922</v>
      </c>
      <c r="D9987" s="38" t="str">
        <f>IFERROR(__xludf.DUMMYFUNCTION("REGEXREPLACE(C9987,""-\d+(.*)|--\d+(.*)"","""")"),"MARCIAC")</f>
        <v>MARCIAC</v>
      </c>
      <c r="E9987" s="38" t="s">
        <v>440</v>
      </c>
      <c r="F9987" s="38" t="s">
        <v>94</v>
      </c>
      <c r="G9987" s="49" t="str">
        <f t="shared" si="1"/>
        <v>32230</v>
      </c>
      <c r="H9987" s="49">
        <f t="shared" si="2"/>
        <v>32233</v>
      </c>
    </row>
    <row r="9988">
      <c r="A9988" s="48" t="s">
        <v>2318</v>
      </c>
      <c r="B9988" s="38">
        <v>43096.0</v>
      </c>
      <c r="C9988" s="38" t="s">
        <v>13923</v>
      </c>
      <c r="D9988" s="38" t="str">
        <f>IFERROR(__xludf.DUMMYFUNCTION("REGEXREPLACE(C9988,""-\d+(.*)|--\d+(.*)"","""")"),"FONTANNES")</f>
        <v>FONTANNES</v>
      </c>
      <c r="E9988" s="38" t="s">
        <v>332</v>
      </c>
      <c r="F9988" s="38" t="s">
        <v>161</v>
      </c>
      <c r="G9988" s="49" t="str">
        <f t="shared" si="1"/>
        <v>43100</v>
      </c>
      <c r="H9988" s="49">
        <f t="shared" si="2"/>
        <v>43096</v>
      </c>
    </row>
    <row r="9989">
      <c r="A9989" s="48" t="s">
        <v>1495</v>
      </c>
      <c r="B9989" s="38">
        <v>33168.0</v>
      </c>
      <c r="C9989" s="38" t="s">
        <v>13924</v>
      </c>
      <c r="D9989" s="38" t="str">
        <f>IFERROR(__xludf.DUMMYFUNCTION("REGEXREPLACE(C9989,""-\d+(.*)|--\d+(.*)"","""")"),"FLAUJAGUES")</f>
        <v>FLAUJAGUES</v>
      </c>
      <c r="E9989" s="38" t="s">
        <v>462</v>
      </c>
      <c r="F9989" s="38" t="s">
        <v>252</v>
      </c>
      <c r="G9989" s="49" t="str">
        <f t="shared" si="1"/>
        <v>33350</v>
      </c>
      <c r="H9989" s="49">
        <f t="shared" si="2"/>
        <v>33168</v>
      </c>
    </row>
    <row r="9990">
      <c r="A9990" s="48" t="s">
        <v>3087</v>
      </c>
      <c r="B9990" s="38">
        <v>64526.0</v>
      </c>
      <c r="C9990" s="38" t="s">
        <v>13925</v>
      </c>
      <c r="D9990" s="38" t="str">
        <f>IFERROR(__xludf.DUMMYFUNCTION("REGEXREPLACE(C9990,""-\d+(.*)|--\d+(.*)"","""")"),"SOUMOULOU")</f>
        <v>SOUMOULOU</v>
      </c>
      <c r="E9990" s="38" t="s">
        <v>268</v>
      </c>
      <c r="F9990" s="38" t="s">
        <v>252</v>
      </c>
      <c r="G9990" s="49" t="str">
        <f t="shared" si="1"/>
        <v>64420</v>
      </c>
      <c r="H9990" s="49">
        <f t="shared" si="2"/>
        <v>64526</v>
      </c>
    </row>
    <row r="9991">
      <c r="A9991" s="48" t="s">
        <v>5179</v>
      </c>
      <c r="B9991" s="38">
        <v>10352.0</v>
      </c>
      <c r="C9991" s="38" t="s">
        <v>13926</v>
      </c>
      <c r="D9991" s="38" t="str">
        <f>IFERROR(__xludf.DUMMYFUNCTION("REGEXREPLACE(C9991,""-\d+(.*)|--\d+(.*)"","""")"),"SAINTE-MAURE")</f>
        <v>SAINTE-MAURE</v>
      </c>
      <c r="E9991" s="38" t="s">
        <v>147</v>
      </c>
      <c r="F9991" s="38" t="s">
        <v>130</v>
      </c>
      <c r="G9991" s="49" t="str">
        <f t="shared" si="1"/>
        <v>10150</v>
      </c>
      <c r="H9991" s="49">
        <f t="shared" si="2"/>
        <v>10352</v>
      </c>
    </row>
    <row r="9992">
      <c r="A9992" s="48" t="s">
        <v>1190</v>
      </c>
      <c r="B9992" s="38">
        <v>41262.0</v>
      </c>
      <c r="C9992" s="38" t="s">
        <v>13927</v>
      </c>
      <c r="D9992" s="38" t="str">
        <f>IFERROR(__xludf.DUMMYFUNCTION("REGEXREPLACE(C9992,""-\d+(.*)|--\d+(.*)"","""")"),"TOUR-EN-SOLOGNE")</f>
        <v>TOUR-EN-SOLOGNE</v>
      </c>
      <c r="E9992" s="38" t="s">
        <v>188</v>
      </c>
      <c r="F9992" s="38" t="s">
        <v>123</v>
      </c>
      <c r="G9992" s="49" t="str">
        <f t="shared" si="1"/>
        <v>41250</v>
      </c>
      <c r="H9992" s="49">
        <f t="shared" si="2"/>
        <v>41262</v>
      </c>
    </row>
    <row r="9993">
      <c r="A9993" s="48" t="s">
        <v>2773</v>
      </c>
      <c r="B9993" s="38">
        <v>21154.0</v>
      </c>
      <c r="C9993" s="38" t="s">
        <v>13928</v>
      </c>
      <c r="D9993" s="38" t="str">
        <f>IFERROR(__xludf.DUMMYFUNCTION("REGEXREPLACE(C9993,""-\d+(.*)|--\d+(.*)"","""")"),"CHATILLON-SUR-SEINE")</f>
        <v>CHATILLON-SUR-SEINE</v>
      </c>
      <c r="E9993" s="38" t="s">
        <v>105</v>
      </c>
      <c r="F9993" s="38" t="s">
        <v>106</v>
      </c>
      <c r="G9993" s="49" t="str">
        <f t="shared" si="1"/>
        <v>21400</v>
      </c>
      <c r="H9993" s="49">
        <f t="shared" si="2"/>
        <v>21154</v>
      </c>
    </row>
    <row r="9994">
      <c r="A9994" s="48" t="s">
        <v>6951</v>
      </c>
      <c r="B9994" s="38">
        <v>58004.0</v>
      </c>
      <c r="C9994" s="38" t="s">
        <v>13929</v>
      </c>
      <c r="D9994" s="38" t="str">
        <f>IFERROR(__xludf.DUMMYFUNCTION("REGEXREPLACE(C9994,""-\d+(.*)|--\d+(.*)"","""")"),"ALLUY")</f>
        <v>ALLUY</v>
      </c>
      <c r="E9994" s="38" t="s">
        <v>219</v>
      </c>
      <c r="F9994" s="38" t="s">
        <v>106</v>
      </c>
      <c r="G9994" s="49" t="str">
        <f t="shared" si="1"/>
        <v>58110</v>
      </c>
      <c r="H9994" s="49">
        <f t="shared" si="2"/>
        <v>58004</v>
      </c>
    </row>
    <row r="9995">
      <c r="A9995" s="48" t="s">
        <v>2176</v>
      </c>
      <c r="B9995" s="38">
        <v>62101.0</v>
      </c>
      <c r="C9995" s="38" t="s">
        <v>13930</v>
      </c>
      <c r="D9995" s="38" t="str">
        <f>IFERROR(__xludf.DUMMYFUNCTION("REGEXREPLACE(C9995,""-\d+(.*)|--\d+(.*)"","""")"),"BEAUVOIS")</f>
        <v>BEAUVOIS</v>
      </c>
      <c r="E9995" s="38" t="s">
        <v>109</v>
      </c>
      <c r="F9995" s="38" t="s">
        <v>86</v>
      </c>
      <c r="G9995" s="49" t="str">
        <f t="shared" si="1"/>
        <v>62130</v>
      </c>
      <c r="H9995" s="49">
        <f t="shared" si="2"/>
        <v>62101</v>
      </c>
    </row>
    <row r="9996">
      <c r="A9996" s="48" t="s">
        <v>5288</v>
      </c>
      <c r="B9996" s="38">
        <v>62602.0</v>
      </c>
      <c r="C9996" s="38" t="s">
        <v>13931</v>
      </c>
      <c r="D9996" s="38" t="str">
        <f>IFERROR(__xludf.DUMMYFUNCTION("REGEXREPLACE(C9996,""-\d+(.*)|--\d+(.*)"","""")"),"NEMPONT-SAINT-FIRMIN")</f>
        <v>NEMPONT-SAINT-FIRMIN</v>
      </c>
      <c r="E9996" s="38" t="s">
        <v>109</v>
      </c>
      <c r="F9996" s="38" t="s">
        <v>86</v>
      </c>
      <c r="G9996" s="49" t="str">
        <f t="shared" si="1"/>
        <v>62180</v>
      </c>
      <c r="H9996" s="49">
        <f t="shared" si="2"/>
        <v>62602</v>
      </c>
    </row>
    <row r="9997">
      <c r="A9997" s="48" t="s">
        <v>13932</v>
      </c>
      <c r="B9997" s="38">
        <v>19251.0</v>
      </c>
      <c r="C9997" s="38" t="s">
        <v>13933</v>
      </c>
      <c r="D9997" s="38" t="str">
        <f>IFERROR(__xludf.DUMMYFUNCTION("REGEXREPLACE(C9997,""-\d+(.*)|--\d+(.*)"","""")"),"SARRAN")</f>
        <v>SARRAN</v>
      </c>
      <c r="E9997" s="38" t="s">
        <v>271</v>
      </c>
      <c r="F9997" s="38" t="s">
        <v>98</v>
      </c>
      <c r="G9997" s="49" t="str">
        <f t="shared" si="1"/>
        <v>19800</v>
      </c>
      <c r="H9997" s="49">
        <f t="shared" si="2"/>
        <v>19251</v>
      </c>
    </row>
    <row r="9998">
      <c r="A9998" s="48" t="s">
        <v>1284</v>
      </c>
      <c r="B9998" s="38">
        <v>9250.0</v>
      </c>
      <c r="C9998" s="38" t="s">
        <v>13934</v>
      </c>
      <c r="D9998" s="38" t="str">
        <f>IFERROR(__xludf.DUMMYFUNCTION("REGEXREPLACE(C9998,""-\d+(.*)|--\d+(.*)"","""")"),"ROQUEFORT-LES-CASCADES")</f>
        <v>ROQUEFORT-LES-CASCADES</v>
      </c>
      <c r="E9998" s="38" t="s">
        <v>238</v>
      </c>
      <c r="F9998" s="38" t="s">
        <v>94</v>
      </c>
      <c r="G9998" s="49" t="str">
        <f t="shared" si="1"/>
        <v>09300</v>
      </c>
      <c r="H9998" s="49" t="str">
        <f t="shared" si="2"/>
        <v>09250</v>
      </c>
    </row>
    <row r="9999">
      <c r="A9999" s="48" t="s">
        <v>10908</v>
      </c>
      <c r="B9999" s="38">
        <v>11283.0</v>
      </c>
      <c r="C9999" s="38" t="s">
        <v>13935</v>
      </c>
      <c r="D9999" s="38" t="str">
        <f>IFERROR(__xludf.DUMMYFUNCTION("REGEXREPLACE(C9999,""-\d+(.*)|--\d+(.*)"","""")"),"PEYREFITTE-SUR-L'HERS")</f>
        <v>PEYREFITTE-SUR-L'HERS</v>
      </c>
      <c r="E9999" s="38" t="s">
        <v>278</v>
      </c>
      <c r="F9999" s="38" t="s">
        <v>119</v>
      </c>
      <c r="G9999" s="49" t="str">
        <f t="shared" si="1"/>
        <v>11420</v>
      </c>
      <c r="H9999" s="49">
        <f t="shared" si="2"/>
        <v>11283</v>
      </c>
    </row>
    <row r="10000">
      <c r="A10000" s="48" t="s">
        <v>13936</v>
      </c>
      <c r="B10000" s="38">
        <v>85179.0</v>
      </c>
      <c r="C10000" s="38" t="s">
        <v>13937</v>
      </c>
      <c r="D10000" s="38" t="str">
        <f>IFERROR(__xludf.DUMMYFUNCTION("REGEXREPLACE(C10000,""-\d+(.*)|--\d+(.*)"","""")"),"POIROUX")</f>
        <v>POIROUX</v>
      </c>
      <c r="E10000" s="38" t="s">
        <v>179</v>
      </c>
      <c r="F10000" s="38" t="s">
        <v>180</v>
      </c>
      <c r="G10000" s="49" t="str">
        <f t="shared" si="1"/>
        <v>85440</v>
      </c>
      <c r="H10000" s="49">
        <f t="shared" si="2"/>
        <v>85179</v>
      </c>
    </row>
    <row r="10001">
      <c r="A10001" s="48" t="s">
        <v>6338</v>
      </c>
      <c r="B10001" s="38">
        <v>79214.0</v>
      </c>
      <c r="C10001" s="38" t="s">
        <v>13938</v>
      </c>
      <c r="D10001" s="38" t="str">
        <f>IFERROR(__xludf.DUMMYFUNCTION("REGEXREPLACE(C10001,""-\d+(.*)|--\d+(.*)"","""")"),"POUFFONDS")</f>
        <v>POUFFONDS</v>
      </c>
      <c r="E10001" s="38" t="s">
        <v>337</v>
      </c>
      <c r="F10001" s="38" t="s">
        <v>338</v>
      </c>
      <c r="G10001" s="49" t="str">
        <f t="shared" si="1"/>
        <v>79500</v>
      </c>
      <c r="H10001" s="49">
        <f t="shared" si="2"/>
        <v>79214</v>
      </c>
    </row>
    <row r="10002">
      <c r="A10002" s="48" t="s">
        <v>2249</v>
      </c>
      <c r="B10002" s="38">
        <v>14003.0</v>
      </c>
      <c r="C10002" s="38" t="s">
        <v>13939</v>
      </c>
      <c r="D10002" s="38" t="str">
        <f>IFERROR(__xludf.DUMMYFUNCTION("REGEXREPLACE(C10002,""-\d+(.*)|--\d+(.*)"","""")"),"AGY")</f>
        <v>AGY</v>
      </c>
      <c r="E10002" s="38" t="s">
        <v>137</v>
      </c>
      <c r="F10002" s="38" t="s">
        <v>138</v>
      </c>
      <c r="G10002" s="49" t="str">
        <f t="shared" si="1"/>
        <v>14400</v>
      </c>
      <c r="H10002" s="49">
        <f t="shared" si="2"/>
        <v>14003</v>
      </c>
    </row>
    <row r="10003">
      <c r="A10003" s="48" t="s">
        <v>3486</v>
      </c>
      <c r="B10003" s="38">
        <v>76273.0</v>
      </c>
      <c r="C10003" s="38" t="s">
        <v>13940</v>
      </c>
      <c r="D10003" s="38" t="str">
        <f>IFERROR(__xludf.DUMMYFUNCTION("REGEXREPLACE(C10003,""-\d+(.*)|--\d+(.*)"","""")"),"FONTAINE-SOUS-PREAUX")</f>
        <v>FONTAINE-SOUS-PREAUX</v>
      </c>
      <c r="E10003" s="38" t="s">
        <v>133</v>
      </c>
      <c r="F10003" s="38" t="s">
        <v>134</v>
      </c>
      <c r="G10003" s="49" t="str">
        <f t="shared" si="1"/>
        <v>76160</v>
      </c>
      <c r="H10003" s="49">
        <f t="shared" si="2"/>
        <v>76273</v>
      </c>
    </row>
    <row r="10004">
      <c r="A10004" s="48" t="s">
        <v>4267</v>
      </c>
      <c r="B10004" s="38">
        <v>62247.0</v>
      </c>
      <c r="C10004" s="38" t="s">
        <v>13941</v>
      </c>
      <c r="D10004" s="38" t="str">
        <f>IFERROR(__xludf.DUMMYFUNCTION("REGEXREPLACE(C10004,""-\d+(.*)|--\d+(.*)"","""")"),"COUPELLE-VIEILLE")</f>
        <v>COUPELLE-VIEILLE</v>
      </c>
      <c r="E10004" s="38" t="s">
        <v>109</v>
      </c>
      <c r="F10004" s="38" t="s">
        <v>86</v>
      </c>
      <c r="G10004" s="49" t="str">
        <f t="shared" si="1"/>
        <v>62310</v>
      </c>
      <c r="H10004" s="49">
        <f t="shared" si="2"/>
        <v>62247</v>
      </c>
    </row>
    <row r="10005">
      <c r="A10005" s="48" t="s">
        <v>13942</v>
      </c>
      <c r="B10005" s="38">
        <v>62452.0</v>
      </c>
      <c r="C10005" s="38" t="s">
        <v>13943</v>
      </c>
      <c r="D10005" s="38" t="str">
        <f>IFERROR(__xludf.DUMMYFUNCTION("REGEXREPLACE(C10005,""-\d+(.*)|--\d+(.*)"","""")"),"HEURINGHEM")</f>
        <v>HEURINGHEM</v>
      </c>
      <c r="E10005" s="38" t="s">
        <v>109</v>
      </c>
      <c r="F10005" s="38" t="s">
        <v>86</v>
      </c>
      <c r="G10005" s="49" t="str">
        <f t="shared" si="1"/>
        <v>62575</v>
      </c>
      <c r="H10005" s="49">
        <f t="shared" si="2"/>
        <v>62452</v>
      </c>
    </row>
    <row r="10006">
      <c r="A10006" s="48" t="s">
        <v>6389</v>
      </c>
      <c r="B10006" s="38">
        <v>14135.0</v>
      </c>
      <c r="C10006" s="38" t="s">
        <v>13944</v>
      </c>
      <c r="D10006" s="38" t="str">
        <f>IFERROR(__xludf.DUMMYFUNCTION("REGEXREPLACE(C10006,""-\d+(.*)|--\d+(.*)"","""")"),"CARCAGNY")</f>
        <v>CARCAGNY</v>
      </c>
      <c r="E10006" s="38" t="s">
        <v>137</v>
      </c>
      <c r="F10006" s="38" t="s">
        <v>138</v>
      </c>
      <c r="G10006" s="49" t="str">
        <f t="shared" si="1"/>
        <v>14740</v>
      </c>
      <c r="H10006" s="49">
        <f t="shared" si="2"/>
        <v>14135</v>
      </c>
    </row>
    <row r="10007">
      <c r="A10007" s="48" t="s">
        <v>13945</v>
      </c>
      <c r="B10007" s="38">
        <v>83085.0</v>
      </c>
      <c r="C10007" s="38" t="s">
        <v>13946</v>
      </c>
      <c r="D10007" s="38" t="str">
        <f>IFERROR(__xludf.DUMMYFUNCTION("REGEXREPLACE(C10007,""-\d+(.*)|--\d+(.*)"","""")"),"LA MOTTE")</f>
        <v>LA MOTTE</v>
      </c>
      <c r="E10007" s="38" t="s">
        <v>813</v>
      </c>
      <c r="F10007" s="38" t="s">
        <v>228</v>
      </c>
      <c r="G10007" s="49" t="str">
        <f t="shared" si="1"/>
        <v>83920</v>
      </c>
      <c r="H10007" s="49">
        <f t="shared" si="2"/>
        <v>83085</v>
      </c>
    </row>
    <row r="10008">
      <c r="A10008" s="48" t="s">
        <v>719</v>
      </c>
      <c r="B10008" s="38">
        <v>8248.0</v>
      </c>
      <c r="C10008" s="38" t="s">
        <v>13947</v>
      </c>
      <c r="D10008" s="38" t="str">
        <f>IFERROR(__xludf.DUMMYFUNCTION("REGEXREPLACE(C10008,""-\d+(.*)|--\d+(.*)"","""")"),"LAUNOIS-SUR-VENCE")</f>
        <v>LAUNOIS-SUR-VENCE</v>
      </c>
      <c r="E10008" s="38" t="s">
        <v>327</v>
      </c>
      <c r="F10008" s="38" t="s">
        <v>130</v>
      </c>
      <c r="G10008" s="49" t="str">
        <f t="shared" si="1"/>
        <v>08430</v>
      </c>
      <c r="H10008" s="49" t="str">
        <f t="shared" si="2"/>
        <v>08248</v>
      </c>
    </row>
    <row r="10009">
      <c r="A10009" s="48" t="s">
        <v>522</v>
      </c>
      <c r="B10009" s="38">
        <v>39389.0</v>
      </c>
      <c r="C10009" s="38" t="s">
        <v>13948</v>
      </c>
      <c r="D10009" s="38" t="str">
        <f>IFERROR(__xludf.DUMMYFUNCTION("REGEXREPLACE(C10009,""-\d+(.*)|--\d+(.*)"","""")"),"NEY")</f>
        <v>NEY</v>
      </c>
      <c r="E10009" s="38" t="s">
        <v>400</v>
      </c>
      <c r="F10009" s="38" t="s">
        <v>214</v>
      </c>
      <c r="G10009" s="49" t="str">
        <f t="shared" si="1"/>
        <v>39300</v>
      </c>
      <c r="H10009" s="49">
        <f t="shared" si="2"/>
        <v>39389</v>
      </c>
    </row>
    <row r="10010">
      <c r="A10010" s="48" t="s">
        <v>958</v>
      </c>
      <c r="B10010" s="38">
        <v>71071.0</v>
      </c>
      <c r="C10010" s="38" t="s">
        <v>13949</v>
      </c>
      <c r="D10010" s="38" t="str">
        <f>IFERROR(__xludf.DUMMYFUNCTION("REGEXREPLACE(C10010,""-\d+(.*)|--\d+(.*)"","""")"),"CERON")</f>
        <v>CERON</v>
      </c>
      <c r="E10010" s="38" t="s">
        <v>344</v>
      </c>
      <c r="F10010" s="38" t="s">
        <v>106</v>
      </c>
      <c r="G10010" s="49" t="str">
        <f t="shared" si="1"/>
        <v>71110</v>
      </c>
      <c r="H10010" s="49">
        <f t="shared" si="2"/>
        <v>71071</v>
      </c>
    </row>
    <row r="10011">
      <c r="A10011" s="48" t="s">
        <v>1174</v>
      </c>
      <c r="B10011" s="38">
        <v>51262.0</v>
      </c>
      <c r="C10011" s="38" t="s">
        <v>13950</v>
      </c>
      <c r="D10011" s="38" t="str">
        <f>IFERROR(__xludf.DUMMYFUNCTION("REGEXREPLACE(C10011,""-\d+(.*)|--\d+(.*)"","""")"),"FRIGNICOURT")</f>
        <v>FRIGNICOURT</v>
      </c>
      <c r="E10011" s="38" t="s">
        <v>129</v>
      </c>
      <c r="F10011" s="38" t="s">
        <v>130</v>
      </c>
      <c r="G10011" s="49" t="str">
        <f t="shared" si="1"/>
        <v>51300</v>
      </c>
      <c r="H10011" s="49">
        <f t="shared" si="2"/>
        <v>51262</v>
      </c>
    </row>
    <row r="10012">
      <c r="A10012" s="48" t="s">
        <v>5634</v>
      </c>
      <c r="B10012" s="38">
        <v>72384.0</v>
      </c>
      <c r="C10012" s="38" t="s">
        <v>13951</v>
      </c>
      <c r="D10012" s="38" t="str">
        <f>IFERROR(__xludf.DUMMYFUNCTION("REGEXREPLACE(C10012,""-\d+(.*)|--\d+(.*)"","""")"),"VOUVRAY-SUR-LOIR")</f>
        <v>VOUVRAY-SUR-LOIR</v>
      </c>
      <c r="E10012" s="38" t="s">
        <v>521</v>
      </c>
      <c r="F10012" s="38" t="s">
        <v>180</v>
      </c>
      <c r="G10012" s="49" t="str">
        <f t="shared" si="1"/>
        <v>72500</v>
      </c>
      <c r="H10012" s="49">
        <f t="shared" si="2"/>
        <v>72384</v>
      </c>
    </row>
    <row r="10013">
      <c r="A10013" s="48" t="s">
        <v>1372</v>
      </c>
      <c r="B10013" s="38">
        <v>35154.0</v>
      </c>
      <c r="C10013" s="38" t="s">
        <v>13952</v>
      </c>
      <c r="D10013" s="38" t="str">
        <f>IFERROR(__xludf.DUMMYFUNCTION("REGEXREPLACE(C10013,""-\d+(.*)|--\d+(.*)"","""")"),"LIVRE-SUR-CHANGEON")</f>
        <v>LIVRE-SUR-CHANGEON</v>
      </c>
      <c r="E10013" s="38" t="s">
        <v>347</v>
      </c>
      <c r="F10013" s="38" t="s">
        <v>90</v>
      </c>
      <c r="G10013" s="49" t="str">
        <f t="shared" si="1"/>
        <v>35450</v>
      </c>
      <c r="H10013" s="49">
        <f t="shared" si="2"/>
        <v>35154</v>
      </c>
    </row>
    <row r="10014">
      <c r="A10014" s="48" t="s">
        <v>13460</v>
      </c>
      <c r="B10014" s="38">
        <v>68328.0</v>
      </c>
      <c r="C10014" s="38" t="s">
        <v>13953</v>
      </c>
      <c r="D10014" s="38" t="str">
        <f>IFERROR(__xludf.DUMMYFUNCTION("REGEXREPLACE(C10014,""-\d+(.*)|--\d+(.*)"","""")"),"STORCKENSOHN")</f>
        <v>STORCKENSOHN</v>
      </c>
      <c r="E10014" s="38" t="s">
        <v>150</v>
      </c>
      <c r="F10014" s="38" t="s">
        <v>151</v>
      </c>
      <c r="G10014" s="49" t="str">
        <f t="shared" si="1"/>
        <v>68470</v>
      </c>
      <c r="H10014" s="49">
        <f t="shared" si="2"/>
        <v>68328</v>
      </c>
    </row>
    <row r="10015">
      <c r="A10015" s="48" t="s">
        <v>6125</v>
      </c>
      <c r="B10015" s="38">
        <v>38456.0</v>
      </c>
      <c r="C10015" s="38" t="s">
        <v>13954</v>
      </c>
      <c r="D10015" s="38" t="str">
        <f>IFERROR(__xludf.DUMMYFUNCTION("REGEXREPLACE(C10015,""-\d+(.*)|--\d+(.*)"","""")"),"SAINT-SEBASTIEN")</f>
        <v>SAINT-SEBASTIEN</v>
      </c>
      <c r="E10015" s="38" t="s">
        <v>101</v>
      </c>
      <c r="F10015" s="38" t="s">
        <v>102</v>
      </c>
      <c r="G10015" s="49" t="str">
        <f t="shared" si="1"/>
        <v>38710</v>
      </c>
      <c r="H10015" s="49">
        <f t="shared" si="2"/>
        <v>38456</v>
      </c>
    </row>
    <row r="10016">
      <c r="A10016" s="48" t="s">
        <v>13955</v>
      </c>
      <c r="B10016" s="38">
        <v>40133.0</v>
      </c>
      <c r="C10016" s="38" t="s">
        <v>13956</v>
      </c>
      <c r="D10016" s="38" t="str">
        <f>IFERROR(__xludf.DUMMYFUNCTION("REGEXREPLACE(C10016,""-\d+(.*)|--\d+(.*)"","""")"),"LABENNE")</f>
        <v>LABENNE</v>
      </c>
      <c r="E10016" s="38" t="s">
        <v>281</v>
      </c>
      <c r="F10016" s="38" t="s">
        <v>252</v>
      </c>
      <c r="G10016" s="49" t="str">
        <f t="shared" si="1"/>
        <v>40530</v>
      </c>
      <c r="H10016" s="49">
        <f t="shared" si="2"/>
        <v>40133</v>
      </c>
    </row>
    <row r="10017">
      <c r="A10017" s="48" t="s">
        <v>4576</v>
      </c>
      <c r="B10017" s="38">
        <v>34088.0</v>
      </c>
      <c r="C10017" s="38" t="s">
        <v>13957</v>
      </c>
      <c r="D10017" s="38" t="str">
        <f>IFERROR(__xludf.DUMMYFUNCTION("REGEXREPLACE(C10017,""-\d+(.*)|--\d+(.*)"","""")"),"COURNONTERRAL")</f>
        <v>COURNONTERRAL</v>
      </c>
      <c r="E10017" s="38" t="s">
        <v>118</v>
      </c>
      <c r="F10017" s="38" t="s">
        <v>119</v>
      </c>
      <c r="G10017" s="49" t="str">
        <f t="shared" si="1"/>
        <v>34660</v>
      </c>
      <c r="H10017" s="49">
        <f t="shared" si="2"/>
        <v>34088</v>
      </c>
    </row>
    <row r="10018">
      <c r="A10018" s="48" t="s">
        <v>13958</v>
      </c>
      <c r="B10018" s="38">
        <v>77380.0</v>
      </c>
      <c r="C10018" s="38" t="s">
        <v>13959</v>
      </c>
      <c r="D10018" s="38" t="str">
        <f>IFERROR(__xludf.DUMMYFUNCTION("REGEXREPLACE(C10018,""-\d+(.*)|--\d+(.*)"","""")"),"PUISIEUX")</f>
        <v>PUISIEUX</v>
      </c>
      <c r="E10018" s="38" t="s">
        <v>244</v>
      </c>
      <c r="F10018" s="38" t="s">
        <v>245</v>
      </c>
      <c r="G10018" s="49" t="str">
        <f t="shared" si="1"/>
        <v>77139</v>
      </c>
      <c r="H10018" s="49">
        <f t="shared" si="2"/>
        <v>77380</v>
      </c>
    </row>
    <row r="10019">
      <c r="A10019" s="48" t="s">
        <v>1439</v>
      </c>
      <c r="B10019" s="38">
        <v>28415.0</v>
      </c>
      <c r="C10019" s="38" t="s">
        <v>13960</v>
      </c>
      <c r="D10019" s="38" t="str">
        <f>IFERROR(__xludf.DUMMYFUNCTION("REGEXREPLACE(C10019,""-\d+(.*)|--\d+(.*)"","""")"),"VILLEMEUX-SUR-EURE")</f>
        <v>VILLEMEUX-SUR-EURE</v>
      </c>
      <c r="E10019" s="38" t="s">
        <v>300</v>
      </c>
      <c r="F10019" s="38" t="s">
        <v>123</v>
      </c>
      <c r="G10019" s="49" t="str">
        <f t="shared" si="1"/>
        <v>28210</v>
      </c>
      <c r="H10019" s="49">
        <f t="shared" si="2"/>
        <v>28415</v>
      </c>
    </row>
    <row r="10020">
      <c r="A10020" s="48" t="s">
        <v>5268</v>
      </c>
      <c r="B10020" s="38">
        <v>49136.0</v>
      </c>
      <c r="C10020" s="38" t="s">
        <v>13961</v>
      </c>
      <c r="D10020" s="38" t="str">
        <f>IFERROR(__xludf.DUMMYFUNCTION("REGEXREPLACE(C10020,""-\d+(.*)|--\d+(.*)"","""")"),"LA FERRIERE-DE-FLEE")</f>
        <v>LA FERRIERE-DE-FLEE</v>
      </c>
      <c r="E10020" s="38" t="s">
        <v>653</v>
      </c>
      <c r="F10020" s="38" t="s">
        <v>180</v>
      </c>
      <c r="G10020" s="49" t="str">
        <f t="shared" si="1"/>
        <v>49500</v>
      </c>
      <c r="H10020" s="49">
        <f t="shared" si="2"/>
        <v>49136</v>
      </c>
    </row>
    <row r="10021">
      <c r="A10021" s="48" t="s">
        <v>13962</v>
      </c>
      <c r="B10021" s="38">
        <v>69227.0</v>
      </c>
      <c r="C10021" s="38" t="s">
        <v>13963</v>
      </c>
      <c r="D10021" s="38" t="str">
        <f>IFERROR(__xludf.DUMMYFUNCTION("REGEXREPLACE(C10021,""-\d+(.*)|--\d+(.*)"","""")"),"SAINT-MARTIN-EN-HAUT")</f>
        <v>SAINT-MARTIN-EN-HAUT</v>
      </c>
      <c r="E10021" s="38" t="s">
        <v>350</v>
      </c>
      <c r="F10021" s="38" t="s">
        <v>102</v>
      </c>
      <c r="G10021" s="49" t="str">
        <f t="shared" si="1"/>
        <v>69850</v>
      </c>
      <c r="H10021" s="49">
        <f t="shared" si="2"/>
        <v>69227</v>
      </c>
    </row>
    <row r="10022">
      <c r="A10022" s="48" t="s">
        <v>2318</v>
      </c>
      <c r="B10022" s="38">
        <v>43206.0</v>
      </c>
      <c r="C10022" s="38" t="s">
        <v>13964</v>
      </c>
      <c r="D10022" s="38" t="str">
        <f>IFERROR(__xludf.DUMMYFUNCTION("REGEXREPLACE(C10022,""-\d+(.*)|--\d+(.*)"","""")"),"SAINT-JUST-PRES-BRIOUDE")</f>
        <v>SAINT-JUST-PRES-BRIOUDE</v>
      </c>
      <c r="E10022" s="38" t="s">
        <v>332</v>
      </c>
      <c r="F10022" s="38" t="s">
        <v>161</v>
      </c>
      <c r="G10022" s="49" t="str">
        <f t="shared" si="1"/>
        <v>43100</v>
      </c>
      <c r="H10022" s="49">
        <f t="shared" si="2"/>
        <v>43206</v>
      </c>
    </row>
    <row r="10023">
      <c r="A10023" s="48" t="s">
        <v>8873</v>
      </c>
      <c r="B10023" s="38">
        <v>34272.0</v>
      </c>
      <c r="C10023" s="38" t="s">
        <v>13965</v>
      </c>
      <c r="D10023" s="38" t="str">
        <f>IFERROR(__xludf.DUMMYFUNCTION("REGEXREPLACE(C10023,""-\d+(.*)|--\d+(.*)"","""")"),"SAINT-JUST")</f>
        <v>SAINT-JUST</v>
      </c>
      <c r="E10023" s="38" t="s">
        <v>118</v>
      </c>
      <c r="F10023" s="38" t="s">
        <v>119</v>
      </c>
      <c r="G10023" s="49" t="str">
        <f t="shared" si="1"/>
        <v>34400</v>
      </c>
      <c r="H10023" s="49">
        <f t="shared" si="2"/>
        <v>34272</v>
      </c>
    </row>
    <row r="10024">
      <c r="A10024" s="48" t="s">
        <v>3912</v>
      </c>
      <c r="B10024" s="38">
        <v>38511.0</v>
      </c>
      <c r="C10024" s="38" t="s">
        <v>13966</v>
      </c>
      <c r="D10024" s="38" t="str">
        <f>IFERROR(__xludf.DUMMYFUNCTION("REGEXREPLACE(C10024,""-\d+(.*)|--\d+(.*)"","""")"),"LE TOUVET")</f>
        <v>LE TOUVET</v>
      </c>
      <c r="E10024" s="38" t="s">
        <v>101</v>
      </c>
      <c r="F10024" s="38" t="s">
        <v>102</v>
      </c>
      <c r="G10024" s="49" t="str">
        <f t="shared" si="1"/>
        <v>38660</v>
      </c>
      <c r="H10024" s="49">
        <f t="shared" si="2"/>
        <v>38511</v>
      </c>
    </row>
    <row r="10025">
      <c r="A10025" s="48" t="s">
        <v>2254</v>
      </c>
      <c r="B10025" s="38">
        <v>62392.0</v>
      </c>
      <c r="C10025" s="38" t="s">
        <v>13967</v>
      </c>
      <c r="D10025" s="38" t="str">
        <f>IFERROR(__xludf.DUMMYFUNCTION("REGEXREPLACE(C10025,""-\d+(.*)|--\d+(.*)"","""")"),"GUEMAPPE")</f>
        <v>GUEMAPPE</v>
      </c>
      <c r="E10025" s="38" t="s">
        <v>109</v>
      </c>
      <c r="F10025" s="38" t="s">
        <v>86</v>
      </c>
      <c r="G10025" s="49" t="str">
        <f t="shared" si="1"/>
        <v>62128</v>
      </c>
      <c r="H10025" s="49">
        <f t="shared" si="2"/>
        <v>62392</v>
      </c>
    </row>
    <row r="10026">
      <c r="A10026" s="48" t="s">
        <v>13968</v>
      </c>
      <c r="B10026" s="38">
        <v>50239.0</v>
      </c>
      <c r="C10026" s="38" t="s">
        <v>13969</v>
      </c>
      <c r="D10026" s="38" t="str">
        <f>IFERROR(__xludf.DUMMYFUNCTION("REGEXREPLACE(C10026,""-\d+(.*)|--\d+(.*)"","""")"),"HEBECREVON")</f>
        <v>HEBECREVON</v>
      </c>
      <c r="E10026" s="38" t="s">
        <v>157</v>
      </c>
      <c r="F10026" s="38" t="s">
        <v>138</v>
      </c>
      <c r="G10026" s="49" t="str">
        <f t="shared" si="1"/>
        <v>50180</v>
      </c>
      <c r="H10026" s="49">
        <f t="shared" si="2"/>
        <v>50239</v>
      </c>
    </row>
    <row r="10027">
      <c r="A10027" s="48" t="s">
        <v>1389</v>
      </c>
      <c r="B10027" s="38">
        <v>5168.0</v>
      </c>
      <c r="C10027" s="38" t="s">
        <v>13970</v>
      </c>
      <c r="D10027" s="38" t="str">
        <f>IFERROR(__xludf.DUMMYFUNCTION("REGEXREPLACE(C10027,""-\d+(.*)|--\d+(.*)"","""")"),"SIGOYER")</f>
        <v>SIGOYER</v>
      </c>
      <c r="E10027" s="38" t="s">
        <v>706</v>
      </c>
      <c r="F10027" s="38" t="s">
        <v>228</v>
      </c>
      <c r="G10027" s="49" t="str">
        <f t="shared" si="1"/>
        <v>05130</v>
      </c>
      <c r="H10027" s="49" t="str">
        <f t="shared" si="2"/>
        <v>05168</v>
      </c>
    </row>
    <row r="10028">
      <c r="A10028" s="48" t="s">
        <v>7496</v>
      </c>
      <c r="B10028" s="38">
        <v>62609.0</v>
      </c>
      <c r="C10028" s="38" t="s">
        <v>13971</v>
      </c>
      <c r="D10028" s="38" t="str">
        <f>IFERROR(__xludf.DUMMYFUNCTION("REGEXREPLACE(C10028,""-\d+(.*)|--\d+(.*)"","""")"),"NEUVILLE-SAINT-VAAST")</f>
        <v>NEUVILLE-SAINT-VAAST</v>
      </c>
      <c r="E10028" s="38" t="s">
        <v>109</v>
      </c>
      <c r="F10028" s="38" t="s">
        <v>86</v>
      </c>
      <c r="G10028" s="49" t="str">
        <f t="shared" si="1"/>
        <v>62580</v>
      </c>
      <c r="H10028" s="49">
        <f t="shared" si="2"/>
        <v>62609</v>
      </c>
    </row>
    <row r="10029">
      <c r="A10029" s="48" t="s">
        <v>13972</v>
      </c>
      <c r="B10029" s="38">
        <v>54303.0</v>
      </c>
      <c r="C10029" s="38" t="s">
        <v>13973</v>
      </c>
      <c r="D10029" s="38" t="str">
        <f>IFERROR(__xludf.DUMMYFUNCTION("REGEXREPLACE(C10029,""-\d+(.*)|--\d+(.*)"","""")"),"LARONXE")</f>
        <v>LARONXE</v>
      </c>
      <c r="E10029" s="38" t="s">
        <v>548</v>
      </c>
      <c r="F10029" s="38" t="s">
        <v>195</v>
      </c>
      <c r="G10029" s="49" t="str">
        <f t="shared" si="1"/>
        <v>54950</v>
      </c>
      <c r="H10029" s="49">
        <f t="shared" si="2"/>
        <v>54303</v>
      </c>
    </row>
    <row r="10030">
      <c r="A10030" s="48" t="s">
        <v>8418</v>
      </c>
      <c r="B10030" s="38">
        <v>80788.0</v>
      </c>
      <c r="C10030" s="38" t="s">
        <v>13974</v>
      </c>
      <c r="D10030" s="38" t="str">
        <f>IFERROR(__xludf.DUMMYFUNCTION("REGEXREPLACE(C10030,""-\d+(.*)|--\d+(.*)"","""")"),"VERGIES")</f>
        <v>VERGIES</v>
      </c>
      <c r="E10030" s="38" t="s">
        <v>224</v>
      </c>
      <c r="F10030" s="38" t="s">
        <v>113</v>
      </c>
      <c r="G10030" s="49" t="str">
        <f t="shared" si="1"/>
        <v>80270</v>
      </c>
      <c r="H10030" s="49">
        <f t="shared" si="2"/>
        <v>80788</v>
      </c>
    </row>
    <row r="10031">
      <c r="A10031" s="48" t="s">
        <v>10346</v>
      </c>
      <c r="B10031" s="38">
        <v>59085.0</v>
      </c>
      <c r="C10031" s="38" t="s">
        <v>13975</v>
      </c>
      <c r="D10031" s="38" t="str">
        <f>IFERROR(__xludf.DUMMYFUNCTION("REGEXREPLACE(C10031,""-\d+(.*)|--\d+(.*)"","""")"),"BLECOURT")</f>
        <v>BLECOURT</v>
      </c>
      <c r="E10031" s="38" t="s">
        <v>85</v>
      </c>
      <c r="F10031" s="38" t="s">
        <v>86</v>
      </c>
      <c r="G10031" s="49" t="str">
        <f t="shared" si="1"/>
        <v>59268</v>
      </c>
      <c r="H10031" s="49">
        <f t="shared" si="2"/>
        <v>59085</v>
      </c>
    </row>
    <row r="10032">
      <c r="A10032" s="48" t="s">
        <v>110</v>
      </c>
      <c r="B10032" s="38">
        <v>60235.0</v>
      </c>
      <c r="C10032" s="38" t="s">
        <v>13976</v>
      </c>
      <c r="D10032" s="38" t="str">
        <f>IFERROR(__xludf.DUMMYFUNCTION("REGEXREPLACE(C10032,""-\d+(.*)|--\d+(.*)"","""")"),"FLAVACOURT")</f>
        <v>FLAVACOURT</v>
      </c>
      <c r="E10032" s="38" t="s">
        <v>112</v>
      </c>
      <c r="F10032" s="38" t="s">
        <v>113</v>
      </c>
      <c r="G10032" s="49" t="str">
        <f t="shared" si="1"/>
        <v>60590</v>
      </c>
      <c r="H10032" s="49">
        <f t="shared" si="2"/>
        <v>60235</v>
      </c>
    </row>
    <row r="10033">
      <c r="A10033" s="48" t="s">
        <v>4830</v>
      </c>
      <c r="B10033" s="38">
        <v>61243.0</v>
      </c>
      <c r="C10033" s="38" t="s">
        <v>13977</v>
      </c>
      <c r="D10033" s="38" t="str">
        <f>IFERROR(__xludf.DUMMYFUNCTION("REGEXREPLACE(C10033,""-\d+(.*)|--\d+(.*)"","""")"),"MAGNY-LE-DESERT")</f>
        <v>MAGNY-LE-DESERT</v>
      </c>
      <c r="E10033" s="38" t="s">
        <v>141</v>
      </c>
      <c r="F10033" s="38" t="s">
        <v>138</v>
      </c>
      <c r="G10033" s="49" t="str">
        <f t="shared" si="1"/>
        <v>61600</v>
      </c>
      <c r="H10033" s="49">
        <f t="shared" si="2"/>
        <v>61243</v>
      </c>
    </row>
    <row r="10034">
      <c r="A10034" s="48" t="s">
        <v>2379</v>
      </c>
      <c r="B10034" s="38">
        <v>65384.0</v>
      </c>
      <c r="C10034" s="38" t="s">
        <v>13978</v>
      </c>
      <c r="D10034" s="38" t="str">
        <f>IFERROR(__xludf.DUMMYFUNCTION("REGEXREPLACE(C10034,""-\d+(.*)|--\d+(.*)"","""")"),"SAILHAN")</f>
        <v>SAILHAN</v>
      </c>
      <c r="E10034" s="38" t="s">
        <v>200</v>
      </c>
      <c r="F10034" s="38" t="s">
        <v>94</v>
      </c>
      <c r="G10034" s="49" t="str">
        <f t="shared" si="1"/>
        <v>65170</v>
      </c>
      <c r="H10034" s="49">
        <f t="shared" si="2"/>
        <v>65384</v>
      </c>
    </row>
    <row r="10035">
      <c r="A10035" s="48" t="s">
        <v>7763</v>
      </c>
      <c r="B10035" s="38">
        <v>89253.0</v>
      </c>
      <c r="C10035" s="38" t="s">
        <v>13979</v>
      </c>
      <c r="D10035" s="38" t="str">
        <f>IFERROR(__xludf.DUMMYFUNCTION("REGEXREPLACE(C10035,""-\d+(.*)|--\d+(.*)"","""")"),"MERRY-SUR-YONNE")</f>
        <v>MERRY-SUR-YONNE</v>
      </c>
      <c r="E10035" s="38" t="s">
        <v>275</v>
      </c>
      <c r="F10035" s="38" t="s">
        <v>106</v>
      </c>
      <c r="G10035" s="49" t="str">
        <f t="shared" si="1"/>
        <v>89660</v>
      </c>
      <c r="H10035" s="49">
        <f t="shared" si="2"/>
        <v>89253</v>
      </c>
    </row>
    <row r="10036">
      <c r="A10036" s="48" t="s">
        <v>4594</v>
      </c>
      <c r="B10036" s="38">
        <v>62329.0</v>
      </c>
      <c r="C10036" s="38" t="s">
        <v>13980</v>
      </c>
      <c r="D10036" s="38" t="str">
        <f>IFERROR(__xludf.DUMMYFUNCTION("REGEXREPLACE(C10036,""-\d+(.*)|--\d+(.*)"","""")"),"FERQUES")</f>
        <v>FERQUES</v>
      </c>
      <c r="E10036" s="38" t="s">
        <v>109</v>
      </c>
      <c r="F10036" s="38" t="s">
        <v>86</v>
      </c>
      <c r="G10036" s="49" t="str">
        <f t="shared" si="1"/>
        <v>62250</v>
      </c>
      <c r="H10036" s="49">
        <f t="shared" si="2"/>
        <v>62329</v>
      </c>
    </row>
    <row r="10037">
      <c r="A10037" s="48" t="s">
        <v>3450</v>
      </c>
      <c r="B10037" s="38">
        <v>60118.0</v>
      </c>
      <c r="C10037" s="38" t="s">
        <v>13981</v>
      </c>
      <c r="D10037" s="38" t="str">
        <f>IFERROR(__xludf.DUMMYFUNCTION("REGEXREPLACE(C10037,""-\d+(.*)|--\d+(.*)"","""")"),"CAISNES")</f>
        <v>CAISNES</v>
      </c>
      <c r="E10037" s="38" t="s">
        <v>112</v>
      </c>
      <c r="F10037" s="38" t="s">
        <v>113</v>
      </c>
      <c r="G10037" s="49" t="str">
        <f t="shared" si="1"/>
        <v>60400</v>
      </c>
      <c r="H10037" s="49">
        <f t="shared" si="2"/>
        <v>60118</v>
      </c>
    </row>
    <row r="10038">
      <c r="A10038" s="48" t="s">
        <v>2746</v>
      </c>
      <c r="B10038" s="38">
        <v>38133.0</v>
      </c>
      <c r="C10038" s="38" t="s">
        <v>13982</v>
      </c>
      <c r="D10038" s="38" t="str">
        <f>IFERROR(__xludf.DUMMYFUNCTION("REGEXREPLACE(C10038,""-\d+(.*)|--\d+(.*)"","""")"),"COUBLEVIE")</f>
        <v>COUBLEVIE</v>
      </c>
      <c r="E10038" s="38" t="s">
        <v>101</v>
      </c>
      <c r="F10038" s="38" t="s">
        <v>102</v>
      </c>
      <c r="G10038" s="49" t="str">
        <f t="shared" si="1"/>
        <v>38500</v>
      </c>
      <c r="H10038" s="49">
        <f t="shared" si="2"/>
        <v>38133</v>
      </c>
    </row>
    <row r="10039">
      <c r="A10039" s="48" t="s">
        <v>3714</v>
      </c>
      <c r="B10039" s="38">
        <v>28122.0</v>
      </c>
      <c r="C10039" s="38" t="s">
        <v>13983</v>
      </c>
      <c r="D10039" s="38" t="str">
        <f>IFERROR(__xludf.DUMMYFUNCTION("REGEXREPLACE(C10039,""-\d+(.*)|--\d+(.*)"","""")"),"DAMMARIE")</f>
        <v>DAMMARIE</v>
      </c>
      <c r="E10039" s="38" t="s">
        <v>300</v>
      </c>
      <c r="F10039" s="38" t="s">
        <v>123</v>
      </c>
      <c r="G10039" s="49" t="str">
        <f t="shared" si="1"/>
        <v>28360</v>
      </c>
      <c r="H10039" s="49">
        <f t="shared" si="2"/>
        <v>28122</v>
      </c>
    </row>
    <row r="10040">
      <c r="A10040" s="48" t="s">
        <v>5759</v>
      </c>
      <c r="B10040" s="38">
        <v>59226.0</v>
      </c>
      <c r="C10040" s="38" t="s">
        <v>13984</v>
      </c>
      <c r="D10040" s="38" t="str">
        <f>IFERROR(__xludf.DUMMYFUNCTION("REGEXREPLACE(C10040,""-\d+(.*)|--\d+(.*)"","""")"),"FELLERIES")</f>
        <v>FELLERIES</v>
      </c>
      <c r="E10040" s="38" t="s">
        <v>85</v>
      </c>
      <c r="F10040" s="38" t="s">
        <v>86</v>
      </c>
      <c r="G10040" s="49" t="str">
        <f t="shared" si="1"/>
        <v>59740</v>
      </c>
      <c r="H10040" s="49">
        <f t="shared" si="2"/>
        <v>59226</v>
      </c>
    </row>
    <row r="10041">
      <c r="A10041" s="48" t="s">
        <v>9430</v>
      </c>
      <c r="B10041" s="38">
        <v>24175.0</v>
      </c>
      <c r="C10041" s="38" t="s">
        <v>13985</v>
      </c>
      <c r="D10041" s="38" t="str">
        <f>IFERROR(__xludf.DUMMYFUNCTION("REGEXREPLACE(C10041,""-\d+(.*)|--\d+(.*)"","""")"),"LES FARGES")</f>
        <v>LES FARGES</v>
      </c>
      <c r="E10041" s="38" t="s">
        <v>261</v>
      </c>
      <c r="F10041" s="38" t="s">
        <v>252</v>
      </c>
      <c r="G10041" s="49" t="str">
        <f t="shared" si="1"/>
        <v>24290</v>
      </c>
      <c r="H10041" s="49">
        <f t="shared" si="2"/>
        <v>24175</v>
      </c>
    </row>
    <row r="10042">
      <c r="A10042" s="48" t="s">
        <v>6301</v>
      </c>
      <c r="B10042" s="38">
        <v>81073.0</v>
      </c>
      <c r="C10042" s="38" t="s">
        <v>13986</v>
      </c>
      <c r="D10042" s="38" t="str">
        <f>IFERROR(__xludf.DUMMYFUNCTION("REGEXREPLACE(C10042,""-\d+(.*)|--\d+(.*)"","""")"),"CRESPINET")</f>
        <v>CRESPINET</v>
      </c>
      <c r="E10042" s="38" t="s">
        <v>231</v>
      </c>
      <c r="F10042" s="38" t="s">
        <v>94</v>
      </c>
      <c r="G10042" s="49" t="str">
        <f t="shared" si="1"/>
        <v>81350</v>
      </c>
      <c r="H10042" s="49">
        <f t="shared" si="2"/>
        <v>81073</v>
      </c>
    </row>
    <row r="10043">
      <c r="A10043" s="48" t="s">
        <v>2266</v>
      </c>
      <c r="B10043" s="38">
        <v>55060.0</v>
      </c>
      <c r="C10043" s="38" t="s">
        <v>13987</v>
      </c>
      <c r="D10043" s="38" t="str">
        <f>IFERROR(__xludf.DUMMYFUNCTION("REGEXREPLACE(C10043,""-\d+(.*)|--\d+(.*)"","""")"),"BONZEE")</f>
        <v>BONZEE</v>
      </c>
      <c r="E10043" s="38" t="s">
        <v>322</v>
      </c>
      <c r="F10043" s="38" t="s">
        <v>195</v>
      </c>
      <c r="G10043" s="49" t="str">
        <f t="shared" si="1"/>
        <v>55160</v>
      </c>
      <c r="H10043" s="49">
        <f t="shared" si="2"/>
        <v>55060</v>
      </c>
    </row>
    <row r="10044">
      <c r="A10044" s="48" t="s">
        <v>5772</v>
      </c>
      <c r="B10044" s="38">
        <v>43044.0</v>
      </c>
      <c r="C10044" s="38" t="s">
        <v>13988</v>
      </c>
      <c r="D10044" s="38" t="str">
        <f>IFERROR(__xludf.DUMMYFUNCTION("REGEXREPLACE(C10044,""-\d+(.*)|--\d+(.*)"","""")"),"CERZAT")</f>
        <v>CERZAT</v>
      </c>
      <c r="E10044" s="38" t="s">
        <v>332</v>
      </c>
      <c r="F10044" s="38" t="s">
        <v>161</v>
      </c>
      <c r="G10044" s="49" t="str">
        <f t="shared" si="1"/>
        <v>43380</v>
      </c>
      <c r="H10044" s="49">
        <f t="shared" si="2"/>
        <v>43044</v>
      </c>
    </row>
    <row r="10045">
      <c r="A10045" s="48" t="s">
        <v>5070</v>
      </c>
      <c r="B10045" s="38">
        <v>79349.0</v>
      </c>
      <c r="C10045" s="38" t="s">
        <v>13989</v>
      </c>
      <c r="D10045" s="38" t="str">
        <f>IFERROR(__xludf.DUMMYFUNCTION("REGEXREPLACE(C10045,""-\d+(.*)|--\d+(.*)"","""")"),"VILLEMAIN")</f>
        <v>VILLEMAIN</v>
      </c>
      <c r="E10045" s="38" t="s">
        <v>337</v>
      </c>
      <c r="F10045" s="38" t="s">
        <v>338</v>
      </c>
      <c r="G10045" s="49" t="str">
        <f t="shared" si="1"/>
        <v>79110</v>
      </c>
      <c r="H10045" s="49">
        <f t="shared" si="2"/>
        <v>79349</v>
      </c>
    </row>
    <row r="10046">
      <c r="A10046" s="48" t="s">
        <v>12269</v>
      </c>
      <c r="B10046" s="38">
        <v>86062.0</v>
      </c>
      <c r="C10046" s="38" t="s">
        <v>13990</v>
      </c>
      <c r="D10046" s="38" t="str">
        <f>IFERROR(__xludf.DUMMYFUNCTION("REGEXREPLACE(C10046,""-\d+(.*)|--\d+(.*)"","""")"),"CHASSENEUIL-DU-POITOU")</f>
        <v>CHASSENEUIL-DU-POITOU</v>
      </c>
      <c r="E10046" s="38" t="s">
        <v>529</v>
      </c>
      <c r="F10046" s="38" t="s">
        <v>338</v>
      </c>
      <c r="G10046" s="49" t="str">
        <f t="shared" si="1"/>
        <v>86360</v>
      </c>
      <c r="H10046" s="49">
        <f t="shared" si="2"/>
        <v>86062</v>
      </c>
    </row>
    <row r="10047">
      <c r="A10047" s="48" t="s">
        <v>3344</v>
      </c>
      <c r="B10047" s="38">
        <v>76002.0</v>
      </c>
      <c r="C10047" s="38" t="s">
        <v>13991</v>
      </c>
      <c r="D10047" s="38" t="str">
        <f>IFERROR(__xludf.DUMMYFUNCTION("REGEXREPLACE(C10047,""-\d+(.*)|--\d+(.*)"","""")"),"ALVIMARE")</f>
        <v>ALVIMARE</v>
      </c>
      <c r="E10047" s="38" t="s">
        <v>133</v>
      </c>
      <c r="F10047" s="38" t="s">
        <v>134</v>
      </c>
      <c r="G10047" s="49" t="str">
        <f t="shared" si="1"/>
        <v>76640</v>
      </c>
      <c r="H10047" s="49">
        <f t="shared" si="2"/>
        <v>76002</v>
      </c>
    </row>
    <row r="10048">
      <c r="A10048" s="48" t="s">
        <v>8359</v>
      </c>
      <c r="B10048" s="38">
        <v>89438.0</v>
      </c>
      <c r="C10048" s="38" t="s">
        <v>13992</v>
      </c>
      <c r="D10048" s="38" t="str">
        <f>IFERROR(__xludf.DUMMYFUNCTION("REGEXREPLACE(C10048,""-\d+(.*)|--\d+(.*)"","""")"),"VENOY")</f>
        <v>VENOY</v>
      </c>
      <c r="E10048" s="38" t="s">
        <v>275</v>
      </c>
      <c r="F10048" s="38" t="s">
        <v>106</v>
      </c>
      <c r="G10048" s="49" t="str">
        <f t="shared" si="1"/>
        <v>89290</v>
      </c>
      <c r="H10048" s="49">
        <f t="shared" si="2"/>
        <v>89438</v>
      </c>
    </row>
    <row r="10049">
      <c r="A10049" s="48" t="s">
        <v>13993</v>
      </c>
      <c r="B10049" s="38">
        <v>87019.0</v>
      </c>
      <c r="C10049" s="38" t="s">
        <v>13994</v>
      </c>
      <c r="D10049" s="38" t="str">
        <f>IFERROR(__xludf.DUMMYFUNCTION("REGEXREPLACE(C10049,""-\d+(.*)|--\d+(.*)"","""")"),"BOISSEUIL")</f>
        <v>BOISSEUIL</v>
      </c>
      <c r="E10049" s="38" t="s">
        <v>897</v>
      </c>
      <c r="F10049" s="38" t="s">
        <v>98</v>
      </c>
      <c r="G10049" s="49" t="str">
        <f t="shared" si="1"/>
        <v>87220</v>
      </c>
      <c r="H10049" s="49">
        <f t="shared" si="2"/>
        <v>87019</v>
      </c>
    </row>
    <row r="10050">
      <c r="A10050" s="48" t="s">
        <v>505</v>
      </c>
      <c r="B10050" s="38">
        <v>12256.0</v>
      </c>
      <c r="C10050" s="38" t="s">
        <v>13995</v>
      </c>
      <c r="D10050" s="38" t="str">
        <f>IFERROR(__xludf.DUMMYFUNCTION("REGEXREPLACE(C10050,""-\d+(.*)|--\d+(.*)"","""")"),"SALVAGNAC-CAJARC")</f>
        <v>SALVAGNAC-CAJARC</v>
      </c>
      <c r="E10050" s="38" t="s">
        <v>465</v>
      </c>
      <c r="F10050" s="38" t="s">
        <v>94</v>
      </c>
      <c r="G10050" s="49" t="str">
        <f t="shared" si="1"/>
        <v>12260</v>
      </c>
      <c r="H10050" s="49">
        <f t="shared" si="2"/>
        <v>12256</v>
      </c>
    </row>
    <row r="10051">
      <c r="A10051" s="48" t="s">
        <v>3838</v>
      </c>
      <c r="B10051" s="38">
        <v>27594.0</v>
      </c>
      <c r="C10051" s="38" t="s">
        <v>13996</v>
      </c>
      <c r="D10051" s="38" t="str">
        <f>IFERROR(__xludf.DUMMYFUNCTION("REGEXREPLACE(C10051,""-\d+(.*)|--\d+(.*)"","""")"),"SAINT-PIERRE-DES-IFS")</f>
        <v>SAINT-PIERRE-DES-IFS</v>
      </c>
      <c r="E10051" s="38" t="s">
        <v>241</v>
      </c>
      <c r="F10051" s="38" t="s">
        <v>134</v>
      </c>
      <c r="G10051" s="49" t="str">
        <f t="shared" si="1"/>
        <v>27450</v>
      </c>
      <c r="H10051" s="49">
        <f t="shared" si="2"/>
        <v>27594</v>
      </c>
    </row>
    <row r="10052">
      <c r="A10052" s="48" t="s">
        <v>13997</v>
      </c>
      <c r="B10052" s="38">
        <v>32274.0</v>
      </c>
      <c r="C10052" s="38" t="s">
        <v>13998</v>
      </c>
      <c r="D10052" s="38" t="str">
        <f>IFERROR(__xludf.DUMMYFUNCTION("REGEXREPLACE(C10052,""-\d+(.*)|--\d+(.*)"","""")"),"MONLEZUN-D'ARMAGNAC")</f>
        <v>MONLEZUN-D'ARMAGNAC</v>
      </c>
      <c r="E10052" s="38" t="s">
        <v>440</v>
      </c>
      <c r="F10052" s="38" t="s">
        <v>94</v>
      </c>
      <c r="G10052" s="49" t="str">
        <f t="shared" si="1"/>
        <v>32240</v>
      </c>
      <c r="H10052" s="49">
        <f t="shared" si="2"/>
        <v>32274</v>
      </c>
    </row>
    <row r="10053">
      <c r="A10053" s="48" t="s">
        <v>8904</v>
      </c>
      <c r="B10053" s="38">
        <v>48131.0</v>
      </c>
      <c r="C10053" s="38" t="s">
        <v>13999</v>
      </c>
      <c r="D10053" s="38" t="str">
        <f>IFERROR(__xludf.DUMMYFUNCTION("REGEXREPLACE(C10053,""-\d+(.*)|--\d+(.*)"","""")"),"LE ROZIER")</f>
        <v>LE ROZIER</v>
      </c>
      <c r="E10053" s="38" t="s">
        <v>154</v>
      </c>
      <c r="F10053" s="38" t="s">
        <v>119</v>
      </c>
      <c r="G10053" s="49" t="str">
        <f t="shared" si="1"/>
        <v>48150</v>
      </c>
      <c r="H10053" s="49">
        <f t="shared" si="2"/>
        <v>48131</v>
      </c>
    </row>
    <row r="10054">
      <c r="A10054" s="48" t="s">
        <v>1989</v>
      </c>
      <c r="B10054" s="38">
        <v>60585.0</v>
      </c>
      <c r="C10054" s="38" t="s">
        <v>14000</v>
      </c>
      <c r="D10054" s="38" t="str">
        <f>IFERROR(__xludf.DUMMYFUNCTION("REGEXREPLACE(C10054,""-\d+(.*)|--\d+(.*)"","""")"),"SAINT-MARTIN-AUX-BOIS")</f>
        <v>SAINT-MARTIN-AUX-BOIS</v>
      </c>
      <c r="E10054" s="38" t="s">
        <v>112</v>
      </c>
      <c r="F10054" s="38" t="s">
        <v>113</v>
      </c>
      <c r="G10054" s="49" t="str">
        <f t="shared" si="1"/>
        <v>60420</v>
      </c>
      <c r="H10054" s="49">
        <f t="shared" si="2"/>
        <v>60585</v>
      </c>
    </row>
    <row r="10055">
      <c r="A10055" s="48" t="s">
        <v>976</v>
      </c>
      <c r="B10055" s="38">
        <v>38268.0</v>
      </c>
      <c r="C10055" s="38" t="s">
        <v>14001</v>
      </c>
      <c r="D10055" s="38" t="str">
        <f>IFERROR(__xludf.DUMMYFUNCTION("REGEXREPLACE(C10055,""-\d+(.*)|--\d+(.*)"","""")"),"LE MOUTARET")</f>
        <v>LE MOUTARET</v>
      </c>
      <c r="E10055" s="38" t="s">
        <v>101</v>
      </c>
      <c r="F10055" s="38" t="s">
        <v>102</v>
      </c>
      <c r="G10055" s="49" t="str">
        <f t="shared" si="1"/>
        <v>38580</v>
      </c>
      <c r="H10055" s="49">
        <f t="shared" si="2"/>
        <v>38268</v>
      </c>
    </row>
    <row r="10056">
      <c r="A10056" s="48" t="s">
        <v>5212</v>
      </c>
      <c r="B10056" s="38">
        <v>41265.0</v>
      </c>
      <c r="C10056" s="38" t="s">
        <v>14002</v>
      </c>
      <c r="D10056" s="38" t="str">
        <f>IFERROR(__xludf.DUMMYFUNCTION("REGEXREPLACE(C10056,""-\d+(.*)|--\d+(.*)"","""")"),"TROO")</f>
        <v>TROO</v>
      </c>
      <c r="E10056" s="38" t="s">
        <v>188</v>
      </c>
      <c r="F10056" s="38" t="s">
        <v>123</v>
      </c>
      <c r="G10056" s="49" t="str">
        <f t="shared" si="1"/>
        <v>41800</v>
      </c>
      <c r="H10056" s="49">
        <f t="shared" si="2"/>
        <v>41265</v>
      </c>
    </row>
    <row r="10057">
      <c r="A10057" s="48" t="s">
        <v>571</v>
      </c>
      <c r="B10057" s="38">
        <v>55310.0</v>
      </c>
      <c r="C10057" s="38" t="s">
        <v>14003</v>
      </c>
      <c r="D10057" s="38" t="str">
        <f>IFERROR(__xludf.DUMMYFUNCTION("REGEXREPLACE(C10057,""-\d+(.*)|--\d+(.*)"","""")"),"LUZY-SAINT-MARTIN")</f>
        <v>LUZY-SAINT-MARTIN</v>
      </c>
      <c r="E10057" s="38" t="s">
        <v>322</v>
      </c>
      <c r="F10057" s="38" t="s">
        <v>195</v>
      </c>
      <c r="G10057" s="49" t="str">
        <f t="shared" si="1"/>
        <v>55700</v>
      </c>
      <c r="H10057" s="49">
        <f t="shared" si="2"/>
        <v>55310</v>
      </c>
    </row>
    <row r="10058">
      <c r="A10058" s="48" t="s">
        <v>2208</v>
      </c>
      <c r="B10058" s="38">
        <v>55211.0</v>
      </c>
      <c r="C10058" s="38" t="s">
        <v>14004</v>
      </c>
      <c r="D10058" s="38" t="str">
        <f>IFERROR(__xludf.DUMMYFUNCTION("REGEXREPLACE(C10058,""-\d+(.*)|--\d+(.*)"","""")"),"GINCREY")</f>
        <v>GINCREY</v>
      </c>
      <c r="E10058" s="38" t="s">
        <v>322</v>
      </c>
      <c r="F10058" s="38" t="s">
        <v>195</v>
      </c>
      <c r="G10058" s="49" t="str">
        <f t="shared" si="1"/>
        <v>55400</v>
      </c>
      <c r="H10058" s="49">
        <f t="shared" si="2"/>
        <v>55211</v>
      </c>
    </row>
    <row r="10059">
      <c r="A10059" s="48" t="s">
        <v>10904</v>
      </c>
      <c r="B10059" s="38">
        <v>74312.0</v>
      </c>
      <c r="C10059" s="38" t="s">
        <v>14005</v>
      </c>
      <c r="D10059" s="38" t="str">
        <f>IFERROR(__xludf.DUMMYFUNCTION("REGEXREPLACE(C10059,""-\d+(.*)|--\d+(.*)"","""")"),"VOUGY")</f>
        <v>VOUGY</v>
      </c>
      <c r="E10059" s="38" t="s">
        <v>319</v>
      </c>
      <c r="F10059" s="38" t="s">
        <v>102</v>
      </c>
      <c r="G10059" s="49" t="str">
        <f t="shared" si="1"/>
        <v>74130</v>
      </c>
      <c r="H10059" s="49">
        <f t="shared" si="2"/>
        <v>74312</v>
      </c>
    </row>
    <row r="10060">
      <c r="A10060" s="48" t="s">
        <v>562</v>
      </c>
      <c r="B10060" s="38">
        <v>54414.0</v>
      </c>
      <c r="C10060" s="38" t="s">
        <v>14006</v>
      </c>
      <c r="D10060" s="38" t="str">
        <f>IFERROR(__xludf.DUMMYFUNCTION("REGEXREPLACE(C10060,""-\d+(.*)|--\d+(.*)"","""")"),"PAGNEY-DERRIERE-BARINE")</f>
        <v>PAGNEY-DERRIERE-BARINE</v>
      </c>
      <c r="E10060" s="38" t="s">
        <v>548</v>
      </c>
      <c r="F10060" s="38" t="s">
        <v>195</v>
      </c>
      <c r="G10060" s="49" t="str">
        <f t="shared" si="1"/>
        <v>54200</v>
      </c>
      <c r="H10060" s="49">
        <f t="shared" si="2"/>
        <v>54414</v>
      </c>
    </row>
    <row r="10061">
      <c r="A10061" s="48" t="s">
        <v>4929</v>
      </c>
      <c r="B10061" s="38">
        <v>12249.0</v>
      </c>
      <c r="C10061" s="38" t="s">
        <v>14007</v>
      </c>
      <c r="D10061" s="38" t="str">
        <f>IFERROR(__xludf.DUMMYFUNCTION("REGEXREPLACE(C10061,""-\d+(.*)|--\d+(.*)"","""")"),"SAINT-SEVER-DU-MOUSTIER")</f>
        <v>SAINT-SEVER-DU-MOUSTIER</v>
      </c>
      <c r="E10061" s="38" t="s">
        <v>465</v>
      </c>
      <c r="F10061" s="38" t="s">
        <v>94</v>
      </c>
      <c r="G10061" s="49" t="str">
        <f t="shared" si="1"/>
        <v>12370</v>
      </c>
      <c r="H10061" s="49">
        <f t="shared" si="2"/>
        <v>12249</v>
      </c>
    </row>
    <row r="10062">
      <c r="A10062" s="48" t="s">
        <v>9905</v>
      </c>
      <c r="B10062" s="38">
        <v>65398.0</v>
      </c>
      <c r="C10062" s="38" t="s">
        <v>14008</v>
      </c>
      <c r="D10062" s="38" t="str">
        <f>IFERROR(__xludf.DUMMYFUNCTION("REGEXREPLACE(C10062,""-\d+(.*)|--\d+(.*)"","""")"),"SALECHAN")</f>
        <v>SALECHAN</v>
      </c>
      <c r="E10062" s="38" t="s">
        <v>200</v>
      </c>
      <c r="F10062" s="38" t="s">
        <v>94</v>
      </c>
      <c r="G10062" s="49" t="str">
        <f t="shared" si="1"/>
        <v>65370</v>
      </c>
      <c r="H10062" s="49">
        <f t="shared" si="2"/>
        <v>65398</v>
      </c>
    </row>
    <row r="10063">
      <c r="A10063" s="48" t="s">
        <v>3283</v>
      </c>
      <c r="B10063" s="38">
        <v>52245.0</v>
      </c>
      <c r="C10063" s="38" t="s">
        <v>14009</v>
      </c>
      <c r="D10063" s="38" t="str">
        <f>IFERROR(__xludf.DUMMYFUNCTION("REGEXREPLACE(C10063,""-\d+(.*)|--\d+(.*)"","""")"),"HUMBERVILLE")</f>
        <v>HUMBERVILLE</v>
      </c>
      <c r="E10063" s="38" t="s">
        <v>234</v>
      </c>
      <c r="F10063" s="38" t="s">
        <v>130</v>
      </c>
      <c r="G10063" s="49" t="str">
        <f t="shared" si="1"/>
        <v>52700</v>
      </c>
      <c r="H10063" s="49">
        <f t="shared" si="2"/>
        <v>52245</v>
      </c>
    </row>
    <row r="10064">
      <c r="A10064" s="48" t="s">
        <v>1396</v>
      </c>
      <c r="B10064" s="38">
        <v>29159.0</v>
      </c>
      <c r="C10064" s="38" t="s">
        <v>14010</v>
      </c>
      <c r="D10064" s="38" t="str">
        <f>IFERROR(__xludf.DUMMYFUNCTION("REGEXREPLACE(C10064,""-\d+(.*)|--\d+(.*)"","""")"),"PEUMERIT")</f>
        <v>PEUMERIT</v>
      </c>
      <c r="E10064" s="38" t="s">
        <v>176</v>
      </c>
      <c r="F10064" s="38" t="s">
        <v>90</v>
      </c>
      <c r="G10064" s="49" t="str">
        <f t="shared" si="1"/>
        <v>29710</v>
      </c>
      <c r="H10064" s="49">
        <f t="shared" si="2"/>
        <v>29159</v>
      </c>
    </row>
    <row r="10065">
      <c r="A10065" s="48" t="s">
        <v>630</v>
      </c>
      <c r="B10065" s="38">
        <v>15244.0</v>
      </c>
      <c r="C10065" s="38" t="s">
        <v>6124</v>
      </c>
      <c r="D10065" s="38" t="str">
        <f>IFERROR(__xludf.DUMMYFUNCTION("REGEXREPLACE(C10065,""-\d+(.*)|--\d+(.*)"","""")"),"USSEL")</f>
        <v>USSEL</v>
      </c>
      <c r="E10065" s="38" t="s">
        <v>632</v>
      </c>
      <c r="F10065" s="38" t="s">
        <v>161</v>
      </c>
      <c r="G10065" s="49" t="str">
        <f t="shared" si="1"/>
        <v>15300</v>
      </c>
      <c r="H10065" s="49">
        <f t="shared" si="2"/>
        <v>15244</v>
      </c>
    </row>
    <row r="10066">
      <c r="A10066" s="48" t="s">
        <v>1624</v>
      </c>
      <c r="B10066" s="38">
        <v>34085.0</v>
      </c>
      <c r="C10066" s="38" t="s">
        <v>14011</v>
      </c>
      <c r="D10066" s="38" t="str">
        <f>IFERROR(__xludf.DUMMYFUNCTION("REGEXREPLACE(C10066,""-\d+(.*)|--\d+(.*)"","""")"),"COULOBRES")</f>
        <v>COULOBRES</v>
      </c>
      <c r="E10066" s="38" t="s">
        <v>118</v>
      </c>
      <c r="F10066" s="38" t="s">
        <v>119</v>
      </c>
      <c r="G10066" s="49" t="str">
        <f t="shared" si="1"/>
        <v>34290</v>
      </c>
      <c r="H10066" s="49">
        <f t="shared" si="2"/>
        <v>34085</v>
      </c>
    </row>
    <row r="10067">
      <c r="A10067" s="48" t="s">
        <v>9433</v>
      </c>
      <c r="B10067" s="38">
        <v>40233.0</v>
      </c>
      <c r="C10067" s="38" t="s">
        <v>14012</v>
      </c>
      <c r="D10067" s="38" t="str">
        <f>IFERROR(__xludf.DUMMYFUNCTION("REGEXREPLACE(C10067,""-\d+(.*)|--\d+(.*)"","""")"),"POUILLON")</f>
        <v>POUILLON</v>
      </c>
      <c r="E10067" s="38" t="s">
        <v>281</v>
      </c>
      <c r="F10067" s="38" t="s">
        <v>252</v>
      </c>
      <c r="G10067" s="49" t="str">
        <f t="shared" si="1"/>
        <v>40350</v>
      </c>
      <c r="H10067" s="49">
        <f t="shared" si="2"/>
        <v>40233</v>
      </c>
    </row>
    <row r="10068">
      <c r="A10068" s="48" t="s">
        <v>10868</v>
      </c>
      <c r="B10068" s="38">
        <v>84059.0</v>
      </c>
      <c r="C10068" s="38" t="s">
        <v>14013</v>
      </c>
      <c r="D10068" s="38" t="str">
        <f>IFERROR(__xludf.DUMMYFUNCTION("REGEXREPLACE(C10068,""-\d+(.*)|--\d+(.*)"","""")"),"LAFARE")</f>
        <v>LAFARE</v>
      </c>
      <c r="E10068" s="38" t="s">
        <v>1026</v>
      </c>
      <c r="F10068" s="38" t="s">
        <v>228</v>
      </c>
      <c r="G10068" s="49" t="str">
        <f t="shared" si="1"/>
        <v>84190</v>
      </c>
      <c r="H10068" s="49">
        <f t="shared" si="2"/>
        <v>84059</v>
      </c>
    </row>
    <row r="10069">
      <c r="A10069" s="48" t="s">
        <v>1141</v>
      </c>
      <c r="B10069" s="38">
        <v>59019.0</v>
      </c>
      <c r="C10069" s="38" t="s">
        <v>14014</v>
      </c>
      <c r="D10069" s="38" t="str">
        <f>IFERROR(__xludf.DUMMYFUNCTION("REGEXREPLACE(C10069,""-\d+(.*)|--\d+(.*)"","""")"),"ARTRES")</f>
        <v>ARTRES</v>
      </c>
      <c r="E10069" s="38" t="s">
        <v>85</v>
      </c>
      <c r="F10069" s="38" t="s">
        <v>86</v>
      </c>
      <c r="G10069" s="49" t="str">
        <f t="shared" si="1"/>
        <v>59269</v>
      </c>
      <c r="H10069" s="49">
        <f t="shared" si="2"/>
        <v>59019</v>
      </c>
    </row>
    <row r="10070">
      <c r="A10070" s="48" t="s">
        <v>1235</v>
      </c>
      <c r="B10070" s="38">
        <v>80372.0</v>
      </c>
      <c r="C10070" s="38" t="s">
        <v>14015</v>
      </c>
      <c r="D10070" s="38" t="str">
        <f>IFERROR(__xludf.DUMMYFUNCTION("REGEXREPLACE(C10070,""-\d+(.*)|--\d+(.*)"","""")"),"FRUCOURT")</f>
        <v>FRUCOURT</v>
      </c>
      <c r="E10070" s="38" t="s">
        <v>224</v>
      </c>
      <c r="F10070" s="38" t="s">
        <v>113</v>
      </c>
      <c r="G10070" s="49" t="str">
        <f t="shared" si="1"/>
        <v>80490</v>
      </c>
      <c r="H10070" s="49">
        <f t="shared" si="2"/>
        <v>80372</v>
      </c>
    </row>
    <row r="10071">
      <c r="A10071" s="48" t="s">
        <v>2534</v>
      </c>
      <c r="B10071" s="38">
        <v>27320.0</v>
      </c>
      <c r="C10071" s="38" t="s">
        <v>14016</v>
      </c>
      <c r="D10071" s="38" t="str">
        <f>IFERROR(__xludf.DUMMYFUNCTION("REGEXREPLACE(C10071,""-\d+(.*)|--\d+(.*)"","""")"),"LA HAYE-DU-THEIL")</f>
        <v>LA HAYE-DU-THEIL</v>
      </c>
      <c r="E10071" s="38" t="s">
        <v>241</v>
      </c>
      <c r="F10071" s="38" t="s">
        <v>134</v>
      </c>
      <c r="G10071" s="49" t="str">
        <f t="shared" si="1"/>
        <v>27370</v>
      </c>
      <c r="H10071" s="49">
        <f t="shared" si="2"/>
        <v>27320</v>
      </c>
    </row>
    <row r="10072">
      <c r="A10072" s="48" t="s">
        <v>14017</v>
      </c>
      <c r="B10072" s="38">
        <v>23041.0</v>
      </c>
      <c r="C10072" s="38" t="s">
        <v>14018</v>
      </c>
      <c r="D10072" s="38" t="str">
        <f>IFERROR(__xludf.DUMMYFUNCTION("REGEXREPLACE(C10072,""-\d+(.*)|--\d+(.*)"","""")"),"LA CELLETTE")</f>
        <v>LA CELLETTE</v>
      </c>
      <c r="E10072" s="38" t="s">
        <v>97</v>
      </c>
      <c r="F10072" s="38" t="s">
        <v>98</v>
      </c>
      <c r="G10072" s="49" t="str">
        <f t="shared" si="1"/>
        <v>23350</v>
      </c>
      <c r="H10072" s="49">
        <f t="shared" si="2"/>
        <v>23041</v>
      </c>
    </row>
    <row r="10073">
      <c r="A10073" s="48" t="s">
        <v>698</v>
      </c>
      <c r="B10073" s="38">
        <v>11185.0</v>
      </c>
      <c r="C10073" s="38" t="s">
        <v>14019</v>
      </c>
      <c r="D10073" s="38" t="str">
        <f>IFERROR(__xludf.DUMMYFUNCTION("REGEXREPLACE(C10073,""-\d+(.*)|--\d+(.*)"","""")"),"LAGRASSE")</f>
        <v>LAGRASSE</v>
      </c>
      <c r="E10073" s="38" t="s">
        <v>278</v>
      </c>
      <c r="F10073" s="38" t="s">
        <v>119</v>
      </c>
      <c r="G10073" s="49" t="str">
        <f t="shared" si="1"/>
        <v>11220</v>
      </c>
      <c r="H10073" s="49">
        <f t="shared" si="2"/>
        <v>11185</v>
      </c>
    </row>
    <row r="10074">
      <c r="A10074" s="48" t="s">
        <v>4553</v>
      </c>
      <c r="B10074" s="38">
        <v>56190.0</v>
      </c>
      <c r="C10074" s="38" t="s">
        <v>14020</v>
      </c>
      <c r="D10074" s="38" t="str">
        <f>IFERROR(__xludf.DUMMYFUNCTION("REGEXREPLACE(C10074,""-\d+(.*)|--\d+(.*)"","""")"),"REGUINY")</f>
        <v>REGUINY</v>
      </c>
      <c r="E10074" s="38" t="s">
        <v>173</v>
      </c>
      <c r="F10074" s="38" t="s">
        <v>90</v>
      </c>
      <c r="G10074" s="49" t="str">
        <f t="shared" si="1"/>
        <v>56500</v>
      </c>
      <c r="H10074" s="49">
        <f t="shared" si="2"/>
        <v>56190</v>
      </c>
    </row>
    <row r="10075">
      <c r="A10075" s="48" t="s">
        <v>3262</v>
      </c>
      <c r="B10075" s="38">
        <v>3266.0</v>
      </c>
      <c r="C10075" s="38" t="s">
        <v>14021</v>
      </c>
      <c r="D10075" s="38" t="str">
        <f>IFERROR(__xludf.DUMMYFUNCTION("REGEXREPLACE(C10075,""-\d+(.*)|--\d+(.*)"","""")"),"SANSSAT")</f>
        <v>SANSSAT</v>
      </c>
      <c r="E10075" s="38" t="s">
        <v>160</v>
      </c>
      <c r="F10075" s="38" t="s">
        <v>161</v>
      </c>
      <c r="G10075" s="49" t="str">
        <f t="shared" si="1"/>
        <v>03150</v>
      </c>
      <c r="H10075" s="49" t="str">
        <f t="shared" si="2"/>
        <v>03266</v>
      </c>
    </row>
    <row r="10076">
      <c r="A10076" s="48" t="s">
        <v>1091</v>
      </c>
      <c r="B10076" s="38">
        <v>57718.0</v>
      </c>
      <c r="C10076" s="38" t="s">
        <v>14022</v>
      </c>
      <c r="D10076" s="38" t="str">
        <f>IFERROR(__xludf.DUMMYFUNCTION("REGEXREPLACE(C10076,""-\d+(.*)|--\d+(.*)"","""")"),"VILLERS-STONCOURT")</f>
        <v>VILLERS-STONCOURT</v>
      </c>
      <c r="E10076" s="38" t="s">
        <v>303</v>
      </c>
      <c r="F10076" s="38" t="s">
        <v>195</v>
      </c>
      <c r="G10076" s="49" t="str">
        <f t="shared" si="1"/>
        <v>57530</v>
      </c>
      <c r="H10076" s="49">
        <f t="shared" si="2"/>
        <v>57718</v>
      </c>
    </row>
    <row r="10077">
      <c r="A10077" s="48" t="s">
        <v>6734</v>
      </c>
      <c r="B10077" s="38">
        <v>28064.0</v>
      </c>
      <c r="C10077" s="38" t="s">
        <v>14023</v>
      </c>
      <c r="D10077" s="38" t="str">
        <f>IFERROR(__xludf.DUMMYFUNCTION("REGEXREPLACE(C10077,""-\d+(.*)|--\d+(.*)"","""")"),"BU")</f>
        <v>BU</v>
      </c>
      <c r="E10077" s="38" t="s">
        <v>300</v>
      </c>
      <c r="F10077" s="38" t="s">
        <v>123</v>
      </c>
      <c r="G10077" s="49" t="str">
        <f t="shared" si="1"/>
        <v>28410</v>
      </c>
      <c r="H10077" s="49">
        <f t="shared" si="2"/>
        <v>28064</v>
      </c>
    </row>
    <row r="10078">
      <c r="A10078" s="48" t="s">
        <v>14024</v>
      </c>
      <c r="B10078" s="38">
        <v>74085.0</v>
      </c>
      <c r="C10078" s="38" t="s">
        <v>14025</v>
      </c>
      <c r="D10078" s="38" t="str">
        <f>IFERROR(__xludf.DUMMYFUNCTION("REGEXREPLACE(C10078,""-\d+(.*)|--\d+(.*)"","""")"),"LES CONTAMINES-MONTJOIE")</f>
        <v>LES CONTAMINES-MONTJOIE</v>
      </c>
      <c r="E10078" s="38" t="s">
        <v>319</v>
      </c>
      <c r="F10078" s="38" t="s">
        <v>102</v>
      </c>
      <c r="G10078" s="49" t="str">
        <f t="shared" si="1"/>
        <v>74170</v>
      </c>
      <c r="H10078" s="49">
        <f t="shared" si="2"/>
        <v>74085</v>
      </c>
    </row>
    <row r="10079">
      <c r="A10079" s="48" t="s">
        <v>2168</v>
      </c>
      <c r="B10079" s="38">
        <v>77183.0</v>
      </c>
      <c r="C10079" s="38" t="s">
        <v>14026</v>
      </c>
      <c r="D10079" s="38" t="str">
        <f>IFERROR(__xludf.DUMMYFUNCTION("REGEXREPLACE(C10079,""-\d+(.*)|--\d+(.*)"","""")"),"LA FERTE-SOUS-JOUARRE")</f>
        <v>LA FERTE-SOUS-JOUARRE</v>
      </c>
      <c r="E10079" s="38" t="s">
        <v>244</v>
      </c>
      <c r="F10079" s="38" t="s">
        <v>245</v>
      </c>
      <c r="G10079" s="49" t="str">
        <f t="shared" si="1"/>
        <v>77260</v>
      </c>
      <c r="H10079" s="49">
        <f t="shared" si="2"/>
        <v>77183</v>
      </c>
    </row>
    <row r="10080">
      <c r="A10080" s="48" t="s">
        <v>8645</v>
      </c>
      <c r="B10080" s="38">
        <v>2756.0</v>
      </c>
      <c r="C10080" s="38" t="s">
        <v>14027</v>
      </c>
      <c r="D10080" s="38" t="str">
        <f>IFERROR(__xludf.DUMMYFUNCTION("REGEXREPLACE(C10080,""-\d+(.*)|--\d+(.*)"","""")"),"URVILLERS")</f>
        <v>URVILLERS</v>
      </c>
      <c r="E10080" s="38" t="s">
        <v>191</v>
      </c>
      <c r="F10080" s="38" t="s">
        <v>113</v>
      </c>
      <c r="G10080" s="49" t="str">
        <f t="shared" si="1"/>
        <v>02690</v>
      </c>
      <c r="H10080" s="49" t="str">
        <f t="shared" si="2"/>
        <v>02756</v>
      </c>
    </row>
    <row r="10081">
      <c r="A10081" s="48" t="s">
        <v>8453</v>
      </c>
      <c r="B10081" s="38">
        <v>8254.0</v>
      </c>
      <c r="C10081" s="38" t="s">
        <v>14028</v>
      </c>
      <c r="D10081" s="38" t="str">
        <f>IFERROR(__xludf.DUMMYFUNCTION("REGEXREPLACE(C10081,""-\d+(.*)|--\d+(.*)"","""")"),"LIART")</f>
        <v>LIART</v>
      </c>
      <c r="E10081" s="38" t="s">
        <v>327</v>
      </c>
      <c r="F10081" s="38" t="s">
        <v>130</v>
      </c>
      <c r="G10081" s="49" t="str">
        <f t="shared" si="1"/>
        <v>08290</v>
      </c>
      <c r="H10081" s="49" t="str">
        <f t="shared" si="2"/>
        <v>08254</v>
      </c>
    </row>
    <row r="10082">
      <c r="A10082" s="48" t="s">
        <v>5650</v>
      </c>
      <c r="B10082" s="38">
        <v>1174.0</v>
      </c>
      <c r="C10082" s="38" t="s">
        <v>14029</v>
      </c>
      <c r="D10082" s="38" t="str">
        <f>IFERROR(__xludf.DUMMYFUNCTION("REGEXREPLACE(C10082,""-\d+(.*)|--\d+(.*)"","""")"),"GIRON")</f>
        <v>GIRON</v>
      </c>
      <c r="E10082" s="38" t="s">
        <v>255</v>
      </c>
      <c r="F10082" s="38" t="s">
        <v>102</v>
      </c>
      <c r="G10082" s="49" t="str">
        <f t="shared" si="1"/>
        <v>01130</v>
      </c>
      <c r="H10082" s="49" t="str">
        <f t="shared" si="2"/>
        <v>01174</v>
      </c>
    </row>
    <row r="10083">
      <c r="A10083" s="48" t="s">
        <v>14030</v>
      </c>
      <c r="B10083" s="38">
        <v>44138.0</v>
      </c>
      <c r="C10083" s="38" t="s">
        <v>14031</v>
      </c>
      <c r="D10083" s="38" t="str">
        <f>IFERROR(__xludf.DUMMYFUNCTION("REGEXREPLACE(C10083,""-\d+(.*)|--\d+(.*)"","""")"),"PUCEUL")</f>
        <v>PUCEUL</v>
      </c>
      <c r="E10083" s="38" t="s">
        <v>759</v>
      </c>
      <c r="F10083" s="38" t="s">
        <v>180</v>
      </c>
      <c r="G10083" s="49" t="str">
        <f t="shared" si="1"/>
        <v>44390</v>
      </c>
      <c r="H10083" s="49">
        <f t="shared" si="2"/>
        <v>44138</v>
      </c>
    </row>
    <row r="10084">
      <c r="A10084" s="48" t="s">
        <v>13834</v>
      </c>
      <c r="B10084" s="38">
        <v>36073.0</v>
      </c>
      <c r="C10084" s="38" t="s">
        <v>14032</v>
      </c>
      <c r="D10084" s="38" t="str">
        <f>IFERROR(__xludf.DUMMYFUNCTION("REGEXREPLACE(C10084,""-\d+(.*)|--\d+(.*)"","""")"),"FEUSINES")</f>
        <v>FEUSINES</v>
      </c>
      <c r="E10084" s="38" t="s">
        <v>258</v>
      </c>
      <c r="F10084" s="38" t="s">
        <v>123</v>
      </c>
      <c r="G10084" s="49" t="str">
        <f t="shared" si="1"/>
        <v>36160</v>
      </c>
      <c r="H10084" s="49">
        <f t="shared" si="2"/>
        <v>36073</v>
      </c>
    </row>
    <row r="10085">
      <c r="A10085" s="48" t="s">
        <v>6129</v>
      </c>
      <c r="B10085" s="38">
        <v>67455.0</v>
      </c>
      <c r="C10085" s="38" t="s">
        <v>14033</v>
      </c>
      <c r="D10085" s="38" t="str">
        <f>IFERROR(__xludf.DUMMYFUNCTION("REGEXREPLACE(C10085,""-\d+(.*)|--\d+(.*)"","""")"),"SCHOENENBOURG")</f>
        <v>SCHOENENBOURG</v>
      </c>
      <c r="E10085" s="38" t="s">
        <v>210</v>
      </c>
      <c r="F10085" s="38" t="s">
        <v>151</v>
      </c>
      <c r="G10085" s="49" t="str">
        <f t="shared" si="1"/>
        <v>67250</v>
      </c>
      <c r="H10085" s="49">
        <f t="shared" si="2"/>
        <v>67455</v>
      </c>
    </row>
    <row r="10086">
      <c r="A10086" s="48" t="s">
        <v>14034</v>
      </c>
      <c r="B10086" s="38">
        <v>76622.0</v>
      </c>
      <c r="C10086" s="38" t="s">
        <v>14035</v>
      </c>
      <c r="D10086" s="38" t="str">
        <f>IFERROR(__xludf.DUMMYFUNCTION("REGEXREPLACE(C10086,""-\d+(.*)|--\d+(.*)"","""")"),"SAINT-MAURICE-D'ETELAN")</f>
        <v>SAINT-MAURICE-D'ETELAN</v>
      </c>
      <c r="E10086" s="38" t="s">
        <v>133</v>
      </c>
      <c r="F10086" s="38" t="s">
        <v>134</v>
      </c>
      <c r="G10086" s="49" t="str">
        <f t="shared" si="1"/>
        <v>76330</v>
      </c>
      <c r="H10086" s="49">
        <f t="shared" si="2"/>
        <v>76622</v>
      </c>
    </row>
    <row r="10087">
      <c r="A10087" s="48" t="s">
        <v>6923</v>
      </c>
      <c r="B10087" s="38">
        <v>33330.0</v>
      </c>
      <c r="C10087" s="38" t="s">
        <v>14036</v>
      </c>
      <c r="D10087" s="38" t="str">
        <f>IFERROR(__xludf.DUMMYFUNCTION("REGEXREPLACE(C10087,""-\d+(.*)|--\d+(.*)"","""")"),"POMPIGNAC")</f>
        <v>POMPIGNAC</v>
      </c>
      <c r="E10087" s="38" t="s">
        <v>462</v>
      </c>
      <c r="F10087" s="38" t="s">
        <v>252</v>
      </c>
      <c r="G10087" s="49" t="str">
        <f t="shared" si="1"/>
        <v>33370</v>
      </c>
      <c r="H10087" s="49">
        <f t="shared" si="2"/>
        <v>33330</v>
      </c>
    </row>
    <row r="10088">
      <c r="A10088" s="48" t="s">
        <v>4882</v>
      </c>
      <c r="B10088" s="38">
        <v>89002.0</v>
      </c>
      <c r="C10088" s="38" t="s">
        <v>14037</v>
      </c>
      <c r="D10088" s="38" t="str">
        <f>IFERROR(__xludf.DUMMYFUNCTION("REGEXREPLACE(C10088,""-\d+(.*)|--\d+(.*)"","""")"),"AIGREMONT")</f>
        <v>AIGREMONT</v>
      </c>
      <c r="E10088" s="38" t="s">
        <v>275</v>
      </c>
      <c r="F10088" s="38" t="s">
        <v>106</v>
      </c>
      <c r="G10088" s="49" t="str">
        <f t="shared" si="1"/>
        <v>89800</v>
      </c>
      <c r="H10088" s="49">
        <f t="shared" si="2"/>
        <v>89002</v>
      </c>
    </row>
    <row r="10089">
      <c r="A10089" s="48" t="s">
        <v>3819</v>
      </c>
      <c r="B10089" s="38">
        <v>38095.0</v>
      </c>
      <c r="C10089" s="38" t="s">
        <v>14038</v>
      </c>
      <c r="D10089" s="38" t="str">
        <f>IFERROR(__xludf.DUMMYFUNCTION("REGEXREPLACE(C10089,""-\d+(.*)|--\d+(.*)"","""")"),"CHATTE")</f>
        <v>CHATTE</v>
      </c>
      <c r="E10089" s="38" t="s">
        <v>101</v>
      </c>
      <c r="F10089" s="38" t="s">
        <v>102</v>
      </c>
      <c r="G10089" s="49" t="str">
        <f t="shared" si="1"/>
        <v>38160</v>
      </c>
      <c r="H10089" s="49">
        <f t="shared" si="2"/>
        <v>38095</v>
      </c>
    </row>
    <row r="10090">
      <c r="A10090" s="48" t="s">
        <v>14039</v>
      </c>
      <c r="B10090" s="38">
        <v>52194.0</v>
      </c>
      <c r="C10090" s="38" t="s">
        <v>14040</v>
      </c>
      <c r="D10090" s="38" t="str">
        <f>IFERROR(__xludf.DUMMYFUNCTION("REGEXREPLACE(C10090,""-\d+(.*)|--\d+(.*)"","""")"),"EURVILLE-BIENVILLE")</f>
        <v>EURVILLE-BIENVILLE</v>
      </c>
      <c r="E10090" s="38" t="s">
        <v>234</v>
      </c>
      <c r="F10090" s="38" t="s">
        <v>130</v>
      </c>
      <c r="G10090" s="49" t="str">
        <f t="shared" si="1"/>
        <v>52410</v>
      </c>
      <c r="H10090" s="49">
        <f t="shared" si="2"/>
        <v>52194</v>
      </c>
    </row>
    <row r="10091">
      <c r="A10091" s="48" t="s">
        <v>5070</v>
      </c>
      <c r="B10091" s="38">
        <v>79153.0</v>
      </c>
      <c r="C10091" s="38" t="s">
        <v>14041</v>
      </c>
      <c r="D10091" s="38" t="str">
        <f>IFERROR(__xludf.DUMMYFUNCTION("REGEXREPLACE(C10091,""-\d+(.*)|--\d+(.*)"","""")"),"LOUBIGNE")</f>
        <v>LOUBIGNE</v>
      </c>
      <c r="E10091" s="38" t="s">
        <v>337</v>
      </c>
      <c r="F10091" s="38" t="s">
        <v>338</v>
      </c>
      <c r="G10091" s="49" t="str">
        <f t="shared" si="1"/>
        <v>79110</v>
      </c>
      <c r="H10091" s="49">
        <f t="shared" si="2"/>
        <v>79153</v>
      </c>
    </row>
    <row r="10092">
      <c r="A10092" s="48" t="s">
        <v>6104</v>
      </c>
      <c r="B10092" s="38">
        <v>95456.0</v>
      </c>
      <c r="C10092" s="38" t="s">
        <v>14042</v>
      </c>
      <c r="D10092" s="38" t="str">
        <f>IFERROR(__xludf.DUMMYFUNCTION("REGEXREPLACE(C10092,""-\d+(.*)|--\d+(.*)"","""")"),"NOISY-SUR-OISE")</f>
        <v>NOISY-SUR-OISE</v>
      </c>
      <c r="E10092" s="38" t="s">
        <v>541</v>
      </c>
      <c r="F10092" s="38" t="s">
        <v>245</v>
      </c>
      <c r="G10092" s="49" t="str">
        <f t="shared" si="1"/>
        <v>95270</v>
      </c>
      <c r="H10092" s="49">
        <f t="shared" si="2"/>
        <v>95456</v>
      </c>
    </row>
    <row r="10093">
      <c r="A10093" s="48" t="s">
        <v>5743</v>
      </c>
      <c r="B10093" s="38">
        <v>52385.0</v>
      </c>
      <c r="C10093" s="38" t="s">
        <v>14043</v>
      </c>
      <c r="D10093" s="38" t="str">
        <f>IFERROR(__xludf.DUMMYFUNCTION("REGEXREPLACE(C10093,""-\d+(.*)|--\d+(.*)"","""")"),"PERRUSSE")</f>
        <v>PERRUSSE</v>
      </c>
      <c r="E10093" s="38" t="s">
        <v>234</v>
      </c>
      <c r="F10093" s="38" t="s">
        <v>130</v>
      </c>
      <c r="G10093" s="49" t="str">
        <f t="shared" si="1"/>
        <v>52240</v>
      </c>
      <c r="H10093" s="49">
        <f t="shared" si="2"/>
        <v>52385</v>
      </c>
    </row>
    <row r="10094">
      <c r="A10094" s="48" t="s">
        <v>13834</v>
      </c>
      <c r="B10094" s="38">
        <v>36164.0</v>
      </c>
      <c r="C10094" s="38" t="s">
        <v>14044</v>
      </c>
      <c r="D10094" s="38" t="str">
        <f>IFERROR(__xludf.DUMMYFUNCTION("REGEXREPLACE(C10094,""-\d+(.*)|--\d+(.*)"","""")"),"POULIGNY-SAINT-MARTIN")</f>
        <v>POULIGNY-SAINT-MARTIN</v>
      </c>
      <c r="E10094" s="38" t="s">
        <v>258</v>
      </c>
      <c r="F10094" s="38" t="s">
        <v>123</v>
      </c>
      <c r="G10094" s="49" t="str">
        <f t="shared" si="1"/>
        <v>36160</v>
      </c>
      <c r="H10094" s="49">
        <f t="shared" si="2"/>
        <v>36164</v>
      </c>
    </row>
    <row r="10095">
      <c r="A10095" s="48" t="s">
        <v>2288</v>
      </c>
      <c r="B10095" s="38">
        <v>81112.0</v>
      </c>
      <c r="C10095" s="38" t="s">
        <v>14045</v>
      </c>
      <c r="D10095" s="38" t="str">
        <f>IFERROR(__xludf.DUMMYFUNCTION("REGEXREPLACE(C10095,""-\d+(.*)|--\d+(.*)"","""")"),"LABASTIDE-DE-LEVIS")</f>
        <v>LABASTIDE-DE-LEVIS</v>
      </c>
      <c r="E10095" s="38" t="s">
        <v>231</v>
      </c>
      <c r="F10095" s="38" t="s">
        <v>94</v>
      </c>
      <c r="G10095" s="49" t="str">
        <f t="shared" si="1"/>
        <v>81150</v>
      </c>
      <c r="H10095" s="49">
        <f t="shared" si="2"/>
        <v>81112</v>
      </c>
    </row>
    <row r="10096">
      <c r="A10096" s="48" t="s">
        <v>8979</v>
      </c>
      <c r="B10096" s="38">
        <v>17391.0</v>
      </c>
      <c r="C10096" s="38" t="s">
        <v>14046</v>
      </c>
      <c r="D10096" s="38" t="str">
        <f>IFERROR(__xludf.DUMMYFUNCTION("REGEXREPLACE(C10096,""-\d+(.*)|--\d+(.*)"","""")"),"SAINT-ROGATIEN")</f>
        <v>SAINT-ROGATIEN</v>
      </c>
      <c r="E10096" s="38" t="s">
        <v>488</v>
      </c>
      <c r="F10096" s="38" t="s">
        <v>338</v>
      </c>
      <c r="G10096" s="49" t="str">
        <f t="shared" si="1"/>
        <v>17220</v>
      </c>
      <c r="H10096" s="49">
        <f t="shared" si="2"/>
        <v>17391</v>
      </c>
    </row>
    <row r="10097">
      <c r="A10097" s="48" t="s">
        <v>1588</v>
      </c>
      <c r="B10097" s="38">
        <v>9279.0</v>
      </c>
      <c r="C10097" s="38" t="s">
        <v>14047</v>
      </c>
      <c r="D10097" s="38" t="str">
        <f>IFERROR(__xludf.DUMMYFUNCTION("REGEXREPLACE(C10097,""-\d+(.*)|--\d+(.*)"","""")"),"SALSEIN")</f>
        <v>SALSEIN</v>
      </c>
      <c r="E10097" s="38" t="s">
        <v>238</v>
      </c>
      <c r="F10097" s="38" t="s">
        <v>94</v>
      </c>
      <c r="G10097" s="49" t="str">
        <f t="shared" si="1"/>
        <v>09800</v>
      </c>
      <c r="H10097" s="49" t="str">
        <f t="shared" si="2"/>
        <v>09279</v>
      </c>
    </row>
    <row r="10098">
      <c r="A10098" s="48" t="s">
        <v>3857</v>
      </c>
      <c r="B10098" s="38">
        <v>12082.0</v>
      </c>
      <c r="C10098" s="38" t="s">
        <v>14048</v>
      </c>
      <c r="D10098" s="38" t="str">
        <f>IFERROR(__xludf.DUMMYFUNCTION("REGEXREPLACE(C10098,""-\d+(.*)|--\d+(.*)"","""")"),"LA COUVERTOIRADE")</f>
        <v>LA COUVERTOIRADE</v>
      </c>
      <c r="E10098" s="38" t="s">
        <v>465</v>
      </c>
      <c r="F10098" s="38" t="s">
        <v>94</v>
      </c>
      <c r="G10098" s="49" t="str">
        <f t="shared" si="1"/>
        <v>12230</v>
      </c>
      <c r="H10098" s="49">
        <f t="shared" si="2"/>
        <v>12082</v>
      </c>
    </row>
    <row r="10099">
      <c r="A10099" s="48" t="s">
        <v>4384</v>
      </c>
      <c r="B10099" s="38">
        <v>41270.0</v>
      </c>
      <c r="C10099" s="38" t="s">
        <v>14049</v>
      </c>
      <c r="D10099" s="38" t="str">
        <f>IFERROR(__xludf.DUMMYFUNCTION("REGEXREPLACE(C10099,""-\d+(.*)|--\d+(.*)"","""")"),"VERDES")</f>
        <v>VERDES</v>
      </c>
      <c r="E10099" s="38" t="s">
        <v>188</v>
      </c>
      <c r="F10099" s="38" t="s">
        <v>123</v>
      </c>
      <c r="G10099" s="49" t="str">
        <f t="shared" si="1"/>
        <v>41240</v>
      </c>
      <c r="H10099" s="49">
        <f t="shared" si="2"/>
        <v>41270</v>
      </c>
    </row>
    <row r="10100">
      <c r="A10100" s="48" t="s">
        <v>2701</v>
      </c>
      <c r="B10100" s="38">
        <v>17012.0</v>
      </c>
      <c r="C10100" s="38" t="s">
        <v>14050</v>
      </c>
      <c r="D10100" s="38" t="str">
        <f>IFERROR(__xludf.DUMMYFUNCTION("REGEXREPLACE(C10100,""-\d+(.*)|--\d+(.*)"","""")"),"ANNEZAY")</f>
        <v>ANNEZAY</v>
      </c>
      <c r="E10100" s="38" t="s">
        <v>488</v>
      </c>
      <c r="F10100" s="38" t="s">
        <v>338</v>
      </c>
      <c r="G10100" s="49" t="str">
        <f t="shared" si="1"/>
        <v>17380</v>
      </c>
      <c r="H10100" s="49">
        <f t="shared" si="2"/>
        <v>17012</v>
      </c>
    </row>
    <row r="10101">
      <c r="A10101" s="48" t="s">
        <v>14051</v>
      </c>
      <c r="B10101" s="38">
        <v>33033.0</v>
      </c>
      <c r="C10101" s="38" t="s">
        <v>14052</v>
      </c>
      <c r="D10101" s="38" t="str">
        <f>IFERROR(__xludf.DUMMYFUNCTION("REGEXREPLACE(C10101,""-\d+(.*)|--\d+(.*)"","""")"),"BAURECH")</f>
        <v>BAURECH</v>
      </c>
      <c r="E10101" s="38" t="s">
        <v>462</v>
      </c>
      <c r="F10101" s="38" t="s">
        <v>252</v>
      </c>
      <c r="G10101" s="49" t="str">
        <f t="shared" si="1"/>
        <v>33880</v>
      </c>
      <c r="H10101" s="49">
        <f t="shared" si="2"/>
        <v>33033</v>
      </c>
    </row>
    <row r="10102">
      <c r="A10102" s="48" t="s">
        <v>1800</v>
      </c>
      <c r="B10102" s="38">
        <v>88412.0</v>
      </c>
      <c r="C10102" s="38" t="s">
        <v>14053</v>
      </c>
      <c r="D10102" s="38" t="str">
        <f>IFERROR(__xludf.DUMMYFUNCTION("REGEXREPLACE(C10102,""-\d+(.*)|--\d+(.*)"","""")"),"SAINT-BENOIT-LA-CHIPOTTE")</f>
        <v>SAINT-BENOIT-LA-CHIPOTTE</v>
      </c>
      <c r="E10102" s="38" t="s">
        <v>194</v>
      </c>
      <c r="F10102" s="38" t="s">
        <v>195</v>
      </c>
      <c r="G10102" s="49" t="str">
        <f t="shared" si="1"/>
        <v>88700</v>
      </c>
      <c r="H10102" s="49">
        <f t="shared" si="2"/>
        <v>88412</v>
      </c>
    </row>
    <row r="10103">
      <c r="A10103" s="48" t="s">
        <v>1485</v>
      </c>
      <c r="B10103" s="38">
        <v>21506.0</v>
      </c>
      <c r="C10103" s="38" t="s">
        <v>14054</v>
      </c>
      <c r="D10103" s="38" t="str">
        <f>IFERROR(__xludf.DUMMYFUNCTION("REGEXREPLACE(C10103,""-\d+(.*)|--\d+(.*)"","""")"),"PREMEAUX-PRISSEY")</f>
        <v>PREMEAUX-PRISSEY</v>
      </c>
      <c r="E10103" s="38" t="s">
        <v>105</v>
      </c>
      <c r="F10103" s="38" t="s">
        <v>106</v>
      </c>
      <c r="G10103" s="49" t="str">
        <f t="shared" si="1"/>
        <v>21700</v>
      </c>
      <c r="H10103" s="49">
        <f t="shared" si="2"/>
        <v>21506</v>
      </c>
    </row>
    <row r="10104">
      <c r="A10104" s="48" t="s">
        <v>2659</v>
      </c>
      <c r="B10104" s="38">
        <v>80746.0</v>
      </c>
      <c r="C10104" s="38" t="s">
        <v>14055</v>
      </c>
      <c r="D10104" s="38" t="str">
        <f>IFERROR(__xludf.DUMMYFUNCTION("REGEXREPLACE(C10104,""-\d+(.*)|--\d+(.*)"","""")"),"TALMAS")</f>
        <v>TALMAS</v>
      </c>
      <c r="E10104" s="38" t="s">
        <v>224</v>
      </c>
      <c r="F10104" s="38" t="s">
        <v>113</v>
      </c>
      <c r="G10104" s="49" t="str">
        <f t="shared" si="1"/>
        <v>80260</v>
      </c>
      <c r="H10104" s="49">
        <f t="shared" si="2"/>
        <v>80746</v>
      </c>
    </row>
    <row r="10105">
      <c r="A10105" s="48" t="s">
        <v>7065</v>
      </c>
      <c r="B10105" s="38">
        <v>3318.0</v>
      </c>
      <c r="C10105" s="38" t="s">
        <v>14056</v>
      </c>
      <c r="D10105" s="38" t="str">
        <f>IFERROR(__xludf.DUMMYFUNCTION("REGEXREPLACE(C10105,""-\d+(.*)|--\d+(.*)"","""")"),"VITRAY")</f>
        <v>VITRAY</v>
      </c>
      <c r="E10105" s="38" t="s">
        <v>160</v>
      </c>
      <c r="F10105" s="38" t="s">
        <v>161</v>
      </c>
      <c r="G10105" s="49" t="str">
        <f t="shared" si="1"/>
        <v>03360</v>
      </c>
      <c r="H10105" s="49" t="str">
        <f t="shared" si="2"/>
        <v>03318</v>
      </c>
    </row>
    <row r="10106">
      <c r="A10106" s="48" t="s">
        <v>3305</v>
      </c>
      <c r="B10106" s="38">
        <v>24122.0</v>
      </c>
      <c r="C10106" s="38" t="s">
        <v>14057</v>
      </c>
      <c r="D10106" s="38" t="str">
        <f>IFERROR(__xludf.DUMMYFUNCTION("REGEXREPLACE(C10106,""-\d+(.*)|--\d+(.*)"","""")"),"CLADECH")</f>
        <v>CLADECH</v>
      </c>
      <c r="E10106" s="38" t="s">
        <v>261</v>
      </c>
      <c r="F10106" s="38" t="s">
        <v>252</v>
      </c>
      <c r="G10106" s="49" t="str">
        <f t="shared" si="1"/>
        <v>24170</v>
      </c>
      <c r="H10106" s="49">
        <f t="shared" si="2"/>
        <v>24122</v>
      </c>
    </row>
    <row r="10107">
      <c r="A10107" s="48" t="s">
        <v>12547</v>
      </c>
      <c r="B10107" s="38">
        <v>60504.0</v>
      </c>
      <c r="C10107" s="38" t="s">
        <v>14058</v>
      </c>
      <c r="D10107" s="38" t="str">
        <f>IFERROR(__xludf.DUMMYFUNCTION("REGEXREPLACE(C10107,""-\d+(.*)|--\d+(.*)"","""")"),"PONCHON")</f>
        <v>PONCHON</v>
      </c>
      <c r="E10107" s="38" t="s">
        <v>112</v>
      </c>
      <c r="F10107" s="38" t="s">
        <v>113</v>
      </c>
      <c r="G10107" s="49" t="str">
        <f t="shared" si="1"/>
        <v>60430</v>
      </c>
      <c r="H10107" s="49">
        <f t="shared" si="2"/>
        <v>60504</v>
      </c>
    </row>
    <row r="10108">
      <c r="A10108" s="48" t="s">
        <v>3681</v>
      </c>
      <c r="B10108" s="38">
        <v>39168.0</v>
      </c>
      <c r="C10108" s="38" t="s">
        <v>14059</v>
      </c>
      <c r="D10108" s="38" t="str">
        <f>IFERROR(__xludf.DUMMYFUNCTION("REGEXREPLACE(C10108,""-\d+(.*)|--\d+(.*)"","""")"),"COURBETTE")</f>
        <v>COURBETTE</v>
      </c>
      <c r="E10108" s="38" t="s">
        <v>400</v>
      </c>
      <c r="F10108" s="38" t="s">
        <v>214</v>
      </c>
      <c r="G10108" s="49" t="str">
        <f t="shared" si="1"/>
        <v>39570</v>
      </c>
      <c r="H10108" s="49">
        <f t="shared" si="2"/>
        <v>39168</v>
      </c>
    </row>
    <row r="10109">
      <c r="A10109" s="48" t="s">
        <v>14060</v>
      </c>
      <c r="B10109" s="38">
        <v>74258.0</v>
      </c>
      <c r="C10109" s="38" t="s">
        <v>14061</v>
      </c>
      <c r="D10109" s="38" t="str">
        <f>IFERROR(__xludf.DUMMYFUNCTION("REGEXREPLACE(C10109,""-\d+(.*)|--\d+(.*)"","""")"),"SAMOENS")</f>
        <v>SAMOENS</v>
      </c>
      <c r="E10109" s="38" t="s">
        <v>319</v>
      </c>
      <c r="F10109" s="38" t="s">
        <v>102</v>
      </c>
      <c r="G10109" s="49" t="str">
        <f t="shared" si="1"/>
        <v>74340</v>
      </c>
      <c r="H10109" s="49">
        <f t="shared" si="2"/>
        <v>74258</v>
      </c>
    </row>
    <row r="10110">
      <c r="A10110" s="48" t="s">
        <v>4592</v>
      </c>
      <c r="B10110" s="38">
        <v>26360.0</v>
      </c>
      <c r="C10110" s="38" t="s">
        <v>14062</v>
      </c>
      <c r="D10110" s="38" t="str">
        <f>IFERROR(__xludf.DUMMYFUNCTION("REGEXREPLACE(C10110,""-\d+(.*)|--\d+(.*)"","""")"),"VALAURIE")</f>
        <v>VALAURIE</v>
      </c>
      <c r="E10110" s="38" t="s">
        <v>126</v>
      </c>
      <c r="F10110" s="38" t="s">
        <v>102</v>
      </c>
      <c r="G10110" s="49" t="str">
        <f t="shared" si="1"/>
        <v>26230</v>
      </c>
      <c r="H10110" s="49">
        <f t="shared" si="2"/>
        <v>26360</v>
      </c>
    </row>
    <row r="10111">
      <c r="A10111" s="48" t="s">
        <v>1300</v>
      </c>
      <c r="B10111" s="38">
        <v>60440.0</v>
      </c>
      <c r="C10111" s="38" t="s">
        <v>585</v>
      </c>
      <c r="D10111" s="38" t="str">
        <f>IFERROR(__xludf.DUMMYFUNCTION("REGEXREPLACE(C10111,""-\d+(.*)|--\d+(.*)"","""")"),"MOYENNEVILLE")</f>
        <v>MOYENNEVILLE</v>
      </c>
      <c r="E10111" s="38" t="s">
        <v>112</v>
      </c>
      <c r="F10111" s="38" t="s">
        <v>113</v>
      </c>
      <c r="G10111" s="49" t="str">
        <f t="shared" si="1"/>
        <v>60190</v>
      </c>
      <c r="H10111" s="49">
        <f t="shared" si="2"/>
        <v>60440</v>
      </c>
    </row>
    <row r="10112">
      <c r="A10112" s="48" t="s">
        <v>9679</v>
      </c>
      <c r="B10112" s="38">
        <v>26111.0</v>
      </c>
      <c r="C10112" s="38" t="s">
        <v>14063</v>
      </c>
      <c r="D10112" s="38" t="str">
        <f>IFERROR(__xludf.DUMMYFUNCTION("REGEXREPLACE(C10112,""-\d+(.*)|--\d+(.*)"","""")"),"CRUPIES")</f>
        <v>CRUPIES</v>
      </c>
      <c r="E10112" s="38" t="s">
        <v>126</v>
      </c>
      <c r="F10112" s="38" t="s">
        <v>102</v>
      </c>
      <c r="G10112" s="49" t="str">
        <f t="shared" si="1"/>
        <v>26460</v>
      </c>
      <c r="H10112" s="49">
        <f t="shared" si="2"/>
        <v>26111</v>
      </c>
    </row>
    <row r="10113">
      <c r="A10113" s="48" t="s">
        <v>7596</v>
      </c>
      <c r="B10113" s="38">
        <v>12072.0</v>
      </c>
      <c r="C10113" s="38" t="s">
        <v>14064</v>
      </c>
      <c r="D10113" s="38" t="str">
        <f>IFERROR(__xludf.DUMMYFUNCTION("REGEXREPLACE(C10113,""-\d+(.*)|--\d+(.*)"","""")"),"COMPREGNAC")</f>
        <v>COMPREGNAC</v>
      </c>
      <c r="E10113" s="38" t="s">
        <v>465</v>
      </c>
      <c r="F10113" s="38" t="s">
        <v>94</v>
      </c>
      <c r="G10113" s="49" t="str">
        <f t="shared" si="1"/>
        <v>12100</v>
      </c>
      <c r="H10113" s="49">
        <f t="shared" si="2"/>
        <v>12072</v>
      </c>
    </row>
    <row r="10114">
      <c r="A10114" s="48" t="s">
        <v>425</v>
      </c>
      <c r="B10114" s="38">
        <v>88046.0</v>
      </c>
      <c r="C10114" s="38" t="s">
        <v>14065</v>
      </c>
      <c r="D10114" s="38" t="str">
        <f>IFERROR(__xludf.DUMMYFUNCTION("REGEXREPLACE(C10114,""-\d+(.*)|--\d+(.*)"","""")"),"BEAUMENIL")</f>
        <v>BEAUMENIL</v>
      </c>
      <c r="E10114" s="38" t="s">
        <v>194</v>
      </c>
      <c r="F10114" s="38" t="s">
        <v>195</v>
      </c>
      <c r="G10114" s="49" t="str">
        <f t="shared" si="1"/>
        <v>88600</v>
      </c>
      <c r="H10114" s="49">
        <f t="shared" si="2"/>
        <v>88046</v>
      </c>
    </row>
    <row r="10115">
      <c r="A10115" s="48" t="s">
        <v>14066</v>
      </c>
      <c r="B10115" s="38">
        <v>77165.0</v>
      </c>
      <c r="C10115" s="38" t="s">
        <v>14067</v>
      </c>
      <c r="D10115" s="38" t="str">
        <f>IFERROR(__xludf.DUMMYFUNCTION("REGEXREPLACE(C10115,""-\d+(.*)|--\d+(.*)"","""")"),"LES ECRENNES")</f>
        <v>LES ECRENNES</v>
      </c>
      <c r="E10115" s="38" t="s">
        <v>244</v>
      </c>
      <c r="F10115" s="38" t="s">
        <v>245</v>
      </c>
      <c r="G10115" s="49" t="str">
        <f t="shared" si="1"/>
        <v>77820</v>
      </c>
      <c r="H10115" s="49">
        <f t="shared" si="2"/>
        <v>77165</v>
      </c>
    </row>
    <row r="10116">
      <c r="A10116" s="48" t="s">
        <v>2712</v>
      </c>
      <c r="B10116" s="38">
        <v>72048.0</v>
      </c>
      <c r="C10116" s="38" t="s">
        <v>14068</v>
      </c>
      <c r="D10116" s="38" t="str">
        <f>IFERROR(__xludf.DUMMYFUNCTION("REGEXREPLACE(C10116,""-\d+(.*)|--\d+(.*)"","""")"),"BRIOSNE-LES-SABLES")</f>
        <v>BRIOSNE-LES-SABLES</v>
      </c>
      <c r="E10116" s="38" t="s">
        <v>521</v>
      </c>
      <c r="F10116" s="38" t="s">
        <v>180</v>
      </c>
      <c r="G10116" s="49" t="str">
        <f t="shared" si="1"/>
        <v>72110</v>
      </c>
      <c r="H10116" s="49">
        <f t="shared" si="2"/>
        <v>72048</v>
      </c>
    </row>
    <row r="10117">
      <c r="A10117" s="48" t="s">
        <v>360</v>
      </c>
      <c r="B10117" s="38">
        <v>78236.0</v>
      </c>
      <c r="C10117" s="38" t="s">
        <v>14069</v>
      </c>
      <c r="D10117" s="38" t="str">
        <f>IFERROR(__xludf.DUMMYFUNCTION("REGEXREPLACE(C10117,""-\d+(.*)|--\d+(.*)"","""")"),"FLEXANVILLE")</f>
        <v>FLEXANVILLE</v>
      </c>
      <c r="E10117" s="38" t="s">
        <v>362</v>
      </c>
      <c r="F10117" s="38" t="s">
        <v>245</v>
      </c>
      <c r="G10117" s="49" t="str">
        <f t="shared" si="1"/>
        <v>78910</v>
      </c>
      <c r="H10117" s="49">
        <f t="shared" si="2"/>
        <v>78236</v>
      </c>
    </row>
    <row r="10118">
      <c r="A10118" s="48" t="s">
        <v>1180</v>
      </c>
      <c r="B10118" s="38">
        <v>60518.0</v>
      </c>
      <c r="C10118" s="38" t="s">
        <v>14070</v>
      </c>
      <c r="D10118" s="38" t="str">
        <f>IFERROR(__xludf.DUMMYFUNCTION("REGEXREPLACE(C10118,""-\d+(.*)|--\d+(.*)"","""")"),"PUITS-LA-VALLEE")</f>
        <v>PUITS-LA-VALLEE</v>
      </c>
      <c r="E10118" s="38" t="s">
        <v>112</v>
      </c>
      <c r="F10118" s="38" t="s">
        <v>113</v>
      </c>
      <c r="G10118" s="49" t="str">
        <f t="shared" si="1"/>
        <v>60480</v>
      </c>
      <c r="H10118" s="49">
        <f t="shared" si="2"/>
        <v>60518</v>
      </c>
    </row>
    <row r="10119">
      <c r="A10119" s="48" t="s">
        <v>9223</v>
      </c>
      <c r="B10119" s="38">
        <v>66175.0</v>
      </c>
      <c r="C10119" s="38" t="s">
        <v>14071</v>
      </c>
      <c r="D10119" s="38" t="str">
        <f>IFERROR(__xludf.DUMMYFUNCTION("REGEXREPLACE(C10119,""-\d+(.*)|--\d+(.*)"","""")"),"SAINT-GENIS-DES-FONTAINES")</f>
        <v>SAINT-GENIS-DES-FONTAINES</v>
      </c>
      <c r="E10119" s="38" t="s">
        <v>248</v>
      </c>
      <c r="F10119" s="38" t="s">
        <v>119</v>
      </c>
      <c r="G10119" s="49" t="str">
        <f t="shared" si="1"/>
        <v>66740</v>
      </c>
      <c r="H10119" s="49">
        <f t="shared" si="2"/>
        <v>66175</v>
      </c>
    </row>
    <row r="10120">
      <c r="A10120" s="48" t="s">
        <v>14072</v>
      </c>
      <c r="B10120" s="38">
        <v>71140.0</v>
      </c>
      <c r="C10120" s="38" t="s">
        <v>14073</v>
      </c>
      <c r="D10120" s="38" t="str">
        <f>IFERROR(__xludf.DUMMYFUNCTION("REGEXREPLACE(C10120,""-\d+(.*)|--\d+(.*)"","""")"),"COLLONGE-LA-MADELEINE")</f>
        <v>COLLONGE-LA-MADELEINE</v>
      </c>
      <c r="E10120" s="38" t="s">
        <v>344</v>
      </c>
      <c r="F10120" s="38" t="s">
        <v>106</v>
      </c>
      <c r="G10120" s="49" t="str">
        <f t="shared" si="1"/>
        <v>71360</v>
      </c>
      <c r="H10120" s="49">
        <f t="shared" si="2"/>
        <v>71140</v>
      </c>
    </row>
    <row r="10121">
      <c r="A10121" s="48" t="s">
        <v>1501</v>
      </c>
      <c r="B10121" s="38">
        <v>39115.0</v>
      </c>
      <c r="C10121" s="38" t="s">
        <v>14074</v>
      </c>
      <c r="D10121" s="38" t="str">
        <f>IFERROR(__xludf.DUMMYFUNCTION("REGEXREPLACE(C10121,""-\d+(.*)|--\d+(.*)"","""")"),"CHATEAU-DES-PRES")</f>
        <v>CHATEAU-DES-PRES</v>
      </c>
      <c r="E10121" s="38" t="s">
        <v>400</v>
      </c>
      <c r="F10121" s="38" t="s">
        <v>214</v>
      </c>
      <c r="G10121" s="49" t="str">
        <f t="shared" si="1"/>
        <v>39150</v>
      </c>
      <c r="H10121" s="49">
        <f t="shared" si="2"/>
        <v>39115</v>
      </c>
    </row>
    <row r="10122">
      <c r="A10122" s="48" t="s">
        <v>3570</v>
      </c>
      <c r="B10122" s="38">
        <v>76059.0</v>
      </c>
      <c r="C10122" s="38" t="s">
        <v>14075</v>
      </c>
      <c r="D10122" s="38" t="str">
        <f>IFERROR(__xludf.DUMMYFUNCTION("REGEXREPLACE(C10122,""-\d+(.*)|--\d+(.*)"","""")"),"BAZINVAL")</f>
        <v>BAZINVAL</v>
      </c>
      <c r="E10122" s="38" t="s">
        <v>133</v>
      </c>
      <c r="F10122" s="38" t="s">
        <v>134</v>
      </c>
      <c r="G10122" s="49" t="str">
        <f t="shared" si="1"/>
        <v>76340</v>
      </c>
      <c r="H10122" s="49">
        <f t="shared" si="2"/>
        <v>76059</v>
      </c>
    </row>
    <row r="10123">
      <c r="A10123" s="48" t="s">
        <v>14076</v>
      </c>
      <c r="B10123" s="38">
        <v>7245.0</v>
      </c>
      <c r="C10123" s="38" t="s">
        <v>14077</v>
      </c>
      <c r="D10123" s="38" t="str">
        <f>IFERROR(__xludf.DUMMYFUNCTION("REGEXREPLACE(C10123,""-\d+(.*)|--\d+(.*)"","""")"),"SAINT-JEAN-DE-MUZOLS")</f>
        <v>SAINT-JEAN-DE-MUZOLS</v>
      </c>
      <c r="E10123" s="38" t="s">
        <v>144</v>
      </c>
      <c r="F10123" s="38" t="s">
        <v>102</v>
      </c>
      <c r="G10123" s="49" t="str">
        <f t="shared" si="1"/>
        <v>07300</v>
      </c>
      <c r="H10123" s="49" t="str">
        <f t="shared" si="2"/>
        <v>07245</v>
      </c>
    </row>
    <row r="10124">
      <c r="A10124" s="48" t="s">
        <v>3036</v>
      </c>
      <c r="B10124" s="38">
        <v>61276.0</v>
      </c>
      <c r="C10124" s="38" t="s">
        <v>14078</v>
      </c>
      <c r="D10124" s="38" t="str">
        <f>IFERROR(__xludf.DUMMYFUNCTION("REGEXREPLACE(C10124,""-\d+(.*)|--\d+(.*)"","""")"),"MERRI")</f>
        <v>MERRI</v>
      </c>
      <c r="E10124" s="38" t="s">
        <v>141</v>
      </c>
      <c r="F10124" s="38" t="s">
        <v>138</v>
      </c>
      <c r="G10124" s="49" t="str">
        <f t="shared" si="1"/>
        <v>61160</v>
      </c>
      <c r="H10124" s="49">
        <f t="shared" si="2"/>
        <v>61276</v>
      </c>
    </row>
    <row r="10125">
      <c r="A10125" s="48" t="s">
        <v>2288</v>
      </c>
      <c r="B10125" s="38">
        <v>81087.0</v>
      </c>
      <c r="C10125" s="38" t="s">
        <v>14079</v>
      </c>
      <c r="D10125" s="38" t="str">
        <f>IFERROR(__xludf.DUMMYFUNCTION("REGEXREPLACE(C10125,""-\d+(.*)|--\d+(.*)"","""")"),"FAYSSAC")</f>
        <v>FAYSSAC</v>
      </c>
      <c r="E10125" s="38" t="s">
        <v>231</v>
      </c>
      <c r="F10125" s="38" t="s">
        <v>94</v>
      </c>
      <c r="G10125" s="49" t="str">
        <f t="shared" si="1"/>
        <v>81150</v>
      </c>
      <c r="H10125" s="49">
        <f t="shared" si="2"/>
        <v>81087</v>
      </c>
    </row>
    <row r="10126">
      <c r="A10126" s="48" t="s">
        <v>2270</v>
      </c>
      <c r="B10126" s="38">
        <v>32438.0</v>
      </c>
      <c r="C10126" s="38" t="s">
        <v>14080</v>
      </c>
      <c r="D10126" s="38" t="str">
        <f>IFERROR(__xludf.DUMMYFUNCTION("REGEXREPLACE(C10126,""-\d+(.*)|--\d+(.*)"","""")"),"TACHOIRES")</f>
        <v>TACHOIRES</v>
      </c>
      <c r="E10126" s="38" t="s">
        <v>440</v>
      </c>
      <c r="F10126" s="38" t="s">
        <v>94</v>
      </c>
      <c r="G10126" s="49" t="str">
        <f t="shared" si="1"/>
        <v>32260</v>
      </c>
      <c r="H10126" s="49">
        <f t="shared" si="2"/>
        <v>32438</v>
      </c>
    </row>
    <row r="10127">
      <c r="A10127" s="48" t="s">
        <v>794</v>
      </c>
      <c r="B10127" s="38">
        <v>60058.0</v>
      </c>
      <c r="C10127" s="38" t="s">
        <v>14081</v>
      </c>
      <c r="D10127" s="38" t="str">
        <f>IFERROR(__xludf.DUMMYFUNCTION("REGEXREPLACE(C10127,""-\d+(.*)|--\d+(.*)"","""")"),"BEAUVOIR")</f>
        <v>BEAUVOIR</v>
      </c>
      <c r="E10127" s="38" t="s">
        <v>112</v>
      </c>
      <c r="F10127" s="38" t="s">
        <v>113</v>
      </c>
      <c r="G10127" s="49" t="str">
        <f t="shared" si="1"/>
        <v>60120</v>
      </c>
      <c r="H10127" s="49">
        <f t="shared" si="2"/>
        <v>60058</v>
      </c>
    </row>
    <row r="10128">
      <c r="A10128" s="48" t="s">
        <v>14082</v>
      </c>
      <c r="B10128" s="38">
        <v>64092.0</v>
      </c>
      <c r="C10128" s="38" t="s">
        <v>14083</v>
      </c>
      <c r="D10128" s="38" t="str">
        <f>IFERROR(__xludf.DUMMYFUNCTION("REGEXREPLACE(C10128,""-\d+(.*)|--\d+(.*)"","""")"),"BANCA")</f>
        <v>BANCA</v>
      </c>
      <c r="E10128" s="38" t="s">
        <v>268</v>
      </c>
      <c r="F10128" s="38" t="s">
        <v>252</v>
      </c>
      <c r="G10128" s="49" t="str">
        <f t="shared" si="1"/>
        <v>64430</v>
      </c>
      <c r="H10128" s="49">
        <f t="shared" si="2"/>
        <v>64092</v>
      </c>
    </row>
    <row r="10129">
      <c r="A10129" s="48" t="s">
        <v>5125</v>
      </c>
      <c r="B10129" s="38">
        <v>49122.0</v>
      </c>
      <c r="C10129" s="38" t="s">
        <v>14084</v>
      </c>
      <c r="D10129" s="38" t="str">
        <f>IFERROR(__xludf.DUMMYFUNCTION("REGEXREPLACE(C10129,""-\d+(.*)|--\d+(.*)"","""")"),"DENEZE-SOUS-LE-LUDE")</f>
        <v>DENEZE-SOUS-LE-LUDE</v>
      </c>
      <c r="E10129" s="38" t="s">
        <v>653</v>
      </c>
      <c r="F10129" s="38" t="s">
        <v>180</v>
      </c>
      <c r="G10129" s="49" t="str">
        <f t="shared" si="1"/>
        <v>49490</v>
      </c>
      <c r="H10129" s="49">
        <f t="shared" si="2"/>
        <v>49122</v>
      </c>
    </row>
    <row r="10130">
      <c r="A10130" s="48" t="s">
        <v>236</v>
      </c>
      <c r="B10130" s="38">
        <v>9115.0</v>
      </c>
      <c r="C10130" s="38" t="s">
        <v>14085</v>
      </c>
      <c r="D10130" s="38" t="str">
        <f>IFERROR(__xludf.DUMMYFUNCTION("REGEXREPLACE(C10130,""-\d+(.*)|--\d+(.*)"","""")"),"ESCLAGNE")</f>
        <v>ESCLAGNE</v>
      </c>
      <c r="E10130" s="38" t="s">
        <v>238</v>
      </c>
      <c r="F10130" s="38" t="s">
        <v>94</v>
      </c>
      <c r="G10130" s="49" t="str">
        <f t="shared" si="1"/>
        <v>09600</v>
      </c>
      <c r="H10130" s="49" t="str">
        <f t="shared" si="2"/>
        <v>09115</v>
      </c>
    </row>
    <row r="10131">
      <c r="A10131" s="48" t="s">
        <v>8145</v>
      </c>
      <c r="B10131" s="38">
        <v>9096.0</v>
      </c>
      <c r="C10131" s="38" t="s">
        <v>14086</v>
      </c>
      <c r="D10131" s="38" t="str">
        <f>IFERROR(__xludf.DUMMYFUNCTION("REGEXREPLACE(C10131,""-\d+(.*)|--\d+(.*)"","""")"),"CHATEAU-VERDUN")</f>
        <v>CHATEAU-VERDUN</v>
      </c>
      <c r="E10131" s="38" t="s">
        <v>238</v>
      </c>
      <c r="F10131" s="38" t="s">
        <v>94</v>
      </c>
      <c r="G10131" s="49" t="str">
        <f t="shared" si="1"/>
        <v>09310</v>
      </c>
      <c r="H10131" s="49" t="str">
        <f t="shared" si="2"/>
        <v>09096</v>
      </c>
    </row>
    <row r="10132">
      <c r="A10132" s="48" t="s">
        <v>10651</v>
      </c>
      <c r="B10132" s="38">
        <v>81031.0</v>
      </c>
      <c r="C10132" s="38" t="s">
        <v>14087</v>
      </c>
      <c r="D10132" s="38" t="str">
        <f>IFERROR(__xludf.DUMMYFUNCTION("REGEXREPLACE(C10132,""-\d+(.*)|--\d+(.*)"","""")"),"LE BEZ")</f>
        <v>LE BEZ</v>
      </c>
      <c r="E10132" s="38" t="s">
        <v>231</v>
      </c>
      <c r="F10132" s="38" t="s">
        <v>94</v>
      </c>
      <c r="G10132" s="49" t="str">
        <f t="shared" si="1"/>
        <v>81260</v>
      </c>
      <c r="H10132" s="49">
        <f t="shared" si="2"/>
        <v>81031</v>
      </c>
    </row>
    <row r="10133">
      <c r="A10133" s="48" t="s">
        <v>1495</v>
      </c>
      <c r="B10133" s="38">
        <v>33406.0</v>
      </c>
      <c r="C10133" s="38" t="s">
        <v>14088</v>
      </c>
      <c r="D10133" s="38" t="str">
        <f>IFERROR(__xludf.DUMMYFUNCTION("REGEXREPLACE(C10133,""-\d+(.*)|--\d+(.*)"","""")"),"SAINT-GENES-DE-CASTILLON")</f>
        <v>SAINT-GENES-DE-CASTILLON</v>
      </c>
      <c r="E10133" s="38" t="s">
        <v>462</v>
      </c>
      <c r="F10133" s="38" t="s">
        <v>252</v>
      </c>
      <c r="G10133" s="49" t="str">
        <f t="shared" si="1"/>
        <v>33350</v>
      </c>
      <c r="H10133" s="49">
        <f t="shared" si="2"/>
        <v>33406</v>
      </c>
    </row>
    <row r="10134">
      <c r="A10134" s="48" t="s">
        <v>474</v>
      </c>
      <c r="B10134" s="38">
        <v>76593.0</v>
      </c>
      <c r="C10134" s="38" t="s">
        <v>14089</v>
      </c>
      <c r="D10134" s="38" t="str">
        <f>IFERROR(__xludf.DUMMYFUNCTION("REGEXREPLACE(C10134,""-\d+(.*)|--\d+(.*)"","""")"),"SAINT-JEAN-DE-LA-NEUVILLE")</f>
        <v>SAINT-JEAN-DE-LA-NEUVILLE</v>
      </c>
      <c r="E10134" s="38" t="s">
        <v>133</v>
      </c>
      <c r="F10134" s="38" t="s">
        <v>134</v>
      </c>
      <c r="G10134" s="49" t="str">
        <f t="shared" si="1"/>
        <v>76210</v>
      </c>
      <c r="H10134" s="49">
        <f t="shared" si="2"/>
        <v>76593</v>
      </c>
    </row>
    <row r="10135">
      <c r="A10135" s="48" t="s">
        <v>2775</v>
      </c>
      <c r="B10135" s="38">
        <v>59136.0</v>
      </c>
      <c r="C10135" s="38" t="s">
        <v>14090</v>
      </c>
      <c r="D10135" s="38" t="str">
        <f>IFERROR(__xludf.DUMMYFUNCTION("REGEXREPLACE(C10135,""-\d+(.*)|--\d+(.*)"","""")"),"LE CATEAU-CAMBRESIS")</f>
        <v>LE CATEAU-CAMBRESIS</v>
      </c>
      <c r="E10135" s="38" t="s">
        <v>85</v>
      </c>
      <c r="F10135" s="38" t="s">
        <v>86</v>
      </c>
      <c r="G10135" s="49" t="str">
        <f t="shared" si="1"/>
        <v>59360</v>
      </c>
      <c r="H10135" s="49">
        <f t="shared" si="2"/>
        <v>59136</v>
      </c>
    </row>
    <row r="10136">
      <c r="A10136" s="48" t="s">
        <v>3448</v>
      </c>
      <c r="B10136" s="38">
        <v>65290.0</v>
      </c>
      <c r="C10136" s="38" t="s">
        <v>357</v>
      </c>
      <c r="D10136" s="38" t="str">
        <f>IFERROR(__xludf.DUMMYFUNCTION("REGEXREPLACE(C10136,""-\d+(.*)|--\d+(.*)"","""")"),"LUC")</f>
        <v>LUC</v>
      </c>
      <c r="E10136" s="38" t="s">
        <v>200</v>
      </c>
      <c r="F10136" s="38" t="s">
        <v>94</v>
      </c>
      <c r="G10136" s="49" t="str">
        <f t="shared" si="1"/>
        <v>65190</v>
      </c>
      <c r="H10136" s="49">
        <f t="shared" si="2"/>
        <v>65290</v>
      </c>
    </row>
    <row r="10137">
      <c r="A10137" s="48" t="s">
        <v>6515</v>
      </c>
      <c r="B10137" s="38">
        <v>62289.0</v>
      </c>
      <c r="C10137" s="38" t="s">
        <v>14091</v>
      </c>
      <c r="D10137" s="38" t="str">
        <f>IFERROR(__xludf.DUMMYFUNCTION("REGEXREPLACE(C10137,""-\d+(.*)|--\d+(.*)"","""")"),"ECUIRES")</f>
        <v>ECUIRES</v>
      </c>
      <c r="E10137" s="38" t="s">
        <v>109</v>
      </c>
      <c r="F10137" s="38" t="s">
        <v>86</v>
      </c>
      <c r="G10137" s="49" t="str">
        <f t="shared" si="1"/>
        <v>62170</v>
      </c>
      <c r="H10137" s="49">
        <f t="shared" si="2"/>
        <v>62289</v>
      </c>
    </row>
    <row r="10138">
      <c r="A10138" s="48" t="s">
        <v>2370</v>
      </c>
      <c r="B10138" s="38">
        <v>33399.0</v>
      </c>
      <c r="C10138" s="38" t="s">
        <v>14092</v>
      </c>
      <c r="D10138" s="38" t="str">
        <f>IFERROR(__xludf.DUMMYFUNCTION("REGEXREPLACE(C10138,""-\d+(.*)|--\d+(.*)"","""")"),"SAINT-FELIX-DE-FONCAUDE")</f>
        <v>SAINT-FELIX-DE-FONCAUDE</v>
      </c>
      <c r="E10138" s="38" t="s">
        <v>462</v>
      </c>
      <c r="F10138" s="38" t="s">
        <v>252</v>
      </c>
      <c r="G10138" s="49" t="str">
        <f t="shared" si="1"/>
        <v>33540</v>
      </c>
      <c r="H10138" s="49">
        <f t="shared" si="2"/>
        <v>33399</v>
      </c>
    </row>
    <row r="10139">
      <c r="A10139" s="48" t="s">
        <v>14093</v>
      </c>
      <c r="B10139" s="38">
        <v>1049.0</v>
      </c>
      <c r="C10139" s="38" t="s">
        <v>14094</v>
      </c>
      <c r="D10139" s="38" t="str">
        <f>IFERROR(__xludf.DUMMYFUNCTION("REGEXREPLACE(C10139,""-\d+(.*)|--\d+(.*)"","""")"),"LA BOISSE")</f>
        <v>LA BOISSE</v>
      </c>
      <c r="E10139" s="38" t="s">
        <v>255</v>
      </c>
      <c r="F10139" s="38" t="s">
        <v>102</v>
      </c>
      <c r="G10139" s="49" t="str">
        <f t="shared" si="1"/>
        <v>01120</v>
      </c>
      <c r="H10139" s="49" t="str">
        <f t="shared" si="2"/>
        <v>01049</v>
      </c>
    </row>
    <row r="10140">
      <c r="A10140" s="48" t="s">
        <v>14095</v>
      </c>
      <c r="B10140" s="38">
        <v>1173.0</v>
      </c>
      <c r="C10140" s="38" t="s">
        <v>14096</v>
      </c>
      <c r="D10140" s="38" t="str">
        <f>IFERROR(__xludf.DUMMYFUNCTION("REGEXREPLACE(C10140,""-\d+(.*)|--\d+(.*)"","""")"),"GEX")</f>
        <v>GEX</v>
      </c>
      <c r="E10140" s="38" t="s">
        <v>255</v>
      </c>
      <c r="F10140" s="38" t="s">
        <v>102</v>
      </c>
      <c r="G10140" s="49" t="str">
        <f t="shared" si="1"/>
        <v>01170</v>
      </c>
      <c r="H10140" s="49" t="str">
        <f t="shared" si="2"/>
        <v>01173</v>
      </c>
    </row>
    <row r="10141">
      <c r="A10141" s="48" t="s">
        <v>14097</v>
      </c>
      <c r="B10141" s="38">
        <v>10424.0</v>
      </c>
      <c r="C10141" s="38" t="s">
        <v>4533</v>
      </c>
      <c r="D10141" s="38" t="str">
        <f>IFERROR(__xludf.DUMMYFUNCTION("REGEXREPLACE(C10141,""-\d+(.*)|--\d+(.*)"","""")"),"VILLERET")</f>
        <v>VILLERET</v>
      </c>
      <c r="E10141" s="38" t="s">
        <v>147</v>
      </c>
      <c r="F10141" s="38" t="s">
        <v>130</v>
      </c>
      <c r="G10141" s="49" t="str">
        <f t="shared" si="1"/>
        <v>10330</v>
      </c>
      <c r="H10141" s="49">
        <f t="shared" si="2"/>
        <v>10424</v>
      </c>
    </row>
    <row r="10142">
      <c r="A10142" s="48" t="s">
        <v>1428</v>
      </c>
      <c r="B10142" s="38">
        <v>31412.0</v>
      </c>
      <c r="C10142" s="38" t="s">
        <v>14098</v>
      </c>
      <c r="D10142" s="38" t="str">
        <f>IFERROR(__xludf.DUMMYFUNCTION("REGEXREPLACE(C10142,""-\d+(.*)|--\d+(.*)"","""")"),"PEGUILHAN")</f>
        <v>PEGUILHAN</v>
      </c>
      <c r="E10142" s="38" t="s">
        <v>93</v>
      </c>
      <c r="F10142" s="38" t="s">
        <v>94</v>
      </c>
      <c r="G10142" s="49" t="str">
        <f t="shared" si="1"/>
        <v>31350</v>
      </c>
      <c r="H10142" s="49">
        <f t="shared" si="2"/>
        <v>31412</v>
      </c>
    </row>
    <row r="10143">
      <c r="A10143" s="48" t="s">
        <v>11853</v>
      </c>
      <c r="B10143" s="38">
        <v>38296.0</v>
      </c>
      <c r="C10143" s="38" t="s">
        <v>10482</v>
      </c>
      <c r="D10143" s="38" t="str">
        <f>IFERROR(__xludf.DUMMYFUNCTION("REGEXREPLACE(C10143,""-\d+(.*)|--\d+(.*)"","""")"),"LE PASSAGE")</f>
        <v>LE PASSAGE</v>
      </c>
      <c r="E10143" s="38" t="s">
        <v>101</v>
      </c>
      <c r="F10143" s="38" t="s">
        <v>102</v>
      </c>
      <c r="G10143" s="49" t="str">
        <f t="shared" si="1"/>
        <v>38490</v>
      </c>
      <c r="H10143" s="49">
        <f t="shared" si="2"/>
        <v>38296</v>
      </c>
    </row>
    <row r="10144">
      <c r="A10144" s="48" t="s">
        <v>3693</v>
      </c>
      <c r="B10144" s="38">
        <v>24337.0</v>
      </c>
      <c r="C10144" s="38" t="s">
        <v>14099</v>
      </c>
      <c r="D10144" s="38" t="str">
        <f>IFERROR(__xludf.DUMMYFUNCTION("REGEXREPLACE(C10144,""-\d+(.*)|--\d+(.*)"","""")"),"PRATS-DU-PERIGORD")</f>
        <v>PRATS-DU-PERIGORD</v>
      </c>
      <c r="E10144" s="38" t="s">
        <v>261</v>
      </c>
      <c r="F10144" s="38" t="s">
        <v>252</v>
      </c>
      <c r="G10144" s="49" t="str">
        <f t="shared" si="1"/>
        <v>24550</v>
      </c>
      <c r="H10144" s="49">
        <f t="shared" si="2"/>
        <v>24337</v>
      </c>
    </row>
    <row r="10145">
      <c r="A10145" s="48" t="s">
        <v>8829</v>
      </c>
      <c r="B10145" s="38">
        <v>63415.0</v>
      </c>
      <c r="C10145" s="38" t="s">
        <v>14100</v>
      </c>
      <c r="D10145" s="38" t="str">
        <f>IFERROR(__xludf.DUMMYFUNCTION("REGEXREPLACE(C10145,""-\d+(.*)|--\d+(.*)"","""")"),"SAUXILLANGES")</f>
        <v>SAUXILLANGES</v>
      </c>
      <c r="E10145" s="38" t="s">
        <v>353</v>
      </c>
      <c r="F10145" s="38" t="s">
        <v>161</v>
      </c>
      <c r="G10145" s="49" t="str">
        <f t="shared" si="1"/>
        <v>63490</v>
      </c>
      <c r="H10145" s="49">
        <f t="shared" si="2"/>
        <v>63415</v>
      </c>
    </row>
    <row r="10146">
      <c r="A10146" s="48" t="s">
        <v>14101</v>
      </c>
      <c r="B10146" s="38">
        <v>91457.0</v>
      </c>
      <c r="C10146" s="38" t="s">
        <v>14102</v>
      </c>
      <c r="D10146" s="38" t="str">
        <f>IFERROR(__xludf.DUMMYFUNCTION("REGEXREPLACE(C10146,""-\d+(.*)|--\d+(.*)"","""")"),"LA NORVILLE")</f>
        <v>LA NORVILLE</v>
      </c>
      <c r="E10146" s="38" t="s">
        <v>756</v>
      </c>
      <c r="F10146" s="38" t="s">
        <v>245</v>
      </c>
      <c r="G10146" s="49" t="str">
        <f t="shared" si="1"/>
        <v>91290</v>
      </c>
      <c r="H10146" s="49">
        <f t="shared" si="2"/>
        <v>91457</v>
      </c>
    </row>
    <row r="10147">
      <c r="A10147" s="48" t="s">
        <v>4773</v>
      </c>
      <c r="B10147" s="38">
        <v>87111.0</v>
      </c>
      <c r="C10147" s="38" t="s">
        <v>14103</v>
      </c>
      <c r="D10147" s="38" t="str">
        <f>IFERROR(__xludf.DUMMYFUNCTION("REGEXREPLACE(C10147,""-\d+(.*)|--\d+(.*)"","""")"),"ORADOUR-SUR-VAYRES")</f>
        <v>ORADOUR-SUR-VAYRES</v>
      </c>
      <c r="E10147" s="38" t="s">
        <v>897</v>
      </c>
      <c r="F10147" s="38" t="s">
        <v>98</v>
      </c>
      <c r="G10147" s="49" t="str">
        <f t="shared" si="1"/>
        <v>87150</v>
      </c>
      <c r="H10147" s="49">
        <f t="shared" si="2"/>
        <v>87111</v>
      </c>
    </row>
    <row r="10148">
      <c r="A10148" s="48" t="s">
        <v>1159</v>
      </c>
      <c r="B10148" s="38">
        <v>60148.0</v>
      </c>
      <c r="C10148" s="38" t="s">
        <v>14104</v>
      </c>
      <c r="D10148" s="38" t="str">
        <f>IFERROR(__xludf.DUMMYFUNCTION("REGEXREPLACE(C10148,""-\d+(.*)|--\d+(.*)"","""")"),"CHEVREVILLE")</f>
        <v>CHEVREVILLE</v>
      </c>
      <c r="E10148" s="38" t="s">
        <v>112</v>
      </c>
      <c r="F10148" s="38" t="s">
        <v>113</v>
      </c>
      <c r="G10148" s="49" t="str">
        <f t="shared" si="1"/>
        <v>60440</v>
      </c>
      <c r="H10148" s="49">
        <f t="shared" si="2"/>
        <v>60148</v>
      </c>
    </row>
    <row r="10149">
      <c r="A10149" s="48" t="s">
        <v>6480</v>
      </c>
      <c r="B10149" s="38">
        <v>74089.0</v>
      </c>
      <c r="C10149" s="38" t="s">
        <v>14105</v>
      </c>
      <c r="D10149" s="38" t="str">
        <f>IFERROR(__xludf.DUMMYFUNCTION("REGEXREPLACE(C10149,""-\d+(.*)|--\d+(.*)"","""")"),"CORDON")</f>
        <v>CORDON</v>
      </c>
      <c r="E10149" s="38" t="s">
        <v>319</v>
      </c>
      <c r="F10149" s="38" t="s">
        <v>102</v>
      </c>
      <c r="G10149" s="49" t="str">
        <f t="shared" si="1"/>
        <v>74700</v>
      </c>
      <c r="H10149" s="49">
        <f t="shared" si="2"/>
        <v>74089</v>
      </c>
    </row>
    <row r="10150">
      <c r="A10150" s="48" t="s">
        <v>4659</v>
      </c>
      <c r="B10150" s="38">
        <v>32447.0</v>
      </c>
      <c r="C10150" s="38" t="s">
        <v>14106</v>
      </c>
      <c r="D10150" s="38" t="str">
        <f>IFERROR(__xludf.DUMMYFUNCTION("REGEXREPLACE(C10150,""-\d+(.*)|--\d+(.*)"","""")"),"TIRENT-PONTEJAC")</f>
        <v>TIRENT-PONTEJAC</v>
      </c>
      <c r="E10150" s="38" t="s">
        <v>440</v>
      </c>
      <c r="F10150" s="38" t="s">
        <v>94</v>
      </c>
      <c r="G10150" s="49" t="str">
        <f t="shared" si="1"/>
        <v>32450</v>
      </c>
      <c r="H10150" s="49">
        <f t="shared" si="2"/>
        <v>32447</v>
      </c>
    </row>
    <row r="10151">
      <c r="A10151" s="48" t="s">
        <v>10212</v>
      </c>
      <c r="B10151" s="38">
        <v>74217.0</v>
      </c>
      <c r="C10151" s="38" t="s">
        <v>14107</v>
      </c>
      <c r="D10151" s="38" t="str">
        <f>IFERROR(__xludf.DUMMYFUNCTION("REGEXREPLACE(C10151,""-\d+(.*)|--\d+(.*)"","""")"),"PRINGY")</f>
        <v>PRINGY</v>
      </c>
      <c r="E10151" s="38" t="s">
        <v>319</v>
      </c>
      <c r="F10151" s="38" t="s">
        <v>102</v>
      </c>
      <c r="G10151" s="49" t="str">
        <f t="shared" si="1"/>
        <v>74370</v>
      </c>
      <c r="H10151" s="49">
        <f t="shared" si="2"/>
        <v>74217</v>
      </c>
    </row>
    <row r="10152">
      <c r="A10152" s="48" t="s">
        <v>12536</v>
      </c>
      <c r="B10152" s="38">
        <v>6130.0</v>
      </c>
      <c r="C10152" s="38" t="s">
        <v>14108</v>
      </c>
      <c r="D10152" s="38" t="str">
        <f>IFERROR(__xludf.DUMMYFUNCTION("REGEXREPLACE(C10152,""-\d+(.*)|--\d+(.*)"","""")"),"SAINT-VALLIER-DE-THIEY")</f>
        <v>SAINT-VALLIER-DE-THIEY</v>
      </c>
      <c r="E10152" s="38" t="s">
        <v>227</v>
      </c>
      <c r="F10152" s="38" t="s">
        <v>228</v>
      </c>
      <c r="G10152" s="49" t="str">
        <f t="shared" si="1"/>
        <v>06460</v>
      </c>
      <c r="H10152" s="49" t="str">
        <f t="shared" si="2"/>
        <v>06130</v>
      </c>
    </row>
    <row r="10153">
      <c r="A10153" s="48" t="s">
        <v>10617</v>
      </c>
      <c r="B10153" s="38">
        <v>29104.0</v>
      </c>
      <c r="C10153" s="38" t="s">
        <v>14109</v>
      </c>
      <c r="D10153" s="38" t="str">
        <f>IFERROR(__xludf.DUMMYFUNCTION("REGEXREPLACE(C10153,""-\d+(.*)|--\d+(.*)"","""")"),"LANDEVENNEC")</f>
        <v>LANDEVENNEC</v>
      </c>
      <c r="E10153" s="38" t="s">
        <v>176</v>
      </c>
      <c r="F10153" s="38" t="s">
        <v>90</v>
      </c>
      <c r="G10153" s="49" t="str">
        <f t="shared" si="1"/>
        <v>29560</v>
      </c>
      <c r="H10153" s="49">
        <f t="shared" si="2"/>
        <v>29104</v>
      </c>
    </row>
    <row r="10154">
      <c r="A10154" s="48" t="s">
        <v>2159</v>
      </c>
      <c r="B10154" s="38">
        <v>57698.0</v>
      </c>
      <c r="C10154" s="38" t="s">
        <v>14110</v>
      </c>
      <c r="D10154" s="38" t="str">
        <f>IFERROR(__xludf.DUMMYFUNCTION("REGEXREPLACE(C10154,""-\d+(.*)|--\d+(.*)"","""")"),"VATIMONT")</f>
        <v>VATIMONT</v>
      </c>
      <c r="E10154" s="38" t="s">
        <v>303</v>
      </c>
      <c r="F10154" s="38" t="s">
        <v>195</v>
      </c>
      <c r="G10154" s="49" t="str">
        <f t="shared" si="1"/>
        <v>57580</v>
      </c>
      <c r="H10154" s="49">
        <f t="shared" si="2"/>
        <v>57698</v>
      </c>
    </row>
    <row r="10155">
      <c r="A10155" s="48" t="s">
        <v>1928</v>
      </c>
      <c r="B10155" s="38">
        <v>1211.0</v>
      </c>
      <c r="C10155" s="38" t="s">
        <v>5090</v>
      </c>
      <c r="D10155" s="38" t="str">
        <f>IFERROR(__xludf.DUMMYFUNCTION("REGEXREPLACE(C10155,""-\d+(.*)|--\d+(.*)"","""")"),"LENT")</f>
        <v>LENT</v>
      </c>
      <c r="E10155" s="38" t="s">
        <v>255</v>
      </c>
      <c r="F10155" s="38" t="s">
        <v>102</v>
      </c>
      <c r="G10155" s="49" t="str">
        <f t="shared" si="1"/>
        <v>01240</v>
      </c>
      <c r="H10155" s="49" t="str">
        <f t="shared" si="2"/>
        <v>01211</v>
      </c>
    </row>
    <row r="10156">
      <c r="A10156" s="48" t="s">
        <v>792</v>
      </c>
      <c r="B10156" s="38">
        <v>2809.0</v>
      </c>
      <c r="C10156" s="38" t="s">
        <v>14111</v>
      </c>
      <c r="D10156" s="38" t="str">
        <f>IFERROR(__xludf.DUMMYFUNCTION("REGEXREPLACE(C10156,""-\d+(.*)|--\d+(.*)"","""")"),"VILLERS-AGRON-AIGUIZY")</f>
        <v>VILLERS-AGRON-AIGUIZY</v>
      </c>
      <c r="E10156" s="38" t="s">
        <v>191</v>
      </c>
      <c r="F10156" s="38" t="s">
        <v>113</v>
      </c>
      <c r="G10156" s="49" t="str">
        <f t="shared" si="1"/>
        <v>02130</v>
      </c>
      <c r="H10156" s="49" t="str">
        <f t="shared" si="2"/>
        <v>02809</v>
      </c>
    </row>
    <row r="10157">
      <c r="A10157" s="48" t="s">
        <v>1772</v>
      </c>
      <c r="B10157" s="38">
        <v>53243.0</v>
      </c>
      <c r="C10157" s="38" t="s">
        <v>14112</v>
      </c>
      <c r="D10157" s="38" t="str">
        <f>IFERROR(__xludf.DUMMYFUNCTION("REGEXREPLACE(C10157,""-\d+(.*)|--\d+(.*)"","""")"),"SAINT-OUEN-DES-TOITS")</f>
        <v>SAINT-OUEN-DES-TOITS</v>
      </c>
      <c r="E10157" s="38" t="s">
        <v>518</v>
      </c>
      <c r="F10157" s="38" t="s">
        <v>180</v>
      </c>
      <c r="G10157" s="49" t="str">
        <f t="shared" si="1"/>
        <v>53410</v>
      </c>
      <c r="H10157" s="49">
        <f t="shared" si="2"/>
        <v>53243</v>
      </c>
    </row>
    <row r="10158">
      <c r="A10158" s="48" t="s">
        <v>12322</v>
      </c>
      <c r="B10158" s="38">
        <v>89218.0</v>
      </c>
      <c r="C10158" s="38" t="s">
        <v>14113</v>
      </c>
      <c r="D10158" s="38" t="str">
        <f>IFERROR(__xludf.DUMMYFUNCTION("REGEXREPLACE(C10158,""-\d+(.*)|--\d+(.*)"","""")"),"LAROCHE-SAINT-CYDROINE")</f>
        <v>LAROCHE-SAINT-CYDROINE</v>
      </c>
      <c r="E10158" s="38" t="s">
        <v>275</v>
      </c>
      <c r="F10158" s="38" t="s">
        <v>106</v>
      </c>
      <c r="G10158" s="49" t="str">
        <f t="shared" si="1"/>
        <v>89400</v>
      </c>
      <c r="H10158" s="49">
        <f t="shared" si="2"/>
        <v>89218</v>
      </c>
    </row>
    <row r="10159">
      <c r="A10159" s="48" t="s">
        <v>1783</v>
      </c>
      <c r="B10159" s="38">
        <v>60365.0</v>
      </c>
      <c r="C10159" s="38" t="s">
        <v>14114</v>
      </c>
      <c r="D10159" s="38" t="str">
        <f>IFERROR(__xludf.DUMMYFUNCTION("REGEXREPLACE(C10159,""-\d+(.*)|--\d+(.*)"","""")"),"LIHUS")</f>
        <v>LIHUS</v>
      </c>
      <c r="E10159" s="38" t="s">
        <v>112</v>
      </c>
      <c r="F10159" s="38" t="s">
        <v>113</v>
      </c>
      <c r="G10159" s="49" t="str">
        <f t="shared" si="1"/>
        <v>60360</v>
      </c>
      <c r="H10159" s="49">
        <f t="shared" si="2"/>
        <v>60365</v>
      </c>
    </row>
    <row r="10160">
      <c r="A10160" s="48" t="s">
        <v>14115</v>
      </c>
      <c r="B10160" s="38">
        <v>77065.0</v>
      </c>
      <c r="C10160" s="38" t="s">
        <v>14116</v>
      </c>
      <c r="D10160" s="38" t="str">
        <f>IFERROR(__xludf.DUMMYFUNCTION("REGEXREPLACE(C10160,""-\d+(.*)|--\d+(.*)"","""")"),"CELY")</f>
        <v>CELY</v>
      </c>
      <c r="E10160" s="38" t="s">
        <v>244</v>
      </c>
      <c r="F10160" s="38" t="s">
        <v>245</v>
      </c>
      <c r="G10160" s="49" t="str">
        <f t="shared" si="1"/>
        <v>77930</v>
      </c>
      <c r="H10160" s="49">
        <f t="shared" si="2"/>
        <v>77065</v>
      </c>
    </row>
    <row r="10161">
      <c r="A10161" s="48" t="s">
        <v>2495</v>
      </c>
      <c r="B10161" s="38">
        <v>41092.0</v>
      </c>
      <c r="C10161" s="38" t="s">
        <v>14117</v>
      </c>
      <c r="D10161" s="38" t="str">
        <f>IFERROR(__xludf.DUMMYFUNCTION("REGEXREPLACE(C10161,""-\d+(.*)|--\d+(.*)"","""")"),"FOUGERES-SUR-BIEVRE")</f>
        <v>FOUGERES-SUR-BIEVRE</v>
      </c>
      <c r="E10161" s="38" t="s">
        <v>188</v>
      </c>
      <c r="F10161" s="38" t="s">
        <v>123</v>
      </c>
      <c r="G10161" s="49" t="str">
        <f t="shared" si="1"/>
        <v>41120</v>
      </c>
      <c r="H10161" s="49">
        <f t="shared" si="2"/>
        <v>41092</v>
      </c>
    </row>
    <row r="10162">
      <c r="A10162" s="48" t="s">
        <v>14118</v>
      </c>
      <c r="B10162" s="38">
        <v>87162.0</v>
      </c>
      <c r="C10162" s="38" t="s">
        <v>14119</v>
      </c>
      <c r="D10162" s="38" t="str">
        <f>IFERROR(__xludf.DUMMYFUNCTION("REGEXREPLACE(C10162,""-\d+(.*)|--\d+(.*)"","""")"),"SAINTE-MARIE-DE-VAUX")</f>
        <v>SAINTE-MARIE-DE-VAUX</v>
      </c>
      <c r="E10162" s="38" t="s">
        <v>897</v>
      </c>
      <c r="F10162" s="38" t="s">
        <v>98</v>
      </c>
      <c r="G10162" s="49" t="str">
        <f t="shared" si="1"/>
        <v>87420</v>
      </c>
      <c r="H10162" s="49">
        <f t="shared" si="2"/>
        <v>87162</v>
      </c>
    </row>
    <row r="10163">
      <c r="A10163" s="48" t="s">
        <v>8396</v>
      </c>
      <c r="B10163" s="38">
        <v>7213.0</v>
      </c>
      <c r="C10163" s="38" t="s">
        <v>14120</v>
      </c>
      <c r="D10163" s="38" t="str">
        <f>IFERROR(__xludf.DUMMYFUNCTION("REGEXREPLACE(C10163,""-\d+(.*)|--\d+(.*)"","""")"),"SAINT-ANDRE-LACHAMP")</f>
        <v>SAINT-ANDRE-LACHAMP</v>
      </c>
      <c r="E10163" s="38" t="s">
        <v>144</v>
      </c>
      <c r="F10163" s="38" t="s">
        <v>102</v>
      </c>
      <c r="G10163" s="49" t="str">
        <f t="shared" si="1"/>
        <v>07230</v>
      </c>
      <c r="H10163" s="49" t="str">
        <f t="shared" si="2"/>
        <v>07213</v>
      </c>
    </row>
    <row r="10164">
      <c r="A10164" s="48" t="s">
        <v>4905</v>
      </c>
      <c r="B10164" s="38">
        <v>64225.0</v>
      </c>
      <c r="C10164" s="38" t="s">
        <v>14121</v>
      </c>
      <c r="D10164" s="38" t="str">
        <f>IFERROR(__xludf.DUMMYFUNCTION("REGEXREPLACE(C10164,""-\d+(.*)|--\d+(.*)"","""")"),"FEAS")</f>
        <v>FEAS</v>
      </c>
      <c r="E10164" s="38" t="s">
        <v>268</v>
      </c>
      <c r="F10164" s="38" t="s">
        <v>252</v>
      </c>
      <c r="G10164" s="49" t="str">
        <f t="shared" si="1"/>
        <v>64570</v>
      </c>
      <c r="H10164" s="49">
        <f t="shared" si="2"/>
        <v>64225</v>
      </c>
    </row>
    <row r="10165">
      <c r="A10165" s="48" t="s">
        <v>2469</v>
      </c>
      <c r="B10165" s="38">
        <v>8370.0</v>
      </c>
      <c r="C10165" s="38" t="s">
        <v>14122</v>
      </c>
      <c r="D10165" s="38" t="str">
        <f>IFERROR(__xludf.DUMMYFUNCTION("REGEXREPLACE(C10165,""-\d+(.*)|--\d+(.*)"","""")"),"ROUVROY-SUR-AUDRY")</f>
        <v>ROUVROY-SUR-AUDRY</v>
      </c>
      <c r="E10165" s="38" t="s">
        <v>327</v>
      </c>
      <c r="F10165" s="38" t="s">
        <v>130</v>
      </c>
      <c r="G10165" s="49" t="str">
        <f t="shared" si="1"/>
        <v>08150</v>
      </c>
      <c r="H10165" s="49" t="str">
        <f t="shared" si="2"/>
        <v>08370</v>
      </c>
    </row>
    <row r="10166">
      <c r="A10166" s="48" t="s">
        <v>5596</v>
      </c>
      <c r="B10166" s="38">
        <v>25503.0</v>
      </c>
      <c r="C10166" s="38" t="s">
        <v>14123</v>
      </c>
      <c r="D10166" s="38" t="str">
        <f>IFERROR(__xludf.DUMMYFUNCTION("REGEXREPLACE(C10166,""-\d+(.*)|--\d+(.*)"","""")"),"ROSIERES-SUR-BARBECHE")</f>
        <v>ROSIERES-SUR-BARBECHE</v>
      </c>
      <c r="E10166" s="38" t="s">
        <v>213</v>
      </c>
      <c r="F10166" s="38" t="s">
        <v>214</v>
      </c>
      <c r="G10166" s="49" t="str">
        <f t="shared" si="1"/>
        <v>25190</v>
      </c>
      <c r="H10166" s="49">
        <f t="shared" si="2"/>
        <v>25503</v>
      </c>
    </row>
    <row r="10167">
      <c r="A10167" s="48" t="s">
        <v>14124</v>
      </c>
      <c r="B10167" s="38">
        <v>91494.0</v>
      </c>
      <c r="C10167" s="38" t="s">
        <v>14125</v>
      </c>
      <c r="D10167" s="38" t="str">
        <f>IFERROR(__xludf.DUMMYFUNCTION("REGEXREPLACE(C10167,""-\d+(.*)|--\d+(.*)"","""")"),"LE PLESSIS-PATE")</f>
        <v>LE PLESSIS-PATE</v>
      </c>
      <c r="E10167" s="38" t="s">
        <v>756</v>
      </c>
      <c r="F10167" s="38" t="s">
        <v>245</v>
      </c>
      <c r="G10167" s="49" t="str">
        <f t="shared" si="1"/>
        <v>91220</v>
      </c>
      <c r="H10167" s="49">
        <f t="shared" si="2"/>
        <v>91494</v>
      </c>
    </row>
    <row r="10168">
      <c r="A10168" s="48" t="s">
        <v>12958</v>
      </c>
      <c r="B10168" s="38">
        <v>27383.0</v>
      </c>
      <c r="C10168" s="38" t="s">
        <v>14126</v>
      </c>
      <c r="D10168" s="38" t="str">
        <f>IFERROR(__xludf.DUMMYFUNCTION("REGEXREPLACE(C10168,""-\d+(.*)|--\d+(.*)"","""")"),"MANDRES")</f>
        <v>MANDRES</v>
      </c>
      <c r="E10168" s="38" t="s">
        <v>241</v>
      </c>
      <c r="F10168" s="38" t="s">
        <v>134</v>
      </c>
      <c r="G10168" s="49" t="str">
        <f t="shared" si="1"/>
        <v>27130</v>
      </c>
      <c r="H10168" s="49">
        <f t="shared" si="2"/>
        <v>27383</v>
      </c>
    </row>
    <row r="10169">
      <c r="A10169" s="48" t="s">
        <v>7874</v>
      </c>
      <c r="B10169" s="38">
        <v>40264.0</v>
      </c>
      <c r="C10169" s="38" t="s">
        <v>14127</v>
      </c>
      <c r="D10169" s="38" t="str">
        <f>IFERROR(__xludf.DUMMYFUNCTION("REGEXREPLACE(C10169,""-\d+(.*)|--\d+(.*)"","""")"),"SAINT-JEAN-DE-MARSACQ")</f>
        <v>SAINT-JEAN-DE-MARSACQ</v>
      </c>
      <c r="E10169" s="38" t="s">
        <v>281</v>
      </c>
      <c r="F10169" s="38" t="s">
        <v>252</v>
      </c>
      <c r="G10169" s="49" t="str">
        <f t="shared" si="1"/>
        <v>40230</v>
      </c>
      <c r="H10169" s="49">
        <f t="shared" si="2"/>
        <v>40264</v>
      </c>
    </row>
    <row r="10170">
      <c r="A10170" s="48" t="s">
        <v>14128</v>
      </c>
      <c r="B10170" s="38">
        <v>84122.0</v>
      </c>
      <c r="C10170" s="38" t="s">
        <v>14129</v>
      </c>
      <c r="D10170" s="38" t="str">
        <f>IFERROR(__xludf.DUMMYFUNCTION("REGEXREPLACE(C10170,""-\d+(.*)|--\d+(.*)"","""")"),"SARRIANS")</f>
        <v>SARRIANS</v>
      </c>
      <c r="E10170" s="38" t="s">
        <v>1026</v>
      </c>
      <c r="F10170" s="38" t="s">
        <v>228</v>
      </c>
      <c r="G10170" s="49" t="str">
        <f t="shared" si="1"/>
        <v>84260</v>
      </c>
      <c r="H10170" s="49">
        <f t="shared" si="2"/>
        <v>84122</v>
      </c>
    </row>
    <row r="10171">
      <c r="A10171" s="48" t="s">
        <v>9365</v>
      </c>
      <c r="B10171" s="38">
        <v>90059.0</v>
      </c>
      <c r="C10171" s="38" t="s">
        <v>14130</v>
      </c>
      <c r="D10171" s="38" t="str">
        <f>IFERROR(__xludf.DUMMYFUNCTION("REGEXREPLACE(C10171,""-\d+(.*)|--\d+(.*)"","""")"),"LACOLLONGE")</f>
        <v>LACOLLONGE</v>
      </c>
      <c r="E10171" s="38" t="s">
        <v>1283</v>
      </c>
      <c r="F10171" s="38" t="s">
        <v>214</v>
      </c>
      <c r="G10171" s="49" t="str">
        <f t="shared" si="1"/>
        <v>90150</v>
      </c>
      <c r="H10171" s="49">
        <f t="shared" si="2"/>
        <v>90059</v>
      </c>
    </row>
    <row r="10172">
      <c r="A10172" s="48" t="s">
        <v>13458</v>
      </c>
      <c r="B10172" s="38">
        <v>53106.0</v>
      </c>
      <c r="C10172" s="38" t="s">
        <v>14131</v>
      </c>
      <c r="D10172" s="38" t="str">
        <f>IFERROR(__xludf.DUMMYFUNCTION("REGEXREPLACE(C10172,""-\d+(.*)|--\d+(.*)"","""")"),"GESVRES")</f>
        <v>GESVRES</v>
      </c>
      <c r="E10172" s="38" t="s">
        <v>518</v>
      </c>
      <c r="F10172" s="38" t="s">
        <v>180</v>
      </c>
      <c r="G10172" s="49" t="str">
        <f t="shared" si="1"/>
        <v>53370</v>
      </c>
      <c r="H10172" s="49">
        <f t="shared" si="2"/>
        <v>53106</v>
      </c>
    </row>
    <row r="10173">
      <c r="A10173" s="48" t="s">
        <v>10746</v>
      </c>
      <c r="B10173" s="38">
        <v>88054.0</v>
      </c>
      <c r="C10173" s="38" t="s">
        <v>14132</v>
      </c>
      <c r="D10173" s="38" t="str">
        <f>IFERROR(__xludf.DUMMYFUNCTION("REGEXREPLACE(C10173,""-\d+(.*)|--\d+(.*)"","""")"),"BERTRIMOUTIER")</f>
        <v>BERTRIMOUTIER</v>
      </c>
      <c r="E10173" s="38" t="s">
        <v>194</v>
      </c>
      <c r="F10173" s="38" t="s">
        <v>195</v>
      </c>
      <c r="G10173" s="49" t="str">
        <f t="shared" si="1"/>
        <v>88520</v>
      </c>
      <c r="H10173" s="49">
        <f t="shared" si="2"/>
        <v>88054</v>
      </c>
    </row>
    <row r="10174">
      <c r="A10174" s="48" t="s">
        <v>14133</v>
      </c>
      <c r="B10174" s="38">
        <v>45267.0</v>
      </c>
      <c r="C10174" s="38" t="s">
        <v>14134</v>
      </c>
      <c r="D10174" s="38" t="str">
        <f>IFERROR(__xludf.DUMMYFUNCTION("REGEXREPLACE(C10174,""-\d+(.*)|--\d+(.*)"","""")"),"SAINT-AIGNAN-DES-GUES")</f>
        <v>SAINT-AIGNAN-DES-GUES</v>
      </c>
      <c r="E10174" s="38" t="s">
        <v>122</v>
      </c>
      <c r="F10174" s="38" t="s">
        <v>123</v>
      </c>
      <c r="G10174" s="49" t="str">
        <f t="shared" si="1"/>
        <v>45460</v>
      </c>
      <c r="H10174" s="49">
        <f t="shared" si="2"/>
        <v>45267</v>
      </c>
    </row>
    <row r="10175">
      <c r="A10175" s="48" t="s">
        <v>384</v>
      </c>
      <c r="B10175" s="38">
        <v>55426.0</v>
      </c>
      <c r="C10175" s="38" t="s">
        <v>14135</v>
      </c>
      <c r="D10175" s="38" t="str">
        <f>IFERROR(__xludf.DUMMYFUNCTION("REGEXREPLACE(C10175,""-\d+(.*)|--\d+(.*)"","""")"),"RESSON")</f>
        <v>RESSON</v>
      </c>
      <c r="E10175" s="38" t="s">
        <v>322</v>
      </c>
      <c r="F10175" s="38" t="s">
        <v>195</v>
      </c>
      <c r="G10175" s="49" t="str">
        <f t="shared" si="1"/>
        <v>55000</v>
      </c>
      <c r="H10175" s="49">
        <f t="shared" si="2"/>
        <v>55426</v>
      </c>
    </row>
    <row r="10176">
      <c r="A10176" s="48" t="s">
        <v>5311</v>
      </c>
      <c r="B10176" s="38">
        <v>55359.0</v>
      </c>
      <c r="C10176" s="38" t="s">
        <v>14136</v>
      </c>
      <c r="D10176" s="38" t="str">
        <f>IFERROR(__xludf.DUMMYFUNCTION("REGEXREPLACE(C10176,""-\d+(.*)|--\d+(.*)"","""")"),"MORLEY")</f>
        <v>MORLEY</v>
      </c>
      <c r="E10176" s="38" t="s">
        <v>322</v>
      </c>
      <c r="F10176" s="38" t="s">
        <v>195</v>
      </c>
      <c r="G10176" s="49" t="str">
        <f t="shared" si="1"/>
        <v>55290</v>
      </c>
      <c r="H10176" s="49">
        <f t="shared" si="2"/>
        <v>55359</v>
      </c>
    </row>
    <row r="10177">
      <c r="A10177" s="48" t="s">
        <v>14137</v>
      </c>
      <c r="B10177" s="38">
        <v>69155.0</v>
      </c>
      <c r="C10177" s="38" t="s">
        <v>14138</v>
      </c>
      <c r="D10177" s="38" t="str">
        <f>IFERROR(__xludf.DUMMYFUNCTION("REGEXREPLACE(C10177,""-\d+(.*)|--\d+(.*)"","""")"),"POMEYS")</f>
        <v>POMEYS</v>
      </c>
      <c r="E10177" s="38" t="s">
        <v>350</v>
      </c>
      <c r="F10177" s="38" t="s">
        <v>102</v>
      </c>
      <c r="G10177" s="49" t="str">
        <f t="shared" si="1"/>
        <v>69590</v>
      </c>
      <c r="H10177" s="49">
        <f t="shared" si="2"/>
        <v>69155</v>
      </c>
    </row>
    <row r="10178">
      <c r="A10178" s="48" t="s">
        <v>434</v>
      </c>
      <c r="B10178" s="38">
        <v>55554.0</v>
      </c>
      <c r="C10178" s="38" t="s">
        <v>14139</v>
      </c>
      <c r="D10178" s="38" t="str">
        <f>IFERROR(__xludf.DUMMYFUNCTION("REGEXREPLACE(C10178,""-\d+(.*)|--\d+(.*)"","""")"),"VILLECLOYE")</f>
        <v>VILLECLOYE</v>
      </c>
      <c r="E10178" s="38" t="s">
        <v>322</v>
      </c>
      <c r="F10178" s="38" t="s">
        <v>195</v>
      </c>
      <c r="G10178" s="49" t="str">
        <f t="shared" si="1"/>
        <v>55600</v>
      </c>
      <c r="H10178" s="49">
        <f t="shared" si="2"/>
        <v>55554</v>
      </c>
    </row>
    <row r="10179">
      <c r="A10179" s="48" t="s">
        <v>2176</v>
      </c>
      <c r="B10179" s="38">
        <v>62433.0</v>
      </c>
      <c r="C10179" s="38" t="s">
        <v>14140</v>
      </c>
      <c r="D10179" s="38" t="str">
        <f>IFERROR(__xludf.DUMMYFUNCTION("REGEXREPLACE(C10179,""-\d+(.*)|--\d+(.*)"","""")"),"HERICOURT")</f>
        <v>HERICOURT</v>
      </c>
      <c r="E10179" s="38" t="s">
        <v>109</v>
      </c>
      <c r="F10179" s="38" t="s">
        <v>86</v>
      </c>
      <c r="G10179" s="49" t="str">
        <f t="shared" si="1"/>
        <v>62130</v>
      </c>
      <c r="H10179" s="49">
        <f t="shared" si="2"/>
        <v>62433</v>
      </c>
    </row>
    <row r="10180">
      <c r="A10180" s="48" t="s">
        <v>7712</v>
      </c>
      <c r="B10180" s="38">
        <v>9013.0</v>
      </c>
      <c r="C10180" s="38" t="s">
        <v>14141</v>
      </c>
      <c r="D10180" s="38" t="str">
        <f>IFERROR(__xludf.DUMMYFUNCTION("REGEXREPLACE(C10180,""-\d+(.*)|--\d+(.*)"","""")"),"ARABAUX")</f>
        <v>ARABAUX</v>
      </c>
      <c r="E10180" s="38" t="s">
        <v>238</v>
      </c>
      <c r="F10180" s="38" t="s">
        <v>94</v>
      </c>
      <c r="G10180" s="49" t="str">
        <f t="shared" si="1"/>
        <v>09000</v>
      </c>
      <c r="H10180" s="49" t="str">
        <f t="shared" si="2"/>
        <v>09013</v>
      </c>
    </row>
    <row r="10181">
      <c r="A10181" s="48" t="s">
        <v>2225</v>
      </c>
      <c r="B10181" s="38">
        <v>22082.0</v>
      </c>
      <c r="C10181" s="38" t="s">
        <v>14142</v>
      </c>
      <c r="D10181" s="38" t="str">
        <f>IFERROR(__xludf.DUMMYFUNCTION("REGEXREPLACE(C10181,""-\d+(.*)|--\d+(.*)"","""")"),"LE HINGLE")</f>
        <v>LE HINGLE</v>
      </c>
      <c r="E10181" s="38" t="s">
        <v>89</v>
      </c>
      <c r="F10181" s="38" t="s">
        <v>90</v>
      </c>
      <c r="G10181" s="49" t="str">
        <f t="shared" si="1"/>
        <v>22100</v>
      </c>
      <c r="H10181" s="49">
        <f t="shared" si="2"/>
        <v>22082</v>
      </c>
    </row>
    <row r="10182">
      <c r="A10182" s="48" t="s">
        <v>372</v>
      </c>
      <c r="B10182" s="38">
        <v>29018.0</v>
      </c>
      <c r="C10182" s="38" t="s">
        <v>14143</v>
      </c>
      <c r="D10182" s="38" t="str">
        <f>IFERROR(__xludf.DUMMYFUNCTION("REGEXREPLACE(C10182,""-\d+(.*)|--\d+(.*)"","""")"),"BRENNILIS")</f>
        <v>BRENNILIS</v>
      </c>
      <c r="E10182" s="38" t="s">
        <v>176</v>
      </c>
      <c r="F10182" s="38" t="s">
        <v>90</v>
      </c>
      <c r="G10182" s="49" t="str">
        <f t="shared" si="1"/>
        <v>29690</v>
      </c>
      <c r="H10182" s="49">
        <f t="shared" si="2"/>
        <v>29018</v>
      </c>
    </row>
    <row r="10183">
      <c r="A10183" s="48" t="s">
        <v>2318</v>
      </c>
      <c r="B10183" s="38">
        <v>43147.0</v>
      </c>
      <c r="C10183" s="38" t="s">
        <v>14144</v>
      </c>
      <c r="D10183" s="38" t="str">
        <f>IFERROR(__xludf.DUMMYFUNCTION("REGEXREPLACE(C10183,""-\d+(.*)|--\d+(.*)"","""")"),"PAULHAC")</f>
        <v>PAULHAC</v>
      </c>
      <c r="E10183" s="38" t="s">
        <v>332</v>
      </c>
      <c r="F10183" s="38" t="s">
        <v>161</v>
      </c>
      <c r="G10183" s="49" t="str">
        <f t="shared" si="1"/>
        <v>43100</v>
      </c>
      <c r="H10183" s="49">
        <f t="shared" si="2"/>
        <v>43147</v>
      </c>
    </row>
    <row r="10184">
      <c r="A10184" s="48" t="s">
        <v>8338</v>
      </c>
      <c r="B10184" s="38">
        <v>47266.0</v>
      </c>
      <c r="C10184" s="38" t="s">
        <v>14145</v>
      </c>
      <c r="D10184" s="38" t="str">
        <f>IFERROR(__xludf.DUMMYFUNCTION("REGEXREPLACE(C10184,""-\d+(.*)|--\d+(.*)"","""")"),"SAINT-PE-SAINT-SIMON")</f>
        <v>SAINT-PE-SAINT-SIMON</v>
      </c>
      <c r="E10184" s="38" t="s">
        <v>251</v>
      </c>
      <c r="F10184" s="38" t="s">
        <v>252</v>
      </c>
      <c r="G10184" s="49" t="str">
        <f t="shared" si="1"/>
        <v>47170</v>
      </c>
      <c r="H10184" s="49">
        <f t="shared" si="2"/>
        <v>47266</v>
      </c>
    </row>
    <row r="10185">
      <c r="A10185" s="48" t="s">
        <v>14146</v>
      </c>
      <c r="B10185" s="38">
        <v>95660.0</v>
      </c>
      <c r="C10185" s="38" t="s">
        <v>14147</v>
      </c>
      <c r="D10185" s="38" t="str">
        <f>IFERROR(__xludf.DUMMYFUNCTION("REGEXREPLACE(C10185,""-\d+(.*)|--\d+(.*)"","""")"),"VILLAINES-SOUS-BOIS")</f>
        <v>VILLAINES-SOUS-BOIS</v>
      </c>
      <c r="E10185" s="38" t="s">
        <v>541</v>
      </c>
      <c r="F10185" s="38" t="s">
        <v>245</v>
      </c>
      <c r="G10185" s="49" t="str">
        <f t="shared" si="1"/>
        <v>95570</v>
      </c>
      <c r="H10185" s="49">
        <f t="shared" si="2"/>
        <v>95660</v>
      </c>
    </row>
    <row r="10186">
      <c r="A10186" s="48" t="s">
        <v>14148</v>
      </c>
      <c r="B10186" s="38">
        <v>31231.0</v>
      </c>
      <c r="C10186" s="38" t="s">
        <v>1719</v>
      </c>
      <c r="D10186" s="38" t="str">
        <f>IFERROR(__xludf.DUMMYFUNCTION("REGEXREPLACE(C10186,""-\d+(.*)|--\d+(.*)"","""")"),"GRAZAC")</f>
        <v>GRAZAC</v>
      </c>
      <c r="E10186" s="38" t="s">
        <v>93</v>
      </c>
      <c r="F10186" s="38" t="s">
        <v>94</v>
      </c>
      <c r="G10186" s="49" t="str">
        <f t="shared" si="1"/>
        <v>31190</v>
      </c>
      <c r="H10186" s="49">
        <f t="shared" si="2"/>
        <v>31231</v>
      </c>
    </row>
    <row r="10187">
      <c r="A10187" s="48" t="s">
        <v>5953</v>
      </c>
      <c r="B10187" s="38">
        <v>76442.0</v>
      </c>
      <c r="C10187" s="38" t="s">
        <v>14149</v>
      </c>
      <c r="D10187" s="38" t="str">
        <f>IFERROR(__xludf.DUMMYFUNCTION("REGEXREPLACE(C10187,""-\d+(.*)|--\d+(.*)"","""")"),"MONCHY-SUR-EU")</f>
        <v>MONCHY-SUR-EU</v>
      </c>
      <c r="E10187" s="38" t="s">
        <v>133</v>
      </c>
      <c r="F10187" s="38" t="s">
        <v>134</v>
      </c>
      <c r="G10187" s="49" t="str">
        <f t="shared" si="1"/>
        <v>76260</v>
      </c>
      <c r="H10187" s="49">
        <f t="shared" si="2"/>
        <v>76442</v>
      </c>
    </row>
    <row r="10188">
      <c r="A10188" s="48" t="s">
        <v>3689</v>
      </c>
      <c r="B10188" s="38">
        <v>1393.0</v>
      </c>
      <c r="C10188" s="38" t="s">
        <v>14150</v>
      </c>
      <c r="D10188" s="38" t="str">
        <f>IFERROR(__xludf.DUMMYFUNCTION("REGEXREPLACE(C10188,""-\d+(.*)|--\d+(.*)"","""")"),"SANDRANS")</f>
        <v>SANDRANS</v>
      </c>
      <c r="E10188" s="38" t="s">
        <v>255</v>
      </c>
      <c r="F10188" s="38" t="s">
        <v>102</v>
      </c>
      <c r="G10188" s="49" t="str">
        <f t="shared" si="1"/>
        <v>01400</v>
      </c>
      <c r="H10188" s="49" t="str">
        <f t="shared" si="2"/>
        <v>01393</v>
      </c>
    </row>
    <row r="10189">
      <c r="A10189" s="48" t="s">
        <v>14151</v>
      </c>
      <c r="B10189" s="38">
        <v>53019.0</v>
      </c>
      <c r="C10189" s="38" t="s">
        <v>14152</v>
      </c>
      <c r="D10189" s="38" t="str">
        <f>IFERROR(__xludf.DUMMYFUNCTION("REGEXREPLACE(C10189,""-\d+(.*)|--\d+(.*)"","""")"),"BANNES")</f>
        <v>BANNES</v>
      </c>
      <c r="E10189" s="38" t="s">
        <v>518</v>
      </c>
      <c r="F10189" s="38" t="s">
        <v>180</v>
      </c>
      <c r="G10189" s="49" t="str">
        <f t="shared" si="1"/>
        <v>53340</v>
      </c>
      <c r="H10189" s="49">
        <f t="shared" si="2"/>
        <v>53019</v>
      </c>
    </row>
    <row r="10190">
      <c r="A10190" s="48" t="s">
        <v>8412</v>
      </c>
      <c r="B10190" s="38">
        <v>43220.0</v>
      </c>
      <c r="C10190" s="38" t="s">
        <v>14153</v>
      </c>
      <c r="D10190" s="38" t="str">
        <f>IFERROR(__xludf.DUMMYFUNCTION("REGEXREPLACE(C10190,""-\d+(.*)|--\d+(.*)"","""")"),"SAINT-PREJET-D'ALLIER")</f>
        <v>SAINT-PREJET-D'ALLIER</v>
      </c>
      <c r="E10190" s="38" t="s">
        <v>332</v>
      </c>
      <c r="F10190" s="38" t="s">
        <v>161</v>
      </c>
      <c r="G10190" s="49" t="str">
        <f t="shared" si="1"/>
        <v>43580</v>
      </c>
      <c r="H10190" s="49">
        <f t="shared" si="2"/>
        <v>43220</v>
      </c>
    </row>
    <row r="10191">
      <c r="A10191" s="48" t="s">
        <v>145</v>
      </c>
      <c r="B10191" s="38">
        <v>10118.0</v>
      </c>
      <c r="C10191" s="38" t="s">
        <v>14154</v>
      </c>
      <c r="D10191" s="38" t="str">
        <f>IFERROR(__xludf.DUMMYFUNCTION("REGEXREPLACE(C10191,""-\d+(.*)|--\d+(.*)"","""")"),"LES CROUTES")</f>
        <v>LES CROUTES</v>
      </c>
      <c r="E10191" s="38" t="s">
        <v>147</v>
      </c>
      <c r="F10191" s="38" t="s">
        <v>130</v>
      </c>
      <c r="G10191" s="49" t="str">
        <f t="shared" si="1"/>
        <v>10130</v>
      </c>
      <c r="H10191" s="49">
        <f t="shared" si="2"/>
        <v>10118</v>
      </c>
    </row>
    <row r="10192">
      <c r="A10192" s="48" t="s">
        <v>2249</v>
      </c>
      <c r="B10192" s="38">
        <v>14676.0</v>
      </c>
      <c r="C10192" s="38" t="s">
        <v>14155</v>
      </c>
      <c r="D10192" s="38" t="str">
        <f>IFERROR(__xludf.DUMMYFUNCTION("REGEXREPLACE(C10192,""-\d+(.*)|--\d+(.*)"","""")"),"SOMMERVIEU")</f>
        <v>SOMMERVIEU</v>
      </c>
      <c r="E10192" s="38" t="s">
        <v>137</v>
      </c>
      <c r="F10192" s="38" t="s">
        <v>138</v>
      </c>
      <c r="G10192" s="49" t="str">
        <f t="shared" si="1"/>
        <v>14400</v>
      </c>
      <c r="H10192" s="49">
        <f t="shared" si="2"/>
        <v>14676</v>
      </c>
    </row>
    <row r="10193">
      <c r="A10193" s="48" t="s">
        <v>1317</v>
      </c>
      <c r="B10193" s="38">
        <v>8196.0</v>
      </c>
      <c r="C10193" s="38" t="s">
        <v>13779</v>
      </c>
      <c r="D10193" s="38" t="str">
        <f>IFERROR(__xludf.DUMMYFUNCTION("REGEXREPLACE(C10193,""-\d+(.*)|--\d+(.*)"","""")"),"GRANDCHAMP")</f>
        <v>GRANDCHAMP</v>
      </c>
      <c r="E10193" s="38" t="s">
        <v>327</v>
      </c>
      <c r="F10193" s="38" t="s">
        <v>130</v>
      </c>
      <c r="G10193" s="49" t="str">
        <f t="shared" si="1"/>
        <v>08270</v>
      </c>
      <c r="H10193" s="49" t="str">
        <f t="shared" si="2"/>
        <v>08196</v>
      </c>
    </row>
    <row r="10194">
      <c r="A10194" s="48" t="s">
        <v>394</v>
      </c>
      <c r="B10194" s="38">
        <v>41158.0</v>
      </c>
      <c r="C10194" s="38" t="s">
        <v>14156</v>
      </c>
      <c r="D10194" s="38" t="str">
        <f>IFERROR(__xludf.DUMMYFUNCTION("REGEXREPLACE(C10194,""-\d+(.*)|--\d+(.*)"","""")"),"NAVEIL")</f>
        <v>NAVEIL</v>
      </c>
      <c r="E10194" s="38" t="s">
        <v>188</v>
      </c>
      <c r="F10194" s="38" t="s">
        <v>123</v>
      </c>
      <c r="G10194" s="49" t="str">
        <f t="shared" si="1"/>
        <v>41100</v>
      </c>
      <c r="H10194" s="49">
        <f t="shared" si="2"/>
        <v>41158</v>
      </c>
    </row>
    <row r="10195">
      <c r="A10195" s="48" t="s">
        <v>3351</v>
      </c>
      <c r="B10195" s="38">
        <v>69172.0</v>
      </c>
      <c r="C10195" s="38" t="s">
        <v>14157</v>
      </c>
      <c r="D10195" s="38" t="str">
        <f>IFERROR(__xludf.DUMMYFUNCTION("REGEXREPLACE(C10195,""-\d+(.*)|--\d+(.*)"","""")"),"SALLES-ARBUISSONNAS-EN-BEAUJOLAIS")</f>
        <v>SALLES-ARBUISSONNAS-EN-BEAUJOLAIS</v>
      </c>
      <c r="E10195" s="38" t="s">
        <v>350</v>
      </c>
      <c r="F10195" s="38" t="s">
        <v>102</v>
      </c>
      <c r="G10195" s="49" t="str">
        <f t="shared" si="1"/>
        <v>69460</v>
      </c>
      <c r="H10195" s="49">
        <f t="shared" si="2"/>
        <v>69172</v>
      </c>
    </row>
    <row r="10196">
      <c r="A10196" s="48" t="s">
        <v>3677</v>
      </c>
      <c r="B10196" s="38">
        <v>89116.0</v>
      </c>
      <c r="C10196" s="38" t="s">
        <v>14158</v>
      </c>
      <c r="D10196" s="38" t="str">
        <f>IFERROR(__xludf.DUMMYFUNCTION("REGEXREPLACE(C10196,""-\d+(.*)|--\d+(.*)"","""")"),"CORNANT")</f>
        <v>CORNANT</v>
      </c>
      <c r="E10196" s="38" t="s">
        <v>275</v>
      </c>
      <c r="F10196" s="38" t="s">
        <v>106</v>
      </c>
      <c r="G10196" s="49" t="str">
        <f t="shared" si="1"/>
        <v>89500</v>
      </c>
      <c r="H10196" s="49">
        <f t="shared" si="2"/>
        <v>89116</v>
      </c>
    </row>
    <row r="10197">
      <c r="A10197" s="48" t="s">
        <v>2868</v>
      </c>
      <c r="B10197" s="38">
        <v>80391.0</v>
      </c>
      <c r="C10197" s="38" t="s">
        <v>14159</v>
      </c>
      <c r="D10197" s="38" t="str">
        <f>IFERROR(__xludf.DUMMYFUNCTION("REGEXREPLACE(C10197,""-\d+(.*)|--\d+(.*)"","""")"),"GRIVILLERS")</f>
        <v>GRIVILLERS</v>
      </c>
      <c r="E10197" s="38" t="s">
        <v>224</v>
      </c>
      <c r="F10197" s="38" t="s">
        <v>113</v>
      </c>
      <c r="G10197" s="49" t="str">
        <f t="shared" si="1"/>
        <v>80700</v>
      </c>
      <c r="H10197" s="49">
        <f t="shared" si="2"/>
        <v>80391</v>
      </c>
    </row>
    <row r="10198">
      <c r="A10198" s="48" t="s">
        <v>4703</v>
      </c>
      <c r="B10198" s="38">
        <v>66204.0</v>
      </c>
      <c r="C10198" s="38" t="s">
        <v>14160</v>
      </c>
      <c r="D10198" s="38" t="str">
        <f>IFERROR(__xludf.DUMMYFUNCTION("REGEXREPLACE(C10198,""-\d+(.*)|--\d+(.*)"","""")"),"TAURINYA")</f>
        <v>TAURINYA</v>
      </c>
      <c r="E10198" s="38" t="s">
        <v>248</v>
      </c>
      <c r="F10198" s="38" t="s">
        <v>119</v>
      </c>
      <c r="G10198" s="49" t="str">
        <f t="shared" si="1"/>
        <v>66500</v>
      </c>
      <c r="H10198" s="49">
        <f t="shared" si="2"/>
        <v>66204</v>
      </c>
    </row>
    <row r="10199">
      <c r="A10199" s="48" t="s">
        <v>7904</v>
      </c>
      <c r="B10199" s="38">
        <v>62286.0</v>
      </c>
      <c r="C10199" s="38" t="s">
        <v>14161</v>
      </c>
      <c r="D10199" s="38" t="str">
        <f>IFERROR(__xludf.DUMMYFUNCTION("REGEXREPLACE(C10199,""-\d+(.*)|--\d+(.*)"","""")"),"ECQUEDECQUES")</f>
        <v>ECQUEDECQUES</v>
      </c>
      <c r="E10199" s="38" t="s">
        <v>109</v>
      </c>
      <c r="F10199" s="38" t="s">
        <v>86</v>
      </c>
      <c r="G10199" s="49" t="str">
        <f t="shared" si="1"/>
        <v>62190</v>
      </c>
      <c r="H10199" s="49">
        <f t="shared" si="2"/>
        <v>62286</v>
      </c>
    </row>
    <row r="10200">
      <c r="A10200" s="48" t="s">
        <v>14162</v>
      </c>
      <c r="B10200" s="38">
        <v>41047.0</v>
      </c>
      <c r="C10200" s="38" t="s">
        <v>14163</v>
      </c>
      <c r="D10200" s="38" t="str">
        <f>IFERROR(__xludf.DUMMYFUNCTION("REGEXREPLACE(C10200,""-\d+(.*)|--\d+(.*)"","""")"),"LA CHAUSSEE-SAINT-VICTOR")</f>
        <v>LA CHAUSSEE-SAINT-VICTOR</v>
      </c>
      <c r="E10200" s="38" t="s">
        <v>188</v>
      </c>
      <c r="F10200" s="38" t="s">
        <v>123</v>
      </c>
      <c r="G10200" s="49" t="str">
        <f t="shared" si="1"/>
        <v>41260</v>
      </c>
      <c r="H10200" s="49">
        <f t="shared" si="2"/>
        <v>41047</v>
      </c>
    </row>
    <row r="10201">
      <c r="A10201" s="48" t="s">
        <v>2270</v>
      </c>
      <c r="B10201" s="38">
        <v>32266.0</v>
      </c>
      <c r="C10201" s="38" t="s">
        <v>14164</v>
      </c>
      <c r="D10201" s="38" t="str">
        <f>IFERROR(__xludf.DUMMYFUNCTION("REGEXREPLACE(C10201,""-\d+(.*)|--\d+(.*)"","""")"),"MONCORNEIL-GRAZAN")</f>
        <v>MONCORNEIL-GRAZAN</v>
      </c>
      <c r="E10201" s="38" t="s">
        <v>440</v>
      </c>
      <c r="F10201" s="38" t="s">
        <v>94</v>
      </c>
      <c r="G10201" s="49" t="str">
        <f t="shared" si="1"/>
        <v>32260</v>
      </c>
      <c r="H10201" s="49">
        <f t="shared" si="2"/>
        <v>32266</v>
      </c>
    </row>
    <row r="10202">
      <c r="A10202" s="48" t="s">
        <v>3077</v>
      </c>
      <c r="B10202" s="38">
        <v>32431.0</v>
      </c>
      <c r="C10202" s="38" t="s">
        <v>14165</v>
      </c>
      <c r="D10202" s="38" t="str">
        <f>IFERROR(__xludf.DUMMYFUNCTION("REGEXREPLACE(C10202,""-\d+(.*)|--\d+(.*)"","""")"),"SEREMPUY")</f>
        <v>SEREMPUY</v>
      </c>
      <c r="E10202" s="38" t="s">
        <v>440</v>
      </c>
      <c r="F10202" s="38" t="s">
        <v>94</v>
      </c>
      <c r="G10202" s="49" t="str">
        <f t="shared" si="1"/>
        <v>32120</v>
      </c>
      <c r="H10202" s="49">
        <f t="shared" si="2"/>
        <v>32431</v>
      </c>
    </row>
    <row r="10203">
      <c r="A10203" s="48" t="s">
        <v>7355</v>
      </c>
      <c r="B10203" s="38">
        <v>33507.0</v>
      </c>
      <c r="C10203" s="38" t="s">
        <v>14166</v>
      </c>
      <c r="D10203" s="38" t="str">
        <f>IFERROR(__xludf.DUMMYFUNCTION("REGEXREPLACE(C10203,""-\d+(.*)|--\d+(.*)"","""")"),"SAUVIAC")</f>
        <v>SAUVIAC</v>
      </c>
      <c r="E10203" s="38" t="s">
        <v>462</v>
      </c>
      <c r="F10203" s="38" t="s">
        <v>252</v>
      </c>
      <c r="G10203" s="49" t="str">
        <f t="shared" si="1"/>
        <v>33430</v>
      </c>
      <c r="H10203" s="49">
        <f t="shared" si="2"/>
        <v>33507</v>
      </c>
    </row>
    <row r="10204">
      <c r="A10204" s="48" t="s">
        <v>14167</v>
      </c>
      <c r="B10204" s="38">
        <v>30150.0</v>
      </c>
      <c r="C10204" s="38" t="s">
        <v>14168</v>
      </c>
      <c r="D10204" s="38" t="str">
        <f>IFERROR(__xludf.DUMMYFUNCTION("REGEXREPLACE(C10204,""-\d+(.*)|--\d+(.*)"","""")"),"LOGRIAN-FLORIAN")</f>
        <v>LOGRIAN-FLORIAN</v>
      </c>
      <c r="E10204" s="38" t="s">
        <v>526</v>
      </c>
      <c r="F10204" s="38" t="s">
        <v>119</v>
      </c>
      <c r="G10204" s="49" t="str">
        <f t="shared" si="1"/>
        <v>30610</v>
      </c>
      <c r="H10204" s="49">
        <f t="shared" si="2"/>
        <v>30150</v>
      </c>
    </row>
    <row r="10205">
      <c r="A10205" s="48" t="s">
        <v>2318</v>
      </c>
      <c r="B10205" s="38">
        <v>43170.0</v>
      </c>
      <c r="C10205" s="38" t="s">
        <v>14169</v>
      </c>
      <c r="D10205" s="38" t="str">
        <f>IFERROR(__xludf.DUMMYFUNCTION("REGEXREPLACE(C10205,""-\d+(.*)|--\d+(.*)"","""")"),"SAINT-BEAUZIRE")</f>
        <v>SAINT-BEAUZIRE</v>
      </c>
      <c r="E10205" s="38" t="s">
        <v>332</v>
      </c>
      <c r="F10205" s="38" t="s">
        <v>161</v>
      </c>
      <c r="G10205" s="49" t="str">
        <f t="shared" si="1"/>
        <v>43100</v>
      </c>
      <c r="H10205" s="49">
        <f t="shared" si="2"/>
        <v>43170</v>
      </c>
    </row>
    <row r="10206">
      <c r="A10206" s="48" t="s">
        <v>1290</v>
      </c>
      <c r="B10206" s="38">
        <v>21651.0</v>
      </c>
      <c r="C10206" s="38" t="s">
        <v>14170</v>
      </c>
      <c r="D10206" s="38" t="str">
        <f>IFERROR(__xludf.DUMMYFUNCTION("REGEXREPLACE(C10206,""-\d+(.*)|--\d+(.*)"","""")"),"VAL-SUZON")</f>
        <v>VAL-SUZON</v>
      </c>
      <c r="E10206" s="38" t="s">
        <v>105</v>
      </c>
      <c r="F10206" s="38" t="s">
        <v>106</v>
      </c>
      <c r="G10206" s="49" t="str">
        <f t="shared" si="1"/>
        <v>21121</v>
      </c>
      <c r="H10206" s="49">
        <f t="shared" si="2"/>
        <v>21651</v>
      </c>
    </row>
    <row r="10207">
      <c r="A10207" s="48" t="s">
        <v>3570</v>
      </c>
      <c r="B10207" s="38">
        <v>76441.0</v>
      </c>
      <c r="C10207" s="38" t="s">
        <v>14171</v>
      </c>
      <c r="D10207" s="38" t="str">
        <f>IFERROR(__xludf.DUMMYFUNCTION("REGEXREPLACE(C10207,""-\d+(.*)|--\d+(.*)"","""")"),"MONCHAUX-SORENG")</f>
        <v>MONCHAUX-SORENG</v>
      </c>
      <c r="E10207" s="38" t="s">
        <v>133</v>
      </c>
      <c r="F10207" s="38" t="s">
        <v>134</v>
      </c>
      <c r="G10207" s="49" t="str">
        <f t="shared" si="1"/>
        <v>76340</v>
      </c>
      <c r="H10207" s="49">
        <f t="shared" si="2"/>
        <v>76441</v>
      </c>
    </row>
    <row r="10208">
      <c r="A10208" s="48" t="s">
        <v>3368</v>
      </c>
      <c r="B10208" s="38">
        <v>61138.0</v>
      </c>
      <c r="C10208" s="38" t="s">
        <v>1440</v>
      </c>
      <c r="D10208" s="38" t="str">
        <f>IFERROR(__xludf.DUMMYFUNCTION("REGEXREPLACE(C10208,""-\d+(.*)|--\d+(.*)"","""")"),"CROISILLES")</f>
        <v>CROISILLES</v>
      </c>
      <c r="E10208" s="38" t="s">
        <v>141</v>
      </c>
      <c r="F10208" s="38" t="s">
        <v>138</v>
      </c>
      <c r="G10208" s="49" t="str">
        <f t="shared" si="1"/>
        <v>61230</v>
      </c>
      <c r="H10208" s="49">
        <f t="shared" si="2"/>
        <v>61138</v>
      </c>
    </row>
    <row r="10209">
      <c r="A10209" s="48" t="s">
        <v>409</v>
      </c>
      <c r="B10209" s="38">
        <v>31475.0</v>
      </c>
      <c r="C10209" s="38" t="s">
        <v>14172</v>
      </c>
      <c r="D10209" s="38" t="str">
        <f>IFERROR(__xludf.DUMMYFUNCTION("REGEXREPLACE(C10209,""-\d+(.*)|--\d+(.*)"","""")"),"SAINT-CLAR-DE-RIVIERE")</f>
        <v>SAINT-CLAR-DE-RIVIERE</v>
      </c>
      <c r="E10209" s="38" t="s">
        <v>93</v>
      </c>
      <c r="F10209" s="38" t="s">
        <v>94</v>
      </c>
      <c r="G10209" s="49" t="str">
        <f t="shared" si="1"/>
        <v>31600</v>
      </c>
      <c r="H10209" s="49">
        <f t="shared" si="2"/>
        <v>31475</v>
      </c>
    </row>
    <row r="10210">
      <c r="A10210" s="48" t="s">
        <v>8480</v>
      </c>
      <c r="B10210" s="38">
        <v>8183.0</v>
      </c>
      <c r="C10210" s="38" t="s">
        <v>14173</v>
      </c>
      <c r="D10210" s="38" t="str">
        <f>IFERROR(__xludf.DUMMYFUNCTION("REGEXREPLACE(C10210,""-\d+(.*)|--\d+(.*)"","""")"),"FROMELENNES")</f>
        <v>FROMELENNES</v>
      </c>
      <c r="E10210" s="38" t="s">
        <v>327</v>
      </c>
      <c r="F10210" s="38" t="s">
        <v>130</v>
      </c>
      <c r="G10210" s="49" t="str">
        <f t="shared" si="1"/>
        <v>08600</v>
      </c>
      <c r="H10210" s="49" t="str">
        <f t="shared" si="2"/>
        <v>08183</v>
      </c>
    </row>
    <row r="10211">
      <c r="A10211" s="48" t="s">
        <v>8586</v>
      </c>
      <c r="B10211" s="38">
        <v>46026.0</v>
      </c>
      <c r="C10211" s="38" t="s">
        <v>14174</v>
      </c>
      <c r="D10211" s="38" t="str">
        <f>IFERROR(__xludf.DUMMYFUNCTION("REGEXREPLACE(C10211,""-\d+(.*)|--\d+(.*)"","""")"),"BELMONT-SAINTE-FOI")</f>
        <v>BELMONT-SAINTE-FOI</v>
      </c>
      <c r="E10211" s="38" t="s">
        <v>185</v>
      </c>
      <c r="F10211" s="38" t="s">
        <v>94</v>
      </c>
      <c r="G10211" s="49" t="str">
        <f t="shared" si="1"/>
        <v>46230</v>
      </c>
      <c r="H10211" s="49">
        <f t="shared" si="2"/>
        <v>46026</v>
      </c>
    </row>
    <row r="10212">
      <c r="A10212" s="48" t="s">
        <v>2861</v>
      </c>
      <c r="B10212" s="38">
        <v>62164.0</v>
      </c>
      <c r="C10212" s="38" t="s">
        <v>14175</v>
      </c>
      <c r="D10212" s="38" t="str">
        <f>IFERROR(__xludf.DUMMYFUNCTION("REGEXREPLACE(C10212,""-\d+(.*)|--\d+(.*)"","""")"),"BOURLON")</f>
        <v>BOURLON</v>
      </c>
      <c r="E10212" s="38" t="s">
        <v>109</v>
      </c>
      <c r="F10212" s="38" t="s">
        <v>86</v>
      </c>
      <c r="G10212" s="49" t="str">
        <f t="shared" si="1"/>
        <v>62860</v>
      </c>
      <c r="H10212" s="49">
        <f t="shared" si="2"/>
        <v>62164</v>
      </c>
    </row>
    <row r="10213">
      <c r="A10213" s="48" t="s">
        <v>2540</v>
      </c>
      <c r="B10213" s="38">
        <v>2085.0</v>
      </c>
      <c r="C10213" s="38" t="s">
        <v>14176</v>
      </c>
      <c r="D10213" s="38" t="str">
        <f>IFERROR(__xludf.DUMMYFUNCTION("REGEXREPLACE(C10213,""-\d+(.*)|--\d+(.*)"","""")"),"BEZU-SAINT-GERMAIN")</f>
        <v>BEZU-SAINT-GERMAIN</v>
      </c>
      <c r="E10213" s="38" t="s">
        <v>191</v>
      </c>
      <c r="F10213" s="38" t="s">
        <v>113</v>
      </c>
      <c r="G10213" s="49" t="str">
        <f t="shared" si="1"/>
        <v>02400</v>
      </c>
      <c r="H10213" s="49" t="str">
        <f t="shared" si="2"/>
        <v>02085</v>
      </c>
    </row>
    <row r="10214">
      <c r="A10214" s="48" t="s">
        <v>6715</v>
      </c>
      <c r="B10214" s="38">
        <v>59176.0</v>
      </c>
      <c r="C10214" s="38" t="s">
        <v>14177</v>
      </c>
      <c r="D10214" s="38" t="str">
        <f>IFERROR(__xludf.DUMMYFUNCTION("REGEXREPLACE(C10214,""-\d+(.*)|--\d+(.*)"","""")"),"DOIGNIES")</f>
        <v>DOIGNIES</v>
      </c>
      <c r="E10214" s="38" t="s">
        <v>85</v>
      </c>
      <c r="F10214" s="38" t="s">
        <v>86</v>
      </c>
      <c r="G10214" s="49" t="str">
        <f t="shared" si="1"/>
        <v>62147</v>
      </c>
      <c r="H10214" s="49">
        <f t="shared" si="2"/>
        <v>59176</v>
      </c>
    </row>
    <row r="10215">
      <c r="A10215" s="48" t="s">
        <v>2219</v>
      </c>
      <c r="B10215" s="38">
        <v>2184.0</v>
      </c>
      <c r="C10215" s="38" t="s">
        <v>14178</v>
      </c>
      <c r="D10215" s="38" t="str">
        <f>IFERROR(__xludf.DUMMYFUNCTION("REGEXREPLACE(C10215,""-\d+(.*)|--\d+(.*)"","""")"),"CHEVRESIS-MONCEAU")</f>
        <v>CHEVRESIS-MONCEAU</v>
      </c>
      <c r="E10215" s="38" t="s">
        <v>191</v>
      </c>
      <c r="F10215" s="38" t="s">
        <v>113</v>
      </c>
      <c r="G10215" s="49" t="str">
        <f t="shared" si="1"/>
        <v>02270</v>
      </c>
      <c r="H10215" s="49" t="str">
        <f t="shared" si="2"/>
        <v>02184</v>
      </c>
    </row>
    <row r="10216">
      <c r="A10216" s="48" t="s">
        <v>1106</v>
      </c>
      <c r="B10216" s="38">
        <v>14211.0</v>
      </c>
      <c r="C10216" s="38" t="s">
        <v>14179</v>
      </c>
      <c r="D10216" s="38" t="str">
        <f>IFERROR(__xludf.DUMMYFUNCTION("REGEXREPLACE(C10216,""-\d+(.*)|--\d+(.*)"","""")"),"CULEY-LE-PATRY")</f>
        <v>CULEY-LE-PATRY</v>
      </c>
      <c r="E10216" s="38" t="s">
        <v>137</v>
      </c>
      <c r="F10216" s="38" t="s">
        <v>138</v>
      </c>
      <c r="G10216" s="49" t="str">
        <f t="shared" si="1"/>
        <v>14220</v>
      </c>
      <c r="H10216" s="49">
        <f t="shared" si="2"/>
        <v>14211</v>
      </c>
    </row>
    <row r="10217">
      <c r="A10217" s="48" t="s">
        <v>6789</v>
      </c>
      <c r="B10217" s="38">
        <v>30045.0</v>
      </c>
      <c r="C10217" s="38" t="s">
        <v>14180</v>
      </c>
      <c r="D10217" s="38" t="str">
        <f>IFERROR(__xludf.DUMMYFUNCTION("REGEXREPLACE(C10217,""-\d+(.*)|--\d+(.*)"","""")"),"BORDEZAC")</f>
        <v>BORDEZAC</v>
      </c>
      <c r="E10217" s="38" t="s">
        <v>526</v>
      </c>
      <c r="F10217" s="38" t="s">
        <v>119</v>
      </c>
      <c r="G10217" s="49" t="str">
        <f t="shared" si="1"/>
        <v>30160</v>
      </c>
      <c r="H10217" s="49">
        <f t="shared" si="2"/>
        <v>30045</v>
      </c>
    </row>
    <row r="10218">
      <c r="A10218" s="48" t="s">
        <v>10433</v>
      </c>
      <c r="B10218" s="38">
        <v>46274.0</v>
      </c>
      <c r="C10218" s="38" t="s">
        <v>14181</v>
      </c>
      <c r="D10218" s="38" t="str">
        <f>IFERROR(__xludf.DUMMYFUNCTION("REGEXREPLACE(C10218,""-\d+(.*)|--\d+(.*)"","""")"),"SAINT-LAURENT-LOLMIE")</f>
        <v>SAINT-LAURENT-LOLMIE</v>
      </c>
      <c r="E10218" s="38" t="s">
        <v>185</v>
      </c>
      <c r="F10218" s="38" t="s">
        <v>94</v>
      </c>
      <c r="G10218" s="49" t="str">
        <f t="shared" si="1"/>
        <v>46800</v>
      </c>
      <c r="H10218" s="49">
        <f t="shared" si="2"/>
        <v>46274</v>
      </c>
    </row>
    <row r="10219">
      <c r="A10219" s="48" t="s">
        <v>14182</v>
      </c>
      <c r="B10219" s="38">
        <v>14354.0</v>
      </c>
      <c r="C10219" s="38" t="s">
        <v>14183</v>
      </c>
      <c r="D10219" s="38" t="str">
        <f>IFERROR(__xludf.DUMMYFUNCTION("REGEXREPLACE(C10219,""-\d+(.*)|--\d+(.*)"","""")"),"LANGRUNE-SUR-MER")</f>
        <v>LANGRUNE-SUR-MER</v>
      </c>
      <c r="E10219" s="38" t="s">
        <v>137</v>
      </c>
      <c r="F10219" s="38" t="s">
        <v>138</v>
      </c>
      <c r="G10219" s="49" t="str">
        <f t="shared" si="1"/>
        <v>14830</v>
      </c>
      <c r="H10219" s="49">
        <f t="shared" si="2"/>
        <v>14354</v>
      </c>
    </row>
    <row r="10220">
      <c r="A10220" s="48" t="s">
        <v>10786</v>
      </c>
      <c r="B10220" s="38">
        <v>32065.0</v>
      </c>
      <c r="C10220" s="38" t="s">
        <v>14184</v>
      </c>
      <c r="D10220" s="38" t="str">
        <f>IFERROR(__xludf.DUMMYFUNCTION("REGEXREPLACE(C10220,""-\d+(.*)|--\d+(.*)"","""")"),"LE BROUILH-MONBERT")</f>
        <v>LE BROUILH-MONBERT</v>
      </c>
      <c r="E10220" s="38" t="s">
        <v>440</v>
      </c>
      <c r="F10220" s="38" t="s">
        <v>94</v>
      </c>
      <c r="G10220" s="49" t="str">
        <f t="shared" si="1"/>
        <v>32350</v>
      </c>
      <c r="H10220" s="49">
        <f t="shared" si="2"/>
        <v>32065</v>
      </c>
    </row>
    <row r="10221">
      <c r="A10221" s="48" t="s">
        <v>4338</v>
      </c>
      <c r="B10221" s="38">
        <v>70103.0</v>
      </c>
      <c r="C10221" s="38" t="s">
        <v>14185</v>
      </c>
      <c r="D10221" s="38" t="str">
        <f>IFERROR(__xludf.DUMMYFUNCTION("REGEXREPLACE(C10221,""-\d+(.*)|--\d+(.*)"","""")"),"LA BRUYERE")</f>
        <v>LA BRUYERE</v>
      </c>
      <c r="E10221" s="38" t="s">
        <v>956</v>
      </c>
      <c r="F10221" s="38" t="s">
        <v>214</v>
      </c>
      <c r="G10221" s="49" t="str">
        <f t="shared" si="1"/>
        <v>70280</v>
      </c>
      <c r="H10221" s="49">
        <f t="shared" si="2"/>
        <v>70103</v>
      </c>
    </row>
    <row r="10222">
      <c r="A10222" s="48" t="s">
        <v>1540</v>
      </c>
      <c r="B10222" s="38">
        <v>70324.0</v>
      </c>
      <c r="C10222" s="38" t="s">
        <v>14186</v>
      </c>
      <c r="D10222" s="38" t="str">
        <f>IFERROR(__xludf.DUMMYFUNCTION("REGEXREPLACE(C10222,""-\d+(.*)|--\d+(.*)"","""")"),"MAILLEY-ET-CHAZELOT")</f>
        <v>MAILLEY-ET-CHAZELOT</v>
      </c>
      <c r="E10222" s="38" t="s">
        <v>956</v>
      </c>
      <c r="F10222" s="38" t="s">
        <v>214</v>
      </c>
      <c r="G10222" s="49" t="str">
        <f t="shared" si="1"/>
        <v>70000</v>
      </c>
      <c r="H10222" s="49">
        <f t="shared" si="2"/>
        <v>70324</v>
      </c>
    </row>
    <row r="10223">
      <c r="A10223" s="48" t="s">
        <v>6899</v>
      </c>
      <c r="B10223" s="38">
        <v>60665.0</v>
      </c>
      <c r="C10223" s="38" t="s">
        <v>14187</v>
      </c>
      <c r="D10223" s="38" t="str">
        <f>IFERROR(__xludf.DUMMYFUNCTION("REGEXREPLACE(C10223,""-\d+(.*)|--\d+(.*)"","""")"),"VENETTE")</f>
        <v>VENETTE</v>
      </c>
      <c r="E10223" s="38" t="s">
        <v>112</v>
      </c>
      <c r="F10223" s="38" t="s">
        <v>113</v>
      </c>
      <c r="G10223" s="49" t="str">
        <f t="shared" si="1"/>
        <v>60280</v>
      </c>
      <c r="H10223" s="49">
        <f t="shared" si="2"/>
        <v>60665</v>
      </c>
    </row>
    <row r="10224">
      <c r="A10224" s="48" t="s">
        <v>1364</v>
      </c>
      <c r="B10224" s="38">
        <v>64560.0</v>
      </c>
      <c r="C10224" s="38" t="s">
        <v>14188</v>
      </c>
      <c r="D10224" s="38" t="str">
        <f>IFERROR(__xludf.DUMMYFUNCTION("REGEXREPLACE(C10224,""-\d+(.*)|--\d+(.*)"","""")"),"VIVEN")</f>
        <v>VIVEN</v>
      </c>
      <c r="E10224" s="38" t="s">
        <v>268</v>
      </c>
      <c r="F10224" s="38" t="s">
        <v>252</v>
      </c>
      <c r="G10224" s="49" t="str">
        <f t="shared" si="1"/>
        <v>64450</v>
      </c>
      <c r="H10224" s="49">
        <f t="shared" si="2"/>
        <v>64560</v>
      </c>
    </row>
    <row r="10225">
      <c r="A10225" s="48" t="s">
        <v>920</v>
      </c>
      <c r="B10225" s="38">
        <v>31487.0</v>
      </c>
      <c r="C10225" s="38" t="s">
        <v>14189</v>
      </c>
      <c r="D10225" s="38" t="str">
        <f>IFERROR(__xludf.DUMMYFUNCTION("REGEXREPLACE(C10225,""-\d+(.*)|--\d+(.*)"","""")"),"SAINT-IGNAN")</f>
        <v>SAINT-IGNAN</v>
      </c>
      <c r="E10225" s="38" t="s">
        <v>93</v>
      </c>
      <c r="F10225" s="38" t="s">
        <v>94</v>
      </c>
      <c r="G10225" s="49" t="str">
        <f t="shared" si="1"/>
        <v>31800</v>
      </c>
      <c r="H10225" s="49">
        <f t="shared" si="2"/>
        <v>31487</v>
      </c>
    </row>
    <row r="10226">
      <c r="A10226" s="48" t="s">
        <v>7136</v>
      </c>
      <c r="B10226" s="38">
        <v>83017.0</v>
      </c>
      <c r="C10226" s="38" t="s">
        <v>14190</v>
      </c>
      <c r="D10226" s="38" t="str">
        <f>IFERROR(__xludf.DUMMYFUNCTION("REGEXREPLACE(C10226,""-\d+(.*)|--\d+(.*)"","""")"),"BELGENTIER")</f>
        <v>BELGENTIER</v>
      </c>
      <c r="E10226" s="38" t="s">
        <v>813</v>
      </c>
      <c r="F10226" s="38" t="s">
        <v>228</v>
      </c>
      <c r="G10226" s="49" t="str">
        <f t="shared" si="1"/>
        <v>83210</v>
      </c>
      <c r="H10226" s="49">
        <f t="shared" si="2"/>
        <v>83017</v>
      </c>
    </row>
    <row r="10227">
      <c r="A10227" s="48" t="s">
        <v>4264</v>
      </c>
      <c r="B10227" s="38">
        <v>69104.0</v>
      </c>
      <c r="C10227" s="38" t="s">
        <v>14191</v>
      </c>
      <c r="D10227" s="38" t="str">
        <f>IFERROR(__xludf.DUMMYFUNCTION("REGEXREPLACE(C10227,""-\d+(.*)|--\d+(.*)"","""")"),"JULLIE")</f>
        <v>JULLIE</v>
      </c>
      <c r="E10227" s="38" t="s">
        <v>350</v>
      </c>
      <c r="F10227" s="38" t="s">
        <v>102</v>
      </c>
      <c r="G10227" s="49" t="str">
        <f t="shared" si="1"/>
        <v>69840</v>
      </c>
      <c r="H10227" s="49">
        <f t="shared" si="2"/>
        <v>69104</v>
      </c>
    </row>
    <row r="10228">
      <c r="A10228" s="48" t="s">
        <v>8873</v>
      </c>
      <c r="B10228" s="38">
        <v>34340.0</v>
      </c>
      <c r="C10228" s="38" t="s">
        <v>14192</v>
      </c>
      <c r="D10228" s="38" t="str">
        <f>IFERROR(__xludf.DUMMYFUNCTION("REGEXREPLACE(C10228,""-\d+(.*)|--\d+(.*)"","""")"),"VILLETELLE")</f>
        <v>VILLETELLE</v>
      </c>
      <c r="E10228" s="38" t="s">
        <v>118</v>
      </c>
      <c r="F10228" s="38" t="s">
        <v>119</v>
      </c>
      <c r="G10228" s="49" t="str">
        <f t="shared" si="1"/>
        <v>34400</v>
      </c>
      <c r="H10228" s="49">
        <f t="shared" si="2"/>
        <v>34340</v>
      </c>
    </row>
    <row r="10229">
      <c r="A10229" s="48" t="s">
        <v>14193</v>
      </c>
      <c r="B10229" s="38">
        <v>63226.0</v>
      </c>
      <c r="C10229" s="38" t="s">
        <v>14194</v>
      </c>
      <c r="D10229" s="38" t="str">
        <f>IFERROR(__xludf.DUMMYFUNCTION("REGEXREPLACE(C10229,""-\d+(.*)|--\d+(.*)"","""")"),"MEZEL")</f>
        <v>MEZEL</v>
      </c>
      <c r="E10229" s="38" t="s">
        <v>353</v>
      </c>
      <c r="F10229" s="38" t="s">
        <v>161</v>
      </c>
      <c r="G10229" s="49" t="str">
        <f t="shared" si="1"/>
        <v>63115</v>
      </c>
      <c r="H10229" s="49">
        <f t="shared" si="2"/>
        <v>63226</v>
      </c>
    </row>
    <row r="10230">
      <c r="A10230" s="48" t="s">
        <v>12799</v>
      </c>
      <c r="B10230" s="38">
        <v>11217.0</v>
      </c>
      <c r="C10230" s="38" t="s">
        <v>14195</v>
      </c>
      <c r="D10230" s="38" t="str">
        <f>IFERROR(__xludf.DUMMYFUNCTION("REGEXREPLACE(C10230,""-\d+(.*)|--\d+(.*)"","""")"),"MARCORIGNAN")</f>
        <v>MARCORIGNAN</v>
      </c>
      <c r="E10230" s="38" t="s">
        <v>278</v>
      </c>
      <c r="F10230" s="38" t="s">
        <v>119</v>
      </c>
      <c r="G10230" s="49" t="str">
        <f t="shared" si="1"/>
        <v>11120</v>
      </c>
      <c r="H10230" s="49">
        <f t="shared" si="2"/>
        <v>11217</v>
      </c>
    </row>
    <row r="10231">
      <c r="A10231" s="48" t="s">
        <v>497</v>
      </c>
      <c r="B10231" s="38">
        <v>62635.0</v>
      </c>
      <c r="C10231" s="38" t="s">
        <v>14196</v>
      </c>
      <c r="D10231" s="38" t="str">
        <f>IFERROR(__xludf.DUMMYFUNCTION("REGEXREPLACE(C10231,""-\d+(.*)|--\d+(.*)"","""")"),"OFFIN")</f>
        <v>OFFIN</v>
      </c>
      <c r="E10231" s="38" t="s">
        <v>109</v>
      </c>
      <c r="F10231" s="38" t="s">
        <v>86</v>
      </c>
      <c r="G10231" s="49" t="str">
        <f t="shared" si="1"/>
        <v>62990</v>
      </c>
      <c r="H10231" s="49">
        <f t="shared" si="2"/>
        <v>62635</v>
      </c>
    </row>
    <row r="10232">
      <c r="A10232" s="48" t="s">
        <v>4108</v>
      </c>
      <c r="B10232" s="38" t="s">
        <v>14197</v>
      </c>
      <c r="C10232" s="38" t="s">
        <v>14198</v>
      </c>
      <c r="D10232" s="38" t="str">
        <f>IFERROR(__xludf.DUMMYFUNCTION("REGEXREPLACE(C10232,""-\d+(.*)|--\d+(.*)"","""")"),"PIGNA")</f>
        <v>PIGNA</v>
      </c>
      <c r="E10232" s="38" t="s">
        <v>743</v>
      </c>
      <c r="F10232" s="38" t="s">
        <v>607</v>
      </c>
      <c r="G10232" s="49" t="str">
        <f t="shared" si="1"/>
        <v>20220</v>
      </c>
      <c r="H10232" s="49" t="str">
        <f t="shared" si="2"/>
        <v>2B231</v>
      </c>
    </row>
    <row r="10233">
      <c r="A10233" s="48" t="s">
        <v>12182</v>
      </c>
      <c r="B10233" s="38">
        <v>97215.0</v>
      </c>
      <c r="C10233" s="38" t="s">
        <v>14199</v>
      </c>
      <c r="D10233" s="38" t="str">
        <f>IFERROR(__xludf.DUMMYFUNCTION("REGEXREPLACE(C10233,""-\d+(.*)|--\d+(.*)"","""")"),"MACOUBA")</f>
        <v>MACOUBA</v>
      </c>
      <c r="E10233" s="38" t="s">
        <v>2282</v>
      </c>
      <c r="F10233" s="38" t="s">
        <v>2282</v>
      </c>
      <c r="G10233" s="49" t="str">
        <f t="shared" si="1"/>
        <v>97218</v>
      </c>
      <c r="H10233" s="49">
        <f t="shared" si="2"/>
        <v>97215</v>
      </c>
    </row>
    <row r="10234">
      <c r="A10234" s="48" t="s">
        <v>7494</v>
      </c>
      <c r="B10234" s="38">
        <v>81074.0</v>
      </c>
      <c r="C10234" s="38" t="s">
        <v>14200</v>
      </c>
      <c r="D10234" s="38" t="str">
        <f>IFERROR(__xludf.DUMMYFUNCTION("REGEXREPLACE(C10234,""-\d+(.*)|--\d+(.*)"","""")"),"CUNAC")</f>
        <v>CUNAC</v>
      </c>
      <c r="E10234" s="38" t="s">
        <v>231</v>
      </c>
      <c r="F10234" s="38" t="s">
        <v>94</v>
      </c>
      <c r="G10234" s="49" t="str">
        <f t="shared" si="1"/>
        <v>81990</v>
      </c>
      <c r="H10234" s="49">
        <f t="shared" si="2"/>
        <v>81074</v>
      </c>
    </row>
    <row r="10235">
      <c r="A10235" s="48" t="s">
        <v>1616</v>
      </c>
      <c r="B10235" s="38">
        <v>10137.0</v>
      </c>
      <c r="C10235" s="38" t="s">
        <v>14201</v>
      </c>
      <c r="D10235" s="38" t="str">
        <f>IFERROR(__xludf.DUMMYFUNCTION("REGEXREPLACE(C10235,""-\d+(.*)|--\d+(.*)"","""")"),"ENGENTE")</f>
        <v>ENGENTE</v>
      </c>
      <c r="E10235" s="38" t="s">
        <v>147</v>
      </c>
      <c r="F10235" s="38" t="s">
        <v>130</v>
      </c>
      <c r="G10235" s="49" t="str">
        <f t="shared" si="1"/>
        <v>10200</v>
      </c>
      <c r="H10235" s="49">
        <f t="shared" si="2"/>
        <v>10137</v>
      </c>
    </row>
    <row r="10236">
      <c r="A10236" s="48" t="s">
        <v>10892</v>
      </c>
      <c r="B10236" s="38">
        <v>47206.0</v>
      </c>
      <c r="C10236" s="38" t="s">
        <v>14202</v>
      </c>
      <c r="D10236" s="38" t="str">
        <f>IFERROR(__xludf.DUMMYFUNCTION("REGEXREPLACE(C10236,""-\d+(.*)|--\d+(.*)"","""")"),"PINEL-HAUTERIVE")</f>
        <v>PINEL-HAUTERIVE</v>
      </c>
      <c r="E10236" s="38" t="s">
        <v>251</v>
      </c>
      <c r="F10236" s="38" t="s">
        <v>252</v>
      </c>
      <c r="G10236" s="49" t="str">
        <f t="shared" si="1"/>
        <v>47380</v>
      </c>
      <c r="H10236" s="49">
        <f t="shared" si="2"/>
        <v>47206</v>
      </c>
    </row>
    <row r="10237">
      <c r="A10237" s="48" t="s">
        <v>14203</v>
      </c>
      <c r="B10237" s="38">
        <v>54362.0</v>
      </c>
      <c r="C10237" s="38" t="s">
        <v>14204</v>
      </c>
      <c r="D10237" s="38" t="str">
        <f>IFERROR(__xludf.DUMMYFUNCTION("REGEXREPLACE(C10237,""-\d+(.*)|--\d+(.*)"","""")"),"MERCY-LE-BAS")</f>
        <v>MERCY-LE-BAS</v>
      </c>
      <c r="E10237" s="38" t="s">
        <v>548</v>
      </c>
      <c r="F10237" s="38" t="s">
        <v>195</v>
      </c>
      <c r="G10237" s="49" t="str">
        <f t="shared" si="1"/>
        <v>54960</v>
      </c>
      <c r="H10237" s="49">
        <f t="shared" si="2"/>
        <v>54362</v>
      </c>
    </row>
    <row r="10238">
      <c r="A10238" s="48" t="s">
        <v>5985</v>
      </c>
      <c r="B10238" s="38">
        <v>85286.0</v>
      </c>
      <c r="C10238" s="38" t="s">
        <v>14205</v>
      </c>
      <c r="D10238" s="38" t="str">
        <f>IFERROR(__xludf.DUMMYFUNCTION("REGEXREPLACE(C10238,""-\d+(.*)|--\d+(.*)"","""")"),"LA TAILLEE")</f>
        <v>LA TAILLEE</v>
      </c>
      <c r="E10238" s="38" t="s">
        <v>179</v>
      </c>
      <c r="F10238" s="38" t="s">
        <v>180</v>
      </c>
      <c r="G10238" s="49" t="str">
        <f t="shared" si="1"/>
        <v>85450</v>
      </c>
      <c r="H10238" s="49">
        <f t="shared" si="2"/>
        <v>85286</v>
      </c>
    </row>
    <row r="10239">
      <c r="A10239" s="48" t="s">
        <v>8129</v>
      </c>
      <c r="B10239" s="38">
        <v>70233.0</v>
      </c>
      <c r="C10239" s="38" t="s">
        <v>14206</v>
      </c>
      <c r="D10239" s="38" t="str">
        <f>IFERROR(__xludf.DUMMYFUNCTION("REGEXREPLACE(C10239,""-\d+(.*)|--\d+(.*)"","""")"),"LES FESSEY")</f>
        <v>LES FESSEY</v>
      </c>
      <c r="E10239" s="38" t="s">
        <v>956</v>
      </c>
      <c r="F10239" s="38" t="s">
        <v>214</v>
      </c>
      <c r="G10239" s="49" t="str">
        <f t="shared" si="1"/>
        <v>70310</v>
      </c>
      <c r="H10239" s="49">
        <f t="shared" si="2"/>
        <v>70233</v>
      </c>
    </row>
    <row r="10240">
      <c r="A10240" s="48" t="s">
        <v>14207</v>
      </c>
      <c r="B10240" s="38">
        <v>29006.0</v>
      </c>
      <c r="C10240" s="38" t="s">
        <v>14208</v>
      </c>
      <c r="D10240" s="38" t="str">
        <f>IFERROR(__xludf.DUMMYFUNCTION("REGEXREPLACE(C10240,""-\d+(.*)|--\d+(.*)"","""")"),"BENODET")</f>
        <v>BENODET</v>
      </c>
      <c r="E10240" s="38" t="s">
        <v>176</v>
      </c>
      <c r="F10240" s="38" t="s">
        <v>90</v>
      </c>
      <c r="G10240" s="49" t="str">
        <f t="shared" si="1"/>
        <v>29950</v>
      </c>
      <c r="H10240" s="49">
        <f t="shared" si="2"/>
        <v>29006</v>
      </c>
    </row>
    <row r="10241">
      <c r="A10241" s="48" t="s">
        <v>7804</v>
      </c>
      <c r="B10241" s="38">
        <v>51155.0</v>
      </c>
      <c r="C10241" s="38" t="s">
        <v>14209</v>
      </c>
      <c r="D10241" s="38" t="str">
        <f>IFERROR(__xludf.DUMMYFUNCTION("REGEXREPLACE(C10241,""-\d+(.*)|--\d+(.*)"","""")"),"CLESLES")</f>
        <v>CLESLES</v>
      </c>
      <c r="E10241" s="38" t="s">
        <v>129</v>
      </c>
      <c r="F10241" s="38" t="s">
        <v>130</v>
      </c>
      <c r="G10241" s="49" t="str">
        <f t="shared" si="1"/>
        <v>51260</v>
      </c>
      <c r="H10241" s="49">
        <f t="shared" si="2"/>
        <v>51155</v>
      </c>
    </row>
    <row r="10242">
      <c r="A10242" s="48" t="s">
        <v>1526</v>
      </c>
      <c r="B10242" s="38">
        <v>60444.0</v>
      </c>
      <c r="C10242" s="38" t="s">
        <v>14210</v>
      </c>
      <c r="D10242" s="38" t="str">
        <f>IFERROR(__xludf.DUMMYFUNCTION("REGEXREPLACE(C10242,""-\d+(.*)|--\d+(.*)"","""")"),"MUREAUMONT")</f>
        <v>MUREAUMONT</v>
      </c>
      <c r="E10242" s="38" t="s">
        <v>112</v>
      </c>
      <c r="F10242" s="38" t="s">
        <v>113</v>
      </c>
      <c r="G10242" s="49" t="str">
        <f t="shared" si="1"/>
        <v>60220</v>
      </c>
      <c r="H10242" s="49">
        <f t="shared" si="2"/>
        <v>60444</v>
      </c>
    </row>
    <row r="10243">
      <c r="A10243" s="48" t="s">
        <v>671</v>
      </c>
      <c r="B10243" s="38">
        <v>21413.0</v>
      </c>
      <c r="C10243" s="38" t="s">
        <v>14211</v>
      </c>
      <c r="D10243" s="38" t="str">
        <f>IFERROR(__xludf.DUMMYFUNCTION("REGEXREPLACE(C10243,""-\d+(.*)|--\d+(.*)"","""")"),"MILLERY")</f>
        <v>MILLERY</v>
      </c>
      <c r="E10243" s="38" t="s">
        <v>105</v>
      </c>
      <c r="F10243" s="38" t="s">
        <v>106</v>
      </c>
      <c r="G10243" s="49" t="str">
        <f t="shared" si="1"/>
        <v>21140</v>
      </c>
      <c r="H10243" s="49">
        <f t="shared" si="2"/>
        <v>21413</v>
      </c>
    </row>
    <row r="10244">
      <c r="A10244" s="48" t="s">
        <v>3869</v>
      </c>
      <c r="B10244" s="38">
        <v>21236.0</v>
      </c>
      <c r="C10244" s="38" t="s">
        <v>14212</v>
      </c>
      <c r="D10244" s="38" t="str">
        <f>IFERROR(__xludf.DUMMYFUNCTION("REGEXREPLACE(C10244,""-\d+(.*)|--\d+(.*)"","""")"),"EBATY")</f>
        <v>EBATY</v>
      </c>
      <c r="E10244" s="38" t="s">
        <v>105</v>
      </c>
      <c r="F10244" s="38" t="s">
        <v>106</v>
      </c>
      <c r="G10244" s="49" t="str">
        <f t="shared" si="1"/>
        <v>21190</v>
      </c>
      <c r="H10244" s="49">
        <f t="shared" si="2"/>
        <v>21236</v>
      </c>
    </row>
    <row r="10245">
      <c r="A10245" s="48" t="s">
        <v>2077</v>
      </c>
      <c r="B10245" s="38">
        <v>8297.0</v>
      </c>
      <c r="C10245" s="38" t="s">
        <v>14213</v>
      </c>
      <c r="D10245" s="38" t="str">
        <f>IFERROR(__xludf.DUMMYFUNCTION("REGEXREPLACE(C10245,""-\d+(.*)|--\d+(.*)"","""")"),"MONTCORNET")</f>
        <v>MONTCORNET</v>
      </c>
      <c r="E10245" s="38" t="s">
        <v>327</v>
      </c>
      <c r="F10245" s="38" t="s">
        <v>130</v>
      </c>
      <c r="G10245" s="49" t="str">
        <f t="shared" si="1"/>
        <v>08090</v>
      </c>
      <c r="H10245" s="49" t="str">
        <f t="shared" si="2"/>
        <v>08297</v>
      </c>
    </row>
    <row r="10246">
      <c r="A10246" s="48" t="s">
        <v>14214</v>
      </c>
      <c r="B10246" s="38">
        <v>40332.0</v>
      </c>
      <c r="C10246" s="38" t="s">
        <v>14215</v>
      </c>
      <c r="D10246" s="38" t="str">
        <f>IFERROR(__xludf.DUMMYFUNCTION("REGEXREPLACE(C10246,""-\d+(.*)|--\d+(.*)"","""")"),"YCHOUX")</f>
        <v>YCHOUX</v>
      </c>
      <c r="E10246" s="38" t="s">
        <v>281</v>
      </c>
      <c r="F10246" s="38" t="s">
        <v>252</v>
      </c>
      <c r="G10246" s="49" t="str">
        <f t="shared" si="1"/>
        <v>40160</v>
      </c>
      <c r="H10246" s="49">
        <f t="shared" si="2"/>
        <v>40332</v>
      </c>
    </row>
    <row r="10247">
      <c r="A10247" s="48" t="s">
        <v>13871</v>
      </c>
      <c r="B10247" s="38">
        <v>73191.0</v>
      </c>
      <c r="C10247" s="38" t="s">
        <v>14216</v>
      </c>
      <c r="D10247" s="38" t="str">
        <f>IFERROR(__xludf.DUMMYFUNCTION("REGEXREPLACE(C10247,""-\d+(.*)|--\d+(.*)"","""")"),"NOVALAISE")</f>
        <v>NOVALAISE</v>
      </c>
      <c r="E10247" s="38" t="s">
        <v>306</v>
      </c>
      <c r="F10247" s="38" t="s">
        <v>102</v>
      </c>
      <c r="G10247" s="49" t="str">
        <f t="shared" si="1"/>
        <v>73470</v>
      </c>
      <c r="H10247" s="49">
        <f t="shared" si="2"/>
        <v>73191</v>
      </c>
    </row>
    <row r="10248">
      <c r="A10248" s="48" t="s">
        <v>3662</v>
      </c>
      <c r="B10248" s="38">
        <v>80355.0</v>
      </c>
      <c r="C10248" s="38" t="s">
        <v>14217</v>
      </c>
      <c r="D10248" s="38" t="str">
        <f>IFERROR(__xludf.DUMMYFUNCTION("REGEXREPLACE(C10248,""-\d+(.*)|--\d+(.*)"","""")"),"FRESNEVILLE")</f>
        <v>FRESNEVILLE</v>
      </c>
      <c r="E10248" s="38" t="s">
        <v>224</v>
      </c>
      <c r="F10248" s="38" t="s">
        <v>113</v>
      </c>
      <c r="G10248" s="49" t="str">
        <f t="shared" si="1"/>
        <v>80140</v>
      </c>
      <c r="H10248" s="49">
        <f t="shared" si="2"/>
        <v>80355</v>
      </c>
    </row>
    <row r="10249">
      <c r="A10249" s="48" t="s">
        <v>14218</v>
      </c>
      <c r="B10249" s="38">
        <v>62532.0</v>
      </c>
      <c r="C10249" s="38" t="s">
        <v>14219</v>
      </c>
      <c r="D10249" s="38" t="str">
        <f>IFERROR(__xludf.DUMMYFUNCTION("REGEXREPLACE(C10249,""-\d+(.*)|--\d+(.*)"","""")"),"LOZINGHEM")</f>
        <v>LOZINGHEM</v>
      </c>
      <c r="E10249" s="38" t="s">
        <v>109</v>
      </c>
      <c r="F10249" s="38" t="s">
        <v>86</v>
      </c>
      <c r="G10249" s="49" t="str">
        <f t="shared" si="1"/>
        <v>62540</v>
      </c>
      <c r="H10249" s="49">
        <f t="shared" si="2"/>
        <v>62532</v>
      </c>
    </row>
    <row r="10250">
      <c r="A10250" s="48" t="s">
        <v>14220</v>
      </c>
      <c r="B10250" s="38">
        <v>33514.0</v>
      </c>
      <c r="C10250" s="38" t="s">
        <v>14221</v>
      </c>
      <c r="D10250" s="38" t="str">
        <f>IFERROR(__xludf.DUMMYFUNCTION("REGEXREPLACE(C10250,""-\d+(.*)|--\d+(.*)"","""")"),"SOULAC-SUR-MER")</f>
        <v>SOULAC-SUR-MER</v>
      </c>
      <c r="E10250" s="38" t="s">
        <v>462</v>
      </c>
      <c r="F10250" s="38" t="s">
        <v>252</v>
      </c>
      <c r="G10250" s="49" t="str">
        <f t="shared" si="1"/>
        <v>33780</v>
      </c>
      <c r="H10250" s="49">
        <f t="shared" si="2"/>
        <v>33514</v>
      </c>
    </row>
    <row r="10251">
      <c r="A10251" s="48" t="s">
        <v>14222</v>
      </c>
      <c r="B10251" s="38">
        <v>42187.0</v>
      </c>
      <c r="C10251" s="38" t="s">
        <v>14223</v>
      </c>
      <c r="D10251" s="38" t="str">
        <f>IFERROR(__xludf.DUMMYFUNCTION("REGEXREPLACE(C10251,""-\d+(.*)|--\d+(.*)"","""")"),"ROANNE")</f>
        <v>ROANNE</v>
      </c>
      <c r="E10251" s="38" t="s">
        <v>166</v>
      </c>
      <c r="F10251" s="38" t="s">
        <v>102</v>
      </c>
      <c r="G10251" s="49" t="str">
        <f t="shared" si="1"/>
        <v>42300</v>
      </c>
      <c r="H10251" s="49">
        <f t="shared" si="2"/>
        <v>42187</v>
      </c>
    </row>
    <row r="10252">
      <c r="A10252" s="48" t="s">
        <v>11656</v>
      </c>
      <c r="B10252" s="38">
        <v>78160.0</v>
      </c>
      <c r="C10252" s="38" t="s">
        <v>14224</v>
      </c>
      <c r="D10252" s="38" t="str">
        <f>IFERROR(__xludf.DUMMYFUNCTION("REGEXREPLACE(C10252,""-\d+(.*)|--\d+(.*)"","""")"),"CHEVREUSE")</f>
        <v>CHEVREUSE</v>
      </c>
      <c r="E10252" s="38" t="s">
        <v>362</v>
      </c>
      <c r="F10252" s="38" t="s">
        <v>245</v>
      </c>
      <c r="G10252" s="49" t="str">
        <f t="shared" si="1"/>
        <v>78460</v>
      </c>
      <c r="H10252" s="49">
        <f t="shared" si="2"/>
        <v>78160</v>
      </c>
    </row>
    <row r="10253">
      <c r="A10253" s="48" t="s">
        <v>14225</v>
      </c>
      <c r="B10253" s="38">
        <v>73103.0</v>
      </c>
      <c r="C10253" s="38" t="s">
        <v>14226</v>
      </c>
      <c r="D10253" s="38" t="str">
        <f>IFERROR(__xludf.DUMMYFUNCTION("REGEXREPLACE(C10253,""-\d+(.*)|--\d+(.*)"","""")"),"DRUMETTAZ-CLARAFOND")</f>
        <v>DRUMETTAZ-CLARAFOND</v>
      </c>
      <c r="E10253" s="38" t="s">
        <v>306</v>
      </c>
      <c r="F10253" s="38" t="s">
        <v>102</v>
      </c>
      <c r="G10253" s="49" t="str">
        <f t="shared" si="1"/>
        <v>73420</v>
      </c>
      <c r="H10253" s="49">
        <f t="shared" si="2"/>
        <v>73103</v>
      </c>
    </row>
    <row r="10254">
      <c r="A10254" s="48" t="s">
        <v>1802</v>
      </c>
      <c r="B10254" s="38">
        <v>53161.0</v>
      </c>
      <c r="C10254" s="38" t="s">
        <v>14227</v>
      </c>
      <c r="D10254" s="38" t="str">
        <f>IFERROR(__xludf.DUMMYFUNCTION("REGEXREPLACE(C10254,""-\d+(.*)|--\d+(.*)"","""")"),"MONTSURS")</f>
        <v>MONTSURS</v>
      </c>
      <c r="E10254" s="38" t="s">
        <v>518</v>
      </c>
      <c r="F10254" s="38" t="s">
        <v>180</v>
      </c>
      <c r="G10254" s="49" t="str">
        <f t="shared" si="1"/>
        <v>53150</v>
      </c>
      <c r="H10254" s="49">
        <f t="shared" si="2"/>
        <v>53161</v>
      </c>
    </row>
    <row r="10255">
      <c r="A10255" s="48" t="s">
        <v>2338</v>
      </c>
      <c r="B10255" s="38">
        <v>8245.0</v>
      </c>
      <c r="C10255" s="38" t="s">
        <v>14228</v>
      </c>
      <c r="D10255" s="38" t="str">
        <f>IFERROR(__xludf.DUMMYFUNCTION("REGEXREPLACE(C10255,""-\d+(.*)|--\d+(.*)"","""")"),"LANCON")</f>
        <v>LANCON</v>
      </c>
      <c r="E10255" s="38" t="s">
        <v>327</v>
      </c>
      <c r="F10255" s="38" t="s">
        <v>130</v>
      </c>
      <c r="G10255" s="49" t="str">
        <f t="shared" si="1"/>
        <v>08250</v>
      </c>
      <c r="H10255" s="49" t="str">
        <f t="shared" si="2"/>
        <v>08245</v>
      </c>
    </row>
    <row r="10256">
      <c r="A10256" s="48" t="s">
        <v>11099</v>
      </c>
      <c r="B10256" s="38">
        <v>1420.0</v>
      </c>
      <c r="C10256" s="38" t="s">
        <v>14229</v>
      </c>
      <c r="D10256" s="38" t="str">
        <f>IFERROR(__xludf.DUMMYFUNCTION("REGEXREPLACE(C10256,""-\d+(.*)|--\d+(.*)"","""")"),"THOISSEY")</f>
        <v>THOISSEY</v>
      </c>
      <c r="E10256" s="38" t="s">
        <v>255</v>
      </c>
      <c r="F10256" s="38" t="s">
        <v>102</v>
      </c>
      <c r="G10256" s="49" t="str">
        <f t="shared" si="1"/>
        <v>01140</v>
      </c>
      <c r="H10256" s="49" t="str">
        <f t="shared" si="2"/>
        <v>01420</v>
      </c>
    </row>
    <row r="10257">
      <c r="A10257" s="48" t="s">
        <v>2721</v>
      </c>
      <c r="B10257" s="38">
        <v>26178.0</v>
      </c>
      <c r="C10257" s="38" t="s">
        <v>14230</v>
      </c>
      <c r="D10257" s="38" t="str">
        <f>IFERROR(__xludf.DUMMYFUNCTION("REGEXREPLACE(C10257,""-\d+(.*)|--\d+(.*)"","""")"),"MENGLON")</f>
        <v>MENGLON</v>
      </c>
      <c r="E10257" s="38" t="s">
        <v>126</v>
      </c>
      <c r="F10257" s="38" t="s">
        <v>102</v>
      </c>
      <c r="G10257" s="49" t="str">
        <f t="shared" si="1"/>
        <v>26410</v>
      </c>
      <c r="H10257" s="49">
        <f t="shared" si="2"/>
        <v>26178</v>
      </c>
    </row>
    <row r="10258">
      <c r="A10258" s="48" t="s">
        <v>7763</v>
      </c>
      <c r="B10258" s="38">
        <v>89057.0</v>
      </c>
      <c r="C10258" s="38" t="s">
        <v>14231</v>
      </c>
      <c r="D10258" s="38" t="str">
        <f>IFERROR(__xludf.DUMMYFUNCTION("REGEXREPLACE(C10258,""-\d+(.*)|--\d+(.*)"","""")"),"BROSSES")</f>
        <v>BROSSES</v>
      </c>
      <c r="E10258" s="38" t="s">
        <v>275</v>
      </c>
      <c r="F10258" s="38" t="s">
        <v>106</v>
      </c>
      <c r="G10258" s="49" t="str">
        <f t="shared" si="1"/>
        <v>89660</v>
      </c>
      <c r="H10258" s="49">
        <f t="shared" si="2"/>
        <v>89057</v>
      </c>
    </row>
    <row r="10259">
      <c r="A10259" s="48" t="s">
        <v>9026</v>
      </c>
      <c r="B10259" s="38">
        <v>21493.0</v>
      </c>
      <c r="C10259" s="38" t="s">
        <v>14232</v>
      </c>
      <c r="D10259" s="38" t="str">
        <f>IFERROR(__xludf.DUMMYFUNCTION("REGEXREPLACE(C10259,""-\d+(.*)|--\d+(.*)"","""")"),"PONCEY-LES-ATHEE")</f>
        <v>PONCEY-LES-ATHEE</v>
      </c>
      <c r="E10259" s="38" t="s">
        <v>105</v>
      </c>
      <c r="F10259" s="38" t="s">
        <v>106</v>
      </c>
      <c r="G10259" s="49" t="str">
        <f t="shared" si="1"/>
        <v>21130</v>
      </c>
      <c r="H10259" s="49">
        <f t="shared" si="2"/>
        <v>21493</v>
      </c>
    </row>
    <row r="10260">
      <c r="A10260" s="48" t="s">
        <v>2010</v>
      </c>
      <c r="B10260" s="38">
        <v>49239.0</v>
      </c>
      <c r="C10260" s="38" t="s">
        <v>14233</v>
      </c>
      <c r="D10260" s="38" t="str">
        <f>IFERROR(__xludf.DUMMYFUNCTION("REGEXREPLACE(C10260,""-\d+(.*)|--\d+(.*)"","""")"),"LE PIN-EN-MAUGES")</f>
        <v>LE PIN-EN-MAUGES</v>
      </c>
      <c r="E10260" s="38" t="s">
        <v>653</v>
      </c>
      <c r="F10260" s="38" t="s">
        <v>180</v>
      </c>
      <c r="G10260" s="49" t="str">
        <f t="shared" si="1"/>
        <v>49110</v>
      </c>
      <c r="H10260" s="49">
        <f t="shared" si="2"/>
        <v>49239</v>
      </c>
    </row>
    <row r="10261">
      <c r="A10261" s="48" t="s">
        <v>1135</v>
      </c>
      <c r="B10261" s="38">
        <v>79300.0</v>
      </c>
      <c r="C10261" s="38" t="s">
        <v>14234</v>
      </c>
      <c r="D10261" s="38" t="str">
        <f>IFERROR(__xludf.DUMMYFUNCTION("REGEXREPLACE(C10261,""-\d+(.*)|--\d+(.*)"","""")"),"SAINTE-VERGE")</f>
        <v>SAINTE-VERGE</v>
      </c>
      <c r="E10261" s="38" t="s">
        <v>337</v>
      </c>
      <c r="F10261" s="38" t="s">
        <v>338</v>
      </c>
      <c r="G10261" s="49" t="str">
        <f t="shared" si="1"/>
        <v>79100</v>
      </c>
      <c r="H10261" s="49">
        <f t="shared" si="2"/>
        <v>79300</v>
      </c>
    </row>
    <row r="10262">
      <c r="A10262" s="48" t="s">
        <v>2219</v>
      </c>
      <c r="B10262" s="38">
        <v>2491.0</v>
      </c>
      <c r="C10262" s="38" t="s">
        <v>14235</v>
      </c>
      <c r="D10262" s="38" t="str">
        <f>IFERROR(__xludf.DUMMYFUNCTION("REGEXREPLACE(C10262,""-\d+(.*)|--\d+(.*)"","""")"),"MONCEAU-LE-NEUF-ET-FAUCOUZY")</f>
        <v>MONCEAU-LE-NEUF-ET-FAUCOUZY</v>
      </c>
      <c r="E10262" s="38" t="s">
        <v>191</v>
      </c>
      <c r="F10262" s="38" t="s">
        <v>113</v>
      </c>
      <c r="G10262" s="49" t="str">
        <f t="shared" si="1"/>
        <v>02270</v>
      </c>
      <c r="H10262" s="49" t="str">
        <f t="shared" si="2"/>
        <v>02491</v>
      </c>
    </row>
    <row r="10263">
      <c r="A10263" s="48" t="s">
        <v>6521</v>
      </c>
      <c r="B10263" s="38">
        <v>34004.0</v>
      </c>
      <c r="C10263" s="38" t="s">
        <v>14236</v>
      </c>
      <c r="D10263" s="38" t="str">
        <f>IFERROR(__xludf.DUMMYFUNCTION("REGEXREPLACE(C10263,""-\d+(.*)|--\d+(.*)"","""")"),"AGEL")</f>
        <v>AGEL</v>
      </c>
      <c r="E10263" s="38" t="s">
        <v>118</v>
      </c>
      <c r="F10263" s="38" t="s">
        <v>119</v>
      </c>
      <c r="G10263" s="49" t="str">
        <f t="shared" si="1"/>
        <v>34210</v>
      </c>
      <c r="H10263" s="49">
        <f t="shared" si="2"/>
        <v>34004</v>
      </c>
    </row>
    <row r="10264">
      <c r="A10264" s="48" t="s">
        <v>14237</v>
      </c>
      <c r="B10264" s="38">
        <v>41078.0</v>
      </c>
      <c r="C10264" s="38" t="s">
        <v>14238</v>
      </c>
      <c r="D10264" s="38" t="str">
        <f>IFERROR(__xludf.DUMMYFUNCTION("REGEXREPLACE(C10264,""-\d+(.*)|--\d+(.*)"","""")"),"EPUISAY")</f>
        <v>EPUISAY</v>
      </c>
      <c r="E10264" s="38" t="s">
        <v>188</v>
      </c>
      <c r="F10264" s="38" t="s">
        <v>123</v>
      </c>
      <c r="G10264" s="49" t="str">
        <f t="shared" si="1"/>
        <v>41360</v>
      </c>
      <c r="H10264" s="49">
        <f t="shared" si="2"/>
        <v>41078</v>
      </c>
    </row>
    <row r="10265">
      <c r="A10265" s="48" t="s">
        <v>14239</v>
      </c>
      <c r="B10265" s="38">
        <v>42165.0</v>
      </c>
      <c r="C10265" s="38" t="s">
        <v>14240</v>
      </c>
      <c r="D10265" s="38" t="str">
        <f>IFERROR(__xludf.DUMMYFUNCTION("REGEXREPLACE(C10265,""-\d+(.*)|--\d+(.*)"","""")"),"PANISSIERES")</f>
        <v>PANISSIERES</v>
      </c>
      <c r="E10265" s="38" t="s">
        <v>166</v>
      </c>
      <c r="F10265" s="38" t="s">
        <v>102</v>
      </c>
      <c r="G10265" s="49" t="str">
        <f t="shared" si="1"/>
        <v>42360</v>
      </c>
      <c r="H10265" s="49">
        <f t="shared" si="2"/>
        <v>42165</v>
      </c>
    </row>
    <row r="10266">
      <c r="A10266" s="48" t="s">
        <v>13255</v>
      </c>
      <c r="B10266" s="38">
        <v>35134.0</v>
      </c>
      <c r="C10266" s="38" t="s">
        <v>14241</v>
      </c>
      <c r="D10266" s="38" t="str">
        <f>IFERROR(__xludf.DUMMYFUNCTION("REGEXREPLACE(C10266,""-\d+(.*)|--\d+(.*)"","""")"),"LES IFFS")</f>
        <v>LES IFFS</v>
      </c>
      <c r="E10266" s="38" t="s">
        <v>347</v>
      </c>
      <c r="F10266" s="38" t="s">
        <v>90</v>
      </c>
      <c r="G10266" s="49" t="str">
        <f t="shared" si="1"/>
        <v>35630</v>
      </c>
      <c r="H10266" s="49">
        <f t="shared" si="2"/>
        <v>35134</v>
      </c>
    </row>
    <row r="10267">
      <c r="A10267" s="48" t="s">
        <v>9262</v>
      </c>
      <c r="B10267" s="38">
        <v>16086.0</v>
      </c>
      <c r="C10267" s="38" t="s">
        <v>14242</v>
      </c>
      <c r="D10267" s="38" t="str">
        <f>IFERROR(__xludf.DUMMYFUNCTION("REGEXREPLACE(C10267,""-\d+(.*)|--\d+(.*)"","""")"),"CHASSENON")</f>
        <v>CHASSENON</v>
      </c>
      <c r="E10267" s="38" t="s">
        <v>429</v>
      </c>
      <c r="F10267" s="38" t="s">
        <v>338</v>
      </c>
      <c r="G10267" s="49" t="str">
        <f t="shared" si="1"/>
        <v>16150</v>
      </c>
      <c r="H10267" s="49">
        <f t="shared" si="2"/>
        <v>16086</v>
      </c>
    </row>
    <row r="10268">
      <c r="A10268" s="48" t="s">
        <v>7752</v>
      </c>
      <c r="B10268" s="38">
        <v>69228.0</v>
      </c>
      <c r="C10268" s="38" t="s">
        <v>14243</v>
      </c>
      <c r="D10268" s="38" t="str">
        <f>IFERROR(__xludf.DUMMYFUNCTION("REGEXREPLACE(C10268,""-\d+(.*)|--\d+(.*)"","""")"),"SAINT-MAURICE-SUR-DARGOIRE")</f>
        <v>SAINT-MAURICE-SUR-DARGOIRE</v>
      </c>
      <c r="E10268" s="38" t="s">
        <v>350</v>
      </c>
      <c r="F10268" s="38" t="s">
        <v>102</v>
      </c>
      <c r="G10268" s="49" t="str">
        <f t="shared" si="1"/>
        <v>69440</v>
      </c>
      <c r="H10268" s="49">
        <f t="shared" si="2"/>
        <v>69228</v>
      </c>
    </row>
    <row r="10269">
      <c r="A10269" s="48" t="s">
        <v>2473</v>
      </c>
      <c r="B10269" s="38">
        <v>69091.0</v>
      </c>
      <c r="C10269" s="38" t="s">
        <v>14244</v>
      </c>
      <c r="D10269" s="38" t="str">
        <f>IFERROR(__xludf.DUMMYFUNCTION("REGEXREPLACE(C10269,""-\d+(.*)|--\d+(.*)"","""")"),"GIVORS")</f>
        <v>GIVORS</v>
      </c>
      <c r="E10269" s="38" t="s">
        <v>350</v>
      </c>
      <c r="F10269" s="38" t="s">
        <v>102</v>
      </c>
      <c r="G10269" s="49" t="str">
        <f t="shared" si="1"/>
        <v>69700</v>
      </c>
      <c r="H10269" s="49">
        <f t="shared" si="2"/>
        <v>69091</v>
      </c>
    </row>
    <row r="10270">
      <c r="A10270" s="48" t="s">
        <v>5313</v>
      </c>
      <c r="B10270" s="38">
        <v>60358.0</v>
      </c>
      <c r="C10270" s="38" t="s">
        <v>14245</v>
      </c>
      <c r="D10270" s="38" t="str">
        <f>IFERROR(__xludf.DUMMYFUNCTION("REGEXREPLACE(C10270,""-\d+(.*)|--\d+(.*)"","""")"),"LEVIGNEN")</f>
        <v>LEVIGNEN</v>
      </c>
      <c r="E10270" s="38" t="s">
        <v>112</v>
      </c>
      <c r="F10270" s="38" t="s">
        <v>113</v>
      </c>
      <c r="G10270" s="49" t="str">
        <f t="shared" si="1"/>
        <v>60800</v>
      </c>
      <c r="H10270" s="49">
        <f t="shared" si="2"/>
        <v>60358</v>
      </c>
    </row>
    <row r="10271">
      <c r="A10271" s="48" t="s">
        <v>6060</v>
      </c>
      <c r="B10271" s="38">
        <v>37014.0</v>
      </c>
      <c r="C10271" s="38" t="s">
        <v>14246</v>
      </c>
      <c r="D10271" s="38" t="str">
        <f>IFERROR(__xludf.DUMMYFUNCTION("REGEXREPLACE(C10271,""-\d+(.*)|--\d+(.*)"","""")"),"AZAY-LE-RIDEAU")</f>
        <v>AZAY-LE-RIDEAU</v>
      </c>
      <c r="E10271" s="38" t="s">
        <v>205</v>
      </c>
      <c r="F10271" s="38" t="s">
        <v>123</v>
      </c>
      <c r="G10271" s="49" t="str">
        <f t="shared" si="1"/>
        <v>37190</v>
      </c>
      <c r="H10271" s="49">
        <f t="shared" si="2"/>
        <v>37014</v>
      </c>
    </row>
    <row r="10272">
      <c r="A10272" s="48" t="s">
        <v>6800</v>
      </c>
      <c r="B10272" s="38">
        <v>77467.0</v>
      </c>
      <c r="C10272" s="38" t="s">
        <v>14247</v>
      </c>
      <c r="D10272" s="38" t="str">
        <f>IFERROR(__xludf.DUMMYFUNCTION("REGEXREPLACE(C10272,""-\d+(.*)|--\d+(.*)"","""")"),"LA TOMBE")</f>
        <v>LA TOMBE</v>
      </c>
      <c r="E10272" s="38" t="s">
        <v>244</v>
      </c>
      <c r="F10272" s="38" t="s">
        <v>245</v>
      </c>
      <c r="G10272" s="49" t="str">
        <f t="shared" si="1"/>
        <v>77130</v>
      </c>
      <c r="H10272" s="49">
        <f t="shared" si="2"/>
        <v>77467</v>
      </c>
    </row>
    <row r="10273">
      <c r="A10273" s="48" t="s">
        <v>8120</v>
      </c>
      <c r="B10273" s="38">
        <v>61236.0</v>
      </c>
      <c r="C10273" s="38" t="s">
        <v>14248</v>
      </c>
      <c r="D10273" s="38" t="str">
        <f>IFERROR(__xludf.DUMMYFUNCTION("REGEXREPLACE(C10273,""-\d+(.*)|--\d+(.*)"","""")"),"LOUCE")</f>
        <v>LOUCE</v>
      </c>
      <c r="E10273" s="38" t="s">
        <v>141</v>
      </c>
      <c r="F10273" s="38" t="s">
        <v>138</v>
      </c>
      <c r="G10273" s="49" t="str">
        <f t="shared" si="1"/>
        <v>61150</v>
      </c>
      <c r="H10273" s="49">
        <f t="shared" si="2"/>
        <v>61236</v>
      </c>
    </row>
    <row r="10274">
      <c r="A10274" s="48" t="s">
        <v>14249</v>
      </c>
      <c r="B10274" s="38">
        <v>27432.0</v>
      </c>
      <c r="C10274" s="38" t="s">
        <v>14250</v>
      </c>
      <c r="D10274" s="38" t="str">
        <f>IFERROR(__xludf.DUMMYFUNCTION("REGEXREPLACE(C10274,""-\d+(.*)|--\d+(.*)"","""")"),"LA NEUVILLE-DU-BOSC")</f>
        <v>LA NEUVILLE-DU-BOSC</v>
      </c>
      <c r="E10274" s="38" t="s">
        <v>241</v>
      </c>
      <c r="F10274" s="38" t="s">
        <v>134</v>
      </c>
      <c r="G10274" s="49" t="str">
        <f t="shared" si="1"/>
        <v>27890</v>
      </c>
      <c r="H10274" s="49">
        <f t="shared" si="2"/>
        <v>27432</v>
      </c>
    </row>
    <row r="10275">
      <c r="A10275" s="48" t="s">
        <v>6862</v>
      </c>
      <c r="B10275" s="38">
        <v>68334.0</v>
      </c>
      <c r="C10275" s="38" t="s">
        <v>14251</v>
      </c>
      <c r="D10275" s="38" t="str">
        <f>IFERROR(__xludf.DUMMYFUNCTION("REGEXREPLACE(C10275,""-\d+(.*)|--\d+(.*)"","""")"),"THANN")</f>
        <v>THANN</v>
      </c>
      <c r="E10275" s="38" t="s">
        <v>150</v>
      </c>
      <c r="F10275" s="38" t="s">
        <v>151</v>
      </c>
      <c r="G10275" s="49" t="str">
        <f t="shared" si="1"/>
        <v>68800</v>
      </c>
      <c r="H10275" s="49">
        <f t="shared" si="2"/>
        <v>68334</v>
      </c>
    </row>
    <row r="10276">
      <c r="A10276" s="48" t="s">
        <v>12639</v>
      </c>
      <c r="B10276" s="38">
        <v>81095.0</v>
      </c>
      <c r="C10276" s="38" t="s">
        <v>14252</v>
      </c>
      <c r="D10276" s="38" t="str">
        <f>IFERROR(__xludf.DUMMYFUNCTION("REGEXREPLACE(C10276,""-\d+(.*)|--\d+(.*)"","""")"),"FRAUSSEILLES")</f>
        <v>FRAUSSEILLES</v>
      </c>
      <c r="E10276" s="38" t="s">
        <v>231</v>
      </c>
      <c r="F10276" s="38" t="s">
        <v>94</v>
      </c>
      <c r="G10276" s="49" t="str">
        <f t="shared" si="1"/>
        <v>81170</v>
      </c>
      <c r="H10276" s="49">
        <f t="shared" si="2"/>
        <v>81095</v>
      </c>
    </row>
    <row r="10277">
      <c r="A10277" s="48" t="s">
        <v>11392</v>
      </c>
      <c r="B10277" s="38">
        <v>95452.0</v>
      </c>
      <c r="C10277" s="38" t="s">
        <v>14253</v>
      </c>
      <c r="D10277" s="38" t="str">
        <f>IFERROR(__xludf.DUMMYFUNCTION("REGEXREPLACE(C10277,""-\d+(.*)|--\d+(.*)"","""")"),"NOINTEL")</f>
        <v>NOINTEL</v>
      </c>
      <c r="E10277" s="38" t="s">
        <v>541</v>
      </c>
      <c r="F10277" s="38" t="s">
        <v>245</v>
      </c>
      <c r="G10277" s="49" t="str">
        <f t="shared" si="1"/>
        <v>95590</v>
      </c>
      <c r="H10277" s="49">
        <f t="shared" si="2"/>
        <v>95452</v>
      </c>
    </row>
    <row r="10278">
      <c r="A10278" s="48" t="s">
        <v>5938</v>
      </c>
      <c r="B10278" s="38">
        <v>58176.0</v>
      </c>
      <c r="C10278" s="38" t="s">
        <v>14254</v>
      </c>
      <c r="D10278" s="38" t="str">
        <f>IFERROR(__xludf.DUMMYFUNCTION("REGEXREPLACE(C10278,""-\d+(.*)|--\d+(.*)"","""")"),"MONTIGNY-AUX-AMOGNES")</f>
        <v>MONTIGNY-AUX-AMOGNES</v>
      </c>
      <c r="E10278" s="38" t="s">
        <v>219</v>
      </c>
      <c r="F10278" s="38" t="s">
        <v>106</v>
      </c>
      <c r="G10278" s="49" t="str">
        <f t="shared" si="1"/>
        <v>58130</v>
      </c>
      <c r="H10278" s="49">
        <f t="shared" si="2"/>
        <v>58176</v>
      </c>
    </row>
    <row r="10279">
      <c r="A10279" s="48" t="s">
        <v>3022</v>
      </c>
      <c r="B10279" s="38">
        <v>14489.0</v>
      </c>
      <c r="C10279" s="38" t="s">
        <v>14255</v>
      </c>
      <c r="D10279" s="38" t="str">
        <f>IFERROR(__xludf.DUMMYFUNCTION("REGEXREPLACE(C10279,""-\d+(.*)|--\d+(.*)"","""")"),"OUVILLE-LA-BIEN-TOURNEE")</f>
        <v>OUVILLE-LA-BIEN-TOURNEE</v>
      </c>
      <c r="E10279" s="38" t="s">
        <v>137</v>
      </c>
      <c r="F10279" s="38" t="s">
        <v>138</v>
      </c>
      <c r="G10279" s="49" t="str">
        <f t="shared" si="1"/>
        <v>14170</v>
      </c>
      <c r="H10279" s="49">
        <f t="shared" si="2"/>
        <v>14489</v>
      </c>
    </row>
    <row r="10280">
      <c r="A10280" s="48" t="s">
        <v>1408</v>
      </c>
      <c r="B10280" s="38">
        <v>88317.0</v>
      </c>
      <c r="C10280" s="38" t="s">
        <v>7908</v>
      </c>
      <c r="D10280" s="38" t="str">
        <f>IFERROR(__xludf.DUMMYFUNCTION("REGEXREPLACE(C10280,""-\d+(.*)|--\d+(.*)"","""")"),"MOUSSEY")</f>
        <v>MOUSSEY</v>
      </c>
      <c r="E10280" s="38" t="s">
        <v>194</v>
      </c>
      <c r="F10280" s="38" t="s">
        <v>195</v>
      </c>
      <c r="G10280" s="49" t="str">
        <f t="shared" si="1"/>
        <v>88210</v>
      </c>
      <c r="H10280" s="49">
        <f t="shared" si="2"/>
        <v>88317</v>
      </c>
    </row>
    <row r="10281">
      <c r="A10281" s="48" t="s">
        <v>14256</v>
      </c>
      <c r="B10281" s="38">
        <v>72386.0</v>
      </c>
      <c r="C10281" s="38" t="s">
        <v>14257</v>
      </c>
      <c r="D10281" s="38" t="str">
        <f>IFERROR(__xludf.DUMMYFUNCTION("REGEXREPLACE(C10281,""-\d+(.*)|--\d+(.*)"","""")"),"YVRE-L'EVEQUE")</f>
        <v>YVRE-L'EVEQUE</v>
      </c>
      <c r="E10281" s="38" t="s">
        <v>521</v>
      </c>
      <c r="F10281" s="38" t="s">
        <v>180</v>
      </c>
      <c r="G10281" s="49" t="str">
        <f t="shared" si="1"/>
        <v>72530</v>
      </c>
      <c r="H10281" s="49">
        <f t="shared" si="2"/>
        <v>72386</v>
      </c>
    </row>
    <row r="10282">
      <c r="A10282" s="48" t="s">
        <v>14258</v>
      </c>
      <c r="B10282" s="38">
        <v>34233.0</v>
      </c>
      <c r="C10282" s="38" t="s">
        <v>14259</v>
      </c>
      <c r="D10282" s="38" t="str">
        <f>IFERROR(__xludf.DUMMYFUNCTION("REGEXREPLACE(C10282,""-\d+(.*)|--\d+(.*)"","""")"),"ROQUEREDONDE")</f>
        <v>ROQUEREDONDE</v>
      </c>
      <c r="E10282" s="38" t="s">
        <v>118</v>
      </c>
      <c r="F10282" s="38" t="s">
        <v>119</v>
      </c>
      <c r="G10282" s="49" t="str">
        <f t="shared" si="1"/>
        <v>34650</v>
      </c>
      <c r="H10282" s="49">
        <f t="shared" si="2"/>
        <v>34233</v>
      </c>
    </row>
    <row r="10283">
      <c r="A10283" s="48" t="s">
        <v>3046</v>
      </c>
      <c r="B10283" s="38">
        <v>70466.0</v>
      </c>
      <c r="C10283" s="38" t="s">
        <v>14260</v>
      </c>
      <c r="D10283" s="38" t="str">
        <f>IFERROR(__xludf.DUMMYFUNCTION("REGEXREPLACE(C10283,""-\d+(.*)|--\d+(.*)"","""")"),"SAINT-LOUP-NANTOUARD")</f>
        <v>SAINT-LOUP-NANTOUARD</v>
      </c>
      <c r="E10283" s="38" t="s">
        <v>956</v>
      </c>
      <c r="F10283" s="38" t="s">
        <v>214</v>
      </c>
      <c r="G10283" s="49" t="str">
        <f t="shared" si="1"/>
        <v>70100</v>
      </c>
      <c r="H10283" s="49">
        <f t="shared" si="2"/>
        <v>70466</v>
      </c>
    </row>
    <row r="10284">
      <c r="A10284" s="48" t="s">
        <v>2408</v>
      </c>
      <c r="B10284" s="38">
        <v>30210.0</v>
      </c>
      <c r="C10284" s="38" t="s">
        <v>14261</v>
      </c>
      <c r="D10284" s="38" t="str">
        <f>IFERROR(__xludf.DUMMYFUNCTION("REGEXREPLACE(C10284,""-\d+(.*)|--\d+(.*)"","""")"),"QUISSAC")</f>
        <v>QUISSAC</v>
      </c>
      <c r="E10284" s="38" t="s">
        <v>526</v>
      </c>
      <c r="F10284" s="38" t="s">
        <v>119</v>
      </c>
      <c r="G10284" s="49" t="str">
        <f t="shared" si="1"/>
        <v>30260</v>
      </c>
      <c r="H10284" s="49">
        <f t="shared" si="2"/>
        <v>30210</v>
      </c>
    </row>
    <row r="10285">
      <c r="A10285" s="48" t="s">
        <v>3735</v>
      </c>
      <c r="B10285" s="38">
        <v>28182.0</v>
      </c>
      <c r="C10285" s="38" t="s">
        <v>14262</v>
      </c>
      <c r="D10285" s="38" t="str">
        <f>IFERROR(__xludf.DUMMYFUNCTION("REGEXREPLACE(C10285,""-\d+(.*)|--\d+(.*)"","""")"),"GOHORY")</f>
        <v>GOHORY</v>
      </c>
      <c r="E10285" s="38" t="s">
        <v>300</v>
      </c>
      <c r="F10285" s="38" t="s">
        <v>123</v>
      </c>
      <c r="G10285" s="49" t="str">
        <f t="shared" si="1"/>
        <v>28160</v>
      </c>
      <c r="H10285" s="49">
        <f t="shared" si="2"/>
        <v>28182</v>
      </c>
    </row>
    <row r="10286">
      <c r="A10286" s="48" t="s">
        <v>4272</v>
      </c>
      <c r="B10286" s="38">
        <v>76200.0</v>
      </c>
      <c r="C10286" s="38" t="s">
        <v>14263</v>
      </c>
      <c r="D10286" s="38" t="str">
        <f>IFERROR(__xludf.DUMMYFUNCTION("REGEXREPLACE(C10286,""-\d+(.*)|--\d+(.*)"","""")"),"CRITOT")</f>
        <v>CRITOT</v>
      </c>
      <c r="E10286" s="38" t="s">
        <v>133</v>
      </c>
      <c r="F10286" s="38" t="s">
        <v>134</v>
      </c>
      <c r="G10286" s="49" t="str">
        <f t="shared" si="1"/>
        <v>76680</v>
      </c>
      <c r="H10286" s="49">
        <f t="shared" si="2"/>
        <v>76200</v>
      </c>
    </row>
    <row r="10287">
      <c r="A10287" s="48" t="s">
        <v>4969</v>
      </c>
      <c r="B10287" s="38">
        <v>14006.0</v>
      </c>
      <c r="C10287" s="38" t="s">
        <v>14264</v>
      </c>
      <c r="D10287" s="38" t="str">
        <f>IFERROR(__xludf.DUMMYFUNCTION("REGEXREPLACE(C10287,""-\d+(.*)|--\d+(.*)"","""")"),"AMAYE-SUR-ORNE")</f>
        <v>AMAYE-SUR-ORNE</v>
      </c>
      <c r="E10287" s="38" t="s">
        <v>137</v>
      </c>
      <c r="F10287" s="38" t="s">
        <v>138</v>
      </c>
      <c r="G10287" s="49" t="str">
        <f t="shared" si="1"/>
        <v>14210</v>
      </c>
      <c r="H10287" s="49">
        <f t="shared" si="2"/>
        <v>14006</v>
      </c>
    </row>
    <row r="10288">
      <c r="A10288" s="48" t="s">
        <v>1588</v>
      </c>
      <c r="B10288" s="38">
        <v>9017.0</v>
      </c>
      <c r="C10288" s="38" t="s">
        <v>14265</v>
      </c>
      <c r="D10288" s="38" t="str">
        <f>IFERROR(__xludf.DUMMYFUNCTION("REGEXREPLACE(C10288,""-\d+(.*)|--\d+(.*)"","""")"),"ARRIEN-EN-BETHMALE")</f>
        <v>ARRIEN-EN-BETHMALE</v>
      </c>
      <c r="E10288" s="38" t="s">
        <v>238</v>
      </c>
      <c r="F10288" s="38" t="s">
        <v>94</v>
      </c>
      <c r="G10288" s="49" t="str">
        <f t="shared" si="1"/>
        <v>09800</v>
      </c>
      <c r="H10288" s="49" t="str">
        <f t="shared" si="2"/>
        <v>09017</v>
      </c>
    </row>
    <row r="10289">
      <c r="A10289" s="48" t="s">
        <v>4032</v>
      </c>
      <c r="B10289" s="38">
        <v>17169.0</v>
      </c>
      <c r="C10289" s="38" t="s">
        <v>14266</v>
      </c>
      <c r="D10289" s="38" t="str">
        <f>IFERROR(__xludf.DUMMYFUNCTION("REGEXREPLACE(C10289,""-\d+(.*)|--\d+(.*)"","""")"),"LA FREDIERE")</f>
        <v>LA FREDIERE</v>
      </c>
      <c r="E10289" s="38" t="s">
        <v>488</v>
      </c>
      <c r="F10289" s="38" t="s">
        <v>338</v>
      </c>
      <c r="G10289" s="49" t="str">
        <f t="shared" si="1"/>
        <v>17770</v>
      </c>
      <c r="H10289" s="49">
        <f t="shared" si="2"/>
        <v>17169</v>
      </c>
    </row>
    <row r="10290">
      <c r="A10290" s="48" t="s">
        <v>2779</v>
      </c>
      <c r="B10290" s="38">
        <v>80563.0</v>
      </c>
      <c r="C10290" s="38" t="s">
        <v>14267</v>
      </c>
      <c r="D10290" s="38" t="str">
        <f>IFERROR(__xludf.DUMMYFUNCTION("REGEXREPLACE(C10290,""-\d+(.*)|--\d+(.*)"","""")"),"MONTIGNY-LES-JONGLEURS")</f>
        <v>MONTIGNY-LES-JONGLEURS</v>
      </c>
      <c r="E10290" s="38" t="s">
        <v>224</v>
      </c>
      <c r="F10290" s="38" t="s">
        <v>113</v>
      </c>
      <c r="G10290" s="49" t="str">
        <f t="shared" si="1"/>
        <v>80370</v>
      </c>
      <c r="H10290" s="49">
        <f t="shared" si="2"/>
        <v>80563</v>
      </c>
    </row>
    <row r="10291">
      <c r="A10291" s="48" t="s">
        <v>8892</v>
      </c>
      <c r="B10291" s="38">
        <v>60461.0</v>
      </c>
      <c r="C10291" s="38" t="s">
        <v>14268</v>
      </c>
      <c r="D10291" s="38" t="str">
        <f>IFERROR(__xludf.DUMMYFUNCTION("REGEXREPLACE(C10291,""-\d+(.*)|--\d+(.*)"","""")"),"NIVILLERS")</f>
        <v>NIVILLERS</v>
      </c>
      <c r="E10291" s="38" t="s">
        <v>112</v>
      </c>
      <c r="F10291" s="38" t="s">
        <v>113</v>
      </c>
      <c r="G10291" s="49" t="str">
        <f t="shared" si="1"/>
        <v>60510</v>
      </c>
      <c r="H10291" s="49">
        <f t="shared" si="2"/>
        <v>60461</v>
      </c>
    </row>
    <row r="10292">
      <c r="A10292" s="48" t="s">
        <v>10725</v>
      </c>
      <c r="B10292" s="38">
        <v>62408.0</v>
      </c>
      <c r="C10292" s="38" t="s">
        <v>14269</v>
      </c>
      <c r="D10292" s="38" t="str">
        <f>IFERROR(__xludf.DUMMYFUNCTION("REGEXREPLACE(C10292,""-\d+(.*)|--\d+(.*)"","""")"),"HAMES-BOUCRES")</f>
        <v>HAMES-BOUCRES</v>
      </c>
      <c r="E10292" s="38" t="s">
        <v>109</v>
      </c>
      <c r="F10292" s="38" t="s">
        <v>86</v>
      </c>
      <c r="G10292" s="49" t="str">
        <f t="shared" si="1"/>
        <v>62340</v>
      </c>
      <c r="H10292" s="49">
        <f t="shared" si="2"/>
        <v>62408</v>
      </c>
    </row>
    <row r="10293">
      <c r="A10293" s="48" t="s">
        <v>6943</v>
      </c>
      <c r="B10293" s="38">
        <v>64067.0</v>
      </c>
      <c r="C10293" s="38" t="s">
        <v>14270</v>
      </c>
      <c r="D10293" s="38" t="str">
        <f>IFERROR(__xludf.DUMMYFUNCTION("REGEXREPLACE(C10293,""-\d+(.*)|--\d+(.*)"","""")"),"ASSAT")</f>
        <v>ASSAT</v>
      </c>
      <c r="E10293" s="38" t="s">
        <v>268</v>
      </c>
      <c r="F10293" s="38" t="s">
        <v>252</v>
      </c>
      <c r="G10293" s="49" t="str">
        <f t="shared" si="1"/>
        <v>64510</v>
      </c>
      <c r="H10293" s="49">
        <f t="shared" si="2"/>
        <v>64067</v>
      </c>
    </row>
    <row r="10294">
      <c r="A10294" s="48" t="s">
        <v>3704</v>
      </c>
      <c r="B10294" s="38">
        <v>2210.0</v>
      </c>
      <c r="C10294" s="38" t="s">
        <v>14271</v>
      </c>
      <c r="D10294" s="38" t="str">
        <f>IFERROR(__xludf.DUMMYFUNCTION("REGEXREPLACE(C10294,""-\d+(.*)|--\d+(.*)"","""")"),"CONDE-SUR-AISNE")</f>
        <v>CONDE-SUR-AISNE</v>
      </c>
      <c r="E10294" s="38" t="s">
        <v>191</v>
      </c>
      <c r="F10294" s="38" t="s">
        <v>113</v>
      </c>
      <c r="G10294" s="49" t="str">
        <f t="shared" si="1"/>
        <v>02370</v>
      </c>
      <c r="H10294" s="49" t="str">
        <f t="shared" si="2"/>
        <v>02210</v>
      </c>
    </row>
    <row r="10295">
      <c r="A10295" s="48" t="s">
        <v>2949</v>
      </c>
      <c r="B10295" s="38">
        <v>27041.0</v>
      </c>
      <c r="C10295" s="38" t="s">
        <v>14272</v>
      </c>
      <c r="D10295" s="38" t="str">
        <f>IFERROR(__xludf.DUMMYFUNCTION("REGEXREPLACE(C10295,""-\d+(.*)|--\d+(.*)"","""")"),"LA BARRE-EN-OUCHE")</f>
        <v>LA BARRE-EN-OUCHE</v>
      </c>
      <c r="E10295" s="38" t="s">
        <v>241</v>
      </c>
      <c r="F10295" s="38" t="s">
        <v>134</v>
      </c>
      <c r="G10295" s="49" t="str">
        <f t="shared" si="1"/>
        <v>27330</v>
      </c>
      <c r="H10295" s="49">
        <f t="shared" si="2"/>
        <v>27041</v>
      </c>
    </row>
    <row r="10296">
      <c r="A10296" s="48" t="s">
        <v>3916</v>
      </c>
      <c r="B10296" s="38">
        <v>85189.0</v>
      </c>
      <c r="C10296" s="38" t="s">
        <v>14273</v>
      </c>
      <c r="D10296" s="38" t="str">
        <f>IFERROR(__xludf.DUMMYFUNCTION("REGEXREPLACE(C10296,""-\d+(.*)|--\d+(.*)"","""")"),"NOTRE-DAME-DE-RIEZ")</f>
        <v>NOTRE-DAME-DE-RIEZ</v>
      </c>
      <c r="E10296" s="38" t="s">
        <v>179</v>
      </c>
      <c r="F10296" s="38" t="s">
        <v>180</v>
      </c>
      <c r="G10296" s="49" t="str">
        <f t="shared" si="1"/>
        <v>85270</v>
      </c>
      <c r="H10296" s="49">
        <f t="shared" si="2"/>
        <v>85189</v>
      </c>
    </row>
    <row r="10297">
      <c r="A10297" s="48" t="s">
        <v>14274</v>
      </c>
      <c r="B10297" s="38">
        <v>17385.0</v>
      </c>
      <c r="C10297" s="38" t="s">
        <v>14275</v>
      </c>
      <c r="D10297" s="38" t="str">
        <f>IFERROR(__xludf.DUMMYFUNCTION("REGEXREPLACE(C10297,""-\d+(.*)|--\d+(.*)"","""")"),"SAINT-PIERRE-D'OLERON")</f>
        <v>SAINT-PIERRE-D'OLERON</v>
      </c>
      <c r="E10297" s="38" t="s">
        <v>488</v>
      </c>
      <c r="F10297" s="38" t="s">
        <v>338</v>
      </c>
      <c r="G10297" s="49" t="str">
        <f t="shared" si="1"/>
        <v>17310</v>
      </c>
      <c r="H10297" s="49">
        <f t="shared" si="2"/>
        <v>17385</v>
      </c>
    </row>
    <row r="10298">
      <c r="A10298" s="48" t="s">
        <v>394</v>
      </c>
      <c r="B10298" s="38">
        <v>41174.0</v>
      </c>
      <c r="C10298" s="38" t="s">
        <v>10494</v>
      </c>
      <c r="D10298" s="38" t="str">
        <f>IFERROR(__xludf.DUMMYFUNCTION("REGEXREPLACE(C10298,""-\d+(.*)|--\d+(.*)"","""")"),"PERIGNY")</f>
        <v>PERIGNY</v>
      </c>
      <c r="E10298" s="38" t="s">
        <v>188</v>
      </c>
      <c r="F10298" s="38" t="s">
        <v>123</v>
      </c>
      <c r="G10298" s="49" t="str">
        <f t="shared" si="1"/>
        <v>41100</v>
      </c>
      <c r="H10298" s="49">
        <f t="shared" si="2"/>
        <v>41174</v>
      </c>
    </row>
    <row r="10299">
      <c r="A10299" s="48" t="s">
        <v>4497</v>
      </c>
      <c r="B10299" s="38">
        <v>25487.0</v>
      </c>
      <c r="C10299" s="38" t="s">
        <v>14276</v>
      </c>
      <c r="D10299" s="38" t="str">
        <f>IFERROR(__xludf.DUMMYFUNCTION("REGEXREPLACE(C10299,""-\d+(.*)|--\d+(.*)"","""")"),"RENEDALE")</f>
        <v>RENEDALE</v>
      </c>
      <c r="E10299" s="38" t="s">
        <v>213</v>
      </c>
      <c r="F10299" s="38" t="s">
        <v>214</v>
      </c>
      <c r="G10299" s="49" t="str">
        <f t="shared" si="1"/>
        <v>25520</v>
      </c>
      <c r="H10299" s="49">
        <f t="shared" si="2"/>
        <v>25487</v>
      </c>
    </row>
    <row r="10300">
      <c r="A10300" s="48" t="s">
        <v>14277</v>
      </c>
      <c r="B10300" s="38">
        <v>18011.0</v>
      </c>
      <c r="C10300" s="38" t="s">
        <v>14278</v>
      </c>
      <c r="D10300" s="38" t="str">
        <f>IFERROR(__xludf.DUMMYFUNCTION("REGEXREPLACE(C10300,""-\d+(.*)|--\d+(.*)"","""")"),"ARGENT-SUR-SAULDRE")</f>
        <v>ARGENT-SUR-SAULDRE</v>
      </c>
      <c r="E10300" s="38" t="s">
        <v>504</v>
      </c>
      <c r="F10300" s="38" t="s">
        <v>123</v>
      </c>
      <c r="G10300" s="49" t="str">
        <f t="shared" si="1"/>
        <v>18410</v>
      </c>
      <c r="H10300" s="49">
        <f t="shared" si="2"/>
        <v>18011</v>
      </c>
    </row>
    <row r="10301">
      <c r="A10301" s="48" t="s">
        <v>8748</v>
      </c>
      <c r="B10301" s="38">
        <v>43058.0</v>
      </c>
      <c r="C10301" s="38" t="s">
        <v>14279</v>
      </c>
      <c r="D10301" s="38" t="str">
        <f>IFERROR(__xludf.DUMMYFUNCTION("REGEXREPLACE(C10301,""-\d+(.*)|--\d+(.*)"","""")"),"LA CHAPELLE-D'AUREC")</f>
        <v>LA CHAPELLE-D'AUREC</v>
      </c>
      <c r="E10301" s="38" t="s">
        <v>332</v>
      </c>
      <c r="F10301" s="38" t="s">
        <v>161</v>
      </c>
      <c r="G10301" s="49" t="str">
        <f t="shared" si="1"/>
        <v>43120</v>
      </c>
      <c r="H10301" s="49">
        <f t="shared" si="2"/>
        <v>43058</v>
      </c>
    </row>
    <row r="10302">
      <c r="A10302" s="48" t="s">
        <v>2600</v>
      </c>
      <c r="B10302" s="38">
        <v>60502.0</v>
      </c>
      <c r="C10302" s="38" t="s">
        <v>14280</v>
      </c>
      <c r="D10302" s="38" t="str">
        <f>IFERROR(__xludf.DUMMYFUNCTION("REGEXREPLACE(C10302,""-\d+(.*)|--\d+(.*)"","""")"),"LE PLESSIS-PATTE-D'OIE")</f>
        <v>LE PLESSIS-PATTE-D'OIE</v>
      </c>
      <c r="E10302" s="38" t="s">
        <v>112</v>
      </c>
      <c r="F10302" s="38" t="s">
        <v>113</v>
      </c>
      <c r="G10302" s="49" t="str">
        <f t="shared" si="1"/>
        <v>60640</v>
      </c>
      <c r="H10302" s="49">
        <f t="shared" si="2"/>
        <v>60502</v>
      </c>
    </row>
    <row r="10303">
      <c r="A10303" s="48" t="s">
        <v>8969</v>
      </c>
      <c r="B10303" s="38">
        <v>19086.0</v>
      </c>
      <c r="C10303" s="38" t="s">
        <v>14281</v>
      </c>
      <c r="D10303" s="38" t="str">
        <f>IFERROR(__xludf.DUMMYFUNCTION("REGEXREPLACE(C10303,""-\d+(.*)|--\d+(.*)"","""")"),"GOULLES")</f>
        <v>GOULLES</v>
      </c>
      <c r="E10303" s="38" t="s">
        <v>271</v>
      </c>
      <c r="F10303" s="38" t="s">
        <v>98</v>
      </c>
      <c r="G10303" s="49" t="str">
        <f t="shared" si="1"/>
        <v>19430</v>
      </c>
      <c r="H10303" s="49">
        <f t="shared" si="2"/>
        <v>19086</v>
      </c>
    </row>
    <row r="10304">
      <c r="A10304" s="48" t="s">
        <v>11903</v>
      </c>
      <c r="B10304" s="38">
        <v>74211.0</v>
      </c>
      <c r="C10304" s="38" t="s">
        <v>14282</v>
      </c>
      <c r="D10304" s="38" t="str">
        <f>IFERROR(__xludf.DUMMYFUNCTION("REGEXREPLACE(C10304,""-\d+(.*)|--\d+(.*)"","""")"),"PERS-JUSSY")</f>
        <v>PERS-JUSSY</v>
      </c>
      <c r="E10304" s="38" t="s">
        <v>319</v>
      </c>
      <c r="F10304" s="38" t="s">
        <v>102</v>
      </c>
      <c r="G10304" s="49" t="str">
        <f t="shared" si="1"/>
        <v>74930</v>
      </c>
      <c r="H10304" s="49">
        <f t="shared" si="2"/>
        <v>74211</v>
      </c>
    </row>
    <row r="10305">
      <c r="A10305" s="48" t="s">
        <v>3182</v>
      </c>
      <c r="B10305" s="38">
        <v>80677.0</v>
      </c>
      <c r="C10305" s="38" t="s">
        <v>14283</v>
      </c>
      <c r="D10305" s="38" t="str">
        <f>IFERROR(__xludf.DUMMYFUNCTION("REGEXREPLACE(C10305,""-\d+(.*)|--\d+(.*)"","""")"),"ROISEL")</f>
        <v>ROISEL</v>
      </c>
      <c r="E10305" s="38" t="s">
        <v>224</v>
      </c>
      <c r="F10305" s="38" t="s">
        <v>113</v>
      </c>
      <c r="G10305" s="49" t="str">
        <f t="shared" si="1"/>
        <v>80240</v>
      </c>
      <c r="H10305" s="49">
        <f t="shared" si="2"/>
        <v>80677</v>
      </c>
    </row>
    <row r="10306">
      <c r="A10306" s="48" t="s">
        <v>1186</v>
      </c>
      <c r="B10306" s="38">
        <v>16280.0</v>
      </c>
      <c r="C10306" s="38" t="s">
        <v>10735</v>
      </c>
      <c r="D10306" s="38" t="str">
        <f>IFERROR(__xludf.DUMMYFUNCTION("REGEXREPLACE(C10306,""-\d+(.*)|--\d+(.*)"","""")"),"RIVIERES")</f>
        <v>RIVIERES</v>
      </c>
      <c r="E10306" s="38" t="s">
        <v>429</v>
      </c>
      <c r="F10306" s="38" t="s">
        <v>338</v>
      </c>
      <c r="G10306" s="49" t="str">
        <f t="shared" si="1"/>
        <v>16110</v>
      </c>
      <c r="H10306" s="49">
        <f t="shared" si="2"/>
        <v>16280</v>
      </c>
    </row>
    <row r="10307">
      <c r="A10307" s="48" t="s">
        <v>14284</v>
      </c>
      <c r="B10307" s="38">
        <v>19252.0</v>
      </c>
      <c r="C10307" s="38" t="s">
        <v>14285</v>
      </c>
      <c r="D10307" s="38" t="str">
        <f>IFERROR(__xludf.DUMMYFUNCTION("REGEXREPLACE(C10307,""-\d+(.*)|--\d+(.*)"","""")"),"SARROUX")</f>
        <v>SARROUX</v>
      </c>
      <c r="E10307" s="38" t="s">
        <v>271</v>
      </c>
      <c r="F10307" s="38" t="s">
        <v>98</v>
      </c>
      <c r="G10307" s="49" t="str">
        <f t="shared" si="1"/>
        <v>19110</v>
      </c>
      <c r="H10307" s="49">
        <f t="shared" si="2"/>
        <v>19252</v>
      </c>
    </row>
    <row r="10308">
      <c r="A10308" s="48" t="s">
        <v>4586</v>
      </c>
      <c r="B10308" s="38">
        <v>40189.0</v>
      </c>
      <c r="C10308" s="38" t="s">
        <v>14286</v>
      </c>
      <c r="D10308" s="38" t="str">
        <f>IFERROR(__xludf.DUMMYFUNCTION("REGEXREPLACE(C10308,""-\d+(.*)|--\d+(.*)"","""")"),"MONGET")</f>
        <v>MONGET</v>
      </c>
      <c r="E10308" s="38" t="s">
        <v>281</v>
      </c>
      <c r="F10308" s="38" t="s">
        <v>252</v>
      </c>
      <c r="G10308" s="49" t="str">
        <f t="shared" si="1"/>
        <v>40700</v>
      </c>
      <c r="H10308" s="49">
        <f t="shared" si="2"/>
        <v>40189</v>
      </c>
    </row>
    <row r="10309">
      <c r="A10309" s="48" t="s">
        <v>232</v>
      </c>
      <c r="B10309" s="38">
        <v>52499.0</v>
      </c>
      <c r="C10309" s="38" t="s">
        <v>14287</v>
      </c>
      <c r="D10309" s="38" t="str">
        <f>IFERROR(__xludf.DUMMYFUNCTION("REGEXREPLACE(C10309,""-\d+(.*)|--\d+(.*)"","""")"),"VAILLANT")</f>
        <v>VAILLANT</v>
      </c>
      <c r="E10309" s="38" t="s">
        <v>234</v>
      </c>
      <c r="F10309" s="38" t="s">
        <v>130</v>
      </c>
      <c r="G10309" s="49" t="str">
        <f t="shared" si="1"/>
        <v>52160</v>
      </c>
      <c r="H10309" s="49">
        <f t="shared" si="2"/>
        <v>52499</v>
      </c>
    </row>
    <row r="10310">
      <c r="A10310" s="48" t="s">
        <v>1883</v>
      </c>
      <c r="B10310" s="38">
        <v>39452.0</v>
      </c>
      <c r="C10310" s="38" t="s">
        <v>14288</v>
      </c>
      <c r="D10310" s="38" t="str">
        <f>IFERROR(__xludf.DUMMYFUNCTION("REGEXREPLACE(C10310,""-\d+(.*)|--\d+(.*)"","""")"),"RANS")</f>
        <v>RANS</v>
      </c>
      <c r="E10310" s="38" t="s">
        <v>400</v>
      </c>
      <c r="F10310" s="38" t="s">
        <v>214</v>
      </c>
      <c r="G10310" s="49" t="str">
        <f t="shared" si="1"/>
        <v>39700</v>
      </c>
      <c r="H10310" s="49">
        <f t="shared" si="2"/>
        <v>39452</v>
      </c>
    </row>
    <row r="10311">
      <c r="A10311" s="48" t="s">
        <v>10987</v>
      </c>
      <c r="B10311" s="38">
        <v>31288.0</v>
      </c>
      <c r="C10311" s="38" t="s">
        <v>14289</v>
      </c>
      <c r="D10311" s="38" t="str">
        <f>IFERROR(__xludf.DUMMYFUNCTION("REGEXREPLACE(C10311,""-\d+(.*)|--\d+(.*)"","""")"),"LAYRAC-SUR-TARN")</f>
        <v>LAYRAC-SUR-TARN</v>
      </c>
      <c r="E10311" s="38" t="s">
        <v>93</v>
      </c>
      <c r="F10311" s="38" t="s">
        <v>94</v>
      </c>
      <c r="G10311" s="49" t="str">
        <f t="shared" si="1"/>
        <v>31340</v>
      </c>
      <c r="H10311" s="49">
        <f t="shared" si="2"/>
        <v>31288</v>
      </c>
    </row>
    <row r="10312">
      <c r="A10312" s="48" t="s">
        <v>4679</v>
      </c>
      <c r="B10312" s="38">
        <v>17040.0</v>
      </c>
      <c r="C10312" s="38" t="s">
        <v>14290</v>
      </c>
      <c r="D10312" s="38" t="str">
        <f>IFERROR(__xludf.DUMMYFUNCTION("REGEXREPLACE(C10312,""-\d+(.*)|--\d+(.*)"","""")"),"LA BENATE")</f>
        <v>LA BENATE</v>
      </c>
      <c r="E10312" s="38" t="s">
        <v>488</v>
      </c>
      <c r="F10312" s="38" t="s">
        <v>338</v>
      </c>
      <c r="G10312" s="49" t="str">
        <f t="shared" si="1"/>
        <v>17400</v>
      </c>
      <c r="H10312" s="49">
        <f t="shared" si="2"/>
        <v>17040</v>
      </c>
    </row>
    <row r="10313">
      <c r="A10313" s="48" t="s">
        <v>2976</v>
      </c>
      <c r="B10313" s="38">
        <v>14701.0</v>
      </c>
      <c r="C10313" s="38" t="s">
        <v>14291</v>
      </c>
      <c r="D10313" s="38" t="str">
        <f>IFERROR(__xludf.DUMMYFUNCTION("REGEXREPLACE(C10313,""-\d+(.*)|--\d+(.*)"","""")"),"TOURGEVILLE")</f>
        <v>TOURGEVILLE</v>
      </c>
      <c r="E10313" s="38" t="s">
        <v>137</v>
      </c>
      <c r="F10313" s="38" t="s">
        <v>138</v>
      </c>
      <c r="G10313" s="49" t="str">
        <f t="shared" si="1"/>
        <v>14800</v>
      </c>
      <c r="H10313" s="49">
        <f t="shared" si="2"/>
        <v>14701</v>
      </c>
    </row>
    <row r="10314">
      <c r="A10314" s="48" t="s">
        <v>11009</v>
      </c>
      <c r="B10314" s="38">
        <v>33128.0</v>
      </c>
      <c r="C10314" s="38" t="s">
        <v>14292</v>
      </c>
      <c r="D10314" s="38" t="str">
        <f>IFERROR(__xludf.DUMMYFUNCTION("REGEXREPLACE(C10314,""-\d+(.*)|--\d+(.*)"","""")"),"CIVRAC-EN-MEDOC")</f>
        <v>CIVRAC-EN-MEDOC</v>
      </c>
      <c r="E10314" s="38" t="s">
        <v>462</v>
      </c>
      <c r="F10314" s="38" t="s">
        <v>252</v>
      </c>
      <c r="G10314" s="49" t="str">
        <f t="shared" si="1"/>
        <v>33340</v>
      </c>
      <c r="H10314" s="49">
        <f t="shared" si="2"/>
        <v>33128</v>
      </c>
    </row>
    <row r="10315">
      <c r="A10315" s="48" t="s">
        <v>14293</v>
      </c>
      <c r="B10315" s="38">
        <v>77347.0</v>
      </c>
      <c r="C10315" s="38" t="s">
        <v>14294</v>
      </c>
      <c r="D10315" s="38" t="str">
        <f>IFERROR(__xludf.DUMMYFUNCTION("REGEXREPLACE(C10315,""-\d+(.*)|--\d+(.*)"","""")"),"LES ORMES-SUR-VOULZIE")</f>
        <v>LES ORMES-SUR-VOULZIE</v>
      </c>
      <c r="E10315" s="38" t="s">
        <v>244</v>
      </c>
      <c r="F10315" s="38" t="s">
        <v>245</v>
      </c>
      <c r="G10315" s="49" t="str">
        <f t="shared" si="1"/>
        <v>77134</v>
      </c>
      <c r="H10315" s="49">
        <f t="shared" si="2"/>
        <v>77347</v>
      </c>
    </row>
    <row r="10316">
      <c r="A10316" s="48" t="s">
        <v>932</v>
      </c>
      <c r="B10316" s="38">
        <v>17067.0</v>
      </c>
      <c r="C10316" s="38" t="s">
        <v>14295</v>
      </c>
      <c r="D10316" s="38" t="str">
        <f>IFERROR(__xludf.DUMMYFUNCTION("REGEXREPLACE(C10316,""-\d+(.*)|--\d+(.*)"","""")"),"BRIE-SOUS-MATHA")</f>
        <v>BRIE-SOUS-MATHA</v>
      </c>
      <c r="E10316" s="38" t="s">
        <v>488</v>
      </c>
      <c r="F10316" s="38" t="s">
        <v>338</v>
      </c>
      <c r="G10316" s="49" t="str">
        <f t="shared" si="1"/>
        <v>17160</v>
      </c>
      <c r="H10316" s="49">
        <f t="shared" si="2"/>
        <v>17067</v>
      </c>
    </row>
    <row r="10317">
      <c r="A10317" s="48" t="s">
        <v>2807</v>
      </c>
      <c r="B10317" s="38">
        <v>81006.0</v>
      </c>
      <c r="C10317" s="38" t="s">
        <v>14296</v>
      </c>
      <c r="D10317" s="38" t="str">
        <f>IFERROR(__xludf.DUMMYFUNCTION("REGEXREPLACE(C10317,""-\d+(.*)|--\d+(.*)"","""")"),"ALGANS")</f>
        <v>ALGANS</v>
      </c>
      <c r="E10317" s="38" t="s">
        <v>231</v>
      </c>
      <c r="F10317" s="38" t="s">
        <v>94</v>
      </c>
      <c r="G10317" s="49" t="str">
        <f t="shared" si="1"/>
        <v>81470</v>
      </c>
      <c r="H10317" s="49">
        <f t="shared" si="2"/>
        <v>81006</v>
      </c>
    </row>
    <row r="10318">
      <c r="A10318" s="48" t="s">
        <v>2666</v>
      </c>
      <c r="B10318" s="38">
        <v>34314.0</v>
      </c>
      <c r="C10318" s="38" t="s">
        <v>14297</v>
      </c>
      <c r="D10318" s="38" t="str">
        <f>IFERROR(__xludf.DUMMYFUNCTION("REGEXREPLACE(C10318,""-\d+(.*)|--\d+(.*)"","""")"),"LE TRIADOU")</f>
        <v>LE TRIADOU</v>
      </c>
      <c r="E10318" s="38" t="s">
        <v>118</v>
      </c>
      <c r="F10318" s="38" t="s">
        <v>119</v>
      </c>
      <c r="G10318" s="49" t="str">
        <f t="shared" si="1"/>
        <v>34270</v>
      </c>
      <c r="H10318" s="49">
        <f t="shared" si="2"/>
        <v>34314</v>
      </c>
    </row>
    <row r="10319">
      <c r="A10319" s="48" t="s">
        <v>1437</v>
      </c>
      <c r="B10319" s="38">
        <v>39456.0</v>
      </c>
      <c r="C10319" s="38" t="s">
        <v>14298</v>
      </c>
      <c r="D10319" s="38" t="str">
        <f>IFERROR(__xludf.DUMMYFUNCTION("REGEXREPLACE(C10319,""-\d+(.*)|--\d+(.*)"","""")"),"RELANS")</f>
        <v>RELANS</v>
      </c>
      <c r="E10319" s="38" t="s">
        <v>400</v>
      </c>
      <c r="F10319" s="38" t="s">
        <v>214</v>
      </c>
      <c r="G10319" s="49" t="str">
        <f t="shared" si="1"/>
        <v>39140</v>
      </c>
      <c r="H10319" s="49">
        <f t="shared" si="2"/>
        <v>39456</v>
      </c>
    </row>
    <row r="10320">
      <c r="A10320" s="48" t="s">
        <v>5599</v>
      </c>
      <c r="B10320" s="38">
        <v>74008.0</v>
      </c>
      <c r="C10320" s="38" t="s">
        <v>14299</v>
      </c>
      <c r="D10320" s="38" t="str">
        <f>IFERROR(__xludf.DUMMYFUNCTION("REGEXREPLACE(C10320,""-\d+(.*)|--\d+(.*)"","""")"),"AMBILLY")</f>
        <v>AMBILLY</v>
      </c>
      <c r="E10320" s="38" t="s">
        <v>319</v>
      </c>
      <c r="F10320" s="38" t="s">
        <v>102</v>
      </c>
      <c r="G10320" s="49" t="str">
        <f t="shared" si="1"/>
        <v>74100</v>
      </c>
      <c r="H10320" s="49">
        <f t="shared" si="2"/>
        <v>74008</v>
      </c>
    </row>
    <row r="10321">
      <c r="A10321" s="48" t="s">
        <v>2594</v>
      </c>
      <c r="B10321" s="38">
        <v>69045.0</v>
      </c>
      <c r="C10321" s="38" t="s">
        <v>14300</v>
      </c>
      <c r="D10321" s="38" t="str">
        <f>IFERROR(__xludf.DUMMYFUNCTION("REGEXREPLACE(C10321,""-\d+(.*)|--\d+(.*)"","""")"),"CHARENTAY")</f>
        <v>CHARENTAY</v>
      </c>
      <c r="E10321" s="38" t="s">
        <v>350</v>
      </c>
      <c r="F10321" s="38" t="s">
        <v>102</v>
      </c>
      <c r="G10321" s="49" t="str">
        <f t="shared" si="1"/>
        <v>69220</v>
      </c>
      <c r="H10321" s="49">
        <f t="shared" si="2"/>
        <v>69045</v>
      </c>
    </row>
    <row r="10322">
      <c r="A10322" s="48" t="s">
        <v>1252</v>
      </c>
      <c r="B10322" s="38">
        <v>72190.0</v>
      </c>
      <c r="C10322" s="38" t="s">
        <v>14301</v>
      </c>
      <c r="D10322" s="38" t="str">
        <f>IFERROR(__xludf.DUMMYFUNCTION("REGEXREPLACE(C10322,""-\d+(.*)|--\d+(.*)"","""")"),"MAROLLES-LES-SAINT-CALAIS")</f>
        <v>MAROLLES-LES-SAINT-CALAIS</v>
      </c>
      <c r="E10322" s="38" t="s">
        <v>521</v>
      </c>
      <c r="F10322" s="38" t="s">
        <v>180</v>
      </c>
      <c r="G10322" s="49" t="str">
        <f t="shared" si="1"/>
        <v>72120</v>
      </c>
      <c r="H10322" s="49">
        <f t="shared" si="2"/>
        <v>72190</v>
      </c>
    </row>
    <row r="10323">
      <c r="A10323" s="48" t="s">
        <v>14302</v>
      </c>
      <c r="B10323" s="38">
        <v>6038.0</v>
      </c>
      <c r="C10323" s="38" t="s">
        <v>14303</v>
      </c>
      <c r="D10323" s="38" t="str">
        <f>IFERROR(__xludf.DUMMYFUNCTION("REGEXREPLACE(C10323,""-\d+(.*)|--\d+(.*)"","""")"),"CHATEAUNEUF-GRASSE")</f>
        <v>CHATEAUNEUF-GRASSE</v>
      </c>
      <c r="E10323" s="38" t="s">
        <v>227</v>
      </c>
      <c r="F10323" s="38" t="s">
        <v>228</v>
      </c>
      <c r="G10323" s="49" t="str">
        <f t="shared" si="1"/>
        <v>06740</v>
      </c>
      <c r="H10323" s="49" t="str">
        <f t="shared" si="2"/>
        <v>06038</v>
      </c>
    </row>
    <row r="10324">
      <c r="A10324" s="48" t="s">
        <v>9600</v>
      </c>
      <c r="B10324" s="38">
        <v>7101.0</v>
      </c>
      <c r="C10324" s="38" t="s">
        <v>14304</v>
      </c>
      <c r="D10324" s="38" t="str">
        <f>IFERROR(__xludf.DUMMYFUNCTION("REGEXREPLACE(C10324,""-\d+(.*)|--\d+(.*)"","""")"),"GROSPIERRES")</f>
        <v>GROSPIERRES</v>
      </c>
      <c r="E10324" s="38" t="s">
        <v>144</v>
      </c>
      <c r="F10324" s="38" t="s">
        <v>102</v>
      </c>
      <c r="G10324" s="49" t="str">
        <f t="shared" si="1"/>
        <v>07120</v>
      </c>
      <c r="H10324" s="49" t="str">
        <f t="shared" si="2"/>
        <v>07101</v>
      </c>
    </row>
    <row r="10325">
      <c r="A10325" s="48" t="s">
        <v>2406</v>
      </c>
      <c r="B10325" s="38">
        <v>55530.0</v>
      </c>
      <c r="C10325" s="38" t="s">
        <v>14305</v>
      </c>
      <c r="D10325" s="38" t="str">
        <f>IFERROR(__xludf.DUMMYFUNCTION("REGEXREPLACE(C10325,""-\d+(.*)|--\d+(.*)"","""")"),"VALBOIS")</f>
        <v>VALBOIS</v>
      </c>
      <c r="E10325" s="38" t="s">
        <v>322</v>
      </c>
      <c r="F10325" s="38" t="s">
        <v>195</v>
      </c>
      <c r="G10325" s="49" t="str">
        <f t="shared" si="1"/>
        <v>55300</v>
      </c>
      <c r="H10325" s="49">
        <f t="shared" si="2"/>
        <v>55530</v>
      </c>
    </row>
    <row r="10326">
      <c r="A10326" s="48" t="s">
        <v>6261</v>
      </c>
      <c r="B10326" s="38">
        <v>76017.0</v>
      </c>
      <c r="C10326" s="38" t="s">
        <v>14306</v>
      </c>
      <c r="D10326" s="38" t="str">
        <f>IFERROR(__xludf.DUMMYFUNCTION("REGEXREPLACE(C10326,""-\d+(.*)|--\d+(.*)"","""")"),"ANGLESQUEVILLE-L'ESNEVAL")</f>
        <v>ANGLESQUEVILLE-L'ESNEVAL</v>
      </c>
      <c r="E10326" s="38" t="s">
        <v>133</v>
      </c>
      <c r="F10326" s="38" t="s">
        <v>134</v>
      </c>
      <c r="G10326" s="49" t="str">
        <f t="shared" si="1"/>
        <v>76280</v>
      </c>
      <c r="H10326" s="49">
        <f t="shared" si="2"/>
        <v>76017</v>
      </c>
    </row>
    <row r="10327">
      <c r="A10327" s="48" t="s">
        <v>2983</v>
      </c>
      <c r="B10327" s="38">
        <v>86164.0</v>
      </c>
      <c r="C10327" s="38" t="s">
        <v>14307</v>
      </c>
      <c r="D10327" s="38" t="str">
        <f>IFERROR(__xludf.DUMMYFUNCTION("REGEXREPLACE(C10327,""-\d+(.*)|--\d+(.*)"","""")"),"MONTHOIRON")</f>
        <v>MONTHOIRON</v>
      </c>
      <c r="E10327" s="38" t="s">
        <v>529</v>
      </c>
      <c r="F10327" s="38" t="s">
        <v>338</v>
      </c>
      <c r="G10327" s="49" t="str">
        <f t="shared" si="1"/>
        <v>86210</v>
      </c>
      <c r="H10327" s="49">
        <f t="shared" si="2"/>
        <v>86164</v>
      </c>
    </row>
    <row r="10328">
      <c r="A10328" s="48" t="s">
        <v>7052</v>
      </c>
      <c r="B10328" s="38">
        <v>10281.0</v>
      </c>
      <c r="C10328" s="38" t="s">
        <v>14308</v>
      </c>
      <c r="D10328" s="38" t="str">
        <f>IFERROR(__xludf.DUMMYFUNCTION("REGEXREPLACE(C10328,""-\d+(.*)|--\d+(.*)"","""")"),"LE PAVILLON-SAINTE-JULIE")</f>
        <v>LE PAVILLON-SAINTE-JULIE</v>
      </c>
      <c r="E10328" s="38" t="s">
        <v>147</v>
      </c>
      <c r="F10328" s="38" t="s">
        <v>130</v>
      </c>
      <c r="G10328" s="49" t="str">
        <f t="shared" si="1"/>
        <v>10350</v>
      </c>
      <c r="H10328" s="49">
        <f t="shared" si="2"/>
        <v>10281</v>
      </c>
    </row>
    <row r="10329">
      <c r="A10329" s="48" t="s">
        <v>3699</v>
      </c>
      <c r="B10329" s="38">
        <v>18243.0</v>
      </c>
      <c r="C10329" s="38" t="s">
        <v>14309</v>
      </c>
      <c r="D10329" s="38" t="str">
        <f>IFERROR(__xludf.DUMMYFUNCTION("REGEXREPLACE(C10329,""-\d+(.*)|--\d+(.*)"","""")"),"SANTRANGES")</f>
        <v>SANTRANGES</v>
      </c>
      <c r="E10329" s="38" t="s">
        <v>504</v>
      </c>
      <c r="F10329" s="38" t="s">
        <v>123</v>
      </c>
      <c r="G10329" s="49" t="str">
        <f t="shared" si="1"/>
        <v>18240</v>
      </c>
      <c r="H10329" s="49">
        <f t="shared" si="2"/>
        <v>18243</v>
      </c>
    </row>
    <row r="10330">
      <c r="A10330" s="48" t="s">
        <v>4642</v>
      </c>
      <c r="B10330" s="38">
        <v>21110.0</v>
      </c>
      <c r="C10330" s="38" t="s">
        <v>14310</v>
      </c>
      <c r="D10330" s="38" t="str">
        <f>IFERROR(__xludf.DUMMYFUNCTION("REGEXREPLACE(C10330,""-\d+(.*)|--\d+(.*)"","""")"),"BROCHON")</f>
        <v>BROCHON</v>
      </c>
      <c r="E10330" s="38" t="s">
        <v>105</v>
      </c>
      <c r="F10330" s="38" t="s">
        <v>106</v>
      </c>
      <c r="G10330" s="49" t="str">
        <f t="shared" si="1"/>
        <v>21220</v>
      </c>
      <c r="H10330" s="49">
        <f t="shared" si="2"/>
        <v>21110</v>
      </c>
    </row>
    <row r="10331">
      <c r="A10331" s="48" t="s">
        <v>13466</v>
      </c>
      <c r="B10331" s="38">
        <v>3084.0</v>
      </c>
      <c r="C10331" s="38" t="s">
        <v>14311</v>
      </c>
      <c r="D10331" s="38" t="str">
        <f>IFERROR(__xludf.DUMMYFUNCTION("REGEXREPLACE(C10331,""-\d+(.*)|--\d+(.*)"","""")"),"COSNE-D'ALLIER")</f>
        <v>COSNE-D'ALLIER</v>
      </c>
      <c r="E10331" s="38" t="s">
        <v>160</v>
      </c>
      <c r="F10331" s="38" t="s">
        <v>161</v>
      </c>
      <c r="G10331" s="49" t="str">
        <f t="shared" si="1"/>
        <v>03430</v>
      </c>
      <c r="H10331" s="49" t="str">
        <f t="shared" si="2"/>
        <v>03084</v>
      </c>
    </row>
    <row r="10332">
      <c r="A10332" s="48" t="s">
        <v>9587</v>
      </c>
      <c r="B10332" s="38">
        <v>67422.0</v>
      </c>
      <c r="C10332" s="38" t="s">
        <v>14312</v>
      </c>
      <c r="D10332" s="38" t="str">
        <f>IFERROR(__xludf.DUMMYFUNCTION("REGEXREPLACE(C10332,""-\d+(.*)|--\d+(.*)"","""")"),"SAASENHEIM")</f>
        <v>SAASENHEIM</v>
      </c>
      <c r="E10332" s="38" t="s">
        <v>210</v>
      </c>
      <c r="F10332" s="38" t="s">
        <v>151</v>
      </c>
      <c r="G10332" s="49" t="str">
        <f t="shared" si="1"/>
        <v>67390</v>
      </c>
      <c r="H10332" s="49">
        <f t="shared" si="2"/>
        <v>67422</v>
      </c>
    </row>
    <row r="10333">
      <c r="A10333" s="48" t="s">
        <v>12807</v>
      </c>
      <c r="B10333" s="38">
        <v>42200.0</v>
      </c>
      <c r="C10333" s="38" t="s">
        <v>14313</v>
      </c>
      <c r="D10333" s="38" t="str">
        <f>IFERROR(__xludf.DUMMYFUNCTION("REGEXREPLACE(C10333,""-\d+(.*)|--\d+(.*)"","""")"),"SAINT-ANDRE-LE-PUY")</f>
        <v>SAINT-ANDRE-LE-PUY</v>
      </c>
      <c r="E10333" s="38" t="s">
        <v>166</v>
      </c>
      <c r="F10333" s="38" t="s">
        <v>102</v>
      </c>
      <c r="G10333" s="49" t="str">
        <f t="shared" si="1"/>
        <v>42210</v>
      </c>
      <c r="H10333" s="49">
        <f t="shared" si="2"/>
        <v>42200</v>
      </c>
    </row>
    <row r="10334">
      <c r="A10334" s="48" t="s">
        <v>6338</v>
      </c>
      <c r="B10334" s="38">
        <v>79173.0</v>
      </c>
      <c r="C10334" s="38" t="s">
        <v>14314</v>
      </c>
      <c r="D10334" s="38" t="str">
        <f>IFERROR(__xludf.DUMMYFUNCTION("REGEXREPLACE(C10334,""-\d+(.*)|--\d+(.*)"","""")"),"MAZIERES-SUR-BERONNE")</f>
        <v>MAZIERES-SUR-BERONNE</v>
      </c>
      <c r="E10334" s="38" t="s">
        <v>337</v>
      </c>
      <c r="F10334" s="38" t="s">
        <v>338</v>
      </c>
      <c r="G10334" s="49" t="str">
        <f t="shared" si="1"/>
        <v>79500</v>
      </c>
      <c r="H10334" s="49">
        <f t="shared" si="2"/>
        <v>79173</v>
      </c>
    </row>
    <row r="10335">
      <c r="A10335" s="48" t="s">
        <v>6985</v>
      </c>
      <c r="B10335" s="38">
        <v>62784.0</v>
      </c>
      <c r="C10335" s="38" t="s">
        <v>14315</v>
      </c>
      <c r="D10335" s="38" t="str">
        <f>IFERROR(__xludf.DUMMYFUNCTION("REGEXREPLACE(C10335,""-\d+(.*)|--\d+(.*)"","""")"),"SAULTY")</f>
        <v>SAULTY</v>
      </c>
      <c r="E10335" s="38" t="s">
        <v>109</v>
      </c>
      <c r="F10335" s="38" t="s">
        <v>86</v>
      </c>
      <c r="G10335" s="49" t="str">
        <f t="shared" si="1"/>
        <v>62158</v>
      </c>
      <c r="H10335" s="49">
        <f t="shared" si="2"/>
        <v>62784</v>
      </c>
    </row>
    <row r="10336">
      <c r="A10336" s="48" t="s">
        <v>1354</v>
      </c>
      <c r="B10336" s="38">
        <v>28034.0</v>
      </c>
      <c r="C10336" s="38" t="s">
        <v>14316</v>
      </c>
      <c r="D10336" s="38" t="str">
        <f>IFERROR(__xludf.DUMMYFUNCTION("REGEXREPLACE(C10336,""-\d+(.*)|--\d+(.*)"","""")"),"BERCHERES-SAINT-GERMAIN")</f>
        <v>BERCHERES-SAINT-GERMAIN</v>
      </c>
      <c r="E10336" s="38" t="s">
        <v>300</v>
      </c>
      <c r="F10336" s="38" t="s">
        <v>123</v>
      </c>
      <c r="G10336" s="49" t="str">
        <f t="shared" si="1"/>
        <v>28300</v>
      </c>
      <c r="H10336" s="49">
        <f t="shared" si="2"/>
        <v>28034</v>
      </c>
    </row>
    <row r="10337">
      <c r="A10337" s="48" t="s">
        <v>4553</v>
      </c>
      <c r="B10337" s="38">
        <v>56140.0</v>
      </c>
      <c r="C10337" s="38" t="s">
        <v>14317</v>
      </c>
      <c r="D10337" s="38" t="str">
        <f>IFERROR(__xludf.DUMMYFUNCTION("REGEXREPLACE(C10337,""-\d+(.*)|--\d+(.*)"","""")"),"MOREAC")</f>
        <v>MOREAC</v>
      </c>
      <c r="E10337" s="38" t="s">
        <v>173</v>
      </c>
      <c r="F10337" s="38" t="s">
        <v>90</v>
      </c>
      <c r="G10337" s="49" t="str">
        <f t="shared" si="1"/>
        <v>56500</v>
      </c>
      <c r="H10337" s="49">
        <f t="shared" si="2"/>
        <v>56140</v>
      </c>
    </row>
    <row r="10338">
      <c r="A10338" s="48" t="s">
        <v>9146</v>
      </c>
      <c r="B10338" s="38">
        <v>49040.0</v>
      </c>
      <c r="C10338" s="38" t="s">
        <v>14318</v>
      </c>
      <c r="D10338" s="38" t="str">
        <f>IFERROR(__xludf.DUMMYFUNCTION("REGEXREPLACE(C10338,""-\d+(.*)|--\d+(.*)"","""")"),"BOUZILLE")</f>
        <v>BOUZILLE</v>
      </c>
      <c r="E10338" s="38" t="s">
        <v>653</v>
      </c>
      <c r="F10338" s="38" t="s">
        <v>180</v>
      </c>
      <c r="G10338" s="49" t="str">
        <f t="shared" si="1"/>
        <v>49530</v>
      </c>
      <c r="H10338" s="49">
        <f t="shared" si="2"/>
        <v>49040</v>
      </c>
    </row>
    <row r="10339">
      <c r="A10339" s="48" t="s">
        <v>8579</v>
      </c>
      <c r="B10339" s="38">
        <v>32305.0</v>
      </c>
      <c r="C10339" s="38" t="s">
        <v>14319</v>
      </c>
      <c r="D10339" s="38" t="str">
        <f>IFERROR(__xludf.DUMMYFUNCTION("REGEXREPLACE(C10339,""-\d+(.*)|--\d+(.*)"","""")"),"PANJAS")</f>
        <v>PANJAS</v>
      </c>
      <c r="E10339" s="38" t="s">
        <v>440</v>
      </c>
      <c r="F10339" s="38" t="s">
        <v>94</v>
      </c>
      <c r="G10339" s="49" t="str">
        <f t="shared" si="1"/>
        <v>32110</v>
      </c>
      <c r="H10339" s="49">
        <f t="shared" si="2"/>
        <v>32305</v>
      </c>
    </row>
    <row r="10340">
      <c r="A10340" s="48" t="s">
        <v>3102</v>
      </c>
      <c r="B10340" s="38">
        <v>55526.0</v>
      </c>
      <c r="C10340" s="38" t="s">
        <v>14320</v>
      </c>
      <c r="D10340" s="38" t="str">
        <f>IFERROR(__xludf.DUMMYFUNCTION("REGEXREPLACE(C10340,""-\d+(.*)|--\d+(.*)"","""")"),"VADONVILLE")</f>
        <v>VADONVILLE</v>
      </c>
      <c r="E10340" s="38" t="s">
        <v>322</v>
      </c>
      <c r="F10340" s="38" t="s">
        <v>195</v>
      </c>
      <c r="G10340" s="49" t="str">
        <f t="shared" si="1"/>
        <v>55200</v>
      </c>
      <c r="H10340" s="49">
        <f t="shared" si="2"/>
        <v>55526</v>
      </c>
    </row>
    <row r="10341">
      <c r="A10341" s="48" t="s">
        <v>1777</v>
      </c>
      <c r="B10341" s="38">
        <v>10013.0</v>
      </c>
      <c r="C10341" s="38" t="s">
        <v>14321</v>
      </c>
      <c r="D10341" s="38" t="str">
        <f>IFERROR(__xludf.DUMMYFUNCTION("REGEXREPLACE(C10341,""-\d+(.*)|--\d+(.*)"","""")"),"ASSENAY")</f>
        <v>ASSENAY</v>
      </c>
      <c r="E10341" s="38" t="s">
        <v>147</v>
      </c>
      <c r="F10341" s="38" t="s">
        <v>130</v>
      </c>
      <c r="G10341" s="49" t="str">
        <f t="shared" si="1"/>
        <v>10320</v>
      </c>
      <c r="H10341" s="49">
        <f t="shared" si="2"/>
        <v>10013</v>
      </c>
    </row>
    <row r="10342">
      <c r="A10342" s="48" t="s">
        <v>2783</v>
      </c>
      <c r="B10342" s="38">
        <v>31544.0</v>
      </c>
      <c r="C10342" s="38" t="s">
        <v>14322</v>
      </c>
      <c r="D10342" s="38" t="str">
        <f>IFERROR(__xludf.DUMMYFUNCTION("REGEXREPLACE(C10342,""-\d+(.*)|--\d+(.*)"","""")"),"SENGOUAGNET")</f>
        <v>SENGOUAGNET</v>
      </c>
      <c r="E10342" s="38" t="s">
        <v>93</v>
      </c>
      <c r="F10342" s="38" t="s">
        <v>94</v>
      </c>
      <c r="G10342" s="49" t="str">
        <f t="shared" si="1"/>
        <v>31160</v>
      </c>
      <c r="H10342" s="49">
        <f t="shared" si="2"/>
        <v>31544</v>
      </c>
    </row>
    <row r="10343">
      <c r="A10343" s="48" t="s">
        <v>9795</v>
      </c>
      <c r="B10343" s="38">
        <v>33354.0</v>
      </c>
      <c r="C10343" s="38" t="s">
        <v>14323</v>
      </c>
      <c r="D10343" s="38" t="str">
        <f>IFERROR(__xludf.DUMMYFUNCTION("REGEXREPLACE(C10343,""-\d+(.*)|--\d+(.*)"","""")"),"RIOCAUD")</f>
        <v>RIOCAUD</v>
      </c>
      <c r="E10343" s="38" t="s">
        <v>462</v>
      </c>
      <c r="F10343" s="38" t="s">
        <v>252</v>
      </c>
      <c r="G10343" s="49" t="str">
        <f t="shared" si="1"/>
        <v>33220</v>
      </c>
      <c r="H10343" s="49">
        <f t="shared" si="2"/>
        <v>33354</v>
      </c>
    </row>
    <row r="10344">
      <c r="A10344" s="48" t="s">
        <v>4553</v>
      </c>
      <c r="B10344" s="38">
        <v>56174.0</v>
      </c>
      <c r="C10344" s="38" t="s">
        <v>14324</v>
      </c>
      <c r="D10344" s="38" t="str">
        <f>IFERROR(__xludf.DUMMYFUNCTION("REGEXREPLACE(C10344,""-\d+(.*)|--\d+(.*)"","""")"),"PLUMELIN")</f>
        <v>PLUMELIN</v>
      </c>
      <c r="E10344" s="38" t="s">
        <v>173</v>
      </c>
      <c r="F10344" s="38" t="s">
        <v>90</v>
      </c>
      <c r="G10344" s="49" t="str">
        <f t="shared" si="1"/>
        <v>56500</v>
      </c>
      <c r="H10344" s="49">
        <f t="shared" si="2"/>
        <v>56174</v>
      </c>
    </row>
    <row r="10345">
      <c r="A10345" s="48" t="s">
        <v>3814</v>
      </c>
      <c r="B10345" s="38">
        <v>71231.0</v>
      </c>
      <c r="C10345" s="38" t="s">
        <v>14325</v>
      </c>
      <c r="D10345" s="38" t="str">
        <f>IFERROR(__xludf.DUMMYFUNCTION("REGEXREPLACE(C10345,""-\d+(.*)|--\d+(.*)"","""")"),"LA GUICHE")</f>
        <v>LA GUICHE</v>
      </c>
      <c r="E10345" s="38" t="s">
        <v>344</v>
      </c>
      <c r="F10345" s="38" t="s">
        <v>106</v>
      </c>
      <c r="G10345" s="49" t="str">
        <f t="shared" si="1"/>
        <v>71220</v>
      </c>
      <c r="H10345" s="49">
        <f t="shared" si="2"/>
        <v>71231</v>
      </c>
    </row>
    <row r="10346">
      <c r="A10346" s="48" t="s">
        <v>736</v>
      </c>
      <c r="B10346" s="38">
        <v>57643.0</v>
      </c>
      <c r="C10346" s="38" t="s">
        <v>14326</v>
      </c>
      <c r="D10346" s="38" t="str">
        <f>IFERROR(__xludf.DUMMYFUNCTION("REGEXREPLACE(C10346,""-\d+(.*)|--\d+(.*)"","""")"),"SECOURT")</f>
        <v>SECOURT</v>
      </c>
      <c r="E10346" s="38" t="s">
        <v>303</v>
      </c>
      <c r="F10346" s="38" t="s">
        <v>195</v>
      </c>
      <c r="G10346" s="49" t="str">
        <f t="shared" si="1"/>
        <v>57420</v>
      </c>
      <c r="H10346" s="49">
        <f t="shared" si="2"/>
        <v>57643</v>
      </c>
    </row>
    <row r="10347">
      <c r="A10347" s="48" t="s">
        <v>1570</v>
      </c>
      <c r="B10347" s="38">
        <v>16117.0</v>
      </c>
      <c r="C10347" s="38" t="s">
        <v>14327</v>
      </c>
      <c r="D10347" s="38" t="str">
        <f>IFERROR(__xludf.DUMMYFUNCTION("REGEXREPLACE(C10347,""-\d+(.*)|--\d+(.*)"","""")"),"CURAC")</f>
        <v>CURAC</v>
      </c>
      <c r="E10347" s="38" t="s">
        <v>429</v>
      </c>
      <c r="F10347" s="38" t="s">
        <v>338</v>
      </c>
      <c r="G10347" s="49" t="str">
        <f t="shared" si="1"/>
        <v>16210</v>
      </c>
      <c r="H10347" s="49">
        <f t="shared" si="2"/>
        <v>16117</v>
      </c>
    </row>
    <row r="10348">
      <c r="A10348" s="48" t="s">
        <v>6261</v>
      </c>
      <c r="B10348" s="38">
        <v>76361.0</v>
      </c>
      <c r="C10348" s="38" t="s">
        <v>14328</v>
      </c>
      <c r="D10348" s="38" t="str">
        <f>IFERROR(__xludf.DUMMYFUNCTION("REGEXREPLACE(C10348,""-\d+(.*)|--\d+(.*)"","""")"),"HEUQUEVILLE")</f>
        <v>HEUQUEVILLE</v>
      </c>
      <c r="E10348" s="38" t="s">
        <v>133</v>
      </c>
      <c r="F10348" s="38" t="s">
        <v>134</v>
      </c>
      <c r="G10348" s="49" t="str">
        <f t="shared" si="1"/>
        <v>76280</v>
      </c>
      <c r="H10348" s="49">
        <f t="shared" si="2"/>
        <v>76361</v>
      </c>
    </row>
    <row r="10349">
      <c r="A10349" s="48" t="s">
        <v>3621</v>
      </c>
      <c r="B10349" s="38">
        <v>52093.0</v>
      </c>
      <c r="C10349" s="38" t="s">
        <v>14329</v>
      </c>
      <c r="D10349" s="38" t="str">
        <f>IFERROR(__xludf.DUMMYFUNCTION("REGEXREPLACE(C10349,""-\d+(.*)|--\d+(.*)"","""")"),"CHALINDREY")</f>
        <v>CHALINDREY</v>
      </c>
      <c r="E10349" s="38" t="s">
        <v>234</v>
      </c>
      <c r="F10349" s="38" t="s">
        <v>130</v>
      </c>
      <c r="G10349" s="49" t="str">
        <f t="shared" si="1"/>
        <v>52600</v>
      </c>
      <c r="H10349" s="49">
        <f t="shared" si="2"/>
        <v>52093</v>
      </c>
    </row>
    <row r="10350">
      <c r="A10350" s="48" t="s">
        <v>1226</v>
      </c>
      <c r="B10350" s="38">
        <v>71177.0</v>
      </c>
      <c r="C10350" s="38" t="s">
        <v>14330</v>
      </c>
      <c r="D10350" s="38" t="str">
        <f>IFERROR(__xludf.DUMMYFUNCTION("REGEXREPLACE(C10350,""-\d+(.*)|--\d+(.*)"","""")"),"DOMMARTIN-LES-CUISEAUX")</f>
        <v>DOMMARTIN-LES-CUISEAUX</v>
      </c>
      <c r="E10350" s="38" t="s">
        <v>344</v>
      </c>
      <c r="F10350" s="38" t="s">
        <v>106</v>
      </c>
      <c r="G10350" s="49" t="str">
        <f t="shared" si="1"/>
        <v>71480</v>
      </c>
      <c r="H10350" s="49">
        <f t="shared" si="2"/>
        <v>71177</v>
      </c>
    </row>
    <row r="10351">
      <c r="A10351" s="48" t="s">
        <v>11538</v>
      </c>
      <c r="B10351" s="38">
        <v>61456.0</v>
      </c>
      <c r="C10351" s="38" t="s">
        <v>14331</v>
      </c>
      <c r="D10351" s="38" t="str">
        <f>IFERROR(__xludf.DUMMYFUNCTION("REGEXREPLACE(C10351,""-\d+(.*)|--\d+(.*)"","""")"),"SAINT-SULPICE-SUR-RISLE")</f>
        <v>SAINT-SULPICE-SUR-RISLE</v>
      </c>
      <c r="E10351" s="38" t="s">
        <v>141</v>
      </c>
      <c r="F10351" s="38" t="s">
        <v>138</v>
      </c>
      <c r="G10351" s="49" t="str">
        <f t="shared" si="1"/>
        <v>61300</v>
      </c>
      <c r="H10351" s="49">
        <f t="shared" si="2"/>
        <v>61456</v>
      </c>
    </row>
    <row r="10352">
      <c r="A10352" s="48" t="s">
        <v>1557</v>
      </c>
      <c r="B10352" s="38">
        <v>5062.0</v>
      </c>
      <c r="C10352" s="38" t="s">
        <v>14332</v>
      </c>
      <c r="D10352" s="38" t="str">
        <f>IFERROR(__xludf.DUMMYFUNCTION("REGEXREPLACE(C10352,""-\d+(.*)|--\d+(.*)"","""")"),"LE GLAIZIL")</f>
        <v>LE GLAIZIL</v>
      </c>
      <c r="E10352" s="38" t="s">
        <v>706</v>
      </c>
      <c r="F10352" s="38" t="s">
        <v>228</v>
      </c>
      <c r="G10352" s="49" t="str">
        <f t="shared" si="1"/>
        <v>05800</v>
      </c>
      <c r="H10352" s="49" t="str">
        <f t="shared" si="2"/>
        <v>05062</v>
      </c>
    </row>
    <row r="10353">
      <c r="A10353" s="48" t="s">
        <v>11319</v>
      </c>
      <c r="B10353" s="38">
        <v>51202.0</v>
      </c>
      <c r="C10353" s="38" t="s">
        <v>14333</v>
      </c>
      <c r="D10353" s="38" t="str">
        <f>IFERROR(__xludf.DUMMYFUNCTION("REGEXREPLACE(C10353,""-\d+(.*)|--\d+(.*)"","""")"),"CUMIERES")</f>
        <v>CUMIERES</v>
      </c>
      <c r="E10353" s="38" t="s">
        <v>129</v>
      </c>
      <c r="F10353" s="38" t="s">
        <v>130</v>
      </c>
      <c r="G10353" s="49" t="str">
        <f t="shared" si="1"/>
        <v>51480</v>
      </c>
      <c r="H10353" s="49">
        <f t="shared" si="2"/>
        <v>51202</v>
      </c>
    </row>
    <row r="10354">
      <c r="A10354" s="48" t="s">
        <v>4412</v>
      </c>
      <c r="B10354" s="38">
        <v>68226.0</v>
      </c>
      <c r="C10354" s="38" t="s">
        <v>14334</v>
      </c>
      <c r="D10354" s="38" t="str">
        <f>IFERROR(__xludf.DUMMYFUNCTION("REGEXREPLACE(C10354,""-\d+(.*)|--\d+(.*)"","""")"),"MUNSTER")</f>
        <v>MUNSTER</v>
      </c>
      <c r="E10354" s="38" t="s">
        <v>150</v>
      </c>
      <c r="F10354" s="38" t="s">
        <v>151</v>
      </c>
      <c r="G10354" s="49" t="str">
        <f t="shared" si="1"/>
        <v>68140</v>
      </c>
      <c r="H10354" s="49">
        <f t="shared" si="2"/>
        <v>68226</v>
      </c>
    </row>
    <row r="10355">
      <c r="A10355" s="48" t="s">
        <v>9772</v>
      </c>
      <c r="B10355" s="38">
        <v>25286.0</v>
      </c>
      <c r="C10355" s="38" t="s">
        <v>14335</v>
      </c>
      <c r="D10355" s="38" t="str">
        <f>IFERROR(__xludf.DUMMYFUNCTION("REGEXREPLACE(C10355,""-\d+(.*)|--\d+(.*)"","""")"),"GRAND'COMBE-DES-BOIS")</f>
        <v>GRAND'COMBE-DES-BOIS</v>
      </c>
      <c r="E10355" s="38" t="s">
        <v>213</v>
      </c>
      <c r="F10355" s="38" t="s">
        <v>214</v>
      </c>
      <c r="G10355" s="49" t="str">
        <f t="shared" si="1"/>
        <v>25210</v>
      </c>
      <c r="H10355" s="49">
        <f t="shared" si="2"/>
        <v>25286</v>
      </c>
    </row>
    <row r="10356">
      <c r="A10356" s="48" t="s">
        <v>1481</v>
      </c>
      <c r="B10356" s="38">
        <v>2458.0</v>
      </c>
      <c r="C10356" s="38" t="s">
        <v>14336</v>
      </c>
      <c r="D10356" s="38" t="str">
        <f>IFERROR(__xludf.DUMMYFUNCTION("REGEXREPLACE(C10356,""-\d+(.*)|--\d+(.*)"","""")"),"MARCHAIS-EN-BRIE")</f>
        <v>MARCHAIS-EN-BRIE</v>
      </c>
      <c r="E10356" s="38" t="s">
        <v>191</v>
      </c>
      <c r="F10356" s="38" t="s">
        <v>113</v>
      </c>
      <c r="G10356" s="49" t="str">
        <f t="shared" si="1"/>
        <v>02540</v>
      </c>
      <c r="H10356" s="49" t="str">
        <f t="shared" si="2"/>
        <v>02458</v>
      </c>
    </row>
    <row r="10357">
      <c r="A10357" s="48" t="s">
        <v>3774</v>
      </c>
      <c r="B10357" s="38">
        <v>74242.0</v>
      </c>
      <c r="C10357" s="38" t="s">
        <v>14337</v>
      </c>
      <c r="D10357" s="38" t="str">
        <f>IFERROR(__xludf.DUMMYFUNCTION("REGEXREPLACE(C10357,""-\d+(.*)|--\d+(.*)"","""")"),"SAINT-JORIOZ")</f>
        <v>SAINT-JORIOZ</v>
      </c>
      <c r="E10357" s="38" t="s">
        <v>319</v>
      </c>
      <c r="F10357" s="38" t="s">
        <v>102</v>
      </c>
      <c r="G10357" s="49" t="str">
        <f t="shared" si="1"/>
        <v>74410</v>
      </c>
      <c r="H10357" s="49">
        <f t="shared" si="2"/>
        <v>74242</v>
      </c>
    </row>
    <row r="10358">
      <c r="A10358" s="48" t="s">
        <v>9293</v>
      </c>
      <c r="B10358" s="38">
        <v>9074.0</v>
      </c>
      <c r="C10358" s="38" t="s">
        <v>14338</v>
      </c>
      <c r="D10358" s="38" t="str">
        <f>IFERROR(__xludf.DUMMYFUNCTION("REGEXREPLACE(C10358,""-\d+(.*)|--\d+(.*)"","""")"),"CAMON")</f>
        <v>CAMON</v>
      </c>
      <c r="E10358" s="38" t="s">
        <v>238</v>
      </c>
      <c r="F10358" s="38" t="s">
        <v>94</v>
      </c>
      <c r="G10358" s="49" t="str">
        <f t="shared" si="1"/>
        <v>09500</v>
      </c>
      <c r="H10358" s="49" t="str">
        <f t="shared" si="2"/>
        <v>09074</v>
      </c>
    </row>
    <row r="10359">
      <c r="A10359" s="48" t="s">
        <v>14339</v>
      </c>
      <c r="B10359" s="38">
        <v>90081.0</v>
      </c>
      <c r="C10359" s="38" t="s">
        <v>14340</v>
      </c>
      <c r="D10359" s="38" t="str">
        <f>IFERROR(__xludf.DUMMYFUNCTION("REGEXREPLACE(C10359,""-\d+(.*)|--\d+(.*)"","""")"),"RECHESY")</f>
        <v>RECHESY</v>
      </c>
      <c r="E10359" s="38" t="s">
        <v>1283</v>
      </c>
      <c r="F10359" s="38" t="s">
        <v>214</v>
      </c>
      <c r="G10359" s="49" t="str">
        <f t="shared" si="1"/>
        <v>90370</v>
      </c>
      <c r="H10359" s="49">
        <f t="shared" si="2"/>
        <v>90081</v>
      </c>
    </row>
    <row r="10360">
      <c r="A10360" s="48" t="s">
        <v>8589</v>
      </c>
      <c r="B10360" s="38">
        <v>27361.0</v>
      </c>
      <c r="C10360" s="38" t="s">
        <v>14341</v>
      </c>
      <c r="D10360" s="38" t="str">
        <f>IFERROR(__xludf.DUMMYFUNCTION("REGEXREPLACE(C10360,""-\d+(.*)|--\d+(.*)"","""")"),"LA LANDE-SAINT-LEGER")</f>
        <v>LA LANDE-SAINT-LEGER</v>
      </c>
      <c r="E10360" s="38" t="s">
        <v>241</v>
      </c>
      <c r="F10360" s="38" t="s">
        <v>134</v>
      </c>
      <c r="G10360" s="49" t="str">
        <f t="shared" si="1"/>
        <v>27210</v>
      </c>
      <c r="H10360" s="49">
        <f t="shared" si="2"/>
        <v>27361</v>
      </c>
    </row>
    <row r="10361">
      <c r="A10361" s="48" t="s">
        <v>860</v>
      </c>
      <c r="B10361" s="38">
        <v>80626.0</v>
      </c>
      <c r="C10361" s="38" t="s">
        <v>14342</v>
      </c>
      <c r="D10361" s="38" t="str">
        <f>IFERROR(__xludf.DUMMYFUNCTION("REGEXREPLACE(C10361,""-\d+(.*)|--\d+(.*)"","""")"),"PISSY")</f>
        <v>PISSY</v>
      </c>
      <c r="E10361" s="38" t="s">
        <v>224</v>
      </c>
      <c r="F10361" s="38" t="s">
        <v>113</v>
      </c>
      <c r="G10361" s="49" t="str">
        <f t="shared" si="1"/>
        <v>80540</v>
      </c>
      <c r="H10361" s="49">
        <f t="shared" si="2"/>
        <v>80626</v>
      </c>
    </row>
    <row r="10362">
      <c r="A10362" s="48" t="s">
        <v>1621</v>
      </c>
      <c r="B10362" s="38">
        <v>64363.0</v>
      </c>
      <c r="C10362" s="38" t="s">
        <v>14343</v>
      </c>
      <c r="D10362" s="38" t="str">
        <f>IFERROR(__xludf.DUMMYFUNCTION("REGEXREPLACE(C10362,""-\d+(.*)|--\d+(.*)"","""")"),"LYS")</f>
        <v>LYS</v>
      </c>
      <c r="E10362" s="38" t="s">
        <v>268</v>
      </c>
      <c r="F10362" s="38" t="s">
        <v>252</v>
      </c>
      <c r="G10362" s="49" t="str">
        <f t="shared" si="1"/>
        <v>64260</v>
      </c>
      <c r="H10362" s="49">
        <f t="shared" si="2"/>
        <v>64363</v>
      </c>
    </row>
    <row r="10363">
      <c r="A10363" s="48" t="s">
        <v>2582</v>
      </c>
      <c r="B10363" s="38">
        <v>14208.0</v>
      </c>
      <c r="C10363" s="38" t="s">
        <v>14344</v>
      </c>
      <c r="D10363" s="38" t="str">
        <f>IFERROR(__xludf.DUMMYFUNCTION("REGEXREPLACE(C10363,""-\d+(.*)|--\d+(.*)"","""")"),"CROISSANVILLE")</f>
        <v>CROISSANVILLE</v>
      </c>
      <c r="E10363" s="38" t="s">
        <v>137</v>
      </c>
      <c r="F10363" s="38" t="s">
        <v>138</v>
      </c>
      <c r="G10363" s="49" t="str">
        <f t="shared" si="1"/>
        <v>14370</v>
      </c>
      <c r="H10363" s="49">
        <f t="shared" si="2"/>
        <v>14208</v>
      </c>
    </row>
    <row r="10364">
      <c r="A10364" s="48" t="s">
        <v>14345</v>
      </c>
      <c r="B10364" s="38">
        <v>63064.0</v>
      </c>
      <c r="C10364" s="38" t="s">
        <v>1498</v>
      </c>
      <c r="D10364" s="38" t="str">
        <f>IFERROR(__xludf.DUMMYFUNCTION("REGEXREPLACE(C10364,""-\d+(.*)|--\d+(.*)"","""")"),"LA CELLE")</f>
        <v>LA CELLE</v>
      </c>
      <c r="E10364" s="38" t="s">
        <v>353</v>
      </c>
      <c r="F10364" s="38" t="s">
        <v>161</v>
      </c>
      <c r="G10364" s="49" t="str">
        <f t="shared" si="1"/>
        <v>63620</v>
      </c>
      <c r="H10364" s="49">
        <f t="shared" si="2"/>
        <v>63064</v>
      </c>
    </row>
    <row r="10365">
      <c r="A10365" s="48" t="s">
        <v>14346</v>
      </c>
      <c r="B10365" s="38">
        <v>43226.0</v>
      </c>
      <c r="C10365" s="38" t="s">
        <v>14347</v>
      </c>
      <c r="D10365" s="38" t="str">
        <f>IFERROR(__xludf.DUMMYFUNCTION("REGEXREPLACE(C10365,""-\d+(.*)|--\d+(.*)"","""")"),"SAINT-VERT")</f>
        <v>SAINT-VERT</v>
      </c>
      <c r="E10365" s="38" t="s">
        <v>332</v>
      </c>
      <c r="F10365" s="38" t="s">
        <v>161</v>
      </c>
      <c r="G10365" s="49" t="str">
        <f t="shared" si="1"/>
        <v>43440</v>
      </c>
      <c r="H10365" s="49">
        <f t="shared" si="2"/>
        <v>43226</v>
      </c>
    </row>
    <row r="10366">
      <c r="A10366" s="48" t="s">
        <v>14348</v>
      </c>
      <c r="B10366" s="38">
        <v>12218.0</v>
      </c>
      <c r="C10366" s="38" t="s">
        <v>14349</v>
      </c>
      <c r="D10366" s="38" t="str">
        <f>IFERROR(__xludf.DUMMYFUNCTION("REGEXREPLACE(C10366,""-\d+(.*)|--\d+(.*)"","""")"),"SAINT-CYPRIEN-SUR-DOURDOU")</f>
        <v>SAINT-CYPRIEN-SUR-DOURDOU</v>
      </c>
      <c r="E10366" s="38" t="s">
        <v>465</v>
      </c>
      <c r="F10366" s="38" t="s">
        <v>94</v>
      </c>
      <c r="G10366" s="49" t="str">
        <f t="shared" si="1"/>
        <v>12320</v>
      </c>
      <c r="H10366" s="49">
        <f t="shared" si="2"/>
        <v>12218</v>
      </c>
    </row>
    <row r="10367">
      <c r="A10367" s="48" t="s">
        <v>14350</v>
      </c>
      <c r="B10367" s="38">
        <v>78621.0</v>
      </c>
      <c r="C10367" s="38" t="s">
        <v>14351</v>
      </c>
      <c r="D10367" s="38" t="str">
        <f>IFERROR(__xludf.DUMMYFUNCTION("REGEXREPLACE(C10367,""-\d+(.*)|--\d+(.*)"","""")"),"TRAPPES")</f>
        <v>TRAPPES</v>
      </c>
      <c r="E10367" s="38" t="s">
        <v>362</v>
      </c>
      <c r="F10367" s="38" t="s">
        <v>245</v>
      </c>
      <c r="G10367" s="49" t="str">
        <f t="shared" si="1"/>
        <v>78190</v>
      </c>
      <c r="H10367" s="49">
        <f t="shared" si="2"/>
        <v>78621</v>
      </c>
    </row>
    <row r="10368">
      <c r="A10368" s="48" t="s">
        <v>6649</v>
      </c>
      <c r="B10368" s="38">
        <v>18031.0</v>
      </c>
      <c r="C10368" s="38" t="s">
        <v>14352</v>
      </c>
      <c r="D10368" s="38" t="str">
        <f>IFERROR(__xludf.DUMMYFUNCTION("REGEXREPLACE(C10368,""-\d+(.*)|--\d+(.*)"","""")"),"BLET")</f>
        <v>BLET</v>
      </c>
      <c r="E10368" s="38" t="s">
        <v>504</v>
      </c>
      <c r="F10368" s="38" t="s">
        <v>123</v>
      </c>
      <c r="G10368" s="49" t="str">
        <f t="shared" si="1"/>
        <v>18350</v>
      </c>
      <c r="H10368" s="49">
        <f t="shared" si="2"/>
        <v>18031</v>
      </c>
    </row>
    <row r="10369">
      <c r="A10369" s="48" t="s">
        <v>14353</v>
      </c>
      <c r="B10369" s="38">
        <v>40004.0</v>
      </c>
      <c r="C10369" s="38" t="s">
        <v>14354</v>
      </c>
      <c r="D10369" s="38" t="str">
        <f>IFERROR(__xludf.DUMMYFUNCTION("REGEXREPLACE(C10369,""-\d+(.*)|--\d+(.*)"","""")"),"ANGRESSE")</f>
        <v>ANGRESSE</v>
      </c>
      <c r="E10369" s="38" t="s">
        <v>281</v>
      </c>
      <c r="F10369" s="38" t="s">
        <v>252</v>
      </c>
      <c r="G10369" s="49" t="str">
        <f t="shared" si="1"/>
        <v>40150</v>
      </c>
      <c r="H10369" s="49">
        <f t="shared" si="2"/>
        <v>40004</v>
      </c>
    </row>
    <row r="10370">
      <c r="A10370" s="48" t="s">
        <v>834</v>
      </c>
      <c r="B10370" s="38">
        <v>25374.0</v>
      </c>
      <c r="C10370" s="38" t="s">
        <v>14355</v>
      </c>
      <c r="D10370" s="38" t="str">
        <f>IFERROR(__xludf.DUMMYFUNCTION("REGEXREPLACE(C10370,""-\d+(.*)|--\d+(.*)"","""")"),"MERCEY-LE-GRAND")</f>
        <v>MERCEY-LE-GRAND</v>
      </c>
      <c r="E10370" s="38" t="s">
        <v>213</v>
      </c>
      <c r="F10370" s="38" t="s">
        <v>214</v>
      </c>
      <c r="G10370" s="49" t="str">
        <f t="shared" si="1"/>
        <v>25410</v>
      </c>
      <c r="H10370" s="49">
        <f t="shared" si="2"/>
        <v>25374</v>
      </c>
    </row>
    <row r="10371">
      <c r="A10371" s="48" t="s">
        <v>14356</v>
      </c>
      <c r="B10371" s="38">
        <v>27425.0</v>
      </c>
      <c r="C10371" s="38" t="s">
        <v>14357</v>
      </c>
      <c r="D10371" s="38" t="str">
        <f>IFERROR(__xludf.DUMMYFUNCTION("REGEXREPLACE(C10371,""-\d+(.*)|--\d+(.*)"","""")"),"NASSANDRES")</f>
        <v>NASSANDRES</v>
      </c>
      <c r="E10371" s="38" t="s">
        <v>241</v>
      </c>
      <c r="F10371" s="38" t="s">
        <v>134</v>
      </c>
      <c r="G10371" s="49" t="str">
        <f t="shared" si="1"/>
        <v>27550</v>
      </c>
      <c r="H10371" s="49">
        <f t="shared" si="2"/>
        <v>27425</v>
      </c>
    </row>
    <row r="10372">
      <c r="A10372" s="48" t="s">
        <v>7741</v>
      </c>
      <c r="B10372" s="38">
        <v>37104.0</v>
      </c>
      <c r="C10372" s="38" t="s">
        <v>14358</v>
      </c>
      <c r="D10372" s="38" t="str">
        <f>IFERROR(__xludf.DUMMYFUNCTION("REGEXREPLACE(C10372,""-\d+(.*)|--\d+(.*)"","""")"),"ESVRES")</f>
        <v>ESVRES</v>
      </c>
      <c r="E10372" s="38" t="s">
        <v>205</v>
      </c>
      <c r="F10372" s="38" t="s">
        <v>123</v>
      </c>
      <c r="G10372" s="49" t="str">
        <f t="shared" si="1"/>
        <v>37320</v>
      </c>
      <c r="H10372" s="49">
        <f t="shared" si="2"/>
        <v>37104</v>
      </c>
    </row>
    <row r="10373">
      <c r="A10373" s="48" t="s">
        <v>4095</v>
      </c>
      <c r="B10373" s="38">
        <v>23079.0</v>
      </c>
      <c r="C10373" s="38" t="s">
        <v>14359</v>
      </c>
      <c r="D10373" s="38" t="str">
        <f>IFERROR(__xludf.DUMMYFUNCTION("REGEXREPLACE(C10373,""-\d+(.*)|--\d+(.*)"","""")"),"FELLETIN")</f>
        <v>FELLETIN</v>
      </c>
      <c r="E10373" s="38" t="s">
        <v>97</v>
      </c>
      <c r="F10373" s="38" t="s">
        <v>98</v>
      </c>
      <c r="G10373" s="49" t="str">
        <f t="shared" si="1"/>
        <v>23500</v>
      </c>
      <c r="H10373" s="49">
        <f t="shared" si="2"/>
        <v>23079</v>
      </c>
    </row>
    <row r="10374">
      <c r="A10374" s="48" t="s">
        <v>14360</v>
      </c>
      <c r="B10374" s="38">
        <v>69293.0</v>
      </c>
      <c r="C10374" s="38" t="s">
        <v>14361</v>
      </c>
      <c r="D10374" s="38" t="str">
        <f>IFERROR(__xludf.DUMMYFUNCTION("REGEXREPLACE(C10374,""-\d+(.*)|--\d+(.*)"","""")"),"SATHONAY-VILLAGE")</f>
        <v>SATHONAY-VILLAGE</v>
      </c>
      <c r="E10374" s="38" t="s">
        <v>350</v>
      </c>
      <c r="F10374" s="38" t="s">
        <v>102</v>
      </c>
      <c r="G10374" s="49" t="str">
        <f t="shared" si="1"/>
        <v>69580</v>
      </c>
      <c r="H10374" s="49">
        <f t="shared" si="2"/>
        <v>69293</v>
      </c>
    </row>
    <row r="10375">
      <c r="A10375" s="48" t="s">
        <v>14362</v>
      </c>
      <c r="B10375" s="38">
        <v>56113.0</v>
      </c>
      <c r="C10375" s="38" t="s">
        <v>14363</v>
      </c>
      <c r="D10375" s="38" t="str">
        <f>IFERROR(__xludf.DUMMYFUNCTION("REGEXREPLACE(C10375,""-\d+(.*)|--\d+(.*)"","""")"),"LOCMALO")</f>
        <v>LOCMALO</v>
      </c>
      <c r="E10375" s="38" t="s">
        <v>173</v>
      </c>
      <c r="F10375" s="38" t="s">
        <v>90</v>
      </c>
      <c r="G10375" s="49" t="str">
        <f t="shared" si="1"/>
        <v>56160</v>
      </c>
      <c r="H10375" s="49">
        <f t="shared" si="2"/>
        <v>56113</v>
      </c>
    </row>
    <row r="10376">
      <c r="A10376" s="48" t="s">
        <v>5320</v>
      </c>
      <c r="B10376" s="38">
        <v>74213.0</v>
      </c>
      <c r="C10376" s="38" t="s">
        <v>14364</v>
      </c>
      <c r="D10376" s="38" t="str">
        <f>IFERROR(__xludf.DUMMYFUNCTION("REGEXREPLACE(C10376,""-\d+(.*)|--\d+(.*)"","""")"),"POISY")</f>
        <v>POISY</v>
      </c>
      <c r="E10376" s="38" t="s">
        <v>319</v>
      </c>
      <c r="F10376" s="38" t="s">
        <v>102</v>
      </c>
      <c r="G10376" s="49" t="str">
        <f t="shared" si="1"/>
        <v>74330</v>
      </c>
      <c r="H10376" s="49">
        <f t="shared" si="2"/>
        <v>74213</v>
      </c>
    </row>
    <row r="10377">
      <c r="A10377" s="48" t="s">
        <v>562</v>
      </c>
      <c r="B10377" s="38">
        <v>54174.0</v>
      </c>
      <c r="C10377" s="38" t="s">
        <v>14365</v>
      </c>
      <c r="D10377" s="38" t="str">
        <f>IFERROR(__xludf.DUMMYFUNCTION("REGEXREPLACE(C10377,""-\d+(.*)|--\d+(.*)"","""")"),"ECROUVES")</f>
        <v>ECROUVES</v>
      </c>
      <c r="E10377" s="38" t="s">
        <v>548</v>
      </c>
      <c r="F10377" s="38" t="s">
        <v>195</v>
      </c>
      <c r="G10377" s="49" t="str">
        <f t="shared" si="1"/>
        <v>54200</v>
      </c>
      <c r="H10377" s="49">
        <f t="shared" si="2"/>
        <v>54174</v>
      </c>
    </row>
    <row r="10378">
      <c r="A10378" s="48" t="s">
        <v>4581</v>
      </c>
      <c r="B10378" s="38">
        <v>79334.0</v>
      </c>
      <c r="C10378" s="38" t="s">
        <v>14366</v>
      </c>
      <c r="D10378" s="38" t="str">
        <f>IFERROR(__xludf.DUMMYFUNCTION("REGEXREPLACE(C10378,""-\d+(.*)|--\d+(.*)"","""")"),"USSEAU")</f>
        <v>USSEAU</v>
      </c>
      <c r="E10378" s="38" t="s">
        <v>337</v>
      </c>
      <c r="F10378" s="38" t="s">
        <v>338</v>
      </c>
      <c r="G10378" s="49" t="str">
        <f t="shared" si="1"/>
        <v>79210</v>
      </c>
      <c r="H10378" s="49">
        <f t="shared" si="2"/>
        <v>79334</v>
      </c>
    </row>
    <row r="10379">
      <c r="A10379" s="48" t="s">
        <v>14367</v>
      </c>
      <c r="B10379" s="38">
        <v>54051.0</v>
      </c>
      <c r="C10379" s="38" t="s">
        <v>12616</v>
      </c>
      <c r="D10379" s="38" t="str">
        <f>IFERROR(__xludf.DUMMYFUNCTION("REGEXREPLACE(C10379,""-\d+(.*)|--\d+(.*)"","""")"),"BATILLY")</f>
        <v>BATILLY</v>
      </c>
      <c r="E10379" s="38" t="s">
        <v>548</v>
      </c>
      <c r="F10379" s="38" t="s">
        <v>195</v>
      </c>
      <c r="G10379" s="49" t="str">
        <f t="shared" si="1"/>
        <v>54980</v>
      </c>
      <c r="H10379" s="49">
        <f t="shared" si="2"/>
        <v>54051</v>
      </c>
    </row>
    <row r="10380">
      <c r="A10380" s="48" t="s">
        <v>4665</v>
      </c>
      <c r="B10380" s="38">
        <v>16348.0</v>
      </c>
      <c r="C10380" s="38" t="s">
        <v>1113</v>
      </c>
      <c r="D10380" s="38" t="str">
        <f>IFERROR(__xludf.DUMMYFUNCTION("REGEXREPLACE(C10380,""-\d+(.*)|--\d+(.*)"","""")"),"SAINT-SATURNIN")</f>
        <v>SAINT-SATURNIN</v>
      </c>
      <c r="E10380" s="38" t="s">
        <v>429</v>
      </c>
      <c r="F10380" s="38" t="s">
        <v>338</v>
      </c>
      <c r="G10380" s="49" t="str">
        <f t="shared" si="1"/>
        <v>16290</v>
      </c>
      <c r="H10380" s="49">
        <f t="shared" si="2"/>
        <v>16348</v>
      </c>
    </row>
    <row r="10381">
      <c r="A10381" s="48" t="s">
        <v>3691</v>
      </c>
      <c r="B10381" s="38">
        <v>64290.0</v>
      </c>
      <c r="C10381" s="38" t="s">
        <v>14368</v>
      </c>
      <c r="D10381" s="38" t="str">
        <f>IFERROR(__xludf.DUMMYFUNCTION("REGEXREPLACE(C10381,""-\d+(.*)|--\d+(.*)"","""")"),"LABASTIDE-MONREJEAU")</f>
        <v>LABASTIDE-MONREJEAU</v>
      </c>
      <c r="E10381" s="38" t="s">
        <v>268</v>
      </c>
      <c r="F10381" s="38" t="s">
        <v>252</v>
      </c>
      <c r="G10381" s="49" t="str">
        <f t="shared" si="1"/>
        <v>64170</v>
      </c>
      <c r="H10381" s="49">
        <f t="shared" si="2"/>
        <v>64290</v>
      </c>
    </row>
    <row r="10382">
      <c r="A10382" s="48" t="s">
        <v>960</v>
      </c>
      <c r="B10382" s="38">
        <v>28239.0</v>
      </c>
      <c r="C10382" s="38" t="s">
        <v>14369</v>
      </c>
      <c r="D10382" s="38" t="str">
        <f>IFERROR(__xludf.DUMMYFUNCTION("REGEXREPLACE(C10382,""-\d+(.*)|--\d+(.*)"","""")"),"MARVILLE-MOUTIERS-BRULE")</f>
        <v>MARVILLE-MOUTIERS-BRULE</v>
      </c>
      <c r="E10382" s="38" t="s">
        <v>300</v>
      </c>
      <c r="F10382" s="38" t="s">
        <v>123</v>
      </c>
      <c r="G10382" s="49" t="str">
        <f t="shared" si="1"/>
        <v>28500</v>
      </c>
      <c r="H10382" s="49">
        <f t="shared" si="2"/>
        <v>28239</v>
      </c>
    </row>
    <row r="10383">
      <c r="A10383" s="48" t="s">
        <v>3297</v>
      </c>
      <c r="B10383" s="38">
        <v>41023.0</v>
      </c>
      <c r="C10383" s="38" t="s">
        <v>14370</v>
      </c>
      <c r="D10383" s="38" t="str">
        <f>IFERROR(__xludf.DUMMYFUNCTION("REGEXREPLACE(C10383,""-\d+(.*)|--\d+(.*)"","""")"),"BOURRE")</f>
        <v>BOURRE</v>
      </c>
      <c r="E10383" s="38" t="s">
        <v>188</v>
      </c>
      <c r="F10383" s="38" t="s">
        <v>123</v>
      </c>
      <c r="G10383" s="49" t="str">
        <f t="shared" si="1"/>
        <v>41400</v>
      </c>
      <c r="H10383" s="49">
        <f t="shared" si="2"/>
        <v>41023</v>
      </c>
    </row>
    <row r="10384">
      <c r="A10384" s="48" t="s">
        <v>2835</v>
      </c>
      <c r="B10384" s="38">
        <v>18077.0</v>
      </c>
      <c r="C10384" s="38" t="s">
        <v>14371</v>
      </c>
      <c r="D10384" s="38" t="str">
        <f>IFERROR(__xludf.DUMMYFUNCTION("REGEXREPLACE(C10384,""-\d+(.*)|--\d+(.*)"","""")"),"COUY")</f>
        <v>COUY</v>
      </c>
      <c r="E10384" s="38" t="s">
        <v>504</v>
      </c>
      <c r="F10384" s="38" t="s">
        <v>123</v>
      </c>
      <c r="G10384" s="49" t="str">
        <f t="shared" si="1"/>
        <v>18140</v>
      </c>
      <c r="H10384" s="49">
        <f t="shared" si="2"/>
        <v>18077</v>
      </c>
    </row>
    <row r="10385">
      <c r="A10385" s="48" t="s">
        <v>1027</v>
      </c>
      <c r="B10385" s="38">
        <v>1098.0</v>
      </c>
      <c r="C10385" s="38" t="s">
        <v>14372</v>
      </c>
      <c r="D10385" s="38" t="str">
        <f>IFERROR(__xludf.DUMMYFUNCTION("REGEXREPLACE(C10385,""-\d+(.*)|--\d+(.*)"","""")"),"CHAZEY-BONS")</f>
        <v>CHAZEY-BONS</v>
      </c>
      <c r="E10385" s="38" t="s">
        <v>255</v>
      </c>
      <c r="F10385" s="38" t="s">
        <v>102</v>
      </c>
      <c r="G10385" s="49" t="str">
        <f t="shared" si="1"/>
        <v>01300</v>
      </c>
      <c r="H10385" s="49" t="str">
        <f t="shared" si="2"/>
        <v>01098</v>
      </c>
    </row>
    <row r="10386">
      <c r="A10386" s="48" t="s">
        <v>1667</v>
      </c>
      <c r="B10386" s="38">
        <v>38014.0</v>
      </c>
      <c r="C10386" s="38" t="s">
        <v>14373</v>
      </c>
      <c r="D10386" s="38" t="str">
        <f>IFERROR(__xludf.DUMMYFUNCTION("REGEXREPLACE(C10386,""-\d+(.*)|--\d+(.*)"","""")"),"ARANDON")</f>
        <v>ARANDON</v>
      </c>
      <c r="E10386" s="38" t="s">
        <v>101</v>
      </c>
      <c r="F10386" s="38" t="s">
        <v>102</v>
      </c>
      <c r="G10386" s="49" t="str">
        <f t="shared" si="1"/>
        <v>38510</v>
      </c>
      <c r="H10386" s="49">
        <f t="shared" si="2"/>
        <v>38014</v>
      </c>
    </row>
    <row r="10387">
      <c r="A10387" s="48" t="s">
        <v>781</v>
      </c>
      <c r="B10387" s="38">
        <v>65002.0</v>
      </c>
      <c r="C10387" s="38" t="s">
        <v>14374</v>
      </c>
      <c r="D10387" s="38" t="str">
        <f>IFERROR(__xludf.DUMMYFUNCTION("REGEXREPLACE(C10387,""-\d+(.*)|--\d+(.*)"","""")"),"ADE")</f>
        <v>ADE</v>
      </c>
      <c r="E10387" s="38" t="s">
        <v>200</v>
      </c>
      <c r="F10387" s="38" t="s">
        <v>94</v>
      </c>
      <c r="G10387" s="49" t="str">
        <f t="shared" si="1"/>
        <v>65100</v>
      </c>
      <c r="H10387" s="49">
        <f t="shared" si="2"/>
        <v>65002</v>
      </c>
    </row>
    <row r="10388">
      <c r="A10388" s="48" t="s">
        <v>798</v>
      </c>
      <c r="B10388" s="38">
        <v>3306.0</v>
      </c>
      <c r="C10388" s="38" t="s">
        <v>3905</v>
      </c>
      <c r="D10388" s="38" t="str">
        <f>IFERROR(__xludf.DUMMYFUNCTION("REGEXREPLACE(C10388,""-\d+(.*)|--\d+(.*)"","""")"),"LE VERNET")</f>
        <v>LE VERNET</v>
      </c>
      <c r="E10388" s="38" t="s">
        <v>160</v>
      </c>
      <c r="F10388" s="38" t="s">
        <v>161</v>
      </c>
      <c r="G10388" s="49" t="str">
        <f t="shared" si="1"/>
        <v>03200</v>
      </c>
      <c r="H10388" s="49" t="str">
        <f t="shared" si="2"/>
        <v>03306</v>
      </c>
    </row>
    <row r="10389">
      <c r="A10389" s="48" t="s">
        <v>14375</v>
      </c>
      <c r="B10389" s="38">
        <v>74280.0</v>
      </c>
      <c r="C10389" s="38" t="s">
        <v>14376</v>
      </c>
      <c r="D10389" s="38" t="str">
        <f>IFERROR(__xludf.DUMMYFUNCTION("REGEXREPLACE(C10389,""-\d+(.*)|--\d+(.*)"","""")"),"THONES")</f>
        <v>THONES</v>
      </c>
      <c r="E10389" s="38" t="s">
        <v>319</v>
      </c>
      <c r="F10389" s="38" t="s">
        <v>102</v>
      </c>
      <c r="G10389" s="49" t="str">
        <f t="shared" si="1"/>
        <v>74230</v>
      </c>
      <c r="H10389" s="49">
        <f t="shared" si="2"/>
        <v>74280</v>
      </c>
    </row>
    <row r="10390">
      <c r="A10390" s="48" t="s">
        <v>5499</v>
      </c>
      <c r="B10390" s="38">
        <v>47125.0</v>
      </c>
      <c r="C10390" s="38" t="s">
        <v>14377</v>
      </c>
      <c r="D10390" s="38" t="str">
        <f>IFERROR(__xludf.DUMMYFUNCTION("REGEXREPLACE(C10390,""-\d+(.*)|--\d+(.*)"","""")"),"LACEPEDE")</f>
        <v>LACEPEDE</v>
      </c>
      <c r="E10390" s="38" t="s">
        <v>251</v>
      </c>
      <c r="F10390" s="38" t="s">
        <v>252</v>
      </c>
      <c r="G10390" s="49" t="str">
        <f t="shared" si="1"/>
        <v>47360</v>
      </c>
      <c r="H10390" s="49">
        <f t="shared" si="2"/>
        <v>47125</v>
      </c>
    </row>
    <row r="10391">
      <c r="A10391" s="48" t="s">
        <v>3389</v>
      </c>
      <c r="B10391" s="38">
        <v>33342.0</v>
      </c>
      <c r="C10391" s="38" t="s">
        <v>14378</v>
      </c>
      <c r="D10391" s="38" t="str">
        <f>IFERROR(__xludf.DUMMYFUNCTION("REGEXREPLACE(C10391,""-\d+(.*)|--\d+(.*)"","""")"),"PUISSEGUIN")</f>
        <v>PUISSEGUIN</v>
      </c>
      <c r="E10391" s="38" t="s">
        <v>462</v>
      </c>
      <c r="F10391" s="38" t="s">
        <v>252</v>
      </c>
      <c r="G10391" s="49" t="str">
        <f t="shared" si="1"/>
        <v>33570</v>
      </c>
      <c r="H10391" s="49">
        <f t="shared" si="2"/>
        <v>33342</v>
      </c>
    </row>
    <row r="10392">
      <c r="A10392" s="48" t="s">
        <v>14379</v>
      </c>
      <c r="B10392" s="38">
        <v>35252.0</v>
      </c>
      <c r="C10392" s="38" t="s">
        <v>14380</v>
      </c>
      <c r="D10392" s="38" t="str">
        <f>IFERROR(__xludf.DUMMYFUNCTION("REGEXREPLACE(C10392,""-\d+(.*)|--\d+(.*)"","""")"),"SAINT-AUBIN-DES-LANDES")</f>
        <v>SAINT-AUBIN-DES-LANDES</v>
      </c>
      <c r="E10392" s="38" t="s">
        <v>347</v>
      </c>
      <c r="F10392" s="38" t="s">
        <v>90</v>
      </c>
      <c r="G10392" s="49" t="str">
        <f t="shared" si="1"/>
        <v>35500</v>
      </c>
      <c r="H10392" s="49">
        <f t="shared" si="2"/>
        <v>35252</v>
      </c>
    </row>
    <row r="10393">
      <c r="A10393" s="48" t="s">
        <v>14381</v>
      </c>
      <c r="B10393" s="38">
        <v>57454.0</v>
      </c>
      <c r="C10393" s="38" t="s">
        <v>14382</v>
      </c>
      <c r="D10393" s="38" t="str">
        <f>IFERROR(__xludf.DUMMYFUNCTION("REGEXREPLACE(C10393,""-\d+(.*)|--\d+(.*)"","""")"),"MECLEUVES")</f>
        <v>MECLEUVES</v>
      </c>
      <c r="E10393" s="38" t="s">
        <v>303</v>
      </c>
      <c r="F10393" s="38" t="s">
        <v>195</v>
      </c>
      <c r="G10393" s="49" t="str">
        <f t="shared" si="1"/>
        <v>57245</v>
      </c>
      <c r="H10393" s="49">
        <f t="shared" si="2"/>
        <v>57454</v>
      </c>
    </row>
    <row r="10394">
      <c r="A10394" s="48" t="s">
        <v>4097</v>
      </c>
      <c r="B10394" s="38">
        <v>50315.0</v>
      </c>
      <c r="C10394" s="38" t="s">
        <v>14383</v>
      </c>
      <c r="D10394" s="38" t="str">
        <f>IFERROR(__xludf.DUMMYFUNCTION("REGEXREPLACE(C10394,""-\d+(.*)|--\d+(.*)"","""")"),"LE MESNILLARD")</f>
        <v>LE MESNILLARD</v>
      </c>
      <c r="E10394" s="38" t="s">
        <v>157</v>
      </c>
      <c r="F10394" s="38" t="s">
        <v>138</v>
      </c>
      <c r="G10394" s="49" t="str">
        <f t="shared" si="1"/>
        <v>50600</v>
      </c>
      <c r="H10394" s="49">
        <f t="shared" si="2"/>
        <v>50315</v>
      </c>
    </row>
    <row r="10395">
      <c r="A10395" s="48" t="s">
        <v>874</v>
      </c>
      <c r="B10395" s="38" t="s">
        <v>14384</v>
      </c>
      <c r="C10395" s="38" t="s">
        <v>14385</v>
      </c>
      <c r="D10395" s="38" t="str">
        <f>IFERROR(__xludf.DUMMYFUNCTION("REGEXREPLACE(C10395,""-\d+(.*)|--\d+(.*)"","""")"),"VERDESE")</f>
        <v>VERDESE</v>
      </c>
      <c r="E10395" s="38" t="s">
        <v>743</v>
      </c>
      <c r="F10395" s="38" t="s">
        <v>607</v>
      </c>
      <c r="G10395" s="49" t="str">
        <f t="shared" si="1"/>
        <v>20229</v>
      </c>
      <c r="H10395" s="49" t="str">
        <f t="shared" si="2"/>
        <v>2B344</v>
      </c>
    </row>
    <row r="10396">
      <c r="A10396" s="48" t="s">
        <v>7265</v>
      </c>
      <c r="B10396" s="38">
        <v>68264.0</v>
      </c>
      <c r="C10396" s="38" t="s">
        <v>14386</v>
      </c>
      <c r="D10396" s="38" t="str">
        <f>IFERROR(__xludf.DUMMYFUNCTION("REGEXREPLACE(C10396,""-\d+(.*)|--\d+(.*)"","""")"),"RANSPACH-LE-HAUT")</f>
        <v>RANSPACH-LE-HAUT</v>
      </c>
      <c r="E10396" s="38" t="s">
        <v>150</v>
      </c>
      <c r="F10396" s="38" t="s">
        <v>151</v>
      </c>
      <c r="G10396" s="49" t="str">
        <f t="shared" si="1"/>
        <v>68220</v>
      </c>
      <c r="H10396" s="49">
        <f t="shared" si="2"/>
        <v>68264</v>
      </c>
    </row>
    <row r="10397">
      <c r="A10397" s="48" t="s">
        <v>1677</v>
      </c>
      <c r="B10397" s="38">
        <v>59330.0</v>
      </c>
      <c r="C10397" s="38" t="s">
        <v>14387</v>
      </c>
      <c r="D10397" s="38" t="str">
        <f>IFERROR(__xludf.DUMMYFUNCTION("REGEXREPLACE(C10397,""-\d+(.*)|--\d+(.*)"","""")"),"LANDAS")</f>
        <v>LANDAS</v>
      </c>
      <c r="E10397" s="38" t="s">
        <v>85</v>
      </c>
      <c r="F10397" s="38" t="s">
        <v>86</v>
      </c>
      <c r="G10397" s="49" t="str">
        <f t="shared" si="1"/>
        <v>59310</v>
      </c>
      <c r="H10397" s="49">
        <f t="shared" si="2"/>
        <v>59330</v>
      </c>
    </row>
    <row r="10398">
      <c r="A10398" s="48" t="s">
        <v>2726</v>
      </c>
      <c r="B10398" s="38">
        <v>46161.0</v>
      </c>
      <c r="C10398" s="38" t="s">
        <v>14388</v>
      </c>
      <c r="D10398" s="38" t="str">
        <f>IFERROR(__xludf.DUMMYFUNCTION("REGEXREPLACE(C10398,""-\d+(.*)|--\d+(.*)"","""")"),"LAURESSES")</f>
        <v>LAURESSES</v>
      </c>
      <c r="E10398" s="38" t="s">
        <v>185</v>
      </c>
      <c r="F10398" s="38" t="s">
        <v>94</v>
      </c>
      <c r="G10398" s="49" t="str">
        <f t="shared" si="1"/>
        <v>46210</v>
      </c>
      <c r="H10398" s="49">
        <f t="shared" si="2"/>
        <v>46161</v>
      </c>
    </row>
    <row r="10399">
      <c r="A10399" s="48" t="s">
        <v>5631</v>
      </c>
      <c r="B10399" s="38">
        <v>76570.0</v>
      </c>
      <c r="C10399" s="38" t="s">
        <v>14389</v>
      </c>
      <c r="D10399" s="38" t="str">
        <f>IFERROR(__xludf.DUMMYFUNCTION("REGEXREPLACE(C10399,""-\d+(.*)|--\d+(.*)"","""")"),"SAINT-CRESPIN")</f>
        <v>SAINT-CRESPIN</v>
      </c>
      <c r="E10399" s="38" t="s">
        <v>133</v>
      </c>
      <c r="F10399" s="38" t="s">
        <v>134</v>
      </c>
      <c r="G10399" s="49" t="str">
        <f t="shared" si="1"/>
        <v>76590</v>
      </c>
      <c r="H10399" s="49">
        <f t="shared" si="2"/>
        <v>76570</v>
      </c>
    </row>
    <row r="10400">
      <c r="A10400" s="48" t="s">
        <v>3364</v>
      </c>
      <c r="B10400" s="38">
        <v>62309.0</v>
      </c>
      <c r="C10400" s="38" t="s">
        <v>14390</v>
      </c>
      <c r="D10400" s="38" t="str">
        <f>IFERROR(__xludf.DUMMYFUNCTION("REGEXREPLACE(C10400,""-\d+(.*)|--\d+(.*)"","""")"),"ESQUERDES")</f>
        <v>ESQUERDES</v>
      </c>
      <c r="E10400" s="38" t="s">
        <v>109</v>
      </c>
      <c r="F10400" s="38" t="s">
        <v>86</v>
      </c>
      <c r="G10400" s="49" t="str">
        <f t="shared" si="1"/>
        <v>62380</v>
      </c>
      <c r="H10400" s="49">
        <f t="shared" si="2"/>
        <v>62309</v>
      </c>
    </row>
    <row r="10401">
      <c r="A10401" s="48" t="s">
        <v>958</v>
      </c>
      <c r="B10401" s="38">
        <v>71259.0</v>
      </c>
      <c r="C10401" s="38" t="s">
        <v>14391</v>
      </c>
      <c r="D10401" s="38" t="str">
        <f>IFERROR(__xludf.DUMMYFUNCTION("REGEXREPLACE(C10401,""-\d+(.*)|--\d+(.*)"","""")"),"LIGNY-EN-BRIONNAIS")</f>
        <v>LIGNY-EN-BRIONNAIS</v>
      </c>
      <c r="E10401" s="38" t="s">
        <v>344</v>
      </c>
      <c r="F10401" s="38" t="s">
        <v>106</v>
      </c>
      <c r="G10401" s="49" t="str">
        <f t="shared" si="1"/>
        <v>71110</v>
      </c>
      <c r="H10401" s="49">
        <f t="shared" si="2"/>
        <v>71259</v>
      </c>
    </row>
    <row r="10402">
      <c r="A10402" s="48" t="s">
        <v>647</v>
      </c>
      <c r="B10402" s="38">
        <v>82018.0</v>
      </c>
      <c r="C10402" s="38" t="s">
        <v>14392</v>
      </c>
      <c r="D10402" s="38" t="str">
        <f>IFERROR(__xludf.DUMMYFUNCTION("REGEXREPLACE(C10402,""-\d+(.*)|--\d+(.*)"","""")"),"BIOULE")</f>
        <v>BIOULE</v>
      </c>
      <c r="E10402" s="38" t="s">
        <v>570</v>
      </c>
      <c r="F10402" s="38" t="s">
        <v>94</v>
      </c>
      <c r="G10402" s="49" t="str">
        <f t="shared" si="1"/>
        <v>82800</v>
      </c>
      <c r="H10402" s="49">
        <f t="shared" si="2"/>
        <v>82018</v>
      </c>
    </row>
    <row r="10403">
      <c r="A10403" s="48" t="s">
        <v>4196</v>
      </c>
      <c r="B10403" s="38">
        <v>8232.0</v>
      </c>
      <c r="C10403" s="38" t="s">
        <v>14393</v>
      </c>
      <c r="D10403" s="38" t="str">
        <f>IFERROR(__xludf.DUMMYFUNCTION("REGEXREPLACE(C10403,""-\d+(.*)|--\d+(.*)"","""")"),"ILLY")</f>
        <v>ILLY</v>
      </c>
      <c r="E10403" s="38" t="s">
        <v>327</v>
      </c>
      <c r="F10403" s="38" t="s">
        <v>130</v>
      </c>
      <c r="G10403" s="49" t="str">
        <f t="shared" si="1"/>
        <v>08200</v>
      </c>
      <c r="H10403" s="49" t="str">
        <f t="shared" si="2"/>
        <v>08232</v>
      </c>
    </row>
    <row r="10404">
      <c r="A10404" s="48" t="s">
        <v>2374</v>
      </c>
      <c r="B10404" s="38">
        <v>58015.0</v>
      </c>
      <c r="C10404" s="38" t="s">
        <v>14394</v>
      </c>
      <c r="D10404" s="38" t="str">
        <f>IFERROR(__xludf.DUMMYFUNCTION("REGEXREPLACE(C10404,""-\d+(.*)|--\d+(.*)"","""")"),"ASNAN")</f>
        <v>ASNAN</v>
      </c>
      <c r="E10404" s="38" t="s">
        <v>219</v>
      </c>
      <c r="F10404" s="38" t="s">
        <v>106</v>
      </c>
      <c r="G10404" s="49" t="str">
        <f t="shared" si="1"/>
        <v>58420</v>
      </c>
      <c r="H10404" s="49">
        <f t="shared" si="2"/>
        <v>58015</v>
      </c>
    </row>
    <row r="10405">
      <c r="A10405" s="48" t="s">
        <v>9556</v>
      </c>
      <c r="B10405" s="38">
        <v>60354.0</v>
      </c>
      <c r="C10405" s="38" t="s">
        <v>14395</v>
      </c>
      <c r="D10405" s="38" t="str">
        <f>IFERROR(__xludf.DUMMYFUNCTION("REGEXREPLACE(C10405,""-\d+(.*)|--\d+(.*)"","""")"),"LAVERRIERE")</f>
        <v>LAVERRIERE</v>
      </c>
      <c r="E10405" s="38" t="s">
        <v>112</v>
      </c>
      <c r="F10405" s="38" t="s">
        <v>113</v>
      </c>
      <c r="G10405" s="49" t="str">
        <f t="shared" si="1"/>
        <v>60210</v>
      </c>
      <c r="H10405" s="49">
        <f t="shared" si="2"/>
        <v>60354</v>
      </c>
    </row>
    <row r="10406">
      <c r="A10406" s="48" t="s">
        <v>651</v>
      </c>
      <c r="B10406" s="38">
        <v>49365.0</v>
      </c>
      <c r="C10406" s="38" t="s">
        <v>14396</v>
      </c>
      <c r="D10406" s="38" t="str">
        <f>IFERROR(__xludf.DUMMYFUNCTION("REGEXREPLACE(C10406,""-\d+(.*)|--\d+(.*)"","""")"),"LES VERCHERS-SUR-LAYON")</f>
        <v>LES VERCHERS-SUR-LAYON</v>
      </c>
      <c r="E10406" s="38" t="s">
        <v>653</v>
      </c>
      <c r="F10406" s="38" t="s">
        <v>180</v>
      </c>
      <c r="G10406" s="49" t="str">
        <f t="shared" si="1"/>
        <v>49700</v>
      </c>
      <c r="H10406" s="49">
        <f t="shared" si="2"/>
        <v>49365</v>
      </c>
    </row>
    <row r="10407">
      <c r="A10407" s="48" t="s">
        <v>3210</v>
      </c>
      <c r="B10407" s="38">
        <v>74022.0</v>
      </c>
      <c r="C10407" s="38" t="s">
        <v>14397</v>
      </c>
      <c r="D10407" s="38" t="str">
        <f>IFERROR(__xludf.DUMMYFUNCTION("REGEXREPLACE(C10407,""-\d+(.*)|--\d+(.*)"","""")"),"AVIERNOZ")</f>
        <v>AVIERNOZ</v>
      </c>
      <c r="E10407" s="38" t="s">
        <v>319</v>
      </c>
      <c r="F10407" s="38" t="s">
        <v>102</v>
      </c>
      <c r="G10407" s="49" t="str">
        <f t="shared" si="1"/>
        <v>74570</v>
      </c>
      <c r="H10407" s="49">
        <f t="shared" si="2"/>
        <v>74022</v>
      </c>
    </row>
    <row r="10408">
      <c r="A10408" s="48" t="s">
        <v>4893</v>
      </c>
      <c r="B10408" s="38">
        <v>56053.0</v>
      </c>
      <c r="C10408" s="38" t="s">
        <v>14398</v>
      </c>
      <c r="D10408" s="38" t="str">
        <f>IFERROR(__xludf.DUMMYFUNCTION("REGEXREPLACE(C10408,""-\d+(.*)|--\d+(.*)"","""")"),"ELVEN")</f>
        <v>ELVEN</v>
      </c>
      <c r="E10408" s="38" t="s">
        <v>173</v>
      </c>
      <c r="F10408" s="38" t="s">
        <v>90</v>
      </c>
      <c r="G10408" s="49" t="str">
        <f t="shared" si="1"/>
        <v>56250</v>
      </c>
      <c r="H10408" s="49">
        <f t="shared" si="2"/>
        <v>56053</v>
      </c>
    </row>
    <row r="10409">
      <c r="A10409" s="48" t="s">
        <v>4292</v>
      </c>
      <c r="B10409" s="38">
        <v>74257.0</v>
      </c>
      <c r="C10409" s="38" t="s">
        <v>14399</v>
      </c>
      <c r="D10409" s="38" t="str">
        <f>IFERROR(__xludf.DUMMYFUNCTION("REGEXREPLACE(C10409,""-\d+(.*)|--\d+(.*)"","""")"),"SALLENOVES")</f>
        <v>SALLENOVES</v>
      </c>
      <c r="E10409" s="38" t="s">
        <v>319</v>
      </c>
      <c r="F10409" s="38" t="s">
        <v>102</v>
      </c>
      <c r="G10409" s="49" t="str">
        <f t="shared" si="1"/>
        <v>74270</v>
      </c>
      <c r="H10409" s="49">
        <f t="shared" si="2"/>
        <v>74257</v>
      </c>
    </row>
    <row r="10410">
      <c r="A10410" s="48" t="s">
        <v>4002</v>
      </c>
      <c r="B10410" s="38">
        <v>51660.0</v>
      </c>
      <c r="C10410" s="38" t="s">
        <v>14400</v>
      </c>
      <c r="D10410" s="38" t="str">
        <f>IFERROR(__xludf.DUMMYFUNCTION("REGEXREPLACE(C10410,""-\d+(.*)|--\d+(.*)"","""")"),"WARMERIVILLE")</f>
        <v>WARMERIVILLE</v>
      </c>
      <c r="E10410" s="38" t="s">
        <v>129</v>
      </c>
      <c r="F10410" s="38" t="s">
        <v>130</v>
      </c>
      <c r="G10410" s="49" t="str">
        <f t="shared" si="1"/>
        <v>51110</v>
      </c>
      <c r="H10410" s="49">
        <f t="shared" si="2"/>
        <v>51660</v>
      </c>
    </row>
    <row r="10411">
      <c r="A10411" s="48" t="s">
        <v>11336</v>
      </c>
      <c r="B10411" s="38">
        <v>10158.0</v>
      </c>
      <c r="C10411" s="38" t="s">
        <v>11299</v>
      </c>
      <c r="D10411" s="38" t="str">
        <f>IFERROR(__xludf.DUMMYFUNCTION("REGEXREPLACE(C10411,""-\d+(.*)|--\d+(.*)"","""")"),"FOUCHERES")</f>
        <v>FOUCHERES</v>
      </c>
      <c r="E10411" s="38" t="s">
        <v>147</v>
      </c>
      <c r="F10411" s="38" t="s">
        <v>130</v>
      </c>
      <c r="G10411" s="49" t="str">
        <f t="shared" si="1"/>
        <v>10260</v>
      </c>
      <c r="H10411" s="49">
        <f t="shared" si="2"/>
        <v>10158</v>
      </c>
    </row>
    <row r="10412">
      <c r="A10412" s="48" t="s">
        <v>1274</v>
      </c>
      <c r="B10412" s="38">
        <v>33331.0</v>
      </c>
      <c r="C10412" s="38" t="s">
        <v>14401</v>
      </c>
      <c r="D10412" s="38" t="str">
        <f>IFERROR(__xludf.DUMMYFUNCTION("REGEXREPLACE(C10412,""-\d+(.*)|--\d+(.*)"","""")"),"PONDAURAT")</f>
        <v>PONDAURAT</v>
      </c>
      <c r="E10412" s="38" t="s">
        <v>462</v>
      </c>
      <c r="F10412" s="38" t="s">
        <v>252</v>
      </c>
      <c r="G10412" s="49" t="str">
        <f t="shared" si="1"/>
        <v>33190</v>
      </c>
      <c r="H10412" s="49">
        <f t="shared" si="2"/>
        <v>33331</v>
      </c>
    </row>
    <row r="10413">
      <c r="A10413" s="48" t="s">
        <v>6858</v>
      </c>
      <c r="B10413" s="38">
        <v>71180.0</v>
      </c>
      <c r="C10413" s="38" t="s">
        <v>14402</v>
      </c>
      <c r="D10413" s="38" t="str">
        <f>IFERROR(__xludf.DUMMYFUNCTION("REGEXREPLACE(C10413,""-\d+(.*)|--\d+(.*)"","""")"),"DONZY-LE-NATIONAL")</f>
        <v>DONZY-LE-NATIONAL</v>
      </c>
      <c r="E10413" s="38" t="s">
        <v>344</v>
      </c>
      <c r="F10413" s="38" t="s">
        <v>106</v>
      </c>
      <c r="G10413" s="49" t="str">
        <f t="shared" si="1"/>
        <v>71250</v>
      </c>
      <c r="H10413" s="49">
        <f t="shared" si="2"/>
        <v>71180</v>
      </c>
    </row>
    <row r="10414">
      <c r="A10414" s="48" t="s">
        <v>2659</v>
      </c>
      <c r="B10414" s="38">
        <v>80077.0</v>
      </c>
      <c r="C10414" s="38" t="s">
        <v>14403</v>
      </c>
      <c r="D10414" s="38" t="str">
        <f>IFERROR(__xludf.DUMMYFUNCTION("REGEXREPLACE(C10414,""-\d+(.*)|--\d+(.*)"","""")"),"BEHENCOURT")</f>
        <v>BEHENCOURT</v>
      </c>
      <c r="E10414" s="38" t="s">
        <v>224</v>
      </c>
      <c r="F10414" s="38" t="s">
        <v>113</v>
      </c>
      <c r="G10414" s="49" t="str">
        <f t="shared" si="1"/>
        <v>80260</v>
      </c>
      <c r="H10414" s="49">
        <f t="shared" si="2"/>
        <v>80077</v>
      </c>
    </row>
    <row r="10415">
      <c r="A10415" s="48" t="s">
        <v>7462</v>
      </c>
      <c r="B10415" s="38">
        <v>25347.0</v>
      </c>
      <c r="C10415" s="38" t="s">
        <v>14404</v>
      </c>
      <c r="D10415" s="38" t="str">
        <f>IFERROR(__xludf.DUMMYFUNCTION("REGEXREPLACE(C10415,""-\d+(.*)|--\d+(.*)"","""")"),"LA LONGEVILLE")</f>
        <v>LA LONGEVILLE</v>
      </c>
      <c r="E10415" s="38" t="s">
        <v>213</v>
      </c>
      <c r="F10415" s="38" t="s">
        <v>214</v>
      </c>
      <c r="G10415" s="49" t="str">
        <f t="shared" si="1"/>
        <v>25650</v>
      </c>
      <c r="H10415" s="49">
        <f t="shared" si="2"/>
        <v>25347</v>
      </c>
    </row>
    <row r="10416">
      <c r="A10416" s="48" t="s">
        <v>12232</v>
      </c>
      <c r="B10416" s="38">
        <v>11431.0</v>
      </c>
      <c r="C10416" s="38" t="s">
        <v>14405</v>
      </c>
      <c r="D10416" s="38" t="str">
        <f>IFERROR(__xludf.DUMMYFUNCTION("REGEXREPLACE(C10416,""-\d+(.*)|--\d+(.*)"","""")"),"VILLENEUVE-LES-CORBIERES")</f>
        <v>VILLENEUVE-LES-CORBIERES</v>
      </c>
      <c r="E10416" s="38" t="s">
        <v>278</v>
      </c>
      <c r="F10416" s="38" t="s">
        <v>119</v>
      </c>
      <c r="G10416" s="49" t="str">
        <f t="shared" si="1"/>
        <v>11360</v>
      </c>
      <c r="H10416" s="49">
        <f t="shared" si="2"/>
        <v>11431</v>
      </c>
    </row>
    <row r="10417">
      <c r="A10417" s="48" t="s">
        <v>9556</v>
      </c>
      <c r="B10417" s="38">
        <v>60633.0</v>
      </c>
      <c r="C10417" s="38" t="s">
        <v>14406</v>
      </c>
      <c r="D10417" s="38" t="str">
        <f>IFERROR(__xludf.DUMMYFUNCTION("REGEXREPLACE(C10417,""-\d+(.*)|--\d+(.*)"","""")"),"THIEULOY-SAINT-ANTOINE")</f>
        <v>THIEULOY-SAINT-ANTOINE</v>
      </c>
      <c r="E10417" s="38" t="s">
        <v>112</v>
      </c>
      <c r="F10417" s="38" t="s">
        <v>113</v>
      </c>
      <c r="G10417" s="49" t="str">
        <f t="shared" si="1"/>
        <v>60210</v>
      </c>
      <c r="H10417" s="49">
        <f t="shared" si="2"/>
        <v>60633</v>
      </c>
    </row>
    <row r="10418">
      <c r="A10418" s="48" t="s">
        <v>2605</v>
      </c>
      <c r="B10418" s="38">
        <v>39287.0</v>
      </c>
      <c r="C10418" s="38" t="s">
        <v>14407</v>
      </c>
      <c r="D10418" s="38" t="str">
        <f>IFERROR(__xludf.DUMMYFUNCTION("REGEXREPLACE(C10418,""-\d+(.*)|--\d+(.*)"","""")"),"LAVANS-SUR-VALOUSE")</f>
        <v>LAVANS-SUR-VALOUSE</v>
      </c>
      <c r="E10418" s="38" t="s">
        <v>400</v>
      </c>
      <c r="F10418" s="38" t="s">
        <v>214</v>
      </c>
      <c r="G10418" s="49" t="str">
        <f t="shared" si="1"/>
        <v>39240</v>
      </c>
      <c r="H10418" s="49">
        <f t="shared" si="2"/>
        <v>39287</v>
      </c>
    </row>
    <row r="10419">
      <c r="A10419" s="48" t="s">
        <v>775</v>
      </c>
      <c r="B10419" s="38">
        <v>14672.0</v>
      </c>
      <c r="C10419" s="38" t="s">
        <v>14408</v>
      </c>
      <c r="D10419" s="38" t="str">
        <f>IFERROR(__xludf.DUMMYFUNCTION("REGEXREPLACE(C10419,""-\d+(.*)|--\d+(.*)"","""")"),"SEPT-VENTS")</f>
        <v>SEPT-VENTS</v>
      </c>
      <c r="E10419" s="38" t="s">
        <v>137</v>
      </c>
      <c r="F10419" s="38" t="s">
        <v>138</v>
      </c>
      <c r="G10419" s="49" t="str">
        <f t="shared" si="1"/>
        <v>14240</v>
      </c>
      <c r="H10419" s="49">
        <f t="shared" si="2"/>
        <v>14672</v>
      </c>
    </row>
    <row r="10420">
      <c r="A10420" s="48" t="s">
        <v>12015</v>
      </c>
      <c r="B10420" s="38">
        <v>25429.0</v>
      </c>
      <c r="C10420" s="38" t="s">
        <v>14409</v>
      </c>
      <c r="D10420" s="38" t="str">
        <f>IFERROR(__xludf.DUMMYFUNCTION("REGEXREPLACE(C10420,""-\d+(.*)|--\d+(.*)"","""")"),"NOVILLARS")</f>
        <v>NOVILLARS</v>
      </c>
      <c r="E10420" s="38" t="s">
        <v>213</v>
      </c>
      <c r="F10420" s="38" t="s">
        <v>214</v>
      </c>
      <c r="G10420" s="49" t="str">
        <f t="shared" si="1"/>
        <v>25220</v>
      </c>
      <c r="H10420" s="49">
        <f t="shared" si="2"/>
        <v>25429</v>
      </c>
    </row>
    <row r="10421">
      <c r="A10421" s="48" t="s">
        <v>2817</v>
      </c>
      <c r="B10421" s="38">
        <v>64148.0</v>
      </c>
      <c r="C10421" s="38" t="s">
        <v>14410</v>
      </c>
      <c r="D10421" s="38" t="str">
        <f>IFERROR(__xludf.DUMMYFUNCTION("REGEXREPLACE(C10421,""-\d+(.*)|--\d+(.*)"","""")"),"BRUGES-CAPBIS-MIFAGET")</f>
        <v>BRUGES-CAPBIS-MIFAGET</v>
      </c>
      <c r="E10421" s="38" t="s">
        <v>268</v>
      </c>
      <c r="F10421" s="38" t="s">
        <v>252</v>
      </c>
      <c r="G10421" s="49" t="str">
        <f t="shared" si="1"/>
        <v>64800</v>
      </c>
      <c r="H10421" s="49">
        <f t="shared" si="2"/>
        <v>64148</v>
      </c>
    </row>
    <row r="10422">
      <c r="A10422" s="48" t="s">
        <v>803</v>
      </c>
      <c r="B10422" s="38">
        <v>1019.0</v>
      </c>
      <c r="C10422" s="38" t="s">
        <v>14411</v>
      </c>
      <c r="D10422" s="38" t="str">
        <f>IFERROR(__xludf.DUMMYFUNCTION("REGEXREPLACE(C10422,""-\d+(.*)|--\d+(.*)"","""")"),"ARMIX")</f>
        <v>ARMIX</v>
      </c>
      <c r="E10422" s="38" t="s">
        <v>255</v>
      </c>
      <c r="F10422" s="38" t="s">
        <v>102</v>
      </c>
      <c r="G10422" s="49" t="str">
        <f t="shared" si="1"/>
        <v>01510</v>
      </c>
      <c r="H10422" s="49" t="str">
        <f t="shared" si="2"/>
        <v>01019</v>
      </c>
    </row>
    <row r="10423">
      <c r="A10423" s="48" t="s">
        <v>6890</v>
      </c>
      <c r="B10423" s="38">
        <v>51203.0</v>
      </c>
      <c r="C10423" s="38" t="s">
        <v>14412</v>
      </c>
      <c r="D10423" s="38" t="str">
        <f>IFERROR(__xludf.DUMMYFUNCTION("REGEXREPLACE(C10423,""-\d+(.*)|--\d+(.*)"","""")"),"CUPERLY")</f>
        <v>CUPERLY</v>
      </c>
      <c r="E10423" s="38" t="s">
        <v>129</v>
      </c>
      <c r="F10423" s="38" t="s">
        <v>130</v>
      </c>
      <c r="G10423" s="49" t="str">
        <f t="shared" si="1"/>
        <v>51400</v>
      </c>
      <c r="H10423" s="49">
        <f t="shared" si="2"/>
        <v>51203</v>
      </c>
    </row>
    <row r="10424">
      <c r="A10424" s="48" t="s">
        <v>14413</v>
      </c>
      <c r="B10424" s="38">
        <v>62439.0</v>
      </c>
      <c r="C10424" s="38" t="s">
        <v>14414</v>
      </c>
      <c r="D10424" s="38" t="str">
        <f>IFERROR(__xludf.DUMMYFUNCTION("REGEXREPLACE(C10424,""-\d+(.*)|--\d+(.*)"","""")"),"HERMELINGHEN")</f>
        <v>HERMELINGHEN</v>
      </c>
      <c r="E10424" s="38" t="s">
        <v>109</v>
      </c>
      <c r="F10424" s="38" t="s">
        <v>86</v>
      </c>
      <c r="G10424" s="49" t="str">
        <f t="shared" si="1"/>
        <v>62132</v>
      </c>
      <c r="H10424" s="49">
        <f t="shared" si="2"/>
        <v>62439</v>
      </c>
    </row>
    <row r="10425">
      <c r="A10425" s="48" t="s">
        <v>7416</v>
      </c>
      <c r="B10425" s="38">
        <v>49157.0</v>
      </c>
      <c r="C10425" s="38" t="s">
        <v>14415</v>
      </c>
      <c r="D10425" s="38" t="str">
        <f>IFERROR(__xludf.DUMMYFUNCTION("REGEXREPLACE(C10425,""-\d+(.*)|--\d+(.*)"","""")"),"LE GUEDENIAU")</f>
        <v>LE GUEDENIAU</v>
      </c>
      <c r="E10425" s="38" t="s">
        <v>653</v>
      </c>
      <c r="F10425" s="38" t="s">
        <v>180</v>
      </c>
      <c r="G10425" s="49" t="str">
        <f t="shared" si="1"/>
        <v>49150</v>
      </c>
      <c r="H10425" s="49">
        <f t="shared" si="2"/>
        <v>49157</v>
      </c>
    </row>
    <row r="10426">
      <c r="A10426" s="48" t="s">
        <v>5750</v>
      </c>
      <c r="B10426" s="38">
        <v>26208.0</v>
      </c>
      <c r="C10426" s="38" t="s">
        <v>14416</v>
      </c>
      <c r="D10426" s="38" t="str">
        <f>IFERROR(__xludf.DUMMYFUNCTION("REGEXREPLACE(C10426,""-\d+(.*)|--\d+(.*)"","""")"),"MONTOISON")</f>
        <v>MONTOISON</v>
      </c>
      <c r="E10426" s="38" t="s">
        <v>126</v>
      </c>
      <c r="F10426" s="38" t="s">
        <v>102</v>
      </c>
      <c r="G10426" s="49" t="str">
        <f t="shared" si="1"/>
        <v>26800</v>
      </c>
      <c r="H10426" s="49">
        <f t="shared" si="2"/>
        <v>26208</v>
      </c>
    </row>
    <row r="10427">
      <c r="A10427" s="48" t="s">
        <v>14417</v>
      </c>
      <c r="B10427" s="38">
        <v>59238.0</v>
      </c>
      <c r="C10427" s="38" t="s">
        <v>14418</v>
      </c>
      <c r="D10427" s="38" t="str">
        <f>IFERROR(__xludf.DUMMYFUNCTION("REGEXREPLACE(C10427,""-\d+(.*)|--\d+(.*)"","""")"),"FLINES-LES-MORTAGNE")</f>
        <v>FLINES-LES-MORTAGNE</v>
      </c>
      <c r="E10427" s="38" t="s">
        <v>85</v>
      </c>
      <c r="F10427" s="38" t="s">
        <v>86</v>
      </c>
      <c r="G10427" s="49" t="str">
        <f t="shared" si="1"/>
        <v>59158</v>
      </c>
      <c r="H10427" s="49">
        <f t="shared" si="2"/>
        <v>59238</v>
      </c>
    </row>
    <row r="10428">
      <c r="A10428" s="48" t="s">
        <v>8603</v>
      </c>
      <c r="B10428" s="38">
        <v>68228.0</v>
      </c>
      <c r="C10428" s="38" t="s">
        <v>14419</v>
      </c>
      <c r="D10428" s="38" t="str">
        <f>IFERROR(__xludf.DUMMYFUNCTION("REGEXREPLACE(C10428,""-\d+(.*)|--\d+(.*)"","""")"),"MUNWILLER")</f>
        <v>MUNWILLER</v>
      </c>
      <c r="E10428" s="38" t="s">
        <v>150</v>
      </c>
      <c r="F10428" s="38" t="s">
        <v>151</v>
      </c>
      <c r="G10428" s="49" t="str">
        <f t="shared" si="1"/>
        <v>68250</v>
      </c>
      <c r="H10428" s="49">
        <f t="shared" si="2"/>
        <v>68228</v>
      </c>
    </row>
    <row r="10429">
      <c r="A10429" s="48" t="s">
        <v>398</v>
      </c>
      <c r="B10429" s="38">
        <v>39331.0</v>
      </c>
      <c r="C10429" s="38" t="s">
        <v>14420</v>
      </c>
      <c r="D10429" s="38" t="str">
        <f>IFERROR(__xludf.DUMMYFUNCTION("REGEXREPLACE(C10429,""-\d+(.*)|--\d+(.*)"","""")"),"MIGNOVILLARD")</f>
        <v>MIGNOVILLARD</v>
      </c>
      <c r="E10429" s="38" t="s">
        <v>400</v>
      </c>
      <c r="F10429" s="38" t="s">
        <v>214</v>
      </c>
      <c r="G10429" s="49" t="str">
        <f t="shared" si="1"/>
        <v>39250</v>
      </c>
      <c r="H10429" s="49">
        <f t="shared" si="2"/>
        <v>39331</v>
      </c>
    </row>
    <row r="10430">
      <c r="A10430" s="48" t="s">
        <v>14148</v>
      </c>
      <c r="B10430" s="38">
        <v>31027.0</v>
      </c>
      <c r="C10430" s="38" t="s">
        <v>14421</v>
      </c>
      <c r="D10430" s="38" t="str">
        <f>IFERROR(__xludf.DUMMYFUNCTION("REGEXREPLACE(C10430,""-\d+(.*)|--\d+(.*)"","""")"),"AURIBAIL")</f>
        <v>AURIBAIL</v>
      </c>
      <c r="E10430" s="38" t="s">
        <v>93</v>
      </c>
      <c r="F10430" s="38" t="s">
        <v>94</v>
      </c>
      <c r="G10430" s="49" t="str">
        <f t="shared" si="1"/>
        <v>31190</v>
      </c>
      <c r="H10430" s="49">
        <f t="shared" si="2"/>
        <v>31027</v>
      </c>
    </row>
    <row r="10431">
      <c r="A10431" s="48" t="s">
        <v>4131</v>
      </c>
      <c r="B10431" s="38">
        <v>27113.0</v>
      </c>
      <c r="C10431" s="38" t="s">
        <v>14422</v>
      </c>
      <c r="D10431" s="38" t="str">
        <f>IFERROR(__xludf.DUMMYFUNCTION("REGEXREPLACE(C10431,""-\d+(.*)|--\d+(.*)"","""")"),"BRETIGNY")</f>
        <v>BRETIGNY</v>
      </c>
      <c r="E10431" s="38" t="s">
        <v>241</v>
      </c>
      <c r="F10431" s="38" t="s">
        <v>134</v>
      </c>
      <c r="G10431" s="49" t="str">
        <f t="shared" si="1"/>
        <v>27800</v>
      </c>
      <c r="H10431" s="49">
        <f t="shared" si="2"/>
        <v>27113</v>
      </c>
    </row>
    <row r="10432">
      <c r="A10432" s="48" t="s">
        <v>5558</v>
      </c>
      <c r="B10432" s="38">
        <v>14224.0</v>
      </c>
      <c r="C10432" s="38" t="s">
        <v>14423</v>
      </c>
      <c r="D10432" s="38" t="str">
        <f>IFERROR(__xludf.DUMMYFUNCTION("REGEXREPLACE(C10432,""-\d+(.*)|--\d+(.*)"","""")"),"DEUX-JUMEAUX")</f>
        <v>DEUX-JUMEAUX</v>
      </c>
      <c r="E10432" s="38" t="s">
        <v>137</v>
      </c>
      <c r="F10432" s="38" t="s">
        <v>138</v>
      </c>
      <c r="G10432" s="49" t="str">
        <f t="shared" si="1"/>
        <v>14230</v>
      </c>
      <c r="H10432" s="49">
        <f t="shared" si="2"/>
        <v>14224</v>
      </c>
    </row>
    <row r="10433">
      <c r="A10433" s="48" t="s">
        <v>8684</v>
      </c>
      <c r="B10433" s="38">
        <v>37084.0</v>
      </c>
      <c r="C10433" s="38" t="s">
        <v>14424</v>
      </c>
      <c r="D10433" s="38" t="str">
        <f>IFERROR(__xludf.DUMMYFUNCTION("REGEXREPLACE(C10433,""-\d+(.*)|--\d+(.*)"","""")"),"COUESMES")</f>
        <v>COUESMES</v>
      </c>
      <c r="E10433" s="38" t="s">
        <v>205</v>
      </c>
      <c r="F10433" s="38" t="s">
        <v>123</v>
      </c>
      <c r="G10433" s="49" t="str">
        <f t="shared" si="1"/>
        <v>37330</v>
      </c>
      <c r="H10433" s="49">
        <f t="shared" si="2"/>
        <v>37084</v>
      </c>
    </row>
    <row r="10434">
      <c r="A10434" s="48" t="s">
        <v>2300</v>
      </c>
      <c r="B10434" s="38">
        <v>28249.0</v>
      </c>
      <c r="C10434" s="38" t="s">
        <v>14425</v>
      </c>
      <c r="D10434" s="38" t="str">
        <f>IFERROR(__xludf.DUMMYFUNCTION("REGEXREPLACE(C10434,""-\d+(.*)|--\d+(.*)"","""")"),"MEVOISINS")</f>
        <v>MEVOISINS</v>
      </c>
      <c r="E10434" s="38" t="s">
        <v>300</v>
      </c>
      <c r="F10434" s="38" t="s">
        <v>123</v>
      </c>
      <c r="G10434" s="49" t="str">
        <f t="shared" si="1"/>
        <v>28130</v>
      </c>
      <c r="H10434" s="49">
        <f t="shared" si="2"/>
        <v>28249</v>
      </c>
    </row>
    <row r="10435">
      <c r="A10435" s="48" t="s">
        <v>1874</v>
      </c>
      <c r="B10435" s="38">
        <v>73171.0</v>
      </c>
      <c r="C10435" s="38" t="s">
        <v>14426</v>
      </c>
      <c r="D10435" s="38" t="str">
        <f>IFERROR(__xludf.DUMMYFUNCTION("REGEXREPLACE(C10435,""-\d+(.*)|--\d+(.*)"","""")"),"MONTMELIAN")</f>
        <v>MONTMELIAN</v>
      </c>
      <c r="E10435" s="38" t="s">
        <v>306</v>
      </c>
      <c r="F10435" s="38" t="s">
        <v>102</v>
      </c>
      <c r="G10435" s="49" t="str">
        <f t="shared" si="1"/>
        <v>73800</v>
      </c>
      <c r="H10435" s="49">
        <f t="shared" si="2"/>
        <v>73171</v>
      </c>
    </row>
    <row r="10436">
      <c r="A10436" s="48" t="s">
        <v>789</v>
      </c>
      <c r="B10436" s="38">
        <v>10278.0</v>
      </c>
      <c r="C10436" s="38" t="s">
        <v>14427</v>
      </c>
      <c r="D10436" s="38" t="str">
        <f>IFERROR(__xludf.DUMMYFUNCTION("REGEXREPLACE(C10436,""-\d+(.*)|--\d+(.*)"","""")"),"PARGUES")</f>
        <v>PARGUES</v>
      </c>
      <c r="E10436" s="38" t="s">
        <v>147</v>
      </c>
      <c r="F10436" s="38" t="s">
        <v>130</v>
      </c>
      <c r="G10436" s="49" t="str">
        <f t="shared" si="1"/>
        <v>10210</v>
      </c>
      <c r="H10436" s="49">
        <f t="shared" si="2"/>
        <v>10278</v>
      </c>
    </row>
    <row r="10437">
      <c r="A10437" s="48" t="s">
        <v>14428</v>
      </c>
      <c r="B10437" s="38">
        <v>21540.0</v>
      </c>
      <c r="C10437" s="38" t="s">
        <v>14429</v>
      </c>
      <c r="D10437" s="38" t="str">
        <f>IFERROR(__xludf.DUMMYFUNCTION("REGEXREPLACE(C10437,""-\d+(.*)|--\d+(.*)"","""")"),"SAINT-APOLLINAIRE")</f>
        <v>SAINT-APOLLINAIRE</v>
      </c>
      <c r="E10437" s="38" t="s">
        <v>105</v>
      </c>
      <c r="F10437" s="38" t="s">
        <v>106</v>
      </c>
      <c r="G10437" s="49" t="str">
        <f t="shared" si="1"/>
        <v>21850</v>
      </c>
      <c r="H10437" s="49">
        <f t="shared" si="2"/>
        <v>21540</v>
      </c>
    </row>
    <row r="10438">
      <c r="A10438" s="48" t="s">
        <v>14430</v>
      </c>
      <c r="B10438" s="38">
        <v>78384.0</v>
      </c>
      <c r="C10438" s="38" t="s">
        <v>14431</v>
      </c>
      <c r="D10438" s="38" t="str">
        <f>IFERROR(__xludf.DUMMYFUNCTION("REGEXREPLACE(C10438,""-\d+(.*)|--\d+(.*)"","""")"),"MEDAN")</f>
        <v>MEDAN</v>
      </c>
      <c r="E10438" s="38" t="s">
        <v>362</v>
      </c>
      <c r="F10438" s="38" t="s">
        <v>245</v>
      </c>
      <c r="G10438" s="49" t="str">
        <f t="shared" si="1"/>
        <v>78670</v>
      </c>
      <c r="H10438" s="49">
        <f t="shared" si="2"/>
        <v>78384</v>
      </c>
    </row>
    <row r="10439">
      <c r="A10439" s="48" t="s">
        <v>2318</v>
      </c>
      <c r="B10439" s="38">
        <v>43117.0</v>
      </c>
      <c r="C10439" s="38" t="s">
        <v>14432</v>
      </c>
      <c r="D10439" s="38" t="str">
        <f>IFERROR(__xludf.DUMMYFUNCTION("REGEXREPLACE(C10439,""-\d+(.*)|--\d+(.*)"","""")"),"LAVAUDIEU")</f>
        <v>LAVAUDIEU</v>
      </c>
      <c r="E10439" s="38" t="s">
        <v>332</v>
      </c>
      <c r="F10439" s="38" t="s">
        <v>161</v>
      </c>
      <c r="G10439" s="49" t="str">
        <f t="shared" si="1"/>
        <v>43100</v>
      </c>
      <c r="H10439" s="49">
        <f t="shared" si="2"/>
        <v>43117</v>
      </c>
    </row>
    <row r="10440">
      <c r="A10440" s="48" t="s">
        <v>5065</v>
      </c>
      <c r="B10440" s="38">
        <v>50280.0</v>
      </c>
      <c r="C10440" s="38" t="s">
        <v>14433</v>
      </c>
      <c r="D10440" s="38" t="str">
        <f>IFERROR(__xludf.DUMMYFUNCTION("REGEXREPLACE(C10440,""-\d+(.*)|--\d+(.*)"","""")"),"LOZON")</f>
        <v>LOZON</v>
      </c>
      <c r="E10440" s="38" t="s">
        <v>157</v>
      </c>
      <c r="F10440" s="38" t="s">
        <v>138</v>
      </c>
      <c r="G10440" s="49" t="str">
        <f t="shared" si="1"/>
        <v>50570</v>
      </c>
      <c r="H10440" s="49">
        <f t="shared" si="2"/>
        <v>50280</v>
      </c>
    </row>
    <row r="10441">
      <c r="A10441" s="48" t="s">
        <v>1783</v>
      </c>
      <c r="B10441" s="38">
        <v>60240.0</v>
      </c>
      <c r="C10441" s="38" t="s">
        <v>14434</v>
      </c>
      <c r="D10441" s="38" t="str">
        <f>IFERROR(__xludf.DUMMYFUNCTION("REGEXREPLACE(C10441,""-\d+(.*)|--\d+(.*)"","""")"),"FONTAINE-BONNELEAU")</f>
        <v>FONTAINE-BONNELEAU</v>
      </c>
      <c r="E10441" s="38" t="s">
        <v>112</v>
      </c>
      <c r="F10441" s="38" t="s">
        <v>113</v>
      </c>
      <c r="G10441" s="49" t="str">
        <f t="shared" si="1"/>
        <v>60360</v>
      </c>
      <c r="H10441" s="49">
        <f t="shared" si="2"/>
        <v>60240</v>
      </c>
    </row>
    <row r="10442">
      <c r="A10442" s="48" t="s">
        <v>14435</v>
      </c>
      <c r="B10442" s="38">
        <v>73296.0</v>
      </c>
      <c r="C10442" s="38" t="s">
        <v>14436</v>
      </c>
      <c r="D10442" s="38" t="str">
        <f>IFERROR(__xludf.DUMMYFUNCTION("REGEXREPLACE(C10442,""-\d+(.*)|--\d+(.*)"","""")"),"TIGNES")</f>
        <v>TIGNES</v>
      </c>
      <c r="E10442" s="38" t="s">
        <v>306</v>
      </c>
      <c r="F10442" s="38" t="s">
        <v>102</v>
      </c>
      <c r="G10442" s="49" t="str">
        <f t="shared" si="1"/>
        <v>73320</v>
      </c>
      <c r="H10442" s="49">
        <f t="shared" si="2"/>
        <v>73296</v>
      </c>
    </row>
    <row r="10443">
      <c r="A10443" s="48" t="s">
        <v>6535</v>
      </c>
      <c r="B10443" s="38">
        <v>58138.0</v>
      </c>
      <c r="C10443" s="38" t="s">
        <v>14437</v>
      </c>
      <c r="D10443" s="38" t="str">
        <f>IFERROR(__xludf.DUMMYFUNCTION("REGEXREPLACE(C10443,""-\d+(.*)|--\d+(.*)"","""")"),"LANGERON")</f>
        <v>LANGERON</v>
      </c>
      <c r="E10443" s="38" t="s">
        <v>219</v>
      </c>
      <c r="F10443" s="38" t="s">
        <v>106</v>
      </c>
      <c r="G10443" s="49" t="str">
        <f t="shared" si="1"/>
        <v>58240</v>
      </c>
      <c r="H10443" s="49">
        <f t="shared" si="2"/>
        <v>58138</v>
      </c>
    </row>
    <row r="10444">
      <c r="A10444" s="48" t="s">
        <v>1568</v>
      </c>
      <c r="B10444" s="38">
        <v>36191.0</v>
      </c>
      <c r="C10444" s="38" t="s">
        <v>14438</v>
      </c>
      <c r="D10444" s="38" t="str">
        <f>IFERROR(__xludf.DUMMYFUNCTION("REGEXREPLACE(C10444,""-\d+(.*)|--\d+(.*)"","""")"),"SAINT-FLORENTIN")</f>
        <v>SAINT-FLORENTIN</v>
      </c>
      <c r="E10444" s="38" t="s">
        <v>258</v>
      </c>
      <c r="F10444" s="38" t="s">
        <v>123</v>
      </c>
      <c r="G10444" s="49" t="str">
        <f t="shared" si="1"/>
        <v>36150</v>
      </c>
      <c r="H10444" s="49">
        <f t="shared" si="2"/>
        <v>36191</v>
      </c>
    </row>
    <row r="10445">
      <c r="A10445" s="48" t="s">
        <v>1334</v>
      </c>
      <c r="B10445" s="38">
        <v>7270.0</v>
      </c>
      <c r="C10445" s="38" t="s">
        <v>14439</v>
      </c>
      <c r="D10445" s="38" t="str">
        <f>IFERROR(__xludf.DUMMYFUNCTION("REGEXREPLACE(C10445,""-\d+(.*)|--\d+(.*)"","""")"),"SAINT-MARTIN-SUR-LAVEZON")</f>
        <v>SAINT-MARTIN-SUR-LAVEZON</v>
      </c>
      <c r="E10445" s="38" t="s">
        <v>144</v>
      </c>
      <c r="F10445" s="38" t="s">
        <v>102</v>
      </c>
      <c r="G10445" s="49" t="str">
        <f t="shared" si="1"/>
        <v>07400</v>
      </c>
      <c r="H10445" s="49" t="str">
        <f t="shared" si="2"/>
        <v>07270</v>
      </c>
    </row>
    <row r="10446">
      <c r="A10446" s="48" t="s">
        <v>5101</v>
      </c>
      <c r="B10446" s="38">
        <v>54325.0</v>
      </c>
      <c r="C10446" s="38" t="s">
        <v>14440</v>
      </c>
      <c r="D10446" s="38" t="str">
        <f>IFERROR(__xludf.DUMMYFUNCTION("REGEXREPLACE(C10446,""-\d+(.*)|--\d+(.*)"","""")"),"LOROMONTZEY")</f>
        <v>LOROMONTZEY</v>
      </c>
      <c r="E10446" s="38" t="s">
        <v>548</v>
      </c>
      <c r="F10446" s="38" t="s">
        <v>195</v>
      </c>
      <c r="G10446" s="49" t="str">
        <f t="shared" si="1"/>
        <v>54290</v>
      </c>
      <c r="H10446" s="49">
        <f t="shared" si="2"/>
        <v>54325</v>
      </c>
    </row>
    <row r="10447">
      <c r="A10447" s="48" t="s">
        <v>497</v>
      </c>
      <c r="B10447" s="38">
        <v>62492.0</v>
      </c>
      <c r="C10447" s="38" t="s">
        <v>14441</v>
      </c>
      <c r="D10447" s="38" t="str">
        <f>IFERROR(__xludf.DUMMYFUNCTION("REGEXREPLACE(C10447,""-\d+(.*)|--\d+(.*)"","""")"),"LEBIEZ")</f>
        <v>LEBIEZ</v>
      </c>
      <c r="E10447" s="38" t="s">
        <v>109</v>
      </c>
      <c r="F10447" s="38" t="s">
        <v>86</v>
      </c>
      <c r="G10447" s="49" t="str">
        <f t="shared" si="1"/>
        <v>62990</v>
      </c>
      <c r="H10447" s="49">
        <f t="shared" si="2"/>
        <v>62492</v>
      </c>
    </row>
    <row r="10448">
      <c r="A10448" s="48" t="s">
        <v>2650</v>
      </c>
      <c r="B10448" s="38">
        <v>65404.0</v>
      </c>
      <c r="C10448" s="38" t="s">
        <v>14442</v>
      </c>
      <c r="D10448" s="38" t="str">
        <f>IFERROR(__xludf.DUMMYFUNCTION("REGEXREPLACE(C10448,""-\d+(.*)|--\d+(.*)"","""")"),"SARIAC-MAGNOAC")</f>
        <v>SARIAC-MAGNOAC</v>
      </c>
      <c r="E10448" s="38" t="s">
        <v>200</v>
      </c>
      <c r="F10448" s="38" t="s">
        <v>94</v>
      </c>
      <c r="G10448" s="49" t="str">
        <f t="shared" si="1"/>
        <v>65230</v>
      </c>
      <c r="H10448" s="49">
        <f t="shared" si="2"/>
        <v>65404</v>
      </c>
    </row>
    <row r="10449">
      <c r="A10449" s="48" t="s">
        <v>2186</v>
      </c>
      <c r="B10449" s="38">
        <v>26084.0</v>
      </c>
      <c r="C10449" s="38" t="s">
        <v>14443</v>
      </c>
      <c r="D10449" s="38" t="str">
        <f>IFERROR(__xludf.DUMMYFUNCTION("REGEXREPLACE(C10449,""-\d+(.*)|--\d+(.*)"","""")"),"CHATEAUNEUF-SUR-ISERE")</f>
        <v>CHATEAUNEUF-SUR-ISERE</v>
      </c>
      <c r="E10449" s="38" t="s">
        <v>126</v>
      </c>
      <c r="F10449" s="38" t="s">
        <v>102</v>
      </c>
      <c r="G10449" s="49" t="str">
        <f t="shared" si="1"/>
        <v>26300</v>
      </c>
      <c r="H10449" s="49">
        <f t="shared" si="2"/>
        <v>26084</v>
      </c>
    </row>
    <row r="10450">
      <c r="A10450" s="48" t="s">
        <v>2225</v>
      </c>
      <c r="B10450" s="38">
        <v>22259.0</v>
      </c>
      <c r="C10450" s="38" t="s">
        <v>14444</v>
      </c>
      <c r="D10450" s="38" t="str">
        <f>IFERROR(__xludf.DUMMYFUNCTION("REGEXREPLACE(C10450,""-\d+(.*)|--\d+(.*)"","""")"),"QUEVERT")</f>
        <v>QUEVERT</v>
      </c>
      <c r="E10450" s="38" t="s">
        <v>89</v>
      </c>
      <c r="F10450" s="38" t="s">
        <v>90</v>
      </c>
      <c r="G10450" s="49" t="str">
        <f t="shared" si="1"/>
        <v>22100</v>
      </c>
      <c r="H10450" s="49">
        <f t="shared" si="2"/>
        <v>22259</v>
      </c>
    </row>
    <row r="10451">
      <c r="A10451" s="48" t="s">
        <v>14445</v>
      </c>
      <c r="B10451" s="38" t="s">
        <v>14446</v>
      </c>
      <c r="C10451" s="38" t="s">
        <v>14447</v>
      </c>
      <c r="D10451" s="38" t="str">
        <f>IFERROR(__xludf.DUMMYFUNCTION("REGEXREPLACE(C10451,""-\d+(.*)|--\d+(.*)"","""")"),"BIGUGLIA")</f>
        <v>BIGUGLIA</v>
      </c>
      <c r="E10451" s="38" t="s">
        <v>743</v>
      </c>
      <c r="F10451" s="38" t="s">
        <v>607</v>
      </c>
      <c r="G10451" s="49" t="str">
        <f t="shared" si="1"/>
        <v>20620</v>
      </c>
      <c r="H10451" s="49" t="str">
        <f t="shared" si="2"/>
        <v>2B037</v>
      </c>
    </row>
    <row r="10452">
      <c r="A10452" s="48" t="s">
        <v>5840</v>
      </c>
      <c r="B10452" s="38">
        <v>71480.0</v>
      </c>
      <c r="C10452" s="38" t="s">
        <v>14448</v>
      </c>
      <c r="D10452" s="38" t="str">
        <f>IFERROR(__xludf.DUMMYFUNCTION("REGEXREPLACE(C10452,""-\d+(.*)|--\d+(.*)"","""")"),"SAINT-SERNIN-DU-PLAIN")</f>
        <v>SAINT-SERNIN-DU-PLAIN</v>
      </c>
      <c r="E10452" s="38" t="s">
        <v>344</v>
      </c>
      <c r="F10452" s="38" t="s">
        <v>106</v>
      </c>
      <c r="G10452" s="49" t="str">
        <f t="shared" si="1"/>
        <v>71510</v>
      </c>
      <c r="H10452" s="49">
        <f t="shared" si="2"/>
        <v>71480</v>
      </c>
    </row>
    <row r="10453">
      <c r="A10453" s="48" t="s">
        <v>11131</v>
      </c>
      <c r="B10453" s="38">
        <v>53080.0</v>
      </c>
      <c r="C10453" s="38" t="s">
        <v>14449</v>
      </c>
      <c r="D10453" s="38" t="str">
        <f>IFERROR(__xludf.DUMMYFUNCTION("REGEXREPLACE(C10453,""-\d+(.*)|--\d+(.*)"","""")"),"COUPTRAIN")</f>
        <v>COUPTRAIN</v>
      </c>
      <c r="E10453" s="38" t="s">
        <v>518</v>
      </c>
      <c r="F10453" s="38" t="s">
        <v>180</v>
      </c>
      <c r="G10453" s="49" t="str">
        <f t="shared" si="1"/>
        <v>53250</v>
      </c>
      <c r="H10453" s="49">
        <f t="shared" si="2"/>
        <v>53080</v>
      </c>
    </row>
    <row r="10454">
      <c r="A10454" s="48" t="s">
        <v>8302</v>
      </c>
      <c r="B10454" s="38">
        <v>66097.0</v>
      </c>
      <c r="C10454" s="38" t="s">
        <v>14450</v>
      </c>
      <c r="D10454" s="38" t="str">
        <f>IFERROR(__xludf.DUMMYFUNCTION("REGEXREPLACE(C10454,""-\d+(.*)|--\d+(.*)"","""")"),"LESQUERDE")</f>
        <v>LESQUERDE</v>
      </c>
      <c r="E10454" s="38" t="s">
        <v>248</v>
      </c>
      <c r="F10454" s="38" t="s">
        <v>119</v>
      </c>
      <c r="G10454" s="49" t="str">
        <f t="shared" si="1"/>
        <v>66220</v>
      </c>
      <c r="H10454" s="49">
        <f t="shared" si="2"/>
        <v>66097</v>
      </c>
    </row>
    <row r="10455">
      <c r="A10455" s="48" t="s">
        <v>754</v>
      </c>
      <c r="B10455" s="38">
        <v>91175.0</v>
      </c>
      <c r="C10455" s="38" t="s">
        <v>14451</v>
      </c>
      <c r="D10455" s="38" t="str">
        <f>IFERROR(__xludf.DUMMYFUNCTION("REGEXREPLACE(C10455,""-\d+(.*)|--\d+(.*)"","""")"),"CORBREUSE")</f>
        <v>CORBREUSE</v>
      </c>
      <c r="E10455" s="38" t="s">
        <v>756</v>
      </c>
      <c r="F10455" s="38" t="s">
        <v>245</v>
      </c>
      <c r="G10455" s="49" t="str">
        <f t="shared" si="1"/>
        <v>91410</v>
      </c>
      <c r="H10455" s="49">
        <f t="shared" si="2"/>
        <v>91175</v>
      </c>
    </row>
    <row r="10456">
      <c r="A10456" s="48" t="s">
        <v>5965</v>
      </c>
      <c r="B10456" s="38">
        <v>62471.0</v>
      </c>
      <c r="C10456" s="38" t="s">
        <v>14452</v>
      </c>
      <c r="D10456" s="38" t="str">
        <f>IFERROR(__xludf.DUMMYFUNCTION("REGEXREPLACE(C10456,""-\d+(.*)|--\d+(.*)"","""")"),"INGHEM")</f>
        <v>INGHEM</v>
      </c>
      <c r="E10456" s="38" t="s">
        <v>109</v>
      </c>
      <c r="F10456" s="38" t="s">
        <v>86</v>
      </c>
      <c r="G10456" s="49" t="str">
        <f t="shared" si="1"/>
        <v>62129</v>
      </c>
      <c r="H10456" s="49">
        <f t="shared" si="2"/>
        <v>62471</v>
      </c>
    </row>
    <row r="10457">
      <c r="A10457" s="48" t="s">
        <v>8398</v>
      </c>
      <c r="B10457" s="38">
        <v>21667.0</v>
      </c>
      <c r="C10457" s="38" t="s">
        <v>14453</v>
      </c>
      <c r="D10457" s="38" t="str">
        <f>IFERROR(__xludf.DUMMYFUNCTION("REGEXREPLACE(C10457,""-\d+(.*)|--\d+(.*)"","""")"),"VERONNES")</f>
        <v>VERONNES</v>
      </c>
      <c r="E10457" s="38" t="s">
        <v>105</v>
      </c>
      <c r="F10457" s="38" t="s">
        <v>106</v>
      </c>
      <c r="G10457" s="49" t="str">
        <f t="shared" si="1"/>
        <v>21260</v>
      </c>
      <c r="H10457" s="49">
        <f t="shared" si="2"/>
        <v>21667</v>
      </c>
    </row>
    <row r="10458">
      <c r="A10458" s="48" t="s">
        <v>14454</v>
      </c>
      <c r="B10458" s="38">
        <v>14637.0</v>
      </c>
      <c r="C10458" s="38" t="s">
        <v>14455</v>
      </c>
      <c r="D10458" s="38" t="str">
        <f>IFERROR(__xludf.DUMMYFUNCTION("REGEXREPLACE(C10458,""-\d+(.*)|--\d+(.*)"","""")"),"SAINT-OUEN-DU-MESNIL-OGER")</f>
        <v>SAINT-OUEN-DU-MESNIL-OGER</v>
      </c>
      <c r="E10458" s="38" t="s">
        <v>137</v>
      </c>
      <c r="F10458" s="38" t="s">
        <v>138</v>
      </c>
      <c r="G10458" s="49" t="str">
        <f t="shared" si="1"/>
        <v>14670</v>
      </c>
      <c r="H10458" s="49">
        <f t="shared" si="2"/>
        <v>14637</v>
      </c>
    </row>
    <row r="10459">
      <c r="A10459" s="48" t="s">
        <v>4344</v>
      </c>
      <c r="B10459" s="38">
        <v>14613.0</v>
      </c>
      <c r="C10459" s="38" t="s">
        <v>14456</v>
      </c>
      <c r="D10459" s="38" t="str">
        <f>IFERROR(__xludf.DUMMYFUNCTION("REGEXREPLACE(C10459,""-\d+(.*)|--\d+(.*)"","""")"),"SAINT-MARCOUF")</f>
        <v>SAINT-MARCOUF</v>
      </c>
      <c r="E10459" s="38" t="s">
        <v>137</v>
      </c>
      <c r="F10459" s="38" t="s">
        <v>138</v>
      </c>
      <c r="G10459" s="49" t="str">
        <f t="shared" si="1"/>
        <v>14330</v>
      </c>
      <c r="H10459" s="49">
        <f t="shared" si="2"/>
        <v>14613</v>
      </c>
    </row>
    <row r="10460">
      <c r="A10460" s="48" t="s">
        <v>6515</v>
      </c>
      <c r="B10460" s="38">
        <v>62177.0</v>
      </c>
      <c r="C10460" s="38" t="s">
        <v>14457</v>
      </c>
      <c r="D10460" s="38" t="str">
        <f>IFERROR(__xludf.DUMMYFUNCTION("REGEXREPLACE(C10460,""-\d+(.*)|--\d+(.*)"","""")"),"BRIMEUX")</f>
        <v>BRIMEUX</v>
      </c>
      <c r="E10460" s="38" t="s">
        <v>109</v>
      </c>
      <c r="F10460" s="38" t="s">
        <v>86</v>
      </c>
      <c r="G10460" s="49" t="str">
        <f t="shared" si="1"/>
        <v>62170</v>
      </c>
      <c r="H10460" s="49">
        <f t="shared" si="2"/>
        <v>62177</v>
      </c>
    </row>
    <row r="10461">
      <c r="A10461" s="48" t="s">
        <v>222</v>
      </c>
      <c r="B10461" s="38">
        <v>80038.0</v>
      </c>
      <c r="C10461" s="38" t="s">
        <v>14458</v>
      </c>
      <c r="D10461" s="38" t="str">
        <f>IFERROR(__xludf.DUMMYFUNCTION("REGEXREPLACE(C10461,""-\d+(.*)|--\d+(.*)"","""")"),"AUCHONVILLERS")</f>
        <v>AUCHONVILLERS</v>
      </c>
      <c r="E10461" s="38" t="s">
        <v>224</v>
      </c>
      <c r="F10461" s="38" t="s">
        <v>113</v>
      </c>
      <c r="G10461" s="49" t="str">
        <f t="shared" si="1"/>
        <v>80560</v>
      </c>
      <c r="H10461" s="49">
        <f t="shared" si="2"/>
        <v>80038</v>
      </c>
    </row>
    <row r="10462">
      <c r="A10462" s="48" t="s">
        <v>13501</v>
      </c>
      <c r="B10462" s="38">
        <v>31319.0</v>
      </c>
      <c r="C10462" s="38" t="s">
        <v>14459</v>
      </c>
      <c r="D10462" s="38" t="str">
        <f>IFERROR(__xludf.DUMMYFUNCTION("REGEXREPLACE(C10462,""-\d+(.*)|--\d+(.*)"","""")"),"MARLIAC")</f>
        <v>MARLIAC</v>
      </c>
      <c r="E10462" s="38" t="s">
        <v>93</v>
      </c>
      <c r="F10462" s="38" t="s">
        <v>94</v>
      </c>
      <c r="G10462" s="49" t="str">
        <f t="shared" si="1"/>
        <v>31550</v>
      </c>
      <c r="H10462" s="49">
        <f t="shared" si="2"/>
        <v>31319</v>
      </c>
    </row>
    <row r="10463">
      <c r="A10463" s="48" t="s">
        <v>1514</v>
      </c>
      <c r="B10463" s="38">
        <v>70330.0</v>
      </c>
      <c r="C10463" s="38" t="s">
        <v>14460</v>
      </c>
      <c r="D10463" s="38" t="str">
        <f>IFERROR(__xludf.DUMMYFUNCTION("REGEXREPLACE(C10463,""-\d+(.*)|--\d+(.*)"","""")"),"MANDREVILLARS")</f>
        <v>MANDREVILLARS</v>
      </c>
      <c r="E10463" s="38" t="s">
        <v>956</v>
      </c>
      <c r="F10463" s="38" t="s">
        <v>214</v>
      </c>
      <c r="G10463" s="49" t="str">
        <f t="shared" si="1"/>
        <v>70400</v>
      </c>
      <c r="H10463" s="49">
        <f t="shared" si="2"/>
        <v>70330</v>
      </c>
    </row>
    <row r="10464">
      <c r="A10464" s="48" t="s">
        <v>3955</v>
      </c>
      <c r="B10464" s="38">
        <v>62060.0</v>
      </c>
      <c r="C10464" s="38" t="s">
        <v>14461</v>
      </c>
      <c r="D10464" s="38" t="str">
        <f>IFERROR(__xludf.DUMMYFUNCTION("REGEXREPLACE(C10464,""-\d+(.*)|--\d+(.*)"","""")"),"AUXI-LE-CHATEAU")</f>
        <v>AUXI-LE-CHATEAU</v>
      </c>
      <c r="E10464" s="38" t="s">
        <v>109</v>
      </c>
      <c r="F10464" s="38" t="s">
        <v>86</v>
      </c>
      <c r="G10464" s="49" t="str">
        <f t="shared" si="1"/>
        <v>62390</v>
      </c>
      <c r="H10464" s="49">
        <f t="shared" si="2"/>
        <v>62060</v>
      </c>
    </row>
    <row r="10465">
      <c r="A10465" s="48" t="s">
        <v>1961</v>
      </c>
      <c r="B10465" s="38">
        <v>33002.0</v>
      </c>
      <c r="C10465" s="38" t="s">
        <v>14462</v>
      </c>
      <c r="D10465" s="38" t="str">
        <f>IFERROR(__xludf.DUMMYFUNCTION("REGEXREPLACE(C10465,""-\d+(.*)|--\d+(.*)"","""")"),"AILLAS")</f>
        <v>AILLAS</v>
      </c>
      <c r="E10465" s="38" t="s">
        <v>462</v>
      </c>
      <c r="F10465" s="38" t="s">
        <v>252</v>
      </c>
      <c r="G10465" s="49" t="str">
        <f t="shared" si="1"/>
        <v>33124</v>
      </c>
      <c r="H10465" s="49">
        <f t="shared" si="2"/>
        <v>33002</v>
      </c>
    </row>
    <row r="10466">
      <c r="A10466" s="48" t="s">
        <v>14463</v>
      </c>
      <c r="B10466" s="38">
        <v>57221.0</v>
      </c>
      <c r="C10466" s="38" t="s">
        <v>14464</v>
      </c>
      <c r="D10466" s="38" t="str">
        <f>IFERROR(__xludf.DUMMYFUNCTION("REGEXREPLACE(C10466,""-\d+(.*)|--\d+(.*)"","""")"),"FLORANGE")</f>
        <v>FLORANGE</v>
      </c>
      <c r="E10466" s="38" t="s">
        <v>303</v>
      </c>
      <c r="F10466" s="38" t="s">
        <v>195</v>
      </c>
      <c r="G10466" s="49" t="str">
        <f t="shared" si="1"/>
        <v>57190</v>
      </c>
      <c r="H10466" s="49">
        <f t="shared" si="2"/>
        <v>57221</v>
      </c>
    </row>
    <row r="10467">
      <c r="A10467" s="48" t="s">
        <v>2128</v>
      </c>
      <c r="B10467" s="38">
        <v>2171.0</v>
      </c>
      <c r="C10467" s="38" t="s">
        <v>14465</v>
      </c>
      <c r="D10467" s="38" t="str">
        <f>IFERROR(__xludf.DUMMYFUNCTION("REGEXREPLACE(C10467,""-\d+(.*)|--\d+(.*)"","""")"),"CHAUDARDES")</f>
        <v>CHAUDARDES</v>
      </c>
      <c r="E10467" s="38" t="s">
        <v>191</v>
      </c>
      <c r="F10467" s="38" t="s">
        <v>113</v>
      </c>
      <c r="G10467" s="49" t="str">
        <f t="shared" si="1"/>
        <v>02160</v>
      </c>
      <c r="H10467" s="49" t="str">
        <f t="shared" si="2"/>
        <v>02171</v>
      </c>
    </row>
    <row r="10468">
      <c r="A10468" s="48" t="s">
        <v>12364</v>
      </c>
      <c r="B10468" s="38">
        <v>89388.0</v>
      </c>
      <c r="C10468" s="38" t="s">
        <v>14466</v>
      </c>
      <c r="D10468" s="38" t="str">
        <f>IFERROR(__xludf.DUMMYFUNCTION("REGEXREPLACE(C10468,""-\d+(.*)|--\d+(.*)"","""")"),"SEPEAUX")</f>
        <v>SEPEAUX</v>
      </c>
      <c r="E10468" s="38" t="s">
        <v>275</v>
      </c>
      <c r="F10468" s="38" t="s">
        <v>106</v>
      </c>
      <c r="G10468" s="49" t="str">
        <f t="shared" si="1"/>
        <v>89116</v>
      </c>
      <c r="H10468" s="49">
        <f t="shared" si="2"/>
        <v>89388</v>
      </c>
    </row>
    <row r="10469">
      <c r="A10469" s="48" t="s">
        <v>4129</v>
      </c>
      <c r="B10469" s="38">
        <v>3170.0</v>
      </c>
      <c r="C10469" s="38" t="s">
        <v>14467</v>
      </c>
      <c r="D10469" s="38" t="str">
        <f>IFERROR(__xludf.DUMMYFUNCTION("REGEXREPLACE(C10469,""-\d+(.*)|--\d+(.*)"","""")"),"MEILLERS")</f>
        <v>MEILLERS</v>
      </c>
      <c r="E10469" s="38" t="s">
        <v>160</v>
      </c>
      <c r="F10469" s="38" t="s">
        <v>161</v>
      </c>
      <c r="G10469" s="49" t="str">
        <f t="shared" si="1"/>
        <v>03210</v>
      </c>
      <c r="H10469" s="49" t="str">
        <f t="shared" si="2"/>
        <v>03170</v>
      </c>
    </row>
    <row r="10470">
      <c r="A10470" s="48" t="s">
        <v>3351</v>
      </c>
      <c r="B10470" s="38">
        <v>69197.0</v>
      </c>
      <c r="C10470" s="38" t="s">
        <v>14468</v>
      </c>
      <c r="D10470" s="38" t="str">
        <f>IFERROR(__xludf.DUMMYFUNCTION("REGEXREPLACE(C10470,""-\d+(.*)|--\d+(.*)"","""")"),"SAINT-ETIENNE-DES-OULLIERES")</f>
        <v>SAINT-ETIENNE-DES-OULLIERES</v>
      </c>
      <c r="E10470" s="38" t="s">
        <v>350</v>
      </c>
      <c r="F10470" s="38" t="s">
        <v>102</v>
      </c>
      <c r="G10470" s="49" t="str">
        <f t="shared" si="1"/>
        <v>69460</v>
      </c>
      <c r="H10470" s="49">
        <f t="shared" si="2"/>
        <v>69197</v>
      </c>
    </row>
    <row r="10471">
      <c r="A10471" s="48" t="s">
        <v>14469</v>
      </c>
      <c r="B10471" s="38">
        <v>91330.0</v>
      </c>
      <c r="C10471" s="38" t="s">
        <v>14470</v>
      </c>
      <c r="D10471" s="38" t="str">
        <f>IFERROR(__xludf.DUMMYFUNCTION("REGEXREPLACE(C10471,""-\d+(.*)|--\d+(.*)"","""")"),"LARDY")</f>
        <v>LARDY</v>
      </c>
      <c r="E10471" s="38" t="s">
        <v>756</v>
      </c>
      <c r="F10471" s="38" t="s">
        <v>245</v>
      </c>
      <c r="G10471" s="49" t="str">
        <f t="shared" si="1"/>
        <v>91510</v>
      </c>
      <c r="H10471" s="49">
        <f t="shared" si="2"/>
        <v>91330</v>
      </c>
    </row>
    <row r="10472">
      <c r="A10472" s="48" t="s">
        <v>6849</v>
      </c>
      <c r="B10472" s="38">
        <v>28158.0</v>
      </c>
      <c r="C10472" s="38" t="s">
        <v>14471</v>
      </c>
      <c r="D10472" s="38" t="str">
        <f>IFERROR(__xludf.DUMMYFUNCTION("REGEXREPLACE(C10472,""-\d+(.*)|--\d+(.*)"","""")"),"FONTENAY-SUR-EURE")</f>
        <v>FONTENAY-SUR-EURE</v>
      </c>
      <c r="E10472" s="38" t="s">
        <v>300</v>
      </c>
      <c r="F10472" s="38" t="s">
        <v>123</v>
      </c>
      <c r="G10472" s="49" t="str">
        <f t="shared" si="1"/>
        <v>28630</v>
      </c>
      <c r="H10472" s="49">
        <f t="shared" si="2"/>
        <v>28158</v>
      </c>
    </row>
    <row r="10473">
      <c r="A10473" s="48" t="s">
        <v>1186</v>
      </c>
      <c r="B10473" s="38">
        <v>16379.0</v>
      </c>
      <c r="C10473" s="38" t="s">
        <v>14472</v>
      </c>
      <c r="D10473" s="38" t="str">
        <f>IFERROR(__xludf.DUMMYFUNCTION("REGEXREPLACE(C10473,""-\d+(.*)|--\d+(.*)"","""")"),"TAPONNAT-FLEURIGNAC")</f>
        <v>TAPONNAT-FLEURIGNAC</v>
      </c>
      <c r="E10473" s="38" t="s">
        <v>429</v>
      </c>
      <c r="F10473" s="38" t="s">
        <v>338</v>
      </c>
      <c r="G10473" s="49" t="str">
        <f t="shared" si="1"/>
        <v>16110</v>
      </c>
      <c r="H10473" s="49">
        <f t="shared" si="2"/>
        <v>16379</v>
      </c>
    </row>
    <row r="10474">
      <c r="A10474" s="48" t="s">
        <v>1000</v>
      </c>
      <c r="B10474" s="38">
        <v>70475.0</v>
      </c>
      <c r="C10474" s="38" t="s">
        <v>14473</v>
      </c>
      <c r="D10474" s="38" t="str">
        <f>IFERROR(__xludf.DUMMYFUNCTION("REGEXREPLACE(C10474,""-\d+(.*)|--\d+(.*)"","""")"),"SAINT-VALBERT")</f>
        <v>SAINT-VALBERT</v>
      </c>
      <c r="E10474" s="38" t="s">
        <v>956</v>
      </c>
      <c r="F10474" s="38" t="s">
        <v>214</v>
      </c>
      <c r="G10474" s="49" t="str">
        <f t="shared" si="1"/>
        <v>70300</v>
      </c>
      <c r="H10474" s="49">
        <f t="shared" si="2"/>
        <v>70475</v>
      </c>
    </row>
    <row r="10475">
      <c r="A10475" s="48" t="s">
        <v>171</v>
      </c>
      <c r="B10475" s="38">
        <v>56020.0</v>
      </c>
      <c r="C10475" s="38" t="s">
        <v>14474</v>
      </c>
      <c r="D10475" s="38" t="str">
        <f>IFERROR(__xludf.DUMMYFUNCTION("REGEXREPLACE(C10475,""-\d+(.*)|--\d+(.*)"","""")"),"BOHAL")</f>
        <v>BOHAL</v>
      </c>
      <c r="E10475" s="38" t="s">
        <v>173</v>
      </c>
      <c r="F10475" s="38" t="s">
        <v>90</v>
      </c>
      <c r="G10475" s="49" t="str">
        <f t="shared" si="1"/>
        <v>56140</v>
      </c>
      <c r="H10475" s="49">
        <f t="shared" si="2"/>
        <v>56020</v>
      </c>
    </row>
    <row r="10476">
      <c r="A10476" s="48" t="s">
        <v>1817</v>
      </c>
      <c r="B10476" s="38">
        <v>31514.0</v>
      </c>
      <c r="C10476" s="38" t="s">
        <v>14475</v>
      </c>
      <c r="D10476" s="38" t="str">
        <f>IFERROR(__xludf.DUMMYFUNCTION("REGEXREPLACE(C10476,""-\d+(.*)|--\d+(.*)"","""")"),"SAINT-ROME")</f>
        <v>SAINT-ROME</v>
      </c>
      <c r="E10476" s="38" t="s">
        <v>93</v>
      </c>
      <c r="F10476" s="38" t="s">
        <v>94</v>
      </c>
      <c r="G10476" s="49" t="str">
        <f t="shared" si="1"/>
        <v>31290</v>
      </c>
      <c r="H10476" s="49">
        <f t="shared" si="2"/>
        <v>31514</v>
      </c>
    </row>
    <row r="10477">
      <c r="A10477" s="48" t="s">
        <v>301</v>
      </c>
      <c r="B10477" s="38">
        <v>57485.0</v>
      </c>
      <c r="C10477" s="38" t="s">
        <v>14476</v>
      </c>
      <c r="D10477" s="38" t="str">
        <f>IFERROR(__xludf.DUMMYFUNCTION("REGEXREPLACE(C10477,""-\d+(.*)|--\d+(.*)"","""")"),"MORVILLE-LES-VIC")</f>
        <v>MORVILLE-LES-VIC</v>
      </c>
      <c r="E10477" s="38" t="s">
        <v>303</v>
      </c>
      <c r="F10477" s="38" t="s">
        <v>195</v>
      </c>
      <c r="G10477" s="49" t="str">
        <f t="shared" si="1"/>
        <v>57170</v>
      </c>
      <c r="H10477" s="49">
        <f t="shared" si="2"/>
        <v>57485</v>
      </c>
    </row>
    <row r="10478">
      <c r="A10478" s="48" t="s">
        <v>493</v>
      </c>
      <c r="B10478" s="38">
        <v>28132.0</v>
      </c>
      <c r="C10478" s="38" t="s">
        <v>14477</v>
      </c>
      <c r="D10478" s="38" t="str">
        <f>IFERROR(__xludf.DUMMYFUNCTION("REGEXREPLACE(C10478,""-\d+(.*)|--\d+(.*)"","""")"),"DONNEMAIN-SAINT-MAMES")</f>
        <v>DONNEMAIN-SAINT-MAMES</v>
      </c>
      <c r="E10478" s="38" t="s">
        <v>300</v>
      </c>
      <c r="F10478" s="38" t="s">
        <v>123</v>
      </c>
      <c r="G10478" s="49" t="str">
        <f t="shared" si="1"/>
        <v>28200</v>
      </c>
      <c r="H10478" s="49">
        <f t="shared" si="2"/>
        <v>28132</v>
      </c>
    </row>
    <row r="10479">
      <c r="A10479" s="48" t="s">
        <v>1182</v>
      </c>
      <c r="B10479" s="38">
        <v>67101.0</v>
      </c>
      <c r="C10479" s="38" t="s">
        <v>14478</v>
      </c>
      <c r="D10479" s="38" t="str">
        <f>IFERROR(__xludf.DUMMYFUNCTION("REGEXREPLACE(C10479,""-\d+(.*)|--\d+(.*)"","""")"),"DORLISHEIM")</f>
        <v>DORLISHEIM</v>
      </c>
      <c r="E10479" s="38" t="s">
        <v>210</v>
      </c>
      <c r="F10479" s="38" t="s">
        <v>151</v>
      </c>
      <c r="G10479" s="49" t="str">
        <f t="shared" si="1"/>
        <v>67120</v>
      </c>
      <c r="H10479" s="49">
        <f t="shared" si="2"/>
        <v>67101</v>
      </c>
    </row>
    <row r="10480">
      <c r="A10480" s="48" t="s">
        <v>14479</v>
      </c>
      <c r="B10480" s="38">
        <v>33119.0</v>
      </c>
      <c r="C10480" s="38" t="s">
        <v>14480</v>
      </c>
      <c r="D10480" s="38" t="str">
        <f>IFERROR(__xludf.DUMMYFUNCTION("REGEXREPLACE(C10480,""-\d+(.*)|--\d+(.*)"","""")"),"CENON")</f>
        <v>CENON</v>
      </c>
      <c r="E10480" s="38" t="s">
        <v>462</v>
      </c>
      <c r="F10480" s="38" t="s">
        <v>252</v>
      </c>
      <c r="G10480" s="49" t="str">
        <f t="shared" si="1"/>
        <v>33150</v>
      </c>
      <c r="H10480" s="49">
        <f t="shared" si="2"/>
        <v>33119</v>
      </c>
    </row>
    <row r="10481">
      <c r="A10481" s="48" t="s">
        <v>3789</v>
      </c>
      <c r="B10481" s="38">
        <v>51303.0</v>
      </c>
      <c r="C10481" s="38" t="s">
        <v>14481</v>
      </c>
      <c r="D10481" s="38" t="str">
        <f>IFERROR(__xludf.DUMMYFUNCTION("REGEXREPLACE(C10481,""-\d+(.*)|--\d+(.*)"","""")"),"JALONS")</f>
        <v>JALONS</v>
      </c>
      <c r="E10481" s="38" t="s">
        <v>129</v>
      </c>
      <c r="F10481" s="38" t="s">
        <v>130</v>
      </c>
      <c r="G10481" s="49" t="str">
        <f t="shared" si="1"/>
        <v>51150</v>
      </c>
      <c r="H10481" s="49">
        <f t="shared" si="2"/>
        <v>51303</v>
      </c>
    </row>
    <row r="10482">
      <c r="A10482" s="48" t="s">
        <v>2400</v>
      </c>
      <c r="B10482" s="38">
        <v>25277.0</v>
      </c>
      <c r="C10482" s="38" t="s">
        <v>14482</v>
      </c>
      <c r="D10482" s="38" t="str">
        <f>IFERROR(__xludf.DUMMYFUNCTION("REGEXREPLACE(C10482,""-\d+(.*)|--\d+(.*)"","""")"),"GONDENANS-LES-MOULINS")</f>
        <v>GONDENANS-LES-MOULINS</v>
      </c>
      <c r="E10482" s="38" t="s">
        <v>213</v>
      </c>
      <c r="F10482" s="38" t="s">
        <v>214</v>
      </c>
      <c r="G10482" s="49" t="str">
        <f t="shared" si="1"/>
        <v>25680</v>
      </c>
      <c r="H10482" s="49">
        <f t="shared" si="2"/>
        <v>25277</v>
      </c>
    </row>
    <row r="10483">
      <c r="A10483" s="48" t="s">
        <v>14483</v>
      </c>
      <c r="B10483" s="38">
        <v>83141.0</v>
      </c>
      <c r="C10483" s="38" t="s">
        <v>14484</v>
      </c>
      <c r="D10483" s="38" t="str">
        <f>IFERROR(__xludf.DUMMYFUNCTION("REGEXREPLACE(C10483,""-\d+(.*)|--\d+(.*)"","""")"),"TRANS-EN-PROVENCE")</f>
        <v>TRANS-EN-PROVENCE</v>
      </c>
      <c r="E10483" s="38" t="s">
        <v>813</v>
      </c>
      <c r="F10483" s="38" t="s">
        <v>228</v>
      </c>
      <c r="G10483" s="49" t="str">
        <f t="shared" si="1"/>
        <v>83720</v>
      </c>
      <c r="H10483" s="49">
        <f t="shared" si="2"/>
        <v>83141</v>
      </c>
    </row>
    <row r="10484">
      <c r="A10484" s="48" t="s">
        <v>5563</v>
      </c>
      <c r="B10484" s="38">
        <v>32341.0</v>
      </c>
      <c r="C10484" s="38" t="s">
        <v>9708</v>
      </c>
      <c r="D10484" s="38" t="str">
        <f>IFERROR(__xludf.DUMMYFUNCTION("REGEXREPLACE(C10484,""-\d+(.*)|--\d+(.*)"","""")"),"REJAUMONT")</f>
        <v>REJAUMONT</v>
      </c>
      <c r="E10484" s="38" t="s">
        <v>440</v>
      </c>
      <c r="F10484" s="38" t="s">
        <v>94</v>
      </c>
      <c r="G10484" s="49" t="str">
        <f t="shared" si="1"/>
        <v>32390</v>
      </c>
      <c r="H10484" s="49">
        <f t="shared" si="2"/>
        <v>32341</v>
      </c>
    </row>
    <row r="10485">
      <c r="A10485" s="48" t="s">
        <v>1752</v>
      </c>
      <c r="B10485" s="38">
        <v>49205.0</v>
      </c>
      <c r="C10485" s="38" t="s">
        <v>14485</v>
      </c>
      <c r="D10485" s="38" t="str">
        <f>IFERROR(__xludf.DUMMYFUNCTION("REGEXREPLACE(C10485,""-\d+(.*)|--\d+(.*)"","""")"),"MIRE")</f>
        <v>MIRE</v>
      </c>
      <c r="E10485" s="38" t="s">
        <v>653</v>
      </c>
      <c r="F10485" s="38" t="s">
        <v>180</v>
      </c>
      <c r="G10485" s="49" t="str">
        <f t="shared" si="1"/>
        <v>49330</v>
      </c>
      <c r="H10485" s="49">
        <f t="shared" si="2"/>
        <v>49205</v>
      </c>
    </row>
    <row r="10486">
      <c r="A10486" s="48" t="s">
        <v>14486</v>
      </c>
      <c r="B10486" s="38">
        <v>30007.0</v>
      </c>
      <c r="C10486" s="38" t="s">
        <v>14487</v>
      </c>
      <c r="D10486" s="38" t="str">
        <f>IFERROR(__xludf.DUMMYFUNCTION("REGEXREPLACE(C10486,""-\d+(.*)|--\d+(.*)"","""")"),"ALES")</f>
        <v>ALES</v>
      </c>
      <c r="E10486" s="38" t="s">
        <v>526</v>
      </c>
      <c r="F10486" s="38" t="s">
        <v>119</v>
      </c>
      <c r="G10486" s="49" t="str">
        <f t="shared" si="1"/>
        <v>30100</v>
      </c>
      <c r="H10486" s="49">
        <f t="shared" si="2"/>
        <v>30007</v>
      </c>
    </row>
    <row r="10487">
      <c r="A10487" s="48" t="s">
        <v>6672</v>
      </c>
      <c r="B10487" s="38">
        <v>17429.0</v>
      </c>
      <c r="C10487" s="38" t="s">
        <v>14488</v>
      </c>
      <c r="D10487" s="38" t="str">
        <f>IFERROR(__xludf.DUMMYFUNCTION("REGEXREPLACE(C10487,""-\d+(.*)|--\d+(.*)"","""")"),"SOUBISE")</f>
        <v>SOUBISE</v>
      </c>
      <c r="E10487" s="38" t="s">
        <v>488</v>
      </c>
      <c r="F10487" s="38" t="s">
        <v>338</v>
      </c>
      <c r="G10487" s="49" t="str">
        <f t="shared" si="1"/>
        <v>17780</v>
      </c>
      <c r="H10487" s="49">
        <f t="shared" si="2"/>
        <v>17429</v>
      </c>
    </row>
    <row r="10488">
      <c r="A10488" s="48" t="s">
        <v>3755</v>
      </c>
      <c r="B10488" s="38">
        <v>76099.0</v>
      </c>
      <c r="C10488" s="38" t="s">
        <v>14489</v>
      </c>
      <c r="D10488" s="38" t="str">
        <f>IFERROR(__xludf.DUMMYFUNCTION("REGEXREPLACE(C10488,""-\d+(.*)|--\d+(.*)"","""")"),"BLACQUEVILLE")</f>
        <v>BLACQUEVILLE</v>
      </c>
      <c r="E10488" s="38" t="s">
        <v>133</v>
      </c>
      <c r="F10488" s="38" t="s">
        <v>134</v>
      </c>
      <c r="G10488" s="49" t="str">
        <f t="shared" si="1"/>
        <v>76190</v>
      </c>
      <c r="H10488" s="49">
        <f t="shared" si="2"/>
        <v>76099</v>
      </c>
    </row>
    <row r="10489">
      <c r="A10489" s="48" t="s">
        <v>1526</v>
      </c>
      <c r="B10489" s="38">
        <v>60110.0</v>
      </c>
      <c r="C10489" s="38" t="s">
        <v>14490</v>
      </c>
      <c r="D10489" s="38" t="str">
        <f>IFERROR(__xludf.DUMMYFUNCTION("REGEXREPLACE(C10489,""-\d+(.*)|--\d+(.*)"","""")"),"BROQUIERS")</f>
        <v>BROQUIERS</v>
      </c>
      <c r="E10489" s="38" t="s">
        <v>112</v>
      </c>
      <c r="F10489" s="38" t="s">
        <v>113</v>
      </c>
      <c r="G10489" s="49" t="str">
        <f t="shared" si="1"/>
        <v>60220</v>
      </c>
      <c r="H10489" s="49">
        <f t="shared" si="2"/>
        <v>60110</v>
      </c>
    </row>
    <row r="10490">
      <c r="A10490" s="48" t="s">
        <v>215</v>
      </c>
      <c r="B10490" s="38">
        <v>2678.0</v>
      </c>
      <c r="C10490" s="38" t="s">
        <v>547</v>
      </c>
      <c r="D10490" s="38" t="str">
        <f>IFERROR(__xludf.DUMMYFUNCTION("REGEXREPLACE(C10490,""-\d+(.*)|--\d+(.*)"","""")"),"SAINTE-GENEVIEVE")</f>
        <v>SAINTE-GENEVIEVE</v>
      </c>
      <c r="E10490" s="38" t="s">
        <v>191</v>
      </c>
      <c r="F10490" s="38" t="s">
        <v>113</v>
      </c>
      <c r="G10490" s="49" t="str">
        <f t="shared" si="1"/>
        <v>02340</v>
      </c>
      <c r="H10490" s="49" t="str">
        <f t="shared" si="2"/>
        <v>02678</v>
      </c>
    </row>
    <row r="10491">
      <c r="A10491" s="48" t="s">
        <v>1821</v>
      </c>
      <c r="B10491" s="38">
        <v>3061.0</v>
      </c>
      <c r="C10491" s="38" t="s">
        <v>1442</v>
      </c>
      <c r="D10491" s="38" t="str">
        <f>IFERROR(__xludf.DUMMYFUNCTION("REGEXREPLACE(C10491,""-\d+(.*)|--\d+(.*)"","""")"),"CHARMES")</f>
        <v>CHARMES</v>
      </c>
      <c r="E10491" s="38" t="s">
        <v>160</v>
      </c>
      <c r="F10491" s="38" t="s">
        <v>161</v>
      </c>
      <c r="G10491" s="49" t="str">
        <f t="shared" si="1"/>
        <v>03800</v>
      </c>
      <c r="H10491" s="49" t="str">
        <f t="shared" si="2"/>
        <v>03061</v>
      </c>
    </row>
    <row r="10492">
      <c r="A10492" s="48" t="s">
        <v>7444</v>
      </c>
      <c r="B10492" s="38">
        <v>24194.0</v>
      </c>
      <c r="C10492" s="38" t="s">
        <v>14491</v>
      </c>
      <c r="D10492" s="38" t="str">
        <f>IFERROR(__xludf.DUMMYFUNCTION("REGEXREPLACE(C10492,""-\d+(.*)|--\d+(.*)"","""")"),"GARDONNE")</f>
        <v>GARDONNE</v>
      </c>
      <c r="E10492" s="38" t="s">
        <v>261</v>
      </c>
      <c r="F10492" s="38" t="s">
        <v>252</v>
      </c>
      <c r="G10492" s="49" t="str">
        <f t="shared" si="1"/>
        <v>24680</v>
      </c>
      <c r="H10492" s="49">
        <f t="shared" si="2"/>
        <v>24194</v>
      </c>
    </row>
    <row r="10493">
      <c r="A10493" s="48" t="s">
        <v>1514</v>
      </c>
      <c r="B10493" s="38">
        <v>70497.0</v>
      </c>
      <c r="C10493" s="38" t="s">
        <v>14492</v>
      </c>
      <c r="D10493" s="38" t="str">
        <f>IFERROR(__xludf.DUMMYFUNCTION("REGEXREPLACE(C10493,""-\d+(.*)|--\d+(.*)"","""")"),"TAVEY")</f>
        <v>TAVEY</v>
      </c>
      <c r="E10493" s="38" t="s">
        <v>956</v>
      </c>
      <c r="F10493" s="38" t="s">
        <v>214</v>
      </c>
      <c r="G10493" s="49" t="str">
        <f t="shared" si="1"/>
        <v>70400</v>
      </c>
      <c r="H10493" s="49">
        <f t="shared" si="2"/>
        <v>70497</v>
      </c>
    </row>
    <row r="10494">
      <c r="A10494" s="48" t="s">
        <v>8134</v>
      </c>
      <c r="B10494" s="38">
        <v>47283.0</v>
      </c>
      <c r="C10494" s="38" t="s">
        <v>14493</v>
      </c>
      <c r="D10494" s="38" t="str">
        <f>IFERROR(__xludf.DUMMYFUNCTION("REGEXREPLACE(C10494,""-\d+(.*)|--\d+(.*)"","""")"),"SAINT-VITE")</f>
        <v>SAINT-VITE</v>
      </c>
      <c r="E10494" s="38" t="s">
        <v>251</v>
      </c>
      <c r="F10494" s="38" t="s">
        <v>252</v>
      </c>
      <c r="G10494" s="49" t="str">
        <f t="shared" si="1"/>
        <v>47500</v>
      </c>
      <c r="H10494" s="49">
        <f t="shared" si="2"/>
        <v>47283</v>
      </c>
    </row>
    <row r="10495">
      <c r="A10495" s="48" t="s">
        <v>4826</v>
      </c>
      <c r="B10495" s="38">
        <v>57104.0</v>
      </c>
      <c r="C10495" s="38" t="s">
        <v>14494</v>
      </c>
      <c r="D10495" s="38" t="str">
        <f>IFERROR(__xludf.DUMMYFUNCTION("REGEXREPLACE(C10495,""-\d+(.*)|--\d+(.*)"","""")"),"BOUST")</f>
        <v>BOUST</v>
      </c>
      <c r="E10495" s="38" t="s">
        <v>303</v>
      </c>
      <c r="F10495" s="38" t="s">
        <v>195</v>
      </c>
      <c r="G10495" s="49" t="str">
        <f t="shared" si="1"/>
        <v>57570</v>
      </c>
      <c r="H10495" s="49">
        <f t="shared" si="2"/>
        <v>57104</v>
      </c>
    </row>
    <row r="10496">
      <c r="A10496" s="48" t="s">
        <v>2312</v>
      </c>
      <c r="B10496" s="38">
        <v>67103.0</v>
      </c>
      <c r="C10496" s="38" t="s">
        <v>14495</v>
      </c>
      <c r="D10496" s="38" t="str">
        <f>IFERROR(__xludf.DUMMYFUNCTION("REGEXREPLACE(C10496,""-\d+(.*)|--\d+(.*)"","""")"),"DOSSENHEIM-SUR-ZINSEL")</f>
        <v>DOSSENHEIM-SUR-ZINSEL</v>
      </c>
      <c r="E10496" s="38" t="s">
        <v>210</v>
      </c>
      <c r="F10496" s="38" t="s">
        <v>151</v>
      </c>
      <c r="G10496" s="49" t="str">
        <f t="shared" si="1"/>
        <v>67330</v>
      </c>
      <c r="H10496" s="49">
        <f t="shared" si="2"/>
        <v>67103</v>
      </c>
    </row>
    <row r="10497">
      <c r="A10497" s="48" t="s">
        <v>14496</v>
      </c>
      <c r="B10497" s="38" t="s">
        <v>14497</v>
      </c>
      <c r="C10497" s="38" t="s">
        <v>14498</v>
      </c>
      <c r="D10497" s="38" t="str">
        <f>IFERROR(__xludf.DUMMYFUNCTION("REGEXREPLACE(C10497,""-\d+(.*)|--\d+(.*)"","""")"),"ECCICA-SUARELLA")</f>
        <v>ECCICA-SUARELLA</v>
      </c>
      <c r="E10497" s="38" t="s">
        <v>606</v>
      </c>
      <c r="F10497" s="38" t="s">
        <v>607</v>
      </c>
      <c r="G10497" s="49" t="str">
        <f t="shared" si="1"/>
        <v>20117</v>
      </c>
      <c r="H10497" s="49" t="str">
        <f t="shared" si="2"/>
        <v>2A104</v>
      </c>
    </row>
    <row r="10498">
      <c r="A10498" s="48" t="s">
        <v>1203</v>
      </c>
      <c r="B10498" s="38">
        <v>17307.0</v>
      </c>
      <c r="C10498" s="38" t="s">
        <v>14499</v>
      </c>
      <c r="D10498" s="38" t="str">
        <f>IFERROR(__xludf.DUMMYFUNCTION("REGEXREPLACE(C10498,""-\d+(.*)|--\d+(.*)"","""")"),"SABLONCEAUX")</f>
        <v>SABLONCEAUX</v>
      </c>
      <c r="E10498" s="38" t="s">
        <v>488</v>
      </c>
      <c r="F10498" s="38" t="s">
        <v>338</v>
      </c>
      <c r="G10498" s="49" t="str">
        <f t="shared" si="1"/>
        <v>17600</v>
      </c>
      <c r="H10498" s="49">
        <f t="shared" si="2"/>
        <v>17307</v>
      </c>
    </row>
    <row r="10499">
      <c r="A10499" s="48" t="s">
        <v>4512</v>
      </c>
      <c r="B10499" s="38">
        <v>86230.0</v>
      </c>
      <c r="C10499" s="38" t="s">
        <v>14500</v>
      </c>
      <c r="D10499" s="38" t="str">
        <f>IFERROR(__xludf.DUMMYFUNCTION("REGEXREPLACE(C10499,""-\d+(.*)|--\d+(.*)"","""")"),"SAINT-LEOMER")</f>
        <v>SAINT-LEOMER</v>
      </c>
      <c r="E10499" s="38" t="s">
        <v>529</v>
      </c>
      <c r="F10499" s="38" t="s">
        <v>338</v>
      </c>
      <c r="G10499" s="49" t="str">
        <f t="shared" si="1"/>
        <v>86290</v>
      </c>
      <c r="H10499" s="49">
        <f t="shared" si="2"/>
        <v>86230</v>
      </c>
    </row>
    <row r="10500">
      <c r="A10500" s="48" t="s">
        <v>5933</v>
      </c>
      <c r="B10500" s="38">
        <v>64506.0</v>
      </c>
      <c r="C10500" s="38" t="s">
        <v>14501</v>
      </c>
      <c r="D10500" s="38" t="str">
        <f>IFERROR(__xludf.DUMMYFUNCTION("REGEXREPLACE(C10500,""-\d+(.*)|--\d+(.*)"","""")"),"SARRANCE")</f>
        <v>SARRANCE</v>
      </c>
      <c r="E10500" s="38" t="s">
        <v>268</v>
      </c>
      <c r="F10500" s="38" t="s">
        <v>252</v>
      </c>
      <c r="G10500" s="49" t="str">
        <f t="shared" si="1"/>
        <v>64490</v>
      </c>
      <c r="H10500" s="49">
        <f t="shared" si="2"/>
        <v>64506</v>
      </c>
    </row>
    <row r="10501">
      <c r="A10501" s="48" t="s">
        <v>2462</v>
      </c>
      <c r="B10501" s="38">
        <v>1390.0</v>
      </c>
      <c r="C10501" s="38" t="s">
        <v>14502</v>
      </c>
      <c r="D10501" s="38" t="str">
        <f>IFERROR(__xludf.DUMMYFUNCTION("REGEXREPLACE(C10501,""-\d+(.*)|--\d+(.*)"","""")"),"SAINT-VULBAS")</f>
        <v>SAINT-VULBAS</v>
      </c>
      <c r="E10501" s="38" t="s">
        <v>255</v>
      </c>
      <c r="F10501" s="38" t="s">
        <v>102</v>
      </c>
      <c r="G10501" s="49" t="str">
        <f t="shared" si="1"/>
        <v>01150</v>
      </c>
      <c r="H10501" s="49" t="str">
        <f t="shared" si="2"/>
        <v>01390</v>
      </c>
    </row>
    <row r="10502">
      <c r="A10502" s="48" t="s">
        <v>8279</v>
      </c>
      <c r="B10502" s="38">
        <v>86147.0</v>
      </c>
      <c r="C10502" s="38" t="s">
        <v>14503</v>
      </c>
      <c r="D10502" s="38" t="str">
        <f>IFERROR(__xludf.DUMMYFUNCTION("REGEXREPLACE(C10502,""-\d+(.*)|--\d+(.*)"","""")"),"MARIGNY-CHEMEREAU")</f>
        <v>MARIGNY-CHEMEREAU</v>
      </c>
      <c r="E10502" s="38" t="s">
        <v>529</v>
      </c>
      <c r="F10502" s="38" t="s">
        <v>338</v>
      </c>
      <c r="G10502" s="49" t="str">
        <f t="shared" si="1"/>
        <v>86370</v>
      </c>
      <c r="H10502" s="49">
        <f t="shared" si="2"/>
        <v>86147</v>
      </c>
    </row>
    <row r="10503">
      <c r="A10503" s="48" t="s">
        <v>1106</v>
      </c>
      <c r="B10503" s="38">
        <v>14002.0</v>
      </c>
      <c r="C10503" s="38" t="s">
        <v>14504</v>
      </c>
      <c r="D10503" s="38" t="str">
        <f>IFERROR(__xludf.DUMMYFUNCTION("REGEXREPLACE(C10503,""-\d+(.*)|--\d+(.*)"","""")"),"ACQUEVILLE")</f>
        <v>ACQUEVILLE</v>
      </c>
      <c r="E10503" s="38" t="s">
        <v>137</v>
      </c>
      <c r="F10503" s="38" t="s">
        <v>138</v>
      </c>
      <c r="G10503" s="49" t="str">
        <f t="shared" si="1"/>
        <v>14220</v>
      </c>
      <c r="H10503" s="49">
        <f t="shared" si="2"/>
        <v>14002</v>
      </c>
    </row>
    <row r="10504">
      <c r="A10504" s="48" t="s">
        <v>294</v>
      </c>
      <c r="B10504" s="38">
        <v>40080.0</v>
      </c>
      <c r="C10504" s="38" t="s">
        <v>14505</v>
      </c>
      <c r="D10504" s="38" t="str">
        <f>IFERROR(__xludf.DUMMYFUNCTION("REGEXREPLACE(C10504,""-\d+(.*)|--\d+(.*)"","""")"),"CAZERES-SUR-L'ADOUR")</f>
        <v>CAZERES-SUR-L'ADOUR</v>
      </c>
      <c r="E10504" s="38" t="s">
        <v>281</v>
      </c>
      <c r="F10504" s="38" t="s">
        <v>252</v>
      </c>
      <c r="G10504" s="49" t="str">
        <f t="shared" si="1"/>
        <v>40270</v>
      </c>
      <c r="H10504" s="49">
        <f t="shared" si="2"/>
        <v>40080</v>
      </c>
    </row>
    <row r="10505">
      <c r="A10505" s="48" t="s">
        <v>966</v>
      </c>
      <c r="B10505" s="38">
        <v>70092.0</v>
      </c>
      <c r="C10505" s="38" t="s">
        <v>14506</v>
      </c>
      <c r="D10505" s="38" t="str">
        <f>IFERROR(__xludf.DUMMYFUNCTION("REGEXREPLACE(C10505,""-\d+(.*)|--\d+(.*)"","""")"),"BRESILLEY")</f>
        <v>BRESILLEY</v>
      </c>
      <c r="E10505" s="38" t="s">
        <v>956</v>
      </c>
      <c r="F10505" s="38" t="s">
        <v>214</v>
      </c>
      <c r="G10505" s="49" t="str">
        <f t="shared" si="1"/>
        <v>70140</v>
      </c>
      <c r="H10505" s="49">
        <f t="shared" si="2"/>
        <v>70092</v>
      </c>
    </row>
    <row r="10506">
      <c r="A10506" s="48" t="s">
        <v>2540</v>
      </c>
      <c r="B10506" s="38">
        <v>2781.0</v>
      </c>
      <c r="C10506" s="38" t="s">
        <v>14507</v>
      </c>
      <c r="D10506" s="38" t="str">
        <f>IFERROR(__xludf.DUMMYFUNCTION("REGEXREPLACE(C10506,""-\d+(.*)|--\d+(.*)"","""")"),"VERDILLY")</f>
        <v>VERDILLY</v>
      </c>
      <c r="E10506" s="38" t="s">
        <v>191</v>
      </c>
      <c r="F10506" s="38" t="s">
        <v>113</v>
      </c>
      <c r="G10506" s="49" t="str">
        <f t="shared" si="1"/>
        <v>02400</v>
      </c>
      <c r="H10506" s="49" t="str">
        <f t="shared" si="2"/>
        <v>02781</v>
      </c>
    </row>
    <row r="10507">
      <c r="A10507" s="48" t="s">
        <v>11319</v>
      </c>
      <c r="B10507" s="38">
        <v>51252.0</v>
      </c>
      <c r="C10507" s="38" t="s">
        <v>14508</v>
      </c>
      <c r="D10507" s="38" t="str">
        <f>IFERROR(__xludf.DUMMYFUNCTION("REGEXREPLACE(C10507,""-\d+(.*)|--\d+(.*)"","""")"),"FLEURY-LA-RIVIERE")</f>
        <v>FLEURY-LA-RIVIERE</v>
      </c>
      <c r="E10507" s="38" t="s">
        <v>129</v>
      </c>
      <c r="F10507" s="38" t="s">
        <v>130</v>
      </c>
      <c r="G10507" s="49" t="str">
        <f t="shared" si="1"/>
        <v>51480</v>
      </c>
      <c r="H10507" s="49">
        <f t="shared" si="2"/>
        <v>51252</v>
      </c>
    </row>
    <row r="10508">
      <c r="A10508" s="48" t="s">
        <v>2225</v>
      </c>
      <c r="B10508" s="38">
        <v>22123.0</v>
      </c>
      <c r="C10508" s="38" t="s">
        <v>14509</v>
      </c>
      <c r="D10508" s="38" t="str">
        <f>IFERROR(__xludf.DUMMYFUNCTION("REGEXREPLACE(C10508,""-\d+(.*)|--\d+(.*)"","""")"),"LEHON")</f>
        <v>LEHON</v>
      </c>
      <c r="E10508" s="38" t="s">
        <v>89</v>
      </c>
      <c r="F10508" s="38" t="s">
        <v>90</v>
      </c>
      <c r="G10508" s="49" t="str">
        <f t="shared" si="1"/>
        <v>22100</v>
      </c>
      <c r="H10508" s="49">
        <f t="shared" si="2"/>
        <v>22123</v>
      </c>
    </row>
    <row r="10509">
      <c r="A10509" s="48" t="s">
        <v>2008</v>
      </c>
      <c r="B10509" s="38">
        <v>46021.0</v>
      </c>
      <c r="C10509" s="38" t="s">
        <v>14510</v>
      </c>
      <c r="D10509" s="38" t="str">
        <f>IFERROR(__xludf.DUMMYFUNCTION("REGEXREPLACE(C10509,""-\d+(.*)|--\d+(.*)"","""")"),"BEDUER")</f>
        <v>BEDUER</v>
      </c>
      <c r="E10509" s="38" t="s">
        <v>185</v>
      </c>
      <c r="F10509" s="38" t="s">
        <v>94</v>
      </c>
      <c r="G10509" s="49" t="str">
        <f t="shared" si="1"/>
        <v>46100</v>
      </c>
      <c r="H10509" s="49">
        <f t="shared" si="2"/>
        <v>46021</v>
      </c>
    </row>
    <row r="10510">
      <c r="A10510" s="48" t="s">
        <v>3504</v>
      </c>
      <c r="B10510" s="38">
        <v>42197.0</v>
      </c>
      <c r="C10510" s="38" t="s">
        <v>14511</v>
      </c>
      <c r="D10510" s="38" t="str">
        <f>IFERROR(__xludf.DUMMYFUNCTION("REGEXREPLACE(C10510,""-\d+(.*)|--\d+(.*)"","""")"),"SAINTE-AGATHE-LA-BOUTERESSE")</f>
        <v>SAINTE-AGATHE-LA-BOUTERESSE</v>
      </c>
      <c r="E10510" s="38" t="s">
        <v>166</v>
      </c>
      <c r="F10510" s="38" t="s">
        <v>102</v>
      </c>
      <c r="G10510" s="49" t="str">
        <f t="shared" si="1"/>
        <v>42130</v>
      </c>
      <c r="H10510" s="49">
        <f t="shared" si="2"/>
        <v>42197</v>
      </c>
    </row>
    <row r="10511">
      <c r="A10511" s="48" t="s">
        <v>14146</v>
      </c>
      <c r="B10511" s="38">
        <v>95028.0</v>
      </c>
      <c r="C10511" s="38" t="s">
        <v>14512</v>
      </c>
      <c r="D10511" s="38" t="str">
        <f>IFERROR(__xludf.DUMMYFUNCTION("REGEXREPLACE(C10511,""-\d+(.*)|--\d+(.*)"","""")"),"ATTAINVILLE")</f>
        <v>ATTAINVILLE</v>
      </c>
      <c r="E10511" s="38" t="s">
        <v>541</v>
      </c>
      <c r="F10511" s="38" t="s">
        <v>245</v>
      </c>
      <c r="G10511" s="49" t="str">
        <f t="shared" si="1"/>
        <v>95570</v>
      </c>
      <c r="H10511" s="49">
        <f t="shared" si="2"/>
        <v>95028</v>
      </c>
    </row>
    <row r="10512">
      <c r="A10512" s="48" t="s">
        <v>12639</v>
      </c>
      <c r="B10512" s="38">
        <v>81035.0</v>
      </c>
      <c r="C10512" s="38" t="s">
        <v>14513</v>
      </c>
      <c r="D10512" s="38" t="str">
        <f>IFERROR(__xludf.DUMMYFUNCTION("REGEXREPLACE(C10512,""-\d+(.*)|--\d+(.*)"","""")"),"BOURNAZEL")</f>
        <v>BOURNAZEL</v>
      </c>
      <c r="E10512" s="38" t="s">
        <v>231</v>
      </c>
      <c r="F10512" s="38" t="s">
        <v>94</v>
      </c>
      <c r="G10512" s="49" t="str">
        <f t="shared" si="1"/>
        <v>81170</v>
      </c>
      <c r="H10512" s="49">
        <f t="shared" si="2"/>
        <v>81035</v>
      </c>
    </row>
    <row r="10513">
      <c r="A10513" s="48" t="s">
        <v>1756</v>
      </c>
      <c r="B10513" s="38">
        <v>28416.0</v>
      </c>
      <c r="C10513" s="38" t="s">
        <v>14514</v>
      </c>
      <c r="D10513" s="38" t="str">
        <f>IFERROR(__xludf.DUMMYFUNCTION("REGEXREPLACE(C10513,""-\d+(.*)|--\d+(.*)"","""")"),"VILLENEUVE-SAINT-NICOLAS")</f>
        <v>VILLENEUVE-SAINT-NICOLAS</v>
      </c>
      <c r="E10513" s="38" t="s">
        <v>300</v>
      </c>
      <c r="F10513" s="38" t="s">
        <v>123</v>
      </c>
      <c r="G10513" s="49" t="str">
        <f t="shared" si="1"/>
        <v>28150</v>
      </c>
      <c r="H10513" s="49">
        <f t="shared" si="2"/>
        <v>28416</v>
      </c>
    </row>
    <row r="10514">
      <c r="A10514" s="48" t="s">
        <v>1475</v>
      </c>
      <c r="B10514" s="38">
        <v>50638.0</v>
      </c>
      <c r="C10514" s="38" t="s">
        <v>14515</v>
      </c>
      <c r="D10514" s="38" t="str">
        <f>IFERROR(__xludf.DUMMYFUNCTION("REGEXREPLACE(C10514,""-\d+(.*)|--\d+(.*)"","""")"),"VILLECHIEN")</f>
        <v>VILLECHIEN</v>
      </c>
      <c r="E10514" s="38" t="s">
        <v>157</v>
      </c>
      <c r="F10514" s="38" t="s">
        <v>138</v>
      </c>
      <c r="G10514" s="49" t="str">
        <f t="shared" si="1"/>
        <v>50140</v>
      </c>
      <c r="H10514" s="49">
        <f t="shared" si="2"/>
        <v>50638</v>
      </c>
    </row>
    <row r="10515">
      <c r="A10515" s="48" t="s">
        <v>997</v>
      </c>
      <c r="B10515" s="38">
        <v>55173.0</v>
      </c>
      <c r="C10515" s="38" t="s">
        <v>14516</v>
      </c>
      <c r="D10515" s="38" t="str">
        <f>IFERROR(__xludf.DUMMYFUNCTION("REGEXREPLACE(C10515,""-\d+(.*)|--\d+(.*)"","""")"),"EPIEZ-SUR-MEUSE")</f>
        <v>EPIEZ-SUR-MEUSE</v>
      </c>
      <c r="E10515" s="38" t="s">
        <v>322</v>
      </c>
      <c r="F10515" s="38" t="s">
        <v>195</v>
      </c>
      <c r="G10515" s="49" t="str">
        <f t="shared" si="1"/>
        <v>55140</v>
      </c>
      <c r="H10515" s="49">
        <f t="shared" si="2"/>
        <v>55173</v>
      </c>
    </row>
    <row r="10516">
      <c r="A10516" s="48" t="s">
        <v>3887</v>
      </c>
      <c r="B10516" s="38">
        <v>84051.0</v>
      </c>
      <c r="C10516" s="38" t="s">
        <v>14517</v>
      </c>
      <c r="D10516" s="38" t="str">
        <f>IFERROR(__xludf.DUMMYFUNCTION("REGEXREPLACE(C10516,""-\d+(.*)|--\d+(.*)"","""")"),"GOULT")</f>
        <v>GOULT</v>
      </c>
      <c r="E10516" s="38" t="s">
        <v>1026</v>
      </c>
      <c r="F10516" s="38" t="s">
        <v>228</v>
      </c>
      <c r="G10516" s="49" t="str">
        <f t="shared" si="1"/>
        <v>84220</v>
      </c>
      <c r="H10516" s="49">
        <f t="shared" si="2"/>
        <v>84051</v>
      </c>
    </row>
    <row r="10517">
      <c r="A10517" s="48" t="s">
        <v>14518</v>
      </c>
      <c r="B10517" s="38">
        <v>7185.0</v>
      </c>
      <c r="C10517" s="38" t="s">
        <v>3487</v>
      </c>
      <c r="D10517" s="38" t="str">
        <f>IFERROR(__xludf.DUMMYFUNCTION("REGEXREPLACE(C10517,""-\d+(.*)|--\d+(.*)"","""")"),"PREAUX")</f>
        <v>PREAUX</v>
      </c>
      <c r="E10517" s="38" t="s">
        <v>144</v>
      </c>
      <c r="F10517" s="38" t="s">
        <v>102</v>
      </c>
      <c r="G10517" s="49" t="str">
        <f t="shared" si="1"/>
        <v>07290</v>
      </c>
      <c r="H10517" s="49" t="str">
        <f t="shared" si="2"/>
        <v>07185</v>
      </c>
    </row>
    <row r="10518">
      <c r="A10518" s="48" t="s">
        <v>1462</v>
      </c>
      <c r="B10518" s="38">
        <v>11193.0</v>
      </c>
      <c r="C10518" s="38" t="s">
        <v>14519</v>
      </c>
      <c r="D10518" s="38" t="str">
        <f>IFERROR(__xludf.DUMMYFUNCTION("REGEXREPLACE(C10518,""-\d+(.*)|--\d+(.*)"","""")"),"LASSERRE-DE-PROUILLE")</f>
        <v>LASSERRE-DE-PROUILLE</v>
      </c>
      <c r="E10518" s="38" t="s">
        <v>278</v>
      </c>
      <c r="F10518" s="38" t="s">
        <v>119</v>
      </c>
      <c r="G10518" s="49" t="str">
        <f t="shared" si="1"/>
        <v>11270</v>
      </c>
      <c r="H10518" s="49">
        <f t="shared" si="2"/>
        <v>11193</v>
      </c>
    </row>
    <row r="10519">
      <c r="A10519" s="48" t="s">
        <v>997</v>
      </c>
      <c r="B10519" s="38">
        <v>55433.0</v>
      </c>
      <c r="C10519" s="38" t="s">
        <v>14520</v>
      </c>
      <c r="D10519" s="38" t="str">
        <f>IFERROR(__xludf.DUMMYFUNCTION("REGEXREPLACE(C10519,""-\d+(.*)|--\d+(.*)"","""")"),"RIGNY-LA-SALLE")</f>
        <v>RIGNY-LA-SALLE</v>
      </c>
      <c r="E10519" s="38" t="s">
        <v>322</v>
      </c>
      <c r="F10519" s="38" t="s">
        <v>195</v>
      </c>
      <c r="G10519" s="49" t="str">
        <f t="shared" si="1"/>
        <v>55140</v>
      </c>
      <c r="H10519" s="49">
        <f t="shared" si="2"/>
        <v>55433</v>
      </c>
    </row>
    <row r="10520">
      <c r="A10520" s="48" t="s">
        <v>14521</v>
      </c>
      <c r="B10520" s="38">
        <v>91631.0</v>
      </c>
      <c r="C10520" s="38" t="s">
        <v>14522</v>
      </c>
      <c r="D10520" s="38" t="str">
        <f>IFERROR(__xludf.DUMMYFUNCTION("REGEXREPLACE(C10520,""-\d+(.*)|--\d+(.*)"","""")"),"VARENNES-JARCY")</f>
        <v>VARENNES-JARCY</v>
      </c>
      <c r="E10520" s="38" t="s">
        <v>756</v>
      </c>
      <c r="F10520" s="38" t="s">
        <v>245</v>
      </c>
      <c r="G10520" s="49" t="str">
        <f t="shared" si="1"/>
        <v>91480</v>
      </c>
      <c r="H10520" s="49">
        <f t="shared" si="2"/>
        <v>91631</v>
      </c>
    </row>
    <row r="10521">
      <c r="A10521" s="48" t="s">
        <v>3517</v>
      </c>
      <c r="B10521" s="38">
        <v>49082.0</v>
      </c>
      <c r="C10521" s="38" t="s">
        <v>14523</v>
      </c>
      <c r="D10521" s="38" t="str">
        <f>IFERROR(__xludf.DUMMYFUNCTION("REGEXREPLACE(C10521,""-\d+(.*)|--\d+(.*)"","""")"),"CHAUDEFONDS-SUR-LAYON")</f>
        <v>CHAUDEFONDS-SUR-LAYON</v>
      </c>
      <c r="E10521" s="38" t="s">
        <v>653</v>
      </c>
      <c r="F10521" s="38" t="s">
        <v>180</v>
      </c>
      <c r="G10521" s="49" t="str">
        <f t="shared" si="1"/>
        <v>49290</v>
      </c>
      <c r="H10521" s="49">
        <f t="shared" si="2"/>
        <v>49082</v>
      </c>
    </row>
    <row r="10522">
      <c r="A10522" s="48" t="s">
        <v>1560</v>
      </c>
      <c r="B10522" s="38">
        <v>14648.0</v>
      </c>
      <c r="C10522" s="38" t="s">
        <v>13996</v>
      </c>
      <c r="D10522" s="38" t="str">
        <f>IFERROR(__xludf.DUMMYFUNCTION("REGEXREPLACE(C10522,""-\d+(.*)|--\d+(.*)"","""")"),"SAINT-PIERRE-DES-IFS")</f>
        <v>SAINT-PIERRE-DES-IFS</v>
      </c>
      <c r="E10522" s="38" t="s">
        <v>137</v>
      </c>
      <c r="F10522" s="38" t="s">
        <v>138</v>
      </c>
      <c r="G10522" s="49" t="str">
        <f t="shared" si="1"/>
        <v>14100</v>
      </c>
      <c r="H10522" s="49">
        <f t="shared" si="2"/>
        <v>14648</v>
      </c>
    </row>
    <row r="10523">
      <c r="A10523" s="48" t="s">
        <v>14524</v>
      </c>
      <c r="B10523" s="38">
        <v>69029.0</v>
      </c>
      <c r="C10523" s="38" t="s">
        <v>14525</v>
      </c>
      <c r="D10523" s="38" t="str">
        <f>IFERROR(__xludf.DUMMYFUNCTION("REGEXREPLACE(C10523,""-\d+(.*)|--\d+(.*)"","""")"),"BRON")</f>
        <v>BRON</v>
      </c>
      <c r="E10523" s="38" t="s">
        <v>350</v>
      </c>
      <c r="F10523" s="38" t="s">
        <v>102</v>
      </c>
      <c r="G10523" s="49" t="str">
        <f t="shared" si="1"/>
        <v>69500</v>
      </c>
      <c r="H10523" s="49">
        <f t="shared" si="2"/>
        <v>69029</v>
      </c>
    </row>
    <row r="10524">
      <c r="A10524" s="48" t="s">
        <v>3718</v>
      </c>
      <c r="B10524" s="38">
        <v>62399.0</v>
      </c>
      <c r="C10524" s="38" t="s">
        <v>14526</v>
      </c>
      <c r="D10524" s="38" t="str">
        <f>IFERROR(__xludf.DUMMYFUNCTION("REGEXREPLACE(C10524,""-\d+(.*)|--\d+(.*)"","""")"),"HABARCQ")</f>
        <v>HABARCQ</v>
      </c>
      <c r="E10524" s="38" t="s">
        <v>109</v>
      </c>
      <c r="F10524" s="38" t="s">
        <v>86</v>
      </c>
      <c r="G10524" s="49" t="str">
        <f t="shared" si="1"/>
        <v>62123</v>
      </c>
      <c r="H10524" s="49">
        <f t="shared" si="2"/>
        <v>62399</v>
      </c>
    </row>
    <row r="10525">
      <c r="A10525" s="48" t="s">
        <v>1686</v>
      </c>
      <c r="B10525" s="38">
        <v>51637.0</v>
      </c>
      <c r="C10525" s="38" t="s">
        <v>14527</v>
      </c>
      <c r="D10525" s="38" t="str">
        <f>IFERROR(__xludf.DUMMYFUNCTION("REGEXREPLACE(C10525,""-\d+(.*)|--\d+(.*)"","""")"),"VILLERS-SOUS-CHATILLON")</f>
        <v>VILLERS-SOUS-CHATILLON</v>
      </c>
      <c r="E10525" s="38" t="s">
        <v>129</v>
      </c>
      <c r="F10525" s="38" t="s">
        <v>130</v>
      </c>
      <c r="G10525" s="49" t="str">
        <f t="shared" si="1"/>
        <v>51700</v>
      </c>
      <c r="H10525" s="49">
        <f t="shared" si="2"/>
        <v>51637</v>
      </c>
    </row>
    <row r="10526">
      <c r="A10526" s="48" t="s">
        <v>10342</v>
      </c>
      <c r="B10526" s="38">
        <v>12095.0</v>
      </c>
      <c r="C10526" s="38" t="s">
        <v>14528</v>
      </c>
      <c r="D10526" s="38" t="str">
        <f>IFERROR(__xludf.DUMMYFUNCTION("REGEXREPLACE(C10526,""-\d+(.*)|--\d+(.*)"","""")"),"ESCANDOLIERES")</f>
        <v>ESCANDOLIERES</v>
      </c>
      <c r="E10526" s="38" t="s">
        <v>465</v>
      </c>
      <c r="F10526" s="38" t="s">
        <v>94</v>
      </c>
      <c r="G10526" s="49" t="str">
        <f t="shared" si="1"/>
        <v>12390</v>
      </c>
      <c r="H10526" s="49">
        <f t="shared" si="2"/>
        <v>12095</v>
      </c>
    </row>
    <row r="10527">
      <c r="A10527" s="48" t="s">
        <v>4517</v>
      </c>
      <c r="B10527" s="38">
        <v>58270.0</v>
      </c>
      <c r="C10527" s="38" t="s">
        <v>14529</v>
      </c>
      <c r="D10527" s="38" t="str">
        <f>IFERROR(__xludf.DUMMYFUNCTION("REGEXREPLACE(C10527,""-\d+(.*)|--\d+(.*)"","""")"),"SAINT-VERAIN")</f>
        <v>SAINT-VERAIN</v>
      </c>
      <c r="E10527" s="38" t="s">
        <v>219</v>
      </c>
      <c r="F10527" s="38" t="s">
        <v>106</v>
      </c>
      <c r="G10527" s="49" t="str">
        <f t="shared" si="1"/>
        <v>58310</v>
      </c>
      <c r="H10527" s="49">
        <f t="shared" si="2"/>
        <v>58270</v>
      </c>
    </row>
    <row r="10528">
      <c r="A10528" s="48" t="s">
        <v>1074</v>
      </c>
      <c r="B10528" s="38">
        <v>27297.0</v>
      </c>
      <c r="C10528" s="38" t="s">
        <v>14530</v>
      </c>
      <c r="D10528" s="38" t="str">
        <f>IFERROR(__xludf.DUMMYFUNCTION("REGEXREPLACE(C10528,""-\d+(.*)|--\d+(.*)"","""")"),"GRANDVILLIERS")</f>
        <v>GRANDVILLIERS</v>
      </c>
      <c r="E10528" s="38" t="s">
        <v>241</v>
      </c>
      <c r="F10528" s="38" t="s">
        <v>134</v>
      </c>
      <c r="G10528" s="49" t="str">
        <f t="shared" si="1"/>
        <v>27240</v>
      </c>
      <c r="H10528" s="49">
        <f t="shared" si="2"/>
        <v>27297</v>
      </c>
    </row>
    <row r="10529">
      <c r="A10529" s="48" t="s">
        <v>10550</v>
      </c>
      <c r="B10529" s="38">
        <v>45305.0</v>
      </c>
      <c r="C10529" s="38" t="s">
        <v>14531</v>
      </c>
      <c r="D10529" s="38" t="str">
        <f>IFERROR(__xludf.DUMMYFUNCTION("REGEXREPLACE(C10529,""-\d+(.*)|--\d+(.*)"","""")"),"SEICHEBRIERES")</f>
        <v>SEICHEBRIERES</v>
      </c>
      <c r="E10529" s="38" t="s">
        <v>122</v>
      </c>
      <c r="F10529" s="38" t="s">
        <v>123</v>
      </c>
      <c r="G10529" s="49" t="str">
        <f t="shared" si="1"/>
        <v>45530</v>
      </c>
      <c r="H10529" s="49">
        <f t="shared" si="2"/>
        <v>45305</v>
      </c>
    </row>
    <row r="10530">
      <c r="A10530" s="48" t="s">
        <v>3301</v>
      </c>
      <c r="B10530" s="38">
        <v>58128.0</v>
      </c>
      <c r="C10530" s="38" t="s">
        <v>14532</v>
      </c>
      <c r="D10530" s="38" t="str">
        <f>IFERROR(__xludf.DUMMYFUNCTION("REGEXREPLACE(C10530,""-\d+(.*)|--\d+(.*)"","""")"),"GLUX-EN-GLENNE")</f>
        <v>GLUX-EN-GLENNE</v>
      </c>
      <c r="E10530" s="38" t="s">
        <v>219</v>
      </c>
      <c r="F10530" s="38" t="s">
        <v>106</v>
      </c>
      <c r="G10530" s="49" t="str">
        <f t="shared" si="1"/>
        <v>58370</v>
      </c>
      <c r="H10530" s="49">
        <f t="shared" si="2"/>
        <v>58128</v>
      </c>
    </row>
    <row r="10531">
      <c r="A10531" s="48" t="s">
        <v>4907</v>
      </c>
      <c r="B10531" s="38">
        <v>73202.0</v>
      </c>
      <c r="C10531" s="38" t="s">
        <v>14533</v>
      </c>
      <c r="D10531" s="38" t="str">
        <f>IFERROR(__xludf.DUMMYFUNCTION("REGEXREPLACE(C10531,""-\d+(.*)|--\d+(.*)"","""")"),"PLANCHERINE")</f>
        <v>PLANCHERINE</v>
      </c>
      <c r="E10531" s="38" t="s">
        <v>306</v>
      </c>
      <c r="F10531" s="38" t="s">
        <v>102</v>
      </c>
      <c r="G10531" s="49" t="str">
        <f t="shared" si="1"/>
        <v>73200</v>
      </c>
      <c r="H10531" s="49">
        <f t="shared" si="2"/>
        <v>73202</v>
      </c>
    </row>
    <row r="10532">
      <c r="A10532" s="48" t="s">
        <v>1250</v>
      </c>
      <c r="B10532" s="38">
        <v>31276.0</v>
      </c>
      <c r="C10532" s="38" t="s">
        <v>3709</v>
      </c>
      <c r="D10532" s="38" t="str">
        <f>IFERROR(__xludf.DUMMYFUNCTION("REGEXREPLACE(C10532,""-\d+(.*)|--\d+(.*)"","""")"),"LARROQUE")</f>
        <v>LARROQUE</v>
      </c>
      <c r="E10532" s="38" t="s">
        <v>93</v>
      </c>
      <c r="F10532" s="38" t="s">
        <v>94</v>
      </c>
      <c r="G10532" s="49" t="str">
        <f t="shared" si="1"/>
        <v>31580</v>
      </c>
      <c r="H10532" s="49">
        <f t="shared" si="2"/>
        <v>31276</v>
      </c>
    </row>
    <row r="10533">
      <c r="A10533" s="48" t="s">
        <v>14534</v>
      </c>
      <c r="B10533" s="38">
        <v>65282.0</v>
      </c>
      <c r="C10533" s="38" t="s">
        <v>14535</v>
      </c>
      <c r="D10533" s="38" t="str">
        <f>IFERROR(__xludf.DUMMYFUNCTION("REGEXREPLACE(C10533,""-\d+(.*)|--\d+(.*)"","""")"),"LOUDENVIELLE")</f>
        <v>LOUDENVIELLE</v>
      </c>
      <c r="E10533" s="38" t="s">
        <v>200</v>
      </c>
      <c r="F10533" s="38" t="s">
        <v>94</v>
      </c>
      <c r="G10533" s="49" t="str">
        <f t="shared" si="1"/>
        <v>65510</v>
      </c>
      <c r="H10533" s="49">
        <f t="shared" si="2"/>
        <v>65282</v>
      </c>
    </row>
    <row r="10534">
      <c r="A10534" s="48" t="s">
        <v>5423</v>
      </c>
      <c r="B10534" s="38">
        <v>31400.0</v>
      </c>
      <c r="C10534" s="38" t="s">
        <v>14536</v>
      </c>
      <c r="D10534" s="38" t="str">
        <f>IFERROR(__xludf.DUMMYFUNCTION("REGEXREPLACE(C10534,""-\d+(.*)|--\d+(.*)"","""")"),"NOGARET")</f>
        <v>NOGARET</v>
      </c>
      <c r="E10534" s="38" t="s">
        <v>93</v>
      </c>
      <c r="F10534" s="38" t="s">
        <v>94</v>
      </c>
      <c r="G10534" s="49" t="str">
        <f t="shared" si="1"/>
        <v>31540</v>
      </c>
      <c r="H10534" s="49">
        <f t="shared" si="2"/>
        <v>31400</v>
      </c>
    </row>
    <row r="10535">
      <c r="A10535" s="48" t="s">
        <v>8365</v>
      </c>
      <c r="B10535" s="38">
        <v>39365.0</v>
      </c>
      <c r="C10535" s="38" t="s">
        <v>14537</v>
      </c>
      <c r="D10535" s="38" t="str">
        <f>IFERROR(__xludf.DUMMYFUNCTION("REGEXREPLACE(C10535,""-\d+(.*)|--\d+(.*)"","""")"),"MONT-SOUS-VAUDREY")</f>
        <v>MONT-SOUS-VAUDREY</v>
      </c>
      <c r="E10535" s="38" t="s">
        <v>400</v>
      </c>
      <c r="F10535" s="38" t="s">
        <v>214</v>
      </c>
      <c r="G10535" s="49" t="str">
        <f t="shared" si="1"/>
        <v>39380</v>
      </c>
      <c r="H10535" s="49">
        <f t="shared" si="2"/>
        <v>39365</v>
      </c>
    </row>
    <row r="10536">
      <c r="A10536" s="48" t="s">
        <v>4028</v>
      </c>
      <c r="B10536" s="38">
        <v>76682.0</v>
      </c>
      <c r="C10536" s="38" t="s">
        <v>14538</v>
      </c>
      <c r="D10536" s="38" t="str">
        <f>IFERROR(__xludf.DUMMYFUNCTION("REGEXREPLACE(C10536,""-\d+(.*)|--\d+(.*)"","""")"),"SOTTEVILLE-SOUS-LE-VAL")</f>
        <v>SOTTEVILLE-SOUS-LE-VAL</v>
      </c>
      <c r="E10536" s="38" t="s">
        <v>133</v>
      </c>
      <c r="F10536" s="38" t="s">
        <v>134</v>
      </c>
      <c r="G10536" s="49" t="str">
        <f t="shared" si="1"/>
        <v>76410</v>
      </c>
      <c r="H10536" s="49">
        <f t="shared" si="2"/>
        <v>76682</v>
      </c>
    </row>
    <row r="10537">
      <c r="A10537" s="48" t="s">
        <v>5142</v>
      </c>
      <c r="B10537" s="38">
        <v>58087.0</v>
      </c>
      <c r="C10537" s="38" t="s">
        <v>14539</v>
      </c>
      <c r="D10537" s="38" t="str">
        <f>IFERROR(__xludf.DUMMYFUNCTION("REGEXREPLACE(C10537,""-\d+(.*)|--\d+(.*)"","""")"),"COSSAYE")</f>
        <v>COSSAYE</v>
      </c>
      <c r="E10537" s="38" t="s">
        <v>219</v>
      </c>
      <c r="F10537" s="38" t="s">
        <v>106</v>
      </c>
      <c r="G10537" s="49" t="str">
        <f t="shared" si="1"/>
        <v>58300</v>
      </c>
      <c r="H10537" s="49">
        <f t="shared" si="2"/>
        <v>58087</v>
      </c>
    </row>
    <row r="10538">
      <c r="A10538" s="48" t="s">
        <v>14540</v>
      </c>
      <c r="B10538" s="38">
        <v>34149.0</v>
      </c>
      <c r="C10538" s="38" t="s">
        <v>14541</v>
      </c>
      <c r="D10538" s="38" t="str">
        <f>IFERROR(__xludf.DUMMYFUNCTION("REGEXREPLACE(C10538,""-\d+(.*)|--\d+(.*)"","""")"),"MARGON")</f>
        <v>MARGON</v>
      </c>
      <c r="E10538" s="38" t="s">
        <v>118</v>
      </c>
      <c r="F10538" s="38" t="s">
        <v>119</v>
      </c>
      <c r="G10538" s="49" t="str">
        <f t="shared" si="1"/>
        <v>34320</v>
      </c>
      <c r="H10538" s="49">
        <f t="shared" si="2"/>
        <v>34149</v>
      </c>
    </row>
    <row r="10539">
      <c r="A10539" s="48" t="s">
        <v>4543</v>
      </c>
      <c r="B10539" s="38">
        <v>64202.0</v>
      </c>
      <c r="C10539" s="38" t="s">
        <v>14542</v>
      </c>
      <c r="D10539" s="38" t="str">
        <f>IFERROR(__xludf.DUMMYFUNCTION("REGEXREPLACE(C10539,""-\d+(.*)|--\d+(.*)"","""")"),"DOMEZAIN-BERRAUTE")</f>
        <v>DOMEZAIN-BERRAUTE</v>
      </c>
      <c r="E10539" s="38" t="s">
        <v>268</v>
      </c>
      <c r="F10539" s="38" t="s">
        <v>252</v>
      </c>
      <c r="G10539" s="49" t="str">
        <f t="shared" si="1"/>
        <v>64120</v>
      </c>
      <c r="H10539" s="49">
        <f t="shared" si="2"/>
        <v>64202</v>
      </c>
    </row>
    <row r="10540">
      <c r="A10540" s="48" t="s">
        <v>8338</v>
      </c>
      <c r="B10540" s="38">
        <v>47009.0</v>
      </c>
      <c r="C10540" s="38" t="s">
        <v>14543</v>
      </c>
      <c r="D10540" s="38" t="str">
        <f>IFERROR(__xludf.DUMMYFUNCTION("REGEXREPLACE(C10540,""-\d+(.*)|--\d+(.*)"","""")"),"ANDIRAN")</f>
        <v>ANDIRAN</v>
      </c>
      <c r="E10540" s="38" t="s">
        <v>251</v>
      </c>
      <c r="F10540" s="38" t="s">
        <v>252</v>
      </c>
      <c r="G10540" s="49" t="str">
        <f t="shared" si="1"/>
        <v>47170</v>
      </c>
      <c r="H10540" s="49">
        <f t="shared" si="2"/>
        <v>47009</v>
      </c>
    </row>
    <row r="10541">
      <c r="A10541" s="48" t="s">
        <v>5449</v>
      </c>
      <c r="B10541" s="38">
        <v>59637.0</v>
      </c>
      <c r="C10541" s="38" t="s">
        <v>14544</v>
      </c>
      <c r="D10541" s="38" t="str">
        <f>IFERROR(__xludf.DUMMYFUNCTION("REGEXREPLACE(C10541,""-\d+(.*)|--\d+(.*)"","""")"),"WANDIGNIES-HAMAGE")</f>
        <v>WANDIGNIES-HAMAGE</v>
      </c>
      <c r="E10541" s="38" t="s">
        <v>85</v>
      </c>
      <c r="F10541" s="38" t="s">
        <v>86</v>
      </c>
      <c r="G10541" s="49" t="str">
        <f t="shared" si="1"/>
        <v>59870</v>
      </c>
      <c r="H10541" s="49">
        <f t="shared" si="2"/>
        <v>59637</v>
      </c>
    </row>
    <row r="10542">
      <c r="A10542" s="48" t="s">
        <v>2261</v>
      </c>
      <c r="B10542" s="38">
        <v>9136.0</v>
      </c>
      <c r="C10542" s="38" t="s">
        <v>14545</v>
      </c>
      <c r="D10542" s="38" t="str">
        <f>IFERROR(__xludf.DUMMYFUNCTION("REGEXREPLACE(C10542,""-\d+(.*)|--\d+(.*)"","""")"),"GOURBIT")</f>
        <v>GOURBIT</v>
      </c>
      <c r="E10542" s="38" t="s">
        <v>238</v>
      </c>
      <c r="F10542" s="38" t="s">
        <v>94</v>
      </c>
      <c r="G10542" s="49" t="str">
        <f t="shared" si="1"/>
        <v>09400</v>
      </c>
      <c r="H10542" s="49" t="str">
        <f t="shared" si="2"/>
        <v>09136</v>
      </c>
    </row>
    <row r="10543">
      <c r="A10543" s="48" t="s">
        <v>1033</v>
      </c>
      <c r="B10543" s="38">
        <v>67097.0</v>
      </c>
      <c r="C10543" s="38" t="s">
        <v>14546</v>
      </c>
      <c r="D10543" s="38" t="str">
        <f>IFERROR(__xludf.DUMMYFUNCTION("REGEXREPLACE(C10543,""-\d+(.*)|--\d+(.*)"","""")"),"DINGSHEIM")</f>
        <v>DINGSHEIM</v>
      </c>
      <c r="E10543" s="38" t="s">
        <v>210</v>
      </c>
      <c r="F10543" s="38" t="s">
        <v>151</v>
      </c>
      <c r="G10543" s="49" t="str">
        <f t="shared" si="1"/>
        <v>67370</v>
      </c>
      <c r="H10543" s="49">
        <f t="shared" si="2"/>
        <v>67097</v>
      </c>
    </row>
    <row r="10544">
      <c r="A10544" s="48" t="s">
        <v>4709</v>
      </c>
      <c r="B10544" s="38">
        <v>95141.0</v>
      </c>
      <c r="C10544" s="38" t="s">
        <v>128</v>
      </c>
      <c r="D10544" s="38" t="str">
        <f>IFERROR(__xludf.DUMMYFUNCTION("REGEXREPLACE(C10544,""-\d+(.*)|--\d+(.*)"","""")"),"CHARMONT")</f>
        <v>CHARMONT</v>
      </c>
      <c r="E10544" s="38" t="s">
        <v>541</v>
      </c>
      <c r="F10544" s="38" t="s">
        <v>245</v>
      </c>
      <c r="G10544" s="49" t="str">
        <f t="shared" si="1"/>
        <v>95420</v>
      </c>
      <c r="H10544" s="49">
        <f t="shared" si="2"/>
        <v>95141</v>
      </c>
    </row>
    <row r="10545">
      <c r="A10545" s="48" t="s">
        <v>6184</v>
      </c>
      <c r="B10545" s="38">
        <v>7199.0</v>
      </c>
      <c r="C10545" s="38" t="s">
        <v>14547</v>
      </c>
      <c r="D10545" s="38" t="str">
        <f>IFERROR(__xludf.DUMMYFUNCTION("REGEXREPLACE(C10545,""-\d+(.*)|--\d+(.*)"","""")"),"ROSIERES")</f>
        <v>ROSIERES</v>
      </c>
      <c r="E10545" s="38" t="s">
        <v>144</v>
      </c>
      <c r="F10545" s="38" t="s">
        <v>102</v>
      </c>
      <c r="G10545" s="49" t="str">
        <f t="shared" si="1"/>
        <v>07260</v>
      </c>
      <c r="H10545" s="49" t="str">
        <f t="shared" si="2"/>
        <v>07199</v>
      </c>
    </row>
    <row r="10546">
      <c r="A10546" s="48" t="s">
        <v>1731</v>
      </c>
      <c r="B10546" s="38">
        <v>38138.0</v>
      </c>
      <c r="C10546" s="38" t="s">
        <v>14548</v>
      </c>
      <c r="D10546" s="38" t="str">
        <f>IFERROR(__xludf.DUMMYFUNCTION("REGEXREPLACE(C10546,""-\d+(.*)|--\d+(.*)"","""")"),"CREMIEU")</f>
        <v>CREMIEU</v>
      </c>
      <c r="E10546" s="38" t="s">
        <v>101</v>
      </c>
      <c r="F10546" s="38" t="s">
        <v>102</v>
      </c>
      <c r="G10546" s="49" t="str">
        <f t="shared" si="1"/>
        <v>38460</v>
      </c>
      <c r="H10546" s="49">
        <f t="shared" si="2"/>
        <v>38138</v>
      </c>
    </row>
    <row r="10547">
      <c r="A10547" s="48" t="s">
        <v>466</v>
      </c>
      <c r="B10547" s="38">
        <v>52250.0</v>
      </c>
      <c r="C10547" s="38" t="s">
        <v>14549</v>
      </c>
      <c r="D10547" s="38" t="str">
        <f>IFERROR(__xludf.DUMMYFUNCTION("REGEXREPLACE(C10547,""-\d+(.*)|--\d+(.*)"","""")"),"JOINVILLE")</f>
        <v>JOINVILLE</v>
      </c>
      <c r="E10547" s="38" t="s">
        <v>234</v>
      </c>
      <c r="F10547" s="38" t="s">
        <v>130</v>
      </c>
      <c r="G10547" s="49" t="str">
        <f t="shared" si="1"/>
        <v>52300</v>
      </c>
      <c r="H10547" s="49">
        <f t="shared" si="2"/>
        <v>52250</v>
      </c>
    </row>
    <row r="10548">
      <c r="A10548" s="48" t="s">
        <v>3458</v>
      </c>
      <c r="B10548" s="38">
        <v>52399.0</v>
      </c>
      <c r="C10548" s="38" t="s">
        <v>14550</v>
      </c>
      <c r="D10548" s="38" t="str">
        <f>IFERROR(__xludf.DUMMYFUNCTION("REGEXREPLACE(C10548,""-\d+(.*)|--\d+(.*)"","""")"),"PONT-LA-VILLE")</f>
        <v>PONT-LA-VILLE</v>
      </c>
      <c r="E10548" s="38" t="s">
        <v>234</v>
      </c>
      <c r="F10548" s="38" t="s">
        <v>130</v>
      </c>
      <c r="G10548" s="49" t="str">
        <f t="shared" si="1"/>
        <v>52120</v>
      </c>
      <c r="H10548" s="49">
        <f t="shared" si="2"/>
        <v>52399</v>
      </c>
    </row>
    <row r="10549">
      <c r="A10549" s="48" t="s">
        <v>13263</v>
      </c>
      <c r="B10549" s="38">
        <v>50208.0</v>
      </c>
      <c r="C10549" s="38" t="s">
        <v>14551</v>
      </c>
      <c r="D10549" s="38" t="str">
        <f>IFERROR(__xludf.DUMMYFUNCTION("REGEXREPLACE(C10549,""-\d+(.*)|--\d+(.*)"","""")"),"GONFREVILLE")</f>
        <v>GONFREVILLE</v>
      </c>
      <c r="E10549" s="38" t="s">
        <v>157</v>
      </c>
      <c r="F10549" s="38" t="s">
        <v>138</v>
      </c>
      <c r="G10549" s="49" t="str">
        <f t="shared" si="1"/>
        <v>50190</v>
      </c>
      <c r="H10549" s="49">
        <f t="shared" si="2"/>
        <v>50208</v>
      </c>
    </row>
    <row r="10550">
      <c r="A10550" s="48" t="s">
        <v>1552</v>
      </c>
      <c r="B10550" s="38">
        <v>53082.0</v>
      </c>
      <c r="C10550" s="38" t="s">
        <v>14552</v>
      </c>
      <c r="D10550" s="38" t="str">
        <f>IFERROR(__xludf.DUMMYFUNCTION("REGEXREPLACE(C10550,""-\d+(.*)|--\d+(.*)"","""")"),"COURBEVEILLE")</f>
        <v>COURBEVEILLE</v>
      </c>
      <c r="E10550" s="38" t="s">
        <v>518</v>
      </c>
      <c r="F10550" s="38" t="s">
        <v>180</v>
      </c>
      <c r="G10550" s="49" t="str">
        <f t="shared" si="1"/>
        <v>53230</v>
      </c>
      <c r="H10550" s="49">
        <f t="shared" si="2"/>
        <v>53082</v>
      </c>
    </row>
    <row r="10551">
      <c r="A10551" s="48" t="s">
        <v>14553</v>
      </c>
      <c r="B10551" s="38">
        <v>85106.0</v>
      </c>
      <c r="C10551" s="38" t="s">
        <v>14554</v>
      </c>
      <c r="D10551" s="38" t="str">
        <f>IFERROR(__xludf.DUMMYFUNCTION("REGEXREPLACE(C10551,""-\d+(.*)|--\d+(.*)"","""")"),"LA GUERINIERE")</f>
        <v>LA GUERINIERE</v>
      </c>
      <c r="E10551" s="38" t="s">
        <v>179</v>
      </c>
      <c r="F10551" s="38" t="s">
        <v>180</v>
      </c>
      <c r="G10551" s="49" t="str">
        <f t="shared" si="1"/>
        <v>85680</v>
      </c>
      <c r="H10551" s="49">
        <f t="shared" si="2"/>
        <v>85106</v>
      </c>
    </row>
    <row r="10552">
      <c r="A10552" s="48" t="s">
        <v>7763</v>
      </c>
      <c r="B10552" s="38">
        <v>89091.0</v>
      </c>
      <c r="C10552" s="38" t="s">
        <v>14555</v>
      </c>
      <c r="D10552" s="38" t="str">
        <f>IFERROR(__xludf.DUMMYFUNCTION("REGEXREPLACE(C10552,""-\d+(.*)|--\d+(.*)"","""")"),"CHATEL-CENSOIR")</f>
        <v>CHATEL-CENSOIR</v>
      </c>
      <c r="E10552" s="38" t="s">
        <v>275</v>
      </c>
      <c r="F10552" s="38" t="s">
        <v>106</v>
      </c>
      <c r="G10552" s="49" t="str">
        <f t="shared" si="1"/>
        <v>89660</v>
      </c>
      <c r="H10552" s="49">
        <f t="shared" si="2"/>
        <v>89091</v>
      </c>
    </row>
    <row r="10553">
      <c r="A10553" s="48" t="s">
        <v>10214</v>
      </c>
      <c r="B10553" s="38">
        <v>81036.0</v>
      </c>
      <c r="C10553" s="38" t="s">
        <v>14556</v>
      </c>
      <c r="D10553" s="38" t="str">
        <f>IFERROR(__xludf.DUMMYFUNCTION("REGEXREPLACE(C10553,""-\d+(.*)|--\d+(.*)"","""")"),"BOUT-DU-PONT-DE-LARN")</f>
        <v>BOUT-DU-PONT-DE-LARN</v>
      </c>
      <c r="E10553" s="38" t="s">
        <v>231</v>
      </c>
      <c r="F10553" s="38" t="s">
        <v>94</v>
      </c>
      <c r="G10553" s="49" t="str">
        <f t="shared" si="1"/>
        <v>81660</v>
      </c>
      <c r="H10553" s="49">
        <f t="shared" si="2"/>
        <v>81036</v>
      </c>
    </row>
    <row r="10554">
      <c r="A10554" s="48" t="s">
        <v>633</v>
      </c>
      <c r="B10554" s="38">
        <v>85119.0</v>
      </c>
      <c r="C10554" s="38" t="s">
        <v>14557</v>
      </c>
      <c r="D10554" s="38" t="str">
        <f>IFERROR(__xludf.DUMMYFUNCTION("REGEXREPLACE(C10554,""-\d+(.*)|--\d+(.*)"","""")"),"LES LANDES-GENUSSON")</f>
        <v>LES LANDES-GENUSSON</v>
      </c>
      <c r="E10554" s="38" t="s">
        <v>179</v>
      </c>
      <c r="F10554" s="38" t="s">
        <v>180</v>
      </c>
      <c r="G10554" s="49" t="str">
        <f t="shared" si="1"/>
        <v>85130</v>
      </c>
      <c r="H10554" s="49">
        <f t="shared" si="2"/>
        <v>85119</v>
      </c>
    </row>
    <row r="10555">
      <c r="A10555" s="48" t="s">
        <v>1176</v>
      </c>
      <c r="B10555" s="38">
        <v>57733.0</v>
      </c>
      <c r="C10555" s="38" t="s">
        <v>14558</v>
      </c>
      <c r="D10555" s="38" t="str">
        <f>IFERROR(__xludf.DUMMYFUNCTION("REGEXREPLACE(C10555,""-\d+(.*)|--\d+(.*)"","""")"),"VOLSTROFF")</f>
        <v>VOLSTROFF</v>
      </c>
      <c r="E10555" s="38" t="s">
        <v>303</v>
      </c>
      <c r="F10555" s="38" t="s">
        <v>195</v>
      </c>
      <c r="G10555" s="49" t="str">
        <f t="shared" si="1"/>
        <v>57940</v>
      </c>
      <c r="H10555" s="49">
        <f t="shared" si="2"/>
        <v>57733</v>
      </c>
    </row>
    <row r="10556">
      <c r="A10556" s="48" t="s">
        <v>4703</v>
      </c>
      <c r="B10556" s="38">
        <v>66149.0</v>
      </c>
      <c r="C10556" s="38" t="s">
        <v>14559</v>
      </c>
      <c r="D10556" s="38" t="str">
        <f>IFERROR(__xludf.DUMMYFUNCTION("REGEXREPLACE(C10556,""-\d+(.*)|--\d+(.*)"","""")"),"PRADES")</f>
        <v>PRADES</v>
      </c>
      <c r="E10556" s="38" t="s">
        <v>248</v>
      </c>
      <c r="F10556" s="38" t="s">
        <v>119</v>
      </c>
      <c r="G10556" s="49" t="str">
        <f t="shared" si="1"/>
        <v>66500</v>
      </c>
      <c r="H10556" s="49">
        <f t="shared" si="2"/>
        <v>66149</v>
      </c>
    </row>
    <row r="10557">
      <c r="A10557" s="48" t="s">
        <v>8424</v>
      </c>
      <c r="B10557" s="38">
        <v>47099.0</v>
      </c>
      <c r="C10557" s="38" t="s">
        <v>14560</v>
      </c>
      <c r="D10557" s="38" t="str">
        <f>IFERROR(__xludf.DUMMYFUNCTION("REGEXREPLACE(C10557,""-\d+(.*)|--\d+(.*)"","""")"),"FONGRAVE")</f>
        <v>FONGRAVE</v>
      </c>
      <c r="E10557" s="38" t="s">
        <v>251</v>
      </c>
      <c r="F10557" s="38" t="s">
        <v>252</v>
      </c>
      <c r="G10557" s="49" t="str">
        <f t="shared" si="1"/>
        <v>47260</v>
      </c>
      <c r="H10557" s="49">
        <f t="shared" si="2"/>
        <v>47099</v>
      </c>
    </row>
    <row r="10558">
      <c r="A10558" s="48" t="s">
        <v>3662</v>
      </c>
      <c r="B10558" s="38">
        <v>80361.0</v>
      </c>
      <c r="C10558" s="38" t="s">
        <v>14561</v>
      </c>
      <c r="D10558" s="38" t="str">
        <f>IFERROR(__xludf.DUMMYFUNCTION("REGEXREPLACE(C10558,""-\d+(.*)|--\d+(.*)"","""")"),"FRETTECUISSE")</f>
        <v>FRETTECUISSE</v>
      </c>
      <c r="E10558" s="38" t="s">
        <v>224</v>
      </c>
      <c r="F10558" s="38" t="s">
        <v>113</v>
      </c>
      <c r="G10558" s="49" t="str">
        <f t="shared" si="1"/>
        <v>80140</v>
      </c>
      <c r="H10558" s="49">
        <f t="shared" si="2"/>
        <v>80361</v>
      </c>
    </row>
    <row r="10559">
      <c r="A10559" s="48" t="s">
        <v>1669</v>
      </c>
      <c r="B10559" s="38">
        <v>21146.0</v>
      </c>
      <c r="C10559" s="38" t="s">
        <v>1442</v>
      </c>
      <c r="D10559" s="38" t="str">
        <f>IFERROR(__xludf.DUMMYFUNCTION("REGEXREPLACE(C10559,""-\d+(.*)|--\d+(.*)"","""")"),"CHARMES")</f>
        <v>CHARMES</v>
      </c>
      <c r="E10559" s="38" t="s">
        <v>105</v>
      </c>
      <c r="F10559" s="38" t="s">
        <v>106</v>
      </c>
      <c r="G10559" s="49" t="str">
        <f t="shared" si="1"/>
        <v>21310</v>
      </c>
      <c r="H10559" s="49">
        <f t="shared" si="2"/>
        <v>21146</v>
      </c>
    </row>
    <row r="10560">
      <c r="A10560" s="48" t="s">
        <v>1804</v>
      </c>
      <c r="B10560" s="38">
        <v>78030.0</v>
      </c>
      <c r="C10560" s="38" t="s">
        <v>14562</v>
      </c>
      <c r="D10560" s="38" t="str">
        <f>IFERROR(__xludf.DUMMYFUNCTION("REGEXREPLACE(C10560,""-\d+(.*)|--\d+(.*)"","""")"),"AUFFARGIS")</f>
        <v>AUFFARGIS</v>
      </c>
      <c r="E10560" s="38" t="s">
        <v>362</v>
      </c>
      <c r="F10560" s="38" t="s">
        <v>245</v>
      </c>
      <c r="G10560" s="49" t="str">
        <f t="shared" si="1"/>
        <v>78610</v>
      </c>
      <c r="H10560" s="49">
        <f t="shared" si="2"/>
        <v>78030</v>
      </c>
    </row>
    <row r="10561">
      <c r="A10561" s="48" t="s">
        <v>14563</v>
      </c>
      <c r="B10561" s="38">
        <v>29066.0</v>
      </c>
      <c r="C10561" s="38" t="s">
        <v>14564</v>
      </c>
      <c r="D10561" s="38" t="str">
        <f>IFERROR(__xludf.DUMMYFUNCTION("REGEXREPLACE(C10561,""-\d+(.*)|--\d+(.*)"","""")"),"GUENGAT")</f>
        <v>GUENGAT</v>
      </c>
      <c r="E10561" s="38" t="s">
        <v>176</v>
      </c>
      <c r="F10561" s="38" t="s">
        <v>90</v>
      </c>
      <c r="G10561" s="49" t="str">
        <f t="shared" si="1"/>
        <v>29180</v>
      </c>
      <c r="H10561" s="49">
        <f t="shared" si="2"/>
        <v>29066</v>
      </c>
    </row>
    <row r="10562">
      <c r="A10562" s="48" t="s">
        <v>702</v>
      </c>
      <c r="B10562" s="38">
        <v>31457.0</v>
      </c>
      <c r="C10562" s="38" t="s">
        <v>14565</v>
      </c>
      <c r="D10562" s="38" t="str">
        <f>IFERROR(__xludf.DUMMYFUNCTION("REGEXREPLACE(C10562,""-\d+(.*)|--\d+(.*)"","""")"),"ROQUEFORT-SUR-GARONNE")</f>
        <v>ROQUEFORT-SUR-GARONNE</v>
      </c>
      <c r="E10562" s="38" t="s">
        <v>93</v>
      </c>
      <c r="F10562" s="38" t="s">
        <v>94</v>
      </c>
      <c r="G10562" s="49" t="str">
        <f t="shared" si="1"/>
        <v>31360</v>
      </c>
      <c r="H10562" s="49">
        <f t="shared" si="2"/>
        <v>31457</v>
      </c>
    </row>
    <row r="10563">
      <c r="A10563" s="48" t="s">
        <v>3498</v>
      </c>
      <c r="B10563" s="38">
        <v>38460.0</v>
      </c>
      <c r="C10563" s="38" t="s">
        <v>14566</v>
      </c>
      <c r="D10563" s="38" t="str">
        <f>IFERROR(__xludf.DUMMYFUNCTION("REGEXREPLACE(C10563,""-\d+(.*)|--\d+(.*)"","""")"),"SAINT-SULPICE-DES-RIVOIRES")</f>
        <v>SAINT-SULPICE-DES-RIVOIRES</v>
      </c>
      <c r="E10563" s="38" t="s">
        <v>101</v>
      </c>
      <c r="F10563" s="38" t="s">
        <v>102</v>
      </c>
      <c r="G10563" s="49" t="str">
        <f t="shared" si="1"/>
        <v>38620</v>
      </c>
      <c r="H10563" s="49">
        <f t="shared" si="2"/>
        <v>38460</v>
      </c>
    </row>
    <row r="10564">
      <c r="A10564" s="48" t="s">
        <v>4000</v>
      </c>
      <c r="B10564" s="38">
        <v>42279.0</v>
      </c>
      <c r="C10564" s="38" t="s">
        <v>14567</v>
      </c>
      <c r="D10564" s="38" t="str">
        <f>IFERROR(__xludf.DUMMYFUNCTION("REGEXREPLACE(C10564,""-\d+(.*)|--\d+(.*)"","""")"),"SAINT-JUST-SAINT-RAMBERT")</f>
        <v>SAINT-JUST-SAINT-RAMBERT</v>
      </c>
      <c r="E10564" s="38" t="s">
        <v>166</v>
      </c>
      <c r="F10564" s="38" t="s">
        <v>102</v>
      </c>
      <c r="G10564" s="49" t="str">
        <f t="shared" si="1"/>
        <v>42170</v>
      </c>
      <c r="H10564" s="49">
        <f t="shared" si="2"/>
        <v>42279</v>
      </c>
    </row>
    <row r="10565">
      <c r="A10565" s="48" t="s">
        <v>5166</v>
      </c>
      <c r="B10565" s="38">
        <v>26361.0</v>
      </c>
      <c r="C10565" s="38" t="s">
        <v>14568</v>
      </c>
      <c r="D10565" s="38" t="str">
        <f>IFERROR(__xludf.DUMMYFUNCTION("REGEXREPLACE(C10565,""-\d+(.*)|--\d+(.*)"","""")"),"VALDROME")</f>
        <v>VALDROME</v>
      </c>
      <c r="E10565" s="38" t="s">
        <v>126</v>
      </c>
      <c r="F10565" s="38" t="s">
        <v>102</v>
      </c>
      <c r="G10565" s="49" t="str">
        <f t="shared" si="1"/>
        <v>26310</v>
      </c>
      <c r="H10565" s="49">
        <f t="shared" si="2"/>
        <v>26361</v>
      </c>
    </row>
    <row r="10566">
      <c r="A10566" s="48" t="s">
        <v>1066</v>
      </c>
      <c r="B10566" s="38">
        <v>49001.0</v>
      </c>
      <c r="C10566" s="38" t="s">
        <v>13593</v>
      </c>
      <c r="D10566" s="38" t="str">
        <f>IFERROR(__xludf.DUMMYFUNCTION("REGEXREPLACE(C10566,""-\d+(.*)|--\d+(.*)"","""")"),"LES ALLEUDS")</f>
        <v>LES ALLEUDS</v>
      </c>
      <c r="E10566" s="38" t="s">
        <v>653</v>
      </c>
      <c r="F10566" s="38" t="s">
        <v>180</v>
      </c>
      <c r="G10566" s="49" t="str">
        <f t="shared" si="1"/>
        <v>49320</v>
      </c>
      <c r="H10566" s="49">
        <f t="shared" si="2"/>
        <v>49001</v>
      </c>
    </row>
    <row r="10567">
      <c r="A10567" s="48" t="s">
        <v>1628</v>
      </c>
      <c r="B10567" s="38">
        <v>70293.0</v>
      </c>
      <c r="C10567" s="38" t="s">
        <v>14569</v>
      </c>
      <c r="D10567" s="38" t="str">
        <f>IFERROR(__xludf.DUMMYFUNCTION("REGEXREPLACE(C10567,""-\d+(.*)|--\d+(.*)"","""")"),"LAMBREY")</f>
        <v>LAMBREY</v>
      </c>
      <c r="E10567" s="38" t="s">
        <v>956</v>
      </c>
      <c r="F10567" s="38" t="s">
        <v>214</v>
      </c>
      <c r="G10567" s="49" t="str">
        <f t="shared" si="1"/>
        <v>70500</v>
      </c>
      <c r="H10567" s="49">
        <f t="shared" si="2"/>
        <v>70293</v>
      </c>
    </row>
    <row r="10568">
      <c r="A10568" s="48" t="s">
        <v>7355</v>
      </c>
      <c r="B10568" s="38">
        <v>33053.0</v>
      </c>
      <c r="C10568" s="38" t="s">
        <v>8433</v>
      </c>
      <c r="D10568" s="38" t="str">
        <f>IFERROR(__xludf.DUMMYFUNCTION("REGEXREPLACE(C10568,""-\d+(.*)|--\d+(.*)"","""")"),"BIRAC")</f>
        <v>BIRAC</v>
      </c>
      <c r="E10568" s="38" t="s">
        <v>462</v>
      </c>
      <c r="F10568" s="38" t="s">
        <v>252</v>
      </c>
      <c r="G10568" s="49" t="str">
        <f t="shared" si="1"/>
        <v>33430</v>
      </c>
      <c r="H10568" s="49">
        <f t="shared" si="2"/>
        <v>33053</v>
      </c>
    </row>
    <row r="10569">
      <c r="A10569" s="48" t="s">
        <v>3780</v>
      </c>
      <c r="B10569" s="38">
        <v>50221.0</v>
      </c>
      <c r="C10569" s="38" t="s">
        <v>14570</v>
      </c>
      <c r="D10569" s="38" t="str">
        <f>IFERROR(__xludf.DUMMYFUNCTION("REGEXREPLACE(C10569,""-\d+(.*)|--\d+(.*)"","""")"),"GRIMESNIL")</f>
        <v>GRIMESNIL</v>
      </c>
      <c r="E10569" s="38" t="s">
        <v>157</v>
      </c>
      <c r="F10569" s="38" t="s">
        <v>138</v>
      </c>
      <c r="G10569" s="49" t="str">
        <f t="shared" si="1"/>
        <v>50450</v>
      </c>
      <c r="H10569" s="49">
        <f t="shared" si="2"/>
        <v>50221</v>
      </c>
    </row>
    <row r="10570">
      <c r="A10570" s="48" t="s">
        <v>14571</v>
      </c>
      <c r="B10570" s="38">
        <v>59109.0</v>
      </c>
      <c r="C10570" s="38" t="s">
        <v>14572</v>
      </c>
      <c r="D10570" s="38" t="str">
        <f>IFERROR(__xludf.DUMMYFUNCTION("REGEXREPLACE(C10570,""-\d+(.*)|--\d+(.*)"","""")"),"BRILLON")</f>
        <v>BRILLON</v>
      </c>
      <c r="E10570" s="38" t="s">
        <v>85</v>
      </c>
      <c r="F10570" s="38" t="s">
        <v>86</v>
      </c>
      <c r="G10570" s="49" t="str">
        <f t="shared" si="1"/>
        <v>59178</v>
      </c>
      <c r="H10570" s="49">
        <f t="shared" si="2"/>
        <v>59109</v>
      </c>
    </row>
    <row r="10571">
      <c r="A10571" s="48" t="s">
        <v>507</v>
      </c>
      <c r="B10571" s="38">
        <v>8103.0</v>
      </c>
      <c r="C10571" s="38" t="s">
        <v>14573</v>
      </c>
      <c r="D10571" s="38" t="str">
        <f>IFERROR(__xludf.DUMMYFUNCTION("REGEXREPLACE(C10571,""-\d+(.*)|--\d+(.*)"","""")"),"CHARBOGNE")</f>
        <v>CHARBOGNE</v>
      </c>
      <c r="E10571" s="38" t="s">
        <v>327</v>
      </c>
      <c r="F10571" s="38" t="s">
        <v>130</v>
      </c>
      <c r="G10571" s="49" t="str">
        <f t="shared" si="1"/>
        <v>08130</v>
      </c>
      <c r="H10571" s="49" t="str">
        <f t="shared" si="2"/>
        <v>08103</v>
      </c>
    </row>
    <row r="10572">
      <c r="A10572" s="48" t="s">
        <v>12997</v>
      </c>
      <c r="B10572" s="38">
        <v>65425.0</v>
      </c>
      <c r="C10572" s="38" t="s">
        <v>14574</v>
      </c>
      <c r="D10572" s="38" t="str">
        <f>IFERROR(__xludf.DUMMYFUNCTION("REGEXREPLACE(C10572,""-\d+(.*)|--\d+(.*)"","""")"),"SIARROUY")</f>
        <v>SIARROUY</v>
      </c>
      <c r="E10572" s="38" t="s">
        <v>200</v>
      </c>
      <c r="F10572" s="38" t="s">
        <v>94</v>
      </c>
      <c r="G10572" s="49" t="str">
        <f t="shared" si="1"/>
        <v>65500</v>
      </c>
      <c r="H10572" s="49">
        <f t="shared" si="2"/>
        <v>65425</v>
      </c>
    </row>
    <row r="10573">
      <c r="A10573" s="48" t="s">
        <v>5097</v>
      </c>
      <c r="B10573" s="38">
        <v>59134.0</v>
      </c>
      <c r="C10573" s="38" t="s">
        <v>14575</v>
      </c>
      <c r="D10573" s="38" t="str">
        <f>IFERROR(__xludf.DUMMYFUNCTION("REGEXREPLACE(C10573,""-\d+(.*)|--\d+(.*)"","""")"),"CARTIGNIES")</f>
        <v>CARTIGNIES</v>
      </c>
      <c r="E10573" s="38" t="s">
        <v>85</v>
      </c>
      <c r="F10573" s="38" t="s">
        <v>86</v>
      </c>
      <c r="G10573" s="49" t="str">
        <f t="shared" si="1"/>
        <v>59244</v>
      </c>
      <c r="H10573" s="49">
        <f t="shared" si="2"/>
        <v>59134</v>
      </c>
    </row>
    <row r="10574">
      <c r="A10574" s="48" t="s">
        <v>3198</v>
      </c>
      <c r="B10574" s="38">
        <v>32190.0</v>
      </c>
      <c r="C10574" s="38" t="s">
        <v>14576</v>
      </c>
      <c r="D10574" s="38" t="str">
        <f>IFERROR(__xludf.DUMMYFUNCTION("REGEXREPLACE(C10574,""-\d+(.*)|--\d+(.*)"","""")"),"LANNEPAX")</f>
        <v>LANNEPAX</v>
      </c>
      <c r="E10574" s="38" t="s">
        <v>440</v>
      </c>
      <c r="F10574" s="38" t="s">
        <v>94</v>
      </c>
      <c r="G10574" s="49" t="str">
        <f t="shared" si="1"/>
        <v>32190</v>
      </c>
      <c r="H10574" s="49">
        <f t="shared" si="2"/>
        <v>32190</v>
      </c>
    </row>
    <row r="10575">
      <c r="A10575" s="48" t="s">
        <v>6701</v>
      </c>
      <c r="B10575" s="38">
        <v>77336.0</v>
      </c>
      <c r="C10575" s="38" t="s">
        <v>14577</v>
      </c>
      <c r="D10575" s="38" t="str">
        <f>IFERROR(__xludf.DUMMYFUNCTION("REGEXREPLACE(C10575,""-\d+(.*)|--\d+(.*)"","""")"),"NEUFMOUTIERS-EN-BRIE")</f>
        <v>NEUFMOUTIERS-EN-BRIE</v>
      </c>
      <c r="E10575" s="38" t="s">
        <v>244</v>
      </c>
      <c r="F10575" s="38" t="s">
        <v>245</v>
      </c>
      <c r="G10575" s="49" t="str">
        <f t="shared" si="1"/>
        <v>77610</v>
      </c>
      <c r="H10575" s="49">
        <f t="shared" si="2"/>
        <v>77336</v>
      </c>
    </row>
    <row r="10576">
      <c r="A10576" s="48" t="s">
        <v>557</v>
      </c>
      <c r="B10576" s="38">
        <v>16131.0</v>
      </c>
      <c r="C10576" s="38" t="s">
        <v>14578</v>
      </c>
      <c r="D10576" s="38" t="str">
        <f>IFERROR(__xludf.DUMMYFUNCTION("REGEXREPLACE(C10576,""-\d+(.*)|--\d+(.*)"","""")"),"ESSE")</f>
        <v>ESSE</v>
      </c>
      <c r="E10576" s="38" t="s">
        <v>429</v>
      </c>
      <c r="F10576" s="38" t="s">
        <v>338</v>
      </c>
      <c r="G10576" s="49" t="str">
        <f t="shared" si="1"/>
        <v>16500</v>
      </c>
      <c r="H10576" s="49">
        <f t="shared" si="2"/>
        <v>16131</v>
      </c>
    </row>
    <row r="10577">
      <c r="A10577" s="48" t="s">
        <v>4142</v>
      </c>
      <c r="B10577" s="38">
        <v>16047.0</v>
      </c>
      <c r="C10577" s="38" t="s">
        <v>14579</v>
      </c>
      <c r="D10577" s="38" t="str">
        <f>IFERROR(__xludf.DUMMYFUNCTION("REGEXREPLACE(C10577,""-\d+(.*)|--\d+(.*)"","""")"),"BLANZAGUET-SAINT-CYBARD")</f>
        <v>BLANZAGUET-SAINT-CYBARD</v>
      </c>
      <c r="E10577" s="38" t="s">
        <v>429</v>
      </c>
      <c r="F10577" s="38" t="s">
        <v>338</v>
      </c>
      <c r="G10577" s="49" t="str">
        <f t="shared" si="1"/>
        <v>16320</v>
      </c>
      <c r="H10577" s="49">
        <f t="shared" si="2"/>
        <v>16047</v>
      </c>
    </row>
    <row r="10578">
      <c r="A10578" s="48" t="s">
        <v>3224</v>
      </c>
      <c r="B10578" s="38">
        <v>54094.0</v>
      </c>
      <c r="C10578" s="38" t="s">
        <v>14580</v>
      </c>
      <c r="D10578" s="38" t="str">
        <f>IFERROR(__xludf.DUMMYFUNCTION("REGEXREPLACE(C10578,""-\d+(.*)|--\d+(.*)"","""")"),"BRALLEVILLE")</f>
        <v>BRALLEVILLE</v>
      </c>
      <c r="E10578" s="38" t="s">
        <v>548</v>
      </c>
      <c r="F10578" s="38" t="s">
        <v>195</v>
      </c>
      <c r="G10578" s="49" t="str">
        <f t="shared" si="1"/>
        <v>54740</v>
      </c>
      <c r="H10578" s="49">
        <f t="shared" si="2"/>
        <v>54094</v>
      </c>
    </row>
    <row r="10579">
      <c r="A10579" s="48" t="s">
        <v>3404</v>
      </c>
      <c r="B10579" s="38">
        <v>39474.0</v>
      </c>
      <c r="C10579" s="38" t="s">
        <v>14581</v>
      </c>
      <c r="D10579" s="38" t="str">
        <f>IFERROR(__xludf.DUMMYFUNCTION("REGEXREPLACE(C10579,""-\d+(.*)|--\d+(.*)"","""")"),"SAINTE-AGNES")</f>
        <v>SAINTE-AGNES</v>
      </c>
      <c r="E10579" s="38" t="s">
        <v>400</v>
      </c>
      <c r="F10579" s="38" t="s">
        <v>214</v>
      </c>
      <c r="G10579" s="49" t="str">
        <f t="shared" si="1"/>
        <v>39190</v>
      </c>
      <c r="H10579" s="49">
        <f t="shared" si="2"/>
        <v>39474</v>
      </c>
    </row>
    <row r="10580">
      <c r="A10580" s="48" t="s">
        <v>9500</v>
      </c>
      <c r="B10580" s="38">
        <v>49361.0</v>
      </c>
      <c r="C10580" s="38" t="s">
        <v>14582</v>
      </c>
      <c r="D10580" s="38" t="str">
        <f>IFERROR(__xludf.DUMMYFUNCTION("REGEXREPLACE(C10580,""-\d+(.*)|--\d+(.*)"","""")"),"VARENNES-SUR-LOIRE")</f>
        <v>VARENNES-SUR-LOIRE</v>
      </c>
      <c r="E10580" s="38" t="s">
        <v>653</v>
      </c>
      <c r="F10580" s="38" t="s">
        <v>180</v>
      </c>
      <c r="G10580" s="49" t="str">
        <f t="shared" si="1"/>
        <v>49730</v>
      </c>
      <c r="H10580" s="49">
        <f t="shared" si="2"/>
        <v>49361</v>
      </c>
    </row>
    <row r="10581">
      <c r="A10581" s="48" t="s">
        <v>14583</v>
      </c>
      <c r="B10581" s="38" t="s">
        <v>14584</v>
      </c>
      <c r="C10581" s="38" t="s">
        <v>14585</v>
      </c>
      <c r="D10581" s="38" t="str">
        <f>IFERROR(__xludf.DUMMYFUNCTION("REGEXREPLACE(C10581,""-\d+(.*)|--\d+(.*)"","""")"),"CALVI")</f>
        <v>CALVI</v>
      </c>
      <c r="E10581" s="38" t="s">
        <v>743</v>
      </c>
      <c r="F10581" s="38" t="s">
        <v>607</v>
      </c>
      <c r="G10581" s="49" t="str">
        <f t="shared" si="1"/>
        <v>20260</v>
      </c>
      <c r="H10581" s="49" t="str">
        <f t="shared" si="2"/>
        <v>2B050</v>
      </c>
    </row>
    <row r="10582">
      <c r="A10582" s="48" t="s">
        <v>2571</v>
      </c>
      <c r="B10582" s="38">
        <v>61383.0</v>
      </c>
      <c r="C10582" s="38" t="s">
        <v>14586</v>
      </c>
      <c r="D10582" s="38" t="str">
        <f>IFERROR(__xludf.DUMMYFUNCTION("REGEXREPLACE(C10582,""-\d+(.*)|--\d+(.*)"","""")"),"SAINT-DIDIER-SOUS-ECOUVES")</f>
        <v>SAINT-DIDIER-SOUS-ECOUVES</v>
      </c>
      <c r="E10582" s="38" t="s">
        <v>141</v>
      </c>
      <c r="F10582" s="38" t="s">
        <v>138</v>
      </c>
      <c r="G10582" s="49" t="str">
        <f t="shared" si="1"/>
        <v>61320</v>
      </c>
      <c r="H10582" s="49">
        <f t="shared" si="2"/>
        <v>61383</v>
      </c>
    </row>
    <row r="10583">
      <c r="A10583" s="48" t="s">
        <v>1999</v>
      </c>
      <c r="B10583" s="38">
        <v>2026.0</v>
      </c>
      <c r="C10583" s="38" t="s">
        <v>14587</v>
      </c>
      <c r="D10583" s="38" t="str">
        <f>IFERROR(__xludf.DUMMYFUNCTION("REGEXREPLACE(C10583,""-\d+(.*)|--\d+(.*)"","""")"),"ARTONGES")</f>
        <v>ARTONGES</v>
      </c>
      <c r="E10583" s="38" t="s">
        <v>191</v>
      </c>
      <c r="F10583" s="38" t="s">
        <v>113</v>
      </c>
      <c r="G10583" s="49" t="str">
        <f t="shared" si="1"/>
        <v>02330</v>
      </c>
      <c r="H10583" s="49" t="str">
        <f t="shared" si="2"/>
        <v>02026</v>
      </c>
    </row>
    <row r="10584">
      <c r="A10584" s="48" t="s">
        <v>1905</v>
      </c>
      <c r="B10584" s="38">
        <v>29105.0</v>
      </c>
      <c r="C10584" s="38" t="s">
        <v>14588</v>
      </c>
      <c r="D10584" s="38" t="str">
        <f>IFERROR(__xludf.DUMMYFUNCTION("REGEXREPLACE(C10584,""-\d+(.*)|--\d+(.*)"","""")"),"LANDIVISIAU")</f>
        <v>LANDIVISIAU</v>
      </c>
      <c r="E10584" s="38" t="s">
        <v>176</v>
      </c>
      <c r="F10584" s="38" t="s">
        <v>90</v>
      </c>
      <c r="G10584" s="49" t="str">
        <f t="shared" si="1"/>
        <v>29400</v>
      </c>
      <c r="H10584" s="49">
        <f t="shared" si="2"/>
        <v>29105</v>
      </c>
    </row>
    <row r="10585">
      <c r="A10585" s="48" t="s">
        <v>7821</v>
      </c>
      <c r="B10585" s="38">
        <v>8094.0</v>
      </c>
      <c r="C10585" s="38" t="s">
        <v>14589</v>
      </c>
      <c r="D10585" s="38" t="str">
        <f>IFERROR(__xludf.DUMMYFUNCTION("REGEXREPLACE(C10585,""-\d+(.*)|--\d+(.*)"","""")"),"CERNION")</f>
        <v>CERNION</v>
      </c>
      <c r="E10585" s="38" t="s">
        <v>327</v>
      </c>
      <c r="F10585" s="38" t="s">
        <v>130</v>
      </c>
      <c r="G10585" s="49" t="str">
        <f t="shared" si="1"/>
        <v>08260</v>
      </c>
      <c r="H10585" s="49" t="str">
        <f t="shared" si="2"/>
        <v>08094</v>
      </c>
    </row>
    <row r="10586">
      <c r="A10586" s="48" t="s">
        <v>14590</v>
      </c>
      <c r="B10586" s="38">
        <v>80050.0</v>
      </c>
      <c r="C10586" s="38" t="s">
        <v>14591</v>
      </c>
      <c r="D10586" s="38" t="str">
        <f>IFERROR(__xludf.DUMMYFUNCTION("REGEXREPLACE(C10586,""-\d+(.*)|--\d+(.*)"","""")"),"BACOUEL-SUR-SELLE")</f>
        <v>BACOUEL-SUR-SELLE</v>
      </c>
      <c r="E10586" s="38" t="s">
        <v>224</v>
      </c>
      <c r="F10586" s="38" t="s">
        <v>113</v>
      </c>
      <c r="G10586" s="49" t="str">
        <f t="shared" si="1"/>
        <v>80480</v>
      </c>
      <c r="H10586" s="49">
        <f t="shared" si="2"/>
        <v>80050</v>
      </c>
    </row>
    <row r="10587">
      <c r="A10587" s="48" t="s">
        <v>5956</v>
      </c>
      <c r="B10587" s="38">
        <v>62701.0</v>
      </c>
      <c r="C10587" s="38" t="s">
        <v>14592</v>
      </c>
      <c r="D10587" s="38" t="str">
        <f>IFERROR(__xludf.DUMMYFUNCTION("REGEXREPLACE(C10587,""-\d+(.*)|--\d+(.*)"","""")"),"RELY")</f>
        <v>RELY</v>
      </c>
      <c r="E10587" s="38" t="s">
        <v>109</v>
      </c>
      <c r="F10587" s="38" t="s">
        <v>86</v>
      </c>
      <c r="G10587" s="49" t="str">
        <f t="shared" si="1"/>
        <v>62120</v>
      </c>
      <c r="H10587" s="49">
        <f t="shared" si="2"/>
        <v>62701</v>
      </c>
    </row>
    <row r="10588">
      <c r="A10588" s="48" t="s">
        <v>6328</v>
      </c>
      <c r="B10588" s="38">
        <v>30295.0</v>
      </c>
      <c r="C10588" s="38" t="s">
        <v>14593</v>
      </c>
      <c r="D10588" s="38" t="str">
        <f>IFERROR(__xludf.DUMMYFUNCTION("REGEXREPLACE(C10588,""-\d+(.*)|--\d+(.*)"","""")"),"SAINT-QUENTIN-LA-POTERIE")</f>
        <v>SAINT-QUENTIN-LA-POTERIE</v>
      </c>
      <c r="E10588" s="38" t="s">
        <v>526</v>
      </c>
      <c r="F10588" s="38" t="s">
        <v>119</v>
      </c>
      <c r="G10588" s="49" t="str">
        <f t="shared" si="1"/>
        <v>30700</v>
      </c>
      <c r="H10588" s="49">
        <f t="shared" si="2"/>
        <v>30295</v>
      </c>
    </row>
    <row r="10589">
      <c r="A10589" s="48" t="s">
        <v>10939</v>
      </c>
      <c r="B10589" s="38">
        <v>77311.0</v>
      </c>
      <c r="C10589" s="38" t="s">
        <v>14594</v>
      </c>
      <c r="D10589" s="38" t="str">
        <f>IFERROR(__xludf.DUMMYFUNCTION("REGEXREPLACE(C10589,""-\d+(.*)|--\d+(.*)"","""")"),"MONTIGNY-LENCOUP")</f>
        <v>MONTIGNY-LENCOUP</v>
      </c>
      <c r="E10589" s="38" t="s">
        <v>244</v>
      </c>
      <c r="F10589" s="38" t="s">
        <v>245</v>
      </c>
      <c r="G10589" s="49" t="str">
        <f t="shared" si="1"/>
        <v>77520</v>
      </c>
      <c r="H10589" s="49">
        <f t="shared" si="2"/>
        <v>77311</v>
      </c>
    </row>
    <row r="10590">
      <c r="A10590" s="48" t="s">
        <v>781</v>
      </c>
      <c r="B10590" s="38">
        <v>65164.0</v>
      </c>
      <c r="C10590" s="38" t="s">
        <v>14595</v>
      </c>
      <c r="D10590" s="38" t="str">
        <f>IFERROR(__xludf.DUMMYFUNCTION("REGEXREPLACE(C10590,""-\d+(.*)|--\d+(.*)"","""")"),"ESCOUBES-POUTS")</f>
        <v>ESCOUBES-POUTS</v>
      </c>
      <c r="E10590" s="38" t="s">
        <v>200</v>
      </c>
      <c r="F10590" s="38" t="s">
        <v>94</v>
      </c>
      <c r="G10590" s="49" t="str">
        <f t="shared" si="1"/>
        <v>65100</v>
      </c>
      <c r="H10590" s="49">
        <f t="shared" si="2"/>
        <v>65164</v>
      </c>
    </row>
    <row r="10591">
      <c r="A10591" s="48" t="s">
        <v>3450</v>
      </c>
      <c r="B10591" s="38">
        <v>60610.0</v>
      </c>
      <c r="C10591" s="38" t="s">
        <v>14596</v>
      </c>
      <c r="D10591" s="38" t="str">
        <f>IFERROR(__xludf.DUMMYFUNCTION("REGEXREPLACE(C10591,""-\d+(.*)|--\d+(.*)"","""")"),"SEMPIGNY")</f>
        <v>SEMPIGNY</v>
      </c>
      <c r="E10591" s="38" t="s">
        <v>112</v>
      </c>
      <c r="F10591" s="38" t="s">
        <v>113</v>
      </c>
      <c r="G10591" s="49" t="str">
        <f t="shared" si="1"/>
        <v>60400</v>
      </c>
      <c r="H10591" s="49">
        <f t="shared" si="2"/>
        <v>60610</v>
      </c>
    </row>
    <row r="10592">
      <c r="A10592" s="48" t="s">
        <v>14597</v>
      </c>
      <c r="B10592" s="38">
        <v>69116.0</v>
      </c>
      <c r="C10592" s="38" t="s">
        <v>14598</v>
      </c>
      <c r="D10592" s="38" t="str">
        <f>IFERROR(__xludf.DUMMYFUNCTION("REGEXREPLACE(C10592,""-\d+(.*)|--\d+(.*)"","""")"),"LIMONEST")</f>
        <v>LIMONEST</v>
      </c>
      <c r="E10592" s="38" t="s">
        <v>350</v>
      </c>
      <c r="F10592" s="38" t="s">
        <v>102</v>
      </c>
      <c r="G10592" s="49" t="str">
        <f t="shared" si="1"/>
        <v>69760</v>
      </c>
      <c r="H10592" s="49">
        <f t="shared" si="2"/>
        <v>69116</v>
      </c>
    </row>
    <row r="10593">
      <c r="A10593" s="48" t="s">
        <v>3353</v>
      </c>
      <c r="B10593" s="38">
        <v>61330.0</v>
      </c>
      <c r="C10593" s="38" t="s">
        <v>14599</v>
      </c>
      <c r="D10593" s="38" t="str">
        <f>IFERROR(__xludf.DUMMYFUNCTION("REGEXREPLACE(C10593,""-\d+(.*)|--\d+(.*)"","""")"),"PLANCHES")</f>
        <v>PLANCHES</v>
      </c>
      <c r="E10593" s="38" t="s">
        <v>141</v>
      </c>
      <c r="F10593" s="38" t="s">
        <v>138</v>
      </c>
      <c r="G10593" s="49" t="str">
        <f t="shared" si="1"/>
        <v>61370</v>
      </c>
      <c r="H10593" s="49">
        <f t="shared" si="2"/>
        <v>61330</v>
      </c>
    </row>
    <row r="10594">
      <c r="A10594" s="48" t="s">
        <v>7512</v>
      </c>
      <c r="B10594" s="38">
        <v>35054.0</v>
      </c>
      <c r="C10594" s="38" t="s">
        <v>5633</v>
      </c>
      <c r="D10594" s="38" t="str">
        <f>IFERROR(__xludf.DUMMYFUNCTION("REGEXREPLACE(C10594,""-\d+(.*)|--\d+(.*)"","""")"),"CHANTELOUP")</f>
        <v>CHANTELOUP</v>
      </c>
      <c r="E10594" s="38" t="s">
        <v>347</v>
      </c>
      <c r="F10594" s="38" t="s">
        <v>90</v>
      </c>
      <c r="G10594" s="49" t="str">
        <f t="shared" si="1"/>
        <v>35150</v>
      </c>
      <c r="H10594" s="49">
        <f t="shared" si="2"/>
        <v>35054</v>
      </c>
    </row>
    <row r="10595">
      <c r="A10595" s="48" t="s">
        <v>14600</v>
      </c>
      <c r="B10595" s="38">
        <v>12280.0</v>
      </c>
      <c r="C10595" s="38" t="s">
        <v>14601</v>
      </c>
      <c r="D10595" s="38" t="str">
        <f>IFERROR(__xludf.DUMMYFUNCTION("REGEXREPLACE(C10595,""-\d+(.*)|--\d+(.*)"","""")"),"THERONDELS")</f>
        <v>THERONDELS</v>
      </c>
      <c r="E10595" s="38" t="s">
        <v>465</v>
      </c>
      <c r="F10595" s="38" t="s">
        <v>94</v>
      </c>
      <c r="G10595" s="49" t="str">
        <f t="shared" si="1"/>
        <v>12600</v>
      </c>
      <c r="H10595" s="49">
        <f t="shared" si="2"/>
        <v>12280</v>
      </c>
    </row>
    <row r="10596">
      <c r="A10596" s="48" t="s">
        <v>6916</v>
      </c>
      <c r="B10596" s="38">
        <v>82092.0</v>
      </c>
      <c r="C10596" s="38" t="s">
        <v>14602</v>
      </c>
      <c r="D10596" s="38" t="str">
        <f>IFERROR(__xludf.DUMMYFUNCTION("REGEXREPLACE(C10596,""-\d+(.*)|--\d+(.*)"","""")"),"LAPENCHE")</f>
        <v>LAPENCHE</v>
      </c>
      <c r="E10596" s="38" t="s">
        <v>570</v>
      </c>
      <c r="F10596" s="38" t="s">
        <v>94</v>
      </c>
      <c r="G10596" s="49" t="str">
        <f t="shared" si="1"/>
        <v>82240</v>
      </c>
      <c r="H10596" s="49">
        <f t="shared" si="2"/>
        <v>82092</v>
      </c>
    </row>
    <row r="10597">
      <c r="A10597" s="48" t="s">
        <v>12283</v>
      </c>
      <c r="B10597" s="38">
        <v>81021.0</v>
      </c>
      <c r="C10597" s="38" t="s">
        <v>14603</v>
      </c>
      <c r="D10597" s="38" t="str">
        <f>IFERROR(__xludf.DUMMYFUNCTION("REGEXREPLACE(C10597,""-\d+(.*)|--\d+(.*)"","""")"),"AUSSILLON")</f>
        <v>AUSSILLON</v>
      </c>
      <c r="E10597" s="38" t="s">
        <v>231</v>
      </c>
      <c r="F10597" s="38" t="s">
        <v>94</v>
      </c>
      <c r="G10597" s="49" t="str">
        <f t="shared" si="1"/>
        <v>81200</v>
      </c>
      <c r="H10597" s="49">
        <f t="shared" si="2"/>
        <v>81021</v>
      </c>
    </row>
    <row r="10598">
      <c r="A10598" s="48" t="s">
        <v>2259</v>
      </c>
      <c r="B10598" s="38">
        <v>22045.0</v>
      </c>
      <c r="C10598" s="38" t="s">
        <v>14604</v>
      </c>
      <c r="D10598" s="38" t="str">
        <f>IFERROR(__xludf.DUMMYFUNCTION("REGEXREPLACE(C10598,""-\d+(.*)|--\d+(.*)"","""")"),"COHINIAC")</f>
        <v>COHINIAC</v>
      </c>
      <c r="E10598" s="38" t="s">
        <v>89</v>
      </c>
      <c r="F10598" s="38" t="s">
        <v>90</v>
      </c>
      <c r="G10598" s="49" t="str">
        <f t="shared" si="1"/>
        <v>22800</v>
      </c>
      <c r="H10598" s="49">
        <f t="shared" si="2"/>
        <v>22045</v>
      </c>
    </row>
    <row r="10599">
      <c r="A10599" s="48" t="s">
        <v>14605</v>
      </c>
      <c r="B10599" s="38">
        <v>57679.0</v>
      </c>
      <c r="C10599" s="38" t="s">
        <v>14606</v>
      </c>
      <c r="D10599" s="38" t="str">
        <f>IFERROR(__xludf.DUMMYFUNCTION("REGEXREPLACE(C10599,""-\d+(.*)|--\d+(.*)"","""")"),"TRITTELING-REDLACH")</f>
        <v>TRITTELING-REDLACH</v>
      </c>
      <c r="E10599" s="38" t="s">
        <v>303</v>
      </c>
      <c r="F10599" s="38" t="s">
        <v>195</v>
      </c>
      <c r="G10599" s="49" t="str">
        <f t="shared" si="1"/>
        <v>57385</v>
      </c>
      <c r="H10599" s="49">
        <f t="shared" si="2"/>
        <v>57679</v>
      </c>
    </row>
    <row r="10600">
      <c r="A10600" s="48" t="s">
        <v>3735</v>
      </c>
      <c r="B10600" s="38">
        <v>28123.0</v>
      </c>
      <c r="C10600" s="38" t="s">
        <v>14607</v>
      </c>
      <c r="D10600" s="38" t="str">
        <f>IFERROR(__xludf.DUMMYFUNCTION("REGEXREPLACE(C10600,""-\d+(.*)|--\d+(.*)"","""")"),"DAMPIERRE-SOUS-BROU")</f>
        <v>DAMPIERRE-SOUS-BROU</v>
      </c>
      <c r="E10600" s="38" t="s">
        <v>300</v>
      </c>
      <c r="F10600" s="38" t="s">
        <v>123</v>
      </c>
      <c r="G10600" s="49" t="str">
        <f t="shared" si="1"/>
        <v>28160</v>
      </c>
      <c r="H10600" s="49">
        <f t="shared" si="2"/>
        <v>28123</v>
      </c>
    </row>
    <row r="10601">
      <c r="A10601" s="48" t="s">
        <v>7856</v>
      </c>
      <c r="B10601" s="38">
        <v>44211.0</v>
      </c>
      <c r="C10601" s="38" t="s">
        <v>14608</v>
      </c>
      <c r="D10601" s="38" t="str">
        <f>IFERROR(__xludf.DUMMYFUNCTION("REGEXREPLACE(C10601,""-\d+(.*)|--\d+(.*)"","""")"),"LA TURBALLE")</f>
        <v>LA TURBALLE</v>
      </c>
      <c r="E10601" s="38" t="s">
        <v>759</v>
      </c>
      <c r="F10601" s="38" t="s">
        <v>180</v>
      </c>
      <c r="G10601" s="49" t="str">
        <f t="shared" si="1"/>
        <v>44420</v>
      </c>
      <c r="H10601" s="49">
        <f t="shared" si="2"/>
        <v>44211</v>
      </c>
    </row>
    <row r="10602">
      <c r="A10602" s="48" t="s">
        <v>2723</v>
      </c>
      <c r="B10602" s="38">
        <v>50253.0</v>
      </c>
      <c r="C10602" s="38" t="s">
        <v>14609</v>
      </c>
      <c r="D10602" s="38" t="str">
        <f>IFERROR(__xludf.DUMMYFUNCTION("REGEXREPLACE(C10602,""-\d+(.*)|--\d+(.*)"","""")"),"HUISNES-SUR-MER")</f>
        <v>HUISNES-SUR-MER</v>
      </c>
      <c r="E10602" s="38" t="s">
        <v>157</v>
      </c>
      <c r="F10602" s="38" t="s">
        <v>138</v>
      </c>
      <c r="G10602" s="49" t="str">
        <f t="shared" si="1"/>
        <v>50170</v>
      </c>
      <c r="H10602" s="49">
        <f t="shared" si="2"/>
        <v>50253</v>
      </c>
    </row>
    <row r="10603">
      <c r="A10603" s="48" t="s">
        <v>1135</v>
      </c>
      <c r="B10603" s="38">
        <v>79321.0</v>
      </c>
      <c r="C10603" s="38" t="s">
        <v>11034</v>
      </c>
      <c r="D10603" s="38" t="str">
        <f>IFERROR(__xludf.DUMMYFUNCTION("REGEXREPLACE(C10603,""-\d+(.*)|--\d+(.*)"","""")"),"TAIZE")</f>
        <v>TAIZE</v>
      </c>
      <c r="E10603" s="38" t="s">
        <v>337</v>
      </c>
      <c r="F10603" s="38" t="s">
        <v>338</v>
      </c>
      <c r="G10603" s="49" t="str">
        <f t="shared" si="1"/>
        <v>79100</v>
      </c>
      <c r="H10603" s="49">
        <f t="shared" si="2"/>
        <v>79321</v>
      </c>
    </row>
    <row r="10604">
      <c r="A10604" s="48" t="s">
        <v>4412</v>
      </c>
      <c r="B10604" s="38">
        <v>68329.0</v>
      </c>
      <c r="C10604" s="38" t="s">
        <v>14610</v>
      </c>
      <c r="D10604" s="38" t="str">
        <f>IFERROR(__xludf.DUMMYFUNCTION("REGEXREPLACE(C10604,""-\d+(.*)|--\d+(.*)"","""")"),"STOSSWIHR")</f>
        <v>STOSSWIHR</v>
      </c>
      <c r="E10604" s="38" t="s">
        <v>150</v>
      </c>
      <c r="F10604" s="38" t="s">
        <v>151</v>
      </c>
      <c r="G10604" s="49" t="str">
        <f t="shared" si="1"/>
        <v>68140</v>
      </c>
      <c r="H10604" s="49">
        <f t="shared" si="2"/>
        <v>68329</v>
      </c>
    </row>
    <row r="10605">
      <c r="A10605" s="48" t="s">
        <v>14611</v>
      </c>
      <c r="B10605" s="38">
        <v>62377.0</v>
      </c>
      <c r="C10605" s="38" t="s">
        <v>14612</v>
      </c>
      <c r="D10605" s="38" t="str">
        <f>IFERROR(__xludf.DUMMYFUNCTION("REGEXREPLACE(C10605,""-\d+(.*)|--\d+(.*)"","""")"),"GOSNAY")</f>
        <v>GOSNAY</v>
      </c>
      <c r="E10605" s="38" t="s">
        <v>109</v>
      </c>
      <c r="F10605" s="38" t="s">
        <v>86</v>
      </c>
      <c r="G10605" s="49" t="str">
        <f t="shared" si="1"/>
        <v>62199</v>
      </c>
      <c r="H10605" s="49">
        <f t="shared" si="2"/>
        <v>62377</v>
      </c>
    </row>
    <row r="10606">
      <c r="A10606" s="48" t="s">
        <v>2336</v>
      </c>
      <c r="B10606" s="38">
        <v>58101.0</v>
      </c>
      <c r="C10606" s="38" t="s">
        <v>14613</v>
      </c>
      <c r="D10606" s="38" t="str">
        <f>IFERROR(__xludf.DUMMYFUNCTION("REGEXREPLACE(C10606,""-\d+(.*)|--\d+(.*)"","""")"),"DOMPIERRE-SUR-NIEVRE")</f>
        <v>DOMPIERRE-SUR-NIEVRE</v>
      </c>
      <c r="E10606" s="38" t="s">
        <v>219</v>
      </c>
      <c r="F10606" s="38" t="s">
        <v>106</v>
      </c>
      <c r="G10606" s="49" t="str">
        <f t="shared" si="1"/>
        <v>58350</v>
      </c>
      <c r="H10606" s="49">
        <f t="shared" si="2"/>
        <v>58101</v>
      </c>
    </row>
    <row r="10607">
      <c r="A10607" s="48" t="s">
        <v>5451</v>
      </c>
      <c r="B10607" s="38">
        <v>19092.0</v>
      </c>
      <c r="C10607" s="38" t="s">
        <v>14614</v>
      </c>
      <c r="D10607" s="38" t="str">
        <f>IFERROR(__xludf.DUMMYFUNCTION("REGEXREPLACE(C10607,""-\d+(.*)|--\d+(.*)"","""")"),"LE JARDIN")</f>
        <v>LE JARDIN</v>
      </c>
      <c r="E10607" s="38" t="s">
        <v>271</v>
      </c>
      <c r="F10607" s="38" t="s">
        <v>98</v>
      </c>
      <c r="G10607" s="49" t="str">
        <f t="shared" si="1"/>
        <v>19300</v>
      </c>
      <c r="H10607" s="49">
        <f t="shared" si="2"/>
        <v>19092</v>
      </c>
    </row>
    <row r="10608">
      <c r="A10608" s="48" t="s">
        <v>4088</v>
      </c>
      <c r="B10608" s="38">
        <v>39154.0</v>
      </c>
      <c r="C10608" s="38" t="s">
        <v>14615</v>
      </c>
      <c r="D10608" s="38" t="str">
        <f>IFERROR(__xludf.DUMMYFUNCTION("REGEXREPLACE(C10608,""-\d+(.*)|--\d+(.*)"","""")"),"CLAIRVAUX-LES-LACS")</f>
        <v>CLAIRVAUX-LES-LACS</v>
      </c>
      <c r="E10608" s="38" t="s">
        <v>400</v>
      </c>
      <c r="F10608" s="38" t="s">
        <v>214</v>
      </c>
      <c r="G10608" s="49" t="str">
        <f t="shared" si="1"/>
        <v>39130</v>
      </c>
      <c r="H10608" s="49">
        <f t="shared" si="2"/>
        <v>39154</v>
      </c>
    </row>
    <row r="10609">
      <c r="A10609" s="48" t="s">
        <v>3009</v>
      </c>
      <c r="B10609" s="38">
        <v>11186.0</v>
      </c>
      <c r="C10609" s="38" t="s">
        <v>14616</v>
      </c>
      <c r="D10609" s="38" t="str">
        <f>IFERROR(__xludf.DUMMYFUNCTION("REGEXREPLACE(C10609,""-\d+(.*)|--\d+(.*)"","""")"),"LAIRIERE")</f>
        <v>LAIRIERE</v>
      </c>
      <c r="E10609" s="38" t="s">
        <v>278</v>
      </c>
      <c r="F10609" s="38" t="s">
        <v>119</v>
      </c>
      <c r="G10609" s="49" t="str">
        <f t="shared" si="1"/>
        <v>11330</v>
      </c>
      <c r="H10609" s="49">
        <f t="shared" si="2"/>
        <v>11186</v>
      </c>
    </row>
    <row r="10610">
      <c r="A10610" s="48" t="s">
        <v>908</v>
      </c>
      <c r="B10610" s="38">
        <v>41063.0</v>
      </c>
      <c r="C10610" s="38" t="s">
        <v>14617</v>
      </c>
      <c r="D10610" s="38" t="str">
        <f>IFERROR(__xludf.DUMMYFUNCTION("REGEXREPLACE(C10610,""-\d+(.*)|--\d+(.*)"","""")"),"COUFFY")</f>
        <v>COUFFY</v>
      </c>
      <c r="E10610" s="38" t="s">
        <v>188</v>
      </c>
      <c r="F10610" s="38" t="s">
        <v>123</v>
      </c>
      <c r="G10610" s="49" t="str">
        <f t="shared" si="1"/>
        <v>41110</v>
      </c>
      <c r="H10610" s="49">
        <f t="shared" si="2"/>
        <v>41063</v>
      </c>
    </row>
    <row r="10611">
      <c r="A10611" s="48" t="s">
        <v>4377</v>
      </c>
      <c r="B10611" s="38">
        <v>31341.0</v>
      </c>
      <c r="C10611" s="38" t="s">
        <v>14618</v>
      </c>
      <c r="D10611" s="38" t="str">
        <f>IFERROR(__xludf.DUMMYFUNCTION("REGEXREPLACE(C10611,""-\d+(.*)|--\d+(.*)"","""")"),"MERVILLE")</f>
        <v>MERVILLE</v>
      </c>
      <c r="E10611" s="38" t="s">
        <v>93</v>
      </c>
      <c r="F10611" s="38" t="s">
        <v>94</v>
      </c>
      <c r="G10611" s="49" t="str">
        <f t="shared" si="1"/>
        <v>31330</v>
      </c>
      <c r="H10611" s="49">
        <f t="shared" si="2"/>
        <v>31341</v>
      </c>
    </row>
    <row r="10612">
      <c r="A10612" s="48" t="s">
        <v>4445</v>
      </c>
      <c r="B10612" s="38">
        <v>30318.0</v>
      </c>
      <c r="C10612" s="38" t="s">
        <v>14619</v>
      </c>
      <c r="D10612" s="38" t="str">
        <f>IFERROR(__xludf.DUMMYFUNCTION("REGEXREPLACE(C10612,""-\d+(.*)|--\d+(.*)"","""")"),"SERVAS")</f>
        <v>SERVAS</v>
      </c>
      <c r="E10612" s="38" t="s">
        <v>526</v>
      </c>
      <c r="F10612" s="38" t="s">
        <v>119</v>
      </c>
      <c r="G10612" s="49" t="str">
        <f t="shared" si="1"/>
        <v>30340</v>
      </c>
      <c r="H10612" s="49">
        <f t="shared" si="2"/>
        <v>30318</v>
      </c>
    </row>
    <row r="10613">
      <c r="A10613" s="48" t="s">
        <v>9345</v>
      </c>
      <c r="B10613" s="38">
        <v>22316.0</v>
      </c>
      <c r="C10613" s="38" t="s">
        <v>14620</v>
      </c>
      <c r="D10613" s="38" t="str">
        <f>IFERROR(__xludf.DUMMYFUNCTION("REGEXREPLACE(C10613,""-\d+(.*)|--\d+(.*)"","""")"),"SAINT-MAYEUX")</f>
        <v>SAINT-MAYEUX</v>
      </c>
      <c r="E10613" s="38" t="s">
        <v>89</v>
      </c>
      <c r="F10613" s="38" t="s">
        <v>90</v>
      </c>
      <c r="G10613" s="49" t="str">
        <f t="shared" si="1"/>
        <v>22320</v>
      </c>
      <c r="H10613" s="49">
        <f t="shared" si="2"/>
        <v>22316</v>
      </c>
    </row>
    <row r="10614">
      <c r="A10614" s="48" t="s">
        <v>6485</v>
      </c>
      <c r="B10614" s="38">
        <v>38188.0</v>
      </c>
      <c r="C10614" s="38" t="s">
        <v>14621</v>
      </c>
      <c r="D10614" s="38" t="str">
        <f>IFERROR(__xludf.DUMMYFUNCTION("REGEXREPLACE(C10614,""-\d+(.*)|--\d+(.*)"","""")"),"HERBEYS")</f>
        <v>HERBEYS</v>
      </c>
      <c r="E10614" s="38" t="s">
        <v>101</v>
      </c>
      <c r="F10614" s="38" t="s">
        <v>102</v>
      </c>
      <c r="G10614" s="49" t="str">
        <f t="shared" si="1"/>
        <v>38320</v>
      </c>
      <c r="H10614" s="49">
        <f t="shared" si="2"/>
        <v>38188</v>
      </c>
    </row>
    <row r="10615">
      <c r="A10615" s="48" t="s">
        <v>10296</v>
      </c>
      <c r="B10615" s="38">
        <v>62479.0</v>
      </c>
      <c r="C10615" s="38" t="s">
        <v>14622</v>
      </c>
      <c r="D10615" s="38" t="str">
        <f>IFERROR(__xludf.DUMMYFUNCTION("REGEXREPLACE(C10615,""-\d+(.*)|--\d+(.*)"","""")"),"LABEUVRIERE")</f>
        <v>LABEUVRIERE</v>
      </c>
      <c r="E10615" s="38" t="s">
        <v>109</v>
      </c>
      <c r="F10615" s="38" t="s">
        <v>86</v>
      </c>
      <c r="G10615" s="49" t="str">
        <f t="shared" si="1"/>
        <v>62122</v>
      </c>
      <c r="H10615" s="49">
        <f t="shared" si="2"/>
        <v>62479</v>
      </c>
    </row>
    <row r="10616">
      <c r="A10616" s="48" t="s">
        <v>1254</v>
      </c>
      <c r="B10616" s="38">
        <v>72321.0</v>
      </c>
      <c r="C10616" s="38" t="s">
        <v>863</v>
      </c>
      <c r="D10616" s="38" t="str">
        <f>IFERROR(__xludf.DUMMYFUNCTION("REGEXREPLACE(C10616,""-\d+(.*)|--\d+(.*)"","""")"),"SAINT-SYMPHORIEN")</f>
        <v>SAINT-SYMPHORIEN</v>
      </c>
      <c r="E10616" s="38" t="s">
        <v>521</v>
      </c>
      <c r="F10616" s="38" t="s">
        <v>180</v>
      </c>
      <c r="G10616" s="49" t="str">
        <f t="shared" si="1"/>
        <v>72240</v>
      </c>
      <c r="H10616" s="49">
        <f t="shared" si="2"/>
        <v>72321</v>
      </c>
    </row>
    <row r="10617">
      <c r="A10617" s="48" t="s">
        <v>1885</v>
      </c>
      <c r="B10617" s="38">
        <v>27629.0</v>
      </c>
      <c r="C10617" s="38" t="s">
        <v>14623</v>
      </c>
      <c r="D10617" s="38" t="str">
        <f>IFERROR(__xludf.DUMMYFUNCTION("REGEXREPLACE(C10617,""-\d+(.*)|--\d+(.*)"","""")"),"THIBERVILLE")</f>
        <v>THIBERVILLE</v>
      </c>
      <c r="E10617" s="38" t="s">
        <v>241</v>
      </c>
      <c r="F10617" s="38" t="s">
        <v>134</v>
      </c>
      <c r="G10617" s="49" t="str">
        <f t="shared" si="1"/>
        <v>27230</v>
      </c>
      <c r="H10617" s="49">
        <f t="shared" si="2"/>
        <v>27629</v>
      </c>
    </row>
    <row r="10618">
      <c r="A10618" s="48" t="s">
        <v>2519</v>
      </c>
      <c r="B10618" s="38">
        <v>80321.0</v>
      </c>
      <c r="C10618" s="38" t="s">
        <v>14624</v>
      </c>
      <c r="D10618" s="38" t="str">
        <f>IFERROR(__xludf.DUMMYFUNCTION("REGEXREPLACE(C10618,""-\d+(.*)|--\d+(.*)"","""")"),"FOLLEVILLE")</f>
        <v>FOLLEVILLE</v>
      </c>
      <c r="E10618" s="38" t="s">
        <v>224</v>
      </c>
      <c r="F10618" s="38" t="s">
        <v>113</v>
      </c>
      <c r="G10618" s="49" t="str">
        <f t="shared" si="1"/>
        <v>80250</v>
      </c>
      <c r="H10618" s="49">
        <f t="shared" si="2"/>
        <v>80321</v>
      </c>
    </row>
    <row r="10619">
      <c r="A10619" s="48" t="s">
        <v>1044</v>
      </c>
      <c r="B10619" s="38">
        <v>63162.0</v>
      </c>
      <c r="C10619" s="38" t="s">
        <v>14625</v>
      </c>
      <c r="D10619" s="38" t="str">
        <f>IFERROR(__xludf.DUMMYFUNCTION("REGEXREPLACE(C10619,""-\d+(.*)|--\d+(.*)"","""")"),"FOURNOLS")</f>
        <v>FOURNOLS</v>
      </c>
      <c r="E10619" s="38" t="s">
        <v>353</v>
      </c>
      <c r="F10619" s="38" t="s">
        <v>161</v>
      </c>
      <c r="G10619" s="49" t="str">
        <f t="shared" si="1"/>
        <v>63980</v>
      </c>
      <c r="H10619" s="49">
        <f t="shared" si="2"/>
        <v>63162</v>
      </c>
    </row>
    <row r="10620">
      <c r="A10620" s="48" t="s">
        <v>2963</v>
      </c>
      <c r="B10620" s="38">
        <v>34143.0</v>
      </c>
      <c r="C10620" s="38" t="s">
        <v>14626</v>
      </c>
      <c r="D10620" s="38" t="str">
        <f>IFERROR(__xludf.DUMMYFUNCTION("REGEXREPLACE(C10620,""-\d+(.*)|--\d+(.*)"","""")"),"LOUPIAN")</f>
        <v>LOUPIAN</v>
      </c>
      <c r="E10620" s="38" t="s">
        <v>118</v>
      </c>
      <c r="F10620" s="38" t="s">
        <v>119</v>
      </c>
      <c r="G10620" s="49" t="str">
        <f t="shared" si="1"/>
        <v>34140</v>
      </c>
      <c r="H10620" s="49">
        <f t="shared" si="2"/>
        <v>34143</v>
      </c>
    </row>
    <row r="10621">
      <c r="A10621" s="48" t="s">
        <v>1706</v>
      </c>
      <c r="B10621" s="38">
        <v>50396.0</v>
      </c>
      <c r="C10621" s="38" t="s">
        <v>14627</v>
      </c>
      <c r="D10621" s="38" t="str">
        <f>IFERROR(__xludf.DUMMYFUNCTION("REGEXREPLACE(C10621,""-\d+(.*)|--\d+(.*)"","""")"),"LES PERQUES")</f>
        <v>LES PERQUES</v>
      </c>
      <c r="E10621" s="38" t="s">
        <v>157</v>
      </c>
      <c r="F10621" s="38" t="s">
        <v>138</v>
      </c>
      <c r="G10621" s="49" t="str">
        <f t="shared" si="1"/>
        <v>50260</v>
      </c>
      <c r="H10621" s="49">
        <f t="shared" si="2"/>
        <v>50396</v>
      </c>
    </row>
    <row r="10622">
      <c r="A10622" s="48" t="s">
        <v>14628</v>
      </c>
      <c r="B10622" s="38">
        <v>76566.0</v>
      </c>
      <c r="C10622" s="38" t="s">
        <v>14629</v>
      </c>
      <c r="D10622" s="38" t="str">
        <f>IFERROR(__xludf.DUMMYFUNCTION("REGEXREPLACE(C10622,""-\d+(.*)|--\d+(.*)"","""")"),"SAINTE-AUSTREBERTHE")</f>
        <v>SAINTE-AUSTREBERTHE</v>
      </c>
      <c r="E10622" s="38" t="s">
        <v>133</v>
      </c>
      <c r="F10622" s="38" t="s">
        <v>134</v>
      </c>
      <c r="G10622" s="49" t="str">
        <f t="shared" si="1"/>
        <v>76570</v>
      </c>
      <c r="H10622" s="49">
        <f t="shared" si="2"/>
        <v>76566</v>
      </c>
    </row>
    <row r="10623">
      <c r="A10623" s="48" t="s">
        <v>14630</v>
      </c>
      <c r="B10623" s="38">
        <v>97223.0</v>
      </c>
      <c r="C10623" s="38" t="s">
        <v>14631</v>
      </c>
      <c r="D10623" s="38" t="str">
        <f>IFERROR(__xludf.DUMMYFUNCTION("REGEXREPLACE(C10623,""-\d+(.*)|--\d+(.*)"","""")"),"SAINT-ESPRIT")</f>
        <v>SAINT-ESPRIT</v>
      </c>
      <c r="E10623" s="38" t="s">
        <v>2282</v>
      </c>
      <c r="F10623" s="38" t="s">
        <v>2282</v>
      </c>
      <c r="G10623" s="49" t="str">
        <f t="shared" si="1"/>
        <v>97270</v>
      </c>
      <c r="H10623" s="49">
        <f t="shared" si="2"/>
        <v>97223</v>
      </c>
    </row>
    <row r="10624">
      <c r="A10624" s="48" t="s">
        <v>8680</v>
      </c>
      <c r="B10624" s="38">
        <v>72347.0</v>
      </c>
      <c r="C10624" s="38" t="s">
        <v>14632</v>
      </c>
      <c r="D10624" s="38" t="str">
        <f>IFERROR(__xludf.DUMMYFUNCTION("REGEXREPLACE(C10624,""-\d+(.*)|--\d+(.*)"","""")"),"TASSE")</f>
        <v>TASSE</v>
      </c>
      <c r="E10624" s="38" t="s">
        <v>521</v>
      </c>
      <c r="F10624" s="38" t="s">
        <v>180</v>
      </c>
      <c r="G10624" s="49" t="str">
        <f t="shared" si="1"/>
        <v>72430</v>
      </c>
      <c r="H10624" s="49">
        <f t="shared" si="2"/>
        <v>72347</v>
      </c>
    </row>
    <row r="10625">
      <c r="A10625" s="48" t="s">
        <v>2406</v>
      </c>
      <c r="B10625" s="38">
        <v>55012.0</v>
      </c>
      <c r="C10625" s="38" t="s">
        <v>14633</v>
      </c>
      <c r="D10625" s="38" t="str">
        <f>IFERROR(__xludf.DUMMYFUNCTION("REGEXREPLACE(C10625,""-\d+(.*)|--\d+(.*)"","""")"),"APREMONT-LA-FORET")</f>
        <v>APREMONT-LA-FORET</v>
      </c>
      <c r="E10625" s="38" t="s">
        <v>322</v>
      </c>
      <c r="F10625" s="38" t="s">
        <v>195</v>
      </c>
      <c r="G10625" s="49" t="str">
        <f t="shared" si="1"/>
        <v>55300</v>
      </c>
      <c r="H10625" s="49">
        <f t="shared" si="2"/>
        <v>55012</v>
      </c>
    </row>
    <row r="10626">
      <c r="A10626" s="48" t="s">
        <v>5642</v>
      </c>
      <c r="B10626" s="38">
        <v>73005.0</v>
      </c>
      <c r="C10626" s="38" t="s">
        <v>14634</v>
      </c>
      <c r="D10626" s="38" t="str">
        <f>IFERROR(__xludf.DUMMYFUNCTION("REGEXREPLACE(C10626,""-\d+(.*)|--\d+(.*)"","""")"),"AILLON-LE-VIEUX")</f>
        <v>AILLON-LE-VIEUX</v>
      </c>
      <c r="E10626" s="38" t="s">
        <v>306</v>
      </c>
      <c r="F10626" s="38" t="s">
        <v>102</v>
      </c>
      <c r="G10626" s="49" t="str">
        <f t="shared" si="1"/>
        <v>73340</v>
      </c>
      <c r="H10626" s="49">
        <f t="shared" si="2"/>
        <v>73005</v>
      </c>
    </row>
    <row r="10627">
      <c r="A10627" s="48" t="s">
        <v>1562</v>
      </c>
      <c r="B10627" s="38">
        <v>24465.0</v>
      </c>
      <c r="C10627" s="38" t="s">
        <v>14635</v>
      </c>
      <c r="D10627" s="38" t="str">
        <f>IFERROR(__xludf.DUMMYFUNCTION("REGEXREPLACE(C10627,""-\d+(.*)|--\d+(.*)"","""")"),"SAINT-MICHEL-DE-DOUBLE")</f>
        <v>SAINT-MICHEL-DE-DOUBLE</v>
      </c>
      <c r="E10627" s="38" t="s">
        <v>261</v>
      </c>
      <c r="F10627" s="38" t="s">
        <v>252</v>
      </c>
      <c r="G10627" s="49" t="str">
        <f t="shared" si="1"/>
        <v>24400</v>
      </c>
      <c r="H10627" s="49">
        <f t="shared" si="2"/>
        <v>24465</v>
      </c>
    </row>
    <row r="10628">
      <c r="A10628" s="48" t="s">
        <v>14636</v>
      </c>
      <c r="B10628" s="38">
        <v>38064.0</v>
      </c>
      <c r="C10628" s="38" t="s">
        <v>14637</v>
      </c>
      <c r="D10628" s="38" t="str">
        <f>IFERROR(__xludf.DUMMYFUNCTION("REGEXREPLACE(C10628,""-\d+(.*)|--\d+(.*)"","""")"),"CESSIEU")</f>
        <v>CESSIEU</v>
      </c>
      <c r="E10628" s="38" t="s">
        <v>101</v>
      </c>
      <c r="F10628" s="38" t="s">
        <v>102</v>
      </c>
      <c r="G10628" s="49" t="str">
        <f t="shared" si="1"/>
        <v>38110</v>
      </c>
      <c r="H10628" s="49">
        <f t="shared" si="2"/>
        <v>38064</v>
      </c>
    </row>
    <row r="10629">
      <c r="A10629" s="48" t="s">
        <v>2217</v>
      </c>
      <c r="B10629" s="38">
        <v>24086.0</v>
      </c>
      <c r="C10629" s="38" t="s">
        <v>14638</v>
      </c>
      <c r="D10629" s="38" t="str">
        <f>IFERROR(__xludf.DUMMYFUNCTION("REGEXREPLACE(C10629,""-\d+(.*)|--\d+(.*)"","""")"),"CASTELNAUD-LA-CHAPELLE")</f>
        <v>CASTELNAUD-LA-CHAPELLE</v>
      </c>
      <c r="E10629" s="38" t="s">
        <v>261</v>
      </c>
      <c r="F10629" s="38" t="s">
        <v>252</v>
      </c>
      <c r="G10629" s="49" t="str">
        <f t="shared" si="1"/>
        <v>24250</v>
      </c>
      <c r="H10629" s="49">
        <f t="shared" si="2"/>
        <v>24086</v>
      </c>
    </row>
    <row r="10630">
      <c r="A10630" s="48" t="s">
        <v>1317</v>
      </c>
      <c r="B10630" s="38">
        <v>8496.0</v>
      </c>
      <c r="C10630" s="38" t="s">
        <v>14639</v>
      </c>
      <c r="D10630" s="38" t="str">
        <f>IFERROR(__xludf.DUMMYFUNCTION("REGEXREPLACE(C10630,""-\d+(.*)|--\d+(.*)"","""")"),"WAGNON")</f>
        <v>WAGNON</v>
      </c>
      <c r="E10630" s="38" t="s">
        <v>327</v>
      </c>
      <c r="F10630" s="38" t="s">
        <v>130</v>
      </c>
      <c r="G10630" s="49" t="str">
        <f t="shared" si="1"/>
        <v>08270</v>
      </c>
      <c r="H10630" s="49" t="str">
        <f t="shared" si="2"/>
        <v>08496</v>
      </c>
    </row>
    <row r="10631">
      <c r="A10631" s="48" t="s">
        <v>6647</v>
      </c>
      <c r="B10631" s="38">
        <v>58242.0</v>
      </c>
      <c r="C10631" s="38" t="s">
        <v>2068</v>
      </c>
      <c r="D10631" s="38" t="str">
        <f>IFERROR(__xludf.DUMMYFUNCTION("REGEXREPLACE(C10631,""-\d+(.*)|--\d+(.*)"","""")"),"SAINT-GERMAIN-DES-BOIS")</f>
        <v>SAINT-GERMAIN-DES-BOIS</v>
      </c>
      <c r="E10631" s="38" t="s">
        <v>219</v>
      </c>
      <c r="F10631" s="38" t="s">
        <v>106</v>
      </c>
      <c r="G10631" s="49" t="str">
        <f t="shared" si="1"/>
        <v>58210</v>
      </c>
      <c r="H10631" s="49">
        <f t="shared" si="2"/>
        <v>58242</v>
      </c>
    </row>
    <row r="10632">
      <c r="A10632" s="48" t="s">
        <v>1564</v>
      </c>
      <c r="B10632" s="38">
        <v>45056.0</v>
      </c>
      <c r="C10632" s="38" t="s">
        <v>14640</v>
      </c>
      <c r="D10632" s="38" t="str">
        <f>IFERROR(__xludf.DUMMYFUNCTION("REGEXREPLACE(C10632,""-\d+(.*)|--\d+(.*)"","""")"),"BROMEILLES")</f>
        <v>BROMEILLES</v>
      </c>
      <c r="E10632" s="38" t="s">
        <v>122</v>
      </c>
      <c r="F10632" s="38" t="s">
        <v>123</v>
      </c>
      <c r="G10632" s="49" t="str">
        <f t="shared" si="1"/>
        <v>45390</v>
      </c>
      <c r="H10632" s="49">
        <f t="shared" si="2"/>
        <v>45056</v>
      </c>
    </row>
    <row r="10633">
      <c r="A10633" s="48" t="s">
        <v>872</v>
      </c>
      <c r="B10633" s="38">
        <v>35272.0</v>
      </c>
      <c r="C10633" s="38" t="s">
        <v>14641</v>
      </c>
      <c r="D10633" s="38" t="str">
        <f>IFERROR(__xludf.DUMMYFUNCTION("REGEXREPLACE(C10633,""-\d+(.*)|--\d+(.*)"","""")"),"SAINT-GERMAIN-DU-PINEL")</f>
        <v>SAINT-GERMAIN-DU-PINEL</v>
      </c>
      <c r="E10633" s="38" t="s">
        <v>347</v>
      </c>
      <c r="F10633" s="38" t="s">
        <v>90</v>
      </c>
      <c r="G10633" s="49" t="str">
        <f t="shared" si="1"/>
        <v>35370</v>
      </c>
      <c r="H10633" s="49">
        <f t="shared" si="2"/>
        <v>35272</v>
      </c>
    </row>
    <row r="10634">
      <c r="A10634" s="48" t="s">
        <v>12047</v>
      </c>
      <c r="B10634" s="38">
        <v>66139.0</v>
      </c>
      <c r="C10634" s="38" t="s">
        <v>14642</v>
      </c>
      <c r="D10634" s="38" t="str">
        <f>IFERROR(__xludf.DUMMYFUNCTION("REGEXREPLACE(C10634,""-\d+(.*)|--\d+(.*)"","""")"),"PEZILLA-DE-CONFLENT")</f>
        <v>PEZILLA-DE-CONFLENT</v>
      </c>
      <c r="E10634" s="38" t="s">
        <v>248</v>
      </c>
      <c r="F10634" s="38" t="s">
        <v>119</v>
      </c>
      <c r="G10634" s="49" t="str">
        <f t="shared" si="1"/>
        <v>66730</v>
      </c>
      <c r="H10634" s="49">
        <f t="shared" si="2"/>
        <v>66139</v>
      </c>
    </row>
    <row r="10635">
      <c r="A10635" s="48" t="s">
        <v>794</v>
      </c>
      <c r="B10635" s="38">
        <v>60237.0</v>
      </c>
      <c r="C10635" s="38" t="s">
        <v>14643</v>
      </c>
      <c r="D10635" s="38" t="str">
        <f>IFERROR(__xludf.DUMMYFUNCTION("REGEXREPLACE(C10635,""-\d+(.*)|--\d+(.*)"","""")"),"FLECHY")</f>
        <v>FLECHY</v>
      </c>
      <c r="E10635" s="38" t="s">
        <v>112</v>
      </c>
      <c r="F10635" s="38" t="s">
        <v>113</v>
      </c>
      <c r="G10635" s="49" t="str">
        <f t="shared" si="1"/>
        <v>60120</v>
      </c>
      <c r="H10635" s="49">
        <f t="shared" si="2"/>
        <v>60237</v>
      </c>
    </row>
    <row r="10636">
      <c r="A10636" s="48" t="s">
        <v>14644</v>
      </c>
      <c r="B10636" s="38">
        <v>6024.0</v>
      </c>
      <c r="C10636" s="38" t="s">
        <v>14645</v>
      </c>
      <c r="D10636" s="38" t="str">
        <f>IFERROR(__xludf.DUMMYFUNCTION("REGEXREPLACE(C10636,""-\d+(.*)|--\d+(.*)"","""")"),"BRIANCONNET")</f>
        <v>BRIANCONNET</v>
      </c>
      <c r="E10636" s="38" t="s">
        <v>227</v>
      </c>
      <c r="F10636" s="38" t="s">
        <v>228</v>
      </c>
      <c r="G10636" s="49" t="str">
        <f t="shared" si="1"/>
        <v>06850</v>
      </c>
      <c r="H10636" s="49" t="str">
        <f t="shared" si="2"/>
        <v>06024</v>
      </c>
    </row>
    <row r="10637">
      <c r="A10637" s="48" t="s">
        <v>423</v>
      </c>
      <c r="B10637" s="38">
        <v>2812.0</v>
      </c>
      <c r="C10637" s="38" t="s">
        <v>14646</v>
      </c>
      <c r="D10637" s="38" t="str">
        <f>IFERROR(__xludf.DUMMYFUNCTION("REGEXREPLACE(C10637,""-\d+(.*)|--\d+(.*)"","""")"),"VILLERS-HELON")</f>
        <v>VILLERS-HELON</v>
      </c>
      <c r="E10637" s="38" t="s">
        <v>191</v>
      </c>
      <c r="F10637" s="38" t="s">
        <v>113</v>
      </c>
      <c r="G10637" s="49" t="str">
        <f t="shared" si="1"/>
        <v>02600</v>
      </c>
      <c r="H10637" s="49" t="str">
        <f t="shared" si="2"/>
        <v>02812</v>
      </c>
    </row>
    <row r="10638">
      <c r="A10638" s="48" t="s">
        <v>3699</v>
      </c>
      <c r="B10638" s="38">
        <v>18208.0</v>
      </c>
      <c r="C10638" s="38" t="s">
        <v>14647</v>
      </c>
      <c r="D10638" s="38" t="str">
        <f>IFERROR(__xludf.DUMMYFUNCTION("REGEXREPLACE(C10638,""-\d+(.*)|--\d+(.*)"","""")"),"SAINTE-GEMME-EN-SANCERROIS")</f>
        <v>SAINTE-GEMME-EN-SANCERROIS</v>
      </c>
      <c r="E10638" s="38" t="s">
        <v>504</v>
      </c>
      <c r="F10638" s="38" t="s">
        <v>123</v>
      </c>
      <c r="G10638" s="49" t="str">
        <f t="shared" si="1"/>
        <v>18240</v>
      </c>
      <c r="H10638" s="49">
        <f t="shared" si="2"/>
        <v>18208</v>
      </c>
    </row>
    <row r="10639">
      <c r="A10639" s="48" t="s">
        <v>781</v>
      </c>
      <c r="B10639" s="38">
        <v>65421.0</v>
      </c>
      <c r="C10639" s="38" t="s">
        <v>14648</v>
      </c>
      <c r="D10639" s="38" t="str">
        <f>IFERROR(__xludf.DUMMYFUNCTION("REGEXREPLACE(C10639,""-\d+(.*)|--\d+(.*)"","""")"),"SERE-LANSO")</f>
        <v>SERE-LANSO</v>
      </c>
      <c r="E10639" s="38" t="s">
        <v>200</v>
      </c>
      <c r="F10639" s="38" t="s">
        <v>94</v>
      </c>
      <c r="G10639" s="49" t="str">
        <f t="shared" si="1"/>
        <v>65100</v>
      </c>
      <c r="H10639" s="49">
        <f t="shared" si="2"/>
        <v>65421</v>
      </c>
    </row>
    <row r="10640">
      <c r="A10640" s="48" t="s">
        <v>1961</v>
      </c>
      <c r="B10640" s="38">
        <v>33072.0</v>
      </c>
      <c r="C10640" s="38" t="s">
        <v>14649</v>
      </c>
      <c r="D10640" s="38" t="str">
        <f>IFERROR(__xludf.DUMMYFUNCTION("REGEXREPLACE(C10640,""-\d+(.*)|--\d+(.*)"","""")"),"BRANNENS")</f>
        <v>BRANNENS</v>
      </c>
      <c r="E10640" s="38" t="s">
        <v>462</v>
      </c>
      <c r="F10640" s="38" t="s">
        <v>252</v>
      </c>
      <c r="G10640" s="49" t="str">
        <f t="shared" si="1"/>
        <v>33124</v>
      </c>
      <c r="H10640" s="49">
        <f t="shared" si="2"/>
        <v>33072</v>
      </c>
    </row>
    <row r="10641">
      <c r="A10641" s="48" t="s">
        <v>14650</v>
      </c>
      <c r="B10641" s="38">
        <v>25227.0</v>
      </c>
      <c r="C10641" s="38" t="s">
        <v>14651</v>
      </c>
      <c r="D10641" s="38" t="str">
        <f>IFERROR(__xludf.DUMMYFUNCTION("REGEXREPLACE(C10641,""-\d+(.*)|--\d+(.*)"","""")"),"ETRAY")</f>
        <v>ETRAY</v>
      </c>
      <c r="E10641" s="38" t="s">
        <v>213</v>
      </c>
      <c r="F10641" s="38" t="s">
        <v>214</v>
      </c>
      <c r="G10641" s="49" t="str">
        <f t="shared" si="1"/>
        <v>25800</v>
      </c>
      <c r="H10641" s="49">
        <f t="shared" si="2"/>
        <v>25227</v>
      </c>
    </row>
    <row r="10642">
      <c r="A10642" s="48" t="s">
        <v>14652</v>
      </c>
      <c r="B10642" s="38">
        <v>2382.0</v>
      </c>
      <c r="C10642" s="38" t="s">
        <v>14653</v>
      </c>
      <c r="D10642" s="38" t="str">
        <f>IFERROR(__xludf.DUMMYFUNCTION("REGEXREPLACE(C10642,""-\d+(.*)|--\d+(.*)"","""")"),"HOLNON")</f>
        <v>HOLNON</v>
      </c>
      <c r="E10642" s="38" t="s">
        <v>191</v>
      </c>
      <c r="F10642" s="38" t="s">
        <v>113</v>
      </c>
      <c r="G10642" s="49" t="str">
        <f t="shared" si="1"/>
        <v>02760</v>
      </c>
      <c r="H10642" s="49" t="str">
        <f t="shared" si="2"/>
        <v>02382</v>
      </c>
    </row>
    <row r="10643">
      <c r="A10643" s="48" t="s">
        <v>14654</v>
      </c>
      <c r="B10643" s="38">
        <v>58303.0</v>
      </c>
      <c r="C10643" s="38" t="s">
        <v>14655</v>
      </c>
      <c r="D10643" s="38" t="str">
        <f>IFERROR(__xludf.DUMMYFUNCTION("REGEXREPLACE(C10643,""-\d+(.*)|--\d+(.*)"","""")"),"VARENNES-VAUZELLES")</f>
        <v>VARENNES-VAUZELLES</v>
      </c>
      <c r="E10643" s="38" t="s">
        <v>219</v>
      </c>
      <c r="F10643" s="38" t="s">
        <v>106</v>
      </c>
      <c r="G10643" s="49" t="str">
        <f t="shared" si="1"/>
        <v>58640</v>
      </c>
      <c r="H10643" s="49">
        <f t="shared" si="2"/>
        <v>58303</v>
      </c>
    </row>
    <row r="10644">
      <c r="A10644" s="48" t="s">
        <v>256</v>
      </c>
      <c r="B10644" s="38">
        <v>36091.0</v>
      </c>
      <c r="C10644" s="38" t="s">
        <v>14656</v>
      </c>
      <c r="D10644" s="38" t="str">
        <f>IFERROR(__xludf.DUMMYFUNCTION("REGEXREPLACE(C10644,""-\d+(.*)|--\d+(.*)"","""")"),"LACS")</f>
        <v>LACS</v>
      </c>
      <c r="E10644" s="38" t="s">
        <v>258</v>
      </c>
      <c r="F10644" s="38" t="s">
        <v>123</v>
      </c>
      <c r="G10644" s="49" t="str">
        <f t="shared" si="1"/>
        <v>36400</v>
      </c>
      <c r="H10644" s="49">
        <f t="shared" si="2"/>
        <v>36091</v>
      </c>
    </row>
    <row r="10645">
      <c r="A10645" s="48" t="s">
        <v>12777</v>
      </c>
      <c r="B10645" s="38">
        <v>73092.0</v>
      </c>
      <c r="C10645" s="38" t="s">
        <v>14657</v>
      </c>
      <c r="D10645" s="38" t="str">
        <f>IFERROR(__xludf.DUMMYFUNCTION("REGEXREPLACE(C10645,""-\d+(.*)|--\d+(.*)"","""")"),"CORBEL")</f>
        <v>CORBEL</v>
      </c>
      <c r="E10645" s="38" t="s">
        <v>306</v>
      </c>
      <c r="F10645" s="38" t="s">
        <v>102</v>
      </c>
      <c r="G10645" s="49" t="str">
        <f t="shared" si="1"/>
        <v>73160</v>
      </c>
      <c r="H10645" s="49">
        <f t="shared" si="2"/>
        <v>73092</v>
      </c>
    </row>
    <row r="10646">
      <c r="A10646" s="48" t="s">
        <v>3583</v>
      </c>
      <c r="B10646" s="38">
        <v>7150.0</v>
      </c>
      <c r="C10646" s="38" t="s">
        <v>14658</v>
      </c>
      <c r="D10646" s="38" t="str">
        <f>IFERROR(__xludf.DUMMYFUNCTION("REGEXREPLACE(C10646,""-\d+(.*)|--\d+(.*)"","""")"),"MARIAC")</f>
        <v>MARIAC</v>
      </c>
      <c r="E10646" s="38" t="s">
        <v>144</v>
      </c>
      <c r="F10646" s="38" t="s">
        <v>102</v>
      </c>
      <c r="G10646" s="49" t="str">
        <f t="shared" si="1"/>
        <v>07160</v>
      </c>
      <c r="H10646" s="49" t="str">
        <f t="shared" si="2"/>
        <v>07150</v>
      </c>
    </row>
    <row r="10647">
      <c r="A10647" s="48" t="s">
        <v>4176</v>
      </c>
      <c r="B10647" s="38">
        <v>41288.0</v>
      </c>
      <c r="C10647" s="38" t="s">
        <v>14659</v>
      </c>
      <c r="D10647" s="38" t="str">
        <f>IFERROR(__xludf.DUMMYFUNCTION("REGEXREPLACE(C10647,""-\d+(.*)|--\d+(.*)"","""")"),"VILLERBON")</f>
        <v>VILLERBON</v>
      </c>
      <c r="E10647" s="38" t="s">
        <v>188</v>
      </c>
      <c r="F10647" s="38" t="s">
        <v>123</v>
      </c>
      <c r="G10647" s="49" t="str">
        <f t="shared" si="1"/>
        <v>41000</v>
      </c>
      <c r="H10647" s="49">
        <f t="shared" si="2"/>
        <v>41288</v>
      </c>
    </row>
    <row r="10648">
      <c r="A10648" s="48" t="s">
        <v>10999</v>
      </c>
      <c r="B10648" s="38">
        <v>66063.0</v>
      </c>
      <c r="C10648" s="38" t="s">
        <v>14660</v>
      </c>
      <c r="D10648" s="38" t="str">
        <f>IFERROR(__xludf.DUMMYFUNCTION("REGEXREPLACE(C10648,""-\d+(.*)|--\d+(.*)"","""")"),"LES CLUSES")</f>
        <v>LES CLUSES</v>
      </c>
      <c r="E10648" s="38" t="s">
        <v>248</v>
      </c>
      <c r="F10648" s="38" t="s">
        <v>119</v>
      </c>
      <c r="G10648" s="49" t="str">
        <f t="shared" si="1"/>
        <v>66480</v>
      </c>
      <c r="H10648" s="49">
        <f t="shared" si="2"/>
        <v>66063</v>
      </c>
    </row>
    <row r="10649">
      <c r="A10649" s="48" t="s">
        <v>6965</v>
      </c>
      <c r="B10649" s="38">
        <v>2153.0</v>
      </c>
      <c r="C10649" s="38" t="s">
        <v>14661</v>
      </c>
      <c r="D10649" s="38" t="str">
        <f>IFERROR(__xludf.DUMMYFUNCTION("REGEXREPLACE(C10649,""-\d+(.*)|--\d+(.*)"","""")"),"CESSIERES")</f>
        <v>CESSIERES</v>
      </c>
      <c r="E10649" s="38" t="s">
        <v>191</v>
      </c>
      <c r="F10649" s="38" t="s">
        <v>113</v>
      </c>
      <c r="G10649" s="49" t="str">
        <f t="shared" si="1"/>
        <v>02320</v>
      </c>
      <c r="H10649" s="49" t="str">
        <f t="shared" si="2"/>
        <v>02153</v>
      </c>
    </row>
    <row r="10650">
      <c r="A10650" s="48" t="s">
        <v>3814</v>
      </c>
      <c r="B10650" s="38">
        <v>71571.0</v>
      </c>
      <c r="C10650" s="38" t="s">
        <v>14662</v>
      </c>
      <c r="D10650" s="38" t="str">
        <f>IFERROR(__xludf.DUMMYFUNCTION("REGEXREPLACE(C10650,""-\d+(.*)|--\d+(.*)"","""")"),"VEROSVRES")</f>
        <v>VEROSVRES</v>
      </c>
      <c r="E10650" s="38" t="s">
        <v>344</v>
      </c>
      <c r="F10650" s="38" t="s">
        <v>106</v>
      </c>
      <c r="G10650" s="49" t="str">
        <f t="shared" si="1"/>
        <v>71220</v>
      </c>
      <c r="H10650" s="49">
        <f t="shared" si="2"/>
        <v>71571</v>
      </c>
    </row>
    <row r="10651">
      <c r="A10651" s="48" t="s">
        <v>1143</v>
      </c>
      <c r="B10651" s="38">
        <v>52091.0</v>
      </c>
      <c r="C10651" s="38" t="s">
        <v>14663</v>
      </c>
      <c r="D10651" s="38" t="str">
        <f>IFERROR(__xludf.DUMMYFUNCTION("REGEXREPLACE(C10651,""-\d+(.*)|--\d+(.*)"","""")"),"CERISIERES")</f>
        <v>CERISIERES</v>
      </c>
      <c r="E10651" s="38" t="s">
        <v>234</v>
      </c>
      <c r="F10651" s="38" t="s">
        <v>130</v>
      </c>
      <c r="G10651" s="49" t="str">
        <f t="shared" si="1"/>
        <v>52320</v>
      </c>
      <c r="H10651" s="49">
        <f t="shared" si="2"/>
        <v>52091</v>
      </c>
    </row>
    <row r="10652">
      <c r="A10652" s="48" t="s">
        <v>4543</v>
      </c>
      <c r="B10652" s="38">
        <v>64425.0</v>
      </c>
      <c r="C10652" s="38" t="s">
        <v>14664</v>
      </c>
      <c r="D10652" s="38" t="str">
        <f>IFERROR(__xludf.DUMMYFUNCTION("REGEXREPLACE(C10652,""-\d+(.*)|--\d+(.*)"","""")"),"OREGUE")</f>
        <v>OREGUE</v>
      </c>
      <c r="E10652" s="38" t="s">
        <v>268</v>
      </c>
      <c r="F10652" s="38" t="s">
        <v>252</v>
      </c>
      <c r="G10652" s="49" t="str">
        <f t="shared" si="1"/>
        <v>64120</v>
      </c>
      <c r="H10652" s="49">
        <f t="shared" si="2"/>
        <v>64425</v>
      </c>
    </row>
    <row r="10653">
      <c r="A10653" s="48" t="s">
        <v>2272</v>
      </c>
      <c r="B10653" s="38">
        <v>27062.0</v>
      </c>
      <c r="C10653" s="38" t="s">
        <v>14665</v>
      </c>
      <c r="D10653" s="38" t="str">
        <f>IFERROR(__xludf.DUMMYFUNCTION("REGEXREPLACE(C10653,""-\d+(.*)|--\d+(.*)"","""")"),"BERVILLE-EN-ROUMOIS")</f>
        <v>BERVILLE-EN-ROUMOIS</v>
      </c>
      <c r="E10653" s="38" t="s">
        <v>241</v>
      </c>
      <c r="F10653" s="38" t="s">
        <v>134</v>
      </c>
      <c r="G10653" s="49" t="str">
        <f t="shared" si="1"/>
        <v>27520</v>
      </c>
      <c r="H10653" s="49">
        <f t="shared" si="2"/>
        <v>27062</v>
      </c>
    </row>
    <row r="10654">
      <c r="A10654" s="48" t="s">
        <v>6069</v>
      </c>
      <c r="B10654" s="38">
        <v>50260.0</v>
      </c>
      <c r="C10654" s="38" t="s">
        <v>14666</v>
      </c>
      <c r="D10654" s="38" t="str">
        <f>IFERROR(__xludf.DUMMYFUNCTION("REGEXREPLACE(C10654,""-\d+(.*)|--\d+(.*)"","""")"),"JUVIGNY-LE-TERTRE")</f>
        <v>JUVIGNY-LE-TERTRE</v>
      </c>
      <c r="E10654" s="38" t="s">
        <v>157</v>
      </c>
      <c r="F10654" s="38" t="s">
        <v>138</v>
      </c>
      <c r="G10654" s="49" t="str">
        <f t="shared" si="1"/>
        <v>50520</v>
      </c>
      <c r="H10654" s="49">
        <f t="shared" si="2"/>
        <v>50260</v>
      </c>
    </row>
    <row r="10655">
      <c r="A10655" s="48" t="s">
        <v>3869</v>
      </c>
      <c r="B10655" s="38">
        <v>21412.0</v>
      </c>
      <c r="C10655" s="38" t="s">
        <v>14667</v>
      </c>
      <c r="D10655" s="38" t="str">
        <f>IFERROR(__xludf.DUMMYFUNCTION("REGEXREPLACE(C10655,""-\d+(.*)|--\d+(.*)"","""")"),"MEURSAULT")</f>
        <v>MEURSAULT</v>
      </c>
      <c r="E10655" s="38" t="s">
        <v>105</v>
      </c>
      <c r="F10655" s="38" t="s">
        <v>106</v>
      </c>
      <c r="G10655" s="49" t="str">
        <f t="shared" si="1"/>
        <v>21190</v>
      </c>
      <c r="H10655" s="49">
        <f t="shared" si="2"/>
        <v>21412</v>
      </c>
    </row>
    <row r="10656">
      <c r="A10656" s="48" t="s">
        <v>4706</v>
      </c>
      <c r="B10656" s="38">
        <v>74154.0</v>
      </c>
      <c r="C10656" s="38" t="s">
        <v>14668</v>
      </c>
      <c r="D10656" s="38" t="str">
        <f>IFERROR(__xludf.DUMMYFUNCTION("REGEXREPLACE(C10656,""-\d+(.*)|--\d+(.*)"","""")"),"LUGRIN")</f>
        <v>LUGRIN</v>
      </c>
      <c r="E10656" s="38" t="s">
        <v>319</v>
      </c>
      <c r="F10656" s="38" t="s">
        <v>102</v>
      </c>
      <c r="G10656" s="49" t="str">
        <f t="shared" si="1"/>
        <v>74500</v>
      </c>
      <c r="H10656" s="49">
        <f t="shared" si="2"/>
        <v>74154</v>
      </c>
    </row>
    <row r="10657">
      <c r="A10657" s="48" t="s">
        <v>1758</v>
      </c>
      <c r="B10657" s="38">
        <v>65192.0</v>
      </c>
      <c r="C10657" s="38" t="s">
        <v>14669</v>
      </c>
      <c r="D10657" s="38" t="str">
        <f>IFERROR(__xludf.DUMMYFUNCTION("REGEXREPLACE(C10657,""-\d+(.*)|--\d+(.*)"","""")"),"GEDRE")</f>
        <v>GEDRE</v>
      </c>
      <c r="E10657" s="38" t="s">
        <v>200</v>
      </c>
      <c r="F10657" s="38" t="s">
        <v>94</v>
      </c>
      <c r="G10657" s="49" t="str">
        <f t="shared" si="1"/>
        <v>65120</v>
      </c>
      <c r="H10657" s="49">
        <f t="shared" si="2"/>
        <v>65192</v>
      </c>
    </row>
    <row r="10658">
      <c r="A10658" s="48" t="s">
        <v>1881</v>
      </c>
      <c r="B10658" s="38">
        <v>69032.0</v>
      </c>
      <c r="C10658" s="38" t="s">
        <v>2448</v>
      </c>
      <c r="D10658" s="38" t="str">
        <f>IFERROR(__xludf.DUMMYFUNCTION("REGEXREPLACE(C10658,""-\d+(.*)|--\d+(.*)"","""")"),"BULLY")</f>
        <v>BULLY</v>
      </c>
      <c r="E10658" s="38" t="s">
        <v>350</v>
      </c>
      <c r="F10658" s="38" t="s">
        <v>102</v>
      </c>
      <c r="G10658" s="49" t="str">
        <f t="shared" si="1"/>
        <v>69210</v>
      </c>
      <c r="H10658" s="49">
        <f t="shared" si="2"/>
        <v>69032</v>
      </c>
    </row>
    <row r="10659">
      <c r="A10659" s="48" t="s">
        <v>2379</v>
      </c>
      <c r="B10659" s="38">
        <v>65157.0</v>
      </c>
      <c r="C10659" s="38" t="s">
        <v>14670</v>
      </c>
      <c r="D10659" s="38" t="str">
        <f>IFERROR(__xludf.DUMMYFUNCTION("REGEXREPLACE(C10659,""-\d+(.*)|--\d+(.*)"","""")"),"ENS")</f>
        <v>ENS</v>
      </c>
      <c r="E10659" s="38" t="s">
        <v>200</v>
      </c>
      <c r="F10659" s="38" t="s">
        <v>94</v>
      </c>
      <c r="G10659" s="49" t="str">
        <f t="shared" si="1"/>
        <v>65170</v>
      </c>
      <c r="H10659" s="49">
        <f t="shared" si="2"/>
        <v>65157</v>
      </c>
    </row>
    <row r="10660">
      <c r="A10660" s="48" t="s">
        <v>10970</v>
      </c>
      <c r="B10660" s="38">
        <v>59576.0</v>
      </c>
      <c r="C10660" s="38" t="s">
        <v>14671</v>
      </c>
      <c r="D10660" s="38" t="str">
        <f>IFERROR(__xludf.DUMMYFUNCTION("REGEXREPLACE(C10660,""-\d+(.*)|--\d+(.*)"","""")"),"SPYCKER")</f>
        <v>SPYCKER</v>
      </c>
      <c r="E10660" s="38" t="s">
        <v>85</v>
      </c>
      <c r="F10660" s="38" t="s">
        <v>86</v>
      </c>
      <c r="G10660" s="49" t="str">
        <f t="shared" si="1"/>
        <v>59380</v>
      </c>
      <c r="H10660" s="49">
        <f t="shared" si="2"/>
        <v>59576</v>
      </c>
    </row>
    <row r="10661">
      <c r="A10661" s="48" t="s">
        <v>13997</v>
      </c>
      <c r="B10661" s="38">
        <v>32189.0</v>
      </c>
      <c r="C10661" s="38" t="s">
        <v>14672</v>
      </c>
      <c r="D10661" s="38" t="str">
        <f>IFERROR(__xludf.DUMMYFUNCTION("REGEXREPLACE(C10661,""-\d+(.*)|--\d+(.*)"","""")"),"LANNEMAIGNAN")</f>
        <v>LANNEMAIGNAN</v>
      </c>
      <c r="E10661" s="38" t="s">
        <v>440</v>
      </c>
      <c r="F10661" s="38" t="s">
        <v>94</v>
      </c>
      <c r="G10661" s="49" t="str">
        <f t="shared" si="1"/>
        <v>32240</v>
      </c>
      <c r="H10661" s="49">
        <f t="shared" si="2"/>
        <v>32189</v>
      </c>
    </row>
    <row r="10662">
      <c r="A10662" s="48" t="s">
        <v>7858</v>
      </c>
      <c r="B10662" s="38">
        <v>47165.0</v>
      </c>
      <c r="C10662" s="38" t="s">
        <v>14673</v>
      </c>
      <c r="D10662" s="38" t="str">
        <f>IFERROR(__xludf.DUMMYFUNCTION("REGEXREPLACE(C10662,""-\d+(.*)|--\d+(.*)"","""")"),"MEILHAN-SUR-GARONNE")</f>
        <v>MEILHAN-SUR-GARONNE</v>
      </c>
      <c r="E10662" s="38" t="s">
        <v>251</v>
      </c>
      <c r="F10662" s="38" t="s">
        <v>252</v>
      </c>
      <c r="G10662" s="49" t="str">
        <f t="shared" si="1"/>
        <v>47180</v>
      </c>
      <c r="H10662" s="49">
        <f t="shared" si="2"/>
        <v>47165</v>
      </c>
    </row>
    <row r="10663">
      <c r="A10663" s="48" t="s">
        <v>1706</v>
      </c>
      <c r="B10663" s="38">
        <v>50646.0</v>
      </c>
      <c r="C10663" s="38" t="s">
        <v>14674</v>
      </c>
      <c r="D10663" s="38" t="str">
        <f>IFERROR(__xludf.DUMMYFUNCTION("REGEXREPLACE(C10663,""-\d+(.*)|--\d+(.*)"","""")"),"LE VRETOT")</f>
        <v>LE VRETOT</v>
      </c>
      <c r="E10663" s="38" t="s">
        <v>157</v>
      </c>
      <c r="F10663" s="38" t="s">
        <v>138</v>
      </c>
      <c r="G10663" s="49" t="str">
        <f t="shared" si="1"/>
        <v>50260</v>
      </c>
      <c r="H10663" s="49">
        <f t="shared" si="2"/>
        <v>50646</v>
      </c>
    </row>
    <row r="10664">
      <c r="A10664" s="48" t="s">
        <v>571</v>
      </c>
      <c r="B10664" s="38">
        <v>55025.0</v>
      </c>
      <c r="C10664" s="38" t="s">
        <v>14675</v>
      </c>
      <c r="D10664" s="38" t="str">
        <f>IFERROR(__xludf.DUMMYFUNCTION("REGEXREPLACE(C10664,""-\d+(.*)|--\d+(.*)"","""")"),"BAALON")</f>
        <v>BAALON</v>
      </c>
      <c r="E10664" s="38" t="s">
        <v>322</v>
      </c>
      <c r="F10664" s="38" t="s">
        <v>195</v>
      </c>
      <c r="G10664" s="49" t="str">
        <f t="shared" si="1"/>
        <v>55700</v>
      </c>
      <c r="H10664" s="49">
        <f t="shared" si="2"/>
        <v>55025</v>
      </c>
    </row>
    <row r="10665">
      <c r="A10665" s="48" t="s">
        <v>549</v>
      </c>
      <c r="B10665" s="38">
        <v>55322.0</v>
      </c>
      <c r="C10665" s="38" t="s">
        <v>14676</v>
      </c>
      <c r="D10665" s="38" t="str">
        <f>IFERROR(__xludf.DUMMYFUNCTION("REGEXREPLACE(C10665,""-\d+(.*)|--\d+(.*)"","""")"),"MARSON-SUR-BARBOURE")</f>
        <v>MARSON-SUR-BARBOURE</v>
      </c>
      <c r="E10665" s="38" t="s">
        <v>322</v>
      </c>
      <c r="F10665" s="38" t="s">
        <v>195</v>
      </c>
      <c r="G10665" s="49" t="str">
        <f t="shared" si="1"/>
        <v>55190</v>
      </c>
      <c r="H10665" s="49">
        <f t="shared" si="2"/>
        <v>55322</v>
      </c>
    </row>
    <row r="10666">
      <c r="A10666" s="48" t="s">
        <v>2521</v>
      </c>
      <c r="B10666" s="38">
        <v>28294.0</v>
      </c>
      <c r="C10666" s="38" t="s">
        <v>14677</v>
      </c>
      <c r="D10666" s="38" t="str">
        <f>IFERROR(__xludf.DUMMYFUNCTION("REGEXREPLACE(C10666,""-\d+(.*)|--\d+(.*)"","""")"),"OYSONVILLE")</f>
        <v>OYSONVILLE</v>
      </c>
      <c r="E10666" s="38" t="s">
        <v>300</v>
      </c>
      <c r="F10666" s="38" t="s">
        <v>123</v>
      </c>
      <c r="G10666" s="49" t="str">
        <f t="shared" si="1"/>
        <v>28700</v>
      </c>
      <c r="H10666" s="49">
        <f t="shared" si="2"/>
        <v>28294</v>
      </c>
    </row>
    <row r="10667">
      <c r="A10667" s="48" t="s">
        <v>3992</v>
      </c>
      <c r="B10667" s="38">
        <v>46132.0</v>
      </c>
      <c r="C10667" s="38" t="s">
        <v>14678</v>
      </c>
      <c r="D10667" s="38" t="str">
        <f>IFERROR(__xludf.DUMMYFUNCTION("REGEXREPLACE(C10667,""-\d+(.*)|--\d+(.*)"","""")"),"ISSENDOLUS")</f>
        <v>ISSENDOLUS</v>
      </c>
      <c r="E10667" s="38" t="s">
        <v>185</v>
      </c>
      <c r="F10667" s="38" t="s">
        <v>94</v>
      </c>
      <c r="G10667" s="49" t="str">
        <f t="shared" si="1"/>
        <v>46500</v>
      </c>
      <c r="H10667" s="49">
        <f t="shared" si="2"/>
        <v>46132</v>
      </c>
    </row>
    <row r="10668">
      <c r="A10668" s="48" t="s">
        <v>14679</v>
      </c>
      <c r="B10668" s="38">
        <v>73233.0</v>
      </c>
      <c r="C10668" s="38" t="s">
        <v>14680</v>
      </c>
      <c r="D10668" s="38" t="str">
        <f>IFERROR(__xludf.DUMMYFUNCTION("REGEXREPLACE(C10668,""-\d+(.*)|--\d+(.*)"","""")"),"SAINT-FRANC")</f>
        <v>SAINT-FRANC</v>
      </c>
      <c r="E10668" s="38" t="s">
        <v>306</v>
      </c>
      <c r="F10668" s="38" t="s">
        <v>102</v>
      </c>
      <c r="G10668" s="49" t="str">
        <f t="shared" si="1"/>
        <v>73360</v>
      </c>
      <c r="H10668" s="49">
        <f t="shared" si="2"/>
        <v>73233</v>
      </c>
    </row>
    <row r="10669">
      <c r="A10669" s="48" t="s">
        <v>198</v>
      </c>
      <c r="B10669" s="38">
        <v>65215.0</v>
      </c>
      <c r="C10669" s="38" t="s">
        <v>14681</v>
      </c>
      <c r="D10669" s="38" t="str">
        <f>IFERROR(__xludf.DUMMYFUNCTION("REGEXREPLACE(C10669,""-\d+(.*)|--\d+(.*)"","""")"),"HAGEDET")</f>
        <v>HAGEDET</v>
      </c>
      <c r="E10669" s="38" t="s">
        <v>200</v>
      </c>
      <c r="F10669" s="38" t="s">
        <v>94</v>
      </c>
      <c r="G10669" s="49" t="str">
        <f t="shared" si="1"/>
        <v>65700</v>
      </c>
      <c r="H10669" s="49">
        <f t="shared" si="2"/>
        <v>65215</v>
      </c>
    </row>
    <row r="10670">
      <c r="A10670" s="48" t="s">
        <v>9821</v>
      </c>
      <c r="B10670" s="38">
        <v>52515.0</v>
      </c>
      <c r="C10670" s="38" t="s">
        <v>14682</v>
      </c>
      <c r="D10670" s="38" t="str">
        <f>IFERROR(__xludf.DUMMYFUNCTION("REGEXREPLACE(C10670,""-\d+(.*)|--\d+(.*)"","""")"),"VERSEILLES-LE-BAS")</f>
        <v>VERSEILLES-LE-BAS</v>
      </c>
      <c r="E10670" s="38" t="s">
        <v>234</v>
      </c>
      <c r="F10670" s="38" t="s">
        <v>130</v>
      </c>
      <c r="G10670" s="49" t="str">
        <f t="shared" si="1"/>
        <v>52250</v>
      </c>
      <c r="H10670" s="49">
        <f t="shared" si="2"/>
        <v>52515</v>
      </c>
    </row>
    <row r="10671">
      <c r="A10671" s="48" t="s">
        <v>14683</v>
      </c>
      <c r="B10671" s="38">
        <v>94046.0</v>
      </c>
      <c r="C10671" s="38" t="s">
        <v>14684</v>
      </c>
      <c r="D10671" s="38" t="str">
        <f>IFERROR(__xludf.DUMMYFUNCTION("REGEXREPLACE(C10671,""-\d+(.*)|--\d+(.*)"","""")"),"MAISONS-ALFORT")</f>
        <v>MAISONS-ALFORT</v>
      </c>
      <c r="E10671" s="38" t="s">
        <v>561</v>
      </c>
      <c r="F10671" s="38" t="s">
        <v>245</v>
      </c>
      <c r="G10671" s="49" t="str">
        <f t="shared" si="1"/>
        <v>94700</v>
      </c>
      <c r="H10671" s="49">
        <f t="shared" si="2"/>
        <v>94046</v>
      </c>
    </row>
    <row r="10672">
      <c r="A10672" s="48" t="s">
        <v>13902</v>
      </c>
      <c r="B10672" s="38">
        <v>49172.0</v>
      </c>
      <c r="C10672" s="38" t="s">
        <v>14685</v>
      </c>
      <c r="D10672" s="38" t="str">
        <f>IFERROR(__xludf.DUMMYFUNCTION("REGEXREPLACE(C10672,""-\d+(.*)|--\d+(.*)"","""")"),"LANDEMONT")</f>
        <v>LANDEMONT</v>
      </c>
      <c r="E10672" s="38" t="s">
        <v>653</v>
      </c>
      <c r="F10672" s="38" t="s">
        <v>180</v>
      </c>
      <c r="G10672" s="49" t="str">
        <f t="shared" si="1"/>
        <v>49270</v>
      </c>
      <c r="H10672" s="49">
        <f t="shared" si="2"/>
        <v>49172</v>
      </c>
    </row>
    <row r="10673">
      <c r="A10673" s="48" t="s">
        <v>10564</v>
      </c>
      <c r="B10673" s="38">
        <v>56262.0</v>
      </c>
      <c r="C10673" s="38" t="s">
        <v>14686</v>
      </c>
      <c r="D10673" s="38" t="str">
        <f>IFERROR(__xludf.DUMMYFUNCTION("REGEXREPLACE(C10673,""-\d+(.*)|--\d+(.*)"","""")"),"BONO")</f>
        <v>BONO</v>
      </c>
      <c r="E10673" s="38" t="s">
        <v>173</v>
      </c>
      <c r="F10673" s="38" t="s">
        <v>90</v>
      </c>
      <c r="G10673" s="49" t="str">
        <f t="shared" si="1"/>
        <v>56400</v>
      </c>
      <c r="H10673" s="49">
        <f t="shared" si="2"/>
        <v>56262</v>
      </c>
    </row>
    <row r="10674">
      <c r="A10674" s="48" t="s">
        <v>14687</v>
      </c>
      <c r="B10674" s="38">
        <v>5036.0</v>
      </c>
      <c r="C10674" s="38" t="s">
        <v>14688</v>
      </c>
      <c r="D10674" s="38" t="str">
        <f>IFERROR(__xludf.DUMMYFUNCTION("REGEXREPLACE(C10674,""-\d+(.*)|--\d+(.*)"","""")"),"CHATEAUROUX-LES-ALPES")</f>
        <v>CHATEAUROUX-LES-ALPES</v>
      </c>
      <c r="E10674" s="38" t="s">
        <v>706</v>
      </c>
      <c r="F10674" s="38" t="s">
        <v>228</v>
      </c>
      <c r="G10674" s="49" t="str">
        <f t="shared" si="1"/>
        <v>05380</v>
      </c>
      <c r="H10674" s="49" t="str">
        <f t="shared" si="2"/>
        <v>05036</v>
      </c>
    </row>
    <row r="10675">
      <c r="A10675" s="48" t="s">
        <v>14689</v>
      </c>
      <c r="B10675" s="38">
        <v>22016.0</v>
      </c>
      <c r="C10675" s="38" t="s">
        <v>14690</v>
      </c>
      <c r="D10675" s="38" t="str">
        <f>IFERROR(__xludf.DUMMYFUNCTION("REGEXREPLACE(C10675,""-\d+(.*)|--\d+(.*)"","""")"),"ILE-DE-BREHAT")</f>
        <v>ILE-DE-BREHAT</v>
      </c>
      <c r="E10675" s="38" t="s">
        <v>89</v>
      </c>
      <c r="F10675" s="38" t="s">
        <v>90</v>
      </c>
      <c r="G10675" s="49" t="str">
        <f t="shared" si="1"/>
        <v>22870</v>
      </c>
      <c r="H10675" s="49">
        <f t="shared" si="2"/>
        <v>22016</v>
      </c>
    </row>
    <row r="10676">
      <c r="A10676" s="48" t="s">
        <v>4902</v>
      </c>
      <c r="B10676" s="38">
        <v>61398.0</v>
      </c>
      <c r="C10676" s="38" t="s">
        <v>14691</v>
      </c>
      <c r="D10676" s="38" t="str">
        <f>IFERROR(__xludf.DUMMYFUNCTION("REGEXREPLACE(C10676,""-\d+(.*)|--\d+(.*)"","""")"),"SAINT-GERMAIN-LE-VIEUX")</f>
        <v>SAINT-GERMAIN-LE-VIEUX</v>
      </c>
      <c r="E10676" s="38" t="s">
        <v>141</v>
      </c>
      <c r="F10676" s="38" t="s">
        <v>138</v>
      </c>
      <c r="G10676" s="49" t="str">
        <f t="shared" si="1"/>
        <v>61390</v>
      </c>
      <c r="H10676" s="49">
        <f t="shared" si="2"/>
        <v>61398</v>
      </c>
    </row>
    <row r="10677">
      <c r="A10677" s="48" t="s">
        <v>13112</v>
      </c>
      <c r="B10677" s="38">
        <v>40124.0</v>
      </c>
      <c r="C10677" s="38" t="s">
        <v>14692</v>
      </c>
      <c r="D10677" s="38" t="str">
        <f>IFERROR(__xludf.DUMMYFUNCTION("REGEXREPLACE(C10677,""-\d+(.*)|--\d+(.*)"","""")"),"HERRE")</f>
        <v>HERRE</v>
      </c>
      <c r="E10677" s="38" t="s">
        <v>281</v>
      </c>
      <c r="F10677" s="38" t="s">
        <v>252</v>
      </c>
      <c r="G10677" s="49" t="str">
        <f t="shared" si="1"/>
        <v>40310</v>
      </c>
      <c r="H10677" s="49">
        <f t="shared" si="2"/>
        <v>40124</v>
      </c>
    </row>
    <row r="10678">
      <c r="A10678" s="48" t="s">
        <v>1495</v>
      </c>
      <c r="B10678" s="38">
        <v>33296.0</v>
      </c>
      <c r="C10678" s="38" t="s">
        <v>14693</v>
      </c>
      <c r="D10678" s="38" t="str">
        <f>IFERROR(__xludf.DUMMYFUNCTION("REGEXREPLACE(C10678,""-\d+(.*)|--\d+(.*)"","""")"),"MOULIETS-ET-VILLEMARTIN")</f>
        <v>MOULIETS-ET-VILLEMARTIN</v>
      </c>
      <c r="E10678" s="38" t="s">
        <v>462</v>
      </c>
      <c r="F10678" s="38" t="s">
        <v>252</v>
      </c>
      <c r="G10678" s="49" t="str">
        <f t="shared" si="1"/>
        <v>33350</v>
      </c>
      <c r="H10678" s="49">
        <f t="shared" si="2"/>
        <v>33296</v>
      </c>
    </row>
    <row r="10679">
      <c r="A10679" s="48" t="s">
        <v>3666</v>
      </c>
      <c r="B10679" s="38">
        <v>21640.0</v>
      </c>
      <c r="C10679" s="38" t="s">
        <v>14694</v>
      </c>
      <c r="D10679" s="38" t="str">
        <f>IFERROR(__xludf.DUMMYFUNCTION("REGEXREPLACE(C10679,""-\d+(.*)|--\d+(.*)"","""")"),"TORCY-ET-POULIGNY")</f>
        <v>TORCY-ET-POULIGNY</v>
      </c>
      <c r="E10679" s="38" t="s">
        <v>105</v>
      </c>
      <c r="F10679" s="38" t="s">
        <v>106</v>
      </c>
      <c r="G10679" s="49" t="str">
        <f t="shared" si="1"/>
        <v>21460</v>
      </c>
      <c r="H10679" s="49">
        <f t="shared" si="2"/>
        <v>21640</v>
      </c>
    </row>
    <row r="10680">
      <c r="A10680" s="48" t="s">
        <v>1800</v>
      </c>
      <c r="B10680" s="38">
        <v>88418.0</v>
      </c>
      <c r="C10680" s="38" t="s">
        <v>14695</v>
      </c>
      <c r="D10680" s="38" t="str">
        <f>IFERROR(__xludf.DUMMYFUNCTION("REGEXREPLACE(C10680,""-\d+(.*)|--\d+(.*)"","""")"),"SAINTE-HELENE")</f>
        <v>SAINTE-HELENE</v>
      </c>
      <c r="E10680" s="38" t="s">
        <v>194</v>
      </c>
      <c r="F10680" s="38" t="s">
        <v>195</v>
      </c>
      <c r="G10680" s="49" t="str">
        <f t="shared" si="1"/>
        <v>88700</v>
      </c>
      <c r="H10680" s="49">
        <f t="shared" si="2"/>
        <v>88418</v>
      </c>
    </row>
    <row r="10681">
      <c r="A10681" s="48" t="s">
        <v>5763</v>
      </c>
      <c r="B10681" s="38">
        <v>63115.0</v>
      </c>
      <c r="C10681" s="38" t="s">
        <v>14696</v>
      </c>
      <c r="D10681" s="38" t="str">
        <f>IFERROR(__xludf.DUMMYFUNCTION("REGEXREPLACE(C10681,""-\d+(.*)|--\d+(.*)"","""")"),"COMBRAILLES")</f>
        <v>COMBRAILLES</v>
      </c>
      <c r="E10681" s="38" t="s">
        <v>353</v>
      </c>
      <c r="F10681" s="38" t="s">
        <v>161</v>
      </c>
      <c r="G10681" s="49" t="str">
        <f t="shared" si="1"/>
        <v>63380</v>
      </c>
      <c r="H10681" s="49">
        <f t="shared" si="2"/>
        <v>63115</v>
      </c>
    </row>
    <row r="10682">
      <c r="A10682" s="48" t="s">
        <v>1174</v>
      </c>
      <c r="B10682" s="38">
        <v>51284.0</v>
      </c>
      <c r="C10682" s="38" t="s">
        <v>14697</v>
      </c>
      <c r="D10682" s="38" t="str">
        <f>IFERROR(__xludf.DUMMYFUNCTION("REGEXREPLACE(C10682,""-\d+(.*)|--\d+(.*)"","""")"),"HAUSSIGNEMONT")</f>
        <v>HAUSSIGNEMONT</v>
      </c>
      <c r="E10682" s="38" t="s">
        <v>129</v>
      </c>
      <c r="F10682" s="38" t="s">
        <v>130</v>
      </c>
      <c r="G10682" s="49" t="str">
        <f t="shared" si="1"/>
        <v>51300</v>
      </c>
      <c r="H10682" s="49">
        <f t="shared" si="2"/>
        <v>51284</v>
      </c>
    </row>
    <row r="10683">
      <c r="A10683" s="48" t="s">
        <v>7355</v>
      </c>
      <c r="B10683" s="38">
        <v>33244.0</v>
      </c>
      <c r="C10683" s="38" t="s">
        <v>14698</v>
      </c>
      <c r="D10683" s="38" t="str">
        <f>IFERROR(__xludf.DUMMYFUNCTION("REGEXREPLACE(C10683,""-\d+(.*)|--\d+(.*)"","""")"),"LIGNAN-DE-BAZAS")</f>
        <v>LIGNAN-DE-BAZAS</v>
      </c>
      <c r="E10683" s="38" t="s">
        <v>462</v>
      </c>
      <c r="F10683" s="38" t="s">
        <v>252</v>
      </c>
      <c r="G10683" s="49" t="str">
        <f t="shared" si="1"/>
        <v>33430</v>
      </c>
      <c r="H10683" s="49">
        <f t="shared" si="2"/>
        <v>33244</v>
      </c>
    </row>
    <row r="10684">
      <c r="A10684" s="48" t="s">
        <v>4779</v>
      </c>
      <c r="B10684" s="38">
        <v>28293.0</v>
      </c>
      <c r="C10684" s="38" t="s">
        <v>14699</v>
      </c>
      <c r="D10684" s="38" t="str">
        <f>IFERROR(__xludf.DUMMYFUNCTION("REGEXREPLACE(C10684,""-\d+(.*)|--\d+(.*)"","""")"),"OULINS")</f>
        <v>OULINS</v>
      </c>
      <c r="E10684" s="38" t="s">
        <v>300</v>
      </c>
      <c r="F10684" s="38" t="s">
        <v>123</v>
      </c>
      <c r="G10684" s="49" t="str">
        <f t="shared" si="1"/>
        <v>28260</v>
      </c>
      <c r="H10684" s="49">
        <f t="shared" si="2"/>
        <v>28293</v>
      </c>
    </row>
    <row r="10685">
      <c r="A10685" s="48" t="s">
        <v>997</v>
      </c>
      <c r="B10685" s="38">
        <v>55328.0</v>
      </c>
      <c r="C10685" s="38" t="s">
        <v>14700</v>
      </c>
      <c r="D10685" s="38" t="str">
        <f>IFERROR(__xludf.DUMMYFUNCTION("REGEXREPLACE(C10685,""-\d+(.*)|--\d+(.*)"","""")"),"MAXEY-SUR-VAISE")</f>
        <v>MAXEY-SUR-VAISE</v>
      </c>
      <c r="E10685" s="38" t="s">
        <v>322</v>
      </c>
      <c r="F10685" s="38" t="s">
        <v>195</v>
      </c>
      <c r="G10685" s="49" t="str">
        <f t="shared" si="1"/>
        <v>55140</v>
      </c>
      <c r="H10685" s="49">
        <f t="shared" si="2"/>
        <v>55328</v>
      </c>
    </row>
    <row r="10686">
      <c r="A10686" s="48" t="s">
        <v>2688</v>
      </c>
      <c r="B10686" s="38">
        <v>36150.0</v>
      </c>
      <c r="C10686" s="38" t="s">
        <v>14701</v>
      </c>
      <c r="D10686" s="38" t="str">
        <f>IFERROR(__xludf.DUMMYFUNCTION("REGEXREPLACE(C10686,""-\d+(.*)|--\d+(.*)"","""")"),"PARNAC")</f>
        <v>PARNAC</v>
      </c>
      <c r="E10686" s="38" t="s">
        <v>258</v>
      </c>
      <c r="F10686" s="38" t="s">
        <v>123</v>
      </c>
      <c r="G10686" s="49" t="str">
        <f t="shared" si="1"/>
        <v>36170</v>
      </c>
      <c r="H10686" s="49">
        <f t="shared" si="2"/>
        <v>36150</v>
      </c>
    </row>
    <row r="10687">
      <c r="A10687" s="48" t="s">
        <v>6586</v>
      </c>
      <c r="B10687" s="38">
        <v>82111.0</v>
      </c>
      <c r="C10687" s="38" t="s">
        <v>14702</v>
      </c>
      <c r="D10687" s="38" t="str">
        <f>IFERROR(__xludf.DUMMYFUNCTION("REGEXREPLACE(C10687,""-\d+(.*)|--\d+(.*)"","""")"),"MIRAMONT-DE-QUERCY")</f>
        <v>MIRAMONT-DE-QUERCY</v>
      </c>
      <c r="E10687" s="38" t="s">
        <v>570</v>
      </c>
      <c r="F10687" s="38" t="s">
        <v>94</v>
      </c>
      <c r="G10687" s="49" t="str">
        <f t="shared" si="1"/>
        <v>82190</v>
      </c>
      <c r="H10687" s="49">
        <f t="shared" si="2"/>
        <v>82111</v>
      </c>
    </row>
    <row r="10688">
      <c r="A10688" s="48" t="s">
        <v>2120</v>
      </c>
      <c r="B10688" s="38">
        <v>50480.0</v>
      </c>
      <c r="C10688" s="38" t="s">
        <v>1017</v>
      </c>
      <c r="D10688" s="38" t="str">
        <f>IFERROR(__xludf.DUMMYFUNCTION("REGEXREPLACE(C10688,""-\d+(.*)|--\d+(.*)"","""")"),"SAINT-GERMAIN-LE-GAILLARD")</f>
        <v>SAINT-GERMAIN-LE-GAILLARD</v>
      </c>
      <c r="E10688" s="38" t="s">
        <v>157</v>
      </c>
      <c r="F10688" s="38" t="s">
        <v>138</v>
      </c>
      <c r="G10688" s="49" t="str">
        <f t="shared" si="1"/>
        <v>50340</v>
      </c>
      <c r="H10688" s="49">
        <f t="shared" si="2"/>
        <v>50480</v>
      </c>
    </row>
    <row r="10689">
      <c r="A10689" s="48" t="s">
        <v>1274</v>
      </c>
      <c r="B10689" s="38">
        <v>33346.0</v>
      </c>
      <c r="C10689" s="38" t="s">
        <v>14703</v>
      </c>
      <c r="D10689" s="38" t="str">
        <f>IFERROR(__xludf.DUMMYFUNCTION("REGEXREPLACE(C10689,""-\d+(.*)|--\d+(.*)"","""")"),"PUYBARBAN")</f>
        <v>PUYBARBAN</v>
      </c>
      <c r="E10689" s="38" t="s">
        <v>462</v>
      </c>
      <c r="F10689" s="38" t="s">
        <v>252</v>
      </c>
      <c r="G10689" s="49" t="str">
        <f t="shared" si="1"/>
        <v>33190</v>
      </c>
      <c r="H10689" s="49">
        <f t="shared" si="2"/>
        <v>33346</v>
      </c>
    </row>
    <row r="10690">
      <c r="A10690" s="48" t="s">
        <v>2274</v>
      </c>
      <c r="B10690" s="38">
        <v>48023.0</v>
      </c>
      <c r="C10690" s="38" t="s">
        <v>14704</v>
      </c>
      <c r="D10690" s="38" t="str">
        <f>IFERROR(__xludf.DUMMYFUNCTION("REGEXREPLACE(C10690,""-\d+(.*)|--\d+(.*)"","""")"),"BELVEZET")</f>
        <v>BELVEZET</v>
      </c>
      <c r="E10690" s="38" t="s">
        <v>154</v>
      </c>
      <c r="F10690" s="38" t="s">
        <v>119</v>
      </c>
      <c r="G10690" s="49" t="str">
        <f t="shared" si="1"/>
        <v>48170</v>
      </c>
      <c r="H10690" s="49">
        <f t="shared" si="2"/>
        <v>48023</v>
      </c>
    </row>
    <row r="10691">
      <c r="A10691" s="48" t="s">
        <v>928</v>
      </c>
      <c r="B10691" s="38">
        <v>38520.0</v>
      </c>
      <c r="C10691" s="38" t="s">
        <v>14705</v>
      </c>
      <c r="D10691" s="38" t="str">
        <f>IFERROR(__xludf.DUMMYFUNCTION("REGEXREPLACE(C10691,""-\d+(.*)|--\d+(.*)"","""")"),"VALENCOGNE")</f>
        <v>VALENCOGNE</v>
      </c>
      <c r="E10691" s="38" t="s">
        <v>101</v>
      </c>
      <c r="F10691" s="38" t="s">
        <v>102</v>
      </c>
      <c r="G10691" s="49" t="str">
        <f t="shared" si="1"/>
        <v>38730</v>
      </c>
      <c r="H10691" s="49">
        <f t="shared" si="2"/>
        <v>38520</v>
      </c>
    </row>
    <row r="10692">
      <c r="A10692" s="48" t="s">
        <v>1272</v>
      </c>
      <c r="B10692" s="38">
        <v>51227.0</v>
      </c>
      <c r="C10692" s="38" t="s">
        <v>14706</v>
      </c>
      <c r="D10692" s="38" t="str">
        <f>IFERROR(__xludf.DUMMYFUNCTION("REGEXREPLACE(C10692,""-\d+(.*)|--\d+(.*)"","""")"),"ECURY-SUR-COOLE")</f>
        <v>ECURY-SUR-COOLE</v>
      </c>
      <c r="E10692" s="38" t="s">
        <v>129</v>
      </c>
      <c r="F10692" s="38" t="s">
        <v>130</v>
      </c>
      <c r="G10692" s="49" t="str">
        <f t="shared" si="1"/>
        <v>51240</v>
      </c>
      <c r="H10692" s="49">
        <f t="shared" si="2"/>
        <v>51227</v>
      </c>
    </row>
    <row r="10693">
      <c r="A10693" s="48" t="s">
        <v>4354</v>
      </c>
      <c r="B10693" s="38">
        <v>72208.0</v>
      </c>
      <c r="C10693" s="38" t="s">
        <v>14707</v>
      </c>
      <c r="D10693" s="38" t="str">
        <f>IFERROR(__xludf.DUMMYFUNCTION("REGEXREPLACE(C10693,""-\d+(.*)|--\d+(.*)"","""")"),"MONTMIRAIL")</f>
        <v>MONTMIRAIL</v>
      </c>
      <c r="E10693" s="38" t="s">
        <v>521</v>
      </c>
      <c r="F10693" s="38" t="s">
        <v>180</v>
      </c>
      <c r="G10693" s="49" t="str">
        <f t="shared" si="1"/>
        <v>72320</v>
      </c>
      <c r="H10693" s="49">
        <f t="shared" si="2"/>
        <v>72208</v>
      </c>
    </row>
    <row r="10694">
      <c r="A10694" s="48" t="s">
        <v>2942</v>
      </c>
      <c r="B10694" s="38">
        <v>14317.0</v>
      </c>
      <c r="C10694" s="38" t="s">
        <v>14708</v>
      </c>
      <c r="D10694" s="38" t="str">
        <f>IFERROR(__xludf.DUMMYFUNCTION("REGEXREPLACE(C10694,""-\d+(.*)|--\d+(.*)"","""")"),"LA GRAVERIE")</f>
        <v>LA GRAVERIE</v>
      </c>
      <c r="E10694" s="38" t="s">
        <v>137</v>
      </c>
      <c r="F10694" s="38" t="s">
        <v>138</v>
      </c>
      <c r="G10694" s="49" t="str">
        <f t="shared" si="1"/>
        <v>14350</v>
      </c>
      <c r="H10694" s="49">
        <f t="shared" si="2"/>
        <v>14317</v>
      </c>
    </row>
    <row r="10695">
      <c r="A10695" s="48" t="s">
        <v>6025</v>
      </c>
      <c r="B10695" s="38">
        <v>31554.0</v>
      </c>
      <c r="C10695" s="38" t="s">
        <v>14709</v>
      </c>
      <c r="D10695" s="38" t="str">
        <f>IFERROR(__xludf.DUMMYFUNCTION("REGEXREPLACE(C10695,""-\d+(.*)|--\d+(.*)"","""")"),"TOUILLE")</f>
        <v>TOUILLE</v>
      </c>
      <c r="E10695" s="38" t="s">
        <v>93</v>
      </c>
      <c r="F10695" s="38" t="s">
        <v>94</v>
      </c>
      <c r="G10695" s="49" t="str">
        <f t="shared" si="1"/>
        <v>31260</v>
      </c>
      <c r="H10695" s="49">
        <f t="shared" si="2"/>
        <v>31554</v>
      </c>
    </row>
    <row r="10696">
      <c r="A10696" s="48" t="s">
        <v>6916</v>
      </c>
      <c r="B10696" s="38">
        <v>82095.0</v>
      </c>
      <c r="C10696" s="38" t="s">
        <v>14710</v>
      </c>
      <c r="D10696" s="38" t="str">
        <f>IFERROR(__xludf.DUMMYFUNCTION("REGEXREPLACE(C10696,""-\d+(.*)|--\d+(.*)"","""")"),"LAVAURETTE")</f>
        <v>LAVAURETTE</v>
      </c>
      <c r="E10696" s="38" t="s">
        <v>570</v>
      </c>
      <c r="F10696" s="38" t="s">
        <v>94</v>
      </c>
      <c r="G10696" s="49" t="str">
        <f t="shared" si="1"/>
        <v>82240</v>
      </c>
      <c r="H10696" s="49">
        <f t="shared" si="2"/>
        <v>82095</v>
      </c>
    </row>
    <row r="10697">
      <c r="A10697" s="48" t="s">
        <v>1040</v>
      </c>
      <c r="B10697" s="38">
        <v>62652.0</v>
      </c>
      <c r="C10697" s="38" t="s">
        <v>14711</v>
      </c>
      <c r="D10697" s="38" t="str">
        <f>IFERROR(__xludf.DUMMYFUNCTION("REGEXREPLACE(C10697,""-\d+(.*)|--\d+(.*)"","""")"),"PERNES")</f>
        <v>PERNES</v>
      </c>
      <c r="E10697" s="38" t="s">
        <v>109</v>
      </c>
      <c r="F10697" s="38" t="s">
        <v>86</v>
      </c>
      <c r="G10697" s="49" t="str">
        <f t="shared" si="1"/>
        <v>62550</v>
      </c>
      <c r="H10697" s="49">
        <f t="shared" si="2"/>
        <v>62652</v>
      </c>
    </row>
    <row r="10698">
      <c r="A10698" s="48" t="s">
        <v>1926</v>
      </c>
      <c r="B10698" s="38">
        <v>28030.0</v>
      </c>
      <c r="C10698" s="38" t="s">
        <v>14712</v>
      </c>
      <c r="D10698" s="38" t="str">
        <f>IFERROR(__xludf.DUMMYFUNCTION("REGEXREPLACE(C10698,""-\d+(.*)|--\d+(.*)"","""")"),"BEAUCHE")</f>
        <v>BEAUCHE</v>
      </c>
      <c r="E10698" s="38" t="s">
        <v>300</v>
      </c>
      <c r="F10698" s="38" t="s">
        <v>123</v>
      </c>
      <c r="G10698" s="49" t="str">
        <f t="shared" si="1"/>
        <v>28270</v>
      </c>
      <c r="H10698" s="49">
        <f t="shared" si="2"/>
        <v>28030</v>
      </c>
    </row>
    <row r="10699">
      <c r="A10699" s="48" t="s">
        <v>12136</v>
      </c>
      <c r="B10699" s="38">
        <v>3011.0</v>
      </c>
      <c r="C10699" s="38" t="s">
        <v>14713</v>
      </c>
      <c r="D10699" s="38" t="str">
        <f>IFERROR(__xludf.DUMMYFUNCTION("REGEXREPLACE(C10699,""-\d+(.*)|--\d+(.*)"","""")"),"AUROUER")</f>
        <v>AUROUER</v>
      </c>
      <c r="E10699" s="38" t="s">
        <v>160</v>
      </c>
      <c r="F10699" s="38" t="s">
        <v>161</v>
      </c>
      <c r="G10699" s="49" t="str">
        <f t="shared" si="1"/>
        <v>03460</v>
      </c>
      <c r="H10699" s="49" t="str">
        <f t="shared" si="2"/>
        <v>03011</v>
      </c>
    </row>
    <row r="10700">
      <c r="A10700" s="48" t="s">
        <v>14714</v>
      </c>
      <c r="B10700" s="38">
        <v>43205.0</v>
      </c>
      <c r="C10700" s="38" t="s">
        <v>14715</v>
      </c>
      <c r="D10700" s="38" t="str">
        <f>IFERROR(__xludf.DUMMYFUNCTION("REGEXREPLACE(C10700,""-\d+(.*)|--\d+(.*)"","""")"),"SAINT-JUST-MALMONT")</f>
        <v>SAINT-JUST-MALMONT</v>
      </c>
      <c r="E10700" s="38" t="s">
        <v>332</v>
      </c>
      <c r="F10700" s="38" t="s">
        <v>161</v>
      </c>
      <c r="G10700" s="49" t="str">
        <f t="shared" si="1"/>
        <v>43240</v>
      </c>
      <c r="H10700" s="49">
        <f t="shared" si="2"/>
        <v>43205</v>
      </c>
    </row>
    <row r="10701">
      <c r="A10701" s="48" t="s">
        <v>522</v>
      </c>
      <c r="B10701" s="38">
        <v>39105.0</v>
      </c>
      <c r="C10701" s="38" t="s">
        <v>14716</v>
      </c>
      <c r="D10701" s="38" t="str">
        <f>IFERROR(__xludf.DUMMYFUNCTION("REGEXREPLACE(C10701,""-\d+(.*)|--\d+(.*)"","""")"),"CHAPOIS")</f>
        <v>CHAPOIS</v>
      </c>
      <c r="E10701" s="38" t="s">
        <v>400</v>
      </c>
      <c r="F10701" s="38" t="s">
        <v>214</v>
      </c>
      <c r="G10701" s="49" t="str">
        <f t="shared" si="1"/>
        <v>39300</v>
      </c>
      <c r="H10701" s="49">
        <f t="shared" si="2"/>
        <v>39105</v>
      </c>
    </row>
    <row r="10702">
      <c r="A10702" s="48" t="s">
        <v>474</v>
      </c>
      <c r="B10702" s="38">
        <v>76090.0</v>
      </c>
      <c r="C10702" s="38" t="s">
        <v>14717</v>
      </c>
      <c r="D10702" s="38" t="str">
        <f>IFERROR(__xludf.DUMMYFUNCTION("REGEXREPLACE(C10702,""-\d+(.*)|--\d+(.*)"","""")"),"BEUZEVILLE-LA-GRENIER")</f>
        <v>BEUZEVILLE-LA-GRENIER</v>
      </c>
      <c r="E10702" s="38" t="s">
        <v>133</v>
      </c>
      <c r="F10702" s="38" t="s">
        <v>134</v>
      </c>
      <c r="G10702" s="49" t="str">
        <f t="shared" si="1"/>
        <v>76210</v>
      </c>
      <c r="H10702" s="49">
        <f t="shared" si="2"/>
        <v>76090</v>
      </c>
    </row>
    <row r="10703">
      <c r="A10703" s="48" t="s">
        <v>3233</v>
      </c>
      <c r="B10703" s="38">
        <v>54160.0</v>
      </c>
      <c r="C10703" s="38" t="s">
        <v>14718</v>
      </c>
      <c r="D10703" s="38" t="str">
        <f>IFERROR(__xludf.DUMMYFUNCTION("REGEXREPLACE(C10703,""-\d+(.*)|--\d+(.*)"","""")"),"DOMEVRE-EN-HAYE")</f>
        <v>DOMEVRE-EN-HAYE</v>
      </c>
      <c r="E10703" s="38" t="s">
        <v>548</v>
      </c>
      <c r="F10703" s="38" t="s">
        <v>195</v>
      </c>
      <c r="G10703" s="49" t="str">
        <f t="shared" si="1"/>
        <v>54385</v>
      </c>
      <c r="H10703" s="49">
        <f t="shared" si="2"/>
        <v>54160</v>
      </c>
    </row>
    <row r="10704">
      <c r="A10704" s="48" t="s">
        <v>2389</v>
      </c>
      <c r="B10704" s="38">
        <v>64253.0</v>
      </c>
      <c r="C10704" s="38" t="s">
        <v>14719</v>
      </c>
      <c r="D10704" s="38" t="str">
        <f>IFERROR(__xludf.DUMMYFUNCTION("REGEXREPLACE(C10704,""-\d+(.*)|--\d+(.*)"","""")"),"GURS")</f>
        <v>GURS</v>
      </c>
      <c r="E10704" s="38" t="s">
        <v>268</v>
      </c>
      <c r="F10704" s="38" t="s">
        <v>252</v>
      </c>
      <c r="G10704" s="49" t="str">
        <f t="shared" si="1"/>
        <v>64190</v>
      </c>
      <c r="H10704" s="49">
        <f t="shared" si="2"/>
        <v>64253</v>
      </c>
    </row>
    <row r="10705">
      <c r="A10705" s="48" t="s">
        <v>748</v>
      </c>
      <c r="B10705" s="38">
        <v>60273.0</v>
      </c>
      <c r="C10705" s="38" t="s">
        <v>14720</v>
      </c>
      <c r="D10705" s="38" t="str">
        <f>IFERROR(__xludf.DUMMYFUNCTION("REGEXREPLACE(C10705,""-\d+(.*)|--\d+(.*)"","""")"),"GIRAUMONT")</f>
        <v>GIRAUMONT</v>
      </c>
      <c r="E10705" s="38" t="s">
        <v>112</v>
      </c>
      <c r="F10705" s="38" t="s">
        <v>113</v>
      </c>
      <c r="G10705" s="49" t="str">
        <f t="shared" si="1"/>
        <v>60150</v>
      </c>
      <c r="H10705" s="49">
        <f t="shared" si="2"/>
        <v>60273</v>
      </c>
    </row>
    <row r="10706">
      <c r="A10706" s="48" t="s">
        <v>14721</v>
      </c>
      <c r="B10706" s="38">
        <v>27340.0</v>
      </c>
      <c r="C10706" s="38" t="s">
        <v>14722</v>
      </c>
      <c r="D10706" s="38" t="str">
        <f>IFERROR(__xludf.DUMMYFUNCTION("REGEXREPLACE(C10706,""-\d+(.*)|--\d+(.*)"","""")"),"HONGUEMARE-GUENOUVILLE")</f>
        <v>HONGUEMARE-GUENOUVILLE</v>
      </c>
      <c r="E10706" s="38" t="s">
        <v>241</v>
      </c>
      <c r="F10706" s="38" t="s">
        <v>134</v>
      </c>
      <c r="G10706" s="49" t="str">
        <f t="shared" si="1"/>
        <v>27310</v>
      </c>
      <c r="H10706" s="49">
        <f t="shared" si="2"/>
        <v>27340</v>
      </c>
    </row>
    <row r="10707">
      <c r="A10707" s="48" t="s">
        <v>14723</v>
      </c>
      <c r="B10707" s="38">
        <v>67043.0</v>
      </c>
      <c r="C10707" s="38" t="s">
        <v>14724</v>
      </c>
      <c r="D10707" s="38" t="str">
        <f>IFERROR(__xludf.DUMMYFUNCTION("REGEXREPLACE(C10707,""-\d+(.*)|--\d+(.*)"","""")"),"BISCHHEIM")</f>
        <v>BISCHHEIM</v>
      </c>
      <c r="E10707" s="38" t="s">
        <v>210</v>
      </c>
      <c r="F10707" s="38" t="s">
        <v>151</v>
      </c>
      <c r="G10707" s="49" t="str">
        <f t="shared" si="1"/>
        <v>67800</v>
      </c>
      <c r="H10707" s="49">
        <f t="shared" si="2"/>
        <v>67043</v>
      </c>
    </row>
    <row r="10708">
      <c r="A10708" s="48" t="s">
        <v>5030</v>
      </c>
      <c r="B10708" s="38">
        <v>65043.0</v>
      </c>
      <c r="C10708" s="38" t="s">
        <v>14725</v>
      </c>
      <c r="D10708" s="38" t="str">
        <f>IFERROR(__xludf.DUMMYFUNCTION("REGEXREPLACE(C10708,""-\d+(.*)|--\d+(.*)"","""")"),"ASTUGUE")</f>
        <v>ASTUGUE</v>
      </c>
      <c r="E10708" s="38" t="s">
        <v>200</v>
      </c>
      <c r="F10708" s="38" t="s">
        <v>94</v>
      </c>
      <c r="G10708" s="49" t="str">
        <f t="shared" si="1"/>
        <v>65200</v>
      </c>
      <c r="H10708" s="49">
        <f t="shared" si="2"/>
        <v>65043</v>
      </c>
    </row>
    <row r="10709">
      <c r="A10709" s="48" t="s">
        <v>9602</v>
      </c>
      <c r="B10709" s="38">
        <v>72325.0</v>
      </c>
      <c r="C10709" s="38" t="s">
        <v>14726</v>
      </c>
      <c r="D10709" s="38" t="str">
        <f>IFERROR(__xludf.DUMMYFUNCTION("REGEXREPLACE(C10709,""-\d+(.*)|--\d+(.*)"","""")"),"SAINT-VINCENT-DU-LOROUER")</f>
        <v>SAINT-VINCENT-DU-LOROUER</v>
      </c>
      <c r="E10709" s="38" t="s">
        <v>521</v>
      </c>
      <c r="F10709" s="38" t="s">
        <v>180</v>
      </c>
      <c r="G10709" s="49" t="str">
        <f t="shared" si="1"/>
        <v>72150</v>
      </c>
      <c r="H10709" s="49">
        <f t="shared" si="2"/>
        <v>72325</v>
      </c>
    </row>
    <row r="10710">
      <c r="A10710" s="48" t="s">
        <v>14727</v>
      </c>
      <c r="B10710" s="38">
        <v>87177.0</v>
      </c>
      <c r="C10710" s="38" t="s">
        <v>14728</v>
      </c>
      <c r="D10710" s="38" t="str">
        <f>IFERROR(__xludf.DUMMYFUNCTION("REGEXREPLACE(C10710,""-\d+(.*)|--\d+(.*)"","""")"),"SAINT-PRIEST-SOUS-AIXE")</f>
        <v>SAINT-PRIEST-SOUS-AIXE</v>
      </c>
      <c r="E10710" s="38" t="s">
        <v>897</v>
      </c>
      <c r="F10710" s="38" t="s">
        <v>98</v>
      </c>
      <c r="G10710" s="49" t="str">
        <f t="shared" si="1"/>
        <v>87700</v>
      </c>
      <c r="H10710" s="49">
        <f t="shared" si="2"/>
        <v>87177</v>
      </c>
    </row>
    <row r="10711">
      <c r="A10711" s="48" t="s">
        <v>4099</v>
      </c>
      <c r="B10711" s="38">
        <v>12052.0</v>
      </c>
      <c r="C10711" s="38" t="s">
        <v>14729</v>
      </c>
      <c r="D10711" s="38" t="str">
        <f>IFERROR(__xludf.DUMMYFUNCTION("REGEXREPLACE(C10711,""-\d+(.*)|--\d+(.*)"","""")"),"CAPDENAC-GARE")</f>
        <v>CAPDENAC-GARE</v>
      </c>
      <c r="E10711" s="38" t="s">
        <v>465</v>
      </c>
      <c r="F10711" s="38" t="s">
        <v>94</v>
      </c>
      <c r="G10711" s="49" t="str">
        <f t="shared" si="1"/>
        <v>12700</v>
      </c>
      <c r="H10711" s="49">
        <f t="shared" si="2"/>
        <v>12052</v>
      </c>
    </row>
    <row r="10712">
      <c r="A10712" s="48" t="s">
        <v>3283</v>
      </c>
      <c r="B10712" s="38">
        <v>52423.0</v>
      </c>
      <c r="C10712" s="38" t="s">
        <v>14730</v>
      </c>
      <c r="D10712" s="38" t="str">
        <f>IFERROR(__xludf.DUMMYFUNCTION("REGEXREPLACE(C10712,""-\d+(.*)|--\d+(.*)"","""")"),"RIMAUCOURT")</f>
        <v>RIMAUCOURT</v>
      </c>
      <c r="E10712" s="38" t="s">
        <v>234</v>
      </c>
      <c r="F10712" s="38" t="s">
        <v>130</v>
      </c>
      <c r="G10712" s="49" t="str">
        <f t="shared" si="1"/>
        <v>52700</v>
      </c>
      <c r="H10712" s="49">
        <f t="shared" si="2"/>
        <v>52423</v>
      </c>
    </row>
    <row r="10713">
      <c r="A10713" s="48" t="s">
        <v>3465</v>
      </c>
      <c r="B10713" s="38">
        <v>11004.0</v>
      </c>
      <c r="C10713" s="38" t="s">
        <v>14731</v>
      </c>
      <c r="D10713" s="38" t="str">
        <f>IFERROR(__xludf.DUMMYFUNCTION("REGEXREPLACE(C10713,""-\d+(.*)|--\d+(.*)"","""")"),"ALAIGNE")</f>
        <v>ALAIGNE</v>
      </c>
      <c r="E10713" s="38" t="s">
        <v>278</v>
      </c>
      <c r="F10713" s="38" t="s">
        <v>119</v>
      </c>
      <c r="G10713" s="49" t="str">
        <f t="shared" si="1"/>
        <v>11240</v>
      </c>
      <c r="H10713" s="49">
        <f t="shared" si="2"/>
        <v>11004</v>
      </c>
    </row>
    <row r="10714">
      <c r="A10714" s="48" t="s">
        <v>1241</v>
      </c>
      <c r="B10714" s="38">
        <v>71201.0</v>
      </c>
      <c r="C10714" s="38" t="s">
        <v>14732</v>
      </c>
      <c r="D10714" s="38" t="str">
        <f>IFERROR(__xludf.DUMMYFUNCTION("REGEXREPLACE(C10714,""-\d+(.*)|--\d+(.*)"","""")"),"FLEY")</f>
        <v>FLEY</v>
      </c>
      <c r="E10714" s="38" t="s">
        <v>344</v>
      </c>
      <c r="F10714" s="38" t="s">
        <v>106</v>
      </c>
      <c r="G10714" s="49" t="str">
        <f t="shared" si="1"/>
        <v>71390</v>
      </c>
      <c r="H10714" s="49">
        <f t="shared" si="2"/>
        <v>71201</v>
      </c>
    </row>
    <row r="10715">
      <c r="A10715" s="48" t="s">
        <v>7212</v>
      </c>
      <c r="B10715" s="38">
        <v>68205.0</v>
      </c>
      <c r="C10715" s="38" t="s">
        <v>14733</v>
      </c>
      <c r="D10715" s="38" t="str">
        <f>IFERROR(__xludf.DUMMYFUNCTION("REGEXREPLACE(C10715,""-\d+(.*)|--\d+(.*)"","""")"),"MEYENHEIM")</f>
        <v>MEYENHEIM</v>
      </c>
      <c r="E10715" s="38" t="s">
        <v>150</v>
      </c>
      <c r="F10715" s="38" t="s">
        <v>151</v>
      </c>
      <c r="G10715" s="49" t="str">
        <f t="shared" si="1"/>
        <v>68890</v>
      </c>
      <c r="H10715" s="49">
        <f t="shared" si="2"/>
        <v>68205</v>
      </c>
    </row>
    <row r="10716">
      <c r="A10716" s="48" t="s">
        <v>14734</v>
      </c>
      <c r="B10716" s="38">
        <v>4176.0</v>
      </c>
      <c r="C10716" s="38" t="s">
        <v>14735</v>
      </c>
      <c r="D10716" s="38" t="str">
        <f>IFERROR(__xludf.DUMMYFUNCTION("REGEXREPLACE(C10716,""-\d+(.*)|--\d+(.*)"","""")"),"SAINTE-CROIX-DU-VERDON")</f>
        <v>SAINTE-CROIX-DU-VERDON</v>
      </c>
      <c r="E10716" s="38" t="s">
        <v>662</v>
      </c>
      <c r="F10716" s="38" t="s">
        <v>228</v>
      </c>
      <c r="G10716" s="49" t="str">
        <f t="shared" si="1"/>
        <v>04500</v>
      </c>
      <c r="H10716" s="49" t="str">
        <f t="shared" si="2"/>
        <v>04176</v>
      </c>
    </row>
    <row r="10717">
      <c r="A10717" s="48" t="s">
        <v>4165</v>
      </c>
      <c r="B10717" s="38">
        <v>46253.0</v>
      </c>
      <c r="C10717" s="38" t="s">
        <v>14736</v>
      </c>
      <c r="D10717" s="38" t="str">
        <f>IFERROR(__xludf.DUMMYFUNCTION("REGEXREPLACE(C10717,""-\d+(.*)|--\d+(.*)"","""")"),"SAINT-CHAMARAND")</f>
        <v>SAINT-CHAMARAND</v>
      </c>
      <c r="E10717" s="38" t="s">
        <v>185</v>
      </c>
      <c r="F10717" s="38" t="s">
        <v>94</v>
      </c>
      <c r="G10717" s="49" t="str">
        <f t="shared" si="1"/>
        <v>46310</v>
      </c>
      <c r="H10717" s="49">
        <f t="shared" si="2"/>
        <v>46253</v>
      </c>
    </row>
    <row r="10718">
      <c r="A10718" s="48" t="s">
        <v>1022</v>
      </c>
      <c r="B10718" s="38">
        <v>2668.0</v>
      </c>
      <c r="C10718" s="38" t="s">
        <v>14737</v>
      </c>
      <c r="D10718" s="38" t="str">
        <f>IFERROR(__xludf.DUMMYFUNCTION("REGEXREPLACE(C10718,""-\d+(.*)|--\d+(.*)"","""")"),"SAINS-RICHAUMONT")</f>
        <v>SAINS-RICHAUMONT</v>
      </c>
      <c r="E10718" s="38" t="s">
        <v>191</v>
      </c>
      <c r="F10718" s="38" t="s">
        <v>113</v>
      </c>
      <c r="G10718" s="49" t="str">
        <f t="shared" si="1"/>
        <v>02120</v>
      </c>
      <c r="H10718" s="49" t="str">
        <f t="shared" si="2"/>
        <v>02668</v>
      </c>
    </row>
    <row r="10719">
      <c r="A10719" s="48" t="s">
        <v>2326</v>
      </c>
      <c r="B10719" s="38">
        <v>54457.0</v>
      </c>
      <c r="C10719" s="38" t="s">
        <v>14738</v>
      </c>
      <c r="D10719" s="38" t="str">
        <f>IFERROR(__xludf.DUMMYFUNCTION("REGEXREPLACE(C10719,""-\d+(.*)|--\d+(.*)"","""")"),"REMONCOURT")</f>
        <v>REMONCOURT</v>
      </c>
      <c r="E10719" s="38" t="s">
        <v>548</v>
      </c>
      <c r="F10719" s="38" t="s">
        <v>195</v>
      </c>
      <c r="G10719" s="49" t="str">
        <f t="shared" si="1"/>
        <v>54370</v>
      </c>
      <c r="H10719" s="49">
        <f t="shared" si="2"/>
        <v>54457</v>
      </c>
    </row>
    <row r="10720">
      <c r="A10720" s="48" t="s">
        <v>5560</v>
      </c>
      <c r="B10720" s="38">
        <v>4214.0</v>
      </c>
      <c r="C10720" s="38" t="s">
        <v>14739</v>
      </c>
      <c r="D10720" s="38" t="str">
        <f>IFERROR(__xludf.DUMMYFUNCTION("REGEXREPLACE(C10720,""-\d+(.*)|--\d+(.*)"","""")"),"TARTONNE")</f>
        <v>TARTONNE</v>
      </c>
      <c r="E10720" s="38" t="s">
        <v>662</v>
      </c>
      <c r="F10720" s="38" t="s">
        <v>228</v>
      </c>
      <c r="G10720" s="49" t="str">
        <f t="shared" si="1"/>
        <v>04330</v>
      </c>
      <c r="H10720" s="49" t="str">
        <f t="shared" si="2"/>
        <v>04214</v>
      </c>
    </row>
    <row r="10721">
      <c r="A10721" s="48" t="s">
        <v>1881</v>
      </c>
      <c r="B10721" s="38">
        <v>69010.0</v>
      </c>
      <c r="C10721" s="38" t="s">
        <v>14740</v>
      </c>
      <c r="D10721" s="38" t="str">
        <f>IFERROR(__xludf.DUMMYFUNCTION("REGEXREPLACE(C10721,""-\d+(.*)|--\d+(.*)"","""")"),"L'ARBRESLE")</f>
        <v>L'ARBRESLE</v>
      </c>
      <c r="E10721" s="38" t="s">
        <v>350</v>
      </c>
      <c r="F10721" s="38" t="s">
        <v>102</v>
      </c>
      <c r="G10721" s="49" t="str">
        <f t="shared" si="1"/>
        <v>69210</v>
      </c>
      <c r="H10721" s="49">
        <f t="shared" si="2"/>
        <v>69010</v>
      </c>
    </row>
    <row r="10722">
      <c r="A10722" s="48" t="s">
        <v>7549</v>
      </c>
      <c r="B10722" s="38">
        <v>50235.0</v>
      </c>
      <c r="C10722" s="38" t="s">
        <v>14741</v>
      </c>
      <c r="D10722" s="38" t="str">
        <f>IFERROR(__xludf.DUMMYFUNCTION("REGEXREPLACE(C10722,""-\d+(.*)|--\d+(.*)"","""")"),"LA HAYE-D'ECTOT")</f>
        <v>LA HAYE-D'ECTOT</v>
      </c>
      <c r="E10722" s="38" t="s">
        <v>157</v>
      </c>
      <c r="F10722" s="38" t="s">
        <v>138</v>
      </c>
      <c r="G10722" s="49" t="str">
        <f t="shared" si="1"/>
        <v>50270</v>
      </c>
      <c r="H10722" s="49">
        <f t="shared" si="2"/>
        <v>50235</v>
      </c>
    </row>
    <row r="10723">
      <c r="A10723" s="48" t="s">
        <v>5565</v>
      </c>
      <c r="B10723" s="38">
        <v>63101.0</v>
      </c>
      <c r="C10723" s="38" t="s">
        <v>14742</v>
      </c>
      <c r="D10723" s="38" t="str">
        <f>IFERROR(__xludf.DUMMYFUNCTION("REGEXREPLACE(C10723,""-\d+(.*)|--\d+(.*)"","""")"),"CHATEAU-SUR-CHER")</f>
        <v>CHATEAU-SUR-CHER</v>
      </c>
      <c r="E10723" s="38" t="s">
        <v>353</v>
      </c>
      <c r="F10723" s="38" t="s">
        <v>161</v>
      </c>
      <c r="G10723" s="49" t="str">
        <f t="shared" si="1"/>
        <v>63330</v>
      </c>
      <c r="H10723" s="49">
        <f t="shared" si="2"/>
        <v>63101</v>
      </c>
    </row>
    <row r="10724">
      <c r="A10724" s="48" t="s">
        <v>4088</v>
      </c>
      <c r="B10724" s="38">
        <v>39313.0</v>
      </c>
      <c r="C10724" s="38" t="s">
        <v>13668</v>
      </c>
      <c r="D10724" s="38" t="str">
        <f>IFERROR(__xludf.DUMMYFUNCTION("REGEXREPLACE(C10724,""-\d+(.*)|--\d+(.*)"","""")"),"MARIGNY")</f>
        <v>MARIGNY</v>
      </c>
      <c r="E10724" s="38" t="s">
        <v>400</v>
      </c>
      <c r="F10724" s="38" t="s">
        <v>214</v>
      </c>
      <c r="G10724" s="49" t="str">
        <f t="shared" si="1"/>
        <v>39130</v>
      </c>
      <c r="H10724" s="49">
        <f t="shared" si="2"/>
        <v>39313</v>
      </c>
    </row>
    <row r="10725">
      <c r="A10725" s="48" t="s">
        <v>2600</v>
      </c>
      <c r="B10725" s="38">
        <v>60263.0</v>
      </c>
      <c r="C10725" s="38" t="s">
        <v>14743</v>
      </c>
      <c r="D10725" s="38" t="str">
        <f>IFERROR(__xludf.DUMMYFUNCTION("REGEXREPLACE(C10725,""-\d+(.*)|--\d+(.*)"","""")"),"FRETOY-LE-CHATEAU")</f>
        <v>FRETOY-LE-CHATEAU</v>
      </c>
      <c r="E10725" s="38" t="s">
        <v>112</v>
      </c>
      <c r="F10725" s="38" t="s">
        <v>113</v>
      </c>
      <c r="G10725" s="49" t="str">
        <f t="shared" si="1"/>
        <v>60640</v>
      </c>
      <c r="H10725" s="49">
        <f t="shared" si="2"/>
        <v>60263</v>
      </c>
    </row>
    <row r="10726">
      <c r="A10726" s="48" t="s">
        <v>5047</v>
      </c>
      <c r="B10726" s="38">
        <v>6145.0</v>
      </c>
      <c r="C10726" s="38" t="s">
        <v>14744</v>
      </c>
      <c r="D10726" s="38" t="str">
        <f>IFERROR(__xludf.DUMMYFUNCTION("REGEXREPLACE(C10726,""-\d+(.*)|--\d+(.*)"","""")"),"TOURETTE-DU-CHATEAU")</f>
        <v>TOURETTE-DU-CHATEAU</v>
      </c>
      <c r="E10726" s="38" t="s">
        <v>227</v>
      </c>
      <c r="F10726" s="38" t="s">
        <v>228</v>
      </c>
      <c r="G10726" s="49" t="str">
        <f t="shared" si="1"/>
        <v>06830</v>
      </c>
      <c r="H10726" s="49" t="str">
        <f t="shared" si="2"/>
        <v>06145</v>
      </c>
    </row>
    <row r="10727">
      <c r="A10727" s="48" t="s">
        <v>2835</v>
      </c>
      <c r="B10727" s="38">
        <v>18049.0</v>
      </c>
      <c r="C10727" s="38" t="s">
        <v>14745</v>
      </c>
      <c r="D10727" s="38" t="str">
        <f>IFERROR(__xludf.DUMMYFUNCTION("REGEXREPLACE(C10727,""-\d+(.*)|--\d+(.*)"","""")"),"LA CHAPELLE-MONTLINARD")</f>
        <v>LA CHAPELLE-MONTLINARD</v>
      </c>
      <c r="E10727" s="38" t="s">
        <v>504</v>
      </c>
      <c r="F10727" s="38" t="s">
        <v>123</v>
      </c>
      <c r="G10727" s="49" t="str">
        <f t="shared" si="1"/>
        <v>18140</v>
      </c>
      <c r="H10727" s="49">
        <f t="shared" si="2"/>
        <v>18049</v>
      </c>
    </row>
    <row r="10728">
      <c r="A10728" s="48" t="s">
        <v>7477</v>
      </c>
      <c r="B10728" s="38">
        <v>4173.0</v>
      </c>
      <c r="C10728" s="38" t="s">
        <v>14746</v>
      </c>
      <c r="D10728" s="38" t="str">
        <f>IFERROR(__xludf.DUMMYFUNCTION("REGEXREPLACE(C10728,""-\d+(.*)|--\d+(.*)"","""")"),"SAINT-ANDRE-LES-ALPES")</f>
        <v>SAINT-ANDRE-LES-ALPES</v>
      </c>
      <c r="E10728" s="38" t="s">
        <v>662</v>
      </c>
      <c r="F10728" s="38" t="s">
        <v>228</v>
      </c>
      <c r="G10728" s="49" t="str">
        <f t="shared" si="1"/>
        <v>04170</v>
      </c>
      <c r="H10728" s="49" t="str">
        <f t="shared" si="2"/>
        <v>04173</v>
      </c>
    </row>
    <row r="10729">
      <c r="A10729" s="48" t="s">
        <v>1256</v>
      </c>
      <c r="B10729" s="38">
        <v>87179.0</v>
      </c>
      <c r="C10729" s="38" t="s">
        <v>14747</v>
      </c>
      <c r="D10729" s="38" t="str">
        <f>IFERROR(__xludf.DUMMYFUNCTION("REGEXREPLACE(C10729,""-\d+(.*)|--\d+(.*)"","""")"),"SAINT-SORNIN-LA-MARCHE")</f>
        <v>SAINT-SORNIN-LA-MARCHE</v>
      </c>
      <c r="E10729" s="38" t="s">
        <v>897</v>
      </c>
      <c r="F10729" s="38" t="s">
        <v>98</v>
      </c>
      <c r="G10729" s="49" t="str">
        <f t="shared" si="1"/>
        <v>87210</v>
      </c>
      <c r="H10729" s="49">
        <f t="shared" si="2"/>
        <v>87179</v>
      </c>
    </row>
    <row r="10730">
      <c r="A10730" s="48" t="s">
        <v>10212</v>
      </c>
      <c r="B10730" s="38">
        <v>74303.0</v>
      </c>
      <c r="C10730" s="38" t="s">
        <v>14748</v>
      </c>
      <c r="D10730" s="38" t="str">
        <f>IFERROR(__xludf.DUMMYFUNCTION("REGEXREPLACE(C10730,""-\d+(.*)|--\d+(.*)"","""")"),"VILLAZ")</f>
        <v>VILLAZ</v>
      </c>
      <c r="E10730" s="38" t="s">
        <v>319</v>
      </c>
      <c r="F10730" s="38" t="s">
        <v>102</v>
      </c>
      <c r="G10730" s="49" t="str">
        <f t="shared" si="1"/>
        <v>74370</v>
      </c>
      <c r="H10730" s="49">
        <f t="shared" si="2"/>
        <v>74303</v>
      </c>
    </row>
    <row r="10731">
      <c r="A10731" s="48" t="s">
        <v>1446</v>
      </c>
      <c r="B10731" s="38">
        <v>76600.0</v>
      </c>
      <c r="C10731" s="38" t="s">
        <v>14749</v>
      </c>
      <c r="D10731" s="38" t="str">
        <f>IFERROR(__xludf.DUMMYFUNCTION("REGEXREPLACE(C10731,""-\d+(.*)|--\d+(.*)"","""")"),"SAINT-LEONARD")</f>
        <v>SAINT-LEONARD</v>
      </c>
      <c r="E10731" s="38" t="s">
        <v>133</v>
      </c>
      <c r="F10731" s="38" t="s">
        <v>134</v>
      </c>
      <c r="G10731" s="49" t="str">
        <f t="shared" si="1"/>
        <v>76400</v>
      </c>
      <c r="H10731" s="49">
        <f t="shared" si="2"/>
        <v>76600</v>
      </c>
    </row>
    <row r="10732">
      <c r="A10732" s="48" t="s">
        <v>1072</v>
      </c>
      <c r="B10732" s="38">
        <v>86134.0</v>
      </c>
      <c r="C10732" s="38" t="s">
        <v>14750</v>
      </c>
      <c r="D10732" s="38" t="str">
        <f>IFERROR(__xludf.DUMMYFUNCTION("REGEXREPLACE(C10732,""-\d+(.*)|--\d+(.*)"","""")"),"LINAZAY")</f>
        <v>LINAZAY</v>
      </c>
      <c r="E10732" s="38" t="s">
        <v>529</v>
      </c>
      <c r="F10732" s="38" t="s">
        <v>338</v>
      </c>
      <c r="G10732" s="49" t="str">
        <f t="shared" si="1"/>
        <v>86400</v>
      </c>
      <c r="H10732" s="49">
        <f t="shared" si="2"/>
        <v>86134</v>
      </c>
    </row>
    <row r="10733">
      <c r="A10733" s="48" t="s">
        <v>14381</v>
      </c>
      <c r="B10733" s="38">
        <v>57534.0</v>
      </c>
      <c r="C10733" s="38" t="s">
        <v>14751</v>
      </c>
      <c r="D10733" s="38" t="str">
        <f>IFERROR(__xludf.DUMMYFUNCTION("REGEXREPLACE(C10733,""-\d+(.*)|--\d+(.*)"","""")"),"PELTRE")</f>
        <v>PELTRE</v>
      </c>
      <c r="E10733" s="38" t="s">
        <v>303</v>
      </c>
      <c r="F10733" s="38" t="s">
        <v>195</v>
      </c>
      <c r="G10733" s="49" t="str">
        <f t="shared" si="1"/>
        <v>57245</v>
      </c>
      <c r="H10733" s="49">
        <f t="shared" si="2"/>
        <v>57534</v>
      </c>
    </row>
    <row r="10734">
      <c r="A10734" s="48" t="s">
        <v>6992</v>
      </c>
      <c r="B10734" s="38">
        <v>24461.0</v>
      </c>
      <c r="C10734" s="38" t="s">
        <v>14752</v>
      </c>
      <c r="D10734" s="38" t="str">
        <f>IFERROR(__xludf.DUMMYFUNCTION("REGEXREPLACE(C10734,""-\d+(.*)|--\d+(.*)"","""")"),"SAINT-MEARD-DE-GURCON")</f>
        <v>SAINT-MEARD-DE-GURCON</v>
      </c>
      <c r="E10734" s="38" t="s">
        <v>261</v>
      </c>
      <c r="F10734" s="38" t="s">
        <v>252</v>
      </c>
      <c r="G10734" s="49" t="str">
        <f t="shared" si="1"/>
        <v>24610</v>
      </c>
      <c r="H10734" s="49">
        <f t="shared" si="2"/>
        <v>24461</v>
      </c>
    </row>
    <row r="10735">
      <c r="A10735" s="48" t="s">
        <v>7353</v>
      </c>
      <c r="B10735" s="38">
        <v>26101.0</v>
      </c>
      <c r="C10735" s="38" t="s">
        <v>14753</v>
      </c>
      <c r="D10735" s="38" t="str">
        <f>IFERROR(__xludf.DUMMYFUNCTION("REGEXREPLACE(C10735,""-\d+(.*)|--\d+(.*)"","""")"),"COMPS")</f>
        <v>COMPS</v>
      </c>
      <c r="E10735" s="38" t="s">
        <v>126</v>
      </c>
      <c r="F10735" s="38" t="s">
        <v>102</v>
      </c>
      <c r="G10735" s="49" t="str">
        <f t="shared" si="1"/>
        <v>26220</v>
      </c>
      <c r="H10735" s="49">
        <f t="shared" si="2"/>
        <v>26101</v>
      </c>
    </row>
    <row r="10736">
      <c r="A10736" s="48" t="s">
        <v>181</v>
      </c>
      <c r="B10736" s="38">
        <v>51188.0</v>
      </c>
      <c r="C10736" s="38" t="s">
        <v>14754</v>
      </c>
      <c r="D10736" s="38" t="str">
        <f>IFERROR(__xludf.DUMMYFUNCTION("REGEXREPLACE(C10736,""-\d+(.*)|--\d+(.*)"","""")"),"COURMAS")</f>
        <v>COURMAS</v>
      </c>
      <c r="E10736" s="38" t="s">
        <v>129</v>
      </c>
      <c r="F10736" s="38" t="s">
        <v>130</v>
      </c>
      <c r="G10736" s="49" t="str">
        <f t="shared" si="1"/>
        <v>51390</v>
      </c>
      <c r="H10736" s="49">
        <f t="shared" si="2"/>
        <v>51188</v>
      </c>
    </row>
    <row r="10737">
      <c r="A10737" s="48" t="s">
        <v>10802</v>
      </c>
      <c r="B10737" s="38">
        <v>77491.0</v>
      </c>
      <c r="C10737" s="38" t="s">
        <v>14755</v>
      </c>
      <c r="D10737" s="38" t="str">
        <f>IFERROR(__xludf.DUMMYFUNCTION("REGEXREPLACE(C10737,""-\d+(.*)|--\d+(.*)"","""")"),"VENEUX-LES-SABLONS")</f>
        <v>VENEUX-LES-SABLONS</v>
      </c>
      <c r="E10737" s="38" t="s">
        <v>244</v>
      </c>
      <c r="F10737" s="38" t="s">
        <v>245</v>
      </c>
      <c r="G10737" s="49" t="str">
        <f t="shared" si="1"/>
        <v>77250</v>
      </c>
      <c r="H10737" s="49">
        <f t="shared" si="2"/>
        <v>77491</v>
      </c>
    </row>
    <row r="10738">
      <c r="A10738" s="48" t="s">
        <v>14756</v>
      </c>
      <c r="B10738" s="38">
        <v>48148.0</v>
      </c>
      <c r="C10738" s="38" t="s">
        <v>14757</v>
      </c>
      <c r="D10738" s="38" t="str">
        <f>IFERROR(__xludf.DUMMYFUNCTION("REGEXREPLACE(C10738,""-\d+(.*)|--\d+(.*)"","""")"),"SAINT-ETIENNE-VALLEE-FRANCAISE")</f>
        <v>SAINT-ETIENNE-VALLEE-FRANCAISE</v>
      </c>
      <c r="E10738" s="38" t="s">
        <v>154</v>
      </c>
      <c r="F10738" s="38" t="s">
        <v>119</v>
      </c>
      <c r="G10738" s="49" t="str">
        <f t="shared" si="1"/>
        <v>48330</v>
      </c>
      <c r="H10738" s="49">
        <f t="shared" si="2"/>
        <v>48148</v>
      </c>
    </row>
    <row r="10739">
      <c r="A10739" s="48" t="s">
        <v>1649</v>
      </c>
      <c r="B10739" s="38">
        <v>27533.0</v>
      </c>
      <c r="C10739" s="38" t="s">
        <v>14758</v>
      </c>
      <c r="D10739" s="38" t="str">
        <f>IFERROR(__xludf.DUMMYFUNCTION("REGEXREPLACE(C10739,""-\d+(.*)|--\d+(.*)"","""")"),"SAINT-DENIS-LE-FERMENT")</f>
        <v>SAINT-DENIS-LE-FERMENT</v>
      </c>
      <c r="E10739" s="38" t="s">
        <v>241</v>
      </c>
      <c r="F10739" s="38" t="s">
        <v>134</v>
      </c>
      <c r="G10739" s="49" t="str">
        <f t="shared" si="1"/>
        <v>27140</v>
      </c>
      <c r="H10739" s="49">
        <f t="shared" si="2"/>
        <v>27533</v>
      </c>
    </row>
    <row r="10740">
      <c r="A10740" s="48" t="s">
        <v>14759</v>
      </c>
      <c r="B10740" s="38">
        <v>19223.0</v>
      </c>
      <c r="C10740" s="38" t="s">
        <v>14760</v>
      </c>
      <c r="D10740" s="38" t="str">
        <f>IFERROR(__xludf.DUMMYFUNCTION("REGEXREPLACE(C10740,""-\d+(.*)|--\d+(.*)"","""")"),"SAINT-MARTIN-SEPERT")</f>
        <v>SAINT-MARTIN-SEPERT</v>
      </c>
      <c r="E10740" s="38" t="s">
        <v>271</v>
      </c>
      <c r="F10740" s="38" t="s">
        <v>98</v>
      </c>
      <c r="G10740" s="49" t="str">
        <f t="shared" si="1"/>
        <v>19210</v>
      </c>
      <c r="H10740" s="49">
        <f t="shared" si="2"/>
        <v>19223</v>
      </c>
    </row>
    <row r="10741">
      <c r="A10741" s="48" t="s">
        <v>1398</v>
      </c>
      <c r="B10741" s="38">
        <v>45176.0</v>
      </c>
      <c r="C10741" s="38" t="s">
        <v>14761</v>
      </c>
      <c r="D10741" s="38" t="str">
        <f>IFERROR(__xludf.DUMMYFUNCTION("REGEXREPLACE(C10741,""-\d+(.*)|--\d+(.*)"","""")"),"JURANVILLE")</f>
        <v>JURANVILLE</v>
      </c>
      <c r="E10741" s="38" t="s">
        <v>122</v>
      </c>
      <c r="F10741" s="38" t="s">
        <v>123</v>
      </c>
      <c r="G10741" s="49" t="str">
        <f t="shared" si="1"/>
        <v>45340</v>
      </c>
      <c r="H10741" s="49">
        <f t="shared" si="2"/>
        <v>45176</v>
      </c>
    </row>
    <row r="10742">
      <c r="A10742" s="48" t="s">
        <v>6633</v>
      </c>
      <c r="B10742" s="38">
        <v>64296.0</v>
      </c>
      <c r="C10742" s="38" t="s">
        <v>14762</v>
      </c>
      <c r="D10742" s="38" t="str">
        <f>IFERROR(__xludf.DUMMYFUNCTION("REGEXREPLACE(C10742,""-\d+(.*)|--\d+(.*)"","""")"),"LACADEE")</f>
        <v>LACADEE</v>
      </c>
      <c r="E10742" s="38" t="s">
        <v>268</v>
      </c>
      <c r="F10742" s="38" t="s">
        <v>252</v>
      </c>
      <c r="G10742" s="49" t="str">
        <f t="shared" si="1"/>
        <v>64300</v>
      </c>
      <c r="H10742" s="49">
        <f t="shared" si="2"/>
        <v>64296</v>
      </c>
    </row>
    <row r="10743">
      <c r="A10743" s="48" t="s">
        <v>4121</v>
      </c>
      <c r="B10743" s="38">
        <v>11089.0</v>
      </c>
      <c r="C10743" s="38" t="s">
        <v>14763</v>
      </c>
      <c r="D10743" s="38" t="str">
        <f>IFERROR(__xludf.DUMMYFUNCTION("REGEXREPLACE(C10743,""-\d+(.*)|--\d+(.*)"","""")"),"CENNE-MONESTIES")</f>
        <v>CENNE-MONESTIES</v>
      </c>
      <c r="E10743" s="38" t="s">
        <v>278</v>
      </c>
      <c r="F10743" s="38" t="s">
        <v>119</v>
      </c>
      <c r="G10743" s="49" t="str">
        <f t="shared" si="1"/>
        <v>11170</v>
      </c>
      <c r="H10743" s="49">
        <f t="shared" si="2"/>
        <v>11089</v>
      </c>
    </row>
    <row r="10744">
      <c r="A10744" s="48" t="s">
        <v>7501</v>
      </c>
      <c r="B10744" s="38">
        <v>9202.0</v>
      </c>
      <c r="C10744" s="38" t="s">
        <v>14764</v>
      </c>
      <c r="D10744" s="38" t="str">
        <f>IFERROR(__xludf.DUMMYFUNCTION("REGEXREPLACE(C10744,""-\d+(.*)|--\d+(.*)"","""")"),"MONTEGUT-PLANTAUREL")</f>
        <v>MONTEGUT-PLANTAUREL</v>
      </c>
      <c r="E10744" s="38" t="s">
        <v>238</v>
      </c>
      <c r="F10744" s="38" t="s">
        <v>94</v>
      </c>
      <c r="G10744" s="49" t="str">
        <f t="shared" si="1"/>
        <v>09120</v>
      </c>
      <c r="H10744" s="49" t="str">
        <f t="shared" si="2"/>
        <v>09202</v>
      </c>
    </row>
    <row r="10745">
      <c r="A10745" s="48" t="s">
        <v>12919</v>
      </c>
      <c r="B10745" s="38">
        <v>56130.0</v>
      </c>
      <c r="C10745" s="38" t="s">
        <v>14765</v>
      </c>
      <c r="D10745" s="38" t="str">
        <f>IFERROR(__xludf.DUMMYFUNCTION("REGEXREPLACE(C10745,""-\d+(.*)|--\d+(.*)"","""")"),"MERLEVENEZ")</f>
        <v>MERLEVENEZ</v>
      </c>
      <c r="E10745" s="38" t="s">
        <v>173</v>
      </c>
      <c r="F10745" s="38" t="s">
        <v>90</v>
      </c>
      <c r="G10745" s="49" t="str">
        <f t="shared" si="1"/>
        <v>56700</v>
      </c>
      <c r="H10745" s="49">
        <f t="shared" si="2"/>
        <v>56130</v>
      </c>
    </row>
    <row r="10746">
      <c r="A10746" s="48" t="s">
        <v>3578</v>
      </c>
      <c r="B10746" s="38">
        <v>72147.0</v>
      </c>
      <c r="C10746" s="38" t="s">
        <v>14766</v>
      </c>
      <c r="D10746" s="38" t="str">
        <f>IFERROR(__xludf.DUMMYFUNCTION("REGEXREPLACE(C10746,""-\d+(.*)|--\d+(.*)"","""")"),"LA GUIERCHE")</f>
        <v>LA GUIERCHE</v>
      </c>
      <c r="E10746" s="38" t="s">
        <v>521</v>
      </c>
      <c r="F10746" s="38" t="s">
        <v>180</v>
      </c>
      <c r="G10746" s="49" t="str">
        <f t="shared" si="1"/>
        <v>72380</v>
      </c>
      <c r="H10746" s="49">
        <f t="shared" si="2"/>
        <v>72147</v>
      </c>
    </row>
    <row r="10747">
      <c r="A10747" s="48" t="s">
        <v>1601</v>
      </c>
      <c r="B10747" s="38">
        <v>72120.0</v>
      </c>
      <c r="C10747" s="38" t="s">
        <v>14767</v>
      </c>
      <c r="D10747" s="38" t="str">
        <f>IFERROR(__xludf.DUMMYFUNCTION("REGEXREPLACE(C10747,""-\d+(.*)|--\d+(.*)"","""")"),"DOUCELLES")</f>
        <v>DOUCELLES</v>
      </c>
      <c r="E10747" s="38" t="s">
        <v>521</v>
      </c>
      <c r="F10747" s="38" t="s">
        <v>180</v>
      </c>
      <c r="G10747" s="49" t="str">
        <f t="shared" si="1"/>
        <v>72170</v>
      </c>
      <c r="H10747" s="49">
        <f t="shared" si="2"/>
        <v>72120</v>
      </c>
    </row>
    <row r="10748">
      <c r="A10748" s="48" t="s">
        <v>2740</v>
      </c>
      <c r="B10748" s="38">
        <v>46270.0</v>
      </c>
      <c r="C10748" s="38" t="s">
        <v>14768</v>
      </c>
      <c r="D10748" s="38" t="str">
        <f>IFERROR(__xludf.DUMMYFUNCTION("REGEXREPLACE(C10748,""-\d+(.*)|--\d+(.*)"","""")"),"SAINT-JEAN-DE-LAUR")</f>
        <v>SAINT-JEAN-DE-LAUR</v>
      </c>
      <c r="E10748" s="38" t="s">
        <v>185</v>
      </c>
      <c r="F10748" s="38" t="s">
        <v>94</v>
      </c>
      <c r="G10748" s="49" t="str">
        <f t="shared" si="1"/>
        <v>46260</v>
      </c>
      <c r="H10748" s="49">
        <f t="shared" si="2"/>
        <v>46270</v>
      </c>
    </row>
    <row r="10749">
      <c r="A10749" s="48" t="s">
        <v>5292</v>
      </c>
      <c r="B10749" s="38">
        <v>1042.0</v>
      </c>
      <c r="C10749" s="38" t="s">
        <v>9566</v>
      </c>
      <c r="D10749" s="38" t="str">
        <f>IFERROR(__xludf.DUMMYFUNCTION("REGEXREPLACE(C10749,""-\d+(.*)|--\d+(.*)"","""")"),"BEY")</f>
        <v>BEY</v>
      </c>
      <c r="E10749" s="38" t="s">
        <v>255</v>
      </c>
      <c r="F10749" s="38" t="s">
        <v>102</v>
      </c>
      <c r="G10749" s="49" t="str">
        <f t="shared" si="1"/>
        <v>01290</v>
      </c>
      <c r="H10749" s="49" t="str">
        <f t="shared" si="2"/>
        <v>01042</v>
      </c>
    </row>
    <row r="10750">
      <c r="A10750" s="48" t="s">
        <v>2744</v>
      </c>
      <c r="B10750" s="38">
        <v>17442.0</v>
      </c>
      <c r="C10750" s="38" t="s">
        <v>14769</v>
      </c>
      <c r="D10750" s="38" t="str">
        <f>IFERROR(__xludf.DUMMYFUNCTION("REGEXREPLACE(C10750,""-\d+(.*)|--\d+(.*)"","""")"),"THAIMS")</f>
        <v>THAIMS</v>
      </c>
      <c r="E10750" s="38" t="s">
        <v>488</v>
      </c>
      <c r="F10750" s="38" t="s">
        <v>338</v>
      </c>
      <c r="G10750" s="49" t="str">
        <f t="shared" si="1"/>
        <v>17120</v>
      </c>
      <c r="H10750" s="49">
        <f t="shared" si="2"/>
        <v>17442</v>
      </c>
    </row>
    <row r="10751">
      <c r="A10751" s="48" t="s">
        <v>7431</v>
      </c>
      <c r="B10751" s="38">
        <v>77002.0</v>
      </c>
      <c r="C10751" s="38" t="s">
        <v>14770</v>
      </c>
      <c r="D10751" s="38" t="str">
        <f>IFERROR(__xludf.DUMMYFUNCTION("REGEXREPLACE(C10751,""-\d+(.*)|--\d+(.*)"","""")"),"AMILLIS")</f>
        <v>AMILLIS</v>
      </c>
      <c r="E10751" s="38" t="s">
        <v>244</v>
      </c>
      <c r="F10751" s="38" t="s">
        <v>245</v>
      </c>
      <c r="G10751" s="49" t="str">
        <f t="shared" si="1"/>
        <v>77120</v>
      </c>
      <c r="H10751" s="49">
        <f t="shared" si="2"/>
        <v>77002</v>
      </c>
    </row>
    <row r="10752">
      <c r="A10752" s="48" t="s">
        <v>11011</v>
      </c>
      <c r="B10752" s="38">
        <v>14572.0</v>
      </c>
      <c r="C10752" s="38" t="s">
        <v>14771</v>
      </c>
      <c r="D10752" s="38" t="str">
        <f>IFERROR(__xludf.DUMMYFUNCTION("REGEXREPLACE(C10752,""-\d+(.*)|--\d+(.*)"","""")"),"SAINT-DENIS-DE-MERE")</f>
        <v>SAINT-DENIS-DE-MERE</v>
      </c>
      <c r="E10752" s="38" t="s">
        <v>137</v>
      </c>
      <c r="F10752" s="38" t="s">
        <v>138</v>
      </c>
      <c r="G10752" s="49" t="str">
        <f t="shared" si="1"/>
        <v>14110</v>
      </c>
      <c r="H10752" s="49">
        <f t="shared" si="2"/>
        <v>14572</v>
      </c>
    </row>
    <row r="10753">
      <c r="A10753" s="48" t="s">
        <v>3244</v>
      </c>
      <c r="B10753" s="38">
        <v>27439.0</v>
      </c>
      <c r="C10753" s="38" t="s">
        <v>14772</v>
      </c>
      <c r="D10753" s="38" t="str">
        <f>IFERROR(__xludf.DUMMYFUNCTION("REGEXREPLACE(C10753,""-\d+(.*)|--\d+(.*)"","""")"),"NORMANVILLE")</f>
        <v>NORMANVILLE</v>
      </c>
      <c r="E10753" s="38" t="s">
        <v>241</v>
      </c>
      <c r="F10753" s="38" t="s">
        <v>134</v>
      </c>
      <c r="G10753" s="49" t="str">
        <f t="shared" si="1"/>
        <v>27930</v>
      </c>
      <c r="H10753" s="49">
        <f t="shared" si="2"/>
        <v>27439</v>
      </c>
    </row>
    <row r="10754">
      <c r="A10754" s="48" t="s">
        <v>1435</v>
      </c>
      <c r="B10754" s="38">
        <v>14706.0</v>
      </c>
      <c r="C10754" s="38" t="s">
        <v>14773</v>
      </c>
      <c r="D10754" s="38" t="str">
        <f>IFERROR(__xludf.DUMMYFUNCTION("REGEXREPLACE(C10754,""-\d+(.*)|--\d+(.*)"","""")"),"TOURVILLE-EN-AUGE")</f>
        <v>TOURVILLE-EN-AUGE</v>
      </c>
      <c r="E10754" s="38" t="s">
        <v>137</v>
      </c>
      <c r="F10754" s="38" t="s">
        <v>138</v>
      </c>
      <c r="G10754" s="49" t="str">
        <f t="shared" si="1"/>
        <v>14130</v>
      </c>
      <c r="H10754" s="49">
        <f t="shared" si="2"/>
        <v>14706</v>
      </c>
    </row>
    <row r="10755">
      <c r="A10755" s="48" t="s">
        <v>1462</v>
      </c>
      <c r="B10755" s="38">
        <v>11159.0</v>
      </c>
      <c r="C10755" s="38" t="s">
        <v>14774</v>
      </c>
      <c r="D10755" s="38" t="str">
        <f>IFERROR(__xludf.DUMMYFUNCTION("REGEXREPLACE(C10755,""-\d+(.*)|--\d+(.*)"","""")"),"GAJA-LA-SELVE")</f>
        <v>GAJA-LA-SELVE</v>
      </c>
      <c r="E10755" s="38" t="s">
        <v>278</v>
      </c>
      <c r="F10755" s="38" t="s">
        <v>119</v>
      </c>
      <c r="G10755" s="49" t="str">
        <f t="shared" si="1"/>
        <v>11270</v>
      </c>
      <c r="H10755" s="49">
        <f t="shared" si="2"/>
        <v>11159</v>
      </c>
    </row>
    <row r="10756">
      <c r="A10756" s="48" t="s">
        <v>5810</v>
      </c>
      <c r="B10756" s="38">
        <v>54473.0</v>
      </c>
      <c r="C10756" s="38" t="s">
        <v>3456</v>
      </c>
      <c r="D10756" s="38" t="str">
        <f>IFERROR(__xludf.DUMMYFUNCTION("REGEXREPLACE(C10756,""-\d+(.*)|--\d+(.*)"","""")"),"SAINT-FIRMIN")</f>
        <v>SAINT-FIRMIN</v>
      </c>
      <c r="E10756" s="38" t="s">
        <v>548</v>
      </c>
      <c r="F10756" s="38" t="s">
        <v>195</v>
      </c>
      <c r="G10756" s="49" t="str">
        <f t="shared" si="1"/>
        <v>54930</v>
      </c>
      <c r="H10756" s="49">
        <f t="shared" si="2"/>
        <v>54473</v>
      </c>
    </row>
    <row r="10757">
      <c r="A10757" s="48" t="s">
        <v>12221</v>
      </c>
      <c r="B10757" s="38">
        <v>41066.0</v>
      </c>
      <c r="C10757" s="38" t="s">
        <v>14775</v>
      </c>
      <c r="D10757" s="38" t="str">
        <f>IFERROR(__xludf.DUMMYFUNCTION("REGEXREPLACE(C10757,""-\d+(.*)|--\d+(.*)"","""")"),"COURBOUZON")</f>
        <v>COURBOUZON</v>
      </c>
      <c r="E10757" s="38" t="s">
        <v>188</v>
      </c>
      <c r="F10757" s="38" t="s">
        <v>123</v>
      </c>
      <c r="G10757" s="49" t="str">
        <f t="shared" si="1"/>
        <v>41500</v>
      </c>
      <c r="H10757" s="49">
        <f t="shared" si="2"/>
        <v>41066</v>
      </c>
    </row>
    <row r="10758">
      <c r="A10758" s="48" t="s">
        <v>5012</v>
      </c>
      <c r="B10758" s="38">
        <v>55385.0</v>
      </c>
      <c r="C10758" s="38" t="s">
        <v>14776</v>
      </c>
      <c r="D10758" s="38" t="str">
        <f>IFERROR(__xludf.DUMMYFUNCTION("REGEXREPLACE(C10758,""-\d+(.*)|--\d+(.*)"","""")"),"NIXEVILLE-BLERCOURT")</f>
        <v>NIXEVILLE-BLERCOURT</v>
      </c>
      <c r="E10758" s="38" t="s">
        <v>322</v>
      </c>
      <c r="F10758" s="38" t="s">
        <v>195</v>
      </c>
      <c r="G10758" s="49" t="str">
        <f t="shared" si="1"/>
        <v>55120</v>
      </c>
      <c r="H10758" s="49">
        <f t="shared" si="2"/>
        <v>55385</v>
      </c>
    </row>
    <row r="10759">
      <c r="A10759" s="48" t="s">
        <v>9365</v>
      </c>
      <c r="B10759" s="38">
        <v>90062.0</v>
      </c>
      <c r="C10759" s="38" t="s">
        <v>14777</v>
      </c>
      <c r="D10759" s="38" t="str">
        <f>IFERROR(__xludf.DUMMYFUNCTION("REGEXREPLACE(C10759,""-\d+(.*)|--\d+(.*)"","""")"),"LARIVIERE")</f>
        <v>LARIVIERE</v>
      </c>
      <c r="E10759" s="38" t="s">
        <v>1283</v>
      </c>
      <c r="F10759" s="38" t="s">
        <v>214</v>
      </c>
      <c r="G10759" s="49" t="str">
        <f t="shared" si="1"/>
        <v>90150</v>
      </c>
      <c r="H10759" s="49">
        <f t="shared" si="2"/>
        <v>90062</v>
      </c>
    </row>
    <row r="10760">
      <c r="A10760" s="48" t="s">
        <v>13265</v>
      </c>
      <c r="B10760" s="38">
        <v>77196.0</v>
      </c>
      <c r="C10760" s="38" t="s">
        <v>14778</v>
      </c>
      <c r="D10760" s="38" t="str">
        <f>IFERROR(__xludf.DUMMYFUNCTION("REGEXREPLACE(C10760,""-\d+(.*)|--\d+(.*)"","""")"),"FRESNES-SUR-MARNE")</f>
        <v>FRESNES-SUR-MARNE</v>
      </c>
      <c r="E10760" s="38" t="s">
        <v>244</v>
      </c>
      <c r="F10760" s="38" t="s">
        <v>245</v>
      </c>
      <c r="G10760" s="49" t="str">
        <f t="shared" si="1"/>
        <v>77410</v>
      </c>
      <c r="H10760" s="49">
        <f t="shared" si="2"/>
        <v>77196</v>
      </c>
    </row>
    <row r="10761">
      <c r="A10761" s="48" t="s">
        <v>14779</v>
      </c>
      <c r="B10761" s="38">
        <v>19212.0</v>
      </c>
      <c r="C10761" s="38" t="s">
        <v>14780</v>
      </c>
      <c r="D10761" s="38" t="str">
        <f>IFERROR(__xludf.DUMMYFUNCTION("REGEXREPLACE(C10761,""-\d+(.*)|--\d+(.*)"","""")"),"SAINT-HILAIRE-TAURIEUX")</f>
        <v>SAINT-HILAIRE-TAURIEUX</v>
      </c>
      <c r="E10761" s="38" t="s">
        <v>271</v>
      </c>
      <c r="F10761" s="38" t="s">
        <v>98</v>
      </c>
      <c r="G10761" s="49" t="str">
        <f t="shared" si="1"/>
        <v>19400</v>
      </c>
      <c r="H10761" s="49">
        <f t="shared" si="2"/>
        <v>19212</v>
      </c>
    </row>
    <row r="10762">
      <c r="A10762" s="48" t="s">
        <v>8383</v>
      </c>
      <c r="B10762" s="38">
        <v>57477.0</v>
      </c>
      <c r="C10762" s="38" t="s">
        <v>14781</v>
      </c>
      <c r="D10762" s="38" t="str">
        <f>IFERROR(__xludf.DUMMYFUNCTION("REGEXREPLACE(C10762,""-\d+(.*)|--\d+(.*)"","""")"),"MONTBRONN")</f>
        <v>MONTBRONN</v>
      </c>
      <c r="E10762" s="38" t="s">
        <v>303</v>
      </c>
      <c r="F10762" s="38" t="s">
        <v>195</v>
      </c>
      <c r="G10762" s="49" t="str">
        <f t="shared" si="1"/>
        <v>57415</v>
      </c>
      <c r="H10762" s="49">
        <f t="shared" si="2"/>
        <v>57477</v>
      </c>
    </row>
    <row r="10763">
      <c r="A10763" s="48" t="s">
        <v>1145</v>
      </c>
      <c r="B10763" s="38">
        <v>77224.0</v>
      </c>
      <c r="C10763" s="38" t="s">
        <v>14782</v>
      </c>
      <c r="D10763" s="38" t="str">
        <f>IFERROR(__xludf.DUMMYFUNCTION("REGEXREPLACE(C10763,""-\d+(.*)|--\d+(.*)"","""")"),"HAUTEFEUILLE")</f>
        <v>HAUTEFEUILLE</v>
      </c>
      <c r="E10763" s="38" t="s">
        <v>244</v>
      </c>
      <c r="F10763" s="38" t="s">
        <v>245</v>
      </c>
      <c r="G10763" s="49" t="str">
        <f t="shared" si="1"/>
        <v>77515</v>
      </c>
      <c r="H10763" s="49">
        <f t="shared" si="2"/>
        <v>77224</v>
      </c>
    </row>
    <row r="10764">
      <c r="A10764" s="48" t="s">
        <v>14783</v>
      </c>
      <c r="B10764" s="38">
        <v>42227.0</v>
      </c>
      <c r="C10764" s="38" t="s">
        <v>14784</v>
      </c>
      <c r="D10764" s="38" t="str">
        <f>IFERROR(__xludf.DUMMYFUNCTION("REGEXREPLACE(C10764,""-\d+(.*)|--\d+(.*)"","""")"),"SAINT-GEORGES-EN-COUZAN")</f>
        <v>SAINT-GEORGES-EN-COUZAN</v>
      </c>
      <c r="E10764" s="38" t="s">
        <v>166</v>
      </c>
      <c r="F10764" s="38" t="s">
        <v>102</v>
      </c>
      <c r="G10764" s="49" t="str">
        <f t="shared" si="1"/>
        <v>42990</v>
      </c>
      <c r="H10764" s="49">
        <f t="shared" si="2"/>
        <v>42227</v>
      </c>
    </row>
    <row r="10765">
      <c r="A10765" s="48" t="s">
        <v>417</v>
      </c>
      <c r="B10765" s="38">
        <v>1224.0</v>
      </c>
      <c r="C10765" s="38" t="s">
        <v>14785</v>
      </c>
      <c r="D10765" s="38" t="str">
        <f>IFERROR(__xludf.DUMMYFUNCTION("REGEXREPLACE(C10765,""-\d+(.*)|--\d+(.*)"","""")"),"LOYETTES")</f>
        <v>LOYETTES</v>
      </c>
      <c r="E10765" s="38" t="s">
        <v>255</v>
      </c>
      <c r="F10765" s="38" t="s">
        <v>102</v>
      </c>
      <c r="G10765" s="49" t="str">
        <f t="shared" si="1"/>
        <v>01360</v>
      </c>
      <c r="H10765" s="49" t="str">
        <f t="shared" si="2"/>
        <v>01224</v>
      </c>
    </row>
    <row r="10766">
      <c r="A10766" s="48" t="s">
        <v>1740</v>
      </c>
      <c r="B10766" s="38">
        <v>26068.0</v>
      </c>
      <c r="C10766" s="38" t="s">
        <v>14786</v>
      </c>
      <c r="D10766" s="38" t="str">
        <f>IFERROR(__xludf.DUMMYFUNCTION("REGEXREPLACE(C10766,""-\d+(.*)|--\d+(.*)"","""")"),"LE CHALON")</f>
        <v>LE CHALON</v>
      </c>
      <c r="E10766" s="38" t="s">
        <v>126</v>
      </c>
      <c r="F10766" s="38" t="s">
        <v>102</v>
      </c>
      <c r="G10766" s="49" t="str">
        <f t="shared" si="1"/>
        <v>26350</v>
      </c>
      <c r="H10766" s="49">
        <f t="shared" si="2"/>
        <v>26068</v>
      </c>
    </row>
    <row r="10767">
      <c r="A10767" s="48" t="s">
        <v>3075</v>
      </c>
      <c r="B10767" s="38">
        <v>46220.0</v>
      </c>
      <c r="C10767" s="38" t="s">
        <v>14787</v>
      </c>
      <c r="D10767" s="38" t="str">
        <f>IFERROR(__xludf.DUMMYFUNCTION("REGEXREPLACE(C10767,""-\d+(.*)|--\d+(.*)"","""")"),"PINSAC")</f>
        <v>PINSAC</v>
      </c>
      <c r="E10767" s="38" t="s">
        <v>185</v>
      </c>
      <c r="F10767" s="38" t="s">
        <v>94</v>
      </c>
      <c r="G10767" s="49" t="str">
        <f t="shared" si="1"/>
        <v>46200</v>
      </c>
      <c r="H10767" s="49">
        <f t="shared" si="2"/>
        <v>46220</v>
      </c>
    </row>
    <row r="10768">
      <c r="A10768" s="48" t="s">
        <v>2779</v>
      </c>
      <c r="B10768" s="38">
        <v>80439.0</v>
      </c>
      <c r="C10768" s="38" t="s">
        <v>14788</v>
      </c>
      <c r="D10768" s="38" t="str">
        <f>IFERROR(__xludf.DUMMYFUNCTION("REGEXREPLACE(C10768,""-\d+(.*)|--\d+(.*)"","""")"),"HEUZECOURT")</f>
        <v>HEUZECOURT</v>
      </c>
      <c r="E10768" s="38" t="s">
        <v>224</v>
      </c>
      <c r="F10768" s="38" t="s">
        <v>113</v>
      </c>
      <c r="G10768" s="49" t="str">
        <f t="shared" si="1"/>
        <v>80370</v>
      </c>
      <c r="H10768" s="49">
        <f t="shared" si="2"/>
        <v>80439</v>
      </c>
    </row>
    <row r="10769">
      <c r="A10769" s="48" t="s">
        <v>7514</v>
      </c>
      <c r="B10769" s="38">
        <v>88125.0</v>
      </c>
      <c r="C10769" s="38" t="s">
        <v>14789</v>
      </c>
      <c r="D10769" s="38" t="str">
        <f>IFERROR(__xludf.DUMMYFUNCTION("REGEXREPLACE(C10769,""-\d+(.*)|--\d+(.*)"","""")"),"DARNEY-AUX-CHENES")</f>
        <v>DARNEY-AUX-CHENES</v>
      </c>
      <c r="E10769" s="38" t="s">
        <v>194</v>
      </c>
      <c r="F10769" s="38" t="s">
        <v>195</v>
      </c>
      <c r="G10769" s="49" t="str">
        <f t="shared" si="1"/>
        <v>88170</v>
      </c>
      <c r="H10769" s="49">
        <f t="shared" si="2"/>
        <v>88125</v>
      </c>
    </row>
    <row r="10770">
      <c r="A10770" s="48" t="s">
        <v>11437</v>
      </c>
      <c r="B10770" s="38">
        <v>71136.0</v>
      </c>
      <c r="C10770" s="38" t="s">
        <v>14790</v>
      </c>
      <c r="D10770" s="38" t="str">
        <f>IFERROR(__xludf.DUMMYFUNCTION("REGEXREPLACE(C10770,""-\d+(.*)|--\d+(.*)"","""")"),"CLESSY")</f>
        <v>CLESSY</v>
      </c>
      <c r="E10770" s="38" t="s">
        <v>344</v>
      </c>
      <c r="F10770" s="38" t="s">
        <v>106</v>
      </c>
      <c r="G10770" s="49" t="str">
        <f t="shared" si="1"/>
        <v>71130</v>
      </c>
      <c r="H10770" s="49">
        <f t="shared" si="2"/>
        <v>71136</v>
      </c>
    </row>
    <row r="10771">
      <c r="A10771" s="48" t="s">
        <v>1825</v>
      </c>
      <c r="B10771" s="38">
        <v>64515.0</v>
      </c>
      <c r="C10771" s="38" t="s">
        <v>14791</v>
      </c>
      <c r="D10771" s="38" t="str">
        <f>IFERROR(__xludf.DUMMYFUNCTION("REGEXREPLACE(C10771,""-\d+(.*)|--\d+(.*)"","""")"),"SEDZE-MAUBECQ")</f>
        <v>SEDZE-MAUBECQ</v>
      </c>
      <c r="E10771" s="38" t="s">
        <v>268</v>
      </c>
      <c r="F10771" s="38" t="s">
        <v>252</v>
      </c>
      <c r="G10771" s="49" t="str">
        <f t="shared" si="1"/>
        <v>64160</v>
      </c>
      <c r="H10771" s="49">
        <f t="shared" si="2"/>
        <v>64515</v>
      </c>
    </row>
    <row r="10772">
      <c r="A10772" s="48" t="s">
        <v>4145</v>
      </c>
      <c r="B10772" s="38">
        <v>46283.0</v>
      </c>
      <c r="C10772" s="38" t="s">
        <v>14792</v>
      </c>
      <c r="D10772" s="38" t="str">
        <f>IFERROR(__xludf.DUMMYFUNCTION("REGEXREPLACE(C10772,""-\d+(.*)|--\d+(.*)"","""")"),"SAINT-MICHEL-DE-BANNIERES")</f>
        <v>SAINT-MICHEL-DE-BANNIERES</v>
      </c>
      <c r="E10772" s="38" t="s">
        <v>185</v>
      </c>
      <c r="F10772" s="38" t="s">
        <v>94</v>
      </c>
      <c r="G10772" s="49" t="str">
        <f t="shared" si="1"/>
        <v>46110</v>
      </c>
      <c r="H10772" s="49">
        <f t="shared" si="2"/>
        <v>46283</v>
      </c>
    </row>
    <row r="10773">
      <c r="A10773" s="48" t="s">
        <v>12281</v>
      </c>
      <c r="B10773" s="38">
        <v>54269.0</v>
      </c>
      <c r="C10773" s="38" t="s">
        <v>14793</v>
      </c>
      <c r="D10773" s="38" t="str">
        <f>IFERROR(__xludf.DUMMYFUNCTION("REGEXREPLACE(C10773,""-\d+(.*)|--\d+(.*)"","""")"),"HUDIVILLER")</f>
        <v>HUDIVILLER</v>
      </c>
      <c r="E10773" s="38" t="s">
        <v>548</v>
      </c>
      <c r="F10773" s="38" t="s">
        <v>195</v>
      </c>
      <c r="G10773" s="49" t="str">
        <f t="shared" si="1"/>
        <v>54110</v>
      </c>
      <c r="H10773" s="49">
        <f t="shared" si="2"/>
        <v>54269</v>
      </c>
    </row>
    <row r="10774">
      <c r="A10774" s="48" t="s">
        <v>323</v>
      </c>
      <c r="B10774" s="38">
        <v>52502.0</v>
      </c>
      <c r="C10774" s="38" t="s">
        <v>14794</v>
      </c>
      <c r="D10774" s="38" t="str">
        <f>IFERROR(__xludf.DUMMYFUNCTION("REGEXREPLACE(C10774,""-\d+(.*)|--\d+(.*)"","""")"),"VALLERET")</f>
        <v>VALLERET</v>
      </c>
      <c r="E10774" s="38" t="s">
        <v>234</v>
      </c>
      <c r="F10774" s="38" t="s">
        <v>130</v>
      </c>
      <c r="G10774" s="49" t="str">
        <f t="shared" si="1"/>
        <v>52130</v>
      </c>
      <c r="H10774" s="49">
        <f t="shared" si="2"/>
        <v>52502</v>
      </c>
    </row>
    <row r="10775">
      <c r="A10775" s="48" t="s">
        <v>14795</v>
      </c>
      <c r="B10775" s="38">
        <v>35049.0</v>
      </c>
      <c r="C10775" s="38" t="s">
        <v>14796</v>
      </c>
      <c r="D10775" s="38" t="str">
        <f>IFERROR(__xludf.DUMMYFUNCTION("REGEXREPLACE(C10775,""-\d+(.*)|--\d+(.*)"","""")"),"CANCALE")</f>
        <v>CANCALE</v>
      </c>
      <c r="E10775" s="38" t="s">
        <v>347</v>
      </c>
      <c r="F10775" s="38" t="s">
        <v>90</v>
      </c>
      <c r="G10775" s="49" t="str">
        <f t="shared" si="1"/>
        <v>35260</v>
      </c>
      <c r="H10775" s="49">
        <f t="shared" si="2"/>
        <v>35049</v>
      </c>
    </row>
    <row r="10776">
      <c r="A10776" s="48" t="s">
        <v>13997</v>
      </c>
      <c r="B10776" s="38">
        <v>32246.0</v>
      </c>
      <c r="C10776" s="38" t="s">
        <v>14797</v>
      </c>
      <c r="D10776" s="38" t="str">
        <f>IFERROR(__xludf.DUMMYFUNCTION("REGEXREPLACE(C10776,""-\d+(.*)|--\d+(.*)"","""")"),"MAUPAS")</f>
        <v>MAUPAS</v>
      </c>
      <c r="E10776" s="38" t="s">
        <v>440</v>
      </c>
      <c r="F10776" s="38" t="s">
        <v>94</v>
      </c>
      <c r="G10776" s="49" t="str">
        <f t="shared" si="1"/>
        <v>32240</v>
      </c>
      <c r="H10776" s="49">
        <f t="shared" si="2"/>
        <v>32246</v>
      </c>
    </row>
    <row r="10777">
      <c r="A10777" s="48" t="s">
        <v>12001</v>
      </c>
      <c r="B10777" s="38">
        <v>7230.0</v>
      </c>
      <c r="C10777" s="38" t="s">
        <v>14798</v>
      </c>
      <c r="D10777" s="38" t="str">
        <f>IFERROR(__xludf.DUMMYFUNCTION("REGEXREPLACE(C10777,""-\d+(.*)|--\d+(.*)"","""")"),"SAINT-ETIENNE-DE-BOULOGNE")</f>
        <v>SAINT-ETIENNE-DE-BOULOGNE</v>
      </c>
      <c r="E10777" s="38" t="s">
        <v>144</v>
      </c>
      <c r="F10777" s="38" t="s">
        <v>102</v>
      </c>
      <c r="G10777" s="49" t="str">
        <f t="shared" si="1"/>
        <v>07200</v>
      </c>
      <c r="H10777" s="49" t="str">
        <f t="shared" si="2"/>
        <v>07230</v>
      </c>
    </row>
    <row r="10778">
      <c r="A10778" s="48" t="s">
        <v>14799</v>
      </c>
      <c r="B10778" s="38">
        <v>54432.0</v>
      </c>
      <c r="C10778" s="38" t="s">
        <v>14800</v>
      </c>
      <c r="D10778" s="38" t="str">
        <f>IFERROR(__xludf.DUMMYFUNCTION("REGEXREPLACE(C10778,""-\d+(.*)|--\d+(.*)"","""")"),"PONT-SAINT-VINCENT")</f>
        <v>PONT-SAINT-VINCENT</v>
      </c>
      <c r="E10778" s="38" t="s">
        <v>548</v>
      </c>
      <c r="F10778" s="38" t="s">
        <v>195</v>
      </c>
      <c r="G10778" s="49" t="str">
        <f t="shared" si="1"/>
        <v>54550</v>
      </c>
      <c r="H10778" s="49">
        <f t="shared" si="2"/>
        <v>54432</v>
      </c>
    </row>
    <row r="10779">
      <c r="A10779" s="48" t="s">
        <v>14801</v>
      </c>
      <c r="B10779" s="38">
        <v>45108.0</v>
      </c>
      <c r="C10779" s="38" t="s">
        <v>14802</v>
      </c>
      <c r="D10779" s="38" t="str">
        <f>IFERROR(__xludf.DUMMYFUNCTION("REGEXREPLACE(C10779,""-\d+(.*)|--\d+(.*)"","""")"),"COULLONS")</f>
        <v>COULLONS</v>
      </c>
      <c r="E10779" s="38" t="s">
        <v>122</v>
      </c>
      <c r="F10779" s="38" t="s">
        <v>123</v>
      </c>
      <c r="G10779" s="49" t="str">
        <f t="shared" si="1"/>
        <v>45720</v>
      </c>
      <c r="H10779" s="49">
        <f t="shared" si="2"/>
        <v>45108</v>
      </c>
    </row>
    <row r="10780">
      <c r="A10780" s="48" t="s">
        <v>588</v>
      </c>
      <c r="B10780" s="38">
        <v>14493.0</v>
      </c>
      <c r="C10780" s="38" t="s">
        <v>14803</v>
      </c>
      <c r="D10780" s="38" t="str">
        <f>IFERROR(__xludf.DUMMYFUNCTION("REGEXREPLACE(C10780,""-\d+(.*)|--\d+(.*)"","""")"),"PERCY-EN-AUGE")</f>
        <v>PERCY-EN-AUGE</v>
      </c>
      <c r="E10780" s="38" t="s">
        <v>137</v>
      </c>
      <c r="F10780" s="38" t="s">
        <v>138</v>
      </c>
      <c r="G10780" s="49" t="str">
        <f t="shared" si="1"/>
        <v>14270</v>
      </c>
      <c r="H10780" s="49">
        <f t="shared" si="2"/>
        <v>14493</v>
      </c>
    </row>
    <row r="10781">
      <c r="A10781" s="48" t="s">
        <v>6951</v>
      </c>
      <c r="B10781" s="38">
        <v>58076.0</v>
      </c>
      <c r="C10781" s="38" t="s">
        <v>14804</v>
      </c>
      <c r="D10781" s="38" t="str">
        <f>IFERROR(__xludf.DUMMYFUNCTION("REGEXREPLACE(C10781,""-\d+(.*)|--\d+(.*)"","""")"),"CHOUGNY")</f>
        <v>CHOUGNY</v>
      </c>
      <c r="E10781" s="38" t="s">
        <v>219</v>
      </c>
      <c r="F10781" s="38" t="s">
        <v>106</v>
      </c>
      <c r="G10781" s="49" t="str">
        <f t="shared" si="1"/>
        <v>58110</v>
      </c>
      <c r="H10781" s="49">
        <f t="shared" si="2"/>
        <v>58076</v>
      </c>
    </row>
    <row r="10782">
      <c r="A10782" s="48" t="s">
        <v>2995</v>
      </c>
      <c r="B10782" s="38">
        <v>28365.0</v>
      </c>
      <c r="C10782" s="38" t="s">
        <v>14805</v>
      </c>
      <c r="D10782" s="38" t="str">
        <f>IFERROR(__xludf.DUMMYFUNCTION("REGEXREPLACE(C10782,""-\d+(.*)|--\d+(.*)"","""")"),"SANDARVILLE")</f>
        <v>SANDARVILLE</v>
      </c>
      <c r="E10782" s="38" t="s">
        <v>300</v>
      </c>
      <c r="F10782" s="38" t="s">
        <v>123</v>
      </c>
      <c r="G10782" s="49" t="str">
        <f t="shared" si="1"/>
        <v>28120</v>
      </c>
      <c r="H10782" s="49">
        <f t="shared" si="2"/>
        <v>28365</v>
      </c>
    </row>
    <row r="10783">
      <c r="A10783" s="48" t="s">
        <v>4768</v>
      </c>
      <c r="B10783" s="38">
        <v>6126.0</v>
      </c>
      <c r="C10783" s="38" t="s">
        <v>14806</v>
      </c>
      <c r="D10783" s="38" t="str">
        <f>IFERROR(__xludf.DUMMYFUNCTION("REGEXREPLACE(C10783,""-\d+(.*)|--\d+(.*)"","""")"),"SAINT-MARTIN-DU-VAR")</f>
        <v>SAINT-MARTIN-DU-VAR</v>
      </c>
      <c r="E10783" s="38" t="s">
        <v>227</v>
      </c>
      <c r="F10783" s="38" t="s">
        <v>228</v>
      </c>
      <c r="G10783" s="49" t="str">
        <f t="shared" si="1"/>
        <v>06670</v>
      </c>
      <c r="H10783" s="49" t="str">
        <f t="shared" si="2"/>
        <v>06126</v>
      </c>
    </row>
    <row r="10784">
      <c r="A10784" s="48" t="s">
        <v>7818</v>
      </c>
      <c r="B10784" s="38">
        <v>90102.0</v>
      </c>
      <c r="C10784" s="38" t="s">
        <v>14807</v>
      </c>
      <c r="D10784" s="38" t="str">
        <f>IFERROR(__xludf.DUMMYFUNCTION("REGEXREPLACE(C10784,""-\d+(.*)|--\d+(.*)"","""")"),"VESCEMONT")</f>
        <v>VESCEMONT</v>
      </c>
      <c r="E10784" s="38" t="s">
        <v>1283</v>
      </c>
      <c r="F10784" s="38" t="s">
        <v>214</v>
      </c>
      <c r="G10784" s="49" t="str">
        <f t="shared" si="1"/>
        <v>90200</v>
      </c>
      <c r="H10784" s="49">
        <f t="shared" si="2"/>
        <v>90102</v>
      </c>
    </row>
    <row r="10785">
      <c r="A10785" s="48" t="s">
        <v>14808</v>
      </c>
      <c r="B10785" s="38">
        <v>25170.0</v>
      </c>
      <c r="C10785" s="38" t="s">
        <v>14809</v>
      </c>
      <c r="D10785" s="38" t="str">
        <f>IFERROR(__xludf.DUMMYFUNCTION("REGEXREPLACE(C10785,""-\d+(.*)|--\d+(.*)"","""")"),"COURCELLES-LES-MONTBELIARD")</f>
        <v>COURCELLES-LES-MONTBELIARD</v>
      </c>
      <c r="E10785" s="38" t="s">
        <v>213</v>
      </c>
      <c r="F10785" s="38" t="s">
        <v>214</v>
      </c>
      <c r="G10785" s="49" t="str">
        <f t="shared" si="1"/>
        <v>25420</v>
      </c>
      <c r="H10785" s="49">
        <f t="shared" si="2"/>
        <v>25170</v>
      </c>
    </row>
    <row r="10786">
      <c r="A10786" s="48" t="s">
        <v>2734</v>
      </c>
      <c r="B10786" s="38">
        <v>89370.0</v>
      </c>
      <c r="C10786" s="38" t="s">
        <v>14810</v>
      </c>
      <c r="D10786" s="38" t="str">
        <f>IFERROR(__xludf.DUMMYFUNCTION("REGEXREPLACE(C10786,""-\d+(.*)|--\d+(.*)"","""")"),"SAINT-VALERIEN")</f>
        <v>SAINT-VALERIEN</v>
      </c>
      <c r="E10786" s="38" t="s">
        <v>275</v>
      </c>
      <c r="F10786" s="38" t="s">
        <v>106</v>
      </c>
      <c r="G10786" s="49" t="str">
        <f t="shared" si="1"/>
        <v>89150</v>
      </c>
      <c r="H10786" s="49">
        <f t="shared" si="2"/>
        <v>89370</v>
      </c>
    </row>
    <row r="10787">
      <c r="A10787" s="48" t="s">
        <v>9585</v>
      </c>
      <c r="B10787" s="38">
        <v>25215.0</v>
      </c>
      <c r="C10787" s="38" t="s">
        <v>14811</v>
      </c>
      <c r="D10787" s="38" t="str">
        <f>IFERROR(__xludf.DUMMYFUNCTION("REGEXREPLACE(C10787,""-\d+(.*)|--\d+(.*)"","""")"),"L'ECOUVOTTE")</f>
        <v>L'ECOUVOTTE</v>
      </c>
      <c r="E10787" s="38" t="s">
        <v>213</v>
      </c>
      <c r="F10787" s="38" t="s">
        <v>214</v>
      </c>
      <c r="G10787" s="49" t="str">
        <f t="shared" si="1"/>
        <v>25640</v>
      </c>
      <c r="H10787" s="49">
        <f t="shared" si="2"/>
        <v>25215</v>
      </c>
    </row>
    <row r="10788">
      <c r="A10788" s="48" t="s">
        <v>3943</v>
      </c>
      <c r="B10788" s="38">
        <v>15133.0</v>
      </c>
      <c r="C10788" s="38" t="s">
        <v>14812</v>
      </c>
      <c r="D10788" s="38" t="str">
        <f>IFERROR(__xludf.DUMMYFUNCTION("REGEXREPLACE(C10788,""-\d+(.*)|--\d+(.*)"","""")"),"MONTMURAT")</f>
        <v>MONTMURAT</v>
      </c>
      <c r="E10788" s="38" t="s">
        <v>632</v>
      </c>
      <c r="F10788" s="38" t="s">
        <v>161</v>
      </c>
      <c r="G10788" s="49" t="str">
        <f t="shared" si="1"/>
        <v>15600</v>
      </c>
      <c r="H10788" s="49">
        <f t="shared" si="2"/>
        <v>15133</v>
      </c>
    </row>
    <row r="10789">
      <c r="A10789" s="48" t="s">
        <v>1874</v>
      </c>
      <c r="B10789" s="38">
        <v>73018.0</v>
      </c>
      <c r="C10789" s="38" t="s">
        <v>14813</v>
      </c>
      <c r="D10789" s="38" t="str">
        <f>IFERROR(__xludf.DUMMYFUNCTION("REGEXREPLACE(C10789,""-\d+(.*)|--\d+(.*)"","""")"),"ARBIN")</f>
        <v>ARBIN</v>
      </c>
      <c r="E10789" s="38" t="s">
        <v>306</v>
      </c>
      <c r="F10789" s="38" t="s">
        <v>102</v>
      </c>
      <c r="G10789" s="49" t="str">
        <f t="shared" si="1"/>
        <v>73800</v>
      </c>
      <c r="H10789" s="49">
        <f t="shared" si="2"/>
        <v>73018</v>
      </c>
    </row>
    <row r="10790">
      <c r="A10790" s="48" t="s">
        <v>1501</v>
      </c>
      <c r="B10790" s="38">
        <v>39424.0</v>
      </c>
      <c r="C10790" s="38" t="s">
        <v>14814</v>
      </c>
      <c r="D10790" s="38" t="str">
        <f>IFERROR(__xludf.DUMMYFUNCTION("REGEXREPLACE(C10790,""-\d+(.*)|--\d+(.*)"","""")"),"LES PLANCHES-EN-MONTAGNE")</f>
        <v>LES PLANCHES-EN-MONTAGNE</v>
      </c>
      <c r="E10790" s="38" t="s">
        <v>400</v>
      </c>
      <c r="F10790" s="38" t="s">
        <v>214</v>
      </c>
      <c r="G10790" s="49" t="str">
        <f t="shared" si="1"/>
        <v>39150</v>
      </c>
      <c r="H10790" s="49">
        <f t="shared" si="2"/>
        <v>39424</v>
      </c>
    </row>
    <row r="10791">
      <c r="A10791" s="48" t="s">
        <v>3289</v>
      </c>
      <c r="B10791" s="38">
        <v>50018.0</v>
      </c>
      <c r="C10791" s="38" t="s">
        <v>14815</v>
      </c>
      <c r="D10791" s="38" t="str">
        <f>IFERROR(__xludf.DUMMYFUNCTION("REGEXREPLACE(C10791,""-\d+(.*)|--\d+(.*)"","""")"),"ARGOUGES")</f>
        <v>ARGOUGES</v>
      </c>
      <c r="E10791" s="38" t="s">
        <v>157</v>
      </c>
      <c r="F10791" s="38" t="s">
        <v>138</v>
      </c>
      <c r="G10791" s="49" t="str">
        <f t="shared" si="1"/>
        <v>50240</v>
      </c>
      <c r="H10791" s="49">
        <f t="shared" si="2"/>
        <v>50018</v>
      </c>
    </row>
    <row r="10792">
      <c r="A10792" s="48" t="s">
        <v>2924</v>
      </c>
      <c r="B10792" s="38">
        <v>8064.0</v>
      </c>
      <c r="C10792" s="38" t="s">
        <v>14816</v>
      </c>
      <c r="D10792" s="38" t="str">
        <f>IFERROR(__xludf.DUMMYFUNCTION("REGEXREPLACE(C10792,""-\d+(.*)|--\d+(.*)"","""")"),"BIERMES")</f>
        <v>BIERMES</v>
      </c>
      <c r="E10792" s="38" t="s">
        <v>327</v>
      </c>
      <c r="F10792" s="38" t="s">
        <v>130</v>
      </c>
      <c r="G10792" s="49" t="str">
        <f t="shared" si="1"/>
        <v>08300</v>
      </c>
      <c r="H10792" s="49" t="str">
        <f t="shared" si="2"/>
        <v>08064</v>
      </c>
    </row>
    <row r="10793">
      <c r="A10793" s="48" t="s">
        <v>5612</v>
      </c>
      <c r="B10793" s="38">
        <v>52380.0</v>
      </c>
      <c r="C10793" s="38" t="s">
        <v>14817</v>
      </c>
      <c r="D10793" s="38" t="str">
        <f>IFERROR(__xludf.DUMMYFUNCTION("REGEXREPLACE(C10793,""-\d+(.*)|--\d+(.*)"","""")"),"PEIGNEY")</f>
        <v>PEIGNEY</v>
      </c>
      <c r="E10793" s="38" t="s">
        <v>234</v>
      </c>
      <c r="F10793" s="38" t="s">
        <v>130</v>
      </c>
      <c r="G10793" s="49" t="str">
        <f t="shared" si="1"/>
        <v>52200</v>
      </c>
      <c r="H10793" s="49">
        <f t="shared" si="2"/>
        <v>52380</v>
      </c>
    </row>
    <row r="10794">
      <c r="A10794" s="48" t="s">
        <v>11310</v>
      </c>
      <c r="B10794" s="38">
        <v>50417.0</v>
      </c>
      <c r="C10794" s="38" t="s">
        <v>14818</v>
      </c>
      <c r="D10794" s="38" t="str">
        <f>IFERROR(__xludf.DUMMYFUNCTION("REGEXREPLACE(C10794,""-\d+(.*)|--\d+(.*)"","""")"),"QUETTEHOU")</f>
        <v>QUETTEHOU</v>
      </c>
      <c r="E10794" s="38" t="s">
        <v>157</v>
      </c>
      <c r="F10794" s="38" t="s">
        <v>138</v>
      </c>
      <c r="G10794" s="49" t="str">
        <f t="shared" si="1"/>
        <v>50630</v>
      </c>
      <c r="H10794" s="49">
        <f t="shared" si="2"/>
        <v>50417</v>
      </c>
    </row>
    <row r="10795">
      <c r="A10795" s="48" t="s">
        <v>11061</v>
      </c>
      <c r="B10795" s="38">
        <v>16093.0</v>
      </c>
      <c r="C10795" s="38" t="s">
        <v>14819</v>
      </c>
      <c r="D10795" s="38" t="str">
        <f>IFERROR(__xludf.DUMMYFUNCTION("REGEXREPLACE(C10795,""-\d+(.*)|--\d+(.*)"","""")"),"CHAZELLES")</f>
        <v>CHAZELLES</v>
      </c>
      <c r="E10795" s="38" t="s">
        <v>429</v>
      </c>
      <c r="F10795" s="38" t="s">
        <v>338</v>
      </c>
      <c r="G10795" s="49" t="str">
        <f t="shared" si="1"/>
        <v>16380</v>
      </c>
      <c r="H10795" s="49">
        <f t="shared" si="2"/>
        <v>16093</v>
      </c>
    </row>
    <row r="10796">
      <c r="A10796" s="48" t="s">
        <v>11056</v>
      </c>
      <c r="B10796" s="38">
        <v>3146.0</v>
      </c>
      <c r="C10796" s="38" t="s">
        <v>14820</v>
      </c>
      <c r="D10796" s="38" t="str">
        <f>IFERROR(__xludf.DUMMYFUNCTION("REGEXREPLACE(C10796,""-\d+(.*)|--\d+(.*)"","""")"),"LIMOISE")</f>
        <v>LIMOISE</v>
      </c>
      <c r="E10796" s="38" t="s">
        <v>160</v>
      </c>
      <c r="F10796" s="38" t="s">
        <v>161</v>
      </c>
      <c r="G10796" s="49" t="str">
        <f t="shared" si="1"/>
        <v>03320</v>
      </c>
      <c r="H10796" s="49" t="str">
        <f t="shared" si="2"/>
        <v>03146</v>
      </c>
    </row>
    <row r="10797">
      <c r="A10797" s="48" t="s">
        <v>3036</v>
      </c>
      <c r="B10797" s="38">
        <v>61303.0</v>
      </c>
      <c r="C10797" s="38" t="s">
        <v>14821</v>
      </c>
      <c r="D10797" s="38" t="str">
        <f>IFERROR(__xludf.DUMMYFUNCTION("REGEXREPLACE(C10797,""-\d+(.*)|--\d+(.*)"","""")"),"NECY")</f>
        <v>NECY</v>
      </c>
      <c r="E10797" s="38" t="s">
        <v>141</v>
      </c>
      <c r="F10797" s="38" t="s">
        <v>138</v>
      </c>
      <c r="G10797" s="49" t="str">
        <f t="shared" si="1"/>
        <v>61160</v>
      </c>
      <c r="H10797" s="49">
        <f t="shared" si="2"/>
        <v>61303</v>
      </c>
    </row>
    <row r="10798">
      <c r="A10798" s="48" t="s">
        <v>645</v>
      </c>
      <c r="B10798" s="38">
        <v>57345.0</v>
      </c>
      <c r="C10798" s="38" t="s">
        <v>14822</v>
      </c>
      <c r="D10798" s="38" t="str">
        <f>IFERROR(__xludf.DUMMYFUNCTION("REGEXREPLACE(C10798,""-\d+(.*)|--\d+(.*)"","""")"),"INGLANGE")</f>
        <v>INGLANGE</v>
      </c>
      <c r="E10798" s="38" t="s">
        <v>303</v>
      </c>
      <c r="F10798" s="38" t="s">
        <v>195</v>
      </c>
      <c r="G10798" s="49" t="str">
        <f t="shared" si="1"/>
        <v>57970</v>
      </c>
      <c r="H10798" s="49">
        <f t="shared" si="2"/>
        <v>57345</v>
      </c>
    </row>
    <row r="10799">
      <c r="A10799" s="48" t="s">
        <v>12029</v>
      </c>
      <c r="B10799" s="38">
        <v>84123.0</v>
      </c>
      <c r="C10799" s="38" t="s">
        <v>14823</v>
      </c>
      <c r="D10799" s="38" t="str">
        <f>IFERROR(__xludf.DUMMYFUNCTION("REGEXREPLACE(C10799,""-\d+(.*)|--\d+(.*)"","""")"),"SAULT")</f>
        <v>SAULT</v>
      </c>
      <c r="E10799" s="38" t="s">
        <v>1026</v>
      </c>
      <c r="F10799" s="38" t="s">
        <v>228</v>
      </c>
      <c r="G10799" s="49" t="str">
        <f t="shared" si="1"/>
        <v>84390</v>
      </c>
      <c r="H10799" s="49">
        <f t="shared" si="2"/>
        <v>84123</v>
      </c>
    </row>
    <row r="10800">
      <c r="A10800" s="48" t="s">
        <v>7365</v>
      </c>
      <c r="B10800" s="38">
        <v>18148.0</v>
      </c>
      <c r="C10800" s="38" t="s">
        <v>14824</v>
      </c>
      <c r="D10800" s="38" t="str">
        <f>IFERROR(__xludf.DUMMYFUNCTION("REGEXREPLACE(C10800,""-\d+(.*)|--\d+(.*)"","""")"),"MEREAU")</f>
        <v>MEREAU</v>
      </c>
      <c r="E10800" s="38" t="s">
        <v>504</v>
      </c>
      <c r="F10800" s="38" t="s">
        <v>123</v>
      </c>
      <c r="G10800" s="49" t="str">
        <f t="shared" si="1"/>
        <v>18120</v>
      </c>
      <c r="H10800" s="49">
        <f t="shared" si="2"/>
        <v>18148</v>
      </c>
    </row>
    <row r="10801">
      <c r="A10801" s="48" t="s">
        <v>2406</v>
      </c>
      <c r="B10801" s="38">
        <v>55160.0</v>
      </c>
      <c r="C10801" s="38" t="s">
        <v>14825</v>
      </c>
      <c r="D10801" s="38" t="str">
        <f>IFERROR(__xludf.DUMMYFUNCTION("REGEXREPLACE(C10801,""-\d+(.*)|--\d+(.*)"","""")"),"DOMPIERRE-AUX-BOIS")</f>
        <v>DOMPIERRE-AUX-BOIS</v>
      </c>
      <c r="E10801" s="38" t="s">
        <v>322</v>
      </c>
      <c r="F10801" s="38" t="s">
        <v>195</v>
      </c>
      <c r="G10801" s="49" t="str">
        <f t="shared" si="1"/>
        <v>55300</v>
      </c>
      <c r="H10801" s="49">
        <f t="shared" si="2"/>
        <v>55160</v>
      </c>
    </row>
    <row r="10802">
      <c r="A10802" s="48" t="s">
        <v>7188</v>
      </c>
      <c r="B10802" s="38">
        <v>11402.0</v>
      </c>
      <c r="C10802" s="38" t="s">
        <v>14826</v>
      </c>
      <c r="D10802" s="38" t="str">
        <f>IFERROR(__xludf.DUMMYFUNCTION("REGEXREPLACE(C10802,""-\d+(.*)|--\d+(.*)"","""")"),"VALMIGERE")</f>
        <v>VALMIGERE</v>
      </c>
      <c r="E10802" s="38" t="s">
        <v>278</v>
      </c>
      <c r="F10802" s="38" t="s">
        <v>119</v>
      </c>
      <c r="G10802" s="49" t="str">
        <f t="shared" si="1"/>
        <v>11580</v>
      </c>
      <c r="H10802" s="49">
        <f t="shared" si="2"/>
        <v>11402</v>
      </c>
    </row>
    <row r="10803">
      <c r="A10803" s="48" t="s">
        <v>1060</v>
      </c>
      <c r="B10803" s="38">
        <v>57455.0</v>
      </c>
      <c r="C10803" s="38" t="s">
        <v>14827</v>
      </c>
      <c r="D10803" s="38" t="str">
        <f>IFERROR(__xludf.DUMMYFUNCTION("REGEXREPLACE(C10803,""-\d+(.*)|--\d+(.*)"","""")"),"MEGANGE")</f>
        <v>MEGANGE</v>
      </c>
      <c r="E10803" s="38" t="s">
        <v>303</v>
      </c>
      <c r="F10803" s="38" t="s">
        <v>195</v>
      </c>
      <c r="G10803" s="49" t="str">
        <f t="shared" si="1"/>
        <v>57220</v>
      </c>
      <c r="H10803" s="49">
        <f t="shared" si="2"/>
        <v>57455</v>
      </c>
    </row>
    <row r="10804">
      <c r="A10804" s="48" t="s">
        <v>1866</v>
      </c>
      <c r="B10804" s="38">
        <v>61401.0</v>
      </c>
      <c r="C10804" s="38" t="s">
        <v>14828</v>
      </c>
      <c r="D10804" s="38" t="str">
        <f>IFERROR(__xludf.DUMMYFUNCTION("REGEXREPLACE(C10804,""-\d+(.*)|--\d+(.*)"","""")"),"SAINT-GILLES-DES-MARAIS")</f>
        <v>SAINT-GILLES-DES-MARAIS</v>
      </c>
      <c r="E10804" s="38" t="s">
        <v>141</v>
      </c>
      <c r="F10804" s="38" t="s">
        <v>138</v>
      </c>
      <c r="G10804" s="49" t="str">
        <f t="shared" si="1"/>
        <v>61700</v>
      </c>
      <c r="H10804" s="49">
        <f t="shared" si="2"/>
        <v>61401</v>
      </c>
    </row>
    <row r="10805">
      <c r="A10805" s="48" t="s">
        <v>7852</v>
      </c>
      <c r="B10805" s="38">
        <v>38287.0</v>
      </c>
      <c r="C10805" s="38" t="s">
        <v>14829</v>
      </c>
      <c r="D10805" s="38" t="str">
        <f>IFERROR(__xludf.DUMMYFUNCTION("REGEXREPLACE(C10805,""-\d+(.*)|--\d+(.*)"","""")"),"OYEU")</f>
        <v>OYEU</v>
      </c>
      <c r="E10805" s="38" t="s">
        <v>101</v>
      </c>
      <c r="F10805" s="38" t="s">
        <v>102</v>
      </c>
      <c r="G10805" s="49" t="str">
        <f t="shared" si="1"/>
        <v>38690</v>
      </c>
      <c r="H10805" s="49">
        <f t="shared" si="2"/>
        <v>38287</v>
      </c>
    </row>
    <row r="10806">
      <c r="A10806" s="48" t="s">
        <v>2521</v>
      </c>
      <c r="B10806" s="38">
        <v>28039.0</v>
      </c>
      <c r="C10806" s="38" t="s">
        <v>14830</v>
      </c>
      <c r="D10806" s="38" t="str">
        <f>IFERROR(__xludf.DUMMYFUNCTION("REGEXREPLACE(C10806,""-\d+(.*)|--\d+(.*)"","""")"),"BEVILLE-LE-COMTE")</f>
        <v>BEVILLE-LE-COMTE</v>
      </c>
      <c r="E10806" s="38" t="s">
        <v>300</v>
      </c>
      <c r="F10806" s="38" t="s">
        <v>123</v>
      </c>
      <c r="G10806" s="49" t="str">
        <f t="shared" si="1"/>
        <v>28700</v>
      </c>
      <c r="H10806" s="49">
        <f t="shared" si="2"/>
        <v>28039</v>
      </c>
    </row>
    <row r="10807">
      <c r="A10807" s="48" t="s">
        <v>2761</v>
      </c>
      <c r="B10807" s="38">
        <v>7147.0</v>
      </c>
      <c r="C10807" s="38" t="s">
        <v>14831</v>
      </c>
      <c r="D10807" s="38" t="str">
        <f>IFERROR(__xludf.DUMMYFUNCTION("REGEXREPLACE(C10807,""-\d+(.*)|--\d+(.*)"","""")"),"MALARCE-SUR-LA-THINES")</f>
        <v>MALARCE-SUR-LA-THINES</v>
      </c>
      <c r="E10807" s="38" t="s">
        <v>144</v>
      </c>
      <c r="F10807" s="38" t="s">
        <v>102</v>
      </c>
      <c r="G10807" s="49" t="str">
        <f t="shared" si="1"/>
        <v>07140</v>
      </c>
      <c r="H10807" s="49" t="str">
        <f t="shared" si="2"/>
        <v>07147</v>
      </c>
    </row>
    <row r="10808">
      <c r="A10808" s="48" t="s">
        <v>4826</v>
      </c>
      <c r="B10808" s="38">
        <v>57076.0</v>
      </c>
      <c r="C10808" s="38" t="s">
        <v>14832</v>
      </c>
      <c r="D10808" s="38" t="str">
        <f>IFERROR(__xludf.DUMMYFUNCTION("REGEXREPLACE(C10808,""-\d+(.*)|--\d+(.*)"","""")"),"BEYREN-LES-SIERCK")</f>
        <v>BEYREN-LES-SIERCK</v>
      </c>
      <c r="E10808" s="38" t="s">
        <v>303</v>
      </c>
      <c r="F10808" s="38" t="s">
        <v>195</v>
      </c>
      <c r="G10808" s="49" t="str">
        <f t="shared" si="1"/>
        <v>57570</v>
      </c>
      <c r="H10808" s="49">
        <f t="shared" si="2"/>
        <v>57076</v>
      </c>
    </row>
    <row r="10809">
      <c r="A10809" s="48" t="s">
        <v>466</v>
      </c>
      <c r="B10809" s="38">
        <v>52378.0</v>
      </c>
      <c r="C10809" s="38" t="s">
        <v>14833</v>
      </c>
      <c r="D10809" s="38" t="str">
        <f>IFERROR(__xludf.DUMMYFUNCTION("REGEXREPLACE(C10809,""-\d+(.*)|--\d+(.*)"","""")"),"PAROY-SUR-SAULX")</f>
        <v>PAROY-SUR-SAULX</v>
      </c>
      <c r="E10809" s="38" t="s">
        <v>234</v>
      </c>
      <c r="F10809" s="38" t="s">
        <v>130</v>
      </c>
      <c r="G10809" s="49" t="str">
        <f t="shared" si="1"/>
        <v>52300</v>
      </c>
      <c r="H10809" s="49">
        <f t="shared" si="2"/>
        <v>52378</v>
      </c>
    </row>
    <row r="10810">
      <c r="A10810" s="48" t="s">
        <v>2469</v>
      </c>
      <c r="B10810" s="38">
        <v>8249.0</v>
      </c>
      <c r="C10810" s="38" t="s">
        <v>14834</v>
      </c>
      <c r="D10810" s="38" t="str">
        <f>IFERROR(__xludf.DUMMYFUNCTION("REGEXREPLACE(C10810,""-\d+(.*)|--\d+(.*)"","""")"),"LAVAL-MORENCY")</f>
        <v>LAVAL-MORENCY</v>
      </c>
      <c r="E10810" s="38" t="s">
        <v>327</v>
      </c>
      <c r="F10810" s="38" t="s">
        <v>130</v>
      </c>
      <c r="G10810" s="49" t="str">
        <f t="shared" si="1"/>
        <v>08150</v>
      </c>
      <c r="H10810" s="49" t="str">
        <f t="shared" si="2"/>
        <v>08249</v>
      </c>
    </row>
    <row r="10811">
      <c r="A10811" s="48" t="s">
        <v>5207</v>
      </c>
      <c r="B10811" s="38">
        <v>85182.0</v>
      </c>
      <c r="C10811" s="38" t="s">
        <v>14835</v>
      </c>
      <c r="D10811" s="38" t="str">
        <f>IFERROR(__xludf.DUMMYFUNCTION("REGEXREPLACE(C10811,""-\d+(.*)|--\d+(.*)"","""")"),"POUZAUGES")</f>
        <v>POUZAUGES</v>
      </c>
      <c r="E10811" s="38" t="s">
        <v>179</v>
      </c>
      <c r="F10811" s="38" t="s">
        <v>180</v>
      </c>
      <c r="G10811" s="49" t="str">
        <f t="shared" si="1"/>
        <v>85700</v>
      </c>
      <c r="H10811" s="49">
        <f t="shared" si="2"/>
        <v>85182</v>
      </c>
    </row>
    <row r="10812">
      <c r="A10812" s="48" t="s">
        <v>5555</v>
      </c>
      <c r="B10812" s="38">
        <v>82006.0</v>
      </c>
      <c r="C10812" s="38" t="s">
        <v>14836</v>
      </c>
      <c r="D10812" s="38" t="str">
        <f>IFERROR(__xludf.DUMMYFUNCTION("REGEXREPLACE(C10812,""-\d+(.*)|--\d+(.*)"","""")"),"AUTERIVE")</f>
        <v>AUTERIVE</v>
      </c>
      <c r="E10812" s="38" t="s">
        <v>570</v>
      </c>
      <c r="F10812" s="38" t="s">
        <v>94</v>
      </c>
      <c r="G10812" s="49" t="str">
        <f t="shared" si="1"/>
        <v>82500</v>
      </c>
      <c r="H10812" s="49">
        <f t="shared" si="2"/>
        <v>82006</v>
      </c>
    </row>
    <row r="10813">
      <c r="A10813" s="48" t="s">
        <v>14837</v>
      </c>
      <c r="B10813" s="38">
        <v>43109.0</v>
      </c>
      <c r="C10813" s="38" t="s">
        <v>14838</v>
      </c>
      <c r="D10813" s="38" t="str">
        <f>IFERROR(__xludf.DUMMYFUNCTION("REGEXREPLACE(C10813,""-\d+(.*)|--\d+(.*)"","""")"),"LAFARRE")</f>
        <v>LAFARRE</v>
      </c>
      <c r="E10813" s="38" t="s">
        <v>332</v>
      </c>
      <c r="F10813" s="38" t="s">
        <v>161</v>
      </c>
      <c r="G10813" s="49" t="str">
        <f t="shared" si="1"/>
        <v>43490</v>
      </c>
      <c r="H10813" s="49">
        <f t="shared" si="2"/>
        <v>43109</v>
      </c>
    </row>
    <row r="10814">
      <c r="A10814" s="48" t="s">
        <v>1989</v>
      </c>
      <c r="B10814" s="38">
        <v>60357.0</v>
      </c>
      <c r="C10814" s="38" t="s">
        <v>14839</v>
      </c>
      <c r="D10814" s="38" t="str">
        <f>IFERROR(__xludf.DUMMYFUNCTION("REGEXREPLACE(C10814,""-\d+(.*)|--\d+(.*)"","""")"),"LEGLANTIERS")</f>
        <v>LEGLANTIERS</v>
      </c>
      <c r="E10814" s="38" t="s">
        <v>112</v>
      </c>
      <c r="F10814" s="38" t="s">
        <v>113</v>
      </c>
      <c r="G10814" s="49" t="str">
        <f t="shared" si="1"/>
        <v>60420</v>
      </c>
      <c r="H10814" s="49">
        <f t="shared" si="2"/>
        <v>60357</v>
      </c>
    </row>
    <row r="10815">
      <c r="A10815" s="48" t="s">
        <v>14840</v>
      </c>
      <c r="B10815" s="38">
        <v>73133.0</v>
      </c>
      <c r="C10815" s="38" t="s">
        <v>12830</v>
      </c>
      <c r="D10815" s="38" t="str">
        <f>IFERROR(__xludf.DUMMYFUNCTION("REGEXREPLACE(C10815,""-\d+(.*)|--\d+(.*)"","""")"),"HAUTEVILLE")</f>
        <v>HAUTEVILLE</v>
      </c>
      <c r="E10815" s="38" t="s">
        <v>306</v>
      </c>
      <c r="F10815" s="38" t="s">
        <v>102</v>
      </c>
      <c r="G10815" s="49" t="str">
        <f t="shared" si="1"/>
        <v>73390</v>
      </c>
      <c r="H10815" s="49">
        <f t="shared" si="2"/>
        <v>73133</v>
      </c>
    </row>
    <row r="10816">
      <c r="A10816" s="48" t="s">
        <v>5330</v>
      </c>
      <c r="B10816" s="38">
        <v>30252.0</v>
      </c>
      <c r="C10816" s="38" t="s">
        <v>14841</v>
      </c>
      <c r="D10816" s="38" t="str">
        <f>IFERROR(__xludf.DUMMYFUNCTION("REGEXREPLACE(C10816,""-\d+(.*)|--\d+(.*)"","""")"),"SAINT-FELIX-DE-PALLIERES")</f>
        <v>SAINT-FELIX-DE-PALLIERES</v>
      </c>
      <c r="E10816" s="38" t="s">
        <v>526</v>
      </c>
      <c r="F10816" s="38" t="s">
        <v>119</v>
      </c>
      <c r="G10816" s="49" t="str">
        <f t="shared" si="1"/>
        <v>30140</v>
      </c>
      <c r="H10816" s="49">
        <f t="shared" si="2"/>
        <v>30252</v>
      </c>
    </row>
    <row r="10817">
      <c r="A10817" s="48" t="s">
        <v>2868</v>
      </c>
      <c r="B10817" s="38">
        <v>80517.0</v>
      </c>
      <c r="C10817" s="38" t="s">
        <v>14842</v>
      </c>
      <c r="D10817" s="38" t="str">
        <f>IFERROR(__xludf.DUMMYFUNCTION("REGEXREPLACE(C10817,""-\d+(.*)|--\d+(.*)"","""")"),"MARQUIVILLERS")</f>
        <v>MARQUIVILLERS</v>
      </c>
      <c r="E10817" s="38" t="s">
        <v>224</v>
      </c>
      <c r="F10817" s="38" t="s">
        <v>113</v>
      </c>
      <c r="G10817" s="49" t="str">
        <f t="shared" si="1"/>
        <v>80700</v>
      </c>
      <c r="H10817" s="49">
        <f t="shared" si="2"/>
        <v>80517</v>
      </c>
    </row>
    <row r="10818">
      <c r="A10818" s="48" t="s">
        <v>11086</v>
      </c>
      <c r="B10818" s="38">
        <v>7310.0</v>
      </c>
      <c r="C10818" s="38" t="s">
        <v>14843</v>
      </c>
      <c r="D10818" s="38" t="str">
        <f>IFERROR(__xludf.DUMMYFUNCTION("REGEXREPLACE(C10818,""-\d+(.*)|--\d+(.*)"","""")"),"SAVAS")</f>
        <v>SAVAS</v>
      </c>
      <c r="E10818" s="38" t="s">
        <v>144</v>
      </c>
      <c r="F10818" s="38" t="s">
        <v>102</v>
      </c>
      <c r="G10818" s="49" t="str">
        <f t="shared" si="1"/>
        <v>07430</v>
      </c>
      <c r="H10818" s="49" t="str">
        <f t="shared" si="2"/>
        <v>07310</v>
      </c>
    </row>
    <row r="10819">
      <c r="A10819" s="48" t="s">
        <v>14844</v>
      </c>
      <c r="B10819" s="38">
        <v>93059.0</v>
      </c>
      <c r="C10819" s="38" t="s">
        <v>14845</v>
      </c>
      <c r="D10819" s="38" t="str">
        <f>IFERROR(__xludf.DUMMYFUNCTION("REGEXREPLACE(C10819,""-\d+(.*)|--\d+(.*)"","""")"),"PIERREFITTE-SUR-SEINE")</f>
        <v>PIERREFITTE-SUR-SEINE</v>
      </c>
      <c r="E10819" s="38" t="s">
        <v>341</v>
      </c>
      <c r="F10819" s="38" t="s">
        <v>245</v>
      </c>
      <c r="G10819" s="49" t="str">
        <f t="shared" si="1"/>
        <v>93380</v>
      </c>
      <c r="H10819" s="49">
        <f t="shared" si="2"/>
        <v>93059</v>
      </c>
    </row>
    <row r="10820">
      <c r="A10820" s="48" t="s">
        <v>8336</v>
      </c>
      <c r="B10820" s="38">
        <v>85123.0</v>
      </c>
      <c r="C10820" s="38" t="s">
        <v>7939</v>
      </c>
      <c r="D10820" s="38" t="str">
        <f>IFERROR(__xludf.DUMMYFUNCTION("REGEXREPLACE(C10820,""-\d+(.*)|--\d+(.*)"","""")"),"LIEZ")</f>
        <v>LIEZ</v>
      </c>
      <c r="E10820" s="38" t="s">
        <v>179</v>
      </c>
      <c r="F10820" s="38" t="s">
        <v>180</v>
      </c>
      <c r="G10820" s="49" t="str">
        <f t="shared" si="1"/>
        <v>85420</v>
      </c>
      <c r="H10820" s="49">
        <f t="shared" si="2"/>
        <v>85123</v>
      </c>
    </row>
    <row r="10821">
      <c r="A10821" s="48" t="s">
        <v>301</v>
      </c>
      <c r="B10821" s="38">
        <v>57133.0</v>
      </c>
      <c r="C10821" s="38" t="s">
        <v>14846</v>
      </c>
      <c r="D10821" s="38" t="str">
        <f>IFERROR(__xludf.DUMMYFUNCTION("REGEXREPLACE(C10821,""-\d+(.*)|--\d+(.*)"","""")"),"CHATEAU-VOUE")</f>
        <v>CHATEAU-VOUE</v>
      </c>
      <c r="E10821" s="38" t="s">
        <v>303</v>
      </c>
      <c r="F10821" s="38" t="s">
        <v>195</v>
      </c>
      <c r="G10821" s="49" t="str">
        <f t="shared" si="1"/>
        <v>57170</v>
      </c>
      <c r="H10821" s="49">
        <f t="shared" si="2"/>
        <v>57133</v>
      </c>
    </row>
    <row r="10822">
      <c r="A10822" s="48" t="s">
        <v>5603</v>
      </c>
      <c r="B10822" s="38">
        <v>41108.0</v>
      </c>
      <c r="C10822" s="38" t="s">
        <v>14847</v>
      </c>
      <c r="D10822" s="38" t="str">
        <f>IFERROR(__xludf.DUMMYFUNCTION("REGEXREPLACE(C10822,""-\d+(.*)|--\d+(.*)"","""")"),"LANCOME")</f>
        <v>LANCOME</v>
      </c>
      <c r="E10822" s="38" t="s">
        <v>188</v>
      </c>
      <c r="F10822" s="38" t="s">
        <v>123</v>
      </c>
      <c r="G10822" s="49" t="str">
        <f t="shared" si="1"/>
        <v>41190</v>
      </c>
      <c r="H10822" s="49">
        <f t="shared" si="2"/>
        <v>41108</v>
      </c>
    </row>
    <row r="10823">
      <c r="A10823" s="48" t="s">
        <v>4032</v>
      </c>
      <c r="B10823" s="38">
        <v>17070.0</v>
      </c>
      <c r="C10823" s="38" t="s">
        <v>14848</v>
      </c>
      <c r="D10823" s="38" t="str">
        <f>IFERROR(__xludf.DUMMYFUNCTION("REGEXREPLACE(C10823,""-\d+(.*)|--\d+(.*)"","""")"),"BRIZAMBOURG")</f>
        <v>BRIZAMBOURG</v>
      </c>
      <c r="E10823" s="38" t="s">
        <v>488</v>
      </c>
      <c r="F10823" s="38" t="s">
        <v>338</v>
      </c>
      <c r="G10823" s="49" t="str">
        <f t="shared" si="1"/>
        <v>17770</v>
      </c>
      <c r="H10823" s="49">
        <f t="shared" si="2"/>
        <v>17070</v>
      </c>
    </row>
    <row r="10824">
      <c r="A10824" s="48" t="s">
        <v>3182</v>
      </c>
      <c r="B10824" s="38">
        <v>80812.0</v>
      </c>
      <c r="C10824" s="38" t="s">
        <v>14849</v>
      </c>
      <c r="D10824" s="38" t="str">
        <f>IFERROR(__xludf.DUMMYFUNCTION("REGEXREPLACE(C10824,""-\d+(.*)|--\d+(.*)"","""")"),"VRAIGNES-EN-VERMANDOIS")</f>
        <v>VRAIGNES-EN-VERMANDOIS</v>
      </c>
      <c r="E10824" s="38" t="s">
        <v>224</v>
      </c>
      <c r="F10824" s="38" t="s">
        <v>113</v>
      </c>
      <c r="G10824" s="49" t="str">
        <f t="shared" si="1"/>
        <v>80240</v>
      </c>
      <c r="H10824" s="49">
        <f t="shared" si="2"/>
        <v>80812</v>
      </c>
    </row>
    <row r="10825">
      <c r="A10825" s="48" t="s">
        <v>6016</v>
      </c>
      <c r="B10825" s="38">
        <v>57371.0</v>
      </c>
      <c r="C10825" s="38" t="s">
        <v>14850</v>
      </c>
      <c r="D10825" s="38" t="str">
        <f>IFERROR(__xludf.DUMMYFUNCTION("REGEXREPLACE(C10825,""-\d+(.*)|--\d+(.*)"","""")"),"HAUTE-KONTZ")</f>
        <v>HAUTE-KONTZ</v>
      </c>
      <c r="E10825" s="38" t="s">
        <v>303</v>
      </c>
      <c r="F10825" s="38" t="s">
        <v>195</v>
      </c>
      <c r="G10825" s="49" t="str">
        <f t="shared" si="1"/>
        <v>57480</v>
      </c>
      <c r="H10825" s="49">
        <f t="shared" si="2"/>
        <v>57371</v>
      </c>
    </row>
    <row r="10826">
      <c r="A10826" s="48" t="s">
        <v>9044</v>
      </c>
      <c r="B10826" s="38">
        <v>32429.0</v>
      </c>
      <c r="C10826" s="38" t="s">
        <v>14851</v>
      </c>
      <c r="D10826" s="38" t="str">
        <f>IFERROR(__xludf.DUMMYFUNCTION("REGEXREPLACE(C10826,""-\d+(.*)|--\d+(.*)"","""")"),"SEMPESSERRE")</f>
        <v>SEMPESSERRE</v>
      </c>
      <c r="E10826" s="38" t="s">
        <v>440</v>
      </c>
      <c r="F10826" s="38" t="s">
        <v>94</v>
      </c>
      <c r="G10826" s="49" t="str">
        <f t="shared" si="1"/>
        <v>32700</v>
      </c>
      <c r="H10826" s="49">
        <f t="shared" si="2"/>
        <v>32429</v>
      </c>
    </row>
    <row r="10827">
      <c r="A10827" s="48" t="s">
        <v>3172</v>
      </c>
      <c r="B10827" s="38">
        <v>28126.0</v>
      </c>
      <c r="C10827" s="38" t="s">
        <v>14852</v>
      </c>
      <c r="D10827" s="38" t="str">
        <f>IFERROR(__xludf.DUMMYFUNCTION("REGEXREPLACE(C10827,""-\d+(.*)|--\d+(.*)"","""")"),"DANCY")</f>
        <v>DANCY</v>
      </c>
      <c r="E10827" s="38" t="s">
        <v>300</v>
      </c>
      <c r="F10827" s="38" t="s">
        <v>123</v>
      </c>
      <c r="G10827" s="49" t="str">
        <f t="shared" si="1"/>
        <v>28800</v>
      </c>
      <c r="H10827" s="49">
        <f t="shared" si="2"/>
        <v>28126</v>
      </c>
    </row>
    <row r="10828">
      <c r="A10828" s="48" t="s">
        <v>9769</v>
      </c>
      <c r="B10828" s="38">
        <v>46104.0</v>
      </c>
      <c r="C10828" s="38" t="s">
        <v>14853</v>
      </c>
      <c r="D10828" s="38" t="str">
        <f>IFERROR(__xludf.DUMMYFUNCTION("REGEXREPLACE(C10828,""-\d+(.*)|--\d+(.*)"","""")"),"FLAUJAC-GARE")</f>
        <v>FLAUJAC-GARE</v>
      </c>
      <c r="E10828" s="38" t="s">
        <v>185</v>
      </c>
      <c r="F10828" s="38" t="s">
        <v>94</v>
      </c>
      <c r="G10828" s="49" t="str">
        <f t="shared" si="1"/>
        <v>46320</v>
      </c>
      <c r="H10828" s="49">
        <f t="shared" si="2"/>
        <v>46104</v>
      </c>
    </row>
    <row r="10829">
      <c r="A10829" s="48" t="s">
        <v>9334</v>
      </c>
      <c r="B10829" s="38">
        <v>62746.0</v>
      </c>
      <c r="C10829" s="38" t="s">
        <v>14854</v>
      </c>
      <c r="D10829" s="38" t="str">
        <f>IFERROR(__xludf.DUMMYFUNCTION("REGEXREPLACE(C10829,""-\d+(.*)|--\d+(.*)"","""")"),"SAINT-ETIENNE-AU-MONT")</f>
        <v>SAINT-ETIENNE-AU-MONT</v>
      </c>
      <c r="E10829" s="38" t="s">
        <v>109</v>
      </c>
      <c r="F10829" s="38" t="s">
        <v>86</v>
      </c>
      <c r="G10829" s="49" t="str">
        <f t="shared" si="1"/>
        <v>62360</v>
      </c>
      <c r="H10829" s="49">
        <f t="shared" si="2"/>
        <v>62746</v>
      </c>
    </row>
    <row r="10830">
      <c r="A10830" s="48" t="s">
        <v>7501</v>
      </c>
      <c r="B10830" s="38">
        <v>9324.0</v>
      </c>
      <c r="C10830" s="38" t="s">
        <v>14855</v>
      </c>
      <c r="D10830" s="38" t="str">
        <f>IFERROR(__xludf.DUMMYFUNCTION("REGEXREPLACE(C10830,""-\d+(.*)|--\d+(.*)"","""")"),"VARILHES")</f>
        <v>VARILHES</v>
      </c>
      <c r="E10830" s="38" t="s">
        <v>238</v>
      </c>
      <c r="F10830" s="38" t="s">
        <v>94</v>
      </c>
      <c r="G10830" s="49" t="str">
        <f t="shared" si="1"/>
        <v>09120</v>
      </c>
      <c r="H10830" s="49" t="str">
        <f t="shared" si="2"/>
        <v>09324</v>
      </c>
    </row>
    <row r="10831">
      <c r="A10831" s="48" t="s">
        <v>9772</v>
      </c>
      <c r="B10831" s="38">
        <v>25042.0</v>
      </c>
      <c r="C10831" s="38" t="s">
        <v>14856</v>
      </c>
      <c r="D10831" s="38" t="str">
        <f>IFERROR(__xludf.DUMMYFUNCTION("REGEXREPLACE(C10831,""-\d+(.*)|--\d+(.*)"","""")"),"LE BARBOUX")</f>
        <v>LE BARBOUX</v>
      </c>
      <c r="E10831" s="38" t="s">
        <v>213</v>
      </c>
      <c r="F10831" s="38" t="s">
        <v>214</v>
      </c>
      <c r="G10831" s="49" t="str">
        <f t="shared" si="1"/>
        <v>25210</v>
      </c>
      <c r="H10831" s="49">
        <f t="shared" si="2"/>
        <v>25042</v>
      </c>
    </row>
    <row r="10832">
      <c r="A10832" s="48" t="s">
        <v>2004</v>
      </c>
      <c r="B10832" s="38">
        <v>88118.0</v>
      </c>
      <c r="C10832" s="38" t="s">
        <v>14857</v>
      </c>
      <c r="D10832" s="38" t="str">
        <f>IFERROR(__xludf.DUMMYFUNCTION("REGEXREPLACE(C10832,""-\d+(.*)|--\d+(.*)"","""")"),"COUSSEY")</f>
        <v>COUSSEY</v>
      </c>
      <c r="E10832" s="38" t="s">
        <v>194</v>
      </c>
      <c r="F10832" s="38" t="s">
        <v>195</v>
      </c>
      <c r="G10832" s="49" t="str">
        <f t="shared" si="1"/>
        <v>88630</v>
      </c>
      <c r="H10832" s="49">
        <f t="shared" si="2"/>
        <v>88118</v>
      </c>
    </row>
    <row r="10833">
      <c r="A10833" s="48" t="s">
        <v>4181</v>
      </c>
      <c r="B10833" s="38">
        <v>89197.0</v>
      </c>
      <c r="C10833" s="38" t="s">
        <v>14858</v>
      </c>
      <c r="D10833" s="38" t="str">
        <f>IFERROR(__xludf.DUMMYFUNCTION("REGEXREPLACE(C10833,""-\d+(.*)|--\d+(.*)"","""")"),"GUILLON")</f>
        <v>GUILLON</v>
      </c>
      <c r="E10833" s="38" t="s">
        <v>275</v>
      </c>
      <c r="F10833" s="38" t="s">
        <v>106</v>
      </c>
      <c r="G10833" s="49" t="str">
        <f t="shared" si="1"/>
        <v>89420</v>
      </c>
      <c r="H10833" s="49">
        <f t="shared" si="2"/>
        <v>89197</v>
      </c>
    </row>
    <row r="10834">
      <c r="A10834" s="48" t="s">
        <v>14859</v>
      </c>
      <c r="B10834" s="38">
        <v>59413.0</v>
      </c>
      <c r="C10834" s="38" t="s">
        <v>14860</v>
      </c>
      <c r="D10834" s="38" t="str">
        <f>IFERROR(__xludf.DUMMYFUNCTION("REGEXREPLACE(C10834,""-\d+(.*)|--\d+(.*)"","""")"),"MONTIGNY-EN-CAMBRESIS")</f>
        <v>MONTIGNY-EN-CAMBRESIS</v>
      </c>
      <c r="E10834" s="38" t="s">
        <v>85</v>
      </c>
      <c r="F10834" s="38" t="s">
        <v>86</v>
      </c>
      <c r="G10834" s="49" t="str">
        <f t="shared" si="1"/>
        <v>59225</v>
      </c>
      <c r="H10834" s="49">
        <f t="shared" si="2"/>
        <v>59413</v>
      </c>
    </row>
    <row r="10835">
      <c r="A10835" s="48" t="s">
        <v>9944</v>
      </c>
      <c r="B10835" s="38">
        <v>71454.0</v>
      </c>
      <c r="C10835" s="38" t="s">
        <v>11377</v>
      </c>
      <c r="D10835" s="38" t="str">
        <f>IFERROR(__xludf.DUMMYFUNCTION("REGEXREPLACE(C10835,""-\d+(.*)|--\d+(.*)"","""")"),"SAINT-MARTIN-DU-MONT")</f>
        <v>SAINT-MARTIN-DU-MONT</v>
      </c>
      <c r="E10835" s="38" t="s">
        <v>344</v>
      </c>
      <c r="F10835" s="38" t="s">
        <v>106</v>
      </c>
      <c r="G10835" s="49" t="str">
        <f t="shared" si="1"/>
        <v>71580</v>
      </c>
      <c r="H10835" s="49">
        <f t="shared" si="2"/>
        <v>71454</v>
      </c>
    </row>
    <row r="10836">
      <c r="A10836" s="48" t="s">
        <v>8829</v>
      </c>
      <c r="B10836" s="38">
        <v>63423.0</v>
      </c>
      <c r="C10836" s="38" t="s">
        <v>14861</v>
      </c>
      <c r="D10836" s="38" t="str">
        <f>IFERROR(__xludf.DUMMYFUNCTION("REGEXREPLACE(C10836,""-\d+(.*)|--\d+(.*)"","""")"),"SUGERES")</f>
        <v>SUGERES</v>
      </c>
      <c r="E10836" s="38" t="s">
        <v>353</v>
      </c>
      <c r="F10836" s="38" t="s">
        <v>161</v>
      </c>
      <c r="G10836" s="49" t="str">
        <f t="shared" si="1"/>
        <v>63490</v>
      </c>
      <c r="H10836" s="49">
        <f t="shared" si="2"/>
        <v>63423</v>
      </c>
    </row>
    <row r="10837">
      <c r="A10837" s="48" t="s">
        <v>2254</v>
      </c>
      <c r="B10837" s="38">
        <v>62144.0</v>
      </c>
      <c r="C10837" s="38" t="s">
        <v>14862</v>
      </c>
      <c r="D10837" s="38" t="str">
        <f>IFERROR(__xludf.DUMMYFUNCTION("REGEXREPLACE(C10837,""-\d+(.*)|--\d+(.*)"","""")"),"BOIRY-BECQUERELLE")</f>
        <v>BOIRY-BECQUERELLE</v>
      </c>
      <c r="E10837" s="38" t="s">
        <v>109</v>
      </c>
      <c r="F10837" s="38" t="s">
        <v>86</v>
      </c>
      <c r="G10837" s="49" t="str">
        <f t="shared" si="1"/>
        <v>62128</v>
      </c>
      <c r="H10837" s="49">
        <f t="shared" si="2"/>
        <v>62144</v>
      </c>
    </row>
    <row r="10838">
      <c r="A10838" s="48" t="s">
        <v>1984</v>
      </c>
      <c r="B10838" s="38">
        <v>76743.0</v>
      </c>
      <c r="C10838" s="38" t="s">
        <v>14863</v>
      </c>
      <c r="D10838" s="38" t="str">
        <f>IFERROR(__xludf.DUMMYFUNCTION("REGEXREPLACE(C10838,""-\d+(.*)|--\d+(.*)"","""")"),"VILLERS-ECALLES")</f>
        <v>VILLERS-ECALLES</v>
      </c>
      <c r="E10838" s="38" t="s">
        <v>133</v>
      </c>
      <c r="F10838" s="38" t="s">
        <v>134</v>
      </c>
      <c r="G10838" s="49" t="str">
        <f t="shared" si="1"/>
        <v>76360</v>
      </c>
      <c r="H10838" s="49">
        <f t="shared" si="2"/>
        <v>76743</v>
      </c>
    </row>
    <row r="10839">
      <c r="A10839" s="48" t="s">
        <v>3681</v>
      </c>
      <c r="B10839" s="38">
        <v>39390.0</v>
      </c>
      <c r="C10839" s="38" t="s">
        <v>14864</v>
      </c>
      <c r="D10839" s="38" t="str">
        <f>IFERROR(__xludf.DUMMYFUNCTION("REGEXREPLACE(C10839,""-\d+(.*)|--\d+(.*)"","""")"),"NOGNA")</f>
        <v>NOGNA</v>
      </c>
      <c r="E10839" s="38" t="s">
        <v>400</v>
      </c>
      <c r="F10839" s="38" t="s">
        <v>214</v>
      </c>
      <c r="G10839" s="49" t="str">
        <f t="shared" si="1"/>
        <v>39570</v>
      </c>
      <c r="H10839" s="49">
        <f t="shared" si="2"/>
        <v>39390</v>
      </c>
    </row>
    <row r="10840">
      <c r="A10840" s="48" t="s">
        <v>1056</v>
      </c>
      <c r="B10840" s="38">
        <v>11039.0</v>
      </c>
      <c r="C10840" s="38" t="s">
        <v>14865</v>
      </c>
      <c r="D10840" s="38" t="str">
        <f>IFERROR(__xludf.DUMMYFUNCTION("REGEXREPLACE(C10840,""-\d+(.*)|--\d+(.*)"","""")"),"LA BEZOLE")</f>
        <v>LA BEZOLE</v>
      </c>
      <c r="E10840" s="38" t="s">
        <v>278</v>
      </c>
      <c r="F10840" s="38" t="s">
        <v>119</v>
      </c>
      <c r="G10840" s="49" t="str">
        <f t="shared" si="1"/>
        <v>11300</v>
      </c>
      <c r="H10840" s="49">
        <f t="shared" si="2"/>
        <v>11039</v>
      </c>
    </row>
    <row r="10841">
      <c r="A10841" s="48" t="s">
        <v>2419</v>
      </c>
      <c r="B10841" s="38">
        <v>58153.0</v>
      </c>
      <c r="C10841" s="38" t="s">
        <v>14866</v>
      </c>
      <c r="D10841" s="38" t="str">
        <f>IFERROR(__xludf.DUMMYFUNCTION("REGEXREPLACE(C10841,""-\d+(.*)|--\d+(.*)"","""")"),"MAGNY-LORMES")</f>
        <v>MAGNY-LORMES</v>
      </c>
      <c r="E10841" s="38" t="s">
        <v>219</v>
      </c>
      <c r="F10841" s="38" t="s">
        <v>106</v>
      </c>
      <c r="G10841" s="49" t="str">
        <f t="shared" si="1"/>
        <v>58800</v>
      </c>
      <c r="H10841" s="49">
        <f t="shared" si="2"/>
        <v>58153</v>
      </c>
    </row>
    <row r="10842">
      <c r="A10842" s="48" t="s">
        <v>14867</v>
      </c>
      <c r="B10842" s="38">
        <v>49341.0</v>
      </c>
      <c r="C10842" s="38" t="s">
        <v>14868</v>
      </c>
      <c r="D10842" s="38" t="str">
        <f>IFERROR(__xludf.DUMMYFUNCTION("REGEXREPLACE(C10842,""-\d+(.*)|--\d+(.*)"","""")"),"SOUZAY-CHAMPIGNY")</f>
        <v>SOUZAY-CHAMPIGNY</v>
      </c>
      <c r="E10842" s="38" t="s">
        <v>653</v>
      </c>
      <c r="F10842" s="38" t="s">
        <v>180</v>
      </c>
      <c r="G10842" s="49" t="str">
        <f t="shared" si="1"/>
        <v>49400</v>
      </c>
      <c r="H10842" s="49">
        <f t="shared" si="2"/>
        <v>49341</v>
      </c>
    </row>
    <row r="10843">
      <c r="A10843" s="48" t="s">
        <v>14869</v>
      </c>
      <c r="B10843" s="38">
        <v>87126.0</v>
      </c>
      <c r="C10843" s="38" t="s">
        <v>14870</v>
      </c>
      <c r="D10843" s="38" t="str">
        <f>IFERROR(__xludf.DUMMYFUNCTION("REGEXREPLACE(C10843,""-\d+(.*)|--\d+(.*)"","""")"),"ROCHECHOUART")</f>
        <v>ROCHECHOUART</v>
      </c>
      <c r="E10843" s="38" t="s">
        <v>897</v>
      </c>
      <c r="F10843" s="38" t="s">
        <v>98</v>
      </c>
      <c r="G10843" s="49" t="str">
        <f t="shared" si="1"/>
        <v>87600</v>
      </c>
      <c r="H10843" s="49">
        <f t="shared" si="2"/>
        <v>87126</v>
      </c>
    </row>
    <row r="10844">
      <c r="A10844" s="48" t="s">
        <v>1426</v>
      </c>
      <c r="B10844" s="38">
        <v>61277.0</v>
      </c>
      <c r="C10844" s="38" t="s">
        <v>14871</v>
      </c>
      <c r="D10844" s="38" t="str">
        <f>IFERROR(__xludf.DUMMYFUNCTION("REGEXREPLACE(C10844,""-\d+(.*)|--\d+(.*)"","""")"),"LA MESNIERE")</f>
        <v>LA MESNIERE</v>
      </c>
      <c r="E10844" s="38" t="s">
        <v>141</v>
      </c>
      <c r="F10844" s="38" t="s">
        <v>138</v>
      </c>
      <c r="G10844" s="49" t="str">
        <f t="shared" si="1"/>
        <v>61560</v>
      </c>
      <c r="H10844" s="49">
        <f t="shared" si="2"/>
        <v>61277</v>
      </c>
    </row>
    <row r="10845">
      <c r="A10845" s="48" t="s">
        <v>4469</v>
      </c>
      <c r="B10845" s="38">
        <v>83029.0</v>
      </c>
      <c r="C10845" s="38" t="s">
        <v>7289</v>
      </c>
      <c r="D10845" s="38" t="str">
        <f>IFERROR(__xludf.DUMMYFUNCTION("REGEXREPLACE(C10845,""-\d+(.*)|--\d+(.*)"","""")"),"CALLIAN")</f>
        <v>CALLIAN</v>
      </c>
      <c r="E10845" s="38" t="s">
        <v>813</v>
      </c>
      <c r="F10845" s="38" t="s">
        <v>228</v>
      </c>
      <c r="G10845" s="49" t="str">
        <f t="shared" si="1"/>
        <v>83440</v>
      </c>
      <c r="H10845" s="49">
        <f t="shared" si="2"/>
        <v>83029</v>
      </c>
    </row>
    <row r="10846">
      <c r="A10846" s="48" t="s">
        <v>860</v>
      </c>
      <c r="B10846" s="38">
        <v>80142.0</v>
      </c>
      <c r="C10846" s="38" t="s">
        <v>14872</v>
      </c>
      <c r="D10846" s="38" t="str">
        <f>IFERROR(__xludf.DUMMYFUNCTION("REGEXREPLACE(C10846,""-\d+(.*)|--\d+(.*)"","""")"),"BRIQUEMESNIL-FLOXICOURT")</f>
        <v>BRIQUEMESNIL-FLOXICOURT</v>
      </c>
      <c r="E10846" s="38" t="s">
        <v>224</v>
      </c>
      <c r="F10846" s="38" t="s">
        <v>113</v>
      </c>
      <c r="G10846" s="49" t="str">
        <f t="shared" si="1"/>
        <v>80540</v>
      </c>
      <c r="H10846" s="49">
        <f t="shared" si="2"/>
        <v>80142</v>
      </c>
    </row>
    <row r="10847">
      <c r="A10847" s="48" t="s">
        <v>2243</v>
      </c>
      <c r="B10847" s="38">
        <v>17138.0</v>
      </c>
      <c r="C10847" s="38" t="s">
        <v>14873</v>
      </c>
      <c r="D10847" s="38" t="str">
        <f>IFERROR(__xludf.DUMMYFUNCTION("REGEXREPLACE(C10847,""-\d+(.*)|--\d+(.*)"","""")"),"DAMPIERRE-SUR-BOUTONNE")</f>
        <v>DAMPIERRE-SUR-BOUTONNE</v>
      </c>
      <c r="E10847" s="38" t="s">
        <v>488</v>
      </c>
      <c r="F10847" s="38" t="s">
        <v>338</v>
      </c>
      <c r="G10847" s="49" t="str">
        <f t="shared" si="1"/>
        <v>17470</v>
      </c>
      <c r="H10847" s="49">
        <f t="shared" si="2"/>
        <v>17138</v>
      </c>
    </row>
    <row r="10848">
      <c r="A10848" s="48" t="s">
        <v>1074</v>
      </c>
      <c r="B10848" s="38">
        <v>27693.0</v>
      </c>
      <c r="C10848" s="38" t="s">
        <v>14874</v>
      </c>
      <c r="D10848" s="38" t="str">
        <f>IFERROR(__xludf.DUMMYFUNCTION("REGEXREPLACE(C10848,""-\d+(.*)|--\d+(.*)"","""")"),"SYLVAINS-LES-MOULINS")</f>
        <v>SYLVAINS-LES-MOULINS</v>
      </c>
      <c r="E10848" s="38" t="s">
        <v>241</v>
      </c>
      <c r="F10848" s="38" t="s">
        <v>134</v>
      </c>
      <c r="G10848" s="49" t="str">
        <f t="shared" si="1"/>
        <v>27240</v>
      </c>
      <c r="H10848" s="49">
        <f t="shared" si="2"/>
        <v>27693</v>
      </c>
    </row>
    <row r="10849">
      <c r="A10849" s="48" t="s">
        <v>1364</v>
      </c>
      <c r="B10849" s="38">
        <v>64232.0</v>
      </c>
      <c r="C10849" s="38" t="s">
        <v>14875</v>
      </c>
      <c r="D10849" s="38" t="str">
        <f>IFERROR(__xludf.DUMMYFUNCTION("REGEXREPLACE(C10849,""-\d+(.*)|--\d+(.*)"","""")"),"GARLEDE-MONDEBAT")</f>
        <v>GARLEDE-MONDEBAT</v>
      </c>
      <c r="E10849" s="38" t="s">
        <v>268</v>
      </c>
      <c r="F10849" s="38" t="s">
        <v>252</v>
      </c>
      <c r="G10849" s="49" t="str">
        <f t="shared" si="1"/>
        <v>64450</v>
      </c>
      <c r="H10849" s="49">
        <f t="shared" si="2"/>
        <v>64232</v>
      </c>
    </row>
    <row r="10850">
      <c r="A10850" s="48" t="s">
        <v>8678</v>
      </c>
      <c r="B10850" s="38">
        <v>65401.0</v>
      </c>
      <c r="C10850" s="38" t="s">
        <v>14876</v>
      </c>
      <c r="D10850" s="38" t="str">
        <f>IFERROR(__xludf.DUMMYFUNCTION("REGEXREPLACE(C10850,""-\d+(.*)|--\d+(.*)"","""")"),"SALLES-ADOUR")</f>
        <v>SALLES-ADOUR</v>
      </c>
      <c r="E10850" s="38" t="s">
        <v>200</v>
      </c>
      <c r="F10850" s="38" t="s">
        <v>94</v>
      </c>
      <c r="G10850" s="49" t="str">
        <f t="shared" si="1"/>
        <v>65360</v>
      </c>
      <c r="H10850" s="49">
        <f t="shared" si="2"/>
        <v>65401</v>
      </c>
    </row>
    <row r="10851">
      <c r="A10851" s="48" t="s">
        <v>6099</v>
      </c>
      <c r="B10851" s="38">
        <v>59215.0</v>
      </c>
      <c r="C10851" s="38" t="s">
        <v>14877</v>
      </c>
      <c r="D10851" s="38" t="str">
        <f>IFERROR(__xludf.DUMMYFUNCTION("REGEXREPLACE(C10851,""-\d+(.*)|--\d+(.*)"","""")"),"ESTREUX")</f>
        <v>ESTREUX</v>
      </c>
      <c r="E10851" s="38" t="s">
        <v>85</v>
      </c>
      <c r="F10851" s="38" t="s">
        <v>86</v>
      </c>
      <c r="G10851" s="49" t="str">
        <f t="shared" si="1"/>
        <v>59990</v>
      </c>
      <c r="H10851" s="49">
        <f t="shared" si="2"/>
        <v>59215</v>
      </c>
    </row>
    <row r="10852">
      <c r="A10852" s="48" t="s">
        <v>5806</v>
      </c>
      <c r="B10852" s="38">
        <v>39572.0</v>
      </c>
      <c r="C10852" s="38" t="s">
        <v>14878</v>
      </c>
      <c r="D10852" s="38" t="str">
        <f>IFERROR(__xludf.DUMMYFUNCTION("REGEXREPLACE(C10852,""-\d+(.*)|--\d+(.*)"","""")"),"VILLETTE-LES-ARBOIS")</f>
        <v>VILLETTE-LES-ARBOIS</v>
      </c>
      <c r="E10852" s="38" t="s">
        <v>400</v>
      </c>
      <c r="F10852" s="38" t="s">
        <v>214</v>
      </c>
      <c r="G10852" s="49" t="str">
        <f t="shared" si="1"/>
        <v>39600</v>
      </c>
      <c r="H10852" s="49">
        <f t="shared" si="2"/>
        <v>39572</v>
      </c>
    </row>
    <row r="10853">
      <c r="A10853" s="48" t="s">
        <v>2995</v>
      </c>
      <c r="B10853" s="38">
        <v>28261.0</v>
      </c>
      <c r="C10853" s="38" t="s">
        <v>14879</v>
      </c>
      <c r="D10853" s="38" t="str">
        <f>IFERROR(__xludf.DUMMYFUNCTION("REGEXREPLACE(C10853,""-\d+(.*)|--\d+(.*)"","""")"),"MONTIGNY-LE-CHARTIF")</f>
        <v>MONTIGNY-LE-CHARTIF</v>
      </c>
      <c r="E10853" s="38" t="s">
        <v>300</v>
      </c>
      <c r="F10853" s="38" t="s">
        <v>123</v>
      </c>
      <c r="G10853" s="49" t="str">
        <f t="shared" si="1"/>
        <v>28120</v>
      </c>
      <c r="H10853" s="49">
        <f t="shared" si="2"/>
        <v>28261</v>
      </c>
    </row>
    <row r="10854">
      <c r="A10854" s="48" t="s">
        <v>13636</v>
      </c>
      <c r="B10854" s="38">
        <v>57049.0</v>
      </c>
      <c r="C10854" s="38" t="s">
        <v>14880</v>
      </c>
      <c r="D10854" s="38" t="str">
        <f>IFERROR(__xludf.DUMMYFUNCTION("REGEXREPLACE(C10854,""-\d+(.*)|--\d+(.*)"","""")"),"LE BAN-SAINT-MARTIN")</f>
        <v>LE BAN-SAINT-MARTIN</v>
      </c>
      <c r="E10854" s="38" t="s">
        <v>303</v>
      </c>
      <c r="F10854" s="38" t="s">
        <v>195</v>
      </c>
      <c r="G10854" s="49" t="str">
        <f t="shared" si="1"/>
        <v>57050</v>
      </c>
      <c r="H10854" s="49">
        <f t="shared" si="2"/>
        <v>57049</v>
      </c>
    </row>
    <row r="10855">
      <c r="A10855" s="48" t="s">
        <v>7680</v>
      </c>
      <c r="B10855" s="38">
        <v>71396.0</v>
      </c>
      <c r="C10855" s="38" t="s">
        <v>14881</v>
      </c>
      <c r="D10855" s="38" t="str">
        <f>IFERROR(__xludf.DUMMYFUNCTION("REGEXREPLACE(C10855,""-\d+(.*)|--\d+(.*)"","""")"),"SAINT-BONNET-EN-BRESSE")</f>
        <v>SAINT-BONNET-EN-BRESSE</v>
      </c>
      <c r="E10855" s="38" t="s">
        <v>344</v>
      </c>
      <c r="F10855" s="38" t="s">
        <v>106</v>
      </c>
      <c r="G10855" s="49" t="str">
        <f t="shared" si="1"/>
        <v>71310</v>
      </c>
      <c r="H10855" s="49">
        <f t="shared" si="2"/>
        <v>71396</v>
      </c>
    </row>
    <row r="10856">
      <c r="A10856" s="48" t="s">
        <v>1276</v>
      </c>
      <c r="B10856" s="38">
        <v>64180.0</v>
      </c>
      <c r="C10856" s="38" t="s">
        <v>14882</v>
      </c>
      <c r="D10856" s="38" t="str">
        <f>IFERROR(__xludf.DUMMYFUNCTION("REGEXREPLACE(C10856,""-\d+(.*)|--\d+(.*)"","""")"),"CASTETPUGON")</f>
        <v>CASTETPUGON</v>
      </c>
      <c r="E10856" s="38" t="s">
        <v>268</v>
      </c>
      <c r="F10856" s="38" t="s">
        <v>252</v>
      </c>
      <c r="G10856" s="49" t="str">
        <f t="shared" si="1"/>
        <v>64330</v>
      </c>
      <c r="H10856" s="49">
        <f t="shared" si="2"/>
        <v>64180</v>
      </c>
    </row>
    <row r="10857">
      <c r="A10857" s="48" t="s">
        <v>8883</v>
      </c>
      <c r="B10857" s="38">
        <v>39512.0</v>
      </c>
      <c r="C10857" s="38" t="s">
        <v>14883</v>
      </c>
      <c r="D10857" s="38" t="str">
        <f>IFERROR(__xludf.DUMMYFUNCTION("REGEXREPLACE(C10857,""-\d+(.*)|--\d+(.*)"","""")"),"SERGENON")</f>
        <v>SERGENON</v>
      </c>
      <c r="E10857" s="38" t="s">
        <v>400</v>
      </c>
      <c r="F10857" s="38" t="s">
        <v>214</v>
      </c>
      <c r="G10857" s="49" t="str">
        <f t="shared" si="1"/>
        <v>39120</v>
      </c>
      <c r="H10857" s="49">
        <f t="shared" si="2"/>
        <v>39512</v>
      </c>
    </row>
    <row r="10858">
      <c r="A10858" s="48" t="s">
        <v>5735</v>
      </c>
      <c r="B10858" s="38">
        <v>2084.0</v>
      </c>
      <c r="C10858" s="38" t="s">
        <v>14884</v>
      </c>
      <c r="D10858" s="38" t="str">
        <f>IFERROR(__xludf.DUMMYFUNCTION("REGEXREPLACE(C10858,""-\d+(.*)|--\d+(.*)"","""")"),"BEZU-LE-GUERY")</f>
        <v>BEZU-LE-GUERY</v>
      </c>
      <c r="E10858" s="38" t="s">
        <v>191</v>
      </c>
      <c r="F10858" s="38" t="s">
        <v>113</v>
      </c>
      <c r="G10858" s="49" t="str">
        <f t="shared" si="1"/>
        <v>02310</v>
      </c>
      <c r="H10858" s="49" t="str">
        <f t="shared" si="2"/>
        <v>02084</v>
      </c>
    </row>
    <row r="10859">
      <c r="A10859" s="48" t="s">
        <v>7329</v>
      </c>
      <c r="B10859" s="38">
        <v>54232.0</v>
      </c>
      <c r="C10859" s="38" t="s">
        <v>9156</v>
      </c>
      <c r="D10859" s="38" t="str">
        <f>IFERROR(__xludf.DUMMYFUNCTION("REGEXREPLACE(C10859,""-\d+(.*)|--\d+(.*)"","""")"),"GONDREVILLE")</f>
        <v>GONDREVILLE</v>
      </c>
      <c r="E10859" s="38" t="s">
        <v>548</v>
      </c>
      <c r="F10859" s="38" t="s">
        <v>195</v>
      </c>
      <c r="G10859" s="49" t="str">
        <f t="shared" si="1"/>
        <v>54840</v>
      </c>
      <c r="H10859" s="49">
        <f t="shared" si="2"/>
        <v>54232</v>
      </c>
    </row>
    <row r="10860">
      <c r="A10860" s="48" t="s">
        <v>9181</v>
      </c>
      <c r="B10860" s="38">
        <v>41106.0</v>
      </c>
      <c r="C10860" s="38" t="s">
        <v>14885</v>
      </c>
      <c r="D10860" s="38" t="str">
        <f>IFERROR(__xludf.DUMMYFUNCTION("REGEXREPLACE(C10860,""-\d+(.*)|--\d+(.*)"","""")"),"LAMOTTE-BEUVRON")</f>
        <v>LAMOTTE-BEUVRON</v>
      </c>
      <c r="E10860" s="38" t="s">
        <v>188</v>
      </c>
      <c r="F10860" s="38" t="s">
        <v>123</v>
      </c>
      <c r="G10860" s="49" t="str">
        <f t="shared" si="1"/>
        <v>41600</v>
      </c>
      <c r="H10860" s="49">
        <f t="shared" si="2"/>
        <v>41106</v>
      </c>
    </row>
    <row r="10861">
      <c r="A10861" s="48" t="s">
        <v>9021</v>
      </c>
      <c r="B10861" s="38">
        <v>88448.0</v>
      </c>
      <c r="C10861" s="38" t="s">
        <v>14886</v>
      </c>
      <c r="D10861" s="38" t="str">
        <f>IFERROR(__xludf.DUMMYFUNCTION("REGEXREPLACE(C10861,""-\d+(.*)|--\d+(.*)"","""")"),"SAUVILLE")</f>
        <v>SAUVILLE</v>
      </c>
      <c r="E10861" s="38" t="s">
        <v>194</v>
      </c>
      <c r="F10861" s="38" t="s">
        <v>195</v>
      </c>
      <c r="G10861" s="49" t="str">
        <f t="shared" si="1"/>
        <v>88140</v>
      </c>
      <c r="H10861" s="49">
        <f t="shared" si="2"/>
        <v>88448</v>
      </c>
    </row>
    <row r="10862">
      <c r="A10862" s="48" t="s">
        <v>14887</v>
      </c>
      <c r="B10862" s="38">
        <v>31557.0</v>
      </c>
      <c r="C10862" s="38" t="s">
        <v>14888</v>
      </c>
      <c r="D10862" s="38" t="str">
        <f>IFERROR(__xludf.DUMMYFUNCTION("REGEXREPLACE(C10862,""-\d+(.*)|--\d+(.*)"","""")"),"TOURNEFEUILLE")</f>
        <v>TOURNEFEUILLE</v>
      </c>
      <c r="E10862" s="38" t="s">
        <v>93</v>
      </c>
      <c r="F10862" s="38" t="s">
        <v>94</v>
      </c>
      <c r="G10862" s="49" t="str">
        <f t="shared" si="1"/>
        <v>31170</v>
      </c>
      <c r="H10862" s="49">
        <f t="shared" si="2"/>
        <v>31557</v>
      </c>
    </row>
    <row r="10863">
      <c r="A10863" s="48" t="s">
        <v>524</v>
      </c>
      <c r="B10863" s="38">
        <v>30346.0</v>
      </c>
      <c r="C10863" s="38" t="s">
        <v>14889</v>
      </c>
      <c r="D10863" s="38" t="str">
        <f>IFERROR(__xludf.DUMMYFUNCTION("REGEXREPLACE(C10863,""-\d+(.*)|--\d+(.*)"","""")"),"VERS-PONT-DU-GARD")</f>
        <v>VERS-PONT-DU-GARD</v>
      </c>
      <c r="E10863" s="38" t="s">
        <v>526</v>
      </c>
      <c r="F10863" s="38" t="s">
        <v>119</v>
      </c>
      <c r="G10863" s="49" t="str">
        <f t="shared" si="1"/>
        <v>30210</v>
      </c>
      <c r="H10863" s="49">
        <f t="shared" si="2"/>
        <v>30346</v>
      </c>
    </row>
    <row r="10864">
      <c r="A10864" s="48" t="s">
        <v>1319</v>
      </c>
      <c r="B10864" s="38">
        <v>58213.0</v>
      </c>
      <c r="C10864" s="38" t="s">
        <v>13382</v>
      </c>
      <c r="D10864" s="38" t="str">
        <f>IFERROR(__xludf.DUMMYFUNCTION("REGEXREPLACE(C10864,""-\d+(.*)|--\d+(.*)"","""")"),"POUGNY")</f>
        <v>POUGNY</v>
      </c>
      <c r="E10864" s="38" t="s">
        <v>219</v>
      </c>
      <c r="F10864" s="38" t="s">
        <v>106</v>
      </c>
      <c r="G10864" s="49" t="str">
        <f t="shared" si="1"/>
        <v>58200</v>
      </c>
      <c r="H10864" s="49">
        <f t="shared" si="2"/>
        <v>58213</v>
      </c>
    </row>
    <row r="10865">
      <c r="A10865" s="48" t="s">
        <v>2989</v>
      </c>
      <c r="B10865" s="38">
        <v>70325.0</v>
      </c>
      <c r="C10865" s="38" t="s">
        <v>10573</v>
      </c>
      <c r="D10865" s="38" t="str">
        <f>IFERROR(__xludf.DUMMYFUNCTION("REGEXREPLACE(C10865,""-\d+(.*)|--\d+(.*)"","""")"),"MAIZIERES")</f>
        <v>MAIZIERES</v>
      </c>
      <c r="E10865" s="38" t="s">
        <v>956</v>
      </c>
      <c r="F10865" s="38" t="s">
        <v>214</v>
      </c>
      <c r="G10865" s="49" t="str">
        <f t="shared" si="1"/>
        <v>70190</v>
      </c>
      <c r="H10865" s="49">
        <f t="shared" si="2"/>
        <v>70325</v>
      </c>
    </row>
    <row r="10866">
      <c r="A10866" s="48" t="s">
        <v>11738</v>
      </c>
      <c r="B10866" s="38">
        <v>56152.0</v>
      </c>
      <c r="C10866" s="38" t="s">
        <v>14890</v>
      </c>
      <c r="D10866" s="38" t="str">
        <f>IFERROR(__xludf.DUMMYFUNCTION("REGEXREPLACE(C10866,""-\d+(.*)|--\d+(.*)"","""")"),"LE PALAIS")</f>
        <v>LE PALAIS</v>
      </c>
      <c r="E10866" s="38" t="s">
        <v>173</v>
      </c>
      <c r="F10866" s="38" t="s">
        <v>90</v>
      </c>
      <c r="G10866" s="49" t="str">
        <f t="shared" si="1"/>
        <v>56360</v>
      </c>
      <c r="H10866" s="49">
        <f t="shared" si="2"/>
        <v>56152</v>
      </c>
    </row>
    <row r="10867">
      <c r="A10867" s="48" t="s">
        <v>5513</v>
      </c>
      <c r="B10867" s="38">
        <v>57060.0</v>
      </c>
      <c r="C10867" s="38" t="s">
        <v>14891</v>
      </c>
      <c r="D10867" s="38" t="str">
        <f>IFERROR(__xludf.DUMMYFUNCTION("REGEXREPLACE(C10867,""-\d+(.*)|--\d+(.*)"","""")"),"BENESTROFF")</f>
        <v>BENESTROFF</v>
      </c>
      <c r="E10867" s="38" t="s">
        <v>303</v>
      </c>
      <c r="F10867" s="38" t="s">
        <v>195</v>
      </c>
      <c r="G10867" s="49" t="str">
        <f t="shared" si="1"/>
        <v>57670</v>
      </c>
      <c r="H10867" s="49">
        <f t="shared" si="2"/>
        <v>57060</v>
      </c>
    </row>
    <row r="10868">
      <c r="A10868" s="48" t="s">
        <v>14892</v>
      </c>
      <c r="B10868" s="38" t="s">
        <v>14893</v>
      </c>
      <c r="C10868" s="38" t="s">
        <v>14894</v>
      </c>
      <c r="D10868" s="38" t="str">
        <f>IFERROR(__xludf.DUMMYFUNCTION("REGEXREPLACE(C10868,""-\d+(.*)|--\d+(.*)"","""")"),"LENTO")</f>
        <v>LENTO</v>
      </c>
      <c r="E10868" s="38" t="s">
        <v>743</v>
      </c>
      <c r="F10868" s="38" t="s">
        <v>607</v>
      </c>
      <c r="G10868" s="49" t="str">
        <f t="shared" si="1"/>
        <v>20252</v>
      </c>
      <c r="H10868" s="49" t="str">
        <f t="shared" si="2"/>
        <v>2B140</v>
      </c>
    </row>
    <row r="10869">
      <c r="A10869" s="48" t="s">
        <v>14895</v>
      </c>
      <c r="B10869" s="38">
        <v>13064.0</v>
      </c>
      <c r="C10869" s="38" t="s">
        <v>14896</v>
      </c>
      <c r="D10869" s="38" t="str">
        <f>IFERROR(__xludf.DUMMYFUNCTION("REGEXREPLACE(C10869,""-\d+(.*)|--\d+(.*)"","""")"),"MOLLEGES")</f>
        <v>MOLLEGES</v>
      </c>
      <c r="E10869" s="38" t="s">
        <v>980</v>
      </c>
      <c r="F10869" s="38" t="s">
        <v>228</v>
      </c>
      <c r="G10869" s="49" t="str">
        <f t="shared" si="1"/>
        <v>13940</v>
      </c>
      <c r="H10869" s="49">
        <f t="shared" si="2"/>
        <v>13064</v>
      </c>
    </row>
    <row r="10870">
      <c r="A10870" s="48" t="s">
        <v>1628</v>
      </c>
      <c r="B10870" s="38">
        <v>70572.0</v>
      </c>
      <c r="C10870" s="38" t="s">
        <v>14897</v>
      </c>
      <c r="D10870" s="38" t="str">
        <f>IFERROR(__xludf.DUMMYFUNCTION("REGEXREPLACE(C10870,""-\d+(.*)|--\d+(.*)"","""")"),"VITREY-SUR-MANCE")</f>
        <v>VITREY-SUR-MANCE</v>
      </c>
      <c r="E10870" s="38" t="s">
        <v>956</v>
      </c>
      <c r="F10870" s="38" t="s">
        <v>214</v>
      </c>
      <c r="G10870" s="49" t="str">
        <f t="shared" si="1"/>
        <v>70500</v>
      </c>
      <c r="H10870" s="49">
        <f t="shared" si="2"/>
        <v>70572</v>
      </c>
    </row>
    <row r="10871">
      <c r="A10871" s="48" t="s">
        <v>10868</v>
      </c>
      <c r="B10871" s="38">
        <v>84130.0</v>
      </c>
      <c r="C10871" s="38" t="s">
        <v>14898</v>
      </c>
      <c r="D10871" s="38" t="str">
        <f>IFERROR(__xludf.DUMMYFUNCTION("REGEXREPLACE(C10871,""-\d+(.*)|--\d+(.*)"","""")"),"SUZETTE")</f>
        <v>SUZETTE</v>
      </c>
      <c r="E10871" s="38" t="s">
        <v>1026</v>
      </c>
      <c r="F10871" s="38" t="s">
        <v>228</v>
      </c>
      <c r="G10871" s="49" t="str">
        <f t="shared" si="1"/>
        <v>84190</v>
      </c>
      <c r="H10871" s="49">
        <f t="shared" si="2"/>
        <v>84130</v>
      </c>
    </row>
    <row r="10872">
      <c r="A10872" s="48" t="s">
        <v>1100</v>
      </c>
      <c r="B10872" s="38">
        <v>8378.0</v>
      </c>
      <c r="C10872" s="38" t="s">
        <v>14899</v>
      </c>
      <c r="D10872" s="38" t="str">
        <f>IFERROR(__xludf.DUMMYFUNCTION("REGEXREPLACE(C10872,""-\d+(.*)|--\d+(.*)"","""")"),"SAINT-CLEMENT-A-ARNES")</f>
        <v>SAINT-CLEMENT-A-ARNES</v>
      </c>
      <c r="E10872" s="38" t="s">
        <v>327</v>
      </c>
      <c r="F10872" s="38" t="s">
        <v>130</v>
      </c>
      <c r="G10872" s="49" t="str">
        <f t="shared" si="1"/>
        <v>08310</v>
      </c>
      <c r="H10872" s="49" t="str">
        <f t="shared" si="2"/>
        <v>08378</v>
      </c>
    </row>
    <row r="10873">
      <c r="A10873" s="48" t="s">
        <v>3550</v>
      </c>
      <c r="B10873" s="38">
        <v>79126.0</v>
      </c>
      <c r="C10873" s="38" t="s">
        <v>14900</v>
      </c>
      <c r="D10873" s="38" t="str">
        <f>IFERROR(__xludf.DUMMYFUNCTION("REGEXREPLACE(C10873,""-\d+(.*)|--\d+(.*)"","""")"),"LES FOSSES")</f>
        <v>LES FOSSES</v>
      </c>
      <c r="E10873" s="38" t="s">
        <v>337</v>
      </c>
      <c r="F10873" s="38" t="s">
        <v>338</v>
      </c>
      <c r="G10873" s="49" t="str">
        <f t="shared" si="1"/>
        <v>79360</v>
      </c>
      <c r="H10873" s="49">
        <f t="shared" si="2"/>
        <v>79126</v>
      </c>
    </row>
    <row r="10874">
      <c r="A10874" s="48" t="s">
        <v>3840</v>
      </c>
      <c r="B10874" s="38">
        <v>72315.0</v>
      </c>
      <c r="C10874" s="38" t="s">
        <v>14901</v>
      </c>
      <c r="D10874" s="38" t="str">
        <f>IFERROR(__xludf.DUMMYFUNCTION("REGEXREPLACE(C10874,""-\d+(.*)|--\d+(.*)"","""")"),"SAINT-REMY-DE-SILLE")</f>
        <v>SAINT-REMY-DE-SILLE</v>
      </c>
      <c r="E10874" s="38" t="s">
        <v>521</v>
      </c>
      <c r="F10874" s="38" t="s">
        <v>180</v>
      </c>
      <c r="G10874" s="49" t="str">
        <f t="shared" si="1"/>
        <v>72140</v>
      </c>
      <c r="H10874" s="49">
        <f t="shared" si="2"/>
        <v>72315</v>
      </c>
    </row>
    <row r="10875">
      <c r="A10875" s="48" t="s">
        <v>14902</v>
      </c>
      <c r="B10875" s="38">
        <v>74185.0</v>
      </c>
      <c r="C10875" s="38" t="s">
        <v>14903</v>
      </c>
      <c r="D10875" s="38" t="str">
        <f>IFERROR(__xludf.DUMMYFUNCTION("REGEXREPLACE(C10875,""-\d+(.*)|--\d+(.*)"","""")"),"MONNETIER-MORNEX")</f>
        <v>MONNETIER-MORNEX</v>
      </c>
      <c r="E10875" s="38" t="s">
        <v>319</v>
      </c>
      <c r="F10875" s="38" t="s">
        <v>102</v>
      </c>
      <c r="G10875" s="49" t="str">
        <f t="shared" si="1"/>
        <v>74560</v>
      </c>
      <c r="H10875" s="49">
        <f t="shared" si="2"/>
        <v>74185</v>
      </c>
    </row>
    <row r="10876">
      <c r="A10876" s="48" t="s">
        <v>14904</v>
      </c>
      <c r="B10876" s="38">
        <v>68304.0</v>
      </c>
      <c r="C10876" s="38" t="s">
        <v>14905</v>
      </c>
      <c r="D10876" s="38" t="str">
        <f>IFERROR(__xludf.DUMMYFUNCTION("REGEXREPLACE(C10876,""-\d+(.*)|--\d+(.*)"","""")"),"SENTHEIM")</f>
        <v>SENTHEIM</v>
      </c>
      <c r="E10876" s="38" t="s">
        <v>150</v>
      </c>
      <c r="F10876" s="38" t="s">
        <v>151</v>
      </c>
      <c r="G10876" s="49" t="str">
        <f t="shared" si="1"/>
        <v>68780</v>
      </c>
      <c r="H10876" s="49">
        <f t="shared" si="2"/>
        <v>68304</v>
      </c>
    </row>
    <row r="10877">
      <c r="A10877" s="48" t="s">
        <v>5461</v>
      </c>
      <c r="B10877" s="38">
        <v>86300.0</v>
      </c>
      <c r="C10877" s="38" t="s">
        <v>14906</v>
      </c>
      <c r="D10877" s="38" t="str">
        <f>IFERROR(__xludf.DUMMYFUNCTION("REGEXREPLACE(C10877,""-\d+(.*)|--\d+(.*)"","""")"),"YVERSAY")</f>
        <v>YVERSAY</v>
      </c>
      <c r="E10877" s="38" t="s">
        <v>529</v>
      </c>
      <c r="F10877" s="38" t="s">
        <v>338</v>
      </c>
      <c r="G10877" s="49" t="str">
        <f t="shared" si="1"/>
        <v>86170</v>
      </c>
      <c r="H10877" s="49">
        <f t="shared" si="2"/>
        <v>86300</v>
      </c>
    </row>
    <row r="10878">
      <c r="A10878" s="48" t="s">
        <v>2077</v>
      </c>
      <c r="B10878" s="38">
        <v>8322.0</v>
      </c>
      <c r="C10878" s="38" t="s">
        <v>14907</v>
      </c>
      <c r="D10878" s="38" t="str">
        <f>IFERROR(__xludf.DUMMYFUNCTION("REGEXREPLACE(C10878,""-\d+(.*)|--\d+(.*)"","""")"),"NEUVILLE-LES-THIS")</f>
        <v>NEUVILLE-LES-THIS</v>
      </c>
      <c r="E10878" s="38" t="s">
        <v>327</v>
      </c>
      <c r="F10878" s="38" t="s">
        <v>130</v>
      </c>
      <c r="G10878" s="49" t="str">
        <f t="shared" si="1"/>
        <v>08090</v>
      </c>
      <c r="H10878" s="49" t="str">
        <f t="shared" si="2"/>
        <v>08322</v>
      </c>
    </row>
    <row r="10879">
      <c r="A10879" s="48" t="s">
        <v>103</v>
      </c>
      <c r="B10879" s="38">
        <v>21148.0</v>
      </c>
      <c r="C10879" s="38" t="s">
        <v>14908</v>
      </c>
      <c r="D10879" s="38" t="str">
        <f>IFERROR(__xludf.DUMMYFUNCTION("REGEXREPLACE(C10879,""-\d+(.*)|--\d+(.*)"","""")"),"CHARREY-SUR-SAONE")</f>
        <v>CHARREY-SUR-SAONE</v>
      </c>
      <c r="E10879" s="38" t="s">
        <v>105</v>
      </c>
      <c r="F10879" s="38" t="s">
        <v>106</v>
      </c>
      <c r="G10879" s="49" t="str">
        <f t="shared" si="1"/>
        <v>21170</v>
      </c>
      <c r="H10879" s="49">
        <f t="shared" si="2"/>
        <v>21148</v>
      </c>
    </row>
    <row r="10880">
      <c r="A10880" s="48" t="s">
        <v>6230</v>
      </c>
      <c r="B10880" s="38">
        <v>53193.0</v>
      </c>
      <c r="C10880" s="38" t="s">
        <v>14909</v>
      </c>
      <c r="D10880" s="38" t="str">
        <f>IFERROR(__xludf.DUMMYFUNCTION("REGEXREPLACE(C10880,""-\d+(.*)|--\d+(.*)"","""")"),"RUILLE-FROID-FONDS")</f>
        <v>RUILLE-FROID-FONDS</v>
      </c>
      <c r="E10880" s="38" t="s">
        <v>518</v>
      </c>
      <c r="F10880" s="38" t="s">
        <v>180</v>
      </c>
      <c r="G10880" s="49" t="str">
        <f t="shared" si="1"/>
        <v>53170</v>
      </c>
      <c r="H10880" s="49">
        <f t="shared" si="2"/>
        <v>53193</v>
      </c>
    </row>
    <row r="10881">
      <c r="A10881" s="48" t="s">
        <v>1742</v>
      </c>
      <c r="B10881" s="38">
        <v>21208.0</v>
      </c>
      <c r="C10881" s="38" t="s">
        <v>14910</v>
      </c>
      <c r="D10881" s="38" t="str">
        <f>IFERROR(__xludf.DUMMYFUNCTION("REGEXREPLACE(C10881,""-\d+(.*)|--\d+(.*)"","""")"),"COURTIVRON")</f>
        <v>COURTIVRON</v>
      </c>
      <c r="E10881" s="38" t="s">
        <v>105</v>
      </c>
      <c r="F10881" s="38" t="s">
        <v>106</v>
      </c>
      <c r="G10881" s="49" t="str">
        <f t="shared" si="1"/>
        <v>21120</v>
      </c>
      <c r="H10881" s="49">
        <f t="shared" si="2"/>
        <v>21208</v>
      </c>
    </row>
    <row r="10882">
      <c r="A10882" s="48" t="s">
        <v>3180</v>
      </c>
      <c r="B10882" s="38">
        <v>60448.0</v>
      </c>
      <c r="C10882" s="38" t="s">
        <v>14911</v>
      </c>
      <c r="D10882" s="38" t="str">
        <f>IFERROR(__xludf.DUMMYFUNCTION("REGEXREPLACE(C10882,""-\d+(.*)|--\d+(.*)"","""")"),"NEUFCHELLES")</f>
        <v>NEUFCHELLES</v>
      </c>
      <c r="E10882" s="38" t="s">
        <v>112</v>
      </c>
      <c r="F10882" s="38" t="s">
        <v>113</v>
      </c>
      <c r="G10882" s="49" t="str">
        <f t="shared" si="1"/>
        <v>60890</v>
      </c>
      <c r="H10882" s="49">
        <f t="shared" si="2"/>
        <v>60448</v>
      </c>
    </row>
    <row r="10883">
      <c r="A10883" s="48" t="s">
        <v>11319</v>
      </c>
      <c r="B10883" s="38">
        <v>51597.0</v>
      </c>
      <c r="C10883" s="38" t="s">
        <v>14912</v>
      </c>
      <c r="D10883" s="38" t="str">
        <f>IFERROR(__xludf.DUMMYFUNCTION("REGEXREPLACE(C10883,""-\d+(.*)|--\d+(.*)"","""")"),"VAUCIENNES")</f>
        <v>VAUCIENNES</v>
      </c>
      <c r="E10883" s="38" t="s">
        <v>129</v>
      </c>
      <c r="F10883" s="38" t="s">
        <v>130</v>
      </c>
      <c r="G10883" s="49" t="str">
        <f t="shared" si="1"/>
        <v>51480</v>
      </c>
      <c r="H10883" s="49">
        <f t="shared" si="2"/>
        <v>51597</v>
      </c>
    </row>
    <row r="10884">
      <c r="A10884" s="48" t="s">
        <v>2617</v>
      </c>
      <c r="B10884" s="38">
        <v>89400.0</v>
      </c>
      <c r="C10884" s="38" t="s">
        <v>14913</v>
      </c>
      <c r="D10884" s="38" t="str">
        <f>IFERROR(__xludf.DUMMYFUNCTION("REGEXREPLACE(C10884,""-\d+(.*)|--\d+(.*)"","""")"),"SOUGERES-EN-PUISAYE")</f>
        <v>SOUGERES-EN-PUISAYE</v>
      </c>
      <c r="E10884" s="38" t="s">
        <v>275</v>
      </c>
      <c r="F10884" s="38" t="s">
        <v>106</v>
      </c>
      <c r="G10884" s="49" t="str">
        <f t="shared" si="1"/>
        <v>89520</v>
      </c>
      <c r="H10884" s="49">
        <f t="shared" si="2"/>
        <v>89400</v>
      </c>
    </row>
    <row r="10885">
      <c r="A10885" s="48" t="s">
        <v>8302</v>
      </c>
      <c r="B10885" s="38">
        <v>66216.0</v>
      </c>
      <c r="C10885" s="38" t="s">
        <v>14914</v>
      </c>
      <c r="D10885" s="38" t="str">
        <f>IFERROR(__xludf.DUMMYFUNCTION("REGEXREPLACE(C10885,""-\d+(.*)|--\d+(.*)"","""")"),"TRILLA")</f>
        <v>TRILLA</v>
      </c>
      <c r="E10885" s="38" t="s">
        <v>248</v>
      </c>
      <c r="F10885" s="38" t="s">
        <v>119</v>
      </c>
      <c r="G10885" s="49" t="str">
        <f t="shared" si="1"/>
        <v>66220</v>
      </c>
      <c r="H10885" s="49">
        <f t="shared" si="2"/>
        <v>66216</v>
      </c>
    </row>
    <row r="10886">
      <c r="A10886" s="48" t="s">
        <v>2861</v>
      </c>
      <c r="B10886" s="38">
        <v>62673.0</v>
      </c>
      <c r="C10886" s="38" t="s">
        <v>14915</v>
      </c>
      <c r="D10886" s="38" t="str">
        <f>IFERROR(__xludf.DUMMYFUNCTION("REGEXREPLACE(C10886,""-\d+(.*)|--\d+(.*)"","""")"),"QUEANT")</f>
        <v>QUEANT</v>
      </c>
      <c r="E10886" s="38" t="s">
        <v>109</v>
      </c>
      <c r="F10886" s="38" t="s">
        <v>86</v>
      </c>
      <c r="G10886" s="49" t="str">
        <f t="shared" si="1"/>
        <v>62860</v>
      </c>
      <c r="H10886" s="49">
        <f t="shared" si="2"/>
        <v>62673</v>
      </c>
    </row>
    <row r="10887">
      <c r="A10887" s="48" t="s">
        <v>6121</v>
      </c>
      <c r="B10887" s="38">
        <v>51146.0</v>
      </c>
      <c r="C10887" s="38" t="s">
        <v>14916</v>
      </c>
      <c r="D10887" s="38" t="str">
        <f>IFERROR(__xludf.DUMMYFUNCTION("REGEXREPLACE(C10887,""-\d+(.*)|--\d+(.*)"","""")"),"CHENIERS")</f>
        <v>CHENIERS</v>
      </c>
      <c r="E10887" s="38" t="s">
        <v>129</v>
      </c>
      <c r="F10887" s="38" t="s">
        <v>130</v>
      </c>
      <c r="G10887" s="49" t="str">
        <f t="shared" si="1"/>
        <v>51510</v>
      </c>
      <c r="H10887" s="49">
        <f t="shared" si="2"/>
        <v>51146</v>
      </c>
    </row>
    <row r="10888">
      <c r="A10888" s="48" t="s">
        <v>452</v>
      </c>
      <c r="B10888" s="38">
        <v>21549.0</v>
      </c>
      <c r="C10888" s="38" t="s">
        <v>14917</v>
      </c>
      <c r="D10888" s="38" t="str">
        <f>IFERROR(__xludf.DUMMYFUNCTION("REGEXREPLACE(C10888,""-\d+(.*)|--\d+(.*)"","""")"),"SAINT-GERMAIN-LE-ROCHEUX")</f>
        <v>SAINT-GERMAIN-LE-ROCHEUX</v>
      </c>
      <c r="E10888" s="38" t="s">
        <v>105</v>
      </c>
      <c r="F10888" s="38" t="s">
        <v>106</v>
      </c>
      <c r="G10888" s="49" t="str">
        <f t="shared" si="1"/>
        <v>21510</v>
      </c>
      <c r="H10888" s="49">
        <f t="shared" si="2"/>
        <v>21549</v>
      </c>
    </row>
    <row r="10889">
      <c r="A10889" s="48" t="s">
        <v>4274</v>
      </c>
      <c r="B10889" s="38">
        <v>52264.0</v>
      </c>
      <c r="C10889" s="38" t="s">
        <v>14918</v>
      </c>
      <c r="D10889" s="38" t="str">
        <f>IFERROR(__xludf.DUMMYFUNCTION("REGEXREPLACE(C10889,""-\d+(.*)|--\d+(.*)"","""")"),"LANEUVELLE")</f>
        <v>LANEUVELLE</v>
      </c>
      <c r="E10889" s="38" t="s">
        <v>234</v>
      </c>
      <c r="F10889" s="38" t="s">
        <v>130</v>
      </c>
      <c r="G10889" s="49" t="str">
        <f t="shared" si="1"/>
        <v>52400</v>
      </c>
      <c r="H10889" s="49">
        <f t="shared" si="2"/>
        <v>52264</v>
      </c>
    </row>
    <row r="10890">
      <c r="A10890" s="48" t="s">
        <v>14348</v>
      </c>
      <c r="B10890" s="38">
        <v>12268.0</v>
      </c>
      <c r="C10890" s="38" t="s">
        <v>14919</v>
      </c>
      <c r="D10890" s="38" t="str">
        <f>IFERROR(__xludf.DUMMYFUNCTION("REGEXREPLACE(C10890,""-\d+(.*)|--\d+(.*)"","""")"),"SENERGUES")</f>
        <v>SENERGUES</v>
      </c>
      <c r="E10890" s="38" t="s">
        <v>465</v>
      </c>
      <c r="F10890" s="38" t="s">
        <v>94</v>
      </c>
      <c r="G10890" s="49" t="str">
        <f t="shared" si="1"/>
        <v>12320</v>
      </c>
      <c r="H10890" s="49">
        <f t="shared" si="2"/>
        <v>12268</v>
      </c>
    </row>
    <row r="10891">
      <c r="A10891" s="48" t="s">
        <v>11624</v>
      </c>
      <c r="B10891" s="38">
        <v>77411.0</v>
      </c>
      <c r="C10891" s="38" t="s">
        <v>14920</v>
      </c>
      <c r="D10891" s="38" t="str">
        <f>IFERROR(__xludf.DUMMYFUNCTION("REGEXREPLACE(C10891,""-\d+(.*)|--\d+(.*)"","""")"),"SAINT-GERMAIN-SOUS-DOUE")</f>
        <v>SAINT-GERMAIN-SOUS-DOUE</v>
      </c>
      <c r="E10891" s="38" t="s">
        <v>244</v>
      </c>
      <c r="F10891" s="38" t="s">
        <v>245</v>
      </c>
      <c r="G10891" s="49" t="str">
        <f t="shared" si="1"/>
        <v>77169</v>
      </c>
      <c r="H10891" s="49">
        <f t="shared" si="2"/>
        <v>77411</v>
      </c>
    </row>
    <row r="10892">
      <c r="A10892" s="48" t="s">
        <v>220</v>
      </c>
      <c r="B10892" s="38">
        <v>67020.0</v>
      </c>
      <c r="C10892" s="38" t="s">
        <v>14921</v>
      </c>
      <c r="D10892" s="38" t="str">
        <f>IFERROR(__xludf.DUMMYFUNCTION("REGEXREPLACE(C10892,""-\d+(.*)|--\d+(.*)"","""")"),"BAREMBACH")</f>
        <v>BAREMBACH</v>
      </c>
      <c r="E10892" s="38" t="s">
        <v>210</v>
      </c>
      <c r="F10892" s="38" t="s">
        <v>151</v>
      </c>
      <c r="G10892" s="49" t="str">
        <f t="shared" si="1"/>
        <v>67130</v>
      </c>
      <c r="H10892" s="49">
        <f t="shared" si="2"/>
        <v>67020</v>
      </c>
    </row>
    <row r="10893">
      <c r="A10893" s="48" t="s">
        <v>7637</v>
      </c>
      <c r="B10893" s="38">
        <v>51044.0</v>
      </c>
      <c r="C10893" s="38" t="s">
        <v>14922</v>
      </c>
      <c r="D10893" s="38" t="str">
        <f>IFERROR(__xludf.DUMMYFUNCTION("REGEXREPLACE(C10893,""-\d+(.*)|--\d+(.*)"","""")"),"BEAUMONT-SUR-VESLE")</f>
        <v>BEAUMONT-SUR-VESLE</v>
      </c>
      <c r="E10893" s="38" t="s">
        <v>129</v>
      </c>
      <c r="F10893" s="38" t="s">
        <v>130</v>
      </c>
      <c r="G10893" s="49" t="str">
        <f t="shared" si="1"/>
        <v>51360</v>
      </c>
      <c r="H10893" s="49">
        <f t="shared" si="2"/>
        <v>51044</v>
      </c>
    </row>
    <row r="10894">
      <c r="A10894" s="48" t="s">
        <v>1603</v>
      </c>
      <c r="B10894" s="38">
        <v>25564.0</v>
      </c>
      <c r="C10894" s="38" t="s">
        <v>14923</v>
      </c>
      <c r="D10894" s="38" t="str">
        <f>IFERROR(__xludf.DUMMYFUNCTION("REGEXREPLACE(C10894,""-\d+(.*)|--\d+(.*)"","""")"),"TORPES")</f>
        <v>TORPES</v>
      </c>
      <c r="E10894" s="38" t="s">
        <v>213</v>
      </c>
      <c r="F10894" s="38" t="s">
        <v>214</v>
      </c>
      <c r="G10894" s="49" t="str">
        <f t="shared" si="1"/>
        <v>25320</v>
      </c>
      <c r="H10894" s="49">
        <f t="shared" si="2"/>
        <v>25564</v>
      </c>
    </row>
    <row r="10895">
      <c r="A10895" s="48" t="s">
        <v>2370</v>
      </c>
      <c r="B10895" s="38">
        <v>33149.0</v>
      </c>
      <c r="C10895" s="38" t="s">
        <v>14924</v>
      </c>
      <c r="D10895" s="38" t="str">
        <f>IFERROR(__xludf.DUMMYFUNCTION("REGEXREPLACE(C10895,""-\d+(.*)|--\d+(.*)"","""")"),"DAUBEZE")</f>
        <v>DAUBEZE</v>
      </c>
      <c r="E10895" s="38" t="s">
        <v>462</v>
      </c>
      <c r="F10895" s="38" t="s">
        <v>252</v>
      </c>
      <c r="G10895" s="49" t="str">
        <f t="shared" si="1"/>
        <v>33540</v>
      </c>
      <c r="H10895" s="49">
        <f t="shared" si="2"/>
        <v>33149</v>
      </c>
    </row>
    <row r="10896">
      <c r="A10896" s="48" t="s">
        <v>1681</v>
      </c>
      <c r="B10896" s="38">
        <v>80478.0</v>
      </c>
      <c r="C10896" s="38" t="s">
        <v>146</v>
      </c>
      <c r="D10896" s="38" t="str">
        <f>IFERROR(__xludf.DUMMYFUNCTION("REGEXREPLACE(C10896,""-\d+(.*)|--\d+(.*)"","""")"),"LIGNIERES")</f>
        <v>LIGNIERES</v>
      </c>
      <c r="E10896" s="38" t="s">
        <v>224</v>
      </c>
      <c r="F10896" s="38" t="s">
        <v>113</v>
      </c>
      <c r="G10896" s="49" t="str">
        <f t="shared" si="1"/>
        <v>80500</v>
      </c>
      <c r="H10896" s="49">
        <f t="shared" si="2"/>
        <v>80478</v>
      </c>
    </row>
    <row r="10897">
      <c r="A10897" s="48" t="s">
        <v>266</v>
      </c>
      <c r="B10897" s="38">
        <v>64307.0</v>
      </c>
      <c r="C10897" s="38" t="s">
        <v>14925</v>
      </c>
      <c r="D10897" s="38" t="str">
        <f>IFERROR(__xludf.DUMMYFUNCTION("REGEXREPLACE(C10897,""-\d+(.*)|--\d+(.*)"","""")"),"LALONGUE")</f>
        <v>LALONGUE</v>
      </c>
      <c r="E10897" s="38" t="s">
        <v>268</v>
      </c>
      <c r="F10897" s="38" t="s">
        <v>252</v>
      </c>
      <c r="G10897" s="49" t="str">
        <f t="shared" si="1"/>
        <v>64350</v>
      </c>
      <c r="H10897" s="49">
        <f t="shared" si="2"/>
        <v>64307</v>
      </c>
    </row>
    <row r="10898">
      <c r="A10898" s="48" t="s">
        <v>2748</v>
      </c>
      <c r="B10898" s="38">
        <v>32450.0</v>
      </c>
      <c r="C10898" s="38" t="s">
        <v>14926</v>
      </c>
      <c r="D10898" s="38" t="str">
        <f>IFERROR(__xludf.DUMMYFUNCTION("REGEXREPLACE(C10898,""-\d+(.*)|--\d+(.*)"","""")"),"TOURDUN")</f>
        <v>TOURDUN</v>
      </c>
      <c r="E10898" s="38" t="s">
        <v>440</v>
      </c>
      <c r="F10898" s="38" t="s">
        <v>94</v>
      </c>
      <c r="G10898" s="49" t="str">
        <f t="shared" si="1"/>
        <v>32230</v>
      </c>
      <c r="H10898" s="49">
        <f t="shared" si="2"/>
        <v>32450</v>
      </c>
    </row>
    <row r="10899">
      <c r="A10899" s="48" t="s">
        <v>11820</v>
      </c>
      <c r="B10899" s="38">
        <v>59300.0</v>
      </c>
      <c r="C10899" s="38" t="s">
        <v>14927</v>
      </c>
      <c r="D10899" s="38" t="str">
        <f>IFERROR(__xludf.DUMMYFUNCTION("REGEXREPLACE(C10899,""-\d+(.*)|--\d+(.*)"","""")"),"HEM-LENGLET")</f>
        <v>HEM-LENGLET</v>
      </c>
      <c r="E10899" s="38" t="s">
        <v>85</v>
      </c>
      <c r="F10899" s="38" t="s">
        <v>86</v>
      </c>
      <c r="G10899" s="49" t="str">
        <f t="shared" si="1"/>
        <v>59247</v>
      </c>
      <c r="H10899" s="49">
        <f t="shared" si="2"/>
        <v>59300</v>
      </c>
    </row>
    <row r="10900">
      <c r="A10900" s="48" t="s">
        <v>3986</v>
      </c>
      <c r="B10900" s="38">
        <v>62438.0</v>
      </c>
      <c r="C10900" s="38" t="s">
        <v>14928</v>
      </c>
      <c r="D10900" s="38" t="str">
        <f>IFERROR(__xludf.DUMMYFUNCTION("REGEXREPLACE(C10900,""-\d+(.*)|--\d+(.*)"","""")"),"HERMAVILLE")</f>
        <v>HERMAVILLE</v>
      </c>
      <c r="E10900" s="38" t="s">
        <v>109</v>
      </c>
      <c r="F10900" s="38" t="s">
        <v>86</v>
      </c>
      <c r="G10900" s="49" t="str">
        <f t="shared" si="1"/>
        <v>62690</v>
      </c>
      <c r="H10900" s="49">
        <f t="shared" si="2"/>
        <v>62438</v>
      </c>
    </row>
    <row r="10901">
      <c r="A10901" s="48" t="s">
        <v>12336</v>
      </c>
      <c r="B10901" s="38" t="s">
        <v>14929</v>
      </c>
      <c r="C10901" s="38" t="s">
        <v>14930</v>
      </c>
      <c r="D10901" s="38" t="str">
        <f>IFERROR(__xludf.DUMMYFUNCTION("REGEXREPLACE(C10901,""-\d+(.*)|--\d+(.*)"","""")"),"MONCALE")</f>
        <v>MONCALE</v>
      </c>
      <c r="E10901" s="38" t="s">
        <v>743</v>
      </c>
      <c r="F10901" s="38" t="s">
        <v>607</v>
      </c>
      <c r="G10901" s="49" t="str">
        <f t="shared" si="1"/>
        <v>20214</v>
      </c>
      <c r="H10901" s="49" t="str">
        <f t="shared" si="2"/>
        <v>2B165</v>
      </c>
    </row>
    <row r="10902">
      <c r="A10902" s="48" t="s">
        <v>5073</v>
      </c>
      <c r="B10902" s="38">
        <v>59164.0</v>
      </c>
      <c r="C10902" s="38" t="s">
        <v>14931</v>
      </c>
      <c r="D10902" s="38" t="str">
        <f>IFERROR(__xludf.DUMMYFUNCTION("REGEXREPLACE(C10902,""-\d+(.*)|--\d+(.*)"","""")"),"CROIX-CALUYAU")</f>
        <v>CROIX-CALUYAU</v>
      </c>
      <c r="E10902" s="38" t="s">
        <v>85</v>
      </c>
      <c r="F10902" s="38" t="s">
        <v>86</v>
      </c>
      <c r="G10902" s="49" t="str">
        <f t="shared" si="1"/>
        <v>59222</v>
      </c>
      <c r="H10902" s="49">
        <f t="shared" si="2"/>
        <v>59164</v>
      </c>
    </row>
    <row r="10903">
      <c r="A10903" s="48" t="s">
        <v>7700</v>
      </c>
      <c r="B10903" s="38">
        <v>23126.0</v>
      </c>
      <c r="C10903" s="38" t="s">
        <v>14932</v>
      </c>
      <c r="D10903" s="38" t="str">
        <f>IFERROR(__xludf.DUMMYFUNCTION("REGEXREPLACE(C10903,""-\d+(.*)|--\d+(.*)"","""")"),"MASBARAUD-MERIGNAT")</f>
        <v>MASBARAUD-MERIGNAT</v>
      </c>
      <c r="E10903" s="38" t="s">
        <v>97</v>
      </c>
      <c r="F10903" s="38" t="s">
        <v>98</v>
      </c>
      <c r="G10903" s="49" t="str">
        <f t="shared" si="1"/>
        <v>23400</v>
      </c>
      <c r="H10903" s="49">
        <f t="shared" si="2"/>
        <v>23126</v>
      </c>
    </row>
    <row r="10904">
      <c r="A10904" s="48" t="s">
        <v>8145</v>
      </c>
      <c r="B10904" s="38">
        <v>9028.0</v>
      </c>
      <c r="C10904" s="38" t="s">
        <v>14933</v>
      </c>
      <c r="D10904" s="38" t="str">
        <f>IFERROR(__xludf.DUMMYFUNCTION("REGEXREPLACE(C10904,""-\d+(.*)|--\d+(.*)"","""")"),"AULOS")</f>
        <v>AULOS</v>
      </c>
      <c r="E10904" s="38" t="s">
        <v>238</v>
      </c>
      <c r="F10904" s="38" t="s">
        <v>94</v>
      </c>
      <c r="G10904" s="49" t="str">
        <f t="shared" si="1"/>
        <v>09310</v>
      </c>
      <c r="H10904" s="49" t="str">
        <f t="shared" si="2"/>
        <v>09028</v>
      </c>
    </row>
    <row r="10905">
      <c r="A10905" s="48" t="s">
        <v>12410</v>
      </c>
      <c r="B10905" s="38">
        <v>66082.0</v>
      </c>
      <c r="C10905" s="38" t="s">
        <v>14934</v>
      </c>
      <c r="D10905" s="38" t="str">
        <f>IFERROR(__xludf.DUMMYFUNCTION("REGEXREPLACE(C10905,""-\d+(.*)|--\d+(.*)"","""")"),"FORMIGUERES")</f>
        <v>FORMIGUERES</v>
      </c>
      <c r="E10905" s="38" t="s">
        <v>248</v>
      </c>
      <c r="F10905" s="38" t="s">
        <v>119</v>
      </c>
      <c r="G10905" s="49" t="str">
        <f t="shared" si="1"/>
        <v>66210</v>
      </c>
      <c r="H10905" s="49">
        <f t="shared" si="2"/>
        <v>66082</v>
      </c>
    </row>
    <row r="10906">
      <c r="A10906" s="48" t="s">
        <v>14935</v>
      </c>
      <c r="B10906" s="38">
        <v>47049.0</v>
      </c>
      <c r="C10906" s="38" t="s">
        <v>14936</v>
      </c>
      <c r="D10906" s="38" t="str">
        <f>IFERROR(__xludf.DUMMYFUNCTION("REGEXREPLACE(C10906,""-\d+(.*)|--\d+(.*)"","""")"),"CASSENEUIL")</f>
        <v>CASSENEUIL</v>
      </c>
      <c r="E10906" s="38" t="s">
        <v>251</v>
      </c>
      <c r="F10906" s="38" t="s">
        <v>252</v>
      </c>
      <c r="G10906" s="49" t="str">
        <f t="shared" si="1"/>
        <v>47440</v>
      </c>
      <c r="H10906" s="49">
        <f t="shared" si="2"/>
        <v>47049</v>
      </c>
    </row>
    <row r="10907">
      <c r="A10907" s="48" t="s">
        <v>5273</v>
      </c>
      <c r="B10907" s="38">
        <v>53124.0</v>
      </c>
      <c r="C10907" s="38" t="s">
        <v>14937</v>
      </c>
      <c r="D10907" s="38" t="str">
        <f>IFERROR(__xludf.DUMMYFUNCTION("REGEXREPLACE(C10907,""-\d+(.*)|--\d+(.*)"","""")"),"LAIGNE")</f>
        <v>LAIGNE</v>
      </c>
      <c r="E10907" s="38" t="s">
        <v>518</v>
      </c>
      <c r="F10907" s="38" t="s">
        <v>180</v>
      </c>
      <c r="G10907" s="49" t="str">
        <f t="shared" si="1"/>
        <v>53200</v>
      </c>
      <c r="H10907" s="49">
        <f t="shared" si="2"/>
        <v>53124</v>
      </c>
    </row>
    <row r="10908">
      <c r="A10908" s="48" t="s">
        <v>4790</v>
      </c>
      <c r="B10908" s="38">
        <v>67188.0</v>
      </c>
      <c r="C10908" s="38" t="s">
        <v>14938</v>
      </c>
      <c r="D10908" s="38" t="str">
        <f>IFERROR(__xludf.DUMMYFUNCTION("REGEXREPLACE(C10908,""-\d+(.*)|--\d+(.*)"","""")"),"HEILIGENBERG")</f>
        <v>HEILIGENBERG</v>
      </c>
      <c r="E10908" s="38" t="s">
        <v>210</v>
      </c>
      <c r="F10908" s="38" t="s">
        <v>151</v>
      </c>
      <c r="G10908" s="49" t="str">
        <f t="shared" si="1"/>
        <v>67190</v>
      </c>
      <c r="H10908" s="49">
        <f t="shared" si="2"/>
        <v>67188</v>
      </c>
    </row>
    <row r="10909">
      <c r="A10909" s="48" t="s">
        <v>183</v>
      </c>
      <c r="B10909" s="38">
        <v>46098.0</v>
      </c>
      <c r="C10909" s="38" t="s">
        <v>14939</v>
      </c>
      <c r="D10909" s="38" t="str">
        <f>IFERROR(__xludf.DUMMYFUNCTION("REGEXREPLACE(C10909,""-\d+(.*)|--\d+(.*)"","""")"),"FAJOLES")</f>
        <v>FAJOLES</v>
      </c>
      <c r="E10909" s="38" t="s">
        <v>185</v>
      </c>
      <c r="F10909" s="38" t="s">
        <v>94</v>
      </c>
      <c r="G10909" s="49" t="str">
        <f t="shared" si="1"/>
        <v>46300</v>
      </c>
      <c r="H10909" s="49">
        <f t="shared" si="2"/>
        <v>46098</v>
      </c>
    </row>
    <row r="10910">
      <c r="A10910" s="48" t="s">
        <v>14940</v>
      </c>
      <c r="B10910" s="38">
        <v>17296.0</v>
      </c>
      <c r="C10910" s="38" t="s">
        <v>14941</v>
      </c>
      <c r="D10910" s="38" t="str">
        <f>IFERROR(__xludf.DUMMYFUNCTION("REGEXREPLACE(C10910,""-\d+(.*)|--\d+(.*)"","""")"),"RETAUD")</f>
        <v>RETAUD</v>
      </c>
      <c r="E10910" s="38" t="s">
        <v>488</v>
      </c>
      <c r="F10910" s="38" t="s">
        <v>338</v>
      </c>
      <c r="G10910" s="49" t="str">
        <f t="shared" si="1"/>
        <v>17460</v>
      </c>
      <c r="H10910" s="49">
        <f t="shared" si="2"/>
        <v>17296</v>
      </c>
    </row>
    <row r="10911">
      <c r="A10911" s="48" t="s">
        <v>3983</v>
      </c>
      <c r="B10911" s="38">
        <v>67279.0</v>
      </c>
      <c r="C10911" s="38" t="s">
        <v>14942</v>
      </c>
      <c r="D10911" s="38" t="str">
        <f>IFERROR(__xludf.DUMMYFUNCTION("REGEXREPLACE(C10911,""-\d+(.*)|--\d+(.*)"","""")"),"MAENNOLSHEIM")</f>
        <v>MAENNOLSHEIM</v>
      </c>
      <c r="E10911" s="38" t="s">
        <v>210</v>
      </c>
      <c r="F10911" s="38" t="s">
        <v>151</v>
      </c>
      <c r="G10911" s="49" t="str">
        <f t="shared" si="1"/>
        <v>67700</v>
      </c>
      <c r="H10911" s="49">
        <f t="shared" si="2"/>
        <v>67279</v>
      </c>
    </row>
    <row r="10912">
      <c r="A10912" s="48" t="s">
        <v>7614</v>
      </c>
      <c r="B10912" s="38">
        <v>50444.0</v>
      </c>
      <c r="C10912" s="38" t="s">
        <v>9836</v>
      </c>
      <c r="D10912" s="38" t="str">
        <f>IFERROR(__xludf.DUMMYFUNCTION("REGEXREPLACE(C10912,""-\d+(.*)|--\d+(.*)"","""")"),"SAINT-AMAND")</f>
        <v>SAINT-AMAND</v>
      </c>
      <c r="E10912" s="38" t="s">
        <v>157</v>
      </c>
      <c r="F10912" s="38" t="s">
        <v>138</v>
      </c>
      <c r="G10912" s="49" t="str">
        <f t="shared" si="1"/>
        <v>50160</v>
      </c>
      <c r="H10912" s="49">
        <f t="shared" si="2"/>
        <v>50444</v>
      </c>
    </row>
    <row r="10913">
      <c r="A10913" s="48" t="s">
        <v>114</v>
      </c>
      <c r="B10913" s="38">
        <v>62365.0</v>
      </c>
      <c r="C10913" s="38" t="s">
        <v>14943</v>
      </c>
      <c r="D10913" s="38" t="str">
        <f>IFERROR(__xludf.DUMMYFUNCTION("REGEXREPLACE(C10913,""-\d+(.*)|--\d+(.*)"","""")"),"GALAMETZ")</f>
        <v>GALAMETZ</v>
      </c>
      <c r="E10913" s="38" t="s">
        <v>109</v>
      </c>
      <c r="F10913" s="38" t="s">
        <v>86</v>
      </c>
      <c r="G10913" s="49" t="str">
        <f t="shared" si="1"/>
        <v>62770</v>
      </c>
      <c r="H10913" s="49">
        <f t="shared" si="2"/>
        <v>62365</v>
      </c>
    </row>
    <row r="10914">
      <c r="A10914" s="48" t="s">
        <v>3289</v>
      </c>
      <c r="B10914" s="38">
        <v>50553.0</v>
      </c>
      <c r="C10914" s="38" t="s">
        <v>14944</v>
      </c>
      <c r="D10914" s="38" t="str">
        <f>IFERROR(__xludf.DUMMYFUNCTION("REGEXREPLACE(C10914,""-\d+(.*)|--\d+(.*)"","""")"),"SAINT-SENIER-DE-BEUVRON")</f>
        <v>SAINT-SENIER-DE-BEUVRON</v>
      </c>
      <c r="E10914" s="38" t="s">
        <v>157</v>
      </c>
      <c r="F10914" s="38" t="s">
        <v>138</v>
      </c>
      <c r="G10914" s="49" t="str">
        <f t="shared" si="1"/>
        <v>50240</v>
      </c>
      <c r="H10914" s="49">
        <f t="shared" si="2"/>
        <v>50553</v>
      </c>
    </row>
    <row r="10915">
      <c r="A10915" s="48" t="s">
        <v>5449</v>
      </c>
      <c r="B10915" s="38">
        <v>59629.0</v>
      </c>
      <c r="C10915" s="38" t="s">
        <v>14945</v>
      </c>
      <c r="D10915" s="38" t="str">
        <f>IFERROR(__xludf.DUMMYFUNCTION("REGEXREPLACE(C10915,""-\d+(.*)|--\d+(.*)"","""")"),"VRED")</f>
        <v>VRED</v>
      </c>
      <c r="E10915" s="38" t="s">
        <v>85</v>
      </c>
      <c r="F10915" s="38" t="s">
        <v>86</v>
      </c>
      <c r="G10915" s="49" t="str">
        <f t="shared" si="1"/>
        <v>59870</v>
      </c>
      <c r="H10915" s="49">
        <f t="shared" si="2"/>
        <v>59629</v>
      </c>
    </row>
    <row r="10916">
      <c r="A10916" s="48" t="s">
        <v>2995</v>
      </c>
      <c r="B10916" s="38">
        <v>28021.0</v>
      </c>
      <c r="C10916" s="38" t="s">
        <v>14946</v>
      </c>
      <c r="D10916" s="38" t="str">
        <f>IFERROR(__xludf.DUMMYFUNCTION("REGEXREPLACE(C10916,""-\d+(.*)|--\d+(.*)"","""")"),"BAILLEAU-LE-PIN")</f>
        <v>BAILLEAU-LE-PIN</v>
      </c>
      <c r="E10916" s="38" t="s">
        <v>300</v>
      </c>
      <c r="F10916" s="38" t="s">
        <v>123</v>
      </c>
      <c r="G10916" s="49" t="str">
        <f t="shared" si="1"/>
        <v>28120</v>
      </c>
      <c r="H10916" s="49">
        <f t="shared" si="2"/>
        <v>28021</v>
      </c>
    </row>
    <row r="10917">
      <c r="A10917" s="48" t="s">
        <v>2389</v>
      </c>
      <c r="B10917" s="38">
        <v>64201.0</v>
      </c>
      <c r="C10917" s="38" t="s">
        <v>14947</v>
      </c>
      <c r="D10917" s="38" t="str">
        <f>IFERROR(__xludf.DUMMYFUNCTION("REGEXREPLACE(C10917,""-\d+(.*)|--\d+(.*)"","""")"),"DOGNEN")</f>
        <v>DOGNEN</v>
      </c>
      <c r="E10917" s="38" t="s">
        <v>268</v>
      </c>
      <c r="F10917" s="38" t="s">
        <v>252</v>
      </c>
      <c r="G10917" s="49" t="str">
        <f t="shared" si="1"/>
        <v>64190</v>
      </c>
      <c r="H10917" s="49">
        <f t="shared" si="2"/>
        <v>64201</v>
      </c>
    </row>
    <row r="10918">
      <c r="A10918" s="48" t="s">
        <v>139</v>
      </c>
      <c r="B10918" s="38">
        <v>61327.0</v>
      </c>
      <c r="C10918" s="38" t="s">
        <v>14948</v>
      </c>
      <c r="D10918" s="38" t="str">
        <f>IFERROR(__xludf.DUMMYFUNCTION("REGEXREPLACE(C10918,""-\d+(.*)|--\d+(.*)"","""")"),"PERVENCHERES")</f>
        <v>PERVENCHERES</v>
      </c>
      <c r="E10918" s="38" t="s">
        <v>141</v>
      </c>
      <c r="F10918" s="38" t="s">
        <v>138</v>
      </c>
      <c r="G10918" s="49" t="str">
        <f t="shared" si="1"/>
        <v>61360</v>
      </c>
      <c r="H10918" s="49">
        <f t="shared" si="2"/>
        <v>61327</v>
      </c>
    </row>
    <row r="10919">
      <c r="A10919" s="48" t="s">
        <v>12929</v>
      </c>
      <c r="B10919" s="38">
        <v>73188.0</v>
      </c>
      <c r="C10919" s="38" t="s">
        <v>14949</v>
      </c>
      <c r="D10919" s="38" t="str">
        <f>IFERROR(__xludf.DUMMYFUNCTION("REGEXREPLACE(C10919,""-\d+(.*)|--\d+(.*)"","""")"),"NOTRE-DAME-DES-MILLIERES")</f>
        <v>NOTRE-DAME-DES-MILLIERES</v>
      </c>
      <c r="E10919" s="38" t="s">
        <v>306</v>
      </c>
      <c r="F10919" s="38" t="s">
        <v>102</v>
      </c>
      <c r="G10919" s="49" t="str">
        <f t="shared" si="1"/>
        <v>73460</v>
      </c>
      <c r="H10919" s="49">
        <f t="shared" si="2"/>
        <v>73188</v>
      </c>
    </row>
    <row r="10920">
      <c r="A10920" s="48" t="s">
        <v>6767</v>
      </c>
      <c r="B10920" s="38">
        <v>15005.0</v>
      </c>
      <c r="C10920" s="38" t="s">
        <v>14950</v>
      </c>
      <c r="D10920" s="38" t="str">
        <f>IFERROR(__xludf.DUMMYFUNCTION("REGEXREPLACE(C10920,""-\d+(.*)|--\d+(.*)"","""")"),"ANGLARDS-DE-SAINT-FLOUR")</f>
        <v>ANGLARDS-DE-SAINT-FLOUR</v>
      </c>
      <c r="E10920" s="38" t="s">
        <v>632</v>
      </c>
      <c r="F10920" s="38" t="s">
        <v>161</v>
      </c>
      <c r="G10920" s="49" t="str">
        <f t="shared" si="1"/>
        <v>15100</v>
      </c>
      <c r="H10920" s="49">
        <f t="shared" si="2"/>
        <v>15005</v>
      </c>
    </row>
    <row r="10921">
      <c r="A10921" s="48" t="s">
        <v>7784</v>
      </c>
      <c r="B10921" s="38">
        <v>30051.0</v>
      </c>
      <c r="C10921" s="38" t="s">
        <v>14951</v>
      </c>
      <c r="D10921" s="38" t="str">
        <f>IFERROR(__xludf.DUMMYFUNCTION("REGEXREPLACE(C10921,""-\d+(.*)|--\d+(.*)"","""")"),"BRANOUX-LES-TAILLADES")</f>
        <v>BRANOUX-LES-TAILLADES</v>
      </c>
      <c r="E10921" s="38" t="s">
        <v>526</v>
      </c>
      <c r="F10921" s="38" t="s">
        <v>119</v>
      </c>
      <c r="G10921" s="49" t="str">
        <f t="shared" si="1"/>
        <v>30110</v>
      </c>
      <c r="H10921" s="49">
        <f t="shared" si="2"/>
        <v>30051</v>
      </c>
    </row>
    <row r="10922">
      <c r="A10922" s="48" t="s">
        <v>4745</v>
      </c>
      <c r="B10922" s="38">
        <v>1302.0</v>
      </c>
      <c r="C10922" s="38" t="s">
        <v>14952</v>
      </c>
      <c r="D10922" s="38" t="str">
        <f>IFERROR(__xludf.DUMMYFUNCTION("REGEXREPLACE(C10922,""-\d+(.*)|--\d+(.*)"","""")"),"POLLIEU")</f>
        <v>POLLIEU</v>
      </c>
      <c r="E10922" s="38" t="s">
        <v>255</v>
      </c>
      <c r="F10922" s="38" t="s">
        <v>102</v>
      </c>
      <c r="G10922" s="49" t="str">
        <f t="shared" si="1"/>
        <v>01350</v>
      </c>
      <c r="H10922" s="49" t="str">
        <f t="shared" si="2"/>
        <v>01302</v>
      </c>
    </row>
    <row r="10923">
      <c r="A10923" s="48" t="s">
        <v>8480</v>
      </c>
      <c r="B10923" s="38">
        <v>8207.0</v>
      </c>
      <c r="C10923" s="38" t="s">
        <v>14953</v>
      </c>
      <c r="D10923" s="38" t="str">
        <f>IFERROR(__xludf.DUMMYFUNCTION("REGEXREPLACE(C10923,""-\d+(.*)|--\d+(.*)"","""")"),"HAM-SUR-MEUSE")</f>
        <v>HAM-SUR-MEUSE</v>
      </c>
      <c r="E10923" s="38" t="s">
        <v>327</v>
      </c>
      <c r="F10923" s="38" t="s">
        <v>130</v>
      </c>
      <c r="G10923" s="49" t="str">
        <f t="shared" si="1"/>
        <v>08600</v>
      </c>
      <c r="H10923" s="49" t="str">
        <f t="shared" si="2"/>
        <v>08207</v>
      </c>
    </row>
    <row r="10924">
      <c r="A10924" s="48" t="s">
        <v>2400</v>
      </c>
      <c r="B10924" s="38">
        <v>25505.0</v>
      </c>
      <c r="C10924" s="38" t="s">
        <v>14954</v>
      </c>
      <c r="D10924" s="38" t="str">
        <f>IFERROR(__xludf.DUMMYFUNCTION("REGEXREPLACE(C10924,""-\d+(.*)|--\d+(.*)"","""")"),"ROUGEMONT")</f>
        <v>ROUGEMONT</v>
      </c>
      <c r="E10924" s="38" t="s">
        <v>213</v>
      </c>
      <c r="F10924" s="38" t="s">
        <v>214</v>
      </c>
      <c r="G10924" s="49" t="str">
        <f t="shared" si="1"/>
        <v>25680</v>
      </c>
      <c r="H10924" s="49">
        <f t="shared" si="2"/>
        <v>25505</v>
      </c>
    </row>
    <row r="10925">
      <c r="A10925" s="48" t="s">
        <v>14345</v>
      </c>
      <c r="B10925" s="38">
        <v>63165.0</v>
      </c>
      <c r="C10925" s="38" t="s">
        <v>14955</v>
      </c>
      <c r="D10925" s="38" t="str">
        <f>IFERROR(__xludf.DUMMYFUNCTION("REGEXREPLACE(C10925,""-\d+(.*)|--\d+(.*)"","""")"),"GIAT")</f>
        <v>GIAT</v>
      </c>
      <c r="E10925" s="38" t="s">
        <v>353</v>
      </c>
      <c r="F10925" s="38" t="s">
        <v>161</v>
      </c>
      <c r="G10925" s="49" t="str">
        <f t="shared" si="1"/>
        <v>63620</v>
      </c>
      <c r="H10925" s="49">
        <f t="shared" si="2"/>
        <v>63165</v>
      </c>
    </row>
    <row r="10926">
      <c r="A10926" s="48" t="s">
        <v>584</v>
      </c>
      <c r="B10926" s="38">
        <v>62374.0</v>
      </c>
      <c r="C10926" s="38" t="s">
        <v>14956</v>
      </c>
      <c r="D10926" s="38" t="str">
        <f>IFERROR(__xludf.DUMMYFUNCTION("REGEXREPLACE(C10926,""-\d+(.*)|--\d+(.*)"","""")"),"GOMIECOURT")</f>
        <v>GOMIECOURT</v>
      </c>
      <c r="E10926" s="38" t="s">
        <v>109</v>
      </c>
      <c r="F10926" s="38" t="s">
        <v>86</v>
      </c>
      <c r="G10926" s="49" t="str">
        <f t="shared" si="1"/>
        <v>62121</v>
      </c>
      <c r="H10926" s="49">
        <f t="shared" si="2"/>
        <v>62374</v>
      </c>
    </row>
    <row r="10927">
      <c r="A10927" s="48" t="s">
        <v>11240</v>
      </c>
      <c r="B10927" s="38">
        <v>51503.0</v>
      </c>
      <c r="C10927" s="38" t="s">
        <v>14957</v>
      </c>
      <c r="D10927" s="38" t="str">
        <f>IFERROR(__xludf.DUMMYFUNCTION("REGEXREPLACE(C10927,""-\d+(.*)|--\d+(.*)"","""")"),"SAINT-MARTIN-L'HEUREUX")</f>
        <v>SAINT-MARTIN-L'HEUREUX</v>
      </c>
      <c r="E10927" s="38" t="s">
        <v>129</v>
      </c>
      <c r="F10927" s="38" t="s">
        <v>130</v>
      </c>
      <c r="G10927" s="49" t="str">
        <f t="shared" si="1"/>
        <v>51490</v>
      </c>
      <c r="H10927" s="49">
        <f t="shared" si="2"/>
        <v>51503</v>
      </c>
    </row>
    <row r="10928">
      <c r="A10928" s="48" t="s">
        <v>10939</v>
      </c>
      <c r="B10928" s="38">
        <v>77454.0</v>
      </c>
      <c r="C10928" s="38" t="s">
        <v>14958</v>
      </c>
      <c r="D10928" s="38" t="str">
        <f>IFERROR(__xludf.DUMMYFUNCTION("REGEXREPLACE(C10928,""-\d+(.*)|--\d+(.*)"","""")"),"SOGNOLLES-EN-MONTOIS")</f>
        <v>SOGNOLLES-EN-MONTOIS</v>
      </c>
      <c r="E10928" s="38" t="s">
        <v>244</v>
      </c>
      <c r="F10928" s="38" t="s">
        <v>245</v>
      </c>
      <c r="G10928" s="49" t="str">
        <f t="shared" si="1"/>
        <v>77520</v>
      </c>
      <c r="H10928" s="49">
        <f t="shared" si="2"/>
        <v>77454</v>
      </c>
    </row>
    <row r="10929">
      <c r="A10929" s="48" t="s">
        <v>4116</v>
      </c>
      <c r="B10929" s="38">
        <v>18059.0</v>
      </c>
      <c r="C10929" s="38" t="s">
        <v>14959</v>
      </c>
      <c r="D10929" s="38" t="str">
        <f>IFERROR(__xludf.DUMMYFUNCTION("REGEXREPLACE(C10929,""-\d+(.*)|--\d+(.*)"","""")"),"LE CHATELET")</f>
        <v>LE CHATELET</v>
      </c>
      <c r="E10929" s="38" t="s">
        <v>504</v>
      </c>
      <c r="F10929" s="38" t="s">
        <v>123</v>
      </c>
      <c r="G10929" s="49" t="str">
        <f t="shared" si="1"/>
        <v>18170</v>
      </c>
      <c r="H10929" s="49">
        <f t="shared" si="2"/>
        <v>18059</v>
      </c>
    </row>
    <row r="10930">
      <c r="A10930" s="48" t="s">
        <v>14960</v>
      </c>
      <c r="B10930" s="38" t="s">
        <v>14961</v>
      </c>
      <c r="C10930" s="38" t="s">
        <v>14962</v>
      </c>
      <c r="D10930" s="38" t="str">
        <f>IFERROR(__xludf.DUMMYFUNCTION("REGEXREPLACE(C10930,""-\d+(.*)|--\d+(.*)"","""")"),"CARBUCCIA")</f>
        <v>CARBUCCIA</v>
      </c>
      <c r="E10930" s="38" t="s">
        <v>606</v>
      </c>
      <c r="F10930" s="38" t="s">
        <v>607</v>
      </c>
      <c r="G10930" s="49" t="str">
        <f t="shared" si="1"/>
        <v>20133</v>
      </c>
      <c r="H10930" s="49" t="str">
        <f t="shared" si="2"/>
        <v>2A062</v>
      </c>
    </row>
    <row r="10931">
      <c r="A10931" s="48" t="s">
        <v>3125</v>
      </c>
      <c r="B10931" s="38">
        <v>12281.0</v>
      </c>
      <c r="C10931" s="38" t="s">
        <v>14963</v>
      </c>
      <c r="D10931" s="38" t="str">
        <f>IFERROR(__xludf.DUMMYFUNCTION("REGEXREPLACE(C10931,""-\d+(.*)|--\d+(.*)"","""")"),"TOULONJAC")</f>
        <v>TOULONJAC</v>
      </c>
      <c r="E10931" s="38" t="s">
        <v>465</v>
      </c>
      <c r="F10931" s="38" t="s">
        <v>94</v>
      </c>
      <c r="G10931" s="49" t="str">
        <f t="shared" si="1"/>
        <v>12200</v>
      </c>
      <c r="H10931" s="49">
        <f t="shared" si="2"/>
        <v>12281</v>
      </c>
    </row>
    <row r="10932">
      <c r="A10932" s="48" t="s">
        <v>4844</v>
      </c>
      <c r="B10932" s="38">
        <v>14097.0</v>
      </c>
      <c r="C10932" s="38" t="s">
        <v>14964</v>
      </c>
      <c r="D10932" s="38" t="str">
        <f>IFERROR(__xludf.DUMMYFUNCTION("REGEXREPLACE(C10932,""-\d+(.*)|--\d+(.*)"","""")"),"BRETTEVILLE-LE-RABET")</f>
        <v>BRETTEVILLE-LE-RABET</v>
      </c>
      <c r="E10932" s="38" t="s">
        <v>137</v>
      </c>
      <c r="F10932" s="38" t="s">
        <v>138</v>
      </c>
      <c r="G10932" s="49" t="str">
        <f t="shared" si="1"/>
        <v>14190</v>
      </c>
      <c r="H10932" s="49">
        <f t="shared" si="2"/>
        <v>14097</v>
      </c>
    </row>
    <row r="10933">
      <c r="A10933" s="48" t="s">
        <v>114</v>
      </c>
      <c r="B10933" s="38">
        <v>62647.0</v>
      </c>
      <c r="C10933" s="38" t="s">
        <v>14965</v>
      </c>
      <c r="D10933" s="38" t="str">
        <f>IFERROR(__xludf.DUMMYFUNCTION("REGEXREPLACE(C10933,""-\d+(.*)|--\d+(.*)"","""")"),"LE PARCQ")</f>
        <v>LE PARCQ</v>
      </c>
      <c r="E10933" s="38" t="s">
        <v>109</v>
      </c>
      <c r="F10933" s="38" t="s">
        <v>86</v>
      </c>
      <c r="G10933" s="49" t="str">
        <f t="shared" si="1"/>
        <v>62770</v>
      </c>
      <c r="H10933" s="49">
        <f t="shared" si="2"/>
        <v>62647</v>
      </c>
    </row>
    <row r="10934">
      <c r="A10934" s="48" t="s">
        <v>5320</v>
      </c>
      <c r="B10934" s="38">
        <v>74026.0</v>
      </c>
      <c r="C10934" s="38" t="s">
        <v>14966</v>
      </c>
      <c r="D10934" s="38" t="str">
        <f>IFERROR(__xludf.DUMMYFUNCTION("REGEXREPLACE(C10934,""-\d+(.*)|--\d+(.*)"","""")"),"LA BALME-DE-SILLINGY")</f>
        <v>LA BALME-DE-SILLINGY</v>
      </c>
      <c r="E10934" s="38" t="s">
        <v>319</v>
      </c>
      <c r="F10934" s="38" t="s">
        <v>102</v>
      </c>
      <c r="G10934" s="49" t="str">
        <f t="shared" si="1"/>
        <v>74330</v>
      </c>
      <c r="H10934" s="49">
        <f t="shared" si="2"/>
        <v>74026</v>
      </c>
    </row>
    <row r="10935">
      <c r="A10935" s="48" t="s">
        <v>354</v>
      </c>
      <c r="B10935" s="38">
        <v>68130.0</v>
      </c>
      <c r="C10935" s="38" t="s">
        <v>14967</v>
      </c>
      <c r="D10935" s="38" t="str">
        <f>IFERROR(__xludf.DUMMYFUNCTION("REGEXREPLACE(C10935,""-\d+(.*)|--\d+(.*)"","""")"),"HEITEREN")</f>
        <v>HEITEREN</v>
      </c>
      <c r="E10935" s="38" t="s">
        <v>150</v>
      </c>
      <c r="F10935" s="38" t="s">
        <v>151</v>
      </c>
      <c r="G10935" s="49" t="str">
        <f t="shared" si="1"/>
        <v>68600</v>
      </c>
      <c r="H10935" s="49">
        <f t="shared" si="2"/>
        <v>68130</v>
      </c>
    </row>
    <row r="10936">
      <c r="A10936" s="48" t="s">
        <v>1396</v>
      </c>
      <c r="B10936" s="38">
        <v>29215.0</v>
      </c>
      <c r="C10936" s="38" t="s">
        <v>14968</v>
      </c>
      <c r="D10936" s="38" t="str">
        <f>IFERROR(__xludf.DUMMYFUNCTION("REGEXREPLACE(C10936,""-\d+(.*)|--\d+(.*)"","""")"),"PLOZEVET")</f>
        <v>PLOZEVET</v>
      </c>
      <c r="E10936" s="38" t="s">
        <v>176</v>
      </c>
      <c r="F10936" s="38" t="s">
        <v>90</v>
      </c>
      <c r="G10936" s="49" t="str">
        <f t="shared" si="1"/>
        <v>29710</v>
      </c>
      <c r="H10936" s="49">
        <f t="shared" si="2"/>
        <v>29215</v>
      </c>
    </row>
    <row r="10937">
      <c r="A10937" s="48" t="s">
        <v>1081</v>
      </c>
      <c r="B10937" s="38">
        <v>14510.0</v>
      </c>
      <c r="C10937" s="38" t="s">
        <v>14969</v>
      </c>
      <c r="D10937" s="38" t="str">
        <f>IFERROR(__xludf.DUMMYFUNCTION("REGEXREPLACE(C10937,""-\d+(.*)|--\d+(.*)"","""")"),"LA POMMERAYE")</f>
        <v>LA POMMERAYE</v>
      </c>
      <c r="E10937" s="38" t="s">
        <v>137</v>
      </c>
      <c r="F10937" s="38" t="s">
        <v>138</v>
      </c>
      <c r="G10937" s="49" t="str">
        <f t="shared" si="1"/>
        <v>14690</v>
      </c>
      <c r="H10937" s="49">
        <f t="shared" si="2"/>
        <v>14510</v>
      </c>
    </row>
    <row r="10938">
      <c r="A10938" s="48" t="s">
        <v>11199</v>
      </c>
      <c r="B10938" s="38">
        <v>31364.0</v>
      </c>
      <c r="C10938" s="38" t="s">
        <v>14970</v>
      </c>
      <c r="D10938" s="38" t="str">
        <f>IFERROR(__xludf.DUMMYFUNCTION("REGEXREPLACE(C10938,""-\d+(.*)|--\d+(.*)"","""")"),"MONTBERON")</f>
        <v>MONTBERON</v>
      </c>
      <c r="E10938" s="38" t="s">
        <v>93</v>
      </c>
      <c r="F10938" s="38" t="s">
        <v>94</v>
      </c>
      <c r="G10938" s="49" t="str">
        <f t="shared" si="1"/>
        <v>31140</v>
      </c>
      <c r="H10938" s="49">
        <f t="shared" si="2"/>
        <v>31364</v>
      </c>
    </row>
    <row r="10939">
      <c r="A10939" s="48" t="s">
        <v>3810</v>
      </c>
      <c r="B10939" s="38">
        <v>77416.0</v>
      </c>
      <c r="C10939" s="38" t="s">
        <v>14971</v>
      </c>
      <c r="D10939" s="38" t="str">
        <f>IFERROR(__xludf.DUMMYFUNCTION("REGEXREPLACE(C10939,""-\d+(.*)|--\d+(.*)"","""")"),"SAINT-JUST-EN-BRIE")</f>
        <v>SAINT-JUST-EN-BRIE</v>
      </c>
      <c r="E10939" s="38" t="s">
        <v>244</v>
      </c>
      <c r="F10939" s="38" t="s">
        <v>245</v>
      </c>
      <c r="G10939" s="49" t="str">
        <f t="shared" si="1"/>
        <v>77370</v>
      </c>
      <c r="H10939" s="49">
        <f t="shared" si="2"/>
        <v>77416</v>
      </c>
    </row>
    <row r="10940">
      <c r="A10940" s="48" t="s">
        <v>1874</v>
      </c>
      <c r="B10940" s="38">
        <v>73118.0</v>
      </c>
      <c r="C10940" s="38" t="s">
        <v>14972</v>
      </c>
      <c r="D10940" s="38" t="str">
        <f>IFERROR(__xludf.DUMMYFUNCTION("REGEXREPLACE(C10940,""-\d+(.*)|--\d+(.*)"","""")"),"FRANCIN")</f>
        <v>FRANCIN</v>
      </c>
      <c r="E10940" s="38" t="s">
        <v>306</v>
      </c>
      <c r="F10940" s="38" t="s">
        <v>102</v>
      </c>
      <c r="G10940" s="49" t="str">
        <f t="shared" si="1"/>
        <v>73800</v>
      </c>
      <c r="H10940" s="49">
        <f t="shared" si="2"/>
        <v>73118</v>
      </c>
    </row>
    <row r="10941">
      <c r="A10941" s="48" t="s">
        <v>13625</v>
      </c>
      <c r="B10941" s="38">
        <v>38166.0</v>
      </c>
      <c r="C10941" s="38" t="s">
        <v>14973</v>
      </c>
      <c r="D10941" s="38" t="str">
        <f>IFERROR(__xludf.DUMMYFUNCTION("REGEXREPLACE(C10941,""-\d+(.*)|--\d+(.*)"","""")"),"LA FLACHERE")</f>
        <v>LA FLACHERE</v>
      </c>
      <c r="E10941" s="38" t="s">
        <v>101</v>
      </c>
      <c r="F10941" s="38" t="s">
        <v>102</v>
      </c>
      <c r="G10941" s="49" t="str">
        <f t="shared" si="1"/>
        <v>38530</v>
      </c>
      <c r="H10941" s="49">
        <f t="shared" si="2"/>
        <v>38166</v>
      </c>
    </row>
    <row r="10942">
      <c r="A10942" s="48" t="s">
        <v>3233</v>
      </c>
      <c r="B10942" s="38">
        <v>54463.0</v>
      </c>
      <c r="C10942" s="38" t="s">
        <v>14974</v>
      </c>
      <c r="D10942" s="38" t="str">
        <f>IFERROR(__xludf.DUMMYFUNCTION("REGEXREPLACE(C10942,""-\d+(.*)|--\d+(.*)"","""")"),"ROSIERES-EN-HAYE")</f>
        <v>ROSIERES-EN-HAYE</v>
      </c>
      <c r="E10942" s="38" t="s">
        <v>548</v>
      </c>
      <c r="F10942" s="38" t="s">
        <v>195</v>
      </c>
      <c r="G10942" s="49" t="str">
        <f t="shared" si="1"/>
        <v>54385</v>
      </c>
      <c r="H10942" s="49">
        <f t="shared" si="2"/>
        <v>54463</v>
      </c>
    </row>
    <row r="10943">
      <c r="A10943" s="48" t="s">
        <v>301</v>
      </c>
      <c r="B10943" s="38">
        <v>57520.0</v>
      </c>
      <c r="C10943" s="38" t="s">
        <v>14975</v>
      </c>
      <c r="D10943" s="38" t="str">
        <f>IFERROR(__xludf.DUMMYFUNCTION("REGEXREPLACE(C10943,""-\d+(.*)|--\d+(.*)"","""")"),"OBRECK")</f>
        <v>OBRECK</v>
      </c>
      <c r="E10943" s="38" t="s">
        <v>303</v>
      </c>
      <c r="F10943" s="38" t="s">
        <v>195</v>
      </c>
      <c r="G10943" s="49" t="str">
        <f t="shared" si="1"/>
        <v>57170</v>
      </c>
      <c r="H10943" s="49">
        <f t="shared" si="2"/>
        <v>57520</v>
      </c>
    </row>
    <row r="10944">
      <c r="A10944" s="48" t="s">
        <v>5545</v>
      </c>
      <c r="B10944" s="38">
        <v>22160.0</v>
      </c>
      <c r="C10944" s="38" t="s">
        <v>14976</v>
      </c>
      <c r="D10944" s="38" t="str">
        <f>IFERROR(__xludf.DUMMYFUNCTION("REGEXREPLACE(C10944,""-\d+(.*)|--\d+(.*)"","""")"),"NOYAL")</f>
        <v>NOYAL</v>
      </c>
      <c r="E10944" s="38" t="s">
        <v>89</v>
      </c>
      <c r="F10944" s="38" t="s">
        <v>90</v>
      </c>
      <c r="G10944" s="49" t="str">
        <f t="shared" si="1"/>
        <v>22400</v>
      </c>
      <c r="H10944" s="49">
        <f t="shared" si="2"/>
        <v>22160</v>
      </c>
    </row>
    <row r="10945">
      <c r="A10945" s="48" t="s">
        <v>2477</v>
      </c>
      <c r="B10945" s="38">
        <v>76430.0</v>
      </c>
      <c r="C10945" s="38" t="s">
        <v>14977</v>
      </c>
      <c r="D10945" s="38" t="str">
        <f>IFERROR(__xludf.DUMMYFUNCTION("REGEXREPLACE(C10945,""-\d+(.*)|--\d+(.*)"","""")"),"MESNIL-FOLLEMPRISE")</f>
        <v>MESNIL-FOLLEMPRISE</v>
      </c>
      <c r="E10945" s="38" t="s">
        <v>133</v>
      </c>
      <c r="F10945" s="38" t="s">
        <v>134</v>
      </c>
      <c r="G10945" s="49" t="str">
        <f t="shared" si="1"/>
        <v>76660</v>
      </c>
      <c r="H10945" s="49">
        <f t="shared" si="2"/>
        <v>76430</v>
      </c>
    </row>
    <row r="10946">
      <c r="A10946" s="48" t="s">
        <v>8267</v>
      </c>
      <c r="B10946" s="38">
        <v>22121.0</v>
      </c>
      <c r="C10946" s="38" t="s">
        <v>14978</v>
      </c>
      <c r="D10946" s="38" t="str">
        <f>IFERROR(__xludf.DUMMYFUNCTION("REGEXREPLACE(C10946,""-\d+(.*)|--\d+(.*)"","""")"),"LANVOLLON")</f>
        <v>LANVOLLON</v>
      </c>
      <c r="E10946" s="38" t="s">
        <v>89</v>
      </c>
      <c r="F10946" s="38" t="s">
        <v>90</v>
      </c>
      <c r="G10946" s="49" t="str">
        <f t="shared" si="1"/>
        <v>22290</v>
      </c>
      <c r="H10946" s="49">
        <f t="shared" si="2"/>
        <v>22121</v>
      </c>
    </row>
    <row r="10947">
      <c r="A10947" s="48" t="s">
        <v>2650</v>
      </c>
      <c r="B10947" s="38">
        <v>65126.0</v>
      </c>
      <c r="C10947" s="38" t="s">
        <v>14979</v>
      </c>
      <c r="D10947" s="38" t="str">
        <f>IFERROR(__xludf.DUMMYFUNCTION("REGEXREPLACE(C10947,""-\d+(.*)|--\d+(.*)"","""")"),"CAMPUZAN")</f>
        <v>CAMPUZAN</v>
      </c>
      <c r="E10947" s="38" t="s">
        <v>200</v>
      </c>
      <c r="F10947" s="38" t="s">
        <v>94</v>
      </c>
      <c r="G10947" s="49" t="str">
        <f t="shared" si="1"/>
        <v>65230</v>
      </c>
      <c r="H10947" s="49">
        <f t="shared" si="2"/>
        <v>65126</v>
      </c>
    </row>
    <row r="10948">
      <c r="A10948" s="48" t="s">
        <v>2579</v>
      </c>
      <c r="B10948" s="38">
        <v>32216.0</v>
      </c>
      <c r="C10948" s="38" t="s">
        <v>14980</v>
      </c>
      <c r="D10948" s="38" t="str">
        <f>IFERROR(__xludf.DUMMYFUNCTION("REGEXREPLACE(C10948,""-\d+(.*)|--\d+(.*)"","""")"),"LOURTIES-MONBRUN")</f>
        <v>LOURTIES-MONBRUN</v>
      </c>
      <c r="E10948" s="38" t="s">
        <v>440</v>
      </c>
      <c r="F10948" s="38" t="s">
        <v>94</v>
      </c>
      <c r="G10948" s="49" t="str">
        <f t="shared" si="1"/>
        <v>32140</v>
      </c>
      <c r="H10948" s="49">
        <f t="shared" si="2"/>
        <v>32216</v>
      </c>
    </row>
    <row r="10949">
      <c r="A10949" s="48" t="s">
        <v>2482</v>
      </c>
      <c r="B10949" s="38">
        <v>28112.0</v>
      </c>
      <c r="C10949" s="38" t="s">
        <v>14981</v>
      </c>
      <c r="D10949" s="38" t="str">
        <f>IFERROR(__xludf.DUMMYFUNCTION("REGEXREPLACE(C10949,""-\d+(.*)|--\d+(.*)"","""")"),"COUDRECEAU")</f>
        <v>COUDRECEAU</v>
      </c>
      <c r="E10949" s="38" t="s">
        <v>300</v>
      </c>
      <c r="F10949" s="38" t="s">
        <v>123</v>
      </c>
      <c r="G10949" s="49" t="str">
        <f t="shared" si="1"/>
        <v>28400</v>
      </c>
      <c r="H10949" s="49">
        <f t="shared" si="2"/>
        <v>28112</v>
      </c>
    </row>
    <row r="10950">
      <c r="A10950" s="48" t="s">
        <v>8680</v>
      </c>
      <c r="B10950" s="38">
        <v>72010.0</v>
      </c>
      <c r="C10950" s="38" t="s">
        <v>14982</v>
      </c>
      <c r="D10950" s="38" t="str">
        <f>IFERROR(__xludf.DUMMYFUNCTION("REGEXREPLACE(C10950,""-\d+(.*)|--\d+(.*)"","""")"),"ASNIERES-SUR-VEGRE")</f>
        <v>ASNIERES-SUR-VEGRE</v>
      </c>
      <c r="E10950" s="38" t="s">
        <v>521</v>
      </c>
      <c r="F10950" s="38" t="s">
        <v>180</v>
      </c>
      <c r="G10950" s="49" t="str">
        <f t="shared" si="1"/>
        <v>72430</v>
      </c>
      <c r="H10950" s="49">
        <f t="shared" si="2"/>
        <v>72010</v>
      </c>
    </row>
    <row r="10951">
      <c r="A10951" s="48" t="s">
        <v>4088</v>
      </c>
      <c r="B10951" s="38">
        <v>39192.0</v>
      </c>
      <c r="C10951" s="38" t="s">
        <v>14983</v>
      </c>
      <c r="D10951" s="38" t="str">
        <f>IFERROR(__xludf.DUMMYFUNCTION("REGEXREPLACE(C10951,""-\d+(.*)|--\d+(.*)"","""")"),"DENEZIERES")</f>
        <v>DENEZIERES</v>
      </c>
      <c r="E10951" s="38" t="s">
        <v>400</v>
      </c>
      <c r="F10951" s="38" t="s">
        <v>214</v>
      </c>
      <c r="G10951" s="49" t="str">
        <f t="shared" si="1"/>
        <v>39130</v>
      </c>
      <c r="H10951" s="49">
        <f t="shared" si="2"/>
        <v>39192</v>
      </c>
    </row>
    <row r="10952">
      <c r="A10952" s="48" t="s">
        <v>3346</v>
      </c>
      <c r="B10952" s="38">
        <v>65454.0</v>
      </c>
      <c r="C10952" s="38" t="s">
        <v>14984</v>
      </c>
      <c r="D10952" s="38" t="str">
        <f>IFERROR(__xludf.DUMMYFUNCTION("REGEXREPLACE(C10952,""-\d+(.*)|--\d+(.*)"","""")"),"TROULEY-LABARTHE")</f>
        <v>TROULEY-LABARTHE</v>
      </c>
      <c r="E10952" s="38" t="s">
        <v>200</v>
      </c>
      <c r="F10952" s="38" t="s">
        <v>94</v>
      </c>
      <c r="G10952" s="49" t="str">
        <f t="shared" si="1"/>
        <v>65140</v>
      </c>
      <c r="H10952" s="49">
        <f t="shared" si="2"/>
        <v>65454</v>
      </c>
    </row>
    <row r="10953">
      <c r="A10953" s="48" t="s">
        <v>4728</v>
      </c>
      <c r="B10953" s="38">
        <v>37198.0</v>
      </c>
      <c r="C10953" s="38" t="s">
        <v>14985</v>
      </c>
      <c r="D10953" s="38" t="str">
        <f>IFERROR(__xludf.DUMMYFUNCTION("REGEXREPLACE(C10953,""-\d+(.*)|--\d+(.*)"","""")"),"RILLE")</f>
        <v>RILLE</v>
      </c>
      <c r="E10953" s="38" t="s">
        <v>205</v>
      </c>
      <c r="F10953" s="38" t="s">
        <v>123</v>
      </c>
      <c r="G10953" s="49" t="str">
        <f t="shared" si="1"/>
        <v>37340</v>
      </c>
      <c r="H10953" s="49">
        <f t="shared" si="2"/>
        <v>37198</v>
      </c>
    </row>
    <row r="10954">
      <c r="A10954" s="48" t="s">
        <v>14986</v>
      </c>
      <c r="B10954" s="38">
        <v>84131.0</v>
      </c>
      <c r="C10954" s="38" t="s">
        <v>14987</v>
      </c>
      <c r="D10954" s="38" t="str">
        <f>IFERROR(__xludf.DUMMYFUNCTION("REGEXREPLACE(C10954,""-\d+(.*)|--\d+(.*)"","""")"),"TAILLADES")</f>
        <v>TAILLADES</v>
      </c>
      <c r="E10954" s="38" t="s">
        <v>1026</v>
      </c>
      <c r="F10954" s="38" t="s">
        <v>228</v>
      </c>
      <c r="G10954" s="49" t="str">
        <f t="shared" si="1"/>
        <v>84300</v>
      </c>
      <c r="H10954" s="49">
        <f t="shared" si="2"/>
        <v>84131</v>
      </c>
    </row>
    <row r="10955">
      <c r="A10955" s="48" t="s">
        <v>3486</v>
      </c>
      <c r="B10955" s="38">
        <v>76536.0</v>
      </c>
      <c r="C10955" s="38" t="s">
        <v>14988</v>
      </c>
      <c r="D10955" s="38" t="str">
        <f>IFERROR(__xludf.DUMMYFUNCTION("REGEXREPLACE(C10955,""-\d+(.*)|--\d+(.*)"","""")"),"RONCHEROLLES-SUR-LE-VIVIER")</f>
        <v>RONCHEROLLES-SUR-LE-VIVIER</v>
      </c>
      <c r="E10955" s="38" t="s">
        <v>133</v>
      </c>
      <c r="F10955" s="38" t="s">
        <v>134</v>
      </c>
      <c r="G10955" s="49" t="str">
        <f t="shared" si="1"/>
        <v>76160</v>
      </c>
      <c r="H10955" s="49">
        <f t="shared" si="2"/>
        <v>76536</v>
      </c>
    </row>
    <row r="10956">
      <c r="A10956" s="48" t="s">
        <v>14989</v>
      </c>
      <c r="B10956" s="38">
        <v>74116.0</v>
      </c>
      <c r="C10956" s="38" t="s">
        <v>14990</v>
      </c>
      <c r="D10956" s="38" t="str">
        <f>IFERROR(__xludf.DUMMYFUNCTION("REGEXREPLACE(C10956,""-\d+(.*)|--\d+(.*)"","""")"),"ETAUX")</f>
        <v>ETAUX</v>
      </c>
      <c r="E10956" s="38" t="s">
        <v>319</v>
      </c>
      <c r="F10956" s="38" t="s">
        <v>102</v>
      </c>
      <c r="G10956" s="49" t="str">
        <f t="shared" si="1"/>
        <v>74800</v>
      </c>
      <c r="H10956" s="49">
        <f t="shared" si="2"/>
        <v>74116</v>
      </c>
    </row>
    <row r="10957">
      <c r="A10957" s="48" t="s">
        <v>14991</v>
      </c>
      <c r="B10957" s="38">
        <v>74188.0</v>
      </c>
      <c r="C10957" s="38" t="s">
        <v>14992</v>
      </c>
      <c r="D10957" s="38" t="str">
        <f>IFERROR(__xludf.DUMMYFUNCTION("REGEXREPLACE(C10957,""-\d+(.*)|--\d+(.*)"","""")"),"MONTRIOND")</f>
        <v>MONTRIOND</v>
      </c>
      <c r="E10957" s="38" t="s">
        <v>319</v>
      </c>
      <c r="F10957" s="38" t="s">
        <v>102</v>
      </c>
      <c r="G10957" s="49" t="str">
        <f t="shared" si="1"/>
        <v>74110</v>
      </c>
      <c r="H10957" s="49">
        <f t="shared" si="2"/>
        <v>74188</v>
      </c>
    </row>
    <row r="10958">
      <c r="A10958" s="48" t="s">
        <v>4596</v>
      </c>
      <c r="B10958" s="38">
        <v>2023.0</v>
      </c>
      <c r="C10958" s="38" t="s">
        <v>14993</v>
      </c>
      <c r="D10958" s="38" t="str">
        <f>IFERROR(__xludf.DUMMYFUNCTION("REGEXREPLACE(C10958,""-\d+(.*)|--\d+(.*)"","""")"),"ARMENTIERES-SUR-OURCQ")</f>
        <v>ARMENTIERES-SUR-OURCQ</v>
      </c>
      <c r="E10958" s="38" t="s">
        <v>191</v>
      </c>
      <c r="F10958" s="38" t="s">
        <v>113</v>
      </c>
      <c r="G10958" s="49" t="str">
        <f t="shared" si="1"/>
        <v>02210</v>
      </c>
      <c r="H10958" s="49" t="str">
        <f t="shared" si="2"/>
        <v>02023</v>
      </c>
    </row>
    <row r="10959">
      <c r="A10959" s="48" t="s">
        <v>2413</v>
      </c>
      <c r="B10959" s="38">
        <v>72013.0</v>
      </c>
      <c r="C10959" s="38" t="s">
        <v>14994</v>
      </c>
      <c r="D10959" s="38" t="str">
        <f>IFERROR(__xludf.DUMMYFUNCTION("REGEXREPLACE(C10959,""-\d+(.*)|--\d+(.*)"","""")"),"AUBIGNE-RACAN")</f>
        <v>AUBIGNE-RACAN</v>
      </c>
      <c r="E10959" s="38" t="s">
        <v>521</v>
      </c>
      <c r="F10959" s="38" t="s">
        <v>180</v>
      </c>
      <c r="G10959" s="49" t="str">
        <f t="shared" si="1"/>
        <v>72800</v>
      </c>
      <c r="H10959" s="49">
        <f t="shared" si="2"/>
        <v>72013</v>
      </c>
    </row>
    <row r="10960">
      <c r="A10960" s="48" t="s">
        <v>4088</v>
      </c>
      <c r="B10960" s="38">
        <v>39518.0</v>
      </c>
      <c r="C10960" s="38" t="s">
        <v>14995</v>
      </c>
      <c r="D10960" s="38" t="str">
        <f>IFERROR(__xludf.DUMMYFUNCTION("REGEXREPLACE(C10960,""-\d+(.*)|--\d+(.*)"","""")"),"SONGESON")</f>
        <v>SONGESON</v>
      </c>
      <c r="E10960" s="38" t="s">
        <v>400</v>
      </c>
      <c r="F10960" s="38" t="s">
        <v>214</v>
      </c>
      <c r="G10960" s="49" t="str">
        <f t="shared" si="1"/>
        <v>39130</v>
      </c>
      <c r="H10960" s="49">
        <f t="shared" si="2"/>
        <v>39518</v>
      </c>
    </row>
    <row r="10961">
      <c r="A10961" s="48" t="s">
        <v>12108</v>
      </c>
      <c r="B10961" s="38">
        <v>38310.0</v>
      </c>
      <c r="C10961" s="38" t="s">
        <v>14996</v>
      </c>
      <c r="D10961" s="38" t="str">
        <f>IFERROR(__xludf.DUMMYFUNCTION("REGEXREPLACE(C10961,""-\d+(.*)|--\d+(.*)"","""")"),"POLIENAS")</f>
        <v>POLIENAS</v>
      </c>
      <c r="E10961" s="38" t="s">
        <v>101</v>
      </c>
      <c r="F10961" s="38" t="s">
        <v>102</v>
      </c>
      <c r="G10961" s="49" t="str">
        <f t="shared" si="1"/>
        <v>38210</v>
      </c>
      <c r="H10961" s="49">
        <f t="shared" si="2"/>
        <v>38310</v>
      </c>
    </row>
    <row r="10962">
      <c r="A10962" s="48" t="s">
        <v>14997</v>
      </c>
      <c r="B10962" s="38">
        <v>80415.0</v>
      </c>
      <c r="C10962" s="38" t="s">
        <v>14998</v>
      </c>
      <c r="D10962" s="38" t="str">
        <f>IFERROR(__xludf.DUMMYFUNCTION("REGEXREPLACE(C10962,""-\d+(.*)|--\d+(.*)"","""")"),"HANGEST-EN-SANTERRE")</f>
        <v>HANGEST-EN-SANTERRE</v>
      </c>
      <c r="E10962" s="38" t="s">
        <v>224</v>
      </c>
      <c r="F10962" s="38" t="s">
        <v>113</v>
      </c>
      <c r="G10962" s="49" t="str">
        <f t="shared" si="1"/>
        <v>80134</v>
      </c>
      <c r="H10962" s="49">
        <f t="shared" si="2"/>
        <v>80415</v>
      </c>
    </row>
    <row r="10963">
      <c r="A10963" s="48" t="s">
        <v>2571</v>
      </c>
      <c r="B10963" s="38">
        <v>61216.0</v>
      </c>
      <c r="C10963" s="38" t="s">
        <v>14999</v>
      </c>
      <c r="D10963" s="38" t="str">
        <f>IFERROR(__xludf.DUMMYFUNCTION("REGEXREPLACE(C10963,""-\d+(.*)|--\d+(.*)"","""")"),"LA LANDE-DE-GOULT")</f>
        <v>LA LANDE-DE-GOULT</v>
      </c>
      <c r="E10963" s="38" t="s">
        <v>141</v>
      </c>
      <c r="F10963" s="38" t="s">
        <v>138</v>
      </c>
      <c r="G10963" s="49" t="str">
        <f t="shared" si="1"/>
        <v>61320</v>
      </c>
      <c r="H10963" s="49">
        <f t="shared" si="2"/>
        <v>61216</v>
      </c>
    </row>
    <row r="10964">
      <c r="A10964" s="48" t="s">
        <v>15000</v>
      </c>
      <c r="B10964" s="38">
        <v>68173.0</v>
      </c>
      <c r="C10964" s="38" t="s">
        <v>15001</v>
      </c>
      <c r="D10964" s="38" t="str">
        <f>IFERROR(__xludf.DUMMYFUNCTION("REGEXREPLACE(C10964,""-\d+(.*)|--\d+(.*)"","""")"),"LABAROCHE")</f>
        <v>LABAROCHE</v>
      </c>
      <c r="E10964" s="38" t="s">
        <v>150</v>
      </c>
      <c r="F10964" s="38" t="s">
        <v>151</v>
      </c>
      <c r="G10964" s="49" t="str">
        <f t="shared" si="1"/>
        <v>68910</v>
      </c>
      <c r="H10964" s="49">
        <f t="shared" si="2"/>
        <v>68173</v>
      </c>
    </row>
    <row r="10965">
      <c r="A10965" s="48" t="s">
        <v>2563</v>
      </c>
      <c r="B10965" s="38">
        <v>76248.0</v>
      </c>
      <c r="C10965" s="38" t="s">
        <v>15002</v>
      </c>
      <c r="D10965" s="38" t="str">
        <f>IFERROR(__xludf.DUMMYFUNCTION("REGEXREPLACE(C10965,""-\d+(.*)|--\d+(.*)"","""")"),"ESTOUTEVILLE-ECALLES")</f>
        <v>ESTOUTEVILLE-ECALLES</v>
      </c>
      <c r="E10965" s="38" t="s">
        <v>133</v>
      </c>
      <c r="F10965" s="38" t="s">
        <v>134</v>
      </c>
      <c r="G10965" s="49" t="str">
        <f t="shared" si="1"/>
        <v>76750</v>
      </c>
      <c r="H10965" s="49">
        <f t="shared" si="2"/>
        <v>76248</v>
      </c>
    </row>
    <row r="10966">
      <c r="A10966" s="48" t="s">
        <v>1439</v>
      </c>
      <c r="B10966" s="38">
        <v>28094.0</v>
      </c>
      <c r="C10966" s="38" t="s">
        <v>15003</v>
      </c>
      <c r="D10966" s="38" t="str">
        <f>IFERROR(__xludf.DUMMYFUNCTION("REGEXREPLACE(C10966,""-\d+(.*)|--\d+(.*)"","""")"),"CHAUDON")</f>
        <v>CHAUDON</v>
      </c>
      <c r="E10966" s="38" t="s">
        <v>300</v>
      </c>
      <c r="F10966" s="38" t="s">
        <v>123</v>
      </c>
      <c r="G10966" s="49" t="str">
        <f t="shared" si="1"/>
        <v>28210</v>
      </c>
      <c r="H10966" s="49">
        <f t="shared" si="2"/>
        <v>28094</v>
      </c>
    </row>
    <row r="10967">
      <c r="A10967" s="48" t="s">
        <v>13129</v>
      </c>
      <c r="B10967" s="38">
        <v>24088.0</v>
      </c>
      <c r="C10967" s="38" t="s">
        <v>15004</v>
      </c>
      <c r="D10967" s="38" t="str">
        <f>IFERROR(__xludf.DUMMYFUNCTION("REGEXREPLACE(C10967,""-\d+(.*)|--\d+(.*)"","""")"),"CAUSE-DE-CLERANS")</f>
        <v>CAUSE-DE-CLERANS</v>
      </c>
      <c r="E10967" s="38" t="s">
        <v>261</v>
      </c>
      <c r="F10967" s="38" t="s">
        <v>252</v>
      </c>
      <c r="G10967" s="49" t="str">
        <f t="shared" si="1"/>
        <v>24150</v>
      </c>
      <c r="H10967" s="49">
        <f t="shared" si="2"/>
        <v>24088</v>
      </c>
    </row>
    <row r="10968">
      <c r="A10968" s="48" t="s">
        <v>3418</v>
      </c>
      <c r="B10968" s="38">
        <v>47321.0</v>
      </c>
      <c r="C10968" s="38" t="s">
        <v>15005</v>
      </c>
      <c r="D10968" s="38" t="str">
        <f>IFERROR(__xludf.DUMMYFUNCTION("REGEXREPLACE(C10968,""-\d+(.*)|--\d+(.*)"","""")"),"VILLENEUVE-DE-DURAS")</f>
        <v>VILLENEUVE-DE-DURAS</v>
      </c>
      <c r="E10968" s="38" t="s">
        <v>251</v>
      </c>
      <c r="F10968" s="38" t="s">
        <v>252</v>
      </c>
      <c r="G10968" s="49" t="str">
        <f t="shared" si="1"/>
        <v>47120</v>
      </c>
      <c r="H10968" s="49">
        <f t="shared" si="2"/>
        <v>47321</v>
      </c>
    </row>
    <row r="10969">
      <c r="A10969" s="48" t="s">
        <v>11602</v>
      </c>
      <c r="B10969" s="38">
        <v>5169.0</v>
      </c>
      <c r="C10969" s="38" t="s">
        <v>6050</v>
      </c>
      <c r="D10969" s="38" t="str">
        <f>IFERROR(__xludf.DUMMYFUNCTION("REGEXREPLACE(C10969,""-\d+(.*)|--\d+(.*)"","""")"),"SORBIERS")</f>
        <v>SORBIERS</v>
      </c>
      <c r="E10969" s="38" t="s">
        <v>706</v>
      </c>
      <c r="F10969" s="38" t="s">
        <v>228</v>
      </c>
      <c r="G10969" s="49" t="str">
        <f t="shared" si="1"/>
        <v>05150</v>
      </c>
      <c r="H10969" s="49" t="str">
        <f t="shared" si="2"/>
        <v>05169</v>
      </c>
    </row>
    <row r="10970">
      <c r="A10970" s="48" t="s">
        <v>15006</v>
      </c>
      <c r="B10970" s="38">
        <v>59064.0</v>
      </c>
      <c r="C10970" s="38" t="s">
        <v>15007</v>
      </c>
      <c r="D10970" s="38" t="str">
        <f>IFERROR(__xludf.DUMMYFUNCTION("REGEXREPLACE(C10970,""-\d+(.*)|--\d+(.*)"","""")"),"BELLAING")</f>
        <v>BELLAING</v>
      </c>
      <c r="E10970" s="38" t="s">
        <v>85</v>
      </c>
      <c r="F10970" s="38" t="s">
        <v>86</v>
      </c>
      <c r="G10970" s="49" t="str">
        <f t="shared" si="1"/>
        <v>59135</v>
      </c>
      <c r="H10970" s="49">
        <f t="shared" si="2"/>
        <v>59064</v>
      </c>
    </row>
    <row r="10971">
      <c r="A10971" s="48" t="s">
        <v>1823</v>
      </c>
      <c r="B10971" s="38">
        <v>48137.0</v>
      </c>
      <c r="C10971" s="38" t="s">
        <v>8341</v>
      </c>
      <c r="D10971" s="38" t="str">
        <f>IFERROR(__xludf.DUMMYFUNCTION("REGEXREPLACE(C10971,""-\d+(.*)|--\d+(.*)"","""")"),"SAINT-BAUZILE")</f>
        <v>SAINT-BAUZILE</v>
      </c>
      <c r="E10971" s="38" t="s">
        <v>154</v>
      </c>
      <c r="F10971" s="38" t="s">
        <v>119</v>
      </c>
      <c r="G10971" s="49" t="str">
        <f t="shared" si="1"/>
        <v>48000</v>
      </c>
      <c r="H10971" s="49">
        <f t="shared" si="2"/>
        <v>48137</v>
      </c>
    </row>
    <row r="10972">
      <c r="A10972" s="48" t="s">
        <v>2666</v>
      </c>
      <c r="B10972" s="38">
        <v>34102.0</v>
      </c>
      <c r="C10972" s="38" t="s">
        <v>3634</v>
      </c>
      <c r="D10972" s="38" t="str">
        <f>IFERROR(__xludf.DUMMYFUNCTION("REGEXREPLACE(C10972,""-\d+(.*)|--\d+(.*)"","""")"),"FONTANES")</f>
        <v>FONTANES</v>
      </c>
      <c r="E10972" s="38" t="s">
        <v>118</v>
      </c>
      <c r="F10972" s="38" t="s">
        <v>119</v>
      </c>
      <c r="G10972" s="49" t="str">
        <f t="shared" si="1"/>
        <v>34270</v>
      </c>
      <c r="H10972" s="49">
        <f t="shared" si="2"/>
        <v>34102</v>
      </c>
    </row>
    <row r="10973">
      <c r="A10973" s="48" t="s">
        <v>573</v>
      </c>
      <c r="B10973" s="38">
        <v>65179.0</v>
      </c>
      <c r="C10973" s="38" t="s">
        <v>15008</v>
      </c>
      <c r="D10973" s="38" t="str">
        <f>IFERROR(__xludf.DUMMYFUNCTION("REGEXREPLACE(C10973,""-\d+(.*)|--\d+(.*)"","""")"),"FRECHENDETS")</f>
        <v>FRECHENDETS</v>
      </c>
      <c r="E10973" s="38" t="s">
        <v>200</v>
      </c>
      <c r="F10973" s="38" t="s">
        <v>94</v>
      </c>
      <c r="G10973" s="49" t="str">
        <f t="shared" si="1"/>
        <v>65130</v>
      </c>
      <c r="H10973" s="49">
        <f t="shared" si="2"/>
        <v>65179</v>
      </c>
    </row>
    <row r="10974">
      <c r="A10974" s="48" t="s">
        <v>719</v>
      </c>
      <c r="B10974" s="38">
        <v>8395.0</v>
      </c>
      <c r="C10974" s="38" t="s">
        <v>15009</v>
      </c>
      <c r="D10974" s="38" t="str">
        <f>IFERROR(__xludf.DUMMYFUNCTION("REGEXREPLACE(C10974,""-\d+(.*)|--\d+(.*)"","""")"),"SAINT-PIERRE-SUR-VENCE")</f>
        <v>SAINT-PIERRE-SUR-VENCE</v>
      </c>
      <c r="E10974" s="38" t="s">
        <v>327</v>
      </c>
      <c r="F10974" s="38" t="s">
        <v>130</v>
      </c>
      <c r="G10974" s="49" t="str">
        <f t="shared" si="1"/>
        <v>08430</v>
      </c>
      <c r="H10974" s="49" t="str">
        <f t="shared" si="2"/>
        <v>08395</v>
      </c>
    </row>
    <row r="10975">
      <c r="A10975" s="48" t="s">
        <v>14258</v>
      </c>
      <c r="B10975" s="38">
        <v>34121.0</v>
      </c>
      <c r="C10975" s="38" t="s">
        <v>15010</v>
      </c>
      <c r="D10975" s="38" t="str">
        <f>IFERROR(__xludf.DUMMYFUNCTION("REGEXREPLACE(C10975,""-\d+(.*)|--\d+(.*)"","""")"),"JONCELS")</f>
        <v>JONCELS</v>
      </c>
      <c r="E10975" s="38" t="s">
        <v>118</v>
      </c>
      <c r="F10975" s="38" t="s">
        <v>119</v>
      </c>
      <c r="G10975" s="49" t="str">
        <f t="shared" si="1"/>
        <v>34650</v>
      </c>
      <c r="H10975" s="49">
        <f t="shared" si="2"/>
        <v>34121</v>
      </c>
    </row>
    <row r="10976">
      <c r="A10976" s="48" t="s">
        <v>5020</v>
      </c>
      <c r="B10976" s="38">
        <v>51350.0</v>
      </c>
      <c r="C10976" s="38" t="s">
        <v>15011</v>
      </c>
      <c r="D10976" s="38" t="str">
        <f>IFERROR(__xludf.DUMMYFUNCTION("REGEXREPLACE(C10976,""-\d+(.*)|--\d+(.*)"","""")"),"MARGNY")</f>
        <v>MARGNY</v>
      </c>
      <c r="E10976" s="38" t="s">
        <v>129</v>
      </c>
      <c r="F10976" s="38" t="s">
        <v>130</v>
      </c>
      <c r="G10976" s="49" t="str">
        <f t="shared" si="1"/>
        <v>51210</v>
      </c>
      <c r="H10976" s="49">
        <f t="shared" si="2"/>
        <v>51350</v>
      </c>
    </row>
    <row r="10977">
      <c r="A10977" s="48" t="s">
        <v>7702</v>
      </c>
      <c r="B10977" s="38">
        <v>57469.0</v>
      </c>
      <c r="C10977" s="38" t="s">
        <v>15012</v>
      </c>
      <c r="D10977" s="38" t="str">
        <f>IFERROR(__xludf.DUMMYFUNCTION("REGEXREPLACE(C10977,""-\d+(.*)|--\d+(.*)"","""")"),"MITTERSHEIM")</f>
        <v>MITTERSHEIM</v>
      </c>
      <c r="E10977" s="38" t="s">
        <v>303</v>
      </c>
      <c r="F10977" s="38" t="s">
        <v>195</v>
      </c>
      <c r="G10977" s="49" t="str">
        <f t="shared" si="1"/>
        <v>57930</v>
      </c>
      <c r="H10977" s="49">
        <f t="shared" si="2"/>
        <v>57469</v>
      </c>
    </row>
    <row r="10978">
      <c r="A10978" s="48" t="s">
        <v>6945</v>
      </c>
      <c r="B10978" s="38">
        <v>80433.0</v>
      </c>
      <c r="C10978" s="38" t="s">
        <v>12198</v>
      </c>
      <c r="D10978" s="38" t="str">
        <f>IFERROR(__xludf.DUMMYFUNCTION("REGEXREPLACE(C10978,""-\d+(.*)|--\d+(.*)"","""")"),"HERLY")</f>
        <v>HERLY</v>
      </c>
      <c r="E10978" s="38" t="s">
        <v>224</v>
      </c>
      <c r="F10978" s="38" t="s">
        <v>113</v>
      </c>
      <c r="G10978" s="49" t="str">
        <f t="shared" si="1"/>
        <v>80190</v>
      </c>
      <c r="H10978" s="49">
        <f t="shared" si="2"/>
        <v>80433</v>
      </c>
    </row>
    <row r="10979">
      <c r="A10979" s="48" t="s">
        <v>968</v>
      </c>
      <c r="B10979" s="38">
        <v>16108.0</v>
      </c>
      <c r="C10979" s="38" t="s">
        <v>15013</v>
      </c>
      <c r="D10979" s="38" t="str">
        <f>IFERROR(__xludf.DUMMYFUNCTION("REGEXREPLACE(C10979,""-\d+(.*)|--\d+(.*)"","""")"),"COULONGES")</f>
        <v>COULONGES</v>
      </c>
      <c r="E10979" s="38" t="s">
        <v>429</v>
      </c>
      <c r="F10979" s="38" t="s">
        <v>338</v>
      </c>
      <c r="G10979" s="49" t="str">
        <f t="shared" si="1"/>
        <v>16330</v>
      </c>
      <c r="H10979" s="49">
        <f t="shared" si="2"/>
        <v>16108</v>
      </c>
    </row>
    <row r="10980">
      <c r="A10980" s="48" t="s">
        <v>1132</v>
      </c>
      <c r="B10980" s="38">
        <v>2393.0</v>
      </c>
      <c r="C10980" s="38" t="s">
        <v>15014</v>
      </c>
      <c r="D10980" s="38" t="str">
        <f>IFERROR(__xludf.DUMMYFUNCTION("REGEXREPLACE(C10980,""-\d+(.*)|--\d+(.*)"","""")"),"JOUAIGNES")</f>
        <v>JOUAIGNES</v>
      </c>
      <c r="E10980" s="38" t="s">
        <v>191</v>
      </c>
      <c r="F10980" s="38" t="s">
        <v>113</v>
      </c>
      <c r="G10980" s="49" t="str">
        <f t="shared" si="1"/>
        <v>02220</v>
      </c>
      <c r="H10980" s="49" t="str">
        <f t="shared" si="2"/>
        <v>02393</v>
      </c>
    </row>
    <row r="10981">
      <c r="A10981" s="48" t="s">
        <v>15015</v>
      </c>
      <c r="B10981" s="38">
        <v>9029.0</v>
      </c>
      <c r="C10981" s="38" t="s">
        <v>15016</v>
      </c>
      <c r="D10981" s="38" t="str">
        <f>IFERROR(__xludf.DUMMYFUNCTION("REGEXREPLACE(C10981,""-\d+(.*)|--\d+(.*)"","""")"),"AULUS-LES-BAINS")</f>
        <v>AULUS-LES-BAINS</v>
      </c>
      <c r="E10981" s="38" t="s">
        <v>238</v>
      </c>
      <c r="F10981" s="38" t="s">
        <v>94</v>
      </c>
      <c r="G10981" s="49" t="str">
        <f t="shared" si="1"/>
        <v>09140</v>
      </c>
      <c r="H10981" s="49" t="str">
        <f t="shared" si="2"/>
        <v>09029</v>
      </c>
    </row>
    <row r="10982">
      <c r="A10982" s="48" t="s">
        <v>1501</v>
      </c>
      <c r="B10982" s="38">
        <v>39129.0</v>
      </c>
      <c r="C10982" s="38" t="s">
        <v>15017</v>
      </c>
      <c r="D10982" s="38" t="str">
        <f>IFERROR(__xludf.DUMMYFUNCTION("REGEXREPLACE(C10982,""-\d+(.*)|--\d+(.*)"","""")"),"CHAUX-DES-CROTENAY")</f>
        <v>CHAUX-DES-CROTENAY</v>
      </c>
      <c r="E10982" s="38" t="s">
        <v>400</v>
      </c>
      <c r="F10982" s="38" t="s">
        <v>214</v>
      </c>
      <c r="G10982" s="49" t="str">
        <f t="shared" si="1"/>
        <v>39150</v>
      </c>
      <c r="H10982" s="49">
        <f t="shared" si="2"/>
        <v>39129</v>
      </c>
    </row>
    <row r="10983">
      <c r="A10983" s="48" t="s">
        <v>15018</v>
      </c>
      <c r="B10983" s="38">
        <v>51058.0</v>
      </c>
      <c r="C10983" s="38" t="s">
        <v>15019</v>
      </c>
      <c r="D10983" s="38" t="str">
        <f>IFERROR(__xludf.DUMMYFUNCTION("REGEXREPLACE(C10983,""-\d+(.*)|--\d+(.*)"","""")"),"BEZANNES")</f>
        <v>BEZANNES</v>
      </c>
      <c r="E10983" s="38" t="s">
        <v>129</v>
      </c>
      <c r="F10983" s="38" t="s">
        <v>130</v>
      </c>
      <c r="G10983" s="49" t="str">
        <f t="shared" si="1"/>
        <v>51430</v>
      </c>
      <c r="H10983" s="49">
        <f t="shared" si="2"/>
        <v>51058</v>
      </c>
    </row>
    <row r="10984">
      <c r="A10984" s="48" t="s">
        <v>8829</v>
      </c>
      <c r="B10984" s="38">
        <v>63145.0</v>
      </c>
      <c r="C10984" s="38" t="s">
        <v>15020</v>
      </c>
      <c r="D10984" s="38" t="str">
        <f>IFERROR(__xludf.DUMMYFUNCTION("REGEXREPLACE(C10984,""-\d+(.*)|--\d+(.*)"","""")"),"EGLISENEUVE-DES-LIARDS")</f>
        <v>EGLISENEUVE-DES-LIARDS</v>
      </c>
      <c r="E10984" s="38" t="s">
        <v>353</v>
      </c>
      <c r="F10984" s="38" t="s">
        <v>161</v>
      </c>
      <c r="G10984" s="49" t="str">
        <f t="shared" si="1"/>
        <v>63490</v>
      </c>
      <c r="H10984" s="49">
        <f t="shared" si="2"/>
        <v>63145</v>
      </c>
    </row>
    <row r="10985">
      <c r="A10985" s="48" t="s">
        <v>13871</v>
      </c>
      <c r="B10985" s="38">
        <v>73122.0</v>
      </c>
      <c r="C10985" s="38" t="s">
        <v>15021</v>
      </c>
      <c r="D10985" s="38" t="str">
        <f>IFERROR(__xludf.DUMMYFUNCTION("REGEXREPLACE(C10985,""-\d+(.*)|--\d+(.*)"","""")"),"GERBAIX")</f>
        <v>GERBAIX</v>
      </c>
      <c r="E10985" s="38" t="s">
        <v>306</v>
      </c>
      <c r="F10985" s="38" t="s">
        <v>102</v>
      </c>
      <c r="G10985" s="49" t="str">
        <f t="shared" si="1"/>
        <v>73470</v>
      </c>
      <c r="H10985" s="49">
        <f t="shared" si="2"/>
        <v>73122</v>
      </c>
    </row>
    <row r="10986">
      <c r="A10986" s="48" t="s">
        <v>15022</v>
      </c>
      <c r="B10986" s="38">
        <v>8268.0</v>
      </c>
      <c r="C10986" s="38" t="s">
        <v>15023</v>
      </c>
      <c r="D10986" s="38" t="str">
        <f>IFERROR(__xludf.DUMMYFUNCTION("REGEXREPLACE(C10986,""-\d+(.*)|--\d+(.*)"","""")"),"MAISONCELLE-ET-VILLERS")</f>
        <v>MAISONCELLE-ET-VILLERS</v>
      </c>
      <c r="E10986" s="38" t="s">
        <v>327</v>
      </c>
      <c r="F10986" s="38" t="s">
        <v>130</v>
      </c>
      <c r="G10986" s="49" t="str">
        <f t="shared" si="1"/>
        <v>08450</v>
      </c>
      <c r="H10986" s="49" t="str">
        <f t="shared" si="2"/>
        <v>08268</v>
      </c>
    </row>
    <row r="10987">
      <c r="A10987" s="48" t="s">
        <v>15024</v>
      </c>
      <c r="B10987" s="38">
        <v>91064.0</v>
      </c>
      <c r="C10987" s="38" t="s">
        <v>13828</v>
      </c>
      <c r="D10987" s="38" t="str">
        <f>IFERROR(__xludf.DUMMYFUNCTION("REGEXREPLACE(C10987,""-\d+(.*)|--\d+(.*)"","""")"),"BIEVRES")</f>
        <v>BIEVRES</v>
      </c>
      <c r="E10987" s="38" t="s">
        <v>756</v>
      </c>
      <c r="F10987" s="38" t="s">
        <v>245</v>
      </c>
      <c r="G10987" s="49" t="str">
        <f t="shared" si="1"/>
        <v>91570</v>
      </c>
      <c r="H10987" s="49">
        <f t="shared" si="2"/>
        <v>91064</v>
      </c>
    </row>
    <row r="10988">
      <c r="A10988" s="48" t="s">
        <v>6948</v>
      </c>
      <c r="B10988" s="38">
        <v>17357.0</v>
      </c>
      <c r="C10988" s="38" t="s">
        <v>15025</v>
      </c>
      <c r="D10988" s="38" t="str">
        <f>IFERROR(__xludf.DUMMYFUNCTION("REGEXREPLACE(C10988,""-\d+(.*)|--\d+(.*)"","""")"),"SAINT-MAIGRIN")</f>
        <v>SAINT-MAIGRIN</v>
      </c>
      <c r="E10988" s="38" t="s">
        <v>488</v>
      </c>
      <c r="F10988" s="38" t="s">
        <v>338</v>
      </c>
      <c r="G10988" s="49" t="str">
        <f t="shared" si="1"/>
        <v>17520</v>
      </c>
      <c r="H10988" s="49">
        <f t="shared" si="2"/>
        <v>17357</v>
      </c>
    </row>
    <row r="10989">
      <c r="A10989" s="48" t="s">
        <v>9174</v>
      </c>
      <c r="B10989" s="38">
        <v>35214.0</v>
      </c>
      <c r="C10989" s="38" t="s">
        <v>15026</v>
      </c>
      <c r="D10989" s="38" t="str">
        <f>IFERROR(__xludf.DUMMYFUNCTION("REGEXREPLACE(C10989,""-\d+(.*)|--\d+(.*)"","""")"),"PARCE")</f>
        <v>PARCE</v>
      </c>
      <c r="E10989" s="38" t="s">
        <v>347</v>
      </c>
      <c r="F10989" s="38" t="s">
        <v>90</v>
      </c>
      <c r="G10989" s="49" t="str">
        <f t="shared" si="1"/>
        <v>35210</v>
      </c>
      <c r="H10989" s="49">
        <f t="shared" si="2"/>
        <v>35214</v>
      </c>
    </row>
    <row r="10990">
      <c r="A10990" s="48" t="s">
        <v>2239</v>
      </c>
      <c r="B10990" s="38">
        <v>87190.0</v>
      </c>
      <c r="C10990" s="38" t="s">
        <v>15027</v>
      </c>
      <c r="D10990" s="38" t="str">
        <f>IFERROR(__xludf.DUMMYFUNCTION("REGEXREPLACE(C10990,""-\d+(.*)|--\d+(.*)"","""")"),"SAUVIAT-SUR-VIGE")</f>
        <v>SAUVIAT-SUR-VIGE</v>
      </c>
      <c r="E10990" s="38" t="s">
        <v>897</v>
      </c>
      <c r="F10990" s="38" t="s">
        <v>98</v>
      </c>
      <c r="G10990" s="49" t="str">
        <f t="shared" si="1"/>
        <v>87400</v>
      </c>
      <c r="H10990" s="49">
        <f t="shared" si="2"/>
        <v>87190</v>
      </c>
    </row>
    <row r="10991">
      <c r="A10991" s="48" t="s">
        <v>15028</v>
      </c>
      <c r="B10991" s="38">
        <v>79156.0</v>
      </c>
      <c r="C10991" s="38" t="s">
        <v>15029</v>
      </c>
      <c r="D10991" s="38" t="str">
        <f>IFERROR(__xludf.DUMMYFUNCTION("REGEXREPLACE(C10991,""-\d+(.*)|--\d+(.*)"","""")"),"LOUIN")</f>
        <v>LOUIN</v>
      </c>
      <c r="E10991" s="38" t="s">
        <v>337</v>
      </c>
      <c r="F10991" s="38" t="s">
        <v>338</v>
      </c>
      <c r="G10991" s="49" t="str">
        <f t="shared" si="1"/>
        <v>79600</v>
      </c>
      <c r="H10991" s="49">
        <f t="shared" si="2"/>
        <v>79156</v>
      </c>
    </row>
    <row r="10992">
      <c r="A10992" s="48" t="s">
        <v>3013</v>
      </c>
      <c r="B10992" s="38">
        <v>48188.0</v>
      </c>
      <c r="C10992" s="38" t="s">
        <v>15030</v>
      </c>
      <c r="D10992" s="38" t="str">
        <f>IFERROR(__xludf.DUMMYFUNCTION("REGEXREPLACE(C10992,""-\d+(.*)|--\d+(.*)"","""")"),"SERVERETTE")</f>
        <v>SERVERETTE</v>
      </c>
      <c r="E10992" s="38" t="s">
        <v>154</v>
      </c>
      <c r="F10992" s="38" t="s">
        <v>119</v>
      </c>
      <c r="G10992" s="49" t="str">
        <f t="shared" si="1"/>
        <v>48700</v>
      </c>
      <c r="H10992" s="49">
        <f t="shared" si="2"/>
        <v>48188</v>
      </c>
    </row>
    <row r="10993">
      <c r="A10993" s="48" t="s">
        <v>3329</v>
      </c>
      <c r="B10993" s="38">
        <v>60217.0</v>
      </c>
      <c r="C10993" s="38" t="s">
        <v>15031</v>
      </c>
      <c r="D10993" s="38" t="str">
        <f>IFERROR(__xludf.DUMMYFUNCTION("REGEXREPLACE(C10993,""-\d+(.*)|--\d+(.*)"","""")"),"ESCAMES")</f>
        <v>ESCAMES</v>
      </c>
      <c r="E10993" s="38" t="s">
        <v>112</v>
      </c>
      <c r="F10993" s="38" t="s">
        <v>113</v>
      </c>
      <c r="G10993" s="49" t="str">
        <f t="shared" si="1"/>
        <v>60380</v>
      </c>
      <c r="H10993" s="49">
        <f t="shared" si="2"/>
        <v>60217</v>
      </c>
    </row>
    <row r="10994">
      <c r="A10994" s="48" t="s">
        <v>15032</v>
      </c>
      <c r="B10994" s="38">
        <v>26138.0</v>
      </c>
      <c r="C10994" s="38" t="s">
        <v>15033</v>
      </c>
      <c r="D10994" s="38" t="str">
        <f>IFERROR(__xludf.DUMMYFUNCTION("REGEXREPLACE(C10994,""-\d+(.*)|--\d+(.*)"","""")"),"LA GARDE-ADHEMAR")</f>
        <v>LA GARDE-ADHEMAR</v>
      </c>
      <c r="E10994" s="38" t="s">
        <v>126</v>
      </c>
      <c r="F10994" s="38" t="s">
        <v>102</v>
      </c>
      <c r="G10994" s="49" t="str">
        <f t="shared" si="1"/>
        <v>26700</v>
      </c>
      <c r="H10994" s="49">
        <f t="shared" si="2"/>
        <v>26138</v>
      </c>
    </row>
    <row r="10995">
      <c r="A10995" s="48" t="s">
        <v>15034</v>
      </c>
      <c r="B10995" s="38">
        <v>22389.0</v>
      </c>
      <c r="C10995" s="38" t="s">
        <v>15035</v>
      </c>
      <c r="D10995" s="38" t="str">
        <f>IFERROR(__xludf.DUMMYFUNCTION("REGEXREPLACE(C10995,""-\d+(.*)|--\d+(.*)"","""")"),"YFFINIAC")</f>
        <v>YFFINIAC</v>
      </c>
      <c r="E10995" s="38" t="s">
        <v>89</v>
      </c>
      <c r="F10995" s="38" t="s">
        <v>90</v>
      </c>
      <c r="G10995" s="49" t="str">
        <f t="shared" si="1"/>
        <v>22120</v>
      </c>
      <c r="H10995" s="49">
        <f t="shared" si="2"/>
        <v>22389</v>
      </c>
    </row>
    <row r="10996">
      <c r="A10996" s="48" t="s">
        <v>2714</v>
      </c>
      <c r="B10996" s="38">
        <v>61284.0</v>
      </c>
      <c r="C10996" s="38" t="s">
        <v>15036</v>
      </c>
      <c r="D10996" s="38" t="str">
        <f>IFERROR(__xludf.DUMMYFUNCTION("REGEXREPLACE(C10996,""-\d+(.*)|--\d+(.*)"","""")"),"MONTCHEVREL")</f>
        <v>MONTCHEVREL</v>
      </c>
      <c r="E10996" s="38" t="s">
        <v>141</v>
      </c>
      <c r="F10996" s="38" t="s">
        <v>138</v>
      </c>
      <c r="G10996" s="49" t="str">
        <f t="shared" si="1"/>
        <v>61170</v>
      </c>
      <c r="H10996" s="49">
        <f t="shared" si="2"/>
        <v>61284</v>
      </c>
    </row>
    <row r="10997">
      <c r="A10997" s="48" t="s">
        <v>2042</v>
      </c>
      <c r="B10997" s="38">
        <v>80551.0</v>
      </c>
      <c r="C10997" s="38" t="s">
        <v>15037</v>
      </c>
      <c r="D10997" s="38" t="str">
        <f>IFERROR(__xludf.DUMMYFUNCTION("REGEXREPLACE(C10997,""-\d+(.*)|--\d+(.*)"","""")"),"MISERY")</f>
        <v>MISERY</v>
      </c>
      <c r="E10997" s="38" t="s">
        <v>224</v>
      </c>
      <c r="F10997" s="38" t="s">
        <v>113</v>
      </c>
      <c r="G10997" s="49" t="str">
        <f t="shared" si="1"/>
        <v>80320</v>
      </c>
      <c r="H10997" s="49">
        <f t="shared" si="2"/>
        <v>80551</v>
      </c>
    </row>
    <row r="10998">
      <c r="A10998" s="48" t="s">
        <v>15038</v>
      </c>
      <c r="B10998" s="38">
        <v>22148.0</v>
      </c>
      <c r="C10998" s="38" t="s">
        <v>15039</v>
      </c>
      <c r="D10998" s="38" t="str">
        <f>IFERROR(__xludf.DUMMYFUNCTION("REGEXREPLACE(C10998,""-\d+(.*)|--\d+(.*)"","""")"),"MERILLAC")</f>
        <v>MERILLAC</v>
      </c>
      <c r="E10998" s="38" t="s">
        <v>89</v>
      </c>
      <c r="F10998" s="38" t="s">
        <v>90</v>
      </c>
      <c r="G10998" s="49" t="str">
        <f t="shared" si="1"/>
        <v>22230</v>
      </c>
      <c r="H10998" s="49">
        <f t="shared" si="2"/>
        <v>22148</v>
      </c>
    </row>
    <row r="10999">
      <c r="A10999" s="48" t="s">
        <v>1404</v>
      </c>
      <c r="B10999" s="38">
        <v>30313.0</v>
      </c>
      <c r="C10999" s="38" t="s">
        <v>4645</v>
      </c>
      <c r="D10999" s="38" t="str">
        <f>IFERROR(__xludf.DUMMYFUNCTION("REGEXREPLACE(C10999,""-\d+(.*)|--\d+(.*)"","""")"),"SAUZET")</f>
        <v>SAUZET</v>
      </c>
      <c r="E10999" s="38" t="s">
        <v>526</v>
      </c>
      <c r="F10999" s="38" t="s">
        <v>119</v>
      </c>
      <c r="G10999" s="49" t="str">
        <f t="shared" si="1"/>
        <v>30190</v>
      </c>
      <c r="H10999" s="49">
        <f t="shared" si="2"/>
        <v>30313</v>
      </c>
    </row>
    <row r="11000">
      <c r="A11000" s="48" t="s">
        <v>6104</v>
      </c>
      <c r="B11000" s="38">
        <v>95566.0</v>
      </c>
      <c r="C11000" s="38" t="s">
        <v>15040</v>
      </c>
      <c r="D11000" s="38" t="str">
        <f>IFERROR(__xludf.DUMMYFUNCTION("REGEXREPLACE(C11000,""-\d+(.*)|--\d+(.*)"","""")"),"SAINT-MARTIN-DU-TERTRE")</f>
        <v>SAINT-MARTIN-DU-TERTRE</v>
      </c>
      <c r="E11000" s="38" t="s">
        <v>541</v>
      </c>
      <c r="F11000" s="38" t="s">
        <v>245</v>
      </c>
      <c r="G11000" s="49" t="str">
        <f t="shared" si="1"/>
        <v>95270</v>
      </c>
      <c r="H11000" s="49">
        <f t="shared" si="2"/>
        <v>95566</v>
      </c>
    </row>
    <row r="11001">
      <c r="A11001" s="48" t="s">
        <v>9621</v>
      </c>
      <c r="B11001" s="38">
        <v>43085.0</v>
      </c>
      <c r="C11001" s="38" t="s">
        <v>15041</v>
      </c>
      <c r="D11001" s="38" t="str">
        <f>IFERROR(__xludf.DUMMYFUNCTION("REGEXREPLACE(C11001,""-\d+(.*)|--\d+(.*)"","""")"),"DESGES")</f>
        <v>DESGES</v>
      </c>
      <c r="E11001" s="38" t="s">
        <v>332</v>
      </c>
      <c r="F11001" s="38" t="s">
        <v>161</v>
      </c>
      <c r="G11001" s="49" t="str">
        <f t="shared" si="1"/>
        <v>43300</v>
      </c>
      <c r="H11001" s="49">
        <f t="shared" si="2"/>
        <v>43085</v>
      </c>
    </row>
    <row r="11002">
      <c r="A11002" s="48" t="s">
        <v>1058</v>
      </c>
      <c r="B11002" s="38">
        <v>21344.0</v>
      </c>
      <c r="C11002" s="38" t="s">
        <v>15042</v>
      </c>
      <c r="D11002" s="38" t="str">
        <f>IFERROR(__xludf.DUMMYFUNCTION("REGEXREPLACE(C11002,""-\d+(.*)|--\d+(.*)"","""")"),"LECHATELET")</f>
        <v>LECHATELET</v>
      </c>
      <c r="E11002" s="38" t="s">
        <v>105</v>
      </c>
      <c r="F11002" s="38" t="s">
        <v>106</v>
      </c>
      <c r="G11002" s="49" t="str">
        <f t="shared" si="1"/>
        <v>21250</v>
      </c>
      <c r="H11002" s="49">
        <f t="shared" si="2"/>
        <v>21344</v>
      </c>
    </row>
    <row r="11003">
      <c r="A11003" s="48" t="s">
        <v>4840</v>
      </c>
      <c r="B11003" s="38">
        <v>16206.0</v>
      </c>
      <c r="C11003" s="38" t="s">
        <v>15043</v>
      </c>
      <c r="D11003" s="38" t="str">
        <f>IFERROR(__xludf.DUMMYFUNCTION("REGEXREPLACE(C11003,""-\d+(.*)|--\d+(.*)"","""")"),"MANSLE")</f>
        <v>MANSLE</v>
      </c>
      <c r="E11003" s="38" t="s">
        <v>429</v>
      </c>
      <c r="F11003" s="38" t="s">
        <v>338</v>
      </c>
      <c r="G11003" s="49" t="str">
        <f t="shared" si="1"/>
        <v>16230</v>
      </c>
      <c r="H11003" s="49">
        <f t="shared" si="2"/>
        <v>16206</v>
      </c>
    </row>
    <row r="11004">
      <c r="A11004" s="48" t="s">
        <v>987</v>
      </c>
      <c r="B11004" s="38">
        <v>40305.0</v>
      </c>
      <c r="C11004" s="38" t="s">
        <v>15044</v>
      </c>
      <c r="D11004" s="38" t="str">
        <f>IFERROR(__xludf.DUMMYFUNCTION("REGEXREPLACE(C11004,""-\d+(.*)|--\d+(.*)"","""")"),"SORBETS")</f>
        <v>SORBETS</v>
      </c>
      <c r="E11004" s="38" t="s">
        <v>281</v>
      </c>
      <c r="F11004" s="38" t="s">
        <v>252</v>
      </c>
      <c r="G11004" s="49" t="str">
        <f t="shared" si="1"/>
        <v>40320</v>
      </c>
      <c r="H11004" s="49">
        <f t="shared" si="2"/>
        <v>40305</v>
      </c>
    </row>
    <row r="11005">
      <c r="A11005" s="48" t="s">
        <v>15045</v>
      </c>
      <c r="B11005" s="38">
        <v>85083.0</v>
      </c>
      <c r="C11005" s="38" t="s">
        <v>15046</v>
      </c>
      <c r="D11005" s="38" t="str">
        <f>IFERROR(__xludf.DUMMYFUNCTION("REGEXREPLACE(C11005,""-\d+(.*)|--\d+(.*)"","""")"),"L'EPINE")</f>
        <v>L'EPINE</v>
      </c>
      <c r="E11005" s="38" t="s">
        <v>179</v>
      </c>
      <c r="F11005" s="38" t="s">
        <v>180</v>
      </c>
      <c r="G11005" s="49" t="str">
        <f t="shared" si="1"/>
        <v>85740</v>
      </c>
      <c r="H11005" s="49">
        <f t="shared" si="2"/>
        <v>85083</v>
      </c>
    </row>
    <row r="11006">
      <c r="A11006" s="48" t="s">
        <v>1036</v>
      </c>
      <c r="B11006" s="38">
        <v>57225.0</v>
      </c>
      <c r="C11006" s="38" t="s">
        <v>15047</v>
      </c>
      <c r="D11006" s="38" t="str">
        <f>IFERROR(__xludf.DUMMYFUNCTION("REGEXREPLACE(C11006,""-\d+(.*)|--\d+(.*)"","""")"),"FONTENY")</f>
        <v>FONTENY</v>
      </c>
      <c r="E11006" s="38" t="s">
        <v>303</v>
      </c>
      <c r="F11006" s="38" t="s">
        <v>195</v>
      </c>
      <c r="G11006" s="49" t="str">
        <f t="shared" si="1"/>
        <v>57590</v>
      </c>
      <c r="H11006" s="49">
        <f t="shared" si="2"/>
        <v>57225</v>
      </c>
    </row>
    <row r="11007">
      <c r="A11007" s="48" t="s">
        <v>10892</v>
      </c>
      <c r="B11007" s="38">
        <v>47313.0</v>
      </c>
      <c r="C11007" s="38" t="s">
        <v>15048</v>
      </c>
      <c r="D11007" s="38" t="str">
        <f>IFERROR(__xludf.DUMMYFUNCTION("REGEXREPLACE(C11007,""-\d+(.*)|--\d+(.*)"","""")"),"TOURTRES")</f>
        <v>TOURTRES</v>
      </c>
      <c r="E11007" s="38" t="s">
        <v>251</v>
      </c>
      <c r="F11007" s="38" t="s">
        <v>252</v>
      </c>
      <c r="G11007" s="49" t="str">
        <f t="shared" si="1"/>
        <v>47380</v>
      </c>
      <c r="H11007" s="49">
        <f t="shared" si="2"/>
        <v>47313</v>
      </c>
    </row>
    <row r="11008">
      <c r="A11008" s="48" t="s">
        <v>1128</v>
      </c>
      <c r="B11008" s="38">
        <v>2350.0</v>
      </c>
      <c r="C11008" s="38" t="s">
        <v>15049</v>
      </c>
      <c r="D11008" s="38" t="str">
        <f>IFERROR(__xludf.DUMMYFUNCTION("REGEXREPLACE(C11008,""-\d+(.*)|--\d+(.*)"","""")"),"GOUDELANCOURT-LES-PIERREPONT")</f>
        <v>GOUDELANCOURT-LES-PIERREPONT</v>
      </c>
      <c r="E11008" s="38" t="s">
        <v>191</v>
      </c>
      <c r="F11008" s="38" t="s">
        <v>113</v>
      </c>
      <c r="G11008" s="49" t="str">
        <f t="shared" si="1"/>
        <v>02350</v>
      </c>
      <c r="H11008" s="49" t="str">
        <f t="shared" si="2"/>
        <v>02350</v>
      </c>
    </row>
    <row r="11009">
      <c r="A11009" s="48" t="s">
        <v>15050</v>
      </c>
      <c r="B11009" s="38">
        <v>53175.0</v>
      </c>
      <c r="C11009" s="38" t="s">
        <v>15051</v>
      </c>
      <c r="D11009" s="38" t="str">
        <f>IFERROR(__xludf.DUMMYFUNCTION("REGEXREPLACE(C11009,""-\d+(.*)|--\d+(.*)"","""")"),"PARNE-SUR-ROC")</f>
        <v>PARNE-SUR-ROC</v>
      </c>
      <c r="E11009" s="38" t="s">
        <v>518</v>
      </c>
      <c r="F11009" s="38" t="s">
        <v>180</v>
      </c>
      <c r="G11009" s="49" t="str">
        <f t="shared" si="1"/>
        <v>53260</v>
      </c>
      <c r="H11009" s="49">
        <f t="shared" si="2"/>
        <v>53175</v>
      </c>
    </row>
    <row r="11010">
      <c r="A11010" s="48" t="s">
        <v>6492</v>
      </c>
      <c r="B11010" s="38">
        <v>5016.0</v>
      </c>
      <c r="C11010" s="38" t="s">
        <v>15052</v>
      </c>
      <c r="D11010" s="38" t="str">
        <f>IFERROR(__xludf.DUMMYFUNCTION("REGEXREPLACE(C11010,""-\d+(.*)|--\d+(.*)"","""")"),"LA BATIE-MONTSALEON")</f>
        <v>LA BATIE-MONTSALEON</v>
      </c>
      <c r="E11010" s="38" t="s">
        <v>706</v>
      </c>
      <c r="F11010" s="38" t="s">
        <v>228</v>
      </c>
      <c r="G11010" s="49" t="str">
        <f t="shared" si="1"/>
        <v>05700</v>
      </c>
      <c r="H11010" s="49" t="str">
        <f t="shared" si="2"/>
        <v>05016</v>
      </c>
    </row>
    <row r="11011">
      <c r="A11011" s="48" t="s">
        <v>582</v>
      </c>
      <c r="B11011" s="38">
        <v>39407.0</v>
      </c>
      <c r="C11011" s="38" t="s">
        <v>15053</v>
      </c>
      <c r="D11011" s="38" t="str">
        <f>IFERROR(__xludf.DUMMYFUNCTION("REGEXREPLACE(C11011,""-\d+(.*)|--\d+(.*)"","""")"),"PASSENANS")</f>
        <v>PASSENANS</v>
      </c>
      <c r="E11011" s="38" t="s">
        <v>400</v>
      </c>
      <c r="F11011" s="38" t="s">
        <v>214</v>
      </c>
      <c r="G11011" s="49" t="str">
        <f t="shared" si="1"/>
        <v>39230</v>
      </c>
      <c r="H11011" s="49">
        <f t="shared" si="2"/>
        <v>39407</v>
      </c>
    </row>
    <row r="11012">
      <c r="A11012" s="48" t="s">
        <v>1695</v>
      </c>
      <c r="B11012" s="38">
        <v>80733.0</v>
      </c>
      <c r="C11012" s="38" t="s">
        <v>15054</v>
      </c>
      <c r="D11012" s="38" t="str">
        <f>IFERROR(__xludf.DUMMYFUNCTION("REGEXREPLACE(C11012,""-\d+(.*)|--\d+(.*)"","""")"),"SENLIS-LE-SEC")</f>
        <v>SENLIS-LE-SEC</v>
      </c>
      <c r="E11012" s="38" t="s">
        <v>224</v>
      </c>
      <c r="F11012" s="38" t="s">
        <v>113</v>
      </c>
      <c r="G11012" s="49" t="str">
        <f t="shared" si="1"/>
        <v>80300</v>
      </c>
      <c r="H11012" s="49">
        <f t="shared" si="2"/>
        <v>80733</v>
      </c>
    </row>
    <row r="11013">
      <c r="A11013" s="48" t="s">
        <v>2208</v>
      </c>
      <c r="B11013" s="38">
        <v>55143.0</v>
      </c>
      <c r="C11013" s="38" t="s">
        <v>15055</v>
      </c>
      <c r="D11013" s="38" t="str">
        <f>IFERROR(__xludf.DUMMYFUNCTION("REGEXREPLACE(C11013,""-\d+(.*)|--\d+(.*)"","""")"),"DAMLOUP")</f>
        <v>DAMLOUP</v>
      </c>
      <c r="E11013" s="38" t="s">
        <v>322</v>
      </c>
      <c r="F11013" s="38" t="s">
        <v>195</v>
      </c>
      <c r="G11013" s="49" t="str">
        <f t="shared" si="1"/>
        <v>55400</v>
      </c>
      <c r="H11013" s="49">
        <f t="shared" si="2"/>
        <v>55143</v>
      </c>
    </row>
    <row r="11014">
      <c r="A11014" s="48" t="s">
        <v>5166</v>
      </c>
      <c r="B11014" s="38">
        <v>26167.0</v>
      </c>
      <c r="C11014" s="38" t="s">
        <v>15056</v>
      </c>
      <c r="D11014" s="38" t="str">
        <f>IFERROR(__xludf.DUMMYFUNCTION("REGEXREPLACE(C11014,""-\d+(.*)|--\d+(.*)"","""")"),"LUC-EN-DIOIS")</f>
        <v>LUC-EN-DIOIS</v>
      </c>
      <c r="E11014" s="38" t="s">
        <v>126</v>
      </c>
      <c r="F11014" s="38" t="s">
        <v>102</v>
      </c>
      <c r="G11014" s="49" t="str">
        <f t="shared" si="1"/>
        <v>26310</v>
      </c>
      <c r="H11014" s="49">
        <f t="shared" si="2"/>
        <v>26167</v>
      </c>
    </row>
    <row r="11015">
      <c r="A11015" s="48" t="s">
        <v>4814</v>
      </c>
      <c r="B11015" s="38">
        <v>57091.0</v>
      </c>
      <c r="C11015" s="38" t="s">
        <v>15057</v>
      </c>
      <c r="D11015" s="38" t="str">
        <f>IFERROR(__xludf.DUMMYFUNCTION("REGEXREPLACE(C11015,""-\d+(.*)|--\d+(.*)"","""")"),"BLIESBRUCK")</f>
        <v>BLIESBRUCK</v>
      </c>
      <c r="E11015" s="38" t="s">
        <v>303</v>
      </c>
      <c r="F11015" s="38" t="s">
        <v>195</v>
      </c>
      <c r="G11015" s="49" t="str">
        <f t="shared" si="1"/>
        <v>57200</v>
      </c>
      <c r="H11015" s="49">
        <f t="shared" si="2"/>
        <v>57091</v>
      </c>
    </row>
    <row r="11016">
      <c r="A11016" s="48" t="s">
        <v>15058</v>
      </c>
      <c r="B11016" s="38">
        <v>42321.0</v>
      </c>
      <c r="C11016" s="38" t="s">
        <v>15059</v>
      </c>
      <c r="D11016" s="38" t="str">
        <f>IFERROR(__xludf.DUMMYFUNCTION("REGEXREPLACE(C11016,""-\d+(.*)|--\d+(.*)"","""")"),"LA VALLA-SUR-ROCHEFORT")</f>
        <v>LA VALLA-SUR-ROCHEFORT</v>
      </c>
      <c r="E11016" s="38" t="s">
        <v>166</v>
      </c>
      <c r="F11016" s="38" t="s">
        <v>102</v>
      </c>
      <c r="G11016" s="49" t="str">
        <f t="shared" si="1"/>
        <v>42111</v>
      </c>
      <c r="H11016" s="49">
        <f t="shared" si="2"/>
        <v>42321</v>
      </c>
    </row>
    <row r="11017">
      <c r="A11017" s="48" t="s">
        <v>220</v>
      </c>
      <c r="B11017" s="38">
        <v>67165.0</v>
      </c>
      <c r="C11017" s="38" t="s">
        <v>15060</v>
      </c>
      <c r="D11017" s="38" t="str">
        <f>IFERROR(__xludf.DUMMYFUNCTION("REGEXREPLACE(C11017,""-\d+(.*)|--\d+(.*)"","""")"),"GRANDFONTAINE")</f>
        <v>GRANDFONTAINE</v>
      </c>
      <c r="E11017" s="38" t="s">
        <v>210</v>
      </c>
      <c r="F11017" s="38" t="s">
        <v>151</v>
      </c>
      <c r="G11017" s="49" t="str">
        <f t="shared" si="1"/>
        <v>67130</v>
      </c>
      <c r="H11017" s="49">
        <f t="shared" si="2"/>
        <v>67165</v>
      </c>
    </row>
    <row r="11018">
      <c r="A11018" s="48" t="s">
        <v>2794</v>
      </c>
      <c r="B11018" s="38">
        <v>39568.0</v>
      </c>
      <c r="C11018" s="38" t="s">
        <v>15061</v>
      </c>
      <c r="D11018" s="38" t="str">
        <f>IFERROR(__xludf.DUMMYFUNCTION("REGEXREPLACE(C11018,""-\d+(.*)|--\d+(.*)"","""")"),"VILLERSERINE")</f>
        <v>VILLERSERINE</v>
      </c>
      <c r="E11018" s="38" t="s">
        <v>400</v>
      </c>
      <c r="F11018" s="38" t="s">
        <v>214</v>
      </c>
      <c r="G11018" s="49" t="str">
        <f t="shared" si="1"/>
        <v>39800</v>
      </c>
      <c r="H11018" s="49">
        <f t="shared" si="2"/>
        <v>39568</v>
      </c>
    </row>
    <row r="11019">
      <c r="A11019" s="48" t="s">
        <v>1358</v>
      </c>
      <c r="B11019" s="38">
        <v>81198.0</v>
      </c>
      <c r="C11019" s="38" t="s">
        <v>15062</v>
      </c>
      <c r="D11019" s="38" t="str">
        <f>IFERROR(__xludf.DUMMYFUNCTION("REGEXREPLACE(C11019,""-\d+(.*)|--\d+(.*)"","""")"),"ORBAN")</f>
        <v>ORBAN</v>
      </c>
      <c r="E11019" s="38" t="s">
        <v>231</v>
      </c>
      <c r="F11019" s="38" t="s">
        <v>94</v>
      </c>
      <c r="G11019" s="49" t="str">
        <f t="shared" si="1"/>
        <v>81120</v>
      </c>
      <c r="H11019" s="49">
        <f t="shared" si="2"/>
        <v>81198</v>
      </c>
    </row>
    <row r="11020">
      <c r="A11020" s="48" t="s">
        <v>1262</v>
      </c>
      <c r="B11020" s="38">
        <v>11292.0</v>
      </c>
      <c r="C11020" s="38" t="s">
        <v>15063</v>
      </c>
      <c r="D11020" s="38" t="str">
        <f>IFERROR(__xludf.DUMMYFUNCTION("REGEXREPLACE(C11020,""-\d+(.*)|--\d+(.*)"","""")"),"LA POMAREDE")</f>
        <v>LA POMAREDE</v>
      </c>
      <c r="E11020" s="38" t="s">
        <v>278</v>
      </c>
      <c r="F11020" s="38" t="s">
        <v>119</v>
      </c>
      <c r="G11020" s="49" t="str">
        <f t="shared" si="1"/>
        <v>11400</v>
      </c>
      <c r="H11020" s="49">
        <f t="shared" si="2"/>
        <v>11292</v>
      </c>
    </row>
    <row r="11021">
      <c r="A11021" s="48" t="s">
        <v>4659</v>
      </c>
      <c r="B11021" s="38">
        <v>32040.0</v>
      </c>
      <c r="C11021" s="38" t="s">
        <v>15064</v>
      </c>
      <c r="D11021" s="38" t="str">
        <f>IFERROR(__xludf.DUMMYFUNCTION("REGEXREPLACE(C11021,""-\d+(.*)|--\d+(.*)"","""")"),"BEDECHAN")</f>
        <v>BEDECHAN</v>
      </c>
      <c r="E11021" s="38" t="s">
        <v>440</v>
      </c>
      <c r="F11021" s="38" t="s">
        <v>94</v>
      </c>
      <c r="G11021" s="49" t="str">
        <f t="shared" si="1"/>
        <v>32450</v>
      </c>
      <c r="H11021" s="49">
        <f t="shared" si="2"/>
        <v>32040</v>
      </c>
    </row>
    <row r="11022">
      <c r="A11022" s="48" t="s">
        <v>1568</v>
      </c>
      <c r="B11022" s="38">
        <v>36170.0</v>
      </c>
      <c r="C11022" s="38" t="s">
        <v>15065</v>
      </c>
      <c r="D11022" s="38" t="str">
        <f>IFERROR(__xludf.DUMMYFUNCTION("REGEXREPLACE(C11022,""-\d+(.*)|--\d+(.*)"","""")"),"REBOURSIN")</f>
        <v>REBOURSIN</v>
      </c>
      <c r="E11022" s="38" t="s">
        <v>258</v>
      </c>
      <c r="F11022" s="38" t="s">
        <v>123</v>
      </c>
      <c r="G11022" s="49" t="str">
        <f t="shared" si="1"/>
        <v>36150</v>
      </c>
      <c r="H11022" s="49">
        <f t="shared" si="2"/>
        <v>36170</v>
      </c>
    </row>
    <row r="11023">
      <c r="A11023" s="48" t="s">
        <v>1298</v>
      </c>
      <c r="B11023" s="38">
        <v>38031.0</v>
      </c>
      <c r="C11023" s="38" t="s">
        <v>15066</v>
      </c>
      <c r="D11023" s="38" t="str">
        <f>IFERROR(__xludf.DUMMYFUNCTION("REGEXREPLACE(C11023,""-\d+(.*)|--\d+(.*)"","""")"),"BEAUFIN")</f>
        <v>BEAUFIN</v>
      </c>
      <c r="E11023" s="38" t="s">
        <v>101</v>
      </c>
      <c r="F11023" s="38" t="s">
        <v>102</v>
      </c>
      <c r="G11023" s="49" t="str">
        <f t="shared" si="1"/>
        <v>38970</v>
      </c>
      <c r="H11023" s="49">
        <f t="shared" si="2"/>
        <v>38031</v>
      </c>
    </row>
    <row r="11024">
      <c r="A11024" s="48" t="s">
        <v>15067</v>
      </c>
      <c r="B11024" s="38">
        <v>81187.0</v>
      </c>
      <c r="C11024" s="38" t="s">
        <v>15068</v>
      </c>
      <c r="D11024" s="38" t="str">
        <f>IFERROR(__xludf.DUMMYFUNCTION("REGEXREPLACE(C11024,""-\d+(.*)|--\d+(.*)"","""")"),"MOULAYRES")</f>
        <v>MOULAYRES</v>
      </c>
      <c r="E11024" s="38" t="s">
        <v>231</v>
      </c>
      <c r="F11024" s="38" t="s">
        <v>94</v>
      </c>
      <c r="G11024" s="49" t="str">
        <f t="shared" si="1"/>
        <v>81300</v>
      </c>
      <c r="H11024" s="49">
        <f t="shared" si="2"/>
        <v>81187</v>
      </c>
    </row>
    <row r="11025">
      <c r="A11025" s="48" t="s">
        <v>15069</v>
      </c>
      <c r="B11025" s="38">
        <v>22174.0</v>
      </c>
      <c r="C11025" s="38" t="s">
        <v>15070</v>
      </c>
      <c r="D11025" s="38" t="str">
        <f>IFERROR(__xludf.DUMMYFUNCTION("REGEXREPLACE(C11025,""-\d+(.*)|--\d+(.*)"","""")"),"PLEBOULLE")</f>
        <v>PLEBOULLE</v>
      </c>
      <c r="E11025" s="38" t="s">
        <v>89</v>
      </c>
      <c r="F11025" s="38" t="s">
        <v>90</v>
      </c>
      <c r="G11025" s="49" t="str">
        <f t="shared" si="1"/>
        <v>22550</v>
      </c>
      <c r="H11025" s="49">
        <f t="shared" si="2"/>
        <v>22174</v>
      </c>
    </row>
    <row r="11026">
      <c r="A11026" s="48" t="s">
        <v>15071</v>
      </c>
      <c r="B11026" s="38">
        <v>91534.0</v>
      </c>
      <c r="C11026" s="38" t="s">
        <v>15072</v>
      </c>
      <c r="D11026" s="38" t="str">
        <f>IFERROR(__xludf.DUMMYFUNCTION("REGEXREPLACE(C11026,""-\d+(.*)|--\d+(.*)"","""")"),"SACLAY")</f>
        <v>SACLAY</v>
      </c>
      <c r="E11026" s="38" t="s">
        <v>756</v>
      </c>
      <c r="F11026" s="38" t="s">
        <v>245</v>
      </c>
      <c r="G11026" s="49" t="str">
        <f t="shared" si="1"/>
        <v>91400</v>
      </c>
      <c r="H11026" s="49">
        <f t="shared" si="2"/>
        <v>91534</v>
      </c>
    </row>
    <row r="11027">
      <c r="A11027" s="48" t="s">
        <v>5309</v>
      </c>
      <c r="B11027" s="38">
        <v>62401.0</v>
      </c>
      <c r="C11027" s="38" t="s">
        <v>15073</v>
      </c>
      <c r="D11027" s="38" t="str">
        <f>IFERROR(__xludf.DUMMYFUNCTION("REGEXREPLACE(C11027,""-\d+(.*)|--\d+(.*)"","""")"),"HAISNES")</f>
        <v>HAISNES</v>
      </c>
      <c r="E11027" s="38" t="s">
        <v>109</v>
      </c>
      <c r="F11027" s="38" t="s">
        <v>86</v>
      </c>
      <c r="G11027" s="49" t="str">
        <f t="shared" si="1"/>
        <v>62138</v>
      </c>
      <c r="H11027" s="49">
        <f t="shared" si="2"/>
        <v>62401</v>
      </c>
    </row>
    <row r="11028">
      <c r="A11028" s="48" t="s">
        <v>5584</v>
      </c>
      <c r="B11028" s="38">
        <v>41115.0</v>
      </c>
      <c r="C11028" s="38" t="s">
        <v>146</v>
      </c>
      <c r="D11028" s="38" t="str">
        <f>IFERROR(__xludf.DUMMYFUNCTION("REGEXREPLACE(C11028,""-\d+(.*)|--\d+(.*)"","""")"),"LIGNIERES")</f>
        <v>LIGNIERES</v>
      </c>
      <c r="E11028" s="38" t="s">
        <v>188</v>
      </c>
      <c r="F11028" s="38" t="s">
        <v>123</v>
      </c>
      <c r="G11028" s="49" t="str">
        <f t="shared" si="1"/>
        <v>41160</v>
      </c>
      <c r="H11028" s="49">
        <f t="shared" si="2"/>
        <v>41115</v>
      </c>
    </row>
    <row r="11029">
      <c r="A11029" s="48" t="s">
        <v>12477</v>
      </c>
      <c r="B11029" s="38">
        <v>27214.0</v>
      </c>
      <c r="C11029" s="38" t="s">
        <v>15074</v>
      </c>
      <c r="D11029" s="38" t="str">
        <f>IFERROR(__xludf.DUMMYFUNCTION("REGEXREPLACE(C11029,""-\d+(.*)|--\d+(.*)"","""")"),"ECOUIS")</f>
        <v>ECOUIS</v>
      </c>
      <c r="E11029" s="38" t="s">
        <v>241</v>
      </c>
      <c r="F11029" s="38" t="s">
        <v>134</v>
      </c>
      <c r="G11029" s="49" t="str">
        <f t="shared" si="1"/>
        <v>27440</v>
      </c>
      <c r="H11029" s="49">
        <f t="shared" si="2"/>
        <v>27214</v>
      </c>
    </row>
    <row r="11030">
      <c r="A11030" s="48" t="s">
        <v>1435</v>
      </c>
      <c r="B11030" s="38">
        <v>14230.0</v>
      </c>
      <c r="C11030" s="38" t="s">
        <v>15075</v>
      </c>
      <c r="D11030" s="38" t="str">
        <f>IFERROR(__xludf.DUMMYFUNCTION("REGEXREPLACE(C11030,""-\d+(.*)|--\d+(.*)"","""")"),"DRUBEC")</f>
        <v>DRUBEC</v>
      </c>
      <c r="E11030" s="38" t="s">
        <v>137</v>
      </c>
      <c r="F11030" s="38" t="s">
        <v>138</v>
      </c>
      <c r="G11030" s="49" t="str">
        <f t="shared" si="1"/>
        <v>14130</v>
      </c>
      <c r="H11030" s="49">
        <f t="shared" si="2"/>
        <v>14230</v>
      </c>
    </row>
    <row r="11031">
      <c r="A11031" s="48" t="s">
        <v>862</v>
      </c>
      <c r="B11031" s="38">
        <v>27662.0</v>
      </c>
      <c r="C11031" s="38" t="s">
        <v>15076</v>
      </c>
      <c r="D11031" s="38" t="str">
        <f>IFERROR(__xludf.DUMMYFUNCTION("REGEXREPLACE(C11031,""-\d+(.*)|--\d+(.*)"","""")"),"TRIQUEVILLE")</f>
        <v>TRIQUEVILLE</v>
      </c>
      <c r="E11031" s="38" t="s">
        <v>241</v>
      </c>
      <c r="F11031" s="38" t="s">
        <v>134</v>
      </c>
      <c r="G11031" s="49" t="str">
        <f t="shared" si="1"/>
        <v>27500</v>
      </c>
      <c r="H11031" s="49">
        <f t="shared" si="2"/>
        <v>27662</v>
      </c>
    </row>
    <row r="11032">
      <c r="A11032" s="48" t="s">
        <v>10509</v>
      </c>
      <c r="B11032" s="38">
        <v>42220.0</v>
      </c>
      <c r="C11032" s="38" t="s">
        <v>15077</v>
      </c>
      <c r="D11032" s="38" t="str">
        <f>IFERROR(__xludf.DUMMYFUNCTION("REGEXREPLACE(C11032,""-\d+(.*)|--\d+(.*)"","""")"),"SAINT-FORGEUX-LESPINASSE")</f>
        <v>SAINT-FORGEUX-LESPINASSE</v>
      </c>
      <c r="E11032" s="38" t="s">
        <v>166</v>
      </c>
      <c r="F11032" s="38" t="s">
        <v>102</v>
      </c>
      <c r="G11032" s="49" t="str">
        <f t="shared" si="1"/>
        <v>42640</v>
      </c>
      <c r="H11032" s="49">
        <f t="shared" si="2"/>
        <v>42220</v>
      </c>
    </row>
    <row r="11033">
      <c r="A11033" s="48" t="s">
        <v>8684</v>
      </c>
      <c r="B11033" s="38">
        <v>37036.0</v>
      </c>
      <c r="C11033" s="38" t="s">
        <v>15078</v>
      </c>
      <c r="D11033" s="38" t="str">
        <f>IFERROR(__xludf.DUMMYFUNCTION("REGEXREPLACE(C11033,""-\d+(.*)|--\d+(.*)"","""")"),"BRAYE-SUR-MAULNE")</f>
        <v>BRAYE-SUR-MAULNE</v>
      </c>
      <c r="E11033" s="38" t="s">
        <v>205</v>
      </c>
      <c r="F11033" s="38" t="s">
        <v>123</v>
      </c>
      <c r="G11033" s="49" t="str">
        <f t="shared" si="1"/>
        <v>37330</v>
      </c>
      <c r="H11033" s="49">
        <f t="shared" si="2"/>
        <v>37036</v>
      </c>
    </row>
    <row r="11034">
      <c r="A11034" s="48" t="s">
        <v>1074</v>
      </c>
      <c r="B11034" s="38">
        <v>27293.0</v>
      </c>
      <c r="C11034" s="38" t="s">
        <v>15079</v>
      </c>
      <c r="D11034" s="38" t="str">
        <f>IFERROR(__xludf.DUMMYFUNCTION("REGEXREPLACE(C11034,""-\d+(.*)|--\d+(.*)"","""")"),"GOUVILLE")</f>
        <v>GOUVILLE</v>
      </c>
      <c r="E11034" s="38" t="s">
        <v>241</v>
      </c>
      <c r="F11034" s="38" t="s">
        <v>134</v>
      </c>
      <c r="G11034" s="49" t="str">
        <f t="shared" si="1"/>
        <v>27240</v>
      </c>
      <c r="H11034" s="49">
        <f t="shared" si="2"/>
        <v>27293</v>
      </c>
    </row>
    <row r="11035">
      <c r="A11035" s="48" t="s">
        <v>15080</v>
      </c>
      <c r="B11035" s="38">
        <v>19022.0</v>
      </c>
      <c r="C11035" s="38" t="s">
        <v>15081</v>
      </c>
      <c r="D11035" s="38" t="str">
        <f>IFERROR(__xludf.DUMMYFUNCTION("REGEXREPLACE(C11035,""-\d+(.*)|--\d+(.*)"","""")"),"BENAYES")</f>
        <v>BENAYES</v>
      </c>
      <c r="E11035" s="38" t="s">
        <v>271</v>
      </c>
      <c r="F11035" s="38" t="s">
        <v>98</v>
      </c>
      <c r="G11035" s="49" t="str">
        <f t="shared" si="1"/>
        <v>19510</v>
      </c>
      <c r="H11035" s="49">
        <f t="shared" si="2"/>
        <v>19022</v>
      </c>
    </row>
    <row r="11036">
      <c r="A11036" s="48" t="s">
        <v>1582</v>
      </c>
      <c r="B11036" s="38">
        <v>45037.0</v>
      </c>
      <c r="C11036" s="38" t="s">
        <v>15082</v>
      </c>
      <c r="D11036" s="38" t="str">
        <f>IFERROR(__xludf.DUMMYFUNCTION("REGEXREPLACE(C11036,""-\d+(.*)|--\d+(.*)"","""")"),"BOISSEAUX")</f>
        <v>BOISSEAUX</v>
      </c>
      <c r="E11036" s="38" t="s">
        <v>122</v>
      </c>
      <c r="F11036" s="38" t="s">
        <v>123</v>
      </c>
      <c r="G11036" s="49" t="str">
        <f t="shared" si="1"/>
        <v>45480</v>
      </c>
      <c r="H11036" s="49">
        <f t="shared" si="2"/>
        <v>45037</v>
      </c>
    </row>
    <row r="11037">
      <c r="A11037" s="48" t="s">
        <v>588</v>
      </c>
      <c r="B11037" s="38">
        <v>14173.0</v>
      </c>
      <c r="C11037" s="38" t="s">
        <v>15083</v>
      </c>
      <c r="D11037" s="38" t="str">
        <f>IFERROR(__xludf.DUMMYFUNCTION("REGEXREPLACE(C11037,""-\d+(.*)|--\d+(.*)"","""")"),"CONDE-SUR-IFS")</f>
        <v>CONDE-SUR-IFS</v>
      </c>
      <c r="E11037" s="38" t="s">
        <v>137</v>
      </c>
      <c r="F11037" s="38" t="s">
        <v>138</v>
      </c>
      <c r="G11037" s="49" t="str">
        <f t="shared" si="1"/>
        <v>14270</v>
      </c>
      <c r="H11037" s="49">
        <f t="shared" si="2"/>
        <v>14173</v>
      </c>
    </row>
    <row r="11038">
      <c r="A11038" s="48" t="s">
        <v>3465</v>
      </c>
      <c r="B11038" s="38">
        <v>11173.0</v>
      </c>
      <c r="C11038" s="38" t="s">
        <v>15084</v>
      </c>
      <c r="D11038" s="38" t="str">
        <f>IFERROR(__xludf.DUMMYFUNCTION("REGEXREPLACE(C11038,""-\d+(.*)|--\d+(.*)"","""")"),"HOUNOUX")</f>
        <v>HOUNOUX</v>
      </c>
      <c r="E11038" s="38" t="s">
        <v>278</v>
      </c>
      <c r="F11038" s="38" t="s">
        <v>119</v>
      </c>
      <c r="G11038" s="49" t="str">
        <f t="shared" si="1"/>
        <v>11240</v>
      </c>
      <c r="H11038" s="49">
        <f t="shared" si="2"/>
        <v>11173</v>
      </c>
    </row>
    <row r="11039">
      <c r="A11039" s="48" t="s">
        <v>7084</v>
      </c>
      <c r="B11039" s="38">
        <v>45143.0</v>
      </c>
      <c r="C11039" s="38" t="s">
        <v>15085</v>
      </c>
      <c r="D11039" s="38" t="str">
        <f>IFERROR(__xludf.DUMMYFUNCTION("REGEXREPLACE(C11039,""-\d+(.*)|--\d+(.*)"","""")"),"FEINS-EN-GATINAIS")</f>
        <v>FEINS-EN-GATINAIS</v>
      </c>
      <c r="E11039" s="38" t="s">
        <v>122</v>
      </c>
      <c r="F11039" s="38" t="s">
        <v>123</v>
      </c>
      <c r="G11039" s="49" t="str">
        <f t="shared" si="1"/>
        <v>45230</v>
      </c>
      <c r="H11039" s="49">
        <f t="shared" si="2"/>
        <v>45143</v>
      </c>
    </row>
    <row r="11040">
      <c r="A11040" s="48" t="s">
        <v>9378</v>
      </c>
      <c r="B11040" s="38">
        <v>11319.0</v>
      </c>
      <c r="C11040" s="38" t="s">
        <v>15086</v>
      </c>
      <c r="D11040" s="38" t="str">
        <f>IFERROR(__xludf.DUMMYFUNCTION("REGEXREPLACE(C11040,""-\d+(.*)|--\d+(.*)"","""")"),"ROQUEFERE")</f>
        <v>ROQUEFERE</v>
      </c>
      <c r="E11040" s="38" t="s">
        <v>278</v>
      </c>
      <c r="F11040" s="38" t="s">
        <v>119</v>
      </c>
      <c r="G11040" s="49" t="str">
        <f t="shared" si="1"/>
        <v>11380</v>
      </c>
      <c r="H11040" s="49">
        <f t="shared" si="2"/>
        <v>11319</v>
      </c>
    </row>
    <row r="11041">
      <c r="A11041" s="48" t="s">
        <v>732</v>
      </c>
      <c r="B11041" s="38">
        <v>10269.0</v>
      </c>
      <c r="C11041" s="38" t="s">
        <v>15087</v>
      </c>
      <c r="D11041" s="38" t="str">
        <f>IFERROR(__xludf.DUMMYFUNCTION("REGEXREPLACE(C11041,""-\d+(.*)|--\d+(.*)"","""")"),"NOZAY")</f>
        <v>NOZAY</v>
      </c>
      <c r="E11041" s="38" t="s">
        <v>147</v>
      </c>
      <c r="F11041" s="38" t="s">
        <v>130</v>
      </c>
      <c r="G11041" s="49" t="str">
        <f t="shared" si="1"/>
        <v>10700</v>
      </c>
      <c r="H11041" s="49">
        <f t="shared" si="2"/>
        <v>10269</v>
      </c>
    </row>
    <row r="11042">
      <c r="A11042" s="48" t="s">
        <v>15088</v>
      </c>
      <c r="B11042" s="38">
        <v>59336.0</v>
      </c>
      <c r="C11042" s="38" t="s">
        <v>15089</v>
      </c>
      <c r="D11042" s="38" t="str">
        <f>IFERROR(__xludf.DUMMYFUNCTION("REGEXREPLACE(C11042,""-\d+(.*)|--\d+(.*)"","""")"),"LECLUSE")</f>
        <v>LECLUSE</v>
      </c>
      <c r="E11042" s="38" t="s">
        <v>85</v>
      </c>
      <c r="F11042" s="38" t="s">
        <v>86</v>
      </c>
      <c r="G11042" s="49" t="str">
        <f t="shared" si="1"/>
        <v>59259</v>
      </c>
      <c r="H11042" s="49">
        <f t="shared" si="2"/>
        <v>59336</v>
      </c>
    </row>
    <row r="11043">
      <c r="A11043" s="48" t="s">
        <v>1400</v>
      </c>
      <c r="B11043" s="38">
        <v>21210.0</v>
      </c>
      <c r="C11043" s="38" t="s">
        <v>15090</v>
      </c>
      <c r="D11043" s="38" t="str">
        <f>IFERROR(__xludf.DUMMYFUNCTION("REGEXREPLACE(C11043,""-\d+(.*)|--\d+(.*)"","""")"),"CREANCEY")</f>
        <v>CREANCEY</v>
      </c>
      <c r="E11043" s="38" t="s">
        <v>105</v>
      </c>
      <c r="F11043" s="38" t="s">
        <v>106</v>
      </c>
      <c r="G11043" s="49" t="str">
        <f t="shared" si="1"/>
        <v>21320</v>
      </c>
      <c r="H11043" s="49">
        <f t="shared" si="2"/>
        <v>21210</v>
      </c>
    </row>
    <row r="11044">
      <c r="A11044" s="48" t="s">
        <v>3504</v>
      </c>
      <c r="B11044" s="38">
        <v>42109.0</v>
      </c>
      <c r="C11044" s="38" t="s">
        <v>15091</v>
      </c>
      <c r="D11044" s="38" t="str">
        <f>IFERROR(__xludf.DUMMYFUNCTION("REGEXREPLACE(C11044,""-\d+(.*)|--\d+(.*)"","""")"),"L'HOPITAL-SOUS-ROCHEFORT")</f>
        <v>L'HOPITAL-SOUS-ROCHEFORT</v>
      </c>
      <c r="E11044" s="38" t="s">
        <v>166</v>
      </c>
      <c r="F11044" s="38" t="s">
        <v>102</v>
      </c>
      <c r="G11044" s="49" t="str">
        <f t="shared" si="1"/>
        <v>42130</v>
      </c>
      <c r="H11044" s="49">
        <f t="shared" si="2"/>
        <v>42109</v>
      </c>
    </row>
    <row r="11045">
      <c r="A11045" s="48" t="s">
        <v>626</v>
      </c>
      <c r="B11045" s="38">
        <v>31216.0</v>
      </c>
      <c r="C11045" s="38" t="s">
        <v>15092</v>
      </c>
      <c r="D11045" s="38" t="str">
        <f>IFERROR(__xludf.DUMMYFUNCTION("REGEXREPLACE(C11045,""-\d+(.*)|--\d+(.*)"","""")"),"GEMIL")</f>
        <v>GEMIL</v>
      </c>
      <c r="E11045" s="38" t="s">
        <v>93</v>
      </c>
      <c r="F11045" s="38" t="s">
        <v>94</v>
      </c>
      <c r="G11045" s="49" t="str">
        <f t="shared" si="1"/>
        <v>31380</v>
      </c>
      <c r="H11045" s="49">
        <f t="shared" si="2"/>
        <v>31216</v>
      </c>
    </row>
    <row r="11046">
      <c r="A11046" s="48" t="s">
        <v>1995</v>
      </c>
      <c r="B11046" s="38">
        <v>77365.0</v>
      </c>
      <c r="C11046" s="38" t="s">
        <v>15093</v>
      </c>
      <c r="D11046" s="38" t="str">
        <f>IFERROR(__xludf.DUMMYFUNCTION("REGEXREPLACE(C11046,""-\d+(.*)|--\d+(.*)"","""")"),"LE PLESSIS-FEU-AUSSOUX")</f>
        <v>LE PLESSIS-FEU-AUSSOUX</v>
      </c>
      <c r="E11046" s="38" t="s">
        <v>244</v>
      </c>
      <c r="F11046" s="38" t="s">
        <v>245</v>
      </c>
      <c r="G11046" s="49" t="str">
        <f t="shared" si="1"/>
        <v>77540</v>
      </c>
      <c r="H11046" s="49">
        <f t="shared" si="2"/>
        <v>77365</v>
      </c>
    </row>
    <row r="11047">
      <c r="A11047" s="48" t="s">
        <v>1716</v>
      </c>
      <c r="B11047" s="38">
        <v>38398.0</v>
      </c>
      <c r="C11047" s="38" t="s">
        <v>15094</v>
      </c>
      <c r="D11047" s="38" t="str">
        <f>IFERROR(__xludf.DUMMYFUNCTION("REGEXREPLACE(C11047,""-\d+(.*)|--\d+(.*)"","""")"),"SAINT-JEAN-D'AVELANNE")</f>
        <v>SAINT-JEAN-D'AVELANNE</v>
      </c>
      <c r="E11047" s="38" t="s">
        <v>101</v>
      </c>
      <c r="F11047" s="38" t="s">
        <v>102</v>
      </c>
      <c r="G11047" s="49" t="str">
        <f t="shared" si="1"/>
        <v>38480</v>
      </c>
      <c r="H11047" s="49">
        <f t="shared" si="2"/>
        <v>38398</v>
      </c>
    </row>
    <row r="11048">
      <c r="A11048" s="48" t="s">
        <v>11152</v>
      </c>
      <c r="B11048" s="38">
        <v>61093.0</v>
      </c>
      <c r="C11048" s="38" t="s">
        <v>15095</v>
      </c>
      <c r="D11048" s="38" t="str">
        <f>IFERROR(__xludf.DUMMYFUNCTION("REGEXREPLACE(C11048,""-\d+(.*)|--\d+(.*)"","""")"),"CHANU")</f>
        <v>CHANU</v>
      </c>
      <c r="E11048" s="38" t="s">
        <v>141</v>
      </c>
      <c r="F11048" s="38" t="s">
        <v>138</v>
      </c>
      <c r="G11048" s="49" t="str">
        <f t="shared" si="1"/>
        <v>61800</v>
      </c>
      <c r="H11048" s="49">
        <f t="shared" si="2"/>
        <v>61093</v>
      </c>
    </row>
    <row r="11049">
      <c r="A11049" s="48" t="s">
        <v>1728</v>
      </c>
      <c r="B11049" s="38">
        <v>45217.0</v>
      </c>
      <c r="C11049" s="38" t="s">
        <v>15096</v>
      </c>
      <c r="D11049" s="38" t="str">
        <f>IFERROR(__xludf.DUMMYFUNCTION("REGEXREPLACE(C11049,""-\d+(.*)|--\d+(.*)"","""")"),"MORVILLE-EN-BEAUCE")</f>
        <v>MORVILLE-EN-BEAUCE</v>
      </c>
      <c r="E11049" s="38" t="s">
        <v>122</v>
      </c>
      <c r="F11049" s="38" t="s">
        <v>123</v>
      </c>
      <c r="G11049" s="49" t="str">
        <f t="shared" si="1"/>
        <v>45300</v>
      </c>
      <c r="H11049" s="49">
        <f t="shared" si="2"/>
        <v>45217</v>
      </c>
    </row>
    <row r="11050">
      <c r="A11050" s="48" t="s">
        <v>3102</v>
      </c>
      <c r="B11050" s="38">
        <v>55058.0</v>
      </c>
      <c r="C11050" s="38" t="s">
        <v>15097</v>
      </c>
      <c r="D11050" s="38" t="str">
        <f>IFERROR(__xludf.DUMMYFUNCTION("REGEXREPLACE(C11050,""-\d+(.*)|--\d+(.*)"","""")"),"BONCOURT-SUR-MEUSE")</f>
        <v>BONCOURT-SUR-MEUSE</v>
      </c>
      <c r="E11050" s="38" t="s">
        <v>322</v>
      </c>
      <c r="F11050" s="38" t="s">
        <v>195</v>
      </c>
      <c r="G11050" s="49" t="str">
        <f t="shared" si="1"/>
        <v>55200</v>
      </c>
      <c r="H11050" s="49">
        <f t="shared" si="2"/>
        <v>55058</v>
      </c>
    </row>
    <row r="11051">
      <c r="A11051" s="48" t="s">
        <v>15098</v>
      </c>
      <c r="B11051" s="38">
        <v>63388.0</v>
      </c>
      <c r="C11051" s="38" t="s">
        <v>15099</v>
      </c>
      <c r="D11051" s="38" t="str">
        <f>IFERROR(__xludf.DUMMYFUNCTION("REGEXREPLACE(C11051,""-\d+(.*)|--\d+(.*)"","""")"),"SAINT-PRIEST-DES-CHAMPS")</f>
        <v>SAINT-PRIEST-DES-CHAMPS</v>
      </c>
      <c r="E11051" s="38" t="s">
        <v>353</v>
      </c>
      <c r="F11051" s="38" t="s">
        <v>161</v>
      </c>
      <c r="G11051" s="49" t="str">
        <f t="shared" si="1"/>
        <v>63640</v>
      </c>
      <c r="H11051" s="49">
        <f t="shared" si="2"/>
        <v>63388</v>
      </c>
    </row>
    <row r="11052">
      <c r="A11052" s="48" t="s">
        <v>2370</v>
      </c>
      <c r="B11052" s="38">
        <v>33189.0</v>
      </c>
      <c r="C11052" s="38" t="s">
        <v>15100</v>
      </c>
      <c r="D11052" s="38" t="str">
        <f>IFERROR(__xludf.DUMMYFUNCTION("REGEXREPLACE(C11052,""-\d+(.*)|--\d+(.*)"","""")"),"GORNAC")</f>
        <v>GORNAC</v>
      </c>
      <c r="E11052" s="38" t="s">
        <v>462</v>
      </c>
      <c r="F11052" s="38" t="s">
        <v>252</v>
      </c>
      <c r="G11052" s="49" t="str">
        <f t="shared" si="1"/>
        <v>33540</v>
      </c>
      <c r="H11052" s="49">
        <f t="shared" si="2"/>
        <v>33189</v>
      </c>
    </row>
    <row r="11053">
      <c r="A11053" s="48" t="s">
        <v>1220</v>
      </c>
      <c r="B11053" s="38">
        <v>76340.0</v>
      </c>
      <c r="C11053" s="38" t="s">
        <v>15101</v>
      </c>
      <c r="D11053" s="38" t="str">
        <f>IFERROR(__xludf.DUMMYFUNCTION("REGEXREPLACE(C11053,""-\d+(.*)|--\d+(.*)"","""")"),"HARCANVILLE")</f>
        <v>HARCANVILLE</v>
      </c>
      <c r="E11053" s="38" t="s">
        <v>133</v>
      </c>
      <c r="F11053" s="38" t="s">
        <v>134</v>
      </c>
      <c r="G11053" s="49" t="str">
        <f t="shared" si="1"/>
        <v>76560</v>
      </c>
      <c r="H11053" s="49">
        <f t="shared" si="2"/>
        <v>76340</v>
      </c>
    </row>
    <row r="11054">
      <c r="A11054" s="48" t="s">
        <v>4853</v>
      </c>
      <c r="B11054" s="38">
        <v>32306.0</v>
      </c>
      <c r="C11054" s="38" t="s">
        <v>15102</v>
      </c>
      <c r="D11054" s="38" t="str">
        <f>IFERROR(__xludf.DUMMYFUNCTION("REGEXREPLACE(C11054,""-\d+(.*)|--\d+(.*)"","""")"),"PAUILHAC")</f>
        <v>PAUILHAC</v>
      </c>
      <c r="E11054" s="38" t="s">
        <v>440</v>
      </c>
      <c r="F11054" s="38" t="s">
        <v>94</v>
      </c>
      <c r="G11054" s="49" t="str">
        <f t="shared" si="1"/>
        <v>32500</v>
      </c>
      <c r="H11054" s="49">
        <f t="shared" si="2"/>
        <v>32306</v>
      </c>
    </row>
    <row r="11055">
      <c r="A11055" s="48" t="s">
        <v>15103</v>
      </c>
      <c r="B11055" s="38">
        <v>59205.0</v>
      </c>
      <c r="C11055" s="38" t="s">
        <v>15104</v>
      </c>
      <c r="D11055" s="38" t="str">
        <f>IFERROR(__xludf.DUMMYFUNCTION("REGEXREPLACE(C11055,""-\d+(.*)|--\d+(.*)"","""")"),"ESCAUDAIN")</f>
        <v>ESCAUDAIN</v>
      </c>
      <c r="E11055" s="38" t="s">
        <v>85</v>
      </c>
      <c r="F11055" s="38" t="s">
        <v>86</v>
      </c>
      <c r="G11055" s="49" t="str">
        <f t="shared" si="1"/>
        <v>59124</v>
      </c>
      <c r="H11055" s="49">
        <f t="shared" si="2"/>
        <v>59205</v>
      </c>
    </row>
    <row r="11056">
      <c r="A11056" s="48" t="s">
        <v>7514</v>
      </c>
      <c r="B11056" s="38">
        <v>88031.0</v>
      </c>
      <c r="C11056" s="38" t="s">
        <v>15105</v>
      </c>
      <c r="D11056" s="38" t="str">
        <f>IFERROR(__xludf.DUMMYFUNCTION("REGEXREPLACE(C11056,""-\d+(.*)|--\d+(.*)"","""")"),"BALLEVILLE")</f>
        <v>BALLEVILLE</v>
      </c>
      <c r="E11056" s="38" t="s">
        <v>194</v>
      </c>
      <c r="F11056" s="38" t="s">
        <v>195</v>
      </c>
      <c r="G11056" s="49" t="str">
        <f t="shared" si="1"/>
        <v>88170</v>
      </c>
      <c r="H11056" s="49">
        <f t="shared" si="2"/>
        <v>88031</v>
      </c>
    </row>
    <row r="11057">
      <c r="A11057" s="48" t="s">
        <v>2989</v>
      </c>
      <c r="B11057" s="38">
        <v>70493.0</v>
      </c>
      <c r="C11057" s="38" t="s">
        <v>15106</v>
      </c>
      <c r="D11057" s="38" t="str">
        <f>IFERROR(__xludf.DUMMYFUNCTION("REGEXREPLACE(C11057,""-\d+(.*)|--\d+(.*)"","""")"),"SORANS-LES-BREUREY")</f>
        <v>SORANS-LES-BREUREY</v>
      </c>
      <c r="E11057" s="38" t="s">
        <v>956</v>
      </c>
      <c r="F11057" s="38" t="s">
        <v>214</v>
      </c>
      <c r="G11057" s="49" t="str">
        <f t="shared" si="1"/>
        <v>70190</v>
      </c>
      <c r="H11057" s="49">
        <f t="shared" si="2"/>
        <v>70493</v>
      </c>
    </row>
    <row r="11058">
      <c r="A11058" s="48" t="s">
        <v>10392</v>
      </c>
      <c r="B11058" s="38">
        <v>64256.0</v>
      </c>
      <c r="C11058" s="38" t="s">
        <v>15107</v>
      </c>
      <c r="D11058" s="38" t="str">
        <f>IFERROR(__xludf.DUMMYFUNCTION("REGEXREPLACE(C11058,""-\d+(.*)|--\d+(.*)"","""")"),"HASPARREN")</f>
        <v>HASPARREN</v>
      </c>
      <c r="E11058" s="38" t="s">
        <v>268</v>
      </c>
      <c r="F11058" s="38" t="s">
        <v>252</v>
      </c>
      <c r="G11058" s="49" t="str">
        <f t="shared" si="1"/>
        <v>64240</v>
      </c>
      <c r="H11058" s="49">
        <f t="shared" si="2"/>
        <v>64256</v>
      </c>
    </row>
    <row r="11059">
      <c r="A11059" s="48" t="s">
        <v>2848</v>
      </c>
      <c r="B11059" s="38">
        <v>51157.0</v>
      </c>
      <c r="C11059" s="38" t="s">
        <v>15108</v>
      </c>
      <c r="D11059" s="38" t="str">
        <f>IFERROR(__xludf.DUMMYFUNCTION("REGEXREPLACE(C11059,""-\d+(.*)|--\d+(.*)"","""")"),"COIZARD-JOCHES")</f>
        <v>COIZARD-JOCHES</v>
      </c>
      <c r="E11059" s="38" t="s">
        <v>129</v>
      </c>
      <c r="F11059" s="38" t="s">
        <v>130</v>
      </c>
      <c r="G11059" s="49" t="str">
        <f t="shared" si="1"/>
        <v>51270</v>
      </c>
      <c r="H11059" s="49">
        <f t="shared" si="2"/>
        <v>51157</v>
      </c>
    </row>
    <row r="11060">
      <c r="A11060" s="48" t="s">
        <v>711</v>
      </c>
      <c r="B11060" s="38">
        <v>49253.0</v>
      </c>
      <c r="C11060" s="38" t="s">
        <v>15109</v>
      </c>
      <c r="D11060" s="38" t="str">
        <f>IFERROR(__xludf.DUMMYFUNCTION("REGEXREPLACE(C11060,""-\d+(.*)|--\d+(.*)"","""")"),"LE PUY-NOTRE-DAME")</f>
        <v>LE PUY-NOTRE-DAME</v>
      </c>
      <c r="E11060" s="38" t="s">
        <v>653</v>
      </c>
      <c r="F11060" s="38" t="s">
        <v>180</v>
      </c>
      <c r="G11060" s="49" t="str">
        <f t="shared" si="1"/>
        <v>49260</v>
      </c>
      <c r="H11060" s="49">
        <f t="shared" si="2"/>
        <v>49253</v>
      </c>
    </row>
    <row r="11061">
      <c r="A11061" s="48" t="s">
        <v>10965</v>
      </c>
      <c r="B11061" s="38">
        <v>80535.0</v>
      </c>
      <c r="C11061" s="38" t="s">
        <v>15110</v>
      </c>
      <c r="D11061" s="38" t="str">
        <f>IFERROR(__xludf.DUMMYFUNCTION("REGEXREPLACE(C11061,""-\d+(.*)|--\d+(.*)"","""")"),"LE MESGE")</f>
        <v>LE MESGE</v>
      </c>
      <c r="E11061" s="38" t="s">
        <v>224</v>
      </c>
      <c r="F11061" s="38" t="s">
        <v>113</v>
      </c>
      <c r="G11061" s="49" t="str">
        <f t="shared" si="1"/>
        <v>80310</v>
      </c>
      <c r="H11061" s="49">
        <f t="shared" si="2"/>
        <v>80535</v>
      </c>
    </row>
    <row r="11062">
      <c r="A11062" s="48" t="s">
        <v>1448</v>
      </c>
      <c r="B11062" s="38">
        <v>29286.0</v>
      </c>
      <c r="C11062" s="38" t="s">
        <v>15111</v>
      </c>
      <c r="D11062" s="38" t="str">
        <f>IFERROR(__xludf.DUMMYFUNCTION("REGEXREPLACE(C11062,""-\d+(.*)|--\d+(.*)"","""")"),"TREFLEVENEZ")</f>
        <v>TREFLEVENEZ</v>
      </c>
      <c r="E11062" s="38" t="s">
        <v>176</v>
      </c>
      <c r="F11062" s="38" t="s">
        <v>90</v>
      </c>
      <c r="G11062" s="49" t="str">
        <f t="shared" si="1"/>
        <v>29800</v>
      </c>
      <c r="H11062" s="49">
        <f t="shared" si="2"/>
        <v>29286</v>
      </c>
    </row>
    <row r="11063">
      <c r="A11063" s="48" t="s">
        <v>3364</v>
      </c>
      <c r="B11063" s="38">
        <v>62613.0</v>
      </c>
      <c r="C11063" s="38" t="s">
        <v>15112</v>
      </c>
      <c r="D11063" s="38" t="str">
        <f>IFERROR(__xludf.DUMMYFUNCTION("REGEXREPLACE(C11063,""-\d+(.*)|--\d+(.*)"","""")"),"NIELLES-LES-BLEQUIN")</f>
        <v>NIELLES-LES-BLEQUIN</v>
      </c>
      <c r="E11063" s="38" t="s">
        <v>109</v>
      </c>
      <c r="F11063" s="38" t="s">
        <v>86</v>
      </c>
      <c r="G11063" s="49" t="str">
        <f t="shared" si="1"/>
        <v>62380</v>
      </c>
      <c r="H11063" s="49">
        <f t="shared" si="2"/>
        <v>62613</v>
      </c>
    </row>
    <row r="11064">
      <c r="A11064" s="48" t="s">
        <v>12236</v>
      </c>
      <c r="B11064" s="38">
        <v>10220.0</v>
      </c>
      <c r="C11064" s="38" t="s">
        <v>15113</v>
      </c>
      <c r="D11064" s="38" t="str">
        <f>IFERROR(__xludf.DUMMYFUNCTION("REGEXREPLACE(C11064,""-\d+(.*)|--\d+(.*)"","""")"),"MAIZIERES-LA-GRANDE-PAROISSE")</f>
        <v>MAIZIERES-LA-GRANDE-PAROISSE</v>
      </c>
      <c r="E11064" s="38" t="s">
        <v>147</v>
      </c>
      <c r="F11064" s="38" t="s">
        <v>130</v>
      </c>
      <c r="G11064" s="49" t="str">
        <f t="shared" si="1"/>
        <v>10510</v>
      </c>
      <c r="H11064" s="49">
        <f t="shared" si="2"/>
        <v>10220</v>
      </c>
    </row>
    <row r="11065">
      <c r="A11065" s="48" t="s">
        <v>2558</v>
      </c>
      <c r="B11065" s="38">
        <v>16402.0</v>
      </c>
      <c r="C11065" s="38" t="s">
        <v>15114</v>
      </c>
      <c r="D11065" s="38" t="str">
        <f>IFERROR(__xludf.DUMMYFUNCTION("REGEXREPLACE(C11065,""-\d+(.*)|--\d+(.*)"","""")"),"VIBRAC")</f>
        <v>VIBRAC</v>
      </c>
      <c r="E11065" s="38" t="s">
        <v>429</v>
      </c>
      <c r="F11065" s="38" t="s">
        <v>338</v>
      </c>
      <c r="G11065" s="49" t="str">
        <f t="shared" si="1"/>
        <v>16120</v>
      </c>
      <c r="H11065" s="49">
        <f t="shared" si="2"/>
        <v>16402</v>
      </c>
    </row>
    <row r="11066">
      <c r="A11066" s="48" t="s">
        <v>2328</v>
      </c>
      <c r="B11066" s="38">
        <v>57246.0</v>
      </c>
      <c r="C11066" s="38" t="s">
        <v>15115</v>
      </c>
      <c r="D11066" s="38" t="str">
        <f>IFERROR(__xludf.DUMMYFUNCTION("REGEXREPLACE(C11066,""-\d+(.*)|--\d+(.*)"","""")"),"GELUCOURT")</f>
        <v>GELUCOURT</v>
      </c>
      <c r="E11066" s="38" t="s">
        <v>303</v>
      </c>
      <c r="F11066" s="38" t="s">
        <v>195</v>
      </c>
      <c r="G11066" s="49" t="str">
        <f t="shared" si="1"/>
        <v>57260</v>
      </c>
      <c r="H11066" s="49">
        <f t="shared" si="2"/>
        <v>57246</v>
      </c>
    </row>
    <row r="11067">
      <c r="A11067" s="48" t="s">
        <v>4108</v>
      </c>
      <c r="B11067" s="38" t="s">
        <v>15116</v>
      </c>
      <c r="C11067" s="38" t="s">
        <v>15117</v>
      </c>
      <c r="D11067" s="38" t="str">
        <f>IFERROR(__xludf.DUMMYFUNCTION("REGEXREPLACE(C11067,""-\d+(.*)|--\d+(.*)"","""")"),"ALGAJOLA")</f>
        <v>ALGAJOLA</v>
      </c>
      <c r="E11067" s="38" t="s">
        <v>743</v>
      </c>
      <c r="F11067" s="38" t="s">
        <v>607</v>
      </c>
      <c r="G11067" s="49" t="str">
        <f t="shared" si="1"/>
        <v>20220</v>
      </c>
      <c r="H11067" s="49" t="str">
        <f t="shared" si="2"/>
        <v>2B010</v>
      </c>
    </row>
    <row r="11068">
      <c r="A11068" s="48" t="s">
        <v>9365</v>
      </c>
      <c r="B11068" s="38">
        <v>90013.0</v>
      </c>
      <c r="C11068" s="38" t="s">
        <v>15118</v>
      </c>
      <c r="D11068" s="38" t="str">
        <f>IFERROR(__xludf.DUMMYFUNCTION("REGEXREPLACE(C11068,""-\d+(.*)|--\d+(.*)"","""")"),"BETHONVILLIERS")</f>
        <v>BETHONVILLIERS</v>
      </c>
      <c r="E11068" s="38" t="s">
        <v>1283</v>
      </c>
      <c r="F11068" s="38" t="s">
        <v>214</v>
      </c>
      <c r="G11068" s="49" t="str">
        <f t="shared" si="1"/>
        <v>90150</v>
      </c>
      <c r="H11068" s="49">
        <f t="shared" si="2"/>
        <v>90013</v>
      </c>
    </row>
    <row r="11069">
      <c r="A11069" s="48" t="s">
        <v>1174</v>
      </c>
      <c r="B11069" s="38">
        <v>51325.0</v>
      </c>
      <c r="C11069" s="38" t="s">
        <v>15119</v>
      </c>
      <c r="D11069" s="38" t="str">
        <f>IFERROR(__xludf.DUMMYFUNCTION("REGEXREPLACE(C11069,""-\d+(.*)|--\d+(.*)"","""")"),"LISSE-EN-CHAMPAGNE")</f>
        <v>LISSE-EN-CHAMPAGNE</v>
      </c>
      <c r="E11069" s="38" t="s">
        <v>129</v>
      </c>
      <c r="F11069" s="38" t="s">
        <v>130</v>
      </c>
      <c r="G11069" s="49" t="str">
        <f t="shared" si="1"/>
        <v>51300</v>
      </c>
      <c r="H11069" s="49">
        <f t="shared" si="2"/>
        <v>51325</v>
      </c>
    </row>
    <row r="11070">
      <c r="A11070" s="48" t="s">
        <v>862</v>
      </c>
      <c r="B11070" s="38">
        <v>27107.0</v>
      </c>
      <c r="C11070" s="38" t="s">
        <v>15120</v>
      </c>
      <c r="D11070" s="38" t="str">
        <f>IFERROR(__xludf.DUMMYFUNCTION("REGEXREPLACE(C11070,""-\d+(.*)|--\d+(.*)"","""")"),"BOURNEVILLE")</f>
        <v>BOURNEVILLE</v>
      </c>
      <c r="E11070" s="38" t="s">
        <v>241</v>
      </c>
      <c r="F11070" s="38" t="s">
        <v>134</v>
      </c>
      <c r="G11070" s="49" t="str">
        <f t="shared" si="1"/>
        <v>27500</v>
      </c>
      <c r="H11070" s="49">
        <f t="shared" si="2"/>
        <v>27107</v>
      </c>
    </row>
    <row r="11071">
      <c r="A11071" s="48" t="s">
        <v>1681</v>
      </c>
      <c r="B11071" s="38">
        <v>80511.0</v>
      </c>
      <c r="C11071" s="38" t="s">
        <v>15121</v>
      </c>
      <c r="D11071" s="38" t="str">
        <f>IFERROR(__xludf.DUMMYFUNCTION("REGEXREPLACE(C11071,""-\d+(.*)|--\d+(.*)"","""")"),"MARESTMONTIERS")</f>
        <v>MARESTMONTIERS</v>
      </c>
      <c r="E11071" s="38" t="s">
        <v>224</v>
      </c>
      <c r="F11071" s="38" t="s">
        <v>113</v>
      </c>
      <c r="G11071" s="49" t="str">
        <f t="shared" si="1"/>
        <v>80500</v>
      </c>
      <c r="H11071" s="49">
        <f t="shared" si="2"/>
        <v>80511</v>
      </c>
    </row>
    <row r="11072">
      <c r="A11072" s="48" t="s">
        <v>9225</v>
      </c>
      <c r="B11072" s="38">
        <v>23114.0</v>
      </c>
      <c r="C11072" s="38" t="s">
        <v>15122</v>
      </c>
      <c r="D11072" s="38" t="str">
        <f>IFERROR(__xludf.DUMMYFUNCTION("REGEXREPLACE(C11072,""-\d+(.*)|--\d+(.*)"","""")"),"LUSSAT")</f>
        <v>LUSSAT</v>
      </c>
      <c r="E11072" s="38" t="s">
        <v>97</v>
      </c>
      <c r="F11072" s="38" t="s">
        <v>98</v>
      </c>
      <c r="G11072" s="49" t="str">
        <f t="shared" si="1"/>
        <v>23170</v>
      </c>
      <c r="H11072" s="49">
        <f t="shared" si="2"/>
        <v>23114</v>
      </c>
    </row>
    <row r="11073">
      <c r="A11073" s="48" t="s">
        <v>9905</v>
      </c>
      <c r="B11073" s="38">
        <v>65139.0</v>
      </c>
      <c r="C11073" s="38" t="s">
        <v>15123</v>
      </c>
      <c r="D11073" s="38" t="str">
        <f>IFERROR(__xludf.DUMMYFUNCTION("REGEXREPLACE(C11073,""-\d+(.*)|--\d+(.*)"","""")"),"CAZARILH")</f>
        <v>CAZARILH</v>
      </c>
      <c r="E11073" s="38" t="s">
        <v>200</v>
      </c>
      <c r="F11073" s="38" t="s">
        <v>94</v>
      </c>
      <c r="G11073" s="49" t="str">
        <f t="shared" si="1"/>
        <v>65370</v>
      </c>
      <c r="H11073" s="49">
        <f t="shared" si="2"/>
        <v>65139</v>
      </c>
    </row>
    <row r="11074">
      <c r="A11074" s="48" t="s">
        <v>922</v>
      </c>
      <c r="B11074" s="38">
        <v>76578.0</v>
      </c>
      <c r="C11074" s="38" t="s">
        <v>547</v>
      </c>
      <c r="D11074" s="38" t="str">
        <f>IFERROR(__xludf.DUMMYFUNCTION("REGEXREPLACE(C11074,""-\d+(.*)|--\d+(.*)"","""")"),"SAINTE-GENEVIEVE")</f>
        <v>SAINTE-GENEVIEVE</v>
      </c>
      <c r="E11074" s="38" t="s">
        <v>133</v>
      </c>
      <c r="F11074" s="38" t="s">
        <v>134</v>
      </c>
      <c r="G11074" s="49" t="str">
        <f t="shared" si="1"/>
        <v>76440</v>
      </c>
      <c r="H11074" s="49">
        <f t="shared" si="2"/>
        <v>76578</v>
      </c>
    </row>
    <row r="11075">
      <c r="A11075" s="48" t="s">
        <v>610</v>
      </c>
      <c r="B11075" s="38">
        <v>26097.0</v>
      </c>
      <c r="C11075" s="38" t="s">
        <v>15124</v>
      </c>
      <c r="D11075" s="38" t="str">
        <f>IFERROR(__xludf.DUMMYFUNCTION("REGEXREPLACE(C11075,""-\d+(.*)|--\d+(.*)"","""")"),"CLIOUSCLAT")</f>
        <v>CLIOUSCLAT</v>
      </c>
      <c r="E11075" s="38" t="s">
        <v>126</v>
      </c>
      <c r="F11075" s="38" t="s">
        <v>102</v>
      </c>
      <c r="G11075" s="49" t="str">
        <f t="shared" si="1"/>
        <v>26270</v>
      </c>
      <c r="H11075" s="49">
        <f t="shared" si="2"/>
        <v>26097</v>
      </c>
    </row>
    <row r="11076">
      <c r="A11076" s="48" t="s">
        <v>4592</v>
      </c>
      <c r="B11076" s="38">
        <v>26146.0</v>
      </c>
      <c r="C11076" s="38" t="s">
        <v>15125</v>
      </c>
      <c r="D11076" s="38" t="str">
        <f>IFERROR(__xludf.DUMMYFUNCTION("REGEXREPLACE(C11076,""-\d+(.*)|--\d+(.*)"","""")"),"GRIGNAN")</f>
        <v>GRIGNAN</v>
      </c>
      <c r="E11076" s="38" t="s">
        <v>126</v>
      </c>
      <c r="F11076" s="38" t="s">
        <v>102</v>
      </c>
      <c r="G11076" s="49" t="str">
        <f t="shared" si="1"/>
        <v>26230</v>
      </c>
      <c r="H11076" s="49">
        <f t="shared" si="2"/>
        <v>26146</v>
      </c>
    </row>
    <row r="11077">
      <c r="A11077" s="48" t="s">
        <v>1435</v>
      </c>
      <c r="B11077" s="38">
        <v>14555.0</v>
      </c>
      <c r="C11077" s="38" t="s">
        <v>15126</v>
      </c>
      <c r="D11077" s="38" t="str">
        <f>IFERROR(__xludf.DUMMYFUNCTION("REGEXREPLACE(C11077,""-\d+(.*)|--\d+(.*)"","""")"),"SAINT-ANDRE-D'HEBERTOT")</f>
        <v>SAINT-ANDRE-D'HEBERTOT</v>
      </c>
      <c r="E11077" s="38" t="s">
        <v>137</v>
      </c>
      <c r="F11077" s="38" t="s">
        <v>138</v>
      </c>
      <c r="G11077" s="49" t="str">
        <f t="shared" si="1"/>
        <v>14130</v>
      </c>
      <c r="H11077" s="49">
        <f t="shared" si="2"/>
        <v>14555</v>
      </c>
    </row>
    <row r="11078">
      <c r="A11078" s="48" t="s">
        <v>794</v>
      </c>
      <c r="B11078" s="38">
        <v>60163.0</v>
      </c>
      <c r="C11078" s="38" t="s">
        <v>15127</v>
      </c>
      <c r="D11078" s="38" t="str">
        <f>IFERROR(__xludf.DUMMYFUNCTION("REGEXREPLACE(C11078,""-\d+(.*)|--\d+(.*)"","""")"),"CORMEILLES")</f>
        <v>CORMEILLES</v>
      </c>
      <c r="E11078" s="38" t="s">
        <v>112</v>
      </c>
      <c r="F11078" s="38" t="s">
        <v>113</v>
      </c>
      <c r="G11078" s="49" t="str">
        <f t="shared" si="1"/>
        <v>60120</v>
      </c>
      <c r="H11078" s="49">
        <f t="shared" si="2"/>
        <v>60163</v>
      </c>
    </row>
    <row r="11079">
      <c r="A11079" s="48" t="s">
        <v>9181</v>
      </c>
      <c r="B11079" s="38">
        <v>41296.0</v>
      </c>
      <c r="C11079" s="38" t="s">
        <v>15128</v>
      </c>
      <c r="D11079" s="38" t="str">
        <f>IFERROR(__xludf.DUMMYFUNCTION("REGEXREPLACE(C11079,""-\d+(.*)|--\d+(.*)"","""")"),"VOUZON")</f>
        <v>VOUZON</v>
      </c>
      <c r="E11079" s="38" t="s">
        <v>188</v>
      </c>
      <c r="F11079" s="38" t="s">
        <v>123</v>
      </c>
      <c r="G11079" s="49" t="str">
        <f t="shared" si="1"/>
        <v>41600</v>
      </c>
      <c r="H11079" s="49">
        <f t="shared" si="2"/>
        <v>41296</v>
      </c>
    </row>
    <row r="11080">
      <c r="A11080" s="48" t="s">
        <v>9536</v>
      </c>
      <c r="B11080" s="38">
        <v>8184.0</v>
      </c>
      <c r="C11080" s="38" t="s">
        <v>15129</v>
      </c>
      <c r="D11080" s="38" t="str">
        <f>IFERROR(__xludf.DUMMYFUNCTION("REGEXREPLACE(C11080,""-\d+(.*)|--\d+(.*)"","""")"),"FROMY")</f>
        <v>FROMY</v>
      </c>
      <c r="E11080" s="38" t="s">
        <v>327</v>
      </c>
      <c r="F11080" s="38" t="s">
        <v>130</v>
      </c>
      <c r="G11080" s="49" t="str">
        <f t="shared" si="1"/>
        <v>08370</v>
      </c>
      <c r="H11080" s="49" t="str">
        <f t="shared" si="2"/>
        <v>08184</v>
      </c>
    </row>
    <row r="11081">
      <c r="A11081" s="48" t="s">
        <v>5212</v>
      </c>
      <c r="B11081" s="38">
        <v>41100.0</v>
      </c>
      <c r="C11081" s="38" t="s">
        <v>15130</v>
      </c>
      <c r="D11081" s="38" t="str">
        <f>IFERROR(__xludf.DUMMYFUNCTION("REGEXREPLACE(C11081,""-\d+(.*)|--\d+(.*)"","""")"),"LES HAYES")</f>
        <v>LES HAYES</v>
      </c>
      <c r="E11081" s="38" t="s">
        <v>188</v>
      </c>
      <c r="F11081" s="38" t="s">
        <v>123</v>
      </c>
      <c r="G11081" s="49" t="str">
        <f t="shared" si="1"/>
        <v>41800</v>
      </c>
      <c r="H11081" s="49">
        <f t="shared" si="2"/>
        <v>41100</v>
      </c>
    </row>
    <row r="11082">
      <c r="A11082" s="48" t="s">
        <v>1518</v>
      </c>
      <c r="B11082" s="38">
        <v>88060.0</v>
      </c>
      <c r="C11082" s="38" t="s">
        <v>15131</v>
      </c>
      <c r="D11082" s="38" t="str">
        <f>IFERROR(__xludf.DUMMYFUNCTION("REGEXREPLACE(C11082,""-\d+(.*)|--\d+(.*)"","""")"),"BLEMEREY")</f>
        <v>BLEMEREY</v>
      </c>
      <c r="E11082" s="38" t="s">
        <v>194</v>
      </c>
      <c r="F11082" s="38" t="s">
        <v>195</v>
      </c>
      <c r="G11082" s="49" t="str">
        <f t="shared" si="1"/>
        <v>88500</v>
      </c>
      <c r="H11082" s="49">
        <f t="shared" si="2"/>
        <v>88060</v>
      </c>
    </row>
    <row r="11083">
      <c r="A11083" s="48" t="s">
        <v>9769</v>
      </c>
      <c r="B11083" s="38">
        <v>46306.0</v>
      </c>
      <c r="C11083" s="38" t="s">
        <v>15132</v>
      </c>
      <c r="D11083" s="38" t="str">
        <f>IFERROR(__xludf.DUMMYFUNCTION("REGEXREPLACE(C11083,""-\d+(.*)|--\d+(.*)"","""")"),"SONAC")</f>
        <v>SONAC</v>
      </c>
      <c r="E11083" s="38" t="s">
        <v>185</v>
      </c>
      <c r="F11083" s="38" t="s">
        <v>94</v>
      </c>
      <c r="G11083" s="49" t="str">
        <f t="shared" si="1"/>
        <v>46320</v>
      </c>
      <c r="H11083" s="49">
        <f t="shared" si="2"/>
        <v>46306</v>
      </c>
    </row>
    <row r="11084">
      <c r="A11084" s="48" t="s">
        <v>576</v>
      </c>
      <c r="B11084" s="38">
        <v>54246.0</v>
      </c>
      <c r="C11084" s="38" t="s">
        <v>15133</v>
      </c>
      <c r="D11084" s="38" t="str">
        <f>IFERROR(__xludf.DUMMYFUNCTION("REGEXREPLACE(C11084,""-\d+(.*)|--\d+(.*)"","""")"),"HALLOVILLE")</f>
        <v>HALLOVILLE</v>
      </c>
      <c r="E11084" s="38" t="s">
        <v>548</v>
      </c>
      <c r="F11084" s="38" t="s">
        <v>195</v>
      </c>
      <c r="G11084" s="49" t="str">
        <f t="shared" si="1"/>
        <v>54450</v>
      </c>
      <c r="H11084" s="49">
        <f t="shared" si="2"/>
        <v>54246</v>
      </c>
    </row>
    <row r="11085">
      <c r="A11085" s="48" t="s">
        <v>15134</v>
      </c>
      <c r="B11085" s="38">
        <v>67350.0</v>
      </c>
      <c r="C11085" s="38" t="s">
        <v>15135</v>
      </c>
      <c r="D11085" s="38" t="str">
        <f>IFERROR(__xludf.DUMMYFUNCTION("REGEXREPLACE(C11085,""-\d+(.*)|--\d+(.*)"","""")"),"OBERSCHAEFFOLSHEIM")</f>
        <v>OBERSCHAEFFOLSHEIM</v>
      </c>
      <c r="E11085" s="38" t="s">
        <v>210</v>
      </c>
      <c r="F11085" s="38" t="s">
        <v>151</v>
      </c>
      <c r="G11085" s="49" t="str">
        <f t="shared" si="1"/>
        <v>67203</v>
      </c>
      <c r="H11085" s="49">
        <f t="shared" si="2"/>
        <v>67350</v>
      </c>
    </row>
    <row r="11086">
      <c r="A11086" s="48" t="s">
        <v>282</v>
      </c>
      <c r="B11086" s="38">
        <v>46265.0</v>
      </c>
      <c r="C11086" s="38" t="s">
        <v>15136</v>
      </c>
      <c r="D11086" s="38" t="str">
        <f>IFERROR(__xludf.DUMMYFUNCTION("REGEXREPLACE(C11086,""-\d+(.*)|--\d+(.*)"","""")"),"SAINT-DENIS-LES-MARTEL")</f>
        <v>SAINT-DENIS-LES-MARTEL</v>
      </c>
      <c r="E11086" s="38" t="s">
        <v>185</v>
      </c>
      <c r="F11086" s="38" t="s">
        <v>94</v>
      </c>
      <c r="G11086" s="49" t="str">
        <f t="shared" si="1"/>
        <v>46600</v>
      </c>
      <c r="H11086" s="49">
        <f t="shared" si="2"/>
        <v>46265</v>
      </c>
    </row>
    <row r="11087">
      <c r="A11087" s="48" t="s">
        <v>12166</v>
      </c>
      <c r="B11087" s="38">
        <v>22079.0</v>
      </c>
      <c r="C11087" s="38" t="s">
        <v>15137</v>
      </c>
      <c r="D11087" s="38" t="str">
        <f>IFERROR(__xludf.DUMMYFUNCTION("REGEXREPLACE(C11087,""-\d+(.*)|--\d+(.*)"","""")"),"HENON")</f>
        <v>HENON</v>
      </c>
      <c r="E11087" s="38" t="s">
        <v>89</v>
      </c>
      <c r="F11087" s="38" t="s">
        <v>90</v>
      </c>
      <c r="G11087" s="49" t="str">
        <f t="shared" si="1"/>
        <v>22150</v>
      </c>
      <c r="H11087" s="49">
        <f t="shared" si="2"/>
        <v>22079</v>
      </c>
    </row>
    <row r="11088">
      <c r="A11088" s="48" t="s">
        <v>6007</v>
      </c>
      <c r="B11088" s="38">
        <v>24080.0</v>
      </c>
      <c r="C11088" s="38" t="s">
        <v>15138</v>
      </c>
      <c r="D11088" s="38" t="str">
        <f>IFERROR(__xludf.DUMMYFUNCTION("REGEXREPLACE(C11088,""-\d+(.*)|--\d+(.*)"","""")"),"CAPDROT")</f>
        <v>CAPDROT</v>
      </c>
      <c r="E11088" s="38" t="s">
        <v>261</v>
      </c>
      <c r="F11088" s="38" t="s">
        <v>252</v>
      </c>
      <c r="G11088" s="49" t="str">
        <f t="shared" si="1"/>
        <v>24540</v>
      </c>
      <c r="H11088" s="49">
        <f t="shared" si="2"/>
        <v>24080</v>
      </c>
    </row>
    <row r="11089">
      <c r="A11089" s="48" t="s">
        <v>4178</v>
      </c>
      <c r="B11089" s="38">
        <v>25049.0</v>
      </c>
      <c r="C11089" s="38" t="s">
        <v>15139</v>
      </c>
      <c r="D11089" s="38" t="str">
        <f>IFERROR(__xludf.DUMMYFUNCTION("REGEXREPLACE(C11089,""-\d+(.*)|--\d+(.*)"","""")"),"BELFAYS")</f>
        <v>BELFAYS</v>
      </c>
      <c r="E11089" s="38" t="s">
        <v>213</v>
      </c>
      <c r="F11089" s="38" t="s">
        <v>214</v>
      </c>
      <c r="G11089" s="49" t="str">
        <f t="shared" si="1"/>
        <v>25470</v>
      </c>
      <c r="H11089" s="49">
        <f t="shared" si="2"/>
        <v>25049</v>
      </c>
    </row>
    <row r="11090">
      <c r="A11090" s="48" t="s">
        <v>2008</v>
      </c>
      <c r="B11090" s="38">
        <v>46075.0</v>
      </c>
      <c r="C11090" s="38" t="s">
        <v>15140</v>
      </c>
      <c r="D11090" s="38" t="str">
        <f>IFERROR(__xludf.DUMMYFUNCTION("REGEXREPLACE(C11090,""-\d+(.*)|--\d+(.*)"","""")"),"CORN")</f>
        <v>CORN</v>
      </c>
      <c r="E11090" s="38" t="s">
        <v>185</v>
      </c>
      <c r="F11090" s="38" t="s">
        <v>94</v>
      </c>
      <c r="G11090" s="49" t="str">
        <f t="shared" si="1"/>
        <v>46100</v>
      </c>
      <c r="H11090" s="49">
        <f t="shared" si="2"/>
        <v>46075</v>
      </c>
    </row>
    <row r="11091">
      <c r="A11091" s="48" t="s">
        <v>7144</v>
      </c>
      <c r="B11091" s="38">
        <v>76364.0</v>
      </c>
      <c r="C11091" s="38" t="s">
        <v>15141</v>
      </c>
      <c r="D11091" s="38" t="str">
        <f>IFERROR(__xludf.DUMMYFUNCTION("REGEXREPLACE(C11091,""-\d+(.*)|--\d+(.*)"","""")"),"HODENG-HODENGER")</f>
        <v>HODENG-HODENGER</v>
      </c>
      <c r="E11091" s="38" t="s">
        <v>133</v>
      </c>
      <c r="F11091" s="38" t="s">
        <v>134</v>
      </c>
      <c r="G11091" s="49" t="str">
        <f t="shared" si="1"/>
        <v>76780</v>
      </c>
      <c r="H11091" s="49">
        <f t="shared" si="2"/>
        <v>76364</v>
      </c>
    </row>
    <row r="11092">
      <c r="A11092" s="48" t="s">
        <v>7622</v>
      </c>
      <c r="B11092" s="38">
        <v>10067.0</v>
      </c>
      <c r="C11092" s="38" t="s">
        <v>15142</v>
      </c>
      <c r="D11092" s="38" t="str">
        <f>IFERROR(__xludf.DUMMYFUNCTION("REGEXREPLACE(C11092,""-\d+(.*)|--\d+(.*)"","""")"),"BUCHERES")</f>
        <v>BUCHERES</v>
      </c>
      <c r="E11092" s="38" t="s">
        <v>147</v>
      </c>
      <c r="F11092" s="38" t="s">
        <v>130</v>
      </c>
      <c r="G11092" s="49" t="str">
        <f t="shared" si="1"/>
        <v>10800</v>
      </c>
      <c r="H11092" s="49">
        <f t="shared" si="2"/>
        <v>10067</v>
      </c>
    </row>
    <row r="11093">
      <c r="A11093" s="48" t="s">
        <v>6311</v>
      </c>
      <c r="B11093" s="38">
        <v>89441.0</v>
      </c>
      <c r="C11093" s="38" t="s">
        <v>15143</v>
      </c>
      <c r="D11093" s="38" t="str">
        <f>IFERROR(__xludf.DUMMYFUNCTION("REGEXREPLACE(C11093,""-\d+(.*)|--\d+(.*)"","""")"),"VERMENTON")</f>
        <v>VERMENTON</v>
      </c>
      <c r="E11093" s="38" t="s">
        <v>275</v>
      </c>
      <c r="F11093" s="38" t="s">
        <v>106</v>
      </c>
      <c r="G11093" s="49" t="str">
        <f t="shared" si="1"/>
        <v>89270</v>
      </c>
      <c r="H11093" s="49">
        <f t="shared" si="2"/>
        <v>89441</v>
      </c>
    </row>
    <row r="11094">
      <c r="A11094" s="48" t="s">
        <v>3372</v>
      </c>
      <c r="B11094" s="38">
        <v>59311.0</v>
      </c>
      <c r="C11094" s="38" t="s">
        <v>15144</v>
      </c>
      <c r="D11094" s="38" t="str">
        <f>IFERROR(__xludf.DUMMYFUNCTION("REGEXREPLACE(C11094,""-\d+(.*)|--\d+(.*)"","""")"),"HONNECHY")</f>
        <v>HONNECHY</v>
      </c>
      <c r="E11094" s="38" t="s">
        <v>85</v>
      </c>
      <c r="F11094" s="38" t="s">
        <v>86</v>
      </c>
      <c r="G11094" s="49" t="str">
        <f t="shared" si="1"/>
        <v>59980</v>
      </c>
      <c r="H11094" s="49">
        <f t="shared" si="2"/>
        <v>59311</v>
      </c>
    </row>
    <row r="11095">
      <c r="A11095" s="48" t="s">
        <v>12997</v>
      </c>
      <c r="B11095" s="38">
        <v>65403.0</v>
      </c>
      <c r="C11095" s="38" t="s">
        <v>15145</v>
      </c>
      <c r="D11095" s="38" t="str">
        <f>IFERROR(__xludf.DUMMYFUNCTION("REGEXREPLACE(C11095,""-\d+(.*)|--\d+(.*)"","""")"),"SANOUS")</f>
        <v>SANOUS</v>
      </c>
      <c r="E11095" s="38" t="s">
        <v>200</v>
      </c>
      <c r="F11095" s="38" t="s">
        <v>94</v>
      </c>
      <c r="G11095" s="49" t="str">
        <f t="shared" si="1"/>
        <v>65500</v>
      </c>
      <c r="H11095" s="49">
        <f t="shared" si="2"/>
        <v>65403</v>
      </c>
    </row>
    <row r="11096">
      <c r="A11096" s="48" t="s">
        <v>1398</v>
      </c>
      <c r="B11096" s="38">
        <v>45021.0</v>
      </c>
      <c r="C11096" s="38" t="s">
        <v>15146</v>
      </c>
      <c r="D11096" s="38" t="str">
        <f>IFERROR(__xludf.DUMMYFUNCTION("REGEXREPLACE(C11096,""-\d+(.*)|--\d+(.*)"","""")"),"BARVILLE-EN-GATINAIS")</f>
        <v>BARVILLE-EN-GATINAIS</v>
      </c>
      <c r="E11096" s="38" t="s">
        <v>122</v>
      </c>
      <c r="F11096" s="38" t="s">
        <v>123</v>
      </c>
      <c r="G11096" s="49" t="str">
        <f t="shared" si="1"/>
        <v>45340</v>
      </c>
      <c r="H11096" s="49">
        <f t="shared" si="2"/>
        <v>45021</v>
      </c>
    </row>
    <row r="11097">
      <c r="A11097" s="48" t="s">
        <v>3912</v>
      </c>
      <c r="B11097" s="38">
        <v>38395.0</v>
      </c>
      <c r="C11097" s="38" t="s">
        <v>3567</v>
      </c>
      <c r="D11097" s="38" t="str">
        <f>IFERROR(__xludf.DUMMYFUNCTION("REGEXREPLACE(C11097,""-\d+(.*)|--\d+(.*)"","""")"),"SAINT-HILAIRE")</f>
        <v>SAINT-HILAIRE</v>
      </c>
      <c r="E11097" s="38" t="s">
        <v>101</v>
      </c>
      <c r="F11097" s="38" t="s">
        <v>102</v>
      </c>
      <c r="G11097" s="49" t="str">
        <f t="shared" si="1"/>
        <v>38660</v>
      </c>
      <c r="H11097" s="49">
        <f t="shared" si="2"/>
        <v>38395</v>
      </c>
    </row>
    <row r="11098">
      <c r="A11098" s="48" t="s">
        <v>8896</v>
      </c>
      <c r="B11098" s="38">
        <v>47252.0</v>
      </c>
      <c r="C11098" s="38" t="s">
        <v>15147</v>
      </c>
      <c r="D11098" s="38" t="str">
        <f>IFERROR(__xludf.DUMMYFUNCTION("REGEXREPLACE(C11098,""-\d+(.*)|--\d+(.*)"","""")"),"SAINTE-LIVRADE-SUR-LOT")</f>
        <v>SAINTE-LIVRADE-SUR-LOT</v>
      </c>
      <c r="E11098" s="38" t="s">
        <v>251</v>
      </c>
      <c r="F11098" s="38" t="s">
        <v>252</v>
      </c>
      <c r="G11098" s="49" t="str">
        <f t="shared" si="1"/>
        <v>47110</v>
      </c>
      <c r="H11098" s="49">
        <f t="shared" si="2"/>
        <v>47252</v>
      </c>
    </row>
    <row r="11099">
      <c r="A11099" s="48" t="s">
        <v>15148</v>
      </c>
      <c r="B11099" s="38">
        <v>57619.0</v>
      </c>
      <c r="C11099" s="38" t="s">
        <v>15149</v>
      </c>
      <c r="D11099" s="38" t="str">
        <f>IFERROR(__xludf.DUMMYFUNCTION("REGEXREPLACE(C11099,""-\d+(.*)|--\d+(.*)"","""")"),"SAINT-LOUIS-LES-BITCHE")</f>
        <v>SAINT-LOUIS-LES-BITCHE</v>
      </c>
      <c r="E11099" s="38" t="s">
        <v>303</v>
      </c>
      <c r="F11099" s="38" t="s">
        <v>195</v>
      </c>
      <c r="G11099" s="49" t="str">
        <f t="shared" si="1"/>
        <v>57620</v>
      </c>
      <c r="H11099" s="49">
        <f t="shared" si="2"/>
        <v>57619</v>
      </c>
    </row>
    <row r="11100">
      <c r="A11100" s="48" t="s">
        <v>13636</v>
      </c>
      <c r="B11100" s="38">
        <v>57545.0</v>
      </c>
      <c r="C11100" s="38" t="s">
        <v>15150</v>
      </c>
      <c r="D11100" s="38" t="str">
        <f>IFERROR(__xludf.DUMMYFUNCTION("REGEXREPLACE(C11100,""-\d+(.*)|--\d+(.*)"","""")"),"PLAPPEVILLE")</f>
        <v>PLAPPEVILLE</v>
      </c>
      <c r="E11100" s="38" t="s">
        <v>303</v>
      </c>
      <c r="F11100" s="38" t="s">
        <v>195</v>
      </c>
      <c r="G11100" s="49" t="str">
        <f t="shared" si="1"/>
        <v>57050</v>
      </c>
      <c r="H11100" s="49">
        <f t="shared" si="2"/>
        <v>57545</v>
      </c>
    </row>
    <row r="11101">
      <c r="A11101" s="48" t="s">
        <v>1821</v>
      </c>
      <c r="B11101" s="38">
        <v>3118.0</v>
      </c>
      <c r="C11101" s="38" t="s">
        <v>15151</v>
      </c>
      <c r="D11101" s="38" t="str">
        <f>IFERROR(__xludf.DUMMYFUNCTION("REGEXREPLACE(C11101,""-\d+(.*)|--\d+(.*)"","""")"),"GANNAT")</f>
        <v>GANNAT</v>
      </c>
      <c r="E11101" s="38" t="s">
        <v>160</v>
      </c>
      <c r="F11101" s="38" t="s">
        <v>161</v>
      </c>
      <c r="G11101" s="49" t="str">
        <f t="shared" si="1"/>
        <v>03800</v>
      </c>
      <c r="H11101" s="49" t="str">
        <f t="shared" si="2"/>
        <v>03118</v>
      </c>
    </row>
    <row r="11102">
      <c r="A11102" s="48" t="s">
        <v>15152</v>
      </c>
      <c r="B11102" s="38">
        <v>67504.0</v>
      </c>
      <c r="C11102" s="38" t="s">
        <v>15153</v>
      </c>
      <c r="D11102" s="38" t="str">
        <f>IFERROR(__xludf.DUMMYFUNCTION("REGEXREPLACE(C11102,""-\d+(.*)|--\d+(.*)"","""")"),"VALFF")</f>
        <v>VALFF</v>
      </c>
      <c r="E11102" s="38" t="s">
        <v>210</v>
      </c>
      <c r="F11102" s="38" t="s">
        <v>151</v>
      </c>
      <c r="G11102" s="49" t="str">
        <f t="shared" si="1"/>
        <v>67210</v>
      </c>
      <c r="H11102" s="49">
        <f t="shared" si="2"/>
        <v>67504</v>
      </c>
    </row>
    <row r="11103">
      <c r="A11103" s="48" t="s">
        <v>15154</v>
      </c>
      <c r="B11103" s="38">
        <v>21245.0</v>
      </c>
      <c r="C11103" s="38" t="s">
        <v>12899</v>
      </c>
      <c r="D11103" s="38" t="str">
        <f>IFERROR(__xludf.DUMMYFUNCTION("REGEXREPLACE(C11103,""-\d+(.*)|--\d+(.*)"","""")"),"EPAGNY")</f>
        <v>EPAGNY</v>
      </c>
      <c r="E11103" s="38" t="s">
        <v>105</v>
      </c>
      <c r="F11103" s="38" t="s">
        <v>106</v>
      </c>
      <c r="G11103" s="49" t="str">
        <f t="shared" si="1"/>
        <v>21380</v>
      </c>
      <c r="H11103" s="49">
        <f t="shared" si="2"/>
        <v>21245</v>
      </c>
    </row>
    <row r="11104">
      <c r="A11104" s="48" t="s">
        <v>5214</v>
      </c>
      <c r="B11104" s="38">
        <v>9209.0</v>
      </c>
      <c r="C11104" s="38" t="s">
        <v>15155</v>
      </c>
      <c r="D11104" s="38" t="str">
        <f>IFERROR(__xludf.DUMMYFUNCTION("REGEXREPLACE(C11104,""-\d+(.*)|--\d+(.*)"","""")"),"MONTJOIE-EN-COUSERANS")</f>
        <v>MONTJOIE-EN-COUSERANS</v>
      </c>
      <c r="E11104" s="38" t="s">
        <v>238</v>
      </c>
      <c r="F11104" s="38" t="s">
        <v>94</v>
      </c>
      <c r="G11104" s="49" t="str">
        <f t="shared" si="1"/>
        <v>09200</v>
      </c>
      <c r="H11104" s="49" t="str">
        <f t="shared" si="2"/>
        <v>09209</v>
      </c>
    </row>
    <row r="11105">
      <c r="A11105" s="48" t="s">
        <v>970</v>
      </c>
      <c r="B11105" s="38">
        <v>2740.0</v>
      </c>
      <c r="C11105" s="38" t="s">
        <v>15156</v>
      </c>
      <c r="D11105" s="38" t="str">
        <f>IFERROR(__xludf.DUMMYFUNCTION("REGEXREPLACE(C11105,""-\d+(.*)|--\d+(.*)"","""")"),"THENAILLES")</f>
        <v>THENAILLES</v>
      </c>
      <c r="E11105" s="38" t="s">
        <v>191</v>
      </c>
      <c r="F11105" s="38" t="s">
        <v>113</v>
      </c>
      <c r="G11105" s="49" t="str">
        <f t="shared" si="1"/>
        <v>02140</v>
      </c>
      <c r="H11105" s="49" t="str">
        <f t="shared" si="2"/>
        <v>02740</v>
      </c>
    </row>
    <row r="11106">
      <c r="A11106" s="48" t="s">
        <v>15157</v>
      </c>
      <c r="B11106" s="38">
        <v>91017.0</v>
      </c>
      <c r="C11106" s="38" t="s">
        <v>15158</v>
      </c>
      <c r="D11106" s="38" t="str">
        <f>IFERROR(__xludf.DUMMYFUNCTION("REGEXREPLACE(C11106,""-\d+(.*)|--\d+(.*)"","""")"),"ANGERVILLIERS")</f>
        <v>ANGERVILLIERS</v>
      </c>
      <c r="E11106" s="38" t="s">
        <v>756</v>
      </c>
      <c r="F11106" s="38" t="s">
        <v>245</v>
      </c>
      <c r="G11106" s="49" t="str">
        <f t="shared" si="1"/>
        <v>91470</v>
      </c>
      <c r="H11106" s="49">
        <f t="shared" si="2"/>
        <v>91017</v>
      </c>
    </row>
    <row r="11107">
      <c r="A11107" s="48" t="s">
        <v>8806</v>
      </c>
      <c r="B11107" s="38">
        <v>5072.0</v>
      </c>
      <c r="C11107" s="38" t="s">
        <v>15159</v>
      </c>
      <c r="D11107" s="38" t="str">
        <f>IFERROR(__xludf.DUMMYFUNCTION("REGEXREPLACE(C11107,""-\d+(.*)|--\d+(.*)"","""")"),"LAYE")</f>
        <v>LAYE</v>
      </c>
      <c r="E11107" s="38" t="s">
        <v>706</v>
      </c>
      <c r="F11107" s="38" t="s">
        <v>228</v>
      </c>
      <c r="G11107" s="49" t="str">
        <f t="shared" si="1"/>
        <v>05500</v>
      </c>
      <c r="H11107" s="49" t="str">
        <f t="shared" si="2"/>
        <v>05072</v>
      </c>
    </row>
    <row r="11108">
      <c r="A11108" s="48" t="s">
        <v>2666</v>
      </c>
      <c r="B11108" s="38">
        <v>34322.0</v>
      </c>
      <c r="C11108" s="38" t="s">
        <v>15160</v>
      </c>
      <c r="D11108" s="38" t="str">
        <f>IFERROR(__xludf.DUMMYFUNCTION("REGEXREPLACE(C11108,""-\d+(.*)|--\d+(.*)"","""")"),"VALFLAUNES")</f>
        <v>VALFLAUNES</v>
      </c>
      <c r="E11108" s="38" t="s">
        <v>118</v>
      </c>
      <c r="F11108" s="38" t="s">
        <v>119</v>
      </c>
      <c r="G11108" s="49" t="str">
        <f t="shared" si="1"/>
        <v>34270</v>
      </c>
      <c r="H11108" s="49">
        <f t="shared" si="2"/>
        <v>34322</v>
      </c>
    </row>
    <row r="11109">
      <c r="A11109" s="48" t="s">
        <v>4941</v>
      </c>
      <c r="B11109" s="38">
        <v>89241.0</v>
      </c>
      <c r="C11109" s="38" t="s">
        <v>15161</v>
      </c>
      <c r="D11109" s="38" t="str">
        <f>IFERROR(__xludf.DUMMYFUNCTION("REGEXREPLACE(C11109,""-\d+(.*)|--\d+(.*)"","""")"),"MALICORNE")</f>
        <v>MALICORNE</v>
      </c>
      <c r="E11109" s="38" t="s">
        <v>275</v>
      </c>
      <c r="F11109" s="38" t="s">
        <v>106</v>
      </c>
      <c r="G11109" s="49" t="str">
        <f t="shared" si="1"/>
        <v>89120</v>
      </c>
      <c r="H11109" s="49">
        <f t="shared" si="2"/>
        <v>89241</v>
      </c>
    </row>
    <row r="11110">
      <c r="A11110" s="48" t="s">
        <v>872</v>
      </c>
      <c r="B11110" s="38">
        <v>35042.0</v>
      </c>
      <c r="C11110" s="38" t="s">
        <v>15162</v>
      </c>
      <c r="D11110" s="38" t="str">
        <f>IFERROR(__xludf.DUMMYFUNCTION("REGEXREPLACE(C11110,""-\d+(.*)|--\d+(.*)"","""")"),"BRIELLES")</f>
        <v>BRIELLES</v>
      </c>
      <c r="E11110" s="38" t="s">
        <v>347</v>
      </c>
      <c r="F11110" s="38" t="s">
        <v>90</v>
      </c>
      <c r="G11110" s="49" t="str">
        <f t="shared" si="1"/>
        <v>35370</v>
      </c>
      <c r="H11110" s="49">
        <f t="shared" si="2"/>
        <v>35042</v>
      </c>
    </row>
    <row r="11111">
      <c r="A11111" s="48" t="s">
        <v>3404</v>
      </c>
      <c r="B11111" s="38">
        <v>39064.0</v>
      </c>
      <c r="C11111" s="38" t="s">
        <v>15163</v>
      </c>
      <c r="D11111" s="38" t="str">
        <f>IFERROR(__xludf.DUMMYFUNCTION("REGEXREPLACE(C11111,""-\d+(.*)|--\d+(.*)"","""")"),"BONNAUD")</f>
        <v>BONNAUD</v>
      </c>
      <c r="E11111" s="38" t="s">
        <v>400</v>
      </c>
      <c r="F11111" s="38" t="s">
        <v>214</v>
      </c>
      <c r="G11111" s="49" t="str">
        <f t="shared" si="1"/>
        <v>39190</v>
      </c>
      <c r="H11111" s="49">
        <f t="shared" si="2"/>
        <v>39064</v>
      </c>
    </row>
    <row r="11112">
      <c r="A11112" s="48" t="s">
        <v>4779</v>
      </c>
      <c r="B11112" s="38">
        <v>28377.0</v>
      </c>
      <c r="C11112" s="38" t="s">
        <v>15164</v>
      </c>
      <c r="D11112" s="38" t="str">
        <f>IFERROR(__xludf.DUMMYFUNCTION("REGEXREPLACE(C11112,""-\d+(.*)|--\d+(.*)"","""")"),"SOREL-MOUSSEL")</f>
        <v>SOREL-MOUSSEL</v>
      </c>
      <c r="E11112" s="38" t="s">
        <v>300</v>
      </c>
      <c r="F11112" s="38" t="s">
        <v>123</v>
      </c>
      <c r="G11112" s="49" t="str">
        <f t="shared" si="1"/>
        <v>28260</v>
      </c>
      <c r="H11112" s="49">
        <f t="shared" si="2"/>
        <v>28377</v>
      </c>
    </row>
    <row r="11113">
      <c r="A11113" s="48" t="s">
        <v>15165</v>
      </c>
      <c r="B11113" s="38">
        <v>17142.0</v>
      </c>
      <c r="C11113" s="38" t="s">
        <v>15166</v>
      </c>
      <c r="D11113" s="38" t="str">
        <f>IFERROR(__xludf.DUMMYFUNCTION("REGEXREPLACE(C11113,""-\d+(.*)|--\d+(.*)"","""")"),"DOMPIERRE-SUR-MER")</f>
        <v>DOMPIERRE-SUR-MER</v>
      </c>
      <c r="E11113" s="38" t="s">
        <v>488</v>
      </c>
      <c r="F11113" s="38" t="s">
        <v>338</v>
      </c>
      <c r="G11113" s="49" t="str">
        <f t="shared" si="1"/>
        <v>17139</v>
      </c>
      <c r="H11113" s="49">
        <f t="shared" si="2"/>
        <v>17142</v>
      </c>
    </row>
    <row r="11114">
      <c r="A11114" s="48" t="s">
        <v>3368</v>
      </c>
      <c r="B11114" s="38">
        <v>61181.0</v>
      </c>
      <c r="C11114" s="38" t="s">
        <v>15167</v>
      </c>
      <c r="D11114" s="38" t="str">
        <f>IFERROR(__xludf.DUMMYFUNCTION("REGEXREPLACE(C11114,""-\d+(.*)|--\d+(.*)"","""")"),"GACE")</f>
        <v>GACE</v>
      </c>
      <c r="E11114" s="38" t="s">
        <v>141</v>
      </c>
      <c r="F11114" s="38" t="s">
        <v>138</v>
      </c>
      <c r="G11114" s="49" t="str">
        <f t="shared" si="1"/>
        <v>61230</v>
      </c>
      <c r="H11114" s="49">
        <f t="shared" si="2"/>
        <v>61181</v>
      </c>
    </row>
    <row r="11115">
      <c r="A11115" s="48" t="s">
        <v>4867</v>
      </c>
      <c r="B11115" s="38">
        <v>82163.0</v>
      </c>
      <c r="C11115" s="38" t="s">
        <v>15168</v>
      </c>
      <c r="D11115" s="38" t="str">
        <f>IFERROR(__xludf.DUMMYFUNCTION("REGEXREPLACE(C11115,""-\d+(.*)|--\d+(.*)"","""")"),"SAINT-JEAN-DU-BOUZET")</f>
        <v>SAINT-JEAN-DU-BOUZET</v>
      </c>
      <c r="E11115" s="38" t="s">
        <v>570</v>
      </c>
      <c r="F11115" s="38" t="s">
        <v>94</v>
      </c>
      <c r="G11115" s="49" t="str">
        <f t="shared" si="1"/>
        <v>82120</v>
      </c>
      <c r="H11115" s="49">
        <f t="shared" si="2"/>
        <v>82163</v>
      </c>
    </row>
    <row r="11116">
      <c r="A11116" s="48" t="s">
        <v>3107</v>
      </c>
      <c r="B11116" s="38">
        <v>45129.0</v>
      </c>
      <c r="C11116" s="38" t="s">
        <v>5641</v>
      </c>
      <c r="D11116" s="38" t="str">
        <f>IFERROR(__xludf.DUMMYFUNCTION("REGEXREPLACE(C11116,""-\d+(.*)|--\d+(.*)"","""")"),"DOUCHY")</f>
        <v>DOUCHY</v>
      </c>
      <c r="E11116" s="38" t="s">
        <v>122</v>
      </c>
      <c r="F11116" s="38" t="s">
        <v>123</v>
      </c>
      <c r="G11116" s="49" t="str">
        <f t="shared" si="1"/>
        <v>45220</v>
      </c>
      <c r="H11116" s="49">
        <f t="shared" si="2"/>
        <v>45129</v>
      </c>
    </row>
    <row r="11117">
      <c r="A11117" s="48" t="s">
        <v>1892</v>
      </c>
      <c r="B11117" s="38">
        <v>67186.0</v>
      </c>
      <c r="C11117" s="38" t="s">
        <v>15169</v>
      </c>
      <c r="D11117" s="38" t="str">
        <f>IFERROR(__xludf.DUMMYFUNCTION("REGEXREPLACE(C11117,""-\d+(.*)|--\d+(.*)"","""")"),"HEGENEY")</f>
        <v>HEGENEY</v>
      </c>
      <c r="E11117" s="38" t="s">
        <v>210</v>
      </c>
      <c r="F11117" s="38" t="s">
        <v>151</v>
      </c>
      <c r="G11117" s="49" t="str">
        <f t="shared" si="1"/>
        <v>67360</v>
      </c>
      <c r="H11117" s="49">
        <f t="shared" si="2"/>
        <v>67186</v>
      </c>
    </row>
    <row r="11118">
      <c r="A11118" s="48" t="s">
        <v>4923</v>
      </c>
      <c r="B11118" s="38">
        <v>61139.0</v>
      </c>
      <c r="C11118" s="38" t="s">
        <v>15170</v>
      </c>
      <c r="D11118" s="38" t="str">
        <f>IFERROR(__xludf.DUMMYFUNCTION("REGEXREPLACE(C11118,""-\d+(.*)|--\d+(.*)"","""")"),"CROUTTES")</f>
        <v>CROUTTES</v>
      </c>
      <c r="E11118" s="38" t="s">
        <v>141</v>
      </c>
      <c r="F11118" s="38" t="s">
        <v>138</v>
      </c>
      <c r="G11118" s="49" t="str">
        <f t="shared" si="1"/>
        <v>61120</v>
      </c>
      <c r="H11118" s="49">
        <f t="shared" si="2"/>
        <v>61139</v>
      </c>
    </row>
    <row r="11119">
      <c r="A11119" s="48" t="s">
        <v>3498</v>
      </c>
      <c r="B11119" s="38">
        <v>38386.0</v>
      </c>
      <c r="C11119" s="38" t="s">
        <v>15171</v>
      </c>
      <c r="D11119" s="38" t="str">
        <f>IFERROR(__xludf.DUMMYFUNCTION("REGEXREPLACE(C11119,""-\d+(.*)|--\d+(.*)"","""")"),"SAINT-GEOIRE-EN-VALDAINE")</f>
        <v>SAINT-GEOIRE-EN-VALDAINE</v>
      </c>
      <c r="E11119" s="38" t="s">
        <v>101</v>
      </c>
      <c r="F11119" s="38" t="s">
        <v>102</v>
      </c>
      <c r="G11119" s="49" t="str">
        <f t="shared" si="1"/>
        <v>38620</v>
      </c>
      <c r="H11119" s="49">
        <f t="shared" si="2"/>
        <v>38386</v>
      </c>
    </row>
    <row r="11120">
      <c r="A11120" s="48" t="s">
        <v>8080</v>
      </c>
      <c r="B11120" s="38" t="s">
        <v>15172</v>
      </c>
      <c r="C11120" s="38" t="s">
        <v>15173</v>
      </c>
      <c r="D11120" s="38" t="str">
        <f>IFERROR(__xludf.DUMMYFUNCTION("REGEXREPLACE(C11120,""-\d+(.*)|--\d+(.*)"","""")"),"OGLIASTRO")</f>
        <v>OGLIASTRO</v>
      </c>
      <c r="E11120" s="38" t="s">
        <v>743</v>
      </c>
      <c r="F11120" s="38" t="s">
        <v>607</v>
      </c>
      <c r="G11120" s="49" t="str">
        <f t="shared" si="1"/>
        <v>20217</v>
      </c>
      <c r="H11120" s="49" t="str">
        <f t="shared" si="2"/>
        <v>2B183</v>
      </c>
    </row>
    <row r="11121">
      <c r="A11121" s="48" t="s">
        <v>1872</v>
      </c>
      <c r="B11121" s="38">
        <v>80248.0</v>
      </c>
      <c r="C11121" s="38" t="s">
        <v>15174</v>
      </c>
      <c r="D11121" s="38" t="str">
        <f>IFERROR(__xludf.DUMMYFUNCTION("REGEXREPLACE(C11121,""-\d+(.*)|--\d+(.*)"","""")"),"DOMPIERRE-SUR-AUTHIE")</f>
        <v>DOMPIERRE-SUR-AUTHIE</v>
      </c>
      <c r="E11121" s="38" t="s">
        <v>224</v>
      </c>
      <c r="F11121" s="38" t="s">
        <v>113</v>
      </c>
      <c r="G11121" s="49" t="str">
        <f t="shared" si="1"/>
        <v>80150</v>
      </c>
      <c r="H11121" s="49">
        <f t="shared" si="2"/>
        <v>80248</v>
      </c>
    </row>
    <row r="11122">
      <c r="A11122" s="48" t="s">
        <v>771</v>
      </c>
      <c r="B11122" s="38">
        <v>60474.0</v>
      </c>
      <c r="C11122" s="38" t="s">
        <v>15175</v>
      </c>
      <c r="D11122" s="38" t="str">
        <f>IFERROR(__xludf.DUMMYFUNCTION("REGEXREPLACE(C11122,""-\d+(.*)|--\d+(.*)"","""")"),"OGNOLLES")</f>
        <v>OGNOLLES</v>
      </c>
      <c r="E11122" s="38" t="s">
        <v>112</v>
      </c>
      <c r="F11122" s="38" t="s">
        <v>113</v>
      </c>
      <c r="G11122" s="49" t="str">
        <f t="shared" si="1"/>
        <v>60310</v>
      </c>
      <c r="H11122" s="49">
        <f t="shared" si="2"/>
        <v>60474</v>
      </c>
    </row>
    <row r="11123">
      <c r="A11123" s="48" t="s">
        <v>2106</v>
      </c>
      <c r="B11123" s="38">
        <v>18075.0</v>
      </c>
      <c r="C11123" s="38" t="s">
        <v>15176</v>
      </c>
      <c r="D11123" s="38" t="str">
        <f>IFERROR(__xludf.DUMMYFUNCTION("REGEXREPLACE(C11123,""-\d+(.*)|--\d+(.*)"","""")"),"COURS-LES-BARRES")</f>
        <v>COURS-LES-BARRES</v>
      </c>
      <c r="E11123" s="38" t="s">
        <v>504</v>
      </c>
      <c r="F11123" s="38" t="s">
        <v>123</v>
      </c>
      <c r="G11123" s="49" t="str">
        <f t="shared" si="1"/>
        <v>18320</v>
      </c>
      <c r="H11123" s="49">
        <f t="shared" si="2"/>
        <v>18075</v>
      </c>
    </row>
    <row r="11124">
      <c r="A11124" s="48" t="s">
        <v>15177</v>
      </c>
      <c r="B11124" s="38">
        <v>66053.0</v>
      </c>
      <c r="C11124" s="38" t="s">
        <v>15178</v>
      </c>
      <c r="D11124" s="38" t="str">
        <f>IFERROR(__xludf.DUMMYFUNCTION("REGEXREPLACE(C11124,""-\d+(.*)|--\d+(.*)"","""")"),"COLLIOURE")</f>
        <v>COLLIOURE</v>
      </c>
      <c r="E11124" s="38" t="s">
        <v>248</v>
      </c>
      <c r="F11124" s="38" t="s">
        <v>119</v>
      </c>
      <c r="G11124" s="49" t="str">
        <f t="shared" si="1"/>
        <v>66190</v>
      </c>
      <c r="H11124" s="49">
        <f t="shared" si="2"/>
        <v>66053</v>
      </c>
    </row>
    <row r="11125">
      <c r="A11125" s="48" t="s">
        <v>10060</v>
      </c>
      <c r="B11125" s="38">
        <v>35149.0</v>
      </c>
      <c r="C11125" s="38" t="s">
        <v>6105</v>
      </c>
      <c r="D11125" s="38" t="str">
        <f>IFERROR(__xludf.DUMMYFUNCTION("REGEXREPLACE(C11125,""-\d+(.*)|--\d+(.*)"","""")"),"LASSY")</f>
        <v>LASSY</v>
      </c>
      <c r="E11125" s="38" t="s">
        <v>347</v>
      </c>
      <c r="F11125" s="38" t="s">
        <v>90</v>
      </c>
      <c r="G11125" s="49" t="str">
        <f t="shared" si="1"/>
        <v>35580</v>
      </c>
      <c r="H11125" s="49">
        <f t="shared" si="2"/>
        <v>35149</v>
      </c>
    </row>
    <row r="11126">
      <c r="A11126" s="48" t="s">
        <v>924</v>
      </c>
      <c r="B11126" s="38">
        <v>40285.0</v>
      </c>
      <c r="C11126" s="38" t="s">
        <v>15179</v>
      </c>
      <c r="D11126" s="38" t="str">
        <f>IFERROR(__xludf.DUMMYFUNCTION("REGEXREPLACE(C11126,""-\d+(.*)|--\d+(.*)"","""")"),"SAINT-YAGUEN")</f>
        <v>SAINT-YAGUEN</v>
      </c>
      <c r="E11126" s="38" t="s">
        <v>281</v>
      </c>
      <c r="F11126" s="38" t="s">
        <v>252</v>
      </c>
      <c r="G11126" s="49" t="str">
        <f t="shared" si="1"/>
        <v>40400</v>
      </c>
      <c r="H11126" s="49">
        <f t="shared" si="2"/>
        <v>40285</v>
      </c>
    </row>
    <row r="11127">
      <c r="A11127" s="48" t="s">
        <v>13269</v>
      </c>
      <c r="B11127" s="38">
        <v>4126.0</v>
      </c>
      <c r="C11127" s="38" t="s">
        <v>15180</v>
      </c>
      <c r="D11127" s="38" t="str">
        <f>IFERROR(__xludf.DUMMYFUNCTION("REGEXREPLACE(C11127,""-\d+(.*)|--\d+(.*)"","""")"),"MONTCLAR")</f>
        <v>MONTCLAR</v>
      </c>
      <c r="E11127" s="38" t="s">
        <v>662</v>
      </c>
      <c r="F11127" s="38" t="s">
        <v>228</v>
      </c>
      <c r="G11127" s="49" t="str">
        <f t="shared" si="1"/>
        <v>04140</v>
      </c>
      <c r="H11127" s="49" t="str">
        <f t="shared" si="2"/>
        <v>04126</v>
      </c>
    </row>
    <row r="11128">
      <c r="A11128" s="48" t="s">
        <v>12690</v>
      </c>
      <c r="B11128" s="38">
        <v>4094.0</v>
      </c>
      <c r="C11128" s="38" t="s">
        <v>15181</v>
      </c>
      <c r="D11128" s="38" t="str">
        <f>IFERROR(__xludf.DUMMYFUNCTION("REGEXREPLACE(C11128,""-\d+(.*)|--\d+(.*)"","""")"),"GREOUX-LES-BAINS")</f>
        <v>GREOUX-LES-BAINS</v>
      </c>
      <c r="E11128" s="38" t="s">
        <v>662</v>
      </c>
      <c r="F11128" s="38" t="s">
        <v>228</v>
      </c>
      <c r="G11128" s="49" t="str">
        <f t="shared" si="1"/>
        <v>04800</v>
      </c>
      <c r="H11128" s="49" t="str">
        <f t="shared" si="2"/>
        <v>04094</v>
      </c>
    </row>
    <row r="11129">
      <c r="A11129" s="48" t="s">
        <v>1302</v>
      </c>
      <c r="B11129" s="38">
        <v>38269.0</v>
      </c>
      <c r="C11129" s="38" t="s">
        <v>15182</v>
      </c>
      <c r="D11129" s="38" t="str">
        <f>IFERROR(__xludf.DUMMYFUNCTION("REGEXREPLACE(C11129,""-\d+(.*)|--\d+(.*)"","""")"),"LA MURE")</f>
        <v>LA MURE</v>
      </c>
      <c r="E11129" s="38" t="s">
        <v>101</v>
      </c>
      <c r="F11129" s="38" t="s">
        <v>102</v>
      </c>
      <c r="G11129" s="49" t="str">
        <f t="shared" si="1"/>
        <v>38350</v>
      </c>
      <c r="H11129" s="49">
        <f t="shared" si="2"/>
        <v>38269</v>
      </c>
    </row>
    <row r="11130">
      <c r="A11130" s="48" t="s">
        <v>1964</v>
      </c>
      <c r="B11130" s="38">
        <v>26062.0</v>
      </c>
      <c r="C11130" s="38" t="s">
        <v>15183</v>
      </c>
      <c r="D11130" s="38" t="str">
        <f>IFERROR(__xludf.DUMMYFUNCTION("REGEXREPLACE(C11130,""-\d+(.*)|--\d+(.*)"","""")"),"BRETTE")</f>
        <v>BRETTE</v>
      </c>
      <c r="E11130" s="38" t="s">
        <v>126</v>
      </c>
      <c r="F11130" s="38" t="s">
        <v>102</v>
      </c>
      <c r="G11130" s="49" t="str">
        <f t="shared" si="1"/>
        <v>26340</v>
      </c>
      <c r="H11130" s="49">
        <f t="shared" si="2"/>
        <v>26062</v>
      </c>
    </row>
    <row r="11131">
      <c r="A11131" s="48" t="s">
        <v>6226</v>
      </c>
      <c r="B11131" s="38">
        <v>32090.0</v>
      </c>
      <c r="C11131" s="38" t="s">
        <v>15184</v>
      </c>
      <c r="D11131" s="38" t="str">
        <f>IFERROR(__xludf.DUMMYFUNCTION("REGEXREPLACE(C11131,""-\d+(.*)|--\d+(.*)"","""")"),"CASTILLON-SAVES")</f>
        <v>CASTILLON-SAVES</v>
      </c>
      <c r="E11131" s="38" t="s">
        <v>440</v>
      </c>
      <c r="F11131" s="38" t="s">
        <v>94</v>
      </c>
      <c r="G11131" s="49" t="str">
        <f t="shared" si="1"/>
        <v>32490</v>
      </c>
      <c r="H11131" s="49">
        <f t="shared" si="2"/>
        <v>32090</v>
      </c>
    </row>
    <row r="11132">
      <c r="A11132" s="48" t="s">
        <v>2234</v>
      </c>
      <c r="B11132" s="38">
        <v>30031.0</v>
      </c>
      <c r="C11132" s="38" t="s">
        <v>15185</v>
      </c>
      <c r="D11132" s="38" t="str">
        <f>IFERROR(__xludf.DUMMYFUNCTION("REGEXREPLACE(C11132,""-\d+(.*)|--\d+(.*)"","""")"),"LA BASTIDE-D'ENGRAS")</f>
        <v>LA BASTIDE-D'ENGRAS</v>
      </c>
      <c r="E11132" s="38" t="s">
        <v>526</v>
      </c>
      <c r="F11132" s="38" t="s">
        <v>119</v>
      </c>
      <c r="G11132" s="49" t="str">
        <f t="shared" si="1"/>
        <v>30330</v>
      </c>
      <c r="H11132" s="49">
        <f t="shared" si="2"/>
        <v>30031</v>
      </c>
    </row>
    <row r="11133">
      <c r="A11133" s="48" t="s">
        <v>1305</v>
      </c>
      <c r="B11133" s="38">
        <v>36037.0</v>
      </c>
      <c r="C11133" s="38" t="s">
        <v>15186</v>
      </c>
      <c r="D11133" s="38" t="str">
        <f>IFERROR(__xludf.DUMMYFUNCTION("REGEXREPLACE(C11133,""-\d+(.*)|--\d+(.*)"","""")"),"LA CHAMPENOISE")</f>
        <v>LA CHAMPENOISE</v>
      </c>
      <c r="E11133" s="38" t="s">
        <v>258</v>
      </c>
      <c r="F11133" s="38" t="s">
        <v>123</v>
      </c>
      <c r="G11133" s="49" t="str">
        <f t="shared" si="1"/>
        <v>36100</v>
      </c>
      <c r="H11133" s="49">
        <f t="shared" si="2"/>
        <v>36037</v>
      </c>
    </row>
    <row r="11134">
      <c r="A11134" s="48" t="s">
        <v>800</v>
      </c>
      <c r="B11134" s="38">
        <v>60318.0</v>
      </c>
      <c r="C11134" s="38" t="s">
        <v>15187</v>
      </c>
      <c r="D11134" s="38" t="str">
        <f>IFERROR(__xludf.DUMMYFUNCTION("REGEXREPLACE(C11134,""-\d+(.*)|--\d+(.*)"","""")"),"HOUDANCOURT")</f>
        <v>HOUDANCOURT</v>
      </c>
      <c r="E11134" s="38" t="s">
        <v>112</v>
      </c>
      <c r="F11134" s="38" t="s">
        <v>113</v>
      </c>
      <c r="G11134" s="49" t="str">
        <f t="shared" si="1"/>
        <v>60710</v>
      </c>
      <c r="H11134" s="49">
        <f t="shared" si="2"/>
        <v>60318</v>
      </c>
    </row>
    <row r="11135">
      <c r="A11135" s="48" t="s">
        <v>6985</v>
      </c>
      <c r="B11135" s="38">
        <v>62253.0</v>
      </c>
      <c r="C11135" s="38" t="s">
        <v>15188</v>
      </c>
      <c r="D11135" s="38" t="str">
        <f>IFERROR(__xludf.DUMMYFUNCTION("REGEXREPLACE(C11135,""-\d+(.*)|--\d+(.*)"","""")"),"COUTURELLE")</f>
        <v>COUTURELLE</v>
      </c>
      <c r="E11135" s="38" t="s">
        <v>109</v>
      </c>
      <c r="F11135" s="38" t="s">
        <v>86</v>
      </c>
      <c r="G11135" s="49" t="str">
        <f t="shared" si="1"/>
        <v>62158</v>
      </c>
      <c r="H11135" s="49">
        <f t="shared" si="2"/>
        <v>62253</v>
      </c>
    </row>
    <row r="11136">
      <c r="A11136" s="48" t="s">
        <v>8607</v>
      </c>
      <c r="B11136" s="38">
        <v>1090.0</v>
      </c>
      <c r="C11136" s="38" t="s">
        <v>538</v>
      </c>
      <c r="D11136" s="38" t="str">
        <f>IFERROR(__xludf.DUMMYFUNCTION("REGEXREPLACE(C11136,""-\d+(.*)|--\d+(.*)"","""")"),"CHATENAY")</f>
        <v>CHATENAY</v>
      </c>
      <c r="E11136" s="38" t="s">
        <v>255</v>
      </c>
      <c r="F11136" s="38" t="s">
        <v>102</v>
      </c>
      <c r="G11136" s="49" t="str">
        <f t="shared" si="1"/>
        <v>01320</v>
      </c>
      <c r="H11136" s="49" t="str">
        <f t="shared" si="2"/>
        <v>01090</v>
      </c>
    </row>
    <row r="11137">
      <c r="A11137" s="48" t="s">
        <v>15189</v>
      </c>
      <c r="B11137" s="38">
        <v>65108.0</v>
      </c>
      <c r="C11137" s="38" t="s">
        <v>13912</v>
      </c>
      <c r="D11137" s="38" t="str">
        <f>IFERROR(__xludf.DUMMYFUNCTION("REGEXREPLACE(C11137,""-\d+(.*)|--\d+(.*)"","""")"),"BOURS")</f>
        <v>BOURS</v>
      </c>
      <c r="E11137" s="38" t="s">
        <v>200</v>
      </c>
      <c r="F11137" s="38" t="s">
        <v>94</v>
      </c>
      <c r="G11137" s="49" t="str">
        <f t="shared" si="1"/>
        <v>65460</v>
      </c>
      <c r="H11137" s="49">
        <f t="shared" si="2"/>
        <v>65108</v>
      </c>
    </row>
    <row r="11138">
      <c r="A11138" s="48" t="s">
        <v>1008</v>
      </c>
      <c r="B11138" s="38">
        <v>2057.0</v>
      </c>
      <c r="C11138" s="38" t="s">
        <v>15190</v>
      </c>
      <c r="D11138" s="38" t="str">
        <f>IFERROR(__xludf.DUMMYFUNCTION("REGEXREPLACE(C11138,""-\d+(.*)|--\d+(.*)"","""")"),"BEAUREVOIR")</f>
        <v>BEAUREVOIR</v>
      </c>
      <c r="E11138" s="38" t="s">
        <v>191</v>
      </c>
      <c r="F11138" s="38" t="s">
        <v>113</v>
      </c>
      <c r="G11138" s="49" t="str">
        <f t="shared" si="1"/>
        <v>02110</v>
      </c>
      <c r="H11138" s="49" t="str">
        <f t="shared" si="2"/>
        <v>02057</v>
      </c>
    </row>
    <row r="11139">
      <c r="A11139" s="48" t="s">
        <v>3618</v>
      </c>
      <c r="B11139" s="38">
        <v>31144.0</v>
      </c>
      <c r="C11139" s="38" t="s">
        <v>15191</v>
      </c>
      <c r="D11139" s="38" t="str">
        <f>IFERROR(__xludf.DUMMYFUNCTION("REGEXREPLACE(C11139,""-\d+(.*)|--\d+(.*)"","""")"),"CIERP-GAUD")</f>
        <v>CIERP-GAUD</v>
      </c>
      <c r="E11139" s="38" t="s">
        <v>93</v>
      </c>
      <c r="F11139" s="38" t="s">
        <v>94</v>
      </c>
      <c r="G11139" s="49" t="str">
        <f t="shared" si="1"/>
        <v>31440</v>
      </c>
      <c r="H11139" s="49">
        <f t="shared" si="2"/>
        <v>31144</v>
      </c>
    </row>
    <row r="11140">
      <c r="A11140" s="48" t="s">
        <v>14362</v>
      </c>
      <c r="B11140" s="38">
        <v>56242.0</v>
      </c>
      <c r="C11140" s="38" t="s">
        <v>15192</v>
      </c>
      <c r="D11140" s="38" t="str">
        <f>IFERROR(__xludf.DUMMYFUNCTION("REGEXREPLACE(C11140,""-\d+(.*)|--\d+(.*)"","""")"),"SEGLIEN")</f>
        <v>SEGLIEN</v>
      </c>
      <c r="E11140" s="38" t="s">
        <v>173</v>
      </c>
      <c r="F11140" s="38" t="s">
        <v>90</v>
      </c>
      <c r="G11140" s="49" t="str">
        <f t="shared" si="1"/>
        <v>56160</v>
      </c>
      <c r="H11140" s="49">
        <f t="shared" si="2"/>
        <v>56242</v>
      </c>
    </row>
    <row r="11141">
      <c r="A11141" s="48" t="s">
        <v>9207</v>
      </c>
      <c r="B11141" s="38">
        <v>57047.0</v>
      </c>
      <c r="C11141" s="38" t="s">
        <v>15193</v>
      </c>
      <c r="D11141" s="38" t="str">
        <f>IFERROR(__xludf.DUMMYFUNCTION("REGEXREPLACE(C11141,""-\d+(.*)|--\d+(.*)"","""")"),"BAMBIDERSTROFF")</f>
        <v>BAMBIDERSTROFF</v>
      </c>
      <c r="E11141" s="38" t="s">
        <v>303</v>
      </c>
      <c r="F11141" s="38" t="s">
        <v>195</v>
      </c>
      <c r="G11141" s="49" t="str">
        <f t="shared" si="1"/>
        <v>57690</v>
      </c>
      <c r="H11141" s="49">
        <f t="shared" si="2"/>
        <v>57047</v>
      </c>
    </row>
    <row r="11142">
      <c r="A11142" s="48" t="s">
        <v>394</v>
      </c>
      <c r="B11142" s="38">
        <v>41200.0</v>
      </c>
      <c r="C11142" s="38" t="s">
        <v>7832</v>
      </c>
      <c r="D11142" s="38" t="str">
        <f>IFERROR(__xludf.DUMMYFUNCTION("REGEXREPLACE(C11142,""-\d+(.*)|--\d+(.*)"","""")"),"SAINTE-ANNE")</f>
        <v>SAINTE-ANNE</v>
      </c>
      <c r="E11142" s="38" t="s">
        <v>188</v>
      </c>
      <c r="F11142" s="38" t="s">
        <v>123</v>
      </c>
      <c r="G11142" s="49" t="str">
        <f t="shared" si="1"/>
        <v>41100</v>
      </c>
      <c r="H11142" s="49">
        <f t="shared" si="2"/>
        <v>41200</v>
      </c>
    </row>
    <row r="11143">
      <c r="A11143" s="48" t="s">
        <v>15194</v>
      </c>
      <c r="B11143" s="38">
        <v>24025.0</v>
      </c>
      <c r="C11143" s="38" t="s">
        <v>15195</v>
      </c>
      <c r="D11143" s="38" t="str">
        <f>IFERROR(__xludf.DUMMYFUNCTION("REGEXREPLACE(C11143,""-\d+(.*)|--\d+(.*)"","""")"),"BARS")</f>
        <v>BARS</v>
      </c>
      <c r="E11143" s="38" t="s">
        <v>261</v>
      </c>
      <c r="F11143" s="38" t="s">
        <v>252</v>
      </c>
      <c r="G11143" s="49" t="str">
        <f t="shared" si="1"/>
        <v>24210</v>
      </c>
      <c r="H11143" s="49">
        <f t="shared" si="2"/>
        <v>24025</v>
      </c>
    </row>
    <row r="11144">
      <c r="A11144" s="48" t="s">
        <v>15196</v>
      </c>
      <c r="B11144" s="38">
        <v>38485.0</v>
      </c>
      <c r="C11144" s="38" t="s">
        <v>15197</v>
      </c>
      <c r="D11144" s="38" t="str">
        <f>IFERROR(__xludf.DUMMYFUNCTION("REGEXREPLACE(C11144,""-\d+(.*)|--\d+(.*)"","""")"),"SEYSSINET-PARISET")</f>
        <v>SEYSSINET-PARISET</v>
      </c>
      <c r="E11144" s="38" t="s">
        <v>101</v>
      </c>
      <c r="F11144" s="38" t="s">
        <v>102</v>
      </c>
      <c r="G11144" s="49" t="str">
        <f t="shared" si="1"/>
        <v>38170</v>
      </c>
      <c r="H11144" s="49">
        <f t="shared" si="2"/>
        <v>38485</v>
      </c>
    </row>
    <row r="11145">
      <c r="A11145" s="48" t="s">
        <v>14989</v>
      </c>
      <c r="B11145" s="38">
        <v>74224.0</v>
      </c>
      <c r="C11145" s="38" t="s">
        <v>15198</v>
      </c>
      <c r="D11145" s="38" t="str">
        <f>IFERROR(__xludf.DUMMYFUNCTION("REGEXREPLACE(C11145,""-\d+(.*)|--\d+(.*)"","""")"),"LA ROCHE-SUR-FORON")</f>
        <v>LA ROCHE-SUR-FORON</v>
      </c>
      <c r="E11145" s="38" t="s">
        <v>319</v>
      </c>
      <c r="F11145" s="38" t="s">
        <v>102</v>
      </c>
      <c r="G11145" s="49" t="str">
        <f t="shared" si="1"/>
        <v>74800</v>
      </c>
      <c r="H11145" s="49">
        <f t="shared" si="2"/>
        <v>74224</v>
      </c>
    </row>
    <row r="11146">
      <c r="A11146" s="48" t="s">
        <v>7804</v>
      </c>
      <c r="B11146" s="38">
        <v>51642.0</v>
      </c>
      <c r="C11146" s="38" t="s">
        <v>15199</v>
      </c>
      <c r="D11146" s="38" t="str">
        <f>IFERROR(__xludf.DUMMYFUNCTION("REGEXREPLACE(C11146,""-\d+(.*)|--\d+(.*)"","""")"),"VILLIERS-AUX-CORNEILLES")</f>
        <v>VILLIERS-AUX-CORNEILLES</v>
      </c>
      <c r="E11146" s="38" t="s">
        <v>129</v>
      </c>
      <c r="F11146" s="38" t="s">
        <v>130</v>
      </c>
      <c r="G11146" s="49" t="str">
        <f t="shared" si="1"/>
        <v>51260</v>
      </c>
      <c r="H11146" s="49">
        <f t="shared" si="2"/>
        <v>51642</v>
      </c>
    </row>
    <row r="11147">
      <c r="A11147" s="48" t="s">
        <v>5190</v>
      </c>
      <c r="B11147" s="38">
        <v>35111.0</v>
      </c>
      <c r="C11147" s="38" t="s">
        <v>15200</v>
      </c>
      <c r="D11147" s="38" t="str">
        <f>IFERROR(__xludf.DUMMYFUNCTION("REGEXREPLACE(C11147,""-\d+(.*)|--\d+(.*)"","""")"),"LE FERRE")</f>
        <v>LE FERRE</v>
      </c>
      <c r="E11147" s="38" t="s">
        <v>347</v>
      </c>
      <c r="F11147" s="38" t="s">
        <v>90</v>
      </c>
      <c r="G11147" s="49" t="str">
        <f t="shared" si="1"/>
        <v>35420</v>
      </c>
      <c r="H11147" s="49">
        <f t="shared" si="2"/>
        <v>35111</v>
      </c>
    </row>
    <row r="11148">
      <c r="A11148" s="48" t="s">
        <v>12662</v>
      </c>
      <c r="B11148" s="38">
        <v>85299.0</v>
      </c>
      <c r="C11148" s="38" t="s">
        <v>15201</v>
      </c>
      <c r="D11148" s="38" t="str">
        <f>IFERROR(__xludf.DUMMYFUNCTION("REGEXREPLACE(C11148,""-\d+(.*)|--\d+(.*)"","""")"),"VELLUIRE")</f>
        <v>VELLUIRE</v>
      </c>
      <c r="E11148" s="38" t="s">
        <v>179</v>
      </c>
      <c r="F11148" s="38" t="s">
        <v>180</v>
      </c>
      <c r="G11148" s="49" t="str">
        <f t="shared" si="1"/>
        <v>85770</v>
      </c>
      <c r="H11148" s="49">
        <f t="shared" si="2"/>
        <v>85299</v>
      </c>
    </row>
    <row r="11149">
      <c r="A11149" s="48" t="s">
        <v>12001</v>
      </c>
      <c r="B11149" s="38">
        <v>7131.0</v>
      </c>
      <c r="C11149" s="38" t="s">
        <v>15202</v>
      </c>
      <c r="D11149" s="38" t="str">
        <f>IFERROR(__xludf.DUMMYFUNCTION("REGEXREPLACE(C11149,""-\d+(.*)|--\d+(.*)"","""")"),"LANAS")</f>
        <v>LANAS</v>
      </c>
      <c r="E11149" s="38" t="s">
        <v>144</v>
      </c>
      <c r="F11149" s="38" t="s">
        <v>102</v>
      </c>
      <c r="G11149" s="49" t="str">
        <f t="shared" si="1"/>
        <v>07200</v>
      </c>
      <c r="H11149" s="49" t="str">
        <f t="shared" si="2"/>
        <v>07131</v>
      </c>
    </row>
    <row r="11150">
      <c r="A11150" s="48" t="s">
        <v>7933</v>
      </c>
      <c r="B11150" s="38">
        <v>27063.0</v>
      </c>
      <c r="C11150" s="38" t="s">
        <v>15203</v>
      </c>
      <c r="D11150" s="38" t="str">
        <f>IFERROR(__xludf.DUMMYFUNCTION("REGEXREPLACE(C11150,""-\d+(.*)|--\d+(.*)"","""")"),"BERVILLE-LA-CAMPAGNE")</f>
        <v>BERVILLE-LA-CAMPAGNE</v>
      </c>
      <c r="E11150" s="38" t="s">
        <v>241</v>
      </c>
      <c r="F11150" s="38" t="s">
        <v>134</v>
      </c>
      <c r="G11150" s="49" t="str">
        <f t="shared" si="1"/>
        <v>27170</v>
      </c>
      <c r="H11150" s="49">
        <f t="shared" si="2"/>
        <v>27063</v>
      </c>
    </row>
    <row r="11151">
      <c r="A11151" s="48" t="s">
        <v>15022</v>
      </c>
      <c r="B11151" s="38">
        <v>8063.0</v>
      </c>
      <c r="C11151" s="38" t="s">
        <v>15204</v>
      </c>
      <c r="D11151" s="38" t="str">
        <f>IFERROR(__xludf.DUMMYFUNCTION("REGEXREPLACE(C11151,""-\d+(.*)|--\d+(.*)"","""")"),"LA BESACE")</f>
        <v>LA BESACE</v>
      </c>
      <c r="E11151" s="38" t="s">
        <v>327</v>
      </c>
      <c r="F11151" s="38" t="s">
        <v>130</v>
      </c>
      <c r="G11151" s="49" t="str">
        <f t="shared" si="1"/>
        <v>08450</v>
      </c>
      <c r="H11151" s="49" t="str">
        <f t="shared" si="2"/>
        <v>08063</v>
      </c>
    </row>
    <row r="11152">
      <c r="A11152" s="48" t="s">
        <v>3182</v>
      </c>
      <c r="B11152" s="38">
        <v>80258.0</v>
      </c>
      <c r="C11152" s="38" t="s">
        <v>15205</v>
      </c>
      <c r="D11152" s="38" t="str">
        <f>IFERROR(__xludf.DUMMYFUNCTION("REGEXREPLACE(C11152,""-\d+(.*)|--\d+(.*)"","""")"),"DRIENCOURT")</f>
        <v>DRIENCOURT</v>
      </c>
      <c r="E11152" s="38" t="s">
        <v>224</v>
      </c>
      <c r="F11152" s="38" t="s">
        <v>113</v>
      </c>
      <c r="G11152" s="49" t="str">
        <f t="shared" si="1"/>
        <v>80240</v>
      </c>
      <c r="H11152" s="49">
        <f t="shared" si="2"/>
        <v>80258</v>
      </c>
    </row>
    <row r="11153">
      <c r="A11153" s="48" t="s">
        <v>7876</v>
      </c>
      <c r="B11153" s="38">
        <v>58106.0</v>
      </c>
      <c r="C11153" s="38" t="s">
        <v>15206</v>
      </c>
      <c r="D11153" s="38" t="str">
        <f>IFERROR(__xludf.DUMMYFUNCTION("REGEXREPLACE(C11153,""-\d+(.*)|--\d+(.*)"","""")"),"DUN-LES-PLACES")</f>
        <v>DUN-LES-PLACES</v>
      </c>
      <c r="E11153" s="38" t="s">
        <v>219</v>
      </c>
      <c r="F11153" s="38" t="s">
        <v>106</v>
      </c>
      <c r="G11153" s="49" t="str">
        <f t="shared" si="1"/>
        <v>58230</v>
      </c>
      <c r="H11153" s="49">
        <f t="shared" si="2"/>
        <v>58106</v>
      </c>
    </row>
    <row r="11154">
      <c r="A11154" s="48" t="s">
        <v>15207</v>
      </c>
      <c r="B11154" s="38">
        <v>74281.0</v>
      </c>
      <c r="C11154" s="38" t="s">
        <v>15208</v>
      </c>
      <c r="D11154" s="38" t="str">
        <f>IFERROR(__xludf.DUMMYFUNCTION("REGEXREPLACE(C11154,""-\d+(.*)|--\d+(.*)"","""")"),"THONON-LES-BAINS")</f>
        <v>THONON-LES-BAINS</v>
      </c>
      <c r="E11154" s="38" t="s">
        <v>319</v>
      </c>
      <c r="F11154" s="38" t="s">
        <v>102</v>
      </c>
      <c r="G11154" s="49" t="str">
        <f t="shared" si="1"/>
        <v>74200</v>
      </c>
      <c r="H11154" s="49">
        <f t="shared" si="2"/>
        <v>74281</v>
      </c>
    </row>
    <row r="11155">
      <c r="A11155" s="48" t="s">
        <v>1450</v>
      </c>
      <c r="B11155" s="38">
        <v>50563.0</v>
      </c>
      <c r="C11155" s="38" t="s">
        <v>15209</v>
      </c>
      <c r="D11155" s="38" t="str">
        <f>IFERROR(__xludf.DUMMYFUNCTION("REGEXREPLACE(C11155,""-\d+(.*)|--\d+(.*)"","""")"),"SAINT-VIGOR-DES-MONTS")</f>
        <v>SAINT-VIGOR-DES-MONTS</v>
      </c>
      <c r="E11155" s="38" t="s">
        <v>157</v>
      </c>
      <c r="F11155" s="38" t="s">
        <v>138</v>
      </c>
      <c r="G11155" s="49" t="str">
        <f t="shared" si="1"/>
        <v>50420</v>
      </c>
      <c r="H11155" s="49">
        <f t="shared" si="2"/>
        <v>50563</v>
      </c>
    </row>
    <row r="11156">
      <c r="A11156" s="48" t="s">
        <v>6256</v>
      </c>
      <c r="B11156" s="38">
        <v>55563.0</v>
      </c>
      <c r="C11156" s="38" t="s">
        <v>15210</v>
      </c>
      <c r="D11156" s="38" t="str">
        <f>IFERROR(__xludf.DUMMYFUNCTION("REGEXREPLACE(C11156,""-\d+(.*)|--\d+(.*)"","""")"),"VILLERS-LES-MANGIENNES")</f>
        <v>VILLERS-LES-MANGIENNES</v>
      </c>
      <c r="E11156" s="38" t="s">
        <v>322</v>
      </c>
      <c r="F11156" s="38" t="s">
        <v>195</v>
      </c>
      <c r="G11156" s="49" t="str">
        <f t="shared" si="1"/>
        <v>55150</v>
      </c>
      <c r="H11156" s="49">
        <f t="shared" si="2"/>
        <v>55563</v>
      </c>
    </row>
    <row r="11157">
      <c r="A11157" s="48" t="s">
        <v>12283</v>
      </c>
      <c r="B11157" s="38">
        <v>81066.0</v>
      </c>
      <c r="C11157" s="38" t="s">
        <v>15211</v>
      </c>
      <c r="D11157" s="38" t="str">
        <f>IFERROR(__xludf.DUMMYFUNCTION("REGEXREPLACE(C11157,""-\d+(.*)|--\d+(.*)"","""")"),"CAUCALIERES")</f>
        <v>CAUCALIERES</v>
      </c>
      <c r="E11157" s="38" t="s">
        <v>231</v>
      </c>
      <c r="F11157" s="38" t="s">
        <v>94</v>
      </c>
      <c r="G11157" s="49" t="str">
        <f t="shared" si="1"/>
        <v>81200</v>
      </c>
      <c r="H11157" s="49">
        <f t="shared" si="2"/>
        <v>81066</v>
      </c>
    </row>
    <row r="11158">
      <c r="A11158" s="48" t="s">
        <v>10763</v>
      </c>
      <c r="B11158" s="38">
        <v>22345.0</v>
      </c>
      <c r="C11158" s="38" t="s">
        <v>15212</v>
      </c>
      <c r="D11158" s="38" t="str">
        <f>IFERROR(__xludf.DUMMYFUNCTION("REGEXREPLACE(C11158,""-\d+(.*)|--\d+(.*)"","""")"),"TREBRY")</f>
        <v>TREBRY</v>
      </c>
      <c r="E11158" s="38" t="s">
        <v>89</v>
      </c>
      <c r="F11158" s="38" t="s">
        <v>90</v>
      </c>
      <c r="G11158" s="49" t="str">
        <f t="shared" si="1"/>
        <v>22510</v>
      </c>
      <c r="H11158" s="49">
        <f t="shared" si="2"/>
        <v>22345</v>
      </c>
    </row>
    <row r="11159">
      <c r="A11159" s="48" t="s">
        <v>2384</v>
      </c>
      <c r="B11159" s="38">
        <v>21479.0</v>
      </c>
      <c r="C11159" s="38" t="s">
        <v>15213</v>
      </c>
      <c r="D11159" s="38" t="str">
        <f>IFERROR(__xludf.DUMMYFUNCTION("REGEXREPLACE(C11159,""-\d+(.*)|--\d+(.*)"","""")"),"PELLEREY")</f>
        <v>PELLEREY</v>
      </c>
      <c r="E11159" s="38" t="s">
        <v>105</v>
      </c>
      <c r="F11159" s="38" t="s">
        <v>106</v>
      </c>
      <c r="G11159" s="49" t="str">
        <f t="shared" si="1"/>
        <v>21440</v>
      </c>
      <c r="H11159" s="49">
        <f t="shared" si="2"/>
        <v>21479</v>
      </c>
    </row>
    <row r="11160">
      <c r="A11160" s="48" t="s">
        <v>6951</v>
      </c>
      <c r="B11160" s="38">
        <v>58024.0</v>
      </c>
      <c r="C11160" s="38" t="s">
        <v>15214</v>
      </c>
      <c r="D11160" s="38" t="str">
        <f>IFERROR(__xludf.DUMMYFUNCTION("REGEXREPLACE(C11160,""-\d+(.*)|--\d+(.*)"","""")"),"BAZOLLES")</f>
        <v>BAZOLLES</v>
      </c>
      <c r="E11160" s="38" t="s">
        <v>219</v>
      </c>
      <c r="F11160" s="38" t="s">
        <v>106</v>
      </c>
      <c r="G11160" s="49" t="str">
        <f t="shared" si="1"/>
        <v>58110</v>
      </c>
      <c r="H11160" s="49">
        <f t="shared" si="2"/>
        <v>58024</v>
      </c>
    </row>
    <row r="11161">
      <c r="A11161" s="48" t="s">
        <v>13339</v>
      </c>
      <c r="B11161" s="38">
        <v>62703.0</v>
      </c>
      <c r="C11161" s="38" t="s">
        <v>15215</v>
      </c>
      <c r="D11161" s="38" t="str">
        <f>IFERROR(__xludf.DUMMYFUNCTION("REGEXREPLACE(C11161,""-\d+(.*)|--\d+(.*)"","""")"),"REMY")</f>
        <v>REMY</v>
      </c>
      <c r="E11161" s="38" t="s">
        <v>109</v>
      </c>
      <c r="F11161" s="38" t="s">
        <v>86</v>
      </c>
      <c r="G11161" s="49" t="str">
        <f t="shared" si="1"/>
        <v>62156</v>
      </c>
      <c r="H11161" s="49">
        <f t="shared" si="2"/>
        <v>62703</v>
      </c>
    </row>
    <row r="11162">
      <c r="A11162" s="48" t="s">
        <v>1210</v>
      </c>
      <c r="B11162" s="38">
        <v>50341.0</v>
      </c>
      <c r="C11162" s="38" t="s">
        <v>15216</v>
      </c>
      <c r="D11162" s="38" t="str">
        <f>IFERROR(__xludf.DUMMYFUNCTION("REGEXREPLACE(C11162,""-\d+(.*)|--\d+(.*)"","""")"),"MONTEBOURG")</f>
        <v>MONTEBOURG</v>
      </c>
      <c r="E11162" s="38" t="s">
        <v>157</v>
      </c>
      <c r="F11162" s="38" t="s">
        <v>138</v>
      </c>
      <c r="G11162" s="49" t="str">
        <f t="shared" si="1"/>
        <v>50310</v>
      </c>
      <c r="H11162" s="49">
        <f t="shared" si="2"/>
        <v>50341</v>
      </c>
    </row>
    <row r="11163">
      <c r="A11163" s="48" t="s">
        <v>8404</v>
      </c>
      <c r="B11163" s="38" t="s">
        <v>15217</v>
      </c>
      <c r="C11163" s="38" t="s">
        <v>15218</v>
      </c>
      <c r="D11163" s="38" t="str">
        <f>IFERROR(__xludf.DUMMYFUNCTION("REGEXREPLACE(C11163,""-\d+(.*)|--\d+(.*)"","""")"),"OLMO")</f>
        <v>OLMO</v>
      </c>
      <c r="E11163" s="38" t="s">
        <v>743</v>
      </c>
      <c r="F11163" s="38" t="s">
        <v>607</v>
      </c>
      <c r="G11163" s="49" t="str">
        <f t="shared" si="1"/>
        <v>20290</v>
      </c>
      <c r="H11163" s="49" t="str">
        <f t="shared" si="2"/>
        <v>2B192</v>
      </c>
    </row>
    <row r="11164">
      <c r="A11164" s="48" t="s">
        <v>15219</v>
      </c>
      <c r="B11164" s="38">
        <v>56115.0</v>
      </c>
      <c r="C11164" s="38" t="s">
        <v>15220</v>
      </c>
      <c r="D11164" s="38" t="str">
        <f>IFERROR(__xludf.DUMMYFUNCTION("REGEXREPLACE(C11164,""-\d+(.*)|--\d+(.*)"","""")"),"LOCMARIA-GRAND-CHAMP")</f>
        <v>LOCMARIA-GRAND-CHAMP</v>
      </c>
      <c r="E11164" s="38" t="s">
        <v>173</v>
      </c>
      <c r="F11164" s="38" t="s">
        <v>90</v>
      </c>
      <c r="G11164" s="49" t="str">
        <f t="shared" si="1"/>
        <v>56390</v>
      </c>
      <c r="H11164" s="49">
        <f t="shared" si="2"/>
        <v>56115</v>
      </c>
    </row>
    <row r="11165">
      <c r="A11165" s="48" t="s">
        <v>1686</v>
      </c>
      <c r="B11165" s="38">
        <v>51414.0</v>
      </c>
      <c r="C11165" s="38" t="s">
        <v>15221</v>
      </c>
      <c r="D11165" s="38" t="str">
        <f>IFERROR(__xludf.DUMMYFUNCTION("REGEXREPLACE(C11165,""-\d+(.*)|--\d+(.*)"","""")"),"OLIZY")</f>
        <v>OLIZY</v>
      </c>
      <c r="E11165" s="38" t="s">
        <v>129</v>
      </c>
      <c r="F11165" s="38" t="s">
        <v>130</v>
      </c>
      <c r="G11165" s="49" t="str">
        <f t="shared" si="1"/>
        <v>51700</v>
      </c>
      <c r="H11165" s="49">
        <f t="shared" si="2"/>
        <v>51414</v>
      </c>
    </row>
    <row r="11166">
      <c r="A11166" s="48" t="s">
        <v>15222</v>
      </c>
      <c r="B11166" s="38">
        <v>56018.0</v>
      </c>
      <c r="C11166" s="38" t="s">
        <v>15223</v>
      </c>
      <c r="D11166" s="38" t="str">
        <f>IFERROR(__xludf.DUMMYFUNCTION("REGEXREPLACE(C11166,""-\d+(.*)|--\d+(.*)"","""")"),"BILLIERS")</f>
        <v>BILLIERS</v>
      </c>
      <c r="E11166" s="38" t="s">
        <v>173</v>
      </c>
      <c r="F11166" s="38" t="s">
        <v>90</v>
      </c>
      <c r="G11166" s="49" t="str">
        <f t="shared" si="1"/>
        <v>56190</v>
      </c>
      <c r="H11166" s="49">
        <f t="shared" si="2"/>
        <v>56018</v>
      </c>
    </row>
    <row r="11167">
      <c r="A11167" s="48" t="s">
        <v>4129</v>
      </c>
      <c r="B11167" s="38">
        <v>3247.0</v>
      </c>
      <c r="C11167" s="38" t="s">
        <v>15224</v>
      </c>
      <c r="D11167" s="38" t="str">
        <f>IFERROR(__xludf.DUMMYFUNCTION("REGEXREPLACE(C11167,""-\d+(.*)|--\d+(.*)"","""")"),"SAINT-MENOUX")</f>
        <v>SAINT-MENOUX</v>
      </c>
      <c r="E11167" s="38" t="s">
        <v>160</v>
      </c>
      <c r="F11167" s="38" t="s">
        <v>161</v>
      </c>
      <c r="G11167" s="49" t="str">
        <f t="shared" si="1"/>
        <v>03210</v>
      </c>
      <c r="H11167" s="49" t="str">
        <f t="shared" si="2"/>
        <v>03247</v>
      </c>
    </row>
    <row r="11168">
      <c r="A11168" s="48" t="s">
        <v>970</v>
      </c>
      <c r="B11168" s="38">
        <v>2401.0</v>
      </c>
      <c r="C11168" s="38" t="s">
        <v>15225</v>
      </c>
      <c r="D11168" s="38" t="str">
        <f>IFERROR(__xludf.DUMMYFUNCTION("REGEXREPLACE(C11168,""-\d+(.*)|--\d+(.*)"","""")"),"LAIGNY")</f>
        <v>LAIGNY</v>
      </c>
      <c r="E11168" s="38" t="s">
        <v>191</v>
      </c>
      <c r="F11168" s="38" t="s">
        <v>113</v>
      </c>
      <c r="G11168" s="49" t="str">
        <f t="shared" si="1"/>
        <v>02140</v>
      </c>
      <c r="H11168" s="49" t="str">
        <f t="shared" si="2"/>
        <v>02401</v>
      </c>
    </row>
    <row r="11169">
      <c r="A11169" s="48" t="s">
        <v>5334</v>
      </c>
      <c r="B11169" s="38" t="s">
        <v>15226</v>
      </c>
      <c r="C11169" s="38" t="s">
        <v>15227</v>
      </c>
      <c r="D11169" s="38" t="str">
        <f>IFERROR(__xludf.DUMMYFUNCTION("REGEXREPLACE(C11169,""-\d+(.*)|--\d+(.*)"","""")"),"PIETRALBA")</f>
        <v>PIETRALBA</v>
      </c>
      <c r="E11169" s="38" t="s">
        <v>743</v>
      </c>
      <c r="F11169" s="38" t="s">
        <v>607</v>
      </c>
      <c r="G11169" s="49" t="str">
        <f t="shared" si="1"/>
        <v>20218</v>
      </c>
      <c r="H11169" s="49" t="str">
        <f t="shared" si="2"/>
        <v>2B223</v>
      </c>
    </row>
    <row r="11170">
      <c r="A11170" s="48" t="s">
        <v>3109</v>
      </c>
      <c r="B11170" s="38">
        <v>9275.0</v>
      </c>
      <c r="C11170" s="38" t="s">
        <v>15228</v>
      </c>
      <c r="D11170" s="38" t="str">
        <f>IFERROR(__xludf.DUMMYFUNCTION("REGEXREPLACE(C11170,""-\d+(.*)|--\d+(.*)"","""")"),"SAINT-QUIRC")</f>
        <v>SAINT-QUIRC</v>
      </c>
      <c r="E11170" s="38" t="s">
        <v>238</v>
      </c>
      <c r="F11170" s="38" t="s">
        <v>94</v>
      </c>
      <c r="G11170" s="49" t="str">
        <f t="shared" si="1"/>
        <v>09700</v>
      </c>
      <c r="H11170" s="49" t="str">
        <f t="shared" si="2"/>
        <v>09275</v>
      </c>
    </row>
    <row r="11171">
      <c r="A11171" s="48" t="s">
        <v>2370</v>
      </c>
      <c r="B11171" s="38">
        <v>33427.0</v>
      </c>
      <c r="C11171" s="38" t="s">
        <v>15229</v>
      </c>
      <c r="D11171" s="38" t="str">
        <f>IFERROR(__xludf.DUMMYFUNCTION("REGEXREPLACE(C11171,""-\d+(.*)|--\d+(.*)"","""")"),"SAINT-LAURENT-DU-BOIS")</f>
        <v>SAINT-LAURENT-DU-BOIS</v>
      </c>
      <c r="E11171" s="38" t="s">
        <v>462</v>
      </c>
      <c r="F11171" s="38" t="s">
        <v>252</v>
      </c>
      <c r="G11171" s="49" t="str">
        <f t="shared" si="1"/>
        <v>33540</v>
      </c>
      <c r="H11171" s="49">
        <f t="shared" si="2"/>
        <v>33427</v>
      </c>
    </row>
    <row r="11172">
      <c r="A11172" s="48" t="s">
        <v>6613</v>
      </c>
      <c r="B11172" s="38">
        <v>61040.0</v>
      </c>
      <c r="C11172" s="38" t="s">
        <v>15230</v>
      </c>
      <c r="D11172" s="38" t="str">
        <f>IFERROR(__xludf.DUMMYFUNCTION("REGEXREPLACE(C11172,""-\d+(.*)|--\d+(.*)"","""")"),"BELLOU-EN-HOULME")</f>
        <v>BELLOU-EN-HOULME</v>
      </c>
      <c r="E11172" s="38" t="s">
        <v>141</v>
      </c>
      <c r="F11172" s="38" t="s">
        <v>138</v>
      </c>
      <c r="G11172" s="49" t="str">
        <f t="shared" si="1"/>
        <v>61220</v>
      </c>
      <c r="H11172" s="49">
        <f t="shared" si="2"/>
        <v>61040</v>
      </c>
    </row>
    <row r="11173">
      <c r="A11173" s="48" t="s">
        <v>13265</v>
      </c>
      <c r="B11173" s="38">
        <v>77427.0</v>
      </c>
      <c r="C11173" s="38" t="s">
        <v>15231</v>
      </c>
      <c r="D11173" s="38" t="str">
        <f>IFERROR(__xludf.DUMMYFUNCTION("REGEXREPLACE(C11173,""-\d+(.*)|--\d+(.*)"","""")"),"SAINT-MESMES")</f>
        <v>SAINT-MESMES</v>
      </c>
      <c r="E11173" s="38" t="s">
        <v>244</v>
      </c>
      <c r="F11173" s="38" t="s">
        <v>245</v>
      </c>
      <c r="G11173" s="49" t="str">
        <f t="shared" si="1"/>
        <v>77410</v>
      </c>
      <c r="H11173" s="49">
        <f t="shared" si="2"/>
        <v>77427</v>
      </c>
    </row>
    <row r="11174">
      <c r="A11174" s="48" t="s">
        <v>3885</v>
      </c>
      <c r="B11174" s="38">
        <v>53158.0</v>
      </c>
      <c r="C11174" s="38" t="s">
        <v>13399</v>
      </c>
      <c r="D11174" s="38" t="str">
        <f>IFERROR(__xludf.DUMMYFUNCTION("REGEXREPLACE(C11174,""-\d+(.*)|--\d+(.*)"","""")"),"MONTJEAN")</f>
        <v>MONTJEAN</v>
      </c>
      <c r="E11174" s="38" t="s">
        <v>518</v>
      </c>
      <c r="F11174" s="38" t="s">
        <v>180</v>
      </c>
      <c r="G11174" s="49" t="str">
        <f t="shared" si="1"/>
        <v>53320</v>
      </c>
      <c r="H11174" s="49">
        <f t="shared" si="2"/>
        <v>53158</v>
      </c>
    </row>
    <row r="11175">
      <c r="A11175" s="48" t="s">
        <v>8336</v>
      </c>
      <c r="B11175" s="38">
        <v>85028.0</v>
      </c>
      <c r="C11175" s="38" t="s">
        <v>15232</v>
      </c>
      <c r="D11175" s="38" t="str">
        <f>IFERROR(__xludf.DUMMYFUNCTION("REGEXREPLACE(C11175,""-\d+(.*)|--\d+(.*)"","""")"),"BOUILLE-COURDAULT")</f>
        <v>BOUILLE-COURDAULT</v>
      </c>
      <c r="E11175" s="38" t="s">
        <v>179</v>
      </c>
      <c r="F11175" s="38" t="s">
        <v>180</v>
      </c>
      <c r="G11175" s="49" t="str">
        <f t="shared" si="1"/>
        <v>85420</v>
      </c>
      <c r="H11175" s="49">
        <f t="shared" si="2"/>
        <v>85028</v>
      </c>
    </row>
    <row r="11176">
      <c r="A11176" s="48" t="s">
        <v>3127</v>
      </c>
      <c r="B11176" s="38">
        <v>70555.0</v>
      </c>
      <c r="C11176" s="38" t="s">
        <v>15233</v>
      </c>
      <c r="D11176" s="38" t="str">
        <f>IFERROR(__xludf.DUMMYFUNCTION("REGEXREPLACE(C11176,""-\d+(.*)|--\d+(.*)"","""")"),"LA VILLEDIEU-EN-FONTENETTE")</f>
        <v>LA VILLEDIEU-EN-FONTENETTE</v>
      </c>
      <c r="E11176" s="38" t="s">
        <v>956</v>
      </c>
      <c r="F11176" s="38" t="s">
        <v>214</v>
      </c>
      <c r="G11176" s="49" t="str">
        <f t="shared" si="1"/>
        <v>70160</v>
      </c>
      <c r="H11176" s="49">
        <f t="shared" si="2"/>
        <v>70555</v>
      </c>
    </row>
    <row r="11177">
      <c r="A11177" s="48" t="s">
        <v>220</v>
      </c>
      <c r="B11177" s="38">
        <v>67026.0</v>
      </c>
      <c r="C11177" s="38" t="s">
        <v>15234</v>
      </c>
      <c r="D11177" s="38" t="str">
        <f>IFERROR(__xludf.DUMMYFUNCTION("REGEXREPLACE(C11177,""-\d+(.*)|--\d+(.*)"","""")"),"BELLEFOSSE")</f>
        <v>BELLEFOSSE</v>
      </c>
      <c r="E11177" s="38" t="s">
        <v>210</v>
      </c>
      <c r="F11177" s="38" t="s">
        <v>151</v>
      </c>
      <c r="G11177" s="49" t="str">
        <f t="shared" si="1"/>
        <v>67130</v>
      </c>
      <c r="H11177" s="49">
        <f t="shared" si="2"/>
        <v>67026</v>
      </c>
    </row>
    <row r="11178">
      <c r="A11178" s="48" t="s">
        <v>11997</v>
      </c>
      <c r="B11178" s="38">
        <v>76720.0</v>
      </c>
      <c r="C11178" s="38" t="s">
        <v>15235</v>
      </c>
      <c r="D11178" s="38" t="str">
        <f>IFERROR(__xludf.DUMMYFUNCTION("REGEXREPLACE(C11178,""-\d+(.*)|--\d+(.*)"","""")"),"VARENGEVILLE-SUR-MER")</f>
        <v>VARENGEVILLE-SUR-MER</v>
      </c>
      <c r="E11178" s="38" t="s">
        <v>133</v>
      </c>
      <c r="F11178" s="38" t="s">
        <v>134</v>
      </c>
      <c r="G11178" s="49" t="str">
        <f t="shared" si="1"/>
        <v>76119</v>
      </c>
      <c r="H11178" s="49">
        <f t="shared" si="2"/>
        <v>76720</v>
      </c>
    </row>
    <row r="11179">
      <c r="A11179" s="48" t="s">
        <v>14360</v>
      </c>
      <c r="B11179" s="38">
        <v>69292.0</v>
      </c>
      <c r="C11179" s="38" t="s">
        <v>15236</v>
      </c>
      <c r="D11179" s="38" t="str">
        <f>IFERROR(__xludf.DUMMYFUNCTION("REGEXREPLACE(C11179,""-\d+(.*)|--\d+(.*)"","""")"),"SATHONAY-CAMP")</f>
        <v>SATHONAY-CAMP</v>
      </c>
      <c r="E11179" s="38" t="s">
        <v>350</v>
      </c>
      <c r="F11179" s="38" t="s">
        <v>102</v>
      </c>
      <c r="G11179" s="49" t="str">
        <f t="shared" si="1"/>
        <v>69580</v>
      </c>
      <c r="H11179" s="49">
        <f t="shared" si="2"/>
        <v>69292</v>
      </c>
    </row>
    <row r="11180">
      <c r="A11180" s="48" t="s">
        <v>15237</v>
      </c>
      <c r="B11180" s="38">
        <v>4121.0</v>
      </c>
      <c r="C11180" s="38" t="s">
        <v>14194</v>
      </c>
      <c r="D11180" s="38" t="str">
        <f>IFERROR(__xludf.DUMMYFUNCTION("REGEXREPLACE(C11180,""-\d+(.*)|--\d+(.*)"","""")"),"MEZEL")</f>
        <v>MEZEL</v>
      </c>
      <c r="E11180" s="38" t="s">
        <v>662</v>
      </c>
      <c r="F11180" s="38" t="s">
        <v>228</v>
      </c>
      <c r="G11180" s="49" t="str">
        <f t="shared" si="1"/>
        <v>04270</v>
      </c>
      <c r="H11180" s="49" t="str">
        <f t="shared" si="2"/>
        <v>04121</v>
      </c>
    </row>
    <row r="11181">
      <c r="A11181" s="48" t="s">
        <v>15238</v>
      </c>
      <c r="B11181" s="38">
        <v>7161.0</v>
      </c>
      <c r="C11181" s="38" t="s">
        <v>15239</v>
      </c>
      <c r="D11181" s="38" t="str">
        <f>IFERROR(__xludf.DUMMYFUNCTION("REGEXREPLACE(C11181,""-\d+(.*)|--\d+(.*)"","""")"),"MONTPEZAT-SOUS-BAUZON")</f>
        <v>MONTPEZAT-SOUS-BAUZON</v>
      </c>
      <c r="E11181" s="38" t="s">
        <v>144</v>
      </c>
      <c r="F11181" s="38" t="s">
        <v>102</v>
      </c>
      <c r="G11181" s="49" t="str">
        <f t="shared" si="1"/>
        <v>07560</v>
      </c>
      <c r="H11181" s="49" t="str">
        <f t="shared" si="2"/>
        <v>07161</v>
      </c>
    </row>
    <row r="11182">
      <c r="A11182" s="48" t="s">
        <v>384</v>
      </c>
      <c r="B11182" s="38">
        <v>55352.0</v>
      </c>
      <c r="C11182" s="38" t="s">
        <v>15240</v>
      </c>
      <c r="D11182" s="38" t="str">
        <f>IFERROR(__xludf.DUMMYFUNCTION("REGEXREPLACE(C11182,""-\d+(.*)|--\d+(.*)"","""")"),"MONTPLONNE")</f>
        <v>MONTPLONNE</v>
      </c>
      <c r="E11182" s="38" t="s">
        <v>322</v>
      </c>
      <c r="F11182" s="38" t="s">
        <v>195</v>
      </c>
      <c r="G11182" s="49" t="str">
        <f t="shared" si="1"/>
        <v>55000</v>
      </c>
      <c r="H11182" s="49">
        <f t="shared" si="2"/>
        <v>55352</v>
      </c>
    </row>
    <row r="11183">
      <c r="A11183" s="48" t="s">
        <v>1889</v>
      </c>
      <c r="B11183" s="38">
        <v>25582.0</v>
      </c>
      <c r="C11183" s="38" t="s">
        <v>6995</v>
      </c>
      <c r="D11183" s="38" t="str">
        <f>IFERROR(__xludf.DUMMYFUNCTION("REGEXREPLACE(C11183,""-\d+(.*)|--\d+(.*)"","""")"),"VALLEROY")</f>
        <v>VALLEROY</v>
      </c>
      <c r="E11183" s="38" t="s">
        <v>213</v>
      </c>
      <c r="F11183" s="38" t="s">
        <v>214</v>
      </c>
      <c r="G11183" s="49" t="str">
        <f t="shared" si="1"/>
        <v>25870</v>
      </c>
      <c r="H11183" s="49">
        <f t="shared" si="2"/>
        <v>25582</v>
      </c>
    </row>
    <row r="11184">
      <c r="A11184" s="48" t="s">
        <v>15241</v>
      </c>
      <c r="B11184" s="38">
        <v>43193.0</v>
      </c>
      <c r="C11184" s="38" t="s">
        <v>3567</v>
      </c>
      <c r="D11184" s="38" t="str">
        <f>IFERROR(__xludf.DUMMYFUNCTION("REGEXREPLACE(C11184,""-\d+(.*)|--\d+(.*)"","""")"),"SAINT-HILAIRE")</f>
        <v>SAINT-HILAIRE</v>
      </c>
      <c r="E11184" s="38" t="s">
        <v>332</v>
      </c>
      <c r="F11184" s="38" t="s">
        <v>161</v>
      </c>
      <c r="G11184" s="49" t="str">
        <f t="shared" si="1"/>
        <v>43390</v>
      </c>
      <c r="H11184" s="49">
        <f t="shared" si="2"/>
        <v>43193</v>
      </c>
    </row>
    <row r="11185">
      <c r="A11185" s="48" t="s">
        <v>8398</v>
      </c>
      <c r="B11185" s="38">
        <v>21275.0</v>
      </c>
      <c r="C11185" s="38" t="s">
        <v>15242</v>
      </c>
      <c r="D11185" s="38" t="str">
        <f>IFERROR(__xludf.DUMMYFUNCTION("REGEXREPLACE(C11185,""-\d+(.*)|--\d+(.*)"","""")"),"FONCEGRIVE")</f>
        <v>FONCEGRIVE</v>
      </c>
      <c r="E11185" s="38" t="s">
        <v>105</v>
      </c>
      <c r="F11185" s="38" t="s">
        <v>106</v>
      </c>
      <c r="G11185" s="49" t="str">
        <f t="shared" si="1"/>
        <v>21260</v>
      </c>
      <c r="H11185" s="49">
        <f t="shared" si="2"/>
        <v>21275</v>
      </c>
    </row>
    <row r="11186">
      <c r="A11186" s="48" t="s">
        <v>15015</v>
      </c>
      <c r="B11186" s="38">
        <v>9113.0</v>
      </c>
      <c r="C11186" s="38" t="s">
        <v>15243</v>
      </c>
      <c r="D11186" s="38" t="str">
        <f>IFERROR(__xludf.DUMMYFUNCTION("REGEXREPLACE(C11186,""-\d+(.*)|--\d+(.*)"","""")"),"ERCE")</f>
        <v>ERCE</v>
      </c>
      <c r="E11186" s="38" t="s">
        <v>238</v>
      </c>
      <c r="F11186" s="38" t="s">
        <v>94</v>
      </c>
      <c r="G11186" s="49" t="str">
        <f t="shared" si="1"/>
        <v>09140</v>
      </c>
      <c r="H11186" s="49" t="str">
        <f t="shared" si="2"/>
        <v>09113</v>
      </c>
    </row>
    <row r="11187">
      <c r="A11187" s="48" t="s">
        <v>1758</v>
      </c>
      <c r="B11187" s="38">
        <v>65424.0</v>
      </c>
      <c r="C11187" s="38" t="s">
        <v>15244</v>
      </c>
      <c r="D11187" s="38" t="str">
        <f>IFERROR(__xludf.DUMMYFUNCTION("REGEXREPLACE(C11187,""-\d+(.*)|--\d+(.*)"","""")"),"SERS")</f>
        <v>SERS</v>
      </c>
      <c r="E11187" s="38" t="s">
        <v>200</v>
      </c>
      <c r="F11187" s="38" t="s">
        <v>94</v>
      </c>
      <c r="G11187" s="49" t="str">
        <f t="shared" si="1"/>
        <v>65120</v>
      </c>
      <c r="H11187" s="49">
        <f t="shared" si="2"/>
        <v>65424</v>
      </c>
    </row>
    <row r="11188">
      <c r="A11188" s="48" t="s">
        <v>10763</v>
      </c>
      <c r="B11188" s="38">
        <v>22296.0</v>
      </c>
      <c r="C11188" s="38" t="s">
        <v>15245</v>
      </c>
      <c r="D11188" s="38" t="str">
        <f>IFERROR(__xludf.DUMMYFUNCTION("REGEXREPLACE(C11188,""-\d+(.*)|--\d+(.*)"","""")"),"SAINT-GLEN")</f>
        <v>SAINT-GLEN</v>
      </c>
      <c r="E11188" s="38" t="s">
        <v>89</v>
      </c>
      <c r="F11188" s="38" t="s">
        <v>90</v>
      </c>
      <c r="G11188" s="49" t="str">
        <f t="shared" si="1"/>
        <v>22510</v>
      </c>
      <c r="H11188" s="49">
        <f t="shared" si="2"/>
        <v>22296</v>
      </c>
    </row>
    <row r="11189">
      <c r="A11189" s="48" t="s">
        <v>12249</v>
      </c>
      <c r="B11189" s="38">
        <v>71154.0</v>
      </c>
      <c r="C11189" s="38" t="s">
        <v>15246</v>
      </c>
      <c r="D11189" s="38" t="str">
        <f>IFERROR(__xludf.DUMMYFUNCTION("REGEXREPLACE(C11189,""-\d+(.*)|--\d+(.*)"","""")"),"CRISSEY")</f>
        <v>CRISSEY</v>
      </c>
      <c r="E11189" s="38" t="s">
        <v>344</v>
      </c>
      <c r="F11189" s="38" t="s">
        <v>106</v>
      </c>
      <c r="G11189" s="49" t="str">
        <f t="shared" si="1"/>
        <v>71530</v>
      </c>
      <c r="H11189" s="49">
        <f t="shared" si="2"/>
        <v>71154</v>
      </c>
    </row>
    <row r="11190">
      <c r="A11190" s="48" t="s">
        <v>1752</v>
      </c>
      <c r="B11190" s="38">
        <v>49132.0</v>
      </c>
      <c r="C11190" s="38" t="s">
        <v>15247</v>
      </c>
      <c r="D11190" s="38" t="str">
        <f>IFERROR(__xludf.DUMMYFUNCTION("REGEXREPLACE(C11190,""-\d+(.*)|--\d+(.*)"","""")"),"ETRICHE")</f>
        <v>ETRICHE</v>
      </c>
      <c r="E11190" s="38" t="s">
        <v>653</v>
      </c>
      <c r="F11190" s="38" t="s">
        <v>180</v>
      </c>
      <c r="G11190" s="49" t="str">
        <f t="shared" si="1"/>
        <v>49330</v>
      </c>
      <c r="H11190" s="49">
        <f t="shared" si="2"/>
        <v>49132</v>
      </c>
    </row>
    <row r="11191">
      <c r="A11191" s="48" t="s">
        <v>6841</v>
      </c>
      <c r="B11191" s="38">
        <v>38440.0</v>
      </c>
      <c r="C11191" s="38" t="s">
        <v>15248</v>
      </c>
      <c r="D11191" s="38" t="str">
        <f>IFERROR(__xludf.DUMMYFUNCTION("REGEXREPLACE(C11191,""-\d+(.*)|--\d+(.*)"","""")"),"SAINT-PIERRE-DE-BRESSIEUX")</f>
        <v>SAINT-PIERRE-DE-BRESSIEUX</v>
      </c>
      <c r="E11191" s="38" t="s">
        <v>101</v>
      </c>
      <c r="F11191" s="38" t="s">
        <v>102</v>
      </c>
      <c r="G11191" s="49" t="str">
        <f t="shared" si="1"/>
        <v>38870</v>
      </c>
      <c r="H11191" s="49">
        <f t="shared" si="2"/>
        <v>38440</v>
      </c>
    </row>
    <row r="11192">
      <c r="A11192" s="48" t="s">
        <v>3774</v>
      </c>
      <c r="B11192" s="38">
        <v>74232.0</v>
      </c>
      <c r="C11192" s="38" t="s">
        <v>15249</v>
      </c>
      <c r="D11192" s="38" t="str">
        <f>IFERROR(__xludf.DUMMYFUNCTION("REGEXREPLACE(C11192,""-\d+(.*)|--\d+(.*)"","""")"),"SAINT-EUSTACHE")</f>
        <v>SAINT-EUSTACHE</v>
      </c>
      <c r="E11192" s="38" t="s">
        <v>319</v>
      </c>
      <c r="F11192" s="38" t="s">
        <v>102</v>
      </c>
      <c r="G11192" s="49" t="str">
        <f t="shared" si="1"/>
        <v>74410</v>
      </c>
      <c r="H11192" s="49">
        <f t="shared" si="2"/>
        <v>74232</v>
      </c>
    </row>
    <row r="11193">
      <c r="A11193" s="48" t="s">
        <v>15250</v>
      </c>
      <c r="B11193" s="38">
        <v>86210.0</v>
      </c>
      <c r="C11193" s="38" t="s">
        <v>15251</v>
      </c>
      <c r="D11193" s="38" t="str">
        <f>IFERROR(__xludf.DUMMYFUNCTION("REGEXREPLACE(C11193,""-\d+(.*)|--\d+(.*)"","""")"),"ROIFFE")</f>
        <v>ROIFFE</v>
      </c>
      <c r="E11193" s="38" t="s">
        <v>529</v>
      </c>
      <c r="F11193" s="38" t="s">
        <v>338</v>
      </c>
      <c r="G11193" s="49" t="str">
        <f t="shared" si="1"/>
        <v>86120</v>
      </c>
      <c r="H11193" s="49">
        <f t="shared" si="2"/>
        <v>86210</v>
      </c>
    </row>
    <row r="11194">
      <c r="A11194" s="48" t="s">
        <v>1031</v>
      </c>
      <c r="B11194" s="38">
        <v>2108.0</v>
      </c>
      <c r="C11194" s="38" t="s">
        <v>15252</v>
      </c>
      <c r="D11194" s="38" t="str">
        <f>IFERROR(__xludf.DUMMYFUNCTION("REGEXREPLACE(C11194,""-\d+(.*)|--\d+(.*)"","""")"),"BOURGUIGNON-SOUS-MONTBAVIN")</f>
        <v>BOURGUIGNON-SOUS-MONTBAVIN</v>
      </c>
      <c r="E11194" s="38" t="s">
        <v>191</v>
      </c>
      <c r="F11194" s="38" t="s">
        <v>113</v>
      </c>
      <c r="G11194" s="49" t="str">
        <f t="shared" si="1"/>
        <v>02000</v>
      </c>
      <c r="H11194" s="49" t="str">
        <f t="shared" si="2"/>
        <v>02108</v>
      </c>
    </row>
    <row r="11195">
      <c r="A11195" s="48" t="s">
        <v>5111</v>
      </c>
      <c r="B11195" s="38">
        <v>47045.0</v>
      </c>
      <c r="C11195" s="38" t="s">
        <v>15253</v>
      </c>
      <c r="D11195" s="38" t="str">
        <f>IFERROR(__xludf.DUMMYFUNCTION("REGEXREPLACE(C11195,""-\d+(.*)|--\d+(.*)"","""")"),"CALIGNAC")</f>
        <v>CALIGNAC</v>
      </c>
      <c r="E11195" s="38" t="s">
        <v>251</v>
      </c>
      <c r="F11195" s="38" t="s">
        <v>252</v>
      </c>
      <c r="G11195" s="49" t="str">
        <f t="shared" si="1"/>
        <v>47600</v>
      </c>
      <c r="H11195" s="49">
        <f t="shared" si="2"/>
        <v>47045</v>
      </c>
    </row>
    <row r="11196">
      <c r="A11196" s="48" t="s">
        <v>4711</v>
      </c>
      <c r="B11196" s="38">
        <v>88198.0</v>
      </c>
      <c r="C11196" s="38" t="s">
        <v>15254</v>
      </c>
      <c r="D11196" s="38" t="str">
        <f>IFERROR(__xludf.DUMMYFUNCTION("REGEXREPLACE(C11196,""-\d+(.*)|--\d+(.*)"","""")"),"GERBEPAL")</f>
        <v>GERBEPAL</v>
      </c>
      <c r="E11196" s="38" t="s">
        <v>194</v>
      </c>
      <c r="F11196" s="38" t="s">
        <v>195</v>
      </c>
      <c r="G11196" s="49" t="str">
        <f t="shared" si="1"/>
        <v>88430</v>
      </c>
      <c r="H11196" s="49">
        <f t="shared" si="2"/>
        <v>88198</v>
      </c>
    </row>
    <row r="11197">
      <c r="A11197" s="48" t="s">
        <v>1673</v>
      </c>
      <c r="B11197" s="38">
        <v>5112.0</v>
      </c>
      <c r="C11197" s="38" t="s">
        <v>15255</v>
      </c>
      <c r="D11197" s="38" t="str">
        <f>IFERROR(__xludf.DUMMYFUNCTION("REGEXREPLACE(C11197,""-\d+(.*)|--\d+(.*)"","""")"),"RABOU")</f>
        <v>RABOU</v>
      </c>
      <c r="E11197" s="38" t="s">
        <v>706</v>
      </c>
      <c r="F11197" s="38" t="s">
        <v>228</v>
      </c>
      <c r="G11197" s="49" t="str">
        <f t="shared" si="1"/>
        <v>05400</v>
      </c>
      <c r="H11197" s="49" t="str">
        <f t="shared" si="2"/>
        <v>05112</v>
      </c>
    </row>
    <row r="11198">
      <c r="A11198" s="48" t="s">
        <v>8032</v>
      </c>
      <c r="B11198" s="38">
        <v>46286.0</v>
      </c>
      <c r="C11198" s="38" t="s">
        <v>15256</v>
      </c>
      <c r="D11198" s="38" t="str">
        <f>IFERROR(__xludf.DUMMYFUNCTION("REGEXREPLACE(C11198,""-\d+(.*)|--\d+(.*)"","""")"),"SAINT-PAUL-DE-VERN")</f>
        <v>SAINT-PAUL-DE-VERN</v>
      </c>
      <c r="E11198" s="38" t="s">
        <v>185</v>
      </c>
      <c r="F11198" s="38" t="s">
        <v>94</v>
      </c>
      <c r="G11198" s="49" t="str">
        <f t="shared" si="1"/>
        <v>46400</v>
      </c>
      <c r="H11198" s="49">
        <f t="shared" si="2"/>
        <v>46286</v>
      </c>
    </row>
    <row r="11199">
      <c r="A11199" s="48" t="s">
        <v>3681</v>
      </c>
      <c r="B11199" s="38">
        <v>39431.0</v>
      </c>
      <c r="C11199" s="38" t="s">
        <v>15257</v>
      </c>
      <c r="D11199" s="38" t="str">
        <f>IFERROR(__xludf.DUMMYFUNCTION("REGEXREPLACE(C11199,""-\d+(.*)|--\d+(.*)"","""")"),"POIDS-DE-FIOLE")</f>
        <v>POIDS-DE-FIOLE</v>
      </c>
      <c r="E11199" s="38" t="s">
        <v>400</v>
      </c>
      <c r="F11199" s="38" t="s">
        <v>214</v>
      </c>
      <c r="G11199" s="49" t="str">
        <f t="shared" si="1"/>
        <v>39570</v>
      </c>
      <c r="H11199" s="49">
        <f t="shared" si="2"/>
        <v>39431</v>
      </c>
    </row>
    <row r="11200">
      <c r="A11200" s="48" t="s">
        <v>858</v>
      </c>
      <c r="B11200" s="38">
        <v>77420.0</v>
      </c>
      <c r="C11200" s="38" t="s">
        <v>13818</v>
      </c>
      <c r="D11200" s="38" t="str">
        <f>IFERROR(__xludf.DUMMYFUNCTION("REGEXREPLACE(C11200,""-\d+(.*)|--\d+(.*)"","""")"),"SAINT-MARD")</f>
        <v>SAINT-MARD</v>
      </c>
      <c r="E11200" s="38" t="s">
        <v>244</v>
      </c>
      <c r="F11200" s="38" t="s">
        <v>245</v>
      </c>
      <c r="G11200" s="49" t="str">
        <f t="shared" si="1"/>
        <v>77230</v>
      </c>
      <c r="H11200" s="49">
        <f t="shared" si="2"/>
        <v>77420</v>
      </c>
    </row>
    <row r="11201">
      <c r="A11201" s="48" t="s">
        <v>15258</v>
      </c>
      <c r="B11201" s="38">
        <v>55519.0</v>
      </c>
      <c r="C11201" s="38" t="s">
        <v>15259</v>
      </c>
      <c r="D11201" s="38" t="str">
        <f>IFERROR(__xludf.DUMMYFUNCTION("REGEXREPLACE(C11201,""-\d+(.*)|--\d+(.*)"","""")"),"TRONVILLE-EN-BARROIS")</f>
        <v>TRONVILLE-EN-BARROIS</v>
      </c>
      <c r="E11201" s="38" t="s">
        <v>322</v>
      </c>
      <c r="F11201" s="38" t="s">
        <v>195</v>
      </c>
      <c r="G11201" s="49" t="str">
        <f t="shared" si="1"/>
        <v>55310</v>
      </c>
      <c r="H11201" s="49">
        <f t="shared" si="2"/>
        <v>55519</v>
      </c>
    </row>
    <row r="11202">
      <c r="A11202" s="48" t="s">
        <v>1859</v>
      </c>
      <c r="B11202" s="38">
        <v>88385.0</v>
      </c>
      <c r="C11202" s="38" t="s">
        <v>14738</v>
      </c>
      <c r="D11202" s="38" t="str">
        <f>IFERROR(__xludf.DUMMYFUNCTION("REGEXREPLACE(C11202,""-\d+(.*)|--\d+(.*)"","""")"),"REMONCOURT")</f>
        <v>REMONCOURT</v>
      </c>
      <c r="E11202" s="38" t="s">
        <v>194</v>
      </c>
      <c r="F11202" s="38" t="s">
        <v>195</v>
      </c>
      <c r="G11202" s="49" t="str">
        <f t="shared" si="1"/>
        <v>88800</v>
      </c>
      <c r="H11202" s="49">
        <f t="shared" si="2"/>
        <v>88385</v>
      </c>
    </row>
    <row r="11203">
      <c r="A11203" s="48" t="s">
        <v>15260</v>
      </c>
      <c r="B11203" s="38">
        <v>57659.0</v>
      </c>
      <c r="C11203" s="38" t="s">
        <v>15261</v>
      </c>
      <c r="D11203" s="38" t="str">
        <f>IFERROR(__xludf.DUMMYFUNCTION("REGEXREPLACE(C11203,""-\d+(.*)|--\d+(.*)"","""")"),"SPICHEREN")</f>
        <v>SPICHEREN</v>
      </c>
      <c r="E11203" s="38" t="s">
        <v>303</v>
      </c>
      <c r="F11203" s="38" t="s">
        <v>195</v>
      </c>
      <c r="G11203" s="49" t="str">
        <f t="shared" si="1"/>
        <v>57350</v>
      </c>
      <c r="H11203" s="49">
        <f t="shared" si="2"/>
        <v>57659</v>
      </c>
    </row>
    <row r="11204">
      <c r="A11204" s="48" t="s">
        <v>13834</v>
      </c>
      <c r="B11204" s="38">
        <v>36238.0</v>
      </c>
      <c r="C11204" s="38" t="s">
        <v>15262</v>
      </c>
      <c r="D11204" s="38" t="str">
        <f>IFERROR(__xludf.DUMMYFUNCTION("REGEXREPLACE(C11204,""-\d+(.*)|--\d+(.*)"","""")"),"VIGOULANT")</f>
        <v>VIGOULANT</v>
      </c>
      <c r="E11204" s="38" t="s">
        <v>258</v>
      </c>
      <c r="F11204" s="38" t="s">
        <v>123</v>
      </c>
      <c r="G11204" s="49" t="str">
        <f t="shared" si="1"/>
        <v>36160</v>
      </c>
      <c r="H11204" s="49">
        <f t="shared" si="2"/>
        <v>36238</v>
      </c>
    </row>
    <row r="11205">
      <c r="A11205" s="48" t="s">
        <v>1947</v>
      </c>
      <c r="B11205" s="38">
        <v>52101.0</v>
      </c>
      <c r="C11205" s="38" t="s">
        <v>15263</v>
      </c>
      <c r="D11205" s="38" t="str">
        <f>IFERROR(__xludf.DUMMYFUNCTION("REGEXREPLACE(C11205,""-\d+(.*)|--\d+(.*)"","""")"),"CHAMPIGNEULLES-EN-BASSIGNY")</f>
        <v>CHAMPIGNEULLES-EN-BASSIGNY</v>
      </c>
      <c r="E11205" s="38" t="s">
        <v>234</v>
      </c>
      <c r="F11205" s="38" t="s">
        <v>130</v>
      </c>
      <c r="G11205" s="49" t="str">
        <f t="shared" si="1"/>
        <v>52150</v>
      </c>
      <c r="H11205" s="49">
        <f t="shared" si="2"/>
        <v>52101</v>
      </c>
    </row>
    <row r="11206">
      <c r="A11206" s="48" t="s">
        <v>1208</v>
      </c>
      <c r="B11206" s="38">
        <v>32463.0</v>
      </c>
      <c r="C11206" s="38" t="s">
        <v>10634</v>
      </c>
      <c r="D11206" s="38" t="str">
        <f>IFERROR(__xludf.DUMMYFUNCTION("REGEXREPLACE(C11206,""-\d+(.*)|--\d+(.*)"","""")"),"VIELLA")</f>
        <v>VIELLA</v>
      </c>
      <c r="E11206" s="38" t="s">
        <v>440</v>
      </c>
      <c r="F11206" s="38" t="s">
        <v>94</v>
      </c>
      <c r="G11206" s="49" t="str">
        <f t="shared" si="1"/>
        <v>32400</v>
      </c>
      <c r="H11206" s="49">
        <f t="shared" si="2"/>
        <v>32463</v>
      </c>
    </row>
    <row r="11207">
      <c r="A11207" s="48" t="s">
        <v>9044</v>
      </c>
      <c r="B11207" s="38">
        <v>32239.0</v>
      </c>
      <c r="C11207" s="38" t="s">
        <v>15264</v>
      </c>
      <c r="D11207" s="38" t="str">
        <f>IFERROR(__xludf.DUMMYFUNCTION("REGEXREPLACE(C11207,""-\d+(.*)|--\d+(.*)"","""")"),"MARSOLAN")</f>
        <v>MARSOLAN</v>
      </c>
      <c r="E11207" s="38" t="s">
        <v>440</v>
      </c>
      <c r="F11207" s="38" t="s">
        <v>94</v>
      </c>
      <c r="G11207" s="49" t="str">
        <f t="shared" si="1"/>
        <v>32700</v>
      </c>
      <c r="H11207" s="49">
        <f t="shared" si="2"/>
        <v>32239</v>
      </c>
    </row>
    <row r="11208">
      <c r="A11208" s="48" t="s">
        <v>1036</v>
      </c>
      <c r="B11208" s="38">
        <v>57755.0</v>
      </c>
      <c r="C11208" s="38" t="s">
        <v>15265</v>
      </c>
      <c r="D11208" s="38" t="str">
        <f>IFERROR(__xludf.DUMMYFUNCTION("REGEXREPLACE(C11208,""-\d+(.*)|--\d+(.*)"","""")"),"XOCOURT")</f>
        <v>XOCOURT</v>
      </c>
      <c r="E11208" s="38" t="s">
        <v>303</v>
      </c>
      <c r="F11208" s="38" t="s">
        <v>195</v>
      </c>
      <c r="G11208" s="49" t="str">
        <f t="shared" si="1"/>
        <v>57590</v>
      </c>
      <c r="H11208" s="49">
        <f t="shared" si="2"/>
        <v>57755</v>
      </c>
    </row>
    <row r="11209">
      <c r="A11209" s="48" t="s">
        <v>10637</v>
      </c>
      <c r="B11209" s="38">
        <v>59102.0</v>
      </c>
      <c r="C11209" s="38" t="s">
        <v>15266</v>
      </c>
      <c r="D11209" s="38" t="str">
        <f>IFERROR(__xludf.DUMMYFUNCTION("REGEXREPLACE(C11209,""-\d+(.*)|--\d+(.*)"","""")"),"BOUSSIERES-EN-CAMBRESIS")</f>
        <v>BOUSSIERES-EN-CAMBRESIS</v>
      </c>
      <c r="E11209" s="38" t="s">
        <v>85</v>
      </c>
      <c r="F11209" s="38" t="s">
        <v>86</v>
      </c>
      <c r="G11209" s="49" t="str">
        <f t="shared" si="1"/>
        <v>59217</v>
      </c>
      <c r="H11209" s="49">
        <f t="shared" si="2"/>
        <v>59102</v>
      </c>
    </row>
    <row r="11210">
      <c r="A11210" s="48" t="s">
        <v>15267</v>
      </c>
      <c r="B11210" s="38">
        <v>13038.0</v>
      </c>
      <c r="C11210" s="38" t="s">
        <v>15268</v>
      </c>
      <c r="D11210" s="38" t="str">
        <f>IFERROR(__xludf.DUMMYFUNCTION("REGEXREPLACE(C11210,""-\d+(.*)|--\d+(.*)"","""")"),"FONTVIEILLE")</f>
        <v>FONTVIEILLE</v>
      </c>
      <c r="E11210" s="38" t="s">
        <v>980</v>
      </c>
      <c r="F11210" s="38" t="s">
        <v>228</v>
      </c>
      <c r="G11210" s="49" t="str">
        <f t="shared" si="1"/>
        <v>13990</v>
      </c>
      <c r="H11210" s="49">
        <f t="shared" si="2"/>
        <v>13038</v>
      </c>
    </row>
    <row r="11211">
      <c r="A11211" s="48" t="s">
        <v>1574</v>
      </c>
      <c r="B11211" s="38">
        <v>10145.0</v>
      </c>
      <c r="C11211" s="38" t="s">
        <v>15269</v>
      </c>
      <c r="D11211" s="38" t="str">
        <f>IFERROR(__xludf.DUMMYFUNCTION("REGEXREPLACE(C11211,""-\d+(.*)|--\d+(.*)"","""")"),"FAUX-VILLECERF")</f>
        <v>FAUX-VILLECERF</v>
      </c>
      <c r="E11211" s="38" t="s">
        <v>147</v>
      </c>
      <c r="F11211" s="38" t="s">
        <v>130</v>
      </c>
      <c r="G11211" s="49" t="str">
        <f t="shared" si="1"/>
        <v>10290</v>
      </c>
      <c r="H11211" s="49">
        <f t="shared" si="2"/>
        <v>10145</v>
      </c>
    </row>
    <row r="11212">
      <c r="A11212" s="48" t="s">
        <v>7416</v>
      </c>
      <c r="B11212" s="38">
        <v>49031.0</v>
      </c>
      <c r="C11212" s="38" t="s">
        <v>15270</v>
      </c>
      <c r="D11212" s="38" t="str">
        <f>IFERROR(__xludf.DUMMYFUNCTION("REGEXREPLACE(C11212,""-\d+(.*)|--\d+(.*)"","""")"),"BOCE")</f>
        <v>BOCE</v>
      </c>
      <c r="E11212" s="38" t="s">
        <v>653</v>
      </c>
      <c r="F11212" s="38" t="s">
        <v>180</v>
      </c>
      <c r="G11212" s="49" t="str">
        <f t="shared" si="1"/>
        <v>49150</v>
      </c>
      <c r="H11212" s="49">
        <f t="shared" si="2"/>
        <v>49031</v>
      </c>
    </row>
    <row r="11213">
      <c r="A11213" s="48" t="s">
        <v>15271</v>
      </c>
      <c r="B11213" s="38">
        <v>76640.0</v>
      </c>
      <c r="C11213" s="38" t="s">
        <v>15272</v>
      </c>
      <c r="D11213" s="38" t="str">
        <f>IFERROR(__xludf.DUMMYFUNCTION("REGEXREPLACE(C11213,""-\d+(.*)|--\d+(.*)"","""")"),"SAINT-PIERRE-LES-ELBEUF")</f>
        <v>SAINT-PIERRE-LES-ELBEUF</v>
      </c>
      <c r="E11213" s="38" t="s">
        <v>133</v>
      </c>
      <c r="F11213" s="38" t="s">
        <v>134</v>
      </c>
      <c r="G11213" s="49" t="str">
        <f t="shared" si="1"/>
        <v>76320</v>
      </c>
      <c r="H11213" s="49">
        <f t="shared" si="2"/>
        <v>76640</v>
      </c>
    </row>
    <row r="11214">
      <c r="A11214" s="48" t="s">
        <v>3069</v>
      </c>
      <c r="B11214" s="38">
        <v>68167.0</v>
      </c>
      <c r="C11214" s="38" t="s">
        <v>15273</v>
      </c>
      <c r="D11214" s="38" t="str">
        <f>IFERROR(__xludf.DUMMYFUNCTION("REGEXREPLACE(C11214,""-\d+(.*)|--\d+(.*)"","""")"),"KIRCHBERG")</f>
        <v>KIRCHBERG</v>
      </c>
      <c r="E11214" s="38" t="s">
        <v>150</v>
      </c>
      <c r="F11214" s="38" t="s">
        <v>151</v>
      </c>
      <c r="G11214" s="49" t="str">
        <f t="shared" si="1"/>
        <v>68290</v>
      </c>
      <c r="H11214" s="49">
        <f t="shared" si="2"/>
        <v>68167</v>
      </c>
    </row>
    <row r="11215">
      <c r="A11215" s="48" t="s">
        <v>15274</v>
      </c>
      <c r="B11215" s="38">
        <v>79094.0</v>
      </c>
      <c r="C11215" s="38" t="s">
        <v>15275</v>
      </c>
      <c r="D11215" s="38" t="str">
        <f>IFERROR(__xludf.DUMMYFUNCTION("REGEXREPLACE(C11215,""-\d+(.*)|--\d+(.*)"","""")"),"CLESSE")</f>
        <v>CLESSE</v>
      </c>
      <c r="E11215" s="38" t="s">
        <v>337</v>
      </c>
      <c r="F11215" s="38" t="s">
        <v>338</v>
      </c>
      <c r="G11215" s="49" t="str">
        <f t="shared" si="1"/>
        <v>79350</v>
      </c>
      <c r="H11215" s="49">
        <f t="shared" si="2"/>
        <v>79094</v>
      </c>
    </row>
    <row r="11216">
      <c r="A11216" s="48" t="s">
        <v>9381</v>
      </c>
      <c r="B11216" s="38">
        <v>68134.0</v>
      </c>
      <c r="C11216" s="38" t="s">
        <v>15276</v>
      </c>
      <c r="D11216" s="38" t="str">
        <f>IFERROR(__xludf.DUMMYFUNCTION("REGEXREPLACE(C11216,""-\d+(.*)|--\d+(.*)"","""")"),"HERRLISHEIM-PRES-COLMAR")</f>
        <v>HERRLISHEIM-PRES-COLMAR</v>
      </c>
      <c r="E11216" s="38" t="s">
        <v>150</v>
      </c>
      <c r="F11216" s="38" t="s">
        <v>151</v>
      </c>
      <c r="G11216" s="49" t="str">
        <f t="shared" si="1"/>
        <v>68420</v>
      </c>
      <c r="H11216" s="49">
        <f t="shared" si="2"/>
        <v>68134</v>
      </c>
    </row>
    <row r="11217">
      <c r="A11217" s="48" t="s">
        <v>1787</v>
      </c>
      <c r="B11217" s="38">
        <v>62696.0</v>
      </c>
      <c r="C11217" s="38" t="s">
        <v>15277</v>
      </c>
      <c r="D11217" s="38" t="str">
        <f>IFERROR(__xludf.DUMMYFUNCTION("REGEXREPLACE(C11217,""-\d+(.*)|--\d+(.*)"","""")"),"RECLINGHEM")</f>
        <v>RECLINGHEM</v>
      </c>
      <c r="E11217" s="38" t="s">
        <v>109</v>
      </c>
      <c r="F11217" s="38" t="s">
        <v>86</v>
      </c>
      <c r="G11217" s="49" t="str">
        <f t="shared" si="1"/>
        <v>62560</v>
      </c>
      <c r="H11217" s="49">
        <f t="shared" si="2"/>
        <v>62696</v>
      </c>
    </row>
    <row r="11218">
      <c r="A11218" s="48" t="s">
        <v>10588</v>
      </c>
      <c r="B11218" s="38">
        <v>40048.0</v>
      </c>
      <c r="C11218" s="38" t="s">
        <v>15278</v>
      </c>
      <c r="D11218" s="38" t="str">
        <f>IFERROR(__xludf.DUMMYFUNCTION("REGEXREPLACE(C11218,""-\d+(.*)|--\d+(.*)"","""")"),"BOOS")</f>
        <v>BOOS</v>
      </c>
      <c r="E11218" s="38" t="s">
        <v>281</v>
      </c>
      <c r="F11218" s="38" t="s">
        <v>252</v>
      </c>
      <c r="G11218" s="49" t="str">
        <f t="shared" si="1"/>
        <v>40370</v>
      </c>
      <c r="H11218" s="49">
        <f t="shared" si="2"/>
        <v>40048</v>
      </c>
    </row>
    <row r="11219">
      <c r="A11219" s="48" t="s">
        <v>8902</v>
      </c>
      <c r="B11219" s="38">
        <v>25122.0</v>
      </c>
      <c r="C11219" s="38" t="s">
        <v>15279</v>
      </c>
      <c r="D11219" s="38" t="str">
        <f>IFERROR(__xludf.DUMMYFUNCTION("REGEXREPLACE(C11219,""-\d+(.*)|--\d+(.*)"","""")"),"CHAPELLE-D'HUIN")</f>
        <v>CHAPELLE-D'HUIN</v>
      </c>
      <c r="E11219" s="38" t="s">
        <v>213</v>
      </c>
      <c r="F11219" s="38" t="s">
        <v>214</v>
      </c>
      <c r="G11219" s="49" t="str">
        <f t="shared" si="1"/>
        <v>25270</v>
      </c>
      <c r="H11219" s="49">
        <f t="shared" si="2"/>
        <v>25122</v>
      </c>
    </row>
    <row r="11220">
      <c r="A11220" s="48" t="s">
        <v>3089</v>
      </c>
      <c r="B11220" s="38">
        <v>18202.0</v>
      </c>
      <c r="C11220" s="38" t="s">
        <v>15280</v>
      </c>
      <c r="D11220" s="38" t="str">
        <f>IFERROR(__xludf.DUMMYFUNCTION("REGEXREPLACE(C11220,""-\d+(.*)|--\d+(.*)"","""")"),"SAINT-CEOLS")</f>
        <v>SAINT-CEOLS</v>
      </c>
      <c r="E11220" s="38" t="s">
        <v>504</v>
      </c>
      <c r="F11220" s="38" t="s">
        <v>123</v>
      </c>
      <c r="G11220" s="49" t="str">
        <f t="shared" si="1"/>
        <v>18220</v>
      </c>
      <c r="H11220" s="49">
        <f t="shared" si="2"/>
        <v>18202</v>
      </c>
    </row>
    <row r="11221">
      <c r="A11221" s="48" t="s">
        <v>7210</v>
      </c>
      <c r="B11221" s="38">
        <v>57102.0</v>
      </c>
      <c r="C11221" s="38" t="s">
        <v>15281</v>
      </c>
      <c r="D11221" s="38" t="str">
        <f>IFERROR(__xludf.DUMMYFUNCTION("REGEXREPLACE(C11221,""-\d+(.*)|--\d+(.*)"","""")"),"BOUSSE")</f>
        <v>BOUSSE</v>
      </c>
      <c r="E11221" s="38" t="s">
        <v>303</v>
      </c>
      <c r="F11221" s="38" t="s">
        <v>195</v>
      </c>
      <c r="G11221" s="49" t="str">
        <f t="shared" si="1"/>
        <v>57310</v>
      </c>
      <c r="H11221" s="49">
        <f t="shared" si="2"/>
        <v>57102</v>
      </c>
    </row>
    <row r="11222">
      <c r="A11222" s="48" t="s">
        <v>3307</v>
      </c>
      <c r="B11222" s="38">
        <v>65279.0</v>
      </c>
      <c r="C11222" s="38" t="s">
        <v>15282</v>
      </c>
      <c r="D11222" s="38" t="str">
        <f>IFERROR(__xludf.DUMMYFUNCTION("REGEXREPLACE(C11222,""-\d+(.*)|--\d+(.*)"","""")"),"LORTET")</f>
        <v>LORTET</v>
      </c>
      <c r="E11222" s="38" t="s">
        <v>200</v>
      </c>
      <c r="F11222" s="38" t="s">
        <v>94</v>
      </c>
      <c r="G11222" s="49" t="str">
        <f t="shared" si="1"/>
        <v>65250</v>
      </c>
      <c r="H11222" s="49">
        <f t="shared" si="2"/>
        <v>65279</v>
      </c>
    </row>
    <row r="11223">
      <c r="A11223" s="48" t="s">
        <v>8129</v>
      </c>
      <c r="B11223" s="38">
        <v>70176.0</v>
      </c>
      <c r="C11223" s="38" t="s">
        <v>15283</v>
      </c>
      <c r="D11223" s="38" t="str">
        <f>IFERROR(__xludf.DUMMYFUNCTION("REGEXREPLACE(C11223,""-\d+(.*)|--\d+(.*)"","""")"),"CORRAVILLERS")</f>
        <v>CORRAVILLERS</v>
      </c>
      <c r="E11223" s="38" t="s">
        <v>956</v>
      </c>
      <c r="F11223" s="38" t="s">
        <v>214</v>
      </c>
      <c r="G11223" s="49" t="str">
        <f t="shared" si="1"/>
        <v>70310</v>
      </c>
      <c r="H11223" s="49">
        <f t="shared" si="2"/>
        <v>70176</v>
      </c>
    </row>
    <row r="11224">
      <c r="A11224" s="48" t="s">
        <v>3596</v>
      </c>
      <c r="B11224" s="38">
        <v>25110.0</v>
      </c>
      <c r="C11224" s="38" t="s">
        <v>15284</v>
      </c>
      <c r="D11224" s="38" t="str">
        <f>IFERROR(__xludf.DUMMYFUNCTION("REGEXREPLACE(C11224,""-\d+(.*)|--\d+(.*)"","""")"),"CHAFFOIS")</f>
        <v>CHAFFOIS</v>
      </c>
      <c r="E11224" s="38" t="s">
        <v>213</v>
      </c>
      <c r="F11224" s="38" t="s">
        <v>214</v>
      </c>
      <c r="G11224" s="49" t="str">
        <f t="shared" si="1"/>
        <v>25300</v>
      </c>
      <c r="H11224" s="49">
        <f t="shared" si="2"/>
        <v>25110</v>
      </c>
    </row>
    <row r="11225">
      <c r="A11225" s="48" t="s">
        <v>1126</v>
      </c>
      <c r="B11225" s="38">
        <v>44090.0</v>
      </c>
      <c r="C11225" s="38" t="s">
        <v>15285</v>
      </c>
      <c r="D11225" s="38" t="str">
        <f>IFERROR(__xludf.DUMMYFUNCTION("REGEXREPLACE(C11225,""-\d+(.*)|--\d+(.*)"","""")"),"LA MARNE")</f>
        <v>LA MARNE</v>
      </c>
      <c r="E11225" s="38" t="s">
        <v>759</v>
      </c>
      <c r="F11225" s="38" t="s">
        <v>180</v>
      </c>
      <c r="G11225" s="49" t="str">
        <f t="shared" si="1"/>
        <v>44270</v>
      </c>
      <c r="H11225" s="49">
        <f t="shared" si="2"/>
        <v>44090</v>
      </c>
    </row>
    <row r="11226">
      <c r="A11226" s="48" t="s">
        <v>4709</v>
      </c>
      <c r="B11226" s="38">
        <v>95459.0</v>
      </c>
      <c r="C11226" s="38" t="s">
        <v>15286</v>
      </c>
      <c r="D11226" s="38" t="str">
        <f>IFERROR(__xludf.DUMMYFUNCTION("REGEXREPLACE(C11226,""-\d+(.*)|--\d+(.*)"","""")"),"NUCOURT")</f>
        <v>NUCOURT</v>
      </c>
      <c r="E11226" s="38" t="s">
        <v>541</v>
      </c>
      <c r="F11226" s="38" t="s">
        <v>245</v>
      </c>
      <c r="G11226" s="49" t="str">
        <f t="shared" si="1"/>
        <v>95420</v>
      </c>
      <c r="H11226" s="49">
        <f t="shared" si="2"/>
        <v>95459</v>
      </c>
    </row>
    <row r="11227">
      <c r="A11227" s="48" t="s">
        <v>2922</v>
      </c>
      <c r="B11227" s="38">
        <v>5065.0</v>
      </c>
      <c r="C11227" s="38" t="s">
        <v>15287</v>
      </c>
      <c r="D11227" s="38" t="str">
        <f>IFERROR(__xludf.DUMMYFUNCTION("REGEXREPLACE(C11227,""-\d+(.*)|--\d+(.*)"","""")"),"GUILLESTRE")</f>
        <v>GUILLESTRE</v>
      </c>
      <c r="E11227" s="38" t="s">
        <v>706</v>
      </c>
      <c r="F11227" s="38" t="s">
        <v>228</v>
      </c>
      <c r="G11227" s="49" t="str">
        <f t="shared" si="1"/>
        <v>05600</v>
      </c>
      <c r="H11227" s="49" t="str">
        <f t="shared" si="2"/>
        <v>05065</v>
      </c>
    </row>
    <row r="11228">
      <c r="A11228" s="48" t="s">
        <v>6858</v>
      </c>
      <c r="B11228" s="38">
        <v>71240.0</v>
      </c>
      <c r="C11228" s="38" t="s">
        <v>15288</v>
      </c>
      <c r="D11228" s="38" t="str">
        <f>IFERROR(__xludf.DUMMYFUNCTION("REGEXREPLACE(C11228,""-\d+(.*)|--\d+(.*)"","""")"),"JALOGNY")</f>
        <v>JALOGNY</v>
      </c>
      <c r="E11228" s="38" t="s">
        <v>344</v>
      </c>
      <c r="F11228" s="38" t="s">
        <v>106</v>
      </c>
      <c r="G11228" s="49" t="str">
        <f t="shared" si="1"/>
        <v>71250</v>
      </c>
      <c r="H11228" s="49">
        <f t="shared" si="2"/>
        <v>71240</v>
      </c>
    </row>
    <row r="11229">
      <c r="A11229" s="48" t="s">
        <v>5812</v>
      </c>
      <c r="B11229" s="38">
        <v>77027.0</v>
      </c>
      <c r="C11229" s="38" t="s">
        <v>15289</v>
      </c>
      <c r="D11229" s="38" t="str">
        <f>IFERROR(__xludf.DUMMYFUNCTION("REGEXREPLACE(C11229,""-\d+(.*)|--\d+(.*)"","""")"),"BEAUMONT-DU-GATINAIS")</f>
        <v>BEAUMONT-DU-GATINAIS</v>
      </c>
      <c r="E11229" s="38" t="s">
        <v>244</v>
      </c>
      <c r="F11229" s="38" t="s">
        <v>245</v>
      </c>
      <c r="G11229" s="49" t="str">
        <f t="shared" si="1"/>
        <v>77890</v>
      </c>
      <c r="H11229" s="49">
        <f t="shared" si="2"/>
        <v>77027</v>
      </c>
    </row>
    <row r="11230">
      <c r="A11230" s="48" t="s">
        <v>3541</v>
      </c>
      <c r="B11230" s="38">
        <v>32362.0</v>
      </c>
      <c r="C11230" s="38" t="s">
        <v>15290</v>
      </c>
      <c r="D11230" s="38" t="str">
        <f>IFERROR(__xludf.DUMMYFUNCTION("REGEXREPLACE(C11230,""-\d+(.*)|--\d+(.*)"","""")"),"SAINT-AUNIX-LENGROS")</f>
        <v>SAINT-AUNIX-LENGROS</v>
      </c>
      <c r="E11230" s="38" t="s">
        <v>440</v>
      </c>
      <c r="F11230" s="38" t="s">
        <v>94</v>
      </c>
      <c r="G11230" s="49" t="str">
        <f t="shared" si="1"/>
        <v>32160</v>
      </c>
      <c r="H11230" s="49">
        <f t="shared" si="2"/>
        <v>32362</v>
      </c>
    </row>
    <row r="11231">
      <c r="A11231" s="48" t="s">
        <v>10025</v>
      </c>
      <c r="B11231" s="38">
        <v>66042.0</v>
      </c>
      <c r="C11231" s="38" t="s">
        <v>4558</v>
      </c>
      <c r="D11231" s="38" t="str">
        <f>IFERROR(__xludf.DUMMYFUNCTION("REGEXREPLACE(C11231,""-\d+(.*)|--\d+(.*)"","""")"),"CASSAGNES")</f>
        <v>CASSAGNES</v>
      </c>
      <c r="E11231" s="38" t="s">
        <v>248</v>
      </c>
      <c r="F11231" s="38" t="s">
        <v>119</v>
      </c>
      <c r="G11231" s="49" t="str">
        <f t="shared" si="1"/>
        <v>66720</v>
      </c>
      <c r="H11231" s="49">
        <f t="shared" si="2"/>
        <v>66042</v>
      </c>
    </row>
    <row r="11232">
      <c r="A11232" s="48" t="s">
        <v>1135</v>
      </c>
      <c r="B11232" s="38">
        <v>79292.0</v>
      </c>
      <c r="C11232" s="38" t="s">
        <v>3856</v>
      </c>
      <c r="D11232" s="38" t="str">
        <f>IFERROR(__xludf.DUMMYFUNCTION("REGEXREPLACE(C11232,""-\d+(.*)|--\d+(.*)"","""")"),"SAINTE-RADEGONDE")</f>
        <v>SAINTE-RADEGONDE</v>
      </c>
      <c r="E11232" s="38" t="s">
        <v>337</v>
      </c>
      <c r="F11232" s="38" t="s">
        <v>338</v>
      </c>
      <c r="G11232" s="49" t="str">
        <f t="shared" si="1"/>
        <v>79100</v>
      </c>
      <c r="H11232" s="49">
        <f t="shared" si="2"/>
        <v>79292</v>
      </c>
    </row>
    <row r="11233">
      <c r="A11233" s="48" t="s">
        <v>15291</v>
      </c>
      <c r="B11233" s="38">
        <v>3163.0</v>
      </c>
      <c r="C11233" s="38" t="s">
        <v>15292</v>
      </c>
      <c r="D11233" s="38" t="str">
        <f>IFERROR(__xludf.DUMMYFUNCTION("REGEXREPLACE(C11233,""-\d+(.*)|--\d+(.*)"","""")"),"MARIOL")</f>
        <v>MARIOL</v>
      </c>
      <c r="E11233" s="38" t="s">
        <v>160</v>
      </c>
      <c r="F11233" s="38" t="s">
        <v>161</v>
      </c>
      <c r="G11233" s="49" t="str">
        <f t="shared" si="1"/>
        <v>03270</v>
      </c>
      <c r="H11233" s="49" t="str">
        <f t="shared" si="2"/>
        <v>03163</v>
      </c>
    </row>
    <row r="11234">
      <c r="A11234" s="48" t="s">
        <v>887</v>
      </c>
      <c r="B11234" s="38">
        <v>62117.0</v>
      </c>
      <c r="C11234" s="38" t="s">
        <v>15293</v>
      </c>
      <c r="D11234" s="38" t="str">
        <f>IFERROR(__xludf.DUMMYFUNCTION("REGEXREPLACE(C11234,""-\d+(.*)|--\d+(.*)"","""")"),"BERTINCOURT")</f>
        <v>BERTINCOURT</v>
      </c>
      <c r="E11234" s="38" t="s">
        <v>109</v>
      </c>
      <c r="F11234" s="38" t="s">
        <v>86</v>
      </c>
      <c r="G11234" s="49" t="str">
        <f t="shared" si="1"/>
        <v>62124</v>
      </c>
      <c r="H11234" s="49">
        <f t="shared" si="2"/>
        <v>62117</v>
      </c>
    </row>
    <row r="11235">
      <c r="A11235" s="48" t="s">
        <v>970</v>
      </c>
      <c r="B11235" s="38">
        <v>2109.0</v>
      </c>
      <c r="C11235" s="38" t="s">
        <v>15294</v>
      </c>
      <c r="D11235" s="38" t="str">
        <f>IFERROR(__xludf.DUMMYFUNCTION("REGEXREPLACE(C11235,""-\d+(.*)|--\d+(.*)"","""")"),"LA BOUTEILLE")</f>
        <v>LA BOUTEILLE</v>
      </c>
      <c r="E11235" s="38" t="s">
        <v>191</v>
      </c>
      <c r="F11235" s="38" t="s">
        <v>113</v>
      </c>
      <c r="G11235" s="49" t="str">
        <f t="shared" si="1"/>
        <v>02140</v>
      </c>
      <c r="H11235" s="49" t="str">
        <f t="shared" si="2"/>
        <v>02109</v>
      </c>
    </row>
    <row r="11236">
      <c r="A11236" s="48" t="s">
        <v>15295</v>
      </c>
      <c r="B11236" s="38">
        <v>83119.0</v>
      </c>
      <c r="C11236" s="38" t="s">
        <v>15296</v>
      </c>
      <c r="D11236" s="38" t="str">
        <f>IFERROR(__xludf.DUMMYFUNCTION("REGEXREPLACE(C11236,""-\d+(.*)|--\d+(.*)"","""")"),"SAINT-TROPEZ")</f>
        <v>SAINT-TROPEZ</v>
      </c>
      <c r="E11236" s="38" t="s">
        <v>813</v>
      </c>
      <c r="F11236" s="38" t="s">
        <v>228</v>
      </c>
      <c r="G11236" s="49" t="str">
        <f t="shared" si="1"/>
        <v>83990</v>
      </c>
      <c r="H11236" s="49">
        <f t="shared" si="2"/>
        <v>83119</v>
      </c>
    </row>
    <row r="11237">
      <c r="A11237" s="48" t="s">
        <v>15297</v>
      </c>
      <c r="B11237" s="38">
        <v>59220.0</v>
      </c>
      <c r="C11237" s="38" t="s">
        <v>15298</v>
      </c>
      <c r="D11237" s="38" t="str">
        <f>IFERROR(__xludf.DUMMYFUNCTION("REGEXREPLACE(C11237,""-\d+(.*)|--\d+(.*)"","""")"),"FACHES-THUMESNIL")</f>
        <v>FACHES-THUMESNIL</v>
      </c>
      <c r="E11237" s="38" t="s">
        <v>85</v>
      </c>
      <c r="F11237" s="38" t="s">
        <v>86</v>
      </c>
      <c r="G11237" s="49" t="str">
        <f t="shared" si="1"/>
        <v>59155</v>
      </c>
      <c r="H11237" s="49">
        <f t="shared" si="2"/>
        <v>59220</v>
      </c>
    </row>
    <row r="11238">
      <c r="A11238" s="48" t="s">
        <v>580</v>
      </c>
      <c r="B11238" s="38">
        <v>31133.0</v>
      </c>
      <c r="C11238" s="38" t="s">
        <v>15299</v>
      </c>
      <c r="D11238" s="38" t="str">
        <f>IFERROR(__xludf.DUMMYFUNCTION("REGEXREPLACE(C11238,""-\d+(.*)|--\d+(.*)"","""")"),"CAZEAUX-DE-LARBOUST")</f>
        <v>CAZEAUX-DE-LARBOUST</v>
      </c>
      <c r="E11238" s="38" t="s">
        <v>93</v>
      </c>
      <c r="F11238" s="38" t="s">
        <v>94</v>
      </c>
      <c r="G11238" s="49" t="str">
        <f t="shared" si="1"/>
        <v>31110</v>
      </c>
      <c r="H11238" s="49">
        <f t="shared" si="2"/>
        <v>31133</v>
      </c>
    </row>
    <row r="11239">
      <c r="A11239" s="48" t="s">
        <v>13409</v>
      </c>
      <c r="B11239" s="38">
        <v>35017.0</v>
      </c>
      <c r="C11239" s="38" t="s">
        <v>15300</v>
      </c>
      <c r="D11239" s="38" t="str">
        <f>IFERROR(__xludf.DUMMYFUNCTION("REGEXREPLACE(C11239,""-\d+(.*)|--\d+(.*)"","""")"),"LA BAUSSAINE")</f>
        <v>LA BAUSSAINE</v>
      </c>
      <c r="E11239" s="38" t="s">
        <v>347</v>
      </c>
      <c r="F11239" s="38" t="s">
        <v>90</v>
      </c>
      <c r="G11239" s="49" t="str">
        <f t="shared" si="1"/>
        <v>35190</v>
      </c>
      <c r="H11239" s="49">
        <f t="shared" si="2"/>
        <v>35017</v>
      </c>
    </row>
    <row r="11240">
      <c r="A11240" s="48" t="s">
        <v>5383</v>
      </c>
      <c r="B11240" s="38">
        <v>44093.0</v>
      </c>
      <c r="C11240" s="38" t="s">
        <v>6333</v>
      </c>
      <c r="D11240" s="38" t="str">
        <f>IFERROR(__xludf.DUMMYFUNCTION("REGEXREPLACE(C11240,""-\d+(.*)|--\d+(.*)"","""")"),"MAUMUSSON")</f>
        <v>MAUMUSSON</v>
      </c>
      <c r="E11240" s="38" t="s">
        <v>759</v>
      </c>
      <c r="F11240" s="38" t="s">
        <v>180</v>
      </c>
      <c r="G11240" s="49" t="str">
        <f t="shared" si="1"/>
        <v>44540</v>
      </c>
      <c r="H11240" s="49">
        <f t="shared" si="2"/>
        <v>44093</v>
      </c>
    </row>
    <row r="11241">
      <c r="A11241" s="48" t="s">
        <v>3100</v>
      </c>
      <c r="B11241" s="38">
        <v>7273.0</v>
      </c>
      <c r="C11241" s="38" t="s">
        <v>15301</v>
      </c>
      <c r="D11241" s="38" t="str">
        <f>IFERROR(__xludf.DUMMYFUNCTION("REGEXREPLACE(C11241,""-\d+(.*)|--\d+(.*)"","""")"),"SAINT-MAURICE-D'IBIE")</f>
        <v>SAINT-MAURICE-D'IBIE</v>
      </c>
      <c r="E11241" s="38" t="s">
        <v>144</v>
      </c>
      <c r="F11241" s="38" t="s">
        <v>102</v>
      </c>
      <c r="G11241" s="49" t="str">
        <f t="shared" si="1"/>
        <v>07170</v>
      </c>
      <c r="H11241" s="49" t="str">
        <f t="shared" si="2"/>
        <v>07273</v>
      </c>
    </row>
    <row r="11242">
      <c r="A11242" s="48" t="s">
        <v>4044</v>
      </c>
      <c r="B11242" s="38">
        <v>52296.0</v>
      </c>
      <c r="C11242" s="38" t="s">
        <v>15302</v>
      </c>
      <c r="D11242" s="38" t="str">
        <f>IFERROR(__xludf.DUMMYFUNCTION("REGEXREPLACE(C11242,""-\d+(.*)|--\d+(.*)"","""")"),"LOUZE")</f>
        <v>LOUZE</v>
      </c>
      <c r="E11242" s="38" t="s">
        <v>234</v>
      </c>
      <c r="F11242" s="38" t="s">
        <v>130</v>
      </c>
      <c r="G11242" s="49" t="str">
        <f t="shared" si="1"/>
        <v>52220</v>
      </c>
      <c r="H11242" s="49">
        <f t="shared" si="2"/>
        <v>52296</v>
      </c>
    </row>
    <row r="11243">
      <c r="A11243" s="48" t="s">
        <v>2332</v>
      </c>
      <c r="B11243" s="38">
        <v>81255.0</v>
      </c>
      <c r="C11243" s="38" t="s">
        <v>15303</v>
      </c>
      <c r="D11243" s="38" t="str">
        <f>IFERROR(__xludf.DUMMYFUNCTION("REGEXREPLACE(C11243,""-\d+(.*)|--\d+(.*)"","""")"),"SAINT-JEAN-DE-RIVES")</f>
        <v>SAINT-JEAN-DE-RIVES</v>
      </c>
      <c r="E11243" s="38" t="s">
        <v>231</v>
      </c>
      <c r="F11243" s="38" t="s">
        <v>94</v>
      </c>
      <c r="G11243" s="49" t="str">
        <f t="shared" si="1"/>
        <v>81500</v>
      </c>
      <c r="H11243" s="49">
        <f t="shared" si="2"/>
        <v>81255</v>
      </c>
    </row>
    <row r="11244">
      <c r="A11244" s="48" t="s">
        <v>3161</v>
      </c>
      <c r="B11244" s="38">
        <v>70135.0</v>
      </c>
      <c r="C11244" s="38" t="s">
        <v>15304</v>
      </c>
      <c r="D11244" s="38" t="str">
        <f>IFERROR(__xludf.DUMMYFUNCTION("REGEXREPLACE(C11244,""-\d+(.*)|--\d+(.*)"","""")"),"CHARMES-SAINT-VALBERT")</f>
        <v>CHARMES-SAINT-VALBERT</v>
      </c>
      <c r="E11244" s="38" t="s">
        <v>956</v>
      </c>
      <c r="F11244" s="38" t="s">
        <v>214</v>
      </c>
      <c r="G11244" s="49" t="str">
        <f t="shared" si="1"/>
        <v>70120</v>
      </c>
      <c r="H11244" s="49">
        <f t="shared" si="2"/>
        <v>70135</v>
      </c>
    </row>
    <row r="11245">
      <c r="A11245" s="48" t="s">
        <v>196</v>
      </c>
      <c r="B11245" s="38">
        <v>2544.0</v>
      </c>
      <c r="C11245" s="38" t="s">
        <v>15305</v>
      </c>
      <c r="D11245" s="38" t="str">
        <f>IFERROR(__xludf.DUMMYFUNCTION("REGEXREPLACE(C11245,""-\d+(.*)|--\d+(.*)"","""")"),"NEUVE-MAISON")</f>
        <v>NEUVE-MAISON</v>
      </c>
      <c r="E11245" s="38" t="s">
        <v>191</v>
      </c>
      <c r="F11245" s="38" t="s">
        <v>113</v>
      </c>
      <c r="G11245" s="49" t="str">
        <f t="shared" si="1"/>
        <v>02500</v>
      </c>
      <c r="H11245" s="49" t="str">
        <f t="shared" si="2"/>
        <v>02544</v>
      </c>
    </row>
    <row r="11246">
      <c r="A11246" s="48" t="s">
        <v>4703</v>
      </c>
      <c r="B11246" s="38">
        <v>66161.0</v>
      </c>
      <c r="C11246" s="38" t="s">
        <v>15306</v>
      </c>
      <c r="D11246" s="38" t="str">
        <f>IFERROR(__xludf.DUMMYFUNCTION("REGEXREPLACE(C11246,""-\d+(.*)|--\d+(.*)"","""")"),"RIA-SIRACH")</f>
        <v>RIA-SIRACH</v>
      </c>
      <c r="E11246" s="38" t="s">
        <v>248</v>
      </c>
      <c r="F11246" s="38" t="s">
        <v>119</v>
      </c>
      <c r="G11246" s="49" t="str">
        <f t="shared" si="1"/>
        <v>66500</v>
      </c>
      <c r="H11246" s="49">
        <f t="shared" si="2"/>
        <v>66161</v>
      </c>
    </row>
    <row r="11247">
      <c r="A11247" s="48" t="s">
        <v>584</v>
      </c>
      <c r="B11247" s="38">
        <v>62006.0</v>
      </c>
      <c r="C11247" s="38" t="s">
        <v>15307</v>
      </c>
      <c r="D11247" s="38" t="str">
        <f>IFERROR(__xludf.DUMMYFUNCTION("REGEXREPLACE(C11247,""-\d+(.*)|--\d+(.*)"","""")"),"ACHIET-LE-PETIT")</f>
        <v>ACHIET-LE-PETIT</v>
      </c>
      <c r="E11247" s="38" t="s">
        <v>109</v>
      </c>
      <c r="F11247" s="38" t="s">
        <v>86</v>
      </c>
      <c r="G11247" s="49" t="str">
        <f t="shared" si="1"/>
        <v>62121</v>
      </c>
      <c r="H11247" s="49">
        <f t="shared" si="2"/>
        <v>62006</v>
      </c>
    </row>
    <row r="11248">
      <c r="A11248" s="48" t="s">
        <v>15308</v>
      </c>
      <c r="B11248" s="38">
        <v>69159.0</v>
      </c>
      <c r="C11248" s="38" t="s">
        <v>15309</v>
      </c>
      <c r="D11248" s="38" t="str">
        <f>IFERROR(__xludf.DUMMYFUNCTION("REGEXREPLACE(C11248,""-\d+(.*)|--\d+(.*)"","""")"),"POUILLY-LE-MONIAL")</f>
        <v>POUILLY-LE-MONIAL</v>
      </c>
      <c r="E11248" s="38" t="s">
        <v>350</v>
      </c>
      <c r="F11248" s="38" t="s">
        <v>102</v>
      </c>
      <c r="G11248" s="49" t="str">
        <f t="shared" si="1"/>
        <v>69400</v>
      </c>
      <c r="H11248" s="49">
        <f t="shared" si="2"/>
        <v>69159</v>
      </c>
    </row>
    <row r="11249">
      <c r="A11249" s="48" t="s">
        <v>6347</v>
      </c>
      <c r="B11249" s="38">
        <v>73150.0</v>
      </c>
      <c r="C11249" s="38" t="s">
        <v>15310</v>
      </c>
      <c r="D11249" s="38" t="str">
        <f>IFERROR(__xludf.DUMMYFUNCTION("REGEXREPLACE(C11249,""-\d+(.*)|--\d+(.*)"","""")"),"MACOT-LA-PLAGNE")</f>
        <v>MACOT-LA-PLAGNE</v>
      </c>
      <c r="E11249" s="38" t="s">
        <v>306</v>
      </c>
      <c r="F11249" s="38" t="s">
        <v>102</v>
      </c>
      <c r="G11249" s="49" t="str">
        <f t="shared" si="1"/>
        <v>73210</v>
      </c>
      <c r="H11249" s="49">
        <f t="shared" si="2"/>
        <v>73150</v>
      </c>
    </row>
    <row r="11250">
      <c r="A11250" s="48" t="s">
        <v>620</v>
      </c>
      <c r="B11250" s="38">
        <v>86258.0</v>
      </c>
      <c r="C11250" s="38" t="s">
        <v>15311</v>
      </c>
      <c r="D11250" s="38" t="str">
        <f>IFERROR(__xludf.DUMMYFUNCTION("REGEXREPLACE(C11250,""-\d+(.*)|--\d+(.*)"","""")"),"SCORBE-CLAIRVAUX")</f>
        <v>SCORBE-CLAIRVAUX</v>
      </c>
      <c r="E11250" s="38" t="s">
        <v>529</v>
      </c>
      <c r="F11250" s="38" t="s">
        <v>338</v>
      </c>
      <c r="G11250" s="49" t="str">
        <f t="shared" si="1"/>
        <v>86140</v>
      </c>
      <c r="H11250" s="49">
        <f t="shared" si="2"/>
        <v>86258</v>
      </c>
    </row>
    <row r="11251">
      <c r="A11251" s="48" t="s">
        <v>425</v>
      </c>
      <c r="B11251" s="38">
        <v>88089.0</v>
      </c>
      <c r="C11251" s="38" t="s">
        <v>15312</v>
      </c>
      <c r="D11251" s="38" t="str">
        <f>IFERROR(__xludf.DUMMYFUNCTION("REGEXREPLACE(C11251,""-\d+(.*)|--\d+(.*)"","""")"),"LA CHAPELLE-DEVANT-BRUYERES")</f>
        <v>LA CHAPELLE-DEVANT-BRUYERES</v>
      </c>
      <c r="E11251" s="38" t="s">
        <v>194</v>
      </c>
      <c r="F11251" s="38" t="s">
        <v>195</v>
      </c>
      <c r="G11251" s="49" t="str">
        <f t="shared" si="1"/>
        <v>88600</v>
      </c>
      <c r="H11251" s="49">
        <f t="shared" si="2"/>
        <v>88089</v>
      </c>
    </row>
    <row r="11252">
      <c r="A11252" s="48" t="s">
        <v>2814</v>
      </c>
      <c r="B11252" s="38">
        <v>45026.0</v>
      </c>
      <c r="C11252" s="38" t="s">
        <v>15313</v>
      </c>
      <c r="D11252" s="38" t="str">
        <f>IFERROR(__xludf.DUMMYFUNCTION("REGEXREPLACE(C11252,""-\d+(.*)|--\d+(.*)"","""")"),"BAZOCHES-SUR-LE-BETZ")</f>
        <v>BAZOCHES-SUR-LE-BETZ</v>
      </c>
      <c r="E11252" s="38" t="s">
        <v>122</v>
      </c>
      <c r="F11252" s="38" t="s">
        <v>123</v>
      </c>
      <c r="G11252" s="49" t="str">
        <f t="shared" si="1"/>
        <v>45210</v>
      </c>
      <c r="H11252" s="49">
        <f t="shared" si="2"/>
        <v>45026</v>
      </c>
    </row>
    <row r="11253">
      <c r="A11253" s="48" t="s">
        <v>3681</v>
      </c>
      <c r="B11253" s="38">
        <v>39162.0</v>
      </c>
      <c r="C11253" s="38" t="s">
        <v>15314</v>
      </c>
      <c r="D11253" s="38" t="str">
        <f>IFERROR(__xludf.DUMMYFUNCTION("REGEXREPLACE(C11253,""-\d+(.*)|--\d+(.*)"","""")"),"CONDAMINE")</f>
        <v>CONDAMINE</v>
      </c>
      <c r="E11253" s="38" t="s">
        <v>400</v>
      </c>
      <c r="F11253" s="38" t="s">
        <v>214</v>
      </c>
      <c r="G11253" s="49" t="str">
        <f t="shared" si="1"/>
        <v>39570</v>
      </c>
      <c r="H11253" s="49">
        <f t="shared" si="2"/>
        <v>39162</v>
      </c>
    </row>
    <row r="11254">
      <c r="A11254" s="48" t="s">
        <v>7813</v>
      </c>
      <c r="B11254" s="38">
        <v>35257.0</v>
      </c>
      <c r="C11254" s="38" t="s">
        <v>15315</v>
      </c>
      <c r="D11254" s="38" t="str">
        <f>IFERROR(__xludf.DUMMYFUNCTION("REGEXREPLACE(C11254,""-\d+(.*)|--\d+(.*)"","""")"),"SAINT-BRICE-EN-COGLES")</f>
        <v>SAINT-BRICE-EN-COGLES</v>
      </c>
      <c r="E11254" s="38" t="s">
        <v>347</v>
      </c>
      <c r="F11254" s="38" t="s">
        <v>90</v>
      </c>
      <c r="G11254" s="49" t="str">
        <f t="shared" si="1"/>
        <v>35460</v>
      </c>
      <c r="H11254" s="49">
        <f t="shared" si="2"/>
        <v>35257</v>
      </c>
    </row>
    <row r="11255">
      <c r="A11255" s="48" t="s">
        <v>15316</v>
      </c>
      <c r="B11255" s="38">
        <v>66173.0</v>
      </c>
      <c r="C11255" s="38" t="s">
        <v>15317</v>
      </c>
      <c r="D11255" s="38" t="str">
        <f>IFERROR(__xludf.DUMMYFUNCTION("REGEXREPLACE(C11255,""-\d+(.*)|--\d+(.*)"","""")"),"SAINT-FELIU-D'AMONT")</f>
        <v>SAINT-FELIU-D'AMONT</v>
      </c>
      <c r="E11255" s="38" t="s">
        <v>248</v>
      </c>
      <c r="F11255" s="38" t="s">
        <v>119</v>
      </c>
      <c r="G11255" s="49" t="str">
        <f t="shared" si="1"/>
        <v>66170</v>
      </c>
      <c r="H11255" s="49">
        <f t="shared" si="2"/>
        <v>66173</v>
      </c>
    </row>
    <row r="11256">
      <c r="A11256" s="48" t="s">
        <v>811</v>
      </c>
      <c r="B11256" s="38">
        <v>83066.0</v>
      </c>
      <c r="C11256" s="38" t="s">
        <v>15318</v>
      </c>
      <c r="D11256" s="38" t="str">
        <f>IFERROR(__xludf.DUMMYFUNCTION("REGEXREPLACE(C11256,""-\d+(.*)|--\d+(.*)"","""")"),"GINASSERVIS")</f>
        <v>GINASSERVIS</v>
      </c>
      <c r="E11256" s="38" t="s">
        <v>813</v>
      </c>
      <c r="F11256" s="38" t="s">
        <v>228</v>
      </c>
      <c r="G11256" s="49" t="str">
        <f t="shared" si="1"/>
        <v>83560</v>
      </c>
      <c r="H11256" s="49">
        <f t="shared" si="2"/>
        <v>83066</v>
      </c>
    </row>
    <row r="11257">
      <c r="A11257" s="48" t="s">
        <v>5672</v>
      </c>
      <c r="B11257" s="38">
        <v>33484.0</v>
      </c>
      <c r="C11257" s="38" t="s">
        <v>863</v>
      </c>
      <c r="D11257" s="38" t="str">
        <f>IFERROR(__xludf.DUMMYFUNCTION("REGEXREPLACE(C11257,""-\d+(.*)|--\d+(.*)"","""")"),"SAINT-SYMPHORIEN")</f>
        <v>SAINT-SYMPHORIEN</v>
      </c>
      <c r="E11257" s="38" t="s">
        <v>462</v>
      </c>
      <c r="F11257" s="38" t="s">
        <v>252</v>
      </c>
      <c r="G11257" s="49" t="str">
        <f t="shared" si="1"/>
        <v>33113</v>
      </c>
      <c r="H11257" s="49">
        <f t="shared" si="2"/>
        <v>33484</v>
      </c>
    </row>
    <row r="11258">
      <c r="A11258" s="48" t="s">
        <v>4088</v>
      </c>
      <c r="B11258" s="38">
        <v>39493.0</v>
      </c>
      <c r="C11258" s="38" t="s">
        <v>15319</v>
      </c>
      <c r="D11258" s="38" t="str">
        <f>IFERROR(__xludf.DUMMYFUNCTION("REGEXREPLACE(C11258,""-\d+(.*)|--\d+(.*)"","""")"),"SAINT-MAURICE-CRILLAT")</f>
        <v>SAINT-MAURICE-CRILLAT</v>
      </c>
      <c r="E11258" s="38" t="s">
        <v>400</v>
      </c>
      <c r="F11258" s="38" t="s">
        <v>214</v>
      </c>
      <c r="G11258" s="49" t="str">
        <f t="shared" si="1"/>
        <v>39130</v>
      </c>
      <c r="H11258" s="49">
        <f t="shared" si="2"/>
        <v>39493</v>
      </c>
    </row>
    <row r="11259">
      <c r="A11259" s="48" t="s">
        <v>10725</v>
      </c>
      <c r="B11259" s="38">
        <v>62161.0</v>
      </c>
      <c r="C11259" s="38" t="s">
        <v>15320</v>
      </c>
      <c r="D11259" s="38" t="str">
        <f>IFERROR(__xludf.DUMMYFUNCTION("REGEXREPLACE(C11259,""-\d+(.*)|--\d+(.*)"","""")"),"BOUQUEHAULT")</f>
        <v>BOUQUEHAULT</v>
      </c>
      <c r="E11259" s="38" t="s">
        <v>109</v>
      </c>
      <c r="F11259" s="38" t="s">
        <v>86</v>
      </c>
      <c r="G11259" s="49" t="str">
        <f t="shared" si="1"/>
        <v>62340</v>
      </c>
      <c r="H11259" s="49">
        <f t="shared" si="2"/>
        <v>62161</v>
      </c>
    </row>
    <row r="11260">
      <c r="A11260" s="48" t="s">
        <v>7239</v>
      </c>
      <c r="B11260" s="38">
        <v>24448.0</v>
      </c>
      <c r="C11260" s="38" t="s">
        <v>15321</v>
      </c>
      <c r="D11260" s="38" t="str">
        <f>IFERROR(__xludf.DUMMYFUNCTION("REGEXREPLACE(C11260,""-\d+(.*)|--\d+(.*)"","""")"),"SAINT-MARTIAL-D'ALBAREDE")</f>
        <v>SAINT-MARTIAL-D'ALBAREDE</v>
      </c>
      <c r="E11260" s="38" t="s">
        <v>261</v>
      </c>
      <c r="F11260" s="38" t="s">
        <v>252</v>
      </c>
      <c r="G11260" s="49" t="str">
        <f t="shared" si="1"/>
        <v>24160</v>
      </c>
      <c r="H11260" s="49">
        <f t="shared" si="2"/>
        <v>24448</v>
      </c>
    </row>
    <row r="11261">
      <c r="A11261" s="48" t="s">
        <v>601</v>
      </c>
      <c r="B11261" s="38">
        <v>51654.0</v>
      </c>
      <c r="C11261" s="38" t="s">
        <v>15322</v>
      </c>
      <c r="D11261" s="38" t="str">
        <f>IFERROR(__xludf.DUMMYFUNCTION("REGEXREPLACE(C11261,""-\d+(.*)|--\d+(.*)"","""")"),"VOUILLERS")</f>
        <v>VOUILLERS</v>
      </c>
      <c r="E11261" s="38" t="s">
        <v>129</v>
      </c>
      <c r="F11261" s="38" t="s">
        <v>130</v>
      </c>
      <c r="G11261" s="49" t="str">
        <f t="shared" si="1"/>
        <v>51340</v>
      </c>
      <c r="H11261" s="49">
        <f t="shared" si="2"/>
        <v>51654</v>
      </c>
    </row>
    <row r="11262">
      <c r="A11262" s="48" t="s">
        <v>15323</v>
      </c>
      <c r="B11262" s="38">
        <v>93033.0</v>
      </c>
      <c r="C11262" s="38" t="s">
        <v>15324</v>
      </c>
      <c r="D11262" s="38" t="str">
        <f>IFERROR(__xludf.DUMMYFUNCTION("REGEXREPLACE(C11262,""-\d+(.*)|--\d+(.*)"","""")"),"GOURNAY-SUR-MARNE")</f>
        <v>GOURNAY-SUR-MARNE</v>
      </c>
      <c r="E11262" s="38" t="s">
        <v>341</v>
      </c>
      <c r="F11262" s="38" t="s">
        <v>245</v>
      </c>
      <c r="G11262" s="49" t="str">
        <f t="shared" si="1"/>
        <v>93460</v>
      </c>
      <c r="H11262" s="49">
        <f t="shared" si="2"/>
        <v>93033</v>
      </c>
    </row>
    <row r="11263">
      <c r="A11263" s="48" t="s">
        <v>6767</v>
      </c>
      <c r="B11263" s="38">
        <v>15235.0</v>
      </c>
      <c r="C11263" s="38" t="s">
        <v>15325</v>
      </c>
      <c r="D11263" s="38" t="str">
        <f>IFERROR(__xludf.DUMMYFUNCTION("REGEXREPLACE(C11263,""-\d+(.*)|--\d+(.*)"","""")"),"LES TERNES")</f>
        <v>LES TERNES</v>
      </c>
      <c r="E11263" s="38" t="s">
        <v>632</v>
      </c>
      <c r="F11263" s="38" t="s">
        <v>161</v>
      </c>
      <c r="G11263" s="49" t="str">
        <f t="shared" si="1"/>
        <v>15100</v>
      </c>
      <c r="H11263" s="49">
        <f t="shared" si="2"/>
        <v>15235</v>
      </c>
    </row>
    <row r="11264">
      <c r="A11264" s="48" t="s">
        <v>944</v>
      </c>
      <c r="B11264" s="38">
        <v>61467.0</v>
      </c>
      <c r="C11264" s="38" t="s">
        <v>15326</v>
      </c>
      <c r="D11264" s="38" t="str">
        <f>IFERROR(__xludf.DUMMYFUNCTION("REGEXREPLACE(C11264,""-\d+(.*)|--\d+(.*)"","""")"),"SEMALLE")</f>
        <v>SEMALLE</v>
      </c>
      <c r="E11264" s="38" t="s">
        <v>141</v>
      </c>
      <c r="F11264" s="38" t="s">
        <v>138</v>
      </c>
      <c r="G11264" s="49" t="str">
        <f t="shared" si="1"/>
        <v>61250</v>
      </c>
      <c r="H11264" s="49">
        <f t="shared" si="2"/>
        <v>61467</v>
      </c>
    </row>
    <row r="11265">
      <c r="A11265" s="48" t="s">
        <v>434</v>
      </c>
      <c r="B11265" s="38">
        <v>55077.0</v>
      </c>
      <c r="C11265" s="38" t="s">
        <v>15327</v>
      </c>
      <c r="D11265" s="38" t="str">
        <f>IFERROR(__xludf.DUMMYFUNCTION("REGEXREPLACE(C11265,""-\d+(.*)|--\d+(.*)"","""")"),"BREUX")</f>
        <v>BREUX</v>
      </c>
      <c r="E11265" s="38" t="s">
        <v>322</v>
      </c>
      <c r="F11265" s="38" t="s">
        <v>195</v>
      </c>
      <c r="G11265" s="49" t="str">
        <f t="shared" si="1"/>
        <v>55600</v>
      </c>
      <c r="H11265" s="49">
        <f t="shared" si="2"/>
        <v>55077</v>
      </c>
    </row>
    <row r="11266">
      <c r="A11266" s="48" t="s">
        <v>5125</v>
      </c>
      <c r="B11266" s="38">
        <v>49013.0</v>
      </c>
      <c r="C11266" s="38" t="s">
        <v>15328</v>
      </c>
      <c r="D11266" s="38" t="str">
        <f>IFERROR(__xludf.DUMMYFUNCTION("REGEXREPLACE(C11266,""-\d+(.*)|--\d+(.*)"","""")"),"AUVERSE")</f>
        <v>AUVERSE</v>
      </c>
      <c r="E11266" s="38" t="s">
        <v>653</v>
      </c>
      <c r="F11266" s="38" t="s">
        <v>180</v>
      </c>
      <c r="G11266" s="49" t="str">
        <f t="shared" si="1"/>
        <v>49490</v>
      </c>
      <c r="H11266" s="49">
        <f t="shared" si="2"/>
        <v>49013</v>
      </c>
    </row>
    <row r="11267">
      <c r="A11267" s="48" t="s">
        <v>15329</v>
      </c>
      <c r="B11267" s="38">
        <v>54290.0</v>
      </c>
      <c r="C11267" s="38" t="s">
        <v>15330</v>
      </c>
      <c r="D11267" s="38" t="str">
        <f>IFERROR(__xludf.DUMMYFUNCTION("REGEXREPLACE(C11267,""-\d+(.*)|--\d+(.*)"","""")"),"LAIX")</f>
        <v>LAIX</v>
      </c>
      <c r="E11267" s="38" t="s">
        <v>548</v>
      </c>
      <c r="F11267" s="38" t="s">
        <v>195</v>
      </c>
      <c r="G11267" s="49" t="str">
        <f t="shared" si="1"/>
        <v>54720</v>
      </c>
      <c r="H11267" s="49">
        <f t="shared" si="2"/>
        <v>54290</v>
      </c>
    </row>
    <row r="11268">
      <c r="A11268" s="48" t="s">
        <v>15331</v>
      </c>
      <c r="B11268" s="38">
        <v>42189.0</v>
      </c>
      <c r="C11268" s="38" t="s">
        <v>15332</v>
      </c>
      <c r="D11268" s="38" t="str">
        <f>IFERROR(__xludf.DUMMYFUNCTION("REGEXREPLACE(C11268,""-\d+(.*)|--\d+(.*)"","""")"),"ROCHE-LA-MOLIERE")</f>
        <v>ROCHE-LA-MOLIERE</v>
      </c>
      <c r="E11268" s="38" t="s">
        <v>166</v>
      </c>
      <c r="F11268" s="38" t="s">
        <v>102</v>
      </c>
      <c r="G11268" s="49" t="str">
        <f t="shared" si="1"/>
        <v>42230</v>
      </c>
      <c r="H11268" s="49">
        <f t="shared" si="2"/>
        <v>42189</v>
      </c>
    </row>
    <row r="11269">
      <c r="A11269" s="48" t="s">
        <v>2493</v>
      </c>
      <c r="B11269" s="38">
        <v>25267.0</v>
      </c>
      <c r="C11269" s="38" t="s">
        <v>15333</v>
      </c>
      <c r="D11269" s="38" t="str">
        <f>IFERROR(__xludf.DUMMYFUNCTION("REGEXREPLACE(C11269,""-\d+(.*)|--\d+(.*)"","""")"),"GENNES")</f>
        <v>GENNES</v>
      </c>
      <c r="E11269" s="38" t="s">
        <v>213</v>
      </c>
      <c r="F11269" s="38" t="s">
        <v>214</v>
      </c>
      <c r="G11269" s="49" t="str">
        <f t="shared" si="1"/>
        <v>25660</v>
      </c>
      <c r="H11269" s="49">
        <f t="shared" si="2"/>
        <v>25267</v>
      </c>
    </row>
    <row r="11270">
      <c r="A11270" s="48" t="s">
        <v>1180</v>
      </c>
      <c r="B11270" s="38">
        <v>60520.0</v>
      </c>
      <c r="C11270" s="38" t="s">
        <v>15334</v>
      </c>
      <c r="D11270" s="38" t="str">
        <f>IFERROR(__xludf.DUMMYFUNCTION("REGEXREPLACE(C11270,""-\d+(.*)|--\d+(.*)"","""")"),"LE QUESNEL-AUBRY")</f>
        <v>LE QUESNEL-AUBRY</v>
      </c>
      <c r="E11270" s="38" t="s">
        <v>112</v>
      </c>
      <c r="F11270" s="38" t="s">
        <v>113</v>
      </c>
      <c r="G11270" s="49" t="str">
        <f t="shared" si="1"/>
        <v>60480</v>
      </c>
      <c r="H11270" s="49">
        <f t="shared" si="2"/>
        <v>60520</v>
      </c>
    </row>
    <row r="11271">
      <c r="A11271" s="48" t="s">
        <v>6446</v>
      </c>
      <c r="B11271" s="38">
        <v>77358.0</v>
      </c>
      <c r="C11271" s="38" t="s">
        <v>15335</v>
      </c>
      <c r="D11271" s="38" t="str">
        <f>IFERROR(__xludf.DUMMYFUNCTION("REGEXREPLACE(C11271,""-\d+(.*)|--\d+(.*)"","""")"),"PENCHARD")</f>
        <v>PENCHARD</v>
      </c>
      <c r="E11271" s="38" t="s">
        <v>244</v>
      </c>
      <c r="F11271" s="38" t="s">
        <v>245</v>
      </c>
      <c r="G11271" s="49" t="str">
        <f t="shared" si="1"/>
        <v>77124</v>
      </c>
      <c r="H11271" s="49">
        <f t="shared" si="2"/>
        <v>77358</v>
      </c>
    </row>
    <row r="11272">
      <c r="A11272" s="48" t="s">
        <v>7986</v>
      </c>
      <c r="B11272" s="38">
        <v>69239.0</v>
      </c>
      <c r="C11272" s="38" t="s">
        <v>10240</v>
      </c>
      <c r="D11272" s="38" t="str">
        <f>IFERROR(__xludf.DUMMYFUNCTION("REGEXREPLACE(C11272,""-\d+(.*)|--\d+(.*)"","""")"),"SAINT-VERAND")</f>
        <v>SAINT-VERAND</v>
      </c>
      <c r="E11272" s="38" t="s">
        <v>350</v>
      </c>
      <c r="F11272" s="38" t="s">
        <v>102</v>
      </c>
      <c r="G11272" s="49" t="str">
        <f t="shared" si="1"/>
        <v>69620</v>
      </c>
      <c r="H11272" s="49">
        <f t="shared" si="2"/>
        <v>69239</v>
      </c>
    </row>
    <row r="11273">
      <c r="A11273" s="48" t="s">
        <v>9174</v>
      </c>
      <c r="B11273" s="38">
        <v>35100.0</v>
      </c>
      <c r="C11273" s="38" t="s">
        <v>15336</v>
      </c>
      <c r="D11273" s="38" t="str">
        <f>IFERROR(__xludf.DUMMYFUNCTION("REGEXREPLACE(C11273,""-\d+(.*)|--\d+(.*)"","""")"),"DOMPIERRE-DU-CHEMIN")</f>
        <v>DOMPIERRE-DU-CHEMIN</v>
      </c>
      <c r="E11273" s="38" t="s">
        <v>347</v>
      </c>
      <c r="F11273" s="38" t="s">
        <v>90</v>
      </c>
      <c r="G11273" s="49" t="str">
        <f t="shared" si="1"/>
        <v>35210</v>
      </c>
      <c r="H11273" s="49">
        <f t="shared" si="2"/>
        <v>35100</v>
      </c>
    </row>
    <row r="11274">
      <c r="A11274" s="48" t="s">
        <v>8757</v>
      </c>
      <c r="B11274" s="38">
        <v>84003.0</v>
      </c>
      <c r="C11274" s="38" t="s">
        <v>15337</v>
      </c>
      <c r="D11274" s="38" t="str">
        <f>IFERROR(__xludf.DUMMYFUNCTION("REGEXREPLACE(C11274,""-\d+(.*)|--\d+(.*)"","""")"),"APT")</f>
        <v>APT</v>
      </c>
      <c r="E11274" s="38" t="s">
        <v>1026</v>
      </c>
      <c r="F11274" s="38" t="s">
        <v>228</v>
      </c>
      <c r="G11274" s="49" t="str">
        <f t="shared" si="1"/>
        <v>84400</v>
      </c>
      <c r="H11274" s="49">
        <f t="shared" si="2"/>
        <v>84003</v>
      </c>
    </row>
    <row r="11275">
      <c r="A11275" s="48" t="s">
        <v>1940</v>
      </c>
      <c r="B11275" s="38">
        <v>51243.0</v>
      </c>
      <c r="C11275" s="38" t="s">
        <v>15338</v>
      </c>
      <c r="D11275" s="38" t="str">
        <f>IFERROR(__xludf.DUMMYFUNCTION("REGEXREPLACE(C11275,""-\d+(.*)|--\d+(.*)"","""")"),"FAUX-FRESNAY")</f>
        <v>FAUX-FRESNAY</v>
      </c>
      <c r="E11275" s="38" t="s">
        <v>129</v>
      </c>
      <c r="F11275" s="38" t="s">
        <v>130</v>
      </c>
      <c r="G11275" s="49" t="str">
        <f t="shared" si="1"/>
        <v>51230</v>
      </c>
      <c r="H11275" s="49">
        <f t="shared" si="2"/>
        <v>51243</v>
      </c>
    </row>
    <row r="11276">
      <c r="A11276" s="48" t="s">
        <v>2328</v>
      </c>
      <c r="B11276" s="38">
        <v>57090.0</v>
      </c>
      <c r="C11276" s="38" t="s">
        <v>15339</v>
      </c>
      <c r="D11276" s="38" t="str">
        <f>IFERROR(__xludf.DUMMYFUNCTION("REGEXREPLACE(C11276,""-\d+(.*)|--\d+(.*)"","""")"),"BLANCHE-EGLISE")</f>
        <v>BLANCHE-EGLISE</v>
      </c>
      <c r="E11276" s="38" t="s">
        <v>303</v>
      </c>
      <c r="F11276" s="38" t="s">
        <v>195</v>
      </c>
      <c r="G11276" s="49" t="str">
        <f t="shared" si="1"/>
        <v>57260</v>
      </c>
      <c r="H11276" s="49">
        <f t="shared" si="2"/>
        <v>57090</v>
      </c>
    </row>
    <row r="11277">
      <c r="A11277" s="48" t="s">
        <v>3467</v>
      </c>
      <c r="B11277" s="38">
        <v>72167.0</v>
      </c>
      <c r="C11277" s="38" t="s">
        <v>15340</v>
      </c>
      <c r="D11277" s="38" t="str">
        <f>IFERROR(__xludf.DUMMYFUNCTION("REGEXREPLACE(C11277,""-\d+(.*)|--\d+(.*)"","""")"),"LOUAILLES")</f>
        <v>LOUAILLES</v>
      </c>
      <c r="E11277" s="38" t="s">
        <v>521</v>
      </c>
      <c r="F11277" s="38" t="s">
        <v>180</v>
      </c>
      <c r="G11277" s="49" t="str">
        <f t="shared" si="1"/>
        <v>72300</v>
      </c>
      <c r="H11277" s="49">
        <f t="shared" si="2"/>
        <v>72167</v>
      </c>
    </row>
    <row r="11278">
      <c r="A11278" s="48" t="s">
        <v>15341</v>
      </c>
      <c r="B11278" s="38">
        <v>88447.0</v>
      </c>
      <c r="C11278" s="38" t="s">
        <v>15342</v>
      </c>
      <c r="D11278" s="38" t="str">
        <f>IFERROR(__xludf.DUMMYFUNCTION("REGEXREPLACE(C11278,""-\d+(.*)|--\d+(.*)"","""")"),"SAULXURES-SUR-MOSELOTTE")</f>
        <v>SAULXURES-SUR-MOSELOTTE</v>
      </c>
      <c r="E11278" s="38" t="s">
        <v>194</v>
      </c>
      <c r="F11278" s="38" t="s">
        <v>195</v>
      </c>
      <c r="G11278" s="49" t="str">
        <f t="shared" si="1"/>
        <v>88290</v>
      </c>
      <c r="H11278" s="49">
        <f t="shared" si="2"/>
        <v>88447</v>
      </c>
    </row>
    <row r="11279">
      <c r="A11279" s="48" t="s">
        <v>2095</v>
      </c>
      <c r="B11279" s="38">
        <v>72209.0</v>
      </c>
      <c r="C11279" s="38" t="s">
        <v>15343</v>
      </c>
      <c r="D11279" s="38" t="str">
        <f>IFERROR(__xludf.DUMMYFUNCTION("REGEXREPLACE(C11279,""-\d+(.*)|--\d+(.*)"","""")"),"MONTREUIL-LE-CHETIF")</f>
        <v>MONTREUIL-LE-CHETIF</v>
      </c>
      <c r="E11279" s="38" t="s">
        <v>521</v>
      </c>
      <c r="F11279" s="38" t="s">
        <v>180</v>
      </c>
      <c r="G11279" s="49" t="str">
        <f t="shared" si="1"/>
        <v>72130</v>
      </c>
      <c r="H11279" s="49">
        <f t="shared" si="2"/>
        <v>72209</v>
      </c>
    </row>
    <row r="11280">
      <c r="A11280" s="48" t="s">
        <v>3346</v>
      </c>
      <c r="B11280" s="38">
        <v>65314.0</v>
      </c>
      <c r="C11280" s="38" t="s">
        <v>15344</v>
      </c>
      <c r="D11280" s="38" t="str">
        <f>IFERROR(__xludf.DUMMYFUNCTION("REGEXREPLACE(C11280,""-\d+(.*)|--\d+(.*)"","""")"),"MONFAUCON")</f>
        <v>MONFAUCON</v>
      </c>
      <c r="E11280" s="38" t="s">
        <v>200</v>
      </c>
      <c r="F11280" s="38" t="s">
        <v>94</v>
      </c>
      <c r="G11280" s="49" t="str">
        <f t="shared" si="1"/>
        <v>65140</v>
      </c>
      <c r="H11280" s="49">
        <f t="shared" si="2"/>
        <v>65314</v>
      </c>
    </row>
    <row r="11281">
      <c r="A11281" s="48" t="s">
        <v>1644</v>
      </c>
      <c r="B11281" s="38">
        <v>21093.0</v>
      </c>
      <c r="C11281" s="38" t="s">
        <v>15345</v>
      </c>
      <c r="D11281" s="38" t="str">
        <f>IFERROR(__xludf.DUMMYFUNCTION("REGEXREPLACE(C11281,""-\d+(.*)|--\d+(.*)"","""")"),"BOUIX")</f>
        <v>BOUIX</v>
      </c>
      <c r="E11281" s="38" t="s">
        <v>105</v>
      </c>
      <c r="F11281" s="38" t="s">
        <v>106</v>
      </c>
      <c r="G11281" s="49" t="str">
        <f t="shared" si="1"/>
        <v>21330</v>
      </c>
      <c r="H11281" s="49">
        <f t="shared" si="2"/>
        <v>21093</v>
      </c>
    </row>
    <row r="11282">
      <c r="A11282" s="48" t="s">
        <v>3747</v>
      </c>
      <c r="B11282" s="38">
        <v>52013.0</v>
      </c>
      <c r="C11282" s="38" t="s">
        <v>15346</v>
      </c>
      <c r="D11282" s="38" t="str">
        <f>IFERROR(__xludf.DUMMYFUNCTION("REGEXREPLACE(C11282,""-\d+(.*)|--\d+(.*)"","""")"),"ANROSEY")</f>
        <v>ANROSEY</v>
      </c>
      <c r="E11282" s="38" t="s">
        <v>234</v>
      </c>
      <c r="F11282" s="38" t="s">
        <v>130</v>
      </c>
      <c r="G11282" s="49" t="str">
        <f t="shared" si="1"/>
        <v>52500</v>
      </c>
      <c r="H11282" s="49">
        <f t="shared" si="2"/>
        <v>52013</v>
      </c>
    </row>
    <row r="11283">
      <c r="A11283" s="48" t="s">
        <v>6058</v>
      </c>
      <c r="B11283" s="38">
        <v>30322.0</v>
      </c>
      <c r="C11283" s="38" t="s">
        <v>15347</v>
      </c>
      <c r="D11283" s="38" t="str">
        <f>IFERROR(__xludf.DUMMYFUNCTION("REGEXREPLACE(C11283,""-\d+(.*)|--\d+(.*)"","""")"),"SOUDORGUES")</f>
        <v>SOUDORGUES</v>
      </c>
      <c r="E11283" s="38" t="s">
        <v>526</v>
      </c>
      <c r="F11283" s="38" t="s">
        <v>119</v>
      </c>
      <c r="G11283" s="49" t="str">
        <f t="shared" si="1"/>
        <v>30460</v>
      </c>
      <c r="H11283" s="49">
        <f t="shared" si="2"/>
        <v>30322</v>
      </c>
    </row>
    <row r="11284">
      <c r="A11284" s="48" t="s">
        <v>6323</v>
      </c>
      <c r="B11284" s="38">
        <v>50388.0</v>
      </c>
      <c r="C11284" s="38" t="s">
        <v>13211</v>
      </c>
      <c r="D11284" s="38" t="str">
        <f>IFERROR(__xludf.DUMMYFUNCTION("REGEXREPLACE(C11284,""-\d+(.*)|--\d+(.*)"","""")"),"ORVAL")</f>
        <v>ORVAL</v>
      </c>
      <c r="E11284" s="38" t="s">
        <v>157</v>
      </c>
      <c r="F11284" s="38" t="s">
        <v>138</v>
      </c>
      <c r="G11284" s="49" t="str">
        <f t="shared" si="1"/>
        <v>50660</v>
      </c>
      <c r="H11284" s="49">
        <f t="shared" si="2"/>
        <v>50388</v>
      </c>
    </row>
    <row r="11285">
      <c r="A11285" s="48" t="s">
        <v>2792</v>
      </c>
      <c r="B11285" s="38">
        <v>58149.0</v>
      </c>
      <c r="C11285" s="38" t="s">
        <v>15348</v>
      </c>
      <c r="D11285" s="38" t="str">
        <f>IFERROR(__xludf.DUMMYFUNCTION("REGEXREPLACE(C11285,""-\d+(.*)|--\d+(.*)"","""")"),"LUZY")</f>
        <v>LUZY</v>
      </c>
      <c r="E11285" s="38" t="s">
        <v>219</v>
      </c>
      <c r="F11285" s="38" t="s">
        <v>106</v>
      </c>
      <c r="G11285" s="49" t="str">
        <f t="shared" si="1"/>
        <v>58170</v>
      </c>
      <c r="H11285" s="49">
        <f t="shared" si="2"/>
        <v>58149</v>
      </c>
    </row>
    <row r="11286">
      <c r="A11286" s="48" t="s">
        <v>10177</v>
      </c>
      <c r="B11286" s="38">
        <v>80787.0</v>
      </c>
      <c r="C11286" s="38" t="s">
        <v>15349</v>
      </c>
      <c r="D11286" s="38" t="str">
        <f>IFERROR(__xludf.DUMMYFUNCTION("REGEXREPLACE(C11286,""-\d+(.*)|--\d+(.*)"","""")"),"VERCOURT")</f>
        <v>VERCOURT</v>
      </c>
      <c r="E11286" s="38" t="s">
        <v>224</v>
      </c>
      <c r="F11286" s="38" t="s">
        <v>113</v>
      </c>
      <c r="G11286" s="49" t="str">
        <f t="shared" si="1"/>
        <v>80120</v>
      </c>
      <c r="H11286" s="49">
        <f t="shared" si="2"/>
        <v>80787</v>
      </c>
    </row>
    <row r="11287">
      <c r="A11287" s="48" t="s">
        <v>15350</v>
      </c>
      <c r="B11287" s="38">
        <v>49212.0</v>
      </c>
      <c r="C11287" s="38" t="s">
        <v>15351</v>
      </c>
      <c r="D11287" s="38" t="str">
        <f>IFERROR(__xludf.DUMMYFUNCTION("REGEXREPLACE(C11287,""-\d+(.*)|--\d+(.*)"","""")"),"MONTJEAN-SUR-LOIRE")</f>
        <v>MONTJEAN-SUR-LOIRE</v>
      </c>
      <c r="E11287" s="38" t="s">
        <v>653</v>
      </c>
      <c r="F11287" s="38" t="s">
        <v>180</v>
      </c>
      <c r="G11287" s="49" t="str">
        <f t="shared" si="1"/>
        <v>49310</v>
      </c>
      <c r="H11287" s="49">
        <f t="shared" si="2"/>
        <v>49212</v>
      </c>
    </row>
    <row r="11288">
      <c r="A11288" s="48" t="s">
        <v>3172</v>
      </c>
      <c r="B11288" s="38">
        <v>28353.0</v>
      </c>
      <c r="C11288" s="38" t="s">
        <v>15352</v>
      </c>
      <c r="D11288" s="38" t="str">
        <f>IFERROR(__xludf.DUMMYFUNCTION("REGEXREPLACE(C11288,""-\d+(.*)|--\d+(.*)"","""")"),"SAINT-MAUR-SUR-LE-LOIR")</f>
        <v>SAINT-MAUR-SUR-LE-LOIR</v>
      </c>
      <c r="E11288" s="38" t="s">
        <v>300</v>
      </c>
      <c r="F11288" s="38" t="s">
        <v>123</v>
      </c>
      <c r="G11288" s="49" t="str">
        <f t="shared" si="1"/>
        <v>28800</v>
      </c>
      <c r="H11288" s="49">
        <f t="shared" si="2"/>
        <v>28353</v>
      </c>
    </row>
    <row r="11289">
      <c r="A11289" s="48" t="s">
        <v>4428</v>
      </c>
      <c r="B11289" s="38">
        <v>72225.0</v>
      </c>
      <c r="C11289" s="38" t="s">
        <v>15353</v>
      </c>
      <c r="D11289" s="38" t="str">
        <f>IFERROR(__xludf.DUMMYFUNCTION("REGEXREPLACE(C11289,""-\d+(.*)|--\d+(.*)"","""")"),"OISSEAU-LE-PETIT")</f>
        <v>OISSEAU-LE-PETIT</v>
      </c>
      <c r="E11289" s="38" t="s">
        <v>521</v>
      </c>
      <c r="F11289" s="38" t="s">
        <v>180</v>
      </c>
      <c r="G11289" s="49" t="str">
        <f t="shared" si="1"/>
        <v>72610</v>
      </c>
      <c r="H11289" s="49">
        <f t="shared" si="2"/>
        <v>72225</v>
      </c>
    </row>
    <row r="11290">
      <c r="A11290" s="48" t="s">
        <v>7590</v>
      </c>
      <c r="B11290" s="38">
        <v>85116.0</v>
      </c>
      <c r="C11290" s="38" t="s">
        <v>15354</v>
      </c>
      <c r="D11290" s="38" t="str">
        <f>IFERROR(__xludf.DUMMYFUNCTION("REGEXREPLACE(C11290,""-\d+(.*)|--\d+(.*)"","""")"),"LA JONCHERE")</f>
        <v>LA JONCHERE</v>
      </c>
      <c r="E11290" s="38" t="s">
        <v>179</v>
      </c>
      <c r="F11290" s="38" t="s">
        <v>180</v>
      </c>
      <c r="G11290" s="49" t="str">
        <f t="shared" si="1"/>
        <v>85540</v>
      </c>
      <c r="H11290" s="49">
        <f t="shared" si="2"/>
        <v>85116</v>
      </c>
    </row>
    <row r="11291">
      <c r="A11291" s="48" t="s">
        <v>6651</v>
      </c>
      <c r="B11291" s="38">
        <v>31006.0</v>
      </c>
      <c r="C11291" s="38" t="s">
        <v>15355</v>
      </c>
      <c r="D11291" s="38" t="str">
        <f>IFERROR(__xludf.DUMMYFUNCTION("REGEXREPLACE(C11291,""-\d+(.*)|--\d+(.*)"","""")"),"ALBIAC")</f>
        <v>ALBIAC</v>
      </c>
      <c r="E11291" s="38" t="s">
        <v>93</v>
      </c>
      <c r="F11291" s="38" t="s">
        <v>94</v>
      </c>
      <c r="G11291" s="49" t="str">
        <f t="shared" si="1"/>
        <v>31460</v>
      </c>
      <c r="H11291" s="49">
        <f t="shared" si="2"/>
        <v>31006</v>
      </c>
    </row>
    <row r="11292">
      <c r="A11292" s="48" t="s">
        <v>4626</v>
      </c>
      <c r="B11292" s="38">
        <v>16190.0</v>
      </c>
      <c r="C11292" s="38" t="s">
        <v>15356</v>
      </c>
      <c r="D11292" s="38" t="str">
        <f>IFERROR(__xludf.DUMMYFUNCTION("REGEXREPLACE(C11292,""-\d+(.*)|--\d+(.*)"","""")"),"LONGRE")</f>
        <v>LONGRE</v>
      </c>
      <c r="E11292" s="38" t="s">
        <v>429</v>
      </c>
      <c r="F11292" s="38" t="s">
        <v>338</v>
      </c>
      <c r="G11292" s="49" t="str">
        <f t="shared" si="1"/>
        <v>16240</v>
      </c>
      <c r="H11292" s="49">
        <f t="shared" si="2"/>
        <v>16190</v>
      </c>
    </row>
    <row r="11293">
      <c r="A11293" s="48" t="s">
        <v>6261</v>
      </c>
      <c r="B11293" s="38">
        <v>76268.0</v>
      </c>
      <c r="C11293" s="38" t="s">
        <v>15357</v>
      </c>
      <c r="D11293" s="38" t="str">
        <f>IFERROR(__xludf.DUMMYFUNCTION("REGEXREPLACE(C11293,""-\d+(.*)|--\d+(.*)"","""")"),"FONGUEUSEMARE")</f>
        <v>FONGUEUSEMARE</v>
      </c>
      <c r="E11293" s="38" t="s">
        <v>133</v>
      </c>
      <c r="F11293" s="38" t="s">
        <v>134</v>
      </c>
      <c r="G11293" s="49" t="str">
        <f t="shared" si="1"/>
        <v>76280</v>
      </c>
      <c r="H11293" s="49">
        <f t="shared" si="2"/>
        <v>76268</v>
      </c>
    </row>
    <row r="11294">
      <c r="A11294" s="48" t="s">
        <v>15358</v>
      </c>
      <c r="B11294" s="38">
        <v>78006.0</v>
      </c>
      <c r="C11294" s="38" t="s">
        <v>15359</v>
      </c>
      <c r="D11294" s="38" t="str">
        <f>IFERROR(__xludf.DUMMYFUNCTION("REGEXREPLACE(C11294,""-\d+(.*)|--\d+(.*)"","""")"),"ADAINVILLE")</f>
        <v>ADAINVILLE</v>
      </c>
      <c r="E11294" s="38" t="s">
        <v>362</v>
      </c>
      <c r="F11294" s="38" t="s">
        <v>245</v>
      </c>
      <c r="G11294" s="49" t="str">
        <f t="shared" si="1"/>
        <v>78113</v>
      </c>
      <c r="H11294" s="49">
        <f t="shared" si="2"/>
        <v>78006</v>
      </c>
    </row>
    <row r="11295">
      <c r="A11295" s="48" t="s">
        <v>15360</v>
      </c>
      <c r="B11295" s="38">
        <v>25212.0</v>
      </c>
      <c r="C11295" s="38" t="s">
        <v>15361</v>
      </c>
      <c r="D11295" s="38" t="str">
        <f>IFERROR(__xludf.DUMMYFUNCTION("REGEXREPLACE(C11295,""-\d+(.*)|--\d+(.*)"","""")"),"ECOLE-VALENTIN")</f>
        <v>ECOLE-VALENTIN</v>
      </c>
      <c r="E11295" s="38" t="s">
        <v>213</v>
      </c>
      <c r="F11295" s="38" t="s">
        <v>214</v>
      </c>
      <c r="G11295" s="49" t="str">
        <f t="shared" si="1"/>
        <v>25480</v>
      </c>
      <c r="H11295" s="49">
        <f t="shared" si="2"/>
        <v>25212</v>
      </c>
    </row>
    <row r="11296">
      <c r="A11296" s="48" t="s">
        <v>12139</v>
      </c>
      <c r="B11296" s="38">
        <v>67315.0</v>
      </c>
      <c r="C11296" s="38" t="s">
        <v>15362</v>
      </c>
      <c r="D11296" s="38" t="str">
        <f>IFERROR(__xludf.DUMMYFUNCTION("REGEXREPLACE(C11296,""-\d+(.*)|--\d+(.*)"","""")"),"NEEWILLER-PRES-LAUTERBOURG")</f>
        <v>NEEWILLER-PRES-LAUTERBOURG</v>
      </c>
      <c r="E11296" s="38" t="s">
        <v>210</v>
      </c>
      <c r="F11296" s="38" t="s">
        <v>151</v>
      </c>
      <c r="G11296" s="49" t="str">
        <f t="shared" si="1"/>
        <v>67630</v>
      </c>
      <c r="H11296" s="49">
        <f t="shared" si="2"/>
        <v>67315</v>
      </c>
    </row>
    <row r="11297">
      <c r="A11297" s="48" t="s">
        <v>1661</v>
      </c>
      <c r="B11297" s="38">
        <v>36074.0</v>
      </c>
      <c r="C11297" s="38" t="s">
        <v>15363</v>
      </c>
      <c r="D11297" s="38" t="str">
        <f>IFERROR(__xludf.DUMMYFUNCTION("REGEXREPLACE(C11297,""-\d+(.*)|--\d+(.*)"","""")"),"FLERE-LA-RIVIERE")</f>
        <v>FLERE-LA-RIVIERE</v>
      </c>
      <c r="E11297" s="38" t="s">
        <v>258</v>
      </c>
      <c r="F11297" s="38" t="s">
        <v>123</v>
      </c>
      <c r="G11297" s="49" t="str">
        <f t="shared" si="1"/>
        <v>36700</v>
      </c>
      <c r="H11297" s="49">
        <f t="shared" si="2"/>
        <v>36074</v>
      </c>
    </row>
    <row r="11298">
      <c r="A11298" s="48" t="s">
        <v>2740</v>
      </c>
      <c r="B11298" s="38">
        <v>46333.0</v>
      </c>
      <c r="C11298" s="38" t="s">
        <v>15364</v>
      </c>
      <c r="D11298" s="38" t="str">
        <f>IFERROR(__xludf.DUMMYFUNCTION("REGEXREPLACE(C11298,""-\d+(.*)|--\d+(.*)"","""")"),"VIDAILLAC")</f>
        <v>VIDAILLAC</v>
      </c>
      <c r="E11298" s="38" t="s">
        <v>185</v>
      </c>
      <c r="F11298" s="38" t="s">
        <v>94</v>
      </c>
      <c r="G11298" s="49" t="str">
        <f t="shared" si="1"/>
        <v>46260</v>
      </c>
      <c r="H11298" s="49">
        <f t="shared" si="2"/>
        <v>46333</v>
      </c>
    </row>
    <row r="11299">
      <c r="A11299" s="48" t="s">
        <v>7129</v>
      </c>
      <c r="B11299" s="38">
        <v>15166.0</v>
      </c>
      <c r="C11299" s="38" t="s">
        <v>15365</v>
      </c>
      <c r="D11299" s="38" t="str">
        <f>IFERROR(__xludf.DUMMYFUNCTION("REGEXREPLACE(C11299,""-\d+(.*)|--\d+(.*)"","""")"),"ROUMEGOUX")</f>
        <v>ROUMEGOUX</v>
      </c>
      <c r="E11299" s="38" t="s">
        <v>632</v>
      </c>
      <c r="F11299" s="38" t="s">
        <v>161</v>
      </c>
      <c r="G11299" s="49" t="str">
        <f t="shared" si="1"/>
        <v>15290</v>
      </c>
      <c r="H11299" s="49">
        <f t="shared" si="2"/>
        <v>15166</v>
      </c>
    </row>
    <row r="11300">
      <c r="A11300" s="48" t="s">
        <v>1821</v>
      </c>
      <c r="B11300" s="38">
        <v>3220.0</v>
      </c>
      <c r="C11300" s="38" t="s">
        <v>15366</v>
      </c>
      <c r="D11300" s="38" t="str">
        <f>IFERROR(__xludf.DUMMYFUNCTION("REGEXREPLACE(C11300,""-\d+(.*)|--\d+(.*)"","""")"),"SAINT-BONNET-DE-ROCHEFORT")</f>
        <v>SAINT-BONNET-DE-ROCHEFORT</v>
      </c>
      <c r="E11300" s="38" t="s">
        <v>160</v>
      </c>
      <c r="F11300" s="38" t="s">
        <v>161</v>
      </c>
      <c r="G11300" s="49" t="str">
        <f t="shared" si="1"/>
        <v>03800</v>
      </c>
      <c r="H11300" s="49" t="str">
        <f t="shared" si="2"/>
        <v>03220</v>
      </c>
    </row>
    <row r="11301">
      <c r="A11301" s="48" t="s">
        <v>3618</v>
      </c>
      <c r="B11301" s="38">
        <v>31337.0</v>
      </c>
      <c r="C11301" s="38" t="s">
        <v>15367</v>
      </c>
      <c r="D11301" s="38" t="str">
        <f>IFERROR(__xludf.DUMMYFUNCTION("REGEXREPLACE(C11301,""-\d+(.*)|--\d+(.*)"","""")"),"MELLES")</f>
        <v>MELLES</v>
      </c>
      <c r="E11301" s="38" t="s">
        <v>93</v>
      </c>
      <c r="F11301" s="38" t="s">
        <v>94</v>
      </c>
      <c r="G11301" s="49" t="str">
        <f t="shared" si="1"/>
        <v>31440</v>
      </c>
      <c r="H11301" s="49">
        <f t="shared" si="2"/>
        <v>31337</v>
      </c>
    </row>
    <row r="11302">
      <c r="A11302" s="48" t="s">
        <v>127</v>
      </c>
      <c r="B11302" s="38">
        <v>51047.0</v>
      </c>
      <c r="C11302" s="38" t="s">
        <v>15368</v>
      </c>
      <c r="D11302" s="38" t="str">
        <f>IFERROR(__xludf.DUMMYFUNCTION("REGEXREPLACE(C11302,""-\d+(.*)|--\d+(.*)"","""")"),"BELVAL-EN-ARGONNE")</f>
        <v>BELVAL-EN-ARGONNE</v>
      </c>
      <c r="E11302" s="38" t="s">
        <v>129</v>
      </c>
      <c r="F11302" s="38" t="s">
        <v>130</v>
      </c>
      <c r="G11302" s="49" t="str">
        <f t="shared" si="1"/>
        <v>51330</v>
      </c>
      <c r="H11302" s="49">
        <f t="shared" si="2"/>
        <v>51047</v>
      </c>
    </row>
    <row r="11303">
      <c r="A11303" s="48" t="s">
        <v>5334</v>
      </c>
      <c r="B11303" s="38" t="s">
        <v>15369</v>
      </c>
      <c r="C11303" s="38" t="s">
        <v>15370</v>
      </c>
      <c r="D11303" s="38" t="str">
        <f>IFERROR(__xludf.DUMMYFUNCTION("REGEXREPLACE(C11303,""-\d+(.*)|--\d+(.*)"","""")"),"PRATO-DI-GIOVELLINA")</f>
        <v>PRATO-DI-GIOVELLINA</v>
      </c>
      <c r="E11303" s="38" t="s">
        <v>743</v>
      </c>
      <c r="F11303" s="38" t="s">
        <v>607</v>
      </c>
      <c r="G11303" s="49" t="str">
        <f t="shared" si="1"/>
        <v>20218</v>
      </c>
      <c r="H11303" s="49" t="str">
        <f t="shared" si="2"/>
        <v>2B248</v>
      </c>
    </row>
    <row r="11304">
      <c r="A11304" s="48" t="s">
        <v>6055</v>
      </c>
      <c r="B11304" s="38">
        <v>25343.0</v>
      </c>
      <c r="C11304" s="38" t="s">
        <v>15371</v>
      </c>
      <c r="D11304" s="38" t="str">
        <f>IFERROR(__xludf.DUMMYFUNCTION("REGEXREPLACE(C11304,""-\d+(.*)|--\d+(.*)"","""")"),"LONGEMAISON")</f>
        <v>LONGEMAISON</v>
      </c>
      <c r="E11304" s="38" t="s">
        <v>213</v>
      </c>
      <c r="F11304" s="38" t="s">
        <v>214</v>
      </c>
      <c r="G11304" s="49" t="str">
        <f t="shared" si="1"/>
        <v>25690</v>
      </c>
      <c r="H11304" s="49">
        <f t="shared" si="2"/>
        <v>25343</v>
      </c>
    </row>
    <row r="11305">
      <c r="A11305" s="48" t="s">
        <v>10052</v>
      </c>
      <c r="B11305" s="38">
        <v>39585.0</v>
      </c>
      <c r="C11305" s="38" t="s">
        <v>15372</v>
      </c>
      <c r="D11305" s="38" t="str">
        <f>IFERROR(__xludf.DUMMYFUNCTION("REGEXREPLACE(C11305,""-\d+(.*)|--\d+(.*)"","""")"),"VULVOZ")</f>
        <v>VULVOZ</v>
      </c>
      <c r="E11305" s="38" t="s">
        <v>400</v>
      </c>
      <c r="F11305" s="38" t="s">
        <v>214</v>
      </c>
      <c r="G11305" s="49" t="str">
        <f t="shared" si="1"/>
        <v>39360</v>
      </c>
      <c r="H11305" s="49">
        <f t="shared" si="2"/>
        <v>39585</v>
      </c>
    </row>
    <row r="11306">
      <c r="A11306" s="48" t="s">
        <v>8365</v>
      </c>
      <c r="B11306" s="38">
        <v>39502.0</v>
      </c>
      <c r="C11306" s="38" t="s">
        <v>15373</v>
      </c>
      <c r="D11306" s="38" t="str">
        <f>IFERROR(__xludf.DUMMYFUNCTION("REGEXREPLACE(C11306,""-\d+(.*)|--\d+(.*)"","""")"),"SANTANS")</f>
        <v>SANTANS</v>
      </c>
      <c r="E11306" s="38" t="s">
        <v>400</v>
      </c>
      <c r="F11306" s="38" t="s">
        <v>214</v>
      </c>
      <c r="G11306" s="49" t="str">
        <f t="shared" si="1"/>
        <v>39380</v>
      </c>
      <c r="H11306" s="49">
        <f t="shared" si="2"/>
        <v>39502</v>
      </c>
    </row>
    <row r="11307">
      <c r="A11307" s="48" t="s">
        <v>13106</v>
      </c>
      <c r="B11307" s="38">
        <v>88511.0</v>
      </c>
      <c r="C11307" s="38" t="s">
        <v>15374</v>
      </c>
      <c r="D11307" s="38" t="str">
        <f>IFERROR(__xludf.DUMMYFUNCTION("REGEXREPLACE(C11307,""-\d+(.*)|--\d+(.*)"","""")"),"VILLOUXEL")</f>
        <v>VILLOUXEL</v>
      </c>
      <c r="E11307" s="38" t="s">
        <v>194</v>
      </c>
      <c r="F11307" s="38" t="s">
        <v>195</v>
      </c>
      <c r="G11307" s="49" t="str">
        <f t="shared" si="1"/>
        <v>88350</v>
      </c>
      <c r="H11307" s="49">
        <f t="shared" si="2"/>
        <v>88511</v>
      </c>
    </row>
    <row r="11308">
      <c r="A11308" s="48" t="s">
        <v>15375</v>
      </c>
      <c r="B11308" s="38">
        <v>83126.0</v>
      </c>
      <c r="C11308" s="38" t="s">
        <v>15376</v>
      </c>
      <c r="D11308" s="38" t="str">
        <f>IFERROR(__xludf.DUMMYFUNCTION("REGEXREPLACE(C11308,""-\d+(.*)|--\d+(.*)"","""")"),"LA SEYNE-SUR-MER")</f>
        <v>LA SEYNE-SUR-MER</v>
      </c>
      <c r="E11308" s="38" t="s">
        <v>813</v>
      </c>
      <c r="F11308" s="38" t="s">
        <v>228</v>
      </c>
      <c r="G11308" s="49" t="str">
        <f t="shared" si="1"/>
        <v>83500</v>
      </c>
      <c r="H11308" s="49">
        <f t="shared" si="2"/>
        <v>83126</v>
      </c>
    </row>
    <row r="11309">
      <c r="A11309" s="48" t="s">
        <v>1288</v>
      </c>
      <c r="B11309" s="38">
        <v>64556.0</v>
      </c>
      <c r="C11309" s="38" t="s">
        <v>15377</v>
      </c>
      <c r="D11309" s="38" t="str">
        <f>IFERROR(__xludf.DUMMYFUNCTION("REGEXREPLACE(C11309,""-\d+(.*)|--\d+(.*)"","""")"),"VIELLESEGURE")</f>
        <v>VIELLESEGURE</v>
      </c>
      <c r="E11309" s="38" t="s">
        <v>268</v>
      </c>
      <c r="F11309" s="38" t="s">
        <v>252</v>
      </c>
      <c r="G11309" s="49" t="str">
        <f t="shared" si="1"/>
        <v>64150</v>
      </c>
      <c r="H11309" s="49">
        <f t="shared" si="2"/>
        <v>64556</v>
      </c>
    </row>
    <row r="11310">
      <c r="A11310" s="48" t="s">
        <v>663</v>
      </c>
      <c r="B11310" s="38">
        <v>86063.0</v>
      </c>
      <c r="C11310" s="38" t="s">
        <v>15378</v>
      </c>
      <c r="D11310" s="38" t="str">
        <f>IFERROR(__xludf.DUMMYFUNCTION("REGEXREPLACE(C11310,""-\d+(.*)|--\d+(.*)"","""")"),"CHATAIN")</f>
        <v>CHATAIN</v>
      </c>
      <c r="E11310" s="38" t="s">
        <v>529</v>
      </c>
      <c r="F11310" s="38" t="s">
        <v>338</v>
      </c>
      <c r="G11310" s="49" t="str">
        <f t="shared" si="1"/>
        <v>86250</v>
      </c>
      <c r="H11310" s="49">
        <f t="shared" si="2"/>
        <v>86063</v>
      </c>
    </row>
    <row r="11311">
      <c r="A11311" s="48" t="s">
        <v>6266</v>
      </c>
      <c r="B11311" s="38">
        <v>76436.0</v>
      </c>
      <c r="C11311" s="38" t="s">
        <v>15379</v>
      </c>
      <c r="D11311" s="38" t="str">
        <f>IFERROR(__xludf.DUMMYFUNCTION("REGEXREPLACE(C11311,""-\d+(.*)|--\d+(.*)"","""")"),"LE MESNIL-SOUS-JUMIEGES")</f>
        <v>LE MESNIL-SOUS-JUMIEGES</v>
      </c>
      <c r="E11311" s="38" t="s">
        <v>133</v>
      </c>
      <c r="F11311" s="38" t="s">
        <v>134</v>
      </c>
      <c r="G11311" s="49" t="str">
        <f t="shared" si="1"/>
        <v>76480</v>
      </c>
      <c r="H11311" s="49">
        <f t="shared" si="2"/>
        <v>76436</v>
      </c>
    </row>
    <row r="11312">
      <c r="A11312" s="48" t="s">
        <v>7549</v>
      </c>
      <c r="B11312" s="38">
        <v>50536.0</v>
      </c>
      <c r="C11312" s="38" t="s">
        <v>15380</v>
      </c>
      <c r="D11312" s="38" t="str">
        <f>IFERROR(__xludf.DUMMYFUNCTION("REGEXREPLACE(C11312,""-\d+(.*)|--\d+(.*)"","""")"),"SAINT-PIERRE-D'ARTHEGLISE")</f>
        <v>SAINT-PIERRE-D'ARTHEGLISE</v>
      </c>
      <c r="E11312" s="38" t="s">
        <v>157</v>
      </c>
      <c r="F11312" s="38" t="s">
        <v>138</v>
      </c>
      <c r="G11312" s="49" t="str">
        <f t="shared" si="1"/>
        <v>50270</v>
      </c>
      <c r="H11312" s="49">
        <f t="shared" si="2"/>
        <v>50536</v>
      </c>
    </row>
    <row r="11313">
      <c r="A11313" s="48" t="s">
        <v>11131</v>
      </c>
      <c r="B11313" s="38">
        <v>53061.0</v>
      </c>
      <c r="C11313" s="38" t="s">
        <v>15381</v>
      </c>
      <c r="D11313" s="38" t="str">
        <f>IFERROR(__xludf.DUMMYFUNCTION("REGEXREPLACE(C11313,""-\d+(.*)|--\d+(.*)"","""")"),"CHARCHIGNE")</f>
        <v>CHARCHIGNE</v>
      </c>
      <c r="E11313" s="38" t="s">
        <v>518</v>
      </c>
      <c r="F11313" s="38" t="s">
        <v>180</v>
      </c>
      <c r="G11313" s="49" t="str">
        <f t="shared" si="1"/>
        <v>53250</v>
      </c>
      <c r="H11313" s="49">
        <f t="shared" si="2"/>
        <v>53061</v>
      </c>
    </row>
    <row r="11314">
      <c r="A11314" s="48" t="s">
        <v>12560</v>
      </c>
      <c r="B11314" s="38">
        <v>46225.0</v>
      </c>
      <c r="C11314" s="38" t="s">
        <v>15382</v>
      </c>
      <c r="D11314" s="38" t="str">
        <f>IFERROR(__xludf.DUMMYFUNCTION("REGEXREPLACE(C11314,""-\d+(.*)|--\d+(.*)"","""")"),"PRAYSSAC")</f>
        <v>PRAYSSAC</v>
      </c>
      <c r="E11314" s="38" t="s">
        <v>185</v>
      </c>
      <c r="F11314" s="38" t="s">
        <v>94</v>
      </c>
      <c r="G11314" s="49" t="str">
        <f t="shared" si="1"/>
        <v>46220</v>
      </c>
      <c r="H11314" s="49">
        <f t="shared" si="2"/>
        <v>46225</v>
      </c>
    </row>
    <row r="11315">
      <c r="A11315" s="48" t="s">
        <v>15383</v>
      </c>
      <c r="B11315" s="38">
        <v>53245.0</v>
      </c>
      <c r="C11315" s="38" t="s">
        <v>15384</v>
      </c>
      <c r="D11315" s="38" t="str">
        <f>IFERROR(__xludf.DUMMYFUNCTION("REGEXREPLACE(C11315,""-\d+(.*)|--\d+(.*)"","""")"),"SAINT-PIERRE-DES-LANDES")</f>
        <v>SAINT-PIERRE-DES-LANDES</v>
      </c>
      <c r="E11315" s="38" t="s">
        <v>518</v>
      </c>
      <c r="F11315" s="38" t="s">
        <v>180</v>
      </c>
      <c r="G11315" s="49" t="str">
        <f t="shared" si="1"/>
        <v>53500</v>
      </c>
      <c r="H11315" s="49">
        <f t="shared" si="2"/>
        <v>53245</v>
      </c>
    </row>
    <row r="11316">
      <c r="A11316" s="48" t="s">
        <v>732</v>
      </c>
      <c r="B11316" s="38">
        <v>10195.0</v>
      </c>
      <c r="C11316" s="38" t="s">
        <v>15385</v>
      </c>
      <c r="D11316" s="38" t="str">
        <f>IFERROR(__xludf.DUMMYFUNCTION("REGEXREPLACE(C11316,""-\d+(.*)|--\d+(.*)"","""")"),"LHUITRE")</f>
        <v>LHUITRE</v>
      </c>
      <c r="E11316" s="38" t="s">
        <v>147</v>
      </c>
      <c r="F11316" s="38" t="s">
        <v>130</v>
      </c>
      <c r="G11316" s="49" t="str">
        <f t="shared" si="1"/>
        <v>10700</v>
      </c>
      <c r="H11316" s="49">
        <f t="shared" si="2"/>
        <v>10195</v>
      </c>
    </row>
    <row r="11317">
      <c r="A11317" s="48" t="s">
        <v>3264</v>
      </c>
      <c r="B11317" s="38">
        <v>69124.0</v>
      </c>
      <c r="C11317" s="38" t="s">
        <v>15386</v>
      </c>
      <c r="D11317" s="38" t="str">
        <f>IFERROR(__xludf.DUMMYFUNCTION("REGEXREPLACE(C11317,""-\d+(.*)|--\d+(.*)"","""")"),"MARCHAMPT")</f>
        <v>MARCHAMPT</v>
      </c>
      <c r="E11317" s="38" t="s">
        <v>350</v>
      </c>
      <c r="F11317" s="38" t="s">
        <v>102</v>
      </c>
      <c r="G11317" s="49" t="str">
        <f t="shared" si="1"/>
        <v>69430</v>
      </c>
      <c r="H11317" s="49">
        <f t="shared" si="2"/>
        <v>69124</v>
      </c>
    </row>
    <row r="11318">
      <c r="A11318" s="48" t="s">
        <v>1473</v>
      </c>
      <c r="B11318" s="38">
        <v>50130.0</v>
      </c>
      <c r="C11318" s="38" t="s">
        <v>15387</v>
      </c>
      <c r="D11318" s="38" t="str">
        <f>IFERROR(__xludf.DUMMYFUNCTION("REGEXREPLACE(C11318,""-\d+(.*)|--\d+(.*)"","""")"),"CHERENCE-LE-HERON")</f>
        <v>CHERENCE-LE-HERON</v>
      </c>
      <c r="E11318" s="38" t="s">
        <v>157</v>
      </c>
      <c r="F11318" s="38" t="s">
        <v>138</v>
      </c>
      <c r="G11318" s="49" t="str">
        <f t="shared" si="1"/>
        <v>50800</v>
      </c>
      <c r="H11318" s="49">
        <f t="shared" si="2"/>
        <v>50130</v>
      </c>
    </row>
    <row r="11319">
      <c r="A11319" s="48" t="s">
        <v>5243</v>
      </c>
      <c r="B11319" s="38">
        <v>18210.0</v>
      </c>
      <c r="C11319" s="38" t="s">
        <v>15388</v>
      </c>
      <c r="D11319" s="38" t="str">
        <f>IFERROR(__xludf.DUMMYFUNCTION("REGEXREPLACE(C11319,""-\d+(.*)|--\d+(.*)"","""")"),"SAINT-GEORGES-SUR-LA-PREE")</f>
        <v>SAINT-GEORGES-SUR-LA-PREE</v>
      </c>
      <c r="E11319" s="38" t="s">
        <v>504</v>
      </c>
      <c r="F11319" s="38" t="s">
        <v>123</v>
      </c>
      <c r="G11319" s="49" t="str">
        <f t="shared" si="1"/>
        <v>18100</v>
      </c>
      <c r="H11319" s="49">
        <f t="shared" si="2"/>
        <v>18210</v>
      </c>
    </row>
    <row r="11320">
      <c r="A11320" s="48" t="s">
        <v>5239</v>
      </c>
      <c r="B11320" s="38">
        <v>65294.0</v>
      </c>
      <c r="C11320" s="38" t="s">
        <v>15389</v>
      </c>
      <c r="D11320" s="38" t="str">
        <f>IFERROR(__xludf.DUMMYFUNCTION("REGEXREPLACE(C11320,""-\d+(.*)|--\d+(.*)"","""")"),"LUTILHOUS")</f>
        <v>LUTILHOUS</v>
      </c>
      <c r="E11320" s="38" t="s">
        <v>200</v>
      </c>
      <c r="F11320" s="38" t="s">
        <v>94</v>
      </c>
      <c r="G11320" s="49" t="str">
        <f t="shared" si="1"/>
        <v>65300</v>
      </c>
      <c r="H11320" s="49">
        <f t="shared" si="2"/>
        <v>65294</v>
      </c>
    </row>
    <row r="11321">
      <c r="A11321" s="48" t="s">
        <v>4406</v>
      </c>
      <c r="B11321" s="38">
        <v>76727.0</v>
      </c>
      <c r="C11321" s="38" t="s">
        <v>15390</v>
      </c>
      <c r="D11321" s="38" t="str">
        <f>IFERROR(__xludf.DUMMYFUNCTION("REGEXREPLACE(C11321,""-\d+(.*)|--\d+(.*)"","""")"),"VATTEVILLE-LA-RUE")</f>
        <v>VATTEVILLE-LA-RUE</v>
      </c>
      <c r="E11321" s="38" t="s">
        <v>133</v>
      </c>
      <c r="F11321" s="38" t="s">
        <v>134</v>
      </c>
      <c r="G11321" s="49" t="str">
        <f t="shared" si="1"/>
        <v>76940</v>
      </c>
      <c r="H11321" s="49">
        <f t="shared" si="2"/>
        <v>76727</v>
      </c>
    </row>
    <row r="11322">
      <c r="A11322" s="48" t="s">
        <v>658</v>
      </c>
      <c r="B11322" s="38">
        <v>62789.0</v>
      </c>
      <c r="C11322" s="38" t="s">
        <v>15391</v>
      </c>
      <c r="D11322" s="38" t="str">
        <f>IFERROR(__xludf.DUMMYFUNCTION("REGEXREPLACE(C11322,""-\d+(.*)|--\d+(.*)"","""")"),"SENLECQUES")</f>
        <v>SENLECQUES</v>
      </c>
      <c r="E11322" s="38" t="s">
        <v>109</v>
      </c>
      <c r="F11322" s="38" t="s">
        <v>86</v>
      </c>
      <c r="G11322" s="49" t="str">
        <f t="shared" si="1"/>
        <v>62240</v>
      </c>
      <c r="H11322" s="49">
        <f t="shared" si="2"/>
        <v>62789</v>
      </c>
    </row>
    <row r="11323">
      <c r="A11323" s="48" t="s">
        <v>5545</v>
      </c>
      <c r="B11323" s="38">
        <v>22286.0</v>
      </c>
      <c r="C11323" s="38" t="s">
        <v>15392</v>
      </c>
      <c r="D11323" s="38" t="str">
        <f>IFERROR(__xludf.DUMMYFUNCTION("REGEXREPLACE(C11323,""-\d+(.*)|--\d+(.*)"","""")"),"SAINT-DENOUAL")</f>
        <v>SAINT-DENOUAL</v>
      </c>
      <c r="E11323" s="38" t="s">
        <v>89</v>
      </c>
      <c r="F11323" s="38" t="s">
        <v>90</v>
      </c>
      <c r="G11323" s="49" t="str">
        <f t="shared" si="1"/>
        <v>22400</v>
      </c>
      <c r="H11323" s="49">
        <f t="shared" si="2"/>
        <v>22286</v>
      </c>
    </row>
    <row r="11324">
      <c r="A11324" s="48" t="s">
        <v>1861</v>
      </c>
      <c r="B11324" s="38">
        <v>46197.0</v>
      </c>
      <c r="C11324" s="38" t="s">
        <v>15393</v>
      </c>
      <c r="D11324" s="38" t="str">
        <f>IFERROR(__xludf.DUMMYFUNCTION("REGEXREPLACE(C11324,""-\d+(.*)|--\d+(.*)"","""")"),"LE MONTAT")</f>
        <v>LE MONTAT</v>
      </c>
      <c r="E11324" s="38" t="s">
        <v>185</v>
      </c>
      <c r="F11324" s="38" t="s">
        <v>94</v>
      </c>
      <c r="G11324" s="49" t="str">
        <f t="shared" si="1"/>
        <v>46090</v>
      </c>
      <c r="H11324" s="49">
        <f t="shared" si="2"/>
        <v>46197</v>
      </c>
    </row>
    <row r="11325">
      <c r="A11325" s="48" t="s">
        <v>3675</v>
      </c>
      <c r="B11325" s="38">
        <v>58150.0</v>
      </c>
      <c r="C11325" s="38" t="s">
        <v>14343</v>
      </c>
      <c r="D11325" s="38" t="str">
        <f>IFERROR(__xludf.DUMMYFUNCTION("REGEXREPLACE(C11325,""-\d+(.*)|--\d+(.*)"","""")"),"LYS")</f>
        <v>LYS</v>
      </c>
      <c r="E11325" s="38" t="s">
        <v>219</v>
      </c>
      <c r="F11325" s="38" t="s">
        <v>106</v>
      </c>
      <c r="G11325" s="49" t="str">
        <f t="shared" si="1"/>
        <v>58190</v>
      </c>
      <c r="H11325" s="49">
        <f t="shared" si="2"/>
        <v>58150</v>
      </c>
    </row>
    <row r="11326">
      <c r="A11326" s="48" t="s">
        <v>9405</v>
      </c>
      <c r="B11326" s="38">
        <v>15067.0</v>
      </c>
      <c r="C11326" s="38" t="s">
        <v>15394</v>
      </c>
      <c r="D11326" s="38" t="str">
        <f>IFERROR(__xludf.DUMMYFUNCTION("REGEXREPLACE(C11326,""-\d+(.*)|--\d+(.*)"","""")"),"LE FAU")</f>
        <v>LE FAU</v>
      </c>
      <c r="E11326" s="38" t="s">
        <v>632</v>
      </c>
      <c r="F11326" s="38" t="s">
        <v>161</v>
      </c>
      <c r="G11326" s="49" t="str">
        <f t="shared" si="1"/>
        <v>15140</v>
      </c>
      <c r="H11326" s="49">
        <f t="shared" si="2"/>
        <v>15067</v>
      </c>
    </row>
    <row r="11327">
      <c r="A11327" s="48" t="s">
        <v>15395</v>
      </c>
      <c r="B11327" s="38">
        <v>54525.0</v>
      </c>
      <c r="C11327" s="38" t="s">
        <v>15396</v>
      </c>
      <c r="D11327" s="38" t="str">
        <f>IFERROR(__xludf.DUMMYFUNCTION("REGEXREPLACE(C11327,""-\d+(.*)|--\d+(.*)"","""")"),"TIERCELET")</f>
        <v>TIERCELET</v>
      </c>
      <c r="E11327" s="38" t="s">
        <v>548</v>
      </c>
      <c r="F11327" s="38" t="s">
        <v>195</v>
      </c>
      <c r="G11327" s="49" t="str">
        <f t="shared" si="1"/>
        <v>54190</v>
      </c>
      <c r="H11327" s="49">
        <f t="shared" si="2"/>
        <v>54525</v>
      </c>
    </row>
    <row r="11328">
      <c r="A11328" s="48" t="s">
        <v>1883</v>
      </c>
      <c r="B11328" s="38">
        <v>39465.0</v>
      </c>
      <c r="C11328" s="38" t="s">
        <v>15397</v>
      </c>
      <c r="D11328" s="38" t="str">
        <f>IFERROR(__xludf.DUMMYFUNCTION("REGEXREPLACE(C11328,""-\d+(.*)|--\d+(.*)"","""")"),"ROMANGE")</f>
        <v>ROMANGE</v>
      </c>
      <c r="E11328" s="38" t="s">
        <v>400</v>
      </c>
      <c r="F11328" s="38" t="s">
        <v>214</v>
      </c>
      <c r="G11328" s="49" t="str">
        <f t="shared" si="1"/>
        <v>39700</v>
      </c>
      <c r="H11328" s="49">
        <f t="shared" si="2"/>
        <v>39465</v>
      </c>
    </row>
    <row r="11329">
      <c r="A11329" s="48" t="s">
        <v>12009</v>
      </c>
      <c r="B11329" s="38">
        <v>71528.0</v>
      </c>
      <c r="C11329" s="38" t="s">
        <v>15398</v>
      </c>
      <c r="D11329" s="38" t="str">
        <f>IFERROR(__xludf.DUMMYFUNCTION("REGEXREPLACE(C11329,""-\d+(.*)|--\d+(.*)"","""")"),"SORNAY")</f>
        <v>SORNAY</v>
      </c>
      <c r="E11329" s="38" t="s">
        <v>344</v>
      </c>
      <c r="F11329" s="38" t="s">
        <v>106</v>
      </c>
      <c r="G11329" s="49" t="str">
        <f t="shared" si="1"/>
        <v>71500</v>
      </c>
      <c r="H11329" s="49">
        <f t="shared" si="2"/>
        <v>71528</v>
      </c>
    </row>
    <row r="11330">
      <c r="A11330" s="48" t="s">
        <v>8632</v>
      </c>
      <c r="B11330" s="38">
        <v>50160.0</v>
      </c>
      <c r="C11330" s="38" t="s">
        <v>15399</v>
      </c>
      <c r="D11330" s="38" t="str">
        <f>IFERROR(__xludf.DUMMYFUNCTION("REGEXREPLACE(C11330,""-\d+(.*)|--\d+(.*)"","""")"),"DENNEVILLE")</f>
        <v>DENNEVILLE</v>
      </c>
      <c r="E11330" s="38" t="s">
        <v>157</v>
      </c>
      <c r="F11330" s="38" t="s">
        <v>138</v>
      </c>
      <c r="G11330" s="49" t="str">
        <f t="shared" si="1"/>
        <v>50580</v>
      </c>
      <c r="H11330" s="49">
        <f t="shared" si="2"/>
        <v>50160</v>
      </c>
    </row>
    <row r="11331">
      <c r="A11331" s="48" t="s">
        <v>3783</v>
      </c>
      <c r="B11331" s="38">
        <v>62346.0</v>
      </c>
      <c r="C11331" s="38" t="s">
        <v>15400</v>
      </c>
      <c r="D11331" s="38" t="str">
        <f>IFERROR(__xludf.DUMMYFUNCTION("REGEXREPLACE(C11331,""-\d+(.*)|--\d+(.*)"","""")"),"FORTEL-EN-ARTOIS")</f>
        <v>FORTEL-EN-ARTOIS</v>
      </c>
      <c r="E11331" s="38" t="s">
        <v>109</v>
      </c>
      <c r="F11331" s="38" t="s">
        <v>86</v>
      </c>
      <c r="G11331" s="49" t="str">
        <f t="shared" si="1"/>
        <v>62270</v>
      </c>
      <c r="H11331" s="49">
        <f t="shared" si="2"/>
        <v>62346</v>
      </c>
    </row>
    <row r="11332">
      <c r="A11332" s="48" t="s">
        <v>13255</v>
      </c>
      <c r="B11332" s="38">
        <v>35258.0</v>
      </c>
      <c r="C11332" s="38" t="s">
        <v>15401</v>
      </c>
      <c r="D11332" s="38" t="str">
        <f>IFERROR(__xludf.DUMMYFUNCTION("REGEXREPLACE(C11332,""-\d+(.*)|--\d+(.*)"","""")"),"SAINT-BRIEUC-DES-IFFS")</f>
        <v>SAINT-BRIEUC-DES-IFFS</v>
      </c>
      <c r="E11332" s="38" t="s">
        <v>347</v>
      </c>
      <c r="F11332" s="38" t="s">
        <v>90</v>
      </c>
      <c r="G11332" s="49" t="str">
        <f t="shared" si="1"/>
        <v>35630</v>
      </c>
      <c r="H11332" s="49">
        <f t="shared" si="2"/>
        <v>35258</v>
      </c>
    </row>
    <row r="11333">
      <c r="A11333" s="48" t="s">
        <v>3725</v>
      </c>
      <c r="B11333" s="38">
        <v>50295.0</v>
      </c>
      <c r="C11333" s="38" t="s">
        <v>15402</v>
      </c>
      <c r="D11333" s="38" t="str">
        <f>IFERROR(__xludf.DUMMYFUNCTION("REGEXREPLACE(C11333,""-\d+(.*)|--\d+(.*)"","""")"),"MAUPERTUIS")</f>
        <v>MAUPERTUIS</v>
      </c>
      <c r="E11333" s="38" t="s">
        <v>157</v>
      </c>
      <c r="F11333" s="38" t="s">
        <v>138</v>
      </c>
      <c r="G11333" s="49" t="str">
        <f t="shared" si="1"/>
        <v>50410</v>
      </c>
      <c r="H11333" s="49">
        <f t="shared" si="2"/>
        <v>50295</v>
      </c>
    </row>
    <row r="11334">
      <c r="A11334" s="48" t="s">
        <v>3344</v>
      </c>
      <c r="B11334" s="38">
        <v>76607.0</v>
      </c>
      <c r="C11334" s="38" t="s">
        <v>15403</v>
      </c>
      <c r="D11334" s="38" t="str">
        <f>IFERROR(__xludf.DUMMYFUNCTION("REGEXREPLACE(C11334,""-\d+(.*)|--\d+(.*)"","""")"),"SAINTE-MARGUERITE-SUR-FAUVILLE")</f>
        <v>SAINTE-MARGUERITE-SUR-FAUVILLE</v>
      </c>
      <c r="E11334" s="38" t="s">
        <v>133</v>
      </c>
      <c r="F11334" s="38" t="s">
        <v>134</v>
      </c>
      <c r="G11334" s="49" t="str">
        <f t="shared" si="1"/>
        <v>76640</v>
      </c>
      <c r="H11334" s="49">
        <f t="shared" si="2"/>
        <v>76607</v>
      </c>
    </row>
    <row r="11335">
      <c r="A11335" s="48" t="s">
        <v>15404</v>
      </c>
      <c r="B11335" s="38">
        <v>63251.0</v>
      </c>
      <c r="C11335" s="38" t="s">
        <v>15405</v>
      </c>
      <c r="D11335" s="38" t="str">
        <f>IFERROR(__xludf.DUMMYFUNCTION("REGEXREPLACE(C11335,""-\d+(.*)|--\d+(.*)"","""")"),"NEUF-EGLISE")</f>
        <v>NEUF-EGLISE</v>
      </c>
      <c r="E11335" s="38" t="s">
        <v>353</v>
      </c>
      <c r="F11335" s="38" t="s">
        <v>161</v>
      </c>
      <c r="G11335" s="49" t="str">
        <f t="shared" si="1"/>
        <v>63560</v>
      </c>
      <c r="H11335" s="49">
        <f t="shared" si="2"/>
        <v>63251</v>
      </c>
    </row>
    <row r="11336">
      <c r="A11336" s="48" t="s">
        <v>12300</v>
      </c>
      <c r="B11336" s="38">
        <v>37020.0</v>
      </c>
      <c r="C11336" s="38" t="s">
        <v>15406</v>
      </c>
      <c r="D11336" s="38" t="str">
        <f>IFERROR(__xludf.DUMMYFUNCTION("REGEXREPLACE(C11336,""-\d+(.*)|--\d+(.*)"","""")"),"BEAULIEU-LES-LOCHES")</f>
        <v>BEAULIEU-LES-LOCHES</v>
      </c>
      <c r="E11336" s="38" t="s">
        <v>205</v>
      </c>
      <c r="F11336" s="38" t="s">
        <v>123</v>
      </c>
      <c r="G11336" s="49" t="str">
        <f t="shared" si="1"/>
        <v>37600</v>
      </c>
      <c r="H11336" s="49">
        <f t="shared" si="2"/>
        <v>37020</v>
      </c>
    </row>
    <row r="11337">
      <c r="A11337" s="48" t="s">
        <v>3266</v>
      </c>
      <c r="B11337" s="38">
        <v>55501.0</v>
      </c>
      <c r="C11337" s="38" t="s">
        <v>15407</v>
      </c>
      <c r="D11337" s="38" t="str">
        <f>IFERROR(__xludf.DUMMYFUNCTION("REGEXREPLACE(C11337,""-\d+(.*)|--\d+(.*)"","""")"),"STAINVILLE")</f>
        <v>STAINVILLE</v>
      </c>
      <c r="E11337" s="38" t="s">
        <v>322</v>
      </c>
      <c r="F11337" s="38" t="s">
        <v>195</v>
      </c>
      <c r="G11337" s="49" t="str">
        <f t="shared" si="1"/>
        <v>55500</v>
      </c>
      <c r="H11337" s="49">
        <f t="shared" si="2"/>
        <v>55501</v>
      </c>
    </row>
    <row r="11338">
      <c r="A11338" s="48" t="s">
        <v>9457</v>
      </c>
      <c r="B11338" s="38">
        <v>5171.0</v>
      </c>
      <c r="C11338" s="38" t="s">
        <v>15408</v>
      </c>
      <c r="D11338" s="38" t="str">
        <f>IFERROR(__xludf.DUMMYFUNCTION("REGEXREPLACE(C11338,""-\d+(.*)|--\d+(.*)"","""")"),"THEUS")</f>
        <v>THEUS</v>
      </c>
      <c r="E11338" s="38" t="s">
        <v>706</v>
      </c>
      <c r="F11338" s="38" t="s">
        <v>228</v>
      </c>
      <c r="G11338" s="49" t="str">
        <f t="shared" si="1"/>
        <v>05190</v>
      </c>
      <c r="H11338" s="49" t="str">
        <f t="shared" si="2"/>
        <v>05171</v>
      </c>
    </row>
    <row r="11339">
      <c r="A11339" s="48" t="s">
        <v>3488</v>
      </c>
      <c r="B11339" s="38">
        <v>67287.0</v>
      </c>
      <c r="C11339" s="38" t="s">
        <v>15409</v>
      </c>
      <c r="D11339" s="38" t="str">
        <f>IFERROR(__xludf.DUMMYFUNCTION("REGEXREPLACE(C11339,""-\d+(.*)|--\d+(.*)"","""")"),"MELSHEIM")</f>
        <v>MELSHEIM</v>
      </c>
      <c r="E11339" s="38" t="s">
        <v>210</v>
      </c>
      <c r="F11339" s="38" t="s">
        <v>151</v>
      </c>
      <c r="G11339" s="49" t="str">
        <f t="shared" si="1"/>
        <v>67270</v>
      </c>
      <c r="H11339" s="49">
        <f t="shared" si="2"/>
        <v>67287</v>
      </c>
    </row>
    <row r="11340">
      <c r="A11340" s="48" t="s">
        <v>15410</v>
      </c>
      <c r="B11340" s="38">
        <v>33005.0</v>
      </c>
      <c r="C11340" s="38" t="s">
        <v>15411</v>
      </c>
      <c r="D11340" s="38" t="str">
        <f>IFERROR(__xludf.DUMMYFUNCTION("REGEXREPLACE(C11340,""-\d+(.*)|--\d+(.*)"","""")"),"ANDERNOS-LES-BAINS")</f>
        <v>ANDERNOS-LES-BAINS</v>
      </c>
      <c r="E11340" s="38" t="s">
        <v>462</v>
      </c>
      <c r="F11340" s="38" t="s">
        <v>252</v>
      </c>
      <c r="G11340" s="49" t="str">
        <f t="shared" si="1"/>
        <v>33510</v>
      </c>
      <c r="H11340" s="49">
        <f t="shared" si="2"/>
        <v>33005</v>
      </c>
    </row>
    <row r="11341">
      <c r="A11341" s="48" t="s">
        <v>15412</v>
      </c>
      <c r="B11341" s="38">
        <v>59129.0</v>
      </c>
      <c r="C11341" s="38" t="s">
        <v>15413</v>
      </c>
      <c r="D11341" s="38" t="str">
        <f>IFERROR(__xludf.DUMMYFUNCTION("REGEXREPLACE(C11341,""-\d+(.*)|--\d+(.*)"","""")"),"CAPPELLE-EN-PEVELE")</f>
        <v>CAPPELLE-EN-PEVELE</v>
      </c>
      <c r="E11341" s="38" t="s">
        <v>85</v>
      </c>
      <c r="F11341" s="38" t="s">
        <v>86</v>
      </c>
      <c r="G11341" s="49" t="str">
        <f t="shared" si="1"/>
        <v>59242</v>
      </c>
      <c r="H11341" s="49">
        <f t="shared" si="2"/>
        <v>59129</v>
      </c>
    </row>
    <row r="11342">
      <c r="A11342" s="48" t="s">
        <v>12571</v>
      </c>
      <c r="B11342" s="38">
        <v>57169.0</v>
      </c>
      <c r="C11342" s="38" t="s">
        <v>15414</v>
      </c>
      <c r="D11342" s="38" t="str">
        <f>IFERROR(__xludf.DUMMYFUNCTION("REGEXREPLACE(C11342,""-\d+(.*)|--\d+(.*)"","""")"),"DANNELBOURG")</f>
        <v>DANNELBOURG</v>
      </c>
      <c r="E11342" s="38" t="s">
        <v>303</v>
      </c>
      <c r="F11342" s="38" t="s">
        <v>195</v>
      </c>
      <c r="G11342" s="49" t="str">
        <f t="shared" si="1"/>
        <v>57820</v>
      </c>
      <c r="H11342" s="49">
        <f t="shared" si="2"/>
        <v>57169</v>
      </c>
    </row>
    <row r="11343">
      <c r="A11343" s="48" t="s">
        <v>8103</v>
      </c>
      <c r="B11343" s="38">
        <v>55386.0</v>
      </c>
      <c r="C11343" s="38" t="s">
        <v>15415</v>
      </c>
      <c r="D11343" s="38" t="str">
        <f>IFERROR(__xludf.DUMMYFUNCTION("REGEXREPLACE(C11343,""-\d+(.*)|--\d+(.*)"","""")"),"NONSARD-LAMARCHE")</f>
        <v>NONSARD-LAMARCHE</v>
      </c>
      <c r="E11343" s="38" t="s">
        <v>322</v>
      </c>
      <c r="F11343" s="38" t="s">
        <v>195</v>
      </c>
      <c r="G11343" s="49" t="str">
        <f t="shared" si="1"/>
        <v>55210</v>
      </c>
      <c r="H11343" s="49">
        <f t="shared" si="2"/>
        <v>55386</v>
      </c>
    </row>
    <row r="11344">
      <c r="A11344" s="48" t="s">
        <v>1790</v>
      </c>
      <c r="B11344" s="38">
        <v>67416.0</v>
      </c>
      <c r="C11344" s="38" t="s">
        <v>15416</v>
      </c>
      <c r="D11344" s="38" t="str">
        <f>IFERROR(__xludf.DUMMYFUNCTION("REGEXREPLACE(C11344,""-\d+(.*)|--\d+(.*)"","""")"),"ROTT")</f>
        <v>ROTT</v>
      </c>
      <c r="E11344" s="38" t="s">
        <v>210</v>
      </c>
      <c r="F11344" s="38" t="s">
        <v>151</v>
      </c>
      <c r="G11344" s="49" t="str">
        <f t="shared" si="1"/>
        <v>67160</v>
      </c>
      <c r="H11344" s="49">
        <f t="shared" si="2"/>
        <v>67416</v>
      </c>
    </row>
    <row r="11345">
      <c r="A11345" s="48" t="s">
        <v>9293</v>
      </c>
      <c r="B11345" s="38">
        <v>9153.0</v>
      </c>
      <c r="C11345" s="38" t="s">
        <v>15417</v>
      </c>
      <c r="D11345" s="38" t="str">
        <f>IFERROR(__xludf.DUMMYFUNCTION("REGEXREPLACE(C11345,""-\d+(.*)|--\d+(.*)"","""")"),"LAPENNE")</f>
        <v>LAPENNE</v>
      </c>
      <c r="E11345" s="38" t="s">
        <v>238</v>
      </c>
      <c r="F11345" s="38" t="s">
        <v>94</v>
      </c>
      <c r="G11345" s="49" t="str">
        <f t="shared" si="1"/>
        <v>09500</v>
      </c>
      <c r="H11345" s="49" t="str">
        <f t="shared" si="2"/>
        <v>09153</v>
      </c>
    </row>
    <row r="11346">
      <c r="A11346" s="48" t="s">
        <v>4504</v>
      </c>
      <c r="B11346" s="38">
        <v>40245.0</v>
      </c>
      <c r="C11346" s="38" t="s">
        <v>6788</v>
      </c>
      <c r="D11346" s="38" t="str">
        <f>IFERROR(__xludf.DUMMYFUNCTION("REGEXREPLACE(C11346,""-\d+(.*)|--\d+(.*)"","""")"),"ROQUEFORT")</f>
        <v>ROQUEFORT</v>
      </c>
      <c r="E11346" s="38" t="s">
        <v>281</v>
      </c>
      <c r="F11346" s="38" t="s">
        <v>252</v>
      </c>
      <c r="G11346" s="49" t="str">
        <f t="shared" si="1"/>
        <v>40120</v>
      </c>
      <c r="H11346" s="49">
        <f t="shared" si="2"/>
        <v>40245</v>
      </c>
    </row>
    <row r="11347">
      <c r="A11347" s="48" t="s">
        <v>5603</v>
      </c>
      <c r="B11347" s="38">
        <v>41234.0</v>
      </c>
      <c r="C11347" s="38" t="s">
        <v>11190</v>
      </c>
      <c r="D11347" s="38" t="str">
        <f>IFERROR(__xludf.DUMMYFUNCTION("REGEXREPLACE(C11347,""-\d+(.*)|--\d+(.*)"","""")"),"SANTENAY")</f>
        <v>SANTENAY</v>
      </c>
      <c r="E11347" s="38" t="s">
        <v>188</v>
      </c>
      <c r="F11347" s="38" t="s">
        <v>123</v>
      </c>
      <c r="G11347" s="49" t="str">
        <f t="shared" si="1"/>
        <v>41190</v>
      </c>
      <c r="H11347" s="49">
        <f t="shared" si="2"/>
        <v>41234</v>
      </c>
    </row>
    <row r="11348">
      <c r="A11348" s="48" t="s">
        <v>2004</v>
      </c>
      <c r="B11348" s="38">
        <v>88154.0</v>
      </c>
      <c r="C11348" s="38" t="s">
        <v>15418</v>
      </c>
      <c r="D11348" s="38" t="str">
        <f>IFERROR(__xludf.DUMMYFUNCTION("REGEXREPLACE(C11348,""-\d+(.*)|--\d+(.*)"","""")"),"DOMREMY-LA-PUCELLE")</f>
        <v>DOMREMY-LA-PUCELLE</v>
      </c>
      <c r="E11348" s="38" t="s">
        <v>194</v>
      </c>
      <c r="F11348" s="38" t="s">
        <v>195</v>
      </c>
      <c r="G11348" s="49" t="str">
        <f t="shared" si="1"/>
        <v>88630</v>
      </c>
      <c r="H11348" s="49">
        <f t="shared" si="2"/>
        <v>88154</v>
      </c>
    </row>
    <row r="11349">
      <c r="A11349" s="48" t="s">
        <v>15419</v>
      </c>
      <c r="B11349" s="38">
        <v>65099.0</v>
      </c>
      <c r="C11349" s="38" t="s">
        <v>15420</v>
      </c>
      <c r="D11349" s="38" t="str">
        <f>IFERROR(__xludf.DUMMYFUNCTION("REGEXREPLACE(C11349,""-\d+(.*)|--\d+(.*)"","""")"),"BORDERES-LOURON")</f>
        <v>BORDERES-LOURON</v>
      </c>
      <c r="E11349" s="38" t="s">
        <v>200</v>
      </c>
      <c r="F11349" s="38" t="s">
        <v>94</v>
      </c>
      <c r="G11349" s="49" t="str">
        <f t="shared" si="1"/>
        <v>65590</v>
      </c>
      <c r="H11349" s="49">
        <f t="shared" si="2"/>
        <v>65099</v>
      </c>
    </row>
    <row r="11350">
      <c r="A11350" s="48" t="s">
        <v>2783</v>
      </c>
      <c r="B11350" s="38">
        <v>31550.0</v>
      </c>
      <c r="C11350" s="38" t="s">
        <v>15421</v>
      </c>
      <c r="D11350" s="38" t="str">
        <f>IFERROR(__xludf.DUMMYFUNCTION("REGEXREPLACE(C11350,""-\d+(.*)|--\d+(.*)"","""")"),"SOUEICH")</f>
        <v>SOUEICH</v>
      </c>
      <c r="E11350" s="38" t="s">
        <v>93</v>
      </c>
      <c r="F11350" s="38" t="s">
        <v>94</v>
      </c>
      <c r="G11350" s="49" t="str">
        <f t="shared" si="1"/>
        <v>31160</v>
      </c>
      <c r="H11350" s="49">
        <f t="shared" si="2"/>
        <v>31550</v>
      </c>
    </row>
    <row r="11351">
      <c r="A11351" s="48" t="s">
        <v>3161</v>
      </c>
      <c r="B11351" s="38">
        <v>70175.0</v>
      </c>
      <c r="C11351" s="38" t="s">
        <v>15422</v>
      </c>
      <c r="D11351" s="38" t="str">
        <f>IFERROR(__xludf.DUMMYFUNCTION("REGEXREPLACE(C11351,""-\d+(.*)|--\d+(.*)"","""")"),"CORNOT")</f>
        <v>CORNOT</v>
      </c>
      <c r="E11351" s="38" t="s">
        <v>956</v>
      </c>
      <c r="F11351" s="38" t="s">
        <v>214</v>
      </c>
      <c r="G11351" s="49" t="str">
        <f t="shared" si="1"/>
        <v>70120</v>
      </c>
      <c r="H11351" s="49">
        <f t="shared" si="2"/>
        <v>70175</v>
      </c>
    </row>
    <row r="11352">
      <c r="A11352" s="48" t="s">
        <v>1628</v>
      </c>
      <c r="B11352" s="38">
        <v>70086.0</v>
      </c>
      <c r="C11352" s="38" t="s">
        <v>15423</v>
      </c>
      <c r="D11352" s="38" t="str">
        <f>IFERROR(__xludf.DUMMYFUNCTION("REGEXREPLACE(C11352,""-\d+(.*)|--\d+(.*)"","""")"),"BOURBEVELLE")</f>
        <v>BOURBEVELLE</v>
      </c>
      <c r="E11352" s="38" t="s">
        <v>956</v>
      </c>
      <c r="F11352" s="38" t="s">
        <v>214</v>
      </c>
      <c r="G11352" s="49" t="str">
        <f t="shared" si="1"/>
        <v>70500</v>
      </c>
      <c r="H11352" s="49">
        <f t="shared" si="2"/>
        <v>70086</v>
      </c>
    </row>
    <row r="11353">
      <c r="A11353" s="48" t="s">
        <v>2681</v>
      </c>
      <c r="B11353" s="38">
        <v>67492.0</v>
      </c>
      <c r="C11353" s="38" t="s">
        <v>15424</v>
      </c>
      <c r="D11353" s="38" t="str">
        <f>IFERROR(__xludf.DUMMYFUNCTION("REGEXREPLACE(C11353,""-\d+(.*)|--\d+(.*)"","""")"),"TRAENHEIM")</f>
        <v>TRAENHEIM</v>
      </c>
      <c r="E11353" s="38" t="s">
        <v>210</v>
      </c>
      <c r="F11353" s="38" t="s">
        <v>151</v>
      </c>
      <c r="G11353" s="49" t="str">
        <f t="shared" si="1"/>
        <v>67310</v>
      </c>
      <c r="H11353" s="49">
        <f t="shared" si="2"/>
        <v>67492</v>
      </c>
    </row>
    <row r="11354">
      <c r="A11354" s="48" t="s">
        <v>546</v>
      </c>
      <c r="B11354" s="38">
        <v>54579.0</v>
      </c>
      <c r="C11354" s="38" t="s">
        <v>15425</v>
      </c>
      <c r="D11354" s="38" t="str">
        <f>IFERROR(__xludf.DUMMYFUNCTION("REGEXREPLACE(C11354,""-\d+(.*)|--\d+(.*)"","""")"),"VILLERS-SOUS-PRENY")</f>
        <v>VILLERS-SOUS-PRENY</v>
      </c>
      <c r="E11354" s="38" t="s">
        <v>548</v>
      </c>
      <c r="F11354" s="38" t="s">
        <v>195</v>
      </c>
      <c r="G11354" s="49" t="str">
        <f t="shared" si="1"/>
        <v>54700</v>
      </c>
      <c r="H11354" s="49">
        <f t="shared" si="2"/>
        <v>54579</v>
      </c>
    </row>
    <row r="11355">
      <c r="A11355" s="48" t="s">
        <v>7166</v>
      </c>
      <c r="B11355" s="38">
        <v>52538.0</v>
      </c>
      <c r="C11355" s="38" t="s">
        <v>15426</v>
      </c>
      <c r="D11355" s="38" t="str">
        <f>IFERROR(__xludf.DUMMYFUNCTION("REGEXREPLACE(C11355,""-\d+(.*)|--\d+(.*)"","""")"),"VILLIERS-SUR-SUIZE")</f>
        <v>VILLIERS-SUR-SUIZE</v>
      </c>
      <c r="E11355" s="38" t="s">
        <v>234</v>
      </c>
      <c r="F11355" s="38" t="s">
        <v>130</v>
      </c>
      <c r="G11355" s="49" t="str">
        <f t="shared" si="1"/>
        <v>52210</v>
      </c>
      <c r="H11355" s="49">
        <f t="shared" si="2"/>
        <v>52538</v>
      </c>
    </row>
    <row r="11356">
      <c r="A11356" s="48" t="s">
        <v>7239</v>
      </c>
      <c r="B11356" s="38">
        <v>24339.0</v>
      </c>
      <c r="C11356" s="38" t="s">
        <v>15427</v>
      </c>
      <c r="D11356" s="38" t="str">
        <f>IFERROR(__xludf.DUMMYFUNCTION("REGEXREPLACE(C11356,""-\d+(.*)|--\d+(.*)"","""")"),"PREYSSAC-D'EXCIDEUIL")</f>
        <v>PREYSSAC-D'EXCIDEUIL</v>
      </c>
      <c r="E11356" s="38" t="s">
        <v>261</v>
      </c>
      <c r="F11356" s="38" t="s">
        <v>252</v>
      </c>
      <c r="G11356" s="49" t="str">
        <f t="shared" si="1"/>
        <v>24160</v>
      </c>
      <c r="H11356" s="49">
        <f t="shared" si="2"/>
        <v>24339</v>
      </c>
    </row>
    <row r="11357">
      <c r="A11357" s="48" t="s">
        <v>8579</v>
      </c>
      <c r="B11357" s="38">
        <v>32220.0</v>
      </c>
      <c r="C11357" s="38" t="s">
        <v>15428</v>
      </c>
      <c r="D11357" s="38" t="str">
        <f>IFERROR(__xludf.DUMMYFUNCTION("REGEXREPLACE(C11357,""-\d+(.*)|--\d+(.*)"","""")"),"LUPPE-VIOLLES")</f>
        <v>LUPPE-VIOLLES</v>
      </c>
      <c r="E11357" s="38" t="s">
        <v>440</v>
      </c>
      <c r="F11357" s="38" t="s">
        <v>94</v>
      </c>
      <c r="G11357" s="49" t="str">
        <f t="shared" si="1"/>
        <v>32110</v>
      </c>
      <c r="H11357" s="49">
        <f t="shared" si="2"/>
        <v>32220</v>
      </c>
    </row>
    <row r="11358">
      <c r="A11358" s="48" t="s">
        <v>3814</v>
      </c>
      <c r="B11358" s="38">
        <v>71344.0</v>
      </c>
      <c r="C11358" s="38" t="s">
        <v>12085</v>
      </c>
      <c r="D11358" s="38" t="str">
        <f>IFERROR(__xludf.DUMMYFUNCTION("REGEXREPLACE(C11358,""-\d+(.*)|--\d+(.*)"","""")"),"PASSY")</f>
        <v>PASSY</v>
      </c>
      <c r="E11358" s="38" t="s">
        <v>344</v>
      </c>
      <c r="F11358" s="38" t="s">
        <v>106</v>
      </c>
      <c r="G11358" s="49" t="str">
        <f t="shared" si="1"/>
        <v>71220</v>
      </c>
      <c r="H11358" s="49">
        <f t="shared" si="2"/>
        <v>71344</v>
      </c>
    </row>
    <row r="11359">
      <c r="A11359" s="48" t="s">
        <v>9871</v>
      </c>
      <c r="B11359" s="38">
        <v>22011.0</v>
      </c>
      <c r="C11359" s="38" t="s">
        <v>15429</v>
      </c>
      <c r="D11359" s="38" t="str">
        <f>IFERROR(__xludf.DUMMYFUNCTION("REGEXREPLACE(C11359,""-\d+(.*)|--\d+(.*)"","""")"),"BOQUEHO")</f>
        <v>BOQUEHO</v>
      </c>
      <c r="E11359" s="38" t="s">
        <v>89</v>
      </c>
      <c r="F11359" s="38" t="s">
        <v>90</v>
      </c>
      <c r="G11359" s="49" t="str">
        <f t="shared" si="1"/>
        <v>22170</v>
      </c>
      <c r="H11359" s="49">
        <f t="shared" si="2"/>
        <v>22011</v>
      </c>
    </row>
    <row r="11360">
      <c r="A11360" s="48" t="s">
        <v>2389</v>
      </c>
      <c r="B11360" s="38">
        <v>64381.0</v>
      </c>
      <c r="C11360" s="38" t="s">
        <v>15430</v>
      </c>
      <c r="D11360" s="38" t="str">
        <f>IFERROR(__xludf.DUMMYFUNCTION("REGEXREPLACE(C11360,""-\d+(.*)|--\d+(.*)"","""")"),"MERITEIN")</f>
        <v>MERITEIN</v>
      </c>
      <c r="E11360" s="38" t="s">
        <v>268</v>
      </c>
      <c r="F11360" s="38" t="s">
        <v>252</v>
      </c>
      <c r="G11360" s="49" t="str">
        <f t="shared" si="1"/>
        <v>64190</v>
      </c>
      <c r="H11360" s="49">
        <f t="shared" si="2"/>
        <v>64381</v>
      </c>
    </row>
    <row r="11361">
      <c r="A11361" s="48" t="s">
        <v>5381</v>
      </c>
      <c r="B11361" s="38">
        <v>38505.0</v>
      </c>
      <c r="C11361" s="38" t="s">
        <v>15431</v>
      </c>
      <c r="D11361" s="38" t="str">
        <f>IFERROR(__xludf.DUMMYFUNCTION("REGEXREPLACE(C11361,""-\d+(.*)|--\d+(.*)"","""")"),"THODURE")</f>
        <v>THODURE</v>
      </c>
      <c r="E11361" s="38" t="s">
        <v>101</v>
      </c>
      <c r="F11361" s="38" t="s">
        <v>102</v>
      </c>
      <c r="G11361" s="49" t="str">
        <f t="shared" si="1"/>
        <v>38260</v>
      </c>
      <c r="H11361" s="49">
        <f t="shared" si="2"/>
        <v>38505</v>
      </c>
    </row>
    <row r="11362">
      <c r="A11362" s="48" t="s">
        <v>2159</v>
      </c>
      <c r="B11362" s="38">
        <v>57037.0</v>
      </c>
      <c r="C11362" s="38" t="s">
        <v>13820</v>
      </c>
      <c r="D11362" s="38" t="str">
        <f>IFERROR(__xludf.DUMMYFUNCTION("REGEXREPLACE(C11362,""-\d+(.*)|--\d+(.*)"","""")"),"AUBE")</f>
        <v>AUBE</v>
      </c>
      <c r="E11362" s="38" t="s">
        <v>303</v>
      </c>
      <c r="F11362" s="38" t="s">
        <v>195</v>
      </c>
      <c r="G11362" s="49" t="str">
        <f t="shared" si="1"/>
        <v>57580</v>
      </c>
      <c r="H11362" s="49">
        <f t="shared" si="2"/>
        <v>57037</v>
      </c>
    </row>
    <row r="11363">
      <c r="A11363" s="48" t="s">
        <v>15432</v>
      </c>
      <c r="B11363" s="38">
        <v>59490.0</v>
      </c>
      <c r="C11363" s="38" t="s">
        <v>15433</v>
      </c>
      <c r="D11363" s="38" t="str">
        <f>IFERROR(__xludf.DUMMYFUNCTION("REGEXREPLACE(C11363,""-\d+(.*)|--\d+(.*)"","""")"),"RAINSARS")</f>
        <v>RAINSARS</v>
      </c>
      <c r="E11363" s="38" t="s">
        <v>85</v>
      </c>
      <c r="F11363" s="38" t="s">
        <v>86</v>
      </c>
      <c r="G11363" s="49" t="str">
        <f t="shared" si="1"/>
        <v>59177</v>
      </c>
      <c r="H11363" s="49">
        <f t="shared" si="2"/>
        <v>59490</v>
      </c>
    </row>
    <row r="11364">
      <c r="A11364" s="48" t="s">
        <v>3945</v>
      </c>
      <c r="B11364" s="38">
        <v>34160.0</v>
      </c>
      <c r="C11364" s="38" t="s">
        <v>2405</v>
      </c>
      <c r="D11364" s="38" t="str">
        <f>IFERROR(__xludf.DUMMYFUNCTION("REGEXREPLACE(C11364,""-\d+(.*)|--\d+(.*)"","""")"),"MONS")</f>
        <v>MONS</v>
      </c>
      <c r="E11364" s="38" t="s">
        <v>118</v>
      </c>
      <c r="F11364" s="38" t="s">
        <v>119</v>
      </c>
      <c r="G11364" s="49" t="str">
        <f t="shared" si="1"/>
        <v>34390</v>
      </c>
      <c r="H11364" s="49">
        <f t="shared" si="2"/>
        <v>34160</v>
      </c>
    </row>
    <row r="11365">
      <c r="A11365" s="48" t="s">
        <v>452</v>
      </c>
      <c r="B11365" s="38">
        <v>21235.0</v>
      </c>
      <c r="C11365" s="38" t="s">
        <v>15434</v>
      </c>
      <c r="D11365" s="38" t="str">
        <f>IFERROR(__xludf.DUMMYFUNCTION("REGEXREPLACE(C11365,""-\d+(.*)|--\d+(.*)"","""")"),"DUESME")</f>
        <v>DUESME</v>
      </c>
      <c r="E11365" s="38" t="s">
        <v>105</v>
      </c>
      <c r="F11365" s="38" t="s">
        <v>106</v>
      </c>
      <c r="G11365" s="49" t="str">
        <f t="shared" si="1"/>
        <v>21510</v>
      </c>
      <c r="H11365" s="49">
        <f t="shared" si="2"/>
        <v>21235</v>
      </c>
    </row>
    <row r="11366">
      <c r="A11366" s="48" t="s">
        <v>15435</v>
      </c>
      <c r="B11366" s="38">
        <v>59429.0</v>
      </c>
      <c r="C11366" s="38" t="s">
        <v>15436</v>
      </c>
      <c r="D11366" s="38" t="str">
        <f>IFERROR(__xludf.DUMMYFUNCTION("REGEXREPLACE(C11366,""-\d+(.*)|--\d+(.*)"","""")"),"NEUVILLE-SUR-ESCAUT")</f>
        <v>NEUVILLE-SUR-ESCAUT</v>
      </c>
      <c r="E11366" s="38" t="s">
        <v>85</v>
      </c>
      <c r="F11366" s="38" t="s">
        <v>86</v>
      </c>
      <c r="G11366" s="49" t="str">
        <f t="shared" si="1"/>
        <v>59293</v>
      </c>
      <c r="H11366" s="49">
        <f t="shared" si="2"/>
        <v>59429</v>
      </c>
    </row>
    <row r="11367">
      <c r="A11367" s="48" t="s">
        <v>6007</v>
      </c>
      <c r="B11367" s="38">
        <v>24043.0</v>
      </c>
      <c r="C11367" s="38" t="s">
        <v>15437</v>
      </c>
      <c r="D11367" s="38" t="str">
        <f>IFERROR(__xludf.DUMMYFUNCTION("REGEXREPLACE(C11367,""-\d+(.*)|--\d+(.*)"","""")"),"BIRON")</f>
        <v>BIRON</v>
      </c>
      <c r="E11367" s="38" t="s">
        <v>261</v>
      </c>
      <c r="F11367" s="38" t="s">
        <v>252</v>
      </c>
      <c r="G11367" s="49" t="str">
        <f t="shared" si="1"/>
        <v>24540</v>
      </c>
      <c r="H11367" s="49">
        <f t="shared" si="2"/>
        <v>24043</v>
      </c>
    </row>
    <row r="11368">
      <c r="A11368" s="48" t="s">
        <v>4834</v>
      </c>
      <c r="B11368" s="38">
        <v>27146.0</v>
      </c>
      <c r="C11368" s="38" t="s">
        <v>15438</v>
      </c>
      <c r="D11368" s="38" t="str">
        <f>IFERROR(__xludf.DUMMYFUNCTION("REGEXREPLACE(C11368,""-\d+(.*)|--\d+(.*)"","""")"),"LA CHAPELLE-BAYVEL")</f>
        <v>LA CHAPELLE-BAYVEL</v>
      </c>
      <c r="E11368" s="38" t="s">
        <v>241</v>
      </c>
      <c r="F11368" s="38" t="s">
        <v>134</v>
      </c>
      <c r="G11368" s="49" t="str">
        <f t="shared" si="1"/>
        <v>27260</v>
      </c>
      <c r="H11368" s="49">
        <f t="shared" si="2"/>
        <v>27146</v>
      </c>
    </row>
    <row r="11369">
      <c r="A11369" s="48" t="s">
        <v>1089</v>
      </c>
      <c r="B11369" s="38">
        <v>67528.0</v>
      </c>
      <c r="C11369" s="38" t="s">
        <v>15439</v>
      </c>
      <c r="D11369" s="38" t="str">
        <f>IFERROR(__xludf.DUMMYFUNCTION("REGEXREPLACE(C11369,""-\d+(.*)|--\d+(.*)"","""")"),"WEYER")</f>
        <v>WEYER</v>
      </c>
      <c r="E11369" s="38" t="s">
        <v>210</v>
      </c>
      <c r="F11369" s="38" t="s">
        <v>151</v>
      </c>
      <c r="G11369" s="49" t="str">
        <f t="shared" si="1"/>
        <v>67320</v>
      </c>
      <c r="H11369" s="49">
        <f t="shared" si="2"/>
        <v>67528</v>
      </c>
    </row>
    <row r="11370">
      <c r="A11370" s="48" t="s">
        <v>15440</v>
      </c>
      <c r="B11370" s="38">
        <v>43089.0</v>
      </c>
      <c r="C11370" s="38" t="s">
        <v>15441</v>
      </c>
      <c r="D11370" s="38" t="str">
        <f>IFERROR(__xludf.DUMMYFUNCTION("REGEXREPLACE(C11370,""-\d+(.*)|--\d+(.*)"","""")"),"ESPALY-SAINT-MARCEL")</f>
        <v>ESPALY-SAINT-MARCEL</v>
      </c>
      <c r="E11370" s="38" t="s">
        <v>332</v>
      </c>
      <c r="F11370" s="38" t="s">
        <v>161</v>
      </c>
      <c r="G11370" s="49" t="str">
        <f t="shared" si="1"/>
        <v>43000</v>
      </c>
      <c r="H11370" s="49">
        <f t="shared" si="2"/>
        <v>43089</v>
      </c>
    </row>
    <row r="11371">
      <c r="A11371" s="48" t="s">
        <v>1477</v>
      </c>
      <c r="B11371" s="38">
        <v>61192.0</v>
      </c>
      <c r="C11371" s="38" t="s">
        <v>15442</v>
      </c>
      <c r="D11371" s="38" t="str">
        <f>IFERROR(__xludf.DUMMYFUNCTION("REGEXREPLACE(C11371,""-\d+(.*)|--\d+(.*)"","""")"),"GODISSON")</f>
        <v>GODISSON</v>
      </c>
      <c r="E11371" s="38" t="s">
        <v>141</v>
      </c>
      <c r="F11371" s="38" t="s">
        <v>138</v>
      </c>
      <c r="G11371" s="49" t="str">
        <f t="shared" si="1"/>
        <v>61240</v>
      </c>
      <c r="H11371" s="49">
        <f t="shared" si="2"/>
        <v>61192</v>
      </c>
    </row>
    <row r="11372">
      <c r="A11372" s="48" t="s">
        <v>1728</v>
      </c>
      <c r="B11372" s="38">
        <v>45119.0</v>
      </c>
      <c r="C11372" s="38" t="s">
        <v>15443</v>
      </c>
      <c r="D11372" s="38" t="str">
        <f>IFERROR(__xludf.DUMMYFUNCTION("REGEXREPLACE(C11372,""-\d+(.*)|--\d+(.*)"","""")"),"DADONVILLE")</f>
        <v>DADONVILLE</v>
      </c>
      <c r="E11372" s="38" t="s">
        <v>122</v>
      </c>
      <c r="F11372" s="38" t="s">
        <v>123</v>
      </c>
      <c r="G11372" s="49" t="str">
        <f t="shared" si="1"/>
        <v>45300</v>
      </c>
      <c r="H11372" s="49">
        <f t="shared" si="2"/>
        <v>45119</v>
      </c>
    </row>
    <row r="11373">
      <c r="A11373" s="48" t="s">
        <v>3812</v>
      </c>
      <c r="B11373" s="38">
        <v>71345.0</v>
      </c>
      <c r="C11373" s="38" t="s">
        <v>15444</v>
      </c>
      <c r="D11373" s="38" t="str">
        <f>IFERROR(__xludf.DUMMYFUNCTION("REGEXREPLACE(C11373,""-\d+(.*)|--\d+(.*)"","""")"),"PERONNE")</f>
        <v>PERONNE</v>
      </c>
      <c r="E11373" s="38" t="s">
        <v>344</v>
      </c>
      <c r="F11373" s="38" t="s">
        <v>106</v>
      </c>
      <c r="G11373" s="49" t="str">
        <f t="shared" si="1"/>
        <v>71260</v>
      </c>
      <c r="H11373" s="49">
        <f t="shared" si="2"/>
        <v>71345</v>
      </c>
    </row>
    <row r="11374">
      <c r="A11374" s="48" t="s">
        <v>5525</v>
      </c>
      <c r="B11374" s="38">
        <v>10092.0</v>
      </c>
      <c r="C11374" s="38" t="s">
        <v>15445</v>
      </c>
      <c r="D11374" s="38" t="str">
        <f>IFERROR(__xludf.DUMMYFUNCTION("REGEXREPLACE(C11374,""-\d+(.*)|--\d+(.*)"","""")"),"CHAUFFOUR-LES-BAILLY")</f>
        <v>CHAUFFOUR-LES-BAILLY</v>
      </c>
      <c r="E11374" s="38" t="s">
        <v>147</v>
      </c>
      <c r="F11374" s="38" t="s">
        <v>130</v>
      </c>
      <c r="G11374" s="49" t="str">
        <f t="shared" si="1"/>
        <v>10110</v>
      </c>
      <c r="H11374" s="49">
        <f t="shared" si="2"/>
        <v>10092</v>
      </c>
    </row>
    <row r="11375">
      <c r="A11375" s="48" t="s">
        <v>5831</v>
      </c>
      <c r="B11375" s="38">
        <v>5014.0</v>
      </c>
      <c r="C11375" s="38" t="s">
        <v>15446</v>
      </c>
      <c r="D11375" s="38" t="str">
        <f>IFERROR(__xludf.DUMMYFUNCTION("REGEXREPLACE(C11375,""-\d+(.*)|--\d+(.*)"","""")"),"BARRET-SUR-MEOUGE")</f>
        <v>BARRET-SUR-MEOUGE</v>
      </c>
      <c r="E11375" s="38" t="s">
        <v>706</v>
      </c>
      <c r="F11375" s="38" t="s">
        <v>228</v>
      </c>
      <c r="G11375" s="49" t="str">
        <f t="shared" si="1"/>
        <v>05300</v>
      </c>
      <c r="H11375" s="49" t="str">
        <f t="shared" si="2"/>
        <v>05014</v>
      </c>
    </row>
    <row r="11376">
      <c r="A11376" s="48" t="s">
        <v>162</v>
      </c>
      <c r="B11376" s="38">
        <v>31543.0</v>
      </c>
      <c r="C11376" s="38" t="s">
        <v>15447</v>
      </c>
      <c r="D11376" s="38" t="str">
        <f>IFERROR(__xludf.DUMMYFUNCTION("REGEXREPLACE(C11376,""-\d+(.*)|--\d+(.*)"","""")"),"SENARENS")</f>
        <v>SENARENS</v>
      </c>
      <c r="E11376" s="38" t="s">
        <v>93</v>
      </c>
      <c r="F11376" s="38" t="s">
        <v>94</v>
      </c>
      <c r="G11376" s="49" t="str">
        <f t="shared" si="1"/>
        <v>31430</v>
      </c>
      <c r="H11376" s="49">
        <f t="shared" si="2"/>
        <v>31543</v>
      </c>
    </row>
    <row r="11377">
      <c r="A11377" s="48" t="s">
        <v>15448</v>
      </c>
      <c r="B11377" s="38">
        <v>73304.0</v>
      </c>
      <c r="C11377" s="38" t="s">
        <v>15449</v>
      </c>
      <c r="D11377" s="38" t="str">
        <f>IFERROR(__xludf.DUMMYFUNCTION("REGEXREPLACE(C11377,""-\d+(.*)|--\d+(.*)"","""")"),"VAL-D'ISERE")</f>
        <v>VAL-D'ISERE</v>
      </c>
      <c r="E11377" s="38" t="s">
        <v>306</v>
      </c>
      <c r="F11377" s="38" t="s">
        <v>102</v>
      </c>
      <c r="G11377" s="49" t="str">
        <f t="shared" si="1"/>
        <v>73150</v>
      </c>
      <c r="H11377" s="49">
        <f t="shared" si="2"/>
        <v>73304</v>
      </c>
    </row>
    <row r="11378">
      <c r="A11378" s="48" t="s">
        <v>8076</v>
      </c>
      <c r="B11378" s="38">
        <v>60042.0</v>
      </c>
      <c r="C11378" s="38" t="s">
        <v>15450</v>
      </c>
      <c r="D11378" s="38" t="str">
        <f>IFERROR(__xludf.DUMMYFUNCTION("REGEXREPLACE(C11378,""-\d+(.*)|--\d+(.*)"","""")"),"BAILLEVAL")</f>
        <v>BAILLEVAL</v>
      </c>
      <c r="E11378" s="38" t="s">
        <v>112</v>
      </c>
      <c r="F11378" s="38" t="s">
        <v>113</v>
      </c>
      <c r="G11378" s="49" t="str">
        <f t="shared" si="1"/>
        <v>60140</v>
      </c>
      <c r="H11378" s="49">
        <f t="shared" si="2"/>
        <v>60042</v>
      </c>
    </row>
    <row r="11379">
      <c r="A11379" s="48" t="s">
        <v>15451</v>
      </c>
      <c r="B11379" s="38">
        <v>17286.0</v>
      </c>
      <c r="C11379" s="38" t="s">
        <v>15452</v>
      </c>
      <c r="D11379" s="38" t="str">
        <f>IFERROR(__xludf.DUMMYFUNCTION("REGEXREPLACE(C11379,""-\d+(.*)|--\d+(.*)"","""")"),"LES PORTES-EN-RE")</f>
        <v>LES PORTES-EN-RE</v>
      </c>
      <c r="E11379" s="38" t="s">
        <v>488</v>
      </c>
      <c r="F11379" s="38" t="s">
        <v>338</v>
      </c>
      <c r="G11379" s="49" t="str">
        <f t="shared" si="1"/>
        <v>17880</v>
      </c>
      <c r="H11379" s="49">
        <f t="shared" si="2"/>
        <v>17286</v>
      </c>
    </row>
    <row r="11380">
      <c r="A11380" s="48" t="s">
        <v>2861</v>
      </c>
      <c r="B11380" s="38">
        <v>62298.0</v>
      </c>
      <c r="C11380" s="38" t="s">
        <v>15453</v>
      </c>
      <c r="D11380" s="38" t="str">
        <f>IFERROR(__xludf.DUMMYFUNCTION("REGEXREPLACE(C11380,""-\d+(.*)|--\d+(.*)"","""")"),"EPINOY")</f>
        <v>EPINOY</v>
      </c>
      <c r="E11380" s="38" t="s">
        <v>109</v>
      </c>
      <c r="F11380" s="38" t="s">
        <v>86</v>
      </c>
      <c r="G11380" s="49" t="str">
        <f t="shared" si="1"/>
        <v>62860</v>
      </c>
      <c r="H11380" s="49">
        <f t="shared" si="2"/>
        <v>62298</v>
      </c>
    </row>
    <row r="11381">
      <c r="A11381" s="48" t="s">
        <v>6195</v>
      </c>
      <c r="B11381" s="38">
        <v>57678.0</v>
      </c>
      <c r="C11381" s="38" t="s">
        <v>15454</v>
      </c>
      <c r="D11381" s="38" t="str">
        <f>IFERROR(__xludf.DUMMYFUNCTION("REGEXREPLACE(C11381,""-\d+(.*)|--\d+(.*)"","""")"),"TRESSANGE")</f>
        <v>TRESSANGE</v>
      </c>
      <c r="E11381" s="38" t="s">
        <v>303</v>
      </c>
      <c r="F11381" s="38" t="s">
        <v>195</v>
      </c>
      <c r="G11381" s="49" t="str">
        <f t="shared" si="1"/>
        <v>57710</v>
      </c>
      <c r="H11381" s="49">
        <f t="shared" si="2"/>
        <v>57678</v>
      </c>
    </row>
    <row r="11382">
      <c r="A11382" s="48" t="s">
        <v>6951</v>
      </c>
      <c r="B11382" s="38">
        <v>58175.0</v>
      </c>
      <c r="C11382" s="38" t="s">
        <v>15455</v>
      </c>
      <c r="D11382" s="38" t="str">
        <f>IFERROR(__xludf.DUMMYFUNCTION("REGEXREPLACE(C11382,""-\d+(.*)|--\d+(.*)"","""")"),"MONT-ET-MARRE")</f>
        <v>MONT-ET-MARRE</v>
      </c>
      <c r="E11382" s="38" t="s">
        <v>219</v>
      </c>
      <c r="F11382" s="38" t="s">
        <v>106</v>
      </c>
      <c r="G11382" s="49" t="str">
        <f t="shared" si="1"/>
        <v>58110</v>
      </c>
      <c r="H11382" s="49">
        <f t="shared" si="2"/>
        <v>58175</v>
      </c>
    </row>
    <row r="11383">
      <c r="A11383" s="48" t="s">
        <v>15456</v>
      </c>
      <c r="B11383" s="38">
        <v>59090.0</v>
      </c>
      <c r="C11383" s="38" t="s">
        <v>15457</v>
      </c>
      <c r="D11383" s="38" t="str">
        <f>IFERROR(__xludf.DUMMYFUNCTION("REGEXREPLACE(C11383,""-\d+(.*)|--\d+(.*)"","""")"),"BONDUES")</f>
        <v>BONDUES</v>
      </c>
      <c r="E11383" s="38" t="s">
        <v>85</v>
      </c>
      <c r="F11383" s="38" t="s">
        <v>86</v>
      </c>
      <c r="G11383" s="49" t="str">
        <f t="shared" si="1"/>
        <v>59910</v>
      </c>
      <c r="H11383" s="49">
        <f t="shared" si="2"/>
        <v>59090</v>
      </c>
    </row>
    <row r="11384">
      <c r="A11384" s="48" t="s">
        <v>4217</v>
      </c>
      <c r="B11384" s="38">
        <v>7303.0</v>
      </c>
      <c r="C11384" s="38" t="s">
        <v>15458</v>
      </c>
      <c r="D11384" s="38" t="str">
        <f>IFERROR(__xludf.DUMMYFUNCTION("REGEXREPLACE(C11384,""-\d+(.*)|--\d+(.*)"","""")"),"SAINT-VINCENT-DE-DURFORT")</f>
        <v>SAINT-VINCENT-DE-DURFORT</v>
      </c>
      <c r="E11384" s="38" t="s">
        <v>144</v>
      </c>
      <c r="F11384" s="38" t="s">
        <v>102</v>
      </c>
      <c r="G11384" s="49" t="str">
        <f t="shared" si="1"/>
        <v>07360</v>
      </c>
      <c r="H11384" s="49" t="str">
        <f t="shared" si="2"/>
        <v>07303</v>
      </c>
    </row>
    <row r="11385">
      <c r="A11385" s="48" t="s">
        <v>7305</v>
      </c>
      <c r="B11385" s="38">
        <v>49227.0</v>
      </c>
      <c r="C11385" s="38" t="s">
        <v>15459</v>
      </c>
      <c r="D11385" s="38" t="str">
        <f>IFERROR(__xludf.DUMMYFUNCTION("REGEXREPLACE(C11385,""-\d+(.*)|--\d+(.*)"","""")"),"NOTRE-DAME-D'ALLENCON")</f>
        <v>NOTRE-DAME-D'ALLENCON</v>
      </c>
      <c r="E11385" s="38" t="s">
        <v>653</v>
      </c>
      <c r="F11385" s="38" t="s">
        <v>180</v>
      </c>
      <c r="G11385" s="49" t="str">
        <f t="shared" si="1"/>
        <v>49380</v>
      </c>
      <c r="H11385" s="49">
        <f t="shared" si="2"/>
        <v>49227</v>
      </c>
    </row>
    <row r="11386">
      <c r="A11386" s="48" t="s">
        <v>2382</v>
      </c>
      <c r="B11386" s="38">
        <v>54379.0</v>
      </c>
      <c r="C11386" s="38" t="s">
        <v>15460</v>
      </c>
      <c r="D11386" s="38" t="str">
        <f>IFERROR(__xludf.DUMMYFUNCTION("REGEXREPLACE(C11386,""-\d+(.*)|--\d+(.*)"","""")"),"MONT-L'ETROIT")</f>
        <v>MONT-L'ETROIT</v>
      </c>
      <c r="E11386" s="38" t="s">
        <v>548</v>
      </c>
      <c r="F11386" s="38" t="s">
        <v>195</v>
      </c>
      <c r="G11386" s="49" t="str">
        <f t="shared" si="1"/>
        <v>54170</v>
      </c>
      <c r="H11386" s="49">
        <f t="shared" si="2"/>
        <v>54379</v>
      </c>
    </row>
    <row r="11387">
      <c r="A11387" s="48" t="s">
        <v>1748</v>
      </c>
      <c r="B11387" s="38">
        <v>30156.0</v>
      </c>
      <c r="C11387" s="38" t="s">
        <v>15461</v>
      </c>
      <c r="D11387" s="38" t="str">
        <f>IFERROR(__xludf.DUMMYFUNCTION("REGEXREPLACE(C11387,""-\d+(.*)|--\d+(.*)"","""")"),"MARGUERITTES")</f>
        <v>MARGUERITTES</v>
      </c>
      <c r="E11387" s="38" t="s">
        <v>526</v>
      </c>
      <c r="F11387" s="38" t="s">
        <v>119</v>
      </c>
      <c r="G11387" s="49" t="str">
        <f t="shared" si="1"/>
        <v>30320</v>
      </c>
      <c r="H11387" s="49">
        <f t="shared" si="2"/>
        <v>30156</v>
      </c>
    </row>
    <row r="11388">
      <c r="A11388" s="48" t="s">
        <v>15462</v>
      </c>
      <c r="B11388" s="38">
        <v>89484.0</v>
      </c>
      <c r="C11388" s="38" t="s">
        <v>15463</v>
      </c>
      <c r="D11388" s="38" t="str">
        <f>IFERROR(__xludf.DUMMYFUNCTION("REGEXREPLACE(C11388,""-\d+(.*)|--\d+(.*)"","""")"),"VOLGRE")</f>
        <v>VOLGRE</v>
      </c>
      <c r="E11388" s="38" t="s">
        <v>275</v>
      </c>
      <c r="F11388" s="38" t="s">
        <v>106</v>
      </c>
      <c r="G11388" s="49" t="str">
        <f t="shared" si="1"/>
        <v>89710</v>
      </c>
      <c r="H11388" s="49">
        <f t="shared" si="2"/>
        <v>89484</v>
      </c>
    </row>
    <row r="11389">
      <c r="A11389" s="48" t="s">
        <v>5320</v>
      </c>
      <c r="B11389" s="38">
        <v>74152.0</v>
      </c>
      <c r="C11389" s="38" t="s">
        <v>15464</v>
      </c>
      <c r="D11389" s="38" t="str">
        <f>IFERROR(__xludf.DUMMYFUNCTION("REGEXREPLACE(C11389,""-\d+(.*)|--\d+(.*)"","""")"),"LOVAGNY")</f>
        <v>LOVAGNY</v>
      </c>
      <c r="E11389" s="38" t="s">
        <v>319</v>
      </c>
      <c r="F11389" s="38" t="s">
        <v>102</v>
      </c>
      <c r="G11389" s="49" t="str">
        <f t="shared" si="1"/>
        <v>74330</v>
      </c>
      <c r="H11389" s="49">
        <f t="shared" si="2"/>
        <v>74152</v>
      </c>
    </row>
    <row r="11390">
      <c r="A11390" s="48" t="s">
        <v>4181</v>
      </c>
      <c r="B11390" s="38">
        <v>89109.0</v>
      </c>
      <c r="C11390" s="38" t="s">
        <v>15465</v>
      </c>
      <c r="D11390" s="38" t="str">
        <f>IFERROR(__xludf.DUMMYFUNCTION("REGEXREPLACE(C11390,""-\d+(.*)|--\d+(.*)"","""")"),"CISERY")</f>
        <v>CISERY</v>
      </c>
      <c r="E11390" s="38" t="s">
        <v>275</v>
      </c>
      <c r="F11390" s="38" t="s">
        <v>106</v>
      </c>
      <c r="G11390" s="49" t="str">
        <f t="shared" si="1"/>
        <v>89420</v>
      </c>
      <c r="H11390" s="49">
        <f t="shared" si="2"/>
        <v>89109</v>
      </c>
    </row>
    <row r="11391">
      <c r="A11391" s="48" t="s">
        <v>1193</v>
      </c>
      <c r="B11391" s="38">
        <v>54209.0</v>
      </c>
      <c r="C11391" s="38" t="s">
        <v>15466</v>
      </c>
      <c r="D11391" s="38" t="str">
        <f>IFERROR(__xludf.DUMMYFUNCTION("REGEXREPLACE(C11391,""-\d+(.*)|--\d+(.*)"","""")"),"FRANCONVILLE")</f>
        <v>FRANCONVILLE</v>
      </c>
      <c r="E11391" s="38" t="s">
        <v>548</v>
      </c>
      <c r="F11391" s="38" t="s">
        <v>195</v>
      </c>
      <c r="G11391" s="49" t="str">
        <f t="shared" si="1"/>
        <v>54830</v>
      </c>
      <c r="H11391" s="49">
        <f t="shared" si="2"/>
        <v>54209</v>
      </c>
    </row>
    <row r="11392">
      <c r="A11392" s="48" t="s">
        <v>10880</v>
      </c>
      <c r="B11392" s="38">
        <v>72306.0</v>
      </c>
      <c r="C11392" s="38" t="s">
        <v>15467</v>
      </c>
      <c r="D11392" s="38" t="str">
        <f>IFERROR(__xludf.DUMMYFUNCTION("REGEXREPLACE(C11392,""-\d+(.*)|--\d+(.*)"","""")"),"SAINT-OUEN-EN-BELIN")</f>
        <v>SAINT-OUEN-EN-BELIN</v>
      </c>
      <c r="E11392" s="38" t="s">
        <v>521</v>
      </c>
      <c r="F11392" s="38" t="s">
        <v>180</v>
      </c>
      <c r="G11392" s="49" t="str">
        <f t="shared" si="1"/>
        <v>72220</v>
      </c>
      <c r="H11392" s="49">
        <f t="shared" si="2"/>
        <v>72306</v>
      </c>
    </row>
    <row r="11393">
      <c r="A11393" s="48" t="s">
        <v>2723</v>
      </c>
      <c r="B11393" s="38">
        <v>50353.0</v>
      </c>
      <c r="C11393" s="38" t="s">
        <v>15468</v>
      </c>
      <c r="D11393" s="38" t="str">
        <f>IFERROR(__xludf.DUMMYFUNCTION("REGEXREPLACE(C11393,""-\d+(.*)|--\d+(.*)"","""")"),"LE MONT-SAINT-MICHEL")</f>
        <v>LE MONT-SAINT-MICHEL</v>
      </c>
      <c r="E11393" s="38" t="s">
        <v>157</v>
      </c>
      <c r="F11393" s="38" t="s">
        <v>138</v>
      </c>
      <c r="G11393" s="49" t="str">
        <f t="shared" si="1"/>
        <v>50170</v>
      </c>
      <c r="H11393" s="49">
        <f t="shared" si="2"/>
        <v>50353</v>
      </c>
    </row>
    <row r="11394">
      <c r="A11394" s="48" t="s">
        <v>10433</v>
      </c>
      <c r="B11394" s="38">
        <v>46206.0</v>
      </c>
      <c r="C11394" s="38" t="s">
        <v>15469</v>
      </c>
      <c r="D11394" s="38" t="str">
        <f>IFERROR(__xludf.DUMMYFUNCTION("REGEXREPLACE(C11394,""-\d+(.*)|--\d+(.*)"","""")"),"MONTLAUZUN")</f>
        <v>MONTLAUZUN</v>
      </c>
      <c r="E11394" s="38" t="s">
        <v>185</v>
      </c>
      <c r="F11394" s="38" t="s">
        <v>94</v>
      </c>
      <c r="G11394" s="49" t="str">
        <f t="shared" si="1"/>
        <v>46800</v>
      </c>
      <c r="H11394" s="49">
        <f t="shared" si="2"/>
        <v>46206</v>
      </c>
    </row>
    <row r="11395">
      <c r="A11395" s="48" t="s">
        <v>301</v>
      </c>
      <c r="B11395" s="38">
        <v>57257.0</v>
      </c>
      <c r="C11395" s="38" t="s">
        <v>15470</v>
      </c>
      <c r="D11395" s="38" t="str">
        <f>IFERROR(__xludf.DUMMYFUNCTION("REGEXREPLACE(C11395,""-\d+(.*)|--\d+(.*)"","""")"),"GREMECEY")</f>
        <v>GREMECEY</v>
      </c>
      <c r="E11395" s="38" t="s">
        <v>303</v>
      </c>
      <c r="F11395" s="38" t="s">
        <v>195</v>
      </c>
      <c r="G11395" s="49" t="str">
        <f t="shared" si="1"/>
        <v>57170</v>
      </c>
      <c r="H11395" s="49">
        <f t="shared" si="2"/>
        <v>57257</v>
      </c>
    </row>
    <row r="11396">
      <c r="A11396" s="48" t="s">
        <v>15471</v>
      </c>
      <c r="B11396" s="38">
        <v>59009.0</v>
      </c>
      <c r="C11396" s="38" t="s">
        <v>15472</v>
      </c>
      <c r="D11396" s="38" t="str">
        <f>IFERROR(__xludf.DUMMYFUNCTION("REGEXREPLACE(C11396,""-\d+(.*)|--\d+(.*)"","""")"),"VILLENEUVE-D'ASCQ")</f>
        <v>VILLENEUVE-D'ASCQ</v>
      </c>
      <c r="E11396" s="38" t="s">
        <v>85</v>
      </c>
      <c r="F11396" s="38" t="s">
        <v>86</v>
      </c>
      <c r="G11396" s="49" t="str">
        <f t="shared" si="1"/>
        <v>59491/59493/59650</v>
      </c>
      <c r="H11396" s="49">
        <f t="shared" si="2"/>
        <v>59009</v>
      </c>
    </row>
    <row r="11397">
      <c r="A11397" s="48" t="s">
        <v>405</v>
      </c>
      <c r="B11397" s="38">
        <v>79044.0</v>
      </c>
      <c r="C11397" s="38" t="s">
        <v>15473</v>
      </c>
      <c r="D11397" s="38" t="str">
        <f>IFERROR(__xludf.DUMMYFUNCTION("REGEXREPLACE(C11397,""-\d+(.*)|--\d+(.*)"","""")"),"BOUILLE-SAINT-PAUL")</f>
        <v>BOUILLE-SAINT-PAUL</v>
      </c>
      <c r="E11397" s="38" t="s">
        <v>337</v>
      </c>
      <c r="F11397" s="38" t="s">
        <v>338</v>
      </c>
      <c r="G11397" s="49" t="str">
        <f t="shared" si="1"/>
        <v>79290</v>
      </c>
      <c r="H11397" s="49">
        <f t="shared" si="2"/>
        <v>79044</v>
      </c>
    </row>
    <row r="11398">
      <c r="A11398" s="48" t="s">
        <v>15474</v>
      </c>
      <c r="B11398" s="38">
        <v>49183.0</v>
      </c>
      <c r="C11398" s="38" t="s">
        <v>15475</v>
      </c>
      <c r="D11398" s="38" t="str">
        <f>IFERROR(__xludf.DUMMYFUNCTION("REGEXREPLACE(C11398,""-\d+(.*)|--\d+(.*)"","""")"),"LE LOUROUX-BECONNAIS")</f>
        <v>LE LOUROUX-BECONNAIS</v>
      </c>
      <c r="E11398" s="38" t="s">
        <v>653</v>
      </c>
      <c r="F11398" s="38" t="s">
        <v>180</v>
      </c>
      <c r="G11398" s="49" t="str">
        <f t="shared" si="1"/>
        <v>49370</v>
      </c>
      <c r="H11398" s="49">
        <f t="shared" si="2"/>
        <v>49183</v>
      </c>
    </row>
    <row r="11399">
      <c r="A11399" s="48" t="s">
        <v>15476</v>
      </c>
      <c r="B11399" s="38">
        <v>13018.0</v>
      </c>
      <c r="C11399" s="38" t="s">
        <v>15477</v>
      </c>
      <c r="D11399" s="38" t="str">
        <f>IFERROR(__xludf.DUMMYFUNCTION("REGEXREPLACE(C11399,""-\d+(.*)|--\d+(.*)"","""")"),"CABANNES")</f>
        <v>CABANNES</v>
      </c>
      <c r="E11399" s="38" t="s">
        <v>980</v>
      </c>
      <c r="F11399" s="38" t="s">
        <v>228</v>
      </c>
      <c r="G11399" s="49" t="str">
        <f t="shared" si="1"/>
        <v>13440</v>
      </c>
      <c r="H11399" s="49">
        <f t="shared" si="2"/>
        <v>13018</v>
      </c>
    </row>
    <row r="11400">
      <c r="A11400" s="48" t="s">
        <v>12639</v>
      </c>
      <c r="B11400" s="38">
        <v>81165.0</v>
      </c>
      <c r="C11400" s="38" t="s">
        <v>15478</v>
      </c>
      <c r="D11400" s="38" t="str">
        <f>IFERROR(__xludf.DUMMYFUNCTION("REGEXREPLACE(C11400,""-\d+(.*)|--\d+(.*)"","""")"),"MILHARS")</f>
        <v>MILHARS</v>
      </c>
      <c r="E11400" s="38" t="s">
        <v>231</v>
      </c>
      <c r="F11400" s="38" t="s">
        <v>94</v>
      </c>
      <c r="G11400" s="49" t="str">
        <f t="shared" si="1"/>
        <v>81170</v>
      </c>
      <c r="H11400" s="49">
        <f t="shared" si="2"/>
        <v>81165</v>
      </c>
    </row>
    <row r="11401">
      <c r="A11401" s="48" t="s">
        <v>5953</v>
      </c>
      <c r="B11401" s="38">
        <v>76255.0</v>
      </c>
      <c r="C11401" s="38" t="s">
        <v>15479</v>
      </c>
      <c r="D11401" s="38" t="str">
        <f>IFERROR(__xludf.DUMMYFUNCTION("REGEXREPLACE(C11401,""-\d+(.*)|--\d+(.*)"","""")"),"EU")</f>
        <v>EU</v>
      </c>
      <c r="E11401" s="38" t="s">
        <v>133</v>
      </c>
      <c r="F11401" s="38" t="s">
        <v>134</v>
      </c>
      <c r="G11401" s="49" t="str">
        <f t="shared" si="1"/>
        <v>76260</v>
      </c>
      <c r="H11401" s="49">
        <f t="shared" si="2"/>
        <v>76255</v>
      </c>
    </row>
    <row r="11402">
      <c r="A11402" s="48" t="s">
        <v>1066</v>
      </c>
      <c r="B11402" s="38">
        <v>49318.0</v>
      </c>
      <c r="C11402" s="38" t="s">
        <v>15480</v>
      </c>
      <c r="D11402" s="38" t="str">
        <f>IFERROR(__xludf.DUMMYFUNCTION("REGEXREPLACE(C11402,""-\d+(.*)|--\d+(.*)"","""")"),"SAINT-SATURNIN-SUR-LOIRE")</f>
        <v>SAINT-SATURNIN-SUR-LOIRE</v>
      </c>
      <c r="E11402" s="38" t="s">
        <v>653</v>
      </c>
      <c r="F11402" s="38" t="s">
        <v>180</v>
      </c>
      <c r="G11402" s="49" t="str">
        <f t="shared" si="1"/>
        <v>49320</v>
      </c>
      <c r="H11402" s="49">
        <f t="shared" si="2"/>
        <v>49318</v>
      </c>
    </row>
    <row r="11403">
      <c r="A11403" s="48" t="s">
        <v>11261</v>
      </c>
      <c r="B11403" s="38">
        <v>38094.0</v>
      </c>
      <c r="C11403" s="38" t="s">
        <v>5421</v>
      </c>
      <c r="D11403" s="38" t="str">
        <f>IFERROR(__xludf.DUMMYFUNCTION("REGEXREPLACE(C11403,""-\d+(.*)|--\d+(.*)"","""")"),"CHATONNAY")</f>
        <v>CHATONNAY</v>
      </c>
      <c r="E11403" s="38" t="s">
        <v>101</v>
      </c>
      <c r="F11403" s="38" t="s">
        <v>102</v>
      </c>
      <c r="G11403" s="49" t="str">
        <f t="shared" si="1"/>
        <v>38440</v>
      </c>
      <c r="H11403" s="49">
        <f t="shared" si="2"/>
        <v>38094</v>
      </c>
    </row>
    <row r="11404">
      <c r="A11404" s="48" t="s">
        <v>3048</v>
      </c>
      <c r="B11404" s="38">
        <v>21139.0</v>
      </c>
      <c r="C11404" s="38" t="s">
        <v>15481</v>
      </c>
      <c r="D11404" s="38" t="str">
        <f>IFERROR(__xludf.DUMMYFUNCTION("REGEXREPLACE(C11404,""-\d+(.*)|--\d+(.*)"","""")"),"CHAMPEAU-EN-MORVAN")</f>
        <v>CHAMPEAU-EN-MORVAN</v>
      </c>
      <c r="E11404" s="38" t="s">
        <v>105</v>
      </c>
      <c r="F11404" s="38" t="s">
        <v>106</v>
      </c>
      <c r="G11404" s="49" t="str">
        <f t="shared" si="1"/>
        <v>21210</v>
      </c>
      <c r="H11404" s="49">
        <f t="shared" si="2"/>
        <v>21139</v>
      </c>
    </row>
    <row r="11405">
      <c r="A11405" s="48" t="s">
        <v>4373</v>
      </c>
      <c r="B11405" s="38">
        <v>82058.0</v>
      </c>
      <c r="C11405" s="38" t="s">
        <v>15482</v>
      </c>
      <c r="D11405" s="38" t="str">
        <f>IFERROR(__xludf.DUMMYFUNCTION("REGEXREPLACE(C11405,""-\d+(.*)|--\d+(.*)"","""")"),"FAJOLLES")</f>
        <v>FAJOLLES</v>
      </c>
      <c r="E11405" s="38" t="s">
        <v>570</v>
      </c>
      <c r="F11405" s="38" t="s">
        <v>94</v>
      </c>
      <c r="G11405" s="49" t="str">
        <f t="shared" si="1"/>
        <v>82210</v>
      </c>
      <c r="H11405" s="49">
        <f t="shared" si="2"/>
        <v>82058</v>
      </c>
    </row>
    <row r="11406">
      <c r="A11406" s="48" t="s">
        <v>183</v>
      </c>
      <c r="B11406" s="38">
        <v>46127.0</v>
      </c>
      <c r="C11406" s="38" t="s">
        <v>4985</v>
      </c>
      <c r="D11406" s="38" t="str">
        <f>IFERROR(__xludf.DUMMYFUNCTION("REGEXREPLACE(C11406,""-\d+(.*)|--\d+(.*)"","""")"),"GOURDON")</f>
        <v>GOURDON</v>
      </c>
      <c r="E11406" s="38" t="s">
        <v>185</v>
      </c>
      <c r="F11406" s="38" t="s">
        <v>94</v>
      </c>
      <c r="G11406" s="49" t="str">
        <f t="shared" si="1"/>
        <v>46300</v>
      </c>
      <c r="H11406" s="49">
        <f t="shared" si="2"/>
        <v>46127</v>
      </c>
    </row>
    <row r="11407">
      <c r="A11407" s="48" t="s">
        <v>4088</v>
      </c>
      <c r="B11407" s="38">
        <v>39265.0</v>
      </c>
      <c r="C11407" s="38" t="s">
        <v>15483</v>
      </c>
      <c r="D11407" s="38" t="str">
        <f>IFERROR(__xludf.DUMMYFUNCTION("REGEXREPLACE(C11407,""-\d+(.*)|--\d+(.*)"","""")"),"HAUTECOUR")</f>
        <v>HAUTECOUR</v>
      </c>
      <c r="E11407" s="38" t="s">
        <v>400</v>
      </c>
      <c r="F11407" s="38" t="s">
        <v>214</v>
      </c>
      <c r="G11407" s="49" t="str">
        <f t="shared" si="1"/>
        <v>39130</v>
      </c>
      <c r="H11407" s="49">
        <f t="shared" si="2"/>
        <v>39265</v>
      </c>
    </row>
    <row r="11408">
      <c r="A11408" s="48" t="s">
        <v>6047</v>
      </c>
      <c r="B11408" s="38">
        <v>38209.0</v>
      </c>
      <c r="C11408" s="38" t="s">
        <v>15484</v>
      </c>
      <c r="D11408" s="38" t="str">
        <f>IFERROR(__xludf.DUMMYFUNCTION("REGEXREPLACE(C11408,""-\d+(.*)|--\d+(.*)"","""")"),"LENTIOL")</f>
        <v>LENTIOL</v>
      </c>
      <c r="E11408" s="38" t="s">
        <v>101</v>
      </c>
      <c r="F11408" s="38" t="s">
        <v>102</v>
      </c>
      <c r="G11408" s="49" t="str">
        <f t="shared" si="1"/>
        <v>38270</v>
      </c>
      <c r="H11408" s="49">
        <f t="shared" si="2"/>
        <v>38209</v>
      </c>
    </row>
    <row r="11409">
      <c r="A11409" s="48" t="s">
        <v>13002</v>
      </c>
      <c r="B11409" s="38">
        <v>62473.0</v>
      </c>
      <c r="C11409" s="38" t="s">
        <v>15485</v>
      </c>
      <c r="D11409" s="38" t="str">
        <f>IFERROR(__xludf.DUMMYFUNCTION("REGEXREPLACE(C11409,""-\d+(.*)|--\d+(.*)"","""")"),"ISBERGUES")</f>
        <v>ISBERGUES</v>
      </c>
      <c r="E11409" s="38" t="s">
        <v>109</v>
      </c>
      <c r="F11409" s="38" t="s">
        <v>86</v>
      </c>
      <c r="G11409" s="49" t="str">
        <f t="shared" si="1"/>
        <v>62330</v>
      </c>
      <c r="H11409" s="49">
        <f t="shared" si="2"/>
        <v>62473</v>
      </c>
    </row>
    <row r="11410">
      <c r="A11410" s="48" t="s">
        <v>10874</v>
      </c>
      <c r="B11410" s="38">
        <v>38423.0</v>
      </c>
      <c r="C11410" s="38" t="s">
        <v>15486</v>
      </c>
      <c r="D11410" s="38" t="str">
        <f>IFERROR(__xludf.DUMMYFUNCTION("REGEXREPLACE(C11410,""-\d+(.*)|--\d+(.*)"","""")"),"SAINT-MARTIN-LE-VINOUX")</f>
        <v>SAINT-MARTIN-LE-VINOUX</v>
      </c>
      <c r="E11410" s="38" t="s">
        <v>101</v>
      </c>
      <c r="F11410" s="38" t="s">
        <v>102</v>
      </c>
      <c r="G11410" s="49" t="str">
        <f t="shared" si="1"/>
        <v>38950</v>
      </c>
      <c r="H11410" s="49">
        <f t="shared" si="2"/>
        <v>38423</v>
      </c>
    </row>
    <row r="11411">
      <c r="A11411" s="48" t="s">
        <v>849</v>
      </c>
      <c r="B11411" s="38">
        <v>51531.0</v>
      </c>
      <c r="C11411" s="38" t="s">
        <v>15487</v>
      </c>
      <c r="D11411" s="38" t="str">
        <f>IFERROR(__xludf.DUMMYFUNCTION("REGEXREPLACE(C11411,""-\d+(.*)|--\d+(.*)"","""")"),"SERMAIZE-LES-BAINS")</f>
        <v>SERMAIZE-LES-BAINS</v>
      </c>
      <c r="E11411" s="38" t="s">
        <v>129</v>
      </c>
      <c r="F11411" s="38" t="s">
        <v>130</v>
      </c>
      <c r="G11411" s="49" t="str">
        <f t="shared" si="1"/>
        <v>51250</v>
      </c>
      <c r="H11411" s="49">
        <f t="shared" si="2"/>
        <v>51531</v>
      </c>
    </row>
    <row r="11412">
      <c r="A11412" s="48" t="s">
        <v>8671</v>
      </c>
      <c r="B11412" s="38">
        <v>87066.0</v>
      </c>
      <c r="C11412" s="38" t="s">
        <v>15488</v>
      </c>
      <c r="D11412" s="38" t="str">
        <f>IFERROR(__xludf.DUMMYFUNCTION("REGEXREPLACE(C11412,""-\d+(.*)|--\d+(.*)"","""")"),"FLAVIGNAC")</f>
        <v>FLAVIGNAC</v>
      </c>
      <c r="E11412" s="38" t="s">
        <v>897</v>
      </c>
      <c r="F11412" s="38" t="s">
        <v>98</v>
      </c>
      <c r="G11412" s="49" t="str">
        <f t="shared" si="1"/>
        <v>87230</v>
      </c>
      <c r="H11412" s="49">
        <f t="shared" si="2"/>
        <v>87066</v>
      </c>
    </row>
    <row r="11413">
      <c r="A11413" s="48" t="s">
        <v>7544</v>
      </c>
      <c r="B11413" s="38">
        <v>95250.0</v>
      </c>
      <c r="C11413" s="38" t="s">
        <v>15489</v>
      </c>
      <c r="D11413" s="38" t="str">
        <f>IFERROR(__xludf.DUMMYFUNCTION("REGEXREPLACE(C11413,""-\d+(.*)|--\d+(.*)"","""")"),"FOSSES")</f>
        <v>FOSSES</v>
      </c>
      <c r="E11413" s="38" t="s">
        <v>541</v>
      </c>
      <c r="F11413" s="38" t="s">
        <v>245</v>
      </c>
      <c r="G11413" s="49" t="str">
        <f t="shared" si="1"/>
        <v>95470</v>
      </c>
      <c r="H11413" s="49">
        <f t="shared" si="2"/>
        <v>95250</v>
      </c>
    </row>
    <row r="11414">
      <c r="A11414" s="48" t="s">
        <v>15490</v>
      </c>
      <c r="B11414" s="38">
        <v>76216.0</v>
      </c>
      <c r="C11414" s="38" t="s">
        <v>15491</v>
      </c>
      <c r="D11414" s="38" t="str">
        <f>IFERROR(__xludf.DUMMYFUNCTION("REGEXREPLACE(C11414,""-\d+(.*)|--\d+(.*)"","""")"),"DEVILLE-LES-ROUEN")</f>
        <v>DEVILLE-LES-ROUEN</v>
      </c>
      <c r="E11414" s="38" t="s">
        <v>133</v>
      </c>
      <c r="F11414" s="38" t="s">
        <v>134</v>
      </c>
      <c r="G11414" s="49" t="str">
        <f t="shared" si="1"/>
        <v>76250</v>
      </c>
      <c r="H11414" s="49">
        <f t="shared" si="2"/>
        <v>76216</v>
      </c>
    </row>
    <row r="11415">
      <c r="A11415" s="48" t="s">
        <v>6002</v>
      </c>
      <c r="B11415" s="38">
        <v>18116.0</v>
      </c>
      <c r="C11415" s="38" t="s">
        <v>15492</v>
      </c>
      <c r="D11415" s="38" t="str">
        <f>IFERROR(__xludf.DUMMYFUNCTION("REGEXREPLACE(C11415,""-\d+(.*)|--\d+(.*)"","""")"),"JALOGNES")</f>
        <v>JALOGNES</v>
      </c>
      <c r="E11415" s="38" t="s">
        <v>504</v>
      </c>
      <c r="F11415" s="38" t="s">
        <v>123</v>
      </c>
      <c r="G11415" s="49" t="str">
        <f t="shared" si="1"/>
        <v>18300</v>
      </c>
      <c r="H11415" s="49">
        <f t="shared" si="2"/>
        <v>18116</v>
      </c>
    </row>
    <row r="11416">
      <c r="A11416" s="48" t="s">
        <v>15493</v>
      </c>
      <c r="B11416" s="38">
        <v>18062.0</v>
      </c>
      <c r="C11416" s="38" t="s">
        <v>15494</v>
      </c>
      <c r="D11416" s="38" t="str">
        <f>IFERROR(__xludf.DUMMYFUNCTION("REGEXREPLACE(C11416,""-\d+(.*)|--\d+(.*)"","""")"),"LE CHAUTAY")</f>
        <v>LE CHAUTAY</v>
      </c>
      <c r="E11416" s="38" t="s">
        <v>504</v>
      </c>
      <c r="F11416" s="38" t="s">
        <v>123</v>
      </c>
      <c r="G11416" s="49" t="str">
        <f t="shared" si="1"/>
        <v>18150</v>
      </c>
      <c r="H11416" s="49">
        <f t="shared" si="2"/>
        <v>18062</v>
      </c>
    </row>
    <row r="11417">
      <c r="A11417" s="48" t="s">
        <v>8964</v>
      </c>
      <c r="B11417" s="38">
        <v>70361.0</v>
      </c>
      <c r="C11417" s="38" t="s">
        <v>15495</v>
      </c>
      <c r="D11417" s="38" t="str">
        <f>IFERROR(__xludf.DUMMYFUNCTION("REGEXREPLACE(C11417,""-\d+(.*)|--\d+(.*)"","""")"),"MONTESSAUX")</f>
        <v>MONTESSAUX</v>
      </c>
      <c r="E11417" s="38" t="s">
        <v>956</v>
      </c>
      <c r="F11417" s="38" t="s">
        <v>214</v>
      </c>
      <c r="G11417" s="49" t="str">
        <f t="shared" si="1"/>
        <v>70270</v>
      </c>
      <c r="H11417" s="49">
        <f t="shared" si="2"/>
        <v>70361</v>
      </c>
    </row>
    <row r="11418">
      <c r="A11418" s="48" t="s">
        <v>15496</v>
      </c>
      <c r="B11418" s="38">
        <v>68166.0</v>
      </c>
      <c r="C11418" s="38" t="s">
        <v>15497</v>
      </c>
      <c r="D11418" s="38" t="str">
        <f>IFERROR(__xludf.DUMMYFUNCTION("REGEXREPLACE(C11418,""-\d+(.*)|--\d+(.*)"","""")"),"KINGERSHEIM")</f>
        <v>KINGERSHEIM</v>
      </c>
      <c r="E11418" s="38" t="s">
        <v>150</v>
      </c>
      <c r="F11418" s="38" t="s">
        <v>151</v>
      </c>
      <c r="G11418" s="49" t="str">
        <f t="shared" si="1"/>
        <v>68260</v>
      </c>
      <c r="H11418" s="49">
        <f t="shared" si="2"/>
        <v>68166</v>
      </c>
    </row>
    <row r="11419">
      <c r="A11419" s="48" t="s">
        <v>15498</v>
      </c>
      <c r="B11419" s="38">
        <v>59163.0</v>
      </c>
      <c r="C11419" s="38" t="s">
        <v>5541</v>
      </c>
      <c r="D11419" s="38" t="str">
        <f>IFERROR(__xludf.DUMMYFUNCTION("REGEXREPLACE(C11419,""-\d+(.*)|--\d+(.*)"","""")"),"CROIX")</f>
        <v>CROIX</v>
      </c>
      <c r="E11419" s="38" t="s">
        <v>85</v>
      </c>
      <c r="F11419" s="38" t="s">
        <v>86</v>
      </c>
      <c r="G11419" s="49" t="str">
        <f t="shared" si="1"/>
        <v>59170</v>
      </c>
      <c r="H11419" s="49">
        <f t="shared" si="2"/>
        <v>59163</v>
      </c>
    </row>
    <row r="11420">
      <c r="A11420" s="48" t="s">
        <v>1002</v>
      </c>
      <c r="B11420" s="38">
        <v>46101.0</v>
      </c>
      <c r="C11420" s="38" t="s">
        <v>15499</v>
      </c>
      <c r="D11420" s="38" t="str">
        <f>IFERROR(__xludf.DUMMYFUNCTION("REGEXREPLACE(C11420,""-\d+(.*)|--\d+(.*)"","""")"),"FELZINS")</f>
        <v>FELZINS</v>
      </c>
      <c r="E11420" s="38" t="s">
        <v>185</v>
      </c>
      <c r="F11420" s="38" t="s">
        <v>94</v>
      </c>
      <c r="G11420" s="49" t="str">
        <f t="shared" si="1"/>
        <v>46270</v>
      </c>
      <c r="H11420" s="49">
        <f t="shared" si="2"/>
        <v>46101</v>
      </c>
    </row>
    <row r="11421">
      <c r="A11421" s="48" t="s">
        <v>3821</v>
      </c>
      <c r="B11421" s="38">
        <v>57297.0</v>
      </c>
      <c r="C11421" s="38" t="s">
        <v>15500</v>
      </c>
      <c r="D11421" s="38" t="str">
        <f>IFERROR(__xludf.DUMMYFUNCTION("REGEXREPLACE(C11421,""-\d+(.*)|--\d+(.*)"","""")"),"HARPRICH")</f>
        <v>HARPRICH</v>
      </c>
      <c r="E11421" s="38" t="s">
        <v>303</v>
      </c>
      <c r="F11421" s="38" t="s">
        <v>195</v>
      </c>
      <c r="G11421" s="49" t="str">
        <f t="shared" si="1"/>
        <v>57340</v>
      </c>
      <c r="H11421" s="49">
        <f t="shared" si="2"/>
        <v>57297</v>
      </c>
    </row>
    <row r="11422">
      <c r="A11422" s="48" t="s">
        <v>15501</v>
      </c>
      <c r="B11422" s="38">
        <v>19208.0</v>
      </c>
      <c r="C11422" s="38" t="s">
        <v>15502</v>
      </c>
      <c r="D11422" s="38" t="str">
        <f>IFERROR(__xludf.DUMMYFUNCTION("REGEXREPLACE(C11422,""-\d+(.*)|--\d+(.*)"","""")"),"SAINT-HILAIRE-FOISSAC")</f>
        <v>SAINT-HILAIRE-FOISSAC</v>
      </c>
      <c r="E11422" s="38" t="s">
        <v>271</v>
      </c>
      <c r="F11422" s="38" t="s">
        <v>98</v>
      </c>
      <c r="G11422" s="49" t="str">
        <f t="shared" si="1"/>
        <v>19550</v>
      </c>
      <c r="H11422" s="49">
        <f t="shared" si="2"/>
        <v>19208</v>
      </c>
    </row>
    <row r="11423">
      <c r="A11423" s="48" t="s">
        <v>7741</v>
      </c>
      <c r="B11423" s="38">
        <v>37211.0</v>
      </c>
      <c r="C11423" s="38" t="s">
        <v>15503</v>
      </c>
      <c r="D11423" s="38" t="str">
        <f>IFERROR(__xludf.DUMMYFUNCTION("REGEXREPLACE(C11423,""-\d+(.*)|--\d+(.*)"","""")"),"SAINT-BRANCHS")</f>
        <v>SAINT-BRANCHS</v>
      </c>
      <c r="E11423" s="38" t="s">
        <v>205</v>
      </c>
      <c r="F11423" s="38" t="s">
        <v>123</v>
      </c>
      <c r="G11423" s="49" t="str">
        <f t="shared" si="1"/>
        <v>37320</v>
      </c>
      <c r="H11423" s="49">
        <f t="shared" si="2"/>
        <v>37211</v>
      </c>
    </row>
    <row r="11424">
      <c r="A11424" s="48" t="s">
        <v>6785</v>
      </c>
      <c r="B11424" s="38">
        <v>27477.0</v>
      </c>
      <c r="C11424" s="38" t="s">
        <v>15504</v>
      </c>
      <c r="D11424" s="38" t="str">
        <f>IFERROR(__xludf.DUMMYFUNCTION("REGEXREPLACE(C11424,""-\d+(.*)|--\d+(.*)"","""")"),"PRESSAGNY-L'ORGUEILLEUX")</f>
        <v>PRESSAGNY-L'ORGUEILLEUX</v>
      </c>
      <c r="E11424" s="38" t="s">
        <v>241</v>
      </c>
      <c r="F11424" s="38" t="s">
        <v>134</v>
      </c>
      <c r="G11424" s="49" t="str">
        <f t="shared" si="1"/>
        <v>27510</v>
      </c>
      <c r="H11424" s="49">
        <f t="shared" si="2"/>
        <v>27477</v>
      </c>
    </row>
    <row r="11425">
      <c r="A11425" s="48" t="s">
        <v>2960</v>
      </c>
      <c r="B11425" s="38">
        <v>86252.0</v>
      </c>
      <c r="C11425" s="38" t="s">
        <v>15505</v>
      </c>
      <c r="D11425" s="38" t="str">
        <f>IFERROR(__xludf.DUMMYFUNCTION("REGEXREPLACE(C11425,""-\d+(.*)|--\d+(.*)"","""")"),"SAMMARCOLLES")</f>
        <v>SAMMARCOLLES</v>
      </c>
      <c r="E11425" s="38" t="s">
        <v>529</v>
      </c>
      <c r="F11425" s="38" t="s">
        <v>338</v>
      </c>
      <c r="G11425" s="49" t="str">
        <f t="shared" si="1"/>
        <v>86200</v>
      </c>
      <c r="H11425" s="49">
        <f t="shared" si="2"/>
        <v>86252</v>
      </c>
    </row>
    <row r="11426">
      <c r="A11426" s="48" t="s">
        <v>1347</v>
      </c>
      <c r="B11426" s="38">
        <v>16208.0</v>
      </c>
      <c r="C11426" s="38" t="s">
        <v>15506</v>
      </c>
      <c r="D11426" s="38" t="str">
        <f>IFERROR(__xludf.DUMMYFUNCTION("REGEXREPLACE(C11426,""-\d+(.*)|--\d+(.*)"","""")"),"MAREUIL")</f>
        <v>MAREUIL</v>
      </c>
      <c r="E11426" s="38" t="s">
        <v>429</v>
      </c>
      <c r="F11426" s="38" t="s">
        <v>338</v>
      </c>
      <c r="G11426" s="49" t="str">
        <f t="shared" si="1"/>
        <v>16170</v>
      </c>
      <c r="H11426" s="49">
        <f t="shared" si="2"/>
        <v>16208</v>
      </c>
    </row>
    <row r="11427">
      <c r="A11427" s="48" t="s">
        <v>11319</v>
      </c>
      <c r="B11427" s="38">
        <v>51199.0</v>
      </c>
      <c r="C11427" s="38" t="s">
        <v>15507</v>
      </c>
      <c r="D11427" s="38" t="str">
        <f>IFERROR(__xludf.DUMMYFUNCTION("REGEXREPLACE(C11427,""-\d+(.*)|--\d+(.*)"","""")"),"CUCHERY")</f>
        <v>CUCHERY</v>
      </c>
      <c r="E11427" s="38" t="s">
        <v>129</v>
      </c>
      <c r="F11427" s="38" t="s">
        <v>130</v>
      </c>
      <c r="G11427" s="49" t="str">
        <f t="shared" si="1"/>
        <v>51480</v>
      </c>
      <c r="H11427" s="49">
        <f t="shared" si="2"/>
        <v>51199</v>
      </c>
    </row>
    <row r="11428">
      <c r="A11428" s="48" t="s">
        <v>15508</v>
      </c>
      <c r="B11428" s="38">
        <v>38533.0</v>
      </c>
      <c r="C11428" s="38" t="s">
        <v>15509</v>
      </c>
      <c r="D11428" s="38" t="str">
        <f>IFERROR(__xludf.DUMMYFUNCTION("REGEXREPLACE(C11428,""-\d+(.*)|--\d+(.*)"","""")"),"VENON")</f>
        <v>VENON</v>
      </c>
      <c r="E11428" s="38" t="s">
        <v>101</v>
      </c>
      <c r="F11428" s="38" t="s">
        <v>102</v>
      </c>
      <c r="G11428" s="49" t="str">
        <f t="shared" si="1"/>
        <v>38610</v>
      </c>
      <c r="H11428" s="49">
        <f t="shared" si="2"/>
        <v>38533</v>
      </c>
    </row>
    <row r="11429">
      <c r="A11429" s="48" t="s">
        <v>5779</v>
      </c>
      <c r="B11429" s="38">
        <v>86002.0</v>
      </c>
      <c r="C11429" s="38" t="s">
        <v>15510</v>
      </c>
      <c r="D11429" s="38" t="str">
        <f>IFERROR(__xludf.DUMMYFUNCTION("REGEXREPLACE(C11429,""-\d+(.*)|--\d+(.*)"","""")"),"AMBERRE")</f>
        <v>AMBERRE</v>
      </c>
      <c r="E11429" s="38" t="s">
        <v>529</v>
      </c>
      <c r="F11429" s="38" t="s">
        <v>338</v>
      </c>
      <c r="G11429" s="49" t="str">
        <f t="shared" si="1"/>
        <v>86110</v>
      </c>
      <c r="H11429" s="49">
        <f t="shared" si="2"/>
        <v>86002</v>
      </c>
    </row>
    <row r="11430">
      <c r="A11430" s="48" t="s">
        <v>2061</v>
      </c>
      <c r="B11430" s="38">
        <v>21141.0</v>
      </c>
      <c r="C11430" s="38" t="s">
        <v>15511</v>
      </c>
      <c r="D11430" s="38" t="str">
        <f>IFERROR(__xludf.DUMMYFUNCTION("REGEXREPLACE(C11430,""-\d+(.*)|--\d+(.*)"","""")"),"CHAMPRENAULT")</f>
        <v>CHAMPRENAULT</v>
      </c>
      <c r="E11430" s="38" t="s">
        <v>105</v>
      </c>
      <c r="F11430" s="38" t="s">
        <v>106</v>
      </c>
      <c r="G11430" s="49" t="str">
        <f t="shared" si="1"/>
        <v>21690</v>
      </c>
      <c r="H11430" s="49">
        <f t="shared" si="2"/>
        <v>21141</v>
      </c>
    </row>
    <row r="11431">
      <c r="A11431" s="48" t="s">
        <v>2989</v>
      </c>
      <c r="B11431" s="38">
        <v>70447.0</v>
      </c>
      <c r="C11431" s="38" t="s">
        <v>15512</v>
      </c>
      <c r="D11431" s="38" t="str">
        <f>IFERROR(__xludf.DUMMYFUNCTION("REGEXREPLACE(C11431,""-\d+(.*)|--\d+(.*)"","""")"),"RIOZ")</f>
        <v>RIOZ</v>
      </c>
      <c r="E11431" s="38" t="s">
        <v>956</v>
      </c>
      <c r="F11431" s="38" t="s">
        <v>214</v>
      </c>
      <c r="G11431" s="49" t="str">
        <f t="shared" si="1"/>
        <v>70190</v>
      </c>
      <c r="H11431" s="49">
        <f t="shared" si="2"/>
        <v>70447</v>
      </c>
    </row>
    <row r="11432">
      <c r="A11432" s="48" t="s">
        <v>15513</v>
      </c>
      <c r="B11432" s="38">
        <v>84141.0</v>
      </c>
      <c r="C11432" s="38" t="s">
        <v>15514</v>
      </c>
      <c r="D11432" s="38" t="str">
        <f>IFERROR(__xludf.DUMMYFUNCTION("REGEXREPLACE(C11432,""-\d+(.*)|--\d+(.*)"","""")"),"VEDENE")</f>
        <v>VEDENE</v>
      </c>
      <c r="E11432" s="38" t="s">
        <v>1026</v>
      </c>
      <c r="F11432" s="38" t="s">
        <v>228</v>
      </c>
      <c r="G11432" s="49" t="str">
        <f t="shared" si="1"/>
        <v>84270</v>
      </c>
      <c r="H11432" s="49">
        <f t="shared" si="2"/>
        <v>84141</v>
      </c>
    </row>
    <row r="11433">
      <c r="A11433" s="48" t="s">
        <v>3677</v>
      </c>
      <c r="B11433" s="38">
        <v>89051.0</v>
      </c>
      <c r="C11433" s="38" t="s">
        <v>15515</v>
      </c>
      <c r="D11433" s="38" t="str">
        <f>IFERROR(__xludf.DUMMYFUNCTION("REGEXREPLACE(C11433,""-\d+(.*)|--\d+(.*)"","""")"),"LES BORDES")</f>
        <v>LES BORDES</v>
      </c>
      <c r="E11433" s="38" t="s">
        <v>275</v>
      </c>
      <c r="F11433" s="38" t="s">
        <v>106</v>
      </c>
      <c r="G11433" s="49" t="str">
        <f t="shared" si="1"/>
        <v>89500</v>
      </c>
      <c r="H11433" s="49">
        <f t="shared" si="2"/>
        <v>89051</v>
      </c>
    </row>
    <row r="11434">
      <c r="A11434" s="48" t="s">
        <v>1908</v>
      </c>
      <c r="B11434" s="38">
        <v>62860.0</v>
      </c>
      <c r="C11434" s="38" t="s">
        <v>15516</v>
      </c>
      <c r="D11434" s="38" t="str">
        <f>IFERROR(__xludf.DUMMYFUNCTION("REGEXREPLACE(C11434,""-\d+(.*)|--\d+(.*)"","""")"),"VILLERS-SIR-SIMON")</f>
        <v>VILLERS-SIR-SIMON</v>
      </c>
      <c r="E11434" s="38" t="s">
        <v>109</v>
      </c>
      <c r="F11434" s="38" t="s">
        <v>86</v>
      </c>
      <c r="G11434" s="49" t="str">
        <f t="shared" si="1"/>
        <v>62127</v>
      </c>
      <c r="H11434" s="49">
        <f t="shared" si="2"/>
        <v>62860</v>
      </c>
    </row>
    <row r="11435">
      <c r="A11435" s="48" t="s">
        <v>15517</v>
      </c>
      <c r="B11435" s="38">
        <v>41185.0</v>
      </c>
      <c r="C11435" s="38" t="s">
        <v>15518</v>
      </c>
      <c r="D11435" s="38" t="str">
        <f>IFERROR(__xludf.DUMMYFUNCTION("REGEXREPLACE(C11435,""-\d+(.*)|--\d+(.*)"","""")"),"PRUNIERS-EN-SOLOGNE")</f>
        <v>PRUNIERS-EN-SOLOGNE</v>
      </c>
      <c r="E11435" s="38" t="s">
        <v>188</v>
      </c>
      <c r="F11435" s="38" t="s">
        <v>123</v>
      </c>
      <c r="G11435" s="49" t="str">
        <f t="shared" si="1"/>
        <v>41200</v>
      </c>
      <c r="H11435" s="49">
        <f t="shared" si="2"/>
        <v>41185</v>
      </c>
    </row>
    <row r="11436">
      <c r="A11436" s="48" t="s">
        <v>2558</v>
      </c>
      <c r="B11436" s="38">
        <v>16351.0</v>
      </c>
      <c r="C11436" s="38" t="s">
        <v>15519</v>
      </c>
      <c r="D11436" s="38" t="str">
        <f>IFERROR(__xludf.DUMMYFUNCTION("REGEXREPLACE(C11436,""-\d+(.*)|--\d+(.*)"","""")"),"SAINT-SIMEUX")</f>
        <v>SAINT-SIMEUX</v>
      </c>
      <c r="E11436" s="38" t="s">
        <v>429</v>
      </c>
      <c r="F11436" s="38" t="s">
        <v>338</v>
      </c>
      <c r="G11436" s="49" t="str">
        <f t="shared" si="1"/>
        <v>16120</v>
      </c>
      <c r="H11436" s="49">
        <f t="shared" si="2"/>
        <v>16351</v>
      </c>
    </row>
    <row r="11437">
      <c r="A11437" s="48" t="s">
        <v>3059</v>
      </c>
      <c r="B11437" s="38">
        <v>89297.0</v>
      </c>
      <c r="C11437" s="38" t="s">
        <v>15520</v>
      </c>
      <c r="D11437" s="38" t="str">
        <f>IFERROR(__xludf.DUMMYFUNCTION("REGEXREPLACE(C11437,""-\d+(.*)|--\d+(.*)"","""")"),"PIERRE-PERTHUIS")</f>
        <v>PIERRE-PERTHUIS</v>
      </c>
      <c r="E11437" s="38" t="s">
        <v>275</v>
      </c>
      <c r="F11437" s="38" t="s">
        <v>106</v>
      </c>
      <c r="G11437" s="49" t="str">
        <f t="shared" si="1"/>
        <v>89450</v>
      </c>
      <c r="H11437" s="49">
        <f t="shared" si="2"/>
        <v>89297</v>
      </c>
    </row>
    <row r="11438">
      <c r="A11438" s="48" t="s">
        <v>15521</v>
      </c>
      <c r="B11438" s="38">
        <v>95392.0</v>
      </c>
      <c r="C11438" s="38" t="s">
        <v>15522</v>
      </c>
      <c r="D11438" s="38" t="str">
        <f>IFERROR(__xludf.DUMMYFUNCTION("REGEXREPLACE(C11438,""-\d+(.*)|--\d+(.*)"","""")"),"MERIEL")</f>
        <v>MERIEL</v>
      </c>
      <c r="E11438" s="38" t="s">
        <v>541</v>
      </c>
      <c r="F11438" s="38" t="s">
        <v>245</v>
      </c>
      <c r="G11438" s="49" t="str">
        <f t="shared" si="1"/>
        <v>95630</v>
      </c>
      <c r="H11438" s="49">
        <f t="shared" si="2"/>
        <v>95392</v>
      </c>
    </row>
    <row r="11439">
      <c r="A11439" s="48" t="s">
        <v>10342</v>
      </c>
      <c r="B11439" s="38">
        <v>12016.0</v>
      </c>
      <c r="C11439" s="38" t="s">
        <v>15523</v>
      </c>
      <c r="D11439" s="38" t="str">
        <f>IFERROR(__xludf.DUMMYFUNCTION("REGEXREPLACE(C11439,""-\d+(.*)|--\d+(.*)"","""")"),"AUZITS")</f>
        <v>AUZITS</v>
      </c>
      <c r="E11439" s="38" t="s">
        <v>465</v>
      </c>
      <c r="F11439" s="38" t="s">
        <v>94</v>
      </c>
      <c r="G11439" s="49" t="str">
        <f t="shared" si="1"/>
        <v>12390</v>
      </c>
      <c r="H11439" s="49">
        <f t="shared" si="2"/>
        <v>12016</v>
      </c>
    </row>
    <row r="11440">
      <c r="A11440" s="48" t="s">
        <v>15524</v>
      </c>
      <c r="B11440" s="38">
        <v>4096.0</v>
      </c>
      <c r="C11440" s="38" t="s">
        <v>15525</v>
      </c>
      <c r="D11440" s="38" t="str">
        <f>IFERROR(__xludf.DUMMYFUNCTION("REGEXREPLACE(C11440,""-\d+(.*)|--\d+(.*)"","""")"),"JAUSIERS")</f>
        <v>JAUSIERS</v>
      </c>
      <c r="E11440" s="38" t="s">
        <v>662</v>
      </c>
      <c r="F11440" s="38" t="s">
        <v>228</v>
      </c>
      <c r="G11440" s="49" t="str">
        <f t="shared" si="1"/>
        <v>04850</v>
      </c>
      <c r="H11440" s="49" t="str">
        <f t="shared" si="2"/>
        <v>04096</v>
      </c>
    </row>
    <row r="11441">
      <c r="A11441" s="48" t="s">
        <v>2159</v>
      </c>
      <c r="B11441" s="38">
        <v>57656.0</v>
      </c>
      <c r="C11441" s="38" t="s">
        <v>15526</v>
      </c>
      <c r="D11441" s="38" t="str">
        <f>IFERROR(__xludf.DUMMYFUNCTION("REGEXREPLACE(C11441,""-\d+(.*)|--\d+(.*)"","""")"),"SORBEY")</f>
        <v>SORBEY</v>
      </c>
      <c r="E11441" s="38" t="s">
        <v>303</v>
      </c>
      <c r="F11441" s="38" t="s">
        <v>195</v>
      </c>
      <c r="G11441" s="49" t="str">
        <f t="shared" si="1"/>
        <v>57580</v>
      </c>
      <c r="H11441" s="49">
        <f t="shared" si="2"/>
        <v>57656</v>
      </c>
    </row>
    <row r="11442">
      <c r="A11442" s="48" t="s">
        <v>8368</v>
      </c>
      <c r="B11442" s="38">
        <v>83056.0</v>
      </c>
      <c r="C11442" s="38" t="s">
        <v>15527</v>
      </c>
      <c r="D11442" s="38" t="str">
        <f>IFERROR(__xludf.DUMMYFUNCTION("REGEXREPLACE(C11442,""-\d+(.*)|--\d+(.*)"","""")"),"FIGANIERES")</f>
        <v>FIGANIERES</v>
      </c>
      <c r="E11442" s="38" t="s">
        <v>813</v>
      </c>
      <c r="F11442" s="38" t="s">
        <v>228</v>
      </c>
      <c r="G11442" s="49" t="str">
        <f t="shared" si="1"/>
        <v>83830</v>
      </c>
      <c r="H11442" s="49">
        <f t="shared" si="2"/>
        <v>83056</v>
      </c>
    </row>
    <row r="11443">
      <c r="A11443" s="48" t="s">
        <v>4247</v>
      </c>
      <c r="B11443" s="38">
        <v>59084.0</v>
      </c>
      <c r="C11443" s="38" t="s">
        <v>15528</v>
      </c>
      <c r="D11443" s="38" t="str">
        <f>IFERROR(__xludf.DUMMYFUNCTION("REGEXREPLACE(C11443,""-\d+(.*)|--\d+(.*)"","""")"),"BLARINGHEM")</f>
        <v>BLARINGHEM</v>
      </c>
      <c r="E11443" s="38" t="s">
        <v>85</v>
      </c>
      <c r="F11443" s="38" t="s">
        <v>86</v>
      </c>
      <c r="G11443" s="49" t="str">
        <f t="shared" si="1"/>
        <v>59173</v>
      </c>
      <c r="H11443" s="49">
        <f t="shared" si="2"/>
        <v>59084</v>
      </c>
    </row>
    <row r="11444">
      <c r="A11444" s="48" t="s">
        <v>13395</v>
      </c>
      <c r="B11444" s="38">
        <v>57600.0</v>
      </c>
      <c r="C11444" s="38" t="s">
        <v>15529</v>
      </c>
      <c r="D11444" s="38" t="str">
        <f>IFERROR(__xludf.DUMMYFUNCTION("REGEXREPLACE(C11444,""-\d+(.*)|--\d+(.*)"","""")"),"ROUSSY-LE-VILLAGE")</f>
        <v>ROUSSY-LE-VILLAGE</v>
      </c>
      <c r="E11444" s="38" t="s">
        <v>303</v>
      </c>
      <c r="F11444" s="38" t="s">
        <v>195</v>
      </c>
      <c r="G11444" s="49" t="str">
        <f t="shared" si="1"/>
        <v>57330</v>
      </c>
      <c r="H11444" s="49">
        <f t="shared" si="2"/>
        <v>57600</v>
      </c>
    </row>
    <row r="11445">
      <c r="A11445" s="48" t="s">
        <v>2549</v>
      </c>
      <c r="B11445" s="38">
        <v>55555.0</v>
      </c>
      <c r="C11445" s="38" t="s">
        <v>15530</v>
      </c>
      <c r="D11445" s="38" t="str">
        <f>IFERROR(__xludf.DUMMYFUNCTION("REGEXREPLACE(C11445,""-\d+(.*)|--\d+(.*)"","""")"),"VILLE-DEVANT-BELRAIN")</f>
        <v>VILLE-DEVANT-BELRAIN</v>
      </c>
      <c r="E11445" s="38" t="s">
        <v>322</v>
      </c>
      <c r="F11445" s="38" t="s">
        <v>195</v>
      </c>
      <c r="G11445" s="49" t="str">
        <f t="shared" si="1"/>
        <v>55260</v>
      </c>
      <c r="H11445" s="49">
        <f t="shared" si="2"/>
        <v>55555</v>
      </c>
    </row>
    <row r="11446">
      <c r="A11446" s="48" t="s">
        <v>1100</v>
      </c>
      <c r="B11446" s="38">
        <v>8250.0</v>
      </c>
      <c r="C11446" s="38" t="s">
        <v>15531</v>
      </c>
      <c r="D11446" s="38" t="str">
        <f>IFERROR(__xludf.DUMMYFUNCTION("REGEXREPLACE(C11446,""-\d+(.*)|--\d+(.*)"","""")"),"LEFFINCOURT")</f>
        <v>LEFFINCOURT</v>
      </c>
      <c r="E11446" s="38" t="s">
        <v>327</v>
      </c>
      <c r="F11446" s="38" t="s">
        <v>130</v>
      </c>
      <c r="G11446" s="49" t="str">
        <f t="shared" si="1"/>
        <v>08310</v>
      </c>
      <c r="H11446" s="49" t="str">
        <f t="shared" si="2"/>
        <v>08250</v>
      </c>
    </row>
    <row r="11447">
      <c r="A11447" s="48" t="s">
        <v>1540</v>
      </c>
      <c r="B11447" s="38">
        <v>70261.0</v>
      </c>
      <c r="C11447" s="38" t="s">
        <v>15532</v>
      </c>
      <c r="D11447" s="38" t="str">
        <f>IFERROR(__xludf.DUMMYFUNCTION("REGEXREPLACE(C11447,""-\d+(.*)|--\d+(.*)"","""")"),"FROTEY-LES-VESOUL")</f>
        <v>FROTEY-LES-VESOUL</v>
      </c>
      <c r="E11447" s="38" t="s">
        <v>956</v>
      </c>
      <c r="F11447" s="38" t="s">
        <v>214</v>
      </c>
      <c r="G11447" s="49" t="str">
        <f t="shared" si="1"/>
        <v>70000</v>
      </c>
      <c r="H11447" s="49">
        <f t="shared" si="2"/>
        <v>70261</v>
      </c>
    </row>
    <row r="11448">
      <c r="A11448" s="48" t="s">
        <v>11166</v>
      </c>
      <c r="B11448" s="38">
        <v>55299.0</v>
      </c>
      <c r="C11448" s="38" t="s">
        <v>15533</v>
      </c>
      <c r="D11448" s="38" t="str">
        <f>IFERROR(__xludf.DUMMYFUNCTION("REGEXREPLACE(C11448,""-\d+(.*)|--\d+(.*)"","""")"),"LOISON")</f>
        <v>LOISON</v>
      </c>
      <c r="E11448" s="38" t="s">
        <v>322</v>
      </c>
      <c r="F11448" s="38" t="s">
        <v>195</v>
      </c>
      <c r="G11448" s="49" t="str">
        <f t="shared" si="1"/>
        <v>55230</v>
      </c>
      <c r="H11448" s="49">
        <f t="shared" si="2"/>
        <v>55299</v>
      </c>
    </row>
    <row r="11449">
      <c r="A11449" s="48" t="s">
        <v>10179</v>
      </c>
      <c r="B11449" s="38">
        <v>8488.0</v>
      </c>
      <c r="C11449" s="38" t="s">
        <v>15534</v>
      </c>
      <c r="D11449" s="38" t="str">
        <f>IFERROR(__xludf.DUMMYFUNCTION("REGEXREPLACE(C11449,""-\d+(.*)|--\d+(.*)"","""")"),"VIVIER-AU-COURT")</f>
        <v>VIVIER-AU-COURT</v>
      </c>
      <c r="E11449" s="38" t="s">
        <v>327</v>
      </c>
      <c r="F11449" s="38" t="s">
        <v>130</v>
      </c>
      <c r="G11449" s="49" t="str">
        <f t="shared" si="1"/>
        <v>08440</v>
      </c>
      <c r="H11449" s="49" t="str">
        <f t="shared" si="2"/>
        <v>08488</v>
      </c>
    </row>
    <row r="11450">
      <c r="A11450" s="48" t="s">
        <v>3011</v>
      </c>
      <c r="B11450" s="38">
        <v>63425.0</v>
      </c>
      <c r="C11450" s="38" t="s">
        <v>15535</v>
      </c>
      <c r="D11450" s="38" t="str">
        <f>IFERROR(__xludf.DUMMYFUNCTION("REGEXREPLACE(C11450,""-\d+(.*)|--\d+(.*)"","""")"),"TALLENDE")</f>
        <v>TALLENDE</v>
      </c>
      <c r="E11450" s="38" t="s">
        <v>353</v>
      </c>
      <c r="F11450" s="38" t="s">
        <v>161</v>
      </c>
      <c r="G11450" s="49" t="str">
        <f t="shared" si="1"/>
        <v>63450</v>
      </c>
      <c r="H11450" s="49">
        <f t="shared" si="2"/>
        <v>63425</v>
      </c>
    </row>
    <row r="11451">
      <c r="A11451" s="48" t="s">
        <v>15536</v>
      </c>
      <c r="B11451" s="38">
        <v>35228.0</v>
      </c>
      <c r="C11451" s="38" t="s">
        <v>15537</v>
      </c>
      <c r="D11451" s="38" t="str">
        <f>IFERROR(__xludf.DUMMYFUNCTION("REGEXREPLACE(C11451,""-\d+(.*)|--\d+(.*)"","""")"),"PLEURTUIT")</f>
        <v>PLEURTUIT</v>
      </c>
      <c r="E11451" s="38" t="s">
        <v>347</v>
      </c>
      <c r="F11451" s="38" t="s">
        <v>90</v>
      </c>
      <c r="G11451" s="49" t="str">
        <f t="shared" si="1"/>
        <v>35730</v>
      </c>
      <c r="H11451" s="49">
        <f t="shared" si="2"/>
        <v>35228</v>
      </c>
    </row>
    <row r="11452">
      <c r="A11452" s="48" t="s">
        <v>10366</v>
      </c>
      <c r="B11452" s="38">
        <v>1425.0</v>
      </c>
      <c r="C11452" s="38" t="s">
        <v>15538</v>
      </c>
      <c r="D11452" s="38" t="str">
        <f>IFERROR(__xludf.DUMMYFUNCTION("REGEXREPLACE(C11452,""-\d+(.*)|--\d+(.*)"","""")"),"LA TRANCLIERE")</f>
        <v>LA TRANCLIERE</v>
      </c>
      <c r="E11452" s="38" t="s">
        <v>255</v>
      </c>
      <c r="F11452" s="38" t="s">
        <v>102</v>
      </c>
      <c r="G11452" s="49" t="str">
        <f t="shared" si="1"/>
        <v>01160</v>
      </c>
      <c r="H11452" s="49" t="str">
        <f t="shared" si="2"/>
        <v>01425</v>
      </c>
    </row>
    <row r="11453">
      <c r="A11453" s="48" t="s">
        <v>2837</v>
      </c>
      <c r="B11453" s="38">
        <v>17458.0</v>
      </c>
      <c r="C11453" s="38" t="s">
        <v>15539</v>
      </c>
      <c r="D11453" s="38" t="str">
        <f>IFERROR(__xludf.DUMMYFUNCTION("REGEXREPLACE(C11453,""-\d+(.*)|--\d+(.*)"","""")"),"VANZAC")</f>
        <v>VANZAC</v>
      </c>
      <c r="E11453" s="38" t="s">
        <v>488</v>
      </c>
      <c r="F11453" s="38" t="s">
        <v>338</v>
      </c>
      <c r="G11453" s="49" t="str">
        <f t="shared" si="1"/>
        <v>17500</v>
      </c>
      <c r="H11453" s="49">
        <f t="shared" si="2"/>
        <v>17458</v>
      </c>
    </row>
    <row r="11454">
      <c r="A11454" s="48" t="s">
        <v>1325</v>
      </c>
      <c r="B11454" s="38">
        <v>7192.0</v>
      </c>
      <c r="C11454" s="38" t="s">
        <v>15540</v>
      </c>
      <c r="D11454" s="38" t="str">
        <f>IFERROR(__xludf.DUMMYFUNCTION("REGEXREPLACE(C11454,""-\d+(.*)|--\d+(.*)"","""")"),"ROCHEPAULE")</f>
        <v>ROCHEPAULE</v>
      </c>
      <c r="E11454" s="38" t="s">
        <v>144</v>
      </c>
      <c r="F11454" s="38" t="s">
        <v>102</v>
      </c>
      <c r="G11454" s="49" t="str">
        <f t="shared" si="1"/>
        <v>07320</v>
      </c>
      <c r="H11454" s="49" t="str">
        <f t="shared" si="2"/>
        <v>07192</v>
      </c>
    </row>
    <row r="11455">
      <c r="A11455" s="48" t="s">
        <v>12780</v>
      </c>
      <c r="B11455" s="38">
        <v>41132.0</v>
      </c>
      <c r="C11455" s="38" t="s">
        <v>15541</v>
      </c>
      <c r="D11455" s="38" t="str">
        <f>IFERROR(__xludf.DUMMYFUNCTION("REGEXREPLACE(C11455,""-\d+(.*)|--\d+(.*)"","""")"),"MEHERS")</f>
        <v>MEHERS</v>
      </c>
      <c r="E11455" s="38" t="s">
        <v>188</v>
      </c>
      <c r="F11455" s="38" t="s">
        <v>123</v>
      </c>
      <c r="G11455" s="49" t="str">
        <f t="shared" si="1"/>
        <v>41140</v>
      </c>
      <c r="H11455" s="49">
        <f t="shared" si="2"/>
        <v>41132</v>
      </c>
    </row>
    <row r="11456">
      <c r="A11456" s="48" t="s">
        <v>15542</v>
      </c>
      <c r="B11456" s="38">
        <v>67378.0</v>
      </c>
      <c r="C11456" s="38" t="s">
        <v>15543</v>
      </c>
      <c r="D11456" s="38" t="str">
        <f>IFERROR(__xludf.DUMMYFUNCTION("REGEXREPLACE(C11456,""-\d+(.*)|--\d+(.*)"","""")"),"PLOBSHEIM")</f>
        <v>PLOBSHEIM</v>
      </c>
      <c r="E11456" s="38" t="s">
        <v>210</v>
      </c>
      <c r="F11456" s="38" t="s">
        <v>151</v>
      </c>
      <c r="G11456" s="49" t="str">
        <f t="shared" si="1"/>
        <v>67115</v>
      </c>
      <c r="H11456" s="49">
        <f t="shared" si="2"/>
        <v>67378</v>
      </c>
    </row>
    <row r="11457">
      <c r="A11457" s="48" t="s">
        <v>3967</v>
      </c>
      <c r="B11457" s="38">
        <v>50001.0</v>
      </c>
      <c r="C11457" s="38" t="s">
        <v>14504</v>
      </c>
      <c r="D11457" s="38" t="str">
        <f>IFERROR(__xludf.DUMMYFUNCTION("REGEXREPLACE(C11457,""-\d+(.*)|--\d+(.*)"","""")"),"ACQUEVILLE")</f>
        <v>ACQUEVILLE</v>
      </c>
      <c r="E11457" s="38" t="s">
        <v>157</v>
      </c>
      <c r="F11457" s="38" t="s">
        <v>138</v>
      </c>
      <c r="G11457" s="49" t="str">
        <f t="shared" si="1"/>
        <v>50440</v>
      </c>
      <c r="H11457" s="49">
        <f t="shared" si="2"/>
        <v>50001</v>
      </c>
    </row>
    <row r="11458">
      <c r="A11458" s="48" t="s">
        <v>15544</v>
      </c>
      <c r="B11458" s="38">
        <v>88438.0</v>
      </c>
      <c r="C11458" s="38" t="s">
        <v>3813</v>
      </c>
      <c r="D11458" s="38" t="str">
        <f>IFERROR(__xludf.DUMMYFUNCTION("REGEXREPLACE(C11458,""-\d+(.*)|--\d+(.*)"","""")"),"LA SALLE")</f>
        <v>LA SALLE</v>
      </c>
      <c r="E11458" s="38" t="s">
        <v>194</v>
      </c>
      <c r="F11458" s="38" t="s">
        <v>195</v>
      </c>
      <c r="G11458" s="49" t="str">
        <f t="shared" si="1"/>
        <v>88470</v>
      </c>
      <c r="H11458" s="49">
        <f t="shared" si="2"/>
        <v>88438</v>
      </c>
    </row>
    <row r="11459">
      <c r="A11459" s="48" t="s">
        <v>15545</v>
      </c>
      <c r="B11459" s="38">
        <v>42006.0</v>
      </c>
      <c r="C11459" s="38" t="s">
        <v>15546</v>
      </c>
      <c r="D11459" s="38" t="str">
        <f>IFERROR(__xludf.DUMMYFUNCTION("REGEXREPLACE(C11459,""-\d+(.*)|--\d+(.*)"","""")"),"APINAC")</f>
        <v>APINAC</v>
      </c>
      <c r="E11459" s="38" t="s">
        <v>166</v>
      </c>
      <c r="F11459" s="38" t="s">
        <v>102</v>
      </c>
      <c r="G11459" s="49" t="str">
        <f t="shared" si="1"/>
        <v>42550</v>
      </c>
      <c r="H11459" s="49">
        <f t="shared" si="2"/>
        <v>42006</v>
      </c>
    </row>
    <row r="11460">
      <c r="A11460" s="48" t="s">
        <v>3624</v>
      </c>
      <c r="B11460" s="38">
        <v>39564.0</v>
      </c>
      <c r="C11460" s="38" t="s">
        <v>15547</v>
      </c>
      <c r="D11460" s="38" t="str">
        <f>IFERROR(__xludf.DUMMYFUNCTION("REGEXREPLACE(C11460,""-\d+(.*)|--\d+(.*)"","""")"),"VILLECHANTRIA")</f>
        <v>VILLECHANTRIA</v>
      </c>
      <c r="E11460" s="38" t="s">
        <v>400</v>
      </c>
      <c r="F11460" s="38" t="s">
        <v>214</v>
      </c>
      <c r="G11460" s="49" t="str">
        <f t="shared" si="1"/>
        <v>39320</v>
      </c>
      <c r="H11460" s="49">
        <f t="shared" si="2"/>
        <v>39564</v>
      </c>
    </row>
    <row r="11461">
      <c r="A11461" s="48" t="s">
        <v>2047</v>
      </c>
      <c r="B11461" s="38">
        <v>62353.0</v>
      </c>
      <c r="C11461" s="38" t="s">
        <v>15548</v>
      </c>
      <c r="D11461" s="38" t="str">
        <f>IFERROR(__xludf.DUMMYFUNCTION("REGEXREPLACE(C11461,""-\d+(.*)|--\d+(.*)"","""")"),"FREMICOURT")</f>
        <v>FREMICOURT</v>
      </c>
      <c r="E11461" s="38" t="s">
        <v>109</v>
      </c>
      <c r="F11461" s="38" t="s">
        <v>86</v>
      </c>
      <c r="G11461" s="49" t="str">
        <f t="shared" si="1"/>
        <v>62450</v>
      </c>
      <c r="H11461" s="49">
        <f t="shared" si="2"/>
        <v>62353</v>
      </c>
    </row>
    <row r="11462">
      <c r="A11462" s="48" t="s">
        <v>7895</v>
      </c>
      <c r="B11462" s="38">
        <v>57544.0</v>
      </c>
      <c r="C11462" s="38" t="s">
        <v>15549</v>
      </c>
      <c r="D11462" s="38" t="str">
        <f>IFERROR(__xludf.DUMMYFUNCTION("REGEXREPLACE(C11462,""-\d+(.*)|--\d+(.*)"","""")"),"PLAINE-DE-WALSCH")</f>
        <v>PLAINE-DE-WALSCH</v>
      </c>
      <c r="E11462" s="38" t="s">
        <v>303</v>
      </c>
      <c r="F11462" s="38" t="s">
        <v>195</v>
      </c>
      <c r="G11462" s="49" t="str">
        <f t="shared" si="1"/>
        <v>57870</v>
      </c>
      <c r="H11462" s="49">
        <f t="shared" si="2"/>
        <v>57544</v>
      </c>
    </row>
    <row r="11463">
      <c r="A11463" s="48" t="s">
        <v>2714</v>
      </c>
      <c r="B11463" s="38">
        <v>61415.0</v>
      </c>
      <c r="C11463" s="38" t="s">
        <v>15550</v>
      </c>
      <c r="D11463" s="38" t="str">
        <f>IFERROR(__xludf.DUMMYFUNCTION("REGEXREPLACE(C11463,""-\d+(.*)|--\d+(.*)"","""")"),"SAINT-LEGER-SUR-SARTHE")</f>
        <v>SAINT-LEGER-SUR-SARTHE</v>
      </c>
      <c r="E11463" s="38" t="s">
        <v>141</v>
      </c>
      <c r="F11463" s="38" t="s">
        <v>138</v>
      </c>
      <c r="G11463" s="49" t="str">
        <f t="shared" si="1"/>
        <v>61170</v>
      </c>
      <c r="H11463" s="49">
        <f t="shared" si="2"/>
        <v>61415</v>
      </c>
    </row>
    <row r="11464">
      <c r="A11464" s="48" t="s">
        <v>3182</v>
      </c>
      <c r="B11464" s="38">
        <v>80737.0</v>
      </c>
      <c r="C11464" s="38" t="s">
        <v>15551</v>
      </c>
      <c r="D11464" s="38" t="str">
        <f>IFERROR(__xludf.DUMMYFUNCTION("REGEXREPLACE(C11464,""-\d+(.*)|--\d+(.*)"","""")"),"SOREL")</f>
        <v>SOREL</v>
      </c>
      <c r="E11464" s="38" t="s">
        <v>224</v>
      </c>
      <c r="F11464" s="38" t="s">
        <v>113</v>
      </c>
      <c r="G11464" s="49" t="str">
        <f t="shared" si="1"/>
        <v>80240</v>
      </c>
      <c r="H11464" s="49">
        <f t="shared" si="2"/>
        <v>80737</v>
      </c>
    </row>
    <row r="11465">
      <c r="A11465" s="48" t="s">
        <v>1056</v>
      </c>
      <c r="B11465" s="38">
        <v>11119.0</v>
      </c>
      <c r="C11465" s="38" t="s">
        <v>15552</v>
      </c>
      <c r="D11465" s="38" t="str">
        <f>IFERROR(__xludf.DUMMYFUNCTION("REGEXREPLACE(C11465,""-\d+(.*)|--\d+(.*)"","""")"),"LA DIGNE-D'AMONT")</f>
        <v>LA DIGNE-D'AMONT</v>
      </c>
      <c r="E11465" s="38" t="s">
        <v>278</v>
      </c>
      <c r="F11465" s="38" t="s">
        <v>119</v>
      </c>
      <c r="G11465" s="49" t="str">
        <f t="shared" si="1"/>
        <v>11300</v>
      </c>
      <c r="H11465" s="49">
        <f t="shared" si="2"/>
        <v>11119</v>
      </c>
    </row>
    <row r="11466">
      <c r="A11466" s="48" t="s">
        <v>4418</v>
      </c>
      <c r="B11466" s="38">
        <v>42153.0</v>
      </c>
      <c r="C11466" s="38" t="s">
        <v>15553</v>
      </c>
      <c r="D11466" s="38" t="str">
        <f>IFERROR(__xludf.DUMMYFUNCTION("REGEXREPLACE(C11466,""-\d+(.*)|--\d+(.*)"","""")"),"NEAUX")</f>
        <v>NEAUX</v>
      </c>
      <c r="E11466" s="38" t="s">
        <v>166</v>
      </c>
      <c r="F11466" s="38" t="s">
        <v>102</v>
      </c>
      <c r="G11466" s="49" t="str">
        <f t="shared" si="1"/>
        <v>42470</v>
      </c>
      <c r="H11466" s="49">
        <f t="shared" si="2"/>
        <v>42153</v>
      </c>
    </row>
    <row r="11467">
      <c r="A11467" s="48" t="s">
        <v>9536</v>
      </c>
      <c r="B11467" s="38">
        <v>8293.0</v>
      </c>
      <c r="C11467" s="38" t="s">
        <v>15554</v>
      </c>
      <c r="D11467" s="38" t="str">
        <f>IFERROR(__xludf.DUMMYFUNCTION("REGEXREPLACE(C11467,""-\d+(.*)|--\d+(.*)"","""")"),"MOIRY")</f>
        <v>MOIRY</v>
      </c>
      <c r="E11467" s="38" t="s">
        <v>327</v>
      </c>
      <c r="F11467" s="38" t="s">
        <v>130</v>
      </c>
      <c r="G11467" s="49" t="str">
        <f t="shared" si="1"/>
        <v>08370</v>
      </c>
      <c r="H11467" s="49" t="str">
        <f t="shared" si="2"/>
        <v>08293</v>
      </c>
    </row>
    <row r="11468">
      <c r="A11468" s="48" t="s">
        <v>2605</v>
      </c>
      <c r="B11468" s="38">
        <v>39247.0</v>
      </c>
      <c r="C11468" s="38" t="s">
        <v>15555</v>
      </c>
      <c r="D11468" s="38" t="str">
        <f>IFERROR(__xludf.DUMMYFUNCTION("REGEXREPLACE(C11468,""-\d+(.*)|--\d+(.*)"","""")"),"GENOD")</f>
        <v>GENOD</v>
      </c>
      <c r="E11468" s="38" t="s">
        <v>400</v>
      </c>
      <c r="F11468" s="38" t="s">
        <v>214</v>
      </c>
      <c r="G11468" s="49" t="str">
        <f t="shared" si="1"/>
        <v>39240</v>
      </c>
      <c r="H11468" s="49">
        <f t="shared" si="2"/>
        <v>39247</v>
      </c>
    </row>
    <row r="11469">
      <c r="A11469" s="48" t="s">
        <v>15556</v>
      </c>
      <c r="B11469" s="38">
        <v>86281.0</v>
      </c>
      <c r="C11469" s="38" t="s">
        <v>15557</v>
      </c>
      <c r="D11469" s="38" t="str">
        <f>IFERROR(__xludf.DUMMYFUNCTION("REGEXREPLACE(C11469,""-\d+(.*)|--\d+(.*)"","""")"),"VENDEUVRE-DU-POITOU")</f>
        <v>VENDEUVRE-DU-POITOU</v>
      </c>
      <c r="E11469" s="38" t="s">
        <v>529</v>
      </c>
      <c r="F11469" s="38" t="s">
        <v>338</v>
      </c>
      <c r="G11469" s="49" t="str">
        <f t="shared" si="1"/>
        <v>86380</v>
      </c>
      <c r="H11469" s="49">
        <f t="shared" si="2"/>
        <v>86281</v>
      </c>
    </row>
    <row r="11470">
      <c r="A11470" s="48" t="s">
        <v>2186</v>
      </c>
      <c r="B11470" s="38">
        <v>26039.0</v>
      </c>
      <c r="C11470" s="38" t="s">
        <v>15558</v>
      </c>
      <c r="D11470" s="38" t="str">
        <f>IFERROR(__xludf.DUMMYFUNCTION("REGEXREPLACE(C11470,""-\d+(.*)|--\d+(.*)"","""")"),"BEAUREGARD-BARET")</f>
        <v>BEAUREGARD-BARET</v>
      </c>
      <c r="E11470" s="38" t="s">
        <v>126</v>
      </c>
      <c r="F11470" s="38" t="s">
        <v>102</v>
      </c>
      <c r="G11470" s="49" t="str">
        <f t="shared" si="1"/>
        <v>26300</v>
      </c>
      <c r="H11470" s="49">
        <f t="shared" si="2"/>
        <v>26039</v>
      </c>
    </row>
    <row r="11471">
      <c r="A11471" s="48" t="s">
        <v>7804</v>
      </c>
      <c r="B11471" s="38">
        <v>51009.0</v>
      </c>
      <c r="C11471" s="38" t="s">
        <v>15559</v>
      </c>
      <c r="D11471" s="38" t="str">
        <f>IFERROR(__xludf.DUMMYFUNCTION("REGEXREPLACE(C11471,""-\d+(.*)|--\d+(.*)"","""")"),"ANGLURE")</f>
        <v>ANGLURE</v>
      </c>
      <c r="E11471" s="38" t="s">
        <v>129</v>
      </c>
      <c r="F11471" s="38" t="s">
        <v>130</v>
      </c>
      <c r="G11471" s="49" t="str">
        <f t="shared" si="1"/>
        <v>51260</v>
      </c>
      <c r="H11471" s="49">
        <f t="shared" si="2"/>
        <v>51009</v>
      </c>
    </row>
    <row r="11472">
      <c r="A11472" s="48" t="s">
        <v>15560</v>
      </c>
      <c r="B11472" s="38">
        <v>60703.0</v>
      </c>
      <c r="C11472" s="38" t="s">
        <v>15561</v>
      </c>
      <c r="D11472" s="38" t="str">
        <f>IFERROR(__xludf.DUMMYFUNCTION("REGEXREPLACE(C11472,""-\d+(.*)|--\d+(.*)"","""")"),"AUX MARAIS")</f>
        <v>AUX MARAIS</v>
      </c>
      <c r="E11472" s="38" t="s">
        <v>112</v>
      </c>
      <c r="F11472" s="38" t="s">
        <v>113</v>
      </c>
      <c r="G11472" s="49" t="str">
        <f t="shared" si="1"/>
        <v>60000</v>
      </c>
      <c r="H11472" s="49">
        <f t="shared" si="2"/>
        <v>60703</v>
      </c>
    </row>
    <row r="11473">
      <c r="A11473" s="48" t="s">
        <v>1574</v>
      </c>
      <c r="B11473" s="38">
        <v>10085.0</v>
      </c>
      <c r="C11473" s="38" t="s">
        <v>7049</v>
      </c>
      <c r="D11473" s="38" t="str">
        <f>IFERROR(__xludf.DUMMYFUNCTION("REGEXREPLACE(C11473,""-\d+(.*)|--\d+(.*)"","""")"),"CHARMOY")</f>
        <v>CHARMOY</v>
      </c>
      <c r="E11473" s="38" t="s">
        <v>147</v>
      </c>
      <c r="F11473" s="38" t="s">
        <v>130</v>
      </c>
      <c r="G11473" s="49" t="str">
        <f t="shared" si="1"/>
        <v>10290</v>
      </c>
      <c r="H11473" s="49">
        <f t="shared" si="2"/>
        <v>10085</v>
      </c>
    </row>
    <row r="11474">
      <c r="A11474" s="48" t="s">
        <v>4455</v>
      </c>
      <c r="B11474" s="38">
        <v>1362.0</v>
      </c>
      <c r="C11474" s="38" t="s">
        <v>15562</v>
      </c>
      <c r="D11474" s="38" t="str">
        <f>IFERROR(__xludf.DUMMYFUNCTION("REGEXREPLACE(C11474,""-\d+(.*)|--\d+(.*)"","""")"),"SAINT-JEAN-DE-THURIGNEUX")</f>
        <v>SAINT-JEAN-DE-THURIGNEUX</v>
      </c>
      <c r="E11474" s="38" t="s">
        <v>255</v>
      </c>
      <c r="F11474" s="38" t="s">
        <v>102</v>
      </c>
      <c r="G11474" s="49" t="str">
        <f t="shared" si="1"/>
        <v>01390</v>
      </c>
      <c r="H11474" s="49" t="str">
        <f t="shared" si="2"/>
        <v>01362</v>
      </c>
    </row>
    <row r="11475">
      <c r="A11475" s="48" t="s">
        <v>15563</v>
      </c>
      <c r="B11475" s="38">
        <v>49099.0</v>
      </c>
      <c r="C11475" s="38" t="s">
        <v>15564</v>
      </c>
      <c r="D11475" s="38" t="str">
        <f>IFERROR(__xludf.DUMMYFUNCTION("REGEXREPLACE(C11475,""-\d+(.*)|--\d+(.*)"","""")"),"CHOLET")</f>
        <v>CHOLET</v>
      </c>
      <c r="E11475" s="38" t="s">
        <v>653</v>
      </c>
      <c r="F11475" s="38" t="s">
        <v>180</v>
      </c>
      <c r="G11475" s="49" t="str">
        <f t="shared" si="1"/>
        <v>49300</v>
      </c>
      <c r="H11475" s="49">
        <f t="shared" si="2"/>
        <v>49099</v>
      </c>
    </row>
    <row r="11476">
      <c r="A11476" s="48" t="s">
        <v>1079</v>
      </c>
      <c r="B11476" s="38">
        <v>24547.0</v>
      </c>
      <c r="C11476" s="38" t="s">
        <v>15565</v>
      </c>
      <c r="D11476" s="38" t="str">
        <f>IFERROR(__xludf.DUMMYFUNCTION("REGEXREPLACE(C11476,""-\d+(.*)|--\d+(.*)"","""")"),"TERRASSON-LAVILLEDIEU")</f>
        <v>TERRASSON-LAVILLEDIEU</v>
      </c>
      <c r="E11476" s="38" t="s">
        <v>261</v>
      </c>
      <c r="F11476" s="38" t="s">
        <v>252</v>
      </c>
      <c r="G11476" s="49" t="str">
        <f t="shared" si="1"/>
        <v>24120</v>
      </c>
      <c r="H11476" s="49">
        <f t="shared" si="2"/>
        <v>24547</v>
      </c>
    </row>
    <row r="11477">
      <c r="A11477" s="48" t="s">
        <v>6406</v>
      </c>
      <c r="B11477" s="38">
        <v>41089.0</v>
      </c>
      <c r="C11477" s="38" t="s">
        <v>12945</v>
      </c>
      <c r="D11477" s="38" t="str">
        <f>IFERROR(__xludf.DUMMYFUNCTION("REGEXREPLACE(C11477,""-\d+(.*)|--\d+(.*)"","""")"),"LA FONTENELLE")</f>
        <v>LA FONTENELLE</v>
      </c>
      <c r="E11477" s="38" t="s">
        <v>188</v>
      </c>
      <c r="F11477" s="38" t="s">
        <v>123</v>
      </c>
      <c r="G11477" s="49" t="str">
        <f t="shared" si="1"/>
        <v>41270</v>
      </c>
      <c r="H11477" s="49">
        <f t="shared" si="2"/>
        <v>41089</v>
      </c>
    </row>
    <row r="11478">
      <c r="A11478" s="48" t="s">
        <v>2712</v>
      </c>
      <c r="B11478" s="38">
        <v>72281.0</v>
      </c>
      <c r="C11478" s="38" t="s">
        <v>15566</v>
      </c>
      <c r="D11478" s="38" t="str">
        <f>IFERROR(__xludf.DUMMYFUNCTION("REGEXREPLACE(C11478,""-\d+(.*)|--\d+(.*)"","""")"),"SAINT-GEORGES-DU-ROSAY")</f>
        <v>SAINT-GEORGES-DU-ROSAY</v>
      </c>
      <c r="E11478" s="38" t="s">
        <v>521</v>
      </c>
      <c r="F11478" s="38" t="s">
        <v>180</v>
      </c>
      <c r="G11478" s="49" t="str">
        <f t="shared" si="1"/>
        <v>72110</v>
      </c>
      <c r="H11478" s="49">
        <f t="shared" si="2"/>
        <v>72281</v>
      </c>
    </row>
    <row r="11479">
      <c r="A11479" s="48" t="s">
        <v>1570</v>
      </c>
      <c r="B11479" s="38">
        <v>16424.0</v>
      </c>
      <c r="C11479" s="38" t="s">
        <v>15567</v>
      </c>
      <c r="D11479" s="38" t="str">
        <f>IFERROR(__xludf.DUMMYFUNCTION("REGEXREPLACE(C11479,""-\d+(.*)|--\d+(.*)"","""")"),"YVIERS")</f>
        <v>YVIERS</v>
      </c>
      <c r="E11479" s="38" t="s">
        <v>429</v>
      </c>
      <c r="F11479" s="38" t="s">
        <v>338</v>
      </c>
      <c r="G11479" s="49" t="str">
        <f t="shared" si="1"/>
        <v>16210</v>
      </c>
      <c r="H11479" s="49">
        <f t="shared" si="2"/>
        <v>16424</v>
      </c>
    </row>
    <row r="11480">
      <c r="A11480" s="48" t="s">
        <v>2993</v>
      </c>
      <c r="B11480" s="38">
        <v>66101.0</v>
      </c>
      <c r="C11480" s="38" t="s">
        <v>15568</v>
      </c>
      <c r="D11480" s="38" t="str">
        <f>IFERROR(__xludf.DUMMYFUNCTION("REGEXREPLACE(C11480,""-\d+(.*)|--\d+(.*)"","""")"),"LLUPIA")</f>
        <v>LLUPIA</v>
      </c>
      <c r="E11480" s="38" t="s">
        <v>248</v>
      </c>
      <c r="F11480" s="38" t="s">
        <v>119</v>
      </c>
      <c r="G11480" s="49" t="str">
        <f t="shared" si="1"/>
        <v>66300</v>
      </c>
      <c r="H11480" s="49">
        <f t="shared" si="2"/>
        <v>66101</v>
      </c>
    </row>
    <row r="11481">
      <c r="A11481" s="48" t="s">
        <v>1262</v>
      </c>
      <c r="B11481" s="38">
        <v>11076.0</v>
      </c>
      <c r="C11481" s="38" t="s">
        <v>15569</v>
      </c>
      <c r="D11481" s="38" t="str">
        <f>IFERROR(__xludf.DUMMYFUNCTION("REGEXREPLACE(C11481,""-\d+(.*)|--\d+(.*)"","""")"),"CASTELNAUDARY")</f>
        <v>CASTELNAUDARY</v>
      </c>
      <c r="E11481" s="38" t="s">
        <v>278</v>
      </c>
      <c r="F11481" s="38" t="s">
        <v>119</v>
      </c>
      <c r="G11481" s="49" t="str">
        <f t="shared" si="1"/>
        <v>11400</v>
      </c>
      <c r="H11481" s="49">
        <f t="shared" si="2"/>
        <v>11076</v>
      </c>
    </row>
    <row r="11482">
      <c r="A11482" s="48" t="s">
        <v>9817</v>
      </c>
      <c r="B11482" s="38">
        <v>85205.0</v>
      </c>
      <c r="C11482" s="38" t="s">
        <v>15570</v>
      </c>
      <c r="D11482" s="38" t="str">
        <f>IFERROR(__xludf.DUMMYFUNCTION("REGEXREPLACE(C11482,""-\d+(.*)|--\d+(.*)"","""")"),"SAINT-CYR-DES-GATS")</f>
        <v>SAINT-CYR-DES-GATS</v>
      </c>
      <c r="E11482" s="38" t="s">
        <v>179</v>
      </c>
      <c r="F11482" s="38" t="s">
        <v>180</v>
      </c>
      <c r="G11482" s="49" t="str">
        <f t="shared" si="1"/>
        <v>85410</v>
      </c>
      <c r="H11482" s="49">
        <f t="shared" si="2"/>
        <v>85205</v>
      </c>
    </row>
    <row r="11483">
      <c r="A11483" s="48" t="s">
        <v>2549</v>
      </c>
      <c r="B11483" s="38">
        <v>55380.0</v>
      </c>
      <c r="C11483" s="38" t="s">
        <v>15571</v>
      </c>
      <c r="D11483" s="38" t="str">
        <f>IFERROR(__xludf.DUMMYFUNCTION("REGEXREPLACE(C11483,""-\d+(.*)|--\d+(.*)"","""")"),"NEUVILLE-EN-VERDUNOIS")</f>
        <v>NEUVILLE-EN-VERDUNOIS</v>
      </c>
      <c r="E11483" s="38" t="s">
        <v>322</v>
      </c>
      <c r="F11483" s="38" t="s">
        <v>195</v>
      </c>
      <c r="G11483" s="49" t="str">
        <f t="shared" si="1"/>
        <v>55260</v>
      </c>
      <c r="H11483" s="49">
        <f t="shared" si="2"/>
        <v>55380</v>
      </c>
    </row>
    <row r="11484">
      <c r="A11484" s="48" t="s">
        <v>4346</v>
      </c>
      <c r="B11484" s="38">
        <v>27108.0</v>
      </c>
      <c r="C11484" s="38" t="s">
        <v>15572</v>
      </c>
      <c r="D11484" s="38" t="str">
        <f>IFERROR(__xludf.DUMMYFUNCTION("REGEXREPLACE(C11484,""-\d+(.*)|--\d+(.*)"","""")"),"BOURTH")</f>
        <v>BOURTH</v>
      </c>
      <c r="E11484" s="38" t="s">
        <v>241</v>
      </c>
      <c r="F11484" s="38" t="s">
        <v>134</v>
      </c>
      <c r="G11484" s="49" t="str">
        <f t="shared" si="1"/>
        <v>27580</v>
      </c>
      <c r="H11484" s="49">
        <f t="shared" si="2"/>
        <v>27108</v>
      </c>
    </row>
    <row r="11485">
      <c r="A11485" s="48" t="s">
        <v>4011</v>
      </c>
      <c r="B11485" s="38">
        <v>80352.0</v>
      </c>
      <c r="C11485" s="38" t="s">
        <v>15573</v>
      </c>
      <c r="D11485" s="38" t="str">
        <f>IFERROR(__xludf.DUMMYFUNCTION("REGEXREPLACE(C11485,""-\d+(.*)|--\d+(.*)"","""")"),"FREMONTIERS")</f>
        <v>FREMONTIERS</v>
      </c>
      <c r="E11485" s="38" t="s">
        <v>224</v>
      </c>
      <c r="F11485" s="38" t="s">
        <v>113</v>
      </c>
      <c r="G11485" s="49" t="str">
        <f t="shared" si="1"/>
        <v>80160</v>
      </c>
      <c r="H11485" s="49">
        <f t="shared" si="2"/>
        <v>80352</v>
      </c>
    </row>
    <row r="11486">
      <c r="A11486" s="48" t="s">
        <v>15574</v>
      </c>
      <c r="B11486" s="38">
        <v>95211.0</v>
      </c>
      <c r="C11486" s="38" t="s">
        <v>15575</v>
      </c>
      <c r="D11486" s="38" t="str">
        <f>IFERROR(__xludf.DUMMYFUNCTION("REGEXREPLACE(C11486,""-\d+(.*)|--\d+(.*)"","""")"),"ENNERY")</f>
        <v>ENNERY</v>
      </c>
      <c r="E11486" s="38" t="s">
        <v>541</v>
      </c>
      <c r="F11486" s="38" t="s">
        <v>245</v>
      </c>
      <c r="G11486" s="49" t="str">
        <f t="shared" si="1"/>
        <v>95300</v>
      </c>
      <c r="H11486" s="49">
        <f t="shared" si="2"/>
        <v>95211</v>
      </c>
    </row>
    <row r="11487">
      <c r="A11487" s="48" t="s">
        <v>2438</v>
      </c>
      <c r="B11487" s="38">
        <v>64509.0</v>
      </c>
      <c r="C11487" s="38" t="s">
        <v>15576</v>
      </c>
      <c r="D11487" s="38" t="str">
        <f>IFERROR(__xludf.DUMMYFUNCTION("REGEXREPLACE(C11487,""-\d+(.*)|--\d+(.*)"","""")"),"SAUGUIS-SAINT-ETIENNE")</f>
        <v>SAUGUIS-SAINT-ETIENNE</v>
      </c>
      <c r="E11487" s="38" t="s">
        <v>268</v>
      </c>
      <c r="F11487" s="38" t="s">
        <v>252</v>
      </c>
      <c r="G11487" s="49" t="str">
        <f t="shared" si="1"/>
        <v>64470</v>
      </c>
      <c r="H11487" s="49">
        <f t="shared" si="2"/>
        <v>64509</v>
      </c>
    </row>
    <row r="11488">
      <c r="A11488" s="48" t="s">
        <v>2400</v>
      </c>
      <c r="B11488" s="38">
        <v>25499.0</v>
      </c>
      <c r="C11488" s="38" t="s">
        <v>3380</v>
      </c>
      <c r="D11488" s="38" t="str">
        <f>IFERROR(__xludf.DUMMYFUNCTION("REGEXREPLACE(C11488,""-\d+(.*)|--\d+(.*)"","""")"),"ROMAIN")</f>
        <v>ROMAIN</v>
      </c>
      <c r="E11488" s="38" t="s">
        <v>213</v>
      </c>
      <c r="F11488" s="38" t="s">
        <v>214</v>
      </c>
      <c r="G11488" s="49" t="str">
        <f t="shared" si="1"/>
        <v>25680</v>
      </c>
      <c r="H11488" s="49">
        <f t="shared" si="2"/>
        <v>25499</v>
      </c>
    </row>
    <row r="11489">
      <c r="A11489" s="48" t="s">
        <v>12715</v>
      </c>
      <c r="B11489" s="38">
        <v>29226.0</v>
      </c>
      <c r="C11489" s="38" t="s">
        <v>15577</v>
      </c>
      <c r="D11489" s="38" t="str">
        <f>IFERROR(__xludf.DUMMYFUNCTION("REGEXREPLACE(C11489,""-\d+(.*)|--\d+(.*)"","""")"),"POULLAN-SUR-MER")</f>
        <v>POULLAN-SUR-MER</v>
      </c>
      <c r="E11489" s="38" t="s">
        <v>176</v>
      </c>
      <c r="F11489" s="38" t="s">
        <v>90</v>
      </c>
      <c r="G11489" s="49" t="str">
        <f t="shared" si="1"/>
        <v>29100</v>
      </c>
      <c r="H11489" s="49">
        <f t="shared" si="2"/>
        <v>29226</v>
      </c>
    </row>
    <row r="11490">
      <c r="A11490" s="48" t="s">
        <v>15578</v>
      </c>
      <c r="B11490" s="38">
        <v>64407.0</v>
      </c>
      <c r="C11490" s="38" t="s">
        <v>15579</v>
      </c>
      <c r="D11490" s="38" t="str">
        <f>IFERROR(__xludf.DUMMYFUNCTION("REGEXREPLACE(C11490,""-\d+(.*)|--\d+(.*)"","""")"),"MOUGUERRE")</f>
        <v>MOUGUERRE</v>
      </c>
      <c r="E11490" s="38" t="s">
        <v>268</v>
      </c>
      <c r="F11490" s="38" t="s">
        <v>252</v>
      </c>
      <c r="G11490" s="49" t="str">
        <f t="shared" si="1"/>
        <v>64990</v>
      </c>
      <c r="H11490" s="49">
        <f t="shared" si="2"/>
        <v>64407</v>
      </c>
    </row>
    <row r="11491">
      <c r="A11491" s="48" t="s">
        <v>1930</v>
      </c>
      <c r="B11491" s="38">
        <v>28008.0</v>
      </c>
      <c r="C11491" s="38" t="s">
        <v>15580</v>
      </c>
      <c r="D11491" s="38" t="str">
        <f>IFERROR(__xludf.DUMMYFUNCTION("REGEXREPLACE(C11491,""-\d+(.*)|--\d+(.*)"","""")"),"ARDELLES")</f>
        <v>ARDELLES</v>
      </c>
      <c r="E11491" s="38" t="s">
        <v>300</v>
      </c>
      <c r="F11491" s="38" t="s">
        <v>123</v>
      </c>
      <c r="G11491" s="49" t="str">
        <f t="shared" si="1"/>
        <v>28170</v>
      </c>
      <c r="H11491" s="49">
        <f t="shared" si="2"/>
        <v>28008</v>
      </c>
    </row>
    <row r="11492">
      <c r="A11492" s="48" t="s">
        <v>3545</v>
      </c>
      <c r="B11492" s="38">
        <v>17454.0</v>
      </c>
      <c r="C11492" s="38" t="s">
        <v>15581</v>
      </c>
      <c r="D11492" s="38" t="str">
        <f>IFERROR(__xludf.DUMMYFUNCTION("REGEXREPLACE(C11492,""-\d+(.*)|--\d+(.*)"","""")"),"TUGERAS-SAINT-MAURICE")</f>
        <v>TUGERAS-SAINT-MAURICE</v>
      </c>
      <c r="E11492" s="38" t="s">
        <v>488</v>
      </c>
      <c r="F11492" s="38" t="s">
        <v>338</v>
      </c>
      <c r="G11492" s="49" t="str">
        <f t="shared" si="1"/>
        <v>17130</v>
      </c>
      <c r="H11492" s="49">
        <f t="shared" si="2"/>
        <v>17454</v>
      </c>
    </row>
    <row r="11493">
      <c r="A11493" s="48" t="s">
        <v>6832</v>
      </c>
      <c r="B11493" s="38">
        <v>80058.0</v>
      </c>
      <c r="C11493" s="38" t="s">
        <v>15582</v>
      </c>
      <c r="D11493" s="38" t="str">
        <f>IFERROR(__xludf.DUMMYFUNCTION("REGEXREPLACE(C11493,""-\d+(.*)|--\d+(.*)"","""")"),"BAYONVILLERS")</f>
        <v>BAYONVILLERS</v>
      </c>
      <c r="E11493" s="38" t="s">
        <v>224</v>
      </c>
      <c r="F11493" s="38" t="s">
        <v>113</v>
      </c>
      <c r="G11493" s="49" t="str">
        <f t="shared" si="1"/>
        <v>80170</v>
      </c>
      <c r="H11493" s="49">
        <f t="shared" si="2"/>
        <v>80058</v>
      </c>
    </row>
    <row r="11494">
      <c r="A11494" s="48" t="s">
        <v>4193</v>
      </c>
      <c r="B11494" s="38">
        <v>17377.0</v>
      </c>
      <c r="C11494" s="38" t="s">
        <v>1551</v>
      </c>
      <c r="D11494" s="38" t="str">
        <f>IFERROR(__xludf.DUMMYFUNCTION("REGEXREPLACE(C11494,""-\d+(.*)|--\d+(.*)"","""")"),"SAINT-OUEN")</f>
        <v>SAINT-OUEN</v>
      </c>
      <c r="E11494" s="38" t="s">
        <v>488</v>
      </c>
      <c r="F11494" s="38" t="s">
        <v>338</v>
      </c>
      <c r="G11494" s="49" t="str">
        <f t="shared" si="1"/>
        <v>17490</v>
      </c>
      <c r="H11494" s="49">
        <f t="shared" si="2"/>
        <v>17377</v>
      </c>
    </row>
    <row r="11495">
      <c r="A11495" s="48" t="s">
        <v>301</v>
      </c>
      <c r="B11495" s="38">
        <v>57132.0</v>
      </c>
      <c r="C11495" s="38" t="s">
        <v>15583</v>
      </c>
      <c r="D11495" s="38" t="str">
        <f>IFERROR(__xludf.DUMMYFUNCTION("REGEXREPLACE(C11495,""-\d+(.*)|--\d+(.*)"","""")"),"CHATEAU-SALINS")</f>
        <v>CHATEAU-SALINS</v>
      </c>
      <c r="E11495" s="38" t="s">
        <v>303</v>
      </c>
      <c r="F11495" s="38" t="s">
        <v>195</v>
      </c>
      <c r="G11495" s="49" t="str">
        <f t="shared" si="1"/>
        <v>57170</v>
      </c>
      <c r="H11495" s="49">
        <f t="shared" si="2"/>
        <v>57132</v>
      </c>
    </row>
    <row r="11496">
      <c r="A11496" s="48" t="s">
        <v>3260</v>
      </c>
      <c r="B11496" s="38">
        <v>3300.0</v>
      </c>
      <c r="C11496" s="38" t="s">
        <v>15584</v>
      </c>
      <c r="D11496" s="38" t="str">
        <f>IFERROR(__xludf.DUMMYFUNCTION("REGEXREPLACE(C11496,""-\d+(.*)|--\d+(.*)"","""")"),"VAUMAS")</f>
        <v>VAUMAS</v>
      </c>
      <c r="E11496" s="38" t="s">
        <v>160</v>
      </c>
      <c r="F11496" s="38" t="s">
        <v>161</v>
      </c>
      <c r="G11496" s="49" t="str">
        <f t="shared" si="1"/>
        <v>03220</v>
      </c>
      <c r="H11496" s="49" t="str">
        <f t="shared" si="2"/>
        <v>03300</v>
      </c>
    </row>
    <row r="11497">
      <c r="A11497" s="48" t="s">
        <v>11884</v>
      </c>
      <c r="B11497" s="38">
        <v>37111.0</v>
      </c>
      <c r="C11497" s="38" t="s">
        <v>15585</v>
      </c>
      <c r="D11497" s="38" t="str">
        <f>IFERROR(__xludf.DUMMYFUNCTION("REGEXREPLACE(C11497,""-\d+(.*)|--\d+(.*)"","""")"),"GENILLE")</f>
        <v>GENILLE</v>
      </c>
      <c r="E11497" s="38" t="s">
        <v>205</v>
      </c>
      <c r="F11497" s="38" t="s">
        <v>123</v>
      </c>
      <c r="G11497" s="49" t="str">
        <f t="shared" si="1"/>
        <v>37460</v>
      </c>
      <c r="H11497" s="49">
        <f t="shared" si="2"/>
        <v>37111</v>
      </c>
    </row>
    <row r="11498">
      <c r="A11498" s="48" t="s">
        <v>522</v>
      </c>
      <c r="B11498" s="38">
        <v>39120.0</v>
      </c>
      <c r="C11498" s="38" t="s">
        <v>15586</v>
      </c>
      <c r="D11498" s="38" t="str">
        <f>IFERROR(__xludf.DUMMYFUNCTION("REGEXREPLACE(C11498,""-\d+(.*)|--\d+(.*)"","""")"),"CHATELNEUF")</f>
        <v>CHATELNEUF</v>
      </c>
      <c r="E11498" s="38" t="s">
        <v>400</v>
      </c>
      <c r="F11498" s="38" t="s">
        <v>214</v>
      </c>
      <c r="G11498" s="49" t="str">
        <f t="shared" si="1"/>
        <v>39300</v>
      </c>
      <c r="H11498" s="49">
        <f t="shared" si="2"/>
        <v>39120</v>
      </c>
    </row>
    <row r="11499">
      <c r="A11499" s="48" t="s">
        <v>773</v>
      </c>
      <c r="B11499" s="38">
        <v>27203.0</v>
      </c>
      <c r="C11499" s="38" t="s">
        <v>15587</v>
      </c>
      <c r="D11499" s="38" t="str">
        <f>IFERROR(__xludf.DUMMYFUNCTION("REGEXREPLACE(C11499,""-\d+(.*)|--\d+(.*)"","""")"),"DOUAINS")</f>
        <v>DOUAINS</v>
      </c>
      <c r="E11499" s="38" t="s">
        <v>241</v>
      </c>
      <c r="F11499" s="38" t="s">
        <v>134</v>
      </c>
      <c r="G11499" s="49" t="str">
        <f t="shared" si="1"/>
        <v>27120</v>
      </c>
      <c r="H11499" s="49">
        <f t="shared" si="2"/>
        <v>27203</v>
      </c>
    </row>
    <row r="11500">
      <c r="A11500" s="48" t="s">
        <v>10559</v>
      </c>
      <c r="B11500" s="38">
        <v>91244.0</v>
      </c>
      <c r="C11500" s="38" t="s">
        <v>15588</v>
      </c>
      <c r="D11500" s="38" t="str">
        <f>IFERROR(__xludf.DUMMYFUNCTION("REGEXREPLACE(C11500,""-\d+(.*)|--\d+(.*)"","""")"),"FONTENAY-LE-VICOMTE")</f>
        <v>FONTENAY-LE-VICOMTE</v>
      </c>
      <c r="E11500" s="38" t="s">
        <v>756</v>
      </c>
      <c r="F11500" s="38" t="s">
        <v>245</v>
      </c>
      <c r="G11500" s="49" t="str">
        <f t="shared" si="1"/>
        <v>91540</v>
      </c>
      <c r="H11500" s="49">
        <f t="shared" si="2"/>
        <v>91244</v>
      </c>
    </row>
    <row r="11501">
      <c r="A11501" s="48" t="s">
        <v>91</v>
      </c>
      <c r="B11501" s="38">
        <v>31267.0</v>
      </c>
      <c r="C11501" s="38" t="s">
        <v>15589</v>
      </c>
      <c r="D11501" s="38" t="str">
        <f>IFERROR(__xludf.DUMMYFUNCTION("REGEXREPLACE(C11501,""-\d+(.*)|--\d+(.*)"","""")"),"LAHITERE")</f>
        <v>LAHITERE</v>
      </c>
      <c r="E11501" s="38" t="s">
        <v>93</v>
      </c>
      <c r="F11501" s="38" t="s">
        <v>94</v>
      </c>
      <c r="G11501" s="49" t="str">
        <f t="shared" si="1"/>
        <v>31310</v>
      </c>
      <c r="H11501" s="49">
        <f t="shared" si="2"/>
        <v>31267</v>
      </c>
    </row>
    <row r="11502">
      <c r="A11502" s="48" t="s">
        <v>15590</v>
      </c>
      <c r="B11502" s="38">
        <v>31417.0</v>
      </c>
      <c r="C11502" s="38" t="s">
        <v>15591</v>
      </c>
      <c r="D11502" s="38" t="str">
        <f>IFERROR(__xludf.DUMMYFUNCTION("REGEXREPLACE(C11502,""-\d+(.*)|--\d+(.*)"","""")"),"PIBRAC")</f>
        <v>PIBRAC</v>
      </c>
      <c r="E11502" s="38" t="s">
        <v>93</v>
      </c>
      <c r="F11502" s="38" t="s">
        <v>94</v>
      </c>
      <c r="G11502" s="49" t="str">
        <f t="shared" si="1"/>
        <v>31820</v>
      </c>
      <c r="H11502" s="49">
        <f t="shared" si="2"/>
        <v>31417</v>
      </c>
    </row>
    <row r="11503">
      <c r="A11503" s="48" t="s">
        <v>1947</v>
      </c>
      <c r="B11503" s="38">
        <v>52122.0</v>
      </c>
      <c r="C11503" s="38" t="s">
        <v>15592</v>
      </c>
      <c r="D11503" s="38" t="str">
        <f>IFERROR(__xludf.DUMMYFUNCTION("REGEXREPLACE(C11503,""-\d+(.*)|--\d+(.*)"","""")"),"CHAUMONT-LA-VILLE")</f>
        <v>CHAUMONT-LA-VILLE</v>
      </c>
      <c r="E11503" s="38" t="s">
        <v>234</v>
      </c>
      <c r="F11503" s="38" t="s">
        <v>130</v>
      </c>
      <c r="G11503" s="49" t="str">
        <f t="shared" si="1"/>
        <v>52150</v>
      </c>
      <c r="H11503" s="49">
        <f t="shared" si="2"/>
        <v>52122</v>
      </c>
    </row>
    <row r="11504">
      <c r="A11504" s="48" t="s">
        <v>2130</v>
      </c>
      <c r="B11504" s="38">
        <v>62670.0</v>
      </c>
      <c r="C11504" s="38" t="s">
        <v>15593</v>
      </c>
      <c r="D11504" s="38" t="str">
        <f>IFERROR(__xludf.DUMMYFUNCTION("REGEXREPLACE(C11504,""-\d+(.*)|--\d+(.*)"","""")"),"PREURES")</f>
        <v>PREURES</v>
      </c>
      <c r="E11504" s="38" t="s">
        <v>109</v>
      </c>
      <c r="F11504" s="38" t="s">
        <v>86</v>
      </c>
      <c r="G11504" s="49" t="str">
        <f t="shared" si="1"/>
        <v>62650</v>
      </c>
      <c r="H11504" s="49">
        <f t="shared" si="2"/>
        <v>62670</v>
      </c>
    </row>
    <row r="11505">
      <c r="A11505" s="48" t="s">
        <v>2631</v>
      </c>
      <c r="B11505" s="38">
        <v>64264.0</v>
      </c>
      <c r="C11505" s="38" t="s">
        <v>15594</v>
      </c>
      <c r="D11505" s="38" t="str">
        <f>IFERROR(__xludf.DUMMYFUNCTION("REGEXREPLACE(C11505,""-\d+(.*)|--\d+(.*)"","""")"),"L'HOPITAL-SAINT-BLAISE")</f>
        <v>L'HOPITAL-SAINT-BLAISE</v>
      </c>
      <c r="E11505" s="38" t="s">
        <v>268</v>
      </c>
      <c r="F11505" s="38" t="s">
        <v>252</v>
      </c>
      <c r="G11505" s="49" t="str">
        <f t="shared" si="1"/>
        <v>64130</v>
      </c>
      <c r="H11505" s="49">
        <f t="shared" si="2"/>
        <v>64264</v>
      </c>
    </row>
    <row r="11506">
      <c r="A11506" s="48" t="s">
        <v>879</v>
      </c>
      <c r="B11506" s="38">
        <v>24433.0</v>
      </c>
      <c r="C11506" s="38" t="s">
        <v>15595</v>
      </c>
      <c r="D11506" s="38" t="str">
        <f>IFERROR(__xludf.DUMMYFUNCTION("REGEXREPLACE(C11506,""-\d+(.*)|--\d+(.*)"","""")"),"SAINT-JULIEN-D'EYMET")</f>
        <v>SAINT-JULIEN-D'EYMET</v>
      </c>
      <c r="E11506" s="38" t="s">
        <v>261</v>
      </c>
      <c r="F11506" s="38" t="s">
        <v>252</v>
      </c>
      <c r="G11506" s="49" t="str">
        <f t="shared" si="1"/>
        <v>24500</v>
      </c>
      <c r="H11506" s="49">
        <f t="shared" si="2"/>
        <v>24433</v>
      </c>
    </row>
    <row r="11507">
      <c r="A11507" s="48" t="s">
        <v>8831</v>
      </c>
      <c r="B11507" s="38">
        <v>15053.0</v>
      </c>
      <c r="C11507" s="38" t="s">
        <v>15596</v>
      </c>
      <c r="D11507" s="38" t="str">
        <f>IFERROR(__xludf.DUMMYFUNCTION("REGEXREPLACE(C11507,""-\d+(.*)|--\d+(.*)"","""")"),"COLTINES")</f>
        <v>COLTINES</v>
      </c>
      <c r="E11507" s="38" t="s">
        <v>632</v>
      </c>
      <c r="F11507" s="38" t="s">
        <v>161</v>
      </c>
      <c r="G11507" s="49" t="str">
        <f t="shared" si="1"/>
        <v>15170</v>
      </c>
      <c r="H11507" s="49">
        <f t="shared" si="2"/>
        <v>15053</v>
      </c>
    </row>
    <row r="11508">
      <c r="A11508" s="48" t="s">
        <v>3912</v>
      </c>
      <c r="B11508" s="38">
        <v>38435.0</v>
      </c>
      <c r="C11508" s="38" t="s">
        <v>15597</v>
      </c>
      <c r="D11508" s="38" t="str">
        <f>IFERROR(__xludf.DUMMYFUNCTION("REGEXREPLACE(C11508,""-\d+(.*)|--\d+(.*)"","""")"),"SAINT-PANCRASSE")</f>
        <v>SAINT-PANCRASSE</v>
      </c>
      <c r="E11508" s="38" t="s">
        <v>101</v>
      </c>
      <c r="F11508" s="38" t="s">
        <v>102</v>
      </c>
      <c r="G11508" s="49" t="str">
        <f t="shared" si="1"/>
        <v>38660</v>
      </c>
      <c r="H11508" s="49">
        <f t="shared" si="2"/>
        <v>38435</v>
      </c>
    </row>
    <row r="11509">
      <c r="A11509" s="48" t="s">
        <v>724</v>
      </c>
      <c r="B11509" s="38">
        <v>32187.0</v>
      </c>
      <c r="C11509" s="38" t="s">
        <v>15598</v>
      </c>
      <c r="D11509" s="38" t="str">
        <f>IFERROR(__xludf.DUMMYFUNCTION("REGEXREPLACE(C11509,""-\d+(.*)|--\d+(.*)"","""")"),"LAMAZERE")</f>
        <v>LAMAZERE</v>
      </c>
      <c r="E11509" s="38" t="s">
        <v>440</v>
      </c>
      <c r="F11509" s="38" t="s">
        <v>94</v>
      </c>
      <c r="G11509" s="49" t="str">
        <f t="shared" si="1"/>
        <v>32300</v>
      </c>
      <c r="H11509" s="49">
        <f t="shared" si="2"/>
        <v>32187</v>
      </c>
    </row>
    <row r="11510">
      <c r="A11510" s="48" t="s">
        <v>1178</v>
      </c>
      <c r="B11510" s="38">
        <v>1385.0</v>
      </c>
      <c r="C11510" s="38" t="s">
        <v>2361</v>
      </c>
      <c r="D11510" s="38" t="str">
        <f>IFERROR(__xludf.DUMMYFUNCTION("REGEXREPLACE(C11510,""-\d+(.*)|--\d+(.*)"","""")"),"SAINT-REMY")</f>
        <v>SAINT-REMY</v>
      </c>
      <c r="E11510" s="38" t="s">
        <v>255</v>
      </c>
      <c r="F11510" s="38" t="s">
        <v>102</v>
      </c>
      <c r="G11510" s="49" t="str">
        <f t="shared" si="1"/>
        <v>01310</v>
      </c>
      <c r="H11510" s="49" t="str">
        <f t="shared" si="2"/>
        <v>01385</v>
      </c>
    </row>
    <row r="11511">
      <c r="A11511" s="48" t="s">
        <v>15599</v>
      </c>
      <c r="B11511" s="38">
        <v>5007.0</v>
      </c>
      <c r="C11511" s="38" t="s">
        <v>15600</v>
      </c>
      <c r="D11511" s="38" t="str">
        <f>IFERROR(__xludf.DUMMYFUNCTION("REGEXREPLACE(C11511,""-\d+(.*)|--\d+(.*)"","""")"),"ARVIEUX")</f>
        <v>ARVIEUX</v>
      </c>
      <c r="E11511" s="38" t="s">
        <v>706</v>
      </c>
      <c r="F11511" s="38" t="s">
        <v>228</v>
      </c>
      <c r="G11511" s="49" t="str">
        <f t="shared" si="1"/>
        <v>05350</v>
      </c>
      <c r="H11511" s="49" t="str">
        <f t="shared" si="2"/>
        <v>05007</v>
      </c>
    </row>
    <row r="11512">
      <c r="A11512" s="48" t="s">
        <v>6487</v>
      </c>
      <c r="B11512" s="38">
        <v>1112.0</v>
      </c>
      <c r="C11512" s="38" t="s">
        <v>15314</v>
      </c>
      <c r="D11512" s="38" t="str">
        <f>IFERROR(__xludf.DUMMYFUNCTION("REGEXREPLACE(C11512,""-\d+(.*)|--\d+(.*)"","""")"),"CONDAMINE")</f>
        <v>CONDAMINE</v>
      </c>
      <c r="E11512" s="38" t="s">
        <v>255</v>
      </c>
      <c r="F11512" s="38" t="s">
        <v>102</v>
      </c>
      <c r="G11512" s="49" t="str">
        <f t="shared" si="1"/>
        <v>01430</v>
      </c>
      <c r="H11512" s="49" t="str">
        <f t="shared" si="2"/>
        <v>01112</v>
      </c>
    </row>
    <row r="11513">
      <c r="A11513" s="48" t="s">
        <v>1170</v>
      </c>
      <c r="B11513" s="38">
        <v>14043.0</v>
      </c>
      <c r="C11513" s="38" t="s">
        <v>15601</v>
      </c>
      <c r="D11513" s="38" t="str">
        <f>IFERROR(__xludf.DUMMYFUNCTION("REGEXREPLACE(C11513,""-\d+(.*)|--\d+(.*)"","""")"),"BAROU-EN-AUGE")</f>
        <v>BAROU-EN-AUGE</v>
      </c>
      <c r="E11513" s="38" t="s">
        <v>137</v>
      </c>
      <c r="F11513" s="38" t="s">
        <v>138</v>
      </c>
      <c r="G11513" s="49" t="str">
        <f t="shared" si="1"/>
        <v>14620</v>
      </c>
      <c r="H11513" s="49">
        <f t="shared" si="2"/>
        <v>14043</v>
      </c>
    </row>
    <row r="11514">
      <c r="A11514" s="48" t="s">
        <v>1381</v>
      </c>
      <c r="B11514" s="38">
        <v>62544.0</v>
      </c>
      <c r="C11514" s="38" t="s">
        <v>15602</v>
      </c>
      <c r="D11514" s="38" t="str">
        <f>IFERROR(__xludf.DUMMYFUNCTION("REGEXREPLACE(C11514,""-\d+(.*)|--\d+(.*)"","""")"),"MANIN")</f>
        <v>MANIN</v>
      </c>
      <c r="E11514" s="38" t="s">
        <v>109</v>
      </c>
      <c r="F11514" s="38" t="s">
        <v>86</v>
      </c>
      <c r="G11514" s="49" t="str">
        <f t="shared" si="1"/>
        <v>62810</v>
      </c>
      <c r="H11514" s="49">
        <f t="shared" si="2"/>
        <v>62544</v>
      </c>
    </row>
    <row r="11515">
      <c r="A11515" s="48" t="s">
        <v>15603</v>
      </c>
      <c r="B11515" s="38">
        <v>88487.0</v>
      </c>
      <c r="C11515" s="38" t="s">
        <v>15604</v>
      </c>
      <c r="D11515" s="38" t="str">
        <f>IFERROR(__xludf.DUMMYFUNCTION("REGEXREPLACE(C11515,""-\d+(.*)|--\d+(.*)"","""")"),"LE VAL-D'AJOL")</f>
        <v>LE VAL-D'AJOL</v>
      </c>
      <c r="E11515" s="38" t="s">
        <v>194</v>
      </c>
      <c r="F11515" s="38" t="s">
        <v>195</v>
      </c>
      <c r="G11515" s="49" t="str">
        <f t="shared" si="1"/>
        <v>88340</v>
      </c>
      <c r="H11515" s="49">
        <f t="shared" si="2"/>
        <v>88487</v>
      </c>
    </row>
    <row r="11516">
      <c r="A11516" s="48" t="s">
        <v>15605</v>
      </c>
      <c r="B11516" s="38">
        <v>35287.0</v>
      </c>
      <c r="C11516" s="38" t="s">
        <v>15606</v>
      </c>
      <c r="D11516" s="38" t="str">
        <f>IFERROR(__xludf.DUMMYFUNCTION("REGEXREPLACE(C11516,""-\d+(.*)|--\d+(.*)"","""")"),"SAINT-LUNAIRE")</f>
        <v>SAINT-LUNAIRE</v>
      </c>
      <c r="E11516" s="38" t="s">
        <v>347</v>
      </c>
      <c r="F11516" s="38" t="s">
        <v>90</v>
      </c>
      <c r="G11516" s="49" t="str">
        <f t="shared" si="1"/>
        <v>35800</v>
      </c>
      <c r="H11516" s="49">
        <f t="shared" si="2"/>
        <v>35287</v>
      </c>
    </row>
    <row r="11517">
      <c r="A11517" s="48" t="s">
        <v>683</v>
      </c>
      <c r="B11517" s="38">
        <v>64083.0</v>
      </c>
      <c r="C11517" s="38" t="s">
        <v>15607</v>
      </c>
      <c r="D11517" s="38" t="str">
        <f>IFERROR(__xludf.DUMMYFUNCTION("REGEXREPLACE(C11517,""-\d+(.*)|--\d+(.*)"","""")"),"AUTEVIELLE-SAINT-MARTIN-BIDEREN")</f>
        <v>AUTEVIELLE-SAINT-MARTIN-BIDEREN</v>
      </c>
      <c r="E11517" s="38" t="s">
        <v>268</v>
      </c>
      <c r="F11517" s="38" t="s">
        <v>252</v>
      </c>
      <c r="G11517" s="49" t="str">
        <f t="shared" si="1"/>
        <v>64390</v>
      </c>
      <c r="H11517" s="49">
        <f t="shared" si="2"/>
        <v>64083</v>
      </c>
    </row>
    <row r="11518">
      <c r="A11518" s="48" t="s">
        <v>1072</v>
      </c>
      <c r="B11518" s="38">
        <v>86136.0</v>
      </c>
      <c r="C11518" s="38" t="s">
        <v>15608</v>
      </c>
      <c r="D11518" s="38" t="str">
        <f>IFERROR(__xludf.DUMMYFUNCTION("REGEXREPLACE(C11518,""-\d+(.*)|--\d+(.*)"","""")"),"LIZANT")</f>
        <v>LIZANT</v>
      </c>
      <c r="E11518" s="38" t="s">
        <v>529</v>
      </c>
      <c r="F11518" s="38" t="s">
        <v>338</v>
      </c>
      <c r="G11518" s="49" t="str">
        <f t="shared" si="1"/>
        <v>86400</v>
      </c>
      <c r="H11518" s="49">
        <f t="shared" si="2"/>
        <v>86136</v>
      </c>
    </row>
    <row r="11519">
      <c r="A11519" s="48" t="s">
        <v>15609</v>
      </c>
      <c r="B11519" s="38">
        <v>14246.0</v>
      </c>
      <c r="C11519" s="38" t="s">
        <v>15610</v>
      </c>
      <c r="D11519" s="38" t="str">
        <f>IFERROR(__xludf.DUMMYFUNCTION("REGEXREPLACE(C11519,""-\d+(.*)|--\d+(.*)"","""")"),"ESCOVILLE")</f>
        <v>ESCOVILLE</v>
      </c>
      <c r="E11519" s="38" t="s">
        <v>137</v>
      </c>
      <c r="F11519" s="38" t="s">
        <v>138</v>
      </c>
      <c r="G11519" s="49" t="str">
        <f t="shared" si="1"/>
        <v>14850</v>
      </c>
      <c r="H11519" s="49">
        <f t="shared" si="2"/>
        <v>14246</v>
      </c>
    </row>
    <row r="11520">
      <c r="A11520" s="48" t="s">
        <v>5587</v>
      </c>
      <c r="B11520" s="38">
        <v>3317.0</v>
      </c>
      <c r="C11520" s="38" t="s">
        <v>15611</v>
      </c>
      <c r="D11520" s="38" t="str">
        <f>IFERROR(__xludf.DUMMYFUNCTION("REGEXREPLACE(C11520,""-\d+(.*)|--\d+(.*)"","""")"),"VIPLAIX")</f>
        <v>VIPLAIX</v>
      </c>
      <c r="E11520" s="38" t="s">
        <v>160</v>
      </c>
      <c r="F11520" s="38" t="s">
        <v>161</v>
      </c>
      <c r="G11520" s="49" t="str">
        <f t="shared" si="1"/>
        <v>03370</v>
      </c>
      <c r="H11520" s="49" t="str">
        <f t="shared" si="2"/>
        <v>03317</v>
      </c>
    </row>
    <row r="11521">
      <c r="A11521" s="48" t="s">
        <v>1883</v>
      </c>
      <c r="B11521" s="38">
        <v>39430.0</v>
      </c>
      <c r="C11521" s="38" t="s">
        <v>15612</v>
      </c>
      <c r="D11521" s="38" t="str">
        <f>IFERROR(__xludf.DUMMYFUNCTION("REGEXREPLACE(C11521,""-\d+(.*)|--\d+(.*)"","""")"),"PLUMONT")</f>
        <v>PLUMONT</v>
      </c>
      <c r="E11521" s="38" t="s">
        <v>400</v>
      </c>
      <c r="F11521" s="38" t="s">
        <v>214</v>
      </c>
      <c r="G11521" s="49" t="str">
        <f t="shared" si="1"/>
        <v>39700</v>
      </c>
      <c r="H11521" s="49">
        <f t="shared" si="2"/>
        <v>39430</v>
      </c>
    </row>
    <row r="11522">
      <c r="A11522" s="48" t="s">
        <v>618</v>
      </c>
      <c r="B11522" s="38">
        <v>54522.0</v>
      </c>
      <c r="C11522" s="38" t="s">
        <v>15613</v>
      </c>
      <c r="D11522" s="38" t="str">
        <f>IFERROR(__xludf.DUMMYFUNCTION("REGEXREPLACE(C11522,""-\d+(.*)|--\d+(.*)"","""")"),"THOREY-LYAUTEY")</f>
        <v>THOREY-LYAUTEY</v>
      </c>
      <c r="E11522" s="38" t="s">
        <v>548</v>
      </c>
      <c r="F11522" s="38" t="s">
        <v>195</v>
      </c>
      <c r="G11522" s="49" t="str">
        <f t="shared" si="1"/>
        <v>54115</v>
      </c>
      <c r="H11522" s="49">
        <f t="shared" si="2"/>
        <v>54522</v>
      </c>
    </row>
    <row r="11523">
      <c r="A11523" s="48" t="s">
        <v>386</v>
      </c>
      <c r="B11523" s="38">
        <v>21609.0</v>
      </c>
      <c r="C11523" s="38" t="s">
        <v>15614</v>
      </c>
      <c r="D11523" s="38" t="str">
        <f>IFERROR(__xludf.DUMMYFUNCTION("REGEXREPLACE(C11523,""-\d+(.*)|--\d+(.*)"","""")"),"SOIRANS")</f>
        <v>SOIRANS</v>
      </c>
      <c r="E11523" s="38" t="s">
        <v>105</v>
      </c>
      <c r="F11523" s="38" t="s">
        <v>106</v>
      </c>
      <c r="G11523" s="49" t="str">
        <f t="shared" si="1"/>
        <v>21110</v>
      </c>
      <c r="H11523" s="49">
        <f t="shared" si="2"/>
        <v>21609</v>
      </c>
    </row>
    <row r="11524">
      <c r="A11524" s="48" t="s">
        <v>4586</v>
      </c>
      <c r="B11524" s="38">
        <v>40223.0</v>
      </c>
      <c r="C11524" s="38" t="s">
        <v>15615</v>
      </c>
      <c r="D11524" s="38" t="str">
        <f>IFERROR(__xludf.DUMMYFUNCTION("REGEXREPLACE(C11524,""-\d+(.*)|--\d+(.*)"","""")"),"PEYRE")</f>
        <v>PEYRE</v>
      </c>
      <c r="E11524" s="38" t="s">
        <v>281</v>
      </c>
      <c r="F11524" s="38" t="s">
        <v>252</v>
      </c>
      <c r="G11524" s="49" t="str">
        <f t="shared" si="1"/>
        <v>40700</v>
      </c>
      <c r="H11524" s="49">
        <f t="shared" si="2"/>
        <v>40223</v>
      </c>
    </row>
    <row r="11525">
      <c r="A11525" s="48" t="s">
        <v>7501</v>
      </c>
      <c r="B11525" s="38">
        <v>9090.0</v>
      </c>
      <c r="C11525" s="38" t="s">
        <v>15616</v>
      </c>
      <c r="D11525" s="38" t="str">
        <f>IFERROR(__xludf.DUMMYFUNCTION("REGEXREPLACE(C11525,""-\d+(.*)|--\d+(.*)"","""")"),"CAZAUX")</f>
        <v>CAZAUX</v>
      </c>
      <c r="E11525" s="38" t="s">
        <v>238</v>
      </c>
      <c r="F11525" s="38" t="s">
        <v>94</v>
      </c>
      <c r="G11525" s="49" t="str">
        <f t="shared" si="1"/>
        <v>09120</v>
      </c>
      <c r="H11525" s="49" t="str">
        <f t="shared" si="2"/>
        <v>09090</v>
      </c>
    </row>
    <row r="11526">
      <c r="A11526" s="48" t="s">
        <v>15617</v>
      </c>
      <c r="B11526" s="38">
        <v>82037.0</v>
      </c>
      <c r="C11526" s="38" t="s">
        <v>15618</v>
      </c>
      <c r="D11526" s="38" t="str">
        <f>IFERROR(__xludf.DUMMYFUNCTION("REGEXREPLACE(C11526,""-\d+(.*)|--\d+(.*)"","""")"),"CAUSSADE")</f>
        <v>CAUSSADE</v>
      </c>
      <c r="E11526" s="38" t="s">
        <v>570</v>
      </c>
      <c r="F11526" s="38" t="s">
        <v>94</v>
      </c>
      <c r="G11526" s="49" t="str">
        <f t="shared" si="1"/>
        <v>82300</v>
      </c>
      <c r="H11526" s="49">
        <f t="shared" si="2"/>
        <v>82037</v>
      </c>
    </row>
    <row r="11527">
      <c r="A11527" s="48" t="s">
        <v>6825</v>
      </c>
      <c r="B11527" s="38">
        <v>14539.0</v>
      </c>
      <c r="C11527" s="38" t="s">
        <v>15619</v>
      </c>
      <c r="D11527" s="38" t="str">
        <f>IFERROR(__xludf.DUMMYFUNCTION("REGEXREPLACE(C11527,""-\d+(.*)|--\d+(.*)"","""")"),"LA ROCQUE")</f>
        <v>LA ROCQUE</v>
      </c>
      <c r="E11527" s="38" t="s">
        <v>137</v>
      </c>
      <c r="F11527" s="38" t="s">
        <v>138</v>
      </c>
      <c r="G11527" s="49" t="str">
        <f t="shared" si="1"/>
        <v>14410</v>
      </c>
      <c r="H11527" s="49">
        <f t="shared" si="2"/>
        <v>14539</v>
      </c>
    </row>
    <row r="11528">
      <c r="A11528" s="48" t="s">
        <v>10253</v>
      </c>
      <c r="B11528" s="38">
        <v>48084.0</v>
      </c>
      <c r="C11528" s="38" t="s">
        <v>15620</v>
      </c>
      <c r="D11528" s="38" t="str">
        <f>IFERROR(__xludf.DUMMYFUNCTION("REGEXREPLACE(C11528,""-\d+(.*)|--\d+(.*)"","""")"),"LAVAL-ATGER")</f>
        <v>LAVAL-ATGER</v>
      </c>
      <c r="E11528" s="38" t="s">
        <v>154</v>
      </c>
      <c r="F11528" s="38" t="s">
        <v>119</v>
      </c>
      <c r="G11528" s="49" t="str">
        <f t="shared" si="1"/>
        <v>48600</v>
      </c>
      <c r="H11528" s="49">
        <f t="shared" si="2"/>
        <v>48084</v>
      </c>
    </row>
    <row r="11529">
      <c r="A11529" s="48" t="s">
        <v>15621</v>
      </c>
      <c r="B11529" s="38">
        <v>35024.0</v>
      </c>
      <c r="C11529" s="38" t="s">
        <v>15622</v>
      </c>
      <c r="D11529" s="38" t="str">
        <f>IFERROR(__xludf.DUMMYFUNCTION("REGEXREPLACE(C11529,""-\d+(.*)|--\d+(.*)"","""")"),"BETTON")</f>
        <v>BETTON</v>
      </c>
      <c r="E11529" s="38" t="s">
        <v>347</v>
      </c>
      <c r="F11529" s="38" t="s">
        <v>90</v>
      </c>
      <c r="G11529" s="49" t="str">
        <f t="shared" si="1"/>
        <v>35830</v>
      </c>
      <c r="H11529" s="49">
        <f t="shared" si="2"/>
        <v>35024</v>
      </c>
    </row>
    <row r="11530">
      <c r="A11530" s="48" t="s">
        <v>15623</v>
      </c>
      <c r="B11530" s="38">
        <v>69235.0</v>
      </c>
      <c r="C11530" s="38" t="s">
        <v>15624</v>
      </c>
      <c r="D11530" s="38" t="str">
        <f>IFERROR(__xludf.DUMMYFUNCTION("REGEXREPLACE(C11530,""-\d+(.*)|--\d+(.*)"","""")"),"SAINT-ROMAIN-EN-GAL")</f>
        <v>SAINT-ROMAIN-EN-GAL</v>
      </c>
      <c r="E11530" s="38" t="s">
        <v>350</v>
      </c>
      <c r="F11530" s="38" t="s">
        <v>102</v>
      </c>
      <c r="G11530" s="49" t="str">
        <f t="shared" si="1"/>
        <v>69560</v>
      </c>
      <c r="H11530" s="49">
        <f t="shared" si="2"/>
        <v>69235</v>
      </c>
    </row>
    <row r="11531">
      <c r="A11531" s="48" t="s">
        <v>13139</v>
      </c>
      <c r="B11531" s="38">
        <v>62153.0</v>
      </c>
      <c r="C11531" s="38" t="s">
        <v>15625</v>
      </c>
      <c r="D11531" s="38" t="str">
        <f>IFERROR(__xludf.DUMMYFUNCTION("REGEXREPLACE(C11531,""-\d+(.*)|--\d+(.*)"","""")"),"BOMY")</f>
        <v>BOMY</v>
      </c>
      <c r="E11531" s="38" t="s">
        <v>109</v>
      </c>
      <c r="F11531" s="38" t="s">
        <v>86</v>
      </c>
      <c r="G11531" s="49" t="str">
        <f t="shared" si="1"/>
        <v>62960</v>
      </c>
      <c r="H11531" s="49">
        <f t="shared" si="2"/>
        <v>62153</v>
      </c>
    </row>
    <row r="11532">
      <c r="A11532" s="48" t="s">
        <v>7166</v>
      </c>
      <c r="B11532" s="38">
        <v>52220.0</v>
      </c>
      <c r="C11532" s="38" t="s">
        <v>15626</v>
      </c>
      <c r="D11532" s="38" t="str">
        <f>IFERROR(__xludf.DUMMYFUNCTION("REGEXREPLACE(C11532,""-\d+(.*)|--\d+(.*)"","""")"),"GIEY-SUR-AUJON")</f>
        <v>GIEY-SUR-AUJON</v>
      </c>
      <c r="E11532" s="38" t="s">
        <v>234</v>
      </c>
      <c r="F11532" s="38" t="s">
        <v>130</v>
      </c>
      <c r="G11532" s="49" t="str">
        <f t="shared" si="1"/>
        <v>52210</v>
      </c>
      <c r="H11532" s="49">
        <f t="shared" si="2"/>
        <v>52220</v>
      </c>
    </row>
    <row r="11533">
      <c r="A11533" s="48" t="s">
        <v>5759</v>
      </c>
      <c r="B11533" s="38">
        <v>59306.0</v>
      </c>
      <c r="C11533" s="38" t="s">
        <v>15627</v>
      </c>
      <c r="D11533" s="38" t="str">
        <f>IFERROR(__xludf.DUMMYFUNCTION("REGEXREPLACE(C11533,""-\d+(.*)|--\d+(.*)"","""")"),"HESTRUD")</f>
        <v>HESTRUD</v>
      </c>
      <c r="E11533" s="38" t="s">
        <v>85</v>
      </c>
      <c r="F11533" s="38" t="s">
        <v>86</v>
      </c>
      <c r="G11533" s="49" t="str">
        <f t="shared" si="1"/>
        <v>59740</v>
      </c>
      <c r="H11533" s="49">
        <f t="shared" si="2"/>
        <v>59306</v>
      </c>
    </row>
    <row r="11534">
      <c r="A11534" s="48" t="s">
        <v>15628</v>
      </c>
      <c r="B11534" s="38">
        <v>77150.0</v>
      </c>
      <c r="C11534" s="38" t="s">
        <v>15629</v>
      </c>
      <c r="D11534" s="38" t="str">
        <f>IFERROR(__xludf.DUMMYFUNCTION("REGEXREPLACE(C11534,""-\d+(.*)|--\d+(.*)"","""")"),"CUISY")</f>
        <v>CUISY</v>
      </c>
      <c r="E11534" s="38" t="s">
        <v>244</v>
      </c>
      <c r="F11534" s="38" t="s">
        <v>245</v>
      </c>
      <c r="G11534" s="49" t="str">
        <f t="shared" si="1"/>
        <v>77165</v>
      </c>
      <c r="H11534" s="49">
        <f t="shared" si="2"/>
        <v>77150</v>
      </c>
    </row>
    <row r="11535">
      <c r="A11535" s="48" t="s">
        <v>626</v>
      </c>
      <c r="B11535" s="38">
        <v>31579.0</v>
      </c>
      <c r="C11535" s="38" t="s">
        <v>15630</v>
      </c>
      <c r="D11535" s="38" t="str">
        <f>IFERROR(__xludf.DUMMYFUNCTION("REGEXREPLACE(C11535,""-\d+(.*)|--\d+(.*)"","""")"),"VILLARIES")</f>
        <v>VILLARIES</v>
      </c>
      <c r="E11535" s="38" t="s">
        <v>93</v>
      </c>
      <c r="F11535" s="38" t="s">
        <v>94</v>
      </c>
      <c r="G11535" s="49" t="str">
        <f t="shared" si="1"/>
        <v>31380</v>
      </c>
      <c r="H11535" s="49">
        <f t="shared" si="2"/>
        <v>31579</v>
      </c>
    </row>
    <row r="11536">
      <c r="A11536" s="48" t="s">
        <v>1428</v>
      </c>
      <c r="B11536" s="38">
        <v>31295.0</v>
      </c>
      <c r="C11536" s="38" t="s">
        <v>15631</v>
      </c>
      <c r="D11536" s="38" t="str">
        <f>IFERROR(__xludf.DUMMYFUNCTION("REGEXREPLACE(C11536,""-\d+(.*)|--\d+(.*)"","""")"),"LESPUGUE")</f>
        <v>LESPUGUE</v>
      </c>
      <c r="E11536" s="38" t="s">
        <v>93</v>
      </c>
      <c r="F11536" s="38" t="s">
        <v>94</v>
      </c>
      <c r="G11536" s="49" t="str">
        <f t="shared" si="1"/>
        <v>31350</v>
      </c>
      <c r="H11536" s="49">
        <f t="shared" si="2"/>
        <v>31295</v>
      </c>
    </row>
    <row r="11537">
      <c r="A11537" s="48" t="s">
        <v>3333</v>
      </c>
      <c r="B11537" s="38">
        <v>44113.0</v>
      </c>
      <c r="C11537" s="38" t="s">
        <v>15087</v>
      </c>
      <c r="D11537" s="38" t="str">
        <f>IFERROR(__xludf.DUMMYFUNCTION("REGEXREPLACE(C11537,""-\d+(.*)|--\d+(.*)"","""")"),"NOZAY")</f>
        <v>NOZAY</v>
      </c>
      <c r="E11537" s="38" t="s">
        <v>759</v>
      </c>
      <c r="F11537" s="38" t="s">
        <v>180</v>
      </c>
      <c r="G11537" s="49" t="str">
        <f t="shared" si="1"/>
        <v>44170</v>
      </c>
      <c r="H11537" s="49">
        <f t="shared" si="2"/>
        <v>44113</v>
      </c>
    </row>
    <row r="11538">
      <c r="A11538" s="48" t="s">
        <v>5779</v>
      </c>
      <c r="B11538" s="38">
        <v>86075.0</v>
      </c>
      <c r="C11538" s="38" t="s">
        <v>15632</v>
      </c>
      <c r="D11538" s="38" t="str">
        <f>IFERROR(__xludf.DUMMYFUNCTION("REGEXREPLACE(C11538,""-\d+(.*)|--\d+(.*)"","""")"),"CHOUPPES")</f>
        <v>CHOUPPES</v>
      </c>
      <c r="E11538" s="38" t="s">
        <v>529</v>
      </c>
      <c r="F11538" s="38" t="s">
        <v>338</v>
      </c>
      <c r="G11538" s="49" t="str">
        <f t="shared" si="1"/>
        <v>86110</v>
      </c>
      <c r="H11538" s="49">
        <f t="shared" si="2"/>
        <v>86075</v>
      </c>
    </row>
    <row r="11539">
      <c r="A11539" s="48" t="s">
        <v>4402</v>
      </c>
      <c r="B11539" s="38">
        <v>54129.0</v>
      </c>
      <c r="C11539" s="38" t="s">
        <v>15633</v>
      </c>
      <c r="D11539" s="38" t="str">
        <f>IFERROR(__xludf.DUMMYFUNCTION("REGEXREPLACE(C11539,""-\d+(.*)|--\d+(.*)"","""")"),"CIREY-SUR-VEZOUZE")</f>
        <v>CIREY-SUR-VEZOUZE</v>
      </c>
      <c r="E11539" s="38" t="s">
        <v>548</v>
      </c>
      <c r="F11539" s="38" t="s">
        <v>195</v>
      </c>
      <c r="G11539" s="49" t="str">
        <f t="shared" si="1"/>
        <v>54480</v>
      </c>
      <c r="H11539" s="49">
        <f t="shared" si="2"/>
        <v>54129</v>
      </c>
    </row>
    <row r="11540">
      <c r="A11540" s="48" t="s">
        <v>10582</v>
      </c>
      <c r="B11540" s="38">
        <v>77117.0</v>
      </c>
      <c r="C11540" s="38" t="s">
        <v>15634</v>
      </c>
      <c r="D11540" s="38" t="str">
        <f>IFERROR(__xludf.DUMMYFUNCTION("REGEXREPLACE(C11540,""-\d+(.*)|--\d+(.*)"","""")"),"CITRY")</f>
        <v>CITRY</v>
      </c>
      <c r="E11540" s="38" t="s">
        <v>244</v>
      </c>
      <c r="F11540" s="38" t="s">
        <v>245</v>
      </c>
      <c r="G11540" s="49" t="str">
        <f t="shared" si="1"/>
        <v>77730</v>
      </c>
      <c r="H11540" s="49">
        <f t="shared" si="2"/>
        <v>77117</v>
      </c>
    </row>
    <row r="11541">
      <c r="A11541" s="48" t="s">
        <v>1091</v>
      </c>
      <c r="B11541" s="38">
        <v>57200.0</v>
      </c>
      <c r="C11541" s="38" t="s">
        <v>15635</v>
      </c>
      <c r="D11541" s="38" t="str">
        <f>IFERROR(__xludf.DUMMYFUNCTION("REGEXREPLACE(C11541,""-\d+(.*)|--\d+(.*)"","""")"),"LES ETANGS")</f>
        <v>LES ETANGS</v>
      </c>
      <c r="E11541" s="38" t="s">
        <v>303</v>
      </c>
      <c r="F11541" s="38" t="s">
        <v>195</v>
      </c>
      <c r="G11541" s="49" t="str">
        <f t="shared" si="1"/>
        <v>57530</v>
      </c>
      <c r="H11541" s="49">
        <f t="shared" si="2"/>
        <v>57200</v>
      </c>
    </row>
    <row r="11542">
      <c r="A11542" s="48" t="s">
        <v>7474</v>
      </c>
      <c r="B11542" s="38">
        <v>42301.0</v>
      </c>
      <c r="C11542" s="38" t="s">
        <v>15636</v>
      </c>
      <c r="D11542" s="38" t="str">
        <f>IFERROR(__xludf.DUMMYFUNCTION("REGEXREPLACE(C11542,""-\d+(.*)|--\d+(.*)"","""")"),"SOLEYMIEUX")</f>
        <v>SOLEYMIEUX</v>
      </c>
      <c r="E11542" s="38" t="s">
        <v>166</v>
      </c>
      <c r="F11542" s="38" t="s">
        <v>102</v>
      </c>
      <c r="G11542" s="49" t="str">
        <f t="shared" si="1"/>
        <v>42560</v>
      </c>
      <c r="H11542" s="49">
        <f t="shared" si="2"/>
        <v>42301</v>
      </c>
    </row>
    <row r="11543">
      <c r="A11543" s="48" t="s">
        <v>15637</v>
      </c>
      <c r="B11543" s="38">
        <v>66065.0</v>
      </c>
      <c r="C11543" s="38" t="s">
        <v>15638</v>
      </c>
      <c r="D11543" s="38" t="str">
        <f>IFERROR(__xludf.DUMMYFUNCTION("REGEXREPLACE(C11543,""-\d+(.*)|--\d+(.*)"","""")"),"ELNE")</f>
        <v>ELNE</v>
      </c>
      <c r="E11543" s="38" t="s">
        <v>248</v>
      </c>
      <c r="F11543" s="38" t="s">
        <v>119</v>
      </c>
      <c r="G11543" s="49" t="str">
        <f t="shared" si="1"/>
        <v>66200</v>
      </c>
      <c r="H11543" s="49">
        <f t="shared" si="2"/>
        <v>66065</v>
      </c>
    </row>
    <row r="11544">
      <c r="A11544" s="48" t="s">
        <v>2851</v>
      </c>
      <c r="B11544" s="38">
        <v>41110.0</v>
      </c>
      <c r="C11544" s="38" t="s">
        <v>12708</v>
      </c>
      <c r="D11544" s="38" t="str">
        <f>IFERROR(__xludf.DUMMYFUNCTION("REGEXREPLACE(C11544,""-\d+(.*)|--\d+(.*)"","""")"),"LANGON")</f>
        <v>LANGON</v>
      </c>
      <c r="E11544" s="38" t="s">
        <v>188</v>
      </c>
      <c r="F11544" s="38" t="s">
        <v>123</v>
      </c>
      <c r="G11544" s="49" t="str">
        <f t="shared" si="1"/>
        <v>41320</v>
      </c>
      <c r="H11544" s="49">
        <f t="shared" si="2"/>
        <v>41110</v>
      </c>
    </row>
    <row r="11545">
      <c r="A11545" s="48" t="s">
        <v>2730</v>
      </c>
      <c r="B11545" s="38">
        <v>22157.0</v>
      </c>
      <c r="C11545" s="38" t="s">
        <v>15639</v>
      </c>
      <c r="D11545" s="38" t="str">
        <f>IFERROR(__xludf.DUMMYFUNCTION("REGEXREPLACE(C11545,""-\d+(.*)|--\d+(.*)"","""")"),"LE MOUSTOIR")</f>
        <v>LE MOUSTOIR</v>
      </c>
      <c r="E11545" s="38" t="s">
        <v>89</v>
      </c>
      <c r="F11545" s="38" t="s">
        <v>90</v>
      </c>
      <c r="G11545" s="49" t="str">
        <f t="shared" si="1"/>
        <v>22340</v>
      </c>
      <c r="H11545" s="49">
        <f t="shared" si="2"/>
        <v>22157</v>
      </c>
    </row>
    <row r="11546">
      <c r="A11546" s="48" t="s">
        <v>6078</v>
      </c>
      <c r="B11546" s="38">
        <v>10314.0</v>
      </c>
      <c r="C11546" s="38" t="s">
        <v>15640</v>
      </c>
      <c r="D11546" s="38" t="str">
        <f>IFERROR(__xludf.DUMMYFUNCTION("REGEXREPLACE(C11546,""-\d+(.*)|--\d+(.*)"","""")"),"RAMERUPT")</f>
        <v>RAMERUPT</v>
      </c>
      <c r="E11546" s="38" t="s">
        <v>147</v>
      </c>
      <c r="F11546" s="38" t="s">
        <v>130</v>
      </c>
      <c r="G11546" s="49" t="str">
        <f t="shared" si="1"/>
        <v>10240</v>
      </c>
      <c r="H11546" s="49">
        <f t="shared" si="2"/>
        <v>10314</v>
      </c>
    </row>
    <row r="11547">
      <c r="A11547" s="48" t="s">
        <v>12407</v>
      </c>
      <c r="B11547" s="38">
        <v>38212.0</v>
      </c>
      <c r="C11547" s="38" t="s">
        <v>15641</v>
      </c>
      <c r="D11547" s="38" t="str">
        <f>IFERROR(__xludf.DUMMYFUNCTION("REGEXREPLACE(C11547,""-\d+(.*)|--\d+(.*)"","""")"),"LIVET-ET-GAVET")</f>
        <v>LIVET-ET-GAVET</v>
      </c>
      <c r="E11547" s="38" t="s">
        <v>101</v>
      </c>
      <c r="F11547" s="38" t="s">
        <v>102</v>
      </c>
      <c r="G11547" s="49" t="str">
        <f t="shared" si="1"/>
        <v>38220</v>
      </c>
      <c r="H11547" s="49">
        <f t="shared" si="2"/>
        <v>38212</v>
      </c>
    </row>
    <row r="11548">
      <c r="A11548" s="48" t="s">
        <v>2861</v>
      </c>
      <c r="B11548" s="38">
        <v>62781.0</v>
      </c>
      <c r="C11548" s="38" t="s">
        <v>15642</v>
      </c>
      <c r="D11548" s="38" t="str">
        <f>IFERROR(__xludf.DUMMYFUNCTION("REGEXREPLACE(C11548,""-\d+(.*)|--\d+(.*)"","""")"),"SAUCHY-LESTREE")</f>
        <v>SAUCHY-LESTREE</v>
      </c>
      <c r="E11548" s="38" t="s">
        <v>109</v>
      </c>
      <c r="F11548" s="38" t="s">
        <v>86</v>
      </c>
      <c r="G11548" s="49" t="str">
        <f t="shared" si="1"/>
        <v>62860</v>
      </c>
      <c r="H11548" s="49">
        <f t="shared" si="2"/>
        <v>62781</v>
      </c>
    </row>
    <row r="11549">
      <c r="A11549" s="48" t="s">
        <v>276</v>
      </c>
      <c r="B11549" s="38">
        <v>11163.0</v>
      </c>
      <c r="C11549" s="38" t="s">
        <v>15643</v>
      </c>
      <c r="D11549" s="38" t="str">
        <f>IFERROR(__xludf.DUMMYFUNCTION("REGEXREPLACE(C11549,""-\d+(.*)|--\d+(.*)"","""")"),"GINCLA")</f>
        <v>GINCLA</v>
      </c>
      <c r="E11549" s="38" t="s">
        <v>278</v>
      </c>
      <c r="F11549" s="38" t="s">
        <v>119</v>
      </c>
      <c r="G11549" s="49" t="str">
        <f t="shared" si="1"/>
        <v>11140</v>
      </c>
      <c r="H11549" s="49">
        <f t="shared" si="2"/>
        <v>11163</v>
      </c>
    </row>
    <row r="11550">
      <c r="A11550" s="48" t="s">
        <v>15644</v>
      </c>
      <c r="B11550" s="38">
        <v>56055.0</v>
      </c>
      <c r="C11550" s="38" t="s">
        <v>15645</v>
      </c>
      <c r="D11550" s="38" t="str">
        <f>IFERROR(__xludf.DUMMYFUNCTION("REGEXREPLACE(C11550,""-\d+(.*)|--\d+(.*)"","""")"),"ETEL")</f>
        <v>ETEL</v>
      </c>
      <c r="E11550" s="38" t="s">
        <v>173</v>
      </c>
      <c r="F11550" s="38" t="s">
        <v>90</v>
      </c>
      <c r="G11550" s="49" t="str">
        <f t="shared" si="1"/>
        <v>56410</v>
      </c>
      <c r="H11550" s="49">
        <f t="shared" si="2"/>
        <v>56055</v>
      </c>
    </row>
    <row r="11551">
      <c r="A11551" s="48" t="s">
        <v>513</v>
      </c>
      <c r="B11551" s="38">
        <v>76108.0</v>
      </c>
      <c r="C11551" s="38" t="s">
        <v>15646</v>
      </c>
      <c r="D11551" s="38" t="str">
        <f>IFERROR(__xludf.DUMMYFUNCTION("REGEXREPLACE(C11551,""-\d+(.*)|--\d+(.*)"","""")"),"BOIS-GUILLAUME-BIHOREL")</f>
        <v>BOIS-GUILLAUME-BIHOREL</v>
      </c>
      <c r="E11551" s="38" t="s">
        <v>133</v>
      </c>
      <c r="F11551" s="38" t="s">
        <v>134</v>
      </c>
      <c r="G11551" s="49" t="str">
        <f t="shared" si="1"/>
        <v>76230</v>
      </c>
      <c r="H11551" s="49">
        <f t="shared" si="2"/>
        <v>76108</v>
      </c>
    </row>
    <row r="11552">
      <c r="A11552" s="48" t="s">
        <v>549</v>
      </c>
      <c r="B11552" s="38">
        <v>55475.0</v>
      </c>
      <c r="C11552" s="38" t="s">
        <v>15647</v>
      </c>
      <c r="D11552" s="38" t="str">
        <f>IFERROR(__xludf.DUMMYFUNCTION("REGEXREPLACE(C11552,""-\d+(.*)|--\d+(.*)"","""")"),"SAUVOY")</f>
        <v>SAUVOY</v>
      </c>
      <c r="E11552" s="38" t="s">
        <v>322</v>
      </c>
      <c r="F11552" s="38" t="s">
        <v>195</v>
      </c>
      <c r="G11552" s="49" t="str">
        <f t="shared" si="1"/>
        <v>55190</v>
      </c>
      <c r="H11552" s="49">
        <f t="shared" si="2"/>
        <v>55475</v>
      </c>
    </row>
    <row r="11553">
      <c r="A11553" s="48" t="s">
        <v>7278</v>
      </c>
      <c r="B11553" s="38">
        <v>61380.0</v>
      </c>
      <c r="C11553" s="38" t="s">
        <v>15648</v>
      </c>
      <c r="D11553" s="38" t="str">
        <f>IFERROR(__xludf.DUMMYFUNCTION("REGEXREPLACE(C11553,""-\d+(.*)|--\d+(.*)"","""")"),"SAINT-DENIS-DE-VILLENETTE")</f>
        <v>SAINT-DENIS-DE-VILLENETTE</v>
      </c>
      <c r="E11553" s="38" t="s">
        <v>141</v>
      </c>
      <c r="F11553" s="38" t="s">
        <v>138</v>
      </c>
      <c r="G11553" s="49" t="str">
        <f t="shared" si="1"/>
        <v>61330</v>
      </c>
      <c r="H11553" s="49">
        <f t="shared" si="2"/>
        <v>61380</v>
      </c>
    </row>
    <row r="11554">
      <c r="A11554" s="48" t="s">
        <v>10600</v>
      </c>
      <c r="B11554" s="38">
        <v>77075.0</v>
      </c>
      <c r="C11554" s="38" t="s">
        <v>15649</v>
      </c>
      <c r="D11554" s="38" t="str">
        <f>IFERROR(__xludf.DUMMYFUNCTION("REGEXREPLACE(C11554,""-\d+(.*)|--\d+(.*)"","""")"),"CHALIFERT")</f>
        <v>CHALIFERT</v>
      </c>
      <c r="E11554" s="38" t="s">
        <v>244</v>
      </c>
      <c r="F11554" s="38" t="s">
        <v>245</v>
      </c>
      <c r="G11554" s="49" t="str">
        <f t="shared" si="1"/>
        <v>77144</v>
      </c>
      <c r="H11554" s="49">
        <f t="shared" si="2"/>
        <v>77075</v>
      </c>
    </row>
    <row r="11555">
      <c r="A11555" s="48" t="s">
        <v>15650</v>
      </c>
      <c r="B11555" s="38">
        <v>24218.0</v>
      </c>
      <c r="C11555" s="38" t="s">
        <v>15651</v>
      </c>
      <c r="D11555" s="38" t="str">
        <f>IFERROR(__xludf.DUMMYFUNCTION("REGEXREPLACE(C11555,""-\d+(.*)|--\d+(.*)"","""")"),"JUMILHAC-LE-GRAND")</f>
        <v>JUMILHAC-LE-GRAND</v>
      </c>
      <c r="E11555" s="38" t="s">
        <v>261</v>
      </c>
      <c r="F11555" s="38" t="s">
        <v>252</v>
      </c>
      <c r="G11555" s="49" t="str">
        <f t="shared" si="1"/>
        <v>24630</v>
      </c>
      <c r="H11555" s="49">
        <f t="shared" si="2"/>
        <v>24218</v>
      </c>
    </row>
    <row r="11556">
      <c r="A11556" s="48" t="s">
        <v>1829</v>
      </c>
      <c r="B11556" s="38">
        <v>59666.0</v>
      </c>
      <c r="C11556" s="38" t="s">
        <v>15652</v>
      </c>
      <c r="D11556" s="38" t="str">
        <f>IFERROR(__xludf.DUMMYFUNCTION("REGEXREPLACE(C11556,""-\d+(.*)|--\d+(.*)"","""")"),"ZEGERSCAPPEL")</f>
        <v>ZEGERSCAPPEL</v>
      </c>
      <c r="E11556" s="38" t="s">
        <v>85</v>
      </c>
      <c r="F11556" s="38" t="s">
        <v>86</v>
      </c>
      <c r="G11556" s="49" t="str">
        <f t="shared" si="1"/>
        <v>59470</v>
      </c>
      <c r="H11556" s="49">
        <f t="shared" si="2"/>
        <v>59666</v>
      </c>
    </row>
    <row r="11557">
      <c r="A11557" s="48" t="s">
        <v>4418</v>
      </c>
      <c r="B11557" s="38">
        <v>42289.0</v>
      </c>
      <c r="C11557" s="38" t="s">
        <v>15653</v>
      </c>
      <c r="D11557" s="38" t="str">
        <f>IFERROR(__xludf.DUMMYFUNCTION("REGEXREPLACE(C11557,""-\d+(.*)|--\d+(.*)"","""")"),"SAINT-SYMPHORIEN-DE-LAY")</f>
        <v>SAINT-SYMPHORIEN-DE-LAY</v>
      </c>
      <c r="E11557" s="38" t="s">
        <v>166</v>
      </c>
      <c r="F11557" s="38" t="s">
        <v>102</v>
      </c>
      <c r="G11557" s="49" t="str">
        <f t="shared" si="1"/>
        <v>42470</v>
      </c>
      <c r="H11557" s="49">
        <f t="shared" si="2"/>
        <v>42289</v>
      </c>
    </row>
    <row r="11558">
      <c r="A11558" s="48" t="s">
        <v>4923</v>
      </c>
      <c r="B11558" s="38">
        <v>61346.0</v>
      </c>
      <c r="C11558" s="38" t="s">
        <v>15654</v>
      </c>
      <c r="D11558" s="38" t="str">
        <f>IFERROR(__xludf.DUMMYFUNCTION("REGEXREPLACE(C11558,""-\d+(.*)|--\d+(.*)"","""")"),"LE RENOUARD")</f>
        <v>LE RENOUARD</v>
      </c>
      <c r="E11558" s="38" t="s">
        <v>141</v>
      </c>
      <c r="F11558" s="38" t="s">
        <v>138</v>
      </c>
      <c r="G11558" s="49" t="str">
        <f t="shared" si="1"/>
        <v>61120</v>
      </c>
      <c r="H11558" s="49">
        <f t="shared" si="2"/>
        <v>61346</v>
      </c>
    </row>
    <row r="11559">
      <c r="A11559" s="48" t="s">
        <v>4375</v>
      </c>
      <c r="B11559" s="38">
        <v>27541.0</v>
      </c>
      <c r="C11559" s="38" t="s">
        <v>15655</v>
      </c>
      <c r="D11559" s="38" t="str">
        <f>IFERROR(__xludf.DUMMYFUNCTION("REGEXREPLACE(C11559,""-\d+(.*)|--\d+(.*)"","""")"),"SAINT-GEORGES-DU-MESNIL")</f>
        <v>SAINT-GEORGES-DU-MESNIL</v>
      </c>
      <c r="E11559" s="38" t="s">
        <v>241</v>
      </c>
      <c r="F11559" s="38" t="s">
        <v>134</v>
      </c>
      <c r="G11559" s="49" t="str">
        <f t="shared" si="1"/>
        <v>27560</v>
      </c>
      <c r="H11559" s="49">
        <f t="shared" si="2"/>
        <v>27541</v>
      </c>
    </row>
    <row r="11560">
      <c r="A11560" s="48" t="s">
        <v>8059</v>
      </c>
      <c r="B11560" s="38">
        <v>70558.0</v>
      </c>
      <c r="C11560" s="38" t="s">
        <v>15656</v>
      </c>
      <c r="D11560" s="38" t="str">
        <f>IFERROR(__xludf.DUMMYFUNCTION("REGEXREPLACE(C11560,""-\d+(.*)|--\d+(.*)"","""")"),"LA VILLENEUVE-BELLENOYE-ET-LA-MAIZE")</f>
        <v>LA VILLENEUVE-BELLENOYE-ET-LA-MAIZE</v>
      </c>
      <c r="E11560" s="38" t="s">
        <v>956</v>
      </c>
      <c r="F11560" s="38" t="s">
        <v>214</v>
      </c>
      <c r="G11560" s="49" t="str">
        <f t="shared" si="1"/>
        <v>70240</v>
      </c>
      <c r="H11560" s="49">
        <f t="shared" si="2"/>
        <v>70558</v>
      </c>
    </row>
    <row r="11561">
      <c r="A11561" s="48" t="s">
        <v>1004</v>
      </c>
      <c r="B11561" s="38">
        <v>71226.0</v>
      </c>
      <c r="C11561" s="38" t="s">
        <v>15657</v>
      </c>
      <c r="D11561" s="38" t="str">
        <f>IFERROR(__xludf.DUMMYFUNCTION("REGEXREPLACE(C11561,""-\d+(.*)|--\d+(.*)"","""")"),"GREVILLY")</f>
        <v>GREVILLY</v>
      </c>
      <c r="E11561" s="38" t="s">
        <v>344</v>
      </c>
      <c r="F11561" s="38" t="s">
        <v>106</v>
      </c>
      <c r="G11561" s="49" t="str">
        <f t="shared" si="1"/>
        <v>71700</v>
      </c>
      <c r="H11561" s="49">
        <f t="shared" si="2"/>
        <v>71226</v>
      </c>
    </row>
    <row r="11562">
      <c r="A11562" s="48" t="s">
        <v>7104</v>
      </c>
      <c r="B11562" s="38">
        <v>86174.0</v>
      </c>
      <c r="C11562" s="38" t="s">
        <v>15658</v>
      </c>
      <c r="D11562" s="38" t="str">
        <f>IFERROR(__xludf.DUMMYFUNCTION("REGEXREPLACE(C11562,""-\d+(.*)|--\d+(.*)"","""")"),"NAINTRE")</f>
        <v>NAINTRE</v>
      </c>
      <c r="E11562" s="38" t="s">
        <v>529</v>
      </c>
      <c r="F11562" s="38" t="s">
        <v>338</v>
      </c>
      <c r="G11562" s="49" t="str">
        <f t="shared" si="1"/>
        <v>86530</v>
      </c>
      <c r="H11562" s="49">
        <f t="shared" si="2"/>
        <v>86174</v>
      </c>
    </row>
    <row r="11563">
      <c r="A11563" s="48" t="s">
        <v>1046</v>
      </c>
      <c r="B11563" s="38">
        <v>26021.0</v>
      </c>
      <c r="C11563" s="38" t="s">
        <v>15659</v>
      </c>
      <c r="D11563" s="38" t="str">
        <f>IFERROR(__xludf.DUMMYFUNCTION("REGEXREPLACE(C11563,""-\d+(.*)|--\d+(.*)"","""")"),"AUTICHAMP")</f>
        <v>AUTICHAMP</v>
      </c>
      <c r="E11563" s="38" t="s">
        <v>126</v>
      </c>
      <c r="F11563" s="38" t="s">
        <v>102</v>
      </c>
      <c r="G11563" s="49" t="str">
        <f t="shared" si="1"/>
        <v>26400</v>
      </c>
      <c r="H11563" s="49">
        <f t="shared" si="2"/>
        <v>26021</v>
      </c>
    </row>
    <row r="11564">
      <c r="A11564" s="48" t="s">
        <v>11115</v>
      </c>
      <c r="B11564" s="38">
        <v>34199.0</v>
      </c>
      <c r="C11564" s="38" t="s">
        <v>15660</v>
      </c>
      <c r="D11564" s="38" t="str">
        <f>IFERROR(__xludf.DUMMYFUNCTION("REGEXREPLACE(C11564,""-\d+(.*)|--\d+(.*)"","""")"),"PEZENAS")</f>
        <v>PEZENAS</v>
      </c>
      <c r="E11564" s="38" t="s">
        <v>118</v>
      </c>
      <c r="F11564" s="38" t="s">
        <v>119</v>
      </c>
      <c r="G11564" s="49" t="str">
        <f t="shared" si="1"/>
        <v>34120</v>
      </c>
      <c r="H11564" s="49">
        <f t="shared" si="2"/>
        <v>34199</v>
      </c>
    </row>
    <row r="11565">
      <c r="A11565" s="48" t="s">
        <v>2510</v>
      </c>
      <c r="B11565" s="38">
        <v>22383.0</v>
      </c>
      <c r="C11565" s="38" t="s">
        <v>15661</v>
      </c>
      <c r="D11565" s="38" t="str">
        <f>IFERROR(__xludf.DUMMYFUNCTION("REGEXREPLACE(C11565,""-\d+(.*)|--\d+(.*)"","""")"),"TROGUERY")</f>
        <v>TROGUERY</v>
      </c>
      <c r="E11565" s="38" t="s">
        <v>89</v>
      </c>
      <c r="F11565" s="38" t="s">
        <v>90</v>
      </c>
      <c r="G11565" s="49" t="str">
        <f t="shared" si="1"/>
        <v>22450</v>
      </c>
      <c r="H11565" s="49">
        <f t="shared" si="2"/>
        <v>22383</v>
      </c>
    </row>
    <row r="11566">
      <c r="A11566" s="48" t="s">
        <v>2523</v>
      </c>
      <c r="B11566" s="38">
        <v>46323.0</v>
      </c>
      <c r="C11566" s="38" t="s">
        <v>6124</v>
      </c>
      <c r="D11566" s="38" t="str">
        <f>IFERROR(__xludf.DUMMYFUNCTION("REGEXREPLACE(C11566,""-\d+(.*)|--\d+(.*)"","""")"),"USSEL")</f>
        <v>USSEL</v>
      </c>
      <c r="E11566" s="38" t="s">
        <v>185</v>
      </c>
      <c r="F11566" s="38" t="s">
        <v>94</v>
      </c>
      <c r="G11566" s="49" t="str">
        <f t="shared" si="1"/>
        <v>46240</v>
      </c>
      <c r="H11566" s="49">
        <f t="shared" si="2"/>
        <v>46323</v>
      </c>
    </row>
    <row r="11567">
      <c r="A11567" s="48" t="s">
        <v>15662</v>
      </c>
      <c r="B11567" s="38">
        <v>43036.0</v>
      </c>
      <c r="C11567" s="38" t="s">
        <v>15663</v>
      </c>
      <c r="D11567" s="38" t="str">
        <f>IFERROR(__xludf.DUMMYFUNCTION("REGEXREPLACE(C11567,""-\d+(.*)|--\d+(.*)"","""")"),"BORNE")</f>
        <v>BORNE</v>
      </c>
      <c r="E11567" s="38" t="s">
        <v>332</v>
      </c>
      <c r="F11567" s="38" t="s">
        <v>161</v>
      </c>
      <c r="G11567" s="49" t="str">
        <f t="shared" si="1"/>
        <v>43350</v>
      </c>
      <c r="H11567" s="49">
        <f t="shared" si="2"/>
        <v>43036</v>
      </c>
    </row>
    <row r="11568">
      <c r="A11568" s="48" t="s">
        <v>2128</v>
      </c>
      <c r="B11568" s="38">
        <v>2234.0</v>
      </c>
      <c r="C11568" s="38" t="s">
        <v>15664</v>
      </c>
      <c r="D11568" s="38" t="str">
        <f>IFERROR(__xludf.DUMMYFUNCTION("REGEXREPLACE(C11568,""-\d+(.*)|--\d+(.*)"","""")"),"CRAONNE")</f>
        <v>CRAONNE</v>
      </c>
      <c r="E11568" s="38" t="s">
        <v>191</v>
      </c>
      <c r="F11568" s="38" t="s">
        <v>113</v>
      </c>
      <c r="G11568" s="49" t="str">
        <f t="shared" si="1"/>
        <v>02160</v>
      </c>
      <c r="H11568" s="49" t="str">
        <f t="shared" si="2"/>
        <v>02234</v>
      </c>
    </row>
    <row r="11569">
      <c r="A11569" s="48" t="s">
        <v>11256</v>
      </c>
      <c r="B11569" s="38">
        <v>30356.0</v>
      </c>
      <c r="C11569" s="38" t="s">
        <v>15665</v>
      </c>
      <c r="D11569" s="38" t="str">
        <f>IFERROR(__xludf.DUMMYFUNCTION("REGEXREPLACE(C11569,""-\d+(.*)|--\d+(.*)"","""")"),"RODILHAN")</f>
        <v>RODILHAN</v>
      </c>
      <c r="E11569" s="38" t="s">
        <v>526</v>
      </c>
      <c r="F11569" s="38" t="s">
        <v>119</v>
      </c>
      <c r="G11569" s="49" t="str">
        <f t="shared" si="1"/>
        <v>30230</v>
      </c>
      <c r="H11569" s="49">
        <f t="shared" si="2"/>
        <v>30356</v>
      </c>
    </row>
    <row r="11570">
      <c r="A11570" s="48" t="s">
        <v>15666</v>
      </c>
      <c r="B11570" s="38">
        <v>71165.0</v>
      </c>
      <c r="C11570" s="38" t="s">
        <v>15667</v>
      </c>
      <c r="D11570" s="38" t="str">
        <f>IFERROR(__xludf.DUMMYFUNCTION("REGEXREPLACE(C11570,""-\d+(.*)|--\d+(.*)"","""")"),"CUSSY-EN-MORVAN")</f>
        <v>CUSSY-EN-MORVAN</v>
      </c>
      <c r="E11570" s="38" t="s">
        <v>344</v>
      </c>
      <c r="F11570" s="38" t="s">
        <v>106</v>
      </c>
      <c r="G11570" s="49" t="str">
        <f t="shared" si="1"/>
        <v>71550</v>
      </c>
      <c r="H11570" s="49">
        <f t="shared" si="2"/>
        <v>71165</v>
      </c>
    </row>
    <row r="11571">
      <c r="A11571" s="48" t="s">
        <v>15250</v>
      </c>
      <c r="B11571" s="38">
        <v>86169.0</v>
      </c>
      <c r="C11571" s="38" t="s">
        <v>15668</v>
      </c>
      <c r="D11571" s="38" t="str">
        <f>IFERROR(__xludf.DUMMYFUNCTION("REGEXREPLACE(C11571,""-\d+(.*)|--\d+(.*)"","""")"),"MORTON")</f>
        <v>MORTON</v>
      </c>
      <c r="E11571" s="38" t="s">
        <v>529</v>
      </c>
      <c r="F11571" s="38" t="s">
        <v>338</v>
      </c>
      <c r="G11571" s="49" t="str">
        <f t="shared" si="1"/>
        <v>86120</v>
      </c>
      <c r="H11571" s="49">
        <f t="shared" si="2"/>
        <v>86169</v>
      </c>
    </row>
    <row r="11572">
      <c r="A11572" s="48" t="s">
        <v>2338</v>
      </c>
      <c r="B11572" s="38">
        <v>8412.0</v>
      </c>
      <c r="C11572" s="38" t="s">
        <v>15669</v>
      </c>
      <c r="D11572" s="38" t="str">
        <f>IFERROR(__xludf.DUMMYFUNCTION("REGEXREPLACE(C11572,""-\d+(.*)|--\d+(.*)"","""")"),"SENUC")</f>
        <v>SENUC</v>
      </c>
      <c r="E11572" s="38" t="s">
        <v>327</v>
      </c>
      <c r="F11572" s="38" t="s">
        <v>130</v>
      </c>
      <c r="G11572" s="49" t="str">
        <f t="shared" si="1"/>
        <v>08250</v>
      </c>
      <c r="H11572" s="49" t="str">
        <f t="shared" si="2"/>
        <v>08412</v>
      </c>
    </row>
    <row r="11573">
      <c r="A11573" s="48" t="s">
        <v>5513</v>
      </c>
      <c r="B11573" s="38">
        <v>57232.0</v>
      </c>
      <c r="C11573" s="38" t="s">
        <v>15670</v>
      </c>
      <c r="D11573" s="38" t="str">
        <f>IFERROR(__xludf.DUMMYFUNCTION("REGEXREPLACE(C11573,""-\d+(.*)|--\d+(.*)"","""")"),"FRANCALTROFF")</f>
        <v>FRANCALTROFF</v>
      </c>
      <c r="E11573" s="38" t="s">
        <v>303</v>
      </c>
      <c r="F11573" s="38" t="s">
        <v>195</v>
      </c>
      <c r="G11573" s="49" t="str">
        <f t="shared" si="1"/>
        <v>57670</v>
      </c>
      <c r="H11573" s="49">
        <f t="shared" si="2"/>
        <v>57232</v>
      </c>
    </row>
    <row r="11574">
      <c r="A11574" s="48" t="s">
        <v>5302</v>
      </c>
      <c r="B11574" s="38">
        <v>14416.0</v>
      </c>
      <c r="C11574" s="38" t="s">
        <v>15671</v>
      </c>
      <c r="D11574" s="38" t="str">
        <f>IFERROR(__xludf.DUMMYFUNCTION("REGEXREPLACE(C11574,""-\d+(.*)|--\d+(.*)"","""")"),"LE MESNIL-CAUSSOIS")</f>
        <v>LE MESNIL-CAUSSOIS</v>
      </c>
      <c r="E11574" s="38" t="s">
        <v>137</v>
      </c>
      <c r="F11574" s="38" t="s">
        <v>138</v>
      </c>
      <c r="G11574" s="49" t="str">
        <f t="shared" si="1"/>
        <v>14380</v>
      </c>
      <c r="H11574" s="49">
        <f t="shared" si="2"/>
        <v>14416</v>
      </c>
    </row>
    <row r="11575">
      <c r="A11575" s="48" t="s">
        <v>732</v>
      </c>
      <c r="B11575" s="38">
        <v>10172.0</v>
      </c>
      <c r="C11575" s="38" t="s">
        <v>15672</v>
      </c>
      <c r="D11575" s="38" t="str">
        <f>IFERROR(__xludf.DUMMYFUNCTION("REGEXREPLACE(C11575,""-\d+(.*)|--\d+(.*)"","""")"),"HERBISSE")</f>
        <v>HERBISSE</v>
      </c>
      <c r="E11575" s="38" t="s">
        <v>147</v>
      </c>
      <c r="F11575" s="38" t="s">
        <v>130</v>
      </c>
      <c r="G11575" s="49" t="str">
        <f t="shared" si="1"/>
        <v>10700</v>
      </c>
      <c r="H11575" s="49">
        <f t="shared" si="2"/>
        <v>10172</v>
      </c>
    </row>
    <row r="11576">
      <c r="A11576" s="48" t="s">
        <v>4807</v>
      </c>
      <c r="B11576" s="38">
        <v>76245.0</v>
      </c>
      <c r="C11576" s="38" t="s">
        <v>15673</v>
      </c>
      <c r="D11576" s="38" t="str">
        <f>IFERROR(__xludf.DUMMYFUNCTION("REGEXREPLACE(C11576,""-\d+(.*)|--\d+(.*)"","""")"),"ESLETTES")</f>
        <v>ESLETTES</v>
      </c>
      <c r="E11576" s="38" t="s">
        <v>133</v>
      </c>
      <c r="F11576" s="38" t="s">
        <v>134</v>
      </c>
      <c r="G11576" s="49" t="str">
        <f t="shared" si="1"/>
        <v>76710</v>
      </c>
      <c r="H11576" s="49">
        <f t="shared" si="2"/>
        <v>76245</v>
      </c>
    </row>
    <row r="11577">
      <c r="A11577" s="48" t="s">
        <v>2567</v>
      </c>
      <c r="B11577" s="38">
        <v>6111.0</v>
      </c>
      <c r="C11577" s="38" t="s">
        <v>15674</v>
      </c>
      <c r="D11577" s="38" t="str">
        <f>IFERROR(__xludf.DUMMYFUNCTION("REGEXREPLACE(C11577,""-\d+(.*)|--\d+(.*)"","""")"),"ROURE")</f>
        <v>ROURE</v>
      </c>
      <c r="E11577" s="38" t="s">
        <v>227</v>
      </c>
      <c r="F11577" s="38" t="s">
        <v>228</v>
      </c>
      <c r="G11577" s="49" t="str">
        <f t="shared" si="1"/>
        <v>06420</v>
      </c>
      <c r="H11577" s="49" t="str">
        <f t="shared" si="2"/>
        <v>06111</v>
      </c>
    </row>
    <row r="11578">
      <c r="A11578" s="48" t="s">
        <v>15675</v>
      </c>
      <c r="B11578" s="38">
        <v>44198.0</v>
      </c>
      <c r="C11578" s="38" t="s">
        <v>15676</v>
      </c>
      <c r="D11578" s="38" t="str">
        <f>IFERROR(__xludf.DUMMYFUNCTION("REGEXREPLACE(C11578,""-\d+(.*)|--\d+(.*)"","""")"),"LES SORINIERES")</f>
        <v>LES SORINIERES</v>
      </c>
      <c r="E11578" s="38" t="s">
        <v>759</v>
      </c>
      <c r="F11578" s="38" t="s">
        <v>180</v>
      </c>
      <c r="G11578" s="49" t="str">
        <f t="shared" si="1"/>
        <v>44840</v>
      </c>
      <c r="H11578" s="49">
        <f t="shared" si="2"/>
        <v>44198</v>
      </c>
    </row>
    <row r="11579">
      <c r="A11579" s="48" t="s">
        <v>1993</v>
      </c>
      <c r="B11579" s="38">
        <v>2545.0</v>
      </c>
      <c r="C11579" s="38" t="s">
        <v>15677</v>
      </c>
      <c r="D11579" s="38" t="str">
        <f>IFERROR(__xludf.DUMMYFUNCTION("REGEXREPLACE(C11579,""-\d+(.*)|--\d+(.*)"","""")"),"LA NEUVILLE-BOSMONT")</f>
        <v>LA NEUVILLE-BOSMONT</v>
      </c>
      <c r="E11579" s="38" t="s">
        <v>191</v>
      </c>
      <c r="F11579" s="38" t="s">
        <v>113</v>
      </c>
      <c r="G11579" s="49" t="str">
        <f t="shared" si="1"/>
        <v>02250</v>
      </c>
      <c r="H11579" s="49" t="str">
        <f t="shared" si="2"/>
        <v>02545</v>
      </c>
    </row>
    <row r="11580">
      <c r="A11580" s="48" t="s">
        <v>15678</v>
      </c>
      <c r="B11580" s="38">
        <v>77022.0</v>
      </c>
      <c r="C11580" s="38" t="s">
        <v>15679</v>
      </c>
      <c r="D11580" s="38" t="str">
        <f>IFERROR(__xludf.DUMMYFUNCTION("REGEXREPLACE(C11580,""-\d+(.*)|--\d+(.*)"","""")"),"BARBIZON")</f>
        <v>BARBIZON</v>
      </c>
      <c r="E11580" s="38" t="s">
        <v>244</v>
      </c>
      <c r="F11580" s="38" t="s">
        <v>245</v>
      </c>
      <c r="G11580" s="49" t="str">
        <f t="shared" si="1"/>
        <v>77630</v>
      </c>
      <c r="H11580" s="49">
        <f t="shared" si="2"/>
        <v>77022</v>
      </c>
    </row>
    <row r="11581">
      <c r="A11581" s="48" t="s">
        <v>643</v>
      </c>
      <c r="B11581" s="38">
        <v>88163.0</v>
      </c>
      <c r="C11581" s="38" t="s">
        <v>15680</v>
      </c>
      <c r="D11581" s="38" t="str">
        <f>IFERROR(__xludf.DUMMYFUNCTION("REGEXREPLACE(C11581,""-\d+(.*)|--\d+(.*)"","""")"),"ESSEGNEY")</f>
        <v>ESSEGNEY</v>
      </c>
      <c r="E11581" s="38" t="s">
        <v>194</v>
      </c>
      <c r="F11581" s="38" t="s">
        <v>195</v>
      </c>
      <c r="G11581" s="49" t="str">
        <f t="shared" si="1"/>
        <v>88130</v>
      </c>
      <c r="H11581" s="49">
        <f t="shared" si="2"/>
        <v>88163</v>
      </c>
    </row>
    <row r="11582">
      <c r="A11582" s="48" t="s">
        <v>10282</v>
      </c>
      <c r="B11582" s="38">
        <v>81109.0</v>
      </c>
      <c r="C11582" s="38" t="s">
        <v>5881</v>
      </c>
      <c r="D11582" s="38" t="str">
        <f>IFERROR(__xludf.DUMMYFUNCTION("REGEXREPLACE(C11582,""-\d+(.*)|--\d+(.*)"","""")"),"JONQUIERES")</f>
        <v>JONQUIERES</v>
      </c>
      <c r="E11582" s="38" t="s">
        <v>231</v>
      </c>
      <c r="F11582" s="38" t="s">
        <v>94</v>
      </c>
      <c r="G11582" s="49" t="str">
        <f t="shared" si="1"/>
        <v>81440</v>
      </c>
      <c r="H11582" s="49">
        <f t="shared" si="2"/>
        <v>81109</v>
      </c>
    </row>
    <row r="11583">
      <c r="A11583" s="48" t="s">
        <v>15681</v>
      </c>
      <c r="B11583" s="38">
        <v>86086.0</v>
      </c>
      <c r="C11583" s="38" t="s">
        <v>15682</v>
      </c>
      <c r="D11583" s="38" t="str">
        <f>IFERROR(__xludf.DUMMYFUNCTION("REGEXREPLACE(C11583,""-\d+(.*)|--\d+(.*)"","""")"),"COUSSAY-LES-BOIS")</f>
        <v>COUSSAY-LES-BOIS</v>
      </c>
      <c r="E11583" s="38" t="s">
        <v>529</v>
      </c>
      <c r="F11583" s="38" t="s">
        <v>338</v>
      </c>
      <c r="G11583" s="49" t="str">
        <f t="shared" si="1"/>
        <v>86270</v>
      </c>
      <c r="H11583" s="49">
        <f t="shared" si="2"/>
        <v>86086</v>
      </c>
    </row>
    <row r="11584">
      <c r="A11584" s="48" t="s">
        <v>12573</v>
      </c>
      <c r="B11584" s="38">
        <v>7286.0</v>
      </c>
      <c r="C11584" s="38" t="s">
        <v>15683</v>
      </c>
      <c r="D11584" s="38" t="str">
        <f>IFERROR(__xludf.DUMMYFUNCTION("REGEXREPLACE(C11584,""-\d+(.*)|--\d+(.*)"","""")"),"SAINT-PIERREVILLE")</f>
        <v>SAINT-PIERREVILLE</v>
      </c>
      <c r="E11584" s="38" t="s">
        <v>144</v>
      </c>
      <c r="F11584" s="38" t="s">
        <v>102</v>
      </c>
      <c r="G11584" s="49" t="str">
        <f t="shared" si="1"/>
        <v>07190</v>
      </c>
      <c r="H11584" s="49" t="str">
        <f t="shared" si="2"/>
        <v>07286</v>
      </c>
    </row>
    <row r="11585">
      <c r="A11585" s="48" t="s">
        <v>4840</v>
      </c>
      <c r="B11585" s="38">
        <v>16414.0</v>
      </c>
      <c r="C11585" s="38" t="s">
        <v>15684</v>
      </c>
      <c r="D11585" s="38" t="str">
        <f>IFERROR(__xludf.DUMMYFUNCTION("REGEXREPLACE(C11585,""-\d+(.*)|--\d+(.*)"","""")"),"VILLOGNON")</f>
        <v>VILLOGNON</v>
      </c>
      <c r="E11585" s="38" t="s">
        <v>429</v>
      </c>
      <c r="F11585" s="38" t="s">
        <v>338</v>
      </c>
      <c r="G11585" s="49" t="str">
        <f t="shared" si="1"/>
        <v>16230</v>
      </c>
      <c r="H11585" s="49">
        <f t="shared" si="2"/>
        <v>16414</v>
      </c>
    </row>
    <row r="11586">
      <c r="A11586" s="48" t="s">
        <v>3359</v>
      </c>
      <c r="B11586" s="38">
        <v>9232.0</v>
      </c>
      <c r="C11586" s="38" t="s">
        <v>14559</v>
      </c>
      <c r="D11586" s="38" t="str">
        <f>IFERROR(__xludf.DUMMYFUNCTION("REGEXREPLACE(C11586,""-\d+(.*)|--\d+(.*)"","""")"),"PRADES")</f>
        <v>PRADES</v>
      </c>
      <c r="E11586" s="38" t="s">
        <v>238</v>
      </c>
      <c r="F11586" s="38" t="s">
        <v>94</v>
      </c>
      <c r="G11586" s="49" t="str">
        <f t="shared" si="1"/>
        <v>09110</v>
      </c>
      <c r="H11586" s="49" t="str">
        <f t="shared" si="2"/>
        <v>09232</v>
      </c>
    </row>
    <row r="11587">
      <c r="A11587" s="48" t="s">
        <v>7501</v>
      </c>
      <c r="B11587" s="38">
        <v>9327.0</v>
      </c>
      <c r="C11587" s="38" t="s">
        <v>15685</v>
      </c>
      <c r="D11587" s="38" t="str">
        <f>IFERROR(__xludf.DUMMYFUNCTION("REGEXREPLACE(C11587,""-\d+(.*)|--\d+(.*)"","""")"),"VENTENAC")</f>
        <v>VENTENAC</v>
      </c>
      <c r="E11587" s="38" t="s">
        <v>238</v>
      </c>
      <c r="F11587" s="38" t="s">
        <v>94</v>
      </c>
      <c r="G11587" s="49" t="str">
        <f t="shared" si="1"/>
        <v>09120</v>
      </c>
      <c r="H11587" s="49" t="str">
        <f t="shared" si="2"/>
        <v>09327</v>
      </c>
    </row>
    <row r="11588">
      <c r="A11588" s="48" t="s">
        <v>4196</v>
      </c>
      <c r="B11588" s="38">
        <v>8043.0</v>
      </c>
      <c r="C11588" s="38" t="s">
        <v>418</v>
      </c>
      <c r="D11588" s="38" t="str">
        <f>IFERROR(__xludf.DUMMYFUNCTION("REGEXREPLACE(C11588,""-\d+(.*)|--\d+(.*)"","""")"),"BALAN")</f>
        <v>BALAN</v>
      </c>
      <c r="E11588" s="38" t="s">
        <v>327</v>
      </c>
      <c r="F11588" s="38" t="s">
        <v>130</v>
      </c>
      <c r="G11588" s="49" t="str">
        <f t="shared" si="1"/>
        <v>08200</v>
      </c>
      <c r="H11588" s="49" t="str">
        <f t="shared" si="2"/>
        <v>08043</v>
      </c>
    </row>
    <row r="11589">
      <c r="A11589" s="48" t="s">
        <v>15686</v>
      </c>
      <c r="B11589" s="38">
        <v>69279.0</v>
      </c>
      <c r="C11589" s="38" t="s">
        <v>15687</v>
      </c>
      <c r="D11589" s="38" t="str">
        <f>IFERROR(__xludf.DUMMYFUNCTION("REGEXREPLACE(C11589,""-\d+(.*)|--\d+(.*)"","""")"),"JONAGE")</f>
        <v>JONAGE</v>
      </c>
      <c r="E11589" s="38" t="s">
        <v>350</v>
      </c>
      <c r="F11589" s="38" t="s">
        <v>102</v>
      </c>
      <c r="G11589" s="49" t="str">
        <f t="shared" si="1"/>
        <v>69330</v>
      </c>
      <c r="H11589" s="49">
        <f t="shared" si="2"/>
        <v>69279</v>
      </c>
    </row>
    <row r="11590">
      <c r="A11590" s="48" t="s">
        <v>394</v>
      </c>
      <c r="B11590" s="38">
        <v>41116.0</v>
      </c>
      <c r="C11590" s="38" t="s">
        <v>15688</v>
      </c>
      <c r="D11590" s="38" t="str">
        <f>IFERROR(__xludf.DUMMYFUNCTION("REGEXREPLACE(C11590,""-\d+(.*)|--\d+(.*)"","""")"),"LISLE")</f>
        <v>LISLE</v>
      </c>
      <c r="E11590" s="38" t="s">
        <v>188</v>
      </c>
      <c r="F11590" s="38" t="s">
        <v>123</v>
      </c>
      <c r="G11590" s="49" t="str">
        <f t="shared" si="1"/>
        <v>41100</v>
      </c>
      <c r="H11590" s="49">
        <f t="shared" si="2"/>
        <v>41116</v>
      </c>
    </row>
    <row r="11591">
      <c r="A11591" s="48" t="s">
        <v>282</v>
      </c>
      <c r="B11591" s="38">
        <v>46084.0</v>
      </c>
      <c r="C11591" s="38" t="s">
        <v>9676</v>
      </c>
      <c r="D11591" s="38" t="str">
        <f>IFERROR(__xludf.DUMMYFUNCTION("REGEXREPLACE(C11591,""-\d+(.*)|--\d+(.*)"","""")"),"CREYSSE")</f>
        <v>CREYSSE</v>
      </c>
      <c r="E11591" s="38" t="s">
        <v>185</v>
      </c>
      <c r="F11591" s="38" t="s">
        <v>94</v>
      </c>
      <c r="G11591" s="49" t="str">
        <f t="shared" si="1"/>
        <v>46600</v>
      </c>
      <c r="H11591" s="49">
        <f t="shared" si="2"/>
        <v>46084</v>
      </c>
    </row>
    <row r="11592">
      <c r="A11592" s="48" t="s">
        <v>5693</v>
      </c>
      <c r="B11592" s="38">
        <v>50525.0</v>
      </c>
      <c r="C11592" s="38" t="s">
        <v>15689</v>
      </c>
      <c r="D11592" s="38" t="str">
        <f>IFERROR(__xludf.DUMMYFUNCTION("REGEXREPLACE(C11592,""-\d+(.*)|--\d+(.*)"","""")"),"SAINT-MICHEL-DE-MONTJOIE")</f>
        <v>SAINT-MICHEL-DE-MONTJOIE</v>
      </c>
      <c r="E11592" s="38" t="s">
        <v>157</v>
      </c>
      <c r="F11592" s="38" t="s">
        <v>138</v>
      </c>
      <c r="G11592" s="49" t="str">
        <f t="shared" si="1"/>
        <v>50670</v>
      </c>
      <c r="H11592" s="49">
        <f t="shared" si="2"/>
        <v>50525</v>
      </c>
    </row>
    <row r="11593">
      <c r="A11593" s="48" t="s">
        <v>2605</v>
      </c>
      <c r="B11593" s="38">
        <v>39483.0</v>
      </c>
      <c r="C11593" s="38" t="s">
        <v>15690</v>
      </c>
      <c r="D11593" s="38" t="str">
        <f>IFERROR(__xludf.DUMMYFUNCTION("REGEXREPLACE(C11593,""-\d+(.*)|--\d+(.*)"","""")"),"SAINT-HYMETIERE")</f>
        <v>SAINT-HYMETIERE</v>
      </c>
      <c r="E11593" s="38" t="s">
        <v>400</v>
      </c>
      <c r="F11593" s="38" t="s">
        <v>214</v>
      </c>
      <c r="G11593" s="49" t="str">
        <f t="shared" si="1"/>
        <v>39240</v>
      </c>
      <c r="H11593" s="49">
        <f t="shared" si="2"/>
        <v>39483</v>
      </c>
    </row>
    <row r="11594">
      <c r="A11594" s="48" t="s">
        <v>4381</v>
      </c>
      <c r="B11594" s="38">
        <v>82135.0</v>
      </c>
      <c r="C11594" s="38" t="s">
        <v>15691</v>
      </c>
      <c r="D11594" s="38" t="str">
        <f>IFERROR(__xludf.DUMMYFUNCTION("REGEXREPLACE(C11594,""-\d+(.*)|--\d+(.*)"","""")"),"NOHIC")</f>
        <v>NOHIC</v>
      </c>
      <c r="E11594" s="38" t="s">
        <v>570</v>
      </c>
      <c r="F11594" s="38" t="s">
        <v>94</v>
      </c>
      <c r="G11594" s="49" t="str">
        <f t="shared" si="1"/>
        <v>82370</v>
      </c>
      <c r="H11594" s="49">
        <f t="shared" si="2"/>
        <v>82135</v>
      </c>
    </row>
    <row r="11595">
      <c r="A11595" s="48" t="s">
        <v>3816</v>
      </c>
      <c r="B11595" s="38">
        <v>25252.0</v>
      </c>
      <c r="C11595" s="38" t="s">
        <v>15692</v>
      </c>
      <c r="D11595" s="38" t="str">
        <f>IFERROR(__xludf.DUMMYFUNCTION("REGEXREPLACE(C11595,""-\d+(.*)|--\d+(.*)"","""")"),"FOURCATIER-ET-MAISON-NEUVE")</f>
        <v>FOURCATIER-ET-MAISON-NEUVE</v>
      </c>
      <c r="E11595" s="38" t="s">
        <v>213</v>
      </c>
      <c r="F11595" s="38" t="s">
        <v>214</v>
      </c>
      <c r="G11595" s="49" t="str">
        <f t="shared" si="1"/>
        <v>25370</v>
      </c>
      <c r="H11595" s="49">
        <f t="shared" si="2"/>
        <v>25252</v>
      </c>
    </row>
    <row r="11596">
      <c r="A11596" s="48" t="s">
        <v>2387</v>
      </c>
      <c r="B11596" s="38">
        <v>42037.0</v>
      </c>
      <c r="C11596" s="38" t="s">
        <v>15693</v>
      </c>
      <c r="D11596" s="38" t="str">
        <f>IFERROR(__xludf.DUMMYFUNCTION("REGEXREPLACE(C11596,""-\d+(.*)|--\d+(.*)"","""")"),"CHALAIN-D'UZORE")</f>
        <v>CHALAIN-D'UZORE</v>
      </c>
      <c r="E11596" s="38" t="s">
        <v>166</v>
      </c>
      <c r="F11596" s="38" t="s">
        <v>102</v>
      </c>
      <c r="G11596" s="49" t="str">
        <f t="shared" si="1"/>
        <v>42600</v>
      </c>
      <c r="H11596" s="49">
        <f t="shared" si="2"/>
        <v>42037</v>
      </c>
    </row>
    <row r="11597">
      <c r="A11597" s="48" t="s">
        <v>5545</v>
      </c>
      <c r="B11597" s="38">
        <v>22044.0</v>
      </c>
      <c r="C11597" s="38" t="s">
        <v>15694</v>
      </c>
      <c r="D11597" s="38" t="str">
        <f>IFERROR(__xludf.DUMMYFUNCTION("REGEXREPLACE(C11597,""-\d+(.*)|--\d+(.*)"","""")"),"COETMIEUX")</f>
        <v>COETMIEUX</v>
      </c>
      <c r="E11597" s="38" t="s">
        <v>89</v>
      </c>
      <c r="F11597" s="38" t="s">
        <v>90</v>
      </c>
      <c r="G11597" s="49" t="str">
        <f t="shared" si="1"/>
        <v>22400</v>
      </c>
      <c r="H11597" s="49">
        <f t="shared" si="2"/>
        <v>22044</v>
      </c>
    </row>
    <row r="11598">
      <c r="A11598" s="48" t="s">
        <v>5772</v>
      </c>
      <c r="B11598" s="38">
        <v>43070.0</v>
      </c>
      <c r="C11598" s="38" t="s">
        <v>15695</v>
      </c>
      <c r="D11598" s="38" t="str">
        <f>IFERROR(__xludf.DUMMYFUNCTION("REGEXREPLACE(C11598,""-\d+(.*)|--\d+(.*)"","""")"),"CHILHAC")</f>
        <v>CHILHAC</v>
      </c>
      <c r="E11598" s="38" t="s">
        <v>332</v>
      </c>
      <c r="F11598" s="38" t="s">
        <v>161</v>
      </c>
      <c r="G11598" s="49" t="str">
        <f t="shared" si="1"/>
        <v>43380</v>
      </c>
      <c r="H11598" s="49">
        <f t="shared" si="2"/>
        <v>43070</v>
      </c>
    </row>
    <row r="11599">
      <c r="A11599" s="48" t="s">
        <v>11949</v>
      </c>
      <c r="B11599" s="38">
        <v>45194.0</v>
      </c>
      <c r="C11599" s="38" t="s">
        <v>15696</v>
      </c>
      <c r="D11599" s="38" t="str">
        <f>IFERROR(__xludf.DUMMYFUNCTION("REGEXREPLACE(C11599,""-\d+(.*)|--\d+(.*)"","""")"),"MARDIE")</f>
        <v>MARDIE</v>
      </c>
      <c r="E11599" s="38" t="s">
        <v>122</v>
      </c>
      <c r="F11599" s="38" t="s">
        <v>123</v>
      </c>
      <c r="G11599" s="49" t="str">
        <f t="shared" si="1"/>
        <v>45430</v>
      </c>
      <c r="H11599" s="49">
        <f t="shared" si="2"/>
        <v>45194</v>
      </c>
    </row>
    <row r="11600">
      <c r="A11600" s="48" t="s">
        <v>407</v>
      </c>
      <c r="B11600" s="38">
        <v>71417.0</v>
      </c>
      <c r="C11600" s="38" t="s">
        <v>15697</v>
      </c>
      <c r="D11600" s="38" t="str">
        <f>IFERROR(__xludf.DUMMYFUNCTION("REGEXREPLACE(C11600,""-\d+(.*)|--\d+(.*)"","""")"),"SAINT-GENGOUX-LE-NATIONAL")</f>
        <v>SAINT-GENGOUX-LE-NATIONAL</v>
      </c>
      <c r="E11600" s="38" t="s">
        <v>344</v>
      </c>
      <c r="F11600" s="38" t="s">
        <v>106</v>
      </c>
      <c r="G11600" s="49" t="str">
        <f t="shared" si="1"/>
        <v>71460</v>
      </c>
      <c r="H11600" s="49">
        <f t="shared" si="2"/>
        <v>71417</v>
      </c>
    </row>
    <row r="11601">
      <c r="A11601" s="48" t="s">
        <v>8510</v>
      </c>
      <c r="B11601" s="38">
        <v>39349.0</v>
      </c>
      <c r="C11601" s="38" t="s">
        <v>15698</v>
      </c>
      <c r="D11601" s="38" t="str">
        <f>IFERROR(__xludf.DUMMYFUNCTION("REGEXREPLACE(C11601,""-\d+(.*)|--\d+(.*)"","""")"),"MONTAIN")</f>
        <v>MONTAIN</v>
      </c>
      <c r="E11601" s="38" t="s">
        <v>400</v>
      </c>
      <c r="F11601" s="38" t="s">
        <v>214</v>
      </c>
      <c r="G11601" s="49" t="str">
        <f t="shared" si="1"/>
        <v>39210</v>
      </c>
      <c r="H11601" s="49">
        <f t="shared" si="2"/>
        <v>39349</v>
      </c>
    </row>
    <row r="11602">
      <c r="A11602" s="48" t="s">
        <v>2748</v>
      </c>
      <c r="B11602" s="38">
        <v>32174.0</v>
      </c>
      <c r="C11602" s="38" t="s">
        <v>15699</v>
      </c>
      <c r="D11602" s="38" t="str">
        <f>IFERROR(__xludf.DUMMYFUNCTION("REGEXREPLACE(C11602,""-\d+(.*)|--\d+(.*)"","""")"),"LADEVEZE-RIVIERE")</f>
        <v>LADEVEZE-RIVIERE</v>
      </c>
      <c r="E11602" s="38" t="s">
        <v>440</v>
      </c>
      <c r="F11602" s="38" t="s">
        <v>94</v>
      </c>
      <c r="G11602" s="49" t="str">
        <f t="shared" si="1"/>
        <v>32230</v>
      </c>
      <c r="H11602" s="49">
        <f t="shared" si="2"/>
        <v>32174</v>
      </c>
    </row>
    <row r="11603">
      <c r="A11603" s="48" t="s">
        <v>15700</v>
      </c>
      <c r="B11603" s="38">
        <v>53202.0</v>
      </c>
      <c r="C11603" s="38" t="s">
        <v>15701</v>
      </c>
      <c r="D11603" s="38" t="str">
        <f>IFERROR(__xludf.DUMMYFUNCTION("REGEXREPLACE(C11603,""-\d+(.*)|--\d+(.*)"","""")"),"SAINT-BERTHEVIN-LA-TANNIERE")</f>
        <v>SAINT-BERTHEVIN-LA-TANNIERE</v>
      </c>
      <c r="E11603" s="38" t="s">
        <v>518</v>
      </c>
      <c r="F11603" s="38" t="s">
        <v>180</v>
      </c>
      <c r="G11603" s="49" t="str">
        <f t="shared" si="1"/>
        <v>53220</v>
      </c>
      <c r="H11603" s="49">
        <f t="shared" si="2"/>
        <v>53202</v>
      </c>
    </row>
    <row r="11604">
      <c r="A11604" s="48" t="s">
        <v>15702</v>
      </c>
      <c r="B11604" s="38">
        <v>13083.0</v>
      </c>
      <c r="C11604" s="38" t="s">
        <v>15703</v>
      </c>
      <c r="D11604" s="38" t="str">
        <f>IFERROR(__xludf.DUMMYFUNCTION("REGEXREPLACE(C11604,""-\d+(.*)|--\d+(.*)"","""")"),"ROGNONAS")</f>
        <v>ROGNONAS</v>
      </c>
      <c r="E11604" s="38" t="s">
        <v>980</v>
      </c>
      <c r="F11604" s="38" t="s">
        <v>228</v>
      </c>
      <c r="G11604" s="49" t="str">
        <f t="shared" si="1"/>
        <v>13870</v>
      </c>
      <c r="H11604" s="49">
        <f t="shared" si="2"/>
        <v>13083</v>
      </c>
    </row>
    <row r="11605">
      <c r="A11605" s="48" t="s">
        <v>1428</v>
      </c>
      <c r="B11605" s="38">
        <v>31493.0</v>
      </c>
      <c r="C11605" s="38" t="s">
        <v>15704</v>
      </c>
      <c r="D11605" s="38" t="str">
        <f>IFERROR(__xludf.DUMMYFUNCTION("REGEXREPLACE(C11605,""-\d+(.*)|--\d+(.*)"","""")"),"SAINT-LARY-BOUJEAN")</f>
        <v>SAINT-LARY-BOUJEAN</v>
      </c>
      <c r="E11605" s="38" t="s">
        <v>93</v>
      </c>
      <c r="F11605" s="38" t="s">
        <v>94</v>
      </c>
      <c r="G11605" s="49" t="str">
        <f t="shared" si="1"/>
        <v>31350</v>
      </c>
      <c r="H11605" s="49">
        <f t="shared" si="2"/>
        <v>31493</v>
      </c>
    </row>
    <row r="11606">
      <c r="A11606" s="48" t="s">
        <v>1210</v>
      </c>
      <c r="B11606" s="38">
        <v>50227.0</v>
      </c>
      <c r="C11606" s="38" t="s">
        <v>11132</v>
      </c>
      <c r="D11606" s="38" t="str">
        <f>IFERROR(__xludf.DUMMYFUNCTION("REGEXREPLACE(C11606,""-\d+(.*)|--\d+(.*)"","""")"),"LE HAM")</f>
        <v>LE HAM</v>
      </c>
      <c r="E11606" s="38" t="s">
        <v>157</v>
      </c>
      <c r="F11606" s="38" t="s">
        <v>138</v>
      </c>
      <c r="G11606" s="49" t="str">
        <f t="shared" si="1"/>
        <v>50310</v>
      </c>
      <c r="H11606" s="49">
        <f t="shared" si="2"/>
        <v>50227</v>
      </c>
    </row>
    <row r="11607">
      <c r="A11607" s="48" t="s">
        <v>5239</v>
      </c>
      <c r="B11607" s="38">
        <v>65437.0</v>
      </c>
      <c r="C11607" s="38" t="s">
        <v>15705</v>
      </c>
      <c r="D11607" s="38" t="str">
        <f>IFERROR(__xludf.DUMMYFUNCTION("REGEXREPLACE(C11607,""-\d+(.*)|--\d+(.*)"","""")"),"TAJAN")</f>
        <v>TAJAN</v>
      </c>
      <c r="E11607" s="38" t="s">
        <v>200</v>
      </c>
      <c r="F11607" s="38" t="s">
        <v>94</v>
      </c>
      <c r="G11607" s="49" t="str">
        <f t="shared" si="1"/>
        <v>65300</v>
      </c>
      <c r="H11607" s="49">
        <f t="shared" si="2"/>
        <v>65437</v>
      </c>
    </row>
    <row r="11608">
      <c r="A11608" s="48" t="s">
        <v>3539</v>
      </c>
      <c r="B11608" s="38">
        <v>54560.0</v>
      </c>
      <c r="C11608" s="38" t="s">
        <v>15706</v>
      </c>
      <c r="D11608" s="38" t="str">
        <f>IFERROR(__xludf.DUMMYFUNCTION("REGEXREPLACE(C11608,""-\d+(.*)|--\d+(.*)"","""")"),"VENEY")</f>
        <v>VENEY</v>
      </c>
      <c r="E11608" s="38" t="s">
        <v>548</v>
      </c>
      <c r="F11608" s="38" t="s">
        <v>195</v>
      </c>
      <c r="G11608" s="49" t="str">
        <f t="shared" si="1"/>
        <v>54540</v>
      </c>
      <c r="H11608" s="49">
        <f t="shared" si="2"/>
        <v>54560</v>
      </c>
    </row>
    <row r="11609">
      <c r="A11609" s="48" t="s">
        <v>10017</v>
      </c>
      <c r="B11609" s="38">
        <v>14123.0</v>
      </c>
      <c r="C11609" s="38" t="s">
        <v>15707</v>
      </c>
      <c r="D11609" s="38" t="str">
        <f>IFERROR(__xludf.DUMMYFUNCTION("REGEXREPLACE(C11609,""-\d+(.*)|--\d+(.*)"","""")"),"CAIRON")</f>
        <v>CAIRON</v>
      </c>
      <c r="E11609" s="38" t="s">
        <v>137</v>
      </c>
      <c r="F11609" s="38" t="s">
        <v>138</v>
      </c>
      <c r="G11609" s="49" t="str">
        <f t="shared" si="1"/>
        <v>14610</v>
      </c>
      <c r="H11609" s="49">
        <f t="shared" si="2"/>
        <v>14123</v>
      </c>
    </row>
    <row r="11610">
      <c r="A11610" s="48" t="s">
        <v>12972</v>
      </c>
      <c r="B11610" s="38" t="s">
        <v>15708</v>
      </c>
      <c r="C11610" s="38" t="s">
        <v>15709</v>
      </c>
      <c r="D11610" s="38" t="str">
        <f>IFERROR(__xludf.DUMMYFUNCTION("REGEXREPLACE(C11610,""-\d+(.*)|--\d+(.*)"","""")"),"CORSCIA")</f>
        <v>CORSCIA</v>
      </c>
      <c r="E11610" s="38" t="s">
        <v>743</v>
      </c>
      <c r="F11610" s="38" t="s">
        <v>607</v>
      </c>
      <c r="G11610" s="49" t="str">
        <f t="shared" si="1"/>
        <v>20224</v>
      </c>
      <c r="H11610" s="49" t="str">
        <f t="shared" si="2"/>
        <v>2B095</v>
      </c>
    </row>
    <row r="11611">
      <c r="A11611" s="48" t="s">
        <v>7247</v>
      </c>
      <c r="B11611" s="38">
        <v>24396.0</v>
      </c>
      <c r="C11611" s="38" t="s">
        <v>3527</v>
      </c>
      <c r="D11611" s="38" t="str">
        <f>IFERROR(__xludf.DUMMYFUNCTION("REGEXREPLACE(C11611,""-\d+(.*)|--\d+(.*)"","""")"),"SAINT-CYPRIEN")</f>
        <v>SAINT-CYPRIEN</v>
      </c>
      <c r="E11611" s="38" t="s">
        <v>261</v>
      </c>
      <c r="F11611" s="38" t="s">
        <v>252</v>
      </c>
      <c r="G11611" s="49" t="str">
        <f t="shared" si="1"/>
        <v>24220</v>
      </c>
      <c r="H11611" s="49">
        <f t="shared" si="2"/>
        <v>24396</v>
      </c>
    </row>
    <row r="11612">
      <c r="A11612" s="48" t="s">
        <v>12281</v>
      </c>
      <c r="B11612" s="38">
        <v>54456.0</v>
      </c>
      <c r="C11612" s="38" t="s">
        <v>15710</v>
      </c>
      <c r="D11612" s="38" t="str">
        <f>IFERROR(__xludf.DUMMYFUNCTION("REGEXREPLACE(C11612,""-\d+(.*)|--\d+(.*)"","""")"),"REMEREVILLE")</f>
        <v>REMEREVILLE</v>
      </c>
      <c r="E11612" s="38" t="s">
        <v>548</v>
      </c>
      <c r="F11612" s="38" t="s">
        <v>195</v>
      </c>
      <c r="G11612" s="49" t="str">
        <f t="shared" si="1"/>
        <v>54110</v>
      </c>
      <c r="H11612" s="49">
        <f t="shared" si="2"/>
        <v>54456</v>
      </c>
    </row>
    <row r="11613">
      <c r="A11613" s="48" t="s">
        <v>2387</v>
      </c>
      <c r="B11613" s="38">
        <v>42328.0</v>
      </c>
      <c r="C11613" s="38" t="s">
        <v>15711</v>
      </c>
      <c r="D11613" s="38" t="str">
        <f>IFERROR(__xludf.DUMMYFUNCTION("REGEXREPLACE(C11613,""-\d+(.*)|--\d+(.*)"","""")"),"VERRIERES-EN-FOREZ")</f>
        <v>VERRIERES-EN-FOREZ</v>
      </c>
      <c r="E11613" s="38" t="s">
        <v>166</v>
      </c>
      <c r="F11613" s="38" t="s">
        <v>102</v>
      </c>
      <c r="G11613" s="49" t="str">
        <f t="shared" si="1"/>
        <v>42600</v>
      </c>
      <c r="H11613" s="49">
        <f t="shared" si="2"/>
        <v>42328</v>
      </c>
    </row>
    <row r="11614">
      <c r="A11614" s="48" t="s">
        <v>4131</v>
      </c>
      <c r="B11614" s="38">
        <v>27061.0</v>
      </c>
      <c r="C11614" s="38" t="s">
        <v>15712</v>
      </c>
      <c r="D11614" s="38" t="str">
        <f>IFERROR(__xludf.DUMMYFUNCTION("REGEXREPLACE(C11614,""-\d+(.*)|--\d+(.*)"","""")"),"BERTHOUVILLE")</f>
        <v>BERTHOUVILLE</v>
      </c>
      <c r="E11614" s="38" t="s">
        <v>241</v>
      </c>
      <c r="F11614" s="38" t="s">
        <v>134</v>
      </c>
      <c r="G11614" s="49" t="str">
        <f t="shared" si="1"/>
        <v>27800</v>
      </c>
      <c r="H11614" s="49">
        <f t="shared" si="2"/>
        <v>27061</v>
      </c>
    </row>
    <row r="11615">
      <c r="A11615" s="48" t="s">
        <v>1093</v>
      </c>
      <c r="B11615" s="38">
        <v>62504.0</v>
      </c>
      <c r="C11615" s="38" t="s">
        <v>15713</v>
      </c>
      <c r="D11615" s="38" t="str">
        <f>IFERROR(__xludf.DUMMYFUNCTION("REGEXREPLACE(C11615,""-\d+(.*)|--\d+(.*)"","""")"),"LEULINGHEM")</f>
        <v>LEULINGHEM</v>
      </c>
      <c r="E11615" s="38" t="s">
        <v>109</v>
      </c>
      <c r="F11615" s="38" t="s">
        <v>86</v>
      </c>
      <c r="G11615" s="49" t="str">
        <f t="shared" si="1"/>
        <v>62500</v>
      </c>
      <c r="H11615" s="49">
        <f t="shared" si="2"/>
        <v>62504</v>
      </c>
    </row>
    <row r="11616">
      <c r="A11616" s="48" t="s">
        <v>232</v>
      </c>
      <c r="B11616" s="38">
        <v>52540.0</v>
      </c>
      <c r="C11616" s="38" t="s">
        <v>15714</v>
      </c>
      <c r="D11616" s="38" t="str">
        <f>IFERROR(__xludf.DUMMYFUNCTION("REGEXREPLACE(C11616,""-\d+(.*)|--\d+(.*)"","""")"),"VITRY-EN-MONTAGNE")</f>
        <v>VITRY-EN-MONTAGNE</v>
      </c>
      <c r="E11616" s="38" t="s">
        <v>234</v>
      </c>
      <c r="F11616" s="38" t="s">
        <v>130</v>
      </c>
      <c r="G11616" s="49" t="str">
        <f t="shared" si="1"/>
        <v>52160</v>
      </c>
      <c r="H11616" s="49">
        <f t="shared" si="2"/>
        <v>52540</v>
      </c>
    </row>
    <row r="11617">
      <c r="A11617" s="48" t="s">
        <v>1885</v>
      </c>
      <c r="B11617" s="38">
        <v>27106.0</v>
      </c>
      <c r="C11617" s="38" t="s">
        <v>15715</v>
      </c>
      <c r="D11617" s="38" t="str">
        <f>IFERROR(__xludf.DUMMYFUNCTION("REGEXREPLACE(C11617,""-\d+(.*)|--\d+(.*)"","""")"),"BOURNAINVILLE-FAVEROLLES")</f>
        <v>BOURNAINVILLE-FAVEROLLES</v>
      </c>
      <c r="E11617" s="38" t="s">
        <v>241</v>
      </c>
      <c r="F11617" s="38" t="s">
        <v>134</v>
      </c>
      <c r="G11617" s="49" t="str">
        <f t="shared" si="1"/>
        <v>27230</v>
      </c>
      <c r="H11617" s="49">
        <f t="shared" si="2"/>
        <v>27106</v>
      </c>
    </row>
    <row r="11618">
      <c r="A11618" s="48" t="s">
        <v>15716</v>
      </c>
      <c r="B11618" s="38">
        <v>35335.0</v>
      </c>
      <c r="C11618" s="38" t="s">
        <v>15717</v>
      </c>
      <c r="D11618" s="38" t="str">
        <f>IFERROR(__xludf.DUMMYFUNCTION("REGEXREPLACE(C11618,""-\d+(.*)|--\d+(.*)"","""")"),"THOURIE")</f>
        <v>THOURIE</v>
      </c>
      <c r="E11618" s="38" t="s">
        <v>347</v>
      </c>
      <c r="F11618" s="38" t="s">
        <v>90</v>
      </c>
      <c r="G11618" s="49" t="str">
        <f t="shared" si="1"/>
        <v>35134</v>
      </c>
      <c r="H11618" s="49">
        <f t="shared" si="2"/>
        <v>35335</v>
      </c>
    </row>
    <row r="11619">
      <c r="A11619" s="48" t="s">
        <v>832</v>
      </c>
      <c r="B11619" s="38">
        <v>12271.0</v>
      </c>
      <c r="C11619" s="38" t="s">
        <v>15718</v>
      </c>
      <c r="D11619" s="38" t="str">
        <f>IFERROR(__xludf.DUMMYFUNCTION("REGEXREPLACE(C11619,""-\d+(.*)|--\d+(.*)"","""")"),"SEVERAC-L'EGLISE")</f>
        <v>SEVERAC-L'EGLISE</v>
      </c>
      <c r="E11619" s="38" t="s">
        <v>465</v>
      </c>
      <c r="F11619" s="38" t="s">
        <v>94</v>
      </c>
      <c r="G11619" s="49" t="str">
        <f t="shared" si="1"/>
        <v>12310</v>
      </c>
      <c r="H11619" s="49">
        <f t="shared" si="2"/>
        <v>12271</v>
      </c>
    </row>
    <row r="11620">
      <c r="A11620" s="48" t="s">
        <v>1697</v>
      </c>
      <c r="B11620" s="38">
        <v>39443.0</v>
      </c>
      <c r="C11620" s="38" t="s">
        <v>5415</v>
      </c>
      <c r="D11620" s="38" t="str">
        <f>IFERROR(__xludf.DUMMYFUNCTION("REGEXREPLACE(C11620,""-\d+(.*)|--\d+(.*)"","""")"),"PRESILLY")</f>
        <v>PRESILLY</v>
      </c>
      <c r="E11620" s="38" t="s">
        <v>400</v>
      </c>
      <c r="F11620" s="38" t="s">
        <v>214</v>
      </c>
      <c r="G11620" s="49" t="str">
        <f t="shared" si="1"/>
        <v>39270</v>
      </c>
      <c r="H11620" s="49">
        <f t="shared" si="2"/>
        <v>39443</v>
      </c>
    </row>
    <row r="11621">
      <c r="A11621" s="48" t="s">
        <v>1733</v>
      </c>
      <c r="B11621" s="38">
        <v>23171.0</v>
      </c>
      <c r="C11621" s="38" t="s">
        <v>15719</v>
      </c>
      <c r="D11621" s="38" t="str">
        <f>IFERROR(__xludf.DUMMYFUNCTION("REGEXREPLACE(C11621,""-\d+(.*)|--\d+(.*)"","""")"),"SERMUR")</f>
        <v>SERMUR</v>
      </c>
      <c r="E11621" s="38" t="s">
        <v>97</v>
      </c>
      <c r="F11621" s="38" t="s">
        <v>98</v>
      </c>
      <c r="G11621" s="49" t="str">
        <f t="shared" si="1"/>
        <v>23700</v>
      </c>
      <c r="H11621" s="49">
        <f t="shared" si="2"/>
        <v>23171</v>
      </c>
    </row>
    <row r="11622">
      <c r="A11622" s="48" t="s">
        <v>476</v>
      </c>
      <c r="B11622" s="38">
        <v>35132.0</v>
      </c>
      <c r="C11622" s="38" t="s">
        <v>15720</v>
      </c>
      <c r="D11622" s="38" t="str">
        <f>IFERROR(__xludf.DUMMYFUNCTION("REGEXREPLACE(C11622,""-\d+(.*)|--\d+(.*)"","""")"),"HIREL")</f>
        <v>HIREL</v>
      </c>
      <c r="E11622" s="38" t="s">
        <v>347</v>
      </c>
      <c r="F11622" s="38" t="s">
        <v>90</v>
      </c>
      <c r="G11622" s="49" t="str">
        <f t="shared" si="1"/>
        <v>35120</v>
      </c>
      <c r="H11622" s="49">
        <f t="shared" si="2"/>
        <v>35132</v>
      </c>
    </row>
    <row r="11623">
      <c r="A11623" s="48" t="s">
        <v>15721</v>
      </c>
      <c r="B11623" s="38">
        <v>40192.0</v>
      </c>
      <c r="C11623" s="38" t="s">
        <v>15722</v>
      </c>
      <c r="D11623" s="38" t="str">
        <f>IFERROR(__xludf.DUMMYFUNCTION("REGEXREPLACE(C11623,""-\d+(.*)|--\d+(.*)"","""")"),"MONT-DE-MARSAN")</f>
        <v>MONT-DE-MARSAN</v>
      </c>
      <c r="E11623" s="38" t="s">
        <v>281</v>
      </c>
      <c r="F11623" s="38" t="s">
        <v>252</v>
      </c>
      <c r="G11623" s="49" t="str">
        <f t="shared" si="1"/>
        <v>40000</v>
      </c>
      <c r="H11623" s="49">
        <f t="shared" si="2"/>
        <v>40192</v>
      </c>
    </row>
    <row r="11624">
      <c r="A11624" s="48" t="s">
        <v>12826</v>
      </c>
      <c r="B11624" s="38">
        <v>45342.0</v>
      </c>
      <c r="C11624" s="38" t="s">
        <v>15723</v>
      </c>
      <c r="D11624" s="38" t="str">
        <f>IFERROR(__xludf.DUMMYFUNCTION("REGEXREPLACE(C11624,""-\d+(.*)|--\d+(.*)"","""")"),"VILLEREAU")</f>
        <v>VILLEREAU</v>
      </c>
      <c r="E11624" s="38" t="s">
        <v>122</v>
      </c>
      <c r="F11624" s="38" t="s">
        <v>123</v>
      </c>
      <c r="G11624" s="49" t="str">
        <f t="shared" si="1"/>
        <v>45170</v>
      </c>
      <c r="H11624" s="49">
        <f t="shared" si="2"/>
        <v>45342</v>
      </c>
    </row>
    <row r="11625">
      <c r="A11625" s="48" t="s">
        <v>10760</v>
      </c>
      <c r="B11625" s="38">
        <v>25452.0</v>
      </c>
      <c r="C11625" s="38" t="s">
        <v>15724</v>
      </c>
      <c r="D11625" s="38" t="str">
        <f>IFERROR(__xludf.DUMMYFUNCTION("REGEXREPLACE(C11625,""-\d+(.*)|--\d+(.*)"","""")"),"PIERREFONTAINE-LES-BLAMONT")</f>
        <v>PIERREFONTAINE-LES-BLAMONT</v>
      </c>
      <c r="E11625" s="38" t="s">
        <v>213</v>
      </c>
      <c r="F11625" s="38" t="s">
        <v>214</v>
      </c>
      <c r="G11625" s="49" t="str">
        <f t="shared" si="1"/>
        <v>25310</v>
      </c>
      <c r="H11625" s="49">
        <f t="shared" si="2"/>
        <v>25452</v>
      </c>
    </row>
    <row r="11626">
      <c r="A11626" s="48" t="s">
        <v>1276</v>
      </c>
      <c r="B11626" s="38">
        <v>64464.0</v>
      </c>
      <c r="C11626" s="38" t="s">
        <v>15725</v>
      </c>
      <c r="D11626" s="38" t="str">
        <f>IFERROR(__xludf.DUMMYFUNCTION("REGEXREPLACE(C11626,""-\d+(.*)|--\d+(.*)"","""")"),"RIBARROUY")</f>
        <v>RIBARROUY</v>
      </c>
      <c r="E11626" s="38" t="s">
        <v>268</v>
      </c>
      <c r="F11626" s="38" t="s">
        <v>252</v>
      </c>
      <c r="G11626" s="49" t="str">
        <f t="shared" si="1"/>
        <v>64330</v>
      </c>
      <c r="H11626" s="49">
        <f t="shared" si="2"/>
        <v>64464</v>
      </c>
    </row>
    <row r="11627">
      <c r="A11627" s="48" t="s">
        <v>5709</v>
      </c>
      <c r="B11627" s="38">
        <v>44086.0</v>
      </c>
      <c r="C11627" s="38" t="s">
        <v>15726</v>
      </c>
      <c r="D11627" s="38" t="str">
        <f>IFERROR(__xludf.DUMMYFUNCTION("REGEXREPLACE(C11627,""-\d+(.*)|--\d+(.*)"","""")"),"LUSANGER")</f>
        <v>LUSANGER</v>
      </c>
      <c r="E11627" s="38" t="s">
        <v>759</v>
      </c>
      <c r="F11627" s="38" t="s">
        <v>180</v>
      </c>
      <c r="G11627" s="49" t="str">
        <f t="shared" si="1"/>
        <v>44590</v>
      </c>
      <c r="H11627" s="49">
        <f t="shared" si="2"/>
        <v>44086</v>
      </c>
    </row>
    <row r="11628">
      <c r="A11628" s="48" t="s">
        <v>1754</v>
      </c>
      <c r="B11628" s="38">
        <v>14459.0</v>
      </c>
      <c r="C11628" s="38" t="s">
        <v>15727</v>
      </c>
      <c r="D11628" s="38" t="str">
        <f>IFERROR(__xludf.DUMMYFUNCTION("REGEXREPLACE(C11628,""-\d+(.*)|--\d+(.*)"","""")"),"LES MOUTIERS-HUBERT")</f>
        <v>LES MOUTIERS-HUBERT</v>
      </c>
      <c r="E11628" s="38" t="s">
        <v>137</v>
      </c>
      <c r="F11628" s="38" t="s">
        <v>138</v>
      </c>
      <c r="G11628" s="49" t="str">
        <f t="shared" si="1"/>
        <v>14140</v>
      </c>
      <c r="H11628" s="49">
        <f t="shared" si="2"/>
        <v>14459</v>
      </c>
    </row>
    <row r="11629">
      <c r="A11629" s="48" t="s">
        <v>15728</v>
      </c>
      <c r="B11629" s="38">
        <v>23047.0</v>
      </c>
      <c r="C11629" s="38" t="s">
        <v>15729</v>
      </c>
      <c r="D11629" s="38" t="str">
        <f>IFERROR(__xludf.DUMMYFUNCTION("REGEXREPLACE(C11629,""-\d+(.*)|--\d+(.*)"","""")"),"CHAMBORAND")</f>
        <v>CHAMBORAND</v>
      </c>
      <c r="E11629" s="38" t="s">
        <v>97</v>
      </c>
      <c r="F11629" s="38" t="s">
        <v>98</v>
      </c>
      <c r="G11629" s="49" t="str">
        <f t="shared" si="1"/>
        <v>23240</v>
      </c>
      <c r="H11629" s="49">
        <f t="shared" si="2"/>
        <v>23047</v>
      </c>
    </row>
    <row r="11630">
      <c r="A11630" s="48" t="s">
        <v>13033</v>
      </c>
      <c r="B11630" s="38">
        <v>38144.0</v>
      </c>
      <c r="C11630" s="38" t="s">
        <v>15730</v>
      </c>
      <c r="D11630" s="38" t="str">
        <f>IFERROR(__xludf.DUMMYFUNCTION("REGEXREPLACE(C11630,""-\d+(.*)|--\d+(.*)"","""")"),"DIEMOZ")</f>
        <v>DIEMOZ</v>
      </c>
      <c r="E11630" s="38" t="s">
        <v>101</v>
      </c>
      <c r="F11630" s="38" t="s">
        <v>102</v>
      </c>
      <c r="G11630" s="49" t="str">
        <f t="shared" si="1"/>
        <v>38790</v>
      </c>
      <c r="H11630" s="49">
        <f t="shared" si="2"/>
        <v>38144</v>
      </c>
    </row>
    <row r="11631">
      <c r="A11631" s="48" t="s">
        <v>932</v>
      </c>
      <c r="B11631" s="38">
        <v>17126.0</v>
      </c>
      <c r="C11631" s="38" t="s">
        <v>15731</v>
      </c>
      <c r="D11631" s="38" t="str">
        <f>IFERROR(__xludf.DUMMYFUNCTION("REGEXREPLACE(C11631,""-\d+(.*)|--\d+(.*)"","""")"),"COURCERAC")</f>
        <v>COURCERAC</v>
      </c>
      <c r="E11631" s="38" t="s">
        <v>488</v>
      </c>
      <c r="F11631" s="38" t="s">
        <v>338</v>
      </c>
      <c r="G11631" s="49" t="str">
        <f t="shared" si="1"/>
        <v>17160</v>
      </c>
      <c r="H11631" s="49">
        <f t="shared" si="2"/>
        <v>17126</v>
      </c>
    </row>
    <row r="11632">
      <c r="A11632" s="48" t="s">
        <v>940</v>
      </c>
      <c r="B11632" s="38">
        <v>51379.0</v>
      </c>
      <c r="C11632" s="38" t="s">
        <v>15732</v>
      </c>
      <c r="D11632" s="38" t="str">
        <f>IFERROR(__xludf.DUMMYFUNCTION("REGEXREPLACE(C11632,""-\d+(.*)|--\d+(.*)"","""")"),"MONTIGNY-SUR-VESLE")</f>
        <v>MONTIGNY-SUR-VESLE</v>
      </c>
      <c r="E11632" s="38" t="s">
        <v>129</v>
      </c>
      <c r="F11632" s="38" t="s">
        <v>130</v>
      </c>
      <c r="G11632" s="49" t="str">
        <f t="shared" si="1"/>
        <v>51140</v>
      </c>
      <c r="H11632" s="49">
        <f t="shared" si="2"/>
        <v>51379</v>
      </c>
    </row>
    <row r="11633">
      <c r="A11633" s="48" t="s">
        <v>2517</v>
      </c>
      <c r="B11633" s="38">
        <v>6001.0</v>
      </c>
      <c r="C11633" s="38" t="s">
        <v>15733</v>
      </c>
      <c r="D11633" s="38" t="str">
        <f>IFERROR(__xludf.DUMMYFUNCTION("REGEXREPLACE(C11633,""-\d+(.*)|--\d+(.*)"","""")"),"AIGLUN")</f>
        <v>AIGLUN</v>
      </c>
      <c r="E11633" s="38" t="s">
        <v>227</v>
      </c>
      <c r="F11633" s="38" t="s">
        <v>228</v>
      </c>
      <c r="G11633" s="49" t="str">
        <f t="shared" si="1"/>
        <v>06910</v>
      </c>
      <c r="H11633" s="49" t="str">
        <f t="shared" si="2"/>
        <v>06001</v>
      </c>
    </row>
    <row r="11634">
      <c r="A11634" s="48" t="s">
        <v>658</v>
      </c>
      <c r="B11634" s="38">
        <v>62179.0</v>
      </c>
      <c r="C11634" s="38" t="s">
        <v>15734</v>
      </c>
      <c r="D11634" s="38" t="str">
        <f>IFERROR(__xludf.DUMMYFUNCTION("REGEXREPLACE(C11634,""-\d+(.*)|--\d+(.*)"","""")"),"BRUNEMBERT")</f>
        <v>BRUNEMBERT</v>
      </c>
      <c r="E11634" s="38" t="s">
        <v>109</v>
      </c>
      <c r="F11634" s="38" t="s">
        <v>86</v>
      </c>
      <c r="G11634" s="49" t="str">
        <f t="shared" si="1"/>
        <v>62240</v>
      </c>
      <c r="H11634" s="49">
        <f t="shared" si="2"/>
        <v>62179</v>
      </c>
    </row>
    <row r="11635">
      <c r="A11635" s="48" t="s">
        <v>4900</v>
      </c>
      <c r="B11635" s="38">
        <v>33371.0</v>
      </c>
      <c r="C11635" s="38" t="s">
        <v>10665</v>
      </c>
      <c r="D11635" s="38" t="str">
        <f>IFERROR(__xludf.DUMMYFUNCTION("REGEXREPLACE(C11635,""-\d+(.*)|--\d+(.*)"","""")"),"SAINT-ANTOINE")</f>
        <v>SAINT-ANTOINE</v>
      </c>
      <c r="E11635" s="38" t="s">
        <v>462</v>
      </c>
      <c r="F11635" s="38" t="s">
        <v>252</v>
      </c>
      <c r="G11635" s="49" t="str">
        <f t="shared" si="1"/>
        <v>33240</v>
      </c>
      <c r="H11635" s="49">
        <f t="shared" si="2"/>
        <v>33371</v>
      </c>
    </row>
    <row r="11636">
      <c r="A11636" s="48" t="s">
        <v>9890</v>
      </c>
      <c r="B11636" s="38">
        <v>21524.0</v>
      </c>
      <c r="C11636" s="38" t="s">
        <v>15735</v>
      </c>
      <c r="D11636" s="38" t="str">
        <f>IFERROR(__xludf.DUMMYFUNCTION("REGEXREPLACE(C11636,""-\d+(.*)|--\d+(.*)"","""")"),"RIEL-LES-EAUX")</f>
        <v>RIEL-LES-EAUX</v>
      </c>
      <c r="E11636" s="38" t="s">
        <v>105</v>
      </c>
      <c r="F11636" s="38" t="s">
        <v>106</v>
      </c>
      <c r="G11636" s="49" t="str">
        <f t="shared" si="1"/>
        <v>21570</v>
      </c>
      <c r="H11636" s="49">
        <f t="shared" si="2"/>
        <v>21524</v>
      </c>
    </row>
    <row r="11637">
      <c r="A11637" s="48" t="s">
        <v>10270</v>
      </c>
      <c r="B11637" s="38">
        <v>37186.0</v>
      </c>
      <c r="C11637" s="38" t="s">
        <v>15736</v>
      </c>
      <c r="D11637" s="38" t="str">
        <f>IFERROR(__xludf.DUMMYFUNCTION("REGEXREPLACE(C11637,""-\d+(.*)|--\d+(.*)"","""")"),"PONT-DE-RUAN")</f>
        <v>PONT-DE-RUAN</v>
      </c>
      <c r="E11637" s="38" t="s">
        <v>205</v>
      </c>
      <c r="F11637" s="38" t="s">
        <v>123</v>
      </c>
      <c r="G11637" s="49" t="str">
        <f t="shared" si="1"/>
        <v>37260</v>
      </c>
      <c r="H11637" s="49">
        <f t="shared" si="2"/>
        <v>37186</v>
      </c>
    </row>
    <row r="11638">
      <c r="A11638" s="48" t="s">
        <v>8525</v>
      </c>
      <c r="B11638" s="38">
        <v>44019.0</v>
      </c>
      <c r="C11638" s="38" t="s">
        <v>15737</v>
      </c>
      <c r="D11638" s="38" t="str">
        <f>IFERROR(__xludf.DUMMYFUNCTION("REGEXREPLACE(C11638,""-\d+(.*)|--\d+(.*)"","""")"),"BOUEE")</f>
        <v>BOUEE</v>
      </c>
      <c r="E11638" s="38" t="s">
        <v>759</v>
      </c>
      <c r="F11638" s="38" t="s">
        <v>180</v>
      </c>
      <c r="G11638" s="49" t="str">
        <f t="shared" si="1"/>
        <v>44260</v>
      </c>
      <c r="H11638" s="49">
        <f t="shared" si="2"/>
        <v>44019</v>
      </c>
    </row>
    <row r="11639">
      <c r="A11639" s="48" t="s">
        <v>15738</v>
      </c>
      <c r="B11639" s="38">
        <v>84134.0</v>
      </c>
      <c r="C11639" s="38" t="s">
        <v>15739</v>
      </c>
      <c r="D11639" s="38" t="str">
        <f>IFERROR(__xludf.DUMMYFUNCTION("REGEXREPLACE(C11639,""-\d+(.*)|--\d+(.*)"","""")"),"TRAVAILLAN")</f>
        <v>TRAVAILLAN</v>
      </c>
      <c r="E11639" s="38" t="s">
        <v>1026</v>
      </c>
      <c r="F11639" s="38" t="s">
        <v>228</v>
      </c>
      <c r="G11639" s="49" t="str">
        <f t="shared" si="1"/>
        <v>84850</v>
      </c>
      <c r="H11639" s="49">
        <f t="shared" si="2"/>
        <v>84134</v>
      </c>
    </row>
    <row r="11640">
      <c r="A11640" s="48" t="s">
        <v>1857</v>
      </c>
      <c r="B11640" s="38">
        <v>4027.0</v>
      </c>
      <c r="C11640" s="38" t="s">
        <v>15740</v>
      </c>
      <c r="D11640" s="38" t="str">
        <f>IFERROR(__xludf.DUMMYFUNCTION("REGEXREPLACE(C11640,""-\d+(.*)|--\d+(.*)"","""")"),"BEVONS")</f>
        <v>BEVONS</v>
      </c>
      <c r="E11640" s="38" t="s">
        <v>662</v>
      </c>
      <c r="F11640" s="38" t="s">
        <v>228</v>
      </c>
      <c r="G11640" s="49" t="str">
        <f t="shared" si="1"/>
        <v>04200</v>
      </c>
      <c r="H11640" s="49" t="str">
        <f t="shared" si="2"/>
        <v>04027</v>
      </c>
    </row>
    <row r="11641">
      <c r="A11641" s="48" t="s">
        <v>1695</v>
      </c>
      <c r="B11641" s="38">
        <v>80549.0</v>
      </c>
      <c r="C11641" s="38" t="s">
        <v>15741</v>
      </c>
      <c r="D11641" s="38" t="str">
        <f>IFERROR(__xludf.DUMMYFUNCTION("REGEXREPLACE(C11641,""-\d+(.*)|--\d+(.*)"","""")"),"MIRAUMONT")</f>
        <v>MIRAUMONT</v>
      </c>
      <c r="E11641" s="38" t="s">
        <v>224</v>
      </c>
      <c r="F11641" s="38" t="s">
        <v>113</v>
      </c>
      <c r="G11641" s="49" t="str">
        <f t="shared" si="1"/>
        <v>80300</v>
      </c>
      <c r="H11641" s="49">
        <f t="shared" si="2"/>
        <v>80549</v>
      </c>
    </row>
    <row r="11642">
      <c r="A11642" s="48" t="s">
        <v>8211</v>
      </c>
      <c r="B11642" s="38">
        <v>59391.0</v>
      </c>
      <c r="C11642" s="38" t="s">
        <v>15742</v>
      </c>
      <c r="D11642" s="38" t="str">
        <f>IFERROR(__xludf.DUMMYFUNCTION("REGEXREPLACE(C11642,""-\d+(.*)|--\d+(.*)"","""")"),"MASTAING")</f>
        <v>MASTAING</v>
      </c>
      <c r="E11642" s="38" t="s">
        <v>85</v>
      </c>
      <c r="F11642" s="38" t="s">
        <v>86</v>
      </c>
      <c r="G11642" s="49" t="str">
        <f t="shared" si="1"/>
        <v>59172</v>
      </c>
      <c r="H11642" s="49">
        <f t="shared" si="2"/>
        <v>59391</v>
      </c>
    </row>
    <row r="11643">
      <c r="A11643" s="48" t="s">
        <v>4671</v>
      </c>
      <c r="B11643" s="38">
        <v>59446.0</v>
      </c>
      <c r="C11643" s="38" t="s">
        <v>3991</v>
      </c>
      <c r="D11643" s="38" t="str">
        <f>IFERROR(__xludf.DUMMYFUNCTION("REGEXREPLACE(C11643,""-\d+(.*)|--\d+(.*)"","""")"),"OISY")</f>
        <v>OISY</v>
      </c>
      <c r="E11643" s="38" t="s">
        <v>85</v>
      </c>
      <c r="F11643" s="38" t="s">
        <v>86</v>
      </c>
      <c r="G11643" s="49" t="str">
        <f t="shared" si="1"/>
        <v>59195</v>
      </c>
      <c r="H11643" s="49">
        <f t="shared" si="2"/>
        <v>59446</v>
      </c>
    </row>
    <row r="11644">
      <c r="A11644" s="48" t="s">
        <v>724</v>
      </c>
      <c r="B11644" s="38">
        <v>32015.0</v>
      </c>
      <c r="C11644" s="38" t="s">
        <v>15743</v>
      </c>
      <c r="D11644" s="38" t="str">
        <f>IFERROR(__xludf.DUMMYFUNCTION("REGEXREPLACE(C11644,""-\d+(.*)|--\d+(.*)"","""")"),"AUJAN-MOURNEDE")</f>
        <v>AUJAN-MOURNEDE</v>
      </c>
      <c r="E11644" s="38" t="s">
        <v>440</v>
      </c>
      <c r="F11644" s="38" t="s">
        <v>94</v>
      </c>
      <c r="G11644" s="49" t="str">
        <f t="shared" si="1"/>
        <v>32300</v>
      </c>
      <c r="H11644" s="49">
        <f t="shared" si="2"/>
        <v>32015</v>
      </c>
    </row>
    <row r="11645">
      <c r="A11645" s="48" t="s">
        <v>12467</v>
      </c>
      <c r="B11645" s="38">
        <v>72339.0</v>
      </c>
      <c r="C11645" s="38" t="s">
        <v>15744</v>
      </c>
      <c r="D11645" s="38" t="str">
        <f>IFERROR(__xludf.DUMMYFUNCTION("REGEXREPLACE(C11645,""-\d+(.*)|--\d+(.*)"","""")"),"SOULIGNE-FLACE")</f>
        <v>SOULIGNE-FLACE</v>
      </c>
      <c r="E11645" s="38" t="s">
        <v>521</v>
      </c>
      <c r="F11645" s="38" t="s">
        <v>180</v>
      </c>
      <c r="G11645" s="49" t="str">
        <f t="shared" si="1"/>
        <v>72210</v>
      </c>
      <c r="H11645" s="49">
        <f t="shared" si="2"/>
        <v>72339</v>
      </c>
    </row>
    <row r="11646">
      <c r="A11646" s="48" t="s">
        <v>1085</v>
      </c>
      <c r="B11646" s="38">
        <v>55347.0</v>
      </c>
      <c r="C11646" s="38" t="s">
        <v>15745</v>
      </c>
      <c r="D11646" s="38" t="str">
        <f>IFERROR(__xludf.DUMMYFUNCTION("REGEXREPLACE(C11646,""-\d+(.*)|--\d+(.*)"","""")"),"LES MONTHAIRONS")</f>
        <v>LES MONTHAIRONS</v>
      </c>
      <c r="E11646" s="38" t="s">
        <v>322</v>
      </c>
      <c r="F11646" s="38" t="s">
        <v>195</v>
      </c>
      <c r="G11646" s="49" t="str">
        <f t="shared" si="1"/>
        <v>55320</v>
      </c>
      <c r="H11646" s="49">
        <f t="shared" si="2"/>
        <v>55347</v>
      </c>
    </row>
    <row r="11647">
      <c r="A11647" s="48" t="s">
        <v>1562</v>
      </c>
      <c r="B11647" s="38">
        <v>24399.0</v>
      </c>
      <c r="C11647" s="38" t="s">
        <v>15746</v>
      </c>
      <c r="D11647" s="38" t="str">
        <f>IFERROR(__xludf.DUMMYFUNCTION("REGEXREPLACE(C11647,""-\d+(.*)|--\d+(.*)"","""")"),"SAINT-ETIENNE-DE-PUYCORBIER")</f>
        <v>SAINT-ETIENNE-DE-PUYCORBIER</v>
      </c>
      <c r="E11647" s="38" t="s">
        <v>261</v>
      </c>
      <c r="F11647" s="38" t="s">
        <v>252</v>
      </c>
      <c r="G11647" s="49" t="str">
        <f t="shared" si="1"/>
        <v>24400</v>
      </c>
      <c r="H11647" s="49">
        <f t="shared" si="2"/>
        <v>24399</v>
      </c>
    </row>
    <row r="11648">
      <c r="A11648" s="48" t="s">
        <v>1812</v>
      </c>
      <c r="B11648" s="38">
        <v>51643.0</v>
      </c>
      <c r="C11648" s="38" t="s">
        <v>7088</v>
      </c>
      <c r="D11648" s="38" t="str">
        <f>IFERROR(__xludf.DUMMYFUNCTION("REGEXREPLACE(C11648,""-\d+(.*)|--\d+(.*)"","""")"),"VINAY")</f>
        <v>VINAY</v>
      </c>
      <c r="E11648" s="38" t="s">
        <v>129</v>
      </c>
      <c r="F11648" s="38" t="s">
        <v>130</v>
      </c>
      <c r="G11648" s="49" t="str">
        <f t="shared" si="1"/>
        <v>51530</v>
      </c>
      <c r="H11648" s="49">
        <f t="shared" si="2"/>
        <v>51643</v>
      </c>
    </row>
    <row r="11649">
      <c r="A11649" s="48" t="s">
        <v>1601</v>
      </c>
      <c r="B11649" s="38">
        <v>72078.0</v>
      </c>
      <c r="C11649" s="38" t="s">
        <v>15747</v>
      </c>
      <c r="D11649" s="38" t="str">
        <f>IFERROR(__xludf.DUMMYFUNCTION("REGEXREPLACE(C11649,""-\d+(.*)|--\d+(.*)"","""")"),"CHERANCE")</f>
        <v>CHERANCE</v>
      </c>
      <c r="E11649" s="38" t="s">
        <v>521</v>
      </c>
      <c r="F11649" s="38" t="s">
        <v>180</v>
      </c>
      <c r="G11649" s="49" t="str">
        <f t="shared" si="1"/>
        <v>72170</v>
      </c>
      <c r="H11649" s="49">
        <f t="shared" si="2"/>
        <v>72078</v>
      </c>
    </row>
    <row r="11650">
      <c r="A11650" s="48" t="s">
        <v>15350</v>
      </c>
      <c r="B11650" s="38">
        <v>49057.0</v>
      </c>
      <c r="C11650" s="38" t="s">
        <v>15748</v>
      </c>
      <c r="D11650" s="38" t="str">
        <f>IFERROR(__xludf.DUMMYFUNCTION("REGEXREPLACE(C11650,""-\d+(.*)|--\d+(.*)"","""")"),"CERNUSSON")</f>
        <v>CERNUSSON</v>
      </c>
      <c r="E11650" s="38" t="s">
        <v>653</v>
      </c>
      <c r="F11650" s="38" t="s">
        <v>180</v>
      </c>
      <c r="G11650" s="49" t="str">
        <f t="shared" si="1"/>
        <v>49310</v>
      </c>
      <c r="H11650" s="49">
        <f t="shared" si="2"/>
        <v>49057</v>
      </c>
    </row>
    <row r="11651">
      <c r="A11651" s="48" t="s">
        <v>8462</v>
      </c>
      <c r="B11651" s="38">
        <v>22341.0</v>
      </c>
      <c r="C11651" s="38" t="s">
        <v>15749</v>
      </c>
      <c r="D11651" s="38" t="str">
        <f>IFERROR(__xludf.DUMMYFUNCTION("REGEXREPLACE(C11651,""-\d+(.*)|--\d+(.*)"","""")"),"TRAMAIN")</f>
        <v>TRAMAIN</v>
      </c>
      <c r="E11651" s="38" t="s">
        <v>89</v>
      </c>
      <c r="F11651" s="38" t="s">
        <v>90</v>
      </c>
      <c r="G11651" s="49" t="str">
        <f t="shared" si="1"/>
        <v>22640</v>
      </c>
      <c r="H11651" s="49">
        <f t="shared" si="2"/>
        <v>22341</v>
      </c>
    </row>
    <row r="11652">
      <c r="A11652" s="48" t="s">
        <v>3965</v>
      </c>
      <c r="B11652" s="38">
        <v>33190.0</v>
      </c>
      <c r="C11652" s="38" t="s">
        <v>15750</v>
      </c>
      <c r="D11652" s="38" t="str">
        <f>IFERROR(__xludf.DUMMYFUNCTION("REGEXREPLACE(C11652,""-\d+(.*)|--\d+(.*)"","""")"),"GOUALADE")</f>
        <v>GOUALADE</v>
      </c>
      <c r="E11652" s="38" t="s">
        <v>462</v>
      </c>
      <c r="F11652" s="38" t="s">
        <v>252</v>
      </c>
      <c r="G11652" s="49" t="str">
        <f t="shared" si="1"/>
        <v>33840</v>
      </c>
      <c r="H11652" s="49">
        <f t="shared" si="2"/>
        <v>33190</v>
      </c>
    </row>
    <row r="11653">
      <c r="A11653" s="48" t="s">
        <v>15751</v>
      </c>
      <c r="B11653" s="38">
        <v>34113.0</v>
      </c>
      <c r="C11653" s="38" t="s">
        <v>15752</v>
      </c>
      <c r="D11653" s="38" t="str">
        <f>IFERROR(__xludf.DUMMYFUNCTION("REGEXREPLACE(C11653,""-\d+(.*)|--\d+(.*)"","""")"),"GIGEAN")</f>
        <v>GIGEAN</v>
      </c>
      <c r="E11653" s="38" t="s">
        <v>118</v>
      </c>
      <c r="F11653" s="38" t="s">
        <v>119</v>
      </c>
      <c r="G11653" s="49" t="str">
        <f t="shared" si="1"/>
        <v>34770</v>
      </c>
      <c r="H11653" s="49">
        <f t="shared" si="2"/>
        <v>34113</v>
      </c>
    </row>
    <row r="11654">
      <c r="A11654" s="48" t="s">
        <v>15753</v>
      </c>
      <c r="B11654" s="38">
        <v>78265.0</v>
      </c>
      <c r="C11654" s="38" t="s">
        <v>15754</v>
      </c>
      <c r="D11654" s="38" t="str">
        <f>IFERROR(__xludf.DUMMYFUNCTION("REGEXREPLACE(C11654,""-\d+(.*)|--\d+(.*)"","""")"),"GARANCIERES")</f>
        <v>GARANCIERES</v>
      </c>
      <c r="E11654" s="38" t="s">
        <v>362</v>
      </c>
      <c r="F11654" s="38" t="s">
        <v>245</v>
      </c>
      <c r="G11654" s="49" t="str">
        <f t="shared" si="1"/>
        <v>78890</v>
      </c>
      <c r="H11654" s="49">
        <f t="shared" si="2"/>
        <v>78265</v>
      </c>
    </row>
    <row r="11655">
      <c r="A11655" s="48" t="s">
        <v>7390</v>
      </c>
      <c r="B11655" s="38">
        <v>7160.0</v>
      </c>
      <c r="C11655" s="38" t="s">
        <v>6221</v>
      </c>
      <c r="D11655" s="38" t="str">
        <f>IFERROR(__xludf.DUMMYFUNCTION("REGEXREPLACE(C11655,""-\d+(.*)|--\d+(.*)"","""")"),"MONESTIER")</f>
        <v>MONESTIER</v>
      </c>
      <c r="E11655" s="38" t="s">
        <v>144</v>
      </c>
      <c r="F11655" s="38" t="s">
        <v>102</v>
      </c>
      <c r="G11655" s="49" t="str">
        <f t="shared" si="1"/>
        <v>07690</v>
      </c>
      <c r="H11655" s="49" t="str">
        <f t="shared" si="2"/>
        <v>07160</v>
      </c>
    </row>
    <row r="11656">
      <c r="A11656" s="48" t="s">
        <v>814</v>
      </c>
      <c r="B11656" s="38">
        <v>4206.0</v>
      </c>
      <c r="C11656" s="38" t="s">
        <v>15755</v>
      </c>
      <c r="D11656" s="38" t="str">
        <f>IFERROR(__xludf.DUMMYFUNCTION("REGEXREPLACE(C11656,""-\d+(.*)|--\d+(.*)"","""")"),"SIGONCE")</f>
        <v>SIGONCE</v>
      </c>
      <c r="E11656" s="38" t="s">
        <v>662</v>
      </c>
      <c r="F11656" s="38" t="s">
        <v>228</v>
      </c>
      <c r="G11656" s="49" t="str">
        <f t="shared" si="1"/>
        <v>04300</v>
      </c>
      <c r="H11656" s="49" t="str">
        <f t="shared" si="2"/>
        <v>04206</v>
      </c>
    </row>
    <row r="11657">
      <c r="A11657" s="48" t="s">
        <v>1114</v>
      </c>
      <c r="B11657" s="38">
        <v>2207.0</v>
      </c>
      <c r="C11657" s="38" t="s">
        <v>15756</v>
      </c>
      <c r="D11657" s="38" t="str">
        <f>IFERROR(__xludf.DUMMYFUNCTION("REGEXREPLACE(C11657,""-\d+(.*)|--\d+(.*)"","""")"),"COMMENCHON")</f>
        <v>COMMENCHON</v>
      </c>
      <c r="E11657" s="38" t="s">
        <v>191</v>
      </c>
      <c r="F11657" s="38" t="s">
        <v>113</v>
      </c>
      <c r="G11657" s="49" t="str">
        <f t="shared" si="1"/>
        <v>02300</v>
      </c>
      <c r="H11657" s="49" t="str">
        <f t="shared" si="2"/>
        <v>02207</v>
      </c>
    </row>
    <row r="11658">
      <c r="A11658" s="48" t="s">
        <v>7250</v>
      </c>
      <c r="B11658" s="38">
        <v>89019.0</v>
      </c>
      <c r="C11658" s="38" t="s">
        <v>15757</v>
      </c>
      <c r="D11658" s="38" t="str">
        <f>IFERROR(__xludf.DUMMYFUNCTION("REGEXREPLACE(C11658,""-\d+(.*)|--\d+(.*)"","""")"),"ARTHONNAY")</f>
        <v>ARTHONNAY</v>
      </c>
      <c r="E11658" s="38" t="s">
        <v>275</v>
      </c>
      <c r="F11658" s="38" t="s">
        <v>106</v>
      </c>
      <c r="G11658" s="49" t="str">
        <f t="shared" si="1"/>
        <v>89740</v>
      </c>
      <c r="H11658" s="49">
        <f t="shared" si="2"/>
        <v>89019</v>
      </c>
    </row>
    <row r="11659">
      <c r="A11659" s="48" t="s">
        <v>2708</v>
      </c>
      <c r="B11659" s="38">
        <v>70287.0</v>
      </c>
      <c r="C11659" s="38" t="s">
        <v>15758</v>
      </c>
      <c r="D11659" s="38" t="str">
        <f>IFERROR(__xludf.DUMMYFUNCTION("REGEXREPLACE(C11659,""-\d+(.*)|--\d+(.*)"","""")"),"HURECOURT")</f>
        <v>HURECOURT</v>
      </c>
      <c r="E11659" s="38" t="s">
        <v>956</v>
      </c>
      <c r="F11659" s="38" t="s">
        <v>214</v>
      </c>
      <c r="G11659" s="49" t="str">
        <f t="shared" si="1"/>
        <v>70210</v>
      </c>
      <c r="H11659" s="49">
        <f t="shared" si="2"/>
        <v>70287</v>
      </c>
    </row>
    <row r="11660">
      <c r="A11660" s="48" t="s">
        <v>15759</v>
      </c>
      <c r="B11660" s="38">
        <v>43191.0</v>
      </c>
      <c r="C11660" s="38" t="s">
        <v>15760</v>
      </c>
      <c r="D11660" s="38" t="str">
        <f>IFERROR(__xludf.DUMMYFUNCTION("REGEXREPLACE(C11660,""-\d+(.*)|--\d+(.*)"","""")"),"SAINT-GERON")</f>
        <v>SAINT-GERON</v>
      </c>
      <c r="E11660" s="38" t="s">
        <v>332</v>
      </c>
      <c r="F11660" s="38" t="s">
        <v>161</v>
      </c>
      <c r="G11660" s="49" t="str">
        <f t="shared" si="1"/>
        <v>43360</v>
      </c>
      <c r="H11660" s="49">
        <f t="shared" si="2"/>
        <v>43191</v>
      </c>
    </row>
    <row r="11661">
      <c r="A11661" s="48" t="s">
        <v>1241</v>
      </c>
      <c r="B11661" s="38">
        <v>71034.0</v>
      </c>
      <c r="C11661" s="38" t="s">
        <v>15761</v>
      </c>
      <c r="D11661" s="38" t="str">
        <f>IFERROR(__xludf.DUMMYFUNCTION("REGEXREPLACE(C11661,""-\d+(.*)|--\d+(.*)"","""")"),"BISSEY-SOUS-CRUCHAUD")</f>
        <v>BISSEY-SOUS-CRUCHAUD</v>
      </c>
      <c r="E11661" s="38" t="s">
        <v>344</v>
      </c>
      <c r="F11661" s="38" t="s">
        <v>106</v>
      </c>
      <c r="G11661" s="49" t="str">
        <f t="shared" si="1"/>
        <v>71390</v>
      </c>
      <c r="H11661" s="49">
        <f t="shared" si="2"/>
        <v>71034</v>
      </c>
    </row>
    <row r="11662">
      <c r="A11662" s="48" t="s">
        <v>1220</v>
      </c>
      <c r="B11662" s="38">
        <v>76597.0</v>
      </c>
      <c r="C11662" s="38" t="s">
        <v>15762</v>
      </c>
      <c r="D11662" s="38" t="str">
        <f>IFERROR(__xludf.DUMMYFUNCTION("REGEXREPLACE(C11662,""-\d+(.*)|--\d+(.*)"","""")"),"SAINT-LAURENT-EN-CAUX")</f>
        <v>SAINT-LAURENT-EN-CAUX</v>
      </c>
      <c r="E11662" s="38" t="s">
        <v>133</v>
      </c>
      <c r="F11662" s="38" t="s">
        <v>134</v>
      </c>
      <c r="G11662" s="49" t="str">
        <f t="shared" si="1"/>
        <v>76560</v>
      </c>
      <c r="H11662" s="49">
        <f t="shared" si="2"/>
        <v>76597</v>
      </c>
    </row>
    <row r="11663">
      <c r="A11663" s="48" t="s">
        <v>1016</v>
      </c>
      <c r="B11663" s="38">
        <v>28148.0</v>
      </c>
      <c r="C11663" s="38" t="s">
        <v>15763</v>
      </c>
      <c r="D11663" s="38" t="str">
        <f>IFERROR(__xludf.DUMMYFUNCTION("REGEXREPLACE(C11663,""-\d+(.*)|--\d+(.*)"","""")"),"LE FAVRIL")</f>
        <v>LE FAVRIL</v>
      </c>
      <c r="E11663" s="38" t="s">
        <v>300</v>
      </c>
      <c r="F11663" s="38" t="s">
        <v>123</v>
      </c>
      <c r="G11663" s="49" t="str">
        <f t="shared" si="1"/>
        <v>28190</v>
      </c>
      <c r="H11663" s="49">
        <f t="shared" si="2"/>
        <v>28148</v>
      </c>
    </row>
    <row r="11664">
      <c r="A11664" s="48" t="s">
        <v>5706</v>
      </c>
      <c r="B11664" s="38">
        <v>63128.0</v>
      </c>
      <c r="C11664" s="38" t="s">
        <v>15764</v>
      </c>
      <c r="D11664" s="38" t="str">
        <f>IFERROR(__xludf.DUMMYFUNCTION("REGEXREPLACE(C11664,""-\d+(.*)|--\d+(.*)"","""")"),"CREVANT-LAVEINE")</f>
        <v>CREVANT-LAVEINE</v>
      </c>
      <c r="E11664" s="38" t="s">
        <v>353</v>
      </c>
      <c r="F11664" s="38" t="s">
        <v>161</v>
      </c>
      <c r="G11664" s="49" t="str">
        <f t="shared" si="1"/>
        <v>63350</v>
      </c>
      <c r="H11664" s="49">
        <f t="shared" si="2"/>
        <v>63128</v>
      </c>
    </row>
    <row r="11665">
      <c r="A11665" s="48" t="s">
        <v>928</v>
      </c>
      <c r="B11665" s="38">
        <v>38047.0</v>
      </c>
      <c r="C11665" s="38" t="s">
        <v>15765</v>
      </c>
      <c r="D11665" s="38" t="str">
        <f>IFERROR(__xludf.DUMMYFUNCTION("REGEXREPLACE(C11665,""-\d+(.*)|--\d+(.*)"","""")"),"BLANDIN")</f>
        <v>BLANDIN</v>
      </c>
      <c r="E11665" s="38" t="s">
        <v>101</v>
      </c>
      <c r="F11665" s="38" t="s">
        <v>102</v>
      </c>
      <c r="G11665" s="49" t="str">
        <f t="shared" si="1"/>
        <v>38730</v>
      </c>
      <c r="H11665" s="49">
        <f t="shared" si="2"/>
        <v>38047</v>
      </c>
    </row>
    <row r="11666">
      <c r="A11666" s="48" t="s">
        <v>8134</v>
      </c>
      <c r="B11666" s="38">
        <v>47106.0</v>
      </c>
      <c r="C11666" s="38" t="s">
        <v>15766</v>
      </c>
      <c r="D11666" s="38" t="str">
        <f>IFERROR(__xludf.DUMMYFUNCTION("REGEXREPLACE(C11666,""-\d+(.*)|--\d+(.*)"","""")"),"FUMEL")</f>
        <v>FUMEL</v>
      </c>
      <c r="E11666" s="38" t="s">
        <v>251</v>
      </c>
      <c r="F11666" s="38" t="s">
        <v>252</v>
      </c>
      <c r="G11666" s="49" t="str">
        <f t="shared" si="1"/>
        <v>47500</v>
      </c>
      <c r="H11666" s="49">
        <f t="shared" si="2"/>
        <v>47106</v>
      </c>
    </row>
    <row r="11667">
      <c r="A11667" s="48" t="s">
        <v>3260</v>
      </c>
      <c r="B11667" s="38">
        <v>3263.0</v>
      </c>
      <c r="C11667" s="38" t="s">
        <v>15767</v>
      </c>
      <c r="D11667" s="38" t="str">
        <f>IFERROR(__xludf.DUMMYFUNCTION("REGEXREPLACE(C11667,""-\d+(.*)|--\d+(.*)"","""")"),"SAINT-VOIR")</f>
        <v>SAINT-VOIR</v>
      </c>
      <c r="E11667" s="38" t="s">
        <v>160</v>
      </c>
      <c r="F11667" s="38" t="s">
        <v>161</v>
      </c>
      <c r="G11667" s="49" t="str">
        <f t="shared" si="1"/>
        <v>03220</v>
      </c>
      <c r="H11667" s="49" t="str">
        <f t="shared" si="2"/>
        <v>03263</v>
      </c>
    </row>
    <row r="11668">
      <c r="A11668" s="48" t="s">
        <v>12913</v>
      </c>
      <c r="B11668" s="38">
        <v>59445.0</v>
      </c>
      <c r="C11668" s="38" t="s">
        <v>15768</v>
      </c>
      <c r="D11668" s="38" t="str">
        <f>IFERROR(__xludf.DUMMYFUNCTION("REGEXREPLACE(C11668,""-\d+(.*)|--\d+(.*)"","""")"),"OHAIN")</f>
        <v>OHAIN</v>
      </c>
      <c r="E11668" s="38" t="s">
        <v>85</v>
      </c>
      <c r="F11668" s="38" t="s">
        <v>86</v>
      </c>
      <c r="G11668" s="49" t="str">
        <f t="shared" si="1"/>
        <v>59132</v>
      </c>
      <c r="H11668" s="49">
        <f t="shared" si="2"/>
        <v>59445</v>
      </c>
    </row>
    <row r="11669">
      <c r="A11669" s="48" t="s">
        <v>2201</v>
      </c>
      <c r="B11669" s="38">
        <v>32281.0</v>
      </c>
      <c r="C11669" s="38" t="s">
        <v>15769</v>
      </c>
      <c r="D11669" s="38" t="str">
        <f>IFERROR(__xludf.DUMMYFUNCTION("REGEXREPLACE(C11669,""-\d+(.*)|--\d+(.*)"","""")"),"MONT-DE-MARRAST")</f>
        <v>MONT-DE-MARRAST</v>
      </c>
      <c r="E11669" s="38" t="s">
        <v>440</v>
      </c>
      <c r="F11669" s="38" t="s">
        <v>94</v>
      </c>
      <c r="G11669" s="49" t="str">
        <f t="shared" si="1"/>
        <v>32170</v>
      </c>
      <c r="H11669" s="49">
        <f t="shared" si="2"/>
        <v>32281</v>
      </c>
    </row>
    <row r="11670">
      <c r="A11670" s="48" t="s">
        <v>9498</v>
      </c>
      <c r="B11670" s="38">
        <v>79223.0</v>
      </c>
      <c r="C11670" s="38" t="s">
        <v>15770</v>
      </c>
      <c r="D11670" s="38" t="str">
        <f>IFERROR(__xludf.DUMMYFUNCTION("REGEXREPLACE(C11670,""-\d+(.*)|--\d+(.*)"","""")"),"PUIHARDY")</f>
        <v>PUIHARDY</v>
      </c>
      <c r="E11670" s="38" t="s">
        <v>337</v>
      </c>
      <c r="F11670" s="38" t="s">
        <v>338</v>
      </c>
      <c r="G11670" s="49" t="str">
        <f t="shared" si="1"/>
        <v>79160</v>
      </c>
      <c r="H11670" s="49">
        <f t="shared" si="2"/>
        <v>79223</v>
      </c>
    </row>
    <row r="11671">
      <c r="A11671" s="48" t="s">
        <v>6038</v>
      </c>
      <c r="B11671" s="38">
        <v>88381.0</v>
      </c>
      <c r="C11671" s="38" t="s">
        <v>15771</v>
      </c>
      <c r="D11671" s="38" t="str">
        <f>IFERROR(__xludf.DUMMYFUNCTION("REGEXREPLACE(C11671,""-\d+(.*)|--\d+(.*)"","""")"),"RELANGES")</f>
        <v>RELANGES</v>
      </c>
      <c r="E11671" s="38" t="s">
        <v>194</v>
      </c>
      <c r="F11671" s="38" t="s">
        <v>195</v>
      </c>
      <c r="G11671" s="49" t="str">
        <f t="shared" si="1"/>
        <v>88260</v>
      </c>
      <c r="H11671" s="49">
        <f t="shared" si="2"/>
        <v>88381</v>
      </c>
    </row>
    <row r="11672">
      <c r="A11672" s="48" t="s">
        <v>3943</v>
      </c>
      <c r="B11672" s="38">
        <v>15071.0</v>
      </c>
      <c r="C11672" s="38" t="s">
        <v>15772</v>
      </c>
      <c r="D11672" s="38" t="str">
        <f>IFERROR(__xludf.DUMMYFUNCTION("REGEXREPLACE(C11672,""-\d+(.*)|--\d+(.*)"","""")"),"FOURNOULES")</f>
        <v>FOURNOULES</v>
      </c>
      <c r="E11672" s="38" t="s">
        <v>632</v>
      </c>
      <c r="F11672" s="38" t="s">
        <v>161</v>
      </c>
      <c r="G11672" s="49" t="str">
        <f t="shared" si="1"/>
        <v>15600</v>
      </c>
      <c r="H11672" s="49">
        <f t="shared" si="2"/>
        <v>15071</v>
      </c>
    </row>
    <row r="11673">
      <c r="A11673" s="48" t="s">
        <v>215</v>
      </c>
      <c r="B11673" s="38">
        <v>2519.0</v>
      </c>
      <c r="C11673" s="38" t="s">
        <v>15773</v>
      </c>
      <c r="D11673" s="38" t="str">
        <f>IFERROR(__xludf.DUMMYFUNCTION("REGEXREPLACE(C11673,""-\d+(.*)|--\d+(.*)"","""")"),"MONTLOUE")</f>
        <v>MONTLOUE</v>
      </c>
      <c r="E11673" s="38" t="s">
        <v>191</v>
      </c>
      <c r="F11673" s="38" t="s">
        <v>113</v>
      </c>
      <c r="G11673" s="49" t="str">
        <f t="shared" si="1"/>
        <v>02340</v>
      </c>
      <c r="H11673" s="49" t="str">
        <f t="shared" si="2"/>
        <v>02519</v>
      </c>
    </row>
    <row r="11674">
      <c r="A11674" s="48" t="s">
        <v>5650</v>
      </c>
      <c r="B11674" s="38">
        <v>1204.0</v>
      </c>
      <c r="C11674" s="38" t="s">
        <v>15774</v>
      </c>
      <c r="D11674" s="38" t="str">
        <f>IFERROR(__xludf.DUMMYFUNCTION("REGEXREPLACE(C11674,""-\d+(.*)|--\d+(.*)"","""")"),"LALLEYRIAT")</f>
        <v>LALLEYRIAT</v>
      </c>
      <c r="E11674" s="38" t="s">
        <v>255</v>
      </c>
      <c r="F11674" s="38" t="s">
        <v>102</v>
      </c>
      <c r="G11674" s="49" t="str">
        <f t="shared" si="1"/>
        <v>01130</v>
      </c>
      <c r="H11674" s="49" t="str">
        <f t="shared" si="2"/>
        <v>01204</v>
      </c>
    </row>
    <row r="11675">
      <c r="A11675" s="48" t="s">
        <v>15775</v>
      </c>
      <c r="B11675" s="38">
        <v>62484.0</v>
      </c>
      <c r="C11675" s="38" t="s">
        <v>15776</v>
      </c>
      <c r="D11675" s="38" t="str">
        <f>IFERROR(__xludf.DUMMYFUNCTION("REGEXREPLACE(C11675,""-\d+(.*)|--\d+(.*)"","""")"),"LAGNICOURT-MARCEL")</f>
        <v>LAGNICOURT-MARCEL</v>
      </c>
      <c r="E11675" s="38" t="s">
        <v>109</v>
      </c>
      <c r="F11675" s="38" t="s">
        <v>86</v>
      </c>
      <c r="G11675" s="49" t="str">
        <f t="shared" si="1"/>
        <v>62159</v>
      </c>
      <c r="H11675" s="49">
        <f t="shared" si="2"/>
        <v>62484</v>
      </c>
    </row>
    <row r="11676">
      <c r="A11676" s="48" t="s">
        <v>15777</v>
      </c>
      <c r="B11676" s="38">
        <v>35224.0</v>
      </c>
      <c r="C11676" s="38" t="s">
        <v>15778</v>
      </c>
      <c r="D11676" s="38" t="str">
        <f>IFERROR(__xludf.DUMMYFUNCTION("REGEXREPLACE(C11676,""-\d+(.*)|--\d+(.*)"","""")"),"PLERGUER")</f>
        <v>PLERGUER</v>
      </c>
      <c r="E11676" s="38" t="s">
        <v>347</v>
      </c>
      <c r="F11676" s="38" t="s">
        <v>90</v>
      </c>
      <c r="G11676" s="49" t="str">
        <f t="shared" si="1"/>
        <v>35540</v>
      </c>
      <c r="H11676" s="49">
        <f t="shared" si="2"/>
        <v>35224</v>
      </c>
    </row>
    <row r="11677">
      <c r="A11677" s="48" t="s">
        <v>2770</v>
      </c>
      <c r="B11677" s="38">
        <v>25150.0</v>
      </c>
      <c r="C11677" s="38" t="s">
        <v>15779</v>
      </c>
      <c r="D11677" s="38" t="str">
        <f>IFERROR(__xludf.DUMMYFUNCTION("REGEXREPLACE(C11677,""-\d+(.*)|--\d+(.*)"","""")"),"CHEVIGNEY-SUR-L'OGNON")</f>
        <v>CHEVIGNEY-SUR-L'OGNON</v>
      </c>
      <c r="E11677" s="38" t="s">
        <v>213</v>
      </c>
      <c r="F11677" s="38" t="s">
        <v>214</v>
      </c>
      <c r="G11677" s="49" t="str">
        <f t="shared" si="1"/>
        <v>25170</v>
      </c>
      <c r="H11677" s="49">
        <f t="shared" si="2"/>
        <v>25150</v>
      </c>
    </row>
    <row r="11678">
      <c r="A11678" s="48" t="s">
        <v>2668</v>
      </c>
      <c r="B11678" s="38">
        <v>55438.0</v>
      </c>
      <c r="C11678" s="38" t="s">
        <v>15780</v>
      </c>
      <c r="D11678" s="38" t="str">
        <f>IFERROR(__xludf.DUMMYFUNCTION("REGEXREPLACE(C11678,""-\d+(.*)|--\d+(.*)"","""")"),"ROMAGNE-SOUS-MONTFAUCON")</f>
        <v>ROMAGNE-SOUS-MONTFAUCON</v>
      </c>
      <c r="E11678" s="38" t="s">
        <v>322</v>
      </c>
      <c r="F11678" s="38" t="s">
        <v>195</v>
      </c>
      <c r="G11678" s="49" t="str">
        <f t="shared" si="1"/>
        <v>55110</v>
      </c>
      <c r="H11678" s="49">
        <f t="shared" si="2"/>
        <v>55438</v>
      </c>
    </row>
    <row r="11679">
      <c r="A11679" s="48" t="s">
        <v>3637</v>
      </c>
      <c r="B11679" s="38">
        <v>63296.0</v>
      </c>
      <c r="C11679" s="38" t="s">
        <v>15781</v>
      </c>
      <c r="D11679" s="38" t="str">
        <f>IFERROR(__xludf.DUMMYFUNCTION("REGEXREPLACE(C11679,""-\d+(.*)|--\d+(.*)"","""")"),"RAVEL")</f>
        <v>RAVEL</v>
      </c>
      <c r="E11679" s="38" t="s">
        <v>353</v>
      </c>
      <c r="F11679" s="38" t="s">
        <v>161</v>
      </c>
      <c r="G11679" s="49" t="str">
        <f t="shared" si="1"/>
        <v>63190</v>
      </c>
      <c r="H11679" s="49">
        <f t="shared" si="2"/>
        <v>63296</v>
      </c>
    </row>
    <row r="11680">
      <c r="A11680" s="48" t="s">
        <v>12410</v>
      </c>
      <c r="B11680" s="38">
        <v>66117.0</v>
      </c>
      <c r="C11680" s="38" t="s">
        <v>15782</v>
      </c>
      <c r="D11680" s="38" t="str">
        <f>IFERROR(__xludf.DUMMYFUNCTION("REGEXREPLACE(C11680,""-\d+(.*)|--\d+(.*)"","""")"),"MONT-LOUIS")</f>
        <v>MONT-LOUIS</v>
      </c>
      <c r="E11680" s="38" t="s">
        <v>248</v>
      </c>
      <c r="F11680" s="38" t="s">
        <v>119</v>
      </c>
      <c r="G11680" s="49" t="str">
        <f t="shared" si="1"/>
        <v>66210</v>
      </c>
      <c r="H11680" s="49">
        <f t="shared" si="2"/>
        <v>66117</v>
      </c>
    </row>
    <row r="11681">
      <c r="A11681" s="48" t="s">
        <v>11437</v>
      </c>
      <c r="B11681" s="38">
        <v>71330.0</v>
      </c>
      <c r="C11681" s="38" t="s">
        <v>15783</v>
      </c>
      <c r="D11681" s="38" t="str">
        <f>IFERROR(__xludf.DUMMYFUNCTION("REGEXREPLACE(C11681,""-\d+(.*)|--\d+(.*)"","""")"),"NEUVY-GRANDCHAMP")</f>
        <v>NEUVY-GRANDCHAMP</v>
      </c>
      <c r="E11681" s="38" t="s">
        <v>344</v>
      </c>
      <c r="F11681" s="38" t="s">
        <v>106</v>
      </c>
      <c r="G11681" s="49" t="str">
        <f t="shared" si="1"/>
        <v>71130</v>
      </c>
      <c r="H11681" s="49">
        <f t="shared" si="2"/>
        <v>71330</v>
      </c>
    </row>
    <row r="11682">
      <c r="A11682" s="48" t="s">
        <v>765</v>
      </c>
      <c r="B11682" s="38">
        <v>89471.0</v>
      </c>
      <c r="C11682" s="38" t="s">
        <v>15784</v>
      </c>
      <c r="D11682" s="38" t="str">
        <f>IFERROR(__xludf.DUMMYFUNCTION("REGEXREPLACE(C11682,""-\d+(.*)|--\d+(.*)"","""")"),"VILLIERS-LOUIS")</f>
        <v>VILLIERS-LOUIS</v>
      </c>
      <c r="E11682" s="38" t="s">
        <v>275</v>
      </c>
      <c r="F11682" s="38" t="s">
        <v>106</v>
      </c>
      <c r="G11682" s="49" t="str">
        <f t="shared" si="1"/>
        <v>89320</v>
      </c>
      <c r="H11682" s="49">
        <f t="shared" si="2"/>
        <v>89471</v>
      </c>
    </row>
    <row r="11683">
      <c r="A11683" s="48" t="s">
        <v>7263</v>
      </c>
      <c r="B11683" s="38">
        <v>88379.0</v>
      </c>
      <c r="C11683" s="38" t="s">
        <v>15785</v>
      </c>
      <c r="D11683" s="38" t="str">
        <f>IFERROR(__xludf.DUMMYFUNCTION("REGEXREPLACE(C11683,""-\d+(.*)|--\d+(.*)"","""")"),"REHAINCOURT")</f>
        <v>REHAINCOURT</v>
      </c>
      <c r="E11683" s="38" t="s">
        <v>194</v>
      </c>
      <c r="F11683" s="38" t="s">
        <v>195</v>
      </c>
      <c r="G11683" s="49" t="str">
        <f t="shared" si="1"/>
        <v>88330</v>
      </c>
      <c r="H11683" s="49">
        <f t="shared" si="2"/>
        <v>88379</v>
      </c>
    </row>
    <row r="11684">
      <c r="A11684" s="48" t="s">
        <v>2526</v>
      </c>
      <c r="B11684" s="38">
        <v>70251.0</v>
      </c>
      <c r="C11684" s="38" t="s">
        <v>15786</v>
      </c>
      <c r="D11684" s="38" t="str">
        <f>IFERROR(__xludf.DUMMYFUNCTION("REGEXREPLACE(C11684,""-\d+(.*)|--\d+(.*)"","""")"),"FRANCOURT")</f>
        <v>FRANCOURT</v>
      </c>
      <c r="E11684" s="38" t="s">
        <v>956</v>
      </c>
      <c r="F11684" s="38" t="s">
        <v>214</v>
      </c>
      <c r="G11684" s="49" t="str">
        <f t="shared" si="1"/>
        <v>70180</v>
      </c>
      <c r="H11684" s="49">
        <f t="shared" si="2"/>
        <v>70251</v>
      </c>
    </row>
    <row r="11685">
      <c r="A11685" s="48" t="s">
        <v>3723</v>
      </c>
      <c r="B11685" s="38">
        <v>54059.0</v>
      </c>
      <c r="C11685" s="38" t="s">
        <v>15787</v>
      </c>
      <c r="D11685" s="38" t="str">
        <f>IFERROR(__xludf.DUMMYFUNCTION("REGEXREPLACE(C11685,""-\d+(.*)|--\d+(.*)"","""")"),"BELLEAU")</f>
        <v>BELLEAU</v>
      </c>
      <c r="E11685" s="38" t="s">
        <v>548</v>
      </c>
      <c r="F11685" s="38" t="s">
        <v>195</v>
      </c>
      <c r="G11685" s="49" t="str">
        <f t="shared" si="1"/>
        <v>54610</v>
      </c>
      <c r="H11685" s="49">
        <f t="shared" si="2"/>
        <v>54059</v>
      </c>
    </row>
    <row r="11686">
      <c r="A11686" s="48" t="s">
        <v>5400</v>
      </c>
      <c r="B11686" s="38">
        <v>72146.0</v>
      </c>
      <c r="C11686" s="38" t="s">
        <v>15788</v>
      </c>
      <c r="D11686" s="38" t="str">
        <f>IFERROR(__xludf.DUMMYFUNCTION("REGEXREPLACE(C11686,""-\d+(.*)|--\d+(.*)"","""")"),"GUECELARD")</f>
        <v>GUECELARD</v>
      </c>
      <c r="E11686" s="38" t="s">
        <v>521</v>
      </c>
      <c r="F11686" s="38" t="s">
        <v>180</v>
      </c>
      <c r="G11686" s="49" t="str">
        <f t="shared" si="1"/>
        <v>72230</v>
      </c>
      <c r="H11686" s="49">
        <f t="shared" si="2"/>
        <v>72146</v>
      </c>
    </row>
    <row r="11687">
      <c r="A11687" s="48" t="s">
        <v>4599</v>
      </c>
      <c r="B11687" s="38">
        <v>70150.0</v>
      </c>
      <c r="C11687" s="38" t="s">
        <v>15789</v>
      </c>
      <c r="D11687" s="38" t="str">
        <f>IFERROR(__xludf.DUMMYFUNCTION("REGEXREPLACE(C11687,""-\d+(.*)|--\d+(.*)"","""")"),"CHENEVREY-ET-MOROGNE")</f>
        <v>CHENEVREY-ET-MOROGNE</v>
      </c>
      <c r="E11687" s="38" t="s">
        <v>956</v>
      </c>
      <c r="F11687" s="38" t="s">
        <v>214</v>
      </c>
      <c r="G11687" s="49" t="str">
        <f t="shared" si="1"/>
        <v>70150</v>
      </c>
      <c r="H11687" s="49">
        <f t="shared" si="2"/>
        <v>70150</v>
      </c>
    </row>
    <row r="11688">
      <c r="A11688" s="48" t="s">
        <v>15790</v>
      </c>
      <c r="B11688" s="38">
        <v>1405.0</v>
      </c>
      <c r="C11688" s="38" t="s">
        <v>14619</v>
      </c>
      <c r="D11688" s="38" t="str">
        <f>IFERROR(__xludf.DUMMYFUNCTION("REGEXREPLACE(C11688,""-\d+(.*)|--\d+(.*)"","""")"),"SERVAS")</f>
        <v>SERVAS</v>
      </c>
      <c r="E11688" s="38" t="s">
        <v>255</v>
      </c>
      <c r="F11688" s="38" t="s">
        <v>102</v>
      </c>
      <c r="G11688" s="49" t="str">
        <f t="shared" si="1"/>
        <v>01960</v>
      </c>
      <c r="H11688" s="49" t="str">
        <f t="shared" si="2"/>
        <v>01405</v>
      </c>
    </row>
    <row r="11689">
      <c r="A11689" s="48" t="s">
        <v>1120</v>
      </c>
      <c r="B11689" s="38">
        <v>64057.0</v>
      </c>
      <c r="C11689" s="38" t="s">
        <v>15791</v>
      </c>
      <c r="D11689" s="38" t="str">
        <f>IFERROR(__xludf.DUMMYFUNCTION("REGEXREPLACE(C11689,""-\d+(.*)|--\d+(.*)"","""")"),"ARTHEZ-DE-BEARN")</f>
        <v>ARTHEZ-DE-BEARN</v>
      </c>
      <c r="E11689" s="38" t="s">
        <v>268</v>
      </c>
      <c r="F11689" s="38" t="s">
        <v>252</v>
      </c>
      <c r="G11689" s="49" t="str">
        <f t="shared" si="1"/>
        <v>64370</v>
      </c>
      <c r="H11689" s="49">
        <f t="shared" si="2"/>
        <v>64057</v>
      </c>
    </row>
    <row r="11690">
      <c r="A11690" s="48" t="s">
        <v>9675</v>
      </c>
      <c r="B11690" s="38">
        <v>24437.0</v>
      </c>
      <c r="C11690" s="38" t="s">
        <v>15792</v>
      </c>
      <c r="D11690" s="38" t="str">
        <f>IFERROR(__xludf.DUMMYFUNCTION("REGEXREPLACE(C11690,""-\d+(.*)|--\d+(.*)"","""")"),"SAINT-LAURENT-DES-VIGNES")</f>
        <v>SAINT-LAURENT-DES-VIGNES</v>
      </c>
      <c r="E11690" s="38" t="s">
        <v>261</v>
      </c>
      <c r="F11690" s="38" t="s">
        <v>252</v>
      </c>
      <c r="G11690" s="49" t="str">
        <f t="shared" si="1"/>
        <v>24100</v>
      </c>
      <c r="H11690" s="49">
        <f t="shared" si="2"/>
        <v>24437</v>
      </c>
    </row>
    <row r="11691">
      <c r="A11691" s="48" t="s">
        <v>960</v>
      </c>
      <c r="B11691" s="38">
        <v>28076.0</v>
      </c>
      <c r="C11691" s="38" t="s">
        <v>15793</v>
      </c>
      <c r="D11691" s="38" t="str">
        <f>IFERROR(__xludf.DUMMYFUNCTION("REGEXREPLACE(C11691,""-\d+(.*)|--\d+(.*)"","""")"),"LA CHAPELLE-FORAINVILLIERS")</f>
        <v>LA CHAPELLE-FORAINVILLIERS</v>
      </c>
      <c r="E11691" s="38" t="s">
        <v>300</v>
      </c>
      <c r="F11691" s="38" t="s">
        <v>123</v>
      </c>
      <c r="G11691" s="49" t="str">
        <f t="shared" si="1"/>
        <v>28500</v>
      </c>
      <c r="H11691" s="49">
        <f t="shared" si="2"/>
        <v>28076</v>
      </c>
    </row>
    <row r="11692">
      <c r="A11692" s="48" t="s">
        <v>284</v>
      </c>
      <c r="B11692" s="38">
        <v>60386.0</v>
      </c>
      <c r="C11692" s="38" t="s">
        <v>15794</v>
      </c>
      <c r="D11692" s="38" t="str">
        <f>IFERROR(__xludf.DUMMYFUNCTION("REGEXREPLACE(C11692,""-\d+(.*)|--\d+(.*)"","""")"),"MARQUEGLISE")</f>
        <v>MARQUEGLISE</v>
      </c>
      <c r="E11692" s="38" t="s">
        <v>112</v>
      </c>
      <c r="F11692" s="38" t="s">
        <v>113</v>
      </c>
      <c r="G11692" s="49" t="str">
        <f t="shared" si="1"/>
        <v>60490</v>
      </c>
      <c r="H11692" s="49">
        <f t="shared" si="2"/>
        <v>60386</v>
      </c>
    </row>
    <row r="11693">
      <c r="A11693" s="48" t="s">
        <v>10064</v>
      </c>
      <c r="B11693" s="38">
        <v>26095.0</v>
      </c>
      <c r="C11693" s="38" t="s">
        <v>15795</v>
      </c>
      <c r="D11693" s="38" t="str">
        <f>IFERROR(__xludf.DUMMYFUNCTION("REGEXREPLACE(C11693,""-\d+(.*)|--\d+(.*)"","""")"),"CLEON-D'ANDRAN")</f>
        <v>CLEON-D'ANDRAN</v>
      </c>
      <c r="E11693" s="38" t="s">
        <v>126</v>
      </c>
      <c r="F11693" s="38" t="s">
        <v>102</v>
      </c>
      <c r="G11693" s="49" t="str">
        <f t="shared" si="1"/>
        <v>26450</v>
      </c>
      <c r="H11693" s="49">
        <f t="shared" si="2"/>
        <v>26095</v>
      </c>
    </row>
    <row r="11694">
      <c r="A11694" s="48" t="s">
        <v>544</v>
      </c>
      <c r="B11694" s="38">
        <v>57721.0</v>
      </c>
      <c r="C11694" s="38" t="s">
        <v>15796</v>
      </c>
      <c r="D11694" s="38" t="str">
        <f>IFERROR(__xludf.DUMMYFUNCTION("REGEXREPLACE(C11694,""-\d+(.*)|--\d+(.*)"","""")"),"VILSBERG")</f>
        <v>VILSBERG</v>
      </c>
      <c r="E11694" s="38" t="s">
        <v>303</v>
      </c>
      <c r="F11694" s="38" t="s">
        <v>195</v>
      </c>
      <c r="G11694" s="49" t="str">
        <f t="shared" si="1"/>
        <v>57370</v>
      </c>
      <c r="H11694" s="49">
        <f t="shared" si="2"/>
        <v>57721</v>
      </c>
    </row>
    <row r="11695">
      <c r="A11695" s="48" t="s">
        <v>4125</v>
      </c>
      <c r="B11695" s="38">
        <v>19150.0</v>
      </c>
      <c r="C11695" s="38" t="s">
        <v>2684</v>
      </c>
      <c r="D11695" s="38" t="str">
        <f>IFERROR(__xludf.DUMMYFUNCTION("REGEXREPLACE(C11695,""-\d+(.*)|--\d+(.*)"","""")"),"NOAILHAC")</f>
        <v>NOAILHAC</v>
      </c>
      <c r="E11695" s="38" t="s">
        <v>271</v>
      </c>
      <c r="F11695" s="38" t="s">
        <v>98</v>
      </c>
      <c r="G11695" s="49" t="str">
        <f t="shared" si="1"/>
        <v>19500</v>
      </c>
      <c r="H11695" s="49">
        <f t="shared" si="2"/>
        <v>19150</v>
      </c>
    </row>
    <row r="11696">
      <c r="A11696" s="48" t="s">
        <v>3102</v>
      </c>
      <c r="B11696" s="38">
        <v>55553.0</v>
      </c>
      <c r="C11696" s="38" t="s">
        <v>15797</v>
      </c>
      <c r="D11696" s="38" t="str">
        <f>IFERROR(__xludf.DUMMYFUNCTION("REGEXREPLACE(C11696,""-\d+(.*)|--\d+(.*)"","""")"),"VIGNOT")</f>
        <v>VIGNOT</v>
      </c>
      <c r="E11696" s="38" t="s">
        <v>322</v>
      </c>
      <c r="F11696" s="38" t="s">
        <v>195</v>
      </c>
      <c r="G11696" s="49" t="str">
        <f t="shared" si="1"/>
        <v>55200</v>
      </c>
      <c r="H11696" s="49">
        <f t="shared" si="2"/>
        <v>55553</v>
      </c>
    </row>
    <row r="11697">
      <c r="A11697" s="48" t="s">
        <v>12861</v>
      </c>
      <c r="B11697" s="38">
        <v>86193.0</v>
      </c>
      <c r="C11697" s="38" t="s">
        <v>15798</v>
      </c>
      <c r="D11697" s="38" t="str">
        <f>IFERROR(__xludf.DUMMYFUNCTION("REGEXREPLACE(C11697,""-\d+(.*)|--\d+(.*)"","""")"),"PLEUMARTIN")</f>
        <v>PLEUMARTIN</v>
      </c>
      <c r="E11697" s="38" t="s">
        <v>529</v>
      </c>
      <c r="F11697" s="38" t="s">
        <v>338</v>
      </c>
      <c r="G11697" s="49" t="str">
        <f t="shared" si="1"/>
        <v>86450</v>
      </c>
      <c r="H11697" s="49">
        <f t="shared" si="2"/>
        <v>86193</v>
      </c>
    </row>
    <row r="11698">
      <c r="A11698" s="48" t="s">
        <v>15799</v>
      </c>
      <c r="B11698" s="38">
        <v>6095.0</v>
      </c>
      <c r="C11698" s="38" t="s">
        <v>15800</v>
      </c>
      <c r="D11698" s="38" t="str">
        <f>IFERROR(__xludf.DUMMYFUNCTION("REGEXREPLACE(C11698,""-\d+(.*)|--\d+(.*)"","""")"),"PEYMEINADE")</f>
        <v>PEYMEINADE</v>
      </c>
      <c r="E11698" s="38" t="s">
        <v>227</v>
      </c>
      <c r="F11698" s="38" t="s">
        <v>228</v>
      </c>
      <c r="G11698" s="49" t="str">
        <f t="shared" si="1"/>
        <v>06530</v>
      </c>
      <c r="H11698" s="49" t="str">
        <f t="shared" si="2"/>
        <v>06095</v>
      </c>
    </row>
    <row r="11699">
      <c r="A11699" s="48" t="s">
        <v>544</v>
      </c>
      <c r="B11699" s="38">
        <v>57635.0</v>
      </c>
      <c r="C11699" s="38" t="s">
        <v>15801</v>
      </c>
      <c r="D11699" s="38" t="str">
        <f>IFERROR(__xludf.DUMMYFUNCTION("REGEXREPLACE(C11699,""-\d+(.*)|--\d+(.*)"","""")"),"SCHALBACH")</f>
        <v>SCHALBACH</v>
      </c>
      <c r="E11699" s="38" t="s">
        <v>303</v>
      </c>
      <c r="F11699" s="38" t="s">
        <v>195</v>
      </c>
      <c r="G11699" s="49" t="str">
        <f t="shared" si="1"/>
        <v>57370</v>
      </c>
      <c r="H11699" s="49">
        <f t="shared" si="2"/>
        <v>57635</v>
      </c>
    </row>
    <row r="11700">
      <c r="A11700" s="48" t="s">
        <v>10827</v>
      </c>
      <c r="B11700" s="38">
        <v>27115.0</v>
      </c>
      <c r="C11700" s="38" t="s">
        <v>15802</v>
      </c>
      <c r="D11700" s="38" t="str">
        <f>IFERROR(__xludf.DUMMYFUNCTION("REGEXREPLACE(C11700,""-\d+(.*)|--\d+(.*)"","""")"),"BREUX-SUR-AVRE")</f>
        <v>BREUX-SUR-AVRE</v>
      </c>
      <c r="E11700" s="38" t="s">
        <v>241</v>
      </c>
      <c r="F11700" s="38" t="s">
        <v>134</v>
      </c>
      <c r="G11700" s="49" t="str">
        <f t="shared" si="1"/>
        <v>27570</v>
      </c>
      <c r="H11700" s="49">
        <f t="shared" si="2"/>
        <v>27115</v>
      </c>
    </row>
    <row r="11701">
      <c r="A11701" s="48" t="s">
        <v>9965</v>
      </c>
      <c r="B11701" s="38">
        <v>19268.0</v>
      </c>
      <c r="C11701" s="38" t="s">
        <v>15803</v>
      </c>
      <c r="D11701" s="38" t="str">
        <f>IFERROR(__xludf.DUMMYFUNCTION("REGEXREPLACE(C11701,""-\d+(.*)|--\d+(.*)"","""")"),"TOY-VIAM")</f>
        <v>TOY-VIAM</v>
      </c>
      <c r="E11701" s="38" t="s">
        <v>271</v>
      </c>
      <c r="F11701" s="38" t="s">
        <v>98</v>
      </c>
      <c r="G11701" s="49" t="str">
        <f t="shared" si="1"/>
        <v>19170</v>
      </c>
      <c r="H11701" s="49">
        <f t="shared" si="2"/>
        <v>19268</v>
      </c>
    </row>
    <row r="11702">
      <c r="A11702" s="48" t="s">
        <v>7804</v>
      </c>
      <c r="B11702" s="38">
        <v>51343.0</v>
      </c>
      <c r="C11702" s="38" t="s">
        <v>15804</v>
      </c>
      <c r="D11702" s="38" t="str">
        <f>IFERROR(__xludf.DUMMYFUNCTION("REGEXREPLACE(C11702,""-\d+(.*)|--\d+(.*)"","""")"),"MARCILLY-SUR-SEINE")</f>
        <v>MARCILLY-SUR-SEINE</v>
      </c>
      <c r="E11702" s="38" t="s">
        <v>129</v>
      </c>
      <c r="F11702" s="38" t="s">
        <v>130</v>
      </c>
      <c r="G11702" s="49" t="str">
        <f t="shared" si="1"/>
        <v>51260</v>
      </c>
      <c r="H11702" s="49">
        <f t="shared" si="2"/>
        <v>51343</v>
      </c>
    </row>
    <row r="11703">
      <c r="A11703" s="48" t="s">
        <v>3467</v>
      </c>
      <c r="B11703" s="38">
        <v>72016.0</v>
      </c>
      <c r="C11703" s="38" t="s">
        <v>15805</v>
      </c>
      <c r="D11703" s="38" t="str">
        <f>IFERROR(__xludf.DUMMYFUNCTION("REGEXREPLACE(C11703,""-\d+(.*)|--\d+(.*)"","""")"),"AUVERS-LE-HAMON")</f>
        <v>AUVERS-LE-HAMON</v>
      </c>
      <c r="E11703" s="38" t="s">
        <v>521</v>
      </c>
      <c r="F11703" s="38" t="s">
        <v>180</v>
      </c>
      <c r="G11703" s="49" t="str">
        <f t="shared" si="1"/>
        <v>72300</v>
      </c>
      <c r="H11703" s="49">
        <f t="shared" si="2"/>
        <v>72016</v>
      </c>
    </row>
    <row r="11704">
      <c r="A11704" s="48" t="s">
        <v>3943</v>
      </c>
      <c r="B11704" s="38">
        <v>15167.0</v>
      </c>
      <c r="C11704" s="38" t="s">
        <v>15806</v>
      </c>
      <c r="D11704" s="38" t="str">
        <f>IFERROR(__xludf.DUMMYFUNCTION("REGEXREPLACE(C11704,""-\d+(.*)|--\d+(.*)"","""")"),"ROUZIERS")</f>
        <v>ROUZIERS</v>
      </c>
      <c r="E11704" s="38" t="s">
        <v>632</v>
      </c>
      <c r="F11704" s="38" t="s">
        <v>161</v>
      </c>
      <c r="G11704" s="49" t="str">
        <f t="shared" si="1"/>
        <v>15600</v>
      </c>
      <c r="H11704" s="49">
        <f t="shared" si="2"/>
        <v>15167</v>
      </c>
    </row>
    <row r="11705">
      <c r="A11705" s="48" t="s">
        <v>12977</v>
      </c>
      <c r="B11705" s="38">
        <v>59069.0</v>
      </c>
      <c r="C11705" s="38" t="s">
        <v>15807</v>
      </c>
      <c r="D11705" s="38" t="str">
        <f>IFERROR(__xludf.DUMMYFUNCTION("REGEXREPLACE(C11705,""-\d+(.*)|--\d+(.*)"","""")"),"BERMERAIN")</f>
        <v>BERMERAIN</v>
      </c>
      <c r="E11705" s="38" t="s">
        <v>85</v>
      </c>
      <c r="F11705" s="38" t="s">
        <v>86</v>
      </c>
      <c r="G11705" s="49" t="str">
        <f t="shared" si="1"/>
        <v>59213</v>
      </c>
      <c r="H11705" s="49">
        <f t="shared" si="2"/>
        <v>59069</v>
      </c>
    </row>
    <row r="11706">
      <c r="A11706" s="48" t="s">
        <v>14097</v>
      </c>
      <c r="B11706" s="38">
        <v>10026.0</v>
      </c>
      <c r="C11706" s="38" t="s">
        <v>15808</v>
      </c>
      <c r="D11706" s="38" t="str">
        <f>IFERROR(__xludf.DUMMYFUNCTION("REGEXREPLACE(C11706,""-\d+(.*)|--\d+(.*)"","""")"),"BAILLY-LE-FRANC")</f>
        <v>BAILLY-LE-FRANC</v>
      </c>
      <c r="E11706" s="38" t="s">
        <v>147</v>
      </c>
      <c r="F11706" s="38" t="s">
        <v>130</v>
      </c>
      <c r="G11706" s="49" t="str">
        <f t="shared" si="1"/>
        <v>10330</v>
      </c>
      <c r="H11706" s="49">
        <f t="shared" si="2"/>
        <v>10026</v>
      </c>
    </row>
    <row r="11707">
      <c r="A11707" s="48" t="s">
        <v>2940</v>
      </c>
      <c r="B11707" s="38">
        <v>53180.0</v>
      </c>
      <c r="C11707" s="38" t="s">
        <v>737</v>
      </c>
      <c r="D11707" s="38" t="str">
        <f>IFERROR(__xludf.DUMMYFUNCTION("REGEXREPLACE(C11707,""-\d+(.*)|--\d+(.*)"","""")"),"POMMERIEUX")</f>
        <v>POMMERIEUX</v>
      </c>
      <c r="E11707" s="38" t="s">
        <v>518</v>
      </c>
      <c r="F11707" s="38" t="s">
        <v>180</v>
      </c>
      <c r="G11707" s="49" t="str">
        <f t="shared" si="1"/>
        <v>53400</v>
      </c>
      <c r="H11707" s="49">
        <f t="shared" si="2"/>
        <v>53180</v>
      </c>
    </row>
    <row r="11708">
      <c r="A11708" s="48" t="s">
        <v>9026</v>
      </c>
      <c r="B11708" s="38">
        <v>21138.0</v>
      </c>
      <c r="C11708" s="38" t="s">
        <v>15809</v>
      </c>
      <c r="D11708" s="38" t="str">
        <f>IFERROR(__xludf.DUMMYFUNCTION("REGEXREPLACE(C11708,""-\d+(.*)|--\d+(.*)"","""")"),"CHAMPDOTRE")</f>
        <v>CHAMPDOTRE</v>
      </c>
      <c r="E11708" s="38" t="s">
        <v>105</v>
      </c>
      <c r="F11708" s="38" t="s">
        <v>106</v>
      </c>
      <c r="G11708" s="49" t="str">
        <f t="shared" si="1"/>
        <v>21130</v>
      </c>
      <c r="H11708" s="49">
        <f t="shared" si="2"/>
        <v>21138</v>
      </c>
    </row>
    <row r="11709">
      <c r="A11709" s="48" t="s">
        <v>6997</v>
      </c>
      <c r="B11709" s="38">
        <v>62214.0</v>
      </c>
      <c r="C11709" s="38" t="s">
        <v>15810</v>
      </c>
      <c r="D11709" s="38" t="str">
        <f>IFERROR(__xludf.DUMMYFUNCTION("REGEXREPLACE(C11709,""-\d+(.*)|--\d+(.*)"","""")"),"CARLY")</f>
        <v>CARLY</v>
      </c>
      <c r="E11709" s="38" t="s">
        <v>109</v>
      </c>
      <c r="F11709" s="38" t="s">
        <v>86</v>
      </c>
      <c r="G11709" s="49" t="str">
        <f t="shared" si="1"/>
        <v>62830</v>
      </c>
      <c r="H11709" s="49">
        <f t="shared" si="2"/>
        <v>62214</v>
      </c>
    </row>
    <row r="11710">
      <c r="A11710" s="48" t="s">
        <v>2156</v>
      </c>
      <c r="B11710" s="38">
        <v>26112.0</v>
      </c>
      <c r="C11710" s="38" t="s">
        <v>15811</v>
      </c>
      <c r="D11710" s="38" t="str">
        <f>IFERROR(__xludf.DUMMYFUNCTION("REGEXREPLACE(C11710,""-\d+(.*)|--\d+(.*)"","""")"),"CURNIER")</f>
        <v>CURNIER</v>
      </c>
      <c r="E11710" s="38" t="s">
        <v>126</v>
      </c>
      <c r="F11710" s="38" t="s">
        <v>102</v>
      </c>
      <c r="G11710" s="49" t="str">
        <f t="shared" si="1"/>
        <v>26110</v>
      </c>
      <c r="H11710" s="49">
        <f t="shared" si="2"/>
        <v>26112</v>
      </c>
    </row>
    <row r="11711">
      <c r="A11711" s="48" t="s">
        <v>4384</v>
      </c>
      <c r="B11711" s="38">
        <v>41289.0</v>
      </c>
      <c r="C11711" s="38" t="s">
        <v>15812</v>
      </c>
      <c r="D11711" s="38" t="str">
        <f>IFERROR(__xludf.DUMMYFUNCTION("REGEXREPLACE(C11711,""-\d+(.*)|--\d+(.*)"","""")"),"VILLERMAIN")</f>
        <v>VILLERMAIN</v>
      </c>
      <c r="E11711" s="38" t="s">
        <v>188</v>
      </c>
      <c r="F11711" s="38" t="s">
        <v>123</v>
      </c>
      <c r="G11711" s="49" t="str">
        <f t="shared" si="1"/>
        <v>41240</v>
      </c>
      <c r="H11711" s="49">
        <f t="shared" si="2"/>
        <v>41289</v>
      </c>
    </row>
    <row r="11712">
      <c r="A11712" s="48" t="s">
        <v>5103</v>
      </c>
      <c r="B11712" s="38">
        <v>37009.0</v>
      </c>
      <c r="C11712" s="38" t="s">
        <v>15813</v>
      </c>
      <c r="D11712" s="38" t="str">
        <f>IFERROR(__xludf.DUMMYFUNCTION("REGEXREPLACE(C11712,""-\d+(.*)|--\d+(.*)"","""")"),"AUTRECHE")</f>
        <v>AUTRECHE</v>
      </c>
      <c r="E11712" s="38" t="s">
        <v>205</v>
      </c>
      <c r="F11712" s="38" t="s">
        <v>123</v>
      </c>
      <c r="G11712" s="49" t="str">
        <f t="shared" si="1"/>
        <v>37110</v>
      </c>
      <c r="H11712" s="49">
        <f t="shared" si="2"/>
        <v>37009</v>
      </c>
    </row>
    <row r="11713">
      <c r="A11713" s="48" t="s">
        <v>9168</v>
      </c>
      <c r="B11713" s="38">
        <v>71562.0</v>
      </c>
      <c r="C11713" s="38" t="s">
        <v>15814</v>
      </c>
      <c r="D11713" s="38" t="str">
        <f>IFERROR(__xludf.DUMMYFUNCTION("REGEXREPLACE(C11713,""-\d+(.*)|--\d+(.*)"","""")"),"VAUDEBARRIER")</f>
        <v>VAUDEBARRIER</v>
      </c>
      <c r="E11713" s="38" t="s">
        <v>344</v>
      </c>
      <c r="F11713" s="38" t="s">
        <v>106</v>
      </c>
      <c r="G11713" s="49" t="str">
        <f t="shared" si="1"/>
        <v>71120</v>
      </c>
      <c r="H11713" s="49">
        <f t="shared" si="2"/>
        <v>71562</v>
      </c>
    </row>
    <row r="11714">
      <c r="A11714" s="48" t="s">
        <v>2861</v>
      </c>
      <c r="B11714" s="38">
        <v>62739.0</v>
      </c>
      <c r="C11714" s="38" t="s">
        <v>15815</v>
      </c>
      <c r="D11714" s="38" t="str">
        <f>IFERROR(__xludf.DUMMYFUNCTION("REGEXREPLACE(C11714,""-\d+(.*)|--\d+(.*)"","""")"),"SAINS-LES-MARQUION")</f>
        <v>SAINS-LES-MARQUION</v>
      </c>
      <c r="E11714" s="38" t="s">
        <v>109</v>
      </c>
      <c r="F11714" s="38" t="s">
        <v>86</v>
      </c>
      <c r="G11714" s="49" t="str">
        <f t="shared" si="1"/>
        <v>62860</v>
      </c>
      <c r="H11714" s="49">
        <f t="shared" si="2"/>
        <v>62739</v>
      </c>
    </row>
    <row r="11715">
      <c r="A11715" s="48" t="s">
        <v>533</v>
      </c>
      <c r="B11715" s="38">
        <v>50538.0</v>
      </c>
      <c r="C11715" s="38" t="s">
        <v>15816</v>
      </c>
      <c r="D11715" s="38" t="str">
        <f>IFERROR(__xludf.DUMMYFUNCTION("REGEXREPLACE(C11715,""-\d+(.*)|--\d+(.*)"","""")"),"SAINT-PIERRE-DE-SEMILLY")</f>
        <v>SAINT-PIERRE-DE-SEMILLY</v>
      </c>
      <c r="E11715" s="38" t="s">
        <v>157</v>
      </c>
      <c r="F11715" s="38" t="s">
        <v>138</v>
      </c>
      <c r="G11715" s="49" t="str">
        <f t="shared" si="1"/>
        <v>50810</v>
      </c>
      <c r="H11715" s="49">
        <f t="shared" si="2"/>
        <v>50538</v>
      </c>
    </row>
    <row r="11716">
      <c r="A11716" s="48" t="s">
        <v>14636</v>
      </c>
      <c r="B11716" s="38">
        <v>38464.0</v>
      </c>
      <c r="C11716" s="38" t="s">
        <v>15817</v>
      </c>
      <c r="D11716" s="38" t="str">
        <f>IFERROR(__xludf.DUMMYFUNCTION("REGEXREPLACE(C11716,""-\d+(.*)|--\d+(.*)"","""")"),"SAINT-VICTOR-DE-CESSIEU")</f>
        <v>SAINT-VICTOR-DE-CESSIEU</v>
      </c>
      <c r="E11716" s="38" t="s">
        <v>101</v>
      </c>
      <c r="F11716" s="38" t="s">
        <v>102</v>
      </c>
      <c r="G11716" s="49" t="str">
        <f t="shared" si="1"/>
        <v>38110</v>
      </c>
      <c r="H11716" s="49">
        <f t="shared" si="2"/>
        <v>38464</v>
      </c>
    </row>
    <row r="11717">
      <c r="A11717" s="48" t="s">
        <v>1590</v>
      </c>
      <c r="B11717" s="38">
        <v>33121.0</v>
      </c>
      <c r="C11717" s="38" t="s">
        <v>15818</v>
      </c>
      <c r="D11717" s="38" t="str">
        <f>IFERROR(__xludf.DUMMYFUNCTION("REGEXREPLACE(C11717,""-\d+(.*)|--\d+(.*)"","""")"),"CESSAC")</f>
        <v>CESSAC</v>
      </c>
      <c r="E11717" s="38" t="s">
        <v>462</v>
      </c>
      <c r="F11717" s="38" t="s">
        <v>252</v>
      </c>
      <c r="G11717" s="49" t="str">
        <f t="shared" si="1"/>
        <v>33760</v>
      </c>
      <c r="H11717" s="49">
        <f t="shared" si="2"/>
        <v>33121</v>
      </c>
    </row>
    <row r="11718">
      <c r="A11718" s="48" t="s">
        <v>1327</v>
      </c>
      <c r="B11718" s="38">
        <v>51194.0</v>
      </c>
      <c r="C11718" s="38" t="s">
        <v>15819</v>
      </c>
      <c r="D11718" s="38" t="str">
        <f>IFERROR(__xludf.DUMMYFUNCTION("REGEXREPLACE(C11718,""-\d+(.*)|--\d+(.*)"","""")"),"COURVILLE")</f>
        <v>COURVILLE</v>
      </c>
      <c r="E11718" s="38" t="s">
        <v>129</v>
      </c>
      <c r="F11718" s="38" t="s">
        <v>130</v>
      </c>
      <c r="G11718" s="49" t="str">
        <f t="shared" si="1"/>
        <v>51170</v>
      </c>
      <c r="H11718" s="49">
        <f t="shared" si="2"/>
        <v>51194</v>
      </c>
    </row>
    <row r="11719">
      <c r="A11719" s="48" t="s">
        <v>5801</v>
      </c>
      <c r="B11719" s="38">
        <v>6119.0</v>
      </c>
      <c r="C11719" s="38" t="s">
        <v>15820</v>
      </c>
      <c r="D11719" s="38" t="str">
        <f>IFERROR(__xludf.DUMMYFUNCTION("REGEXREPLACE(C11719,""-\d+(.*)|--\d+(.*)"","""")"),"SAINT-DALMAS-LE-SELVAGE")</f>
        <v>SAINT-DALMAS-LE-SELVAGE</v>
      </c>
      <c r="E11719" s="38" t="s">
        <v>227</v>
      </c>
      <c r="F11719" s="38" t="s">
        <v>228</v>
      </c>
      <c r="G11719" s="49" t="str">
        <f t="shared" si="1"/>
        <v>06660</v>
      </c>
      <c r="H11719" s="49" t="str">
        <f t="shared" si="2"/>
        <v>06119</v>
      </c>
    </row>
    <row r="11720">
      <c r="A11720" s="48" t="s">
        <v>4420</v>
      </c>
      <c r="B11720" s="38">
        <v>31573.0</v>
      </c>
      <c r="C11720" s="38" t="s">
        <v>1150</v>
      </c>
      <c r="D11720" s="38" t="str">
        <f>IFERROR(__xludf.DUMMYFUNCTION("REGEXREPLACE(C11720,""-\d+(.*)|--\d+(.*)"","""")"),"VERFEIL")</f>
        <v>VERFEIL</v>
      </c>
      <c r="E11720" s="38" t="s">
        <v>93</v>
      </c>
      <c r="F11720" s="38" t="s">
        <v>94</v>
      </c>
      <c r="G11720" s="49" t="str">
        <f t="shared" si="1"/>
        <v>31590</v>
      </c>
      <c r="H11720" s="49">
        <f t="shared" si="2"/>
        <v>31573</v>
      </c>
    </row>
    <row r="11721">
      <c r="A11721" s="48" t="s">
        <v>2835</v>
      </c>
      <c r="B11721" s="38">
        <v>18012.0</v>
      </c>
      <c r="C11721" s="38" t="s">
        <v>15821</v>
      </c>
      <c r="D11721" s="38" t="str">
        <f>IFERROR(__xludf.DUMMYFUNCTION("REGEXREPLACE(C11721,""-\d+(.*)|--\d+(.*)"","""")"),"ARGENVIERES")</f>
        <v>ARGENVIERES</v>
      </c>
      <c r="E11721" s="38" t="s">
        <v>504</v>
      </c>
      <c r="F11721" s="38" t="s">
        <v>123</v>
      </c>
      <c r="G11721" s="49" t="str">
        <f t="shared" si="1"/>
        <v>18140</v>
      </c>
      <c r="H11721" s="49">
        <f t="shared" si="2"/>
        <v>18012</v>
      </c>
    </row>
    <row r="11722">
      <c r="A11722" s="48" t="s">
        <v>15822</v>
      </c>
      <c r="B11722" s="38">
        <v>59400.0</v>
      </c>
      <c r="C11722" s="38" t="s">
        <v>14618</v>
      </c>
      <c r="D11722" s="38" t="str">
        <f>IFERROR(__xludf.DUMMYFUNCTION("REGEXREPLACE(C11722,""-\d+(.*)|--\d+(.*)"","""")"),"MERVILLE")</f>
        <v>MERVILLE</v>
      </c>
      <c r="E11722" s="38" t="s">
        <v>85</v>
      </c>
      <c r="F11722" s="38" t="s">
        <v>86</v>
      </c>
      <c r="G11722" s="49" t="str">
        <f t="shared" si="1"/>
        <v>59660</v>
      </c>
      <c r="H11722" s="49">
        <f t="shared" si="2"/>
        <v>59400</v>
      </c>
    </row>
    <row r="11723">
      <c r="A11723" s="48" t="s">
        <v>6615</v>
      </c>
      <c r="B11723" s="38">
        <v>65376.0</v>
      </c>
      <c r="C11723" s="38" t="s">
        <v>15823</v>
      </c>
      <c r="D11723" s="38" t="str">
        <f>IFERROR(__xludf.DUMMYFUNCTION("REGEXREPLACE(C11723,""-\d+(.*)|--\d+(.*)"","""")"),"RECURT")</f>
        <v>RECURT</v>
      </c>
      <c r="E11723" s="38" t="s">
        <v>200</v>
      </c>
      <c r="F11723" s="38" t="s">
        <v>94</v>
      </c>
      <c r="G11723" s="49" t="str">
        <f t="shared" si="1"/>
        <v>65330</v>
      </c>
      <c r="H11723" s="49">
        <f t="shared" si="2"/>
        <v>65376</v>
      </c>
    </row>
    <row r="11724">
      <c r="A11724" s="48" t="s">
        <v>1004</v>
      </c>
      <c r="B11724" s="38">
        <v>71195.0</v>
      </c>
      <c r="C11724" s="38" t="s">
        <v>15824</v>
      </c>
      <c r="D11724" s="38" t="str">
        <f>IFERROR(__xludf.DUMMYFUNCTION("REGEXREPLACE(C11724,""-\d+(.*)|--\d+(.*)"","""")"),"FARGES-LES-MACON")</f>
        <v>FARGES-LES-MACON</v>
      </c>
      <c r="E11724" s="38" t="s">
        <v>344</v>
      </c>
      <c r="F11724" s="38" t="s">
        <v>106</v>
      </c>
      <c r="G11724" s="49" t="str">
        <f t="shared" si="1"/>
        <v>71700</v>
      </c>
      <c r="H11724" s="49">
        <f t="shared" si="2"/>
        <v>71195</v>
      </c>
    </row>
    <row r="11725">
      <c r="A11725" s="48" t="s">
        <v>1970</v>
      </c>
      <c r="B11725" s="38">
        <v>74161.0</v>
      </c>
      <c r="C11725" s="38" t="s">
        <v>15825</v>
      </c>
      <c r="D11725" s="38" t="str">
        <f>IFERROR(__xludf.DUMMYFUNCTION("REGEXREPLACE(C11725,""-\d+(.*)|--\d+(.*)"","""")"),"MARCELLAZ-ALBANAIS")</f>
        <v>MARCELLAZ-ALBANAIS</v>
      </c>
      <c r="E11725" s="38" t="s">
        <v>319</v>
      </c>
      <c r="F11725" s="38" t="s">
        <v>102</v>
      </c>
      <c r="G11725" s="49" t="str">
        <f t="shared" si="1"/>
        <v>74150</v>
      </c>
      <c r="H11725" s="49">
        <f t="shared" si="2"/>
        <v>74161</v>
      </c>
    </row>
    <row r="11726">
      <c r="A11726" s="48" t="s">
        <v>13267</v>
      </c>
      <c r="B11726" s="38">
        <v>19008.0</v>
      </c>
      <c r="C11726" s="38" t="s">
        <v>15826</v>
      </c>
      <c r="D11726" s="38" t="str">
        <f>IFERROR(__xludf.DUMMYFUNCTION("REGEXREPLACE(C11726,""-\d+(.*)|--\d+(.*)"","""")"),"AMBRUGEAT")</f>
        <v>AMBRUGEAT</v>
      </c>
      <c r="E11726" s="38" t="s">
        <v>271</v>
      </c>
      <c r="F11726" s="38" t="s">
        <v>98</v>
      </c>
      <c r="G11726" s="49" t="str">
        <f t="shared" si="1"/>
        <v>19250</v>
      </c>
      <c r="H11726" s="49">
        <f t="shared" si="2"/>
        <v>19008</v>
      </c>
    </row>
    <row r="11727">
      <c r="A11727" s="48" t="s">
        <v>4543</v>
      </c>
      <c r="B11727" s="38">
        <v>64362.0</v>
      </c>
      <c r="C11727" s="38" t="s">
        <v>15827</v>
      </c>
      <c r="D11727" s="38" t="str">
        <f>IFERROR(__xludf.DUMMYFUNCTION("REGEXREPLACE(C11727,""-\d+(.*)|--\d+(.*)"","""")"),"LUXE-SUMBERRAUTE")</f>
        <v>LUXE-SUMBERRAUTE</v>
      </c>
      <c r="E11727" s="38" t="s">
        <v>268</v>
      </c>
      <c r="F11727" s="38" t="s">
        <v>252</v>
      </c>
      <c r="G11727" s="49" t="str">
        <f t="shared" si="1"/>
        <v>64120</v>
      </c>
      <c r="H11727" s="49">
        <f t="shared" si="2"/>
        <v>64362</v>
      </c>
    </row>
    <row r="11728">
      <c r="A11728" s="48" t="s">
        <v>443</v>
      </c>
      <c r="B11728" s="38">
        <v>24569.0</v>
      </c>
      <c r="C11728" s="38" t="s">
        <v>15828</v>
      </c>
      <c r="D11728" s="38" t="str">
        <f>IFERROR(__xludf.DUMMYFUNCTION("REGEXREPLACE(C11728,""-\d+(.*)|--\d+(.*)"","""")"),"VENDOIRE")</f>
        <v>VENDOIRE</v>
      </c>
      <c r="E11728" s="38" t="s">
        <v>261</v>
      </c>
      <c r="F11728" s="38" t="s">
        <v>252</v>
      </c>
      <c r="G11728" s="49" t="str">
        <f t="shared" si="1"/>
        <v>24320</v>
      </c>
      <c r="H11728" s="49">
        <f t="shared" si="2"/>
        <v>24569</v>
      </c>
    </row>
    <row r="11729">
      <c r="A11729" s="48" t="s">
        <v>15829</v>
      </c>
      <c r="B11729" s="38">
        <v>61376.0</v>
      </c>
      <c r="C11729" s="38" t="s">
        <v>15830</v>
      </c>
      <c r="D11729" s="38" t="str">
        <f>IFERROR(__xludf.DUMMYFUNCTION("REGEXREPLACE(C11729,""-\d+(.*)|--\d+(.*)"","""")"),"SAINT-CLAIR-DE-HALOUZE")</f>
        <v>SAINT-CLAIR-DE-HALOUZE</v>
      </c>
      <c r="E11729" s="38" t="s">
        <v>141</v>
      </c>
      <c r="F11729" s="38" t="s">
        <v>138</v>
      </c>
      <c r="G11729" s="49" t="str">
        <f t="shared" si="1"/>
        <v>61490</v>
      </c>
      <c r="H11729" s="49">
        <f t="shared" si="2"/>
        <v>61376</v>
      </c>
    </row>
    <row r="11730">
      <c r="A11730" s="48" t="s">
        <v>2103</v>
      </c>
      <c r="B11730" s="38">
        <v>54147.0</v>
      </c>
      <c r="C11730" s="38" t="s">
        <v>15831</v>
      </c>
      <c r="D11730" s="38" t="str">
        <f>IFERROR(__xludf.DUMMYFUNCTION("REGEXREPLACE(C11730,""-\d+(.*)|--\d+(.*)"","""")"),"CRION")</f>
        <v>CRION</v>
      </c>
      <c r="E11730" s="38" t="s">
        <v>548</v>
      </c>
      <c r="F11730" s="38" t="s">
        <v>195</v>
      </c>
      <c r="G11730" s="49" t="str">
        <f t="shared" si="1"/>
        <v>54300</v>
      </c>
      <c r="H11730" s="49">
        <f t="shared" si="2"/>
        <v>54147</v>
      </c>
    </row>
    <row r="11731">
      <c r="A11731" s="48" t="s">
        <v>1332</v>
      </c>
      <c r="B11731" s="38">
        <v>51533.0</v>
      </c>
      <c r="C11731" s="38" t="s">
        <v>15832</v>
      </c>
      <c r="D11731" s="38" t="str">
        <f>IFERROR(__xludf.DUMMYFUNCTION("REGEXREPLACE(C11731,""-\d+(.*)|--\d+(.*)"","""")"),"SERVON-MELZICOURT")</f>
        <v>SERVON-MELZICOURT</v>
      </c>
      <c r="E11731" s="38" t="s">
        <v>129</v>
      </c>
      <c r="F11731" s="38" t="s">
        <v>130</v>
      </c>
      <c r="G11731" s="49" t="str">
        <f t="shared" si="1"/>
        <v>51800</v>
      </c>
      <c r="H11731" s="49">
        <f t="shared" si="2"/>
        <v>51533</v>
      </c>
    </row>
    <row r="11732">
      <c r="A11732" s="48" t="s">
        <v>15833</v>
      </c>
      <c r="B11732" s="38">
        <v>87043.0</v>
      </c>
      <c r="C11732" s="38" t="s">
        <v>15834</v>
      </c>
      <c r="D11732" s="38" t="str">
        <f>IFERROR(__xludf.DUMMYFUNCTION("REGEXREPLACE(C11732,""-\d+(.*)|--\d+(.*)"","""")"),"CHEISSOUX")</f>
        <v>CHEISSOUX</v>
      </c>
      <c r="E11732" s="38" t="s">
        <v>897</v>
      </c>
      <c r="F11732" s="38" t="s">
        <v>98</v>
      </c>
      <c r="G11732" s="49" t="str">
        <f t="shared" si="1"/>
        <v>87460</v>
      </c>
      <c r="H11732" s="49">
        <f t="shared" si="2"/>
        <v>87043</v>
      </c>
    </row>
    <row r="11733">
      <c r="A11733" s="48" t="s">
        <v>1669</v>
      </c>
      <c r="B11733" s="38">
        <v>21225.0</v>
      </c>
      <c r="C11733" s="38" t="s">
        <v>15835</v>
      </c>
      <c r="D11733" s="38" t="str">
        <f>IFERROR(__xludf.DUMMYFUNCTION("REGEXREPLACE(C11733,""-\d+(.*)|--\d+(.*)"","""")"),"DAMPIERRE-ET-FLEE")</f>
        <v>DAMPIERRE-ET-FLEE</v>
      </c>
      <c r="E11733" s="38" t="s">
        <v>105</v>
      </c>
      <c r="F11733" s="38" t="s">
        <v>106</v>
      </c>
      <c r="G11733" s="49" t="str">
        <f t="shared" si="1"/>
        <v>21310</v>
      </c>
      <c r="H11733" s="49">
        <f t="shared" si="2"/>
        <v>21225</v>
      </c>
    </row>
    <row r="11734">
      <c r="A11734" s="48" t="s">
        <v>8080</v>
      </c>
      <c r="B11734" s="38" t="s">
        <v>15836</v>
      </c>
      <c r="C11734" s="38" t="s">
        <v>15837</v>
      </c>
      <c r="D11734" s="38" t="str">
        <f>IFERROR(__xludf.DUMMYFUNCTION("REGEXREPLACE(C11734,""-\d+(.*)|--\d+(.*)"","""")"),"NONZA")</f>
        <v>NONZA</v>
      </c>
      <c r="E11734" s="38" t="s">
        <v>743</v>
      </c>
      <c r="F11734" s="38" t="s">
        <v>607</v>
      </c>
      <c r="G11734" s="49" t="str">
        <f t="shared" si="1"/>
        <v>20217</v>
      </c>
      <c r="H11734" s="49" t="str">
        <f t="shared" si="2"/>
        <v>2B178</v>
      </c>
    </row>
    <row r="11735">
      <c r="A11735" s="48" t="s">
        <v>7164</v>
      </c>
      <c r="B11735" s="38">
        <v>15180.0</v>
      </c>
      <c r="C11735" s="38" t="s">
        <v>6198</v>
      </c>
      <c r="D11735" s="38" t="str">
        <f>IFERROR(__xludf.DUMMYFUNCTION("REGEXREPLACE(C11735,""-\d+(.*)|--\d+(.*)"","""")"),"SAINT-CLEMENT")</f>
        <v>SAINT-CLEMENT</v>
      </c>
      <c r="E11735" s="38" t="s">
        <v>632</v>
      </c>
      <c r="F11735" s="38" t="s">
        <v>161</v>
      </c>
      <c r="G11735" s="49" t="str">
        <f t="shared" si="1"/>
        <v>15800</v>
      </c>
      <c r="H11735" s="49">
        <f t="shared" si="2"/>
        <v>15180</v>
      </c>
    </row>
    <row r="11736">
      <c r="A11736" s="48" t="s">
        <v>15838</v>
      </c>
      <c r="B11736" s="38">
        <v>27350.0</v>
      </c>
      <c r="C11736" s="38" t="s">
        <v>15839</v>
      </c>
      <c r="D11736" s="38" t="str">
        <f>IFERROR(__xludf.DUMMYFUNCTION("REGEXREPLACE(C11736,""-\d+(.*)|--\d+(.*)"","""")"),"ILLIERS-L'EVEQUE")</f>
        <v>ILLIERS-L'EVEQUE</v>
      </c>
      <c r="E11736" s="38" t="s">
        <v>241</v>
      </c>
      <c r="F11736" s="38" t="s">
        <v>134</v>
      </c>
      <c r="G11736" s="49" t="str">
        <f t="shared" si="1"/>
        <v>27770</v>
      </c>
      <c r="H11736" s="49">
        <f t="shared" si="2"/>
        <v>27350</v>
      </c>
    </row>
    <row r="11737">
      <c r="A11737" s="48" t="s">
        <v>8122</v>
      </c>
      <c r="B11737" s="38">
        <v>42233.0</v>
      </c>
      <c r="C11737" s="38" t="s">
        <v>15840</v>
      </c>
      <c r="D11737" s="38" t="str">
        <f>IFERROR(__xludf.DUMMYFUNCTION("REGEXREPLACE(C11737,""-\d+(.*)|--\d+(.*)"","""")"),"SAINT-HAON-LE-VIEUX")</f>
        <v>SAINT-HAON-LE-VIEUX</v>
      </c>
      <c r="E11737" s="38" t="s">
        <v>166</v>
      </c>
      <c r="F11737" s="38" t="s">
        <v>102</v>
      </c>
      <c r="G11737" s="49" t="str">
        <f t="shared" si="1"/>
        <v>42370</v>
      </c>
      <c r="H11737" s="49">
        <f t="shared" si="2"/>
        <v>42233</v>
      </c>
    </row>
    <row r="11738">
      <c r="A11738" s="48" t="s">
        <v>522</v>
      </c>
      <c r="B11738" s="38">
        <v>39419.0</v>
      </c>
      <c r="C11738" s="38" t="s">
        <v>15841</v>
      </c>
      <c r="D11738" s="38" t="str">
        <f>IFERROR(__xludf.DUMMYFUNCTION("REGEXREPLACE(C11738,""-\d+(.*)|--\d+(.*)"","""")"),"PILLEMOINE")</f>
        <v>PILLEMOINE</v>
      </c>
      <c r="E11738" s="38" t="s">
        <v>400</v>
      </c>
      <c r="F11738" s="38" t="s">
        <v>214</v>
      </c>
      <c r="G11738" s="49" t="str">
        <f t="shared" si="1"/>
        <v>39300</v>
      </c>
      <c r="H11738" s="49">
        <f t="shared" si="2"/>
        <v>39419</v>
      </c>
    </row>
    <row r="11739">
      <c r="A11739" s="48" t="s">
        <v>4071</v>
      </c>
      <c r="B11739" s="38">
        <v>66231.0</v>
      </c>
      <c r="C11739" s="38" t="s">
        <v>15842</v>
      </c>
      <c r="D11739" s="38" t="str">
        <f>IFERROR(__xludf.DUMMYFUNCTION("REGEXREPLACE(C11739,""-\d+(.*)|--\d+(.*)"","""")"),"VINGRAU")</f>
        <v>VINGRAU</v>
      </c>
      <c r="E11739" s="38" t="s">
        <v>248</v>
      </c>
      <c r="F11739" s="38" t="s">
        <v>119</v>
      </c>
      <c r="G11739" s="49" t="str">
        <f t="shared" si="1"/>
        <v>66600</v>
      </c>
      <c r="H11739" s="49">
        <f t="shared" si="2"/>
        <v>66231</v>
      </c>
    </row>
    <row r="11740">
      <c r="A11740" s="48" t="s">
        <v>15843</v>
      </c>
      <c r="B11740" s="38">
        <v>13033.0</v>
      </c>
      <c r="C11740" s="38" t="s">
        <v>15844</v>
      </c>
      <c r="D11740" s="38" t="str">
        <f>IFERROR(__xludf.DUMMYFUNCTION("REGEXREPLACE(C11740,""-\d+(.*)|--\d+(.*)"","""")"),"ENSUES-LA-REDONNE")</f>
        <v>ENSUES-LA-REDONNE</v>
      </c>
      <c r="E11740" s="38" t="s">
        <v>980</v>
      </c>
      <c r="F11740" s="38" t="s">
        <v>228</v>
      </c>
      <c r="G11740" s="49" t="str">
        <f t="shared" si="1"/>
        <v>13820</v>
      </c>
      <c r="H11740" s="49">
        <f t="shared" si="2"/>
        <v>13033</v>
      </c>
    </row>
    <row r="11741">
      <c r="A11741" s="48" t="s">
        <v>3458</v>
      </c>
      <c r="B11741" s="38">
        <v>52069.0</v>
      </c>
      <c r="C11741" s="38" t="s">
        <v>15845</v>
      </c>
      <c r="D11741" s="38" t="str">
        <f>IFERROR(__xludf.DUMMYFUNCTION("REGEXREPLACE(C11741,""-\d+(.*)|--\d+(.*)"","""")"),"BRAUX-LE-CHATEL")</f>
        <v>BRAUX-LE-CHATEL</v>
      </c>
      <c r="E11741" s="38" t="s">
        <v>234</v>
      </c>
      <c r="F11741" s="38" t="s">
        <v>130</v>
      </c>
      <c r="G11741" s="49" t="str">
        <f t="shared" si="1"/>
        <v>52120</v>
      </c>
      <c r="H11741" s="49">
        <f t="shared" si="2"/>
        <v>52069</v>
      </c>
    </row>
    <row r="11742">
      <c r="A11742" s="48" t="s">
        <v>15846</v>
      </c>
      <c r="B11742" s="38">
        <v>79283.0</v>
      </c>
      <c r="C11742" s="38" t="s">
        <v>15847</v>
      </c>
      <c r="D11742" s="38" t="str">
        <f>IFERROR(__xludf.DUMMYFUNCTION("REGEXREPLACE(C11742,""-\d+(.*)|--\d+(.*)"","""")"),"SAINTE-NEOMAYE")</f>
        <v>SAINTE-NEOMAYE</v>
      </c>
      <c r="E11742" s="38" t="s">
        <v>337</v>
      </c>
      <c r="F11742" s="38" t="s">
        <v>338</v>
      </c>
      <c r="G11742" s="49" t="str">
        <f t="shared" si="1"/>
        <v>79260</v>
      </c>
      <c r="H11742" s="49">
        <f t="shared" si="2"/>
        <v>79283</v>
      </c>
    </row>
    <row r="11743">
      <c r="A11743" s="48" t="s">
        <v>6694</v>
      </c>
      <c r="B11743" s="38">
        <v>16170.0</v>
      </c>
      <c r="C11743" s="38" t="s">
        <v>15848</v>
      </c>
      <c r="D11743" s="38" t="str">
        <f>IFERROR(__xludf.DUMMYFUNCTION("REGEXREPLACE(C11743,""-\d+(.*)|--\d+(.*)"","""")"),"JUIGNAC")</f>
        <v>JUIGNAC</v>
      </c>
      <c r="E11743" s="38" t="s">
        <v>429</v>
      </c>
      <c r="F11743" s="38" t="s">
        <v>338</v>
      </c>
      <c r="G11743" s="49" t="str">
        <f t="shared" si="1"/>
        <v>16190</v>
      </c>
      <c r="H11743" s="49">
        <f t="shared" si="2"/>
        <v>16170</v>
      </c>
    </row>
    <row r="11744">
      <c r="A11744" s="48" t="s">
        <v>1056</v>
      </c>
      <c r="B11744" s="38">
        <v>11078.0</v>
      </c>
      <c r="C11744" s="38" t="s">
        <v>15849</v>
      </c>
      <c r="D11744" s="38" t="str">
        <f>IFERROR(__xludf.DUMMYFUNCTION("REGEXREPLACE(C11744,""-\d+(.*)|--\d+(.*)"","""")"),"CASTELRENG")</f>
        <v>CASTELRENG</v>
      </c>
      <c r="E11744" s="38" t="s">
        <v>278</v>
      </c>
      <c r="F11744" s="38" t="s">
        <v>119</v>
      </c>
      <c r="G11744" s="49" t="str">
        <f t="shared" si="1"/>
        <v>11300</v>
      </c>
      <c r="H11744" s="49">
        <f t="shared" si="2"/>
        <v>11078</v>
      </c>
    </row>
    <row r="11745">
      <c r="A11745" s="48" t="s">
        <v>881</v>
      </c>
      <c r="B11745" s="38">
        <v>25256.0</v>
      </c>
      <c r="C11745" s="38" t="s">
        <v>15850</v>
      </c>
      <c r="D11745" s="38" t="str">
        <f>IFERROR(__xludf.DUMMYFUNCTION("REGEXREPLACE(C11745,""-\d+(.*)|--\d+(.*)"","""")"),"FRAMBOUHANS")</f>
        <v>FRAMBOUHANS</v>
      </c>
      <c r="E11745" s="38" t="s">
        <v>213</v>
      </c>
      <c r="F11745" s="38" t="s">
        <v>214</v>
      </c>
      <c r="G11745" s="49" t="str">
        <f t="shared" si="1"/>
        <v>25140</v>
      </c>
      <c r="H11745" s="49">
        <f t="shared" si="2"/>
        <v>25256</v>
      </c>
    </row>
    <row r="11746">
      <c r="A11746" s="48" t="s">
        <v>15851</v>
      </c>
      <c r="B11746" s="38">
        <v>94071.0</v>
      </c>
      <c r="C11746" s="38" t="s">
        <v>15852</v>
      </c>
      <c r="D11746" s="38" t="str">
        <f>IFERROR(__xludf.DUMMYFUNCTION("REGEXREPLACE(C11746,""-\d+(.*)|--\d+(.*)"","""")"),"SUCY-EN-BRIE")</f>
        <v>SUCY-EN-BRIE</v>
      </c>
      <c r="E11746" s="38" t="s">
        <v>561</v>
      </c>
      <c r="F11746" s="38" t="s">
        <v>245</v>
      </c>
      <c r="G11746" s="49" t="str">
        <f t="shared" si="1"/>
        <v>94370</v>
      </c>
      <c r="H11746" s="49">
        <f t="shared" si="2"/>
        <v>94071</v>
      </c>
    </row>
    <row r="11747">
      <c r="A11747" s="48" t="s">
        <v>15853</v>
      </c>
      <c r="B11747" s="38">
        <v>80117.0</v>
      </c>
      <c r="C11747" s="38" t="s">
        <v>15854</v>
      </c>
      <c r="D11747" s="38" t="str">
        <f>IFERROR(__xludf.DUMMYFUNCTION("REGEXREPLACE(C11747,""-\d+(.*)|--\d+(.*)"","""")"),"BOUCHON")</f>
        <v>BOUCHON</v>
      </c>
      <c r="E11747" s="38" t="s">
        <v>224</v>
      </c>
      <c r="F11747" s="38" t="s">
        <v>113</v>
      </c>
      <c r="G11747" s="49" t="str">
        <f t="shared" si="1"/>
        <v>80830</v>
      </c>
      <c r="H11747" s="49">
        <f t="shared" si="2"/>
        <v>80117</v>
      </c>
    </row>
    <row r="11748">
      <c r="A11748" s="48" t="s">
        <v>1495</v>
      </c>
      <c r="B11748" s="38">
        <v>33064.0</v>
      </c>
      <c r="C11748" s="38" t="s">
        <v>15855</v>
      </c>
      <c r="D11748" s="38" t="str">
        <f>IFERROR(__xludf.DUMMYFUNCTION("REGEXREPLACE(C11748,""-\d+(.*)|--\d+(.*)"","""")"),"BOSSUGAN")</f>
        <v>BOSSUGAN</v>
      </c>
      <c r="E11748" s="38" t="s">
        <v>462</v>
      </c>
      <c r="F11748" s="38" t="s">
        <v>252</v>
      </c>
      <c r="G11748" s="49" t="str">
        <f t="shared" si="1"/>
        <v>33350</v>
      </c>
      <c r="H11748" s="49">
        <f t="shared" si="2"/>
        <v>33064</v>
      </c>
    </row>
    <row r="11749">
      <c r="A11749" s="48" t="s">
        <v>1540</v>
      </c>
      <c r="B11749" s="38">
        <v>70559.0</v>
      </c>
      <c r="C11749" s="38" t="s">
        <v>15856</v>
      </c>
      <c r="D11749" s="38" t="str">
        <f>IFERROR(__xludf.DUMMYFUNCTION("REGEXREPLACE(C11749,""-\d+(.*)|--\d+(.*)"","""")"),"VILLEPAROIS")</f>
        <v>VILLEPAROIS</v>
      </c>
      <c r="E11749" s="38" t="s">
        <v>956</v>
      </c>
      <c r="F11749" s="38" t="s">
        <v>214</v>
      </c>
      <c r="G11749" s="49" t="str">
        <f t="shared" si="1"/>
        <v>70000</v>
      </c>
      <c r="H11749" s="49">
        <f t="shared" si="2"/>
        <v>70559</v>
      </c>
    </row>
    <row r="11750">
      <c r="A11750" s="48" t="s">
        <v>12127</v>
      </c>
      <c r="B11750" s="38">
        <v>7144.0</v>
      </c>
      <c r="C11750" s="38" t="s">
        <v>15857</v>
      </c>
      <c r="D11750" s="38" t="str">
        <f>IFERROR(__xludf.DUMMYFUNCTION("REGEXREPLACE(C11750,""-\d+(.*)|--\d+(.*)"","""")"),"LOUBARESSE")</f>
        <v>LOUBARESSE</v>
      </c>
      <c r="E11750" s="38" t="s">
        <v>144</v>
      </c>
      <c r="F11750" s="38" t="s">
        <v>102</v>
      </c>
      <c r="G11750" s="49" t="str">
        <f t="shared" si="1"/>
        <v>07110</v>
      </c>
      <c r="H11750" s="49" t="str">
        <f t="shared" si="2"/>
        <v>07144</v>
      </c>
    </row>
    <row r="11751">
      <c r="A11751" s="48" t="s">
        <v>14222</v>
      </c>
      <c r="B11751" s="38">
        <v>42332.0</v>
      </c>
      <c r="C11751" s="38" t="s">
        <v>15858</v>
      </c>
      <c r="D11751" s="38" t="str">
        <f>IFERROR(__xludf.DUMMYFUNCTION("REGEXREPLACE(C11751,""-\d+(.*)|--\d+(.*)"","""")"),"VILLEREST")</f>
        <v>VILLEREST</v>
      </c>
      <c r="E11751" s="38" t="s">
        <v>166</v>
      </c>
      <c r="F11751" s="38" t="s">
        <v>102</v>
      </c>
      <c r="G11751" s="49" t="str">
        <f t="shared" si="1"/>
        <v>42300</v>
      </c>
      <c r="H11751" s="49">
        <f t="shared" si="2"/>
        <v>42332</v>
      </c>
    </row>
    <row r="11752">
      <c r="A11752" s="48" t="s">
        <v>5806</v>
      </c>
      <c r="B11752" s="38">
        <v>39319.0</v>
      </c>
      <c r="C11752" s="38" t="s">
        <v>15859</v>
      </c>
      <c r="D11752" s="38" t="str">
        <f>IFERROR(__xludf.DUMMYFUNCTION("REGEXREPLACE(C11752,""-\d+(.*)|--\d+(.*)"","""")"),"MATHENAY")</f>
        <v>MATHENAY</v>
      </c>
      <c r="E11752" s="38" t="s">
        <v>400</v>
      </c>
      <c r="F11752" s="38" t="s">
        <v>214</v>
      </c>
      <c r="G11752" s="49" t="str">
        <f t="shared" si="1"/>
        <v>39600</v>
      </c>
      <c r="H11752" s="49">
        <f t="shared" si="2"/>
        <v>39319</v>
      </c>
    </row>
    <row r="11753">
      <c r="A11753" s="48" t="s">
        <v>3668</v>
      </c>
      <c r="B11753" s="38">
        <v>65074.0</v>
      </c>
      <c r="C11753" s="38" t="s">
        <v>15860</v>
      </c>
      <c r="D11753" s="38" t="str">
        <f>IFERROR(__xludf.DUMMYFUNCTION("REGEXREPLACE(C11753,""-\d+(.*)|--\d+(.*)"","""")"),"BAZORDAN")</f>
        <v>BAZORDAN</v>
      </c>
      <c r="E11753" s="38" t="s">
        <v>200</v>
      </c>
      <c r="F11753" s="38" t="s">
        <v>94</v>
      </c>
      <c r="G11753" s="49" t="str">
        <f t="shared" si="1"/>
        <v>65670</v>
      </c>
      <c r="H11753" s="49">
        <f t="shared" si="2"/>
        <v>65074</v>
      </c>
    </row>
    <row r="11754">
      <c r="A11754" s="48" t="s">
        <v>8632</v>
      </c>
      <c r="B11754" s="38">
        <v>50183.0</v>
      </c>
      <c r="C11754" s="38" t="s">
        <v>15861</v>
      </c>
      <c r="D11754" s="38" t="str">
        <f>IFERROR(__xludf.DUMMYFUNCTION("REGEXREPLACE(C11754,""-\d+(.*)|--\d+(.*)"","""")"),"FIERVILLE-LES-MINES")</f>
        <v>FIERVILLE-LES-MINES</v>
      </c>
      <c r="E11754" s="38" t="s">
        <v>157</v>
      </c>
      <c r="F11754" s="38" t="s">
        <v>138</v>
      </c>
      <c r="G11754" s="49" t="str">
        <f t="shared" si="1"/>
        <v>50580</v>
      </c>
      <c r="H11754" s="49">
        <f t="shared" si="2"/>
        <v>50183</v>
      </c>
    </row>
    <row r="11755">
      <c r="A11755" s="48" t="s">
        <v>15862</v>
      </c>
      <c r="B11755" s="38">
        <v>31588.0</v>
      </c>
      <c r="C11755" s="38" t="s">
        <v>15863</v>
      </c>
      <c r="D11755" s="38" t="str">
        <f>IFERROR(__xludf.DUMMYFUNCTION("REGEXREPLACE(C11755,""-\d+(.*)|--\d+(.*)"","""")"),"VILLENEUVE-TOLOSANE")</f>
        <v>VILLENEUVE-TOLOSANE</v>
      </c>
      <c r="E11755" s="38" t="s">
        <v>93</v>
      </c>
      <c r="F11755" s="38" t="s">
        <v>94</v>
      </c>
      <c r="G11755" s="49" t="str">
        <f t="shared" si="1"/>
        <v>31270</v>
      </c>
      <c r="H11755" s="49">
        <f t="shared" si="2"/>
        <v>31588</v>
      </c>
    </row>
    <row r="11756">
      <c r="A11756" s="48" t="s">
        <v>736</v>
      </c>
      <c r="B11756" s="38">
        <v>57147.0</v>
      </c>
      <c r="C11756" s="38" t="s">
        <v>15864</v>
      </c>
      <c r="D11756" s="38" t="str">
        <f>IFERROR(__xludf.DUMMYFUNCTION("REGEXREPLACE(C11756,""-\d+(.*)|--\d+(.*)"","""")"),"COIN-SUR-SEILLE")</f>
        <v>COIN-SUR-SEILLE</v>
      </c>
      <c r="E11756" s="38" t="s">
        <v>303</v>
      </c>
      <c r="F11756" s="38" t="s">
        <v>195</v>
      </c>
      <c r="G11756" s="49" t="str">
        <f t="shared" si="1"/>
        <v>57420</v>
      </c>
      <c r="H11756" s="49">
        <f t="shared" si="2"/>
        <v>57147</v>
      </c>
    </row>
    <row r="11757">
      <c r="A11757" s="48" t="s">
        <v>5103</v>
      </c>
      <c r="B11757" s="38">
        <v>37095.0</v>
      </c>
      <c r="C11757" s="38" t="s">
        <v>15865</v>
      </c>
      <c r="D11757" s="38" t="str">
        <f>IFERROR(__xludf.DUMMYFUNCTION("REGEXREPLACE(C11757,""-\d+(.*)|--\d+(.*)"","""")"),"DAME-MARIE-LES-BOIS")</f>
        <v>DAME-MARIE-LES-BOIS</v>
      </c>
      <c r="E11757" s="38" t="s">
        <v>205</v>
      </c>
      <c r="F11757" s="38" t="s">
        <v>123</v>
      </c>
      <c r="G11757" s="49" t="str">
        <f t="shared" si="1"/>
        <v>37110</v>
      </c>
      <c r="H11757" s="49">
        <f t="shared" si="2"/>
        <v>37095</v>
      </c>
    </row>
    <row r="11758">
      <c r="A11758" s="48" t="s">
        <v>3902</v>
      </c>
      <c r="B11758" s="38">
        <v>63190.0</v>
      </c>
      <c r="C11758" s="38" t="s">
        <v>15866</v>
      </c>
      <c r="D11758" s="38" t="str">
        <f>IFERROR(__xludf.DUMMYFUNCTION("REGEXREPLACE(C11758,""-\d+(.*)|--\d+(.*)"","""")"),"LARODDE")</f>
        <v>LARODDE</v>
      </c>
      <c r="E11758" s="38" t="s">
        <v>353</v>
      </c>
      <c r="F11758" s="38" t="s">
        <v>161</v>
      </c>
      <c r="G11758" s="49" t="str">
        <f t="shared" si="1"/>
        <v>63690</v>
      </c>
      <c r="H11758" s="49">
        <f t="shared" si="2"/>
        <v>63190</v>
      </c>
    </row>
    <row r="11759">
      <c r="A11759" s="48" t="s">
        <v>1321</v>
      </c>
      <c r="B11759" s="38">
        <v>67433.0</v>
      </c>
      <c r="C11759" s="38" t="s">
        <v>15867</v>
      </c>
      <c r="D11759" s="38" t="str">
        <f>IFERROR(__xludf.DUMMYFUNCTION("REGEXREPLACE(C11759,""-\d+(.*)|--\d+(.*)"","""")"),"SAND")</f>
        <v>SAND</v>
      </c>
      <c r="E11759" s="38" t="s">
        <v>210</v>
      </c>
      <c r="F11759" s="38" t="s">
        <v>151</v>
      </c>
      <c r="G11759" s="49" t="str">
        <f t="shared" si="1"/>
        <v>67230</v>
      </c>
      <c r="H11759" s="49">
        <f t="shared" si="2"/>
        <v>67433</v>
      </c>
    </row>
    <row r="11760">
      <c r="A11760" s="48" t="s">
        <v>8480</v>
      </c>
      <c r="B11760" s="38">
        <v>8175.0</v>
      </c>
      <c r="C11760" s="38" t="s">
        <v>15868</v>
      </c>
      <c r="D11760" s="38" t="str">
        <f>IFERROR(__xludf.DUMMYFUNCTION("REGEXREPLACE(C11760,""-\d+(.*)|--\d+(.*)"","""")"),"FOISCHES")</f>
        <v>FOISCHES</v>
      </c>
      <c r="E11760" s="38" t="s">
        <v>327</v>
      </c>
      <c r="F11760" s="38" t="s">
        <v>130</v>
      </c>
      <c r="G11760" s="49" t="str">
        <f t="shared" si="1"/>
        <v>08600</v>
      </c>
      <c r="H11760" s="49" t="str">
        <f t="shared" si="2"/>
        <v>08175</v>
      </c>
    </row>
    <row r="11761">
      <c r="A11761" s="48" t="s">
        <v>4851</v>
      </c>
      <c r="B11761" s="38">
        <v>33492.0</v>
      </c>
      <c r="C11761" s="38" t="s">
        <v>15869</v>
      </c>
      <c r="D11761" s="38" t="str">
        <f>IFERROR(__xludf.DUMMYFUNCTION("REGEXREPLACE(C11761,""-\d+(.*)|--\d+(.*)"","""")"),"SAINT-YZAN-DE-SOUDIAC")</f>
        <v>SAINT-YZAN-DE-SOUDIAC</v>
      </c>
      <c r="E11761" s="38" t="s">
        <v>462</v>
      </c>
      <c r="F11761" s="38" t="s">
        <v>252</v>
      </c>
      <c r="G11761" s="49" t="str">
        <f t="shared" si="1"/>
        <v>33920</v>
      </c>
      <c r="H11761" s="49">
        <f t="shared" si="2"/>
        <v>33492</v>
      </c>
    </row>
    <row r="11762">
      <c r="A11762" s="48" t="s">
        <v>1859</v>
      </c>
      <c r="B11762" s="38">
        <v>88309.0</v>
      </c>
      <c r="C11762" s="38" t="s">
        <v>15870</v>
      </c>
      <c r="D11762" s="38" t="str">
        <f>IFERROR(__xludf.DUMMYFUNCTION("REGEXREPLACE(C11762,""-\d+(.*)|--\d+(.*)"","""")"),"MONTHUREUX-LE-SEC")</f>
        <v>MONTHUREUX-LE-SEC</v>
      </c>
      <c r="E11762" s="38" t="s">
        <v>194</v>
      </c>
      <c r="F11762" s="38" t="s">
        <v>195</v>
      </c>
      <c r="G11762" s="49" t="str">
        <f t="shared" si="1"/>
        <v>88800</v>
      </c>
      <c r="H11762" s="49">
        <f t="shared" si="2"/>
        <v>88309</v>
      </c>
    </row>
    <row r="11763">
      <c r="A11763" s="48" t="s">
        <v>15871</v>
      </c>
      <c r="B11763" s="38">
        <v>72135.0</v>
      </c>
      <c r="C11763" s="38" t="s">
        <v>15872</v>
      </c>
      <c r="D11763" s="38" t="str">
        <f>IFERROR(__xludf.DUMMYFUNCTION("REGEXREPLACE(C11763,""-\d+(.*)|--\d+(.*)"","""")"),"LA FONTAINE-SAINT-MARTIN")</f>
        <v>LA FONTAINE-SAINT-MARTIN</v>
      </c>
      <c r="E11763" s="38" t="s">
        <v>521</v>
      </c>
      <c r="F11763" s="38" t="s">
        <v>180</v>
      </c>
      <c r="G11763" s="49" t="str">
        <f t="shared" si="1"/>
        <v>72330</v>
      </c>
      <c r="H11763" s="49">
        <f t="shared" si="2"/>
        <v>72135</v>
      </c>
    </row>
    <row r="11764">
      <c r="A11764" s="48" t="s">
        <v>4893</v>
      </c>
      <c r="B11764" s="38">
        <v>56261.0</v>
      </c>
      <c r="C11764" s="38" t="s">
        <v>15873</v>
      </c>
      <c r="D11764" s="38" t="str">
        <f>IFERROR(__xludf.DUMMYFUNCTION("REGEXREPLACE(C11764,""-\d+(.*)|--\d+(.*)"","""")"),"LA VRAIE-CROIX")</f>
        <v>LA VRAIE-CROIX</v>
      </c>
      <c r="E11764" s="38" t="s">
        <v>173</v>
      </c>
      <c r="F11764" s="38" t="s">
        <v>90</v>
      </c>
      <c r="G11764" s="49" t="str">
        <f t="shared" si="1"/>
        <v>56250</v>
      </c>
      <c r="H11764" s="49">
        <f t="shared" si="2"/>
        <v>56261</v>
      </c>
    </row>
    <row r="11765">
      <c r="A11765" s="48" t="s">
        <v>1579</v>
      </c>
      <c r="B11765" s="38">
        <v>63219.0</v>
      </c>
      <c r="C11765" s="38" t="s">
        <v>15874</v>
      </c>
      <c r="D11765" s="38" t="str">
        <f>IFERROR(__xludf.DUMMYFUNCTION("REGEXREPLACE(C11765,""-\d+(.*)|--\d+(.*)"","""")"),"MAZAYE")</f>
        <v>MAZAYE</v>
      </c>
      <c r="E11765" s="38" t="s">
        <v>353</v>
      </c>
      <c r="F11765" s="38" t="s">
        <v>161</v>
      </c>
      <c r="G11765" s="49" t="str">
        <f t="shared" si="1"/>
        <v>63230</v>
      </c>
      <c r="H11765" s="49">
        <f t="shared" si="2"/>
        <v>63219</v>
      </c>
    </row>
    <row r="11766">
      <c r="A11766" s="48" t="s">
        <v>1356</v>
      </c>
      <c r="B11766" s="38">
        <v>57314.0</v>
      </c>
      <c r="C11766" s="38" t="s">
        <v>15875</v>
      </c>
      <c r="D11766" s="38" t="str">
        <f>IFERROR(__xludf.DUMMYFUNCTION("REGEXREPLACE(C11766,""-\d+(.*)|--\d+(.*)"","""")"),"HEMING")</f>
        <v>HEMING</v>
      </c>
      <c r="E11766" s="38" t="s">
        <v>303</v>
      </c>
      <c r="F11766" s="38" t="s">
        <v>195</v>
      </c>
      <c r="G11766" s="49" t="str">
        <f t="shared" si="1"/>
        <v>57830</v>
      </c>
      <c r="H11766" s="49">
        <f t="shared" si="2"/>
        <v>57314</v>
      </c>
    </row>
    <row r="11767">
      <c r="A11767" s="48" t="s">
        <v>9373</v>
      </c>
      <c r="B11767" s="38">
        <v>84024.0</v>
      </c>
      <c r="C11767" s="38" t="s">
        <v>15876</v>
      </c>
      <c r="D11767" s="38" t="str">
        <f>IFERROR(__xludf.DUMMYFUNCTION("REGEXREPLACE(C11767,""-\d+(.*)|--\d+(.*)"","""")"),"CABRIERES-D'AIGUES")</f>
        <v>CABRIERES-D'AIGUES</v>
      </c>
      <c r="E11767" s="38" t="s">
        <v>1026</v>
      </c>
      <c r="F11767" s="38" t="s">
        <v>228</v>
      </c>
      <c r="G11767" s="49" t="str">
        <f t="shared" si="1"/>
        <v>84240</v>
      </c>
      <c r="H11767" s="49">
        <f t="shared" si="2"/>
        <v>84024</v>
      </c>
    </row>
    <row r="11768">
      <c r="A11768" s="48" t="s">
        <v>9883</v>
      </c>
      <c r="B11768" s="38">
        <v>24397.0</v>
      </c>
      <c r="C11768" s="38" t="s">
        <v>15877</v>
      </c>
      <c r="D11768" s="38" t="str">
        <f>IFERROR(__xludf.DUMMYFUNCTION("REGEXREPLACE(C11768,""-\d+(.*)|--\d+(.*)"","""")"),"SAINT-CYR-LES-CHAMPAGNES")</f>
        <v>SAINT-CYR-LES-CHAMPAGNES</v>
      </c>
      <c r="E11768" s="38" t="s">
        <v>261</v>
      </c>
      <c r="F11768" s="38" t="s">
        <v>252</v>
      </c>
      <c r="G11768" s="49" t="str">
        <f t="shared" si="1"/>
        <v>24270</v>
      </c>
      <c r="H11768" s="49">
        <f t="shared" si="2"/>
        <v>24397</v>
      </c>
    </row>
    <row r="11769">
      <c r="A11769" s="48" t="s">
        <v>8575</v>
      </c>
      <c r="B11769" s="38">
        <v>29220.0</v>
      </c>
      <c r="C11769" s="38" t="s">
        <v>15878</v>
      </c>
      <c r="D11769" s="38" t="str">
        <f>IFERROR(__xludf.DUMMYFUNCTION("REGEXREPLACE(C11769,""-\d+(.*)|--\d+(.*)"","""")"),"PONT-L'ABBE")</f>
        <v>PONT-L'ABBE</v>
      </c>
      <c r="E11769" s="38" t="s">
        <v>176</v>
      </c>
      <c r="F11769" s="38" t="s">
        <v>90</v>
      </c>
      <c r="G11769" s="49" t="str">
        <f t="shared" si="1"/>
        <v>29120</v>
      </c>
      <c r="H11769" s="49">
        <f t="shared" si="2"/>
        <v>29220</v>
      </c>
    </row>
    <row r="11770">
      <c r="A11770" s="48" t="s">
        <v>6125</v>
      </c>
      <c r="B11770" s="38">
        <v>38125.0</v>
      </c>
      <c r="C11770" s="38" t="s">
        <v>15879</v>
      </c>
      <c r="D11770" s="38" t="str">
        <f>IFERROR(__xludf.DUMMYFUNCTION("REGEXREPLACE(C11770,""-\d+(.*)|--\d+(.*)"","""")"),"CORDEAC")</f>
        <v>CORDEAC</v>
      </c>
      <c r="E11770" s="38" t="s">
        <v>101</v>
      </c>
      <c r="F11770" s="38" t="s">
        <v>102</v>
      </c>
      <c r="G11770" s="49" t="str">
        <f t="shared" si="1"/>
        <v>38710</v>
      </c>
      <c r="H11770" s="49">
        <f t="shared" si="2"/>
        <v>38125</v>
      </c>
    </row>
    <row r="11771">
      <c r="A11771" s="48" t="s">
        <v>15880</v>
      </c>
      <c r="B11771" s="38">
        <v>4049.0</v>
      </c>
      <c r="C11771" s="38" t="s">
        <v>15881</v>
      </c>
      <c r="D11771" s="38" t="str">
        <f>IFERROR(__xludf.DUMMYFUNCTION("REGEXREPLACE(C11771,""-\d+(.*)|--\d+(.*)"","""")"),"CHATEAU-ARNOUX-SAINT-AUBAN")</f>
        <v>CHATEAU-ARNOUX-SAINT-AUBAN</v>
      </c>
      <c r="E11771" s="38" t="s">
        <v>662</v>
      </c>
      <c r="F11771" s="38" t="s">
        <v>228</v>
      </c>
      <c r="G11771" s="49" t="str">
        <f t="shared" si="1"/>
        <v>04160</v>
      </c>
      <c r="H11771" s="49" t="str">
        <f t="shared" si="2"/>
        <v>04049</v>
      </c>
    </row>
    <row r="11772">
      <c r="A11772" s="48" t="s">
        <v>229</v>
      </c>
      <c r="B11772" s="38">
        <v>81178.0</v>
      </c>
      <c r="C11772" s="38" t="s">
        <v>5854</v>
      </c>
      <c r="D11772" s="38" t="str">
        <f>IFERROR(__xludf.DUMMYFUNCTION("REGEXREPLACE(C11772,""-\d+(.*)|--\d+(.*)"","""")"),"MONTGAILLARD")</f>
        <v>MONTGAILLARD</v>
      </c>
      <c r="E11772" s="38" t="s">
        <v>231</v>
      </c>
      <c r="F11772" s="38" t="s">
        <v>94</v>
      </c>
      <c r="G11772" s="49" t="str">
        <f t="shared" si="1"/>
        <v>81630</v>
      </c>
      <c r="H11772" s="49">
        <f t="shared" si="2"/>
        <v>81178</v>
      </c>
    </row>
    <row r="11773">
      <c r="A11773" s="48" t="s">
        <v>4116</v>
      </c>
      <c r="B11773" s="38">
        <v>18230.0</v>
      </c>
      <c r="C11773" s="38" t="s">
        <v>15882</v>
      </c>
      <c r="D11773" s="38" t="str">
        <f>IFERROR(__xludf.DUMMYFUNCTION("REGEXREPLACE(C11773,""-\d+(.*)|--\d+(.*)"","""")"),"SAINT-PIERRE-LES-BOIS")</f>
        <v>SAINT-PIERRE-LES-BOIS</v>
      </c>
      <c r="E11773" s="38" t="s">
        <v>504</v>
      </c>
      <c r="F11773" s="38" t="s">
        <v>123</v>
      </c>
      <c r="G11773" s="49" t="str">
        <f t="shared" si="1"/>
        <v>18170</v>
      </c>
      <c r="H11773" s="49">
        <f t="shared" si="2"/>
        <v>18230</v>
      </c>
    </row>
    <row r="11774">
      <c r="A11774" s="48" t="s">
        <v>1031</v>
      </c>
      <c r="B11774" s="38">
        <v>2589.0</v>
      </c>
      <c r="C11774" s="38" t="s">
        <v>15883</v>
      </c>
      <c r="D11774" s="38" t="str">
        <f>IFERROR(__xludf.DUMMYFUNCTION("REGEXREPLACE(C11774,""-\d+(.*)|--\d+(.*)"","""")"),"PARGNY-FILAIN")</f>
        <v>PARGNY-FILAIN</v>
      </c>
      <c r="E11774" s="38" t="s">
        <v>191</v>
      </c>
      <c r="F11774" s="38" t="s">
        <v>113</v>
      </c>
      <c r="G11774" s="49" t="str">
        <f t="shared" si="1"/>
        <v>02000</v>
      </c>
      <c r="H11774" s="49" t="str">
        <f t="shared" si="2"/>
        <v>02589</v>
      </c>
    </row>
    <row r="11775">
      <c r="A11775" s="48" t="s">
        <v>7893</v>
      </c>
      <c r="B11775" s="38">
        <v>63020.0</v>
      </c>
      <c r="C11775" s="38" t="s">
        <v>15884</v>
      </c>
      <c r="D11775" s="38" t="str">
        <f>IFERROR(__xludf.DUMMYFUNCTION("REGEXREPLACE(C11775,""-\d+(.*)|--\d+(.*)"","""")"),"AURIERES")</f>
        <v>AURIERES</v>
      </c>
      <c r="E11775" s="38" t="s">
        <v>353</v>
      </c>
      <c r="F11775" s="38" t="s">
        <v>161</v>
      </c>
      <c r="G11775" s="49" t="str">
        <f t="shared" si="1"/>
        <v>63210</v>
      </c>
      <c r="H11775" s="49">
        <f t="shared" si="2"/>
        <v>63020</v>
      </c>
    </row>
    <row r="11776">
      <c r="A11776" s="48" t="s">
        <v>3172</v>
      </c>
      <c r="B11776" s="38">
        <v>28364.0</v>
      </c>
      <c r="C11776" s="38" t="s">
        <v>15885</v>
      </c>
      <c r="D11776" s="38" t="str">
        <f>IFERROR(__xludf.DUMMYFUNCTION("REGEXREPLACE(C11776,""-\d+(.*)|--\d+(.*)"","""")"),"SANCHEVILLE")</f>
        <v>SANCHEVILLE</v>
      </c>
      <c r="E11776" s="38" t="s">
        <v>300</v>
      </c>
      <c r="F11776" s="38" t="s">
        <v>123</v>
      </c>
      <c r="G11776" s="49" t="str">
        <f t="shared" si="1"/>
        <v>28800</v>
      </c>
      <c r="H11776" s="49">
        <f t="shared" si="2"/>
        <v>28364</v>
      </c>
    </row>
    <row r="11777">
      <c r="A11777" s="48" t="s">
        <v>1143</v>
      </c>
      <c r="B11777" s="38">
        <v>52214.0</v>
      </c>
      <c r="C11777" s="38" t="s">
        <v>15886</v>
      </c>
      <c r="D11777" s="38" t="str">
        <f>IFERROR(__xludf.DUMMYFUNCTION("REGEXREPLACE(C11777,""-\d+(.*)|--\d+(.*)"","""")"),"LA GENEVROYE")</f>
        <v>LA GENEVROYE</v>
      </c>
      <c r="E11777" s="38" t="s">
        <v>234</v>
      </c>
      <c r="F11777" s="38" t="s">
        <v>130</v>
      </c>
      <c r="G11777" s="49" t="str">
        <f t="shared" si="1"/>
        <v>52320</v>
      </c>
      <c r="H11777" s="49">
        <f t="shared" si="2"/>
        <v>52214</v>
      </c>
    </row>
    <row r="11778">
      <c r="A11778" s="48" t="s">
        <v>386</v>
      </c>
      <c r="B11778" s="38">
        <v>21130.0</v>
      </c>
      <c r="C11778" s="38" t="s">
        <v>15887</v>
      </c>
      <c r="D11778" s="38" t="str">
        <f>IFERROR(__xludf.DUMMYFUNCTION("REGEXREPLACE(C11778,""-\d+(.*)|--\d+(.*)"","""")"),"CHAMBEIRE")</f>
        <v>CHAMBEIRE</v>
      </c>
      <c r="E11778" s="38" t="s">
        <v>105</v>
      </c>
      <c r="F11778" s="38" t="s">
        <v>106</v>
      </c>
      <c r="G11778" s="49" t="str">
        <f t="shared" si="1"/>
        <v>21110</v>
      </c>
      <c r="H11778" s="49">
        <f t="shared" si="2"/>
        <v>21130</v>
      </c>
    </row>
    <row r="11779">
      <c r="A11779" s="48" t="s">
        <v>15888</v>
      </c>
      <c r="B11779" s="38">
        <v>29235.0</v>
      </c>
      <c r="C11779" s="38" t="s">
        <v>15889</v>
      </c>
      <c r="D11779" s="38" t="str">
        <f>IFERROR(__xludf.DUMMYFUNCTION("REGEXREPLACE(C11779,""-\d+(.*)|--\d+(.*)"","""")"),"LE RELECQ-KERHUON")</f>
        <v>LE RELECQ-KERHUON</v>
      </c>
      <c r="E11779" s="38" t="s">
        <v>176</v>
      </c>
      <c r="F11779" s="38" t="s">
        <v>90</v>
      </c>
      <c r="G11779" s="49" t="str">
        <f t="shared" si="1"/>
        <v>29480</v>
      </c>
      <c r="H11779" s="49">
        <f t="shared" si="2"/>
        <v>29235</v>
      </c>
    </row>
    <row r="11780">
      <c r="A11780" s="48" t="s">
        <v>1426</v>
      </c>
      <c r="B11780" s="38">
        <v>61029.0</v>
      </c>
      <c r="C11780" s="38" t="s">
        <v>15890</v>
      </c>
      <c r="D11780" s="38" t="str">
        <f>IFERROR(__xludf.DUMMYFUNCTION("REGEXREPLACE(C11780,""-\d+(.*)|--\d+(.*)"","""")"),"BAZOCHES-SUR-HOENE")</f>
        <v>BAZOCHES-SUR-HOENE</v>
      </c>
      <c r="E11780" s="38" t="s">
        <v>141</v>
      </c>
      <c r="F11780" s="38" t="s">
        <v>138</v>
      </c>
      <c r="G11780" s="49" t="str">
        <f t="shared" si="1"/>
        <v>61560</v>
      </c>
      <c r="H11780" s="49">
        <f t="shared" si="2"/>
        <v>61029</v>
      </c>
    </row>
    <row r="11781">
      <c r="A11781" s="48" t="s">
        <v>15157</v>
      </c>
      <c r="B11781" s="38">
        <v>91411.0</v>
      </c>
      <c r="C11781" s="38" t="s">
        <v>15891</v>
      </c>
      <c r="D11781" s="38" t="str">
        <f>IFERROR(__xludf.DUMMYFUNCTION("REGEXREPLACE(C11781,""-\d+(.*)|--\d+(.*)"","""")"),"LES MOLIERES")</f>
        <v>LES MOLIERES</v>
      </c>
      <c r="E11781" s="38" t="s">
        <v>756</v>
      </c>
      <c r="F11781" s="38" t="s">
        <v>245</v>
      </c>
      <c r="G11781" s="49" t="str">
        <f t="shared" si="1"/>
        <v>91470</v>
      </c>
      <c r="H11781" s="49">
        <f t="shared" si="2"/>
        <v>91411</v>
      </c>
    </row>
    <row r="11782">
      <c r="A11782" s="48" t="s">
        <v>5634</v>
      </c>
      <c r="B11782" s="38">
        <v>72173.0</v>
      </c>
      <c r="C11782" s="38" t="s">
        <v>15892</v>
      </c>
      <c r="D11782" s="38" t="str">
        <f>IFERROR(__xludf.DUMMYFUNCTION("REGEXREPLACE(C11782,""-\d+(.*)|--\d+(.*)"","""")"),"LUCEAU")</f>
        <v>LUCEAU</v>
      </c>
      <c r="E11782" s="38" t="s">
        <v>521</v>
      </c>
      <c r="F11782" s="38" t="s">
        <v>180</v>
      </c>
      <c r="G11782" s="49" t="str">
        <f t="shared" si="1"/>
        <v>72500</v>
      </c>
      <c r="H11782" s="49">
        <f t="shared" si="2"/>
        <v>72173</v>
      </c>
    </row>
    <row r="11783">
      <c r="A11783" s="48" t="s">
        <v>3948</v>
      </c>
      <c r="B11783" s="38">
        <v>21157.0</v>
      </c>
      <c r="C11783" s="38" t="s">
        <v>15893</v>
      </c>
      <c r="D11783" s="38" t="str">
        <f>IFERROR(__xludf.DUMMYFUNCTION("REGEXREPLACE(C11783,""-\d+(.*)|--\d+(.*)"","""")"),"CHAUGEY")</f>
        <v>CHAUGEY</v>
      </c>
      <c r="E11783" s="38" t="s">
        <v>105</v>
      </c>
      <c r="F11783" s="38" t="s">
        <v>106</v>
      </c>
      <c r="G11783" s="49" t="str">
        <f t="shared" si="1"/>
        <v>21290</v>
      </c>
      <c r="H11783" s="49">
        <f t="shared" si="2"/>
        <v>21157</v>
      </c>
    </row>
    <row r="11784">
      <c r="A11784" s="48" t="s">
        <v>5223</v>
      </c>
      <c r="B11784" s="38">
        <v>65461.0</v>
      </c>
      <c r="C11784" s="38" t="s">
        <v>15894</v>
      </c>
      <c r="D11784" s="38" t="str">
        <f>IFERROR(__xludf.DUMMYFUNCTION("REGEXREPLACE(C11784,""-\d+(.*)|--\d+(.*)"","""")"),"VIDOU")</f>
        <v>VIDOU</v>
      </c>
      <c r="E11784" s="38" t="s">
        <v>200</v>
      </c>
      <c r="F11784" s="38" t="s">
        <v>94</v>
      </c>
      <c r="G11784" s="49" t="str">
        <f t="shared" si="1"/>
        <v>65220</v>
      </c>
      <c r="H11784" s="49">
        <f t="shared" si="2"/>
        <v>65461</v>
      </c>
    </row>
    <row r="11785">
      <c r="A11785" s="48" t="s">
        <v>15895</v>
      </c>
      <c r="B11785" s="38">
        <v>84055.0</v>
      </c>
      <c r="C11785" s="38" t="s">
        <v>15896</v>
      </c>
      <c r="D11785" s="38" t="str">
        <f>IFERROR(__xludf.DUMMYFUNCTION("REGEXREPLACE(C11785,""-\d+(.*)|--\d+(.*)"","""")"),"JONQUERETTES")</f>
        <v>JONQUERETTES</v>
      </c>
      <c r="E11785" s="38" t="s">
        <v>1026</v>
      </c>
      <c r="F11785" s="38" t="s">
        <v>228</v>
      </c>
      <c r="G11785" s="49" t="str">
        <f t="shared" si="1"/>
        <v>84450</v>
      </c>
      <c r="H11785" s="49">
        <f t="shared" si="2"/>
        <v>84055</v>
      </c>
    </row>
    <row r="11786">
      <c r="A11786" s="48" t="s">
        <v>2186</v>
      </c>
      <c r="B11786" s="38">
        <v>26173.0</v>
      </c>
      <c r="C11786" s="38" t="s">
        <v>15897</v>
      </c>
      <c r="D11786" s="38" t="str">
        <f>IFERROR(__xludf.DUMMYFUNCTION("REGEXREPLACE(C11786,""-\d+(.*)|--\d+(.*)"","""")"),"MARCHES")</f>
        <v>MARCHES</v>
      </c>
      <c r="E11786" s="38" t="s">
        <v>126</v>
      </c>
      <c r="F11786" s="38" t="s">
        <v>102</v>
      </c>
      <c r="G11786" s="49" t="str">
        <f t="shared" si="1"/>
        <v>26300</v>
      </c>
      <c r="H11786" s="49">
        <f t="shared" si="2"/>
        <v>26173</v>
      </c>
    </row>
    <row r="11787">
      <c r="A11787" s="48" t="s">
        <v>15898</v>
      </c>
      <c r="B11787" s="38">
        <v>87117.0</v>
      </c>
      <c r="C11787" s="38" t="s">
        <v>15899</v>
      </c>
      <c r="D11787" s="38" t="str">
        <f>IFERROR(__xludf.DUMMYFUNCTION("REGEXREPLACE(C11787,""-\d+(.*)|--\d+(.*)"","""")"),"PEYRAT-LE-CHATEAU")</f>
        <v>PEYRAT-LE-CHATEAU</v>
      </c>
      <c r="E11787" s="38" t="s">
        <v>897</v>
      </c>
      <c r="F11787" s="38" t="s">
        <v>98</v>
      </c>
      <c r="G11787" s="49" t="str">
        <f t="shared" si="1"/>
        <v>87470</v>
      </c>
      <c r="H11787" s="49">
        <f t="shared" si="2"/>
        <v>87117</v>
      </c>
    </row>
    <row r="11788">
      <c r="A11788" s="48" t="s">
        <v>15900</v>
      </c>
      <c r="B11788" s="38">
        <v>42178.0</v>
      </c>
      <c r="C11788" s="38" t="s">
        <v>10352</v>
      </c>
      <c r="D11788" s="38" t="str">
        <f>IFERROR(__xludf.DUMMYFUNCTION("REGEXREPLACE(C11788,""-\d+(.*)|--\d+(.*)"","""")"),"PRADINES")</f>
        <v>PRADINES</v>
      </c>
      <c r="E11788" s="38" t="s">
        <v>166</v>
      </c>
      <c r="F11788" s="38" t="s">
        <v>102</v>
      </c>
      <c r="G11788" s="49" t="str">
        <f t="shared" si="1"/>
        <v>42630</v>
      </c>
      <c r="H11788" s="49">
        <f t="shared" si="2"/>
        <v>42178</v>
      </c>
    </row>
    <row r="11789">
      <c r="A11789" s="48" t="s">
        <v>1883</v>
      </c>
      <c r="B11789" s="38">
        <v>39218.0</v>
      </c>
      <c r="C11789" s="38" t="s">
        <v>15901</v>
      </c>
      <c r="D11789" s="38" t="str">
        <f>IFERROR(__xludf.DUMMYFUNCTION("REGEXREPLACE(C11789,""-\d+(.*)|--\d+(.*)"","""")"),"ETREPIGNEY")</f>
        <v>ETREPIGNEY</v>
      </c>
      <c r="E11789" s="38" t="s">
        <v>400</v>
      </c>
      <c r="F11789" s="38" t="s">
        <v>214</v>
      </c>
      <c r="G11789" s="49" t="str">
        <f t="shared" si="1"/>
        <v>39700</v>
      </c>
      <c r="H11789" s="49">
        <f t="shared" si="2"/>
        <v>39218</v>
      </c>
    </row>
    <row r="11790">
      <c r="A11790" s="48" t="s">
        <v>5603</v>
      </c>
      <c r="B11790" s="38">
        <v>41182.0</v>
      </c>
      <c r="C11790" s="38" t="s">
        <v>15902</v>
      </c>
      <c r="D11790" s="38" t="str">
        <f>IFERROR(__xludf.DUMMYFUNCTION("REGEXREPLACE(C11790,""-\d+(.*)|--\d+(.*)"","""")"),"PRAY")</f>
        <v>PRAY</v>
      </c>
      <c r="E11790" s="38" t="s">
        <v>188</v>
      </c>
      <c r="F11790" s="38" t="s">
        <v>123</v>
      </c>
      <c r="G11790" s="49" t="str">
        <f t="shared" si="1"/>
        <v>41190</v>
      </c>
      <c r="H11790" s="49">
        <f t="shared" si="2"/>
        <v>41182</v>
      </c>
    </row>
    <row r="11791">
      <c r="A11791" s="48" t="s">
        <v>3011</v>
      </c>
      <c r="B11791" s="38">
        <v>63084.0</v>
      </c>
      <c r="C11791" s="38" t="s">
        <v>15903</v>
      </c>
      <c r="D11791" s="38" t="str">
        <f>IFERROR(__xludf.DUMMYFUNCTION("REGEXREPLACE(C11791,""-\d+(.*)|--\d+(.*)"","""")"),"CHANONAT")</f>
        <v>CHANONAT</v>
      </c>
      <c r="E11791" s="38" t="s">
        <v>353</v>
      </c>
      <c r="F11791" s="38" t="s">
        <v>161</v>
      </c>
      <c r="G11791" s="49" t="str">
        <f t="shared" si="1"/>
        <v>63450</v>
      </c>
      <c r="H11791" s="49">
        <f t="shared" si="2"/>
        <v>63084</v>
      </c>
    </row>
    <row r="11792">
      <c r="A11792" s="48" t="s">
        <v>6197</v>
      </c>
      <c r="B11792" s="38">
        <v>19100.0</v>
      </c>
      <c r="C11792" s="38" t="s">
        <v>15904</v>
      </c>
      <c r="D11792" s="38" t="str">
        <f>IFERROR(__xludf.DUMMYFUNCTION("REGEXREPLACE(C11792,""-\d+(.*)|--\d+(.*)"","""")"),"LAGRAULIERE")</f>
        <v>LAGRAULIERE</v>
      </c>
      <c r="E11792" s="38" t="s">
        <v>271</v>
      </c>
      <c r="F11792" s="38" t="s">
        <v>98</v>
      </c>
      <c r="G11792" s="49" t="str">
        <f t="shared" si="1"/>
        <v>19700</v>
      </c>
      <c r="H11792" s="49">
        <f t="shared" si="2"/>
        <v>19100</v>
      </c>
    </row>
    <row r="11793">
      <c r="A11793" s="48" t="s">
        <v>15098</v>
      </c>
      <c r="B11793" s="38">
        <v>63041.0</v>
      </c>
      <c r="C11793" s="38" t="s">
        <v>15905</v>
      </c>
      <c r="D11793" s="38" t="str">
        <f>IFERROR(__xludf.DUMMYFUNCTION("REGEXREPLACE(C11793,""-\d+(.*)|--\d+(.*)"","""")"),"BIOLLET")</f>
        <v>BIOLLET</v>
      </c>
      <c r="E11793" s="38" t="s">
        <v>353</v>
      </c>
      <c r="F11793" s="38" t="s">
        <v>161</v>
      </c>
      <c r="G11793" s="49" t="str">
        <f t="shared" si="1"/>
        <v>63640</v>
      </c>
      <c r="H11793" s="49">
        <f t="shared" si="2"/>
        <v>63041</v>
      </c>
    </row>
    <row r="11794">
      <c r="A11794" s="48" t="s">
        <v>358</v>
      </c>
      <c r="B11794" s="38">
        <v>10056.0</v>
      </c>
      <c r="C11794" s="38" t="s">
        <v>15906</v>
      </c>
      <c r="D11794" s="38" t="str">
        <f>IFERROR(__xludf.DUMMYFUNCTION("REGEXREPLACE(C11794,""-\d+(.*)|--\d+(.*)"","""")"),"BOUY-LUXEMBOURG")</f>
        <v>BOUY-LUXEMBOURG</v>
      </c>
      <c r="E11794" s="38" t="s">
        <v>147</v>
      </c>
      <c r="F11794" s="38" t="s">
        <v>130</v>
      </c>
      <c r="G11794" s="49" t="str">
        <f t="shared" si="1"/>
        <v>10220</v>
      </c>
      <c r="H11794" s="49">
        <f t="shared" si="2"/>
        <v>10056</v>
      </c>
    </row>
    <row r="11795">
      <c r="A11795" s="48" t="s">
        <v>14583</v>
      </c>
      <c r="B11795" s="38" t="s">
        <v>15907</v>
      </c>
      <c r="C11795" s="38" t="s">
        <v>15908</v>
      </c>
      <c r="D11795" s="38" t="str">
        <f>IFERROR(__xludf.DUMMYFUNCTION("REGEXREPLACE(C11795,""-\d+(.*)|--\d+(.*)"","""")"),"LUMIO")</f>
        <v>LUMIO</v>
      </c>
      <c r="E11795" s="38" t="s">
        <v>743</v>
      </c>
      <c r="F11795" s="38" t="s">
        <v>607</v>
      </c>
      <c r="G11795" s="49" t="str">
        <f t="shared" si="1"/>
        <v>20260</v>
      </c>
      <c r="H11795" s="49" t="str">
        <f t="shared" si="2"/>
        <v>2B150</v>
      </c>
    </row>
    <row r="11796">
      <c r="A11796" s="48" t="s">
        <v>120</v>
      </c>
      <c r="B11796" s="38">
        <v>45073.0</v>
      </c>
      <c r="C11796" s="38" t="s">
        <v>15909</v>
      </c>
      <c r="D11796" s="38" t="str">
        <f>IFERROR(__xludf.DUMMYFUNCTION("REGEXREPLACE(C11796,""-\d+(.*)|--\d+(.*)"","""")"),"CHANTECOQ")</f>
        <v>CHANTECOQ</v>
      </c>
      <c r="E11796" s="38" t="s">
        <v>122</v>
      </c>
      <c r="F11796" s="38" t="s">
        <v>123</v>
      </c>
      <c r="G11796" s="49" t="str">
        <f t="shared" si="1"/>
        <v>45320</v>
      </c>
      <c r="H11796" s="49">
        <f t="shared" si="2"/>
        <v>45073</v>
      </c>
    </row>
    <row r="11797">
      <c r="A11797" s="48" t="s">
        <v>15556</v>
      </c>
      <c r="B11797" s="38">
        <v>86071.0</v>
      </c>
      <c r="C11797" s="38" t="s">
        <v>15910</v>
      </c>
      <c r="D11797" s="38" t="str">
        <f>IFERROR(__xludf.DUMMYFUNCTION("REGEXREPLACE(C11797,""-\d+(.*)|--\d+(.*)"","""")"),"CHENECHE")</f>
        <v>CHENECHE</v>
      </c>
      <c r="E11797" s="38" t="s">
        <v>529</v>
      </c>
      <c r="F11797" s="38" t="s">
        <v>338</v>
      </c>
      <c r="G11797" s="49" t="str">
        <f t="shared" si="1"/>
        <v>86380</v>
      </c>
      <c r="H11797" s="49">
        <f t="shared" si="2"/>
        <v>86071</v>
      </c>
    </row>
    <row r="11798">
      <c r="A11798" s="48" t="s">
        <v>10880</v>
      </c>
      <c r="B11798" s="38">
        <v>72187.0</v>
      </c>
      <c r="C11798" s="38" t="s">
        <v>15911</v>
      </c>
      <c r="D11798" s="38" t="str">
        <f>IFERROR(__xludf.DUMMYFUNCTION("REGEXREPLACE(C11798,""-\d+(.*)|--\d+(.*)"","""")"),"MARIGNE-LAILLE")</f>
        <v>MARIGNE-LAILLE</v>
      </c>
      <c r="E11798" s="38" t="s">
        <v>521</v>
      </c>
      <c r="F11798" s="38" t="s">
        <v>180</v>
      </c>
      <c r="G11798" s="49" t="str">
        <f t="shared" si="1"/>
        <v>72220</v>
      </c>
      <c r="H11798" s="49">
        <f t="shared" si="2"/>
        <v>72187</v>
      </c>
    </row>
    <row r="11799">
      <c r="A11799" s="48" t="s">
        <v>6538</v>
      </c>
      <c r="B11799" s="38">
        <v>60619.0</v>
      </c>
      <c r="C11799" s="38" t="s">
        <v>15912</v>
      </c>
      <c r="D11799" s="38" t="str">
        <f>IFERROR(__xludf.DUMMYFUNCTION("REGEXREPLACE(C11799,""-\d+(.*)|--\d+(.*)"","""")"),"SILLY-LE-LONG")</f>
        <v>SILLY-LE-LONG</v>
      </c>
      <c r="E11799" s="38" t="s">
        <v>112</v>
      </c>
      <c r="F11799" s="38" t="s">
        <v>113</v>
      </c>
      <c r="G11799" s="49" t="str">
        <f t="shared" si="1"/>
        <v>60330</v>
      </c>
      <c r="H11799" s="49">
        <f t="shared" si="2"/>
        <v>60619</v>
      </c>
    </row>
    <row r="11800">
      <c r="A11800" s="48" t="s">
        <v>1132</v>
      </c>
      <c r="B11800" s="38">
        <v>2120.0</v>
      </c>
      <c r="C11800" s="38" t="s">
        <v>15913</v>
      </c>
      <c r="D11800" s="38" t="str">
        <f>IFERROR(__xludf.DUMMYFUNCTION("REGEXREPLACE(C11800,""-\d+(.*)|--\d+(.*)"","""")"),"BRENELLE")</f>
        <v>BRENELLE</v>
      </c>
      <c r="E11800" s="38" t="s">
        <v>191</v>
      </c>
      <c r="F11800" s="38" t="s">
        <v>113</v>
      </c>
      <c r="G11800" s="49" t="str">
        <f t="shared" si="1"/>
        <v>02220</v>
      </c>
      <c r="H11800" s="49" t="str">
        <f t="shared" si="2"/>
        <v>02120</v>
      </c>
    </row>
    <row r="11801">
      <c r="A11801" s="48" t="s">
        <v>7140</v>
      </c>
      <c r="B11801" s="38">
        <v>3038.0</v>
      </c>
      <c r="C11801" s="38" t="s">
        <v>15914</v>
      </c>
      <c r="D11801" s="38" t="str">
        <f>IFERROR(__xludf.DUMMYFUNCTION("REGEXREPLACE(C11801,""-\d+(.*)|--\d+(.*)"","""")"),"BRANSAT")</f>
        <v>BRANSAT</v>
      </c>
      <c r="E11801" s="38" t="s">
        <v>160</v>
      </c>
      <c r="F11801" s="38" t="s">
        <v>161</v>
      </c>
      <c r="G11801" s="49" t="str">
        <f t="shared" si="1"/>
        <v>03500</v>
      </c>
      <c r="H11801" s="49" t="str">
        <f t="shared" si="2"/>
        <v>03038</v>
      </c>
    </row>
    <row r="11802">
      <c r="A11802" s="48" t="s">
        <v>2540</v>
      </c>
      <c r="B11802" s="38">
        <v>2062.0</v>
      </c>
      <c r="C11802" s="38" t="s">
        <v>15787</v>
      </c>
      <c r="D11802" s="38" t="str">
        <f>IFERROR(__xludf.DUMMYFUNCTION("REGEXREPLACE(C11802,""-\d+(.*)|--\d+(.*)"","""")"),"BELLEAU")</f>
        <v>BELLEAU</v>
      </c>
      <c r="E11802" s="38" t="s">
        <v>191</v>
      </c>
      <c r="F11802" s="38" t="s">
        <v>113</v>
      </c>
      <c r="G11802" s="49" t="str">
        <f t="shared" si="1"/>
        <v>02400</v>
      </c>
      <c r="H11802" s="49" t="str">
        <f t="shared" si="2"/>
        <v>02062</v>
      </c>
    </row>
    <row r="11803">
      <c r="A11803" s="48" t="s">
        <v>10194</v>
      </c>
      <c r="B11803" s="38">
        <v>19078.0</v>
      </c>
      <c r="C11803" s="38" t="s">
        <v>15915</v>
      </c>
      <c r="D11803" s="38" t="str">
        <f>IFERROR(__xludf.DUMMYFUNCTION("REGEXREPLACE(C11803,""-\d+(.*)|--\d+(.*)"","""")"),"ESTIVAUX")</f>
        <v>ESTIVAUX</v>
      </c>
      <c r="E11803" s="38" t="s">
        <v>271</v>
      </c>
      <c r="F11803" s="38" t="s">
        <v>98</v>
      </c>
      <c r="G11803" s="49" t="str">
        <f t="shared" si="1"/>
        <v>19410</v>
      </c>
      <c r="H11803" s="49">
        <f t="shared" si="2"/>
        <v>19078</v>
      </c>
    </row>
    <row r="11804">
      <c r="A11804" s="48" t="s">
        <v>1560</v>
      </c>
      <c r="B11804" s="38">
        <v>14540.0</v>
      </c>
      <c r="C11804" s="38" t="s">
        <v>15916</v>
      </c>
      <c r="D11804" s="38" t="str">
        <f>IFERROR(__xludf.DUMMYFUNCTION("REGEXREPLACE(C11804,""-\d+(.*)|--\d+(.*)"","""")"),"ROCQUES")</f>
        <v>ROCQUES</v>
      </c>
      <c r="E11804" s="38" t="s">
        <v>137</v>
      </c>
      <c r="F11804" s="38" t="s">
        <v>138</v>
      </c>
      <c r="G11804" s="49" t="str">
        <f t="shared" si="1"/>
        <v>14100</v>
      </c>
      <c r="H11804" s="49">
        <f t="shared" si="2"/>
        <v>14540</v>
      </c>
    </row>
    <row r="11805">
      <c r="A11805" s="48" t="s">
        <v>3262</v>
      </c>
      <c r="B11805" s="38">
        <v>3235.0</v>
      </c>
      <c r="C11805" s="38" t="s">
        <v>15917</v>
      </c>
      <c r="D11805" s="38" t="str">
        <f>IFERROR(__xludf.DUMMYFUNCTION("REGEXREPLACE(C11805,""-\d+(.*)|--\d+(.*)"","""")"),"SAINT-GERAND-LE-PUY")</f>
        <v>SAINT-GERAND-LE-PUY</v>
      </c>
      <c r="E11805" s="38" t="s">
        <v>160</v>
      </c>
      <c r="F11805" s="38" t="s">
        <v>161</v>
      </c>
      <c r="G11805" s="49" t="str">
        <f t="shared" si="1"/>
        <v>03150</v>
      </c>
      <c r="H11805" s="49" t="str">
        <f t="shared" si="2"/>
        <v>03235</v>
      </c>
    </row>
    <row r="11806">
      <c r="A11806" s="48" t="s">
        <v>11050</v>
      </c>
      <c r="B11806" s="38">
        <v>38349.0</v>
      </c>
      <c r="C11806" s="38" t="s">
        <v>15918</v>
      </c>
      <c r="D11806" s="38" t="str">
        <f>IFERROR(__xludf.DUMMYFUNCTION("REGEXREPLACE(C11806,""-\d+(.*)|--\d+(.*)"","""")"),"SABLONS")</f>
        <v>SABLONS</v>
      </c>
      <c r="E11806" s="38" t="s">
        <v>101</v>
      </c>
      <c r="F11806" s="38" t="s">
        <v>102</v>
      </c>
      <c r="G11806" s="49" t="str">
        <f t="shared" si="1"/>
        <v>38550</v>
      </c>
      <c r="H11806" s="49">
        <f t="shared" si="2"/>
        <v>38349</v>
      </c>
    </row>
    <row r="11807">
      <c r="A11807" s="48" t="s">
        <v>5735</v>
      </c>
      <c r="B11807" s="38">
        <v>2653.0</v>
      </c>
      <c r="C11807" s="38" t="s">
        <v>15919</v>
      </c>
      <c r="D11807" s="38" t="str">
        <f>IFERROR(__xludf.DUMMYFUNCTION("REGEXREPLACE(C11807,""-\d+(.*)|--\d+(.*)"","""")"),"ROMENY-SUR-MARNE")</f>
        <v>ROMENY-SUR-MARNE</v>
      </c>
      <c r="E11807" s="38" t="s">
        <v>191</v>
      </c>
      <c r="F11807" s="38" t="s">
        <v>113</v>
      </c>
      <c r="G11807" s="49" t="str">
        <f t="shared" si="1"/>
        <v>02310</v>
      </c>
      <c r="H11807" s="49" t="str">
        <f t="shared" si="2"/>
        <v>02653</v>
      </c>
    </row>
    <row r="11808">
      <c r="A11808" s="48" t="s">
        <v>4450</v>
      </c>
      <c r="B11808" s="38">
        <v>34161.0</v>
      </c>
      <c r="C11808" s="38" t="s">
        <v>15920</v>
      </c>
      <c r="D11808" s="38" t="str">
        <f>IFERROR(__xludf.DUMMYFUNCTION("REGEXREPLACE(C11808,""-\d+(.*)|--\d+(.*)"","""")"),"MONTADY")</f>
        <v>MONTADY</v>
      </c>
      <c r="E11808" s="38" t="s">
        <v>118</v>
      </c>
      <c r="F11808" s="38" t="s">
        <v>119</v>
      </c>
      <c r="G11808" s="49" t="str">
        <f t="shared" si="1"/>
        <v>34310</v>
      </c>
      <c r="H11808" s="49">
        <f t="shared" si="2"/>
        <v>34161</v>
      </c>
    </row>
    <row r="11809">
      <c r="A11809" s="48" t="s">
        <v>1327</v>
      </c>
      <c r="B11809" s="38">
        <v>51250.0</v>
      </c>
      <c r="C11809" s="38" t="s">
        <v>15921</v>
      </c>
      <c r="D11809" s="38" t="str">
        <f>IFERROR(__xludf.DUMMYFUNCTION("REGEXREPLACE(C11809,""-\d+(.*)|--\d+(.*)"","""")"),"FISMES")</f>
        <v>FISMES</v>
      </c>
      <c r="E11809" s="38" t="s">
        <v>129</v>
      </c>
      <c r="F11809" s="38" t="s">
        <v>130</v>
      </c>
      <c r="G11809" s="49" t="str">
        <f t="shared" si="1"/>
        <v>51170</v>
      </c>
      <c r="H11809" s="49">
        <f t="shared" si="2"/>
        <v>51250</v>
      </c>
    </row>
    <row r="11810">
      <c r="A11810" s="48" t="s">
        <v>6328</v>
      </c>
      <c r="B11810" s="38">
        <v>30001.0</v>
      </c>
      <c r="C11810" s="38" t="s">
        <v>15922</v>
      </c>
      <c r="D11810" s="38" t="str">
        <f>IFERROR(__xludf.DUMMYFUNCTION("REGEXREPLACE(C11810,""-\d+(.*)|--\d+(.*)"","""")"),"AIGALIERS")</f>
        <v>AIGALIERS</v>
      </c>
      <c r="E11810" s="38" t="s">
        <v>526</v>
      </c>
      <c r="F11810" s="38" t="s">
        <v>119</v>
      </c>
      <c r="G11810" s="49" t="str">
        <f t="shared" si="1"/>
        <v>30700</v>
      </c>
      <c r="H11810" s="49">
        <f t="shared" si="2"/>
        <v>30001</v>
      </c>
    </row>
    <row r="11811">
      <c r="A11811" s="48" t="s">
        <v>7622</v>
      </c>
      <c r="B11811" s="38">
        <v>10363.0</v>
      </c>
      <c r="C11811" s="38" t="s">
        <v>4607</v>
      </c>
      <c r="D11811" s="38" t="str">
        <f>IFERROR(__xludf.DUMMYFUNCTION("REGEXREPLACE(C11811,""-\d+(.*)|--\d+(.*)"","""")"),"SAINT-THIBAULT")</f>
        <v>SAINT-THIBAULT</v>
      </c>
      <c r="E11811" s="38" t="s">
        <v>147</v>
      </c>
      <c r="F11811" s="38" t="s">
        <v>130</v>
      </c>
      <c r="G11811" s="49" t="str">
        <f t="shared" si="1"/>
        <v>10800</v>
      </c>
      <c r="H11811" s="49">
        <f t="shared" si="2"/>
        <v>10363</v>
      </c>
    </row>
    <row r="11812">
      <c r="A11812" s="48" t="s">
        <v>6052</v>
      </c>
      <c r="B11812" s="38">
        <v>5078.0</v>
      </c>
      <c r="C11812" s="38" t="s">
        <v>15923</v>
      </c>
      <c r="D11812" s="38" t="str">
        <f>IFERROR(__xludf.DUMMYFUNCTION("REGEXREPLACE(C11812,""-\d+(.*)|--\d+(.*)"","""")"),"MONETIER-ALLEMONT")</f>
        <v>MONETIER-ALLEMONT</v>
      </c>
      <c r="E11812" s="38" t="s">
        <v>706</v>
      </c>
      <c r="F11812" s="38" t="s">
        <v>228</v>
      </c>
      <c r="G11812" s="49" t="str">
        <f t="shared" si="1"/>
        <v>05110</v>
      </c>
      <c r="H11812" s="49" t="str">
        <f t="shared" si="2"/>
        <v>05078</v>
      </c>
    </row>
    <row r="11813">
      <c r="A11813" s="48" t="s">
        <v>15924</v>
      </c>
      <c r="B11813" s="38">
        <v>57467.0</v>
      </c>
      <c r="C11813" s="38" t="s">
        <v>15925</v>
      </c>
      <c r="D11813" s="38" t="str">
        <f>IFERROR(__xludf.DUMMYFUNCTION("REGEXREPLACE(C11813,""-\d+(.*)|--\d+(.*)"","""")"),"MEY")</f>
        <v>MEY</v>
      </c>
      <c r="E11813" s="38" t="s">
        <v>303</v>
      </c>
      <c r="F11813" s="38" t="s">
        <v>195</v>
      </c>
      <c r="G11813" s="49" t="str">
        <f t="shared" si="1"/>
        <v>57070</v>
      </c>
      <c r="H11813" s="49">
        <f t="shared" si="2"/>
        <v>57467</v>
      </c>
    </row>
    <row r="11814">
      <c r="A11814" s="48" t="s">
        <v>7904</v>
      </c>
      <c r="B11814" s="38">
        <v>62407.0</v>
      </c>
      <c r="C11814" s="38" t="s">
        <v>15926</v>
      </c>
      <c r="D11814" s="38" t="str">
        <f>IFERROR(__xludf.DUMMYFUNCTION("REGEXREPLACE(C11814,""-\d+(.*)|--\d+(.*)"","""")"),"HAM-EN-ARTOIS")</f>
        <v>HAM-EN-ARTOIS</v>
      </c>
      <c r="E11814" s="38" t="s">
        <v>109</v>
      </c>
      <c r="F11814" s="38" t="s">
        <v>86</v>
      </c>
      <c r="G11814" s="49" t="str">
        <f t="shared" si="1"/>
        <v>62190</v>
      </c>
      <c r="H11814" s="49">
        <f t="shared" si="2"/>
        <v>62407</v>
      </c>
    </row>
    <row r="11815">
      <c r="A11815" s="48" t="s">
        <v>3819</v>
      </c>
      <c r="B11815" s="38">
        <v>38443.0</v>
      </c>
      <c r="C11815" s="38" t="s">
        <v>15927</v>
      </c>
      <c r="D11815" s="38" t="str">
        <f>IFERROR(__xludf.DUMMYFUNCTION("REGEXREPLACE(C11815,""-\d+(.*)|--\d+(.*)"","""")"),"SAINT-PIERRE-DE-CHERENNES")</f>
        <v>SAINT-PIERRE-DE-CHERENNES</v>
      </c>
      <c r="E11815" s="38" t="s">
        <v>101</v>
      </c>
      <c r="F11815" s="38" t="s">
        <v>102</v>
      </c>
      <c r="G11815" s="49" t="str">
        <f t="shared" si="1"/>
        <v>38160</v>
      </c>
      <c r="H11815" s="49">
        <f t="shared" si="2"/>
        <v>38443</v>
      </c>
    </row>
    <row r="11816">
      <c r="A11816" s="48" t="s">
        <v>3986</v>
      </c>
      <c r="B11816" s="38">
        <v>62199.0</v>
      </c>
      <c r="C11816" s="38" t="s">
        <v>15928</v>
      </c>
      <c r="D11816" s="38" t="str">
        <f>IFERROR(__xludf.DUMMYFUNCTION("REGEXREPLACE(C11816,""-\d+(.*)|--\d+(.*)"","""")"),"CAMBLAIN-L'ABBE")</f>
        <v>CAMBLAIN-L'ABBE</v>
      </c>
      <c r="E11816" s="38" t="s">
        <v>109</v>
      </c>
      <c r="F11816" s="38" t="s">
        <v>86</v>
      </c>
      <c r="G11816" s="49" t="str">
        <f t="shared" si="1"/>
        <v>62690</v>
      </c>
      <c r="H11816" s="49">
        <f t="shared" si="2"/>
        <v>62199</v>
      </c>
    </row>
    <row r="11817">
      <c r="A11817" s="48" t="s">
        <v>15929</v>
      </c>
      <c r="B11817" s="38">
        <v>57206.0</v>
      </c>
      <c r="C11817" s="38" t="s">
        <v>15930</v>
      </c>
      <c r="D11817" s="38" t="str">
        <f>IFERROR(__xludf.DUMMYFUNCTION("REGEXREPLACE(C11817,""-\d+(.*)|--\d+(.*)"","""")"),"FAMECK")</f>
        <v>FAMECK</v>
      </c>
      <c r="E11817" s="38" t="s">
        <v>303</v>
      </c>
      <c r="F11817" s="38" t="s">
        <v>195</v>
      </c>
      <c r="G11817" s="49" t="str">
        <f t="shared" si="1"/>
        <v>57290</v>
      </c>
      <c r="H11817" s="49">
        <f t="shared" si="2"/>
        <v>57206</v>
      </c>
    </row>
    <row r="11818">
      <c r="A11818" s="48" t="s">
        <v>7673</v>
      </c>
      <c r="B11818" s="38">
        <v>39491.0</v>
      </c>
      <c r="C11818" s="38" t="s">
        <v>15931</v>
      </c>
      <c r="D11818" s="38" t="str">
        <f>IFERROR(__xludf.DUMMYFUNCTION("REGEXREPLACE(C11818,""-\d+(.*)|--\d+(.*)"","""")"),"SAINT-LUPICIN")</f>
        <v>SAINT-LUPICIN</v>
      </c>
      <c r="E11818" s="38" t="s">
        <v>400</v>
      </c>
      <c r="F11818" s="38" t="s">
        <v>214</v>
      </c>
      <c r="G11818" s="49" t="str">
        <f t="shared" si="1"/>
        <v>39170</v>
      </c>
      <c r="H11818" s="49">
        <f t="shared" si="2"/>
        <v>39491</v>
      </c>
    </row>
    <row r="11819">
      <c r="A11819" s="48" t="s">
        <v>9991</v>
      </c>
      <c r="B11819" s="38">
        <v>9318.0</v>
      </c>
      <c r="C11819" s="38" t="s">
        <v>15932</v>
      </c>
      <c r="D11819" s="38" t="str">
        <f>IFERROR(__xludf.DUMMYFUNCTION("REGEXREPLACE(C11819,""-\d+(.*)|--\d+(.*)"","""")"),"UNAC")</f>
        <v>UNAC</v>
      </c>
      <c r="E11819" s="38" t="s">
        <v>238</v>
      </c>
      <c r="F11819" s="38" t="s">
        <v>94</v>
      </c>
      <c r="G11819" s="49" t="str">
        <f t="shared" si="1"/>
        <v>09250</v>
      </c>
      <c r="H11819" s="49" t="str">
        <f t="shared" si="2"/>
        <v>09318</v>
      </c>
    </row>
    <row r="11820">
      <c r="A11820" s="48" t="s">
        <v>573</v>
      </c>
      <c r="B11820" s="38">
        <v>65162.0</v>
      </c>
      <c r="C11820" s="38" t="s">
        <v>15933</v>
      </c>
      <c r="D11820" s="38" t="str">
        <f>IFERROR(__xludf.DUMMYFUNCTION("REGEXREPLACE(C11820,""-\d+(.*)|--\d+(.*)"","""")"),"ESCONNETS")</f>
        <v>ESCONNETS</v>
      </c>
      <c r="E11820" s="38" t="s">
        <v>200</v>
      </c>
      <c r="F11820" s="38" t="s">
        <v>94</v>
      </c>
      <c r="G11820" s="49" t="str">
        <f t="shared" si="1"/>
        <v>65130</v>
      </c>
      <c r="H11820" s="49">
        <f t="shared" si="2"/>
        <v>65162</v>
      </c>
    </row>
    <row r="11821">
      <c r="A11821" s="48" t="s">
        <v>15934</v>
      </c>
      <c r="B11821" s="38">
        <v>5153.0</v>
      </c>
      <c r="C11821" s="38" t="s">
        <v>15935</v>
      </c>
      <c r="D11821" s="38" t="str">
        <f>IFERROR(__xludf.DUMMYFUNCTION("REGEXREPLACE(C11821,""-\d+(.*)|--\d+(.*)"","""")"),"SAINT-MICHEL-DE-CHAILLOL")</f>
        <v>SAINT-MICHEL-DE-CHAILLOL</v>
      </c>
      <c r="E11821" s="38" t="s">
        <v>706</v>
      </c>
      <c r="F11821" s="38" t="s">
        <v>228</v>
      </c>
      <c r="G11821" s="49" t="str">
        <f t="shared" si="1"/>
        <v>05260</v>
      </c>
      <c r="H11821" s="49" t="str">
        <f t="shared" si="2"/>
        <v>05153</v>
      </c>
    </row>
    <row r="11822">
      <c r="A11822" s="48" t="s">
        <v>2370</v>
      </c>
      <c r="B11822" s="38">
        <v>33419.0</v>
      </c>
      <c r="C11822" s="38" t="s">
        <v>15936</v>
      </c>
      <c r="D11822" s="38" t="str">
        <f>IFERROR(__xludf.DUMMYFUNCTION("REGEXREPLACE(C11822,""-\d+(.*)|--\d+(.*)"","""")"),"SAINT-HILAIRE-DU-BOIS")</f>
        <v>SAINT-HILAIRE-DU-BOIS</v>
      </c>
      <c r="E11822" s="38" t="s">
        <v>462</v>
      </c>
      <c r="F11822" s="38" t="s">
        <v>252</v>
      </c>
      <c r="G11822" s="49" t="str">
        <f t="shared" si="1"/>
        <v>33540</v>
      </c>
      <c r="H11822" s="49">
        <f t="shared" si="2"/>
        <v>33419</v>
      </c>
    </row>
    <row r="11823">
      <c r="A11823" s="48" t="s">
        <v>5553</v>
      </c>
      <c r="B11823" s="38">
        <v>34304.0</v>
      </c>
      <c r="C11823" s="38" t="s">
        <v>15937</v>
      </c>
      <c r="D11823" s="38" t="str">
        <f>IFERROR(__xludf.DUMMYFUNCTION("REGEXREPLACE(C11823,""-\d+(.*)|--\d+(.*)"","""")"),"SOUBES")</f>
        <v>SOUBES</v>
      </c>
      <c r="E11823" s="38" t="s">
        <v>118</v>
      </c>
      <c r="F11823" s="38" t="s">
        <v>119</v>
      </c>
      <c r="G11823" s="49" t="str">
        <f t="shared" si="1"/>
        <v>34700</v>
      </c>
      <c r="H11823" s="49">
        <f t="shared" si="2"/>
        <v>34304</v>
      </c>
    </row>
    <row r="11824">
      <c r="A11824" s="48" t="s">
        <v>11336</v>
      </c>
      <c r="B11824" s="38">
        <v>10246.0</v>
      </c>
      <c r="C11824" s="38" t="s">
        <v>15938</v>
      </c>
      <c r="D11824" s="38" t="str">
        <f>IFERROR(__xludf.DUMMYFUNCTION("REGEXREPLACE(C11824,""-\d+(.*)|--\d+(.*)"","""")"),"MONTCEAUX-LES-VAUDES")</f>
        <v>MONTCEAUX-LES-VAUDES</v>
      </c>
      <c r="E11824" s="38" t="s">
        <v>147</v>
      </c>
      <c r="F11824" s="38" t="s">
        <v>130</v>
      </c>
      <c r="G11824" s="49" t="str">
        <f t="shared" si="1"/>
        <v>10260</v>
      </c>
      <c r="H11824" s="49">
        <f t="shared" si="2"/>
        <v>10246</v>
      </c>
    </row>
    <row r="11825">
      <c r="A11825" s="48" t="s">
        <v>11565</v>
      </c>
      <c r="B11825" s="38">
        <v>62902.0</v>
      </c>
      <c r="C11825" s="38" t="s">
        <v>15939</v>
      </c>
      <c r="D11825" s="38" t="str">
        <f>IFERROR(__xludf.DUMMYFUNCTION("REGEXREPLACE(C11825,""-\d+(.*)|--\d+(.*)"","""")"),"WIZERNES")</f>
        <v>WIZERNES</v>
      </c>
      <c r="E11825" s="38" t="s">
        <v>109</v>
      </c>
      <c r="F11825" s="38" t="s">
        <v>86</v>
      </c>
      <c r="G11825" s="49" t="str">
        <f t="shared" si="1"/>
        <v>62570</v>
      </c>
      <c r="H11825" s="49">
        <f t="shared" si="2"/>
        <v>62902</v>
      </c>
    </row>
    <row r="11826">
      <c r="A11826" s="48" t="s">
        <v>497</v>
      </c>
      <c r="B11826" s="38">
        <v>62236.0</v>
      </c>
      <c r="C11826" s="38" t="s">
        <v>15940</v>
      </c>
      <c r="D11826" s="38" t="str">
        <f>IFERROR(__xludf.DUMMYFUNCTION("REGEXREPLACE(C11826,""-\d+(.*)|--\d+(.*)"","""")"),"CONTES")</f>
        <v>CONTES</v>
      </c>
      <c r="E11826" s="38" t="s">
        <v>109</v>
      </c>
      <c r="F11826" s="38" t="s">
        <v>86</v>
      </c>
      <c r="G11826" s="49" t="str">
        <f t="shared" si="1"/>
        <v>62990</v>
      </c>
      <c r="H11826" s="49">
        <f t="shared" si="2"/>
        <v>62236</v>
      </c>
    </row>
    <row r="11827">
      <c r="A11827" s="48" t="s">
        <v>15941</v>
      </c>
      <c r="B11827" s="38">
        <v>71468.0</v>
      </c>
      <c r="C11827" s="38" t="s">
        <v>15942</v>
      </c>
      <c r="D11827" s="38" t="str">
        <f>IFERROR(__xludf.DUMMYFUNCTION("REGEXREPLACE(C11827,""-\d+(.*)|--\d+(.*)"","""")"),"SAINT-PIERRE-DE-VARENNES")</f>
        <v>SAINT-PIERRE-DE-VARENNES</v>
      </c>
      <c r="E11827" s="38" t="s">
        <v>344</v>
      </c>
      <c r="F11827" s="38" t="s">
        <v>106</v>
      </c>
      <c r="G11827" s="49" t="str">
        <f t="shared" si="1"/>
        <v>71670</v>
      </c>
      <c r="H11827" s="49">
        <f t="shared" si="2"/>
        <v>71468</v>
      </c>
    </row>
    <row r="11828">
      <c r="A11828" s="48" t="s">
        <v>7813</v>
      </c>
      <c r="B11828" s="38">
        <v>35336.0</v>
      </c>
      <c r="C11828" s="38" t="s">
        <v>15943</v>
      </c>
      <c r="D11828" s="38" t="str">
        <f>IFERROR(__xludf.DUMMYFUNCTION("REGEXREPLACE(C11828,""-\d+(.*)|--\d+(.*)"","""")"),"LE TIERCENT")</f>
        <v>LE TIERCENT</v>
      </c>
      <c r="E11828" s="38" t="s">
        <v>347</v>
      </c>
      <c r="F11828" s="38" t="s">
        <v>90</v>
      </c>
      <c r="G11828" s="49" t="str">
        <f t="shared" si="1"/>
        <v>35460</v>
      </c>
      <c r="H11828" s="49">
        <f t="shared" si="2"/>
        <v>35336</v>
      </c>
    </row>
    <row r="11829">
      <c r="A11829" s="48" t="s">
        <v>4832</v>
      </c>
      <c r="B11829" s="38">
        <v>18281.0</v>
      </c>
      <c r="C11829" s="38" t="s">
        <v>15944</v>
      </c>
      <c r="D11829" s="38" t="str">
        <f>IFERROR(__xludf.DUMMYFUNCTION("REGEXREPLACE(C11829,""-\d+(.*)|--\d+(.*)"","""")"),"VIGNOUX-SUR-BARANGEON")</f>
        <v>VIGNOUX-SUR-BARANGEON</v>
      </c>
      <c r="E11829" s="38" t="s">
        <v>504</v>
      </c>
      <c r="F11829" s="38" t="s">
        <v>123</v>
      </c>
      <c r="G11829" s="49" t="str">
        <f t="shared" si="1"/>
        <v>18500</v>
      </c>
      <c r="H11829" s="49">
        <f t="shared" si="2"/>
        <v>18281</v>
      </c>
    </row>
    <row r="11830">
      <c r="A11830" s="48" t="s">
        <v>15358</v>
      </c>
      <c r="B11830" s="38">
        <v>78096.0</v>
      </c>
      <c r="C11830" s="38" t="s">
        <v>15945</v>
      </c>
      <c r="D11830" s="38" t="str">
        <f>IFERROR(__xludf.DUMMYFUNCTION("REGEXREPLACE(C11830,""-\d+(.*)|--\d+(.*)"","""")"),"BOURDONNE")</f>
        <v>BOURDONNE</v>
      </c>
      <c r="E11830" s="38" t="s">
        <v>362</v>
      </c>
      <c r="F11830" s="38" t="s">
        <v>245</v>
      </c>
      <c r="G11830" s="49" t="str">
        <f t="shared" si="1"/>
        <v>78113</v>
      </c>
      <c r="H11830" s="49">
        <f t="shared" si="2"/>
        <v>78096</v>
      </c>
    </row>
    <row r="11831">
      <c r="A11831" s="48" t="s">
        <v>9430</v>
      </c>
      <c r="B11831" s="38">
        <v>24531.0</v>
      </c>
      <c r="C11831" s="38" t="s">
        <v>15946</v>
      </c>
      <c r="D11831" s="38" t="str">
        <f>IFERROR(__xludf.DUMMYFUNCTION("REGEXREPLACE(C11831,""-\d+(.*)|--\d+(.*)"","""")"),"SERGEAC")</f>
        <v>SERGEAC</v>
      </c>
      <c r="E11831" s="38" t="s">
        <v>261</v>
      </c>
      <c r="F11831" s="38" t="s">
        <v>252</v>
      </c>
      <c r="G11831" s="49" t="str">
        <f t="shared" si="1"/>
        <v>24290</v>
      </c>
      <c r="H11831" s="49">
        <f t="shared" si="2"/>
        <v>24531</v>
      </c>
    </row>
    <row r="11832">
      <c r="A11832" s="48" t="s">
        <v>15947</v>
      </c>
      <c r="B11832" s="38">
        <v>2476.0</v>
      </c>
      <c r="C11832" s="38" t="s">
        <v>15948</v>
      </c>
      <c r="D11832" s="38" t="str">
        <f>IFERROR(__xludf.DUMMYFUNCTION("REGEXREPLACE(C11832,""-\d+(.*)|--\d+(.*)"","""")"),"MENNEVRET")</f>
        <v>MENNEVRET</v>
      </c>
      <c r="E11832" s="38" t="s">
        <v>191</v>
      </c>
      <c r="F11832" s="38" t="s">
        <v>113</v>
      </c>
      <c r="G11832" s="49" t="str">
        <f t="shared" si="1"/>
        <v>02630</v>
      </c>
      <c r="H11832" s="49" t="str">
        <f t="shared" si="2"/>
        <v>02476</v>
      </c>
    </row>
    <row r="11833">
      <c r="A11833" s="48" t="s">
        <v>1728</v>
      </c>
      <c r="B11833" s="38">
        <v>45260.0</v>
      </c>
      <c r="C11833" s="38" t="s">
        <v>15949</v>
      </c>
      <c r="D11833" s="38" t="str">
        <f>IFERROR(__xludf.DUMMYFUNCTION("REGEXREPLACE(C11833,""-\d+(.*)|--\d+(.*)"","""")"),"RAMOULU")</f>
        <v>RAMOULU</v>
      </c>
      <c r="E11833" s="38" t="s">
        <v>122</v>
      </c>
      <c r="F11833" s="38" t="s">
        <v>123</v>
      </c>
      <c r="G11833" s="49" t="str">
        <f t="shared" si="1"/>
        <v>45300</v>
      </c>
      <c r="H11833" s="49">
        <f t="shared" si="2"/>
        <v>45260</v>
      </c>
    </row>
    <row r="11834">
      <c r="A11834" s="48" t="s">
        <v>4873</v>
      </c>
      <c r="B11834" s="38">
        <v>67371.0</v>
      </c>
      <c r="C11834" s="38" t="s">
        <v>15950</v>
      </c>
      <c r="D11834" s="38" t="str">
        <f>IFERROR(__xludf.DUMMYFUNCTION("REGEXREPLACE(C11834,""-\d+(.*)|--\d+(.*)"","""")"),"LA PETITE-PIERRE")</f>
        <v>LA PETITE-PIERRE</v>
      </c>
      <c r="E11834" s="38" t="s">
        <v>210</v>
      </c>
      <c r="F11834" s="38" t="s">
        <v>151</v>
      </c>
      <c r="G11834" s="49" t="str">
        <f t="shared" si="1"/>
        <v>67290</v>
      </c>
      <c r="H11834" s="49">
        <f t="shared" si="2"/>
        <v>67371</v>
      </c>
    </row>
    <row r="11835">
      <c r="A11835" s="48" t="s">
        <v>3541</v>
      </c>
      <c r="B11835" s="38">
        <v>32445.0</v>
      </c>
      <c r="C11835" s="38" t="s">
        <v>15951</v>
      </c>
      <c r="D11835" s="38" t="str">
        <f>IFERROR(__xludf.DUMMYFUNCTION("REGEXREPLACE(C11835,""-\d+(.*)|--\d+(.*)"","""")"),"TIESTE-URAGNOUX")</f>
        <v>TIESTE-URAGNOUX</v>
      </c>
      <c r="E11835" s="38" t="s">
        <v>440</v>
      </c>
      <c r="F11835" s="38" t="s">
        <v>94</v>
      </c>
      <c r="G11835" s="49" t="str">
        <f t="shared" si="1"/>
        <v>32160</v>
      </c>
      <c r="H11835" s="49">
        <f t="shared" si="2"/>
        <v>32445</v>
      </c>
    </row>
    <row r="11836">
      <c r="A11836" s="48" t="s">
        <v>7876</v>
      </c>
      <c r="B11836" s="38">
        <v>58125.0</v>
      </c>
      <c r="C11836" s="38" t="s">
        <v>15952</v>
      </c>
      <c r="D11836" s="38" t="str">
        <f>IFERROR(__xludf.DUMMYFUNCTION("REGEXREPLACE(C11836,""-\d+(.*)|--\d+(.*)"","""")"),"GIEN-SUR-CURE")</f>
        <v>GIEN-SUR-CURE</v>
      </c>
      <c r="E11836" s="38" t="s">
        <v>219</v>
      </c>
      <c r="F11836" s="38" t="s">
        <v>106</v>
      </c>
      <c r="G11836" s="49" t="str">
        <f t="shared" si="1"/>
        <v>58230</v>
      </c>
      <c r="H11836" s="49">
        <f t="shared" si="2"/>
        <v>58125</v>
      </c>
    </row>
    <row r="11837">
      <c r="A11837" s="48" t="s">
        <v>8052</v>
      </c>
      <c r="B11837" s="38">
        <v>57696.0</v>
      </c>
      <c r="C11837" s="38" t="s">
        <v>15953</v>
      </c>
      <c r="D11837" s="38" t="str">
        <f>IFERROR(__xludf.DUMMYFUNCTION("REGEXREPLACE(C11837,""-\d+(.*)|--\d+(.*)"","""")"),"VARSBERG")</f>
        <v>VARSBERG</v>
      </c>
      <c r="E11837" s="38" t="s">
        <v>303</v>
      </c>
      <c r="F11837" s="38" t="s">
        <v>195</v>
      </c>
      <c r="G11837" s="49" t="str">
        <f t="shared" si="1"/>
        <v>57880</v>
      </c>
      <c r="H11837" s="49">
        <f t="shared" si="2"/>
        <v>57696</v>
      </c>
    </row>
    <row r="11838">
      <c r="A11838" s="48" t="s">
        <v>2059</v>
      </c>
      <c r="B11838" s="38">
        <v>37191.0</v>
      </c>
      <c r="C11838" s="38" t="s">
        <v>15954</v>
      </c>
      <c r="D11838" s="38" t="str">
        <f>IFERROR(__xludf.DUMMYFUNCTION("REGEXREPLACE(C11838,""-\d+(.*)|--\d+(.*)"","""")"),"RAZINES")</f>
        <v>RAZINES</v>
      </c>
      <c r="E11838" s="38" t="s">
        <v>205</v>
      </c>
      <c r="F11838" s="38" t="s">
        <v>123</v>
      </c>
      <c r="G11838" s="49" t="str">
        <f t="shared" si="1"/>
        <v>37120</v>
      </c>
      <c r="H11838" s="49">
        <f t="shared" si="2"/>
        <v>37191</v>
      </c>
    </row>
    <row r="11839">
      <c r="A11839" s="48" t="s">
        <v>2469</v>
      </c>
      <c r="B11839" s="38">
        <v>8408.0</v>
      </c>
      <c r="C11839" s="38" t="s">
        <v>15955</v>
      </c>
      <c r="D11839" s="38" t="str">
        <f>IFERROR(__xludf.DUMMYFUNCTION("REGEXREPLACE(C11839,""-\d+(.*)|--\d+(.*)"","""")"),"SECHEVAL")</f>
        <v>SECHEVAL</v>
      </c>
      <c r="E11839" s="38" t="s">
        <v>327</v>
      </c>
      <c r="F11839" s="38" t="s">
        <v>130</v>
      </c>
      <c r="G11839" s="49" t="str">
        <f t="shared" si="1"/>
        <v>08150</v>
      </c>
      <c r="H11839" s="49" t="str">
        <f t="shared" si="2"/>
        <v>08408</v>
      </c>
    </row>
    <row r="11840">
      <c r="A11840" s="48" t="s">
        <v>5045</v>
      </c>
      <c r="B11840" s="38">
        <v>24331.0</v>
      </c>
      <c r="C11840" s="38" t="s">
        <v>15956</v>
      </c>
      <c r="D11840" s="38" t="str">
        <f>IFERROR(__xludf.DUMMYFUNCTION("REGEXREPLACE(C11840,""-\d+(.*)|--\d+(.*)"","""")"),"POMPORT")</f>
        <v>POMPORT</v>
      </c>
      <c r="E11840" s="38" t="s">
        <v>261</v>
      </c>
      <c r="F11840" s="38" t="s">
        <v>252</v>
      </c>
      <c r="G11840" s="49" t="str">
        <f t="shared" si="1"/>
        <v>24240</v>
      </c>
      <c r="H11840" s="49">
        <f t="shared" si="2"/>
        <v>24331</v>
      </c>
    </row>
    <row r="11841">
      <c r="A11841" s="48" t="s">
        <v>8434</v>
      </c>
      <c r="B11841" s="38">
        <v>41210.0</v>
      </c>
      <c r="C11841" s="38" t="s">
        <v>15957</v>
      </c>
      <c r="D11841" s="38" t="str">
        <f>IFERROR(__xludf.DUMMYFUNCTION("REGEXREPLACE(C11841,""-\d+(.*)|--\d+(.*)"","""")"),"SAINTE-GEMMES")</f>
        <v>SAINTE-GEMMES</v>
      </c>
      <c r="E11841" s="38" t="s">
        <v>188</v>
      </c>
      <c r="F11841" s="38" t="s">
        <v>123</v>
      </c>
      <c r="G11841" s="49" t="str">
        <f t="shared" si="1"/>
        <v>41290</v>
      </c>
      <c r="H11841" s="49">
        <f t="shared" si="2"/>
        <v>41210</v>
      </c>
    </row>
    <row r="11842">
      <c r="A11842" s="48" t="s">
        <v>4924</v>
      </c>
      <c r="B11842" s="38">
        <v>56079.0</v>
      </c>
      <c r="C11842" s="38" t="s">
        <v>15958</v>
      </c>
      <c r="D11842" s="38" t="str">
        <f>IFERROR(__xludf.DUMMYFUNCTION("REGEXREPLACE(C11842,""-\d+(.*)|--\d+(.*)"","""")"),"GUILLAC")</f>
        <v>GUILLAC</v>
      </c>
      <c r="E11842" s="38" t="s">
        <v>173</v>
      </c>
      <c r="F11842" s="38" t="s">
        <v>90</v>
      </c>
      <c r="G11842" s="49" t="str">
        <f t="shared" si="1"/>
        <v>56800</v>
      </c>
      <c r="H11842" s="49">
        <f t="shared" si="2"/>
        <v>56079</v>
      </c>
    </row>
    <row r="11843">
      <c r="A11843" s="48" t="s">
        <v>6658</v>
      </c>
      <c r="B11843" s="38">
        <v>53264.0</v>
      </c>
      <c r="C11843" s="38" t="s">
        <v>15959</v>
      </c>
      <c r="D11843" s="38" t="str">
        <f>IFERROR(__xludf.DUMMYFUNCTION("REGEXREPLACE(C11843,""-\d+(.*)|--\d+(.*)"","""")"),"THORIGNE-EN-CHARNIE")</f>
        <v>THORIGNE-EN-CHARNIE</v>
      </c>
      <c r="E11843" s="38" t="s">
        <v>518</v>
      </c>
      <c r="F11843" s="38" t="s">
        <v>180</v>
      </c>
      <c r="G11843" s="49" t="str">
        <f t="shared" si="1"/>
        <v>53270</v>
      </c>
      <c r="H11843" s="49">
        <f t="shared" si="2"/>
        <v>53264</v>
      </c>
    </row>
    <row r="11844">
      <c r="A11844" s="48" t="s">
        <v>2942</v>
      </c>
      <c r="B11844" s="38">
        <v>14441.0</v>
      </c>
      <c r="C11844" s="38" t="s">
        <v>15960</v>
      </c>
      <c r="D11844" s="38" t="str">
        <f>IFERROR(__xludf.DUMMYFUNCTION("REGEXREPLACE(C11844,""-\d+(.*)|--\d+(.*)"","""")"),"MONT-BERTRAND")</f>
        <v>MONT-BERTRAND</v>
      </c>
      <c r="E11844" s="38" t="s">
        <v>137</v>
      </c>
      <c r="F11844" s="38" t="s">
        <v>138</v>
      </c>
      <c r="G11844" s="49" t="str">
        <f t="shared" si="1"/>
        <v>14350</v>
      </c>
      <c r="H11844" s="49">
        <f t="shared" si="2"/>
        <v>14441</v>
      </c>
    </row>
    <row r="11845">
      <c r="A11845" s="48" t="s">
        <v>8945</v>
      </c>
      <c r="B11845" s="38">
        <v>72050.0</v>
      </c>
      <c r="C11845" s="38" t="s">
        <v>15961</v>
      </c>
      <c r="D11845" s="38" t="str">
        <f>IFERROR(__xludf.DUMMYFUNCTION("REGEXREPLACE(C11845,""-\d+(.*)|--\d+(.*)"","""")"),"BRULON")</f>
        <v>BRULON</v>
      </c>
      <c r="E11845" s="38" t="s">
        <v>521</v>
      </c>
      <c r="F11845" s="38" t="s">
        <v>180</v>
      </c>
      <c r="G11845" s="49" t="str">
        <f t="shared" si="1"/>
        <v>72350</v>
      </c>
      <c r="H11845" s="49">
        <f t="shared" si="2"/>
        <v>72050</v>
      </c>
    </row>
    <row r="11846">
      <c r="A11846" s="48" t="s">
        <v>15962</v>
      </c>
      <c r="B11846" s="38">
        <v>38340.0</v>
      </c>
      <c r="C11846" s="38" t="s">
        <v>15963</v>
      </c>
      <c r="D11846" s="38" t="str">
        <f>IFERROR(__xludf.DUMMYFUNCTION("REGEXREPLACE(C11846,""-\d+(.*)|--\d+(.*)"","""")"),"LES ROCHES-DE-CONDRIEU")</f>
        <v>LES ROCHES-DE-CONDRIEU</v>
      </c>
      <c r="E11846" s="38" t="s">
        <v>101</v>
      </c>
      <c r="F11846" s="38" t="s">
        <v>102</v>
      </c>
      <c r="G11846" s="49" t="str">
        <f t="shared" si="1"/>
        <v>38370</v>
      </c>
      <c r="H11846" s="49">
        <f t="shared" si="2"/>
        <v>38340</v>
      </c>
    </row>
    <row r="11847">
      <c r="A11847" s="48" t="s">
        <v>8810</v>
      </c>
      <c r="B11847" s="38">
        <v>63040.0</v>
      </c>
      <c r="C11847" s="38" t="s">
        <v>15964</v>
      </c>
      <c r="D11847" s="38" t="str">
        <f>IFERROR(__xludf.DUMMYFUNCTION("REGEXREPLACE(C11847,""-\d+(.*)|--\d+(.*)"","""")"),"BILLOM")</f>
        <v>BILLOM</v>
      </c>
      <c r="E11847" s="38" t="s">
        <v>353</v>
      </c>
      <c r="F11847" s="38" t="s">
        <v>161</v>
      </c>
      <c r="G11847" s="49" t="str">
        <f t="shared" si="1"/>
        <v>63160</v>
      </c>
      <c r="H11847" s="49">
        <f t="shared" si="2"/>
        <v>63040</v>
      </c>
    </row>
    <row r="11848">
      <c r="A11848" s="48" t="s">
        <v>6389</v>
      </c>
      <c r="B11848" s="38">
        <v>14670.0</v>
      </c>
      <c r="C11848" s="38" t="s">
        <v>15965</v>
      </c>
      <c r="D11848" s="38" t="str">
        <f>IFERROR(__xludf.DUMMYFUNCTION("REGEXREPLACE(C11848,""-\d+(.*)|--\d+(.*)"","""")"),"SECQUEVILLE-EN-BESSIN")</f>
        <v>SECQUEVILLE-EN-BESSIN</v>
      </c>
      <c r="E11848" s="38" t="s">
        <v>137</v>
      </c>
      <c r="F11848" s="38" t="s">
        <v>138</v>
      </c>
      <c r="G11848" s="49" t="str">
        <f t="shared" si="1"/>
        <v>14740</v>
      </c>
      <c r="H11848" s="49">
        <f t="shared" si="2"/>
        <v>14670</v>
      </c>
    </row>
    <row r="11849">
      <c r="A11849" s="48" t="s">
        <v>1220</v>
      </c>
      <c r="B11849" s="38">
        <v>76699.0</v>
      </c>
      <c r="C11849" s="38" t="s">
        <v>15966</v>
      </c>
      <c r="D11849" s="38" t="str">
        <f>IFERROR(__xludf.DUMMYFUNCTION("REGEXREPLACE(C11849,""-\d+(.*)|--\d+(.*)"","""")"),"LE TORP-MESNIL")</f>
        <v>LE TORP-MESNIL</v>
      </c>
      <c r="E11849" s="38" t="s">
        <v>133</v>
      </c>
      <c r="F11849" s="38" t="s">
        <v>134</v>
      </c>
      <c r="G11849" s="49" t="str">
        <f t="shared" si="1"/>
        <v>76560</v>
      </c>
      <c r="H11849" s="49">
        <f t="shared" si="2"/>
        <v>76699</v>
      </c>
    </row>
    <row r="11850">
      <c r="A11850" s="48" t="s">
        <v>5428</v>
      </c>
      <c r="B11850" s="38">
        <v>74009.0</v>
      </c>
      <c r="C11850" s="38" t="s">
        <v>9219</v>
      </c>
      <c r="D11850" s="38" t="str">
        <f>IFERROR(__xludf.DUMMYFUNCTION("REGEXREPLACE(C11850,""-\d+(.*)|--\d+(.*)"","""")"),"ANDILLY")</f>
        <v>ANDILLY</v>
      </c>
      <c r="E11850" s="38" t="s">
        <v>319</v>
      </c>
      <c r="F11850" s="38" t="s">
        <v>102</v>
      </c>
      <c r="G11850" s="49" t="str">
        <f t="shared" si="1"/>
        <v>74350</v>
      </c>
      <c r="H11850" s="49">
        <f t="shared" si="2"/>
        <v>74009</v>
      </c>
    </row>
    <row r="11851">
      <c r="A11851" s="48" t="s">
        <v>889</v>
      </c>
      <c r="B11851" s="38">
        <v>30019.0</v>
      </c>
      <c r="C11851" s="38" t="s">
        <v>15967</v>
      </c>
      <c r="D11851" s="38" t="str">
        <f>IFERROR(__xludf.DUMMYFUNCTION("REGEXREPLACE(C11851,""-\d+(.*)|--\d+(.*)"","""")"),"AUBAIS")</f>
        <v>AUBAIS</v>
      </c>
      <c r="E11851" s="38" t="s">
        <v>526</v>
      </c>
      <c r="F11851" s="38" t="s">
        <v>119</v>
      </c>
      <c r="G11851" s="49" t="str">
        <f t="shared" si="1"/>
        <v>30250</v>
      </c>
      <c r="H11851" s="49">
        <f t="shared" si="2"/>
        <v>30019</v>
      </c>
    </row>
    <row r="11852">
      <c r="A11852" s="48" t="s">
        <v>2234</v>
      </c>
      <c r="B11852" s="38">
        <v>30196.0</v>
      </c>
      <c r="C11852" s="38" t="s">
        <v>820</v>
      </c>
      <c r="D11852" s="38" t="str">
        <f>IFERROR(__xludf.DUMMYFUNCTION("REGEXREPLACE(C11852,""-\d+(.*)|--\d+(.*)"","""")"),"LE PIN")</f>
        <v>LE PIN</v>
      </c>
      <c r="E11852" s="38" t="s">
        <v>526</v>
      </c>
      <c r="F11852" s="38" t="s">
        <v>119</v>
      </c>
      <c r="G11852" s="49" t="str">
        <f t="shared" si="1"/>
        <v>30330</v>
      </c>
      <c r="H11852" s="49">
        <f t="shared" si="2"/>
        <v>30196</v>
      </c>
    </row>
    <row r="11853">
      <c r="A11853" s="48" t="s">
        <v>8806</v>
      </c>
      <c r="B11853" s="38">
        <v>5054.0</v>
      </c>
      <c r="C11853" s="38" t="s">
        <v>15968</v>
      </c>
      <c r="D11853" s="38" t="str">
        <f>IFERROR(__xludf.DUMMYFUNCTION("REGEXREPLACE(C11853,""-\d+(.*)|--\d+(.*)"","""")"),"LA FARE-EN-CHAMPSAUR")</f>
        <v>LA FARE-EN-CHAMPSAUR</v>
      </c>
      <c r="E11853" s="38" t="s">
        <v>706</v>
      </c>
      <c r="F11853" s="38" t="s">
        <v>228</v>
      </c>
      <c r="G11853" s="49" t="str">
        <f t="shared" si="1"/>
        <v>05500</v>
      </c>
      <c r="H11853" s="49" t="str">
        <f t="shared" si="2"/>
        <v>05054</v>
      </c>
    </row>
    <row r="11854">
      <c r="A11854" s="48" t="s">
        <v>8103</v>
      </c>
      <c r="B11854" s="38">
        <v>55096.0</v>
      </c>
      <c r="C11854" s="38" t="s">
        <v>15969</v>
      </c>
      <c r="D11854" s="38" t="str">
        <f>IFERROR(__xludf.DUMMYFUNCTION("REGEXREPLACE(C11854,""-\d+(.*)|--\d+(.*)"","""")"),"CHAILLON")</f>
        <v>CHAILLON</v>
      </c>
      <c r="E11854" s="38" t="s">
        <v>322</v>
      </c>
      <c r="F11854" s="38" t="s">
        <v>195</v>
      </c>
      <c r="G11854" s="49" t="str">
        <f t="shared" si="1"/>
        <v>55210</v>
      </c>
      <c r="H11854" s="49">
        <f t="shared" si="2"/>
        <v>55096</v>
      </c>
    </row>
    <row r="11855">
      <c r="A11855" s="48" t="s">
        <v>1704</v>
      </c>
      <c r="B11855" s="38">
        <v>48115.0</v>
      </c>
      <c r="C11855" s="38" t="s">
        <v>15970</v>
      </c>
      <c r="D11855" s="38" t="str">
        <f>IFERROR(__xludf.DUMMYFUNCTION("REGEXREPLACE(C11855,""-\d+(.*)|--\d+(.*)"","""")"),"LE POMPIDOU")</f>
        <v>LE POMPIDOU</v>
      </c>
      <c r="E11855" s="38" t="s">
        <v>154</v>
      </c>
      <c r="F11855" s="38" t="s">
        <v>119</v>
      </c>
      <c r="G11855" s="49" t="str">
        <f t="shared" si="1"/>
        <v>48110</v>
      </c>
      <c r="H11855" s="49">
        <f t="shared" si="2"/>
        <v>48115</v>
      </c>
    </row>
    <row r="11856">
      <c r="A11856" s="48" t="s">
        <v>7657</v>
      </c>
      <c r="B11856" s="38">
        <v>80602.0</v>
      </c>
      <c r="C11856" s="38" t="s">
        <v>15971</v>
      </c>
      <c r="D11856" s="38" t="str">
        <f>IFERROR(__xludf.DUMMYFUNCTION("REGEXREPLACE(C11856,""-\d+(.*)|--\d+(.*)"","""")"),"OCCOCHES")</f>
        <v>OCCOCHES</v>
      </c>
      <c r="E11856" s="38" t="s">
        <v>224</v>
      </c>
      <c r="F11856" s="38" t="s">
        <v>113</v>
      </c>
      <c r="G11856" s="49" t="str">
        <f t="shared" si="1"/>
        <v>80600</v>
      </c>
      <c r="H11856" s="49">
        <f t="shared" si="2"/>
        <v>80602</v>
      </c>
    </row>
    <row r="11857">
      <c r="A11857" s="48" t="s">
        <v>7818</v>
      </c>
      <c r="B11857" s="38">
        <v>90052.0</v>
      </c>
      <c r="C11857" s="38" t="s">
        <v>15972</v>
      </c>
      <c r="D11857" s="38" t="str">
        <f>IFERROR(__xludf.DUMMYFUNCTION("REGEXREPLACE(C11857,""-\d+(.*)|--\d+(.*)"","""")"),"GIROMAGNY")</f>
        <v>GIROMAGNY</v>
      </c>
      <c r="E11857" s="38" t="s">
        <v>1283</v>
      </c>
      <c r="F11857" s="38" t="s">
        <v>214</v>
      </c>
      <c r="G11857" s="49" t="str">
        <f t="shared" si="1"/>
        <v>90200</v>
      </c>
      <c r="H11857" s="49">
        <f t="shared" si="2"/>
        <v>90052</v>
      </c>
    </row>
    <row r="11858">
      <c r="A11858" s="48" t="s">
        <v>2261</v>
      </c>
      <c r="B11858" s="38">
        <v>9241.0</v>
      </c>
      <c r="C11858" s="38" t="s">
        <v>15973</v>
      </c>
      <c r="D11858" s="38" t="str">
        <f>IFERROR(__xludf.DUMMYFUNCTION("REGEXREPLACE(C11858,""-\d+(.*)|--\d+(.*)"","""")"),"RABAT-LES-TROIS-SEIGNEURS")</f>
        <v>RABAT-LES-TROIS-SEIGNEURS</v>
      </c>
      <c r="E11858" s="38" t="s">
        <v>238</v>
      </c>
      <c r="F11858" s="38" t="s">
        <v>94</v>
      </c>
      <c r="G11858" s="49" t="str">
        <f t="shared" si="1"/>
        <v>09400</v>
      </c>
      <c r="H11858" s="49" t="str">
        <f t="shared" si="2"/>
        <v>09241</v>
      </c>
    </row>
    <row r="11859">
      <c r="A11859" s="48" t="s">
        <v>6258</v>
      </c>
      <c r="B11859" s="38">
        <v>95676.0</v>
      </c>
      <c r="C11859" s="38" t="s">
        <v>15974</v>
      </c>
      <c r="D11859" s="38" t="str">
        <f>IFERROR(__xludf.DUMMYFUNCTION("REGEXREPLACE(C11859,""-\d+(.*)|--\d+(.*)"","""")"),"VILLERS-EN-ARTHIES")</f>
        <v>VILLERS-EN-ARTHIES</v>
      </c>
      <c r="E11859" s="38" t="s">
        <v>541</v>
      </c>
      <c r="F11859" s="38" t="s">
        <v>245</v>
      </c>
      <c r="G11859" s="49" t="str">
        <f t="shared" si="1"/>
        <v>95510</v>
      </c>
      <c r="H11859" s="49">
        <f t="shared" si="2"/>
        <v>95676</v>
      </c>
    </row>
    <row r="11860">
      <c r="A11860" s="48" t="s">
        <v>15975</v>
      </c>
      <c r="B11860" s="38">
        <v>72035.0</v>
      </c>
      <c r="C11860" s="38" t="s">
        <v>15976</v>
      </c>
      <c r="D11860" s="38" t="str">
        <f>IFERROR(__xludf.DUMMYFUNCTION("REGEXREPLACE(C11860,""-\d+(.*)|--\d+(.*)"","""")"),"BESSE-SUR-BRAYE")</f>
        <v>BESSE-SUR-BRAYE</v>
      </c>
      <c r="E11860" s="38" t="s">
        <v>521</v>
      </c>
      <c r="F11860" s="38" t="s">
        <v>180</v>
      </c>
      <c r="G11860" s="49" t="str">
        <f t="shared" si="1"/>
        <v>72310</v>
      </c>
      <c r="H11860" s="49">
        <f t="shared" si="2"/>
        <v>72035</v>
      </c>
    </row>
    <row r="11861">
      <c r="A11861" s="48" t="s">
        <v>15977</v>
      </c>
      <c r="B11861" s="38">
        <v>17153.0</v>
      </c>
      <c r="C11861" s="38" t="s">
        <v>15978</v>
      </c>
      <c r="D11861" s="38" t="str">
        <f>IFERROR(__xludf.DUMMYFUNCTION("REGEXREPLACE(C11861,""-\d+(.*)|--\d+(.*)"","""")"),"ESNANDES")</f>
        <v>ESNANDES</v>
      </c>
      <c r="E11861" s="38" t="s">
        <v>488</v>
      </c>
      <c r="F11861" s="38" t="s">
        <v>338</v>
      </c>
      <c r="G11861" s="49" t="str">
        <f t="shared" si="1"/>
        <v>17137</v>
      </c>
      <c r="H11861" s="49">
        <f t="shared" si="2"/>
        <v>17153</v>
      </c>
    </row>
    <row r="11862">
      <c r="A11862" s="48" t="s">
        <v>9801</v>
      </c>
      <c r="B11862" s="38">
        <v>2449.0</v>
      </c>
      <c r="C11862" s="38" t="s">
        <v>15979</v>
      </c>
      <c r="D11862" s="38" t="str">
        <f>IFERROR(__xludf.DUMMYFUNCTION("REGEXREPLACE(C11862,""-\d+(.*)|--\d+(.*)"","""")"),"MACOGNY")</f>
        <v>MACOGNY</v>
      </c>
      <c r="E11862" s="38" t="s">
        <v>191</v>
      </c>
      <c r="F11862" s="38" t="s">
        <v>113</v>
      </c>
      <c r="G11862" s="49" t="str">
        <f t="shared" si="1"/>
        <v>02470</v>
      </c>
      <c r="H11862" s="49" t="str">
        <f t="shared" si="2"/>
        <v>02449</v>
      </c>
    </row>
    <row r="11863">
      <c r="A11863" s="48" t="s">
        <v>1848</v>
      </c>
      <c r="B11863" s="38">
        <v>15103.0</v>
      </c>
      <c r="C11863" s="38" t="s">
        <v>15980</v>
      </c>
      <c r="D11863" s="38" t="str">
        <f>IFERROR(__xludf.DUMMYFUNCTION("REGEXREPLACE(C11863,""-\d+(.*)|--\d+(.*)"","""")"),"LEUCAMP")</f>
        <v>LEUCAMP</v>
      </c>
      <c r="E11863" s="38" t="s">
        <v>632</v>
      </c>
      <c r="F11863" s="38" t="s">
        <v>161</v>
      </c>
      <c r="G11863" s="49" t="str">
        <f t="shared" si="1"/>
        <v>15120</v>
      </c>
      <c r="H11863" s="49">
        <f t="shared" si="2"/>
        <v>15103</v>
      </c>
    </row>
    <row r="11864">
      <c r="A11864" s="48" t="s">
        <v>10778</v>
      </c>
      <c r="B11864" s="38">
        <v>21610.0</v>
      </c>
      <c r="C11864" s="38" t="s">
        <v>15981</v>
      </c>
      <c r="D11864" s="38" t="str">
        <f>IFERROR(__xludf.DUMMYFUNCTION("REGEXREPLACE(C11864,""-\d+(.*)|--\d+(.*)"","""")"),"SOISSONS-SUR-NACEY")</f>
        <v>SOISSONS-SUR-NACEY</v>
      </c>
      <c r="E11864" s="38" t="s">
        <v>105</v>
      </c>
      <c r="F11864" s="38" t="s">
        <v>106</v>
      </c>
      <c r="G11864" s="49" t="str">
        <f t="shared" si="1"/>
        <v>21270</v>
      </c>
      <c r="H11864" s="49">
        <f t="shared" si="2"/>
        <v>21610</v>
      </c>
    </row>
    <row r="11865">
      <c r="A11865" s="48" t="s">
        <v>734</v>
      </c>
      <c r="B11865" s="38">
        <v>54581.0</v>
      </c>
      <c r="C11865" s="38" t="s">
        <v>15982</v>
      </c>
      <c r="D11865" s="38" t="str">
        <f>IFERROR(__xludf.DUMMYFUNCTION("REGEXREPLACE(C11865,""-\d+(.*)|--\d+(.*)"","""")"),"VILLE-SUR-YRON")</f>
        <v>VILLE-SUR-YRON</v>
      </c>
      <c r="E11865" s="38" t="s">
        <v>548</v>
      </c>
      <c r="F11865" s="38" t="s">
        <v>195</v>
      </c>
      <c r="G11865" s="49" t="str">
        <f t="shared" si="1"/>
        <v>54800</v>
      </c>
      <c r="H11865" s="49">
        <f t="shared" si="2"/>
        <v>54581</v>
      </c>
    </row>
    <row r="11866">
      <c r="A11866" s="48" t="s">
        <v>1756</v>
      </c>
      <c r="B11866" s="38">
        <v>28406.0</v>
      </c>
      <c r="C11866" s="38" t="s">
        <v>15983</v>
      </c>
      <c r="D11866" s="38" t="str">
        <f>IFERROR(__xludf.DUMMYFUNCTION("REGEXREPLACE(C11866,""-\d+(.*)|--\d+(.*)"","""")"),"VIABON")</f>
        <v>VIABON</v>
      </c>
      <c r="E11866" s="38" t="s">
        <v>300</v>
      </c>
      <c r="F11866" s="38" t="s">
        <v>123</v>
      </c>
      <c r="G11866" s="49" t="str">
        <f t="shared" si="1"/>
        <v>28150</v>
      </c>
      <c r="H11866" s="49">
        <f t="shared" si="2"/>
        <v>28406</v>
      </c>
    </row>
    <row r="11867">
      <c r="A11867" s="48" t="s">
        <v>2379</v>
      </c>
      <c r="B11867" s="38">
        <v>65471.0</v>
      </c>
      <c r="C11867" s="38" t="s">
        <v>15984</v>
      </c>
      <c r="D11867" s="38" t="str">
        <f>IFERROR(__xludf.DUMMYFUNCTION("REGEXREPLACE(C11867,""-\d+(.*)|--\d+(.*)"","""")"),"VIGNEC")</f>
        <v>VIGNEC</v>
      </c>
      <c r="E11867" s="38" t="s">
        <v>200</v>
      </c>
      <c r="F11867" s="38" t="s">
        <v>94</v>
      </c>
      <c r="G11867" s="49" t="str">
        <f t="shared" si="1"/>
        <v>65170</v>
      </c>
      <c r="H11867" s="49">
        <f t="shared" si="2"/>
        <v>65471</v>
      </c>
    </row>
    <row r="11868">
      <c r="A11868" s="48" t="s">
        <v>2792</v>
      </c>
      <c r="B11868" s="38">
        <v>58114.0</v>
      </c>
      <c r="C11868" s="38" t="s">
        <v>15985</v>
      </c>
      <c r="D11868" s="38" t="str">
        <f>IFERROR(__xludf.DUMMYFUNCTION("REGEXREPLACE(C11868,""-\d+(.*)|--\d+(.*)"","""")"),"FLETY")</f>
        <v>FLETY</v>
      </c>
      <c r="E11868" s="38" t="s">
        <v>219</v>
      </c>
      <c r="F11868" s="38" t="s">
        <v>106</v>
      </c>
      <c r="G11868" s="49" t="str">
        <f t="shared" si="1"/>
        <v>58170</v>
      </c>
      <c r="H11868" s="49">
        <f t="shared" si="2"/>
        <v>58114</v>
      </c>
    </row>
    <row r="11869">
      <c r="A11869" s="48" t="s">
        <v>4328</v>
      </c>
      <c r="B11869" s="38">
        <v>70268.0</v>
      </c>
      <c r="C11869" s="38" t="s">
        <v>15986</v>
      </c>
      <c r="D11869" s="38" t="str">
        <f>IFERROR(__xludf.DUMMYFUNCTION("REGEXREPLACE(C11869,""-\d+(.*)|--\d+(.*)"","""")"),"GEZIER-ET-FONTENELAY")</f>
        <v>GEZIER-ET-FONTENELAY</v>
      </c>
      <c r="E11869" s="38" t="s">
        <v>956</v>
      </c>
      <c r="F11869" s="38" t="s">
        <v>214</v>
      </c>
      <c r="G11869" s="49" t="str">
        <f t="shared" si="1"/>
        <v>70700</v>
      </c>
      <c r="H11869" s="49">
        <f t="shared" si="2"/>
        <v>70268</v>
      </c>
    </row>
    <row r="11870">
      <c r="A11870" s="48" t="s">
        <v>15987</v>
      </c>
      <c r="B11870" s="38">
        <v>38407.0</v>
      </c>
      <c r="C11870" s="38" t="s">
        <v>15988</v>
      </c>
      <c r="D11870" s="38" t="str">
        <f>IFERROR(__xludf.DUMMYFUNCTION("REGEXREPLACE(C11870,""-\d+(.*)|--\d+(.*)"","""")"),"SAINT-JULIEN-DE-RAZ")</f>
        <v>SAINT-JULIEN-DE-RAZ</v>
      </c>
      <c r="E11870" s="38" t="s">
        <v>101</v>
      </c>
      <c r="F11870" s="38" t="s">
        <v>102</v>
      </c>
      <c r="G11870" s="49" t="str">
        <f t="shared" si="1"/>
        <v>38134</v>
      </c>
      <c r="H11870" s="49">
        <f t="shared" si="2"/>
        <v>38407</v>
      </c>
    </row>
    <row r="11871">
      <c r="A11871" s="48" t="s">
        <v>1928</v>
      </c>
      <c r="B11871" s="38">
        <v>1145.0</v>
      </c>
      <c r="C11871" s="38" t="s">
        <v>15989</v>
      </c>
      <c r="D11871" s="38" t="str">
        <f>IFERROR(__xludf.DUMMYFUNCTION("REGEXREPLACE(C11871,""-\d+(.*)|--\d+(.*)"","""")"),"DOMPIERRE-SUR-VEYLE")</f>
        <v>DOMPIERRE-SUR-VEYLE</v>
      </c>
      <c r="E11871" s="38" t="s">
        <v>255</v>
      </c>
      <c r="F11871" s="38" t="s">
        <v>102</v>
      </c>
      <c r="G11871" s="49" t="str">
        <f t="shared" si="1"/>
        <v>01240</v>
      </c>
      <c r="H11871" s="49" t="str">
        <f t="shared" si="2"/>
        <v>01145</v>
      </c>
    </row>
    <row r="11872">
      <c r="A11872" s="48" t="s">
        <v>10141</v>
      </c>
      <c r="B11872" s="38">
        <v>31230.0</v>
      </c>
      <c r="C11872" s="38" t="s">
        <v>15990</v>
      </c>
      <c r="D11872" s="38" t="str">
        <f>IFERROR(__xludf.DUMMYFUNCTION("REGEXREPLACE(C11872,""-\d+(.*)|--\d+(.*)"","""")"),"GRATENTOUR")</f>
        <v>GRATENTOUR</v>
      </c>
      <c r="E11872" s="38" t="s">
        <v>93</v>
      </c>
      <c r="F11872" s="38" t="s">
        <v>94</v>
      </c>
      <c r="G11872" s="49" t="str">
        <f t="shared" si="1"/>
        <v>31150</v>
      </c>
      <c r="H11872" s="49">
        <f t="shared" si="2"/>
        <v>31230</v>
      </c>
    </row>
    <row r="11873">
      <c r="A11873" s="48" t="s">
        <v>1124</v>
      </c>
      <c r="B11873" s="38">
        <v>61199.0</v>
      </c>
      <c r="C11873" s="38" t="s">
        <v>15991</v>
      </c>
      <c r="D11873" s="38" t="str">
        <f>IFERROR(__xludf.DUMMYFUNCTION("REGEXREPLACE(C11873,""-\d+(.*)|--\d+(.*)"","""")"),"HABLOVILLE")</f>
        <v>HABLOVILLE</v>
      </c>
      <c r="E11873" s="38" t="s">
        <v>141</v>
      </c>
      <c r="F11873" s="38" t="s">
        <v>138</v>
      </c>
      <c r="G11873" s="49" t="str">
        <f t="shared" si="1"/>
        <v>61210</v>
      </c>
      <c r="H11873" s="49">
        <f t="shared" si="2"/>
        <v>61199</v>
      </c>
    </row>
    <row r="11874">
      <c r="A11874" s="48" t="s">
        <v>1300</v>
      </c>
      <c r="B11874" s="38">
        <v>60137.0</v>
      </c>
      <c r="C11874" s="38" t="s">
        <v>15992</v>
      </c>
      <c r="D11874" s="38" t="str">
        <f>IFERROR(__xludf.DUMMYFUNCTION("REGEXREPLACE(C11874,""-\d+(.*)|--\d+(.*)"","""")"),"CERNOY")</f>
        <v>CERNOY</v>
      </c>
      <c r="E11874" s="38" t="s">
        <v>112</v>
      </c>
      <c r="F11874" s="38" t="s">
        <v>113</v>
      </c>
      <c r="G11874" s="49" t="str">
        <f t="shared" si="1"/>
        <v>60190</v>
      </c>
      <c r="H11874" s="49">
        <f t="shared" si="2"/>
        <v>60137</v>
      </c>
    </row>
    <row r="11875">
      <c r="A11875" s="48" t="s">
        <v>9844</v>
      </c>
      <c r="B11875" s="38">
        <v>17312.0</v>
      </c>
      <c r="C11875" s="38" t="s">
        <v>15993</v>
      </c>
      <c r="D11875" s="38" t="str">
        <f>IFERROR(__xludf.DUMMYFUNCTION("REGEXREPLACE(C11875,""-\d+(.*)|--\d+(.*)"","""")"),"SAINT-BONNET-SUR-GIRONDE")</f>
        <v>SAINT-BONNET-SUR-GIRONDE</v>
      </c>
      <c r="E11875" s="38" t="s">
        <v>488</v>
      </c>
      <c r="F11875" s="38" t="s">
        <v>338</v>
      </c>
      <c r="G11875" s="49" t="str">
        <f t="shared" si="1"/>
        <v>17150</v>
      </c>
      <c r="H11875" s="49">
        <f t="shared" si="2"/>
        <v>17312</v>
      </c>
    </row>
    <row r="11876">
      <c r="A11876" s="48" t="s">
        <v>4992</v>
      </c>
      <c r="B11876" s="38">
        <v>80308.0</v>
      </c>
      <c r="C11876" s="38" t="s">
        <v>15994</v>
      </c>
      <c r="D11876" s="38" t="str">
        <f>IFERROR(__xludf.DUMMYFUNCTION("REGEXREPLACE(C11876,""-\d+(.*)|--\d+(.*)"","""")"),"FEUQUIERES-EN-VIMEU")</f>
        <v>FEUQUIERES-EN-VIMEU</v>
      </c>
      <c r="E11876" s="38" t="s">
        <v>224</v>
      </c>
      <c r="F11876" s="38" t="s">
        <v>113</v>
      </c>
      <c r="G11876" s="49" t="str">
        <f t="shared" si="1"/>
        <v>80210</v>
      </c>
      <c r="H11876" s="49">
        <f t="shared" si="2"/>
        <v>80308</v>
      </c>
    </row>
    <row r="11877">
      <c r="A11877" s="48" t="s">
        <v>9844</v>
      </c>
      <c r="B11877" s="38">
        <v>17405.0</v>
      </c>
      <c r="C11877" s="38" t="s">
        <v>15995</v>
      </c>
      <c r="D11877" s="38" t="str">
        <f>IFERROR(__xludf.DUMMYFUNCTION("REGEXREPLACE(C11877,""-\d+(.*)|--\d+(.*)"","""")"),"SAINT-SORLIN-DE-CONAC")</f>
        <v>SAINT-SORLIN-DE-CONAC</v>
      </c>
      <c r="E11877" s="38" t="s">
        <v>488</v>
      </c>
      <c r="F11877" s="38" t="s">
        <v>338</v>
      </c>
      <c r="G11877" s="49" t="str">
        <f t="shared" si="1"/>
        <v>17150</v>
      </c>
      <c r="H11877" s="49">
        <f t="shared" si="2"/>
        <v>17405</v>
      </c>
    </row>
    <row r="11878">
      <c r="A11878" s="48" t="s">
        <v>3297</v>
      </c>
      <c r="B11878" s="38">
        <v>41146.0</v>
      </c>
      <c r="C11878" s="38" t="s">
        <v>15996</v>
      </c>
      <c r="D11878" s="38" t="str">
        <f>IFERROR(__xludf.DUMMYFUNCTION("REGEXREPLACE(C11878,""-\d+(.*)|--\d+(.*)"","""")"),"MONTHOU-SUR-CHER")</f>
        <v>MONTHOU-SUR-CHER</v>
      </c>
      <c r="E11878" s="38" t="s">
        <v>188</v>
      </c>
      <c r="F11878" s="38" t="s">
        <v>123</v>
      </c>
      <c r="G11878" s="49" t="str">
        <f t="shared" si="1"/>
        <v>41400</v>
      </c>
      <c r="H11878" s="49">
        <f t="shared" si="2"/>
        <v>41146</v>
      </c>
    </row>
    <row r="11879">
      <c r="A11879" s="48" t="s">
        <v>2090</v>
      </c>
      <c r="B11879" s="38">
        <v>67397.0</v>
      </c>
      <c r="C11879" s="38" t="s">
        <v>15997</v>
      </c>
      <c r="D11879" s="38" t="str">
        <f>IFERROR(__xludf.DUMMYFUNCTION("REGEXREPLACE(C11879,""-\d+(.*)|--\d+(.*)"","""")"),"RHINAU")</f>
        <v>RHINAU</v>
      </c>
      <c r="E11879" s="38" t="s">
        <v>210</v>
      </c>
      <c r="F11879" s="38" t="s">
        <v>151</v>
      </c>
      <c r="G11879" s="49" t="str">
        <f t="shared" si="1"/>
        <v>67860</v>
      </c>
      <c r="H11879" s="49">
        <f t="shared" si="2"/>
        <v>67397</v>
      </c>
    </row>
    <row r="11880">
      <c r="A11880" s="48" t="s">
        <v>14723</v>
      </c>
      <c r="B11880" s="38">
        <v>67204.0</v>
      </c>
      <c r="C11880" s="38" t="s">
        <v>15998</v>
      </c>
      <c r="D11880" s="38" t="str">
        <f>IFERROR(__xludf.DUMMYFUNCTION("REGEXREPLACE(C11880,""-\d+(.*)|--\d+(.*)"","""")"),"HOENHEIM")</f>
        <v>HOENHEIM</v>
      </c>
      <c r="E11880" s="38" t="s">
        <v>210</v>
      </c>
      <c r="F11880" s="38" t="s">
        <v>151</v>
      </c>
      <c r="G11880" s="49" t="str">
        <f t="shared" si="1"/>
        <v>67800</v>
      </c>
      <c r="H11880" s="49">
        <f t="shared" si="2"/>
        <v>67204</v>
      </c>
    </row>
    <row r="11881">
      <c r="A11881" s="48" t="s">
        <v>2219</v>
      </c>
      <c r="B11881" s="38">
        <v>2559.0</v>
      </c>
      <c r="C11881" s="38" t="s">
        <v>15999</v>
      </c>
      <c r="D11881" s="38" t="str">
        <f>IFERROR(__xludf.DUMMYFUNCTION("REGEXREPLACE(C11881,""-\d+(.*)|--\d+(.*)"","""")"),"NOUVION-ET-CATILLON")</f>
        <v>NOUVION-ET-CATILLON</v>
      </c>
      <c r="E11881" s="38" t="s">
        <v>191</v>
      </c>
      <c r="F11881" s="38" t="s">
        <v>113</v>
      </c>
      <c r="G11881" s="49" t="str">
        <f t="shared" si="1"/>
        <v>02270</v>
      </c>
      <c r="H11881" s="49" t="str">
        <f t="shared" si="2"/>
        <v>02559</v>
      </c>
    </row>
    <row r="11882">
      <c r="A11882" s="48" t="s">
        <v>16000</v>
      </c>
      <c r="B11882" s="38">
        <v>78152.0</v>
      </c>
      <c r="C11882" s="38" t="s">
        <v>16001</v>
      </c>
      <c r="D11882" s="38" t="str">
        <f>IFERROR(__xludf.DUMMYFUNCTION("REGEXREPLACE(C11882,""-\d+(.*)|--\d+(.*)"","""")"),"CHAVENAY")</f>
        <v>CHAVENAY</v>
      </c>
      <c r="E11882" s="38" t="s">
        <v>362</v>
      </c>
      <c r="F11882" s="38" t="s">
        <v>245</v>
      </c>
      <c r="G11882" s="49" t="str">
        <f t="shared" si="1"/>
        <v>78450</v>
      </c>
      <c r="H11882" s="49">
        <f t="shared" si="2"/>
        <v>78152</v>
      </c>
    </row>
    <row r="11883">
      <c r="A11883" s="48" t="s">
        <v>6025</v>
      </c>
      <c r="B11883" s="38">
        <v>31372.0</v>
      </c>
      <c r="C11883" s="38" t="s">
        <v>16002</v>
      </c>
      <c r="D11883" s="38" t="str">
        <f>IFERROR(__xludf.DUMMYFUNCTION("REGEXREPLACE(C11883,""-\d+(.*)|--\d+(.*)"","""")"),"MONTESPAN")</f>
        <v>MONTESPAN</v>
      </c>
      <c r="E11883" s="38" t="s">
        <v>93</v>
      </c>
      <c r="F11883" s="38" t="s">
        <v>94</v>
      </c>
      <c r="G11883" s="49" t="str">
        <f t="shared" si="1"/>
        <v>31260</v>
      </c>
      <c r="H11883" s="49">
        <f t="shared" si="2"/>
        <v>31372</v>
      </c>
    </row>
    <row r="11884">
      <c r="A11884" s="48" t="s">
        <v>10148</v>
      </c>
      <c r="B11884" s="38">
        <v>59618.0</v>
      </c>
      <c r="C11884" s="38" t="s">
        <v>16003</v>
      </c>
      <c r="D11884" s="38" t="str">
        <f>IFERROR(__xludf.DUMMYFUNCTION("REGEXREPLACE(C11884,""-\d+(.*)|--\d+(.*)"","""")"),"VIEUX-RENG")</f>
        <v>VIEUX-RENG</v>
      </c>
      <c r="E11884" s="38" t="s">
        <v>85</v>
      </c>
      <c r="F11884" s="38" t="s">
        <v>86</v>
      </c>
      <c r="G11884" s="49" t="str">
        <f t="shared" si="1"/>
        <v>59600</v>
      </c>
      <c r="H11884" s="49">
        <f t="shared" si="2"/>
        <v>59618</v>
      </c>
    </row>
    <row r="11885">
      <c r="A11885" s="48" t="s">
        <v>874</v>
      </c>
      <c r="B11885" s="38" t="s">
        <v>16004</v>
      </c>
      <c r="C11885" s="38" t="s">
        <v>16005</v>
      </c>
      <c r="D11885" s="38" t="str">
        <f>IFERROR(__xludf.DUMMYFUNCTION("REGEXREPLACE(C11885,""-\d+(.*)|--\d+(.*)"","""")"),"STAZZONA")</f>
        <v>STAZZONA</v>
      </c>
      <c r="E11885" s="38" t="s">
        <v>743</v>
      </c>
      <c r="F11885" s="38" t="s">
        <v>607</v>
      </c>
      <c r="G11885" s="49" t="str">
        <f t="shared" si="1"/>
        <v>20229</v>
      </c>
      <c r="H11885" s="49" t="str">
        <f t="shared" si="2"/>
        <v>2B291</v>
      </c>
    </row>
    <row r="11886">
      <c r="A11886" s="48" t="s">
        <v>1147</v>
      </c>
      <c r="B11886" s="38">
        <v>37057.0</v>
      </c>
      <c r="C11886" s="38" t="s">
        <v>16006</v>
      </c>
      <c r="D11886" s="38" t="str">
        <f>IFERROR(__xludf.DUMMYFUNCTION("REGEXREPLACE(C11886,""-\d+(.*)|--\d+(.*)"","""")"),"LA CHAPELLE-BLANCHE-SAINT-MARTIN")</f>
        <v>LA CHAPELLE-BLANCHE-SAINT-MARTIN</v>
      </c>
      <c r="E11886" s="38" t="s">
        <v>205</v>
      </c>
      <c r="F11886" s="38" t="s">
        <v>123</v>
      </c>
      <c r="G11886" s="49" t="str">
        <f t="shared" si="1"/>
        <v>37240</v>
      </c>
      <c r="H11886" s="49">
        <f t="shared" si="2"/>
        <v>37057</v>
      </c>
    </row>
    <row r="11887">
      <c r="A11887" s="48" t="s">
        <v>3729</v>
      </c>
      <c r="B11887" s="38">
        <v>32207.0</v>
      </c>
      <c r="C11887" s="38" t="s">
        <v>16007</v>
      </c>
      <c r="D11887" s="38" t="str">
        <f>IFERROR(__xludf.DUMMYFUNCTION("REGEXREPLACE(C11887,""-\d+(.*)|--\d+(.*)"","""")"),"LEBOULIN")</f>
        <v>LEBOULIN</v>
      </c>
      <c r="E11887" s="38" t="s">
        <v>440</v>
      </c>
      <c r="F11887" s="38" t="s">
        <v>94</v>
      </c>
      <c r="G11887" s="49" t="str">
        <f t="shared" si="1"/>
        <v>32810</v>
      </c>
      <c r="H11887" s="49">
        <f t="shared" si="2"/>
        <v>32207</v>
      </c>
    </row>
    <row r="11888">
      <c r="A11888" s="48" t="s">
        <v>6651</v>
      </c>
      <c r="B11888" s="38">
        <v>31105.0</v>
      </c>
      <c r="C11888" s="38" t="s">
        <v>16008</v>
      </c>
      <c r="D11888" s="38" t="str">
        <f>IFERROR(__xludf.DUMMYFUNCTION("REGEXREPLACE(C11888,""-\d+(.*)|--\d+(.*)"","""")"),"CARAGOUDES")</f>
        <v>CARAGOUDES</v>
      </c>
      <c r="E11888" s="38" t="s">
        <v>93</v>
      </c>
      <c r="F11888" s="38" t="s">
        <v>94</v>
      </c>
      <c r="G11888" s="49" t="str">
        <f t="shared" si="1"/>
        <v>31460</v>
      </c>
      <c r="H11888" s="49">
        <f t="shared" si="2"/>
        <v>31105</v>
      </c>
    </row>
    <row r="11889">
      <c r="A11889" s="48" t="s">
        <v>9940</v>
      </c>
      <c r="B11889" s="38">
        <v>62148.0</v>
      </c>
      <c r="C11889" s="38" t="s">
        <v>16009</v>
      </c>
      <c r="D11889" s="38" t="str">
        <f>IFERROR(__xludf.DUMMYFUNCTION("REGEXREPLACE(C11889,""-\d+(.*)|--\d+(.*)"","""")"),"BOIS-BERNARD")</f>
        <v>BOIS-BERNARD</v>
      </c>
      <c r="E11889" s="38" t="s">
        <v>109</v>
      </c>
      <c r="F11889" s="38" t="s">
        <v>86</v>
      </c>
      <c r="G11889" s="49" t="str">
        <f t="shared" si="1"/>
        <v>62320</v>
      </c>
      <c r="H11889" s="49">
        <f t="shared" si="2"/>
        <v>62148</v>
      </c>
    </row>
    <row r="11890">
      <c r="A11890" s="48" t="s">
        <v>16010</v>
      </c>
      <c r="B11890" s="38">
        <v>71448.0</v>
      </c>
      <c r="C11890" s="38" t="s">
        <v>16011</v>
      </c>
      <c r="D11890" s="38" t="str">
        <f>IFERROR(__xludf.DUMMYFUNCTION("REGEXREPLACE(C11890,""-\d+(.*)|--\d+(.*)"","""")"),"SAINT-MARTIN-BELLE-ROCHE")</f>
        <v>SAINT-MARTIN-BELLE-ROCHE</v>
      </c>
      <c r="E11890" s="38" t="s">
        <v>344</v>
      </c>
      <c r="F11890" s="38" t="s">
        <v>106</v>
      </c>
      <c r="G11890" s="49" t="str">
        <f t="shared" si="1"/>
        <v>71118</v>
      </c>
      <c r="H11890" s="49">
        <f t="shared" si="2"/>
        <v>71448</v>
      </c>
    </row>
    <row r="11891">
      <c r="A11891" s="48" t="s">
        <v>16012</v>
      </c>
      <c r="B11891" s="38">
        <v>89053.0</v>
      </c>
      <c r="C11891" s="38" t="s">
        <v>16013</v>
      </c>
      <c r="D11891" s="38" t="str">
        <f>IFERROR(__xludf.DUMMYFUNCTION("REGEXREPLACE(C11891,""-\d+(.*)|--\d+(.*)"","""")"),"BRANCHES")</f>
        <v>BRANCHES</v>
      </c>
      <c r="E11891" s="38" t="s">
        <v>275</v>
      </c>
      <c r="F11891" s="38" t="s">
        <v>106</v>
      </c>
      <c r="G11891" s="49" t="str">
        <f t="shared" si="1"/>
        <v>89113</v>
      </c>
      <c r="H11891" s="49">
        <f t="shared" si="2"/>
        <v>89053</v>
      </c>
    </row>
    <row r="11892">
      <c r="A11892" s="48" t="s">
        <v>16014</v>
      </c>
      <c r="B11892" s="38">
        <v>33509.0</v>
      </c>
      <c r="C11892" s="38" t="s">
        <v>16015</v>
      </c>
      <c r="D11892" s="38" t="str">
        <f>IFERROR(__xludf.DUMMYFUNCTION("REGEXREPLACE(C11892,""-\d+(.*)|--\d+(.*)"","""")"),"SAVIGNAC-DE-L'ISLE")</f>
        <v>SAVIGNAC-DE-L'ISLE</v>
      </c>
      <c r="E11892" s="38" t="s">
        <v>462</v>
      </c>
      <c r="F11892" s="38" t="s">
        <v>252</v>
      </c>
      <c r="G11892" s="49" t="str">
        <f t="shared" si="1"/>
        <v>33910</v>
      </c>
      <c r="H11892" s="49">
        <f t="shared" si="2"/>
        <v>33509</v>
      </c>
    </row>
    <row r="11893">
      <c r="A11893" s="48" t="s">
        <v>16016</v>
      </c>
      <c r="B11893" s="38">
        <v>21332.0</v>
      </c>
      <c r="C11893" s="38" t="s">
        <v>16017</v>
      </c>
      <c r="D11893" s="38" t="str">
        <f>IFERROR(__xludf.DUMMYFUNCTION("REGEXREPLACE(C11893,""-\d+(.*)|--\d+(.*)"","""")"),"LABERGEMENT-LES-SEURRE")</f>
        <v>LABERGEMENT-LES-SEURRE</v>
      </c>
      <c r="E11893" s="38" t="s">
        <v>105</v>
      </c>
      <c r="F11893" s="38" t="s">
        <v>106</v>
      </c>
      <c r="G11893" s="49" t="str">
        <f t="shared" si="1"/>
        <v>21820</v>
      </c>
      <c r="H11893" s="49">
        <f t="shared" si="2"/>
        <v>21332</v>
      </c>
    </row>
    <row r="11894">
      <c r="A11894" s="48" t="s">
        <v>16018</v>
      </c>
      <c r="B11894" s="38">
        <v>62133.0</v>
      </c>
      <c r="C11894" s="38" t="s">
        <v>16019</v>
      </c>
      <c r="D11894" s="38" t="str">
        <f>IFERROR(__xludf.DUMMYFUNCTION("REGEXREPLACE(C11894,""-\d+(.*)|--\d+(.*)"","""")"),"BILLY-MONTIGNY")</f>
        <v>BILLY-MONTIGNY</v>
      </c>
      <c r="E11894" s="38" t="s">
        <v>109</v>
      </c>
      <c r="F11894" s="38" t="s">
        <v>86</v>
      </c>
      <c r="G11894" s="49" t="str">
        <f t="shared" si="1"/>
        <v>62420</v>
      </c>
      <c r="H11894" s="49">
        <f t="shared" si="2"/>
        <v>62133</v>
      </c>
    </row>
    <row r="11895">
      <c r="A11895" s="48" t="s">
        <v>1428</v>
      </c>
      <c r="B11895" s="38">
        <v>31528.0</v>
      </c>
      <c r="C11895" s="38" t="s">
        <v>16020</v>
      </c>
      <c r="D11895" s="38" t="str">
        <f>IFERROR(__xludf.DUMMYFUNCTION("REGEXREPLACE(C11895,""-\d+(.*)|--\d+(.*)"","""")"),"SAMAN")</f>
        <v>SAMAN</v>
      </c>
      <c r="E11895" s="38" t="s">
        <v>93</v>
      </c>
      <c r="F11895" s="38" t="s">
        <v>94</v>
      </c>
      <c r="G11895" s="49" t="str">
        <f t="shared" si="1"/>
        <v>31350</v>
      </c>
      <c r="H11895" s="49">
        <f t="shared" si="2"/>
        <v>31528</v>
      </c>
    </row>
    <row r="11896">
      <c r="A11896" s="48" t="s">
        <v>2803</v>
      </c>
      <c r="B11896" s="38">
        <v>80472.0</v>
      </c>
      <c r="C11896" s="38" t="s">
        <v>16021</v>
      </c>
      <c r="D11896" s="38" t="str">
        <f>IFERROR(__xludf.DUMMYFUNCTION("REGEXREPLACE(C11896,""-\d+(.*)|--\d+(.*)"","""")"),"LESBOEUFS")</f>
        <v>LESBOEUFS</v>
      </c>
      <c r="E11896" s="38" t="s">
        <v>224</v>
      </c>
      <c r="F11896" s="38" t="s">
        <v>113</v>
      </c>
      <c r="G11896" s="49" t="str">
        <f t="shared" si="1"/>
        <v>80360</v>
      </c>
      <c r="H11896" s="49">
        <f t="shared" si="2"/>
        <v>80472</v>
      </c>
    </row>
    <row r="11897">
      <c r="A11897" s="48" t="s">
        <v>2659</v>
      </c>
      <c r="B11897" s="38">
        <v>80066.0</v>
      </c>
      <c r="C11897" s="38" t="s">
        <v>16022</v>
      </c>
      <c r="D11897" s="38" t="str">
        <f>IFERROR(__xludf.DUMMYFUNCTION("REGEXREPLACE(C11897,""-\d+(.*)|--\d+(.*)"","""")"),"BEAUCOURT-SUR-L'HALLUE")</f>
        <v>BEAUCOURT-SUR-L'HALLUE</v>
      </c>
      <c r="E11897" s="38" t="s">
        <v>224</v>
      </c>
      <c r="F11897" s="38" t="s">
        <v>113</v>
      </c>
      <c r="G11897" s="49" t="str">
        <f t="shared" si="1"/>
        <v>80260</v>
      </c>
      <c r="H11897" s="49">
        <f t="shared" si="2"/>
        <v>80066</v>
      </c>
    </row>
    <row r="11898">
      <c r="A11898" s="48" t="s">
        <v>9433</v>
      </c>
      <c r="B11898" s="38">
        <v>40101.0</v>
      </c>
      <c r="C11898" s="38" t="s">
        <v>16023</v>
      </c>
      <c r="D11898" s="38" t="str">
        <f>IFERROR(__xludf.DUMMYFUNCTION("REGEXREPLACE(C11898,""-\d+(.*)|--\d+(.*)"","""")"),"GAAS")</f>
        <v>GAAS</v>
      </c>
      <c r="E11898" s="38" t="s">
        <v>281</v>
      </c>
      <c r="F11898" s="38" t="s">
        <v>252</v>
      </c>
      <c r="G11898" s="49" t="str">
        <f t="shared" si="1"/>
        <v>40350</v>
      </c>
      <c r="H11898" s="49">
        <f t="shared" si="2"/>
        <v>40101</v>
      </c>
    </row>
    <row r="11899">
      <c r="A11899" s="48" t="s">
        <v>8235</v>
      </c>
      <c r="B11899" s="38">
        <v>48173.0</v>
      </c>
      <c r="C11899" s="38" t="s">
        <v>16024</v>
      </c>
      <c r="D11899" s="38" t="str">
        <f>IFERROR(__xludf.DUMMYFUNCTION("REGEXREPLACE(C11899,""-\d+(.*)|--\d+(.*)"","""")"),"SAINT-MICHEL-DE-DEZE")</f>
        <v>SAINT-MICHEL-DE-DEZE</v>
      </c>
      <c r="E11899" s="38" t="s">
        <v>154</v>
      </c>
      <c r="F11899" s="38" t="s">
        <v>119</v>
      </c>
      <c r="G11899" s="49" t="str">
        <f t="shared" si="1"/>
        <v>48160</v>
      </c>
      <c r="H11899" s="49">
        <f t="shared" si="2"/>
        <v>48173</v>
      </c>
    </row>
    <row r="11900">
      <c r="A11900" s="48" t="s">
        <v>732</v>
      </c>
      <c r="B11900" s="38">
        <v>10082.0</v>
      </c>
      <c r="C11900" s="38" t="s">
        <v>16025</v>
      </c>
      <c r="D11900" s="38" t="str">
        <f>IFERROR(__xludf.DUMMYFUNCTION("REGEXREPLACE(C11900,""-\d+(.*)|--\d+(.*)"","""")"),"CHAPELLE-VALLON")</f>
        <v>CHAPELLE-VALLON</v>
      </c>
      <c r="E11900" s="38" t="s">
        <v>147</v>
      </c>
      <c r="F11900" s="38" t="s">
        <v>130</v>
      </c>
      <c r="G11900" s="49" t="str">
        <f t="shared" si="1"/>
        <v>10700</v>
      </c>
      <c r="H11900" s="49">
        <f t="shared" si="2"/>
        <v>10082</v>
      </c>
    </row>
    <row r="11901">
      <c r="A11901" s="48" t="s">
        <v>734</v>
      </c>
      <c r="B11901" s="38">
        <v>54277.0</v>
      </c>
      <c r="C11901" s="38" t="s">
        <v>16026</v>
      </c>
      <c r="D11901" s="38" t="str">
        <f>IFERROR(__xludf.DUMMYFUNCTION("REGEXREPLACE(C11901,""-\d+(.*)|--\d+(.*)"","""")"),"JEANDELIZE")</f>
        <v>JEANDELIZE</v>
      </c>
      <c r="E11901" s="38" t="s">
        <v>548</v>
      </c>
      <c r="F11901" s="38" t="s">
        <v>195</v>
      </c>
      <c r="G11901" s="49" t="str">
        <f t="shared" si="1"/>
        <v>54800</v>
      </c>
      <c r="H11901" s="49">
        <f t="shared" si="2"/>
        <v>54277</v>
      </c>
    </row>
    <row r="11902">
      <c r="A11902" s="48" t="s">
        <v>2681</v>
      </c>
      <c r="B11902" s="38">
        <v>67442.0</v>
      </c>
      <c r="C11902" s="38" t="s">
        <v>16027</v>
      </c>
      <c r="D11902" s="38" t="str">
        <f>IFERROR(__xludf.DUMMYFUNCTION("REGEXREPLACE(C11902,""-\d+(.*)|--\d+(.*)"","""")"),"SCHARRACHBERGHEIM-IRMSTETT")</f>
        <v>SCHARRACHBERGHEIM-IRMSTETT</v>
      </c>
      <c r="E11902" s="38" t="s">
        <v>210</v>
      </c>
      <c r="F11902" s="38" t="s">
        <v>151</v>
      </c>
      <c r="G11902" s="49" t="str">
        <f t="shared" si="1"/>
        <v>67310</v>
      </c>
      <c r="H11902" s="49">
        <f t="shared" si="2"/>
        <v>67442</v>
      </c>
    </row>
    <row r="11903">
      <c r="A11903" s="48" t="s">
        <v>1132</v>
      </c>
      <c r="B11903" s="38">
        <v>2195.0</v>
      </c>
      <c r="C11903" s="38" t="s">
        <v>16028</v>
      </c>
      <c r="D11903" s="38" t="str">
        <f>IFERROR(__xludf.DUMMYFUNCTION("REGEXREPLACE(C11903,""-\d+(.*)|--\d+(.*)"","""")"),"CIRY-SALSOGNE")</f>
        <v>CIRY-SALSOGNE</v>
      </c>
      <c r="E11903" s="38" t="s">
        <v>191</v>
      </c>
      <c r="F11903" s="38" t="s">
        <v>113</v>
      </c>
      <c r="G11903" s="49" t="str">
        <f t="shared" si="1"/>
        <v>02220</v>
      </c>
      <c r="H11903" s="49" t="str">
        <f t="shared" si="2"/>
        <v>02195</v>
      </c>
    </row>
    <row r="11904">
      <c r="A11904" s="48" t="s">
        <v>8892</v>
      </c>
      <c r="B11904" s="38">
        <v>60454.0</v>
      </c>
      <c r="C11904" s="38" t="s">
        <v>16029</v>
      </c>
      <c r="D11904" s="38" t="str">
        <f>IFERROR(__xludf.DUMMYFUNCTION("REGEXREPLACE(C11904,""-\d+(.*)|--\d+(.*)"","""")"),"LA NEUVILLE-EN-HEZ")</f>
        <v>LA NEUVILLE-EN-HEZ</v>
      </c>
      <c r="E11904" s="38" t="s">
        <v>112</v>
      </c>
      <c r="F11904" s="38" t="s">
        <v>113</v>
      </c>
      <c r="G11904" s="49" t="str">
        <f t="shared" si="1"/>
        <v>60510</v>
      </c>
      <c r="H11904" s="49">
        <f t="shared" si="2"/>
        <v>60454</v>
      </c>
    </row>
    <row r="11905">
      <c r="A11905" s="48" t="s">
        <v>1911</v>
      </c>
      <c r="B11905" s="38">
        <v>85016.0</v>
      </c>
      <c r="C11905" s="38" t="s">
        <v>16030</v>
      </c>
      <c r="D11905" s="38" t="str">
        <f>IFERROR(__xludf.DUMMYFUNCTION("REGEXREPLACE(C11905,""-\d+(.*)|--\d+(.*)"","""")"),"BEAULIEU-SOUS-LA-ROCHE")</f>
        <v>BEAULIEU-SOUS-LA-ROCHE</v>
      </c>
      <c r="E11905" s="38" t="s">
        <v>179</v>
      </c>
      <c r="F11905" s="38" t="s">
        <v>180</v>
      </c>
      <c r="G11905" s="49" t="str">
        <f t="shared" si="1"/>
        <v>85190</v>
      </c>
      <c r="H11905" s="49">
        <f t="shared" si="2"/>
        <v>85016</v>
      </c>
    </row>
    <row r="11906">
      <c r="A11906" s="48" t="s">
        <v>16031</v>
      </c>
      <c r="B11906" s="38">
        <v>1313.0</v>
      </c>
      <c r="C11906" s="38" t="s">
        <v>16032</v>
      </c>
      <c r="D11906" s="38" t="str">
        <f>IFERROR(__xludf.DUMMYFUNCTION("REGEXREPLACE(C11906,""-\d+(.*)|--\d+(.*)"","""")"),"PREVESSIN-MOENS")</f>
        <v>PREVESSIN-MOENS</v>
      </c>
      <c r="E11906" s="38" t="s">
        <v>255</v>
      </c>
      <c r="F11906" s="38" t="s">
        <v>102</v>
      </c>
      <c r="G11906" s="49" t="str">
        <f t="shared" si="1"/>
        <v>01280</v>
      </c>
      <c r="H11906" s="49" t="str">
        <f t="shared" si="2"/>
        <v>01313</v>
      </c>
    </row>
    <row r="11907">
      <c r="A11907" s="48" t="s">
        <v>1418</v>
      </c>
      <c r="B11907" s="38">
        <v>36107.0</v>
      </c>
      <c r="C11907" s="38" t="s">
        <v>16033</v>
      </c>
      <c r="D11907" s="38" t="str">
        <f>IFERROR(__xludf.DUMMYFUNCTION("REGEXREPLACE(C11907,""-\d+(.*)|--\d+(.*)"","""")"),"LYE")</f>
        <v>LYE</v>
      </c>
      <c r="E11907" s="38" t="s">
        <v>258</v>
      </c>
      <c r="F11907" s="38" t="s">
        <v>123</v>
      </c>
      <c r="G11907" s="49" t="str">
        <f t="shared" si="1"/>
        <v>36600</v>
      </c>
      <c r="H11907" s="49">
        <f t="shared" si="2"/>
        <v>36107</v>
      </c>
    </row>
    <row r="11908">
      <c r="A11908" s="48" t="s">
        <v>2554</v>
      </c>
      <c r="B11908" s="38">
        <v>95483.0</v>
      </c>
      <c r="C11908" s="38" t="s">
        <v>16034</v>
      </c>
      <c r="D11908" s="38" t="str">
        <f>IFERROR(__xludf.DUMMYFUNCTION("REGEXREPLACE(C11908,""-\d+(.*)|--\d+(.*)"","""")"),"LE PERCHAY")</f>
        <v>LE PERCHAY</v>
      </c>
      <c r="E11908" s="38" t="s">
        <v>541</v>
      </c>
      <c r="F11908" s="38" t="s">
        <v>245</v>
      </c>
      <c r="G11908" s="49" t="str">
        <f t="shared" si="1"/>
        <v>95450</v>
      </c>
      <c r="H11908" s="49">
        <f t="shared" si="2"/>
        <v>95483</v>
      </c>
    </row>
    <row r="11909">
      <c r="A11909" s="48" t="s">
        <v>3696</v>
      </c>
      <c r="B11909" s="38">
        <v>78034.0</v>
      </c>
      <c r="C11909" s="38" t="s">
        <v>16035</v>
      </c>
      <c r="D11909" s="38" t="str">
        <f>IFERROR(__xludf.DUMMYFUNCTION("REGEXREPLACE(C11909,""-\d+(.*)|--\d+(.*)"","""")"),"AUTEUIL")</f>
        <v>AUTEUIL</v>
      </c>
      <c r="E11909" s="38" t="s">
        <v>362</v>
      </c>
      <c r="F11909" s="38" t="s">
        <v>245</v>
      </c>
      <c r="G11909" s="49" t="str">
        <f t="shared" si="1"/>
        <v>78770</v>
      </c>
      <c r="H11909" s="49">
        <f t="shared" si="2"/>
        <v>78034</v>
      </c>
    </row>
    <row r="11910">
      <c r="A11910" s="48" t="s">
        <v>1766</v>
      </c>
      <c r="B11910" s="38">
        <v>2406.0</v>
      </c>
      <c r="C11910" s="38" t="s">
        <v>4904</v>
      </c>
      <c r="D11910" s="38" t="str">
        <f>IFERROR(__xludf.DUMMYFUNCTION("REGEXREPLACE(C11910,""-\d+(.*)|--\d+(.*)"","""")"),"LANDRICOURT")</f>
        <v>LANDRICOURT</v>
      </c>
      <c r="E11910" s="38" t="s">
        <v>191</v>
      </c>
      <c r="F11910" s="38" t="s">
        <v>113</v>
      </c>
      <c r="G11910" s="49" t="str">
        <f t="shared" si="1"/>
        <v>02380</v>
      </c>
      <c r="H11910" s="49" t="str">
        <f t="shared" si="2"/>
        <v>02406</v>
      </c>
    </row>
    <row r="11911">
      <c r="A11911" s="48" t="s">
        <v>2558</v>
      </c>
      <c r="B11911" s="38">
        <v>16057.0</v>
      </c>
      <c r="C11911" s="38" t="s">
        <v>16036</v>
      </c>
      <c r="D11911" s="38" t="str">
        <f>IFERROR(__xludf.DUMMYFUNCTION("REGEXREPLACE(C11911,""-\d+(.*)|--\d+(.*)"","""")"),"BOUTEVILLE")</f>
        <v>BOUTEVILLE</v>
      </c>
      <c r="E11911" s="38" t="s">
        <v>429</v>
      </c>
      <c r="F11911" s="38" t="s">
        <v>338</v>
      </c>
      <c r="G11911" s="49" t="str">
        <f t="shared" si="1"/>
        <v>16120</v>
      </c>
      <c r="H11911" s="49">
        <f t="shared" si="2"/>
        <v>16057</v>
      </c>
    </row>
    <row r="11912">
      <c r="A11912" s="48" t="s">
        <v>5958</v>
      </c>
      <c r="B11912" s="38">
        <v>68305.0</v>
      </c>
      <c r="C11912" s="38" t="s">
        <v>16037</v>
      </c>
      <c r="D11912" s="38" t="str">
        <f>IFERROR(__xludf.DUMMYFUNCTION("REGEXREPLACE(C11912,""-\d+(.*)|--\d+(.*)"","""")"),"SEPPOIS-LE-BAS")</f>
        <v>SEPPOIS-LE-BAS</v>
      </c>
      <c r="E11912" s="38" t="s">
        <v>150</v>
      </c>
      <c r="F11912" s="38" t="s">
        <v>151</v>
      </c>
      <c r="G11912" s="49" t="str">
        <f t="shared" si="1"/>
        <v>68580</v>
      </c>
      <c r="H11912" s="49">
        <f t="shared" si="2"/>
        <v>68305</v>
      </c>
    </row>
    <row r="11913">
      <c r="A11913" s="48" t="s">
        <v>10177</v>
      </c>
      <c r="B11913" s="38">
        <v>80030.0</v>
      </c>
      <c r="C11913" s="38" t="s">
        <v>16038</v>
      </c>
      <c r="D11913" s="38" t="str">
        <f>IFERROR(__xludf.DUMMYFUNCTION("REGEXREPLACE(C11913,""-\d+(.*)|--\d+(.*)"","""")"),"ARRY")</f>
        <v>ARRY</v>
      </c>
      <c r="E11913" s="38" t="s">
        <v>224</v>
      </c>
      <c r="F11913" s="38" t="s">
        <v>113</v>
      </c>
      <c r="G11913" s="49" t="str">
        <f t="shared" si="1"/>
        <v>80120</v>
      </c>
      <c r="H11913" s="49">
        <f t="shared" si="2"/>
        <v>80030</v>
      </c>
    </row>
    <row r="11914">
      <c r="A11914" s="48" t="s">
        <v>1630</v>
      </c>
      <c r="B11914" s="38">
        <v>57237.0</v>
      </c>
      <c r="C11914" s="38" t="s">
        <v>16039</v>
      </c>
      <c r="D11914" s="38" t="str">
        <f>IFERROR(__xludf.DUMMYFUNCTION("REGEXREPLACE(C11914,""-\d+(.*)|--\d+(.*)"","""")"),"FREMESTROFF")</f>
        <v>FREMESTROFF</v>
      </c>
      <c r="E11914" s="38" t="s">
        <v>303</v>
      </c>
      <c r="F11914" s="38" t="s">
        <v>195</v>
      </c>
      <c r="G11914" s="49" t="str">
        <f t="shared" si="1"/>
        <v>57660</v>
      </c>
      <c r="H11914" s="49">
        <f t="shared" si="2"/>
        <v>57237</v>
      </c>
    </row>
    <row r="11915">
      <c r="A11915" s="48" t="s">
        <v>9905</v>
      </c>
      <c r="B11915" s="38">
        <v>65441.0</v>
      </c>
      <c r="C11915" s="38" t="s">
        <v>16040</v>
      </c>
      <c r="D11915" s="38" t="str">
        <f>IFERROR(__xludf.DUMMYFUNCTION("REGEXREPLACE(C11915,""-\d+(.*)|--\d+(.*)"","""")"),"THEBE")</f>
        <v>THEBE</v>
      </c>
      <c r="E11915" s="38" t="s">
        <v>200</v>
      </c>
      <c r="F11915" s="38" t="s">
        <v>94</v>
      </c>
      <c r="G11915" s="49" t="str">
        <f t="shared" si="1"/>
        <v>65370</v>
      </c>
      <c r="H11915" s="49">
        <f t="shared" si="2"/>
        <v>65441</v>
      </c>
    </row>
    <row r="11916">
      <c r="A11916" s="48" t="s">
        <v>2389</v>
      </c>
      <c r="B11916" s="38">
        <v>64530.0</v>
      </c>
      <c r="C11916" s="38" t="s">
        <v>16041</v>
      </c>
      <c r="D11916" s="38" t="str">
        <f>IFERROR(__xludf.DUMMYFUNCTION("REGEXREPLACE(C11916,""-\d+(.*)|--\d+(.*)"","""")"),"SUSMIOU")</f>
        <v>SUSMIOU</v>
      </c>
      <c r="E11916" s="38" t="s">
        <v>268</v>
      </c>
      <c r="F11916" s="38" t="s">
        <v>252</v>
      </c>
      <c r="G11916" s="49" t="str">
        <f t="shared" si="1"/>
        <v>64190</v>
      </c>
      <c r="H11916" s="49">
        <f t="shared" si="2"/>
        <v>64530</v>
      </c>
    </row>
    <row r="11917">
      <c r="A11917" s="48" t="s">
        <v>2728</v>
      </c>
      <c r="B11917" s="38">
        <v>38058.0</v>
      </c>
      <c r="C11917" s="38" t="s">
        <v>16042</v>
      </c>
      <c r="D11917" s="38" t="str">
        <f>IFERROR(__xludf.DUMMYFUNCTION("REGEXREPLACE(C11917,""-\d+(.*)|--\d+(.*)"","""")"),"BREZINS")</f>
        <v>BREZINS</v>
      </c>
      <c r="E11917" s="38" t="s">
        <v>101</v>
      </c>
      <c r="F11917" s="38" t="s">
        <v>102</v>
      </c>
      <c r="G11917" s="49" t="str">
        <f t="shared" si="1"/>
        <v>38590</v>
      </c>
      <c r="H11917" s="49">
        <f t="shared" si="2"/>
        <v>38058</v>
      </c>
    </row>
    <row r="11918">
      <c r="A11918" s="48" t="s">
        <v>376</v>
      </c>
      <c r="B11918" s="38">
        <v>73272.0</v>
      </c>
      <c r="C11918" s="38" t="s">
        <v>16043</v>
      </c>
      <c r="D11918" s="38" t="str">
        <f>IFERROR(__xludf.DUMMYFUNCTION("REGEXREPLACE(C11918,""-\d+(.*)|--\d+(.*)"","""")"),"SAINT-PIERRE-DE-BELLEVILLE")</f>
        <v>SAINT-PIERRE-DE-BELLEVILLE</v>
      </c>
      <c r="E11918" s="38" t="s">
        <v>306</v>
      </c>
      <c r="F11918" s="38" t="s">
        <v>102</v>
      </c>
      <c r="G11918" s="49" t="str">
        <f t="shared" si="1"/>
        <v>73220</v>
      </c>
      <c r="H11918" s="49">
        <f t="shared" si="2"/>
        <v>73272</v>
      </c>
    </row>
    <row r="11919">
      <c r="A11919" s="48" t="s">
        <v>16044</v>
      </c>
      <c r="B11919" s="38">
        <v>91235.0</v>
      </c>
      <c r="C11919" s="38" t="s">
        <v>16045</v>
      </c>
      <c r="D11919" s="38" t="str">
        <f>IFERROR(__xludf.DUMMYFUNCTION("REGEXREPLACE(C11919,""-\d+(.*)|--\d+(.*)"","""")"),"FLEURY-MEROGIS")</f>
        <v>FLEURY-MEROGIS</v>
      </c>
      <c r="E11919" s="38" t="s">
        <v>756</v>
      </c>
      <c r="F11919" s="38" t="s">
        <v>245</v>
      </c>
      <c r="G11919" s="49" t="str">
        <f t="shared" si="1"/>
        <v>91700</v>
      </c>
      <c r="H11919" s="49">
        <f t="shared" si="2"/>
        <v>91235</v>
      </c>
    </row>
    <row r="11920">
      <c r="A11920" s="48" t="s">
        <v>987</v>
      </c>
      <c r="B11920" s="38">
        <v>40270.0</v>
      </c>
      <c r="C11920" s="38" t="s">
        <v>16046</v>
      </c>
      <c r="D11920" s="38" t="str">
        <f>IFERROR(__xludf.DUMMYFUNCTION("REGEXREPLACE(C11920,""-\d+(.*)|--\d+(.*)"","""")"),"SAINT-LOUBOUER")</f>
        <v>SAINT-LOUBOUER</v>
      </c>
      <c r="E11920" s="38" t="s">
        <v>281</v>
      </c>
      <c r="F11920" s="38" t="s">
        <v>252</v>
      </c>
      <c r="G11920" s="49" t="str">
        <f t="shared" si="1"/>
        <v>40320</v>
      </c>
      <c r="H11920" s="49">
        <f t="shared" si="2"/>
        <v>40270</v>
      </c>
    </row>
    <row r="11921">
      <c r="A11921" s="48" t="s">
        <v>1570</v>
      </c>
      <c r="B11921" s="38">
        <v>16279.0</v>
      </c>
      <c r="C11921" s="38" t="s">
        <v>16047</v>
      </c>
      <c r="D11921" s="38" t="str">
        <f>IFERROR(__xludf.DUMMYFUNCTION("REGEXREPLACE(C11921,""-\d+(.*)|--\d+(.*)"","""")"),"RIOUX-MARTIN")</f>
        <v>RIOUX-MARTIN</v>
      </c>
      <c r="E11921" s="38" t="s">
        <v>429</v>
      </c>
      <c r="F11921" s="38" t="s">
        <v>338</v>
      </c>
      <c r="G11921" s="49" t="str">
        <f t="shared" si="1"/>
        <v>16210</v>
      </c>
      <c r="H11921" s="49">
        <f t="shared" si="2"/>
        <v>16279</v>
      </c>
    </row>
    <row r="11922">
      <c r="A11922" s="48" t="s">
        <v>8883</v>
      </c>
      <c r="B11922" s="38">
        <v>39477.0</v>
      </c>
      <c r="C11922" s="38" t="s">
        <v>16048</v>
      </c>
      <c r="D11922" s="38" t="str">
        <f>IFERROR(__xludf.DUMMYFUNCTION("REGEXREPLACE(C11922,""-\d+(.*)|--\d+(.*)"","""")"),"SAINT-BARAING")</f>
        <v>SAINT-BARAING</v>
      </c>
      <c r="E11922" s="38" t="s">
        <v>400</v>
      </c>
      <c r="F11922" s="38" t="s">
        <v>214</v>
      </c>
      <c r="G11922" s="49" t="str">
        <f t="shared" si="1"/>
        <v>39120</v>
      </c>
      <c r="H11922" s="49">
        <f t="shared" si="2"/>
        <v>39477</v>
      </c>
    </row>
    <row r="11923">
      <c r="A11923" s="48" t="s">
        <v>1531</v>
      </c>
      <c r="B11923" s="38">
        <v>65319.0</v>
      </c>
      <c r="C11923" s="38" t="s">
        <v>16049</v>
      </c>
      <c r="D11923" s="38" t="str">
        <f>IFERROR(__xludf.DUMMYFUNCTION("REGEXREPLACE(C11923,""-\d+(.*)|--\d+(.*)"","""")"),"MONTEGUT")</f>
        <v>MONTEGUT</v>
      </c>
      <c r="E11923" s="38" t="s">
        <v>200</v>
      </c>
      <c r="F11923" s="38" t="s">
        <v>94</v>
      </c>
      <c r="G11923" s="49" t="str">
        <f t="shared" si="1"/>
        <v>65150</v>
      </c>
      <c r="H11923" s="49">
        <f t="shared" si="2"/>
        <v>65319</v>
      </c>
    </row>
    <row r="11924">
      <c r="A11924" s="48" t="s">
        <v>691</v>
      </c>
      <c r="B11924" s="38">
        <v>64263.0</v>
      </c>
      <c r="C11924" s="38" t="s">
        <v>16050</v>
      </c>
      <c r="D11924" s="38" t="str">
        <f>IFERROR(__xludf.DUMMYFUNCTION("REGEXREPLACE(C11924,""-\d+(.*)|--\d+(.*)"","""")"),"L'HOPITAL-D'ORION")</f>
        <v>L'HOPITAL-D'ORION</v>
      </c>
      <c r="E11924" s="38" t="s">
        <v>268</v>
      </c>
      <c r="F11924" s="38" t="s">
        <v>252</v>
      </c>
      <c r="G11924" s="49" t="str">
        <f t="shared" si="1"/>
        <v>64270</v>
      </c>
      <c r="H11924" s="49">
        <f t="shared" si="2"/>
        <v>64263</v>
      </c>
    </row>
    <row r="11925">
      <c r="A11925" s="48" t="s">
        <v>4797</v>
      </c>
      <c r="B11925" s="38">
        <v>30016.0</v>
      </c>
      <c r="C11925" s="38" t="s">
        <v>16051</v>
      </c>
      <c r="D11925" s="38" t="str">
        <f>IFERROR(__xludf.DUMMYFUNCTION("REGEXREPLACE(C11925,""-\d+(.*)|--\d+(.*)"","""")"),"ARRE")</f>
        <v>ARRE</v>
      </c>
      <c r="E11925" s="38" t="s">
        <v>526</v>
      </c>
      <c r="F11925" s="38" t="s">
        <v>119</v>
      </c>
      <c r="G11925" s="49" t="str">
        <f t="shared" si="1"/>
        <v>30120</v>
      </c>
      <c r="H11925" s="49">
        <f t="shared" si="2"/>
        <v>30016</v>
      </c>
    </row>
    <row r="11926">
      <c r="A11926" s="48" t="s">
        <v>16052</v>
      </c>
      <c r="B11926" s="38">
        <v>68145.0</v>
      </c>
      <c r="C11926" s="38" t="s">
        <v>16053</v>
      </c>
      <c r="D11926" s="38" t="str">
        <f>IFERROR(__xludf.DUMMYFUNCTION("REGEXREPLACE(C11926,""-\d+(.*)|--\d+(.*)"","""")"),"HORBOURG-WIHR")</f>
        <v>HORBOURG-WIHR</v>
      </c>
      <c r="E11926" s="38" t="s">
        <v>150</v>
      </c>
      <c r="F11926" s="38" t="s">
        <v>151</v>
      </c>
      <c r="G11926" s="49" t="str">
        <f t="shared" si="1"/>
        <v>68180</v>
      </c>
      <c r="H11926" s="49">
        <f t="shared" si="2"/>
        <v>68145</v>
      </c>
    </row>
    <row r="11927">
      <c r="A11927" s="48" t="s">
        <v>135</v>
      </c>
      <c r="B11927" s="38">
        <v>14266.0</v>
      </c>
      <c r="C11927" s="38" t="s">
        <v>16054</v>
      </c>
      <c r="D11927" s="38" t="str">
        <f>IFERROR(__xludf.DUMMYFUNCTION("REGEXREPLACE(C11927,""-\d+(.*)|--\d+(.*)"","""")"),"FEUGUEROLLES-BULLY")</f>
        <v>FEUGUEROLLES-BULLY</v>
      </c>
      <c r="E11927" s="38" t="s">
        <v>137</v>
      </c>
      <c r="F11927" s="38" t="s">
        <v>138</v>
      </c>
      <c r="G11927" s="49" t="str">
        <f t="shared" si="1"/>
        <v>14320</v>
      </c>
      <c r="H11927" s="49">
        <f t="shared" si="2"/>
        <v>14266</v>
      </c>
    </row>
    <row r="11928">
      <c r="A11928" s="48" t="s">
        <v>922</v>
      </c>
      <c r="B11928" s="38">
        <v>76420.0</v>
      </c>
      <c r="C11928" s="38" t="s">
        <v>16055</v>
      </c>
      <c r="D11928" s="38" t="str">
        <f>IFERROR(__xludf.DUMMYFUNCTION("REGEXREPLACE(C11928,""-\d+(.*)|--\d+(.*)"","""")"),"MAUQUENCHY")</f>
        <v>MAUQUENCHY</v>
      </c>
      <c r="E11928" s="38" t="s">
        <v>133</v>
      </c>
      <c r="F11928" s="38" t="s">
        <v>134</v>
      </c>
      <c r="G11928" s="49" t="str">
        <f t="shared" si="1"/>
        <v>76440</v>
      </c>
      <c r="H11928" s="49">
        <f t="shared" si="2"/>
        <v>76420</v>
      </c>
    </row>
    <row r="11929">
      <c r="A11929" s="48" t="s">
        <v>5358</v>
      </c>
      <c r="B11929" s="38">
        <v>23179.0</v>
      </c>
      <c r="C11929" s="38" t="s">
        <v>16056</v>
      </c>
      <c r="D11929" s="38" t="str">
        <f>IFERROR(__xludf.DUMMYFUNCTION("REGEXREPLACE(C11929,""-\d+(.*)|--\d+(.*)"","""")"),"SAINT-ALPINIEN")</f>
        <v>SAINT-ALPINIEN</v>
      </c>
      <c r="E11929" s="38" t="s">
        <v>97</v>
      </c>
      <c r="F11929" s="38" t="s">
        <v>98</v>
      </c>
      <c r="G11929" s="49" t="str">
        <f t="shared" si="1"/>
        <v>23200</v>
      </c>
      <c r="H11929" s="49">
        <f t="shared" si="2"/>
        <v>23179</v>
      </c>
    </row>
    <row r="11930">
      <c r="A11930" s="48" t="s">
        <v>6767</v>
      </c>
      <c r="B11930" s="38">
        <v>15227.0</v>
      </c>
      <c r="C11930" s="38" t="s">
        <v>16057</v>
      </c>
      <c r="D11930" s="38" t="str">
        <f>IFERROR(__xludf.DUMMYFUNCTION("REGEXREPLACE(C11930,""-\d+(.*)|--\d+(.*)"","""")"),"SERIERS")</f>
        <v>SERIERS</v>
      </c>
      <c r="E11930" s="38" t="s">
        <v>632</v>
      </c>
      <c r="F11930" s="38" t="s">
        <v>161</v>
      </c>
      <c r="G11930" s="49" t="str">
        <f t="shared" si="1"/>
        <v>15100</v>
      </c>
      <c r="H11930" s="49">
        <f t="shared" si="2"/>
        <v>15227</v>
      </c>
    </row>
    <row r="11931">
      <c r="A11931" s="48" t="s">
        <v>1161</v>
      </c>
      <c r="B11931" s="38">
        <v>45105.0</v>
      </c>
      <c r="C11931" s="38" t="s">
        <v>16058</v>
      </c>
      <c r="D11931" s="38" t="str">
        <f>IFERROR(__xludf.DUMMYFUNCTION("REGEXREPLACE(C11931,""-\d+(.*)|--\d+(.*)"","""")"),"CORTRAT")</f>
        <v>CORTRAT</v>
      </c>
      <c r="E11931" s="38" t="s">
        <v>122</v>
      </c>
      <c r="F11931" s="38" t="s">
        <v>123</v>
      </c>
      <c r="G11931" s="49" t="str">
        <f t="shared" si="1"/>
        <v>45700</v>
      </c>
      <c r="H11931" s="49">
        <f t="shared" si="2"/>
        <v>45105</v>
      </c>
    </row>
    <row r="11932">
      <c r="A11932" s="48" t="s">
        <v>438</v>
      </c>
      <c r="B11932" s="38">
        <v>32048.0</v>
      </c>
      <c r="C11932" s="38" t="s">
        <v>16059</v>
      </c>
      <c r="D11932" s="38" t="str">
        <f>IFERROR(__xludf.DUMMYFUNCTION("REGEXREPLACE(C11932,""-\d+(.*)|--\d+(.*)"","""")"),"BETCAVE-AGUIN")</f>
        <v>BETCAVE-AGUIN</v>
      </c>
      <c r="E11932" s="38" t="s">
        <v>440</v>
      </c>
      <c r="F11932" s="38" t="s">
        <v>94</v>
      </c>
      <c r="G11932" s="49" t="str">
        <f t="shared" si="1"/>
        <v>32420</v>
      </c>
      <c r="H11932" s="49">
        <f t="shared" si="2"/>
        <v>32048</v>
      </c>
    </row>
    <row r="11933">
      <c r="A11933" s="48" t="s">
        <v>2748</v>
      </c>
      <c r="B11933" s="38">
        <v>32205.0</v>
      </c>
      <c r="C11933" s="38" t="s">
        <v>16060</v>
      </c>
      <c r="D11933" s="38" t="str">
        <f>IFERROR(__xludf.DUMMYFUNCTION("REGEXREPLACE(C11933,""-\d+(.*)|--\d+(.*)"","""")"),"LAVERAET")</f>
        <v>LAVERAET</v>
      </c>
      <c r="E11933" s="38" t="s">
        <v>440</v>
      </c>
      <c r="F11933" s="38" t="s">
        <v>94</v>
      </c>
      <c r="G11933" s="49" t="str">
        <f t="shared" si="1"/>
        <v>32230</v>
      </c>
      <c r="H11933" s="49">
        <f t="shared" si="2"/>
        <v>32205</v>
      </c>
    </row>
    <row r="11934">
      <c r="A11934" s="48" t="s">
        <v>6916</v>
      </c>
      <c r="B11934" s="38">
        <v>82179.0</v>
      </c>
      <c r="C11934" s="38" t="s">
        <v>16061</v>
      </c>
      <c r="D11934" s="38" t="str">
        <f>IFERROR(__xludf.DUMMYFUNCTION("REGEXREPLACE(C11934,""-\d+(.*)|--\d+(.*)"","""")"),"SEPTFONDS")</f>
        <v>SEPTFONDS</v>
      </c>
      <c r="E11934" s="38" t="s">
        <v>570</v>
      </c>
      <c r="F11934" s="38" t="s">
        <v>94</v>
      </c>
      <c r="G11934" s="49" t="str">
        <f t="shared" si="1"/>
        <v>82240</v>
      </c>
      <c r="H11934" s="49">
        <f t="shared" si="2"/>
        <v>82179</v>
      </c>
    </row>
    <row r="11935">
      <c r="A11935" s="48" t="s">
        <v>16062</v>
      </c>
      <c r="B11935" s="38">
        <v>77337.0</v>
      </c>
      <c r="C11935" s="38" t="s">
        <v>16063</v>
      </c>
      <c r="D11935" s="38" t="str">
        <f>IFERROR(__xludf.DUMMYFUNCTION("REGEXREPLACE(C11935,""-\d+(.*)|--\d+(.*)"","""")"),"NOISIEL")</f>
        <v>NOISIEL</v>
      </c>
      <c r="E11935" s="38" t="s">
        <v>244</v>
      </c>
      <c r="F11935" s="38" t="s">
        <v>245</v>
      </c>
      <c r="G11935" s="49" t="str">
        <f t="shared" si="1"/>
        <v>77186</v>
      </c>
      <c r="H11935" s="49">
        <f t="shared" si="2"/>
        <v>77337</v>
      </c>
    </row>
    <row r="11936">
      <c r="A11936" s="48" t="s">
        <v>7799</v>
      </c>
      <c r="B11936" s="38">
        <v>7184.0</v>
      </c>
      <c r="C11936" s="38" t="s">
        <v>16064</v>
      </c>
      <c r="D11936" s="38" t="str">
        <f>IFERROR(__xludf.DUMMYFUNCTION("REGEXREPLACE(C11936,""-\d+(.*)|--\d+(.*)"","""")"),"PRANLES")</f>
        <v>PRANLES</v>
      </c>
      <c r="E11936" s="38" t="s">
        <v>144</v>
      </c>
      <c r="F11936" s="38" t="s">
        <v>102</v>
      </c>
      <c r="G11936" s="49" t="str">
        <f t="shared" si="1"/>
        <v>07000</v>
      </c>
      <c r="H11936" s="49" t="str">
        <f t="shared" si="2"/>
        <v>07184</v>
      </c>
    </row>
    <row r="11937">
      <c r="A11937" s="48" t="s">
        <v>3702</v>
      </c>
      <c r="B11937" s="38">
        <v>77004.0</v>
      </c>
      <c r="C11937" s="38" t="s">
        <v>16065</v>
      </c>
      <c r="D11937" s="38" t="str">
        <f>IFERROR(__xludf.DUMMYFUNCTION("REGEXREPLACE(C11937,""-\d+(.*)|--\d+(.*)"","""")"),"ANDREZEL")</f>
        <v>ANDREZEL</v>
      </c>
      <c r="E11937" s="38" t="s">
        <v>244</v>
      </c>
      <c r="F11937" s="38" t="s">
        <v>245</v>
      </c>
      <c r="G11937" s="49" t="str">
        <f t="shared" si="1"/>
        <v>77390</v>
      </c>
      <c r="H11937" s="49">
        <f t="shared" si="2"/>
        <v>77004</v>
      </c>
    </row>
    <row r="11938">
      <c r="A11938" s="48" t="s">
        <v>15241</v>
      </c>
      <c r="B11938" s="38">
        <v>43016.0</v>
      </c>
      <c r="C11938" s="38" t="s">
        <v>16066</v>
      </c>
      <c r="D11938" s="38" t="str">
        <f>IFERROR(__xludf.DUMMYFUNCTION("REGEXREPLACE(C11938,""-\d+(.*)|--\d+(.*)"","""")"),"AUZON")</f>
        <v>AUZON</v>
      </c>
      <c r="E11938" s="38" t="s">
        <v>332</v>
      </c>
      <c r="F11938" s="38" t="s">
        <v>161</v>
      </c>
      <c r="G11938" s="49" t="str">
        <f t="shared" si="1"/>
        <v>43390</v>
      </c>
      <c r="H11938" s="49">
        <f t="shared" si="2"/>
        <v>43016</v>
      </c>
    </row>
    <row r="11939">
      <c r="A11939" s="48" t="s">
        <v>9240</v>
      </c>
      <c r="B11939" s="38">
        <v>47060.0</v>
      </c>
      <c r="C11939" s="38" t="s">
        <v>16067</v>
      </c>
      <c r="D11939" s="38" t="str">
        <f>IFERROR(__xludf.DUMMYFUNCTION("REGEXREPLACE(C11939,""-\d+(.*)|--\d+(.*)"","""")"),"CAUDECOSTE")</f>
        <v>CAUDECOSTE</v>
      </c>
      <c r="E11939" s="38" t="s">
        <v>251</v>
      </c>
      <c r="F11939" s="38" t="s">
        <v>252</v>
      </c>
      <c r="G11939" s="49" t="str">
        <f t="shared" si="1"/>
        <v>47220</v>
      </c>
      <c r="H11939" s="49">
        <f t="shared" si="2"/>
        <v>47060</v>
      </c>
    </row>
    <row r="11940">
      <c r="A11940" s="48" t="s">
        <v>6923</v>
      </c>
      <c r="B11940" s="38">
        <v>33165.0</v>
      </c>
      <c r="C11940" s="38" t="s">
        <v>16068</v>
      </c>
      <c r="D11940" s="38" t="str">
        <f>IFERROR(__xludf.DUMMYFUNCTION("REGEXREPLACE(C11940,""-\d+(.*)|--\d+(.*)"","""")"),"FARGUES-SAINT-HILAIRE")</f>
        <v>FARGUES-SAINT-HILAIRE</v>
      </c>
      <c r="E11940" s="38" t="s">
        <v>462</v>
      </c>
      <c r="F11940" s="38" t="s">
        <v>252</v>
      </c>
      <c r="G11940" s="49" t="str">
        <f t="shared" si="1"/>
        <v>33370</v>
      </c>
      <c r="H11940" s="49">
        <f t="shared" si="2"/>
        <v>33165</v>
      </c>
    </row>
    <row r="11941">
      <c r="A11941" s="48" t="s">
        <v>5163</v>
      </c>
      <c r="B11941" s="38">
        <v>76604.0</v>
      </c>
      <c r="C11941" s="38" t="s">
        <v>16069</v>
      </c>
      <c r="D11941" s="38" t="str">
        <f>IFERROR(__xludf.DUMMYFUNCTION("REGEXREPLACE(C11941,""-\d+(.*)|--\d+(.*)"","""")"),"SAINT-MARDS")</f>
        <v>SAINT-MARDS</v>
      </c>
      <c r="E11941" s="38" t="s">
        <v>133</v>
      </c>
      <c r="F11941" s="38" t="s">
        <v>134</v>
      </c>
      <c r="G11941" s="49" t="str">
        <f t="shared" si="1"/>
        <v>76730</v>
      </c>
      <c r="H11941" s="49">
        <f t="shared" si="2"/>
        <v>76604</v>
      </c>
    </row>
    <row r="11942">
      <c r="A11942" s="48" t="s">
        <v>9905</v>
      </c>
      <c r="B11942" s="38">
        <v>65175.0</v>
      </c>
      <c r="C11942" s="38" t="s">
        <v>16070</v>
      </c>
      <c r="D11942" s="38" t="str">
        <f>IFERROR(__xludf.DUMMYFUNCTION("REGEXREPLACE(C11942,""-\d+(.*)|--\d+(.*)"","""")"),"FERRERE")</f>
        <v>FERRERE</v>
      </c>
      <c r="E11942" s="38" t="s">
        <v>200</v>
      </c>
      <c r="F11942" s="38" t="s">
        <v>94</v>
      </c>
      <c r="G11942" s="49" t="str">
        <f t="shared" si="1"/>
        <v>65370</v>
      </c>
      <c r="H11942" s="49">
        <f t="shared" si="2"/>
        <v>65175</v>
      </c>
    </row>
    <row r="11943">
      <c r="A11943" s="48" t="s">
        <v>2008</v>
      </c>
      <c r="B11943" s="38">
        <v>46055.0</v>
      </c>
      <c r="C11943" s="38" t="s">
        <v>16071</v>
      </c>
      <c r="D11943" s="38" t="str">
        <f>IFERROR(__xludf.DUMMYFUNCTION("REGEXREPLACE(C11943,""-\d+(.*)|--\d+(.*)"","""")"),"CAPDENAC")</f>
        <v>CAPDENAC</v>
      </c>
      <c r="E11943" s="38" t="s">
        <v>185</v>
      </c>
      <c r="F11943" s="38" t="s">
        <v>94</v>
      </c>
      <c r="G11943" s="49" t="str">
        <f t="shared" si="1"/>
        <v>46100</v>
      </c>
      <c r="H11943" s="49">
        <f t="shared" si="2"/>
        <v>46055</v>
      </c>
    </row>
    <row r="11944">
      <c r="A11944" s="48" t="s">
        <v>2370</v>
      </c>
      <c r="B11944" s="38">
        <v>33482.0</v>
      </c>
      <c r="C11944" s="38" t="s">
        <v>16072</v>
      </c>
      <c r="D11944" s="38" t="str">
        <f>IFERROR(__xludf.DUMMYFUNCTION("REGEXREPLACE(C11944,""-\d+(.*)|--\d+(.*)"","""")"),"SAINT-SULPICE-DE-POMMIERS")</f>
        <v>SAINT-SULPICE-DE-POMMIERS</v>
      </c>
      <c r="E11944" s="38" t="s">
        <v>462</v>
      </c>
      <c r="F11944" s="38" t="s">
        <v>252</v>
      </c>
      <c r="G11944" s="49" t="str">
        <f t="shared" si="1"/>
        <v>33540</v>
      </c>
      <c r="H11944" s="49">
        <f t="shared" si="2"/>
        <v>33482</v>
      </c>
    </row>
    <row r="11945">
      <c r="A11945" s="48" t="s">
        <v>16073</v>
      </c>
      <c r="B11945" s="38">
        <v>25268.0</v>
      </c>
      <c r="C11945" s="38" t="s">
        <v>16074</v>
      </c>
      <c r="D11945" s="38" t="str">
        <f>IFERROR(__xludf.DUMMYFUNCTION("REGEXREPLACE(C11945,""-\d+(.*)|--\d+(.*)"","""")"),"GERMEFONTAINE")</f>
        <v>GERMEFONTAINE</v>
      </c>
      <c r="E11945" s="38" t="s">
        <v>213</v>
      </c>
      <c r="F11945" s="38" t="s">
        <v>214</v>
      </c>
      <c r="G11945" s="49" t="str">
        <f t="shared" si="1"/>
        <v>25510</v>
      </c>
      <c r="H11945" s="49">
        <f t="shared" si="2"/>
        <v>25268</v>
      </c>
    </row>
    <row r="11946">
      <c r="A11946" s="48" t="s">
        <v>16075</v>
      </c>
      <c r="B11946" s="38">
        <v>67342.0</v>
      </c>
      <c r="C11946" s="38" t="s">
        <v>16076</v>
      </c>
      <c r="D11946" s="38" t="str">
        <f>IFERROR(__xludf.DUMMYFUNCTION("REGEXREPLACE(C11946,""-\d+(.*)|--\d+(.*)"","""")"),"OBERHASLACH")</f>
        <v>OBERHASLACH</v>
      </c>
      <c r="E11946" s="38" t="s">
        <v>210</v>
      </c>
      <c r="F11946" s="38" t="s">
        <v>151</v>
      </c>
      <c r="G11946" s="49" t="str">
        <f t="shared" si="1"/>
        <v>67280</v>
      </c>
      <c r="H11946" s="49">
        <f t="shared" si="2"/>
        <v>67342</v>
      </c>
    </row>
    <row r="11947">
      <c r="A11947" s="48" t="s">
        <v>1681</v>
      </c>
      <c r="B11947" s="38">
        <v>80125.0</v>
      </c>
      <c r="C11947" s="38" t="s">
        <v>16077</v>
      </c>
      <c r="D11947" s="38" t="str">
        <f>IFERROR(__xludf.DUMMYFUNCTION("REGEXREPLACE(C11947,""-\d+(.*)|--\d+(.*)"","""")"),"BOUSSICOURT")</f>
        <v>BOUSSICOURT</v>
      </c>
      <c r="E11947" s="38" t="s">
        <v>224</v>
      </c>
      <c r="F11947" s="38" t="s">
        <v>113</v>
      </c>
      <c r="G11947" s="49" t="str">
        <f t="shared" si="1"/>
        <v>80500</v>
      </c>
      <c r="H11947" s="49">
        <f t="shared" si="2"/>
        <v>80125</v>
      </c>
    </row>
    <row r="11948">
      <c r="A11948" s="48" t="s">
        <v>3743</v>
      </c>
      <c r="B11948" s="38">
        <v>27227.0</v>
      </c>
      <c r="C11948" s="38" t="s">
        <v>16078</v>
      </c>
      <c r="D11948" s="38" t="str">
        <f>IFERROR(__xludf.DUMMYFUNCTION("REGEXREPLACE(C11948,""-\d+(.*)|--\d+(.*)"","""")"),"ETREVILLE")</f>
        <v>ETREVILLE</v>
      </c>
      <c r="E11948" s="38" t="s">
        <v>241</v>
      </c>
      <c r="F11948" s="38" t="s">
        <v>134</v>
      </c>
      <c r="G11948" s="49" t="str">
        <f t="shared" si="1"/>
        <v>27350</v>
      </c>
      <c r="H11948" s="49">
        <f t="shared" si="2"/>
        <v>27227</v>
      </c>
    </row>
    <row r="11949">
      <c r="A11949" s="48" t="s">
        <v>95</v>
      </c>
      <c r="B11949" s="38">
        <v>23109.0</v>
      </c>
      <c r="C11949" s="38" t="s">
        <v>16079</v>
      </c>
      <c r="D11949" s="38" t="str">
        <f>IFERROR(__xludf.DUMMYFUNCTION("REGEXREPLACE(C11949,""-\d+(.*)|--\d+(.*)"","""")"),"LINARD")</f>
        <v>LINARD</v>
      </c>
      <c r="E11949" s="38" t="s">
        <v>97</v>
      </c>
      <c r="F11949" s="38" t="s">
        <v>98</v>
      </c>
      <c r="G11949" s="49" t="str">
        <f t="shared" si="1"/>
        <v>23220</v>
      </c>
      <c r="H11949" s="49">
        <f t="shared" si="2"/>
        <v>23109</v>
      </c>
    </row>
    <row r="11950">
      <c r="A11950" s="48" t="s">
        <v>4121</v>
      </c>
      <c r="B11950" s="38">
        <v>11437.0</v>
      </c>
      <c r="C11950" s="38" t="s">
        <v>16080</v>
      </c>
      <c r="D11950" s="38" t="str">
        <f>IFERROR(__xludf.DUMMYFUNCTION("REGEXREPLACE(C11950,""-\d+(.*)|--\d+(.*)"","""")"),"VILLESEQUELANDE")</f>
        <v>VILLESEQUELANDE</v>
      </c>
      <c r="E11950" s="38" t="s">
        <v>278</v>
      </c>
      <c r="F11950" s="38" t="s">
        <v>119</v>
      </c>
      <c r="G11950" s="49" t="str">
        <f t="shared" si="1"/>
        <v>11170</v>
      </c>
      <c r="H11950" s="49">
        <f t="shared" si="2"/>
        <v>11437</v>
      </c>
    </row>
    <row r="11951">
      <c r="A11951" s="48" t="s">
        <v>1690</v>
      </c>
      <c r="B11951" s="38">
        <v>53189.0</v>
      </c>
      <c r="C11951" s="38" t="s">
        <v>16081</v>
      </c>
      <c r="D11951" s="38" t="str">
        <f>IFERROR(__xludf.DUMMYFUNCTION("REGEXREPLACE(C11951,""-\d+(.*)|--\d+(.*)"","""")"),"RENNES-EN-GRENOUILLES")</f>
        <v>RENNES-EN-GRENOUILLES</v>
      </c>
      <c r="E11951" s="38" t="s">
        <v>518</v>
      </c>
      <c r="F11951" s="38" t="s">
        <v>180</v>
      </c>
      <c r="G11951" s="49" t="str">
        <f t="shared" si="1"/>
        <v>53110</v>
      </c>
      <c r="H11951" s="49">
        <f t="shared" si="2"/>
        <v>53189</v>
      </c>
    </row>
    <row r="11952">
      <c r="A11952" s="48" t="s">
        <v>16082</v>
      </c>
      <c r="B11952" s="38">
        <v>22197.0</v>
      </c>
      <c r="C11952" s="38" t="s">
        <v>16083</v>
      </c>
      <c r="D11952" s="38" t="str">
        <f>IFERROR(__xludf.DUMMYFUNCTION("REGEXREPLACE(C11952,""-\d+(.*)|--\d+(.*)"","""")"),"PLEUDIHEN-SUR-RANCE")</f>
        <v>PLEUDIHEN-SUR-RANCE</v>
      </c>
      <c r="E11952" s="38" t="s">
        <v>89</v>
      </c>
      <c r="F11952" s="38" t="s">
        <v>90</v>
      </c>
      <c r="G11952" s="49" t="str">
        <f t="shared" si="1"/>
        <v>22690</v>
      </c>
      <c r="H11952" s="49">
        <f t="shared" si="2"/>
        <v>22197</v>
      </c>
    </row>
    <row r="11953">
      <c r="A11953" s="48" t="s">
        <v>1841</v>
      </c>
      <c r="B11953" s="38">
        <v>27242.0</v>
      </c>
      <c r="C11953" s="38" t="s">
        <v>16084</v>
      </c>
      <c r="D11953" s="38" t="str">
        <f>IFERROR(__xludf.DUMMYFUNCTION("REGEXREPLACE(C11953,""-\d+(.*)|--\d+(.*)"","""")"),"LE FIDELAIRE")</f>
        <v>LE FIDELAIRE</v>
      </c>
      <c r="E11953" s="38" t="s">
        <v>241</v>
      </c>
      <c r="F11953" s="38" t="s">
        <v>134</v>
      </c>
      <c r="G11953" s="49" t="str">
        <f t="shared" si="1"/>
        <v>27190</v>
      </c>
      <c r="H11953" s="49">
        <f t="shared" si="2"/>
        <v>27242</v>
      </c>
    </row>
    <row r="11954">
      <c r="A11954" s="48" t="s">
        <v>14379</v>
      </c>
      <c r="B11954" s="38">
        <v>35300.0</v>
      </c>
      <c r="C11954" s="38" t="s">
        <v>16085</v>
      </c>
      <c r="D11954" s="38" t="str">
        <f>IFERROR(__xludf.DUMMYFUNCTION("REGEXREPLACE(C11954,""-\d+(.*)|--\d+(.*)"","""")"),"SAINT-M'HERVE")</f>
        <v>SAINT-M'HERVE</v>
      </c>
      <c r="E11954" s="38" t="s">
        <v>347</v>
      </c>
      <c r="F11954" s="38" t="s">
        <v>90</v>
      </c>
      <c r="G11954" s="49" t="str">
        <f t="shared" si="1"/>
        <v>35500</v>
      </c>
      <c r="H11954" s="49">
        <f t="shared" si="2"/>
        <v>35300</v>
      </c>
    </row>
    <row r="11955">
      <c r="A11955" s="48" t="s">
        <v>9345</v>
      </c>
      <c r="B11955" s="38">
        <v>22009.0</v>
      </c>
      <c r="C11955" s="38" t="s">
        <v>16086</v>
      </c>
      <c r="D11955" s="38" t="str">
        <f>IFERROR(__xludf.DUMMYFUNCTION("REGEXREPLACE(C11955,""-\d+(.*)|--\d+(.*)"","""")"),"LE BODEO")</f>
        <v>LE BODEO</v>
      </c>
      <c r="E11955" s="38" t="s">
        <v>89</v>
      </c>
      <c r="F11955" s="38" t="s">
        <v>90</v>
      </c>
      <c r="G11955" s="49" t="str">
        <f t="shared" si="1"/>
        <v>22320</v>
      </c>
      <c r="H11955" s="49">
        <f t="shared" si="2"/>
        <v>22009</v>
      </c>
    </row>
    <row r="11956">
      <c r="A11956" s="48" t="s">
        <v>3550</v>
      </c>
      <c r="B11956" s="38">
        <v>79031.0</v>
      </c>
      <c r="C11956" s="38" t="s">
        <v>16087</v>
      </c>
      <c r="D11956" s="38" t="str">
        <f>IFERROR(__xludf.DUMMYFUNCTION("REGEXREPLACE(C11956,""-\d+(.*)|--\d+(.*)"","""")"),"BEAUVOIR-SUR-NIORT")</f>
        <v>BEAUVOIR-SUR-NIORT</v>
      </c>
      <c r="E11956" s="38" t="s">
        <v>337</v>
      </c>
      <c r="F11956" s="38" t="s">
        <v>338</v>
      </c>
      <c r="G11956" s="49" t="str">
        <f t="shared" si="1"/>
        <v>79360</v>
      </c>
      <c r="H11956" s="49">
        <f t="shared" si="2"/>
        <v>79031</v>
      </c>
    </row>
    <row r="11957">
      <c r="A11957" s="48" t="s">
        <v>16088</v>
      </c>
      <c r="B11957" s="38">
        <v>77048.0</v>
      </c>
      <c r="C11957" s="38" t="s">
        <v>16089</v>
      </c>
      <c r="D11957" s="38" t="str">
        <f>IFERROR(__xludf.DUMMYFUNCTION("REGEXREPLACE(C11957,""-\d+(.*)|--\d+(.*)"","""")"),"BOURRON-MARLOTTE")</f>
        <v>BOURRON-MARLOTTE</v>
      </c>
      <c r="E11957" s="38" t="s">
        <v>244</v>
      </c>
      <c r="F11957" s="38" t="s">
        <v>245</v>
      </c>
      <c r="G11957" s="49" t="str">
        <f t="shared" si="1"/>
        <v>77780</v>
      </c>
      <c r="H11957" s="49">
        <f t="shared" si="2"/>
        <v>77048</v>
      </c>
    </row>
    <row r="11958">
      <c r="A11958" s="48" t="s">
        <v>2886</v>
      </c>
      <c r="B11958" s="38">
        <v>89302.0</v>
      </c>
      <c r="C11958" s="38" t="s">
        <v>16090</v>
      </c>
      <c r="D11958" s="38" t="str">
        <f>IFERROR(__xludf.DUMMYFUNCTION("REGEXREPLACE(C11958,""-\d+(.*)|--\d+(.*)"","""")"),"PLESSIS-SAINT-JEAN")</f>
        <v>PLESSIS-SAINT-JEAN</v>
      </c>
      <c r="E11958" s="38" t="s">
        <v>275</v>
      </c>
      <c r="F11958" s="38" t="s">
        <v>106</v>
      </c>
      <c r="G11958" s="49" t="str">
        <f t="shared" si="1"/>
        <v>89140</v>
      </c>
      <c r="H11958" s="49">
        <f t="shared" si="2"/>
        <v>89302</v>
      </c>
    </row>
    <row r="11959">
      <c r="A11959" s="48" t="s">
        <v>4272</v>
      </c>
      <c r="B11959" s="38">
        <v>76532.0</v>
      </c>
      <c r="C11959" s="38" t="s">
        <v>16091</v>
      </c>
      <c r="D11959" s="38" t="str">
        <f>IFERROR(__xludf.DUMMYFUNCTION("REGEXREPLACE(C11959,""-\d+(.*)|--\d+(.*)"","""")"),"ROCQUEMONT")</f>
        <v>ROCQUEMONT</v>
      </c>
      <c r="E11959" s="38" t="s">
        <v>133</v>
      </c>
      <c r="F11959" s="38" t="s">
        <v>134</v>
      </c>
      <c r="G11959" s="49" t="str">
        <f t="shared" si="1"/>
        <v>76680</v>
      </c>
      <c r="H11959" s="49">
        <f t="shared" si="2"/>
        <v>76532</v>
      </c>
    </row>
    <row r="11960">
      <c r="A11960" s="48" t="s">
        <v>1796</v>
      </c>
      <c r="B11960" s="38">
        <v>31564.0</v>
      </c>
      <c r="C11960" s="38" t="s">
        <v>16092</v>
      </c>
      <c r="D11960" s="38" t="str">
        <f>IFERROR(__xludf.DUMMYFUNCTION("REGEXREPLACE(C11960,""-\d+(.*)|--\d+(.*)"","""")"),"VALCABRERE")</f>
        <v>VALCABRERE</v>
      </c>
      <c r="E11960" s="38" t="s">
        <v>93</v>
      </c>
      <c r="F11960" s="38" t="s">
        <v>94</v>
      </c>
      <c r="G11960" s="49" t="str">
        <f t="shared" si="1"/>
        <v>31510</v>
      </c>
      <c r="H11960" s="49">
        <f t="shared" si="2"/>
        <v>31564</v>
      </c>
    </row>
    <row r="11961">
      <c r="A11961" s="48" t="s">
        <v>4923</v>
      </c>
      <c r="B11961" s="38">
        <v>61086.0</v>
      </c>
      <c r="C11961" s="38" t="s">
        <v>16093</v>
      </c>
      <c r="D11961" s="38" t="str">
        <f>IFERROR(__xludf.DUMMYFUNCTION("REGEXREPLACE(C11961,""-\d+(.*)|--\d+(.*)"","""")"),"LES CHAMPEAUX")</f>
        <v>LES CHAMPEAUX</v>
      </c>
      <c r="E11961" s="38" t="s">
        <v>141</v>
      </c>
      <c r="F11961" s="38" t="s">
        <v>138</v>
      </c>
      <c r="G11961" s="49" t="str">
        <f t="shared" si="1"/>
        <v>61120</v>
      </c>
      <c r="H11961" s="49">
        <f t="shared" si="2"/>
        <v>61086</v>
      </c>
    </row>
    <row r="11962">
      <c r="A11962" s="48" t="s">
        <v>16094</v>
      </c>
      <c r="B11962" s="38">
        <v>76451.0</v>
      </c>
      <c r="C11962" s="38" t="s">
        <v>16095</v>
      </c>
      <c r="D11962" s="38" t="str">
        <f>IFERROR(__xludf.DUMMYFUNCTION("REGEXREPLACE(C11962,""-\d+(.*)|--\d+(.*)"","""")"),"MONT-SAINT-AIGNAN")</f>
        <v>MONT-SAINT-AIGNAN</v>
      </c>
      <c r="E11962" s="38" t="s">
        <v>133</v>
      </c>
      <c r="F11962" s="38" t="s">
        <v>134</v>
      </c>
      <c r="G11962" s="49" t="str">
        <f t="shared" si="1"/>
        <v>76130</v>
      </c>
      <c r="H11962" s="49">
        <f t="shared" si="2"/>
        <v>76451</v>
      </c>
    </row>
    <row r="11963">
      <c r="A11963" s="48" t="s">
        <v>1665</v>
      </c>
      <c r="B11963" s="38">
        <v>22180.0</v>
      </c>
      <c r="C11963" s="38" t="s">
        <v>16096</v>
      </c>
      <c r="D11963" s="38" t="str">
        <f>IFERROR(__xludf.DUMMYFUNCTION("REGEXREPLACE(C11963,""-\d+(.*)|--\d+(.*)"","""")"),"PLELAN-LE-PETIT")</f>
        <v>PLELAN-LE-PETIT</v>
      </c>
      <c r="E11963" s="38" t="s">
        <v>89</v>
      </c>
      <c r="F11963" s="38" t="s">
        <v>90</v>
      </c>
      <c r="G11963" s="49" t="str">
        <f t="shared" si="1"/>
        <v>22980</v>
      </c>
      <c r="H11963" s="49">
        <f t="shared" si="2"/>
        <v>22180</v>
      </c>
    </row>
    <row r="11964">
      <c r="A11964" s="48" t="s">
        <v>13750</v>
      </c>
      <c r="B11964" s="38">
        <v>79215.0</v>
      </c>
      <c r="C11964" s="38" t="s">
        <v>16097</v>
      </c>
      <c r="D11964" s="38" t="str">
        <f>IFERROR(__xludf.DUMMYFUNCTION("REGEXREPLACE(C11964,""-\d+(.*)|--\d+(.*)"","""")"),"POUGNE-HERISSON")</f>
        <v>POUGNE-HERISSON</v>
      </c>
      <c r="E11964" s="38" t="s">
        <v>337</v>
      </c>
      <c r="F11964" s="38" t="s">
        <v>338</v>
      </c>
      <c r="G11964" s="49" t="str">
        <f t="shared" si="1"/>
        <v>79130</v>
      </c>
      <c r="H11964" s="49">
        <f t="shared" si="2"/>
        <v>79215</v>
      </c>
    </row>
    <row r="11965">
      <c r="A11965" s="48" t="s">
        <v>1341</v>
      </c>
      <c r="B11965" s="38">
        <v>14212.0</v>
      </c>
      <c r="C11965" s="38" t="s">
        <v>16098</v>
      </c>
      <c r="D11965" s="38" t="str">
        <f>IFERROR(__xludf.DUMMYFUNCTION("REGEXREPLACE(C11965,""-\d+(.*)|--\d+(.*)"","""")"),"CULLY")</f>
        <v>CULLY</v>
      </c>
      <c r="E11965" s="38" t="s">
        <v>137</v>
      </c>
      <c r="F11965" s="38" t="s">
        <v>138</v>
      </c>
      <c r="G11965" s="49" t="str">
        <f t="shared" si="1"/>
        <v>14480</v>
      </c>
      <c r="H11965" s="49">
        <f t="shared" si="2"/>
        <v>14212</v>
      </c>
    </row>
    <row r="11966">
      <c r="A11966" s="48" t="s">
        <v>1833</v>
      </c>
      <c r="B11966" s="38">
        <v>31439.0</v>
      </c>
      <c r="C11966" s="38" t="s">
        <v>16099</v>
      </c>
      <c r="D11966" s="38" t="str">
        <f>IFERROR(__xludf.DUMMYFUNCTION("REGEXREPLACE(C11966,""-\d+(.*)|--\d+(.*)"","""")"),"PRESERVILLE")</f>
        <v>PRESERVILLE</v>
      </c>
      <c r="E11966" s="38" t="s">
        <v>93</v>
      </c>
      <c r="F11966" s="38" t="s">
        <v>94</v>
      </c>
      <c r="G11966" s="49" t="str">
        <f t="shared" si="1"/>
        <v>31570</v>
      </c>
      <c r="H11966" s="49">
        <f t="shared" si="2"/>
        <v>31439</v>
      </c>
    </row>
    <row r="11967">
      <c r="A11967" s="48" t="s">
        <v>2579</v>
      </c>
      <c r="B11967" s="38">
        <v>32365.0</v>
      </c>
      <c r="C11967" s="38" t="s">
        <v>16100</v>
      </c>
      <c r="D11967" s="38" t="str">
        <f>IFERROR(__xludf.DUMMYFUNCTION("REGEXREPLACE(C11967,""-\d+(.*)|--\d+(.*)"","""")"),"SAINT-BLANCARD")</f>
        <v>SAINT-BLANCARD</v>
      </c>
      <c r="E11967" s="38" t="s">
        <v>440</v>
      </c>
      <c r="F11967" s="38" t="s">
        <v>94</v>
      </c>
      <c r="G11967" s="49" t="str">
        <f t="shared" si="1"/>
        <v>32140</v>
      </c>
      <c r="H11967" s="49">
        <f t="shared" si="2"/>
        <v>32365</v>
      </c>
    </row>
    <row r="11968">
      <c r="A11968" s="48" t="s">
        <v>635</v>
      </c>
      <c r="B11968" s="38">
        <v>15207.0</v>
      </c>
      <c r="C11968" s="38" t="s">
        <v>16101</v>
      </c>
      <c r="D11968" s="38" t="str">
        <f>IFERROR(__xludf.DUMMYFUNCTION("REGEXREPLACE(C11968,""-\d+(.*)|--\d+(.*)"","""")"),"SAINT-PONCY")</f>
        <v>SAINT-PONCY</v>
      </c>
      <c r="E11968" s="38" t="s">
        <v>632</v>
      </c>
      <c r="F11968" s="38" t="s">
        <v>161</v>
      </c>
      <c r="G11968" s="49" t="str">
        <f t="shared" si="1"/>
        <v>15500</v>
      </c>
      <c r="H11968" s="49">
        <f t="shared" si="2"/>
        <v>15207</v>
      </c>
    </row>
    <row r="11969">
      <c r="A11969" s="48" t="s">
        <v>12300</v>
      </c>
      <c r="B11969" s="38">
        <v>37053.0</v>
      </c>
      <c r="C11969" s="38" t="s">
        <v>16102</v>
      </c>
      <c r="D11969" s="38" t="str">
        <f>IFERROR(__xludf.DUMMYFUNCTION("REGEXREPLACE(C11969,""-\d+(.*)|--\d+(.*)"","""")"),"CHANCEAUX-PRES-LOCHES")</f>
        <v>CHANCEAUX-PRES-LOCHES</v>
      </c>
      <c r="E11969" s="38" t="s">
        <v>205</v>
      </c>
      <c r="F11969" s="38" t="s">
        <v>123</v>
      </c>
      <c r="G11969" s="49" t="str">
        <f t="shared" si="1"/>
        <v>37600</v>
      </c>
      <c r="H11969" s="49">
        <f t="shared" si="2"/>
        <v>37053</v>
      </c>
    </row>
    <row r="11970">
      <c r="A11970" s="48" t="s">
        <v>2141</v>
      </c>
      <c r="B11970" s="38">
        <v>80179.0</v>
      </c>
      <c r="C11970" s="38" t="s">
        <v>16103</v>
      </c>
      <c r="D11970" s="38" t="str">
        <f>IFERROR(__xludf.DUMMYFUNCTION("REGEXREPLACE(C11970,""-\d+(.*)|--\d+(.*)"","""")"),"CAULIERES")</f>
        <v>CAULIERES</v>
      </c>
      <c r="E11970" s="38" t="s">
        <v>224</v>
      </c>
      <c r="F11970" s="38" t="s">
        <v>113</v>
      </c>
      <c r="G11970" s="49" t="str">
        <f t="shared" si="1"/>
        <v>80290</v>
      </c>
      <c r="H11970" s="49">
        <f t="shared" si="2"/>
        <v>80179</v>
      </c>
    </row>
    <row r="11971">
      <c r="A11971" s="48" t="s">
        <v>6526</v>
      </c>
      <c r="B11971" s="38">
        <v>69253.0</v>
      </c>
      <c r="C11971" s="38" t="s">
        <v>16104</v>
      </c>
      <c r="D11971" s="38" t="str">
        <f>IFERROR(__xludf.DUMMYFUNCTION("REGEXREPLACE(C11971,""-\d+(.*)|--\d+(.*)"","""")"),"TUPIN-ET-SEMONS")</f>
        <v>TUPIN-ET-SEMONS</v>
      </c>
      <c r="E11971" s="38" t="s">
        <v>350</v>
      </c>
      <c r="F11971" s="38" t="s">
        <v>102</v>
      </c>
      <c r="G11971" s="49" t="str">
        <f t="shared" si="1"/>
        <v>69420</v>
      </c>
      <c r="H11971" s="49">
        <f t="shared" si="2"/>
        <v>69253</v>
      </c>
    </row>
    <row r="11972">
      <c r="A11972" s="48" t="s">
        <v>5330</v>
      </c>
      <c r="B11972" s="38">
        <v>30129.0</v>
      </c>
      <c r="C11972" s="38" t="s">
        <v>16105</v>
      </c>
      <c r="D11972" s="38" t="str">
        <f>IFERROR(__xludf.DUMMYFUNCTION("REGEXREPLACE(C11972,""-\d+(.*)|--\d+(.*)"","""")"),"GENERARGUES")</f>
        <v>GENERARGUES</v>
      </c>
      <c r="E11972" s="38" t="s">
        <v>526</v>
      </c>
      <c r="F11972" s="38" t="s">
        <v>119</v>
      </c>
      <c r="G11972" s="49" t="str">
        <f t="shared" si="1"/>
        <v>30140</v>
      </c>
      <c r="H11972" s="49">
        <f t="shared" si="2"/>
        <v>30129</v>
      </c>
    </row>
    <row r="11973">
      <c r="A11973" s="48" t="s">
        <v>3321</v>
      </c>
      <c r="B11973" s="38">
        <v>47080.0</v>
      </c>
      <c r="C11973" s="38" t="s">
        <v>16106</v>
      </c>
      <c r="D11973" s="38" t="str">
        <f>IFERROR(__xludf.DUMMYFUNCTION("REGEXREPLACE(C11973,""-\d+(.*)|--\d+(.*)"","""")"),"DEVILLAC")</f>
        <v>DEVILLAC</v>
      </c>
      <c r="E11973" s="38" t="s">
        <v>251</v>
      </c>
      <c r="F11973" s="38" t="s">
        <v>252</v>
      </c>
      <c r="G11973" s="49" t="str">
        <f t="shared" si="1"/>
        <v>47210</v>
      </c>
      <c r="H11973" s="49">
        <f t="shared" si="2"/>
        <v>47080</v>
      </c>
    </row>
    <row r="11974">
      <c r="A11974" s="48" t="s">
        <v>3196</v>
      </c>
      <c r="B11974" s="38">
        <v>1150.0</v>
      </c>
      <c r="C11974" s="38" t="s">
        <v>16107</v>
      </c>
      <c r="D11974" s="38" t="str">
        <f>IFERROR(__xludf.DUMMYFUNCTION("REGEXREPLACE(C11974,""-\d+(.*)|--\d+(.*)"","""")"),"DROM")</f>
        <v>DROM</v>
      </c>
      <c r="E11974" s="38" t="s">
        <v>255</v>
      </c>
      <c r="F11974" s="38" t="s">
        <v>102</v>
      </c>
      <c r="G11974" s="49" t="str">
        <f t="shared" si="1"/>
        <v>01250</v>
      </c>
      <c r="H11974" s="49" t="str">
        <f t="shared" si="2"/>
        <v>01150</v>
      </c>
    </row>
    <row r="11975">
      <c r="A11975" s="48" t="s">
        <v>916</v>
      </c>
      <c r="B11975" s="38">
        <v>76198.0</v>
      </c>
      <c r="C11975" s="38" t="s">
        <v>16108</v>
      </c>
      <c r="D11975" s="38" t="str">
        <f>IFERROR(__xludf.DUMMYFUNCTION("REGEXREPLACE(C11975,""-\d+(.*)|--\d+(.*)"","""")"),"CRIQUETOT-SUR-OUVILLE")</f>
        <v>CRIQUETOT-SUR-OUVILLE</v>
      </c>
      <c r="E11975" s="38" t="s">
        <v>133</v>
      </c>
      <c r="F11975" s="38" t="s">
        <v>134</v>
      </c>
      <c r="G11975" s="49" t="str">
        <f t="shared" si="1"/>
        <v>76760</v>
      </c>
      <c r="H11975" s="49">
        <f t="shared" si="2"/>
        <v>76198</v>
      </c>
    </row>
    <row r="11976">
      <c r="A11976" s="48" t="s">
        <v>9995</v>
      </c>
      <c r="B11976" s="38">
        <v>49284.0</v>
      </c>
      <c r="C11976" s="38" t="s">
        <v>3108</v>
      </c>
      <c r="D11976" s="38" t="str">
        <f>IFERROR(__xludf.DUMMYFUNCTION("REGEXREPLACE(C11976,""-\d+(.*)|--\d+(.*)"","""")"),"SAINT-GERMAIN-DES-PRES")</f>
        <v>SAINT-GERMAIN-DES-PRES</v>
      </c>
      <c r="E11976" s="38" t="s">
        <v>653</v>
      </c>
      <c r="F11976" s="38" t="s">
        <v>180</v>
      </c>
      <c r="G11976" s="49" t="str">
        <f t="shared" si="1"/>
        <v>49170</v>
      </c>
      <c r="H11976" s="49">
        <f t="shared" si="2"/>
        <v>49284</v>
      </c>
    </row>
    <row r="11977">
      <c r="A11977" s="48" t="s">
        <v>910</v>
      </c>
      <c r="B11977" s="38">
        <v>32171.0</v>
      </c>
      <c r="C11977" s="38" t="s">
        <v>16109</v>
      </c>
      <c r="D11977" s="38" t="str">
        <f>IFERROR(__xludf.DUMMYFUNCTION("REGEXREPLACE(C11977,""-\d+(.*)|--\d+(.*)"","""")"),"LABASTIDE-SAVES")</f>
        <v>LABASTIDE-SAVES</v>
      </c>
      <c r="E11977" s="38" t="s">
        <v>440</v>
      </c>
      <c r="F11977" s="38" t="s">
        <v>94</v>
      </c>
      <c r="G11977" s="49" t="str">
        <f t="shared" si="1"/>
        <v>32130</v>
      </c>
      <c r="H11977" s="49">
        <f t="shared" si="2"/>
        <v>32171</v>
      </c>
    </row>
    <row r="11978">
      <c r="A11978" s="48" t="s">
        <v>11538</v>
      </c>
      <c r="B11978" s="38">
        <v>61423.0</v>
      </c>
      <c r="C11978" s="38" t="s">
        <v>16110</v>
      </c>
      <c r="D11978" s="38" t="str">
        <f>IFERROR(__xludf.DUMMYFUNCTION("REGEXREPLACE(C11978,""-\d+(.*)|--\d+(.*)"","""")"),"SAINT-MARTIN-D'ECUBLEI")</f>
        <v>SAINT-MARTIN-D'ECUBLEI</v>
      </c>
      <c r="E11978" s="38" t="s">
        <v>141</v>
      </c>
      <c r="F11978" s="38" t="s">
        <v>138</v>
      </c>
      <c r="G11978" s="49" t="str">
        <f t="shared" si="1"/>
        <v>61300</v>
      </c>
      <c r="H11978" s="49">
        <f t="shared" si="2"/>
        <v>61423</v>
      </c>
    </row>
    <row r="11979">
      <c r="A11979" s="48" t="s">
        <v>2812</v>
      </c>
      <c r="B11979" s="38">
        <v>61250.0</v>
      </c>
      <c r="C11979" s="38" t="s">
        <v>16111</v>
      </c>
      <c r="D11979" s="38" t="str">
        <f>IFERROR(__xludf.DUMMYFUNCTION("REGEXREPLACE(C11979,""-\d+(.*)|--\d+(.*)"","""")"),"MARCHAINVILLE")</f>
        <v>MARCHAINVILLE</v>
      </c>
      <c r="E11979" s="38" t="s">
        <v>141</v>
      </c>
      <c r="F11979" s="38" t="s">
        <v>138</v>
      </c>
      <c r="G11979" s="49" t="str">
        <f t="shared" si="1"/>
        <v>61290</v>
      </c>
      <c r="H11979" s="49">
        <f t="shared" si="2"/>
        <v>61250</v>
      </c>
    </row>
    <row r="11980">
      <c r="A11980" s="48" t="s">
        <v>2387</v>
      </c>
      <c r="B11980" s="38">
        <v>42130.0</v>
      </c>
      <c r="C11980" s="38" t="s">
        <v>16112</v>
      </c>
      <c r="D11980" s="38" t="str">
        <f>IFERROR(__xludf.DUMMYFUNCTION("REGEXREPLACE(C11980,""-\d+(.*)|--\d+(.*)"","""")"),"MAGNEUX-HAUTE-RIVE")</f>
        <v>MAGNEUX-HAUTE-RIVE</v>
      </c>
      <c r="E11980" s="38" t="s">
        <v>166</v>
      </c>
      <c r="F11980" s="38" t="s">
        <v>102</v>
      </c>
      <c r="G11980" s="49" t="str">
        <f t="shared" si="1"/>
        <v>42600</v>
      </c>
      <c r="H11980" s="49">
        <f t="shared" si="2"/>
        <v>42130</v>
      </c>
    </row>
    <row r="11981">
      <c r="A11981" s="48" t="s">
        <v>16113</v>
      </c>
      <c r="B11981" s="38">
        <v>64102.0</v>
      </c>
      <c r="C11981" s="38" t="s">
        <v>16114</v>
      </c>
      <c r="D11981" s="38" t="str">
        <f>IFERROR(__xludf.DUMMYFUNCTION("REGEXREPLACE(C11981,""-\d+(.*)|--\d+(.*)"","""")"),"BAYONNE")</f>
        <v>BAYONNE</v>
      </c>
      <c r="E11981" s="38" t="s">
        <v>268</v>
      </c>
      <c r="F11981" s="38" t="s">
        <v>252</v>
      </c>
      <c r="G11981" s="49" t="str">
        <f t="shared" si="1"/>
        <v>64100</v>
      </c>
      <c r="H11981" s="49">
        <f t="shared" si="2"/>
        <v>64102</v>
      </c>
    </row>
    <row r="11982">
      <c r="A11982" s="48" t="s">
        <v>495</v>
      </c>
      <c r="B11982" s="38">
        <v>40182.0</v>
      </c>
      <c r="C11982" s="38" t="s">
        <v>16115</v>
      </c>
      <c r="D11982" s="38" t="str">
        <f>IFERROR(__xludf.DUMMYFUNCTION("REGEXREPLACE(C11982,""-\d+(.*)|--\d+(.*)"","""")"),"MEZOS")</f>
        <v>MEZOS</v>
      </c>
      <c r="E11982" s="38" t="s">
        <v>281</v>
      </c>
      <c r="F11982" s="38" t="s">
        <v>252</v>
      </c>
      <c r="G11982" s="49" t="str">
        <f t="shared" si="1"/>
        <v>40170</v>
      </c>
      <c r="H11982" s="49">
        <f t="shared" si="2"/>
        <v>40182</v>
      </c>
    </row>
    <row r="11983">
      <c r="A11983" s="48" t="s">
        <v>9225</v>
      </c>
      <c r="B11983" s="38">
        <v>23035.0</v>
      </c>
      <c r="C11983" s="38" t="s">
        <v>16116</v>
      </c>
      <c r="D11983" s="38" t="str">
        <f>IFERROR(__xludf.DUMMYFUNCTION("REGEXREPLACE(C11983,""-\d+(.*)|--\d+(.*)"","""")"),"BUDELIERE")</f>
        <v>BUDELIERE</v>
      </c>
      <c r="E11983" s="38" t="s">
        <v>97</v>
      </c>
      <c r="F11983" s="38" t="s">
        <v>98</v>
      </c>
      <c r="G11983" s="49" t="str">
        <f t="shared" si="1"/>
        <v>23170</v>
      </c>
      <c r="H11983" s="49">
        <f t="shared" si="2"/>
        <v>23035</v>
      </c>
    </row>
    <row r="11984">
      <c r="A11984" s="48" t="s">
        <v>16117</v>
      </c>
      <c r="B11984" s="38">
        <v>63236.0</v>
      </c>
      <c r="C11984" s="38" t="s">
        <v>16118</v>
      </c>
      <c r="D11984" s="38" t="str">
        <f>IFERROR(__xludf.DUMMYFUNCTION("REGEXREPLACE(C11984,""-\d+(.*)|--\d+(.*)"","""")"),"MONT-DORE")</f>
        <v>MONT-DORE</v>
      </c>
      <c r="E11984" s="38" t="s">
        <v>353</v>
      </c>
      <c r="F11984" s="38" t="s">
        <v>161</v>
      </c>
      <c r="G11984" s="49" t="str">
        <f t="shared" si="1"/>
        <v>63240</v>
      </c>
      <c r="H11984" s="49">
        <f t="shared" si="2"/>
        <v>63236</v>
      </c>
    </row>
    <row r="11985">
      <c r="A11985" s="48" t="s">
        <v>3069</v>
      </c>
      <c r="B11985" s="38">
        <v>68073.0</v>
      </c>
      <c r="C11985" s="38" t="s">
        <v>16119</v>
      </c>
      <c r="D11985" s="38" t="str">
        <f>IFERROR(__xludf.DUMMYFUNCTION("REGEXREPLACE(C11985,""-\d+(.*)|--\d+(.*)"","""")"),"DOLLEREN")</f>
        <v>DOLLEREN</v>
      </c>
      <c r="E11985" s="38" t="s">
        <v>150</v>
      </c>
      <c r="F11985" s="38" t="s">
        <v>151</v>
      </c>
      <c r="G11985" s="49" t="str">
        <f t="shared" si="1"/>
        <v>68290</v>
      </c>
      <c r="H11985" s="49">
        <f t="shared" si="2"/>
        <v>68073</v>
      </c>
    </row>
    <row r="11986">
      <c r="A11986" s="48" t="s">
        <v>618</v>
      </c>
      <c r="B11986" s="38">
        <v>54003.0</v>
      </c>
      <c r="C11986" s="38" t="s">
        <v>16120</v>
      </c>
      <c r="D11986" s="38" t="str">
        <f>IFERROR(__xludf.DUMMYFUNCTION("REGEXREPLACE(C11986,""-\d+(.*)|--\d+(.*)"","""")"),"ABONCOURT")</f>
        <v>ABONCOURT</v>
      </c>
      <c r="E11986" s="38" t="s">
        <v>548</v>
      </c>
      <c r="F11986" s="38" t="s">
        <v>195</v>
      </c>
      <c r="G11986" s="49" t="str">
        <f t="shared" si="1"/>
        <v>54115</v>
      </c>
      <c r="H11986" s="49">
        <f t="shared" si="2"/>
        <v>54003</v>
      </c>
    </row>
    <row r="11987">
      <c r="A11987" s="48" t="s">
        <v>16121</v>
      </c>
      <c r="B11987" s="38">
        <v>62237.0</v>
      </c>
      <c r="C11987" s="38" t="s">
        <v>16122</v>
      </c>
      <c r="D11987" s="38" t="str">
        <f>IFERROR(__xludf.DUMMYFUNCTION("REGEXREPLACE(C11987,""-\d+(.*)|--\d+(.*)"","""")"),"CONTEVILLE-LES-BOULOGNE")</f>
        <v>CONTEVILLE-LES-BOULOGNE</v>
      </c>
      <c r="E11987" s="38" t="s">
        <v>109</v>
      </c>
      <c r="F11987" s="38" t="s">
        <v>86</v>
      </c>
      <c r="G11987" s="49" t="str">
        <f t="shared" si="1"/>
        <v>62126</v>
      </c>
      <c r="H11987" s="49">
        <f t="shared" si="2"/>
        <v>62237</v>
      </c>
    </row>
    <row r="11988">
      <c r="A11988" s="48" t="s">
        <v>4830</v>
      </c>
      <c r="B11988" s="38">
        <v>61195.0</v>
      </c>
      <c r="C11988" s="38" t="s">
        <v>16123</v>
      </c>
      <c r="D11988" s="38" t="str">
        <f>IFERROR(__xludf.DUMMYFUNCTION("REGEXREPLACE(C11988,""-\d+(.*)|--\d+(.*)"","""")"),"LE GRAIS")</f>
        <v>LE GRAIS</v>
      </c>
      <c r="E11988" s="38" t="s">
        <v>141</v>
      </c>
      <c r="F11988" s="38" t="s">
        <v>138</v>
      </c>
      <c r="G11988" s="49" t="str">
        <f t="shared" si="1"/>
        <v>61600</v>
      </c>
      <c r="H11988" s="49">
        <f t="shared" si="2"/>
        <v>61195</v>
      </c>
    </row>
    <row r="11989">
      <c r="A11989" s="48" t="s">
        <v>1883</v>
      </c>
      <c r="B11989" s="38">
        <v>39172.0</v>
      </c>
      <c r="C11989" s="38" t="s">
        <v>16124</v>
      </c>
      <c r="D11989" s="38" t="str">
        <f>IFERROR(__xludf.DUMMYFUNCTION("REGEXREPLACE(C11989,""-\d+(.*)|--\d+(.*)"","""")"),"COURTEFONTAINE")</f>
        <v>COURTEFONTAINE</v>
      </c>
      <c r="E11989" s="38" t="s">
        <v>400</v>
      </c>
      <c r="F11989" s="38" t="s">
        <v>214</v>
      </c>
      <c r="G11989" s="49" t="str">
        <f t="shared" si="1"/>
        <v>39700</v>
      </c>
      <c r="H11989" s="49">
        <f t="shared" si="2"/>
        <v>39172</v>
      </c>
    </row>
    <row r="11990">
      <c r="A11990" s="48" t="s">
        <v>16125</v>
      </c>
      <c r="B11990" s="38">
        <v>35128.0</v>
      </c>
      <c r="C11990" s="38" t="s">
        <v>16126</v>
      </c>
      <c r="D11990" s="38" t="str">
        <f>IFERROR(__xludf.DUMMYFUNCTION("REGEXREPLACE(C11990,""-\d+(.*)|--\d+(.*)"","""")"),"GUIPEL")</f>
        <v>GUIPEL</v>
      </c>
      <c r="E11990" s="38" t="s">
        <v>347</v>
      </c>
      <c r="F11990" s="38" t="s">
        <v>90</v>
      </c>
      <c r="G11990" s="49" t="str">
        <f t="shared" si="1"/>
        <v>35440</v>
      </c>
      <c r="H11990" s="49">
        <f t="shared" si="2"/>
        <v>35128</v>
      </c>
    </row>
    <row r="11991">
      <c r="A11991" s="48" t="s">
        <v>4185</v>
      </c>
      <c r="B11991" s="38">
        <v>30238.0</v>
      </c>
      <c r="C11991" s="38" t="s">
        <v>16127</v>
      </c>
      <c r="D11991" s="38" t="str">
        <f>IFERROR(__xludf.DUMMYFUNCTION("REGEXREPLACE(C11991,""-\d+(.*)|--\d+(.*)"","""")"),"SAINT-BRESSON")</f>
        <v>SAINT-BRESSON</v>
      </c>
      <c r="E11991" s="38" t="s">
        <v>526</v>
      </c>
      <c r="F11991" s="38" t="s">
        <v>119</v>
      </c>
      <c r="G11991" s="49" t="str">
        <f t="shared" si="1"/>
        <v>30440</v>
      </c>
      <c r="H11991" s="49">
        <f t="shared" si="2"/>
        <v>30238</v>
      </c>
    </row>
    <row r="11992">
      <c r="A11992" s="48" t="s">
        <v>1147</v>
      </c>
      <c r="B11992" s="38">
        <v>37078.0</v>
      </c>
      <c r="C11992" s="38" t="s">
        <v>16128</v>
      </c>
      <c r="D11992" s="38" t="str">
        <f>IFERROR(__xludf.DUMMYFUNCTION("REGEXREPLACE(C11992,""-\d+(.*)|--\d+(.*)"","""")"),"CIRAN")</f>
        <v>CIRAN</v>
      </c>
      <c r="E11992" s="38" t="s">
        <v>205</v>
      </c>
      <c r="F11992" s="38" t="s">
        <v>123</v>
      </c>
      <c r="G11992" s="49" t="str">
        <f t="shared" si="1"/>
        <v>37240</v>
      </c>
      <c r="H11992" s="49">
        <f t="shared" si="2"/>
        <v>37078</v>
      </c>
    </row>
    <row r="11993">
      <c r="A11993" s="48" t="s">
        <v>4626</v>
      </c>
      <c r="B11993" s="38">
        <v>16127.0</v>
      </c>
      <c r="C11993" s="38" t="s">
        <v>16129</v>
      </c>
      <c r="D11993" s="38" t="str">
        <f>IFERROR(__xludf.DUMMYFUNCTION("REGEXREPLACE(C11993,""-\d+(.*)|--\d+(.*)"","""")"),"EMPURE")</f>
        <v>EMPURE</v>
      </c>
      <c r="E11993" s="38" t="s">
        <v>429</v>
      </c>
      <c r="F11993" s="38" t="s">
        <v>338</v>
      </c>
      <c r="G11993" s="49" t="str">
        <f t="shared" si="1"/>
        <v>16240</v>
      </c>
      <c r="H11993" s="49">
        <f t="shared" si="2"/>
        <v>16127</v>
      </c>
    </row>
    <row r="11994">
      <c r="A11994" s="48" t="s">
        <v>323</v>
      </c>
      <c r="B11994" s="38">
        <v>52034.0</v>
      </c>
      <c r="C11994" s="38" t="s">
        <v>16130</v>
      </c>
      <c r="D11994" s="38" t="str">
        <f>IFERROR(__xludf.DUMMYFUNCTION("REGEXREPLACE(C11994,""-\d+(.*)|--\d+(.*)"","""")"),"BAILLY-AUX-FORGES")</f>
        <v>BAILLY-AUX-FORGES</v>
      </c>
      <c r="E11994" s="38" t="s">
        <v>234</v>
      </c>
      <c r="F11994" s="38" t="s">
        <v>130</v>
      </c>
      <c r="G11994" s="49" t="str">
        <f t="shared" si="1"/>
        <v>52130</v>
      </c>
      <c r="H11994" s="49">
        <f t="shared" si="2"/>
        <v>52034</v>
      </c>
    </row>
    <row r="11995">
      <c r="A11995" s="48" t="s">
        <v>14837</v>
      </c>
      <c r="B11995" s="38">
        <v>43077.0</v>
      </c>
      <c r="C11995" s="38" t="s">
        <v>16131</v>
      </c>
      <c r="D11995" s="38" t="str">
        <f>IFERROR(__xludf.DUMMYFUNCTION("REGEXREPLACE(C11995,""-\d+(.*)|--\d+(.*)"","""")"),"COSTAROS")</f>
        <v>COSTAROS</v>
      </c>
      <c r="E11995" s="38" t="s">
        <v>332</v>
      </c>
      <c r="F11995" s="38" t="s">
        <v>161</v>
      </c>
      <c r="G11995" s="49" t="str">
        <f t="shared" si="1"/>
        <v>43490</v>
      </c>
      <c r="H11995" s="49">
        <f t="shared" si="2"/>
        <v>43077</v>
      </c>
    </row>
    <row r="11996">
      <c r="A11996" s="48" t="s">
        <v>1195</v>
      </c>
      <c r="B11996" s="38">
        <v>80449.0</v>
      </c>
      <c r="C11996" s="38" t="s">
        <v>16132</v>
      </c>
      <c r="D11996" s="38" t="str">
        <f>IFERROR(__xludf.DUMMYFUNCTION("REGEXREPLACE(C11996,""-\d+(.*)|--\d+(.*)"","""")"),"IGNAUCOURT")</f>
        <v>IGNAUCOURT</v>
      </c>
      <c r="E11996" s="38" t="s">
        <v>224</v>
      </c>
      <c r="F11996" s="38" t="s">
        <v>113</v>
      </c>
      <c r="G11996" s="49" t="str">
        <f t="shared" si="1"/>
        <v>80800</v>
      </c>
      <c r="H11996" s="49">
        <f t="shared" si="2"/>
        <v>80449</v>
      </c>
    </row>
    <row r="11997">
      <c r="A11997" s="48" t="s">
        <v>10987</v>
      </c>
      <c r="B11997" s="38">
        <v>31584.0</v>
      </c>
      <c r="C11997" s="38" t="s">
        <v>16133</v>
      </c>
      <c r="D11997" s="38" t="str">
        <f>IFERROR(__xludf.DUMMYFUNCTION("REGEXREPLACE(C11997,""-\d+(.*)|--\d+(.*)"","""")"),"VILLEMUR-SUR-TARN")</f>
        <v>VILLEMUR-SUR-TARN</v>
      </c>
      <c r="E11997" s="38" t="s">
        <v>93</v>
      </c>
      <c r="F11997" s="38" t="s">
        <v>94</v>
      </c>
      <c r="G11997" s="49" t="str">
        <f t="shared" si="1"/>
        <v>31340</v>
      </c>
      <c r="H11997" s="49">
        <f t="shared" si="2"/>
        <v>31584</v>
      </c>
    </row>
    <row r="11998">
      <c r="A11998" s="48" t="s">
        <v>1947</v>
      </c>
      <c r="B11998" s="38">
        <v>52372.0</v>
      </c>
      <c r="C11998" s="38" t="s">
        <v>16134</v>
      </c>
      <c r="D11998" s="38" t="str">
        <f>IFERROR(__xludf.DUMMYFUNCTION("REGEXREPLACE(C11998,""-\d+(.*)|--\d+(.*)"","""")"),"OUTREMECOURT")</f>
        <v>OUTREMECOURT</v>
      </c>
      <c r="E11998" s="38" t="s">
        <v>234</v>
      </c>
      <c r="F11998" s="38" t="s">
        <v>130</v>
      </c>
      <c r="G11998" s="49" t="str">
        <f t="shared" si="1"/>
        <v>52150</v>
      </c>
      <c r="H11998" s="49">
        <f t="shared" si="2"/>
        <v>52372</v>
      </c>
    </row>
    <row r="11999">
      <c r="A11999" s="48" t="s">
        <v>4748</v>
      </c>
      <c r="B11999" s="38">
        <v>77476.0</v>
      </c>
      <c r="C11999" s="38" t="s">
        <v>16135</v>
      </c>
      <c r="D11999" s="38" t="str">
        <f>IFERROR(__xludf.DUMMYFUNCTION("REGEXREPLACE(C11999,""-\d+(.*)|--\d+(.*)"","""")"),"TROCY-EN-MULTIEN")</f>
        <v>TROCY-EN-MULTIEN</v>
      </c>
      <c r="E11999" s="38" t="s">
        <v>244</v>
      </c>
      <c r="F11999" s="38" t="s">
        <v>245</v>
      </c>
      <c r="G11999" s="49" t="str">
        <f t="shared" si="1"/>
        <v>77440</v>
      </c>
      <c r="H11999" s="49">
        <f t="shared" si="2"/>
        <v>77476</v>
      </c>
    </row>
    <row r="12000">
      <c r="A12000" s="48" t="s">
        <v>7933</v>
      </c>
      <c r="B12000" s="38">
        <v>27452.0</v>
      </c>
      <c r="C12000" s="38" t="s">
        <v>16136</v>
      </c>
      <c r="D12000" s="38" t="str">
        <f>IFERROR(__xludf.DUMMYFUNCTION("REGEXREPLACE(C12000,""-\d+(.*)|--\d+(.*)"","""")"),"PERRIERS-LA-CAMPAGNE")</f>
        <v>PERRIERS-LA-CAMPAGNE</v>
      </c>
      <c r="E12000" s="38" t="s">
        <v>241</v>
      </c>
      <c r="F12000" s="38" t="s">
        <v>134</v>
      </c>
      <c r="G12000" s="49" t="str">
        <f t="shared" si="1"/>
        <v>27170</v>
      </c>
      <c r="H12000" s="49">
        <f t="shared" si="2"/>
        <v>27452</v>
      </c>
    </row>
    <row r="12001">
      <c r="A12001" s="48" t="s">
        <v>9772</v>
      </c>
      <c r="B12001" s="38">
        <v>25248.0</v>
      </c>
      <c r="C12001" s="38" t="s">
        <v>16137</v>
      </c>
      <c r="D12001" s="38" t="str">
        <f>IFERROR(__xludf.DUMMYFUNCTION("REGEXREPLACE(C12001,""-\d+(.*)|--\d+(.*)"","""")"),"LES FONTENELLES")</f>
        <v>LES FONTENELLES</v>
      </c>
      <c r="E12001" s="38" t="s">
        <v>213</v>
      </c>
      <c r="F12001" s="38" t="s">
        <v>214</v>
      </c>
      <c r="G12001" s="49" t="str">
        <f t="shared" si="1"/>
        <v>25210</v>
      </c>
      <c r="H12001" s="49">
        <f t="shared" si="2"/>
        <v>25248</v>
      </c>
    </row>
    <row r="12002">
      <c r="A12002" s="48" t="s">
        <v>4586</v>
      </c>
      <c r="B12002" s="38">
        <v>40253.0</v>
      </c>
      <c r="C12002" s="38" t="s">
        <v>16138</v>
      </c>
      <c r="D12002" s="38" t="str">
        <f>IFERROR(__xludf.DUMMYFUNCTION("REGEXREPLACE(C12002,""-\d+(.*)|--\d+(.*)"","""")"),"SAINT-CRICQ-CHALOSSE")</f>
        <v>SAINT-CRICQ-CHALOSSE</v>
      </c>
      <c r="E12002" s="38" t="s">
        <v>281</v>
      </c>
      <c r="F12002" s="38" t="s">
        <v>252</v>
      </c>
      <c r="G12002" s="49" t="str">
        <f t="shared" si="1"/>
        <v>40700</v>
      </c>
      <c r="H12002" s="49">
        <f t="shared" si="2"/>
        <v>40253</v>
      </c>
    </row>
    <row r="12003">
      <c r="A12003" s="48" t="s">
        <v>2404</v>
      </c>
      <c r="B12003" s="38">
        <v>31003.0</v>
      </c>
      <c r="C12003" s="38" t="s">
        <v>16139</v>
      </c>
      <c r="D12003" s="38" t="str">
        <f>IFERROR(__xludf.DUMMYFUNCTION("REGEXREPLACE(C12003,""-\d+(.*)|--\d+(.*)"","""")"),"AIGREFEUILLE")</f>
        <v>AIGREFEUILLE</v>
      </c>
      <c r="E12003" s="38" t="s">
        <v>93</v>
      </c>
      <c r="F12003" s="38" t="s">
        <v>94</v>
      </c>
      <c r="G12003" s="49" t="str">
        <f t="shared" si="1"/>
        <v>31280</v>
      </c>
      <c r="H12003" s="49">
        <f t="shared" si="2"/>
        <v>31003</v>
      </c>
    </row>
    <row r="12004">
      <c r="A12004" s="48" t="s">
        <v>3404</v>
      </c>
      <c r="B12004" s="38">
        <v>39264.0</v>
      </c>
      <c r="C12004" s="38" t="s">
        <v>16140</v>
      </c>
      <c r="D12004" s="38" t="str">
        <f>IFERROR(__xludf.DUMMYFUNCTION("REGEXREPLACE(C12004,""-\d+(.*)|--\d+(.*)"","""")"),"GRUSSE")</f>
        <v>GRUSSE</v>
      </c>
      <c r="E12004" s="38" t="s">
        <v>400</v>
      </c>
      <c r="F12004" s="38" t="s">
        <v>214</v>
      </c>
      <c r="G12004" s="49" t="str">
        <f t="shared" si="1"/>
        <v>39190</v>
      </c>
      <c r="H12004" s="49">
        <f t="shared" si="2"/>
        <v>39264</v>
      </c>
    </row>
    <row r="12005">
      <c r="A12005" s="48" t="s">
        <v>1819</v>
      </c>
      <c r="B12005" s="38">
        <v>16255.0</v>
      </c>
      <c r="C12005" s="38" t="s">
        <v>16141</v>
      </c>
      <c r="D12005" s="38" t="str">
        <f>IFERROR(__xludf.DUMMYFUNCTION("REGEXREPLACE(C12005,""-\d+(.*)|--\d+(.*)"","""")"),"PARZAC")</f>
        <v>PARZAC</v>
      </c>
      <c r="E12005" s="38" t="s">
        <v>429</v>
      </c>
      <c r="F12005" s="38" t="s">
        <v>338</v>
      </c>
      <c r="G12005" s="49" t="str">
        <f t="shared" si="1"/>
        <v>16450</v>
      </c>
      <c r="H12005" s="49">
        <f t="shared" si="2"/>
        <v>16255</v>
      </c>
    </row>
    <row r="12006">
      <c r="A12006" s="48" t="s">
        <v>1644</v>
      </c>
      <c r="B12006" s="38">
        <v>21671.0</v>
      </c>
      <c r="C12006" s="38" t="s">
        <v>16142</v>
      </c>
      <c r="D12006" s="38" t="str">
        <f>IFERROR(__xludf.DUMMYFUNCTION("REGEXREPLACE(C12006,""-\d+(.*)|--\d+(.*)"","""")"),"VERTAULT")</f>
        <v>VERTAULT</v>
      </c>
      <c r="E12006" s="38" t="s">
        <v>105</v>
      </c>
      <c r="F12006" s="38" t="s">
        <v>106</v>
      </c>
      <c r="G12006" s="49" t="str">
        <f t="shared" si="1"/>
        <v>21330</v>
      </c>
      <c r="H12006" s="49">
        <f t="shared" si="2"/>
        <v>21671</v>
      </c>
    </row>
    <row r="12007">
      <c r="A12007" s="48" t="s">
        <v>2773</v>
      </c>
      <c r="B12007" s="38">
        <v>21704.0</v>
      </c>
      <c r="C12007" s="38" t="s">
        <v>16143</v>
      </c>
      <c r="D12007" s="38" t="str">
        <f>IFERROR(__xludf.DUMMYFUNCTION("REGEXREPLACE(C12007,""-\d+(.*)|--\d+(.*)"","""")"),"VILLIERS-LE-DUC")</f>
        <v>VILLIERS-LE-DUC</v>
      </c>
      <c r="E12007" s="38" t="s">
        <v>105</v>
      </c>
      <c r="F12007" s="38" t="s">
        <v>106</v>
      </c>
      <c r="G12007" s="49" t="str">
        <f t="shared" si="1"/>
        <v>21400</v>
      </c>
      <c r="H12007" s="49">
        <f t="shared" si="2"/>
        <v>21704</v>
      </c>
    </row>
    <row r="12008">
      <c r="A12008" s="48" t="s">
        <v>8831</v>
      </c>
      <c r="B12008" s="38">
        <v>15035.0</v>
      </c>
      <c r="C12008" s="38" t="s">
        <v>16144</v>
      </c>
      <c r="D12008" s="38" t="str">
        <f>IFERROR(__xludf.DUMMYFUNCTION("REGEXREPLACE(C12008,""-\d+(.*)|--\d+(.*)"","""")"),"CHALINARGUES")</f>
        <v>CHALINARGUES</v>
      </c>
      <c r="E12008" s="38" t="s">
        <v>632</v>
      </c>
      <c r="F12008" s="38" t="s">
        <v>161</v>
      </c>
      <c r="G12008" s="49" t="str">
        <f t="shared" si="1"/>
        <v>15170</v>
      </c>
      <c r="H12008" s="49">
        <f t="shared" si="2"/>
        <v>15035</v>
      </c>
    </row>
    <row r="12009">
      <c r="A12009" s="48" t="s">
        <v>9772</v>
      </c>
      <c r="B12009" s="38">
        <v>25522.0</v>
      </c>
      <c r="C12009" s="38" t="s">
        <v>16145</v>
      </c>
      <c r="D12009" s="38" t="str">
        <f>IFERROR(__xludf.DUMMYFUNCTION("REGEXREPLACE(C12009,""-\d+(.*)|--\d+(.*)"","""")"),"SAINT-JULIEN-LES-RUSSEY")</f>
        <v>SAINT-JULIEN-LES-RUSSEY</v>
      </c>
      <c r="E12009" s="38" t="s">
        <v>213</v>
      </c>
      <c r="F12009" s="38" t="s">
        <v>214</v>
      </c>
      <c r="G12009" s="49" t="str">
        <f t="shared" si="1"/>
        <v>25210</v>
      </c>
      <c r="H12009" s="49">
        <f t="shared" si="2"/>
        <v>25522</v>
      </c>
    </row>
    <row r="12010">
      <c r="A12010" s="48" t="s">
        <v>390</v>
      </c>
      <c r="B12010" s="38">
        <v>11299.0</v>
      </c>
      <c r="C12010" s="38" t="s">
        <v>16146</v>
      </c>
      <c r="D12010" s="38" t="str">
        <f>IFERROR(__xludf.DUMMYFUNCTION("REGEXREPLACE(C12010,""-\d+(.*)|--\d+(.*)"","""")"),"PREIXAN")</f>
        <v>PREIXAN</v>
      </c>
      <c r="E12010" s="38" t="s">
        <v>278</v>
      </c>
      <c r="F12010" s="38" t="s">
        <v>119</v>
      </c>
      <c r="G12010" s="49" t="str">
        <f t="shared" si="1"/>
        <v>11250</v>
      </c>
      <c r="H12010" s="49">
        <f t="shared" si="2"/>
        <v>11299</v>
      </c>
    </row>
    <row r="12011">
      <c r="A12011" s="48" t="s">
        <v>3268</v>
      </c>
      <c r="B12011" s="38">
        <v>82171.0</v>
      </c>
      <c r="C12011" s="38" t="s">
        <v>16147</v>
      </c>
      <c r="D12011" s="38" t="str">
        <f>IFERROR(__xludf.DUMMYFUNCTION("REGEXREPLACE(C12011,""-\d+(.*)|--\d+(.*)"","""")"),"SAINT-PORQUIER")</f>
        <v>SAINT-PORQUIER</v>
      </c>
      <c r="E12011" s="38" t="s">
        <v>570</v>
      </c>
      <c r="F12011" s="38" t="s">
        <v>94</v>
      </c>
      <c r="G12011" s="49" t="str">
        <f t="shared" si="1"/>
        <v>82700</v>
      </c>
      <c r="H12011" s="49">
        <f t="shared" si="2"/>
        <v>82171</v>
      </c>
    </row>
    <row r="12012">
      <c r="A12012" s="48" t="s">
        <v>15308</v>
      </c>
      <c r="B12012" s="38">
        <v>69264.0</v>
      </c>
      <c r="C12012" s="38" t="s">
        <v>16148</v>
      </c>
      <c r="D12012" s="38" t="str">
        <f>IFERROR(__xludf.DUMMYFUNCTION("REGEXREPLACE(C12012,""-\d+(.*)|--\d+(.*)"","""")"),"VILLEFRANCHE-SUR-SAONE")</f>
        <v>VILLEFRANCHE-SUR-SAONE</v>
      </c>
      <c r="E12012" s="38" t="s">
        <v>350</v>
      </c>
      <c r="F12012" s="38" t="s">
        <v>102</v>
      </c>
      <c r="G12012" s="49" t="str">
        <f t="shared" si="1"/>
        <v>69400</v>
      </c>
      <c r="H12012" s="49">
        <f t="shared" si="2"/>
        <v>69264</v>
      </c>
    </row>
    <row r="12013">
      <c r="A12013" s="48" t="s">
        <v>2073</v>
      </c>
      <c r="B12013" s="38">
        <v>8439.0</v>
      </c>
      <c r="C12013" s="38" t="s">
        <v>16149</v>
      </c>
      <c r="D12013" s="38" t="str">
        <f>IFERROR(__xludf.DUMMYFUNCTION("REGEXREPLACE(C12013,""-\d+(.*)|--\d+(.*)"","""")"),"TANNAY")</f>
        <v>TANNAY</v>
      </c>
      <c r="E12013" s="38" t="s">
        <v>327</v>
      </c>
      <c r="F12013" s="38" t="s">
        <v>130</v>
      </c>
      <c r="G12013" s="49" t="str">
        <f t="shared" si="1"/>
        <v>08390</v>
      </c>
      <c r="H12013" s="49" t="str">
        <f t="shared" si="2"/>
        <v>08439</v>
      </c>
    </row>
    <row r="12014">
      <c r="A12014" s="48" t="s">
        <v>10131</v>
      </c>
      <c r="B12014" s="38">
        <v>22194.0</v>
      </c>
      <c r="C12014" s="38" t="s">
        <v>16150</v>
      </c>
      <c r="D12014" s="38" t="str">
        <f>IFERROR(__xludf.DUMMYFUNCTION("REGEXREPLACE(C12014,""-\d+(.*)|--\d+(.*)"","""")"),"PLESTIN-LES-GREVES")</f>
        <v>PLESTIN-LES-GREVES</v>
      </c>
      <c r="E12014" s="38" t="s">
        <v>89</v>
      </c>
      <c r="F12014" s="38" t="s">
        <v>90</v>
      </c>
      <c r="G12014" s="49" t="str">
        <f t="shared" si="1"/>
        <v>22310</v>
      </c>
      <c r="H12014" s="49">
        <f t="shared" si="2"/>
        <v>22194</v>
      </c>
    </row>
    <row r="12015">
      <c r="A12015" s="48" t="s">
        <v>6073</v>
      </c>
      <c r="B12015" s="38">
        <v>40289.0</v>
      </c>
      <c r="C12015" s="38" t="s">
        <v>16151</v>
      </c>
      <c r="D12015" s="38" t="str">
        <f>IFERROR(__xludf.DUMMYFUNCTION("REGEXREPLACE(C12015,""-\d+(.*)|--\d+(.*)"","""")"),"SARRAZIET")</f>
        <v>SARRAZIET</v>
      </c>
      <c r="E12015" s="38" t="s">
        <v>281</v>
      </c>
      <c r="F12015" s="38" t="s">
        <v>252</v>
      </c>
      <c r="G12015" s="49" t="str">
        <f t="shared" si="1"/>
        <v>40500</v>
      </c>
      <c r="H12015" s="49">
        <f t="shared" si="2"/>
        <v>40289</v>
      </c>
    </row>
    <row r="12016">
      <c r="A12016" s="48" t="s">
        <v>2047</v>
      </c>
      <c r="B12016" s="38">
        <v>62387.0</v>
      </c>
      <c r="C12016" s="38" t="s">
        <v>16152</v>
      </c>
      <c r="D12016" s="38" t="str">
        <f>IFERROR(__xludf.DUMMYFUNCTION("REGEXREPLACE(C12016,""-\d+(.*)|--\d+(.*)"","""")"),"GREVILLERS")</f>
        <v>GREVILLERS</v>
      </c>
      <c r="E12016" s="38" t="s">
        <v>109</v>
      </c>
      <c r="F12016" s="38" t="s">
        <v>86</v>
      </c>
      <c r="G12016" s="49" t="str">
        <f t="shared" si="1"/>
        <v>62450</v>
      </c>
      <c r="H12016" s="49">
        <f t="shared" si="2"/>
        <v>62387</v>
      </c>
    </row>
    <row r="12017">
      <c r="A12017" s="48" t="s">
        <v>796</v>
      </c>
      <c r="B12017" s="38">
        <v>89039.0</v>
      </c>
      <c r="C12017" s="38" t="s">
        <v>16153</v>
      </c>
      <c r="D12017" s="38" t="str">
        <f>IFERROR(__xludf.DUMMYFUNCTION("REGEXREPLACE(C12017,""-\d+(.*)|--\d+(.*)"","""")"),"BERU")</f>
        <v>BERU</v>
      </c>
      <c r="E12017" s="38" t="s">
        <v>275</v>
      </c>
      <c r="F12017" s="38" t="s">
        <v>106</v>
      </c>
      <c r="G12017" s="49" t="str">
        <f t="shared" si="1"/>
        <v>89700</v>
      </c>
      <c r="H12017" s="49">
        <f t="shared" si="2"/>
        <v>89039</v>
      </c>
    </row>
    <row r="12018">
      <c r="A12018" s="48" t="s">
        <v>16154</v>
      </c>
      <c r="B12018" s="38">
        <v>59276.0</v>
      </c>
      <c r="C12018" s="38" t="s">
        <v>16155</v>
      </c>
      <c r="D12018" s="38" t="str">
        <f>IFERROR(__xludf.DUMMYFUNCTION("REGEXREPLACE(C12018,""-\d+(.*)|--\d+(.*)"","""")"),"GUESNAIN")</f>
        <v>GUESNAIN</v>
      </c>
      <c r="E12018" s="38" t="s">
        <v>85</v>
      </c>
      <c r="F12018" s="38" t="s">
        <v>86</v>
      </c>
      <c r="G12018" s="49" t="str">
        <f t="shared" si="1"/>
        <v>59287</v>
      </c>
      <c r="H12018" s="49">
        <f t="shared" si="2"/>
        <v>59276</v>
      </c>
    </row>
    <row r="12019">
      <c r="A12019" s="48" t="s">
        <v>1408</v>
      </c>
      <c r="B12019" s="38">
        <v>88128.0</v>
      </c>
      <c r="C12019" s="38" t="s">
        <v>16156</v>
      </c>
      <c r="D12019" s="38" t="str">
        <f>IFERROR(__xludf.DUMMYFUNCTION("REGEXREPLACE(C12019,""-\d+(.*)|--\d+(.*)"","""")"),"DENIPAIRE")</f>
        <v>DENIPAIRE</v>
      </c>
      <c r="E12019" s="38" t="s">
        <v>194</v>
      </c>
      <c r="F12019" s="38" t="s">
        <v>195</v>
      </c>
      <c r="G12019" s="49" t="str">
        <f t="shared" si="1"/>
        <v>88210</v>
      </c>
      <c r="H12019" s="49">
        <f t="shared" si="2"/>
        <v>88128</v>
      </c>
    </row>
    <row r="12020">
      <c r="A12020" s="48" t="s">
        <v>301</v>
      </c>
      <c r="B12020" s="38">
        <v>57538.0</v>
      </c>
      <c r="C12020" s="38" t="s">
        <v>16157</v>
      </c>
      <c r="D12020" s="38" t="str">
        <f>IFERROR(__xludf.DUMMYFUNCTION("REGEXREPLACE(C12020,""-\d+(.*)|--\d+(.*)"","""")"),"PETTONCOURT")</f>
        <v>PETTONCOURT</v>
      </c>
      <c r="E12020" s="38" t="s">
        <v>303</v>
      </c>
      <c r="F12020" s="38" t="s">
        <v>195</v>
      </c>
      <c r="G12020" s="49" t="str">
        <f t="shared" si="1"/>
        <v>57170</v>
      </c>
      <c r="H12020" s="49">
        <f t="shared" si="2"/>
        <v>57538</v>
      </c>
    </row>
    <row r="12021">
      <c r="A12021" s="48" t="s">
        <v>16158</v>
      </c>
      <c r="B12021" s="38">
        <v>54459.0</v>
      </c>
      <c r="C12021" s="38" t="s">
        <v>16159</v>
      </c>
      <c r="D12021" s="38" t="str">
        <f>IFERROR(__xludf.DUMMYFUNCTION("REGEXREPLACE(C12021,""-\d+(.*)|--\d+(.*)"","""")"),"RICHARDMENIL")</f>
        <v>RICHARDMENIL</v>
      </c>
      <c r="E12021" s="38" t="s">
        <v>548</v>
      </c>
      <c r="F12021" s="38" t="s">
        <v>195</v>
      </c>
      <c r="G12021" s="49" t="str">
        <f t="shared" si="1"/>
        <v>54630</v>
      </c>
      <c r="H12021" s="49">
        <f t="shared" si="2"/>
        <v>54459</v>
      </c>
    </row>
    <row r="12022">
      <c r="A12022" s="48" t="s">
        <v>13409</v>
      </c>
      <c r="B12022" s="38">
        <v>35022.0</v>
      </c>
      <c r="C12022" s="38" t="s">
        <v>16160</v>
      </c>
      <c r="D12022" s="38" t="str">
        <f>IFERROR(__xludf.DUMMYFUNCTION("REGEXREPLACE(C12022,""-\d+(.*)|--\d+(.*)"","""")"),"BECHEREL")</f>
        <v>BECHEREL</v>
      </c>
      <c r="E12022" s="38" t="s">
        <v>347</v>
      </c>
      <c r="F12022" s="38" t="s">
        <v>90</v>
      </c>
      <c r="G12022" s="49" t="str">
        <f t="shared" si="1"/>
        <v>35190</v>
      </c>
      <c r="H12022" s="49">
        <f t="shared" si="2"/>
        <v>35022</v>
      </c>
    </row>
    <row r="12023">
      <c r="A12023" s="48" t="s">
        <v>1669</v>
      </c>
      <c r="B12023" s="38">
        <v>21459.0</v>
      </c>
      <c r="C12023" s="38" t="s">
        <v>16161</v>
      </c>
      <c r="D12023" s="38" t="str">
        <f>IFERROR(__xludf.DUMMYFUNCTION("REGEXREPLACE(C12023,""-\d+(.*)|--\d+(.*)"","""")"),"NOIRON-SUR-BEZE")</f>
        <v>NOIRON-SUR-BEZE</v>
      </c>
      <c r="E12023" s="38" t="s">
        <v>105</v>
      </c>
      <c r="F12023" s="38" t="s">
        <v>106</v>
      </c>
      <c r="G12023" s="49" t="str">
        <f t="shared" si="1"/>
        <v>21310</v>
      </c>
      <c r="H12023" s="49">
        <f t="shared" si="2"/>
        <v>21459</v>
      </c>
    </row>
    <row r="12024">
      <c r="A12024" s="48" t="s">
        <v>1495</v>
      </c>
      <c r="B12024" s="38">
        <v>33108.0</v>
      </c>
      <c r="C12024" s="38" t="s">
        <v>16162</v>
      </c>
      <c r="D12024" s="38" t="str">
        <f>IFERROR(__xludf.DUMMYFUNCTION("REGEXREPLACE(C12024,""-\d+(.*)|--\d+(.*)"","""")"),"CASTILLON-LA-BATAILLE")</f>
        <v>CASTILLON-LA-BATAILLE</v>
      </c>
      <c r="E12024" s="38" t="s">
        <v>462</v>
      </c>
      <c r="F12024" s="38" t="s">
        <v>252</v>
      </c>
      <c r="G12024" s="49" t="str">
        <f t="shared" si="1"/>
        <v>33350</v>
      </c>
      <c r="H12024" s="49">
        <f t="shared" si="2"/>
        <v>33108</v>
      </c>
    </row>
    <row r="12025">
      <c r="A12025" s="48" t="s">
        <v>9585</v>
      </c>
      <c r="B12025" s="38">
        <v>25088.0</v>
      </c>
      <c r="C12025" s="38" t="s">
        <v>16163</v>
      </c>
      <c r="D12025" s="38" t="str">
        <f>IFERROR(__xludf.DUMMYFUNCTION("REGEXREPLACE(C12025,""-\d+(.*)|--\d+(.*)"","""")"),"BRECONCHAUX")</f>
        <v>BRECONCHAUX</v>
      </c>
      <c r="E12025" s="38" t="s">
        <v>213</v>
      </c>
      <c r="F12025" s="38" t="s">
        <v>214</v>
      </c>
      <c r="G12025" s="49" t="str">
        <f t="shared" si="1"/>
        <v>25640</v>
      </c>
      <c r="H12025" s="49">
        <f t="shared" si="2"/>
        <v>25088</v>
      </c>
    </row>
    <row r="12026">
      <c r="A12026" s="48" t="s">
        <v>7858</v>
      </c>
      <c r="B12026" s="38">
        <v>47120.0</v>
      </c>
      <c r="C12026" s="38" t="s">
        <v>16164</v>
      </c>
      <c r="D12026" s="38" t="str">
        <f>IFERROR(__xludf.DUMMYFUNCTION("REGEXREPLACE(C12026,""-\d+(.*)|--\d+(.*)"","""")"),"JUSIX")</f>
        <v>JUSIX</v>
      </c>
      <c r="E12026" s="38" t="s">
        <v>251</v>
      </c>
      <c r="F12026" s="38" t="s">
        <v>252</v>
      </c>
      <c r="G12026" s="49" t="str">
        <f t="shared" si="1"/>
        <v>47180</v>
      </c>
      <c r="H12026" s="49">
        <f t="shared" si="2"/>
        <v>47120</v>
      </c>
    </row>
    <row r="12027">
      <c r="A12027" s="48" t="s">
        <v>1437</v>
      </c>
      <c r="B12027" s="38">
        <v>39056.0</v>
      </c>
      <c r="C12027" s="38" t="s">
        <v>16165</v>
      </c>
      <c r="D12027" s="38" t="str">
        <f>IFERROR(__xludf.DUMMYFUNCTION("REGEXREPLACE(C12027,""-\d+(.*)|--\d+(.*)"","""")"),"BLETTERANS")</f>
        <v>BLETTERANS</v>
      </c>
      <c r="E12027" s="38" t="s">
        <v>400</v>
      </c>
      <c r="F12027" s="38" t="s">
        <v>214</v>
      </c>
      <c r="G12027" s="49" t="str">
        <f t="shared" si="1"/>
        <v>39140</v>
      </c>
      <c r="H12027" s="49">
        <f t="shared" si="2"/>
        <v>39056</v>
      </c>
    </row>
    <row r="12028">
      <c r="A12028" s="48" t="s">
        <v>940</v>
      </c>
      <c r="B12028" s="38">
        <v>51604.0</v>
      </c>
      <c r="C12028" s="38" t="s">
        <v>16166</v>
      </c>
      <c r="D12028" s="38" t="str">
        <f>IFERROR(__xludf.DUMMYFUNCTION("REGEXREPLACE(C12028,""-\d+(.*)|--\d+(.*)"","""")"),"VENTELAY")</f>
        <v>VENTELAY</v>
      </c>
      <c r="E12028" s="38" t="s">
        <v>129</v>
      </c>
      <c r="F12028" s="38" t="s">
        <v>130</v>
      </c>
      <c r="G12028" s="49" t="str">
        <f t="shared" si="1"/>
        <v>51140</v>
      </c>
      <c r="H12028" s="49">
        <f t="shared" si="2"/>
        <v>51604</v>
      </c>
    </row>
    <row r="12029">
      <c r="A12029" s="48" t="s">
        <v>1524</v>
      </c>
      <c r="B12029" s="38">
        <v>25046.0</v>
      </c>
      <c r="C12029" s="38" t="s">
        <v>16167</v>
      </c>
      <c r="D12029" s="38" t="str">
        <f>IFERROR(__xludf.DUMMYFUNCTION("REGEXREPLACE(C12029,""-\d+(.*)|--\d+(.*)"","""")"),"BATTENANS-VARIN")</f>
        <v>BATTENANS-VARIN</v>
      </c>
      <c r="E12029" s="38" t="s">
        <v>213</v>
      </c>
      <c r="F12029" s="38" t="s">
        <v>214</v>
      </c>
      <c r="G12029" s="49" t="str">
        <f t="shared" si="1"/>
        <v>25380</v>
      </c>
      <c r="H12029" s="49">
        <f t="shared" si="2"/>
        <v>25046</v>
      </c>
    </row>
    <row r="12030">
      <c r="A12030" s="48" t="s">
        <v>4844</v>
      </c>
      <c r="B12030" s="38">
        <v>14674.0</v>
      </c>
      <c r="C12030" s="38" t="s">
        <v>16168</v>
      </c>
      <c r="D12030" s="38" t="str">
        <f>IFERROR(__xludf.DUMMYFUNCTION("REGEXREPLACE(C12030,""-\d+(.*)|--\d+(.*)"","""")"),"SOIGNOLLES")</f>
        <v>SOIGNOLLES</v>
      </c>
      <c r="E12030" s="38" t="s">
        <v>137</v>
      </c>
      <c r="F12030" s="38" t="s">
        <v>138</v>
      </c>
      <c r="G12030" s="49" t="str">
        <f t="shared" si="1"/>
        <v>14190</v>
      </c>
      <c r="H12030" s="49">
        <f t="shared" si="2"/>
        <v>14674</v>
      </c>
    </row>
    <row r="12031">
      <c r="A12031" s="48" t="s">
        <v>3869</v>
      </c>
      <c r="B12031" s="38">
        <v>21401.0</v>
      </c>
      <c r="C12031" s="38" t="s">
        <v>16169</v>
      </c>
      <c r="D12031" s="38" t="str">
        <f>IFERROR(__xludf.DUMMYFUNCTION("REGEXREPLACE(C12031,""-\d+(.*)|--\d+(.*)"","""")"),"MELOISEY")</f>
        <v>MELOISEY</v>
      </c>
      <c r="E12031" s="38" t="s">
        <v>105</v>
      </c>
      <c r="F12031" s="38" t="s">
        <v>106</v>
      </c>
      <c r="G12031" s="49" t="str">
        <f t="shared" si="1"/>
        <v>21190</v>
      </c>
      <c r="H12031" s="49">
        <f t="shared" si="2"/>
        <v>21401</v>
      </c>
    </row>
    <row r="12032">
      <c r="A12032" s="48" t="s">
        <v>4923</v>
      </c>
      <c r="B12032" s="38">
        <v>61485.0</v>
      </c>
      <c r="C12032" s="38" t="s">
        <v>16170</v>
      </c>
      <c r="D12032" s="38" t="str">
        <f>IFERROR(__xludf.DUMMYFUNCTION("REGEXREPLACE(C12032,""-\d+(.*)|--\d+(.*)"","""")"),"TICHEVILLE")</f>
        <v>TICHEVILLE</v>
      </c>
      <c r="E12032" s="38" t="s">
        <v>141</v>
      </c>
      <c r="F12032" s="38" t="s">
        <v>138</v>
      </c>
      <c r="G12032" s="49" t="str">
        <f t="shared" si="1"/>
        <v>61120</v>
      </c>
      <c r="H12032" s="49">
        <f t="shared" si="2"/>
        <v>61485</v>
      </c>
    </row>
    <row r="12033">
      <c r="A12033" s="48" t="s">
        <v>4388</v>
      </c>
      <c r="B12033" s="38">
        <v>31153.0</v>
      </c>
      <c r="C12033" s="38" t="s">
        <v>16171</v>
      </c>
      <c r="D12033" s="38" t="str">
        <f>IFERROR(__xludf.DUMMYFUNCTION("REGEXREPLACE(C12033,""-\d+(.*)|--\d+(.*)"","""")"),"COULADERE")</f>
        <v>COULADERE</v>
      </c>
      <c r="E12033" s="38" t="s">
        <v>93</v>
      </c>
      <c r="F12033" s="38" t="s">
        <v>94</v>
      </c>
      <c r="G12033" s="49" t="str">
        <f t="shared" si="1"/>
        <v>31220</v>
      </c>
      <c r="H12033" s="49">
        <f t="shared" si="2"/>
        <v>31153</v>
      </c>
    </row>
    <row r="12034">
      <c r="A12034" s="48" t="s">
        <v>1108</v>
      </c>
      <c r="B12034" s="38">
        <v>27567.0</v>
      </c>
      <c r="C12034" s="38" t="s">
        <v>16172</v>
      </c>
      <c r="D12034" s="38" t="str">
        <f>IFERROR(__xludf.DUMMYFUNCTION("REGEXREPLACE(C12034,""-\d+(.*)|--\d+(.*)"","""")"),"SAINTE-MARIE-DE-VATIMESNIL")</f>
        <v>SAINTE-MARIE-DE-VATIMESNIL</v>
      </c>
      <c r="E12034" s="38" t="s">
        <v>241</v>
      </c>
      <c r="F12034" s="38" t="s">
        <v>134</v>
      </c>
      <c r="G12034" s="49" t="str">
        <f t="shared" si="1"/>
        <v>27150</v>
      </c>
      <c r="H12034" s="49">
        <f t="shared" si="2"/>
        <v>27567</v>
      </c>
    </row>
    <row r="12035">
      <c r="A12035" s="48" t="s">
        <v>16173</v>
      </c>
      <c r="B12035" s="38">
        <v>73057.0</v>
      </c>
      <c r="C12035" s="38" t="s">
        <v>16174</v>
      </c>
      <c r="D12035" s="38" t="str">
        <f>IFERROR(__xludf.DUMMYFUNCTION("REGEXREPLACE(C12035,""-\d+(.*)|--\d+(.*)"","""")"),"BRIDES-LES-BAINS")</f>
        <v>BRIDES-LES-BAINS</v>
      </c>
      <c r="E12035" s="38" t="s">
        <v>306</v>
      </c>
      <c r="F12035" s="38" t="s">
        <v>102</v>
      </c>
      <c r="G12035" s="49" t="str">
        <f t="shared" si="1"/>
        <v>73570</v>
      </c>
      <c r="H12035" s="49">
        <f t="shared" si="2"/>
        <v>73057</v>
      </c>
    </row>
    <row r="12036">
      <c r="A12036" s="48" t="s">
        <v>9683</v>
      </c>
      <c r="B12036" s="38">
        <v>46037.0</v>
      </c>
      <c r="C12036" s="38" t="s">
        <v>16175</v>
      </c>
      <c r="D12036" s="38" t="str">
        <f>IFERROR(__xludf.DUMMYFUNCTION("REGEXREPLACE(C12036,""-\d+(.*)|--\d+(.*)"","""")"),"BOUZIES")</f>
        <v>BOUZIES</v>
      </c>
      <c r="E12036" s="38" t="s">
        <v>185</v>
      </c>
      <c r="F12036" s="38" t="s">
        <v>94</v>
      </c>
      <c r="G12036" s="49" t="str">
        <f t="shared" si="1"/>
        <v>46330</v>
      </c>
      <c r="H12036" s="49">
        <f t="shared" si="2"/>
        <v>46037</v>
      </c>
    </row>
    <row r="12037">
      <c r="A12037" s="48" t="s">
        <v>1163</v>
      </c>
      <c r="B12037" s="38" t="s">
        <v>16176</v>
      </c>
      <c r="C12037" s="38" t="s">
        <v>16177</v>
      </c>
      <c r="D12037" s="38" t="str">
        <f>IFERROR(__xludf.DUMMYFUNCTION("REGEXREPLACE(C12037,""-\d+(.*)|--\d+(.*)"","""")"),"ZERUBIA")</f>
        <v>ZERUBIA</v>
      </c>
      <c r="E12037" s="38" t="s">
        <v>606</v>
      </c>
      <c r="F12037" s="38" t="s">
        <v>607</v>
      </c>
      <c r="G12037" s="49" t="str">
        <f t="shared" si="1"/>
        <v>20116</v>
      </c>
      <c r="H12037" s="49" t="str">
        <f t="shared" si="2"/>
        <v>2A357</v>
      </c>
    </row>
    <row r="12038">
      <c r="A12038" s="48" t="s">
        <v>8865</v>
      </c>
      <c r="B12038" s="38">
        <v>42017.0</v>
      </c>
      <c r="C12038" s="38" t="s">
        <v>16178</v>
      </c>
      <c r="D12038" s="38" t="str">
        <f>IFERROR(__xludf.DUMMYFUNCTION("REGEXREPLACE(C12038,""-\d+(.*)|--\d+(.*)"","""")"),"LE BESSAT")</f>
        <v>LE BESSAT</v>
      </c>
      <c r="E12038" s="38" t="s">
        <v>166</v>
      </c>
      <c r="F12038" s="38" t="s">
        <v>102</v>
      </c>
      <c r="G12038" s="49" t="str">
        <f t="shared" si="1"/>
        <v>42660</v>
      </c>
      <c r="H12038" s="49">
        <f t="shared" si="2"/>
        <v>42017</v>
      </c>
    </row>
    <row r="12039">
      <c r="A12039" s="48" t="s">
        <v>4292</v>
      </c>
      <c r="B12039" s="38">
        <v>74075.0</v>
      </c>
      <c r="C12039" s="38" t="s">
        <v>16179</v>
      </c>
      <c r="D12039" s="38" t="str">
        <f>IFERROR(__xludf.DUMMYFUNCTION("REGEXREPLACE(C12039,""-\d+(.*)|--\d+(.*)"","""")"),"CHILLY")</f>
        <v>CHILLY</v>
      </c>
      <c r="E12039" s="38" t="s">
        <v>319</v>
      </c>
      <c r="F12039" s="38" t="s">
        <v>102</v>
      </c>
      <c r="G12039" s="49" t="str">
        <f t="shared" si="1"/>
        <v>74270</v>
      </c>
      <c r="H12039" s="49">
        <f t="shared" si="2"/>
        <v>74075</v>
      </c>
    </row>
    <row r="12040">
      <c r="A12040" s="48" t="s">
        <v>4272</v>
      </c>
      <c r="B12040" s="38">
        <v>76506.0</v>
      </c>
      <c r="C12040" s="38" t="s">
        <v>16180</v>
      </c>
      <c r="D12040" s="38" t="str">
        <f>IFERROR(__xludf.DUMMYFUNCTION("REGEXREPLACE(C12040,""-\d+(.*)|--\d+(.*)"","""")"),"POMMEREVAL")</f>
        <v>POMMEREVAL</v>
      </c>
      <c r="E12040" s="38" t="s">
        <v>133</v>
      </c>
      <c r="F12040" s="38" t="s">
        <v>134</v>
      </c>
      <c r="G12040" s="49" t="str">
        <f t="shared" si="1"/>
        <v>76680</v>
      </c>
      <c r="H12040" s="49">
        <f t="shared" si="2"/>
        <v>76506</v>
      </c>
    </row>
    <row r="12041">
      <c r="A12041" s="48" t="s">
        <v>1241</v>
      </c>
      <c r="B12041" s="38">
        <v>71404.0</v>
      </c>
      <c r="C12041" s="38" t="s">
        <v>16181</v>
      </c>
      <c r="D12041" s="38" t="str">
        <f>IFERROR(__xludf.DUMMYFUNCTION("REGEXREPLACE(C12041,""-\d+(.*)|--\d+(.*)"","""")"),"SAINT-DESERT")</f>
        <v>SAINT-DESERT</v>
      </c>
      <c r="E12041" s="38" t="s">
        <v>344</v>
      </c>
      <c r="F12041" s="38" t="s">
        <v>106</v>
      </c>
      <c r="G12041" s="49" t="str">
        <f t="shared" si="1"/>
        <v>71390</v>
      </c>
      <c r="H12041" s="49">
        <f t="shared" si="2"/>
        <v>71404</v>
      </c>
    </row>
    <row r="12042">
      <c r="A12042" s="48" t="s">
        <v>1918</v>
      </c>
      <c r="B12042" s="38">
        <v>10266.0</v>
      </c>
      <c r="C12042" s="38" t="s">
        <v>16182</v>
      </c>
      <c r="D12042" s="38" t="str">
        <f>IFERROR(__xludf.DUMMYFUNCTION("REGEXREPLACE(C12042,""-\d+(.*)|--\d+(.*)"","""")"),"NOGENT-EN-OTHE")</f>
        <v>NOGENT-EN-OTHE</v>
      </c>
      <c r="E12042" s="38" t="s">
        <v>147</v>
      </c>
      <c r="F12042" s="38" t="s">
        <v>130</v>
      </c>
      <c r="G12042" s="49" t="str">
        <f t="shared" si="1"/>
        <v>10160</v>
      </c>
      <c r="H12042" s="49">
        <f t="shared" si="2"/>
        <v>10266</v>
      </c>
    </row>
    <row r="12043">
      <c r="A12043" s="48" t="s">
        <v>162</v>
      </c>
      <c r="B12043" s="38">
        <v>31193.0</v>
      </c>
      <c r="C12043" s="38" t="s">
        <v>16183</v>
      </c>
      <c r="D12043" s="38" t="str">
        <f>IFERROR(__xludf.DUMMYFUNCTION("REGEXREPLACE(C12043,""-\d+(.*)|--\d+(.*)"","""")"),"LE FOUSSERET")</f>
        <v>LE FOUSSERET</v>
      </c>
      <c r="E12043" s="38" t="s">
        <v>93</v>
      </c>
      <c r="F12043" s="38" t="s">
        <v>94</v>
      </c>
      <c r="G12043" s="49" t="str">
        <f t="shared" si="1"/>
        <v>31430</v>
      </c>
      <c r="H12043" s="49">
        <f t="shared" si="2"/>
        <v>31193</v>
      </c>
    </row>
    <row r="12044">
      <c r="A12044" s="48" t="s">
        <v>15924</v>
      </c>
      <c r="B12044" s="38">
        <v>57693.0</v>
      </c>
      <c r="C12044" s="38" t="s">
        <v>16184</v>
      </c>
      <c r="D12044" s="38" t="str">
        <f>IFERROR(__xludf.DUMMYFUNCTION("REGEXREPLACE(C12044,""-\d+(.*)|--\d+(.*)"","""")"),"VANTOUX")</f>
        <v>VANTOUX</v>
      </c>
      <c r="E12044" s="38" t="s">
        <v>303</v>
      </c>
      <c r="F12044" s="38" t="s">
        <v>195</v>
      </c>
      <c r="G12044" s="49" t="str">
        <f t="shared" si="1"/>
        <v>57070</v>
      </c>
      <c r="H12044" s="49">
        <f t="shared" si="2"/>
        <v>57693</v>
      </c>
    </row>
    <row r="12045">
      <c r="A12045" s="48" t="s">
        <v>16185</v>
      </c>
      <c r="B12045" s="38">
        <v>18201.0</v>
      </c>
      <c r="C12045" s="38" t="s">
        <v>16186</v>
      </c>
      <c r="D12045" s="38" t="str">
        <f>IFERROR(__xludf.DUMMYFUNCTION("REGEXREPLACE(C12045,""-\d+(.*)|--\d+(.*)"","""")"),"SAINT-CAPRAIS")</f>
        <v>SAINT-CAPRAIS</v>
      </c>
      <c r="E12045" s="38" t="s">
        <v>504</v>
      </c>
      <c r="F12045" s="38" t="s">
        <v>123</v>
      </c>
      <c r="G12045" s="49" t="str">
        <f t="shared" si="1"/>
        <v>18400</v>
      </c>
      <c r="H12045" s="49">
        <f t="shared" si="2"/>
        <v>18201</v>
      </c>
    </row>
    <row r="12046">
      <c r="A12046" s="48" t="s">
        <v>16187</v>
      </c>
      <c r="B12046" s="38">
        <v>14755.0</v>
      </c>
      <c r="C12046" s="38" t="s">
        <v>16188</v>
      </c>
      <c r="D12046" s="38" t="str">
        <f>IFERROR(__xludf.DUMMYFUNCTION("REGEXREPLACE(C12046,""-\d+(.*)|--\d+(.*)"","""")"),"VILLERVILLE")</f>
        <v>VILLERVILLE</v>
      </c>
      <c r="E12046" s="38" t="s">
        <v>137</v>
      </c>
      <c r="F12046" s="38" t="s">
        <v>138</v>
      </c>
      <c r="G12046" s="49" t="str">
        <f t="shared" si="1"/>
        <v>14113</v>
      </c>
      <c r="H12046" s="49">
        <f t="shared" si="2"/>
        <v>14755</v>
      </c>
    </row>
    <row r="12047">
      <c r="A12047" s="48" t="s">
        <v>9975</v>
      </c>
      <c r="B12047" s="38">
        <v>41157.0</v>
      </c>
      <c r="C12047" s="38" t="s">
        <v>16189</v>
      </c>
      <c r="D12047" s="38" t="str">
        <f>IFERROR(__xludf.DUMMYFUNCTION("REGEXREPLACE(C12047,""-\d+(.*)|--\d+(.*)"","""")"),"MUR-DE-SOLOGNE")</f>
        <v>MUR-DE-SOLOGNE</v>
      </c>
      <c r="E12047" s="38" t="s">
        <v>188</v>
      </c>
      <c r="F12047" s="38" t="s">
        <v>123</v>
      </c>
      <c r="G12047" s="49" t="str">
        <f t="shared" si="1"/>
        <v>41230</v>
      </c>
      <c r="H12047" s="49">
        <f t="shared" si="2"/>
        <v>41157</v>
      </c>
    </row>
    <row r="12048">
      <c r="A12048" s="48" t="s">
        <v>5631</v>
      </c>
      <c r="B12048" s="38">
        <v>76589.0</v>
      </c>
      <c r="C12048" s="38" t="s">
        <v>16190</v>
      </c>
      <c r="D12048" s="38" t="str">
        <f>IFERROR(__xludf.DUMMYFUNCTION("REGEXREPLACE(C12048,""-\d+(.*)|--\d+(.*)"","""")"),"SAINT-HONORE")</f>
        <v>SAINT-HONORE</v>
      </c>
      <c r="E12048" s="38" t="s">
        <v>133</v>
      </c>
      <c r="F12048" s="38" t="s">
        <v>134</v>
      </c>
      <c r="G12048" s="49" t="str">
        <f t="shared" si="1"/>
        <v>76590</v>
      </c>
      <c r="H12048" s="49">
        <f t="shared" si="2"/>
        <v>76589</v>
      </c>
    </row>
    <row r="12049">
      <c r="A12049" s="48" t="s">
        <v>1636</v>
      </c>
      <c r="B12049" s="38">
        <v>14198.0</v>
      </c>
      <c r="C12049" s="38" t="s">
        <v>16191</v>
      </c>
      <c r="D12049" s="38" t="str">
        <f>IFERROR(__xludf.DUMMYFUNCTION("REGEXREPLACE(C12049,""-\d+(.*)|--\d+(.*)"","""")"),"CRESSEVEUILLE")</f>
        <v>CRESSEVEUILLE</v>
      </c>
      <c r="E12049" s="38" t="s">
        <v>137</v>
      </c>
      <c r="F12049" s="38" t="s">
        <v>138</v>
      </c>
      <c r="G12049" s="49" t="str">
        <f t="shared" si="1"/>
        <v>14430</v>
      </c>
      <c r="H12049" s="49">
        <f t="shared" si="2"/>
        <v>14198</v>
      </c>
    </row>
    <row r="12050">
      <c r="A12050" s="48" t="s">
        <v>4022</v>
      </c>
      <c r="B12050" s="38">
        <v>62275.0</v>
      </c>
      <c r="C12050" s="38" t="s">
        <v>16192</v>
      </c>
      <c r="D12050" s="38" t="str">
        <f>IFERROR(__xludf.DUMMYFUNCTION("REGEXREPLACE(C12050,""-\d+(.*)|--\d+(.*)"","""")"),"DOURIEZ")</f>
        <v>DOURIEZ</v>
      </c>
      <c r="E12050" s="38" t="s">
        <v>109</v>
      </c>
      <c r="F12050" s="38" t="s">
        <v>86</v>
      </c>
      <c r="G12050" s="49" t="str">
        <f t="shared" si="1"/>
        <v>62870</v>
      </c>
      <c r="H12050" s="49">
        <f t="shared" si="2"/>
        <v>62275</v>
      </c>
    </row>
    <row r="12051">
      <c r="A12051" s="48" t="s">
        <v>16193</v>
      </c>
      <c r="B12051" s="38">
        <v>73238.0</v>
      </c>
      <c r="C12051" s="38" t="s">
        <v>16194</v>
      </c>
      <c r="D12051" s="38" t="str">
        <f>IFERROR(__xludf.DUMMYFUNCTION("REGEXREPLACE(C12051,""-\d+(.*)|--\d+(.*)"","""")"),"SAINT-GERMAIN-LA-CHAMBOTTE")</f>
        <v>SAINT-GERMAIN-LA-CHAMBOTTE</v>
      </c>
      <c r="E12051" s="38" t="s">
        <v>306</v>
      </c>
      <c r="F12051" s="38" t="s">
        <v>102</v>
      </c>
      <c r="G12051" s="49" t="str">
        <f t="shared" si="1"/>
        <v>73410</v>
      </c>
      <c r="H12051" s="49">
        <f t="shared" si="2"/>
        <v>73238</v>
      </c>
    </row>
    <row r="12052">
      <c r="A12052" s="48" t="s">
        <v>16195</v>
      </c>
      <c r="B12052" s="38">
        <v>25058.0</v>
      </c>
      <c r="C12052" s="38" t="s">
        <v>16196</v>
      </c>
      <c r="D12052" s="38" t="str">
        <f>IFERROR(__xludf.DUMMYFUNCTION("REGEXREPLACE(C12052,""-\d+(.*)|--\d+(.*)"","""")"),"BEURE")</f>
        <v>BEURE</v>
      </c>
      <c r="E12052" s="38" t="s">
        <v>213</v>
      </c>
      <c r="F12052" s="38" t="s">
        <v>214</v>
      </c>
      <c r="G12052" s="49" t="str">
        <f t="shared" si="1"/>
        <v>25720</v>
      </c>
      <c r="H12052" s="49">
        <f t="shared" si="2"/>
        <v>25058</v>
      </c>
    </row>
    <row r="12053">
      <c r="A12053" s="48" t="s">
        <v>781</v>
      </c>
      <c r="B12053" s="38">
        <v>65191.0</v>
      </c>
      <c r="C12053" s="38" t="s">
        <v>16197</v>
      </c>
      <c r="D12053" s="38" t="str">
        <f>IFERROR(__xludf.DUMMYFUNCTION("REGEXREPLACE(C12053,""-\d+(.*)|--\d+(.*)"","""")"),"GAZOST")</f>
        <v>GAZOST</v>
      </c>
      <c r="E12053" s="38" t="s">
        <v>200</v>
      </c>
      <c r="F12053" s="38" t="s">
        <v>94</v>
      </c>
      <c r="G12053" s="49" t="str">
        <f t="shared" si="1"/>
        <v>65100</v>
      </c>
      <c r="H12053" s="49">
        <f t="shared" si="2"/>
        <v>65191</v>
      </c>
    </row>
    <row r="12054">
      <c r="A12054" s="48" t="s">
        <v>16198</v>
      </c>
      <c r="B12054" s="38">
        <v>5177.0</v>
      </c>
      <c r="C12054" s="38" t="s">
        <v>16199</v>
      </c>
      <c r="D12054" s="38" t="str">
        <f>IFERROR(__xludf.DUMMYFUNCTION("REGEXREPLACE(C12054,""-\d+(.*)|--\d+(.*)"","""")"),"VARS")</f>
        <v>VARS</v>
      </c>
      <c r="E12054" s="38" t="s">
        <v>706</v>
      </c>
      <c r="F12054" s="38" t="s">
        <v>228</v>
      </c>
      <c r="G12054" s="49" t="str">
        <f t="shared" si="1"/>
        <v>05560</v>
      </c>
      <c r="H12054" s="49" t="str">
        <f t="shared" si="2"/>
        <v>05177</v>
      </c>
    </row>
    <row r="12055">
      <c r="A12055" s="48" t="s">
        <v>11428</v>
      </c>
      <c r="B12055" s="38">
        <v>42074.0</v>
      </c>
      <c r="C12055" s="38" t="s">
        <v>16200</v>
      </c>
      <c r="D12055" s="38" t="str">
        <f>IFERROR(__xludf.DUMMYFUNCTION("REGEXREPLACE(C12055,""-\d+(.*)|--\d+(.*)"","""")"),"COUTOUVRE")</f>
        <v>COUTOUVRE</v>
      </c>
      <c r="E12055" s="38" t="s">
        <v>166</v>
      </c>
      <c r="F12055" s="38" t="s">
        <v>102</v>
      </c>
      <c r="G12055" s="49" t="str">
        <f t="shared" si="1"/>
        <v>42460</v>
      </c>
      <c r="H12055" s="49">
        <f t="shared" si="2"/>
        <v>42074</v>
      </c>
    </row>
    <row r="12056">
      <c r="A12056" s="48" t="s">
        <v>1697</v>
      </c>
      <c r="B12056" s="38">
        <v>39397.0</v>
      </c>
      <c r="C12056" s="38" t="s">
        <v>16201</v>
      </c>
      <c r="D12056" s="38" t="str">
        <f>IFERROR(__xludf.DUMMYFUNCTION("REGEXREPLACE(C12056,""-\d+(.*)|--\d+(.*)"","""")"),"ORGELET")</f>
        <v>ORGELET</v>
      </c>
      <c r="E12056" s="38" t="s">
        <v>400</v>
      </c>
      <c r="F12056" s="38" t="s">
        <v>214</v>
      </c>
      <c r="G12056" s="49" t="str">
        <f t="shared" si="1"/>
        <v>39270</v>
      </c>
      <c r="H12056" s="49">
        <f t="shared" si="2"/>
        <v>39397</v>
      </c>
    </row>
    <row r="12057">
      <c r="A12057" s="48" t="s">
        <v>3017</v>
      </c>
      <c r="B12057" s="38">
        <v>1400.0</v>
      </c>
      <c r="C12057" s="38" t="s">
        <v>16202</v>
      </c>
      <c r="D12057" s="38" t="str">
        <f>IFERROR(__xludf.DUMMYFUNCTION("REGEXREPLACE(C12057,""-\d+(.*)|--\d+(.*)"","""")"),"SEILLONNAZ")</f>
        <v>SEILLONNAZ</v>
      </c>
      <c r="E12057" s="38" t="s">
        <v>255</v>
      </c>
      <c r="F12057" s="38" t="s">
        <v>102</v>
      </c>
      <c r="G12057" s="49" t="str">
        <f t="shared" si="1"/>
        <v>01470</v>
      </c>
      <c r="H12057" s="49" t="str">
        <f t="shared" si="2"/>
        <v>01400</v>
      </c>
    </row>
    <row r="12058">
      <c r="A12058" s="48" t="s">
        <v>8752</v>
      </c>
      <c r="B12058" s="38">
        <v>6125.0</v>
      </c>
      <c r="C12058" s="38" t="s">
        <v>16203</v>
      </c>
      <c r="D12058" s="38" t="str">
        <f>IFERROR(__xludf.DUMMYFUNCTION("REGEXREPLACE(C12058,""-\d+(.*)|--\d+(.*)"","""")"),"SAINT-MARTIN-D'ENTRAUNES")</f>
        <v>SAINT-MARTIN-D'ENTRAUNES</v>
      </c>
      <c r="E12058" s="38" t="s">
        <v>227</v>
      </c>
      <c r="F12058" s="38" t="s">
        <v>228</v>
      </c>
      <c r="G12058" s="49" t="str">
        <f t="shared" si="1"/>
        <v>06470</v>
      </c>
      <c r="H12058" s="49" t="str">
        <f t="shared" si="2"/>
        <v>06125</v>
      </c>
    </row>
    <row r="12059">
      <c r="A12059" s="48" t="s">
        <v>1182</v>
      </c>
      <c r="B12059" s="38">
        <v>67473.0</v>
      </c>
      <c r="C12059" s="38" t="s">
        <v>16204</v>
      </c>
      <c r="D12059" s="38" t="str">
        <f>IFERROR(__xludf.DUMMYFUNCTION("REGEXREPLACE(C12059,""-\d+(.*)|--\d+(.*)"","""")"),"SOULTZ-LES-BAINS")</f>
        <v>SOULTZ-LES-BAINS</v>
      </c>
      <c r="E12059" s="38" t="s">
        <v>210</v>
      </c>
      <c r="F12059" s="38" t="s">
        <v>151</v>
      </c>
      <c r="G12059" s="49" t="str">
        <f t="shared" si="1"/>
        <v>67120</v>
      </c>
      <c r="H12059" s="49">
        <f t="shared" si="2"/>
        <v>67473</v>
      </c>
    </row>
    <row r="12060">
      <c r="A12060" s="48" t="s">
        <v>922</v>
      </c>
      <c r="B12060" s="38">
        <v>76505.0</v>
      </c>
      <c r="C12060" s="38" t="s">
        <v>16205</v>
      </c>
      <c r="D12060" s="38" t="str">
        <f>IFERROR(__xludf.DUMMYFUNCTION("REGEXREPLACE(C12060,""-\d+(.*)|--\d+(.*)"","""")"),"POMMEREUX")</f>
        <v>POMMEREUX</v>
      </c>
      <c r="E12060" s="38" t="s">
        <v>133</v>
      </c>
      <c r="F12060" s="38" t="s">
        <v>134</v>
      </c>
      <c r="G12060" s="49" t="str">
        <f t="shared" si="1"/>
        <v>76440</v>
      </c>
      <c r="H12060" s="49">
        <f t="shared" si="2"/>
        <v>76505</v>
      </c>
    </row>
    <row r="12061">
      <c r="A12061" s="48" t="s">
        <v>11477</v>
      </c>
      <c r="B12061" s="38">
        <v>33474.0</v>
      </c>
      <c r="C12061" s="38" t="s">
        <v>16206</v>
      </c>
      <c r="D12061" s="38" t="str">
        <f>IFERROR(__xludf.DUMMYFUNCTION("REGEXREPLACE(C12061,""-\d+(.*)|--\d+(.*)"","""")"),"SAINT-SELVE")</f>
        <v>SAINT-SELVE</v>
      </c>
      <c r="E12061" s="38" t="s">
        <v>462</v>
      </c>
      <c r="F12061" s="38" t="s">
        <v>252</v>
      </c>
      <c r="G12061" s="49" t="str">
        <f t="shared" si="1"/>
        <v>33650</v>
      </c>
      <c r="H12061" s="49">
        <f t="shared" si="2"/>
        <v>33474</v>
      </c>
    </row>
    <row r="12062">
      <c r="A12062" s="48" t="s">
        <v>1093</v>
      </c>
      <c r="B12062" s="38">
        <v>62765.0</v>
      </c>
      <c r="C12062" s="38" t="s">
        <v>16207</v>
      </c>
      <c r="D12062" s="38" t="str">
        <f>IFERROR(__xludf.DUMMYFUNCTION("REGEXREPLACE(C12062,""-\d+(.*)|--\d+(.*)"","""")"),"SAINT-OMER")</f>
        <v>SAINT-OMER</v>
      </c>
      <c r="E12062" s="38" t="s">
        <v>109</v>
      </c>
      <c r="F12062" s="38" t="s">
        <v>86</v>
      </c>
      <c r="G12062" s="49" t="str">
        <f t="shared" si="1"/>
        <v>62500</v>
      </c>
      <c r="H12062" s="49">
        <f t="shared" si="2"/>
        <v>62765</v>
      </c>
    </row>
    <row r="12063">
      <c r="A12063" s="48" t="s">
        <v>3869</v>
      </c>
      <c r="B12063" s="38">
        <v>21616.0</v>
      </c>
      <c r="C12063" s="38" t="s">
        <v>16208</v>
      </c>
      <c r="D12063" s="38" t="str">
        <f>IFERROR(__xludf.DUMMYFUNCTION("REGEXREPLACE(C12063,""-\d+(.*)|--\d+(.*)"","""")"),"TAILLY")</f>
        <v>TAILLY</v>
      </c>
      <c r="E12063" s="38" t="s">
        <v>105</v>
      </c>
      <c r="F12063" s="38" t="s">
        <v>106</v>
      </c>
      <c r="G12063" s="49" t="str">
        <f t="shared" si="1"/>
        <v>21190</v>
      </c>
      <c r="H12063" s="49">
        <f t="shared" si="2"/>
        <v>21616</v>
      </c>
    </row>
    <row r="12064">
      <c r="A12064" s="48" t="s">
        <v>6515</v>
      </c>
      <c r="B12064" s="38">
        <v>62207.0</v>
      </c>
      <c r="C12064" s="38" t="s">
        <v>16209</v>
      </c>
      <c r="D12064" s="38" t="str">
        <f>IFERROR(__xludf.DUMMYFUNCTION("REGEXREPLACE(C12064,""-\d+(.*)|--\d+(.*)"","""")"),"CAMPIGNEULLES-LES-PETITES")</f>
        <v>CAMPIGNEULLES-LES-PETITES</v>
      </c>
      <c r="E12064" s="38" t="s">
        <v>109</v>
      </c>
      <c r="F12064" s="38" t="s">
        <v>86</v>
      </c>
      <c r="G12064" s="49" t="str">
        <f t="shared" si="1"/>
        <v>62170</v>
      </c>
      <c r="H12064" s="49">
        <f t="shared" si="2"/>
        <v>62207</v>
      </c>
    </row>
    <row r="12065">
      <c r="A12065" s="48" t="s">
        <v>968</v>
      </c>
      <c r="B12065" s="38">
        <v>16419.0</v>
      </c>
      <c r="C12065" s="38" t="s">
        <v>16210</v>
      </c>
      <c r="D12065" s="38" t="str">
        <f>IFERROR(__xludf.DUMMYFUNCTION("REGEXREPLACE(C12065,""-\d+(.*)|--\d+(.*)"","""")"),"VOUHARTE")</f>
        <v>VOUHARTE</v>
      </c>
      <c r="E12065" s="38" t="s">
        <v>429</v>
      </c>
      <c r="F12065" s="38" t="s">
        <v>338</v>
      </c>
      <c r="G12065" s="49" t="str">
        <f t="shared" si="1"/>
        <v>16330</v>
      </c>
      <c r="H12065" s="49">
        <f t="shared" si="2"/>
        <v>16419</v>
      </c>
    </row>
    <row r="12066">
      <c r="A12066" s="48" t="s">
        <v>1518</v>
      </c>
      <c r="B12066" s="38">
        <v>88494.0</v>
      </c>
      <c r="C12066" s="38" t="s">
        <v>16211</v>
      </c>
      <c r="D12066" s="38" t="str">
        <f>IFERROR(__xludf.DUMMYFUNCTION("REGEXREPLACE(C12066,""-\d+(.*)|--\d+(.*)"","""")"),"VAUBEXY")</f>
        <v>VAUBEXY</v>
      </c>
      <c r="E12066" s="38" t="s">
        <v>194</v>
      </c>
      <c r="F12066" s="38" t="s">
        <v>195</v>
      </c>
      <c r="G12066" s="49" t="str">
        <f t="shared" si="1"/>
        <v>88500</v>
      </c>
      <c r="H12066" s="49">
        <f t="shared" si="2"/>
        <v>88494</v>
      </c>
    </row>
    <row r="12067">
      <c r="A12067" s="48" t="s">
        <v>10433</v>
      </c>
      <c r="B12067" s="38">
        <v>46166.0</v>
      </c>
      <c r="C12067" s="38" t="s">
        <v>16212</v>
      </c>
      <c r="D12067" s="38" t="str">
        <f>IFERROR(__xludf.DUMMYFUNCTION("REGEXREPLACE(C12067,""-\d+(.*)|--\d+(.*)"","""")"),"LEBREIL")</f>
        <v>LEBREIL</v>
      </c>
      <c r="E12067" s="38" t="s">
        <v>185</v>
      </c>
      <c r="F12067" s="38" t="s">
        <v>94</v>
      </c>
      <c r="G12067" s="49" t="str">
        <f t="shared" si="1"/>
        <v>46800</v>
      </c>
      <c r="H12067" s="49">
        <f t="shared" si="2"/>
        <v>46166</v>
      </c>
    </row>
    <row r="12068">
      <c r="A12068" s="48" t="s">
        <v>6483</v>
      </c>
      <c r="B12068" s="38">
        <v>58135.0</v>
      </c>
      <c r="C12068" s="38" t="s">
        <v>16213</v>
      </c>
      <c r="D12068" s="38" t="str">
        <f>IFERROR(__xludf.DUMMYFUNCTION("REGEXREPLACE(C12068,""-\d+(.*)|--\d+(.*)"","""")"),"ISENAY")</f>
        <v>ISENAY</v>
      </c>
      <c r="E12068" s="38" t="s">
        <v>219</v>
      </c>
      <c r="F12068" s="38" t="s">
        <v>106</v>
      </c>
      <c r="G12068" s="49" t="str">
        <f t="shared" si="1"/>
        <v>58290</v>
      </c>
      <c r="H12068" s="49">
        <f t="shared" si="2"/>
        <v>58135</v>
      </c>
    </row>
    <row r="12069">
      <c r="A12069" s="48" t="s">
        <v>183</v>
      </c>
      <c r="B12069" s="38">
        <v>46290.0</v>
      </c>
      <c r="C12069" s="38" t="s">
        <v>16214</v>
      </c>
      <c r="D12069" s="38" t="str">
        <f>IFERROR(__xludf.DUMMYFUNCTION("REGEXREPLACE(C12069,""-\d+(.*)|--\d+(.*)"","""")"),"SAINT-PROJET")</f>
        <v>SAINT-PROJET</v>
      </c>
      <c r="E12069" s="38" t="s">
        <v>185</v>
      </c>
      <c r="F12069" s="38" t="s">
        <v>94</v>
      </c>
      <c r="G12069" s="49" t="str">
        <f t="shared" si="1"/>
        <v>46300</v>
      </c>
      <c r="H12069" s="49">
        <f t="shared" si="2"/>
        <v>46290</v>
      </c>
    </row>
    <row r="12070">
      <c r="A12070" s="48" t="s">
        <v>4566</v>
      </c>
      <c r="B12070" s="38">
        <v>24126.0</v>
      </c>
      <c r="C12070" s="38" t="s">
        <v>4732</v>
      </c>
      <c r="D12070" s="38" t="str">
        <f>IFERROR(__xludf.DUMMYFUNCTION("REGEXREPLACE(C12070,""-\d+(.*)|--\d+(.*)"","""")"),"COLOMBIER")</f>
        <v>COLOMBIER</v>
      </c>
      <c r="E12070" s="38" t="s">
        <v>261</v>
      </c>
      <c r="F12070" s="38" t="s">
        <v>252</v>
      </c>
      <c r="G12070" s="49" t="str">
        <f t="shared" si="1"/>
        <v>24560</v>
      </c>
      <c r="H12070" s="49">
        <f t="shared" si="2"/>
        <v>24126</v>
      </c>
    </row>
    <row r="12071">
      <c r="A12071" s="48" t="s">
        <v>7104</v>
      </c>
      <c r="B12071" s="38">
        <v>86014.0</v>
      </c>
      <c r="C12071" s="38" t="s">
        <v>16215</v>
      </c>
      <c r="D12071" s="38" t="str">
        <f>IFERROR(__xludf.DUMMYFUNCTION("REGEXREPLACE(C12071,""-\d+(.*)|--\d+(.*)"","""")"),"AVAILLES-EN-CHATELLERAULT")</f>
        <v>AVAILLES-EN-CHATELLERAULT</v>
      </c>
      <c r="E12071" s="38" t="s">
        <v>529</v>
      </c>
      <c r="F12071" s="38" t="s">
        <v>338</v>
      </c>
      <c r="G12071" s="49" t="str">
        <f t="shared" si="1"/>
        <v>86530</v>
      </c>
      <c r="H12071" s="49">
        <f t="shared" si="2"/>
        <v>86014</v>
      </c>
    </row>
    <row r="12072">
      <c r="A12072" s="48" t="s">
        <v>3283</v>
      </c>
      <c r="B12072" s="38">
        <v>52167.0</v>
      </c>
      <c r="C12072" s="38" t="s">
        <v>16216</v>
      </c>
      <c r="D12072" s="38" t="str">
        <f>IFERROR(__xludf.DUMMYFUNCTION("REGEXREPLACE(C12072,""-\d+(.*)|--\d+(.*)"","""")"),"DARMANNES")</f>
        <v>DARMANNES</v>
      </c>
      <c r="E12072" s="38" t="s">
        <v>234</v>
      </c>
      <c r="F12072" s="38" t="s">
        <v>130</v>
      </c>
      <c r="G12072" s="49" t="str">
        <f t="shared" si="1"/>
        <v>52700</v>
      </c>
      <c r="H12072" s="49">
        <f t="shared" si="2"/>
        <v>52167</v>
      </c>
    </row>
    <row r="12073">
      <c r="A12073" s="48" t="s">
        <v>3545</v>
      </c>
      <c r="B12073" s="38">
        <v>17305.0</v>
      </c>
      <c r="C12073" s="38" t="s">
        <v>16217</v>
      </c>
      <c r="D12073" s="38" t="str">
        <f>IFERROR(__xludf.DUMMYFUNCTION("REGEXREPLACE(C12073,""-\d+(.*)|--\d+(.*)"","""")"),"ROUFFIGNAC")</f>
        <v>ROUFFIGNAC</v>
      </c>
      <c r="E12073" s="38" t="s">
        <v>488</v>
      </c>
      <c r="F12073" s="38" t="s">
        <v>338</v>
      </c>
      <c r="G12073" s="49" t="str">
        <f t="shared" si="1"/>
        <v>17130</v>
      </c>
      <c r="H12073" s="49">
        <f t="shared" si="2"/>
        <v>17305</v>
      </c>
    </row>
    <row r="12074">
      <c r="A12074" s="48" t="s">
        <v>6290</v>
      </c>
      <c r="B12074" s="38">
        <v>60601.0</v>
      </c>
      <c r="C12074" s="38" t="s">
        <v>16218</v>
      </c>
      <c r="D12074" s="38" t="str">
        <f>IFERROR(__xludf.DUMMYFUNCTION("REGEXREPLACE(C12074,""-\d+(.*)|--\d+(.*)"","""")"),"SAINT-VAAST-LES-MELLO")</f>
        <v>SAINT-VAAST-LES-MELLO</v>
      </c>
      <c r="E12074" s="38" t="s">
        <v>112</v>
      </c>
      <c r="F12074" s="38" t="s">
        <v>113</v>
      </c>
      <c r="G12074" s="49" t="str">
        <f t="shared" si="1"/>
        <v>60660</v>
      </c>
      <c r="H12074" s="49">
        <f t="shared" si="2"/>
        <v>60601</v>
      </c>
    </row>
    <row r="12075">
      <c r="A12075" s="48" t="s">
        <v>3050</v>
      </c>
      <c r="B12075" s="38">
        <v>11347.0</v>
      </c>
      <c r="C12075" s="38" t="s">
        <v>16219</v>
      </c>
      <c r="D12075" s="38" t="str">
        <f>IFERROR(__xludf.DUMMYFUNCTION("REGEXREPLACE(C12075,""-\d+(.*)|--\d+(.*)"","""")"),"SAINT-JULIA-DE-BEC")</f>
        <v>SAINT-JULIA-DE-BEC</v>
      </c>
      <c r="E12075" s="38" t="s">
        <v>278</v>
      </c>
      <c r="F12075" s="38" t="s">
        <v>119</v>
      </c>
      <c r="G12075" s="49" t="str">
        <f t="shared" si="1"/>
        <v>11500</v>
      </c>
      <c r="H12075" s="49">
        <f t="shared" si="2"/>
        <v>11347</v>
      </c>
    </row>
    <row r="12076">
      <c r="A12076" s="48" t="s">
        <v>12639</v>
      </c>
      <c r="B12076" s="38">
        <v>81300.0</v>
      </c>
      <c r="C12076" s="38" t="s">
        <v>16220</v>
      </c>
      <c r="D12076" s="38" t="str">
        <f>IFERROR(__xludf.DUMMYFUNCTION("REGEXREPLACE(C12076,""-\d+(.*)|--\d+(.*)"","""")"),"TONNAC")</f>
        <v>TONNAC</v>
      </c>
      <c r="E12076" s="38" t="s">
        <v>231</v>
      </c>
      <c r="F12076" s="38" t="s">
        <v>94</v>
      </c>
      <c r="G12076" s="49" t="str">
        <f t="shared" si="1"/>
        <v>81170</v>
      </c>
      <c r="H12076" s="49">
        <f t="shared" si="2"/>
        <v>81300</v>
      </c>
    </row>
    <row r="12077">
      <c r="A12077" s="48" t="s">
        <v>1199</v>
      </c>
      <c r="B12077" s="38">
        <v>55534.0</v>
      </c>
      <c r="C12077" s="38" t="s">
        <v>16221</v>
      </c>
      <c r="D12077" s="38" t="str">
        <f>IFERROR(__xludf.DUMMYFUNCTION("REGEXREPLACE(C12077,""-\d+(.*)|--\d+(.*)"","""")"),"VAUDEVILLE-LE-HAUT")</f>
        <v>VAUDEVILLE-LE-HAUT</v>
      </c>
      <c r="E12077" s="38" t="s">
        <v>322</v>
      </c>
      <c r="F12077" s="38" t="s">
        <v>195</v>
      </c>
      <c r="G12077" s="49" t="str">
        <f t="shared" si="1"/>
        <v>55130</v>
      </c>
      <c r="H12077" s="49">
        <f t="shared" si="2"/>
        <v>55534</v>
      </c>
    </row>
    <row r="12078">
      <c r="A12078" s="48" t="s">
        <v>1262</v>
      </c>
      <c r="B12078" s="38">
        <v>11149.0</v>
      </c>
      <c r="C12078" s="38" t="s">
        <v>16222</v>
      </c>
      <c r="D12078" s="38" t="str">
        <f>IFERROR(__xludf.DUMMYFUNCTION("REGEXREPLACE(C12078,""-\d+(.*)|--\d+(.*)"","""")"),"FONTERS-DU-RAZES")</f>
        <v>FONTERS-DU-RAZES</v>
      </c>
      <c r="E12078" s="38" t="s">
        <v>278</v>
      </c>
      <c r="F12078" s="38" t="s">
        <v>119</v>
      </c>
      <c r="G12078" s="49" t="str">
        <f t="shared" si="1"/>
        <v>11400</v>
      </c>
      <c r="H12078" s="49">
        <f t="shared" si="2"/>
        <v>11149</v>
      </c>
    </row>
    <row r="12079">
      <c r="A12079" s="48" t="s">
        <v>8829</v>
      </c>
      <c r="B12079" s="38">
        <v>63056.0</v>
      </c>
      <c r="C12079" s="38" t="s">
        <v>13293</v>
      </c>
      <c r="D12079" s="38" t="str">
        <f>IFERROR(__xludf.DUMMYFUNCTION("REGEXREPLACE(C12079,""-\d+(.*)|--\d+(.*)"","""")"),"BROUSSE")</f>
        <v>BROUSSE</v>
      </c>
      <c r="E12079" s="38" t="s">
        <v>353</v>
      </c>
      <c r="F12079" s="38" t="s">
        <v>161</v>
      </c>
      <c r="G12079" s="49" t="str">
        <f t="shared" si="1"/>
        <v>63490</v>
      </c>
      <c r="H12079" s="49">
        <f t="shared" si="2"/>
        <v>63056</v>
      </c>
    </row>
    <row r="12080">
      <c r="A12080" s="48" t="s">
        <v>16223</v>
      </c>
      <c r="B12080" s="38">
        <v>60582.0</v>
      </c>
      <c r="C12080" s="38" t="s">
        <v>16224</v>
      </c>
      <c r="D12080" s="38" t="str">
        <f>IFERROR(__xludf.DUMMYFUNCTION("REGEXREPLACE(C12080,""-\d+(.*)|--\d+(.*)"","""")"),"SAINT-LEGER-AUX-BOIS")</f>
        <v>SAINT-LEGER-AUX-BOIS</v>
      </c>
      <c r="E12080" s="38" t="s">
        <v>112</v>
      </c>
      <c r="F12080" s="38" t="s">
        <v>113</v>
      </c>
      <c r="G12080" s="49" t="str">
        <f t="shared" si="1"/>
        <v>60170</v>
      </c>
      <c r="H12080" s="49">
        <f t="shared" si="2"/>
        <v>60582</v>
      </c>
    </row>
    <row r="12081">
      <c r="A12081" s="48" t="s">
        <v>5111</v>
      </c>
      <c r="B12081" s="38">
        <v>47197.0</v>
      </c>
      <c r="C12081" s="38" t="s">
        <v>16225</v>
      </c>
      <c r="D12081" s="38" t="str">
        <f>IFERROR(__xludf.DUMMYFUNCTION("REGEXREPLACE(C12081,""-\d+(.*)|--\d+(.*)"","""")"),"NOMDIEU")</f>
        <v>NOMDIEU</v>
      </c>
      <c r="E12081" s="38" t="s">
        <v>251</v>
      </c>
      <c r="F12081" s="38" t="s">
        <v>252</v>
      </c>
      <c r="G12081" s="49" t="str">
        <f t="shared" si="1"/>
        <v>47600</v>
      </c>
      <c r="H12081" s="49">
        <f t="shared" si="2"/>
        <v>47197</v>
      </c>
    </row>
    <row r="12082">
      <c r="A12082" s="48" t="s">
        <v>6247</v>
      </c>
      <c r="B12082" s="38">
        <v>26333.0</v>
      </c>
      <c r="C12082" s="38" t="s">
        <v>16226</v>
      </c>
      <c r="D12082" s="38" t="str">
        <f>IFERROR(__xludf.DUMMYFUNCTION("REGEXREPLACE(C12082,""-\d+(.*)|--\d+(.*)"","""")"),"SAINT-VALLIER")</f>
        <v>SAINT-VALLIER</v>
      </c>
      <c r="E12082" s="38" t="s">
        <v>126</v>
      </c>
      <c r="F12082" s="38" t="s">
        <v>102</v>
      </c>
      <c r="G12082" s="49" t="str">
        <f t="shared" si="1"/>
        <v>26240</v>
      </c>
      <c r="H12082" s="49">
        <f t="shared" si="2"/>
        <v>26333</v>
      </c>
    </row>
    <row r="12083">
      <c r="A12083" s="48" t="s">
        <v>15934</v>
      </c>
      <c r="B12083" s="38">
        <v>5032.0</v>
      </c>
      <c r="C12083" s="38" t="s">
        <v>16227</v>
      </c>
      <c r="D12083" s="38" t="str">
        <f>IFERROR(__xludf.DUMMYFUNCTION("REGEXREPLACE(C12083,""-\d+(.*)|--\d+(.*)"","""")"),"CHAMPOLEON")</f>
        <v>CHAMPOLEON</v>
      </c>
      <c r="E12083" s="38" t="s">
        <v>706</v>
      </c>
      <c r="F12083" s="38" t="s">
        <v>228</v>
      </c>
      <c r="G12083" s="49" t="str">
        <f t="shared" si="1"/>
        <v>05260</v>
      </c>
      <c r="H12083" s="49" t="str">
        <f t="shared" si="2"/>
        <v>05032</v>
      </c>
    </row>
    <row r="12084">
      <c r="A12084" s="48" t="s">
        <v>3262</v>
      </c>
      <c r="B12084" s="38">
        <v>3187.0</v>
      </c>
      <c r="C12084" s="38" t="s">
        <v>16228</v>
      </c>
      <c r="D12084" s="38" t="str">
        <f>IFERROR(__xludf.DUMMYFUNCTION("REGEXREPLACE(C12084,""-\d+(.*)|--\d+(.*)"","""")"),"MONTOLDRE")</f>
        <v>MONTOLDRE</v>
      </c>
      <c r="E12084" s="38" t="s">
        <v>160</v>
      </c>
      <c r="F12084" s="38" t="s">
        <v>161</v>
      </c>
      <c r="G12084" s="49" t="str">
        <f t="shared" si="1"/>
        <v>03150</v>
      </c>
      <c r="H12084" s="49" t="str">
        <f t="shared" si="2"/>
        <v>03187</v>
      </c>
    </row>
    <row r="12085">
      <c r="A12085" s="48" t="s">
        <v>1843</v>
      </c>
      <c r="B12085" s="38">
        <v>71478.0</v>
      </c>
      <c r="C12085" s="38" t="s">
        <v>16229</v>
      </c>
      <c r="D12085" s="38" t="str">
        <f>IFERROR(__xludf.DUMMYFUNCTION("REGEXREPLACE(C12085,""-\d+(.*)|--\d+(.*)"","""")"),"SAINT-ROMAIN-SOUS-VERSIGNY")</f>
        <v>SAINT-ROMAIN-SOUS-VERSIGNY</v>
      </c>
      <c r="E12085" s="38" t="s">
        <v>344</v>
      </c>
      <c r="F12085" s="38" t="s">
        <v>106</v>
      </c>
      <c r="G12085" s="49" t="str">
        <f t="shared" si="1"/>
        <v>71420</v>
      </c>
      <c r="H12085" s="49">
        <f t="shared" si="2"/>
        <v>71478</v>
      </c>
    </row>
    <row r="12086">
      <c r="A12086" s="48" t="s">
        <v>16230</v>
      </c>
      <c r="B12086" s="38">
        <v>54367.0</v>
      </c>
      <c r="C12086" s="38" t="s">
        <v>16231</v>
      </c>
      <c r="D12086" s="38" t="str">
        <f>IFERROR(__xludf.DUMMYFUNCTION("REGEXREPLACE(C12086,""-\d+(.*)|--\d+(.*)"","""")"),"MEXY")</f>
        <v>MEXY</v>
      </c>
      <c r="E12086" s="38" t="s">
        <v>548</v>
      </c>
      <c r="F12086" s="38" t="s">
        <v>195</v>
      </c>
      <c r="G12086" s="49" t="str">
        <f t="shared" si="1"/>
        <v>54135</v>
      </c>
      <c r="H12086" s="49">
        <f t="shared" si="2"/>
        <v>54367</v>
      </c>
    </row>
    <row r="12087">
      <c r="A12087" s="48" t="s">
        <v>5781</v>
      </c>
      <c r="B12087" s="38">
        <v>69295.0</v>
      </c>
      <c r="C12087" s="38" t="s">
        <v>16232</v>
      </c>
      <c r="D12087" s="38" t="str">
        <f>IFERROR(__xludf.DUMMYFUNCTION("REGEXREPLACE(C12087,""-\d+(.*)|--\d+(.*)"","""")"),"SIMANDRES")</f>
        <v>SIMANDRES</v>
      </c>
      <c r="E12087" s="38" t="s">
        <v>350</v>
      </c>
      <c r="F12087" s="38" t="s">
        <v>102</v>
      </c>
      <c r="G12087" s="49" t="str">
        <f t="shared" si="1"/>
        <v>69360</v>
      </c>
      <c r="H12087" s="49">
        <f t="shared" si="2"/>
        <v>69295</v>
      </c>
    </row>
    <row r="12088">
      <c r="A12088" s="48" t="s">
        <v>12929</v>
      </c>
      <c r="B12088" s="38">
        <v>73129.0</v>
      </c>
      <c r="C12088" s="38" t="s">
        <v>16233</v>
      </c>
      <c r="D12088" s="38" t="str">
        <f>IFERROR(__xludf.DUMMYFUNCTION("REGEXREPLACE(C12088,""-\d+(.*)|--\d+(.*)"","""")"),"GRESY-SUR-ISERE")</f>
        <v>GRESY-SUR-ISERE</v>
      </c>
      <c r="E12088" s="38" t="s">
        <v>306</v>
      </c>
      <c r="F12088" s="38" t="s">
        <v>102</v>
      </c>
      <c r="G12088" s="49" t="str">
        <f t="shared" si="1"/>
        <v>73460</v>
      </c>
      <c r="H12088" s="49">
        <f t="shared" si="2"/>
        <v>73129</v>
      </c>
    </row>
    <row r="12089">
      <c r="A12089" s="48" t="s">
        <v>3800</v>
      </c>
      <c r="B12089" s="38">
        <v>35160.0</v>
      </c>
      <c r="C12089" s="38" t="s">
        <v>16234</v>
      </c>
      <c r="D12089" s="38" t="str">
        <f>IFERROR(__xludf.DUMMYFUNCTION("REGEXREPLACE(C12089,""-\d+(.*)|--\d+(.*)"","""")"),"LOUTEHEL")</f>
        <v>LOUTEHEL</v>
      </c>
      <c r="E12089" s="38" t="s">
        <v>347</v>
      </c>
      <c r="F12089" s="38" t="s">
        <v>90</v>
      </c>
      <c r="G12089" s="49" t="str">
        <f t="shared" si="1"/>
        <v>35330</v>
      </c>
      <c r="H12089" s="49">
        <f t="shared" si="2"/>
        <v>35160</v>
      </c>
    </row>
    <row r="12090">
      <c r="A12090" s="48" t="s">
        <v>3504</v>
      </c>
      <c r="B12090" s="38">
        <v>42150.0</v>
      </c>
      <c r="C12090" s="38" t="s">
        <v>16235</v>
      </c>
      <c r="D12090" s="38" t="str">
        <f>IFERROR(__xludf.DUMMYFUNCTION("REGEXREPLACE(C12090,""-\d+(.*)|--\d+(.*)"","""")"),"MONTVERDUN")</f>
        <v>MONTVERDUN</v>
      </c>
      <c r="E12090" s="38" t="s">
        <v>166</v>
      </c>
      <c r="F12090" s="38" t="s">
        <v>102</v>
      </c>
      <c r="G12090" s="49" t="str">
        <f t="shared" si="1"/>
        <v>42130</v>
      </c>
      <c r="H12090" s="49">
        <f t="shared" si="2"/>
        <v>42150</v>
      </c>
    </row>
    <row r="12091">
      <c r="A12091" s="48" t="s">
        <v>6021</v>
      </c>
      <c r="B12091" s="38">
        <v>30191.0</v>
      </c>
      <c r="C12091" s="38" t="s">
        <v>16236</v>
      </c>
      <c r="D12091" s="38" t="str">
        <f>IFERROR(__xludf.DUMMYFUNCTION("REGEXREPLACE(C12091,""-\d+(.*)|--\d+(.*)"","""")"),"ORSAN")</f>
        <v>ORSAN</v>
      </c>
      <c r="E12091" s="38" t="s">
        <v>526</v>
      </c>
      <c r="F12091" s="38" t="s">
        <v>119</v>
      </c>
      <c r="G12091" s="49" t="str">
        <f t="shared" si="1"/>
        <v>30200</v>
      </c>
      <c r="H12091" s="49">
        <f t="shared" si="2"/>
        <v>30191</v>
      </c>
    </row>
    <row r="12092">
      <c r="A12092" s="48" t="s">
        <v>4592</v>
      </c>
      <c r="B12092" s="38">
        <v>26070.0</v>
      </c>
      <c r="C12092" s="38" t="s">
        <v>16237</v>
      </c>
      <c r="D12092" s="38" t="str">
        <f>IFERROR(__xludf.DUMMYFUNCTION("REGEXREPLACE(C12092,""-\d+(.*)|--\d+(.*)"","""")"),"CHAMARET")</f>
        <v>CHAMARET</v>
      </c>
      <c r="E12092" s="38" t="s">
        <v>126</v>
      </c>
      <c r="F12092" s="38" t="s">
        <v>102</v>
      </c>
      <c r="G12092" s="49" t="str">
        <f t="shared" si="1"/>
        <v>26230</v>
      </c>
      <c r="H12092" s="49">
        <f t="shared" si="2"/>
        <v>26070</v>
      </c>
    </row>
    <row r="12093">
      <c r="A12093" s="48" t="s">
        <v>9293</v>
      </c>
      <c r="B12093" s="38">
        <v>9194.0</v>
      </c>
      <c r="C12093" s="38" t="s">
        <v>11536</v>
      </c>
      <c r="D12093" s="38" t="str">
        <f>IFERROR(__xludf.DUMMYFUNCTION("REGEXREPLACE(C12093,""-\d+(.*)|--\d+(.*)"","""")"),"MIREPOIX")</f>
        <v>MIREPOIX</v>
      </c>
      <c r="E12093" s="38" t="s">
        <v>238</v>
      </c>
      <c r="F12093" s="38" t="s">
        <v>94</v>
      </c>
      <c r="G12093" s="49" t="str">
        <f t="shared" si="1"/>
        <v>09500</v>
      </c>
      <c r="H12093" s="49" t="str">
        <f t="shared" si="2"/>
        <v>09194</v>
      </c>
    </row>
    <row r="12094">
      <c r="A12094" s="48" t="s">
        <v>5012</v>
      </c>
      <c r="B12094" s="38">
        <v>55379.0</v>
      </c>
      <c r="C12094" s="38" t="s">
        <v>16238</v>
      </c>
      <c r="D12094" s="38" t="str">
        <f>IFERROR(__xludf.DUMMYFUNCTION("REGEXREPLACE(C12094,""-\d+(.*)|--\d+(.*)"","""")"),"LE NEUFOUR")</f>
        <v>LE NEUFOUR</v>
      </c>
      <c r="E12094" s="38" t="s">
        <v>322</v>
      </c>
      <c r="F12094" s="38" t="s">
        <v>195</v>
      </c>
      <c r="G12094" s="49" t="str">
        <f t="shared" si="1"/>
        <v>55120</v>
      </c>
      <c r="H12094" s="49">
        <f t="shared" si="2"/>
        <v>55379</v>
      </c>
    </row>
    <row r="12095">
      <c r="A12095" s="48" t="s">
        <v>3763</v>
      </c>
      <c r="B12095" s="38">
        <v>76018.0</v>
      </c>
      <c r="C12095" s="38" t="s">
        <v>16239</v>
      </c>
      <c r="D12095" s="38" t="str">
        <f>IFERROR(__xludf.DUMMYFUNCTION("REGEXREPLACE(C12095,""-\d+(.*)|--\d+(.*)"","""")"),"VAL-DE-SAANE")</f>
        <v>VAL-DE-SAANE</v>
      </c>
      <c r="E12095" s="38" t="s">
        <v>133</v>
      </c>
      <c r="F12095" s="38" t="s">
        <v>134</v>
      </c>
      <c r="G12095" s="49" t="str">
        <f t="shared" si="1"/>
        <v>76890</v>
      </c>
      <c r="H12095" s="49">
        <f t="shared" si="2"/>
        <v>76018</v>
      </c>
    </row>
    <row r="12096">
      <c r="A12096" s="48" t="s">
        <v>8263</v>
      </c>
      <c r="B12096" s="38">
        <v>43053.0</v>
      </c>
      <c r="C12096" s="38" t="s">
        <v>16240</v>
      </c>
      <c r="D12096" s="38" t="str">
        <f>IFERROR(__xludf.DUMMYFUNCTION("REGEXREPLACE(C12096,""-\d+(.*)|--\d+(.*)"","""")"),"CHAMPCLAUSE")</f>
        <v>CHAMPCLAUSE</v>
      </c>
      <c r="E12096" s="38" t="s">
        <v>332</v>
      </c>
      <c r="F12096" s="38" t="s">
        <v>161</v>
      </c>
      <c r="G12096" s="49" t="str">
        <f t="shared" si="1"/>
        <v>43260</v>
      </c>
      <c r="H12096" s="49">
        <f t="shared" si="2"/>
        <v>43053</v>
      </c>
    </row>
    <row r="12097">
      <c r="A12097" s="48" t="s">
        <v>3506</v>
      </c>
      <c r="B12097" s="38">
        <v>16201.0</v>
      </c>
      <c r="C12097" s="38" t="s">
        <v>16241</v>
      </c>
      <c r="D12097" s="38" t="str">
        <f>IFERROR(__xludf.DUMMYFUNCTION("REGEXREPLACE(C12097,""-\d+(.*)|--\d+(.*)"","""")"),"MAINFONDS")</f>
        <v>MAINFONDS</v>
      </c>
      <c r="E12097" s="38" t="s">
        <v>429</v>
      </c>
      <c r="F12097" s="38" t="s">
        <v>338</v>
      </c>
      <c r="G12097" s="49" t="str">
        <f t="shared" si="1"/>
        <v>16250</v>
      </c>
      <c r="H12097" s="49">
        <f t="shared" si="2"/>
        <v>16201</v>
      </c>
    </row>
    <row r="12098">
      <c r="A12098" s="48" t="s">
        <v>3190</v>
      </c>
      <c r="B12098" s="38">
        <v>70463.0</v>
      </c>
      <c r="C12098" s="38" t="s">
        <v>16242</v>
      </c>
      <c r="D12098" s="38" t="str">
        <f>IFERROR(__xludf.DUMMYFUNCTION("REGEXREPLACE(C12098,""-\d+(.*)|--\d+(.*)"","""")"),"SAINT-GAND")</f>
        <v>SAINT-GAND</v>
      </c>
      <c r="E12098" s="38" t="s">
        <v>956</v>
      </c>
      <c r="F12098" s="38" t="s">
        <v>214</v>
      </c>
      <c r="G12098" s="49" t="str">
        <f t="shared" si="1"/>
        <v>70130</v>
      </c>
      <c r="H12098" s="49">
        <f t="shared" si="2"/>
        <v>70463</v>
      </c>
    </row>
    <row r="12099">
      <c r="A12099" s="48" t="s">
        <v>16243</v>
      </c>
      <c r="B12099" s="38">
        <v>16166.0</v>
      </c>
      <c r="C12099" s="38" t="s">
        <v>16244</v>
      </c>
      <c r="D12099" s="38" t="str">
        <f>IFERROR(__xludf.DUMMYFUNCTION("REGEXREPLACE(C12099,""-\d+(.*)|--\d+(.*)"","""")"),"L'ISLE-D'ESPAGNAC")</f>
        <v>L'ISLE-D'ESPAGNAC</v>
      </c>
      <c r="E12099" s="38" t="s">
        <v>429</v>
      </c>
      <c r="F12099" s="38" t="s">
        <v>338</v>
      </c>
      <c r="G12099" s="49" t="str">
        <f t="shared" si="1"/>
        <v>16340</v>
      </c>
      <c r="H12099" s="49">
        <f t="shared" si="2"/>
        <v>16166</v>
      </c>
    </row>
    <row r="12100">
      <c r="A12100" s="48" t="s">
        <v>5030</v>
      </c>
      <c r="B12100" s="38">
        <v>65338.0</v>
      </c>
      <c r="C12100" s="38" t="s">
        <v>16245</v>
      </c>
      <c r="D12100" s="38" t="str">
        <f>IFERROR(__xludf.DUMMYFUNCTION("REGEXREPLACE(C12100,""-\d+(.*)|--\d+(.*)"","""")"),"ORIGNAC")</f>
        <v>ORIGNAC</v>
      </c>
      <c r="E12100" s="38" t="s">
        <v>200</v>
      </c>
      <c r="F12100" s="38" t="s">
        <v>94</v>
      </c>
      <c r="G12100" s="49" t="str">
        <f t="shared" si="1"/>
        <v>65200</v>
      </c>
      <c r="H12100" s="49">
        <f t="shared" si="2"/>
        <v>65338</v>
      </c>
    </row>
    <row r="12101">
      <c r="A12101" s="48" t="s">
        <v>1555</v>
      </c>
      <c r="B12101" s="38">
        <v>52267.0</v>
      </c>
      <c r="C12101" s="38" t="s">
        <v>16246</v>
      </c>
      <c r="D12101" s="38" t="str">
        <f>IFERROR(__xludf.DUMMYFUNCTION("REGEXREPLACE(C12101,""-\d+(.*)|--\d+(.*)"","""")"),"LANEUVILLE-AU-PONT")</f>
        <v>LANEUVILLE-AU-PONT</v>
      </c>
      <c r="E12101" s="38" t="s">
        <v>234</v>
      </c>
      <c r="F12101" s="38" t="s">
        <v>130</v>
      </c>
      <c r="G12101" s="49" t="str">
        <f t="shared" si="1"/>
        <v>52100</v>
      </c>
      <c r="H12101" s="49">
        <f t="shared" si="2"/>
        <v>52267</v>
      </c>
    </row>
    <row r="12102">
      <c r="A12102" s="48" t="s">
        <v>4384</v>
      </c>
      <c r="B12102" s="38">
        <v>41017.0</v>
      </c>
      <c r="C12102" s="38" t="s">
        <v>16247</v>
      </c>
      <c r="D12102" s="38" t="str">
        <f>IFERROR(__xludf.DUMMYFUNCTION("REGEXREPLACE(C12102,""-\d+(.*)|--\d+(.*)"","""")"),"BINAS")</f>
        <v>BINAS</v>
      </c>
      <c r="E12102" s="38" t="s">
        <v>188</v>
      </c>
      <c r="F12102" s="38" t="s">
        <v>123</v>
      </c>
      <c r="G12102" s="49" t="str">
        <f t="shared" si="1"/>
        <v>41240</v>
      </c>
      <c r="H12102" s="49">
        <f t="shared" si="2"/>
        <v>41017</v>
      </c>
    </row>
    <row r="12103">
      <c r="A12103" s="48" t="s">
        <v>1774</v>
      </c>
      <c r="B12103" s="38">
        <v>28144.0</v>
      </c>
      <c r="C12103" s="38" t="s">
        <v>16248</v>
      </c>
      <c r="D12103" s="38" t="str">
        <f>IFERROR(__xludf.DUMMYFUNCTION("REGEXREPLACE(C12103,""-\d+(.*)|--\d+(.*)"","""")"),"LES ETILLEUX")</f>
        <v>LES ETILLEUX</v>
      </c>
      <c r="E12103" s="38" t="s">
        <v>300</v>
      </c>
      <c r="F12103" s="38" t="s">
        <v>123</v>
      </c>
      <c r="G12103" s="49" t="str">
        <f t="shared" si="1"/>
        <v>28330</v>
      </c>
      <c r="H12103" s="49">
        <f t="shared" si="2"/>
        <v>28144</v>
      </c>
    </row>
    <row r="12104">
      <c r="A12104" s="48" t="s">
        <v>9888</v>
      </c>
      <c r="B12104" s="38">
        <v>64014.0</v>
      </c>
      <c r="C12104" s="38" t="s">
        <v>16249</v>
      </c>
      <c r="D12104" s="38" t="str">
        <f>IFERROR(__xludf.DUMMYFUNCTION("REGEXREPLACE(C12104,""-\d+(.*)|--\d+(.*)"","""")"),"AINHOA")</f>
        <v>AINHOA</v>
      </c>
      <c r="E12104" s="38" t="s">
        <v>268</v>
      </c>
      <c r="F12104" s="38" t="s">
        <v>252</v>
      </c>
      <c r="G12104" s="49" t="str">
        <f t="shared" si="1"/>
        <v>64250</v>
      </c>
      <c r="H12104" s="49">
        <f t="shared" si="2"/>
        <v>64014</v>
      </c>
    </row>
    <row r="12105">
      <c r="A12105" s="48" t="s">
        <v>4013</v>
      </c>
      <c r="B12105" s="38">
        <v>9203.0</v>
      </c>
      <c r="C12105" s="38" t="s">
        <v>11876</v>
      </c>
      <c r="D12105" s="38" t="str">
        <f>IFERROR(__xludf.DUMMYFUNCTION("REGEXREPLACE(C12105,""-\d+(.*)|--\d+(.*)"","""")"),"MONTELS")</f>
        <v>MONTELS</v>
      </c>
      <c r="E12105" s="38" t="s">
        <v>238</v>
      </c>
      <c r="F12105" s="38" t="s">
        <v>94</v>
      </c>
      <c r="G12105" s="49" t="str">
        <f t="shared" si="1"/>
        <v>09240</v>
      </c>
      <c r="H12105" s="49" t="str">
        <f t="shared" si="2"/>
        <v>09203</v>
      </c>
    </row>
    <row r="12106">
      <c r="A12106" s="48" t="s">
        <v>11738</v>
      </c>
      <c r="B12106" s="38">
        <v>56009.0</v>
      </c>
      <c r="C12106" s="38" t="s">
        <v>16250</v>
      </c>
      <c r="D12106" s="38" t="str">
        <f>IFERROR(__xludf.DUMMYFUNCTION("REGEXREPLACE(C12106,""-\d+(.*)|--\d+(.*)"","""")"),"BANGOR")</f>
        <v>BANGOR</v>
      </c>
      <c r="E12106" s="38" t="s">
        <v>173</v>
      </c>
      <c r="F12106" s="38" t="s">
        <v>90</v>
      </c>
      <c r="G12106" s="49" t="str">
        <f t="shared" si="1"/>
        <v>56360</v>
      </c>
      <c r="H12106" s="49">
        <f t="shared" si="2"/>
        <v>56009</v>
      </c>
    </row>
    <row r="12107">
      <c r="A12107" s="48" t="s">
        <v>597</v>
      </c>
      <c r="B12107" s="38">
        <v>31373.0</v>
      </c>
      <c r="C12107" s="38" t="s">
        <v>16251</v>
      </c>
      <c r="D12107" s="38" t="str">
        <f>IFERROR(__xludf.DUMMYFUNCTION("REGEXREPLACE(C12107,""-\d+(.*)|--\d+(.*)"","""")"),"MONTESQUIEU-GUITTAUT")</f>
        <v>MONTESQUIEU-GUITTAUT</v>
      </c>
      <c r="E12107" s="38" t="s">
        <v>93</v>
      </c>
      <c r="F12107" s="38" t="s">
        <v>94</v>
      </c>
      <c r="G12107" s="49" t="str">
        <f t="shared" si="1"/>
        <v>31230</v>
      </c>
      <c r="H12107" s="49">
        <f t="shared" si="2"/>
        <v>31373</v>
      </c>
    </row>
    <row r="12108">
      <c r="A12108" s="48" t="s">
        <v>11602</v>
      </c>
      <c r="B12108" s="38">
        <v>5086.0</v>
      </c>
      <c r="C12108" s="38" t="s">
        <v>7681</v>
      </c>
      <c r="D12108" s="38" t="str">
        <f>IFERROR(__xludf.DUMMYFUNCTION("REGEXREPLACE(C12108,""-\d+(.*)|--\d+(.*)"","""")"),"MONTJAY")</f>
        <v>MONTJAY</v>
      </c>
      <c r="E12108" s="38" t="s">
        <v>706</v>
      </c>
      <c r="F12108" s="38" t="s">
        <v>228</v>
      </c>
      <c r="G12108" s="49" t="str">
        <f t="shared" si="1"/>
        <v>05150</v>
      </c>
      <c r="H12108" s="49" t="str">
        <f t="shared" si="2"/>
        <v>05086</v>
      </c>
    </row>
    <row r="12109">
      <c r="A12109" s="48" t="s">
        <v>16252</v>
      </c>
      <c r="B12109" s="38">
        <v>94003.0</v>
      </c>
      <c r="C12109" s="38" t="s">
        <v>16253</v>
      </c>
      <c r="D12109" s="38" t="str">
        <f>IFERROR(__xludf.DUMMYFUNCTION("REGEXREPLACE(C12109,""-\d+(.*)|--\d+(.*)"","""")"),"ARCUEIL")</f>
        <v>ARCUEIL</v>
      </c>
      <c r="E12109" s="38" t="s">
        <v>561</v>
      </c>
      <c r="F12109" s="38" t="s">
        <v>245</v>
      </c>
      <c r="G12109" s="49" t="str">
        <f t="shared" si="1"/>
        <v>94110</v>
      </c>
      <c r="H12109" s="49">
        <f t="shared" si="2"/>
        <v>94003</v>
      </c>
    </row>
    <row r="12110">
      <c r="A12110" s="48" t="s">
        <v>16254</v>
      </c>
      <c r="B12110" s="38">
        <v>17274.0</v>
      </c>
      <c r="C12110" s="38" t="s">
        <v>10494</v>
      </c>
      <c r="D12110" s="38" t="str">
        <f>IFERROR(__xludf.DUMMYFUNCTION("REGEXREPLACE(C12110,""-\d+(.*)|--\d+(.*)"","""")"),"PERIGNY")</f>
        <v>PERIGNY</v>
      </c>
      <c r="E12110" s="38" t="s">
        <v>488</v>
      </c>
      <c r="F12110" s="38" t="s">
        <v>338</v>
      </c>
      <c r="G12110" s="49" t="str">
        <f t="shared" si="1"/>
        <v>17180</v>
      </c>
      <c r="H12110" s="49">
        <f t="shared" si="2"/>
        <v>17274</v>
      </c>
    </row>
    <row r="12111">
      <c r="A12111" s="48" t="s">
        <v>3446</v>
      </c>
      <c r="B12111" s="38">
        <v>21525.0</v>
      </c>
      <c r="C12111" s="38" t="s">
        <v>16255</v>
      </c>
      <c r="D12111" s="38" t="str">
        <f>IFERROR(__xludf.DUMMYFUNCTION("REGEXREPLACE(C12111,""-\d+(.*)|--\d+(.*)"","""")"),"LA ROCHE-EN-BRENIL")</f>
        <v>LA ROCHE-EN-BRENIL</v>
      </c>
      <c r="E12111" s="38" t="s">
        <v>105</v>
      </c>
      <c r="F12111" s="38" t="s">
        <v>106</v>
      </c>
      <c r="G12111" s="49" t="str">
        <f t="shared" si="1"/>
        <v>21530</v>
      </c>
      <c r="H12111" s="49">
        <f t="shared" si="2"/>
        <v>21525</v>
      </c>
    </row>
    <row r="12112">
      <c r="A12112" s="48" t="s">
        <v>1422</v>
      </c>
      <c r="B12112" s="38">
        <v>14448.0</v>
      </c>
      <c r="C12112" s="38" t="s">
        <v>16256</v>
      </c>
      <c r="D12112" s="38" t="str">
        <f>IFERROR(__xludf.DUMMYFUNCTION("REGEXREPLACE(C12112,""-\d+(.*)|--\d+(.*)"","""")"),"MONTREUIL-EN-AUGE")</f>
        <v>MONTREUIL-EN-AUGE</v>
      </c>
      <c r="E12112" s="38" t="s">
        <v>137</v>
      </c>
      <c r="F12112" s="38" t="s">
        <v>138</v>
      </c>
      <c r="G12112" s="49" t="str">
        <f t="shared" si="1"/>
        <v>14340</v>
      </c>
      <c r="H12112" s="49">
        <f t="shared" si="2"/>
        <v>14448</v>
      </c>
    </row>
    <row r="12113">
      <c r="A12113" s="48" t="s">
        <v>9892</v>
      </c>
      <c r="B12113" s="38">
        <v>65018.0</v>
      </c>
      <c r="C12113" s="38" t="s">
        <v>16257</v>
      </c>
      <c r="D12113" s="38" t="str">
        <f>IFERROR(__xludf.DUMMYFUNCTION("REGEXREPLACE(C12113,""-\d+(.*)|--\d+(.*)"","""")"),"ARBEOST")</f>
        <v>ARBEOST</v>
      </c>
      <c r="E12113" s="38" t="s">
        <v>200</v>
      </c>
      <c r="F12113" s="38" t="s">
        <v>94</v>
      </c>
      <c r="G12113" s="49" t="str">
        <f t="shared" si="1"/>
        <v>65560</v>
      </c>
      <c r="H12113" s="49">
        <f t="shared" si="2"/>
        <v>65018</v>
      </c>
    </row>
    <row r="12114">
      <c r="A12114" s="48" t="s">
        <v>736</v>
      </c>
      <c r="B12114" s="38">
        <v>57139.0</v>
      </c>
      <c r="C12114" s="38" t="s">
        <v>16258</v>
      </c>
      <c r="D12114" s="38" t="str">
        <f>IFERROR(__xludf.DUMMYFUNCTION("REGEXREPLACE(C12114,""-\d+(.*)|--\d+(.*)"","""")"),"CHERISEY")</f>
        <v>CHERISEY</v>
      </c>
      <c r="E12114" s="38" t="s">
        <v>303</v>
      </c>
      <c r="F12114" s="38" t="s">
        <v>195</v>
      </c>
      <c r="G12114" s="49" t="str">
        <f t="shared" si="1"/>
        <v>57420</v>
      </c>
      <c r="H12114" s="49">
        <f t="shared" si="2"/>
        <v>57139</v>
      </c>
    </row>
    <row r="12115">
      <c r="A12115" s="48" t="s">
        <v>12108</v>
      </c>
      <c r="B12115" s="38">
        <v>38338.0</v>
      </c>
      <c r="C12115" s="38" t="s">
        <v>16259</v>
      </c>
      <c r="D12115" s="38" t="str">
        <f>IFERROR(__xludf.DUMMYFUNCTION("REGEXREPLACE(C12115,""-\d+(.*)|--\d+(.*)"","""")"),"LA RIVIERE")</f>
        <v>LA RIVIERE</v>
      </c>
      <c r="E12115" s="38" t="s">
        <v>101</v>
      </c>
      <c r="F12115" s="38" t="s">
        <v>102</v>
      </c>
      <c r="G12115" s="49" t="str">
        <f t="shared" si="1"/>
        <v>38210</v>
      </c>
      <c r="H12115" s="49">
        <f t="shared" si="2"/>
        <v>38338</v>
      </c>
    </row>
    <row r="12116">
      <c r="A12116" s="48" t="s">
        <v>1812</v>
      </c>
      <c r="B12116" s="38">
        <v>51142.0</v>
      </c>
      <c r="C12116" s="38" t="s">
        <v>16260</v>
      </c>
      <c r="D12116" s="38" t="str">
        <f>IFERROR(__xludf.DUMMYFUNCTION("REGEXREPLACE(C12116,""-\d+(.*)|--\d+(.*)"","""")"),"CHAVOT-COURCOURT")</f>
        <v>CHAVOT-COURCOURT</v>
      </c>
      <c r="E12116" s="38" t="s">
        <v>129</v>
      </c>
      <c r="F12116" s="38" t="s">
        <v>130</v>
      </c>
      <c r="G12116" s="49" t="str">
        <f t="shared" si="1"/>
        <v>51530</v>
      </c>
      <c r="H12116" s="49">
        <f t="shared" si="2"/>
        <v>51142</v>
      </c>
    </row>
    <row r="12117">
      <c r="A12117" s="48" t="s">
        <v>3798</v>
      </c>
      <c r="B12117" s="38">
        <v>85202.0</v>
      </c>
      <c r="C12117" s="38" t="s">
        <v>16261</v>
      </c>
      <c r="D12117" s="38" t="str">
        <f>IFERROR(__xludf.DUMMYFUNCTION("REGEXREPLACE(C12117,""-\d+(.*)|--\d+(.*)"","""")"),"SAINTE-CECILE")</f>
        <v>SAINTE-CECILE</v>
      </c>
      <c r="E12117" s="38" t="s">
        <v>179</v>
      </c>
      <c r="F12117" s="38" t="s">
        <v>180</v>
      </c>
      <c r="G12117" s="49" t="str">
        <f t="shared" si="1"/>
        <v>85110</v>
      </c>
      <c r="H12117" s="49">
        <f t="shared" si="2"/>
        <v>85202</v>
      </c>
    </row>
    <row r="12118">
      <c r="A12118" s="48" t="s">
        <v>16262</v>
      </c>
      <c r="B12118" s="38">
        <v>36081.0</v>
      </c>
      <c r="C12118" s="38" t="s">
        <v>16263</v>
      </c>
      <c r="D12118" s="38" t="str">
        <f>IFERROR(__xludf.DUMMYFUNCTION("REGEXREPLACE(C12118,""-\d+(.*)|--\d+(.*)"","""")"),"GARGILESSE-DAMPIERRE")</f>
        <v>GARGILESSE-DAMPIERRE</v>
      </c>
      <c r="E12118" s="38" t="s">
        <v>258</v>
      </c>
      <c r="F12118" s="38" t="s">
        <v>123</v>
      </c>
      <c r="G12118" s="49" t="str">
        <f t="shared" si="1"/>
        <v>36190</v>
      </c>
      <c r="H12118" s="49">
        <f t="shared" si="2"/>
        <v>36081</v>
      </c>
    </row>
    <row r="12119">
      <c r="A12119" s="48" t="s">
        <v>1208</v>
      </c>
      <c r="B12119" s="38">
        <v>32135.0</v>
      </c>
      <c r="C12119" s="38" t="s">
        <v>16264</v>
      </c>
      <c r="D12119" s="38" t="str">
        <f>IFERROR(__xludf.DUMMYFUNCTION("REGEXREPLACE(C12119,""-\d+(.*)|--\d+(.*)"","""")"),"FUSTEROUAU")</f>
        <v>FUSTEROUAU</v>
      </c>
      <c r="E12119" s="38" t="s">
        <v>440</v>
      </c>
      <c r="F12119" s="38" t="s">
        <v>94</v>
      </c>
      <c r="G12119" s="49" t="str">
        <f t="shared" si="1"/>
        <v>32400</v>
      </c>
      <c r="H12119" s="49">
        <f t="shared" si="2"/>
        <v>32135</v>
      </c>
    </row>
    <row r="12120">
      <c r="A12120" s="48" t="s">
        <v>1199</v>
      </c>
      <c r="B12120" s="38">
        <v>55030.0</v>
      </c>
      <c r="C12120" s="38" t="s">
        <v>16265</v>
      </c>
      <c r="D12120" s="38" t="str">
        <f>IFERROR(__xludf.DUMMYFUNCTION("REGEXREPLACE(C12120,""-\d+(.*)|--\d+(.*)"","""")"),"BAUDIGNECOURT")</f>
        <v>BAUDIGNECOURT</v>
      </c>
      <c r="E12120" s="38" t="s">
        <v>322</v>
      </c>
      <c r="F12120" s="38" t="s">
        <v>195</v>
      </c>
      <c r="G12120" s="49" t="str">
        <f t="shared" si="1"/>
        <v>55130</v>
      </c>
      <c r="H12120" s="49">
        <f t="shared" si="2"/>
        <v>55030</v>
      </c>
    </row>
    <row r="12121">
      <c r="A12121" s="48" t="s">
        <v>16266</v>
      </c>
      <c r="B12121" s="38">
        <v>74063.0</v>
      </c>
      <c r="C12121" s="38" t="s">
        <v>16267</v>
      </c>
      <c r="D12121" s="38" t="str">
        <f>IFERROR(__xludf.DUMMYFUNCTION("REGEXREPLACE(C12121,""-\d+(.*)|--\d+(.*)"","""")"),"CHATEL")</f>
        <v>CHATEL</v>
      </c>
      <c r="E12121" s="38" t="s">
        <v>319</v>
      </c>
      <c r="F12121" s="38" t="s">
        <v>102</v>
      </c>
      <c r="G12121" s="49" t="str">
        <f t="shared" si="1"/>
        <v>74390</v>
      </c>
      <c r="H12121" s="49">
        <f t="shared" si="2"/>
        <v>74063</v>
      </c>
    </row>
    <row r="12122">
      <c r="A12122" s="48" t="s">
        <v>10369</v>
      </c>
      <c r="B12122" s="38">
        <v>88311.0</v>
      </c>
      <c r="C12122" s="38" t="s">
        <v>16268</v>
      </c>
      <c r="D12122" s="38" t="str">
        <f>IFERROR(__xludf.DUMMYFUNCTION("REGEXREPLACE(C12122,""-\d+(.*)|--\d+(.*)"","""")"),"MONTMOTIER")</f>
        <v>MONTMOTIER</v>
      </c>
      <c r="E12122" s="38" t="s">
        <v>194</v>
      </c>
      <c r="F12122" s="38" t="s">
        <v>195</v>
      </c>
      <c r="G12122" s="49" t="str">
        <f t="shared" si="1"/>
        <v>88240</v>
      </c>
      <c r="H12122" s="49">
        <f t="shared" si="2"/>
        <v>88311</v>
      </c>
    </row>
    <row r="12123">
      <c r="A12123" s="48" t="s">
        <v>427</v>
      </c>
      <c r="B12123" s="38">
        <v>16152.0</v>
      </c>
      <c r="C12123" s="38" t="s">
        <v>16269</v>
      </c>
      <c r="D12123" s="38" t="str">
        <f>IFERROR(__xludf.DUMMYFUNCTION("REGEXREPLACE(C12123,""-\d+(.*)|--\d+(.*)"","""")"),"GIMEUX")</f>
        <v>GIMEUX</v>
      </c>
      <c r="E12123" s="38" t="s">
        <v>429</v>
      </c>
      <c r="F12123" s="38" t="s">
        <v>338</v>
      </c>
      <c r="G12123" s="49" t="str">
        <f t="shared" si="1"/>
        <v>16130</v>
      </c>
      <c r="H12123" s="49">
        <f t="shared" si="2"/>
        <v>16152</v>
      </c>
    </row>
    <row r="12124">
      <c r="A12124" s="48" t="s">
        <v>1644</v>
      </c>
      <c r="B12124" s="38">
        <v>21279.0</v>
      </c>
      <c r="C12124" s="38" t="s">
        <v>16270</v>
      </c>
      <c r="D12124" s="38" t="str">
        <f>IFERROR(__xludf.DUMMYFUNCTION("REGEXREPLACE(C12124,""-\d+(.*)|--\d+(.*)"","""")"),"FONTAINES-LES-SECHES")</f>
        <v>FONTAINES-LES-SECHES</v>
      </c>
      <c r="E12124" s="38" t="s">
        <v>105</v>
      </c>
      <c r="F12124" s="38" t="s">
        <v>106</v>
      </c>
      <c r="G12124" s="49" t="str">
        <f t="shared" si="1"/>
        <v>21330</v>
      </c>
      <c r="H12124" s="49">
        <f t="shared" si="2"/>
        <v>21279</v>
      </c>
    </row>
    <row r="12125">
      <c r="A12125" s="48" t="s">
        <v>16271</v>
      </c>
      <c r="B12125" s="38">
        <v>56168.0</v>
      </c>
      <c r="C12125" s="38" t="s">
        <v>16272</v>
      </c>
      <c r="D12125" s="38" t="str">
        <f>IFERROR(__xludf.DUMMYFUNCTION("REGEXREPLACE(C12125,""-\d+(.*)|--\d+(.*)"","""")"),"PLOUHARNEL")</f>
        <v>PLOUHARNEL</v>
      </c>
      <c r="E12125" s="38" t="s">
        <v>173</v>
      </c>
      <c r="F12125" s="38" t="s">
        <v>90</v>
      </c>
      <c r="G12125" s="49" t="str">
        <f t="shared" si="1"/>
        <v>56340</v>
      </c>
      <c r="H12125" s="49">
        <f t="shared" si="2"/>
        <v>56168</v>
      </c>
    </row>
    <row r="12126">
      <c r="A12126" s="48" t="s">
        <v>16273</v>
      </c>
      <c r="B12126" s="38">
        <v>42237.0</v>
      </c>
      <c r="C12126" s="38" t="s">
        <v>16274</v>
      </c>
      <c r="D12126" s="38" t="str">
        <f>IFERROR(__xludf.DUMMYFUNCTION("REGEXREPLACE(C12126,""-\d+(.*)|--\d+(.*)"","""")"),"SAINT-JEAN-BONNEFONDS")</f>
        <v>SAINT-JEAN-BONNEFONDS</v>
      </c>
      <c r="E12126" s="38" t="s">
        <v>166</v>
      </c>
      <c r="F12126" s="38" t="s">
        <v>102</v>
      </c>
      <c r="G12126" s="49" t="str">
        <f t="shared" si="1"/>
        <v>42650</v>
      </c>
      <c r="H12126" s="49">
        <f t="shared" si="2"/>
        <v>42237</v>
      </c>
    </row>
    <row r="12127">
      <c r="A12127" s="48" t="s">
        <v>16275</v>
      </c>
      <c r="B12127" s="38">
        <v>77430.0</v>
      </c>
      <c r="C12127" s="38" t="s">
        <v>16276</v>
      </c>
      <c r="D12127" s="38" t="str">
        <f>IFERROR(__xludf.DUMMYFUNCTION("REGEXREPLACE(C12127,""-\d+(.*)|--\d+(.*)"","""")"),"SAINT-PATHUS")</f>
        <v>SAINT-PATHUS</v>
      </c>
      <c r="E12127" s="38" t="s">
        <v>244</v>
      </c>
      <c r="F12127" s="38" t="s">
        <v>245</v>
      </c>
      <c r="G12127" s="49" t="str">
        <f t="shared" si="1"/>
        <v>77178</v>
      </c>
      <c r="H12127" s="49">
        <f t="shared" si="2"/>
        <v>77430</v>
      </c>
    </row>
    <row r="12128">
      <c r="A12128" s="48" t="s">
        <v>5973</v>
      </c>
      <c r="B12128" s="38">
        <v>54229.0</v>
      </c>
      <c r="C12128" s="38" t="s">
        <v>16277</v>
      </c>
      <c r="D12128" s="38" t="str">
        <f>IFERROR(__xludf.DUMMYFUNCTION("REGEXREPLACE(C12128,""-\d+(.*)|--\d+(.*)"","""")"),"GLONVILLE")</f>
        <v>GLONVILLE</v>
      </c>
      <c r="E12128" s="38" t="s">
        <v>548</v>
      </c>
      <c r="F12128" s="38" t="s">
        <v>195</v>
      </c>
      <c r="G12128" s="49" t="str">
        <f t="shared" si="1"/>
        <v>54122</v>
      </c>
      <c r="H12128" s="49">
        <f t="shared" si="2"/>
        <v>54229</v>
      </c>
    </row>
    <row r="12129">
      <c r="A12129" s="48" t="s">
        <v>12619</v>
      </c>
      <c r="B12129" s="38">
        <v>24328.0</v>
      </c>
      <c r="C12129" s="38" t="s">
        <v>16278</v>
      </c>
      <c r="D12129" s="38" t="str">
        <f>IFERROR(__xludf.DUMMYFUNCTION("REGEXREPLACE(C12129,""-\d+(.*)|--\d+(.*)"","""")"),"PIEGUT-PLUVIERS")</f>
        <v>PIEGUT-PLUVIERS</v>
      </c>
      <c r="E12129" s="38" t="s">
        <v>261</v>
      </c>
      <c r="F12129" s="38" t="s">
        <v>252</v>
      </c>
      <c r="G12129" s="49" t="str">
        <f t="shared" si="1"/>
        <v>24360</v>
      </c>
      <c r="H12129" s="49">
        <f t="shared" si="2"/>
        <v>24328</v>
      </c>
    </row>
    <row r="12130">
      <c r="A12130" s="48" t="s">
        <v>1866</v>
      </c>
      <c r="B12130" s="38">
        <v>61355.0</v>
      </c>
      <c r="C12130" s="38" t="s">
        <v>16279</v>
      </c>
      <c r="D12130" s="38" t="str">
        <f>IFERROR(__xludf.DUMMYFUNCTION("REGEXREPLACE(C12130,""-\d+(.*)|--\d+(.*)"","""")"),"ROUELLE")</f>
        <v>ROUELLE</v>
      </c>
      <c r="E12130" s="38" t="s">
        <v>141</v>
      </c>
      <c r="F12130" s="38" t="s">
        <v>138</v>
      </c>
      <c r="G12130" s="49" t="str">
        <f t="shared" si="1"/>
        <v>61700</v>
      </c>
      <c r="H12130" s="49">
        <f t="shared" si="2"/>
        <v>61355</v>
      </c>
    </row>
    <row r="12131">
      <c r="A12131" s="48" t="s">
        <v>4521</v>
      </c>
      <c r="B12131" s="38">
        <v>5046.0</v>
      </c>
      <c r="C12131" s="38" t="s">
        <v>16280</v>
      </c>
      <c r="D12131" s="38" t="str">
        <f>IFERROR(__xludf.DUMMYFUNCTION("REGEXREPLACE(C12131,""-\d+(.*)|--\d+(.*)"","""")"),"EMBRUN")</f>
        <v>EMBRUN</v>
      </c>
      <c r="E12131" s="38" t="s">
        <v>706</v>
      </c>
      <c r="F12131" s="38" t="s">
        <v>228</v>
      </c>
      <c r="G12131" s="49" t="str">
        <f t="shared" si="1"/>
        <v>05200</v>
      </c>
      <c r="H12131" s="49" t="str">
        <f t="shared" si="2"/>
        <v>05046</v>
      </c>
    </row>
    <row r="12132">
      <c r="A12132" s="48" t="s">
        <v>10761</v>
      </c>
      <c r="B12132" s="38">
        <v>90041.0</v>
      </c>
      <c r="C12132" s="38" t="s">
        <v>16281</v>
      </c>
      <c r="D12132" s="38" t="str">
        <f>IFERROR(__xludf.DUMMYFUNCTION("REGEXREPLACE(C12132,""-\d+(.*)|--\d+(.*)"","""")"),"ETUEFFONT")</f>
        <v>ETUEFFONT</v>
      </c>
      <c r="E12132" s="38" t="s">
        <v>1283</v>
      </c>
      <c r="F12132" s="38" t="s">
        <v>214</v>
      </c>
      <c r="G12132" s="49" t="str">
        <f t="shared" si="1"/>
        <v>90170</v>
      </c>
      <c r="H12132" s="49">
        <f t="shared" si="2"/>
        <v>90041</v>
      </c>
    </row>
    <row r="12133">
      <c r="A12133" s="48" t="s">
        <v>2261</v>
      </c>
      <c r="B12133" s="38">
        <v>9092.0</v>
      </c>
      <c r="C12133" s="38" t="s">
        <v>16282</v>
      </c>
      <c r="D12133" s="38" t="str">
        <f>IFERROR(__xludf.DUMMYFUNCTION("REGEXREPLACE(C12133,""-\d+(.*)|--\d+(.*)"","""")"),"CAZENAVE-SERRES-ET-ALLENS")</f>
        <v>CAZENAVE-SERRES-ET-ALLENS</v>
      </c>
      <c r="E12133" s="38" t="s">
        <v>238</v>
      </c>
      <c r="F12133" s="38" t="s">
        <v>94</v>
      </c>
      <c r="G12133" s="49" t="str">
        <f t="shared" si="1"/>
        <v>09400</v>
      </c>
      <c r="H12133" s="49" t="str">
        <f t="shared" si="2"/>
        <v>09092</v>
      </c>
    </row>
    <row r="12134">
      <c r="A12134" s="48" t="s">
        <v>1477</v>
      </c>
      <c r="B12134" s="38">
        <v>61310.0</v>
      </c>
      <c r="C12134" s="38" t="s">
        <v>16283</v>
      </c>
      <c r="D12134" s="38" t="str">
        <f>IFERROR(__xludf.DUMMYFUNCTION("REGEXREPLACE(C12134,""-\d+(.*)|--\d+(.*)"","""")"),"NONANT-LE-PIN")</f>
        <v>NONANT-LE-PIN</v>
      </c>
      <c r="E12134" s="38" t="s">
        <v>141</v>
      </c>
      <c r="F12134" s="38" t="s">
        <v>138</v>
      </c>
      <c r="G12134" s="49" t="str">
        <f t="shared" si="1"/>
        <v>61240</v>
      </c>
      <c r="H12134" s="49">
        <f t="shared" si="2"/>
        <v>61310</v>
      </c>
    </row>
    <row r="12135">
      <c r="A12135" s="48" t="s">
        <v>1885</v>
      </c>
      <c r="B12135" s="38">
        <v>27455.0</v>
      </c>
      <c r="C12135" s="38" t="s">
        <v>16284</v>
      </c>
      <c r="D12135" s="38" t="str">
        <f>IFERROR(__xludf.DUMMYFUNCTION("REGEXREPLACE(C12135,""-\d+(.*)|--\d+(.*)"","""")"),"PIENCOURT")</f>
        <v>PIENCOURT</v>
      </c>
      <c r="E12135" s="38" t="s">
        <v>241</v>
      </c>
      <c r="F12135" s="38" t="s">
        <v>134</v>
      </c>
      <c r="G12135" s="49" t="str">
        <f t="shared" si="1"/>
        <v>27230</v>
      </c>
      <c r="H12135" s="49">
        <f t="shared" si="2"/>
        <v>27455</v>
      </c>
    </row>
    <row r="12136">
      <c r="A12136" s="48" t="s">
        <v>6502</v>
      </c>
      <c r="B12136" s="38">
        <v>85285.0</v>
      </c>
      <c r="C12136" s="38" t="s">
        <v>16285</v>
      </c>
      <c r="D12136" s="38" t="str">
        <f>IFERROR(__xludf.DUMMYFUNCTION("REGEXREPLACE(C12136,""-\d+(.*)|--\d+(.*)"","""")"),"LE TABLIER")</f>
        <v>LE TABLIER</v>
      </c>
      <c r="E12136" s="38" t="s">
        <v>179</v>
      </c>
      <c r="F12136" s="38" t="s">
        <v>180</v>
      </c>
      <c r="G12136" s="49" t="str">
        <f t="shared" si="1"/>
        <v>85310</v>
      </c>
      <c r="H12136" s="49">
        <f t="shared" si="2"/>
        <v>85285</v>
      </c>
    </row>
    <row r="12137">
      <c r="A12137" s="48" t="s">
        <v>6694</v>
      </c>
      <c r="B12137" s="38">
        <v>16118.0</v>
      </c>
      <c r="C12137" s="38" t="s">
        <v>16286</v>
      </c>
      <c r="D12137" s="38" t="str">
        <f>IFERROR(__xludf.DUMMYFUNCTION("REGEXREPLACE(C12137,""-\d+(.*)|--\d+(.*)"","""")"),"DEVIAT")</f>
        <v>DEVIAT</v>
      </c>
      <c r="E12137" s="38" t="s">
        <v>429</v>
      </c>
      <c r="F12137" s="38" t="s">
        <v>338</v>
      </c>
      <c r="G12137" s="49" t="str">
        <f t="shared" si="1"/>
        <v>16190</v>
      </c>
      <c r="H12137" s="49">
        <f t="shared" si="2"/>
        <v>16118</v>
      </c>
    </row>
    <row r="12138">
      <c r="A12138" s="48" t="s">
        <v>14940</v>
      </c>
      <c r="B12138" s="38">
        <v>17044.0</v>
      </c>
      <c r="C12138" s="38" t="s">
        <v>8509</v>
      </c>
      <c r="D12138" s="38" t="str">
        <f>IFERROR(__xludf.DUMMYFUNCTION("REGEXREPLACE(C12138,""-\d+(.*)|--\d+(.*)"","""")"),"BERNEUIL")</f>
        <v>BERNEUIL</v>
      </c>
      <c r="E12138" s="38" t="s">
        <v>488</v>
      </c>
      <c r="F12138" s="38" t="s">
        <v>338</v>
      </c>
      <c r="G12138" s="49" t="str">
        <f t="shared" si="1"/>
        <v>17460</v>
      </c>
      <c r="H12138" s="49">
        <f t="shared" si="2"/>
        <v>17044</v>
      </c>
    </row>
    <row r="12139">
      <c r="A12139" s="48" t="s">
        <v>6350</v>
      </c>
      <c r="B12139" s="38">
        <v>6049.0</v>
      </c>
      <c r="C12139" s="38" t="s">
        <v>16287</v>
      </c>
      <c r="D12139" s="38" t="str">
        <f>IFERROR(__xludf.DUMMYFUNCTION("REGEXREPLACE(C12139,""-\d+(.*)|--\d+(.*)"","""")"),"COURMES")</f>
        <v>COURMES</v>
      </c>
      <c r="E12139" s="38" t="s">
        <v>227</v>
      </c>
      <c r="F12139" s="38" t="s">
        <v>228</v>
      </c>
      <c r="G12139" s="49" t="str">
        <f t="shared" si="1"/>
        <v>06620</v>
      </c>
      <c r="H12139" s="49" t="str">
        <f t="shared" si="2"/>
        <v>06049</v>
      </c>
    </row>
    <row r="12140">
      <c r="A12140" s="48" t="s">
        <v>1693</v>
      </c>
      <c r="B12140" s="38">
        <v>24425.0</v>
      </c>
      <c r="C12140" s="38" t="s">
        <v>16288</v>
      </c>
      <c r="D12140" s="38" t="str">
        <f>IFERROR(__xludf.DUMMYFUNCTION("REGEXREPLACE(C12140,""-\d+(.*)|--\d+(.*)"","""")"),"SAINT-JEAN-DE-COLE")</f>
        <v>SAINT-JEAN-DE-COLE</v>
      </c>
      <c r="E12140" s="38" t="s">
        <v>261</v>
      </c>
      <c r="F12140" s="38" t="s">
        <v>252</v>
      </c>
      <c r="G12140" s="49" t="str">
        <f t="shared" si="1"/>
        <v>24800</v>
      </c>
      <c r="H12140" s="49">
        <f t="shared" si="2"/>
        <v>24425</v>
      </c>
    </row>
    <row r="12141">
      <c r="A12141" s="48" t="s">
        <v>3226</v>
      </c>
      <c r="B12141" s="38">
        <v>61478.0</v>
      </c>
      <c r="C12141" s="38" t="s">
        <v>16289</v>
      </c>
      <c r="D12141" s="38" t="str">
        <f>IFERROR(__xludf.DUMMYFUNCTION("REGEXREPLACE(C12141,""-\d+(.*)|--\d+(.*)"","""")"),"TAILLEBOIS")</f>
        <v>TAILLEBOIS</v>
      </c>
      <c r="E12141" s="38" t="s">
        <v>141</v>
      </c>
      <c r="F12141" s="38" t="s">
        <v>138</v>
      </c>
      <c r="G12141" s="49" t="str">
        <f t="shared" si="1"/>
        <v>61100</v>
      </c>
      <c r="H12141" s="49">
        <f t="shared" si="2"/>
        <v>61478</v>
      </c>
    </row>
    <row r="12142">
      <c r="A12142" s="48" t="s">
        <v>760</v>
      </c>
      <c r="B12142" s="38">
        <v>89318.0</v>
      </c>
      <c r="C12142" s="38" t="s">
        <v>16290</v>
      </c>
      <c r="D12142" s="38" t="str">
        <f>IFERROR(__xludf.DUMMYFUNCTION("REGEXREPLACE(C12142,""-\d+(.*)|--\d+(.*)"","""")"),"QUARRE-LES-TOMBES")</f>
        <v>QUARRE-LES-TOMBES</v>
      </c>
      <c r="E12142" s="38" t="s">
        <v>275</v>
      </c>
      <c r="F12142" s="38" t="s">
        <v>106</v>
      </c>
      <c r="G12142" s="49" t="str">
        <f t="shared" si="1"/>
        <v>89630</v>
      </c>
      <c r="H12142" s="49">
        <f t="shared" si="2"/>
        <v>89318</v>
      </c>
    </row>
    <row r="12143">
      <c r="A12143" s="48" t="s">
        <v>1284</v>
      </c>
      <c r="B12143" s="38">
        <v>9051.0</v>
      </c>
      <c r="C12143" s="38" t="s">
        <v>16291</v>
      </c>
      <c r="D12143" s="38" t="str">
        <f>IFERROR(__xludf.DUMMYFUNCTION("REGEXREPLACE(C12143,""-\d+(.*)|--\d+(.*)"","""")"),"BENAIX")</f>
        <v>BENAIX</v>
      </c>
      <c r="E12143" s="38" t="s">
        <v>238</v>
      </c>
      <c r="F12143" s="38" t="s">
        <v>94</v>
      </c>
      <c r="G12143" s="49" t="str">
        <f t="shared" si="1"/>
        <v>09300</v>
      </c>
      <c r="H12143" s="49" t="str">
        <f t="shared" si="2"/>
        <v>09051</v>
      </c>
    </row>
    <row r="12144">
      <c r="A12144" s="48" t="s">
        <v>16292</v>
      </c>
      <c r="B12144" s="38">
        <v>59581.0</v>
      </c>
      <c r="C12144" s="38" t="s">
        <v>16293</v>
      </c>
      <c r="D12144" s="38" t="str">
        <f>IFERROR(__xludf.DUMMYFUNCTION("REGEXREPLACE(C12144,""-\d+(.*)|--\d+(.*)"","""")"),"STEENWERCK")</f>
        <v>STEENWERCK</v>
      </c>
      <c r="E12144" s="38" t="s">
        <v>85</v>
      </c>
      <c r="F12144" s="38" t="s">
        <v>86</v>
      </c>
      <c r="G12144" s="49" t="str">
        <f t="shared" si="1"/>
        <v>59181</v>
      </c>
      <c r="H12144" s="49">
        <f t="shared" si="2"/>
        <v>59581</v>
      </c>
    </row>
    <row r="12145">
      <c r="A12145" s="48" t="s">
        <v>5777</v>
      </c>
      <c r="B12145" s="38">
        <v>74004.0</v>
      </c>
      <c r="C12145" s="38" t="s">
        <v>16294</v>
      </c>
      <c r="D12145" s="38" t="str">
        <f>IFERROR(__xludf.DUMMYFUNCTION("REGEXREPLACE(C12145,""-\d+(.*)|--\d+(.*)"","""")"),"ALLEVES")</f>
        <v>ALLEVES</v>
      </c>
      <c r="E12145" s="38" t="s">
        <v>319</v>
      </c>
      <c r="F12145" s="38" t="s">
        <v>102</v>
      </c>
      <c r="G12145" s="49" t="str">
        <f t="shared" si="1"/>
        <v>74540</v>
      </c>
      <c r="H12145" s="49">
        <f t="shared" si="2"/>
        <v>74004</v>
      </c>
    </row>
    <row r="12146">
      <c r="A12146" s="48" t="s">
        <v>10564</v>
      </c>
      <c r="B12146" s="38">
        <v>56175.0</v>
      </c>
      <c r="C12146" s="38" t="s">
        <v>16295</v>
      </c>
      <c r="D12146" s="38" t="str">
        <f>IFERROR(__xludf.DUMMYFUNCTION("REGEXREPLACE(C12146,""-\d+(.*)|--\d+(.*)"","""")"),"PLUMERGAT")</f>
        <v>PLUMERGAT</v>
      </c>
      <c r="E12146" s="38" t="s">
        <v>173</v>
      </c>
      <c r="F12146" s="38" t="s">
        <v>90</v>
      </c>
      <c r="G12146" s="49" t="str">
        <f t="shared" si="1"/>
        <v>56400</v>
      </c>
      <c r="H12146" s="49">
        <f t="shared" si="2"/>
        <v>56175</v>
      </c>
    </row>
    <row r="12147">
      <c r="A12147" s="48" t="s">
        <v>4287</v>
      </c>
      <c r="B12147" s="38">
        <v>62476.0</v>
      </c>
      <c r="C12147" s="38" t="s">
        <v>16296</v>
      </c>
      <c r="D12147" s="38" t="str">
        <f>IFERROR(__xludf.DUMMYFUNCTION("REGEXREPLACE(C12147,""-\d+(.*)|--\d+(.*)"","""")"),"IZEL-LES-EQUERCHIN")</f>
        <v>IZEL-LES-EQUERCHIN</v>
      </c>
      <c r="E12147" s="38" t="s">
        <v>109</v>
      </c>
      <c r="F12147" s="38" t="s">
        <v>86</v>
      </c>
      <c r="G12147" s="49" t="str">
        <f t="shared" si="1"/>
        <v>62490</v>
      </c>
      <c r="H12147" s="49">
        <f t="shared" si="2"/>
        <v>62476</v>
      </c>
    </row>
    <row r="12148">
      <c r="A12148" s="48" t="s">
        <v>3364</v>
      </c>
      <c r="B12148" s="38">
        <v>62010.0</v>
      </c>
      <c r="C12148" s="38" t="s">
        <v>16297</v>
      </c>
      <c r="D12148" s="38" t="str">
        <f>IFERROR(__xludf.DUMMYFUNCTION("REGEXREPLACE(C12148,""-\d+(.*)|--\d+(.*)"","""")"),"AFFRINGUES")</f>
        <v>AFFRINGUES</v>
      </c>
      <c r="E12148" s="38" t="s">
        <v>109</v>
      </c>
      <c r="F12148" s="38" t="s">
        <v>86</v>
      </c>
      <c r="G12148" s="49" t="str">
        <f t="shared" si="1"/>
        <v>62380</v>
      </c>
      <c r="H12148" s="49">
        <f t="shared" si="2"/>
        <v>62010</v>
      </c>
    </row>
    <row r="12149">
      <c r="A12149" s="48" t="s">
        <v>16298</v>
      </c>
      <c r="B12149" s="38">
        <v>74273.0</v>
      </c>
      <c r="C12149" s="38" t="s">
        <v>16299</v>
      </c>
      <c r="D12149" s="38" t="str">
        <f>IFERROR(__xludf.DUMMYFUNCTION("REGEXREPLACE(C12149,""-\d+(.*)|--\d+(.*)"","""")"),"SIXT-FER-A-CHEVAL")</f>
        <v>SIXT-FER-A-CHEVAL</v>
      </c>
      <c r="E12149" s="38" t="s">
        <v>319</v>
      </c>
      <c r="F12149" s="38" t="s">
        <v>102</v>
      </c>
      <c r="G12149" s="49" t="str">
        <f t="shared" si="1"/>
        <v>74740</v>
      </c>
      <c r="H12149" s="49">
        <f t="shared" si="2"/>
        <v>74273</v>
      </c>
    </row>
    <row r="12150">
      <c r="A12150" s="48" t="s">
        <v>382</v>
      </c>
      <c r="B12150" s="38">
        <v>47066.0</v>
      </c>
      <c r="C12150" s="38" t="s">
        <v>16300</v>
      </c>
      <c r="D12150" s="38" t="str">
        <f>IFERROR(__xludf.DUMMYFUNCTION("REGEXREPLACE(C12150,""-\d+(.*)|--\d+(.*)"","""")"),"CLERMONT-DESSOUS")</f>
        <v>CLERMONT-DESSOUS</v>
      </c>
      <c r="E12150" s="38" t="s">
        <v>251</v>
      </c>
      <c r="F12150" s="38" t="s">
        <v>252</v>
      </c>
      <c r="G12150" s="49" t="str">
        <f t="shared" si="1"/>
        <v>47130</v>
      </c>
      <c r="H12150" s="49">
        <f t="shared" si="2"/>
        <v>47066</v>
      </c>
    </row>
    <row r="12151">
      <c r="A12151" s="48" t="s">
        <v>544</v>
      </c>
      <c r="B12151" s="38">
        <v>57462.0</v>
      </c>
      <c r="C12151" s="38" t="s">
        <v>16301</v>
      </c>
      <c r="D12151" s="38" t="str">
        <f>IFERROR(__xludf.DUMMYFUNCTION("REGEXREPLACE(C12151,""-\d+(.*)|--\d+(.*)"","""")"),"METTING")</f>
        <v>METTING</v>
      </c>
      <c r="E12151" s="38" t="s">
        <v>303</v>
      </c>
      <c r="F12151" s="38" t="s">
        <v>195</v>
      </c>
      <c r="G12151" s="49" t="str">
        <f t="shared" si="1"/>
        <v>57370</v>
      </c>
      <c r="H12151" s="49">
        <f t="shared" si="2"/>
        <v>57462</v>
      </c>
    </row>
    <row r="12152">
      <c r="A12152" s="48" t="s">
        <v>2803</v>
      </c>
      <c r="B12152" s="38">
        <v>80314.0</v>
      </c>
      <c r="C12152" s="38" t="s">
        <v>3784</v>
      </c>
      <c r="D12152" s="38" t="str">
        <f>IFERROR(__xludf.DUMMYFUNCTION("REGEXREPLACE(C12152,""-\d+(.*)|--\d+(.*)"","""")"),"FLERS")</f>
        <v>FLERS</v>
      </c>
      <c r="E12152" s="38" t="s">
        <v>224</v>
      </c>
      <c r="F12152" s="38" t="s">
        <v>113</v>
      </c>
      <c r="G12152" s="49" t="str">
        <f t="shared" si="1"/>
        <v>80360</v>
      </c>
      <c r="H12152" s="49">
        <f t="shared" si="2"/>
        <v>80314</v>
      </c>
    </row>
    <row r="12153">
      <c r="A12153" s="48" t="s">
        <v>1947</v>
      </c>
      <c r="B12153" s="38">
        <v>52237.0</v>
      </c>
      <c r="C12153" s="38" t="s">
        <v>16302</v>
      </c>
      <c r="D12153" s="38" t="str">
        <f>IFERROR(__xludf.DUMMYFUNCTION("REGEXREPLACE(C12153,""-\d+(.*)|--\d+(.*)"","""")"),"HARREVILLE-LES-CHANTEURS")</f>
        <v>HARREVILLE-LES-CHANTEURS</v>
      </c>
      <c r="E12153" s="38" t="s">
        <v>234</v>
      </c>
      <c r="F12153" s="38" t="s">
        <v>130</v>
      </c>
      <c r="G12153" s="49" t="str">
        <f t="shared" si="1"/>
        <v>52150</v>
      </c>
      <c r="H12153" s="49">
        <f t="shared" si="2"/>
        <v>52237</v>
      </c>
    </row>
    <row r="12154">
      <c r="A12154" s="48" t="s">
        <v>6256</v>
      </c>
      <c r="B12154" s="38">
        <v>55149.0</v>
      </c>
      <c r="C12154" s="38" t="s">
        <v>16303</v>
      </c>
      <c r="D12154" s="38" t="str">
        <f>IFERROR(__xludf.DUMMYFUNCTION("REGEXREPLACE(C12154,""-\d+(.*)|--\d+(.*)"","""")"),"DELUT")</f>
        <v>DELUT</v>
      </c>
      <c r="E12154" s="38" t="s">
        <v>322</v>
      </c>
      <c r="F12154" s="38" t="s">
        <v>195</v>
      </c>
      <c r="G12154" s="49" t="str">
        <f t="shared" si="1"/>
        <v>55150</v>
      </c>
      <c r="H12154" s="49">
        <f t="shared" si="2"/>
        <v>55149</v>
      </c>
    </row>
    <row r="12155">
      <c r="A12155" s="48" t="s">
        <v>16304</v>
      </c>
      <c r="B12155" s="38">
        <v>87077.0</v>
      </c>
      <c r="C12155" s="38" t="s">
        <v>16305</v>
      </c>
      <c r="D12155" s="38" t="str">
        <f>IFERROR(__xludf.DUMMYFUNCTION("REGEXREPLACE(C12155,""-\d+(.*)|--\d+(.*)"","""")"),"JANAILHAC")</f>
        <v>JANAILHAC</v>
      </c>
      <c r="E12155" s="38" t="s">
        <v>897</v>
      </c>
      <c r="F12155" s="38" t="s">
        <v>98</v>
      </c>
      <c r="G12155" s="49" t="str">
        <f t="shared" si="1"/>
        <v>87800</v>
      </c>
      <c r="H12155" s="49">
        <f t="shared" si="2"/>
        <v>87077</v>
      </c>
    </row>
    <row r="12156">
      <c r="A12156" s="48" t="s">
        <v>12539</v>
      </c>
      <c r="B12156" s="38">
        <v>14760.0</v>
      </c>
      <c r="C12156" s="38" t="s">
        <v>16306</v>
      </c>
      <c r="D12156" s="38" t="str">
        <f>IFERROR(__xludf.DUMMYFUNCTION("REGEXREPLACE(C12156,""-\d+(.*)|--\d+(.*)"","""")"),"VILLY-BOCAGE")</f>
        <v>VILLY-BOCAGE</v>
      </c>
      <c r="E12156" s="38" t="s">
        <v>137</v>
      </c>
      <c r="F12156" s="38" t="s">
        <v>138</v>
      </c>
      <c r="G12156" s="49" t="str">
        <f t="shared" si="1"/>
        <v>14310</v>
      </c>
      <c r="H12156" s="49">
        <f t="shared" si="2"/>
        <v>14760</v>
      </c>
    </row>
    <row r="12157">
      <c r="A12157" s="48" t="s">
        <v>6538</v>
      </c>
      <c r="B12157" s="38">
        <v>60341.0</v>
      </c>
      <c r="C12157" s="38" t="s">
        <v>16307</v>
      </c>
      <c r="D12157" s="38" t="str">
        <f>IFERROR(__xludf.DUMMYFUNCTION("REGEXREPLACE(C12157,""-\d+(.*)|--\d+(.*)"","""")"),"LAGNY-LE-SEC")</f>
        <v>LAGNY-LE-SEC</v>
      </c>
      <c r="E12157" s="38" t="s">
        <v>112</v>
      </c>
      <c r="F12157" s="38" t="s">
        <v>113</v>
      </c>
      <c r="G12157" s="49" t="str">
        <f t="shared" si="1"/>
        <v>60330</v>
      </c>
      <c r="H12157" s="49">
        <f t="shared" si="2"/>
        <v>60341</v>
      </c>
    </row>
    <row r="12158">
      <c r="A12158" s="48" t="s">
        <v>6775</v>
      </c>
      <c r="B12158" s="38">
        <v>79058.0</v>
      </c>
      <c r="C12158" s="38" t="s">
        <v>16308</v>
      </c>
      <c r="D12158" s="38" t="str">
        <f>IFERROR(__xludf.DUMMYFUNCTION("REGEXREPLACE(C12158,""-\d+(.*)|--\d+(.*)"","""")"),"BRULAIN")</f>
        <v>BRULAIN</v>
      </c>
      <c r="E12158" s="38" t="s">
        <v>337</v>
      </c>
      <c r="F12158" s="38" t="s">
        <v>338</v>
      </c>
      <c r="G12158" s="49" t="str">
        <f t="shared" si="1"/>
        <v>79230</v>
      </c>
      <c r="H12158" s="49">
        <f t="shared" si="2"/>
        <v>79058</v>
      </c>
    </row>
    <row r="12159">
      <c r="A12159" s="48" t="s">
        <v>4568</v>
      </c>
      <c r="B12159" s="38">
        <v>32153.0</v>
      </c>
      <c r="C12159" s="38" t="s">
        <v>16309</v>
      </c>
      <c r="D12159" s="38" t="str">
        <f>IFERROR(__xludf.DUMMYFUNCTION("REGEXREPLACE(C12159,""-\d+(.*)|--\d+(.*)"","""")"),"HAULIES")</f>
        <v>HAULIES</v>
      </c>
      <c r="E12159" s="38" t="s">
        <v>440</v>
      </c>
      <c r="F12159" s="38" t="s">
        <v>94</v>
      </c>
      <c r="G12159" s="49" t="str">
        <f t="shared" si="1"/>
        <v>32550</v>
      </c>
      <c r="H12159" s="49">
        <f t="shared" si="2"/>
        <v>32153</v>
      </c>
    </row>
    <row r="12160">
      <c r="A12160" s="48" t="s">
        <v>3244</v>
      </c>
      <c r="B12160" s="38">
        <v>27280.0</v>
      </c>
      <c r="C12160" s="38" t="s">
        <v>16310</v>
      </c>
      <c r="D12160" s="38" t="str">
        <f>IFERROR(__xludf.DUMMYFUNCTION("REGEXREPLACE(C12160,""-\d+(.*)|--\d+(.*)"","""")"),"GAUCIEL")</f>
        <v>GAUCIEL</v>
      </c>
      <c r="E12160" s="38" t="s">
        <v>241</v>
      </c>
      <c r="F12160" s="38" t="s">
        <v>134</v>
      </c>
      <c r="G12160" s="49" t="str">
        <f t="shared" si="1"/>
        <v>27930</v>
      </c>
      <c r="H12160" s="49">
        <f t="shared" si="2"/>
        <v>27280</v>
      </c>
    </row>
    <row r="12161">
      <c r="A12161" s="48" t="s">
        <v>1750</v>
      </c>
      <c r="B12161" s="38">
        <v>37237.0</v>
      </c>
      <c r="C12161" s="38" t="s">
        <v>16311</v>
      </c>
      <c r="D12161" s="38" t="str">
        <f>IFERROR(__xludf.DUMMYFUNCTION("REGEXREPLACE(C12161,""-\d+(.*)|--\d+(.*)"","""")"),"SAINT-ROCH")</f>
        <v>SAINT-ROCH</v>
      </c>
      <c r="E12161" s="38" t="s">
        <v>205</v>
      </c>
      <c r="F12161" s="38" t="s">
        <v>123</v>
      </c>
      <c r="G12161" s="49" t="str">
        <f t="shared" si="1"/>
        <v>37390</v>
      </c>
      <c r="H12161" s="49">
        <f t="shared" si="2"/>
        <v>37237</v>
      </c>
    </row>
    <row r="12162">
      <c r="A12162" s="48" t="s">
        <v>1439</v>
      </c>
      <c r="B12162" s="38">
        <v>28113.0</v>
      </c>
      <c r="C12162" s="38" t="s">
        <v>8556</v>
      </c>
      <c r="D12162" s="38" t="str">
        <f>IFERROR(__xludf.DUMMYFUNCTION("REGEXREPLACE(C12162,""-\d+(.*)|--\d+(.*)"","""")"),"COULOMBS")</f>
        <v>COULOMBS</v>
      </c>
      <c r="E12162" s="38" t="s">
        <v>300</v>
      </c>
      <c r="F12162" s="38" t="s">
        <v>123</v>
      </c>
      <c r="G12162" s="49" t="str">
        <f t="shared" si="1"/>
        <v>28210</v>
      </c>
      <c r="H12162" s="49">
        <f t="shared" si="2"/>
        <v>28113</v>
      </c>
    </row>
    <row r="12163">
      <c r="A12163" s="48" t="s">
        <v>11152</v>
      </c>
      <c r="B12163" s="38">
        <v>61262.0</v>
      </c>
      <c r="C12163" s="38" t="s">
        <v>16312</v>
      </c>
      <c r="D12163" s="38" t="str">
        <f>IFERROR(__xludf.DUMMYFUNCTION("REGEXREPLACE(C12163,""-\d+(.*)|--\d+(.*)"","""")"),"LE MENIL-CIBOULT")</f>
        <v>LE MENIL-CIBOULT</v>
      </c>
      <c r="E12163" s="38" t="s">
        <v>141</v>
      </c>
      <c r="F12163" s="38" t="s">
        <v>138</v>
      </c>
      <c r="G12163" s="49" t="str">
        <f t="shared" si="1"/>
        <v>61800</v>
      </c>
      <c r="H12163" s="49">
        <f t="shared" si="2"/>
        <v>61262</v>
      </c>
    </row>
    <row r="12164">
      <c r="A12164" s="48" t="s">
        <v>4381</v>
      </c>
      <c r="B12164" s="38">
        <v>82079.0</v>
      </c>
      <c r="C12164" s="38" t="s">
        <v>16313</v>
      </c>
      <c r="D12164" s="38" t="str">
        <f>IFERROR(__xludf.DUMMYFUNCTION("REGEXREPLACE(C12164,""-\d+(.*)|--\d+(.*)"","""")"),"LABASTIDE-SAINT-PIERRE")</f>
        <v>LABASTIDE-SAINT-PIERRE</v>
      </c>
      <c r="E12164" s="38" t="s">
        <v>570</v>
      </c>
      <c r="F12164" s="38" t="s">
        <v>94</v>
      </c>
      <c r="G12164" s="49" t="str">
        <f t="shared" si="1"/>
        <v>82370</v>
      </c>
      <c r="H12164" s="49">
        <f t="shared" si="2"/>
        <v>82079</v>
      </c>
    </row>
    <row r="12165">
      <c r="A12165" s="48" t="s">
        <v>16314</v>
      </c>
      <c r="B12165" s="38">
        <v>10086.0</v>
      </c>
      <c r="C12165" s="38" t="s">
        <v>16315</v>
      </c>
      <c r="D12165" s="38" t="str">
        <f>IFERROR(__xludf.DUMMYFUNCTION("REGEXREPLACE(C12165,""-\d+(.*)|--\d+(.*)"","""")"),"CHARNY-LE-BACHOT")</f>
        <v>CHARNY-LE-BACHOT</v>
      </c>
      <c r="E12165" s="38" t="s">
        <v>147</v>
      </c>
      <c r="F12165" s="38" t="s">
        <v>130</v>
      </c>
      <c r="G12165" s="49" t="str">
        <f t="shared" si="1"/>
        <v>10380</v>
      </c>
      <c r="H12165" s="49">
        <f t="shared" si="2"/>
        <v>10086</v>
      </c>
    </row>
    <row r="12166">
      <c r="A12166" s="48" t="s">
        <v>14115</v>
      </c>
      <c r="B12166" s="38">
        <v>77412.0</v>
      </c>
      <c r="C12166" s="38" t="s">
        <v>16316</v>
      </c>
      <c r="D12166" s="38" t="str">
        <f>IFERROR(__xludf.DUMMYFUNCTION("REGEXREPLACE(C12166,""-\d+(.*)|--\d+(.*)"","""")"),"SAINT-GERMAIN-SUR-ECOLE")</f>
        <v>SAINT-GERMAIN-SUR-ECOLE</v>
      </c>
      <c r="E12166" s="38" t="s">
        <v>244</v>
      </c>
      <c r="F12166" s="38" t="s">
        <v>245</v>
      </c>
      <c r="G12166" s="49" t="str">
        <f t="shared" si="1"/>
        <v>77930</v>
      </c>
      <c r="H12166" s="49">
        <f t="shared" si="2"/>
        <v>77412</v>
      </c>
    </row>
    <row r="12167">
      <c r="A12167" s="48" t="s">
        <v>928</v>
      </c>
      <c r="B12167" s="38">
        <v>38098.0</v>
      </c>
      <c r="C12167" s="38" t="s">
        <v>16317</v>
      </c>
      <c r="D12167" s="38" t="str">
        <f>IFERROR(__xludf.DUMMYFUNCTION("REGEXREPLACE(C12167,""-\d+(.*)|--\d+(.*)"","""")"),"CHELIEU")</f>
        <v>CHELIEU</v>
      </c>
      <c r="E12167" s="38" t="s">
        <v>101</v>
      </c>
      <c r="F12167" s="38" t="s">
        <v>102</v>
      </c>
      <c r="G12167" s="49" t="str">
        <f t="shared" si="1"/>
        <v>38730</v>
      </c>
      <c r="H12167" s="49">
        <f t="shared" si="2"/>
        <v>38098</v>
      </c>
    </row>
    <row r="12168">
      <c r="A12168" s="48" t="s">
        <v>16318</v>
      </c>
      <c r="B12168" s="38">
        <v>42249.0</v>
      </c>
      <c r="C12168" s="38" t="s">
        <v>16319</v>
      </c>
      <c r="D12168" s="38" t="str">
        <f>IFERROR(__xludf.DUMMYFUNCTION("REGEXREPLACE(C12168,""-\d+(.*)|--\d+(.*)"","""")"),"SAINT-JUST-LA-PENDUE")</f>
        <v>SAINT-JUST-LA-PENDUE</v>
      </c>
      <c r="E12168" s="38" t="s">
        <v>166</v>
      </c>
      <c r="F12168" s="38" t="s">
        <v>102</v>
      </c>
      <c r="G12168" s="49" t="str">
        <f t="shared" si="1"/>
        <v>42540</v>
      </c>
      <c r="H12168" s="49">
        <f t="shared" si="2"/>
        <v>42249</v>
      </c>
    </row>
    <row r="12169">
      <c r="A12169" s="48" t="s">
        <v>5781</v>
      </c>
      <c r="B12169" s="38">
        <v>69296.0</v>
      </c>
      <c r="C12169" s="38" t="s">
        <v>16320</v>
      </c>
      <c r="D12169" s="38" t="str">
        <f>IFERROR(__xludf.DUMMYFUNCTION("REGEXREPLACE(C12169,""-\d+(.*)|--\d+(.*)"","""")"),"SOLAIZE")</f>
        <v>SOLAIZE</v>
      </c>
      <c r="E12169" s="38" t="s">
        <v>350</v>
      </c>
      <c r="F12169" s="38" t="s">
        <v>102</v>
      </c>
      <c r="G12169" s="49" t="str">
        <f t="shared" si="1"/>
        <v>69360</v>
      </c>
      <c r="H12169" s="49">
        <f t="shared" si="2"/>
        <v>69296</v>
      </c>
    </row>
    <row r="12170">
      <c r="A12170" s="48" t="s">
        <v>10063</v>
      </c>
      <c r="B12170" s="38">
        <v>18209.0</v>
      </c>
      <c r="C12170" s="38" t="s">
        <v>16321</v>
      </c>
      <c r="D12170" s="38" t="str">
        <f>IFERROR(__xludf.DUMMYFUNCTION("REGEXREPLACE(C12170,""-\d+(.*)|--\d+(.*)"","""")"),"SAINT-GEORGES-DE-POISIEUX")</f>
        <v>SAINT-GEORGES-DE-POISIEUX</v>
      </c>
      <c r="E12170" s="38" t="s">
        <v>504</v>
      </c>
      <c r="F12170" s="38" t="s">
        <v>123</v>
      </c>
      <c r="G12170" s="49" t="str">
        <f t="shared" si="1"/>
        <v>18200</v>
      </c>
      <c r="H12170" s="49">
        <f t="shared" si="2"/>
        <v>18209</v>
      </c>
    </row>
    <row r="12171">
      <c r="A12171" s="48" t="s">
        <v>3240</v>
      </c>
      <c r="B12171" s="38">
        <v>27518.0</v>
      </c>
      <c r="C12171" s="38" t="s">
        <v>16322</v>
      </c>
      <c r="D12171" s="38" t="str">
        <f>IFERROR(__xludf.DUMMYFUNCTION("REGEXREPLACE(C12171,""-\d+(.*)|--\d+(.*)"","""")"),"SAINT-AUBIN-SUR-QUILLEBEUF")</f>
        <v>SAINT-AUBIN-SUR-QUILLEBEUF</v>
      </c>
      <c r="E12171" s="38" t="s">
        <v>241</v>
      </c>
      <c r="F12171" s="38" t="s">
        <v>134</v>
      </c>
      <c r="G12171" s="49" t="str">
        <f t="shared" si="1"/>
        <v>27680</v>
      </c>
      <c r="H12171" s="49">
        <f t="shared" si="2"/>
        <v>27518</v>
      </c>
    </row>
    <row r="12172">
      <c r="A12172" s="48" t="s">
        <v>1644</v>
      </c>
      <c r="B12172" s="38">
        <v>21664.0</v>
      </c>
      <c r="C12172" s="38" t="s">
        <v>16323</v>
      </c>
      <c r="D12172" s="38" t="str">
        <f>IFERROR(__xludf.DUMMYFUNCTION("REGEXREPLACE(C12172,""-\d+(.*)|--\d+(.*)"","""")"),"VERDONNET")</f>
        <v>VERDONNET</v>
      </c>
      <c r="E12172" s="38" t="s">
        <v>105</v>
      </c>
      <c r="F12172" s="38" t="s">
        <v>106</v>
      </c>
      <c r="G12172" s="49" t="str">
        <f t="shared" si="1"/>
        <v>21330</v>
      </c>
      <c r="H12172" s="49">
        <f t="shared" si="2"/>
        <v>21664</v>
      </c>
    </row>
    <row r="12173">
      <c r="A12173" s="48" t="s">
        <v>14097</v>
      </c>
      <c r="B12173" s="38">
        <v>10128.0</v>
      </c>
      <c r="C12173" s="38" t="s">
        <v>16324</v>
      </c>
      <c r="D12173" s="38" t="str">
        <f>IFERROR(__xludf.DUMMYFUNCTION("REGEXREPLACE(C12173,""-\d+(.*)|--\d+(.*)"","""")"),"DONNEMENT")</f>
        <v>DONNEMENT</v>
      </c>
      <c r="E12173" s="38" t="s">
        <v>147</v>
      </c>
      <c r="F12173" s="38" t="s">
        <v>130</v>
      </c>
      <c r="G12173" s="49" t="str">
        <f t="shared" si="1"/>
        <v>10330</v>
      </c>
      <c r="H12173" s="49">
        <f t="shared" si="2"/>
        <v>10128</v>
      </c>
    </row>
    <row r="12174">
      <c r="A12174" s="48" t="s">
        <v>2699</v>
      </c>
      <c r="B12174" s="38">
        <v>79238.0</v>
      </c>
      <c r="C12174" s="38" t="s">
        <v>16325</v>
      </c>
      <c r="D12174" s="38" t="str">
        <f>IFERROR(__xludf.DUMMYFUNCTION("REGEXREPLACE(C12174,""-\d+(.*)|--\d+(.*)"","""")"),"SAINT-AUBIN-DU-PLAIN")</f>
        <v>SAINT-AUBIN-DU-PLAIN</v>
      </c>
      <c r="E12174" s="38" t="s">
        <v>337</v>
      </c>
      <c r="F12174" s="38" t="s">
        <v>338</v>
      </c>
      <c r="G12174" s="49" t="str">
        <f t="shared" si="1"/>
        <v>79300</v>
      </c>
      <c r="H12174" s="49">
        <f t="shared" si="2"/>
        <v>79238</v>
      </c>
    </row>
    <row r="12175">
      <c r="A12175" s="48" t="s">
        <v>16326</v>
      </c>
      <c r="B12175" s="38">
        <v>83094.0</v>
      </c>
      <c r="C12175" s="38" t="s">
        <v>16327</v>
      </c>
      <c r="D12175" s="38" t="str">
        <f>IFERROR(__xludf.DUMMYFUNCTION("REGEXREPLACE(C12175,""-\d+(.*)|--\d+(.*)"","""")"),"LE PLAN-DE-LA-TOUR")</f>
        <v>LE PLAN-DE-LA-TOUR</v>
      </c>
      <c r="E12175" s="38" t="s">
        <v>813</v>
      </c>
      <c r="F12175" s="38" t="s">
        <v>228</v>
      </c>
      <c r="G12175" s="49" t="str">
        <f t="shared" si="1"/>
        <v>83120</v>
      </c>
      <c r="H12175" s="49">
        <f t="shared" si="2"/>
        <v>83094</v>
      </c>
    </row>
    <row r="12176">
      <c r="A12176" s="48" t="s">
        <v>1208</v>
      </c>
      <c r="B12176" s="38">
        <v>32245.0</v>
      </c>
      <c r="C12176" s="38" t="s">
        <v>16328</v>
      </c>
      <c r="D12176" s="38" t="str">
        <f>IFERROR(__xludf.DUMMYFUNCTION("REGEXREPLACE(C12176,""-\d+(.*)|--\d+(.*)"","""")"),"MAUMUSSON-LAGUIAN")</f>
        <v>MAUMUSSON-LAGUIAN</v>
      </c>
      <c r="E12176" s="38" t="s">
        <v>440</v>
      </c>
      <c r="F12176" s="38" t="s">
        <v>94</v>
      </c>
      <c r="G12176" s="49" t="str">
        <f t="shared" si="1"/>
        <v>32400</v>
      </c>
      <c r="H12176" s="49">
        <f t="shared" si="2"/>
        <v>32245</v>
      </c>
    </row>
    <row r="12177">
      <c r="A12177" s="48" t="s">
        <v>12009</v>
      </c>
      <c r="B12177" s="38">
        <v>71484.0</v>
      </c>
      <c r="C12177" s="38" t="s">
        <v>16329</v>
      </c>
      <c r="D12177" s="38" t="str">
        <f>IFERROR(__xludf.DUMMYFUNCTION("REGEXREPLACE(C12177,""-\d+(.*)|--\d+(.*)"","""")"),"SAINT-USUGE")</f>
        <v>SAINT-USUGE</v>
      </c>
      <c r="E12177" s="38" t="s">
        <v>344</v>
      </c>
      <c r="F12177" s="38" t="s">
        <v>106</v>
      </c>
      <c r="G12177" s="49" t="str">
        <f t="shared" si="1"/>
        <v>71500</v>
      </c>
      <c r="H12177" s="49">
        <f t="shared" si="2"/>
        <v>71484</v>
      </c>
    </row>
    <row r="12178">
      <c r="A12178" s="48" t="s">
        <v>1327</v>
      </c>
      <c r="B12178" s="38">
        <v>51140.0</v>
      </c>
      <c r="C12178" s="38" t="s">
        <v>16330</v>
      </c>
      <c r="D12178" s="38" t="str">
        <f>IFERROR(__xludf.DUMMYFUNCTION("REGEXREPLACE(C12178,""-\d+(.*)|--\d+(.*)"","""")"),"CHAUMUZY")</f>
        <v>CHAUMUZY</v>
      </c>
      <c r="E12178" s="38" t="s">
        <v>129</v>
      </c>
      <c r="F12178" s="38" t="s">
        <v>130</v>
      </c>
      <c r="G12178" s="49" t="str">
        <f t="shared" si="1"/>
        <v>51170</v>
      </c>
      <c r="H12178" s="49">
        <f t="shared" si="2"/>
        <v>51140</v>
      </c>
    </row>
    <row r="12179">
      <c r="A12179" s="48" t="s">
        <v>4181</v>
      </c>
      <c r="B12179" s="38">
        <v>89379.0</v>
      </c>
      <c r="C12179" s="38" t="s">
        <v>16331</v>
      </c>
      <c r="D12179" s="38" t="str">
        <f>IFERROR(__xludf.DUMMYFUNCTION("REGEXREPLACE(C12179,""-\d+(.*)|--\d+(.*)"","""")"),"SAVIGNY-EN-TERRE-PLAINE")</f>
        <v>SAVIGNY-EN-TERRE-PLAINE</v>
      </c>
      <c r="E12179" s="38" t="s">
        <v>275</v>
      </c>
      <c r="F12179" s="38" t="s">
        <v>106</v>
      </c>
      <c r="G12179" s="49" t="str">
        <f t="shared" si="1"/>
        <v>89420</v>
      </c>
      <c r="H12179" s="49">
        <f t="shared" si="2"/>
        <v>89379</v>
      </c>
    </row>
    <row r="12180">
      <c r="A12180" s="48" t="s">
        <v>16332</v>
      </c>
      <c r="B12180" s="38">
        <v>14724.0</v>
      </c>
      <c r="C12180" s="38" t="s">
        <v>16333</v>
      </c>
      <c r="D12180" s="38" t="str">
        <f>IFERROR(__xludf.DUMMYFUNCTION("REGEXREPLACE(C12180,""-\d+(.*)|--\d+(.*)"","""")"),"VARAVILLE")</f>
        <v>VARAVILLE</v>
      </c>
      <c r="E12180" s="38" t="s">
        <v>137</v>
      </c>
      <c r="F12180" s="38" t="s">
        <v>138</v>
      </c>
      <c r="G12180" s="49" t="str">
        <f t="shared" si="1"/>
        <v>14390</v>
      </c>
      <c r="H12180" s="49">
        <f t="shared" si="2"/>
        <v>14724</v>
      </c>
    </row>
    <row r="12181">
      <c r="A12181" s="48" t="s">
        <v>2338</v>
      </c>
      <c r="B12181" s="38">
        <v>8098.0</v>
      </c>
      <c r="C12181" s="38" t="s">
        <v>16334</v>
      </c>
      <c r="D12181" s="38" t="str">
        <f>IFERROR(__xludf.DUMMYFUNCTION("REGEXREPLACE(C12181,""-\d+(.*)|--\d+(.*)"","""")"),"CHAMPIGNEULLE")</f>
        <v>CHAMPIGNEULLE</v>
      </c>
      <c r="E12181" s="38" t="s">
        <v>327</v>
      </c>
      <c r="F12181" s="38" t="s">
        <v>130</v>
      </c>
      <c r="G12181" s="49" t="str">
        <f t="shared" si="1"/>
        <v>08250</v>
      </c>
      <c r="H12181" s="49" t="str">
        <f t="shared" si="2"/>
        <v>08098</v>
      </c>
    </row>
    <row r="12182">
      <c r="A12182" s="48" t="s">
        <v>1450</v>
      </c>
      <c r="B12182" s="38">
        <v>50039.0</v>
      </c>
      <c r="C12182" s="38" t="s">
        <v>16335</v>
      </c>
      <c r="D12182" s="38" t="str">
        <f>IFERROR(__xludf.DUMMYFUNCTION("REGEXREPLACE(C12182,""-\d+(.*)|--\d+(.*)"","""")"),"BEAUCOUDRAY")</f>
        <v>BEAUCOUDRAY</v>
      </c>
      <c r="E12182" s="38" t="s">
        <v>157</v>
      </c>
      <c r="F12182" s="38" t="s">
        <v>138</v>
      </c>
      <c r="G12182" s="49" t="str">
        <f t="shared" si="1"/>
        <v>50420</v>
      </c>
      <c r="H12182" s="49">
        <f t="shared" si="2"/>
        <v>50039</v>
      </c>
    </row>
    <row r="12183">
      <c r="A12183" s="48" t="s">
        <v>7901</v>
      </c>
      <c r="B12183" s="38">
        <v>35124.0</v>
      </c>
      <c r="C12183" s="38" t="s">
        <v>16336</v>
      </c>
      <c r="D12183" s="38" t="str">
        <f>IFERROR(__xludf.DUMMYFUNCTION("REGEXREPLACE(C12183,""-\d+(.*)|--\d+(.*)"","""")"),"GRAND-FOUGERAY")</f>
        <v>GRAND-FOUGERAY</v>
      </c>
      <c r="E12183" s="38" t="s">
        <v>347</v>
      </c>
      <c r="F12183" s="38" t="s">
        <v>90</v>
      </c>
      <c r="G12183" s="49" t="str">
        <f t="shared" si="1"/>
        <v>35390</v>
      </c>
      <c r="H12183" s="49">
        <f t="shared" si="2"/>
        <v>35124</v>
      </c>
    </row>
    <row r="12184">
      <c r="A12184" s="48" t="s">
        <v>3154</v>
      </c>
      <c r="B12184" s="38">
        <v>15011.0</v>
      </c>
      <c r="C12184" s="38" t="s">
        <v>16337</v>
      </c>
      <c r="D12184" s="38" t="str">
        <f>IFERROR(__xludf.DUMMYFUNCTION("REGEXREPLACE(C12184,""-\d+(.*)|--\d+(.*)"","""")"),"ARNAC")</f>
        <v>ARNAC</v>
      </c>
      <c r="E12184" s="38" t="s">
        <v>632</v>
      </c>
      <c r="F12184" s="38" t="s">
        <v>161</v>
      </c>
      <c r="G12184" s="49" t="str">
        <f t="shared" si="1"/>
        <v>15150</v>
      </c>
      <c r="H12184" s="49">
        <f t="shared" si="2"/>
        <v>15011</v>
      </c>
    </row>
    <row r="12185">
      <c r="A12185" s="48" t="s">
        <v>2261</v>
      </c>
      <c r="B12185" s="38">
        <v>9077.0</v>
      </c>
      <c r="C12185" s="38" t="s">
        <v>16338</v>
      </c>
      <c r="D12185" s="38" t="str">
        <f>IFERROR(__xludf.DUMMYFUNCTION("REGEXREPLACE(C12185,""-\d+(.*)|--\d+(.*)"","""")"),"CAPOULET-ET-JUNAC")</f>
        <v>CAPOULET-ET-JUNAC</v>
      </c>
      <c r="E12185" s="38" t="s">
        <v>238</v>
      </c>
      <c r="F12185" s="38" t="s">
        <v>94</v>
      </c>
      <c r="G12185" s="49" t="str">
        <f t="shared" si="1"/>
        <v>09400</v>
      </c>
      <c r="H12185" s="49" t="str">
        <f t="shared" si="2"/>
        <v>09077</v>
      </c>
    </row>
    <row r="12186">
      <c r="A12186" s="48" t="s">
        <v>616</v>
      </c>
      <c r="B12186" s="38">
        <v>89410.0</v>
      </c>
      <c r="C12186" s="38" t="s">
        <v>16339</v>
      </c>
      <c r="D12186" s="38" t="str">
        <f>IFERROR(__xludf.DUMMYFUNCTION("REGEXREPLACE(C12186,""-\d+(.*)|--\d+(.*)"","""")"),"THAROT")</f>
        <v>THAROT</v>
      </c>
      <c r="E12186" s="38" t="s">
        <v>275</v>
      </c>
      <c r="F12186" s="38" t="s">
        <v>106</v>
      </c>
      <c r="G12186" s="49" t="str">
        <f t="shared" si="1"/>
        <v>89200</v>
      </c>
      <c r="H12186" s="49">
        <f t="shared" si="2"/>
        <v>89410</v>
      </c>
    </row>
    <row r="12187">
      <c r="A12187" s="48" t="s">
        <v>16340</v>
      </c>
      <c r="B12187" s="38">
        <v>95598.0</v>
      </c>
      <c r="C12187" s="38" t="s">
        <v>16341</v>
      </c>
      <c r="D12187" s="38" t="str">
        <f>IFERROR(__xludf.DUMMYFUNCTION("REGEXREPLACE(C12187,""-\d+(.*)|--\d+(.*)"","""")"),"SOISY-SOUS-MONTMORENCY")</f>
        <v>SOISY-SOUS-MONTMORENCY</v>
      </c>
      <c r="E12187" s="38" t="s">
        <v>541</v>
      </c>
      <c r="F12187" s="38" t="s">
        <v>245</v>
      </c>
      <c r="G12187" s="49" t="str">
        <f t="shared" si="1"/>
        <v>95230</v>
      </c>
      <c r="H12187" s="49">
        <f t="shared" si="2"/>
        <v>95598</v>
      </c>
    </row>
    <row r="12188">
      <c r="A12188" s="48" t="s">
        <v>9585</v>
      </c>
      <c r="B12188" s="38">
        <v>25624.0</v>
      </c>
      <c r="C12188" s="38" t="s">
        <v>16342</v>
      </c>
      <c r="D12188" s="38" t="str">
        <f>IFERROR(__xludf.DUMMYFUNCTION("REGEXREPLACE(C12188,""-\d+(.*)|--\d+(.*)"","""")"),"VILLERS-GRELOT")</f>
        <v>VILLERS-GRELOT</v>
      </c>
      <c r="E12188" s="38" t="s">
        <v>213</v>
      </c>
      <c r="F12188" s="38" t="s">
        <v>214</v>
      </c>
      <c r="G12188" s="49" t="str">
        <f t="shared" si="1"/>
        <v>25640</v>
      </c>
      <c r="H12188" s="49">
        <f t="shared" si="2"/>
        <v>25624</v>
      </c>
    </row>
    <row r="12189">
      <c r="A12189" s="48" t="s">
        <v>386</v>
      </c>
      <c r="B12189" s="38">
        <v>21292.0</v>
      </c>
      <c r="C12189" s="38" t="s">
        <v>16343</v>
      </c>
      <c r="D12189" s="38" t="str">
        <f>IFERROR(__xludf.DUMMYFUNCTION("REGEXREPLACE(C12189,""-\d+(.*)|--\d+(.*)"","""")"),"GENLIS")</f>
        <v>GENLIS</v>
      </c>
      <c r="E12189" s="38" t="s">
        <v>105</v>
      </c>
      <c r="F12189" s="38" t="s">
        <v>106</v>
      </c>
      <c r="G12189" s="49" t="str">
        <f t="shared" si="1"/>
        <v>21110</v>
      </c>
      <c r="H12189" s="49">
        <f t="shared" si="2"/>
        <v>21292</v>
      </c>
    </row>
    <row r="12190">
      <c r="A12190" s="48" t="s">
        <v>7571</v>
      </c>
      <c r="B12190" s="38">
        <v>77040.0</v>
      </c>
      <c r="C12190" s="38" t="s">
        <v>16344</v>
      </c>
      <c r="D12190" s="38" t="str">
        <f>IFERROR(__xludf.DUMMYFUNCTION("REGEXREPLACE(C12190,""-\d+(.*)|--\d+(.*)"","""")"),"BOISSISE-LE-ROI")</f>
        <v>BOISSISE-LE-ROI</v>
      </c>
      <c r="E12190" s="38" t="s">
        <v>244</v>
      </c>
      <c r="F12190" s="38" t="s">
        <v>245</v>
      </c>
      <c r="G12190" s="49" t="str">
        <f t="shared" si="1"/>
        <v>77310</v>
      </c>
      <c r="H12190" s="49">
        <f t="shared" si="2"/>
        <v>77040</v>
      </c>
    </row>
    <row r="12191">
      <c r="A12191" s="48" t="s">
        <v>1469</v>
      </c>
      <c r="B12191" s="38">
        <v>71343.0</v>
      </c>
      <c r="C12191" s="38" t="s">
        <v>16345</v>
      </c>
      <c r="D12191" s="38" t="str">
        <f>IFERROR(__xludf.DUMMYFUNCTION("REGEXREPLACE(C12191,""-\d+(.*)|--\d+(.*)"","""")"),"PARIS-L'HOPITAL")</f>
        <v>PARIS-L'HOPITAL</v>
      </c>
      <c r="E12191" s="38" t="s">
        <v>344</v>
      </c>
      <c r="F12191" s="38" t="s">
        <v>106</v>
      </c>
      <c r="G12191" s="49" t="str">
        <f t="shared" si="1"/>
        <v>71150</v>
      </c>
      <c r="H12191" s="49">
        <f t="shared" si="2"/>
        <v>71343</v>
      </c>
    </row>
    <row r="12192">
      <c r="A12192" s="48" t="s">
        <v>16346</v>
      </c>
      <c r="B12192" s="38">
        <v>30125.0</v>
      </c>
      <c r="C12192" s="38" t="s">
        <v>16347</v>
      </c>
      <c r="D12192" s="38" t="str">
        <f>IFERROR(__xludf.DUMMYFUNCTION("REGEXREPLACE(C12192,""-\d+(.*)|--\d+(.*)"","""")"),"GARONS")</f>
        <v>GARONS</v>
      </c>
      <c r="E12192" s="38" t="s">
        <v>526</v>
      </c>
      <c r="F12192" s="38" t="s">
        <v>119</v>
      </c>
      <c r="G12192" s="49" t="str">
        <f t="shared" si="1"/>
        <v>30128</v>
      </c>
      <c r="H12192" s="49">
        <f t="shared" si="2"/>
        <v>30125</v>
      </c>
    </row>
    <row r="12193">
      <c r="A12193" s="48" t="s">
        <v>6271</v>
      </c>
      <c r="B12193" s="38">
        <v>66040.0</v>
      </c>
      <c r="C12193" s="38" t="s">
        <v>16348</v>
      </c>
      <c r="D12193" s="38" t="str">
        <f>IFERROR(__xludf.DUMMYFUNCTION("REGEXREPLACE(C12193,""-\d+(.*)|--\d+(.*)"","""")"),"CASEFABRE")</f>
        <v>CASEFABRE</v>
      </c>
      <c r="E12193" s="38" t="s">
        <v>248</v>
      </c>
      <c r="F12193" s="38" t="s">
        <v>119</v>
      </c>
      <c r="G12193" s="49" t="str">
        <f t="shared" si="1"/>
        <v>66130</v>
      </c>
      <c r="H12193" s="49">
        <f t="shared" si="2"/>
        <v>66040</v>
      </c>
    </row>
    <row r="12194">
      <c r="A12194" s="48" t="s">
        <v>2170</v>
      </c>
      <c r="B12194" s="38">
        <v>80313.0</v>
      </c>
      <c r="C12194" s="38" t="s">
        <v>16349</v>
      </c>
      <c r="D12194" s="38" t="str">
        <f>IFERROR(__xludf.DUMMYFUNCTION("REGEXREPLACE(C12194,""-\d+(.*)|--\d+(.*)"","""")"),"FLAUCOURT")</f>
        <v>FLAUCOURT</v>
      </c>
      <c r="E12194" s="38" t="s">
        <v>224</v>
      </c>
      <c r="F12194" s="38" t="s">
        <v>113</v>
      </c>
      <c r="G12194" s="49" t="str">
        <f t="shared" si="1"/>
        <v>80200</v>
      </c>
      <c r="H12194" s="49">
        <f t="shared" si="2"/>
        <v>80313</v>
      </c>
    </row>
    <row r="12195">
      <c r="A12195" s="48" t="s">
        <v>2232</v>
      </c>
      <c r="B12195" s="38">
        <v>77125.0</v>
      </c>
      <c r="C12195" s="38" t="s">
        <v>16350</v>
      </c>
      <c r="D12195" s="38" t="str">
        <f>IFERROR(__xludf.DUMMYFUNCTION("REGEXREPLACE(C12195,""-\d+(.*)|--\d+(.*)"","""")"),"CONDE-SAINTE-LIBIAIRE")</f>
        <v>CONDE-SAINTE-LIBIAIRE</v>
      </c>
      <c r="E12195" s="38" t="s">
        <v>244</v>
      </c>
      <c r="F12195" s="38" t="s">
        <v>245</v>
      </c>
      <c r="G12195" s="49" t="str">
        <f t="shared" si="1"/>
        <v>77450</v>
      </c>
      <c r="H12195" s="49">
        <f t="shared" si="2"/>
        <v>77125</v>
      </c>
    </row>
    <row r="12196">
      <c r="A12196" s="48" t="s">
        <v>4434</v>
      </c>
      <c r="B12196" s="38">
        <v>31109.0</v>
      </c>
      <c r="C12196" s="38" t="s">
        <v>16351</v>
      </c>
      <c r="D12196" s="38" t="str">
        <f>IFERROR(__xludf.DUMMYFUNCTION("REGEXREPLACE(C12196,""-\d+(.*)|--\d+(.*)"","""")"),"CASSAGNABERE-TOURNAS")</f>
        <v>CASSAGNABERE-TOURNAS</v>
      </c>
      <c r="E12196" s="38" t="s">
        <v>93</v>
      </c>
      <c r="F12196" s="38" t="s">
        <v>94</v>
      </c>
      <c r="G12196" s="49" t="str">
        <f t="shared" si="1"/>
        <v>31420</v>
      </c>
      <c r="H12196" s="49">
        <f t="shared" si="2"/>
        <v>31109</v>
      </c>
    </row>
    <row r="12197">
      <c r="A12197" s="48" t="s">
        <v>10253</v>
      </c>
      <c r="B12197" s="38">
        <v>48174.0</v>
      </c>
      <c r="C12197" s="38" t="s">
        <v>16352</v>
      </c>
      <c r="D12197" s="38" t="str">
        <f>IFERROR(__xludf.DUMMYFUNCTION("REGEXREPLACE(C12197,""-\d+(.*)|--\d+(.*)"","""")"),"SAINT-PAUL-LE-FROID")</f>
        <v>SAINT-PAUL-LE-FROID</v>
      </c>
      <c r="E12197" s="38" t="s">
        <v>154</v>
      </c>
      <c r="F12197" s="38" t="s">
        <v>119</v>
      </c>
      <c r="G12197" s="49" t="str">
        <f t="shared" si="1"/>
        <v>48600</v>
      </c>
      <c r="H12197" s="49">
        <f t="shared" si="2"/>
        <v>48174</v>
      </c>
    </row>
    <row r="12198">
      <c r="A12198" s="48" t="s">
        <v>6535</v>
      </c>
      <c r="B12198" s="38">
        <v>58264.0</v>
      </c>
      <c r="C12198" s="38" t="s">
        <v>16353</v>
      </c>
      <c r="D12198" s="38" t="str">
        <f>IFERROR(__xludf.DUMMYFUNCTION("REGEXREPLACE(C12198,""-\d+(.*)|--\d+(.*)"","""")"),"SAINT-PIERRE-LE-MOUTIER")</f>
        <v>SAINT-PIERRE-LE-MOUTIER</v>
      </c>
      <c r="E12198" s="38" t="s">
        <v>219</v>
      </c>
      <c r="F12198" s="38" t="s">
        <v>106</v>
      </c>
      <c r="G12198" s="49" t="str">
        <f t="shared" si="1"/>
        <v>58240</v>
      </c>
      <c r="H12198" s="49">
        <f t="shared" si="2"/>
        <v>58264</v>
      </c>
    </row>
    <row r="12199">
      <c r="A12199" s="48" t="s">
        <v>2587</v>
      </c>
      <c r="B12199" s="38">
        <v>60592.0</v>
      </c>
      <c r="C12199" s="38" t="s">
        <v>16354</v>
      </c>
      <c r="D12199" s="38" t="str">
        <f>IFERROR(__xludf.DUMMYFUNCTION("REGEXREPLACE(C12199,""-\d+(.*)|--\d+(.*)"","""")"),"SAINT-PIERRE-ES-CHAMPS")</f>
        <v>SAINT-PIERRE-ES-CHAMPS</v>
      </c>
      <c r="E12199" s="38" t="s">
        <v>112</v>
      </c>
      <c r="F12199" s="38" t="s">
        <v>113</v>
      </c>
      <c r="G12199" s="49" t="str">
        <f t="shared" si="1"/>
        <v>60850</v>
      </c>
      <c r="H12199" s="49">
        <f t="shared" si="2"/>
        <v>60592</v>
      </c>
    </row>
    <row r="12200">
      <c r="A12200" s="48" t="s">
        <v>8680</v>
      </c>
      <c r="B12200" s="38">
        <v>72059.0</v>
      </c>
      <c r="C12200" s="38" t="s">
        <v>16355</v>
      </c>
      <c r="D12200" s="38" t="str">
        <f>IFERROR(__xludf.DUMMYFUNCTION("REGEXREPLACE(C12200,""-\d+(.*)|--\d+(.*)"","""")"),"CHANTENAY-VILLEDIEU")</f>
        <v>CHANTENAY-VILLEDIEU</v>
      </c>
      <c r="E12200" s="38" t="s">
        <v>521</v>
      </c>
      <c r="F12200" s="38" t="s">
        <v>180</v>
      </c>
      <c r="G12200" s="49" t="str">
        <f t="shared" si="1"/>
        <v>72430</v>
      </c>
      <c r="H12200" s="49">
        <f t="shared" si="2"/>
        <v>72059</v>
      </c>
    </row>
    <row r="12201">
      <c r="A12201" s="48" t="s">
        <v>4882</v>
      </c>
      <c r="B12201" s="38">
        <v>89168.0</v>
      </c>
      <c r="C12201" s="38" t="s">
        <v>16356</v>
      </c>
      <c r="D12201" s="38" t="str">
        <f>IFERROR(__xludf.DUMMYFUNCTION("REGEXREPLACE(C12201,""-\d+(.*)|--\d+(.*)"","""")"),"FLEYS")</f>
        <v>FLEYS</v>
      </c>
      <c r="E12201" s="38" t="s">
        <v>275</v>
      </c>
      <c r="F12201" s="38" t="s">
        <v>106</v>
      </c>
      <c r="G12201" s="49" t="str">
        <f t="shared" si="1"/>
        <v>89800</v>
      </c>
      <c r="H12201" s="49">
        <f t="shared" si="2"/>
        <v>89168</v>
      </c>
    </row>
    <row r="12202">
      <c r="A12202" s="48" t="s">
        <v>4088</v>
      </c>
      <c r="B12202" s="38">
        <v>39058.0</v>
      </c>
      <c r="C12202" s="38" t="s">
        <v>16357</v>
      </c>
      <c r="D12202" s="38" t="str">
        <f>IFERROR(__xludf.DUMMYFUNCTION("REGEXREPLACE(C12202,""-\d+(.*)|--\d+(.*)"","""")"),"BLYE")</f>
        <v>BLYE</v>
      </c>
      <c r="E12202" s="38" t="s">
        <v>400</v>
      </c>
      <c r="F12202" s="38" t="s">
        <v>214</v>
      </c>
      <c r="G12202" s="49" t="str">
        <f t="shared" si="1"/>
        <v>39130</v>
      </c>
      <c r="H12202" s="49">
        <f t="shared" si="2"/>
        <v>39058</v>
      </c>
    </row>
    <row r="12203">
      <c r="A12203" s="48" t="s">
        <v>3731</v>
      </c>
      <c r="B12203" s="38">
        <v>4160.0</v>
      </c>
      <c r="C12203" s="38" t="s">
        <v>16358</v>
      </c>
      <c r="D12203" s="38" t="str">
        <f>IFERROR(__xludf.DUMMYFUNCTION("REGEXREPLACE(C12203,""-\d+(.*)|--\d+(.*)"","""")"),"REILLANNE")</f>
        <v>REILLANNE</v>
      </c>
      <c r="E12203" s="38" t="s">
        <v>662</v>
      </c>
      <c r="F12203" s="38" t="s">
        <v>228</v>
      </c>
      <c r="G12203" s="49" t="str">
        <f t="shared" si="1"/>
        <v>04110</v>
      </c>
      <c r="H12203" s="49" t="str">
        <f t="shared" si="2"/>
        <v>04160</v>
      </c>
    </row>
    <row r="12204">
      <c r="A12204" s="48" t="s">
        <v>6519</v>
      </c>
      <c r="B12204" s="38">
        <v>81051.0</v>
      </c>
      <c r="C12204" s="38" t="s">
        <v>16359</v>
      </c>
      <c r="D12204" s="38" t="str">
        <f>IFERROR(__xludf.DUMMYFUNCTION("REGEXREPLACE(C12204,""-\d+(.*)|--\d+(.*)"","""")"),"CAHUZAC-SUR-VERE")</f>
        <v>CAHUZAC-SUR-VERE</v>
      </c>
      <c r="E12204" s="38" t="s">
        <v>231</v>
      </c>
      <c r="F12204" s="38" t="s">
        <v>94</v>
      </c>
      <c r="G12204" s="49" t="str">
        <f t="shared" si="1"/>
        <v>81140</v>
      </c>
      <c r="H12204" s="49">
        <f t="shared" si="2"/>
        <v>81051</v>
      </c>
    </row>
    <row r="12205">
      <c r="A12205" s="48" t="s">
        <v>1964</v>
      </c>
      <c r="B12205" s="38">
        <v>26122.0</v>
      </c>
      <c r="C12205" s="38" t="s">
        <v>16360</v>
      </c>
      <c r="D12205" s="38" t="str">
        <f>IFERROR(__xludf.DUMMYFUNCTION("REGEXREPLACE(C12205,""-\d+(.*)|--\d+(.*)"","""")"),"ESPENEL")</f>
        <v>ESPENEL</v>
      </c>
      <c r="E12205" s="38" t="s">
        <v>126</v>
      </c>
      <c r="F12205" s="38" t="s">
        <v>102</v>
      </c>
      <c r="G12205" s="49" t="str">
        <f t="shared" si="1"/>
        <v>26340</v>
      </c>
      <c r="H12205" s="49">
        <f t="shared" si="2"/>
        <v>26122</v>
      </c>
    </row>
    <row r="12206">
      <c r="A12206" s="48" t="s">
        <v>5532</v>
      </c>
      <c r="B12206" s="38">
        <v>30327.0</v>
      </c>
      <c r="C12206" s="38" t="s">
        <v>16361</v>
      </c>
      <c r="D12206" s="38" t="str">
        <f>IFERROR(__xludf.DUMMYFUNCTION("REGEXREPLACE(C12206,""-\d+(.*)|--\d+(.*)"","""")"),"THARAUX")</f>
        <v>THARAUX</v>
      </c>
      <c r="E12206" s="38" t="s">
        <v>526</v>
      </c>
      <c r="F12206" s="38" t="s">
        <v>119</v>
      </c>
      <c r="G12206" s="49" t="str">
        <f t="shared" si="1"/>
        <v>30430</v>
      </c>
      <c r="H12206" s="49">
        <f t="shared" si="2"/>
        <v>30327</v>
      </c>
    </row>
    <row r="12207">
      <c r="A12207" s="48" t="s">
        <v>6414</v>
      </c>
      <c r="B12207" s="38">
        <v>34019.0</v>
      </c>
      <c r="C12207" s="38" t="s">
        <v>16362</v>
      </c>
      <c r="D12207" s="38" t="str">
        <f>IFERROR(__xludf.DUMMYFUNCTION("REGEXREPLACE(C12207,""-\d+(.*)|--\d+(.*)"","""")"),"AVENE")</f>
        <v>AVENE</v>
      </c>
      <c r="E12207" s="38" t="s">
        <v>118</v>
      </c>
      <c r="F12207" s="38" t="s">
        <v>119</v>
      </c>
      <c r="G12207" s="49" t="str">
        <f t="shared" si="1"/>
        <v>34260</v>
      </c>
      <c r="H12207" s="49">
        <f t="shared" si="2"/>
        <v>34019</v>
      </c>
    </row>
    <row r="12208">
      <c r="A12208" s="48" t="s">
        <v>1531</v>
      </c>
      <c r="B12208" s="38">
        <v>65482.0</v>
      </c>
      <c r="C12208" s="38" t="s">
        <v>16363</v>
      </c>
      <c r="D12208" s="38" t="str">
        <f>IFERROR(__xludf.DUMMYFUNCTION("REGEXREPLACE(C12208,""-\d+(.*)|--\d+(.*)"","""")"),"CANTAOUS")</f>
        <v>CANTAOUS</v>
      </c>
      <c r="E12208" s="38" t="s">
        <v>200</v>
      </c>
      <c r="F12208" s="38" t="s">
        <v>94</v>
      </c>
      <c r="G12208" s="49" t="str">
        <f t="shared" si="1"/>
        <v>65150</v>
      </c>
      <c r="H12208" s="49">
        <f t="shared" si="2"/>
        <v>65482</v>
      </c>
    </row>
    <row r="12209">
      <c r="A12209" s="48" t="s">
        <v>2886</v>
      </c>
      <c r="B12209" s="38">
        <v>89124.0</v>
      </c>
      <c r="C12209" s="38" t="s">
        <v>16364</v>
      </c>
      <c r="D12209" s="38" t="str">
        <f>IFERROR(__xludf.DUMMYFUNCTION("REGEXREPLACE(C12209,""-\d+(.*)|--\d+(.*)"","""")"),"COURLON-SUR-YONNE")</f>
        <v>COURLON-SUR-YONNE</v>
      </c>
      <c r="E12209" s="38" t="s">
        <v>275</v>
      </c>
      <c r="F12209" s="38" t="s">
        <v>106</v>
      </c>
      <c r="G12209" s="49" t="str">
        <f t="shared" si="1"/>
        <v>89140</v>
      </c>
      <c r="H12209" s="49">
        <f t="shared" si="2"/>
        <v>89124</v>
      </c>
    </row>
    <row r="12210">
      <c r="A12210" s="48" t="s">
        <v>208</v>
      </c>
      <c r="B12210" s="38">
        <v>67430.0</v>
      </c>
      <c r="C12210" s="38" t="s">
        <v>16365</v>
      </c>
      <c r="D12210" s="38" t="str">
        <f>IFERROR(__xludf.DUMMYFUNCTION("REGEXREPLACE(C12210,""-\d+(.*)|--\d+(.*)"","""")"),"SAINT-PIERRE-BOIS")</f>
        <v>SAINT-PIERRE-BOIS</v>
      </c>
      <c r="E12210" s="38" t="s">
        <v>210</v>
      </c>
      <c r="F12210" s="38" t="s">
        <v>151</v>
      </c>
      <c r="G12210" s="49" t="str">
        <f t="shared" si="1"/>
        <v>67220</v>
      </c>
      <c r="H12210" s="49">
        <f t="shared" si="2"/>
        <v>67430</v>
      </c>
    </row>
    <row r="12211">
      <c r="A12211" s="48" t="s">
        <v>16366</v>
      </c>
      <c r="B12211" s="38">
        <v>21386.0</v>
      </c>
      <c r="C12211" s="38" t="s">
        <v>16367</v>
      </c>
      <c r="D12211" s="38" t="str">
        <f>IFERROR(__xludf.DUMMYFUNCTION("REGEXREPLACE(C12211,""-\d+(.*)|--\d+(.*)"","""")"),"MARIGNY-LE-CAHOUET")</f>
        <v>MARIGNY-LE-CAHOUET</v>
      </c>
      <c r="E12211" s="38" t="s">
        <v>105</v>
      </c>
      <c r="F12211" s="38" t="s">
        <v>106</v>
      </c>
      <c r="G12211" s="49" t="str">
        <f t="shared" si="1"/>
        <v>21150</v>
      </c>
      <c r="H12211" s="49">
        <f t="shared" si="2"/>
        <v>21386</v>
      </c>
    </row>
    <row r="12212">
      <c r="A12212" s="48" t="s">
        <v>7813</v>
      </c>
      <c r="B12212" s="38">
        <v>35323.0</v>
      </c>
      <c r="C12212" s="38" t="s">
        <v>16368</v>
      </c>
      <c r="D12212" s="38" t="str">
        <f>IFERROR(__xludf.DUMMYFUNCTION("REGEXREPLACE(C12212,""-\d+(.*)|--\d+(.*)"","""")"),"LA SELLE-EN-COGLES")</f>
        <v>LA SELLE-EN-COGLES</v>
      </c>
      <c r="E12212" s="38" t="s">
        <v>347</v>
      </c>
      <c r="F12212" s="38" t="s">
        <v>90</v>
      </c>
      <c r="G12212" s="49" t="str">
        <f t="shared" si="1"/>
        <v>35460</v>
      </c>
      <c r="H12212" s="49">
        <f t="shared" si="2"/>
        <v>35323</v>
      </c>
    </row>
    <row r="12213">
      <c r="A12213" s="48" t="s">
        <v>4036</v>
      </c>
      <c r="B12213" s="38">
        <v>49161.0</v>
      </c>
      <c r="C12213" s="38" t="s">
        <v>16369</v>
      </c>
      <c r="D12213" s="38" t="str">
        <f>IFERROR(__xludf.DUMMYFUNCTION("REGEXREPLACE(C12213,""-\d+(.*)|--\d+(.*)"","""")"),"LA JAILLE-YVON")</f>
        <v>LA JAILLE-YVON</v>
      </c>
      <c r="E12213" s="38" t="s">
        <v>653</v>
      </c>
      <c r="F12213" s="38" t="s">
        <v>180</v>
      </c>
      <c r="G12213" s="49" t="str">
        <f t="shared" si="1"/>
        <v>49220</v>
      </c>
      <c r="H12213" s="49">
        <f t="shared" si="2"/>
        <v>49161</v>
      </c>
    </row>
    <row r="12214">
      <c r="A12214" s="48" t="s">
        <v>13752</v>
      </c>
      <c r="B12214" s="38">
        <v>72001.0</v>
      </c>
      <c r="C12214" s="38" t="s">
        <v>16370</v>
      </c>
      <c r="D12214" s="38" t="str">
        <f>IFERROR(__xludf.DUMMYFUNCTION("REGEXREPLACE(C12214,""-\d+(.*)|--\d+(.*)"","""")"),"AIGNE")</f>
        <v>AIGNE</v>
      </c>
      <c r="E12214" s="38" t="s">
        <v>521</v>
      </c>
      <c r="F12214" s="38" t="s">
        <v>180</v>
      </c>
      <c r="G12214" s="49" t="str">
        <f t="shared" si="1"/>
        <v>72650</v>
      </c>
      <c r="H12214" s="49">
        <f t="shared" si="2"/>
        <v>72001</v>
      </c>
    </row>
    <row r="12215">
      <c r="A12215" s="48" t="s">
        <v>1534</v>
      </c>
      <c r="B12215" s="38">
        <v>19128.0</v>
      </c>
      <c r="C12215" s="38" t="s">
        <v>16371</v>
      </c>
      <c r="D12215" s="38" t="str">
        <f>IFERROR(__xludf.DUMMYFUNCTION("REGEXREPLACE(C12215,""-\d+(.*)|--\d+(.*)"","""")"),"MARGERIDES")</f>
        <v>MARGERIDES</v>
      </c>
      <c r="E12215" s="38" t="s">
        <v>271</v>
      </c>
      <c r="F12215" s="38" t="s">
        <v>98</v>
      </c>
      <c r="G12215" s="49" t="str">
        <f t="shared" si="1"/>
        <v>19200</v>
      </c>
      <c r="H12215" s="49">
        <f t="shared" si="2"/>
        <v>19128</v>
      </c>
    </row>
    <row r="12216">
      <c r="A12216" s="48" t="s">
        <v>13077</v>
      </c>
      <c r="B12216" s="38">
        <v>3128.0</v>
      </c>
      <c r="C12216" s="38" t="s">
        <v>16372</v>
      </c>
      <c r="D12216" s="38" t="str">
        <f>IFERROR(__xludf.DUMMYFUNCTION("REGEXREPLACE(C12216,""-\d+(.*)|--\d+(.*)"","""")"),"HURIEL")</f>
        <v>HURIEL</v>
      </c>
      <c r="E12216" s="38" t="s">
        <v>160</v>
      </c>
      <c r="F12216" s="38" t="s">
        <v>161</v>
      </c>
      <c r="G12216" s="49" t="str">
        <f t="shared" si="1"/>
        <v>03380</v>
      </c>
      <c r="H12216" s="49" t="str">
        <f t="shared" si="2"/>
        <v>03128</v>
      </c>
    </row>
    <row r="12217">
      <c r="A12217" s="48" t="s">
        <v>3532</v>
      </c>
      <c r="B12217" s="38">
        <v>2636.0</v>
      </c>
      <c r="C12217" s="38" t="s">
        <v>16373</v>
      </c>
      <c r="D12217" s="38" t="str">
        <f>IFERROR(__xludf.DUMMYFUNCTION("REGEXREPLACE(C12217,""-\d+(.*)|--\d+(.*)"","""")"),"REGNY")</f>
        <v>REGNY</v>
      </c>
      <c r="E12217" s="38" t="s">
        <v>191</v>
      </c>
      <c r="F12217" s="38" t="s">
        <v>113</v>
      </c>
      <c r="G12217" s="49" t="str">
        <f t="shared" si="1"/>
        <v>02240</v>
      </c>
      <c r="H12217" s="49" t="str">
        <f t="shared" si="2"/>
        <v>02636</v>
      </c>
    </row>
    <row r="12218">
      <c r="A12218" s="48" t="s">
        <v>1008</v>
      </c>
      <c r="B12218" s="38">
        <v>2511.0</v>
      </c>
      <c r="C12218" s="38" t="s">
        <v>16374</v>
      </c>
      <c r="D12218" s="38" t="str">
        <f>IFERROR(__xludf.DUMMYFUNCTION("REGEXREPLACE(C12218,""-\d+(.*)|--\d+(.*)"","""")"),"MONTIGNY-EN-ARROUAISE")</f>
        <v>MONTIGNY-EN-ARROUAISE</v>
      </c>
      <c r="E12218" s="38" t="s">
        <v>191</v>
      </c>
      <c r="F12218" s="38" t="s">
        <v>113</v>
      </c>
      <c r="G12218" s="49" t="str">
        <f t="shared" si="1"/>
        <v>02110</v>
      </c>
      <c r="H12218" s="49" t="str">
        <f t="shared" si="2"/>
        <v>02511</v>
      </c>
    </row>
    <row r="12219">
      <c r="A12219" s="48" t="s">
        <v>4453</v>
      </c>
      <c r="B12219" s="38">
        <v>52260.0</v>
      </c>
      <c r="C12219" s="38" t="s">
        <v>16375</v>
      </c>
      <c r="D12219" s="38" t="str">
        <f>IFERROR(__xludf.DUMMYFUNCTION("REGEXREPLACE(C12219,""-\d+(.*)|--\d+(.*)"","""")"),"LAMANCINE")</f>
        <v>LAMANCINE</v>
      </c>
      <c r="E12219" s="38" t="s">
        <v>234</v>
      </c>
      <c r="F12219" s="38" t="s">
        <v>130</v>
      </c>
      <c r="G12219" s="49" t="str">
        <f t="shared" si="1"/>
        <v>52310</v>
      </c>
      <c r="H12219" s="49">
        <f t="shared" si="2"/>
        <v>52260</v>
      </c>
    </row>
    <row r="12220">
      <c r="A12220" s="48" t="s">
        <v>16376</v>
      </c>
      <c r="B12220" s="38">
        <v>77450.0</v>
      </c>
      <c r="C12220" s="38" t="s">
        <v>16377</v>
      </c>
      <c r="D12220" s="38" t="str">
        <f>IFERROR(__xludf.DUMMYFUNCTION("REGEXREPLACE(C12220,""-\d+(.*)|--\d+(.*)"","""")"),"SERVON")</f>
        <v>SERVON</v>
      </c>
      <c r="E12220" s="38" t="s">
        <v>244</v>
      </c>
      <c r="F12220" s="38" t="s">
        <v>245</v>
      </c>
      <c r="G12220" s="49" t="str">
        <f t="shared" si="1"/>
        <v>77170</v>
      </c>
      <c r="H12220" s="49">
        <f t="shared" si="2"/>
        <v>77450</v>
      </c>
    </row>
    <row r="12221">
      <c r="A12221" s="48" t="s">
        <v>783</v>
      </c>
      <c r="B12221" s="38">
        <v>12191.0</v>
      </c>
      <c r="C12221" s="38" t="s">
        <v>16378</v>
      </c>
      <c r="D12221" s="38" t="str">
        <f>IFERROR(__xludf.DUMMYFUNCTION("REGEXREPLACE(C12221,""-\d+(.*)|--\d+(.*)"","""")"),"PRIVEZAC")</f>
        <v>PRIVEZAC</v>
      </c>
      <c r="E12221" s="38" t="s">
        <v>465</v>
      </c>
      <c r="F12221" s="38" t="s">
        <v>94</v>
      </c>
      <c r="G12221" s="49" t="str">
        <f t="shared" si="1"/>
        <v>12350</v>
      </c>
      <c r="H12221" s="49">
        <f t="shared" si="2"/>
        <v>12191</v>
      </c>
    </row>
    <row r="12222">
      <c r="A12222" s="48" t="s">
        <v>3046</v>
      </c>
      <c r="B12222" s="38">
        <v>70024.0</v>
      </c>
      <c r="C12222" s="38" t="s">
        <v>10127</v>
      </c>
      <c r="D12222" s="38" t="str">
        <f>IFERROR(__xludf.DUMMYFUNCTION("REGEXREPLACE(C12222,""-\d+(.*)|--\d+(.*)"","""")"),"APREMONT")</f>
        <v>APREMONT</v>
      </c>
      <c r="E12222" s="38" t="s">
        <v>956</v>
      </c>
      <c r="F12222" s="38" t="s">
        <v>214</v>
      </c>
      <c r="G12222" s="49" t="str">
        <f t="shared" si="1"/>
        <v>70100</v>
      </c>
      <c r="H12222" s="49">
        <f t="shared" si="2"/>
        <v>70024</v>
      </c>
    </row>
    <row r="12223">
      <c r="A12223" s="48" t="s">
        <v>1345</v>
      </c>
      <c r="B12223" s="38">
        <v>46254.0</v>
      </c>
      <c r="C12223" s="38" t="s">
        <v>16379</v>
      </c>
      <c r="D12223" s="38" t="str">
        <f>IFERROR(__xludf.DUMMYFUNCTION("REGEXREPLACE(C12223,""-\d+(.*)|--\d+(.*)"","""")"),"SAINT-CHELS")</f>
        <v>SAINT-CHELS</v>
      </c>
      <c r="E12223" s="38" t="s">
        <v>185</v>
      </c>
      <c r="F12223" s="38" t="s">
        <v>94</v>
      </c>
      <c r="G12223" s="49" t="str">
        <f t="shared" si="1"/>
        <v>46160</v>
      </c>
      <c r="H12223" s="49">
        <f t="shared" si="2"/>
        <v>46254</v>
      </c>
    </row>
    <row r="12224">
      <c r="A12224" s="48" t="s">
        <v>10416</v>
      </c>
      <c r="B12224" s="38">
        <v>50254.0</v>
      </c>
      <c r="C12224" s="38" t="s">
        <v>16380</v>
      </c>
      <c r="D12224" s="38" t="str">
        <f>IFERROR(__xludf.DUMMYFUNCTION("REGEXREPLACE(C12224,""-\d+(.*)|--\d+(.*)"","""")"),"HUSSON")</f>
        <v>HUSSON</v>
      </c>
      <c r="E12224" s="38" t="s">
        <v>157</v>
      </c>
      <c r="F12224" s="38" t="s">
        <v>138</v>
      </c>
      <c r="G12224" s="49" t="str">
        <f t="shared" si="1"/>
        <v>50640</v>
      </c>
      <c r="H12224" s="49">
        <f t="shared" si="2"/>
        <v>50254</v>
      </c>
    </row>
    <row r="12225">
      <c r="A12225" s="48" t="s">
        <v>2540</v>
      </c>
      <c r="B12225" s="38">
        <v>2166.0</v>
      </c>
      <c r="C12225" s="38" t="s">
        <v>16381</v>
      </c>
      <c r="D12225" s="38" t="str">
        <f>IFERROR(__xludf.DUMMYFUNCTION("REGEXREPLACE(C12225,""-\d+(.*)|--\d+(.*)"","""")"),"CHARTEVES")</f>
        <v>CHARTEVES</v>
      </c>
      <c r="E12225" s="38" t="s">
        <v>191</v>
      </c>
      <c r="F12225" s="38" t="s">
        <v>113</v>
      </c>
      <c r="G12225" s="49" t="str">
        <f t="shared" si="1"/>
        <v>02400</v>
      </c>
      <c r="H12225" s="49" t="str">
        <f t="shared" si="2"/>
        <v>02166</v>
      </c>
    </row>
    <row r="12226">
      <c r="A12226" s="48" t="s">
        <v>3118</v>
      </c>
      <c r="B12226" s="38">
        <v>46079.0</v>
      </c>
      <c r="C12226" s="38" t="s">
        <v>16382</v>
      </c>
      <c r="D12226" s="38" t="str">
        <f>IFERROR(__xludf.DUMMYFUNCTION("REGEXREPLACE(C12226,""-\d+(.*)|--\d+(.*)"","""")"),"CRAS")</f>
        <v>CRAS</v>
      </c>
      <c r="E12226" s="38" t="s">
        <v>185</v>
      </c>
      <c r="F12226" s="38" t="s">
        <v>94</v>
      </c>
      <c r="G12226" s="49" t="str">
        <f t="shared" si="1"/>
        <v>46360</v>
      </c>
      <c r="H12226" s="49">
        <f t="shared" si="2"/>
        <v>46079</v>
      </c>
    </row>
    <row r="12227">
      <c r="A12227" s="48" t="s">
        <v>1473</v>
      </c>
      <c r="B12227" s="38">
        <v>50639.0</v>
      </c>
      <c r="C12227" s="38" t="s">
        <v>16383</v>
      </c>
      <c r="D12227" s="38" t="str">
        <f>IFERROR(__xludf.DUMMYFUNCTION("REGEXREPLACE(C12227,""-\d+(.*)|--\d+(.*)"","""")"),"VILLEDIEU-LES-POELES")</f>
        <v>VILLEDIEU-LES-POELES</v>
      </c>
      <c r="E12227" s="38" t="s">
        <v>157</v>
      </c>
      <c r="F12227" s="38" t="s">
        <v>138</v>
      </c>
      <c r="G12227" s="49" t="str">
        <f t="shared" si="1"/>
        <v>50800</v>
      </c>
      <c r="H12227" s="49">
        <f t="shared" si="2"/>
        <v>50639</v>
      </c>
    </row>
    <row r="12228">
      <c r="A12228" s="48" t="s">
        <v>7057</v>
      </c>
      <c r="B12228" s="38">
        <v>18179.0</v>
      </c>
      <c r="C12228" s="38" t="s">
        <v>16384</v>
      </c>
      <c r="D12228" s="38" t="str">
        <f>IFERROR(__xludf.DUMMYFUNCTION("REGEXREPLACE(C12228,""-\d+(.*)|--\d+(.*)"","""")"),"PIGNY")</f>
        <v>PIGNY</v>
      </c>
      <c r="E12228" s="38" t="s">
        <v>504</v>
      </c>
      <c r="F12228" s="38" t="s">
        <v>123</v>
      </c>
      <c r="G12228" s="49" t="str">
        <f t="shared" si="1"/>
        <v>18110</v>
      </c>
      <c r="H12228" s="49">
        <f t="shared" si="2"/>
        <v>18179</v>
      </c>
    </row>
    <row r="12229">
      <c r="A12229" s="48" t="s">
        <v>502</v>
      </c>
      <c r="B12229" s="38">
        <v>18078.0</v>
      </c>
      <c r="C12229" s="38" t="s">
        <v>16385</v>
      </c>
      <c r="D12229" s="38" t="str">
        <f>IFERROR(__xludf.DUMMYFUNCTION("REGEXREPLACE(C12229,""-\d+(.*)|--\d+(.*)"","""")"),"CREZANCAY-SUR-CHER")</f>
        <v>CREZANCAY-SUR-CHER</v>
      </c>
      <c r="E12229" s="38" t="s">
        <v>504</v>
      </c>
      <c r="F12229" s="38" t="s">
        <v>123</v>
      </c>
      <c r="G12229" s="49" t="str">
        <f t="shared" si="1"/>
        <v>18190</v>
      </c>
      <c r="H12229" s="49">
        <f t="shared" si="2"/>
        <v>18078</v>
      </c>
    </row>
    <row r="12230">
      <c r="A12230" s="48" t="s">
        <v>16386</v>
      </c>
      <c r="B12230" s="38">
        <v>56243.0</v>
      </c>
      <c r="C12230" s="38" t="s">
        <v>16387</v>
      </c>
      <c r="D12230" s="38" t="str">
        <f>IFERROR(__xludf.DUMMYFUNCTION("REGEXREPLACE(C12230,""-\d+(.*)|--\d+(.*)"","""")"),"SENE")</f>
        <v>SENE</v>
      </c>
      <c r="E12230" s="38" t="s">
        <v>173</v>
      </c>
      <c r="F12230" s="38" t="s">
        <v>90</v>
      </c>
      <c r="G12230" s="49" t="str">
        <f t="shared" si="1"/>
        <v>56860</v>
      </c>
      <c r="H12230" s="49">
        <f t="shared" si="2"/>
        <v>56243</v>
      </c>
    </row>
    <row r="12231">
      <c r="A12231" s="48" t="s">
        <v>6566</v>
      </c>
      <c r="B12231" s="38">
        <v>49025.0</v>
      </c>
      <c r="C12231" s="38" t="s">
        <v>16388</v>
      </c>
      <c r="D12231" s="38" t="str">
        <f>IFERROR(__xludf.DUMMYFUNCTION("REGEXREPLACE(C12231,""-\d+(.*)|--\d+(.*)"","""")"),"BEAUVAU")</f>
        <v>BEAUVAU</v>
      </c>
      <c r="E12231" s="38" t="s">
        <v>653</v>
      </c>
      <c r="F12231" s="38" t="s">
        <v>180</v>
      </c>
      <c r="G12231" s="49" t="str">
        <f t="shared" si="1"/>
        <v>49140</v>
      </c>
      <c r="H12231" s="49">
        <f t="shared" si="2"/>
        <v>49025</v>
      </c>
    </row>
    <row r="12232">
      <c r="A12232" s="48" t="s">
        <v>9293</v>
      </c>
      <c r="B12232" s="38">
        <v>9341.0</v>
      </c>
      <c r="C12232" s="38" t="s">
        <v>16389</v>
      </c>
      <c r="D12232" s="38" t="str">
        <f>IFERROR(__xludf.DUMMYFUNCTION("REGEXREPLACE(C12232,""-\d+(.*)|--\d+(.*)"","""")"),"VIVIES")</f>
        <v>VIVIES</v>
      </c>
      <c r="E12232" s="38" t="s">
        <v>238</v>
      </c>
      <c r="F12232" s="38" t="s">
        <v>94</v>
      </c>
      <c r="G12232" s="49" t="str">
        <f t="shared" si="1"/>
        <v>09500</v>
      </c>
      <c r="H12232" s="49" t="str">
        <f t="shared" si="2"/>
        <v>09341</v>
      </c>
    </row>
    <row r="12233">
      <c r="A12233" s="48" t="s">
        <v>1724</v>
      </c>
      <c r="B12233" s="38">
        <v>26156.0</v>
      </c>
      <c r="C12233" s="38" t="s">
        <v>16390</v>
      </c>
      <c r="D12233" s="38" t="str">
        <f>IFERROR(__xludf.DUMMYFUNCTION("REGEXREPLACE(C12233,""-\d+(.*)|--\d+(.*)"","""")"),"LARNAGE")</f>
        <v>LARNAGE</v>
      </c>
      <c r="E12233" s="38" t="s">
        <v>126</v>
      </c>
      <c r="F12233" s="38" t="s">
        <v>102</v>
      </c>
      <c r="G12233" s="49" t="str">
        <f t="shared" si="1"/>
        <v>26600</v>
      </c>
      <c r="H12233" s="49">
        <f t="shared" si="2"/>
        <v>26156</v>
      </c>
    </row>
    <row r="12234">
      <c r="A12234" s="48" t="s">
        <v>4648</v>
      </c>
      <c r="B12234" s="38">
        <v>54055.0</v>
      </c>
      <c r="C12234" s="38" t="s">
        <v>16391</v>
      </c>
      <c r="D12234" s="38" t="str">
        <f>IFERROR(__xludf.DUMMYFUNCTION("REGEXREPLACE(C12234,""-\d+(.*)|--\d+(.*)"","""")"),"BAYONVILLE-SUR-MAD")</f>
        <v>BAYONVILLE-SUR-MAD</v>
      </c>
      <c r="E12234" s="38" t="s">
        <v>548</v>
      </c>
      <c r="F12234" s="38" t="s">
        <v>195</v>
      </c>
      <c r="G12234" s="49" t="str">
        <f t="shared" si="1"/>
        <v>54890</v>
      </c>
      <c r="H12234" s="49">
        <f t="shared" si="2"/>
        <v>54055</v>
      </c>
    </row>
    <row r="12235">
      <c r="A12235" s="48" t="s">
        <v>5761</v>
      </c>
      <c r="B12235" s="38">
        <v>17111.0</v>
      </c>
      <c r="C12235" s="38" t="s">
        <v>16392</v>
      </c>
      <c r="D12235" s="38" t="str">
        <f>IFERROR(__xludf.DUMMYFUNCTION("REGEXREPLACE(C12235,""-\d+(.*)|--\d+(.*)"","""")"),"CLION")</f>
        <v>CLION</v>
      </c>
      <c r="E12235" s="38" t="s">
        <v>488</v>
      </c>
      <c r="F12235" s="38" t="s">
        <v>338</v>
      </c>
      <c r="G12235" s="49" t="str">
        <f t="shared" si="1"/>
        <v>17240</v>
      </c>
      <c r="H12235" s="49">
        <f t="shared" si="2"/>
        <v>17111</v>
      </c>
    </row>
    <row r="12236">
      <c r="A12236" s="48" t="s">
        <v>3283</v>
      </c>
      <c r="B12236" s="38">
        <v>52369.0</v>
      </c>
      <c r="C12236" s="38" t="s">
        <v>16393</v>
      </c>
      <c r="D12236" s="38" t="str">
        <f>IFERROR(__xludf.DUMMYFUNCTION("REGEXREPLACE(C12236,""-\d+(.*)|--\d+(.*)"","""")"),"ORQUEVAUX")</f>
        <v>ORQUEVAUX</v>
      </c>
      <c r="E12236" s="38" t="s">
        <v>234</v>
      </c>
      <c r="F12236" s="38" t="s">
        <v>130</v>
      </c>
      <c r="G12236" s="49" t="str">
        <f t="shared" si="1"/>
        <v>52700</v>
      </c>
      <c r="H12236" s="49">
        <f t="shared" si="2"/>
        <v>52369</v>
      </c>
    </row>
    <row r="12237">
      <c r="A12237" s="48" t="s">
        <v>9436</v>
      </c>
      <c r="B12237" s="38">
        <v>63199.0</v>
      </c>
      <c r="C12237" s="38" t="s">
        <v>16394</v>
      </c>
      <c r="D12237" s="38" t="str">
        <f>IFERROR(__xludf.DUMMYFUNCTION("REGEXREPLACE(C12237,""-\d+(.*)|--\d+(.*)"","""")"),"LUDESSE")</f>
        <v>LUDESSE</v>
      </c>
      <c r="E12237" s="38" t="s">
        <v>353</v>
      </c>
      <c r="F12237" s="38" t="s">
        <v>161</v>
      </c>
      <c r="G12237" s="49" t="str">
        <f t="shared" si="1"/>
        <v>63320</v>
      </c>
      <c r="H12237" s="49">
        <f t="shared" si="2"/>
        <v>63199</v>
      </c>
    </row>
    <row r="12238">
      <c r="A12238" s="48" t="s">
        <v>3821</v>
      </c>
      <c r="B12238" s="38">
        <v>57379.0</v>
      </c>
      <c r="C12238" s="38" t="s">
        <v>16395</v>
      </c>
      <c r="D12238" s="38" t="str">
        <f>IFERROR(__xludf.DUMMYFUNCTION("REGEXREPLACE(C12238,""-\d+(.*)|--\d+(.*)"","""")"),"LANDROFF")</f>
        <v>LANDROFF</v>
      </c>
      <c r="E12238" s="38" t="s">
        <v>303</v>
      </c>
      <c r="F12238" s="38" t="s">
        <v>195</v>
      </c>
      <c r="G12238" s="49" t="str">
        <f t="shared" si="1"/>
        <v>57340</v>
      </c>
      <c r="H12238" s="49">
        <f t="shared" si="2"/>
        <v>57379</v>
      </c>
    </row>
    <row r="12239">
      <c r="A12239" s="48" t="s">
        <v>3755</v>
      </c>
      <c r="B12239" s="38">
        <v>76041.0</v>
      </c>
      <c r="C12239" s="38" t="s">
        <v>16396</v>
      </c>
      <c r="D12239" s="38" t="str">
        <f>IFERROR(__xludf.DUMMYFUNCTION("REGEXREPLACE(C12239,""-\d+(.*)|--\d+(.*)"","""")"),"AUTRETOT")</f>
        <v>AUTRETOT</v>
      </c>
      <c r="E12239" s="38" t="s">
        <v>133</v>
      </c>
      <c r="F12239" s="38" t="s">
        <v>134</v>
      </c>
      <c r="G12239" s="49" t="str">
        <f t="shared" si="1"/>
        <v>76190</v>
      </c>
      <c r="H12239" s="49">
        <f t="shared" si="2"/>
        <v>76041</v>
      </c>
    </row>
    <row r="12240">
      <c r="A12240" s="48" t="s">
        <v>9436</v>
      </c>
      <c r="B12240" s="38">
        <v>63435.0</v>
      </c>
      <c r="C12240" s="38" t="s">
        <v>16397</v>
      </c>
      <c r="D12240" s="38" t="str">
        <f>IFERROR(__xludf.DUMMYFUNCTION("REGEXREPLACE(C12240,""-\d+(.*)|--\d+(.*)"","""")"),"TOURZEL-RONZIERES")</f>
        <v>TOURZEL-RONZIERES</v>
      </c>
      <c r="E12240" s="38" t="s">
        <v>353</v>
      </c>
      <c r="F12240" s="38" t="s">
        <v>161</v>
      </c>
      <c r="G12240" s="49" t="str">
        <f t="shared" si="1"/>
        <v>63320</v>
      </c>
      <c r="H12240" s="49">
        <f t="shared" si="2"/>
        <v>63435</v>
      </c>
    </row>
    <row r="12241">
      <c r="A12241" s="48" t="s">
        <v>9006</v>
      </c>
      <c r="B12241" s="38">
        <v>67138.0</v>
      </c>
      <c r="C12241" s="38" t="s">
        <v>16398</v>
      </c>
      <c r="D12241" s="38" t="str">
        <f>IFERROR(__xludf.DUMMYFUNCTION("REGEXREPLACE(C12241,""-\d+(.*)|--\d+(.*)"","""")"),"FESSENHEIM-LE-BAS")</f>
        <v>FESSENHEIM-LE-BAS</v>
      </c>
      <c r="E12241" s="38" t="s">
        <v>210</v>
      </c>
      <c r="F12241" s="38" t="s">
        <v>151</v>
      </c>
      <c r="G12241" s="49" t="str">
        <f t="shared" si="1"/>
        <v>67117</v>
      </c>
      <c r="H12241" s="49">
        <f t="shared" si="2"/>
        <v>67138</v>
      </c>
    </row>
    <row r="12242">
      <c r="A12242" s="48" t="s">
        <v>3125</v>
      </c>
      <c r="B12242" s="38">
        <v>12263.0</v>
      </c>
      <c r="C12242" s="38" t="s">
        <v>16399</v>
      </c>
      <c r="D12242" s="38" t="str">
        <f>IFERROR(__xludf.DUMMYFUNCTION("REGEXREPLACE(C12242,""-\d+(.*)|--\d+(.*)"","""")"),"SAVIGNAC")</f>
        <v>SAVIGNAC</v>
      </c>
      <c r="E12242" s="38" t="s">
        <v>465</v>
      </c>
      <c r="F12242" s="38" t="s">
        <v>94</v>
      </c>
      <c r="G12242" s="49" t="str">
        <f t="shared" si="1"/>
        <v>12200</v>
      </c>
      <c r="H12242" s="49">
        <f t="shared" si="2"/>
        <v>12263</v>
      </c>
    </row>
    <row r="12243">
      <c r="A12243" s="48" t="s">
        <v>217</v>
      </c>
      <c r="B12243" s="38">
        <v>58054.0</v>
      </c>
      <c r="C12243" s="38" t="s">
        <v>16400</v>
      </c>
      <c r="D12243" s="38" t="str">
        <f>IFERROR(__xludf.DUMMYFUNCTION("REGEXREPLACE(C12243,""-\d+(.*)|--\d+(.*)"","""")"),"CHAMPLIN")</f>
        <v>CHAMPLIN</v>
      </c>
      <c r="E12243" s="38" t="s">
        <v>219</v>
      </c>
      <c r="F12243" s="38" t="s">
        <v>106</v>
      </c>
      <c r="G12243" s="49" t="str">
        <f t="shared" si="1"/>
        <v>58700</v>
      </c>
      <c r="H12243" s="49">
        <f t="shared" si="2"/>
        <v>58054</v>
      </c>
    </row>
    <row r="12244">
      <c r="A12244" s="48" t="s">
        <v>2820</v>
      </c>
      <c r="B12244" s="38">
        <v>2673.0</v>
      </c>
      <c r="C12244" s="38" t="s">
        <v>16401</v>
      </c>
      <c r="D12244" s="38" t="str">
        <f>IFERROR(__xludf.DUMMYFUNCTION("REGEXREPLACE(C12244,""-\d+(.*)|--\d+(.*)"","""")"),"SAINT-CHRISTOPHE-A-BERRY")</f>
        <v>SAINT-CHRISTOPHE-A-BERRY</v>
      </c>
      <c r="E12244" s="38" t="s">
        <v>191</v>
      </c>
      <c r="F12244" s="38" t="s">
        <v>113</v>
      </c>
      <c r="G12244" s="49" t="str">
        <f t="shared" si="1"/>
        <v>02290</v>
      </c>
      <c r="H12244" s="49" t="str">
        <f t="shared" si="2"/>
        <v>02673</v>
      </c>
    </row>
    <row r="12245">
      <c r="A12245" s="48" t="s">
        <v>2276</v>
      </c>
      <c r="B12245" s="38">
        <v>47121.0</v>
      </c>
      <c r="C12245" s="38" t="s">
        <v>16402</v>
      </c>
      <c r="D12245" s="38" t="str">
        <f>IFERROR(__xludf.DUMMYFUNCTION("REGEXREPLACE(C12245,""-\d+(.*)|--\d+(.*)"","""")"),"LABASTIDE-CASTEL-AMOUROUX")</f>
        <v>LABASTIDE-CASTEL-AMOUROUX</v>
      </c>
      <c r="E12245" s="38" t="s">
        <v>251</v>
      </c>
      <c r="F12245" s="38" t="s">
        <v>252</v>
      </c>
      <c r="G12245" s="49" t="str">
        <f t="shared" si="1"/>
        <v>47250</v>
      </c>
      <c r="H12245" s="49">
        <f t="shared" si="2"/>
        <v>47121</v>
      </c>
    </row>
    <row r="12246">
      <c r="A12246" s="48" t="s">
        <v>9231</v>
      </c>
      <c r="B12246" s="38">
        <v>76349.0</v>
      </c>
      <c r="C12246" s="38" t="s">
        <v>16403</v>
      </c>
      <c r="D12246" s="38" t="str">
        <f>IFERROR(__xludf.DUMMYFUNCTION("REGEXREPLACE(C12246,""-\d+(.*)|--\d+(.*)"","""")"),"HAUTOT-SUR-MER")</f>
        <v>HAUTOT-SUR-MER</v>
      </c>
      <c r="E12246" s="38" t="s">
        <v>133</v>
      </c>
      <c r="F12246" s="38" t="s">
        <v>134</v>
      </c>
      <c r="G12246" s="49" t="str">
        <f t="shared" si="1"/>
        <v>76550</v>
      </c>
      <c r="H12246" s="49">
        <f t="shared" si="2"/>
        <v>76349</v>
      </c>
    </row>
    <row r="12247">
      <c r="A12247" s="48" t="s">
        <v>2477</v>
      </c>
      <c r="B12247" s="38">
        <v>76553.0</v>
      </c>
      <c r="C12247" s="38" t="s">
        <v>16404</v>
      </c>
      <c r="D12247" s="38" t="str">
        <f>IFERROR(__xludf.DUMMYFUNCTION("REGEXREPLACE(C12247,""-\d+(.*)|--\d+(.*)"","""")"),"SAINTE-AGATHE-D'ALIERMONT")</f>
        <v>SAINTE-AGATHE-D'ALIERMONT</v>
      </c>
      <c r="E12247" s="38" t="s">
        <v>133</v>
      </c>
      <c r="F12247" s="38" t="s">
        <v>134</v>
      </c>
      <c r="G12247" s="49" t="str">
        <f t="shared" si="1"/>
        <v>76660</v>
      </c>
      <c r="H12247" s="49">
        <f t="shared" si="2"/>
        <v>76553</v>
      </c>
    </row>
    <row r="12248">
      <c r="A12248" s="48" t="s">
        <v>7396</v>
      </c>
      <c r="B12248" s="38">
        <v>60464.0</v>
      </c>
      <c r="C12248" s="38" t="s">
        <v>14253</v>
      </c>
      <c r="D12248" s="38" t="str">
        <f>IFERROR(__xludf.DUMMYFUNCTION("REGEXREPLACE(C12248,""-\d+(.*)|--\d+(.*)"","""")"),"NOINTEL")</f>
        <v>NOINTEL</v>
      </c>
      <c r="E12248" s="38" t="s">
        <v>112</v>
      </c>
      <c r="F12248" s="38" t="s">
        <v>113</v>
      </c>
      <c r="G12248" s="49" t="str">
        <f t="shared" si="1"/>
        <v>60840</v>
      </c>
      <c r="H12248" s="49">
        <f t="shared" si="2"/>
        <v>60464</v>
      </c>
    </row>
    <row r="12249">
      <c r="A12249" s="48" t="s">
        <v>2159</v>
      </c>
      <c r="B12249" s="38">
        <v>57007.0</v>
      </c>
      <c r="C12249" s="38" t="s">
        <v>16405</v>
      </c>
      <c r="D12249" s="38" t="str">
        <f>IFERROR(__xludf.DUMMYFUNCTION("REGEXREPLACE(C12249,""-\d+(.*)|--\d+(.*)"","""")"),"ADAINCOURT")</f>
        <v>ADAINCOURT</v>
      </c>
      <c r="E12249" s="38" t="s">
        <v>303</v>
      </c>
      <c r="F12249" s="38" t="s">
        <v>195</v>
      </c>
      <c r="G12249" s="49" t="str">
        <f t="shared" si="1"/>
        <v>57580</v>
      </c>
      <c r="H12249" s="49">
        <f t="shared" si="2"/>
        <v>57007</v>
      </c>
    </row>
    <row r="12250">
      <c r="A12250" s="48" t="s">
        <v>2779</v>
      </c>
      <c r="B12250" s="38">
        <v>80270.0</v>
      </c>
      <c r="C12250" s="38" t="s">
        <v>16406</v>
      </c>
      <c r="D12250" s="38" t="str">
        <f>IFERROR(__xludf.DUMMYFUNCTION("REGEXREPLACE(C12250,""-\d+(.*)|--\d+(.*)"","""")"),"EPECAMPS")</f>
        <v>EPECAMPS</v>
      </c>
      <c r="E12250" s="38" t="s">
        <v>224</v>
      </c>
      <c r="F12250" s="38" t="s">
        <v>113</v>
      </c>
      <c r="G12250" s="49" t="str">
        <f t="shared" si="1"/>
        <v>80370</v>
      </c>
      <c r="H12250" s="49">
        <f t="shared" si="2"/>
        <v>80270</v>
      </c>
    </row>
    <row r="12251">
      <c r="A12251" s="48" t="s">
        <v>4044</v>
      </c>
      <c r="B12251" s="38">
        <v>52411.0</v>
      </c>
      <c r="C12251" s="38" t="s">
        <v>16407</v>
      </c>
      <c r="D12251" s="38" t="str">
        <f>IFERROR(__xludf.DUMMYFUNCTION("REGEXREPLACE(C12251,""-\d+(.*)|--\d+(.*)"","""")"),"PUELLEMONTIER")</f>
        <v>PUELLEMONTIER</v>
      </c>
      <c r="E12251" s="38" t="s">
        <v>234</v>
      </c>
      <c r="F12251" s="38" t="s">
        <v>130</v>
      </c>
      <c r="G12251" s="49" t="str">
        <f t="shared" si="1"/>
        <v>52220</v>
      </c>
      <c r="H12251" s="49">
        <f t="shared" si="2"/>
        <v>52411</v>
      </c>
    </row>
    <row r="12252">
      <c r="A12252" s="48" t="s">
        <v>4056</v>
      </c>
      <c r="B12252" s="38">
        <v>16376.0</v>
      </c>
      <c r="C12252" s="38" t="s">
        <v>16408</v>
      </c>
      <c r="D12252" s="38" t="str">
        <f>IFERROR(__xludf.DUMMYFUNCTION("REGEXREPLACE(C12252,""-\d+(.*)|--\d+(.*)"","""")"),"SURIS")</f>
        <v>SURIS</v>
      </c>
      <c r="E12252" s="38" t="s">
        <v>429</v>
      </c>
      <c r="F12252" s="38" t="s">
        <v>338</v>
      </c>
      <c r="G12252" s="49" t="str">
        <f t="shared" si="1"/>
        <v>16270</v>
      </c>
      <c r="H12252" s="49">
        <f t="shared" si="2"/>
        <v>16376</v>
      </c>
    </row>
    <row r="12253">
      <c r="A12253" s="48" t="s">
        <v>1027</v>
      </c>
      <c r="B12253" s="38">
        <v>1286.0</v>
      </c>
      <c r="C12253" s="38" t="s">
        <v>16409</v>
      </c>
      <c r="D12253" s="38" t="str">
        <f>IFERROR(__xludf.DUMMYFUNCTION("REGEXREPLACE(C12253,""-\d+(.*)|--\d+(.*)"","""")"),"PARVES")</f>
        <v>PARVES</v>
      </c>
      <c r="E12253" s="38" t="s">
        <v>255</v>
      </c>
      <c r="F12253" s="38" t="s">
        <v>102</v>
      </c>
      <c r="G12253" s="49" t="str">
        <f t="shared" si="1"/>
        <v>01300</v>
      </c>
      <c r="H12253" s="49" t="str">
        <f t="shared" si="2"/>
        <v>01286</v>
      </c>
    </row>
    <row r="12254">
      <c r="A12254" s="48" t="s">
        <v>16410</v>
      </c>
      <c r="B12254" s="38">
        <v>85194.0</v>
      </c>
      <c r="C12254" s="38" t="s">
        <v>16411</v>
      </c>
      <c r="D12254" s="38" t="str">
        <f>IFERROR(__xludf.DUMMYFUNCTION("REGEXREPLACE(C12254,""-\d+(.*)|--\d+(.*)"","""")"),"LES SABLES-D'OLONNE")</f>
        <v>LES SABLES-D'OLONNE</v>
      </c>
      <c r="E12254" s="38" t="s">
        <v>179</v>
      </c>
      <c r="F12254" s="38" t="s">
        <v>180</v>
      </c>
      <c r="G12254" s="49" t="str">
        <f t="shared" si="1"/>
        <v>85100</v>
      </c>
      <c r="H12254" s="49">
        <f t="shared" si="2"/>
        <v>85194</v>
      </c>
    </row>
    <row r="12255">
      <c r="A12255" s="48" t="s">
        <v>4450</v>
      </c>
      <c r="B12255" s="38">
        <v>34052.0</v>
      </c>
      <c r="C12255" s="38" t="s">
        <v>16412</v>
      </c>
      <c r="D12255" s="38" t="str">
        <f>IFERROR(__xludf.DUMMYFUNCTION("REGEXREPLACE(C12255,""-\d+(.*)|--\d+(.*)"","""")"),"CAPESTANG")</f>
        <v>CAPESTANG</v>
      </c>
      <c r="E12255" s="38" t="s">
        <v>118</v>
      </c>
      <c r="F12255" s="38" t="s">
        <v>119</v>
      </c>
      <c r="G12255" s="49" t="str">
        <f t="shared" si="1"/>
        <v>34310</v>
      </c>
      <c r="H12255" s="49">
        <f t="shared" si="2"/>
        <v>34052</v>
      </c>
    </row>
    <row r="12256">
      <c r="A12256" s="48" t="s">
        <v>5846</v>
      </c>
      <c r="B12256" s="38">
        <v>60005.0</v>
      </c>
      <c r="C12256" s="38" t="s">
        <v>16413</v>
      </c>
      <c r="D12256" s="38" t="str">
        <f>IFERROR(__xludf.DUMMYFUNCTION("REGEXREPLACE(C12256,""-\d+(.*)|--\d+(.*)"","""")"),"ACY-EN-MULTIEN")</f>
        <v>ACY-EN-MULTIEN</v>
      </c>
      <c r="E12256" s="38" t="s">
        <v>112</v>
      </c>
      <c r="F12256" s="38" t="s">
        <v>113</v>
      </c>
      <c r="G12256" s="49" t="str">
        <f t="shared" si="1"/>
        <v>60620</v>
      </c>
      <c r="H12256" s="49">
        <f t="shared" si="2"/>
        <v>60005</v>
      </c>
    </row>
    <row r="12257">
      <c r="A12257" s="48" t="s">
        <v>3532</v>
      </c>
      <c r="B12257" s="38">
        <v>2732.0</v>
      </c>
      <c r="C12257" s="38" t="s">
        <v>16414</v>
      </c>
      <c r="D12257" s="38" t="str">
        <f>IFERROR(__xludf.DUMMYFUNCTION("REGEXREPLACE(C12257,""-\d+(.*)|--\d+(.*)"","""")"),"SURFONTAINE")</f>
        <v>SURFONTAINE</v>
      </c>
      <c r="E12257" s="38" t="s">
        <v>191</v>
      </c>
      <c r="F12257" s="38" t="s">
        <v>113</v>
      </c>
      <c r="G12257" s="49" t="str">
        <f t="shared" si="1"/>
        <v>02240</v>
      </c>
      <c r="H12257" s="49" t="str">
        <f t="shared" si="2"/>
        <v>02732</v>
      </c>
    </row>
    <row r="12258">
      <c r="A12258" s="48" t="s">
        <v>12589</v>
      </c>
      <c r="B12258" s="38">
        <v>1305.0</v>
      </c>
      <c r="C12258" s="38" t="s">
        <v>16415</v>
      </c>
      <c r="D12258" s="38" t="str">
        <f>IFERROR(__xludf.DUMMYFUNCTION("REGEXREPLACE(C12258,""-\d+(.*)|--\d+(.*)"","""")"),"PONT-DE-VAUX")</f>
        <v>PONT-DE-VAUX</v>
      </c>
      <c r="E12258" s="38" t="s">
        <v>255</v>
      </c>
      <c r="F12258" s="38" t="s">
        <v>102</v>
      </c>
      <c r="G12258" s="49" t="str">
        <f t="shared" si="1"/>
        <v>01190</v>
      </c>
      <c r="H12258" s="49" t="str">
        <f t="shared" si="2"/>
        <v>01305</v>
      </c>
    </row>
    <row r="12259">
      <c r="A12259" s="48" t="s">
        <v>1728</v>
      </c>
      <c r="B12259" s="38">
        <v>45177.0</v>
      </c>
      <c r="C12259" s="38" t="s">
        <v>9130</v>
      </c>
      <c r="D12259" s="38" t="str">
        <f>IFERROR(__xludf.DUMMYFUNCTION("REGEXREPLACE(C12259,""-\d+(.*)|--\d+(.*)"","""")"),"LAAS")</f>
        <v>LAAS</v>
      </c>
      <c r="E12259" s="38" t="s">
        <v>122</v>
      </c>
      <c r="F12259" s="38" t="s">
        <v>123</v>
      </c>
      <c r="G12259" s="49" t="str">
        <f t="shared" si="1"/>
        <v>45300</v>
      </c>
      <c r="H12259" s="49">
        <f t="shared" si="2"/>
        <v>45177</v>
      </c>
    </row>
    <row r="12260">
      <c r="A12260" s="48" t="s">
        <v>7592</v>
      </c>
      <c r="B12260" s="38">
        <v>86268.0</v>
      </c>
      <c r="C12260" s="38" t="s">
        <v>16416</v>
      </c>
      <c r="D12260" s="38" t="str">
        <f>IFERROR(__xludf.DUMMYFUNCTION("REGEXREPLACE(C12260,""-\d+(.*)|--\d+(.*)"","""")"),"TERCE")</f>
        <v>TERCE</v>
      </c>
      <c r="E12260" s="38" t="s">
        <v>529</v>
      </c>
      <c r="F12260" s="38" t="s">
        <v>338</v>
      </c>
      <c r="G12260" s="49" t="str">
        <f t="shared" si="1"/>
        <v>86800</v>
      </c>
      <c r="H12260" s="49">
        <f t="shared" si="2"/>
        <v>86268</v>
      </c>
    </row>
    <row r="12261">
      <c r="A12261" s="48" t="s">
        <v>4521</v>
      </c>
      <c r="B12261" s="38">
        <v>5045.0</v>
      </c>
      <c r="C12261" s="38" t="s">
        <v>16417</v>
      </c>
      <c r="D12261" s="38" t="str">
        <f>IFERROR(__xludf.DUMMYFUNCTION("REGEXREPLACE(C12261,""-\d+(.*)|--\d+(.*)"","""")"),"CROTS")</f>
        <v>CROTS</v>
      </c>
      <c r="E12261" s="38" t="s">
        <v>706</v>
      </c>
      <c r="F12261" s="38" t="s">
        <v>228</v>
      </c>
      <c r="G12261" s="49" t="str">
        <f t="shared" si="1"/>
        <v>05200</v>
      </c>
      <c r="H12261" s="49" t="str">
        <f t="shared" si="2"/>
        <v>05045</v>
      </c>
    </row>
    <row r="12262">
      <c r="A12262" s="48" t="s">
        <v>16418</v>
      </c>
      <c r="B12262" s="38">
        <v>59317.0</v>
      </c>
      <c r="C12262" s="38" t="s">
        <v>16419</v>
      </c>
      <c r="D12262" s="38" t="str">
        <f>IFERROR(__xludf.DUMMYFUNCTION("REGEXREPLACE(C12262,""-\d+(.*)|--\d+(.*)"","""")"),"HOUPLINES")</f>
        <v>HOUPLINES</v>
      </c>
      <c r="E12262" s="38" t="s">
        <v>85</v>
      </c>
      <c r="F12262" s="38" t="s">
        <v>86</v>
      </c>
      <c r="G12262" s="49" t="str">
        <f t="shared" si="1"/>
        <v>59116</v>
      </c>
      <c r="H12262" s="49">
        <f t="shared" si="2"/>
        <v>59317</v>
      </c>
    </row>
    <row r="12263">
      <c r="A12263" s="48" t="s">
        <v>7802</v>
      </c>
      <c r="B12263" s="38">
        <v>35031.0</v>
      </c>
      <c r="C12263" s="38" t="s">
        <v>16420</v>
      </c>
      <c r="D12263" s="38" t="str">
        <f>IFERROR(__xludf.DUMMYFUNCTION("REGEXREPLACE(C12263,""-\d+(.*)|--\d+(.*)"","""")"),"LA BOUEXIERE")</f>
        <v>LA BOUEXIERE</v>
      </c>
      <c r="E12263" s="38" t="s">
        <v>347</v>
      </c>
      <c r="F12263" s="38" t="s">
        <v>90</v>
      </c>
      <c r="G12263" s="49" t="str">
        <f t="shared" si="1"/>
        <v>35340</v>
      </c>
      <c r="H12263" s="49">
        <f t="shared" si="2"/>
        <v>35031</v>
      </c>
    </row>
    <row r="12264">
      <c r="A12264" s="48" t="s">
        <v>8806</v>
      </c>
      <c r="B12264" s="38">
        <v>5148.0</v>
      </c>
      <c r="C12264" s="38" t="s">
        <v>16421</v>
      </c>
      <c r="D12264" s="38" t="str">
        <f>IFERROR(__xludf.DUMMYFUNCTION("REGEXREPLACE(C12264,""-\d+(.*)|--\d+(.*)"","""")"),"SAINT-LAURENT-DU-CROS")</f>
        <v>SAINT-LAURENT-DU-CROS</v>
      </c>
      <c r="E12264" s="38" t="s">
        <v>706</v>
      </c>
      <c r="F12264" s="38" t="s">
        <v>228</v>
      </c>
      <c r="G12264" s="49" t="str">
        <f t="shared" si="1"/>
        <v>05500</v>
      </c>
      <c r="H12264" s="49" t="str">
        <f t="shared" si="2"/>
        <v>05148</v>
      </c>
    </row>
    <row r="12265">
      <c r="A12265" s="48" t="s">
        <v>4314</v>
      </c>
      <c r="B12265" s="38">
        <v>7099.0</v>
      </c>
      <c r="C12265" s="38" t="s">
        <v>16422</v>
      </c>
      <c r="D12265" s="38" t="str">
        <f>IFERROR(__xludf.DUMMYFUNCTION("REGEXREPLACE(C12265,""-\d+(.*)|--\d+(.*)"","""")"),"GRAS")</f>
        <v>GRAS</v>
      </c>
      <c r="E12265" s="38" t="s">
        <v>144</v>
      </c>
      <c r="F12265" s="38" t="s">
        <v>102</v>
      </c>
      <c r="G12265" s="49" t="str">
        <f t="shared" si="1"/>
        <v>07700</v>
      </c>
      <c r="H12265" s="49" t="str">
        <f t="shared" si="2"/>
        <v>07099</v>
      </c>
    </row>
    <row r="12266">
      <c r="A12266" s="48" t="s">
        <v>3122</v>
      </c>
      <c r="B12266" s="38">
        <v>57201.0</v>
      </c>
      <c r="C12266" s="38" t="s">
        <v>16423</v>
      </c>
      <c r="D12266" s="38" t="str">
        <f>IFERROR(__xludf.DUMMYFUNCTION("REGEXREPLACE(C12266,""-\d+(.*)|--\d+(.*)"","""")"),"ETTING")</f>
        <v>ETTING</v>
      </c>
      <c r="E12266" s="38" t="s">
        <v>303</v>
      </c>
      <c r="F12266" s="38" t="s">
        <v>195</v>
      </c>
      <c r="G12266" s="49" t="str">
        <f t="shared" si="1"/>
        <v>57412</v>
      </c>
      <c r="H12266" s="49">
        <f t="shared" si="2"/>
        <v>57201</v>
      </c>
    </row>
    <row r="12267">
      <c r="A12267" s="48" t="s">
        <v>4499</v>
      </c>
      <c r="B12267" s="38">
        <v>25500.0</v>
      </c>
      <c r="C12267" s="38" t="s">
        <v>16424</v>
      </c>
      <c r="D12267" s="38" t="str">
        <f>IFERROR(__xludf.DUMMYFUNCTION("REGEXREPLACE(C12267,""-\d+(.*)|--\d+(.*)"","""")"),"RONCHAUX")</f>
        <v>RONCHAUX</v>
      </c>
      <c r="E12267" s="38" t="s">
        <v>213</v>
      </c>
      <c r="F12267" s="38" t="s">
        <v>214</v>
      </c>
      <c r="G12267" s="49" t="str">
        <f t="shared" si="1"/>
        <v>25440</v>
      </c>
      <c r="H12267" s="49">
        <f t="shared" si="2"/>
        <v>25500</v>
      </c>
    </row>
    <row r="12268">
      <c r="A12268" s="48" t="s">
        <v>1132</v>
      </c>
      <c r="B12268" s="38">
        <v>2432.0</v>
      </c>
      <c r="C12268" s="38" t="s">
        <v>16425</v>
      </c>
      <c r="D12268" s="38" t="str">
        <f>IFERROR(__xludf.DUMMYFUNCTION("REGEXREPLACE(C12268,""-\d+(.*)|--\d+(.*)"","""")"),"LIME")</f>
        <v>LIME</v>
      </c>
      <c r="E12268" s="38" t="s">
        <v>191</v>
      </c>
      <c r="F12268" s="38" t="s">
        <v>113</v>
      </c>
      <c r="G12268" s="49" t="str">
        <f t="shared" si="1"/>
        <v>02220</v>
      </c>
      <c r="H12268" s="49" t="str">
        <f t="shared" si="2"/>
        <v>02432</v>
      </c>
    </row>
    <row r="12269">
      <c r="A12269" s="48" t="s">
        <v>4437</v>
      </c>
      <c r="B12269" s="38">
        <v>90004.0</v>
      </c>
      <c r="C12269" s="38" t="s">
        <v>16426</v>
      </c>
      <c r="D12269" s="38" t="str">
        <f>IFERROR(__xludf.DUMMYFUNCTION("REGEXREPLACE(C12269,""-\d+(.*)|--\d+(.*)"","""")"),"ARGIESANS")</f>
        <v>ARGIESANS</v>
      </c>
      <c r="E12269" s="38" t="s">
        <v>1283</v>
      </c>
      <c r="F12269" s="38" t="s">
        <v>214</v>
      </c>
      <c r="G12269" s="49" t="str">
        <f t="shared" si="1"/>
        <v>90800</v>
      </c>
      <c r="H12269" s="49">
        <f t="shared" si="2"/>
        <v>90004</v>
      </c>
    </row>
    <row r="12270">
      <c r="A12270" s="48" t="s">
        <v>2302</v>
      </c>
      <c r="B12270" s="38">
        <v>47299.0</v>
      </c>
      <c r="C12270" s="38" t="s">
        <v>16427</v>
      </c>
      <c r="D12270" s="38" t="str">
        <f>IFERROR(__xludf.DUMMYFUNCTION("REGEXREPLACE(C12270,""-\d+(.*)|--\d+(.*)"","""")"),"SERIGNAC-PEBOUDOU")</f>
        <v>SERIGNAC-PEBOUDOU</v>
      </c>
      <c r="E12270" s="38" t="s">
        <v>251</v>
      </c>
      <c r="F12270" s="38" t="s">
        <v>252</v>
      </c>
      <c r="G12270" s="49" t="str">
        <f t="shared" si="1"/>
        <v>47410</v>
      </c>
      <c r="H12270" s="49">
        <f t="shared" si="2"/>
        <v>47299</v>
      </c>
    </row>
    <row r="12271">
      <c r="A12271" s="48" t="s">
        <v>1262</v>
      </c>
      <c r="B12271" s="38">
        <v>11399.0</v>
      </c>
      <c r="C12271" s="38" t="s">
        <v>16428</v>
      </c>
      <c r="D12271" s="38" t="str">
        <f>IFERROR(__xludf.DUMMYFUNCTION("REGEXREPLACE(C12271,""-\d+(.*)|--\d+(.*)"","""")"),"TREVILLE")</f>
        <v>TREVILLE</v>
      </c>
      <c r="E12271" s="38" t="s">
        <v>278</v>
      </c>
      <c r="F12271" s="38" t="s">
        <v>119</v>
      </c>
      <c r="G12271" s="49" t="str">
        <f t="shared" si="1"/>
        <v>11400</v>
      </c>
      <c r="H12271" s="49">
        <f t="shared" si="2"/>
        <v>11399</v>
      </c>
    </row>
    <row r="12272">
      <c r="A12272" s="48" t="s">
        <v>7371</v>
      </c>
      <c r="B12272" s="38">
        <v>17057.0</v>
      </c>
      <c r="C12272" s="38" t="s">
        <v>16429</v>
      </c>
      <c r="D12272" s="38" t="str">
        <f>IFERROR(__xludf.DUMMYFUNCTION("REGEXREPLACE(C12272,""-\d+(.*)|--\d+(.*)"","""")"),"BOUHET")</f>
        <v>BOUHET</v>
      </c>
      <c r="E12272" s="38" t="s">
        <v>488</v>
      </c>
      <c r="F12272" s="38" t="s">
        <v>338</v>
      </c>
      <c r="G12272" s="49" t="str">
        <f t="shared" si="1"/>
        <v>17540</v>
      </c>
      <c r="H12272" s="49">
        <f t="shared" si="2"/>
        <v>17057</v>
      </c>
    </row>
    <row r="12273">
      <c r="A12273" s="48" t="s">
        <v>12958</v>
      </c>
      <c r="B12273" s="38">
        <v>27679.0</v>
      </c>
      <c r="C12273" s="38" t="s">
        <v>16430</v>
      </c>
      <c r="D12273" s="38" t="str">
        <f>IFERROR(__xludf.DUMMYFUNCTION("REGEXREPLACE(C12273,""-\d+(.*)|--\d+(.*)"","""")"),"VERNEUIL-SUR-AVRE")</f>
        <v>VERNEUIL-SUR-AVRE</v>
      </c>
      <c r="E12273" s="38" t="s">
        <v>241</v>
      </c>
      <c r="F12273" s="38" t="s">
        <v>134</v>
      </c>
      <c r="G12273" s="49" t="str">
        <f t="shared" si="1"/>
        <v>27130</v>
      </c>
      <c r="H12273" s="49">
        <f t="shared" si="2"/>
        <v>27679</v>
      </c>
    </row>
    <row r="12274">
      <c r="A12274" s="48" t="s">
        <v>11481</v>
      </c>
      <c r="B12274" s="38">
        <v>33091.0</v>
      </c>
      <c r="C12274" s="38" t="s">
        <v>16431</v>
      </c>
      <c r="D12274" s="38" t="str">
        <f>IFERROR(__xludf.DUMMYFUNCTION("REGEXREPLACE(C12274,""-\d+(.*)|--\d+(.*)"","""")"),"CANTENAC")</f>
        <v>CANTENAC</v>
      </c>
      <c r="E12274" s="38" t="s">
        <v>462</v>
      </c>
      <c r="F12274" s="38" t="s">
        <v>252</v>
      </c>
      <c r="G12274" s="49" t="str">
        <f t="shared" si="1"/>
        <v>33460</v>
      </c>
      <c r="H12274" s="49">
        <f t="shared" si="2"/>
        <v>33091</v>
      </c>
    </row>
    <row r="12275">
      <c r="A12275" s="48" t="s">
        <v>10282</v>
      </c>
      <c r="B12275" s="38">
        <v>81181.0</v>
      </c>
      <c r="C12275" s="38" t="s">
        <v>16432</v>
      </c>
      <c r="D12275" s="38" t="str">
        <f>IFERROR(__xludf.DUMMYFUNCTION("REGEXREPLACE(C12275,""-\d+(.*)|--\d+(.*)"","""")"),"MONTPINIER")</f>
        <v>MONTPINIER</v>
      </c>
      <c r="E12275" s="38" t="s">
        <v>231</v>
      </c>
      <c r="F12275" s="38" t="s">
        <v>94</v>
      </c>
      <c r="G12275" s="49" t="str">
        <f t="shared" si="1"/>
        <v>81440</v>
      </c>
      <c r="H12275" s="49">
        <f t="shared" si="2"/>
        <v>81181</v>
      </c>
    </row>
    <row r="12276">
      <c r="A12276" s="48" t="s">
        <v>1270</v>
      </c>
      <c r="B12276" s="38">
        <v>57615.0</v>
      </c>
      <c r="C12276" s="38" t="s">
        <v>16433</v>
      </c>
      <c r="D12276" s="38" t="str">
        <f>IFERROR(__xludf.DUMMYFUNCTION("REGEXREPLACE(C12276,""-\d+(.*)|--\d+(.*)"","""")"),"SAINT-JEAN-ROHRBACH")</f>
        <v>SAINT-JEAN-ROHRBACH</v>
      </c>
      <c r="E12276" s="38" t="s">
        <v>303</v>
      </c>
      <c r="F12276" s="38" t="s">
        <v>195</v>
      </c>
      <c r="G12276" s="49" t="str">
        <f t="shared" si="1"/>
        <v>57510</v>
      </c>
      <c r="H12276" s="49">
        <f t="shared" si="2"/>
        <v>57615</v>
      </c>
    </row>
    <row r="12277">
      <c r="A12277" s="48" t="s">
        <v>8754</v>
      </c>
      <c r="B12277" s="38">
        <v>84138.0</v>
      </c>
      <c r="C12277" s="38" t="s">
        <v>16434</v>
      </c>
      <c r="D12277" s="38" t="str">
        <f>IFERROR(__xludf.DUMMYFUNCTION("REGEXREPLACE(C12277,""-\d+(.*)|--\d+(.*)"","""")"),"VALREAS")</f>
        <v>VALREAS</v>
      </c>
      <c r="E12277" s="38" t="s">
        <v>1026</v>
      </c>
      <c r="F12277" s="38" t="s">
        <v>228</v>
      </c>
      <c r="G12277" s="49" t="str">
        <f t="shared" si="1"/>
        <v>84600</v>
      </c>
      <c r="H12277" s="49">
        <f t="shared" si="2"/>
        <v>84138</v>
      </c>
    </row>
    <row r="12278">
      <c r="A12278" s="48" t="s">
        <v>3704</v>
      </c>
      <c r="B12278" s="38">
        <v>2148.0</v>
      </c>
      <c r="C12278" s="38" t="s">
        <v>16435</v>
      </c>
      <c r="D12278" s="38" t="str">
        <f>IFERROR(__xludf.DUMMYFUNCTION("REGEXREPLACE(C12278,""-\d+(.*)|--\d+(.*)"","""")"),"CELLES-SUR-AISNE")</f>
        <v>CELLES-SUR-AISNE</v>
      </c>
      <c r="E12278" s="38" t="s">
        <v>191</v>
      </c>
      <c r="F12278" s="38" t="s">
        <v>113</v>
      </c>
      <c r="G12278" s="49" t="str">
        <f t="shared" si="1"/>
        <v>02370</v>
      </c>
      <c r="H12278" s="49" t="str">
        <f t="shared" si="2"/>
        <v>02148</v>
      </c>
    </row>
    <row r="12279">
      <c r="A12279" s="48" t="s">
        <v>16436</v>
      </c>
      <c r="B12279" s="38">
        <v>11221.0</v>
      </c>
      <c r="C12279" s="38" t="s">
        <v>16437</v>
      </c>
      <c r="D12279" s="38" t="str">
        <f>IFERROR(__xludf.DUMMYFUNCTION("REGEXREPLACE(C12279,""-\d+(.*)|--\d+(.*)"","""")"),"LES MARTYS")</f>
        <v>LES MARTYS</v>
      </c>
      <c r="E12279" s="38" t="s">
        <v>278</v>
      </c>
      <c r="F12279" s="38" t="s">
        <v>119</v>
      </c>
      <c r="G12279" s="49" t="str">
        <f t="shared" si="1"/>
        <v>11390</v>
      </c>
      <c r="H12279" s="49">
        <f t="shared" si="2"/>
        <v>11221</v>
      </c>
    </row>
    <row r="12280">
      <c r="A12280" s="48" t="s">
        <v>6197</v>
      </c>
      <c r="B12280" s="38">
        <v>19255.0</v>
      </c>
      <c r="C12280" s="38" t="s">
        <v>16438</v>
      </c>
      <c r="D12280" s="38" t="str">
        <f>IFERROR(__xludf.DUMMYFUNCTION("REGEXREPLACE(C12280,""-\d+(.*)|--\d+(.*)"","""")"),"SEILHAC")</f>
        <v>SEILHAC</v>
      </c>
      <c r="E12280" s="38" t="s">
        <v>271</v>
      </c>
      <c r="F12280" s="38" t="s">
        <v>98</v>
      </c>
      <c r="G12280" s="49" t="str">
        <f t="shared" si="1"/>
        <v>19700</v>
      </c>
      <c r="H12280" s="49">
        <f t="shared" si="2"/>
        <v>19255</v>
      </c>
    </row>
    <row r="12281">
      <c r="A12281" s="48" t="s">
        <v>4793</v>
      </c>
      <c r="B12281" s="38">
        <v>51580.0</v>
      </c>
      <c r="C12281" s="38" t="s">
        <v>16439</v>
      </c>
      <c r="D12281" s="38" t="str">
        <f>IFERROR(__xludf.DUMMYFUNCTION("REGEXREPLACE(C12281,""-\d+(.*)|--\d+(.*)"","""")"),"TREPAIL")</f>
        <v>TREPAIL</v>
      </c>
      <c r="E12281" s="38" t="s">
        <v>129</v>
      </c>
      <c r="F12281" s="38" t="s">
        <v>130</v>
      </c>
      <c r="G12281" s="49" t="str">
        <f t="shared" si="1"/>
        <v>51380</v>
      </c>
      <c r="H12281" s="49">
        <f t="shared" si="2"/>
        <v>51580</v>
      </c>
    </row>
    <row r="12282">
      <c r="A12282" s="48" t="s">
        <v>2510</v>
      </c>
      <c r="B12282" s="38">
        <v>22253.0</v>
      </c>
      <c r="C12282" s="38" t="s">
        <v>16440</v>
      </c>
      <c r="D12282" s="38" t="str">
        <f>IFERROR(__xludf.DUMMYFUNCTION("REGEXREPLACE(C12282,""-\d+(.*)|--\d+(.*)"","""")"),"POULDOURAN")</f>
        <v>POULDOURAN</v>
      </c>
      <c r="E12282" s="38" t="s">
        <v>89</v>
      </c>
      <c r="F12282" s="38" t="s">
        <v>90</v>
      </c>
      <c r="G12282" s="49" t="str">
        <f t="shared" si="1"/>
        <v>22450</v>
      </c>
      <c r="H12282" s="49">
        <f t="shared" si="2"/>
        <v>22253</v>
      </c>
    </row>
    <row r="12283">
      <c r="A12283" s="48" t="s">
        <v>781</v>
      </c>
      <c r="B12283" s="38">
        <v>65020.0</v>
      </c>
      <c r="C12283" s="38" t="s">
        <v>16441</v>
      </c>
      <c r="D12283" s="38" t="str">
        <f>IFERROR(__xludf.DUMMYFUNCTION("REGEXREPLACE(C12283,""-\d+(.*)|--\d+(.*)"","""")"),"ARCIZAC-EZ-ANGLES")</f>
        <v>ARCIZAC-EZ-ANGLES</v>
      </c>
      <c r="E12283" s="38" t="s">
        <v>200</v>
      </c>
      <c r="F12283" s="38" t="s">
        <v>94</v>
      </c>
      <c r="G12283" s="49" t="str">
        <f t="shared" si="1"/>
        <v>65100</v>
      </c>
      <c r="H12283" s="49">
        <f t="shared" si="2"/>
        <v>65020</v>
      </c>
    </row>
    <row r="12284">
      <c r="A12284" s="48" t="s">
        <v>4338</v>
      </c>
      <c r="B12284" s="38">
        <v>70460.0</v>
      </c>
      <c r="C12284" s="38" t="s">
        <v>16127</v>
      </c>
      <c r="D12284" s="38" t="str">
        <f>IFERROR(__xludf.DUMMYFUNCTION("REGEXREPLACE(C12284,""-\d+(.*)|--\d+(.*)"","""")"),"SAINT-BRESSON")</f>
        <v>SAINT-BRESSON</v>
      </c>
      <c r="E12284" s="38" t="s">
        <v>956</v>
      </c>
      <c r="F12284" s="38" t="s">
        <v>214</v>
      </c>
      <c r="G12284" s="49" t="str">
        <f t="shared" si="1"/>
        <v>70280</v>
      </c>
      <c r="H12284" s="49">
        <f t="shared" si="2"/>
        <v>70460</v>
      </c>
    </row>
    <row r="12285">
      <c r="A12285" s="48" t="s">
        <v>2266</v>
      </c>
      <c r="B12285" s="38">
        <v>55557.0</v>
      </c>
      <c r="C12285" s="38" t="s">
        <v>16442</v>
      </c>
      <c r="D12285" s="38" t="str">
        <f>IFERROR(__xludf.DUMMYFUNCTION("REGEXREPLACE(C12285,""-\d+(.*)|--\d+(.*)"","""")"),"VILLE-EN-WOEVRE")</f>
        <v>VILLE-EN-WOEVRE</v>
      </c>
      <c r="E12285" s="38" t="s">
        <v>322</v>
      </c>
      <c r="F12285" s="38" t="s">
        <v>195</v>
      </c>
      <c r="G12285" s="49" t="str">
        <f t="shared" si="1"/>
        <v>55160</v>
      </c>
      <c r="H12285" s="49">
        <f t="shared" si="2"/>
        <v>55557</v>
      </c>
    </row>
    <row r="12286">
      <c r="A12286" s="48" t="s">
        <v>4684</v>
      </c>
      <c r="B12286" s="38">
        <v>91463.0</v>
      </c>
      <c r="C12286" s="38" t="s">
        <v>16443</v>
      </c>
      <c r="D12286" s="38" t="str">
        <f>IFERROR(__xludf.DUMMYFUNCTION("REGEXREPLACE(C12286,""-\d+(.*)|--\d+(.*)"","""")"),"ONCY-SUR-ECOLE")</f>
        <v>ONCY-SUR-ECOLE</v>
      </c>
      <c r="E12286" s="38" t="s">
        <v>756</v>
      </c>
      <c r="F12286" s="38" t="s">
        <v>245</v>
      </c>
      <c r="G12286" s="49" t="str">
        <f t="shared" si="1"/>
        <v>91490</v>
      </c>
      <c r="H12286" s="49">
        <f t="shared" si="2"/>
        <v>91463</v>
      </c>
    </row>
    <row r="12287">
      <c r="A12287" s="48" t="s">
        <v>3448</v>
      </c>
      <c r="B12287" s="38">
        <v>65447.0</v>
      </c>
      <c r="C12287" s="38" t="s">
        <v>16444</v>
      </c>
      <c r="D12287" s="38" t="str">
        <f>IFERROR(__xludf.DUMMYFUNCTION("REGEXREPLACE(C12287,""-\d+(.*)|--\d+(.*)"","""")"),"TOURNAY")</f>
        <v>TOURNAY</v>
      </c>
      <c r="E12287" s="38" t="s">
        <v>200</v>
      </c>
      <c r="F12287" s="38" t="s">
        <v>94</v>
      </c>
      <c r="G12287" s="49" t="str">
        <f t="shared" si="1"/>
        <v>65190</v>
      </c>
      <c r="H12287" s="49">
        <f t="shared" si="2"/>
        <v>65447</v>
      </c>
    </row>
    <row r="12288">
      <c r="A12288" s="48" t="s">
        <v>2666</v>
      </c>
      <c r="B12288" s="38">
        <v>34297.0</v>
      </c>
      <c r="C12288" s="38" t="s">
        <v>16445</v>
      </c>
      <c r="D12288" s="38" t="str">
        <f>IFERROR(__xludf.DUMMYFUNCTION("REGEXREPLACE(C12288,""-\d+(.*)|--\d+(.*)"","""")"),"SAUTEYRARGUES")</f>
        <v>SAUTEYRARGUES</v>
      </c>
      <c r="E12288" s="38" t="s">
        <v>118</v>
      </c>
      <c r="F12288" s="38" t="s">
        <v>119</v>
      </c>
      <c r="G12288" s="49" t="str">
        <f t="shared" si="1"/>
        <v>34270</v>
      </c>
      <c r="H12288" s="49">
        <f t="shared" si="2"/>
        <v>34297</v>
      </c>
    </row>
    <row r="12289">
      <c r="A12289" s="48" t="s">
        <v>2590</v>
      </c>
      <c r="B12289" s="38">
        <v>83016.0</v>
      </c>
      <c r="C12289" s="38" t="s">
        <v>16446</v>
      </c>
      <c r="D12289" s="38" t="str">
        <f>IFERROR(__xludf.DUMMYFUNCTION("REGEXREPLACE(C12289,""-\d+(.*)|--\d+(.*)"","""")"),"LE BEAUSSET")</f>
        <v>LE BEAUSSET</v>
      </c>
      <c r="E12289" s="38" t="s">
        <v>813</v>
      </c>
      <c r="F12289" s="38" t="s">
        <v>228</v>
      </c>
      <c r="G12289" s="49" t="str">
        <f t="shared" si="1"/>
        <v>83330</v>
      </c>
      <c r="H12289" s="49">
        <f t="shared" si="2"/>
        <v>83016</v>
      </c>
    </row>
    <row r="12290">
      <c r="A12290" s="48" t="s">
        <v>4326</v>
      </c>
      <c r="B12290" s="38">
        <v>46217.0</v>
      </c>
      <c r="C12290" s="38" t="s">
        <v>16447</v>
      </c>
      <c r="D12290" s="38" t="str">
        <f>IFERROR(__xludf.DUMMYFUNCTION("REGEXREPLACE(C12290,""-\d+(.*)|--\d+(.*)"","""")"),"PERN")</f>
        <v>PERN</v>
      </c>
      <c r="E12290" s="38" t="s">
        <v>185</v>
      </c>
      <c r="F12290" s="38" t="s">
        <v>94</v>
      </c>
      <c r="G12290" s="49" t="str">
        <f t="shared" si="1"/>
        <v>46170</v>
      </c>
      <c r="H12290" s="49">
        <f t="shared" si="2"/>
        <v>46217</v>
      </c>
    </row>
    <row r="12291">
      <c r="A12291" s="48" t="s">
        <v>9795</v>
      </c>
      <c r="B12291" s="38">
        <v>24189.0</v>
      </c>
      <c r="C12291" s="38" t="s">
        <v>16448</v>
      </c>
      <c r="D12291" s="38" t="str">
        <f>IFERROR(__xludf.DUMMYFUNCTION("REGEXREPLACE(C12291,""-\d+(.*)|--\d+(.*)"","""")"),"FOUGUEYROLLES")</f>
        <v>FOUGUEYROLLES</v>
      </c>
      <c r="E12291" s="38" t="s">
        <v>261</v>
      </c>
      <c r="F12291" s="38" t="s">
        <v>252</v>
      </c>
      <c r="G12291" s="49" t="str">
        <f t="shared" si="1"/>
        <v>33220</v>
      </c>
      <c r="H12291" s="49">
        <f t="shared" si="2"/>
        <v>24189</v>
      </c>
    </row>
    <row r="12292">
      <c r="A12292" s="48" t="s">
        <v>2342</v>
      </c>
      <c r="B12292" s="38">
        <v>11434.0</v>
      </c>
      <c r="C12292" s="38" t="s">
        <v>16449</v>
      </c>
      <c r="D12292" s="38" t="str">
        <f>IFERROR(__xludf.DUMMYFUNCTION("REGEXREPLACE(C12292,""-\d+(.*)|--\d+(.*)"","""")"),"VILLEPINTE")</f>
        <v>VILLEPINTE</v>
      </c>
      <c r="E12292" s="38" t="s">
        <v>278</v>
      </c>
      <c r="F12292" s="38" t="s">
        <v>119</v>
      </c>
      <c r="G12292" s="49" t="str">
        <f t="shared" si="1"/>
        <v>11150</v>
      </c>
      <c r="H12292" s="49">
        <f t="shared" si="2"/>
        <v>11434</v>
      </c>
    </row>
    <row r="12293">
      <c r="A12293" s="48" t="s">
        <v>16450</v>
      </c>
      <c r="B12293" s="38">
        <v>11202.0</v>
      </c>
      <c r="C12293" s="38" t="s">
        <v>16451</v>
      </c>
      <c r="D12293" s="38" t="str">
        <f>IFERROR(__xludf.DUMMYFUNCTION("REGEXREPLACE(C12293,""-\d+(.*)|--\d+(.*)"","""")"),"LEUCATE")</f>
        <v>LEUCATE</v>
      </c>
      <c r="E12293" s="38" t="s">
        <v>278</v>
      </c>
      <c r="F12293" s="38" t="s">
        <v>119</v>
      </c>
      <c r="G12293" s="49" t="str">
        <f t="shared" si="1"/>
        <v>11370</v>
      </c>
      <c r="H12293" s="49">
        <f t="shared" si="2"/>
        <v>11202</v>
      </c>
    </row>
    <row r="12294">
      <c r="A12294" s="48" t="s">
        <v>9451</v>
      </c>
      <c r="B12294" s="38">
        <v>22049.0</v>
      </c>
      <c r="C12294" s="38" t="s">
        <v>16452</v>
      </c>
      <c r="D12294" s="38" t="str">
        <f>IFERROR(__xludf.DUMMYFUNCTION("REGEXREPLACE(C12294,""-\d+(.*)|--\d+(.*)"","""")"),"CREHEN")</f>
        <v>CREHEN</v>
      </c>
      <c r="E12294" s="38" t="s">
        <v>89</v>
      </c>
      <c r="F12294" s="38" t="s">
        <v>90</v>
      </c>
      <c r="G12294" s="49" t="str">
        <f t="shared" si="1"/>
        <v>22130</v>
      </c>
      <c r="H12294" s="49">
        <f t="shared" si="2"/>
        <v>22049</v>
      </c>
    </row>
    <row r="12295">
      <c r="A12295" s="48" t="s">
        <v>4586</v>
      </c>
      <c r="B12295" s="38">
        <v>40138.0</v>
      </c>
      <c r="C12295" s="38" t="s">
        <v>16453</v>
      </c>
      <c r="D12295" s="38" t="str">
        <f>IFERROR(__xludf.DUMMYFUNCTION("REGEXREPLACE(C12295,""-\d+(.*)|--\d+(.*)"","""")"),"LACRABE")</f>
        <v>LACRABE</v>
      </c>
      <c r="E12295" s="38" t="s">
        <v>281</v>
      </c>
      <c r="F12295" s="38" t="s">
        <v>252</v>
      </c>
      <c r="G12295" s="49" t="str">
        <f t="shared" si="1"/>
        <v>40700</v>
      </c>
      <c r="H12295" s="49">
        <f t="shared" si="2"/>
        <v>40138</v>
      </c>
    </row>
    <row r="12296">
      <c r="A12296" s="48" t="s">
        <v>6292</v>
      </c>
      <c r="B12296" s="38">
        <v>63299.0</v>
      </c>
      <c r="C12296" s="38" t="s">
        <v>16454</v>
      </c>
      <c r="D12296" s="38" t="str">
        <f>IFERROR(__xludf.DUMMYFUNCTION("REGEXREPLACE(C12296,""-\d+(.*)|--\d+(.*)"","""")"),"RENTIERES")</f>
        <v>RENTIERES</v>
      </c>
      <c r="E12296" s="38" t="s">
        <v>353</v>
      </c>
      <c r="F12296" s="38" t="s">
        <v>161</v>
      </c>
      <c r="G12296" s="49" t="str">
        <f t="shared" si="1"/>
        <v>63420</v>
      </c>
      <c r="H12296" s="49">
        <f t="shared" si="2"/>
        <v>63299</v>
      </c>
    </row>
    <row r="12297">
      <c r="A12297" s="48" t="s">
        <v>2521</v>
      </c>
      <c r="B12297" s="38">
        <v>28129.0</v>
      </c>
      <c r="C12297" s="38" t="s">
        <v>16455</v>
      </c>
      <c r="D12297" s="38" t="str">
        <f>IFERROR(__xludf.DUMMYFUNCTION("REGEXREPLACE(C12297,""-\d+(.*)|--\d+(.*)"","""")"),"DENONVILLE")</f>
        <v>DENONVILLE</v>
      </c>
      <c r="E12297" s="38" t="s">
        <v>300</v>
      </c>
      <c r="F12297" s="38" t="s">
        <v>123</v>
      </c>
      <c r="G12297" s="49" t="str">
        <f t="shared" si="1"/>
        <v>28700</v>
      </c>
      <c r="H12297" s="49">
        <f t="shared" si="2"/>
        <v>28129</v>
      </c>
    </row>
    <row r="12298">
      <c r="A12298" s="48" t="s">
        <v>3778</v>
      </c>
      <c r="B12298" s="38">
        <v>62279.0</v>
      </c>
      <c r="C12298" s="38" t="s">
        <v>16456</v>
      </c>
      <c r="D12298" s="38" t="str">
        <f>IFERROR(__xludf.DUMMYFUNCTION("REGEXREPLACE(C12298,""-\d+(.*)|--\d+(.*)"","""")"),"DUISANS")</f>
        <v>DUISANS</v>
      </c>
      <c r="E12298" s="38" t="s">
        <v>109</v>
      </c>
      <c r="F12298" s="38" t="s">
        <v>86</v>
      </c>
      <c r="G12298" s="49" t="str">
        <f t="shared" si="1"/>
        <v>62161</v>
      </c>
      <c r="H12298" s="49">
        <f t="shared" si="2"/>
        <v>62279</v>
      </c>
    </row>
    <row r="12299">
      <c r="A12299" s="48" t="s">
        <v>16457</v>
      </c>
      <c r="B12299" s="38">
        <v>57669.0</v>
      </c>
      <c r="C12299" s="38" t="s">
        <v>16458</v>
      </c>
      <c r="D12299" s="38" t="str">
        <f>IFERROR(__xludf.DUMMYFUNCTION("REGEXREPLACE(C12299,""-\d+(.*)|--\d+(.*)"","""")"),"THEDING")</f>
        <v>THEDING</v>
      </c>
      <c r="E12299" s="38" t="s">
        <v>303</v>
      </c>
      <c r="F12299" s="38" t="s">
        <v>195</v>
      </c>
      <c r="G12299" s="49" t="str">
        <f t="shared" si="1"/>
        <v>57450</v>
      </c>
      <c r="H12299" s="49">
        <f t="shared" si="2"/>
        <v>57669</v>
      </c>
    </row>
    <row r="12300">
      <c r="A12300" s="48" t="s">
        <v>4467</v>
      </c>
      <c r="B12300" s="38">
        <v>53229.0</v>
      </c>
      <c r="C12300" s="38" t="s">
        <v>16459</v>
      </c>
      <c r="D12300" s="38" t="str">
        <f>IFERROR(__xludf.DUMMYFUNCTION("REGEXREPLACE(C12300,""-\d+(.*)|--\d+(.*)"","""")"),"SAINT-JEAN-SUR-MAYENNE")</f>
        <v>SAINT-JEAN-SUR-MAYENNE</v>
      </c>
      <c r="E12300" s="38" t="s">
        <v>518</v>
      </c>
      <c r="F12300" s="38" t="s">
        <v>180</v>
      </c>
      <c r="G12300" s="49" t="str">
        <f t="shared" si="1"/>
        <v>53240</v>
      </c>
      <c r="H12300" s="49">
        <f t="shared" si="2"/>
        <v>53229</v>
      </c>
    </row>
    <row r="12301">
      <c r="A12301" s="48" t="s">
        <v>15556</v>
      </c>
      <c r="B12301" s="38">
        <v>86184.0</v>
      </c>
      <c r="C12301" s="38" t="s">
        <v>16460</v>
      </c>
      <c r="D12301" s="38" t="str">
        <f>IFERROR(__xludf.DUMMYFUNCTION("REGEXREPLACE(C12301,""-\d+(.*)|--\d+(.*)"","""")"),"OUZILLY")</f>
        <v>OUZILLY</v>
      </c>
      <c r="E12301" s="38" t="s">
        <v>529</v>
      </c>
      <c r="F12301" s="38" t="s">
        <v>338</v>
      </c>
      <c r="G12301" s="49" t="str">
        <f t="shared" si="1"/>
        <v>86380</v>
      </c>
      <c r="H12301" s="49">
        <f t="shared" si="2"/>
        <v>86184</v>
      </c>
    </row>
    <row r="12302">
      <c r="A12302" s="48" t="s">
        <v>1077</v>
      </c>
      <c r="B12302" s="38">
        <v>25461.0</v>
      </c>
      <c r="C12302" s="38" t="s">
        <v>16461</v>
      </c>
      <c r="D12302" s="38" t="str">
        <f>IFERROR(__xludf.DUMMYFUNCTION("REGEXREPLACE(C12302,""-\d+(.*)|--\d+(.*)"","""")"),"POMPIERRE-SUR-DOUBS")</f>
        <v>POMPIERRE-SUR-DOUBS</v>
      </c>
      <c r="E12302" s="38" t="s">
        <v>213</v>
      </c>
      <c r="F12302" s="38" t="s">
        <v>214</v>
      </c>
      <c r="G12302" s="49" t="str">
        <f t="shared" si="1"/>
        <v>25340</v>
      </c>
      <c r="H12302" s="49">
        <f t="shared" si="2"/>
        <v>25461</v>
      </c>
    </row>
    <row r="12303">
      <c r="A12303" s="48" t="s">
        <v>5281</v>
      </c>
      <c r="B12303" s="38">
        <v>25006.0</v>
      </c>
      <c r="C12303" s="38" t="s">
        <v>16462</v>
      </c>
      <c r="D12303" s="38" t="str">
        <f>IFERROR(__xludf.DUMMYFUNCTION("REGEXREPLACE(C12303,""-\d+(.*)|--\d+(.*)"","""")"),"ADAM-LES-PASSAVANT")</f>
        <v>ADAM-LES-PASSAVANT</v>
      </c>
      <c r="E12303" s="38" t="s">
        <v>213</v>
      </c>
      <c r="F12303" s="38" t="s">
        <v>214</v>
      </c>
      <c r="G12303" s="49" t="str">
        <f t="shared" si="1"/>
        <v>25360</v>
      </c>
      <c r="H12303" s="49">
        <f t="shared" si="2"/>
        <v>25006</v>
      </c>
    </row>
    <row r="12304">
      <c r="A12304" s="48" t="s">
        <v>13263</v>
      </c>
      <c r="B12304" s="38">
        <v>50394.0</v>
      </c>
      <c r="C12304" s="38" t="s">
        <v>16463</v>
      </c>
      <c r="D12304" s="38" t="str">
        <f>IFERROR(__xludf.DUMMYFUNCTION("REGEXREPLACE(C12304,""-\d+(.*)|--\d+(.*)"","""")"),"PERIERS")</f>
        <v>PERIERS</v>
      </c>
      <c r="E12304" s="38" t="s">
        <v>157</v>
      </c>
      <c r="F12304" s="38" t="s">
        <v>138</v>
      </c>
      <c r="G12304" s="49" t="str">
        <f t="shared" si="1"/>
        <v>50190</v>
      </c>
      <c r="H12304" s="49">
        <f t="shared" si="2"/>
        <v>50394</v>
      </c>
    </row>
    <row r="12305">
      <c r="A12305" s="48" t="s">
        <v>4412</v>
      </c>
      <c r="B12305" s="38">
        <v>68083.0</v>
      </c>
      <c r="C12305" s="38" t="s">
        <v>16464</v>
      </c>
      <c r="D12305" s="38" t="str">
        <f>IFERROR(__xludf.DUMMYFUNCTION("REGEXREPLACE(C12305,""-\d+(.*)|--\d+(.*)"","""")"),"ESCHBACH-AU-VAL")</f>
        <v>ESCHBACH-AU-VAL</v>
      </c>
      <c r="E12305" s="38" t="s">
        <v>150</v>
      </c>
      <c r="F12305" s="38" t="s">
        <v>151</v>
      </c>
      <c r="G12305" s="49" t="str">
        <f t="shared" si="1"/>
        <v>68140</v>
      </c>
      <c r="H12305" s="49">
        <f t="shared" si="2"/>
        <v>68083</v>
      </c>
    </row>
    <row r="12306">
      <c r="A12306" s="48" t="s">
        <v>3252</v>
      </c>
      <c r="B12306" s="38">
        <v>63003.0</v>
      </c>
      <c r="C12306" s="38" t="s">
        <v>16465</v>
      </c>
      <c r="D12306" s="38" t="str">
        <f>IFERROR(__xludf.DUMMYFUNCTION("REGEXREPLACE(C12306,""-\d+(.*)|--\d+(.*)"","""")"),"AMBERT")</f>
        <v>AMBERT</v>
      </c>
      <c r="E12306" s="38" t="s">
        <v>353</v>
      </c>
      <c r="F12306" s="38" t="s">
        <v>161</v>
      </c>
      <c r="G12306" s="49" t="str">
        <f t="shared" si="1"/>
        <v>63600</v>
      </c>
      <c r="H12306" s="49">
        <f t="shared" si="2"/>
        <v>63003</v>
      </c>
    </row>
    <row r="12307">
      <c r="A12307" s="48" t="s">
        <v>6736</v>
      </c>
      <c r="B12307" s="38">
        <v>31161.0</v>
      </c>
      <c r="C12307" s="38" t="s">
        <v>16466</v>
      </c>
      <c r="D12307" s="38" t="str">
        <f>IFERROR(__xludf.DUMMYFUNCTION("REGEXREPLACE(C12307,""-\d+(.*)|--\d+(.*)"","""")"),"DEYME")</f>
        <v>DEYME</v>
      </c>
      <c r="E12307" s="38" t="s">
        <v>93</v>
      </c>
      <c r="F12307" s="38" t="s">
        <v>94</v>
      </c>
      <c r="G12307" s="49" t="str">
        <f t="shared" si="1"/>
        <v>31450</v>
      </c>
      <c r="H12307" s="49">
        <f t="shared" si="2"/>
        <v>31161</v>
      </c>
    </row>
    <row r="12308">
      <c r="A12308" s="48" t="s">
        <v>466</v>
      </c>
      <c r="B12308" s="38">
        <v>52490.0</v>
      </c>
      <c r="C12308" s="38" t="s">
        <v>16467</v>
      </c>
      <c r="D12308" s="38" t="str">
        <f>IFERROR(__xludf.DUMMYFUNCTION("REGEXREPLACE(C12308,""-\d+(.*)|--\d+(.*)"","""")"),"THONNANCE-LES-JOINVILLE")</f>
        <v>THONNANCE-LES-JOINVILLE</v>
      </c>
      <c r="E12308" s="38" t="s">
        <v>234</v>
      </c>
      <c r="F12308" s="38" t="s">
        <v>130</v>
      </c>
      <c r="G12308" s="49" t="str">
        <f t="shared" si="1"/>
        <v>52300</v>
      </c>
      <c r="H12308" s="49">
        <f t="shared" si="2"/>
        <v>52490</v>
      </c>
    </row>
    <row r="12309">
      <c r="A12309" s="48" t="s">
        <v>3210</v>
      </c>
      <c r="B12309" s="38">
        <v>74282.0</v>
      </c>
      <c r="C12309" s="38" t="s">
        <v>16468</v>
      </c>
      <c r="D12309" s="38" t="str">
        <f>IFERROR(__xludf.DUMMYFUNCTION("REGEXREPLACE(C12309,""-\d+(.*)|--\d+(.*)"","""")"),"THORENS-GLIERES")</f>
        <v>THORENS-GLIERES</v>
      </c>
      <c r="E12309" s="38" t="s">
        <v>319</v>
      </c>
      <c r="F12309" s="38" t="s">
        <v>102</v>
      </c>
      <c r="G12309" s="49" t="str">
        <f t="shared" si="1"/>
        <v>74570</v>
      </c>
      <c r="H12309" s="49">
        <f t="shared" si="2"/>
        <v>74282</v>
      </c>
    </row>
    <row r="12310">
      <c r="A12310" s="48" t="s">
        <v>6316</v>
      </c>
      <c r="B12310" s="38">
        <v>50241.0</v>
      </c>
      <c r="C12310" s="38" t="s">
        <v>16469</v>
      </c>
      <c r="D12310" s="38" t="str">
        <f>IFERROR(__xludf.DUMMYFUNCTION("REGEXREPLACE(C12310,""-\d+(.*)|--\d+(.*)"","""")"),"HEMEVEZ")</f>
        <v>HEMEVEZ</v>
      </c>
      <c r="E12310" s="38" t="s">
        <v>157</v>
      </c>
      <c r="F12310" s="38" t="s">
        <v>138</v>
      </c>
      <c r="G12310" s="49" t="str">
        <f t="shared" si="1"/>
        <v>50700</v>
      </c>
      <c r="H12310" s="49">
        <f t="shared" si="2"/>
        <v>50241</v>
      </c>
    </row>
    <row r="12311">
      <c r="A12311" s="48" t="s">
        <v>3750</v>
      </c>
      <c r="B12311" s="38">
        <v>47023.0</v>
      </c>
      <c r="C12311" s="38" t="s">
        <v>16470</v>
      </c>
      <c r="D12311" s="38" t="str">
        <f>IFERROR(__xludf.DUMMYFUNCTION("REGEXREPLACE(C12311,""-\d+(.*)|--\d+(.*)"","""")"),"BEAUGAS")</f>
        <v>BEAUGAS</v>
      </c>
      <c r="E12311" s="38" t="s">
        <v>251</v>
      </c>
      <c r="F12311" s="38" t="s">
        <v>252</v>
      </c>
      <c r="G12311" s="49" t="str">
        <f t="shared" si="1"/>
        <v>47290</v>
      </c>
      <c r="H12311" s="49">
        <f t="shared" si="2"/>
        <v>47023</v>
      </c>
    </row>
    <row r="12312">
      <c r="A12312" s="48" t="s">
        <v>3009</v>
      </c>
      <c r="B12312" s="38">
        <v>11435.0</v>
      </c>
      <c r="C12312" s="38" t="s">
        <v>16471</v>
      </c>
      <c r="D12312" s="38" t="str">
        <f>IFERROR(__xludf.DUMMYFUNCTION("REGEXREPLACE(C12312,""-\d+(.*)|--\d+(.*)"","""")"),"VILLEROUGE-TERMENES")</f>
        <v>VILLEROUGE-TERMENES</v>
      </c>
      <c r="E12312" s="38" t="s">
        <v>278</v>
      </c>
      <c r="F12312" s="38" t="s">
        <v>119</v>
      </c>
      <c r="G12312" s="49" t="str">
        <f t="shared" si="1"/>
        <v>11330</v>
      </c>
      <c r="H12312" s="49">
        <f t="shared" si="2"/>
        <v>11435</v>
      </c>
    </row>
    <row r="12313">
      <c r="A12313" s="48" t="s">
        <v>3013</v>
      </c>
      <c r="B12313" s="38">
        <v>48153.0</v>
      </c>
      <c r="C12313" s="38" t="s">
        <v>16472</v>
      </c>
      <c r="D12313" s="38" t="str">
        <f>IFERROR(__xludf.DUMMYFUNCTION("REGEXREPLACE(C12313,""-\d+(.*)|--\d+(.*)"","""")"),"SAINT-GAL")</f>
        <v>SAINT-GAL</v>
      </c>
      <c r="E12313" s="38" t="s">
        <v>154</v>
      </c>
      <c r="F12313" s="38" t="s">
        <v>119</v>
      </c>
      <c r="G12313" s="49" t="str">
        <f t="shared" si="1"/>
        <v>48700</v>
      </c>
      <c r="H12313" s="49">
        <f t="shared" si="2"/>
        <v>48153</v>
      </c>
    </row>
    <row r="12314">
      <c r="A12314" s="48" t="s">
        <v>10194</v>
      </c>
      <c r="B12314" s="38">
        <v>19162.0</v>
      </c>
      <c r="C12314" s="38" t="s">
        <v>16473</v>
      </c>
      <c r="D12314" s="38" t="str">
        <f>IFERROR(__xludf.DUMMYFUNCTION("REGEXREPLACE(C12314,""-\d+(.*)|--\d+(.*)"","""")"),"PERPEZAC-LE-NOIR")</f>
        <v>PERPEZAC-LE-NOIR</v>
      </c>
      <c r="E12314" s="38" t="s">
        <v>271</v>
      </c>
      <c r="F12314" s="38" t="s">
        <v>98</v>
      </c>
      <c r="G12314" s="49" t="str">
        <f t="shared" si="1"/>
        <v>19410</v>
      </c>
      <c r="H12314" s="49">
        <f t="shared" si="2"/>
        <v>19162</v>
      </c>
    </row>
    <row r="12315">
      <c r="A12315" s="48" t="s">
        <v>997</v>
      </c>
      <c r="B12315" s="38">
        <v>55100.0</v>
      </c>
      <c r="C12315" s="38" t="s">
        <v>16474</v>
      </c>
      <c r="D12315" s="38" t="str">
        <f>IFERROR(__xludf.DUMMYFUNCTION("REGEXREPLACE(C12315,""-\d+(.*)|--\d+(.*)"","""")"),"CHAMPOUGNY")</f>
        <v>CHAMPOUGNY</v>
      </c>
      <c r="E12315" s="38" t="s">
        <v>322</v>
      </c>
      <c r="F12315" s="38" t="s">
        <v>195</v>
      </c>
      <c r="G12315" s="49" t="str">
        <f t="shared" si="1"/>
        <v>55140</v>
      </c>
      <c r="H12315" s="49">
        <f t="shared" si="2"/>
        <v>55100</v>
      </c>
    </row>
    <row r="12316">
      <c r="A12316" s="48" t="s">
        <v>1018</v>
      </c>
      <c r="B12316" s="38">
        <v>60300.0</v>
      </c>
      <c r="C12316" s="38" t="s">
        <v>16475</v>
      </c>
      <c r="D12316" s="38" t="str">
        <f>IFERROR(__xludf.DUMMYFUNCTION("REGEXREPLACE(C12316,""-\d+(.*)|--\d+(.*)"","""")"),"HARDIVILLERS-EN-VEXIN")</f>
        <v>HARDIVILLERS-EN-VEXIN</v>
      </c>
      <c r="E12316" s="38" t="s">
        <v>112</v>
      </c>
      <c r="F12316" s="38" t="s">
        <v>113</v>
      </c>
      <c r="G12316" s="49" t="str">
        <f t="shared" si="1"/>
        <v>60240</v>
      </c>
      <c r="H12316" s="49">
        <f t="shared" si="2"/>
        <v>60300</v>
      </c>
    </row>
    <row r="12317">
      <c r="A12317" s="48" t="s">
        <v>5513</v>
      </c>
      <c r="B12317" s="38">
        <v>57248.0</v>
      </c>
      <c r="C12317" s="38" t="s">
        <v>16476</v>
      </c>
      <c r="D12317" s="38" t="str">
        <f>IFERROR(__xludf.DUMMYFUNCTION("REGEXREPLACE(C12317,""-\d+(.*)|--\d+(.*)"","""")"),"GIVRYCOURT")</f>
        <v>GIVRYCOURT</v>
      </c>
      <c r="E12317" s="38" t="s">
        <v>303</v>
      </c>
      <c r="F12317" s="38" t="s">
        <v>195</v>
      </c>
      <c r="G12317" s="49" t="str">
        <f t="shared" si="1"/>
        <v>57670</v>
      </c>
      <c r="H12317" s="49">
        <f t="shared" si="2"/>
        <v>57248</v>
      </c>
    </row>
    <row r="12318">
      <c r="A12318" s="48" t="s">
        <v>1081</v>
      </c>
      <c r="B12318" s="38">
        <v>14710.0</v>
      </c>
      <c r="C12318" s="38" t="s">
        <v>16477</v>
      </c>
      <c r="D12318" s="38" t="str">
        <f>IFERROR(__xludf.DUMMYFUNCTION("REGEXREPLACE(C12318,""-\d+(.*)|--\d+(.*)"","""")"),"TREPREL")</f>
        <v>TREPREL</v>
      </c>
      <c r="E12318" s="38" t="s">
        <v>137</v>
      </c>
      <c r="F12318" s="38" t="s">
        <v>138</v>
      </c>
      <c r="G12318" s="49" t="str">
        <f t="shared" si="1"/>
        <v>14690</v>
      </c>
      <c r="H12318" s="49">
        <f t="shared" si="2"/>
        <v>14710</v>
      </c>
    </row>
    <row r="12319">
      <c r="A12319" s="48" t="s">
        <v>6858</v>
      </c>
      <c r="B12319" s="38">
        <v>71582.0</v>
      </c>
      <c r="C12319" s="38" t="s">
        <v>16478</v>
      </c>
      <c r="D12319" s="38" t="str">
        <f>IFERROR(__xludf.DUMMYFUNCTION("REGEXREPLACE(C12319,""-\d+(.*)|--\d+(.*)"","""")"),"LA VINEUSE")</f>
        <v>LA VINEUSE</v>
      </c>
      <c r="E12319" s="38" t="s">
        <v>344</v>
      </c>
      <c r="F12319" s="38" t="s">
        <v>106</v>
      </c>
      <c r="G12319" s="49" t="str">
        <f t="shared" si="1"/>
        <v>71250</v>
      </c>
      <c r="H12319" s="49">
        <f t="shared" si="2"/>
        <v>71582</v>
      </c>
    </row>
    <row r="12320">
      <c r="A12320" s="48" t="s">
        <v>2523</v>
      </c>
      <c r="B12320" s="38">
        <v>46304.0</v>
      </c>
      <c r="C12320" s="38" t="s">
        <v>16479</v>
      </c>
      <c r="D12320" s="38" t="str">
        <f>IFERROR(__xludf.DUMMYFUNCTION("REGEXREPLACE(C12320,""-\d+(.*)|--\d+(.*)"","""")"),"SENIERGUES")</f>
        <v>SENIERGUES</v>
      </c>
      <c r="E12320" s="38" t="s">
        <v>185</v>
      </c>
      <c r="F12320" s="38" t="s">
        <v>94</v>
      </c>
      <c r="G12320" s="49" t="str">
        <f t="shared" si="1"/>
        <v>46240</v>
      </c>
      <c r="H12320" s="49">
        <f t="shared" si="2"/>
        <v>46304</v>
      </c>
    </row>
    <row r="12321">
      <c r="A12321" s="48" t="s">
        <v>16480</v>
      </c>
      <c r="B12321" s="38">
        <v>71253.0</v>
      </c>
      <c r="C12321" s="38" t="s">
        <v>16481</v>
      </c>
      <c r="D12321" s="38" t="str">
        <f>IFERROR(__xludf.DUMMYFUNCTION("REGEXREPLACE(C12321,""-\d+(.*)|--\d+(.*)"","""")"),"LANS")</f>
        <v>LANS</v>
      </c>
      <c r="E12321" s="38" t="s">
        <v>344</v>
      </c>
      <c r="F12321" s="38" t="s">
        <v>106</v>
      </c>
      <c r="G12321" s="49" t="str">
        <f t="shared" si="1"/>
        <v>71380</v>
      </c>
      <c r="H12321" s="49">
        <f t="shared" si="2"/>
        <v>71253</v>
      </c>
    </row>
    <row r="12322">
      <c r="A12322" s="48" t="s">
        <v>5982</v>
      </c>
      <c r="B12322" s="38">
        <v>63175.0</v>
      </c>
      <c r="C12322" s="38" t="s">
        <v>16482</v>
      </c>
      <c r="D12322" s="38" t="str">
        <f>IFERROR(__xludf.DUMMYFUNCTION("REGEXREPLACE(C12322,""-\d+(.*)|--\d+(.*)"","""")"),"HERMENT")</f>
        <v>HERMENT</v>
      </c>
      <c r="E12322" s="38" t="s">
        <v>353</v>
      </c>
      <c r="F12322" s="38" t="s">
        <v>161</v>
      </c>
      <c r="G12322" s="49" t="str">
        <f t="shared" si="1"/>
        <v>63470</v>
      </c>
      <c r="H12322" s="49">
        <f t="shared" si="2"/>
        <v>63175</v>
      </c>
    </row>
    <row r="12323">
      <c r="A12323" s="48" t="s">
        <v>16483</v>
      </c>
      <c r="B12323" s="38">
        <v>54115.0</v>
      </c>
      <c r="C12323" s="38" t="s">
        <v>16484</v>
      </c>
      <c r="D12323" s="38" t="str">
        <f>IFERROR(__xludf.DUMMYFUNCTION("REGEXREPLACE(C12323,""-\d+(.*)|--\d+(.*)"","""")"),"CHAMPIGNEULLES")</f>
        <v>CHAMPIGNEULLES</v>
      </c>
      <c r="E12323" s="38" t="s">
        <v>548</v>
      </c>
      <c r="F12323" s="38" t="s">
        <v>195</v>
      </c>
      <c r="G12323" s="49" t="str">
        <f t="shared" si="1"/>
        <v>54250</v>
      </c>
      <c r="H12323" s="49">
        <f t="shared" si="2"/>
        <v>54115</v>
      </c>
    </row>
    <row r="12324">
      <c r="A12324" s="48" t="s">
        <v>942</v>
      </c>
      <c r="B12324" s="38">
        <v>2607.0</v>
      </c>
      <c r="C12324" s="38" t="s">
        <v>16485</v>
      </c>
      <c r="D12324" s="38" t="str">
        <f>IFERROR(__xludf.DUMMYFUNCTION("REGEXREPLACE(C12324,""-\d+(.*)|--\d+(.*)"","""")"),"PLOISY")</f>
        <v>PLOISY</v>
      </c>
      <c r="E12324" s="38" t="s">
        <v>191</v>
      </c>
      <c r="F12324" s="38" t="s">
        <v>113</v>
      </c>
      <c r="G12324" s="49" t="str">
        <f t="shared" si="1"/>
        <v>02200</v>
      </c>
      <c r="H12324" s="49" t="str">
        <f t="shared" si="2"/>
        <v>02607</v>
      </c>
    </row>
    <row r="12325">
      <c r="A12325" s="48" t="s">
        <v>5956</v>
      </c>
      <c r="B12325" s="38">
        <v>62901.0</v>
      </c>
      <c r="C12325" s="38" t="s">
        <v>16486</v>
      </c>
      <c r="D12325" s="38" t="str">
        <f>IFERROR(__xludf.DUMMYFUNCTION("REGEXREPLACE(C12325,""-\d+(.*)|--\d+(.*)"","""")"),"WITTES")</f>
        <v>WITTES</v>
      </c>
      <c r="E12325" s="38" t="s">
        <v>109</v>
      </c>
      <c r="F12325" s="38" t="s">
        <v>86</v>
      </c>
      <c r="G12325" s="49" t="str">
        <f t="shared" si="1"/>
        <v>62120</v>
      </c>
      <c r="H12325" s="49">
        <f t="shared" si="2"/>
        <v>62901</v>
      </c>
    </row>
    <row r="12326">
      <c r="A12326" s="48" t="s">
        <v>2788</v>
      </c>
      <c r="B12326" s="38">
        <v>35138.0</v>
      </c>
      <c r="C12326" s="38" t="s">
        <v>16487</v>
      </c>
      <c r="D12326" s="38" t="str">
        <f>IFERROR(__xludf.DUMMYFUNCTION("REGEXREPLACE(C12326,""-\d+(.*)|--\d+(.*)"","""")"),"LAIGNELET")</f>
        <v>LAIGNELET</v>
      </c>
      <c r="E12326" s="38" t="s">
        <v>347</v>
      </c>
      <c r="F12326" s="38" t="s">
        <v>90</v>
      </c>
      <c r="G12326" s="49" t="str">
        <f t="shared" si="1"/>
        <v>35133</v>
      </c>
      <c r="H12326" s="49">
        <f t="shared" si="2"/>
        <v>35138</v>
      </c>
    </row>
    <row r="12327">
      <c r="A12327" s="48" t="s">
        <v>2136</v>
      </c>
      <c r="B12327" s="38">
        <v>52157.0</v>
      </c>
      <c r="C12327" s="38" t="s">
        <v>16488</v>
      </c>
      <c r="D12327" s="38" t="str">
        <f>IFERROR(__xludf.DUMMYFUNCTION("REGEXREPLACE(C12327,""-\d+(.*)|--\d+(.*)"","""")"),"CURMONT")</f>
        <v>CURMONT</v>
      </c>
      <c r="E12327" s="38" t="s">
        <v>234</v>
      </c>
      <c r="F12327" s="38" t="s">
        <v>130</v>
      </c>
      <c r="G12327" s="49" t="str">
        <f t="shared" si="1"/>
        <v>52330</v>
      </c>
      <c r="H12327" s="49">
        <f t="shared" si="2"/>
        <v>52157</v>
      </c>
    </row>
    <row r="12328">
      <c r="A12328" s="48" t="s">
        <v>1514</v>
      </c>
      <c r="B12328" s="38">
        <v>70184.0</v>
      </c>
      <c r="C12328" s="38" t="s">
        <v>16489</v>
      </c>
      <c r="D12328" s="38" t="str">
        <f>IFERROR(__xludf.DUMMYFUNCTION("REGEXREPLACE(C12328,""-\d+(.*)|--\d+(.*)"","""")"),"COUTHENANS")</f>
        <v>COUTHENANS</v>
      </c>
      <c r="E12328" s="38" t="s">
        <v>956</v>
      </c>
      <c r="F12328" s="38" t="s">
        <v>214</v>
      </c>
      <c r="G12328" s="49" t="str">
        <f t="shared" si="1"/>
        <v>70400</v>
      </c>
      <c r="H12328" s="49">
        <f t="shared" si="2"/>
        <v>70184</v>
      </c>
    </row>
    <row r="12329">
      <c r="A12329" s="48" t="s">
        <v>3279</v>
      </c>
      <c r="B12329" s="38">
        <v>26342.0</v>
      </c>
      <c r="C12329" s="38" t="s">
        <v>16490</v>
      </c>
      <c r="D12329" s="38" t="str">
        <f>IFERROR(__xludf.DUMMYFUNCTION("REGEXREPLACE(C12329,""-\d+(.*)|--\d+(.*)"","""")"),"SOLERIEUX")</f>
        <v>SOLERIEUX</v>
      </c>
      <c r="E12329" s="38" t="s">
        <v>126</v>
      </c>
      <c r="F12329" s="38" t="s">
        <v>102</v>
      </c>
      <c r="G12329" s="49" t="str">
        <f t="shared" si="1"/>
        <v>26130</v>
      </c>
      <c r="H12329" s="49">
        <f t="shared" si="2"/>
        <v>26342</v>
      </c>
    </row>
    <row r="12330">
      <c r="A12330" s="48" t="s">
        <v>10017</v>
      </c>
      <c r="B12330" s="38">
        <v>14044.0</v>
      </c>
      <c r="C12330" s="38" t="s">
        <v>16491</v>
      </c>
      <c r="D12330" s="38" t="str">
        <f>IFERROR(__xludf.DUMMYFUNCTION("REGEXREPLACE(C12330,""-\d+(.*)|--\d+(.*)"","""")"),"BASLY")</f>
        <v>BASLY</v>
      </c>
      <c r="E12330" s="38" t="s">
        <v>137</v>
      </c>
      <c r="F12330" s="38" t="s">
        <v>138</v>
      </c>
      <c r="G12330" s="49" t="str">
        <f t="shared" si="1"/>
        <v>14610</v>
      </c>
      <c r="H12330" s="49">
        <f t="shared" si="2"/>
        <v>14044</v>
      </c>
    </row>
    <row r="12331">
      <c r="A12331" s="48" t="s">
        <v>1114</v>
      </c>
      <c r="B12331" s="38">
        <v>2363.0</v>
      </c>
      <c r="C12331" s="38" t="s">
        <v>16492</v>
      </c>
      <c r="D12331" s="38" t="str">
        <f>IFERROR(__xludf.DUMMYFUNCTION("REGEXREPLACE(C12331,""-\d+(.*)|--\d+(.*)"","""")"),"GUNY")</f>
        <v>GUNY</v>
      </c>
      <c r="E12331" s="38" t="s">
        <v>191</v>
      </c>
      <c r="F12331" s="38" t="s">
        <v>113</v>
      </c>
      <c r="G12331" s="49" t="str">
        <f t="shared" si="1"/>
        <v>02300</v>
      </c>
      <c r="H12331" s="49" t="str">
        <f t="shared" si="2"/>
        <v>02363</v>
      </c>
    </row>
    <row r="12332">
      <c r="A12332" s="48" t="s">
        <v>1276</v>
      </c>
      <c r="B12332" s="38">
        <v>64199.0</v>
      </c>
      <c r="C12332" s="38" t="s">
        <v>16493</v>
      </c>
      <c r="D12332" s="38" t="str">
        <f>IFERROR(__xludf.DUMMYFUNCTION("REGEXREPLACE(C12332,""-\d+(.*)|--\d+(.*)"","""")"),"DIUSSE")</f>
        <v>DIUSSE</v>
      </c>
      <c r="E12332" s="38" t="s">
        <v>268</v>
      </c>
      <c r="F12332" s="38" t="s">
        <v>252</v>
      </c>
      <c r="G12332" s="49" t="str">
        <f t="shared" si="1"/>
        <v>64330</v>
      </c>
      <c r="H12332" s="49">
        <f t="shared" si="2"/>
        <v>64199</v>
      </c>
    </row>
    <row r="12333">
      <c r="A12333" s="48" t="s">
        <v>671</v>
      </c>
      <c r="B12333" s="38">
        <v>21341.0</v>
      </c>
      <c r="C12333" s="38" t="s">
        <v>16494</v>
      </c>
      <c r="D12333" s="38" t="str">
        <f>IFERROR(__xludf.DUMMYFUNCTION("REGEXREPLACE(C12333,""-\d+(.*)|--\d+(.*)"","""")"),"LANTILLY")</f>
        <v>LANTILLY</v>
      </c>
      <c r="E12333" s="38" t="s">
        <v>105</v>
      </c>
      <c r="F12333" s="38" t="s">
        <v>106</v>
      </c>
      <c r="G12333" s="49" t="str">
        <f t="shared" si="1"/>
        <v>21140</v>
      </c>
      <c r="H12333" s="49">
        <f t="shared" si="2"/>
        <v>21341</v>
      </c>
    </row>
    <row r="12334">
      <c r="A12334" s="48" t="s">
        <v>883</v>
      </c>
      <c r="B12334" s="38">
        <v>71566.0</v>
      </c>
      <c r="C12334" s="38" t="s">
        <v>16495</v>
      </c>
      <c r="D12334" s="38" t="str">
        <f>IFERROR(__xludf.DUMMYFUNCTION("REGEXREPLACE(C12334,""-\d+(.*)|--\d+(.*)"","""")"),"VERDUN-SUR-LE-DOUBS")</f>
        <v>VERDUN-SUR-LE-DOUBS</v>
      </c>
      <c r="E12334" s="38" t="s">
        <v>344</v>
      </c>
      <c r="F12334" s="38" t="s">
        <v>106</v>
      </c>
      <c r="G12334" s="49" t="str">
        <f t="shared" si="1"/>
        <v>71350</v>
      </c>
      <c r="H12334" s="49">
        <f t="shared" si="2"/>
        <v>71566</v>
      </c>
    </row>
    <row r="12335">
      <c r="A12335" s="48" t="s">
        <v>7684</v>
      </c>
      <c r="B12335" s="38">
        <v>1241.0</v>
      </c>
      <c r="C12335" s="38" t="s">
        <v>16496</v>
      </c>
      <c r="D12335" s="38" t="str">
        <f>IFERROR(__xludf.DUMMYFUNCTION("REGEXREPLACE(C12335,""-\d+(.*)|--\d+(.*)"","""")"),"MEILLONNAS")</f>
        <v>MEILLONNAS</v>
      </c>
      <c r="E12335" s="38" t="s">
        <v>255</v>
      </c>
      <c r="F12335" s="38" t="s">
        <v>102</v>
      </c>
      <c r="G12335" s="49" t="str">
        <f t="shared" si="1"/>
        <v>01370</v>
      </c>
      <c r="H12335" s="49" t="str">
        <f t="shared" si="2"/>
        <v>01241</v>
      </c>
    </row>
    <row r="12336">
      <c r="A12336" s="48" t="s">
        <v>7501</v>
      </c>
      <c r="B12336" s="38">
        <v>9340.0</v>
      </c>
      <c r="C12336" s="38" t="s">
        <v>8303</v>
      </c>
      <c r="D12336" s="38" t="str">
        <f>IFERROR(__xludf.DUMMYFUNCTION("REGEXREPLACE(C12336,""-\d+(.*)|--\d+(.*)"","""")"),"VIRA")</f>
        <v>VIRA</v>
      </c>
      <c r="E12336" s="38" t="s">
        <v>238</v>
      </c>
      <c r="F12336" s="38" t="s">
        <v>94</v>
      </c>
      <c r="G12336" s="49" t="str">
        <f t="shared" si="1"/>
        <v>09120</v>
      </c>
      <c r="H12336" s="49" t="str">
        <f t="shared" si="2"/>
        <v>09340</v>
      </c>
    </row>
    <row r="12337">
      <c r="A12337" s="48" t="s">
        <v>1208</v>
      </c>
      <c r="B12337" s="38">
        <v>32344.0</v>
      </c>
      <c r="C12337" s="38" t="s">
        <v>16497</v>
      </c>
      <c r="D12337" s="38" t="str">
        <f>IFERROR(__xludf.DUMMYFUNCTION("REGEXREPLACE(C12337,""-\d+(.*)|--\d+(.*)"","""")"),"RISCLE")</f>
        <v>RISCLE</v>
      </c>
      <c r="E12337" s="38" t="s">
        <v>440</v>
      </c>
      <c r="F12337" s="38" t="s">
        <v>94</v>
      </c>
      <c r="G12337" s="49" t="str">
        <f t="shared" si="1"/>
        <v>32400</v>
      </c>
      <c r="H12337" s="49">
        <f t="shared" si="2"/>
        <v>32344</v>
      </c>
    </row>
    <row r="12338">
      <c r="A12338" s="48" t="s">
        <v>3621</v>
      </c>
      <c r="B12338" s="38">
        <v>52424.0</v>
      </c>
      <c r="C12338" s="38" t="s">
        <v>16498</v>
      </c>
      <c r="D12338" s="38" t="str">
        <f>IFERROR(__xludf.DUMMYFUNCTION("REGEXREPLACE(C12338,""-\d+(.*)|--\d+(.*)"","""")"),"RIVIERES-LE-BOIS")</f>
        <v>RIVIERES-LE-BOIS</v>
      </c>
      <c r="E12338" s="38" t="s">
        <v>234</v>
      </c>
      <c r="F12338" s="38" t="s">
        <v>130</v>
      </c>
      <c r="G12338" s="49" t="str">
        <f t="shared" si="1"/>
        <v>52600</v>
      </c>
      <c r="H12338" s="49">
        <f t="shared" si="2"/>
        <v>52424</v>
      </c>
    </row>
    <row r="12339">
      <c r="A12339" s="48" t="s">
        <v>6142</v>
      </c>
      <c r="B12339" s="38">
        <v>44203.0</v>
      </c>
      <c r="C12339" s="38" t="s">
        <v>16499</v>
      </c>
      <c r="D12339" s="38" t="str">
        <f>IFERROR(__xludf.DUMMYFUNCTION("REGEXREPLACE(C12339,""-\d+(.*)|--\d+(.*)"","""")"),"LE TEMPLE-DE-BRETAGNE")</f>
        <v>LE TEMPLE-DE-BRETAGNE</v>
      </c>
      <c r="E12339" s="38" t="s">
        <v>759</v>
      </c>
      <c r="F12339" s="38" t="s">
        <v>180</v>
      </c>
      <c r="G12339" s="49" t="str">
        <f t="shared" si="1"/>
        <v>44360</v>
      </c>
      <c r="H12339" s="49">
        <f t="shared" si="2"/>
        <v>44203</v>
      </c>
    </row>
    <row r="12340">
      <c r="A12340" s="48" t="s">
        <v>16500</v>
      </c>
      <c r="B12340" s="38">
        <v>66116.0</v>
      </c>
      <c r="C12340" s="38" t="s">
        <v>16501</v>
      </c>
      <c r="D12340" s="38" t="str">
        <f>IFERROR(__xludf.DUMMYFUNCTION("REGEXREPLACE(C12340,""-\d+(.*)|--\d+(.*)"","""")"),"MONTFERRER")</f>
        <v>MONTFERRER</v>
      </c>
      <c r="E12340" s="38" t="s">
        <v>248</v>
      </c>
      <c r="F12340" s="38" t="s">
        <v>119</v>
      </c>
      <c r="G12340" s="49" t="str">
        <f t="shared" si="1"/>
        <v>66150</v>
      </c>
      <c r="H12340" s="49">
        <f t="shared" si="2"/>
        <v>66116</v>
      </c>
    </row>
    <row r="12341">
      <c r="A12341" s="48" t="s">
        <v>3948</v>
      </c>
      <c r="B12341" s="38">
        <v>21402.0</v>
      </c>
      <c r="C12341" s="38" t="s">
        <v>16502</v>
      </c>
      <c r="D12341" s="38" t="str">
        <f>IFERROR(__xludf.DUMMYFUNCTION("REGEXREPLACE(C12341,""-\d+(.*)|--\d+(.*)"","""")"),"MENESBLE")</f>
        <v>MENESBLE</v>
      </c>
      <c r="E12341" s="38" t="s">
        <v>105</v>
      </c>
      <c r="F12341" s="38" t="s">
        <v>106</v>
      </c>
      <c r="G12341" s="49" t="str">
        <f t="shared" si="1"/>
        <v>21290</v>
      </c>
      <c r="H12341" s="49">
        <f t="shared" si="2"/>
        <v>21402</v>
      </c>
    </row>
    <row r="12342">
      <c r="A12342" s="48" t="s">
        <v>2141</v>
      </c>
      <c r="B12342" s="38">
        <v>80375.0</v>
      </c>
      <c r="C12342" s="38" t="s">
        <v>9071</v>
      </c>
      <c r="D12342" s="38" t="str">
        <f>IFERROR(__xludf.DUMMYFUNCTION("REGEXREPLACE(C12342,""-\d+(.*)|--\d+(.*)"","""")"),"GAUVILLE")</f>
        <v>GAUVILLE</v>
      </c>
      <c r="E12342" s="38" t="s">
        <v>224</v>
      </c>
      <c r="F12342" s="38" t="s">
        <v>113</v>
      </c>
      <c r="G12342" s="49" t="str">
        <f t="shared" si="1"/>
        <v>80290</v>
      </c>
      <c r="H12342" s="49">
        <f t="shared" si="2"/>
        <v>80375</v>
      </c>
    </row>
    <row r="12343">
      <c r="A12343" s="48" t="s">
        <v>746</v>
      </c>
      <c r="B12343" s="38">
        <v>76573.0</v>
      </c>
      <c r="C12343" s="38" t="s">
        <v>16503</v>
      </c>
      <c r="D12343" s="38" t="str">
        <f>IFERROR(__xludf.DUMMYFUNCTION("REGEXREPLACE(C12343,""-\d+(.*)|--\d+(.*)"","""")"),"SAINT-DENIS-LE-THIBOULT")</f>
        <v>SAINT-DENIS-LE-THIBOULT</v>
      </c>
      <c r="E12343" s="38" t="s">
        <v>133</v>
      </c>
      <c r="F12343" s="38" t="s">
        <v>134</v>
      </c>
      <c r="G12343" s="49" t="str">
        <f t="shared" si="1"/>
        <v>76116</v>
      </c>
      <c r="H12343" s="49">
        <f t="shared" si="2"/>
        <v>76573</v>
      </c>
    </row>
    <row r="12344">
      <c r="A12344" s="48" t="s">
        <v>2116</v>
      </c>
      <c r="B12344" s="38">
        <v>26189.0</v>
      </c>
      <c r="C12344" s="38" t="s">
        <v>16504</v>
      </c>
      <c r="D12344" s="38" t="str">
        <f>IFERROR(__xludf.DUMMYFUNCTION("REGEXREPLACE(C12344,""-\d+(.*)|--\d+(.*)"","""")"),"MONTAUBAN-SUR-L'OUVEZE")</f>
        <v>MONTAUBAN-SUR-L'OUVEZE</v>
      </c>
      <c r="E12344" s="38" t="s">
        <v>126</v>
      </c>
      <c r="F12344" s="38" t="s">
        <v>102</v>
      </c>
      <c r="G12344" s="49" t="str">
        <f t="shared" si="1"/>
        <v>26170</v>
      </c>
      <c r="H12344" s="49">
        <f t="shared" si="2"/>
        <v>26189</v>
      </c>
    </row>
    <row r="12345">
      <c r="A12345" s="48" t="s">
        <v>3127</v>
      </c>
      <c r="B12345" s="38">
        <v>70427.0</v>
      </c>
      <c r="C12345" s="38" t="s">
        <v>16505</v>
      </c>
      <c r="D12345" s="38" t="str">
        <f>IFERROR(__xludf.DUMMYFUNCTION("REGEXREPLACE(C12345,""-\d+(.*)|--\d+(.*)"","""")"),"PURGEROT")</f>
        <v>PURGEROT</v>
      </c>
      <c r="E12345" s="38" t="s">
        <v>956</v>
      </c>
      <c r="F12345" s="38" t="s">
        <v>214</v>
      </c>
      <c r="G12345" s="49" t="str">
        <f t="shared" si="1"/>
        <v>70160</v>
      </c>
      <c r="H12345" s="49">
        <f t="shared" si="2"/>
        <v>70427</v>
      </c>
    </row>
    <row r="12346">
      <c r="A12346" s="48" t="s">
        <v>2848</v>
      </c>
      <c r="B12346" s="38">
        <v>51113.0</v>
      </c>
      <c r="C12346" s="38" t="s">
        <v>16506</v>
      </c>
      <c r="D12346" s="38" t="str">
        <f>IFERROR(__xludf.DUMMYFUNCTION("REGEXREPLACE(C12346,""-\d+(.*)|--\d+(.*)"","""")"),"CHAMPAUBERT")</f>
        <v>CHAMPAUBERT</v>
      </c>
      <c r="E12346" s="38" t="s">
        <v>129</v>
      </c>
      <c r="F12346" s="38" t="s">
        <v>130</v>
      </c>
      <c r="G12346" s="49" t="str">
        <f t="shared" si="1"/>
        <v>51270</v>
      </c>
      <c r="H12346" s="49">
        <f t="shared" si="2"/>
        <v>51113</v>
      </c>
    </row>
    <row r="12347">
      <c r="A12347" s="48" t="s">
        <v>15853</v>
      </c>
      <c r="B12347" s="38">
        <v>80296.0</v>
      </c>
      <c r="C12347" s="38" t="s">
        <v>16507</v>
      </c>
      <c r="D12347" s="38" t="str">
        <f>IFERROR(__xludf.DUMMYFUNCTION("REGEXREPLACE(C12347,""-\d+(.*)|--\d+(.*)"","""")"),"L'ETOILE")</f>
        <v>L'ETOILE</v>
      </c>
      <c r="E12347" s="38" t="s">
        <v>224</v>
      </c>
      <c r="F12347" s="38" t="s">
        <v>113</v>
      </c>
      <c r="G12347" s="49" t="str">
        <f t="shared" si="1"/>
        <v>80830</v>
      </c>
      <c r="H12347" s="49">
        <f t="shared" si="2"/>
        <v>80296</v>
      </c>
    </row>
    <row r="12348">
      <c r="A12348" s="48" t="s">
        <v>1514</v>
      </c>
      <c r="B12348" s="38">
        <v>70205.0</v>
      </c>
      <c r="C12348" s="38" t="s">
        <v>16508</v>
      </c>
      <c r="D12348" s="38" t="str">
        <f>IFERROR(__xludf.DUMMYFUNCTION("REGEXREPLACE(C12348,""-\d+(.*)|--\d+(.*)"","""")"),"ECHAVANNE")</f>
        <v>ECHAVANNE</v>
      </c>
      <c r="E12348" s="38" t="s">
        <v>956</v>
      </c>
      <c r="F12348" s="38" t="s">
        <v>214</v>
      </c>
      <c r="G12348" s="49" t="str">
        <f t="shared" si="1"/>
        <v>70400</v>
      </c>
      <c r="H12348" s="49">
        <f t="shared" si="2"/>
        <v>70205</v>
      </c>
    </row>
    <row r="12349">
      <c r="A12349" s="48" t="s">
        <v>3208</v>
      </c>
      <c r="B12349" s="38">
        <v>80726.0</v>
      </c>
      <c r="C12349" s="38" t="s">
        <v>16509</v>
      </c>
      <c r="D12349" s="38" t="str">
        <f>IFERROR(__xludf.DUMMYFUNCTION("REGEXREPLACE(C12349,""-\d+(.*)|--\d+(.*)"","""")"),"SANCOURT")</f>
        <v>SANCOURT</v>
      </c>
      <c r="E12349" s="38" t="s">
        <v>224</v>
      </c>
      <c r="F12349" s="38" t="s">
        <v>113</v>
      </c>
      <c r="G12349" s="49" t="str">
        <f t="shared" si="1"/>
        <v>80400</v>
      </c>
      <c r="H12349" s="49">
        <f t="shared" si="2"/>
        <v>80726</v>
      </c>
    </row>
    <row r="12350">
      <c r="A12350" s="48" t="s">
        <v>16510</v>
      </c>
      <c r="B12350" s="38">
        <v>67131.0</v>
      </c>
      <c r="C12350" s="38" t="s">
        <v>16511</v>
      </c>
      <c r="D12350" s="38" t="str">
        <f>IFERROR(__xludf.DUMMYFUNCTION("REGEXREPLACE(C12350,""-\d+(.*)|--\d+(.*)"","""")"),"ESCHAU")</f>
        <v>ESCHAU</v>
      </c>
      <c r="E12350" s="38" t="s">
        <v>210</v>
      </c>
      <c r="F12350" s="38" t="s">
        <v>151</v>
      </c>
      <c r="G12350" s="49" t="str">
        <f t="shared" si="1"/>
        <v>67114</v>
      </c>
      <c r="H12350" s="49">
        <f t="shared" si="2"/>
        <v>67131</v>
      </c>
    </row>
    <row r="12351">
      <c r="A12351" s="48" t="s">
        <v>4834</v>
      </c>
      <c r="B12351" s="38">
        <v>27170.0</v>
      </c>
      <c r="C12351" s="38" t="s">
        <v>15127</v>
      </c>
      <c r="D12351" s="38" t="str">
        <f>IFERROR(__xludf.DUMMYFUNCTION("REGEXREPLACE(C12351,""-\d+(.*)|--\d+(.*)"","""")"),"CORMEILLES")</f>
        <v>CORMEILLES</v>
      </c>
      <c r="E12351" s="38" t="s">
        <v>241</v>
      </c>
      <c r="F12351" s="38" t="s">
        <v>134</v>
      </c>
      <c r="G12351" s="49" t="str">
        <f t="shared" si="1"/>
        <v>27260</v>
      </c>
      <c r="H12351" s="49">
        <f t="shared" si="2"/>
        <v>27170</v>
      </c>
    </row>
    <row r="12352">
      <c r="A12352" s="48" t="s">
        <v>3109</v>
      </c>
      <c r="B12352" s="38">
        <v>9199.0</v>
      </c>
      <c r="C12352" s="38" t="s">
        <v>2818</v>
      </c>
      <c r="D12352" s="38" t="str">
        <f>IFERROR(__xludf.DUMMYFUNCTION("REGEXREPLACE(C12352,""-\d+(.*)|--\d+(.*)"","""")"),"MONTAUT")</f>
        <v>MONTAUT</v>
      </c>
      <c r="E12352" s="38" t="s">
        <v>238</v>
      </c>
      <c r="F12352" s="38" t="s">
        <v>94</v>
      </c>
      <c r="G12352" s="49" t="str">
        <f t="shared" si="1"/>
        <v>09700</v>
      </c>
      <c r="H12352" s="49" t="str">
        <f t="shared" si="2"/>
        <v>09199</v>
      </c>
    </row>
    <row r="12353">
      <c r="A12353" s="48" t="s">
        <v>186</v>
      </c>
      <c r="B12353" s="38">
        <v>41119.0</v>
      </c>
      <c r="C12353" s="38" t="s">
        <v>16512</v>
      </c>
      <c r="D12353" s="38" t="str">
        <f>IFERROR(__xludf.DUMMYFUNCTION("REGEXREPLACE(C12353,""-\d+(.*)|--\d+(.*)"","""")"),"LORGES")</f>
        <v>LORGES</v>
      </c>
      <c r="E12353" s="38" t="s">
        <v>188</v>
      </c>
      <c r="F12353" s="38" t="s">
        <v>123</v>
      </c>
      <c r="G12353" s="49" t="str">
        <f t="shared" si="1"/>
        <v>41370</v>
      </c>
      <c r="H12353" s="49">
        <f t="shared" si="2"/>
        <v>41119</v>
      </c>
    </row>
    <row r="12354">
      <c r="A12354" s="48" t="s">
        <v>3465</v>
      </c>
      <c r="B12354" s="38">
        <v>11059.0</v>
      </c>
      <c r="C12354" s="38" t="s">
        <v>16513</v>
      </c>
      <c r="D12354" s="38" t="str">
        <f>IFERROR(__xludf.DUMMYFUNCTION("REGEXREPLACE(C12354,""-\d+(.*)|--\d+(.*)"","""")"),"CAILHAVEL")</f>
        <v>CAILHAVEL</v>
      </c>
      <c r="E12354" s="38" t="s">
        <v>278</v>
      </c>
      <c r="F12354" s="38" t="s">
        <v>119</v>
      </c>
      <c r="G12354" s="49" t="str">
        <f t="shared" si="1"/>
        <v>11240</v>
      </c>
      <c r="H12354" s="49">
        <f t="shared" si="2"/>
        <v>11059</v>
      </c>
    </row>
    <row r="12355">
      <c r="A12355" s="48" t="s">
        <v>8964</v>
      </c>
      <c r="B12355" s="38">
        <v>70498.0</v>
      </c>
      <c r="C12355" s="38" t="s">
        <v>16514</v>
      </c>
      <c r="D12355" s="38" t="str">
        <f>IFERROR(__xludf.DUMMYFUNCTION("REGEXREPLACE(C12355,""-\d+(.*)|--\d+(.*)"","""")"),"TERNUAY-MELAY-ET-SAINT-HILAIRE")</f>
        <v>TERNUAY-MELAY-ET-SAINT-HILAIRE</v>
      </c>
      <c r="E12355" s="38" t="s">
        <v>956</v>
      </c>
      <c r="F12355" s="38" t="s">
        <v>214</v>
      </c>
      <c r="G12355" s="49" t="str">
        <f t="shared" si="1"/>
        <v>70270</v>
      </c>
      <c r="H12355" s="49">
        <f t="shared" si="2"/>
        <v>70498</v>
      </c>
    </row>
    <row r="12356">
      <c r="A12356" s="48" t="s">
        <v>8671</v>
      </c>
      <c r="B12356" s="38">
        <v>87112.0</v>
      </c>
      <c r="C12356" s="38" t="s">
        <v>16515</v>
      </c>
      <c r="D12356" s="38" t="str">
        <f>IFERROR(__xludf.DUMMYFUNCTION("REGEXREPLACE(C12356,""-\d+(.*)|--\d+(.*)"","""")"),"PAGEAS")</f>
        <v>PAGEAS</v>
      </c>
      <c r="E12356" s="38" t="s">
        <v>897</v>
      </c>
      <c r="F12356" s="38" t="s">
        <v>98</v>
      </c>
      <c r="G12356" s="49" t="str">
        <f t="shared" si="1"/>
        <v>87230</v>
      </c>
      <c r="H12356" s="49">
        <f t="shared" si="2"/>
        <v>87112</v>
      </c>
    </row>
    <row r="12357">
      <c r="A12357" s="48" t="s">
        <v>1966</v>
      </c>
      <c r="B12357" s="38">
        <v>2304.0</v>
      </c>
      <c r="C12357" s="38" t="s">
        <v>16516</v>
      </c>
      <c r="D12357" s="38" t="str">
        <f>IFERROR(__xludf.DUMMYFUNCTION("REGEXREPLACE(C12357,""-\d+(.*)|--\d+(.*)"","""")"),"LA FERE")</f>
        <v>LA FERE</v>
      </c>
      <c r="E12357" s="38" t="s">
        <v>191</v>
      </c>
      <c r="F12357" s="38" t="s">
        <v>113</v>
      </c>
      <c r="G12357" s="49" t="str">
        <f t="shared" si="1"/>
        <v>02800</v>
      </c>
      <c r="H12357" s="49" t="str">
        <f t="shared" si="2"/>
        <v>02304</v>
      </c>
    </row>
    <row r="12358">
      <c r="A12358" s="48" t="s">
        <v>3015</v>
      </c>
      <c r="B12358" s="38">
        <v>16114.0</v>
      </c>
      <c r="C12358" s="38" t="s">
        <v>16517</v>
      </c>
      <c r="D12358" s="38" t="str">
        <f>IFERROR(__xludf.DUMMYFUNCTION("REGEXREPLACE(C12358,""-\d+(.*)|--\d+(.*)"","""")"),"COUTURE")</f>
        <v>COUTURE</v>
      </c>
      <c r="E12358" s="38" t="s">
        <v>429</v>
      </c>
      <c r="F12358" s="38" t="s">
        <v>338</v>
      </c>
      <c r="G12358" s="49" t="str">
        <f t="shared" si="1"/>
        <v>16460</v>
      </c>
      <c r="H12358" s="49">
        <f t="shared" si="2"/>
        <v>16114</v>
      </c>
    </row>
    <row r="12359">
      <c r="A12359" s="48" t="s">
        <v>5134</v>
      </c>
      <c r="B12359" s="38">
        <v>70167.0</v>
      </c>
      <c r="C12359" s="38" t="s">
        <v>16518</v>
      </c>
      <c r="D12359" s="38" t="str">
        <f>IFERROR(__xludf.DUMMYFUNCTION("REGEXREPLACE(C12359,""-\d+(.*)|--\d+(.*)"","""")"),"CONFLANDEY")</f>
        <v>CONFLANDEY</v>
      </c>
      <c r="E12359" s="38" t="s">
        <v>956</v>
      </c>
      <c r="F12359" s="38" t="s">
        <v>214</v>
      </c>
      <c r="G12359" s="49" t="str">
        <f t="shared" si="1"/>
        <v>70170</v>
      </c>
      <c r="H12359" s="49">
        <f t="shared" si="2"/>
        <v>70167</v>
      </c>
    </row>
    <row r="12360">
      <c r="A12360" s="48" t="s">
        <v>1534</v>
      </c>
      <c r="B12360" s="38">
        <v>19277.0</v>
      </c>
      <c r="C12360" s="38" t="s">
        <v>16519</v>
      </c>
      <c r="D12360" s="38" t="str">
        <f>IFERROR(__xludf.DUMMYFUNCTION("REGEXREPLACE(C12360,""-\d+(.*)|--\d+(.*)"","""")"),"VALIERGUES")</f>
        <v>VALIERGUES</v>
      </c>
      <c r="E12360" s="38" t="s">
        <v>271</v>
      </c>
      <c r="F12360" s="38" t="s">
        <v>98</v>
      </c>
      <c r="G12360" s="49" t="str">
        <f t="shared" si="1"/>
        <v>19200</v>
      </c>
      <c r="H12360" s="49">
        <f t="shared" si="2"/>
        <v>19277</v>
      </c>
    </row>
    <row r="12361">
      <c r="A12361" s="48" t="s">
        <v>1883</v>
      </c>
      <c r="B12361" s="38">
        <v>39400.0</v>
      </c>
      <c r="C12361" s="38" t="s">
        <v>16520</v>
      </c>
      <c r="D12361" s="38" t="str">
        <f>IFERROR(__xludf.DUMMYFUNCTION("REGEXREPLACE(C12361,""-\d+(.*)|--\d+(.*)"","""")"),"OUR")</f>
        <v>OUR</v>
      </c>
      <c r="E12361" s="38" t="s">
        <v>400</v>
      </c>
      <c r="F12361" s="38" t="s">
        <v>214</v>
      </c>
      <c r="G12361" s="49" t="str">
        <f t="shared" si="1"/>
        <v>39700</v>
      </c>
      <c r="H12361" s="49">
        <f t="shared" si="2"/>
        <v>39400</v>
      </c>
    </row>
    <row r="12362">
      <c r="A12362" s="48" t="s">
        <v>4292</v>
      </c>
      <c r="B12362" s="38">
        <v>74068.0</v>
      </c>
      <c r="C12362" s="38" t="s">
        <v>16521</v>
      </c>
      <c r="D12362" s="38" t="str">
        <f>IFERROR(__xludf.DUMMYFUNCTION("REGEXREPLACE(C12362,""-\d+(.*)|--\d+(.*)"","""")"),"CHENE-EN-SEMINE")</f>
        <v>CHENE-EN-SEMINE</v>
      </c>
      <c r="E12362" s="38" t="s">
        <v>319</v>
      </c>
      <c r="F12362" s="38" t="s">
        <v>102</v>
      </c>
      <c r="G12362" s="49" t="str">
        <f t="shared" si="1"/>
        <v>74270</v>
      </c>
      <c r="H12362" s="49">
        <f t="shared" si="2"/>
        <v>74068</v>
      </c>
    </row>
    <row r="12363">
      <c r="A12363" s="48" t="s">
        <v>3624</v>
      </c>
      <c r="B12363" s="38">
        <v>39069.0</v>
      </c>
      <c r="C12363" s="38" t="s">
        <v>16522</v>
      </c>
      <c r="D12363" s="38" t="str">
        <f>IFERROR(__xludf.DUMMYFUNCTION("REGEXREPLACE(C12363,""-\d+(.*)|--\d+(.*)"","""")"),"BOURCIA")</f>
        <v>BOURCIA</v>
      </c>
      <c r="E12363" s="38" t="s">
        <v>400</v>
      </c>
      <c r="F12363" s="38" t="s">
        <v>214</v>
      </c>
      <c r="G12363" s="49" t="str">
        <f t="shared" si="1"/>
        <v>39320</v>
      </c>
      <c r="H12363" s="49">
        <f t="shared" si="2"/>
        <v>39069</v>
      </c>
    </row>
    <row r="12364">
      <c r="A12364" s="48" t="s">
        <v>5933</v>
      </c>
      <c r="B12364" s="38">
        <v>64006.0</v>
      </c>
      <c r="C12364" s="38" t="s">
        <v>16523</v>
      </c>
      <c r="D12364" s="38" t="str">
        <f>IFERROR(__xludf.DUMMYFUNCTION("REGEXREPLACE(C12364,""-\d+(.*)|--\d+(.*)"","""")"),"ACCOUS")</f>
        <v>ACCOUS</v>
      </c>
      <c r="E12364" s="38" t="s">
        <v>268</v>
      </c>
      <c r="F12364" s="38" t="s">
        <v>252</v>
      </c>
      <c r="G12364" s="49" t="str">
        <f t="shared" si="1"/>
        <v>64490</v>
      </c>
      <c r="H12364" s="49">
        <f t="shared" si="2"/>
        <v>64006</v>
      </c>
    </row>
    <row r="12365">
      <c r="A12365" s="48" t="s">
        <v>4563</v>
      </c>
      <c r="B12365" s="38">
        <v>38350.0</v>
      </c>
      <c r="C12365" s="38" t="s">
        <v>14581</v>
      </c>
      <c r="D12365" s="38" t="str">
        <f>IFERROR(__xludf.DUMMYFUNCTION("REGEXREPLACE(C12365,""-\d+(.*)|--\d+(.*)"","""")"),"SAINTE-AGNES")</f>
        <v>SAINTE-AGNES</v>
      </c>
      <c r="E12365" s="38" t="s">
        <v>101</v>
      </c>
      <c r="F12365" s="38" t="s">
        <v>102</v>
      </c>
      <c r="G12365" s="49" t="str">
        <f t="shared" si="1"/>
        <v>38190</v>
      </c>
      <c r="H12365" s="49">
        <f t="shared" si="2"/>
        <v>38350</v>
      </c>
    </row>
    <row r="12366">
      <c r="A12366" s="48" t="s">
        <v>201</v>
      </c>
      <c r="B12366" s="38">
        <v>2360.0</v>
      </c>
      <c r="C12366" s="38" t="s">
        <v>16524</v>
      </c>
      <c r="D12366" s="38" t="str">
        <f>IFERROR(__xludf.DUMMYFUNCTION("REGEXREPLACE(C12366,""-\d+(.*)|--\d+(.*)"","""")"),"GUIGNICOURT")</f>
        <v>GUIGNICOURT</v>
      </c>
      <c r="E12366" s="38" t="s">
        <v>191</v>
      </c>
      <c r="F12366" s="38" t="s">
        <v>113</v>
      </c>
      <c r="G12366" s="49" t="str">
        <f t="shared" si="1"/>
        <v>02190</v>
      </c>
      <c r="H12366" s="49" t="str">
        <f t="shared" si="2"/>
        <v>02360</v>
      </c>
    </row>
    <row r="12367">
      <c r="A12367" s="48" t="s">
        <v>16525</v>
      </c>
      <c r="B12367" s="38">
        <v>43025.0</v>
      </c>
      <c r="C12367" s="38" t="s">
        <v>16526</v>
      </c>
      <c r="D12367" s="38" t="str">
        <f>IFERROR(__xludf.DUMMYFUNCTION("REGEXREPLACE(C12367,""-\d+(.*)|--\d+(.*)"","""")"),"BEAUZAC")</f>
        <v>BEAUZAC</v>
      </c>
      <c r="E12367" s="38" t="s">
        <v>332</v>
      </c>
      <c r="F12367" s="38" t="s">
        <v>161</v>
      </c>
      <c r="G12367" s="49" t="str">
        <f t="shared" si="1"/>
        <v>43590</v>
      </c>
      <c r="H12367" s="49">
        <f t="shared" si="2"/>
        <v>43025</v>
      </c>
    </row>
    <row r="12368">
      <c r="A12368" s="48" t="s">
        <v>12011</v>
      </c>
      <c r="B12368" s="38">
        <v>60402.0</v>
      </c>
      <c r="C12368" s="38" t="s">
        <v>16527</v>
      </c>
      <c r="D12368" s="38" t="str">
        <f>IFERROR(__xludf.DUMMYFUNCTION("REGEXREPLACE(C12368,""-\d+(.*)|--\d+(.*)"","""")"),"LE MEUX")</f>
        <v>LE MEUX</v>
      </c>
      <c r="E12368" s="38" t="s">
        <v>112</v>
      </c>
      <c r="F12368" s="38" t="s">
        <v>113</v>
      </c>
      <c r="G12368" s="49" t="str">
        <f t="shared" si="1"/>
        <v>60880</v>
      </c>
      <c r="H12368" s="49">
        <f t="shared" si="2"/>
        <v>60402</v>
      </c>
    </row>
    <row r="12369">
      <c r="A12369" s="48" t="s">
        <v>6328</v>
      </c>
      <c r="B12369" s="38">
        <v>30262.0</v>
      </c>
      <c r="C12369" s="38" t="s">
        <v>16528</v>
      </c>
      <c r="D12369" s="38" t="str">
        <f>IFERROR(__xludf.DUMMYFUNCTION("REGEXREPLACE(C12369,""-\d+(.*)|--\d+(.*)"","""")"),"SAINT-HIPPOLYTE-DE-MONTAIGU")</f>
        <v>SAINT-HIPPOLYTE-DE-MONTAIGU</v>
      </c>
      <c r="E12369" s="38" t="s">
        <v>526</v>
      </c>
      <c r="F12369" s="38" t="s">
        <v>119</v>
      </c>
      <c r="G12369" s="49" t="str">
        <f t="shared" si="1"/>
        <v>30700</v>
      </c>
      <c r="H12369" s="49">
        <f t="shared" si="2"/>
        <v>30262</v>
      </c>
    </row>
    <row r="12370">
      <c r="A12370" s="48" t="s">
        <v>5902</v>
      </c>
      <c r="B12370" s="38">
        <v>30040.0</v>
      </c>
      <c r="C12370" s="38" t="s">
        <v>16529</v>
      </c>
      <c r="D12370" s="38" t="str">
        <f>IFERROR(__xludf.DUMMYFUNCTION("REGEXREPLACE(C12370,""-\d+(.*)|--\d+(.*)"","""")"),"BLANDAS")</f>
        <v>BLANDAS</v>
      </c>
      <c r="E12370" s="38" t="s">
        <v>526</v>
      </c>
      <c r="F12370" s="38" t="s">
        <v>119</v>
      </c>
      <c r="G12370" s="49" t="str">
        <f t="shared" si="1"/>
        <v>30770</v>
      </c>
      <c r="H12370" s="49">
        <f t="shared" si="2"/>
        <v>30040</v>
      </c>
    </row>
    <row r="12371">
      <c r="A12371" s="48" t="s">
        <v>16530</v>
      </c>
      <c r="B12371" s="38">
        <v>62427.0</v>
      </c>
      <c r="C12371" s="38" t="s">
        <v>16531</v>
      </c>
      <c r="D12371" s="38" t="str">
        <f>IFERROR(__xludf.DUMMYFUNCTION("REGEXREPLACE(C12371,""-\d+(.*)|--\d+(.*)"","""")"),"HENIN-BEAUMONT")</f>
        <v>HENIN-BEAUMONT</v>
      </c>
      <c r="E12371" s="38" t="s">
        <v>109</v>
      </c>
      <c r="F12371" s="38" t="s">
        <v>86</v>
      </c>
      <c r="G12371" s="49" t="str">
        <f t="shared" si="1"/>
        <v>62110</v>
      </c>
      <c r="H12371" s="49">
        <f t="shared" si="2"/>
        <v>62427</v>
      </c>
    </row>
    <row r="12372">
      <c r="A12372" s="48" t="s">
        <v>9067</v>
      </c>
      <c r="B12372" s="38">
        <v>73080.0</v>
      </c>
      <c r="C12372" s="38" t="s">
        <v>16532</v>
      </c>
      <c r="D12372" s="38" t="str">
        <f>IFERROR(__xludf.DUMMYFUNCTION("REGEXREPLACE(C12372,""-\d+(.*)|--\d+(.*)"","""")"),"LE CHATEL")</f>
        <v>LE CHATEL</v>
      </c>
      <c r="E12372" s="38" t="s">
        <v>306</v>
      </c>
      <c r="F12372" s="38" t="s">
        <v>102</v>
      </c>
      <c r="G12372" s="49" t="str">
        <f t="shared" si="1"/>
        <v>73300</v>
      </c>
      <c r="H12372" s="49">
        <f t="shared" si="2"/>
        <v>73080</v>
      </c>
    </row>
    <row r="12373">
      <c r="A12373" s="48" t="s">
        <v>6492</v>
      </c>
      <c r="B12373" s="38">
        <v>5167.0</v>
      </c>
      <c r="C12373" s="38" t="s">
        <v>16533</v>
      </c>
      <c r="D12373" s="38" t="str">
        <f>IFERROR(__xludf.DUMMYFUNCTION("REGEXREPLACE(C12373,""-\d+(.*)|--\d+(.*)"","""")"),"SIGOTTIER")</f>
        <v>SIGOTTIER</v>
      </c>
      <c r="E12373" s="38" t="s">
        <v>706</v>
      </c>
      <c r="F12373" s="38" t="s">
        <v>228</v>
      </c>
      <c r="G12373" s="49" t="str">
        <f t="shared" si="1"/>
        <v>05700</v>
      </c>
      <c r="H12373" s="49" t="str">
        <f t="shared" si="2"/>
        <v>05167</v>
      </c>
    </row>
    <row r="12374">
      <c r="A12374" s="48" t="s">
        <v>16366</v>
      </c>
      <c r="B12374" s="38">
        <v>21151.0</v>
      </c>
      <c r="C12374" s="38" t="s">
        <v>16534</v>
      </c>
      <c r="D12374" s="38" t="str">
        <f>IFERROR(__xludf.DUMMYFUNCTION("REGEXREPLACE(C12374,""-\d+(.*)|--\d+(.*)"","""")"),"CHASSEY")</f>
        <v>CHASSEY</v>
      </c>
      <c r="E12374" s="38" t="s">
        <v>105</v>
      </c>
      <c r="F12374" s="38" t="s">
        <v>106</v>
      </c>
      <c r="G12374" s="49" t="str">
        <f t="shared" si="1"/>
        <v>21150</v>
      </c>
      <c r="H12374" s="49">
        <f t="shared" si="2"/>
        <v>21151</v>
      </c>
    </row>
    <row r="12375">
      <c r="A12375" s="48" t="s">
        <v>2194</v>
      </c>
      <c r="B12375" s="38">
        <v>38110.0</v>
      </c>
      <c r="C12375" s="38" t="s">
        <v>16535</v>
      </c>
      <c r="D12375" s="38" t="str">
        <f>IFERROR(__xludf.DUMMYFUNCTION("REGEXREPLACE(C12375,""-\d+(.*)|--\d+(.*)"","""")"),"CHUZELLES")</f>
        <v>CHUZELLES</v>
      </c>
      <c r="E12375" s="38" t="s">
        <v>101</v>
      </c>
      <c r="F12375" s="38" t="s">
        <v>102</v>
      </c>
      <c r="G12375" s="49" t="str">
        <f t="shared" si="1"/>
        <v>38200</v>
      </c>
      <c r="H12375" s="49">
        <f t="shared" si="2"/>
        <v>38110</v>
      </c>
    </row>
    <row r="12376">
      <c r="A12376" s="48" t="s">
        <v>16536</v>
      </c>
      <c r="B12376" s="38">
        <v>68056.0</v>
      </c>
      <c r="C12376" s="38" t="s">
        <v>16537</v>
      </c>
      <c r="D12376" s="38" t="str">
        <f>IFERROR(__xludf.DUMMYFUNCTION("REGEXREPLACE(C12376,""-\d+(.*)|--\d+(.*)"","""")"),"BRUNSTATT")</f>
        <v>BRUNSTATT</v>
      </c>
      <c r="E12376" s="38" t="s">
        <v>150</v>
      </c>
      <c r="F12376" s="38" t="s">
        <v>151</v>
      </c>
      <c r="G12376" s="49" t="str">
        <f t="shared" si="1"/>
        <v>68350</v>
      </c>
      <c r="H12376" s="49">
        <f t="shared" si="2"/>
        <v>68056</v>
      </c>
    </row>
    <row r="12377">
      <c r="A12377" s="48" t="s">
        <v>4220</v>
      </c>
      <c r="B12377" s="38">
        <v>35188.0</v>
      </c>
      <c r="C12377" s="38" t="s">
        <v>16538</v>
      </c>
      <c r="D12377" s="38" t="str">
        <f>IFERROR(__xludf.DUMMYFUNCTION("REGEXREPLACE(C12377,""-\d+(.*)|--\d+(.*)"","""")"),"MONTFORT-SUR-MEU")</f>
        <v>MONTFORT-SUR-MEU</v>
      </c>
      <c r="E12377" s="38" t="s">
        <v>347</v>
      </c>
      <c r="F12377" s="38" t="s">
        <v>90</v>
      </c>
      <c r="G12377" s="49" t="str">
        <f t="shared" si="1"/>
        <v>35160</v>
      </c>
      <c r="H12377" s="49">
        <f t="shared" si="2"/>
        <v>35188</v>
      </c>
    </row>
    <row r="12378">
      <c r="A12378" s="48" t="s">
        <v>5142</v>
      </c>
      <c r="B12378" s="38">
        <v>58095.0</v>
      </c>
      <c r="C12378" s="38" t="s">
        <v>16539</v>
      </c>
      <c r="D12378" s="38" t="str">
        <f>IFERROR(__xludf.DUMMYFUNCTION("REGEXREPLACE(C12378,""-\d+(.*)|--\d+(.*)"","""")"),"DECIZE")</f>
        <v>DECIZE</v>
      </c>
      <c r="E12378" s="38" t="s">
        <v>219</v>
      </c>
      <c r="F12378" s="38" t="s">
        <v>106</v>
      </c>
      <c r="G12378" s="49" t="str">
        <f t="shared" si="1"/>
        <v>58300</v>
      </c>
      <c r="H12378" s="49">
        <f t="shared" si="2"/>
        <v>58095</v>
      </c>
    </row>
    <row r="12379">
      <c r="A12379" s="48" t="s">
        <v>2995</v>
      </c>
      <c r="B12379" s="38">
        <v>28245.0</v>
      </c>
      <c r="C12379" s="38" t="s">
        <v>16540</v>
      </c>
      <c r="D12379" s="38" t="str">
        <f>IFERROR(__xludf.DUMMYFUNCTION("REGEXREPLACE(C12379,""-\d+(.*)|--\d+(.*)"","""")"),"MESLAY-LE-GRENET")</f>
        <v>MESLAY-LE-GRENET</v>
      </c>
      <c r="E12379" s="38" t="s">
        <v>300</v>
      </c>
      <c r="F12379" s="38" t="s">
        <v>123</v>
      </c>
      <c r="G12379" s="49" t="str">
        <f t="shared" si="1"/>
        <v>28120</v>
      </c>
      <c r="H12379" s="49">
        <f t="shared" si="2"/>
        <v>28245</v>
      </c>
    </row>
    <row r="12380">
      <c r="A12380" s="48" t="s">
        <v>16541</v>
      </c>
      <c r="B12380" s="38">
        <v>71489.0</v>
      </c>
      <c r="C12380" s="38" t="s">
        <v>16542</v>
      </c>
      <c r="D12380" s="38" t="str">
        <f>IFERROR(__xludf.DUMMYFUNCTION("REGEXREPLACE(C12380,""-\d+(.*)|--\d+(.*)"","""")"),"SAINT-VINCENT-EN-BRESSE")</f>
        <v>SAINT-VINCENT-EN-BRESSE</v>
      </c>
      <c r="E12380" s="38" t="s">
        <v>344</v>
      </c>
      <c r="F12380" s="38" t="s">
        <v>106</v>
      </c>
      <c r="G12380" s="49" t="str">
        <f t="shared" si="1"/>
        <v>71440</v>
      </c>
      <c r="H12380" s="49">
        <f t="shared" si="2"/>
        <v>71489</v>
      </c>
    </row>
    <row r="12381">
      <c r="A12381" s="48" t="s">
        <v>12481</v>
      </c>
      <c r="B12381" s="38">
        <v>88498.0</v>
      </c>
      <c r="C12381" s="38" t="s">
        <v>16543</v>
      </c>
      <c r="D12381" s="38" t="str">
        <f>IFERROR(__xludf.DUMMYFUNCTION("REGEXREPLACE(C12381,""-\d+(.*)|--\d+(.*)"","""")"),"VECOUX")</f>
        <v>VECOUX</v>
      </c>
      <c r="E12381" s="38" t="s">
        <v>194</v>
      </c>
      <c r="F12381" s="38" t="s">
        <v>195</v>
      </c>
      <c r="G12381" s="49" t="str">
        <f t="shared" si="1"/>
        <v>88200</v>
      </c>
      <c r="H12381" s="49">
        <f t="shared" si="2"/>
        <v>88498</v>
      </c>
    </row>
    <row r="12382">
      <c r="A12382" s="48" t="s">
        <v>1825</v>
      </c>
      <c r="B12382" s="38">
        <v>64472.0</v>
      </c>
      <c r="C12382" s="38" t="s">
        <v>16544</v>
      </c>
      <c r="D12382" s="38" t="str">
        <f>IFERROR(__xludf.DUMMYFUNCTION("REGEXREPLACE(C12382,""-\d+(.*)|--\d+(.*)"","""")"),"SAINT-CASTIN")</f>
        <v>SAINT-CASTIN</v>
      </c>
      <c r="E12382" s="38" t="s">
        <v>268</v>
      </c>
      <c r="F12382" s="38" t="s">
        <v>252</v>
      </c>
      <c r="G12382" s="49" t="str">
        <f t="shared" si="1"/>
        <v>64160</v>
      </c>
      <c r="H12382" s="49">
        <f t="shared" si="2"/>
        <v>64472</v>
      </c>
    </row>
    <row r="12383">
      <c r="A12383" s="48" t="s">
        <v>3448</v>
      </c>
      <c r="B12383" s="38">
        <v>65118.0</v>
      </c>
      <c r="C12383" s="38" t="s">
        <v>16545</v>
      </c>
      <c r="D12383" s="38" t="str">
        <f>IFERROR(__xludf.DUMMYFUNCTION("REGEXREPLACE(C12383,""-\d+(.*)|--\d+(.*)"","""")"),"CAHARET")</f>
        <v>CAHARET</v>
      </c>
      <c r="E12383" s="38" t="s">
        <v>200</v>
      </c>
      <c r="F12383" s="38" t="s">
        <v>94</v>
      </c>
      <c r="G12383" s="49" t="str">
        <f t="shared" si="1"/>
        <v>65190</v>
      </c>
      <c r="H12383" s="49">
        <f t="shared" si="2"/>
        <v>65118</v>
      </c>
    </row>
    <row r="12384">
      <c r="A12384" s="48" t="s">
        <v>9556</v>
      </c>
      <c r="B12384" s="38">
        <v>60051.0</v>
      </c>
      <c r="C12384" s="38" t="s">
        <v>16546</v>
      </c>
      <c r="D12384" s="38" t="str">
        <f>IFERROR(__xludf.DUMMYFUNCTION("REGEXREPLACE(C12384,""-\d+(.*)|--\d+(.*)"","""")"),"BEAUDEDUIT")</f>
        <v>BEAUDEDUIT</v>
      </c>
      <c r="E12384" s="38" t="s">
        <v>112</v>
      </c>
      <c r="F12384" s="38" t="s">
        <v>113</v>
      </c>
      <c r="G12384" s="49" t="str">
        <f t="shared" si="1"/>
        <v>60210</v>
      </c>
      <c r="H12384" s="49">
        <f t="shared" si="2"/>
        <v>60051</v>
      </c>
    </row>
    <row r="12385">
      <c r="A12385" s="48" t="s">
        <v>11555</v>
      </c>
      <c r="B12385" s="38">
        <v>6035.0</v>
      </c>
      <c r="C12385" s="38" t="s">
        <v>16547</v>
      </c>
      <c r="D12385" s="38" t="str">
        <f>IFERROR(__xludf.DUMMYFUNCTION("REGEXREPLACE(C12385,""-\d+(.*)|--\d+(.*)"","""")"),"CASTELLAR")</f>
        <v>CASTELLAR</v>
      </c>
      <c r="E12385" s="38" t="s">
        <v>227</v>
      </c>
      <c r="F12385" s="38" t="s">
        <v>228</v>
      </c>
      <c r="G12385" s="49" t="str">
        <f t="shared" si="1"/>
        <v>06500</v>
      </c>
      <c r="H12385" s="49" t="str">
        <f t="shared" si="2"/>
        <v>06035</v>
      </c>
    </row>
    <row r="12386">
      <c r="A12386" s="48" t="s">
        <v>16548</v>
      </c>
      <c r="B12386" s="38" t="s">
        <v>16549</v>
      </c>
      <c r="C12386" s="38" t="s">
        <v>16550</v>
      </c>
      <c r="D12386" s="38" t="str">
        <f>IFERROR(__xludf.DUMMYFUNCTION("REGEXREPLACE(C12386,""-\d+(.*)|--\d+(.*)"","""")"),"FORCIOLO")</f>
        <v>FORCIOLO</v>
      </c>
      <c r="E12386" s="38" t="s">
        <v>606</v>
      </c>
      <c r="F12386" s="38" t="s">
        <v>607</v>
      </c>
      <c r="G12386" s="49" t="str">
        <f t="shared" si="1"/>
        <v>20190</v>
      </c>
      <c r="H12386" s="49" t="str">
        <f t="shared" si="2"/>
        <v>2A117</v>
      </c>
    </row>
    <row r="12387">
      <c r="A12387" s="48" t="s">
        <v>13993</v>
      </c>
      <c r="B12387" s="38">
        <v>87065.0</v>
      </c>
      <c r="C12387" s="38" t="s">
        <v>16551</v>
      </c>
      <c r="D12387" s="38" t="str">
        <f>IFERROR(__xludf.DUMMYFUNCTION("REGEXREPLACE(C12387,""-\d+(.*)|--\d+(.*)"","""")"),"FEYTIAT")</f>
        <v>FEYTIAT</v>
      </c>
      <c r="E12387" s="38" t="s">
        <v>897</v>
      </c>
      <c r="F12387" s="38" t="s">
        <v>98</v>
      </c>
      <c r="G12387" s="49" t="str">
        <f t="shared" si="1"/>
        <v>87220</v>
      </c>
      <c r="H12387" s="49">
        <f t="shared" si="2"/>
        <v>87065</v>
      </c>
    </row>
    <row r="12388">
      <c r="A12388" s="48" t="s">
        <v>162</v>
      </c>
      <c r="B12388" s="38">
        <v>31204.0</v>
      </c>
      <c r="C12388" s="38" t="s">
        <v>16552</v>
      </c>
      <c r="D12388" s="38" t="str">
        <f>IFERROR(__xludf.DUMMYFUNCTION("REGEXREPLACE(C12388,""-\d+(.*)|--\d+(.*)"","""")"),"FUSTIGNAC")</f>
        <v>FUSTIGNAC</v>
      </c>
      <c r="E12388" s="38" t="s">
        <v>93</v>
      </c>
      <c r="F12388" s="38" t="s">
        <v>94</v>
      </c>
      <c r="G12388" s="49" t="str">
        <f t="shared" si="1"/>
        <v>31430</v>
      </c>
      <c r="H12388" s="49">
        <f t="shared" si="2"/>
        <v>31204</v>
      </c>
    </row>
    <row r="12389">
      <c r="A12389" s="48" t="s">
        <v>14413</v>
      </c>
      <c r="B12389" s="38">
        <v>62412.0</v>
      </c>
      <c r="C12389" s="38" t="s">
        <v>16553</v>
      </c>
      <c r="D12389" s="38" t="str">
        <f>IFERROR(__xludf.DUMMYFUNCTION("REGEXREPLACE(C12389,""-\d+(.*)|--\d+(.*)"","""")"),"HARDINGHEN")</f>
        <v>HARDINGHEN</v>
      </c>
      <c r="E12389" s="38" t="s">
        <v>109</v>
      </c>
      <c r="F12389" s="38" t="s">
        <v>86</v>
      </c>
      <c r="G12389" s="49" t="str">
        <f t="shared" si="1"/>
        <v>62132</v>
      </c>
      <c r="H12389" s="49">
        <f t="shared" si="2"/>
        <v>62412</v>
      </c>
    </row>
    <row r="12390">
      <c r="A12390" s="48" t="s">
        <v>1210</v>
      </c>
      <c r="B12390" s="38">
        <v>50175.0</v>
      </c>
      <c r="C12390" s="38" t="s">
        <v>16554</v>
      </c>
      <c r="D12390" s="38" t="str">
        <f>IFERROR(__xludf.DUMMYFUNCTION("REGEXREPLACE(C12390,""-\d+(.*)|--\d+(.*)"","""")"),"EROUDEVILLE")</f>
        <v>EROUDEVILLE</v>
      </c>
      <c r="E12390" s="38" t="s">
        <v>157</v>
      </c>
      <c r="F12390" s="38" t="s">
        <v>138</v>
      </c>
      <c r="G12390" s="49" t="str">
        <f t="shared" si="1"/>
        <v>50310</v>
      </c>
      <c r="H12390" s="49">
        <f t="shared" si="2"/>
        <v>50175</v>
      </c>
    </row>
    <row r="12391">
      <c r="A12391" s="48" t="s">
        <v>5594</v>
      </c>
      <c r="B12391" s="38">
        <v>60162.0</v>
      </c>
      <c r="C12391" s="38" t="s">
        <v>16555</v>
      </c>
      <c r="D12391" s="38" t="str">
        <f>IFERROR(__xludf.DUMMYFUNCTION("REGEXREPLACE(C12391,""-\d+(.*)|--\d+(.*)"","""")"),"CORBEIL-CERF")</f>
        <v>CORBEIL-CERF</v>
      </c>
      <c r="E12391" s="38" t="s">
        <v>112</v>
      </c>
      <c r="F12391" s="38" t="s">
        <v>113</v>
      </c>
      <c r="G12391" s="49" t="str">
        <f t="shared" si="1"/>
        <v>60110</v>
      </c>
      <c r="H12391" s="49">
        <f t="shared" si="2"/>
        <v>60162</v>
      </c>
    </row>
    <row r="12392">
      <c r="A12392" s="48" t="s">
        <v>1132</v>
      </c>
      <c r="B12392" s="38">
        <v>2633.0</v>
      </c>
      <c r="C12392" s="38" t="s">
        <v>16556</v>
      </c>
      <c r="D12392" s="38" t="str">
        <f>IFERROR(__xludf.DUMMYFUNCTION("REGEXREPLACE(C12392,""-\d+(.*)|--\d+(.*)"","""")"),"QUINCY-SOUS-LE-MONT")</f>
        <v>QUINCY-SOUS-LE-MONT</v>
      </c>
      <c r="E12392" s="38" t="s">
        <v>191</v>
      </c>
      <c r="F12392" s="38" t="s">
        <v>113</v>
      </c>
      <c r="G12392" s="49" t="str">
        <f t="shared" si="1"/>
        <v>02220</v>
      </c>
      <c r="H12392" s="49" t="str">
        <f t="shared" si="2"/>
        <v>02633</v>
      </c>
    </row>
    <row r="12393">
      <c r="A12393" s="48" t="s">
        <v>4926</v>
      </c>
      <c r="B12393" s="38">
        <v>14121.0</v>
      </c>
      <c r="C12393" s="38" t="s">
        <v>16557</v>
      </c>
      <c r="D12393" s="38" t="str">
        <f>IFERROR(__xludf.DUMMYFUNCTION("REGEXREPLACE(C12393,""-\d+(.*)|--\d+(.*)"","""")"),"CAHAGNOLLES")</f>
        <v>CAHAGNOLLES</v>
      </c>
      <c r="E12393" s="38" t="s">
        <v>137</v>
      </c>
      <c r="F12393" s="38" t="s">
        <v>138</v>
      </c>
      <c r="G12393" s="49" t="str">
        <f t="shared" si="1"/>
        <v>14490</v>
      </c>
      <c r="H12393" s="49">
        <f t="shared" si="2"/>
        <v>14121</v>
      </c>
    </row>
    <row r="12394">
      <c r="A12394" s="48" t="s">
        <v>2047</v>
      </c>
      <c r="B12394" s="38">
        <v>62080.0</v>
      </c>
      <c r="C12394" s="38" t="s">
        <v>16558</v>
      </c>
      <c r="D12394" s="38" t="str">
        <f>IFERROR(__xludf.DUMMYFUNCTION("REGEXREPLACE(C12394,""-\d+(.*)|--\d+(.*)"","""")"),"BAPAUME")</f>
        <v>BAPAUME</v>
      </c>
      <c r="E12394" s="38" t="s">
        <v>109</v>
      </c>
      <c r="F12394" s="38" t="s">
        <v>86</v>
      </c>
      <c r="G12394" s="49" t="str">
        <f t="shared" si="1"/>
        <v>62450</v>
      </c>
      <c r="H12394" s="49">
        <f t="shared" si="2"/>
        <v>62080</v>
      </c>
    </row>
    <row r="12395">
      <c r="A12395" s="48" t="s">
        <v>16559</v>
      </c>
      <c r="B12395" s="38">
        <v>84037.0</v>
      </c>
      <c r="C12395" s="38" t="s">
        <v>16560</v>
      </c>
      <c r="D12395" s="38" t="str">
        <f>IFERROR(__xludf.DUMMYFUNCTION("REGEXREPLACE(C12395,""-\d+(.*)|--\d+(.*)"","""")"),"CHATEAUNEUF-DU-PAPE")</f>
        <v>CHATEAUNEUF-DU-PAPE</v>
      </c>
      <c r="E12395" s="38" t="s">
        <v>1026</v>
      </c>
      <c r="F12395" s="38" t="s">
        <v>228</v>
      </c>
      <c r="G12395" s="49" t="str">
        <f t="shared" si="1"/>
        <v>84230</v>
      </c>
      <c r="H12395" s="49">
        <f t="shared" si="2"/>
        <v>84037</v>
      </c>
    </row>
    <row r="12396">
      <c r="A12396" s="48" t="s">
        <v>16561</v>
      </c>
      <c r="B12396" s="38">
        <v>27515.0</v>
      </c>
      <c r="C12396" s="38" t="s">
        <v>16562</v>
      </c>
      <c r="D12396" s="38" t="str">
        <f>IFERROR(__xludf.DUMMYFUNCTION("REGEXREPLACE(C12396,""-\d+(.*)|--\d+(.*)"","""")"),"SAINT-AUBIN-LE-GUICHARD")</f>
        <v>SAINT-AUBIN-LE-GUICHARD</v>
      </c>
      <c r="E12396" s="38" t="s">
        <v>241</v>
      </c>
      <c r="F12396" s="38" t="s">
        <v>134</v>
      </c>
      <c r="G12396" s="49" t="str">
        <f t="shared" si="1"/>
        <v>27410</v>
      </c>
      <c r="H12396" s="49">
        <f t="shared" si="2"/>
        <v>27515</v>
      </c>
    </row>
    <row r="12397">
      <c r="A12397" s="48" t="s">
        <v>6858</v>
      </c>
      <c r="B12397" s="38">
        <v>71065.0</v>
      </c>
      <c r="C12397" s="38" t="s">
        <v>16563</v>
      </c>
      <c r="D12397" s="38" t="str">
        <f>IFERROR(__xludf.DUMMYFUNCTION("REGEXREPLACE(C12397,""-\d+(.*)|--\d+(.*)"","""")"),"BUFFIERES")</f>
        <v>BUFFIERES</v>
      </c>
      <c r="E12397" s="38" t="s">
        <v>344</v>
      </c>
      <c r="F12397" s="38" t="s">
        <v>106</v>
      </c>
      <c r="G12397" s="49" t="str">
        <f t="shared" si="1"/>
        <v>71250</v>
      </c>
      <c r="H12397" s="49">
        <f t="shared" si="2"/>
        <v>71065</v>
      </c>
    </row>
    <row r="12398">
      <c r="A12398" s="48" t="s">
        <v>5311</v>
      </c>
      <c r="B12398" s="38">
        <v>55348.0</v>
      </c>
      <c r="C12398" s="38" t="s">
        <v>16564</v>
      </c>
      <c r="D12398" s="38" t="str">
        <f>IFERROR(__xludf.DUMMYFUNCTION("REGEXREPLACE(C12398,""-\d+(.*)|--\d+(.*)"","""")"),"MONTIERS-SUR-SAULX")</f>
        <v>MONTIERS-SUR-SAULX</v>
      </c>
      <c r="E12398" s="38" t="s">
        <v>322</v>
      </c>
      <c r="F12398" s="38" t="s">
        <v>195</v>
      </c>
      <c r="G12398" s="49" t="str">
        <f t="shared" si="1"/>
        <v>55290</v>
      </c>
      <c r="H12398" s="49">
        <f t="shared" si="2"/>
        <v>55348</v>
      </c>
    </row>
    <row r="12399">
      <c r="A12399" s="48" t="s">
        <v>12300</v>
      </c>
      <c r="B12399" s="38">
        <v>37183.0</v>
      </c>
      <c r="C12399" s="38" t="s">
        <v>16565</v>
      </c>
      <c r="D12399" s="38" t="str">
        <f>IFERROR(__xludf.DUMMYFUNCTION("REGEXREPLACE(C12399,""-\d+(.*)|--\d+(.*)"","""")"),"PERRUSSON")</f>
        <v>PERRUSSON</v>
      </c>
      <c r="E12399" s="38" t="s">
        <v>205</v>
      </c>
      <c r="F12399" s="38" t="s">
        <v>123</v>
      </c>
      <c r="G12399" s="49" t="str">
        <f t="shared" si="1"/>
        <v>37600</v>
      </c>
      <c r="H12399" s="49">
        <f t="shared" si="2"/>
        <v>37183</v>
      </c>
    </row>
    <row r="12400">
      <c r="A12400" s="48" t="s">
        <v>3366</v>
      </c>
      <c r="B12400" s="38">
        <v>47150.0</v>
      </c>
      <c r="C12400" s="38" t="s">
        <v>7168</v>
      </c>
      <c r="D12400" s="38" t="str">
        <f>IFERROR(__xludf.DUMMYFUNCTION("REGEXREPLACE(C12400,""-\d+(.*)|--\d+(.*)"","""")"),"LONGUEVILLE")</f>
        <v>LONGUEVILLE</v>
      </c>
      <c r="E12400" s="38" t="s">
        <v>251</v>
      </c>
      <c r="F12400" s="38" t="s">
        <v>252</v>
      </c>
      <c r="G12400" s="49" t="str">
        <f t="shared" si="1"/>
        <v>47200</v>
      </c>
      <c r="H12400" s="49">
        <f t="shared" si="2"/>
        <v>47150</v>
      </c>
    </row>
    <row r="12401">
      <c r="A12401" s="48" t="s">
        <v>5212</v>
      </c>
      <c r="B12401" s="38">
        <v>41113.0</v>
      </c>
      <c r="C12401" s="38" t="s">
        <v>16566</v>
      </c>
      <c r="D12401" s="38" t="str">
        <f>IFERROR(__xludf.DUMMYFUNCTION("REGEXREPLACE(C12401,""-\d+(.*)|--\d+(.*)"","""")"),"LAVARDIN")</f>
        <v>LAVARDIN</v>
      </c>
      <c r="E12401" s="38" t="s">
        <v>188</v>
      </c>
      <c r="F12401" s="38" t="s">
        <v>123</v>
      </c>
      <c r="G12401" s="49" t="str">
        <f t="shared" si="1"/>
        <v>41800</v>
      </c>
      <c r="H12401" s="49">
        <f t="shared" si="2"/>
        <v>41113</v>
      </c>
    </row>
    <row r="12402">
      <c r="A12402" s="48" t="s">
        <v>16567</v>
      </c>
      <c r="B12402" s="38">
        <v>73298.0</v>
      </c>
      <c r="C12402" s="38" t="s">
        <v>16568</v>
      </c>
      <c r="D12402" s="38" t="str">
        <f>IFERROR(__xludf.DUMMYFUNCTION("REGEXREPLACE(C12402,""-\d+(.*)|--\d+(.*)"","""")"),"TOURS-EN-SAVOIE")</f>
        <v>TOURS-EN-SAVOIE</v>
      </c>
      <c r="E12402" s="38" t="s">
        <v>306</v>
      </c>
      <c r="F12402" s="38" t="s">
        <v>102</v>
      </c>
      <c r="G12402" s="49" t="str">
        <f t="shared" si="1"/>
        <v>73790</v>
      </c>
      <c r="H12402" s="49">
        <f t="shared" si="2"/>
        <v>73298</v>
      </c>
    </row>
    <row r="12403">
      <c r="A12403" s="48" t="s">
        <v>2495</v>
      </c>
      <c r="B12403" s="38">
        <v>41082.0</v>
      </c>
      <c r="C12403" s="38" t="s">
        <v>6475</v>
      </c>
      <c r="D12403" s="38" t="str">
        <f>IFERROR(__xludf.DUMMYFUNCTION("REGEXREPLACE(C12403,""-\d+(.*)|--\d+(.*)"","""")"),"FEINGS")</f>
        <v>FEINGS</v>
      </c>
      <c r="E12403" s="38" t="s">
        <v>188</v>
      </c>
      <c r="F12403" s="38" t="s">
        <v>123</v>
      </c>
      <c r="G12403" s="49" t="str">
        <f t="shared" si="1"/>
        <v>41120</v>
      </c>
      <c r="H12403" s="49">
        <f t="shared" si="2"/>
        <v>41082</v>
      </c>
    </row>
    <row r="12404">
      <c r="A12404" s="48" t="s">
        <v>1448</v>
      </c>
      <c r="B12404" s="38">
        <v>29144.0</v>
      </c>
      <c r="C12404" s="38" t="s">
        <v>16569</v>
      </c>
      <c r="D12404" s="38" t="str">
        <f>IFERROR(__xludf.DUMMYFUNCTION("REGEXREPLACE(C12404,""-\d+(.*)|--\d+(.*)"","""")"),"LA MARTYRE")</f>
        <v>LA MARTYRE</v>
      </c>
      <c r="E12404" s="38" t="s">
        <v>176</v>
      </c>
      <c r="F12404" s="38" t="s">
        <v>90</v>
      </c>
      <c r="G12404" s="49" t="str">
        <f t="shared" si="1"/>
        <v>29800</v>
      </c>
      <c r="H12404" s="49">
        <f t="shared" si="2"/>
        <v>29144</v>
      </c>
    </row>
    <row r="12405">
      <c r="A12405" s="48" t="s">
        <v>1938</v>
      </c>
      <c r="B12405" s="38">
        <v>55411.0</v>
      </c>
      <c r="C12405" s="38" t="s">
        <v>16570</v>
      </c>
      <c r="D12405" s="38" t="str">
        <f>IFERROR(__xludf.DUMMYFUNCTION("REGEXREPLACE(C12405,""-\d+(.*)|--\d+(.*)"","""")"),"RAMBLUZIN-ET-BENOITE-VAUX")</f>
        <v>RAMBLUZIN-ET-BENOITE-VAUX</v>
      </c>
      <c r="E12405" s="38" t="s">
        <v>322</v>
      </c>
      <c r="F12405" s="38" t="s">
        <v>195</v>
      </c>
      <c r="G12405" s="49" t="str">
        <f t="shared" si="1"/>
        <v>55220</v>
      </c>
      <c r="H12405" s="49">
        <f t="shared" si="2"/>
        <v>55411</v>
      </c>
    </row>
    <row r="12406">
      <c r="A12406" s="48" t="s">
        <v>6075</v>
      </c>
      <c r="B12406" s="38">
        <v>63088.0</v>
      </c>
      <c r="C12406" s="38" t="s">
        <v>16571</v>
      </c>
      <c r="D12406" s="38" t="str">
        <f>IFERROR(__xludf.DUMMYFUNCTION("REGEXREPLACE(C12406,""-\d+(.*)|--\d+(.*)"","""")"),"LA CHAPELLE-SUR-USSON")</f>
        <v>LA CHAPELLE-SUR-USSON</v>
      </c>
      <c r="E12406" s="38" t="s">
        <v>353</v>
      </c>
      <c r="F12406" s="38" t="s">
        <v>161</v>
      </c>
      <c r="G12406" s="49" t="str">
        <f t="shared" si="1"/>
        <v>63580</v>
      </c>
      <c r="H12406" s="49">
        <f t="shared" si="2"/>
        <v>63088</v>
      </c>
    </row>
    <row r="12407">
      <c r="A12407" s="48" t="s">
        <v>2274</v>
      </c>
      <c r="B12407" s="38">
        <v>48045.0</v>
      </c>
      <c r="C12407" s="38" t="s">
        <v>16572</v>
      </c>
      <c r="D12407" s="38" t="str">
        <f>IFERROR(__xludf.DUMMYFUNCTION("REGEXREPLACE(C12407,""-\d+(.*)|--\d+(.*)"","""")"),"CHAUDEYRAC")</f>
        <v>CHAUDEYRAC</v>
      </c>
      <c r="E12407" s="38" t="s">
        <v>154</v>
      </c>
      <c r="F12407" s="38" t="s">
        <v>119</v>
      </c>
      <c r="G12407" s="49" t="str">
        <f t="shared" si="1"/>
        <v>48170</v>
      </c>
      <c r="H12407" s="49">
        <f t="shared" si="2"/>
        <v>48045</v>
      </c>
    </row>
    <row r="12408">
      <c r="A12408" s="48" t="s">
        <v>2563</v>
      </c>
      <c r="B12408" s="38">
        <v>76113.0</v>
      </c>
      <c r="C12408" s="38" t="s">
        <v>16573</v>
      </c>
      <c r="D12408" s="38" t="str">
        <f>IFERROR(__xludf.DUMMYFUNCTION("REGEXREPLACE(C12408,""-\d+(.*)|--\d+(.*)"","""")"),"BOISSAY")</f>
        <v>BOISSAY</v>
      </c>
      <c r="E12408" s="38" t="s">
        <v>133</v>
      </c>
      <c r="F12408" s="38" t="s">
        <v>134</v>
      </c>
      <c r="G12408" s="49" t="str">
        <f t="shared" si="1"/>
        <v>76750</v>
      </c>
      <c r="H12408" s="49">
        <f t="shared" si="2"/>
        <v>76113</v>
      </c>
    </row>
    <row r="12409">
      <c r="A12409" s="48" t="s">
        <v>4178</v>
      </c>
      <c r="B12409" s="38">
        <v>25573.0</v>
      </c>
      <c r="C12409" s="38" t="s">
        <v>16574</v>
      </c>
      <c r="D12409" s="38" t="str">
        <f>IFERROR(__xludf.DUMMYFUNCTION("REGEXREPLACE(C12409,""-\d+(.*)|--\d+(.*)"","""")"),"URTIERE")</f>
        <v>URTIERE</v>
      </c>
      <c r="E12409" s="38" t="s">
        <v>213</v>
      </c>
      <c r="F12409" s="38" t="s">
        <v>214</v>
      </c>
      <c r="G12409" s="49" t="str">
        <f t="shared" si="1"/>
        <v>25470</v>
      </c>
      <c r="H12409" s="49">
        <f t="shared" si="2"/>
        <v>25573</v>
      </c>
    </row>
    <row r="12410">
      <c r="A12410" s="48" t="s">
        <v>9026</v>
      </c>
      <c r="B12410" s="38">
        <v>21268.0</v>
      </c>
      <c r="C12410" s="38" t="s">
        <v>16575</v>
      </c>
      <c r="D12410" s="38" t="str">
        <f>IFERROR(__xludf.DUMMYFUNCTION("REGEXREPLACE(C12410,""-\d+(.*)|--\d+(.*)"","""")"),"FLAGEY-LES-AUXONNE")</f>
        <v>FLAGEY-LES-AUXONNE</v>
      </c>
      <c r="E12410" s="38" t="s">
        <v>105</v>
      </c>
      <c r="F12410" s="38" t="s">
        <v>106</v>
      </c>
      <c r="G12410" s="49" t="str">
        <f t="shared" si="1"/>
        <v>21130</v>
      </c>
      <c r="H12410" s="49">
        <f t="shared" si="2"/>
        <v>21268</v>
      </c>
    </row>
    <row r="12411">
      <c r="A12411" s="48" t="s">
        <v>16576</v>
      </c>
      <c r="B12411" s="38">
        <v>30276.0</v>
      </c>
      <c r="C12411" s="38" t="s">
        <v>16577</v>
      </c>
      <c r="D12411" s="38" t="str">
        <f>IFERROR(__xludf.DUMMYFUNCTION("REGEXREPLACE(C12411,""-\d+(.*)|--\d+(.*)"","""")"),"SAINT-LAURENT-D'AIGOUZE")</f>
        <v>SAINT-LAURENT-D'AIGOUZE</v>
      </c>
      <c r="E12411" s="38" t="s">
        <v>526</v>
      </c>
      <c r="F12411" s="38" t="s">
        <v>119</v>
      </c>
      <c r="G12411" s="49" t="str">
        <f t="shared" si="1"/>
        <v>30220</v>
      </c>
      <c r="H12411" s="49">
        <f t="shared" si="2"/>
        <v>30276</v>
      </c>
    </row>
    <row r="12412">
      <c r="A12412" s="48" t="s">
        <v>4125</v>
      </c>
      <c r="B12412" s="38">
        <v>19093.0</v>
      </c>
      <c r="C12412" s="38" t="s">
        <v>16578</v>
      </c>
      <c r="D12412" s="38" t="str">
        <f>IFERROR(__xludf.DUMMYFUNCTION("REGEXREPLACE(C12412,""-\d+(.*)|--\d+(.*)"","""")"),"JUGEALS-NAZARETH")</f>
        <v>JUGEALS-NAZARETH</v>
      </c>
      <c r="E12412" s="38" t="s">
        <v>271</v>
      </c>
      <c r="F12412" s="38" t="s">
        <v>98</v>
      </c>
      <c r="G12412" s="49" t="str">
        <f t="shared" si="1"/>
        <v>19500</v>
      </c>
      <c r="H12412" s="49">
        <f t="shared" si="2"/>
        <v>19093</v>
      </c>
    </row>
    <row r="12413">
      <c r="A12413" s="48" t="s">
        <v>6474</v>
      </c>
      <c r="B12413" s="38">
        <v>61229.0</v>
      </c>
      <c r="C12413" s="38" t="s">
        <v>16579</v>
      </c>
      <c r="D12413" s="38" t="str">
        <f>IFERROR(__xludf.DUMMYFUNCTION("REGEXREPLACE(C12413,""-\d+(.*)|--\d+(.*)"","""")"),"LOISAIL")</f>
        <v>LOISAIL</v>
      </c>
      <c r="E12413" s="38" t="s">
        <v>141</v>
      </c>
      <c r="F12413" s="38" t="s">
        <v>138</v>
      </c>
      <c r="G12413" s="49" t="str">
        <f t="shared" si="1"/>
        <v>61400</v>
      </c>
      <c r="H12413" s="49">
        <f t="shared" si="2"/>
        <v>61229</v>
      </c>
    </row>
    <row r="12414">
      <c r="A12414" s="48" t="s">
        <v>12589</v>
      </c>
      <c r="B12414" s="38">
        <v>1352.0</v>
      </c>
      <c r="C12414" s="38" t="s">
        <v>16580</v>
      </c>
      <c r="D12414" s="38" t="str">
        <f>IFERROR(__xludf.DUMMYFUNCTION("REGEXREPLACE(C12414,""-\d+(.*)|--\d+(.*)"","""")"),"SAINT-ETIENNE-SUR-REYSSOUZE")</f>
        <v>SAINT-ETIENNE-SUR-REYSSOUZE</v>
      </c>
      <c r="E12414" s="38" t="s">
        <v>255</v>
      </c>
      <c r="F12414" s="38" t="s">
        <v>102</v>
      </c>
      <c r="G12414" s="49" t="str">
        <f t="shared" si="1"/>
        <v>01190</v>
      </c>
      <c r="H12414" s="49" t="str">
        <f t="shared" si="2"/>
        <v>01352</v>
      </c>
    </row>
    <row r="12415">
      <c r="A12415" s="48" t="s">
        <v>1137</v>
      </c>
      <c r="B12415" s="38">
        <v>60611.0</v>
      </c>
      <c r="C12415" s="38" t="s">
        <v>11234</v>
      </c>
      <c r="D12415" s="38" t="str">
        <f>IFERROR(__xludf.DUMMYFUNCTION("REGEXREPLACE(C12415,""-\d+(.*)|--\d+(.*)"","""")"),"SENANTES")</f>
        <v>SENANTES</v>
      </c>
      <c r="E12415" s="38" t="s">
        <v>112</v>
      </c>
      <c r="F12415" s="38" t="s">
        <v>113</v>
      </c>
      <c r="G12415" s="49" t="str">
        <f t="shared" si="1"/>
        <v>60650</v>
      </c>
      <c r="H12415" s="49">
        <f t="shared" si="2"/>
        <v>60611</v>
      </c>
    </row>
    <row r="12416">
      <c r="A12416" s="48" t="s">
        <v>3541</v>
      </c>
      <c r="B12416" s="38">
        <v>32319.0</v>
      </c>
      <c r="C12416" s="38" t="s">
        <v>6814</v>
      </c>
      <c r="D12416" s="38" t="str">
        <f>IFERROR(__xludf.DUMMYFUNCTION("REGEXREPLACE(C12416,""-\d+(.*)|--\d+(.*)"","""")"),"PLAISANCE")</f>
        <v>PLAISANCE</v>
      </c>
      <c r="E12416" s="38" t="s">
        <v>440</v>
      </c>
      <c r="F12416" s="38" t="s">
        <v>94</v>
      </c>
      <c r="G12416" s="49" t="str">
        <f t="shared" si="1"/>
        <v>32160</v>
      </c>
      <c r="H12416" s="49">
        <f t="shared" si="2"/>
        <v>32319</v>
      </c>
    </row>
    <row r="12417">
      <c r="A12417" s="48" t="s">
        <v>427</v>
      </c>
      <c r="B12417" s="38">
        <v>16150.0</v>
      </c>
      <c r="C12417" s="38" t="s">
        <v>16581</v>
      </c>
      <c r="D12417" s="38" t="str">
        <f>IFERROR(__xludf.DUMMYFUNCTION("REGEXREPLACE(C12417,""-\d+(.*)|--\d+(.*)"","""")"),"GENSAC-LA-PALLUE")</f>
        <v>GENSAC-LA-PALLUE</v>
      </c>
      <c r="E12417" s="38" t="s">
        <v>429</v>
      </c>
      <c r="F12417" s="38" t="s">
        <v>338</v>
      </c>
      <c r="G12417" s="49" t="str">
        <f t="shared" si="1"/>
        <v>16130</v>
      </c>
      <c r="H12417" s="49">
        <f t="shared" si="2"/>
        <v>16150</v>
      </c>
    </row>
    <row r="12418">
      <c r="A12418" s="48" t="s">
        <v>916</v>
      </c>
      <c r="B12418" s="38">
        <v>76752.0</v>
      </c>
      <c r="C12418" s="38" t="s">
        <v>16582</v>
      </c>
      <c r="D12418" s="38" t="str">
        <f>IFERROR(__xludf.DUMMYFUNCTION("REGEXREPLACE(C12418,""-\d+(.*)|--\d+(.*)"","""")"),"YERVILLE")</f>
        <v>YERVILLE</v>
      </c>
      <c r="E12418" s="38" t="s">
        <v>133</v>
      </c>
      <c r="F12418" s="38" t="s">
        <v>134</v>
      </c>
      <c r="G12418" s="49" t="str">
        <f t="shared" si="1"/>
        <v>76760</v>
      </c>
      <c r="H12418" s="49">
        <f t="shared" si="2"/>
        <v>76752</v>
      </c>
    </row>
    <row r="12419">
      <c r="A12419" s="48" t="s">
        <v>4467</v>
      </c>
      <c r="B12419" s="38">
        <v>53031.0</v>
      </c>
      <c r="C12419" s="38" t="s">
        <v>16583</v>
      </c>
      <c r="D12419" s="38" t="str">
        <f>IFERROR(__xludf.DUMMYFUNCTION("REGEXREPLACE(C12419,""-\d+(.*)|--\d+(.*)"","""")"),"LA BIGOTTIERE")</f>
        <v>LA BIGOTTIERE</v>
      </c>
      <c r="E12419" s="38" t="s">
        <v>518</v>
      </c>
      <c r="F12419" s="38" t="s">
        <v>180</v>
      </c>
      <c r="G12419" s="49" t="str">
        <f t="shared" si="1"/>
        <v>53240</v>
      </c>
      <c r="H12419" s="49">
        <f t="shared" si="2"/>
        <v>53031</v>
      </c>
    </row>
    <row r="12420">
      <c r="A12420" s="48" t="s">
        <v>16584</v>
      </c>
      <c r="B12420" s="38">
        <v>91332.0</v>
      </c>
      <c r="C12420" s="38" t="s">
        <v>16585</v>
      </c>
      <c r="D12420" s="38" t="str">
        <f>IFERROR(__xludf.DUMMYFUNCTION("REGEXREPLACE(C12420,""-\d+(.*)|--\d+(.*)"","""")"),"LEUDEVILLE")</f>
        <v>LEUDEVILLE</v>
      </c>
      <c r="E12420" s="38" t="s">
        <v>756</v>
      </c>
      <c r="F12420" s="38" t="s">
        <v>245</v>
      </c>
      <c r="G12420" s="49" t="str">
        <f t="shared" si="1"/>
        <v>91630</v>
      </c>
      <c r="H12420" s="49">
        <f t="shared" si="2"/>
        <v>91332</v>
      </c>
    </row>
    <row r="12421">
      <c r="A12421" s="48" t="s">
        <v>15207</v>
      </c>
      <c r="B12421" s="38">
        <v>74163.0</v>
      </c>
      <c r="C12421" s="38" t="s">
        <v>16586</v>
      </c>
      <c r="D12421" s="38" t="str">
        <f>IFERROR(__xludf.DUMMYFUNCTION("REGEXREPLACE(C12421,""-\d+(.*)|--\d+(.*)"","""")"),"MARGENCEL")</f>
        <v>MARGENCEL</v>
      </c>
      <c r="E12421" s="38" t="s">
        <v>319</v>
      </c>
      <c r="F12421" s="38" t="s">
        <v>102</v>
      </c>
      <c r="G12421" s="49" t="str">
        <f t="shared" si="1"/>
        <v>74200</v>
      </c>
      <c r="H12421" s="49">
        <f t="shared" si="2"/>
        <v>74163</v>
      </c>
    </row>
    <row r="12422">
      <c r="A12422" s="48" t="s">
        <v>9311</v>
      </c>
      <c r="B12422" s="38">
        <v>24042.0</v>
      </c>
      <c r="C12422" s="38" t="s">
        <v>16587</v>
      </c>
      <c r="D12422" s="38" t="str">
        <f>IFERROR(__xludf.DUMMYFUNCTION("REGEXREPLACE(C12422,""-\d+(.*)|--\d+(.*)"","""")"),"BIRAS")</f>
        <v>BIRAS</v>
      </c>
      <c r="E12422" s="38" t="s">
        <v>261</v>
      </c>
      <c r="F12422" s="38" t="s">
        <v>252</v>
      </c>
      <c r="G12422" s="49" t="str">
        <f t="shared" si="1"/>
        <v>24310</v>
      </c>
      <c r="H12422" s="49">
        <f t="shared" si="2"/>
        <v>24042</v>
      </c>
    </row>
    <row r="12423">
      <c r="A12423" s="48" t="s">
        <v>2029</v>
      </c>
      <c r="B12423" s="38">
        <v>50212.0</v>
      </c>
      <c r="C12423" s="38" t="s">
        <v>16588</v>
      </c>
      <c r="D12423" s="38" t="str">
        <f>IFERROR(__xludf.DUMMYFUNCTION("REGEXREPLACE(C12423,""-\d+(.*)|--\d+(.*)"","""")"),"GOURBESVILLE")</f>
        <v>GOURBESVILLE</v>
      </c>
      <c r="E12423" s="38" t="s">
        <v>157</v>
      </c>
      <c r="F12423" s="38" t="s">
        <v>138</v>
      </c>
      <c r="G12423" s="49" t="str">
        <f t="shared" si="1"/>
        <v>50480</v>
      </c>
      <c r="H12423" s="49">
        <f t="shared" si="2"/>
        <v>50212</v>
      </c>
    </row>
    <row r="12424">
      <c r="A12424" s="48" t="s">
        <v>8414</v>
      </c>
      <c r="B12424" s="38">
        <v>60014.0</v>
      </c>
      <c r="C12424" s="38" t="s">
        <v>16589</v>
      </c>
      <c r="D12424" s="38" t="str">
        <f>IFERROR(__xludf.DUMMYFUNCTION("REGEXREPLACE(C12424,""-\d+(.*)|--\d+(.*)"","""")"),"ANGIVILLERS")</f>
        <v>ANGIVILLERS</v>
      </c>
      <c r="E12424" s="38" t="s">
        <v>112</v>
      </c>
      <c r="F12424" s="38" t="s">
        <v>113</v>
      </c>
      <c r="G12424" s="49" t="str">
        <f t="shared" si="1"/>
        <v>60130</v>
      </c>
      <c r="H12424" s="49">
        <f t="shared" si="2"/>
        <v>60014</v>
      </c>
    </row>
    <row r="12425">
      <c r="A12425" s="48" t="s">
        <v>964</v>
      </c>
      <c r="B12425" s="38">
        <v>71252.0</v>
      </c>
      <c r="C12425" s="38" t="s">
        <v>16590</v>
      </c>
      <c r="D12425" s="38" t="str">
        <f>IFERROR(__xludf.DUMMYFUNCTION("REGEXREPLACE(C12425,""-\d+(.*)|--\d+(.*)"","""")"),"LALHEUE")</f>
        <v>LALHEUE</v>
      </c>
      <c r="E12425" s="38" t="s">
        <v>344</v>
      </c>
      <c r="F12425" s="38" t="s">
        <v>106</v>
      </c>
      <c r="G12425" s="49" t="str">
        <f t="shared" si="1"/>
        <v>71240</v>
      </c>
      <c r="H12425" s="49">
        <f t="shared" si="2"/>
        <v>71252</v>
      </c>
    </row>
    <row r="12426">
      <c r="A12426" s="48" t="s">
        <v>1511</v>
      </c>
      <c r="B12426" s="38">
        <v>22226.0</v>
      </c>
      <c r="C12426" s="38" t="s">
        <v>16591</v>
      </c>
      <c r="D12426" s="38" t="str">
        <f>IFERROR(__xludf.DUMMYFUNCTION("REGEXREPLACE(C12426,""-\d+(.*)|--\d+(.*)"","""")"),"PLOUMILLIAU")</f>
        <v>PLOUMILLIAU</v>
      </c>
      <c r="E12426" s="38" t="s">
        <v>89</v>
      </c>
      <c r="F12426" s="38" t="s">
        <v>90</v>
      </c>
      <c r="G12426" s="49" t="str">
        <f t="shared" si="1"/>
        <v>22300</v>
      </c>
      <c r="H12426" s="49">
        <f t="shared" si="2"/>
        <v>22226</v>
      </c>
    </row>
    <row r="12427">
      <c r="A12427" s="48" t="s">
        <v>1212</v>
      </c>
      <c r="B12427" s="38">
        <v>11264.0</v>
      </c>
      <c r="C12427" s="38" t="s">
        <v>16592</v>
      </c>
      <c r="D12427" s="38" t="str">
        <f>IFERROR(__xludf.DUMMYFUNCTION("REGEXREPLACE(C12427,""-\d+(.*)|--\d+(.*)"","""")"),"NEVIAN")</f>
        <v>NEVIAN</v>
      </c>
      <c r="E12427" s="38" t="s">
        <v>278</v>
      </c>
      <c r="F12427" s="38" t="s">
        <v>119</v>
      </c>
      <c r="G12427" s="49" t="str">
        <f t="shared" si="1"/>
        <v>11200</v>
      </c>
      <c r="H12427" s="49">
        <f t="shared" si="2"/>
        <v>11264</v>
      </c>
    </row>
    <row r="12428">
      <c r="A12428" s="48" t="s">
        <v>958</v>
      </c>
      <c r="B12428" s="38">
        <v>71581.0</v>
      </c>
      <c r="C12428" s="38" t="s">
        <v>16593</v>
      </c>
      <c r="D12428" s="38" t="str">
        <f>IFERROR(__xludf.DUMMYFUNCTION("REGEXREPLACE(C12428,""-\d+(.*)|--\d+(.*)"","""")"),"VINDECY")</f>
        <v>VINDECY</v>
      </c>
      <c r="E12428" s="38" t="s">
        <v>344</v>
      </c>
      <c r="F12428" s="38" t="s">
        <v>106</v>
      </c>
      <c r="G12428" s="49" t="str">
        <f t="shared" si="1"/>
        <v>71110</v>
      </c>
      <c r="H12428" s="49">
        <f t="shared" si="2"/>
        <v>71581</v>
      </c>
    </row>
    <row r="12429">
      <c r="A12429" s="48" t="s">
        <v>7549</v>
      </c>
      <c r="B12429" s="38">
        <v>50585.0</v>
      </c>
      <c r="C12429" s="38" t="s">
        <v>16594</v>
      </c>
      <c r="D12429" s="38" t="str">
        <f>IFERROR(__xludf.DUMMYFUNCTION("REGEXREPLACE(C12429,""-\d+(.*)|--\d+(.*)"","""")"),"SURTAINVILLE")</f>
        <v>SURTAINVILLE</v>
      </c>
      <c r="E12429" s="38" t="s">
        <v>157</v>
      </c>
      <c r="F12429" s="38" t="s">
        <v>138</v>
      </c>
      <c r="G12429" s="49" t="str">
        <f t="shared" si="1"/>
        <v>50270</v>
      </c>
      <c r="H12429" s="49">
        <f t="shared" si="2"/>
        <v>50585</v>
      </c>
    </row>
    <row r="12430">
      <c r="A12430" s="48" t="s">
        <v>11319</v>
      </c>
      <c r="B12430" s="38">
        <v>51190.0</v>
      </c>
      <c r="C12430" s="38" t="s">
        <v>16595</v>
      </c>
      <c r="D12430" s="38" t="str">
        <f>IFERROR(__xludf.DUMMYFUNCTION("REGEXREPLACE(C12430,""-\d+(.*)|--\d+(.*)"","""")"),"COURTAGNON")</f>
        <v>COURTAGNON</v>
      </c>
      <c r="E12430" s="38" t="s">
        <v>129</v>
      </c>
      <c r="F12430" s="38" t="s">
        <v>130</v>
      </c>
      <c r="G12430" s="49" t="str">
        <f t="shared" si="1"/>
        <v>51480</v>
      </c>
      <c r="H12430" s="49">
        <f t="shared" si="2"/>
        <v>51190</v>
      </c>
    </row>
    <row r="12431">
      <c r="A12431" s="48" t="s">
        <v>3846</v>
      </c>
      <c r="B12431" s="38">
        <v>19097.0</v>
      </c>
      <c r="C12431" s="38" t="s">
        <v>16596</v>
      </c>
      <c r="D12431" s="38" t="str">
        <f>IFERROR(__xludf.DUMMYFUNCTION("REGEXREPLACE(C12431,""-\d+(.*)|--\d+(.*)"","""")"),"LAFAGE-SUR-SOMBRE")</f>
        <v>LAFAGE-SUR-SOMBRE</v>
      </c>
      <c r="E12431" s="38" t="s">
        <v>271</v>
      </c>
      <c r="F12431" s="38" t="s">
        <v>98</v>
      </c>
      <c r="G12431" s="49" t="str">
        <f t="shared" si="1"/>
        <v>19320</v>
      </c>
      <c r="H12431" s="49">
        <f t="shared" si="2"/>
        <v>19097</v>
      </c>
    </row>
    <row r="12432">
      <c r="A12432" s="48" t="s">
        <v>484</v>
      </c>
      <c r="B12432" s="38">
        <v>16139.0</v>
      </c>
      <c r="C12432" s="38" t="s">
        <v>16597</v>
      </c>
      <c r="D12432" s="38" t="str">
        <f>IFERROR(__xludf.DUMMYFUNCTION("REGEXREPLACE(C12432,""-\d+(.*)|--\d+(.*)"","""")"),"FLEURAC")</f>
        <v>FLEURAC</v>
      </c>
      <c r="E12432" s="38" t="s">
        <v>429</v>
      </c>
      <c r="F12432" s="38" t="s">
        <v>338</v>
      </c>
      <c r="G12432" s="49" t="str">
        <f t="shared" si="1"/>
        <v>16200</v>
      </c>
      <c r="H12432" s="49">
        <f t="shared" si="2"/>
        <v>16139</v>
      </c>
    </row>
    <row r="12433">
      <c r="A12433" s="48" t="s">
        <v>10689</v>
      </c>
      <c r="B12433" s="38">
        <v>59353.0</v>
      </c>
      <c r="C12433" s="38" t="s">
        <v>16598</v>
      </c>
      <c r="D12433" s="38" t="str">
        <f>IFERROR(__xludf.DUMMYFUNCTION("REGEXREPLACE(C12433,""-\d+(.*)|--\d+(.*)"","""")"),"LOCQUIGNOL")</f>
        <v>LOCQUIGNOL</v>
      </c>
      <c r="E12433" s="38" t="s">
        <v>85</v>
      </c>
      <c r="F12433" s="38" t="s">
        <v>86</v>
      </c>
      <c r="G12433" s="49" t="str">
        <f t="shared" si="1"/>
        <v>59530</v>
      </c>
      <c r="H12433" s="49">
        <f t="shared" si="2"/>
        <v>59353</v>
      </c>
    </row>
    <row r="12434">
      <c r="A12434" s="48" t="s">
        <v>7237</v>
      </c>
      <c r="B12434" s="38">
        <v>17389.0</v>
      </c>
      <c r="C12434" s="38" t="s">
        <v>3856</v>
      </c>
      <c r="D12434" s="38" t="str">
        <f>IFERROR(__xludf.DUMMYFUNCTION("REGEXREPLACE(C12434,""-\d+(.*)|--\d+(.*)"","""")"),"SAINTE-RADEGONDE")</f>
        <v>SAINTE-RADEGONDE</v>
      </c>
      <c r="E12434" s="38" t="s">
        <v>488</v>
      </c>
      <c r="F12434" s="38" t="s">
        <v>338</v>
      </c>
      <c r="G12434" s="49" t="str">
        <f t="shared" si="1"/>
        <v>17250</v>
      </c>
      <c r="H12434" s="49">
        <f t="shared" si="2"/>
        <v>17389</v>
      </c>
    </row>
    <row r="12435">
      <c r="A12435" s="48" t="s">
        <v>16599</v>
      </c>
      <c r="B12435" s="38">
        <v>76419.0</v>
      </c>
      <c r="C12435" s="38" t="s">
        <v>16600</v>
      </c>
      <c r="D12435" s="38" t="str">
        <f>IFERROR(__xludf.DUMMYFUNCTION("REGEXREPLACE(C12435,""-\d+(.*)|--\d+(.*)"","""")"),"MAUNY")</f>
        <v>MAUNY</v>
      </c>
      <c r="E12435" s="38" t="s">
        <v>133</v>
      </c>
      <c r="F12435" s="38" t="s">
        <v>134</v>
      </c>
      <c r="G12435" s="49" t="str">
        <f t="shared" si="1"/>
        <v>76530</v>
      </c>
      <c r="H12435" s="49">
        <f t="shared" si="2"/>
        <v>76419</v>
      </c>
    </row>
    <row r="12436">
      <c r="A12436" s="48" t="s">
        <v>6797</v>
      </c>
      <c r="B12436" s="38">
        <v>11254.0</v>
      </c>
      <c r="C12436" s="38" t="s">
        <v>4182</v>
      </c>
      <c r="D12436" s="38" t="str">
        <f>IFERROR(__xludf.DUMMYFUNCTION("REGEXREPLACE(C12436,""-\d+(.*)|--\d+(.*)"","""")"),"MONTREAL")</f>
        <v>MONTREAL</v>
      </c>
      <c r="E12436" s="38" t="s">
        <v>278</v>
      </c>
      <c r="F12436" s="38" t="s">
        <v>119</v>
      </c>
      <c r="G12436" s="49" t="str">
        <f t="shared" si="1"/>
        <v>11290</v>
      </c>
      <c r="H12436" s="49">
        <f t="shared" si="2"/>
        <v>11254</v>
      </c>
    </row>
    <row r="12437">
      <c r="A12437" s="48" t="s">
        <v>425</v>
      </c>
      <c r="B12437" s="38">
        <v>88322.0</v>
      </c>
      <c r="C12437" s="38" t="s">
        <v>16601</v>
      </c>
      <c r="D12437" s="38" t="str">
        <f>IFERROR(__xludf.DUMMYFUNCTION("REGEXREPLACE(C12437,""-\d+(.*)|--\d+(.*)"","""")"),"LA NEUVEVILLE-DEVANT-LEPANGES")</f>
        <v>LA NEUVEVILLE-DEVANT-LEPANGES</v>
      </c>
      <c r="E12437" s="38" t="s">
        <v>194</v>
      </c>
      <c r="F12437" s="38" t="s">
        <v>195</v>
      </c>
      <c r="G12437" s="49" t="str">
        <f t="shared" si="1"/>
        <v>88600</v>
      </c>
      <c r="H12437" s="49">
        <f t="shared" si="2"/>
        <v>88322</v>
      </c>
    </row>
    <row r="12438">
      <c r="A12438" s="48" t="s">
        <v>4011</v>
      </c>
      <c r="B12438" s="38">
        <v>80583.0</v>
      </c>
      <c r="C12438" s="38" t="s">
        <v>16602</v>
      </c>
      <c r="D12438" s="38" t="str">
        <f>IFERROR(__xludf.DUMMYFUNCTION("REGEXREPLACE(C12438,""-\d+(.*)|--\d+(.*)"","""")"),"NAMPTY")</f>
        <v>NAMPTY</v>
      </c>
      <c r="E12438" s="38" t="s">
        <v>224</v>
      </c>
      <c r="F12438" s="38" t="s">
        <v>113</v>
      </c>
      <c r="G12438" s="49" t="str">
        <f t="shared" si="1"/>
        <v>80160</v>
      </c>
      <c r="H12438" s="49">
        <f t="shared" si="2"/>
        <v>80583</v>
      </c>
    </row>
    <row r="12439">
      <c r="A12439" s="48" t="s">
        <v>13263</v>
      </c>
      <c r="B12439" s="38">
        <v>50210.0</v>
      </c>
      <c r="C12439" s="38" t="s">
        <v>6821</v>
      </c>
      <c r="D12439" s="38" t="str">
        <f>IFERROR(__xludf.DUMMYFUNCTION("REGEXREPLACE(C12439,""-\d+(.*)|--\d+(.*)"","""")"),"GORGES")</f>
        <v>GORGES</v>
      </c>
      <c r="E12439" s="38" t="s">
        <v>157</v>
      </c>
      <c r="F12439" s="38" t="s">
        <v>138</v>
      </c>
      <c r="G12439" s="49" t="str">
        <f t="shared" si="1"/>
        <v>50190</v>
      </c>
      <c r="H12439" s="49">
        <f t="shared" si="2"/>
        <v>50210</v>
      </c>
    </row>
    <row r="12440">
      <c r="A12440" s="48" t="s">
        <v>16603</v>
      </c>
      <c r="B12440" s="38">
        <v>78383.0</v>
      </c>
      <c r="C12440" s="38" t="s">
        <v>16604</v>
      </c>
      <c r="D12440" s="38" t="str">
        <f>IFERROR(__xludf.DUMMYFUNCTION("REGEXREPLACE(C12440,""-\d+(.*)|--\d+(.*)"","""")"),"MAUREPAS")</f>
        <v>MAUREPAS</v>
      </c>
      <c r="E12440" s="38" t="s">
        <v>362</v>
      </c>
      <c r="F12440" s="38" t="s">
        <v>245</v>
      </c>
      <c r="G12440" s="49" t="str">
        <f t="shared" si="1"/>
        <v>78310</v>
      </c>
      <c r="H12440" s="49">
        <f t="shared" si="2"/>
        <v>78383</v>
      </c>
    </row>
    <row r="12441">
      <c r="A12441" s="48" t="s">
        <v>6007</v>
      </c>
      <c r="B12441" s="38">
        <v>24572.0</v>
      </c>
      <c r="C12441" s="38" t="s">
        <v>16605</v>
      </c>
      <c r="D12441" s="38" t="str">
        <f>IFERROR(__xludf.DUMMYFUNCTION("REGEXREPLACE(C12441,""-\d+(.*)|--\d+(.*)"","""")"),"VERGT-DE-BIRON")</f>
        <v>VERGT-DE-BIRON</v>
      </c>
      <c r="E12441" s="38" t="s">
        <v>261</v>
      </c>
      <c r="F12441" s="38" t="s">
        <v>252</v>
      </c>
      <c r="G12441" s="49" t="str">
        <f t="shared" si="1"/>
        <v>24540</v>
      </c>
      <c r="H12441" s="49">
        <f t="shared" si="2"/>
        <v>24572</v>
      </c>
    </row>
    <row r="12442">
      <c r="A12442" s="48" t="s">
        <v>2668</v>
      </c>
      <c r="B12442" s="38">
        <v>55119.0</v>
      </c>
      <c r="C12442" s="38" t="s">
        <v>16606</v>
      </c>
      <c r="D12442" s="38" t="str">
        <f>IFERROR(__xludf.DUMMYFUNCTION("REGEXREPLACE(C12442,""-\d+(.*)|--\d+(.*)"","""")"),"CLERY-LE-PETIT")</f>
        <v>CLERY-LE-PETIT</v>
      </c>
      <c r="E12442" s="38" t="s">
        <v>322</v>
      </c>
      <c r="F12442" s="38" t="s">
        <v>195</v>
      </c>
      <c r="G12442" s="49" t="str">
        <f t="shared" si="1"/>
        <v>55110</v>
      </c>
      <c r="H12442" s="49">
        <f t="shared" si="2"/>
        <v>55119</v>
      </c>
    </row>
    <row r="12443">
      <c r="A12443" s="48" t="s">
        <v>8506</v>
      </c>
      <c r="B12443" s="38">
        <v>79060.0</v>
      </c>
      <c r="C12443" s="38" t="s">
        <v>16607</v>
      </c>
      <c r="D12443" s="38" t="str">
        <f>IFERROR(__xludf.DUMMYFUNCTION("REGEXREPLACE(C12443,""-\d+(.*)|--\d+(.*)"","""")"),"CAUNAY")</f>
        <v>CAUNAY</v>
      </c>
      <c r="E12443" s="38" t="s">
        <v>337</v>
      </c>
      <c r="F12443" s="38" t="s">
        <v>338</v>
      </c>
      <c r="G12443" s="49" t="str">
        <f t="shared" si="1"/>
        <v>79190</v>
      </c>
      <c r="H12443" s="49">
        <f t="shared" si="2"/>
        <v>79060</v>
      </c>
    </row>
    <row r="12444">
      <c r="A12444" s="48" t="s">
        <v>1829</v>
      </c>
      <c r="B12444" s="38">
        <v>59089.0</v>
      </c>
      <c r="C12444" s="38" t="s">
        <v>16608</v>
      </c>
      <c r="D12444" s="38" t="str">
        <f>IFERROR(__xludf.DUMMYFUNCTION("REGEXREPLACE(C12444,""-\d+(.*)|--\d+(.*)"","""")"),"BOLLEZEELE")</f>
        <v>BOLLEZEELE</v>
      </c>
      <c r="E12444" s="38" t="s">
        <v>85</v>
      </c>
      <c r="F12444" s="38" t="s">
        <v>86</v>
      </c>
      <c r="G12444" s="49" t="str">
        <f t="shared" si="1"/>
        <v>59470</v>
      </c>
      <c r="H12444" s="49">
        <f t="shared" si="2"/>
        <v>59089</v>
      </c>
    </row>
    <row r="12445">
      <c r="A12445" s="48" t="s">
        <v>9240</v>
      </c>
      <c r="B12445" s="38">
        <v>47279.0</v>
      </c>
      <c r="C12445" s="38" t="s">
        <v>16609</v>
      </c>
      <c r="D12445" s="38" t="str">
        <f>IFERROR(__xludf.DUMMYFUNCTION("REGEXREPLACE(C12445,""-\d+(.*)|--\d+(.*)"","""")"),"SAINT-SIXTE")</f>
        <v>SAINT-SIXTE</v>
      </c>
      <c r="E12445" s="38" t="s">
        <v>251</v>
      </c>
      <c r="F12445" s="38" t="s">
        <v>252</v>
      </c>
      <c r="G12445" s="49" t="str">
        <f t="shared" si="1"/>
        <v>47220</v>
      </c>
      <c r="H12445" s="49">
        <f t="shared" si="2"/>
        <v>47279</v>
      </c>
    </row>
    <row r="12446">
      <c r="A12446" s="48" t="s">
        <v>16610</v>
      </c>
      <c r="B12446" s="38">
        <v>59426.0</v>
      </c>
      <c r="C12446" s="38" t="s">
        <v>16611</v>
      </c>
      <c r="D12446" s="38" t="str">
        <f>IFERROR(__xludf.DUMMYFUNCTION("REGEXREPLACE(C12446,""-\d+(.*)|--\d+(.*)"","""")"),"NEUVILLE-EN-FERRAIN")</f>
        <v>NEUVILLE-EN-FERRAIN</v>
      </c>
      <c r="E12446" s="38" t="s">
        <v>85</v>
      </c>
      <c r="F12446" s="38" t="s">
        <v>86</v>
      </c>
      <c r="G12446" s="49" t="str">
        <f t="shared" si="1"/>
        <v>59960</v>
      </c>
      <c r="H12446" s="49">
        <f t="shared" si="2"/>
        <v>59426</v>
      </c>
    </row>
    <row r="12447">
      <c r="A12447" s="48" t="s">
        <v>7239</v>
      </c>
      <c r="B12447" s="38">
        <v>24164.0</v>
      </c>
      <c r="C12447" s="38" t="s">
        <v>16612</v>
      </c>
      <c r="D12447" s="38" t="str">
        <f>IFERROR(__xludf.DUMMYFUNCTION("REGEXREPLACE(C12447,""-\d+(.*)|--\d+(.*)"","""")"),"EXCIDEUIL")</f>
        <v>EXCIDEUIL</v>
      </c>
      <c r="E12447" s="38" t="s">
        <v>261</v>
      </c>
      <c r="F12447" s="38" t="s">
        <v>252</v>
      </c>
      <c r="G12447" s="49" t="str">
        <f t="shared" si="1"/>
        <v>24160</v>
      </c>
      <c r="H12447" s="49">
        <f t="shared" si="2"/>
        <v>24164</v>
      </c>
    </row>
    <row r="12448">
      <c r="A12448" s="48" t="s">
        <v>1118</v>
      </c>
      <c r="B12448" s="38">
        <v>50063.0</v>
      </c>
      <c r="C12448" s="38" t="s">
        <v>475</v>
      </c>
      <c r="D12448" s="38" t="str">
        <f>IFERROR(__xludf.DUMMYFUNCTION("REGEXREPLACE(C12448,""-\d+(.*)|--\d+(.*)"","""")"),"BOLLEVILLE")</f>
        <v>BOLLEVILLE</v>
      </c>
      <c r="E12448" s="38" t="s">
        <v>157</v>
      </c>
      <c r="F12448" s="38" t="s">
        <v>138</v>
      </c>
      <c r="G12448" s="49" t="str">
        <f t="shared" si="1"/>
        <v>50250</v>
      </c>
      <c r="H12448" s="49">
        <f t="shared" si="2"/>
        <v>50063</v>
      </c>
    </row>
    <row r="12449">
      <c r="A12449" s="48" t="s">
        <v>7818</v>
      </c>
      <c r="B12449" s="38">
        <v>90088.0</v>
      </c>
      <c r="C12449" s="38" t="s">
        <v>16613</v>
      </c>
      <c r="D12449" s="38" t="str">
        <f>IFERROR(__xludf.DUMMYFUNCTION("REGEXREPLACE(C12449,""-\d+(.*)|--\d+(.*)"","""")"),"ROUGEGOUTTE")</f>
        <v>ROUGEGOUTTE</v>
      </c>
      <c r="E12449" s="38" t="s">
        <v>1283</v>
      </c>
      <c r="F12449" s="38" t="s">
        <v>214</v>
      </c>
      <c r="G12449" s="49" t="str">
        <f t="shared" si="1"/>
        <v>90200</v>
      </c>
      <c r="H12449" s="49">
        <f t="shared" si="2"/>
        <v>90088</v>
      </c>
    </row>
    <row r="12450">
      <c r="A12450" s="48" t="s">
        <v>1790</v>
      </c>
      <c r="B12450" s="38">
        <v>67104.0</v>
      </c>
      <c r="C12450" s="38" t="s">
        <v>16614</v>
      </c>
      <c r="D12450" s="38" t="str">
        <f>IFERROR(__xludf.DUMMYFUNCTION("REGEXREPLACE(C12450,""-\d+(.*)|--\d+(.*)"","""")"),"DRACHENBRONN-BIRLENBACH")</f>
        <v>DRACHENBRONN-BIRLENBACH</v>
      </c>
      <c r="E12450" s="38" t="s">
        <v>210</v>
      </c>
      <c r="F12450" s="38" t="s">
        <v>151</v>
      </c>
      <c r="G12450" s="49" t="str">
        <f t="shared" si="1"/>
        <v>67160</v>
      </c>
      <c r="H12450" s="49">
        <f t="shared" si="2"/>
        <v>67104</v>
      </c>
    </row>
    <row r="12451">
      <c r="A12451" s="48" t="s">
        <v>13041</v>
      </c>
      <c r="B12451" s="38">
        <v>27124.0</v>
      </c>
      <c r="C12451" s="38" t="s">
        <v>16615</v>
      </c>
      <c r="D12451" s="38" t="str">
        <f>IFERROR(__xludf.DUMMYFUNCTION("REGEXREPLACE(C12451,""-\d+(.*)|--\d+(.*)"","""")"),"CAILLY-SUR-EURE")</f>
        <v>CAILLY-SUR-EURE</v>
      </c>
      <c r="E12451" s="38" t="s">
        <v>241</v>
      </c>
      <c r="F12451" s="38" t="s">
        <v>134</v>
      </c>
      <c r="G12451" s="49" t="str">
        <f t="shared" si="1"/>
        <v>27490</v>
      </c>
      <c r="H12451" s="49">
        <f t="shared" si="2"/>
        <v>27124</v>
      </c>
    </row>
    <row r="12452">
      <c r="A12452" s="48" t="s">
        <v>12639</v>
      </c>
      <c r="B12452" s="38">
        <v>81111.0</v>
      </c>
      <c r="C12452" s="38" t="s">
        <v>16616</v>
      </c>
      <c r="D12452" s="38" t="str">
        <f>IFERROR(__xludf.DUMMYFUNCTION("REGEXREPLACE(C12452,""-\d+(.*)|--\d+(.*)"","""")"),"LABARTHE-BLEYS")</f>
        <v>LABARTHE-BLEYS</v>
      </c>
      <c r="E12452" s="38" t="s">
        <v>231</v>
      </c>
      <c r="F12452" s="38" t="s">
        <v>94</v>
      </c>
      <c r="G12452" s="49" t="str">
        <f t="shared" si="1"/>
        <v>81170</v>
      </c>
      <c r="H12452" s="49">
        <f t="shared" si="2"/>
        <v>81111</v>
      </c>
    </row>
    <row r="12453">
      <c r="A12453" s="48" t="s">
        <v>5605</v>
      </c>
      <c r="B12453" s="38">
        <v>66183.0</v>
      </c>
      <c r="C12453" s="38" t="s">
        <v>16617</v>
      </c>
      <c r="D12453" s="38" t="str">
        <f>IFERROR(__xludf.DUMMYFUNCTION("REGEXREPLACE(C12453,""-\d+(.*)|--\d+(.*)"","""")"),"SAINT-MARSAL")</f>
        <v>SAINT-MARSAL</v>
      </c>
      <c r="E12453" s="38" t="s">
        <v>248</v>
      </c>
      <c r="F12453" s="38" t="s">
        <v>119</v>
      </c>
      <c r="G12453" s="49" t="str">
        <f t="shared" si="1"/>
        <v>66110</v>
      </c>
      <c r="H12453" s="49">
        <f t="shared" si="2"/>
        <v>66183</v>
      </c>
    </row>
    <row r="12454">
      <c r="A12454" s="48" t="s">
        <v>5230</v>
      </c>
      <c r="B12454" s="38">
        <v>25372.0</v>
      </c>
      <c r="C12454" s="38" t="s">
        <v>16618</v>
      </c>
      <c r="D12454" s="38" t="str">
        <f>IFERROR(__xludf.DUMMYFUNCTION("REGEXREPLACE(C12454,""-\d+(.*)|--\d+(.*)"","""")"),"MEDIERE")</f>
        <v>MEDIERE</v>
      </c>
      <c r="E12454" s="38" t="s">
        <v>213</v>
      </c>
      <c r="F12454" s="38" t="s">
        <v>214</v>
      </c>
      <c r="G12454" s="49" t="str">
        <f t="shared" si="1"/>
        <v>25250</v>
      </c>
      <c r="H12454" s="49">
        <f t="shared" si="2"/>
        <v>25372</v>
      </c>
    </row>
    <row r="12455">
      <c r="A12455" s="48" t="s">
        <v>4923</v>
      </c>
      <c r="B12455" s="38">
        <v>61071.0</v>
      </c>
      <c r="C12455" s="38" t="s">
        <v>16619</v>
      </c>
      <c r="D12455" s="38" t="str">
        <f>IFERROR(__xludf.DUMMYFUNCTION("REGEXREPLACE(C12455,""-\d+(.*)|--\d+(.*)"","""")"),"CAMEMBERT")</f>
        <v>CAMEMBERT</v>
      </c>
      <c r="E12455" s="38" t="s">
        <v>141</v>
      </c>
      <c r="F12455" s="38" t="s">
        <v>138</v>
      </c>
      <c r="G12455" s="49" t="str">
        <f t="shared" si="1"/>
        <v>61120</v>
      </c>
      <c r="H12455" s="49">
        <f t="shared" si="2"/>
        <v>61071</v>
      </c>
    </row>
    <row r="12456">
      <c r="A12456" s="48" t="s">
        <v>6038</v>
      </c>
      <c r="B12456" s="38">
        <v>88472.0</v>
      </c>
      <c r="C12456" s="38" t="s">
        <v>16620</v>
      </c>
      <c r="D12456" s="38" t="str">
        <f>IFERROR(__xludf.DUMMYFUNCTION("REGEXREPLACE(C12456,""-\d+(.*)|--\d+(.*)"","""")"),"THUILLIERES")</f>
        <v>THUILLIERES</v>
      </c>
      <c r="E12456" s="38" t="s">
        <v>194</v>
      </c>
      <c r="F12456" s="38" t="s">
        <v>195</v>
      </c>
      <c r="G12456" s="49" t="str">
        <f t="shared" si="1"/>
        <v>88260</v>
      </c>
      <c r="H12456" s="49">
        <f t="shared" si="2"/>
        <v>88472</v>
      </c>
    </row>
    <row r="12457">
      <c r="A12457" s="48" t="s">
        <v>2124</v>
      </c>
      <c r="B12457" s="38">
        <v>10155.0</v>
      </c>
      <c r="C12457" s="38" t="s">
        <v>16621</v>
      </c>
      <c r="D12457" s="38" t="str">
        <f>IFERROR(__xludf.DUMMYFUNCTION("REGEXREPLACE(C12457,""-\d+(.*)|--\d+(.*)"","""")"),"FONTETTE")</f>
        <v>FONTETTE</v>
      </c>
      <c r="E12457" s="38" t="s">
        <v>147</v>
      </c>
      <c r="F12457" s="38" t="s">
        <v>130</v>
      </c>
      <c r="G12457" s="49" t="str">
        <f t="shared" si="1"/>
        <v>10360</v>
      </c>
      <c r="H12457" s="49">
        <f t="shared" si="2"/>
        <v>10155</v>
      </c>
    </row>
    <row r="12458">
      <c r="A12458" s="48" t="s">
        <v>8586</v>
      </c>
      <c r="B12458" s="38">
        <v>46082.0</v>
      </c>
      <c r="C12458" s="38" t="s">
        <v>16622</v>
      </c>
      <c r="D12458" s="38" t="str">
        <f>IFERROR(__xludf.DUMMYFUNCTION("REGEXREPLACE(C12458,""-\d+(.*)|--\d+(.*)"","""")"),"CREMPS")</f>
        <v>CREMPS</v>
      </c>
      <c r="E12458" s="38" t="s">
        <v>185</v>
      </c>
      <c r="F12458" s="38" t="s">
        <v>94</v>
      </c>
      <c r="G12458" s="49" t="str">
        <f t="shared" si="1"/>
        <v>46230</v>
      </c>
      <c r="H12458" s="49">
        <f t="shared" si="2"/>
        <v>46082</v>
      </c>
    </row>
    <row r="12459">
      <c r="A12459" s="48" t="s">
        <v>1518</v>
      </c>
      <c r="B12459" s="38">
        <v>88246.0</v>
      </c>
      <c r="C12459" s="38" t="s">
        <v>16623</v>
      </c>
      <c r="D12459" s="38" t="str">
        <f>IFERROR(__xludf.DUMMYFUNCTION("REGEXREPLACE(C12459,""-\d+(.*)|--\d+(.*)"","""")"),"HYMONT")</f>
        <v>HYMONT</v>
      </c>
      <c r="E12459" s="38" t="s">
        <v>194</v>
      </c>
      <c r="F12459" s="38" t="s">
        <v>195</v>
      </c>
      <c r="G12459" s="49" t="str">
        <f t="shared" si="1"/>
        <v>88500</v>
      </c>
      <c r="H12459" s="49">
        <f t="shared" si="2"/>
        <v>88246</v>
      </c>
    </row>
    <row r="12460">
      <c r="A12460" s="48" t="s">
        <v>3135</v>
      </c>
      <c r="B12460" s="38">
        <v>12255.0</v>
      </c>
      <c r="C12460" s="38" t="s">
        <v>16624</v>
      </c>
      <c r="D12460" s="38" t="str">
        <f>IFERROR(__xludf.DUMMYFUNCTION("REGEXREPLACE(C12460,""-\d+(.*)|--\d+(.*)"","""")"),"SALMIECH")</f>
        <v>SALMIECH</v>
      </c>
      <c r="E12460" s="38" t="s">
        <v>465</v>
      </c>
      <c r="F12460" s="38" t="s">
        <v>94</v>
      </c>
      <c r="G12460" s="49" t="str">
        <f t="shared" si="1"/>
        <v>12120</v>
      </c>
      <c r="H12460" s="49">
        <f t="shared" si="2"/>
        <v>12255</v>
      </c>
    </row>
    <row r="12461">
      <c r="A12461" s="48" t="s">
        <v>16625</v>
      </c>
      <c r="B12461" s="38">
        <v>62160.0</v>
      </c>
      <c r="C12461" s="38" t="s">
        <v>16626</v>
      </c>
      <c r="D12461" s="38" t="str">
        <f>IFERROR(__xludf.DUMMYFUNCTION("REGEXREPLACE(C12461,""-\d+(.*)|--\d+(.*)"","""")"),"BOULOGNE-SUR-MER")</f>
        <v>BOULOGNE-SUR-MER</v>
      </c>
      <c r="E12461" s="38" t="s">
        <v>109</v>
      </c>
      <c r="F12461" s="38" t="s">
        <v>86</v>
      </c>
      <c r="G12461" s="49" t="str">
        <f t="shared" si="1"/>
        <v>62200</v>
      </c>
      <c r="H12461" s="49">
        <f t="shared" si="2"/>
        <v>62160</v>
      </c>
    </row>
    <row r="12462">
      <c r="A12462" s="48" t="s">
        <v>16627</v>
      </c>
      <c r="B12462" s="38">
        <v>10333.0</v>
      </c>
      <c r="C12462" s="38" t="s">
        <v>16628</v>
      </c>
      <c r="D12462" s="38" t="str">
        <f>IFERROR(__xludf.DUMMYFUNCTION("REGEXREPLACE(C12462,""-\d+(.*)|--\d+(.*)"","""")"),"SAINT-ANDRE-LES-VERGERS")</f>
        <v>SAINT-ANDRE-LES-VERGERS</v>
      </c>
      <c r="E12462" s="38" t="s">
        <v>147</v>
      </c>
      <c r="F12462" s="38" t="s">
        <v>130</v>
      </c>
      <c r="G12462" s="49" t="str">
        <f t="shared" si="1"/>
        <v>10120</v>
      </c>
      <c r="H12462" s="49">
        <f t="shared" si="2"/>
        <v>10333</v>
      </c>
    </row>
    <row r="12463">
      <c r="A12463" s="48" t="s">
        <v>4428</v>
      </c>
      <c r="B12463" s="38">
        <v>72162.0</v>
      </c>
      <c r="C12463" s="38" t="s">
        <v>16629</v>
      </c>
      <c r="D12463" s="38" t="str">
        <f>IFERROR(__xludf.DUMMYFUNCTION("REGEXREPLACE(C12463,""-\d+(.*)|--\d+(.*)"","""")"),"LIGNIERES-LA-CARELLE")</f>
        <v>LIGNIERES-LA-CARELLE</v>
      </c>
      <c r="E12463" s="38" t="s">
        <v>521</v>
      </c>
      <c r="F12463" s="38" t="s">
        <v>180</v>
      </c>
      <c r="G12463" s="49" t="str">
        <f t="shared" si="1"/>
        <v>72610</v>
      </c>
      <c r="H12463" s="49">
        <f t="shared" si="2"/>
        <v>72162</v>
      </c>
    </row>
    <row r="12464">
      <c r="A12464" s="48" t="s">
        <v>124</v>
      </c>
      <c r="B12464" s="38">
        <v>26191.0</v>
      </c>
      <c r="C12464" s="38" t="s">
        <v>16630</v>
      </c>
      <c r="D12464" s="38" t="str">
        <f>IFERROR(__xludf.DUMMYFUNCTION("REGEXREPLACE(C12464,""-\d+(.*)|--\d+(.*)"","""")"),"MONTBOUCHER-SUR-JABRON")</f>
        <v>MONTBOUCHER-SUR-JABRON</v>
      </c>
      <c r="E12464" s="38" t="s">
        <v>126</v>
      </c>
      <c r="F12464" s="38" t="s">
        <v>102</v>
      </c>
      <c r="G12464" s="49" t="str">
        <f t="shared" si="1"/>
        <v>26740</v>
      </c>
      <c r="H12464" s="49">
        <f t="shared" si="2"/>
        <v>26191</v>
      </c>
    </row>
    <row r="12465">
      <c r="A12465" s="48" t="s">
        <v>8579</v>
      </c>
      <c r="B12465" s="38">
        <v>32191.0</v>
      </c>
      <c r="C12465" s="38" t="s">
        <v>16631</v>
      </c>
      <c r="D12465" s="38" t="str">
        <f>IFERROR(__xludf.DUMMYFUNCTION("REGEXREPLACE(C12465,""-\d+(.*)|--\d+(.*)"","""")"),"LANNE-SOUBIRAN")</f>
        <v>LANNE-SOUBIRAN</v>
      </c>
      <c r="E12465" s="38" t="s">
        <v>440</v>
      </c>
      <c r="F12465" s="38" t="s">
        <v>94</v>
      </c>
      <c r="G12465" s="49" t="str">
        <f t="shared" si="1"/>
        <v>32110</v>
      </c>
      <c r="H12465" s="49">
        <f t="shared" si="2"/>
        <v>32191</v>
      </c>
    </row>
    <row r="12466">
      <c r="A12466" s="48" t="s">
        <v>2229</v>
      </c>
      <c r="B12466" s="38">
        <v>64355.0</v>
      </c>
      <c r="C12466" s="38" t="s">
        <v>9868</v>
      </c>
      <c r="D12466" s="38" t="str">
        <f>IFERROR(__xludf.DUMMYFUNCTION("REGEXREPLACE(C12466,""-\d+(.*)|--\d+(.*)"","""")"),"LOUVIGNY")</f>
        <v>LOUVIGNY</v>
      </c>
      <c r="E12466" s="38" t="s">
        <v>268</v>
      </c>
      <c r="F12466" s="38" t="s">
        <v>252</v>
      </c>
      <c r="G12466" s="49" t="str">
        <f t="shared" si="1"/>
        <v>64410</v>
      </c>
      <c r="H12466" s="49">
        <f t="shared" si="2"/>
        <v>64355</v>
      </c>
    </row>
    <row r="12467">
      <c r="A12467" s="48" t="s">
        <v>987</v>
      </c>
      <c r="B12467" s="38">
        <v>40083.0</v>
      </c>
      <c r="C12467" s="38" t="s">
        <v>16632</v>
      </c>
      <c r="D12467" s="38" t="str">
        <f>IFERROR(__xludf.DUMMYFUNCTION("REGEXREPLACE(C12467,""-\d+(.*)|--\d+(.*)"","""")"),"CLEDES")</f>
        <v>CLEDES</v>
      </c>
      <c r="E12467" s="38" t="s">
        <v>281</v>
      </c>
      <c r="F12467" s="38" t="s">
        <v>252</v>
      </c>
      <c r="G12467" s="49" t="str">
        <f t="shared" si="1"/>
        <v>40320</v>
      </c>
      <c r="H12467" s="49">
        <f t="shared" si="2"/>
        <v>40083</v>
      </c>
    </row>
    <row r="12468">
      <c r="A12468" s="48" t="s">
        <v>5661</v>
      </c>
      <c r="B12468" s="38">
        <v>63362.0</v>
      </c>
      <c r="C12468" s="38" t="s">
        <v>16633</v>
      </c>
      <c r="D12468" s="38" t="str">
        <f>IFERROR(__xludf.DUMMYFUNCTION("REGEXREPLACE(C12468,""-\d+(.*)|--\d+(.*)"","""")"),"SAINT-IGNAT")</f>
        <v>SAINT-IGNAT</v>
      </c>
      <c r="E12468" s="38" t="s">
        <v>353</v>
      </c>
      <c r="F12468" s="38" t="s">
        <v>161</v>
      </c>
      <c r="G12468" s="49" t="str">
        <f t="shared" si="1"/>
        <v>63720</v>
      </c>
      <c r="H12468" s="49">
        <f t="shared" si="2"/>
        <v>63362</v>
      </c>
    </row>
    <row r="12469">
      <c r="A12469" s="48" t="s">
        <v>16634</v>
      </c>
      <c r="B12469" s="38">
        <v>17146.0</v>
      </c>
      <c r="C12469" s="38" t="s">
        <v>16635</v>
      </c>
      <c r="D12469" s="38" t="str">
        <f>IFERROR(__xludf.DUMMYFUNCTION("REGEXREPLACE(C12469,""-\d+(.*)|--\d+(.*)"","""")"),"ECHILLAIS")</f>
        <v>ECHILLAIS</v>
      </c>
      <c r="E12469" s="38" t="s">
        <v>488</v>
      </c>
      <c r="F12469" s="38" t="s">
        <v>338</v>
      </c>
      <c r="G12469" s="49" t="str">
        <f t="shared" si="1"/>
        <v>17620</v>
      </c>
      <c r="H12469" s="49">
        <f t="shared" si="2"/>
        <v>17146</v>
      </c>
    </row>
    <row r="12470">
      <c r="A12470" s="48" t="s">
        <v>3882</v>
      </c>
      <c r="B12470" s="38">
        <v>62294.0</v>
      </c>
      <c r="C12470" s="38" t="s">
        <v>16636</v>
      </c>
      <c r="D12470" s="38" t="str">
        <f>IFERROR(__xludf.DUMMYFUNCTION("REGEXREPLACE(C12470,""-\d+(.*)|--\d+(.*)"","""")"),"ENGUINEGATTE")</f>
        <v>ENGUINEGATTE</v>
      </c>
      <c r="E12470" s="38" t="s">
        <v>109</v>
      </c>
      <c r="F12470" s="38" t="s">
        <v>86</v>
      </c>
      <c r="G12470" s="49" t="str">
        <f t="shared" si="1"/>
        <v>62145</v>
      </c>
      <c r="H12470" s="49">
        <f t="shared" si="2"/>
        <v>62294</v>
      </c>
    </row>
    <row r="12471">
      <c r="A12471" s="48" t="s">
        <v>16637</v>
      </c>
      <c r="B12471" s="38">
        <v>22282.0</v>
      </c>
      <c r="C12471" s="38" t="s">
        <v>16638</v>
      </c>
      <c r="D12471" s="38" t="str">
        <f>IFERROR(__xludf.DUMMYFUNCTION("REGEXREPLACE(C12471,""-\d+(.*)|--\d+(.*)"","""")"),"SAINT-CAST-LE-GUILDO")</f>
        <v>SAINT-CAST-LE-GUILDO</v>
      </c>
      <c r="E12471" s="38" t="s">
        <v>89</v>
      </c>
      <c r="F12471" s="38" t="s">
        <v>90</v>
      </c>
      <c r="G12471" s="49" t="str">
        <f t="shared" si="1"/>
        <v>22380</v>
      </c>
      <c r="H12471" s="49">
        <f t="shared" si="2"/>
        <v>22282</v>
      </c>
    </row>
    <row r="12472">
      <c r="A12472" s="48" t="s">
        <v>9850</v>
      </c>
      <c r="B12472" s="38">
        <v>67096.0</v>
      </c>
      <c r="C12472" s="38" t="s">
        <v>16639</v>
      </c>
      <c r="D12472" s="38" t="str">
        <f>IFERROR(__xludf.DUMMYFUNCTION("REGEXREPLACE(C12472,""-\d+(.*)|--\d+(.*)"","""")"),"DIMBSTHAL")</f>
        <v>DIMBSTHAL</v>
      </c>
      <c r="E12472" s="38" t="s">
        <v>210</v>
      </c>
      <c r="F12472" s="38" t="s">
        <v>151</v>
      </c>
      <c r="G12472" s="49" t="str">
        <f t="shared" si="1"/>
        <v>67440</v>
      </c>
      <c r="H12472" s="49">
        <f t="shared" si="2"/>
        <v>67096</v>
      </c>
    </row>
    <row r="12473">
      <c r="A12473" s="48" t="s">
        <v>14808</v>
      </c>
      <c r="B12473" s="38">
        <v>25054.0</v>
      </c>
      <c r="C12473" s="38" t="s">
        <v>16640</v>
      </c>
      <c r="D12473" s="38" t="str">
        <f>IFERROR(__xludf.DUMMYFUNCTION("REGEXREPLACE(C12473,""-\d+(.*)|--\d+(.*)"","""")"),"BERCHE")</f>
        <v>BERCHE</v>
      </c>
      <c r="E12473" s="38" t="s">
        <v>213</v>
      </c>
      <c r="F12473" s="38" t="s">
        <v>214</v>
      </c>
      <c r="G12473" s="49" t="str">
        <f t="shared" si="1"/>
        <v>25420</v>
      </c>
      <c r="H12473" s="49">
        <f t="shared" si="2"/>
        <v>25054</v>
      </c>
    </row>
    <row r="12474">
      <c r="A12474" s="48" t="s">
        <v>16641</v>
      </c>
      <c r="B12474" s="38">
        <v>56183.0</v>
      </c>
      <c r="C12474" s="38" t="s">
        <v>16642</v>
      </c>
      <c r="D12474" s="38" t="str">
        <f>IFERROR(__xludf.DUMMYFUNCTION("REGEXREPLACE(C12474,""-\d+(.*)|--\d+(.*)"","""")"),"QUELNEUC")</f>
        <v>QUELNEUC</v>
      </c>
      <c r="E12474" s="38" t="s">
        <v>173</v>
      </c>
      <c r="F12474" s="38" t="s">
        <v>90</v>
      </c>
      <c r="G12474" s="49" t="str">
        <f t="shared" si="1"/>
        <v>56910</v>
      </c>
      <c r="H12474" s="49">
        <f t="shared" si="2"/>
        <v>56183</v>
      </c>
    </row>
    <row r="12475">
      <c r="A12475" s="48" t="s">
        <v>16014</v>
      </c>
      <c r="B12475" s="38">
        <v>33442.0</v>
      </c>
      <c r="C12475" s="38" t="s">
        <v>16643</v>
      </c>
      <c r="D12475" s="38" t="str">
        <f>IFERROR(__xludf.DUMMYFUNCTION("REGEXREPLACE(C12475,""-\d+(.*)|--\d+(.*)"","""")"),"SAINT-MARTIN-DE-LAYE")</f>
        <v>SAINT-MARTIN-DE-LAYE</v>
      </c>
      <c r="E12475" s="38" t="s">
        <v>462</v>
      </c>
      <c r="F12475" s="38" t="s">
        <v>252</v>
      </c>
      <c r="G12475" s="49" t="str">
        <f t="shared" si="1"/>
        <v>33910</v>
      </c>
      <c r="H12475" s="49">
        <f t="shared" si="2"/>
        <v>33442</v>
      </c>
    </row>
    <row r="12476">
      <c r="A12476" s="48" t="s">
        <v>8265</v>
      </c>
      <c r="B12476" s="38">
        <v>28023.0</v>
      </c>
      <c r="C12476" s="38" t="s">
        <v>16644</v>
      </c>
      <c r="D12476" s="38" t="str">
        <f>IFERROR(__xludf.DUMMYFUNCTION("REGEXREPLACE(C12476,""-\d+(.*)|--\d+(.*)"","""")"),"BAILLEAU-ARMENONVILLE")</f>
        <v>BAILLEAU-ARMENONVILLE</v>
      </c>
      <c r="E12476" s="38" t="s">
        <v>300</v>
      </c>
      <c r="F12476" s="38" t="s">
        <v>123</v>
      </c>
      <c r="G12476" s="49" t="str">
        <f t="shared" si="1"/>
        <v>28320</v>
      </c>
      <c r="H12476" s="49">
        <f t="shared" si="2"/>
        <v>28023</v>
      </c>
    </row>
    <row r="12477">
      <c r="A12477" s="48" t="s">
        <v>4519</v>
      </c>
      <c r="B12477" s="38">
        <v>26161.0</v>
      </c>
      <c r="C12477" s="38" t="s">
        <v>16645</v>
      </c>
      <c r="D12477" s="38" t="str">
        <f>IFERROR(__xludf.DUMMYFUNCTION("REGEXREPLACE(C12477,""-\d+(.*)|--\d+(.*)"","""")"),"LEMPS")</f>
        <v>LEMPS</v>
      </c>
      <c r="E12477" s="38" t="s">
        <v>126</v>
      </c>
      <c r="F12477" s="38" t="s">
        <v>102</v>
      </c>
      <c r="G12477" s="49" t="str">
        <f t="shared" si="1"/>
        <v>26510</v>
      </c>
      <c r="H12477" s="49">
        <f t="shared" si="2"/>
        <v>26161</v>
      </c>
    </row>
    <row r="12478">
      <c r="A12478" s="48" t="s">
        <v>5453</v>
      </c>
      <c r="B12478" s="38">
        <v>52518.0</v>
      </c>
      <c r="C12478" s="38" t="s">
        <v>16646</v>
      </c>
      <c r="D12478" s="38" t="str">
        <f>IFERROR(__xludf.DUMMYFUNCTION("REGEXREPLACE(C12478,""-\d+(.*)|--\d+(.*)"","""")"),"VESAIGNES-SUR-MARNE")</f>
        <v>VESAIGNES-SUR-MARNE</v>
      </c>
      <c r="E12478" s="38" t="s">
        <v>234</v>
      </c>
      <c r="F12478" s="38" t="s">
        <v>130</v>
      </c>
      <c r="G12478" s="49" t="str">
        <f t="shared" si="1"/>
        <v>52800</v>
      </c>
      <c r="H12478" s="49">
        <f t="shared" si="2"/>
        <v>52518</v>
      </c>
    </row>
    <row r="12479">
      <c r="A12479" s="48" t="s">
        <v>16647</v>
      </c>
      <c r="B12479" s="38">
        <v>62606.0</v>
      </c>
      <c r="C12479" s="38" t="s">
        <v>16648</v>
      </c>
      <c r="D12479" s="38" t="str">
        <f>IFERROR(__xludf.DUMMYFUNCTION("REGEXREPLACE(C12479,""-\d+(.*)|--\d+(.*)"","""")"),"NEUVE-CHAPELLE")</f>
        <v>NEUVE-CHAPELLE</v>
      </c>
      <c r="E12479" s="38" t="s">
        <v>109</v>
      </c>
      <c r="F12479" s="38" t="s">
        <v>86</v>
      </c>
      <c r="G12479" s="49" t="str">
        <f t="shared" si="1"/>
        <v>62840</v>
      </c>
      <c r="H12479" s="49">
        <f t="shared" si="2"/>
        <v>62606</v>
      </c>
    </row>
    <row r="12480">
      <c r="A12480" s="48" t="s">
        <v>10324</v>
      </c>
      <c r="B12480" s="38">
        <v>54235.0</v>
      </c>
      <c r="C12480" s="38" t="s">
        <v>16649</v>
      </c>
      <c r="D12480" s="38" t="str">
        <f>IFERROR(__xludf.DUMMYFUNCTION("REGEXREPLACE(C12480,""-\d+(.*)|--\d+(.*)"","""")"),"GOVILLER")</f>
        <v>GOVILLER</v>
      </c>
      <c r="E12480" s="38" t="s">
        <v>548</v>
      </c>
      <c r="F12480" s="38" t="s">
        <v>195</v>
      </c>
      <c r="G12480" s="49" t="str">
        <f t="shared" si="1"/>
        <v>54330</v>
      </c>
      <c r="H12480" s="49">
        <f t="shared" si="2"/>
        <v>54235</v>
      </c>
    </row>
    <row r="12481">
      <c r="A12481" s="48" t="s">
        <v>8883</v>
      </c>
      <c r="B12481" s="38">
        <v>39490.0</v>
      </c>
      <c r="C12481" s="38" t="s">
        <v>1320</v>
      </c>
      <c r="D12481" s="38" t="str">
        <f>IFERROR(__xludf.DUMMYFUNCTION("REGEXREPLACE(C12481,""-\d+(.*)|--\d+(.*)"","""")"),"SAINT-LOUP")</f>
        <v>SAINT-LOUP</v>
      </c>
      <c r="E12481" s="38" t="s">
        <v>400</v>
      </c>
      <c r="F12481" s="38" t="s">
        <v>214</v>
      </c>
      <c r="G12481" s="49" t="str">
        <f t="shared" si="1"/>
        <v>39120</v>
      </c>
      <c r="H12481" s="49">
        <f t="shared" si="2"/>
        <v>39490</v>
      </c>
    </row>
    <row r="12482">
      <c r="A12482" s="48" t="s">
        <v>427</v>
      </c>
      <c r="B12482" s="38">
        <v>16171.0</v>
      </c>
      <c r="C12482" s="38" t="s">
        <v>16650</v>
      </c>
      <c r="D12482" s="38" t="str">
        <f>IFERROR(__xludf.DUMMYFUNCTION("REGEXREPLACE(C12482,""-\d+(.*)|--\d+(.*)"","""")"),"JUILLAC-LE-COQ")</f>
        <v>JUILLAC-LE-COQ</v>
      </c>
      <c r="E12482" s="38" t="s">
        <v>429</v>
      </c>
      <c r="F12482" s="38" t="s">
        <v>338</v>
      </c>
      <c r="G12482" s="49" t="str">
        <f t="shared" si="1"/>
        <v>16130</v>
      </c>
      <c r="H12482" s="49">
        <f t="shared" si="2"/>
        <v>16171</v>
      </c>
    </row>
    <row r="12483">
      <c r="A12483" s="48" t="s">
        <v>5485</v>
      </c>
      <c r="B12483" s="38">
        <v>27598.0</v>
      </c>
      <c r="C12483" s="38" t="s">
        <v>16651</v>
      </c>
      <c r="D12483" s="38" t="str">
        <f>IFERROR(__xludf.DUMMYFUNCTION("REGEXREPLACE(C12483,""-\d+(.*)|--\d+(.*)"","""")"),"SAINT-PIERRE-DU-VAUVRAY")</f>
        <v>SAINT-PIERRE-DU-VAUVRAY</v>
      </c>
      <c r="E12483" s="38" t="s">
        <v>241</v>
      </c>
      <c r="F12483" s="38" t="s">
        <v>134</v>
      </c>
      <c r="G12483" s="49" t="str">
        <f t="shared" si="1"/>
        <v>27430</v>
      </c>
      <c r="H12483" s="49">
        <f t="shared" si="2"/>
        <v>27598</v>
      </c>
    </row>
    <row r="12484">
      <c r="A12484" s="48" t="s">
        <v>491</v>
      </c>
      <c r="B12484" s="38">
        <v>19102.0</v>
      </c>
      <c r="C12484" s="38" t="s">
        <v>16652</v>
      </c>
      <c r="D12484" s="38" t="str">
        <f>IFERROR(__xludf.DUMMYFUNCTION("REGEXREPLACE(C12484,""-\d+(.*)|--\d+(.*)"","""")"),"LAMAZIERE-BASSE")</f>
        <v>LAMAZIERE-BASSE</v>
      </c>
      <c r="E12484" s="38" t="s">
        <v>271</v>
      </c>
      <c r="F12484" s="38" t="s">
        <v>98</v>
      </c>
      <c r="G12484" s="49" t="str">
        <f t="shared" si="1"/>
        <v>19160</v>
      </c>
      <c r="H12484" s="49">
        <f t="shared" si="2"/>
        <v>19102</v>
      </c>
    </row>
    <row r="12485">
      <c r="A12485" s="48" t="s">
        <v>6753</v>
      </c>
      <c r="B12485" s="38">
        <v>42241.0</v>
      </c>
      <c r="C12485" s="38" t="s">
        <v>16653</v>
      </c>
      <c r="D12485" s="38" t="str">
        <f>IFERROR(__xludf.DUMMYFUNCTION("REGEXREPLACE(C12485,""-\d+(.*)|--\d+(.*)"","""")"),"SAINT-JODARD")</f>
        <v>SAINT-JODARD</v>
      </c>
      <c r="E12485" s="38" t="s">
        <v>166</v>
      </c>
      <c r="F12485" s="38" t="s">
        <v>102</v>
      </c>
      <c r="G12485" s="49" t="str">
        <f t="shared" si="1"/>
        <v>42590</v>
      </c>
      <c r="H12485" s="49">
        <f t="shared" si="2"/>
        <v>42241</v>
      </c>
    </row>
    <row r="12486">
      <c r="A12486" s="48" t="s">
        <v>16654</v>
      </c>
      <c r="B12486" s="38">
        <v>86158.0</v>
      </c>
      <c r="C12486" s="38" t="s">
        <v>16655</v>
      </c>
      <c r="D12486" s="38" t="str">
        <f>IFERROR(__xludf.DUMMYFUNCTION("REGEXREPLACE(C12486,""-\d+(.*)|--\d+(.*)"","""")"),"MIGNE-AUXANCES")</f>
        <v>MIGNE-AUXANCES</v>
      </c>
      <c r="E12486" s="38" t="s">
        <v>529</v>
      </c>
      <c r="F12486" s="38" t="s">
        <v>338</v>
      </c>
      <c r="G12486" s="49" t="str">
        <f t="shared" si="1"/>
        <v>86440</v>
      </c>
      <c r="H12486" s="49">
        <f t="shared" si="2"/>
        <v>86158</v>
      </c>
    </row>
    <row r="12487">
      <c r="A12487" s="48" t="s">
        <v>4142</v>
      </c>
      <c r="B12487" s="38">
        <v>16198.0</v>
      </c>
      <c r="C12487" s="38" t="s">
        <v>16656</v>
      </c>
      <c r="D12487" s="38" t="str">
        <f>IFERROR(__xludf.DUMMYFUNCTION("REGEXREPLACE(C12487,""-\d+(.*)|--\d+(.*)"","""")"),"MAGNAC-LAVALETTE-VILLARS")</f>
        <v>MAGNAC-LAVALETTE-VILLARS</v>
      </c>
      <c r="E12487" s="38" t="s">
        <v>429</v>
      </c>
      <c r="F12487" s="38" t="s">
        <v>338</v>
      </c>
      <c r="G12487" s="49" t="str">
        <f t="shared" si="1"/>
        <v>16320</v>
      </c>
      <c r="H12487" s="49">
        <f t="shared" si="2"/>
        <v>16198</v>
      </c>
    </row>
    <row r="12488">
      <c r="A12488" s="48" t="s">
        <v>311</v>
      </c>
      <c r="B12488" s="38">
        <v>31448.0</v>
      </c>
      <c r="C12488" s="38" t="s">
        <v>16657</v>
      </c>
      <c r="D12488" s="38" t="str">
        <f>IFERROR(__xludf.DUMMYFUNCTION("REGEXREPLACE(C12488,""-\d+(.*)|--\d+(.*)"","""")"),"REBIGUE")</f>
        <v>REBIGUE</v>
      </c>
      <c r="E12488" s="38" t="s">
        <v>93</v>
      </c>
      <c r="F12488" s="38" t="s">
        <v>94</v>
      </c>
      <c r="G12488" s="49" t="str">
        <f t="shared" si="1"/>
        <v>31320</v>
      </c>
      <c r="H12488" s="49">
        <f t="shared" si="2"/>
        <v>31448</v>
      </c>
    </row>
    <row r="12489">
      <c r="A12489" s="48" t="s">
        <v>4272</v>
      </c>
      <c r="B12489" s="38">
        <v>76416.0</v>
      </c>
      <c r="C12489" s="38" t="s">
        <v>16658</v>
      </c>
      <c r="D12489" s="38" t="str">
        <f>IFERROR(__xludf.DUMMYFUNCTION("REGEXREPLACE(C12489,""-\d+(.*)|--\d+(.*)"","""")"),"MATHONVILLE")</f>
        <v>MATHONVILLE</v>
      </c>
      <c r="E12489" s="38" t="s">
        <v>133</v>
      </c>
      <c r="F12489" s="38" t="s">
        <v>134</v>
      </c>
      <c r="G12489" s="49" t="str">
        <f t="shared" si="1"/>
        <v>76680</v>
      </c>
      <c r="H12489" s="49">
        <f t="shared" si="2"/>
        <v>76416</v>
      </c>
    </row>
    <row r="12490">
      <c r="A12490" s="48" t="s">
        <v>5810</v>
      </c>
      <c r="B12490" s="38">
        <v>54207.0</v>
      </c>
      <c r="C12490" s="38" t="s">
        <v>16659</v>
      </c>
      <c r="D12490" s="38" t="str">
        <f>IFERROR(__xludf.DUMMYFUNCTION("REGEXREPLACE(C12490,""-\d+(.*)|--\d+(.*)"","""")"),"FRAISNES-EN-SAINTOIS")</f>
        <v>FRAISNES-EN-SAINTOIS</v>
      </c>
      <c r="E12490" s="38" t="s">
        <v>548</v>
      </c>
      <c r="F12490" s="38" t="s">
        <v>195</v>
      </c>
      <c r="G12490" s="49" t="str">
        <f t="shared" si="1"/>
        <v>54930</v>
      </c>
      <c r="H12490" s="49">
        <f t="shared" si="2"/>
        <v>54207</v>
      </c>
    </row>
    <row r="12491">
      <c r="A12491" s="48" t="s">
        <v>10131</v>
      </c>
      <c r="B12491" s="38">
        <v>22350.0</v>
      </c>
      <c r="C12491" s="38" t="s">
        <v>16660</v>
      </c>
      <c r="D12491" s="38" t="str">
        <f>IFERROR(__xludf.DUMMYFUNCTION("REGEXREPLACE(C12491,""-\d+(.*)|--\d+(.*)"","""")"),"TREDUDER")</f>
        <v>TREDUDER</v>
      </c>
      <c r="E12491" s="38" t="s">
        <v>89</v>
      </c>
      <c r="F12491" s="38" t="s">
        <v>90</v>
      </c>
      <c r="G12491" s="49" t="str">
        <f t="shared" si="1"/>
        <v>22310</v>
      </c>
      <c r="H12491" s="49">
        <f t="shared" si="2"/>
        <v>22350</v>
      </c>
    </row>
    <row r="12492">
      <c r="A12492" s="48" t="s">
        <v>2254</v>
      </c>
      <c r="B12492" s="38">
        <v>62754.0</v>
      </c>
      <c r="C12492" s="38" t="s">
        <v>11669</v>
      </c>
      <c r="D12492" s="38" t="str">
        <f>IFERROR(__xludf.DUMMYFUNCTION("REGEXREPLACE(C12492,""-\d+(.*)|--\d+(.*)"","""")"),"SAINT-LEGER")</f>
        <v>SAINT-LEGER</v>
      </c>
      <c r="E12492" s="38" t="s">
        <v>109</v>
      </c>
      <c r="F12492" s="38" t="s">
        <v>86</v>
      </c>
      <c r="G12492" s="49" t="str">
        <f t="shared" si="1"/>
        <v>62128</v>
      </c>
      <c r="H12492" s="49">
        <f t="shared" si="2"/>
        <v>62754</v>
      </c>
    </row>
    <row r="12493">
      <c r="A12493" s="48" t="s">
        <v>3978</v>
      </c>
      <c r="B12493" s="38">
        <v>21559.0</v>
      </c>
      <c r="C12493" s="38" t="s">
        <v>16661</v>
      </c>
      <c r="D12493" s="38" t="str">
        <f>IFERROR(__xludf.DUMMYFUNCTION("REGEXREPLACE(C12493,""-\d+(.*)|--\d+(.*)"","""")"),"SAINTE-MARIE-SUR-OUCHE")</f>
        <v>SAINTE-MARIE-SUR-OUCHE</v>
      </c>
      <c r="E12493" s="38" t="s">
        <v>105</v>
      </c>
      <c r="F12493" s="38" t="s">
        <v>106</v>
      </c>
      <c r="G12493" s="49" t="str">
        <f t="shared" si="1"/>
        <v>21410</v>
      </c>
      <c r="H12493" s="49">
        <f t="shared" si="2"/>
        <v>21559</v>
      </c>
    </row>
    <row r="12494">
      <c r="A12494" s="48" t="s">
        <v>5134</v>
      </c>
      <c r="B12494" s="38">
        <v>70015.0</v>
      </c>
      <c r="C12494" s="38" t="s">
        <v>16662</v>
      </c>
      <c r="D12494" s="38" t="str">
        <f>IFERROR(__xludf.DUMMYFUNCTION("REGEXREPLACE(C12494,""-\d+(.*)|--\d+(.*)"","""")"),"AMONCOURT")</f>
        <v>AMONCOURT</v>
      </c>
      <c r="E12494" s="38" t="s">
        <v>956</v>
      </c>
      <c r="F12494" s="38" t="s">
        <v>214</v>
      </c>
      <c r="G12494" s="49" t="str">
        <f t="shared" si="1"/>
        <v>70170</v>
      </c>
      <c r="H12494" s="49">
        <f t="shared" si="2"/>
        <v>70015</v>
      </c>
    </row>
    <row r="12495">
      <c r="A12495" s="48" t="s">
        <v>1518</v>
      </c>
      <c r="B12495" s="38">
        <v>88507.0</v>
      </c>
      <c r="C12495" s="38" t="s">
        <v>16663</v>
      </c>
      <c r="D12495" s="38" t="str">
        <f>IFERROR(__xludf.DUMMYFUNCTION("REGEXREPLACE(C12495,""-\d+(.*)|--\d+(.*)"","""")"),"VILLERS")</f>
        <v>VILLERS</v>
      </c>
      <c r="E12495" s="38" t="s">
        <v>194</v>
      </c>
      <c r="F12495" s="38" t="s">
        <v>195</v>
      </c>
      <c r="G12495" s="49" t="str">
        <f t="shared" si="1"/>
        <v>88500</v>
      </c>
      <c r="H12495" s="49">
        <f t="shared" si="2"/>
        <v>88507</v>
      </c>
    </row>
    <row r="12496">
      <c r="A12496" s="48" t="s">
        <v>1993</v>
      </c>
      <c r="B12496" s="38">
        <v>2827.0</v>
      </c>
      <c r="C12496" s="38" t="s">
        <v>16664</v>
      </c>
      <c r="D12496" s="38" t="str">
        <f>IFERROR(__xludf.DUMMYFUNCTION("REGEXREPLACE(C12496,""-\d+(.*)|--\d+(.*)"","""")"),"VOYENNE")</f>
        <v>VOYENNE</v>
      </c>
      <c r="E12496" s="38" t="s">
        <v>191</v>
      </c>
      <c r="F12496" s="38" t="s">
        <v>113</v>
      </c>
      <c r="G12496" s="49" t="str">
        <f t="shared" si="1"/>
        <v>02250</v>
      </c>
      <c r="H12496" s="49" t="str">
        <f t="shared" si="2"/>
        <v>02827</v>
      </c>
    </row>
    <row r="12497">
      <c r="A12497" s="48" t="s">
        <v>5558</v>
      </c>
      <c r="B12497" s="38">
        <v>14462.0</v>
      </c>
      <c r="C12497" s="38" t="s">
        <v>16665</v>
      </c>
      <c r="D12497" s="38" t="str">
        <f>IFERROR(__xludf.DUMMYFUNCTION("REGEXREPLACE(C12497,""-\d+(.*)|--\d+(.*)"","""")"),"NEUILLY-LA-FORET")</f>
        <v>NEUILLY-LA-FORET</v>
      </c>
      <c r="E12497" s="38" t="s">
        <v>137</v>
      </c>
      <c r="F12497" s="38" t="s">
        <v>138</v>
      </c>
      <c r="G12497" s="49" t="str">
        <f t="shared" si="1"/>
        <v>14230</v>
      </c>
      <c r="H12497" s="49">
        <f t="shared" si="2"/>
        <v>14462</v>
      </c>
    </row>
    <row r="12498">
      <c r="A12498" s="48" t="s">
        <v>16666</v>
      </c>
      <c r="B12498" s="38">
        <v>49196.0</v>
      </c>
      <c r="C12498" s="38" t="s">
        <v>16667</v>
      </c>
      <c r="D12498" s="38" t="str">
        <f>IFERROR(__xludf.DUMMYFUNCTION("REGEXREPLACE(C12498,""-\d+(.*)|--\d+(.*)"","""")"),"LA MEIGNANNE")</f>
        <v>LA MEIGNANNE</v>
      </c>
      <c r="E12498" s="38" t="s">
        <v>653</v>
      </c>
      <c r="F12498" s="38" t="s">
        <v>180</v>
      </c>
      <c r="G12498" s="49" t="str">
        <f t="shared" si="1"/>
        <v>49770</v>
      </c>
      <c r="H12498" s="49">
        <f t="shared" si="2"/>
        <v>49196</v>
      </c>
    </row>
    <row r="12499">
      <c r="A12499" s="48" t="s">
        <v>2989</v>
      </c>
      <c r="B12499" s="38">
        <v>70118.0</v>
      </c>
      <c r="C12499" s="38" t="s">
        <v>16668</v>
      </c>
      <c r="D12499" s="38" t="str">
        <f>IFERROR(__xludf.DUMMYFUNCTION("REGEXREPLACE(C12499,""-\d+(.*)|--\d+(.*)"","""")"),"CHAMBORNAY-LES-BELLEVAUX")</f>
        <v>CHAMBORNAY-LES-BELLEVAUX</v>
      </c>
      <c r="E12499" s="38" t="s">
        <v>956</v>
      </c>
      <c r="F12499" s="38" t="s">
        <v>214</v>
      </c>
      <c r="G12499" s="49" t="str">
        <f t="shared" si="1"/>
        <v>70190</v>
      </c>
      <c r="H12499" s="49">
        <f t="shared" si="2"/>
        <v>70118</v>
      </c>
    </row>
    <row r="12500">
      <c r="A12500" s="48" t="s">
        <v>16669</v>
      </c>
      <c r="B12500" s="38">
        <v>95039.0</v>
      </c>
      <c r="C12500" s="38" t="s">
        <v>16670</v>
      </c>
      <c r="D12500" s="38" t="str">
        <f>IFERROR(__xludf.DUMMYFUNCTION("REGEXREPLACE(C12500,""-\d+(.*)|--\d+(.*)"","""")"),"AUVERS-SUR-OISE")</f>
        <v>AUVERS-SUR-OISE</v>
      </c>
      <c r="E12500" s="38" t="s">
        <v>541</v>
      </c>
      <c r="F12500" s="38" t="s">
        <v>245</v>
      </c>
      <c r="G12500" s="49" t="str">
        <f t="shared" si="1"/>
        <v>95430</v>
      </c>
      <c r="H12500" s="49">
        <f t="shared" si="2"/>
        <v>95039</v>
      </c>
    </row>
    <row r="12501">
      <c r="A12501" s="48" t="s">
        <v>2249</v>
      </c>
      <c r="B12501" s="38">
        <v>14630.0</v>
      </c>
      <c r="C12501" s="38" t="s">
        <v>16671</v>
      </c>
      <c r="D12501" s="38" t="str">
        <f>IFERROR(__xludf.DUMMYFUNCTION("REGEXREPLACE(C12501,""-\d+(.*)|--\d+(.*)"","""")"),"SAINT-MARTIN-DES-ENTREES")</f>
        <v>SAINT-MARTIN-DES-ENTREES</v>
      </c>
      <c r="E12501" s="38" t="s">
        <v>137</v>
      </c>
      <c r="F12501" s="38" t="s">
        <v>138</v>
      </c>
      <c r="G12501" s="49" t="str">
        <f t="shared" si="1"/>
        <v>14400</v>
      </c>
      <c r="H12501" s="49">
        <f t="shared" si="2"/>
        <v>14630</v>
      </c>
    </row>
    <row r="12502">
      <c r="A12502" s="48" t="s">
        <v>2976</v>
      </c>
      <c r="B12502" s="38">
        <v>14220.0</v>
      </c>
      <c r="C12502" s="38" t="s">
        <v>16672</v>
      </c>
      <c r="D12502" s="38" t="str">
        <f>IFERROR(__xludf.DUMMYFUNCTION("REGEXREPLACE(C12502,""-\d+(.*)|--\d+(.*)"","""")"),"DEAUVILLE")</f>
        <v>DEAUVILLE</v>
      </c>
      <c r="E12502" s="38" t="s">
        <v>137</v>
      </c>
      <c r="F12502" s="38" t="s">
        <v>138</v>
      </c>
      <c r="G12502" s="49" t="str">
        <f t="shared" si="1"/>
        <v>14800</v>
      </c>
      <c r="H12502" s="49">
        <f t="shared" si="2"/>
        <v>14220</v>
      </c>
    </row>
    <row r="12503">
      <c r="A12503" s="48" t="s">
        <v>775</v>
      </c>
      <c r="B12503" s="38">
        <v>14011.0</v>
      </c>
      <c r="C12503" s="38" t="s">
        <v>16673</v>
      </c>
      <c r="D12503" s="38" t="str">
        <f>IFERROR(__xludf.DUMMYFUNCTION("REGEXREPLACE(C12503,""-\d+(.*)|--\d+(.*)"","""")"),"ANCTOVILLE")</f>
        <v>ANCTOVILLE</v>
      </c>
      <c r="E12503" s="38" t="s">
        <v>137</v>
      </c>
      <c r="F12503" s="38" t="s">
        <v>138</v>
      </c>
      <c r="G12503" s="49" t="str">
        <f t="shared" si="1"/>
        <v>14240</v>
      </c>
      <c r="H12503" s="49">
        <f t="shared" si="2"/>
        <v>14011</v>
      </c>
    </row>
    <row r="12504">
      <c r="A12504" s="48" t="s">
        <v>3107</v>
      </c>
      <c r="B12504" s="38">
        <v>45199.0</v>
      </c>
      <c r="C12504" s="38" t="s">
        <v>16674</v>
      </c>
      <c r="D12504" s="38" t="str">
        <f>IFERROR(__xludf.DUMMYFUNCTION("REGEXREPLACE(C12504,""-\d+(.*)|--\d+(.*)"","""")"),"MELLEROY")</f>
        <v>MELLEROY</v>
      </c>
      <c r="E12504" s="38" t="s">
        <v>122</v>
      </c>
      <c r="F12504" s="38" t="s">
        <v>123</v>
      </c>
      <c r="G12504" s="49" t="str">
        <f t="shared" si="1"/>
        <v>45220</v>
      </c>
      <c r="H12504" s="49">
        <f t="shared" si="2"/>
        <v>45199</v>
      </c>
    </row>
    <row r="12505">
      <c r="A12505" s="48" t="s">
        <v>2411</v>
      </c>
      <c r="B12505" s="38">
        <v>37202.0</v>
      </c>
      <c r="C12505" s="38" t="s">
        <v>16675</v>
      </c>
      <c r="D12505" s="38" t="str">
        <f>IFERROR(__xludf.DUMMYFUNCTION("REGEXREPLACE(C12505,""-\d+(.*)|--\d+(.*)"","""")"),"LA ROCHE-CLERMAULT")</f>
        <v>LA ROCHE-CLERMAULT</v>
      </c>
      <c r="E12505" s="38" t="s">
        <v>205</v>
      </c>
      <c r="F12505" s="38" t="s">
        <v>123</v>
      </c>
      <c r="G12505" s="49" t="str">
        <f t="shared" si="1"/>
        <v>37500</v>
      </c>
      <c r="H12505" s="49">
        <f t="shared" si="2"/>
        <v>37202</v>
      </c>
    </row>
    <row r="12506">
      <c r="A12506" s="48" t="s">
        <v>222</v>
      </c>
      <c r="B12506" s="38">
        <v>80645.0</v>
      </c>
      <c r="C12506" s="38" t="s">
        <v>16676</v>
      </c>
      <c r="D12506" s="38" t="str">
        <f>IFERROR(__xludf.DUMMYFUNCTION("REGEXREPLACE(C12506,""-\d+(.*)|--\d+(.*)"","""")"),"PUCHEVILLERS")</f>
        <v>PUCHEVILLERS</v>
      </c>
      <c r="E12506" s="38" t="s">
        <v>224</v>
      </c>
      <c r="F12506" s="38" t="s">
        <v>113</v>
      </c>
      <c r="G12506" s="49" t="str">
        <f t="shared" si="1"/>
        <v>80560</v>
      </c>
      <c r="H12506" s="49">
        <f t="shared" si="2"/>
        <v>80645</v>
      </c>
    </row>
    <row r="12507">
      <c r="A12507" s="48" t="s">
        <v>6321</v>
      </c>
      <c r="B12507" s="38">
        <v>62290.0</v>
      </c>
      <c r="C12507" s="38" t="s">
        <v>16677</v>
      </c>
      <c r="D12507" s="38" t="str">
        <f>IFERROR(__xludf.DUMMYFUNCTION("REGEXREPLACE(C12507,""-\d+(.*)|--\d+(.*)"","""")"),"ECURIE")</f>
        <v>ECURIE</v>
      </c>
      <c r="E12507" s="38" t="s">
        <v>109</v>
      </c>
      <c r="F12507" s="38" t="s">
        <v>86</v>
      </c>
      <c r="G12507" s="49" t="str">
        <f t="shared" si="1"/>
        <v>62223</v>
      </c>
      <c r="H12507" s="49">
        <f t="shared" si="2"/>
        <v>62290</v>
      </c>
    </row>
    <row r="12508">
      <c r="A12508" s="48" t="s">
        <v>1203</v>
      </c>
      <c r="B12508" s="38">
        <v>17228.0</v>
      </c>
      <c r="C12508" s="38" t="s">
        <v>16678</v>
      </c>
      <c r="D12508" s="38" t="str">
        <f>IFERROR(__xludf.DUMMYFUNCTION("REGEXREPLACE(C12508,""-\d+(.*)|--\d+(.*)"","""")"),"MEDIS")</f>
        <v>MEDIS</v>
      </c>
      <c r="E12508" s="38" t="s">
        <v>488</v>
      </c>
      <c r="F12508" s="38" t="s">
        <v>338</v>
      </c>
      <c r="G12508" s="49" t="str">
        <f t="shared" si="1"/>
        <v>17600</v>
      </c>
      <c r="H12508" s="49">
        <f t="shared" si="2"/>
        <v>17228</v>
      </c>
    </row>
    <row r="12509">
      <c r="A12509" s="48" t="s">
        <v>4599</v>
      </c>
      <c r="B12509" s="38">
        <v>70334.0</v>
      </c>
      <c r="C12509" s="38" t="s">
        <v>16679</v>
      </c>
      <c r="D12509" s="38" t="str">
        <f>IFERROR(__xludf.DUMMYFUNCTION("REGEXREPLACE(C12509,""-\d+(.*)|--\d+(.*)"","""")"),"MARNAY")</f>
        <v>MARNAY</v>
      </c>
      <c r="E12509" s="38" t="s">
        <v>956</v>
      </c>
      <c r="F12509" s="38" t="s">
        <v>214</v>
      </c>
      <c r="G12509" s="49" t="str">
        <f t="shared" si="1"/>
        <v>70150</v>
      </c>
      <c r="H12509" s="49">
        <f t="shared" si="2"/>
        <v>70334</v>
      </c>
    </row>
    <row r="12510">
      <c r="A12510" s="48" t="s">
        <v>964</v>
      </c>
      <c r="B12510" s="38">
        <v>71219.0</v>
      </c>
      <c r="C12510" s="38" t="s">
        <v>16680</v>
      </c>
      <c r="D12510" s="38" t="str">
        <f>IFERROR(__xludf.DUMMYFUNCTION("REGEXREPLACE(C12510,""-\d+(.*)|--\d+(.*)"","""")"),"GIGNY-SUR-SAONE")</f>
        <v>GIGNY-SUR-SAONE</v>
      </c>
      <c r="E12510" s="38" t="s">
        <v>344</v>
      </c>
      <c r="F12510" s="38" t="s">
        <v>106</v>
      </c>
      <c r="G12510" s="49" t="str">
        <f t="shared" si="1"/>
        <v>71240</v>
      </c>
      <c r="H12510" s="49">
        <f t="shared" si="2"/>
        <v>71219</v>
      </c>
    </row>
    <row r="12511">
      <c r="A12511" s="48" t="s">
        <v>10880</v>
      </c>
      <c r="B12511" s="38">
        <v>72268.0</v>
      </c>
      <c r="C12511" s="38" t="s">
        <v>16681</v>
      </c>
      <c r="D12511" s="38" t="str">
        <f>IFERROR(__xludf.DUMMYFUNCTION("REGEXREPLACE(C12511,""-\d+(.*)|--\d+(.*)"","""")"),"SAINT-BIEZ-EN-BELIN")</f>
        <v>SAINT-BIEZ-EN-BELIN</v>
      </c>
      <c r="E12511" s="38" t="s">
        <v>521</v>
      </c>
      <c r="F12511" s="38" t="s">
        <v>180</v>
      </c>
      <c r="G12511" s="49" t="str">
        <f t="shared" si="1"/>
        <v>72220</v>
      </c>
      <c r="H12511" s="49">
        <f t="shared" si="2"/>
        <v>72268</v>
      </c>
    </row>
    <row r="12512">
      <c r="A12512" s="48" t="s">
        <v>16682</v>
      </c>
      <c r="B12512" s="38">
        <v>62907.0</v>
      </c>
      <c r="C12512" s="38" t="s">
        <v>16683</v>
      </c>
      <c r="D12512" s="38" t="str">
        <f>IFERROR(__xludf.DUMMYFUNCTION("REGEXREPLACE(C12512,""-\d+(.*)|--\d+(.*)"","""")"),"LIBERCOURT")</f>
        <v>LIBERCOURT</v>
      </c>
      <c r="E12512" s="38" t="s">
        <v>109</v>
      </c>
      <c r="F12512" s="38" t="s">
        <v>86</v>
      </c>
      <c r="G12512" s="49" t="str">
        <f t="shared" si="1"/>
        <v>62820</v>
      </c>
      <c r="H12512" s="49">
        <f t="shared" si="2"/>
        <v>62907</v>
      </c>
    </row>
    <row r="12513">
      <c r="A12513" s="48" t="s">
        <v>1903</v>
      </c>
      <c r="B12513" s="38">
        <v>10184.0</v>
      </c>
      <c r="C12513" s="38" t="s">
        <v>16684</v>
      </c>
      <c r="D12513" s="38" t="str">
        <f>IFERROR(__xludf.DUMMYFUNCTION("REGEXREPLACE(C12513,""-\d+(.*)|--\d+(.*)"","""")"),"JUZANVIGNY")</f>
        <v>JUZANVIGNY</v>
      </c>
      <c r="E12513" s="38" t="s">
        <v>147</v>
      </c>
      <c r="F12513" s="38" t="s">
        <v>130</v>
      </c>
      <c r="G12513" s="49" t="str">
        <f t="shared" si="1"/>
        <v>10500</v>
      </c>
      <c r="H12513" s="49">
        <f t="shared" si="2"/>
        <v>10184</v>
      </c>
    </row>
    <row r="12514">
      <c r="A12514" s="48" t="s">
        <v>1341</v>
      </c>
      <c r="B12514" s="38">
        <v>14038.0</v>
      </c>
      <c r="C12514" s="38" t="s">
        <v>16685</v>
      </c>
      <c r="D12514" s="38" t="str">
        <f>IFERROR(__xludf.DUMMYFUNCTION("REGEXREPLACE(C12514,""-\d+(.*)|--\d+(.*)"","""")"),"BANVILLE")</f>
        <v>BANVILLE</v>
      </c>
      <c r="E12514" s="38" t="s">
        <v>137</v>
      </c>
      <c r="F12514" s="38" t="s">
        <v>138</v>
      </c>
      <c r="G12514" s="49" t="str">
        <f t="shared" si="1"/>
        <v>14480</v>
      </c>
      <c r="H12514" s="49">
        <f t="shared" si="2"/>
        <v>14038</v>
      </c>
    </row>
    <row r="12515">
      <c r="A12515" s="48" t="s">
        <v>13834</v>
      </c>
      <c r="B12515" s="38">
        <v>36208.0</v>
      </c>
      <c r="C12515" s="38" t="s">
        <v>16686</v>
      </c>
      <c r="D12515" s="38" t="str">
        <f>IFERROR(__xludf.DUMMYFUNCTION("REGEXREPLACE(C12515,""-\d+(.*)|--\d+(.*)"","""")"),"SAINTE-SEVERE-SUR-INDRE")</f>
        <v>SAINTE-SEVERE-SUR-INDRE</v>
      </c>
      <c r="E12515" s="38" t="s">
        <v>258</v>
      </c>
      <c r="F12515" s="38" t="s">
        <v>123</v>
      </c>
      <c r="G12515" s="49" t="str">
        <f t="shared" si="1"/>
        <v>36160</v>
      </c>
      <c r="H12515" s="49">
        <f t="shared" si="2"/>
        <v>36208</v>
      </c>
    </row>
    <row r="12516">
      <c r="A12516" s="48" t="s">
        <v>1772</v>
      </c>
      <c r="B12516" s="38">
        <v>53040.0</v>
      </c>
      <c r="C12516" s="38" t="s">
        <v>16687</v>
      </c>
      <c r="D12516" s="38" t="str">
        <f>IFERROR(__xludf.DUMMYFUNCTION("REGEXREPLACE(C12516,""-\d+(.*)|--\d+(.*)"","""")"),"BOURGON")</f>
        <v>BOURGON</v>
      </c>
      <c r="E12516" s="38" t="s">
        <v>518</v>
      </c>
      <c r="F12516" s="38" t="s">
        <v>180</v>
      </c>
      <c r="G12516" s="49" t="str">
        <f t="shared" si="1"/>
        <v>53410</v>
      </c>
      <c r="H12516" s="49">
        <f t="shared" si="2"/>
        <v>53040</v>
      </c>
    </row>
    <row r="12517">
      <c r="A12517" s="48" t="s">
        <v>10268</v>
      </c>
      <c r="B12517" s="38">
        <v>41071.0</v>
      </c>
      <c r="C12517" s="38" t="s">
        <v>16688</v>
      </c>
      <c r="D12517" s="38" t="str">
        <f>IFERROR(__xludf.DUMMYFUNCTION("REGEXREPLACE(C12517,""-\d+(.*)|--\d+(.*)"","""")"),"CROUY-SUR-COSSON")</f>
        <v>CROUY-SUR-COSSON</v>
      </c>
      <c r="E12517" s="38" t="s">
        <v>188</v>
      </c>
      <c r="F12517" s="38" t="s">
        <v>123</v>
      </c>
      <c r="G12517" s="49" t="str">
        <f t="shared" si="1"/>
        <v>41220</v>
      </c>
      <c r="H12517" s="49">
        <f t="shared" si="2"/>
        <v>41071</v>
      </c>
    </row>
    <row r="12518">
      <c r="A12518" s="48" t="s">
        <v>993</v>
      </c>
      <c r="B12518" s="38">
        <v>73059.0</v>
      </c>
      <c r="C12518" s="38" t="s">
        <v>16689</v>
      </c>
      <c r="D12518" s="38" t="str">
        <f>IFERROR(__xludf.DUMMYFUNCTION("REGEXREPLACE(C12518,""-\d+(.*)|--\d+(.*)"","""")"),"BRISON-SAINT-INNOCENT")</f>
        <v>BRISON-SAINT-INNOCENT</v>
      </c>
      <c r="E12518" s="38" t="s">
        <v>306</v>
      </c>
      <c r="F12518" s="38" t="s">
        <v>102</v>
      </c>
      <c r="G12518" s="49" t="str">
        <f t="shared" si="1"/>
        <v>73100</v>
      </c>
      <c r="H12518" s="49">
        <f t="shared" si="2"/>
        <v>73059</v>
      </c>
    </row>
    <row r="12519">
      <c r="A12519" s="48" t="s">
        <v>2057</v>
      </c>
      <c r="B12519" s="38">
        <v>89150.0</v>
      </c>
      <c r="C12519" s="38" t="s">
        <v>16690</v>
      </c>
      <c r="D12519" s="38" t="str">
        <f>IFERROR(__xludf.DUMMYFUNCTION("REGEXREPLACE(C12519,""-\d+(.*)|--\d+(.*)"","""")"),"EGLENY")</f>
        <v>EGLENY</v>
      </c>
      <c r="E12519" s="38" t="s">
        <v>275</v>
      </c>
      <c r="F12519" s="38" t="s">
        <v>106</v>
      </c>
      <c r="G12519" s="49" t="str">
        <f t="shared" si="1"/>
        <v>89240</v>
      </c>
      <c r="H12519" s="49">
        <f t="shared" si="2"/>
        <v>89150</v>
      </c>
    </row>
    <row r="12520">
      <c r="A12520" s="48" t="s">
        <v>1601</v>
      </c>
      <c r="B12520" s="38">
        <v>72194.0</v>
      </c>
      <c r="C12520" s="38" t="s">
        <v>16691</v>
      </c>
      <c r="D12520" s="38" t="str">
        <f>IFERROR(__xludf.DUMMYFUNCTION("REGEXREPLACE(C12520,""-\d+(.*)|--\d+(.*)"","""")"),"MEURCE")</f>
        <v>MEURCE</v>
      </c>
      <c r="E12520" s="38" t="s">
        <v>521</v>
      </c>
      <c r="F12520" s="38" t="s">
        <v>180</v>
      </c>
      <c r="G12520" s="49" t="str">
        <f t="shared" si="1"/>
        <v>72170</v>
      </c>
      <c r="H12520" s="49">
        <f t="shared" si="2"/>
        <v>72194</v>
      </c>
    </row>
    <row r="12521">
      <c r="A12521" s="48" t="s">
        <v>2671</v>
      </c>
      <c r="B12521" s="38">
        <v>65364.0</v>
      </c>
      <c r="C12521" s="38" t="s">
        <v>16692</v>
      </c>
      <c r="D12521" s="38" t="str">
        <f>IFERROR(__xludf.DUMMYFUNCTION("REGEXREPLACE(C12521,""-\d+(.*)|--\d+(.*)"","""")"),"PINTAC")</f>
        <v>PINTAC</v>
      </c>
      <c r="E12521" s="38" t="s">
        <v>200</v>
      </c>
      <c r="F12521" s="38" t="s">
        <v>94</v>
      </c>
      <c r="G12521" s="49" t="str">
        <f t="shared" si="1"/>
        <v>65320</v>
      </c>
      <c r="H12521" s="49">
        <f t="shared" si="2"/>
        <v>65364</v>
      </c>
    </row>
    <row r="12522">
      <c r="A12522" s="48" t="s">
        <v>3359</v>
      </c>
      <c r="B12522" s="38">
        <v>9220.0</v>
      </c>
      <c r="C12522" s="38" t="s">
        <v>16693</v>
      </c>
      <c r="D12522" s="38" t="str">
        <f>IFERROR(__xludf.DUMMYFUNCTION("REGEXREPLACE(C12522,""-\d+(.*)|--\d+(.*)"","""")"),"ORLU")</f>
        <v>ORLU</v>
      </c>
      <c r="E12522" s="38" t="s">
        <v>238</v>
      </c>
      <c r="F12522" s="38" t="s">
        <v>94</v>
      </c>
      <c r="G12522" s="49" t="str">
        <f t="shared" si="1"/>
        <v>09110</v>
      </c>
      <c r="H12522" s="49" t="str">
        <f t="shared" si="2"/>
        <v>09220</v>
      </c>
    </row>
    <row r="12523">
      <c r="A12523" s="48" t="s">
        <v>249</v>
      </c>
      <c r="B12523" s="38">
        <v>47323.0</v>
      </c>
      <c r="C12523" s="38" t="s">
        <v>16694</v>
      </c>
      <c r="D12523" s="38" t="str">
        <f>IFERROR(__xludf.DUMMYFUNCTION("REGEXREPLACE(C12523,""-\d+(.*)|--\d+(.*)"","""")"),"VILLENEUVE-SUR-LOT")</f>
        <v>VILLENEUVE-SUR-LOT</v>
      </c>
      <c r="E12523" s="38" t="s">
        <v>251</v>
      </c>
      <c r="F12523" s="38" t="s">
        <v>252</v>
      </c>
      <c r="G12523" s="49" t="str">
        <f t="shared" si="1"/>
        <v>47300</v>
      </c>
      <c r="H12523" s="49">
        <f t="shared" si="2"/>
        <v>47323</v>
      </c>
    </row>
    <row r="12524">
      <c r="A12524" s="48" t="s">
        <v>5012</v>
      </c>
      <c r="B12524" s="38">
        <v>55014.0</v>
      </c>
      <c r="C12524" s="38" t="s">
        <v>16695</v>
      </c>
      <c r="D12524" s="38" t="str">
        <f>IFERROR(__xludf.DUMMYFUNCTION("REGEXREPLACE(C12524,""-\d+(.*)|--\d+(.*)"","""")"),"AUBREVILLE")</f>
        <v>AUBREVILLE</v>
      </c>
      <c r="E12524" s="38" t="s">
        <v>322</v>
      </c>
      <c r="F12524" s="38" t="s">
        <v>195</v>
      </c>
      <c r="G12524" s="49" t="str">
        <f t="shared" si="1"/>
        <v>55120</v>
      </c>
      <c r="H12524" s="49">
        <f t="shared" si="2"/>
        <v>55014</v>
      </c>
    </row>
    <row r="12525">
      <c r="A12525" s="48" t="s">
        <v>1360</v>
      </c>
      <c r="B12525" s="38">
        <v>23172.0</v>
      </c>
      <c r="C12525" s="38" t="s">
        <v>16696</v>
      </c>
      <c r="D12525" s="38" t="str">
        <f>IFERROR(__xludf.DUMMYFUNCTION("REGEXREPLACE(C12525,""-\d+(.*)|--\d+(.*)"","""")"),"LA SERRE-BUSSIERE-VIEILLE")</f>
        <v>LA SERRE-BUSSIERE-VIEILLE</v>
      </c>
      <c r="E12525" s="38" t="s">
        <v>97</v>
      </c>
      <c r="F12525" s="38" t="s">
        <v>98</v>
      </c>
      <c r="G12525" s="49" t="str">
        <f t="shared" si="1"/>
        <v>23190</v>
      </c>
      <c r="H12525" s="49">
        <f t="shared" si="2"/>
        <v>23172</v>
      </c>
    </row>
    <row r="12526">
      <c r="A12526" s="48" t="s">
        <v>3013</v>
      </c>
      <c r="B12526" s="38">
        <v>48127.0</v>
      </c>
      <c r="C12526" s="38" t="s">
        <v>16697</v>
      </c>
      <c r="D12526" s="38" t="str">
        <f>IFERROR(__xludf.DUMMYFUNCTION("REGEXREPLACE(C12526,""-\d+(.*)|--\d+(.*)"","""")"),"RIEUTORT-DE-RANDON")</f>
        <v>RIEUTORT-DE-RANDON</v>
      </c>
      <c r="E12526" s="38" t="s">
        <v>154</v>
      </c>
      <c r="F12526" s="38" t="s">
        <v>119</v>
      </c>
      <c r="G12526" s="49" t="str">
        <f t="shared" si="1"/>
        <v>48700</v>
      </c>
      <c r="H12526" s="49">
        <f t="shared" si="2"/>
        <v>48127</v>
      </c>
    </row>
    <row r="12527">
      <c r="A12527" s="48" t="s">
        <v>4193</v>
      </c>
      <c r="B12527" s="38">
        <v>17035.0</v>
      </c>
      <c r="C12527" s="38" t="s">
        <v>16698</v>
      </c>
      <c r="D12527" s="38" t="str">
        <f>IFERROR(__xludf.DUMMYFUNCTION("REGEXREPLACE(C12527,""-\d+(.*)|--\d+(.*)"","""")"),"BAZAUGES")</f>
        <v>BAZAUGES</v>
      </c>
      <c r="E12527" s="38" t="s">
        <v>488</v>
      </c>
      <c r="F12527" s="38" t="s">
        <v>338</v>
      </c>
      <c r="G12527" s="49" t="str">
        <f t="shared" si="1"/>
        <v>17490</v>
      </c>
      <c r="H12527" s="49">
        <f t="shared" si="2"/>
        <v>17035</v>
      </c>
    </row>
    <row r="12528">
      <c r="A12528" s="48" t="s">
        <v>120</v>
      </c>
      <c r="B12528" s="38">
        <v>45136.0</v>
      </c>
      <c r="C12528" s="38" t="s">
        <v>16699</v>
      </c>
      <c r="D12528" s="38" t="str">
        <f>IFERROR(__xludf.DUMMYFUNCTION("REGEXREPLACE(C12528,""-\d+(.*)|--\d+(.*)"","""")"),"ERVAUVILLE")</f>
        <v>ERVAUVILLE</v>
      </c>
      <c r="E12528" s="38" t="s">
        <v>122</v>
      </c>
      <c r="F12528" s="38" t="s">
        <v>123</v>
      </c>
      <c r="G12528" s="49" t="str">
        <f t="shared" si="1"/>
        <v>45320</v>
      </c>
      <c r="H12528" s="49">
        <f t="shared" si="2"/>
        <v>45136</v>
      </c>
    </row>
    <row r="12529">
      <c r="A12529" s="48" t="s">
        <v>16700</v>
      </c>
      <c r="B12529" s="38">
        <v>15014.0</v>
      </c>
      <c r="C12529" s="38" t="s">
        <v>16701</v>
      </c>
      <c r="D12529" s="38" t="str">
        <f>IFERROR(__xludf.DUMMYFUNCTION("REGEXREPLACE(C12529,""-\d+(.*)|--\d+(.*)"","""")"),"AURILLAC")</f>
        <v>AURILLAC</v>
      </c>
      <c r="E12529" s="38" t="s">
        <v>632</v>
      </c>
      <c r="F12529" s="38" t="s">
        <v>161</v>
      </c>
      <c r="G12529" s="49" t="str">
        <f t="shared" si="1"/>
        <v>15000</v>
      </c>
      <c r="H12529" s="49">
        <f t="shared" si="2"/>
        <v>15014</v>
      </c>
    </row>
    <row r="12530">
      <c r="A12530" s="48" t="s">
        <v>7501</v>
      </c>
      <c r="B12530" s="38">
        <v>9104.0</v>
      </c>
      <c r="C12530" s="38" t="s">
        <v>16702</v>
      </c>
      <c r="D12530" s="38" t="str">
        <f>IFERROR(__xludf.DUMMYFUNCTION("REGEXREPLACE(C12530,""-\d+(.*)|--\d+(.*)"","""")"),"DALOU")</f>
        <v>DALOU</v>
      </c>
      <c r="E12530" s="38" t="s">
        <v>238</v>
      </c>
      <c r="F12530" s="38" t="s">
        <v>94</v>
      </c>
      <c r="G12530" s="49" t="str">
        <f t="shared" si="1"/>
        <v>09120</v>
      </c>
      <c r="H12530" s="49" t="str">
        <f t="shared" si="2"/>
        <v>09104</v>
      </c>
    </row>
    <row r="12531">
      <c r="A12531" s="48" t="s">
        <v>5679</v>
      </c>
      <c r="B12531" s="38">
        <v>66013.0</v>
      </c>
      <c r="C12531" s="38" t="s">
        <v>16703</v>
      </c>
      <c r="D12531" s="38" t="str">
        <f>IFERROR(__xludf.DUMMYFUNCTION("REGEXREPLACE(C12531,""-\d+(.*)|--\d+(.*)"","""")"),"BAILLESTAVY")</f>
        <v>BAILLESTAVY</v>
      </c>
      <c r="E12531" s="38" t="s">
        <v>248</v>
      </c>
      <c r="F12531" s="38" t="s">
        <v>119</v>
      </c>
      <c r="G12531" s="49" t="str">
        <f t="shared" si="1"/>
        <v>66320</v>
      </c>
      <c r="H12531" s="49">
        <f t="shared" si="2"/>
        <v>66013</v>
      </c>
    </row>
    <row r="12532">
      <c r="A12532" s="48" t="s">
        <v>9018</v>
      </c>
      <c r="B12532" s="38">
        <v>27275.0</v>
      </c>
      <c r="C12532" s="38" t="s">
        <v>16704</v>
      </c>
      <c r="D12532" s="38" t="str">
        <f>IFERROR(__xludf.DUMMYFUNCTION("REGEXREPLACE(C12532,""-\d+(.*)|--\d+(.*)"","""")"),"GAILLON")</f>
        <v>GAILLON</v>
      </c>
      <c r="E12532" s="38" t="s">
        <v>241</v>
      </c>
      <c r="F12532" s="38" t="s">
        <v>134</v>
      </c>
      <c r="G12532" s="49" t="str">
        <f t="shared" si="1"/>
        <v>27600</v>
      </c>
      <c r="H12532" s="49">
        <f t="shared" si="2"/>
        <v>27275</v>
      </c>
    </row>
    <row r="12533">
      <c r="A12533" s="48" t="s">
        <v>4900</v>
      </c>
      <c r="B12533" s="38">
        <v>33016.0</v>
      </c>
      <c r="C12533" s="38" t="s">
        <v>16705</v>
      </c>
      <c r="D12533" s="38" t="str">
        <f>IFERROR(__xludf.DUMMYFUNCTION("REGEXREPLACE(C12533,""-\d+(.*)|--\d+(.*)"","""")"),"ASQUES")</f>
        <v>ASQUES</v>
      </c>
      <c r="E12533" s="38" t="s">
        <v>462</v>
      </c>
      <c r="F12533" s="38" t="s">
        <v>252</v>
      </c>
      <c r="G12533" s="49" t="str">
        <f t="shared" si="1"/>
        <v>33240</v>
      </c>
      <c r="H12533" s="49">
        <f t="shared" si="2"/>
        <v>33016</v>
      </c>
    </row>
    <row r="12534">
      <c r="A12534" s="48" t="s">
        <v>16706</v>
      </c>
      <c r="B12534" s="38">
        <v>82056.0</v>
      </c>
      <c r="C12534" s="38" t="s">
        <v>16707</v>
      </c>
      <c r="D12534" s="38" t="str">
        <f>IFERROR(__xludf.DUMMYFUNCTION("REGEXREPLACE(C12534,""-\d+(.*)|--\d+(.*)"","""")"),"ESPINAS")</f>
        <v>ESPINAS</v>
      </c>
      <c r="E12534" s="38" t="s">
        <v>570</v>
      </c>
      <c r="F12534" s="38" t="s">
        <v>94</v>
      </c>
      <c r="G12534" s="49" t="str">
        <f t="shared" si="1"/>
        <v>82160</v>
      </c>
      <c r="H12534" s="49">
        <f t="shared" si="2"/>
        <v>82056</v>
      </c>
    </row>
    <row r="12535">
      <c r="A12535" s="48" t="s">
        <v>16708</v>
      </c>
      <c r="B12535" s="38">
        <v>17461.0</v>
      </c>
      <c r="C12535" s="38" t="s">
        <v>16709</v>
      </c>
      <c r="D12535" s="38" t="str">
        <f>IFERROR(__xludf.DUMMYFUNCTION("REGEXREPLACE(C12535,""-\d+(.*)|--\d+(.*)"","""")"),"VAUX-SUR-MER")</f>
        <v>VAUX-SUR-MER</v>
      </c>
      <c r="E12535" s="38" t="s">
        <v>488</v>
      </c>
      <c r="F12535" s="38" t="s">
        <v>338</v>
      </c>
      <c r="G12535" s="49" t="str">
        <f t="shared" si="1"/>
        <v>17640</v>
      </c>
      <c r="H12535" s="49">
        <f t="shared" si="2"/>
        <v>17461</v>
      </c>
    </row>
    <row r="12536">
      <c r="A12536" s="48" t="s">
        <v>3046</v>
      </c>
      <c r="B12536" s="38">
        <v>70041.0</v>
      </c>
      <c r="C12536" s="38" t="s">
        <v>16710</v>
      </c>
      <c r="D12536" s="38" t="str">
        <f>IFERROR(__xludf.DUMMYFUNCTION("REGEXREPLACE(C12536,""-\d+(.*)|--\d+(.*)"","""")"),"AUTREY-LES-GRAY")</f>
        <v>AUTREY-LES-GRAY</v>
      </c>
      <c r="E12536" s="38" t="s">
        <v>956</v>
      </c>
      <c r="F12536" s="38" t="s">
        <v>214</v>
      </c>
      <c r="G12536" s="49" t="str">
        <f t="shared" si="1"/>
        <v>70100</v>
      </c>
      <c r="H12536" s="49">
        <f t="shared" si="2"/>
        <v>70041</v>
      </c>
    </row>
    <row r="12537">
      <c r="A12537" s="48" t="s">
        <v>1855</v>
      </c>
      <c r="B12537" s="38">
        <v>72262.0</v>
      </c>
      <c r="C12537" s="38" t="s">
        <v>16711</v>
      </c>
      <c r="D12537" s="38" t="str">
        <f>IFERROR(__xludf.DUMMYFUNCTION("REGEXREPLACE(C12537,""-\d+(.*)|--\d+(.*)"","""")"),"RUILLE-SUR-LOIR")</f>
        <v>RUILLE-SUR-LOIR</v>
      </c>
      <c r="E12537" s="38" t="s">
        <v>521</v>
      </c>
      <c r="F12537" s="38" t="s">
        <v>180</v>
      </c>
      <c r="G12537" s="49" t="str">
        <f t="shared" si="1"/>
        <v>72340</v>
      </c>
      <c r="H12537" s="49">
        <f t="shared" si="2"/>
        <v>72262</v>
      </c>
    </row>
    <row r="12538">
      <c r="A12538" s="48" t="s">
        <v>5163</v>
      </c>
      <c r="B12538" s="38">
        <v>76050.0</v>
      </c>
      <c r="C12538" s="38" t="s">
        <v>16712</v>
      </c>
      <c r="D12538" s="38" t="str">
        <f>IFERROR(__xludf.DUMMYFUNCTION("REGEXREPLACE(C12538,""-\d+(.*)|--\d+(.*)"","""")"),"AVREMESNIL")</f>
        <v>AVREMESNIL</v>
      </c>
      <c r="E12538" s="38" t="s">
        <v>133</v>
      </c>
      <c r="F12538" s="38" t="s">
        <v>134</v>
      </c>
      <c r="G12538" s="49" t="str">
        <f t="shared" si="1"/>
        <v>76730</v>
      </c>
      <c r="H12538" s="49">
        <f t="shared" si="2"/>
        <v>76050</v>
      </c>
    </row>
    <row r="12539">
      <c r="A12539" s="48" t="s">
        <v>6292</v>
      </c>
      <c r="B12539" s="38">
        <v>63303.0</v>
      </c>
      <c r="C12539" s="38" t="s">
        <v>16713</v>
      </c>
      <c r="D12539" s="38" t="str">
        <f>IFERROR(__xludf.DUMMYFUNCTION("REGEXREPLACE(C12539,""-\d+(.*)|--\d+(.*)"","""")"),"ROCHE-CHARLES-LA-MAYRAND")</f>
        <v>ROCHE-CHARLES-LA-MAYRAND</v>
      </c>
      <c r="E12539" s="38" t="s">
        <v>353</v>
      </c>
      <c r="F12539" s="38" t="s">
        <v>161</v>
      </c>
      <c r="G12539" s="49" t="str">
        <f t="shared" si="1"/>
        <v>63420</v>
      </c>
      <c r="H12539" s="49">
        <f t="shared" si="2"/>
        <v>63303</v>
      </c>
    </row>
    <row r="12540">
      <c r="A12540" s="48" t="s">
        <v>5862</v>
      </c>
      <c r="B12540" s="38">
        <v>63093.0</v>
      </c>
      <c r="C12540" s="38" t="s">
        <v>16714</v>
      </c>
      <c r="D12540" s="38" t="str">
        <f>IFERROR(__xludf.DUMMYFUNCTION("REGEXREPLACE(C12540,""-\d+(.*)|--\d+(.*)"","""")"),"CHARBONNIERES-LES-VIEILLES")</f>
        <v>CHARBONNIERES-LES-VIEILLES</v>
      </c>
      <c r="E12540" s="38" t="s">
        <v>353</v>
      </c>
      <c r="F12540" s="38" t="s">
        <v>161</v>
      </c>
      <c r="G12540" s="49" t="str">
        <f t="shared" si="1"/>
        <v>63410</v>
      </c>
      <c r="H12540" s="49">
        <f t="shared" si="2"/>
        <v>63093</v>
      </c>
    </row>
    <row r="12541">
      <c r="A12541" s="48" t="s">
        <v>3570</v>
      </c>
      <c r="B12541" s="38">
        <v>76523.0</v>
      </c>
      <c r="C12541" s="38" t="s">
        <v>16715</v>
      </c>
      <c r="D12541" s="38" t="str">
        <f>IFERROR(__xludf.DUMMYFUNCTION("REGEXREPLACE(C12541,""-\d+(.*)|--\d+(.*)"","""")"),"RETONVAL")</f>
        <v>RETONVAL</v>
      </c>
      <c r="E12541" s="38" t="s">
        <v>133</v>
      </c>
      <c r="F12541" s="38" t="s">
        <v>134</v>
      </c>
      <c r="G12541" s="49" t="str">
        <f t="shared" si="1"/>
        <v>76340</v>
      </c>
      <c r="H12541" s="49">
        <f t="shared" si="2"/>
        <v>76523</v>
      </c>
    </row>
    <row r="12542">
      <c r="A12542" s="48" t="s">
        <v>16716</v>
      </c>
      <c r="B12542" s="38">
        <v>97125.0</v>
      </c>
      <c r="C12542" s="38" t="s">
        <v>16717</v>
      </c>
      <c r="D12542" s="38" t="str">
        <f>IFERROR(__xludf.DUMMYFUNCTION("REGEXREPLACE(C12542,""-\d+(.*)|--\d+(.*)"","""")"),"SAINT-FRANCOIS")</f>
        <v>SAINT-FRANCOIS</v>
      </c>
      <c r="E12542" s="38" t="s">
        <v>2023</v>
      </c>
      <c r="F12542" s="38" t="s">
        <v>2023</v>
      </c>
      <c r="G12542" s="49" t="str">
        <f t="shared" si="1"/>
        <v>97118</v>
      </c>
      <c r="H12542" s="49">
        <f t="shared" si="2"/>
        <v>97125</v>
      </c>
    </row>
    <row r="12543">
      <c r="A12543" s="48" t="s">
        <v>1848</v>
      </c>
      <c r="B12543" s="38">
        <v>15222.0</v>
      </c>
      <c r="C12543" s="38" t="s">
        <v>16718</v>
      </c>
      <c r="D12543" s="38" t="str">
        <f>IFERROR(__xludf.DUMMYFUNCTION("REGEXREPLACE(C12543,""-\d+(.*)|--\d+(.*)"","""")"),"SANSAC-VEINAZES")</f>
        <v>SANSAC-VEINAZES</v>
      </c>
      <c r="E12543" s="38" t="s">
        <v>632</v>
      </c>
      <c r="F12543" s="38" t="s">
        <v>161</v>
      </c>
      <c r="G12543" s="49" t="str">
        <f t="shared" si="1"/>
        <v>15120</v>
      </c>
      <c r="H12543" s="49">
        <f t="shared" si="2"/>
        <v>15222</v>
      </c>
    </row>
    <row r="12544">
      <c r="A12544" s="48" t="s">
        <v>8441</v>
      </c>
      <c r="B12544" s="38">
        <v>30096.0</v>
      </c>
      <c r="C12544" s="38" t="s">
        <v>16719</v>
      </c>
      <c r="D12544" s="38" t="str">
        <f>IFERROR(__xludf.DUMMYFUNCTION("REGEXREPLACE(C12544,""-\d+(.*)|--\d+(.*)"","""")"),"CORNILLON")</f>
        <v>CORNILLON</v>
      </c>
      <c r="E12544" s="38" t="s">
        <v>526</v>
      </c>
      <c r="F12544" s="38" t="s">
        <v>119</v>
      </c>
      <c r="G12544" s="49" t="str">
        <f t="shared" si="1"/>
        <v>30630</v>
      </c>
      <c r="H12544" s="49">
        <f t="shared" si="2"/>
        <v>30096</v>
      </c>
    </row>
    <row r="12545">
      <c r="A12545" s="48" t="s">
        <v>2659</v>
      </c>
      <c r="B12545" s="38">
        <v>80553.0</v>
      </c>
      <c r="C12545" s="38" t="s">
        <v>16720</v>
      </c>
      <c r="D12545" s="38" t="str">
        <f>IFERROR(__xludf.DUMMYFUNCTION("REGEXREPLACE(C12545,""-\d+(.*)|--\d+(.*)"","""")"),"MOLLIENS-AU-BOIS")</f>
        <v>MOLLIENS-AU-BOIS</v>
      </c>
      <c r="E12545" s="38" t="s">
        <v>224</v>
      </c>
      <c r="F12545" s="38" t="s">
        <v>113</v>
      </c>
      <c r="G12545" s="49" t="str">
        <f t="shared" si="1"/>
        <v>80260</v>
      </c>
      <c r="H12545" s="49">
        <f t="shared" si="2"/>
        <v>80553</v>
      </c>
    </row>
    <row r="12546">
      <c r="A12546" s="48" t="s">
        <v>2052</v>
      </c>
      <c r="B12546" s="38">
        <v>80566.0</v>
      </c>
      <c r="C12546" s="38" t="s">
        <v>16721</v>
      </c>
      <c r="D12546" s="38" t="str">
        <f>IFERROR(__xludf.DUMMYFUNCTION("REGEXREPLACE(C12546,""-\d+(.*)|--\d+(.*)"","""")"),"FIEFFES-MONTRELET")</f>
        <v>FIEFFES-MONTRELET</v>
      </c>
      <c r="E12546" s="38" t="s">
        <v>224</v>
      </c>
      <c r="F12546" s="38" t="s">
        <v>113</v>
      </c>
      <c r="G12546" s="49" t="str">
        <f t="shared" si="1"/>
        <v>80670</v>
      </c>
      <c r="H12546" s="49">
        <f t="shared" si="2"/>
        <v>80566</v>
      </c>
    </row>
    <row r="12547">
      <c r="A12547" s="48" t="s">
        <v>1522</v>
      </c>
      <c r="B12547" s="38">
        <v>32223.0</v>
      </c>
      <c r="C12547" s="38" t="s">
        <v>16722</v>
      </c>
      <c r="D12547" s="38" t="str">
        <f>IFERROR(__xludf.DUMMYFUNCTION("REGEXREPLACE(C12547,""-\d+(.*)|--\d+(.*)"","""")"),"MAGNAS")</f>
        <v>MAGNAS</v>
      </c>
      <c r="E12547" s="38" t="s">
        <v>440</v>
      </c>
      <c r="F12547" s="38" t="s">
        <v>94</v>
      </c>
      <c r="G12547" s="49" t="str">
        <f t="shared" si="1"/>
        <v>32380</v>
      </c>
      <c r="H12547" s="49">
        <f t="shared" si="2"/>
        <v>32223</v>
      </c>
    </row>
    <row r="12548">
      <c r="A12548" s="48" t="s">
        <v>4123</v>
      </c>
      <c r="B12548" s="38">
        <v>60697.0</v>
      </c>
      <c r="C12548" s="38" t="s">
        <v>16723</v>
      </c>
      <c r="D12548" s="38" t="str">
        <f>IFERROR(__xludf.DUMMYFUNCTION("REGEXREPLACE(C12548,""-\d+(.*)|--\d+(.*)"","""")"),"VROCOURT")</f>
        <v>VROCOURT</v>
      </c>
      <c r="E12548" s="38" t="s">
        <v>112</v>
      </c>
      <c r="F12548" s="38" t="s">
        <v>113</v>
      </c>
      <c r="G12548" s="49" t="str">
        <f t="shared" si="1"/>
        <v>60112</v>
      </c>
      <c r="H12548" s="49">
        <f t="shared" si="2"/>
        <v>60697</v>
      </c>
    </row>
    <row r="12549">
      <c r="A12549" s="48" t="s">
        <v>16724</v>
      </c>
      <c r="B12549" s="38">
        <v>10240.0</v>
      </c>
      <c r="C12549" s="38" t="s">
        <v>16725</v>
      </c>
      <c r="D12549" s="38" t="str">
        <f>IFERROR(__xludf.DUMMYFUNCTION("REGEXREPLACE(C12549,""-\d+(.*)|--\d+(.*)"","""")"),"MESSON")</f>
        <v>MESSON</v>
      </c>
      <c r="E12549" s="38" t="s">
        <v>147</v>
      </c>
      <c r="F12549" s="38" t="s">
        <v>130</v>
      </c>
      <c r="G12549" s="49" t="str">
        <f t="shared" si="1"/>
        <v>10190</v>
      </c>
      <c r="H12549" s="49">
        <f t="shared" si="2"/>
        <v>10240</v>
      </c>
    </row>
    <row r="12550">
      <c r="A12550" s="48" t="s">
        <v>16304</v>
      </c>
      <c r="B12550" s="38">
        <v>87150.0</v>
      </c>
      <c r="C12550" s="38" t="s">
        <v>16726</v>
      </c>
      <c r="D12550" s="38" t="str">
        <f>IFERROR(__xludf.DUMMYFUNCTION("REGEXREPLACE(C12550,""-\d+(.*)|--\d+(.*)"","""")"),"SAINT-HILAIRE-LES-PLACES")</f>
        <v>SAINT-HILAIRE-LES-PLACES</v>
      </c>
      <c r="E12550" s="38" t="s">
        <v>897</v>
      </c>
      <c r="F12550" s="38" t="s">
        <v>98</v>
      </c>
      <c r="G12550" s="49" t="str">
        <f t="shared" si="1"/>
        <v>87800</v>
      </c>
      <c r="H12550" s="49">
        <f t="shared" si="2"/>
        <v>87150</v>
      </c>
    </row>
    <row r="12551">
      <c r="A12551" s="48" t="s">
        <v>6311</v>
      </c>
      <c r="B12551" s="38">
        <v>89330.0</v>
      </c>
      <c r="C12551" s="38" t="s">
        <v>16727</v>
      </c>
      <c r="D12551" s="38" t="str">
        <f>IFERROR(__xludf.DUMMYFUNCTION("REGEXREPLACE(C12551,""-\d+(.*)|--\d+(.*)"","""")"),"SACY")</f>
        <v>SACY</v>
      </c>
      <c r="E12551" s="38" t="s">
        <v>275</v>
      </c>
      <c r="F12551" s="38" t="s">
        <v>106</v>
      </c>
      <c r="G12551" s="49" t="str">
        <f t="shared" si="1"/>
        <v>89270</v>
      </c>
      <c r="H12551" s="49">
        <f t="shared" si="2"/>
        <v>89330</v>
      </c>
    </row>
    <row r="12552">
      <c r="A12552" s="48" t="s">
        <v>8698</v>
      </c>
      <c r="B12552" s="38">
        <v>11400.0</v>
      </c>
      <c r="C12552" s="38" t="s">
        <v>16728</v>
      </c>
      <c r="D12552" s="38" t="str">
        <f>IFERROR(__xludf.DUMMYFUNCTION("REGEXREPLACE(C12552,""-\d+(.*)|--\d+(.*)"","""")"),"TREZIERS")</f>
        <v>TREZIERS</v>
      </c>
      <c r="E12552" s="38" t="s">
        <v>278</v>
      </c>
      <c r="F12552" s="38" t="s">
        <v>119</v>
      </c>
      <c r="G12552" s="49" t="str">
        <f t="shared" si="1"/>
        <v>11230</v>
      </c>
      <c r="H12552" s="49">
        <f t="shared" si="2"/>
        <v>11400</v>
      </c>
    </row>
    <row r="12553">
      <c r="A12553" s="48" t="s">
        <v>10854</v>
      </c>
      <c r="B12553" s="38">
        <v>42120.0</v>
      </c>
      <c r="C12553" s="38" t="s">
        <v>16729</v>
      </c>
      <c r="D12553" s="38" t="str">
        <f>IFERROR(__xludf.DUMMYFUNCTION("REGEXREPLACE(C12553,""-\d+(.*)|--\d+(.*)"","""")"),"LENTIGNY")</f>
        <v>LENTIGNY</v>
      </c>
      <c r="E12553" s="38" t="s">
        <v>166</v>
      </c>
      <c r="F12553" s="38" t="s">
        <v>102</v>
      </c>
      <c r="G12553" s="49" t="str">
        <f t="shared" si="1"/>
        <v>42155</v>
      </c>
      <c r="H12553" s="49">
        <f t="shared" si="2"/>
        <v>42120</v>
      </c>
    </row>
    <row r="12554">
      <c r="A12554" s="48" t="s">
        <v>12300</v>
      </c>
      <c r="B12554" s="38">
        <v>37132.0</v>
      </c>
      <c r="C12554" s="38" t="s">
        <v>16730</v>
      </c>
      <c r="D12554" s="38" t="str">
        <f>IFERROR(__xludf.DUMMYFUNCTION("REGEXREPLACE(C12554,""-\d+(.*)|--\d+(.*)"","""")"),"LOCHES")</f>
        <v>LOCHES</v>
      </c>
      <c r="E12554" s="38" t="s">
        <v>205</v>
      </c>
      <c r="F12554" s="38" t="s">
        <v>123</v>
      </c>
      <c r="G12554" s="49" t="str">
        <f t="shared" si="1"/>
        <v>37600</v>
      </c>
      <c r="H12554" s="49">
        <f t="shared" si="2"/>
        <v>37132</v>
      </c>
    </row>
    <row r="12555">
      <c r="A12555" s="48" t="s">
        <v>1993</v>
      </c>
      <c r="B12555" s="38">
        <v>2547.0</v>
      </c>
      <c r="C12555" s="38" t="s">
        <v>16731</v>
      </c>
      <c r="D12555" s="38" t="str">
        <f>IFERROR(__xludf.DUMMYFUNCTION("REGEXREPLACE(C12555,""-\d+(.*)|--\d+(.*)"","""")"),"LA NEUVILLE-HOUSSET")</f>
        <v>LA NEUVILLE-HOUSSET</v>
      </c>
      <c r="E12555" s="38" t="s">
        <v>191</v>
      </c>
      <c r="F12555" s="38" t="s">
        <v>113</v>
      </c>
      <c r="G12555" s="49" t="str">
        <f t="shared" si="1"/>
        <v>02250</v>
      </c>
      <c r="H12555" s="49" t="str">
        <f t="shared" si="2"/>
        <v>02547</v>
      </c>
    </row>
    <row r="12556">
      <c r="A12556" s="48" t="s">
        <v>1048</v>
      </c>
      <c r="B12556" s="38">
        <v>24224.0</v>
      </c>
      <c r="C12556" s="38" t="s">
        <v>16732</v>
      </c>
      <c r="D12556" s="38" t="str">
        <f>IFERROR(__xludf.DUMMYFUNCTION("REGEXREPLACE(C12556,""-\d+(.*)|--\d+(.*)"","""")"),"LAMONZIE-MONTASTRUC")</f>
        <v>LAMONZIE-MONTASTRUC</v>
      </c>
      <c r="E12556" s="38" t="s">
        <v>261</v>
      </c>
      <c r="F12556" s="38" t="s">
        <v>252</v>
      </c>
      <c r="G12556" s="49" t="str">
        <f t="shared" si="1"/>
        <v>24520</v>
      </c>
      <c r="H12556" s="49">
        <f t="shared" si="2"/>
        <v>24224</v>
      </c>
    </row>
    <row r="12557">
      <c r="A12557" s="48" t="s">
        <v>6261</v>
      </c>
      <c r="B12557" s="38">
        <v>76064.0</v>
      </c>
      <c r="C12557" s="38" t="s">
        <v>7405</v>
      </c>
      <c r="D12557" s="38" t="str">
        <f>IFERROR(__xludf.DUMMYFUNCTION("REGEXREPLACE(C12557,""-\d+(.*)|--\d+(.*)"","""")"),"BEAUREPAIRE")</f>
        <v>BEAUREPAIRE</v>
      </c>
      <c r="E12557" s="38" t="s">
        <v>133</v>
      </c>
      <c r="F12557" s="38" t="s">
        <v>134</v>
      </c>
      <c r="G12557" s="49" t="str">
        <f t="shared" si="1"/>
        <v>76280</v>
      </c>
      <c r="H12557" s="49">
        <f t="shared" si="2"/>
        <v>76064</v>
      </c>
    </row>
    <row r="12558">
      <c r="A12558" s="48" t="s">
        <v>858</v>
      </c>
      <c r="B12558" s="38">
        <v>77273.0</v>
      </c>
      <c r="C12558" s="38" t="s">
        <v>16733</v>
      </c>
      <c r="D12558" s="38" t="str">
        <f>IFERROR(__xludf.DUMMYFUNCTION("REGEXREPLACE(C12558,""-\d+(.*)|--\d+(.*)"","""")"),"MARCHEMORET")</f>
        <v>MARCHEMORET</v>
      </c>
      <c r="E12558" s="38" t="s">
        <v>244</v>
      </c>
      <c r="F12558" s="38" t="s">
        <v>245</v>
      </c>
      <c r="G12558" s="49" t="str">
        <f t="shared" si="1"/>
        <v>77230</v>
      </c>
      <c r="H12558" s="49">
        <f t="shared" si="2"/>
        <v>77273</v>
      </c>
    </row>
    <row r="12559">
      <c r="A12559" s="48" t="s">
        <v>1093</v>
      </c>
      <c r="B12559" s="38">
        <v>62149.0</v>
      </c>
      <c r="C12559" s="38" t="s">
        <v>16734</v>
      </c>
      <c r="D12559" s="38" t="str">
        <f>IFERROR(__xludf.DUMMYFUNCTION("REGEXREPLACE(C12559,""-\d+(.*)|--\d+(.*)"","""")"),"BOISDINGHEM")</f>
        <v>BOISDINGHEM</v>
      </c>
      <c r="E12559" s="38" t="s">
        <v>109</v>
      </c>
      <c r="F12559" s="38" t="s">
        <v>86</v>
      </c>
      <c r="G12559" s="49" t="str">
        <f t="shared" si="1"/>
        <v>62500</v>
      </c>
      <c r="H12559" s="49">
        <f t="shared" si="2"/>
        <v>62149</v>
      </c>
    </row>
    <row r="12560">
      <c r="A12560" s="48" t="s">
        <v>6515</v>
      </c>
      <c r="B12560" s="38">
        <v>62116.0</v>
      </c>
      <c r="C12560" s="38" t="s">
        <v>16735</v>
      </c>
      <c r="D12560" s="38" t="str">
        <f>IFERROR(__xludf.DUMMYFUNCTION("REGEXREPLACE(C12560,""-\d+(.*)|--\d+(.*)"","""")"),"BERNIEULLES")</f>
        <v>BERNIEULLES</v>
      </c>
      <c r="E12560" s="38" t="s">
        <v>109</v>
      </c>
      <c r="F12560" s="38" t="s">
        <v>86</v>
      </c>
      <c r="G12560" s="49" t="str">
        <f t="shared" si="1"/>
        <v>62170</v>
      </c>
      <c r="H12560" s="49">
        <f t="shared" si="2"/>
        <v>62116</v>
      </c>
    </row>
    <row r="12561">
      <c r="A12561" s="48" t="s">
        <v>7590</v>
      </c>
      <c r="B12561" s="38">
        <v>85101.0</v>
      </c>
      <c r="C12561" s="38" t="s">
        <v>16736</v>
      </c>
      <c r="D12561" s="38" t="str">
        <f>IFERROR(__xludf.DUMMYFUNCTION("REGEXREPLACE(C12561,""-\d+(.*)|--\d+(.*)"","""")"),"LE GIVRE")</f>
        <v>LE GIVRE</v>
      </c>
      <c r="E12561" s="38" t="s">
        <v>179</v>
      </c>
      <c r="F12561" s="38" t="s">
        <v>180</v>
      </c>
      <c r="G12561" s="49" t="str">
        <f t="shared" si="1"/>
        <v>85540</v>
      </c>
      <c r="H12561" s="49">
        <f t="shared" si="2"/>
        <v>85101</v>
      </c>
    </row>
    <row r="12562">
      <c r="A12562" s="48" t="s">
        <v>6521</v>
      </c>
      <c r="B12562" s="38">
        <v>34020.0</v>
      </c>
      <c r="C12562" s="38" t="s">
        <v>16737</v>
      </c>
      <c r="D12562" s="38" t="str">
        <f>IFERROR(__xludf.DUMMYFUNCTION("REGEXREPLACE(C12562,""-\d+(.*)|--\d+(.*)"","""")"),"AZILLANET")</f>
        <v>AZILLANET</v>
      </c>
      <c r="E12562" s="38" t="s">
        <v>118</v>
      </c>
      <c r="F12562" s="38" t="s">
        <v>119</v>
      </c>
      <c r="G12562" s="49" t="str">
        <f t="shared" si="1"/>
        <v>34210</v>
      </c>
      <c r="H12562" s="49">
        <f t="shared" si="2"/>
        <v>34020</v>
      </c>
    </row>
    <row r="12563">
      <c r="A12563" s="48" t="s">
        <v>2868</v>
      </c>
      <c r="B12563" s="38">
        <v>80359.0</v>
      </c>
      <c r="C12563" s="38" t="s">
        <v>16738</v>
      </c>
      <c r="D12563" s="38" t="str">
        <f>IFERROR(__xludf.DUMMYFUNCTION("REGEXREPLACE(C12563,""-\d+(.*)|--\d+(.*)"","""")"),"FRESNOY-LES-ROYE")</f>
        <v>FRESNOY-LES-ROYE</v>
      </c>
      <c r="E12563" s="38" t="s">
        <v>224</v>
      </c>
      <c r="F12563" s="38" t="s">
        <v>113</v>
      </c>
      <c r="G12563" s="49" t="str">
        <f t="shared" si="1"/>
        <v>80700</v>
      </c>
      <c r="H12563" s="49">
        <f t="shared" si="2"/>
        <v>80359</v>
      </c>
    </row>
    <row r="12564">
      <c r="A12564" s="48" t="s">
        <v>1077</v>
      </c>
      <c r="B12564" s="38">
        <v>25613.0</v>
      </c>
      <c r="C12564" s="38" t="s">
        <v>16739</v>
      </c>
      <c r="D12564" s="38" t="str">
        <f>IFERROR(__xludf.DUMMYFUNCTION("REGEXREPLACE(C12564,""-\d+(.*)|--\d+(.*)"","""")"),"VIETHOREY")</f>
        <v>VIETHOREY</v>
      </c>
      <c r="E12564" s="38" t="s">
        <v>213</v>
      </c>
      <c r="F12564" s="38" t="s">
        <v>214</v>
      </c>
      <c r="G12564" s="49" t="str">
        <f t="shared" si="1"/>
        <v>25340</v>
      </c>
      <c r="H12564" s="49">
        <f t="shared" si="2"/>
        <v>25613</v>
      </c>
    </row>
    <row r="12565">
      <c r="A12565" s="48" t="s">
        <v>1079</v>
      </c>
      <c r="B12565" s="38">
        <v>24085.0</v>
      </c>
      <c r="C12565" s="38" t="s">
        <v>16740</v>
      </c>
      <c r="D12565" s="38" t="str">
        <f>IFERROR(__xludf.DUMMYFUNCTION("REGEXREPLACE(C12565,""-\d+(.*)|--\d+(.*)"","""")"),"LA CASSAGNE")</f>
        <v>LA CASSAGNE</v>
      </c>
      <c r="E12565" s="38" t="s">
        <v>261</v>
      </c>
      <c r="F12565" s="38" t="s">
        <v>252</v>
      </c>
      <c r="G12565" s="49" t="str">
        <f t="shared" si="1"/>
        <v>24120</v>
      </c>
      <c r="H12565" s="49">
        <f t="shared" si="2"/>
        <v>24085</v>
      </c>
    </row>
    <row r="12566">
      <c r="A12566" s="48" t="s">
        <v>1056</v>
      </c>
      <c r="B12566" s="38">
        <v>11323.0</v>
      </c>
      <c r="C12566" s="38" t="s">
        <v>16741</v>
      </c>
      <c r="D12566" s="38" t="str">
        <f>IFERROR(__xludf.DUMMYFUNCTION("REGEXREPLACE(C12566,""-\d+(.*)|--\d+(.*)"","""")"),"ROQUETAILLADE")</f>
        <v>ROQUETAILLADE</v>
      </c>
      <c r="E12566" s="38" t="s">
        <v>278</v>
      </c>
      <c r="F12566" s="38" t="s">
        <v>119</v>
      </c>
      <c r="G12566" s="49" t="str">
        <f t="shared" si="1"/>
        <v>11300</v>
      </c>
      <c r="H12566" s="49">
        <f t="shared" si="2"/>
        <v>11323</v>
      </c>
    </row>
    <row r="12567">
      <c r="A12567" s="48" t="s">
        <v>11336</v>
      </c>
      <c r="B12567" s="38">
        <v>10331.0</v>
      </c>
      <c r="C12567" s="38" t="s">
        <v>16742</v>
      </c>
      <c r="D12567" s="38" t="str">
        <f>IFERROR(__xludf.DUMMYFUNCTION("REGEXREPLACE(C12567,""-\d+(.*)|--\d+(.*)"","""")"),"RUMILLY-LES-VAUDES")</f>
        <v>RUMILLY-LES-VAUDES</v>
      </c>
      <c r="E12567" s="38" t="s">
        <v>147</v>
      </c>
      <c r="F12567" s="38" t="s">
        <v>130</v>
      </c>
      <c r="G12567" s="49" t="str">
        <f t="shared" si="1"/>
        <v>10260</v>
      </c>
      <c r="H12567" s="49">
        <f t="shared" si="2"/>
        <v>10331</v>
      </c>
    </row>
    <row r="12568">
      <c r="A12568" s="48" t="s">
        <v>13395</v>
      </c>
      <c r="B12568" s="38">
        <v>57194.0</v>
      </c>
      <c r="C12568" s="38" t="s">
        <v>16743</v>
      </c>
      <c r="D12568" s="38" t="str">
        <f>IFERROR(__xludf.DUMMYFUNCTION("REGEXREPLACE(C12568,""-\d+(.*)|--\d+(.*)"","""")"),"ENTRANGE")</f>
        <v>ENTRANGE</v>
      </c>
      <c r="E12568" s="38" t="s">
        <v>303</v>
      </c>
      <c r="F12568" s="38" t="s">
        <v>195</v>
      </c>
      <c r="G12568" s="49" t="str">
        <f t="shared" si="1"/>
        <v>57330</v>
      </c>
      <c r="H12568" s="49">
        <f t="shared" si="2"/>
        <v>57194</v>
      </c>
    </row>
    <row r="12569">
      <c r="A12569" s="48" t="s">
        <v>12692</v>
      </c>
      <c r="B12569" s="38">
        <v>47052.0</v>
      </c>
      <c r="C12569" s="38" t="s">
        <v>16744</v>
      </c>
      <c r="D12569" s="38" t="str">
        <f>IFERROR(__xludf.DUMMYFUNCTION("REGEXREPLACE(C12569,""-\d+(.*)|--\d+(.*)"","""")"),"CASTELJALOUX")</f>
        <v>CASTELJALOUX</v>
      </c>
      <c r="E12569" s="38" t="s">
        <v>251</v>
      </c>
      <c r="F12569" s="38" t="s">
        <v>252</v>
      </c>
      <c r="G12569" s="49" t="str">
        <f t="shared" si="1"/>
        <v>47700</v>
      </c>
      <c r="H12569" s="49">
        <f t="shared" si="2"/>
        <v>47052</v>
      </c>
    </row>
    <row r="12570">
      <c r="A12570" s="48" t="s">
        <v>2120</v>
      </c>
      <c r="B12570" s="38">
        <v>50604.0</v>
      </c>
      <c r="C12570" s="38" t="s">
        <v>16745</v>
      </c>
      <c r="D12570" s="38" t="str">
        <f>IFERROR(__xludf.DUMMYFUNCTION("REGEXREPLACE(C12570,""-\d+(.*)|--\d+(.*)"","""")"),"TREAUVILLE")</f>
        <v>TREAUVILLE</v>
      </c>
      <c r="E12570" s="38" t="s">
        <v>157</v>
      </c>
      <c r="F12570" s="38" t="s">
        <v>138</v>
      </c>
      <c r="G12570" s="49" t="str">
        <f t="shared" si="1"/>
        <v>50340</v>
      </c>
      <c r="H12570" s="49">
        <f t="shared" si="2"/>
        <v>50604</v>
      </c>
    </row>
    <row r="12571">
      <c r="A12571" s="48" t="s">
        <v>11020</v>
      </c>
      <c r="B12571" s="38">
        <v>59643.0</v>
      </c>
      <c r="C12571" s="38" t="s">
        <v>16746</v>
      </c>
      <c r="D12571" s="38" t="str">
        <f>IFERROR(__xludf.DUMMYFUNCTION("REGEXREPLACE(C12571,""-\d+(.*)|--\d+(.*)"","""")"),"WARNETON")</f>
        <v>WARNETON</v>
      </c>
      <c r="E12571" s="38" t="s">
        <v>85</v>
      </c>
      <c r="F12571" s="38" t="s">
        <v>86</v>
      </c>
      <c r="G12571" s="49" t="str">
        <f t="shared" si="1"/>
        <v>59560</v>
      </c>
      <c r="H12571" s="49">
        <f t="shared" si="2"/>
        <v>59643</v>
      </c>
    </row>
    <row r="12572">
      <c r="A12572" s="48" t="s">
        <v>16747</v>
      </c>
      <c r="B12572" s="38">
        <v>34332.0</v>
      </c>
      <c r="C12572" s="38" t="s">
        <v>16748</v>
      </c>
      <c r="D12572" s="38" t="str">
        <f>IFERROR(__xludf.DUMMYFUNCTION("REGEXREPLACE(C12572,""-\d+(.*)|--\d+(.*)"","""")"),"VIAS")</f>
        <v>VIAS</v>
      </c>
      <c r="E12572" s="38" t="s">
        <v>118</v>
      </c>
      <c r="F12572" s="38" t="s">
        <v>119</v>
      </c>
      <c r="G12572" s="49" t="str">
        <f t="shared" si="1"/>
        <v>34450</v>
      </c>
      <c r="H12572" s="49">
        <f t="shared" si="2"/>
        <v>34332</v>
      </c>
    </row>
    <row r="12573">
      <c r="A12573" s="48" t="s">
        <v>12015</v>
      </c>
      <c r="B12573" s="38">
        <v>25576.0</v>
      </c>
      <c r="C12573" s="38" t="s">
        <v>16749</v>
      </c>
      <c r="D12573" s="38" t="str">
        <f>IFERROR(__xludf.DUMMYFUNCTION("REGEXREPLACE(C12573,""-\d+(.*)|--\d+(.*)"","""")"),"VAIRE-LE-PETIT")</f>
        <v>VAIRE-LE-PETIT</v>
      </c>
      <c r="E12573" s="38" t="s">
        <v>213</v>
      </c>
      <c r="F12573" s="38" t="s">
        <v>214</v>
      </c>
      <c r="G12573" s="49" t="str">
        <f t="shared" si="1"/>
        <v>25220</v>
      </c>
      <c r="H12573" s="49">
        <f t="shared" si="2"/>
        <v>25576</v>
      </c>
    </row>
    <row r="12574">
      <c r="A12574" s="48" t="s">
        <v>2176</v>
      </c>
      <c r="B12574" s="38">
        <v>62396.0</v>
      </c>
      <c r="C12574" s="38" t="s">
        <v>16750</v>
      </c>
      <c r="D12574" s="38" t="str">
        <f>IFERROR(__xludf.DUMMYFUNCTION("REGEXREPLACE(C12574,""-\d+(.*)|--\d+(.*)"","""")"),"GUINECOURT")</f>
        <v>GUINECOURT</v>
      </c>
      <c r="E12574" s="38" t="s">
        <v>109</v>
      </c>
      <c r="F12574" s="38" t="s">
        <v>86</v>
      </c>
      <c r="G12574" s="49" t="str">
        <f t="shared" si="1"/>
        <v>62130</v>
      </c>
      <c r="H12574" s="49">
        <f t="shared" si="2"/>
        <v>62396</v>
      </c>
    </row>
    <row r="12575">
      <c r="A12575" s="48" t="s">
        <v>1817</v>
      </c>
      <c r="B12575" s="38">
        <v>31328.0</v>
      </c>
      <c r="C12575" s="38" t="s">
        <v>16751</v>
      </c>
      <c r="D12575" s="38" t="str">
        <f>IFERROR(__xludf.DUMMYFUNCTION("REGEXREPLACE(C12575,""-\d+(.*)|--\d+(.*)"","""")"),"MAUREMONT")</f>
        <v>MAUREMONT</v>
      </c>
      <c r="E12575" s="38" t="s">
        <v>93</v>
      </c>
      <c r="F12575" s="38" t="s">
        <v>94</v>
      </c>
      <c r="G12575" s="49" t="str">
        <f t="shared" si="1"/>
        <v>31290</v>
      </c>
      <c r="H12575" s="49">
        <f t="shared" si="2"/>
        <v>31328</v>
      </c>
    </row>
    <row r="12576">
      <c r="A12576" s="48" t="s">
        <v>5334</v>
      </c>
      <c r="B12576" s="38" t="s">
        <v>16752</v>
      </c>
      <c r="C12576" s="38" t="s">
        <v>16753</v>
      </c>
      <c r="D12576" s="38" t="str">
        <f>IFERROR(__xludf.DUMMYFUNCTION("REGEXREPLACE(C12576,""-\d+(.*)|--\d+(.*)"","""")"),"GAVIGNANO")</f>
        <v>GAVIGNANO</v>
      </c>
      <c r="E12576" s="38" t="s">
        <v>743</v>
      </c>
      <c r="F12576" s="38" t="s">
        <v>607</v>
      </c>
      <c r="G12576" s="49" t="str">
        <f t="shared" si="1"/>
        <v>20218</v>
      </c>
      <c r="H12576" s="49" t="str">
        <f t="shared" si="2"/>
        <v>2B122</v>
      </c>
    </row>
    <row r="12577">
      <c r="A12577" s="48" t="s">
        <v>16754</v>
      </c>
      <c r="B12577" s="38">
        <v>92071.0</v>
      </c>
      <c r="C12577" s="38" t="s">
        <v>16755</v>
      </c>
      <c r="D12577" s="38" t="str">
        <f>IFERROR(__xludf.DUMMYFUNCTION("REGEXREPLACE(C12577,""-\d+(.*)|--\d+(.*)"","""")"),"SCEAUX")</f>
        <v>SCEAUX</v>
      </c>
      <c r="E12577" s="38" t="s">
        <v>838</v>
      </c>
      <c r="F12577" s="38" t="s">
        <v>245</v>
      </c>
      <c r="G12577" s="49" t="str">
        <f t="shared" si="1"/>
        <v>92330</v>
      </c>
      <c r="H12577" s="49">
        <f t="shared" si="2"/>
        <v>92071</v>
      </c>
    </row>
    <row r="12578">
      <c r="A12578" s="48" t="s">
        <v>16756</v>
      </c>
      <c r="B12578" s="38">
        <v>95480.0</v>
      </c>
      <c r="C12578" s="38" t="s">
        <v>16757</v>
      </c>
      <c r="D12578" s="38" t="str">
        <f>IFERROR(__xludf.DUMMYFUNCTION("REGEXREPLACE(C12578,""-\d+(.*)|--\d+(.*)"","""")"),"PARMAIN")</f>
        <v>PARMAIN</v>
      </c>
      <c r="E12578" s="38" t="s">
        <v>541</v>
      </c>
      <c r="F12578" s="38" t="s">
        <v>245</v>
      </c>
      <c r="G12578" s="49" t="str">
        <f t="shared" si="1"/>
        <v>95620</v>
      </c>
      <c r="H12578" s="49">
        <f t="shared" si="2"/>
        <v>95480</v>
      </c>
    </row>
    <row r="12579">
      <c r="A12579" s="48" t="s">
        <v>2067</v>
      </c>
      <c r="B12579" s="38">
        <v>18129.0</v>
      </c>
      <c r="C12579" s="38" t="s">
        <v>16758</v>
      </c>
      <c r="D12579" s="38" t="str">
        <f>IFERROR(__xludf.DUMMYFUNCTION("REGEXREPLACE(C12579,""-\d+(.*)|--\d+(.*)"","""")"),"LISSAY-LOCHY")</f>
        <v>LISSAY-LOCHY</v>
      </c>
      <c r="E12579" s="38" t="s">
        <v>504</v>
      </c>
      <c r="F12579" s="38" t="s">
        <v>123</v>
      </c>
      <c r="G12579" s="49" t="str">
        <f t="shared" si="1"/>
        <v>18340</v>
      </c>
      <c r="H12579" s="49">
        <f t="shared" si="2"/>
        <v>18129</v>
      </c>
    </row>
    <row r="12580">
      <c r="A12580" s="48" t="s">
        <v>7140</v>
      </c>
      <c r="B12580" s="38">
        <v>3148.0</v>
      </c>
      <c r="C12580" s="38" t="s">
        <v>16759</v>
      </c>
      <c r="D12580" s="38" t="str">
        <f>IFERROR(__xludf.DUMMYFUNCTION("REGEXREPLACE(C12580,""-\d+(.*)|--\d+(.*)"","""")"),"LORIGES")</f>
        <v>LORIGES</v>
      </c>
      <c r="E12580" s="38" t="s">
        <v>160</v>
      </c>
      <c r="F12580" s="38" t="s">
        <v>161</v>
      </c>
      <c r="G12580" s="49" t="str">
        <f t="shared" si="1"/>
        <v>03500</v>
      </c>
      <c r="H12580" s="49" t="str">
        <f t="shared" si="2"/>
        <v>03148</v>
      </c>
    </row>
    <row r="12581">
      <c r="A12581" s="48" t="s">
        <v>2128</v>
      </c>
      <c r="B12581" s="38">
        <v>2104.0</v>
      </c>
      <c r="C12581" s="38" t="s">
        <v>16760</v>
      </c>
      <c r="D12581" s="38" t="str">
        <f>IFERROR(__xludf.DUMMYFUNCTION("REGEXREPLACE(C12581,""-\d+(.*)|--\d+(.*)"","""")"),"BOUFFIGNEREUX")</f>
        <v>BOUFFIGNEREUX</v>
      </c>
      <c r="E12581" s="38" t="s">
        <v>191</v>
      </c>
      <c r="F12581" s="38" t="s">
        <v>113</v>
      </c>
      <c r="G12581" s="49" t="str">
        <f t="shared" si="1"/>
        <v>02160</v>
      </c>
      <c r="H12581" s="49" t="str">
        <f t="shared" si="2"/>
        <v>02104</v>
      </c>
    </row>
    <row r="12582">
      <c r="A12582" s="48" t="s">
        <v>11025</v>
      </c>
      <c r="B12582" s="38">
        <v>88531.0</v>
      </c>
      <c r="C12582" s="38" t="s">
        <v>16761</v>
      </c>
      <c r="D12582" s="38" t="str">
        <f>IFERROR(__xludf.DUMMYFUNCTION("REGEXREPLACE(C12582,""-\d+(.*)|--\d+(.*)"","""")"),"XONRUPT-LONGEMER")</f>
        <v>XONRUPT-LONGEMER</v>
      </c>
      <c r="E12582" s="38" t="s">
        <v>194</v>
      </c>
      <c r="F12582" s="38" t="s">
        <v>195</v>
      </c>
      <c r="G12582" s="49" t="str">
        <f t="shared" si="1"/>
        <v>88400</v>
      </c>
      <c r="H12582" s="49">
        <f t="shared" si="2"/>
        <v>88531</v>
      </c>
    </row>
    <row r="12583">
      <c r="A12583" s="48" t="s">
        <v>2393</v>
      </c>
      <c r="B12583" s="38">
        <v>38086.0</v>
      </c>
      <c r="C12583" s="38" t="s">
        <v>13495</v>
      </c>
      <c r="D12583" s="38" t="str">
        <f>IFERROR(__xludf.DUMMYFUNCTION("REGEXREPLACE(C12583,""-\d+(.*)|--\d+(.*)"","""")"),"CHASSELAY")</f>
        <v>CHASSELAY</v>
      </c>
      <c r="E12583" s="38" t="s">
        <v>101</v>
      </c>
      <c r="F12583" s="38" t="s">
        <v>102</v>
      </c>
      <c r="G12583" s="49" t="str">
        <f t="shared" si="1"/>
        <v>38470</v>
      </c>
      <c r="H12583" s="49">
        <f t="shared" si="2"/>
        <v>38086</v>
      </c>
    </row>
    <row r="12584">
      <c r="A12584" s="48" t="s">
        <v>10916</v>
      </c>
      <c r="B12584" s="38">
        <v>40224.0</v>
      </c>
      <c r="C12584" s="38" t="s">
        <v>16762</v>
      </c>
      <c r="D12584" s="38" t="str">
        <f>IFERROR(__xludf.DUMMYFUNCTION("REGEXREPLACE(C12584,""-\d+(.*)|--\d+(.*)"","""")"),"PEYREHORADE")</f>
        <v>PEYREHORADE</v>
      </c>
      <c r="E12584" s="38" t="s">
        <v>281</v>
      </c>
      <c r="F12584" s="38" t="s">
        <v>252</v>
      </c>
      <c r="G12584" s="49" t="str">
        <f t="shared" si="1"/>
        <v>40300</v>
      </c>
      <c r="H12584" s="49">
        <f t="shared" si="2"/>
        <v>40224</v>
      </c>
    </row>
    <row r="12585">
      <c r="A12585" s="48" t="s">
        <v>307</v>
      </c>
      <c r="B12585" s="38">
        <v>88321.0</v>
      </c>
      <c r="C12585" s="38" t="s">
        <v>16763</v>
      </c>
      <c r="D12585" s="38" t="str">
        <f>IFERROR(__xludf.DUMMYFUNCTION("REGEXREPLACE(C12585,""-\d+(.*)|--\d+(.*)"","""")"),"NEUFCHATEAU")</f>
        <v>NEUFCHATEAU</v>
      </c>
      <c r="E12585" s="38" t="s">
        <v>194</v>
      </c>
      <c r="F12585" s="38" t="s">
        <v>195</v>
      </c>
      <c r="G12585" s="49" t="str">
        <f t="shared" si="1"/>
        <v>88300</v>
      </c>
      <c r="H12585" s="49">
        <f t="shared" si="2"/>
        <v>88321</v>
      </c>
    </row>
    <row r="12586">
      <c r="A12586" s="48" t="s">
        <v>158</v>
      </c>
      <c r="B12586" s="38">
        <v>3017.0</v>
      </c>
      <c r="C12586" s="38" t="s">
        <v>16764</v>
      </c>
      <c r="D12586" s="38" t="str">
        <f>IFERROR(__xludf.DUMMYFUNCTION("REGEXREPLACE(C12586,""-\d+(.*)|--\d+(.*)"","""")"),"BARRAIS-BUSSOLLES")</f>
        <v>BARRAIS-BUSSOLLES</v>
      </c>
      <c r="E12586" s="38" t="s">
        <v>160</v>
      </c>
      <c r="F12586" s="38" t="s">
        <v>161</v>
      </c>
      <c r="G12586" s="49" t="str">
        <f t="shared" si="1"/>
        <v>03120</v>
      </c>
      <c r="H12586" s="49" t="str">
        <f t="shared" si="2"/>
        <v>03017</v>
      </c>
    </row>
    <row r="12587">
      <c r="A12587" s="48" t="s">
        <v>16765</v>
      </c>
      <c r="B12587" s="38">
        <v>76156.0</v>
      </c>
      <c r="C12587" s="38" t="s">
        <v>16766</v>
      </c>
      <c r="D12587" s="38" t="str">
        <f>IFERROR(__xludf.DUMMYFUNCTION("REGEXREPLACE(C12587,""-\d+(.*)|--\d+(.*)"","""")"),"CANOUVILLE")</f>
        <v>CANOUVILLE</v>
      </c>
      <c r="E12587" s="38" t="s">
        <v>133</v>
      </c>
      <c r="F12587" s="38" t="s">
        <v>134</v>
      </c>
      <c r="G12587" s="49" t="str">
        <f t="shared" si="1"/>
        <v>76450</v>
      </c>
      <c r="H12587" s="49">
        <f t="shared" si="2"/>
        <v>76156</v>
      </c>
    </row>
    <row r="12588">
      <c r="A12588" s="48" t="s">
        <v>16767</v>
      </c>
      <c r="B12588" s="38">
        <v>21716.0</v>
      </c>
      <c r="C12588" s="38" t="s">
        <v>16768</v>
      </c>
      <c r="D12588" s="38" t="str">
        <f>IFERROR(__xludf.DUMMYFUNCTION("REGEXREPLACE(C12588,""-\d+(.*)|--\d+(.*)"","""")"),"VOUGEOT")</f>
        <v>VOUGEOT</v>
      </c>
      <c r="E12588" s="38" t="s">
        <v>105</v>
      </c>
      <c r="F12588" s="38" t="s">
        <v>106</v>
      </c>
      <c r="G12588" s="49" t="str">
        <f t="shared" si="1"/>
        <v>21640</v>
      </c>
      <c r="H12588" s="49">
        <f t="shared" si="2"/>
        <v>21716</v>
      </c>
    </row>
    <row r="12589">
      <c r="A12589" s="48" t="s">
        <v>8471</v>
      </c>
      <c r="B12589" s="38">
        <v>12093.0</v>
      </c>
      <c r="C12589" s="38" t="s">
        <v>16769</v>
      </c>
      <c r="D12589" s="38" t="str">
        <f>IFERROR(__xludf.DUMMYFUNCTION("REGEXREPLACE(C12589,""-\d+(.*)|--\d+(.*)"","""")"),"LE FEL")</f>
        <v>LE FEL</v>
      </c>
      <c r="E12589" s="38" t="s">
        <v>465</v>
      </c>
      <c r="F12589" s="38" t="s">
        <v>94</v>
      </c>
      <c r="G12589" s="49" t="str">
        <f t="shared" si="1"/>
        <v>12140</v>
      </c>
      <c r="H12589" s="49">
        <f t="shared" si="2"/>
        <v>12093</v>
      </c>
    </row>
    <row r="12590">
      <c r="A12590" s="48" t="s">
        <v>2924</v>
      </c>
      <c r="B12590" s="38">
        <v>8426.0</v>
      </c>
      <c r="C12590" s="38" t="s">
        <v>16770</v>
      </c>
      <c r="D12590" s="38" t="str">
        <f>IFERROR(__xludf.DUMMYFUNCTION("REGEXREPLACE(C12590,""-\d+(.*)|--\d+(.*)"","""")"),"SON")</f>
        <v>SON</v>
      </c>
      <c r="E12590" s="38" t="s">
        <v>327</v>
      </c>
      <c r="F12590" s="38" t="s">
        <v>130</v>
      </c>
      <c r="G12590" s="49" t="str">
        <f t="shared" si="1"/>
        <v>08300</v>
      </c>
      <c r="H12590" s="49" t="str">
        <f t="shared" si="2"/>
        <v>08426</v>
      </c>
    </row>
    <row r="12591">
      <c r="A12591" s="48" t="s">
        <v>7804</v>
      </c>
      <c r="B12591" s="38">
        <v>51004.0</v>
      </c>
      <c r="C12591" s="38" t="s">
        <v>16771</v>
      </c>
      <c r="D12591" s="38" t="str">
        <f>IFERROR(__xludf.DUMMYFUNCTION("REGEXREPLACE(C12591,""-\d+(.*)|--\d+(.*)"","""")"),"ALLEMANCHE-LAUNAY-ET-SOYER")</f>
        <v>ALLEMANCHE-LAUNAY-ET-SOYER</v>
      </c>
      <c r="E12591" s="38" t="s">
        <v>129</v>
      </c>
      <c r="F12591" s="38" t="s">
        <v>130</v>
      </c>
      <c r="G12591" s="49" t="str">
        <f t="shared" si="1"/>
        <v>51260</v>
      </c>
      <c r="H12591" s="49">
        <f t="shared" si="2"/>
        <v>51004</v>
      </c>
    </row>
    <row r="12592">
      <c r="A12592" s="48" t="s">
        <v>5487</v>
      </c>
      <c r="B12592" s="38">
        <v>27532.0</v>
      </c>
      <c r="C12592" s="38" t="s">
        <v>16772</v>
      </c>
      <c r="D12592" s="38" t="str">
        <f>IFERROR(__xludf.DUMMYFUNCTION("REGEXREPLACE(C12592,""-\d+(.*)|--\d+(.*)"","""")"),"SAINT-DENIS-DU-BEHELAN")</f>
        <v>SAINT-DENIS-DU-BEHELAN</v>
      </c>
      <c r="E12592" s="38" t="s">
        <v>241</v>
      </c>
      <c r="F12592" s="38" t="s">
        <v>134</v>
      </c>
      <c r="G12592" s="49" t="str">
        <f t="shared" si="1"/>
        <v>27160</v>
      </c>
      <c r="H12592" s="49">
        <f t="shared" si="2"/>
        <v>27532</v>
      </c>
    </row>
    <row r="12593">
      <c r="A12593" s="48" t="s">
        <v>478</v>
      </c>
      <c r="B12593" s="38">
        <v>41256.0</v>
      </c>
      <c r="C12593" s="38" t="s">
        <v>16773</v>
      </c>
      <c r="D12593" s="38" t="str">
        <f>IFERROR(__xludf.DUMMYFUNCTION("REGEXREPLACE(C12593,""-\d+(.*)|--\d+(.*)"","""")"),"THEILLAY")</f>
        <v>THEILLAY</v>
      </c>
      <c r="E12593" s="38" t="s">
        <v>188</v>
      </c>
      <c r="F12593" s="38" t="s">
        <v>123</v>
      </c>
      <c r="G12593" s="49" t="str">
        <f t="shared" si="1"/>
        <v>41300</v>
      </c>
      <c r="H12593" s="49">
        <f t="shared" si="2"/>
        <v>41256</v>
      </c>
    </row>
    <row r="12594">
      <c r="A12594" s="48" t="s">
        <v>11712</v>
      </c>
      <c r="B12594" s="38">
        <v>58198.0</v>
      </c>
      <c r="C12594" s="38" t="s">
        <v>3991</v>
      </c>
      <c r="D12594" s="38" t="str">
        <f>IFERROR(__xludf.DUMMYFUNCTION("REGEXREPLACE(C12594,""-\d+(.*)|--\d+(.*)"","""")"),"OISY")</f>
        <v>OISY</v>
      </c>
      <c r="E12594" s="38" t="s">
        <v>219</v>
      </c>
      <c r="F12594" s="38" t="s">
        <v>106</v>
      </c>
      <c r="G12594" s="49" t="str">
        <f t="shared" si="1"/>
        <v>58500</v>
      </c>
      <c r="H12594" s="49">
        <f t="shared" si="2"/>
        <v>58198</v>
      </c>
    </row>
    <row r="12595">
      <c r="A12595" s="48" t="s">
        <v>803</v>
      </c>
      <c r="B12595" s="38">
        <v>1329.0</v>
      </c>
      <c r="C12595" s="38" t="s">
        <v>16774</v>
      </c>
      <c r="D12595" s="38" t="str">
        <f>IFERROR(__xludf.DUMMYFUNCTION("REGEXREPLACE(C12595,""-\d+(.*)|--\d+(.*)"","""")"),"ROSSILLON")</f>
        <v>ROSSILLON</v>
      </c>
      <c r="E12595" s="38" t="s">
        <v>255</v>
      </c>
      <c r="F12595" s="38" t="s">
        <v>102</v>
      </c>
      <c r="G12595" s="49" t="str">
        <f t="shared" si="1"/>
        <v>01510</v>
      </c>
      <c r="H12595" s="49" t="str">
        <f t="shared" si="2"/>
        <v>01329</v>
      </c>
    </row>
    <row r="12596">
      <c r="A12596" s="48" t="s">
        <v>16775</v>
      </c>
      <c r="B12596" s="38">
        <v>2481.0</v>
      </c>
      <c r="C12596" s="38" t="s">
        <v>16776</v>
      </c>
      <c r="D12596" s="38" t="str">
        <f>IFERROR(__xludf.DUMMYFUNCTION("REGEXREPLACE(C12596,""-\d+(.*)|--\d+(.*)"","""")"),"MESNIL-SAINT-LAURENT")</f>
        <v>MESNIL-SAINT-LAURENT</v>
      </c>
      <c r="E12596" s="38" t="s">
        <v>191</v>
      </c>
      <c r="F12596" s="38" t="s">
        <v>113</v>
      </c>
      <c r="G12596" s="49" t="str">
        <f t="shared" si="1"/>
        <v>02720</v>
      </c>
      <c r="H12596" s="49" t="str">
        <f t="shared" si="2"/>
        <v>02481</v>
      </c>
    </row>
    <row r="12597">
      <c r="A12597" s="48" t="s">
        <v>1823</v>
      </c>
      <c r="B12597" s="38">
        <v>48111.0</v>
      </c>
      <c r="C12597" s="38" t="s">
        <v>16777</v>
      </c>
      <c r="D12597" s="38" t="str">
        <f>IFERROR(__xludf.DUMMYFUNCTION("REGEXREPLACE(C12597,""-\d+(.*)|--\d+(.*)"","""")"),"PELOUSE")</f>
        <v>PELOUSE</v>
      </c>
      <c r="E12597" s="38" t="s">
        <v>154</v>
      </c>
      <c r="F12597" s="38" t="s">
        <v>119</v>
      </c>
      <c r="G12597" s="49" t="str">
        <f t="shared" si="1"/>
        <v>48000</v>
      </c>
      <c r="H12597" s="49">
        <f t="shared" si="2"/>
        <v>48111</v>
      </c>
    </row>
    <row r="12598">
      <c r="A12598" s="48" t="s">
        <v>16778</v>
      </c>
      <c r="B12598" s="38">
        <v>13209.0</v>
      </c>
      <c r="C12598" s="38" t="s">
        <v>16779</v>
      </c>
      <c r="D12598" s="38" t="str">
        <f>IFERROR(__xludf.DUMMYFUNCTION("REGEXREPLACE(C12598,""-\d+(.*)|--\d+(.*)"","""")"),"MARSEILLE")</f>
        <v>MARSEILLE</v>
      </c>
      <c r="E12598" s="38" t="s">
        <v>980</v>
      </c>
      <c r="F12598" s="38" t="s">
        <v>228</v>
      </c>
      <c r="G12598" s="49" t="str">
        <f t="shared" si="1"/>
        <v>13009</v>
      </c>
      <c r="H12598" s="49">
        <f t="shared" si="2"/>
        <v>13209</v>
      </c>
    </row>
    <row r="12599">
      <c r="A12599" s="48" t="s">
        <v>2803</v>
      </c>
      <c r="B12599" s="38">
        <v>80695.0</v>
      </c>
      <c r="C12599" s="38" t="s">
        <v>16780</v>
      </c>
      <c r="D12599" s="38" t="str">
        <f>IFERROR(__xludf.DUMMYFUNCTION("REGEXREPLACE(C12599,""-\d+(.*)|--\d+(.*)"","""")"),"SAILLY-SAILLISEL")</f>
        <v>SAILLY-SAILLISEL</v>
      </c>
      <c r="E12599" s="38" t="s">
        <v>224</v>
      </c>
      <c r="F12599" s="38" t="s">
        <v>113</v>
      </c>
      <c r="G12599" s="49" t="str">
        <f t="shared" si="1"/>
        <v>80360</v>
      </c>
      <c r="H12599" s="49">
        <f t="shared" si="2"/>
        <v>80695</v>
      </c>
    </row>
    <row r="12600">
      <c r="A12600" s="48" t="s">
        <v>15237</v>
      </c>
      <c r="B12600" s="38">
        <v>4028.0</v>
      </c>
      <c r="C12600" s="38" t="s">
        <v>16781</v>
      </c>
      <c r="D12600" s="38" t="str">
        <f>IFERROR(__xludf.DUMMYFUNCTION("REGEXREPLACE(C12600,""-\d+(.*)|--\d+(.*)"","""")"),"BEYNES")</f>
        <v>BEYNES</v>
      </c>
      <c r="E12600" s="38" t="s">
        <v>662</v>
      </c>
      <c r="F12600" s="38" t="s">
        <v>228</v>
      </c>
      <c r="G12600" s="49" t="str">
        <f t="shared" si="1"/>
        <v>04270</v>
      </c>
      <c r="H12600" s="49" t="str">
        <f t="shared" si="2"/>
        <v>04028</v>
      </c>
    </row>
    <row r="12601">
      <c r="A12601" s="48" t="s">
        <v>1518</v>
      </c>
      <c r="B12601" s="38">
        <v>88097.0</v>
      </c>
      <c r="C12601" s="38" t="s">
        <v>16782</v>
      </c>
      <c r="D12601" s="38" t="str">
        <f>IFERROR(__xludf.DUMMYFUNCTION("REGEXREPLACE(C12601,""-\d+(.*)|--\d+(.*)"","""")"),"CHAUFFECOURT")</f>
        <v>CHAUFFECOURT</v>
      </c>
      <c r="E12601" s="38" t="s">
        <v>194</v>
      </c>
      <c r="F12601" s="38" t="s">
        <v>195</v>
      </c>
      <c r="G12601" s="49" t="str">
        <f t="shared" si="1"/>
        <v>88500</v>
      </c>
      <c r="H12601" s="49">
        <f t="shared" si="2"/>
        <v>88097</v>
      </c>
    </row>
    <row r="12602">
      <c r="A12602" s="48" t="s">
        <v>1276</v>
      </c>
      <c r="B12602" s="38">
        <v>64532.0</v>
      </c>
      <c r="C12602" s="38" t="s">
        <v>16783</v>
      </c>
      <c r="D12602" s="38" t="str">
        <f>IFERROR(__xludf.DUMMYFUNCTION("REGEXREPLACE(C12602,""-\d+(.*)|--\d+(.*)"","""")"),"TADOUSSE-USSAU")</f>
        <v>TADOUSSE-USSAU</v>
      </c>
      <c r="E12602" s="38" t="s">
        <v>268</v>
      </c>
      <c r="F12602" s="38" t="s">
        <v>252</v>
      </c>
      <c r="G12602" s="49" t="str">
        <f t="shared" si="1"/>
        <v>64330</v>
      </c>
      <c r="H12602" s="49">
        <f t="shared" si="2"/>
        <v>64532</v>
      </c>
    </row>
    <row r="12603">
      <c r="A12603" s="48" t="s">
        <v>6288</v>
      </c>
      <c r="B12603" s="38">
        <v>63192.0</v>
      </c>
      <c r="C12603" s="38" t="s">
        <v>16784</v>
      </c>
      <c r="D12603" s="38" t="str">
        <f>IFERROR(__xludf.DUMMYFUNCTION("REGEXREPLACE(C12603,""-\d+(.*)|--\d+(.*)"","""")"),"LA TOUR-D'AUVERGNE")</f>
        <v>LA TOUR-D'AUVERGNE</v>
      </c>
      <c r="E12603" s="38" t="s">
        <v>353</v>
      </c>
      <c r="F12603" s="38" t="s">
        <v>161</v>
      </c>
      <c r="G12603" s="49" t="str">
        <f t="shared" si="1"/>
        <v>63680</v>
      </c>
      <c r="H12603" s="49">
        <f t="shared" si="2"/>
        <v>63192</v>
      </c>
    </row>
    <row r="12604">
      <c r="A12604" s="48" t="s">
        <v>3978</v>
      </c>
      <c r="B12604" s="38">
        <v>21002.0</v>
      </c>
      <c r="C12604" s="38" t="s">
        <v>16785</v>
      </c>
      <c r="D12604" s="38" t="str">
        <f>IFERROR(__xludf.DUMMYFUNCTION("REGEXREPLACE(C12604,""-\d+(.*)|--\d+(.*)"","""")"),"AGEY")</f>
        <v>AGEY</v>
      </c>
      <c r="E12604" s="38" t="s">
        <v>105</v>
      </c>
      <c r="F12604" s="38" t="s">
        <v>106</v>
      </c>
      <c r="G12604" s="49" t="str">
        <f t="shared" si="1"/>
        <v>21410</v>
      </c>
      <c r="H12604" s="49">
        <f t="shared" si="2"/>
        <v>21002</v>
      </c>
    </row>
    <row r="12605">
      <c r="A12605" s="48" t="s">
        <v>10763</v>
      </c>
      <c r="B12605" s="38">
        <v>22332.0</v>
      </c>
      <c r="C12605" s="38" t="s">
        <v>16786</v>
      </c>
      <c r="D12605" s="38" t="str">
        <f>IFERROR(__xludf.DUMMYFUNCTION("REGEXREPLACE(C12605,""-\d+(.*)|--\d+(.*)"","""")"),"SAINT-TRIMOEL")</f>
        <v>SAINT-TRIMOEL</v>
      </c>
      <c r="E12605" s="38" t="s">
        <v>89</v>
      </c>
      <c r="F12605" s="38" t="s">
        <v>90</v>
      </c>
      <c r="G12605" s="49" t="str">
        <f t="shared" si="1"/>
        <v>22510</v>
      </c>
      <c r="H12605" s="49">
        <f t="shared" si="2"/>
        <v>22332</v>
      </c>
    </row>
    <row r="12606">
      <c r="A12606" s="48" t="s">
        <v>16787</v>
      </c>
      <c r="B12606" s="38">
        <v>76474.0</v>
      </c>
      <c r="C12606" s="38" t="s">
        <v>16788</v>
      </c>
      <c r="D12606" s="38" t="str">
        <f>IFERROR(__xludf.DUMMYFUNCTION("REGEXREPLACE(C12606,""-\d+(.*)|--\d+(.*)"","""")"),"NOTRE-DAME-DE-BONDEVILLE")</f>
        <v>NOTRE-DAME-DE-BONDEVILLE</v>
      </c>
      <c r="E12606" s="38" t="s">
        <v>133</v>
      </c>
      <c r="F12606" s="38" t="s">
        <v>134</v>
      </c>
      <c r="G12606" s="49" t="str">
        <f t="shared" si="1"/>
        <v>76960</v>
      </c>
      <c r="H12606" s="49">
        <f t="shared" si="2"/>
        <v>76474</v>
      </c>
    </row>
    <row r="12607">
      <c r="A12607" s="48" t="s">
        <v>10346</v>
      </c>
      <c r="B12607" s="38">
        <v>59552.0</v>
      </c>
      <c r="C12607" s="38" t="s">
        <v>16509</v>
      </c>
      <c r="D12607" s="38" t="str">
        <f>IFERROR(__xludf.DUMMYFUNCTION("REGEXREPLACE(C12607,""-\d+(.*)|--\d+(.*)"","""")"),"SANCOURT")</f>
        <v>SANCOURT</v>
      </c>
      <c r="E12607" s="38" t="s">
        <v>85</v>
      </c>
      <c r="F12607" s="38" t="s">
        <v>86</v>
      </c>
      <c r="G12607" s="49" t="str">
        <f t="shared" si="1"/>
        <v>59268</v>
      </c>
      <c r="H12607" s="49">
        <f t="shared" si="2"/>
        <v>59552</v>
      </c>
    </row>
    <row r="12608">
      <c r="A12608" s="48" t="s">
        <v>16789</v>
      </c>
      <c r="B12608" s="38">
        <v>4046.0</v>
      </c>
      <c r="C12608" s="38" t="s">
        <v>16790</v>
      </c>
      <c r="D12608" s="38" t="str">
        <f>IFERROR(__xludf.DUMMYFUNCTION("REGEXREPLACE(C12608,""-\d+(.*)|--\d+(.*)"","""")"),"LE CHAFFAUT-SAINT-JURSON")</f>
        <v>LE CHAFFAUT-SAINT-JURSON</v>
      </c>
      <c r="E12608" s="38" t="s">
        <v>662</v>
      </c>
      <c r="F12608" s="38" t="s">
        <v>228</v>
      </c>
      <c r="G12608" s="49" t="str">
        <f t="shared" si="1"/>
        <v>04510</v>
      </c>
      <c r="H12608" s="49" t="str">
        <f t="shared" si="2"/>
        <v>04046</v>
      </c>
    </row>
    <row r="12609">
      <c r="A12609" s="48" t="s">
        <v>5014</v>
      </c>
      <c r="B12609" s="38">
        <v>57295.0</v>
      </c>
      <c r="C12609" s="38" t="s">
        <v>16791</v>
      </c>
      <c r="D12609" s="38" t="str">
        <f>IFERROR(__xludf.DUMMYFUNCTION("REGEXREPLACE(C12609,""-\d+(.*)|--\d+(.*)"","""")"),"HARAUCOURT-SUR-SEILLE")</f>
        <v>HARAUCOURT-SUR-SEILLE</v>
      </c>
      <c r="E12609" s="38" t="s">
        <v>303</v>
      </c>
      <c r="F12609" s="38" t="s">
        <v>195</v>
      </c>
      <c r="G12609" s="49" t="str">
        <f t="shared" si="1"/>
        <v>57630</v>
      </c>
      <c r="H12609" s="49">
        <f t="shared" si="2"/>
        <v>57295</v>
      </c>
    </row>
    <row r="12610">
      <c r="A12610" s="48" t="s">
        <v>222</v>
      </c>
      <c r="B12610" s="38">
        <v>80777.0</v>
      </c>
      <c r="C12610" s="38" t="s">
        <v>16792</v>
      </c>
      <c r="D12610" s="38" t="str">
        <f>IFERROR(__xludf.DUMMYFUNCTION("REGEXREPLACE(C12610,""-\d+(.*)|--\d+(.*)"","""")"),"VAUCHELLES-LES-AUTHIE")</f>
        <v>VAUCHELLES-LES-AUTHIE</v>
      </c>
      <c r="E12610" s="38" t="s">
        <v>224</v>
      </c>
      <c r="F12610" s="38" t="s">
        <v>113</v>
      </c>
      <c r="G12610" s="49" t="str">
        <f t="shared" si="1"/>
        <v>80560</v>
      </c>
      <c r="H12610" s="49">
        <f t="shared" si="2"/>
        <v>80777</v>
      </c>
    </row>
    <row r="12611">
      <c r="A12611" s="48" t="s">
        <v>4443</v>
      </c>
      <c r="B12611" s="38">
        <v>27239.0</v>
      </c>
      <c r="C12611" s="38" t="s">
        <v>16793</v>
      </c>
      <c r="D12611" s="38" t="str">
        <f>IFERROR(__xludf.DUMMYFUNCTION("REGEXREPLACE(C12611,""-\d+(.*)|--\d+(.*)"","""")"),"FERRIERES-SAINT-HILAIRE")</f>
        <v>FERRIERES-SAINT-HILAIRE</v>
      </c>
      <c r="E12611" s="38" t="s">
        <v>241</v>
      </c>
      <c r="F12611" s="38" t="s">
        <v>134</v>
      </c>
      <c r="G12611" s="49" t="str">
        <f t="shared" si="1"/>
        <v>27270</v>
      </c>
      <c r="H12611" s="49">
        <f t="shared" si="2"/>
        <v>27239</v>
      </c>
    </row>
    <row r="12612">
      <c r="A12612" s="48" t="s">
        <v>2477</v>
      </c>
      <c r="B12612" s="38">
        <v>76053.0</v>
      </c>
      <c r="C12612" s="38" t="s">
        <v>16794</v>
      </c>
      <c r="D12612" s="38" t="str">
        <f>IFERROR(__xludf.DUMMYFUNCTION("REGEXREPLACE(C12612,""-\d+(.*)|--\d+(.*)"","""")"),"BAILLOLET")</f>
        <v>BAILLOLET</v>
      </c>
      <c r="E12612" s="38" t="s">
        <v>133</v>
      </c>
      <c r="F12612" s="38" t="s">
        <v>134</v>
      </c>
      <c r="G12612" s="49" t="str">
        <f t="shared" si="1"/>
        <v>76660</v>
      </c>
      <c r="H12612" s="49">
        <f t="shared" si="2"/>
        <v>76053</v>
      </c>
    </row>
    <row r="12613">
      <c r="A12613" s="48" t="s">
        <v>16795</v>
      </c>
      <c r="B12613" s="38">
        <v>49160.0</v>
      </c>
      <c r="C12613" s="38" t="s">
        <v>3872</v>
      </c>
      <c r="D12613" s="38" t="str">
        <f>IFERROR(__xludf.DUMMYFUNCTION("REGEXREPLACE(C12613,""-\d+(.*)|--\d+(.*)"","""")"),"INGRANDES")</f>
        <v>INGRANDES</v>
      </c>
      <c r="E12613" s="38" t="s">
        <v>653</v>
      </c>
      <c r="F12613" s="38" t="s">
        <v>180</v>
      </c>
      <c r="G12613" s="49" t="str">
        <f t="shared" si="1"/>
        <v>49123</v>
      </c>
      <c r="H12613" s="49">
        <f t="shared" si="2"/>
        <v>49160</v>
      </c>
    </row>
    <row r="12614">
      <c r="A12614" s="48" t="s">
        <v>8669</v>
      </c>
      <c r="B12614" s="38">
        <v>50356.0</v>
      </c>
      <c r="C12614" s="38" t="s">
        <v>16796</v>
      </c>
      <c r="D12614" s="38" t="str">
        <f>IFERROR(__xludf.DUMMYFUNCTION("REGEXREPLACE(C12614,""-\d+(.*)|--\d+(.*)"","""")"),"MOON-SUR-ELLE")</f>
        <v>MOON-SUR-ELLE</v>
      </c>
      <c r="E12614" s="38" t="s">
        <v>157</v>
      </c>
      <c r="F12614" s="38" t="s">
        <v>138</v>
      </c>
      <c r="G12614" s="49" t="str">
        <f t="shared" si="1"/>
        <v>50680</v>
      </c>
      <c r="H12614" s="49">
        <f t="shared" si="2"/>
        <v>50356</v>
      </c>
    </row>
    <row r="12615">
      <c r="A12615" s="48" t="s">
        <v>1462</v>
      </c>
      <c r="B12615" s="38">
        <v>11072.0</v>
      </c>
      <c r="C12615" s="38" t="s">
        <v>16797</v>
      </c>
      <c r="D12615" s="38" t="str">
        <f>IFERROR(__xludf.DUMMYFUNCTION("REGEXREPLACE(C12615,""-\d+(.*)|--\d+(.*)"","""")"),"LA CASSAIGNE")</f>
        <v>LA CASSAIGNE</v>
      </c>
      <c r="E12615" s="38" t="s">
        <v>278</v>
      </c>
      <c r="F12615" s="38" t="s">
        <v>119</v>
      </c>
      <c r="G12615" s="49" t="str">
        <f t="shared" si="1"/>
        <v>11270</v>
      </c>
      <c r="H12615" s="49">
        <f t="shared" si="2"/>
        <v>11072</v>
      </c>
    </row>
    <row r="12616">
      <c r="A12616" s="48" t="s">
        <v>5700</v>
      </c>
      <c r="B12616" s="38">
        <v>36167.0</v>
      </c>
      <c r="C12616" s="38" t="s">
        <v>16798</v>
      </c>
      <c r="D12616" s="38" t="str">
        <f>IFERROR(__xludf.DUMMYFUNCTION("REGEXREPLACE(C12616,""-\d+(.*)|--\d+(.*)"","""")"),"PREUILLY-LA-VILLE")</f>
        <v>PREUILLY-LA-VILLE</v>
      </c>
      <c r="E12616" s="38" t="s">
        <v>258</v>
      </c>
      <c r="F12616" s="38" t="s">
        <v>123</v>
      </c>
      <c r="G12616" s="49" t="str">
        <f t="shared" si="1"/>
        <v>36220</v>
      </c>
      <c r="H12616" s="49">
        <f t="shared" si="2"/>
        <v>36167</v>
      </c>
    </row>
    <row r="12617">
      <c r="A12617" s="48" t="s">
        <v>14636</v>
      </c>
      <c r="B12617" s="38">
        <v>38029.0</v>
      </c>
      <c r="C12617" s="38" t="s">
        <v>16799</v>
      </c>
      <c r="D12617" s="38" t="str">
        <f>IFERROR(__xludf.DUMMYFUNCTION("REGEXREPLACE(C12617,""-\d+(.*)|--\d+(.*)"","""")"),"LA BATIE-MONTGASCON")</f>
        <v>LA BATIE-MONTGASCON</v>
      </c>
      <c r="E12617" s="38" t="s">
        <v>101</v>
      </c>
      <c r="F12617" s="38" t="s">
        <v>102</v>
      </c>
      <c r="G12617" s="49" t="str">
        <f t="shared" si="1"/>
        <v>38110</v>
      </c>
      <c r="H12617" s="49">
        <f t="shared" si="2"/>
        <v>38029</v>
      </c>
    </row>
    <row r="12618">
      <c r="A12618" s="48" t="s">
        <v>16800</v>
      </c>
      <c r="B12618" s="38">
        <v>97414.0</v>
      </c>
      <c r="C12618" s="38" t="s">
        <v>5279</v>
      </c>
      <c r="D12618" s="38" t="str">
        <f>IFERROR(__xludf.DUMMYFUNCTION("REGEXREPLACE(C12618,""-\d+(.*)|--\d+(.*)"","""")"),"SAINT-LOUIS")</f>
        <v>SAINT-LOUIS</v>
      </c>
      <c r="E12618" s="38" t="s">
        <v>7739</v>
      </c>
      <c r="F12618" s="38" t="s">
        <v>7739</v>
      </c>
      <c r="G12618" s="49" t="str">
        <f t="shared" si="1"/>
        <v>97450</v>
      </c>
      <c r="H12618" s="49">
        <f t="shared" si="2"/>
        <v>97414</v>
      </c>
    </row>
    <row r="12619">
      <c r="A12619" s="48" t="s">
        <v>16801</v>
      </c>
      <c r="B12619" s="38">
        <v>97406.0</v>
      </c>
      <c r="C12619" s="38" t="s">
        <v>16802</v>
      </c>
      <c r="D12619" s="38" t="str">
        <f>IFERROR(__xludf.DUMMYFUNCTION("REGEXREPLACE(C12619,""-\d+(.*)|--\d+(.*)"","""")"),"LA PLAINE-DES-PALMISTES")</f>
        <v>LA PLAINE-DES-PALMISTES</v>
      </c>
      <c r="E12619" s="38" t="s">
        <v>7739</v>
      </c>
      <c r="F12619" s="38" t="s">
        <v>7739</v>
      </c>
      <c r="G12619" s="49" t="str">
        <f t="shared" si="1"/>
        <v>97431</v>
      </c>
      <c r="H12619" s="49">
        <f t="shared" si="2"/>
        <v>97406</v>
      </c>
    </row>
    <row r="12620">
      <c r="A12620" s="48" t="s">
        <v>6785</v>
      </c>
      <c r="B12620" s="38">
        <v>27644.0</v>
      </c>
      <c r="C12620" s="38" t="s">
        <v>5504</v>
      </c>
      <c r="D12620" s="38" t="str">
        <f>IFERROR(__xludf.DUMMYFUNCTION("REGEXREPLACE(C12620,""-\d+(.*)|--\d+(.*)"","""")"),"TILLY")</f>
        <v>TILLY</v>
      </c>
      <c r="E12620" s="38" t="s">
        <v>241</v>
      </c>
      <c r="F12620" s="38" t="s">
        <v>134</v>
      </c>
      <c r="G12620" s="49" t="str">
        <f t="shared" si="1"/>
        <v>27510</v>
      </c>
      <c r="H12620" s="49">
        <f t="shared" si="2"/>
        <v>27644</v>
      </c>
    </row>
    <row r="12621">
      <c r="A12621" s="48" t="s">
        <v>1398</v>
      </c>
      <c r="B12621" s="38">
        <v>45151.0</v>
      </c>
      <c r="C12621" s="38" t="s">
        <v>16803</v>
      </c>
      <c r="D12621" s="38" t="str">
        <f>IFERROR(__xludf.DUMMYFUNCTION("REGEXREPLACE(C12621,""-\d+(.*)|--\d+(.*)"","""")"),"GAUBERTIN")</f>
        <v>GAUBERTIN</v>
      </c>
      <c r="E12621" s="38" t="s">
        <v>122</v>
      </c>
      <c r="F12621" s="38" t="s">
        <v>123</v>
      </c>
      <c r="G12621" s="49" t="str">
        <f t="shared" si="1"/>
        <v>45340</v>
      </c>
      <c r="H12621" s="49">
        <f t="shared" si="2"/>
        <v>45151</v>
      </c>
    </row>
    <row r="12622">
      <c r="A12622" s="48" t="s">
        <v>7057</v>
      </c>
      <c r="B12622" s="38">
        <v>18211.0</v>
      </c>
      <c r="C12622" s="38" t="s">
        <v>16804</v>
      </c>
      <c r="D12622" s="38" t="str">
        <f>IFERROR(__xludf.DUMMYFUNCTION("REGEXREPLACE(C12622,""-\d+(.*)|--\d+(.*)"","""")"),"SAINT-GEORGES-SUR-MOULON")</f>
        <v>SAINT-GEORGES-SUR-MOULON</v>
      </c>
      <c r="E12622" s="38" t="s">
        <v>504</v>
      </c>
      <c r="F12622" s="38" t="s">
        <v>123</v>
      </c>
      <c r="G12622" s="49" t="str">
        <f t="shared" si="1"/>
        <v>18110</v>
      </c>
      <c r="H12622" s="49">
        <f t="shared" si="2"/>
        <v>18211</v>
      </c>
    </row>
    <row r="12623">
      <c r="A12623" s="48" t="s">
        <v>7390</v>
      </c>
      <c r="B12623" s="38">
        <v>7347.0</v>
      </c>
      <c r="C12623" s="38" t="s">
        <v>16805</v>
      </c>
      <c r="D12623" s="38" t="str">
        <f>IFERROR(__xludf.DUMMYFUNCTION("REGEXREPLACE(C12623,""-\d+(.*)|--\d+(.*)"","""")"),"VOCANCE")</f>
        <v>VOCANCE</v>
      </c>
      <c r="E12623" s="38" t="s">
        <v>144</v>
      </c>
      <c r="F12623" s="38" t="s">
        <v>102</v>
      </c>
      <c r="G12623" s="49" t="str">
        <f t="shared" si="1"/>
        <v>07690</v>
      </c>
      <c r="H12623" s="49" t="str">
        <f t="shared" si="2"/>
        <v>07347</v>
      </c>
    </row>
    <row r="12624">
      <c r="A12624" s="48" t="s">
        <v>16806</v>
      </c>
      <c r="B12624" s="38">
        <v>17463.0</v>
      </c>
      <c r="C12624" s="38" t="s">
        <v>16807</v>
      </c>
      <c r="D12624" s="38" t="str">
        <f>IFERROR(__xludf.DUMMYFUNCTION("REGEXREPLACE(C12624,""-\d+(.*)|--\d+(.*)"","""")"),"VERGEROUX")</f>
        <v>VERGEROUX</v>
      </c>
      <c r="E12624" s="38" t="s">
        <v>488</v>
      </c>
      <c r="F12624" s="38" t="s">
        <v>338</v>
      </c>
      <c r="G12624" s="49" t="str">
        <f t="shared" si="1"/>
        <v>17300</v>
      </c>
      <c r="H12624" s="49">
        <f t="shared" si="2"/>
        <v>17463</v>
      </c>
    </row>
    <row r="12625">
      <c r="A12625" s="48" t="s">
        <v>9594</v>
      </c>
      <c r="B12625" s="38">
        <v>44153.0</v>
      </c>
      <c r="C12625" s="38" t="s">
        <v>16808</v>
      </c>
      <c r="D12625" s="38" t="str">
        <f>IFERROR(__xludf.DUMMYFUNCTION("REGEXREPLACE(C12625,""-\d+(.*)|--\d+(.*)"","""")"),"SAINT-AUBIN-DES-CHATEAUX")</f>
        <v>SAINT-AUBIN-DES-CHATEAUX</v>
      </c>
      <c r="E12625" s="38" t="s">
        <v>759</v>
      </c>
      <c r="F12625" s="38" t="s">
        <v>180</v>
      </c>
      <c r="G12625" s="49" t="str">
        <f t="shared" si="1"/>
        <v>44110</v>
      </c>
      <c r="H12625" s="49">
        <f t="shared" si="2"/>
        <v>44153</v>
      </c>
    </row>
    <row r="12626">
      <c r="A12626" s="48" t="s">
        <v>5511</v>
      </c>
      <c r="B12626" s="38">
        <v>53100.0</v>
      </c>
      <c r="C12626" s="38" t="s">
        <v>16809</v>
      </c>
      <c r="D12626" s="38" t="str">
        <f>IFERROR(__xludf.DUMMYFUNCTION("REGEXREPLACE(C12626,""-\d+(.*)|--\d+(.*)"","""")"),"FOUGEROLLES-DU-PLESSIS")</f>
        <v>FOUGEROLLES-DU-PLESSIS</v>
      </c>
      <c r="E12626" s="38" t="s">
        <v>518</v>
      </c>
      <c r="F12626" s="38" t="s">
        <v>180</v>
      </c>
      <c r="G12626" s="49" t="str">
        <f t="shared" si="1"/>
        <v>53190</v>
      </c>
      <c r="H12626" s="49">
        <f t="shared" si="2"/>
        <v>53100</v>
      </c>
    </row>
    <row r="12627">
      <c r="A12627" s="48" t="s">
        <v>6715</v>
      </c>
      <c r="B12627" s="38">
        <v>62384.0</v>
      </c>
      <c r="C12627" s="38" t="s">
        <v>16810</v>
      </c>
      <c r="D12627" s="38" t="str">
        <f>IFERROR(__xludf.DUMMYFUNCTION("REGEXREPLACE(C12627,""-\d+(.*)|--\d+(.*)"","""")"),"GRAINCOURT-LES-HAVRINCOURT")</f>
        <v>GRAINCOURT-LES-HAVRINCOURT</v>
      </c>
      <c r="E12627" s="38" t="s">
        <v>109</v>
      </c>
      <c r="F12627" s="38" t="s">
        <v>86</v>
      </c>
      <c r="G12627" s="49" t="str">
        <f t="shared" si="1"/>
        <v>62147</v>
      </c>
      <c r="H12627" s="49">
        <f t="shared" si="2"/>
        <v>62384</v>
      </c>
    </row>
    <row r="12628">
      <c r="A12628" s="48" t="s">
        <v>4873</v>
      </c>
      <c r="B12628" s="38">
        <v>67273.0</v>
      </c>
      <c r="C12628" s="38" t="s">
        <v>16811</v>
      </c>
      <c r="D12628" s="38" t="str">
        <f>IFERROR(__xludf.DUMMYFUNCTION("REGEXREPLACE(C12628,""-\d+(.*)|--\d+(.*)"","""")"),"LOHR")</f>
        <v>LOHR</v>
      </c>
      <c r="E12628" s="38" t="s">
        <v>210</v>
      </c>
      <c r="F12628" s="38" t="s">
        <v>151</v>
      </c>
      <c r="G12628" s="49" t="str">
        <f t="shared" si="1"/>
        <v>67290</v>
      </c>
      <c r="H12628" s="49">
        <f t="shared" si="2"/>
        <v>67273</v>
      </c>
    </row>
    <row r="12629">
      <c r="A12629" s="48" t="s">
        <v>6890</v>
      </c>
      <c r="B12629" s="38">
        <v>51061.0</v>
      </c>
      <c r="C12629" s="38" t="s">
        <v>16812</v>
      </c>
      <c r="D12629" s="38" t="str">
        <f>IFERROR(__xludf.DUMMYFUNCTION("REGEXREPLACE(C12629,""-\d+(.*)|--\d+(.*)"","""")"),"BILLY-LE-GRAND")</f>
        <v>BILLY-LE-GRAND</v>
      </c>
      <c r="E12629" s="38" t="s">
        <v>129</v>
      </c>
      <c r="F12629" s="38" t="s">
        <v>130</v>
      </c>
      <c r="G12629" s="49" t="str">
        <f t="shared" si="1"/>
        <v>51400</v>
      </c>
      <c r="H12629" s="49">
        <f t="shared" si="2"/>
        <v>51061</v>
      </c>
    </row>
    <row r="12630">
      <c r="A12630" s="48" t="s">
        <v>16813</v>
      </c>
      <c r="B12630" s="38">
        <v>36142.0</v>
      </c>
      <c r="C12630" s="38" t="s">
        <v>16814</v>
      </c>
      <c r="D12630" s="38" t="str">
        <f>IFERROR(__xludf.DUMMYFUNCTION("REGEXREPLACE(C12630,""-\d+(.*)|--\d+(.*)"","""")"),"NIHERNE")</f>
        <v>NIHERNE</v>
      </c>
      <c r="E12630" s="38" t="s">
        <v>258</v>
      </c>
      <c r="F12630" s="38" t="s">
        <v>123</v>
      </c>
      <c r="G12630" s="49" t="str">
        <f t="shared" si="1"/>
        <v>36250</v>
      </c>
      <c r="H12630" s="49">
        <f t="shared" si="2"/>
        <v>36142</v>
      </c>
    </row>
    <row r="12631">
      <c r="A12631" s="48" t="s">
        <v>3163</v>
      </c>
      <c r="B12631" s="38">
        <v>28283.0</v>
      </c>
      <c r="C12631" s="38" t="s">
        <v>16815</v>
      </c>
      <c r="D12631" s="38" t="str">
        <f>IFERROR(__xludf.DUMMYFUNCTION("REGEXREPLACE(C12631,""-\d+(.*)|--\d+(.*)"","""")"),"NOTTONVILLE")</f>
        <v>NOTTONVILLE</v>
      </c>
      <c r="E12631" s="38" t="s">
        <v>300</v>
      </c>
      <c r="F12631" s="38" t="s">
        <v>123</v>
      </c>
      <c r="G12631" s="49" t="str">
        <f t="shared" si="1"/>
        <v>28140</v>
      </c>
      <c r="H12631" s="49">
        <f t="shared" si="2"/>
        <v>28283</v>
      </c>
    </row>
    <row r="12632">
      <c r="A12632" s="48" t="s">
        <v>16816</v>
      </c>
      <c r="B12632" s="38">
        <v>89307.0</v>
      </c>
      <c r="C12632" s="38" t="s">
        <v>16817</v>
      </c>
      <c r="D12632" s="38" t="str">
        <f>IFERROR(__xludf.DUMMYFUNCTION("REGEXREPLACE(C12632,""-\d+(.*)|--\d+(.*)"","""")"),"PONTIGNY")</f>
        <v>PONTIGNY</v>
      </c>
      <c r="E12632" s="38" t="s">
        <v>275</v>
      </c>
      <c r="F12632" s="38" t="s">
        <v>106</v>
      </c>
      <c r="G12632" s="49" t="str">
        <f t="shared" si="1"/>
        <v>89230</v>
      </c>
      <c r="H12632" s="49">
        <f t="shared" si="2"/>
        <v>89307</v>
      </c>
    </row>
    <row r="12633">
      <c r="A12633" s="48" t="s">
        <v>1531</v>
      </c>
      <c r="B12633" s="38">
        <v>65416.0</v>
      </c>
      <c r="C12633" s="38" t="s">
        <v>16818</v>
      </c>
      <c r="D12633" s="38" t="str">
        <f>IFERROR(__xludf.DUMMYFUNCTION("REGEXREPLACE(C12633,""-\d+(.*)|--\d+(.*)"","""")"),"SEICH")</f>
        <v>SEICH</v>
      </c>
      <c r="E12633" s="38" t="s">
        <v>200</v>
      </c>
      <c r="F12633" s="38" t="s">
        <v>94</v>
      </c>
      <c r="G12633" s="49" t="str">
        <f t="shared" si="1"/>
        <v>65150</v>
      </c>
      <c r="H12633" s="49">
        <f t="shared" si="2"/>
        <v>65416</v>
      </c>
    </row>
    <row r="12634">
      <c r="A12634" s="48" t="s">
        <v>6694</v>
      </c>
      <c r="B12634" s="38">
        <v>16004.0</v>
      </c>
      <c r="C12634" s="38" t="s">
        <v>16819</v>
      </c>
      <c r="D12634" s="38" t="str">
        <f>IFERROR(__xludf.DUMMYFUNCTION("REGEXREPLACE(C12634,""-\d+(.*)|--\d+(.*)"","""")"),"AIGNES-ET-PUYPEROUX")</f>
        <v>AIGNES-ET-PUYPEROUX</v>
      </c>
      <c r="E12634" s="38" t="s">
        <v>429</v>
      </c>
      <c r="F12634" s="38" t="s">
        <v>338</v>
      </c>
      <c r="G12634" s="49" t="str">
        <f t="shared" si="1"/>
        <v>16190</v>
      </c>
      <c r="H12634" s="49">
        <f t="shared" si="2"/>
        <v>16004</v>
      </c>
    </row>
    <row r="12635">
      <c r="A12635" s="48" t="s">
        <v>6951</v>
      </c>
      <c r="B12635" s="38">
        <v>58065.0</v>
      </c>
      <c r="C12635" s="38" t="s">
        <v>16820</v>
      </c>
      <c r="D12635" s="38" t="str">
        <f>IFERROR(__xludf.DUMMYFUNCTION("REGEXREPLACE(C12635,""-\d+(.*)|--\d+(.*)"","""")"),"CHATILLON-EN-BAZOIS")</f>
        <v>CHATILLON-EN-BAZOIS</v>
      </c>
      <c r="E12635" s="38" t="s">
        <v>219</v>
      </c>
      <c r="F12635" s="38" t="s">
        <v>106</v>
      </c>
      <c r="G12635" s="49" t="str">
        <f t="shared" si="1"/>
        <v>58110</v>
      </c>
      <c r="H12635" s="49">
        <f t="shared" si="2"/>
        <v>58065</v>
      </c>
    </row>
    <row r="12636">
      <c r="A12636" s="48" t="s">
        <v>16821</v>
      </c>
      <c r="B12636" s="38">
        <v>77480.0</v>
      </c>
      <c r="C12636" s="38" t="s">
        <v>16822</v>
      </c>
      <c r="D12636" s="38" t="str">
        <f>IFERROR(__xludf.DUMMYFUNCTION("REGEXREPLACE(C12636,""-\d+(.*)|--\d+(.*)"","""")"),"VALENCE-EN-BRIE")</f>
        <v>VALENCE-EN-BRIE</v>
      </c>
      <c r="E12636" s="38" t="s">
        <v>244</v>
      </c>
      <c r="F12636" s="38" t="s">
        <v>245</v>
      </c>
      <c r="G12636" s="49" t="str">
        <f t="shared" si="1"/>
        <v>77830</v>
      </c>
      <c r="H12636" s="49">
        <f t="shared" si="2"/>
        <v>77480</v>
      </c>
    </row>
    <row r="12637">
      <c r="A12637" s="48" t="s">
        <v>16823</v>
      </c>
      <c r="B12637" s="38">
        <v>78092.0</v>
      </c>
      <c r="C12637" s="38" t="s">
        <v>16824</v>
      </c>
      <c r="D12637" s="38" t="str">
        <f>IFERROR(__xludf.DUMMYFUNCTION("REGEXREPLACE(C12637,""-\d+(.*)|--\d+(.*)"","""")"),"BOUGIVAL")</f>
        <v>BOUGIVAL</v>
      </c>
      <c r="E12637" s="38" t="s">
        <v>362</v>
      </c>
      <c r="F12637" s="38" t="s">
        <v>245</v>
      </c>
      <c r="G12637" s="49" t="str">
        <f t="shared" si="1"/>
        <v>78380</v>
      </c>
      <c r="H12637" s="49">
        <f t="shared" si="2"/>
        <v>78092</v>
      </c>
    </row>
    <row r="12638">
      <c r="A12638" s="48" t="s">
        <v>10063</v>
      </c>
      <c r="B12638" s="38">
        <v>18178.0</v>
      </c>
      <c r="C12638" s="38" t="s">
        <v>16825</v>
      </c>
      <c r="D12638" s="38" t="str">
        <f>IFERROR(__xludf.DUMMYFUNCTION("REGEXREPLACE(C12638,""-\d+(.*)|--\d+(.*)"","""")"),"LA PERCHE")</f>
        <v>LA PERCHE</v>
      </c>
      <c r="E12638" s="38" t="s">
        <v>504</v>
      </c>
      <c r="F12638" s="38" t="s">
        <v>123</v>
      </c>
      <c r="G12638" s="49" t="str">
        <f t="shared" si="1"/>
        <v>18200</v>
      </c>
      <c r="H12638" s="49">
        <f t="shared" si="2"/>
        <v>18178</v>
      </c>
    </row>
    <row r="12639">
      <c r="A12639" s="48" t="s">
        <v>1201</v>
      </c>
      <c r="B12639" s="38">
        <v>78416.0</v>
      </c>
      <c r="C12639" s="38" t="s">
        <v>16826</v>
      </c>
      <c r="D12639" s="38" t="str">
        <f>IFERROR(__xludf.DUMMYFUNCTION("REGEXREPLACE(C12639,""-\d+(.*)|--\d+(.*)"","""")"),"MONTALET-LE-BOIS")</f>
        <v>MONTALET-LE-BOIS</v>
      </c>
      <c r="E12639" s="38" t="s">
        <v>362</v>
      </c>
      <c r="F12639" s="38" t="s">
        <v>245</v>
      </c>
      <c r="G12639" s="49" t="str">
        <f t="shared" si="1"/>
        <v>78440</v>
      </c>
      <c r="H12639" s="49">
        <f t="shared" si="2"/>
        <v>78416</v>
      </c>
    </row>
    <row r="12640">
      <c r="A12640" s="48" t="s">
        <v>10760</v>
      </c>
      <c r="B12640" s="38">
        <v>25562.0</v>
      </c>
      <c r="C12640" s="38" t="s">
        <v>16827</v>
      </c>
      <c r="D12640" s="38" t="str">
        <f>IFERROR(__xludf.DUMMYFUNCTION("REGEXREPLACE(C12640,""-\d+(.*)|--\d+(.*)"","""")"),"THULAY")</f>
        <v>THULAY</v>
      </c>
      <c r="E12640" s="38" t="s">
        <v>213</v>
      </c>
      <c r="F12640" s="38" t="s">
        <v>214</v>
      </c>
      <c r="G12640" s="49" t="str">
        <f t="shared" si="1"/>
        <v>25310</v>
      </c>
      <c r="H12640" s="49">
        <f t="shared" si="2"/>
        <v>25562</v>
      </c>
    </row>
    <row r="12641">
      <c r="A12641" s="48" t="s">
        <v>279</v>
      </c>
      <c r="B12641" s="38">
        <v>40250.0</v>
      </c>
      <c r="C12641" s="38" t="s">
        <v>2297</v>
      </c>
      <c r="D12641" s="38" t="str">
        <f>IFERROR(__xludf.DUMMYFUNCTION("REGEXREPLACE(C12641,""-\d+(.*)|--\d+(.*)"","""")"),"SAINT-AVIT")</f>
        <v>SAINT-AVIT</v>
      </c>
      <c r="E12641" s="38" t="s">
        <v>281</v>
      </c>
      <c r="F12641" s="38" t="s">
        <v>252</v>
      </c>
      <c r="G12641" s="49" t="str">
        <f t="shared" si="1"/>
        <v>40090</v>
      </c>
      <c r="H12641" s="49">
        <f t="shared" si="2"/>
        <v>40250</v>
      </c>
    </row>
    <row r="12642">
      <c r="A12642" s="48" t="s">
        <v>724</v>
      </c>
      <c r="B12642" s="38">
        <v>32323.0</v>
      </c>
      <c r="C12642" s="38" t="s">
        <v>16828</v>
      </c>
      <c r="D12642" s="38" t="str">
        <f>IFERROR(__xludf.DUMMYFUNCTION("REGEXREPLACE(C12642,""-\d+(.*)|--\d+(.*)"","""")"),"PONSAMPERE")</f>
        <v>PONSAMPERE</v>
      </c>
      <c r="E12642" s="38" t="s">
        <v>440</v>
      </c>
      <c r="F12642" s="38" t="s">
        <v>94</v>
      </c>
      <c r="G12642" s="49" t="str">
        <f t="shared" si="1"/>
        <v>32300</v>
      </c>
      <c r="H12642" s="49">
        <f t="shared" si="2"/>
        <v>32323</v>
      </c>
    </row>
    <row r="12643">
      <c r="A12643" s="48" t="s">
        <v>5873</v>
      </c>
      <c r="B12643" s="38">
        <v>23006.0</v>
      </c>
      <c r="C12643" s="38" t="s">
        <v>16829</v>
      </c>
      <c r="D12643" s="38" t="str">
        <f>IFERROR(__xludf.DUMMYFUNCTION("REGEXREPLACE(C12643,""-\d+(.*)|--\d+(.*)"","""")"),"ARRENES")</f>
        <v>ARRENES</v>
      </c>
      <c r="E12643" s="38" t="s">
        <v>97</v>
      </c>
      <c r="F12643" s="38" t="s">
        <v>98</v>
      </c>
      <c r="G12643" s="49" t="str">
        <f t="shared" si="1"/>
        <v>23210</v>
      </c>
      <c r="H12643" s="49">
        <f t="shared" si="2"/>
        <v>23006</v>
      </c>
    </row>
    <row r="12644">
      <c r="A12644" s="48" t="s">
        <v>4926</v>
      </c>
      <c r="B12644" s="38">
        <v>14050.0</v>
      </c>
      <c r="C12644" s="38" t="s">
        <v>16830</v>
      </c>
      <c r="D12644" s="38" t="str">
        <f>IFERROR(__xludf.DUMMYFUNCTION("REGEXREPLACE(C12644,""-\d+(.*)|--\d+(.*)"","""")"),"LA BAZOQUE")</f>
        <v>LA BAZOQUE</v>
      </c>
      <c r="E12644" s="38" t="s">
        <v>137</v>
      </c>
      <c r="F12644" s="38" t="s">
        <v>138</v>
      </c>
      <c r="G12644" s="49" t="str">
        <f t="shared" si="1"/>
        <v>14490</v>
      </c>
      <c r="H12644" s="49">
        <f t="shared" si="2"/>
        <v>14050</v>
      </c>
    </row>
    <row r="12645">
      <c r="A12645" s="48" t="s">
        <v>1758</v>
      </c>
      <c r="B12645" s="38">
        <v>65413.0</v>
      </c>
      <c r="C12645" s="38" t="s">
        <v>16831</v>
      </c>
      <c r="D12645" s="38" t="str">
        <f>IFERROR(__xludf.DUMMYFUNCTION("REGEXREPLACE(C12645,""-\d+(.*)|--\d+(.*)"","""")"),"SAZOS")</f>
        <v>SAZOS</v>
      </c>
      <c r="E12645" s="38" t="s">
        <v>200</v>
      </c>
      <c r="F12645" s="38" t="s">
        <v>94</v>
      </c>
      <c r="G12645" s="49" t="str">
        <f t="shared" si="1"/>
        <v>65120</v>
      </c>
      <c r="H12645" s="49">
        <f t="shared" si="2"/>
        <v>65413</v>
      </c>
    </row>
    <row r="12646">
      <c r="A12646" s="48" t="s">
        <v>139</v>
      </c>
      <c r="B12646" s="38">
        <v>61450.0</v>
      </c>
      <c r="C12646" s="38" t="s">
        <v>16832</v>
      </c>
      <c r="D12646" s="38" t="str">
        <f>IFERROR(__xludf.DUMMYFUNCTION("REGEXREPLACE(C12646,""-\d+(.*)|--\d+(.*)"","""")"),"SAINT-QUENTIN-DE-BLAVOU")</f>
        <v>SAINT-QUENTIN-DE-BLAVOU</v>
      </c>
      <c r="E12646" s="38" t="s">
        <v>141</v>
      </c>
      <c r="F12646" s="38" t="s">
        <v>138</v>
      </c>
      <c r="G12646" s="49" t="str">
        <f t="shared" si="1"/>
        <v>61360</v>
      </c>
      <c r="H12646" s="49">
        <f t="shared" si="2"/>
        <v>61450</v>
      </c>
    </row>
    <row r="12647">
      <c r="A12647" s="48" t="s">
        <v>872</v>
      </c>
      <c r="B12647" s="38">
        <v>35183.0</v>
      </c>
      <c r="C12647" s="38" t="s">
        <v>16833</v>
      </c>
      <c r="D12647" s="38" t="str">
        <f>IFERROR(__xludf.DUMMYFUNCTION("REGEXREPLACE(C12647,""-\d+(.*)|--\d+(.*)"","""")"),"MONDEVERT")</f>
        <v>MONDEVERT</v>
      </c>
      <c r="E12647" s="38" t="s">
        <v>347</v>
      </c>
      <c r="F12647" s="38" t="s">
        <v>90</v>
      </c>
      <c r="G12647" s="49" t="str">
        <f t="shared" si="1"/>
        <v>35370</v>
      </c>
      <c r="H12647" s="49">
        <f t="shared" si="2"/>
        <v>35183</v>
      </c>
    </row>
    <row r="12648">
      <c r="A12648" s="48" t="s">
        <v>8810</v>
      </c>
      <c r="B12648" s="38">
        <v>63168.0</v>
      </c>
      <c r="C12648" s="38" t="s">
        <v>16834</v>
      </c>
      <c r="D12648" s="38" t="str">
        <f>IFERROR(__xludf.DUMMYFUNCTION("REGEXREPLACE(C12648,""-\d+(.*)|--\d+(.*)"","""")"),"GLAINE-MONTAIGUT")</f>
        <v>GLAINE-MONTAIGUT</v>
      </c>
      <c r="E12648" s="38" t="s">
        <v>353</v>
      </c>
      <c r="F12648" s="38" t="s">
        <v>161</v>
      </c>
      <c r="G12648" s="49" t="str">
        <f t="shared" si="1"/>
        <v>63160</v>
      </c>
      <c r="H12648" s="49">
        <f t="shared" si="2"/>
        <v>63168</v>
      </c>
    </row>
    <row r="12649">
      <c r="A12649" s="48" t="s">
        <v>5174</v>
      </c>
      <c r="B12649" s="38">
        <v>82063.0</v>
      </c>
      <c r="C12649" s="38" t="s">
        <v>16835</v>
      </c>
      <c r="D12649" s="38" t="str">
        <f>IFERROR(__xludf.DUMMYFUNCTION("REGEXREPLACE(C12649,""-\d+(.*)|--\d+(.*)"","""")"),"GARGANVILLAR")</f>
        <v>GARGANVILLAR</v>
      </c>
      <c r="E12649" s="38" t="s">
        <v>570</v>
      </c>
      <c r="F12649" s="38" t="s">
        <v>94</v>
      </c>
      <c r="G12649" s="49" t="str">
        <f t="shared" si="1"/>
        <v>82100</v>
      </c>
      <c r="H12649" s="49">
        <f t="shared" si="2"/>
        <v>82063</v>
      </c>
    </row>
    <row r="12650">
      <c r="A12650" s="48" t="s">
        <v>5687</v>
      </c>
      <c r="B12650" s="38">
        <v>3237.0</v>
      </c>
      <c r="C12650" s="38" t="s">
        <v>16836</v>
      </c>
      <c r="D12650" s="38" t="str">
        <f>IFERROR(__xludf.DUMMYFUNCTION("REGEXREPLACE(C12650,""-\d+(.*)|--\d+(.*)"","""")"),"SAINT-GERMAIN-DE-SALLES")</f>
        <v>SAINT-GERMAIN-DE-SALLES</v>
      </c>
      <c r="E12650" s="38" t="s">
        <v>160</v>
      </c>
      <c r="F12650" s="38" t="s">
        <v>161</v>
      </c>
      <c r="G12650" s="49" t="str">
        <f t="shared" si="1"/>
        <v>03140</v>
      </c>
      <c r="H12650" s="49" t="str">
        <f t="shared" si="2"/>
        <v>03237</v>
      </c>
    </row>
    <row r="12651">
      <c r="A12651" s="48" t="s">
        <v>1870</v>
      </c>
      <c r="B12651" s="38">
        <v>37131.0</v>
      </c>
      <c r="C12651" s="38" t="s">
        <v>16837</v>
      </c>
      <c r="D12651" s="38" t="str">
        <f>IFERROR(__xludf.DUMMYFUNCTION("REGEXREPLACE(C12651,""-\d+(.*)|--\d+(.*)"","""")"),"LIMERAY")</f>
        <v>LIMERAY</v>
      </c>
      <c r="E12651" s="38" t="s">
        <v>205</v>
      </c>
      <c r="F12651" s="38" t="s">
        <v>123</v>
      </c>
      <c r="G12651" s="49" t="str">
        <f t="shared" si="1"/>
        <v>37530</v>
      </c>
      <c r="H12651" s="49">
        <f t="shared" si="2"/>
        <v>37131</v>
      </c>
    </row>
    <row r="12652">
      <c r="A12652" s="48" t="s">
        <v>4898</v>
      </c>
      <c r="B12652" s="38">
        <v>27337.0</v>
      </c>
      <c r="C12652" s="38" t="s">
        <v>14328</v>
      </c>
      <c r="D12652" s="38" t="str">
        <f>IFERROR(__xludf.DUMMYFUNCTION("REGEXREPLACE(C12652,""-\d+(.*)|--\d+(.*)"","""")"),"HEUQUEVILLE")</f>
        <v>HEUQUEVILLE</v>
      </c>
      <c r="E12652" s="38" t="s">
        <v>241</v>
      </c>
      <c r="F12652" s="38" t="s">
        <v>134</v>
      </c>
      <c r="G12652" s="49" t="str">
        <f t="shared" si="1"/>
        <v>27700</v>
      </c>
      <c r="H12652" s="49">
        <f t="shared" si="2"/>
        <v>27337</v>
      </c>
    </row>
    <row r="12653">
      <c r="A12653" s="48" t="s">
        <v>10299</v>
      </c>
      <c r="B12653" s="38">
        <v>67441.0</v>
      </c>
      <c r="C12653" s="38" t="s">
        <v>16838</v>
      </c>
      <c r="D12653" s="38" t="str">
        <f>IFERROR(__xludf.DUMMYFUNCTION("REGEXREPLACE(C12653,""-\d+(.*)|--\d+(.*)"","""")"),"SCHALKENDORF")</f>
        <v>SCHALKENDORF</v>
      </c>
      <c r="E12653" s="38" t="s">
        <v>210</v>
      </c>
      <c r="F12653" s="38" t="s">
        <v>151</v>
      </c>
      <c r="G12653" s="49" t="str">
        <f t="shared" si="1"/>
        <v>67350</v>
      </c>
      <c r="H12653" s="49">
        <f t="shared" si="2"/>
        <v>67441</v>
      </c>
    </row>
    <row r="12654">
      <c r="A12654" s="48" t="s">
        <v>3212</v>
      </c>
      <c r="B12654" s="38">
        <v>64449.0</v>
      </c>
      <c r="C12654" s="38" t="s">
        <v>16839</v>
      </c>
      <c r="D12654" s="38" t="str">
        <f>IFERROR(__xludf.DUMMYFUNCTION("REGEXREPLACE(C12654,""-\d+(.*)|--\d+(.*)"","""")"),"POEY-D'OLORON")</f>
        <v>POEY-D'OLORON</v>
      </c>
      <c r="E12654" s="38" t="s">
        <v>268</v>
      </c>
      <c r="F12654" s="38" t="s">
        <v>252</v>
      </c>
      <c r="G12654" s="49" t="str">
        <f t="shared" si="1"/>
        <v>64400</v>
      </c>
      <c r="H12654" s="49">
        <f t="shared" si="2"/>
        <v>64449</v>
      </c>
    </row>
    <row r="12655">
      <c r="A12655" s="48" t="s">
        <v>5652</v>
      </c>
      <c r="B12655" s="38">
        <v>1118.0</v>
      </c>
      <c r="C12655" s="38" t="s">
        <v>16840</v>
      </c>
      <c r="D12655" s="38" t="str">
        <f>IFERROR(__xludf.DUMMYFUNCTION("REGEXREPLACE(C12655,""-\d+(.*)|--\d+(.*)"","""")"),"CORBONOD")</f>
        <v>CORBONOD</v>
      </c>
      <c r="E12655" s="38" t="s">
        <v>255</v>
      </c>
      <c r="F12655" s="38" t="s">
        <v>102</v>
      </c>
      <c r="G12655" s="49" t="str">
        <f t="shared" si="1"/>
        <v>01420</v>
      </c>
      <c r="H12655" s="49" t="str">
        <f t="shared" si="2"/>
        <v>01118</v>
      </c>
    </row>
    <row r="12656">
      <c r="A12656" s="48" t="s">
        <v>3631</v>
      </c>
      <c r="B12656" s="38">
        <v>38013.0</v>
      </c>
      <c r="C12656" s="38" t="s">
        <v>16841</v>
      </c>
      <c r="D12656" s="38" t="str">
        <f>IFERROR(__xludf.DUMMYFUNCTION("REGEXREPLACE(C12656,""-\d+(.*)|--\d+(.*)"","""")"),"APPRIEU")</f>
        <v>APPRIEU</v>
      </c>
      <c r="E12656" s="38" t="s">
        <v>101</v>
      </c>
      <c r="F12656" s="38" t="s">
        <v>102</v>
      </c>
      <c r="G12656" s="49" t="str">
        <f t="shared" si="1"/>
        <v>38140</v>
      </c>
      <c r="H12656" s="49">
        <f t="shared" si="2"/>
        <v>38013</v>
      </c>
    </row>
    <row r="12657">
      <c r="A12657" s="48" t="s">
        <v>2288</v>
      </c>
      <c r="B12657" s="38">
        <v>81067.0</v>
      </c>
      <c r="C12657" s="38" t="s">
        <v>16842</v>
      </c>
      <c r="D12657" s="38" t="str">
        <f>IFERROR(__xludf.DUMMYFUNCTION("REGEXREPLACE(C12657,""-\d+(.*)|--\d+(.*)"","""")"),"CESTAYROLS")</f>
        <v>CESTAYROLS</v>
      </c>
      <c r="E12657" s="38" t="s">
        <v>231</v>
      </c>
      <c r="F12657" s="38" t="s">
        <v>94</v>
      </c>
      <c r="G12657" s="49" t="str">
        <f t="shared" si="1"/>
        <v>81150</v>
      </c>
      <c r="H12657" s="49">
        <f t="shared" si="2"/>
        <v>81067</v>
      </c>
    </row>
    <row r="12658">
      <c r="A12658" s="48" t="s">
        <v>384</v>
      </c>
      <c r="B12658" s="38">
        <v>55101.0</v>
      </c>
      <c r="C12658" s="38" t="s">
        <v>16843</v>
      </c>
      <c r="D12658" s="38" t="str">
        <f>IFERROR(__xludf.DUMMYFUNCTION("REGEXREPLACE(C12658,""-\d+(.*)|--\d+(.*)"","""")"),"CHARDOGNE")</f>
        <v>CHARDOGNE</v>
      </c>
      <c r="E12658" s="38" t="s">
        <v>322</v>
      </c>
      <c r="F12658" s="38" t="s">
        <v>195</v>
      </c>
      <c r="G12658" s="49" t="str">
        <f t="shared" si="1"/>
        <v>55000</v>
      </c>
      <c r="H12658" s="49">
        <f t="shared" si="2"/>
        <v>55101</v>
      </c>
    </row>
    <row r="12659">
      <c r="A12659" s="48" t="s">
        <v>6515</v>
      </c>
      <c r="B12659" s="38">
        <v>62787.0</v>
      </c>
      <c r="C12659" s="38" t="s">
        <v>16844</v>
      </c>
      <c r="D12659" s="38" t="str">
        <f>IFERROR(__xludf.DUMMYFUNCTION("REGEXREPLACE(C12659,""-\d+(.*)|--\d+(.*)"","""")"),"SEMPY")</f>
        <v>SEMPY</v>
      </c>
      <c r="E12659" s="38" t="s">
        <v>109</v>
      </c>
      <c r="F12659" s="38" t="s">
        <v>86</v>
      </c>
      <c r="G12659" s="49" t="str">
        <f t="shared" si="1"/>
        <v>62170</v>
      </c>
      <c r="H12659" s="49">
        <f t="shared" si="2"/>
        <v>62787</v>
      </c>
    </row>
    <row r="12660">
      <c r="A12660" s="48" t="s">
        <v>2744</v>
      </c>
      <c r="B12660" s="38">
        <v>17437.0</v>
      </c>
      <c r="C12660" s="38" t="s">
        <v>16845</v>
      </c>
      <c r="D12660" s="38" t="str">
        <f>IFERROR(__xludf.DUMMYFUNCTION("REGEXREPLACE(C12660,""-\d+(.*)|--\d+(.*)"","""")"),"TALMONT-SUR-GIRONDE")</f>
        <v>TALMONT-SUR-GIRONDE</v>
      </c>
      <c r="E12660" s="38" t="s">
        <v>488</v>
      </c>
      <c r="F12660" s="38" t="s">
        <v>338</v>
      </c>
      <c r="G12660" s="49" t="str">
        <f t="shared" si="1"/>
        <v>17120</v>
      </c>
      <c r="H12660" s="49">
        <f t="shared" si="2"/>
        <v>17437</v>
      </c>
    </row>
    <row r="12661">
      <c r="A12661" s="48" t="s">
        <v>2949</v>
      </c>
      <c r="B12661" s="38">
        <v>27685.0</v>
      </c>
      <c r="C12661" s="38" t="s">
        <v>16846</v>
      </c>
      <c r="D12661" s="38" t="str">
        <f>IFERROR(__xludf.DUMMYFUNCTION("REGEXREPLACE(C12661,""-\d+(.*)|--\d+(.*)"","""")"),"LA VIEILLE-LYRE")</f>
        <v>LA VIEILLE-LYRE</v>
      </c>
      <c r="E12661" s="38" t="s">
        <v>241</v>
      </c>
      <c r="F12661" s="38" t="s">
        <v>134</v>
      </c>
      <c r="G12661" s="49" t="str">
        <f t="shared" si="1"/>
        <v>27330</v>
      </c>
      <c r="H12661" s="49">
        <f t="shared" si="2"/>
        <v>27685</v>
      </c>
    </row>
    <row r="12662">
      <c r="A12662" s="48" t="s">
        <v>3059</v>
      </c>
      <c r="B12662" s="38">
        <v>89446.0</v>
      </c>
      <c r="C12662" s="38" t="s">
        <v>16847</v>
      </c>
      <c r="D12662" s="38" t="str">
        <f>IFERROR(__xludf.DUMMYFUNCTION("REGEXREPLACE(C12662,""-\d+(.*)|--\d+(.*)"","""")"),"VEZELAY")</f>
        <v>VEZELAY</v>
      </c>
      <c r="E12662" s="38" t="s">
        <v>275</v>
      </c>
      <c r="F12662" s="38" t="s">
        <v>106</v>
      </c>
      <c r="G12662" s="49" t="str">
        <f t="shared" si="1"/>
        <v>89450</v>
      </c>
      <c r="H12662" s="49">
        <f t="shared" si="2"/>
        <v>89446</v>
      </c>
    </row>
    <row r="12663">
      <c r="A12663" s="48" t="s">
        <v>4011</v>
      </c>
      <c r="B12663" s="38">
        <v>80558.0</v>
      </c>
      <c r="C12663" s="38" t="s">
        <v>16848</v>
      </c>
      <c r="D12663" s="38" t="str">
        <f>IFERROR(__xludf.DUMMYFUNCTION("REGEXREPLACE(C12663,""-\d+(.*)|--\d+(.*)"","""")"),"MONSURES")</f>
        <v>MONSURES</v>
      </c>
      <c r="E12663" s="38" t="s">
        <v>224</v>
      </c>
      <c r="F12663" s="38" t="s">
        <v>113</v>
      </c>
      <c r="G12663" s="49" t="str">
        <f t="shared" si="1"/>
        <v>80160</v>
      </c>
      <c r="H12663" s="49">
        <f t="shared" si="2"/>
        <v>80558</v>
      </c>
    </row>
    <row r="12664">
      <c r="A12664" s="48" t="s">
        <v>709</v>
      </c>
      <c r="B12664" s="38">
        <v>43073.0</v>
      </c>
      <c r="C12664" s="38" t="s">
        <v>16849</v>
      </c>
      <c r="D12664" s="38" t="str">
        <f>IFERROR(__xludf.DUMMYFUNCTION("REGEXREPLACE(C12664,""-\d+(.*)|--\d+(.*)"","""")"),"CISTRIERES")</f>
        <v>CISTRIERES</v>
      </c>
      <c r="E12664" s="38" t="s">
        <v>332</v>
      </c>
      <c r="F12664" s="38" t="s">
        <v>161</v>
      </c>
      <c r="G12664" s="49" t="str">
        <f t="shared" si="1"/>
        <v>43160</v>
      </c>
      <c r="H12664" s="49">
        <f t="shared" si="2"/>
        <v>43073</v>
      </c>
    </row>
    <row r="12665">
      <c r="A12665" s="48" t="s">
        <v>16850</v>
      </c>
      <c r="B12665" s="38">
        <v>14665.0</v>
      </c>
      <c r="C12665" s="38" t="s">
        <v>16851</v>
      </c>
      <c r="D12665" s="38" t="str">
        <f>IFERROR(__xludf.DUMMYFUNCTION("REGEXREPLACE(C12665,""-\d+(.*)|--\d+(.*)"","""")"),"SALLENELLES")</f>
        <v>SALLENELLES</v>
      </c>
      <c r="E12665" s="38" t="s">
        <v>137</v>
      </c>
      <c r="F12665" s="38" t="s">
        <v>138</v>
      </c>
      <c r="G12665" s="49" t="str">
        <f t="shared" si="1"/>
        <v>14121</v>
      </c>
      <c r="H12665" s="49">
        <f t="shared" si="2"/>
        <v>14665</v>
      </c>
    </row>
    <row r="12666">
      <c r="A12666" s="48" t="s">
        <v>16852</v>
      </c>
      <c r="B12666" s="38">
        <v>29064.0</v>
      </c>
      <c r="C12666" s="38" t="s">
        <v>16853</v>
      </c>
      <c r="D12666" s="38" t="str">
        <f>IFERROR(__xludf.DUMMYFUNCTION("REGEXREPLACE(C12666,""-\d+(.*)|--\d+(.*)"","""")"),"GOULVEN")</f>
        <v>GOULVEN</v>
      </c>
      <c r="E12666" s="38" t="s">
        <v>176</v>
      </c>
      <c r="F12666" s="38" t="s">
        <v>90</v>
      </c>
      <c r="G12666" s="49" t="str">
        <f t="shared" si="1"/>
        <v>29890</v>
      </c>
      <c r="H12666" s="49">
        <f t="shared" si="2"/>
        <v>29064</v>
      </c>
    </row>
    <row r="12667">
      <c r="A12667" s="48" t="s">
        <v>2136</v>
      </c>
      <c r="B12667" s="38">
        <v>52506.0</v>
      </c>
      <c r="C12667" s="38" t="s">
        <v>16854</v>
      </c>
      <c r="D12667" s="38" t="str">
        <f>IFERROR(__xludf.DUMMYFUNCTION("REGEXREPLACE(C12667,""-\d+(.*)|--\d+(.*)"","""")"),"VAUDREMONT")</f>
        <v>VAUDREMONT</v>
      </c>
      <c r="E12667" s="38" t="s">
        <v>234</v>
      </c>
      <c r="F12667" s="38" t="s">
        <v>130</v>
      </c>
      <c r="G12667" s="49" t="str">
        <f t="shared" si="1"/>
        <v>52330</v>
      </c>
      <c r="H12667" s="49">
        <f t="shared" si="2"/>
        <v>52506</v>
      </c>
    </row>
    <row r="12668">
      <c r="A12668" s="48" t="s">
        <v>8167</v>
      </c>
      <c r="B12668" s="38">
        <v>41224.0</v>
      </c>
      <c r="C12668" s="38" t="s">
        <v>16855</v>
      </c>
      <c r="D12668" s="38" t="str">
        <f>IFERROR(__xludf.DUMMYFUNCTION("REGEXREPLACE(C12668,""-\d+(.*)|--\d+(.*)"","""")"),"SAINT-MARC-DU-COR")</f>
        <v>SAINT-MARC-DU-COR</v>
      </c>
      <c r="E12668" s="38" t="s">
        <v>188</v>
      </c>
      <c r="F12668" s="38" t="s">
        <v>123</v>
      </c>
      <c r="G12668" s="49" t="str">
        <f t="shared" si="1"/>
        <v>41170</v>
      </c>
      <c r="H12668" s="49">
        <f t="shared" si="2"/>
        <v>41224</v>
      </c>
    </row>
    <row r="12669">
      <c r="A12669" s="48" t="s">
        <v>9016</v>
      </c>
      <c r="B12669" s="38">
        <v>76062.0</v>
      </c>
      <c r="C12669" s="38" t="s">
        <v>16856</v>
      </c>
      <c r="D12669" s="38" t="str">
        <f>IFERROR(__xludf.DUMMYFUNCTION("REGEXREPLACE(C12669,""-\d+(.*)|--\d+(.*)"","""")"),"BEAUMONT-LE-HARENG")</f>
        <v>BEAUMONT-LE-HARENG</v>
      </c>
      <c r="E12669" s="38" t="s">
        <v>133</v>
      </c>
      <c r="F12669" s="38" t="s">
        <v>134</v>
      </c>
      <c r="G12669" s="49" t="str">
        <f t="shared" si="1"/>
        <v>76850</v>
      </c>
      <c r="H12669" s="49">
        <f t="shared" si="2"/>
        <v>76062</v>
      </c>
    </row>
    <row r="12670">
      <c r="A12670" s="48" t="s">
        <v>1681</v>
      </c>
      <c r="B12670" s="38">
        <v>80386.0</v>
      </c>
      <c r="C12670" s="38" t="s">
        <v>16857</v>
      </c>
      <c r="D12670" s="38" t="str">
        <f>IFERROR(__xludf.DUMMYFUNCTION("REGEXREPLACE(C12670,""-\d+(.*)|--\d+(.*)"","""")"),"GRATIBUS")</f>
        <v>GRATIBUS</v>
      </c>
      <c r="E12670" s="38" t="s">
        <v>224</v>
      </c>
      <c r="F12670" s="38" t="s">
        <v>113</v>
      </c>
      <c r="G12670" s="49" t="str">
        <f t="shared" si="1"/>
        <v>80500</v>
      </c>
      <c r="H12670" s="49">
        <f t="shared" si="2"/>
        <v>80386</v>
      </c>
    </row>
    <row r="12671">
      <c r="A12671" s="48" t="s">
        <v>2384</v>
      </c>
      <c r="B12671" s="38">
        <v>21573.0</v>
      </c>
      <c r="C12671" s="38" t="s">
        <v>16858</v>
      </c>
      <c r="D12671" s="38" t="str">
        <f>IFERROR(__xludf.DUMMYFUNCTION("REGEXREPLACE(C12671,""-\d+(.*)|--\d+(.*)"","""")"),"SAINT-SEINE-L'ABBAYE")</f>
        <v>SAINT-SEINE-L'ABBAYE</v>
      </c>
      <c r="E12671" s="38" t="s">
        <v>105</v>
      </c>
      <c r="F12671" s="38" t="s">
        <v>106</v>
      </c>
      <c r="G12671" s="49" t="str">
        <f t="shared" si="1"/>
        <v>21440</v>
      </c>
      <c r="H12671" s="49">
        <f t="shared" si="2"/>
        <v>21573</v>
      </c>
    </row>
    <row r="12672">
      <c r="A12672" s="48" t="s">
        <v>5020</v>
      </c>
      <c r="B12672" s="38">
        <v>51607.0</v>
      </c>
      <c r="C12672" s="38" t="s">
        <v>7064</v>
      </c>
      <c r="D12672" s="38" t="str">
        <f>IFERROR(__xludf.DUMMYFUNCTION("REGEXREPLACE(C12672,""-\d+(.*)|--\d+(.*)"","""")"),"VERDON")</f>
        <v>VERDON</v>
      </c>
      <c r="E12672" s="38" t="s">
        <v>129</v>
      </c>
      <c r="F12672" s="38" t="s">
        <v>130</v>
      </c>
      <c r="G12672" s="49" t="str">
        <f t="shared" si="1"/>
        <v>51210</v>
      </c>
      <c r="H12672" s="49">
        <f t="shared" si="2"/>
        <v>51607</v>
      </c>
    </row>
    <row r="12673">
      <c r="A12673" s="48" t="s">
        <v>14137</v>
      </c>
      <c r="B12673" s="38">
        <v>69110.0</v>
      </c>
      <c r="C12673" s="38" t="s">
        <v>16859</v>
      </c>
      <c r="D12673" s="38" t="str">
        <f>IFERROR(__xludf.DUMMYFUNCTION("REGEXREPLACE(C12673,""-\d+(.*)|--\d+(.*)"","""")"),"LARAJASSE")</f>
        <v>LARAJASSE</v>
      </c>
      <c r="E12673" s="38" t="s">
        <v>350</v>
      </c>
      <c r="F12673" s="38" t="s">
        <v>102</v>
      </c>
      <c r="G12673" s="49" t="str">
        <f t="shared" si="1"/>
        <v>69590</v>
      </c>
      <c r="H12673" s="49">
        <f t="shared" si="2"/>
        <v>69110</v>
      </c>
    </row>
    <row r="12674">
      <c r="A12674" s="48" t="s">
        <v>15623</v>
      </c>
      <c r="B12674" s="38">
        <v>69189.0</v>
      </c>
      <c r="C12674" s="38" t="s">
        <v>10166</v>
      </c>
      <c r="D12674" s="38" t="str">
        <f>IFERROR(__xludf.DUMMYFUNCTION("REGEXREPLACE(C12674,""-\d+(.*)|--\d+(.*)"","""")"),"SAINTE-COLOMBE")</f>
        <v>SAINTE-COLOMBE</v>
      </c>
      <c r="E12674" s="38" t="s">
        <v>350</v>
      </c>
      <c r="F12674" s="38" t="s">
        <v>102</v>
      </c>
      <c r="G12674" s="49" t="str">
        <f t="shared" si="1"/>
        <v>69560</v>
      </c>
      <c r="H12674" s="49">
        <f t="shared" si="2"/>
        <v>69189</v>
      </c>
    </row>
    <row r="12675">
      <c r="A12675" s="48" t="s">
        <v>427</v>
      </c>
      <c r="B12675" s="38">
        <v>16151.0</v>
      </c>
      <c r="C12675" s="38" t="s">
        <v>16860</v>
      </c>
      <c r="D12675" s="38" t="str">
        <f>IFERROR(__xludf.DUMMYFUNCTION("REGEXREPLACE(C12675,""-\d+(.*)|--\d+(.*)"","""")"),"GENTE")</f>
        <v>GENTE</v>
      </c>
      <c r="E12675" s="38" t="s">
        <v>429</v>
      </c>
      <c r="F12675" s="38" t="s">
        <v>338</v>
      </c>
      <c r="G12675" s="49" t="str">
        <f t="shared" si="1"/>
        <v>16130</v>
      </c>
      <c r="H12675" s="49">
        <f t="shared" si="2"/>
        <v>16151</v>
      </c>
    </row>
    <row r="12676">
      <c r="A12676" s="48" t="s">
        <v>1690</v>
      </c>
      <c r="B12676" s="38">
        <v>53235.0</v>
      </c>
      <c r="C12676" s="38" t="s">
        <v>16861</v>
      </c>
      <c r="D12676" s="38" t="str">
        <f>IFERROR(__xludf.DUMMYFUNCTION("REGEXREPLACE(C12676,""-\d+(.*)|--\d+(.*)"","""")"),"SAINTE-MARIE-DU-BOIS")</f>
        <v>SAINTE-MARIE-DU-BOIS</v>
      </c>
      <c r="E12676" s="38" t="s">
        <v>518</v>
      </c>
      <c r="F12676" s="38" t="s">
        <v>180</v>
      </c>
      <c r="G12676" s="49" t="str">
        <f t="shared" si="1"/>
        <v>53110</v>
      </c>
      <c r="H12676" s="49">
        <f t="shared" si="2"/>
        <v>53235</v>
      </c>
    </row>
    <row r="12677">
      <c r="A12677" s="48" t="s">
        <v>127</v>
      </c>
      <c r="B12677" s="38">
        <v>51500.0</v>
      </c>
      <c r="C12677" s="38" t="s">
        <v>16862</v>
      </c>
      <c r="D12677" s="38" t="str">
        <f>IFERROR(__xludf.DUMMYFUNCTION("REGEXREPLACE(C12677,""-\d+(.*)|--\d+(.*)"","""")"),"SAINT-MARD-SUR-LE-MONT")</f>
        <v>SAINT-MARD-SUR-LE-MONT</v>
      </c>
      <c r="E12677" s="38" t="s">
        <v>129</v>
      </c>
      <c r="F12677" s="38" t="s">
        <v>130</v>
      </c>
      <c r="G12677" s="49" t="str">
        <f t="shared" si="1"/>
        <v>51330</v>
      </c>
      <c r="H12677" s="49">
        <f t="shared" si="2"/>
        <v>51500</v>
      </c>
    </row>
    <row r="12678">
      <c r="A12678" s="48" t="s">
        <v>16863</v>
      </c>
      <c r="B12678" s="38">
        <v>45308.0</v>
      </c>
      <c r="C12678" s="38" t="s">
        <v>16864</v>
      </c>
      <c r="D12678" s="38" t="str">
        <f>IFERROR(__xludf.DUMMYFUNCTION("REGEXREPLACE(C12678,""-\d+(.*)|--\d+(.*)"","""")"),"SEMOY")</f>
        <v>SEMOY</v>
      </c>
      <c r="E12678" s="38" t="s">
        <v>122</v>
      </c>
      <c r="F12678" s="38" t="s">
        <v>123</v>
      </c>
      <c r="G12678" s="49" t="str">
        <f t="shared" si="1"/>
        <v>45400</v>
      </c>
      <c r="H12678" s="49">
        <f t="shared" si="2"/>
        <v>45308</v>
      </c>
    </row>
    <row r="12679">
      <c r="A12679" s="48" t="s">
        <v>4614</v>
      </c>
      <c r="B12679" s="38">
        <v>78077.0</v>
      </c>
      <c r="C12679" s="38" t="s">
        <v>16865</v>
      </c>
      <c r="D12679" s="38" t="str">
        <f>IFERROR(__xludf.DUMMYFUNCTION("REGEXREPLACE(C12679,""-\d+(.*)|--\d+(.*)"","""")"),"LA BOISSIERE-ECOLE")</f>
        <v>LA BOISSIERE-ECOLE</v>
      </c>
      <c r="E12679" s="38" t="s">
        <v>362</v>
      </c>
      <c r="F12679" s="38" t="s">
        <v>245</v>
      </c>
      <c r="G12679" s="49" t="str">
        <f t="shared" si="1"/>
        <v>78125</v>
      </c>
      <c r="H12679" s="49">
        <f t="shared" si="2"/>
        <v>78077</v>
      </c>
    </row>
    <row r="12680">
      <c r="A12680" s="48" t="s">
        <v>4044</v>
      </c>
      <c r="B12680" s="38">
        <v>52391.0</v>
      </c>
      <c r="C12680" s="38" t="s">
        <v>16866</v>
      </c>
      <c r="D12680" s="38" t="str">
        <f>IFERROR(__xludf.DUMMYFUNCTION("REGEXREPLACE(C12680,""-\d+(.*)|--\d+(.*)"","""")"),"PLANRUPT")</f>
        <v>PLANRUPT</v>
      </c>
      <c r="E12680" s="38" t="s">
        <v>234</v>
      </c>
      <c r="F12680" s="38" t="s">
        <v>130</v>
      </c>
      <c r="G12680" s="49" t="str">
        <f t="shared" si="1"/>
        <v>52220</v>
      </c>
      <c r="H12680" s="49">
        <f t="shared" si="2"/>
        <v>52391</v>
      </c>
    </row>
    <row r="12681">
      <c r="A12681" s="48" t="s">
        <v>16867</v>
      </c>
      <c r="B12681" s="38">
        <v>15059.0</v>
      </c>
      <c r="C12681" s="38" t="s">
        <v>16868</v>
      </c>
      <c r="D12681" s="38" t="str">
        <f>IFERROR(__xludf.DUMMYFUNCTION("REGEXREPLACE(C12681,""-\d+(.*)|--\d+(.*)"","""")"),"CUSSAC")</f>
        <v>CUSSAC</v>
      </c>
      <c r="E12681" s="38" t="s">
        <v>632</v>
      </c>
      <c r="F12681" s="38" t="s">
        <v>161</v>
      </c>
      <c r="G12681" s="49" t="str">
        <f t="shared" si="1"/>
        <v>15430</v>
      </c>
      <c r="H12681" s="49">
        <f t="shared" si="2"/>
        <v>15059</v>
      </c>
    </row>
    <row r="12682">
      <c r="A12682" s="48" t="s">
        <v>10552</v>
      </c>
      <c r="B12682" s="38">
        <v>22181.0</v>
      </c>
      <c r="C12682" s="38" t="s">
        <v>16869</v>
      </c>
      <c r="D12682" s="38" t="str">
        <f>IFERROR(__xludf.DUMMYFUNCTION("REGEXREPLACE(C12682,""-\d+(.*)|--\d+(.*)"","""")"),"PLELAUFF")</f>
        <v>PLELAUFF</v>
      </c>
      <c r="E12682" s="38" t="s">
        <v>89</v>
      </c>
      <c r="F12682" s="38" t="s">
        <v>90</v>
      </c>
      <c r="G12682" s="49" t="str">
        <f t="shared" si="1"/>
        <v>22570</v>
      </c>
      <c r="H12682" s="49">
        <f t="shared" si="2"/>
        <v>22181</v>
      </c>
    </row>
    <row r="12683">
      <c r="A12683" s="48" t="s">
        <v>2217</v>
      </c>
      <c r="B12683" s="38">
        <v>24450.0</v>
      </c>
      <c r="C12683" s="38" t="s">
        <v>16870</v>
      </c>
      <c r="D12683" s="38" t="str">
        <f>IFERROR(__xludf.DUMMYFUNCTION("REGEXREPLACE(C12683,""-\d+(.*)|--\d+(.*)"","""")"),"SAINT-MARTIAL-DE-NABIRAT")</f>
        <v>SAINT-MARTIAL-DE-NABIRAT</v>
      </c>
      <c r="E12683" s="38" t="s">
        <v>261</v>
      </c>
      <c r="F12683" s="38" t="s">
        <v>252</v>
      </c>
      <c r="G12683" s="49" t="str">
        <f t="shared" si="1"/>
        <v>24250</v>
      </c>
      <c r="H12683" s="49">
        <f t="shared" si="2"/>
        <v>24450</v>
      </c>
    </row>
    <row r="12684">
      <c r="A12684" s="48" t="s">
        <v>916</v>
      </c>
      <c r="B12684" s="38">
        <v>76611.0</v>
      </c>
      <c r="C12684" s="38" t="s">
        <v>16871</v>
      </c>
      <c r="D12684" s="38" t="str">
        <f>IFERROR(__xludf.DUMMYFUNCTION("REGEXREPLACE(C12684,""-\d+(.*)|--\d+(.*)"","""")"),"SAINT-MARTIN-AUX-ARBRES")</f>
        <v>SAINT-MARTIN-AUX-ARBRES</v>
      </c>
      <c r="E12684" s="38" t="s">
        <v>133</v>
      </c>
      <c r="F12684" s="38" t="s">
        <v>134</v>
      </c>
      <c r="G12684" s="49" t="str">
        <f t="shared" si="1"/>
        <v>76760</v>
      </c>
      <c r="H12684" s="49">
        <f t="shared" si="2"/>
        <v>76611</v>
      </c>
    </row>
    <row r="12685">
      <c r="A12685" s="48" t="s">
        <v>376</v>
      </c>
      <c r="B12685" s="38">
        <v>73252.0</v>
      </c>
      <c r="C12685" s="38" t="s">
        <v>11669</v>
      </c>
      <c r="D12685" s="38" t="str">
        <f>IFERROR(__xludf.DUMMYFUNCTION("REGEXREPLACE(C12685,""-\d+(.*)|--\d+(.*)"","""")"),"SAINT-LEGER")</f>
        <v>SAINT-LEGER</v>
      </c>
      <c r="E12685" s="38" t="s">
        <v>306</v>
      </c>
      <c r="F12685" s="38" t="s">
        <v>102</v>
      </c>
      <c r="G12685" s="49" t="str">
        <f t="shared" si="1"/>
        <v>73220</v>
      </c>
      <c r="H12685" s="49">
        <f t="shared" si="2"/>
        <v>73252</v>
      </c>
    </row>
    <row r="12686">
      <c r="A12686" s="48" t="s">
        <v>8365</v>
      </c>
      <c r="B12686" s="38">
        <v>39387.0</v>
      </c>
      <c r="C12686" s="38" t="s">
        <v>16872</v>
      </c>
      <c r="D12686" s="38" t="str">
        <f>IFERROR(__xludf.DUMMYFUNCTION("REGEXREPLACE(C12686,""-\d+(.*)|--\d+(.*)"","""")"),"NEVY-LES-DOLE")</f>
        <v>NEVY-LES-DOLE</v>
      </c>
      <c r="E12686" s="38" t="s">
        <v>400</v>
      </c>
      <c r="F12686" s="38" t="s">
        <v>214</v>
      </c>
      <c r="G12686" s="49" t="str">
        <f t="shared" si="1"/>
        <v>39380</v>
      </c>
      <c r="H12686" s="49">
        <f t="shared" si="2"/>
        <v>39387</v>
      </c>
    </row>
    <row r="12687">
      <c r="A12687" s="48" t="s">
        <v>4499</v>
      </c>
      <c r="B12687" s="38">
        <v>25445.0</v>
      </c>
      <c r="C12687" s="38" t="s">
        <v>16873</v>
      </c>
      <c r="D12687" s="38" t="str">
        <f>IFERROR(__xludf.DUMMYFUNCTION("REGEXREPLACE(C12687,""-\d+(.*)|--\d+(.*)"","""")"),"PAROY")</f>
        <v>PAROY</v>
      </c>
      <c r="E12687" s="38" t="s">
        <v>213</v>
      </c>
      <c r="F12687" s="38" t="s">
        <v>214</v>
      </c>
      <c r="G12687" s="49" t="str">
        <f t="shared" si="1"/>
        <v>25440</v>
      </c>
      <c r="H12687" s="49">
        <f t="shared" si="2"/>
        <v>25445</v>
      </c>
    </row>
    <row r="12688">
      <c r="A12688" s="48" t="s">
        <v>8137</v>
      </c>
      <c r="B12688" s="38">
        <v>62832.0</v>
      </c>
      <c r="C12688" s="38" t="s">
        <v>16874</v>
      </c>
      <c r="D12688" s="38" t="str">
        <f>IFERROR(__xludf.DUMMYFUNCTION("REGEXREPLACE(C12688,""-\d+(.*)|--\d+(.*)"","""")"),"TUBERSENT")</f>
        <v>TUBERSENT</v>
      </c>
      <c r="E12688" s="38" t="s">
        <v>109</v>
      </c>
      <c r="F12688" s="38" t="s">
        <v>86</v>
      </c>
      <c r="G12688" s="49" t="str">
        <f t="shared" si="1"/>
        <v>62630</v>
      </c>
      <c r="H12688" s="49">
        <f t="shared" si="2"/>
        <v>62832</v>
      </c>
    </row>
    <row r="12689">
      <c r="A12689" s="48" t="s">
        <v>16875</v>
      </c>
      <c r="B12689" s="38">
        <v>59153.0</v>
      </c>
      <c r="C12689" s="38" t="s">
        <v>16876</v>
      </c>
      <c r="D12689" s="38" t="str">
        <f>IFERROR(__xludf.DUMMYFUNCTION("REGEXREPLACE(C12689,""-\d+(.*)|--\d+(.*)"","""")"),"CONDE-SUR-L'ESCAUT")</f>
        <v>CONDE-SUR-L'ESCAUT</v>
      </c>
      <c r="E12689" s="38" t="s">
        <v>85</v>
      </c>
      <c r="F12689" s="38" t="s">
        <v>86</v>
      </c>
      <c r="G12689" s="49" t="str">
        <f t="shared" si="1"/>
        <v>59163</v>
      </c>
      <c r="H12689" s="49">
        <f t="shared" si="2"/>
        <v>59153</v>
      </c>
    </row>
    <row r="12690">
      <c r="A12690" s="48" t="s">
        <v>1000</v>
      </c>
      <c r="B12690" s="38">
        <v>70314.0</v>
      </c>
      <c r="C12690" s="38" t="s">
        <v>16877</v>
      </c>
      <c r="D12690" s="38" t="str">
        <f>IFERROR(__xludf.DUMMYFUNCTION("REGEXREPLACE(C12690,""-\d+(.*)|--\d+(.*)"","""")"),"MAGNIVRAY")</f>
        <v>MAGNIVRAY</v>
      </c>
      <c r="E12690" s="38" t="s">
        <v>956</v>
      </c>
      <c r="F12690" s="38" t="s">
        <v>214</v>
      </c>
      <c r="G12690" s="49" t="str">
        <f t="shared" si="1"/>
        <v>70300</v>
      </c>
      <c r="H12690" s="49">
        <f t="shared" si="2"/>
        <v>70314</v>
      </c>
    </row>
    <row r="12691">
      <c r="A12691" s="48" t="s">
        <v>13997</v>
      </c>
      <c r="B12691" s="38">
        <v>32211.0</v>
      </c>
      <c r="C12691" s="38" t="s">
        <v>16878</v>
      </c>
      <c r="D12691" s="38" t="str">
        <f>IFERROR(__xludf.DUMMYFUNCTION("REGEXREPLACE(C12691,""-\d+(.*)|--\d+(.*)"","""")"),"LIAS-D'ARMAGNAC")</f>
        <v>LIAS-D'ARMAGNAC</v>
      </c>
      <c r="E12691" s="38" t="s">
        <v>440</v>
      </c>
      <c r="F12691" s="38" t="s">
        <v>94</v>
      </c>
      <c r="G12691" s="49" t="str">
        <f t="shared" si="1"/>
        <v>32240</v>
      </c>
      <c r="H12691" s="49">
        <f t="shared" si="2"/>
        <v>32211</v>
      </c>
    </row>
    <row r="12692">
      <c r="A12692" s="48" t="s">
        <v>16879</v>
      </c>
      <c r="B12692" s="38">
        <v>77140.0</v>
      </c>
      <c r="C12692" s="38" t="s">
        <v>16880</v>
      </c>
      <c r="D12692" s="38" t="str">
        <f>IFERROR(__xludf.DUMMYFUNCTION("REGEXREPLACE(C12692,""-\d+(.*)|--\d+(.*)"","""")"),"COUTENCON")</f>
        <v>COUTENCON</v>
      </c>
      <c r="E12692" s="38" t="s">
        <v>244</v>
      </c>
      <c r="F12692" s="38" t="s">
        <v>245</v>
      </c>
      <c r="G12692" s="49" t="str">
        <f t="shared" si="1"/>
        <v>77154</v>
      </c>
      <c r="H12692" s="49">
        <f t="shared" si="2"/>
        <v>77140</v>
      </c>
    </row>
    <row r="12693">
      <c r="A12693" s="48" t="s">
        <v>16881</v>
      </c>
      <c r="B12693" s="38" t="s">
        <v>16882</v>
      </c>
      <c r="C12693" s="38" t="s">
        <v>16883</v>
      </c>
      <c r="D12693" s="38" t="str">
        <f>IFERROR(__xludf.DUMMYFUNCTION("REGEXREPLACE(C12693,""-\d+(.*)|--\d+(.*)"","""")"),"GUITERA-LES-BAINS")</f>
        <v>GUITERA-LES-BAINS</v>
      </c>
      <c r="E12693" s="38" t="s">
        <v>606</v>
      </c>
      <c r="F12693" s="38" t="s">
        <v>607</v>
      </c>
      <c r="G12693" s="49" t="str">
        <f t="shared" si="1"/>
        <v>20153</v>
      </c>
      <c r="H12693" s="49" t="str">
        <f t="shared" si="2"/>
        <v>2A133</v>
      </c>
    </row>
    <row r="12694">
      <c r="A12694" s="48" t="s">
        <v>7399</v>
      </c>
      <c r="B12694" s="38">
        <v>28119.0</v>
      </c>
      <c r="C12694" s="38" t="s">
        <v>16884</v>
      </c>
      <c r="D12694" s="38" t="str">
        <f>IFERROR(__xludf.DUMMYFUNCTION("REGEXREPLACE(C12694,""-\d+(.*)|--\d+(.*)"","""")"),"LA CROIX-DU-PERCHE")</f>
        <v>LA CROIX-DU-PERCHE</v>
      </c>
      <c r="E12694" s="38" t="s">
        <v>300</v>
      </c>
      <c r="F12694" s="38" t="s">
        <v>123</v>
      </c>
      <c r="G12694" s="49" t="str">
        <f t="shared" si="1"/>
        <v>28480</v>
      </c>
      <c r="H12694" s="49">
        <f t="shared" si="2"/>
        <v>28119</v>
      </c>
    </row>
    <row r="12695">
      <c r="A12695" s="48" t="s">
        <v>6818</v>
      </c>
      <c r="B12695" s="38">
        <v>40173.0</v>
      </c>
      <c r="C12695" s="38" t="s">
        <v>16885</v>
      </c>
      <c r="D12695" s="38" t="str">
        <f>IFERROR(__xludf.DUMMYFUNCTION("REGEXREPLACE(C12695,""-\d+(.*)|--\d+(.*)"","""")"),"MARPAPS")</f>
        <v>MARPAPS</v>
      </c>
      <c r="E12695" s="38" t="s">
        <v>281</v>
      </c>
      <c r="F12695" s="38" t="s">
        <v>252</v>
      </c>
      <c r="G12695" s="49" t="str">
        <f t="shared" si="1"/>
        <v>40330</v>
      </c>
      <c r="H12695" s="49">
        <f t="shared" si="2"/>
        <v>40173</v>
      </c>
    </row>
    <row r="12696">
      <c r="A12696" s="48" t="s">
        <v>158</v>
      </c>
      <c r="B12696" s="38">
        <v>3257.0</v>
      </c>
      <c r="C12696" s="38" t="s">
        <v>16886</v>
      </c>
      <c r="D12696" s="38" t="str">
        <f>IFERROR(__xludf.DUMMYFUNCTION("REGEXREPLACE(C12696,""-\d+(.*)|--\d+(.*)"","""")"),"SAINT-PRIX")</f>
        <v>SAINT-PRIX</v>
      </c>
      <c r="E12696" s="38" t="s">
        <v>160</v>
      </c>
      <c r="F12696" s="38" t="s">
        <v>161</v>
      </c>
      <c r="G12696" s="49" t="str">
        <f t="shared" si="1"/>
        <v>03120</v>
      </c>
      <c r="H12696" s="49" t="str">
        <f t="shared" si="2"/>
        <v>03257</v>
      </c>
    </row>
    <row r="12697">
      <c r="A12697" s="48" t="s">
        <v>12362</v>
      </c>
      <c r="B12697" s="38">
        <v>39371.0</v>
      </c>
      <c r="C12697" s="38" t="s">
        <v>16887</v>
      </c>
      <c r="D12697" s="38" t="str">
        <f>IFERROR(__xludf.DUMMYFUNCTION("REGEXREPLACE(C12697,""-\d+(.*)|--\d+(.*)"","""")"),"LA MOUILLE")</f>
        <v>LA MOUILLE</v>
      </c>
      <c r="E12697" s="38" t="s">
        <v>400</v>
      </c>
      <c r="F12697" s="38" t="s">
        <v>214</v>
      </c>
      <c r="G12697" s="49" t="str">
        <f t="shared" si="1"/>
        <v>39400</v>
      </c>
      <c r="H12697" s="49">
        <f t="shared" si="2"/>
        <v>39371</v>
      </c>
    </row>
    <row r="12698">
      <c r="A12698" s="48" t="s">
        <v>1426</v>
      </c>
      <c r="B12698" s="38">
        <v>61087.0</v>
      </c>
      <c r="C12698" s="38" t="s">
        <v>16888</v>
      </c>
      <c r="D12698" s="38" t="str">
        <f>IFERROR(__xludf.DUMMYFUNCTION("REGEXREPLACE(C12698,""-\d+(.*)|--\d+(.*)"","""")"),"CHAMPEAUX-SUR-SARTHE")</f>
        <v>CHAMPEAUX-SUR-SARTHE</v>
      </c>
      <c r="E12698" s="38" t="s">
        <v>141</v>
      </c>
      <c r="F12698" s="38" t="s">
        <v>138</v>
      </c>
      <c r="G12698" s="49" t="str">
        <f t="shared" si="1"/>
        <v>61560</v>
      </c>
      <c r="H12698" s="49">
        <f t="shared" si="2"/>
        <v>61087</v>
      </c>
    </row>
    <row r="12699">
      <c r="A12699" s="48" t="s">
        <v>16889</v>
      </c>
      <c r="B12699" s="38">
        <v>66206.0</v>
      </c>
      <c r="C12699" s="38" t="s">
        <v>16890</v>
      </c>
      <c r="D12699" s="38" t="str">
        <f>IFERROR(__xludf.DUMMYFUNCTION("REGEXREPLACE(C12699,""-\d+(.*)|--\d+(.*)"","""")"),"LE TECH")</f>
        <v>LE TECH</v>
      </c>
      <c r="E12699" s="38" t="s">
        <v>248</v>
      </c>
      <c r="F12699" s="38" t="s">
        <v>119</v>
      </c>
      <c r="G12699" s="49" t="str">
        <f t="shared" si="1"/>
        <v>66230</v>
      </c>
      <c r="H12699" s="49">
        <f t="shared" si="2"/>
        <v>66206</v>
      </c>
    </row>
    <row r="12700">
      <c r="A12700" s="48" t="s">
        <v>14124</v>
      </c>
      <c r="B12700" s="38">
        <v>91103.0</v>
      </c>
      <c r="C12700" s="38" t="s">
        <v>16891</v>
      </c>
      <c r="D12700" s="38" t="str">
        <f>IFERROR(__xludf.DUMMYFUNCTION("REGEXREPLACE(C12700,""-\d+(.*)|--\d+(.*)"","""")"),"BRETIGNY-SUR-ORGE")</f>
        <v>BRETIGNY-SUR-ORGE</v>
      </c>
      <c r="E12700" s="38" t="s">
        <v>756</v>
      </c>
      <c r="F12700" s="38" t="s">
        <v>245</v>
      </c>
      <c r="G12700" s="49" t="str">
        <f t="shared" si="1"/>
        <v>91220</v>
      </c>
      <c r="H12700" s="49">
        <f t="shared" si="2"/>
        <v>91103</v>
      </c>
    </row>
    <row r="12701">
      <c r="A12701" s="48" t="s">
        <v>3422</v>
      </c>
      <c r="B12701" s="38">
        <v>32386.0</v>
      </c>
      <c r="C12701" s="38" t="s">
        <v>16892</v>
      </c>
      <c r="D12701" s="38" t="str">
        <f>IFERROR(__xludf.DUMMYFUNCTION("REGEXREPLACE(C12701,""-\d+(.*)|--\d+(.*)"","""")"),"SAINT-LIZIER-DU-PLANTE")</f>
        <v>SAINT-LIZIER-DU-PLANTE</v>
      </c>
      <c r="E12701" s="38" t="s">
        <v>440</v>
      </c>
      <c r="F12701" s="38" t="s">
        <v>94</v>
      </c>
      <c r="G12701" s="49" t="str">
        <f t="shared" si="1"/>
        <v>32220</v>
      </c>
      <c r="H12701" s="49">
        <f t="shared" si="2"/>
        <v>32386</v>
      </c>
    </row>
    <row r="12702">
      <c r="A12702" s="48" t="s">
        <v>12660</v>
      </c>
      <c r="B12702" s="38">
        <v>29107.0</v>
      </c>
      <c r="C12702" s="38" t="s">
        <v>16893</v>
      </c>
      <c r="D12702" s="38" t="str">
        <f>IFERROR(__xludf.DUMMYFUNCTION("REGEXREPLACE(C12702,""-\d+(.*)|--\d+(.*)"","""")"),"LANDUDAL")</f>
        <v>LANDUDAL</v>
      </c>
      <c r="E12702" s="38" t="s">
        <v>176</v>
      </c>
      <c r="F12702" s="38" t="s">
        <v>90</v>
      </c>
      <c r="G12702" s="49" t="str">
        <f t="shared" si="1"/>
        <v>29510</v>
      </c>
      <c r="H12702" s="49">
        <f t="shared" si="2"/>
        <v>29107</v>
      </c>
    </row>
    <row r="12703">
      <c r="A12703" s="48" t="s">
        <v>1334</v>
      </c>
      <c r="B12703" s="38">
        <v>7157.0</v>
      </c>
      <c r="C12703" s="38" t="s">
        <v>16894</v>
      </c>
      <c r="D12703" s="38" t="str">
        <f>IFERROR(__xludf.DUMMYFUNCTION("REGEXREPLACE(C12703,""-\d+(.*)|--\d+(.*)"","""")"),"MEYSSE")</f>
        <v>MEYSSE</v>
      </c>
      <c r="E12703" s="38" t="s">
        <v>144</v>
      </c>
      <c r="F12703" s="38" t="s">
        <v>102</v>
      </c>
      <c r="G12703" s="49" t="str">
        <f t="shared" si="1"/>
        <v>07400</v>
      </c>
      <c r="H12703" s="49" t="str">
        <f t="shared" si="2"/>
        <v>07157</v>
      </c>
    </row>
    <row r="12704">
      <c r="A12704" s="48" t="s">
        <v>16895</v>
      </c>
      <c r="B12704" s="38">
        <v>35239.0</v>
      </c>
      <c r="C12704" s="38" t="s">
        <v>16896</v>
      </c>
      <c r="D12704" s="38" t="str">
        <f>IFERROR(__xludf.DUMMYFUNCTION("REGEXREPLACE(C12704,""-\d+(.*)|--\d+(.*)"","""")"),"RETIERS")</f>
        <v>RETIERS</v>
      </c>
      <c r="E12704" s="38" t="s">
        <v>347</v>
      </c>
      <c r="F12704" s="38" t="s">
        <v>90</v>
      </c>
      <c r="G12704" s="49" t="str">
        <f t="shared" si="1"/>
        <v>35240</v>
      </c>
      <c r="H12704" s="49">
        <f t="shared" si="2"/>
        <v>35239</v>
      </c>
    </row>
    <row r="12705">
      <c r="A12705" s="48" t="s">
        <v>16897</v>
      </c>
      <c r="B12705" s="38" t="s">
        <v>16898</v>
      </c>
      <c r="C12705" s="38" t="s">
        <v>16899</v>
      </c>
      <c r="D12705" s="38" t="str">
        <f>IFERROR(__xludf.DUMMYFUNCTION("REGEXREPLACE(C12705,""-\d+(.*)|--\d+(.*)"","""")"),"MARIGNANA")</f>
        <v>MARIGNANA</v>
      </c>
      <c r="E12705" s="38" t="s">
        <v>606</v>
      </c>
      <c r="F12705" s="38" t="s">
        <v>607</v>
      </c>
      <c r="G12705" s="49" t="str">
        <f t="shared" si="1"/>
        <v>20141</v>
      </c>
      <c r="H12705" s="49" t="str">
        <f t="shared" si="2"/>
        <v>2A154</v>
      </c>
    </row>
    <row r="12706">
      <c r="A12706" s="48" t="s">
        <v>1385</v>
      </c>
      <c r="B12706" s="38">
        <v>17018.0</v>
      </c>
      <c r="C12706" s="38" t="s">
        <v>16900</v>
      </c>
      <c r="D12706" s="38" t="str">
        <f>IFERROR(__xludf.DUMMYFUNCTION("REGEXREPLACE(C12706,""-\d+(.*)|--\d+(.*)"","""")"),"ARDILLIERES")</f>
        <v>ARDILLIERES</v>
      </c>
      <c r="E12706" s="38" t="s">
        <v>488</v>
      </c>
      <c r="F12706" s="38" t="s">
        <v>338</v>
      </c>
      <c r="G12706" s="49" t="str">
        <f t="shared" si="1"/>
        <v>17290</v>
      </c>
      <c r="H12706" s="49">
        <f t="shared" si="2"/>
        <v>17018</v>
      </c>
    </row>
    <row r="12707">
      <c r="A12707" s="48" t="s">
        <v>3291</v>
      </c>
      <c r="B12707" s="38">
        <v>3193.0</v>
      </c>
      <c r="C12707" s="38" t="s">
        <v>16901</v>
      </c>
      <c r="D12707" s="38" t="str">
        <f>IFERROR(__xludf.DUMMYFUNCTION("REGEXREPLACE(C12707,""-\d+(.*)|--\d+(.*)"","""")"),"NASSIGNY")</f>
        <v>NASSIGNY</v>
      </c>
      <c r="E12707" s="38" t="s">
        <v>160</v>
      </c>
      <c r="F12707" s="38" t="s">
        <v>161</v>
      </c>
      <c r="G12707" s="49" t="str">
        <f t="shared" si="1"/>
        <v>03190</v>
      </c>
      <c r="H12707" s="49" t="str">
        <f t="shared" si="2"/>
        <v>03193</v>
      </c>
    </row>
    <row r="12708">
      <c r="A12708" s="48" t="s">
        <v>2008</v>
      </c>
      <c r="B12708" s="38">
        <v>46035.0</v>
      </c>
      <c r="C12708" s="38" t="s">
        <v>4755</v>
      </c>
      <c r="D12708" s="38" t="str">
        <f>IFERROR(__xludf.DUMMYFUNCTION("REGEXREPLACE(C12708,""-\d+(.*)|--\d+(.*)"","""")"),"BOUSSAC")</f>
        <v>BOUSSAC</v>
      </c>
      <c r="E12708" s="38" t="s">
        <v>185</v>
      </c>
      <c r="F12708" s="38" t="s">
        <v>94</v>
      </c>
      <c r="G12708" s="49" t="str">
        <f t="shared" si="1"/>
        <v>46100</v>
      </c>
      <c r="H12708" s="49">
        <f t="shared" si="2"/>
        <v>46035</v>
      </c>
    </row>
    <row r="12709">
      <c r="A12709" s="48" t="s">
        <v>3349</v>
      </c>
      <c r="B12709" s="38">
        <v>34216.0</v>
      </c>
      <c r="C12709" s="38" t="s">
        <v>16902</v>
      </c>
      <c r="D12709" s="38" t="str">
        <f>IFERROR(__xludf.DUMMYFUNCTION("REGEXREPLACE(C12709,""-\d+(.*)|--\d+(.*)"","""")"),"LE PRADAL")</f>
        <v>LE PRADAL</v>
      </c>
      <c r="E12709" s="38" t="s">
        <v>118</v>
      </c>
      <c r="F12709" s="38" t="s">
        <v>119</v>
      </c>
      <c r="G12709" s="49" t="str">
        <f t="shared" si="1"/>
        <v>34600</v>
      </c>
      <c r="H12709" s="49">
        <f t="shared" si="2"/>
        <v>34216</v>
      </c>
    </row>
    <row r="12710">
      <c r="A12710" s="48" t="s">
        <v>839</v>
      </c>
      <c r="B12710" s="38">
        <v>62581.0</v>
      </c>
      <c r="C12710" s="38" t="s">
        <v>16903</v>
      </c>
      <c r="D12710" s="38" t="str">
        <f>IFERROR(__xludf.DUMMYFUNCTION("REGEXREPLACE(C12710,""-\d+(.*)|--\d+(.*)"","""")"),"MONCHY-CAYEUX")</f>
        <v>MONCHY-CAYEUX</v>
      </c>
      <c r="E12710" s="38" t="s">
        <v>109</v>
      </c>
      <c r="F12710" s="38" t="s">
        <v>86</v>
      </c>
      <c r="G12710" s="49" t="str">
        <f t="shared" si="1"/>
        <v>62134</v>
      </c>
      <c r="H12710" s="49">
        <f t="shared" si="2"/>
        <v>62581</v>
      </c>
    </row>
    <row r="12711">
      <c r="A12711" s="48" t="s">
        <v>14840</v>
      </c>
      <c r="B12711" s="38">
        <v>73079.0</v>
      </c>
      <c r="C12711" s="38" t="s">
        <v>12622</v>
      </c>
      <c r="D12711" s="38" t="str">
        <f>IFERROR(__xludf.DUMMYFUNCTION("REGEXREPLACE(C12711,""-\d+(.*)|--\d+(.*)"","""")"),"CHATEAUNEUF")</f>
        <v>CHATEAUNEUF</v>
      </c>
      <c r="E12711" s="38" t="s">
        <v>306</v>
      </c>
      <c r="F12711" s="38" t="s">
        <v>102</v>
      </c>
      <c r="G12711" s="49" t="str">
        <f t="shared" si="1"/>
        <v>73390</v>
      </c>
      <c r="H12711" s="49">
        <f t="shared" si="2"/>
        <v>73079</v>
      </c>
    </row>
    <row r="12712">
      <c r="A12712" s="48" t="s">
        <v>4108</v>
      </c>
      <c r="B12712" s="38" t="s">
        <v>16904</v>
      </c>
      <c r="C12712" s="38" t="s">
        <v>16905</v>
      </c>
      <c r="D12712" s="38" t="str">
        <f>IFERROR(__xludf.DUMMYFUNCTION("REGEXREPLACE(C12712,""-\d+(.*)|--\d+(.*)"","""")"),"SANT'ANTONINO")</f>
        <v>SANT'ANTONINO</v>
      </c>
      <c r="E12712" s="38" t="s">
        <v>743</v>
      </c>
      <c r="F12712" s="38" t="s">
        <v>607</v>
      </c>
      <c r="G12712" s="49" t="str">
        <f t="shared" si="1"/>
        <v>20220</v>
      </c>
      <c r="H12712" s="49" t="str">
        <f t="shared" si="2"/>
        <v>2B296</v>
      </c>
    </row>
    <row r="12713">
      <c r="A12713" s="48" t="s">
        <v>6296</v>
      </c>
      <c r="B12713" s="38">
        <v>50124.0</v>
      </c>
      <c r="C12713" s="38" t="s">
        <v>16906</v>
      </c>
      <c r="D12713" s="38" t="str">
        <f>IFERROR(__xludf.DUMMYFUNCTION("REGEXREPLACE(C12713,""-\d+(.*)|--\d+(.*)"","""")"),"LA CHAPELLE-UREE")</f>
        <v>LA CHAPELLE-UREE</v>
      </c>
      <c r="E12713" s="38" t="s">
        <v>157</v>
      </c>
      <c r="F12713" s="38" t="s">
        <v>138</v>
      </c>
      <c r="G12713" s="49" t="str">
        <f t="shared" si="1"/>
        <v>50370</v>
      </c>
      <c r="H12713" s="49">
        <f t="shared" si="2"/>
        <v>50124</v>
      </c>
    </row>
    <row r="12714">
      <c r="A12714" s="48" t="s">
        <v>5453</v>
      </c>
      <c r="B12714" s="38">
        <v>52352.0</v>
      </c>
      <c r="C12714" s="38" t="s">
        <v>16907</v>
      </c>
      <c r="D12714" s="38" t="str">
        <f>IFERROR(__xludf.DUMMYFUNCTION("REGEXREPLACE(C12714,""-\d+(.*)|--\d+(.*)"","""")"),"NINVILLE")</f>
        <v>NINVILLE</v>
      </c>
      <c r="E12714" s="38" t="s">
        <v>234</v>
      </c>
      <c r="F12714" s="38" t="s">
        <v>130</v>
      </c>
      <c r="G12714" s="49" t="str">
        <f t="shared" si="1"/>
        <v>52800</v>
      </c>
      <c r="H12714" s="49">
        <f t="shared" si="2"/>
        <v>52352</v>
      </c>
    </row>
    <row r="12715">
      <c r="A12715" s="48" t="s">
        <v>6446</v>
      </c>
      <c r="B12715" s="38">
        <v>77143.0</v>
      </c>
      <c r="C12715" s="38" t="s">
        <v>16908</v>
      </c>
      <c r="D12715" s="38" t="str">
        <f>IFERROR(__xludf.DUMMYFUNCTION("REGEXREPLACE(C12715,""-\d+(.*)|--\d+(.*)"","""")"),"CREGY-LES-MEAUX")</f>
        <v>CREGY-LES-MEAUX</v>
      </c>
      <c r="E12715" s="38" t="s">
        <v>244</v>
      </c>
      <c r="F12715" s="38" t="s">
        <v>245</v>
      </c>
      <c r="G12715" s="49" t="str">
        <f t="shared" si="1"/>
        <v>77124</v>
      </c>
      <c r="H12715" s="49">
        <f t="shared" si="2"/>
        <v>77143</v>
      </c>
    </row>
    <row r="12716">
      <c r="A12716" s="48" t="s">
        <v>1145</v>
      </c>
      <c r="B12716" s="38">
        <v>77176.0</v>
      </c>
      <c r="C12716" s="38" t="s">
        <v>16909</v>
      </c>
      <c r="D12716" s="38" t="str">
        <f>IFERROR(__xludf.DUMMYFUNCTION("REGEXREPLACE(C12716,""-\d+(.*)|--\d+(.*)"","""")"),"FAREMOUTIERS")</f>
        <v>FAREMOUTIERS</v>
      </c>
      <c r="E12716" s="38" t="s">
        <v>244</v>
      </c>
      <c r="F12716" s="38" t="s">
        <v>245</v>
      </c>
      <c r="G12716" s="49" t="str">
        <f t="shared" si="1"/>
        <v>77515</v>
      </c>
      <c r="H12716" s="49">
        <f t="shared" si="2"/>
        <v>77176</v>
      </c>
    </row>
    <row r="12717">
      <c r="A12717" s="48" t="s">
        <v>4283</v>
      </c>
      <c r="B12717" s="38">
        <v>7317.0</v>
      </c>
      <c r="C12717" s="38" t="s">
        <v>16910</v>
      </c>
      <c r="D12717" s="38" t="str">
        <f>IFERROR(__xludf.DUMMYFUNCTION("REGEXREPLACE(C12717,""-\d+(.*)|--\d+(.*)"","""")"),"TALENCIEUX")</f>
        <v>TALENCIEUX</v>
      </c>
      <c r="E12717" s="38" t="s">
        <v>144</v>
      </c>
      <c r="F12717" s="38" t="s">
        <v>102</v>
      </c>
      <c r="G12717" s="49" t="str">
        <f t="shared" si="1"/>
        <v>07340</v>
      </c>
      <c r="H12717" s="49" t="str">
        <f t="shared" si="2"/>
        <v>07317</v>
      </c>
    </row>
    <row r="12718">
      <c r="A12718" s="48" t="s">
        <v>4044</v>
      </c>
      <c r="B12718" s="38">
        <v>52088.0</v>
      </c>
      <c r="C12718" s="38" t="s">
        <v>16911</v>
      </c>
      <c r="D12718" s="38" t="str">
        <f>IFERROR(__xludf.DUMMYFUNCTION("REGEXREPLACE(C12718,""-\d+(.*)|--\d+(.*)"","""")"),"CEFFONDS")</f>
        <v>CEFFONDS</v>
      </c>
      <c r="E12718" s="38" t="s">
        <v>234</v>
      </c>
      <c r="F12718" s="38" t="s">
        <v>130</v>
      </c>
      <c r="G12718" s="49" t="str">
        <f t="shared" si="1"/>
        <v>52220</v>
      </c>
      <c r="H12718" s="49">
        <f t="shared" si="2"/>
        <v>52088</v>
      </c>
    </row>
    <row r="12719">
      <c r="A12719" s="48" t="s">
        <v>3653</v>
      </c>
      <c r="B12719" s="38">
        <v>61018.0</v>
      </c>
      <c r="C12719" s="38" t="s">
        <v>16912</v>
      </c>
      <c r="D12719" s="38" t="str">
        <f>IFERROR(__xludf.DUMMYFUNCTION("REGEXREPLACE(C12719,""-\d+(.*)|--\d+(.*)"","""")"),"AVERNES-SAINT-GOURGON")</f>
        <v>AVERNES-SAINT-GOURGON</v>
      </c>
      <c r="E12719" s="38" t="s">
        <v>141</v>
      </c>
      <c r="F12719" s="38" t="s">
        <v>138</v>
      </c>
      <c r="G12719" s="49" t="str">
        <f t="shared" si="1"/>
        <v>61470</v>
      </c>
      <c r="H12719" s="49">
        <f t="shared" si="2"/>
        <v>61018</v>
      </c>
    </row>
    <row r="12720">
      <c r="A12720" s="48" t="s">
        <v>16913</v>
      </c>
      <c r="B12720" s="38">
        <v>24256.0</v>
      </c>
      <c r="C12720" s="38" t="s">
        <v>16914</v>
      </c>
      <c r="D12720" s="38" t="str">
        <f>IFERROR(__xludf.DUMMYFUNCTION("REGEXREPLACE(C12720,""-\d+(.*)|--\d+(.*)"","""")"),"MARSAC-SUR-L'ISLE")</f>
        <v>MARSAC-SUR-L'ISLE</v>
      </c>
      <c r="E12720" s="38" t="s">
        <v>261</v>
      </c>
      <c r="F12720" s="38" t="s">
        <v>252</v>
      </c>
      <c r="G12720" s="49" t="str">
        <f t="shared" si="1"/>
        <v>24430</v>
      </c>
      <c r="H12720" s="49">
        <f t="shared" si="2"/>
        <v>24256</v>
      </c>
    </row>
    <row r="12721">
      <c r="A12721" s="48" t="s">
        <v>1656</v>
      </c>
      <c r="B12721" s="38">
        <v>80146.0</v>
      </c>
      <c r="C12721" s="38" t="s">
        <v>16915</v>
      </c>
      <c r="D12721" s="38" t="str">
        <f>IFERROR(__xludf.DUMMYFUNCTION("REGEXREPLACE(C12721,""-\d+(.*)|--\d+(.*)"","""")"),"BRUTELLES")</f>
        <v>BRUTELLES</v>
      </c>
      <c r="E12721" s="38" t="s">
        <v>224</v>
      </c>
      <c r="F12721" s="38" t="s">
        <v>113</v>
      </c>
      <c r="G12721" s="49" t="str">
        <f t="shared" si="1"/>
        <v>80230</v>
      </c>
      <c r="H12721" s="49">
        <f t="shared" si="2"/>
        <v>80146</v>
      </c>
    </row>
    <row r="12722">
      <c r="A12722" s="48" t="s">
        <v>273</v>
      </c>
      <c r="B12722" s="38">
        <v>89213.0</v>
      </c>
      <c r="C12722" s="38" t="s">
        <v>16916</v>
      </c>
      <c r="D12722" s="38" t="str">
        <f>IFERROR(__xludf.DUMMYFUNCTION("REGEXREPLACE(C12722,""-\d+(.*)|--\d+(.*)"","""")"),"LADUZ")</f>
        <v>LADUZ</v>
      </c>
      <c r="E12722" s="38" t="s">
        <v>275</v>
      </c>
      <c r="F12722" s="38" t="s">
        <v>106</v>
      </c>
      <c r="G12722" s="49" t="str">
        <f t="shared" si="1"/>
        <v>89110</v>
      </c>
      <c r="H12722" s="49">
        <f t="shared" si="2"/>
        <v>89213</v>
      </c>
    </row>
    <row r="12723">
      <c r="A12723" s="48" t="s">
        <v>2563</v>
      </c>
      <c r="B12723" s="38">
        <v>76146.0</v>
      </c>
      <c r="C12723" s="38" t="s">
        <v>16917</v>
      </c>
      <c r="D12723" s="38" t="str">
        <f>IFERROR(__xludf.DUMMYFUNCTION("REGEXREPLACE(C12723,""-\d+(.*)|--\d+(.*)"","""")"),"BUCHY")</f>
        <v>BUCHY</v>
      </c>
      <c r="E12723" s="38" t="s">
        <v>133</v>
      </c>
      <c r="F12723" s="38" t="s">
        <v>134</v>
      </c>
      <c r="G12723" s="49" t="str">
        <f t="shared" si="1"/>
        <v>76750</v>
      </c>
      <c r="H12723" s="49">
        <f t="shared" si="2"/>
        <v>76146</v>
      </c>
    </row>
    <row r="12724">
      <c r="A12724" s="48" t="s">
        <v>5425</v>
      </c>
      <c r="B12724" s="38">
        <v>82049.0</v>
      </c>
      <c r="C12724" s="38" t="s">
        <v>16918</v>
      </c>
      <c r="D12724" s="38" t="str">
        <f>IFERROR(__xludf.DUMMYFUNCTION("REGEXREPLACE(C12724,""-\d+(.*)|--\d+(.*)"","""")"),"DONZAC")</f>
        <v>DONZAC</v>
      </c>
      <c r="E12724" s="38" t="s">
        <v>570</v>
      </c>
      <c r="F12724" s="38" t="s">
        <v>94</v>
      </c>
      <c r="G12724" s="49" t="str">
        <f t="shared" si="1"/>
        <v>82340</v>
      </c>
      <c r="H12724" s="49">
        <f t="shared" si="2"/>
        <v>82049</v>
      </c>
    </row>
    <row r="12725">
      <c r="A12725" s="48" t="s">
        <v>328</v>
      </c>
      <c r="B12725" s="38">
        <v>2118.0</v>
      </c>
      <c r="C12725" s="38" t="s">
        <v>16919</v>
      </c>
      <c r="D12725" s="38" t="str">
        <f>IFERROR(__xludf.DUMMYFUNCTION("REGEXREPLACE(C12725,""-\d+(.*)|--\d+(.*)"","""")"),"BRAYE")</f>
        <v>BRAYE</v>
      </c>
      <c r="E12725" s="38" t="s">
        <v>191</v>
      </c>
      <c r="F12725" s="38" t="s">
        <v>113</v>
      </c>
      <c r="G12725" s="49" t="str">
        <f t="shared" si="1"/>
        <v>02880</v>
      </c>
      <c r="H12725" s="49" t="str">
        <f t="shared" si="2"/>
        <v>02118</v>
      </c>
    </row>
    <row r="12726">
      <c r="A12726" s="48" t="s">
        <v>5125</v>
      </c>
      <c r="B12726" s="38">
        <v>49175.0</v>
      </c>
      <c r="C12726" s="38" t="s">
        <v>16920</v>
      </c>
      <c r="D12726" s="38" t="str">
        <f>IFERROR(__xludf.DUMMYFUNCTION("REGEXREPLACE(C12726,""-\d+(.*)|--\d+(.*)"","""")"),"LINIERES-BOUTON")</f>
        <v>LINIERES-BOUTON</v>
      </c>
      <c r="E12726" s="38" t="s">
        <v>653</v>
      </c>
      <c r="F12726" s="38" t="s">
        <v>180</v>
      </c>
      <c r="G12726" s="49" t="str">
        <f t="shared" si="1"/>
        <v>49490</v>
      </c>
      <c r="H12726" s="49">
        <f t="shared" si="2"/>
        <v>49175</v>
      </c>
    </row>
    <row r="12727">
      <c r="A12727" s="48" t="s">
        <v>1572</v>
      </c>
      <c r="B12727" s="38">
        <v>32377.0</v>
      </c>
      <c r="C12727" s="38" t="s">
        <v>2856</v>
      </c>
      <c r="D12727" s="38" t="str">
        <f>IFERROR(__xludf.DUMMYFUNCTION("REGEXREPLACE(C12727,""-\d+(.*)|--\d+(.*)"","""")"),"SAINT-GEORGES")</f>
        <v>SAINT-GEORGES</v>
      </c>
      <c r="E12727" s="38" t="s">
        <v>440</v>
      </c>
      <c r="F12727" s="38" t="s">
        <v>94</v>
      </c>
      <c r="G12727" s="49" t="str">
        <f t="shared" si="1"/>
        <v>32430</v>
      </c>
      <c r="H12727" s="49">
        <f t="shared" si="2"/>
        <v>32377</v>
      </c>
    </row>
    <row r="12728">
      <c r="A12728" s="48" t="s">
        <v>4676</v>
      </c>
      <c r="B12728" s="38">
        <v>48106.0</v>
      </c>
      <c r="C12728" s="38" t="s">
        <v>16921</v>
      </c>
      <c r="D12728" s="38" t="str">
        <f>IFERROR(__xludf.DUMMYFUNCTION("REGEXREPLACE(C12728,""-\d+(.*)|--\d+(.*)"","""")"),"NOALHAC")</f>
        <v>NOALHAC</v>
      </c>
      <c r="E12728" s="38" t="s">
        <v>154</v>
      </c>
      <c r="F12728" s="38" t="s">
        <v>119</v>
      </c>
      <c r="G12728" s="49" t="str">
        <f t="shared" si="1"/>
        <v>48310</v>
      </c>
      <c r="H12728" s="49">
        <f t="shared" si="2"/>
        <v>48106</v>
      </c>
    </row>
    <row r="12729">
      <c r="A12729" s="48" t="s">
        <v>1742</v>
      </c>
      <c r="B12729" s="38">
        <v>21620.0</v>
      </c>
      <c r="C12729" s="38" t="s">
        <v>16922</v>
      </c>
      <c r="D12729" s="38" t="str">
        <f>IFERROR(__xludf.DUMMYFUNCTION("REGEXREPLACE(C12729,""-\d+(.*)|--\d+(.*)"","""")"),"TARSUL")</f>
        <v>TARSUL</v>
      </c>
      <c r="E12729" s="38" t="s">
        <v>105</v>
      </c>
      <c r="F12729" s="38" t="s">
        <v>106</v>
      </c>
      <c r="G12729" s="49" t="str">
        <f t="shared" si="1"/>
        <v>21120</v>
      </c>
      <c r="H12729" s="49">
        <f t="shared" si="2"/>
        <v>21620</v>
      </c>
    </row>
    <row r="12730">
      <c r="A12730" s="48" t="s">
        <v>676</v>
      </c>
      <c r="B12730" s="38">
        <v>81005.0</v>
      </c>
      <c r="C12730" s="38" t="s">
        <v>16923</v>
      </c>
      <c r="D12730" s="38" t="str">
        <f>IFERROR(__xludf.DUMMYFUNCTION("REGEXREPLACE(C12730,""-\d+(.*)|--\d+(.*)"","""")"),"ALBINE")</f>
        <v>ALBINE</v>
      </c>
      <c r="E12730" s="38" t="s">
        <v>231</v>
      </c>
      <c r="F12730" s="38" t="s">
        <v>94</v>
      </c>
      <c r="G12730" s="49" t="str">
        <f t="shared" si="1"/>
        <v>81240</v>
      </c>
      <c r="H12730" s="49">
        <f t="shared" si="2"/>
        <v>81005</v>
      </c>
    </row>
    <row r="12731">
      <c r="A12731" s="48" t="s">
        <v>16924</v>
      </c>
      <c r="B12731" s="38">
        <v>50102.0</v>
      </c>
      <c r="C12731" s="38" t="s">
        <v>16925</v>
      </c>
      <c r="D12731" s="38" t="str">
        <f>IFERROR(__xludf.DUMMYFUNCTION("REGEXREPLACE(C12731,""-\d+(.*)|--\d+(.*)"","""")"),"CAROLLES")</f>
        <v>CAROLLES</v>
      </c>
      <c r="E12731" s="38" t="s">
        <v>157</v>
      </c>
      <c r="F12731" s="38" t="s">
        <v>138</v>
      </c>
      <c r="G12731" s="49" t="str">
        <f t="shared" si="1"/>
        <v>50740</v>
      </c>
      <c r="H12731" s="49">
        <f t="shared" si="2"/>
        <v>50102</v>
      </c>
    </row>
    <row r="12732">
      <c r="A12732" s="48" t="s">
        <v>1481</v>
      </c>
      <c r="B12732" s="38">
        <v>2325.0</v>
      </c>
      <c r="C12732" s="38" t="s">
        <v>16926</v>
      </c>
      <c r="D12732" s="38" t="str">
        <f>IFERROR(__xludf.DUMMYFUNCTION("REGEXREPLACE(C12732,""-\d+(.*)|--\d+(.*)"","""")"),"FONTENELLE-EN-BRIE")</f>
        <v>FONTENELLE-EN-BRIE</v>
      </c>
      <c r="E12732" s="38" t="s">
        <v>191</v>
      </c>
      <c r="F12732" s="38" t="s">
        <v>113</v>
      </c>
      <c r="G12732" s="49" t="str">
        <f t="shared" si="1"/>
        <v>02540</v>
      </c>
      <c r="H12732" s="49" t="str">
        <f t="shared" si="2"/>
        <v>02325</v>
      </c>
    </row>
    <row r="12733">
      <c r="A12733" s="48" t="s">
        <v>1706</v>
      </c>
      <c r="B12733" s="38">
        <v>50082.0</v>
      </c>
      <c r="C12733" s="38" t="s">
        <v>16927</v>
      </c>
      <c r="D12733" s="38" t="str">
        <f>IFERROR(__xludf.DUMMYFUNCTION("REGEXREPLACE(C12733,""-\d+(.*)|--\d+(.*)"","""")"),"BRICQUEBEC")</f>
        <v>BRICQUEBEC</v>
      </c>
      <c r="E12733" s="38" t="s">
        <v>157</v>
      </c>
      <c r="F12733" s="38" t="s">
        <v>138</v>
      </c>
      <c r="G12733" s="49" t="str">
        <f t="shared" si="1"/>
        <v>50260</v>
      </c>
      <c r="H12733" s="49">
        <f t="shared" si="2"/>
        <v>50082</v>
      </c>
    </row>
    <row r="12734">
      <c r="A12734" s="48" t="s">
        <v>8523</v>
      </c>
      <c r="B12734" s="38">
        <v>9237.0</v>
      </c>
      <c r="C12734" s="38" t="s">
        <v>16928</v>
      </c>
      <c r="D12734" s="38" t="str">
        <f>IFERROR(__xludf.DUMMYFUNCTION("REGEXREPLACE(C12734,""-\d+(.*)|--\d+(.*)"","""")"),"LE PUCH")</f>
        <v>LE PUCH</v>
      </c>
      <c r="E12734" s="38" t="s">
        <v>238</v>
      </c>
      <c r="F12734" s="38" t="s">
        <v>94</v>
      </c>
      <c r="G12734" s="49" t="str">
        <f t="shared" si="1"/>
        <v>09460</v>
      </c>
      <c r="H12734" s="49" t="str">
        <f t="shared" si="2"/>
        <v>09237</v>
      </c>
    </row>
    <row r="12735">
      <c r="A12735" s="48" t="s">
        <v>1345</v>
      </c>
      <c r="B12735" s="38">
        <v>46198.0</v>
      </c>
      <c r="C12735" s="38" t="s">
        <v>16929</v>
      </c>
      <c r="D12735" s="38" t="str">
        <f>IFERROR(__xludf.DUMMYFUNCTION("REGEXREPLACE(C12735,""-\d+(.*)|--\d+(.*)"","""")"),"MONTBRUN")</f>
        <v>MONTBRUN</v>
      </c>
      <c r="E12735" s="38" t="s">
        <v>185</v>
      </c>
      <c r="F12735" s="38" t="s">
        <v>94</v>
      </c>
      <c r="G12735" s="49" t="str">
        <f t="shared" si="1"/>
        <v>46160</v>
      </c>
      <c r="H12735" s="49">
        <f t="shared" si="2"/>
        <v>46198</v>
      </c>
    </row>
    <row r="12736">
      <c r="A12736" s="48" t="s">
        <v>8412</v>
      </c>
      <c r="B12736" s="38">
        <v>43176.0</v>
      </c>
      <c r="C12736" s="38" t="s">
        <v>16930</v>
      </c>
      <c r="D12736" s="38" t="str">
        <f>IFERROR(__xludf.DUMMYFUNCTION("REGEXREPLACE(C12736,""-\d+(.*)|--\d+(.*)"","""")"),"SAINT-DIDIER-D'ALLIER")</f>
        <v>SAINT-DIDIER-D'ALLIER</v>
      </c>
      <c r="E12736" s="38" t="s">
        <v>332</v>
      </c>
      <c r="F12736" s="38" t="s">
        <v>161</v>
      </c>
      <c r="G12736" s="49" t="str">
        <f t="shared" si="1"/>
        <v>43580</v>
      </c>
      <c r="H12736" s="49">
        <f t="shared" si="2"/>
        <v>43176</v>
      </c>
    </row>
    <row r="12737">
      <c r="A12737" s="48" t="s">
        <v>2477</v>
      </c>
      <c r="B12737" s="38">
        <v>76052.0</v>
      </c>
      <c r="C12737" s="38" t="s">
        <v>16931</v>
      </c>
      <c r="D12737" s="38" t="str">
        <f>IFERROR(__xludf.DUMMYFUNCTION("REGEXREPLACE(C12737,""-\d+(.*)|--\d+(.*)"","""")"),"BAILLEUL-NEUVILLE")</f>
        <v>BAILLEUL-NEUVILLE</v>
      </c>
      <c r="E12737" s="38" t="s">
        <v>133</v>
      </c>
      <c r="F12737" s="38" t="s">
        <v>134</v>
      </c>
      <c r="G12737" s="49" t="str">
        <f t="shared" si="1"/>
        <v>76660</v>
      </c>
      <c r="H12737" s="49">
        <f t="shared" si="2"/>
        <v>76052</v>
      </c>
    </row>
    <row r="12738">
      <c r="A12738" s="48" t="s">
        <v>16932</v>
      </c>
      <c r="B12738" s="38">
        <v>13088.0</v>
      </c>
      <c r="C12738" s="38" t="s">
        <v>16933</v>
      </c>
      <c r="D12738" s="38" t="str">
        <f>IFERROR(__xludf.DUMMYFUNCTION("REGEXREPLACE(C12738,""-\d+(.*)|--\d+(.*)"","""")"),"LE ROVE")</f>
        <v>LE ROVE</v>
      </c>
      <c r="E12738" s="38" t="s">
        <v>980</v>
      </c>
      <c r="F12738" s="38" t="s">
        <v>228</v>
      </c>
      <c r="G12738" s="49" t="str">
        <f t="shared" si="1"/>
        <v>13740</v>
      </c>
      <c r="H12738" s="49">
        <f t="shared" si="2"/>
        <v>13088</v>
      </c>
    </row>
    <row r="12739">
      <c r="A12739" s="48" t="s">
        <v>131</v>
      </c>
      <c r="B12739" s="38">
        <v>76713.0</v>
      </c>
      <c r="C12739" s="38" t="s">
        <v>16934</v>
      </c>
      <c r="D12739" s="38" t="str">
        <f>IFERROR(__xludf.DUMMYFUNCTION("REGEXREPLACE(C12739,""-\d+(.*)|--\d+(.*)"","""")"),"TRIQUERVILLE")</f>
        <v>TRIQUERVILLE</v>
      </c>
      <c r="E12739" s="38" t="s">
        <v>133</v>
      </c>
      <c r="F12739" s="38" t="s">
        <v>134</v>
      </c>
      <c r="G12739" s="49" t="str">
        <f t="shared" si="1"/>
        <v>76170</v>
      </c>
      <c r="H12739" s="49">
        <f t="shared" si="2"/>
        <v>76713</v>
      </c>
    </row>
    <row r="12740">
      <c r="A12740" s="48" t="s">
        <v>3244</v>
      </c>
      <c r="B12740" s="38">
        <v>27306.0</v>
      </c>
      <c r="C12740" s="38" t="s">
        <v>16935</v>
      </c>
      <c r="D12740" s="38" t="str">
        <f>IFERROR(__xludf.DUMMYFUNCTION("REGEXREPLACE(C12740,""-\d+(.*)|--\d+(.*)"","""")"),"GUICHAINVILLE")</f>
        <v>GUICHAINVILLE</v>
      </c>
      <c r="E12740" s="38" t="s">
        <v>241</v>
      </c>
      <c r="F12740" s="38" t="s">
        <v>134</v>
      </c>
      <c r="G12740" s="49" t="str">
        <f t="shared" si="1"/>
        <v>27930</v>
      </c>
      <c r="H12740" s="49">
        <f t="shared" si="2"/>
        <v>27306</v>
      </c>
    </row>
    <row r="12741">
      <c r="A12741" s="48" t="s">
        <v>8680</v>
      </c>
      <c r="B12741" s="38">
        <v>72223.0</v>
      </c>
      <c r="C12741" s="38" t="s">
        <v>16936</v>
      </c>
      <c r="D12741" s="38" t="str">
        <f>IFERROR(__xludf.DUMMYFUNCTION("REGEXREPLACE(C12741,""-\d+(.*)|--\d+(.*)"","""")"),"NOYEN-SUR-SARTHE")</f>
        <v>NOYEN-SUR-SARTHE</v>
      </c>
      <c r="E12741" s="38" t="s">
        <v>521</v>
      </c>
      <c r="F12741" s="38" t="s">
        <v>180</v>
      </c>
      <c r="G12741" s="49" t="str">
        <f t="shared" si="1"/>
        <v>72430</v>
      </c>
      <c r="H12741" s="49">
        <f t="shared" si="2"/>
        <v>72223</v>
      </c>
    </row>
    <row r="12742">
      <c r="A12742" s="48" t="s">
        <v>4168</v>
      </c>
      <c r="B12742" s="38">
        <v>1307.0</v>
      </c>
      <c r="C12742" s="38" t="s">
        <v>16937</v>
      </c>
      <c r="D12742" s="38" t="str">
        <f>IFERROR(__xludf.DUMMYFUNCTION("REGEXREPLACE(C12742,""-\d+(.*)|--\d+(.*)"","""")"),"PORT")</f>
        <v>PORT</v>
      </c>
      <c r="E12742" s="38" t="s">
        <v>255</v>
      </c>
      <c r="F12742" s="38" t="s">
        <v>102</v>
      </c>
      <c r="G12742" s="49" t="str">
        <f t="shared" si="1"/>
        <v>01460</v>
      </c>
      <c r="H12742" s="49" t="str">
        <f t="shared" si="2"/>
        <v>01307</v>
      </c>
    </row>
    <row r="12743">
      <c r="A12743" s="48" t="s">
        <v>2736</v>
      </c>
      <c r="B12743" s="38">
        <v>89113.0</v>
      </c>
      <c r="C12743" s="38" t="s">
        <v>16938</v>
      </c>
      <c r="D12743" s="38" t="str">
        <f>IFERROR(__xludf.DUMMYFUNCTION("REGEXREPLACE(C12743,""-\d+(.*)|--\d+(.*)"","""")"),"COLLEMIERS")</f>
        <v>COLLEMIERS</v>
      </c>
      <c r="E12743" s="38" t="s">
        <v>275</v>
      </c>
      <c r="F12743" s="38" t="s">
        <v>106</v>
      </c>
      <c r="G12743" s="49" t="str">
        <f t="shared" si="1"/>
        <v>89100</v>
      </c>
      <c r="H12743" s="49">
        <f t="shared" si="2"/>
        <v>89113</v>
      </c>
    </row>
    <row r="12744">
      <c r="A12744" s="48" t="s">
        <v>5030</v>
      </c>
      <c r="B12744" s="38">
        <v>65335.0</v>
      </c>
      <c r="C12744" s="38" t="s">
        <v>16939</v>
      </c>
      <c r="D12744" s="38" t="str">
        <f>IFERROR(__xludf.DUMMYFUNCTION("REGEXREPLACE(C12744,""-\d+(.*)|--\d+(.*)"","""")"),"ORDIZAN")</f>
        <v>ORDIZAN</v>
      </c>
      <c r="E12744" s="38" t="s">
        <v>200</v>
      </c>
      <c r="F12744" s="38" t="s">
        <v>94</v>
      </c>
      <c r="G12744" s="49" t="str">
        <f t="shared" si="1"/>
        <v>65200</v>
      </c>
      <c r="H12744" s="49">
        <f t="shared" si="2"/>
        <v>65335</v>
      </c>
    </row>
    <row r="12745">
      <c r="A12745" s="48" t="s">
        <v>10670</v>
      </c>
      <c r="B12745" s="38">
        <v>62186.0</v>
      </c>
      <c r="C12745" s="38" t="s">
        <v>16940</v>
      </c>
      <c r="D12745" s="38" t="str">
        <f>IFERROR(__xludf.DUMMYFUNCTION("REGEXREPLACE(C12745,""-\d+(.*)|--\d+(.*)"","""")"),"BULLY-LES-MINES")</f>
        <v>BULLY-LES-MINES</v>
      </c>
      <c r="E12745" s="38" t="s">
        <v>109</v>
      </c>
      <c r="F12745" s="38" t="s">
        <v>86</v>
      </c>
      <c r="G12745" s="49" t="str">
        <f t="shared" si="1"/>
        <v>62160</v>
      </c>
      <c r="H12745" s="49">
        <f t="shared" si="2"/>
        <v>62186</v>
      </c>
    </row>
    <row r="12746">
      <c r="A12746" s="48" t="s">
        <v>651</v>
      </c>
      <c r="B12746" s="38">
        <v>49141.0</v>
      </c>
      <c r="C12746" s="38" t="s">
        <v>8532</v>
      </c>
      <c r="D12746" s="38" t="str">
        <f>IFERROR(__xludf.DUMMYFUNCTION("REGEXREPLACE(C12746,""-\d+(.*)|--\d+(.*)"","""")"),"FORGES")</f>
        <v>FORGES</v>
      </c>
      <c r="E12746" s="38" t="s">
        <v>653</v>
      </c>
      <c r="F12746" s="38" t="s">
        <v>180</v>
      </c>
      <c r="G12746" s="49" t="str">
        <f t="shared" si="1"/>
        <v>49700</v>
      </c>
      <c r="H12746" s="49">
        <f t="shared" si="2"/>
        <v>49141</v>
      </c>
    </row>
    <row r="12747">
      <c r="A12747" s="48" t="s">
        <v>883</v>
      </c>
      <c r="B12747" s="38">
        <v>71131.0</v>
      </c>
      <c r="C12747" s="38" t="s">
        <v>16941</v>
      </c>
      <c r="D12747" s="38" t="str">
        <f>IFERROR(__xludf.DUMMYFUNCTION("REGEXREPLACE(C12747,""-\d+(.*)|--\d+(.*)"","""")"),"CIEL")</f>
        <v>CIEL</v>
      </c>
      <c r="E12747" s="38" t="s">
        <v>344</v>
      </c>
      <c r="F12747" s="38" t="s">
        <v>106</v>
      </c>
      <c r="G12747" s="49" t="str">
        <f t="shared" si="1"/>
        <v>71350</v>
      </c>
      <c r="H12747" s="49">
        <f t="shared" si="2"/>
        <v>71131</v>
      </c>
    </row>
    <row r="12748">
      <c r="A12748" s="48" t="s">
        <v>458</v>
      </c>
      <c r="B12748" s="38">
        <v>34264.0</v>
      </c>
      <c r="C12748" s="38" t="s">
        <v>16942</v>
      </c>
      <c r="D12748" s="38" t="str">
        <f>IFERROR(__xludf.DUMMYFUNCTION("REGEXREPLACE(C12748,""-\d+(.*)|--\d+(.*)"","""")"),"SAINT-JEAN-DE-BUEGES")</f>
        <v>SAINT-JEAN-DE-BUEGES</v>
      </c>
      <c r="E12748" s="38" t="s">
        <v>118</v>
      </c>
      <c r="F12748" s="38" t="s">
        <v>119</v>
      </c>
      <c r="G12748" s="49" t="str">
        <f t="shared" si="1"/>
        <v>34380</v>
      </c>
      <c r="H12748" s="49">
        <f t="shared" si="2"/>
        <v>34264</v>
      </c>
    </row>
    <row r="12749">
      <c r="A12749" s="48" t="s">
        <v>6409</v>
      </c>
      <c r="B12749" s="38">
        <v>79271.0</v>
      </c>
      <c r="C12749" s="38" t="s">
        <v>16943</v>
      </c>
      <c r="D12749" s="38" t="str">
        <f>IFERROR(__xludf.DUMMYFUNCTION("REGEXREPLACE(C12749,""-\d+(.*)|--\d+(.*)"","""")"),"SAINT-MARC-LA-LANDE")</f>
        <v>SAINT-MARC-LA-LANDE</v>
      </c>
      <c r="E12749" s="38" t="s">
        <v>337</v>
      </c>
      <c r="F12749" s="38" t="s">
        <v>338</v>
      </c>
      <c r="G12749" s="49" t="str">
        <f t="shared" si="1"/>
        <v>79310</v>
      </c>
      <c r="H12749" s="49">
        <f t="shared" si="2"/>
        <v>79271</v>
      </c>
    </row>
    <row r="12750">
      <c r="A12750" s="48" t="s">
        <v>3389</v>
      </c>
      <c r="B12750" s="38">
        <v>33014.0</v>
      </c>
      <c r="C12750" s="38" t="s">
        <v>16944</v>
      </c>
      <c r="D12750" s="38" t="str">
        <f>IFERROR(__xludf.DUMMYFUNCTION("REGEXREPLACE(C12750,""-\d+(.*)|--\d+(.*)"","""")"),"LES ARTIGUES-DE-LUSSAC")</f>
        <v>LES ARTIGUES-DE-LUSSAC</v>
      </c>
      <c r="E12750" s="38" t="s">
        <v>462</v>
      </c>
      <c r="F12750" s="38" t="s">
        <v>252</v>
      </c>
      <c r="G12750" s="49" t="str">
        <f t="shared" si="1"/>
        <v>33570</v>
      </c>
      <c r="H12750" s="49">
        <f t="shared" si="2"/>
        <v>33014</v>
      </c>
    </row>
    <row r="12751">
      <c r="A12751" s="48" t="s">
        <v>16945</v>
      </c>
      <c r="B12751" s="38">
        <v>95288.0</v>
      </c>
      <c r="C12751" s="38" t="s">
        <v>16946</v>
      </c>
      <c r="D12751" s="38" t="str">
        <f>IFERROR(__xludf.DUMMYFUNCTION("REGEXREPLACE(C12751,""-\d+(.*)|--\d+(.*)"","""")"),"GROSLAY")</f>
        <v>GROSLAY</v>
      </c>
      <c r="E12751" s="38" t="s">
        <v>541</v>
      </c>
      <c r="F12751" s="38" t="s">
        <v>245</v>
      </c>
      <c r="G12751" s="49" t="str">
        <f t="shared" si="1"/>
        <v>95410</v>
      </c>
      <c r="H12751" s="49">
        <f t="shared" si="2"/>
        <v>95288</v>
      </c>
    </row>
    <row r="12752">
      <c r="A12752" s="48" t="s">
        <v>9146</v>
      </c>
      <c r="B12752" s="38">
        <v>49177.0</v>
      </c>
      <c r="C12752" s="38" t="s">
        <v>16947</v>
      </c>
      <c r="D12752" s="38" t="str">
        <f>IFERROR(__xludf.DUMMYFUNCTION("REGEXREPLACE(C12752,""-\d+(.*)|--\d+(.*)"","""")"),"LIRE")</f>
        <v>LIRE</v>
      </c>
      <c r="E12752" s="38" t="s">
        <v>653</v>
      </c>
      <c r="F12752" s="38" t="s">
        <v>180</v>
      </c>
      <c r="G12752" s="49" t="str">
        <f t="shared" si="1"/>
        <v>49530</v>
      </c>
      <c r="H12752" s="49">
        <f t="shared" si="2"/>
        <v>49177</v>
      </c>
    </row>
    <row r="12753">
      <c r="A12753" s="48" t="s">
        <v>16948</v>
      </c>
      <c r="B12753" s="38">
        <v>22379.0</v>
      </c>
      <c r="C12753" s="38" t="s">
        <v>16949</v>
      </c>
      <c r="D12753" s="38" t="str">
        <f>IFERROR(__xludf.DUMMYFUNCTION("REGEXREPLACE(C12753,""-\d+(.*)|--\d+(.*)"","""")"),"TREVOU-TREGUIGNEC")</f>
        <v>TREVOU-TREGUIGNEC</v>
      </c>
      <c r="E12753" s="38" t="s">
        <v>89</v>
      </c>
      <c r="F12753" s="38" t="s">
        <v>90</v>
      </c>
      <c r="G12753" s="49" t="str">
        <f t="shared" si="1"/>
        <v>22660</v>
      </c>
      <c r="H12753" s="49">
        <f t="shared" si="2"/>
        <v>22379</v>
      </c>
    </row>
    <row r="12754">
      <c r="A12754" s="48" t="s">
        <v>16950</v>
      </c>
      <c r="B12754" s="38">
        <v>84016.0</v>
      </c>
      <c r="C12754" s="38" t="s">
        <v>16951</v>
      </c>
      <c r="D12754" s="38" t="str">
        <f>IFERROR(__xludf.DUMMYFUNCTION("REGEXREPLACE(C12754,""-\d+(.*)|--\d+(.*)"","""")"),"BEDARRIDES")</f>
        <v>BEDARRIDES</v>
      </c>
      <c r="E12754" s="38" t="s">
        <v>1026</v>
      </c>
      <c r="F12754" s="38" t="s">
        <v>228</v>
      </c>
      <c r="G12754" s="49" t="str">
        <f t="shared" si="1"/>
        <v>84370</v>
      </c>
      <c r="H12754" s="49">
        <f t="shared" si="2"/>
        <v>84016</v>
      </c>
    </row>
    <row r="12755">
      <c r="A12755" s="48" t="s">
        <v>6442</v>
      </c>
      <c r="B12755" s="38">
        <v>18225.0</v>
      </c>
      <c r="C12755" s="38" t="s">
        <v>16952</v>
      </c>
      <c r="D12755" s="38" t="str">
        <f>IFERROR(__xludf.DUMMYFUNCTION("REGEXREPLACE(C12755,""-\d+(.*)|--\d+(.*)"","""")"),"SAINT-MAUR")</f>
        <v>SAINT-MAUR</v>
      </c>
      <c r="E12755" s="38" t="s">
        <v>504</v>
      </c>
      <c r="F12755" s="38" t="s">
        <v>123</v>
      </c>
      <c r="G12755" s="49" t="str">
        <f t="shared" si="1"/>
        <v>18270</v>
      </c>
      <c r="H12755" s="49">
        <f t="shared" si="2"/>
        <v>18225</v>
      </c>
    </row>
    <row r="12756">
      <c r="A12756" s="48" t="s">
        <v>5654</v>
      </c>
      <c r="B12756" s="38">
        <v>8380.0</v>
      </c>
      <c r="C12756" s="38" t="s">
        <v>16953</v>
      </c>
      <c r="D12756" s="38" t="str">
        <f>IFERROR(__xludf.DUMMYFUNCTION("REGEXREPLACE(C12756,""-\d+(.*)|--\d+(.*)"","""")"),"SAINT-FERGEUX")</f>
        <v>SAINT-FERGEUX</v>
      </c>
      <c r="E12756" s="38" t="s">
        <v>327</v>
      </c>
      <c r="F12756" s="38" t="s">
        <v>130</v>
      </c>
      <c r="G12756" s="49" t="str">
        <f t="shared" si="1"/>
        <v>08360</v>
      </c>
      <c r="H12756" s="49" t="str">
        <f t="shared" si="2"/>
        <v>08380</v>
      </c>
    </row>
    <row r="12757">
      <c r="A12757" s="48" t="s">
        <v>3056</v>
      </c>
      <c r="B12757" s="38">
        <v>24200.0</v>
      </c>
      <c r="C12757" s="38" t="s">
        <v>16954</v>
      </c>
      <c r="D12757" s="38" t="str">
        <f>IFERROR(__xludf.DUMMYFUNCTION("REGEXREPLACE(C12757,""-\d+(.*)|--\d+(.*)"","""")"),"GRAND-BRASSAC")</f>
        <v>GRAND-BRASSAC</v>
      </c>
      <c r="E12757" s="38" t="s">
        <v>261</v>
      </c>
      <c r="F12757" s="38" t="s">
        <v>252</v>
      </c>
      <c r="G12757" s="49" t="str">
        <f t="shared" si="1"/>
        <v>24350</v>
      </c>
      <c r="H12757" s="49">
        <f t="shared" si="2"/>
        <v>24200</v>
      </c>
    </row>
    <row r="12758">
      <c r="A12758" s="48" t="s">
        <v>571</v>
      </c>
      <c r="B12758" s="38">
        <v>55250.0</v>
      </c>
      <c r="C12758" s="38" t="s">
        <v>16955</v>
      </c>
      <c r="D12758" s="38" t="str">
        <f>IFERROR(__xludf.DUMMYFUNCTION("REGEXREPLACE(C12758,""-\d+(.*)|--\d+(.*)"","""")"),"INOR")</f>
        <v>INOR</v>
      </c>
      <c r="E12758" s="38" t="s">
        <v>322</v>
      </c>
      <c r="F12758" s="38" t="s">
        <v>195</v>
      </c>
      <c r="G12758" s="49" t="str">
        <f t="shared" si="1"/>
        <v>55700</v>
      </c>
      <c r="H12758" s="49">
        <f t="shared" si="2"/>
        <v>55250</v>
      </c>
    </row>
    <row r="12759">
      <c r="A12759" s="48" t="s">
        <v>253</v>
      </c>
      <c r="B12759" s="38">
        <v>1025.0</v>
      </c>
      <c r="C12759" s="38" t="s">
        <v>16956</v>
      </c>
      <c r="D12759" s="38" t="str">
        <f>IFERROR(__xludf.DUMMYFUNCTION("REGEXREPLACE(C12759,""-\d+(.*)|--\d+(.*)"","""")"),"BAGE-LA-VILLE")</f>
        <v>BAGE-LA-VILLE</v>
      </c>
      <c r="E12759" s="38" t="s">
        <v>255</v>
      </c>
      <c r="F12759" s="38" t="s">
        <v>102</v>
      </c>
      <c r="G12759" s="49" t="str">
        <f t="shared" si="1"/>
        <v>01380</v>
      </c>
      <c r="H12759" s="49" t="str">
        <f t="shared" si="2"/>
        <v>01025</v>
      </c>
    </row>
    <row r="12760">
      <c r="A12760" s="48" t="s">
        <v>8873</v>
      </c>
      <c r="B12760" s="38">
        <v>34288.0</v>
      </c>
      <c r="C12760" s="38" t="s">
        <v>16957</v>
      </c>
      <c r="D12760" s="38" t="str">
        <f>IFERROR(__xludf.DUMMYFUNCTION("REGEXREPLACE(C12760,""-\d+(.*)|--\d+(.*)"","""")"),"SAINT-SERIES")</f>
        <v>SAINT-SERIES</v>
      </c>
      <c r="E12760" s="38" t="s">
        <v>118</v>
      </c>
      <c r="F12760" s="38" t="s">
        <v>119</v>
      </c>
      <c r="G12760" s="49" t="str">
        <f t="shared" si="1"/>
        <v>34400</v>
      </c>
      <c r="H12760" s="49">
        <f t="shared" si="2"/>
        <v>34288</v>
      </c>
    </row>
    <row r="12761">
      <c r="A12761" s="48" t="s">
        <v>5390</v>
      </c>
      <c r="B12761" s="38">
        <v>27294.0</v>
      </c>
      <c r="C12761" s="38" t="s">
        <v>16958</v>
      </c>
      <c r="D12761" s="38" t="str">
        <f>IFERROR(__xludf.DUMMYFUNCTION("REGEXREPLACE(C12761,""-\d+(.*)|--\d+(.*)"","""")"),"GRAINVILLE")</f>
        <v>GRAINVILLE</v>
      </c>
      <c r="E12761" s="38" t="s">
        <v>241</v>
      </c>
      <c r="F12761" s="38" t="s">
        <v>134</v>
      </c>
      <c r="G12761" s="49" t="str">
        <f t="shared" si="1"/>
        <v>27380</v>
      </c>
      <c r="H12761" s="49">
        <f t="shared" si="2"/>
        <v>27294</v>
      </c>
    </row>
    <row r="12762">
      <c r="A12762" s="48" t="s">
        <v>16959</v>
      </c>
      <c r="B12762" s="38">
        <v>77071.0</v>
      </c>
      <c r="C12762" s="38" t="s">
        <v>16960</v>
      </c>
      <c r="D12762" s="38" t="str">
        <f>IFERROR(__xludf.DUMMYFUNCTION("REGEXREPLACE(C12762,""-\d+(.*)|--\d+(.*)"","""")"),"CHAINTREAUX")</f>
        <v>CHAINTREAUX</v>
      </c>
      <c r="E12762" s="38" t="s">
        <v>244</v>
      </c>
      <c r="F12762" s="38" t="s">
        <v>245</v>
      </c>
      <c r="G12762" s="49" t="str">
        <f t="shared" si="1"/>
        <v>77460</v>
      </c>
      <c r="H12762" s="49">
        <f t="shared" si="2"/>
        <v>77071</v>
      </c>
    </row>
    <row r="12763">
      <c r="A12763" s="48" t="s">
        <v>1501</v>
      </c>
      <c r="B12763" s="38">
        <v>39494.0</v>
      </c>
      <c r="C12763" s="38" t="s">
        <v>4772</v>
      </c>
      <c r="D12763" s="38" t="str">
        <f>IFERROR(__xludf.DUMMYFUNCTION("REGEXREPLACE(C12763,""-\d+(.*)|--\d+(.*)"","""")"),"SAINT-PIERRE")</f>
        <v>SAINT-PIERRE</v>
      </c>
      <c r="E12763" s="38" t="s">
        <v>400</v>
      </c>
      <c r="F12763" s="38" t="s">
        <v>214</v>
      </c>
      <c r="G12763" s="49" t="str">
        <f t="shared" si="1"/>
        <v>39150</v>
      </c>
      <c r="H12763" s="49">
        <f t="shared" si="2"/>
        <v>39494</v>
      </c>
    </row>
    <row r="12764">
      <c r="A12764" s="48" t="s">
        <v>16961</v>
      </c>
      <c r="B12764" s="38">
        <v>86259.0</v>
      </c>
      <c r="C12764" s="38" t="s">
        <v>16962</v>
      </c>
      <c r="D12764" s="38" t="str">
        <f>IFERROR(__xludf.DUMMYFUNCTION("REGEXREPLACE(C12764,""-\d+(.*)|--\d+(.*)"","""")"),"SENILLE")</f>
        <v>SENILLE</v>
      </c>
      <c r="E12764" s="38" t="s">
        <v>529</v>
      </c>
      <c r="F12764" s="38" t="s">
        <v>338</v>
      </c>
      <c r="G12764" s="49" t="str">
        <f t="shared" si="1"/>
        <v>86100</v>
      </c>
      <c r="H12764" s="49">
        <f t="shared" si="2"/>
        <v>86259</v>
      </c>
    </row>
    <row r="12765">
      <c r="A12765" s="48" t="s">
        <v>7954</v>
      </c>
      <c r="B12765" s="38">
        <v>40084.0</v>
      </c>
      <c r="C12765" s="38" t="s">
        <v>1167</v>
      </c>
      <c r="D12765" s="38" t="str">
        <f>IFERROR(__xludf.DUMMYFUNCTION("REGEXREPLACE(C12765,""-\d+(.*)|--\d+(.*)"","""")"),"CLERMONT")</f>
        <v>CLERMONT</v>
      </c>
      <c r="E12765" s="38" t="s">
        <v>281</v>
      </c>
      <c r="F12765" s="38" t="s">
        <v>252</v>
      </c>
      <c r="G12765" s="49" t="str">
        <f t="shared" si="1"/>
        <v>40180</v>
      </c>
      <c r="H12765" s="49">
        <f t="shared" si="2"/>
        <v>40084</v>
      </c>
    </row>
    <row r="12766">
      <c r="A12766" s="48" t="s">
        <v>8462</v>
      </c>
      <c r="B12766" s="38">
        <v>22193.0</v>
      </c>
      <c r="C12766" s="38" t="s">
        <v>16963</v>
      </c>
      <c r="D12766" s="38" t="str">
        <f>IFERROR(__xludf.DUMMYFUNCTION("REGEXREPLACE(C12766,""-\d+(.*)|--\d+(.*)"","""")"),"PLESTAN")</f>
        <v>PLESTAN</v>
      </c>
      <c r="E12766" s="38" t="s">
        <v>89</v>
      </c>
      <c r="F12766" s="38" t="s">
        <v>90</v>
      </c>
      <c r="G12766" s="49" t="str">
        <f t="shared" si="1"/>
        <v>22640</v>
      </c>
      <c r="H12766" s="49">
        <f t="shared" si="2"/>
        <v>22193</v>
      </c>
    </row>
    <row r="12767">
      <c r="A12767" s="48" t="s">
        <v>6965</v>
      </c>
      <c r="B12767" s="38">
        <v>2834.0</v>
      </c>
      <c r="C12767" s="38" t="s">
        <v>16964</v>
      </c>
      <c r="D12767" s="38" t="str">
        <f>IFERROR(__xludf.DUMMYFUNCTION("REGEXREPLACE(C12767,""-\d+(.*)|--\d+(.*)"","""")"),"WISSIGNICOURT")</f>
        <v>WISSIGNICOURT</v>
      </c>
      <c r="E12767" s="38" t="s">
        <v>191</v>
      </c>
      <c r="F12767" s="38" t="s">
        <v>113</v>
      </c>
      <c r="G12767" s="49" t="str">
        <f t="shared" si="1"/>
        <v>02320</v>
      </c>
      <c r="H12767" s="49" t="str">
        <f t="shared" si="2"/>
        <v>02834</v>
      </c>
    </row>
    <row r="12768">
      <c r="A12768" s="48" t="s">
        <v>16965</v>
      </c>
      <c r="B12768" s="38">
        <v>24052.0</v>
      </c>
      <c r="C12768" s="38" t="s">
        <v>13602</v>
      </c>
      <c r="D12768" s="38" t="str">
        <f>IFERROR(__xludf.DUMMYFUNCTION("REGEXREPLACE(C12768,""-\d+(.*)|--\d+(.*)"","""")"),"BOUILLAC")</f>
        <v>BOUILLAC</v>
      </c>
      <c r="E12768" s="38" t="s">
        <v>261</v>
      </c>
      <c r="F12768" s="38" t="s">
        <v>252</v>
      </c>
      <c r="G12768" s="49" t="str">
        <f t="shared" si="1"/>
        <v>24480</v>
      </c>
      <c r="H12768" s="49">
        <f t="shared" si="2"/>
        <v>24052</v>
      </c>
    </row>
    <row r="12769">
      <c r="A12769" s="48" t="s">
        <v>4536</v>
      </c>
      <c r="B12769" s="38">
        <v>77297.0</v>
      </c>
      <c r="C12769" s="38" t="s">
        <v>16966</v>
      </c>
      <c r="D12769" s="38" t="str">
        <f>IFERROR(__xludf.DUMMYFUNCTION("REGEXREPLACE(C12769,""-\d+(.*)|--\d+(.*)"","""")"),"MONDREVILLE")</f>
        <v>MONDREVILLE</v>
      </c>
      <c r="E12769" s="38" t="s">
        <v>244</v>
      </c>
      <c r="F12769" s="38" t="s">
        <v>245</v>
      </c>
      <c r="G12769" s="49" t="str">
        <f t="shared" si="1"/>
        <v>77570</v>
      </c>
      <c r="H12769" s="49">
        <f t="shared" si="2"/>
        <v>77297</v>
      </c>
    </row>
    <row r="12770">
      <c r="A12770" s="48" t="s">
        <v>6019</v>
      </c>
      <c r="B12770" s="38">
        <v>39392.0</v>
      </c>
      <c r="C12770" s="38" t="s">
        <v>16967</v>
      </c>
      <c r="D12770" s="38" t="str">
        <f>IFERROR(__xludf.DUMMYFUNCTION("REGEXREPLACE(C12770,""-\d+(.*)|--\d+(.*)"","""")"),"OFFLANGES")</f>
        <v>OFFLANGES</v>
      </c>
      <c r="E12770" s="38" t="s">
        <v>400</v>
      </c>
      <c r="F12770" s="38" t="s">
        <v>214</v>
      </c>
      <c r="G12770" s="49" t="str">
        <f t="shared" si="1"/>
        <v>39290</v>
      </c>
      <c r="H12770" s="49">
        <f t="shared" si="2"/>
        <v>39392</v>
      </c>
    </row>
    <row r="12771">
      <c r="A12771" s="48" t="s">
        <v>10760</v>
      </c>
      <c r="B12771" s="38">
        <v>25378.0</v>
      </c>
      <c r="C12771" s="38" t="s">
        <v>16968</v>
      </c>
      <c r="D12771" s="38" t="str">
        <f>IFERROR(__xludf.DUMMYFUNCTION("REGEXREPLACE(C12771,""-\d+(.*)|--\d+(.*)"","""")"),"MESLIERES")</f>
        <v>MESLIERES</v>
      </c>
      <c r="E12771" s="38" t="s">
        <v>213</v>
      </c>
      <c r="F12771" s="38" t="s">
        <v>214</v>
      </c>
      <c r="G12771" s="49" t="str">
        <f t="shared" si="1"/>
        <v>25310</v>
      </c>
      <c r="H12771" s="49">
        <f t="shared" si="2"/>
        <v>25378</v>
      </c>
    </row>
    <row r="12772">
      <c r="A12772" s="48" t="s">
        <v>14867</v>
      </c>
      <c r="B12772" s="38">
        <v>49123.0</v>
      </c>
      <c r="C12772" s="38" t="s">
        <v>16969</v>
      </c>
      <c r="D12772" s="38" t="str">
        <f>IFERROR(__xludf.DUMMYFUNCTION("REGEXREPLACE(C12772,""-\d+(.*)|--\d+(.*)"","""")"),"DISTRE")</f>
        <v>DISTRE</v>
      </c>
      <c r="E12772" s="38" t="s">
        <v>653</v>
      </c>
      <c r="F12772" s="38" t="s">
        <v>180</v>
      </c>
      <c r="G12772" s="49" t="str">
        <f t="shared" si="1"/>
        <v>49400</v>
      </c>
      <c r="H12772" s="49">
        <f t="shared" si="2"/>
        <v>49123</v>
      </c>
    </row>
    <row r="12773">
      <c r="A12773" s="48" t="s">
        <v>1644</v>
      </c>
      <c r="B12773" s="38">
        <v>21078.0</v>
      </c>
      <c r="C12773" s="38" t="s">
        <v>16970</v>
      </c>
      <c r="D12773" s="38" t="str">
        <f>IFERROR(__xludf.DUMMYFUNCTION("REGEXREPLACE(C12773,""-\d+(.*)|--\d+(.*)"","""")"),"BISSEY-LA-PIERRE")</f>
        <v>BISSEY-LA-PIERRE</v>
      </c>
      <c r="E12773" s="38" t="s">
        <v>105</v>
      </c>
      <c r="F12773" s="38" t="s">
        <v>106</v>
      </c>
      <c r="G12773" s="49" t="str">
        <f t="shared" si="1"/>
        <v>21330</v>
      </c>
      <c r="H12773" s="49">
        <f t="shared" si="2"/>
        <v>21078</v>
      </c>
    </row>
    <row r="12774">
      <c r="A12774" s="48" t="s">
        <v>2519</v>
      </c>
      <c r="B12774" s="38">
        <v>80504.0</v>
      </c>
      <c r="C12774" s="38" t="s">
        <v>16971</v>
      </c>
      <c r="D12774" s="38" t="str">
        <f>IFERROR(__xludf.DUMMYFUNCTION("REGEXREPLACE(C12774,""-\d+(.*)|--\d+(.*)"","""")"),"MALPART")</f>
        <v>MALPART</v>
      </c>
      <c r="E12774" s="38" t="s">
        <v>224</v>
      </c>
      <c r="F12774" s="38" t="s">
        <v>113</v>
      </c>
      <c r="G12774" s="49" t="str">
        <f t="shared" si="1"/>
        <v>80250</v>
      </c>
      <c r="H12774" s="49">
        <f t="shared" si="2"/>
        <v>80504</v>
      </c>
    </row>
    <row r="12775">
      <c r="A12775" s="48" t="s">
        <v>13077</v>
      </c>
      <c r="B12775" s="38">
        <v>3212.0</v>
      </c>
      <c r="C12775" s="38" t="s">
        <v>16972</v>
      </c>
      <c r="D12775" s="38" t="str">
        <f>IFERROR(__xludf.DUMMYFUNCTION("REGEXREPLACE(C12775,""-\d+(.*)|--\d+(.*)"","""")"),"QUINSSAINES")</f>
        <v>QUINSSAINES</v>
      </c>
      <c r="E12775" s="38" t="s">
        <v>160</v>
      </c>
      <c r="F12775" s="38" t="s">
        <v>161</v>
      </c>
      <c r="G12775" s="49" t="str">
        <f t="shared" si="1"/>
        <v>03380</v>
      </c>
      <c r="H12775" s="49" t="str">
        <f t="shared" si="2"/>
        <v>03212</v>
      </c>
    </row>
    <row r="12776">
      <c r="A12776" s="48" t="s">
        <v>15975</v>
      </c>
      <c r="B12776" s="38">
        <v>72064.0</v>
      </c>
      <c r="C12776" s="38" t="s">
        <v>16973</v>
      </c>
      <c r="D12776" s="38" t="str">
        <f>IFERROR(__xludf.DUMMYFUNCTION("REGEXREPLACE(C12776,""-\d+(.*)|--\d+(.*)"","""")"),"LA CHAPELLE-HUON")</f>
        <v>LA CHAPELLE-HUON</v>
      </c>
      <c r="E12776" s="38" t="s">
        <v>521</v>
      </c>
      <c r="F12776" s="38" t="s">
        <v>180</v>
      </c>
      <c r="G12776" s="49" t="str">
        <f t="shared" si="1"/>
        <v>72310</v>
      </c>
      <c r="H12776" s="49">
        <f t="shared" si="2"/>
        <v>72064</v>
      </c>
    </row>
    <row r="12777">
      <c r="A12777" s="48" t="s">
        <v>8059</v>
      </c>
      <c r="B12777" s="38">
        <v>70303.0</v>
      </c>
      <c r="C12777" s="38" t="s">
        <v>16974</v>
      </c>
      <c r="D12777" s="38" t="str">
        <f>IFERROR(__xludf.DUMMYFUNCTION("REGEXREPLACE(C12777,""-\d+(.*)|--\d+(.*)"","""")"),"LIEVANS")</f>
        <v>LIEVANS</v>
      </c>
      <c r="E12777" s="38" t="s">
        <v>956</v>
      </c>
      <c r="F12777" s="38" t="s">
        <v>214</v>
      </c>
      <c r="G12777" s="49" t="str">
        <f t="shared" si="1"/>
        <v>70240</v>
      </c>
      <c r="H12777" s="49">
        <f t="shared" si="2"/>
        <v>70303</v>
      </c>
    </row>
    <row r="12778">
      <c r="A12778" s="48" t="s">
        <v>16975</v>
      </c>
      <c r="B12778" s="38">
        <v>49027.0</v>
      </c>
      <c r="C12778" s="38" t="s">
        <v>16976</v>
      </c>
      <c r="D12778" s="38" t="str">
        <f>IFERROR(__xludf.DUMMYFUNCTION("REGEXREPLACE(C12778,""-\d+(.*)|--\d+(.*)"","""")"),"BEGROLLES-EN-MAUGES")</f>
        <v>BEGROLLES-EN-MAUGES</v>
      </c>
      <c r="E12778" s="38" t="s">
        <v>653</v>
      </c>
      <c r="F12778" s="38" t="s">
        <v>180</v>
      </c>
      <c r="G12778" s="49" t="str">
        <f t="shared" si="1"/>
        <v>49122</v>
      </c>
      <c r="H12778" s="49">
        <f t="shared" si="2"/>
        <v>49027</v>
      </c>
    </row>
    <row r="12779">
      <c r="A12779" s="48" t="s">
        <v>906</v>
      </c>
      <c r="B12779" s="38">
        <v>59617.0</v>
      </c>
      <c r="C12779" s="38" t="s">
        <v>16977</v>
      </c>
      <c r="D12779" s="38" t="str">
        <f>IFERROR(__xludf.DUMMYFUNCTION("REGEXREPLACE(C12779,""-\d+(.*)|--\d+(.*)"","""")"),"VIEUX-MESNIL")</f>
        <v>VIEUX-MESNIL</v>
      </c>
      <c r="E12779" s="38" t="s">
        <v>85</v>
      </c>
      <c r="F12779" s="38" t="s">
        <v>86</v>
      </c>
      <c r="G12779" s="49" t="str">
        <f t="shared" si="1"/>
        <v>59138</v>
      </c>
      <c r="H12779" s="49">
        <f t="shared" si="2"/>
        <v>59617</v>
      </c>
    </row>
    <row r="12780">
      <c r="A12780" s="48" t="s">
        <v>1812</v>
      </c>
      <c r="B12780" s="38">
        <v>51344.0</v>
      </c>
      <c r="C12780" s="38" t="s">
        <v>16978</v>
      </c>
      <c r="D12780" s="38" t="str">
        <f>IFERROR(__xludf.DUMMYFUNCTION("REGEXREPLACE(C12780,""-\d+(.*)|--\d+(.*)"","""")"),"MARDEUIL")</f>
        <v>MARDEUIL</v>
      </c>
      <c r="E12780" s="38" t="s">
        <v>129</v>
      </c>
      <c r="F12780" s="38" t="s">
        <v>130</v>
      </c>
      <c r="G12780" s="49" t="str">
        <f t="shared" si="1"/>
        <v>51530</v>
      </c>
      <c r="H12780" s="49">
        <f t="shared" si="2"/>
        <v>51344</v>
      </c>
    </row>
    <row r="12781">
      <c r="A12781" s="48" t="s">
        <v>1750</v>
      </c>
      <c r="B12781" s="38">
        <v>37151.0</v>
      </c>
      <c r="C12781" s="38" t="s">
        <v>16979</v>
      </c>
      <c r="D12781" s="38" t="str">
        <f>IFERROR(__xludf.DUMMYFUNCTION("REGEXREPLACE(C12781,""-\d+(.*)|--\d+(.*)"","""")"),"LA MEMBROLLE-SUR-CHOISILLE")</f>
        <v>LA MEMBROLLE-SUR-CHOISILLE</v>
      </c>
      <c r="E12781" s="38" t="s">
        <v>205</v>
      </c>
      <c r="F12781" s="38" t="s">
        <v>123</v>
      </c>
      <c r="G12781" s="49" t="str">
        <f t="shared" si="1"/>
        <v>37390</v>
      </c>
      <c r="H12781" s="49">
        <f t="shared" si="2"/>
        <v>37151</v>
      </c>
    </row>
    <row r="12782">
      <c r="A12782" s="48" t="s">
        <v>16980</v>
      </c>
      <c r="B12782" s="38">
        <v>57123.0</v>
      </c>
      <c r="C12782" s="38" t="s">
        <v>16981</v>
      </c>
      <c r="D12782" s="38" t="str">
        <f>IFERROR(__xludf.DUMMYFUNCTION("REGEXREPLACE(C12782,""-\d+(.*)|--\d+(.*)"","""")"),"CARLING")</f>
        <v>CARLING</v>
      </c>
      <c r="E12782" s="38" t="s">
        <v>303</v>
      </c>
      <c r="F12782" s="38" t="s">
        <v>195</v>
      </c>
      <c r="G12782" s="49" t="str">
        <f t="shared" si="1"/>
        <v>57490</v>
      </c>
      <c r="H12782" s="49">
        <f t="shared" si="2"/>
        <v>57123</v>
      </c>
    </row>
    <row r="12783">
      <c r="A12783" s="48" t="s">
        <v>9797</v>
      </c>
      <c r="B12783" s="38">
        <v>29281.0</v>
      </c>
      <c r="C12783" s="38" t="s">
        <v>16982</v>
      </c>
      <c r="D12783" s="38" t="str">
        <f>IFERROR(__xludf.DUMMYFUNCTION("REGEXREPLACE(C12783,""-\d+(.*)|--\d+(.*)"","""")"),"TOURCH")</f>
        <v>TOURCH</v>
      </c>
      <c r="E12783" s="38" t="s">
        <v>176</v>
      </c>
      <c r="F12783" s="38" t="s">
        <v>90</v>
      </c>
      <c r="G12783" s="49" t="str">
        <f t="shared" si="1"/>
        <v>29140</v>
      </c>
      <c r="H12783" s="49">
        <f t="shared" si="2"/>
        <v>29281</v>
      </c>
    </row>
    <row r="12784">
      <c r="A12784" s="48" t="s">
        <v>2296</v>
      </c>
      <c r="B12784" s="38">
        <v>47232.0</v>
      </c>
      <c r="C12784" s="38" t="s">
        <v>16983</v>
      </c>
      <c r="D12784" s="38" t="str">
        <f>IFERROR(__xludf.DUMMYFUNCTION("REGEXREPLACE(C12784,""-\d+(.*)|--\d+(.*)"","""")"),"SAINT-BARTHELEMY-D'AGENAIS")</f>
        <v>SAINT-BARTHELEMY-D'AGENAIS</v>
      </c>
      <c r="E12784" s="38" t="s">
        <v>251</v>
      </c>
      <c r="F12784" s="38" t="s">
        <v>252</v>
      </c>
      <c r="G12784" s="49" t="str">
        <f t="shared" si="1"/>
        <v>47350</v>
      </c>
      <c r="H12784" s="49">
        <f t="shared" si="2"/>
        <v>47232</v>
      </c>
    </row>
    <row r="12785">
      <c r="A12785" s="48" t="s">
        <v>3651</v>
      </c>
      <c r="B12785" s="38">
        <v>19014.0</v>
      </c>
      <c r="C12785" s="38" t="s">
        <v>16984</v>
      </c>
      <c r="D12785" s="38" t="str">
        <f>IFERROR(__xludf.DUMMYFUNCTION("REGEXREPLACE(C12785,""-\d+(.*)|--\d+(.*)"","""")"),"AURIAC")</f>
        <v>AURIAC</v>
      </c>
      <c r="E12785" s="38" t="s">
        <v>271</v>
      </c>
      <c r="F12785" s="38" t="s">
        <v>98</v>
      </c>
      <c r="G12785" s="49" t="str">
        <f t="shared" si="1"/>
        <v>19220</v>
      </c>
      <c r="H12785" s="49">
        <f t="shared" si="2"/>
        <v>19014</v>
      </c>
    </row>
    <row r="12786">
      <c r="A12786" s="48" t="s">
        <v>4181</v>
      </c>
      <c r="B12786" s="38">
        <v>89381.0</v>
      </c>
      <c r="C12786" s="38" t="s">
        <v>16755</v>
      </c>
      <c r="D12786" s="38" t="str">
        <f>IFERROR(__xludf.DUMMYFUNCTION("REGEXREPLACE(C12786,""-\d+(.*)|--\d+(.*)"","""")"),"SCEAUX")</f>
        <v>SCEAUX</v>
      </c>
      <c r="E12786" s="38" t="s">
        <v>275</v>
      </c>
      <c r="F12786" s="38" t="s">
        <v>106</v>
      </c>
      <c r="G12786" s="49" t="str">
        <f t="shared" si="1"/>
        <v>89420</v>
      </c>
      <c r="H12786" s="49">
        <f t="shared" si="2"/>
        <v>89381</v>
      </c>
    </row>
    <row r="12787">
      <c r="A12787" s="48" t="s">
        <v>15358</v>
      </c>
      <c r="B12787" s="38">
        <v>78606.0</v>
      </c>
      <c r="C12787" s="38" t="s">
        <v>16985</v>
      </c>
      <c r="D12787" s="38" t="str">
        <f>IFERROR(__xludf.DUMMYFUNCTION("REGEXREPLACE(C12787,""-\d+(.*)|--\d+(.*)"","""")"),"LE TARTRE-GAUDRAN")</f>
        <v>LE TARTRE-GAUDRAN</v>
      </c>
      <c r="E12787" s="38" t="s">
        <v>362</v>
      </c>
      <c r="F12787" s="38" t="s">
        <v>245</v>
      </c>
      <c r="G12787" s="49" t="str">
        <f t="shared" si="1"/>
        <v>78113</v>
      </c>
      <c r="H12787" s="49">
        <f t="shared" si="2"/>
        <v>78606</v>
      </c>
    </row>
    <row r="12788">
      <c r="A12788" s="48" t="s">
        <v>16986</v>
      </c>
      <c r="B12788" s="38">
        <v>49288.0</v>
      </c>
      <c r="C12788" s="38" t="s">
        <v>16987</v>
      </c>
      <c r="D12788" s="38" t="str">
        <f>IFERROR(__xludf.DUMMYFUNCTION("REGEXREPLACE(C12788,""-\d+(.*)|--\d+(.*)"","""")"),"SAINT-JEAN-DE-LA-CROIX")</f>
        <v>SAINT-JEAN-DE-LA-CROIX</v>
      </c>
      <c r="E12788" s="38" t="s">
        <v>653</v>
      </c>
      <c r="F12788" s="38" t="s">
        <v>180</v>
      </c>
      <c r="G12788" s="49" t="str">
        <f t="shared" si="1"/>
        <v>49130</v>
      </c>
      <c r="H12788" s="49">
        <f t="shared" si="2"/>
        <v>49288</v>
      </c>
    </row>
    <row r="12789">
      <c r="A12789" s="48" t="s">
        <v>3523</v>
      </c>
      <c r="B12789" s="38">
        <v>31486.0</v>
      </c>
      <c r="C12789" s="38" t="s">
        <v>3567</v>
      </c>
      <c r="D12789" s="38" t="str">
        <f>IFERROR(__xludf.DUMMYFUNCTION("REGEXREPLACE(C12789,""-\d+(.*)|--\d+(.*)"","""")"),"SAINT-HILAIRE")</f>
        <v>SAINT-HILAIRE</v>
      </c>
      <c r="E12789" s="38" t="s">
        <v>93</v>
      </c>
      <c r="F12789" s="38" t="s">
        <v>94</v>
      </c>
      <c r="G12789" s="49" t="str">
        <f t="shared" si="1"/>
        <v>31410</v>
      </c>
      <c r="H12789" s="49">
        <f t="shared" si="2"/>
        <v>31486</v>
      </c>
    </row>
    <row r="12790">
      <c r="A12790" s="48" t="s">
        <v>4388</v>
      </c>
      <c r="B12790" s="38">
        <v>31367.0</v>
      </c>
      <c r="C12790" s="38" t="s">
        <v>16988</v>
      </c>
      <c r="D12790" s="38" t="str">
        <f>IFERROR(__xludf.DUMMYFUNCTION("REGEXREPLACE(C12790,""-\d+(.*)|--\d+(.*)"","""")"),"MONTCLAR-DE-COMMINGES")</f>
        <v>MONTCLAR-DE-COMMINGES</v>
      </c>
      <c r="E12790" s="38" t="s">
        <v>93</v>
      </c>
      <c r="F12790" s="38" t="s">
        <v>94</v>
      </c>
      <c r="G12790" s="49" t="str">
        <f t="shared" si="1"/>
        <v>31220</v>
      </c>
      <c r="H12790" s="49">
        <f t="shared" si="2"/>
        <v>31367</v>
      </c>
    </row>
    <row r="12791">
      <c r="A12791" s="48" t="s">
        <v>8001</v>
      </c>
      <c r="B12791" s="38">
        <v>89130.0</v>
      </c>
      <c r="C12791" s="38" t="s">
        <v>16989</v>
      </c>
      <c r="D12791" s="38" t="str">
        <f>IFERROR(__xludf.DUMMYFUNCTION("REGEXREPLACE(C12791,""-\d+(.*)|--\d+(.*)"","""")"),"CRAVANT")</f>
        <v>CRAVANT</v>
      </c>
      <c r="E12791" s="38" t="s">
        <v>275</v>
      </c>
      <c r="F12791" s="38" t="s">
        <v>106</v>
      </c>
      <c r="G12791" s="49" t="str">
        <f t="shared" si="1"/>
        <v>89460</v>
      </c>
      <c r="H12791" s="49">
        <f t="shared" si="2"/>
        <v>89130</v>
      </c>
    </row>
    <row r="12792">
      <c r="A12792" s="48" t="s">
        <v>2710</v>
      </c>
      <c r="B12792" s="38">
        <v>68248.0</v>
      </c>
      <c r="C12792" s="38" t="s">
        <v>16990</v>
      </c>
      <c r="D12792" s="38" t="str">
        <f>IFERROR(__xludf.DUMMYFUNCTION("REGEXREPLACE(C12792,""-\d+(.*)|--\d+(.*)"","""")"),"OLTINGUE")</f>
        <v>OLTINGUE</v>
      </c>
      <c r="E12792" s="38" t="s">
        <v>150</v>
      </c>
      <c r="F12792" s="38" t="s">
        <v>151</v>
      </c>
      <c r="G12792" s="49" t="str">
        <f t="shared" si="1"/>
        <v>68480</v>
      </c>
      <c r="H12792" s="49">
        <f t="shared" si="2"/>
        <v>68248</v>
      </c>
    </row>
    <row r="12793">
      <c r="A12793" s="48" t="s">
        <v>1763</v>
      </c>
      <c r="B12793" s="38">
        <v>76103.0</v>
      </c>
      <c r="C12793" s="38" t="s">
        <v>16991</v>
      </c>
      <c r="D12793" s="38" t="str">
        <f>IFERROR(__xludf.DUMMYFUNCTION("REGEXREPLACE(C12793,""-\d+(.*)|--\d+(.*)"","""")"),"BONSECOURS")</f>
        <v>BONSECOURS</v>
      </c>
      <c r="E12793" s="38" t="s">
        <v>133</v>
      </c>
      <c r="F12793" s="38" t="s">
        <v>134</v>
      </c>
      <c r="G12793" s="49" t="str">
        <f t="shared" si="1"/>
        <v>76240</v>
      </c>
      <c r="H12793" s="49">
        <f t="shared" si="2"/>
        <v>76103</v>
      </c>
    </row>
    <row r="12794">
      <c r="A12794" s="48" t="s">
        <v>724</v>
      </c>
      <c r="B12794" s="38">
        <v>32324.0</v>
      </c>
      <c r="C12794" s="38" t="s">
        <v>16992</v>
      </c>
      <c r="D12794" s="38" t="str">
        <f>IFERROR(__xludf.DUMMYFUNCTION("REGEXREPLACE(C12794,""-\d+(.*)|--\d+(.*)"","""")"),"PONSAN-SOUBIRAN")</f>
        <v>PONSAN-SOUBIRAN</v>
      </c>
      <c r="E12794" s="38" t="s">
        <v>440</v>
      </c>
      <c r="F12794" s="38" t="s">
        <v>94</v>
      </c>
      <c r="G12794" s="49" t="str">
        <f t="shared" si="1"/>
        <v>32300</v>
      </c>
      <c r="H12794" s="49">
        <f t="shared" si="2"/>
        <v>32324</v>
      </c>
    </row>
    <row r="12795">
      <c r="A12795" s="48" t="s">
        <v>16993</v>
      </c>
      <c r="B12795" s="38">
        <v>59242.0</v>
      </c>
      <c r="C12795" s="38" t="s">
        <v>16994</v>
      </c>
      <c r="D12795" s="38" t="str">
        <f>IFERROR(__xludf.DUMMYFUNCTION("REGEXREPLACE(C12795,""-\d+(.*)|--\d+(.*)"","""")"),"FONTAINE-AU-BOIS")</f>
        <v>FONTAINE-AU-BOIS</v>
      </c>
      <c r="E12795" s="38" t="s">
        <v>85</v>
      </c>
      <c r="F12795" s="38" t="s">
        <v>86</v>
      </c>
      <c r="G12795" s="49" t="str">
        <f t="shared" si="1"/>
        <v>59550</v>
      </c>
      <c r="H12795" s="49">
        <f t="shared" si="2"/>
        <v>59242</v>
      </c>
    </row>
    <row r="12796">
      <c r="A12796" s="48" t="s">
        <v>1892</v>
      </c>
      <c r="B12796" s="38">
        <v>67093.0</v>
      </c>
      <c r="C12796" s="38" t="s">
        <v>16995</v>
      </c>
      <c r="D12796" s="38" t="str">
        <f>IFERROR(__xludf.DUMMYFUNCTION("REGEXREPLACE(C12796,""-\d+(.*)|--\d+(.*)"","""")"),"DIEFFENBACH-LES-WOERTH")</f>
        <v>DIEFFENBACH-LES-WOERTH</v>
      </c>
      <c r="E12796" s="38" t="s">
        <v>210</v>
      </c>
      <c r="F12796" s="38" t="s">
        <v>151</v>
      </c>
      <c r="G12796" s="49" t="str">
        <f t="shared" si="1"/>
        <v>67360</v>
      </c>
      <c r="H12796" s="49">
        <f t="shared" si="2"/>
        <v>67093</v>
      </c>
    </row>
    <row r="12797">
      <c r="A12797" s="48" t="s">
        <v>792</v>
      </c>
      <c r="B12797" s="38">
        <v>2712.0</v>
      </c>
      <c r="C12797" s="38" t="s">
        <v>16996</v>
      </c>
      <c r="D12797" s="38" t="str">
        <f>IFERROR(__xludf.DUMMYFUNCTION("REGEXREPLACE(C12797,""-\d+(.*)|--\d+(.*)"","""")"),"SERGY")</f>
        <v>SERGY</v>
      </c>
      <c r="E12797" s="38" t="s">
        <v>191</v>
      </c>
      <c r="F12797" s="38" t="s">
        <v>113</v>
      </c>
      <c r="G12797" s="49" t="str">
        <f t="shared" si="1"/>
        <v>02130</v>
      </c>
      <c r="H12797" s="49" t="str">
        <f t="shared" si="2"/>
        <v>02712</v>
      </c>
    </row>
    <row r="12798">
      <c r="A12798" s="48" t="s">
        <v>2061</v>
      </c>
      <c r="B12798" s="38">
        <v>21098.0</v>
      </c>
      <c r="C12798" s="38" t="s">
        <v>16997</v>
      </c>
      <c r="D12798" s="38" t="str">
        <f>IFERROR(__xludf.DUMMYFUNCTION("REGEXREPLACE(C12798,""-\d+(.*)|--\d+(.*)"","""")"),"BOUX-SOUS-SALMAISE")</f>
        <v>BOUX-SOUS-SALMAISE</v>
      </c>
      <c r="E12798" s="38" t="s">
        <v>105</v>
      </c>
      <c r="F12798" s="38" t="s">
        <v>106</v>
      </c>
      <c r="G12798" s="49" t="str">
        <f t="shared" si="1"/>
        <v>21690</v>
      </c>
      <c r="H12798" s="49">
        <f t="shared" si="2"/>
        <v>21098</v>
      </c>
    </row>
    <row r="12799">
      <c r="A12799" s="48" t="s">
        <v>2949</v>
      </c>
      <c r="B12799" s="38">
        <v>27088.0</v>
      </c>
      <c r="C12799" s="38" t="s">
        <v>16998</v>
      </c>
      <c r="D12799" s="38" t="str">
        <f>IFERROR(__xludf.DUMMYFUNCTION("REGEXREPLACE(C12799,""-\d+(.*)|--\d+(.*)"","""")"),"BOSC-RENOULT-EN-OUCHE")</f>
        <v>BOSC-RENOULT-EN-OUCHE</v>
      </c>
      <c r="E12799" s="38" t="s">
        <v>241</v>
      </c>
      <c r="F12799" s="38" t="s">
        <v>134</v>
      </c>
      <c r="G12799" s="49" t="str">
        <f t="shared" si="1"/>
        <v>27330</v>
      </c>
      <c r="H12799" s="49">
        <f t="shared" si="2"/>
        <v>27088</v>
      </c>
    </row>
    <row r="12800">
      <c r="A12800" s="48" t="s">
        <v>328</v>
      </c>
      <c r="B12800" s="38">
        <v>2739.0</v>
      </c>
      <c r="C12800" s="38" t="s">
        <v>16999</v>
      </c>
      <c r="D12800" s="38" t="str">
        <f>IFERROR(__xludf.DUMMYFUNCTION("REGEXREPLACE(C12800,""-\d+(.*)|--\d+(.*)"","""")"),"TERNY-SORNY")</f>
        <v>TERNY-SORNY</v>
      </c>
      <c r="E12800" s="38" t="s">
        <v>191</v>
      </c>
      <c r="F12800" s="38" t="s">
        <v>113</v>
      </c>
      <c r="G12800" s="49" t="str">
        <f t="shared" si="1"/>
        <v>02880</v>
      </c>
      <c r="H12800" s="49" t="str">
        <f t="shared" si="2"/>
        <v>02739</v>
      </c>
    </row>
    <row r="12801">
      <c r="A12801" s="48" t="s">
        <v>3795</v>
      </c>
      <c r="B12801" s="38">
        <v>24209.0</v>
      </c>
      <c r="C12801" s="38" t="s">
        <v>17000</v>
      </c>
      <c r="D12801" s="38" t="str">
        <f>IFERROR(__xludf.DUMMYFUNCTION("REGEXREPLACE(C12801,""-\d+(.*)|--\d+(.*)"","""")"),"HAUTEFAYE")</f>
        <v>HAUTEFAYE</v>
      </c>
      <c r="E12801" s="38" t="s">
        <v>261</v>
      </c>
      <c r="F12801" s="38" t="s">
        <v>252</v>
      </c>
      <c r="G12801" s="49" t="str">
        <f t="shared" si="1"/>
        <v>24300</v>
      </c>
      <c r="H12801" s="49">
        <f t="shared" si="2"/>
        <v>24209</v>
      </c>
    </row>
    <row r="12802">
      <c r="A12802" s="48" t="s">
        <v>6129</v>
      </c>
      <c r="B12802" s="38">
        <v>67288.0</v>
      </c>
      <c r="C12802" s="38" t="s">
        <v>17001</v>
      </c>
      <c r="D12802" s="38" t="str">
        <f>IFERROR(__xludf.DUMMYFUNCTION("REGEXREPLACE(C12802,""-\d+(.*)|--\d+(.*)"","""")"),"MEMMELSHOFFEN")</f>
        <v>MEMMELSHOFFEN</v>
      </c>
      <c r="E12802" s="38" t="s">
        <v>210</v>
      </c>
      <c r="F12802" s="38" t="s">
        <v>151</v>
      </c>
      <c r="G12802" s="49" t="str">
        <f t="shared" si="1"/>
        <v>67250</v>
      </c>
      <c r="H12802" s="49">
        <f t="shared" si="2"/>
        <v>67288</v>
      </c>
    </row>
    <row r="12803">
      <c r="A12803" s="48" t="s">
        <v>5428</v>
      </c>
      <c r="B12803" s="38">
        <v>74098.0</v>
      </c>
      <c r="C12803" s="38" t="s">
        <v>17002</v>
      </c>
      <c r="D12803" s="38" t="str">
        <f>IFERROR(__xludf.DUMMYFUNCTION("REGEXREPLACE(C12803,""-\d+(.*)|--\d+(.*)"","""")"),"CUVAT")</f>
        <v>CUVAT</v>
      </c>
      <c r="E12803" s="38" t="s">
        <v>319</v>
      </c>
      <c r="F12803" s="38" t="s">
        <v>102</v>
      </c>
      <c r="G12803" s="49" t="str">
        <f t="shared" si="1"/>
        <v>74350</v>
      </c>
      <c r="H12803" s="49">
        <f t="shared" si="2"/>
        <v>74098</v>
      </c>
    </row>
    <row r="12804">
      <c r="A12804" s="48" t="s">
        <v>8059</v>
      </c>
      <c r="B12804" s="38">
        <v>70534.0</v>
      </c>
      <c r="C12804" s="38" t="s">
        <v>17003</v>
      </c>
      <c r="D12804" s="38" t="str">
        <f>IFERROR(__xludf.DUMMYFUNCTION("REGEXREPLACE(C12804,""-\d+(.*)|--\d+(.*)"","""")"),"VELLEFRIE")</f>
        <v>VELLEFRIE</v>
      </c>
      <c r="E12804" s="38" t="s">
        <v>956</v>
      </c>
      <c r="F12804" s="38" t="s">
        <v>214</v>
      </c>
      <c r="G12804" s="49" t="str">
        <f t="shared" si="1"/>
        <v>70240</v>
      </c>
      <c r="H12804" s="49">
        <f t="shared" si="2"/>
        <v>70534</v>
      </c>
    </row>
    <row r="12805">
      <c r="A12805" s="48" t="s">
        <v>9245</v>
      </c>
      <c r="B12805" s="38">
        <v>47253.0</v>
      </c>
      <c r="C12805" s="38" t="s">
        <v>2680</v>
      </c>
      <c r="D12805" s="38" t="str">
        <f>IFERROR(__xludf.DUMMYFUNCTION("REGEXREPLACE(C12805,""-\d+(.*)|--\d+(.*)"","""")"),"SAINTE-MARTHE")</f>
        <v>SAINTE-MARTHE</v>
      </c>
      <c r="E12805" s="38" t="s">
        <v>251</v>
      </c>
      <c r="F12805" s="38" t="s">
        <v>252</v>
      </c>
      <c r="G12805" s="49" t="str">
        <f t="shared" si="1"/>
        <v>47430</v>
      </c>
      <c r="H12805" s="49">
        <f t="shared" si="2"/>
        <v>47253</v>
      </c>
    </row>
    <row r="12806">
      <c r="A12806" s="48" t="s">
        <v>17004</v>
      </c>
      <c r="B12806" s="38">
        <v>91667.0</v>
      </c>
      <c r="C12806" s="38" t="s">
        <v>17005</v>
      </c>
      <c r="D12806" s="38" t="str">
        <f>IFERROR(__xludf.DUMMYFUNCTION("REGEXREPLACE(C12806,""-\d+(.*)|--\d+(.*)"","""")"),"VILLEMOISSON-SUR-ORGE")</f>
        <v>VILLEMOISSON-SUR-ORGE</v>
      </c>
      <c r="E12806" s="38" t="s">
        <v>756</v>
      </c>
      <c r="F12806" s="38" t="s">
        <v>245</v>
      </c>
      <c r="G12806" s="49" t="str">
        <f t="shared" si="1"/>
        <v>91360</v>
      </c>
      <c r="H12806" s="49">
        <f t="shared" si="2"/>
        <v>91667</v>
      </c>
    </row>
    <row r="12807">
      <c r="A12807" s="48" t="s">
        <v>236</v>
      </c>
      <c r="B12807" s="38">
        <v>9243.0</v>
      </c>
      <c r="C12807" s="38" t="s">
        <v>17006</v>
      </c>
      <c r="D12807" s="38" t="str">
        <f>IFERROR(__xludf.DUMMYFUNCTION("REGEXREPLACE(C12807,""-\d+(.*)|--\d+(.*)"","""")"),"REGAT")</f>
        <v>REGAT</v>
      </c>
      <c r="E12807" s="38" t="s">
        <v>238</v>
      </c>
      <c r="F12807" s="38" t="s">
        <v>94</v>
      </c>
      <c r="G12807" s="49" t="str">
        <f t="shared" si="1"/>
        <v>09600</v>
      </c>
      <c r="H12807" s="49" t="str">
        <f t="shared" si="2"/>
        <v>09243</v>
      </c>
    </row>
    <row r="12808">
      <c r="A12808" s="48" t="s">
        <v>229</v>
      </c>
      <c r="B12808" s="38">
        <v>81276.0</v>
      </c>
      <c r="C12808" s="38" t="s">
        <v>17007</v>
      </c>
      <c r="D12808" s="38" t="str">
        <f>IFERROR(__xludf.DUMMYFUNCTION("REGEXREPLACE(C12808,""-\d+(.*)|--\d+(.*)"","""")"),"SALVAGNAC")</f>
        <v>SALVAGNAC</v>
      </c>
      <c r="E12808" s="38" t="s">
        <v>231</v>
      </c>
      <c r="F12808" s="38" t="s">
        <v>94</v>
      </c>
      <c r="G12808" s="49" t="str">
        <f t="shared" si="1"/>
        <v>81630</v>
      </c>
      <c r="H12808" s="49">
        <f t="shared" si="2"/>
        <v>81276</v>
      </c>
    </row>
    <row r="12809">
      <c r="A12809" s="48" t="s">
        <v>9223</v>
      </c>
      <c r="B12809" s="38">
        <v>66115.0</v>
      </c>
      <c r="C12809" s="38" t="s">
        <v>17008</v>
      </c>
      <c r="D12809" s="38" t="str">
        <f>IFERROR(__xludf.DUMMYFUNCTION("REGEXREPLACE(C12809,""-\d+(.*)|--\d+(.*)"","""")"),"MONTESQUIEU-DES-ALBERES")</f>
        <v>MONTESQUIEU-DES-ALBERES</v>
      </c>
      <c r="E12809" s="38" t="s">
        <v>248</v>
      </c>
      <c r="F12809" s="38" t="s">
        <v>119</v>
      </c>
      <c r="G12809" s="49" t="str">
        <f t="shared" si="1"/>
        <v>66740</v>
      </c>
      <c r="H12809" s="49">
        <f t="shared" si="2"/>
        <v>66115</v>
      </c>
    </row>
    <row r="12810">
      <c r="A12810" s="48" t="s">
        <v>1695</v>
      </c>
      <c r="B12810" s="38">
        <v>80820.0</v>
      </c>
      <c r="C12810" s="38" t="s">
        <v>17009</v>
      </c>
      <c r="D12810" s="38" t="str">
        <f>IFERROR(__xludf.DUMMYFUNCTION("REGEXREPLACE(C12810,""-\d+(.*)|--\d+(.*)"","""")"),"WARLOY-BAILLON")</f>
        <v>WARLOY-BAILLON</v>
      </c>
      <c r="E12810" s="38" t="s">
        <v>224</v>
      </c>
      <c r="F12810" s="38" t="s">
        <v>113</v>
      </c>
      <c r="G12810" s="49" t="str">
        <f t="shared" si="1"/>
        <v>80300</v>
      </c>
      <c r="H12810" s="49">
        <f t="shared" si="2"/>
        <v>80820</v>
      </c>
    </row>
    <row r="12811">
      <c r="A12811" s="48" t="s">
        <v>6256</v>
      </c>
      <c r="B12811" s="38">
        <v>55336.0</v>
      </c>
      <c r="C12811" s="38" t="s">
        <v>17010</v>
      </c>
      <c r="D12811" s="38" t="str">
        <f>IFERROR(__xludf.DUMMYFUNCTION("REGEXREPLACE(C12811,""-\d+(.*)|--\d+(.*)"","""")"),"MERLES-SUR-LOISON")</f>
        <v>MERLES-SUR-LOISON</v>
      </c>
      <c r="E12811" s="38" t="s">
        <v>322</v>
      </c>
      <c r="F12811" s="38" t="s">
        <v>195</v>
      </c>
      <c r="G12811" s="49" t="str">
        <f t="shared" si="1"/>
        <v>55150</v>
      </c>
      <c r="H12811" s="49">
        <f t="shared" si="2"/>
        <v>55336</v>
      </c>
    </row>
    <row r="12812">
      <c r="A12812" s="48" t="s">
        <v>1636</v>
      </c>
      <c r="B12812" s="38">
        <v>14093.0</v>
      </c>
      <c r="C12812" s="38" t="s">
        <v>17011</v>
      </c>
      <c r="D12812" s="38" t="str">
        <f>IFERROR(__xludf.DUMMYFUNCTION("REGEXREPLACE(C12812,""-\d+(.*)|--\d+(.*)"","""")"),"BRANVILLE")</f>
        <v>BRANVILLE</v>
      </c>
      <c r="E12812" s="38" t="s">
        <v>137</v>
      </c>
      <c r="F12812" s="38" t="s">
        <v>138</v>
      </c>
      <c r="G12812" s="49" t="str">
        <f t="shared" si="1"/>
        <v>14430</v>
      </c>
      <c r="H12812" s="49">
        <f t="shared" si="2"/>
        <v>14093</v>
      </c>
    </row>
    <row r="12813">
      <c r="A12813" s="48" t="s">
        <v>15501</v>
      </c>
      <c r="B12813" s="38">
        <v>19111.0</v>
      </c>
      <c r="C12813" s="38" t="s">
        <v>17012</v>
      </c>
      <c r="D12813" s="38" t="str">
        <f>IFERROR(__xludf.DUMMYFUNCTION("REGEXREPLACE(C12813,""-\d+(.*)|--\d+(.*)"","""")"),"LAVAL-SUR-LUZEGE")</f>
        <v>LAVAL-SUR-LUZEGE</v>
      </c>
      <c r="E12813" s="38" t="s">
        <v>271</v>
      </c>
      <c r="F12813" s="38" t="s">
        <v>98</v>
      </c>
      <c r="G12813" s="49" t="str">
        <f t="shared" si="1"/>
        <v>19550</v>
      </c>
      <c r="H12813" s="49">
        <f t="shared" si="2"/>
        <v>19111</v>
      </c>
    </row>
    <row r="12814">
      <c r="A12814" s="48" t="s">
        <v>1724</v>
      </c>
      <c r="B12814" s="38">
        <v>26347.0</v>
      </c>
      <c r="C12814" s="38" t="s">
        <v>17013</v>
      </c>
      <c r="D12814" s="38" t="str">
        <f>IFERROR(__xludf.DUMMYFUNCTION("REGEXREPLACE(C12814,""-\d+(.*)|--\d+(.*)"","""")"),"TAIN-L'HERMITAGE")</f>
        <v>TAIN-L'HERMITAGE</v>
      </c>
      <c r="E12814" s="38" t="s">
        <v>126</v>
      </c>
      <c r="F12814" s="38" t="s">
        <v>102</v>
      </c>
      <c r="G12814" s="49" t="str">
        <f t="shared" si="1"/>
        <v>26600</v>
      </c>
      <c r="H12814" s="49">
        <f t="shared" si="2"/>
        <v>26347</v>
      </c>
    </row>
    <row r="12815">
      <c r="A12815" s="48" t="s">
        <v>3808</v>
      </c>
      <c r="B12815" s="38">
        <v>86203.0</v>
      </c>
      <c r="C12815" s="38" t="s">
        <v>17014</v>
      </c>
      <c r="D12815" s="38" t="str">
        <f>IFERROR(__xludf.DUMMYFUNCTION("REGEXREPLACE(C12815,""-\d+(.*)|--\d+(.*)"","""")"),"QUEAUX")</f>
        <v>QUEAUX</v>
      </c>
      <c r="E12815" s="38" t="s">
        <v>529</v>
      </c>
      <c r="F12815" s="38" t="s">
        <v>338</v>
      </c>
      <c r="G12815" s="49" t="str">
        <f t="shared" si="1"/>
        <v>86150</v>
      </c>
      <c r="H12815" s="49">
        <f t="shared" si="2"/>
        <v>86203</v>
      </c>
    </row>
    <row r="12816">
      <c r="A12816" s="48" t="s">
        <v>6268</v>
      </c>
      <c r="B12816" s="38">
        <v>10100.0</v>
      </c>
      <c r="C12816" s="38" t="s">
        <v>17015</v>
      </c>
      <c r="D12816" s="38" t="str">
        <f>IFERROR(__xludf.DUMMYFUNCTION("REGEXREPLACE(C12816,""-\d+(.*)|--\d+(.*)"","""")"),"CLEREY")</f>
        <v>CLEREY</v>
      </c>
      <c r="E12816" s="38" t="s">
        <v>147</v>
      </c>
      <c r="F12816" s="38" t="s">
        <v>130</v>
      </c>
      <c r="G12816" s="49" t="str">
        <f t="shared" si="1"/>
        <v>10390</v>
      </c>
      <c r="H12816" s="49">
        <f t="shared" si="2"/>
        <v>10100</v>
      </c>
    </row>
    <row r="12817">
      <c r="A12817" s="48" t="s">
        <v>3156</v>
      </c>
      <c r="B12817" s="38">
        <v>77228.0</v>
      </c>
      <c r="C12817" s="38" t="s">
        <v>17016</v>
      </c>
      <c r="D12817" s="38" t="str">
        <f>IFERROR(__xludf.DUMMYFUNCTION("REGEXREPLACE(C12817,""-\d+(.*)|--\d+(.*)"","""")"),"HONDEVILLIERS")</f>
        <v>HONDEVILLIERS</v>
      </c>
      <c r="E12817" s="38" t="s">
        <v>244</v>
      </c>
      <c r="F12817" s="38" t="s">
        <v>245</v>
      </c>
      <c r="G12817" s="49" t="str">
        <f t="shared" si="1"/>
        <v>77510</v>
      </c>
      <c r="H12817" s="49">
        <f t="shared" si="2"/>
        <v>77228</v>
      </c>
    </row>
    <row r="12818">
      <c r="A12818" s="48" t="s">
        <v>5982</v>
      </c>
      <c r="B12818" s="38">
        <v>63292.0</v>
      </c>
      <c r="C12818" s="38" t="s">
        <v>17017</v>
      </c>
      <c r="D12818" s="38" t="str">
        <f>IFERROR(__xludf.DUMMYFUNCTION("REGEXREPLACE(C12818,""-\d+(.*)|--\d+(.*)"","""")"),"PUY-SAINT-GULMIER")</f>
        <v>PUY-SAINT-GULMIER</v>
      </c>
      <c r="E12818" s="38" t="s">
        <v>353</v>
      </c>
      <c r="F12818" s="38" t="s">
        <v>161</v>
      </c>
      <c r="G12818" s="49" t="str">
        <f t="shared" si="1"/>
        <v>63470</v>
      </c>
      <c r="H12818" s="49">
        <f t="shared" si="2"/>
        <v>63292</v>
      </c>
    </row>
    <row r="12819">
      <c r="A12819" s="48" t="s">
        <v>15316</v>
      </c>
      <c r="B12819" s="38">
        <v>66174.0</v>
      </c>
      <c r="C12819" s="38" t="s">
        <v>17018</v>
      </c>
      <c r="D12819" s="38" t="str">
        <f>IFERROR(__xludf.DUMMYFUNCTION("REGEXREPLACE(C12819,""-\d+(.*)|--\d+(.*)"","""")"),"SAINT-FELIU-D'AVALL")</f>
        <v>SAINT-FELIU-D'AVALL</v>
      </c>
      <c r="E12819" s="38" t="s">
        <v>248</v>
      </c>
      <c r="F12819" s="38" t="s">
        <v>119</v>
      </c>
      <c r="G12819" s="49" t="str">
        <f t="shared" si="1"/>
        <v>66170</v>
      </c>
      <c r="H12819" s="49">
        <f t="shared" si="2"/>
        <v>66174</v>
      </c>
    </row>
    <row r="12820">
      <c r="A12820" s="48" t="s">
        <v>14017</v>
      </c>
      <c r="B12820" s="38">
        <v>23252.0</v>
      </c>
      <c r="C12820" s="38" t="s">
        <v>17019</v>
      </c>
      <c r="D12820" s="38" t="str">
        <f>IFERROR(__xludf.DUMMYFUNCTION("REGEXREPLACE(C12820,""-\d+(.*)|--\d+(.*)"","""")"),"TERCILLAT")</f>
        <v>TERCILLAT</v>
      </c>
      <c r="E12820" s="38" t="s">
        <v>97</v>
      </c>
      <c r="F12820" s="38" t="s">
        <v>98</v>
      </c>
      <c r="G12820" s="49" t="str">
        <f t="shared" si="1"/>
        <v>23350</v>
      </c>
      <c r="H12820" s="49">
        <f t="shared" si="2"/>
        <v>23252</v>
      </c>
    </row>
    <row r="12821">
      <c r="A12821" s="48" t="s">
        <v>17020</v>
      </c>
      <c r="B12821" s="38">
        <v>88470.0</v>
      </c>
      <c r="C12821" s="38" t="s">
        <v>17021</v>
      </c>
      <c r="D12821" s="38" t="str">
        <f>IFERROR(__xludf.DUMMYFUNCTION("REGEXREPLACE(C12821,""-\d+(.*)|--\d+(.*)"","""")"),"LE THOLY")</f>
        <v>LE THOLY</v>
      </c>
      <c r="E12821" s="38" t="s">
        <v>194</v>
      </c>
      <c r="F12821" s="38" t="s">
        <v>195</v>
      </c>
      <c r="G12821" s="49" t="str">
        <f t="shared" si="1"/>
        <v>88530</v>
      </c>
      <c r="H12821" s="49">
        <f t="shared" si="2"/>
        <v>88470</v>
      </c>
    </row>
    <row r="12822">
      <c r="A12822" s="48" t="s">
        <v>2040</v>
      </c>
      <c r="B12822" s="38">
        <v>59534.0</v>
      </c>
      <c r="C12822" s="38" t="s">
        <v>17022</v>
      </c>
      <c r="D12822" s="38" t="str">
        <f>IFERROR(__xludf.DUMMYFUNCTION("REGEXREPLACE(C12822,""-\d+(.*)|--\d+(.*)"","""")"),"SAINT-HILAIRE-SUR-HELPE")</f>
        <v>SAINT-HILAIRE-SUR-HELPE</v>
      </c>
      <c r="E12822" s="38" t="s">
        <v>85</v>
      </c>
      <c r="F12822" s="38" t="s">
        <v>86</v>
      </c>
      <c r="G12822" s="49" t="str">
        <f t="shared" si="1"/>
        <v>59440</v>
      </c>
      <c r="H12822" s="49">
        <f t="shared" si="2"/>
        <v>59534</v>
      </c>
    </row>
    <row r="12823">
      <c r="A12823" s="48" t="s">
        <v>2781</v>
      </c>
      <c r="B12823" s="38">
        <v>6008.0</v>
      </c>
      <c r="C12823" s="38" t="s">
        <v>17023</v>
      </c>
      <c r="D12823" s="38" t="str">
        <f>IFERROR(__xludf.DUMMYFUNCTION("REGEXREPLACE(C12823,""-\d+(.*)|--\d+(.*)"","""")"),"AUVARE")</f>
        <v>AUVARE</v>
      </c>
      <c r="E12823" s="38" t="s">
        <v>227</v>
      </c>
      <c r="F12823" s="38" t="s">
        <v>228</v>
      </c>
      <c r="G12823" s="49" t="str">
        <f t="shared" si="1"/>
        <v>06260</v>
      </c>
      <c r="H12823" s="49" t="str">
        <f t="shared" si="2"/>
        <v>06008</v>
      </c>
    </row>
    <row r="12824">
      <c r="A12824" s="48" t="s">
        <v>8607</v>
      </c>
      <c r="B12824" s="38">
        <v>1129.0</v>
      </c>
      <c r="C12824" s="38" t="s">
        <v>523</v>
      </c>
      <c r="D12824" s="38" t="str">
        <f>IFERROR(__xludf.DUMMYFUNCTION("REGEXREPLACE(C12824,""-\d+(.*)|--\d+(.*)"","""")"),"CRANS")</f>
        <v>CRANS</v>
      </c>
      <c r="E12824" s="38" t="s">
        <v>255</v>
      </c>
      <c r="F12824" s="38" t="s">
        <v>102</v>
      </c>
      <c r="G12824" s="49" t="str">
        <f t="shared" si="1"/>
        <v>01320</v>
      </c>
      <c r="H12824" s="49" t="str">
        <f t="shared" si="2"/>
        <v>01129</v>
      </c>
    </row>
    <row r="12825">
      <c r="A12825" s="48" t="s">
        <v>7712</v>
      </c>
      <c r="B12825" s="38">
        <v>9063.0</v>
      </c>
      <c r="C12825" s="38" t="s">
        <v>17024</v>
      </c>
      <c r="D12825" s="38" t="str">
        <f>IFERROR(__xludf.DUMMYFUNCTION("REGEXREPLACE(C12825,""-\d+(.*)|--\d+(.*)"","""")"),"LE BOSC")</f>
        <v>LE BOSC</v>
      </c>
      <c r="E12825" s="38" t="s">
        <v>238</v>
      </c>
      <c r="F12825" s="38" t="s">
        <v>94</v>
      </c>
      <c r="G12825" s="49" t="str">
        <f t="shared" si="1"/>
        <v>09000</v>
      </c>
      <c r="H12825" s="49" t="str">
        <f t="shared" si="2"/>
        <v>09063</v>
      </c>
    </row>
    <row r="12826">
      <c r="A12826" s="48" t="s">
        <v>1398</v>
      </c>
      <c r="B12826" s="38">
        <v>45035.0</v>
      </c>
      <c r="C12826" s="38" t="s">
        <v>17025</v>
      </c>
      <c r="D12826" s="38" t="str">
        <f>IFERROR(__xludf.DUMMYFUNCTION("REGEXREPLACE(C12826,""-\d+(.*)|--\d+(.*)"","""")"),"BOISCOMMUN")</f>
        <v>BOISCOMMUN</v>
      </c>
      <c r="E12826" s="38" t="s">
        <v>122</v>
      </c>
      <c r="F12826" s="38" t="s">
        <v>123</v>
      </c>
      <c r="G12826" s="49" t="str">
        <f t="shared" si="1"/>
        <v>45340</v>
      </c>
      <c r="H12826" s="49">
        <f t="shared" si="2"/>
        <v>45035</v>
      </c>
    </row>
    <row r="12827">
      <c r="A12827" s="48" t="s">
        <v>2976</v>
      </c>
      <c r="B12827" s="38">
        <v>14238.0</v>
      </c>
      <c r="C12827" s="38" t="s">
        <v>17026</v>
      </c>
      <c r="D12827" s="38" t="str">
        <f>IFERROR(__xludf.DUMMYFUNCTION("REGEXREPLACE(C12827,""-\d+(.*)|--\d+(.*)"","""")"),"ENGLESQUEVILLE-EN-AUGE")</f>
        <v>ENGLESQUEVILLE-EN-AUGE</v>
      </c>
      <c r="E12827" s="38" t="s">
        <v>137</v>
      </c>
      <c r="F12827" s="38" t="s">
        <v>138</v>
      </c>
      <c r="G12827" s="49" t="str">
        <f t="shared" si="1"/>
        <v>14800</v>
      </c>
      <c r="H12827" s="49">
        <f t="shared" si="2"/>
        <v>14238</v>
      </c>
    </row>
    <row r="12828">
      <c r="A12828" s="48" t="s">
        <v>1744</v>
      </c>
      <c r="B12828" s="38">
        <v>31413.0</v>
      </c>
      <c r="C12828" s="38" t="s">
        <v>17027</v>
      </c>
      <c r="D12828" s="38" t="str">
        <f>IFERROR(__xludf.DUMMYFUNCTION("REGEXREPLACE(C12828,""-\d+(.*)|--\d+(.*)"","""")"),"PELLEPORT")</f>
        <v>PELLEPORT</v>
      </c>
      <c r="E12828" s="38" t="s">
        <v>93</v>
      </c>
      <c r="F12828" s="38" t="s">
        <v>94</v>
      </c>
      <c r="G12828" s="49" t="str">
        <f t="shared" si="1"/>
        <v>31480</v>
      </c>
      <c r="H12828" s="49">
        <f t="shared" si="2"/>
        <v>31413</v>
      </c>
    </row>
    <row r="12829">
      <c r="A12829" s="48" t="s">
        <v>17028</v>
      </c>
      <c r="B12829" s="38">
        <v>34298.0</v>
      </c>
      <c r="C12829" s="38" t="s">
        <v>17029</v>
      </c>
      <c r="D12829" s="38" t="str">
        <f>IFERROR(__xludf.DUMMYFUNCTION("REGEXREPLACE(C12829,""-\d+(.*)|--\d+(.*)"","""")"),"SAUVIAN")</f>
        <v>SAUVIAN</v>
      </c>
      <c r="E12829" s="38" t="s">
        <v>118</v>
      </c>
      <c r="F12829" s="38" t="s">
        <v>119</v>
      </c>
      <c r="G12829" s="49" t="str">
        <f t="shared" si="1"/>
        <v>34410</v>
      </c>
      <c r="H12829" s="49">
        <f t="shared" si="2"/>
        <v>34298</v>
      </c>
    </row>
    <row r="12830">
      <c r="A12830" s="48" t="s">
        <v>17030</v>
      </c>
      <c r="B12830" s="38">
        <v>81195.0</v>
      </c>
      <c r="C12830" s="38" t="s">
        <v>2214</v>
      </c>
      <c r="D12830" s="38" t="str">
        <f>IFERROR(__xludf.DUMMYFUNCTION("REGEXREPLACE(C12830,""-\d+(.*)|--\d+(.*)"","""")"),"NAVES")</f>
        <v>NAVES</v>
      </c>
      <c r="E12830" s="38" t="s">
        <v>231</v>
      </c>
      <c r="F12830" s="38" t="s">
        <v>94</v>
      </c>
      <c r="G12830" s="49" t="str">
        <f t="shared" si="1"/>
        <v>81710</v>
      </c>
      <c r="H12830" s="49">
        <f t="shared" si="2"/>
        <v>81195</v>
      </c>
    </row>
    <row r="12831">
      <c r="A12831" s="48" t="s">
        <v>6542</v>
      </c>
      <c r="B12831" s="38">
        <v>40038.0</v>
      </c>
      <c r="C12831" s="38" t="s">
        <v>17031</v>
      </c>
      <c r="D12831" s="38" t="str">
        <f>IFERROR(__xludf.DUMMYFUNCTION("REGEXREPLACE(C12831,""-\d+(.*)|--\d+(.*)"","""")"),"BERGOUEY")</f>
        <v>BERGOUEY</v>
      </c>
      <c r="E12831" s="38" t="s">
        <v>281</v>
      </c>
      <c r="F12831" s="38" t="s">
        <v>252</v>
      </c>
      <c r="G12831" s="49" t="str">
        <f t="shared" si="1"/>
        <v>40250</v>
      </c>
      <c r="H12831" s="49">
        <f t="shared" si="2"/>
        <v>40038</v>
      </c>
    </row>
    <row r="12832">
      <c r="A12832" s="48" t="s">
        <v>13370</v>
      </c>
      <c r="B12832" s="38">
        <v>22376.0</v>
      </c>
      <c r="C12832" s="38" t="s">
        <v>17032</v>
      </c>
      <c r="D12832" s="38" t="str">
        <f>IFERROR(__xludf.DUMMYFUNCTION("REGEXREPLACE(C12832,""-\d+(.*)|--\d+(.*)"","""")"),"TREVE")</f>
        <v>TREVE</v>
      </c>
      <c r="E12832" s="38" t="s">
        <v>89</v>
      </c>
      <c r="F12832" s="38" t="s">
        <v>90</v>
      </c>
      <c r="G12832" s="49" t="str">
        <f t="shared" si="1"/>
        <v>22600</v>
      </c>
      <c r="H12832" s="49">
        <f t="shared" si="2"/>
        <v>22376</v>
      </c>
    </row>
    <row r="12833">
      <c r="A12833" s="48" t="s">
        <v>6328</v>
      </c>
      <c r="B12833" s="38">
        <v>30014.0</v>
      </c>
      <c r="C12833" s="38" t="s">
        <v>17033</v>
      </c>
      <c r="D12833" s="38" t="str">
        <f>IFERROR(__xludf.DUMMYFUNCTION("REGEXREPLACE(C12833,""-\d+(.*)|--\d+(.*)"","""")"),"ARPAILLARGUES-ET-AUREILLAC")</f>
        <v>ARPAILLARGUES-ET-AUREILLAC</v>
      </c>
      <c r="E12833" s="38" t="s">
        <v>526</v>
      </c>
      <c r="F12833" s="38" t="s">
        <v>119</v>
      </c>
      <c r="G12833" s="49" t="str">
        <f t="shared" si="1"/>
        <v>30700</v>
      </c>
      <c r="H12833" s="49">
        <f t="shared" si="2"/>
        <v>30014</v>
      </c>
    </row>
    <row r="12834">
      <c r="A12834" s="48" t="s">
        <v>2661</v>
      </c>
      <c r="B12834" s="38">
        <v>50161.0</v>
      </c>
      <c r="C12834" s="38" t="s">
        <v>17034</v>
      </c>
      <c r="D12834" s="38" t="str">
        <f>IFERROR(__xludf.DUMMYFUNCTION("REGEXREPLACE(C12834,""-\d+(.*)|--\d+(.*)"","""")"),"LE DEZERT")</f>
        <v>LE DEZERT</v>
      </c>
      <c r="E12834" s="38" t="s">
        <v>157</v>
      </c>
      <c r="F12834" s="38" t="s">
        <v>138</v>
      </c>
      <c r="G12834" s="49" t="str">
        <f t="shared" si="1"/>
        <v>50620</v>
      </c>
      <c r="H12834" s="49">
        <f t="shared" si="2"/>
        <v>50161</v>
      </c>
    </row>
    <row r="12835">
      <c r="A12835" s="48" t="s">
        <v>6038</v>
      </c>
      <c r="B12835" s="38">
        <v>88138.0</v>
      </c>
      <c r="C12835" s="38" t="s">
        <v>17035</v>
      </c>
      <c r="D12835" s="38" t="str">
        <f>IFERROR(__xludf.DUMMYFUNCTION("REGEXREPLACE(C12835,""-\d+(.*)|--\d+(.*)"","""")"),"DOMBASLE-DEVANT-DARNEY")</f>
        <v>DOMBASLE-DEVANT-DARNEY</v>
      </c>
      <c r="E12835" s="38" t="s">
        <v>194</v>
      </c>
      <c r="F12835" s="38" t="s">
        <v>195</v>
      </c>
      <c r="G12835" s="49" t="str">
        <f t="shared" si="1"/>
        <v>88260</v>
      </c>
      <c r="H12835" s="49">
        <f t="shared" si="2"/>
        <v>88138</v>
      </c>
    </row>
    <row r="12836">
      <c r="A12836" s="48" t="s">
        <v>573</v>
      </c>
      <c r="B12836" s="38">
        <v>65306.0</v>
      </c>
      <c r="C12836" s="38" t="s">
        <v>17036</v>
      </c>
      <c r="D12836" s="38" t="str">
        <f>IFERROR(__xludf.DUMMYFUNCTION("REGEXREPLACE(C12836,""-\d+(.*)|--\d+(.*)"","""")"),"MAUVEZIN")</f>
        <v>MAUVEZIN</v>
      </c>
      <c r="E12836" s="38" t="s">
        <v>200</v>
      </c>
      <c r="F12836" s="38" t="s">
        <v>94</v>
      </c>
      <c r="G12836" s="49" t="str">
        <f t="shared" si="1"/>
        <v>65130</v>
      </c>
      <c r="H12836" s="49">
        <f t="shared" si="2"/>
        <v>65306</v>
      </c>
    </row>
    <row r="12837">
      <c r="A12837" s="48" t="s">
        <v>1697</v>
      </c>
      <c r="B12837" s="38">
        <v>39423.0</v>
      </c>
      <c r="C12837" s="38" t="s">
        <v>17037</v>
      </c>
      <c r="D12837" s="38" t="str">
        <f>IFERROR(__xludf.DUMMYFUNCTION("REGEXREPLACE(C12837,""-\d+(.*)|--\d+(.*)"","""")"),"PLAISIA")</f>
        <v>PLAISIA</v>
      </c>
      <c r="E12837" s="38" t="s">
        <v>400</v>
      </c>
      <c r="F12837" s="38" t="s">
        <v>214</v>
      </c>
      <c r="G12837" s="49" t="str">
        <f t="shared" si="1"/>
        <v>39270</v>
      </c>
      <c r="H12837" s="49">
        <f t="shared" si="2"/>
        <v>39423</v>
      </c>
    </row>
    <row r="12838">
      <c r="A12838" s="48" t="s">
        <v>8950</v>
      </c>
      <c r="B12838" s="38">
        <v>53041.0</v>
      </c>
      <c r="C12838" s="38" t="s">
        <v>17038</v>
      </c>
      <c r="D12838" s="38" t="str">
        <f>IFERROR(__xludf.DUMMYFUNCTION("REGEXREPLACE(C12838,""-\d+(.*)|--\d+(.*)"","""")"),"BRAINS-SUR-LES-MARCHES")</f>
        <v>BRAINS-SUR-LES-MARCHES</v>
      </c>
      <c r="E12838" s="38" t="s">
        <v>518</v>
      </c>
      <c r="F12838" s="38" t="s">
        <v>180</v>
      </c>
      <c r="G12838" s="49" t="str">
        <f t="shared" si="1"/>
        <v>53350</v>
      </c>
      <c r="H12838" s="49">
        <f t="shared" si="2"/>
        <v>53041</v>
      </c>
    </row>
    <row r="12839">
      <c r="A12839" s="48" t="s">
        <v>17039</v>
      </c>
      <c r="B12839" s="38">
        <v>97609.0</v>
      </c>
      <c r="C12839" s="38" t="s">
        <v>17040</v>
      </c>
      <c r="D12839" s="38" t="str">
        <f>IFERROR(__xludf.DUMMYFUNCTION("REGEXREPLACE(C12839,""-\d+(.*)|--\d+(.*)"","""")"),"KANI-KELI")</f>
        <v>KANI-KELI</v>
      </c>
      <c r="E12839" s="38" t="s">
        <v>2865</v>
      </c>
      <c r="F12839" s="38" t="s">
        <v>2865</v>
      </c>
      <c r="G12839" s="49" t="str">
        <f t="shared" si="1"/>
        <v>97625</v>
      </c>
      <c r="H12839" s="49">
        <f t="shared" si="2"/>
        <v>97609</v>
      </c>
    </row>
    <row r="12840">
      <c r="A12840" s="48" t="s">
        <v>354</v>
      </c>
      <c r="B12840" s="38">
        <v>68104.0</v>
      </c>
      <c r="C12840" s="38" t="s">
        <v>17041</v>
      </c>
      <c r="D12840" s="38" t="str">
        <f>IFERROR(__xludf.DUMMYFUNCTION("REGEXREPLACE(C12840,""-\d+(.*)|--\d+(.*)"","""")"),"GEISWASSER")</f>
        <v>GEISWASSER</v>
      </c>
      <c r="E12840" s="38" t="s">
        <v>150</v>
      </c>
      <c r="F12840" s="38" t="s">
        <v>151</v>
      </c>
      <c r="G12840" s="49" t="str">
        <f t="shared" si="1"/>
        <v>68600</v>
      </c>
      <c r="H12840" s="49">
        <f t="shared" si="2"/>
        <v>68104</v>
      </c>
    </row>
    <row r="12841">
      <c r="A12841" s="48" t="s">
        <v>8906</v>
      </c>
      <c r="B12841" s="38">
        <v>6003.0</v>
      </c>
      <c r="C12841" s="38" t="s">
        <v>17042</v>
      </c>
      <c r="D12841" s="38" t="str">
        <f>IFERROR(__xludf.DUMMYFUNCTION("REGEXREPLACE(C12841,""-\d+(.*)|--\d+(.*)"","""")"),"ANDON")</f>
        <v>ANDON</v>
      </c>
      <c r="E12841" s="38" t="s">
        <v>227</v>
      </c>
      <c r="F12841" s="38" t="s">
        <v>228</v>
      </c>
      <c r="G12841" s="49" t="str">
        <f t="shared" si="1"/>
        <v>06750</v>
      </c>
      <c r="H12841" s="49" t="str">
        <f t="shared" si="2"/>
        <v>06003</v>
      </c>
    </row>
    <row r="12842">
      <c r="A12842" s="48" t="s">
        <v>1688</v>
      </c>
      <c r="B12842" s="38">
        <v>76725.0</v>
      </c>
      <c r="C12842" s="38" t="s">
        <v>17043</v>
      </c>
      <c r="D12842" s="38" t="str">
        <f>IFERROR(__xludf.DUMMYFUNCTION("REGEXREPLACE(C12842,""-\d+(.*)|--\d+(.*)"","""")"),"VATTETOT-SOUS-BEAUMONT")</f>
        <v>VATTETOT-SOUS-BEAUMONT</v>
      </c>
      <c r="E12842" s="38" t="s">
        <v>133</v>
      </c>
      <c r="F12842" s="38" t="s">
        <v>134</v>
      </c>
      <c r="G12842" s="49" t="str">
        <f t="shared" si="1"/>
        <v>76110</v>
      </c>
      <c r="H12842" s="49">
        <f t="shared" si="2"/>
        <v>76725</v>
      </c>
    </row>
    <row r="12843">
      <c r="A12843" s="48" t="s">
        <v>3574</v>
      </c>
      <c r="B12843" s="38">
        <v>19153.0</v>
      </c>
      <c r="C12843" s="38" t="s">
        <v>17044</v>
      </c>
      <c r="D12843" s="38" t="str">
        <f>IFERROR(__xludf.DUMMYFUNCTION("REGEXREPLACE(C12843,""-\d+(.*)|--\d+(.*)"","""")"),"OBJAT")</f>
        <v>OBJAT</v>
      </c>
      <c r="E12843" s="38" t="s">
        <v>271</v>
      </c>
      <c r="F12843" s="38" t="s">
        <v>98</v>
      </c>
      <c r="G12843" s="49" t="str">
        <f t="shared" si="1"/>
        <v>19130</v>
      </c>
      <c r="H12843" s="49">
        <f t="shared" si="2"/>
        <v>19153</v>
      </c>
    </row>
    <row r="12844">
      <c r="A12844" s="48" t="s">
        <v>4650</v>
      </c>
      <c r="B12844" s="38">
        <v>47132.0</v>
      </c>
      <c r="C12844" s="38" t="s">
        <v>17045</v>
      </c>
      <c r="D12844" s="38" t="str">
        <f>IFERROR(__xludf.DUMMYFUNCTION("REGEXREPLACE(C12844,""-\d+(.*)|--\d+(.*)"","""")"),"LALANDUSSE")</f>
        <v>LALANDUSSE</v>
      </c>
      <c r="E12844" s="38" t="s">
        <v>251</v>
      </c>
      <c r="F12844" s="38" t="s">
        <v>252</v>
      </c>
      <c r="G12844" s="49" t="str">
        <f t="shared" si="1"/>
        <v>47330</v>
      </c>
      <c r="H12844" s="49">
        <f t="shared" si="2"/>
        <v>47132</v>
      </c>
    </row>
    <row r="12845">
      <c r="A12845" s="48" t="s">
        <v>5513</v>
      </c>
      <c r="B12845" s="38">
        <v>57418.0</v>
      </c>
      <c r="C12845" s="38" t="s">
        <v>17046</v>
      </c>
      <c r="D12845" s="38" t="str">
        <f>IFERROR(__xludf.DUMMYFUNCTION("REGEXREPLACE(C12845,""-\d+(.*)|--\d+(.*)"","""")"),"LOUDREFING")</f>
        <v>LOUDREFING</v>
      </c>
      <c r="E12845" s="38" t="s">
        <v>303</v>
      </c>
      <c r="F12845" s="38" t="s">
        <v>195</v>
      </c>
      <c r="G12845" s="49" t="str">
        <f t="shared" si="1"/>
        <v>57670</v>
      </c>
      <c r="H12845" s="49">
        <f t="shared" si="2"/>
        <v>57418</v>
      </c>
    </row>
    <row r="12846">
      <c r="A12846" s="48" t="s">
        <v>17047</v>
      </c>
      <c r="B12846" s="38">
        <v>60452.0</v>
      </c>
      <c r="C12846" s="38" t="s">
        <v>17048</v>
      </c>
      <c r="D12846" s="38" t="str">
        <f>IFERROR(__xludf.DUMMYFUNCTION("REGEXREPLACE(C12846,""-\d+(.*)|--\d+(.*)"","""")"),"NEUVILLE-BOSC")</f>
        <v>NEUVILLE-BOSC</v>
      </c>
      <c r="E12846" s="38" t="s">
        <v>112</v>
      </c>
      <c r="F12846" s="38" t="s">
        <v>113</v>
      </c>
      <c r="G12846" s="49" t="str">
        <f t="shared" si="1"/>
        <v>60119</v>
      </c>
      <c r="H12846" s="49">
        <f t="shared" si="2"/>
        <v>60452</v>
      </c>
    </row>
    <row r="12847">
      <c r="A12847" s="48" t="s">
        <v>17049</v>
      </c>
      <c r="B12847" s="38">
        <v>60667.0</v>
      </c>
      <c r="C12847" s="38" t="s">
        <v>17050</v>
      </c>
      <c r="D12847" s="38" t="str">
        <f>IFERROR(__xludf.DUMMYFUNCTION("REGEXREPLACE(C12847,""-\d+(.*)|--\d+(.*)"","""")"),"VERBERIE")</f>
        <v>VERBERIE</v>
      </c>
      <c r="E12847" s="38" t="s">
        <v>112</v>
      </c>
      <c r="F12847" s="38" t="s">
        <v>113</v>
      </c>
      <c r="G12847" s="49" t="str">
        <f t="shared" si="1"/>
        <v>60410</v>
      </c>
      <c r="H12847" s="49">
        <f t="shared" si="2"/>
        <v>60667</v>
      </c>
    </row>
    <row r="12848">
      <c r="A12848" s="48" t="s">
        <v>2338</v>
      </c>
      <c r="B12848" s="38">
        <v>8017.0</v>
      </c>
      <c r="C12848" s="38" t="s">
        <v>10127</v>
      </c>
      <c r="D12848" s="38" t="str">
        <f>IFERROR(__xludf.DUMMYFUNCTION("REGEXREPLACE(C12848,""-\d+(.*)|--\d+(.*)"","""")"),"APREMONT")</f>
        <v>APREMONT</v>
      </c>
      <c r="E12848" s="38" t="s">
        <v>327</v>
      </c>
      <c r="F12848" s="38" t="s">
        <v>130</v>
      </c>
      <c r="G12848" s="49" t="str">
        <f t="shared" si="1"/>
        <v>08250</v>
      </c>
      <c r="H12848" s="49" t="str">
        <f t="shared" si="2"/>
        <v>08017</v>
      </c>
    </row>
    <row r="12849">
      <c r="A12849" s="48" t="s">
        <v>6728</v>
      </c>
      <c r="B12849" s="38">
        <v>89284.0</v>
      </c>
      <c r="C12849" s="38" t="s">
        <v>17051</v>
      </c>
      <c r="D12849" s="38" t="str">
        <f>IFERROR(__xludf.DUMMYFUNCTION("REGEXREPLACE(C12849,""-\d+(.*)|--\d+(.*)"","""")"),"PACY-SUR-ARMANCON")</f>
        <v>PACY-SUR-ARMANCON</v>
      </c>
      <c r="E12849" s="38" t="s">
        <v>275</v>
      </c>
      <c r="F12849" s="38" t="s">
        <v>106</v>
      </c>
      <c r="G12849" s="49" t="str">
        <f t="shared" si="1"/>
        <v>89160</v>
      </c>
      <c r="H12849" s="49">
        <f t="shared" si="2"/>
        <v>89284</v>
      </c>
    </row>
    <row r="12850">
      <c r="A12850" s="48" t="s">
        <v>1046</v>
      </c>
      <c r="B12850" s="38">
        <v>26115.0</v>
      </c>
      <c r="C12850" s="38" t="s">
        <v>17052</v>
      </c>
      <c r="D12850" s="38" t="str">
        <f>IFERROR(__xludf.DUMMYFUNCTION("REGEXREPLACE(C12850,""-\d+(.*)|--\d+(.*)"","""")"),"DIVAJEU")</f>
        <v>DIVAJEU</v>
      </c>
      <c r="E12850" s="38" t="s">
        <v>126</v>
      </c>
      <c r="F12850" s="38" t="s">
        <v>102</v>
      </c>
      <c r="G12850" s="49" t="str">
        <f t="shared" si="1"/>
        <v>26400</v>
      </c>
      <c r="H12850" s="49">
        <f t="shared" si="2"/>
        <v>26115</v>
      </c>
    </row>
    <row r="12851">
      <c r="A12851" s="48" t="s">
        <v>2523</v>
      </c>
      <c r="B12851" s="38">
        <v>46325.0</v>
      </c>
      <c r="C12851" s="38" t="s">
        <v>17053</v>
      </c>
      <c r="D12851" s="38" t="str">
        <f>IFERROR(__xludf.DUMMYFUNCTION("REGEXREPLACE(C12851,""-\d+(.*)|--\d+(.*)"","""")"),"VAILLAC")</f>
        <v>VAILLAC</v>
      </c>
      <c r="E12851" s="38" t="s">
        <v>185</v>
      </c>
      <c r="F12851" s="38" t="s">
        <v>94</v>
      </c>
      <c r="G12851" s="49" t="str">
        <f t="shared" si="1"/>
        <v>46240</v>
      </c>
      <c r="H12851" s="49">
        <f t="shared" si="2"/>
        <v>46325</v>
      </c>
    </row>
    <row r="12852">
      <c r="A12852" s="48" t="s">
        <v>709</v>
      </c>
      <c r="B12852" s="38">
        <v>43128.0</v>
      </c>
      <c r="C12852" s="38" t="s">
        <v>17054</v>
      </c>
      <c r="D12852" s="38" t="str">
        <f>IFERROR(__xludf.DUMMYFUNCTION("REGEXREPLACE(C12852,""-\d+(.*)|--\d+(.*)"","""")"),"MALVIERES")</f>
        <v>MALVIERES</v>
      </c>
      <c r="E12852" s="38" t="s">
        <v>332</v>
      </c>
      <c r="F12852" s="38" t="s">
        <v>161</v>
      </c>
      <c r="G12852" s="49" t="str">
        <f t="shared" si="1"/>
        <v>43160</v>
      </c>
      <c r="H12852" s="49">
        <f t="shared" si="2"/>
        <v>43128</v>
      </c>
    </row>
    <row r="12853">
      <c r="A12853" s="48" t="s">
        <v>7199</v>
      </c>
      <c r="B12853" s="38">
        <v>76116.0</v>
      </c>
      <c r="C12853" s="38" t="s">
        <v>15278</v>
      </c>
      <c r="D12853" s="38" t="str">
        <f>IFERROR(__xludf.DUMMYFUNCTION("REGEXREPLACE(C12853,""-\d+(.*)|--\d+(.*)"","""")"),"BOOS")</f>
        <v>BOOS</v>
      </c>
      <c r="E12853" s="38" t="s">
        <v>133</v>
      </c>
      <c r="F12853" s="38" t="s">
        <v>134</v>
      </c>
      <c r="G12853" s="49" t="str">
        <f t="shared" si="1"/>
        <v>76520</v>
      </c>
      <c r="H12853" s="49">
        <f t="shared" si="2"/>
        <v>76116</v>
      </c>
    </row>
    <row r="12854">
      <c r="A12854" s="48" t="s">
        <v>767</v>
      </c>
      <c r="B12854" s="38">
        <v>91507.0</v>
      </c>
      <c r="C12854" s="38" t="s">
        <v>17055</v>
      </c>
      <c r="D12854" s="38" t="str">
        <f>IFERROR(__xludf.DUMMYFUNCTION("REGEXREPLACE(C12854,""-\d+(.*)|--\d+(.*)"","""")"),"PRUNAY-SUR-ESSONNE")</f>
        <v>PRUNAY-SUR-ESSONNE</v>
      </c>
      <c r="E12854" s="38" t="s">
        <v>756</v>
      </c>
      <c r="F12854" s="38" t="s">
        <v>245</v>
      </c>
      <c r="G12854" s="49" t="str">
        <f t="shared" si="1"/>
        <v>91720</v>
      </c>
      <c r="H12854" s="49">
        <f t="shared" si="2"/>
        <v>91507</v>
      </c>
    </row>
    <row r="12855">
      <c r="A12855" s="48" t="s">
        <v>3152</v>
      </c>
      <c r="B12855" s="38">
        <v>7129.0</v>
      </c>
      <c r="C12855" s="38" t="s">
        <v>17056</v>
      </c>
      <c r="D12855" s="38" t="str">
        <f>IFERROR(__xludf.DUMMYFUNCTION("REGEXREPLACE(C12855,""-\d+(.*)|--\d+(.*)"","""")"),"LAMASTRE")</f>
        <v>LAMASTRE</v>
      </c>
      <c r="E12855" s="38" t="s">
        <v>144</v>
      </c>
      <c r="F12855" s="38" t="s">
        <v>102</v>
      </c>
      <c r="G12855" s="49" t="str">
        <f t="shared" si="1"/>
        <v>07270</v>
      </c>
      <c r="H12855" s="49" t="str">
        <f t="shared" si="2"/>
        <v>07129</v>
      </c>
    </row>
    <row r="12856">
      <c r="A12856" s="48" t="s">
        <v>2779</v>
      </c>
      <c r="B12856" s="38">
        <v>80243.0</v>
      </c>
      <c r="C12856" s="38" t="s">
        <v>17057</v>
      </c>
      <c r="D12856" s="38" t="str">
        <f>IFERROR(__xludf.DUMMYFUNCTION("REGEXREPLACE(C12856,""-\d+(.*)|--\d+(.*)"","""")"),"DOMESMONT")</f>
        <v>DOMESMONT</v>
      </c>
      <c r="E12856" s="38" t="s">
        <v>224</v>
      </c>
      <c r="F12856" s="38" t="s">
        <v>113</v>
      </c>
      <c r="G12856" s="49" t="str">
        <f t="shared" si="1"/>
        <v>80370</v>
      </c>
      <c r="H12856" s="49">
        <f t="shared" si="2"/>
        <v>80243</v>
      </c>
    </row>
    <row r="12857">
      <c r="A12857" s="48" t="s">
        <v>4453</v>
      </c>
      <c r="B12857" s="38">
        <v>52367.0</v>
      </c>
      <c r="C12857" s="38" t="s">
        <v>17058</v>
      </c>
      <c r="D12857" s="38" t="str">
        <f>IFERROR(__xludf.DUMMYFUNCTION("REGEXREPLACE(C12857,""-\d+(.*)|--\d+(.*)"","""")"),"ORMOY-LES-SEXFONTAINES")</f>
        <v>ORMOY-LES-SEXFONTAINES</v>
      </c>
      <c r="E12857" s="38" t="s">
        <v>234</v>
      </c>
      <c r="F12857" s="38" t="s">
        <v>130</v>
      </c>
      <c r="G12857" s="49" t="str">
        <f t="shared" si="1"/>
        <v>52310</v>
      </c>
      <c r="H12857" s="49">
        <f t="shared" si="2"/>
        <v>52367</v>
      </c>
    </row>
    <row r="12858">
      <c r="A12858" s="48" t="s">
        <v>398</v>
      </c>
      <c r="B12858" s="38">
        <v>39461.0</v>
      </c>
      <c r="C12858" s="38" t="s">
        <v>11807</v>
      </c>
      <c r="D12858" s="38" t="str">
        <f>IFERROR(__xludf.DUMMYFUNCTION("REGEXREPLACE(C12858,""-\d+(.*)|--\d+(.*)"","""")"),"RIX")</f>
        <v>RIX</v>
      </c>
      <c r="E12858" s="38" t="s">
        <v>400</v>
      </c>
      <c r="F12858" s="38" t="s">
        <v>214</v>
      </c>
      <c r="G12858" s="49" t="str">
        <f t="shared" si="1"/>
        <v>39250</v>
      </c>
      <c r="H12858" s="49">
        <f t="shared" si="2"/>
        <v>39461</v>
      </c>
    </row>
    <row r="12859">
      <c r="A12859" s="48" t="s">
        <v>868</v>
      </c>
      <c r="B12859" s="38">
        <v>33347.0</v>
      </c>
      <c r="C12859" s="38" t="s">
        <v>17059</v>
      </c>
      <c r="D12859" s="38" t="str">
        <f>IFERROR(__xludf.DUMMYFUNCTION("REGEXREPLACE(C12859,""-\d+(.*)|--\d+(.*)"","""")"),"PUYNORMAND")</f>
        <v>PUYNORMAND</v>
      </c>
      <c r="E12859" s="38" t="s">
        <v>462</v>
      </c>
      <c r="F12859" s="38" t="s">
        <v>252</v>
      </c>
      <c r="G12859" s="49" t="str">
        <f t="shared" si="1"/>
        <v>33660</v>
      </c>
      <c r="H12859" s="49">
        <f t="shared" si="2"/>
        <v>33347</v>
      </c>
    </row>
    <row r="12860">
      <c r="A12860" s="48" t="s">
        <v>2139</v>
      </c>
      <c r="B12860" s="38">
        <v>72025.0</v>
      </c>
      <c r="C12860" s="38" t="s">
        <v>17060</v>
      </c>
      <c r="D12860" s="38" t="str">
        <f>IFERROR(__xludf.DUMMYFUNCTION("REGEXREPLACE(C12860,""-\d+(.*)|--\d+(.*)"","""")"),"BAZOUGES-SUR-LE-LOIR")</f>
        <v>BAZOUGES-SUR-LE-LOIR</v>
      </c>
      <c r="E12860" s="38" t="s">
        <v>521</v>
      </c>
      <c r="F12860" s="38" t="s">
        <v>180</v>
      </c>
      <c r="G12860" s="49" t="str">
        <f t="shared" si="1"/>
        <v>72200</v>
      </c>
      <c r="H12860" s="49">
        <f t="shared" si="2"/>
        <v>72025</v>
      </c>
    </row>
    <row r="12861">
      <c r="A12861" s="48" t="s">
        <v>1999</v>
      </c>
      <c r="B12861" s="38">
        <v>2146.0</v>
      </c>
      <c r="C12861" s="38" t="s">
        <v>17061</v>
      </c>
      <c r="D12861" s="38" t="str">
        <f>IFERROR(__xludf.DUMMYFUNCTION("REGEXREPLACE(C12861,""-\d+(.*)|--\d+(.*)"","""")"),"CELLES-LES-CONDE")</f>
        <v>CELLES-LES-CONDE</v>
      </c>
      <c r="E12861" s="38" t="s">
        <v>191</v>
      </c>
      <c r="F12861" s="38" t="s">
        <v>113</v>
      </c>
      <c r="G12861" s="49" t="str">
        <f t="shared" si="1"/>
        <v>02330</v>
      </c>
      <c r="H12861" s="49" t="str">
        <f t="shared" si="2"/>
        <v>02146</v>
      </c>
    </row>
    <row r="12862">
      <c r="A12862" s="48" t="s">
        <v>9850</v>
      </c>
      <c r="B12862" s="38">
        <v>67272.0</v>
      </c>
      <c r="C12862" s="38" t="s">
        <v>17062</v>
      </c>
      <c r="D12862" s="38" t="str">
        <f>IFERROR(__xludf.DUMMYFUNCTION("REGEXREPLACE(C12862,""-\d+(.*)|--\d+(.*)"","""")"),"LOCHWILLER")</f>
        <v>LOCHWILLER</v>
      </c>
      <c r="E12862" s="38" t="s">
        <v>210</v>
      </c>
      <c r="F12862" s="38" t="s">
        <v>151</v>
      </c>
      <c r="G12862" s="49" t="str">
        <f t="shared" si="1"/>
        <v>67440</v>
      </c>
      <c r="H12862" s="49">
        <f t="shared" si="2"/>
        <v>67272</v>
      </c>
    </row>
    <row r="12863">
      <c r="A12863" s="48" t="s">
        <v>3087</v>
      </c>
      <c r="B12863" s="38">
        <v>64246.0</v>
      </c>
      <c r="C12863" s="38" t="s">
        <v>17063</v>
      </c>
      <c r="D12863" s="38" t="str">
        <f>IFERROR(__xludf.DUMMYFUNCTION("REGEXREPLACE(C12863,""-\d+(.*)|--\d+(.*)"","""")"),"GOMER")</f>
        <v>GOMER</v>
      </c>
      <c r="E12863" s="38" t="s">
        <v>268</v>
      </c>
      <c r="F12863" s="38" t="s">
        <v>252</v>
      </c>
      <c r="G12863" s="49" t="str">
        <f t="shared" si="1"/>
        <v>64420</v>
      </c>
      <c r="H12863" s="49">
        <f t="shared" si="2"/>
        <v>64246</v>
      </c>
    </row>
    <row r="12864">
      <c r="A12864" s="48" t="s">
        <v>1262</v>
      </c>
      <c r="B12864" s="38">
        <v>11430.0</v>
      </c>
      <c r="C12864" s="38" t="s">
        <v>17064</v>
      </c>
      <c r="D12864" s="38" t="str">
        <f>IFERROR(__xludf.DUMMYFUNCTION("REGEXREPLACE(C12864,""-\d+(.*)|--\d+(.*)"","""")"),"VILLENEUVE-LA-COMPTAL")</f>
        <v>VILLENEUVE-LA-COMPTAL</v>
      </c>
      <c r="E12864" s="38" t="s">
        <v>278</v>
      </c>
      <c r="F12864" s="38" t="s">
        <v>119</v>
      </c>
      <c r="G12864" s="49" t="str">
        <f t="shared" si="1"/>
        <v>11400</v>
      </c>
      <c r="H12864" s="49">
        <f t="shared" si="2"/>
        <v>11430</v>
      </c>
    </row>
    <row r="12865">
      <c r="A12865" s="48" t="s">
        <v>14940</v>
      </c>
      <c r="B12865" s="38">
        <v>17115.0</v>
      </c>
      <c r="C12865" s="38" t="s">
        <v>8344</v>
      </c>
      <c r="D12865" s="38" t="str">
        <f>IFERROR(__xludf.DUMMYFUNCTION("REGEXREPLACE(C12865,""-\d+(.*)|--\d+(.*)"","""")"),"COLOMBIERS")</f>
        <v>COLOMBIERS</v>
      </c>
      <c r="E12865" s="38" t="s">
        <v>488</v>
      </c>
      <c r="F12865" s="38" t="s">
        <v>338</v>
      </c>
      <c r="G12865" s="49" t="str">
        <f t="shared" si="1"/>
        <v>17460</v>
      </c>
      <c r="H12865" s="49">
        <f t="shared" si="2"/>
        <v>17115</v>
      </c>
    </row>
    <row r="12866">
      <c r="A12866" s="48" t="s">
        <v>2462</v>
      </c>
      <c r="B12866" s="38">
        <v>1047.0</v>
      </c>
      <c r="C12866" s="38" t="s">
        <v>17065</v>
      </c>
      <c r="D12866" s="38" t="str">
        <f>IFERROR(__xludf.DUMMYFUNCTION("REGEXREPLACE(C12866,""-\d+(.*)|--\d+(.*)"","""")"),"BLYES")</f>
        <v>BLYES</v>
      </c>
      <c r="E12866" s="38" t="s">
        <v>255</v>
      </c>
      <c r="F12866" s="38" t="s">
        <v>102</v>
      </c>
      <c r="G12866" s="49" t="str">
        <f t="shared" si="1"/>
        <v>01150</v>
      </c>
      <c r="H12866" s="49" t="str">
        <f t="shared" si="2"/>
        <v>01047</v>
      </c>
    </row>
    <row r="12867">
      <c r="A12867" s="48" t="s">
        <v>17066</v>
      </c>
      <c r="B12867" s="38">
        <v>78124.0</v>
      </c>
      <c r="C12867" s="38" t="s">
        <v>17067</v>
      </c>
      <c r="D12867" s="38" t="str">
        <f>IFERROR(__xludf.DUMMYFUNCTION("REGEXREPLACE(C12867,""-\d+(.*)|--\d+(.*)"","""")"),"CARRIERES-SUR-SEINE")</f>
        <v>CARRIERES-SUR-SEINE</v>
      </c>
      <c r="E12867" s="38" t="s">
        <v>362</v>
      </c>
      <c r="F12867" s="38" t="s">
        <v>245</v>
      </c>
      <c r="G12867" s="49" t="str">
        <f t="shared" si="1"/>
        <v>78420</v>
      </c>
      <c r="H12867" s="49">
        <f t="shared" si="2"/>
        <v>78124</v>
      </c>
    </row>
    <row r="12868">
      <c r="A12868" s="48" t="s">
        <v>3983</v>
      </c>
      <c r="B12868" s="38">
        <v>67149.0</v>
      </c>
      <c r="C12868" s="38" t="s">
        <v>17068</v>
      </c>
      <c r="D12868" s="38" t="str">
        <f>IFERROR(__xludf.DUMMYFUNCTION("REGEXREPLACE(C12868,""-\d+(.*)|--\d+(.*)"","""")"),"FURCHHAUSEN")</f>
        <v>FURCHHAUSEN</v>
      </c>
      <c r="E12868" s="38" t="s">
        <v>210</v>
      </c>
      <c r="F12868" s="38" t="s">
        <v>151</v>
      </c>
      <c r="G12868" s="49" t="str">
        <f t="shared" si="1"/>
        <v>67700</v>
      </c>
      <c r="H12868" s="49">
        <f t="shared" si="2"/>
        <v>67149</v>
      </c>
    </row>
    <row r="12869">
      <c r="A12869" s="48" t="s">
        <v>7614</v>
      </c>
      <c r="B12869" s="38">
        <v>50054.0</v>
      </c>
      <c r="C12869" s="38" t="s">
        <v>17069</v>
      </c>
      <c r="D12869" s="38" t="str">
        <f>IFERROR(__xludf.DUMMYFUNCTION("REGEXREPLACE(C12869,""-\d+(.*)|--\d+(.*)"","""")"),"BIEVILLE")</f>
        <v>BIEVILLE</v>
      </c>
      <c r="E12869" s="38" t="s">
        <v>157</v>
      </c>
      <c r="F12869" s="38" t="s">
        <v>138</v>
      </c>
      <c r="G12869" s="49" t="str">
        <f t="shared" si="1"/>
        <v>50160</v>
      </c>
      <c r="H12869" s="49">
        <f t="shared" si="2"/>
        <v>50054</v>
      </c>
    </row>
    <row r="12870">
      <c r="A12870" s="48" t="s">
        <v>7802</v>
      </c>
      <c r="B12870" s="38">
        <v>35107.0</v>
      </c>
      <c r="C12870" s="38" t="s">
        <v>17070</v>
      </c>
      <c r="D12870" s="38" t="str">
        <f>IFERROR(__xludf.DUMMYFUNCTION("REGEXREPLACE(C12870,""-\d+(.*)|--\d+(.*)"","""")"),"ERCE-PRES-LIFFRE")</f>
        <v>ERCE-PRES-LIFFRE</v>
      </c>
      <c r="E12870" s="38" t="s">
        <v>347</v>
      </c>
      <c r="F12870" s="38" t="s">
        <v>90</v>
      </c>
      <c r="G12870" s="49" t="str">
        <f t="shared" si="1"/>
        <v>35340</v>
      </c>
      <c r="H12870" s="49">
        <f t="shared" si="2"/>
        <v>35107</v>
      </c>
    </row>
    <row r="12871">
      <c r="A12871" s="48" t="s">
        <v>5016</v>
      </c>
      <c r="B12871" s="38">
        <v>34061.0</v>
      </c>
      <c r="C12871" s="38" t="s">
        <v>17071</v>
      </c>
      <c r="D12871" s="38" t="str">
        <f>IFERROR(__xludf.DUMMYFUNCTION("REGEXREPLACE(C12871,""-\d+(.*)|--\d+(.*)"","""")"),"CAUSSES-ET-VEYRAN")</f>
        <v>CAUSSES-ET-VEYRAN</v>
      </c>
      <c r="E12871" s="38" t="s">
        <v>118</v>
      </c>
      <c r="F12871" s="38" t="s">
        <v>119</v>
      </c>
      <c r="G12871" s="49" t="str">
        <f t="shared" si="1"/>
        <v>34490</v>
      </c>
      <c r="H12871" s="49">
        <f t="shared" si="2"/>
        <v>34061</v>
      </c>
    </row>
    <row r="12872">
      <c r="A12872" s="48" t="s">
        <v>6761</v>
      </c>
      <c r="B12872" s="38">
        <v>1194.0</v>
      </c>
      <c r="C12872" s="38" t="s">
        <v>17072</v>
      </c>
      <c r="D12872" s="38" t="str">
        <f>IFERROR(__xludf.DUMMYFUNCTION("REGEXREPLACE(C12872,""-\d+(.*)|--\d+(.*)"","""")"),"JASSANS-RIOTTIER")</f>
        <v>JASSANS-RIOTTIER</v>
      </c>
      <c r="E12872" s="38" t="s">
        <v>255</v>
      </c>
      <c r="F12872" s="38" t="s">
        <v>102</v>
      </c>
      <c r="G12872" s="49" t="str">
        <f t="shared" si="1"/>
        <v>01480</v>
      </c>
      <c r="H12872" s="49" t="str">
        <f t="shared" si="2"/>
        <v>01194</v>
      </c>
    </row>
    <row r="12873">
      <c r="A12873" s="48" t="s">
        <v>131</v>
      </c>
      <c r="B12873" s="38">
        <v>76712.0</v>
      </c>
      <c r="C12873" s="38" t="s">
        <v>17073</v>
      </c>
      <c r="D12873" s="38" t="str">
        <f>IFERROR(__xludf.DUMMYFUNCTION("REGEXREPLACE(C12873,""-\d+(.*)|--\d+(.*)"","""")"),"LA TRINITE-DU-MONT")</f>
        <v>LA TRINITE-DU-MONT</v>
      </c>
      <c r="E12873" s="38" t="s">
        <v>133</v>
      </c>
      <c r="F12873" s="38" t="s">
        <v>134</v>
      </c>
      <c r="G12873" s="49" t="str">
        <f t="shared" si="1"/>
        <v>76170</v>
      </c>
      <c r="H12873" s="49">
        <f t="shared" si="2"/>
        <v>76712</v>
      </c>
    </row>
    <row r="12874">
      <c r="A12874" s="48" t="s">
        <v>2326</v>
      </c>
      <c r="B12874" s="38">
        <v>54601.0</v>
      </c>
      <c r="C12874" s="38" t="s">
        <v>17074</v>
      </c>
      <c r="D12874" s="38" t="str">
        <f>IFERROR(__xludf.DUMMYFUNCTION("REGEXREPLACE(C12874,""-\d+(.*)|--\d+(.*)"","""")"),"XURES")</f>
        <v>XURES</v>
      </c>
      <c r="E12874" s="38" t="s">
        <v>548</v>
      </c>
      <c r="F12874" s="38" t="s">
        <v>195</v>
      </c>
      <c r="G12874" s="49" t="str">
        <f t="shared" si="1"/>
        <v>54370</v>
      </c>
      <c r="H12874" s="49">
        <f t="shared" si="2"/>
        <v>54601</v>
      </c>
    </row>
    <row r="12875">
      <c r="A12875" s="48" t="s">
        <v>5425</v>
      </c>
      <c r="B12875" s="38">
        <v>82010.0</v>
      </c>
      <c r="C12875" s="38" t="s">
        <v>17075</v>
      </c>
      <c r="D12875" s="38" t="str">
        <f>IFERROR(__xludf.DUMMYFUNCTION("REGEXREPLACE(C12875,""-\d+(.*)|--\d+(.*)"","""")"),"BARDIGUES")</f>
        <v>BARDIGUES</v>
      </c>
      <c r="E12875" s="38" t="s">
        <v>570</v>
      </c>
      <c r="F12875" s="38" t="s">
        <v>94</v>
      </c>
      <c r="G12875" s="49" t="str">
        <f t="shared" si="1"/>
        <v>82340</v>
      </c>
      <c r="H12875" s="49">
        <f t="shared" si="2"/>
        <v>82010</v>
      </c>
    </row>
    <row r="12876">
      <c r="A12876" s="48" t="s">
        <v>7416</v>
      </c>
      <c r="B12876" s="38">
        <v>49213.0</v>
      </c>
      <c r="C12876" s="38" t="s">
        <v>17076</v>
      </c>
      <c r="D12876" s="38" t="str">
        <f>IFERROR(__xludf.DUMMYFUNCTION("REGEXREPLACE(C12876,""-\d+(.*)|--\d+(.*)"","""")"),"MONTPOLLIN")</f>
        <v>MONTPOLLIN</v>
      </c>
      <c r="E12876" s="38" t="s">
        <v>653</v>
      </c>
      <c r="F12876" s="38" t="s">
        <v>180</v>
      </c>
      <c r="G12876" s="49" t="str">
        <f t="shared" si="1"/>
        <v>49150</v>
      </c>
      <c r="H12876" s="49">
        <f t="shared" si="2"/>
        <v>49213</v>
      </c>
    </row>
    <row r="12877">
      <c r="A12877" s="48" t="s">
        <v>1756</v>
      </c>
      <c r="B12877" s="38">
        <v>28412.0</v>
      </c>
      <c r="C12877" s="38" t="s">
        <v>17077</v>
      </c>
      <c r="D12877" s="38" t="str">
        <f>IFERROR(__xludf.DUMMYFUNCTION("REGEXREPLACE(C12877,""-\d+(.*)|--\d+(.*)"","""")"),"VILLEAU")</f>
        <v>VILLEAU</v>
      </c>
      <c r="E12877" s="38" t="s">
        <v>300</v>
      </c>
      <c r="F12877" s="38" t="s">
        <v>123</v>
      </c>
      <c r="G12877" s="49" t="str">
        <f t="shared" si="1"/>
        <v>28150</v>
      </c>
      <c r="H12877" s="49">
        <f t="shared" si="2"/>
        <v>28412</v>
      </c>
    </row>
    <row r="12878">
      <c r="A12878" s="48" t="s">
        <v>1096</v>
      </c>
      <c r="B12878" s="38">
        <v>63271.0</v>
      </c>
      <c r="C12878" s="38" t="s">
        <v>17078</v>
      </c>
      <c r="D12878" s="38" t="str">
        <f>IFERROR(__xludf.DUMMYFUNCTION("REGEXREPLACE(C12878,""-\d+(.*)|--\d+(.*)"","""")"),"PASLIERES")</f>
        <v>PASLIERES</v>
      </c>
      <c r="E12878" s="38" t="s">
        <v>353</v>
      </c>
      <c r="F12878" s="38" t="s">
        <v>161</v>
      </c>
      <c r="G12878" s="49" t="str">
        <f t="shared" si="1"/>
        <v>63290</v>
      </c>
      <c r="H12878" s="49">
        <f t="shared" si="2"/>
        <v>63271</v>
      </c>
    </row>
    <row r="12879">
      <c r="A12879" s="48" t="s">
        <v>8414</v>
      </c>
      <c r="B12879" s="38">
        <v>60468.0</v>
      </c>
      <c r="C12879" s="38" t="s">
        <v>17079</v>
      </c>
      <c r="D12879" s="38" t="str">
        <f>IFERROR(__xludf.DUMMYFUNCTION("REGEXREPLACE(C12879,""-\d+(.*)|--\d+(.*)"","""")"),"NOURARD-LE-FRANC")</f>
        <v>NOURARD-LE-FRANC</v>
      </c>
      <c r="E12879" s="38" t="s">
        <v>112</v>
      </c>
      <c r="F12879" s="38" t="s">
        <v>113</v>
      </c>
      <c r="G12879" s="49" t="str">
        <f t="shared" si="1"/>
        <v>60130</v>
      </c>
      <c r="H12879" s="49">
        <f t="shared" si="2"/>
        <v>60468</v>
      </c>
    </row>
    <row r="12880">
      <c r="A12880" s="48" t="s">
        <v>384</v>
      </c>
      <c r="B12880" s="38">
        <v>55568.0</v>
      </c>
      <c r="C12880" s="38" t="s">
        <v>17080</v>
      </c>
      <c r="D12880" s="38" t="str">
        <f>IFERROR(__xludf.DUMMYFUNCTION("REGEXREPLACE(C12880,""-\d+(.*)|--\d+(.*)"","""")"),"VILLE-SUR-SAULX")</f>
        <v>VILLE-SUR-SAULX</v>
      </c>
      <c r="E12880" s="38" t="s">
        <v>322</v>
      </c>
      <c r="F12880" s="38" t="s">
        <v>195</v>
      </c>
      <c r="G12880" s="49" t="str">
        <f t="shared" si="1"/>
        <v>55000</v>
      </c>
      <c r="H12880" s="49">
        <f t="shared" si="2"/>
        <v>55568</v>
      </c>
    </row>
    <row r="12881">
      <c r="A12881" s="48" t="s">
        <v>413</v>
      </c>
      <c r="B12881" s="38">
        <v>35063.0</v>
      </c>
      <c r="C12881" s="38" t="s">
        <v>17081</v>
      </c>
      <c r="D12881" s="38" t="str">
        <f>IFERROR(__xludf.DUMMYFUNCTION("REGEXREPLACE(C12881,""-\d+(.*)|--\d+(.*)"","""")"),"LA CHAPELLE-SAINT-AUBERT")</f>
        <v>LA CHAPELLE-SAINT-AUBERT</v>
      </c>
      <c r="E12881" s="38" t="s">
        <v>347</v>
      </c>
      <c r="F12881" s="38" t="s">
        <v>90</v>
      </c>
      <c r="G12881" s="49" t="str">
        <f t="shared" si="1"/>
        <v>35140</v>
      </c>
      <c r="H12881" s="49">
        <f t="shared" si="2"/>
        <v>35063</v>
      </c>
    </row>
    <row r="12882">
      <c r="A12882" s="48" t="s">
        <v>1054</v>
      </c>
      <c r="B12882" s="38">
        <v>46229.0</v>
      </c>
      <c r="C12882" s="38" t="s">
        <v>17082</v>
      </c>
      <c r="D12882" s="38" t="str">
        <f>IFERROR(__xludf.DUMMYFUNCTION("REGEXREPLACE(C12882,""-\d+(.*)|--\d+(.*)"","""")"),"PUYBRUN")</f>
        <v>PUYBRUN</v>
      </c>
      <c r="E12882" s="38" t="s">
        <v>185</v>
      </c>
      <c r="F12882" s="38" t="s">
        <v>94</v>
      </c>
      <c r="G12882" s="49" t="str">
        <f t="shared" si="1"/>
        <v>46130</v>
      </c>
      <c r="H12882" s="49">
        <f t="shared" si="2"/>
        <v>46229</v>
      </c>
    </row>
    <row r="12883">
      <c r="A12883" s="48" t="s">
        <v>16187</v>
      </c>
      <c r="B12883" s="38">
        <v>14202.0</v>
      </c>
      <c r="C12883" s="38" t="s">
        <v>17083</v>
      </c>
      <c r="D12883" s="38" t="str">
        <f>IFERROR(__xludf.DUMMYFUNCTION("REGEXREPLACE(C12883,""-\d+(.*)|--\d+(.*)"","""")"),"CRICQUEBOEUF")</f>
        <v>CRICQUEBOEUF</v>
      </c>
      <c r="E12883" s="38" t="s">
        <v>137</v>
      </c>
      <c r="F12883" s="38" t="s">
        <v>138</v>
      </c>
      <c r="G12883" s="49" t="str">
        <f t="shared" si="1"/>
        <v>14113</v>
      </c>
      <c r="H12883" s="49">
        <f t="shared" si="2"/>
        <v>14202</v>
      </c>
    </row>
    <row r="12884">
      <c r="A12884" s="48" t="s">
        <v>7107</v>
      </c>
      <c r="B12884" s="38">
        <v>10183.0</v>
      </c>
      <c r="C12884" s="38" t="s">
        <v>17084</v>
      </c>
      <c r="D12884" s="38" t="str">
        <f>IFERROR(__xludf.DUMMYFUNCTION("REGEXREPLACE(C12884,""-\d+(.*)|--\d+(.*)"","""")"),"JUVANZE")</f>
        <v>JUVANZE</v>
      </c>
      <c r="E12884" s="38" t="s">
        <v>147</v>
      </c>
      <c r="F12884" s="38" t="s">
        <v>130</v>
      </c>
      <c r="G12884" s="49" t="str">
        <f t="shared" si="1"/>
        <v>10140</v>
      </c>
      <c r="H12884" s="49">
        <f t="shared" si="2"/>
        <v>10183</v>
      </c>
    </row>
    <row r="12885">
      <c r="A12885" s="48" t="s">
        <v>6773</v>
      </c>
      <c r="B12885" s="38">
        <v>48046.0</v>
      </c>
      <c r="C12885" s="38" t="s">
        <v>17085</v>
      </c>
      <c r="D12885" s="38" t="str">
        <f>IFERROR(__xludf.DUMMYFUNCTION("REGEXREPLACE(C12885,""-\d+(.*)|--\d+(.*)"","""")"),"CHAULHAC")</f>
        <v>CHAULHAC</v>
      </c>
      <c r="E12885" s="38" t="s">
        <v>154</v>
      </c>
      <c r="F12885" s="38" t="s">
        <v>119</v>
      </c>
      <c r="G12885" s="49" t="str">
        <f t="shared" si="1"/>
        <v>48140</v>
      </c>
      <c r="H12885" s="49">
        <f t="shared" si="2"/>
        <v>48046</v>
      </c>
    </row>
    <row r="12886">
      <c r="A12886" s="48" t="s">
        <v>17086</v>
      </c>
      <c r="B12886" s="38">
        <v>13112.0</v>
      </c>
      <c r="C12886" s="38" t="s">
        <v>17087</v>
      </c>
      <c r="D12886" s="38" t="str">
        <f>IFERROR(__xludf.DUMMYFUNCTION("REGEXREPLACE(C12886,""-\d+(.*)|--\d+(.*)"","""")"),"VELAUX")</f>
        <v>VELAUX</v>
      </c>
      <c r="E12886" s="38" t="s">
        <v>980</v>
      </c>
      <c r="F12886" s="38" t="s">
        <v>228</v>
      </c>
      <c r="G12886" s="49" t="str">
        <f t="shared" si="1"/>
        <v>13880</v>
      </c>
      <c r="H12886" s="49">
        <f t="shared" si="2"/>
        <v>13112</v>
      </c>
    </row>
    <row r="12887">
      <c r="A12887" s="48" t="s">
        <v>4295</v>
      </c>
      <c r="B12887" s="38">
        <v>40333.0</v>
      </c>
      <c r="C12887" s="38" t="s">
        <v>17088</v>
      </c>
      <c r="D12887" s="38" t="str">
        <f>IFERROR(__xludf.DUMMYFUNCTION("REGEXREPLACE(C12887,""-\d+(.*)|--\d+(.*)"","""")"),"YGOS-SAINT-SATURNIN")</f>
        <v>YGOS-SAINT-SATURNIN</v>
      </c>
      <c r="E12887" s="38" t="s">
        <v>281</v>
      </c>
      <c r="F12887" s="38" t="s">
        <v>252</v>
      </c>
      <c r="G12887" s="49" t="str">
        <f t="shared" si="1"/>
        <v>40110</v>
      </c>
      <c r="H12887" s="49">
        <f t="shared" si="2"/>
        <v>40333</v>
      </c>
    </row>
    <row r="12888">
      <c r="A12888" s="48" t="s">
        <v>5020</v>
      </c>
      <c r="B12888" s="38">
        <v>51304.0</v>
      </c>
      <c r="C12888" s="38" t="s">
        <v>17089</v>
      </c>
      <c r="D12888" s="38" t="str">
        <f>IFERROR(__xludf.DUMMYFUNCTION("REGEXREPLACE(C12888,""-\d+(.*)|--\d+(.*)"","""")"),"JANVILLIERS")</f>
        <v>JANVILLIERS</v>
      </c>
      <c r="E12888" s="38" t="s">
        <v>129</v>
      </c>
      <c r="F12888" s="38" t="s">
        <v>130</v>
      </c>
      <c r="G12888" s="49" t="str">
        <f t="shared" si="1"/>
        <v>51210</v>
      </c>
      <c r="H12888" s="49">
        <f t="shared" si="2"/>
        <v>51304</v>
      </c>
    </row>
    <row r="12889">
      <c r="A12889" s="48" t="s">
        <v>2190</v>
      </c>
      <c r="B12889" s="38">
        <v>10298.0</v>
      </c>
      <c r="C12889" s="38" t="s">
        <v>17090</v>
      </c>
      <c r="D12889" s="38" t="str">
        <f>IFERROR(__xludf.DUMMYFUNCTION("REGEXREPLACE(C12889,""-\d+(.*)|--\d+(.*)"","""")"),"PONT-SUR-SEINE")</f>
        <v>PONT-SUR-SEINE</v>
      </c>
      <c r="E12889" s="38" t="s">
        <v>147</v>
      </c>
      <c r="F12889" s="38" t="s">
        <v>130</v>
      </c>
      <c r="G12889" s="49" t="str">
        <f t="shared" si="1"/>
        <v>10400</v>
      </c>
      <c r="H12889" s="49">
        <f t="shared" si="2"/>
        <v>10298</v>
      </c>
    </row>
    <row r="12890">
      <c r="A12890" s="48" t="s">
        <v>17091</v>
      </c>
      <c r="B12890" s="38">
        <v>24322.0</v>
      </c>
      <c r="C12890" s="38" t="s">
        <v>17092</v>
      </c>
      <c r="D12890" s="38" t="str">
        <f>IFERROR(__xludf.DUMMYFUNCTION("REGEXREPLACE(C12890,""-\d+(.*)|--\d+(.*)"","""")"),"PERIGUEUX")</f>
        <v>PERIGUEUX</v>
      </c>
      <c r="E12890" s="38" t="s">
        <v>261</v>
      </c>
      <c r="F12890" s="38" t="s">
        <v>252</v>
      </c>
      <c r="G12890" s="49" t="str">
        <f t="shared" si="1"/>
        <v>24000</v>
      </c>
      <c r="H12890" s="49">
        <f t="shared" si="2"/>
        <v>24322</v>
      </c>
    </row>
    <row r="12891">
      <c r="A12891" s="48" t="s">
        <v>17093</v>
      </c>
      <c r="B12891" s="38">
        <v>97423.0</v>
      </c>
      <c r="C12891" s="38" t="s">
        <v>17094</v>
      </c>
      <c r="D12891" s="38" t="str">
        <f>IFERROR(__xludf.DUMMYFUNCTION("REGEXREPLACE(C12891,""-\d+(.*)|--\d+(.*)"","""")"),"LES TROIS-BASSINS")</f>
        <v>LES TROIS-BASSINS</v>
      </c>
      <c r="E12891" s="38" t="s">
        <v>7739</v>
      </c>
      <c r="F12891" s="38" t="s">
        <v>7739</v>
      </c>
      <c r="G12891" s="49" t="str">
        <f t="shared" si="1"/>
        <v>97426</v>
      </c>
      <c r="H12891" s="49">
        <f t="shared" si="2"/>
        <v>97423</v>
      </c>
    </row>
    <row r="12892">
      <c r="A12892" s="48" t="s">
        <v>4614</v>
      </c>
      <c r="B12892" s="38">
        <v>78269.0</v>
      </c>
      <c r="C12892" s="38" t="s">
        <v>17095</v>
      </c>
      <c r="D12892" s="38" t="str">
        <f>IFERROR(__xludf.DUMMYFUNCTION("REGEXREPLACE(C12892,""-\d+(.*)|--\d+(.*)"","""")"),"GAZERAN")</f>
        <v>GAZERAN</v>
      </c>
      <c r="E12892" s="38" t="s">
        <v>362</v>
      </c>
      <c r="F12892" s="38" t="s">
        <v>245</v>
      </c>
      <c r="G12892" s="49" t="str">
        <f t="shared" si="1"/>
        <v>78125</v>
      </c>
      <c r="H12892" s="49">
        <f t="shared" si="2"/>
        <v>78269</v>
      </c>
    </row>
    <row r="12893">
      <c r="A12893" s="48" t="s">
        <v>2757</v>
      </c>
      <c r="B12893" s="38">
        <v>24329.0</v>
      </c>
      <c r="C12893" s="38" t="s">
        <v>17096</v>
      </c>
      <c r="D12893" s="38" t="str">
        <f>IFERROR(__xludf.DUMMYFUNCTION("REGEXREPLACE(C12893,""-\d+(.*)|--\d+(.*)"","""")"),"LE PIZOU")</f>
        <v>LE PIZOU</v>
      </c>
      <c r="E12893" s="38" t="s">
        <v>261</v>
      </c>
      <c r="F12893" s="38" t="s">
        <v>252</v>
      </c>
      <c r="G12893" s="49" t="str">
        <f t="shared" si="1"/>
        <v>24700</v>
      </c>
      <c r="H12893" s="49">
        <f t="shared" si="2"/>
        <v>24329</v>
      </c>
    </row>
    <row r="12894">
      <c r="A12894" s="48" t="s">
        <v>4766</v>
      </c>
      <c r="B12894" s="38">
        <v>64142.0</v>
      </c>
      <c r="C12894" s="38" t="s">
        <v>17097</v>
      </c>
      <c r="D12894" s="38" t="str">
        <f>IFERROR(__xludf.DUMMYFUNCTION("REGEXREPLACE(C12894,""-\d+(.*)|--\d+(.*)"","""")"),"BOUGARBER")</f>
        <v>BOUGARBER</v>
      </c>
      <c r="E12894" s="38" t="s">
        <v>268</v>
      </c>
      <c r="F12894" s="38" t="s">
        <v>252</v>
      </c>
      <c r="G12894" s="49" t="str">
        <f t="shared" si="1"/>
        <v>64230</v>
      </c>
      <c r="H12894" s="49">
        <f t="shared" si="2"/>
        <v>64142</v>
      </c>
    </row>
    <row r="12895">
      <c r="A12895" s="48" t="s">
        <v>14496</v>
      </c>
      <c r="B12895" s="38" t="s">
        <v>17098</v>
      </c>
      <c r="C12895" s="38" t="s">
        <v>17099</v>
      </c>
      <c r="D12895" s="38" t="str">
        <f>IFERROR(__xludf.DUMMYFUNCTION("REGEXREPLACE(C12895,""-\d+(.*)|--\d+(.*)"","""")"),"CAURO")</f>
        <v>CAURO</v>
      </c>
      <c r="E12895" s="38" t="s">
        <v>606</v>
      </c>
      <c r="F12895" s="38" t="s">
        <v>607</v>
      </c>
      <c r="G12895" s="49" t="str">
        <f t="shared" si="1"/>
        <v>20117</v>
      </c>
      <c r="H12895" s="49" t="str">
        <f t="shared" si="2"/>
        <v>2A085</v>
      </c>
    </row>
    <row r="12896">
      <c r="A12896" s="48" t="s">
        <v>2111</v>
      </c>
      <c r="B12896" s="38">
        <v>77062.0</v>
      </c>
      <c r="C12896" s="38" t="s">
        <v>17100</v>
      </c>
      <c r="D12896" s="38" t="str">
        <f>IFERROR(__xludf.DUMMYFUNCTION("REGEXREPLACE(C12896,""-\d+(.*)|--\d+(.*)"","""")"),"CARNETIN")</f>
        <v>CARNETIN</v>
      </c>
      <c r="E12896" s="38" t="s">
        <v>244</v>
      </c>
      <c r="F12896" s="38" t="s">
        <v>245</v>
      </c>
      <c r="G12896" s="49" t="str">
        <f t="shared" si="1"/>
        <v>77400</v>
      </c>
      <c r="H12896" s="49">
        <f t="shared" si="2"/>
        <v>77062</v>
      </c>
    </row>
    <row r="12897">
      <c r="A12897" s="48" t="s">
        <v>8032</v>
      </c>
      <c r="B12897" s="38">
        <v>46339.0</v>
      </c>
      <c r="C12897" s="38" t="s">
        <v>17101</v>
      </c>
      <c r="D12897" s="38" t="str">
        <f>IFERROR(__xludf.DUMMYFUNCTION("REGEXREPLACE(C12897,""-\d+(.*)|--\d+(.*)"","""")"),"SAINT-JEAN-LAGINESTE")</f>
        <v>SAINT-JEAN-LAGINESTE</v>
      </c>
      <c r="E12897" s="38" t="s">
        <v>185</v>
      </c>
      <c r="F12897" s="38" t="s">
        <v>94</v>
      </c>
      <c r="G12897" s="49" t="str">
        <f t="shared" si="1"/>
        <v>46400</v>
      </c>
      <c r="H12897" s="49">
        <f t="shared" si="2"/>
        <v>46339</v>
      </c>
    </row>
    <row r="12898">
      <c r="A12898" s="48" t="s">
        <v>13884</v>
      </c>
      <c r="B12898" s="38">
        <v>14304.0</v>
      </c>
      <c r="C12898" s="38" t="s">
        <v>17102</v>
      </c>
      <c r="D12898" s="38" t="str">
        <f>IFERROR(__xludf.DUMMYFUNCTION("REGEXREPLACE(C12898,""-\d+(.*)|--\d+(.*)"","""")"),"GONNEVILLE-SUR-HONFLEUR")</f>
        <v>GONNEVILLE-SUR-HONFLEUR</v>
      </c>
      <c r="E12898" s="38" t="s">
        <v>137</v>
      </c>
      <c r="F12898" s="38" t="s">
        <v>138</v>
      </c>
      <c r="G12898" s="49" t="str">
        <f t="shared" si="1"/>
        <v>14600</v>
      </c>
      <c r="H12898" s="49">
        <f t="shared" si="2"/>
        <v>14304</v>
      </c>
    </row>
    <row r="12899">
      <c r="A12899" s="48" t="s">
        <v>4090</v>
      </c>
      <c r="B12899" s="38">
        <v>48066.0</v>
      </c>
      <c r="C12899" s="38" t="s">
        <v>17103</v>
      </c>
      <c r="D12899" s="38" t="str">
        <f>IFERROR(__xludf.DUMMYFUNCTION("REGEXREPLACE(C12899,""-\d+(.*)|--\d+(.*)"","""")"),"FRAISSINET-DE-LOZERE")</f>
        <v>FRAISSINET-DE-LOZERE</v>
      </c>
      <c r="E12899" s="38" t="s">
        <v>154</v>
      </c>
      <c r="F12899" s="38" t="s">
        <v>119</v>
      </c>
      <c r="G12899" s="49" t="str">
        <f t="shared" si="1"/>
        <v>48220</v>
      </c>
      <c r="H12899" s="49">
        <f t="shared" si="2"/>
        <v>48066</v>
      </c>
    </row>
    <row r="12900">
      <c r="A12900" s="48" t="s">
        <v>11059</v>
      </c>
      <c r="B12900" s="38">
        <v>48002.0</v>
      </c>
      <c r="C12900" s="38" t="s">
        <v>17104</v>
      </c>
      <c r="D12900" s="38" t="str">
        <f>IFERROR(__xludf.DUMMYFUNCTION("REGEXREPLACE(C12900,""-\d+(.*)|--\d+(.*)"","""")"),"ALBARET-SAINTE-MARIE")</f>
        <v>ALBARET-SAINTE-MARIE</v>
      </c>
      <c r="E12900" s="38" t="s">
        <v>154</v>
      </c>
      <c r="F12900" s="38" t="s">
        <v>119</v>
      </c>
      <c r="G12900" s="49" t="str">
        <f t="shared" si="1"/>
        <v>48200</v>
      </c>
      <c r="H12900" s="49">
        <f t="shared" si="2"/>
        <v>48002</v>
      </c>
    </row>
    <row r="12901">
      <c r="A12901" s="48" t="s">
        <v>2370</v>
      </c>
      <c r="B12901" s="38">
        <v>33105.0</v>
      </c>
      <c r="C12901" s="38" t="s">
        <v>17105</v>
      </c>
      <c r="D12901" s="38" t="str">
        <f>IFERROR(__xludf.DUMMYFUNCTION("REGEXREPLACE(C12901,""-\d+(.*)|--\d+(.*)"","""")"),"CASTELVIEL")</f>
        <v>CASTELVIEL</v>
      </c>
      <c r="E12901" s="38" t="s">
        <v>462</v>
      </c>
      <c r="F12901" s="38" t="s">
        <v>252</v>
      </c>
      <c r="G12901" s="49" t="str">
        <f t="shared" si="1"/>
        <v>33540</v>
      </c>
      <c r="H12901" s="49">
        <f t="shared" si="2"/>
        <v>33105</v>
      </c>
    </row>
    <row r="12902">
      <c r="A12902" s="48" t="s">
        <v>4447</v>
      </c>
      <c r="B12902" s="38">
        <v>39006.0</v>
      </c>
      <c r="C12902" s="38" t="s">
        <v>17106</v>
      </c>
      <c r="D12902" s="38" t="str">
        <f>IFERROR(__xludf.DUMMYFUNCTION("REGEXREPLACE(C12902,""-\d+(.*)|--\d+(.*)"","""")"),"AIGLEPIERRE")</f>
        <v>AIGLEPIERRE</v>
      </c>
      <c r="E12902" s="38" t="s">
        <v>400</v>
      </c>
      <c r="F12902" s="38" t="s">
        <v>214</v>
      </c>
      <c r="G12902" s="49" t="str">
        <f t="shared" si="1"/>
        <v>39110</v>
      </c>
      <c r="H12902" s="49">
        <f t="shared" si="2"/>
        <v>39006</v>
      </c>
    </row>
    <row r="12903">
      <c r="A12903" s="48" t="s">
        <v>2600</v>
      </c>
      <c r="B12903" s="38">
        <v>60519.0</v>
      </c>
      <c r="C12903" s="38" t="s">
        <v>17107</v>
      </c>
      <c r="D12903" s="38" t="str">
        <f>IFERROR(__xludf.DUMMYFUNCTION("REGEXREPLACE(C12903,""-\d+(.*)|--\d+(.*)"","""")"),"QUESMY")</f>
        <v>QUESMY</v>
      </c>
      <c r="E12903" s="38" t="s">
        <v>112</v>
      </c>
      <c r="F12903" s="38" t="s">
        <v>113</v>
      </c>
      <c r="G12903" s="49" t="str">
        <f t="shared" si="1"/>
        <v>60640</v>
      </c>
      <c r="H12903" s="49">
        <f t="shared" si="2"/>
        <v>60519</v>
      </c>
    </row>
    <row r="12904">
      <c r="A12904" s="48" t="s">
        <v>719</v>
      </c>
      <c r="B12904" s="38">
        <v>8324.0</v>
      </c>
      <c r="C12904" s="38" t="s">
        <v>17108</v>
      </c>
      <c r="D12904" s="38" t="str">
        <f>IFERROR(__xludf.DUMMYFUNCTION("REGEXREPLACE(C12904,""-\d+(.*)|--\d+(.*)"","""")"),"NEUVIZY")</f>
        <v>NEUVIZY</v>
      </c>
      <c r="E12904" s="38" t="s">
        <v>327</v>
      </c>
      <c r="F12904" s="38" t="s">
        <v>130</v>
      </c>
      <c r="G12904" s="49" t="str">
        <f t="shared" si="1"/>
        <v>08430</v>
      </c>
      <c r="H12904" s="49" t="str">
        <f t="shared" si="2"/>
        <v>08324</v>
      </c>
    </row>
    <row r="12905">
      <c r="A12905" s="48" t="s">
        <v>2981</v>
      </c>
      <c r="B12905" s="38">
        <v>21555.0</v>
      </c>
      <c r="C12905" s="38" t="s">
        <v>812</v>
      </c>
      <c r="D12905" s="38" t="str">
        <f>IFERROR(__xludf.DUMMYFUNCTION("REGEXREPLACE(C12905,""-\d+(.*)|--\d+(.*)"","""")"),"SAINT-JULIEN")</f>
        <v>SAINT-JULIEN</v>
      </c>
      <c r="E12905" s="38" t="s">
        <v>105</v>
      </c>
      <c r="F12905" s="38" t="s">
        <v>106</v>
      </c>
      <c r="G12905" s="49" t="str">
        <f t="shared" si="1"/>
        <v>21490</v>
      </c>
      <c r="H12905" s="49">
        <f t="shared" si="2"/>
        <v>21555</v>
      </c>
    </row>
    <row r="12906">
      <c r="A12906" s="48" t="s">
        <v>11573</v>
      </c>
      <c r="B12906" s="38">
        <v>73017.0</v>
      </c>
      <c r="C12906" s="38" t="s">
        <v>10127</v>
      </c>
      <c r="D12906" s="38" t="str">
        <f>IFERROR(__xludf.DUMMYFUNCTION("REGEXREPLACE(C12906,""-\d+(.*)|--\d+(.*)"","""")"),"APREMONT")</f>
        <v>APREMONT</v>
      </c>
      <c r="E12906" s="38" t="s">
        <v>306</v>
      </c>
      <c r="F12906" s="38" t="s">
        <v>102</v>
      </c>
      <c r="G12906" s="49" t="str">
        <f t="shared" si="1"/>
        <v>73190</v>
      </c>
      <c r="H12906" s="49">
        <f t="shared" si="2"/>
        <v>73017</v>
      </c>
    </row>
    <row r="12907">
      <c r="A12907" s="48" t="s">
        <v>9016</v>
      </c>
      <c r="B12907" s="38">
        <v>76188.0</v>
      </c>
      <c r="C12907" s="38" t="s">
        <v>17109</v>
      </c>
      <c r="D12907" s="38" t="str">
        <f>IFERROR(__xludf.DUMMYFUNCTION("REGEXREPLACE(C12907,""-\d+(.*)|--\d+(.*)"","""")"),"COTTEVRARD")</f>
        <v>COTTEVRARD</v>
      </c>
      <c r="E12907" s="38" t="s">
        <v>133</v>
      </c>
      <c r="F12907" s="38" t="s">
        <v>134</v>
      </c>
      <c r="G12907" s="49" t="str">
        <f t="shared" si="1"/>
        <v>76850</v>
      </c>
      <c r="H12907" s="49">
        <f t="shared" si="2"/>
        <v>76188</v>
      </c>
    </row>
    <row r="12908">
      <c r="A12908" s="48" t="s">
        <v>916</v>
      </c>
      <c r="B12908" s="38">
        <v>76668.0</v>
      </c>
      <c r="C12908" s="38" t="s">
        <v>17110</v>
      </c>
      <c r="D12908" s="38" t="str">
        <f>IFERROR(__xludf.DUMMYFUNCTION("REGEXREPLACE(C12908,""-\d+(.*)|--\d+(.*)"","""")"),"SAUSSAY")</f>
        <v>SAUSSAY</v>
      </c>
      <c r="E12908" s="38" t="s">
        <v>133</v>
      </c>
      <c r="F12908" s="38" t="s">
        <v>134</v>
      </c>
      <c r="G12908" s="49" t="str">
        <f t="shared" si="1"/>
        <v>76760</v>
      </c>
      <c r="H12908" s="49">
        <f t="shared" si="2"/>
        <v>76668</v>
      </c>
    </row>
    <row r="12909">
      <c r="A12909" s="48" t="s">
        <v>12589</v>
      </c>
      <c r="B12909" s="38">
        <v>1050.0</v>
      </c>
      <c r="C12909" s="38" t="s">
        <v>17111</v>
      </c>
      <c r="D12909" s="38" t="str">
        <f>IFERROR(__xludf.DUMMYFUNCTION("REGEXREPLACE(C12909,""-\d+(.*)|--\d+(.*)"","""")"),"BOISSEY")</f>
        <v>BOISSEY</v>
      </c>
      <c r="E12909" s="38" t="s">
        <v>255</v>
      </c>
      <c r="F12909" s="38" t="s">
        <v>102</v>
      </c>
      <c r="G12909" s="49" t="str">
        <f t="shared" si="1"/>
        <v>01190</v>
      </c>
      <c r="H12909" s="49" t="str">
        <f t="shared" si="2"/>
        <v>01050</v>
      </c>
    </row>
    <row r="12910">
      <c r="A12910" s="48" t="s">
        <v>7052</v>
      </c>
      <c r="B12910" s="38">
        <v>10134.0</v>
      </c>
      <c r="C12910" s="38" t="s">
        <v>17112</v>
      </c>
      <c r="D12910" s="38" t="str">
        <f>IFERROR(__xludf.DUMMYFUNCTION("REGEXREPLACE(C12910,""-\d+(.*)|--\d+(.*)"","""")"),"ECHEMINES")</f>
        <v>ECHEMINES</v>
      </c>
      <c r="E12910" s="38" t="s">
        <v>147</v>
      </c>
      <c r="F12910" s="38" t="s">
        <v>130</v>
      </c>
      <c r="G12910" s="49" t="str">
        <f t="shared" si="1"/>
        <v>10350</v>
      </c>
      <c r="H12910" s="49">
        <f t="shared" si="2"/>
        <v>10134</v>
      </c>
    </row>
    <row r="12911">
      <c r="A12911" s="48" t="s">
        <v>8845</v>
      </c>
      <c r="B12911" s="38">
        <v>8473.0</v>
      </c>
      <c r="C12911" s="38" t="s">
        <v>17113</v>
      </c>
      <c r="D12911" s="38" t="str">
        <f>IFERROR(__xludf.DUMMYFUNCTION("REGEXREPLACE(C12911,""-\d+(.*)|--\d+(.*)"","""")"),"VIEUX-LES-ASFELD")</f>
        <v>VIEUX-LES-ASFELD</v>
      </c>
      <c r="E12911" s="38" t="s">
        <v>327</v>
      </c>
      <c r="F12911" s="38" t="s">
        <v>130</v>
      </c>
      <c r="G12911" s="49" t="str">
        <f t="shared" si="1"/>
        <v>08190</v>
      </c>
      <c r="H12911" s="49" t="str">
        <f t="shared" si="2"/>
        <v>08473</v>
      </c>
    </row>
    <row r="12912">
      <c r="A12912" s="48" t="s">
        <v>4882</v>
      </c>
      <c r="B12912" s="38">
        <v>89175.0</v>
      </c>
      <c r="C12912" s="38" t="s">
        <v>17114</v>
      </c>
      <c r="D12912" s="38" t="str">
        <f>IFERROR(__xludf.DUMMYFUNCTION("REGEXREPLACE(C12912,""-\d+(.*)|--\d+(.*)"","""")"),"FONTENAY-PRES-CHABLIS")</f>
        <v>FONTENAY-PRES-CHABLIS</v>
      </c>
      <c r="E12912" s="38" t="s">
        <v>275</v>
      </c>
      <c r="F12912" s="38" t="s">
        <v>106</v>
      </c>
      <c r="G12912" s="49" t="str">
        <f t="shared" si="1"/>
        <v>89800</v>
      </c>
      <c r="H12912" s="49">
        <f t="shared" si="2"/>
        <v>89175</v>
      </c>
    </row>
    <row r="12913">
      <c r="A12913" s="48" t="s">
        <v>2853</v>
      </c>
      <c r="B12913" s="38">
        <v>36007.0</v>
      </c>
      <c r="C12913" s="38" t="s">
        <v>17115</v>
      </c>
      <c r="D12913" s="38" t="str">
        <f>IFERROR(__xludf.DUMMYFUNCTION("REGEXREPLACE(C12913,""-\d+(.*)|--\d+(.*)"","""")"),"ARGY")</f>
        <v>ARGY</v>
      </c>
      <c r="E12913" s="38" t="s">
        <v>258</v>
      </c>
      <c r="F12913" s="38" t="s">
        <v>123</v>
      </c>
      <c r="G12913" s="49" t="str">
        <f t="shared" si="1"/>
        <v>36500</v>
      </c>
      <c r="H12913" s="49">
        <f t="shared" si="2"/>
        <v>36007</v>
      </c>
    </row>
    <row r="12914">
      <c r="A12914" s="48" t="s">
        <v>17116</v>
      </c>
      <c r="B12914" s="38">
        <v>31506.0</v>
      </c>
      <c r="C12914" s="38" t="s">
        <v>17117</v>
      </c>
      <c r="D12914" s="38" t="str">
        <f>IFERROR(__xludf.DUMMYFUNCTION("REGEXREPLACE(C12914,""-\d+(.*)|--\d+(.*)"","""")"),"SAINT-ORENS-DE-GAMEVILLE")</f>
        <v>SAINT-ORENS-DE-GAMEVILLE</v>
      </c>
      <c r="E12914" s="38" t="s">
        <v>93</v>
      </c>
      <c r="F12914" s="38" t="s">
        <v>94</v>
      </c>
      <c r="G12914" s="49" t="str">
        <f t="shared" si="1"/>
        <v>31650</v>
      </c>
      <c r="H12914" s="49">
        <f t="shared" si="2"/>
        <v>31506</v>
      </c>
    </row>
    <row r="12915">
      <c r="A12915" s="48" t="s">
        <v>1072</v>
      </c>
      <c r="B12915" s="38">
        <v>86247.0</v>
      </c>
      <c r="C12915" s="38" t="s">
        <v>17118</v>
      </c>
      <c r="D12915" s="38" t="str">
        <f>IFERROR(__xludf.DUMMYFUNCTION("REGEXREPLACE(C12915,""-\d+(.*)|--\d+(.*)"","""")"),"SAINT-SAVIOL")</f>
        <v>SAINT-SAVIOL</v>
      </c>
      <c r="E12915" s="38" t="s">
        <v>529</v>
      </c>
      <c r="F12915" s="38" t="s">
        <v>338</v>
      </c>
      <c r="G12915" s="49" t="str">
        <f t="shared" si="1"/>
        <v>86400</v>
      </c>
      <c r="H12915" s="49">
        <f t="shared" si="2"/>
        <v>86247</v>
      </c>
    </row>
    <row r="12916">
      <c r="A12916" s="48" t="s">
        <v>2031</v>
      </c>
      <c r="B12916" s="38">
        <v>62906.0</v>
      </c>
      <c r="C12916" s="38" t="s">
        <v>17119</v>
      </c>
      <c r="D12916" s="38" t="str">
        <f>IFERROR(__xludf.DUMMYFUNCTION("REGEXREPLACE(C12916,""-\d+(.*)|--\d+(.*)"","""")"),"ZUTKERQUE")</f>
        <v>ZUTKERQUE</v>
      </c>
      <c r="E12916" s="38" t="s">
        <v>109</v>
      </c>
      <c r="F12916" s="38" t="s">
        <v>86</v>
      </c>
      <c r="G12916" s="49" t="str">
        <f t="shared" si="1"/>
        <v>62370</v>
      </c>
      <c r="H12916" s="49">
        <f t="shared" si="2"/>
        <v>62906</v>
      </c>
    </row>
    <row r="12917">
      <c r="A12917" s="48" t="s">
        <v>2728</v>
      </c>
      <c r="B12917" s="38">
        <v>38060.0</v>
      </c>
      <c r="C12917" s="38" t="s">
        <v>17120</v>
      </c>
      <c r="D12917" s="38" t="str">
        <f>IFERROR(__xludf.DUMMYFUNCTION("REGEXREPLACE(C12917,""-\d+(.*)|--\d+(.*)"","""")"),"BRION")</f>
        <v>BRION</v>
      </c>
      <c r="E12917" s="38" t="s">
        <v>101</v>
      </c>
      <c r="F12917" s="38" t="s">
        <v>102</v>
      </c>
      <c r="G12917" s="49" t="str">
        <f t="shared" si="1"/>
        <v>38590</v>
      </c>
      <c r="H12917" s="49">
        <f t="shared" si="2"/>
        <v>38060</v>
      </c>
    </row>
    <row r="12918">
      <c r="A12918" s="48" t="s">
        <v>1514</v>
      </c>
      <c r="B12918" s="38">
        <v>70221.0</v>
      </c>
      <c r="C12918" s="38" t="s">
        <v>17121</v>
      </c>
      <c r="D12918" s="38" t="str">
        <f>IFERROR(__xludf.DUMMYFUNCTION("REGEXREPLACE(C12918,""-\d+(.*)|--\d+(.*)"","""")"),"ETOBON")</f>
        <v>ETOBON</v>
      </c>
      <c r="E12918" s="38" t="s">
        <v>956</v>
      </c>
      <c r="F12918" s="38" t="s">
        <v>214</v>
      </c>
      <c r="G12918" s="49" t="str">
        <f t="shared" si="1"/>
        <v>70400</v>
      </c>
      <c r="H12918" s="49">
        <f t="shared" si="2"/>
        <v>70221</v>
      </c>
    </row>
    <row r="12919">
      <c r="A12919" s="48" t="s">
        <v>3158</v>
      </c>
      <c r="B12919" s="38">
        <v>50296.0</v>
      </c>
      <c r="C12919" s="38" t="s">
        <v>17122</v>
      </c>
      <c r="D12919" s="38" t="str">
        <f>IFERROR(__xludf.DUMMYFUNCTION("REGEXREPLACE(C12919,""-\d+(.*)|--\d+(.*)"","""")"),"MAUPERTUS-SUR-MER")</f>
        <v>MAUPERTUS-SUR-MER</v>
      </c>
      <c r="E12919" s="38" t="s">
        <v>157</v>
      </c>
      <c r="F12919" s="38" t="s">
        <v>138</v>
      </c>
      <c r="G12919" s="49" t="str">
        <f t="shared" si="1"/>
        <v>50330</v>
      </c>
      <c r="H12919" s="49">
        <f t="shared" si="2"/>
        <v>50296</v>
      </c>
    </row>
    <row r="12920">
      <c r="A12920" s="48" t="s">
        <v>5513</v>
      </c>
      <c r="B12920" s="38">
        <v>57278.0</v>
      </c>
      <c r="C12920" s="38" t="s">
        <v>17123</v>
      </c>
      <c r="D12920" s="38" t="str">
        <f>IFERROR(__xludf.DUMMYFUNCTION("REGEXREPLACE(C12920,""-\d+(.*)|--\d+(.*)"","""")"),"GUINZELING")</f>
        <v>GUINZELING</v>
      </c>
      <c r="E12920" s="38" t="s">
        <v>303</v>
      </c>
      <c r="F12920" s="38" t="s">
        <v>195</v>
      </c>
      <c r="G12920" s="49" t="str">
        <f t="shared" si="1"/>
        <v>57670</v>
      </c>
      <c r="H12920" s="49">
        <f t="shared" si="2"/>
        <v>57278</v>
      </c>
    </row>
    <row r="12921">
      <c r="A12921" s="48" t="s">
        <v>4853</v>
      </c>
      <c r="B12921" s="38">
        <v>32101.0</v>
      </c>
      <c r="C12921" s="38" t="s">
        <v>17124</v>
      </c>
      <c r="D12921" s="38" t="str">
        <f>IFERROR(__xludf.DUMMYFUNCTION("REGEXREPLACE(C12921,""-\d+(.*)|--\d+(.*)"","""")"),"CERAN")</f>
        <v>CERAN</v>
      </c>
      <c r="E12921" s="38" t="s">
        <v>440</v>
      </c>
      <c r="F12921" s="38" t="s">
        <v>94</v>
      </c>
      <c r="G12921" s="49" t="str">
        <f t="shared" si="1"/>
        <v>32500</v>
      </c>
      <c r="H12921" s="49">
        <f t="shared" si="2"/>
        <v>32101</v>
      </c>
    </row>
    <row r="12922">
      <c r="A12922" s="48" t="s">
        <v>17125</v>
      </c>
      <c r="B12922" s="38">
        <v>78372.0</v>
      </c>
      <c r="C12922" s="38" t="s">
        <v>17126</v>
      </c>
      <c r="D12922" s="38" t="str">
        <f>IFERROR(__xludf.DUMMYFUNCTION("REGEXREPLACE(C12922,""-\d+(.*)|--\d+(.*)"","""")"),"MARLY-LE-ROI")</f>
        <v>MARLY-LE-ROI</v>
      </c>
      <c r="E12922" s="38" t="s">
        <v>362</v>
      </c>
      <c r="F12922" s="38" t="s">
        <v>245</v>
      </c>
      <c r="G12922" s="49" t="str">
        <f t="shared" si="1"/>
        <v>78160</v>
      </c>
      <c r="H12922" s="49">
        <f t="shared" si="2"/>
        <v>78372</v>
      </c>
    </row>
    <row r="12923">
      <c r="A12923" s="48" t="s">
        <v>5846</v>
      </c>
      <c r="B12923" s="38">
        <v>60020.0</v>
      </c>
      <c r="C12923" s="38" t="s">
        <v>17127</v>
      </c>
      <c r="D12923" s="38" t="str">
        <f>IFERROR(__xludf.DUMMYFUNCTION("REGEXREPLACE(C12923,""-\d+(.*)|--\d+(.*)"","""")"),"ANTILLY")</f>
        <v>ANTILLY</v>
      </c>
      <c r="E12923" s="38" t="s">
        <v>112</v>
      </c>
      <c r="F12923" s="38" t="s">
        <v>113</v>
      </c>
      <c r="G12923" s="49" t="str">
        <f t="shared" si="1"/>
        <v>60620</v>
      </c>
      <c r="H12923" s="49">
        <f t="shared" si="2"/>
        <v>60020</v>
      </c>
    </row>
    <row r="12924">
      <c r="A12924" s="48" t="s">
        <v>914</v>
      </c>
      <c r="B12924" s="38">
        <v>35013.0</v>
      </c>
      <c r="C12924" s="38" t="s">
        <v>17128</v>
      </c>
      <c r="D12924" s="38" t="str">
        <f>IFERROR(__xludf.DUMMYFUNCTION("REGEXREPLACE(C12924,""-\d+(.*)|--\d+(.*)"","""")"),"BAINS-SUR-OUST")</f>
        <v>BAINS-SUR-OUST</v>
      </c>
      <c r="E12924" s="38" t="s">
        <v>347</v>
      </c>
      <c r="F12924" s="38" t="s">
        <v>90</v>
      </c>
      <c r="G12924" s="49" t="str">
        <f t="shared" si="1"/>
        <v>35600</v>
      </c>
      <c r="H12924" s="49">
        <f t="shared" si="2"/>
        <v>35013</v>
      </c>
    </row>
    <row r="12925">
      <c r="A12925" s="48" t="s">
        <v>17129</v>
      </c>
      <c r="B12925" s="38">
        <v>10336.0</v>
      </c>
      <c r="C12925" s="38" t="s">
        <v>17130</v>
      </c>
      <c r="D12925" s="38" t="str">
        <f>IFERROR(__xludf.DUMMYFUNCTION("REGEXREPLACE(C12925,""-\d+(.*)|--\d+(.*)"","""")"),"SAINT-BENOIT-SUR-SEINE")</f>
        <v>SAINT-BENOIT-SUR-SEINE</v>
      </c>
      <c r="E12925" s="38" t="s">
        <v>147</v>
      </c>
      <c r="F12925" s="38" t="s">
        <v>130</v>
      </c>
      <c r="G12925" s="49" t="str">
        <f t="shared" si="1"/>
        <v>10180</v>
      </c>
      <c r="H12925" s="49">
        <f t="shared" si="2"/>
        <v>10336</v>
      </c>
    </row>
    <row r="12926">
      <c r="A12926" s="48" t="s">
        <v>497</v>
      </c>
      <c r="B12926" s="38">
        <v>62293.0</v>
      </c>
      <c r="C12926" s="38" t="s">
        <v>17131</v>
      </c>
      <c r="D12926" s="38" t="str">
        <f>IFERROR(__xludf.DUMMYFUNCTION("REGEXREPLACE(C12926,""-\d+(.*)|--\d+(.*)"","""")"),"EMBRY")</f>
        <v>EMBRY</v>
      </c>
      <c r="E12926" s="38" t="s">
        <v>109</v>
      </c>
      <c r="F12926" s="38" t="s">
        <v>86</v>
      </c>
      <c r="G12926" s="49" t="str">
        <f t="shared" si="1"/>
        <v>62990</v>
      </c>
      <c r="H12926" s="49">
        <f t="shared" si="2"/>
        <v>62293</v>
      </c>
    </row>
    <row r="12927">
      <c r="A12927" s="48" t="s">
        <v>3212</v>
      </c>
      <c r="B12927" s="38">
        <v>64245.0</v>
      </c>
      <c r="C12927" s="38" t="s">
        <v>17132</v>
      </c>
      <c r="D12927" s="38" t="str">
        <f>IFERROR(__xludf.DUMMYFUNCTION("REGEXREPLACE(C12927,""-\d+(.*)|--\d+(.*)"","""")"),"GOES")</f>
        <v>GOES</v>
      </c>
      <c r="E12927" s="38" t="s">
        <v>268</v>
      </c>
      <c r="F12927" s="38" t="s">
        <v>252</v>
      </c>
      <c r="G12927" s="49" t="str">
        <f t="shared" si="1"/>
        <v>64400</v>
      </c>
      <c r="H12927" s="49">
        <f t="shared" si="2"/>
        <v>64245</v>
      </c>
    </row>
    <row r="12928">
      <c r="A12928" s="48" t="s">
        <v>5065</v>
      </c>
      <c r="B12928" s="38">
        <v>50232.0</v>
      </c>
      <c r="C12928" s="38" t="s">
        <v>17133</v>
      </c>
      <c r="D12928" s="38" t="str">
        <f>IFERROR(__xludf.DUMMYFUNCTION("REGEXREPLACE(C12928,""-\d+(.*)|--\d+(.*)"","""")"),"HAUTEVILLE-LA-GUICHARD")</f>
        <v>HAUTEVILLE-LA-GUICHARD</v>
      </c>
      <c r="E12928" s="38" t="s">
        <v>157</v>
      </c>
      <c r="F12928" s="38" t="s">
        <v>138</v>
      </c>
      <c r="G12928" s="49" t="str">
        <f t="shared" si="1"/>
        <v>50570</v>
      </c>
      <c r="H12928" s="49">
        <f t="shared" si="2"/>
        <v>50232</v>
      </c>
    </row>
    <row r="12929">
      <c r="A12929" s="48" t="s">
        <v>614</v>
      </c>
      <c r="B12929" s="38">
        <v>24511.0</v>
      </c>
      <c r="C12929" s="38" t="s">
        <v>17134</v>
      </c>
      <c r="D12929" s="38" t="str">
        <f>IFERROR(__xludf.DUMMYFUNCTION("REGEXREPLACE(C12929,""-\d+(.*)|--\d+(.*)"","""")"),"SAINT-VINCENT-JALMOUTIERS")</f>
        <v>SAINT-VINCENT-JALMOUTIERS</v>
      </c>
      <c r="E12929" s="38" t="s">
        <v>261</v>
      </c>
      <c r="F12929" s="38" t="s">
        <v>252</v>
      </c>
      <c r="G12929" s="49" t="str">
        <f t="shared" si="1"/>
        <v>24410</v>
      </c>
      <c r="H12929" s="49">
        <f t="shared" si="2"/>
        <v>24511</v>
      </c>
    </row>
    <row r="12930">
      <c r="A12930" s="48" t="s">
        <v>944</v>
      </c>
      <c r="B12930" s="38">
        <v>61203.0</v>
      </c>
      <c r="C12930" s="38" t="s">
        <v>17135</v>
      </c>
      <c r="D12930" s="38" t="str">
        <f>IFERROR(__xludf.DUMMYFUNCTION("REGEXREPLACE(C12930,""-\d+(.*)|--\d+(.*)"","""")"),"HELOUP")</f>
        <v>HELOUP</v>
      </c>
      <c r="E12930" s="38" t="s">
        <v>141</v>
      </c>
      <c r="F12930" s="38" t="s">
        <v>138</v>
      </c>
      <c r="G12930" s="49" t="str">
        <f t="shared" si="1"/>
        <v>61250</v>
      </c>
      <c r="H12930" s="49">
        <f t="shared" si="2"/>
        <v>61203</v>
      </c>
    </row>
    <row r="12931">
      <c r="A12931" s="48" t="s">
        <v>164</v>
      </c>
      <c r="B12931" s="38">
        <v>42069.0</v>
      </c>
      <c r="C12931" s="38" t="s">
        <v>17136</v>
      </c>
      <c r="D12931" s="38" t="str">
        <f>IFERROR(__xludf.DUMMYFUNCTION("REGEXREPLACE(C12931,""-\d+(.*)|--\d+(.*)"","""")"),"COMMELLE-VERNAY")</f>
        <v>COMMELLE-VERNAY</v>
      </c>
      <c r="E12931" s="38" t="s">
        <v>166</v>
      </c>
      <c r="F12931" s="38" t="s">
        <v>102</v>
      </c>
      <c r="G12931" s="49" t="str">
        <f t="shared" si="1"/>
        <v>42120</v>
      </c>
      <c r="H12931" s="49">
        <f t="shared" si="2"/>
        <v>42069</v>
      </c>
    </row>
    <row r="12932">
      <c r="A12932" s="48" t="s">
        <v>9026</v>
      </c>
      <c r="B12932" s="38">
        <v>21028.0</v>
      </c>
      <c r="C12932" s="38" t="s">
        <v>2941</v>
      </c>
      <c r="D12932" s="38" t="str">
        <f>IFERROR(__xludf.DUMMYFUNCTION("REGEXREPLACE(C12932,""-\d+(.*)|--\d+(.*)"","""")"),"ATHEE")</f>
        <v>ATHEE</v>
      </c>
      <c r="E12932" s="38" t="s">
        <v>105</v>
      </c>
      <c r="F12932" s="38" t="s">
        <v>106</v>
      </c>
      <c r="G12932" s="49" t="str">
        <f t="shared" si="1"/>
        <v>21130</v>
      </c>
      <c r="H12932" s="49">
        <f t="shared" si="2"/>
        <v>21028</v>
      </c>
    </row>
    <row r="12933">
      <c r="A12933" s="48" t="s">
        <v>1114</v>
      </c>
      <c r="B12933" s="38">
        <v>2704.0</v>
      </c>
      <c r="C12933" s="38" t="s">
        <v>17137</v>
      </c>
      <c r="D12933" s="38" t="str">
        <f>IFERROR(__xludf.DUMMYFUNCTION("REGEXREPLACE(C12933,""-\d+(.*)|--\d+(.*)"","""")"),"SELENS")</f>
        <v>SELENS</v>
      </c>
      <c r="E12933" s="38" t="s">
        <v>191</v>
      </c>
      <c r="F12933" s="38" t="s">
        <v>113</v>
      </c>
      <c r="G12933" s="49" t="str">
        <f t="shared" si="1"/>
        <v>02300</v>
      </c>
      <c r="H12933" s="49" t="str">
        <f t="shared" si="2"/>
        <v>02704</v>
      </c>
    </row>
    <row r="12934">
      <c r="A12934" s="48" t="s">
        <v>8698</v>
      </c>
      <c r="B12934" s="38">
        <v>11100.0</v>
      </c>
      <c r="C12934" s="38" t="s">
        <v>17138</v>
      </c>
      <c r="D12934" s="38" t="str">
        <f>IFERROR(__xludf.DUMMYFUNCTION("REGEXREPLACE(C12934,""-\d+(.*)|--\d+(.*)"","""")"),"CORBIERES")</f>
        <v>CORBIERES</v>
      </c>
      <c r="E12934" s="38" t="s">
        <v>278</v>
      </c>
      <c r="F12934" s="38" t="s">
        <v>119</v>
      </c>
      <c r="G12934" s="49" t="str">
        <f t="shared" si="1"/>
        <v>11230</v>
      </c>
      <c r="H12934" s="49">
        <f t="shared" si="2"/>
        <v>11100</v>
      </c>
    </row>
    <row r="12935">
      <c r="A12935" s="48" t="s">
        <v>1274</v>
      </c>
      <c r="B12935" s="38">
        <v>33221.0</v>
      </c>
      <c r="C12935" s="38" t="s">
        <v>17139</v>
      </c>
      <c r="D12935" s="38" t="str">
        <f>IFERROR(__xludf.DUMMYFUNCTION("REGEXREPLACE(C12935,""-\d+(.*)|--\d+(.*)"","""")"),"LAMOTHE-LANDERRON")</f>
        <v>LAMOTHE-LANDERRON</v>
      </c>
      <c r="E12935" s="38" t="s">
        <v>462</v>
      </c>
      <c r="F12935" s="38" t="s">
        <v>252</v>
      </c>
      <c r="G12935" s="49" t="str">
        <f t="shared" si="1"/>
        <v>33190</v>
      </c>
      <c r="H12935" s="49">
        <f t="shared" si="2"/>
        <v>33221</v>
      </c>
    </row>
    <row r="12936">
      <c r="A12936" s="48" t="s">
        <v>922</v>
      </c>
      <c r="B12936" s="38">
        <v>76345.0</v>
      </c>
      <c r="C12936" s="38" t="s">
        <v>17140</v>
      </c>
      <c r="D12936" s="38" t="str">
        <f>IFERROR(__xludf.DUMMYFUNCTION("REGEXREPLACE(C12936,""-\d+(.*)|--\d+(.*)"","""")"),"HAUSSEZ")</f>
        <v>HAUSSEZ</v>
      </c>
      <c r="E12936" s="38" t="s">
        <v>133</v>
      </c>
      <c r="F12936" s="38" t="s">
        <v>134</v>
      </c>
      <c r="G12936" s="49" t="str">
        <f t="shared" si="1"/>
        <v>76440</v>
      </c>
      <c r="H12936" s="49">
        <f t="shared" si="2"/>
        <v>76345</v>
      </c>
    </row>
    <row r="12937">
      <c r="A12937" s="48" t="s">
        <v>6651</v>
      </c>
      <c r="B12937" s="38">
        <v>31179.0</v>
      </c>
      <c r="C12937" s="38" t="s">
        <v>17141</v>
      </c>
      <c r="D12937" s="38" t="str">
        <f>IFERROR(__xludf.DUMMYFUNCTION("REGEXREPLACE(C12937,""-\d+(.*)|--\d+(.*)"","""")"),"LE FAGET")</f>
        <v>LE FAGET</v>
      </c>
      <c r="E12937" s="38" t="s">
        <v>93</v>
      </c>
      <c r="F12937" s="38" t="s">
        <v>94</v>
      </c>
      <c r="G12937" s="49" t="str">
        <f t="shared" si="1"/>
        <v>31460</v>
      </c>
      <c r="H12937" s="49">
        <f t="shared" si="2"/>
        <v>31179</v>
      </c>
    </row>
    <row r="12938">
      <c r="A12938" s="48" t="s">
        <v>13932</v>
      </c>
      <c r="B12938" s="38">
        <v>19081.0</v>
      </c>
      <c r="C12938" s="38" t="s">
        <v>17142</v>
      </c>
      <c r="D12938" s="38" t="str">
        <f>IFERROR(__xludf.DUMMYFUNCTION("REGEXREPLACE(C12938,""-\d+(.*)|--\d+(.*)"","""")"),"EYREIN")</f>
        <v>EYREIN</v>
      </c>
      <c r="E12938" s="38" t="s">
        <v>271</v>
      </c>
      <c r="F12938" s="38" t="s">
        <v>98</v>
      </c>
      <c r="G12938" s="49" t="str">
        <f t="shared" si="1"/>
        <v>19800</v>
      </c>
      <c r="H12938" s="49">
        <f t="shared" si="2"/>
        <v>19081</v>
      </c>
    </row>
    <row r="12939">
      <c r="A12939" s="48" t="s">
        <v>2736</v>
      </c>
      <c r="B12939" s="38">
        <v>89466.0</v>
      </c>
      <c r="C12939" s="38" t="s">
        <v>17143</v>
      </c>
      <c r="D12939" s="38" t="str">
        <f>IFERROR(__xludf.DUMMYFUNCTION("REGEXREPLACE(C12939,""-\d+(.*)|--\d+(.*)"","""")"),"VILLEROY")</f>
        <v>VILLEROY</v>
      </c>
      <c r="E12939" s="38" t="s">
        <v>275</v>
      </c>
      <c r="F12939" s="38" t="s">
        <v>106</v>
      </c>
      <c r="G12939" s="49" t="str">
        <f t="shared" si="1"/>
        <v>89100</v>
      </c>
      <c r="H12939" s="49">
        <f t="shared" si="2"/>
        <v>89466</v>
      </c>
    </row>
    <row r="12940">
      <c r="A12940" s="48" t="s">
        <v>2487</v>
      </c>
      <c r="B12940" s="38">
        <v>70243.0</v>
      </c>
      <c r="C12940" s="38" t="s">
        <v>17144</v>
      </c>
      <c r="D12940" s="38" t="str">
        <f>IFERROR(__xludf.DUMMYFUNCTION("REGEXREPLACE(C12940,""-\d+(.*)|--\d+(.*)"","""")"),"FONTENOIS-LES-MONTBOZON")</f>
        <v>FONTENOIS-LES-MONTBOZON</v>
      </c>
      <c r="E12940" s="38" t="s">
        <v>956</v>
      </c>
      <c r="F12940" s="38" t="s">
        <v>214</v>
      </c>
      <c r="G12940" s="49" t="str">
        <f t="shared" si="1"/>
        <v>70230</v>
      </c>
      <c r="H12940" s="49">
        <f t="shared" si="2"/>
        <v>70243</v>
      </c>
    </row>
    <row r="12941">
      <c r="A12941" s="48" t="s">
        <v>5761</v>
      </c>
      <c r="B12941" s="38">
        <v>17084.0</v>
      </c>
      <c r="C12941" s="38" t="s">
        <v>17145</v>
      </c>
      <c r="D12941" s="38" t="str">
        <f>IFERROR(__xludf.DUMMYFUNCTION("REGEXREPLACE(C12941,""-\d+(.*)|--\d+(.*)"","""")"),"CHAMPAGNOLLES")</f>
        <v>CHAMPAGNOLLES</v>
      </c>
      <c r="E12941" s="38" t="s">
        <v>488</v>
      </c>
      <c r="F12941" s="38" t="s">
        <v>338</v>
      </c>
      <c r="G12941" s="49" t="str">
        <f t="shared" si="1"/>
        <v>17240</v>
      </c>
      <c r="H12941" s="49">
        <f t="shared" si="2"/>
        <v>17084</v>
      </c>
    </row>
    <row r="12942">
      <c r="A12942" s="48" t="s">
        <v>17146</v>
      </c>
      <c r="B12942" s="38">
        <v>1354.0</v>
      </c>
      <c r="C12942" s="38" t="s">
        <v>17147</v>
      </c>
      <c r="D12942" s="38" t="str">
        <f>IFERROR(__xludf.DUMMYFUNCTION("REGEXREPLACE(C12942,""-\d+(.*)|--\d+(.*)"","""")"),"SAINT-GENIS-POUILLY")</f>
        <v>SAINT-GENIS-POUILLY</v>
      </c>
      <c r="E12942" s="38" t="s">
        <v>255</v>
      </c>
      <c r="F12942" s="38" t="s">
        <v>102</v>
      </c>
      <c r="G12942" s="49" t="str">
        <f t="shared" si="1"/>
        <v>01630</v>
      </c>
      <c r="H12942" s="49" t="str">
        <f t="shared" si="2"/>
        <v>01354</v>
      </c>
    </row>
    <row r="12943">
      <c r="A12943" s="48" t="s">
        <v>8371</v>
      </c>
      <c r="B12943" s="38">
        <v>57318.0</v>
      </c>
      <c r="C12943" s="38" t="s">
        <v>17148</v>
      </c>
      <c r="D12943" s="38" t="str">
        <f>IFERROR(__xludf.DUMMYFUNCTION("REGEXREPLACE(C12943,""-\d+(.*)|--\d+(.*)"","""")"),"HERMELANGE")</f>
        <v>HERMELANGE</v>
      </c>
      <c r="E12943" s="38" t="s">
        <v>303</v>
      </c>
      <c r="F12943" s="38" t="s">
        <v>195</v>
      </c>
      <c r="G12943" s="49" t="str">
        <f t="shared" si="1"/>
        <v>57790</v>
      </c>
      <c r="H12943" s="49">
        <f t="shared" si="2"/>
        <v>57318</v>
      </c>
    </row>
    <row r="12944">
      <c r="A12944" s="48" t="s">
        <v>16376</v>
      </c>
      <c r="B12944" s="38">
        <v>77053.0</v>
      </c>
      <c r="C12944" s="38" t="s">
        <v>17149</v>
      </c>
      <c r="D12944" s="38" t="str">
        <f>IFERROR(__xludf.DUMMYFUNCTION("REGEXREPLACE(C12944,""-\d+(.*)|--\d+(.*)"","""")"),"BRIE-COMTE-ROBERT")</f>
        <v>BRIE-COMTE-ROBERT</v>
      </c>
      <c r="E12944" s="38" t="s">
        <v>244</v>
      </c>
      <c r="F12944" s="38" t="s">
        <v>245</v>
      </c>
      <c r="G12944" s="49" t="str">
        <f t="shared" si="1"/>
        <v>77170</v>
      </c>
      <c r="H12944" s="49">
        <f t="shared" si="2"/>
        <v>77053</v>
      </c>
    </row>
    <row r="12945">
      <c r="A12945" s="48" t="s">
        <v>12952</v>
      </c>
      <c r="B12945" s="38" t="s">
        <v>17150</v>
      </c>
      <c r="C12945" s="38" t="s">
        <v>17151</v>
      </c>
      <c r="D12945" s="38" t="str">
        <f>IFERROR(__xludf.DUMMYFUNCTION("REGEXREPLACE(C12945,""-\d+(.*)|--\d+(.*)"","""")"),"AGHIONE")</f>
        <v>AGHIONE</v>
      </c>
      <c r="E12945" s="38" t="s">
        <v>743</v>
      </c>
      <c r="F12945" s="38" t="s">
        <v>607</v>
      </c>
      <c r="G12945" s="49" t="str">
        <f t="shared" si="1"/>
        <v>20270</v>
      </c>
      <c r="H12945" s="49" t="str">
        <f t="shared" si="2"/>
        <v>2B002</v>
      </c>
    </row>
    <row r="12946">
      <c r="A12946" s="48" t="s">
        <v>13339</v>
      </c>
      <c r="B12946" s="38">
        <v>62319.0</v>
      </c>
      <c r="C12946" s="38" t="s">
        <v>17152</v>
      </c>
      <c r="D12946" s="38" t="str">
        <f>IFERROR(__xludf.DUMMYFUNCTION("REGEXREPLACE(C12946,""-\d+(.*)|--\d+(.*)"","""")"),"ETERPIGNY")</f>
        <v>ETERPIGNY</v>
      </c>
      <c r="E12946" s="38" t="s">
        <v>109</v>
      </c>
      <c r="F12946" s="38" t="s">
        <v>86</v>
      </c>
      <c r="G12946" s="49" t="str">
        <f t="shared" si="1"/>
        <v>62156</v>
      </c>
      <c r="H12946" s="49">
        <f t="shared" si="2"/>
        <v>62319</v>
      </c>
    </row>
    <row r="12947">
      <c r="A12947" s="48" t="s">
        <v>17153</v>
      </c>
      <c r="B12947" s="38">
        <v>74286.0</v>
      </c>
      <c r="C12947" s="38" t="s">
        <v>17154</v>
      </c>
      <c r="D12947" s="38" t="str">
        <f>IFERROR(__xludf.DUMMYFUNCTION("REGEXREPLACE(C12947,""-\d+(.*)|--\d+(.*)"","""")"),"VACHERESSE")</f>
        <v>VACHERESSE</v>
      </c>
      <c r="E12947" s="38" t="s">
        <v>319</v>
      </c>
      <c r="F12947" s="38" t="s">
        <v>102</v>
      </c>
      <c r="G12947" s="49" t="str">
        <f t="shared" si="1"/>
        <v>74360</v>
      </c>
      <c r="H12947" s="49">
        <f t="shared" si="2"/>
        <v>74286</v>
      </c>
    </row>
    <row r="12948">
      <c r="A12948" s="48" t="s">
        <v>1358</v>
      </c>
      <c r="B12948" s="38">
        <v>81079.0</v>
      </c>
      <c r="C12948" s="38" t="s">
        <v>17155</v>
      </c>
      <c r="D12948" s="38" t="str">
        <f>IFERROR(__xludf.DUMMYFUNCTION("REGEXREPLACE(C12948,""-\d+(.*)|--\d+(.*)"","""")"),"DENAT")</f>
        <v>DENAT</v>
      </c>
      <c r="E12948" s="38" t="s">
        <v>231</v>
      </c>
      <c r="F12948" s="38" t="s">
        <v>94</v>
      </c>
      <c r="G12948" s="49" t="str">
        <f t="shared" si="1"/>
        <v>81120</v>
      </c>
      <c r="H12948" s="49">
        <f t="shared" si="2"/>
        <v>81079</v>
      </c>
    </row>
    <row r="12949">
      <c r="A12949" s="48" t="s">
        <v>5477</v>
      </c>
      <c r="B12949" s="38">
        <v>74171.0</v>
      </c>
      <c r="C12949" s="38" t="s">
        <v>17156</v>
      </c>
      <c r="D12949" s="38" t="str">
        <f>IFERROR(__xludf.DUMMYFUNCTION("REGEXREPLACE(C12949,""-\d+(.*)|--\d+(.*)"","""")"),"MASSONGY")</f>
        <v>MASSONGY</v>
      </c>
      <c r="E12949" s="38" t="s">
        <v>319</v>
      </c>
      <c r="F12949" s="38" t="s">
        <v>102</v>
      </c>
      <c r="G12949" s="49" t="str">
        <f t="shared" si="1"/>
        <v>74140</v>
      </c>
      <c r="H12949" s="49">
        <f t="shared" si="2"/>
        <v>74171</v>
      </c>
    </row>
    <row r="12950">
      <c r="A12950" s="48" t="s">
        <v>17157</v>
      </c>
      <c r="B12950" s="38">
        <v>40150.0</v>
      </c>
      <c r="C12950" s="38" t="s">
        <v>17158</v>
      </c>
      <c r="D12950" s="38" t="str">
        <f>IFERROR(__xludf.DUMMYFUNCTION("REGEXREPLACE(C12950,""-\d+(.*)|--\d+(.*)"","""")"),"LEON")</f>
        <v>LEON</v>
      </c>
      <c r="E12950" s="38" t="s">
        <v>281</v>
      </c>
      <c r="F12950" s="38" t="s">
        <v>252</v>
      </c>
      <c r="G12950" s="49" t="str">
        <f t="shared" si="1"/>
        <v>40550</v>
      </c>
      <c r="H12950" s="49">
        <f t="shared" si="2"/>
        <v>40150</v>
      </c>
    </row>
    <row r="12951">
      <c r="A12951" s="48" t="s">
        <v>7393</v>
      </c>
      <c r="B12951" s="38">
        <v>42191.0</v>
      </c>
      <c r="C12951" s="38" t="s">
        <v>17159</v>
      </c>
      <c r="D12951" s="38" t="str">
        <f>IFERROR(__xludf.DUMMYFUNCTION("REGEXREPLACE(C12951,""-\d+(.*)|--\d+(.*)"","""")"),"ROISEY")</f>
        <v>ROISEY</v>
      </c>
      <c r="E12951" s="38" t="s">
        <v>166</v>
      </c>
      <c r="F12951" s="38" t="s">
        <v>102</v>
      </c>
      <c r="G12951" s="49" t="str">
        <f t="shared" si="1"/>
        <v>42520</v>
      </c>
      <c r="H12951" s="49">
        <f t="shared" si="2"/>
        <v>42191</v>
      </c>
    </row>
    <row r="12952">
      <c r="A12952" s="48" t="s">
        <v>1935</v>
      </c>
      <c r="B12952" s="38">
        <v>48117.0</v>
      </c>
      <c r="C12952" s="38" t="s">
        <v>17160</v>
      </c>
      <c r="D12952" s="38" t="str">
        <f>IFERROR(__xludf.DUMMYFUNCTION("REGEXREPLACE(C12952,""-\d+(.*)|--\d+(.*)"","""")"),"POURCHARESSES")</f>
        <v>POURCHARESSES</v>
      </c>
      <c r="E12952" s="38" t="s">
        <v>154</v>
      </c>
      <c r="F12952" s="38" t="s">
        <v>119</v>
      </c>
      <c r="G12952" s="49" t="str">
        <f t="shared" si="1"/>
        <v>48800</v>
      </c>
      <c r="H12952" s="49">
        <f t="shared" si="2"/>
        <v>48117</v>
      </c>
    </row>
    <row r="12953">
      <c r="A12953" s="48" t="s">
        <v>1932</v>
      </c>
      <c r="B12953" s="38">
        <v>70004.0</v>
      </c>
      <c r="C12953" s="38" t="s">
        <v>17161</v>
      </c>
      <c r="D12953" s="38" t="str">
        <f>IFERROR(__xludf.DUMMYFUNCTION("REGEXREPLACE(C12953,""-\d+(.*)|--\d+(.*)"","""")"),"ADELANS-ET-LE-VAL-DE-BITHAINE")</f>
        <v>ADELANS-ET-LE-VAL-DE-BITHAINE</v>
      </c>
      <c r="E12953" s="38" t="s">
        <v>956</v>
      </c>
      <c r="F12953" s="38" t="s">
        <v>214</v>
      </c>
      <c r="G12953" s="49" t="str">
        <f t="shared" si="1"/>
        <v>70200</v>
      </c>
      <c r="H12953" s="49">
        <f t="shared" si="2"/>
        <v>70004</v>
      </c>
    </row>
    <row r="12954">
      <c r="A12954" s="48" t="s">
        <v>2479</v>
      </c>
      <c r="B12954" s="38">
        <v>45334.0</v>
      </c>
      <c r="C12954" s="38" t="s">
        <v>17162</v>
      </c>
      <c r="D12954" s="38" t="str">
        <f>IFERROR(__xludf.DUMMYFUNCTION("REGEXREPLACE(C12954,""-\d+(.*)|--\d+(.*)"","""")"),"VIEILLES-MAISONS-SUR-JOUDRY")</f>
        <v>VIEILLES-MAISONS-SUR-JOUDRY</v>
      </c>
      <c r="E12954" s="38" t="s">
        <v>122</v>
      </c>
      <c r="F12954" s="38" t="s">
        <v>123</v>
      </c>
      <c r="G12954" s="49" t="str">
        <f t="shared" si="1"/>
        <v>45260</v>
      </c>
      <c r="H12954" s="49">
        <f t="shared" si="2"/>
        <v>45334</v>
      </c>
    </row>
    <row r="12955">
      <c r="A12955" s="48" t="s">
        <v>5091</v>
      </c>
      <c r="B12955" s="38">
        <v>41240.0</v>
      </c>
      <c r="C12955" s="38" t="s">
        <v>17163</v>
      </c>
      <c r="D12955" s="38" t="str">
        <f>IFERROR(__xludf.DUMMYFUNCTION("REGEXREPLACE(C12955,""-\d+(.*)|--\d+(.*)"","""")"),"SEILLAC")</f>
        <v>SEILLAC</v>
      </c>
      <c r="E12955" s="38" t="s">
        <v>188</v>
      </c>
      <c r="F12955" s="38" t="s">
        <v>123</v>
      </c>
      <c r="G12955" s="49" t="str">
        <f t="shared" si="1"/>
        <v>41150</v>
      </c>
      <c r="H12955" s="49">
        <f t="shared" si="2"/>
        <v>41240</v>
      </c>
    </row>
    <row r="12956">
      <c r="A12956" s="48" t="s">
        <v>4032</v>
      </c>
      <c r="B12956" s="38">
        <v>17026.0</v>
      </c>
      <c r="C12956" s="38" t="s">
        <v>17164</v>
      </c>
      <c r="D12956" s="38" t="str">
        <f>IFERROR(__xludf.DUMMYFUNCTION("REGEXREPLACE(C12956,""-\d+(.*)|--\d+(.*)"","""")"),"AUTHON-EBEON")</f>
        <v>AUTHON-EBEON</v>
      </c>
      <c r="E12956" s="38" t="s">
        <v>488</v>
      </c>
      <c r="F12956" s="38" t="s">
        <v>338</v>
      </c>
      <c r="G12956" s="49" t="str">
        <f t="shared" si="1"/>
        <v>17770</v>
      </c>
      <c r="H12956" s="49">
        <f t="shared" si="2"/>
        <v>17026</v>
      </c>
    </row>
    <row r="12957">
      <c r="A12957" s="48" t="s">
        <v>17165</v>
      </c>
      <c r="B12957" s="38">
        <v>68370.0</v>
      </c>
      <c r="C12957" s="38" t="s">
        <v>17166</v>
      </c>
      <c r="D12957" s="38" t="str">
        <f>IFERROR(__xludf.DUMMYFUNCTION("REGEXREPLACE(C12957,""-\d+(.*)|--\d+(.*)"","""")"),"WILDENSTEIN")</f>
        <v>WILDENSTEIN</v>
      </c>
      <c r="E12957" s="38" t="s">
        <v>150</v>
      </c>
      <c r="F12957" s="38" t="s">
        <v>151</v>
      </c>
      <c r="G12957" s="49" t="str">
        <f t="shared" si="1"/>
        <v>68820</v>
      </c>
      <c r="H12957" s="49">
        <f t="shared" si="2"/>
        <v>68370</v>
      </c>
    </row>
    <row r="12958">
      <c r="A12958" s="48" t="s">
        <v>7804</v>
      </c>
      <c r="B12958" s="38">
        <v>51032.0</v>
      </c>
      <c r="C12958" s="38" t="s">
        <v>7131</v>
      </c>
      <c r="D12958" s="38" t="str">
        <f>IFERROR(__xludf.DUMMYFUNCTION("REGEXREPLACE(C12958,""-\d+(.*)|--\d+(.*)"","""")"),"BAGNEUX")</f>
        <v>BAGNEUX</v>
      </c>
      <c r="E12958" s="38" t="s">
        <v>129</v>
      </c>
      <c r="F12958" s="38" t="s">
        <v>130</v>
      </c>
      <c r="G12958" s="49" t="str">
        <f t="shared" si="1"/>
        <v>51260</v>
      </c>
      <c r="H12958" s="49">
        <f t="shared" si="2"/>
        <v>51032</v>
      </c>
    </row>
    <row r="12959">
      <c r="A12959" s="48" t="s">
        <v>4733</v>
      </c>
      <c r="B12959" s="38">
        <v>38498.0</v>
      </c>
      <c r="C12959" s="38" t="s">
        <v>17167</v>
      </c>
      <c r="D12959" s="38" t="str">
        <f>IFERROR(__xludf.DUMMYFUNCTION("REGEXREPLACE(C12959,""-\d+(.*)|--\d+(.*)"","""")"),"SUCCIEU")</f>
        <v>SUCCIEU</v>
      </c>
      <c r="E12959" s="38" t="s">
        <v>101</v>
      </c>
      <c r="F12959" s="38" t="s">
        <v>102</v>
      </c>
      <c r="G12959" s="49" t="str">
        <f t="shared" si="1"/>
        <v>38300</v>
      </c>
      <c r="H12959" s="49">
        <f t="shared" si="2"/>
        <v>38498</v>
      </c>
    </row>
    <row r="12960">
      <c r="A12960" s="48" t="s">
        <v>1940</v>
      </c>
      <c r="B12960" s="38">
        <v>51319.0</v>
      </c>
      <c r="C12960" s="38" t="s">
        <v>17168</v>
      </c>
      <c r="D12960" s="38" t="str">
        <f>IFERROR(__xludf.DUMMYFUNCTION("REGEXREPLACE(C12960,""-\d+(.*)|--\d+(.*)"","""")"),"LENHARREE")</f>
        <v>LENHARREE</v>
      </c>
      <c r="E12960" s="38" t="s">
        <v>129</v>
      </c>
      <c r="F12960" s="38" t="s">
        <v>130</v>
      </c>
      <c r="G12960" s="49" t="str">
        <f t="shared" si="1"/>
        <v>51230</v>
      </c>
      <c r="H12960" s="49">
        <f t="shared" si="2"/>
        <v>51319</v>
      </c>
    </row>
    <row r="12961">
      <c r="A12961" s="48" t="s">
        <v>17169</v>
      </c>
      <c r="B12961" s="38">
        <v>27304.0</v>
      </c>
      <c r="C12961" s="38" t="s">
        <v>17170</v>
      </c>
      <c r="D12961" s="38" t="str">
        <f>IFERROR(__xludf.DUMMYFUNCTION("REGEXREPLACE(C12961,""-\d+(.*)|--\d+(.*)"","""")"),"GUERNY")</f>
        <v>GUERNY</v>
      </c>
      <c r="E12961" s="38" t="s">
        <v>241</v>
      </c>
      <c r="F12961" s="38" t="s">
        <v>134</v>
      </c>
      <c r="G12961" s="49" t="str">
        <f t="shared" si="1"/>
        <v>27720</v>
      </c>
      <c r="H12961" s="49">
        <f t="shared" si="2"/>
        <v>27304</v>
      </c>
    </row>
    <row r="12962">
      <c r="A12962" s="48" t="s">
        <v>2868</v>
      </c>
      <c r="B12962" s="38">
        <v>80053.0</v>
      </c>
      <c r="C12962" s="38" t="s">
        <v>17171</v>
      </c>
      <c r="D12962" s="38" t="str">
        <f>IFERROR(__xludf.DUMMYFUNCTION("REGEXREPLACE(C12962,""-\d+(.*)|--\d+(.*)"","""")"),"BALATRE")</f>
        <v>BALATRE</v>
      </c>
      <c r="E12962" s="38" t="s">
        <v>224</v>
      </c>
      <c r="F12962" s="38" t="s">
        <v>113</v>
      </c>
      <c r="G12962" s="49" t="str">
        <f t="shared" si="1"/>
        <v>80700</v>
      </c>
      <c r="H12962" s="49">
        <f t="shared" si="2"/>
        <v>80053</v>
      </c>
    </row>
    <row r="12963">
      <c r="A12963" s="48" t="s">
        <v>2266</v>
      </c>
      <c r="B12963" s="38">
        <v>55242.0</v>
      </c>
      <c r="C12963" s="38" t="s">
        <v>17172</v>
      </c>
      <c r="D12963" s="38" t="str">
        <f>IFERROR(__xludf.DUMMYFUNCTION("REGEXREPLACE(C12963,""-\d+(.*)|--\d+(.*)"","""")"),"HENNEMONT")</f>
        <v>HENNEMONT</v>
      </c>
      <c r="E12963" s="38" t="s">
        <v>322</v>
      </c>
      <c r="F12963" s="38" t="s">
        <v>195</v>
      </c>
      <c r="G12963" s="49" t="str">
        <f t="shared" si="1"/>
        <v>55160</v>
      </c>
      <c r="H12963" s="49">
        <f t="shared" si="2"/>
        <v>55242</v>
      </c>
    </row>
    <row r="12964">
      <c r="A12964" s="48" t="s">
        <v>654</v>
      </c>
      <c r="B12964" s="38">
        <v>8252.0</v>
      </c>
      <c r="C12964" s="38" t="s">
        <v>17173</v>
      </c>
      <c r="D12964" s="38" t="str">
        <f>IFERROR(__xludf.DUMMYFUNCTION("REGEXREPLACE(C12964,""-\d+(.*)|--\d+(.*)"","""")"),"LETANNE")</f>
        <v>LETANNE</v>
      </c>
      <c r="E12964" s="38" t="s">
        <v>327</v>
      </c>
      <c r="F12964" s="38" t="s">
        <v>130</v>
      </c>
      <c r="G12964" s="49" t="str">
        <f t="shared" si="1"/>
        <v>08210</v>
      </c>
      <c r="H12964" s="49" t="str">
        <f t="shared" si="2"/>
        <v>08252</v>
      </c>
    </row>
    <row r="12965">
      <c r="A12965" s="48" t="s">
        <v>217</v>
      </c>
      <c r="B12965" s="38">
        <v>58027.0</v>
      </c>
      <c r="C12965" s="38" t="s">
        <v>17174</v>
      </c>
      <c r="D12965" s="38" t="str">
        <f>IFERROR(__xludf.DUMMYFUNCTION("REGEXREPLACE(C12965,""-\d+(.*)|--\d+(.*)"","""")"),"BEAUMONT-LA-FERRIERE")</f>
        <v>BEAUMONT-LA-FERRIERE</v>
      </c>
      <c r="E12965" s="38" t="s">
        <v>219</v>
      </c>
      <c r="F12965" s="38" t="s">
        <v>106</v>
      </c>
      <c r="G12965" s="49" t="str">
        <f t="shared" si="1"/>
        <v>58700</v>
      </c>
      <c r="H12965" s="49">
        <f t="shared" si="2"/>
        <v>58027</v>
      </c>
    </row>
    <row r="12966">
      <c r="A12966" s="48" t="s">
        <v>6572</v>
      </c>
      <c r="B12966" s="38">
        <v>31464.0</v>
      </c>
      <c r="C12966" s="38" t="s">
        <v>17175</v>
      </c>
      <c r="D12966" s="38" t="str">
        <f>IFERROR(__xludf.DUMMYFUNCTION("REGEXREPLACE(C12966,""-\d+(.*)|--\d+(.*)"","""")"),"SABONNERES")</f>
        <v>SABONNERES</v>
      </c>
      <c r="E12966" s="38" t="s">
        <v>93</v>
      </c>
      <c r="F12966" s="38" t="s">
        <v>94</v>
      </c>
      <c r="G12966" s="49" t="str">
        <f t="shared" si="1"/>
        <v>31370</v>
      </c>
      <c r="H12966" s="49">
        <f t="shared" si="2"/>
        <v>31464</v>
      </c>
    </row>
    <row r="12967">
      <c r="A12967" s="48" t="s">
        <v>2666</v>
      </c>
      <c r="B12967" s="38">
        <v>34266.0</v>
      </c>
      <c r="C12967" s="38" t="s">
        <v>17176</v>
      </c>
      <c r="D12967" s="38" t="str">
        <f>IFERROR(__xludf.DUMMYFUNCTION("REGEXREPLACE(C12967,""-\d+(.*)|--\d+(.*)"","""")"),"SAINT-JEAN-DE-CUCULLES")</f>
        <v>SAINT-JEAN-DE-CUCULLES</v>
      </c>
      <c r="E12967" s="38" t="s">
        <v>118</v>
      </c>
      <c r="F12967" s="38" t="s">
        <v>119</v>
      </c>
      <c r="G12967" s="49" t="str">
        <f t="shared" si="1"/>
        <v>34270</v>
      </c>
      <c r="H12967" s="49">
        <f t="shared" si="2"/>
        <v>34266</v>
      </c>
    </row>
    <row r="12968">
      <c r="A12968" s="48" t="s">
        <v>8834</v>
      </c>
      <c r="B12968" s="38">
        <v>51118.0</v>
      </c>
      <c r="C12968" s="38" t="s">
        <v>17177</v>
      </c>
      <c r="D12968" s="38" t="str">
        <f>IFERROR(__xludf.DUMMYFUNCTION("REGEXREPLACE(C12968,""-\d+(.*)|--\d+(.*)"","""")"),"CHAMPIGNY")</f>
        <v>CHAMPIGNY</v>
      </c>
      <c r="E12968" s="38" t="s">
        <v>129</v>
      </c>
      <c r="F12968" s="38" t="s">
        <v>130</v>
      </c>
      <c r="G12968" s="49" t="str">
        <f t="shared" si="1"/>
        <v>51370</v>
      </c>
      <c r="H12968" s="49">
        <f t="shared" si="2"/>
        <v>51118</v>
      </c>
    </row>
    <row r="12969">
      <c r="A12969" s="48" t="s">
        <v>17178</v>
      </c>
      <c r="B12969" s="38">
        <v>50515.0</v>
      </c>
      <c r="C12969" s="38" t="s">
        <v>17179</v>
      </c>
      <c r="D12969" s="38" t="str">
        <f>IFERROR(__xludf.DUMMYFUNCTION("REGEXREPLACE(C12969,""-\d+(.*)|--\d+(.*)"","""")"),"SAINT-MARTIN-DE-LANDELLES")</f>
        <v>SAINT-MARTIN-DE-LANDELLES</v>
      </c>
      <c r="E12969" s="38" t="s">
        <v>157</v>
      </c>
      <c r="F12969" s="38" t="s">
        <v>138</v>
      </c>
      <c r="G12969" s="49" t="str">
        <f t="shared" si="1"/>
        <v>50730</v>
      </c>
      <c r="H12969" s="49">
        <f t="shared" si="2"/>
        <v>50515</v>
      </c>
    </row>
    <row r="12970">
      <c r="A12970" s="48" t="s">
        <v>4455</v>
      </c>
      <c r="B12970" s="38">
        <v>1424.0</v>
      </c>
      <c r="C12970" s="38" t="s">
        <v>17180</v>
      </c>
      <c r="D12970" s="38" t="str">
        <f>IFERROR(__xludf.DUMMYFUNCTION("REGEXREPLACE(C12970,""-\d+(.*)|--\d+(.*)"","""")"),"TRAMOYES")</f>
        <v>TRAMOYES</v>
      </c>
      <c r="E12970" s="38" t="s">
        <v>255</v>
      </c>
      <c r="F12970" s="38" t="s">
        <v>102</v>
      </c>
      <c r="G12970" s="49" t="str">
        <f t="shared" si="1"/>
        <v>01390</v>
      </c>
      <c r="H12970" s="49" t="str">
        <f t="shared" si="2"/>
        <v>01424</v>
      </c>
    </row>
    <row r="12971">
      <c r="A12971" s="48" t="s">
        <v>17181</v>
      </c>
      <c r="B12971" s="38">
        <v>35045.0</v>
      </c>
      <c r="C12971" s="38" t="s">
        <v>17182</v>
      </c>
      <c r="D12971" s="38" t="str">
        <f>IFERROR(__xludf.DUMMYFUNCTION("REGEXREPLACE(C12971,""-\d+(.*)|--\d+(.*)"","""")"),"BRUC-SUR-AFF")</f>
        <v>BRUC-SUR-AFF</v>
      </c>
      <c r="E12971" s="38" t="s">
        <v>347</v>
      </c>
      <c r="F12971" s="38" t="s">
        <v>90</v>
      </c>
      <c r="G12971" s="49" t="str">
        <f t="shared" si="1"/>
        <v>35550</v>
      </c>
      <c r="H12971" s="49">
        <f t="shared" si="2"/>
        <v>35045</v>
      </c>
    </row>
    <row r="12972">
      <c r="A12972" s="48" t="s">
        <v>1742</v>
      </c>
      <c r="B12972" s="38">
        <v>21614.0</v>
      </c>
      <c r="C12972" s="38" t="s">
        <v>17183</v>
      </c>
      <c r="D12972" s="38" t="str">
        <f>IFERROR(__xludf.DUMMYFUNCTION("REGEXREPLACE(C12972,""-\d+(.*)|--\d+(.*)"","""")"),"SPOY")</f>
        <v>SPOY</v>
      </c>
      <c r="E12972" s="38" t="s">
        <v>105</v>
      </c>
      <c r="F12972" s="38" t="s">
        <v>106</v>
      </c>
      <c r="G12972" s="49" t="str">
        <f t="shared" si="1"/>
        <v>21120</v>
      </c>
      <c r="H12972" s="49">
        <f t="shared" si="2"/>
        <v>21614</v>
      </c>
    </row>
    <row r="12973">
      <c r="A12973" s="48" t="s">
        <v>622</v>
      </c>
      <c r="B12973" s="38">
        <v>14180.0</v>
      </c>
      <c r="C12973" s="38" t="s">
        <v>17184</v>
      </c>
      <c r="D12973" s="38" t="str">
        <f>IFERROR(__xludf.DUMMYFUNCTION("REGEXREPLACE(C12973,""-\d+(.*)|--\d+(.*)"","""")"),"CORDEY")</f>
        <v>CORDEY</v>
      </c>
      <c r="E12973" s="38" t="s">
        <v>137</v>
      </c>
      <c r="F12973" s="38" t="s">
        <v>138</v>
      </c>
      <c r="G12973" s="49" t="str">
        <f t="shared" si="1"/>
        <v>14700</v>
      </c>
      <c r="H12973" s="49">
        <f t="shared" si="2"/>
        <v>14180</v>
      </c>
    </row>
    <row r="12974">
      <c r="A12974" s="48" t="s">
        <v>8587</v>
      </c>
      <c r="B12974" s="38">
        <v>66010.0</v>
      </c>
      <c r="C12974" s="38" t="s">
        <v>17185</v>
      </c>
      <c r="D12974" s="38" t="str">
        <f>IFERROR(__xludf.DUMMYFUNCTION("REGEXREPLACE(C12974,""-\d+(.*)|--\d+(.*)"","""")"),"AYGUATEBIA-TALAU")</f>
        <v>AYGUATEBIA-TALAU</v>
      </c>
      <c r="E12974" s="38" t="s">
        <v>248</v>
      </c>
      <c r="F12974" s="38" t="s">
        <v>119</v>
      </c>
      <c r="G12974" s="49" t="str">
        <f t="shared" si="1"/>
        <v>66360</v>
      </c>
      <c r="H12974" s="49">
        <f t="shared" si="2"/>
        <v>66010</v>
      </c>
    </row>
    <row r="12975">
      <c r="A12975" s="48" t="s">
        <v>1241</v>
      </c>
      <c r="B12975" s="38">
        <v>71277.0</v>
      </c>
      <c r="C12975" s="38" t="s">
        <v>17186</v>
      </c>
      <c r="D12975" s="38" t="str">
        <f>IFERROR(__xludf.DUMMYFUNCTION("REGEXREPLACE(C12975,""-\d+(.*)|--\d+(.*)"","""")"),"MARCILLY-LES-BUXY")</f>
        <v>MARCILLY-LES-BUXY</v>
      </c>
      <c r="E12975" s="38" t="s">
        <v>344</v>
      </c>
      <c r="F12975" s="38" t="s">
        <v>106</v>
      </c>
      <c r="G12975" s="49" t="str">
        <f t="shared" si="1"/>
        <v>71390</v>
      </c>
      <c r="H12975" s="49">
        <f t="shared" si="2"/>
        <v>71277</v>
      </c>
    </row>
    <row r="12976">
      <c r="A12976" s="48" t="s">
        <v>8475</v>
      </c>
      <c r="B12976" s="38">
        <v>69084.0</v>
      </c>
      <c r="C12976" s="38" t="s">
        <v>17187</v>
      </c>
      <c r="D12976" s="38" t="str">
        <f>IFERROR(__xludf.DUMMYFUNCTION("REGEXREPLACE(C12976,""-\d+(.*)|--\d+(.*)"","""")"),"FLEURIE")</f>
        <v>FLEURIE</v>
      </c>
      <c r="E12976" s="38" t="s">
        <v>350</v>
      </c>
      <c r="F12976" s="38" t="s">
        <v>102</v>
      </c>
      <c r="G12976" s="49" t="str">
        <f t="shared" si="1"/>
        <v>69820</v>
      </c>
      <c r="H12976" s="49">
        <f t="shared" si="2"/>
        <v>69084</v>
      </c>
    </row>
    <row r="12977">
      <c r="A12977" s="48" t="s">
        <v>8300</v>
      </c>
      <c r="B12977" s="38">
        <v>39328.0</v>
      </c>
      <c r="C12977" s="38" t="s">
        <v>17188</v>
      </c>
      <c r="D12977" s="38" t="str">
        <f>IFERROR(__xludf.DUMMYFUNCTION("REGEXREPLACE(C12977,""-\d+(.*)|--\d+(.*)"","""")"),"MEUSSIA")</f>
        <v>MEUSSIA</v>
      </c>
      <c r="E12977" s="38" t="s">
        <v>400</v>
      </c>
      <c r="F12977" s="38" t="s">
        <v>214</v>
      </c>
      <c r="G12977" s="49" t="str">
        <f t="shared" si="1"/>
        <v>39260</v>
      </c>
      <c r="H12977" s="49">
        <f t="shared" si="2"/>
        <v>39328</v>
      </c>
    </row>
    <row r="12978">
      <c r="A12978" s="48" t="s">
        <v>5463</v>
      </c>
      <c r="B12978" s="38">
        <v>26181.0</v>
      </c>
      <c r="C12978" s="38" t="s">
        <v>17189</v>
      </c>
      <c r="D12978" s="38" t="str">
        <f>IFERROR(__xludf.DUMMYFUNCTION("REGEXREPLACE(C12978,""-\d+(.*)|--\d+(.*)"","""")"),"MEVOUILLON")</f>
        <v>MEVOUILLON</v>
      </c>
      <c r="E12978" s="38" t="s">
        <v>126</v>
      </c>
      <c r="F12978" s="38" t="s">
        <v>102</v>
      </c>
      <c r="G12978" s="49" t="str">
        <f t="shared" si="1"/>
        <v>26560</v>
      </c>
      <c r="H12978" s="49">
        <f t="shared" si="2"/>
        <v>26181</v>
      </c>
    </row>
    <row r="12979">
      <c r="A12979" s="48" t="s">
        <v>2411</v>
      </c>
      <c r="B12979" s="38">
        <v>37220.0</v>
      </c>
      <c r="C12979" s="38" t="s">
        <v>17190</v>
      </c>
      <c r="D12979" s="38" t="str">
        <f>IFERROR(__xludf.DUMMYFUNCTION("REGEXREPLACE(C12979,""-\d+(.*)|--\d+(.*)"","""")"),"SAINT-GERMAIN-SUR-VIENNE")</f>
        <v>SAINT-GERMAIN-SUR-VIENNE</v>
      </c>
      <c r="E12979" s="38" t="s">
        <v>205</v>
      </c>
      <c r="F12979" s="38" t="s">
        <v>123</v>
      </c>
      <c r="G12979" s="49" t="str">
        <f t="shared" si="1"/>
        <v>37500</v>
      </c>
      <c r="H12979" s="49">
        <f t="shared" si="2"/>
        <v>37220</v>
      </c>
    </row>
    <row r="12980">
      <c r="A12980" s="48" t="s">
        <v>7645</v>
      </c>
      <c r="B12980" s="38">
        <v>34021.0</v>
      </c>
      <c r="C12980" s="38" t="s">
        <v>17191</v>
      </c>
      <c r="D12980" s="38" t="str">
        <f>IFERROR(__xludf.DUMMYFUNCTION("REGEXREPLACE(C12980,""-\d+(.*)|--\d+(.*)"","""")"),"BABEAU-BOULDOUX")</f>
        <v>BABEAU-BOULDOUX</v>
      </c>
      <c r="E12980" s="38" t="s">
        <v>118</v>
      </c>
      <c r="F12980" s="38" t="s">
        <v>119</v>
      </c>
      <c r="G12980" s="49" t="str">
        <f t="shared" si="1"/>
        <v>34360</v>
      </c>
      <c r="H12980" s="49">
        <f t="shared" si="2"/>
        <v>34021</v>
      </c>
    </row>
    <row r="12981">
      <c r="A12981" s="48" t="s">
        <v>17192</v>
      </c>
      <c r="B12981" s="38">
        <v>35208.0</v>
      </c>
      <c r="C12981" s="38" t="s">
        <v>13434</v>
      </c>
      <c r="D12981" s="38" t="str">
        <f>IFERROR(__xludf.DUMMYFUNCTION("REGEXREPLACE(C12981,""-\d+(.*)|--\d+(.*)"","""")"),"ORGERES")</f>
        <v>ORGERES</v>
      </c>
      <c r="E12981" s="38" t="s">
        <v>347</v>
      </c>
      <c r="F12981" s="38" t="s">
        <v>90</v>
      </c>
      <c r="G12981" s="49" t="str">
        <f t="shared" si="1"/>
        <v>35230</v>
      </c>
      <c r="H12981" s="49">
        <f t="shared" si="2"/>
        <v>35208</v>
      </c>
    </row>
    <row r="12982">
      <c r="A12982" s="48" t="s">
        <v>8281</v>
      </c>
      <c r="B12982" s="38">
        <v>56240.0</v>
      </c>
      <c r="C12982" s="38" t="s">
        <v>17193</v>
      </c>
      <c r="D12982" s="38" t="str">
        <f>IFERROR(__xludf.DUMMYFUNCTION("REGEXREPLACE(C12982,""-\d+(.*)|--\d+(.*)"","""")"),"SARZEAU")</f>
        <v>SARZEAU</v>
      </c>
      <c r="E12982" s="38" t="s">
        <v>173</v>
      </c>
      <c r="F12982" s="38" t="s">
        <v>90</v>
      </c>
      <c r="G12982" s="49" t="str">
        <f t="shared" si="1"/>
        <v>56370</v>
      </c>
      <c r="H12982" s="49">
        <f t="shared" si="2"/>
        <v>56240</v>
      </c>
    </row>
    <row r="12983">
      <c r="A12983" s="48" t="s">
        <v>7435</v>
      </c>
      <c r="B12983" s="38">
        <v>52349.0</v>
      </c>
      <c r="C12983" s="38" t="s">
        <v>17194</v>
      </c>
      <c r="D12983" s="38" t="str">
        <f>IFERROR(__xludf.DUMMYFUNCTION("REGEXREPLACE(C12983,""-\d+(.*)|--\d+(.*)"","""")"),"NEUILLY-SUR-SUIZE")</f>
        <v>NEUILLY-SUR-SUIZE</v>
      </c>
      <c r="E12983" s="38" t="s">
        <v>234</v>
      </c>
      <c r="F12983" s="38" t="s">
        <v>130</v>
      </c>
      <c r="G12983" s="49" t="str">
        <f t="shared" si="1"/>
        <v>52000</v>
      </c>
      <c r="H12983" s="49">
        <f t="shared" si="2"/>
        <v>52349</v>
      </c>
    </row>
    <row r="12984">
      <c r="A12984" s="48" t="s">
        <v>1630</v>
      </c>
      <c r="B12984" s="38">
        <v>57453.0</v>
      </c>
      <c r="C12984" s="38" t="s">
        <v>17195</v>
      </c>
      <c r="D12984" s="38" t="str">
        <f>IFERROR(__xludf.DUMMYFUNCTION("REGEXREPLACE(C12984,""-\d+(.*)|--\d+(.*)"","""")"),"MAXSTADT")</f>
        <v>MAXSTADT</v>
      </c>
      <c r="E12984" s="38" t="s">
        <v>303</v>
      </c>
      <c r="F12984" s="38" t="s">
        <v>195</v>
      </c>
      <c r="G12984" s="49" t="str">
        <f t="shared" si="1"/>
        <v>57660</v>
      </c>
      <c r="H12984" s="49">
        <f t="shared" si="2"/>
        <v>57453</v>
      </c>
    </row>
    <row r="12985">
      <c r="A12985" s="48" t="s">
        <v>4352</v>
      </c>
      <c r="B12985" s="38">
        <v>81315.0</v>
      </c>
      <c r="C12985" s="38" t="s">
        <v>17196</v>
      </c>
      <c r="D12985" s="38" t="str">
        <f>IFERROR(__xludf.DUMMYFUNCTION("REGEXREPLACE(C12985,""-\d+(.*)|--\d+(.*)"","""")"),"VIELMUR-SUR-AGOUT")</f>
        <v>VIELMUR-SUR-AGOUT</v>
      </c>
      <c r="E12985" s="38" t="s">
        <v>231</v>
      </c>
      <c r="F12985" s="38" t="s">
        <v>94</v>
      </c>
      <c r="G12985" s="49" t="str">
        <f t="shared" si="1"/>
        <v>81570</v>
      </c>
      <c r="H12985" s="49">
        <f t="shared" si="2"/>
        <v>81315</v>
      </c>
    </row>
    <row r="12986">
      <c r="A12986" s="48" t="s">
        <v>2708</v>
      </c>
      <c r="B12986" s="38">
        <v>70242.0</v>
      </c>
      <c r="C12986" s="38" t="s">
        <v>17197</v>
      </c>
      <c r="D12986" s="38" t="str">
        <f>IFERROR(__xludf.DUMMYFUNCTION("REGEXREPLACE(C12986,""-\d+(.*)|--\d+(.*)"","""")"),"FONTENOIS-LA-VILLE")</f>
        <v>FONTENOIS-LA-VILLE</v>
      </c>
      <c r="E12986" s="38" t="s">
        <v>956</v>
      </c>
      <c r="F12986" s="38" t="s">
        <v>214</v>
      </c>
      <c r="G12986" s="49" t="str">
        <f t="shared" si="1"/>
        <v>70210</v>
      </c>
      <c r="H12986" s="49">
        <f t="shared" si="2"/>
        <v>70242</v>
      </c>
    </row>
    <row r="12987">
      <c r="A12987" s="48" t="s">
        <v>17198</v>
      </c>
      <c r="B12987" s="38">
        <v>59143.0</v>
      </c>
      <c r="C12987" s="38" t="s">
        <v>17199</v>
      </c>
      <c r="D12987" s="38" t="str">
        <f>IFERROR(__xludf.DUMMYFUNCTION("REGEXREPLACE(C12987,""-\d+(.*)|--\d+(.*)"","""")"),"LA CHAPELLE-D'ARMENTIERES")</f>
        <v>LA CHAPELLE-D'ARMENTIERES</v>
      </c>
      <c r="E12987" s="38" t="s">
        <v>85</v>
      </c>
      <c r="F12987" s="38" t="s">
        <v>86</v>
      </c>
      <c r="G12987" s="49" t="str">
        <f t="shared" si="1"/>
        <v>59930</v>
      </c>
      <c r="H12987" s="49">
        <f t="shared" si="2"/>
        <v>59143</v>
      </c>
    </row>
    <row r="12988">
      <c r="A12988" s="48" t="s">
        <v>1033</v>
      </c>
      <c r="B12988" s="38">
        <v>67173.0</v>
      </c>
      <c r="C12988" s="38" t="s">
        <v>17200</v>
      </c>
      <c r="D12988" s="38" t="str">
        <f>IFERROR(__xludf.DUMMYFUNCTION("REGEXREPLACE(C12988,""-\d+(.*)|--\d+(.*)"","""")"),"GRIESHEIM-SUR-SOUFFEL")</f>
        <v>GRIESHEIM-SUR-SOUFFEL</v>
      </c>
      <c r="E12988" s="38" t="s">
        <v>210</v>
      </c>
      <c r="F12988" s="38" t="s">
        <v>151</v>
      </c>
      <c r="G12988" s="49" t="str">
        <f t="shared" si="1"/>
        <v>67370</v>
      </c>
      <c r="H12988" s="49">
        <f t="shared" si="2"/>
        <v>67173</v>
      </c>
    </row>
    <row r="12989">
      <c r="A12989" s="48" t="s">
        <v>17201</v>
      </c>
      <c r="B12989" s="38">
        <v>59411.0</v>
      </c>
      <c r="C12989" s="38" t="s">
        <v>17202</v>
      </c>
      <c r="D12989" s="38" t="str">
        <f>IFERROR(__xludf.DUMMYFUNCTION("REGEXREPLACE(C12989,""-\d+(.*)|--\d+(.*)"","""")"),"MONS-EN-PEVELE")</f>
        <v>MONS-EN-PEVELE</v>
      </c>
      <c r="E12989" s="38" t="s">
        <v>85</v>
      </c>
      <c r="F12989" s="38" t="s">
        <v>86</v>
      </c>
      <c r="G12989" s="49" t="str">
        <f t="shared" si="1"/>
        <v>59246</v>
      </c>
      <c r="H12989" s="49">
        <f t="shared" si="2"/>
        <v>59411</v>
      </c>
    </row>
    <row r="12990">
      <c r="A12990" s="48" t="s">
        <v>17203</v>
      </c>
      <c r="B12990" s="38" t="s">
        <v>17204</v>
      </c>
      <c r="C12990" s="38" t="s">
        <v>17205</v>
      </c>
      <c r="D12990" s="38" t="str">
        <f>IFERROR(__xludf.DUMMYFUNCTION("REGEXREPLACE(C12990,""-\d+(.*)|--\d+(.*)"","""")"),"NESSA")</f>
        <v>NESSA</v>
      </c>
      <c r="E12990" s="38" t="s">
        <v>743</v>
      </c>
      <c r="F12990" s="38" t="s">
        <v>607</v>
      </c>
      <c r="G12990" s="49" t="str">
        <f t="shared" si="1"/>
        <v>20225</v>
      </c>
      <c r="H12990" s="49" t="str">
        <f t="shared" si="2"/>
        <v>2B175</v>
      </c>
    </row>
    <row r="12991">
      <c r="A12991" s="48" t="s">
        <v>1106</v>
      </c>
      <c r="B12991" s="38">
        <v>14207.0</v>
      </c>
      <c r="C12991" s="38" t="s">
        <v>1440</v>
      </c>
      <c r="D12991" s="38" t="str">
        <f>IFERROR(__xludf.DUMMYFUNCTION("REGEXREPLACE(C12991,""-\d+(.*)|--\d+(.*)"","""")"),"CROISILLES")</f>
        <v>CROISILLES</v>
      </c>
      <c r="E12991" s="38" t="s">
        <v>137</v>
      </c>
      <c r="F12991" s="38" t="s">
        <v>138</v>
      </c>
      <c r="G12991" s="49" t="str">
        <f t="shared" si="1"/>
        <v>14220</v>
      </c>
      <c r="H12991" s="49">
        <f t="shared" si="2"/>
        <v>14207</v>
      </c>
    </row>
    <row r="12992">
      <c r="A12992" s="48" t="s">
        <v>879</v>
      </c>
      <c r="B12992" s="38">
        <v>24532.0</v>
      </c>
      <c r="C12992" s="38" t="s">
        <v>17206</v>
      </c>
      <c r="D12992" s="38" t="str">
        <f>IFERROR(__xludf.DUMMYFUNCTION("REGEXREPLACE(C12992,""-\d+(.*)|--\d+(.*)"","""")"),"SERRES-ET-MONTGUYARD")</f>
        <v>SERRES-ET-MONTGUYARD</v>
      </c>
      <c r="E12992" s="38" t="s">
        <v>261</v>
      </c>
      <c r="F12992" s="38" t="s">
        <v>252</v>
      </c>
      <c r="G12992" s="49" t="str">
        <f t="shared" si="1"/>
        <v>24500</v>
      </c>
      <c r="H12992" s="49">
        <f t="shared" si="2"/>
        <v>24532</v>
      </c>
    </row>
    <row r="12993">
      <c r="A12993" s="48" t="s">
        <v>4557</v>
      </c>
      <c r="B12993" s="38">
        <v>46307.0</v>
      </c>
      <c r="C12993" s="38" t="s">
        <v>17207</v>
      </c>
      <c r="D12993" s="38" t="str">
        <f>IFERROR(__xludf.DUMMYFUNCTION("REGEXREPLACE(C12993,""-\d+(.*)|--\d+(.*)"","""")"),"SOTURAC")</f>
        <v>SOTURAC</v>
      </c>
      <c r="E12993" s="38" t="s">
        <v>185</v>
      </c>
      <c r="F12993" s="38" t="s">
        <v>94</v>
      </c>
      <c r="G12993" s="49" t="str">
        <f t="shared" si="1"/>
        <v>46700</v>
      </c>
      <c r="H12993" s="49">
        <f t="shared" si="2"/>
        <v>46307</v>
      </c>
    </row>
    <row r="12994">
      <c r="A12994" s="48" t="s">
        <v>13906</v>
      </c>
      <c r="B12994" s="38">
        <v>3078.0</v>
      </c>
      <c r="C12994" s="38" t="s">
        <v>17208</v>
      </c>
      <c r="D12994" s="38" t="str">
        <f>IFERROR(__xludf.DUMMYFUNCTION("REGEXREPLACE(C12994,""-\d+(.*)|--\d+(.*)"","""")"),"CHOUVIGNY")</f>
        <v>CHOUVIGNY</v>
      </c>
      <c r="E12994" s="38" t="s">
        <v>160</v>
      </c>
      <c r="F12994" s="38" t="s">
        <v>161</v>
      </c>
      <c r="G12994" s="49" t="str">
        <f t="shared" si="1"/>
        <v>03450</v>
      </c>
      <c r="H12994" s="49" t="str">
        <f t="shared" si="2"/>
        <v>03078</v>
      </c>
    </row>
    <row r="12995">
      <c r="A12995" s="48" t="s">
        <v>5805</v>
      </c>
      <c r="B12995" s="38">
        <v>21041.0</v>
      </c>
      <c r="C12995" s="38" t="s">
        <v>17209</v>
      </c>
      <c r="D12995" s="38" t="str">
        <f>IFERROR(__xludf.DUMMYFUNCTION("REGEXREPLACE(C12995,""-\d+(.*)|--\d+(.*)"","""")"),"AVOT")</f>
        <v>AVOT</v>
      </c>
      <c r="E12995" s="38" t="s">
        <v>105</v>
      </c>
      <c r="F12995" s="38" t="s">
        <v>106</v>
      </c>
      <c r="G12995" s="49" t="str">
        <f t="shared" si="1"/>
        <v>21580</v>
      </c>
      <c r="H12995" s="49">
        <f t="shared" si="2"/>
        <v>21041</v>
      </c>
    </row>
    <row r="12996">
      <c r="A12996" s="48" t="s">
        <v>7514</v>
      </c>
      <c r="B12996" s="38">
        <v>88312.0</v>
      </c>
      <c r="C12996" s="38" t="s">
        <v>17210</v>
      </c>
      <c r="D12996" s="38" t="str">
        <f>IFERROR(__xludf.DUMMYFUNCTION("REGEXREPLACE(C12996,""-\d+(.*)|--\d+(.*)"","""")"),"MORELMAISON")</f>
        <v>MORELMAISON</v>
      </c>
      <c r="E12996" s="38" t="s">
        <v>194</v>
      </c>
      <c r="F12996" s="38" t="s">
        <v>195</v>
      </c>
      <c r="G12996" s="49" t="str">
        <f t="shared" si="1"/>
        <v>88170</v>
      </c>
      <c r="H12996" s="49">
        <f t="shared" si="2"/>
        <v>88312</v>
      </c>
    </row>
    <row r="12997">
      <c r="A12997" s="48" t="s">
        <v>4170</v>
      </c>
      <c r="B12997" s="38">
        <v>37031.0</v>
      </c>
      <c r="C12997" s="38" t="s">
        <v>17211</v>
      </c>
      <c r="D12997" s="38" t="str">
        <f>IFERROR(__xludf.DUMMYFUNCTION("REGEXREPLACE(C12997,""-\d+(.*)|--\d+(.*)"","""")"),"BOURGUEIL")</f>
        <v>BOURGUEIL</v>
      </c>
      <c r="E12997" s="38" t="s">
        <v>205</v>
      </c>
      <c r="F12997" s="38" t="s">
        <v>123</v>
      </c>
      <c r="G12997" s="49" t="str">
        <f t="shared" si="1"/>
        <v>37140</v>
      </c>
      <c r="H12997" s="49">
        <f t="shared" si="2"/>
        <v>37031</v>
      </c>
    </row>
    <row r="12998">
      <c r="A12998" s="48" t="s">
        <v>5479</v>
      </c>
      <c r="B12998" s="38">
        <v>67266.0</v>
      </c>
      <c r="C12998" s="38" t="s">
        <v>17212</v>
      </c>
      <c r="D12998" s="38" t="str">
        <f>IFERROR(__xludf.DUMMYFUNCTION("REGEXREPLACE(C12998,""-\d+(.*)|--\d+(.*)"","""")"),"LIMERSHEIM")</f>
        <v>LIMERSHEIM</v>
      </c>
      <c r="E12998" s="38" t="s">
        <v>210</v>
      </c>
      <c r="F12998" s="38" t="s">
        <v>151</v>
      </c>
      <c r="G12998" s="49" t="str">
        <f t="shared" si="1"/>
        <v>67150</v>
      </c>
      <c r="H12998" s="49">
        <f t="shared" si="2"/>
        <v>67266</v>
      </c>
    </row>
    <row r="12999">
      <c r="A12999" s="48" t="s">
        <v>4022</v>
      </c>
      <c r="B12999" s="38">
        <v>62538.0</v>
      </c>
      <c r="C12999" s="38" t="s">
        <v>17213</v>
      </c>
      <c r="D12999" s="38" t="str">
        <f>IFERROR(__xludf.DUMMYFUNCTION("REGEXREPLACE(C12999,""-\d+(.*)|--\d+(.*)"","""")"),"MAINTENAY")</f>
        <v>MAINTENAY</v>
      </c>
      <c r="E12999" s="38" t="s">
        <v>109</v>
      </c>
      <c r="F12999" s="38" t="s">
        <v>86</v>
      </c>
      <c r="G12999" s="49" t="str">
        <f t="shared" si="1"/>
        <v>62870</v>
      </c>
      <c r="H12999" s="49">
        <f t="shared" si="2"/>
        <v>62538</v>
      </c>
    </row>
    <row r="13000">
      <c r="A13000" s="48" t="s">
        <v>304</v>
      </c>
      <c r="B13000" s="38">
        <v>73091.0</v>
      </c>
      <c r="C13000" s="38" t="s">
        <v>17214</v>
      </c>
      <c r="D13000" s="38" t="str">
        <f>IFERROR(__xludf.DUMMYFUNCTION("REGEXREPLACE(C13000,""-\d+(.*)|--\d+(.*)"","""")"),"CONJUX")</f>
        <v>CONJUX</v>
      </c>
      <c r="E13000" s="38" t="s">
        <v>306</v>
      </c>
      <c r="F13000" s="38" t="s">
        <v>102</v>
      </c>
      <c r="G13000" s="49" t="str">
        <f t="shared" si="1"/>
        <v>73310</v>
      </c>
      <c r="H13000" s="49">
        <f t="shared" si="2"/>
        <v>73091</v>
      </c>
    </row>
    <row r="13001">
      <c r="A13001" s="48" t="s">
        <v>872</v>
      </c>
      <c r="B13001" s="38">
        <v>35006.0</v>
      </c>
      <c r="C13001" s="38" t="s">
        <v>17215</v>
      </c>
      <c r="D13001" s="38" t="str">
        <f>IFERROR(__xludf.DUMMYFUNCTION("REGEXREPLACE(C13001,""-\d+(.*)|--\d+(.*)"","""")"),"ARGENTRE-DU-PLESSIS")</f>
        <v>ARGENTRE-DU-PLESSIS</v>
      </c>
      <c r="E13001" s="38" t="s">
        <v>347</v>
      </c>
      <c r="F13001" s="38" t="s">
        <v>90</v>
      </c>
      <c r="G13001" s="49" t="str">
        <f t="shared" si="1"/>
        <v>35370</v>
      </c>
      <c r="H13001" s="49">
        <f t="shared" si="2"/>
        <v>35006</v>
      </c>
    </row>
    <row r="13002">
      <c r="A13002" s="48" t="s">
        <v>17216</v>
      </c>
      <c r="B13002" s="38">
        <v>76486.0</v>
      </c>
      <c r="C13002" s="38" t="s">
        <v>17217</v>
      </c>
      <c r="D13002" s="38" t="str">
        <f>IFERROR(__xludf.DUMMYFUNCTION("REGEXREPLACE(C13002,""-\d+(.*)|--\d+(.*)"","""")"),"ORIVAL")</f>
        <v>ORIVAL</v>
      </c>
      <c r="E13002" s="38" t="s">
        <v>133</v>
      </c>
      <c r="F13002" s="38" t="s">
        <v>134</v>
      </c>
      <c r="G13002" s="49" t="str">
        <f t="shared" si="1"/>
        <v>76500</v>
      </c>
      <c r="H13002" s="49">
        <f t="shared" si="2"/>
        <v>76486</v>
      </c>
    </row>
    <row r="13003">
      <c r="A13003" s="48" t="s">
        <v>114</v>
      </c>
      <c r="B13003" s="38">
        <v>62138.0</v>
      </c>
      <c r="C13003" s="38" t="s">
        <v>17218</v>
      </c>
      <c r="D13003" s="38" t="str">
        <f>IFERROR(__xludf.DUMMYFUNCTION("REGEXREPLACE(C13003,""-\d+(.*)|--\d+(.*)"","""")"),"BLANGY-SUR-TERNOISE")</f>
        <v>BLANGY-SUR-TERNOISE</v>
      </c>
      <c r="E13003" s="38" t="s">
        <v>109</v>
      </c>
      <c r="F13003" s="38" t="s">
        <v>86</v>
      </c>
      <c r="G13003" s="49" t="str">
        <f t="shared" si="1"/>
        <v>62770</v>
      </c>
      <c r="H13003" s="49">
        <f t="shared" si="2"/>
        <v>62138</v>
      </c>
    </row>
    <row r="13004">
      <c r="A13004" s="48" t="s">
        <v>3702</v>
      </c>
      <c r="B13004" s="38">
        <v>77195.0</v>
      </c>
      <c r="C13004" s="38" t="s">
        <v>17219</v>
      </c>
      <c r="D13004" s="38" t="str">
        <f>IFERROR(__xludf.DUMMYFUNCTION("REGEXREPLACE(C13004,""-\d+(.*)|--\d+(.*)"","""")"),"FOUJU")</f>
        <v>FOUJU</v>
      </c>
      <c r="E13004" s="38" t="s">
        <v>244</v>
      </c>
      <c r="F13004" s="38" t="s">
        <v>245</v>
      </c>
      <c r="G13004" s="49" t="str">
        <f t="shared" si="1"/>
        <v>77390</v>
      </c>
      <c r="H13004" s="49">
        <f t="shared" si="2"/>
        <v>77195</v>
      </c>
    </row>
    <row r="13005">
      <c r="A13005" s="48" t="s">
        <v>7492</v>
      </c>
      <c r="B13005" s="38">
        <v>15015.0</v>
      </c>
      <c r="C13005" s="38" t="s">
        <v>17220</v>
      </c>
      <c r="D13005" s="38" t="str">
        <f>IFERROR(__xludf.DUMMYFUNCTION("REGEXREPLACE(C13005,""-\d+(.*)|--\d+(.*)"","""")"),"AUZERS")</f>
        <v>AUZERS</v>
      </c>
      <c r="E13005" s="38" t="s">
        <v>632</v>
      </c>
      <c r="F13005" s="38" t="s">
        <v>161</v>
      </c>
      <c r="G13005" s="49" t="str">
        <f t="shared" si="1"/>
        <v>15240</v>
      </c>
      <c r="H13005" s="49">
        <f t="shared" si="2"/>
        <v>15015</v>
      </c>
    </row>
    <row r="13006">
      <c r="A13006" s="48" t="s">
        <v>10202</v>
      </c>
      <c r="B13006" s="38">
        <v>33037.0</v>
      </c>
      <c r="C13006" s="38" t="s">
        <v>17221</v>
      </c>
      <c r="D13006" s="38" t="str">
        <f>IFERROR(__xludf.DUMMYFUNCTION("REGEXREPLACE(C13006,""-\d+(.*)|--\d+(.*)"","""")"),"BEAUTIRAN")</f>
        <v>BEAUTIRAN</v>
      </c>
      <c r="E13006" s="38" t="s">
        <v>462</v>
      </c>
      <c r="F13006" s="38" t="s">
        <v>252</v>
      </c>
      <c r="G13006" s="49" t="str">
        <f t="shared" si="1"/>
        <v>33640</v>
      </c>
      <c r="H13006" s="49">
        <f t="shared" si="2"/>
        <v>33037</v>
      </c>
    </row>
    <row r="13007">
      <c r="A13007" s="48" t="s">
        <v>17222</v>
      </c>
      <c r="B13007" s="38">
        <v>14383.0</v>
      </c>
      <c r="C13007" s="38" t="s">
        <v>9868</v>
      </c>
      <c r="D13007" s="38" t="str">
        <f>IFERROR(__xludf.DUMMYFUNCTION("REGEXREPLACE(C13007,""-\d+(.*)|--\d+(.*)"","""")"),"LOUVIGNY")</f>
        <v>LOUVIGNY</v>
      </c>
      <c r="E13007" s="38" t="s">
        <v>137</v>
      </c>
      <c r="F13007" s="38" t="s">
        <v>138</v>
      </c>
      <c r="G13007" s="49" t="str">
        <f t="shared" si="1"/>
        <v>14111</v>
      </c>
      <c r="H13007" s="49">
        <f t="shared" si="2"/>
        <v>14383</v>
      </c>
    </row>
    <row r="13008">
      <c r="A13008" s="48" t="s">
        <v>1636</v>
      </c>
      <c r="B13008" s="38">
        <v>14335.0</v>
      </c>
      <c r="C13008" s="38" t="s">
        <v>17223</v>
      </c>
      <c r="D13008" s="38" t="str">
        <f>IFERROR(__xludf.DUMMYFUNCTION("REGEXREPLACE(C13008,""-\d+(.*)|--\d+(.*)"","""")"),"HOTOT-EN-AUGE")</f>
        <v>HOTOT-EN-AUGE</v>
      </c>
      <c r="E13008" s="38" t="s">
        <v>137</v>
      </c>
      <c r="F13008" s="38" t="s">
        <v>138</v>
      </c>
      <c r="G13008" s="49" t="str">
        <f t="shared" si="1"/>
        <v>14430</v>
      </c>
      <c r="H13008" s="49">
        <f t="shared" si="2"/>
        <v>14335</v>
      </c>
    </row>
    <row r="13009">
      <c r="A13009" s="48" t="s">
        <v>1522</v>
      </c>
      <c r="B13009" s="38">
        <v>32055.0</v>
      </c>
      <c r="C13009" s="38" t="s">
        <v>17224</v>
      </c>
      <c r="D13009" s="38" t="str">
        <f>IFERROR(__xludf.DUMMYFUNCTION("REGEXREPLACE(C13009,""-\d+(.*)|--\d+(.*)"","""")"),"BIVES")</f>
        <v>BIVES</v>
      </c>
      <c r="E13009" s="38" t="s">
        <v>440</v>
      </c>
      <c r="F13009" s="38" t="s">
        <v>94</v>
      </c>
      <c r="G13009" s="49" t="str">
        <f t="shared" si="1"/>
        <v>32380</v>
      </c>
      <c r="H13009" s="49">
        <f t="shared" si="2"/>
        <v>32055</v>
      </c>
    </row>
    <row r="13010">
      <c r="A13010" s="48" t="s">
        <v>17225</v>
      </c>
      <c r="B13010" s="38">
        <v>47145.0</v>
      </c>
      <c r="C13010" s="38" t="s">
        <v>17226</v>
      </c>
      <c r="D13010" s="38" t="str">
        <f>IFERROR(__xludf.DUMMYFUNCTION("REGEXREPLACE(C13010,""-\d+(.*)|--\d+(.*)"","""")"),"LAYRAC")</f>
        <v>LAYRAC</v>
      </c>
      <c r="E13010" s="38" t="s">
        <v>251</v>
      </c>
      <c r="F13010" s="38" t="s">
        <v>252</v>
      </c>
      <c r="G13010" s="49" t="str">
        <f t="shared" si="1"/>
        <v>47390</v>
      </c>
      <c r="H13010" s="49">
        <f t="shared" si="2"/>
        <v>47145</v>
      </c>
    </row>
    <row r="13011">
      <c r="A13011" s="48" t="s">
        <v>17227</v>
      </c>
      <c r="B13011" s="38">
        <v>31149.0</v>
      </c>
      <c r="C13011" s="38" t="s">
        <v>17228</v>
      </c>
      <c r="D13011" s="38" t="str">
        <f>IFERROR(__xludf.DUMMYFUNCTION("REGEXREPLACE(C13011,""-\d+(.*)|--\d+(.*)"","""")"),"COLOMIERS")</f>
        <v>COLOMIERS</v>
      </c>
      <c r="E13011" s="38" t="s">
        <v>93</v>
      </c>
      <c r="F13011" s="38" t="s">
        <v>94</v>
      </c>
      <c r="G13011" s="49" t="str">
        <f t="shared" si="1"/>
        <v>31770</v>
      </c>
      <c r="H13011" s="49">
        <f t="shared" si="2"/>
        <v>31149</v>
      </c>
    </row>
    <row r="13012">
      <c r="A13012" s="48" t="s">
        <v>839</v>
      </c>
      <c r="B13012" s="38">
        <v>62171.0</v>
      </c>
      <c r="C13012" s="38" t="s">
        <v>17229</v>
      </c>
      <c r="D13012" s="38" t="str">
        <f>IFERROR(__xludf.DUMMYFUNCTION("REGEXREPLACE(C13012,""-\d+(.*)|--\d+(.*)"","""")"),"BOYAVAL")</f>
        <v>BOYAVAL</v>
      </c>
      <c r="E13012" s="38" t="s">
        <v>109</v>
      </c>
      <c r="F13012" s="38" t="s">
        <v>86</v>
      </c>
      <c r="G13012" s="49" t="str">
        <f t="shared" si="1"/>
        <v>62134</v>
      </c>
      <c r="H13012" s="49">
        <f t="shared" si="2"/>
        <v>62171</v>
      </c>
    </row>
    <row r="13013">
      <c r="A13013" s="48" t="s">
        <v>6622</v>
      </c>
      <c r="B13013" s="38">
        <v>33374.0</v>
      </c>
      <c r="C13013" s="38" t="s">
        <v>17230</v>
      </c>
      <c r="D13013" s="38" t="str">
        <f>IFERROR(__xludf.DUMMYFUNCTION("REGEXREPLACE(C13013,""-\d+(.*)|--\d+(.*)"","""")"),"SAINT-AUBIN-DE-BLAYE")</f>
        <v>SAINT-AUBIN-DE-BLAYE</v>
      </c>
      <c r="E13013" s="38" t="s">
        <v>462</v>
      </c>
      <c r="F13013" s="38" t="s">
        <v>252</v>
      </c>
      <c r="G13013" s="49" t="str">
        <f t="shared" si="1"/>
        <v>33820</v>
      </c>
      <c r="H13013" s="49">
        <f t="shared" si="2"/>
        <v>33374</v>
      </c>
    </row>
    <row r="13014">
      <c r="A13014" s="48" t="s">
        <v>647</v>
      </c>
      <c r="B13014" s="38">
        <v>82134.0</v>
      </c>
      <c r="C13014" s="38" t="s">
        <v>17231</v>
      </c>
      <c r="D13014" s="38" t="str">
        <f>IFERROR(__xludf.DUMMYFUNCTION("REGEXREPLACE(C13014,""-\d+(.*)|--\d+(.*)"","""")"),"NEGREPELISSE")</f>
        <v>NEGREPELISSE</v>
      </c>
      <c r="E13014" s="38" t="s">
        <v>570</v>
      </c>
      <c r="F13014" s="38" t="s">
        <v>94</v>
      </c>
      <c r="G13014" s="49" t="str">
        <f t="shared" si="1"/>
        <v>82800</v>
      </c>
      <c r="H13014" s="49">
        <f t="shared" si="2"/>
        <v>82134</v>
      </c>
    </row>
    <row r="13015">
      <c r="A13015" s="48" t="s">
        <v>5759</v>
      </c>
      <c r="B13015" s="38">
        <v>59661.0</v>
      </c>
      <c r="C13015" s="38" t="s">
        <v>17232</v>
      </c>
      <c r="D13015" s="38" t="str">
        <f>IFERROR(__xludf.DUMMYFUNCTION("REGEXREPLACE(C13015,""-\d+(.*)|--\d+(.*)"","""")"),"WILLIES")</f>
        <v>WILLIES</v>
      </c>
      <c r="E13015" s="38" t="s">
        <v>85</v>
      </c>
      <c r="F13015" s="38" t="s">
        <v>86</v>
      </c>
      <c r="G13015" s="49" t="str">
        <f t="shared" si="1"/>
        <v>59740</v>
      </c>
      <c r="H13015" s="49">
        <f t="shared" si="2"/>
        <v>59661</v>
      </c>
    </row>
    <row r="13016">
      <c r="A13016" s="48" t="s">
        <v>17233</v>
      </c>
      <c r="B13016" s="38">
        <v>73284.0</v>
      </c>
      <c r="C13016" s="38" t="s">
        <v>17234</v>
      </c>
      <c r="D13016" s="38" t="str">
        <f>IFERROR(__xludf.DUMMYFUNCTION("REGEXREPLACE(C13016,""-\d+(.*)|--\d+(.*)"","""")"),"SALINS-LES-THERMES")</f>
        <v>SALINS-LES-THERMES</v>
      </c>
      <c r="E13016" s="38" t="s">
        <v>306</v>
      </c>
      <c r="F13016" s="38" t="s">
        <v>102</v>
      </c>
      <c r="G13016" s="49" t="str">
        <f t="shared" si="1"/>
        <v>73600</v>
      </c>
      <c r="H13016" s="49">
        <f t="shared" si="2"/>
        <v>73284</v>
      </c>
    </row>
    <row r="13017">
      <c r="A13017" s="48" t="s">
        <v>2360</v>
      </c>
      <c r="B13017" s="38">
        <v>79249.0</v>
      </c>
      <c r="C13017" s="38" t="s">
        <v>17235</v>
      </c>
      <c r="D13017" s="38" t="str">
        <f>IFERROR(__xludf.DUMMYFUNCTION("REGEXREPLACE(C13017,""-\d+(.*)|--\d+(.*)"","""")"),"SAINT-GELAIS")</f>
        <v>SAINT-GELAIS</v>
      </c>
      <c r="E13017" s="38" t="s">
        <v>337</v>
      </c>
      <c r="F13017" s="38" t="s">
        <v>338</v>
      </c>
      <c r="G13017" s="49" t="str">
        <f t="shared" si="1"/>
        <v>79410</v>
      </c>
      <c r="H13017" s="49">
        <f t="shared" si="2"/>
        <v>79249</v>
      </c>
    </row>
    <row r="13018">
      <c r="A13018" s="48" t="s">
        <v>4668</v>
      </c>
      <c r="B13018" s="38">
        <v>88101.0</v>
      </c>
      <c r="C13018" s="38" t="s">
        <v>17236</v>
      </c>
      <c r="D13018" s="38" t="str">
        <f>IFERROR(__xludf.DUMMYFUNCTION("REGEXREPLACE(C13018,""-\d+(.*)|--\d+(.*)"","""")"),"CHENIMENIL")</f>
        <v>CHENIMENIL</v>
      </c>
      <c r="E13018" s="38" t="s">
        <v>194</v>
      </c>
      <c r="F13018" s="38" t="s">
        <v>195</v>
      </c>
      <c r="G13018" s="49" t="str">
        <f t="shared" si="1"/>
        <v>88460</v>
      </c>
      <c r="H13018" s="49">
        <f t="shared" si="2"/>
        <v>88101</v>
      </c>
    </row>
    <row r="13019">
      <c r="A13019" s="48" t="s">
        <v>981</v>
      </c>
      <c r="B13019" s="38">
        <v>24439.0</v>
      </c>
      <c r="C13019" s="38" t="s">
        <v>17237</v>
      </c>
      <c r="D13019" s="38" t="str">
        <f>IFERROR(__xludf.DUMMYFUNCTION("REGEXREPLACE(C13019,""-\d+(.*)|--\d+(.*)"","""")"),"SAINT-LAURENT-SUR-MANOIRE")</f>
        <v>SAINT-LAURENT-SUR-MANOIRE</v>
      </c>
      <c r="E13019" s="38" t="s">
        <v>261</v>
      </c>
      <c r="F13019" s="38" t="s">
        <v>252</v>
      </c>
      <c r="G13019" s="49" t="str">
        <f t="shared" si="1"/>
        <v>24330</v>
      </c>
      <c r="H13019" s="49">
        <f t="shared" si="2"/>
        <v>24439</v>
      </c>
    </row>
    <row r="13020">
      <c r="A13020" s="48" t="s">
        <v>6495</v>
      </c>
      <c r="B13020" s="38">
        <v>23057.0</v>
      </c>
      <c r="C13020" s="38" t="s">
        <v>17238</v>
      </c>
      <c r="D13020" s="38" t="str">
        <f>IFERROR(__xludf.DUMMYFUNCTION("REGEXREPLACE(C13020,""-\d+(.*)|--\d+(.*)"","""")"),"CHATELUS-MALVALEIX")</f>
        <v>CHATELUS-MALVALEIX</v>
      </c>
      <c r="E13020" s="38" t="s">
        <v>97</v>
      </c>
      <c r="F13020" s="38" t="s">
        <v>98</v>
      </c>
      <c r="G13020" s="49" t="str">
        <f t="shared" si="1"/>
        <v>23270</v>
      </c>
      <c r="H13020" s="49">
        <f t="shared" si="2"/>
        <v>23057</v>
      </c>
    </row>
    <row r="13021">
      <c r="A13021" s="48" t="s">
        <v>4483</v>
      </c>
      <c r="B13021" s="38">
        <v>4174.0</v>
      </c>
      <c r="C13021" s="38" t="s">
        <v>2831</v>
      </c>
      <c r="D13021" s="38" t="str">
        <f>IFERROR(__xludf.DUMMYFUNCTION("REGEXREPLACE(C13021,""-\d+(.*)|--\d+(.*)"","""")"),"SAINT-BENOIT")</f>
        <v>SAINT-BENOIT</v>
      </c>
      <c r="E13021" s="38" t="s">
        <v>662</v>
      </c>
      <c r="F13021" s="38" t="s">
        <v>228</v>
      </c>
      <c r="G13021" s="49" t="str">
        <f t="shared" si="1"/>
        <v>04240</v>
      </c>
      <c r="H13021" s="49" t="str">
        <f t="shared" si="2"/>
        <v>04174</v>
      </c>
    </row>
    <row r="13022">
      <c r="A13022" s="48" t="s">
        <v>17239</v>
      </c>
      <c r="B13022" s="38">
        <v>78117.0</v>
      </c>
      <c r="C13022" s="38" t="s">
        <v>17240</v>
      </c>
      <c r="D13022" s="38" t="str">
        <f>IFERROR(__xludf.DUMMYFUNCTION("REGEXREPLACE(C13022,""-\d+(.*)|--\d+(.*)"","""")"),"BUC")</f>
        <v>BUC</v>
      </c>
      <c r="E13022" s="38" t="s">
        <v>362</v>
      </c>
      <c r="F13022" s="38" t="s">
        <v>245</v>
      </c>
      <c r="G13022" s="49" t="str">
        <f t="shared" si="1"/>
        <v>78530</v>
      </c>
      <c r="H13022" s="49">
        <f t="shared" si="2"/>
        <v>78117</v>
      </c>
    </row>
    <row r="13023">
      <c r="A13023" s="48" t="s">
        <v>3668</v>
      </c>
      <c r="B13023" s="38">
        <v>65187.0</v>
      </c>
      <c r="C13023" s="38" t="s">
        <v>17241</v>
      </c>
      <c r="D13023" s="38" t="str">
        <f>IFERROR(__xludf.DUMMYFUNCTION("REGEXREPLACE(C13023,""-\d+(.*)|--\d+(.*)"","""")"),"GAUSSAN")</f>
        <v>GAUSSAN</v>
      </c>
      <c r="E13023" s="38" t="s">
        <v>200</v>
      </c>
      <c r="F13023" s="38" t="s">
        <v>94</v>
      </c>
      <c r="G13023" s="49" t="str">
        <f t="shared" si="1"/>
        <v>65670</v>
      </c>
      <c r="H13023" s="49">
        <f t="shared" si="2"/>
        <v>65187</v>
      </c>
    </row>
    <row r="13024">
      <c r="A13024" s="48" t="s">
        <v>438</v>
      </c>
      <c r="B13024" s="38">
        <v>32250.0</v>
      </c>
      <c r="C13024" s="38" t="s">
        <v>925</v>
      </c>
      <c r="D13024" s="38" t="str">
        <f>IFERROR(__xludf.DUMMYFUNCTION("REGEXREPLACE(C13024,""-\d+(.*)|--\d+(.*)"","""")"),"MEILHAN")</f>
        <v>MEILHAN</v>
      </c>
      <c r="E13024" s="38" t="s">
        <v>440</v>
      </c>
      <c r="F13024" s="38" t="s">
        <v>94</v>
      </c>
      <c r="G13024" s="49" t="str">
        <f t="shared" si="1"/>
        <v>32420</v>
      </c>
      <c r="H13024" s="49">
        <f t="shared" si="2"/>
        <v>32250</v>
      </c>
    </row>
    <row r="13025">
      <c r="A13025" s="48" t="s">
        <v>1284</v>
      </c>
      <c r="B13025" s="38">
        <v>9249.0</v>
      </c>
      <c r="C13025" s="38" t="s">
        <v>17242</v>
      </c>
      <c r="D13025" s="38" t="str">
        <f>IFERROR(__xludf.DUMMYFUNCTION("REGEXREPLACE(C13025,""-\d+(.*)|--\d+(.*)"","""")"),"ROQUEFIXADE")</f>
        <v>ROQUEFIXADE</v>
      </c>
      <c r="E13025" s="38" t="s">
        <v>238</v>
      </c>
      <c r="F13025" s="38" t="s">
        <v>94</v>
      </c>
      <c r="G13025" s="49" t="str">
        <f t="shared" si="1"/>
        <v>09300</v>
      </c>
      <c r="H13025" s="49" t="str">
        <f t="shared" si="2"/>
        <v>09249</v>
      </c>
    </row>
    <row r="13026">
      <c r="A13026" s="48" t="s">
        <v>794</v>
      </c>
      <c r="B13026" s="38">
        <v>60555.0</v>
      </c>
      <c r="C13026" s="38" t="s">
        <v>17243</v>
      </c>
      <c r="D13026" s="38" t="str">
        <f>IFERROR(__xludf.DUMMYFUNCTION("REGEXREPLACE(C13026,""-\d+(.*)|--\d+(.*)"","""")"),"ROUVROY-LES-MERLES")</f>
        <v>ROUVROY-LES-MERLES</v>
      </c>
      <c r="E13026" s="38" t="s">
        <v>112</v>
      </c>
      <c r="F13026" s="38" t="s">
        <v>113</v>
      </c>
      <c r="G13026" s="49" t="str">
        <f t="shared" si="1"/>
        <v>60120</v>
      </c>
      <c r="H13026" s="49">
        <f t="shared" si="2"/>
        <v>60555</v>
      </c>
    </row>
    <row r="13027">
      <c r="A13027" s="48" t="s">
        <v>8831</v>
      </c>
      <c r="B13027" s="38">
        <v>15141.0</v>
      </c>
      <c r="C13027" s="38" t="s">
        <v>17244</v>
      </c>
      <c r="D13027" s="38" t="str">
        <f>IFERROR(__xludf.DUMMYFUNCTION("REGEXREPLACE(C13027,""-\d+(.*)|--\d+(.*)"","""")"),"NEUSSARGUES-MOISSAC")</f>
        <v>NEUSSARGUES-MOISSAC</v>
      </c>
      <c r="E13027" s="38" t="s">
        <v>632</v>
      </c>
      <c r="F13027" s="38" t="s">
        <v>161</v>
      </c>
      <c r="G13027" s="49" t="str">
        <f t="shared" si="1"/>
        <v>15170</v>
      </c>
      <c r="H13027" s="49">
        <f t="shared" si="2"/>
        <v>15141</v>
      </c>
    </row>
    <row r="13028">
      <c r="A13028" s="48" t="s">
        <v>8595</v>
      </c>
      <c r="B13028" s="38">
        <v>42053.0</v>
      </c>
      <c r="C13028" s="38" t="s">
        <v>12622</v>
      </c>
      <c r="D13028" s="38" t="str">
        <f>IFERROR(__xludf.DUMMYFUNCTION("REGEXREPLACE(C13028,""-\d+(.*)|--\d+(.*)"","""")"),"CHATEAUNEUF")</f>
        <v>CHATEAUNEUF</v>
      </c>
      <c r="E13028" s="38" t="s">
        <v>166</v>
      </c>
      <c r="F13028" s="38" t="s">
        <v>102</v>
      </c>
      <c r="G13028" s="49" t="str">
        <f t="shared" si="1"/>
        <v>42800</v>
      </c>
      <c r="H13028" s="49">
        <f t="shared" si="2"/>
        <v>42053</v>
      </c>
    </row>
    <row r="13029">
      <c r="A13029" s="48" t="s">
        <v>8589</v>
      </c>
      <c r="B13029" s="38">
        <v>27100.0</v>
      </c>
      <c r="C13029" s="38" t="s">
        <v>17245</v>
      </c>
      <c r="D13029" s="38" t="str">
        <f>IFERROR(__xludf.DUMMYFUNCTION("REGEXREPLACE(C13029,""-\d+(.*)|--\d+(.*)"","""")"),"BOULLEVILLE")</f>
        <v>BOULLEVILLE</v>
      </c>
      <c r="E13029" s="38" t="s">
        <v>241</v>
      </c>
      <c r="F13029" s="38" t="s">
        <v>134</v>
      </c>
      <c r="G13029" s="49" t="str">
        <f t="shared" si="1"/>
        <v>27210</v>
      </c>
      <c r="H13029" s="49">
        <f t="shared" si="2"/>
        <v>27100</v>
      </c>
    </row>
    <row r="13030">
      <c r="A13030" s="48" t="s">
        <v>5451</v>
      </c>
      <c r="B13030" s="38">
        <v>19145.0</v>
      </c>
      <c r="C13030" s="38" t="s">
        <v>17246</v>
      </c>
      <c r="D13030" s="38" t="str">
        <f>IFERROR(__xludf.DUMMYFUNCTION("REGEXREPLACE(C13030,""-\d+(.*)|--\d+(.*)"","""")"),"MOUSTIER-VENTADOUR")</f>
        <v>MOUSTIER-VENTADOUR</v>
      </c>
      <c r="E13030" s="38" t="s">
        <v>271</v>
      </c>
      <c r="F13030" s="38" t="s">
        <v>98</v>
      </c>
      <c r="G13030" s="49" t="str">
        <f t="shared" si="1"/>
        <v>19300</v>
      </c>
      <c r="H13030" s="49">
        <f t="shared" si="2"/>
        <v>19145</v>
      </c>
    </row>
    <row r="13031">
      <c r="A13031" s="48" t="s">
        <v>1046</v>
      </c>
      <c r="B13031" s="38">
        <v>26336.0</v>
      </c>
      <c r="C13031" s="38" t="s">
        <v>17247</v>
      </c>
      <c r="D13031" s="38" t="str">
        <f>IFERROR(__xludf.DUMMYFUNCTION("REGEXREPLACE(C13031,""-\d+(.*)|--\d+(.*)"","""")"),"SAOU")</f>
        <v>SAOU</v>
      </c>
      <c r="E13031" s="38" t="s">
        <v>126</v>
      </c>
      <c r="F13031" s="38" t="s">
        <v>102</v>
      </c>
      <c r="G13031" s="49" t="str">
        <f t="shared" si="1"/>
        <v>26400</v>
      </c>
      <c r="H13031" s="49">
        <f t="shared" si="2"/>
        <v>26336</v>
      </c>
    </row>
    <row r="13032">
      <c r="A13032" s="48" t="s">
        <v>12491</v>
      </c>
      <c r="B13032" s="38">
        <v>21296.0</v>
      </c>
      <c r="C13032" s="38" t="s">
        <v>17248</v>
      </c>
      <c r="D13032" s="38" t="str">
        <f>IFERROR(__xludf.DUMMYFUNCTION("REGEXREPLACE(C13032,""-\d+(.*)|--\d+(.*)"","""")"),"GEVROLLES")</f>
        <v>GEVROLLES</v>
      </c>
      <c r="E13032" s="38" t="s">
        <v>105</v>
      </c>
      <c r="F13032" s="38" t="s">
        <v>106</v>
      </c>
      <c r="G13032" s="49" t="str">
        <f t="shared" si="1"/>
        <v>21520</v>
      </c>
      <c r="H13032" s="49">
        <f t="shared" si="2"/>
        <v>21296</v>
      </c>
    </row>
    <row r="13033">
      <c r="A13033" s="48" t="s">
        <v>1336</v>
      </c>
      <c r="B13033" s="38">
        <v>33439.0</v>
      </c>
      <c r="C13033" s="38" t="s">
        <v>17249</v>
      </c>
      <c r="D13033" s="38" t="str">
        <f>IFERROR(__xludf.DUMMYFUNCTION("REGEXREPLACE(C13033,""-\d+(.*)|--\d+(.*)"","""")"),"SAINT-MARIENS")</f>
        <v>SAINT-MARIENS</v>
      </c>
      <c r="E13033" s="38" t="s">
        <v>462</v>
      </c>
      <c r="F13033" s="38" t="s">
        <v>252</v>
      </c>
      <c r="G13033" s="49" t="str">
        <f t="shared" si="1"/>
        <v>33620</v>
      </c>
      <c r="H13033" s="49">
        <f t="shared" si="2"/>
        <v>33439</v>
      </c>
    </row>
    <row r="13034">
      <c r="A13034" s="48" t="s">
        <v>16366</v>
      </c>
      <c r="B13034" s="38">
        <v>21404.0</v>
      </c>
      <c r="C13034" s="38" t="s">
        <v>17250</v>
      </c>
      <c r="D13034" s="38" t="str">
        <f>IFERROR(__xludf.DUMMYFUNCTION("REGEXREPLACE(C13034,""-\d+(.*)|--\d+(.*)"","""")"),"MENETREUX-LE-PITOIS")</f>
        <v>MENETREUX-LE-PITOIS</v>
      </c>
      <c r="E13034" s="38" t="s">
        <v>105</v>
      </c>
      <c r="F13034" s="38" t="s">
        <v>106</v>
      </c>
      <c r="G13034" s="49" t="str">
        <f t="shared" si="1"/>
        <v>21150</v>
      </c>
      <c r="H13034" s="49">
        <f t="shared" si="2"/>
        <v>21404</v>
      </c>
    </row>
    <row r="13035">
      <c r="A13035" s="48" t="s">
        <v>2100</v>
      </c>
      <c r="B13035" s="38">
        <v>14692.0</v>
      </c>
      <c r="C13035" s="38" t="s">
        <v>17251</v>
      </c>
      <c r="D13035" s="38" t="str">
        <f>IFERROR(__xludf.DUMMYFUNCTION("REGEXREPLACE(C13035,""-\d+(.*)|--\d+(.*)"","""")"),"TILLY-SUR-SEULLES")</f>
        <v>TILLY-SUR-SEULLES</v>
      </c>
      <c r="E13035" s="38" t="s">
        <v>137</v>
      </c>
      <c r="F13035" s="38" t="s">
        <v>138</v>
      </c>
      <c r="G13035" s="49" t="str">
        <f t="shared" si="1"/>
        <v>14250</v>
      </c>
      <c r="H13035" s="49">
        <f t="shared" si="2"/>
        <v>14692</v>
      </c>
    </row>
    <row r="13036">
      <c r="A13036" s="48" t="s">
        <v>2268</v>
      </c>
      <c r="B13036" s="38">
        <v>55065.0</v>
      </c>
      <c r="C13036" s="38" t="s">
        <v>17252</v>
      </c>
      <c r="D13036" s="38" t="str">
        <f>IFERROR(__xludf.DUMMYFUNCTION("REGEXREPLACE(C13036,""-\d+(.*)|--\d+(.*)"","""")"),"BOUREUILLES")</f>
        <v>BOUREUILLES</v>
      </c>
      <c r="E13036" s="38" t="s">
        <v>322</v>
      </c>
      <c r="F13036" s="38" t="s">
        <v>195</v>
      </c>
      <c r="G13036" s="49" t="str">
        <f t="shared" si="1"/>
        <v>55270</v>
      </c>
      <c r="H13036" s="49">
        <f t="shared" si="2"/>
        <v>55065</v>
      </c>
    </row>
    <row r="13037">
      <c r="A13037" s="48" t="s">
        <v>3827</v>
      </c>
      <c r="B13037" s="38">
        <v>58194.0</v>
      </c>
      <c r="C13037" s="38" t="s">
        <v>17253</v>
      </c>
      <c r="D13037" s="38" t="str">
        <f>IFERROR(__xludf.DUMMYFUNCTION("REGEXREPLACE(C13037,""-\d+(.*)|--\d+(.*)"","""")"),"NEVERS")</f>
        <v>NEVERS</v>
      </c>
      <c r="E13037" s="38" t="s">
        <v>219</v>
      </c>
      <c r="F13037" s="38" t="s">
        <v>106</v>
      </c>
      <c r="G13037" s="49" t="str">
        <f t="shared" si="1"/>
        <v>58000</v>
      </c>
      <c r="H13037" s="49">
        <f t="shared" si="2"/>
        <v>58194</v>
      </c>
    </row>
    <row r="13038">
      <c r="A13038" s="48" t="s">
        <v>3955</v>
      </c>
      <c r="B13038" s="38">
        <v>62616.0</v>
      </c>
      <c r="C13038" s="38" t="s">
        <v>17254</v>
      </c>
      <c r="D13038" s="38" t="str">
        <f>IFERROR(__xludf.DUMMYFUNCTION("REGEXREPLACE(C13038,""-\d+(.*)|--\d+(.*)"","""")"),"NOEUX-LES-AUXI")</f>
        <v>NOEUX-LES-AUXI</v>
      </c>
      <c r="E13038" s="38" t="s">
        <v>109</v>
      </c>
      <c r="F13038" s="38" t="s">
        <v>86</v>
      </c>
      <c r="G13038" s="49" t="str">
        <f t="shared" si="1"/>
        <v>62390</v>
      </c>
      <c r="H13038" s="49">
        <f t="shared" si="2"/>
        <v>62616</v>
      </c>
    </row>
    <row r="13039">
      <c r="A13039" s="48" t="s">
        <v>17255</v>
      </c>
      <c r="B13039" s="38">
        <v>4149.0</v>
      </c>
      <c r="C13039" s="38" t="s">
        <v>17256</v>
      </c>
      <c r="D13039" s="38" t="str">
        <f>IFERROR(__xludf.DUMMYFUNCTION("REGEXREPLACE(C13039,""-\d+(.*)|--\d+(.*)"","""")"),"PEYRUIS")</f>
        <v>PEYRUIS</v>
      </c>
      <c r="E13039" s="38" t="s">
        <v>662</v>
      </c>
      <c r="F13039" s="38" t="s">
        <v>228</v>
      </c>
      <c r="G13039" s="49" t="str">
        <f t="shared" si="1"/>
        <v>04310</v>
      </c>
      <c r="H13039" s="49" t="str">
        <f t="shared" si="2"/>
        <v>04149</v>
      </c>
    </row>
    <row r="13040">
      <c r="A13040" s="48" t="s">
        <v>12619</v>
      </c>
      <c r="B13040" s="38">
        <v>24100.0</v>
      </c>
      <c r="C13040" s="38" t="s">
        <v>17257</v>
      </c>
      <c r="D13040" s="38" t="str">
        <f>IFERROR(__xludf.DUMMYFUNCTION("REGEXREPLACE(C13040,""-\d+(.*)|--\d+(.*)"","""")"),"CHAMPNIERS-ET-REILHAC")</f>
        <v>CHAMPNIERS-ET-REILHAC</v>
      </c>
      <c r="E13040" s="38" t="s">
        <v>261</v>
      </c>
      <c r="F13040" s="38" t="s">
        <v>252</v>
      </c>
      <c r="G13040" s="49" t="str">
        <f t="shared" si="1"/>
        <v>24360</v>
      </c>
      <c r="H13040" s="49">
        <f t="shared" si="2"/>
        <v>24100</v>
      </c>
    </row>
    <row r="13041">
      <c r="A13041" s="48" t="s">
        <v>320</v>
      </c>
      <c r="B13041" s="38">
        <v>55389.0</v>
      </c>
      <c r="C13041" s="38" t="s">
        <v>17258</v>
      </c>
      <c r="D13041" s="38" t="str">
        <f>IFERROR(__xludf.DUMMYFUNCTION("REGEXREPLACE(C13041,""-\d+(.*)|--\d+(.*)"","""")"),"NUBECOURT")</f>
        <v>NUBECOURT</v>
      </c>
      <c r="E13041" s="38" t="s">
        <v>322</v>
      </c>
      <c r="F13041" s="38" t="s">
        <v>195</v>
      </c>
      <c r="G13041" s="49" t="str">
        <f t="shared" si="1"/>
        <v>55250</v>
      </c>
      <c r="H13041" s="49">
        <f t="shared" si="2"/>
        <v>55389</v>
      </c>
    </row>
    <row r="13042">
      <c r="A13042" s="48" t="s">
        <v>1978</v>
      </c>
      <c r="B13042" s="38">
        <v>88007.0</v>
      </c>
      <c r="C13042" s="38" t="s">
        <v>17259</v>
      </c>
      <c r="D13042" s="38" t="str">
        <f>IFERROR(__xludf.DUMMYFUNCTION("REGEXREPLACE(C13042,""-\d+(.*)|--\d+(.*)"","""")"),"AMEUVELLE")</f>
        <v>AMEUVELLE</v>
      </c>
      <c r="E13042" s="38" t="s">
        <v>194</v>
      </c>
      <c r="F13042" s="38" t="s">
        <v>195</v>
      </c>
      <c r="G13042" s="49" t="str">
        <f t="shared" si="1"/>
        <v>88410</v>
      </c>
      <c r="H13042" s="49">
        <f t="shared" si="2"/>
        <v>88007</v>
      </c>
    </row>
    <row r="13043">
      <c r="A13043" s="48" t="s">
        <v>17260</v>
      </c>
      <c r="B13043" s="38">
        <v>59005.0</v>
      </c>
      <c r="C13043" s="38" t="s">
        <v>17261</v>
      </c>
      <c r="D13043" s="38" t="str">
        <f>IFERROR(__xludf.DUMMYFUNCTION("REGEXREPLACE(C13043,""-\d+(.*)|--\d+(.*)"","""")"),"ALLENNES-LES-MARAIS")</f>
        <v>ALLENNES-LES-MARAIS</v>
      </c>
      <c r="E13043" s="38" t="s">
        <v>85</v>
      </c>
      <c r="F13043" s="38" t="s">
        <v>86</v>
      </c>
      <c r="G13043" s="49" t="str">
        <f t="shared" si="1"/>
        <v>59251</v>
      </c>
      <c r="H13043" s="49">
        <f t="shared" si="2"/>
        <v>59005</v>
      </c>
    </row>
    <row r="13044">
      <c r="A13044" s="48" t="s">
        <v>1317</v>
      </c>
      <c r="B13044" s="38">
        <v>8165.0</v>
      </c>
      <c r="C13044" s="38" t="s">
        <v>17262</v>
      </c>
      <c r="D13044" s="38" t="str">
        <f>IFERROR(__xludf.DUMMYFUNCTION("REGEXREPLACE(C13044,""-\d+(.*)|--\d+(.*)"","""")"),"FAUX")</f>
        <v>FAUX</v>
      </c>
      <c r="E13044" s="38" t="s">
        <v>327</v>
      </c>
      <c r="F13044" s="38" t="s">
        <v>130</v>
      </c>
      <c r="G13044" s="49" t="str">
        <f t="shared" si="1"/>
        <v>08270</v>
      </c>
      <c r="H13044" s="49" t="str">
        <f t="shared" si="2"/>
        <v>08165</v>
      </c>
    </row>
    <row r="13045">
      <c r="A13045" s="48" t="s">
        <v>7676</v>
      </c>
      <c r="B13045" s="38">
        <v>63203.0</v>
      </c>
      <c r="C13045" s="38" t="s">
        <v>17263</v>
      </c>
      <c r="D13045" s="38" t="str">
        <f>IFERROR(__xludf.DUMMYFUNCTION("REGEXREPLACE(C13045,""-\d+(.*)|--\d+(.*)"","""")"),"MALAUZAT")</f>
        <v>MALAUZAT</v>
      </c>
      <c r="E13045" s="38" t="s">
        <v>353</v>
      </c>
      <c r="F13045" s="38" t="s">
        <v>161</v>
      </c>
      <c r="G13045" s="49" t="str">
        <f t="shared" si="1"/>
        <v>63200</v>
      </c>
      <c r="H13045" s="49">
        <f t="shared" si="2"/>
        <v>63203</v>
      </c>
    </row>
    <row r="13046">
      <c r="A13046" s="48" t="s">
        <v>2613</v>
      </c>
      <c r="B13046" s="38">
        <v>47310.0</v>
      </c>
      <c r="C13046" s="38" t="s">
        <v>17264</v>
      </c>
      <c r="D13046" s="38" t="str">
        <f>IFERROR(__xludf.DUMMYFUNCTION("REGEXREPLACE(C13046,""-\d+(.*)|--\d+(.*)"","""")"),"TONNEINS")</f>
        <v>TONNEINS</v>
      </c>
      <c r="E13046" s="38" t="s">
        <v>251</v>
      </c>
      <c r="F13046" s="38" t="s">
        <v>252</v>
      </c>
      <c r="G13046" s="49" t="str">
        <f t="shared" si="1"/>
        <v>47400</v>
      </c>
      <c r="H13046" s="49">
        <f t="shared" si="2"/>
        <v>47310</v>
      </c>
    </row>
    <row r="13047">
      <c r="A13047" s="48" t="s">
        <v>6647</v>
      </c>
      <c r="B13047" s="38">
        <v>58201.0</v>
      </c>
      <c r="C13047" s="38" t="s">
        <v>17265</v>
      </c>
      <c r="D13047" s="38" t="str">
        <f>IFERROR(__xludf.DUMMYFUNCTION("REGEXREPLACE(C13047,""-\d+(.*)|--\d+(.*)"","""")"),"OUDAN")</f>
        <v>OUDAN</v>
      </c>
      <c r="E13047" s="38" t="s">
        <v>219</v>
      </c>
      <c r="F13047" s="38" t="s">
        <v>106</v>
      </c>
      <c r="G13047" s="49" t="str">
        <f t="shared" si="1"/>
        <v>58210</v>
      </c>
      <c r="H13047" s="49">
        <f t="shared" si="2"/>
        <v>58201</v>
      </c>
    </row>
    <row r="13048">
      <c r="A13048" s="48" t="s">
        <v>17266</v>
      </c>
      <c r="B13048" s="38">
        <v>59188.0</v>
      </c>
      <c r="C13048" s="38" t="s">
        <v>17267</v>
      </c>
      <c r="D13048" s="38" t="str">
        <f>IFERROR(__xludf.DUMMYFUNCTION("REGEXREPLACE(C13048,""-\d+(.*)|--\d+(.*)"","""")"),"ECUELIN")</f>
        <v>ECUELIN</v>
      </c>
      <c r="E13048" s="38" t="s">
        <v>85</v>
      </c>
      <c r="F13048" s="38" t="s">
        <v>86</v>
      </c>
      <c r="G13048" s="49" t="str">
        <f t="shared" si="1"/>
        <v>59620</v>
      </c>
      <c r="H13048" s="49">
        <f t="shared" si="2"/>
        <v>59188</v>
      </c>
    </row>
    <row r="13049">
      <c r="A13049" s="48" t="s">
        <v>12091</v>
      </c>
      <c r="B13049" s="38">
        <v>35114.0</v>
      </c>
      <c r="C13049" s="38" t="s">
        <v>17268</v>
      </c>
      <c r="D13049" s="38" t="str">
        <f>IFERROR(__xludf.DUMMYFUNCTION("REGEXREPLACE(C13049,""-\d+(.*)|--\d+(.*)"","""")"),"FORGES-LA-FORET")</f>
        <v>FORGES-LA-FORET</v>
      </c>
      <c r="E13049" s="38" t="s">
        <v>347</v>
      </c>
      <c r="F13049" s="38" t="s">
        <v>90</v>
      </c>
      <c r="G13049" s="49" t="str">
        <f t="shared" si="1"/>
        <v>35640</v>
      </c>
      <c r="H13049" s="49">
        <f t="shared" si="2"/>
        <v>35114</v>
      </c>
    </row>
    <row r="13050">
      <c r="A13050" s="48" t="s">
        <v>4561</v>
      </c>
      <c r="B13050" s="38">
        <v>79198.0</v>
      </c>
      <c r="C13050" s="38" t="s">
        <v>17269</v>
      </c>
      <c r="D13050" s="38" t="str">
        <f>IFERROR(__xludf.DUMMYFUNCTION("REGEXREPLACE(C13050,""-\d+(.*)|--\d+(.*)"","""")"),"PAIZAY-LE-CHAPT")</f>
        <v>PAIZAY-LE-CHAPT</v>
      </c>
      <c r="E13050" s="38" t="s">
        <v>337</v>
      </c>
      <c r="F13050" s="38" t="s">
        <v>338</v>
      </c>
      <c r="G13050" s="49" t="str">
        <f t="shared" si="1"/>
        <v>79170</v>
      </c>
      <c r="H13050" s="49">
        <f t="shared" si="2"/>
        <v>79198</v>
      </c>
    </row>
    <row r="13051">
      <c r="A13051" s="48" t="s">
        <v>1864</v>
      </c>
      <c r="B13051" s="38">
        <v>70031.0</v>
      </c>
      <c r="C13051" s="38" t="s">
        <v>17270</v>
      </c>
      <c r="D13051" s="38" t="str">
        <f>IFERROR(__xludf.DUMMYFUNCTION("REGEXREPLACE(C13051,""-\d+(.*)|--\d+(.*)"","""")"),"ATHESANS-ETROITEFONTAINE")</f>
        <v>ATHESANS-ETROITEFONTAINE</v>
      </c>
      <c r="E13051" s="38" t="s">
        <v>956</v>
      </c>
      <c r="F13051" s="38" t="s">
        <v>214</v>
      </c>
      <c r="G13051" s="49" t="str">
        <f t="shared" si="1"/>
        <v>70110</v>
      </c>
      <c r="H13051" s="49">
        <f t="shared" si="2"/>
        <v>70031</v>
      </c>
    </row>
    <row r="13052">
      <c r="A13052" s="48" t="s">
        <v>3411</v>
      </c>
      <c r="B13052" s="38">
        <v>40146.0</v>
      </c>
      <c r="C13052" s="38" t="s">
        <v>17271</v>
      </c>
      <c r="D13052" s="38" t="str">
        <f>IFERROR(__xludf.DUMMYFUNCTION("REGEXREPLACE(C13052,""-\d+(.*)|--\d+(.*)"","""")"),"LATRILLE")</f>
        <v>LATRILLE</v>
      </c>
      <c r="E13052" s="38" t="s">
        <v>281</v>
      </c>
      <c r="F13052" s="38" t="s">
        <v>252</v>
      </c>
      <c r="G13052" s="49" t="str">
        <f t="shared" si="1"/>
        <v>40800</v>
      </c>
      <c r="H13052" s="49">
        <f t="shared" si="2"/>
        <v>40146</v>
      </c>
    </row>
    <row r="13053">
      <c r="A13053" s="48" t="s">
        <v>693</v>
      </c>
      <c r="B13053" s="38">
        <v>23100.0</v>
      </c>
      <c r="C13053" s="38" t="s">
        <v>17272</v>
      </c>
      <c r="D13053" s="38" t="str">
        <f>IFERROR(__xludf.DUMMYFUNCTION("REGEXREPLACE(C13053,""-\d+(.*)|--\d+(.*)"","""")"),"JARNAGES")</f>
        <v>JARNAGES</v>
      </c>
      <c r="E13053" s="38" t="s">
        <v>97</v>
      </c>
      <c r="F13053" s="38" t="s">
        <v>98</v>
      </c>
      <c r="G13053" s="49" t="str">
        <f t="shared" si="1"/>
        <v>23140</v>
      </c>
      <c r="H13053" s="49">
        <f t="shared" si="2"/>
        <v>23100</v>
      </c>
    </row>
    <row r="13054">
      <c r="A13054" s="48" t="s">
        <v>5288</v>
      </c>
      <c r="B13054" s="38">
        <v>62815.0</v>
      </c>
      <c r="C13054" s="38" t="s">
        <v>17273</v>
      </c>
      <c r="D13054" s="38" t="str">
        <f>IFERROR(__xludf.DUMMYFUNCTION("REGEXREPLACE(C13054,""-\d+(.*)|--\d+(.*)"","""")"),"TIGNY-NOYELLE")</f>
        <v>TIGNY-NOYELLE</v>
      </c>
      <c r="E13054" s="38" t="s">
        <v>109</v>
      </c>
      <c r="F13054" s="38" t="s">
        <v>86</v>
      </c>
      <c r="G13054" s="49" t="str">
        <f t="shared" si="1"/>
        <v>62180</v>
      </c>
      <c r="H13054" s="49">
        <f t="shared" si="2"/>
        <v>62815</v>
      </c>
    </row>
    <row r="13055">
      <c r="A13055" s="48" t="s">
        <v>9526</v>
      </c>
      <c r="B13055" s="38">
        <v>23061.0</v>
      </c>
      <c r="C13055" s="38" t="s">
        <v>17274</v>
      </c>
      <c r="D13055" s="38" t="str">
        <f>IFERROR(__xludf.DUMMYFUNCTION("REGEXREPLACE(C13055,""-\d+(.*)|--\d+(.*)"","""")"),"CHENERAILLES")</f>
        <v>CHENERAILLES</v>
      </c>
      <c r="E13055" s="38" t="s">
        <v>97</v>
      </c>
      <c r="F13055" s="38" t="s">
        <v>98</v>
      </c>
      <c r="G13055" s="49" t="str">
        <f t="shared" si="1"/>
        <v>23130</v>
      </c>
      <c r="H13055" s="49">
        <f t="shared" si="2"/>
        <v>23061</v>
      </c>
    </row>
    <row r="13056">
      <c r="A13056" s="48" t="s">
        <v>5334</v>
      </c>
      <c r="B13056" s="38" t="s">
        <v>17275</v>
      </c>
      <c r="C13056" s="38" t="s">
        <v>17276</v>
      </c>
      <c r="D13056" s="38" t="str">
        <f>IFERROR(__xludf.DUMMYFUNCTION("REGEXREPLACE(C13056,""-\d+(.*)|--\d+(.*)"","""")"),"SALICETO")</f>
        <v>SALICETO</v>
      </c>
      <c r="E13056" s="38" t="s">
        <v>743</v>
      </c>
      <c r="F13056" s="38" t="s">
        <v>607</v>
      </c>
      <c r="G13056" s="49" t="str">
        <f t="shared" si="1"/>
        <v>20218</v>
      </c>
      <c r="H13056" s="49" t="str">
        <f t="shared" si="2"/>
        <v>2B267</v>
      </c>
    </row>
    <row r="13057">
      <c r="A13057" s="48" t="s">
        <v>450</v>
      </c>
      <c r="B13057" s="38">
        <v>71182.0</v>
      </c>
      <c r="C13057" s="38" t="s">
        <v>17277</v>
      </c>
      <c r="D13057" s="38" t="str">
        <f>IFERROR(__xludf.DUMMYFUNCTION("REGEXREPLACE(C13057,""-\d+(.*)|--\d+(.*)"","""")"),"DRACY-LE-FORT")</f>
        <v>DRACY-LE-FORT</v>
      </c>
      <c r="E13057" s="38" t="s">
        <v>344</v>
      </c>
      <c r="F13057" s="38" t="s">
        <v>106</v>
      </c>
      <c r="G13057" s="49" t="str">
        <f t="shared" si="1"/>
        <v>71640</v>
      </c>
      <c r="H13057" s="49">
        <f t="shared" si="2"/>
        <v>71182</v>
      </c>
    </row>
    <row r="13058">
      <c r="A13058" s="48" t="s">
        <v>1779</v>
      </c>
      <c r="B13058" s="38">
        <v>90082.0</v>
      </c>
      <c r="C13058" s="38" t="s">
        <v>17278</v>
      </c>
      <c r="D13058" s="38" t="str">
        <f>IFERROR(__xludf.DUMMYFUNCTION("REGEXREPLACE(C13058,""-\d+(.*)|--\d+(.*)"","""")"),"AUTRECHENE")</f>
        <v>AUTRECHENE</v>
      </c>
      <c r="E13058" s="38" t="s">
        <v>1283</v>
      </c>
      <c r="F13058" s="38" t="s">
        <v>214</v>
      </c>
      <c r="G13058" s="49" t="str">
        <f t="shared" si="1"/>
        <v>90140</v>
      </c>
      <c r="H13058" s="49">
        <f t="shared" si="2"/>
        <v>90082</v>
      </c>
    </row>
    <row r="13059">
      <c r="A13059" s="48" t="s">
        <v>1630</v>
      </c>
      <c r="B13059" s="38">
        <v>57684.0</v>
      </c>
      <c r="C13059" s="38" t="s">
        <v>17279</v>
      </c>
      <c r="D13059" s="38" t="str">
        <f>IFERROR(__xludf.DUMMYFUNCTION("REGEXREPLACE(C13059,""-\d+(.*)|--\d+(.*)"","""")"),"VAHL-EBERSING")</f>
        <v>VAHL-EBERSING</v>
      </c>
      <c r="E13059" s="38" t="s">
        <v>303</v>
      </c>
      <c r="F13059" s="38" t="s">
        <v>195</v>
      </c>
      <c r="G13059" s="49" t="str">
        <f t="shared" si="1"/>
        <v>57660</v>
      </c>
      <c r="H13059" s="49">
        <f t="shared" si="2"/>
        <v>57684</v>
      </c>
    </row>
    <row r="13060">
      <c r="A13060" s="48" t="s">
        <v>4002</v>
      </c>
      <c r="B13060" s="38">
        <v>51318.0</v>
      </c>
      <c r="C13060" s="38" t="s">
        <v>17280</v>
      </c>
      <c r="D13060" s="38" t="str">
        <f>IFERROR(__xludf.DUMMYFUNCTION("REGEXREPLACE(C13060,""-\d+(.*)|--\d+(.*)"","""")"),"LAVANNES")</f>
        <v>LAVANNES</v>
      </c>
      <c r="E13060" s="38" t="s">
        <v>129</v>
      </c>
      <c r="F13060" s="38" t="s">
        <v>130</v>
      </c>
      <c r="G13060" s="49" t="str">
        <f t="shared" si="1"/>
        <v>51110</v>
      </c>
      <c r="H13060" s="49">
        <f t="shared" si="2"/>
        <v>51318</v>
      </c>
    </row>
    <row r="13061">
      <c r="A13061" s="48" t="s">
        <v>12887</v>
      </c>
      <c r="B13061" s="38">
        <v>21596.0</v>
      </c>
      <c r="C13061" s="38" t="s">
        <v>17281</v>
      </c>
      <c r="D13061" s="38" t="str">
        <f>IFERROR(__xludf.DUMMYFUNCTION("REGEXREPLACE(C13061,""-\d+(.*)|--\d+(.*)"","""")"),"SAVOUGES")</f>
        <v>SAVOUGES</v>
      </c>
      <c r="E13061" s="38" t="s">
        <v>105</v>
      </c>
      <c r="F13061" s="38" t="s">
        <v>106</v>
      </c>
      <c r="G13061" s="49" t="str">
        <f t="shared" si="1"/>
        <v>21910</v>
      </c>
      <c r="H13061" s="49">
        <f t="shared" si="2"/>
        <v>21596</v>
      </c>
    </row>
    <row r="13062">
      <c r="A13062" s="48" t="s">
        <v>17282</v>
      </c>
      <c r="B13062" s="38">
        <v>74183.0</v>
      </c>
      <c r="C13062" s="38" t="s">
        <v>17283</v>
      </c>
      <c r="D13062" s="38" t="str">
        <f>IFERROR(__xludf.DUMMYFUNCTION("REGEXREPLACE(C13062,""-\d+(.*)|--\d+(.*)"","""")"),"MIEUSSY")</f>
        <v>MIEUSSY</v>
      </c>
      <c r="E13062" s="38" t="s">
        <v>319</v>
      </c>
      <c r="F13062" s="38" t="s">
        <v>102</v>
      </c>
      <c r="G13062" s="49" t="str">
        <f t="shared" si="1"/>
        <v>74440</v>
      </c>
      <c r="H13062" s="49">
        <f t="shared" si="2"/>
        <v>74183</v>
      </c>
    </row>
    <row r="13063">
      <c r="A13063" s="48" t="s">
        <v>3570</v>
      </c>
      <c r="B13063" s="38">
        <v>76278.0</v>
      </c>
      <c r="C13063" s="38" t="s">
        <v>17284</v>
      </c>
      <c r="D13063" s="38" t="str">
        <f>IFERROR(__xludf.DUMMYFUNCTION("REGEXREPLACE(C13063,""-\d+(.*)|--\d+(.*)"","""")"),"FOUCARMONT")</f>
        <v>FOUCARMONT</v>
      </c>
      <c r="E13063" s="38" t="s">
        <v>133</v>
      </c>
      <c r="F13063" s="38" t="s">
        <v>134</v>
      </c>
      <c r="G13063" s="49" t="str">
        <f t="shared" si="1"/>
        <v>76340</v>
      </c>
      <c r="H13063" s="49">
        <f t="shared" si="2"/>
        <v>76278</v>
      </c>
    </row>
    <row r="13064">
      <c r="A13064" s="48" t="s">
        <v>5820</v>
      </c>
      <c r="B13064" s="38">
        <v>22356.0</v>
      </c>
      <c r="C13064" s="38" t="s">
        <v>17285</v>
      </c>
      <c r="D13064" s="38" t="str">
        <f>IFERROR(__xludf.DUMMYFUNCTION("REGEXREPLACE(C13064,""-\d+(.*)|--\d+(.*)"","""")"),"TREGOMEUR")</f>
        <v>TREGOMEUR</v>
      </c>
      <c r="E13064" s="38" t="s">
        <v>89</v>
      </c>
      <c r="F13064" s="38" t="s">
        <v>90</v>
      </c>
      <c r="G13064" s="49" t="str">
        <f t="shared" si="1"/>
        <v>22590</v>
      </c>
      <c r="H13064" s="49">
        <f t="shared" si="2"/>
        <v>22356</v>
      </c>
    </row>
    <row r="13065">
      <c r="A13065" s="48" t="s">
        <v>2254</v>
      </c>
      <c r="B13065" s="38">
        <v>62185.0</v>
      </c>
      <c r="C13065" s="38" t="s">
        <v>17286</v>
      </c>
      <c r="D13065" s="38" t="str">
        <f>IFERROR(__xludf.DUMMYFUNCTION("REGEXREPLACE(C13065,""-\d+(.*)|--\d+(.*)"","""")"),"BULLECOURT")</f>
        <v>BULLECOURT</v>
      </c>
      <c r="E13065" s="38" t="s">
        <v>109</v>
      </c>
      <c r="F13065" s="38" t="s">
        <v>86</v>
      </c>
      <c r="G13065" s="49" t="str">
        <f t="shared" si="1"/>
        <v>62128</v>
      </c>
      <c r="H13065" s="49">
        <f t="shared" si="2"/>
        <v>62185</v>
      </c>
    </row>
    <row r="13066">
      <c r="A13066" s="48" t="s">
        <v>3238</v>
      </c>
      <c r="B13066" s="38">
        <v>61052.0</v>
      </c>
      <c r="C13066" s="38" t="s">
        <v>17287</v>
      </c>
      <c r="D13066" s="38" t="str">
        <f>IFERROR(__xludf.DUMMYFUNCTION("REGEXREPLACE(C13066,""-\d+(.*)|--\d+(.*)"","""")"),"BONNEFOI")</f>
        <v>BONNEFOI</v>
      </c>
      <c r="E13066" s="38" t="s">
        <v>141</v>
      </c>
      <c r="F13066" s="38" t="s">
        <v>138</v>
      </c>
      <c r="G13066" s="49" t="str">
        <f t="shared" si="1"/>
        <v>61270</v>
      </c>
      <c r="H13066" s="49">
        <f t="shared" si="2"/>
        <v>61052</v>
      </c>
    </row>
    <row r="13067">
      <c r="A13067" s="48" t="s">
        <v>580</v>
      </c>
      <c r="B13067" s="38">
        <v>31213.0</v>
      </c>
      <c r="C13067" s="38" t="s">
        <v>17288</v>
      </c>
      <c r="D13067" s="38" t="str">
        <f>IFERROR(__xludf.DUMMYFUNCTION("REGEXREPLACE(C13067,""-\d+(.*)|--\d+(.*)"","""")"),"GARIN")</f>
        <v>GARIN</v>
      </c>
      <c r="E13067" s="38" t="s">
        <v>93</v>
      </c>
      <c r="F13067" s="38" t="s">
        <v>94</v>
      </c>
      <c r="G13067" s="49" t="str">
        <f t="shared" si="1"/>
        <v>31110</v>
      </c>
      <c r="H13067" s="49">
        <f t="shared" si="2"/>
        <v>31213</v>
      </c>
    </row>
    <row r="13068">
      <c r="A13068" s="48" t="s">
        <v>3163</v>
      </c>
      <c r="B13068" s="38">
        <v>28212.0</v>
      </c>
      <c r="C13068" s="38" t="s">
        <v>17289</v>
      </c>
      <c r="D13068" s="38" t="str">
        <f>IFERROR(__xludf.DUMMYFUNCTION("REGEXREPLACE(C13068,""-\d+(.*)|--\d+(.*)"","""")"),"LOIGNY-LA-BATAILLE")</f>
        <v>LOIGNY-LA-BATAILLE</v>
      </c>
      <c r="E13068" s="38" t="s">
        <v>300</v>
      </c>
      <c r="F13068" s="38" t="s">
        <v>123</v>
      </c>
      <c r="G13068" s="49" t="str">
        <f t="shared" si="1"/>
        <v>28140</v>
      </c>
      <c r="H13068" s="49">
        <f t="shared" si="2"/>
        <v>28212</v>
      </c>
    </row>
    <row r="13069">
      <c r="A13069" s="48" t="s">
        <v>17290</v>
      </c>
      <c r="B13069" s="38">
        <v>78062.0</v>
      </c>
      <c r="C13069" s="38" t="s">
        <v>16781</v>
      </c>
      <c r="D13069" s="38" t="str">
        <f>IFERROR(__xludf.DUMMYFUNCTION("REGEXREPLACE(C13069,""-\d+(.*)|--\d+(.*)"","""")"),"BEYNES")</f>
        <v>BEYNES</v>
      </c>
      <c r="E13069" s="38" t="s">
        <v>362</v>
      </c>
      <c r="F13069" s="38" t="s">
        <v>245</v>
      </c>
      <c r="G13069" s="49" t="str">
        <f t="shared" si="1"/>
        <v>78650</v>
      </c>
      <c r="H13069" s="49">
        <f t="shared" si="2"/>
        <v>78062</v>
      </c>
    </row>
    <row r="13070">
      <c r="A13070" s="48" t="s">
        <v>2736</v>
      </c>
      <c r="B13070" s="38">
        <v>89338.0</v>
      </c>
      <c r="C13070" s="38" t="s">
        <v>6198</v>
      </c>
      <c r="D13070" s="38" t="str">
        <f>IFERROR(__xludf.DUMMYFUNCTION("REGEXREPLACE(C13070,""-\d+(.*)|--\d+(.*)"","""")"),"SAINT-CLEMENT")</f>
        <v>SAINT-CLEMENT</v>
      </c>
      <c r="E13070" s="38" t="s">
        <v>275</v>
      </c>
      <c r="F13070" s="38" t="s">
        <v>106</v>
      </c>
      <c r="G13070" s="49" t="str">
        <f t="shared" si="1"/>
        <v>89100</v>
      </c>
      <c r="H13070" s="49">
        <f t="shared" si="2"/>
        <v>89338</v>
      </c>
    </row>
    <row r="13071">
      <c r="A13071" s="48" t="s">
        <v>468</v>
      </c>
      <c r="B13071" s="38">
        <v>26113.0</v>
      </c>
      <c r="C13071" s="38" t="s">
        <v>17291</v>
      </c>
      <c r="D13071" s="38" t="str">
        <f>IFERROR(__xludf.DUMMYFUNCTION("REGEXREPLACE(C13071,""-\d+(.*)|--\d+(.*)"","""")"),"DIE")</f>
        <v>DIE</v>
      </c>
      <c r="E13071" s="38" t="s">
        <v>126</v>
      </c>
      <c r="F13071" s="38" t="s">
        <v>102</v>
      </c>
      <c r="G13071" s="49" t="str">
        <f t="shared" si="1"/>
        <v>26150</v>
      </c>
      <c r="H13071" s="49">
        <f t="shared" si="2"/>
        <v>26113</v>
      </c>
    </row>
    <row r="13072">
      <c r="A13072" s="48" t="s">
        <v>732</v>
      </c>
      <c r="B13072" s="38">
        <v>10273.0</v>
      </c>
      <c r="C13072" s="38" t="s">
        <v>17292</v>
      </c>
      <c r="D13072" s="38" t="str">
        <f>IFERROR(__xludf.DUMMYFUNCTION("REGEXREPLACE(C13072,""-\d+(.*)|--\d+(.*)"","""")"),"ORTILLON")</f>
        <v>ORTILLON</v>
      </c>
      <c r="E13072" s="38" t="s">
        <v>147</v>
      </c>
      <c r="F13072" s="38" t="s">
        <v>130</v>
      </c>
      <c r="G13072" s="49" t="str">
        <f t="shared" si="1"/>
        <v>10700</v>
      </c>
      <c r="H13072" s="49">
        <f t="shared" si="2"/>
        <v>10273</v>
      </c>
    </row>
    <row r="13073">
      <c r="A13073" s="48" t="s">
        <v>17293</v>
      </c>
      <c r="B13073" s="38">
        <v>50151.0</v>
      </c>
      <c r="C13073" s="38" t="s">
        <v>17294</v>
      </c>
      <c r="D13073" s="38" t="str">
        <f>IFERROR(__xludf.DUMMYFUNCTION("REGEXREPLACE(C13073,""-\d+(.*)|--\d+(.*)"","""")"),"CREANCES")</f>
        <v>CREANCES</v>
      </c>
      <c r="E13073" s="38" t="s">
        <v>157</v>
      </c>
      <c r="F13073" s="38" t="s">
        <v>138</v>
      </c>
      <c r="G13073" s="49" t="str">
        <f t="shared" si="1"/>
        <v>50710</v>
      </c>
      <c r="H13073" s="49">
        <f t="shared" si="2"/>
        <v>50151</v>
      </c>
    </row>
    <row r="13074">
      <c r="A13074" s="48" t="s">
        <v>183</v>
      </c>
      <c r="B13074" s="38">
        <v>46121.0</v>
      </c>
      <c r="C13074" s="38" t="s">
        <v>17295</v>
      </c>
      <c r="D13074" s="38" t="str">
        <f>IFERROR(__xludf.DUMMYFUNCTION("REGEXREPLACE(C13074,""-\d+(.*)|--\d+(.*)"","""")"),"GINOUILLAC")</f>
        <v>GINOUILLAC</v>
      </c>
      <c r="E13074" s="38" t="s">
        <v>185</v>
      </c>
      <c r="F13074" s="38" t="s">
        <v>94</v>
      </c>
      <c r="G13074" s="49" t="str">
        <f t="shared" si="1"/>
        <v>46300</v>
      </c>
      <c r="H13074" s="49">
        <f t="shared" si="2"/>
        <v>46121</v>
      </c>
    </row>
    <row r="13075">
      <c r="A13075" s="48" t="s">
        <v>2540</v>
      </c>
      <c r="B13075" s="38">
        <v>2105.0</v>
      </c>
      <c r="C13075" s="38" t="s">
        <v>17296</v>
      </c>
      <c r="D13075" s="38" t="str">
        <f>IFERROR(__xludf.DUMMYFUNCTION("REGEXREPLACE(C13075,""-\d+(.*)|--\d+(.*)"","""")"),"BOURESCHES")</f>
        <v>BOURESCHES</v>
      </c>
      <c r="E13075" s="38" t="s">
        <v>191</v>
      </c>
      <c r="F13075" s="38" t="s">
        <v>113</v>
      </c>
      <c r="G13075" s="49" t="str">
        <f t="shared" si="1"/>
        <v>02400</v>
      </c>
      <c r="H13075" s="49" t="str">
        <f t="shared" si="2"/>
        <v>02105</v>
      </c>
    </row>
    <row r="13076">
      <c r="A13076" s="48" t="s">
        <v>1218</v>
      </c>
      <c r="B13076" s="38">
        <v>9158.0</v>
      </c>
      <c r="C13076" s="38" t="s">
        <v>5510</v>
      </c>
      <c r="D13076" s="38" t="str">
        <f>IFERROR(__xludf.DUMMYFUNCTION("REGEXREPLACE(C13076,""-\d+(.*)|--\d+(.*)"","""")"),"LASSERRE")</f>
        <v>LASSERRE</v>
      </c>
      <c r="E13076" s="38" t="s">
        <v>238</v>
      </c>
      <c r="F13076" s="38" t="s">
        <v>94</v>
      </c>
      <c r="G13076" s="49" t="str">
        <f t="shared" si="1"/>
        <v>09230</v>
      </c>
      <c r="H13076" s="49" t="str">
        <f t="shared" si="2"/>
        <v>09158</v>
      </c>
    </row>
    <row r="13077">
      <c r="A13077" s="48" t="s">
        <v>6628</v>
      </c>
      <c r="B13077" s="38">
        <v>1198.0</v>
      </c>
      <c r="C13077" s="38" t="s">
        <v>17297</v>
      </c>
      <c r="D13077" s="38" t="str">
        <f>IFERROR(__xludf.DUMMYFUNCTION("REGEXREPLACE(C13077,""-\d+(.*)|--\d+(.*)"","""")"),"JOYEUX")</f>
        <v>JOYEUX</v>
      </c>
      <c r="E13077" s="38" t="s">
        <v>255</v>
      </c>
      <c r="F13077" s="38" t="s">
        <v>102</v>
      </c>
      <c r="G13077" s="49" t="str">
        <f t="shared" si="1"/>
        <v>01800</v>
      </c>
      <c r="H13077" s="49" t="str">
        <f t="shared" si="2"/>
        <v>01198</v>
      </c>
    </row>
    <row r="13078">
      <c r="A13078" s="48" t="s">
        <v>17298</v>
      </c>
      <c r="B13078" s="38">
        <v>83123.0</v>
      </c>
      <c r="C13078" s="38" t="s">
        <v>17299</v>
      </c>
      <c r="D13078" s="38" t="str">
        <f>IFERROR(__xludf.DUMMYFUNCTION("REGEXREPLACE(C13078,""-\d+(.*)|--\d+(.*)"","""")"),"SANARY-SUR-MER")</f>
        <v>SANARY-SUR-MER</v>
      </c>
      <c r="E13078" s="38" t="s">
        <v>813</v>
      </c>
      <c r="F13078" s="38" t="s">
        <v>228</v>
      </c>
      <c r="G13078" s="49" t="str">
        <f t="shared" si="1"/>
        <v>83110</v>
      </c>
      <c r="H13078" s="49">
        <f t="shared" si="2"/>
        <v>83123</v>
      </c>
    </row>
    <row r="13079">
      <c r="A13079" s="48" t="s">
        <v>1302</v>
      </c>
      <c r="B13079" s="38">
        <v>38428.0</v>
      </c>
      <c r="C13079" s="38" t="s">
        <v>17300</v>
      </c>
      <c r="D13079" s="38" t="str">
        <f>IFERROR(__xludf.DUMMYFUNCTION("REGEXREPLACE(C13079,""-\d+(.*)|--\d+(.*)"","""")"),"SAINT-MICHEL-EN-BEAUMONT")</f>
        <v>SAINT-MICHEL-EN-BEAUMONT</v>
      </c>
      <c r="E13079" s="38" t="s">
        <v>101</v>
      </c>
      <c r="F13079" s="38" t="s">
        <v>102</v>
      </c>
      <c r="G13079" s="49" t="str">
        <f t="shared" si="1"/>
        <v>38350</v>
      </c>
      <c r="H13079" s="49">
        <f t="shared" si="2"/>
        <v>38428</v>
      </c>
    </row>
    <row r="13080">
      <c r="A13080" s="48" t="s">
        <v>6858</v>
      </c>
      <c r="B13080" s="38">
        <v>71521.0</v>
      </c>
      <c r="C13080" s="38" t="s">
        <v>17301</v>
      </c>
      <c r="D13080" s="38" t="str">
        <f>IFERROR(__xludf.DUMMYFUNCTION("REGEXREPLACE(C13080,""-\d+(.*)|--\d+(.*)"","""")"),"SIGY-LE-CHATEL")</f>
        <v>SIGY-LE-CHATEL</v>
      </c>
      <c r="E13080" s="38" t="s">
        <v>344</v>
      </c>
      <c r="F13080" s="38" t="s">
        <v>106</v>
      </c>
      <c r="G13080" s="49" t="str">
        <f t="shared" si="1"/>
        <v>71250</v>
      </c>
      <c r="H13080" s="49">
        <f t="shared" si="2"/>
        <v>71521</v>
      </c>
    </row>
    <row r="13081">
      <c r="A13081" s="48" t="s">
        <v>4648</v>
      </c>
      <c r="B13081" s="38">
        <v>54410.0</v>
      </c>
      <c r="C13081" s="38" t="s">
        <v>17302</v>
      </c>
      <c r="D13081" s="38" t="str">
        <f>IFERROR(__xludf.DUMMYFUNCTION("REGEXREPLACE(C13081,""-\d+(.*)|--\d+(.*)"","""")"),"ONVILLE")</f>
        <v>ONVILLE</v>
      </c>
      <c r="E13081" s="38" t="s">
        <v>548</v>
      </c>
      <c r="F13081" s="38" t="s">
        <v>195</v>
      </c>
      <c r="G13081" s="49" t="str">
        <f t="shared" si="1"/>
        <v>54890</v>
      </c>
      <c r="H13081" s="49">
        <f t="shared" si="2"/>
        <v>54410</v>
      </c>
    </row>
    <row r="13082">
      <c r="A13082" s="48" t="s">
        <v>14137</v>
      </c>
      <c r="B13082" s="38">
        <v>69238.0</v>
      </c>
      <c r="C13082" s="38" t="s">
        <v>17303</v>
      </c>
      <c r="D13082" s="38" t="str">
        <f>IFERROR(__xludf.DUMMYFUNCTION("REGEXREPLACE(C13082,""-\d+(.*)|--\d+(.*)"","""")"),"SAINT-SYMPHORIEN-SUR-COISE")</f>
        <v>SAINT-SYMPHORIEN-SUR-COISE</v>
      </c>
      <c r="E13082" s="38" t="s">
        <v>350</v>
      </c>
      <c r="F13082" s="38" t="s">
        <v>102</v>
      </c>
      <c r="G13082" s="49" t="str">
        <f t="shared" si="1"/>
        <v>69590</v>
      </c>
      <c r="H13082" s="49">
        <f t="shared" si="2"/>
        <v>69238</v>
      </c>
    </row>
    <row r="13083">
      <c r="A13083" s="48" t="s">
        <v>6150</v>
      </c>
      <c r="B13083" s="38">
        <v>71540.0</v>
      </c>
      <c r="C13083" s="38" t="s">
        <v>17304</v>
      </c>
      <c r="D13083" s="38" t="str">
        <f>IFERROR(__xludf.DUMMYFUNCTION("REGEXREPLACE(C13083,""-\d+(.*)|--\d+(.*)"","""")"),"TORCY")</f>
        <v>TORCY</v>
      </c>
      <c r="E13083" s="38" t="s">
        <v>344</v>
      </c>
      <c r="F13083" s="38" t="s">
        <v>106</v>
      </c>
      <c r="G13083" s="49" t="str">
        <f t="shared" si="1"/>
        <v>71210</v>
      </c>
      <c r="H13083" s="49">
        <f t="shared" si="2"/>
        <v>71540</v>
      </c>
    </row>
    <row r="13084">
      <c r="A13084" s="48" t="s">
        <v>1012</v>
      </c>
      <c r="B13084" s="38">
        <v>21073.0</v>
      </c>
      <c r="C13084" s="38" t="s">
        <v>17305</v>
      </c>
      <c r="D13084" s="38" t="str">
        <f>IFERROR(__xludf.DUMMYFUNCTION("REGEXREPLACE(C13084,""-\d+(.*)|--\d+(.*)"","""")"),"BIERRE-LES-SEMUR")</f>
        <v>BIERRE-LES-SEMUR</v>
      </c>
      <c r="E13084" s="38" t="s">
        <v>105</v>
      </c>
      <c r="F13084" s="38" t="s">
        <v>106</v>
      </c>
      <c r="G13084" s="49" t="str">
        <f t="shared" si="1"/>
        <v>21390</v>
      </c>
      <c r="H13084" s="49">
        <f t="shared" si="2"/>
        <v>21073</v>
      </c>
    </row>
    <row r="13085">
      <c r="A13085" s="48" t="s">
        <v>1400</v>
      </c>
      <c r="B13085" s="38">
        <v>21128.0</v>
      </c>
      <c r="C13085" s="38" t="s">
        <v>17306</v>
      </c>
      <c r="D13085" s="38" t="str">
        <f>IFERROR(__xludf.DUMMYFUNCTION("REGEXREPLACE(C13085,""-\d+(.*)|--\d+(.*)"","""")"),"CHAILLY-SUR-ARMANCON")</f>
        <v>CHAILLY-SUR-ARMANCON</v>
      </c>
      <c r="E13085" s="38" t="s">
        <v>105</v>
      </c>
      <c r="F13085" s="38" t="s">
        <v>106</v>
      </c>
      <c r="G13085" s="49" t="str">
        <f t="shared" si="1"/>
        <v>21320</v>
      </c>
      <c r="H13085" s="49">
        <f t="shared" si="2"/>
        <v>21128</v>
      </c>
    </row>
    <row r="13086">
      <c r="A13086" s="48" t="s">
        <v>12547</v>
      </c>
      <c r="B13086" s="38">
        <v>60620.0</v>
      </c>
      <c r="C13086" s="38" t="s">
        <v>17307</v>
      </c>
      <c r="D13086" s="38" t="str">
        <f>IFERROR(__xludf.DUMMYFUNCTION("REGEXREPLACE(C13086,""-\d+(.*)|--\d+(.*)"","""")"),"SILLY-TILLARD")</f>
        <v>SILLY-TILLARD</v>
      </c>
      <c r="E13086" s="38" t="s">
        <v>112</v>
      </c>
      <c r="F13086" s="38" t="s">
        <v>113</v>
      </c>
      <c r="G13086" s="49" t="str">
        <f t="shared" si="1"/>
        <v>60430</v>
      </c>
      <c r="H13086" s="49">
        <f t="shared" si="2"/>
        <v>60620</v>
      </c>
    </row>
    <row r="13087">
      <c r="A13087" s="48" t="s">
        <v>10778</v>
      </c>
      <c r="B13087" s="38">
        <v>21256.0</v>
      </c>
      <c r="C13087" s="38" t="s">
        <v>17308</v>
      </c>
      <c r="D13087" s="38" t="str">
        <f>IFERROR(__xludf.DUMMYFUNCTION("REGEXREPLACE(C13087,""-\d+(.*)|--\d+(.*)"","""")"),"ETEVAUX")</f>
        <v>ETEVAUX</v>
      </c>
      <c r="E13087" s="38" t="s">
        <v>105</v>
      </c>
      <c r="F13087" s="38" t="s">
        <v>106</v>
      </c>
      <c r="G13087" s="49" t="str">
        <f t="shared" si="1"/>
        <v>21270</v>
      </c>
      <c r="H13087" s="49">
        <f t="shared" si="2"/>
        <v>21256</v>
      </c>
    </row>
    <row r="13088">
      <c r="A13088" s="48" t="s">
        <v>266</v>
      </c>
      <c r="B13088" s="38">
        <v>64390.0</v>
      </c>
      <c r="C13088" s="38" t="s">
        <v>8648</v>
      </c>
      <c r="D13088" s="38" t="str">
        <f>IFERROR(__xludf.DUMMYFUNCTION("REGEXREPLACE(C13088,""-\d+(.*)|--\d+(.*)"","""")"),"MONCAUP")</f>
        <v>MONCAUP</v>
      </c>
      <c r="E13088" s="38" t="s">
        <v>268</v>
      </c>
      <c r="F13088" s="38" t="s">
        <v>252</v>
      </c>
      <c r="G13088" s="49" t="str">
        <f t="shared" si="1"/>
        <v>64350</v>
      </c>
      <c r="H13088" s="49">
        <f t="shared" si="2"/>
        <v>64390</v>
      </c>
    </row>
    <row r="13089">
      <c r="A13089" s="48" t="s">
        <v>3317</v>
      </c>
      <c r="B13089" s="38">
        <v>1130.0</v>
      </c>
      <c r="C13089" s="38" t="s">
        <v>17309</v>
      </c>
      <c r="D13089" s="38" t="str">
        <f>IFERROR(__xludf.DUMMYFUNCTION("REGEXREPLACE(C13089,""-\d+(.*)|--\d+(.*)"","""")"),"CRAS-SUR-REYSSOUZE")</f>
        <v>CRAS-SUR-REYSSOUZE</v>
      </c>
      <c r="E13089" s="38" t="s">
        <v>255</v>
      </c>
      <c r="F13089" s="38" t="s">
        <v>102</v>
      </c>
      <c r="G13089" s="49" t="str">
        <f t="shared" si="1"/>
        <v>01340</v>
      </c>
      <c r="H13089" s="49" t="str">
        <f t="shared" si="2"/>
        <v>01130</v>
      </c>
    </row>
    <row r="13090">
      <c r="A13090" s="48" t="s">
        <v>4036</v>
      </c>
      <c r="B13090" s="38">
        <v>49064.0</v>
      </c>
      <c r="C13090" s="38" t="s">
        <v>17310</v>
      </c>
      <c r="D13090" s="38" t="str">
        <f>IFERROR(__xludf.DUMMYFUNCTION("REGEXREPLACE(C13090,""-\d+(.*)|--\d+(.*)"","""")"),"CHAMBELLAY")</f>
        <v>CHAMBELLAY</v>
      </c>
      <c r="E13090" s="38" t="s">
        <v>653</v>
      </c>
      <c r="F13090" s="38" t="s">
        <v>180</v>
      </c>
      <c r="G13090" s="49" t="str">
        <f t="shared" si="1"/>
        <v>49220</v>
      </c>
      <c r="H13090" s="49">
        <f t="shared" si="2"/>
        <v>49064</v>
      </c>
    </row>
    <row r="13091">
      <c r="A13091" s="48" t="s">
        <v>466</v>
      </c>
      <c r="B13091" s="38">
        <v>52511.0</v>
      </c>
      <c r="C13091" s="38" t="s">
        <v>17311</v>
      </c>
      <c r="D13091" s="38" t="str">
        <f>IFERROR(__xludf.DUMMYFUNCTION("REGEXREPLACE(C13091,""-\d+(.*)|--\d+(.*)"","""")"),"VAUX-SUR-SAINT-URBAIN")</f>
        <v>VAUX-SUR-SAINT-URBAIN</v>
      </c>
      <c r="E13091" s="38" t="s">
        <v>234</v>
      </c>
      <c r="F13091" s="38" t="s">
        <v>130</v>
      </c>
      <c r="G13091" s="49" t="str">
        <f t="shared" si="1"/>
        <v>52300</v>
      </c>
      <c r="H13091" s="49">
        <f t="shared" si="2"/>
        <v>52511</v>
      </c>
    </row>
    <row r="13092">
      <c r="A13092" s="48" t="s">
        <v>5428</v>
      </c>
      <c r="B13092" s="38">
        <v>74096.0</v>
      </c>
      <c r="C13092" s="38" t="s">
        <v>17312</v>
      </c>
      <c r="D13092" s="38" t="str">
        <f>IFERROR(__xludf.DUMMYFUNCTION("REGEXREPLACE(C13092,""-\d+(.*)|--\d+(.*)"","""")"),"CRUSEILLES")</f>
        <v>CRUSEILLES</v>
      </c>
      <c r="E13092" s="38" t="s">
        <v>319</v>
      </c>
      <c r="F13092" s="38" t="s">
        <v>102</v>
      </c>
      <c r="G13092" s="49" t="str">
        <f t="shared" si="1"/>
        <v>74350</v>
      </c>
      <c r="H13092" s="49">
        <f t="shared" si="2"/>
        <v>74096</v>
      </c>
    </row>
    <row r="13093">
      <c r="A13093" s="48" t="s">
        <v>456</v>
      </c>
      <c r="B13093" s="38">
        <v>63444.0</v>
      </c>
      <c r="C13093" s="38" t="s">
        <v>17313</v>
      </c>
      <c r="D13093" s="38" t="str">
        <f>IFERROR(__xludf.DUMMYFUNCTION("REGEXREPLACE(C13093,""-\d+(.*)|--\d+(.*)"","""")"),"VARENNES-SUR-USSON")</f>
        <v>VARENNES-SUR-USSON</v>
      </c>
      <c r="E13093" s="38" t="s">
        <v>353</v>
      </c>
      <c r="F13093" s="38" t="s">
        <v>161</v>
      </c>
      <c r="G13093" s="49" t="str">
        <f t="shared" si="1"/>
        <v>63500</v>
      </c>
      <c r="H13093" s="49">
        <f t="shared" si="2"/>
        <v>63444</v>
      </c>
    </row>
    <row r="13094">
      <c r="A13094" s="48" t="s">
        <v>17314</v>
      </c>
      <c r="B13094" s="38">
        <v>97202.0</v>
      </c>
      <c r="C13094" s="38" t="s">
        <v>17315</v>
      </c>
      <c r="D13094" s="38" t="str">
        <f>IFERROR(__xludf.DUMMYFUNCTION("REGEXREPLACE(C13094,""-\d+(.*)|--\d+(.*)"","""")"),"LES ANSES-D'ARLET")</f>
        <v>LES ANSES-D'ARLET</v>
      </c>
      <c r="E13094" s="38" t="s">
        <v>2282</v>
      </c>
      <c r="F13094" s="38" t="s">
        <v>2282</v>
      </c>
      <c r="G13094" s="49" t="str">
        <f t="shared" si="1"/>
        <v>97217</v>
      </c>
      <c r="H13094" s="49">
        <f t="shared" si="2"/>
        <v>97202</v>
      </c>
    </row>
    <row r="13095">
      <c r="A13095" s="48" t="s">
        <v>2809</v>
      </c>
      <c r="B13095" s="38">
        <v>77237.0</v>
      </c>
      <c r="C13095" s="38" t="s">
        <v>17316</v>
      </c>
      <c r="D13095" s="38" t="str">
        <f>IFERROR(__xludf.DUMMYFUNCTION("REGEXREPLACE(C13095,""-\d+(.*)|--\d+(.*)"","""")"),"JOSSIGNY")</f>
        <v>JOSSIGNY</v>
      </c>
      <c r="E13095" s="38" t="s">
        <v>244</v>
      </c>
      <c r="F13095" s="38" t="s">
        <v>245</v>
      </c>
      <c r="G13095" s="49" t="str">
        <f t="shared" si="1"/>
        <v>77600</v>
      </c>
      <c r="H13095" s="49">
        <f t="shared" si="2"/>
        <v>77237</v>
      </c>
    </row>
    <row r="13096">
      <c r="A13096" s="48" t="s">
        <v>2960</v>
      </c>
      <c r="B13096" s="38">
        <v>86156.0</v>
      </c>
      <c r="C13096" s="38" t="s">
        <v>17317</v>
      </c>
      <c r="D13096" s="38" t="str">
        <f>IFERROR(__xludf.DUMMYFUNCTION("REGEXREPLACE(C13096,""-\d+(.*)|--\d+(.*)"","""")"),"MESSEME")</f>
        <v>MESSEME</v>
      </c>
      <c r="E13096" s="38" t="s">
        <v>529</v>
      </c>
      <c r="F13096" s="38" t="s">
        <v>338</v>
      </c>
      <c r="G13096" s="49" t="str">
        <f t="shared" si="1"/>
        <v>86200</v>
      </c>
      <c r="H13096" s="49">
        <f t="shared" si="2"/>
        <v>86156</v>
      </c>
    </row>
    <row r="13097">
      <c r="A13097" s="48" t="s">
        <v>8713</v>
      </c>
      <c r="B13097" s="38">
        <v>50409.0</v>
      </c>
      <c r="C13097" s="38" t="s">
        <v>17318</v>
      </c>
      <c r="D13097" s="38" t="str">
        <f>IFERROR(__xludf.DUMMYFUNCTION("REGEXREPLACE(C13097,""-\d+(.*)|--\d+(.*)"","""")"),"PONT-HEBERT")</f>
        <v>PONT-HEBERT</v>
      </c>
      <c r="E13097" s="38" t="s">
        <v>157</v>
      </c>
      <c r="F13097" s="38" t="s">
        <v>138</v>
      </c>
      <c r="G13097" s="49" t="str">
        <f t="shared" si="1"/>
        <v>50880</v>
      </c>
      <c r="H13097" s="49">
        <f t="shared" si="2"/>
        <v>50409</v>
      </c>
    </row>
    <row r="13098">
      <c r="A13098" s="48" t="s">
        <v>5842</v>
      </c>
      <c r="B13098" s="38">
        <v>61165.0</v>
      </c>
      <c r="C13098" s="38" t="s">
        <v>17319</v>
      </c>
      <c r="D13098" s="38" t="str">
        <f>IFERROR(__xludf.DUMMYFUNCTION("REGEXREPLACE(C13098,""-\d+(.*)|--\d+(.*)"","""")"),"LA FERRIERE-BOCHARD")</f>
        <v>LA FERRIERE-BOCHARD</v>
      </c>
      <c r="E13098" s="38" t="s">
        <v>141</v>
      </c>
      <c r="F13098" s="38" t="s">
        <v>138</v>
      </c>
      <c r="G13098" s="49" t="str">
        <f t="shared" si="1"/>
        <v>61420</v>
      </c>
      <c r="H13098" s="49">
        <f t="shared" si="2"/>
        <v>61165</v>
      </c>
    </row>
    <row r="13099">
      <c r="A13099" s="48" t="s">
        <v>17320</v>
      </c>
      <c r="B13099" s="38">
        <v>66224.0</v>
      </c>
      <c r="C13099" s="38" t="s">
        <v>17321</v>
      </c>
      <c r="D13099" s="38" t="str">
        <f>IFERROR(__xludf.DUMMYFUNCTION("REGEXREPLACE(C13099,""-\d+(.*)|--\d+(.*)"","""")"),"VILLELONGUE-DE-LA-SALANQUE")</f>
        <v>VILLELONGUE-DE-LA-SALANQUE</v>
      </c>
      <c r="E13099" s="38" t="s">
        <v>248</v>
      </c>
      <c r="F13099" s="38" t="s">
        <v>119</v>
      </c>
      <c r="G13099" s="49" t="str">
        <f t="shared" si="1"/>
        <v>66410</v>
      </c>
      <c r="H13099" s="49">
        <f t="shared" si="2"/>
        <v>66224</v>
      </c>
    </row>
    <row r="13100">
      <c r="A13100" s="48" t="s">
        <v>17322</v>
      </c>
      <c r="B13100" s="38">
        <v>33452.0</v>
      </c>
      <c r="C13100" s="38" t="s">
        <v>17323</v>
      </c>
      <c r="D13100" s="38" t="str">
        <f>IFERROR(__xludf.DUMMYFUNCTION("REGEXREPLACE(C13100,""-\d+(.*)|--\d+(.*)"","""")"),"SAINT-MICHEL-DE-RIEUFRET")</f>
        <v>SAINT-MICHEL-DE-RIEUFRET</v>
      </c>
      <c r="E13100" s="38" t="s">
        <v>462</v>
      </c>
      <c r="F13100" s="38" t="s">
        <v>252</v>
      </c>
      <c r="G13100" s="49" t="str">
        <f t="shared" si="1"/>
        <v>33720</v>
      </c>
      <c r="H13100" s="49">
        <f t="shared" si="2"/>
        <v>33452</v>
      </c>
    </row>
    <row r="13101">
      <c r="A13101" s="48" t="s">
        <v>1126</v>
      </c>
      <c r="B13101" s="38">
        <v>44181.0</v>
      </c>
      <c r="C13101" s="38" t="s">
        <v>17324</v>
      </c>
      <c r="D13101" s="38" t="str">
        <f>IFERROR(__xludf.DUMMYFUNCTION("REGEXREPLACE(C13101,""-\d+(.*)|--\d+(.*)"","""")"),"SAINT-MEME-LE-TENU")</f>
        <v>SAINT-MEME-LE-TENU</v>
      </c>
      <c r="E13101" s="38" t="s">
        <v>759</v>
      </c>
      <c r="F13101" s="38" t="s">
        <v>180</v>
      </c>
      <c r="G13101" s="49" t="str">
        <f t="shared" si="1"/>
        <v>44270</v>
      </c>
      <c r="H13101" s="49">
        <f t="shared" si="2"/>
        <v>44181</v>
      </c>
    </row>
    <row r="13102">
      <c r="A13102" s="48" t="s">
        <v>5163</v>
      </c>
      <c r="B13102" s="38">
        <v>76662.0</v>
      </c>
      <c r="C13102" s="38" t="s">
        <v>17325</v>
      </c>
      <c r="D13102" s="38" t="str">
        <f>IFERROR(__xludf.DUMMYFUNCTION("REGEXREPLACE(C13102,""-\d+(.*)|--\d+(.*)"","""")"),"SASSETOT-LE-MALGARDE")</f>
        <v>SASSETOT-LE-MALGARDE</v>
      </c>
      <c r="E13102" s="38" t="s">
        <v>133</v>
      </c>
      <c r="F13102" s="38" t="s">
        <v>134</v>
      </c>
      <c r="G13102" s="49" t="str">
        <f t="shared" si="1"/>
        <v>76730</v>
      </c>
      <c r="H13102" s="49">
        <f t="shared" si="2"/>
        <v>76662</v>
      </c>
    </row>
    <row r="13103">
      <c r="A13103" s="48" t="s">
        <v>8338</v>
      </c>
      <c r="B13103" s="38">
        <v>47134.0</v>
      </c>
      <c r="C13103" s="38" t="s">
        <v>17326</v>
      </c>
      <c r="D13103" s="38" t="str">
        <f>IFERROR(__xludf.DUMMYFUNCTION("REGEXREPLACE(C13103,""-\d+(.*)|--\d+(.*)"","""")"),"LANNES")</f>
        <v>LANNES</v>
      </c>
      <c r="E13103" s="38" t="s">
        <v>251</v>
      </c>
      <c r="F13103" s="38" t="s">
        <v>252</v>
      </c>
      <c r="G13103" s="49" t="str">
        <f t="shared" si="1"/>
        <v>47170</v>
      </c>
      <c r="H13103" s="49">
        <f t="shared" si="2"/>
        <v>47134</v>
      </c>
    </row>
    <row r="13104">
      <c r="A13104" s="48" t="s">
        <v>2118</v>
      </c>
      <c r="B13104" s="38">
        <v>35161.0</v>
      </c>
      <c r="C13104" s="38" t="s">
        <v>17327</v>
      </c>
      <c r="D13104" s="38" t="str">
        <f>IFERROR(__xludf.DUMMYFUNCTION("REGEXREPLACE(C13104,""-\d+(.*)|--\d+(.*)"","""")"),"LOUVIGNE-DE-BAIS")</f>
        <v>LOUVIGNE-DE-BAIS</v>
      </c>
      <c r="E13104" s="38" t="s">
        <v>347</v>
      </c>
      <c r="F13104" s="38" t="s">
        <v>90</v>
      </c>
      <c r="G13104" s="49" t="str">
        <f t="shared" si="1"/>
        <v>35680</v>
      </c>
      <c r="H13104" s="49">
        <f t="shared" si="2"/>
        <v>35161</v>
      </c>
    </row>
    <row r="13105">
      <c r="A13105" s="48" t="s">
        <v>2349</v>
      </c>
      <c r="B13105" s="38">
        <v>62105.0</v>
      </c>
      <c r="C13105" s="38" t="s">
        <v>17328</v>
      </c>
      <c r="D13105" s="38" t="str">
        <f>IFERROR(__xludf.DUMMYFUNCTION("REGEXREPLACE(C13105,""-\d+(.*)|--\d+(.*)"","""")"),"BELLE-ET-HOULLEFORT")</f>
        <v>BELLE-ET-HOULLEFORT</v>
      </c>
      <c r="E13105" s="38" t="s">
        <v>109</v>
      </c>
      <c r="F13105" s="38" t="s">
        <v>86</v>
      </c>
      <c r="G13105" s="49" t="str">
        <f t="shared" si="1"/>
        <v>62142</v>
      </c>
      <c r="H13105" s="49">
        <f t="shared" si="2"/>
        <v>62105</v>
      </c>
    </row>
    <row r="13106">
      <c r="A13106" s="48" t="s">
        <v>4790</v>
      </c>
      <c r="B13106" s="38">
        <v>67098.0</v>
      </c>
      <c r="C13106" s="38" t="s">
        <v>17329</v>
      </c>
      <c r="D13106" s="38" t="str">
        <f>IFERROR(__xludf.DUMMYFUNCTION("REGEXREPLACE(C13106,""-\d+(.*)|--\d+(.*)"","""")"),"DINSHEIM-SUR-BRUCHE")</f>
        <v>DINSHEIM-SUR-BRUCHE</v>
      </c>
      <c r="E13106" s="38" t="s">
        <v>210</v>
      </c>
      <c r="F13106" s="38" t="s">
        <v>151</v>
      </c>
      <c r="G13106" s="49" t="str">
        <f t="shared" si="1"/>
        <v>67190</v>
      </c>
      <c r="H13106" s="49">
        <f t="shared" si="2"/>
        <v>67098</v>
      </c>
    </row>
    <row r="13107">
      <c r="A13107" s="48" t="s">
        <v>942</v>
      </c>
      <c r="B13107" s="38">
        <v>2564.0</v>
      </c>
      <c r="C13107" s="38" t="s">
        <v>17330</v>
      </c>
      <c r="D13107" s="38" t="str">
        <f>IFERROR(__xludf.DUMMYFUNCTION("REGEXREPLACE(C13107,""-\d+(.*)|--\d+(.*)"","""")"),"NOYANT-ET-ACONIN")</f>
        <v>NOYANT-ET-ACONIN</v>
      </c>
      <c r="E13107" s="38" t="s">
        <v>191</v>
      </c>
      <c r="F13107" s="38" t="s">
        <v>113</v>
      </c>
      <c r="G13107" s="49" t="str">
        <f t="shared" si="1"/>
        <v>02200</v>
      </c>
      <c r="H13107" s="49" t="str">
        <f t="shared" si="2"/>
        <v>02564</v>
      </c>
    </row>
    <row r="13108">
      <c r="A13108" s="48" t="s">
        <v>7452</v>
      </c>
      <c r="B13108" s="38">
        <v>48123.0</v>
      </c>
      <c r="C13108" s="38" t="s">
        <v>17331</v>
      </c>
      <c r="D13108" s="38" t="str">
        <f>IFERROR(__xludf.DUMMYFUNCTION("REGEXREPLACE(C13108,""-\d+(.*)|--\d+(.*)"","""")"),"RECOULES-D'AUBRAC")</f>
        <v>RECOULES-D'AUBRAC</v>
      </c>
      <c r="E13108" s="38" t="s">
        <v>154</v>
      </c>
      <c r="F13108" s="38" t="s">
        <v>119</v>
      </c>
      <c r="G13108" s="49" t="str">
        <f t="shared" si="1"/>
        <v>48260</v>
      </c>
      <c r="H13108" s="49">
        <f t="shared" si="2"/>
        <v>48123</v>
      </c>
    </row>
    <row r="13109">
      <c r="A13109" s="48" t="s">
        <v>3488</v>
      </c>
      <c r="B13109" s="38">
        <v>67460.0</v>
      </c>
      <c r="C13109" s="38" t="s">
        <v>17332</v>
      </c>
      <c r="D13109" s="38" t="str">
        <f>IFERROR(__xludf.DUMMYFUNCTION("REGEXREPLACE(C13109,""-\d+(.*)|--\d+(.*)"","""")"),"SCHWINDRATZHEIM")</f>
        <v>SCHWINDRATZHEIM</v>
      </c>
      <c r="E13109" s="38" t="s">
        <v>210</v>
      </c>
      <c r="F13109" s="38" t="s">
        <v>151</v>
      </c>
      <c r="G13109" s="49" t="str">
        <f t="shared" si="1"/>
        <v>67270</v>
      </c>
      <c r="H13109" s="49">
        <f t="shared" si="2"/>
        <v>67460</v>
      </c>
    </row>
    <row r="13110">
      <c r="A13110" s="48" t="s">
        <v>12834</v>
      </c>
      <c r="B13110" s="38">
        <v>73236.0</v>
      </c>
      <c r="C13110" s="38" t="s">
        <v>17333</v>
      </c>
      <c r="D13110" s="38" t="str">
        <f>IFERROR(__xludf.DUMMYFUNCTION("REGEXREPLACE(C13110,""-\d+(.*)|--\d+(.*)"","""")"),"SAINT-GENIX-SUR-GUIERS")</f>
        <v>SAINT-GENIX-SUR-GUIERS</v>
      </c>
      <c r="E13110" s="38" t="s">
        <v>306</v>
      </c>
      <c r="F13110" s="38" t="s">
        <v>102</v>
      </c>
      <c r="G13110" s="49" t="str">
        <f t="shared" si="1"/>
        <v>73240</v>
      </c>
      <c r="H13110" s="49">
        <f t="shared" si="2"/>
        <v>73236</v>
      </c>
    </row>
    <row r="13111">
      <c r="A13111" s="48" t="s">
        <v>3341</v>
      </c>
      <c r="B13111" s="38">
        <v>25534.0</v>
      </c>
      <c r="C13111" s="38" t="s">
        <v>17334</v>
      </c>
      <c r="D13111" s="38" t="str">
        <f>IFERROR(__xludf.DUMMYFUNCTION("REGEXREPLACE(C13111,""-\d+(.*)|--\d+(.*)"","""")"),"SARRAGEOIS")</f>
        <v>SARRAGEOIS</v>
      </c>
      <c r="E13111" s="38" t="s">
        <v>213</v>
      </c>
      <c r="F13111" s="38" t="s">
        <v>214</v>
      </c>
      <c r="G13111" s="49" t="str">
        <f t="shared" si="1"/>
        <v>25240</v>
      </c>
      <c r="H13111" s="49">
        <f t="shared" si="2"/>
        <v>25534</v>
      </c>
    </row>
    <row r="13112">
      <c r="A13112" s="48" t="s">
        <v>8570</v>
      </c>
      <c r="B13112" s="38">
        <v>68108.0</v>
      </c>
      <c r="C13112" s="38" t="s">
        <v>17335</v>
      </c>
      <c r="D13112" s="38" t="str">
        <f>IFERROR(__xludf.DUMMYFUNCTION("REGEXREPLACE(C13112,""-\d+(.*)|--\d+(.*)"","""")"),"GRENTZINGEN")</f>
        <v>GRENTZINGEN</v>
      </c>
      <c r="E13112" s="38" t="s">
        <v>150</v>
      </c>
      <c r="F13112" s="38" t="s">
        <v>151</v>
      </c>
      <c r="G13112" s="49" t="str">
        <f t="shared" si="1"/>
        <v>68960</v>
      </c>
      <c r="H13112" s="49">
        <f t="shared" si="2"/>
        <v>68108</v>
      </c>
    </row>
    <row r="13113">
      <c r="A13113" s="48" t="s">
        <v>13884</v>
      </c>
      <c r="B13113" s="38">
        <v>14286.0</v>
      </c>
      <c r="C13113" s="38" t="s">
        <v>17336</v>
      </c>
      <c r="D13113" s="38" t="str">
        <f>IFERROR(__xludf.DUMMYFUNCTION("REGEXREPLACE(C13113,""-\d+(.*)|--\d+(.*)"","""")"),"FOURNEVILLE")</f>
        <v>FOURNEVILLE</v>
      </c>
      <c r="E13113" s="38" t="s">
        <v>137</v>
      </c>
      <c r="F13113" s="38" t="s">
        <v>138</v>
      </c>
      <c r="G13113" s="49" t="str">
        <f t="shared" si="1"/>
        <v>14600</v>
      </c>
      <c r="H13113" s="49">
        <f t="shared" si="2"/>
        <v>14286</v>
      </c>
    </row>
    <row r="13114">
      <c r="A13114" s="48" t="s">
        <v>5953</v>
      </c>
      <c r="B13114" s="38">
        <v>76422.0</v>
      </c>
      <c r="C13114" s="38" t="s">
        <v>17337</v>
      </c>
      <c r="D13114" s="38" t="str">
        <f>IFERROR(__xludf.DUMMYFUNCTION("REGEXREPLACE(C13114,""-\d+(.*)|--\d+(.*)"","""")"),"MELLEVILLE")</f>
        <v>MELLEVILLE</v>
      </c>
      <c r="E13114" s="38" t="s">
        <v>133</v>
      </c>
      <c r="F13114" s="38" t="s">
        <v>134</v>
      </c>
      <c r="G13114" s="49" t="str">
        <f t="shared" si="1"/>
        <v>76260</v>
      </c>
      <c r="H13114" s="49">
        <f t="shared" si="2"/>
        <v>76422</v>
      </c>
    </row>
    <row r="13115">
      <c r="A13115" s="48" t="s">
        <v>2374</v>
      </c>
      <c r="B13115" s="38">
        <v>58100.0</v>
      </c>
      <c r="C13115" s="38" t="s">
        <v>17338</v>
      </c>
      <c r="D13115" s="38" t="str">
        <f>IFERROR(__xludf.DUMMYFUNCTION("REGEXREPLACE(C13115,""-\d+(.*)|--\d+(.*)"","""")"),"DOMPIERRE-SUR-HERY")</f>
        <v>DOMPIERRE-SUR-HERY</v>
      </c>
      <c r="E13115" s="38" t="s">
        <v>219</v>
      </c>
      <c r="F13115" s="38" t="s">
        <v>106</v>
      </c>
      <c r="G13115" s="49" t="str">
        <f t="shared" si="1"/>
        <v>58420</v>
      </c>
      <c r="H13115" s="49">
        <f t="shared" si="2"/>
        <v>58100</v>
      </c>
    </row>
    <row r="13116">
      <c r="A13116" s="48" t="s">
        <v>1383</v>
      </c>
      <c r="B13116" s="38">
        <v>72044.0</v>
      </c>
      <c r="C13116" s="38" t="s">
        <v>15281</v>
      </c>
      <c r="D13116" s="38" t="str">
        <f>IFERROR(__xludf.DUMMYFUNCTION("REGEXREPLACE(C13116,""-\d+(.*)|--\d+(.*)"","""")"),"BOUSSE")</f>
        <v>BOUSSE</v>
      </c>
      <c r="E13116" s="38" t="s">
        <v>521</v>
      </c>
      <c r="F13116" s="38" t="s">
        <v>180</v>
      </c>
      <c r="G13116" s="49" t="str">
        <f t="shared" si="1"/>
        <v>72270</v>
      </c>
      <c r="H13116" s="49">
        <f t="shared" si="2"/>
        <v>72044</v>
      </c>
    </row>
    <row r="13117">
      <c r="A13117" s="48" t="s">
        <v>5302</v>
      </c>
      <c r="B13117" s="38">
        <v>14417.0</v>
      </c>
      <c r="C13117" s="38" t="s">
        <v>17339</v>
      </c>
      <c r="D13117" s="38" t="str">
        <f>IFERROR(__xludf.DUMMYFUNCTION("REGEXREPLACE(C13117,""-\d+(.*)|--\d+(.*)"","""")"),"MESNIL-CLINCHAMPS")</f>
        <v>MESNIL-CLINCHAMPS</v>
      </c>
      <c r="E13117" s="38" t="s">
        <v>137</v>
      </c>
      <c r="F13117" s="38" t="s">
        <v>138</v>
      </c>
      <c r="G13117" s="49" t="str">
        <f t="shared" si="1"/>
        <v>14380</v>
      </c>
      <c r="H13117" s="49">
        <f t="shared" si="2"/>
        <v>14417</v>
      </c>
    </row>
    <row r="13118">
      <c r="A13118" s="48" t="s">
        <v>17340</v>
      </c>
      <c r="B13118" s="38">
        <v>62013.0</v>
      </c>
      <c r="C13118" s="38" t="s">
        <v>17341</v>
      </c>
      <c r="D13118" s="38" t="str">
        <f>IFERROR(__xludf.DUMMYFUNCTION("REGEXREPLACE(C13118,""-\d+(.*)|--\d+(.*)"","""")"),"AGNY")</f>
        <v>AGNY</v>
      </c>
      <c r="E13118" s="38" t="s">
        <v>109</v>
      </c>
      <c r="F13118" s="38" t="s">
        <v>86</v>
      </c>
      <c r="G13118" s="49" t="str">
        <f t="shared" si="1"/>
        <v>62217</v>
      </c>
      <c r="H13118" s="49">
        <f t="shared" si="2"/>
        <v>62013</v>
      </c>
    </row>
    <row r="13119">
      <c r="A13119" s="48" t="s">
        <v>7602</v>
      </c>
      <c r="B13119" s="38">
        <v>11113.0</v>
      </c>
      <c r="C13119" s="38" t="s">
        <v>17342</v>
      </c>
      <c r="D13119" s="38" t="str">
        <f>IFERROR(__xludf.DUMMYFUNCTION("REGEXREPLACE(C13119,""-\d+(.*)|--\d+(.*)"","""")"),"CUCUGNAN")</f>
        <v>CUCUGNAN</v>
      </c>
      <c r="E13119" s="38" t="s">
        <v>278</v>
      </c>
      <c r="F13119" s="38" t="s">
        <v>119</v>
      </c>
      <c r="G13119" s="49" t="str">
        <f t="shared" si="1"/>
        <v>11350</v>
      </c>
      <c r="H13119" s="49">
        <f t="shared" si="2"/>
        <v>11113</v>
      </c>
    </row>
    <row r="13120">
      <c r="A13120" s="48" t="s">
        <v>4116</v>
      </c>
      <c r="B13120" s="38">
        <v>18153.0</v>
      </c>
      <c r="C13120" s="38" t="s">
        <v>17343</v>
      </c>
      <c r="D13120" s="38" t="str">
        <f>IFERROR(__xludf.DUMMYFUNCTION("REGEXREPLACE(C13120,""-\d+(.*)|--\d+(.*)"","""")"),"MORLAC")</f>
        <v>MORLAC</v>
      </c>
      <c r="E13120" s="38" t="s">
        <v>504</v>
      </c>
      <c r="F13120" s="38" t="s">
        <v>123</v>
      </c>
      <c r="G13120" s="49" t="str">
        <f t="shared" si="1"/>
        <v>18170</v>
      </c>
      <c r="H13120" s="49">
        <f t="shared" si="2"/>
        <v>18153</v>
      </c>
    </row>
    <row r="13121">
      <c r="A13121" s="48" t="s">
        <v>14644</v>
      </c>
      <c r="B13121" s="38">
        <v>6116.0</v>
      </c>
      <c r="C13121" s="38" t="s">
        <v>17344</v>
      </c>
      <c r="D13121" s="38" t="str">
        <f>IFERROR(__xludf.DUMMYFUNCTION("REGEXREPLACE(C13121,""-\d+(.*)|--\d+(.*)"","""")"),"SAINT-AUBAN")</f>
        <v>SAINT-AUBAN</v>
      </c>
      <c r="E13121" s="38" t="s">
        <v>227</v>
      </c>
      <c r="F13121" s="38" t="s">
        <v>228</v>
      </c>
      <c r="G13121" s="49" t="str">
        <f t="shared" si="1"/>
        <v>06850</v>
      </c>
      <c r="H13121" s="49" t="str">
        <f t="shared" si="2"/>
        <v>06116</v>
      </c>
    </row>
    <row r="13122">
      <c r="A13122" s="48" t="s">
        <v>1889</v>
      </c>
      <c r="B13122" s="38">
        <v>25034.0</v>
      </c>
      <c r="C13122" s="38" t="s">
        <v>17345</v>
      </c>
      <c r="D13122" s="38" t="str">
        <f>IFERROR(__xludf.DUMMYFUNCTION("REGEXREPLACE(C13122,""-\d+(.*)|--\d+(.*)"","""")"),"AUXON-DESSOUS")</f>
        <v>AUXON-DESSOUS</v>
      </c>
      <c r="E13122" s="38" t="s">
        <v>213</v>
      </c>
      <c r="F13122" s="38" t="s">
        <v>214</v>
      </c>
      <c r="G13122" s="49" t="str">
        <f t="shared" si="1"/>
        <v>25870</v>
      </c>
      <c r="H13122" s="49">
        <f t="shared" si="2"/>
        <v>25034</v>
      </c>
    </row>
    <row r="13123">
      <c r="A13123" s="48" t="s">
        <v>1106</v>
      </c>
      <c r="B13123" s="38">
        <v>14505.0</v>
      </c>
      <c r="C13123" s="38" t="s">
        <v>17346</v>
      </c>
      <c r="D13123" s="38" t="str">
        <f>IFERROR(__xludf.DUMMYFUNCTION("REGEXREPLACE(C13123,""-\d+(.*)|--\d+(.*)"","""")"),"PLACY")</f>
        <v>PLACY</v>
      </c>
      <c r="E13123" s="38" t="s">
        <v>137</v>
      </c>
      <c r="F13123" s="38" t="s">
        <v>138</v>
      </c>
      <c r="G13123" s="49" t="str">
        <f t="shared" si="1"/>
        <v>14220</v>
      </c>
      <c r="H13123" s="49">
        <f t="shared" si="2"/>
        <v>14505</v>
      </c>
    </row>
    <row r="13124">
      <c r="A13124" s="48" t="s">
        <v>1332</v>
      </c>
      <c r="B13124" s="38">
        <v>51355.0</v>
      </c>
      <c r="C13124" s="38" t="s">
        <v>17347</v>
      </c>
      <c r="D13124" s="38" t="str">
        <f>IFERROR(__xludf.DUMMYFUNCTION("REGEXREPLACE(C13124,""-\d+(.*)|--\d+(.*)"","""")"),"MASSIGES")</f>
        <v>MASSIGES</v>
      </c>
      <c r="E13124" s="38" t="s">
        <v>129</v>
      </c>
      <c r="F13124" s="38" t="s">
        <v>130</v>
      </c>
      <c r="G13124" s="49" t="str">
        <f t="shared" si="1"/>
        <v>51800</v>
      </c>
      <c r="H13124" s="49">
        <f t="shared" si="2"/>
        <v>51355</v>
      </c>
    </row>
    <row r="13125">
      <c r="A13125" s="48" t="s">
        <v>633</v>
      </c>
      <c r="B13125" s="38">
        <v>85013.0</v>
      </c>
      <c r="C13125" s="38" t="s">
        <v>17348</v>
      </c>
      <c r="D13125" s="38" t="str">
        <f>IFERROR(__xludf.DUMMYFUNCTION("REGEXREPLACE(C13125,""-\d+(.*)|--\d+(.*)"","""")"),"BAZOGES-EN-PAILLERS")</f>
        <v>BAZOGES-EN-PAILLERS</v>
      </c>
      <c r="E13125" s="38" t="s">
        <v>179</v>
      </c>
      <c r="F13125" s="38" t="s">
        <v>180</v>
      </c>
      <c r="G13125" s="49" t="str">
        <f t="shared" si="1"/>
        <v>85130</v>
      </c>
      <c r="H13125" s="49">
        <f t="shared" si="2"/>
        <v>85013</v>
      </c>
    </row>
    <row r="13126">
      <c r="A13126" s="48" t="s">
        <v>771</v>
      </c>
      <c r="B13126" s="38">
        <v>60621.0</v>
      </c>
      <c r="C13126" s="38" t="s">
        <v>17349</v>
      </c>
      <c r="D13126" s="38" t="str">
        <f>IFERROR(__xludf.DUMMYFUNCTION("REGEXREPLACE(C13126,""-\d+(.*)|--\d+(.*)"","""")"),"SOLENTE")</f>
        <v>SOLENTE</v>
      </c>
      <c r="E13126" s="38" t="s">
        <v>112</v>
      </c>
      <c r="F13126" s="38" t="s">
        <v>113</v>
      </c>
      <c r="G13126" s="49" t="str">
        <f t="shared" si="1"/>
        <v>60310</v>
      </c>
      <c r="H13126" s="49">
        <f t="shared" si="2"/>
        <v>60621</v>
      </c>
    </row>
    <row r="13127">
      <c r="A13127" s="48" t="s">
        <v>3681</v>
      </c>
      <c r="B13127" s="38">
        <v>39217.0</v>
      </c>
      <c r="C13127" s="38" t="s">
        <v>16507</v>
      </c>
      <c r="D13127" s="38" t="str">
        <f>IFERROR(__xludf.DUMMYFUNCTION("REGEXREPLACE(C13127,""-\d+(.*)|--\d+(.*)"","""")"),"L'ETOILE")</f>
        <v>L'ETOILE</v>
      </c>
      <c r="E13127" s="38" t="s">
        <v>400</v>
      </c>
      <c r="F13127" s="38" t="s">
        <v>214</v>
      </c>
      <c r="G13127" s="49" t="str">
        <f t="shared" si="1"/>
        <v>39570</v>
      </c>
      <c r="H13127" s="49">
        <f t="shared" si="2"/>
        <v>39217</v>
      </c>
    </row>
    <row r="13128">
      <c r="A13128" s="48" t="s">
        <v>3488</v>
      </c>
      <c r="B13128" s="38">
        <v>67530.0</v>
      </c>
      <c r="C13128" s="38" t="s">
        <v>17350</v>
      </c>
      <c r="D13128" s="38" t="str">
        <f>IFERROR(__xludf.DUMMYFUNCTION("REGEXREPLACE(C13128,""-\d+(.*)|--\d+(.*)"","""")"),"WICKERSHEIM-WILSHAUSEN")</f>
        <v>WICKERSHEIM-WILSHAUSEN</v>
      </c>
      <c r="E13128" s="38" t="s">
        <v>210</v>
      </c>
      <c r="F13128" s="38" t="s">
        <v>151</v>
      </c>
      <c r="G13128" s="49" t="str">
        <f t="shared" si="1"/>
        <v>67270</v>
      </c>
      <c r="H13128" s="49">
        <f t="shared" si="2"/>
        <v>67530</v>
      </c>
    </row>
    <row r="13129">
      <c r="A13129" s="48" t="s">
        <v>3681</v>
      </c>
      <c r="B13129" s="38">
        <v>39537.0</v>
      </c>
      <c r="C13129" s="38" t="s">
        <v>17351</v>
      </c>
      <c r="D13129" s="38" t="str">
        <f>IFERROR(__xludf.DUMMYFUNCTION("REGEXREPLACE(C13129,""-\d+(.*)|--\d+(.*)"","""")"),"TRENAL")</f>
        <v>TRENAL</v>
      </c>
      <c r="E13129" s="38" t="s">
        <v>400</v>
      </c>
      <c r="F13129" s="38" t="s">
        <v>214</v>
      </c>
      <c r="G13129" s="49" t="str">
        <f t="shared" si="1"/>
        <v>39570</v>
      </c>
      <c r="H13129" s="49">
        <f t="shared" si="2"/>
        <v>39537</v>
      </c>
    </row>
    <row r="13130">
      <c r="A13130" s="48" t="s">
        <v>938</v>
      </c>
      <c r="B13130" s="38">
        <v>9105.0</v>
      </c>
      <c r="C13130" s="38" t="s">
        <v>17352</v>
      </c>
      <c r="D13130" s="38" t="str">
        <f>IFERROR(__xludf.DUMMYFUNCTION("REGEXREPLACE(C13130,""-\d+(.*)|--\d+(.*)"","""")"),"DAUMAZAN-SUR-ARIZE")</f>
        <v>DAUMAZAN-SUR-ARIZE</v>
      </c>
      <c r="E13130" s="38" t="s">
        <v>238</v>
      </c>
      <c r="F13130" s="38" t="s">
        <v>94</v>
      </c>
      <c r="G13130" s="49" t="str">
        <f t="shared" si="1"/>
        <v>09350</v>
      </c>
      <c r="H13130" s="49" t="str">
        <f t="shared" si="2"/>
        <v>09105</v>
      </c>
    </row>
    <row r="13131">
      <c r="A13131" s="48" t="s">
        <v>1781</v>
      </c>
      <c r="B13131" s="38">
        <v>27131.0</v>
      </c>
      <c r="C13131" s="38" t="s">
        <v>17353</v>
      </c>
      <c r="D13131" s="38" t="str">
        <f>IFERROR(__xludf.DUMMYFUNCTION("REGEXREPLACE(C13131,""-\d+(.*)|--\d+(.*)"","""")"),"CARSIX")</f>
        <v>CARSIX</v>
      </c>
      <c r="E13131" s="38" t="s">
        <v>241</v>
      </c>
      <c r="F13131" s="38" t="s">
        <v>134</v>
      </c>
      <c r="G13131" s="49" t="str">
        <f t="shared" si="1"/>
        <v>27300</v>
      </c>
      <c r="H13131" s="49">
        <f t="shared" si="2"/>
        <v>27131</v>
      </c>
    </row>
    <row r="13132">
      <c r="A13132" s="48" t="s">
        <v>7423</v>
      </c>
      <c r="B13132" s="38">
        <v>22338.0</v>
      </c>
      <c r="C13132" s="38" t="s">
        <v>17354</v>
      </c>
      <c r="D13132" s="38" t="str">
        <f>IFERROR(__xludf.DUMMYFUNCTION("REGEXREPLACE(C13132,""-\d+(.*)|--\d+(.*)"","""")"),"SQUIFFIEC")</f>
        <v>SQUIFFIEC</v>
      </c>
      <c r="E13132" s="38" t="s">
        <v>89</v>
      </c>
      <c r="F13132" s="38" t="s">
        <v>90</v>
      </c>
      <c r="G13132" s="49" t="str">
        <f t="shared" si="1"/>
        <v>22200</v>
      </c>
      <c r="H13132" s="49">
        <f t="shared" si="2"/>
        <v>22338</v>
      </c>
    </row>
    <row r="13133">
      <c r="A13133" s="48" t="s">
        <v>1501</v>
      </c>
      <c r="B13133" s="38">
        <v>39130.0</v>
      </c>
      <c r="C13133" s="38" t="s">
        <v>17355</v>
      </c>
      <c r="D13133" s="38" t="str">
        <f>IFERROR(__xludf.DUMMYFUNCTION("REGEXREPLACE(C13133,""-\d+(.*)|--\d+(.*)"","""")"),"CHAUX-DES-PRES")</f>
        <v>CHAUX-DES-PRES</v>
      </c>
      <c r="E13133" s="38" t="s">
        <v>400</v>
      </c>
      <c r="F13133" s="38" t="s">
        <v>214</v>
      </c>
      <c r="G13133" s="49" t="str">
        <f t="shared" si="1"/>
        <v>39150</v>
      </c>
      <c r="H13133" s="49">
        <f t="shared" si="2"/>
        <v>39130</v>
      </c>
    </row>
    <row r="13134">
      <c r="A13134" s="48" t="s">
        <v>17356</v>
      </c>
      <c r="B13134" s="38">
        <v>29265.0</v>
      </c>
      <c r="C13134" s="38" t="s">
        <v>17357</v>
      </c>
      <c r="D13134" s="38" t="str">
        <f>IFERROR(__xludf.DUMMYFUNCTION("REGEXREPLACE(C13134,""-\d+(.*)|--\d+(.*)"","""")"),"SAINTE-SEVE")</f>
        <v>SAINTE-SEVE</v>
      </c>
      <c r="E13134" s="38" t="s">
        <v>176</v>
      </c>
      <c r="F13134" s="38" t="s">
        <v>90</v>
      </c>
      <c r="G13134" s="49" t="str">
        <f t="shared" si="1"/>
        <v>29600</v>
      </c>
      <c r="H13134" s="49">
        <f t="shared" si="2"/>
        <v>29265</v>
      </c>
    </row>
    <row r="13135">
      <c r="A13135" s="48" t="s">
        <v>2447</v>
      </c>
      <c r="B13135" s="38">
        <v>42004.0</v>
      </c>
      <c r="C13135" s="38" t="s">
        <v>17358</v>
      </c>
      <c r="D13135" s="38" t="str">
        <f>IFERROR(__xludf.DUMMYFUNCTION("REGEXREPLACE(C13135,""-\d+(.*)|--\d+(.*)"","""")"),"AMIONS")</f>
        <v>AMIONS</v>
      </c>
      <c r="E13135" s="38" t="s">
        <v>166</v>
      </c>
      <c r="F13135" s="38" t="s">
        <v>102</v>
      </c>
      <c r="G13135" s="49" t="str">
        <f t="shared" si="1"/>
        <v>42260</v>
      </c>
      <c r="H13135" s="49">
        <f t="shared" si="2"/>
        <v>42004</v>
      </c>
    </row>
    <row r="13136">
      <c r="A13136" s="48" t="s">
        <v>5735</v>
      </c>
      <c r="B13136" s="38">
        <v>2521.0</v>
      </c>
      <c r="C13136" s="38" t="s">
        <v>17359</v>
      </c>
      <c r="D13136" s="38" t="str">
        <f>IFERROR(__xludf.DUMMYFUNCTION("REGEXREPLACE(C13136,""-\d+(.*)|--\d+(.*)"","""")"),"MONTREUIL-AUX-LIONS")</f>
        <v>MONTREUIL-AUX-LIONS</v>
      </c>
      <c r="E13136" s="38" t="s">
        <v>191</v>
      </c>
      <c r="F13136" s="38" t="s">
        <v>113</v>
      </c>
      <c r="G13136" s="49" t="str">
        <f t="shared" si="1"/>
        <v>02310</v>
      </c>
      <c r="H13136" s="49" t="str">
        <f t="shared" si="2"/>
        <v>02521</v>
      </c>
    </row>
    <row r="13137">
      <c r="A13137" s="48" t="s">
        <v>6387</v>
      </c>
      <c r="B13137" s="38">
        <v>2051.0</v>
      </c>
      <c r="C13137" s="38" t="s">
        <v>17360</v>
      </c>
      <c r="D13137" s="38" t="str">
        <f>IFERROR(__xludf.DUMMYFUNCTION("REGEXREPLACE(C13137,""-\d+(.*)|--\d+(.*)"","""")"),"BARZY-SUR-MARNE")</f>
        <v>BARZY-SUR-MARNE</v>
      </c>
      <c r="E13137" s="38" t="s">
        <v>191</v>
      </c>
      <c r="F13137" s="38" t="s">
        <v>113</v>
      </c>
      <c r="G13137" s="49" t="str">
        <f t="shared" si="1"/>
        <v>02850</v>
      </c>
      <c r="H13137" s="49" t="str">
        <f t="shared" si="2"/>
        <v>02051</v>
      </c>
    </row>
    <row r="13138">
      <c r="A13138" s="48" t="s">
        <v>8642</v>
      </c>
      <c r="B13138" s="38" t="s">
        <v>17361</v>
      </c>
      <c r="C13138" s="38" t="s">
        <v>17362</v>
      </c>
      <c r="D13138" s="38" t="str">
        <f>IFERROR(__xludf.DUMMYFUNCTION("REGEXREPLACE(C13138,""-\d+(.*)|--\d+(.*)"","""")"),"CASABIANCA")</f>
        <v>CASABIANCA</v>
      </c>
      <c r="E13138" s="38" t="s">
        <v>743</v>
      </c>
      <c r="F13138" s="38" t="s">
        <v>607</v>
      </c>
      <c r="G13138" s="49" t="str">
        <f t="shared" si="1"/>
        <v>20237</v>
      </c>
      <c r="H13138" s="49" t="str">
        <f t="shared" si="2"/>
        <v>2B069</v>
      </c>
    </row>
    <row r="13139">
      <c r="A13139" s="48" t="s">
        <v>17363</v>
      </c>
      <c r="B13139" s="38">
        <v>27474.0</v>
      </c>
      <c r="C13139" s="38" t="s">
        <v>17364</v>
      </c>
      <c r="D13139" s="38" t="str">
        <f>IFERROR(__xludf.DUMMYFUNCTION("REGEXREPLACE(C13139,""-\d+(.*)|--\d+(.*)"","""")"),"POSES")</f>
        <v>POSES</v>
      </c>
      <c r="E13139" s="38" t="s">
        <v>241</v>
      </c>
      <c r="F13139" s="38" t="s">
        <v>134</v>
      </c>
      <c r="G13139" s="49" t="str">
        <f t="shared" si="1"/>
        <v>27740</v>
      </c>
      <c r="H13139" s="49">
        <f t="shared" si="2"/>
        <v>27474</v>
      </c>
    </row>
    <row r="13140">
      <c r="A13140" s="48" t="s">
        <v>1201</v>
      </c>
      <c r="B13140" s="38">
        <v>78314.0</v>
      </c>
      <c r="C13140" s="38" t="s">
        <v>17365</v>
      </c>
      <c r="D13140" s="38" t="str">
        <f>IFERROR(__xludf.DUMMYFUNCTION("REGEXREPLACE(C13140,""-\d+(.*)|--\d+(.*)"","""")"),"ISSOU")</f>
        <v>ISSOU</v>
      </c>
      <c r="E13140" s="38" t="s">
        <v>362</v>
      </c>
      <c r="F13140" s="38" t="s">
        <v>245</v>
      </c>
      <c r="G13140" s="49" t="str">
        <f t="shared" si="1"/>
        <v>78440</v>
      </c>
      <c r="H13140" s="49">
        <f t="shared" si="2"/>
        <v>78314</v>
      </c>
    </row>
    <row r="13141">
      <c r="A13141" s="48" t="s">
        <v>1151</v>
      </c>
      <c r="B13141" s="38">
        <v>58265.0</v>
      </c>
      <c r="C13141" s="38" t="s">
        <v>17366</v>
      </c>
      <c r="D13141" s="38" t="str">
        <f>IFERROR(__xludf.DUMMYFUNCTION("REGEXREPLACE(C13141,""-\d+(.*)|--\d+(.*)"","""")"),"SAINT-QUENTIN-SUR-NOHAIN")</f>
        <v>SAINT-QUENTIN-SUR-NOHAIN</v>
      </c>
      <c r="E13141" s="38" t="s">
        <v>219</v>
      </c>
      <c r="F13141" s="38" t="s">
        <v>106</v>
      </c>
      <c r="G13141" s="49" t="str">
        <f t="shared" si="1"/>
        <v>58150</v>
      </c>
      <c r="H13141" s="49">
        <f t="shared" si="2"/>
        <v>58265</v>
      </c>
    </row>
    <row r="13142">
      <c r="A13142" s="48" t="s">
        <v>17367</v>
      </c>
      <c r="B13142" s="38">
        <v>71153.0</v>
      </c>
      <c r="C13142" s="38" t="s">
        <v>17368</v>
      </c>
      <c r="D13142" s="38" t="str">
        <f>IFERROR(__xludf.DUMMYFUNCTION("REGEXREPLACE(C13142,""-\d+(.*)|--\d+(.*)"","""")"),"LE CREUSOT")</f>
        <v>LE CREUSOT</v>
      </c>
      <c r="E13142" s="38" t="s">
        <v>344</v>
      </c>
      <c r="F13142" s="38" t="s">
        <v>106</v>
      </c>
      <c r="G13142" s="49" t="str">
        <f t="shared" si="1"/>
        <v>71200</v>
      </c>
      <c r="H13142" s="49">
        <f t="shared" si="2"/>
        <v>71153</v>
      </c>
    </row>
    <row r="13143">
      <c r="A13143" s="48" t="s">
        <v>5642</v>
      </c>
      <c r="B13143" s="38">
        <v>73146.0</v>
      </c>
      <c r="C13143" s="38" t="s">
        <v>17369</v>
      </c>
      <c r="D13143" s="38" t="str">
        <f>IFERROR(__xludf.DUMMYFUNCTION("REGEXREPLACE(C13143,""-\d+(.*)|--\d+(.*)"","""")"),"LESCHERAINES")</f>
        <v>LESCHERAINES</v>
      </c>
      <c r="E13143" s="38" t="s">
        <v>306</v>
      </c>
      <c r="F13143" s="38" t="s">
        <v>102</v>
      </c>
      <c r="G13143" s="49" t="str">
        <f t="shared" si="1"/>
        <v>73340</v>
      </c>
      <c r="H13143" s="49">
        <f t="shared" si="2"/>
        <v>73146</v>
      </c>
    </row>
    <row r="13144">
      <c r="A13144" s="48" t="s">
        <v>12660</v>
      </c>
      <c r="B13144" s="38">
        <v>29020.0</v>
      </c>
      <c r="C13144" s="38" t="s">
        <v>17370</v>
      </c>
      <c r="D13144" s="38" t="str">
        <f>IFERROR(__xludf.DUMMYFUNCTION("REGEXREPLACE(C13144,""-\d+(.*)|--\d+(.*)"","""")"),"BRIEC")</f>
        <v>BRIEC</v>
      </c>
      <c r="E13144" s="38" t="s">
        <v>176</v>
      </c>
      <c r="F13144" s="38" t="s">
        <v>90</v>
      </c>
      <c r="G13144" s="49" t="str">
        <f t="shared" si="1"/>
        <v>29510</v>
      </c>
      <c r="H13144" s="49">
        <f t="shared" si="2"/>
        <v>29020</v>
      </c>
    </row>
    <row r="13145">
      <c r="A13145" s="48" t="s">
        <v>1036</v>
      </c>
      <c r="B13145" s="38">
        <v>57381.0</v>
      </c>
      <c r="C13145" s="38" t="s">
        <v>17371</v>
      </c>
      <c r="D13145" s="38" t="str">
        <f>IFERROR(__xludf.DUMMYFUNCTION("REGEXREPLACE(C13145,""-\d+(.*)|--\d+(.*)"","""")"),"LANEUVEVILLE-EN-SAULNOIS")</f>
        <v>LANEUVEVILLE-EN-SAULNOIS</v>
      </c>
      <c r="E13145" s="38" t="s">
        <v>303</v>
      </c>
      <c r="F13145" s="38" t="s">
        <v>195</v>
      </c>
      <c r="G13145" s="49" t="str">
        <f t="shared" si="1"/>
        <v>57590</v>
      </c>
      <c r="H13145" s="49">
        <f t="shared" si="2"/>
        <v>57381</v>
      </c>
    </row>
    <row r="13146">
      <c r="A13146" s="48" t="s">
        <v>12777</v>
      </c>
      <c r="B13146" s="38">
        <v>73246.0</v>
      </c>
      <c r="C13146" s="38" t="s">
        <v>17372</v>
      </c>
      <c r="D13146" s="38" t="str">
        <f>IFERROR(__xludf.DUMMYFUNCTION("REGEXREPLACE(C13146,""-\d+(.*)|--\d+(.*)"","""")"),"SAINT-JEAN-DE-COUZ")</f>
        <v>SAINT-JEAN-DE-COUZ</v>
      </c>
      <c r="E13146" s="38" t="s">
        <v>306</v>
      </c>
      <c r="F13146" s="38" t="s">
        <v>102</v>
      </c>
      <c r="G13146" s="49" t="str">
        <f t="shared" si="1"/>
        <v>73160</v>
      </c>
      <c r="H13146" s="49">
        <f t="shared" si="2"/>
        <v>73246</v>
      </c>
    </row>
    <row r="13147">
      <c r="A13147" s="48" t="s">
        <v>12015</v>
      </c>
      <c r="B13147" s="38">
        <v>25495.0</v>
      </c>
      <c r="C13147" s="38" t="s">
        <v>17373</v>
      </c>
      <c r="D13147" s="38" t="str">
        <f>IFERROR(__xludf.DUMMYFUNCTION("REGEXREPLACE(C13147,""-\d+(.*)|--\d+(.*)"","""")"),"ROCHE-LEZ-BEAUPRE")</f>
        <v>ROCHE-LEZ-BEAUPRE</v>
      </c>
      <c r="E13147" s="38" t="s">
        <v>213</v>
      </c>
      <c r="F13147" s="38" t="s">
        <v>214</v>
      </c>
      <c r="G13147" s="49" t="str">
        <f t="shared" si="1"/>
        <v>25220</v>
      </c>
      <c r="H13147" s="49">
        <f t="shared" si="2"/>
        <v>25495</v>
      </c>
    </row>
    <row r="13148">
      <c r="A13148" s="48" t="s">
        <v>16647</v>
      </c>
      <c r="B13148" s="38">
        <v>62736.0</v>
      </c>
      <c r="C13148" s="38" t="s">
        <v>17374</v>
      </c>
      <c r="D13148" s="38" t="str">
        <f>IFERROR(__xludf.DUMMYFUNCTION("REGEXREPLACE(C13148,""-\d+(.*)|--\d+(.*)"","""")"),"SAILLY-SUR-LA-LYS")</f>
        <v>SAILLY-SUR-LA-LYS</v>
      </c>
      <c r="E13148" s="38" t="s">
        <v>109</v>
      </c>
      <c r="F13148" s="38" t="s">
        <v>86</v>
      </c>
      <c r="G13148" s="49" t="str">
        <f t="shared" si="1"/>
        <v>62840</v>
      </c>
      <c r="H13148" s="49">
        <f t="shared" si="2"/>
        <v>62736</v>
      </c>
    </row>
    <row r="13149">
      <c r="A13149" s="48" t="s">
        <v>17375</v>
      </c>
      <c r="B13149" s="38">
        <v>62456.0</v>
      </c>
      <c r="C13149" s="38" t="s">
        <v>17376</v>
      </c>
      <c r="D13149" s="38" t="str">
        <f>IFERROR(__xludf.DUMMYFUNCTION("REGEXREPLACE(C13149,""-\d+(.*)|--\d+(.*)"","""")"),"HOUCHIN")</f>
        <v>HOUCHIN</v>
      </c>
      <c r="E13149" s="38" t="s">
        <v>109</v>
      </c>
      <c r="F13149" s="38" t="s">
        <v>86</v>
      </c>
      <c r="G13149" s="49" t="str">
        <f t="shared" si="1"/>
        <v>62620</v>
      </c>
      <c r="H13149" s="49">
        <f t="shared" si="2"/>
        <v>62456</v>
      </c>
    </row>
    <row r="13150">
      <c r="A13150" s="48" t="s">
        <v>2241</v>
      </c>
      <c r="B13150" s="38">
        <v>3314.0</v>
      </c>
      <c r="C13150" s="38" t="s">
        <v>17377</v>
      </c>
      <c r="D13150" s="38" t="str">
        <f>IFERROR(__xludf.DUMMYFUNCTION("REGEXREPLACE(C13150,""-\d+(.*)|--\d+(.*)"","""")"),"VILLEBRET")</f>
        <v>VILLEBRET</v>
      </c>
      <c r="E13150" s="38" t="s">
        <v>160</v>
      </c>
      <c r="F13150" s="38" t="s">
        <v>161</v>
      </c>
      <c r="G13150" s="49" t="str">
        <f t="shared" si="1"/>
        <v>03310</v>
      </c>
      <c r="H13150" s="49" t="str">
        <f t="shared" si="2"/>
        <v>03314</v>
      </c>
    </row>
    <row r="13151">
      <c r="A13151" s="48" t="s">
        <v>17378</v>
      </c>
      <c r="B13151" s="38">
        <v>62510.0</v>
      </c>
      <c r="C13151" s="38" t="s">
        <v>17379</v>
      </c>
      <c r="D13151" s="38" t="str">
        <f>IFERROR(__xludf.DUMMYFUNCTION("REGEXREPLACE(C13151,""-\d+(.*)|--\d+(.*)"","""")"),"LIEVIN")</f>
        <v>LIEVIN</v>
      </c>
      <c r="E13151" s="38" t="s">
        <v>109</v>
      </c>
      <c r="F13151" s="38" t="s">
        <v>86</v>
      </c>
      <c r="G13151" s="49" t="str">
        <f t="shared" si="1"/>
        <v>62800</v>
      </c>
      <c r="H13151" s="49">
        <f t="shared" si="2"/>
        <v>62510</v>
      </c>
    </row>
    <row r="13152">
      <c r="A13152" s="48" t="s">
        <v>1932</v>
      </c>
      <c r="B13152" s="38">
        <v>70581.0</v>
      </c>
      <c r="C13152" s="38" t="s">
        <v>17380</v>
      </c>
      <c r="D13152" s="38" t="str">
        <f>IFERROR(__xludf.DUMMYFUNCTION("REGEXREPLACE(C13152,""-\d+(.*)|--\d+(.*)"","""")"),"VY-LES-LURE")</f>
        <v>VY-LES-LURE</v>
      </c>
      <c r="E13152" s="38" t="s">
        <v>956</v>
      </c>
      <c r="F13152" s="38" t="s">
        <v>214</v>
      </c>
      <c r="G13152" s="49" t="str">
        <f t="shared" si="1"/>
        <v>70200</v>
      </c>
      <c r="H13152" s="49">
        <f t="shared" si="2"/>
        <v>70581</v>
      </c>
    </row>
    <row r="13153">
      <c r="A13153" s="48" t="s">
        <v>16541</v>
      </c>
      <c r="B13153" s="38">
        <v>71386.0</v>
      </c>
      <c r="C13153" s="38" t="s">
        <v>17381</v>
      </c>
      <c r="D13153" s="38" t="str">
        <f>IFERROR(__xludf.DUMMYFUNCTION("REGEXREPLACE(C13153,""-\d+(.*)|--\d+(.*)"","""")"),"SAINT-ANDRE-EN-BRESSE")</f>
        <v>SAINT-ANDRE-EN-BRESSE</v>
      </c>
      <c r="E13153" s="38" t="s">
        <v>344</v>
      </c>
      <c r="F13153" s="38" t="s">
        <v>106</v>
      </c>
      <c r="G13153" s="49" t="str">
        <f t="shared" si="1"/>
        <v>71440</v>
      </c>
      <c r="H13153" s="49">
        <f t="shared" si="2"/>
        <v>71386</v>
      </c>
    </row>
    <row r="13154">
      <c r="A13154" s="48" t="s">
        <v>405</v>
      </c>
      <c r="B13154" s="38">
        <v>79056.0</v>
      </c>
      <c r="C13154" s="38" t="s">
        <v>17382</v>
      </c>
      <c r="D13154" s="38" t="str">
        <f>IFERROR(__xludf.DUMMYFUNCTION("REGEXREPLACE(C13154,""-\d+(.*)|--\d+(.*)"","""")"),"BRION-PRES-THOUET")</f>
        <v>BRION-PRES-THOUET</v>
      </c>
      <c r="E13154" s="38" t="s">
        <v>337</v>
      </c>
      <c r="F13154" s="38" t="s">
        <v>338</v>
      </c>
      <c r="G13154" s="49" t="str">
        <f t="shared" si="1"/>
        <v>79290</v>
      </c>
      <c r="H13154" s="49">
        <f t="shared" si="2"/>
        <v>79056</v>
      </c>
    </row>
    <row r="13155">
      <c r="A13155" s="48" t="s">
        <v>1031</v>
      </c>
      <c r="B13155" s="38">
        <v>2408.0</v>
      </c>
      <c r="C13155" s="38" t="s">
        <v>17383</v>
      </c>
      <c r="D13155" s="38" t="str">
        <f>IFERROR(__xludf.DUMMYFUNCTION("REGEXREPLACE(C13155,""-\d+(.*)|--\d+(.*)"","""")"),"LAON")</f>
        <v>LAON</v>
      </c>
      <c r="E13155" s="38" t="s">
        <v>191</v>
      </c>
      <c r="F13155" s="38" t="s">
        <v>113</v>
      </c>
      <c r="G13155" s="49" t="str">
        <f t="shared" si="1"/>
        <v>02000</v>
      </c>
      <c r="H13155" s="49" t="str">
        <f t="shared" si="2"/>
        <v>02408</v>
      </c>
    </row>
    <row r="13156">
      <c r="A13156" s="48" t="s">
        <v>2968</v>
      </c>
      <c r="B13156" s="38">
        <v>45255.0</v>
      </c>
      <c r="C13156" s="38" t="s">
        <v>17384</v>
      </c>
      <c r="D13156" s="38" t="str">
        <f>IFERROR(__xludf.DUMMYFUNCTION("REGEXREPLACE(C13156,""-\d+(.*)|--\d+(.*)"","""")"),"PREFONTAINES")</f>
        <v>PREFONTAINES</v>
      </c>
      <c r="E13156" s="38" t="s">
        <v>122</v>
      </c>
      <c r="F13156" s="38" t="s">
        <v>123</v>
      </c>
      <c r="G13156" s="49" t="str">
        <f t="shared" si="1"/>
        <v>45490</v>
      </c>
      <c r="H13156" s="49">
        <f t="shared" si="2"/>
        <v>45255</v>
      </c>
    </row>
    <row r="13157">
      <c r="A13157" s="48" t="s">
        <v>9632</v>
      </c>
      <c r="B13157" s="38">
        <v>28340.0</v>
      </c>
      <c r="C13157" s="38" t="s">
        <v>17385</v>
      </c>
      <c r="D13157" s="38" t="str">
        <f>IFERROR(__xludf.DUMMYFUNCTION("REGEXREPLACE(C13157,""-\d+(.*)|--\d+(.*)"","""")"),"SAINT-HILAIRE-SUR-YERRE")</f>
        <v>SAINT-HILAIRE-SUR-YERRE</v>
      </c>
      <c r="E13157" s="38" t="s">
        <v>300</v>
      </c>
      <c r="F13157" s="38" t="s">
        <v>123</v>
      </c>
      <c r="G13157" s="49" t="str">
        <f t="shared" si="1"/>
        <v>28220</v>
      </c>
      <c r="H13157" s="49">
        <f t="shared" si="2"/>
        <v>28340</v>
      </c>
    </row>
    <row r="13158">
      <c r="A13158" s="48" t="s">
        <v>12929</v>
      </c>
      <c r="B13158" s="38">
        <v>73048.0</v>
      </c>
      <c r="C13158" s="38" t="s">
        <v>17386</v>
      </c>
      <c r="D13158" s="38" t="str">
        <f>IFERROR(__xludf.DUMMYFUNCTION("REGEXREPLACE(C13158,""-\d+(.*)|--\d+(.*)"","""")"),"BONVILLARD")</f>
        <v>BONVILLARD</v>
      </c>
      <c r="E13158" s="38" t="s">
        <v>306</v>
      </c>
      <c r="F13158" s="38" t="s">
        <v>102</v>
      </c>
      <c r="G13158" s="49" t="str">
        <f t="shared" si="1"/>
        <v>73460</v>
      </c>
      <c r="H13158" s="49">
        <f t="shared" si="2"/>
        <v>73048</v>
      </c>
    </row>
    <row r="13159">
      <c r="A13159" s="48" t="s">
        <v>2523</v>
      </c>
      <c r="B13159" s="38">
        <v>46310.0</v>
      </c>
      <c r="C13159" s="38" t="s">
        <v>17387</v>
      </c>
      <c r="D13159" s="38" t="str">
        <f>IFERROR(__xludf.DUMMYFUNCTION("REGEXREPLACE(C13159,""-\d+(.*)|--\d+(.*)"","""")"),"SOULOMES")</f>
        <v>SOULOMES</v>
      </c>
      <c r="E13159" s="38" t="s">
        <v>185</v>
      </c>
      <c r="F13159" s="38" t="s">
        <v>94</v>
      </c>
      <c r="G13159" s="49" t="str">
        <f t="shared" si="1"/>
        <v>46240</v>
      </c>
      <c r="H13159" s="49">
        <f t="shared" si="2"/>
        <v>46310</v>
      </c>
    </row>
    <row r="13160">
      <c r="A13160" s="48" t="s">
        <v>3065</v>
      </c>
      <c r="B13160" s="38">
        <v>7012.0</v>
      </c>
      <c r="C13160" s="38" t="s">
        <v>17388</v>
      </c>
      <c r="D13160" s="38" t="str">
        <f>IFERROR(__xludf.DUMMYFUNCTION("REGEXREPLACE(C13160,""-\d+(.*)|--\d+(.*)"","""")"),"ARCENS")</f>
        <v>ARCENS</v>
      </c>
      <c r="E13160" s="38" t="s">
        <v>144</v>
      </c>
      <c r="F13160" s="38" t="s">
        <v>102</v>
      </c>
      <c r="G13160" s="49" t="str">
        <f t="shared" si="1"/>
        <v>07310</v>
      </c>
      <c r="H13160" s="49" t="str">
        <f t="shared" si="2"/>
        <v>07012</v>
      </c>
    </row>
    <row r="13161">
      <c r="A13161" s="48" t="s">
        <v>2208</v>
      </c>
      <c r="B13161" s="38">
        <v>55578.0</v>
      </c>
      <c r="C13161" s="38" t="s">
        <v>17389</v>
      </c>
      <c r="D13161" s="38" t="str">
        <f>IFERROR(__xludf.DUMMYFUNCTION("REGEXREPLACE(C13161,""-\d+(.*)|--\d+(.*)"","""")"),"WARCQ")</f>
        <v>WARCQ</v>
      </c>
      <c r="E13161" s="38" t="s">
        <v>322</v>
      </c>
      <c r="F13161" s="38" t="s">
        <v>195</v>
      </c>
      <c r="G13161" s="49" t="str">
        <f t="shared" si="1"/>
        <v>55400</v>
      </c>
      <c r="H13161" s="49">
        <f t="shared" si="2"/>
        <v>55578</v>
      </c>
    </row>
    <row r="13162">
      <c r="A13162" s="48" t="s">
        <v>1170</v>
      </c>
      <c r="B13162" s="38">
        <v>14206.0</v>
      </c>
      <c r="C13162" s="38" t="s">
        <v>17390</v>
      </c>
      <c r="D13162" s="38" t="str">
        <f>IFERROR(__xludf.DUMMYFUNCTION("REGEXREPLACE(C13162,""-\d+(.*)|--\d+(.*)"","""")"),"CROCY")</f>
        <v>CROCY</v>
      </c>
      <c r="E13162" s="38" t="s">
        <v>137</v>
      </c>
      <c r="F13162" s="38" t="s">
        <v>138</v>
      </c>
      <c r="G13162" s="49" t="str">
        <f t="shared" si="1"/>
        <v>14620</v>
      </c>
      <c r="H13162" s="49">
        <f t="shared" si="2"/>
        <v>14206</v>
      </c>
    </row>
    <row r="13163">
      <c r="A13163" s="48" t="s">
        <v>407</v>
      </c>
      <c r="B13163" s="38">
        <v>71363.0</v>
      </c>
      <c r="C13163" s="38" t="s">
        <v>17391</v>
      </c>
      <c r="D13163" s="38" t="str">
        <f>IFERROR(__xludf.DUMMYFUNCTION("REGEXREPLACE(C13163,""-\d+(.*)|--\d+(.*)"","""")"),"LE PULEY")</f>
        <v>LE PULEY</v>
      </c>
      <c r="E13163" s="38" t="s">
        <v>344</v>
      </c>
      <c r="F13163" s="38" t="s">
        <v>106</v>
      </c>
      <c r="G13163" s="49" t="str">
        <f t="shared" si="1"/>
        <v>71460</v>
      </c>
      <c r="H13163" s="49">
        <f t="shared" si="2"/>
        <v>71363</v>
      </c>
    </row>
    <row r="13164">
      <c r="A13164" s="48" t="s">
        <v>8218</v>
      </c>
      <c r="B13164" s="38">
        <v>80813.0</v>
      </c>
      <c r="C13164" s="38" t="s">
        <v>17392</v>
      </c>
      <c r="D13164" s="38" t="str">
        <f>IFERROR(__xludf.DUMMYFUNCTION("REGEXREPLACE(C13164,""-\d+(.*)|--\d+(.*)"","""")"),"VRAIGNES-LES-HORNOY")</f>
        <v>VRAIGNES-LES-HORNOY</v>
      </c>
      <c r="E13164" s="38" t="s">
        <v>224</v>
      </c>
      <c r="F13164" s="38" t="s">
        <v>113</v>
      </c>
      <c r="G13164" s="49" t="str">
        <f t="shared" si="1"/>
        <v>80640</v>
      </c>
      <c r="H13164" s="49">
        <f t="shared" si="2"/>
        <v>80813</v>
      </c>
    </row>
    <row r="13165">
      <c r="A13165" s="48" t="s">
        <v>1000</v>
      </c>
      <c r="B13165" s="38">
        <v>70001.0</v>
      </c>
      <c r="C13165" s="38" t="s">
        <v>17393</v>
      </c>
      <c r="D13165" s="38" t="str">
        <f>IFERROR(__xludf.DUMMYFUNCTION("REGEXREPLACE(C13165,""-\d+(.*)|--\d+(.*)"","""")"),"ABELCOURT")</f>
        <v>ABELCOURT</v>
      </c>
      <c r="E13165" s="38" t="s">
        <v>956</v>
      </c>
      <c r="F13165" s="38" t="s">
        <v>214</v>
      </c>
      <c r="G13165" s="49" t="str">
        <f t="shared" si="1"/>
        <v>70300</v>
      </c>
      <c r="H13165" s="49">
        <f t="shared" si="2"/>
        <v>70001</v>
      </c>
    </row>
    <row r="13166">
      <c r="A13166" s="48" t="s">
        <v>13291</v>
      </c>
      <c r="B13166" s="38">
        <v>38495.0</v>
      </c>
      <c r="C13166" s="38" t="s">
        <v>17394</v>
      </c>
      <c r="D13166" s="38" t="str">
        <f>IFERROR(__xludf.DUMMYFUNCTION("REGEXREPLACE(C13166,""-\d+(.*)|--\d+(.*)"","""")"),"LA SONE")</f>
        <v>LA SONE</v>
      </c>
      <c r="E13166" s="38" t="s">
        <v>101</v>
      </c>
      <c r="F13166" s="38" t="s">
        <v>102</v>
      </c>
      <c r="G13166" s="49" t="str">
        <f t="shared" si="1"/>
        <v>38840</v>
      </c>
      <c r="H13166" s="49">
        <f t="shared" si="2"/>
        <v>38495</v>
      </c>
    </row>
    <row r="13167">
      <c r="A13167" s="48" t="s">
        <v>9340</v>
      </c>
      <c r="B13167" s="38">
        <v>4106.0</v>
      </c>
      <c r="C13167" s="38" t="s">
        <v>17395</v>
      </c>
      <c r="D13167" s="38" t="str">
        <f>IFERROR(__xludf.DUMMYFUNCTION("REGEXREPLACE(C13167,""-\d+(.*)|--\d+(.*)"","""")"),"LURS")</f>
        <v>LURS</v>
      </c>
      <c r="E13167" s="38" t="s">
        <v>662</v>
      </c>
      <c r="F13167" s="38" t="s">
        <v>228</v>
      </c>
      <c r="G13167" s="49" t="str">
        <f t="shared" si="1"/>
        <v>04700</v>
      </c>
      <c r="H13167" s="49" t="str">
        <f t="shared" si="2"/>
        <v>04106</v>
      </c>
    </row>
    <row r="13168">
      <c r="A13168" s="48" t="s">
        <v>6247</v>
      </c>
      <c r="B13168" s="38">
        <v>26216.0</v>
      </c>
      <c r="C13168" s="38" t="s">
        <v>17396</v>
      </c>
      <c r="D13168" s="38" t="str">
        <f>IFERROR(__xludf.DUMMYFUNCTION("REGEXREPLACE(C13168,""-\d+(.*)|--\d+(.*)"","""")"),"LA MOTTE-DE-GALAURE")</f>
        <v>LA MOTTE-DE-GALAURE</v>
      </c>
      <c r="E13168" s="38" t="s">
        <v>126</v>
      </c>
      <c r="F13168" s="38" t="s">
        <v>102</v>
      </c>
      <c r="G13168" s="49" t="str">
        <f t="shared" si="1"/>
        <v>26240</v>
      </c>
      <c r="H13168" s="49">
        <f t="shared" si="2"/>
        <v>26216</v>
      </c>
    </row>
    <row r="13169">
      <c r="A13169" s="48" t="s">
        <v>2547</v>
      </c>
      <c r="B13169" s="38">
        <v>8176.0</v>
      </c>
      <c r="C13169" s="38" t="s">
        <v>17397</v>
      </c>
      <c r="D13169" s="38" t="str">
        <f>IFERROR(__xludf.DUMMYFUNCTION("REGEXREPLACE(C13169,""-\d+(.*)|--\d+(.*)"","""")"),"FOSSE")</f>
        <v>FOSSE</v>
      </c>
      <c r="E13169" s="38" t="s">
        <v>327</v>
      </c>
      <c r="F13169" s="38" t="s">
        <v>130</v>
      </c>
      <c r="G13169" s="49" t="str">
        <f t="shared" si="1"/>
        <v>08240</v>
      </c>
      <c r="H13169" s="49" t="str">
        <f t="shared" si="2"/>
        <v>08176</v>
      </c>
    </row>
    <row r="13170">
      <c r="A13170" s="48" t="s">
        <v>4644</v>
      </c>
      <c r="B13170" s="38">
        <v>46005.0</v>
      </c>
      <c r="C13170" s="38" t="s">
        <v>17398</v>
      </c>
      <c r="D13170" s="38" t="str">
        <f>IFERROR(__xludf.DUMMYFUNCTION("REGEXREPLACE(C13170,""-\d+(.*)|--\d+(.*)"","""")"),"ANGLARS-JUILLAC")</f>
        <v>ANGLARS-JUILLAC</v>
      </c>
      <c r="E13170" s="38" t="s">
        <v>185</v>
      </c>
      <c r="F13170" s="38" t="s">
        <v>94</v>
      </c>
      <c r="G13170" s="49" t="str">
        <f t="shared" si="1"/>
        <v>46140</v>
      </c>
      <c r="H13170" s="49">
        <f t="shared" si="2"/>
        <v>46005</v>
      </c>
    </row>
    <row r="13171">
      <c r="A13171" s="48" t="s">
        <v>17399</v>
      </c>
      <c r="B13171" s="38">
        <v>41295.0</v>
      </c>
      <c r="C13171" s="38" t="s">
        <v>17400</v>
      </c>
      <c r="D13171" s="38" t="str">
        <f>IFERROR(__xludf.DUMMYFUNCTION("REGEXREPLACE(C13171,""-\d+(.*)|--\d+(.*)"","""")"),"VINEUIL")</f>
        <v>VINEUIL</v>
      </c>
      <c r="E13171" s="38" t="s">
        <v>188</v>
      </c>
      <c r="F13171" s="38" t="s">
        <v>123</v>
      </c>
      <c r="G13171" s="49" t="str">
        <f t="shared" si="1"/>
        <v>41350</v>
      </c>
      <c r="H13171" s="49">
        <f t="shared" si="2"/>
        <v>41295</v>
      </c>
    </row>
    <row r="13172">
      <c r="A13172" s="48" t="s">
        <v>15900</v>
      </c>
      <c r="B13172" s="38">
        <v>42293.0</v>
      </c>
      <c r="C13172" s="38" t="s">
        <v>17401</v>
      </c>
      <c r="D13172" s="38" t="str">
        <f>IFERROR(__xludf.DUMMYFUNCTION("REGEXREPLACE(C13172,""-\d+(.*)|--\d+(.*)"","""")"),"SAINT-VICTOR-SUR-RHINS")</f>
        <v>SAINT-VICTOR-SUR-RHINS</v>
      </c>
      <c r="E13172" s="38" t="s">
        <v>166</v>
      </c>
      <c r="F13172" s="38" t="s">
        <v>102</v>
      </c>
      <c r="G13172" s="49" t="str">
        <f t="shared" si="1"/>
        <v>42630</v>
      </c>
      <c r="H13172" s="49">
        <f t="shared" si="2"/>
        <v>42293</v>
      </c>
    </row>
    <row r="13173">
      <c r="A13173" s="48" t="s">
        <v>13139</v>
      </c>
      <c r="B13173" s="38">
        <v>62512.0</v>
      </c>
      <c r="C13173" s="38" t="s">
        <v>17402</v>
      </c>
      <c r="D13173" s="38" t="str">
        <f>IFERROR(__xludf.DUMMYFUNCTION("REGEXREPLACE(C13173,""-\d+(.*)|--\d+(.*)"","""")"),"LIGNY-LES-AIRE")</f>
        <v>LIGNY-LES-AIRE</v>
      </c>
      <c r="E13173" s="38" t="s">
        <v>109</v>
      </c>
      <c r="F13173" s="38" t="s">
        <v>86</v>
      </c>
      <c r="G13173" s="49" t="str">
        <f t="shared" si="1"/>
        <v>62960</v>
      </c>
      <c r="H13173" s="49">
        <f t="shared" si="2"/>
        <v>62512</v>
      </c>
    </row>
    <row r="13174">
      <c r="A13174" s="48" t="s">
        <v>9632</v>
      </c>
      <c r="B13174" s="38">
        <v>28241.0</v>
      </c>
      <c r="C13174" s="38" t="s">
        <v>17403</v>
      </c>
      <c r="D13174" s="38" t="str">
        <f>IFERROR(__xludf.DUMMYFUNCTION("REGEXREPLACE(C13174,""-\d+(.*)|--\d+(.*)"","""")"),"LE MEE")</f>
        <v>LE MEE</v>
      </c>
      <c r="E13174" s="38" t="s">
        <v>300</v>
      </c>
      <c r="F13174" s="38" t="s">
        <v>123</v>
      </c>
      <c r="G13174" s="49" t="str">
        <f t="shared" si="1"/>
        <v>28220</v>
      </c>
      <c r="H13174" s="49">
        <f t="shared" si="2"/>
        <v>28241</v>
      </c>
    </row>
    <row r="13175">
      <c r="A13175" s="48" t="s">
        <v>803</v>
      </c>
      <c r="B13175" s="38">
        <v>1100.0</v>
      </c>
      <c r="C13175" s="38" t="s">
        <v>17404</v>
      </c>
      <c r="D13175" s="38" t="str">
        <f>IFERROR(__xludf.DUMMYFUNCTION("REGEXREPLACE(C13175,""-\d+(.*)|--\d+(.*)"","""")"),"CHEIGNIEU-LA-BALME")</f>
        <v>CHEIGNIEU-LA-BALME</v>
      </c>
      <c r="E13175" s="38" t="s">
        <v>255</v>
      </c>
      <c r="F13175" s="38" t="s">
        <v>102</v>
      </c>
      <c r="G13175" s="49" t="str">
        <f t="shared" si="1"/>
        <v>01510</v>
      </c>
      <c r="H13175" s="49" t="str">
        <f t="shared" si="2"/>
        <v>01100</v>
      </c>
    </row>
    <row r="13176">
      <c r="A13176" s="48" t="s">
        <v>3488</v>
      </c>
      <c r="B13176" s="38">
        <v>67270.0</v>
      </c>
      <c r="C13176" s="38" t="s">
        <v>17405</v>
      </c>
      <c r="D13176" s="38" t="str">
        <f>IFERROR(__xludf.DUMMYFUNCTION("REGEXREPLACE(C13176,""-\d+(.*)|--\d+(.*)"","""")"),"LIXHAUSEN")</f>
        <v>LIXHAUSEN</v>
      </c>
      <c r="E13176" s="38" t="s">
        <v>210</v>
      </c>
      <c r="F13176" s="38" t="s">
        <v>151</v>
      </c>
      <c r="G13176" s="49" t="str">
        <f t="shared" si="1"/>
        <v>67270</v>
      </c>
      <c r="H13176" s="49">
        <f t="shared" si="2"/>
        <v>67270</v>
      </c>
    </row>
    <row r="13177">
      <c r="A13177" s="48" t="s">
        <v>5309</v>
      </c>
      <c r="B13177" s="38">
        <v>62276.0</v>
      </c>
      <c r="C13177" s="38" t="s">
        <v>17406</v>
      </c>
      <c r="D13177" s="38" t="str">
        <f>IFERROR(__xludf.DUMMYFUNCTION("REGEXREPLACE(C13177,""-\d+(.*)|--\d+(.*)"","""")"),"DOUVRIN")</f>
        <v>DOUVRIN</v>
      </c>
      <c r="E13177" s="38" t="s">
        <v>109</v>
      </c>
      <c r="F13177" s="38" t="s">
        <v>86</v>
      </c>
      <c r="G13177" s="49" t="str">
        <f t="shared" si="1"/>
        <v>62138</v>
      </c>
      <c r="H13177" s="49">
        <f t="shared" si="2"/>
        <v>62276</v>
      </c>
    </row>
    <row r="13178">
      <c r="A13178" s="48" t="s">
        <v>12834</v>
      </c>
      <c r="B13178" s="38">
        <v>73025.0</v>
      </c>
      <c r="C13178" s="38" t="s">
        <v>17407</v>
      </c>
      <c r="D13178" s="38" t="str">
        <f>IFERROR(__xludf.DUMMYFUNCTION("REGEXREPLACE(C13178,""-\d+(.*)|--\d+(.*)"","""")"),"AVRESSIEUX")</f>
        <v>AVRESSIEUX</v>
      </c>
      <c r="E13178" s="38" t="s">
        <v>306</v>
      </c>
      <c r="F13178" s="38" t="s">
        <v>102</v>
      </c>
      <c r="G13178" s="49" t="str">
        <f t="shared" si="1"/>
        <v>73240</v>
      </c>
      <c r="H13178" s="49">
        <f t="shared" si="2"/>
        <v>73025</v>
      </c>
    </row>
    <row r="13179">
      <c r="A13179" s="48" t="s">
        <v>17408</v>
      </c>
      <c r="B13179" s="38">
        <v>62250.0</v>
      </c>
      <c r="C13179" s="38" t="s">
        <v>17409</v>
      </c>
      <c r="D13179" s="38" t="str">
        <f>IFERROR(__xludf.DUMMYFUNCTION("REGEXREPLACE(C13179,""-\d+(.*)|--\d+(.*)"","""")"),"COURRIERES")</f>
        <v>COURRIERES</v>
      </c>
      <c r="E13179" s="38" t="s">
        <v>109</v>
      </c>
      <c r="F13179" s="38" t="s">
        <v>86</v>
      </c>
      <c r="G13179" s="49" t="str">
        <f t="shared" si="1"/>
        <v>62710</v>
      </c>
      <c r="H13179" s="49">
        <f t="shared" si="2"/>
        <v>62250</v>
      </c>
    </row>
    <row r="13180">
      <c r="A13180" s="48" t="s">
        <v>1630</v>
      </c>
      <c r="B13180" s="38">
        <v>57258.0</v>
      </c>
      <c r="C13180" s="38" t="s">
        <v>17410</v>
      </c>
      <c r="D13180" s="38" t="str">
        <f>IFERROR(__xludf.DUMMYFUNCTION("REGEXREPLACE(C13180,""-\d+(.*)|--\d+(.*)"","""")"),"GRENING")</f>
        <v>GRENING</v>
      </c>
      <c r="E13180" s="38" t="s">
        <v>303</v>
      </c>
      <c r="F13180" s="38" t="s">
        <v>195</v>
      </c>
      <c r="G13180" s="49" t="str">
        <f t="shared" si="1"/>
        <v>57660</v>
      </c>
      <c r="H13180" s="49">
        <f t="shared" si="2"/>
        <v>57258</v>
      </c>
    </row>
    <row r="13181">
      <c r="A13181" s="48" t="s">
        <v>17411</v>
      </c>
      <c r="B13181" s="38">
        <v>90009.0</v>
      </c>
      <c r="C13181" s="38" t="s">
        <v>17412</v>
      </c>
      <c r="D13181" s="38" t="str">
        <f>IFERROR(__xludf.DUMMYFUNCTION("REGEXREPLACE(C13181,""-\d+(.*)|--\d+(.*)"","""")"),"BEAUCOURT")</f>
        <v>BEAUCOURT</v>
      </c>
      <c r="E13181" s="38" t="s">
        <v>1283</v>
      </c>
      <c r="F13181" s="38" t="s">
        <v>214</v>
      </c>
      <c r="G13181" s="49" t="str">
        <f t="shared" si="1"/>
        <v>90500</v>
      </c>
      <c r="H13181" s="49">
        <f t="shared" si="2"/>
        <v>90009</v>
      </c>
    </row>
    <row r="13182">
      <c r="A13182" s="48" t="s">
        <v>325</v>
      </c>
      <c r="B13182" s="38">
        <v>8356.0</v>
      </c>
      <c r="C13182" s="38" t="s">
        <v>17413</v>
      </c>
      <c r="D13182" s="38" t="str">
        <f>IFERROR(__xludf.DUMMYFUNCTION("REGEXREPLACE(C13182,""-\d+(.*)|--\d+(.*)"","""")"),"REMAUCOURT")</f>
        <v>REMAUCOURT</v>
      </c>
      <c r="E13182" s="38" t="s">
        <v>327</v>
      </c>
      <c r="F13182" s="38" t="s">
        <v>130</v>
      </c>
      <c r="G13182" s="49" t="str">
        <f t="shared" si="1"/>
        <v>08220</v>
      </c>
      <c r="H13182" s="49" t="str">
        <f t="shared" si="2"/>
        <v>08356</v>
      </c>
    </row>
    <row r="13183">
      <c r="A13183" s="48" t="s">
        <v>4022</v>
      </c>
      <c r="B13183" s="38">
        <v>62783.0</v>
      </c>
      <c r="C13183" s="38" t="s">
        <v>17414</v>
      </c>
      <c r="D13183" s="38" t="str">
        <f>IFERROR(__xludf.DUMMYFUNCTION("REGEXREPLACE(C13183,""-\d+(.*)|--\d+(.*)"","""")"),"SAULCHOY")</f>
        <v>SAULCHOY</v>
      </c>
      <c r="E13183" s="38" t="s">
        <v>109</v>
      </c>
      <c r="F13183" s="38" t="s">
        <v>86</v>
      </c>
      <c r="G13183" s="49" t="str">
        <f t="shared" si="1"/>
        <v>62870</v>
      </c>
      <c r="H13183" s="49">
        <f t="shared" si="2"/>
        <v>62783</v>
      </c>
    </row>
    <row r="13184">
      <c r="A13184" s="48" t="s">
        <v>2128</v>
      </c>
      <c r="B13184" s="38">
        <v>2344.0</v>
      </c>
      <c r="C13184" s="38" t="s">
        <v>17415</v>
      </c>
      <c r="D13184" s="38" t="str">
        <f>IFERROR(__xludf.DUMMYFUNCTION("REGEXREPLACE(C13184,""-\d+(.*)|--\d+(.*)"","""")"),"GERNICOURT")</f>
        <v>GERNICOURT</v>
      </c>
      <c r="E13184" s="38" t="s">
        <v>191</v>
      </c>
      <c r="F13184" s="38" t="s">
        <v>113</v>
      </c>
      <c r="G13184" s="49" t="str">
        <f t="shared" si="1"/>
        <v>02160</v>
      </c>
      <c r="H13184" s="49" t="str">
        <f t="shared" si="2"/>
        <v>02344</v>
      </c>
    </row>
    <row r="13185">
      <c r="A13185" s="48" t="s">
        <v>1315</v>
      </c>
      <c r="B13185" s="38">
        <v>19164.0</v>
      </c>
      <c r="C13185" s="38" t="s">
        <v>17416</v>
      </c>
      <c r="D13185" s="38" t="str">
        <f>IFERROR(__xludf.DUMMYFUNCTION("REGEXREPLACE(C13185,""-\d+(.*)|--\d+(.*)"","""")"),"PEYRELEVADE")</f>
        <v>PEYRELEVADE</v>
      </c>
      <c r="E13185" s="38" t="s">
        <v>271</v>
      </c>
      <c r="F13185" s="38" t="s">
        <v>98</v>
      </c>
      <c r="G13185" s="49" t="str">
        <f t="shared" si="1"/>
        <v>19290</v>
      </c>
      <c r="H13185" s="49">
        <f t="shared" si="2"/>
        <v>19164</v>
      </c>
    </row>
    <row r="13186">
      <c r="A13186" s="48" t="s">
        <v>3321</v>
      </c>
      <c r="B13186" s="38">
        <v>47200.0</v>
      </c>
      <c r="C13186" s="38" t="s">
        <v>17417</v>
      </c>
      <c r="D13186" s="38" t="str">
        <f>IFERROR(__xludf.DUMMYFUNCTION("REGEXREPLACE(C13186,""-\d+(.*)|--\d+(.*)"","""")"),"PARRANQUET")</f>
        <v>PARRANQUET</v>
      </c>
      <c r="E13186" s="38" t="s">
        <v>251</v>
      </c>
      <c r="F13186" s="38" t="s">
        <v>252</v>
      </c>
      <c r="G13186" s="49" t="str">
        <f t="shared" si="1"/>
        <v>47210</v>
      </c>
      <c r="H13186" s="49">
        <f t="shared" si="2"/>
        <v>47200</v>
      </c>
    </row>
    <row r="13187">
      <c r="A13187" s="48" t="s">
        <v>3508</v>
      </c>
      <c r="B13187" s="38">
        <v>51499.0</v>
      </c>
      <c r="C13187" s="38" t="s">
        <v>17418</v>
      </c>
      <c r="D13187" s="38" t="str">
        <f>IFERROR(__xludf.DUMMYFUNCTION("REGEXREPLACE(C13187,""-\d+(.*)|--\d+(.*)"","""")"),"SAINT-MARD-LES-ROUFFY")</f>
        <v>SAINT-MARD-LES-ROUFFY</v>
      </c>
      <c r="E13187" s="38" t="s">
        <v>129</v>
      </c>
      <c r="F13187" s="38" t="s">
        <v>130</v>
      </c>
      <c r="G13187" s="49" t="str">
        <f t="shared" si="1"/>
        <v>51130</v>
      </c>
      <c r="H13187" s="49">
        <f t="shared" si="2"/>
        <v>51499</v>
      </c>
    </row>
    <row r="13188">
      <c r="A13188" s="48" t="s">
        <v>12300</v>
      </c>
      <c r="B13188" s="38">
        <v>37269.0</v>
      </c>
      <c r="C13188" s="38" t="s">
        <v>17419</v>
      </c>
      <c r="D13188" s="38" t="str">
        <f>IFERROR(__xludf.DUMMYFUNCTION("REGEXREPLACE(C13188,""-\d+(.*)|--\d+(.*)"","""")"),"VERNEUIL-SUR-INDRE")</f>
        <v>VERNEUIL-SUR-INDRE</v>
      </c>
      <c r="E13188" s="38" t="s">
        <v>205</v>
      </c>
      <c r="F13188" s="38" t="s">
        <v>123</v>
      </c>
      <c r="G13188" s="49" t="str">
        <f t="shared" si="1"/>
        <v>37600</v>
      </c>
      <c r="H13188" s="49">
        <f t="shared" si="2"/>
        <v>37269</v>
      </c>
    </row>
    <row r="13189">
      <c r="A13189" s="48" t="s">
        <v>6977</v>
      </c>
      <c r="B13189" s="38">
        <v>22168.0</v>
      </c>
      <c r="C13189" s="38" t="s">
        <v>17420</v>
      </c>
      <c r="D13189" s="38" t="str">
        <f>IFERROR(__xludf.DUMMYFUNCTION("REGEXREPLACE(C13189,""-\d+(.*)|--\d+(.*)"","""")"),"PERROS-GUIREC")</f>
        <v>PERROS-GUIREC</v>
      </c>
      <c r="E13189" s="38" t="s">
        <v>89</v>
      </c>
      <c r="F13189" s="38" t="s">
        <v>90</v>
      </c>
      <c r="G13189" s="49" t="str">
        <f t="shared" si="1"/>
        <v>22700</v>
      </c>
      <c r="H13189" s="49">
        <f t="shared" si="2"/>
        <v>22168</v>
      </c>
    </row>
    <row r="13190">
      <c r="A13190" s="48" t="s">
        <v>1514</v>
      </c>
      <c r="B13190" s="38">
        <v>70096.0</v>
      </c>
      <c r="C13190" s="38" t="s">
        <v>17421</v>
      </c>
      <c r="D13190" s="38" t="str">
        <f>IFERROR(__xludf.DUMMYFUNCTION("REGEXREPLACE(C13190,""-\d+(.*)|--\d+(.*)"","""")"),"BREVILLIERS")</f>
        <v>BREVILLIERS</v>
      </c>
      <c r="E13190" s="38" t="s">
        <v>956</v>
      </c>
      <c r="F13190" s="38" t="s">
        <v>214</v>
      </c>
      <c r="G13190" s="49" t="str">
        <f t="shared" si="1"/>
        <v>70400</v>
      </c>
      <c r="H13190" s="49">
        <f t="shared" si="2"/>
        <v>70096</v>
      </c>
    </row>
    <row r="13191">
      <c r="A13191" s="48" t="s">
        <v>3920</v>
      </c>
      <c r="B13191" s="38">
        <v>50564.0</v>
      </c>
      <c r="C13191" s="38" t="s">
        <v>17422</v>
      </c>
      <c r="D13191" s="38" t="str">
        <f>IFERROR(__xludf.DUMMYFUNCTION("REGEXREPLACE(C13191,""-\d+(.*)|--\d+(.*)"","""")"),"SAINTENY")</f>
        <v>SAINTENY</v>
      </c>
      <c r="E13191" s="38" t="s">
        <v>157</v>
      </c>
      <c r="F13191" s="38" t="s">
        <v>138</v>
      </c>
      <c r="G13191" s="49" t="str">
        <f t="shared" si="1"/>
        <v>50500</v>
      </c>
      <c r="H13191" s="49">
        <f t="shared" si="2"/>
        <v>50564</v>
      </c>
    </row>
    <row r="13192">
      <c r="A13192" s="48" t="s">
        <v>9500</v>
      </c>
      <c r="B13192" s="38">
        <v>49219.0</v>
      </c>
      <c r="C13192" s="38" t="s">
        <v>17423</v>
      </c>
      <c r="D13192" s="38" t="str">
        <f>IFERROR(__xludf.DUMMYFUNCTION("REGEXREPLACE(C13192,""-\d+(.*)|--\d+(.*)"","""")"),"MONTSOREAU")</f>
        <v>MONTSOREAU</v>
      </c>
      <c r="E13192" s="38" t="s">
        <v>653</v>
      </c>
      <c r="F13192" s="38" t="s">
        <v>180</v>
      </c>
      <c r="G13192" s="49" t="str">
        <f t="shared" si="1"/>
        <v>49730</v>
      </c>
      <c r="H13192" s="49">
        <f t="shared" si="2"/>
        <v>49219</v>
      </c>
    </row>
    <row r="13193">
      <c r="A13193" s="48" t="s">
        <v>17424</v>
      </c>
      <c r="B13193" s="38">
        <v>81118.0</v>
      </c>
      <c r="C13193" s="38" t="s">
        <v>17425</v>
      </c>
      <c r="D13193" s="38" t="str">
        <f>IFERROR(__xludf.DUMMYFUNCTION("REGEXREPLACE(C13193,""-\d+(.*)|--\d+(.*)"","""")"),"LABOULBENE")</f>
        <v>LABOULBENE</v>
      </c>
      <c r="E13193" s="38" t="s">
        <v>231</v>
      </c>
      <c r="F13193" s="38" t="s">
        <v>94</v>
      </c>
      <c r="G13193" s="49" t="str">
        <f t="shared" si="1"/>
        <v>81100</v>
      </c>
      <c r="H13193" s="49">
        <f t="shared" si="2"/>
        <v>81118</v>
      </c>
    </row>
    <row r="13194">
      <c r="A13194" s="48" t="s">
        <v>1102</v>
      </c>
      <c r="B13194" s="38">
        <v>35067.0</v>
      </c>
      <c r="C13194" s="38" t="s">
        <v>17426</v>
      </c>
      <c r="D13194" s="38" t="str">
        <f>IFERROR(__xludf.DUMMYFUNCTION("REGEXREPLACE(C13194,""-\d+(.*)|--\d+(.*)"","""")"),"CHASNE-SUR-ILLET")</f>
        <v>CHASNE-SUR-ILLET</v>
      </c>
      <c r="E13194" s="38" t="s">
        <v>347</v>
      </c>
      <c r="F13194" s="38" t="s">
        <v>90</v>
      </c>
      <c r="G13194" s="49" t="str">
        <f t="shared" si="1"/>
        <v>35250</v>
      </c>
      <c r="H13194" s="49">
        <f t="shared" si="2"/>
        <v>35067</v>
      </c>
    </row>
    <row r="13195">
      <c r="A13195" s="48" t="s">
        <v>17427</v>
      </c>
      <c r="B13195" s="38">
        <v>40287.0</v>
      </c>
      <c r="C13195" s="38" t="s">
        <v>17428</v>
      </c>
      <c r="D13195" s="38" t="str">
        <f>IFERROR(__xludf.DUMMYFUNCTION("REGEXREPLACE(C13195,""-\d+(.*)|--\d+(.*)"","""")"),"SANGUINET")</f>
        <v>SANGUINET</v>
      </c>
      <c r="E13195" s="38" t="s">
        <v>281</v>
      </c>
      <c r="F13195" s="38" t="s">
        <v>252</v>
      </c>
      <c r="G13195" s="49" t="str">
        <f t="shared" si="1"/>
        <v>40460</v>
      </c>
      <c r="H13195" s="49">
        <f t="shared" si="2"/>
        <v>40287</v>
      </c>
    </row>
    <row r="13196">
      <c r="A13196" s="48" t="s">
        <v>12204</v>
      </c>
      <c r="B13196" s="38">
        <v>25011.0</v>
      </c>
      <c r="C13196" s="38" t="s">
        <v>17429</v>
      </c>
      <c r="D13196" s="38" t="str">
        <f>IFERROR(__xludf.DUMMYFUNCTION("REGEXREPLACE(C13196,""-\d+(.*)|--\d+(.*)"","""")"),"ALLENJOIE")</f>
        <v>ALLENJOIE</v>
      </c>
      <c r="E13196" s="38" t="s">
        <v>213</v>
      </c>
      <c r="F13196" s="38" t="s">
        <v>214</v>
      </c>
      <c r="G13196" s="49" t="str">
        <f t="shared" si="1"/>
        <v>25490</v>
      </c>
      <c r="H13196" s="49">
        <f t="shared" si="2"/>
        <v>25011</v>
      </c>
    </row>
    <row r="13197">
      <c r="A13197" s="48" t="s">
        <v>3046</v>
      </c>
      <c r="B13197" s="38">
        <v>70389.0</v>
      </c>
      <c r="C13197" s="38" t="s">
        <v>17430</v>
      </c>
      <c r="D13197" s="38" t="str">
        <f>IFERROR(__xludf.DUMMYFUNCTION("REGEXREPLACE(C13197,""-\d+(.*)|--\d+(.*)"","""")"),"NOIRON")</f>
        <v>NOIRON</v>
      </c>
      <c r="E13197" s="38" t="s">
        <v>956</v>
      </c>
      <c r="F13197" s="38" t="s">
        <v>214</v>
      </c>
      <c r="G13197" s="49" t="str">
        <f t="shared" si="1"/>
        <v>70100</v>
      </c>
      <c r="H13197" s="49">
        <f t="shared" si="2"/>
        <v>70389</v>
      </c>
    </row>
    <row r="13198">
      <c r="A13198" s="48" t="s">
        <v>964</v>
      </c>
      <c r="B13198" s="38">
        <v>71308.0</v>
      </c>
      <c r="C13198" s="38" t="s">
        <v>17431</v>
      </c>
      <c r="D13198" s="38" t="str">
        <f>IFERROR(__xludf.DUMMYFUNCTION("REGEXREPLACE(C13198,""-\d+(.*)|--\d+(.*)"","""")"),"MONTCEAUX-RAGNY")</f>
        <v>MONTCEAUX-RAGNY</v>
      </c>
      <c r="E13198" s="38" t="s">
        <v>344</v>
      </c>
      <c r="F13198" s="38" t="s">
        <v>106</v>
      </c>
      <c r="G13198" s="49" t="str">
        <f t="shared" si="1"/>
        <v>71240</v>
      </c>
      <c r="H13198" s="49">
        <f t="shared" si="2"/>
        <v>71308</v>
      </c>
    </row>
    <row r="13199">
      <c r="A13199" s="48" t="s">
        <v>7086</v>
      </c>
      <c r="B13199" s="38">
        <v>57043.0</v>
      </c>
      <c r="C13199" s="38" t="s">
        <v>17432</v>
      </c>
      <c r="D13199" s="38" t="str">
        <f>IFERROR(__xludf.DUMMYFUNCTION("REGEXREPLACE(C13199,""-\d+(.*)|--\d+(.*)"","""")"),"AY-SUR-MOSELLE")</f>
        <v>AY-SUR-MOSELLE</v>
      </c>
      <c r="E13199" s="38" t="s">
        <v>303</v>
      </c>
      <c r="F13199" s="38" t="s">
        <v>195</v>
      </c>
      <c r="G13199" s="49" t="str">
        <f t="shared" si="1"/>
        <v>57300</v>
      </c>
      <c r="H13199" s="49">
        <f t="shared" si="2"/>
        <v>57043</v>
      </c>
    </row>
    <row r="13200">
      <c r="A13200" s="48" t="s">
        <v>2120</v>
      </c>
      <c r="B13200" s="38">
        <v>50401.0</v>
      </c>
      <c r="C13200" s="38" t="s">
        <v>13482</v>
      </c>
      <c r="D13200" s="38" t="str">
        <f>IFERROR(__xludf.DUMMYFUNCTION("REGEXREPLACE(C13200,""-\d+(.*)|--\d+(.*)"","""")"),"PIERREVILLE")</f>
        <v>PIERREVILLE</v>
      </c>
      <c r="E13200" s="38" t="s">
        <v>157</v>
      </c>
      <c r="F13200" s="38" t="s">
        <v>138</v>
      </c>
      <c r="G13200" s="49" t="str">
        <f t="shared" si="1"/>
        <v>50340</v>
      </c>
      <c r="H13200" s="49">
        <f t="shared" si="2"/>
        <v>50401</v>
      </c>
    </row>
    <row r="13201">
      <c r="A13201" s="48" t="s">
        <v>2837</v>
      </c>
      <c r="B13201" s="38">
        <v>17345.0</v>
      </c>
      <c r="C13201" s="38" t="s">
        <v>15936</v>
      </c>
      <c r="D13201" s="38" t="str">
        <f>IFERROR(__xludf.DUMMYFUNCTION("REGEXREPLACE(C13201,""-\d+(.*)|--\d+(.*)"","""")"),"SAINT-HILAIRE-DU-BOIS")</f>
        <v>SAINT-HILAIRE-DU-BOIS</v>
      </c>
      <c r="E13201" s="38" t="s">
        <v>488</v>
      </c>
      <c r="F13201" s="38" t="s">
        <v>338</v>
      </c>
      <c r="G13201" s="49" t="str">
        <f t="shared" si="1"/>
        <v>17500</v>
      </c>
      <c r="H13201" s="49">
        <f t="shared" si="2"/>
        <v>17345</v>
      </c>
    </row>
    <row r="13202">
      <c r="A13202" s="48" t="s">
        <v>6016</v>
      </c>
      <c r="B13202" s="38">
        <v>57439.0</v>
      </c>
      <c r="C13202" s="38" t="s">
        <v>17433</v>
      </c>
      <c r="D13202" s="38" t="str">
        <f>IFERROR(__xludf.DUMMYFUNCTION("REGEXREPLACE(C13202,""-\d+(.*)|--\d+(.*)"","""")"),"MANDEREN")</f>
        <v>MANDEREN</v>
      </c>
      <c r="E13202" s="38" t="s">
        <v>303</v>
      </c>
      <c r="F13202" s="38" t="s">
        <v>195</v>
      </c>
      <c r="G13202" s="49" t="str">
        <f t="shared" si="1"/>
        <v>57480</v>
      </c>
      <c r="H13202" s="49">
        <f t="shared" si="2"/>
        <v>57439</v>
      </c>
    </row>
    <row r="13203">
      <c r="A13203" s="48" t="s">
        <v>5432</v>
      </c>
      <c r="B13203" s="38">
        <v>33534.0</v>
      </c>
      <c r="C13203" s="38" t="s">
        <v>17434</v>
      </c>
      <c r="D13203" s="38" t="str">
        <f>IFERROR(__xludf.DUMMYFUNCTION("REGEXREPLACE(C13203,""-\d+(.*)|--\d+(.*)"","""")"),"LE TOURNE")</f>
        <v>LE TOURNE</v>
      </c>
      <c r="E13203" s="38" t="s">
        <v>462</v>
      </c>
      <c r="F13203" s="38" t="s">
        <v>252</v>
      </c>
      <c r="G13203" s="49" t="str">
        <f t="shared" si="1"/>
        <v>33550</v>
      </c>
      <c r="H13203" s="49">
        <f t="shared" si="2"/>
        <v>33534</v>
      </c>
    </row>
    <row r="13204">
      <c r="A13204" s="48" t="s">
        <v>8429</v>
      </c>
      <c r="B13204" s="38">
        <v>44152.0</v>
      </c>
      <c r="C13204" s="38" t="s">
        <v>17435</v>
      </c>
      <c r="D13204" s="38" t="str">
        <f>IFERROR(__xludf.DUMMYFUNCTION("REGEXREPLACE(C13204,""-\d+(.*)|--\d+(.*)"","""")"),"SAINTE-ANNE-SUR-BRIVET")</f>
        <v>SAINTE-ANNE-SUR-BRIVET</v>
      </c>
      <c r="E13204" s="38" t="s">
        <v>759</v>
      </c>
      <c r="F13204" s="38" t="s">
        <v>180</v>
      </c>
      <c r="G13204" s="49" t="str">
        <f t="shared" si="1"/>
        <v>44160</v>
      </c>
      <c r="H13204" s="49">
        <f t="shared" si="2"/>
        <v>44152</v>
      </c>
    </row>
    <row r="13205">
      <c r="A13205" s="48" t="s">
        <v>5634</v>
      </c>
      <c r="B13205" s="38">
        <v>72153.0</v>
      </c>
      <c r="C13205" s="38" t="s">
        <v>17436</v>
      </c>
      <c r="D13205" s="38" t="str">
        <f>IFERROR(__xludf.DUMMYFUNCTION("REGEXREPLACE(C13205,""-\d+(.*)|--\d+(.*)"","""")"),"JUPILLES")</f>
        <v>JUPILLES</v>
      </c>
      <c r="E13205" s="38" t="s">
        <v>521</v>
      </c>
      <c r="F13205" s="38" t="s">
        <v>180</v>
      </c>
      <c r="G13205" s="49" t="str">
        <f t="shared" si="1"/>
        <v>72500</v>
      </c>
      <c r="H13205" s="49">
        <f t="shared" si="2"/>
        <v>72153</v>
      </c>
    </row>
    <row r="13206">
      <c r="A13206" s="48" t="s">
        <v>3948</v>
      </c>
      <c r="B13206" s="38">
        <v>21312.0</v>
      </c>
      <c r="C13206" s="38" t="s">
        <v>17437</v>
      </c>
      <c r="D13206" s="38" t="str">
        <f>IFERROR(__xludf.DUMMYFUNCTION("REGEXREPLACE(C13206,""-\d+(.*)|--\d+(.*)"","""")"),"GURGY-LA-VILLE")</f>
        <v>GURGY-LA-VILLE</v>
      </c>
      <c r="E13206" s="38" t="s">
        <v>105</v>
      </c>
      <c r="F13206" s="38" t="s">
        <v>106</v>
      </c>
      <c r="G13206" s="49" t="str">
        <f t="shared" si="1"/>
        <v>21290</v>
      </c>
      <c r="H13206" s="49">
        <f t="shared" si="2"/>
        <v>21312</v>
      </c>
    </row>
    <row r="13207">
      <c r="A13207" s="48" t="s">
        <v>3992</v>
      </c>
      <c r="B13207" s="38">
        <v>46018.0</v>
      </c>
      <c r="C13207" s="38" t="s">
        <v>17438</v>
      </c>
      <c r="D13207" s="38" t="str">
        <f>IFERROR(__xludf.DUMMYFUNCTION("REGEXREPLACE(C13207,""-\d+(.*)|--\d+(.*)"","""")"),"LE BASTIT")</f>
        <v>LE BASTIT</v>
      </c>
      <c r="E13207" s="38" t="s">
        <v>185</v>
      </c>
      <c r="F13207" s="38" t="s">
        <v>94</v>
      </c>
      <c r="G13207" s="49" t="str">
        <f t="shared" si="1"/>
        <v>46500</v>
      </c>
      <c r="H13207" s="49">
        <f t="shared" si="2"/>
        <v>46018</v>
      </c>
    </row>
    <row r="13208">
      <c r="A13208" s="48" t="s">
        <v>12127</v>
      </c>
      <c r="B13208" s="38">
        <v>7029.0</v>
      </c>
      <c r="C13208" s="38" t="s">
        <v>2319</v>
      </c>
      <c r="D13208" s="38" t="str">
        <f>IFERROR(__xludf.DUMMYFUNCTION("REGEXREPLACE(C13208,""-\d+(.*)|--\d+(.*)"","""")"),"BEAUMONT")</f>
        <v>BEAUMONT</v>
      </c>
      <c r="E13208" s="38" t="s">
        <v>144</v>
      </c>
      <c r="F13208" s="38" t="s">
        <v>102</v>
      </c>
      <c r="G13208" s="49" t="str">
        <f t="shared" si="1"/>
        <v>07110</v>
      </c>
      <c r="H13208" s="49" t="str">
        <f t="shared" si="2"/>
        <v>07029</v>
      </c>
    </row>
    <row r="13209">
      <c r="A13209" s="48" t="s">
        <v>17439</v>
      </c>
      <c r="B13209" s="38">
        <v>3159.0</v>
      </c>
      <c r="C13209" s="38" t="s">
        <v>15161</v>
      </c>
      <c r="D13209" s="38" t="str">
        <f>IFERROR(__xludf.DUMMYFUNCTION("REGEXREPLACE(C13209,""-\d+(.*)|--\d+(.*)"","""")"),"MALICORNE")</f>
        <v>MALICORNE</v>
      </c>
      <c r="E13209" s="38" t="s">
        <v>160</v>
      </c>
      <c r="F13209" s="38" t="s">
        <v>161</v>
      </c>
      <c r="G13209" s="49" t="str">
        <f t="shared" si="1"/>
        <v>03600</v>
      </c>
      <c r="H13209" s="49" t="str">
        <f t="shared" si="2"/>
        <v>03159</v>
      </c>
    </row>
    <row r="13210">
      <c r="A13210" s="48" t="s">
        <v>5513</v>
      </c>
      <c r="B13210" s="38">
        <v>57497.0</v>
      </c>
      <c r="C13210" s="38" t="s">
        <v>17440</v>
      </c>
      <c r="D13210" s="38" t="str">
        <f>IFERROR(__xludf.DUMMYFUNCTION("REGEXREPLACE(C13210,""-\d+(.*)|--\d+(.*)"","""")"),"NELLING")</f>
        <v>NELLING</v>
      </c>
      <c r="E13210" s="38" t="s">
        <v>303</v>
      </c>
      <c r="F13210" s="38" t="s">
        <v>195</v>
      </c>
      <c r="G13210" s="49" t="str">
        <f t="shared" si="1"/>
        <v>57670</v>
      </c>
      <c r="H13210" s="49">
        <f t="shared" si="2"/>
        <v>57497</v>
      </c>
    </row>
    <row r="13211">
      <c r="A13211" s="48" t="s">
        <v>952</v>
      </c>
      <c r="B13211" s="38">
        <v>82176.0</v>
      </c>
      <c r="C13211" s="38" t="s">
        <v>17441</v>
      </c>
      <c r="D13211" s="38" t="str">
        <f>IFERROR(__xludf.DUMMYFUNCTION("REGEXREPLACE(C13211,""-\d+(.*)|--\d+(.*)"","""")"),"LA SALVETAT-BELMONTET")</f>
        <v>LA SALVETAT-BELMONTET</v>
      </c>
      <c r="E13211" s="38" t="s">
        <v>570</v>
      </c>
      <c r="F13211" s="38" t="s">
        <v>94</v>
      </c>
      <c r="G13211" s="49" t="str">
        <f t="shared" si="1"/>
        <v>82230</v>
      </c>
      <c r="H13211" s="49">
        <f t="shared" si="2"/>
        <v>82176</v>
      </c>
    </row>
    <row r="13212">
      <c r="A13212" s="48" t="s">
        <v>2968</v>
      </c>
      <c r="B13212" s="38">
        <v>45207.0</v>
      </c>
      <c r="C13212" s="38" t="s">
        <v>17442</v>
      </c>
      <c r="D13212" s="38" t="str">
        <f>IFERROR(__xludf.DUMMYFUNCTION("REGEXREPLACE(C13212,""-\d+(.*)|--\d+(.*)"","""")"),"MIGNERETTE")</f>
        <v>MIGNERETTE</v>
      </c>
      <c r="E13212" s="38" t="s">
        <v>122</v>
      </c>
      <c r="F13212" s="38" t="s">
        <v>123</v>
      </c>
      <c r="G13212" s="49" t="str">
        <f t="shared" si="1"/>
        <v>45490</v>
      </c>
      <c r="H13212" s="49">
        <f t="shared" si="2"/>
        <v>45207</v>
      </c>
    </row>
    <row r="13213">
      <c r="A13213" s="48" t="s">
        <v>2814</v>
      </c>
      <c r="B13213" s="38">
        <v>45145.0</v>
      </c>
      <c r="C13213" s="38" t="s">
        <v>17443</v>
      </c>
      <c r="D13213" s="38" t="str">
        <f>IFERROR(__xludf.DUMMYFUNCTION("REGEXREPLACE(C13213,""-\d+(.*)|--\d+(.*)"","""")"),"FERRIERES-EN-GATINAIS")</f>
        <v>FERRIERES-EN-GATINAIS</v>
      </c>
      <c r="E13213" s="38" t="s">
        <v>122</v>
      </c>
      <c r="F13213" s="38" t="s">
        <v>123</v>
      </c>
      <c r="G13213" s="49" t="str">
        <f t="shared" si="1"/>
        <v>45210</v>
      </c>
      <c r="H13213" s="49">
        <f t="shared" si="2"/>
        <v>45145</v>
      </c>
    </row>
    <row r="13214">
      <c r="A13214" s="48" t="s">
        <v>2247</v>
      </c>
      <c r="B13214" s="38">
        <v>59304.0</v>
      </c>
      <c r="C13214" s="38" t="s">
        <v>17444</v>
      </c>
      <c r="D13214" s="38" t="str">
        <f>IFERROR(__xludf.DUMMYFUNCTION("REGEXREPLACE(C13214,""-\d+(.*)|--\d+(.*)"","""")"),"HERRIN")</f>
        <v>HERRIN</v>
      </c>
      <c r="E13214" s="38" t="s">
        <v>85</v>
      </c>
      <c r="F13214" s="38" t="s">
        <v>86</v>
      </c>
      <c r="G13214" s="49" t="str">
        <f t="shared" si="1"/>
        <v>59147</v>
      </c>
      <c r="H13214" s="49">
        <f t="shared" si="2"/>
        <v>59304</v>
      </c>
    </row>
    <row r="13215">
      <c r="A13215" s="48" t="s">
        <v>5461</v>
      </c>
      <c r="B13215" s="38">
        <v>86076.0</v>
      </c>
      <c r="C13215" s="38" t="s">
        <v>17445</v>
      </c>
      <c r="D13215" s="38" t="str">
        <f>IFERROR(__xludf.DUMMYFUNCTION("REGEXREPLACE(C13215,""-\d+(.*)|--\d+(.*)"","""")"),"CISSE")</f>
        <v>CISSE</v>
      </c>
      <c r="E13215" s="38" t="s">
        <v>529</v>
      </c>
      <c r="F13215" s="38" t="s">
        <v>338</v>
      </c>
      <c r="G13215" s="49" t="str">
        <f t="shared" si="1"/>
        <v>86170</v>
      </c>
      <c r="H13215" s="49">
        <f t="shared" si="2"/>
        <v>86076</v>
      </c>
    </row>
    <row r="13216">
      <c r="A13216" s="48" t="s">
        <v>12139</v>
      </c>
      <c r="B13216" s="38">
        <v>67327.0</v>
      </c>
      <c r="C13216" s="38" t="s">
        <v>17446</v>
      </c>
      <c r="D13216" s="38" t="str">
        <f>IFERROR(__xludf.DUMMYFUNCTION("REGEXREPLACE(C13216,""-\d+(.*)|--\d+(.*)"","""")"),"NIEDERLAUTERBACH")</f>
        <v>NIEDERLAUTERBACH</v>
      </c>
      <c r="E13216" s="38" t="s">
        <v>210</v>
      </c>
      <c r="F13216" s="38" t="s">
        <v>151</v>
      </c>
      <c r="G13216" s="49" t="str">
        <f t="shared" si="1"/>
        <v>67630</v>
      </c>
      <c r="H13216" s="49">
        <f t="shared" si="2"/>
        <v>67327</v>
      </c>
    </row>
    <row r="13217">
      <c r="A13217" s="48" t="s">
        <v>734</v>
      </c>
      <c r="B13217" s="38">
        <v>54599.0</v>
      </c>
      <c r="C13217" s="38" t="s">
        <v>17447</v>
      </c>
      <c r="D13217" s="38" t="str">
        <f>IFERROR(__xludf.DUMMYFUNCTION("REGEXREPLACE(C13217,""-\d+(.*)|--\d+(.*)"","""")"),"XONVILLE")</f>
        <v>XONVILLE</v>
      </c>
      <c r="E13217" s="38" t="s">
        <v>548</v>
      </c>
      <c r="F13217" s="38" t="s">
        <v>195</v>
      </c>
      <c r="G13217" s="49" t="str">
        <f t="shared" si="1"/>
        <v>54800</v>
      </c>
      <c r="H13217" s="49">
        <f t="shared" si="2"/>
        <v>54599</v>
      </c>
    </row>
    <row r="13218">
      <c r="A13218" s="48" t="s">
        <v>2549</v>
      </c>
      <c r="B13218" s="38">
        <v>55442.0</v>
      </c>
      <c r="C13218" s="38" t="s">
        <v>17448</v>
      </c>
      <c r="D13218" s="38" t="str">
        <f>IFERROR(__xludf.DUMMYFUNCTION("REGEXREPLACE(C13218,""-\d+(.*)|--\d+(.*)"","""")"),"RAIVAL")</f>
        <v>RAIVAL</v>
      </c>
      <c r="E13218" s="38" t="s">
        <v>322</v>
      </c>
      <c r="F13218" s="38" t="s">
        <v>195</v>
      </c>
      <c r="G13218" s="49" t="str">
        <f t="shared" si="1"/>
        <v>55260</v>
      </c>
      <c r="H13218" s="49">
        <f t="shared" si="2"/>
        <v>55442</v>
      </c>
    </row>
    <row r="13219">
      <c r="A13219" s="48" t="s">
        <v>403</v>
      </c>
      <c r="B13219" s="38">
        <v>59454.0</v>
      </c>
      <c r="C13219" s="38" t="s">
        <v>17449</v>
      </c>
      <c r="D13219" s="38" t="str">
        <f>IFERROR(__xludf.DUMMYFUNCTION("REGEXREPLACE(C13219,""-\d+(.*)|--\d+(.*)"","""")"),"OXELAERE")</f>
        <v>OXELAERE</v>
      </c>
      <c r="E13219" s="38" t="s">
        <v>85</v>
      </c>
      <c r="F13219" s="38" t="s">
        <v>86</v>
      </c>
      <c r="G13219" s="49" t="str">
        <f t="shared" si="1"/>
        <v>59670</v>
      </c>
      <c r="H13219" s="49">
        <f t="shared" si="2"/>
        <v>59454</v>
      </c>
    </row>
    <row r="13220">
      <c r="A13220" s="48" t="s">
        <v>987</v>
      </c>
      <c r="B13220" s="38">
        <v>40029.0</v>
      </c>
      <c r="C13220" s="38" t="s">
        <v>17450</v>
      </c>
      <c r="D13220" s="38" t="str">
        <f>IFERROR(__xludf.DUMMYFUNCTION("REGEXREPLACE(C13220,""-\d+(.*)|--\d+(.*)"","""")"),"BATS")</f>
        <v>BATS</v>
      </c>
      <c r="E13220" s="38" t="s">
        <v>281</v>
      </c>
      <c r="F13220" s="38" t="s">
        <v>252</v>
      </c>
      <c r="G13220" s="49" t="str">
        <f t="shared" si="1"/>
        <v>40320</v>
      </c>
      <c r="H13220" s="49">
        <f t="shared" si="2"/>
        <v>40029</v>
      </c>
    </row>
    <row r="13221">
      <c r="A13221" s="48" t="s">
        <v>8506</v>
      </c>
      <c r="B13221" s="38">
        <v>79205.0</v>
      </c>
      <c r="C13221" s="38" t="s">
        <v>7130</v>
      </c>
      <c r="D13221" s="38" t="str">
        <f>IFERROR(__xludf.DUMMYFUNCTION("REGEXREPLACE(C13221,""-\d+(.*)|--\d+(.*)"","""")"),"PERS")</f>
        <v>PERS</v>
      </c>
      <c r="E13221" s="38" t="s">
        <v>337</v>
      </c>
      <c r="F13221" s="38" t="s">
        <v>338</v>
      </c>
      <c r="G13221" s="49" t="str">
        <f t="shared" si="1"/>
        <v>79190</v>
      </c>
      <c r="H13221" s="49">
        <f t="shared" si="2"/>
        <v>79205</v>
      </c>
    </row>
    <row r="13222">
      <c r="A13222" s="48" t="s">
        <v>645</v>
      </c>
      <c r="B13222" s="38">
        <v>57767.0</v>
      </c>
      <c r="C13222" s="38" t="s">
        <v>17451</v>
      </c>
      <c r="D13222" s="38" t="str">
        <f>IFERROR(__xludf.DUMMYFUNCTION("REGEXREPLACE(C13222,""-\d+(.*)|--\d+(.*)"","""")"),"STUCKANGE")</f>
        <v>STUCKANGE</v>
      </c>
      <c r="E13222" s="38" t="s">
        <v>303</v>
      </c>
      <c r="F13222" s="38" t="s">
        <v>195</v>
      </c>
      <c r="G13222" s="49" t="str">
        <f t="shared" si="1"/>
        <v>57970</v>
      </c>
      <c r="H13222" s="49">
        <f t="shared" si="2"/>
        <v>57767</v>
      </c>
    </row>
    <row r="13223">
      <c r="A13223" s="48" t="s">
        <v>12501</v>
      </c>
      <c r="B13223" s="38">
        <v>27121.0</v>
      </c>
      <c r="C13223" s="38" t="s">
        <v>17452</v>
      </c>
      <c r="D13223" s="38" t="str">
        <f>IFERROR(__xludf.DUMMYFUNCTION("REGEXREPLACE(C13223,""-\d+(.*)|--\d+(.*)"","""")"),"BUS-SAINT-REMY")</f>
        <v>BUS-SAINT-REMY</v>
      </c>
      <c r="E13223" s="38" t="s">
        <v>241</v>
      </c>
      <c r="F13223" s="38" t="s">
        <v>134</v>
      </c>
      <c r="G13223" s="49" t="str">
        <f t="shared" si="1"/>
        <v>27630</v>
      </c>
      <c r="H13223" s="49">
        <f t="shared" si="2"/>
        <v>27121</v>
      </c>
    </row>
    <row r="13224">
      <c r="A13224" s="48" t="s">
        <v>484</v>
      </c>
      <c r="B13224" s="38">
        <v>16174.0</v>
      </c>
      <c r="C13224" s="38" t="s">
        <v>17453</v>
      </c>
      <c r="D13224" s="38" t="str">
        <f>IFERROR(__xludf.DUMMYFUNCTION("REGEXREPLACE(C13224,""-\d+(.*)|--\d+(.*)"","""")"),"JULIENNE")</f>
        <v>JULIENNE</v>
      </c>
      <c r="E13224" s="38" t="s">
        <v>429</v>
      </c>
      <c r="F13224" s="38" t="s">
        <v>338</v>
      </c>
      <c r="G13224" s="49" t="str">
        <f t="shared" si="1"/>
        <v>16200</v>
      </c>
      <c r="H13224" s="49">
        <f t="shared" si="2"/>
        <v>16174</v>
      </c>
    </row>
    <row r="13225">
      <c r="A13225" s="48" t="s">
        <v>3681</v>
      </c>
      <c r="B13225" s="38">
        <v>39332.0</v>
      </c>
      <c r="C13225" s="38" t="s">
        <v>17454</v>
      </c>
      <c r="D13225" s="38" t="str">
        <f>IFERROR(__xludf.DUMMYFUNCTION("REGEXREPLACE(C13225,""-\d+(.*)|--\d+(.*)"","""")"),"MIREBEL")</f>
        <v>MIREBEL</v>
      </c>
      <c r="E13225" s="38" t="s">
        <v>400</v>
      </c>
      <c r="F13225" s="38" t="s">
        <v>214</v>
      </c>
      <c r="G13225" s="49" t="str">
        <f t="shared" si="1"/>
        <v>39570</v>
      </c>
      <c r="H13225" s="49">
        <f t="shared" si="2"/>
        <v>39332</v>
      </c>
    </row>
    <row r="13226">
      <c r="A13226" s="48" t="s">
        <v>2067</v>
      </c>
      <c r="B13226" s="38">
        <v>18122.0</v>
      </c>
      <c r="C13226" s="38" t="s">
        <v>17455</v>
      </c>
      <c r="D13226" s="38" t="str">
        <f>IFERROR(__xludf.DUMMYFUNCTION("REGEXREPLACE(C13226,""-\d+(.*)|--\d+(.*)"","""")"),"LAPAN")</f>
        <v>LAPAN</v>
      </c>
      <c r="E13226" s="38" t="s">
        <v>504</v>
      </c>
      <c r="F13226" s="38" t="s">
        <v>123</v>
      </c>
      <c r="G13226" s="49" t="str">
        <f t="shared" si="1"/>
        <v>18340</v>
      </c>
      <c r="H13226" s="49">
        <f t="shared" si="2"/>
        <v>18122</v>
      </c>
    </row>
    <row r="13227">
      <c r="A13227" s="48" t="s">
        <v>7399</v>
      </c>
      <c r="B13227" s="38">
        <v>28407.0</v>
      </c>
      <c r="C13227" s="38" t="s">
        <v>17456</v>
      </c>
      <c r="D13227" s="38" t="str">
        <f>IFERROR(__xludf.DUMMYFUNCTION("REGEXREPLACE(C13227,""-\d+(.*)|--\d+(.*)"","""")"),"VICHERES")</f>
        <v>VICHERES</v>
      </c>
      <c r="E13227" s="38" t="s">
        <v>300</v>
      </c>
      <c r="F13227" s="38" t="s">
        <v>123</v>
      </c>
      <c r="G13227" s="49" t="str">
        <f t="shared" si="1"/>
        <v>28480</v>
      </c>
      <c r="H13227" s="49">
        <f t="shared" si="2"/>
        <v>28407</v>
      </c>
    </row>
    <row r="13228">
      <c r="A13228" s="48" t="s">
        <v>15022</v>
      </c>
      <c r="B13228" s="38">
        <v>8334.0</v>
      </c>
      <c r="C13228" s="38" t="s">
        <v>17457</v>
      </c>
      <c r="D13228" s="38" t="str">
        <f>IFERROR(__xludf.DUMMYFUNCTION("REGEXREPLACE(C13228,""-\d+(.*)|--\d+(.*)"","""")"),"OMICOURT")</f>
        <v>OMICOURT</v>
      </c>
      <c r="E13228" s="38" t="s">
        <v>327</v>
      </c>
      <c r="F13228" s="38" t="s">
        <v>130</v>
      </c>
      <c r="G13228" s="49" t="str">
        <f t="shared" si="1"/>
        <v>08450</v>
      </c>
      <c r="H13228" s="49" t="str">
        <f t="shared" si="2"/>
        <v>08334</v>
      </c>
    </row>
    <row r="13229">
      <c r="A13229" s="48" t="s">
        <v>335</v>
      </c>
      <c r="B13229" s="38">
        <v>79071.0</v>
      </c>
      <c r="C13229" s="38" t="s">
        <v>17458</v>
      </c>
      <c r="D13229" s="38" t="str">
        <f>IFERROR(__xludf.DUMMYFUNCTION("REGEXREPLACE(C13229,""-\d+(.*)|--\d+(.*)"","""")"),"LA CHAPELLE-BERTRAND")</f>
        <v>LA CHAPELLE-BERTRAND</v>
      </c>
      <c r="E13229" s="38" t="s">
        <v>337</v>
      </c>
      <c r="F13229" s="38" t="s">
        <v>338</v>
      </c>
      <c r="G13229" s="49" t="str">
        <f t="shared" si="1"/>
        <v>79200</v>
      </c>
      <c r="H13229" s="49">
        <f t="shared" si="2"/>
        <v>79071</v>
      </c>
    </row>
    <row r="13230">
      <c r="A13230" s="48" t="s">
        <v>3022</v>
      </c>
      <c r="B13230" s="38">
        <v>14742.0</v>
      </c>
      <c r="C13230" s="38" t="s">
        <v>17459</v>
      </c>
      <c r="D13230" s="38" t="str">
        <f>IFERROR(__xludf.DUMMYFUNCTION("REGEXREPLACE(C13230,""-\d+(.*)|--\d+(.*)"","""")"),"VICQUES")</f>
        <v>VICQUES</v>
      </c>
      <c r="E13230" s="38" t="s">
        <v>137</v>
      </c>
      <c r="F13230" s="38" t="s">
        <v>138</v>
      </c>
      <c r="G13230" s="49" t="str">
        <f t="shared" si="1"/>
        <v>14170</v>
      </c>
      <c r="H13230" s="49">
        <f t="shared" si="2"/>
        <v>14742</v>
      </c>
    </row>
    <row r="13231">
      <c r="A13231" s="48" t="s">
        <v>7431</v>
      </c>
      <c r="B13231" s="38">
        <v>77206.0</v>
      </c>
      <c r="C13231" s="38" t="s">
        <v>17460</v>
      </c>
      <c r="D13231" s="38" t="str">
        <f>IFERROR(__xludf.DUMMYFUNCTION("REGEXREPLACE(C13231,""-\d+(.*)|--\d+(.*)"","""")"),"GIREMOUTIERS")</f>
        <v>GIREMOUTIERS</v>
      </c>
      <c r="E13231" s="38" t="s">
        <v>244</v>
      </c>
      <c r="F13231" s="38" t="s">
        <v>245</v>
      </c>
      <c r="G13231" s="49" t="str">
        <f t="shared" si="1"/>
        <v>77120</v>
      </c>
      <c r="H13231" s="49">
        <f t="shared" si="2"/>
        <v>77206</v>
      </c>
    </row>
    <row r="13232">
      <c r="A13232" s="48" t="s">
        <v>691</v>
      </c>
      <c r="B13232" s="38">
        <v>64205.0</v>
      </c>
      <c r="C13232" s="38" t="s">
        <v>17461</v>
      </c>
      <c r="D13232" s="38" t="str">
        <f>IFERROR(__xludf.DUMMYFUNCTION("REGEXREPLACE(C13232,""-\d+(.*)|--\d+(.*)"","""")"),"ESCOS")</f>
        <v>ESCOS</v>
      </c>
      <c r="E13232" s="38" t="s">
        <v>268</v>
      </c>
      <c r="F13232" s="38" t="s">
        <v>252</v>
      </c>
      <c r="G13232" s="49" t="str">
        <f t="shared" si="1"/>
        <v>64270</v>
      </c>
      <c r="H13232" s="49">
        <f t="shared" si="2"/>
        <v>64205</v>
      </c>
    </row>
    <row r="13233">
      <c r="A13233" s="48" t="s">
        <v>5134</v>
      </c>
      <c r="B13233" s="38">
        <v>70483.0</v>
      </c>
      <c r="C13233" s="38" t="s">
        <v>17462</v>
      </c>
      <c r="D13233" s="38" t="str">
        <f>IFERROR(__xludf.DUMMYFUNCTION("REGEXREPLACE(C13233,""-\d+(.*)|--\d+(.*)"","""")"),"SCYE")</f>
        <v>SCYE</v>
      </c>
      <c r="E13233" s="38" t="s">
        <v>956</v>
      </c>
      <c r="F13233" s="38" t="s">
        <v>214</v>
      </c>
      <c r="G13233" s="49" t="str">
        <f t="shared" si="1"/>
        <v>70170</v>
      </c>
      <c r="H13233" s="49">
        <f t="shared" si="2"/>
        <v>70483</v>
      </c>
    </row>
    <row r="13234">
      <c r="A13234" s="48" t="s">
        <v>8808</v>
      </c>
      <c r="B13234" s="38">
        <v>44005.0</v>
      </c>
      <c r="C13234" s="38" t="s">
        <v>17463</v>
      </c>
      <c r="D13234" s="38" t="str">
        <f>IFERROR(__xludf.DUMMYFUNCTION("REGEXREPLACE(C13234,""-\d+(.*)|--\d+(.*)"","""")"),"ARTHON-EN-RETZ")</f>
        <v>ARTHON-EN-RETZ</v>
      </c>
      <c r="E13234" s="38" t="s">
        <v>759</v>
      </c>
      <c r="F13234" s="38" t="s">
        <v>180</v>
      </c>
      <c r="G13234" s="49" t="str">
        <f t="shared" si="1"/>
        <v>44320</v>
      </c>
      <c r="H13234" s="49">
        <f t="shared" si="2"/>
        <v>44005</v>
      </c>
    </row>
    <row r="13235">
      <c r="A13235" s="48" t="s">
        <v>12360</v>
      </c>
      <c r="B13235" s="38">
        <v>74278.0</v>
      </c>
      <c r="C13235" s="38" t="s">
        <v>17464</v>
      </c>
      <c r="D13235" s="38" t="str">
        <f>IFERROR(__xludf.DUMMYFUNCTION("REGEXREPLACE(C13235,""-\d+(.*)|--\d+(.*)"","""")"),"THYEZ")</f>
        <v>THYEZ</v>
      </c>
      <c r="E13235" s="38" t="s">
        <v>319</v>
      </c>
      <c r="F13235" s="38" t="s">
        <v>102</v>
      </c>
      <c r="G13235" s="49" t="str">
        <f t="shared" si="1"/>
        <v>74300</v>
      </c>
      <c r="H13235" s="49">
        <f t="shared" si="2"/>
        <v>74278</v>
      </c>
    </row>
    <row r="13236">
      <c r="A13236" s="48" t="s">
        <v>3238</v>
      </c>
      <c r="B13236" s="38">
        <v>61259.0</v>
      </c>
      <c r="C13236" s="38" t="s">
        <v>17465</v>
      </c>
      <c r="D13236" s="38" t="str">
        <f>IFERROR(__xludf.DUMMYFUNCTION("REGEXREPLACE(C13236,""-\d+(.*)|--\d+(.*)"","""")"),"LE MENIL-BERARD")</f>
        <v>LE MENIL-BERARD</v>
      </c>
      <c r="E13236" s="38" t="s">
        <v>141</v>
      </c>
      <c r="F13236" s="38" t="s">
        <v>138</v>
      </c>
      <c r="G13236" s="49" t="str">
        <f t="shared" si="1"/>
        <v>61270</v>
      </c>
      <c r="H13236" s="49">
        <f t="shared" si="2"/>
        <v>61259</v>
      </c>
    </row>
    <row r="13237">
      <c r="A13237" s="48" t="s">
        <v>17466</v>
      </c>
      <c r="B13237" s="38">
        <v>63069.0</v>
      </c>
      <c r="C13237" s="38" t="s">
        <v>17467</v>
      </c>
      <c r="D13237" s="38" t="str">
        <f>IFERROR(__xludf.DUMMYFUNCTION("REGEXREPLACE(C13237,""-\d+(.*)|--\d+(.*)"","""")"),"LE CENDRE")</f>
        <v>LE CENDRE</v>
      </c>
      <c r="E13237" s="38" t="s">
        <v>353</v>
      </c>
      <c r="F13237" s="38" t="s">
        <v>161</v>
      </c>
      <c r="G13237" s="49" t="str">
        <f t="shared" si="1"/>
        <v>63670</v>
      </c>
      <c r="H13237" s="49">
        <f t="shared" si="2"/>
        <v>63069</v>
      </c>
    </row>
    <row r="13238">
      <c r="A13238" s="48" t="s">
        <v>323</v>
      </c>
      <c r="B13238" s="38">
        <v>52198.0</v>
      </c>
      <c r="C13238" s="38" t="s">
        <v>17468</v>
      </c>
      <c r="D13238" s="38" t="str">
        <f>IFERROR(__xludf.DUMMYFUNCTION("REGEXREPLACE(C13238,""-\d+(.*)|--\d+(.*)"","""")"),"FAYS")</f>
        <v>FAYS</v>
      </c>
      <c r="E13238" s="38" t="s">
        <v>234</v>
      </c>
      <c r="F13238" s="38" t="s">
        <v>130</v>
      </c>
      <c r="G13238" s="49" t="str">
        <f t="shared" si="1"/>
        <v>52130</v>
      </c>
      <c r="H13238" s="49">
        <f t="shared" si="2"/>
        <v>52198</v>
      </c>
    </row>
    <row r="13239">
      <c r="A13239" s="48" t="s">
        <v>588</v>
      </c>
      <c r="B13239" s="38">
        <v>14749.0</v>
      </c>
      <c r="C13239" s="38" t="s">
        <v>17469</v>
      </c>
      <c r="D13239" s="38" t="str">
        <f>IFERROR(__xludf.DUMMYFUNCTION("REGEXREPLACE(C13239,""-\d+(.*)|--\d+(.*)"","""")"),"VIEUX-FUME")</f>
        <v>VIEUX-FUME</v>
      </c>
      <c r="E13239" s="38" t="s">
        <v>137</v>
      </c>
      <c r="F13239" s="38" t="s">
        <v>138</v>
      </c>
      <c r="G13239" s="49" t="str">
        <f t="shared" si="1"/>
        <v>14270</v>
      </c>
      <c r="H13239" s="49">
        <f t="shared" si="2"/>
        <v>14749</v>
      </c>
    </row>
    <row r="13240">
      <c r="A13240" s="48" t="s">
        <v>5631</v>
      </c>
      <c r="B13240" s="38">
        <v>76075.0</v>
      </c>
      <c r="C13240" s="38" t="s">
        <v>17470</v>
      </c>
      <c r="D13240" s="38" t="str">
        <f>IFERROR(__xludf.DUMMYFUNCTION("REGEXREPLACE(C13240,""-\d+(.*)|--\d+(.*)"","""")"),"BELMESNIL")</f>
        <v>BELMESNIL</v>
      </c>
      <c r="E13240" s="38" t="s">
        <v>133</v>
      </c>
      <c r="F13240" s="38" t="s">
        <v>134</v>
      </c>
      <c r="G13240" s="49" t="str">
        <f t="shared" si="1"/>
        <v>76590</v>
      </c>
      <c r="H13240" s="49">
        <f t="shared" si="2"/>
        <v>76075</v>
      </c>
    </row>
    <row r="13241">
      <c r="A13241" s="48" t="s">
        <v>10854</v>
      </c>
      <c r="B13241" s="38">
        <v>42176.0</v>
      </c>
      <c r="C13241" s="38" t="s">
        <v>17471</v>
      </c>
      <c r="D13241" s="38" t="str">
        <f>IFERROR(__xludf.DUMMYFUNCTION("REGEXREPLACE(C13241,""-\d+(.*)|--\d+(.*)"","""")"),"POUILLY-LES-NONAINS")</f>
        <v>POUILLY-LES-NONAINS</v>
      </c>
      <c r="E13241" s="38" t="s">
        <v>166</v>
      </c>
      <c r="F13241" s="38" t="s">
        <v>102</v>
      </c>
      <c r="G13241" s="49" t="str">
        <f t="shared" si="1"/>
        <v>42155</v>
      </c>
      <c r="H13241" s="49">
        <f t="shared" si="2"/>
        <v>42176</v>
      </c>
    </row>
    <row r="13242">
      <c r="A13242" s="48" t="s">
        <v>8865</v>
      </c>
      <c r="B13242" s="38">
        <v>42115.0</v>
      </c>
      <c r="C13242" s="38" t="s">
        <v>17472</v>
      </c>
      <c r="D13242" s="38" t="str">
        <f>IFERROR(__xludf.DUMMYFUNCTION("REGEXREPLACE(C13242,""-\d+(.*)|--\d+(.*)"","""")"),"JONZIEUX")</f>
        <v>JONZIEUX</v>
      </c>
      <c r="E13242" s="38" t="s">
        <v>166</v>
      </c>
      <c r="F13242" s="38" t="s">
        <v>102</v>
      </c>
      <c r="G13242" s="49" t="str">
        <f t="shared" si="1"/>
        <v>42660</v>
      </c>
      <c r="H13242" s="49">
        <f t="shared" si="2"/>
        <v>42115</v>
      </c>
    </row>
    <row r="13243">
      <c r="A13243" s="48" t="s">
        <v>8698</v>
      </c>
      <c r="B13243" s="38">
        <v>11171.0</v>
      </c>
      <c r="C13243" s="38" t="s">
        <v>17473</v>
      </c>
      <c r="D13243" s="38" t="str">
        <f>IFERROR(__xludf.DUMMYFUNCTION("REGEXREPLACE(C13243,""-\d+(.*)|--\d+(.*)"","""")"),"GUEYTES-ET-LABASTIDE")</f>
        <v>GUEYTES-ET-LABASTIDE</v>
      </c>
      <c r="E13243" s="38" t="s">
        <v>278</v>
      </c>
      <c r="F13243" s="38" t="s">
        <v>119</v>
      </c>
      <c r="G13243" s="49" t="str">
        <f t="shared" si="1"/>
        <v>11230</v>
      </c>
      <c r="H13243" s="49">
        <f t="shared" si="2"/>
        <v>11171</v>
      </c>
    </row>
    <row r="13244">
      <c r="A13244" s="48" t="s">
        <v>5246</v>
      </c>
      <c r="B13244" s="38">
        <v>27230.0</v>
      </c>
      <c r="C13244" s="38" t="s">
        <v>17474</v>
      </c>
      <c r="D13244" s="38" t="str">
        <f>IFERROR(__xludf.DUMMYFUNCTION("REGEXREPLACE(C13244,""-\d+(.*)|--\d+(.*)"","""")"),"EZY-SUR-EURE")</f>
        <v>EZY-SUR-EURE</v>
      </c>
      <c r="E13244" s="38" t="s">
        <v>241</v>
      </c>
      <c r="F13244" s="38" t="s">
        <v>134</v>
      </c>
      <c r="G13244" s="49" t="str">
        <f t="shared" si="1"/>
        <v>27530</v>
      </c>
      <c r="H13244" s="49">
        <f t="shared" si="2"/>
        <v>27230</v>
      </c>
    </row>
    <row r="13245">
      <c r="A13245" s="48" t="s">
        <v>15880</v>
      </c>
      <c r="B13245" s="38">
        <v>4079.0</v>
      </c>
      <c r="C13245" s="38" t="s">
        <v>17475</v>
      </c>
      <c r="D13245" s="38" t="str">
        <f>IFERROR(__xludf.DUMMYFUNCTION("REGEXREPLACE(C13245,""-\d+(.*)|--\d+(.*)"","""")"),"L'ESCALE")</f>
        <v>L'ESCALE</v>
      </c>
      <c r="E13245" s="38" t="s">
        <v>662</v>
      </c>
      <c r="F13245" s="38" t="s">
        <v>228</v>
      </c>
      <c r="G13245" s="49" t="str">
        <f t="shared" si="1"/>
        <v>04160</v>
      </c>
      <c r="H13245" s="49" t="str">
        <f t="shared" si="2"/>
        <v>04079</v>
      </c>
    </row>
    <row r="13246">
      <c r="A13246" s="48" t="s">
        <v>1540</v>
      </c>
      <c r="B13246" s="38">
        <v>70536.0</v>
      </c>
      <c r="C13246" s="38" t="s">
        <v>17476</v>
      </c>
      <c r="D13246" s="38" t="str">
        <f>IFERROR(__xludf.DUMMYFUNCTION("REGEXREPLACE(C13246,""-\d+(.*)|--\d+(.*)"","""")"),"VELLE-LE-CHATEL")</f>
        <v>VELLE-LE-CHATEL</v>
      </c>
      <c r="E13246" s="38" t="s">
        <v>956</v>
      </c>
      <c r="F13246" s="38" t="s">
        <v>214</v>
      </c>
      <c r="G13246" s="49" t="str">
        <f t="shared" si="1"/>
        <v>70000</v>
      </c>
      <c r="H13246" s="49">
        <f t="shared" si="2"/>
        <v>70536</v>
      </c>
    </row>
    <row r="13247">
      <c r="A13247" s="48" t="s">
        <v>17477</v>
      </c>
      <c r="B13247" s="38">
        <v>21492.0</v>
      </c>
      <c r="C13247" s="38" t="s">
        <v>17478</v>
      </c>
      <c r="D13247" s="38" t="str">
        <f>IFERROR(__xludf.DUMMYFUNCTION("REGEXREPLACE(C13247,""-\d+(.*)|--\d+(.*)"","""")"),"POMMARD")</f>
        <v>POMMARD</v>
      </c>
      <c r="E13247" s="38" t="s">
        <v>105</v>
      </c>
      <c r="F13247" s="38" t="s">
        <v>106</v>
      </c>
      <c r="G13247" s="49" t="str">
        <f t="shared" si="1"/>
        <v>21630</v>
      </c>
      <c r="H13247" s="49">
        <f t="shared" si="2"/>
        <v>21492</v>
      </c>
    </row>
    <row r="13248">
      <c r="A13248" s="48" t="s">
        <v>4402</v>
      </c>
      <c r="B13248" s="38">
        <v>54421.0</v>
      </c>
      <c r="C13248" s="38" t="s">
        <v>17479</v>
      </c>
      <c r="D13248" s="38" t="str">
        <f>IFERROR(__xludf.DUMMYFUNCTION("REGEXREPLACE(C13248,""-\d+(.*)|--\d+(.*)"","""")"),"PETITMONT")</f>
        <v>PETITMONT</v>
      </c>
      <c r="E13248" s="38" t="s">
        <v>548</v>
      </c>
      <c r="F13248" s="38" t="s">
        <v>195</v>
      </c>
      <c r="G13248" s="49" t="str">
        <f t="shared" si="1"/>
        <v>54480</v>
      </c>
      <c r="H13248" s="49">
        <f t="shared" si="2"/>
        <v>54421</v>
      </c>
    </row>
    <row r="13249">
      <c r="A13249" s="48" t="s">
        <v>771</v>
      </c>
      <c r="B13249" s="38">
        <v>60350.0</v>
      </c>
      <c r="C13249" s="38" t="s">
        <v>17480</v>
      </c>
      <c r="D13249" s="38" t="str">
        <f>IFERROR(__xludf.DUMMYFUNCTION("REGEXREPLACE(C13249,""-\d+(.*)|--\d+(.*)"","""")"),"LASSIGNY")</f>
        <v>LASSIGNY</v>
      </c>
      <c r="E13249" s="38" t="s">
        <v>112</v>
      </c>
      <c r="F13249" s="38" t="s">
        <v>113</v>
      </c>
      <c r="G13249" s="49" t="str">
        <f t="shared" si="1"/>
        <v>60310</v>
      </c>
      <c r="H13249" s="49">
        <f t="shared" si="2"/>
        <v>60350</v>
      </c>
    </row>
    <row r="13250">
      <c r="A13250" s="48" t="s">
        <v>9804</v>
      </c>
      <c r="B13250" s="38">
        <v>27473.0</v>
      </c>
      <c r="C13250" s="38" t="s">
        <v>17481</v>
      </c>
      <c r="D13250" s="38" t="str">
        <f>IFERROR(__xludf.DUMMYFUNCTION("REGEXREPLACE(C13250,""-\d+(.*)|--\d+(.*)"","""")"),"PORT-MORT")</f>
        <v>PORT-MORT</v>
      </c>
      <c r="E13250" s="38" t="s">
        <v>241</v>
      </c>
      <c r="F13250" s="38" t="s">
        <v>134</v>
      </c>
      <c r="G13250" s="49" t="str">
        <f t="shared" si="1"/>
        <v>27940</v>
      </c>
      <c r="H13250" s="49">
        <f t="shared" si="2"/>
        <v>27473</v>
      </c>
    </row>
    <row r="13251">
      <c r="A13251" s="48" t="s">
        <v>6615</v>
      </c>
      <c r="B13251" s="38">
        <v>65184.0</v>
      </c>
      <c r="C13251" s="38" t="s">
        <v>17482</v>
      </c>
      <c r="D13251" s="38" t="str">
        <f>IFERROR(__xludf.DUMMYFUNCTION("REGEXREPLACE(C13251,""-\d+(.*)|--\d+(.*)"","""")"),"GALEZ")</f>
        <v>GALEZ</v>
      </c>
      <c r="E13251" s="38" t="s">
        <v>200</v>
      </c>
      <c r="F13251" s="38" t="s">
        <v>94</v>
      </c>
      <c r="G13251" s="49" t="str">
        <f t="shared" si="1"/>
        <v>65330</v>
      </c>
      <c r="H13251" s="49">
        <f t="shared" si="2"/>
        <v>65184</v>
      </c>
    </row>
    <row r="13252">
      <c r="A13252" s="48" t="s">
        <v>5004</v>
      </c>
      <c r="B13252" s="38">
        <v>76034.0</v>
      </c>
      <c r="C13252" s="38" t="s">
        <v>17483</v>
      </c>
      <c r="D13252" s="38" t="str">
        <f>IFERROR(__xludf.DUMMYFUNCTION("REGEXREPLACE(C13252,""-\d+(.*)|--\d+(.*)"","""")"),"AUFFAY")</f>
        <v>AUFFAY</v>
      </c>
      <c r="E13252" s="38" t="s">
        <v>133</v>
      </c>
      <c r="F13252" s="38" t="s">
        <v>134</v>
      </c>
      <c r="G13252" s="49" t="str">
        <f t="shared" si="1"/>
        <v>76720</v>
      </c>
      <c r="H13252" s="49">
        <f t="shared" si="2"/>
        <v>76034</v>
      </c>
    </row>
    <row r="13253">
      <c r="A13253" s="48" t="s">
        <v>3681</v>
      </c>
      <c r="B13253" s="38">
        <v>39170.0</v>
      </c>
      <c r="C13253" s="38" t="s">
        <v>17484</v>
      </c>
      <c r="D13253" s="38" t="str">
        <f>IFERROR(__xludf.DUMMYFUNCTION("REGEXREPLACE(C13253,""-\d+(.*)|--\d+(.*)"","""")"),"COURLANS")</f>
        <v>COURLANS</v>
      </c>
      <c r="E13253" s="38" t="s">
        <v>400</v>
      </c>
      <c r="F13253" s="38" t="s">
        <v>214</v>
      </c>
      <c r="G13253" s="49" t="str">
        <f t="shared" si="1"/>
        <v>39570</v>
      </c>
      <c r="H13253" s="49">
        <f t="shared" si="2"/>
        <v>39170</v>
      </c>
    </row>
    <row r="13254">
      <c r="A13254" s="48" t="s">
        <v>2659</v>
      </c>
      <c r="B13254" s="38">
        <v>80202.0</v>
      </c>
      <c r="C13254" s="38" t="s">
        <v>17485</v>
      </c>
      <c r="D13254" s="38" t="str">
        <f>IFERROR(__xludf.DUMMYFUNCTION("REGEXREPLACE(C13254,""-\d+(.*)|--\d+(.*)"","""")"),"COISY")</f>
        <v>COISY</v>
      </c>
      <c r="E13254" s="38" t="s">
        <v>224</v>
      </c>
      <c r="F13254" s="38" t="s">
        <v>113</v>
      </c>
      <c r="G13254" s="49" t="str">
        <f t="shared" si="1"/>
        <v>80260</v>
      </c>
      <c r="H13254" s="49">
        <f t="shared" si="2"/>
        <v>80202</v>
      </c>
    </row>
    <row r="13255">
      <c r="A13255" s="48" t="s">
        <v>8284</v>
      </c>
      <c r="B13255" s="38">
        <v>31421.0</v>
      </c>
      <c r="C13255" s="38" t="s">
        <v>17486</v>
      </c>
      <c r="D13255" s="38" t="str">
        <f>IFERROR(__xludf.DUMMYFUNCTION("REGEXREPLACE(C13255,""-\d+(.*)|--\d+(.*)"","""")"),"PINS-JUSTARET")</f>
        <v>PINS-JUSTARET</v>
      </c>
      <c r="E13255" s="38" t="s">
        <v>93</v>
      </c>
      <c r="F13255" s="38" t="s">
        <v>94</v>
      </c>
      <c r="G13255" s="49" t="str">
        <f t="shared" si="1"/>
        <v>31860</v>
      </c>
      <c r="H13255" s="49">
        <f t="shared" si="2"/>
        <v>31421</v>
      </c>
    </row>
    <row r="13256">
      <c r="A13256" s="48" t="s">
        <v>2812</v>
      </c>
      <c r="B13256" s="38">
        <v>61247.0</v>
      </c>
      <c r="C13256" s="38" t="s">
        <v>17487</v>
      </c>
      <c r="D13256" s="38" t="str">
        <f>IFERROR(__xludf.DUMMYFUNCTION("REGEXREPLACE(C13256,""-\d+(.*)|--\d+(.*)"","""")"),"MALETABLE")</f>
        <v>MALETABLE</v>
      </c>
      <c r="E13256" s="38" t="s">
        <v>141</v>
      </c>
      <c r="F13256" s="38" t="s">
        <v>138</v>
      </c>
      <c r="G13256" s="49" t="str">
        <f t="shared" si="1"/>
        <v>61290</v>
      </c>
      <c r="H13256" s="49">
        <f t="shared" si="2"/>
        <v>61247</v>
      </c>
    </row>
    <row r="13257">
      <c r="A13257" s="48" t="s">
        <v>6047</v>
      </c>
      <c r="B13257" s="38">
        <v>38363.0</v>
      </c>
      <c r="C13257" s="38" t="s">
        <v>10322</v>
      </c>
      <c r="D13257" s="38" t="str">
        <f>IFERROR(__xludf.DUMMYFUNCTION("REGEXREPLACE(C13257,""-\d+(.*)|--\d+(.*)"","""")"),"SAINT-BARTHELEMY")</f>
        <v>SAINT-BARTHELEMY</v>
      </c>
      <c r="E13257" s="38" t="s">
        <v>101</v>
      </c>
      <c r="F13257" s="38" t="s">
        <v>102</v>
      </c>
      <c r="G13257" s="49" t="str">
        <f t="shared" si="1"/>
        <v>38270</v>
      </c>
      <c r="H13257" s="49">
        <f t="shared" si="2"/>
        <v>38363</v>
      </c>
    </row>
    <row r="13258">
      <c r="A13258" s="48" t="s">
        <v>6521</v>
      </c>
      <c r="B13258" s="38">
        <v>34059.0</v>
      </c>
      <c r="C13258" s="38" t="s">
        <v>17488</v>
      </c>
      <c r="D13258" s="38" t="str">
        <f>IFERROR(__xludf.DUMMYFUNCTION("REGEXREPLACE(C13258,""-\d+(.*)|--\d+(.*)"","""")"),"LA CAUNETTE")</f>
        <v>LA CAUNETTE</v>
      </c>
      <c r="E13258" s="38" t="s">
        <v>118</v>
      </c>
      <c r="F13258" s="38" t="s">
        <v>119</v>
      </c>
      <c r="G13258" s="49" t="str">
        <f t="shared" si="1"/>
        <v>34210</v>
      </c>
      <c r="H13258" s="49">
        <f t="shared" si="2"/>
        <v>34059</v>
      </c>
    </row>
    <row r="13259">
      <c r="A13259" s="48" t="s">
        <v>309</v>
      </c>
      <c r="B13259" s="38">
        <v>48154.0</v>
      </c>
      <c r="C13259" s="38" t="s">
        <v>17489</v>
      </c>
      <c r="D13259" s="38" t="str">
        <f>IFERROR(__xludf.DUMMYFUNCTION("REGEXREPLACE(C13259,""-\d+(.*)|--\d+(.*)"","""")"),"SAINT-GEORGES-DE-LEVEJAC")</f>
        <v>SAINT-GEORGES-DE-LEVEJAC</v>
      </c>
      <c r="E13259" s="38" t="s">
        <v>154</v>
      </c>
      <c r="F13259" s="38" t="s">
        <v>119</v>
      </c>
      <c r="G13259" s="49" t="str">
        <f t="shared" si="1"/>
        <v>48500</v>
      </c>
      <c r="H13259" s="49">
        <f t="shared" si="2"/>
        <v>48154</v>
      </c>
    </row>
    <row r="13260">
      <c r="A13260" s="48" t="s">
        <v>4539</v>
      </c>
      <c r="B13260" s="38">
        <v>56062.0</v>
      </c>
      <c r="C13260" s="38" t="s">
        <v>17490</v>
      </c>
      <c r="D13260" s="38" t="str">
        <f>IFERROR(__xludf.DUMMYFUNCTION("REGEXREPLACE(C13260,""-\d+(.*)|--\d+(.*)"","""")"),"GAVRES")</f>
        <v>GAVRES</v>
      </c>
      <c r="E13260" s="38" t="s">
        <v>173</v>
      </c>
      <c r="F13260" s="38" t="s">
        <v>90</v>
      </c>
      <c r="G13260" s="49" t="str">
        <f t="shared" si="1"/>
        <v>56680</v>
      </c>
      <c r="H13260" s="49">
        <f t="shared" si="2"/>
        <v>56062</v>
      </c>
    </row>
    <row r="13261">
      <c r="A13261" s="48" t="s">
        <v>6129</v>
      </c>
      <c r="B13261" s="38">
        <v>67484.0</v>
      </c>
      <c r="C13261" s="38" t="s">
        <v>17491</v>
      </c>
      <c r="D13261" s="38" t="str">
        <f>IFERROR(__xludf.DUMMYFUNCTION("REGEXREPLACE(C13261,""-\d+(.*)|--\d+(.*)"","""")"),"STUNDWILLER")</f>
        <v>STUNDWILLER</v>
      </c>
      <c r="E13261" s="38" t="s">
        <v>210</v>
      </c>
      <c r="F13261" s="38" t="s">
        <v>151</v>
      </c>
      <c r="G13261" s="49" t="str">
        <f t="shared" si="1"/>
        <v>67250</v>
      </c>
      <c r="H13261" s="49">
        <f t="shared" si="2"/>
        <v>67484</v>
      </c>
    </row>
    <row r="13262">
      <c r="A13262" s="48" t="s">
        <v>771</v>
      </c>
      <c r="B13262" s="38">
        <v>60227.0</v>
      </c>
      <c r="C13262" s="38" t="s">
        <v>17492</v>
      </c>
      <c r="D13262" s="38" t="str">
        <f>IFERROR(__xludf.DUMMYFUNCTION("REGEXREPLACE(C13262,""-\d+(.*)|--\d+(.*)"","""")"),"EVRICOURT")</f>
        <v>EVRICOURT</v>
      </c>
      <c r="E13262" s="38" t="s">
        <v>112</v>
      </c>
      <c r="F13262" s="38" t="s">
        <v>113</v>
      </c>
      <c r="G13262" s="49" t="str">
        <f t="shared" si="1"/>
        <v>60310</v>
      </c>
      <c r="H13262" s="49">
        <f t="shared" si="2"/>
        <v>60227</v>
      </c>
    </row>
    <row r="13263">
      <c r="A13263" s="48" t="s">
        <v>13323</v>
      </c>
      <c r="B13263" s="38">
        <v>22215.0</v>
      </c>
      <c r="C13263" s="38" t="s">
        <v>17493</v>
      </c>
      <c r="D13263" s="38" t="str">
        <f>IFERROR(__xludf.DUMMYFUNCTION("REGEXREPLACE(C13263,""-\d+(.*)|--\d+(.*)"","""")"),"PLOUFRAGAN")</f>
        <v>PLOUFRAGAN</v>
      </c>
      <c r="E13263" s="38" t="s">
        <v>89</v>
      </c>
      <c r="F13263" s="38" t="s">
        <v>90</v>
      </c>
      <c r="G13263" s="49" t="str">
        <f t="shared" si="1"/>
        <v>22440</v>
      </c>
      <c r="H13263" s="49">
        <f t="shared" si="2"/>
        <v>22215</v>
      </c>
    </row>
    <row r="13264">
      <c r="A13264" s="48" t="s">
        <v>162</v>
      </c>
      <c r="B13264" s="38">
        <v>31387.0</v>
      </c>
      <c r="C13264" s="38" t="s">
        <v>17494</v>
      </c>
      <c r="D13264" s="38" t="str">
        <f>IFERROR(__xludf.DUMMYFUNCTION("REGEXREPLACE(C13264,""-\d+(.*)|--\d+(.*)"","""")"),"MONTOUSSIN")</f>
        <v>MONTOUSSIN</v>
      </c>
      <c r="E13264" s="38" t="s">
        <v>93</v>
      </c>
      <c r="F13264" s="38" t="s">
        <v>94</v>
      </c>
      <c r="G13264" s="49" t="str">
        <f t="shared" si="1"/>
        <v>31430</v>
      </c>
      <c r="H13264" s="49">
        <f t="shared" si="2"/>
        <v>31387</v>
      </c>
    </row>
    <row r="13265">
      <c r="A13265" s="48" t="s">
        <v>5086</v>
      </c>
      <c r="B13265" s="38">
        <v>7298.0</v>
      </c>
      <c r="C13265" s="38" t="s">
        <v>17495</v>
      </c>
      <c r="D13265" s="38" t="str">
        <f>IFERROR(__xludf.DUMMYFUNCTION("REGEXREPLACE(C13265,""-\d+(.*)|--\d+(.*)"","""")"),"SAINT-SYMPHORIEN-SOUS-CHOMERAC")</f>
        <v>SAINT-SYMPHORIEN-SOUS-CHOMERAC</v>
      </c>
      <c r="E13265" s="38" t="s">
        <v>144</v>
      </c>
      <c r="F13265" s="38" t="s">
        <v>102</v>
      </c>
      <c r="G13265" s="49" t="str">
        <f t="shared" si="1"/>
        <v>07210</v>
      </c>
      <c r="H13265" s="49" t="str">
        <f t="shared" si="2"/>
        <v>07298</v>
      </c>
    </row>
    <row r="13266">
      <c r="A13266" s="48" t="s">
        <v>3015</v>
      </c>
      <c r="B13266" s="38">
        <v>16023.0</v>
      </c>
      <c r="C13266" s="38" t="s">
        <v>17496</v>
      </c>
      <c r="D13266" s="38" t="str">
        <f>IFERROR(__xludf.DUMMYFUNCTION("REGEXREPLACE(C13266,""-\d+(.*)|--\d+(.*)"","""")"),"AUNAC")</f>
        <v>AUNAC</v>
      </c>
      <c r="E13266" s="38" t="s">
        <v>429</v>
      </c>
      <c r="F13266" s="38" t="s">
        <v>338</v>
      </c>
      <c r="G13266" s="49" t="str">
        <f t="shared" si="1"/>
        <v>16460</v>
      </c>
      <c r="H13266" s="49">
        <f t="shared" si="2"/>
        <v>16023</v>
      </c>
    </row>
    <row r="13267">
      <c r="A13267" s="48" t="s">
        <v>3077</v>
      </c>
      <c r="B13267" s="38">
        <v>32441.0</v>
      </c>
      <c r="C13267" s="38" t="s">
        <v>17497</v>
      </c>
      <c r="D13267" s="38" t="str">
        <f>IFERROR(__xludf.DUMMYFUNCTION("REGEXREPLACE(C13267,""-\d+(.*)|--\d+(.*)"","""")"),"TAYBOSC")</f>
        <v>TAYBOSC</v>
      </c>
      <c r="E13267" s="38" t="s">
        <v>440</v>
      </c>
      <c r="F13267" s="38" t="s">
        <v>94</v>
      </c>
      <c r="G13267" s="49" t="str">
        <f t="shared" si="1"/>
        <v>32120</v>
      </c>
      <c r="H13267" s="49">
        <f t="shared" si="2"/>
        <v>32441</v>
      </c>
    </row>
    <row r="13268">
      <c r="A13268" s="48" t="s">
        <v>1802</v>
      </c>
      <c r="B13268" s="38">
        <v>53105.0</v>
      </c>
      <c r="C13268" s="38" t="s">
        <v>17498</v>
      </c>
      <c r="D13268" s="38" t="str">
        <f>IFERROR(__xludf.DUMMYFUNCTION("REGEXREPLACE(C13268,""-\d+(.*)|--\d+(.*)"","""")"),"GESNES")</f>
        <v>GESNES</v>
      </c>
      <c r="E13268" s="38" t="s">
        <v>518</v>
      </c>
      <c r="F13268" s="38" t="s">
        <v>180</v>
      </c>
      <c r="G13268" s="49" t="str">
        <f t="shared" si="1"/>
        <v>53150</v>
      </c>
      <c r="H13268" s="49">
        <f t="shared" si="2"/>
        <v>53105</v>
      </c>
    </row>
    <row r="13269">
      <c r="A13269" s="48" t="s">
        <v>2174</v>
      </c>
      <c r="B13269" s="38">
        <v>35320.0</v>
      </c>
      <c r="C13269" s="38" t="s">
        <v>17499</v>
      </c>
      <c r="D13269" s="38" t="str">
        <f>IFERROR(__xludf.DUMMYFUNCTION("REGEXREPLACE(C13269,""-\d+(.*)|--\d+(.*)"","""")"),"SAINT-UNIAC")</f>
        <v>SAINT-UNIAC</v>
      </c>
      <c r="E13269" s="38" t="s">
        <v>347</v>
      </c>
      <c r="F13269" s="38" t="s">
        <v>90</v>
      </c>
      <c r="G13269" s="49" t="str">
        <f t="shared" si="1"/>
        <v>35360</v>
      </c>
      <c r="H13269" s="49">
        <f t="shared" si="2"/>
        <v>35320</v>
      </c>
    </row>
    <row r="13270">
      <c r="A13270" s="48" t="s">
        <v>17500</v>
      </c>
      <c r="B13270" s="38">
        <v>9289.0</v>
      </c>
      <c r="C13270" s="38" t="s">
        <v>17501</v>
      </c>
      <c r="D13270" s="38" t="str">
        <f>IFERROR(__xludf.DUMMYFUNCTION("REGEXREPLACE(C13270,""-\d+(.*)|--\d+(.*)"","""")"),"LORP-SENTARAILLE")</f>
        <v>LORP-SENTARAILLE</v>
      </c>
      <c r="E13270" s="38" t="s">
        <v>238</v>
      </c>
      <c r="F13270" s="38" t="s">
        <v>94</v>
      </c>
      <c r="G13270" s="49" t="str">
        <f t="shared" si="1"/>
        <v>09190</v>
      </c>
      <c r="H13270" s="49" t="str">
        <f t="shared" si="2"/>
        <v>09289</v>
      </c>
    </row>
    <row r="13271">
      <c r="A13271" s="48" t="s">
        <v>8338</v>
      </c>
      <c r="B13271" s="38">
        <v>47221.0</v>
      </c>
      <c r="C13271" s="38" t="s">
        <v>17502</v>
      </c>
      <c r="D13271" s="38" t="str">
        <f>IFERROR(__xludf.DUMMYFUNCTION("REGEXREPLACE(C13271,""-\d+(.*)|--\d+(.*)"","""")"),"REAUP-LISSE")</f>
        <v>REAUP-LISSE</v>
      </c>
      <c r="E13271" s="38" t="s">
        <v>251</v>
      </c>
      <c r="F13271" s="38" t="s">
        <v>252</v>
      </c>
      <c r="G13271" s="49" t="str">
        <f t="shared" si="1"/>
        <v>47170</v>
      </c>
      <c r="H13271" s="49">
        <f t="shared" si="2"/>
        <v>47221</v>
      </c>
    </row>
    <row r="13272">
      <c r="A13272" s="48" t="s">
        <v>2905</v>
      </c>
      <c r="B13272" s="38">
        <v>21427.0</v>
      </c>
      <c r="C13272" s="38" t="s">
        <v>17503</v>
      </c>
      <c r="D13272" s="38" t="str">
        <f>IFERROR(__xludf.DUMMYFUNCTION("REGEXREPLACE(C13272,""-\d+(.*)|--\d+(.*)"","""")"),"MONTCEAU-ET-ECHARNANT")</f>
        <v>MONTCEAU-ET-ECHARNANT</v>
      </c>
      <c r="E13272" s="38" t="s">
        <v>105</v>
      </c>
      <c r="F13272" s="38" t="s">
        <v>106</v>
      </c>
      <c r="G13272" s="49" t="str">
        <f t="shared" si="1"/>
        <v>21360</v>
      </c>
      <c r="H13272" s="49">
        <f t="shared" si="2"/>
        <v>21427</v>
      </c>
    </row>
    <row r="13273">
      <c r="A13273" s="48" t="s">
        <v>445</v>
      </c>
      <c r="B13273" s="38">
        <v>76651.0</v>
      </c>
      <c r="C13273" s="38" t="s">
        <v>17504</v>
      </c>
      <c r="D13273" s="38" t="str">
        <f>IFERROR(__xludf.DUMMYFUNCTION("REGEXREPLACE(C13273,""-\d+(.*)|--\d+(.*)"","""")"),"SAINT-SYLVAIN")</f>
        <v>SAINT-SYLVAIN</v>
      </c>
      <c r="E13273" s="38" t="s">
        <v>133</v>
      </c>
      <c r="F13273" s="38" t="s">
        <v>134</v>
      </c>
      <c r="G13273" s="49" t="str">
        <f t="shared" si="1"/>
        <v>76460</v>
      </c>
      <c r="H13273" s="49">
        <f t="shared" si="2"/>
        <v>76651</v>
      </c>
    </row>
    <row r="13274">
      <c r="A13274" s="48" t="s">
        <v>1932</v>
      </c>
      <c r="B13274" s="38">
        <v>70544.0</v>
      </c>
      <c r="C13274" s="38" t="s">
        <v>17505</v>
      </c>
      <c r="D13274" s="38" t="str">
        <f>IFERROR(__xludf.DUMMYFUNCTION("REGEXREPLACE(C13274,""-\d+(.*)|--\d+(.*)"","""")"),"LA VERGENNE")</f>
        <v>LA VERGENNE</v>
      </c>
      <c r="E13274" s="38" t="s">
        <v>956</v>
      </c>
      <c r="F13274" s="38" t="s">
        <v>214</v>
      </c>
      <c r="G13274" s="49" t="str">
        <f t="shared" si="1"/>
        <v>70200</v>
      </c>
      <c r="H13274" s="49">
        <f t="shared" si="2"/>
        <v>70544</v>
      </c>
    </row>
    <row r="13275">
      <c r="A13275" s="48" t="s">
        <v>6025</v>
      </c>
      <c r="B13275" s="38">
        <v>31110.0</v>
      </c>
      <c r="C13275" s="38" t="s">
        <v>17506</v>
      </c>
      <c r="D13275" s="38" t="str">
        <f>IFERROR(__xludf.DUMMYFUNCTION("REGEXREPLACE(C13275,""-\d+(.*)|--\d+(.*)"","""")"),"CASSAGNE")</f>
        <v>CASSAGNE</v>
      </c>
      <c r="E13275" s="38" t="s">
        <v>93</v>
      </c>
      <c r="F13275" s="38" t="s">
        <v>94</v>
      </c>
      <c r="G13275" s="49" t="str">
        <f t="shared" si="1"/>
        <v>31260</v>
      </c>
      <c r="H13275" s="49">
        <f t="shared" si="2"/>
        <v>31110</v>
      </c>
    </row>
    <row r="13276">
      <c r="A13276" s="48" t="s">
        <v>328</v>
      </c>
      <c r="B13276" s="38">
        <v>2175.0</v>
      </c>
      <c r="C13276" s="38" t="s">
        <v>17507</v>
      </c>
      <c r="D13276" s="38" t="str">
        <f>IFERROR(__xludf.DUMMYFUNCTION("REGEXREPLACE(C13276,""-\d+(.*)|--\d+(.*)"","""")"),"CHAVIGNY")</f>
        <v>CHAVIGNY</v>
      </c>
      <c r="E13276" s="38" t="s">
        <v>191</v>
      </c>
      <c r="F13276" s="38" t="s">
        <v>113</v>
      </c>
      <c r="G13276" s="49" t="str">
        <f t="shared" si="1"/>
        <v>02880</v>
      </c>
      <c r="H13276" s="49" t="str">
        <f t="shared" si="2"/>
        <v>02175</v>
      </c>
    </row>
    <row r="13277">
      <c r="A13277" s="48" t="s">
        <v>5679</v>
      </c>
      <c r="B13277" s="38">
        <v>66103.0</v>
      </c>
      <c r="C13277" s="38" t="s">
        <v>17508</v>
      </c>
      <c r="D13277" s="38" t="str">
        <f>IFERROR(__xludf.DUMMYFUNCTION("REGEXREPLACE(C13277,""-\d+(.*)|--\d+(.*)"","""")"),"MARQUIXANES")</f>
        <v>MARQUIXANES</v>
      </c>
      <c r="E13277" s="38" t="s">
        <v>248</v>
      </c>
      <c r="F13277" s="38" t="s">
        <v>119</v>
      </c>
      <c r="G13277" s="49" t="str">
        <f t="shared" si="1"/>
        <v>66320</v>
      </c>
      <c r="H13277" s="49">
        <f t="shared" si="2"/>
        <v>66103</v>
      </c>
    </row>
    <row r="13278">
      <c r="A13278" s="48" t="s">
        <v>2748</v>
      </c>
      <c r="B13278" s="38">
        <v>32175.0</v>
      </c>
      <c r="C13278" s="38" t="s">
        <v>17509</v>
      </c>
      <c r="D13278" s="38" t="str">
        <f>IFERROR(__xludf.DUMMYFUNCTION("REGEXREPLACE(C13278,""-\d+(.*)|--\d+(.*)"","""")"),"LADEVEZE-VILLE")</f>
        <v>LADEVEZE-VILLE</v>
      </c>
      <c r="E13278" s="38" t="s">
        <v>440</v>
      </c>
      <c r="F13278" s="38" t="s">
        <v>94</v>
      </c>
      <c r="G13278" s="49" t="str">
        <f t="shared" si="1"/>
        <v>32230</v>
      </c>
      <c r="H13278" s="49">
        <f t="shared" si="2"/>
        <v>32175</v>
      </c>
    </row>
    <row r="13279">
      <c r="A13279" s="48" t="s">
        <v>7546</v>
      </c>
      <c r="B13279" s="38">
        <v>35314.0</v>
      </c>
      <c r="C13279" s="38" t="s">
        <v>17510</v>
      </c>
      <c r="D13279" s="38" t="str">
        <f>IFERROR(__xludf.DUMMYFUNCTION("REGEXREPLACE(C13279,""-\d+(.*)|--\d+(.*)"","""")"),"SAINT-SULIAC")</f>
        <v>SAINT-SULIAC</v>
      </c>
      <c r="E13279" s="38" t="s">
        <v>347</v>
      </c>
      <c r="F13279" s="38" t="s">
        <v>90</v>
      </c>
      <c r="G13279" s="49" t="str">
        <f t="shared" si="1"/>
        <v>35430</v>
      </c>
      <c r="H13279" s="49">
        <f t="shared" si="2"/>
        <v>35314</v>
      </c>
    </row>
    <row r="13280">
      <c r="A13280" s="48" t="s">
        <v>211</v>
      </c>
      <c r="B13280" s="38">
        <v>25236.0</v>
      </c>
      <c r="C13280" s="38" t="s">
        <v>17511</v>
      </c>
      <c r="D13280" s="38" t="str">
        <f>IFERROR(__xludf.DUMMYFUNCTION("REGEXREPLACE(C13280,""-\d+(.*)|--\d+(.*)"","""")"),"FERTANS")</f>
        <v>FERTANS</v>
      </c>
      <c r="E13280" s="38" t="s">
        <v>213</v>
      </c>
      <c r="F13280" s="38" t="s">
        <v>214</v>
      </c>
      <c r="G13280" s="49" t="str">
        <f t="shared" si="1"/>
        <v>25330</v>
      </c>
      <c r="H13280" s="49">
        <f t="shared" si="2"/>
        <v>25236</v>
      </c>
    </row>
    <row r="13281">
      <c r="A13281" s="48" t="s">
        <v>17512</v>
      </c>
      <c r="B13281" s="38">
        <v>72224.0</v>
      </c>
      <c r="C13281" s="38" t="s">
        <v>17513</v>
      </c>
      <c r="D13281" s="38" t="str">
        <f>IFERROR(__xludf.DUMMYFUNCTION("REGEXREPLACE(C13281,""-\d+(.*)|--\d+(.*)"","""")"),"NUILLE-LE-JALAIS")</f>
        <v>NUILLE-LE-JALAIS</v>
      </c>
      <c r="E13281" s="38" t="s">
        <v>521</v>
      </c>
      <c r="F13281" s="38" t="s">
        <v>180</v>
      </c>
      <c r="G13281" s="49" t="str">
        <f t="shared" si="1"/>
        <v>72370</v>
      </c>
      <c r="H13281" s="49">
        <f t="shared" si="2"/>
        <v>72224</v>
      </c>
    </row>
    <row r="13282">
      <c r="A13282" s="48" t="s">
        <v>7706</v>
      </c>
      <c r="B13282" s="38">
        <v>59521.0</v>
      </c>
      <c r="C13282" s="38" t="s">
        <v>17514</v>
      </c>
      <c r="D13282" s="38" t="str">
        <f>IFERROR(__xludf.DUMMYFUNCTION("REGEXREPLACE(C13282,""-\d+(.*)|--\d+(.*)"","""")"),"SAILLY-LEZ-CAMBRAI")</f>
        <v>SAILLY-LEZ-CAMBRAI</v>
      </c>
      <c r="E13282" s="38" t="s">
        <v>85</v>
      </c>
      <c r="F13282" s="38" t="s">
        <v>86</v>
      </c>
      <c r="G13282" s="49" t="str">
        <f t="shared" si="1"/>
        <v>59554</v>
      </c>
      <c r="H13282" s="49">
        <f t="shared" si="2"/>
        <v>59521</v>
      </c>
    </row>
    <row r="13283">
      <c r="A13283" s="48" t="s">
        <v>4199</v>
      </c>
      <c r="B13283" s="38">
        <v>17276.0</v>
      </c>
      <c r="C13283" s="38" t="s">
        <v>820</v>
      </c>
      <c r="D13283" s="38" t="str">
        <f>IFERROR(__xludf.DUMMYFUNCTION("REGEXREPLACE(C13283,""-\d+(.*)|--\d+(.*)"","""")"),"LE PIN")</f>
        <v>LE PIN</v>
      </c>
      <c r="E13283" s="38" t="s">
        <v>488</v>
      </c>
      <c r="F13283" s="38" t="s">
        <v>338</v>
      </c>
      <c r="G13283" s="49" t="str">
        <f t="shared" si="1"/>
        <v>17210</v>
      </c>
      <c r="H13283" s="49">
        <f t="shared" si="2"/>
        <v>17276</v>
      </c>
    </row>
    <row r="13284">
      <c r="A13284" s="48" t="s">
        <v>6785</v>
      </c>
      <c r="B13284" s="38">
        <v>27257.0</v>
      </c>
      <c r="C13284" s="38" t="s">
        <v>17515</v>
      </c>
      <c r="D13284" s="38" t="str">
        <f>IFERROR(__xludf.DUMMYFUNCTION("REGEXREPLACE(C13284,""-\d+(.*)|--\d+(.*)"","""")"),"FORET-LA-FOLIE")</f>
        <v>FORET-LA-FOLIE</v>
      </c>
      <c r="E13284" s="38" t="s">
        <v>241</v>
      </c>
      <c r="F13284" s="38" t="s">
        <v>134</v>
      </c>
      <c r="G13284" s="49" t="str">
        <f t="shared" si="1"/>
        <v>27510</v>
      </c>
      <c r="H13284" s="49">
        <f t="shared" si="2"/>
        <v>27257</v>
      </c>
    </row>
    <row r="13285">
      <c r="A13285" s="48" t="s">
        <v>5190</v>
      </c>
      <c r="B13285" s="38">
        <v>35018.0</v>
      </c>
      <c r="C13285" s="38" t="s">
        <v>17516</v>
      </c>
      <c r="D13285" s="38" t="str">
        <f>IFERROR(__xludf.DUMMYFUNCTION("REGEXREPLACE(C13285,""-\d+(.*)|--\d+(.*)"","""")"),"LA BAZOUGE-DU-DESERT")</f>
        <v>LA BAZOUGE-DU-DESERT</v>
      </c>
      <c r="E13285" s="38" t="s">
        <v>347</v>
      </c>
      <c r="F13285" s="38" t="s">
        <v>90</v>
      </c>
      <c r="G13285" s="49" t="str">
        <f t="shared" si="1"/>
        <v>35420</v>
      </c>
      <c r="H13285" s="49">
        <f t="shared" si="2"/>
        <v>35018</v>
      </c>
    </row>
    <row r="13286">
      <c r="A13286" s="48" t="s">
        <v>2532</v>
      </c>
      <c r="B13286" s="38">
        <v>51421.0</v>
      </c>
      <c r="C13286" s="38" t="s">
        <v>17517</v>
      </c>
      <c r="D13286" s="38" t="str">
        <f>IFERROR(__xludf.DUMMYFUNCTION("REGEXREPLACE(C13286,""-\d+(.*)|--\d+(.*)"","""")"),"OYES")</f>
        <v>OYES</v>
      </c>
      <c r="E13286" s="38" t="s">
        <v>129</v>
      </c>
      <c r="F13286" s="38" t="s">
        <v>130</v>
      </c>
      <c r="G13286" s="49" t="str">
        <f t="shared" si="1"/>
        <v>51120</v>
      </c>
      <c r="H13286" s="49">
        <f t="shared" si="2"/>
        <v>51421</v>
      </c>
    </row>
    <row r="13287">
      <c r="A13287" s="48" t="s">
        <v>1864</v>
      </c>
      <c r="B13287" s="38">
        <v>70336.0</v>
      </c>
      <c r="C13287" s="38" t="s">
        <v>17518</v>
      </c>
      <c r="D13287" s="38" t="str">
        <f>IFERROR(__xludf.DUMMYFUNCTION("REGEXREPLACE(C13287,""-\d+(.*)|--\d+(.*)"","""")"),"MELECEY")</f>
        <v>MELECEY</v>
      </c>
      <c r="E13287" s="38" t="s">
        <v>956</v>
      </c>
      <c r="F13287" s="38" t="s">
        <v>214</v>
      </c>
      <c r="G13287" s="49" t="str">
        <f t="shared" si="1"/>
        <v>70110</v>
      </c>
      <c r="H13287" s="49">
        <f t="shared" si="2"/>
        <v>70336</v>
      </c>
    </row>
    <row r="13288">
      <c r="A13288" s="48" t="s">
        <v>4453</v>
      </c>
      <c r="B13288" s="38">
        <v>52522.0</v>
      </c>
      <c r="C13288" s="38" t="s">
        <v>17519</v>
      </c>
      <c r="D13288" s="38" t="str">
        <f>IFERROR(__xludf.DUMMYFUNCTION("REGEXREPLACE(C13288,""-\d+(.*)|--\d+(.*)"","""")"),"VIEVILLE")</f>
        <v>VIEVILLE</v>
      </c>
      <c r="E13288" s="38" t="s">
        <v>234</v>
      </c>
      <c r="F13288" s="38" t="s">
        <v>130</v>
      </c>
      <c r="G13288" s="49" t="str">
        <f t="shared" si="1"/>
        <v>52310</v>
      </c>
      <c r="H13288" s="49">
        <f t="shared" si="2"/>
        <v>52522</v>
      </c>
    </row>
    <row r="13289">
      <c r="A13289" s="48" t="s">
        <v>3089</v>
      </c>
      <c r="B13289" s="38">
        <v>18016.0</v>
      </c>
      <c r="C13289" s="38" t="s">
        <v>17520</v>
      </c>
      <c r="D13289" s="38" t="str">
        <f>IFERROR(__xludf.DUMMYFUNCTION("REGEXREPLACE(C13289,""-\d+(.*)|--\d+(.*)"","""")"),"AUBINGES")</f>
        <v>AUBINGES</v>
      </c>
      <c r="E13289" s="38" t="s">
        <v>504</v>
      </c>
      <c r="F13289" s="38" t="s">
        <v>123</v>
      </c>
      <c r="G13289" s="49" t="str">
        <f t="shared" si="1"/>
        <v>18220</v>
      </c>
      <c r="H13289" s="49">
        <f t="shared" si="2"/>
        <v>18016</v>
      </c>
    </row>
    <row r="13290">
      <c r="A13290" s="48" t="s">
        <v>13466</v>
      </c>
      <c r="B13290" s="38">
        <v>3285.0</v>
      </c>
      <c r="C13290" s="38" t="s">
        <v>17521</v>
      </c>
      <c r="D13290" s="38" t="str">
        <f>IFERROR(__xludf.DUMMYFUNCTION("REGEXREPLACE(C13290,""-\d+(.*)|--\d+(.*)"","""")"),"TORTEZAIS")</f>
        <v>TORTEZAIS</v>
      </c>
      <c r="E13290" s="38" t="s">
        <v>160</v>
      </c>
      <c r="F13290" s="38" t="s">
        <v>161</v>
      </c>
      <c r="G13290" s="49" t="str">
        <f t="shared" si="1"/>
        <v>03430</v>
      </c>
      <c r="H13290" s="49" t="str">
        <f t="shared" si="2"/>
        <v>03285</v>
      </c>
    </row>
    <row r="13291">
      <c r="A13291" s="48" t="s">
        <v>1300</v>
      </c>
      <c r="B13291" s="38">
        <v>60418.0</v>
      </c>
      <c r="C13291" s="38" t="s">
        <v>17522</v>
      </c>
      <c r="D13291" s="38" t="str">
        <f>IFERROR(__xludf.DUMMYFUNCTION("REGEXREPLACE(C13291,""-\d+(.*)|--\d+(.*)"","""")"),"MONTIERS")</f>
        <v>MONTIERS</v>
      </c>
      <c r="E13291" s="38" t="s">
        <v>112</v>
      </c>
      <c r="F13291" s="38" t="s">
        <v>113</v>
      </c>
      <c r="G13291" s="49" t="str">
        <f t="shared" si="1"/>
        <v>60190</v>
      </c>
      <c r="H13291" s="49">
        <f t="shared" si="2"/>
        <v>60418</v>
      </c>
    </row>
    <row r="13292">
      <c r="A13292" s="48" t="s">
        <v>3572</v>
      </c>
      <c r="B13292" s="38">
        <v>63249.0</v>
      </c>
      <c r="C13292" s="38" t="s">
        <v>17523</v>
      </c>
      <c r="D13292" s="38" t="str">
        <f>IFERROR(__xludf.DUMMYFUNCTION("REGEXREPLACE(C13292,""-\d+(.*)|--\d+(.*)"","""")"),"NERONDE-SUR-DORE")</f>
        <v>NERONDE-SUR-DORE</v>
      </c>
      <c r="E13292" s="38" t="s">
        <v>353</v>
      </c>
      <c r="F13292" s="38" t="s">
        <v>161</v>
      </c>
      <c r="G13292" s="49" t="str">
        <f t="shared" si="1"/>
        <v>63120</v>
      </c>
      <c r="H13292" s="49">
        <f t="shared" si="2"/>
        <v>63249</v>
      </c>
    </row>
    <row r="13293">
      <c r="A13293" s="48" t="s">
        <v>9362</v>
      </c>
      <c r="B13293" s="38">
        <v>1180.0</v>
      </c>
      <c r="C13293" s="38" t="s">
        <v>17524</v>
      </c>
      <c r="D13293" s="38" t="str">
        <f>IFERROR(__xludf.DUMMYFUNCTION("REGEXREPLACE(C13293,""-\d+(.*)|--\d+(.*)"","""")"),"GRILLY")</f>
        <v>GRILLY</v>
      </c>
      <c r="E13293" s="38" t="s">
        <v>255</v>
      </c>
      <c r="F13293" s="38" t="s">
        <v>102</v>
      </c>
      <c r="G13293" s="49" t="str">
        <f t="shared" si="1"/>
        <v>01220</v>
      </c>
      <c r="H13293" s="49" t="str">
        <f t="shared" si="2"/>
        <v>01180</v>
      </c>
    </row>
    <row r="13294">
      <c r="A13294" s="48" t="s">
        <v>8107</v>
      </c>
      <c r="B13294" s="38">
        <v>86003.0</v>
      </c>
      <c r="C13294" s="38" t="s">
        <v>17525</v>
      </c>
      <c r="D13294" s="38" t="str">
        <f>IFERROR(__xludf.DUMMYFUNCTION("REGEXREPLACE(C13294,""-\d+(.*)|--\d+(.*)"","""")"),"ANCHE")</f>
        <v>ANCHE</v>
      </c>
      <c r="E13294" s="38" t="s">
        <v>529</v>
      </c>
      <c r="F13294" s="38" t="s">
        <v>338</v>
      </c>
      <c r="G13294" s="49" t="str">
        <f t="shared" si="1"/>
        <v>86700</v>
      </c>
      <c r="H13294" s="49">
        <f t="shared" si="2"/>
        <v>86003</v>
      </c>
    </row>
    <row r="13295">
      <c r="A13295" s="48" t="s">
        <v>378</v>
      </c>
      <c r="B13295" s="38">
        <v>37262.0</v>
      </c>
      <c r="C13295" s="38" t="s">
        <v>17526</v>
      </c>
      <c r="D13295" s="38" t="str">
        <f>IFERROR(__xludf.DUMMYFUNCTION("REGEXREPLACE(C13295,""-\d+(.*)|--\d+(.*)"","""")"),"TROGUES")</f>
        <v>TROGUES</v>
      </c>
      <c r="E13295" s="38" t="s">
        <v>205</v>
      </c>
      <c r="F13295" s="38" t="s">
        <v>123</v>
      </c>
      <c r="G13295" s="49" t="str">
        <f t="shared" si="1"/>
        <v>37220</v>
      </c>
      <c r="H13295" s="49">
        <f t="shared" si="2"/>
        <v>37262</v>
      </c>
    </row>
    <row r="13296">
      <c r="A13296" s="48" t="s">
        <v>1233</v>
      </c>
      <c r="B13296" s="38">
        <v>60455.0</v>
      </c>
      <c r="C13296" s="38" t="s">
        <v>17527</v>
      </c>
      <c r="D13296" s="38" t="str">
        <f>IFERROR(__xludf.DUMMYFUNCTION("REGEXREPLACE(C13296,""-\d+(.*)|--\d+(.*)"","""")"),"LA NEUVILLE-GARNIER")</f>
        <v>LA NEUVILLE-GARNIER</v>
      </c>
      <c r="E13296" s="38" t="s">
        <v>112</v>
      </c>
      <c r="F13296" s="38" t="s">
        <v>113</v>
      </c>
      <c r="G13296" s="49" t="str">
        <f t="shared" si="1"/>
        <v>60390</v>
      </c>
      <c r="H13296" s="49">
        <f t="shared" si="2"/>
        <v>60455</v>
      </c>
    </row>
    <row r="13297">
      <c r="A13297" s="48" t="s">
        <v>2848</v>
      </c>
      <c r="B13297" s="38">
        <v>51163.0</v>
      </c>
      <c r="C13297" s="38" t="s">
        <v>17528</v>
      </c>
      <c r="D13297" s="38" t="str">
        <f>IFERROR(__xludf.DUMMYFUNCTION("REGEXREPLACE(C13297,""-\d+(.*)|--\d+(.*)"","""")"),"CONGY")</f>
        <v>CONGY</v>
      </c>
      <c r="E13297" s="38" t="s">
        <v>129</v>
      </c>
      <c r="F13297" s="38" t="s">
        <v>130</v>
      </c>
      <c r="G13297" s="49" t="str">
        <f t="shared" si="1"/>
        <v>51270</v>
      </c>
      <c r="H13297" s="49">
        <f t="shared" si="2"/>
        <v>51163</v>
      </c>
    </row>
    <row r="13298">
      <c r="A13298" s="48" t="s">
        <v>8589</v>
      </c>
      <c r="B13298" s="38">
        <v>27384.0</v>
      </c>
      <c r="C13298" s="38" t="s">
        <v>17529</v>
      </c>
      <c r="D13298" s="38" t="str">
        <f>IFERROR(__xludf.DUMMYFUNCTION("REGEXREPLACE(C13298,""-\d+(.*)|--\d+(.*)"","""")"),"MANNEVILLE-LA-RAOULT")</f>
        <v>MANNEVILLE-LA-RAOULT</v>
      </c>
      <c r="E13298" s="38" t="s">
        <v>241</v>
      </c>
      <c r="F13298" s="38" t="s">
        <v>134</v>
      </c>
      <c r="G13298" s="49" t="str">
        <f t="shared" si="1"/>
        <v>27210</v>
      </c>
      <c r="H13298" s="49">
        <f t="shared" si="2"/>
        <v>27384</v>
      </c>
    </row>
    <row r="13299">
      <c r="A13299" s="48" t="s">
        <v>7188</v>
      </c>
      <c r="B13299" s="38">
        <v>11389.0</v>
      </c>
      <c r="C13299" s="38" t="s">
        <v>17530</v>
      </c>
      <c r="D13299" s="38" t="str">
        <f>IFERROR(__xludf.DUMMYFUNCTION("REGEXREPLACE(C13299,""-\d+(.*)|--\d+(.*)"","""")"),"TERROLES")</f>
        <v>TERROLES</v>
      </c>
      <c r="E13299" s="38" t="s">
        <v>278</v>
      </c>
      <c r="F13299" s="38" t="s">
        <v>119</v>
      </c>
      <c r="G13299" s="49" t="str">
        <f t="shared" si="1"/>
        <v>11580</v>
      </c>
      <c r="H13299" s="49">
        <f t="shared" si="2"/>
        <v>11389</v>
      </c>
    </row>
    <row r="13300">
      <c r="A13300" s="48" t="s">
        <v>17531</v>
      </c>
      <c r="B13300" s="38">
        <v>44151.0</v>
      </c>
      <c r="C13300" s="38" t="s">
        <v>5491</v>
      </c>
      <c r="D13300" s="38" t="str">
        <f>IFERROR(__xludf.DUMMYFUNCTION("REGEXREPLACE(C13300,""-\d+(.*)|--\d+(.*)"","""")"),"SAINT-ANDRE-DES-EAUX")</f>
        <v>SAINT-ANDRE-DES-EAUX</v>
      </c>
      <c r="E13300" s="38" t="s">
        <v>759</v>
      </c>
      <c r="F13300" s="38" t="s">
        <v>180</v>
      </c>
      <c r="G13300" s="49" t="str">
        <f t="shared" si="1"/>
        <v>44117</v>
      </c>
      <c r="H13300" s="49">
        <f t="shared" si="2"/>
        <v>44151</v>
      </c>
    </row>
    <row r="13301">
      <c r="A13301" s="48" t="s">
        <v>12249</v>
      </c>
      <c r="B13301" s="38">
        <v>71257.0</v>
      </c>
      <c r="C13301" s="38" t="s">
        <v>17532</v>
      </c>
      <c r="D13301" s="38" t="str">
        <f>IFERROR(__xludf.DUMMYFUNCTION("REGEXREPLACE(C13301,""-\d+(.*)|--\d+(.*)"","""")"),"LESSARD-LE-NATIONAL")</f>
        <v>LESSARD-LE-NATIONAL</v>
      </c>
      <c r="E13301" s="38" t="s">
        <v>344</v>
      </c>
      <c r="F13301" s="38" t="s">
        <v>106</v>
      </c>
      <c r="G13301" s="49" t="str">
        <f t="shared" si="1"/>
        <v>71530</v>
      </c>
      <c r="H13301" s="49">
        <f t="shared" si="2"/>
        <v>71257</v>
      </c>
    </row>
    <row r="13302">
      <c r="A13302" s="48" t="s">
        <v>2708</v>
      </c>
      <c r="B13302" s="38">
        <v>70404.0</v>
      </c>
      <c r="C13302" s="38" t="s">
        <v>17533</v>
      </c>
      <c r="D13302" s="38" t="str">
        <f>IFERROR(__xludf.DUMMYFUNCTION("REGEXREPLACE(C13302,""-\d+(.*)|--\d+(.*)"","""")"),"PASSAVANT-LA-ROCHERE")</f>
        <v>PASSAVANT-LA-ROCHERE</v>
      </c>
      <c r="E13302" s="38" t="s">
        <v>956</v>
      </c>
      <c r="F13302" s="38" t="s">
        <v>214</v>
      </c>
      <c r="G13302" s="49" t="str">
        <f t="shared" si="1"/>
        <v>70210</v>
      </c>
      <c r="H13302" s="49">
        <f t="shared" si="2"/>
        <v>70404</v>
      </c>
    </row>
    <row r="13303">
      <c r="A13303" s="48" t="s">
        <v>2946</v>
      </c>
      <c r="B13303" s="38">
        <v>51317.0</v>
      </c>
      <c r="C13303" s="38" t="s">
        <v>17534</v>
      </c>
      <c r="D13303" s="38" t="str">
        <f>IFERROR(__xludf.DUMMYFUNCTION("REGEXREPLACE(C13303,""-\d+(.*)|--\d+(.*)"","""")"),"LAVAL-SUR-TOURBE")</f>
        <v>LAVAL-SUR-TOURBE</v>
      </c>
      <c r="E13303" s="38" t="s">
        <v>129</v>
      </c>
      <c r="F13303" s="38" t="s">
        <v>130</v>
      </c>
      <c r="G13303" s="49" t="str">
        <f t="shared" si="1"/>
        <v>51600</v>
      </c>
      <c r="H13303" s="49">
        <f t="shared" si="2"/>
        <v>51317</v>
      </c>
    </row>
    <row r="13304">
      <c r="A13304" s="48" t="s">
        <v>14237</v>
      </c>
      <c r="B13304" s="38">
        <v>41238.0</v>
      </c>
      <c r="C13304" s="38" t="s">
        <v>17535</v>
      </c>
      <c r="D13304" s="38" t="str">
        <f>IFERROR(__xludf.DUMMYFUNCTION("REGEXREPLACE(C13304,""-\d+(.*)|--\d+(.*)"","""")"),"SAVIGNY-SUR-BRAYE")</f>
        <v>SAVIGNY-SUR-BRAYE</v>
      </c>
      <c r="E13304" s="38" t="s">
        <v>188</v>
      </c>
      <c r="F13304" s="38" t="s">
        <v>123</v>
      </c>
      <c r="G13304" s="49" t="str">
        <f t="shared" si="1"/>
        <v>41360</v>
      </c>
      <c r="H13304" s="49">
        <f t="shared" si="2"/>
        <v>41238</v>
      </c>
    </row>
    <row r="13305">
      <c r="A13305" s="48" t="s">
        <v>3795</v>
      </c>
      <c r="B13305" s="38">
        <v>24056.0</v>
      </c>
      <c r="C13305" s="38" t="s">
        <v>17536</v>
      </c>
      <c r="D13305" s="38" t="str">
        <f>IFERROR(__xludf.DUMMYFUNCTION("REGEXREPLACE(C13305,""-\d+(.*)|--\d+(.*)"","""")"),"LE BOURDEIX")</f>
        <v>LE BOURDEIX</v>
      </c>
      <c r="E13305" s="38" t="s">
        <v>261</v>
      </c>
      <c r="F13305" s="38" t="s">
        <v>252</v>
      </c>
      <c r="G13305" s="49" t="str">
        <f t="shared" si="1"/>
        <v>24300</v>
      </c>
      <c r="H13305" s="49">
        <f t="shared" si="2"/>
        <v>24056</v>
      </c>
    </row>
    <row r="13306">
      <c r="A13306" s="48" t="s">
        <v>2294</v>
      </c>
      <c r="B13306" s="38">
        <v>87003.0</v>
      </c>
      <c r="C13306" s="38" t="s">
        <v>17537</v>
      </c>
      <c r="D13306" s="38" t="str">
        <f>IFERROR(__xludf.DUMMYFUNCTION("REGEXREPLACE(C13306,""-\d+(.*)|--\d+(.*)"","""")"),"ARNAC-LA-POSTE")</f>
        <v>ARNAC-LA-POSTE</v>
      </c>
      <c r="E13306" s="38" t="s">
        <v>897</v>
      </c>
      <c r="F13306" s="38" t="s">
        <v>98</v>
      </c>
      <c r="G13306" s="49" t="str">
        <f t="shared" si="1"/>
        <v>87160</v>
      </c>
      <c r="H13306" s="49">
        <f t="shared" si="2"/>
        <v>87003</v>
      </c>
    </row>
    <row r="13307">
      <c r="A13307" s="48" t="s">
        <v>1908</v>
      </c>
      <c r="B13307" s="38">
        <v>62027.0</v>
      </c>
      <c r="C13307" s="38" t="s">
        <v>17538</v>
      </c>
      <c r="D13307" s="38" t="str">
        <f>IFERROR(__xludf.DUMMYFUNCTION("REGEXREPLACE(C13307,""-\d+(.*)|--\d+(.*)"","""")"),"AMBRINES")</f>
        <v>AMBRINES</v>
      </c>
      <c r="E13307" s="38" t="s">
        <v>109</v>
      </c>
      <c r="F13307" s="38" t="s">
        <v>86</v>
      </c>
      <c r="G13307" s="49" t="str">
        <f t="shared" si="1"/>
        <v>62127</v>
      </c>
      <c r="H13307" s="49">
        <f t="shared" si="2"/>
        <v>62027</v>
      </c>
    </row>
    <row r="13308">
      <c r="A13308" s="48" t="s">
        <v>794</v>
      </c>
      <c r="B13308" s="38">
        <v>60496.0</v>
      </c>
      <c r="C13308" s="38" t="s">
        <v>17539</v>
      </c>
      <c r="D13308" s="38" t="str">
        <f>IFERROR(__xludf.DUMMYFUNCTION("REGEXREPLACE(C13308,""-\d+(.*)|--\d+(.*)"","""")"),"PLAINVILLE")</f>
        <v>PLAINVILLE</v>
      </c>
      <c r="E13308" s="38" t="s">
        <v>112</v>
      </c>
      <c r="F13308" s="38" t="s">
        <v>113</v>
      </c>
      <c r="G13308" s="49" t="str">
        <f t="shared" si="1"/>
        <v>60120</v>
      </c>
      <c r="H13308" s="49">
        <f t="shared" si="2"/>
        <v>60496</v>
      </c>
    </row>
    <row r="13309">
      <c r="A13309" s="48" t="s">
        <v>10987</v>
      </c>
      <c r="B13309" s="38">
        <v>31583.0</v>
      </c>
      <c r="C13309" s="38" t="s">
        <v>17540</v>
      </c>
      <c r="D13309" s="38" t="str">
        <f>IFERROR(__xludf.DUMMYFUNCTION("REGEXREPLACE(C13309,""-\d+(.*)|--\d+(.*)"","""")"),"VILLEMATIER")</f>
        <v>VILLEMATIER</v>
      </c>
      <c r="E13309" s="38" t="s">
        <v>93</v>
      </c>
      <c r="F13309" s="38" t="s">
        <v>94</v>
      </c>
      <c r="G13309" s="49" t="str">
        <f t="shared" si="1"/>
        <v>31340</v>
      </c>
      <c r="H13309" s="49">
        <f t="shared" si="2"/>
        <v>31583</v>
      </c>
    </row>
    <row r="13310">
      <c r="A13310" s="48" t="s">
        <v>6721</v>
      </c>
      <c r="B13310" s="38">
        <v>44146.0</v>
      </c>
      <c r="C13310" s="38" t="s">
        <v>17541</v>
      </c>
      <c r="D13310" s="38" t="str">
        <f>IFERROR(__xludf.DUMMYFUNCTION("REGEXREPLACE(C13310,""-\d+(.*)|--\d+(.*)"","""")"),"ROUGE")</f>
        <v>ROUGE</v>
      </c>
      <c r="E13310" s="38" t="s">
        <v>759</v>
      </c>
      <c r="F13310" s="38" t="s">
        <v>180</v>
      </c>
      <c r="G13310" s="49" t="str">
        <f t="shared" si="1"/>
        <v>44660</v>
      </c>
      <c r="H13310" s="49">
        <f t="shared" si="2"/>
        <v>44146</v>
      </c>
    </row>
    <row r="13311">
      <c r="A13311" s="48" t="s">
        <v>8137</v>
      </c>
      <c r="B13311" s="38">
        <v>62887.0</v>
      </c>
      <c r="C13311" s="38" t="s">
        <v>17542</v>
      </c>
      <c r="D13311" s="38" t="str">
        <f>IFERROR(__xludf.DUMMYFUNCTION("REGEXREPLACE(C13311,""-\d+(.*)|--\d+(.*)"","""")"),"WIDEHEM")</f>
        <v>WIDEHEM</v>
      </c>
      <c r="E13311" s="38" t="s">
        <v>109</v>
      </c>
      <c r="F13311" s="38" t="s">
        <v>86</v>
      </c>
      <c r="G13311" s="49" t="str">
        <f t="shared" si="1"/>
        <v>62630</v>
      </c>
      <c r="H13311" s="49">
        <f t="shared" si="2"/>
        <v>62887</v>
      </c>
    </row>
    <row r="13312">
      <c r="A13312" s="48" t="s">
        <v>17543</v>
      </c>
      <c r="B13312" s="38">
        <v>56063.0</v>
      </c>
      <c r="C13312" s="38" t="s">
        <v>17544</v>
      </c>
      <c r="D13312" s="38" t="str">
        <f>IFERROR(__xludf.DUMMYFUNCTION("REGEXREPLACE(C13312,""-\d+(.*)|--\d+(.*)"","""")"),"GESTEL")</f>
        <v>GESTEL</v>
      </c>
      <c r="E13312" s="38" t="s">
        <v>173</v>
      </c>
      <c r="F13312" s="38" t="s">
        <v>90</v>
      </c>
      <c r="G13312" s="49" t="str">
        <f t="shared" si="1"/>
        <v>56530</v>
      </c>
      <c r="H13312" s="49">
        <f t="shared" si="2"/>
        <v>56063</v>
      </c>
    </row>
    <row r="13313">
      <c r="A13313" s="48" t="s">
        <v>2170</v>
      </c>
      <c r="B13313" s="38">
        <v>80267.0</v>
      </c>
      <c r="C13313" s="38" t="s">
        <v>17545</v>
      </c>
      <c r="D13313" s="38" t="str">
        <f>IFERROR(__xludf.DUMMYFUNCTION("REGEXREPLACE(C13313,""-\d+(.*)|--\d+(.*)"","""")"),"ENNEMAIN")</f>
        <v>ENNEMAIN</v>
      </c>
      <c r="E13313" s="38" t="s">
        <v>224</v>
      </c>
      <c r="F13313" s="38" t="s">
        <v>113</v>
      </c>
      <c r="G13313" s="49" t="str">
        <f t="shared" si="1"/>
        <v>80200</v>
      </c>
      <c r="H13313" s="49">
        <f t="shared" si="2"/>
        <v>80267</v>
      </c>
    </row>
    <row r="13314">
      <c r="A13314" s="48" t="s">
        <v>17546</v>
      </c>
      <c r="B13314" s="38">
        <v>95426.0</v>
      </c>
      <c r="C13314" s="38" t="s">
        <v>17547</v>
      </c>
      <c r="D13314" s="38" t="str">
        <f>IFERROR(__xludf.DUMMYFUNCTION("REGEXREPLACE(C13314,""-\d+(.*)|--\d+(.*)"","""")"),"MONTLIGNON")</f>
        <v>MONTLIGNON</v>
      </c>
      <c r="E13314" s="38" t="s">
        <v>541</v>
      </c>
      <c r="F13314" s="38" t="s">
        <v>245</v>
      </c>
      <c r="G13314" s="49" t="str">
        <f t="shared" si="1"/>
        <v>95680</v>
      </c>
      <c r="H13314" s="49">
        <f t="shared" si="2"/>
        <v>95426</v>
      </c>
    </row>
    <row r="13315">
      <c r="A13315" s="48" t="s">
        <v>17548</v>
      </c>
      <c r="B13315" s="38">
        <v>12131.0</v>
      </c>
      <c r="C13315" s="38" t="s">
        <v>17549</v>
      </c>
      <c r="D13315" s="38" t="str">
        <f>IFERROR(__xludf.DUMMYFUNCTION("REGEXREPLACE(C13315,""-\d+(.*)|--\d+(.*)"","""")"),"LA LOUBIERE")</f>
        <v>LA LOUBIERE</v>
      </c>
      <c r="E13315" s="38" t="s">
        <v>465</v>
      </c>
      <c r="F13315" s="38" t="s">
        <v>94</v>
      </c>
      <c r="G13315" s="49" t="str">
        <f t="shared" si="1"/>
        <v>12740</v>
      </c>
      <c r="H13315" s="49">
        <f t="shared" si="2"/>
        <v>12131</v>
      </c>
    </row>
    <row r="13316">
      <c r="A13316" s="48" t="s">
        <v>4215</v>
      </c>
      <c r="B13316" s="38">
        <v>27336.0</v>
      </c>
      <c r="C13316" s="38" t="s">
        <v>17550</v>
      </c>
      <c r="D13316" s="38" t="str">
        <f>IFERROR(__xludf.DUMMYFUNCTION("REGEXREPLACE(C13316,""-\d+(.*)|--\d+(.*)"","""")"),"LA HEUNIERE")</f>
        <v>LA HEUNIERE</v>
      </c>
      <c r="E13316" s="38" t="s">
        <v>241</v>
      </c>
      <c r="F13316" s="38" t="s">
        <v>134</v>
      </c>
      <c r="G13316" s="49" t="str">
        <f t="shared" si="1"/>
        <v>27950</v>
      </c>
      <c r="H13316" s="49">
        <f t="shared" si="2"/>
        <v>27336</v>
      </c>
    </row>
    <row r="13317">
      <c r="A13317" s="48" t="s">
        <v>11659</v>
      </c>
      <c r="B13317" s="38">
        <v>59356.0</v>
      </c>
      <c r="C13317" s="38" t="s">
        <v>17551</v>
      </c>
      <c r="D13317" s="38" t="str">
        <f>IFERROR(__xludf.DUMMYFUNCTION("REGEXREPLACE(C13317,""-\d+(.*)|--\d+(.*)"","""")"),"LOMPRET")</f>
        <v>LOMPRET</v>
      </c>
      <c r="E13317" s="38" t="s">
        <v>85</v>
      </c>
      <c r="F13317" s="38" t="s">
        <v>86</v>
      </c>
      <c r="G13317" s="49" t="str">
        <f t="shared" si="1"/>
        <v>59840</v>
      </c>
      <c r="H13317" s="49">
        <f t="shared" si="2"/>
        <v>59356</v>
      </c>
    </row>
    <row r="13318">
      <c r="A13318" s="48" t="s">
        <v>6658</v>
      </c>
      <c r="B13318" s="38">
        <v>53228.0</v>
      </c>
      <c r="C13318" s="38" t="s">
        <v>17552</v>
      </c>
      <c r="D13318" s="38" t="str">
        <f>IFERROR(__xludf.DUMMYFUNCTION("REGEXREPLACE(C13318,""-\d+(.*)|--\d+(.*)"","""")"),"SAINT-JEAN-SUR-ERVE")</f>
        <v>SAINT-JEAN-SUR-ERVE</v>
      </c>
      <c r="E13318" s="38" t="s">
        <v>518</v>
      </c>
      <c r="F13318" s="38" t="s">
        <v>180</v>
      </c>
      <c r="G13318" s="49" t="str">
        <f t="shared" si="1"/>
        <v>53270</v>
      </c>
      <c r="H13318" s="49">
        <f t="shared" si="2"/>
        <v>53228</v>
      </c>
    </row>
    <row r="13319">
      <c r="A13319" s="48" t="s">
        <v>844</v>
      </c>
      <c r="B13319" s="38">
        <v>72002.0</v>
      </c>
      <c r="C13319" s="38" t="s">
        <v>17553</v>
      </c>
      <c r="D13319" s="38" t="str">
        <f>IFERROR(__xludf.DUMMYFUNCTION("REGEXREPLACE(C13319,""-\d+(.*)|--\d+(.*)"","""")"),"AILLIERES-BEAUVOIR")</f>
        <v>AILLIERES-BEAUVOIR</v>
      </c>
      <c r="E13319" s="38" t="s">
        <v>521</v>
      </c>
      <c r="F13319" s="38" t="s">
        <v>180</v>
      </c>
      <c r="G13319" s="49" t="str">
        <f t="shared" si="1"/>
        <v>72600</v>
      </c>
      <c r="H13319" s="49">
        <f t="shared" si="2"/>
        <v>72002</v>
      </c>
    </row>
    <row r="13320">
      <c r="A13320" s="48" t="s">
        <v>1823</v>
      </c>
      <c r="B13320" s="38">
        <v>48081.0</v>
      </c>
      <c r="C13320" s="38" t="s">
        <v>17554</v>
      </c>
      <c r="D13320" s="38" t="str">
        <f>IFERROR(__xludf.DUMMYFUNCTION("REGEXREPLACE(C13320,""-\d+(.*)|--\d+(.*)"","""")"),"LANUEJOLS")</f>
        <v>LANUEJOLS</v>
      </c>
      <c r="E13320" s="38" t="s">
        <v>154</v>
      </c>
      <c r="F13320" s="38" t="s">
        <v>119</v>
      </c>
      <c r="G13320" s="49" t="str">
        <f t="shared" si="1"/>
        <v>48000</v>
      </c>
      <c r="H13320" s="49">
        <f t="shared" si="2"/>
        <v>48081</v>
      </c>
    </row>
    <row r="13321">
      <c r="A13321" s="48" t="s">
        <v>17555</v>
      </c>
      <c r="B13321" s="38">
        <v>59486.0</v>
      </c>
      <c r="C13321" s="38" t="s">
        <v>17556</v>
      </c>
      <c r="D13321" s="38" t="str">
        <f>IFERROR(__xludf.DUMMYFUNCTION("REGEXREPLACE(C13321,""-\d+(.*)|--\d+(.*)"","""")"),"RACHES")</f>
        <v>RACHES</v>
      </c>
      <c r="E13321" s="38" t="s">
        <v>85</v>
      </c>
      <c r="F13321" s="38" t="s">
        <v>86</v>
      </c>
      <c r="G13321" s="49" t="str">
        <f t="shared" si="1"/>
        <v>59194</v>
      </c>
      <c r="H13321" s="49">
        <f t="shared" si="2"/>
        <v>59486</v>
      </c>
    </row>
    <row r="13322">
      <c r="A13322" s="48" t="s">
        <v>7037</v>
      </c>
      <c r="B13322" s="38">
        <v>34238.0</v>
      </c>
      <c r="C13322" s="38" t="s">
        <v>17557</v>
      </c>
      <c r="D13322" s="38" t="str">
        <f>IFERROR(__xludf.DUMMYFUNCTION("REGEXREPLACE(C13322,""-\d+(.*)|--\d+(.*)"","""")"),"SAINT-ANDRE-DE-BUEGES")</f>
        <v>SAINT-ANDRE-DE-BUEGES</v>
      </c>
      <c r="E13322" s="38" t="s">
        <v>118</v>
      </c>
      <c r="F13322" s="38" t="s">
        <v>119</v>
      </c>
      <c r="G13322" s="49" t="str">
        <f t="shared" si="1"/>
        <v>34190</v>
      </c>
      <c r="H13322" s="49">
        <f t="shared" si="2"/>
        <v>34238</v>
      </c>
    </row>
    <row r="13323">
      <c r="A13323" s="48" t="s">
        <v>1137</v>
      </c>
      <c r="B13323" s="38">
        <v>60359.0</v>
      </c>
      <c r="C13323" s="38" t="s">
        <v>17558</v>
      </c>
      <c r="D13323" s="38" t="str">
        <f>IFERROR(__xludf.DUMMYFUNCTION("REGEXREPLACE(C13323,""-\d+(.*)|--\d+(.*)"","""")"),"LHERAULE")</f>
        <v>LHERAULE</v>
      </c>
      <c r="E13323" s="38" t="s">
        <v>112</v>
      </c>
      <c r="F13323" s="38" t="s">
        <v>113</v>
      </c>
      <c r="G13323" s="49" t="str">
        <f t="shared" si="1"/>
        <v>60650</v>
      </c>
      <c r="H13323" s="49">
        <f t="shared" si="2"/>
        <v>60359</v>
      </c>
    </row>
    <row r="13324">
      <c r="A13324" s="48" t="s">
        <v>2837</v>
      </c>
      <c r="B13324" s="38">
        <v>17259.0</v>
      </c>
      <c r="C13324" s="38" t="s">
        <v>17559</v>
      </c>
      <c r="D13324" s="38" t="str">
        <f>IFERROR(__xludf.DUMMYFUNCTION("REGEXREPLACE(C13324,""-\d+(.*)|--\d+(.*)"","""")"),"NEULLES")</f>
        <v>NEULLES</v>
      </c>
      <c r="E13324" s="38" t="s">
        <v>488</v>
      </c>
      <c r="F13324" s="38" t="s">
        <v>338</v>
      </c>
      <c r="G13324" s="49" t="str">
        <f t="shared" si="1"/>
        <v>17500</v>
      </c>
      <c r="H13324" s="49">
        <f t="shared" si="2"/>
        <v>17259</v>
      </c>
    </row>
    <row r="13325">
      <c r="A13325" s="48" t="s">
        <v>7799</v>
      </c>
      <c r="B13325" s="38">
        <v>7092.0</v>
      </c>
      <c r="C13325" s="38" t="s">
        <v>17560</v>
      </c>
      <c r="D13325" s="38" t="str">
        <f>IFERROR(__xludf.DUMMYFUNCTION("REGEXREPLACE(C13325,""-\d+(.*)|--\d+(.*)"","""")"),"FREYSSENET")</f>
        <v>FREYSSENET</v>
      </c>
      <c r="E13325" s="38" t="s">
        <v>144</v>
      </c>
      <c r="F13325" s="38" t="s">
        <v>102</v>
      </c>
      <c r="G13325" s="49" t="str">
        <f t="shared" si="1"/>
        <v>07000</v>
      </c>
      <c r="H13325" s="49" t="str">
        <f t="shared" si="2"/>
        <v>07092</v>
      </c>
    </row>
    <row r="13326">
      <c r="A13326" s="48" t="s">
        <v>4181</v>
      </c>
      <c r="B13326" s="38">
        <v>89134.0</v>
      </c>
      <c r="C13326" s="38" t="s">
        <v>17561</v>
      </c>
      <c r="D13326" s="38" t="str">
        <f>IFERROR(__xludf.DUMMYFUNCTION("REGEXREPLACE(C13326,""-\d+(.*)|--\d+(.*)"","""")"),"CUSSY-LES-FORGES")</f>
        <v>CUSSY-LES-FORGES</v>
      </c>
      <c r="E13326" s="38" t="s">
        <v>275</v>
      </c>
      <c r="F13326" s="38" t="s">
        <v>106</v>
      </c>
      <c r="G13326" s="49" t="str">
        <f t="shared" si="1"/>
        <v>89420</v>
      </c>
      <c r="H13326" s="49">
        <f t="shared" si="2"/>
        <v>89134</v>
      </c>
    </row>
    <row r="13327">
      <c r="A13327" s="48" t="s">
        <v>452</v>
      </c>
      <c r="B13327" s="38">
        <v>21055.0</v>
      </c>
      <c r="C13327" s="38" t="s">
        <v>17562</v>
      </c>
      <c r="D13327" s="38" t="str">
        <f>IFERROR(__xludf.DUMMYFUNCTION("REGEXREPLACE(C13327,""-\d+(.*)|--\d+(.*)"","""")"),"BEAUNOTTE")</f>
        <v>BEAUNOTTE</v>
      </c>
      <c r="E13327" s="38" t="s">
        <v>105</v>
      </c>
      <c r="F13327" s="38" t="s">
        <v>106</v>
      </c>
      <c r="G13327" s="49" t="str">
        <f t="shared" si="1"/>
        <v>21510</v>
      </c>
      <c r="H13327" s="49">
        <f t="shared" si="2"/>
        <v>21055</v>
      </c>
    </row>
    <row r="13328">
      <c r="A13328" s="48" t="s">
        <v>2368</v>
      </c>
      <c r="B13328" s="38">
        <v>65003.0</v>
      </c>
      <c r="C13328" s="38" t="s">
        <v>17563</v>
      </c>
      <c r="D13328" s="38" t="str">
        <f>IFERROR(__xludf.DUMMYFUNCTION("REGEXREPLACE(C13328,""-\d+(.*)|--\d+(.*)"","""")"),"ADERVIELLE-POUCHERGUES")</f>
        <v>ADERVIELLE-POUCHERGUES</v>
      </c>
      <c r="E13328" s="38" t="s">
        <v>200</v>
      </c>
      <c r="F13328" s="38" t="s">
        <v>94</v>
      </c>
      <c r="G13328" s="49" t="str">
        <f t="shared" si="1"/>
        <v>65240</v>
      </c>
      <c r="H13328" s="49">
        <f t="shared" si="2"/>
        <v>65003</v>
      </c>
    </row>
    <row r="13329">
      <c r="A13329" s="48" t="s">
        <v>8665</v>
      </c>
      <c r="B13329" s="38">
        <v>83012.0</v>
      </c>
      <c r="C13329" s="38" t="s">
        <v>17564</v>
      </c>
      <c r="D13329" s="38" t="str">
        <f>IFERROR(__xludf.DUMMYFUNCTION("REGEXREPLACE(C13329,""-\d+(.*)|--\d+(.*)"","""")"),"BARJOLS")</f>
        <v>BARJOLS</v>
      </c>
      <c r="E13329" s="38" t="s">
        <v>813</v>
      </c>
      <c r="F13329" s="38" t="s">
        <v>228</v>
      </c>
      <c r="G13329" s="49" t="str">
        <f t="shared" si="1"/>
        <v>83670</v>
      </c>
      <c r="H13329" s="49">
        <f t="shared" si="2"/>
        <v>83012</v>
      </c>
    </row>
    <row r="13330">
      <c r="A13330" s="48" t="s">
        <v>148</v>
      </c>
      <c r="B13330" s="38">
        <v>68096.0</v>
      </c>
      <c r="C13330" s="38" t="s">
        <v>17565</v>
      </c>
      <c r="D13330" s="38" t="str">
        <f>IFERROR(__xludf.DUMMYFUNCTION("REGEXREPLACE(C13330,""-\d+(.*)|--\d+(.*)"","""")"),"FRANKEN")</f>
        <v>FRANKEN</v>
      </c>
      <c r="E13330" s="38" t="s">
        <v>150</v>
      </c>
      <c r="F13330" s="38" t="s">
        <v>151</v>
      </c>
      <c r="G13330" s="49" t="str">
        <f t="shared" si="1"/>
        <v>68130</v>
      </c>
      <c r="H13330" s="49">
        <f t="shared" si="2"/>
        <v>68096</v>
      </c>
    </row>
    <row r="13331">
      <c r="A13331" s="48" t="s">
        <v>3853</v>
      </c>
      <c r="B13331" s="38">
        <v>71589.0</v>
      </c>
      <c r="C13331" s="38" t="s">
        <v>17566</v>
      </c>
      <c r="D13331" s="38" t="str">
        <f>IFERROR(__xludf.DUMMYFUNCTION("REGEXREPLACE(C13331,""-\d+(.*)|--\d+(.*)"","""")"),"VITRY-SUR-LOIRE")</f>
        <v>VITRY-SUR-LOIRE</v>
      </c>
      <c r="E13331" s="38" t="s">
        <v>344</v>
      </c>
      <c r="F13331" s="38" t="s">
        <v>106</v>
      </c>
      <c r="G13331" s="49" t="str">
        <f t="shared" si="1"/>
        <v>71140</v>
      </c>
      <c r="H13331" s="49">
        <f t="shared" si="2"/>
        <v>71589</v>
      </c>
    </row>
    <row r="13332">
      <c r="A13332" s="48" t="s">
        <v>6047</v>
      </c>
      <c r="B13332" s="38">
        <v>38032.0</v>
      </c>
      <c r="C13332" s="38" t="s">
        <v>17567</v>
      </c>
      <c r="D13332" s="38" t="str">
        <f>IFERROR(__xludf.DUMMYFUNCTION("REGEXREPLACE(C13332,""-\d+(.*)|--\d+(.*)"","""")"),"BEAUFORT")</f>
        <v>BEAUFORT</v>
      </c>
      <c r="E13332" s="38" t="s">
        <v>101</v>
      </c>
      <c r="F13332" s="38" t="s">
        <v>102</v>
      </c>
      <c r="G13332" s="49" t="str">
        <f t="shared" si="1"/>
        <v>38270</v>
      </c>
      <c r="H13332" s="49">
        <f t="shared" si="2"/>
        <v>38032</v>
      </c>
    </row>
    <row r="13333">
      <c r="A13333" s="48" t="s">
        <v>14590</v>
      </c>
      <c r="B13333" s="38">
        <v>80261.0</v>
      </c>
      <c r="C13333" s="38" t="s">
        <v>17568</v>
      </c>
      <c r="D13333" s="38" t="str">
        <f>IFERROR(__xludf.DUMMYFUNCTION("REGEXREPLACE(C13333,""-\d+(.*)|--\d+(.*)"","""")"),"DURY")</f>
        <v>DURY</v>
      </c>
      <c r="E13333" s="38" t="s">
        <v>224</v>
      </c>
      <c r="F13333" s="38" t="s">
        <v>113</v>
      </c>
      <c r="G13333" s="49" t="str">
        <f t="shared" si="1"/>
        <v>80480</v>
      </c>
      <c r="H13333" s="49">
        <f t="shared" si="2"/>
        <v>80261</v>
      </c>
    </row>
    <row r="13334">
      <c r="A13334" s="48" t="s">
        <v>1574</v>
      </c>
      <c r="B13334" s="38">
        <v>10410.0</v>
      </c>
      <c r="C13334" s="38" t="s">
        <v>17569</v>
      </c>
      <c r="D13334" s="38" t="str">
        <f>IFERROR(__xludf.DUMMYFUNCTION("REGEXREPLACE(C13334,""-\d+(.*)|--\d+(.*)"","""")"),"VILLADIN")</f>
        <v>VILLADIN</v>
      </c>
      <c r="E13334" s="38" t="s">
        <v>147</v>
      </c>
      <c r="F13334" s="38" t="s">
        <v>130</v>
      </c>
      <c r="G13334" s="49" t="str">
        <f t="shared" si="1"/>
        <v>10290</v>
      </c>
      <c r="H13334" s="49">
        <f t="shared" si="2"/>
        <v>10410</v>
      </c>
    </row>
    <row r="13335">
      <c r="A13335" s="48" t="s">
        <v>3934</v>
      </c>
      <c r="B13335" s="38">
        <v>3090.0</v>
      </c>
      <c r="C13335" s="38" t="s">
        <v>17570</v>
      </c>
      <c r="D13335" s="38" t="str">
        <f>IFERROR(__xludf.DUMMYFUNCTION("REGEXREPLACE(C13335,""-\d+(.*)|--\d+(.*)"","""")"),"COUZON")</f>
        <v>COUZON</v>
      </c>
      <c r="E13335" s="38" t="s">
        <v>160</v>
      </c>
      <c r="F13335" s="38" t="s">
        <v>161</v>
      </c>
      <c r="G13335" s="49" t="str">
        <f t="shared" si="1"/>
        <v>03160</v>
      </c>
      <c r="H13335" s="49" t="str">
        <f t="shared" si="2"/>
        <v>03090</v>
      </c>
    </row>
    <row r="13336">
      <c r="A13336" s="48" t="s">
        <v>3071</v>
      </c>
      <c r="B13336" s="38">
        <v>59548.0</v>
      </c>
      <c r="C13336" s="38" t="s">
        <v>17571</v>
      </c>
      <c r="D13336" s="38" t="str">
        <f>IFERROR(__xludf.DUMMYFUNCTION("REGEXREPLACE(C13336,""-\d+(.*)|--\d+(.*)"","""")"),"SAINT-WAAST")</f>
        <v>SAINT-WAAST</v>
      </c>
      <c r="E13336" s="38" t="s">
        <v>85</v>
      </c>
      <c r="F13336" s="38" t="s">
        <v>86</v>
      </c>
      <c r="G13336" s="49" t="str">
        <f t="shared" si="1"/>
        <v>59570</v>
      </c>
      <c r="H13336" s="49">
        <f t="shared" si="2"/>
        <v>59548</v>
      </c>
    </row>
    <row r="13337">
      <c r="A13337" s="48" t="s">
        <v>2848</v>
      </c>
      <c r="B13337" s="38">
        <v>51128.0</v>
      </c>
      <c r="C13337" s="38" t="s">
        <v>17572</v>
      </c>
      <c r="D13337" s="38" t="str">
        <f>IFERROR(__xludf.DUMMYFUNCTION("REGEXREPLACE(C13337,""-\d+(.*)|--\d+(.*)"","""")"),"LA CHAPELLE-SOUS-ORBAIS")</f>
        <v>LA CHAPELLE-SOUS-ORBAIS</v>
      </c>
      <c r="E13337" s="38" t="s">
        <v>129</v>
      </c>
      <c r="F13337" s="38" t="s">
        <v>130</v>
      </c>
      <c r="G13337" s="49" t="str">
        <f t="shared" si="1"/>
        <v>51270</v>
      </c>
      <c r="H13337" s="49">
        <f t="shared" si="2"/>
        <v>51128</v>
      </c>
    </row>
    <row r="13338">
      <c r="A13338" s="48" t="s">
        <v>10034</v>
      </c>
      <c r="B13338" s="38">
        <v>78389.0</v>
      </c>
      <c r="C13338" s="38" t="s">
        <v>17573</v>
      </c>
      <c r="D13338" s="38" t="str">
        <f>IFERROR(__xludf.DUMMYFUNCTION("REGEXREPLACE(C13338,""-\d+(.*)|--\d+(.*)"","""")"),"MERE")</f>
        <v>MERE</v>
      </c>
      <c r="E13338" s="38" t="s">
        <v>362</v>
      </c>
      <c r="F13338" s="38" t="s">
        <v>245</v>
      </c>
      <c r="G13338" s="49" t="str">
        <f t="shared" si="1"/>
        <v>78490</v>
      </c>
      <c r="H13338" s="49">
        <f t="shared" si="2"/>
        <v>78389</v>
      </c>
    </row>
    <row r="13339">
      <c r="A13339" s="48" t="s">
        <v>6002</v>
      </c>
      <c r="B13339" s="38">
        <v>18258.0</v>
      </c>
      <c r="C13339" s="38" t="s">
        <v>17574</v>
      </c>
      <c r="D13339" s="38" t="str">
        <f>IFERROR(__xludf.DUMMYFUNCTION("REGEXREPLACE(C13339,""-\d+(.*)|--\d+(.*)"","""")"),"SURY-EN-VAUX")</f>
        <v>SURY-EN-VAUX</v>
      </c>
      <c r="E13339" s="38" t="s">
        <v>504</v>
      </c>
      <c r="F13339" s="38" t="s">
        <v>123</v>
      </c>
      <c r="G13339" s="49" t="str">
        <f t="shared" si="1"/>
        <v>18300</v>
      </c>
      <c r="H13339" s="49">
        <f t="shared" si="2"/>
        <v>18258</v>
      </c>
    </row>
    <row r="13340">
      <c r="A13340" s="48" t="s">
        <v>7263</v>
      </c>
      <c r="B13340" s="38">
        <v>88094.0</v>
      </c>
      <c r="C13340" s="38" t="s">
        <v>17575</v>
      </c>
      <c r="D13340" s="38" t="str">
        <f>IFERROR(__xludf.DUMMYFUNCTION("REGEXREPLACE(C13340,""-\d+(.*)|--\d+(.*)"","""")"),"CHATEL-SUR-MOSELLE")</f>
        <v>CHATEL-SUR-MOSELLE</v>
      </c>
      <c r="E13340" s="38" t="s">
        <v>194</v>
      </c>
      <c r="F13340" s="38" t="s">
        <v>195</v>
      </c>
      <c r="G13340" s="49" t="str">
        <f t="shared" si="1"/>
        <v>88330</v>
      </c>
      <c r="H13340" s="49">
        <f t="shared" si="2"/>
        <v>88094</v>
      </c>
    </row>
    <row r="13341">
      <c r="A13341" s="48" t="s">
        <v>597</v>
      </c>
      <c r="B13341" s="38">
        <v>31178.0</v>
      </c>
      <c r="C13341" s="38" t="s">
        <v>17576</v>
      </c>
      <c r="D13341" s="38" t="str">
        <f>IFERROR(__xludf.DUMMYFUNCTION("REGEXREPLACE(C13341,""-\d+(.*)|--\d+(.*)"","""")"),"FABAS")</f>
        <v>FABAS</v>
      </c>
      <c r="E13341" s="38" t="s">
        <v>93</v>
      </c>
      <c r="F13341" s="38" t="s">
        <v>94</v>
      </c>
      <c r="G13341" s="49" t="str">
        <f t="shared" si="1"/>
        <v>31230</v>
      </c>
      <c r="H13341" s="49">
        <f t="shared" si="2"/>
        <v>31178</v>
      </c>
    </row>
    <row r="13342">
      <c r="A13342" s="48" t="s">
        <v>807</v>
      </c>
      <c r="B13342" s="38">
        <v>68093.0</v>
      </c>
      <c r="C13342" s="38" t="s">
        <v>17577</v>
      </c>
      <c r="D13342" s="38" t="str">
        <f>IFERROR(__xludf.DUMMYFUNCTION("REGEXREPLACE(C13342,""-\d+(.*)|--\d+(.*)"","""")"),"FLAXLANDEN")</f>
        <v>FLAXLANDEN</v>
      </c>
      <c r="E13342" s="38" t="s">
        <v>150</v>
      </c>
      <c r="F13342" s="38" t="s">
        <v>151</v>
      </c>
      <c r="G13342" s="49" t="str">
        <f t="shared" si="1"/>
        <v>68720</v>
      </c>
      <c r="H13342" s="49">
        <f t="shared" si="2"/>
        <v>68093</v>
      </c>
    </row>
    <row r="13343">
      <c r="A13343" s="48" t="s">
        <v>3089</v>
      </c>
      <c r="B13343" s="38">
        <v>18156.0</v>
      </c>
      <c r="C13343" s="38" t="s">
        <v>17578</v>
      </c>
      <c r="D13343" s="38" t="str">
        <f>IFERROR(__xludf.DUMMYFUNCTION("REGEXREPLACE(C13343,""-\d+(.*)|--\d+(.*)"","""")"),"MOROGUES")</f>
        <v>MOROGUES</v>
      </c>
      <c r="E13343" s="38" t="s">
        <v>504</v>
      </c>
      <c r="F13343" s="38" t="s">
        <v>123</v>
      </c>
      <c r="G13343" s="49" t="str">
        <f t="shared" si="1"/>
        <v>18220</v>
      </c>
      <c r="H13343" s="49">
        <f t="shared" si="2"/>
        <v>18156</v>
      </c>
    </row>
    <row r="13344">
      <c r="A13344" s="48" t="s">
        <v>425</v>
      </c>
      <c r="B13344" s="38">
        <v>88262.0</v>
      </c>
      <c r="C13344" s="38" t="s">
        <v>17579</v>
      </c>
      <c r="D13344" s="38" t="str">
        <f>IFERROR(__xludf.DUMMYFUNCTION("REGEXREPLACE(C13344,""-\d+(.*)|--\d+(.*)"","""")"),"LAVELINE-DEVANT-BRUYERES")</f>
        <v>LAVELINE-DEVANT-BRUYERES</v>
      </c>
      <c r="E13344" s="38" t="s">
        <v>194</v>
      </c>
      <c r="F13344" s="38" t="s">
        <v>195</v>
      </c>
      <c r="G13344" s="49" t="str">
        <f t="shared" si="1"/>
        <v>88600</v>
      </c>
      <c r="H13344" s="49">
        <f t="shared" si="2"/>
        <v>88262</v>
      </c>
    </row>
    <row r="13345">
      <c r="A13345" s="48" t="s">
        <v>2387</v>
      </c>
      <c r="B13345" s="38">
        <v>42151.0</v>
      </c>
      <c r="C13345" s="38" t="s">
        <v>17580</v>
      </c>
      <c r="D13345" s="38" t="str">
        <f>IFERROR(__xludf.DUMMYFUNCTION("REGEXREPLACE(C13345,""-\d+(.*)|--\d+(.*)"","""")"),"MORNAND-EN-FOREZ")</f>
        <v>MORNAND-EN-FOREZ</v>
      </c>
      <c r="E13345" s="38" t="s">
        <v>166</v>
      </c>
      <c r="F13345" s="38" t="s">
        <v>102</v>
      </c>
      <c r="G13345" s="49" t="str">
        <f t="shared" si="1"/>
        <v>42600</v>
      </c>
      <c r="H13345" s="49">
        <f t="shared" si="2"/>
        <v>42151</v>
      </c>
    </row>
    <row r="13346">
      <c r="A13346" s="48" t="s">
        <v>997</v>
      </c>
      <c r="B13346" s="38">
        <v>55217.0</v>
      </c>
      <c r="C13346" s="38" t="s">
        <v>17581</v>
      </c>
      <c r="D13346" s="38" t="str">
        <f>IFERROR(__xludf.DUMMYFUNCTION("REGEXREPLACE(C13346,""-\d+(.*)|--\d+(.*)"","""")"),"GOUSSAINCOURT")</f>
        <v>GOUSSAINCOURT</v>
      </c>
      <c r="E13346" s="38" t="s">
        <v>322</v>
      </c>
      <c r="F13346" s="38" t="s">
        <v>195</v>
      </c>
      <c r="G13346" s="49" t="str">
        <f t="shared" si="1"/>
        <v>55140</v>
      </c>
      <c r="H13346" s="49">
        <f t="shared" si="2"/>
        <v>55217</v>
      </c>
    </row>
    <row r="13347">
      <c r="A13347" s="48" t="s">
        <v>13932</v>
      </c>
      <c r="B13347" s="38">
        <v>19236.0</v>
      </c>
      <c r="C13347" s="38" t="s">
        <v>17582</v>
      </c>
      <c r="D13347" s="38" t="str">
        <f>IFERROR(__xludf.DUMMYFUNCTION("REGEXREPLACE(C13347,""-\d+(.*)|--\d+(.*)"","""")"),"SAINT-PRIEST-DE-GIMEL")</f>
        <v>SAINT-PRIEST-DE-GIMEL</v>
      </c>
      <c r="E13347" s="38" t="s">
        <v>271</v>
      </c>
      <c r="F13347" s="38" t="s">
        <v>98</v>
      </c>
      <c r="G13347" s="49" t="str">
        <f t="shared" si="1"/>
        <v>19800</v>
      </c>
      <c r="H13347" s="49">
        <f t="shared" si="2"/>
        <v>19236</v>
      </c>
    </row>
    <row r="13348">
      <c r="A13348" s="48" t="s">
        <v>11428</v>
      </c>
      <c r="B13348" s="38">
        <v>42033.0</v>
      </c>
      <c r="C13348" s="38" t="s">
        <v>17583</v>
      </c>
      <c r="D13348" s="38" t="str">
        <f>IFERROR(__xludf.DUMMYFUNCTION("REGEXREPLACE(C13348,""-\d+(.*)|--\d+(.*)"","""")"),"LE CERGNE")</f>
        <v>LE CERGNE</v>
      </c>
      <c r="E13348" s="38" t="s">
        <v>166</v>
      </c>
      <c r="F13348" s="38" t="s">
        <v>102</v>
      </c>
      <c r="G13348" s="49" t="str">
        <f t="shared" si="1"/>
        <v>42460</v>
      </c>
      <c r="H13348" s="49">
        <f t="shared" si="2"/>
        <v>42033</v>
      </c>
    </row>
    <row r="13349">
      <c r="A13349" s="48" t="s">
        <v>691</v>
      </c>
      <c r="B13349" s="38">
        <v>64305.0</v>
      </c>
      <c r="C13349" s="38" t="s">
        <v>17584</v>
      </c>
      <c r="D13349" s="38" t="str">
        <f>IFERROR(__xludf.DUMMYFUNCTION("REGEXREPLACE(C13349,""-\d+(.*)|--\d+(.*)"","""")"),"LAHONTAN")</f>
        <v>LAHONTAN</v>
      </c>
      <c r="E13349" s="38" t="s">
        <v>268</v>
      </c>
      <c r="F13349" s="38" t="s">
        <v>252</v>
      </c>
      <c r="G13349" s="49" t="str">
        <f t="shared" si="1"/>
        <v>64270</v>
      </c>
      <c r="H13349" s="49">
        <f t="shared" si="2"/>
        <v>64305</v>
      </c>
    </row>
    <row r="13350">
      <c r="A13350" s="48" t="s">
        <v>3789</v>
      </c>
      <c r="B13350" s="38">
        <v>51150.0</v>
      </c>
      <c r="C13350" s="38" t="s">
        <v>17585</v>
      </c>
      <c r="D13350" s="38" t="str">
        <f>IFERROR(__xludf.DUMMYFUNCTION("REGEXREPLACE(C13350,""-\d+(.*)|--\d+(.*)"","""")"),"CHERVILLE")</f>
        <v>CHERVILLE</v>
      </c>
      <c r="E13350" s="38" t="s">
        <v>129</v>
      </c>
      <c r="F13350" s="38" t="s">
        <v>130</v>
      </c>
      <c r="G13350" s="49" t="str">
        <f t="shared" si="1"/>
        <v>51150</v>
      </c>
      <c r="H13350" s="49">
        <f t="shared" si="2"/>
        <v>51150</v>
      </c>
    </row>
    <row r="13351">
      <c r="A13351" s="48" t="s">
        <v>1108</v>
      </c>
      <c r="B13351" s="38">
        <v>27614.0</v>
      </c>
      <c r="C13351" s="38" t="s">
        <v>16509</v>
      </c>
      <c r="D13351" s="38" t="str">
        <f>IFERROR(__xludf.DUMMYFUNCTION("REGEXREPLACE(C13351,""-\d+(.*)|--\d+(.*)"","""")"),"SANCOURT")</f>
        <v>SANCOURT</v>
      </c>
      <c r="E13351" s="38" t="s">
        <v>241</v>
      </c>
      <c r="F13351" s="38" t="s">
        <v>134</v>
      </c>
      <c r="G13351" s="49" t="str">
        <f t="shared" si="1"/>
        <v>27150</v>
      </c>
      <c r="H13351" s="49">
        <f t="shared" si="2"/>
        <v>27614</v>
      </c>
    </row>
    <row r="13352">
      <c r="A13352" s="48" t="s">
        <v>15152</v>
      </c>
      <c r="B13352" s="38">
        <v>67031.0</v>
      </c>
      <c r="C13352" s="38" t="s">
        <v>17586</v>
      </c>
      <c r="D13352" s="38" t="str">
        <f>IFERROR(__xludf.DUMMYFUNCTION("REGEXREPLACE(C13352,""-\d+(.*)|--\d+(.*)"","""")"),"BERNARDSWILLER")</f>
        <v>BERNARDSWILLER</v>
      </c>
      <c r="E13352" s="38" t="s">
        <v>210</v>
      </c>
      <c r="F13352" s="38" t="s">
        <v>151</v>
      </c>
      <c r="G13352" s="49" t="str">
        <f t="shared" si="1"/>
        <v>67210</v>
      </c>
      <c r="H13352" s="49">
        <f t="shared" si="2"/>
        <v>67031</v>
      </c>
    </row>
    <row r="13353">
      <c r="A13353" s="48" t="s">
        <v>1400</v>
      </c>
      <c r="B13353" s="38">
        <v>21392.0</v>
      </c>
      <c r="C13353" s="38" t="s">
        <v>17587</v>
      </c>
      <c r="D13353" s="38" t="str">
        <f>IFERROR(__xludf.DUMMYFUNCTION("REGEXREPLACE(C13353,""-\d+(.*)|--\d+(.*)"","""")"),"MARTROIS")</f>
        <v>MARTROIS</v>
      </c>
      <c r="E13353" s="38" t="s">
        <v>105</v>
      </c>
      <c r="F13353" s="38" t="s">
        <v>106</v>
      </c>
      <c r="G13353" s="49" t="str">
        <f t="shared" si="1"/>
        <v>21320</v>
      </c>
      <c r="H13353" s="49">
        <f t="shared" si="2"/>
        <v>21392</v>
      </c>
    </row>
    <row r="13354">
      <c r="A13354" s="48" t="s">
        <v>4290</v>
      </c>
      <c r="B13354" s="38">
        <v>69009.0</v>
      </c>
      <c r="C13354" s="38" t="s">
        <v>17588</v>
      </c>
      <c r="D13354" s="38" t="str">
        <f>IFERROR(__xludf.DUMMYFUNCTION("REGEXREPLACE(C13354,""-\d+(.*)|--\d+(.*)"","""")"),"ANSE")</f>
        <v>ANSE</v>
      </c>
      <c r="E13354" s="38" t="s">
        <v>350</v>
      </c>
      <c r="F13354" s="38" t="s">
        <v>102</v>
      </c>
      <c r="G13354" s="49" t="str">
        <f t="shared" si="1"/>
        <v>69480</v>
      </c>
      <c r="H13354" s="49">
        <f t="shared" si="2"/>
        <v>69009</v>
      </c>
    </row>
    <row r="13355">
      <c r="A13355" s="48" t="s">
        <v>466</v>
      </c>
      <c r="B13355" s="38">
        <v>52030.0</v>
      </c>
      <c r="C13355" s="38" t="s">
        <v>17589</v>
      </c>
      <c r="D13355" s="38" t="str">
        <f>IFERROR(__xludf.DUMMYFUNCTION("REGEXREPLACE(C13355,""-\d+(.*)|--\d+(.*)"","""")"),"AUTIGNY-LE-PETIT")</f>
        <v>AUTIGNY-LE-PETIT</v>
      </c>
      <c r="E13355" s="38" t="s">
        <v>234</v>
      </c>
      <c r="F13355" s="38" t="s">
        <v>130</v>
      </c>
      <c r="G13355" s="49" t="str">
        <f t="shared" si="1"/>
        <v>52300</v>
      </c>
      <c r="H13355" s="49">
        <f t="shared" si="2"/>
        <v>52030</v>
      </c>
    </row>
    <row r="13356">
      <c r="A13356" s="48" t="s">
        <v>3244</v>
      </c>
      <c r="B13356" s="38">
        <v>27353.0</v>
      </c>
      <c r="C13356" s="38" t="s">
        <v>17590</v>
      </c>
      <c r="D13356" s="38" t="str">
        <f>IFERROR(__xludf.DUMMYFUNCTION("REGEXREPLACE(C13356,""-\d+(.*)|--\d+(.*)"","""")"),"IRREVILLE")</f>
        <v>IRREVILLE</v>
      </c>
      <c r="E13356" s="38" t="s">
        <v>241</v>
      </c>
      <c r="F13356" s="38" t="s">
        <v>134</v>
      </c>
      <c r="G13356" s="49" t="str">
        <f t="shared" si="1"/>
        <v>27930</v>
      </c>
      <c r="H13356" s="49">
        <f t="shared" si="2"/>
        <v>27353</v>
      </c>
    </row>
    <row r="13357">
      <c r="A13357" s="48" t="s">
        <v>7351</v>
      </c>
      <c r="B13357" s="38">
        <v>56016.0</v>
      </c>
      <c r="C13357" s="38" t="s">
        <v>17591</v>
      </c>
      <c r="D13357" s="38" t="str">
        <f>IFERROR(__xludf.DUMMYFUNCTION("REGEXREPLACE(C13357,""-\d+(.*)|--\d+(.*)"","""")"),"BIEUZY")</f>
        <v>BIEUZY</v>
      </c>
      <c r="E13357" s="38" t="s">
        <v>173</v>
      </c>
      <c r="F13357" s="38" t="s">
        <v>90</v>
      </c>
      <c r="G13357" s="49" t="str">
        <f t="shared" si="1"/>
        <v>56310</v>
      </c>
      <c r="H13357" s="49">
        <f t="shared" si="2"/>
        <v>56016</v>
      </c>
    </row>
    <row r="13358">
      <c r="A13358" s="48" t="s">
        <v>12360</v>
      </c>
      <c r="B13358" s="38">
        <v>74064.0</v>
      </c>
      <c r="C13358" s="38" t="s">
        <v>17592</v>
      </c>
      <c r="D13358" s="38" t="str">
        <f>IFERROR(__xludf.DUMMYFUNCTION("REGEXREPLACE(C13358,""-\d+(.*)|--\d+(.*)"","""")"),"CHATILLON-SUR-CLUSES")</f>
        <v>CHATILLON-SUR-CLUSES</v>
      </c>
      <c r="E13358" s="38" t="s">
        <v>319</v>
      </c>
      <c r="F13358" s="38" t="s">
        <v>102</v>
      </c>
      <c r="G13358" s="49" t="str">
        <f t="shared" si="1"/>
        <v>74300</v>
      </c>
      <c r="H13358" s="49">
        <f t="shared" si="2"/>
        <v>74064</v>
      </c>
    </row>
    <row r="13359">
      <c r="A13359" s="48" t="s">
        <v>1501</v>
      </c>
      <c r="B13359" s="38">
        <v>39442.0</v>
      </c>
      <c r="C13359" s="38" t="s">
        <v>17593</v>
      </c>
      <c r="D13359" s="38" t="str">
        <f>IFERROR(__xludf.DUMMYFUNCTION("REGEXREPLACE(C13359,""-\d+(.*)|--\d+(.*)"","""")"),"PRENOVEL")</f>
        <v>PRENOVEL</v>
      </c>
      <c r="E13359" s="38" t="s">
        <v>400</v>
      </c>
      <c r="F13359" s="38" t="s">
        <v>214</v>
      </c>
      <c r="G13359" s="49" t="str">
        <f t="shared" si="1"/>
        <v>39150</v>
      </c>
      <c r="H13359" s="49">
        <f t="shared" si="2"/>
        <v>39442</v>
      </c>
    </row>
    <row r="13360">
      <c r="A13360" s="48" t="s">
        <v>1268</v>
      </c>
      <c r="B13360" s="38">
        <v>8255.0</v>
      </c>
      <c r="C13360" s="38" t="s">
        <v>17594</v>
      </c>
      <c r="D13360" s="38" t="str">
        <f>IFERROR(__xludf.DUMMYFUNCTION("REGEXREPLACE(C13360,""-\d+(.*)|--\d+(.*)"","""")"),"LINAY")</f>
        <v>LINAY</v>
      </c>
      <c r="E13360" s="38" t="s">
        <v>327</v>
      </c>
      <c r="F13360" s="38" t="s">
        <v>130</v>
      </c>
      <c r="G13360" s="49" t="str">
        <f t="shared" si="1"/>
        <v>08110</v>
      </c>
      <c r="H13360" s="49" t="str">
        <f t="shared" si="2"/>
        <v>08255</v>
      </c>
    </row>
    <row r="13361">
      <c r="A13361" s="48" t="s">
        <v>3382</v>
      </c>
      <c r="B13361" s="38">
        <v>41128.0</v>
      </c>
      <c r="C13361" s="38" t="s">
        <v>17595</v>
      </c>
      <c r="D13361" s="38" t="str">
        <f>IFERROR(__xludf.DUMMYFUNCTION("REGEXREPLACE(C13361,""-\d+(.*)|--\d+(.*)"","""")"),"MAROLLES")</f>
        <v>MAROLLES</v>
      </c>
      <c r="E13361" s="38" t="s">
        <v>188</v>
      </c>
      <c r="F13361" s="38" t="s">
        <v>123</v>
      </c>
      <c r="G13361" s="49" t="str">
        <f t="shared" si="1"/>
        <v>41330</v>
      </c>
      <c r="H13361" s="49">
        <f t="shared" si="2"/>
        <v>41128</v>
      </c>
    </row>
    <row r="13362">
      <c r="A13362" s="48" t="s">
        <v>17596</v>
      </c>
      <c r="B13362" s="38">
        <v>57368.0</v>
      </c>
      <c r="C13362" s="38" t="s">
        <v>17597</v>
      </c>
      <c r="D13362" s="38" t="str">
        <f>IFERROR(__xludf.DUMMYFUNCTION("REGEXREPLACE(C13362,""-\d+(.*)|--\d+(.*)"","""")"),"KNUTANGE")</f>
        <v>KNUTANGE</v>
      </c>
      <c r="E13362" s="38" t="s">
        <v>303</v>
      </c>
      <c r="F13362" s="38" t="s">
        <v>195</v>
      </c>
      <c r="G13362" s="49" t="str">
        <f t="shared" si="1"/>
        <v>57240</v>
      </c>
      <c r="H13362" s="49">
        <f t="shared" si="2"/>
        <v>57368</v>
      </c>
    </row>
    <row r="13363">
      <c r="A13363" s="48" t="s">
        <v>6728</v>
      </c>
      <c r="B13363" s="38">
        <v>89016.0</v>
      </c>
      <c r="C13363" s="38" t="s">
        <v>17598</v>
      </c>
      <c r="D13363" s="38" t="str">
        <f>IFERROR(__xludf.DUMMYFUNCTION("REGEXREPLACE(C13363,""-\d+(.*)|--\d+(.*)"","""")"),"ARGENTENAY")</f>
        <v>ARGENTENAY</v>
      </c>
      <c r="E13363" s="38" t="s">
        <v>275</v>
      </c>
      <c r="F13363" s="38" t="s">
        <v>106</v>
      </c>
      <c r="G13363" s="49" t="str">
        <f t="shared" si="1"/>
        <v>89160</v>
      </c>
      <c r="H13363" s="49">
        <f t="shared" si="2"/>
        <v>89016</v>
      </c>
    </row>
    <row r="13364">
      <c r="A13364" s="48" t="s">
        <v>6658</v>
      </c>
      <c r="B13364" s="38">
        <v>53032.0</v>
      </c>
      <c r="C13364" s="38" t="s">
        <v>17599</v>
      </c>
      <c r="D13364" s="38" t="str">
        <f>IFERROR(__xludf.DUMMYFUNCTION("REGEXREPLACE(C13364,""-\d+(.*)|--\d+(.*)"","""")"),"BLANDOUET")</f>
        <v>BLANDOUET</v>
      </c>
      <c r="E13364" s="38" t="s">
        <v>518</v>
      </c>
      <c r="F13364" s="38" t="s">
        <v>180</v>
      </c>
      <c r="G13364" s="49" t="str">
        <f t="shared" si="1"/>
        <v>53270</v>
      </c>
      <c r="H13364" s="49">
        <f t="shared" si="2"/>
        <v>53032</v>
      </c>
    </row>
    <row r="13365">
      <c r="A13365" s="48" t="s">
        <v>12407</v>
      </c>
      <c r="B13365" s="38">
        <v>38279.0</v>
      </c>
      <c r="C13365" s="38" t="s">
        <v>17600</v>
      </c>
      <c r="D13365" s="38" t="str">
        <f>IFERROR(__xludf.DUMMYFUNCTION("REGEXREPLACE(C13365,""-\d+(.*)|--\d+(.*)"","""")"),"NOTRE-DAME-DE-MESAGE")</f>
        <v>NOTRE-DAME-DE-MESAGE</v>
      </c>
      <c r="E13365" s="38" t="s">
        <v>101</v>
      </c>
      <c r="F13365" s="38" t="s">
        <v>102</v>
      </c>
      <c r="G13365" s="49" t="str">
        <f t="shared" si="1"/>
        <v>38220</v>
      </c>
      <c r="H13365" s="49">
        <f t="shared" si="2"/>
        <v>38279</v>
      </c>
    </row>
    <row r="13366">
      <c r="A13366" s="48" t="s">
        <v>430</v>
      </c>
      <c r="B13366" s="38">
        <v>2792.0</v>
      </c>
      <c r="C13366" s="38" t="s">
        <v>17601</v>
      </c>
      <c r="D13366" s="38" t="str">
        <f>IFERROR(__xludf.DUMMYFUNCTION("REGEXREPLACE(C13366,""-\d+(.*)|--\d+(.*)"","""")"),"VEUILLY-LA-POTERIE")</f>
        <v>VEUILLY-LA-POTERIE</v>
      </c>
      <c r="E13366" s="38" t="s">
        <v>191</v>
      </c>
      <c r="F13366" s="38" t="s">
        <v>113</v>
      </c>
      <c r="G13366" s="49" t="str">
        <f t="shared" si="1"/>
        <v>02810</v>
      </c>
      <c r="H13366" s="49" t="str">
        <f t="shared" si="2"/>
        <v>02792</v>
      </c>
    </row>
    <row r="13367">
      <c r="A13367" s="48" t="s">
        <v>781</v>
      </c>
      <c r="B13367" s="38">
        <v>65038.0</v>
      </c>
      <c r="C13367" s="38" t="s">
        <v>8725</v>
      </c>
      <c r="D13367" s="38" t="str">
        <f>IFERROR(__xludf.DUMMYFUNCTION("REGEXREPLACE(C13367,""-\d+(.*)|--\d+(.*)"","""")"),"ARTIGUES")</f>
        <v>ARTIGUES</v>
      </c>
      <c r="E13367" s="38" t="s">
        <v>200</v>
      </c>
      <c r="F13367" s="38" t="s">
        <v>94</v>
      </c>
      <c r="G13367" s="49" t="str">
        <f t="shared" si="1"/>
        <v>65100</v>
      </c>
      <c r="H13367" s="49">
        <f t="shared" si="2"/>
        <v>65038</v>
      </c>
    </row>
    <row r="13368">
      <c r="A13368" s="48" t="s">
        <v>17602</v>
      </c>
      <c r="B13368" s="38">
        <v>22103.0</v>
      </c>
      <c r="C13368" s="38" t="s">
        <v>17603</v>
      </c>
      <c r="D13368" s="38" t="str">
        <f>IFERROR(__xludf.DUMMYFUNCTION("REGEXREPLACE(C13368,""-\d+(.*)|--\d+(.*)"","""")"),"LANGROLAY-SUR-RANCE")</f>
        <v>LANGROLAY-SUR-RANCE</v>
      </c>
      <c r="E13368" s="38" t="s">
        <v>89</v>
      </c>
      <c r="F13368" s="38" t="s">
        <v>90</v>
      </c>
      <c r="G13368" s="49" t="str">
        <f t="shared" si="1"/>
        <v>22490</v>
      </c>
      <c r="H13368" s="49">
        <f t="shared" si="2"/>
        <v>22103</v>
      </c>
    </row>
    <row r="13369">
      <c r="A13369" s="48" t="s">
        <v>8267</v>
      </c>
      <c r="B13369" s="38">
        <v>22361.0</v>
      </c>
      <c r="C13369" s="38" t="s">
        <v>17604</v>
      </c>
      <c r="D13369" s="38" t="str">
        <f>IFERROR(__xludf.DUMMYFUNCTION("REGEXREPLACE(C13369,""-\d+(.*)|--\d+(.*)"","""")"),"TREGUIDEL")</f>
        <v>TREGUIDEL</v>
      </c>
      <c r="E13369" s="38" t="s">
        <v>89</v>
      </c>
      <c r="F13369" s="38" t="s">
        <v>90</v>
      </c>
      <c r="G13369" s="49" t="str">
        <f t="shared" si="1"/>
        <v>22290</v>
      </c>
      <c r="H13369" s="49">
        <f t="shared" si="2"/>
        <v>22361</v>
      </c>
    </row>
    <row r="13370">
      <c r="A13370" s="48" t="s">
        <v>17605</v>
      </c>
      <c r="B13370" s="38">
        <v>43246.0</v>
      </c>
      <c r="C13370" s="38" t="s">
        <v>17606</v>
      </c>
      <c r="D13370" s="38" t="str">
        <f>IFERROR(__xludf.DUMMYFUNCTION("REGEXREPLACE(C13370,""-\d+(.*)|--\d+(.*)"","""")"),"TIRANGES")</f>
        <v>TIRANGES</v>
      </c>
      <c r="E13370" s="38" t="s">
        <v>332</v>
      </c>
      <c r="F13370" s="38" t="s">
        <v>161</v>
      </c>
      <c r="G13370" s="49" t="str">
        <f t="shared" si="1"/>
        <v>43530</v>
      </c>
      <c r="H13370" s="49">
        <f t="shared" si="2"/>
        <v>43246</v>
      </c>
    </row>
    <row r="13371">
      <c r="A13371" s="48" t="s">
        <v>3725</v>
      </c>
      <c r="B13371" s="38">
        <v>50334.0</v>
      </c>
      <c r="C13371" s="38" t="s">
        <v>17607</v>
      </c>
      <c r="D13371" s="38" t="str">
        <f>IFERROR(__xludf.DUMMYFUNCTION("REGEXREPLACE(C13371,""-\d+(.*)|--\d+(.*)"","""")"),"MONTABOT")</f>
        <v>MONTABOT</v>
      </c>
      <c r="E13371" s="38" t="s">
        <v>157</v>
      </c>
      <c r="F13371" s="38" t="s">
        <v>138</v>
      </c>
      <c r="G13371" s="49" t="str">
        <f t="shared" si="1"/>
        <v>50410</v>
      </c>
      <c r="H13371" s="49">
        <f t="shared" si="2"/>
        <v>50334</v>
      </c>
    </row>
    <row r="13372">
      <c r="A13372" s="48" t="s">
        <v>5038</v>
      </c>
      <c r="B13372" s="38">
        <v>17394.0</v>
      </c>
      <c r="C13372" s="38" t="s">
        <v>17608</v>
      </c>
      <c r="D13372" s="38" t="str">
        <f>IFERROR(__xludf.DUMMYFUNCTION("REGEXREPLACE(C13372,""-\d+(.*)|--\d+(.*)"","""")"),"SAINT-SATURNIN-DU-BOIS")</f>
        <v>SAINT-SATURNIN-DU-BOIS</v>
      </c>
      <c r="E13372" s="38" t="s">
        <v>488</v>
      </c>
      <c r="F13372" s="38" t="s">
        <v>338</v>
      </c>
      <c r="G13372" s="49" t="str">
        <f t="shared" si="1"/>
        <v>17700</v>
      </c>
      <c r="H13372" s="49">
        <f t="shared" si="2"/>
        <v>17394</v>
      </c>
    </row>
    <row r="13373">
      <c r="A13373" s="48" t="s">
        <v>5513</v>
      </c>
      <c r="B13373" s="38">
        <v>57685.0</v>
      </c>
      <c r="C13373" s="38" t="s">
        <v>17609</v>
      </c>
      <c r="D13373" s="38" t="str">
        <f>IFERROR(__xludf.DUMMYFUNCTION("REGEXREPLACE(C13373,""-\d+(.*)|--\d+(.*)"","""")"),"VAHL-LES-BENESTROFF")</f>
        <v>VAHL-LES-BENESTROFF</v>
      </c>
      <c r="E13373" s="38" t="s">
        <v>303</v>
      </c>
      <c r="F13373" s="38" t="s">
        <v>195</v>
      </c>
      <c r="G13373" s="49" t="str">
        <f t="shared" si="1"/>
        <v>57670</v>
      </c>
      <c r="H13373" s="49">
        <f t="shared" si="2"/>
        <v>57685</v>
      </c>
    </row>
    <row r="13374">
      <c r="A13374" s="48" t="s">
        <v>7501</v>
      </c>
      <c r="B13374" s="38">
        <v>9256.0</v>
      </c>
      <c r="C13374" s="38" t="s">
        <v>17610</v>
      </c>
      <c r="D13374" s="38" t="str">
        <f>IFERROR(__xludf.DUMMYFUNCTION("REGEXREPLACE(C13374,""-\d+(.*)|--\d+(.*)"","""")"),"SAINT-BAUZEIL")</f>
        <v>SAINT-BAUZEIL</v>
      </c>
      <c r="E13374" s="38" t="s">
        <v>238</v>
      </c>
      <c r="F13374" s="38" t="s">
        <v>94</v>
      </c>
      <c r="G13374" s="49" t="str">
        <f t="shared" si="1"/>
        <v>09120</v>
      </c>
      <c r="H13374" s="49" t="str">
        <f t="shared" si="2"/>
        <v>09256</v>
      </c>
    </row>
    <row r="13375">
      <c r="A13375" s="48" t="s">
        <v>15404</v>
      </c>
      <c r="B13375" s="38">
        <v>63428.0</v>
      </c>
      <c r="C13375" s="38" t="s">
        <v>17611</v>
      </c>
      <c r="D13375" s="38" t="str">
        <f>IFERROR(__xludf.DUMMYFUNCTION("REGEXREPLACE(C13375,""-\d+(.*)|--\d+(.*)"","""")"),"TEILHET")</f>
        <v>TEILHET</v>
      </c>
      <c r="E13375" s="38" t="s">
        <v>353</v>
      </c>
      <c r="F13375" s="38" t="s">
        <v>161</v>
      </c>
      <c r="G13375" s="49" t="str">
        <f t="shared" si="1"/>
        <v>63560</v>
      </c>
      <c r="H13375" s="49">
        <f t="shared" si="2"/>
        <v>63428</v>
      </c>
    </row>
    <row r="13376">
      <c r="A13376" s="48" t="s">
        <v>454</v>
      </c>
      <c r="B13376" s="38">
        <v>71355.0</v>
      </c>
      <c r="C13376" s="38" t="s">
        <v>17612</v>
      </c>
      <c r="D13376" s="38" t="str">
        <f>IFERROR(__xludf.DUMMYFUNCTION("REGEXREPLACE(C13376,""-\d+(.*)|--\d+(.*)"","""")"),"PONTOUX")</f>
        <v>PONTOUX</v>
      </c>
      <c r="E13376" s="38" t="s">
        <v>344</v>
      </c>
      <c r="F13376" s="38" t="s">
        <v>106</v>
      </c>
      <c r="G13376" s="49" t="str">
        <f t="shared" si="1"/>
        <v>71270</v>
      </c>
      <c r="H13376" s="49">
        <f t="shared" si="2"/>
        <v>71355</v>
      </c>
    </row>
    <row r="13377">
      <c r="A13377" s="48" t="s">
        <v>6328</v>
      </c>
      <c r="B13377" s="38">
        <v>30308.0</v>
      </c>
      <c r="C13377" s="38" t="s">
        <v>17613</v>
      </c>
      <c r="D13377" s="38" t="str">
        <f>IFERROR(__xludf.DUMMYFUNCTION("REGEXREPLACE(C13377,""-\d+(.*)|--\d+(.*)"","""")"),"SANILHAC-SAGRIES")</f>
        <v>SANILHAC-SAGRIES</v>
      </c>
      <c r="E13377" s="38" t="s">
        <v>526</v>
      </c>
      <c r="F13377" s="38" t="s">
        <v>119</v>
      </c>
      <c r="G13377" s="49" t="str">
        <f t="shared" si="1"/>
        <v>30700</v>
      </c>
      <c r="H13377" s="49">
        <f t="shared" si="2"/>
        <v>30308</v>
      </c>
    </row>
    <row r="13378">
      <c r="A13378" s="48" t="s">
        <v>3718</v>
      </c>
      <c r="B13378" s="38">
        <v>62878.0</v>
      </c>
      <c r="C13378" s="38" t="s">
        <v>8879</v>
      </c>
      <c r="D13378" s="38" t="str">
        <f>IFERROR(__xludf.DUMMYFUNCTION("REGEXREPLACE(C13378,""-\d+(.*)|--\d+(.*)"","""")"),"WARLUS")</f>
        <v>WARLUS</v>
      </c>
      <c r="E13378" s="38" t="s">
        <v>109</v>
      </c>
      <c r="F13378" s="38" t="s">
        <v>86</v>
      </c>
      <c r="G13378" s="49" t="str">
        <f t="shared" si="1"/>
        <v>62123</v>
      </c>
      <c r="H13378" s="49">
        <f t="shared" si="2"/>
        <v>62878</v>
      </c>
    </row>
    <row r="13379">
      <c r="A13379" s="48" t="s">
        <v>17614</v>
      </c>
      <c r="B13379" s="38">
        <v>30022.0</v>
      </c>
      <c r="C13379" s="38" t="s">
        <v>17615</v>
      </c>
      <c r="D13379" s="38" t="str">
        <f>IFERROR(__xludf.DUMMYFUNCTION("REGEXREPLACE(C13379,""-\d+(.*)|--\d+(.*)"","""")"),"AUJAC")</f>
        <v>AUJAC</v>
      </c>
      <c r="E13379" s="38" t="s">
        <v>526</v>
      </c>
      <c r="F13379" s="38" t="s">
        <v>119</v>
      </c>
      <c r="G13379" s="49" t="str">
        <f t="shared" si="1"/>
        <v>30450</v>
      </c>
      <c r="H13379" s="49">
        <f t="shared" si="2"/>
        <v>30022</v>
      </c>
    </row>
    <row r="13380">
      <c r="A13380" s="48" t="s">
        <v>394</v>
      </c>
      <c r="B13380" s="38">
        <v>41291.0</v>
      </c>
      <c r="C13380" s="38" t="s">
        <v>17616</v>
      </c>
      <c r="D13380" s="38" t="str">
        <f>IFERROR(__xludf.DUMMYFUNCTION("REGEXREPLACE(C13380,""-\d+(.*)|--\d+(.*)"","""")"),"VILLETRUN")</f>
        <v>VILLETRUN</v>
      </c>
      <c r="E13380" s="38" t="s">
        <v>188</v>
      </c>
      <c r="F13380" s="38" t="s">
        <v>123</v>
      </c>
      <c r="G13380" s="49" t="str">
        <f t="shared" si="1"/>
        <v>41100</v>
      </c>
      <c r="H13380" s="49">
        <f t="shared" si="2"/>
        <v>41291</v>
      </c>
    </row>
    <row r="13381">
      <c r="A13381" s="48" t="s">
        <v>4880</v>
      </c>
      <c r="B13381" s="38">
        <v>89161.0</v>
      </c>
      <c r="C13381" s="38" t="s">
        <v>17617</v>
      </c>
      <c r="D13381" s="38" t="str">
        <f>IFERROR(__xludf.DUMMYFUNCTION("REGEXREPLACE(C13381,""-\d+(.*)|--\d+(.*)"","""")"),"ETIVEY")</f>
        <v>ETIVEY</v>
      </c>
      <c r="E13381" s="38" t="s">
        <v>275</v>
      </c>
      <c r="F13381" s="38" t="s">
        <v>106</v>
      </c>
      <c r="G13381" s="49" t="str">
        <f t="shared" si="1"/>
        <v>89310</v>
      </c>
      <c r="H13381" s="49">
        <f t="shared" si="2"/>
        <v>89161</v>
      </c>
    </row>
    <row r="13382">
      <c r="A13382" s="48" t="s">
        <v>4969</v>
      </c>
      <c r="B13382" s="38">
        <v>14034.0</v>
      </c>
      <c r="C13382" s="38" t="s">
        <v>17618</v>
      </c>
      <c r="D13382" s="38" t="str">
        <f>IFERROR(__xludf.DUMMYFUNCTION("REGEXREPLACE(C13382,""-\d+(.*)|--\d+(.*)"","""")"),"AVENAY")</f>
        <v>AVENAY</v>
      </c>
      <c r="E13382" s="38" t="s">
        <v>137</v>
      </c>
      <c r="F13382" s="38" t="s">
        <v>138</v>
      </c>
      <c r="G13382" s="49" t="str">
        <f t="shared" si="1"/>
        <v>14210</v>
      </c>
      <c r="H13382" s="49">
        <f t="shared" si="2"/>
        <v>14034</v>
      </c>
    </row>
    <row r="13383">
      <c r="A13383" s="48" t="s">
        <v>1124</v>
      </c>
      <c r="B13383" s="38">
        <v>61354.0</v>
      </c>
      <c r="C13383" s="38" t="s">
        <v>17619</v>
      </c>
      <c r="D13383" s="38" t="str">
        <f>IFERROR(__xludf.DUMMYFUNCTION("REGEXREPLACE(C13383,""-\d+(.*)|--\d+(.*)"","""")"),"LES ROTOURS")</f>
        <v>LES ROTOURS</v>
      </c>
      <c r="E13383" s="38" t="s">
        <v>141</v>
      </c>
      <c r="F13383" s="38" t="s">
        <v>138</v>
      </c>
      <c r="G13383" s="49" t="str">
        <f t="shared" si="1"/>
        <v>61210</v>
      </c>
      <c r="H13383" s="49">
        <f t="shared" si="2"/>
        <v>61354</v>
      </c>
    </row>
    <row r="13384">
      <c r="A13384" s="48" t="s">
        <v>256</v>
      </c>
      <c r="B13384" s="38">
        <v>36138.0</v>
      </c>
      <c r="C13384" s="38" t="s">
        <v>17620</v>
      </c>
      <c r="D13384" s="38" t="str">
        <f>IFERROR(__xludf.DUMMYFUNCTION("REGEXREPLACE(C13384,""-\d+(.*)|--\d+(.*)"","""")"),"NERET")</f>
        <v>NERET</v>
      </c>
      <c r="E13384" s="38" t="s">
        <v>258</v>
      </c>
      <c r="F13384" s="38" t="s">
        <v>123</v>
      </c>
      <c r="G13384" s="49" t="str">
        <f t="shared" si="1"/>
        <v>36400</v>
      </c>
      <c r="H13384" s="49">
        <f t="shared" si="2"/>
        <v>36138</v>
      </c>
    </row>
    <row r="13385">
      <c r="A13385" s="48" t="s">
        <v>17621</v>
      </c>
      <c r="B13385" s="38">
        <v>7094.0</v>
      </c>
      <c r="C13385" s="38" t="s">
        <v>17622</v>
      </c>
      <c r="D13385" s="38" t="str">
        <f>IFERROR(__xludf.DUMMYFUNCTION("REGEXREPLACE(C13385,""-\d+(.*)|--\d+(.*)"","""")"),"GILHAC-ET-BRUZAC")</f>
        <v>GILHAC-ET-BRUZAC</v>
      </c>
      <c r="E13385" s="38" t="s">
        <v>144</v>
      </c>
      <c r="F13385" s="38" t="s">
        <v>102</v>
      </c>
      <c r="G13385" s="49" t="str">
        <f t="shared" si="1"/>
        <v>07800</v>
      </c>
      <c r="H13385" s="49" t="str">
        <f t="shared" si="2"/>
        <v>07094</v>
      </c>
    </row>
    <row r="13386">
      <c r="A13386" s="48" t="s">
        <v>3869</v>
      </c>
      <c r="B13386" s="38">
        <v>21037.0</v>
      </c>
      <c r="C13386" s="38" t="s">
        <v>17623</v>
      </c>
      <c r="D13386" s="38" t="str">
        <f>IFERROR(__xludf.DUMMYFUNCTION("REGEXREPLACE(C13386,""-\d+(.*)|--\d+(.*)"","""")"),"AUXEY-DURESSES")</f>
        <v>AUXEY-DURESSES</v>
      </c>
      <c r="E13386" s="38" t="s">
        <v>105</v>
      </c>
      <c r="F13386" s="38" t="s">
        <v>106</v>
      </c>
      <c r="G13386" s="49" t="str">
        <f t="shared" si="1"/>
        <v>21190</v>
      </c>
      <c r="H13386" s="49">
        <f t="shared" si="2"/>
        <v>21037</v>
      </c>
    </row>
    <row r="13387">
      <c r="A13387" s="48" t="s">
        <v>4483</v>
      </c>
      <c r="B13387" s="38">
        <v>4115.0</v>
      </c>
      <c r="C13387" s="38" t="s">
        <v>17624</v>
      </c>
      <c r="D13387" s="38" t="str">
        <f>IFERROR(__xludf.DUMMYFUNCTION("REGEXREPLACE(C13387,""-\d+(.*)|--\d+(.*)"","""")"),"MEAILLES")</f>
        <v>MEAILLES</v>
      </c>
      <c r="E13387" s="38" t="s">
        <v>662</v>
      </c>
      <c r="F13387" s="38" t="s">
        <v>228</v>
      </c>
      <c r="G13387" s="49" t="str">
        <f t="shared" si="1"/>
        <v>04240</v>
      </c>
      <c r="H13387" s="49" t="str">
        <f t="shared" si="2"/>
        <v>04115</v>
      </c>
    </row>
    <row r="13388">
      <c r="A13388" s="48" t="s">
        <v>5466</v>
      </c>
      <c r="B13388" s="38">
        <v>88035.0</v>
      </c>
      <c r="C13388" s="38" t="s">
        <v>17625</v>
      </c>
      <c r="D13388" s="38" t="str">
        <f>IFERROR(__xludf.DUMMYFUNCTION("REGEXREPLACE(C13388,""-\d+(.*)|--\d+(.*)"","""")"),"BARBEY-SEROUX")</f>
        <v>BARBEY-SEROUX</v>
      </c>
      <c r="E13388" s="38" t="s">
        <v>194</v>
      </c>
      <c r="F13388" s="38" t="s">
        <v>195</v>
      </c>
      <c r="G13388" s="49" t="str">
        <f t="shared" si="1"/>
        <v>88640</v>
      </c>
      <c r="H13388" s="49">
        <f t="shared" si="2"/>
        <v>88035</v>
      </c>
    </row>
    <row r="13389">
      <c r="A13389" s="48" t="s">
        <v>8252</v>
      </c>
      <c r="B13389" s="38">
        <v>60529.0</v>
      </c>
      <c r="C13389" s="38" t="s">
        <v>17626</v>
      </c>
      <c r="D13389" s="38" t="str">
        <f>IFERROR(__xludf.DUMMYFUNCTION("REGEXREPLACE(C13389,""-\d+(.*)|--\d+(.*)"","""")"),"REMECOURT")</f>
        <v>REMECOURT</v>
      </c>
      <c r="E13389" s="38" t="s">
        <v>112</v>
      </c>
      <c r="F13389" s="38" t="s">
        <v>113</v>
      </c>
      <c r="G13389" s="49" t="str">
        <f t="shared" si="1"/>
        <v>60600</v>
      </c>
      <c r="H13389" s="49">
        <f t="shared" si="2"/>
        <v>60529</v>
      </c>
    </row>
    <row r="13390">
      <c r="A13390" s="48" t="s">
        <v>10847</v>
      </c>
      <c r="B13390" s="38">
        <v>77528.0</v>
      </c>
      <c r="C13390" s="38" t="s">
        <v>17627</v>
      </c>
      <c r="D13390" s="38" t="str">
        <f>IFERROR(__xludf.DUMMYFUNCTION("REGEXREPLACE(C13390,""-\d+(.*)|--\d+(.*)"","""")"),"VOISENON")</f>
        <v>VOISENON</v>
      </c>
      <c r="E13390" s="38" t="s">
        <v>244</v>
      </c>
      <c r="F13390" s="38" t="s">
        <v>245</v>
      </c>
      <c r="G13390" s="49" t="str">
        <f t="shared" si="1"/>
        <v>77950</v>
      </c>
      <c r="H13390" s="49">
        <f t="shared" si="2"/>
        <v>77528</v>
      </c>
    </row>
    <row r="13391">
      <c r="A13391" s="48" t="s">
        <v>7600</v>
      </c>
      <c r="B13391" s="38">
        <v>69182.0</v>
      </c>
      <c r="C13391" s="38" t="s">
        <v>17628</v>
      </c>
      <c r="D13391" s="38" t="str">
        <f>IFERROR(__xludf.DUMMYFUNCTION("REGEXREPLACE(C13391,""-\d+(.*)|--\d+(.*)"","""")"),"SAINT-BONNET-DES-BRUYERES")</f>
        <v>SAINT-BONNET-DES-BRUYERES</v>
      </c>
      <c r="E13391" s="38" t="s">
        <v>350</v>
      </c>
      <c r="F13391" s="38" t="s">
        <v>102</v>
      </c>
      <c r="G13391" s="49" t="str">
        <f t="shared" si="1"/>
        <v>69790</v>
      </c>
      <c r="H13391" s="49">
        <f t="shared" si="2"/>
        <v>69182</v>
      </c>
    </row>
    <row r="13392">
      <c r="A13392" s="48" t="s">
        <v>3344</v>
      </c>
      <c r="B13392" s="38">
        <v>76258.0</v>
      </c>
      <c r="C13392" s="38" t="s">
        <v>17629</v>
      </c>
      <c r="D13392" s="38" t="str">
        <f>IFERROR(__xludf.DUMMYFUNCTION("REGEXREPLACE(C13392,""-\d+(.*)|--\d+(.*)"","""")"),"FAUVILLE-EN-CAUX")</f>
        <v>FAUVILLE-EN-CAUX</v>
      </c>
      <c r="E13392" s="38" t="s">
        <v>133</v>
      </c>
      <c r="F13392" s="38" t="s">
        <v>134</v>
      </c>
      <c r="G13392" s="49" t="str">
        <f t="shared" si="1"/>
        <v>76640</v>
      </c>
      <c r="H13392" s="49">
        <f t="shared" si="2"/>
        <v>76258</v>
      </c>
    </row>
    <row r="13393">
      <c r="A13393" s="48" t="s">
        <v>2989</v>
      </c>
      <c r="B13393" s="38">
        <v>70059.0</v>
      </c>
      <c r="C13393" s="38" t="s">
        <v>17630</v>
      </c>
      <c r="D13393" s="38" t="str">
        <f>IFERROR(__xludf.DUMMYFUNCTION("REGEXREPLACE(C13393,""-\d+(.*)|--\d+(.*)"","""")"),"BEAUMOTTE-AUBERTANS")</f>
        <v>BEAUMOTTE-AUBERTANS</v>
      </c>
      <c r="E13393" s="38" t="s">
        <v>956</v>
      </c>
      <c r="F13393" s="38" t="s">
        <v>214</v>
      </c>
      <c r="G13393" s="49" t="str">
        <f t="shared" si="1"/>
        <v>70190</v>
      </c>
      <c r="H13393" s="49">
        <f t="shared" si="2"/>
        <v>70059</v>
      </c>
    </row>
    <row r="13394">
      <c r="A13394" s="48" t="s">
        <v>910</v>
      </c>
      <c r="B13394" s="38">
        <v>32322.0</v>
      </c>
      <c r="C13394" s="38" t="s">
        <v>17631</v>
      </c>
      <c r="D13394" s="38" t="str">
        <f>IFERROR(__xludf.DUMMYFUNCTION("REGEXREPLACE(C13394,""-\d+(.*)|--\d+(.*)"","""")"),"POMPIAC")</f>
        <v>POMPIAC</v>
      </c>
      <c r="E13394" s="38" t="s">
        <v>440</v>
      </c>
      <c r="F13394" s="38" t="s">
        <v>94</v>
      </c>
      <c r="G13394" s="49" t="str">
        <f t="shared" si="1"/>
        <v>32130</v>
      </c>
      <c r="H13394" s="49">
        <f t="shared" si="2"/>
        <v>32322</v>
      </c>
    </row>
    <row r="13395">
      <c r="A13395" s="48" t="s">
        <v>2744</v>
      </c>
      <c r="B13395" s="38">
        <v>17425.0</v>
      </c>
      <c r="C13395" s="38" t="s">
        <v>17632</v>
      </c>
      <c r="D13395" s="38" t="str">
        <f>IFERROR(__xludf.DUMMYFUNCTION("REGEXREPLACE(C13395,""-\d+(.*)|--\d+(.*)"","""")"),"SEMUSSAC")</f>
        <v>SEMUSSAC</v>
      </c>
      <c r="E13395" s="38" t="s">
        <v>488</v>
      </c>
      <c r="F13395" s="38" t="s">
        <v>338</v>
      </c>
      <c r="G13395" s="49" t="str">
        <f t="shared" si="1"/>
        <v>17120</v>
      </c>
      <c r="H13395" s="49">
        <f t="shared" si="2"/>
        <v>17425</v>
      </c>
    </row>
    <row r="13396">
      <c r="A13396" s="48" t="s">
        <v>6875</v>
      </c>
      <c r="B13396" s="38">
        <v>2526.0</v>
      </c>
      <c r="C13396" s="38" t="s">
        <v>17633</v>
      </c>
      <c r="D13396" s="38" t="str">
        <f>IFERROR(__xludf.DUMMYFUNCTION("REGEXREPLACE(C13396,""-\d+(.*)|--\d+(.*)"","""")"),"MORGNY-EN-THIERACHE")</f>
        <v>MORGNY-EN-THIERACHE</v>
      </c>
      <c r="E13396" s="38" t="s">
        <v>191</v>
      </c>
      <c r="F13396" s="38" t="s">
        <v>113</v>
      </c>
      <c r="G13396" s="49" t="str">
        <f t="shared" si="1"/>
        <v>02360</v>
      </c>
      <c r="H13396" s="49" t="str">
        <f t="shared" si="2"/>
        <v>02526</v>
      </c>
    </row>
    <row r="13397">
      <c r="A13397" s="48" t="s">
        <v>6761</v>
      </c>
      <c r="B13397" s="38">
        <v>1021.0</v>
      </c>
      <c r="C13397" s="38" t="s">
        <v>17634</v>
      </c>
      <c r="D13397" s="38" t="str">
        <f>IFERROR(__xludf.DUMMYFUNCTION("REGEXREPLACE(C13397,""-\d+(.*)|--\d+(.*)"","""")"),"ARS-SUR-FORMANS")</f>
        <v>ARS-SUR-FORMANS</v>
      </c>
      <c r="E13397" s="38" t="s">
        <v>255</v>
      </c>
      <c r="F13397" s="38" t="s">
        <v>102</v>
      </c>
      <c r="G13397" s="49" t="str">
        <f t="shared" si="1"/>
        <v>01480</v>
      </c>
      <c r="H13397" s="49" t="str">
        <f t="shared" si="2"/>
        <v>01021</v>
      </c>
    </row>
    <row r="13398">
      <c r="A13398" s="48" t="s">
        <v>11477</v>
      </c>
      <c r="B13398" s="38">
        <v>33454.0</v>
      </c>
      <c r="C13398" s="38" t="s">
        <v>17635</v>
      </c>
      <c r="D13398" s="38" t="str">
        <f>IFERROR(__xludf.DUMMYFUNCTION("REGEXREPLACE(C13398,""-\d+(.*)|--\d+(.*)"","""")"),"SAINT-MORILLON")</f>
        <v>SAINT-MORILLON</v>
      </c>
      <c r="E13398" s="38" t="s">
        <v>462</v>
      </c>
      <c r="F13398" s="38" t="s">
        <v>252</v>
      </c>
      <c r="G13398" s="49" t="str">
        <f t="shared" si="1"/>
        <v>33650</v>
      </c>
      <c r="H13398" s="49">
        <f t="shared" si="2"/>
        <v>33454</v>
      </c>
    </row>
    <row r="13399">
      <c r="A13399" s="48" t="s">
        <v>614</v>
      </c>
      <c r="B13399" s="38">
        <v>24376.0</v>
      </c>
      <c r="C13399" s="38" t="s">
        <v>17636</v>
      </c>
      <c r="D13399" s="38" t="str">
        <f>IFERROR(__xludf.DUMMYFUNCTION("REGEXREPLACE(C13399,""-\d+(.*)|--\d+(.*)"","""")"),"SAINT-AULAYE")</f>
        <v>SAINT-AULAYE</v>
      </c>
      <c r="E13399" s="38" t="s">
        <v>261</v>
      </c>
      <c r="F13399" s="38" t="s">
        <v>252</v>
      </c>
      <c r="G13399" s="49" t="str">
        <f t="shared" si="1"/>
        <v>24410</v>
      </c>
      <c r="H13399" s="49">
        <f t="shared" si="2"/>
        <v>24376</v>
      </c>
    </row>
    <row r="13400">
      <c r="A13400" s="48" t="s">
        <v>2567</v>
      </c>
      <c r="B13400" s="38">
        <v>6102.0</v>
      </c>
      <c r="C13400" s="38" t="s">
        <v>17637</v>
      </c>
      <c r="D13400" s="38" t="str">
        <f>IFERROR(__xludf.DUMMYFUNCTION("REGEXREPLACE(C13400,""-\d+(.*)|--\d+(.*)"","""")"),"RIMPLAS")</f>
        <v>RIMPLAS</v>
      </c>
      <c r="E13400" s="38" t="s">
        <v>227</v>
      </c>
      <c r="F13400" s="38" t="s">
        <v>228</v>
      </c>
      <c r="G13400" s="49" t="str">
        <f t="shared" si="1"/>
        <v>06420</v>
      </c>
      <c r="H13400" s="49" t="str">
        <f t="shared" si="2"/>
        <v>06102</v>
      </c>
    </row>
    <row r="13401">
      <c r="A13401" s="48" t="s">
        <v>1272</v>
      </c>
      <c r="B13401" s="38">
        <v>51087.0</v>
      </c>
      <c r="C13401" s="38" t="s">
        <v>17638</v>
      </c>
      <c r="D13401" s="38" t="str">
        <f>IFERROR(__xludf.DUMMYFUNCTION("REGEXREPLACE(C13401,""-\d+(.*)|--\d+(.*)"","""")"),"BREUVERY-SUR-COOLE")</f>
        <v>BREUVERY-SUR-COOLE</v>
      </c>
      <c r="E13401" s="38" t="s">
        <v>129</v>
      </c>
      <c r="F13401" s="38" t="s">
        <v>130</v>
      </c>
      <c r="G13401" s="49" t="str">
        <f t="shared" si="1"/>
        <v>51240</v>
      </c>
      <c r="H13401" s="49">
        <f t="shared" si="2"/>
        <v>51087</v>
      </c>
    </row>
    <row r="13402">
      <c r="A13402" s="48" t="s">
        <v>17639</v>
      </c>
      <c r="B13402" s="38">
        <v>88408.0</v>
      </c>
      <c r="C13402" s="38" t="s">
        <v>17640</v>
      </c>
      <c r="D13402" s="38" t="str">
        <f>IFERROR(__xludf.DUMMYFUNCTION("REGEXREPLACE(C13402,""-\d+(.*)|--\d+(.*)"","""")"),"RUPT-SUR-MOSELLE")</f>
        <v>RUPT-SUR-MOSELLE</v>
      </c>
      <c r="E13402" s="38" t="s">
        <v>194</v>
      </c>
      <c r="F13402" s="38" t="s">
        <v>195</v>
      </c>
      <c r="G13402" s="49" t="str">
        <f t="shared" si="1"/>
        <v>88360</v>
      </c>
      <c r="H13402" s="49">
        <f t="shared" si="2"/>
        <v>88408</v>
      </c>
    </row>
    <row r="13403">
      <c r="A13403" s="48" t="s">
        <v>4011</v>
      </c>
      <c r="B13403" s="38">
        <v>80611.0</v>
      </c>
      <c r="C13403" s="38" t="s">
        <v>17641</v>
      </c>
      <c r="D13403" s="38" t="str">
        <f>IFERROR(__xludf.DUMMYFUNCTION("REGEXREPLACE(C13403,""-\d+(.*)|--\d+(.*)"","""")"),"ORESMAUX")</f>
        <v>ORESMAUX</v>
      </c>
      <c r="E13403" s="38" t="s">
        <v>224</v>
      </c>
      <c r="F13403" s="38" t="s">
        <v>113</v>
      </c>
      <c r="G13403" s="49" t="str">
        <f t="shared" si="1"/>
        <v>80160</v>
      </c>
      <c r="H13403" s="49">
        <f t="shared" si="2"/>
        <v>80611</v>
      </c>
    </row>
    <row r="13404">
      <c r="A13404" s="48" t="s">
        <v>4599</v>
      </c>
      <c r="B13404" s="38">
        <v>70578.0</v>
      </c>
      <c r="C13404" s="38" t="s">
        <v>17642</v>
      </c>
      <c r="D13404" s="38" t="str">
        <f>IFERROR(__xludf.DUMMYFUNCTION("REGEXREPLACE(C13404,""-\d+(.*)|--\d+(.*)"","""")"),"VREGILLE")</f>
        <v>VREGILLE</v>
      </c>
      <c r="E13404" s="38" t="s">
        <v>956</v>
      </c>
      <c r="F13404" s="38" t="s">
        <v>214</v>
      </c>
      <c r="G13404" s="49" t="str">
        <f t="shared" si="1"/>
        <v>70150</v>
      </c>
      <c r="H13404" s="49">
        <f t="shared" si="2"/>
        <v>70578</v>
      </c>
    </row>
    <row r="13405">
      <c r="A13405" s="48" t="s">
        <v>1785</v>
      </c>
      <c r="B13405" s="38">
        <v>42235.0</v>
      </c>
      <c r="C13405" s="38" t="s">
        <v>17643</v>
      </c>
      <c r="D13405" s="38" t="str">
        <f>IFERROR(__xludf.DUMMYFUNCTION("REGEXREPLACE(C13405,""-\d+(.*)|--\d+(.*)"","""")"),"SAINT-HILAIRE-CUSSON-LA-VALMITTE")</f>
        <v>SAINT-HILAIRE-CUSSON-LA-VALMITTE</v>
      </c>
      <c r="E13405" s="38" t="s">
        <v>166</v>
      </c>
      <c r="F13405" s="38" t="s">
        <v>102</v>
      </c>
      <c r="G13405" s="49" t="str">
        <f t="shared" si="1"/>
        <v>42380</v>
      </c>
      <c r="H13405" s="49">
        <f t="shared" si="2"/>
        <v>42235</v>
      </c>
    </row>
    <row r="13406">
      <c r="A13406" s="48" t="s">
        <v>1368</v>
      </c>
      <c r="B13406" s="38">
        <v>8097.0</v>
      </c>
      <c r="C13406" s="38" t="s">
        <v>17644</v>
      </c>
      <c r="D13406" s="38" t="str">
        <f>IFERROR(__xludf.DUMMYFUNCTION("REGEXREPLACE(C13406,""-\d+(.*)|--\d+(.*)"","""")"),"CHALLERANGE")</f>
        <v>CHALLERANGE</v>
      </c>
      <c r="E13406" s="38" t="s">
        <v>327</v>
      </c>
      <c r="F13406" s="38" t="s">
        <v>130</v>
      </c>
      <c r="G13406" s="49" t="str">
        <f t="shared" si="1"/>
        <v>08400</v>
      </c>
      <c r="H13406" s="49" t="str">
        <f t="shared" si="2"/>
        <v>08097</v>
      </c>
    </row>
    <row r="13407">
      <c r="A13407" s="48" t="s">
        <v>16561</v>
      </c>
      <c r="B13407" s="38">
        <v>27007.0</v>
      </c>
      <c r="C13407" s="38" t="s">
        <v>17645</v>
      </c>
      <c r="D13407" s="38" t="str">
        <f>IFERROR(__xludf.DUMMYFUNCTION("REGEXREPLACE(C13407,""-\d+(.*)|--\d+(.*)"","""")"),"AJOU")</f>
        <v>AJOU</v>
      </c>
      <c r="E13407" s="38" t="s">
        <v>241</v>
      </c>
      <c r="F13407" s="38" t="s">
        <v>134</v>
      </c>
      <c r="G13407" s="49" t="str">
        <f t="shared" si="1"/>
        <v>27410</v>
      </c>
      <c r="H13407" s="49">
        <f t="shared" si="2"/>
        <v>27007</v>
      </c>
    </row>
    <row r="13408">
      <c r="A13408" s="48" t="s">
        <v>4065</v>
      </c>
      <c r="B13408" s="38">
        <v>21498.0</v>
      </c>
      <c r="C13408" s="38" t="s">
        <v>17646</v>
      </c>
      <c r="D13408" s="38" t="str">
        <f>IFERROR(__xludf.DUMMYFUNCTION("REGEXREPLACE(C13408,""-\d+(.*)|--\d+(.*)"","""")"),"POSANGES")</f>
        <v>POSANGES</v>
      </c>
      <c r="E13408" s="38" t="s">
        <v>105</v>
      </c>
      <c r="F13408" s="38" t="s">
        <v>106</v>
      </c>
      <c r="G13408" s="49" t="str">
        <f t="shared" si="1"/>
        <v>21350</v>
      </c>
      <c r="H13408" s="49">
        <f t="shared" si="2"/>
        <v>21498</v>
      </c>
    </row>
    <row r="13409">
      <c r="A13409" s="48" t="s">
        <v>7263</v>
      </c>
      <c r="B13409" s="38">
        <v>88143.0</v>
      </c>
      <c r="C13409" s="38" t="s">
        <v>17647</v>
      </c>
      <c r="D13409" s="38" t="str">
        <f>IFERROR(__xludf.DUMMYFUNCTION("REGEXREPLACE(C13409,""-\d+(.*)|--\d+(.*)"","""")"),"DOMEVRE-SUR-DURBION")</f>
        <v>DOMEVRE-SUR-DURBION</v>
      </c>
      <c r="E13409" s="38" t="s">
        <v>194</v>
      </c>
      <c r="F13409" s="38" t="s">
        <v>195</v>
      </c>
      <c r="G13409" s="49" t="str">
        <f t="shared" si="1"/>
        <v>88330</v>
      </c>
      <c r="H13409" s="49">
        <f t="shared" si="2"/>
        <v>88143</v>
      </c>
    </row>
    <row r="13410">
      <c r="A13410" s="48" t="s">
        <v>1360</v>
      </c>
      <c r="B13410" s="38">
        <v>23113.0</v>
      </c>
      <c r="C13410" s="38" t="s">
        <v>17648</v>
      </c>
      <c r="D13410" s="38" t="str">
        <f>IFERROR(__xludf.DUMMYFUNCTION("REGEXREPLACE(C13410,""-\d+(.*)|--\d+(.*)"","""")"),"LUPERSAT")</f>
        <v>LUPERSAT</v>
      </c>
      <c r="E13410" s="38" t="s">
        <v>97</v>
      </c>
      <c r="F13410" s="38" t="s">
        <v>98</v>
      </c>
      <c r="G13410" s="49" t="str">
        <f t="shared" si="1"/>
        <v>23190</v>
      </c>
      <c r="H13410" s="49">
        <f t="shared" si="2"/>
        <v>23113</v>
      </c>
    </row>
    <row r="13411">
      <c r="A13411" s="48" t="s">
        <v>15599</v>
      </c>
      <c r="B13411" s="38">
        <v>5077.0</v>
      </c>
      <c r="C13411" s="38" t="s">
        <v>17649</v>
      </c>
      <c r="D13411" s="38" t="str">
        <f>IFERROR(__xludf.DUMMYFUNCTION("REGEXREPLACE(C13411,""-\d+(.*)|--\d+(.*)"","""")"),"MOLINES-EN-QUEYRAS")</f>
        <v>MOLINES-EN-QUEYRAS</v>
      </c>
      <c r="E13411" s="38" t="s">
        <v>706</v>
      </c>
      <c r="F13411" s="38" t="s">
        <v>228</v>
      </c>
      <c r="G13411" s="49" t="str">
        <f t="shared" si="1"/>
        <v>05350</v>
      </c>
      <c r="H13411" s="49" t="str">
        <f t="shared" si="2"/>
        <v>05077</v>
      </c>
    </row>
    <row r="13412">
      <c r="A13412" s="48" t="s">
        <v>17650</v>
      </c>
      <c r="B13412" s="38" t="s">
        <v>17651</v>
      </c>
      <c r="C13412" s="38" t="s">
        <v>17652</v>
      </c>
      <c r="D13412" s="38" t="str">
        <f>IFERROR(__xludf.DUMMYFUNCTION("REGEXREPLACE(C13412,""-\d+(.*)|--\d+(.*)"","""")"),"OTA")</f>
        <v>OTA</v>
      </c>
      <c r="E13412" s="38" t="s">
        <v>606</v>
      </c>
      <c r="F13412" s="38" t="s">
        <v>607</v>
      </c>
      <c r="G13412" s="49" t="str">
        <f t="shared" si="1"/>
        <v>20150</v>
      </c>
      <c r="H13412" s="49" t="str">
        <f t="shared" si="2"/>
        <v>2A198</v>
      </c>
    </row>
    <row r="13413">
      <c r="A13413" s="48" t="s">
        <v>2330</v>
      </c>
      <c r="B13413" s="38">
        <v>65025.0</v>
      </c>
      <c r="C13413" s="38" t="s">
        <v>17653</v>
      </c>
      <c r="D13413" s="38" t="str">
        <f>IFERROR(__xludf.DUMMYFUNCTION("REGEXREPLACE(C13413,""-\d+(.*)|--\d+(.*)"","""")"),"ARGELES-GAZOST")</f>
        <v>ARGELES-GAZOST</v>
      </c>
      <c r="E13413" s="38" t="s">
        <v>200</v>
      </c>
      <c r="F13413" s="38" t="s">
        <v>94</v>
      </c>
      <c r="G13413" s="49" t="str">
        <f t="shared" si="1"/>
        <v>65400</v>
      </c>
      <c r="H13413" s="49">
        <f t="shared" si="2"/>
        <v>65025</v>
      </c>
    </row>
    <row r="13414">
      <c r="A13414" s="48" t="s">
        <v>6555</v>
      </c>
      <c r="B13414" s="38">
        <v>67231.0</v>
      </c>
      <c r="C13414" s="38" t="s">
        <v>17654</v>
      </c>
      <c r="D13414" s="38" t="str">
        <f>IFERROR(__xludf.DUMMYFUNCTION("REGEXREPLACE(C13414,""-\d+(.*)|--\d+(.*)"","""")"),"KAUFFENHEIM")</f>
        <v>KAUFFENHEIM</v>
      </c>
      <c r="E13414" s="38" t="s">
        <v>210</v>
      </c>
      <c r="F13414" s="38" t="s">
        <v>151</v>
      </c>
      <c r="G13414" s="49" t="str">
        <f t="shared" si="1"/>
        <v>67480</v>
      </c>
      <c r="H13414" s="49">
        <f t="shared" si="2"/>
        <v>67231</v>
      </c>
    </row>
    <row r="13415">
      <c r="A13415" s="48" t="s">
        <v>12753</v>
      </c>
      <c r="B13415" s="38">
        <v>49338.0</v>
      </c>
      <c r="C13415" s="38" t="s">
        <v>17655</v>
      </c>
      <c r="D13415" s="38" t="str">
        <f>IFERROR(__xludf.DUMMYFUNCTION("REGEXREPLACE(C13415,""-\d+(.*)|--\d+(.*)"","""")"),"SOULAINES-SUR-AUBANCE")</f>
        <v>SOULAINES-SUR-AUBANCE</v>
      </c>
      <c r="E13415" s="38" t="s">
        <v>653</v>
      </c>
      <c r="F13415" s="38" t="s">
        <v>180</v>
      </c>
      <c r="G13415" s="49" t="str">
        <f t="shared" si="1"/>
        <v>49610</v>
      </c>
      <c r="H13415" s="49">
        <f t="shared" si="2"/>
        <v>49338</v>
      </c>
    </row>
    <row r="13416">
      <c r="A13416" s="48" t="s">
        <v>5565</v>
      </c>
      <c r="B13416" s="38">
        <v>63293.0</v>
      </c>
      <c r="C13416" s="38" t="s">
        <v>17656</v>
      </c>
      <c r="D13416" s="38" t="str">
        <f>IFERROR(__xludf.DUMMYFUNCTION("REGEXREPLACE(C13416,""-\d+(.*)|--\d+(.*)"","""")"),"LE QUARTIER")</f>
        <v>LE QUARTIER</v>
      </c>
      <c r="E13416" s="38" t="s">
        <v>353</v>
      </c>
      <c r="F13416" s="38" t="s">
        <v>161</v>
      </c>
      <c r="G13416" s="49" t="str">
        <f t="shared" si="1"/>
        <v>63330</v>
      </c>
      <c r="H13416" s="49">
        <f t="shared" si="2"/>
        <v>63293</v>
      </c>
    </row>
    <row r="13417">
      <c r="A13417" s="48" t="s">
        <v>7199</v>
      </c>
      <c r="B13417" s="38">
        <v>76514.0</v>
      </c>
      <c r="C13417" s="38" t="s">
        <v>17657</v>
      </c>
      <c r="D13417" s="38" t="str">
        <f>IFERROR(__xludf.DUMMYFUNCTION("REGEXREPLACE(C13417,""-\d+(.*)|--\d+(.*)"","""")"),"QUEVREVILLE-LA-POTERIE")</f>
        <v>QUEVREVILLE-LA-POTERIE</v>
      </c>
      <c r="E13417" s="38" t="s">
        <v>133</v>
      </c>
      <c r="F13417" s="38" t="s">
        <v>134</v>
      </c>
      <c r="G13417" s="49" t="str">
        <f t="shared" si="1"/>
        <v>76520</v>
      </c>
      <c r="H13417" s="49">
        <f t="shared" si="2"/>
        <v>76514</v>
      </c>
    </row>
    <row r="13418">
      <c r="A13418" s="48" t="s">
        <v>17658</v>
      </c>
      <c r="B13418" s="38">
        <v>71102.0</v>
      </c>
      <c r="C13418" s="38" t="s">
        <v>17659</v>
      </c>
      <c r="D13418" s="38" t="str">
        <f>IFERROR(__xludf.DUMMYFUNCTION("REGEXREPLACE(C13418,""-\d+(.*)|--\d+(.*)"","""")"),"LA CHARMEE")</f>
        <v>LA CHARMEE</v>
      </c>
      <c r="E13418" s="38" t="s">
        <v>344</v>
      </c>
      <c r="F13418" s="38" t="s">
        <v>106</v>
      </c>
      <c r="G13418" s="49" t="str">
        <f t="shared" si="1"/>
        <v>71100</v>
      </c>
      <c r="H13418" s="49">
        <f t="shared" si="2"/>
        <v>71102</v>
      </c>
    </row>
    <row r="13419">
      <c r="A13419" s="48" t="s">
        <v>754</v>
      </c>
      <c r="B13419" s="38">
        <v>91200.0</v>
      </c>
      <c r="C13419" s="38" t="s">
        <v>17660</v>
      </c>
      <c r="D13419" s="38" t="str">
        <f>IFERROR(__xludf.DUMMYFUNCTION("REGEXREPLACE(C13419,""-\d+(.*)|--\d+(.*)"","""")"),"DOURDAN")</f>
        <v>DOURDAN</v>
      </c>
      <c r="E13419" s="38" t="s">
        <v>756</v>
      </c>
      <c r="F13419" s="38" t="s">
        <v>245</v>
      </c>
      <c r="G13419" s="49" t="str">
        <f t="shared" si="1"/>
        <v>91410</v>
      </c>
      <c r="H13419" s="49">
        <f t="shared" si="2"/>
        <v>91200</v>
      </c>
    </row>
    <row r="13420">
      <c r="A13420" s="48" t="s">
        <v>9002</v>
      </c>
      <c r="B13420" s="38">
        <v>78451.0</v>
      </c>
      <c r="C13420" s="38" t="s">
        <v>17661</v>
      </c>
      <c r="D13420" s="38" t="str">
        <f>IFERROR(__xludf.DUMMYFUNCTION("REGEXREPLACE(C13420,""-\d+(.*)|--\d+(.*)"","""")"),"NEZEL")</f>
        <v>NEZEL</v>
      </c>
      <c r="E13420" s="38" t="s">
        <v>362</v>
      </c>
      <c r="F13420" s="38" t="s">
        <v>245</v>
      </c>
      <c r="G13420" s="49" t="str">
        <f t="shared" si="1"/>
        <v>78410</v>
      </c>
      <c r="H13420" s="49">
        <f t="shared" si="2"/>
        <v>78451</v>
      </c>
    </row>
    <row r="13421">
      <c r="A13421" s="48" t="s">
        <v>3252</v>
      </c>
      <c r="B13421" s="38">
        <v>63173.0</v>
      </c>
      <c r="C13421" s="38" t="s">
        <v>17662</v>
      </c>
      <c r="D13421" s="38" t="str">
        <f>IFERROR(__xludf.DUMMYFUNCTION("REGEXREPLACE(C13421,""-\d+(.*)|--\d+(.*)"","""")"),"GRANDRIF")</f>
        <v>GRANDRIF</v>
      </c>
      <c r="E13421" s="38" t="s">
        <v>353</v>
      </c>
      <c r="F13421" s="38" t="s">
        <v>161</v>
      </c>
      <c r="G13421" s="49" t="str">
        <f t="shared" si="1"/>
        <v>63600</v>
      </c>
      <c r="H13421" s="49">
        <f t="shared" si="2"/>
        <v>63173</v>
      </c>
    </row>
    <row r="13422">
      <c r="A13422" s="48" t="s">
        <v>17663</v>
      </c>
      <c r="B13422" s="38">
        <v>13044.0</v>
      </c>
      <c r="C13422" s="38" t="s">
        <v>17664</v>
      </c>
      <c r="D13422" s="38" t="str">
        <f>IFERROR(__xludf.DUMMYFUNCTION("REGEXREPLACE(C13422,""-\d+(.*)|--\d+(.*)"","""")"),"GRANS")</f>
        <v>GRANS</v>
      </c>
      <c r="E13422" s="38" t="s">
        <v>980</v>
      </c>
      <c r="F13422" s="38" t="s">
        <v>228</v>
      </c>
      <c r="G13422" s="49" t="str">
        <f t="shared" si="1"/>
        <v>13450</v>
      </c>
      <c r="H13422" s="49">
        <f t="shared" si="2"/>
        <v>13044</v>
      </c>
    </row>
    <row r="13423">
      <c r="A13423" s="48" t="s">
        <v>4447</v>
      </c>
      <c r="B13423" s="38">
        <v>39315.0</v>
      </c>
      <c r="C13423" s="38" t="s">
        <v>17665</v>
      </c>
      <c r="D13423" s="38" t="str">
        <f>IFERROR(__xludf.DUMMYFUNCTION("REGEXREPLACE(C13423,""-\d+(.*)|--\d+(.*)"","""")"),"MARNOZ")</f>
        <v>MARNOZ</v>
      </c>
      <c r="E13423" s="38" t="s">
        <v>400</v>
      </c>
      <c r="F13423" s="38" t="s">
        <v>214</v>
      </c>
      <c r="G13423" s="49" t="str">
        <f t="shared" si="1"/>
        <v>39110</v>
      </c>
      <c r="H13423" s="49">
        <f t="shared" si="2"/>
        <v>39315</v>
      </c>
    </row>
    <row r="13424">
      <c r="A13424" s="48" t="s">
        <v>702</v>
      </c>
      <c r="B13424" s="38">
        <v>31198.0</v>
      </c>
      <c r="C13424" s="38" t="s">
        <v>17666</v>
      </c>
      <c r="D13424" s="38" t="str">
        <f>IFERROR(__xludf.DUMMYFUNCTION("REGEXREPLACE(C13424,""-\d+(.*)|--\d+(.*)"","""")"),"LE FRECHET")</f>
        <v>LE FRECHET</v>
      </c>
      <c r="E13424" s="38" t="s">
        <v>93</v>
      </c>
      <c r="F13424" s="38" t="s">
        <v>94</v>
      </c>
      <c r="G13424" s="49" t="str">
        <f t="shared" si="1"/>
        <v>31360</v>
      </c>
      <c r="H13424" s="49">
        <f t="shared" si="2"/>
        <v>31198</v>
      </c>
    </row>
    <row r="13425">
      <c r="A13425" s="48" t="s">
        <v>9621</v>
      </c>
      <c r="B13425" s="38">
        <v>43151.0</v>
      </c>
      <c r="C13425" s="38" t="s">
        <v>17667</v>
      </c>
      <c r="D13425" s="38" t="str">
        <f>IFERROR(__xludf.DUMMYFUNCTION("REGEXREPLACE(C13425,""-\d+(.*)|--\d+(.*)"","""")"),"PINOLS")</f>
        <v>PINOLS</v>
      </c>
      <c r="E13425" s="38" t="s">
        <v>332</v>
      </c>
      <c r="F13425" s="38" t="s">
        <v>161</v>
      </c>
      <c r="G13425" s="49" t="str">
        <f t="shared" si="1"/>
        <v>43300</v>
      </c>
      <c r="H13425" s="49">
        <f t="shared" si="2"/>
        <v>43151</v>
      </c>
    </row>
    <row r="13426">
      <c r="A13426" s="48" t="s">
        <v>9131</v>
      </c>
      <c r="B13426" s="38">
        <v>49304.0</v>
      </c>
      <c r="C13426" s="38" t="s">
        <v>17668</v>
      </c>
      <c r="D13426" s="38" t="str">
        <f>IFERROR(__xludf.DUMMYFUNCTION("REGEXREPLACE(C13426,""-\d+(.*)|--\d+(.*)"","""")"),"SAINT-MARTIN-DE-LA-PLACE")</f>
        <v>SAINT-MARTIN-DE-LA-PLACE</v>
      </c>
      <c r="E13426" s="38" t="s">
        <v>653</v>
      </c>
      <c r="F13426" s="38" t="s">
        <v>180</v>
      </c>
      <c r="G13426" s="49" t="str">
        <f t="shared" si="1"/>
        <v>49160</v>
      </c>
      <c r="H13426" s="49">
        <f t="shared" si="2"/>
        <v>49304</v>
      </c>
    </row>
    <row r="13427">
      <c r="A13427" s="48" t="s">
        <v>4568</v>
      </c>
      <c r="B13427" s="38">
        <v>32200.0</v>
      </c>
      <c r="C13427" s="38" t="s">
        <v>17669</v>
      </c>
      <c r="D13427" s="38" t="str">
        <f>IFERROR(__xludf.DUMMYFUNCTION("REGEXREPLACE(C13427,""-\d+(.*)|--\d+(.*)"","""")"),"LASSERAN")</f>
        <v>LASSERAN</v>
      </c>
      <c r="E13427" s="38" t="s">
        <v>440</v>
      </c>
      <c r="F13427" s="38" t="s">
        <v>94</v>
      </c>
      <c r="G13427" s="49" t="str">
        <f t="shared" si="1"/>
        <v>32550</v>
      </c>
      <c r="H13427" s="49">
        <f t="shared" si="2"/>
        <v>32200</v>
      </c>
    </row>
    <row r="13428">
      <c r="A13428" s="48" t="s">
        <v>4328</v>
      </c>
      <c r="B13428" s="38">
        <v>70222.0</v>
      </c>
      <c r="C13428" s="38" t="s">
        <v>17670</v>
      </c>
      <c r="D13428" s="38" t="str">
        <f>IFERROR(__xludf.DUMMYFUNCTION("REGEXREPLACE(C13428,""-\d+(.*)|--\d+(.*)"","""")"),"ETRELLES-ET-LA-MONTBLEUSE")</f>
        <v>ETRELLES-ET-LA-MONTBLEUSE</v>
      </c>
      <c r="E13428" s="38" t="s">
        <v>956</v>
      </c>
      <c r="F13428" s="38" t="s">
        <v>214</v>
      </c>
      <c r="G13428" s="49" t="str">
        <f t="shared" si="1"/>
        <v>70700</v>
      </c>
      <c r="H13428" s="49">
        <f t="shared" si="2"/>
        <v>70222</v>
      </c>
    </row>
    <row r="13429">
      <c r="A13429" s="48" t="s">
        <v>6389</v>
      </c>
      <c r="B13429" s="38">
        <v>14542.0</v>
      </c>
      <c r="C13429" s="38" t="s">
        <v>17671</v>
      </c>
      <c r="D13429" s="38" t="str">
        <f>IFERROR(__xludf.DUMMYFUNCTION("REGEXREPLACE(C13429,""-\d+(.*)|--\d+(.*)"","""")"),"ROSEL")</f>
        <v>ROSEL</v>
      </c>
      <c r="E13429" s="38" t="s">
        <v>137</v>
      </c>
      <c r="F13429" s="38" t="s">
        <v>138</v>
      </c>
      <c r="G13429" s="49" t="str">
        <f t="shared" si="1"/>
        <v>14740</v>
      </c>
      <c r="H13429" s="49">
        <f t="shared" si="2"/>
        <v>14542</v>
      </c>
    </row>
    <row r="13430">
      <c r="A13430" s="48" t="s">
        <v>497</v>
      </c>
      <c r="B13430" s="38">
        <v>62725.0</v>
      </c>
      <c r="C13430" s="38" t="s">
        <v>17672</v>
      </c>
      <c r="D13430" s="38" t="str">
        <f>IFERROR(__xludf.DUMMYFUNCTION("REGEXREPLACE(C13430,""-\d+(.*)|--\d+(.*)"","""")"),"ROYON")</f>
        <v>ROYON</v>
      </c>
      <c r="E13430" s="38" t="s">
        <v>109</v>
      </c>
      <c r="F13430" s="38" t="s">
        <v>86</v>
      </c>
      <c r="G13430" s="49" t="str">
        <f t="shared" si="1"/>
        <v>62990</v>
      </c>
      <c r="H13430" s="49">
        <f t="shared" si="2"/>
        <v>62725</v>
      </c>
    </row>
    <row r="13431">
      <c r="A13431" s="48" t="s">
        <v>9881</v>
      </c>
      <c r="B13431" s="38">
        <v>73081.0</v>
      </c>
      <c r="C13431" s="38" t="s">
        <v>17673</v>
      </c>
      <c r="D13431" s="38" t="str">
        <f>IFERROR(__xludf.DUMMYFUNCTION("REGEXREPLACE(C13431,""-\d+(.*)|--\d+(.*)"","""")"),"LE CHATELARD")</f>
        <v>LE CHATELARD</v>
      </c>
      <c r="E13431" s="38" t="s">
        <v>306</v>
      </c>
      <c r="F13431" s="38" t="s">
        <v>102</v>
      </c>
      <c r="G13431" s="49" t="str">
        <f t="shared" si="1"/>
        <v>73630</v>
      </c>
      <c r="H13431" s="49">
        <f t="shared" si="2"/>
        <v>73081</v>
      </c>
    </row>
    <row r="13432">
      <c r="A13432" s="48" t="s">
        <v>3702</v>
      </c>
      <c r="B13432" s="38">
        <v>77107.0</v>
      </c>
      <c r="C13432" s="38" t="s">
        <v>17674</v>
      </c>
      <c r="D13432" s="38" t="str">
        <f>IFERROR(__xludf.DUMMYFUNCTION("REGEXREPLACE(C13432,""-\d+(.*)|--\d+(.*)"","""")"),"CHAUMES-EN-BRIE")</f>
        <v>CHAUMES-EN-BRIE</v>
      </c>
      <c r="E13432" s="38" t="s">
        <v>244</v>
      </c>
      <c r="F13432" s="38" t="s">
        <v>245</v>
      </c>
      <c r="G13432" s="49" t="str">
        <f t="shared" si="1"/>
        <v>77390</v>
      </c>
      <c r="H13432" s="49">
        <f t="shared" si="2"/>
        <v>77107</v>
      </c>
    </row>
    <row r="13433">
      <c r="A13433" s="48" t="s">
        <v>10366</v>
      </c>
      <c r="B13433" s="38">
        <v>1430.0</v>
      </c>
      <c r="C13433" s="38" t="s">
        <v>17675</v>
      </c>
      <c r="D13433" s="38" t="str">
        <f>IFERROR(__xludf.DUMMYFUNCTION("REGEXREPLACE(C13433,""-\d+(.*)|--\d+(.*)"","""")"),"VARAMBON")</f>
        <v>VARAMBON</v>
      </c>
      <c r="E13433" s="38" t="s">
        <v>255</v>
      </c>
      <c r="F13433" s="38" t="s">
        <v>102</v>
      </c>
      <c r="G13433" s="49" t="str">
        <f t="shared" si="1"/>
        <v>01160</v>
      </c>
      <c r="H13433" s="49" t="str">
        <f t="shared" si="2"/>
        <v>01430</v>
      </c>
    </row>
    <row r="13434">
      <c r="A13434" s="48" t="s">
        <v>17676</v>
      </c>
      <c r="B13434" s="38">
        <v>42334.0</v>
      </c>
      <c r="C13434" s="38" t="s">
        <v>17677</v>
      </c>
      <c r="D13434" s="38" t="str">
        <f>IFERROR(__xludf.DUMMYFUNCTION("REGEXREPLACE(C13434,""-\d+(.*)|--\d+(.*)"","""")"),"VIOLAY")</f>
        <v>VIOLAY</v>
      </c>
      <c r="E13434" s="38" t="s">
        <v>166</v>
      </c>
      <c r="F13434" s="38" t="s">
        <v>102</v>
      </c>
      <c r="G13434" s="49" t="str">
        <f t="shared" si="1"/>
        <v>42780</v>
      </c>
      <c r="H13434" s="49">
        <f t="shared" si="2"/>
        <v>42334</v>
      </c>
    </row>
    <row r="13435">
      <c r="A13435" s="48" t="s">
        <v>10034</v>
      </c>
      <c r="B13435" s="38">
        <v>78366.0</v>
      </c>
      <c r="C13435" s="38" t="s">
        <v>17678</v>
      </c>
      <c r="D13435" s="38" t="str">
        <f>IFERROR(__xludf.DUMMYFUNCTION("REGEXREPLACE(C13435,""-\d+(.*)|--\d+(.*)"","""")"),"MAREIL-LE-GUYON")</f>
        <v>MAREIL-LE-GUYON</v>
      </c>
      <c r="E13435" s="38" t="s">
        <v>362</v>
      </c>
      <c r="F13435" s="38" t="s">
        <v>245</v>
      </c>
      <c r="G13435" s="49" t="str">
        <f t="shared" si="1"/>
        <v>78490</v>
      </c>
      <c r="H13435" s="49">
        <f t="shared" si="2"/>
        <v>78366</v>
      </c>
    </row>
    <row r="13436">
      <c r="A13436" s="48" t="s">
        <v>3806</v>
      </c>
      <c r="B13436" s="38">
        <v>7262.0</v>
      </c>
      <c r="C13436" s="38" t="s">
        <v>17679</v>
      </c>
      <c r="D13436" s="38" t="str">
        <f>IFERROR(__xludf.DUMMYFUNCTION("REGEXREPLACE(C13436,""-\d+(.*)|--\d+(.*)"","""")"),"SAINT-LAURENT-LES-BAINS")</f>
        <v>SAINT-LAURENT-LES-BAINS</v>
      </c>
      <c r="E13436" s="38" t="s">
        <v>144</v>
      </c>
      <c r="F13436" s="38" t="s">
        <v>102</v>
      </c>
      <c r="G13436" s="49" t="str">
        <f t="shared" si="1"/>
        <v>07590</v>
      </c>
      <c r="H13436" s="49" t="str">
        <f t="shared" si="2"/>
        <v>07262</v>
      </c>
    </row>
    <row r="13437">
      <c r="A13437" s="48" t="s">
        <v>6058</v>
      </c>
      <c r="B13437" s="38">
        <v>30140.0</v>
      </c>
      <c r="C13437" s="38" t="s">
        <v>17680</v>
      </c>
      <c r="D13437" s="38" t="str">
        <f>IFERROR(__xludf.DUMMYFUNCTION("REGEXREPLACE(C13437,""-\d+(.*)|--\d+(.*)"","""")"),"LASALLE")</f>
        <v>LASALLE</v>
      </c>
      <c r="E13437" s="38" t="s">
        <v>526</v>
      </c>
      <c r="F13437" s="38" t="s">
        <v>119</v>
      </c>
      <c r="G13437" s="49" t="str">
        <f t="shared" si="1"/>
        <v>30460</v>
      </c>
      <c r="H13437" s="49">
        <f t="shared" si="2"/>
        <v>30140</v>
      </c>
    </row>
    <row r="13438">
      <c r="A13438" s="48" t="s">
        <v>5674</v>
      </c>
      <c r="B13438" s="38">
        <v>55261.0</v>
      </c>
      <c r="C13438" s="38" t="s">
        <v>17681</v>
      </c>
      <c r="D13438" s="38" t="str">
        <f>IFERROR(__xludf.DUMMYFUNCTION("REGEXREPLACE(C13438,""-\d+(.*)|--\d+(.*)"","""")"),"JUVIGNY-EN-PERTHOIS")</f>
        <v>JUVIGNY-EN-PERTHOIS</v>
      </c>
      <c r="E13438" s="38" t="s">
        <v>322</v>
      </c>
      <c r="F13438" s="38" t="s">
        <v>195</v>
      </c>
      <c r="G13438" s="49" t="str">
        <f t="shared" si="1"/>
        <v>55170</v>
      </c>
      <c r="H13438" s="49">
        <f t="shared" si="2"/>
        <v>55261</v>
      </c>
    </row>
    <row r="13439">
      <c r="A13439" s="48" t="s">
        <v>10052</v>
      </c>
      <c r="B13439" s="38">
        <v>39547.0</v>
      </c>
      <c r="C13439" s="38" t="s">
        <v>17682</v>
      </c>
      <c r="D13439" s="38" t="str">
        <f>IFERROR(__xludf.DUMMYFUNCTION("REGEXREPLACE(C13439,""-\d+(.*)|--\d+(.*)"","""")"),"VAUX-LES-SAINT-CLAUDE")</f>
        <v>VAUX-LES-SAINT-CLAUDE</v>
      </c>
      <c r="E13439" s="38" t="s">
        <v>400</v>
      </c>
      <c r="F13439" s="38" t="s">
        <v>214</v>
      </c>
      <c r="G13439" s="49" t="str">
        <f t="shared" si="1"/>
        <v>39360</v>
      </c>
      <c r="H13439" s="49">
        <f t="shared" si="2"/>
        <v>39547</v>
      </c>
    </row>
    <row r="13440">
      <c r="A13440" s="48" t="s">
        <v>1452</v>
      </c>
      <c r="B13440" s="38">
        <v>55047.0</v>
      </c>
      <c r="C13440" s="38" t="s">
        <v>17683</v>
      </c>
      <c r="D13440" s="38" t="str">
        <f>IFERROR(__xludf.DUMMYFUNCTION("REGEXREPLACE(C13440,""-\d+(.*)|--\d+(.*)"","""")"),"BETHELAINVILLE")</f>
        <v>BETHELAINVILLE</v>
      </c>
      <c r="E13440" s="38" t="s">
        <v>322</v>
      </c>
      <c r="F13440" s="38" t="s">
        <v>195</v>
      </c>
      <c r="G13440" s="49" t="str">
        <f t="shared" si="1"/>
        <v>55100</v>
      </c>
      <c r="H13440" s="49">
        <f t="shared" si="2"/>
        <v>55047</v>
      </c>
    </row>
    <row r="13441">
      <c r="A13441" s="48" t="s">
        <v>689</v>
      </c>
      <c r="B13441" s="38">
        <v>62278.0</v>
      </c>
      <c r="C13441" s="38" t="s">
        <v>17684</v>
      </c>
      <c r="D13441" s="38" t="str">
        <f>IFERROR(__xludf.DUMMYFUNCTION("REGEXREPLACE(C13441,""-\d+(.*)|--\d+(.*)"","""")"),"DROUVIN-LE-MARAIS")</f>
        <v>DROUVIN-LE-MARAIS</v>
      </c>
      <c r="E13441" s="38" t="s">
        <v>109</v>
      </c>
      <c r="F13441" s="38" t="s">
        <v>86</v>
      </c>
      <c r="G13441" s="49" t="str">
        <f t="shared" si="1"/>
        <v>62131</v>
      </c>
      <c r="H13441" s="49">
        <f t="shared" si="2"/>
        <v>62278</v>
      </c>
    </row>
    <row r="13442">
      <c r="A13442" s="48" t="s">
        <v>1618</v>
      </c>
      <c r="B13442" s="38">
        <v>11426.0</v>
      </c>
      <c r="C13442" s="38" t="s">
        <v>17685</v>
      </c>
      <c r="D13442" s="38" t="str">
        <f>IFERROR(__xludf.DUMMYFUNCTION("REGEXREPLACE(C13442,""-\d+(.*)|--\d+(.*)"","""")"),"VILLEGLY")</f>
        <v>VILLEGLY</v>
      </c>
      <c r="E13442" s="38" t="s">
        <v>278</v>
      </c>
      <c r="F13442" s="38" t="s">
        <v>119</v>
      </c>
      <c r="G13442" s="49" t="str">
        <f t="shared" si="1"/>
        <v>11600</v>
      </c>
      <c r="H13442" s="49">
        <f t="shared" si="2"/>
        <v>11426</v>
      </c>
    </row>
    <row r="13443">
      <c r="A13443" s="48" t="s">
        <v>15962</v>
      </c>
      <c r="B13443" s="38">
        <v>38353.0</v>
      </c>
      <c r="C13443" s="38" t="s">
        <v>17686</v>
      </c>
      <c r="D13443" s="38" t="str">
        <f>IFERROR(__xludf.DUMMYFUNCTION("REGEXREPLACE(C13443,""-\d+(.*)|--\d+(.*)"","""")"),"SAINT-ALBAN-DU-RHONE")</f>
        <v>SAINT-ALBAN-DU-RHONE</v>
      </c>
      <c r="E13443" s="38" t="s">
        <v>101</v>
      </c>
      <c r="F13443" s="38" t="s">
        <v>102</v>
      </c>
      <c r="G13443" s="49" t="str">
        <f t="shared" si="1"/>
        <v>38370</v>
      </c>
      <c r="H13443" s="49">
        <f t="shared" si="2"/>
        <v>38353</v>
      </c>
    </row>
    <row r="13444">
      <c r="A13444" s="48" t="s">
        <v>1903</v>
      </c>
      <c r="B13444" s="38">
        <v>10044.0</v>
      </c>
      <c r="C13444" s="38" t="s">
        <v>17687</v>
      </c>
      <c r="D13444" s="38" t="str">
        <f>IFERROR(__xludf.DUMMYFUNCTION("REGEXREPLACE(C13444,""-\d+(.*)|--\d+(.*)"","""")"),"BETIGNICOURT")</f>
        <v>BETIGNICOURT</v>
      </c>
      <c r="E13444" s="38" t="s">
        <v>147</v>
      </c>
      <c r="F13444" s="38" t="s">
        <v>130</v>
      </c>
      <c r="G13444" s="49" t="str">
        <f t="shared" si="1"/>
        <v>10500</v>
      </c>
      <c r="H13444" s="49">
        <f t="shared" si="2"/>
        <v>10044</v>
      </c>
    </row>
    <row r="13445">
      <c r="A13445" s="48" t="s">
        <v>2783</v>
      </c>
      <c r="B13445" s="38">
        <v>31155.0</v>
      </c>
      <c r="C13445" s="38" t="s">
        <v>17688</v>
      </c>
      <c r="D13445" s="38" t="str">
        <f>IFERROR(__xludf.DUMMYFUNCTION("REGEXREPLACE(C13445,""-\d+(.*)|--\d+(.*)"","""")"),"COURET")</f>
        <v>COURET</v>
      </c>
      <c r="E13445" s="38" t="s">
        <v>93</v>
      </c>
      <c r="F13445" s="38" t="s">
        <v>94</v>
      </c>
      <c r="G13445" s="49" t="str">
        <f t="shared" si="1"/>
        <v>31160</v>
      </c>
      <c r="H13445" s="49">
        <f t="shared" si="2"/>
        <v>31155</v>
      </c>
    </row>
    <row r="13446">
      <c r="A13446" s="48" t="s">
        <v>14636</v>
      </c>
      <c r="B13446" s="38">
        <v>38381.0</v>
      </c>
      <c r="C13446" s="38" t="s">
        <v>17689</v>
      </c>
      <c r="D13446" s="38" t="str">
        <f>IFERROR(__xludf.DUMMYFUNCTION("REGEXREPLACE(C13446,""-\d+(.*)|--\d+(.*)"","""")"),"SAINT-DIDIER-DE-LA-TOUR")</f>
        <v>SAINT-DIDIER-DE-LA-TOUR</v>
      </c>
      <c r="E13446" s="38" t="s">
        <v>101</v>
      </c>
      <c r="F13446" s="38" t="s">
        <v>102</v>
      </c>
      <c r="G13446" s="49" t="str">
        <f t="shared" si="1"/>
        <v>38110</v>
      </c>
      <c r="H13446" s="49">
        <f t="shared" si="2"/>
        <v>38381</v>
      </c>
    </row>
    <row r="13447">
      <c r="A13447" s="48" t="s">
        <v>16895</v>
      </c>
      <c r="B13447" s="38">
        <v>35333.0</v>
      </c>
      <c r="C13447" s="38" t="s">
        <v>17690</v>
      </c>
      <c r="D13447" s="38" t="str">
        <f>IFERROR(__xludf.DUMMYFUNCTION("REGEXREPLACE(C13447,""-\d+(.*)|--\d+(.*)"","""")"),"LE THEIL-DE-BRETAGNE")</f>
        <v>LE THEIL-DE-BRETAGNE</v>
      </c>
      <c r="E13447" s="38" t="s">
        <v>347</v>
      </c>
      <c r="F13447" s="38" t="s">
        <v>90</v>
      </c>
      <c r="G13447" s="49" t="str">
        <f t="shared" si="1"/>
        <v>35240</v>
      </c>
      <c r="H13447" s="49">
        <f t="shared" si="2"/>
        <v>35333</v>
      </c>
    </row>
    <row r="13448">
      <c r="A13448" s="48" t="s">
        <v>4213</v>
      </c>
      <c r="B13448" s="38">
        <v>7126.0</v>
      </c>
      <c r="C13448" s="38" t="s">
        <v>17691</v>
      </c>
      <c r="D13448" s="38" t="str">
        <f>IFERROR(__xludf.DUMMYFUNCTION("REGEXREPLACE(C13448,""-\d+(.*)|--\d+(.*)"","""")"),"LAGORCE")</f>
        <v>LAGORCE</v>
      </c>
      <c r="E13448" s="38" t="s">
        <v>144</v>
      </c>
      <c r="F13448" s="38" t="s">
        <v>102</v>
      </c>
      <c r="G13448" s="49" t="str">
        <f t="shared" si="1"/>
        <v>07150</v>
      </c>
      <c r="H13448" s="49" t="str">
        <f t="shared" si="2"/>
        <v>07126</v>
      </c>
    </row>
    <row r="13449">
      <c r="A13449" s="48" t="s">
        <v>3465</v>
      </c>
      <c r="B13449" s="38">
        <v>11128.0</v>
      </c>
      <c r="C13449" s="38" t="s">
        <v>17692</v>
      </c>
      <c r="D13449" s="38" t="str">
        <f>IFERROR(__xludf.DUMMYFUNCTION("REGEXREPLACE(C13449,""-\d+(.*)|--\d+(.*)"","""")"),"ESCUEILLENS-ET-SAINT-JUST-DE-BELENGARD")</f>
        <v>ESCUEILLENS-ET-SAINT-JUST-DE-BELENGARD</v>
      </c>
      <c r="E13449" s="38" t="s">
        <v>278</v>
      </c>
      <c r="F13449" s="38" t="s">
        <v>119</v>
      </c>
      <c r="G13449" s="49" t="str">
        <f t="shared" si="1"/>
        <v>11240</v>
      </c>
      <c r="H13449" s="49">
        <f t="shared" si="2"/>
        <v>11128</v>
      </c>
    </row>
    <row r="13450">
      <c r="A13450" s="48" t="s">
        <v>1210</v>
      </c>
      <c r="B13450" s="38">
        <v>50467.0</v>
      </c>
      <c r="C13450" s="38" t="s">
        <v>17693</v>
      </c>
      <c r="D13450" s="38" t="str">
        <f>IFERROR(__xludf.DUMMYFUNCTION("REGEXREPLACE(C13450,""-\d+(.*)|--\d+(.*)"","""")"),"SAINT-FLOXEL")</f>
        <v>SAINT-FLOXEL</v>
      </c>
      <c r="E13450" s="38" t="s">
        <v>157</v>
      </c>
      <c r="F13450" s="38" t="s">
        <v>138</v>
      </c>
      <c r="G13450" s="49" t="str">
        <f t="shared" si="1"/>
        <v>50310</v>
      </c>
      <c r="H13450" s="49">
        <f t="shared" si="2"/>
        <v>50467</v>
      </c>
    </row>
    <row r="13451">
      <c r="A13451" s="48" t="s">
        <v>1663</v>
      </c>
      <c r="B13451" s="38">
        <v>88099.0</v>
      </c>
      <c r="C13451" s="38" t="s">
        <v>17694</v>
      </c>
      <c r="D13451" s="38" t="str">
        <f>IFERROR(__xludf.DUMMYFUNCTION("REGEXREPLACE(C13451,""-\d+(.*)|--\d+(.*)"","""")"),"CHAVELOT")</f>
        <v>CHAVELOT</v>
      </c>
      <c r="E13451" s="38" t="s">
        <v>194</v>
      </c>
      <c r="F13451" s="38" t="s">
        <v>195</v>
      </c>
      <c r="G13451" s="49" t="str">
        <f t="shared" si="1"/>
        <v>88150</v>
      </c>
      <c r="H13451" s="49">
        <f t="shared" si="2"/>
        <v>88099</v>
      </c>
    </row>
    <row r="13452">
      <c r="A13452" s="48" t="s">
        <v>3486</v>
      </c>
      <c r="B13452" s="38">
        <v>76617.0</v>
      </c>
      <c r="C13452" s="38" t="s">
        <v>17695</v>
      </c>
      <c r="D13452" s="38" t="str">
        <f>IFERROR(__xludf.DUMMYFUNCTION("REGEXREPLACE(C13452,""-\d+(.*)|--\d+(.*)"","""")"),"SAINT-MARTIN-DU-VIVIER")</f>
        <v>SAINT-MARTIN-DU-VIVIER</v>
      </c>
      <c r="E13452" s="38" t="s">
        <v>133</v>
      </c>
      <c r="F13452" s="38" t="s">
        <v>134</v>
      </c>
      <c r="G13452" s="49" t="str">
        <f t="shared" si="1"/>
        <v>76160</v>
      </c>
      <c r="H13452" s="49">
        <f t="shared" si="2"/>
        <v>76617</v>
      </c>
    </row>
    <row r="13453">
      <c r="A13453" s="48" t="s">
        <v>6226</v>
      </c>
      <c r="B13453" s="38">
        <v>32134.0</v>
      </c>
      <c r="C13453" s="38" t="s">
        <v>17696</v>
      </c>
      <c r="D13453" s="38" t="str">
        <f>IFERROR(__xludf.DUMMYFUNCTION("REGEXREPLACE(C13453,""-\d+(.*)|--\d+(.*)"","""")"),"FREGOUVILLE")</f>
        <v>FREGOUVILLE</v>
      </c>
      <c r="E13453" s="38" t="s">
        <v>440</v>
      </c>
      <c r="F13453" s="38" t="s">
        <v>94</v>
      </c>
      <c r="G13453" s="49" t="str">
        <f t="shared" si="1"/>
        <v>32490</v>
      </c>
      <c r="H13453" s="49">
        <f t="shared" si="2"/>
        <v>32134</v>
      </c>
    </row>
    <row r="13454">
      <c r="A13454" s="48" t="s">
        <v>576</v>
      </c>
      <c r="B13454" s="38">
        <v>54452.0</v>
      </c>
      <c r="C13454" s="38" t="s">
        <v>17697</v>
      </c>
      <c r="D13454" s="38" t="str">
        <f>IFERROR(__xludf.DUMMYFUNCTION("REGEXREPLACE(C13454,""-\d+(.*)|--\d+(.*)"","""")"),"REILLON")</f>
        <v>REILLON</v>
      </c>
      <c r="E13454" s="38" t="s">
        <v>548</v>
      </c>
      <c r="F13454" s="38" t="s">
        <v>195</v>
      </c>
      <c r="G13454" s="49" t="str">
        <f t="shared" si="1"/>
        <v>54450</v>
      </c>
      <c r="H13454" s="49">
        <f t="shared" si="2"/>
        <v>54452</v>
      </c>
    </row>
    <row r="13455">
      <c r="A13455" s="48" t="s">
        <v>3681</v>
      </c>
      <c r="B13455" s="38">
        <v>39362.0</v>
      </c>
      <c r="C13455" s="38" t="s">
        <v>17698</v>
      </c>
      <c r="D13455" s="38" t="str">
        <f>IFERROR(__xludf.DUMMYFUNCTION("REGEXREPLACE(C13455,""-\d+(.*)|--\d+(.*)"","""")"),"MONTMOROT")</f>
        <v>MONTMOROT</v>
      </c>
      <c r="E13455" s="38" t="s">
        <v>400</v>
      </c>
      <c r="F13455" s="38" t="s">
        <v>214</v>
      </c>
      <c r="G13455" s="49" t="str">
        <f t="shared" si="1"/>
        <v>39570</v>
      </c>
      <c r="H13455" s="49">
        <f t="shared" si="2"/>
        <v>39362</v>
      </c>
    </row>
    <row r="13456">
      <c r="A13456" s="48" t="s">
        <v>16816</v>
      </c>
      <c r="B13456" s="38">
        <v>89463.0</v>
      </c>
      <c r="C13456" s="38" t="s">
        <v>17699</v>
      </c>
      <c r="D13456" s="38" t="str">
        <f>IFERROR(__xludf.DUMMYFUNCTION("REGEXREPLACE(C13456,""-\d+(.*)|--\d+(.*)"","""")"),"VILLENEUVE-SAINT-SALVES")</f>
        <v>VILLENEUVE-SAINT-SALVES</v>
      </c>
      <c r="E13456" s="38" t="s">
        <v>275</v>
      </c>
      <c r="F13456" s="38" t="s">
        <v>106</v>
      </c>
      <c r="G13456" s="49" t="str">
        <f t="shared" si="1"/>
        <v>89230</v>
      </c>
      <c r="H13456" s="49">
        <f t="shared" si="2"/>
        <v>89463</v>
      </c>
    </row>
    <row r="13457">
      <c r="A13457" s="48" t="s">
        <v>409</v>
      </c>
      <c r="B13457" s="38">
        <v>31533.0</v>
      </c>
      <c r="C13457" s="38" t="s">
        <v>17700</v>
      </c>
      <c r="D13457" s="38" t="str">
        <f>IFERROR(__xludf.DUMMYFUNCTION("REGEXREPLACE(C13457,""-\d+(.*)|--\d+(.*)"","""")"),"SAUBENS")</f>
        <v>SAUBENS</v>
      </c>
      <c r="E13457" s="38" t="s">
        <v>93</v>
      </c>
      <c r="F13457" s="38" t="s">
        <v>94</v>
      </c>
      <c r="G13457" s="49" t="str">
        <f t="shared" si="1"/>
        <v>31600</v>
      </c>
      <c r="H13457" s="49">
        <f t="shared" si="2"/>
        <v>31533</v>
      </c>
    </row>
    <row r="13458">
      <c r="A13458" s="48" t="s">
        <v>3266</v>
      </c>
      <c r="B13458" s="38">
        <v>55195.0</v>
      </c>
      <c r="C13458" s="38" t="s">
        <v>17701</v>
      </c>
      <c r="D13458" s="38" t="str">
        <f>IFERROR(__xludf.DUMMYFUNCTION("REGEXREPLACE(C13458,""-\d+(.*)|--\d+(.*)"","""")"),"FOUCHERES-AUX-BOIS")</f>
        <v>FOUCHERES-AUX-BOIS</v>
      </c>
      <c r="E13458" s="38" t="s">
        <v>322</v>
      </c>
      <c r="F13458" s="38" t="s">
        <v>195</v>
      </c>
      <c r="G13458" s="49" t="str">
        <f t="shared" si="1"/>
        <v>55500</v>
      </c>
      <c r="H13458" s="49">
        <f t="shared" si="2"/>
        <v>55195</v>
      </c>
    </row>
    <row r="13459">
      <c r="A13459" s="48" t="s">
        <v>276</v>
      </c>
      <c r="B13459" s="38">
        <v>11038.0</v>
      </c>
      <c r="C13459" s="38" t="s">
        <v>17702</v>
      </c>
      <c r="D13459" s="38" t="str">
        <f>IFERROR(__xludf.DUMMYFUNCTION("REGEXREPLACE(C13459,""-\d+(.*)|--\d+(.*)"","""")"),"BESSEDE-DE-SAULT")</f>
        <v>BESSEDE-DE-SAULT</v>
      </c>
      <c r="E13459" s="38" t="s">
        <v>278</v>
      </c>
      <c r="F13459" s="38" t="s">
        <v>119</v>
      </c>
      <c r="G13459" s="49" t="str">
        <f t="shared" si="1"/>
        <v>11140</v>
      </c>
      <c r="H13459" s="49">
        <f t="shared" si="2"/>
        <v>11038</v>
      </c>
    </row>
    <row r="13460">
      <c r="A13460" s="48" t="s">
        <v>8510</v>
      </c>
      <c r="B13460" s="38">
        <v>39041.0</v>
      </c>
      <c r="C13460" s="38" t="s">
        <v>17703</v>
      </c>
      <c r="D13460" s="38" t="str">
        <f>IFERROR(__xludf.DUMMYFUNCTION("REGEXREPLACE(C13460,""-\d+(.*)|--\d+(.*)"","""")"),"BAUME-LES-MESSIEURS")</f>
        <v>BAUME-LES-MESSIEURS</v>
      </c>
      <c r="E13460" s="38" t="s">
        <v>400</v>
      </c>
      <c r="F13460" s="38" t="s">
        <v>214</v>
      </c>
      <c r="G13460" s="49" t="str">
        <f t="shared" si="1"/>
        <v>39210</v>
      </c>
      <c r="H13460" s="49">
        <f t="shared" si="2"/>
        <v>39041</v>
      </c>
    </row>
    <row r="13461">
      <c r="A13461" s="48" t="s">
        <v>5924</v>
      </c>
      <c r="B13461" s="38">
        <v>87009.0</v>
      </c>
      <c r="C13461" s="38" t="s">
        <v>17704</v>
      </c>
      <c r="D13461" s="38" t="str">
        <f>IFERROR(__xludf.DUMMYFUNCTION("REGEXREPLACE(C13461,""-\d+(.*)|--\d+(.*)"","""")"),"BEAUMONT-DU-LAC")</f>
        <v>BEAUMONT-DU-LAC</v>
      </c>
      <c r="E13461" s="38" t="s">
        <v>897</v>
      </c>
      <c r="F13461" s="38" t="s">
        <v>98</v>
      </c>
      <c r="G13461" s="49" t="str">
        <f t="shared" si="1"/>
        <v>87120</v>
      </c>
      <c r="H13461" s="49">
        <f t="shared" si="2"/>
        <v>87009</v>
      </c>
    </row>
    <row r="13462">
      <c r="A13462" s="48" t="s">
        <v>6016</v>
      </c>
      <c r="B13462" s="38">
        <v>57569.0</v>
      </c>
      <c r="C13462" s="38" t="s">
        <v>17705</v>
      </c>
      <c r="D13462" s="38" t="str">
        <f>IFERROR(__xludf.DUMMYFUNCTION("REGEXREPLACE(C13462,""-\d+(.*)|--\d+(.*)"","""")"),"REMELING")</f>
        <v>REMELING</v>
      </c>
      <c r="E13462" s="38" t="s">
        <v>303</v>
      </c>
      <c r="F13462" s="38" t="s">
        <v>195</v>
      </c>
      <c r="G13462" s="49" t="str">
        <f t="shared" si="1"/>
        <v>57480</v>
      </c>
      <c r="H13462" s="49">
        <f t="shared" si="2"/>
        <v>57569</v>
      </c>
    </row>
    <row r="13463">
      <c r="A13463" s="48" t="s">
        <v>4882</v>
      </c>
      <c r="B13463" s="38">
        <v>89068.0</v>
      </c>
      <c r="C13463" s="38" t="s">
        <v>17706</v>
      </c>
      <c r="D13463" s="38" t="str">
        <f>IFERROR(__xludf.DUMMYFUNCTION("REGEXREPLACE(C13463,""-\d+(.*)|--\d+(.*)"","""")"),"CHABLIS")</f>
        <v>CHABLIS</v>
      </c>
      <c r="E13463" s="38" t="s">
        <v>275</v>
      </c>
      <c r="F13463" s="38" t="s">
        <v>106</v>
      </c>
      <c r="G13463" s="49" t="str">
        <f t="shared" si="1"/>
        <v>89800</v>
      </c>
      <c r="H13463" s="49">
        <f t="shared" si="2"/>
        <v>89068</v>
      </c>
    </row>
    <row r="13464">
      <c r="A13464" s="48" t="s">
        <v>1124</v>
      </c>
      <c r="B13464" s="38">
        <v>61340.0</v>
      </c>
      <c r="C13464" s="38" t="s">
        <v>17707</v>
      </c>
      <c r="D13464" s="38" t="str">
        <f>IFERROR(__xludf.DUMMYFUNCTION("REGEXREPLACE(C13464,""-\d+(.*)|--\d+(.*)"","""")"),"RABODANGES")</f>
        <v>RABODANGES</v>
      </c>
      <c r="E13464" s="38" t="s">
        <v>141</v>
      </c>
      <c r="F13464" s="38" t="s">
        <v>138</v>
      </c>
      <c r="G13464" s="49" t="str">
        <f t="shared" si="1"/>
        <v>61210</v>
      </c>
      <c r="H13464" s="49">
        <f t="shared" si="2"/>
        <v>61340</v>
      </c>
    </row>
    <row r="13465">
      <c r="A13465" s="48" t="s">
        <v>12136</v>
      </c>
      <c r="B13465" s="38">
        <v>3290.0</v>
      </c>
      <c r="C13465" s="38" t="s">
        <v>17708</v>
      </c>
      <c r="D13465" s="38" t="str">
        <f>IFERROR(__xludf.DUMMYFUNCTION("REGEXREPLACE(C13465,""-\d+(.*)|--\d+(.*)"","""")"),"TREVOL")</f>
        <v>TREVOL</v>
      </c>
      <c r="E13465" s="38" t="s">
        <v>160</v>
      </c>
      <c r="F13465" s="38" t="s">
        <v>161</v>
      </c>
      <c r="G13465" s="49" t="str">
        <f t="shared" si="1"/>
        <v>03460</v>
      </c>
      <c r="H13465" s="49" t="str">
        <f t="shared" si="2"/>
        <v>03290</v>
      </c>
    </row>
    <row r="13466">
      <c r="A13466" s="48" t="s">
        <v>603</v>
      </c>
      <c r="B13466" s="38" t="s">
        <v>17709</v>
      </c>
      <c r="C13466" s="38" t="s">
        <v>17710</v>
      </c>
      <c r="D13466" s="38" t="str">
        <f>IFERROR(__xludf.DUMMYFUNCTION("REGEXREPLACE(C13466,""-\d+(.*)|--\d+(.*)"","""")"),"OLIVESE")</f>
        <v>OLIVESE</v>
      </c>
      <c r="E13466" s="38" t="s">
        <v>606</v>
      </c>
      <c r="F13466" s="38" t="s">
        <v>607</v>
      </c>
      <c r="G13466" s="49" t="str">
        <f t="shared" si="1"/>
        <v>20140</v>
      </c>
      <c r="H13466" s="49" t="str">
        <f t="shared" si="2"/>
        <v>2A186</v>
      </c>
    </row>
    <row r="13467">
      <c r="A13467" s="48" t="s">
        <v>3337</v>
      </c>
      <c r="B13467" s="38">
        <v>34035.0</v>
      </c>
      <c r="C13467" s="38" t="s">
        <v>17711</v>
      </c>
      <c r="D13467" s="38" t="str">
        <f>IFERROR(__xludf.DUMMYFUNCTION("REGEXREPLACE(C13467,""-\d+(.*)|--\d+(.*)"","""")"),"LA BOISSIERE")</f>
        <v>LA BOISSIERE</v>
      </c>
      <c r="E13467" s="38" t="s">
        <v>118</v>
      </c>
      <c r="F13467" s="38" t="s">
        <v>119</v>
      </c>
      <c r="G13467" s="49" t="str">
        <f t="shared" si="1"/>
        <v>34150</v>
      </c>
      <c r="H13467" s="49">
        <f t="shared" si="2"/>
        <v>34035</v>
      </c>
    </row>
    <row r="13468">
      <c r="A13468" s="48" t="s">
        <v>3716</v>
      </c>
      <c r="B13468" s="38">
        <v>57739.0</v>
      </c>
      <c r="C13468" s="38" t="s">
        <v>17712</v>
      </c>
      <c r="D13468" s="38" t="str">
        <f>IFERROR(__xludf.DUMMYFUNCTION("REGEXREPLACE(C13468,""-\d+(.*)|--\d+(.*)"","""")"),"WALDWEISTROFF")</f>
        <v>WALDWEISTROFF</v>
      </c>
      <c r="E13468" s="38" t="s">
        <v>303</v>
      </c>
      <c r="F13468" s="38" t="s">
        <v>195</v>
      </c>
      <c r="G13468" s="49" t="str">
        <f t="shared" si="1"/>
        <v>57320</v>
      </c>
      <c r="H13468" s="49">
        <f t="shared" si="2"/>
        <v>57739</v>
      </c>
    </row>
    <row r="13469">
      <c r="A13469" s="48" t="s">
        <v>1278</v>
      </c>
      <c r="B13469" s="38">
        <v>83059.0</v>
      </c>
      <c r="C13469" s="38" t="s">
        <v>17713</v>
      </c>
      <c r="D13469" s="38" t="str">
        <f>IFERROR(__xludf.DUMMYFUNCTION("REGEXREPLACE(C13469,""-\d+(.*)|--\d+(.*)"","""")"),"FORCALQUEIRET")</f>
        <v>FORCALQUEIRET</v>
      </c>
      <c r="E13469" s="38" t="s">
        <v>813</v>
      </c>
      <c r="F13469" s="38" t="s">
        <v>228</v>
      </c>
      <c r="G13469" s="49" t="str">
        <f t="shared" si="1"/>
        <v>83136</v>
      </c>
      <c r="H13469" s="49">
        <f t="shared" si="2"/>
        <v>83059</v>
      </c>
    </row>
    <row r="13470">
      <c r="A13470" s="48" t="s">
        <v>13581</v>
      </c>
      <c r="B13470" s="38">
        <v>78107.0</v>
      </c>
      <c r="C13470" s="38" t="s">
        <v>17714</v>
      </c>
      <c r="D13470" s="38" t="str">
        <f>IFERROR(__xludf.DUMMYFUNCTION("REGEXREPLACE(C13470,""-\d+(.*)|--\d+(.*)"","""")"),"BREVAL")</f>
        <v>BREVAL</v>
      </c>
      <c r="E13470" s="38" t="s">
        <v>362</v>
      </c>
      <c r="F13470" s="38" t="s">
        <v>245</v>
      </c>
      <c r="G13470" s="49" t="str">
        <f t="shared" si="1"/>
        <v>78980</v>
      </c>
      <c r="H13470" s="49">
        <f t="shared" si="2"/>
        <v>78107</v>
      </c>
    </row>
    <row r="13471">
      <c r="A13471" s="48" t="s">
        <v>13466</v>
      </c>
      <c r="B13471" s="38">
        <v>3312.0</v>
      </c>
      <c r="C13471" s="38" t="s">
        <v>17715</v>
      </c>
      <c r="D13471" s="38" t="str">
        <f>IFERROR(__xludf.DUMMYFUNCTION("REGEXREPLACE(C13471,""-\d+(.*)|--\d+(.*)"","""")"),"VIEURE")</f>
        <v>VIEURE</v>
      </c>
      <c r="E13471" s="38" t="s">
        <v>160</v>
      </c>
      <c r="F13471" s="38" t="s">
        <v>161</v>
      </c>
      <c r="G13471" s="49" t="str">
        <f t="shared" si="1"/>
        <v>03430</v>
      </c>
      <c r="H13471" s="49" t="str">
        <f t="shared" si="2"/>
        <v>03312</v>
      </c>
    </row>
    <row r="13472">
      <c r="A13472" s="48" t="s">
        <v>6016</v>
      </c>
      <c r="B13472" s="38">
        <v>57365.0</v>
      </c>
      <c r="C13472" s="38" t="s">
        <v>17716</v>
      </c>
      <c r="D13472" s="38" t="str">
        <f>IFERROR(__xludf.DUMMYFUNCTION("REGEXREPLACE(C13472,""-\d+(.*)|--\d+(.*)"","""")"),"KIRSCHNAUMEN")</f>
        <v>KIRSCHNAUMEN</v>
      </c>
      <c r="E13472" s="38" t="s">
        <v>303</v>
      </c>
      <c r="F13472" s="38" t="s">
        <v>195</v>
      </c>
      <c r="G13472" s="49" t="str">
        <f t="shared" si="1"/>
        <v>57480</v>
      </c>
      <c r="H13472" s="49">
        <f t="shared" si="2"/>
        <v>57365</v>
      </c>
    </row>
    <row r="13473">
      <c r="A13473" s="48" t="s">
        <v>2775</v>
      </c>
      <c r="B13473" s="38">
        <v>59274.0</v>
      </c>
      <c r="C13473" s="38" t="s">
        <v>17717</v>
      </c>
      <c r="D13473" s="38" t="str">
        <f>IFERROR(__xludf.DUMMYFUNCTION("REGEXREPLACE(C13473,""-\d+(.*)|--\d+(.*)"","""")"),"LA GROISE")</f>
        <v>LA GROISE</v>
      </c>
      <c r="E13473" s="38" t="s">
        <v>85</v>
      </c>
      <c r="F13473" s="38" t="s">
        <v>86</v>
      </c>
      <c r="G13473" s="49" t="str">
        <f t="shared" si="1"/>
        <v>59360</v>
      </c>
      <c r="H13473" s="49">
        <f t="shared" si="2"/>
        <v>59274</v>
      </c>
    </row>
    <row r="13474">
      <c r="A13474" s="48" t="s">
        <v>4797</v>
      </c>
      <c r="B13474" s="38">
        <v>30024.0</v>
      </c>
      <c r="C13474" s="38" t="s">
        <v>17718</v>
      </c>
      <c r="D13474" s="38" t="str">
        <f>IFERROR(__xludf.DUMMYFUNCTION("REGEXREPLACE(C13474,""-\d+(.*)|--\d+(.*)"","""")"),"AULAS")</f>
        <v>AULAS</v>
      </c>
      <c r="E13474" s="38" t="s">
        <v>526</v>
      </c>
      <c r="F13474" s="38" t="s">
        <v>119</v>
      </c>
      <c r="G13474" s="49" t="str">
        <f t="shared" si="1"/>
        <v>30120</v>
      </c>
      <c r="H13474" s="49">
        <f t="shared" si="2"/>
        <v>30024</v>
      </c>
    </row>
    <row r="13475">
      <c r="A13475" s="48" t="s">
        <v>10259</v>
      </c>
      <c r="B13475" s="38">
        <v>73067.0</v>
      </c>
      <c r="C13475" s="38" t="s">
        <v>17719</v>
      </c>
      <c r="D13475" s="38" t="str">
        <f>IFERROR(__xludf.DUMMYFUNCTION("REGEXREPLACE(C13475,""-\d+(.*)|--\d+(.*)"","""")"),"LA CHAMBRE")</f>
        <v>LA CHAMBRE</v>
      </c>
      <c r="E13475" s="38" t="s">
        <v>306</v>
      </c>
      <c r="F13475" s="38" t="s">
        <v>102</v>
      </c>
      <c r="G13475" s="49" t="str">
        <f t="shared" si="1"/>
        <v>73130</v>
      </c>
      <c r="H13475" s="49">
        <f t="shared" si="2"/>
        <v>73067</v>
      </c>
    </row>
    <row r="13476">
      <c r="A13476" s="48" t="s">
        <v>335</v>
      </c>
      <c r="B13476" s="38">
        <v>79135.0</v>
      </c>
      <c r="C13476" s="38" t="s">
        <v>17720</v>
      </c>
      <c r="D13476" s="38" t="str">
        <f>IFERROR(__xludf.DUMMYFUNCTION("REGEXREPLACE(C13476,""-\d+(.*)|--\d+(.*)"","""")"),"GOURGE")</f>
        <v>GOURGE</v>
      </c>
      <c r="E13476" s="38" t="s">
        <v>337</v>
      </c>
      <c r="F13476" s="38" t="s">
        <v>338</v>
      </c>
      <c r="G13476" s="49" t="str">
        <f t="shared" si="1"/>
        <v>79200</v>
      </c>
      <c r="H13476" s="49">
        <f t="shared" si="2"/>
        <v>79135</v>
      </c>
    </row>
    <row r="13477">
      <c r="A13477" s="48" t="s">
        <v>17028</v>
      </c>
      <c r="B13477" s="38">
        <v>34299.0</v>
      </c>
      <c r="C13477" s="38" t="s">
        <v>17721</v>
      </c>
      <c r="D13477" s="38" t="str">
        <f>IFERROR(__xludf.DUMMYFUNCTION("REGEXREPLACE(C13477,""-\d+(.*)|--\d+(.*)"","""")"),"SERIGNAN")</f>
        <v>SERIGNAN</v>
      </c>
      <c r="E13477" s="38" t="s">
        <v>118</v>
      </c>
      <c r="F13477" s="38" t="s">
        <v>119</v>
      </c>
      <c r="G13477" s="49" t="str">
        <f t="shared" si="1"/>
        <v>34410</v>
      </c>
      <c r="H13477" s="49">
        <f t="shared" si="2"/>
        <v>34299</v>
      </c>
    </row>
    <row r="13478">
      <c r="A13478" s="48" t="s">
        <v>2164</v>
      </c>
      <c r="B13478" s="38">
        <v>63082.0</v>
      </c>
      <c r="C13478" s="38" t="s">
        <v>12164</v>
      </c>
      <c r="D13478" s="38" t="str">
        <f>IFERROR(__xludf.DUMMYFUNCTION("REGEXREPLACE(C13478,""-\d+(.*)|--\d+(.*)"","""")"),"CHAMPS")</f>
        <v>CHAMPS</v>
      </c>
      <c r="E13478" s="38" t="s">
        <v>353</v>
      </c>
      <c r="F13478" s="38" t="s">
        <v>161</v>
      </c>
      <c r="G13478" s="49" t="str">
        <f t="shared" si="1"/>
        <v>63440</v>
      </c>
      <c r="H13478" s="49">
        <f t="shared" si="2"/>
        <v>63082</v>
      </c>
    </row>
    <row r="13479">
      <c r="A13479" s="48" t="s">
        <v>940</v>
      </c>
      <c r="B13479" s="38">
        <v>51109.0</v>
      </c>
      <c r="C13479" s="38" t="s">
        <v>17722</v>
      </c>
      <c r="D13479" s="38" t="str">
        <f>IFERROR(__xludf.DUMMYFUNCTION("REGEXREPLACE(C13479,""-\d+(.*)|--\d+(.*)"","""")"),"CHALONS-SUR-VESLE")</f>
        <v>CHALONS-SUR-VESLE</v>
      </c>
      <c r="E13479" s="38" t="s">
        <v>129</v>
      </c>
      <c r="F13479" s="38" t="s">
        <v>130</v>
      </c>
      <c r="G13479" s="49" t="str">
        <f t="shared" si="1"/>
        <v>51140</v>
      </c>
      <c r="H13479" s="49">
        <f t="shared" si="2"/>
        <v>51109</v>
      </c>
    </row>
    <row r="13480">
      <c r="A13480" s="48" t="s">
        <v>14590</v>
      </c>
      <c r="B13480" s="38">
        <v>80225.0</v>
      </c>
      <c r="C13480" s="38" t="s">
        <v>17723</v>
      </c>
      <c r="D13480" s="38" t="str">
        <f>IFERROR(__xludf.DUMMYFUNCTION("REGEXREPLACE(C13480,""-\d+(.*)|--\d+(.*)"","""")"),"CREUSE")</f>
        <v>CREUSE</v>
      </c>
      <c r="E13480" s="38" t="s">
        <v>224</v>
      </c>
      <c r="F13480" s="38" t="s">
        <v>113</v>
      </c>
      <c r="G13480" s="49" t="str">
        <f t="shared" si="1"/>
        <v>80480</v>
      </c>
      <c r="H13480" s="49">
        <f t="shared" si="2"/>
        <v>80225</v>
      </c>
    </row>
    <row r="13481">
      <c r="A13481" s="48" t="s">
        <v>2073</v>
      </c>
      <c r="B13481" s="38">
        <v>8261.0</v>
      </c>
      <c r="C13481" s="38" t="s">
        <v>17724</v>
      </c>
      <c r="D13481" s="38" t="str">
        <f>IFERROR(__xludf.DUMMYFUNCTION("REGEXREPLACE(C13481,""-\d+(.*)|--\d+(.*)"","""")"),"LOUVERGNY")</f>
        <v>LOUVERGNY</v>
      </c>
      <c r="E13481" s="38" t="s">
        <v>327</v>
      </c>
      <c r="F13481" s="38" t="s">
        <v>130</v>
      </c>
      <c r="G13481" s="49" t="str">
        <f t="shared" si="1"/>
        <v>08390</v>
      </c>
      <c r="H13481" s="49" t="str">
        <f t="shared" si="2"/>
        <v>08261</v>
      </c>
    </row>
    <row r="13482">
      <c r="A13482" s="48" t="s">
        <v>1754</v>
      </c>
      <c r="B13482" s="38">
        <v>14583.0</v>
      </c>
      <c r="C13482" s="38" t="s">
        <v>17725</v>
      </c>
      <c r="D13482" s="38" t="str">
        <f>IFERROR(__xludf.DUMMYFUNCTION("REGEXREPLACE(C13482,""-\d+(.*)|--\d+(.*)"","""")"),"SAINT-GERMAIN-DE-MONTGOMMERY")</f>
        <v>SAINT-GERMAIN-DE-MONTGOMMERY</v>
      </c>
      <c r="E13482" s="38" t="s">
        <v>137</v>
      </c>
      <c r="F13482" s="38" t="s">
        <v>138</v>
      </c>
      <c r="G13482" s="49" t="str">
        <f t="shared" si="1"/>
        <v>14140</v>
      </c>
      <c r="H13482" s="49">
        <f t="shared" si="2"/>
        <v>14583</v>
      </c>
    </row>
    <row r="13483">
      <c r="A13483" s="48" t="s">
        <v>3780</v>
      </c>
      <c r="B13483" s="38">
        <v>50028.0</v>
      </c>
      <c r="C13483" s="38" t="s">
        <v>17726</v>
      </c>
      <c r="D13483" s="38" t="str">
        <f>IFERROR(__xludf.DUMMYFUNCTION("REGEXREPLACE(C13483,""-\d+(.*)|--\d+(.*)"","""")"),"LA BALEINE")</f>
        <v>LA BALEINE</v>
      </c>
      <c r="E13483" s="38" t="s">
        <v>157</v>
      </c>
      <c r="F13483" s="38" t="s">
        <v>138</v>
      </c>
      <c r="G13483" s="49" t="str">
        <f t="shared" si="1"/>
        <v>50450</v>
      </c>
      <c r="H13483" s="49">
        <f t="shared" si="2"/>
        <v>50028</v>
      </c>
    </row>
    <row r="13484">
      <c r="A13484" s="48" t="s">
        <v>2661</v>
      </c>
      <c r="B13484" s="38">
        <v>50324.0</v>
      </c>
      <c r="C13484" s="38" t="s">
        <v>17727</v>
      </c>
      <c r="D13484" s="38" t="str">
        <f>IFERROR(__xludf.DUMMYFUNCTION("REGEXREPLACE(C13484,""-\d+(.*)|--\d+(.*)"","""")"),"LE MESNIL-VENERON")</f>
        <v>LE MESNIL-VENERON</v>
      </c>
      <c r="E13484" s="38" t="s">
        <v>157</v>
      </c>
      <c r="F13484" s="38" t="s">
        <v>138</v>
      </c>
      <c r="G13484" s="49" t="str">
        <f t="shared" si="1"/>
        <v>50620</v>
      </c>
      <c r="H13484" s="49">
        <f t="shared" si="2"/>
        <v>50324</v>
      </c>
    </row>
    <row r="13485">
      <c r="A13485" s="48" t="s">
        <v>7895</v>
      </c>
      <c r="B13485" s="38">
        <v>57298.0</v>
      </c>
      <c r="C13485" s="38" t="s">
        <v>17728</v>
      </c>
      <c r="D13485" s="38" t="str">
        <f>IFERROR(__xludf.DUMMYFUNCTION("REGEXREPLACE(C13485,""-\d+(.*)|--\d+(.*)"","""")"),"HARREBERG")</f>
        <v>HARREBERG</v>
      </c>
      <c r="E13485" s="38" t="s">
        <v>303</v>
      </c>
      <c r="F13485" s="38" t="s">
        <v>195</v>
      </c>
      <c r="G13485" s="49" t="str">
        <f t="shared" si="1"/>
        <v>57870</v>
      </c>
      <c r="H13485" s="49">
        <f t="shared" si="2"/>
        <v>57298</v>
      </c>
    </row>
    <row r="13486">
      <c r="A13486" s="48" t="s">
        <v>1810</v>
      </c>
      <c r="B13486" s="38">
        <v>23128.0</v>
      </c>
      <c r="C13486" s="38" t="s">
        <v>17729</v>
      </c>
      <c r="D13486" s="38" t="str">
        <f>IFERROR(__xludf.DUMMYFUNCTION("REGEXREPLACE(C13486,""-\d+(.*)|--\d+(.*)"","""")"),"MAZEIRAT")</f>
        <v>MAZEIRAT</v>
      </c>
      <c r="E13486" s="38" t="s">
        <v>97</v>
      </c>
      <c r="F13486" s="38" t="s">
        <v>98</v>
      </c>
      <c r="G13486" s="49" t="str">
        <f t="shared" si="1"/>
        <v>23150</v>
      </c>
      <c r="H13486" s="49">
        <f t="shared" si="2"/>
        <v>23128</v>
      </c>
    </row>
    <row r="13487">
      <c r="A13487" s="48" t="s">
        <v>3763</v>
      </c>
      <c r="B13487" s="38">
        <v>76153.0</v>
      </c>
      <c r="C13487" s="38" t="s">
        <v>17730</v>
      </c>
      <c r="D13487" s="38" t="str">
        <f>IFERROR(__xludf.DUMMYFUNCTION("REGEXREPLACE(C13487,""-\d+(.*)|--\d+(.*)"","""")"),"CALLEVILLE-LES-DEUX-EGLISES")</f>
        <v>CALLEVILLE-LES-DEUX-EGLISES</v>
      </c>
      <c r="E13487" s="38" t="s">
        <v>133</v>
      </c>
      <c r="F13487" s="38" t="s">
        <v>134</v>
      </c>
      <c r="G13487" s="49" t="str">
        <f t="shared" si="1"/>
        <v>76890</v>
      </c>
      <c r="H13487" s="49">
        <f t="shared" si="2"/>
        <v>76153</v>
      </c>
    </row>
    <row r="13488">
      <c r="A13488" s="48" t="s">
        <v>5950</v>
      </c>
      <c r="B13488" s="38">
        <v>53035.0</v>
      </c>
      <c r="C13488" s="38" t="s">
        <v>17731</v>
      </c>
      <c r="D13488" s="38" t="str">
        <f>IFERROR(__xludf.DUMMYFUNCTION("REGEXREPLACE(C13488,""-\d+(.*)|--\d+(.*)"","""")"),"BOUCHAMPS-LES-CRAON")</f>
        <v>BOUCHAMPS-LES-CRAON</v>
      </c>
      <c r="E13488" s="38" t="s">
        <v>518</v>
      </c>
      <c r="F13488" s="38" t="s">
        <v>180</v>
      </c>
      <c r="G13488" s="49" t="str">
        <f t="shared" si="1"/>
        <v>53800</v>
      </c>
      <c r="H13488" s="49">
        <f t="shared" si="2"/>
        <v>53035</v>
      </c>
    </row>
    <row r="13489">
      <c r="A13489" s="48" t="s">
        <v>3260</v>
      </c>
      <c r="B13489" s="38">
        <v>3240.0</v>
      </c>
      <c r="C13489" s="38" t="s">
        <v>17732</v>
      </c>
      <c r="D13489" s="38" t="str">
        <f>IFERROR(__xludf.DUMMYFUNCTION("REGEXREPLACE(C13489,""-\d+(.*)|--\d+(.*)"","""")"),"SAINT-LEON")</f>
        <v>SAINT-LEON</v>
      </c>
      <c r="E13489" s="38" t="s">
        <v>160</v>
      </c>
      <c r="F13489" s="38" t="s">
        <v>161</v>
      </c>
      <c r="G13489" s="49" t="str">
        <f t="shared" si="1"/>
        <v>03220</v>
      </c>
      <c r="H13489" s="49" t="str">
        <f t="shared" si="2"/>
        <v>03240</v>
      </c>
    </row>
    <row r="13490">
      <c r="A13490" s="48" t="s">
        <v>1446</v>
      </c>
      <c r="B13490" s="38">
        <v>76587.0</v>
      </c>
      <c r="C13490" s="38" t="s">
        <v>17733</v>
      </c>
      <c r="D13490" s="38" t="str">
        <f>IFERROR(__xludf.DUMMYFUNCTION("REGEXREPLACE(C13490,""-\d+(.*)|--\d+(.*)"","""")"),"SAINTE-HELENE-BONDEVILLE")</f>
        <v>SAINTE-HELENE-BONDEVILLE</v>
      </c>
      <c r="E13490" s="38" t="s">
        <v>133</v>
      </c>
      <c r="F13490" s="38" t="s">
        <v>134</v>
      </c>
      <c r="G13490" s="49" t="str">
        <f t="shared" si="1"/>
        <v>76400</v>
      </c>
      <c r="H13490" s="49">
        <f t="shared" si="2"/>
        <v>76587</v>
      </c>
    </row>
    <row r="13491">
      <c r="A13491" s="48" t="s">
        <v>5237</v>
      </c>
      <c r="B13491" s="38">
        <v>69225.0</v>
      </c>
      <c r="C13491" s="38" t="s">
        <v>17734</v>
      </c>
      <c r="D13491" s="38" t="str">
        <f>IFERROR(__xludf.DUMMYFUNCTION("REGEXREPLACE(C13491,""-\d+(.*)|--\d+(.*)"","""")"),"SAINT-MARCEL-L'ECLAIRE")</f>
        <v>SAINT-MARCEL-L'ECLAIRE</v>
      </c>
      <c r="E13491" s="38" t="s">
        <v>350</v>
      </c>
      <c r="F13491" s="38" t="s">
        <v>102</v>
      </c>
      <c r="G13491" s="49" t="str">
        <f t="shared" si="1"/>
        <v>69170</v>
      </c>
      <c r="H13491" s="49">
        <f t="shared" si="2"/>
        <v>69225</v>
      </c>
    </row>
    <row r="13492">
      <c r="A13492" s="48" t="s">
        <v>323</v>
      </c>
      <c r="B13492" s="38">
        <v>52079.0</v>
      </c>
      <c r="C13492" s="38" t="s">
        <v>17735</v>
      </c>
      <c r="D13492" s="38" t="str">
        <f>IFERROR(__xludf.DUMMYFUNCTION("REGEXREPLACE(C13492,""-\d+(.*)|--\d+(.*)"","""")"),"BROUSSEVAL")</f>
        <v>BROUSSEVAL</v>
      </c>
      <c r="E13492" s="38" t="s">
        <v>234</v>
      </c>
      <c r="F13492" s="38" t="s">
        <v>130</v>
      </c>
      <c r="G13492" s="49" t="str">
        <f t="shared" si="1"/>
        <v>52130</v>
      </c>
      <c r="H13492" s="49">
        <f t="shared" si="2"/>
        <v>52079</v>
      </c>
    </row>
    <row r="13493">
      <c r="A13493" s="48" t="s">
        <v>17736</v>
      </c>
      <c r="B13493" s="38">
        <v>92036.0</v>
      </c>
      <c r="C13493" s="38" t="s">
        <v>17737</v>
      </c>
      <c r="D13493" s="38" t="str">
        <f>IFERROR(__xludf.DUMMYFUNCTION("REGEXREPLACE(C13493,""-\d+(.*)|--\d+(.*)"","""")"),"GENNEVILLIERS")</f>
        <v>GENNEVILLIERS</v>
      </c>
      <c r="E13493" s="38" t="s">
        <v>838</v>
      </c>
      <c r="F13493" s="38" t="s">
        <v>245</v>
      </c>
      <c r="G13493" s="49" t="str">
        <f t="shared" si="1"/>
        <v>92230</v>
      </c>
      <c r="H13493" s="49">
        <f t="shared" si="2"/>
        <v>92036</v>
      </c>
    </row>
    <row r="13494">
      <c r="A13494" s="48" t="s">
        <v>11867</v>
      </c>
      <c r="B13494" s="38">
        <v>34262.0</v>
      </c>
      <c r="C13494" s="38" t="s">
        <v>17738</v>
      </c>
      <c r="D13494" s="38" t="str">
        <f>IFERROR(__xludf.DUMMYFUNCTION("REGEXREPLACE(C13494,""-\d+(.*)|--\d+(.*)"","""")"),"SAINT-GUIRAUD")</f>
        <v>SAINT-GUIRAUD</v>
      </c>
      <c r="E13494" s="38" t="s">
        <v>118</v>
      </c>
      <c r="F13494" s="38" t="s">
        <v>119</v>
      </c>
      <c r="G13494" s="49" t="str">
        <f t="shared" si="1"/>
        <v>34725</v>
      </c>
      <c r="H13494" s="49">
        <f t="shared" si="2"/>
        <v>34262</v>
      </c>
    </row>
    <row r="13495">
      <c r="A13495" s="48" t="s">
        <v>11324</v>
      </c>
      <c r="B13495" s="38">
        <v>97205.0</v>
      </c>
      <c r="C13495" s="38" t="s">
        <v>17739</v>
      </c>
      <c r="D13495" s="38" t="str">
        <f>IFERROR(__xludf.DUMMYFUNCTION("REGEXREPLACE(C13495,""-\d+(.*)|--\d+(.*)"","""")"),"CASE-PILOTE")</f>
        <v>CASE-PILOTE</v>
      </c>
      <c r="E13495" s="38" t="s">
        <v>2282</v>
      </c>
      <c r="F13495" s="38" t="s">
        <v>2282</v>
      </c>
      <c r="G13495" s="49" t="str">
        <f t="shared" si="1"/>
        <v>97222</v>
      </c>
      <c r="H13495" s="49">
        <f t="shared" si="2"/>
        <v>97205</v>
      </c>
    </row>
    <row r="13496">
      <c r="A13496" s="48" t="s">
        <v>3109</v>
      </c>
      <c r="B13496" s="38">
        <v>9331.0</v>
      </c>
      <c r="C13496" s="38" t="s">
        <v>3905</v>
      </c>
      <c r="D13496" s="38" t="str">
        <f>IFERROR(__xludf.DUMMYFUNCTION("REGEXREPLACE(C13496,""-\d+(.*)|--\d+(.*)"","""")"),"LE VERNET")</f>
        <v>LE VERNET</v>
      </c>
      <c r="E13496" s="38" t="s">
        <v>238</v>
      </c>
      <c r="F13496" s="38" t="s">
        <v>94</v>
      </c>
      <c r="G13496" s="49" t="str">
        <f t="shared" si="1"/>
        <v>09700</v>
      </c>
      <c r="H13496" s="49" t="str">
        <f t="shared" si="2"/>
        <v>09331</v>
      </c>
    </row>
    <row r="13497">
      <c r="A13497" s="48" t="s">
        <v>17740</v>
      </c>
      <c r="B13497" s="38">
        <v>81101.0</v>
      </c>
      <c r="C13497" s="38" t="s">
        <v>17741</v>
      </c>
      <c r="D13497" s="38" t="str">
        <f>IFERROR(__xludf.DUMMYFUNCTION("REGEXREPLACE(C13497,""-\d+(.*)|--\d+(.*)"","""")"),"LE GARRIC")</f>
        <v>LE GARRIC</v>
      </c>
      <c r="E13497" s="38" t="s">
        <v>231</v>
      </c>
      <c r="F13497" s="38" t="s">
        <v>94</v>
      </c>
      <c r="G13497" s="49" t="str">
        <f t="shared" si="1"/>
        <v>81450</v>
      </c>
      <c r="H13497" s="49">
        <f t="shared" si="2"/>
        <v>81101</v>
      </c>
    </row>
    <row r="13498">
      <c r="A13498" s="48" t="s">
        <v>1313</v>
      </c>
      <c r="B13498" s="38">
        <v>28135.0</v>
      </c>
      <c r="C13498" s="38" t="s">
        <v>17742</v>
      </c>
      <c r="D13498" s="38" t="str">
        <f>IFERROR(__xludf.DUMMYFUNCTION("REGEXREPLACE(C13498,""-\d+(.*)|--\d+(.*)"","""")"),"DROUE-SUR-DROUETTE")</f>
        <v>DROUE-SUR-DROUETTE</v>
      </c>
      <c r="E13498" s="38" t="s">
        <v>300</v>
      </c>
      <c r="F13498" s="38" t="s">
        <v>123</v>
      </c>
      <c r="G13498" s="49" t="str">
        <f t="shared" si="1"/>
        <v>28230</v>
      </c>
      <c r="H13498" s="49">
        <f t="shared" si="2"/>
        <v>28135</v>
      </c>
    </row>
    <row r="13499">
      <c r="A13499" s="48" t="s">
        <v>4614</v>
      </c>
      <c r="B13499" s="38">
        <v>78209.0</v>
      </c>
      <c r="C13499" s="38" t="s">
        <v>17743</v>
      </c>
      <c r="D13499" s="38" t="str">
        <f>IFERROR(__xludf.DUMMYFUNCTION("REGEXREPLACE(C13499,""-\d+(.*)|--\d+(.*)"","""")"),"EMANCE")</f>
        <v>EMANCE</v>
      </c>
      <c r="E13499" s="38" t="s">
        <v>362</v>
      </c>
      <c r="F13499" s="38" t="s">
        <v>245</v>
      </c>
      <c r="G13499" s="49" t="str">
        <f t="shared" si="1"/>
        <v>78125</v>
      </c>
      <c r="H13499" s="49">
        <f t="shared" si="2"/>
        <v>78209</v>
      </c>
    </row>
    <row r="13500">
      <c r="A13500" s="48" t="s">
        <v>12724</v>
      </c>
      <c r="B13500" s="38">
        <v>34309.0</v>
      </c>
      <c r="C13500" s="38" t="s">
        <v>17744</v>
      </c>
      <c r="D13500" s="38" t="str">
        <f>IFERROR(__xludf.DUMMYFUNCTION("REGEXREPLACE(C13500,""-\d+(.*)|--\d+(.*)"","""")"),"TEYRAN")</f>
        <v>TEYRAN</v>
      </c>
      <c r="E13500" s="38" t="s">
        <v>118</v>
      </c>
      <c r="F13500" s="38" t="s">
        <v>119</v>
      </c>
      <c r="G13500" s="49" t="str">
        <f t="shared" si="1"/>
        <v>34820</v>
      </c>
      <c r="H13500" s="49">
        <f t="shared" si="2"/>
        <v>34309</v>
      </c>
    </row>
    <row r="13501">
      <c r="A13501" s="48" t="s">
        <v>17745</v>
      </c>
      <c r="B13501" s="38">
        <v>74208.0</v>
      </c>
      <c r="C13501" s="38" t="s">
        <v>12085</v>
      </c>
      <c r="D13501" s="38" t="str">
        <f>IFERROR(__xludf.DUMMYFUNCTION("REGEXREPLACE(C13501,""-\d+(.*)|--\d+(.*)"","""")"),"PASSY")</f>
        <v>PASSY</v>
      </c>
      <c r="E13501" s="38" t="s">
        <v>319</v>
      </c>
      <c r="F13501" s="38" t="s">
        <v>102</v>
      </c>
      <c r="G13501" s="49" t="str">
        <f t="shared" si="1"/>
        <v>74190</v>
      </c>
      <c r="H13501" s="49">
        <f t="shared" si="2"/>
        <v>74208</v>
      </c>
    </row>
    <row r="13502">
      <c r="A13502" s="48" t="s">
        <v>9944</v>
      </c>
      <c r="B13502" s="38">
        <v>71209.0</v>
      </c>
      <c r="C13502" s="38" t="s">
        <v>17746</v>
      </c>
      <c r="D13502" s="38" t="str">
        <f>IFERROR(__xludf.DUMMYFUNCTION("REGEXREPLACE(C13502,""-\d+(.*)|--\d+(.*)"","""")"),"FRONTENAUD")</f>
        <v>FRONTENAUD</v>
      </c>
      <c r="E13502" s="38" t="s">
        <v>344</v>
      </c>
      <c r="F13502" s="38" t="s">
        <v>106</v>
      </c>
      <c r="G13502" s="49" t="str">
        <f t="shared" si="1"/>
        <v>71580</v>
      </c>
      <c r="H13502" s="49">
        <f t="shared" si="2"/>
        <v>71209</v>
      </c>
    </row>
    <row r="13503">
      <c r="A13503" s="48" t="s">
        <v>9769</v>
      </c>
      <c r="B13503" s="38">
        <v>46133.0</v>
      </c>
      <c r="C13503" s="38" t="s">
        <v>17747</v>
      </c>
      <c r="D13503" s="38" t="str">
        <f>IFERROR(__xludf.DUMMYFUNCTION("REGEXREPLACE(C13503,""-\d+(.*)|--\d+(.*)"","""")"),"ISSEPTS")</f>
        <v>ISSEPTS</v>
      </c>
      <c r="E13503" s="38" t="s">
        <v>185</v>
      </c>
      <c r="F13503" s="38" t="s">
        <v>94</v>
      </c>
      <c r="G13503" s="49" t="str">
        <f t="shared" si="1"/>
        <v>46320</v>
      </c>
      <c r="H13503" s="49">
        <f t="shared" si="2"/>
        <v>46133</v>
      </c>
    </row>
    <row r="13504">
      <c r="A13504" s="48" t="s">
        <v>167</v>
      </c>
      <c r="B13504" s="38">
        <v>34137.0</v>
      </c>
      <c r="C13504" s="38" t="s">
        <v>17748</v>
      </c>
      <c r="D13504" s="38" t="str">
        <f>IFERROR(__xludf.DUMMYFUNCTION("REGEXREPLACE(C13504,""-\d+(.*)|--\d+(.*)"","""")"),"LIAUSSON")</f>
        <v>LIAUSSON</v>
      </c>
      <c r="E13504" s="38" t="s">
        <v>118</v>
      </c>
      <c r="F13504" s="38" t="s">
        <v>119</v>
      </c>
      <c r="G13504" s="49" t="str">
        <f t="shared" si="1"/>
        <v>34800</v>
      </c>
      <c r="H13504" s="49">
        <f t="shared" si="2"/>
        <v>34137</v>
      </c>
    </row>
    <row r="13505">
      <c r="A13505" s="48" t="s">
        <v>8515</v>
      </c>
      <c r="B13505" s="38">
        <v>8419.0</v>
      </c>
      <c r="C13505" s="38" t="s">
        <v>17749</v>
      </c>
      <c r="D13505" s="38" t="str">
        <f>IFERROR(__xludf.DUMMYFUNCTION("REGEXREPLACE(C13505,""-\d+(.*)|--\d+(.*)"","""")"),"SIGNY-L'ABBAYE")</f>
        <v>SIGNY-L'ABBAYE</v>
      </c>
      <c r="E13505" s="38" t="s">
        <v>327</v>
      </c>
      <c r="F13505" s="38" t="s">
        <v>130</v>
      </c>
      <c r="G13505" s="49" t="str">
        <f t="shared" si="1"/>
        <v>08460</v>
      </c>
      <c r="H13505" s="49" t="str">
        <f t="shared" si="2"/>
        <v>08419</v>
      </c>
    </row>
    <row r="13506">
      <c r="A13506" s="48" t="s">
        <v>9660</v>
      </c>
      <c r="B13506" s="38">
        <v>89246.0</v>
      </c>
      <c r="C13506" s="38" t="s">
        <v>17750</v>
      </c>
      <c r="D13506" s="38" t="str">
        <f>IFERROR(__xludf.DUMMYFUNCTION("REGEXREPLACE(C13506,""-\d+(.*)|--\d+(.*)"","""")"),"MASSANGIS")</f>
        <v>MASSANGIS</v>
      </c>
      <c r="E13506" s="38" t="s">
        <v>275</v>
      </c>
      <c r="F13506" s="38" t="s">
        <v>106</v>
      </c>
      <c r="G13506" s="49" t="str">
        <f t="shared" si="1"/>
        <v>89440</v>
      </c>
      <c r="H13506" s="49">
        <f t="shared" si="2"/>
        <v>89246</v>
      </c>
    </row>
    <row r="13507">
      <c r="A13507" s="48" t="s">
        <v>719</v>
      </c>
      <c r="B13507" s="38">
        <v>8203.0</v>
      </c>
      <c r="C13507" s="38" t="s">
        <v>17751</v>
      </c>
      <c r="D13507" s="38" t="str">
        <f>IFERROR(__xludf.DUMMYFUNCTION("REGEXREPLACE(C13507,""-\d+(.*)|--\d+(.*)"","""")"),"GUIGNICOURT-SUR-VENCE")</f>
        <v>GUIGNICOURT-SUR-VENCE</v>
      </c>
      <c r="E13507" s="38" t="s">
        <v>327</v>
      </c>
      <c r="F13507" s="38" t="s">
        <v>130</v>
      </c>
      <c r="G13507" s="49" t="str">
        <f t="shared" si="1"/>
        <v>08430</v>
      </c>
      <c r="H13507" s="49" t="str">
        <f t="shared" si="2"/>
        <v>08203</v>
      </c>
    </row>
    <row r="13508">
      <c r="A13508" s="48" t="s">
        <v>7972</v>
      </c>
      <c r="B13508" s="38">
        <v>62252.0</v>
      </c>
      <c r="C13508" s="38" t="s">
        <v>17752</v>
      </c>
      <c r="D13508" s="38" t="str">
        <f>IFERROR(__xludf.DUMMYFUNCTION("REGEXREPLACE(C13508,""-\d+(.*)|--\d+(.*)"","""")"),"LA COUTURE")</f>
        <v>LA COUTURE</v>
      </c>
      <c r="E13508" s="38" t="s">
        <v>109</v>
      </c>
      <c r="F13508" s="38" t="s">
        <v>86</v>
      </c>
      <c r="G13508" s="49" t="str">
        <f t="shared" si="1"/>
        <v>62136</v>
      </c>
      <c r="H13508" s="49">
        <f t="shared" si="2"/>
        <v>62252</v>
      </c>
    </row>
    <row r="13509">
      <c r="A13509" s="48" t="s">
        <v>1733</v>
      </c>
      <c r="B13509" s="38">
        <v>23005.0</v>
      </c>
      <c r="C13509" s="38" t="s">
        <v>17753</v>
      </c>
      <c r="D13509" s="38" t="str">
        <f>IFERROR(__xludf.DUMMYFUNCTION("REGEXREPLACE(C13509,""-\d+(.*)|--\d+(.*)"","""")"),"ARFEUILLE-CHATAIN")</f>
        <v>ARFEUILLE-CHATAIN</v>
      </c>
      <c r="E13509" s="38" t="s">
        <v>97</v>
      </c>
      <c r="F13509" s="38" t="s">
        <v>98</v>
      </c>
      <c r="G13509" s="49" t="str">
        <f t="shared" si="1"/>
        <v>23700</v>
      </c>
      <c r="H13509" s="49">
        <f t="shared" si="2"/>
        <v>23005</v>
      </c>
    </row>
    <row r="13510">
      <c r="A13510" s="48" t="s">
        <v>1616</v>
      </c>
      <c r="B13510" s="38">
        <v>10076.0</v>
      </c>
      <c r="C13510" s="38" t="s">
        <v>17754</v>
      </c>
      <c r="D13510" s="38" t="str">
        <f>IFERROR(__xludf.DUMMYFUNCTION("REGEXREPLACE(C13510,""-\d+(.*)|--\d+(.*)"","""")"),"CHAMPIGNOL-LEZ-MONDEVILLE")</f>
        <v>CHAMPIGNOL-LEZ-MONDEVILLE</v>
      </c>
      <c r="E13510" s="38" t="s">
        <v>147</v>
      </c>
      <c r="F13510" s="38" t="s">
        <v>130</v>
      </c>
      <c r="G13510" s="49" t="str">
        <f t="shared" si="1"/>
        <v>10200</v>
      </c>
      <c r="H13510" s="49">
        <f t="shared" si="2"/>
        <v>10076</v>
      </c>
    </row>
    <row r="13511">
      <c r="A13511" s="48" t="s">
        <v>13906</v>
      </c>
      <c r="B13511" s="38">
        <v>3311.0</v>
      </c>
      <c r="C13511" s="38" t="s">
        <v>17755</v>
      </c>
      <c r="D13511" s="38" t="str">
        <f>IFERROR(__xludf.DUMMYFUNCTION("REGEXREPLACE(C13511,""-\d+(.*)|--\d+(.*)"","""")"),"VICQ")</f>
        <v>VICQ</v>
      </c>
      <c r="E13511" s="38" t="s">
        <v>160</v>
      </c>
      <c r="F13511" s="38" t="s">
        <v>161</v>
      </c>
      <c r="G13511" s="49" t="str">
        <f t="shared" si="1"/>
        <v>03450</v>
      </c>
      <c r="H13511" s="49" t="str">
        <f t="shared" si="2"/>
        <v>03311</v>
      </c>
    </row>
    <row r="13512">
      <c r="A13512" s="48" t="s">
        <v>14362</v>
      </c>
      <c r="B13512" s="38">
        <v>56099.0</v>
      </c>
      <c r="C13512" s="38" t="s">
        <v>17756</v>
      </c>
      <c r="D13512" s="38" t="str">
        <f>IFERROR(__xludf.DUMMYFUNCTION("REGEXREPLACE(C13512,""-\d+(.*)|--\d+(.*)"","""")"),"LANGOELAN")</f>
        <v>LANGOELAN</v>
      </c>
      <c r="E13512" s="38" t="s">
        <v>173</v>
      </c>
      <c r="F13512" s="38" t="s">
        <v>90</v>
      </c>
      <c r="G13512" s="49" t="str">
        <f t="shared" si="1"/>
        <v>56160</v>
      </c>
      <c r="H13512" s="49">
        <f t="shared" si="2"/>
        <v>56099</v>
      </c>
    </row>
    <row r="13513">
      <c r="A13513" s="48" t="s">
        <v>5485</v>
      </c>
      <c r="B13513" s="38">
        <v>27422.0</v>
      </c>
      <c r="C13513" s="38" t="s">
        <v>17757</v>
      </c>
      <c r="D13513" s="38" t="str">
        <f>IFERROR(__xludf.DUMMYFUNCTION("REGEXREPLACE(C13513,""-\d+(.*)|--\d+(.*)"","""")"),"MUIDS")</f>
        <v>MUIDS</v>
      </c>
      <c r="E13513" s="38" t="s">
        <v>241</v>
      </c>
      <c r="F13513" s="38" t="s">
        <v>134</v>
      </c>
      <c r="G13513" s="49" t="str">
        <f t="shared" si="1"/>
        <v>27430</v>
      </c>
      <c r="H13513" s="49">
        <f t="shared" si="2"/>
        <v>27422</v>
      </c>
    </row>
    <row r="13514">
      <c r="A13514" s="48" t="s">
        <v>4203</v>
      </c>
      <c r="B13514" s="38">
        <v>77260.0</v>
      </c>
      <c r="C13514" s="38" t="s">
        <v>7168</v>
      </c>
      <c r="D13514" s="38" t="str">
        <f>IFERROR(__xludf.DUMMYFUNCTION("REGEXREPLACE(C13514,""-\d+(.*)|--\d+(.*)"","""")"),"LONGUEVILLE")</f>
        <v>LONGUEVILLE</v>
      </c>
      <c r="E13514" s="38" t="s">
        <v>244</v>
      </c>
      <c r="F13514" s="38" t="s">
        <v>245</v>
      </c>
      <c r="G13514" s="49" t="str">
        <f t="shared" si="1"/>
        <v>77650</v>
      </c>
      <c r="H13514" s="49">
        <f t="shared" si="2"/>
        <v>77260</v>
      </c>
    </row>
    <row r="13515">
      <c r="A13515" s="48" t="s">
        <v>811</v>
      </c>
      <c r="B13515" s="38">
        <v>83114.0</v>
      </c>
      <c r="C13515" s="38" t="s">
        <v>17758</v>
      </c>
      <c r="D13515" s="38" t="str">
        <f>IFERROR(__xludf.DUMMYFUNCTION("REGEXREPLACE(C13515,""-\d+(.*)|--\d+(.*)"","""")"),"SAINT-MARTIN-DE-PALLIERES")</f>
        <v>SAINT-MARTIN-DE-PALLIERES</v>
      </c>
      <c r="E13515" s="38" t="s">
        <v>813</v>
      </c>
      <c r="F13515" s="38" t="s">
        <v>228</v>
      </c>
      <c r="G13515" s="49" t="str">
        <f t="shared" si="1"/>
        <v>83560</v>
      </c>
      <c r="H13515" s="49">
        <f t="shared" si="2"/>
        <v>83114</v>
      </c>
    </row>
    <row r="13516">
      <c r="A13516" s="48" t="s">
        <v>1522</v>
      </c>
      <c r="B13516" s="38">
        <v>32248.0</v>
      </c>
      <c r="C13516" s="38" t="s">
        <v>17759</v>
      </c>
      <c r="D13516" s="38" t="str">
        <f>IFERROR(__xludf.DUMMYFUNCTION("REGEXREPLACE(C13516,""-\d+(.*)|--\d+(.*)"","""")"),"MAUROUX")</f>
        <v>MAUROUX</v>
      </c>
      <c r="E13516" s="38" t="s">
        <v>440</v>
      </c>
      <c r="F13516" s="38" t="s">
        <v>94</v>
      </c>
      <c r="G13516" s="49" t="str">
        <f t="shared" si="1"/>
        <v>32380</v>
      </c>
      <c r="H13516" s="49">
        <f t="shared" si="2"/>
        <v>32248</v>
      </c>
    </row>
    <row r="13517">
      <c r="A13517" s="48" t="s">
        <v>2549</v>
      </c>
      <c r="B13517" s="38">
        <v>55384.0</v>
      </c>
      <c r="C13517" s="38" t="s">
        <v>17760</v>
      </c>
      <c r="D13517" s="38" t="str">
        <f>IFERROR(__xludf.DUMMYFUNCTION("REGEXREPLACE(C13517,""-\d+(.*)|--\d+(.*)"","""")"),"NICEY-SUR-AIRE")</f>
        <v>NICEY-SUR-AIRE</v>
      </c>
      <c r="E13517" s="38" t="s">
        <v>322</v>
      </c>
      <c r="F13517" s="38" t="s">
        <v>195</v>
      </c>
      <c r="G13517" s="49" t="str">
        <f t="shared" si="1"/>
        <v>55260</v>
      </c>
      <c r="H13517" s="49">
        <f t="shared" si="2"/>
        <v>55384</v>
      </c>
    </row>
    <row r="13518">
      <c r="A13518" s="48" t="s">
        <v>932</v>
      </c>
      <c r="B13518" s="38">
        <v>17239.0</v>
      </c>
      <c r="C13518" s="38" t="s">
        <v>2405</v>
      </c>
      <c r="D13518" s="38" t="str">
        <f>IFERROR(__xludf.DUMMYFUNCTION("REGEXREPLACE(C13518,""-\d+(.*)|--\d+(.*)"","""")"),"MONS")</f>
        <v>MONS</v>
      </c>
      <c r="E13518" s="38" t="s">
        <v>488</v>
      </c>
      <c r="F13518" s="38" t="s">
        <v>338</v>
      </c>
      <c r="G13518" s="49" t="str">
        <f t="shared" si="1"/>
        <v>17160</v>
      </c>
      <c r="H13518" s="49">
        <f t="shared" si="2"/>
        <v>17239</v>
      </c>
    </row>
    <row r="13519">
      <c r="A13519" s="48" t="s">
        <v>1074</v>
      </c>
      <c r="B13519" s="38">
        <v>27634.0</v>
      </c>
      <c r="C13519" s="38" t="s">
        <v>17761</v>
      </c>
      <c r="D13519" s="38" t="str">
        <f>IFERROR(__xludf.DUMMYFUNCTION("REGEXREPLACE(C13519,""-\d+(.*)|--\d+(.*)"","""")"),"THOMER-LA-SOGNE")</f>
        <v>THOMER-LA-SOGNE</v>
      </c>
      <c r="E13519" s="38" t="s">
        <v>241</v>
      </c>
      <c r="F13519" s="38" t="s">
        <v>134</v>
      </c>
      <c r="G13519" s="49" t="str">
        <f t="shared" si="1"/>
        <v>27240</v>
      </c>
      <c r="H13519" s="49">
        <f t="shared" si="2"/>
        <v>27634</v>
      </c>
    </row>
    <row r="13520">
      <c r="A13520" s="48" t="s">
        <v>2671</v>
      </c>
      <c r="B13520" s="38">
        <v>65439.0</v>
      </c>
      <c r="C13520" s="38" t="s">
        <v>17762</v>
      </c>
      <c r="D13520" s="38" t="str">
        <f>IFERROR(__xludf.DUMMYFUNCTION("REGEXREPLACE(C13520,""-\d+(.*)|--\d+(.*)"","""")"),"TARASTEIX")</f>
        <v>TARASTEIX</v>
      </c>
      <c r="E13520" s="38" t="s">
        <v>200</v>
      </c>
      <c r="F13520" s="38" t="s">
        <v>94</v>
      </c>
      <c r="G13520" s="49" t="str">
        <f t="shared" si="1"/>
        <v>65320</v>
      </c>
      <c r="H13520" s="49">
        <f t="shared" si="2"/>
        <v>65439</v>
      </c>
    </row>
    <row r="13521">
      <c r="A13521" s="48" t="s">
        <v>17763</v>
      </c>
      <c r="B13521" s="38">
        <v>59268.0</v>
      </c>
      <c r="C13521" s="38" t="s">
        <v>17764</v>
      </c>
      <c r="D13521" s="38" t="str">
        <f>IFERROR(__xludf.DUMMYFUNCTION("REGEXREPLACE(C13521,""-\d+(.*)|--\d+(.*)"","""")"),"LA GORGUE")</f>
        <v>LA GORGUE</v>
      </c>
      <c r="E13521" s="38" t="s">
        <v>85</v>
      </c>
      <c r="F13521" s="38" t="s">
        <v>86</v>
      </c>
      <c r="G13521" s="49" t="str">
        <f t="shared" si="1"/>
        <v>59253</v>
      </c>
      <c r="H13521" s="49">
        <f t="shared" si="2"/>
        <v>59268</v>
      </c>
    </row>
    <row r="13522">
      <c r="A13522" s="48" t="s">
        <v>15666</v>
      </c>
      <c r="B13522" s="38">
        <v>71376.0</v>
      </c>
      <c r="C13522" s="38" t="s">
        <v>17765</v>
      </c>
      <c r="D13522" s="38" t="str">
        <f>IFERROR(__xludf.DUMMYFUNCTION("REGEXREPLACE(C13522,""-\d+(.*)|--\d+(.*)"","""")"),"ROUSSILLON-EN-MORVAN")</f>
        <v>ROUSSILLON-EN-MORVAN</v>
      </c>
      <c r="E13522" s="38" t="s">
        <v>344</v>
      </c>
      <c r="F13522" s="38" t="s">
        <v>106</v>
      </c>
      <c r="G13522" s="49" t="str">
        <f t="shared" si="1"/>
        <v>71550</v>
      </c>
      <c r="H13522" s="49">
        <f t="shared" si="2"/>
        <v>71376</v>
      </c>
    </row>
    <row r="13523">
      <c r="A13523" s="48" t="s">
        <v>3780</v>
      </c>
      <c r="B13523" s="38">
        <v>50301.0</v>
      </c>
      <c r="C13523" s="38" t="s">
        <v>17766</v>
      </c>
      <c r="D13523" s="38" t="str">
        <f>IFERROR(__xludf.DUMMYFUNCTION("REGEXREPLACE(C13523,""-\d+(.*)|--\d+(.*)"","""")"),"LE MESNIL-AMAND")</f>
        <v>LE MESNIL-AMAND</v>
      </c>
      <c r="E13523" s="38" t="s">
        <v>157</v>
      </c>
      <c r="F13523" s="38" t="s">
        <v>138</v>
      </c>
      <c r="G13523" s="49" t="str">
        <f t="shared" si="1"/>
        <v>50450</v>
      </c>
      <c r="H13523" s="49">
        <f t="shared" si="2"/>
        <v>50301</v>
      </c>
    </row>
    <row r="13524">
      <c r="A13524" s="48" t="s">
        <v>930</v>
      </c>
      <c r="B13524" s="38">
        <v>32210.0</v>
      </c>
      <c r="C13524" s="38" t="s">
        <v>17767</v>
      </c>
      <c r="D13524" s="38" t="str">
        <f>IFERROR(__xludf.DUMMYFUNCTION("REGEXREPLACE(C13524,""-\d+(.*)|--\d+(.*)"","""")"),"LIAS")</f>
        <v>LIAS</v>
      </c>
      <c r="E13524" s="38" t="s">
        <v>440</v>
      </c>
      <c r="F13524" s="38" t="s">
        <v>94</v>
      </c>
      <c r="G13524" s="49" t="str">
        <f t="shared" si="1"/>
        <v>32600</v>
      </c>
      <c r="H13524" s="49">
        <f t="shared" si="2"/>
        <v>32210</v>
      </c>
    </row>
    <row r="13525">
      <c r="A13525" s="48" t="s">
        <v>1000</v>
      </c>
      <c r="B13525" s="38">
        <v>70398.0</v>
      </c>
      <c r="C13525" s="38" t="s">
        <v>17768</v>
      </c>
      <c r="D13525" s="38" t="str">
        <f>IFERROR(__xludf.DUMMYFUNCTION("REGEXREPLACE(C13525,""-\d+(.*)|--\d+(.*)"","""")"),"ORMOICHE")</f>
        <v>ORMOICHE</v>
      </c>
      <c r="E13525" s="38" t="s">
        <v>956</v>
      </c>
      <c r="F13525" s="38" t="s">
        <v>214</v>
      </c>
      <c r="G13525" s="49" t="str">
        <f t="shared" si="1"/>
        <v>70300</v>
      </c>
      <c r="H13525" s="49">
        <f t="shared" si="2"/>
        <v>70398</v>
      </c>
    </row>
    <row r="13526">
      <c r="A13526" s="48" t="s">
        <v>13958</v>
      </c>
      <c r="B13526" s="38">
        <v>77173.0</v>
      </c>
      <c r="C13526" s="38" t="s">
        <v>17769</v>
      </c>
      <c r="D13526" s="38" t="str">
        <f>IFERROR(__xludf.DUMMYFUNCTION("REGEXREPLACE(C13526,""-\d+(.*)|--\d+(.*)"","""")"),"ETREPILLY")</f>
        <v>ETREPILLY</v>
      </c>
      <c r="E13526" s="38" t="s">
        <v>244</v>
      </c>
      <c r="F13526" s="38" t="s">
        <v>245</v>
      </c>
      <c r="G13526" s="49" t="str">
        <f t="shared" si="1"/>
        <v>77139</v>
      </c>
      <c r="H13526" s="49">
        <f t="shared" si="2"/>
        <v>77173</v>
      </c>
    </row>
    <row r="13527">
      <c r="A13527" s="48" t="s">
        <v>715</v>
      </c>
      <c r="B13527" s="38">
        <v>88192.0</v>
      </c>
      <c r="C13527" s="38" t="s">
        <v>17770</v>
      </c>
      <c r="D13527" s="38" t="str">
        <f>IFERROR(__xludf.DUMMYFUNCTION("REGEXREPLACE(C13527,""-\d+(.*)|--\d+(.*)"","""")"),"GELVECOURT-ET-ADOMPT")</f>
        <v>GELVECOURT-ET-ADOMPT</v>
      </c>
      <c r="E13527" s="38" t="s">
        <v>194</v>
      </c>
      <c r="F13527" s="38" t="s">
        <v>195</v>
      </c>
      <c r="G13527" s="49" t="str">
        <f t="shared" si="1"/>
        <v>88270</v>
      </c>
      <c r="H13527" s="49">
        <f t="shared" si="2"/>
        <v>88192</v>
      </c>
    </row>
    <row r="13528">
      <c r="A13528" s="48" t="s">
        <v>11009</v>
      </c>
      <c r="B13528" s="38">
        <v>33383.0</v>
      </c>
      <c r="C13528" s="38" t="s">
        <v>17771</v>
      </c>
      <c r="D13528" s="38" t="str">
        <f>IFERROR(__xludf.DUMMYFUNCTION("REGEXREPLACE(C13528,""-\d+(.*)|--\d+(.*)"","""")"),"SAINT-CHRISTOLY-MEDOC")</f>
        <v>SAINT-CHRISTOLY-MEDOC</v>
      </c>
      <c r="E13528" s="38" t="s">
        <v>462</v>
      </c>
      <c r="F13528" s="38" t="s">
        <v>252</v>
      </c>
      <c r="G13528" s="49" t="str">
        <f t="shared" si="1"/>
        <v>33340</v>
      </c>
      <c r="H13528" s="49">
        <f t="shared" si="2"/>
        <v>33383</v>
      </c>
    </row>
    <row r="13529">
      <c r="A13529" s="48" t="s">
        <v>16599</v>
      </c>
      <c r="B13529" s="38">
        <v>76759.0</v>
      </c>
      <c r="C13529" s="38" t="s">
        <v>17772</v>
      </c>
      <c r="D13529" s="38" t="str">
        <f>IFERROR(__xludf.DUMMYFUNCTION("REGEXREPLACE(C13529,""-\d+(.*)|--\d+(.*)"","""")"),"YVILLE-SUR-SEINE")</f>
        <v>YVILLE-SUR-SEINE</v>
      </c>
      <c r="E13529" s="38" t="s">
        <v>133</v>
      </c>
      <c r="F13529" s="38" t="s">
        <v>134</v>
      </c>
      <c r="G13529" s="49" t="str">
        <f t="shared" si="1"/>
        <v>76530</v>
      </c>
      <c r="H13529" s="49">
        <f t="shared" si="2"/>
        <v>76759</v>
      </c>
    </row>
    <row r="13530">
      <c r="A13530" s="48" t="s">
        <v>2047</v>
      </c>
      <c r="B13530" s="38">
        <v>62829.0</v>
      </c>
      <c r="C13530" s="38" t="s">
        <v>17773</v>
      </c>
      <c r="D13530" s="38" t="str">
        <f>IFERROR(__xludf.DUMMYFUNCTION("REGEXREPLACE(C13530,""-\d+(.*)|--\d+(.*)"","""")"),"LE TRANSLOY")</f>
        <v>LE TRANSLOY</v>
      </c>
      <c r="E13530" s="38" t="s">
        <v>109</v>
      </c>
      <c r="F13530" s="38" t="s">
        <v>86</v>
      </c>
      <c r="G13530" s="49" t="str">
        <f t="shared" si="1"/>
        <v>62450</v>
      </c>
      <c r="H13530" s="49">
        <f t="shared" si="2"/>
        <v>62829</v>
      </c>
    </row>
    <row r="13531">
      <c r="A13531" s="48" t="s">
        <v>1174</v>
      </c>
      <c r="B13531" s="38">
        <v>51496.0</v>
      </c>
      <c r="C13531" s="38" t="s">
        <v>17774</v>
      </c>
      <c r="D13531" s="38" t="str">
        <f>IFERROR(__xludf.DUMMYFUNCTION("REGEXREPLACE(C13531,""-\d+(.*)|--\d+(.*)"","""")"),"SAINT-LUMIER-EN-CHAMPAGNE")</f>
        <v>SAINT-LUMIER-EN-CHAMPAGNE</v>
      </c>
      <c r="E13531" s="38" t="s">
        <v>129</v>
      </c>
      <c r="F13531" s="38" t="s">
        <v>130</v>
      </c>
      <c r="G13531" s="49" t="str">
        <f t="shared" si="1"/>
        <v>51300</v>
      </c>
      <c r="H13531" s="49">
        <f t="shared" si="2"/>
        <v>51496</v>
      </c>
    </row>
    <row r="13532">
      <c r="A13532" s="48" t="s">
        <v>11810</v>
      </c>
      <c r="B13532" s="38">
        <v>50575.0</v>
      </c>
      <c r="C13532" s="38" t="s">
        <v>17775</v>
      </c>
      <c r="D13532" s="38" t="str">
        <f>IFERROR(__xludf.DUMMYFUNCTION("REGEXREPLACE(C13532,""-\d+(.*)|--\d+(.*)"","""")"),"SIDEVILLE")</f>
        <v>SIDEVILLE</v>
      </c>
      <c r="E13532" s="38" t="s">
        <v>157</v>
      </c>
      <c r="F13532" s="38" t="s">
        <v>138</v>
      </c>
      <c r="G13532" s="49" t="str">
        <f t="shared" si="1"/>
        <v>50690</v>
      </c>
      <c r="H13532" s="49">
        <f t="shared" si="2"/>
        <v>50575</v>
      </c>
    </row>
    <row r="13533">
      <c r="A13533" s="48" t="s">
        <v>660</v>
      </c>
      <c r="B13533" s="38">
        <v>4144.0</v>
      </c>
      <c r="C13533" s="38" t="s">
        <v>17776</v>
      </c>
      <c r="D13533" s="38" t="str">
        <f>IFERROR(__xludf.DUMMYFUNCTION("REGEXREPLACE(C13533,""-\d+(.*)|--\d+(.*)"","""")"),"LA PALUD-SUR-VERDON")</f>
        <v>LA PALUD-SUR-VERDON</v>
      </c>
      <c r="E13533" s="38" t="s">
        <v>662</v>
      </c>
      <c r="F13533" s="38" t="s">
        <v>228</v>
      </c>
      <c r="G13533" s="49" t="str">
        <f t="shared" si="1"/>
        <v>04120</v>
      </c>
      <c r="H13533" s="49" t="str">
        <f t="shared" si="2"/>
        <v>04144</v>
      </c>
    </row>
    <row r="13534">
      <c r="A13534" s="48" t="s">
        <v>4056</v>
      </c>
      <c r="B13534" s="38">
        <v>16192.0</v>
      </c>
      <c r="C13534" s="38" t="s">
        <v>17777</v>
      </c>
      <c r="D13534" s="38" t="str">
        <f>IFERROR(__xludf.DUMMYFUNCTION("REGEXREPLACE(C13534,""-\d+(.*)|--\d+(.*)"","""")"),"ROUMAZIERES-LOUBERT")</f>
        <v>ROUMAZIERES-LOUBERT</v>
      </c>
      <c r="E13534" s="38" t="s">
        <v>429</v>
      </c>
      <c r="F13534" s="38" t="s">
        <v>338</v>
      </c>
      <c r="G13534" s="49" t="str">
        <f t="shared" si="1"/>
        <v>16270</v>
      </c>
      <c r="H13534" s="49">
        <f t="shared" si="2"/>
        <v>16192</v>
      </c>
    </row>
    <row r="13535">
      <c r="A13535" s="48" t="s">
        <v>14940</v>
      </c>
      <c r="B13535" s="38">
        <v>17444.0</v>
      </c>
      <c r="C13535" s="38" t="s">
        <v>6972</v>
      </c>
      <c r="D13535" s="38" t="str">
        <f>IFERROR(__xludf.DUMMYFUNCTION("REGEXREPLACE(C13535,""-\d+(.*)|--\d+(.*)"","""")"),"THENAC")</f>
        <v>THENAC</v>
      </c>
      <c r="E13535" s="38" t="s">
        <v>488</v>
      </c>
      <c r="F13535" s="38" t="s">
        <v>338</v>
      </c>
      <c r="G13535" s="49" t="str">
        <f t="shared" si="1"/>
        <v>17460</v>
      </c>
      <c r="H13535" s="49">
        <f t="shared" si="2"/>
        <v>17444</v>
      </c>
    </row>
    <row r="13536">
      <c r="A13536" s="48" t="s">
        <v>3840</v>
      </c>
      <c r="B13536" s="38">
        <v>72229.0</v>
      </c>
      <c r="C13536" s="38" t="s">
        <v>17778</v>
      </c>
      <c r="D13536" s="38" t="str">
        <f>IFERROR(__xludf.DUMMYFUNCTION("REGEXREPLACE(C13536,""-\d+(.*)|--\d+(.*)"","""")"),"PARENNES")</f>
        <v>PARENNES</v>
      </c>
      <c r="E13536" s="38" t="s">
        <v>521</v>
      </c>
      <c r="F13536" s="38" t="s">
        <v>180</v>
      </c>
      <c r="G13536" s="49" t="str">
        <f t="shared" si="1"/>
        <v>72140</v>
      </c>
      <c r="H13536" s="49">
        <f t="shared" si="2"/>
        <v>72229</v>
      </c>
    </row>
    <row r="13537">
      <c r="A13537" s="48" t="s">
        <v>8298</v>
      </c>
      <c r="B13537" s="38">
        <v>54355.0</v>
      </c>
      <c r="C13537" s="38" t="s">
        <v>13256</v>
      </c>
      <c r="D13537" s="38" t="str">
        <f>IFERROR(__xludf.DUMMYFUNCTION("REGEXREPLACE(C13537,""-\d+(.*)|--\d+(.*)"","""")"),"MARTINCOURT")</f>
        <v>MARTINCOURT</v>
      </c>
      <c r="E13537" s="38" t="s">
        <v>548</v>
      </c>
      <c r="F13537" s="38" t="s">
        <v>195</v>
      </c>
      <c r="G13537" s="49" t="str">
        <f t="shared" si="1"/>
        <v>54380</v>
      </c>
      <c r="H13537" s="49">
        <f t="shared" si="2"/>
        <v>54355</v>
      </c>
    </row>
    <row r="13538">
      <c r="A13538" s="48" t="s">
        <v>2817</v>
      </c>
      <c r="B13538" s="38">
        <v>64054.0</v>
      </c>
      <c r="C13538" s="38" t="s">
        <v>17779</v>
      </c>
      <c r="D13538" s="38" t="str">
        <f>IFERROR(__xludf.DUMMYFUNCTION("REGEXREPLACE(C13538,""-\d+(.*)|--\d+(.*)"","""")"),"ARROS-DE-NAY")</f>
        <v>ARROS-DE-NAY</v>
      </c>
      <c r="E13538" s="38" t="s">
        <v>268</v>
      </c>
      <c r="F13538" s="38" t="s">
        <v>252</v>
      </c>
      <c r="G13538" s="49" t="str">
        <f t="shared" si="1"/>
        <v>64800</v>
      </c>
      <c r="H13538" s="49">
        <f t="shared" si="2"/>
        <v>64054</v>
      </c>
    </row>
    <row r="13539">
      <c r="A13539" s="48" t="s">
        <v>14417</v>
      </c>
      <c r="B13539" s="38">
        <v>59594.0</v>
      </c>
      <c r="C13539" s="38" t="s">
        <v>17780</v>
      </c>
      <c r="D13539" s="38" t="str">
        <f>IFERROR(__xludf.DUMMYFUNCTION("REGEXREPLACE(C13539,""-\d+(.*)|--\d+(.*)"","""")"),"THUN-SAINT-AMAND")</f>
        <v>THUN-SAINT-AMAND</v>
      </c>
      <c r="E13539" s="38" t="s">
        <v>85</v>
      </c>
      <c r="F13539" s="38" t="s">
        <v>86</v>
      </c>
      <c r="G13539" s="49" t="str">
        <f t="shared" si="1"/>
        <v>59158</v>
      </c>
      <c r="H13539" s="49">
        <f t="shared" si="2"/>
        <v>59594</v>
      </c>
    </row>
    <row r="13540">
      <c r="A13540" s="48" t="s">
        <v>9772</v>
      </c>
      <c r="B13540" s="38">
        <v>25062.0</v>
      </c>
      <c r="C13540" s="38" t="s">
        <v>17781</v>
      </c>
      <c r="D13540" s="38" t="str">
        <f>IFERROR(__xludf.DUMMYFUNCTION("REGEXREPLACE(C13540,""-\d+(.*)|--\d+(.*)"","""")"),"LE BIZOT")</f>
        <v>LE BIZOT</v>
      </c>
      <c r="E13540" s="38" t="s">
        <v>213</v>
      </c>
      <c r="F13540" s="38" t="s">
        <v>214</v>
      </c>
      <c r="G13540" s="49" t="str">
        <f t="shared" si="1"/>
        <v>25210</v>
      </c>
      <c r="H13540" s="49">
        <f t="shared" si="2"/>
        <v>25062</v>
      </c>
    </row>
    <row r="13541">
      <c r="A13541" s="48" t="s">
        <v>12826</v>
      </c>
      <c r="B13541" s="38">
        <v>45301.0</v>
      </c>
      <c r="C13541" s="38" t="s">
        <v>17782</v>
      </c>
      <c r="D13541" s="38" t="str">
        <f>IFERROR(__xludf.DUMMYFUNCTION("REGEXREPLACE(C13541,""-\d+(.*)|--\d+(.*)"","""")"),"SANTEAU")</f>
        <v>SANTEAU</v>
      </c>
      <c r="E13541" s="38" t="s">
        <v>122</v>
      </c>
      <c r="F13541" s="38" t="s">
        <v>123</v>
      </c>
      <c r="G13541" s="49" t="str">
        <f t="shared" si="1"/>
        <v>45170</v>
      </c>
      <c r="H13541" s="49">
        <f t="shared" si="2"/>
        <v>45301</v>
      </c>
    </row>
    <row r="13542">
      <c r="A13542" s="48" t="s">
        <v>1120</v>
      </c>
      <c r="B13542" s="38">
        <v>64382.0</v>
      </c>
      <c r="C13542" s="38" t="s">
        <v>17783</v>
      </c>
      <c r="D13542" s="38" t="str">
        <f>IFERROR(__xludf.DUMMYFUNCTION("REGEXREPLACE(C13542,""-\d+(.*)|--\d+(.*)"","""")"),"MESPLEDE")</f>
        <v>MESPLEDE</v>
      </c>
      <c r="E13542" s="38" t="s">
        <v>268</v>
      </c>
      <c r="F13542" s="38" t="s">
        <v>252</v>
      </c>
      <c r="G13542" s="49" t="str">
        <f t="shared" si="1"/>
        <v>64370</v>
      </c>
      <c r="H13542" s="49">
        <f t="shared" si="2"/>
        <v>64382</v>
      </c>
    </row>
    <row r="13543">
      <c r="A13543" s="48" t="s">
        <v>17784</v>
      </c>
      <c r="B13543" s="38">
        <v>76497.0</v>
      </c>
      <c r="C13543" s="38" t="s">
        <v>17785</v>
      </c>
      <c r="D13543" s="38" t="str">
        <f>IFERROR(__xludf.DUMMYFUNCTION("REGEXREPLACE(C13543,""-\d+(.*)|--\d+(.*)"","""")"),"PETIT-COURONNE")</f>
        <v>PETIT-COURONNE</v>
      </c>
      <c r="E13543" s="38" t="s">
        <v>133</v>
      </c>
      <c r="F13543" s="38" t="s">
        <v>134</v>
      </c>
      <c r="G13543" s="49" t="str">
        <f t="shared" si="1"/>
        <v>76650</v>
      </c>
      <c r="H13543" s="49">
        <f t="shared" si="2"/>
        <v>76497</v>
      </c>
    </row>
    <row r="13544">
      <c r="A13544" s="48" t="s">
        <v>12136</v>
      </c>
      <c r="B13544" s="38">
        <v>3015.0</v>
      </c>
      <c r="C13544" s="38" t="s">
        <v>7131</v>
      </c>
      <c r="D13544" s="38" t="str">
        <f>IFERROR(__xludf.DUMMYFUNCTION("REGEXREPLACE(C13544,""-\d+(.*)|--\d+(.*)"","""")"),"BAGNEUX")</f>
        <v>BAGNEUX</v>
      </c>
      <c r="E13544" s="38" t="s">
        <v>160</v>
      </c>
      <c r="F13544" s="38" t="s">
        <v>161</v>
      </c>
      <c r="G13544" s="49" t="str">
        <f t="shared" si="1"/>
        <v>03460</v>
      </c>
      <c r="H13544" s="49" t="str">
        <f t="shared" si="2"/>
        <v>03015</v>
      </c>
    </row>
    <row r="13545">
      <c r="A13545" s="48" t="s">
        <v>3015</v>
      </c>
      <c r="B13545" s="38">
        <v>16095.0</v>
      </c>
      <c r="C13545" s="38" t="s">
        <v>17786</v>
      </c>
      <c r="D13545" s="38" t="str">
        <f>IFERROR(__xludf.DUMMYFUNCTION("REGEXREPLACE(C13545,""-\d+(.*)|--\d+(.*)"","""")"),"CHENON")</f>
        <v>CHENON</v>
      </c>
      <c r="E13545" s="38" t="s">
        <v>429</v>
      </c>
      <c r="F13545" s="38" t="s">
        <v>338</v>
      </c>
      <c r="G13545" s="49" t="str">
        <f t="shared" si="1"/>
        <v>16460</v>
      </c>
      <c r="H13545" s="49">
        <f t="shared" si="2"/>
        <v>16095</v>
      </c>
    </row>
    <row r="13546">
      <c r="A13546" s="48" t="s">
        <v>1800</v>
      </c>
      <c r="B13546" s="38">
        <v>88432.0</v>
      </c>
      <c r="C13546" s="38" t="s">
        <v>13823</v>
      </c>
      <c r="D13546" s="38" t="str">
        <f>IFERROR(__xludf.DUMMYFUNCTION("REGEXREPLACE(C13546,""-\d+(.*)|--\d+(.*)"","""")"),"SAINT-PIERREMONT")</f>
        <v>SAINT-PIERREMONT</v>
      </c>
      <c r="E13546" s="38" t="s">
        <v>194</v>
      </c>
      <c r="F13546" s="38" t="s">
        <v>195</v>
      </c>
      <c r="G13546" s="49" t="str">
        <f t="shared" si="1"/>
        <v>88700</v>
      </c>
      <c r="H13546" s="49">
        <f t="shared" si="2"/>
        <v>88432</v>
      </c>
    </row>
    <row r="13547">
      <c r="A13547" s="48" t="s">
        <v>1935</v>
      </c>
      <c r="B13547" s="38">
        <v>48119.0</v>
      </c>
      <c r="C13547" s="38" t="s">
        <v>17787</v>
      </c>
      <c r="D13547" s="38" t="str">
        <f>IFERROR(__xludf.DUMMYFUNCTION("REGEXREPLACE(C13547,""-\d+(.*)|--\d+(.*)"","""")"),"PREVENCHERES")</f>
        <v>PREVENCHERES</v>
      </c>
      <c r="E13547" s="38" t="s">
        <v>154</v>
      </c>
      <c r="F13547" s="38" t="s">
        <v>119</v>
      </c>
      <c r="G13547" s="49" t="str">
        <f t="shared" si="1"/>
        <v>48800</v>
      </c>
      <c r="H13547" s="49">
        <f t="shared" si="2"/>
        <v>48119</v>
      </c>
    </row>
    <row r="13548">
      <c r="A13548" s="48" t="s">
        <v>2631</v>
      </c>
      <c r="B13548" s="38">
        <v>64559.0</v>
      </c>
      <c r="C13548" s="38" t="s">
        <v>17788</v>
      </c>
      <c r="D13548" s="38" t="str">
        <f>IFERROR(__xludf.DUMMYFUNCTION("REGEXREPLACE(C13548,""-\d+(.*)|--\d+(.*)"","""")"),"VIODOS-ABENSE-DE-BAS")</f>
        <v>VIODOS-ABENSE-DE-BAS</v>
      </c>
      <c r="E13548" s="38" t="s">
        <v>268</v>
      </c>
      <c r="F13548" s="38" t="s">
        <v>252</v>
      </c>
      <c r="G13548" s="49" t="str">
        <f t="shared" si="1"/>
        <v>64130</v>
      </c>
      <c r="H13548" s="49">
        <f t="shared" si="2"/>
        <v>64559</v>
      </c>
    </row>
    <row r="13549">
      <c r="A13549" s="48" t="s">
        <v>17789</v>
      </c>
      <c r="B13549" s="38">
        <v>81170.0</v>
      </c>
      <c r="C13549" s="38" t="s">
        <v>17790</v>
      </c>
      <c r="D13549" s="38" t="str">
        <f>IFERROR(__xludf.DUMMYFUNCTION("REGEXREPLACE(C13549,""-\d+(.*)|--\d+(.*)"","""")"),"MONESTIES")</f>
        <v>MONESTIES</v>
      </c>
      <c r="E13549" s="38" t="s">
        <v>231</v>
      </c>
      <c r="F13549" s="38" t="s">
        <v>94</v>
      </c>
      <c r="G13549" s="49" t="str">
        <f t="shared" si="1"/>
        <v>81640</v>
      </c>
      <c r="H13549" s="49">
        <f t="shared" si="2"/>
        <v>81170</v>
      </c>
    </row>
    <row r="13550">
      <c r="A13550" s="48" t="s">
        <v>3994</v>
      </c>
      <c r="B13550" s="38">
        <v>38170.0</v>
      </c>
      <c r="C13550" s="38" t="s">
        <v>17791</v>
      </c>
      <c r="D13550" s="38" t="str">
        <f>IFERROR(__xludf.DUMMYFUNCTION("REGEXREPLACE(C13550,""-\d+(.*)|--\d+(.*)"","""")"),"FONTANIL-CORNILLON")</f>
        <v>FONTANIL-CORNILLON</v>
      </c>
      <c r="E13550" s="38" t="s">
        <v>101</v>
      </c>
      <c r="F13550" s="38" t="s">
        <v>102</v>
      </c>
      <c r="G13550" s="49" t="str">
        <f t="shared" si="1"/>
        <v>38120</v>
      </c>
      <c r="H13550" s="49">
        <f t="shared" si="2"/>
        <v>38170</v>
      </c>
    </row>
    <row r="13551">
      <c r="A13551" s="48" t="s">
        <v>1887</v>
      </c>
      <c r="B13551" s="38">
        <v>88510.0</v>
      </c>
      <c r="C13551" s="38" t="s">
        <v>17792</v>
      </c>
      <c r="D13551" s="38" t="str">
        <f>IFERROR(__xludf.DUMMYFUNCTION("REGEXREPLACE(C13551,""-\d+(.*)|--\d+(.*)"","""")"),"VILLOTTE")</f>
        <v>VILLOTTE</v>
      </c>
      <c r="E13551" s="38" t="s">
        <v>194</v>
      </c>
      <c r="F13551" s="38" t="s">
        <v>195</v>
      </c>
      <c r="G13551" s="49" t="str">
        <f t="shared" si="1"/>
        <v>88320</v>
      </c>
      <c r="H13551" s="49">
        <f t="shared" si="2"/>
        <v>88510</v>
      </c>
    </row>
    <row r="13552">
      <c r="A13552" s="48" t="s">
        <v>1843</v>
      </c>
      <c r="B13552" s="38">
        <v>71281.0</v>
      </c>
      <c r="C13552" s="38" t="s">
        <v>17793</v>
      </c>
      <c r="D13552" s="38" t="str">
        <f>IFERROR(__xludf.DUMMYFUNCTION("REGEXREPLACE(C13552,""-\d+(.*)|--\d+(.*)"","""")"),"MARLY-SUR-ARROUX")</f>
        <v>MARLY-SUR-ARROUX</v>
      </c>
      <c r="E13552" s="38" t="s">
        <v>344</v>
      </c>
      <c r="F13552" s="38" t="s">
        <v>106</v>
      </c>
      <c r="G13552" s="49" t="str">
        <f t="shared" si="1"/>
        <v>71420</v>
      </c>
      <c r="H13552" s="49">
        <f t="shared" si="2"/>
        <v>71281</v>
      </c>
    </row>
    <row r="13553">
      <c r="A13553" s="48" t="s">
        <v>586</v>
      </c>
      <c r="B13553" s="38">
        <v>67113.0</v>
      </c>
      <c r="C13553" s="38" t="s">
        <v>17794</v>
      </c>
      <c r="D13553" s="38" t="str">
        <f>IFERROR(__xludf.DUMMYFUNCTION("REGEXREPLACE(C13553,""-\d+(.*)|--\d+(.*)"","""")"),"EBERBACH-SELTZ")</f>
        <v>EBERBACH-SELTZ</v>
      </c>
      <c r="E13553" s="38" t="s">
        <v>210</v>
      </c>
      <c r="F13553" s="38" t="s">
        <v>151</v>
      </c>
      <c r="G13553" s="49" t="str">
        <f t="shared" si="1"/>
        <v>67470</v>
      </c>
      <c r="H13553" s="49">
        <f t="shared" si="2"/>
        <v>67113</v>
      </c>
    </row>
    <row r="13554">
      <c r="A13554" s="48" t="s">
        <v>8129</v>
      </c>
      <c r="B13554" s="38">
        <v>70016.0</v>
      </c>
      <c r="C13554" s="38" t="s">
        <v>17795</v>
      </c>
      <c r="D13554" s="38" t="str">
        <f>IFERROR(__xludf.DUMMYFUNCTION("REGEXREPLACE(C13554,""-\d+(.*)|--\d+(.*)"","""")"),"AMONT-ET-EFFRENEY")</f>
        <v>AMONT-ET-EFFRENEY</v>
      </c>
      <c r="E13554" s="38" t="s">
        <v>956</v>
      </c>
      <c r="F13554" s="38" t="s">
        <v>214</v>
      </c>
      <c r="G13554" s="49" t="str">
        <f t="shared" si="1"/>
        <v>70310</v>
      </c>
      <c r="H13554" s="49">
        <f t="shared" si="2"/>
        <v>70016</v>
      </c>
    </row>
    <row r="13555">
      <c r="A13555" s="48" t="s">
        <v>5168</v>
      </c>
      <c r="B13555" s="38">
        <v>73161.0</v>
      </c>
      <c r="C13555" s="38" t="s">
        <v>9839</v>
      </c>
      <c r="D13555" s="38" t="str">
        <f>IFERROR(__xludf.DUMMYFUNCTION("REGEXREPLACE(C13555,""-\d+(.*)|--\d+(.*)"","""")"),"MONTAGNY")</f>
        <v>MONTAGNY</v>
      </c>
      <c r="E13555" s="38" t="s">
        <v>306</v>
      </c>
      <c r="F13555" s="38" t="s">
        <v>102</v>
      </c>
      <c r="G13555" s="49" t="str">
        <f t="shared" si="1"/>
        <v>73350</v>
      </c>
      <c r="H13555" s="49">
        <f t="shared" si="2"/>
        <v>73161</v>
      </c>
    </row>
    <row r="13556">
      <c r="A13556" s="48" t="s">
        <v>17796</v>
      </c>
      <c r="B13556" s="38">
        <v>97212.0</v>
      </c>
      <c r="C13556" s="38" t="s">
        <v>17797</v>
      </c>
      <c r="D13556" s="38" t="str">
        <f>IFERROR(__xludf.DUMMYFUNCTION("REGEXREPLACE(C13556,""-\d+(.*)|--\d+(.*)"","""")"),"GROS-MORNE")</f>
        <v>GROS-MORNE</v>
      </c>
      <c r="E13556" s="38" t="s">
        <v>2282</v>
      </c>
      <c r="F13556" s="38" t="s">
        <v>2282</v>
      </c>
      <c r="G13556" s="49" t="str">
        <f t="shared" si="1"/>
        <v>97213</v>
      </c>
      <c r="H13556" s="49">
        <f t="shared" si="2"/>
        <v>97212</v>
      </c>
    </row>
    <row r="13557">
      <c r="A13557" s="48" t="s">
        <v>3161</v>
      </c>
      <c r="B13557" s="38">
        <v>70392.0</v>
      </c>
      <c r="C13557" s="38" t="s">
        <v>17798</v>
      </c>
      <c r="D13557" s="38" t="str">
        <f>IFERROR(__xludf.DUMMYFUNCTION("REGEXREPLACE(C13557,""-\d+(.*)|--\d+(.*)"","""")"),"OIGNEY")</f>
        <v>OIGNEY</v>
      </c>
      <c r="E13557" s="38" t="s">
        <v>956</v>
      </c>
      <c r="F13557" s="38" t="s">
        <v>214</v>
      </c>
      <c r="G13557" s="49" t="str">
        <f t="shared" si="1"/>
        <v>70120</v>
      </c>
      <c r="H13557" s="49">
        <f t="shared" si="2"/>
        <v>70392</v>
      </c>
    </row>
    <row r="13558">
      <c r="A13558" s="48" t="s">
        <v>6963</v>
      </c>
      <c r="B13558" s="38">
        <v>27400.0</v>
      </c>
      <c r="C13558" s="38" t="s">
        <v>17799</v>
      </c>
      <c r="D13558" s="38" t="str">
        <f>IFERROR(__xludf.DUMMYFUNCTION("REGEXREPLACE(C13558,""-\d+(.*)|--\d+(.*)"","""")"),"MEREY")</f>
        <v>MEREY</v>
      </c>
      <c r="E13558" s="38" t="s">
        <v>241</v>
      </c>
      <c r="F13558" s="38" t="s">
        <v>134</v>
      </c>
      <c r="G13558" s="49" t="str">
        <f t="shared" si="1"/>
        <v>27640</v>
      </c>
      <c r="H13558" s="49">
        <f t="shared" si="2"/>
        <v>27400</v>
      </c>
    </row>
    <row r="13559">
      <c r="A13559" s="48" t="s">
        <v>3295</v>
      </c>
      <c r="B13559" s="38">
        <v>76545.0</v>
      </c>
      <c r="C13559" s="38" t="s">
        <v>17800</v>
      </c>
      <c r="D13559" s="38" t="str">
        <f>IFERROR(__xludf.DUMMYFUNCTION("REGEXREPLACE(C13559,""-\d+(.*)|--\d+(.*)"","""")"),"ROUXMESNIL-BOUTEILLES")</f>
        <v>ROUXMESNIL-BOUTEILLES</v>
      </c>
      <c r="E13559" s="38" t="s">
        <v>133</v>
      </c>
      <c r="F13559" s="38" t="s">
        <v>134</v>
      </c>
      <c r="G13559" s="49" t="str">
        <f t="shared" si="1"/>
        <v>76370</v>
      </c>
      <c r="H13559" s="49">
        <f t="shared" si="2"/>
        <v>76545</v>
      </c>
    </row>
    <row r="13560">
      <c r="A13560" s="48" t="s">
        <v>2924</v>
      </c>
      <c r="B13560" s="38">
        <v>8397.0</v>
      </c>
      <c r="C13560" s="38" t="s">
        <v>17801</v>
      </c>
      <c r="D13560" s="38" t="str">
        <f>IFERROR(__xludf.DUMMYFUNCTION("REGEXREPLACE(C13560,""-\d+(.*)|--\d+(.*)"","""")"),"SAINT-REMY-LE-PETIT")</f>
        <v>SAINT-REMY-LE-PETIT</v>
      </c>
      <c r="E13560" s="38" t="s">
        <v>327</v>
      </c>
      <c r="F13560" s="38" t="s">
        <v>130</v>
      </c>
      <c r="G13560" s="49" t="str">
        <f t="shared" si="1"/>
        <v>08300</v>
      </c>
      <c r="H13560" s="49" t="str">
        <f t="shared" si="2"/>
        <v>08397</v>
      </c>
    </row>
    <row r="13561">
      <c r="A13561" s="48" t="s">
        <v>7845</v>
      </c>
      <c r="B13561" s="38">
        <v>12004.0</v>
      </c>
      <c r="C13561" s="38" t="s">
        <v>17802</v>
      </c>
      <c r="D13561" s="38" t="str">
        <f>IFERROR(__xludf.DUMMYFUNCTION("REGEXREPLACE(C13561,""-\d+(.*)|--\d+(.*)"","""")"),"ALMONT-LES-JUNIES")</f>
        <v>ALMONT-LES-JUNIES</v>
      </c>
      <c r="E13561" s="38" t="s">
        <v>465</v>
      </c>
      <c r="F13561" s="38" t="s">
        <v>94</v>
      </c>
      <c r="G13561" s="49" t="str">
        <f t="shared" si="1"/>
        <v>12300</v>
      </c>
      <c r="H13561" s="49">
        <f t="shared" si="2"/>
        <v>12004</v>
      </c>
    </row>
    <row r="13562">
      <c r="A13562" s="48" t="s">
        <v>1252</v>
      </c>
      <c r="B13562" s="38">
        <v>72250.0</v>
      </c>
      <c r="C13562" s="38" t="s">
        <v>17803</v>
      </c>
      <c r="D13562" s="38" t="str">
        <f>IFERROR(__xludf.DUMMYFUNCTION("REGEXREPLACE(C13562,""-\d+(.*)|--\d+(.*)"","""")"),"RAHAY")</f>
        <v>RAHAY</v>
      </c>
      <c r="E13562" s="38" t="s">
        <v>521</v>
      </c>
      <c r="F13562" s="38" t="s">
        <v>180</v>
      </c>
      <c r="G13562" s="49" t="str">
        <f t="shared" si="1"/>
        <v>72120</v>
      </c>
      <c r="H13562" s="49">
        <f t="shared" si="2"/>
        <v>72250</v>
      </c>
    </row>
    <row r="13563">
      <c r="A13563" s="48" t="s">
        <v>17439</v>
      </c>
      <c r="B13563" s="38">
        <v>3129.0</v>
      </c>
      <c r="C13563" s="38" t="s">
        <v>17804</v>
      </c>
      <c r="D13563" s="38" t="str">
        <f>IFERROR(__xludf.DUMMYFUNCTION("REGEXREPLACE(C13563,""-\d+(.*)|--\d+(.*)"","""")"),"HYDS")</f>
        <v>HYDS</v>
      </c>
      <c r="E13563" s="38" t="s">
        <v>160</v>
      </c>
      <c r="F13563" s="38" t="s">
        <v>161</v>
      </c>
      <c r="G13563" s="49" t="str">
        <f t="shared" si="1"/>
        <v>03600</v>
      </c>
      <c r="H13563" s="49" t="str">
        <f t="shared" si="2"/>
        <v>03129</v>
      </c>
    </row>
    <row r="13564">
      <c r="A13564" s="48" t="s">
        <v>1817</v>
      </c>
      <c r="B13564" s="38">
        <v>31519.0</v>
      </c>
      <c r="C13564" s="38" t="s">
        <v>17805</v>
      </c>
      <c r="D13564" s="38" t="str">
        <f>IFERROR(__xludf.DUMMYFUNCTION("REGEXREPLACE(C13564,""-\d+(.*)|--\d+(.*)"","""")"),"SAINT-VINCENT")</f>
        <v>SAINT-VINCENT</v>
      </c>
      <c r="E13564" s="38" t="s">
        <v>93</v>
      </c>
      <c r="F13564" s="38" t="s">
        <v>94</v>
      </c>
      <c r="G13564" s="49" t="str">
        <f t="shared" si="1"/>
        <v>31290</v>
      </c>
      <c r="H13564" s="49">
        <f t="shared" si="2"/>
        <v>31519</v>
      </c>
    </row>
    <row r="13565">
      <c r="A13565" s="48" t="s">
        <v>2681</v>
      </c>
      <c r="B13565" s="38">
        <v>67556.0</v>
      </c>
      <c r="C13565" s="38" t="s">
        <v>17806</v>
      </c>
      <c r="D13565" s="38" t="str">
        <f>IFERROR(__xludf.DUMMYFUNCTION("REGEXREPLACE(C13565,""-\d+(.*)|--\d+(.*)"","""")"),"ZEINHEIM")</f>
        <v>ZEINHEIM</v>
      </c>
      <c r="E13565" s="38" t="s">
        <v>210</v>
      </c>
      <c r="F13565" s="38" t="s">
        <v>151</v>
      </c>
      <c r="G13565" s="49" t="str">
        <f t="shared" si="1"/>
        <v>67310</v>
      </c>
      <c r="H13565" s="49">
        <f t="shared" si="2"/>
        <v>67556</v>
      </c>
    </row>
    <row r="13566">
      <c r="A13566" s="48" t="s">
        <v>4510</v>
      </c>
      <c r="B13566" s="38">
        <v>29149.0</v>
      </c>
      <c r="C13566" s="38" t="s">
        <v>17807</v>
      </c>
      <c r="D13566" s="38" t="str">
        <f>IFERROR(__xludf.DUMMYFUNCTION("REGEXREPLACE(C13566,""-\d+(.*)|--\d+(.*)"","""")"),"MILIZAC")</f>
        <v>MILIZAC</v>
      </c>
      <c r="E13566" s="38" t="s">
        <v>176</v>
      </c>
      <c r="F13566" s="38" t="s">
        <v>90</v>
      </c>
      <c r="G13566" s="49" t="str">
        <f t="shared" si="1"/>
        <v>29290</v>
      </c>
      <c r="H13566" s="49">
        <f t="shared" si="2"/>
        <v>29149</v>
      </c>
    </row>
    <row r="13567">
      <c r="A13567" s="48" t="s">
        <v>1885</v>
      </c>
      <c r="B13567" s="38">
        <v>27046.0</v>
      </c>
      <c r="C13567" s="38" t="s">
        <v>17808</v>
      </c>
      <c r="D13567" s="38" t="str">
        <f>IFERROR(__xludf.DUMMYFUNCTION("REGEXREPLACE(C13567,""-\d+(.*)|--\d+(.*)"","""")"),"BAZOQUES")</f>
        <v>BAZOQUES</v>
      </c>
      <c r="E13567" s="38" t="s">
        <v>241</v>
      </c>
      <c r="F13567" s="38" t="s">
        <v>134</v>
      </c>
      <c r="G13567" s="49" t="str">
        <f t="shared" si="1"/>
        <v>27230</v>
      </c>
      <c r="H13567" s="49">
        <f t="shared" si="2"/>
        <v>27046</v>
      </c>
    </row>
    <row r="13568">
      <c r="A13568" s="48" t="s">
        <v>284</v>
      </c>
      <c r="B13568" s="38">
        <v>60378.0</v>
      </c>
      <c r="C13568" s="38" t="s">
        <v>17809</v>
      </c>
      <c r="D13568" s="38" t="str">
        <f>IFERROR(__xludf.DUMMYFUNCTION("REGEXREPLACE(C13568,""-\d+(.*)|--\d+(.*)"","""")"),"MAREST-SUR-MATZ")</f>
        <v>MAREST-SUR-MATZ</v>
      </c>
      <c r="E13568" s="38" t="s">
        <v>112</v>
      </c>
      <c r="F13568" s="38" t="s">
        <v>113</v>
      </c>
      <c r="G13568" s="49" t="str">
        <f t="shared" si="1"/>
        <v>60490</v>
      </c>
      <c r="H13568" s="49">
        <f t="shared" si="2"/>
        <v>60378</v>
      </c>
    </row>
    <row r="13569">
      <c r="A13569" s="48" t="s">
        <v>4969</v>
      </c>
      <c r="B13569" s="38">
        <v>14249.0</v>
      </c>
      <c r="C13569" s="38" t="s">
        <v>17810</v>
      </c>
      <c r="D13569" s="38" t="str">
        <f>IFERROR(__xludf.DUMMYFUNCTION("REGEXREPLACE(C13569,""-\d+(.*)|--\d+(.*)"","""")"),"ESQUAY-NOTRE-DAME")</f>
        <v>ESQUAY-NOTRE-DAME</v>
      </c>
      <c r="E13569" s="38" t="s">
        <v>137</v>
      </c>
      <c r="F13569" s="38" t="s">
        <v>138</v>
      </c>
      <c r="G13569" s="49" t="str">
        <f t="shared" si="1"/>
        <v>14210</v>
      </c>
      <c r="H13569" s="49">
        <f t="shared" si="2"/>
        <v>14249</v>
      </c>
    </row>
    <row r="13570">
      <c r="A13570" s="48" t="s">
        <v>6247</v>
      </c>
      <c r="B13570" s="38">
        <v>26133.0</v>
      </c>
      <c r="C13570" s="38" t="s">
        <v>17811</v>
      </c>
      <c r="D13570" s="38" t="str">
        <f>IFERROR(__xludf.DUMMYFUNCTION("REGEXREPLACE(C13570,""-\d+(.*)|--\d+(.*)"","""")"),"FAY-LE-CLOS")</f>
        <v>FAY-LE-CLOS</v>
      </c>
      <c r="E13570" s="38" t="s">
        <v>126</v>
      </c>
      <c r="F13570" s="38" t="s">
        <v>102</v>
      </c>
      <c r="G13570" s="49" t="str">
        <f t="shared" si="1"/>
        <v>26240</v>
      </c>
      <c r="H13570" s="49">
        <f t="shared" si="2"/>
        <v>26133</v>
      </c>
    </row>
    <row r="13571">
      <c r="A13571" s="48" t="s">
        <v>13094</v>
      </c>
      <c r="B13571" s="38">
        <v>56180.0</v>
      </c>
      <c r="C13571" s="38" t="s">
        <v>17812</v>
      </c>
      <c r="D13571" s="38" t="str">
        <f>IFERROR(__xludf.DUMMYFUNCTION("REGEXREPLACE(C13571,""-\d+(.*)|--\d+(.*)"","""")"),"PORCARO")</f>
        <v>PORCARO</v>
      </c>
      <c r="E13571" s="38" t="s">
        <v>173</v>
      </c>
      <c r="F13571" s="38" t="s">
        <v>90</v>
      </c>
      <c r="G13571" s="49" t="str">
        <f t="shared" si="1"/>
        <v>56380</v>
      </c>
      <c r="H13571" s="49">
        <f t="shared" si="2"/>
        <v>56180</v>
      </c>
    </row>
    <row r="13572">
      <c r="A13572" s="48" t="s">
        <v>5081</v>
      </c>
      <c r="B13572" s="38">
        <v>54099.0</v>
      </c>
      <c r="C13572" s="38" t="s">
        <v>17813</v>
      </c>
      <c r="D13572" s="38" t="str">
        <f>IFERROR(__xludf.DUMMYFUNCTION("REGEXREPLACE(C13572,""-\d+(.*)|--\d+(.*)"","""")"),"BRIEY")</f>
        <v>BRIEY</v>
      </c>
      <c r="E13572" s="38" t="s">
        <v>548</v>
      </c>
      <c r="F13572" s="38" t="s">
        <v>195</v>
      </c>
      <c r="G13572" s="49" t="str">
        <f t="shared" si="1"/>
        <v>54150</v>
      </c>
      <c r="H13572" s="49">
        <f t="shared" si="2"/>
        <v>54099</v>
      </c>
    </row>
    <row r="13573">
      <c r="A13573" s="48" t="s">
        <v>2924</v>
      </c>
      <c r="B13573" s="38">
        <v>8314.0</v>
      </c>
      <c r="C13573" s="38" t="s">
        <v>17814</v>
      </c>
      <c r="D13573" s="38" t="str">
        <f>IFERROR(__xludf.DUMMYFUNCTION("REGEXREPLACE(C13573,""-\d+(.*)|--\d+(.*)"","""")"),"NEUFLIZE")</f>
        <v>NEUFLIZE</v>
      </c>
      <c r="E13573" s="38" t="s">
        <v>327</v>
      </c>
      <c r="F13573" s="38" t="s">
        <v>130</v>
      </c>
      <c r="G13573" s="49" t="str">
        <f t="shared" si="1"/>
        <v>08300</v>
      </c>
      <c r="H13573" s="49" t="str">
        <f t="shared" si="2"/>
        <v>08314</v>
      </c>
    </row>
    <row r="13574">
      <c r="A13574" s="48" t="s">
        <v>2893</v>
      </c>
      <c r="B13574" s="38">
        <v>27368.0</v>
      </c>
      <c r="C13574" s="38" t="s">
        <v>13835</v>
      </c>
      <c r="D13574" s="38" t="str">
        <f>IFERROR(__xludf.DUMMYFUNCTION("REGEXREPLACE(C13574,""-\d+(.*)|--\d+(.*)"","""")"),"LIGNEROLLES")</f>
        <v>LIGNEROLLES</v>
      </c>
      <c r="E13574" s="38" t="s">
        <v>241</v>
      </c>
      <c r="F13574" s="38" t="s">
        <v>134</v>
      </c>
      <c r="G13574" s="49" t="str">
        <f t="shared" si="1"/>
        <v>27220</v>
      </c>
      <c r="H13574" s="49">
        <f t="shared" si="2"/>
        <v>27368</v>
      </c>
    </row>
    <row r="13575">
      <c r="A13575" s="48" t="s">
        <v>4406</v>
      </c>
      <c r="B13575" s="38">
        <v>76473.0</v>
      </c>
      <c r="C13575" s="38" t="s">
        <v>17815</v>
      </c>
      <c r="D13575" s="38" t="str">
        <f>IFERROR(__xludf.DUMMYFUNCTION("REGEXREPLACE(C13575,""-\d+(.*)|--\d+(.*)"","""")"),"NOTRE-DAME-DE-BLIQUETUIT")</f>
        <v>NOTRE-DAME-DE-BLIQUETUIT</v>
      </c>
      <c r="E13575" s="38" t="s">
        <v>133</v>
      </c>
      <c r="F13575" s="38" t="s">
        <v>134</v>
      </c>
      <c r="G13575" s="49" t="str">
        <f t="shared" si="1"/>
        <v>76940</v>
      </c>
      <c r="H13575" s="49">
        <f t="shared" si="2"/>
        <v>76473</v>
      </c>
    </row>
    <row r="13576">
      <c r="A13576" s="48" t="s">
        <v>6916</v>
      </c>
      <c r="B13576" s="38">
        <v>82040.0</v>
      </c>
      <c r="C13576" s="38" t="s">
        <v>17816</v>
      </c>
      <c r="D13576" s="38" t="str">
        <f>IFERROR(__xludf.DUMMYFUNCTION("REGEXREPLACE(C13576,""-\d+(.*)|--\d+(.*)"","""")"),"CAYRIECH")</f>
        <v>CAYRIECH</v>
      </c>
      <c r="E13576" s="38" t="s">
        <v>570</v>
      </c>
      <c r="F13576" s="38" t="s">
        <v>94</v>
      </c>
      <c r="G13576" s="49" t="str">
        <f t="shared" si="1"/>
        <v>82240</v>
      </c>
      <c r="H13576" s="49">
        <f t="shared" si="2"/>
        <v>82040</v>
      </c>
    </row>
    <row r="13577">
      <c r="A13577" s="48" t="s">
        <v>5091</v>
      </c>
      <c r="B13577" s="38">
        <v>41064.0</v>
      </c>
      <c r="C13577" s="38" t="s">
        <v>17817</v>
      </c>
      <c r="D13577" s="38" t="str">
        <f>IFERROR(__xludf.DUMMYFUNCTION("REGEXREPLACE(C13577,""-\d+(.*)|--\d+(.*)"","""")"),"COULANGES")</f>
        <v>COULANGES</v>
      </c>
      <c r="E13577" s="38" t="s">
        <v>188</v>
      </c>
      <c r="F13577" s="38" t="s">
        <v>123</v>
      </c>
      <c r="G13577" s="49" t="str">
        <f t="shared" si="1"/>
        <v>41150</v>
      </c>
      <c r="H13577" s="49">
        <f t="shared" si="2"/>
        <v>41064</v>
      </c>
    </row>
    <row r="13578">
      <c r="A13578" s="48" t="s">
        <v>307</v>
      </c>
      <c r="B13578" s="38">
        <v>88036.0</v>
      </c>
      <c r="C13578" s="38" t="s">
        <v>7691</v>
      </c>
      <c r="D13578" s="38" t="str">
        <f>IFERROR(__xludf.DUMMYFUNCTION("REGEXREPLACE(C13578,""-\d+(.*)|--\d+(.*)"","""")"),"BARVILLE")</f>
        <v>BARVILLE</v>
      </c>
      <c r="E13578" s="38" t="s">
        <v>194</v>
      </c>
      <c r="F13578" s="38" t="s">
        <v>195</v>
      </c>
      <c r="G13578" s="49" t="str">
        <f t="shared" si="1"/>
        <v>88300</v>
      </c>
      <c r="H13578" s="49">
        <f t="shared" si="2"/>
        <v>88036</v>
      </c>
    </row>
    <row r="13579">
      <c r="A13579" s="48" t="s">
        <v>499</v>
      </c>
      <c r="B13579" s="38">
        <v>57734.0</v>
      </c>
      <c r="C13579" s="38" t="s">
        <v>17818</v>
      </c>
      <c r="D13579" s="38" t="str">
        <f>IFERROR(__xludf.DUMMYFUNCTION("REGEXREPLACE(C13579,""-\d+(.*)|--\d+(.*)"","""")"),"VOYER")</f>
        <v>VOYER</v>
      </c>
      <c r="E13579" s="38" t="s">
        <v>303</v>
      </c>
      <c r="F13579" s="38" t="s">
        <v>195</v>
      </c>
      <c r="G13579" s="49" t="str">
        <f t="shared" si="1"/>
        <v>57560</v>
      </c>
      <c r="H13579" s="49">
        <f t="shared" si="2"/>
        <v>57734</v>
      </c>
    </row>
    <row r="13580">
      <c r="A13580" s="48" t="s">
        <v>1930</v>
      </c>
      <c r="B13580" s="38">
        <v>28226.0</v>
      </c>
      <c r="C13580" s="38" t="s">
        <v>17819</v>
      </c>
      <c r="D13580" s="38" t="str">
        <f>IFERROR(__xludf.DUMMYFUNCTION("REGEXREPLACE(C13580,""-\d+(.*)|--\d+(.*)"","""")"),"MAILLEBOIS")</f>
        <v>MAILLEBOIS</v>
      </c>
      <c r="E13580" s="38" t="s">
        <v>300</v>
      </c>
      <c r="F13580" s="38" t="s">
        <v>123</v>
      </c>
      <c r="G13580" s="49" t="str">
        <f t="shared" si="1"/>
        <v>28170</v>
      </c>
      <c r="H13580" s="49">
        <f t="shared" si="2"/>
        <v>28226</v>
      </c>
    </row>
    <row r="13581">
      <c r="A13581" s="48" t="s">
        <v>17820</v>
      </c>
      <c r="B13581" s="38">
        <v>14166.0</v>
      </c>
      <c r="C13581" s="38" t="s">
        <v>17821</v>
      </c>
      <c r="D13581" s="38" t="str">
        <f>IFERROR(__xludf.DUMMYFUNCTION("REGEXREPLACE(C13581,""-\d+(.*)|--\d+(.*)"","""")"),"COLLEVILLE-MONTGOMERY")</f>
        <v>COLLEVILLE-MONTGOMERY</v>
      </c>
      <c r="E13581" s="38" t="s">
        <v>137</v>
      </c>
      <c r="F13581" s="38" t="s">
        <v>138</v>
      </c>
      <c r="G13581" s="49" t="str">
        <f t="shared" si="1"/>
        <v>14880</v>
      </c>
      <c r="H13581" s="49">
        <f t="shared" si="2"/>
        <v>14166</v>
      </c>
    </row>
    <row r="13582">
      <c r="A13582" s="48" t="s">
        <v>11007</v>
      </c>
      <c r="B13582" s="38">
        <v>17178.0</v>
      </c>
      <c r="C13582" s="38" t="s">
        <v>17822</v>
      </c>
      <c r="D13582" s="38" t="str">
        <f>IFERROR(__xludf.DUMMYFUNCTION("REGEXREPLACE(C13582,""-\d+(.*)|--\d+(.*)"","""")"),"GIVREZAC")</f>
        <v>GIVREZAC</v>
      </c>
      <c r="E13582" s="38" t="s">
        <v>488</v>
      </c>
      <c r="F13582" s="38" t="s">
        <v>338</v>
      </c>
      <c r="G13582" s="49" t="str">
        <f t="shared" si="1"/>
        <v>17260</v>
      </c>
      <c r="H13582" s="49">
        <f t="shared" si="2"/>
        <v>17178</v>
      </c>
    </row>
    <row r="13583">
      <c r="A13583" s="48" t="s">
        <v>17823</v>
      </c>
      <c r="B13583" s="38" t="s">
        <v>17824</v>
      </c>
      <c r="C13583" s="38" t="s">
        <v>17825</v>
      </c>
      <c r="D13583" s="38" t="str">
        <f>IFERROR(__xludf.DUMMYFUNCTION("REGEXREPLACE(C13583,""-\d+(.*)|--\d+(.*)"","""")"),"CONCA")</f>
        <v>CONCA</v>
      </c>
      <c r="E13583" s="38" t="s">
        <v>606</v>
      </c>
      <c r="F13583" s="38" t="s">
        <v>607</v>
      </c>
      <c r="G13583" s="49" t="str">
        <f t="shared" si="1"/>
        <v>20135</v>
      </c>
      <c r="H13583" s="49" t="str">
        <f t="shared" si="2"/>
        <v>2A092</v>
      </c>
    </row>
    <row r="13584">
      <c r="A13584" s="48" t="s">
        <v>14644</v>
      </c>
      <c r="B13584" s="38">
        <v>6063.0</v>
      </c>
      <c r="C13584" s="38" t="s">
        <v>17826</v>
      </c>
      <c r="D13584" s="38" t="str">
        <f>IFERROR(__xludf.DUMMYFUNCTION("REGEXREPLACE(C13584,""-\d+(.*)|--\d+(.*)"","""")"),"GARS")</f>
        <v>GARS</v>
      </c>
      <c r="E13584" s="38" t="s">
        <v>227</v>
      </c>
      <c r="F13584" s="38" t="s">
        <v>228</v>
      </c>
      <c r="G13584" s="49" t="str">
        <f t="shared" si="1"/>
        <v>06850</v>
      </c>
      <c r="H13584" s="49" t="str">
        <f t="shared" si="2"/>
        <v>06063</v>
      </c>
    </row>
    <row r="13585">
      <c r="A13585" s="48" t="s">
        <v>14097</v>
      </c>
      <c r="B13585" s="38">
        <v>10010.0</v>
      </c>
      <c r="C13585" s="38" t="s">
        <v>17827</v>
      </c>
      <c r="D13585" s="38" t="str">
        <f>IFERROR(__xludf.DUMMYFUNCTION("REGEXREPLACE(C13585,""-\d+(.*)|--\d+(.*)"","""")"),"ARREMBECOURT")</f>
        <v>ARREMBECOURT</v>
      </c>
      <c r="E13585" s="38" t="s">
        <v>147</v>
      </c>
      <c r="F13585" s="38" t="s">
        <v>130</v>
      </c>
      <c r="G13585" s="49" t="str">
        <f t="shared" si="1"/>
        <v>10330</v>
      </c>
      <c r="H13585" s="49">
        <f t="shared" si="2"/>
        <v>10010</v>
      </c>
    </row>
    <row r="13586">
      <c r="A13586" s="48" t="s">
        <v>12958</v>
      </c>
      <c r="B13586" s="38">
        <v>27038.0</v>
      </c>
      <c r="C13586" s="38" t="s">
        <v>17828</v>
      </c>
      <c r="D13586" s="38" t="str">
        <f>IFERROR(__xludf.DUMMYFUNCTION("REGEXREPLACE(C13586,""-\d+(.*)|--\d+(.*)"","""")"),"LES BARILS")</f>
        <v>LES BARILS</v>
      </c>
      <c r="E13586" s="38" t="s">
        <v>241</v>
      </c>
      <c r="F13586" s="38" t="s">
        <v>134</v>
      </c>
      <c r="G13586" s="49" t="str">
        <f t="shared" si="1"/>
        <v>27130</v>
      </c>
      <c r="H13586" s="49">
        <f t="shared" si="2"/>
        <v>27038</v>
      </c>
    </row>
    <row r="13587">
      <c r="A13587" s="48" t="s">
        <v>987</v>
      </c>
      <c r="B13587" s="38">
        <v>40110.0</v>
      </c>
      <c r="C13587" s="38" t="s">
        <v>17829</v>
      </c>
      <c r="D13587" s="38" t="str">
        <f>IFERROR(__xludf.DUMMYFUNCTION("REGEXREPLACE(C13587,""-\d+(.*)|--\d+(.*)"","""")"),"GEAUNE")</f>
        <v>GEAUNE</v>
      </c>
      <c r="E13587" s="38" t="s">
        <v>281</v>
      </c>
      <c r="F13587" s="38" t="s">
        <v>252</v>
      </c>
      <c r="G13587" s="49" t="str">
        <f t="shared" si="1"/>
        <v>40320</v>
      </c>
      <c r="H13587" s="49">
        <f t="shared" si="2"/>
        <v>40110</v>
      </c>
    </row>
    <row r="13588">
      <c r="A13588" s="48" t="s">
        <v>1974</v>
      </c>
      <c r="B13588" s="38">
        <v>59539.0</v>
      </c>
      <c r="C13588" s="38" t="s">
        <v>17830</v>
      </c>
      <c r="D13588" s="38" t="str">
        <f>IFERROR(__xludf.DUMMYFUNCTION("REGEXREPLACE(C13588,""-\d+(.*)|--\d+(.*)"","""")"),"SAINT-PIERRE-BROUCK")</f>
        <v>SAINT-PIERRE-BROUCK</v>
      </c>
      <c r="E13588" s="38" t="s">
        <v>85</v>
      </c>
      <c r="F13588" s="38" t="s">
        <v>86</v>
      </c>
      <c r="G13588" s="49" t="str">
        <f t="shared" si="1"/>
        <v>59630</v>
      </c>
      <c r="H13588" s="49">
        <f t="shared" si="2"/>
        <v>59539</v>
      </c>
    </row>
    <row r="13589">
      <c r="A13589" s="48" t="s">
        <v>17831</v>
      </c>
      <c r="B13589" s="38">
        <v>54280.0</v>
      </c>
      <c r="C13589" s="38" t="s">
        <v>17832</v>
      </c>
      <c r="D13589" s="38" t="str">
        <f>IFERROR(__xludf.DUMMYFUNCTION("REGEXREPLACE(C13589,""-\d+(.*)|--\d+(.*)"","""")"),"JOEUF")</f>
        <v>JOEUF</v>
      </c>
      <c r="E13589" s="38" t="s">
        <v>548</v>
      </c>
      <c r="F13589" s="38" t="s">
        <v>195</v>
      </c>
      <c r="G13589" s="49" t="str">
        <f t="shared" si="1"/>
        <v>54240</v>
      </c>
      <c r="H13589" s="49">
        <f t="shared" si="2"/>
        <v>54280</v>
      </c>
    </row>
    <row r="13590">
      <c r="A13590" s="48" t="s">
        <v>1894</v>
      </c>
      <c r="B13590" s="38">
        <v>10025.0</v>
      </c>
      <c r="C13590" s="38" t="s">
        <v>17833</v>
      </c>
      <c r="D13590" s="38" t="str">
        <f>IFERROR(__xludf.DUMMYFUNCTION("REGEXREPLACE(C13590,""-\d+(.*)|--\d+(.*)"","""")"),"BAGNEUX-LA-FOSSE")</f>
        <v>BAGNEUX-LA-FOSSE</v>
      </c>
      <c r="E13590" s="38" t="s">
        <v>147</v>
      </c>
      <c r="F13590" s="38" t="s">
        <v>130</v>
      </c>
      <c r="G13590" s="49" t="str">
        <f t="shared" si="1"/>
        <v>10340</v>
      </c>
      <c r="H13590" s="49">
        <f t="shared" si="2"/>
        <v>10025</v>
      </c>
    </row>
    <row r="13591">
      <c r="A13591" s="48" t="s">
        <v>17834</v>
      </c>
      <c r="B13591" s="38">
        <v>83022.0</v>
      </c>
      <c r="C13591" s="38" t="s">
        <v>17835</v>
      </c>
      <c r="D13591" s="38" t="str">
        <f>IFERROR(__xludf.DUMMYFUNCTION("REGEXREPLACE(C13591,""-\d+(.*)|--\d+(.*)"","""")"),"BRENON")</f>
        <v>BRENON</v>
      </c>
      <c r="E13591" s="38" t="s">
        <v>813</v>
      </c>
      <c r="F13591" s="38" t="s">
        <v>228</v>
      </c>
      <c r="G13591" s="49" t="str">
        <f t="shared" si="1"/>
        <v>83840</v>
      </c>
      <c r="H13591" s="49">
        <f t="shared" si="2"/>
        <v>83022</v>
      </c>
    </row>
    <row r="13592">
      <c r="A13592" s="48" t="s">
        <v>12919</v>
      </c>
      <c r="B13592" s="38">
        <v>56094.0</v>
      </c>
      <c r="C13592" s="38" t="s">
        <v>17836</v>
      </c>
      <c r="D13592" s="38" t="str">
        <f>IFERROR(__xludf.DUMMYFUNCTION("REGEXREPLACE(C13592,""-\d+(.*)|--\d+(.*)"","""")"),"KERVIGNAC")</f>
        <v>KERVIGNAC</v>
      </c>
      <c r="E13592" s="38" t="s">
        <v>173</v>
      </c>
      <c r="F13592" s="38" t="s">
        <v>90</v>
      </c>
      <c r="G13592" s="49" t="str">
        <f t="shared" si="1"/>
        <v>56700</v>
      </c>
      <c r="H13592" s="49">
        <f t="shared" si="2"/>
        <v>56094</v>
      </c>
    </row>
    <row r="13593">
      <c r="A13593" s="48" t="s">
        <v>9245</v>
      </c>
      <c r="B13593" s="38">
        <v>47046.0</v>
      </c>
      <c r="C13593" s="38" t="s">
        <v>17837</v>
      </c>
      <c r="D13593" s="38" t="str">
        <f>IFERROR(__xludf.DUMMYFUNCTION("REGEXREPLACE(C13593,""-\d+(.*)|--\d+(.*)"","""")"),"CALONGES")</f>
        <v>CALONGES</v>
      </c>
      <c r="E13593" s="38" t="s">
        <v>251</v>
      </c>
      <c r="F13593" s="38" t="s">
        <v>252</v>
      </c>
      <c r="G13593" s="49" t="str">
        <f t="shared" si="1"/>
        <v>47430</v>
      </c>
      <c r="H13593" s="49">
        <f t="shared" si="2"/>
        <v>47046</v>
      </c>
    </row>
    <row r="13594">
      <c r="A13594" s="48" t="s">
        <v>2708</v>
      </c>
      <c r="B13594" s="38">
        <v>70419.0</v>
      </c>
      <c r="C13594" s="38" t="s">
        <v>17838</v>
      </c>
      <c r="D13594" s="38" t="str">
        <f>IFERROR(__xludf.DUMMYFUNCTION("REGEXREPLACE(C13594,""-\d+(.*)|--\d+(.*)"","""")"),"PONT-DU-BOIS")</f>
        <v>PONT-DU-BOIS</v>
      </c>
      <c r="E13594" s="38" t="s">
        <v>956</v>
      </c>
      <c r="F13594" s="38" t="s">
        <v>214</v>
      </c>
      <c r="G13594" s="49" t="str">
        <f t="shared" si="1"/>
        <v>70210</v>
      </c>
      <c r="H13594" s="49">
        <f t="shared" si="2"/>
        <v>70419</v>
      </c>
    </row>
    <row r="13595">
      <c r="A13595" s="48" t="s">
        <v>2726</v>
      </c>
      <c r="B13595" s="38">
        <v>46203.0</v>
      </c>
      <c r="C13595" s="38" t="s">
        <v>17839</v>
      </c>
      <c r="D13595" s="38" t="str">
        <f>IFERROR(__xludf.DUMMYFUNCTION("REGEXREPLACE(C13595,""-\d+(.*)|--\d+(.*)"","""")"),"MONTET-ET-BOUXAL")</f>
        <v>MONTET-ET-BOUXAL</v>
      </c>
      <c r="E13595" s="38" t="s">
        <v>185</v>
      </c>
      <c r="F13595" s="38" t="s">
        <v>94</v>
      </c>
      <c r="G13595" s="49" t="str">
        <f t="shared" si="1"/>
        <v>46210</v>
      </c>
      <c r="H13595" s="49">
        <f t="shared" si="2"/>
        <v>46203</v>
      </c>
    </row>
    <row r="13596">
      <c r="A13596" s="48" t="s">
        <v>8698</v>
      </c>
      <c r="B13596" s="38">
        <v>11424.0</v>
      </c>
      <c r="C13596" s="38" t="s">
        <v>1936</v>
      </c>
      <c r="D13596" s="38" t="str">
        <f>IFERROR(__xludf.DUMMYFUNCTION("REGEXREPLACE(C13596,""-\d+(.*)|--\d+(.*)"","""")"),"VILLEFORT")</f>
        <v>VILLEFORT</v>
      </c>
      <c r="E13596" s="38" t="s">
        <v>278</v>
      </c>
      <c r="F13596" s="38" t="s">
        <v>119</v>
      </c>
      <c r="G13596" s="49" t="str">
        <f t="shared" si="1"/>
        <v>11230</v>
      </c>
      <c r="H13596" s="49">
        <f t="shared" si="2"/>
        <v>11424</v>
      </c>
    </row>
    <row r="13597">
      <c r="A13597" s="48" t="s">
        <v>2213</v>
      </c>
      <c r="B13597" s="38">
        <v>59216.0</v>
      </c>
      <c r="C13597" s="38" t="s">
        <v>17840</v>
      </c>
      <c r="D13597" s="38" t="str">
        <f>IFERROR(__xludf.DUMMYFUNCTION("REGEXREPLACE(C13597,""-\d+(.*)|--\d+(.*)"","""")"),"ESWARS")</f>
        <v>ESWARS</v>
      </c>
      <c r="E13597" s="38" t="s">
        <v>85</v>
      </c>
      <c r="F13597" s="38" t="s">
        <v>86</v>
      </c>
      <c r="G13597" s="49" t="str">
        <f t="shared" si="1"/>
        <v>59161</v>
      </c>
      <c r="H13597" s="49">
        <f t="shared" si="2"/>
        <v>59216</v>
      </c>
    </row>
    <row r="13598">
      <c r="A13598" s="48" t="s">
        <v>5933</v>
      </c>
      <c r="B13598" s="38">
        <v>64104.0</v>
      </c>
      <c r="C13598" s="38" t="s">
        <v>17841</v>
      </c>
      <c r="D13598" s="38" t="str">
        <f>IFERROR(__xludf.DUMMYFUNCTION("REGEXREPLACE(C13598,""-\d+(.*)|--\d+(.*)"","""")"),"BEDOUS")</f>
        <v>BEDOUS</v>
      </c>
      <c r="E13598" s="38" t="s">
        <v>268</v>
      </c>
      <c r="F13598" s="38" t="s">
        <v>252</v>
      </c>
      <c r="G13598" s="49" t="str">
        <f t="shared" si="1"/>
        <v>64490</v>
      </c>
      <c r="H13598" s="49">
        <f t="shared" si="2"/>
        <v>64104</v>
      </c>
    </row>
    <row r="13599">
      <c r="A13599" s="48" t="s">
        <v>4895</v>
      </c>
      <c r="B13599" s="38">
        <v>34033.0</v>
      </c>
      <c r="C13599" s="38" t="s">
        <v>17842</v>
      </c>
      <c r="D13599" s="38" t="str">
        <f>IFERROR(__xludf.DUMMYFUNCTION("REGEXREPLACE(C13599,""-\d+(.*)|--\d+(.*)"","""")"),"BOISSERON")</f>
        <v>BOISSERON</v>
      </c>
      <c r="E13599" s="38" t="s">
        <v>118</v>
      </c>
      <c r="F13599" s="38" t="s">
        <v>119</v>
      </c>
      <c r="G13599" s="49" t="str">
        <f t="shared" si="1"/>
        <v>34160</v>
      </c>
      <c r="H13599" s="49">
        <f t="shared" si="2"/>
        <v>34033</v>
      </c>
    </row>
    <row r="13600">
      <c r="A13600" s="48" t="s">
        <v>445</v>
      </c>
      <c r="B13600" s="38">
        <v>76375.0</v>
      </c>
      <c r="C13600" s="38" t="s">
        <v>17843</v>
      </c>
      <c r="D13600" s="38" t="str">
        <f>IFERROR(__xludf.DUMMYFUNCTION("REGEXREPLACE(C13600,""-\d+(.*)|--\d+(.*)"","""")"),"INGOUVILLE")</f>
        <v>INGOUVILLE</v>
      </c>
      <c r="E13600" s="38" t="s">
        <v>133</v>
      </c>
      <c r="F13600" s="38" t="s">
        <v>134</v>
      </c>
      <c r="G13600" s="49" t="str">
        <f t="shared" si="1"/>
        <v>76460</v>
      </c>
      <c r="H13600" s="49">
        <f t="shared" si="2"/>
        <v>76375</v>
      </c>
    </row>
    <row r="13601">
      <c r="A13601" s="48" t="s">
        <v>13409</v>
      </c>
      <c r="B13601" s="38">
        <v>35233.0</v>
      </c>
      <c r="C13601" s="38" t="s">
        <v>17844</v>
      </c>
      <c r="D13601" s="38" t="str">
        <f>IFERROR(__xludf.DUMMYFUNCTION("REGEXREPLACE(C13601,""-\d+(.*)|--\d+(.*)"","""")"),"QUEBRIAC")</f>
        <v>QUEBRIAC</v>
      </c>
      <c r="E13601" s="38" t="s">
        <v>347</v>
      </c>
      <c r="F13601" s="38" t="s">
        <v>90</v>
      </c>
      <c r="G13601" s="49" t="str">
        <f t="shared" si="1"/>
        <v>35190</v>
      </c>
      <c r="H13601" s="49">
        <f t="shared" si="2"/>
        <v>35233</v>
      </c>
    </row>
    <row r="13602">
      <c r="A13602" s="48" t="s">
        <v>1616</v>
      </c>
      <c r="B13602" s="38">
        <v>10366.0</v>
      </c>
      <c r="C13602" s="38" t="s">
        <v>17845</v>
      </c>
      <c r="D13602" s="38" t="str">
        <f>IFERROR(__xludf.DUMMYFUNCTION("REGEXREPLACE(C13602,""-\d+(.*)|--\d+(.*)"","""")"),"SAULCY")</f>
        <v>SAULCY</v>
      </c>
      <c r="E13602" s="38" t="s">
        <v>147</v>
      </c>
      <c r="F13602" s="38" t="s">
        <v>130</v>
      </c>
      <c r="G13602" s="49" t="str">
        <f t="shared" si="1"/>
        <v>10200</v>
      </c>
      <c r="H13602" s="49">
        <f t="shared" si="2"/>
        <v>10366</v>
      </c>
    </row>
    <row r="13603">
      <c r="A13603" s="48" t="s">
        <v>5700</v>
      </c>
      <c r="B13603" s="38">
        <v>36119.0</v>
      </c>
      <c r="C13603" s="38" t="s">
        <v>17846</v>
      </c>
      <c r="D13603" s="38" t="str">
        <f>IFERROR(__xludf.DUMMYFUNCTION("REGEXREPLACE(C13603,""-\d+(.*)|--\d+(.*)"","""")"),"MERIGNY")</f>
        <v>MERIGNY</v>
      </c>
      <c r="E13603" s="38" t="s">
        <v>258</v>
      </c>
      <c r="F13603" s="38" t="s">
        <v>123</v>
      </c>
      <c r="G13603" s="49" t="str">
        <f t="shared" si="1"/>
        <v>36220</v>
      </c>
      <c r="H13603" s="49">
        <f t="shared" si="2"/>
        <v>36119</v>
      </c>
    </row>
    <row r="13604">
      <c r="A13604" s="48" t="s">
        <v>17847</v>
      </c>
      <c r="B13604" s="38" t="s">
        <v>17848</v>
      </c>
      <c r="C13604" s="38" t="s">
        <v>17849</v>
      </c>
      <c r="D13604" s="38" t="str">
        <f>IFERROR(__xludf.DUMMYFUNCTION("REGEXREPLACE(C13604,""-\d+(.*)|--\d+(.*)"","""")"),"SARROLA-CARCOPINO")</f>
        <v>SARROLA-CARCOPINO</v>
      </c>
      <c r="E13604" s="38" t="s">
        <v>606</v>
      </c>
      <c r="F13604" s="38" t="s">
        <v>607</v>
      </c>
      <c r="G13604" s="49" t="str">
        <f t="shared" si="1"/>
        <v>20167</v>
      </c>
      <c r="H13604" s="49" t="str">
        <f t="shared" si="2"/>
        <v>2A271</v>
      </c>
    </row>
    <row r="13605">
      <c r="A13605" s="48" t="s">
        <v>17850</v>
      </c>
      <c r="B13605" s="38">
        <v>59660.0</v>
      </c>
      <c r="C13605" s="38" t="s">
        <v>17851</v>
      </c>
      <c r="D13605" s="38" t="str">
        <f>IFERROR(__xludf.DUMMYFUNCTION("REGEXREPLACE(C13605,""-\d+(.*)|--\d+(.*)"","""")"),"WILLEMS")</f>
        <v>WILLEMS</v>
      </c>
      <c r="E13605" s="38" t="s">
        <v>85</v>
      </c>
      <c r="F13605" s="38" t="s">
        <v>86</v>
      </c>
      <c r="G13605" s="49" t="str">
        <f t="shared" si="1"/>
        <v>59780</v>
      </c>
      <c r="H13605" s="49">
        <f t="shared" si="2"/>
        <v>59660</v>
      </c>
    </row>
    <row r="13606">
      <c r="A13606" s="48" t="s">
        <v>17852</v>
      </c>
      <c r="B13606" s="38">
        <v>56181.0</v>
      </c>
      <c r="C13606" s="38" t="s">
        <v>17853</v>
      </c>
      <c r="D13606" s="38" t="str">
        <f>IFERROR(__xludf.DUMMYFUNCTION("REGEXREPLACE(C13606,""-\d+(.*)|--\d+(.*)"","""")"),"PORT-LOUIS")</f>
        <v>PORT-LOUIS</v>
      </c>
      <c r="E13606" s="38" t="s">
        <v>173</v>
      </c>
      <c r="F13606" s="38" t="s">
        <v>90</v>
      </c>
      <c r="G13606" s="49" t="str">
        <f t="shared" si="1"/>
        <v>56290</v>
      </c>
      <c r="H13606" s="49">
        <f t="shared" si="2"/>
        <v>56181</v>
      </c>
    </row>
    <row r="13607">
      <c r="A13607" s="48" t="s">
        <v>2061</v>
      </c>
      <c r="B13607" s="38">
        <v>21670.0</v>
      </c>
      <c r="C13607" s="38" t="s">
        <v>17854</v>
      </c>
      <c r="D13607" s="38" t="str">
        <f>IFERROR(__xludf.DUMMYFUNCTION("REGEXREPLACE(C13607,""-\d+(.*)|--\d+(.*)"","""")"),"VERREY-SOUS-SALMAISE")</f>
        <v>VERREY-SOUS-SALMAISE</v>
      </c>
      <c r="E13607" s="38" t="s">
        <v>105</v>
      </c>
      <c r="F13607" s="38" t="s">
        <v>106</v>
      </c>
      <c r="G13607" s="49" t="str">
        <f t="shared" si="1"/>
        <v>21690</v>
      </c>
      <c r="H13607" s="49">
        <f t="shared" si="2"/>
        <v>21670</v>
      </c>
    </row>
    <row r="13608">
      <c r="A13608" s="48" t="s">
        <v>3448</v>
      </c>
      <c r="B13608" s="38">
        <v>65324.0</v>
      </c>
      <c r="C13608" s="38" t="s">
        <v>17855</v>
      </c>
      <c r="D13608" s="38" t="str">
        <f>IFERROR(__xludf.DUMMYFUNCTION("REGEXREPLACE(C13608,""-\d+(.*)|--\d+(.*)"","""")"),"MOULEDOUS")</f>
        <v>MOULEDOUS</v>
      </c>
      <c r="E13608" s="38" t="s">
        <v>200</v>
      </c>
      <c r="F13608" s="38" t="s">
        <v>94</v>
      </c>
      <c r="G13608" s="49" t="str">
        <f t="shared" si="1"/>
        <v>65190</v>
      </c>
      <c r="H13608" s="49">
        <f t="shared" si="2"/>
        <v>65324</v>
      </c>
    </row>
    <row r="13609">
      <c r="A13609" s="48" t="s">
        <v>1317</v>
      </c>
      <c r="B13609" s="38">
        <v>8415.0</v>
      </c>
      <c r="C13609" s="38" t="s">
        <v>17856</v>
      </c>
      <c r="D13609" s="38" t="str">
        <f>IFERROR(__xludf.DUMMYFUNCTION("REGEXREPLACE(C13609,""-\d+(.*)|--\d+(.*)"","""")"),"SERY")</f>
        <v>SERY</v>
      </c>
      <c r="E13609" s="38" t="s">
        <v>327</v>
      </c>
      <c r="F13609" s="38" t="s">
        <v>130</v>
      </c>
      <c r="G13609" s="49" t="str">
        <f t="shared" si="1"/>
        <v>08270</v>
      </c>
      <c r="H13609" s="49" t="str">
        <f t="shared" si="2"/>
        <v>08415</v>
      </c>
    </row>
    <row r="13610">
      <c r="A13610" s="48" t="s">
        <v>2159</v>
      </c>
      <c r="B13610" s="38">
        <v>57020.0</v>
      </c>
      <c r="C13610" s="38" t="s">
        <v>17857</v>
      </c>
      <c r="D13610" s="38" t="str">
        <f>IFERROR(__xludf.DUMMYFUNCTION("REGEXREPLACE(C13610,""-\d+(.*)|--\d+(.*)"","""")"),"ANCERVILLE")</f>
        <v>ANCERVILLE</v>
      </c>
      <c r="E13610" s="38" t="s">
        <v>303</v>
      </c>
      <c r="F13610" s="38" t="s">
        <v>195</v>
      </c>
      <c r="G13610" s="49" t="str">
        <f t="shared" si="1"/>
        <v>57580</v>
      </c>
      <c r="H13610" s="49">
        <f t="shared" si="2"/>
        <v>57020</v>
      </c>
    </row>
    <row r="13611">
      <c r="A13611" s="48" t="s">
        <v>4592</v>
      </c>
      <c r="B13611" s="38">
        <v>26284.0</v>
      </c>
      <c r="C13611" s="38" t="s">
        <v>17858</v>
      </c>
      <c r="D13611" s="38" t="str">
        <f>IFERROR(__xludf.DUMMYFUNCTION("REGEXREPLACE(C13611,""-\d+(.*)|--\d+(.*)"","""")"),"ROUSSAS")</f>
        <v>ROUSSAS</v>
      </c>
      <c r="E13611" s="38" t="s">
        <v>126</v>
      </c>
      <c r="F13611" s="38" t="s">
        <v>102</v>
      </c>
      <c r="G13611" s="49" t="str">
        <f t="shared" si="1"/>
        <v>26230</v>
      </c>
      <c r="H13611" s="49">
        <f t="shared" si="2"/>
        <v>26284</v>
      </c>
    </row>
    <row r="13612">
      <c r="A13612" s="48" t="s">
        <v>17859</v>
      </c>
      <c r="B13612" s="38">
        <v>40118.0</v>
      </c>
      <c r="C13612" s="38" t="s">
        <v>17860</v>
      </c>
      <c r="D13612" s="38" t="str">
        <f>IFERROR(__xludf.DUMMYFUNCTION("REGEXREPLACE(C13612,""-\d+(.*)|--\d+(.*)"","""")"),"HABAS")</f>
        <v>HABAS</v>
      </c>
      <c r="E13612" s="38" t="s">
        <v>281</v>
      </c>
      <c r="F13612" s="38" t="s">
        <v>252</v>
      </c>
      <c r="G13612" s="49" t="str">
        <f t="shared" si="1"/>
        <v>40290</v>
      </c>
      <c r="H13612" s="49">
        <f t="shared" si="2"/>
        <v>40118</v>
      </c>
    </row>
    <row r="13613">
      <c r="A13613" s="48" t="s">
        <v>3763</v>
      </c>
      <c r="B13613" s="38">
        <v>76574.0</v>
      </c>
      <c r="C13613" s="38" t="s">
        <v>17861</v>
      </c>
      <c r="D13613" s="38" t="str">
        <f>IFERROR(__xludf.DUMMYFUNCTION("REGEXREPLACE(C13613,""-\d+(.*)|--\d+(.*)"","""")"),"SAINT-DENIS-SUR-SCIE")</f>
        <v>SAINT-DENIS-SUR-SCIE</v>
      </c>
      <c r="E13613" s="38" t="s">
        <v>133</v>
      </c>
      <c r="F13613" s="38" t="s">
        <v>134</v>
      </c>
      <c r="G13613" s="49" t="str">
        <f t="shared" si="1"/>
        <v>76890</v>
      </c>
      <c r="H13613" s="49">
        <f t="shared" si="2"/>
        <v>76574</v>
      </c>
    </row>
    <row r="13614">
      <c r="A13614" s="48" t="s">
        <v>279</v>
      </c>
      <c r="B13614" s="38">
        <v>40178.0</v>
      </c>
      <c r="C13614" s="38" t="s">
        <v>10143</v>
      </c>
      <c r="D13614" s="38" t="str">
        <f>IFERROR(__xludf.DUMMYFUNCTION("REGEXREPLACE(C13614,""-\d+(.*)|--\d+(.*)"","""")"),"MAZEROLLES")</f>
        <v>MAZEROLLES</v>
      </c>
      <c r="E13614" s="38" t="s">
        <v>281</v>
      </c>
      <c r="F13614" s="38" t="s">
        <v>252</v>
      </c>
      <c r="G13614" s="49" t="str">
        <f t="shared" si="1"/>
        <v>40090</v>
      </c>
      <c r="H13614" s="49">
        <f t="shared" si="2"/>
        <v>40178</v>
      </c>
    </row>
    <row r="13615">
      <c r="A13615" s="48" t="s">
        <v>715</v>
      </c>
      <c r="B13615" s="38">
        <v>88370.0</v>
      </c>
      <c r="C13615" s="38" t="s">
        <v>17862</v>
      </c>
      <c r="D13615" s="38" t="str">
        <f>IFERROR(__xludf.DUMMYFUNCTION("REGEXREPLACE(C13615,""-\d+(.*)|--\d+(.*)"","""")"),"RANCOURT")</f>
        <v>RANCOURT</v>
      </c>
      <c r="E13615" s="38" t="s">
        <v>194</v>
      </c>
      <c r="F13615" s="38" t="s">
        <v>195</v>
      </c>
      <c r="G13615" s="49" t="str">
        <f t="shared" si="1"/>
        <v>88270</v>
      </c>
      <c r="H13615" s="49">
        <f t="shared" si="2"/>
        <v>88370</v>
      </c>
    </row>
    <row r="13616">
      <c r="A13616" s="48" t="s">
        <v>962</v>
      </c>
      <c r="B13616" s="38">
        <v>24259.0</v>
      </c>
      <c r="C13616" s="38" t="s">
        <v>17863</v>
      </c>
      <c r="D13616" s="38" t="str">
        <f>IFERROR(__xludf.DUMMYFUNCTION("REGEXREPLACE(C13616,""-\d+(.*)|--\d+(.*)"","""")"),"MAURENS")</f>
        <v>MAURENS</v>
      </c>
      <c r="E13616" s="38" t="s">
        <v>261</v>
      </c>
      <c r="F13616" s="38" t="s">
        <v>252</v>
      </c>
      <c r="G13616" s="49" t="str">
        <f t="shared" si="1"/>
        <v>24140</v>
      </c>
      <c r="H13616" s="49">
        <f t="shared" si="2"/>
        <v>24259</v>
      </c>
    </row>
    <row r="13617">
      <c r="A13617" s="48" t="s">
        <v>2249</v>
      </c>
      <c r="B13617" s="38">
        <v>14047.0</v>
      </c>
      <c r="C13617" s="38" t="s">
        <v>17864</v>
      </c>
      <c r="D13617" s="38" t="str">
        <f>IFERROR(__xludf.DUMMYFUNCTION("REGEXREPLACE(C13617,""-\d+(.*)|--\d+(.*)"","""")"),"BAYEUX")</f>
        <v>BAYEUX</v>
      </c>
      <c r="E13617" s="38" t="s">
        <v>137</v>
      </c>
      <c r="F13617" s="38" t="s">
        <v>138</v>
      </c>
      <c r="G13617" s="49" t="str">
        <f t="shared" si="1"/>
        <v>14400</v>
      </c>
      <c r="H13617" s="49">
        <f t="shared" si="2"/>
        <v>14047</v>
      </c>
    </row>
    <row r="13618">
      <c r="A13618" s="48" t="s">
        <v>2701</v>
      </c>
      <c r="B13618" s="38">
        <v>17103.0</v>
      </c>
      <c r="C13618" s="38" t="s">
        <v>17865</v>
      </c>
      <c r="D13618" s="38" t="str">
        <f>IFERROR(__xludf.DUMMYFUNCTION("REGEXREPLACE(C13618,""-\d+(.*)|--\d+(.*)"","""")"),"CHERVETTES")</f>
        <v>CHERVETTES</v>
      </c>
      <c r="E13618" s="38" t="s">
        <v>488</v>
      </c>
      <c r="F13618" s="38" t="s">
        <v>338</v>
      </c>
      <c r="G13618" s="49" t="str">
        <f t="shared" si="1"/>
        <v>17380</v>
      </c>
      <c r="H13618" s="49">
        <f t="shared" si="2"/>
        <v>17103</v>
      </c>
    </row>
    <row r="13619">
      <c r="A13619" s="48" t="s">
        <v>924</v>
      </c>
      <c r="B13619" s="38">
        <v>40067.0</v>
      </c>
      <c r="C13619" s="38" t="s">
        <v>17866</v>
      </c>
      <c r="D13619" s="38" t="str">
        <f>IFERROR(__xludf.DUMMYFUNCTION("REGEXREPLACE(C13619,""-\d+(.*)|--\d+(.*)"","""")"),"CARCEN-PONSON")</f>
        <v>CARCEN-PONSON</v>
      </c>
      <c r="E13619" s="38" t="s">
        <v>281</v>
      </c>
      <c r="F13619" s="38" t="s">
        <v>252</v>
      </c>
      <c r="G13619" s="49" t="str">
        <f t="shared" si="1"/>
        <v>40400</v>
      </c>
      <c r="H13619" s="49">
        <f t="shared" si="2"/>
        <v>40067</v>
      </c>
    </row>
    <row r="13620">
      <c r="A13620" s="48" t="s">
        <v>17867</v>
      </c>
      <c r="B13620" s="38">
        <v>42184.0</v>
      </c>
      <c r="C13620" s="38" t="s">
        <v>17868</v>
      </c>
      <c r="D13620" s="38" t="str">
        <f>IFERROR(__xludf.DUMMYFUNCTION("REGEXREPLACE(C13620,""-\d+(.*)|--\d+(.*)"","""")"),"RIORGES")</f>
        <v>RIORGES</v>
      </c>
      <c r="E13620" s="38" t="s">
        <v>166</v>
      </c>
      <c r="F13620" s="38" t="s">
        <v>102</v>
      </c>
      <c r="G13620" s="49" t="str">
        <f t="shared" si="1"/>
        <v>42153</v>
      </c>
      <c r="H13620" s="49">
        <f t="shared" si="2"/>
        <v>42184</v>
      </c>
    </row>
    <row r="13621">
      <c r="A13621" s="48" t="s">
        <v>262</v>
      </c>
      <c r="B13621" s="38">
        <v>9195.0</v>
      </c>
      <c r="C13621" s="38" t="s">
        <v>17869</v>
      </c>
      <c r="D13621" s="38" t="str">
        <f>IFERROR(__xludf.DUMMYFUNCTION("REGEXREPLACE(C13621,""-\d+(.*)|--\d+(.*)"","""")"),"MONESPLE")</f>
        <v>MONESPLE</v>
      </c>
      <c r="E13621" s="38" t="s">
        <v>238</v>
      </c>
      <c r="F13621" s="38" t="s">
        <v>94</v>
      </c>
      <c r="G13621" s="49" t="str">
        <f t="shared" si="1"/>
        <v>09130</v>
      </c>
      <c r="H13621" s="49" t="str">
        <f t="shared" si="2"/>
        <v>09195</v>
      </c>
    </row>
    <row r="13622">
      <c r="A13622" s="48" t="s">
        <v>7821</v>
      </c>
      <c r="B13622" s="38">
        <v>8156.0</v>
      </c>
      <c r="C13622" s="38" t="s">
        <v>17870</v>
      </c>
      <c r="D13622" s="38" t="str">
        <f>IFERROR(__xludf.DUMMYFUNCTION("REGEXREPLACE(C13622,""-\d+(.*)|--\d+(.*)"","""")"),"ETEIGNIERES")</f>
        <v>ETEIGNIERES</v>
      </c>
      <c r="E13622" s="38" t="s">
        <v>327</v>
      </c>
      <c r="F13622" s="38" t="s">
        <v>130</v>
      </c>
      <c r="G13622" s="49" t="str">
        <f t="shared" si="1"/>
        <v>08260</v>
      </c>
      <c r="H13622" s="49" t="str">
        <f t="shared" si="2"/>
        <v>08156</v>
      </c>
    </row>
    <row r="13623">
      <c r="A13623" s="48" t="s">
        <v>2924</v>
      </c>
      <c r="B13623" s="38">
        <v>8403.0</v>
      </c>
      <c r="C13623" s="38" t="s">
        <v>17871</v>
      </c>
      <c r="D13623" s="38" t="str">
        <f>IFERROR(__xludf.DUMMYFUNCTION("REGEXREPLACE(C13623,""-\d+(.*)|--\d+(.*)"","""")"),"SAULT-LES-RETHEL")</f>
        <v>SAULT-LES-RETHEL</v>
      </c>
      <c r="E13623" s="38" t="s">
        <v>327</v>
      </c>
      <c r="F13623" s="38" t="s">
        <v>130</v>
      </c>
      <c r="G13623" s="49" t="str">
        <f t="shared" si="1"/>
        <v>08300</v>
      </c>
      <c r="H13623" s="49" t="str">
        <f t="shared" si="2"/>
        <v>08403</v>
      </c>
    </row>
    <row r="13624">
      <c r="A13624" s="48" t="s">
        <v>549</v>
      </c>
      <c r="B13624" s="38">
        <v>55331.0</v>
      </c>
      <c r="C13624" s="38" t="s">
        <v>17872</v>
      </c>
      <c r="D13624" s="38" t="str">
        <f>IFERROR(__xludf.DUMMYFUNCTION("REGEXREPLACE(C13624,""-\d+(.*)|--\d+(.*)"","""")"),"MELIGNY-LE-PETIT")</f>
        <v>MELIGNY-LE-PETIT</v>
      </c>
      <c r="E13624" s="38" t="s">
        <v>322</v>
      </c>
      <c r="F13624" s="38" t="s">
        <v>195</v>
      </c>
      <c r="G13624" s="49" t="str">
        <f t="shared" si="1"/>
        <v>55190</v>
      </c>
      <c r="H13624" s="49">
        <f t="shared" si="2"/>
        <v>55331</v>
      </c>
    </row>
    <row r="13625">
      <c r="A13625" s="48" t="s">
        <v>11538</v>
      </c>
      <c r="B13625" s="38">
        <v>61510.0</v>
      </c>
      <c r="C13625" s="38" t="s">
        <v>17873</v>
      </c>
      <c r="D13625" s="38" t="str">
        <f>IFERROR(__xludf.DUMMYFUNCTION("REGEXREPLACE(C13625,""-\d+(.*)|--\d+(.*)"","""")"),"VITRAI-SOUS-LAIGLE")</f>
        <v>VITRAI-SOUS-LAIGLE</v>
      </c>
      <c r="E13625" s="38" t="s">
        <v>141</v>
      </c>
      <c r="F13625" s="38" t="s">
        <v>138</v>
      </c>
      <c r="G13625" s="49" t="str">
        <f t="shared" si="1"/>
        <v>61300</v>
      </c>
      <c r="H13625" s="49">
        <f t="shared" si="2"/>
        <v>61510</v>
      </c>
    </row>
    <row r="13626">
      <c r="A13626" s="48" t="s">
        <v>1825</v>
      </c>
      <c r="B13626" s="38">
        <v>64361.0</v>
      </c>
      <c r="C13626" s="38" t="s">
        <v>17874</v>
      </c>
      <c r="D13626" s="38" t="str">
        <f>IFERROR(__xludf.DUMMYFUNCTION("REGEXREPLACE(C13626,""-\d+(.*)|--\d+(.*)"","""")"),"LUSSAGNET-LUSSON")</f>
        <v>LUSSAGNET-LUSSON</v>
      </c>
      <c r="E13626" s="38" t="s">
        <v>268</v>
      </c>
      <c r="F13626" s="38" t="s">
        <v>252</v>
      </c>
      <c r="G13626" s="49" t="str">
        <f t="shared" si="1"/>
        <v>64160</v>
      </c>
      <c r="H13626" s="49">
        <f t="shared" si="2"/>
        <v>64361</v>
      </c>
    </row>
    <row r="13627">
      <c r="A13627" s="48" t="s">
        <v>1186</v>
      </c>
      <c r="B13627" s="38">
        <v>16067.0</v>
      </c>
      <c r="C13627" s="38" t="s">
        <v>17875</v>
      </c>
      <c r="D13627" s="38" t="str">
        <f>IFERROR(__xludf.DUMMYFUNCTION("REGEXREPLACE(C13627,""-\d+(.*)|--\d+(.*)"","""")"),"BUNZAC")</f>
        <v>BUNZAC</v>
      </c>
      <c r="E13627" s="38" t="s">
        <v>429</v>
      </c>
      <c r="F13627" s="38" t="s">
        <v>338</v>
      </c>
      <c r="G13627" s="49" t="str">
        <f t="shared" si="1"/>
        <v>16110</v>
      </c>
      <c r="H13627" s="49">
        <f t="shared" si="2"/>
        <v>16067</v>
      </c>
    </row>
    <row r="13628">
      <c r="A13628" s="48" t="s">
        <v>4650</v>
      </c>
      <c r="B13628" s="38">
        <v>47057.0</v>
      </c>
      <c r="C13628" s="38" t="s">
        <v>17876</v>
      </c>
      <c r="D13628" s="38" t="str">
        <f>IFERROR(__xludf.DUMMYFUNCTION("REGEXREPLACE(C13628,""-\d+(.*)|--\d+(.*)"","""")"),"CASTILLONNES")</f>
        <v>CASTILLONNES</v>
      </c>
      <c r="E13628" s="38" t="s">
        <v>251</v>
      </c>
      <c r="F13628" s="38" t="s">
        <v>252</v>
      </c>
      <c r="G13628" s="49" t="str">
        <f t="shared" si="1"/>
        <v>47330</v>
      </c>
      <c r="H13628" s="49">
        <f t="shared" si="2"/>
        <v>47057</v>
      </c>
    </row>
    <row r="13629">
      <c r="A13629" s="48" t="s">
        <v>6613</v>
      </c>
      <c r="B13629" s="38">
        <v>61361.0</v>
      </c>
      <c r="C13629" s="38" t="s">
        <v>17877</v>
      </c>
      <c r="D13629" s="38" t="str">
        <f>IFERROR(__xludf.DUMMYFUNCTION("REGEXREPLACE(C13629,""-\d+(.*)|--\d+(.*)"","""")"),"SAINT-ANDRE-DE-BRIOUZE")</f>
        <v>SAINT-ANDRE-DE-BRIOUZE</v>
      </c>
      <c r="E13629" s="38" t="s">
        <v>141</v>
      </c>
      <c r="F13629" s="38" t="s">
        <v>138</v>
      </c>
      <c r="G13629" s="49" t="str">
        <f t="shared" si="1"/>
        <v>61220</v>
      </c>
      <c r="H13629" s="49">
        <f t="shared" si="2"/>
        <v>61361</v>
      </c>
    </row>
    <row r="13630">
      <c r="A13630" s="48" t="s">
        <v>91</v>
      </c>
      <c r="B13630" s="38">
        <v>31279.0</v>
      </c>
      <c r="C13630" s="38" t="s">
        <v>17878</v>
      </c>
      <c r="D13630" s="38" t="str">
        <f>IFERROR(__xludf.DUMMYFUNCTION("REGEXREPLACE(C13630,""-\d+(.*)|--\d+(.*)"","""")"),"LATOUR")</f>
        <v>LATOUR</v>
      </c>
      <c r="E13630" s="38" t="s">
        <v>93</v>
      </c>
      <c r="F13630" s="38" t="s">
        <v>94</v>
      </c>
      <c r="G13630" s="49" t="str">
        <f t="shared" si="1"/>
        <v>31310</v>
      </c>
      <c r="H13630" s="49">
        <f t="shared" si="2"/>
        <v>31279</v>
      </c>
    </row>
    <row r="13631">
      <c r="A13631" s="48" t="s">
        <v>1174</v>
      </c>
      <c r="B13631" s="38">
        <v>51455.0</v>
      </c>
      <c r="C13631" s="38" t="s">
        <v>17879</v>
      </c>
      <c r="D13631" s="38" t="str">
        <f>IFERROR(__xludf.DUMMYFUNCTION("REGEXREPLACE(C13631,""-\d+(.*)|--\d+(.*)"","""")"),"REIMS-LA-BRULEE")</f>
        <v>REIMS-LA-BRULEE</v>
      </c>
      <c r="E13631" s="38" t="s">
        <v>129</v>
      </c>
      <c r="F13631" s="38" t="s">
        <v>130</v>
      </c>
      <c r="G13631" s="49" t="str">
        <f t="shared" si="1"/>
        <v>51300</v>
      </c>
      <c r="H13631" s="49">
        <f t="shared" si="2"/>
        <v>51455</v>
      </c>
    </row>
    <row r="13632">
      <c r="A13632" s="48" t="s">
        <v>4840</v>
      </c>
      <c r="B13632" s="38">
        <v>16069.0</v>
      </c>
      <c r="C13632" s="38" t="s">
        <v>17880</v>
      </c>
      <c r="D13632" s="38" t="str">
        <f>IFERROR(__xludf.DUMMYFUNCTION("REGEXREPLACE(C13632,""-\d+(.*)|--\d+(.*)"","""")"),"CELLETTES")</f>
        <v>CELLETTES</v>
      </c>
      <c r="E13632" s="38" t="s">
        <v>429</v>
      </c>
      <c r="F13632" s="38" t="s">
        <v>338</v>
      </c>
      <c r="G13632" s="49" t="str">
        <f t="shared" si="1"/>
        <v>16230</v>
      </c>
      <c r="H13632" s="49">
        <f t="shared" si="2"/>
        <v>16069</v>
      </c>
    </row>
    <row r="13633">
      <c r="A13633" s="48" t="s">
        <v>9293</v>
      </c>
      <c r="B13633" s="38">
        <v>9213.0</v>
      </c>
      <c r="C13633" s="38" t="s">
        <v>2758</v>
      </c>
      <c r="D13633" s="38" t="str">
        <f>IFERROR(__xludf.DUMMYFUNCTION("REGEXREPLACE(C13633,""-\d+(.*)|--\d+(.*)"","""")"),"MOULIN-NEUF")</f>
        <v>MOULIN-NEUF</v>
      </c>
      <c r="E13633" s="38" t="s">
        <v>238</v>
      </c>
      <c r="F13633" s="38" t="s">
        <v>94</v>
      </c>
      <c r="G13633" s="49" t="str">
        <f t="shared" si="1"/>
        <v>09500</v>
      </c>
      <c r="H13633" s="49" t="str">
        <f t="shared" si="2"/>
        <v>09213</v>
      </c>
    </row>
    <row r="13634">
      <c r="A13634" s="48" t="s">
        <v>3795</v>
      </c>
      <c r="B13634" s="38">
        <v>24131.0</v>
      </c>
      <c r="C13634" s="38" t="s">
        <v>17881</v>
      </c>
      <c r="D13634" s="38" t="str">
        <f>IFERROR(__xludf.DUMMYFUNCTION("REGEXREPLACE(C13634,""-\d+(.*)|--\d+(.*)"","""")"),"CONNEZAC")</f>
        <v>CONNEZAC</v>
      </c>
      <c r="E13634" s="38" t="s">
        <v>261</v>
      </c>
      <c r="F13634" s="38" t="s">
        <v>252</v>
      </c>
      <c r="G13634" s="49" t="str">
        <f t="shared" si="1"/>
        <v>24300</v>
      </c>
      <c r="H13634" s="49">
        <f t="shared" si="2"/>
        <v>24131</v>
      </c>
    </row>
    <row r="13635">
      <c r="A13635" s="48" t="s">
        <v>816</v>
      </c>
      <c r="B13635" s="38">
        <v>11376.0</v>
      </c>
      <c r="C13635" s="38" t="s">
        <v>17882</v>
      </c>
      <c r="D13635" s="38" t="str">
        <f>IFERROR(__xludf.DUMMYFUNCTION("REGEXREPLACE(C13635,""-\d+(.*)|--\d+(.*)"","""")"),"LA SERPENT")</f>
        <v>LA SERPENT</v>
      </c>
      <c r="E13635" s="38" t="s">
        <v>278</v>
      </c>
      <c r="F13635" s="38" t="s">
        <v>119</v>
      </c>
      <c r="G13635" s="49" t="str">
        <f t="shared" si="1"/>
        <v>11190</v>
      </c>
      <c r="H13635" s="49">
        <f t="shared" si="2"/>
        <v>11376</v>
      </c>
    </row>
    <row r="13636">
      <c r="A13636" s="48" t="s">
        <v>2761</v>
      </c>
      <c r="B13636" s="38">
        <v>7305.0</v>
      </c>
      <c r="C13636" s="38" t="s">
        <v>17883</v>
      </c>
      <c r="D13636" s="38" t="str">
        <f>IFERROR(__xludf.DUMMYFUNCTION("REGEXREPLACE(C13636,""-\d+(.*)|--\d+(.*)"","""")"),"LES SALELLES")</f>
        <v>LES SALELLES</v>
      </c>
      <c r="E13636" s="38" t="s">
        <v>144</v>
      </c>
      <c r="F13636" s="38" t="s">
        <v>102</v>
      </c>
      <c r="G13636" s="49" t="str">
        <f t="shared" si="1"/>
        <v>07140</v>
      </c>
      <c r="H13636" s="49" t="str">
        <f t="shared" si="2"/>
        <v>07305</v>
      </c>
    </row>
    <row r="13637">
      <c r="A13637" s="48" t="s">
        <v>4620</v>
      </c>
      <c r="B13637" s="38">
        <v>12189.0</v>
      </c>
      <c r="C13637" s="38" t="s">
        <v>17884</v>
      </c>
      <c r="D13637" s="38" t="str">
        <f>IFERROR(__xludf.DUMMYFUNCTION("REGEXREPLACE(C13637,""-\d+(.*)|--\d+(.*)"","""")"),"PRADINAS")</f>
        <v>PRADINAS</v>
      </c>
      <c r="E13637" s="38" t="s">
        <v>465</v>
      </c>
      <c r="F13637" s="38" t="s">
        <v>94</v>
      </c>
      <c r="G13637" s="49" t="str">
        <f t="shared" si="1"/>
        <v>12240</v>
      </c>
      <c r="H13637" s="49">
        <f t="shared" si="2"/>
        <v>12189</v>
      </c>
    </row>
    <row r="13638">
      <c r="A13638" s="48" t="s">
        <v>407</v>
      </c>
      <c r="B13638" s="38">
        <v>71130.0</v>
      </c>
      <c r="C13638" s="38" t="s">
        <v>17885</v>
      </c>
      <c r="D13638" s="38" t="str">
        <f>IFERROR(__xludf.DUMMYFUNCTION("REGEXREPLACE(C13638,""-\d+(.*)|--\d+(.*)"","""")"),"CHISSEY-LES-MACON")</f>
        <v>CHISSEY-LES-MACON</v>
      </c>
      <c r="E13638" s="38" t="s">
        <v>344</v>
      </c>
      <c r="F13638" s="38" t="s">
        <v>106</v>
      </c>
      <c r="G13638" s="49" t="str">
        <f t="shared" si="1"/>
        <v>71460</v>
      </c>
      <c r="H13638" s="49">
        <f t="shared" si="2"/>
        <v>71130</v>
      </c>
    </row>
    <row r="13639">
      <c r="A13639" s="48" t="s">
        <v>6107</v>
      </c>
      <c r="B13639" s="38">
        <v>61318.0</v>
      </c>
      <c r="C13639" s="38" t="s">
        <v>17886</v>
      </c>
      <c r="D13639" s="38" t="str">
        <f>IFERROR(__xludf.DUMMYFUNCTION("REGEXREPLACE(C13639,""-\d+(.*)|--\d+(.*)"","""")"),"ORIGNY-LE-BUTIN")</f>
        <v>ORIGNY-LE-BUTIN</v>
      </c>
      <c r="E13639" s="38" t="s">
        <v>141</v>
      </c>
      <c r="F13639" s="38" t="s">
        <v>138</v>
      </c>
      <c r="G13639" s="49" t="str">
        <f t="shared" si="1"/>
        <v>61130</v>
      </c>
      <c r="H13639" s="49">
        <f t="shared" si="2"/>
        <v>61318</v>
      </c>
    </row>
    <row r="13640">
      <c r="A13640" s="48" t="s">
        <v>1268</v>
      </c>
      <c r="B13640" s="38">
        <v>8281.0</v>
      </c>
      <c r="C13640" s="38" t="s">
        <v>17887</v>
      </c>
      <c r="D13640" s="38" t="str">
        <f>IFERROR(__xludf.DUMMYFUNCTION("REGEXREPLACE(C13640,""-\d+(.*)|--\d+(.*)"","""")"),"MATTON-ET-CLEMENCY")</f>
        <v>MATTON-ET-CLEMENCY</v>
      </c>
      <c r="E13640" s="38" t="s">
        <v>327</v>
      </c>
      <c r="F13640" s="38" t="s">
        <v>130</v>
      </c>
      <c r="G13640" s="49" t="str">
        <f t="shared" si="1"/>
        <v>08110</v>
      </c>
      <c r="H13640" s="49" t="str">
        <f t="shared" si="2"/>
        <v>08281</v>
      </c>
    </row>
    <row r="13641">
      <c r="A13641" s="48" t="s">
        <v>789</v>
      </c>
      <c r="B13641" s="38">
        <v>10443.0</v>
      </c>
      <c r="C13641" s="38" t="s">
        <v>17888</v>
      </c>
      <c r="D13641" s="38" t="str">
        <f>IFERROR(__xludf.DUMMYFUNCTION("REGEXREPLACE(C13641,""-\d+(.*)|--\d+(.*)"","""")"),"VOUGREY")</f>
        <v>VOUGREY</v>
      </c>
      <c r="E13641" s="38" t="s">
        <v>147</v>
      </c>
      <c r="F13641" s="38" t="s">
        <v>130</v>
      </c>
      <c r="G13641" s="49" t="str">
        <f t="shared" si="1"/>
        <v>10210</v>
      </c>
      <c r="H13641" s="49">
        <f t="shared" si="2"/>
        <v>10443</v>
      </c>
    </row>
    <row r="13642">
      <c r="A13642" s="48" t="s">
        <v>8579</v>
      </c>
      <c r="B13642" s="38">
        <v>32437.0</v>
      </c>
      <c r="C13642" s="38" t="s">
        <v>15044</v>
      </c>
      <c r="D13642" s="38" t="str">
        <f>IFERROR(__xludf.DUMMYFUNCTION("REGEXREPLACE(C13642,""-\d+(.*)|--\d+(.*)"","""")"),"SORBETS")</f>
        <v>SORBETS</v>
      </c>
      <c r="E13642" s="38" t="s">
        <v>440</v>
      </c>
      <c r="F13642" s="38" t="s">
        <v>94</v>
      </c>
      <c r="G13642" s="49" t="str">
        <f t="shared" si="1"/>
        <v>32110</v>
      </c>
      <c r="H13642" s="49">
        <f t="shared" si="2"/>
        <v>32437</v>
      </c>
    </row>
    <row r="13643">
      <c r="A13643" s="48" t="s">
        <v>4510</v>
      </c>
      <c r="B13643" s="38">
        <v>29119.0</v>
      </c>
      <c r="C13643" s="38" t="s">
        <v>17889</v>
      </c>
      <c r="D13643" s="38" t="str">
        <f>IFERROR(__xludf.DUMMYFUNCTION("REGEXREPLACE(C13643,""-\d+(.*)|--\d+(.*)"","""")"),"LANRIVOARE")</f>
        <v>LANRIVOARE</v>
      </c>
      <c r="E13643" s="38" t="s">
        <v>176</v>
      </c>
      <c r="F13643" s="38" t="s">
        <v>90</v>
      </c>
      <c r="G13643" s="49" t="str">
        <f t="shared" si="1"/>
        <v>29290</v>
      </c>
      <c r="H13643" s="49">
        <f t="shared" si="2"/>
        <v>29119</v>
      </c>
    </row>
    <row r="13644">
      <c r="A13644" s="48" t="s">
        <v>1579</v>
      </c>
      <c r="B13644" s="38">
        <v>63381.0</v>
      </c>
      <c r="C13644" s="38" t="s">
        <v>17890</v>
      </c>
      <c r="D13644" s="38" t="str">
        <f>IFERROR(__xludf.DUMMYFUNCTION("REGEXREPLACE(C13644,""-\d+(.*)|--\d+(.*)"","""")"),"SAINT-OURS")</f>
        <v>SAINT-OURS</v>
      </c>
      <c r="E13644" s="38" t="s">
        <v>353</v>
      </c>
      <c r="F13644" s="38" t="s">
        <v>161</v>
      </c>
      <c r="G13644" s="49" t="str">
        <f t="shared" si="1"/>
        <v>63230</v>
      </c>
      <c r="H13644" s="49">
        <f t="shared" si="2"/>
        <v>63381</v>
      </c>
    </row>
    <row r="13645">
      <c r="A13645" s="48" t="s">
        <v>1220</v>
      </c>
      <c r="B13645" s="38">
        <v>76161.0</v>
      </c>
      <c r="C13645" s="38" t="s">
        <v>17891</v>
      </c>
      <c r="D13645" s="38" t="str">
        <f>IFERROR(__xludf.DUMMYFUNCTION("REGEXREPLACE(C13645,""-\d+(.*)|--\d+(.*)"","""")"),"CARVILLE-POT-DE-FER")</f>
        <v>CARVILLE-POT-DE-FER</v>
      </c>
      <c r="E13645" s="38" t="s">
        <v>133</v>
      </c>
      <c r="F13645" s="38" t="s">
        <v>134</v>
      </c>
      <c r="G13645" s="49" t="str">
        <f t="shared" si="1"/>
        <v>76560</v>
      </c>
      <c r="H13645" s="49">
        <f t="shared" si="2"/>
        <v>76161</v>
      </c>
    </row>
    <row r="13646">
      <c r="A13646" s="48" t="s">
        <v>17892</v>
      </c>
      <c r="B13646" s="38">
        <v>65440.0</v>
      </c>
      <c r="C13646" s="38" t="s">
        <v>17893</v>
      </c>
      <c r="D13646" s="38" t="str">
        <f>IFERROR(__xludf.DUMMYFUNCTION("REGEXREPLACE(C13646,""-\d+(.*)|--\d+(.*)"","""")"),"TARBES")</f>
        <v>TARBES</v>
      </c>
      <c r="E13646" s="38" t="s">
        <v>200</v>
      </c>
      <c r="F13646" s="38" t="s">
        <v>94</v>
      </c>
      <c r="G13646" s="49" t="str">
        <f t="shared" si="1"/>
        <v>65000</v>
      </c>
      <c r="H13646" s="49">
        <f t="shared" si="2"/>
        <v>65440</v>
      </c>
    </row>
    <row r="13647">
      <c r="A13647" s="48" t="s">
        <v>3450</v>
      </c>
      <c r="B13647" s="38">
        <v>60625.0</v>
      </c>
      <c r="C13647" s="38" t="s">
        <v>17894</v>
      </c>
      <c r="D13647" s="38" t="str">
        <f>IFERROR(__xludf.DUMMYFUNCTION("REGEXREPLACE(C13647,""-\d+(.*)|--\d+(.*)"","""")"),"SUZOY")</f>
        <v>SUZOY</v>
      </c>
      <c r="E13647" s="38" t="s">
        <v>112</v>
      </c>
      <c r="F13647" s="38" t="s">
        <v>113</v>
      </c>
      <c r="G13647" s="49" t="str">
        <f t="shared" si="1"/>
        <v>60400</v>
      </c>
      <c r="H13647" s="49">
        <f t="shared" si="2"/>
        <v>60625</v>
      </c>
    </row>
    <row r="13648">
      <c r="A13648" s="48" t="s">
        <v>8806</v>
      </c>
      <c r="B13648" s="38">
        <v>5090.0</v>
      </c>
      <c r="C13648" s="38" t="s">
        <v>17895</v>
      </c>
      <c r="D13648" s="38" t="str">
        <f>IFERROR(__xludf.DUMMYFUNCTION("REGEXREPLACE(C13648,""-\d+(.*)|--\d+(.*)"","""")"),"LA MOTTE-EN-CHAMPSAUR")</f>
        <v>LA MOTTE-EN-CHAMPSAUR</v>
      </c>
      <c r="E13648" s="38" t="s">
        <v>706</v>
      </c>
      <c r="F13648" s="38" t="s">
        <v>228</v>
      </c>
      <c r="G13648" s="49" t="str">
        <f t="shared" si="1"/>
        <v>05500</v>
      </c>
      <c r="H13648" s="49" t="str">
        <f t="shared" si="2"/>
        <v>05090</v>
      </c>
    </row>
    <row r="13649">
      <c r="A13649" s="48" t="s">
        <v>4170</v>
      </c>
      <c r="B13649" s="38">
        <v>37058.0</v>
      </c>
      <c r="C13649" s="38" t="s">
        <v>17896</v>
      </c>
      <c r="D13649" s="38" t="str">
        <f>IFERROR(__xludf.DUMMYFUNCTION("REGEXREPLACE(C13649,""-\d+(.*)|--\d+(.*)"","""")"),"LA CHAPELLE-SUR-LOIRE")</f>
        <v>LA CHAPELLE-SUR-LOIRE</v>
      </c>
      <c r="E13649" s="38" t="s">
        <v>205</v>
      </c>
      <c r="F13649" s="38" t="s">
        <v>123</v>
      </c>
      <c r="G13649" s="49" t="str">
        <f t="shared" si="1"/>
        <v>37140</v>
      </c>
      <c r="H13649" s="49">
        <f t="shared" si="2"/>
        <v>37058</v>
      </c>
    </row>
    <row r="13650">
      <c r="A13650" s="48" t="s">
        <v>3548</v>
      </c>
      <c r="B13650" s="38">
        <v>95492.0</v>
      </c>
      <c r="C13650" s="38" t="s">
        <v>17897</v>
      </c>
      <c r="D13650" s="38" t="str">
        <f>IFERROR(__xludf.DUMMYFUNCTION("REGEXREPLACE(C13650,""-\d+(.*)|--\d+(.*)"","""")"),"LE PLESSIS-GASSOT")</f>
        <v>LE PLESSIS-GASSOT</v>
      </c>
      <c r="E13650" s="38" t="s">
        <v>541</v>
      </c>
      <c r="F13650" s="38" t="s">
        <v>245</v>
      </c>
      <c r="G13650" s="49" t="str">
        <f t="shared" si="1"/>
        <v>95720</v>
      </c>
      <c r="H13650" s="49">
        <f t="shared" si="2"/>
        <v>95492</v>
      </c>
    </row>
    <row r="13651">
      <c r="A13651" s="48" t="s">
        <v>14151</v>
      </c>
      <c r="B13651" s="38">
        <v>53076.0</v>
      </c>
      <c r="C13651" s="38" t="s">
        <v>17898</v>
      </c>
      <c r="D13651" s="38" t="str">
        <f>IFERROR(__xludf.DUMMYFUNCTION("REGEXREPLACE(C13651,""-\d+(.*)|--\d+(.*)"","""")"),"COSSE-EN-CHAMPAGNE")</f>
        <v>COSSE-EN-CHAMPAGNE</v>
      </c>
      <c r="E13651" s="38" t="s">
        <v>518</v>
      </c>
      <c r="F13651" s="38" t="s">
        <v>180</v>
      </c>
      <c r="G13651" s="49" t="str">
        <f t="shared" si="1"/>
        <v>53340</v>
      </c>
      <c r="H13651" s="49">
        <f t="shared" si="2"/>
        <v>53076</v>
      </c>
    </row>
    <row r="13652">
      <c r="A13652" s="48" t="s">
        <v>9021</v>
      </c>
      <c r="B13652" s="38">
        <v>88485.0</v>
      </c>
      <c r="C13652" s="38" t="s">
        <v>17899</v>
      </c>
      <c r="D13652" s="38" t="str">
        <f>IFERROR(__xludf.DUMMYFUNCTION("REGEXREPLACE(C13652,""-\d+(.*)|--\d+(.*)"","""")"),"LA VACHERESSE-ET-LA-ROUILLIE")</f>
        <v>LA VACHERESSE-ET-LA-ROUILLIE</v>
      </c>
      <c r="E13652" s="38" t="s">
        <v>194</v>
      </c>
      <c r="F13652" s="38" t="s">
        <v>195</v>
      </c>
      <c r="G13652" s="49" t="str">
        <f t="shared" si="1"/>
        <v>88140</v>
      </c>
      <c r="H13652" s="49">
        <f t="shared" si="2"/>
        <v>88485</v>
      </c>
    </row>
    <row r="13653">
      <c r="A13653" s="48" t="s">
        <v>734</v>
      </c>
      <c r="B13653" s="38">
        <v>54093.0</v>
      </c>
      <c r="C13653" s="38" t="s">
        <v>17900</v>
      </c>
      <c r="D13653" s="38" t="str">
        <f>IFERROR(__xludf.DUMMYFUNCTION("REGEXREPLACE(C13653,""-\d+(.*)|--\d+(.*)"","""")"),"BRAINVILLE")</f>
        <v>BRAINVILLE</v>
      </c>
      <c r="E13653" s="38" t="s">
        <v>548</v>
      </c>
      <c r="F13653" s="38" t="s">
        <v>195</v>
      </c>
      <c r="G13653" s="49" t="str">
        <f t="shared" si="1"/>
        <v>54800</v>
      </c>
      <c r="H13653" s="49">
        <f t="shared" si="2"/>
        <v>54093</v>
      </c>
    </row>
    <row r="13654">
      <c r="A13654" s="48" t="s">
        <v>9467</v>
      </c>
      <c r="B13654" s="38">
        <v>67540.0</v>
      </c>
      <c r="C13654" s="38" t="s">
        <v>17901</v>
      </c>
      <c r="D13654" s="38" t="str">
        <f>IFERROR(__xludf.DUMMYFUNCTION("REGEXREPLACE(C13654,""-\d+(.*)|--\d+(.*)"","""")"),"WINTERSHOUSE")</f>
        <v>WINTERSHOUSE</v>
      </c>
      <c r="E13654" s="38" t="s">
        <v>210</v>
      </c>
      <c r="F13654" s="38" t="s">
        <v>151</v>
      </c>
      <c r="G13654" s="49" t="str">
        <f t="shared" si="1"/>
        <v>67590</v>
      </c>
      <c r="H13654" s="49">
        <f t="shared" si="2"/>
        <v>67540</v>
      </c>
    </row>
    <row r="13655">
      <c r="A13655" s="48" t="s">
        <v>6862</v>
      </c>
      <c r="B13655" s="38">
        <v>68261.0</v>
      </c>
      <c r="C13655" s="38" t="s">
        <v>17902</v>
      </c>
      <c r="D13655" s="38" t="str">
        <f>IFERROR(__xludf.DUMMYFUNCTION("REGEXREPLACE(C13655,""-\d+(.*)|--\d+(.*)"","""")"),"RAMMERSMATT")</f>
        <v>RAMMERSMATT</v>
      </c>
      <c r="E13655" s="38" t="s">
        <v>150</v>
      </c>
      <c r="F13655" s="38" t="s">
        <v>151</v>
      </c>
      <c r="G13655" s="49" t="str">
        <f t="shared" si="1"/>
        <v>68800</v>
      </c>
      <c r="H13655" s="49">
        <f t="shared" si="2"/>
        <v>68261</v>
      </c>
    </row>
    <row r="13656">
      <c r="A13656" s="48" t="s">
        <v>17903</v>
      </c>
      <c r="B13656" s="38">
        <v>97105.0</v>
      </c>
      <c r="C13656" s="38" t="s">
        <v>17904</v>
      </c>
      <c r="D13656" s="38" t="str">
        <f>IFERROR(__xludf.DUMMYFUNCTION("REGEXREPLACE(C13656,""-\d+(.*)|--\d+(.*)"","""")"),"BASSE-TERRE")</f>
        <v>BASSE-TERRE</v>
      </c>
      <c r="E13656" s="38" t="s">
        <v>2023</v>
      </c>
      <c r="F13656" s="38" t="s">
        <v>2023</v>
      </c>
      <c r="G13656" s="49" t="str">
        <f t="shared" si="1"/>
        <v>97100</v>
      </c>
      <c r="H13656" s="49">
        <f t="shared" si="2"/>
        <v>97105</v>
      </c>
    </row>
    <row r="13657">
      <c r="A13657" s="48" t="s">
        <v>2781</v>
      </c>
      <c r="B13657" s="38">
        <v>4170.0</v>
      </c>
      <c r="C13657" s="38" t="s">
        <v>4674</v>
      </c>
      <c r="D13657" s="38" t="str">
        <f>IFERROR(__xludf.DUMMYFUNCTION("REGEXREPLACE(C13657,""-\d+(.*)|--\d+(.*)"","""")"),"LA ROCHETTE")</f>
        <v>LA ROCHETTE</v>
      </c>
      <c r="E13657" s="38" t="s">
        <v>662</v>
      </c>
      <c r="F13657" s="38" t="s">
        <v>228</v>
      </c>
      <c r="G13657" s="49" t="str">
        <f t="shared" si="1"/>
        <v>06260</v>
      </c>
      <c r="H13657" s="49" t="str">
        <f t="shared" si="2"/>
        <v>04170</v>
      </c>
    </row>
    <row r="13658">
      <c r="A13658" s="48" t="s">
        <v>6179</v>
      </c>
      <c r="B13658" s="38">
        <v>8487.0</v>
      </c>
      <c r="C13658" s="38" t="s">
        <v>17905</v>
      </c>
      <c r="D13658" s="38" t="str">
        <f>IFERROR(__xludf.DUMMYFUNCTION("REGEXREPLACE(C13658,""-\d+(.*)|--\d+(.*)"","""")"),"VIREUX-WALLERAND")</f>
        <v>VIREUX-WALLERAND</v>
      </c>
      <c r="E13658" s="38" t="s">
        <v>327</v>
      </c>
      <c r="F13658" s="38" t="s">
        <v>130</v>
      </c>
      <c r="G13658" s="49" t="str">
        <f t="shared" si="1"/>
        <v>08320</v>
      </c>
      <c r="H13658" s="49" t="str">
        <f t="shared" si="2"/>
        <v>08487</v>
      </c>
    </row>
    <row r="13659">
      <c r="A13659" s="48" t="s">
        <v>3515</v>
      </c>
      <c r="B13659" s="38">
        <v>26225.0</v>
      </c>
      <c r="C13659" s="38" t="s">
        <v>17906</v>
      </c>
      <c r="D13659" s="38" t="str">
        <f>IFERROR(__xludf.DUMMYFUNCTION("REGEXREPLACE(C13659,""-\d+(.*)|--\d+(.*)"","""")"),"PARNANS")</f>
        <v>PARNANS</v>
      </c>
      <c r="E13659" s="38" t="s">
        <v>126</v>
      </c>
      <c r="F13659" s="38" t="s">
        <v>102</v>
      </c>
      <c r="G13659" s="49" t="str">
        <f t="shared" si="1"/>
        <v>26750</v>
      </c>
      <c r="H13659" s="49">
        <f t="shared" si="2"/>
        <v>26225</v>
      </c>
    </row>
    <row r="13660">
      <c r="A13660" s="48" t="s">
        <v>3313</v>
      </c>
      <c r="B13660" s="38">
        <v>2186.0</v>
      </c>
      <c r="C13660" s="38" t="s">
        <v>17907</v>
      </c>
      <c r="D13660" s="38" t="str">
        <f>IFERROR(__xludf.DUMMYFUNCTION("REGEXREPLACE(C13660,""-\d+(.*)|--\d+(.*)"","""")"),"CHEZY-SUR-MARNE")</f>
        <v>CHEZY-SUR-MARNE</v>
      </c>
      <c r="E13660" s="38" t="s">
        <v>191</v>
      </c>
      <c r="F13660" s="38" t="s">
        <v>113</v>
      </c>
      <c r="G13660" s="49" t="str">
        <f t="shared" si="1"/>
        <v>02570</v>
      </c>
      <c r="H13660" s="49" t="str">
        <f t="shared" si="2"/>
        <v>02186</v>
      </c>
    </row>
    <row r="13661">
      <c r="A13661" s="48" t="s">
        <v>1485</v>
      </c>
      <c r="B13661" s="38">
        <v>21001.0</v>
      </c>
      <c r="C13661" s="38" t="s">
        <v>17908</v>
      </c>
      <c r="D13661" s="38" t="str">
        <f>IFERROR(__xludf.DUMMYFUNCTION("REGEXREPLACE(C13661,""-\d+(.*)|--\d+(.*)"","""")"),"AGENCOURT")</f>
        <v>AGENCOURT</v>
      </c>
      <c r="E13661" s="38" t="s">
        <v>105</v>
      </c>
      <c r="F13661" s="38" t="s">
        <v>106</v>
      </c>
      <c r="G13661" s="49" t="str">
        <f t="shared" si="1"/>
        <v>21700</v>
      </c>
      <c r="H13661" s="49">
        <f t="shared" si="2"/>
        <v>21001</v>
      </c>
    </row>
    <row r="13662">
      <c r="A13662" s="48" t="s">
        <v>17909</v>
      </c>
      <c r="B13662" s="38">
        <v>25079.0</v>
      </c>
      <c r="C13662" s="38" t="s">
        <v>17910</v>
      </c>
      <c r="D13662" s="38" t="str">
        <f>IFERROR(__xludf.DUMMYFUNCTION("REGEXREPLACE(C13662,""-\d+(.*)|--\d+(.*)"","""")"),"BOUJAILLES")</f>
        <v>BOUJAILLES</v>
      </c>
      <c r="E13662" s="38" t="s">
        <v>213</v>
      </c>
      <c r="F13662" s="38" t="s">
        <v>214</v>
      </c>
      <c r="G13662" s="49" t="str">
        <f t="shared" si="1"/>
        <v>25560</v>
      </c>
      <c r="H13662" s="49">
        <f t="shared" si="2"/>
        <v>25079</v>
      </c>
    </row>
    <row r="13663">
      <c r="A13663" s="48" t="s">
        <v>2190</v>
      </c>
      <c r="B13663" s="38">
        <v>10370.0</v>
      </c>
      <c r="C13663" s="38" t="s">
        <v>17911</v>
      </c>
      <c r="D13663" s="38" t="str">
        <f>IFERROR(__xludf.DUMMYFUNCTION("REGEXREPLACE(C13663,""-\d+(.*)|--\d+(.*)"","""")"),"SOLIGNY-LES-ETANGS")</f>
        <v>SOLIGNY-LES-ETANGS</v>
      </c>
      <c r="E13663" s="38" t="s">
        <v>147</v>
      </c>
      <c r="F13663" s="38" t="s">
        <v>130</v>
      </c>
      <c r="G13663" s="49" t="str">
        <f t="shared" si="1"/>
        <v>10400</v>
      </c>
      <c r="H13663" s="49">
        <f t="shared" si="2"/>
        <v>10370</v>
      </c>
    </row>
    <row r="13664">
      <c r="A13664" s="48" t="s">
        <v>877</v>
      </c>
      <c r="B13664" s="38">
        <v>57589.0</v>
      </c>
      <c r="C13664" s="38" t="s">
        <v>17912</v>
      </c>
      <c r="D13664" s="38" t="str">
        <f>IFERROR(__xludf.DUMMYFUNCTION("REGEXREPLACE(C13664,""-\d+(.*)|--\d+(.*)"","""")"),"ROHRBACH-LES-BITCHE")</f>
        <v>ROHRBACH-LES-BITCHE</v>
      </c>
      <c r="E13664" s="38" t="s">
        <v>303</v>
      </c>
      <c r="F13664" s="38" t="s">
        <v>195</v>
      </c>
      <c r="G13664" s="49" t="str">
        <f t="shared" si="1"/>
        <v>57410</v>
      </c>
      <c r="H13664" s="49">
        <f t="shared" si="2"/>
        <v>57589</v>
      </c>
    </row>
    <row r="13665">
      <c r="A13665" s="48" t="s">
        <v>8059</v>
      </c>
      <c r="B13665" s="38">
        <v>70186.0</v>
      </c>
      <c r="C13665" s="38" t="s">
        <v>17913</v>
      </c>
      <c r="D13665" s="38" t="str">
        <f>IFERROR(__xludf.DUMMYFUNCTION("REGEXREPLACE(C13665,""-\d+(.*)|--\d+(.*)"","""")"),"LA CREUSE")</f>
        <v>LA CREUSE</v>
      </c>
      <c r="E13665" s="38" t="s">
        <v>956</v>
      </c>
      <c r="F13665" s="38" t="s">
        <v>214</v>
      </c>
      <c r="G13665" s="49" t="str">
        <f t="shared" si="1"/>
        <v>70240</v>
      </c>
      <c r="H13665" s="49">
        <f t="shared" si="2"/>
        <v>70186</v>
      </c>
    </row>
    <row r="13666">
      <c r="A13666" s="48" t="s">
        <v>17914</v>
      </c>
      <c r="B13666" s="38">
        <v>63276.0</v>
      </c>
      <c r="C13666" s="38" t="s">
        <v>17915</v>
      </c>
      <c r="D13666" s="38" t="str">
        <f>IFERROR(__xludf.DUMMYFUNCTION("REGEXREPLACE(C13666,""-\d+(.*)|--\d+(.*)"","""")"),"PESCHADOIRES")</f>
        <v>PESCHADOIRES</v>
      </c>
      <c r="E13666" s="38" t="s">
        <v>353</v>
      </c>
      <c r="F13666" s="38" t="s">
        <v>161</v>
      </c>
      <c r="G13666" s="49" t="str">
        <f t="shared" si="1"/>
        <v>63920</v>
      </c>
      <c r="H13666" s="49">
        <f t="shared" si="2"/>
        <v>63276</v>
      </c>
    </row>
    <row r="13667">
      <c r="A13667" s="48" t="s">
        <v>17916</v>
      </c>
      <c r="B13667" s="38">
        <v>59455.0</v>
      </c>
      <c r="C13667" s="38" t="s">
        <v>17917</v>
      </c>
      <c r="D13667" s="38" t="str">
        <f>IFERROR(__xludf.DUMMYFUNCTION("REGEXREPLACE(C13667,""-\d+(.*)|--\d+(.*)"","""")"),"PAILLENCOURT")</f>
        <v>PAILLENCOURT</v>
      </c>
      <c r="E13667" s="38" t="s">
        <v>85</v>
      </c>
      <c r="F13667" s="38" t="s">
        <v>86</v>
      </c>
      <c r="G13667" s="49" t="str">
        <f t="shared" si="1"/>
        <v>59295</v>
      </c>
      <c r="H13667" s="49">
        <f t="shared" si="2"/>
        <v>59455</v>
      </c>
    </row>
    <row r="13668">
      <c r="A13668" s="48" t="s">
        <v>10286</v>
      </c>
      <c r="B13668" s="38" t="s">
        <v>17918</v>
      </c>
      <c r="C13668" s="38" t="s">
        <v>17919</v>
      </c>
      <c r="D13668" s="38" t="str">
        <f>IFERROR(__xludf.DUMMYFUNCTION("REGEXREPLACE(C13668,""-\d+(.*)|--\d+(.*)"","""")"),"PATRIMONIO")</f>
        <v>PATRIMONIO</v>
      </c>
      <c r="E13668" s="38" t="s">
        <v>743</v>
      </c>
      <c r="F13668" s="38" t="s">
        <v>607</v>
      </c>
      <c r="G13668" s="49" t="str">
        <f t="shared" si="1"/>
        <v>20253</v>
      </c>
      <c r="H13668" s="49" t="str">
        <f t="shared" si="2"/>
        <v>2B205</v>
      </c>
    </row>
    <row r="13669">
      <c r="A13669" s="48" t="s">
        <v>3735</v>
      </c>
      <c r="B13669" s="38">
        <v>28272.0</v>
      </c>
      <c r="C13669" s="38" t="s">
        <v>17920</v>
      </c>
      <c r="D13669" s="38" t="str">
        <f>IFERROR(__xludf.DUMMYFUNCTION("REGEXREPLACE(C13669,""-\d+(.*)|--\d+(.*)"","""")"),"MOTTEREAU")</f>
        <v>MOTTEREAU</v>
      </c>
      <c r="E13669" s="38" t="s">
        <v>300</v>
      </c>
      <c r="F13669" s="38" t="s">
        <v>123</v>
      </c>
      <c r="G13669" s="49" t="str">
        <f t="shared" si="1"/>
        <v>28160</v>
      </c>
      <c r="H13669" s="49">
        <f t="shared" si="2"/>
        <v>28272</v>
      </c>
    </row>
    <row r="13670">
      <c r="A13670" s="48" t="s">
        <v>1777</v>
      </c>
      <c r="B13670" s="38">
        <v>10324.0</v>
      </c>
      <c r="C13670" s="38" t="s">
        <v>17921</v>
      </c>
      <c r="D13670" s="38" t="str">
        <f>IFERROR(__xludf.DUMMYFUNCTION("REGEXREPLACE(C13670,""-\d+(.*)|--\d+(.*)"","""")"),"RONCENAY")</f>
        <v>RONCENAY</v>
      </c>
      <c r="E13670" s="38" t="s">
        <v>147</v>
      </c>
      <c r="F13670" s="38" t="s">
        <v>130</v>
      </c>
      <c r="G13670" s="49" t="str">
        <f t="shared" si="1"/>
        <v>10320</v>
      </c>
      <c r="H13670" s="49">
        <f t="shared" si="2"/>
        <v>10324</v>
      </c>
    </row>
    <row r="13671">
      <c r="A13671" s="48" t="s">
        <v>3387</v>
      </c>
      <c r="B13671" s="38">
        <v>34321.0</v>
      </c>
      <c r="C13671" s="38" t="s">
        <v>17922</v>
      </c>
      <c r="D13671" s="38" t="str">
        <f>IFERROR(__xludf.DUMMYFUNCTION("REGEXREPLACE(C13671,""-\d+(.*)|--\d+(.*)"","""")"),"VALERGUES")</f>
        <v>VALERGUES</v>
      </c>
      <c r="E13671" s="38" t="s">
        <v>118</v>
      </c>
      <c r="F13671" s="38" t="s">
        <v>119</v>
      </c>
      <c r="G13671" s="49" t="str">
        <f t="shared" si="1"/>
        <v>34130</v>
      </c>
      <c r="H13671" s="49">
        <f t="shared" si="2"/>
        <v>34321</v>
      </c>
    </row>
    <row r="13672">
      <c r="A13672" s="48" t="s">
        <v>7375</v>
      </c>
      <c r="B13672" s="38">
        <v>91232.0</v>
      </c>
      <c r="C13672" s="38" t="s">
        <v>17923</v>
      </c>
      <c r="D13672" s="38" t="str">
        <f>IFERROR(__xludf.DUMMYFUNCTION("REGEXREPLACE(C13672,""-\d+(.*)|--\d+(.*)"","""")"),"LA FERTE-ALAIS")</f>
        <v>LA FERTE-ALAIS</v>
      </c>
      <c r="E13672" s="38" t="s">
        <v>756</v>
      </c>
      <c r="F13672" s="38" t="s">
        <v>245</v>
      </c>
      <c r="G13672" s="49" t="str">
        <f t="shared" si="1"/>
        <v>91590</v>
      </c>
      <c r="H13672" s="49">
        <f t="shared" si="2"/>
        <v>91232</v>
      </c>
    </row>
    <row r="13673">
      <c r="A13673" s="48" t="s">
        <v>206</v>
      </c>
      <c r="B13673" s="38">
        <v>10353.0</v>
      </c>
      <c r="C13673" s="38" t="s">
        <v>17924</v>
      </c>
      <c r="D13673" s="38" t="str">
        <f>IFERROR(__xludf.DUMMYFUNCTION("REGEXREPLACE(C13673,""-\d+(.*)|--\d+(.*)"","""")"),"SAINT-MESMIN")</f>
        <v>SAINT-MESMIN</v>
      </c>
      <c r="E13673" s="38" t="s">
        <v>147</v>
      </c>
      <c r="F13673" s="38" t="s">
        <v>130</v>
      </c>
      <c r="G13673" s="49" t="str">
        <f t="shared" si="1"/>
        <v>10280</v>
      </c>
      <c r="H13673" s="49">
        <f t="shared" si="2"/>
        <v>10353</v>
      </c>
    </row>
    <row r="13674">
      <c r="A13674" s="48" t="s">
        <v>2868</v>
      </c>
      <c r="B13674" s="38">
        <v>80101.0</v>
      </c>
      <c r="C13674" s="38" t="s">
        <v>17925</v>
      </c>
      <c r="D13674" s="38" t="str">
        <f>IFERROR(__xludf.DUMMYFUNCTION("REGEXREPLACE(C13674,""-\d+(.*)|--\d+(.*)"","""")"),"BEUVRAIGNES")</f>
        <v>BEUVRAIGNES</v>
      </c>
      <c r="E13674" s="38" t="s">
        <v>224</v>
      </c>
      <c r="F13674" s="38" t="s">
        <v>113</v>
      </c>
      <c r="G13674" s="49" t="str">
        <f t="shared" si="1"/>
        <v>80700</v>
      </c>
      <c r="H13674" s="49">
        <f t="shared" si="2"/>
        <v>80101</v>
      </c>
    </row>
    <row r="13675">
      <c r="A13675" s="48" t="s">
        <v>12047</v>
      </c>
      <c r="B13675" s="38">
        <v>66198.0</v>
      </c>
      <c r="C13675" s="38" t="s">
        <v>17926</v>
      </c>
      <c r="D13675" s="38" t="str">
        <f>IFERROR(__xludf.DUMMYFUNCTION("REGEXREPLACE(C13675,""-\d+(.*)|--\d+(.*)"","""")"),"SOURNIA")</f>
        <v>SOURNIA</v>
      </c>
      <c r="E13675" s="38" t="s">
        <v>248</v>
      </c>
      <c r="F13675" s="38" t="s">
        <v>119</v>
      </c>
      <c r="G13675" s="49" t="str">
        <f t="shared" si="1"/>
        <v>66730</v>
      </c>
      <c r="H13675" s="49">
        <f t="shared" si="2"/>
        <v>66198</v>
      </c>
    </row>
    <row r="13676">
      <c r="A13676" s="48" t="s">
        <v>17927</v>
      </c>
      <c r="B13676" s="38">
        <v>77055.0</v>
      </c>
      <c r="C13676" s="38" t="s">
        <v>17928</v>
      </c>
      <c r="D13676" s="38" t="str">
        <f>IFERROR(__xludf.DUMMYFUNCTION("REGEXREPLACE(C13676,""-\d+(.*)|--\d+(.*)"","""")"),"BROU-SUR-CHANTEREINE")</f>
        <v>BROU-SUR-CHANTEREINE</v>
      </c>
      <c r="E13676" s="38" t="s">
        <v>244</v>
      </c>
      <c r="F13676" s="38" t="s">
        <v>245</v>
      </c>
      <c r="G13676" s="49" t="str">
        <f t="shared" si="1"/>
        <v>77177</v>
      </c>
      <c r="H13676" s="49">
        <f t="shared" si="2"/>
        <v>77055</v>
      </c>
    </row>
    <row r="13677">
      <c r="A13677" s="48" t="s">
        <v>4247</v>
      </c>
      <c r="B13677" s="38">
        <v>59568.0</v>
      </c>
      <c r="C13677" s="38" t="s">
        <v>17929</v>
      </c>
      <c r="D13677" s="38" t="str">
        <f>IFERROR(__xludf.DUMMYFUNCTION("REGEXREPLACE(C13677,""-\d+(.*)|--\d+(.*)"","""")"),"SERCUS")</f>
        <v>SERCUS</v>
      </c>
      <c r="E13677" s="38" t="s">
        <v>85</v>
      </c>
      <c r="F13677" s="38" t="s">
        <v>86</v>
      </c>
      <c r="G13677" s="49" t="str">
        <f t="shared" si="1"/>
        <v>59173</v>
      </c>
      <c r="H13677" s="49">
        <f t="shared" si="2"/>
        <v>59568</v>
      </c>
    </row>
    <row r="13678">
      <c r="A13678" s="48" t="s">
        <v>1598</v>
      </c>
      <c r="B13678" s="38">
        <v>77137.0</v>
      </c>
      <c r="C13678" s="38" t="s">
        <v>17930</v>
      </c>
      <c r="D13678" s="38" t="str">
        <f>IFERROR(__xludf.DUMMYFUNCTION("REGEXREPLACE(C13678,""-\d+(.*)|--\d+(.*)"","""")"),"COURTACON")</f>
        <v>COURTACON</v>
      </c>
      <c r="E13678" s="38" t="s">
        <v>244</v>
      </c>
      <c r="F13678" s="38" t="s">
        <v>245</v>
      </c>
      <c r="G13678" s="49" t="str">
        <f t="shared" si="1"/>
        <v>77560</v>
      </c>
      <c r="H13678" s="49">
        <f t="shared" si="2"/>
        <v>77137</v>
      </c>
    </row>
    <row r="13679">
      <c r="A13679" s="48" t="s">
        <v>5687</v>
      </c>
      <c r="B13679" s="38">
        <v>3115.0</v>
      </c>
      <c r="C13679" s="38" t="s">
        <v>17931</v>
      </c>
      <c r="D13679" s="38" t="str">
        <f>IFERROR(__xludf.DUMMYFUNCTION("REGEXREPLACE(C13679,""-\d+(.*)|--\d+(.*)"","""")"),"FLEURIEL")</f>
        <v>FLEURIEL</v>
      </c>
      <c r="E13679" s="38" t="s">
        <v>160</v>
      </c>
      <c r="F13679" s="38" t="s">
        <v>161</v>
      </c>
      <c r="G13679" s="49" t="str">
        <f t="shared" si="1"/>
        <v>03140</v>
      </c>
      <c r="H13679" s="49" t="str">
        <f t="shared" si="2"/>
        <v>03115</v>
      </c>
    </row>
    <row r="13680">
      <c r="A13680" s="48" t="s">
        <v>3920</v>
      </c>
      <c r="B13680" s="38">
        <v>50024.0</v>
      </c>
      <c r="C13680" s="38" t="s">
        <v>17932</v>
      </c>
      <c r="D13680" s="38" t="str">
        <f>IFERROR(__xludf.DUMMYFUNCTION("REGEXREPLACE(C13680,""-\d+(.*)|--\d+(.*)"","""")"),"AUXAIS")</f>
        <v>AUXAIS</v>
      </c>
      <c r="E13680" s="38" t="s">
        <v>157</v>
      </c>
      <c r="F13680" s="38" t="s">
        <v>138</v>
      </c>
      <c r="G13680" s="49" t="str">
        <f t="shared" si="1"/>
        <v>50500</v>
      </c>
      <c r="H13680" s="49">
        <f t="shared" si="2"/>
        <v>50024</v>
      </c>
    </row>
    <row r="13681">
      <c r="A13681" s="48" t="s">
        <v>1208</v>
      </c>
      <c r="B13681" s="38">
        <v>32333.0</v>
      </c>
      <c r="C13681" s="38" t="s">
        <v>17933</v>
      </c>
      <c r="D13681" s="38" t="str">
        <f>IFERROR(__xludf.DUMMYFUNCTION("REGEXREPLACE(C13681,""-\d+(.*)|--\d+(.*)"","""")"),"PROJAN")</f>
        <v>PROJAN</v>
      </c>
      <c r="E13681" s="38" t="s">
        <v>440</v>
      </c>
      <c r="F13681" s="38" t="s">
        <v>94</v>
      </c>
      <c r="G13681" s="49" t="str">
        <f t="shared" si="1"/>
        <v>32400</v>
      </c>
      <c r="H13681" s="49">
        <f t="shared" si="2"/>
        <v>32333</v>
      </c>
    </row>
    <row r="13682">
      <c r="A13682" s="48" t="s">
        <v>17934</v>
      </c>
      <c r="B13682" s="38">
        <v>67084.0</v>
      </c>
      <c r="C13682" s="38" t="s">
        <v>17935</v>
      </c>
      <c r="D13682" s="38" t="str">
        <f>IFERROR(__xludf.DUMMYFUNCTION("REGEXREPLACE(C13682,""-\d+(.*)|--\d+(.*)"","""")"),"DAMBACH-LA-VILLE")</f>
        <v>DAMBACH-LA-VILLE</v>
      </c>
      <c r="E13682" s="38" t="s">
        <v>210</v>
      </c>
      <c r="F13682" s="38" t="s">
        <v>151</v>
      </c>
      <c r="G13682" s="49" t="str">
        <f t="shared" si="1"/>
        <v>67650</v>
      </c>
      <c r="H13682" s="49">
        <f t="shared" si="2"/>
        <v>67084</v>
      </c>
    </row>
    <row r="13683">
      <c r="A13683" s="48" t="s">
        <v>2738</v>
      </c>
      <c r="B13683" s="38">
        <v>69281.0</v>
      </c>
      <c r="C13683" s="38" t="s">
        <v>9462</v>
      </c>
      <c r="D13683" s="38" t="str">
        <f>IFERROR(__xludf.DUMMYFUNCTION("REGEXREPLACE(C13683,""-\d+(.*)|--\d+(.*)"","""")"),"MARENNES")</f>
        <v>MARENNES</v>
      </c>
      <c r="E13683" s="38" t="s">
        <v>350</v>
      </c>
      <c r="F13683" s="38" t="s">
        <v>102</v>
      </c>
      <c r="G13683" s="49" t="str">
        <f t="shared" si="1"/>
        <v>69970</v>
      </c>
      <c r="H13683" s="49">
        <f t="shared" si="2"/>
        <v>69281</v>
      </c>
    </row>
    <row r="13684">
      <c r="A13684" s="48" t="s">
        <v>719</v>
      </c>
      <c r="B13684" s="38">
        <v>8482.0</v>
      </c>
      <c r="C13684" s="38" t="s">
        <v>17936</v>
      </c>
      <c r="D13684" s="38" t="str">
        <f>IFERROR(__xludf.DUMMYFUNCTION("REGEXREPLACE(C13684,""-\d+(.*)|--\d+(.*)"","""")"),"VILLERS-SUR-LE-MONT")</f>
        <v>VILLERS-SUR-LE-MONT</v>
      </c>
      <c r="E13684" s="38" t="s">
        <v>327</v>
      </c>
      <c r="F13684" s="38" t="s">
        <v>130</v>
      </c>
      <c r="G13684" s="49" t="str">
        <f t="shared" si="1"/>
        <v>08430</v>
      </c>
      <c r="H13684" s="49" t="str">
        <f t="shared" si="2"/>
        <v>08482</v>
      </c>
    </row>
    <row r="13685">
      <c r="A13685" s="48" t="s">
        <v>4682</v>
      </c>
      <c r="B13685" s="38">
        <v>50486.0</v>
      </c>
      <c r="C13685" s="38" t="s">
        <v>17937</v>
      </c>
      <c r="D13685" s="38" t="str">
        <f>IFERROR(__xludf.DUMMYFUNCTION("REGEXREPLACE(C13685,""-\d+(.*)|--\d+(.*)"","""")"),"SAINT-JACQUES-DE-NEHOU")</f>
        <v>SAINT-JACQUES-DE-NEHOU</v>
      </c>
      <c r="E13685" s="38" t="s">
        <v>157</v>
      </c>
      <c r="F13685" s="38" t="s">
        <v>138</v>
      </c>
      <c r="G13685" s="49" t="str">
        <f t="shared" si="1"/>
        <v>50390</v>
      </c>
      <c r="H13685" s="49">
        <f t="shared" si="2"/>
        <v>50486</v>
      </c>
    </row>
    <row r="13686">
      <c r="A13686" s="48" t="s">
        <v>1428</v>
      </c>
      <c r="B13686" s="38">
        <v>31531.0</v>
      </c>
      <c r="C13686" s="38" t="s">
        <v>17938</v>
      </c>
      <c r="D13686" s="38" t="str">
        <f>IFERROR(__xludf.DUMMYFUNCTION("REGEXREPLACE(C13686,""-\d+(.*)|--\d+(.*)"","""")"),"SARRECAVE")</f>
        <v>SARRECAVE</v>
      </c>
      <c r="E13686" s="38" t="s">
        <v>93</v>
      </c>
      <c r="F13686" s="38" t="s">
        <v>94</v>
      </c>
      <c r="G13686" s="49" t="str">
        <f t="shared" si="1"/>
        <v>31350</v>
      </c>
      <c r="H13686" s="49">
        <f t="shared" si="2"/>
        <v>31531</v>
      </c>
    </row>
    <row r="13687">
      <c r="A13687" s="48" t="s">
        <v>522</v>
      </c>
      <c r="B13687" s="38">
        <v>39517.0</v>
      </c>
      <c r="C13687" s="38" t="s">
        <v>17939</v>
      </c>
      <c r="D13687" s="38" t="str">
        <f>IFERROR(__xludf.DUMMYFUNCTION("REGEXREPLACE(C13687,""-\d+(.*)|--\d+(.*)"","""")"),"SIROD")</f>
        <v>SIROD</v>
      </c>
      <c r="E13687" s="38" t="s">
        <v>400</v>
      </c>
      <c r="F13687" s="38" t="s">
        <v>214</v>
      </c>
      <c r="G13687" s="49" t="str">
        <f t="shared" si="1"/>
        <v>39300</v>
      </c>
      <c r="H13687" s="49">
        <f t="shared" si="2"/>
        <v>39517</v>
      </c>
    </row>
    <row r="13688">
      <c r="A13688" s="48" t="s">
        <v>5268</v>
      </c>
      <c r="B13688" s="38">
        <v>49277.0</v>
      </c>
      <c r="C13688" s="38" t="s">
        <v>17940</v>
      </c>
      <c r="D13688" s="38" t="str">
        <f>IFERROR(__xludf.DUMMYFUNCTION("REGEXREPLACE(C13688,""-\d+(.*)|--\d+(.*)"","""")"),"SAINTE-GEMMES-D'ANDIGNE")</f>
        <v>SAINTE-GEMMES-D'ANDIGNE</v>
      </c>
      <c r="E13688" s="38" t="s">
        <v>653</v>
      </c>
      <c r="F13688" s="38" t="s">
        <v>180</v>
      </c>
      <c r="G13688" s="49" t="str">
        <f t="shared" si="1"/>
        <v>49500</v>
      </c>
      <c r="H13688" s="49">
        <f t="shared" si="2"/>
        <v>49277</v>
      </c>
    </row>
    <row r="13689">
      <c r="A13689" s="48" t="s">
        <v>2382</v>
      </c>
      <c r="B13689" s="38">
        <v>54135.0</v>
      </c>
      <c r="C13689" s="38" t="s">
        <v>17941</v>
      </c>
      <c r="D13689" s="38" t="str">
        <f>IFERROR(__xludf.DUMMYFUNCTION("REGEXREPLACE(C13689,""-\d+(.*)|--\d+(.*)"","""")"),"COLOMBEY-LES-BELLES")</f>
        <v>COLOMBEY-LES-BELLES</v>
      </c>
      <c r="E13689" s="38" t="s">
        <v>548</v>
      </c>
      <c r="F13689" s="38" t="s">
        <v>195</v>
      </c>
      <c r="G13689" s="49" t="str">
        <f t="shared" si="1"/>
        <v>54170</v>
      </c>
      <c r="H13689" s="49">
        <f t="shared" si="2"/>
        <v>54135</v>
      </c>
    </row>
    <row r="13690">
      <c r="A13690" s="48" t="s">
        <v>8757</v>
      </c>
      <c r="B13690" s="38">
        <v>84047.0</v>
      </c>
      <c r="C13690" s="38" t="s">
        <v>7909</v>
      </c>
      <c r="D13690" s="38" t="str">
        <f>IFERROR(__xludf.DUMMYFUNCTION("REGEXREPLACE(C13690,""-\d+(.*)|--\d+(.*)"","""")"),"GARGAS")</f>
        <v>GARGAS</v>
      </c>
      <c r="E13690" s="38" t="s">
        <v>1026</v>
      </c>
      <c r="F13690" s="38" t="s">
        <v>228</v>
      </c>
      <c r="G13690" s="49" t="str">
        <f t="shared" si="1"/>
        <v>84400</v>
      </c>
      <c r="H13690" s="49">
        <f t="shared" si="2"/>
        <v>84047</v>
      </c>
    </row>
    <row r="13691">
      <c r="A13691" s="48" t="s">
        <v>10167</v>
      </c>
      <c r="B13691" s="38">
        <v>77510.0</v>
      </c>
      <c r="C13691" s="38" t="s">
        <v>17942</v>
      </c>
      <c r="D13691" s="38" t="str">
        <f>IFERROR(__xludf.DUMMYFUNCTION("REGEXREPLACE(C13691,""-\d+(.*)|--\d+(.*)"","""")"),"VILLENEUVE-SAINT-DENIS")</f>
        <v>VILLENEUVE-SAINT-DENIS</v>
      </c>
      <c r="E13691" s="38" t="s">
        <v>244</v>
      </c>
      <c r="F13691" s="38" t="s">
        <v>245</v>
      </c>
      <c r="G13691" s="49" t="str">
        <f t="shared" si="1"/>
        <v>77174</v>
      </c>
      <c r="H13691" s="49">
        <f t="shared" si="2"/>
        <v>77510</v>
      </c>
    </row>
    <row r="13692">
      <c r="A13692" s="48" t="s">
        <v>17943</v>
      </c>
      <c r="B13692" s="38">
        <v>60560.0</v>
      </c>
      <c r="C13692" s="38" t="s">
        <v>17944</v>
      </c>
      <c r="D13692" s="38" t="str">
        <f>IFERROR(__xludf.DUMMYFUNCTION("REGEXREPLACE(C13692,""-\d+(.*)|--\d+(.*)"","""")"),"RULLY")</f>
        <v>RULLY</v>
      </c>
      <c r="E13692" s="38" t="s">
        <v>112</v>
      </c>
      <c r="F13692" s="38" t="s">
        <v>113</v>
      </c>
      <c r="G13692" s="49" t="str">
        <f t="shared" si="1"/>
        <v>60810</v>
      </c>
      <c r="H13692" s="49">
        <f t="shared" si="2"/>
        <v>60560</v>
      </c>
    </row>
    <row r="13693">
      <c r="A13693" s="48" t="s">
        <v>1290</v>
      </c>
      <c r="B13693" s="38">
        <v>21003.0</v>
      </c>
      <c r="C13693" s="38" t="s">
        <v>17945</v>
      </c>
      <c r="D13693" s="38" t="str">
        <f>IFERROR(__xludf.DUMMYFUNCTION("REGEXREPLACE(C13693,""-\d+(.*)|--\d+(.*)"","""")"),"AHUY")</f>
        <v>AHUY</v>
      </c>
      <c r="E13693" s="38" t="s">
        <v>105</v>
      </c>
      <c r="F13693" s="38" t="s">
        <v>106</v>
      </c>
      <c r="G13693" s="49" t="str">
        <f t="shared" si="1"/>
        <v>21121</v>
      </c>
      <c r="H13693" s="49">
        <f t="shared" si="2"/>
        <v>21003</v>
      </c>
    </row>
    <row r="13694">
      <c r="A13694" s="48" t="s">
        <v>17946</v>
      </c>
      <c r="B13694" s="38">
        <v>58088.0</v>
      </c>
      <c r="C13694" s="38" t="s">
        <v>17947</v>
      </c>
      <c r="D13694" s="38" t="str">
        <f>IFERROR(__xludf.DUMMYFUNCTION("REGEXREPLACE(C13694,""-\d+(.*)|--\d+(.*)"","""")"),"COULANGES-LES-NEVERS")</f>
        <v>COULANGES-LES-NEVERS</v>
      </c>
      <c r="E13694" s="38" t="s">
        <v>219</v>
      </c>
      <c r="F13694" s="38" t="s">
        <v>106</v>
      </c>
      <c r="G13694" s="49" t="str">
        <f t="shared" si="1"/>
        <v>58660</v>
      </c>
      <c r="H13694" s="49">
        <f t="shared" si="2"/>
        <v>58088</v>
      </c>
    </row>
    <row r="13695">
      <c r="A13695" s="48" t="s">
        <v>736</v>
      </c>
      <c r="B13695" s="38">
        <v>57251.0</v>
      </c>
      <c r="C13695" s="38" t="s">
        <v>17948</v>
      </c>
      <c r="D13695" s="38" t="str">
        <f>IFERROR(__xludf.DUMMYFUNCTION("REGEXREPLACE(C13695,""-\d+(.*)|--\d+(.*)"","""")"),"GOIN")</f>
        <v>GOIN</v>
      </c>
      <c r="E13695" s="38" t="s">
        <v>303</v>
      </c>
      <c r="F13695" s="38" t="s">
        <v>195</v>
      </c>
      <c r="G13695" s="49" t="str">
        <f t="shared" si="1"/>
        <v>57420</v>
      </c>
      <c r="H13695" s="49">
        <f t="shared" si="2"/>
        <v>57251</v>
      </c>
    </row>
    <row r="13696">
      <c r="A13696" s="48" t="s">
        <v>5311</v>
      </c>
      <c r="B13696" s="38">
        <v>55133.0</v>
      </c>
      <c r="C13696" s="38" t="s">
        <v>17949</v>
      </c>
      <c r="D13696" s="38" t="str">
        <f>IFERROR(__xludf.DUMMYFUNCTION("REGEXREPLACE(C13696,""-\d+(.*)|--\d+(.*)"","""")"),"COUVERTPUIS")</f>
        <v>COUVERTPUIS</v>
      </c>
      <c r="E13696" s="38" t="s">
        <v>322</v>
      </c>
      <c r="F13696" s="38" t="s">
        <v>195</v>
      </c>
      <c r="G13696" s="49" t="str">
        <f t="shared" si="1"/>
        <v>55290</v>
      </c>
      <c r="H13696" s="49">
        <f t="shared" si="2"/>
        <v>55133</v>
      </c>
    </row>
    <row r="13697">
      <c r="A13697" s="48" t="s">
        <v>83</v>
      </c>
      <c r="B13697" s="38">
        <v>59308.0</v>
      </c>
      <c r="C13697" s="38" t="s">
        <v>17950</v>
      </c>
      <c r="D13697" s="38" t="str">
        <f>IFERROR(__xludf.DUMMYFUNCTION("REGEXREPLACE(C13697,""-\d+(.*)|--\d+(.*)"","""")"),"HONDEGHEM")</f>
        <v>HONDEGHEM</v>
      </c>
      <c r="E13697" s="38" t="s">
        <v>85</v>
      </c>
      <c r="F13697" s="38" t="s">
        <v>86</v>
      </c>
      <c r="G13697" s="49" t="str">
        <f t="shared" si="1"/>
        <v>59190</v>
      </c>
      <c r="H13697" s="49">
        <f t="shared" si="2"/>
        <v>59308</v>
      </c>
    </row>
    <row r="13698">
      <c r="A13698" s="48" t="s">
        <v>11801</v>
      </c>
      <c r="B13698" s="38">
        <v>38400.0</v>
      </c>
      <c r="C13698" s="38" t="s">
        <v>17951</v>
      </c>
      <c r="D13698" s="38" t="str">
        <f>IFERROR(__xludf.DUMMYFUNCTION("REGEXREPLACE(C13698,""-\d+(.*)|--\d+(.*)"","""")"),"SAINT-JEAN-DE-MOIRANS")</f>
        <v>SAINT-JEAN-DE-MOIRANS</v>
      </c>
      <c r="E13698" s="38" t="s">
        <v>101</v>
      </c>
      <c r="F13698" s="38" t="s">
        <v>102</v>
      </c>
      <c r="G13698" s="49" t="str">
        <f t="shared" si="1"/>
        <v>38430</v>
      </c>
      <c r="H13698" s="49">
        <f t="shared" si="2"/>
        <v>38400</v>
      </c>
    </row>
    <row r="13699">
      <c r="A13699" s="48" t="s">
        <v>17859</v>
      </c>
      <c r="B13699" s="38">
        <v>40214.0</v>
      </c>
      <c r="C13699" s="38" t="s">
        <v>17952</v>
      </c>
      <c r="D13699" s="38" t="str">
        <f>IFERROR(__xludf.DUMMYFUNCTION("REGEXREPLACE(C13699,""-\d+(.*)|--\d+(.*)"","""")"),"OSSAGES")</f>
        <v>OSSAGES</v>
      </c>
      <c r="E13699" s="38" t="s">
        <v>281</v>
      </c>
      <c r="F13699" s="38" t="s">
        <v>252</v>
      </c>
      <c r="G13699" s="49" t="str">
        <f t="shared" si="1"/>
        <v>40290</v>
      </c>
      <c r="H13699" s="49">
        <f t="shared" si="2"/>
        <v>40214</v>
      </c>
    </row>
    <row r="13700">
      <c r="A13700" s="48" t="s">
        <v>8019</v>
      </c>
      <c r="B13700" s="38">
        <v>53110.0</v>
      </c>
      <c r="C13700" s="38" t="s">
        <v>17953</v>
      </c>
      <c r="D13700" s="38" t="str">
        <f>IFERROR(__xludf.DUMMYFUNCTION("REGEXREPLACE(C13700,""-\d+(.*)|--\d+(.*)"","""")"),"GREZ-EN-BOUERE")</f>
        <v>GREZ-EN-BOUERE</v>
      </c>
      <c r="E13700" s="38" t="s">
        <v>518</v>
      </c>
      <c r="F13700" s="38" t="s">
        <v>180</v>
      </c>
      <c r="G13700" s="49" t="str">
        <f t="shared" si="1"/>
        <v>53290</v>
      </c>
      <c r="H13700" s="49">
        <f t="shared" si="2"/>
        <v>53110</v>
      </c>
    </row>
    <row r="13701">
      <c r="A13701" s="48" t="s">
        <v>1197</v>
      </c>
      <c r="B13701" s="38">
        <v>73278.0</v>
      </c>
      <c r="C13701" s="38" t="s">
        <v>17954</v>
      </c>
      <c r="D13701" s="38" t="str">
        <f>IFERROR(__xludf.DUMMYFUNCTION("REGEXREPLACE(C13701,""-\d+(.*)|--\d+(.*)"","""")"),"SAINT-REMY-DE-MAURIENNE")</f>
        <v>SAINT-REMY-DE-MAURIENNE</v>
      </c>
      <c r="E13701" s="38" t="s">
        <v>306</v>
      </c>
      <c r="F13701" s="38" t="s">
        <v>102</v>
      </c>
      <c r="G13701" s="49" t="str">
        <f t="shared" si="1"/>
        <v>73660</v>
      </c>
      <c r="H13701" s="49">
        <f t="shared" si="2"/>
        <v>73278</v>
      </c>
    </row>
    <row r="13702">
      <c r="A13702" s="48" t="s">
        <v>10710</v>
      </c>
      <c r="B13702" s="38">
        <v>77219.0</v>
      </c>
      <c r="C13702" s="38" t="s">
        <v>17955</v>
      </c>
      <c r="D13702" s="38" t="str">
        <f>IFERROR(__xludf.DUMMYFUNCTION("REGEXREPLACE(C13702,""-\d+(.*)|--\d+(.*)"","""")"),"GUERARD")</f>
        <v>GUERARD</v>
      </c>
      <c r="E13702" s="38" t="s">
        <v>244</v>
      </c>
      <c r="F13702" s="38" t="s">
        <v>245</v>
      </c>
      <c r="G13702" s="49" t="str">
        <f t="shared" si="1"/>
        <v>77580</v>
      </c>
      <c r="H13702" s="49">
        <f t="shared" si="2"/>
        <v>77219</v>
      </c>
    </row>
    <row r="13703">
      <c r="A13703" s="48" t="s">
        <v>9018</v>
      </c>
      <c r="B13703" s="38">
        <v>27599.0</v>
      </c>
      <c r="C13703" s="38" t="s">
        <v>17956</v>
      </c>
      <c r="D13703" s="38" t="str">
        <f>IFERROR(__xludf.DUMMYFUNCTION("REGEXREPLACE(C13703,""-\d+(.*)|--\d+(.*)"","""")"),"SAINT-PIERRE-LA-GARENNE")</f>
        <v>SAINT-PIERRE-LA-GARENNE</v>
      </c>
      <c r="E13703" s="38" t="s">
        <v>241</v>
      </c>
      <c r="F13703" s="38" t="s">
        <v>134</v>
      </c>
      <c r="G13703" s="49" t="str">
        <f t="shared" si="1"/>
        <v>27600</v>
      </c>
      <c r="H13703" s="49">
        <f t="shared" si="2"/>
        <v>27599</v>
      </c>
    </row>
    <row r="13704">
      <c r="A13704" s="48" t="s">
        <v>1290</v>
      </c>
      <c r="B13704" s="38">
        <v>21315.0</v>
      </c>
      <c r="C13704" s="38" t="s">
        <v>17957</v>
      </c>
      <c r="D13704" s="38" t="str">
        <f>IFERROR(__xludf.DUMMYFUNCTION("REGEXREPLACE(C13704,""-\d+(.*)|--\d+(.*)"","""")"),"HAUTEVILLE-LES-DIJON")</f>
        <v>HAUTEVILLE-LES-DIJON</v>
      </c>
      <c r="E13704" s="38" t="s">
        <v>105</v>
      </c>
      <c r="F13704" s="38" t="s">
        <v>106</v>
      </c>
      <c r="G13704" s="49" t="str">
        <f t="shared" si="1"/>
        <v>21121</v>
      </c>
      <c r="H13704" s="49">
        <f t="shared" si="2"/>
        <v>21315</v>
      </c>
    </row>
    <row r="13705">
      <c r="A13705" s="48" t="s">
        <v>12753</v>
      </c>
      <c r="B13705" s="38">
        <v>49167.0</v>
      </c>
      <c r="C13705" s="38" t="s">
        <v>17958</v>
      </c>
      <c r="D13705" s="38" t="str">
        <f>IFERROR(__xludf.DUMMYFUNCTION("REGEXREPLACE(C13705,""-\d+(.*)|--\d+(.*)"","""")"),"JUIGNE-SUR-LOIRE")</f>
        <v>JUIGNE-SUR-LOIRE</v>
      </c>
      <c r="E13705" s="38" t="s">
        <v>653</v>
      </c>
      <c r="F13705" s="38" t="s">
        <v>180</v>
      </c>
      <c r="G13705" s="49" t="str">
        <f t="shared" si="1"/>
        <v>49610</v>
      </c>
      <c r="H13705" s="49">
        <f t="shared" si="2"/>
        <v>49167</v>
      </c>
    </row>
    <row r="13706">
      <c r="A13706" s="48" t="s">
        <v>3009</v>
      </c>
      <c r="B13706" s="38">
        <v>11044.0</v>
      </c>
      <c r="C13706" s="38" t="s">
        <v>17959</v>
      </c>
      <c r="D13706" s="38" t="str">
        <f>IFERROR(__xludf.DUMMYFUNCTION("REGEXREPLACE(C13706,""-\d+(.*)|--\d+(.*)"","""")"),"BOUISSE")</f>
        <v>BOUISSE</v>
      </c>
      <c r="E13706" s="38" t="s">
        <v>278</v>
      </c>
      <c r="F13706" s="38" t="s">
        <v>119</v>
      </c>
      <c r="G13706" s="49" t="str">
        <f t="shared" si="1"/>
        <v>11330</v>
      </c>
      <c r="H13706" s="49">
        <f t="shared" si="2"/>
        <v>11044</v>
      </c>
    </row>
    <row r="13707">
      <c r="A13707" s="48" t="s">
        <v>2886</v>
      </c>
      <c r="B13707" s="38">
        <v>89136.0</v>
      </c>
      <c r="C13707" s="38" t="s">
        <v>17960</v>
      </c>
      <c r="D13707" s="38" t="str">
        <f>IFERROR(__xludf.DUMMYFUNCTION("REGEXREPLACE(C13707,""-\d+(.*)|--\d+(.*)"","""")"),"CUY")</f>
        <v>CUY</v>
      </c>
      <c r="E13707" s="38" t="s">
        <v>275</v>
      </c>
      <c r="F13707" s="38" t="s">
        <v>106</v>
      </c>
      <c r="G13707" s="49" t="str">
        <f t="shared" si="1"/>
        <v>89140</v>
      </c>
      <c r="H13707" s="49">
        <f t="shared" si="2"/>
        <v>89136</v>
      </c>
    </row>
    <row r="13708">
      <c r="A13708" s="48" t="s">
        <v>5810</v>
      </c>
      <c r="B13708" s="38">
        <v>54241.0</v>
      </c>
      <c r="C13708" s="38" t="s">
        <v>17961</v>
      </c>
      <c r="D13708" s="38" t="str">
        <f>IFERROR(__xludf.DUMMYFUNCTION("REGEXREPLACE(C13708,""-\d+(.*)|--\d+(.*)"","""")"),"GUGNEY")</f>
        <v>GUGNEY</v>
      </c>
      <c r="E13708" s="38" t="s">
        <v>548</v>
      </c>
      <c r="F13708" s="38" t="s">
        <v>195</v>
      </c>
      <c r="G13708" s="49" t="str">
        <f t="shared" si="1"/>
        <v>54930</v>
      </c>
      <c r="H13708" s="49">
        <f t="shared" si="2"/>
        <v>54241</v>
      </c>
    </row>
    <row r="13709">
      <c r="A13709" s="48" t="s">
        <v>5777</v>
      </c>
      <c r="B13709" s="38">
        <v>74310.0</v>
      </c>
      <c r="C13709" s="38" t="s">
        <v>17962</v>
      </c>
      <c r="D13709" s="38" t="str">
        <f>IFERROR(__xludf.DUMMYFUNCTION("REGEXREPLACE(C13709,""-\d+(.*)|--\d+(.*)"","""")"),"VIUZ-LA-CHIESAZ")</f>
        <v>VIUZ-LA-CHIESAZ</v>
      </c>
      <c r="E13709" s="38" t="s">
        <v>319</v>
      </c>
      <c r="F13709" s="38" t="s">
        <v>102</v>
      </c>
      <c r="G13709" s="49" t="str">
        <f t="shared" si="1"/>
        <v>74540</v>
      </c>
      <c r="H13709" s="49">
        <f t="shared" si="2"/>
        <v>74310</v>
      </c>
    </row>
    <row r="13710">
      <c r="A13710" s="48" t="s">
        <v>5612</v>
      </c>
      <c r="B13710" s="38">
        <v>52062.0</v>
      </c>
      <c r="C13710" s="38" t="s">
        <v>17963</v>
      </c>
      <c r="D13710" s="38" t="str">
        <f>IFERROR(__xludf.DUMMYFUNCTION("REGEXREPLACE(C13710,""-\d+(.*)|--\d+(.*)"","""")"),"BOURG")</f>
        <v>BOURG</v>
      </c>
      <c r="E13710" s="38" t="s">
        <v>234</v>
      </c>
      <c r="F13710" s="38" t="s">
        <v>130</v>
      </c>
      <c r="G13710" s="49" t="str">
        <f t="shared" si="1"/>
        <v>52200</v>
      </c>
      <c r="H13710" s="49">
        <f t="shared" si="2"/>
        <v>52062</v>
      </c>
    </row>
    <row r="13711">
      <c r="A13711" s="48" t="s">
        <v>17181</v>
      </c>
      <c r="B13711" s="38">
        <v>35219.0</v>
      </c>
      <c r="C13711" s="38" t="s">
        <v>17964</v>
      </c>
      <c r="D13711" s="38" t="str">
        <f>IFERROR(__xludf.DUMMYFUNCTION("REGEXREPLACE(C13711,""-\d+(.*)|--\d+(.*)"","""")"),"PIPRIAC")</f>
        <v>PIPRIAC</v>
      </c>
      <c r="E13711" s="38" t="s">
        <v>347</v>
      </c>
      <c r="F13711" s="38" t="s">
        <v>90</v>
      </c>
      <c r="G13711" s="49" t="str">
        <f t="shared" si="1"/>
        <v>35550</v>
      </c>
      <c r="H13711" s="49">
        <f t="shared" si="2"/>
        <v>35219</v>
      </c>
    </row>
    <row r="13712">
      <c r="A13712" s="48" t="s">
        <v>8865</v>
      </c>
      <c r="B13712" s="38">
        <v>42172.0</v>
      </c>
      <c r="C13712" s="38" t="s">
        <v>17965</v>
      </c>
      <c r="D13712" s="38" t="str">
        <f>IFERROR(__xludf.DUMMYFUNCTION("REGEXREPLACE(C13712,""-\d+(.*)|--\d+(.*)"","""")"),"PLANFOY")</f>
        <v>PLANFOY</v>
      </c>
      <c r="E13712" s="38" t="s">
        <v>166</v>
      </c>
      <c r="F13712" s="38" t="s">
        <v>102</v>
      </c>
      <c r="G13712" s="49" t="str">
        <f t="shared" si="1"/>
        <v>42660</v>
      </c>
      <c r="H13712" s="49">
        <f t="shared" si="2"/>
        <v>42172</v>
      </c>
    </row>
    <row r="13713">
      <c r="A13713" s="48" t="s">
        <v>1991</v>
      </c>
      <c r="B13713" s="38">
        <v>54317.0</v>
      </c>
      <c r="C13713" s="38" t="s">
        <v>17966</v>
      </c>
      <c r="D13713" s="38" t="str">
        <f>IFERROR(__xludf.DUMMYFUNCTION("REGEXREPLACE(C13713,""-\d+(.*)|--\d+(.*)"","""")"),"LIRONVILLE")</f>
        <v>LIRONVILLE</v>
      </c>
      <c r="E13713" s="38" t="s">
        <v>548</v>
      </c>
      <c r="F13713" s="38" t="s">
        <v>195</v>
      </c>
      <c r="G13713" s="49" t="str">
        <f t="shared" si="1"/>
        <v>54470</v>
      </c>
      <c r="H13713" s="49">
        <f t="shared" si="2"/>
        <v>54317</v>
      </c>
    </row>
    <row r="13714">
      <c r="A13714" s="48" t="s">
        <v>4886</v>
      </c>
      <c r="B13714" s="38">
        <v>3234.0</v>
      </c>
      <c r="C13714" s="38" t="s">
        <v>17967</v>
      </c>
      <c r="D13714" s="38" t="str">
        <f>IFERROR(__xludf.DUMMYFUNCTION("REGEXREPLACE(C13714,""-\d+(.*)|--\d+(.*)"","""")"),"SAINT-GERAND-DE-VAUX")</f>
        <v>SAINT-GERAND-DE-VAUX</v>
      </c>
      <c r="E13714" s="38" t="s">
        <v>160</v>
      </c>
      <c r="F13714" s="38" t="s">
        <v>161</v>
      </c>
      <c r="G13714" s="49" t="str">
        <f t="shared" si="1"/>
        <v>03340</v>
      </c>
      <c r="H13714" s="49" t="str">
        <f t="shared" si="2"/>
        <v>03234</v>
      </c>
    </row>
    <row r="13715">
      <c r="A13715" s="48" t="s">
        <v>17968</v>
      </c>
      <c r="B13715" s="38">
        <v>29140.0</v>
      </c>
      <c r="C13715" s="38" t="s">
        <v>17969</v>
      </c>
      <c r="D13715" s="38" t="str">
        <f>IFERROR(__xludf.DUMMYFUNCTION("REGEXREPLACE(C13715,""-\d+(.*)|--\d+(.*)"","""")"),"LOPERHET")</f>
        <v>LOPERHET</v>
      </c>
      <c r="E13715" s="38" t="s">
        <v>176</v>
      </c>
      <c r="F13715" s="38" t="s">
        <v>90</v>
      </c>
      <c r="G13715" s="49" t="str">
        <f t="shared" si="1"/>
        <v>29470</v>
      </c>
      <c r="H13715" s="49">
        <f t="shared" si="2"/>
        <v>29140</v>
      </c>
    </row>
    <row r="13716">
      <c r="A13716" s="48" t="s">
        <v>4302</v>
      </c>
      <c r="B13716" s="38">
        <v>35166.0</v>
      </c>
      <c r="C13716" s="38" t="s">
        <v>17970</v>
      </c>
      <c r="D13716" s="38" t="str">
        <f>IFERROR(__xludf.DUMMYFUNCTION("REGEXREPLACE(C13716,""-\d+(.*)|--\d+(.*)"","""")"),"MARPIRE")</f>
        <v>MARPIRE</v>
      </c>
      <c r="E13716" s="38" t="s">
        <v>347</v>
      </c>
      <c r="F13716" s="38" t="s">
        <v>90</v>
      </c>
      <c r="G13716" s="49" t="str">
        <f t="shared" si="1"/>
        <v>35220</v>
      </c>
      <c r="H13716" s="49">
        <f t="shared" si="2"/>
        <v>35166</v>
      </c>
    </row>
    <row r="13717">
      <c r="A13717" s="48" t="s">
        <v>8680</v>
      </c>
      <c r="B13717" s="38">
        <v>72293.0</v>
      </c>
      <c r="C13717" s="38" t="s">
        <v>17971</v>
      </c>
      <c r="D13717" s="38" t="str">
        <f>IFERROR(__xludf.DUMMYFUNCTION("REGEXREPLACE(C13717,""-\d+(.*)|--\d+(.*)"","""")"),"SAINT-JEAN-DU-BOIS")</f>
        <v>SAINT-JEAN-DU-BOIS</v>
      </c>
      <c r="E13717" s="38" t="s">
        <v>521</v>
      </c>
      <c r="F13717" s="38" t="s">
        <v>180</v>
      </c>
      <c r="G13717" s="49" t="str">
        <f t="shared" si="1"/>
        <v>72430</v>
      </c>
      <c r="H13717" s="49">
        <f t="shared" si="2"/>
        <v>72293</v>
      </c>
    </row>
    <row r="13718">
      <c r="A13718" s="48" t="s">
        <v>17972</v>
      </c>
      <c r="B13718" s="38">
        <v>47001.0</v>
      </c>
      <c r="C13718" s="38" t="s">
        <v>17973</v>
      </c>
      <c r="D13718" s="38" t="str">
        <f>IFERROR(__xludf.DUMMYFUNCTION("REGEXREPLACE(C13718,""-\d+(.*)|--\d+(.*)"","""")"),"AGEN")</f>
        <v>AGEN</v>
      </c>
      <c r="E13718" s="38" t="s">
        <v>251</v>
      </c>
      <c r="F13718" s="38" t="s">
        <v>252</v>
      </c>
      <c r="G13718" s="49" t="str">
        <f t="shared" si="1"/>
        <v>47000</v>
      </c>
      <c r="H13718" s="49">
        <f t="shared" si="2"/>
        <v>47001</v>
      </c>
    </row>
    <row r="13719">
      <c r="A13719" s="48" t="s">
        <v>6633</v>
      </c>
      <c r="B13719" s="38">
        <v>64135.0</v>
      </c>
      <c r="C13719" s="38" t="s">
        <v>17974</v>
      </c>
      <c r="D13719" s="38" t="str">
        <f>IFERROR(__xludf.DUMMYFUNCTION("REGEXREPLACE(C13719,""-\d+(.*)|--\d+(.*)"","""")"),"BONNUT")</f>
        <v>BONNUT</v>
      </c>
      <c r="E13719" s="38" t="s">
        <v>268</v>
      </c>
      <c r="F13719" s="38" t="s">
        <v>252</v>
      </c>
      <c r="G13719" s="49" t="str">
        <f t="shared" si="1"/>
        <v>64300</v>
      </c>
      <c r="H13719" s="49">
        <f t="shared" si="2"/>
        <v>64135</v>
      </c>
    </row>
    <row r="13720">
      <c r="A13720" s="48" t="s">
        <v>5320</v>
      </c>
      <c r="B13720" s="38">
        <v>74076.0</v>
      </c>
      <c r="C13720" s="38" t="s">
        <v>17975</v>
      </c>
      <c r="D13720" s="38" t="str">
        <f>IFERROR(__xludf.DUMMYFUNCTION("REGEXREPLACE(C13720,""-\d+(.*)|--\d+(.*)"","""")"),"CHOISY")</f>
        <v>CHOISY</v>
      </c>
      <c r="E13720" s="38" t="s">
        <v>319</v>
      </c>
      <c r="F13720" s="38" t="s">
        <v>102</v>
      </c>
      <c r="G13720" s="49" t="str">
        <f t="shared" si="1"/>
        <v>74330</v>
      </c>
      <c r="H13720" s="49">
        <f t="shared" si="2"/>
        <v>74076</v>
      </c>
    </row>
    <row r="13721">
      <c r="A13721" s="48" t="s">
        <v>2077</v>
      </c>
      <c r="B13721" s="38">
        <v>8457.0</v>
      </c>
      <c r="C13721" s="38" t="s">
        <v>17976</v>
      </c>
      <c r="D13721" s="38" t="str">
        <f>IFERROR(__xludf.DUMMYFUNCTION("REGEXREPLACE(C13721,""-\d+(.*)|--\d+(.*)"","""")"),"TOURNES")</f>
        <v>TOURNES</v>
      </c>
      <c r="E13721" s="38" t="s">
        <v>327</v>
      </c>
      <c r="F13721" s="38" t="s">
        <v>130</v>
      </c>
      <c r="G13721" s="49" t="str">
        <f t="shared" si="1"/>
        <v>08090</v>
      </c>
      <c r="H13721" s="49" t="str">
        <f t="shared" si="2"/>
        <v>08457</v>
      </c>
    </row>
    <row r="13722">
      <c r="A13722" s="48" t="s">
        <v>17977</v>
      </c>
      <c r="B13722" s="38">
        <v>19072.0</v>
      </c>
      <c r="C13722" s="38" t="s">
        <v>17978</v>
      </c>
      <c r="D13722" s="38" t="str">
        <f>IFERROR(__xludf.DUMMYFUNCTION("REGEXREPLACE(C13722,""-\d+(.*)|--\d+(.*)"","""")"),"DONZENAC")</f>
        <v>DONZENAC</v>
      </c>
      <c r="E13722" s="38" t="s">
        <v>271</v>
      </c>
      <c r="F13722" s="38" t="s">
        <v>98</v>
      </c>
      <c r="G13722" s="49" t="str">
        <f t="shared" si="1"/>
        <v>19270</v>
      </c>
      <c r="H13722" s="49">
        <f t="shared" si="2"/>
        <v>19072</v>
      </c>
    </row>
    <row r="13723">
      <c r="A13723" s="48" t="s">
        <v>9991</v>
      </c>
      <c r="B13723" s="38">
        <v>9330.0</v>
      </c>
      <c r="C13723" s="38" t="s">
        <v>17979</v>
      </c>
      <c r="D13723" s="38" t="str">
        <f>IFERROR(__xludf.DUMMYFUNCTION("REGEXREPLACE(C13723,""-\d+(.*)|--\d+(.*)"","""")"),"VERNAUX")</f>
        <v>VERNAUX</v>
      </c>
      <c r="E13723" s="38" t="s">
        <v>238</v>
      </c>
      <c r="F13723" s="38" t="s">
        <v>94</v>
      </c>
      <c r="G13723" s="49" t="str">
        <f t="shared" si="1"/>
        <v>09250</v>
      </c>
      <c r="H13723" s="49" t="str">
        <f t="shared" si="2"/>
        <v>09330</v>
      </c>
    </row>
    <row r="13724">
      <c r="A13724" s="48" t="s">
        <v>3404</v>
      </c>
      <c r="B13724" s="38">
        <v>39255.0</v>
      </c>
      <c r="C13724" s="38" t="s">
        <v>17980</v>
      </c>
      <c r="D13724" s="38" t="str">
        <f>IFERROR(__xludf.DUMMYFUNCTION("REGEXREPLACE(C13724,""-\d+(.*)|--\d+(.*)"","""")"),"GIZIA")</f>
        <v>GIZIA</v>
      </c>
      <c r="E13724" s="38" t="s">
        <v>400</v>
      </c>
      <c r="F13724" s="38" t="s">
        <v>214</v>
      </c>
      <c r="G13724" s="49" t="str">
        <f t="shared" si="1"/>
        <v>39190</v>
      </c>
      <c r="H13724" s="49">
        <f t="shared" si="2"/>
        <v>39255</v>
      </c>
    </row>
    <row r="13725">
      <c r="A13725" s="48" t="s">
        <v>3262</v>
      </c>
      <c r="B13725" s="38">
        <v>3091.0</v>
      </c>
      <c r="C13725" s="38" t="s">
        <v>17981</v>
      </c>
      <c r="D13725" s="38" t="str">
        <f>IFERROR(__xludf.DUMMYFUNCTION("REGEXREPLACE(C13725,""-\d+(.*)|--\d+(.*)"","""")"),"CRECHY")</f>
        <v>CRECHY</v>
      </c>
      <c r="E13725" s="38" t="s">
        <v>160</v>
      </c>
      <c r="F13725" s="38" t="s">
        <v>161</v>
      </c>
      <c r="G13725" s="49" t="str">
        <f t="shared" si="1"/>
        <v>03150</v>
      </c>
      <c r="H13725" s="49" t="str">
        <f t="shared" si="2"/>
        <v>03091</v>
      </c>
    </row>
    <row r="13726">
      <c r="A13726" s="48" t="s">
        <v>7355</v>
      </c>
      <c r="B13726" s="38">
        <v>33046.0</v>
      </c>
      <c r="C13726" s="38" t="s">
        <v>17982</v>
      </c>
      <c r="D13726" s="38" t="str">
        <f>IFERROR(__xludf.DUMMYFUNCTION("REGEXREPLACE(C13726,""-\d+(.*)|--\d+(.*)"","""")"),"BERNOS-BEAULAC")</f>
        <v>BERNOS-BEAULAC</v>
      </c>
      <c r="E13726" s="38" t="s">
        <v>462</v>
      </c>
      <c r="F13726" s="38" t="s">
        <v>252</v>
      </c>
      <c r="G13726" s="49" t="str">
        <f t="shared" si="1"/>
        <v>33430</v>
      </c>
      <c r="H13726" s="49">
        <f t="shared" si="2"/>
        <v>33046</v>
      </c>
    </row>
    <row r="13727">
      <c r="A13727" s="48" t="s">
        <v>8902</v>
      </c>
      <c r="B13727" s="38">
        <v>25513.0</v>
      </c>
      <c r="C13727" s="38" t="s">
        <v>7832</v>
      </c>
      <c r="D13727" s="38" t="str">
        <f>IFERROR(__xludf.DUMMYFUNCTION("REGEXREPLACE(C13727,""-\d+(.*)|--\d+(.*)"","""")"),"SAINTE-ANNE")</f>
        <v>SAINTE-ANNE</v>
      </c>
      <c r="E13727" s="38" t="s">
        <v>213</v>
      </c>
      <c r="F13727" s="38" t="s">
        <v>214</v>
      </c>
      <c r="G13727" s="49" t="str">
        <f t="shared" si="1"/>
        <v>25270</v>
      </c>
      <c r="H13727" s="49">
        <f t="shared" si="2"/>
        <v>25513</v>
      </c>
    </row>
    <row r="13728">
      <c r="A13728" s="48" t="s">
        <v>3677</v>
      </c>
      <c r="B13728" s="38">
        <v>89245.0</v>
      </c>
      <c r="C13728" s="38" t="s">
        <v>17983</v>
      </c>
      <c r="D13728" s="38" t="str">
        <f>IFERROR(__xludf.DUMMYFUNCTION("REGEXREPLACE(C13728,""-\d+(.*)|--\d+(.*)"","""")"),"MARSANGY")</f>
        <v>MARSANGY</v>
      </c>
      <c r="E13728" s="38" t="s">
        <v>275</v>
      </c>
      <c r="F13728" s="38" t="s">
        <v>106</v>
      </c>
      <c r="G13728" s="49" t="str">
        <f t="shared" si="1"/>
        <v>89500</v>
      </c>
      <c r="H13728" s="49">
        <f t="shared" si="2"/>
        <v>89245</v>
      </c>
    </row>
    <row r="13729">
      <c r="A13729" s="48" t="s">
        <v>17984</v>
      </c>
      <c r="B13729" s="38">
        <v>78206.0</v>
      </c>
      <c r="C13729" s="38" t="s">
        <v>17985</v>
      </c>
      <c r="D13729" s="38" t="str">
        <f>IFERROR(__xludf.DUMMYFUNCTION("REGEXREPLACE(C13729,""-\d+(.*)|--\d+(.*)"","""")"),"ECQUEVILLY")</f>
        <v>ECQUEVILLY</v>
      </c>
      <c r="E13729" s="38" t="s">
        <v>362</v>
      </c>
      <c r="F13729" s="38" t="s">
        <v>245</v>
      </c>
      <c r="G13729" s="49" t="str">
        <f t="shared" si="1"/>
        <v>78920</v>
      </c>
      <c r="H13729" s="49">
        <f t="shared" si="2"/>
        <v>78206</v>
      </c>
    </row>
    <row r="13730">
      <c r="A13730" s="48" t="s">
        <v>3983</v>
      </c>
      <c r="B13730" s="38">
        <v>67302.0</v>
      </c>
      <c r="C13730" s="38" t="s">
        <v>17986</v>
      </c>
      <c r="D13730" s="38" t="str">
        <f>IFERROR(__xludf.DUMMYFUNCTION("REGEXREPLACE(C13730,""-\d+(.*)|--\d+(.*)"","""")"),"MONSWILLER")</f>
        <v>MONSWILLER</v>
      </c>
      <c r="E13730" s="38" t="s">
        <v>210</v>
      </c>
      <c r="F13730" s="38" t="s">
        <v>151</v>
      </c>
      <c r="G13730" s="49" t="str">
        <f t="shared" si="1"/>
        <v>67700</v>
      </c>
      <c r="H13730" s="49">
        <f t="shared" si="2"/>
        <v>67302</v>
      </c>
    </row>
    <row r="13731">
      <c r="A13731" s="48" t="s">
        <v>11910</v>
      </c>
      <c r="B13731" s="38">
        <v>46280.0</v>
      </c>
      <c r="C13731" s="38" t="s">
        <v>9699</v>
      </c>
      <c r="D13731" s="38" t="str">
        <f>IFERROR(__xludf.DUMMYFUNCTION("REGEXREPLACE(C13731,""-\d+(.*)|--\d+(.*)"","""")"),"SAINT-MEDARD")</f>
        <v>SAINT-MEDARD</v>
      </c>
      <c r="E13731" s="38" t="s">
        <v>185</v>
      </c>
      <c r="F13731" s="38" t="s">
        <v>94</v>
      </c>
      <c r="G13731" s="49" t="str">
        <f t="shared" si="1"/>
        <v>46150</v>
      </c>
      <c r="H13731" s="49">
        <f t="shared" si="2"/>
        <v>46280</v>
      </c>
    </row>
    <row r="13732">
      <c r="A13732" s="48" t="s">
        <v>1272</v>
      </c>
      <c r="B13732" s="38">
        <v>51482.0</v>
      </c>
      <c r="C13732" s="38" t="s">
        <v>17987</v>
      </c>
      <c r="D13732" s="38" t="str">
        <f>IFERROR(__xludf.DUMMYFUNCTION("REGEXREPLACE(C13732,""-\d+(.*)|--\d+(.*)"","""")"),"SAINT-GERMAIN-LA-VILLE")</f>
        <v>SAINT-GERMAIN-LA-VILLE</v>
      </c>
      <c r="E13732" s="38" t="s">
        <v>129</v>
      </c>
      <c r="F13732" s="38" t="s">
        <v>130</v>
      </c>
      <c r="G13732" s="49" t="str">
        <f t="shared" si="1"/>
        <v>51240</v>
      </c>
      <c r="H13732" s="49">
        <f t="shared" si="2"/>
        <v>51482</v>
      </c>
    </row>
    <row r="13733">
      <c r="A13733" s="48" t="s">
        <v>9965</v>
      </c>
      <c r="B13733" s="38">
        <v>19226.0</v>
      </c>
      <c r="C13733" s="38" t="s">
        <v>17988</v>
      </c>
      <c r="D13733" s="38" t="str">
        <f>IFERROR(__xludf.DUMMYFUNCTION("REGEXREPLACE(C13733,""-\d+(.*)|--\d+(.*)"","""")"),"SAINT-MERD-LES-OUSSINES")</f>
        <v>SAINT-MERD-LES-OUSSINES</v>
      </c>
      <c r="E13733" s="38" t="s">
        <v>271</v>
      </c>
      <c r="F13733" s="38" t="s">
        <v>98</v>
      </c>
      <c r="G13733" s="49" t="str">
        <f t="shared" si="1"/>
        <v>19170</v>
      </c>
      <c r="H13733" s="49">
        <f t="shared" si="2"/>
        <v>19226</v>
      </c>
    </row>
    <row r="13734">
      <c r="A13734" s="48" t="s">
        <v>6694</v>
      </c>
      <c r="B13734" s="38">
        <v>16230.0</v>
      </c>
      <c r="C13734" s="38" t="s">
        <v>17989</v>
      </c>
      <c r="D13734" s="38" t="str">
        <f>IFERROR(__xludf.DUMMYFUNCTION("REGEXREPLACE(C13734,""-\d+(.*)|--\d+(.*)"","""")"),"MONTMOREAU-SAINT-CYBARD")</f>
        <v>MONTMOREAU-SAINT-CYBARD</v>
      </c>
      <c r="E13734" s="38" t="s">
        <v>429</v>
      </c>
      <c r="F13734" s="38" t="s">
        <v>338</v>
      </c>
      <c r="G13734" s="49" t="str">
        <f t="shared" si="1"/>
        <v>16190</v>
      </c>
      <c r="H13734" s="49">
        <f t="shared" si="2"/>
        <v>16230</v>
      </c>
    </row>
    <row r="13735">
      <c r="A13735" s="48" t="s">
        <v>1085</v>
      </c>
      <c r="B13735" s="38">
        <v>55204.0</v>
      </c>
      <c r="C13735" s="38" t="s">
        <v>17990</v>
      </c>
      <c r="D13735" s="38" t="str">
        <f>IFERROR(__xludf.DUMMYFUNCTION("REGEXREPLACE(C13735,""-\d+(.*)|--\d+(.*)"","""")"),"GENICOURT-SUR-MEUSE")</f>
        <v>GENICOURT-SUR-MEUSE</v>
      </c>
      <c r="E13735" s="38" t="s">
        <v>322</v>
      </c>
      <c r="F13735" s="38" t="s">
        <v>195</v>
      </c>
      <c r="G13735" s="49" t="str">
        <f t="shared" si="1"/>
        <v>55320</v>
      </c>
      <c r="H13735" s="49">
        <f t="shared" si="2"/>
        <v>55204</v>
      </c>
    </row>
    <row r="13736">
      <c r="A13736" s="48" t="s">
        <v>942</v>
      </c>
      <c r="B13736" s="38">
        <v>2706.0</v>
      </c>
      <c r="C13736" s="38" t="s">
        <v>17991</v>
      </c>
      <c r="D13736" s="38" t="str">
        <f>IFERROR(__xludf.DUMMYFUNCTION("REGEXREPLACE(C13736,""-\d+(.*)|--\d+(.*)"","""")"),"SEPTMONTS")</f>
        <v>SEPTMONTS</v>
      </c>
      <c r="E13736" s="38" t="s">
        <v>191</v>
      </c>
      <c r="F13736" s="38" t="s">
        <v>113</v>
      </c>
      <c r="G13736" s="49" t="str">
        <f t="shared" si="1"/>
        <v>02200</v>
      </c>
      <c r="H13736" s="49" t="str">
        <f t="shared" si="2"/>
        <v>02706</v>
      </c>
    </row>
    <row r="13737">
      <c r="A13737" s="48" t="s">
        <v>17992</v>
      </c>
      <c r="B13737" s="38">
        <v>78638.0</v>
      </c>
      <c r="C13737" s="38" t="s">
        <v>17993</v>
      </c>
      <c r="D13737" s="38" t="str">
        <f>IFERROR(__xludf.DUMMYFUNCTION("REGEXREPLACE(C13737,""-\d+(.*)|--\d+(.*)"","""")"),"VAUX-SUR-SEINE")</f>
        <v>VAUX-SUR-SEINE</v>
      </c>
      <c r="E13737" s="38" t="s">
        <v>362</v>
      </c>
      <c r="F13737" s="38" t="s">
        <v>245</v>
      </c>
      <c r="G13737" s="49" t="str">
        <f t="shared" si="1"/>
        <v>78740</v>
      </c>
      <c r="H13737" s="49">
        <f t="shared" si="2"/>
        <v>78638</v>
      </c>
    </row>
    <row r="13738">
      <c r="A13738" s="48" t="s">
        <v>9498</v>
      </c>
      <c r="B13738" s="38">
        <v>79351.0</v>
      </c>
      <c r="C13738" s="38" t="s">
        <v>17994</v>
      </c>
      <c r="D13738" s="38" t="str">
        <f>IFERROR(__xludf.DUMMYFUNCTION("REGEXREPLACE(C13738,""-\d+(.*)|--\d+(.*)"","""")"),"VILLIERS-EN-PLAINE")</f>
        <v>VILLIERS-EN-PLAINE</v>
      </c>
      <c r="E13738" s="38" t="s">
        <v>337</v>
      </c>
      <c r="F13738" s="38" t="s">
        <v>338</v>
      </c>
      <c r="G13738" s="49" t="str">
        <f t="shared" si="1"/>
        <v>79160</v>
      </c>
      <c r="H13738" s="49">
        <f t="shared" si="2"/>
        <v>79351</v>
      </c>
    </row>
    <row r="13739">
      <c r="A13739" s="48" t="s">
        <v>17995</v>
      </c>
      <c r="B13739" s="38">
        <v>63263.0</v>
      </c>
      <c r="C13739" s="38" t="s">
        <v>17996</v>
      </c>
      <c r="D13739" s="38" t="str">
        <f>IFERROR(__xludf.DUMMYFUNCTION("REGEXREPLACE(C13739,""-\d+(.*)|--\d+(.*)"","""")"),"ORCINES")</f>
        <v>ORCINES</v>
      </c>
      <c r="E13739" s="38" t="s">
        <v>353</v>
      </c>
      <c r="F13739" s="38" t="s">
        <v>161</v>
      </c>
      <c r="G13739" s="49" t="str">
        <f t="shared" si="1"/>
        <v>63870</v>
      </c>
      <c r="H13739" s="49">
        <f t="shared" si="2"/>
        <v>63263</v>
      </c>
    </row>
    <row r="13740">
      <c r="A13740" s="48" t="s">
        <v>1452</v>
      </c>
      <c r="B13740" s="38">
        <v>55489.0</v>
      </c>
      <c r="C13740" s="38" t="s">
        <v>17997</v>
      </c>
      <c r="D13740" s="38" t="str">
        <f>IFERROR(__xludf.DUMMYFUNCTION("REGEXREPLACE(C13740,""-\d+(.*)|--\d+(.*)"","""")"),"SIVRY-LA-PERCHE")</f>
        <v>SIVRY-LA-PERCHE</v>
      </c>
      <c r="E13740" s="38" t="s">
        <v>322</v>
      </c>
      <c r="F13740" s="38" t="s">
        <v>195</v>
      </c>
      <c r="G13740" s="49" t="str">
        <f t="shared" si="1"/>
        <v>55100</v>
      </c>
      <c r="H13740" s="49">
        <f t="shared" si="2"/>
        <v>55489</v>
      </c>
    </row>
    <row r="13741">
      <c r="A13741" s="48" t="s">
        <v>1383</v>
      </c>
      <c r="B13741" s="38">
        <v>72195.0</v>
      </c>
      <c r="C13741" s="38" t="s">
        <v>17998</v>
      </c>
      <c r="D13741" s="38" t="str">
        <f>IFERROR(__xludf.DUMMYFUNCTION("REGEXREPLACE(C13741,""-\d+(.*)|--\d+(.*)"","""")"),"MEZERAY")</f>
        <v>MEZERAY</v>
      </c>
      <c r="E13741" s="38" t="s">
        <v>521</v>
      </c>
      <c r="F13741" s="38" t="s">
        <v>180</v>
      </c>
      <c r="G13741" s="49" t="str">
        <f t="shared" si="1"/>
        <v>72270</v>
      </c>
      <c r="H13741" s="49">
        <f t="shared" si="2"/>
        <v>72195</v>
      </c>
    </row>
    <row r="13742">
      <c r="A13742" s="48" t="s">
        <v>4646</v>
      </c>
      <c r="B13742" s="38">
        <v>79341.0</v>
      </c>
      <c r="C13742" s="38" t="s">
        <v>17999</v>
      </c>
      <c r="D13742" s="38" t="str">
        <f>IFERROR(__xludf.DUMMYFUNCTION("REGEXREPLACE(C13742,""-\d+(.*)|--\d+(.*)"","""")"),"VAUTEBIS")</f>
        <v>VAUTEBIS</v>
      </c>
      <c r="E13742" s="38" t="s">
        <v>337</v>
      </c>
      <c r="F13742" s="38" t="s">
        <v>338</v>
      </c>
      <c r="G13742" s="49" t="str">
        <f t="shared" si="1"/>
        <v>79420</v>
      </c>
      <c r="H13742" s="49">
        <f t="shared" si="2"/>
        <v>79341</v>
      </c>
    </row>
    <row r="13743">
      <c r="A13743" s="48" t="s">
        <v>924</v>
      </c>
      <c r="B13743" s="38">
        <v>40018.0</v>
      </c>
      <c r="C13743" s="38" t="s">
        <v>18000</v>
      </c>
      <c r="D13743" s="38" t="str">
        <f>IFERROR(__xludf.DUMMYFUNCTION("REGEXREPLACE(C13743,""-\d+(.*)|--\d+(.*)"","""")"),"AUDON")</f>
        <v>AUDON</v>
      </c>
      <c r="E13743" s="38" t="s">
        <v>281</v>
      </c>
      <c r="F13743" s="38" t="s">
        <v>252</v>
      </c>
      <c r="G13743" s="49" t="str">
        <f t="shared" si="1"/>
        <v>40400</v>
      </c>
      <c r="H13743" s="49">
        <f t="shared" si="2"/>
        <v>40018</v>
      </c>
    </row>
    <row r="13744">
      <c r="A13744" s="48" t="s">
        <v>3395</v>
      </c>
      <c r="B13744" s="38">
        <v>40227.0</v>
      </c>
      <c r="C13744" s="38" t="s">
        <v>18001</v>
      </c>
      <c r="D13744" s="38" t="str">
        <f>IFERROR(__xludf.DUMMYFUNCTION("REGEXREPLACE(C13744,""-\d+(.*)|--\d+(.*)"","""")"),"PISSOS")</f>
        <v>PISSOS</v>
      </c>
      <c r="E13744" s="38" t="s">
        <v>281</v>
      </c>
      <c r="F13744" s="38" t="s">
        <v>252</v>
      </c>
      <c r="G13744" s="49" t="str">
        <f t="shared" si="1"/>
        <v>40410</v>
      </c>
      <c r="H13744" s="49">
        <f t="shared" si="2"/>
        <v>40227</v>
      </c>
    </row>
    <row r="13745">
      <c r="A13745" s="48" t="s">
        <v>474</v>
      </c>
      <c r="B13745" s="38">
        <v>76494.0</v>
      </c>
      <c r="C13745" s="38" t="s">
        <v>18002</v>
      </c>
      <c r="D13745" s="38" t="str">
        <f>IFERROR(__xludf.DUMMYFUNCTION("REGEXREPLACE(C13745,""-\d+(.*)|--\d+(.*)"","""")"),"PARC-D'ANXTOT")</f>
        <v>PARC-D'ANXTOT</v>
      </c>
      <c r="E13745" s="38" t="s">
        <v>133</v>
      </c>
      <c r="F13745" s="38" t="s">
        <v>134</v>
      </c>
      <c r="G13745" s="49" t="str">
        <f t="shared" si="1"/>
        <v>76210</v>
      </c>
      <c r="H13745" s="49">
        <f t="shared" si="2"/>
        <v>76494</v>
      </c>
    </row>
    <row r="13746">
      <c r="A13746" s="48" t="s">
        <v>1347</v>
      </c>
      <c r="B13746" s="38">
        <v>16286.0</v>
      </c>
      <c r="C13746" s="38" t="s">
        <v>18003</v>
      </c>
      <c r="D13746" s="38" t="str">
        <f>IFERROR(__xludf.DUMMYFUNCTION("REGEXREPLACE(C13746,""-\d+(.*)|--\d+(.*)"","""")"),"ROUILLAC")</f>
        <v>ROUILLAC</v>
      </c>
      <c r="E13746" s="38" t="s">
        <v>429</v>
      </c>
      <c r="F13746" s="38" t="s">
        <v>338</v>
      </c>
      <c r="G13746" s="49" t="str">
        <f t="shared" si="1"/>
        <v>16170</v>
      </c>
      <c r="H13746" s="49">
        <f t="shared" si="2"/>
        <v>16286</v>
      </c>
    </row>
    <row r="13747">
      <c r="A13747" s="48" t="s">
        <v>2368</v>
      </c>
      <c r="B13747" s="38">
        <v>65199.0</v>
      </c>
      <c r="C13747" s="38" t="s">
        <v>18004</v>
      </c>
      <c r="D13747" s="38" t="str">
        <f>IFERROR(__xludf.DUMMYFUNCTION("REGEXREPLACE(C13747,""-\d+(.*)|--\d+(.*)"","""")"),"GERM")</f>
        <v>GERM</v>
      </c>
      <c r="E13747" s="38" t="s">
        <v>200</v>
      </c>
      <c r="F13747" s="38" t="s">
        <v>94</v>
      </c>
      <c r="G13747" s="49" t="str">
        <f t="shared" si="1"/>
        <v>65240</v>
      </c>
      <c r="H13747" s="49">
        <f t="shared" si="2"/>
        <v>65199</v>
      </c>
    </row>
    <row r="13748">
      <c r="A13748" s="48" t="s">
        <v>14097</v>
      </c>
      <c r="B13748" s="38">
        <v>10175.0</v>
      </c>
      <c r="C13748" s="38" t="s">
        <v>18005</v>
      </c>
      <c r="D13748" s="38" t="str">
        <f>IFERROR(__xludf.DUMMYFUNCTION("REGEXREPLACE(C13748,""-\d+(.*)|--\d+(.*)"","""")"),"JASSEINES")</f>
        <v>JASSEINES</v>
      </c>
      <c r="E13748" s="38" t="s">
        <v>147</v>
      </c>
      <c r="F13748" s="38" t="s">
        <v>130</v>
      </c>
      <c r="G13748" s="49" t="str">
        <f t="shared" si="1"/>
        <v>10330</v>
      </c>
      <c r="H13748" s="49">
        <f t="shared" si="2"/>
        <v>10175</v>
      </c>
    </row>
    <row r="13749">
      <c r="A13749" s="48" t="s">
        <v>407</v>
      </c>
      <c r="B13749" s="38">
        <v>71036.0</v>
      </c>
      <c r="C13749" s="38" t="s">
        <v>18006</v>
      </c>
      <c r="D13749" s="38" t="str">
        <f>IFERROR(__xludf.DUMMYFUNCTION("REGEXREPLACE(C13749,""-\d+(.*)|--\d+(.*)"","""")"),"BISSY-SOUS-UXELLES")</f>
        <v>BISSY-SOUS-UXELLES</v>
      </c>
      <c r="E13749" s="38" t="s">
        <v>344</v>
      </c>
      <c r="F13749" s="38" t="s">
        <v>106</v>
      </c>
      <c r="G13749" s="49" t="str">
        <f t="shared" si="1"/>
        <v>71460</v>
      </c>
      <c r="H13749" s="49">
        <f t="shared" si="2"/>
        <v>71036</v>
      </c>
    </row>
    <row r="13750">
      <c r="A13750" s="48" t="s">
        <v>18007</v>
      </c>
      <c r="B13750" s="38">
        <v>81267.0</v>
      </c>
      <c r="C13750" s="38" t="s">
        <v>18008</v>
      </c>
      <c r="D13750" s="38" t="str">
        <f>IFERROR(__xludf.DUMMYFUNCTION("REGEXREPLACE(C13750,""-\d+(.*)|--\d+(.*)"","""")"),"SAINT-PIERRE-DE-TRIVISY")</f>
        <v>SAINT-PIERRE-DE-TRIVISY</v>
      </c>
      <c r="E13750" s="38" t="s">
        <v>231</v>
      </c>
      <c r="F13750" s="38" t="s">
        <v>94</v>
      </c>
      <c r="G13750" s="49" t="str">
        <f t="shared" si="1"/>
        <v>81330</v>
      </c>
      <c r="H13750" s="49">
        <f t="shared" si="2"/>
        <v>81267</v>
      </c>
    </row>
    <row r="13751">
      <c r="A13751" s="48" t="s">
        <v>562</v>
      </c>
      <c r="B13751" s="38">
        <v>54466.0</v>
      </c>
      <c r="C13751" s="38" t="s">
        <v>18009</v>
      </c>
      <c r="D13751" s="38" t="str">
        <f>IFERROR(__xludf.DUMMYFUNCTION("REGEXREPLACE(C13751,""-\d+(.*)|--\d+(.*)"","""")"),"ROYAUMEIX")</f>
        <v>ROYAUMEIX</v>
      </c>
      <c r="E13751" s="38" t="s">
        <v>548</v>
      </c>
      <c r="F13751" s="38" t="s">
        <v>195</v>
      </c>
      <c r="G13751" s="49" t="str">
        <f t="shared" si="1"/>
        <v>54200</v>
      </c>
      <c r="H13751" s="49">
        <f t="shared" si="2"/>
        <v>54466</v>
      </c>
    </row>
    <row r="13752">
      <c r="A13752" s="48" t="s">
        <v>15404</v>
      </c>
      <c r="B13752" s="38">
        <v>63419.0</v>
      </c>
      <c r="C13752" s="38" t="s">
        <v>18010</v>
      </c>
      <c r="D13752" s="38" t="str">
        <f>IFERROR(__xludf.DUMMYFUNCTION("REGEXREPLACE(C13752,""-\d+(.*)|--\d+(.*)"","""")"),"SERVANT")</f>
        <v>SERVANT</v>
      </c>
      <c r="E13752" s="38" t="s">
        <v>353</v>
      </c>
      <c r="F13752" s="38" t="s">
        <v>161</v>
      </c>
      <c r="G13752" s="49" t="str">
        <f t="shared" si="1"/>
        <v>63560</v>
      </c>
      <c r="H13752" s="49">
        <f t="shared" si="2"/>
        <v>63419</v>
      </c>
    </row>
    <row r="13753">
      <c r="A13753" s="48" t="s">
        <v>2673</v>
      </c>
      <c r="B13753" s="38">
        <v>3019.0</v>
      </c>
      <c r="C13753" s="38" t="s">
        <v>18011</v>
      </c>
      <c r="D13753" s="38" t="str">
        <f>IFERROR(__xludf.DUMMYFUNCTION("REGEXREPLACE(C13753,""-\d+(.*)|--\d+(.*)"","""")"),"BEAULON")</f>
        <v>BEAULON</v>
      </c>
      <c r="E13753" s="38" t="s">
        <v>160</v>
      </c>
      <c r="F13753" s="38" t="s">
        <v>161</v>
      </c>
      <c r="G13753" s="49" t="str">
        <f t="shared" si="1"/>
        <v>03230</v>
      </c>
      <c r="H13753" s="49" t="str">
        <f t="shared" si="2"/>
        <v>03019</v>
      </c>
    </row>
    <row r="13754">
      <c r="A13754" s="48" t="s">
        <v>3293</v>
      </c>
      <c r="B13754" s="38">
        <v>73288.0</v>
      </c>
      <c r="C13754" s="38" t="s">
        <v>18012</v>
      </c>
      <c r="D13754" s="38" t="str">
        <f>IFERROR(__xludf.DUMMYFUNCTION("REGEXREPLACE(C13754,""-\d+(.*)|--\d+(.*)"","""")"),"SONNAZ")</f>
        <v>SONNAZ</v>
      </c>
      <c r="E13754" s="38" t="s">
        <v>306</v>
      </c>
      <c r="F13754" s="38" t="s">
        <v>102</v>
      </c>
      <c r="G13754" s="49" t="str">
        <f t="shared" si="1"/>
        <v>73000</v>
      </c>
      <c r="H13754" s="49">
        <f t="shared" si="2"/>
        <v>73288</v>
      </c>
    </row>
    <row r="13755">
      <c r="A13755" s="48" t="s">
        <v>1254</v>
      </c>
      <c r="B13755" s="38">
        <v>72197.0</v>
      </c>
      <c r="C13755" s="38" t="s">
        <v>18013</v>
      </c>
      <c r="D13755" s="38" t="str">
        <f>IFERROR(__xludf.DUMMYFUNCTION("REGEXREPLACE(C13755,""-\d+(.*)|--\d+(.*)"","""")"),"MEZIERES-SOUS-LAVARDIN")</f>
        <v>MEZIERES-SOUS-LAVARDIN</v>
      </c>
      <c r="E13755" s="38" t="s">
        <v>521</v>
      </c>
      <c r="F13755" s="38" t="s">
        <v>180</v>
      </c>
      <c r="G13755" s="49" t="str">
        <f t="shared" si="1"/>
        <v>72240</v>
      </c>
      <c r="H13755" s="49">
        <f t="shared" si="2"/>
        <v>72197</v>
      </c>
    </row>
    <row r="13756">
      <c r="A13756" s="48" t="s">
        <v>2334</v>
      </c>
      <c r="B13756" s="38">
        <v>46120.0</v>
      </c>
      <c r="C13756" s="38" t="s">
        <v>18014</v>
      </c>
      <c r="D13756" s="38" t="str">
        <f>IFERROR(__xludf.DUMMYFUNCTION("REGEXREPLACE(C13756,""-\d+(.*)|--\d+(.*)"","""")"),"GINDOU")</f>
        <v>GINDOU</v>
      </c>
      <c r="E13756" s="38" t="s">
        <v>185</v>
      </c>
      <c r="F13756" s="38" t="s">
        <v>94</v>
      </c>
      <c r="G13756" s="49" t="str">
        <f t="shared" si="1"/>
        <v>46250</v>
      </c>
      <c r="H13756" s="49">
        <f t="shared" si="2"/>
        <v>46120</v>
      </c>
    </row>
    <row r="13757">
      <c r="A13757" s="48" t="s">
        <v>7225</v>
      </c>
      <c r="B13757" s="38">
        <v>5027.0</v>
      </c>
      <c r="C13757" s="38" t="s">
        <v>18015</v>
      </c>
      <c r="D13757" s="38" t="str">
        <f>IFERROR(__xludf.DUMMYFUNCTION("REGEXREPLACE(C13757,""-\d+(.*)|--\d+(.*)"","""")"),"CERVIERES")</f>
        <v>CERVIERES</v>
      </c>
      <c r="E13757" s="38" t="s">
        <v>706</v>
      </c>
      <c r="F13757" s="38" t="s">
        <v>228</v>
      </c>
      <c r="G13757" s="49" t="str">
        <f t="shared" si="1"/>
        <v>05100</v>
      </c>
      <c r="H13757" s="49" t="str">
        <f t="shared" si="2"/>
        <v>05027</v>
      </c>
    </row>
    <row r="13758">
      <c r="A13758" s="48" t="s">
        <v>9587</v>
      </c>
      <c r="B13758" s="38">
        <v>67461.0</v>
      </c>
      <c r="C13758" s="38" t="s">
        <v>18016</v>
      </c>
      <c r="D13758" s="38" t="str">
        <f>IFERROR(__xludf.DUMMYFUNCTION("REGEXREPLACE(C13758,""-\d+(.*)|--\d+(.*)"","""")"),"SCHWOBSHEIM")</f>
        <v>SCHWOBSHEIM</v>
      </c>
      <c r="E13758" s="38" t="s">
        <v>210</v>
      </c>
      <c r="F13758" s="38" t="s">
        <v>151</v>
      </c>
      <c r="G13758" s="49" t="str">
        <f t="shared" si="1"/>
        <v>67390</v>
      </c>
      <c r="H13758" s="49">
        <f t="shared" si="2"/>
        <v>67461</v>
      </c>
    </row>
    <row r="13759">
      <c r="A13759" s="48" t="s">
        <v>1628</v>
      </c>
      <c r="B13759" s="38">
        <v>70002.0</v>
      </c>
      <c r="C13759" s="38" t="s">
        <v>18017</v>
      </c>
      <c r="D13759" s="38" t="str">
        <f>IFERROR(__xludf.DUMMYFUNCTION("REGEXREPLACE(C13759,""-\d+(.*)|--\d+(.*)"","""")"),"ABONCOURT-GESINCOURT")</f>
        <v>ABONCOURT-GESINCOURT</v>
      </c>
      <c r="E13759" s="38" t="s">
        <v>956</v>
      </c>
      <c r="F13759" s="38" t="s">
        <v>214</v>
      </c>
      <c r="G13759" s="49" t="str">
        <f t="shared" si="1"/>
        <v>70500</v>
      </c>
      <c r="H13759" s="49">
        <f t="shared" si="2"/>
        <v>70002</v>
      </c>
    </row>
    <row r="13760">
      <c r="A13760" s="48" t="s">
        <v>2949</v>
      </c>
      <c r="B13760" s="38">
        <v>27628.0</v>
      </c>
      <c r="C13760" s="38" t="s">
        <v>18018</v>
      </c>
      <c r="D13760" s="38" t="str">
        <f>IFERROR(__xludf.DUMMYFUNCTION("REGEXREPLACE(C13760,""-\d+(.*)|--\d+(.*)"","""")"),"THEVRAY")</f>
        <v>THEVRAY</v>
      </c>
      <c r="E13760" s="38" t="s">
        <v>241</v>
      </c>
      <c r="F13760" s="38" t="s">
        <v>134</v>
      </c>
      <c r="G13760" s="49" t="str">
        <f t="shared" si="1"/>
        <v>27330</v>
      </c>
      <c r="H13760" s="49">
        <f t="shared" si="2"/>
        <v>27628</v>
      </c>
    </row>
    <row r="13761">
      <c r="A13761" s="48" t="s">
        <v>3887</v>
      </c>
      <c r="B13761" s="38">
        <v>84025.0</v>
      </c>
      <c r="C13761" s="38" t="s">
        <v>18019</v>
      </c>
      <c r="D13761" s="38" t="str">
        <f>IFERROR(__xludf.DUMMYFUNCTION("REGEXREPLACE(C13761,""-\d+(.*)|--\d+(.*)"","""")"),"CABRIERES-D'AVIGNON")</f>
        <v>CABRIERES-D'AVIGNON</v>
      </c>
      <c r="E13761" s="38" t="s">
        <v>1026</v>
      </c>
      <c r="F13761" s="38" t="s">
        <v>228</v>
      </c>
      <c r="G13761" s="49" t="str">
        <f t="shared" si="1"/>
        <v>84220</v>
      </c>
      <c r="H13761" s="49">
        <f t="shared" si="2"/>
        <v>84025</v>
      </c>
    </row>
    <row r="13762">
      <c r="A13762" s="48" t="s">
        <v>5203</v>
      </c>
      <c r="B13762" s="38">
        <v>88134.0</v>
      </c>
      <c r="C13762" s="38" t="s">
        <v>18020</v>
      </c>
      <c r="D13762" s="38" t="str">
        <f>IFERROR(__xludf.DUMMYFUNCTION("REGEXREPLACE(C13762,""-\d+(.*)|--\d+(.*)"","""")"),"DINOZE")</f>
        <v>DINOZE</v>
      </c>
      <c r="E13762" s="38" t="s">
        <v>194</v>
      </c>
      <c r="F13762" s="38" t="s">
        <v>195</v>
      </c>
      <c r="G13762" s="49" t="str">
        <f t="shared" si="1"/>
        <v>88000</v>
      </c>
      <c r="H13762" s="49">
        <f t="shared" si="2"/>
        <v>88134</v>
      </c>
    </row>
    <row r="13763">
      <c r="A13763" s="48" t="s">
        <v>11428</v>
      </c>
      <c r="B13763" s="38">
        <v>42333.0</v>
      </c>
      <c r="C13763" s="38" t="s">
        <v>16663</v>
      </c>
      <c r="D13763" s="38" t="str">
        <f>IFERROR(__xludf.DUMMYFUNCTION("REGEXREPLACE(C13763,""-\d+(.*)|--\d+(.*)"","""")"),"VILLERS")</f>
        <v>VILLERS</v>
      </c>
      <c r="E13763" s="38" t="s">
        <v>166</v>
      </c>
      <c r="F13763" s="38" t="s">
        <v>102</v>
      </c>
      <c r="G13763" s="49" t="str">
        <f t="shared" si="1"/>
        <v>42460</v>
      </c>
      <c r="H13763" s="49">
        <f t="shared" si="2"/>
        <v>42333</v>
      </c>
    </row>
    <row r="13764">
      <c r="A13764" s="48" t="s">
        <v>13041</v>
      </c>
      <c r="B13764" s="38">
        <v>27191.0</v>
      </c>
      <c r="C13764" s="38" t="s">
        <v>18021</v>
      </c>
      <c r="D13764" s="38" t="str">
        <f>IFERROR(__xludf.DUMMYFUNCTION("REGEXREPLACE(C13764,""-\d+(.*)|--\d+(.*)"","""")"),"LA CROIX-SAINT-LEUFROY")</f>
        <v>LA CROIX-SAINT-LEUFROY</v>
      </c>
      <c r="E13764" s="38" t="s">
        <v>241</v>
      </c>
      <c r="F13764" s="38" t="s">
        <v>134</v>
      </c>
      <c r="G13764" s="49" t="str">
        <f t="shared" si="1"/>
        <v>27490</v>
      </c>
      <c r="H13764" s="49">
        <f t="shared" si="2"/>
        <v>27191</v>
      </c>
    </row>
    <row r="13765">
      <c r="A13765" s="48" t="s">
        <v>8398</v>
      </c>
      <c r="B13765" s="38">
        <v>21096.0</v>
      </c>
      <c r="C13765" s="38" t="s">
        <v>18022</v>
      </c>
      <c r="D13765" s="38" t="str">
        <f>IFERROR(__xludf.DUMMYFUNCTION("REGEXREPLACE(C13765,""-\d+(.*)|--\d+(.*)"","""")"),"BOUSSENOIS")</f>
        <v>BOUSSENOIS</v>
      </c>
      <c r="E13765" s="38" t="s">
        <v>105</v>
      </c>
      <c r="F13765" s="38" t="s">
        <v>106</v>
      </c>
      <c r="G13765" s="49" t="str">
        <f t="shared" si="1"/>
        <v>21260</v>
      </c>
      <c r="H13765" s="49">
        <f t="shared" si="2"/>
        <v>21096</v>
      </c>
    </row>
    <row r="13766">
      <c r="A13766" s="48" t="s">
        <v>10212</v>
      </c>
      <c r="B13766" s="38">
        <v>74245.0</v>
      </c>
      <c r="C13766" s="38" t="s">
        <v>18023</v>
      </c>
      <c r="D13766" s="38" t="str">
        <f>IFERROR(__xludf.DUMMYFUNCTION("REGEXREPLACE(C13766,""-\d+(.*)|--\d+(.*)"","""")"),"SAINT-MARTIN-BELLEVUE")</f>
        <v>SAINT-MARTIN-BELLEVUE</v>
      </c>
      <c r="E13766" s="38" t="s">
        <v>319</v>
      </c>
      <c r="F13766" s="38" t="s">
        <v>102</v>
      </c>
      <c r="G13766" s="49" t="str">
        <f t="shared" si="1"/>
        <v>74370</v>
      </c>
      <c r="H13766" s="49">
        <f t="shared" si="2"/>
        <v>74245</v>
      </c>
    </row>
    <row r="13767">
      <c r="A13767" s="48" t="s">
        <v>1540</v>
      </c>
      <c r="B13767" s="38">
        <v>70179.0</v>
      </c>
      <c r="C13767" s="38" t="s">
        <v>18024</v>
      </c>
      <c r="D13767" s="38" t="str">
        <f>IFERROR(__xludf.DUMMYFUNCTION("REGEXREPLACE(C13767,""-\d+(.*)|--\d+(.*)"","""")"),"COULEVON")</f>
        <v>COULEVON</v>
      </c>
      <c r="E13767" s="38" t="s">
        <v>956</v>
      </c>
      <c r="F13767" s="38" t="s">
        <v>214</v>
      </c>
      <c r="G13767" s="49" t="str">
        <f t="shared" si="1"/>
        <v>70000</v>
      </c>
      <c r="H13767" s="49">
        <f t="shared" si="2"/>
        <v>70179</v>
      </c>
    </row>
    <row r="13768">
      <c r="A13768" s="48" t="s">
        <v>18025</v>
      </c>
      <c r="B13768" s="38">
        <v>82017.0</v>
      </c>
      <c r="C13768" s="38" t="s">
        <v>18026</v>
      </c>
      <c r="D13768" s="38" t="str">
        <f>IFERROR(__xludf.DUMMYFUNCTION("REGEXREPLACE(C13768,""-\d+(.*)|--\d+(.*)"","""")"),"BESSENS")</f>
        <v>BESSENS</v>
      </c>
      <c r="E13768" s="38" t="s">
        <v>570</v>
      </c>
      <c r="F13768" s="38" t="s">
        <v>94</v>
      </c>
      <c r="G13768" s="49" t="str">
        <f t="shared" si="1"/>
        <v>82170</v>
      </c>
      <c r="H13768" s="49">
        <f t="shared" si="2"/>
        <v>82017</v>
      </c>
    </row>
    <row r="13769">
      <c r="A13769" s="48" t="s">
        <v>18027</v>
      </c>
      <c r="B13769" s="38">
        <v>87016.0</v>
      </c>
      <c r="C13769" s="38" t="s">
        <v>18028</v>
      </c>
      <c r="D13769" s="38" t="str">
        <f>IFERROR(__xludf.DUMMYFUNCTION("REGEXREPLACE(C13769,""-\d+(.*)|--\d+(.*)"","""")"),"LES BILLANGES")</f>
        <v>LES BILLANGES</v>
      </c>
      <c r="E13769" s="38" t="s">
        <v>897</v>
      </c>
      <c r="F13769" s="38" t="s">
        <v>98</v>
      </c>
      <c r="G13769" s="49" t="str">
        <f t="shared" si="1"/>
        <v>87340</v>
      </c>
      <c r="H13769" s="49">
        <f t="shared" si="2"/>
        <v>87016</v>
      </c>
    </row>
    <row r="13770">
      <c r="A13770" s="48" t="s">
        <v>1590</v>
      </c>
      <c r="B13770" s="38">
        <v>33515.0</v>
      </c>
      <c r="C13770" s="38" t="s">
        <v>18029</v>
      </c>
      <c r="D13770" s="38" t="str">
        <f>IFERROR(__xludf.DUMMYFUNCTION("REGEXREPLACE(C13770,""-\d+(.*)|--\d+(.*)"","""")"),"SOULIGNAC")</f>
        <v>SOULIGNAC</v>
      </c>
      <c r="E13770" s="38" t="s">
        <v>462</v>
      </c>
      <c r="F13770" s="38" t="s">
        <v>252</v>
      </c>
      <c r="G13770" s="49" t="str">
        <f t="shared" si="1"/>
        <v>33760</v>
      </c>
      <c r="H13770" s="49">
        <f t="shared" si="2"/>
        <v>33515</v>
      </c>
    </row>
    <row r="13771">
      <c r="A13771" s="48" t="s">
        <v>2868</v>
      </c>
      <c r="B13771" s="38">
        <v>80233.0</v>
      </c>
      <c r="C13771" s="38" t="s">
        <v>18030</v>
      </c>
      <c r="D13771" s="38" t="str">
        <f>IFERROR(__xludf.DUMMYFUNCTION("REGEXREPLACE(C13771,""-\d+(.*)|--\d+(.*)"","""")"),"DANCOURT-POPINCOURT")</f>
        <v>DANCOURT-POPINCOURT</v>
      </c>
      <c r="E13771" s="38" t="s">
        <v>224</v>
      </c>
      <c r="F13771" s="38" t="s">
        <v>113</v>
      </c>
      <c r="G13771" s="49" t="str">
        <f t="shared" si="1"/>
        <v>80700</v>
      </c>
      <c r="H13771" s="49">
        <f t="shared" si="2"/>
        <v>80233</v>
      </c>
    </row>
    <row r="13772">
      <c r="A13772" s="48" t="s">
        <v>13080</v>
      </c>
      <c r="B13772" s="38">
        <v>71450.0</v>
      </c>
      <c r="C13772" s="38" t="s">
        <v>18031</v>
      </c>
      <c r="D13772" s="38" t="str">
        <f>IFERROR(__xludf.DUMMYFUNCTION("REGEXREPLACE(C13772,""-\d+(.*)|--\d+(.*)"","""")"),"SAINT-MARTIN-DE-COMMUNE")</f>
        <v>SAINT-MARTIN-DE-COMMUNE</v>
      </c>
      <c r="E13772" s="38" t="s">
        <v>344</v>
      </c>
      <c r="F13772" s="38" t="s">
        <v>106</v>
      </c>
      <c r="G13772" s="49" t="str">
        <f t="shared" si="1"/>
        <v>71490</v>
      </c>
      <c r="H13772" s="49">
        <f t="shared" si="2"/>
        <v>71450</v>
      </c>
    </row>
    <row r="13773">
      <c r="A13773" s="48" t="s">
        <v>18032</v>
      </c>
      <c r="B13773" s="38">
        <v>62065.0</v>
      </c>
      <c r="C13773" s="38" t="s">
        <v>18033</v>
      </c>
      <c r="D13773" s="38" t="str">
        <f>IFERROR(__xludf.DUMMYFUNCTION("REGEXREPLACE(C13773,""-\d+(.*)|--\d+(.*)"","""")"),"AVION")</f>
        <v>AVION</v>
      </c>
      <c r="E13773" s="38" t="s">
        <v>109</v>
      </c>
      <c r="F13773" s="38" t="s">
        <v>86</v>
      </c>
      <c r="G13773" s="49" t="str">
        <f t="shared" si="1"/>
        <v>62210</v>
      </c>
      <c r="H13773" s="49">
        <f t="shared" si="2"/>
        <v>62065</v>
      </c>
    </row>
    <row r="13774">
      <c r="A13774" s="48" t="s">
        <v>3978</v>
      </c>
      <c r="B13774" s="38">
        <v>21578.0</v>
      </c>
      <c r="C13774" s="38" t="s">
        <v>18034</v>
      </c>
      <c r="D13774" s="38" t="str">
        <f>IFERROR(__xludf.DUMMYFUNCTION("REGEXREPLACE(C13774,""-\d+(.*)|--\d+(.*)"","""")"),"SAINT-VICTOR-SUR-OUCHE")</f>
        <v>SAINT-VICTOR-SUR-OUCHE</v>
      </c>
      <c r="E13774" s="38" t="s">
        <v>105</v>
      </c>
      <c r="F13774" s="38" t="s">
        <v>106</v>
      </c>
      <c r="G13774" s="49" t="str">
        <f t="shared" si="1"/>
        <v>21410</v>
      </c>
      <c r="H13774" s="49">
        <f t="shared" si="2"/>
        <v>21578</v>
      </c>
    </row>
    <row r="13775">
      <c r="A13775" s="48" t="s">
        <v>6107</v>
      </c>
      <c r="B13775" s="38">
        <v>61185.0</v>
      </c>
      <c r="C13775" s="38" t="s">
        <v>18035</v>
      </c>
      <c r="D13775" s="38" t="str">
        <f>IFERROR(__xludf.DUMMYFUNCTION("REGEXREPLACE(C13775,""-\d+(.*)|--\d+(.*)"","""")"),"GEMAGES")</f>
        <v>GEMAGES</v>
      </c>
      <c r="E13775" s="38" t="s">
        <v>141</v>
      </c>
      <c r="F13775" s="38" t="s">
        <v>138</v>
      </c>
      <c r="G13775" s="49" t="str">
        <f t="shared" si="1"/>
        <v>61130</v>
      </c>
      <c r="H13775" s="49">
        <f t="shared" si="2"/>
        <v>61185</v>
      </c>
    </row>
    <row r="13776">
      <c r="A13776" s="48" t="s">
        <v>18036</v>
      </c>
      <c r="B13776" s="38">
        <v>77121.0</v>
      </c>
      <c r="C13776" s="38" t="s">
        <v>18037</v>
      </c>
      <c r="D13776" s="38" t="str">
        <f>IFERROR(__xludf.DUMMYFUNCTION("REGEXREPLACE(C13776,""-\d+(.*)|--\d+(.*)"","""")"),"COLLEGIEN")</f>
        <v>COLLEGIEN</v>
      </c>
      <c r="E13776" s="38" t="s">
        <v>244</v>
      </c>
      <c r="F13776" s="38" t="s">
        <v>245</v>
      </c>
      <c r="G13776" s="49" t="str">
        <f t="shared" si="1"/>
        <v>77090</v>
      </c>
      <c r="H13776" s="49">
        <f t="shared" si="2"/>
        <v>77121</v>
      </c>
    </row>
    <row r="13777">
      <c r="A13777" s="48" t="s">
        <v>7332</v>
      </c>
      <c r="B13777" s="38">
        <v>24327.0</v>
      </c>
      <c r="C13777" s="38" t="s">
        <v>18038</v>
      </c>
      <c r="D13777" s="38" t="str">
        <f>IFERROR(__xludf.DUMMYFUNCTION("REGEXREPLACE(C13777,""-\d+(.*)|--\d+(.*)"","""")"),"PEZULS")</f>
        <v>PEZULS</v>
      </c>
      <c r="E13777" s="38" t="s">
        <v>261</v>
      </c>
      <c r="F13777" s="38" t="s">
        <v>252</v>
      </c>
      <c r="G13777" s="49" t="str">
        <f t="shared" si="1"/>
        <v>24510</v>
      </c>
      <c r="H13777" s="49">
        <f t="shared" si="2"/>
        <v>24327</v>
      </c>
    </row>
    <row r="13778">
      <c r="A13778" s="48" t="s">
        <v>1892</v>
      </c>
      <c r="B13778" s="38">
        <v>67550.0</v>
      </c>
      <c r="C13778" s="38" t="s">
        <v>18039</v>
      </c>
      <c r="D13778" s="38" t="str">
        <f>IFERROR(__xludf.DUMMYFUNCTION("REGEXREPLACE(C13778,""-\d+(.*)|--\d+(.*)"","""")"),"WOERTH")</f>
        <v>WOERTH</v>
      </c>
      <c r="E13778" s="38" t="s">
        <v>210</v>
      </c>
      <c r="F13778" s="38" t="s">
        <v>151</v>
      </c>
      <c r="G13778" s="49" t="str">
        <f t="shared" si="1"/>
        <v>67360</v>
      </c>
      <c r="H13778" s="49">
        <f t="shared" si="2"/>
        <v>67550</v>
      </c>
    </row>
    <row r="13779">
      <c r="A13779" s="48" t="s">
        <v>18040</v>
      </c>
      <c r="B13779" s="38">
        <v>68020.0</v>
      </c>
      <c r="C13779" s="38" t="s">
        <v>18041</v>
      </c>
      <c r="D13779" s="38" t="str">
        <f>IFERROR(__xludf.DUMMYFUNCTION("REGEXREPLACE(C13779,""-\d+(.*)|--\d+(.*)"","""")"),"BANTZENHEIM")</f>
        <v>BANTZENHEIM</v>
      </c>
      <c r="E13779" s="38" t="s">
        <v>150</v>
      </c>
      <c r="F13779" s="38" t="s">
        <v>151</v>
      </c>
      <c r="G13779" s="49" t="str">
        <f t="shared" si="1"/>
        <v>68490</v>
      </c>
      <c r="H13779" s="49">
        <f t="shared" si="2"/>
        <v>68020</v>
      </c>
    </row>
    <row r="13780">
      <c r="A13780" s="48" t="s">
        <v>8290</v>
      </c>
      <c r="B13780" s="38">
        <v>69255.0</v>
      </c>
      <c r="C13780" s="38" t="s">
        <v>18042</v>
      </c>
      <c r="D13780" s="38" t="str">
        <f>IFERROR(__xludf.DUMMYFUNCTION("REGEXREPLACE(C13780,""-\d+(.*)|--\d+(.*)"","""")"),"VAUGNERAY")</f>
        <v>VAUGNERAY</v>
      </c>
      <c r="E13780" s="38" t="s">
        <v>350</v>
      </c>
      <c r="F13780" s="38" t="s">
        <v>102</v>
      </c>
      <c r="G13780" s="49" t="str">
        <f t="shared" si="1"/>
        <v>69670</v>
      </c>
      <c r="H13780" s="49">
        <f t="shared" si="2"/>
        <v>69255</v>
      </c>
    </row>
    <row r="13781">
      <c r="A13781" s="48" t="s">
        <v>8327</v>
      </c>
      <c r="B13781" s="38">
        <v>71090.0</v>
      </c>
      <c r="C13781" s="38" t="s">
        <v>18043</v>
      </c>
      <c r="D13781" s="38" t="str">
        <f>IFERROR(__xludf.DUMMYFUNCTION("REGEXREPLACE(C13781,""-\d+(.*)|--\d+(.*)"","""")"),"LA CHAPELLE-DE-GUINCHAY")</f>
        <v>LA CHAPELLE-DE-GUINCHAY</v>
      </c>
      <c r="E13781" s="38" t="s">
        <v>344</v>
      </c>
      <c r="F13781" s="38" t="s">
        <v>106</v>
      </c>
      <c r="G13781" s="49" t="str">
        <f t="shared" si="1"/>
        <v>71570</v>
      </c>
      <c r="H13781" s="49">
        <f t="shared" si="2"/>
        <v>71090</v>
      </c>
    </row>
    <row r="13782">
      <c r="A13782" s="48" t="s">
        <v>1900</v>
      </c>
      <c r="B13782" s="38">
        <v>45150.0</v>
      </c>
      <c r="C13782" s="38" t="s">
        <v>18044</v>
      </c>
      <c r="D13782" s="38" t="str">
        <f>IFERROR(__xludf.DUMMYFUNCTION("REGEXREPLACE(C13782,""-\d+(.*)|--\d+(.*)"","""")"),"FREVILLE-DU-GATINAIS")</f>
        <v>FREVILLE-DU-GATINAIS</v>
      </c>
      <c r="E13782" s="38" t="s">
        <v>122</v>
      </c>
      <c r="F13782" s="38" t="s">
        <v>123</v>
      </c>
      <c r="G13782" s="49" t="str">
        <f t="shared" si="1"/>
        <v>45270</v>
      </c>
      <c r="H13782" s="49">
        <f t="shared" si="2"/>
        <v>45150</v>
      </c>
    </row>
    <row r="13783">
      <c r="A13783" s="48" t="s">
        <v>3448</v>
      </c>
      <c r="B13783" s="38">
        <v>65367.0</v>
      </c>
      <c r="C13783" s="38" t="s">
        <v>18045</v>
      </c>
      <c r="D13783" s="38" t="str">
        <f>IFERROR(__xludf.DUMMYFUNCTION("REGEXREPLACE(C13783,""-\d+(.*)|--\d+(.*)"","""")"),"POUMAROUS")</f>
        <v>POUMAROUS</v>
      </c>
      <c r="E13783" s="38" t="s">
        <v>200</v>
      </c>
      <c r="F13783" s="38" t="s">
        <v>94</v>
      </c>
      <c r="G13783" s="49" t="str">
        <f t="shared" si="1"/>
        <v>65190</v>
      </c>
      <c r="H13783" s="49">
        <f t="shared" si="2"/>
        <v>65367</v>
      </c>
    </row>
    <row r="13784">
      <c r="A13784" s="48" t="s">
        <v>2457</v>
      </c>
      <c r="B13784" s="38">
        <v>17195.0</v>
      </c>
      <c r="C13784" s="38" t="s">
        <v>18046</v>
      </c>
      <c r="D13784" s="38" t="str">
        <f>IFERROR(__xludf.DUMMYFUNCTION("REGEXREPLACE(C13784,""-\d+(.*)|--\d+(.*)"","""")"),"LA JARRIE-AUDOUIN")</f>
        <v>LA JARRIE-AUDOUIN</v>
      </c>
      <c r="E13784" s="38" t="s">
        <v>488</v>
      </c>
      <c r="F13784" s="38" t="s">
        <v>338</v>
      </c>
      <c r="G13784" s="49" t="str">
        <f t="shared" si="1"/>
        <v>17330</v>
      </c>
      <c r="H13784" s="49">
        <f t="shared" si="2"/>
        <v>17195</v>
      </c>
    </row>
    <row r="13785">
      <c r="A13785" s="48" t="s">
        <v>9168</v>
      </c>
      <c r="B13785" s="38">
        <v>71564.0</v>
      </c>
      <c r="C13785" s="38" t="s">
        <v>18047</v>
      </c>
      <c r="D13785" s="38" t="str">
        <f>IFERROR(__xludf.DUMMYFUNCTION("REGEXREPLACE(C13785,""-\d+(.*)|--\d+(.*)"","""")"),"VENDENESSE-LES-CHAROLLES")</f>
        <v>VENDENESSE-LES-CHAROLLES</v>
      </c>
      <c r="E13785" s="38" t="s">
        <v>344</v>
      </c>
      <c r="F13785" s="38" t="s">
        <v>106</v>
      </c>
      <c r="G13785" s="49" t="str">
        <f t="shared" si="1"/>
        <v>71120</v>
      </c>
      <c r="H13785" s="49">
        <f t="shared" si="2"/>
        <v>71564</v>
      </c>
    </row>
    <row r="13786">
      <c r="A13786" s="48" t="s">
        <v>18048</v>
      </c>
      <c r="B13786" s="38">
        <v>86095.0</v>
      </c>
      <c r="C13786" s="38" t="s">
        <v>18049</v>
      </c>
      <c r="D13786" s="38" t="str">
        <f>IFERROR(__xludf.DUMMYFUNCTION("REGEXREPLACE(C13786,""-\d+(.*)|--\d+(.*)"","""")"),"DISSAY")</f>
        <v>DISSAY</v>
      </c>
      <c r="E13786" s="38" t="s">
        <v>529</v>
      </c>
      <c r="F13786" s="38" t="s">
        <v>338</v>
      </c>
      <c r="G13786" s="49" t="str">
        <f t="shared" si="1"/>
        <v>86130</v>
      </c>
      <c r="H13786" s="49">
        <f t="shared" si="2"/>
        <v>86095</v>
      </c>
    </row>
    <row r="13787">
      <c r="A13787" s="48" t="s">
        <v>5332</v>
      </c>
      <c r="B13787" s="38">
        <v>1442.0</v>
      </c>
      <c r="C13787" s="38" t="s">
        <v>18050</v>
      </c>
      <c r="D13787" s="38" t="str">
        <f>IFERROR(__xludf.DUMMYFUNCTION("REGEXREPLACE(C13787,""-\d+(.*)|--\d+(.*)"","""")"),"VIEU")</f>
        <v>VIEU</v>
      </c>
      <c r="E13787" s="38" t="s">
        <v>255</v>
      </c>
      <c r="F13787" s="38" t="s">
        <v>102</v>
      </c>
      <c r="G13787" s="49" t="str">
        <f t="shared" si="1"/>
        <v>01260</v>
      </c>
      <c r="H13787" s="49" t="str">
        <f t="shared" si="2"/>
        <v>01442</v>
      </c>
    </row>
    <row r="13788">
      <c r="A13788" s="48" t="s">
        <v>3337</v>
      </c>
      <c r="B13788" s="38">
        <v>34221.0</v>
      </c>
      <c r="C13788" s="38" t="s">
        <v>18051</v>
      </c>
      <c r="D13788" s="38" t="str">
        <f>IFERROR(__xludf.DUMMYFUNCTION("REGEXREPLACE(C13788,""-\d+(.*)|--\d+(.*)"","""")"),"PUECHABON")</f>
        <v>PUECHABON</v>
      </c>
      <c r="E13788" s="38" t="s">
        <v>118</v>
      </c>
      <c r="F13788" s="38" t="s">
        <v>119</v>
      </c>
      <c r="G13788" s="49" t="str">
        <f t="shared" si="1"/>
        <v>34150</v>
      </c>
      <c r="H13788" s="49">
        <f t="shared" si="2"/>
        <v>34221</v>
      </c>
    </row>
    <row r="13789">
      <c r="A13789" s="48" t="s">
        <v>2781</v>
      </c>
      <c r="B13789" s="38">
        <v>6124.0</v>
      </c>
      <c r="C13789" s="38" t="s">
        <v>11669</v>
      </c>
      <c r="D13789" s="38" t="str">
        <f>IFERROR(__xludf.DUMMYFUNCTION("REGEXREPLACE(C13789,""-\d+(.*)|--\d+(.*)"","""")"),"SAINT-LEGER")</f>
        <v>SAINT-LEGER</v>
      </c>
      <c r="E13789" s="38" t="s">
        <v>227</v>
      </c>
      <c r="F13789" s="38" t="s">
        <v>228</v>
      </c>
      <c r="G13789" s="49" t="str">
        <f t="shared" si="1"/>
        <v>06260</v>
      </c>
      <c r="H13789" s="49" t="str">
        <f t="shared" si="2"/>
        <v>06124</v>
      </c>
    </row>
    <row r="13790">
      <c r="A13790" s="48" t="s">
        <v>315</v>
      </c>
      <c r="B13790" s="38">
        <v>27697.0</v>
      </c>
      <c r="C13790" s="38" t="s">
        <v>18052</v>
      </c>
      <c r="D13790" s="38" t="str">
        <f>IFERROR(__xludf.DUMMYFUNCTION("REGEXREPLACE(C13790,""-\d+(.*)|--\d+(.*)"","""")"),"VIRONVAY")</f>
        <v>VIRONVAY</v>
      </c>
      <c r="E13790" s="38" t="s">
        <v>241</v>
      </c>
      <c r="F13790" s="38" t="s">
        <v>134</v>
      </c>
      <c r="G13790" s="49" t="str">
        <f t="shared" si="1"/>
        <v>27400</v>
      </c>
      <c r="H13790" s="49">
        <f t="shared" si="2"/>
        <v>27697</v>
      </c>
    </row>
    <row r="13791">
      <c r="A13791" s="48" t="s">
        <v>18053</v>
      </c>
      <c r="B13791" s="38">
        <v>4197.0</v>
      </c>
      <c r="C13791" s="38" t="s">
        <v>18054</v>
      </c>
      <c r="D13791" s="38" t="str">
        <f>IFERROR(__xludf.DUMMYFUNCTION("REGEXREPLACE(C13791,""-\d+(.*)|--\d+(.*)"","""")"),"SAINTE-TULLE")</f>
        <v>SAINTE-TULLE</v>
      </c>
      <c r="E13791" s="38" t="s">
        <v>662</v>
      </c>
      <c r="F13791" s="38" t="s">
        <v>228</v>
      </c>
      <c r="G13791" s="49" t="str">
        <f t="shared" si="1"/>
        <v>04220</v>
      </c>
      <c r="H13791" s="49" t="str">
        <f t="shared" si="2"/>
        <v>04197</v>
      </c>
    </row>
    <row r="13792">
      <c r="A13792" s="48" t="s">
        <v>562</v>
      </c>
      <c r="B13792" s="38">
        <v>54016.0</v>
      </c>
      <c r="C13792" s="38" t="s">
        <v>9219</v>
      </c>
      <c r="D13792" s="38" t="str">
        <f>IFERROR(__xludf.DUMMYFUNCTION("REGEXREPLACE(C13792,""-\d+(.*)|--\d+(.*)"","""")"),"ANDILLY")</f>
        <v>ANDILLY</v>
      </c>
      <c r="E13792" s="38" t="s">
        <v>548</v>
      </c>
      <c r="F13792" s="38" t="s">
        <v>195</v>
      </c>
      <c r="G13792" s="49" t="str">
        <f t="shared" si="1"/>
        <v>54200</v>
      </c>
      <c r="H13792" s="49">
        <f t="shared" si="2"/>
        <v>54016</v>
      </c>
    </row>
    <row r="13793">
      <c r="A13793" s="48" t="s">
        <v>292</v>
      </c>
      <c r="B13793" s="38">
        <v>60426.0</v>
      </c>
      <c r="C13793" s="38" t="s">
        <v>18055</v>
      </c>
      <c r="D13793" s="38" t="str">
        <f>IFERROR(__xludf.DUMMYFUNCTION("REGEXREPLACE(C13793,""-\d+(.*)|--\d+(.*)"","""")"),"MONTREUIL-SUR-THERAIN")</f>
        <v>MONTREUIL-SUR-THERAIN</v>
      </c>
      <c r="E13793" s="38" t="s">
        <v>112</v>
      </c>
      <c r="F13793" s="38" t="s">
        <v>113</v>
      </c>
      <c r="G13793" s="49" t="str">
        <f t="shared" si="1"/>
        <v>60134</v>
      </c>
      <c r="H13793" s="49">
        <f t="shared" si="2"/>
        <v>60426</v>
      </c>
    </row>
    <row r="13794">
      <c r="A13794" s="48" t="s">
        <v>1859</v>
      </c>
      <c r="B13794" s="38">
        <v>88466.0</v>
      </c>
      <c r="C13794" s="38" t="s">
        <v>18056</v>
      </c>
      <c r="D13794" s="38" t="str">
        <f>IFERROR(__xludf.DUMMYFUNCTION("REGEXREPLACE(C13794,""-\d+(.*)|--\d+(.*)"","""")"),"THEY-SOUS-MONTFORT")</f>
        <v>THEY-SOUS-MONTFORT</v>
      </c>
      <c r="E13794" s="38" t="s">
        <v>194</v>
      </c>
      <c r="F13794" s="38" t="s">
        <v>195</v>
      </c>
      <c r="G13794" s="49" t="str">
        <f t="shared" si="1"/>
        <v>88800</v>
      </c>
      <c r="H13794" s="49">
        <f t="shared" si="2"/>
        <v>88466</v>
      </c>
    </row>
    <row r="13795">
      <c r="A13795" s="48" t="s">
        <v>4032</v>
      </c>
      <c r="B13795" s="38">
        <v>17042.0</v>
      </c>
      <c r="C13795" s="38" t="s">
        <v>18057</v>
      </c>
      <c r="D13795" s="38" t="str">
        <f>IFERROR(__xludf.DUMMYFUNCTION("REGEXREPLACE(C13795,""-\d+(.*)|--\d+(.*)"","""")"),"BERCLOUX")</f>
        <v>BERCLOUX</v>
      </c>
      <c r="E13795" s="38" t="s">
        <v>488</v>
      </c>
      <c r="F13795" s="38" t="s">
        <v>338</v>
      </c>
      <c r="G13795" s="49" t="str">
        <f t="shared" si="1"/>
        <v>17770</v>
      </c>
      <c r="H13795" s="49">
        <f t="shared" si="2"/>
        <v>17042</v>
      </c>
    </row>
    <row r="13796">
      <c r="A13796" s="48" t="s">
        <v>1002</v>
      </c>
      <c r="B13796" s="38">
        <v>46085.0</v>
      </c>
      <c r="C13796" s="38" t="s">
        <v>18058</v>
      </c>
      <c r="D13796" s="38" t="str">
        <f>IFERROR(__xludf.DUMMYFUNCTION("REGEXREPLACE(C13796,""-\d+(.*)|--\d+(.*)"","""")"),"CUZAC")</f>
        <v>CUZAC</v>
      </c>
      <c r="E13796" s="38" t="s">
        <v>185</v>
      </c>
      <c r="F13796" s="38" t="s">
        <v>94</v>
      </c>
      <c r="G13796" s="49" t="str">
        <f t="shared" si="1"/>
        <v>46270</v>
      </c>
      <c r="H13796" s="49">
        <f t="shared" si="2"/>
        <v>46085</v>
      </c>
    </row>
    <row r="13797">
      <c r="A13797" s="48" t="s">
        <v>12036</v>
      </c>
      <c r="B13797" s="38">
        <v>91106.0</v>
      </c>
      <c r="C13797" s="38" t="s">
        <v>18059</v>
      </c>
      <c r="D13797" s="38" t="str">
        <f>IFERROR(__xludf.DUMMYFUNCTION("REGEXREPLACE(C13797,""-\d+(.*)|--\d+(.*)"","""")"),"BREUX-JOUY")</f>
        <v>BREUX-JOUY</v>
      </c>
      <c r="E13797" s="38" t="s">
        <v>756</v>
      </c>
      <c r="F13797" s="38" t="s">
        <v>245</v>
      </c>
      <c r="G13797" s="49" t="str">
        <f t="shared" si="1"/>
        <v>91650</v>
      </c>
      <c r="H13797" s="49">
        <f t="shared" si="2"/>
        <v>91106</v>
      </c>
    </row>
    <row r="13798">
      <c r="A13798" s="48" t="s">
        <v>6019</v>
      </c>
      <c r="B13798" s="38">
        <v>39014.0</v>
      </c>
      <c r="C13798" s="38" t="s">
        <v>18060</v>
      </c>
      <c r="D13798" s="38" t="str">
        <f>IFERROR(__xludf.DUMMYFUNCTION("REGEXREPLACE(C13798,""-\d+(.*)|--\d+(.*)"","""")"),"ARCHELANGE")</f>
        <v>ARCHELANGE</v>
      </c>
      <c r="E13798" s="38" t="s">
        <v>400</v>
      </c>
      <c r="F13798" s="38" t="s">
        <v>214</v>
      </c>
      <c r="G13798" s="49" t="str">
        <f t="shared" si="1"/>
        <v>39290</v>
      </c>
      <c r="H13798" s="49">
        <f t="shared" si="2"/>
        <v>39014</v>
      </c>
    </row>
    <row r="13799">
      <c r="A13799" s="48" t="s">
        <v>10017</v>
      </c>
      <c r="B13799" s="38">
        <v>14125.0</v>
      </c>
      <c r="C13799" s="38" t="s">
        <v>18061</v>
      </c>
      <c r="D13799" s="38" t="str">
        <f>IFERROR(__xludf.DUMMYFUNCTION("REGEXREPLACE(C13799,""-\d+(.*)|--\d+(.*)"","""")"),"CAMBES-EN-PLAINE")</f>
        <v>CAMBES-EN-PLAINE</v>
      </c>
      <c r="E13799" s="38" t="s">
        <v>137</v>
      </c>
      <c r="F13799" s="38" t="s">
        <v>138</v>
      </c>
      <c r="G13799" s="49" t="str">
        <f t="shared" si="1"/>
        <v>14610</v>
      </c>
      <c r="H13799" s="49">
        <f t="shared" si="2"/>
        <v>14125</v>
      </c>
    </row>
    <row r="13800">
      <c r="A13800" s="48" t="s">
        <v>378</v>
      </c>
      <c r="B13800" s="38">
        <v>37012.0</v>
      </c>
      <c r="C13800" s="38" t="s">
        <v>18062</v>
      </c>
      <c r="D13800" s="38" t="str">
        <f>IFERROR(__xludf.DUMMYFUNCTION("REGEXREPLACE(C13800,""-\d+(.*)|--\d+(.*)"","""")"),"AVON-LES-ROCHES")</f>
        <v>AVON-LES-ROCHES</v>
      </c>
      <c r="E13800" s="38" t="s">
        <v>205</v>
      </c>
      <c r="F13800" s="38" t="s">
        <v>123</v>
      </c>
      <c r="G13800" s="49" t="str">
        <f t="shared" si="1"/>
        <v>37220</v>
      </c>
      <c r="H13800" s="49">
        <f t="shared" si="2"/>
        <v>37012</v>
      </c>
    </row>
    <row r="13801">
      <c r="A13801" s="48" t="s">
        <v>7824</v>
      </c>
      <c r="B13801" s="38">
        <v>82108.0</v>
      </c>
      <c r="C13801" s="38" t="s">
        <v>18063</v>
      </c>
      <c r="D13801" s="38" t="str">
        <f>IFERROR(__xludf.DUMMYFUNCTION("REGEXREPLACE(C13801,""-\d+(.*)|--\d+(.*)"","""")"),"MEAUZAC")</f>
        <v>MEAUZAC</v>
      </c>
      <c r="E13801" s="38" t="s">
        <v>570</v>
      </c>
      <c r="F13801" s="38" t="s">
        <v>94</v>
      </c>
      <c r="G13801" s="49" t="str">
        <f t="shared" si="1"/>
        <v>82290</v>
      </c>
      <c r="H13801" s="49">
        <f t="shared" si="2"/>
        <v>82108</v>
      </c>
    </row>
    <row r="13802">
      <c r="A13802" s="48" t="s">
        <v>920</v>
      </c>
      <c r="B13802" s="38">
        <v>31452.0</v>
      </c>
      <c r="C13802" s="38" t="s">
        <v>18064</v>
      </c>
      <c r="D13802" s="38" t="str">
        <f>IFERROR(__xludf.DUMMYFUNCTION("REGEXREPLACE(C13802,""-\d+(.*)|--\d+(.*)"","""")"),"RIEUCAZE")</f>
        <v>RIEUCAZE</v>
      </c>
      <c r="E13802" s="38" t="s">
        <v>93</v>
      </c>
      <c r="F13802" s="38" t="s">
        <v>94</v>
      </c>
      <c r="G13802" s="49" t="str">
        <f t="shared" si="1"/>
        <v>31800</v>
      </c>
      <c r="H13802" s="49">
        <f t="shared" si="2"/>
        <v>31452</v>
      </c>
    </row>
    <row r="13803">
      <c r="A13803" s="48" t="s">
        <v>509</v>
      </c>
      <c r="B13803" s="38">
        <v>28210.0</v>
      </c>
      <c r="C13803" s="38" t="s">
        <v>18065</v>
      </c>
      <c r="D13803" s="38" t="str">
        <f>IFERROR(__xludf.DUMMYFUNCTION("REGEXREPLACE(C13803,""-\d+(.*)|--\d+(.*)"","""")"),"LEVESVILLE-LA-CHENARD")</f>
        <v>LEVESVILLE-LA-CHENARD</v>
      </c>
      <c r="E13803" s="38" t="s">
        <v>300</v>
      </c>
      <c r="F13803" s="38" t="s">
        <v>123</v>
      </c>
      <c r="G13803" s="49" t="str">
        <f t="shared" si="1"/>
        <v>28310</v>
      </c>
      <c r="H13803" s="49">
        <f t="shared" si="2"/>
        <v>28210</v>
      </c>
    </row>
    <row r="13804">
      <c r="A13804" s="48" t="s">
        <v>8883</v>
      </c>
      <c r="B13804" s="38">
        <v>39034.0</v>
      </c>
      <c r="C13804" s="38" t="s">
        <v>18066</v>
      </c>
      <c r="D13804" s="38" t="str">
        <f>IFERROR(__xludf.DUMMYFUNCTION("REGEXREPLACE(C13804,""-\d+(.*)|--\d+(.*)"","""")"),"BALAISEAUX")</f>
        <v>BALAISEAUX</v>
      </c>
      <c r="E13804" s="38" t="s">
        <v>400</v>
      </c>
      <c r="F13804" s="38" t="s">
        <v>214</v>
      </c>
      <c r="G13804" s="49" t="str">
        <f t="shared" si="1"/>
        <v>39120</v>
      </c>
      <c r="H13804" s="49">
        <f t="shared" si="2"/>
        <v>39034</v>
      </c>
    </row>
    <row r="13805">
      <c r="A13805" s="48" t="s">
        <v>8695</v>
      </c>
      <c r="B13805" s="38">
        <v>62672.0</v>
      </c>
      <c r="C13805" s="38" t="s">
        <v>13959</v>
      </c>
      <c r="D13805" s="38" t="str">
        <f>IFERROR(__xludf.DUMMYFUNCTION("REGEXREPLACE(C13805,""-\d+(.*)|--\d+(.*)"","""")"),"PUISIEUX")</f>
        <v>PUISIEUX</v>
      </c>
      <c r="E13805" s="38" t="s">
        <v>109</v>
      </c>
      <c r="F13805" s="38" t="s">
        <v>86</v>
      </c>
      <c r="G13805" s="49" t="str">
        <f t="shared" si="1"/>
        <v>62116</v>
      </c>
      <c r="H13805" s="49">
        <f t="shared" si="2"/>
        <v>62672</v>
      </c>
    </row>
    <row r="13806">
      <c r="A13806" s="48" t="s">
        <v>2631</v>
      </c>
      <c r="B13806" s="38">
        <v>64187.0</v>
      </c>
      <c r="C13806" s="38" t="s">
        <v>18067</v>
      </c>
      <c r="D13806" s="38" t="str">
        <f>IFERROR(__xludf.DUMMYFUNCTION("REGEXREPLACE(C13806,""-\d+(.*)|--\d+(.*)"","""")"),"CHARRITTE-DE-BAS")</f>
        <v>CHARRITTE-DE-BAS</v>
      </c>
      <c r="E13806" s="38" t="s">
        <v>268</v>
      </c>
      <c r="F13806" s="38" t="s">
        <v>252</v>
      </c>
      <c r="G13806" s="49" t="str">
        <f t="shared" si="1"/>
        <v>64130</v>
      </c>
      <c r="H13806" s="49">
        <f t="shared" si="2"/>
        <v>64187</v>
      </c>
    </row>
    <row r="13807">
      <c r="A13807" s="48" t="s">
        <v>3161</v>
      </c>
      <c r="B13807" s="38">
        <v>70350.0</v>
      </c>
      <c r="C13807" s="38" t="s">
        <v>18068</v>
      </c>
      <c r="D13807" s="38" t="str">
        <f>IFERROR(__xludf.DUMMYFUNCTION("REGEXREPLACE(C13807,""-\d+(.*)|--\d+(.*)"","""")"),"MOLAY")</f>
        <v>MOLAY</v>
      </c>
      <c r="E13807" s="38" t="s">
        <v>956</v>
      </c>
      <c r="F13807" s="38" t="s">
        <v>214</v>
      </c>
      <c r="G13807" s="49" t="str">
        <f t="shared" si="1"/>
        <v>70120</v>
      </c>
      <c r="H13807" s="49">
        <f t="shared" si="2"/>
        <v>70350</v>
      </c>
    </row>
    <row r="13808">
      <c r="A13808" s="48" t="s">
        <v>1483</v>
      </c>
      <c r="B13808" s="38">
        <v>80147.0</v>
      </c>
      <c r="C13808" s="38" t="s">
        <v>18069</v>
      </c>
      <c r="D13808" s="38" t="str">
        <f>IFERROR(__xludf.DUMMYFUNCTION("REGEXREPLACE(C13808,""-\d+(.*)|--\d+(.*)"","""")"),"BUIGNY-L'ABBE")</f>
        <v>BUIGNY-L'ABBE</v>
      </c>
      <c r="E13808" s="38" t="s">
        <v>224</v>
      </c>
      <c r="F13808" s="38" t="s">
        <v>113</v>
      </c>
      <c r="G13808" s="49" t="str">
        <f t="shared" si="1"/>
        <v>80132</v>
      </c>
      <c r="H13808" s="49">
        <f t="shared" si="2"/>
        <v>80147</v>
      </c>
    </row>
    <row r="13809">
      <c r="A13809" s="48" t="s">
        <v>1800</v>
      </c>
      <c r="B13809" s="38">
        <v>88402.0</v>
      </c>
      <c r="C13809" s="38" t="s">
        <v>18070</v>
      </c>
      <c r="D13809" s="38" t="str">
        <f>IFERROR(__xludf.DUMMYFUNCTION("REGEXREPLACE(C13809,""-\d+(.*)|--\d+(.*)"","""")"),"ROVILLE-AUX-CHENES")</f>
        <v>ROVILLE-AUX-CHENES</v>
      </c>
      <c r="E13809" s="38" t="s">
        <v>194</v>
      </c>
      <c r="F13809" s="38" t="s">
        <v>195</v>
      </c>
      <c r="G13809" s="49" t="str">
        <f t="shared" si="1"/>
        <v>88700</v>
      </c>
      <c r="H13809" s="49">
        <f t="shared" si="2"/>
        <v>88402</v>
      </c>
    </row>
    <row r="13810">
      <c r="A13810" s="48" t="s">
        <v>597</v>
      </c>
      <c r="B13810" s="38">
        <v>31333.0</v>
      </c>
      <c r="C13810" s="38" t="s">
        <v>17036</v>
      </c>
      <c r="D13810" s="38" t="str">
        <f>IFERROR(__xludf.DUMMYFUNCTION("REGEXREPLACE(C13810,""-\d+(.*)|--\d+(.*)"","""")"),"MAUVEZIN")</f>
        <v>MAUVEZIN</v>
      </c>
      <c r="E13810" s="38" t="s">
        <v>93</v>
      </c>
      <c r="F13810" s="38" t="s">
        <v>94</v>
      </c>
      <c r="G13810" s="49" t="str">
        <f t="shared" si="1"/>
        <v>31230</v>
      </c>
      <c r="H13810" s="49">
        <f t="shared" si="2"/>
        <v>31333</v>
      </c>
    </row>
    <row r="13811">
      <c r="A13811" s="48" t="s">
        <v>3165</v>
      </c>
      <c r="B13811" s="38">
        <v>11395.0</v>
      </c>
      <c r="C13811" s="38" t="s">
        <v>18071</v>
      </c>
      <c r="D13811" s="38" t="str">
        <f>IFERROR(__xludf.DUMMYFUNCTION("REGEXREPLACE(C13811,""-\d+(.*)|--\d+(.*)"","""")"),"TRASSANEL")</f>
        <v>TRASSANEL</v>
      </c>
      <c r="E13811" s="38" t="s">
        <v>278</v>
      </c>
      <c r="F13811" s="38" t="s">
        <v>119</v>
      </c>
      <c r="G13811" s="49" t="str">
        <f t="shared" si="1"/>
        <v>11160</v>
      </c>
      <c r="H13811" s="49">
        <f t="shared" si="2"/>
        <v>11395</v>
      </c>
    </row>
    <row r="13812">
      <c r="A13812" s="48" t="s">
        <v>3783</v>
      </c>
      <c r="B13812" s="38">
        <v>62577.0</v>
      </c>
      <c r="C13812" s="38" t="s">
        <v>18072</v>
      </c>
      <c r="D13812" s="38" t="str">
        <f>IFERROR(__xludf.DUMMYFUNCTION("REGEXREPLACE(C13812,""-\d+(.*)|--\d+(.*)"","""")"),"MONCHEL-SUR-CANCHE")</f>
        <v>MONCHEL-SUR-CANCHE</v>
      </c>
      <c r="E13812" s="38" t="s">
        <v>109</v>
      </c>
      <c r="F13812" s="38" t="s">
        <v>86</v>
      </c>
      <c r="G13812" s="49" t="str">
        <f t="shared" si="1"/>
        <v>62270</v>
      </c>
      <c r="H13812" s="49">
        <f t="shared" si="2"/>
        <v>62577</v>
      </c>
    </row>
    <row r="13813">
      <c r="A13813" s="48" t="s">
        <v>639</v>
      </c>
      <c r="B13813" s="38">
        <v>16008.0</v>
      </c>
      <c r="C13813" s="38" t="s">
        <v>18073</v>
      </c>
      <c r="D13813" s="38" t="str">
        <f>IFERROR(__xludf.DUMMYFUNCTION("REGEXREPLACE(C13813,""-\d+(.*)|--\d+(.*)"","""")"),"AMBERAC")</f>
        <v>AMBERAC</v>
      </c>
      <c r="E13813" s="38" t="s">
        <v>429</v>
      </c>
      <c r="F13813" s="38" t="s">
        <v>338</v>
      </c>
      <c r="G13813" s="49" t="str">
        <f t="shared" si="1"/>
        <v>16140</v>
      </c>
      <c r="H13813" s="49">
        <f t="shared" si="2"/>
        <v>16008</v>
      </c>
    </row>
    <row r="13814">
      <c r="A13814" s="48" t="s">
        <v>460</v>
      </c>
      <c r="B13814" s="38">
        <v>33235.0</v>
      </c>
      <c r="C13814" s="38" t="s">
        <v>18074</v>
      </c>
      <c r="D13814" s="38" t="str">
        <f>IFERROR(__xludf.DUMMYFUNCTION("REGEXREPLACE(C13814,""-\d+(.*)|--\d+(.*)"","""")"),"LAVAZAN")</f>
        <v>LAVAZAN</v>
      </c>
      <c r="E13814" s="38" t="s">
        <v>462</v>
      </c>
      <c r="F13814" s="38" t="s">
        <v>252</v>
      </c>
      <c r="G13814" s="49" t="str">
        <f t="shared" si="1"/>
        <v>33690</v>
      </c>
      <c r="H13814" s="49">
        <f t="shared" si="2"/>
        <v>33235</v>
      </c>
    </row>
    <row r="13815">
      <c r="A13815" s="48" t="s">
        <v>8678</v>
      </c>
      <c r="B13815" s="38">
        <v>65464.0</v>
      </c>
      <c r="C13815" s="38" t="s">
        <v>18075</v>
      </c>
      <c r="D13815" s="38" t="str">
        <f>IFERROR(__xludf.DUMMYFUNCTION("REGEXREPLACE(C13815,""-\d+(.*)|--\d+(.*)"","""")"),"VIELLE-ADOUR")</f>
        <v>VIELLE-ADOUR</v>
      </c>
      <c r="E13815" s="38" t="s">
        <v>200</v>
      </c>
      <c r="F13815" s="38" t="s">
        <v>94</v>
      </c>
      <c r="G13815" s="49" t="str">
        <f t="shared" si="1"/>
        <v>65360</v>
      </c>
      <c r="H13815" s="49">
        <f t="shared" si="2"/>
        <v>65464</v>
      </c>
    </row>
    <row r="13816">
      <c r="A13816" s="48" t="s">
        <v>18076</v>
      </c>
      <c r="B13816" s="38">
        <v>49371.0</v>
      </c>
      <c r="C13816" s="38" t="s">
        <v>18077</v>
      </c>
      <c r="D13816" s="38" t="str">
        <f>IFERROR(__xludf.DUMMYFUNCTION("REGEXREPLACE(C13816,""-\d+(.*)|--\d+(.*)"","""")"),"VEZINS")</f>
        <v>VEZINS</v>
      </c>
      <c r="E13816" s="38" t="s">
        <v>653</v>
      </c>
      <c r="F13816" s="38" t="s">
        <v>180</v>
      </c>
      <c r="G13816" s="49" t="str">
        <f t="shared" si="1"/>
        <v>49340</v>
      </c>
      <c r="H13816" s="49">
        <f t="shared" si="2"/>
        <v>49371</v>
      </c>
    </row>
    <row r="13817">
      <c r="A13817" s="48" t="s">
        <v>2770</v>
      </c>
      <c r="B13817" s="38">
        <v>25030.0</v>
      </c>
      <c r="C13817" s="38" t="s">
        <v>18078</v>
      </c>
      <c r="D13817" s="38" t="str">
        <f>IFERROR(__xludf.DUMMYFUNCTION("REGEXREPLACE(C13817,""-\d+(.*)|--\d+(.*)"","""")"),"AUDEUX")</f>
        <v>AUDEUX</v>
      </c>
      <c r="E13817" s="38" t="s">
        <v>213</v>
      </c>
      <c r="F13817" s="38" t="s">
        <v>214</v>
      </c>
      <c r="G13817" s="49" t="str">
        <f t="shared" si="1"/>
        <v>25170</v>
      </c>
      <c r="H13817" s="49">
        <f t="shared" si="2"/>
        <v>25030</v>
      </c>
    </row>
    <row r="13818">
      <c r="A13818" s="48" t="s">
        <v>18079</v>
      </c>
      <c r="B13818" s="38">
        <v>78005.0</v>
      </c>
      <c r="C13818" s="38" t="s">
        <v>18080</v>
      </c>
      <c r="D13818" s="38" t="str">
        <f>IFERROR(__xludf.DUMMYFUNCTION("REGEXREPLACE(C13818,""-\d+(.*)|--\d+(.*)"","""")"),"ACHERES")</f>
        <v>ACHERES</v>
      </c>
      <c r="E13818" s="38" t="s">
        <v>362</v>
      </c>
      <c r="F13818" s="38" t="s">
        <v>245</v>
      </c>
      <c r="G13818" s="49" t="str">
        <f t="shared" si="1"/>
        <v>78260</v>
      </c>
      <c r="H13818" s="49">
        <f t="shared" si="2"/>
        <v>78005</v>
      </c>
    </row>
    <row r="13819">
      <c r="A13819" s="48" t="s">
        <v>1393</v>
      </c>
      <c r="B13819" s="38">
        <v>25210.0</v>
      </c>
      <c r="C13819" s="38" t="s">
        <v>18081</v>
      </c>
      <c r="D13819" s="38" t="str">
        <f>IFERROR(__xludf.DUMMYFUNCTION("REGEXREPLACE(C13819,""-\d+(.*)|--\d+(.*)"","""")"),"ECHENANS")</f>
        <v>ECHENANS</v>
      </c>
      <c r="E13819" s="38" t="s">
        <v>213</v>
      </c>
      <c r="F13819" s="38" t="s">
        <v>214</v>
      </c>
      <c r="G13819" s="49" t="str">
        <f t="shared" si="1"/>
        <v>25550</v>
      </c>
      <c r="H13819" s="49">
        <f t="shared" si="2"/>
        <v>25210</v>
      </c>
    </row>
    <row r="13820">
      <c r="A13820" s="48" t="s">
        <v>3219</v>
      </c>
      <c r="B13820" s="38">
        <v>22053.0</v>
      </c>
      <c r="C13820" s="38" t="s">
        <v>18082</v>
      </c>
      <c r="D13820" s="38" t="str">
        <f>IFERROR(__xludf.DUMMYFUNCTION("REGEXREPLACE(C13820,""-\d+(.*)|--\d+(.*)"","""")"),"EREAC")</f>
        <v>EREAC</v>
      </c>
      <c r="E13820" s="38" t="s">
        <v>89</v>
      </c>
      <c r="F13820" s="38" t="s">
        <v>90</v>
      </c>
      <c r="G13820" s="49" t="str">
        <f t="shared" si="1"/>
        <v>22250</v>
      </c>
      <c r="H13820" s="49">
        <f t="shared" si="2"/>
        <v>22053</v>
      </c>
    </row>
    <row r="13821">
      <c r="A13821" s="48" t="s">
        <v>2517</v>
      </c>
      <c r="B13821" s="38">
        <v>6107.0</v>
      </c>
      <c r="C13821" s="38" t="s">
        <v>18083</v>
      </c>
      <c r="D13821" s="38" t="str">
        <f>IFERROR(__xludf.DUMMYFUNCTION("REGEXREPLACE(C13821,""-\d+(.*)|--\d+(.*)"","""")"),"ROQUESTERON-GRASSE")</f>
        <v>ROQUESTERON-GRASSE</v>
      </c>
      <c r="E13821" s="38" t="s">
        <v>227</v>
      </c>
      <c r="F13821" s="38" t="s">
        <v>228</v>
      </c>
      <c r="G13821" s="49" t="str">
        <f t="shared" si="1"/>
        <v>06910</v>
      </c>
      <c r="H13821" s="49" t="str">
        <f t="shared" si="2"/>
        <v>06107</v>
      </c>
    </row>
    <row r="13822">
      <c r="A13822" s="48" t="s">
        <v>7368</v>
      </c>
      <c r="B13822" s="38">
        <v>37156.0</v>
      </c>
      <c r="C13822" s="38" t="s">
        <v>18084</v>
      </c>
      <c r="D13822" s="38" t="str">
        <f>IFERROR(__xludf.DUMMYFUNCTION("REGEXREPLACE(C13822,""-\d+(.*)|--\d+(.*)"","""")"),"MONTLOUIS-SUR-LOIRE")</f>
        <v>MONTLOUIS-SUR-LOIRE</v>
      </c>
      <c r="E13822" s="38" t="s">
        <v>205</v>
      </c>
      <c r="F13822" s="38" t="s">
        <v>123</v>
      </c>
      <c r="G13822" s="49" t="str">
        <f t="shared" si="1"/>
        <v>37270</v>
      </c>
      <c r="H13822" s="49">
        <f t="shared" si="2"/>
        <v>37156</v>
      </c>
    </row>
    <row r="13823">
      <c r="A13823" s="48" t="s">
        <v>1024</v>
      </c>
      <c r="B13823" s="38">
        <v>84089.0</v>
      </c>
      <c r="C13823" s="38" t="s">
        <v>18085</v>
      </c>
      <c r="D13823" s="38" t="str">
        <f>IFERROR(__xludf.DUMMYFUNCTION("REGEXREPLACE(C13823,""-\d+(.*)|--\d+(.*)"","""")"),"PERTUIS")</f>
        <v>PERTUIS</v>
      </c>
      <c r="E13823" s="38" t="s">
        <v>1026</v>
      </c>
      <c r="F13823" s="38" t="s">
        <v>228</v>
      </c>
      <c r="G13823" s="49" t="str">
        <f t="shared" si="1"/>
        <v>84120</v>
      </c>
      <c r="H13823" s="49">
        <f t="shared" si="2"/>
        <v>84089</v>
      </c>
    </row>
    <row r="13824">
      <c r="A13824" s="48" t="s">
        <v>18086</v>
      </c>
      <c r="B13824" s="38">
        <v>83101.0</v>
      </c>
      <c r="C13824" s="38" t="s">
        <v>18087</v>
      </c>
      <c r="D13824" s="38" t="str">
        <f>IFERROR(__xludf.DUMMYFUNCTION("REGEXREPLACE(C13824,""-\d+(.*)|--\d+(.*)"","""")"),"RAMATUELLE")</f>
        <v>RAMATUELLE</v>
      </c>
      <c r="E13824" s="38" t="s">
        <v>813</v>
      </c>
      <c r="F13824" s="38" t="s">
        <v>228</v>
      </c>
      <c r="G13824" s="49" t="str">
        <f t="shared" si="1"/>
        <v>83350</v>
      </c>
      <c r="H13824" s="49">
        <f t="shared" si="2"/>
        <v>83101</v>
      </c>
    </row>
    <row r="13825">
      <c r="A13825" s="48" t="s">
        <v>3704</v>
      </c>
      <c r="B13825" s="38">
        <v>2577.0</v>
      </c>
      <c r="C13825" s="38" t="s">
        <v>18088</v>
      </c>
      <c r="D13825" s="38" t="str">
        <f>IFERROR(__xludf.DUMMYFUNCTION("REGEXREPLACE(C13825,""-\d+(.*)|--\d+(.*)"","""")"),"OSTEL")</f>
        <v>OSTEL</v>
      </c>
      <c r="E13825" s="38" t="s">
        <v>191</v>
      </c>
      <c r="F13825" s="38" t="s">
        <v>113</v>
      </c>
      <c r="G13825" s="49" t="str">
        <f t="shared" si="1"/>
        <v>02370</v>
      </c>
      <c r="H13825" s="49" t="str">
        <f t="shared" si="2"/>
        <v>02577</v>
      </c>
    </row>
    <row r="13826">
      <c r="A13826" s="48" t="s">
        <v>4364</v>
      </c>
      <c r="B13826" s="38">
        <v>78354.0</v>
      </c>
      <c r="C13826" s="38" t="s">
        <v>18089</v>
      </c>
      <c r="D13826" s="38" t="str">
        <f>IFERROR(__xludf.DUMMYFUNCTION("REGEXREPLACE(C13826,""-\d+(.*)|--\d+(.*)"","""")"),"MAGNANVILLE")</f>
        <v>MAGNANVILLE</v>
      </c>
      <c r="E13826" s="38" t="s">
        <v>362</v>
      </c>
      <c r="F13826" s="38" t="s">
        <v>245</v>
      </c>
      <c r="G13826" s="49" t="str">
        <f t="shared" si="1"/>
        <v>78200</v>
      </c>
      <c r="H13826" s="49">
        <f t="shared" si="2"/>
        <v>78354</v>
      </c>
    </row>
    <row r="13827">
      <c r="A13827" s="48" t="s">
        <v>16795</v>
      </c>
      <c r="B13827" s="38">
        <v>49321.0</v>
      </c>
      <c r="C13827" s="38" t="s">
        <v>18090</v>
      </c>
      <c r="D13827" s="38" t="str">
        <f>IFERROR(__xludf.DUMMYFUNCTION("REGEXREPLACE(C13827,""-\d+(.*)|--\d+(.*)"","""")"),"SAINT-SIGISMOND")</f>
        <v>SAINT-SIGISMOND</v>
      </c>
      <c r="E13827" s="38" t="s">
        <v>653</v>
      </c>
      <c r="F13827" s="38" t="s">
        <v>180</v>
      </c>
      <c r="G13827" s="49" t="str">
        <f t="shared" si="1"/>
        <v>49123</v>
      </c>
      <c r="H13827" s="49">
        <f t="shared" si="2"/>
        <v>49321</v>
      </c>
    </row>
    <row r="13828">
      <c r="A13828" s="48" t="s">
        <v>3050</v>
      </c>
      <c r="B13828" s="38">
        <v>11263.0</v>
      </c>
      <c r="C13828" s="38" t="s">
        <v>18091</v>
      </c>
      <c r="D13828" s="38" t="str">
        <f>IFERROR(__xludf.DUMMYFUNCTION("REGEXREPLACE(C13828,""-\d+(.*)|--\d+(.*)"","""")"),"NEBIAS")</f>
        <v>NEBIAS</v>
      </c>
      <c r="E13828" s="38" t="s">
        <v>278</v>
      </c>
      <c r="F13828" s="38" t="s">
        <v>119</v>
      </c>
      <c r="G13828" s="49" t="str">
        <f t="shared" si="1"/>
        <v>11500</v>
      </c>
      <c r="H13828" s="49">
        <f t="shared" si="2"/>
        <v>11263</v>
      </c>
    </row>
    <row r="13829">
      <c r="A13829" s="48" t="s">
        <v>18092</v>
      </c>
      <c r="B13829" s="38">
        <v>87165.0</v>
      </c>
      <c r="C13829" s="38" t="s">
        <v>18093</v>
      </c>
      <c r="D13829" s="38" t="str">
        <f>IFERROR(__xludf.DUMMYFUNCTION("REGEXREPLACE(C13829,""-\d+(.*)|--\d+(.*)"","""")"),"SAINT-MARTIN-LE-MAULT")</f>
        <v>SAINT-MARTIN-LE-MAULT</v>
      </c>
      <c r="E13829" s="38" t="s">
        <v>897</v>
      </c>
      <c r="F13829" s="38" t="s">
        <v>98</v>
      </c>
      <c r="G13829" s="49" t="str">
        <f t="shared" si="1"/>
        <v>87360</v>
      </c>
      <c r="H13829" s="49">
        <f t="shared" si="2"/>
        <v>87165</v>
      </c>
    </row>
    <row r="13830">
      <c r="A13830" s="48" t="s">
        <v>18094</v>
      </c>
      <c r="B13830" s="38">
        <v>59250.0</v>
      </c>
      <c r="C13830" s="38" t="s">
        <v>18095</v>
      </c>
      <c r="D13830" s="38" t="str">
        <f>IFERROR(__xludf.DUMMYFUNCTION("REGEXREPLACE(C13830,""-\d+(.*)|--\d+(.*)"","""")"),"FOURNES-EN-WEPPES")</f>
        <v>FOURNES-EN-WEPPES</v>
      </c>
      <c r="E13830" s="38" t="s">
        <v>85</v>
      </c>
      <c r="F13830" s="38" t="s">
        <v>86</v>
      </c>
      <c r="G13830" s="49" t="str">
        <f t="shared" si="1"/>
        <v>59134</v>
      </c>
      <c r="H13830" s="49">
        <f t="shared" si="2"/>
        <v>59250</v>
      </c>
    </row>
    <row r="13831">
      <c r="A13831" s="48" t="s">
        <v>4748</v>
      </c>
      <c r="B13831" s="38">
        <v>77008.0</v>
      </c>
      <c r="C13831" s="38" t="s">
        <v>18096</v>
      </c>
      <c r="D13831" s="38" t="str">
        <f>IFERROR(__xludf.DUMMYFUNCTION("REGEXREPLACE(C13831,""-\d+(.*)|--\d+(.*)"","""")"),"ARMENTIERES-EN-BRIE")</f>
        <v>ARMENTIERES-EN-BRIE</v>
      </c>
      <c r="E13831" s="38" t="s">
        <v>244</v>
      </c>
      <c r="F13831" s="38" t="s">
        <v>245</v>
      </c>
      <c r="G13831" s="49" t="str">
        <f t="shared" si="1"/>
        <v>77440</v>
      </c>
      <c r="H13831" s="49">
        <f t="shared" si="2"/>
        <v>77008</v>
      </c>
    </row>
    <row r="13832">
      <c r="A13832" s="48" t="s">
        <v>18097</v>
      </c>
      <c r="B13832" s="38">
        <v>50178.0</v>
      </c>
      <c r="C13832" s="38" t="s">
        <v>18098</v>
      </c>
      <c r="D13832" s="38" t="str">
        <f>IFERROR(__xludf.DUMMYFUNCTION("REGEXREPLACE(C13832,""-\d+(.*)|--\d+(.*)"","""")"),"FERMANVILLE")</f>
        <v>FERMANVILLE</v>
      </c>
      <c r="E13832" s="38" t="s">
        <v>157</v>
      </c>
      <c r="F13832" s="38" t="s">
        <v>138</v>
      </c>
      <c r="G13832" s="49" t="str">
        <f t="shared" si="1"/>
        <v>50840</v>
      </c>
      <c r="H13832" s="49">
        <f t="shared" si="2"/>
        <v>50178</v>
      </c>
    </row>
    <row r="13833">
      <c r="A13833" s="48" t="s">
        <v>18099</v>
      </c>
      <c r="B13833" s="38">
        <v>92077.0</v>
      </c>
      <c r="C13833" s="38" t="s">
        <v>18100</v>
      </c>
      <c r="D13833" s="38" t="str">
        <f>IFERROR(__xludf.DUMMYFUNCTION("REGEXREPLACE(C13833,""-\d+(.*)|--\d+(.*)"","""")"),"VILLE-D'AVRAY")</f>
        <v>VILLE-D'AVRAY</v>
      </c>
      <c r="E13833" s="38" t="s">
        <v>838</v>
      </c>
      <c r="F13833" s="38" t="s">
        <v>245</v>
      </c>
      <c r="G13833" s="49" t="str">
        <f t="shared" si="1"/>
        <v>92410</v>
      </c>
      <c r="H13833" s="49">
        <f t="shared" si="2"/>
        <v>92077</v>
      </c>
    </row>
    <row r="13834">
      <c r="A13834" s="48" t="s">
        <v>773</v>
      </c>
      <c r="B13834" s="38">
        <v>27358.0</v>
      </c>
      <c r="C13834" s="38" t="s">
        <v>18101</v>
      </c>
      <c r="D13834" s="38" t="str">
        <f>IFERROR(__xludf.DUMMYFUNCTION("REGEXREPLACE(C13834,""-\d+(.*)|--\d+(.*)"","""")"),"JOUY-SUR-EURE")</f>
        <v>JOUY-SUR-EURE</v>
      </c>
      <c r="E13834" s="38" t="s">
        <v>241</v>
      </c>
      <c r="F13834" s="38" t="s">
        <v>134</v>
      </c>
      <c r="G13834" s="49" t="str">
        <f t="shared" si="1"/>
        <v>27120</v>
      </c>
      <c r="H13834" s="49">
        <f t="shared" si="2"/>
        <v>27358</v>
      </c>
    </row>
    <row r="13835">
      <c r="A13835" s="48" t="s">
        <v>2332</v>
      </c>
      <c r="B13835" s="38">
        <v>81173.0</v>
      </c>
      <c r="C13835" s="38" t="s">
        <v>9961</v>
      </c>
      <c r="D13835" s="38" t="str">
        <f>IFERROR(__xludf.DUMMYFUNCTION("REGEXREPLACE(C13835,""-\d+(.*)|--\d+(.*)"","""")"),"MONTCABRIER")</f>
        <v>MONTCABRIER</v>
      </c>
      <c r="E13835" s="38" t="s">
        <v>231</v>
      </c>
      <c r="F13835" s="38" t="s">
        <v>94</v>
      </c>
      <c r="G13835" s="49" t="str">
        <f t="shared" si="1"/>
        <v>81500</v>
      </c>
      <c r="H13835" s="49">
        <f t="shared" si="2"/>
        <v>81173</v>
      </c>
    </row>
    <row r="13836">
      <c r="A13836" s="48" t="s">
        <v>1435</v>
      </c>
      <c r="B13836" s="38">
        <v>14104.0</v>
      </c>
      <c r="C13836" s="38" t="s">
        <v>18102</v>
      </c>
      <c r="D13836" s="38" t="str">
        <f>IFERROR(__xludf.DUMMYFUNCTION("REGEXREPLACE(C13836,""-\d+(.*)|--\d+(.*)"","""")"),"LE BREVEDENT")</f>
        <v>LE BREVEDENT</v>
      </c>
      <c r="E13836" s="38" t="s">
        <v>137</v>
      </c>
      <c r="F13836" s="38" t="s">
        <v>138</v>
      </c>
      <c r="G13836" s="49" t="str">
        <f t="shared" si="1"/>
        <v>14130</v>
      </c>
      <c r="H13836" s="49">
        <f t="shared" si="2"/>
        <v>14104</v>
      </c>
    </row>
    <row r="13837">
      <c r="A13837" s="48" t="s">
        <v>5840</v>
      </c>
      <c r="B13837" s="38">
        <v>71391.0</v>
      </c>
      <c r="C13837" s="38" t="s">
        <v>18103</v>
      </c>
      <c r="D13837" s="38" t="str">
        <f>IFERROR(__xludf.DUMMYFUNCTION("REGEXREPLACE(C13837,""-\d+(.*)|--\d+(.*)"","""")"),"SAINT-BERAIN-SUR-DHEUNE")</f>
        <v>SAINT-BERAIN-SUR-DHEUNE</v>
      </c>
      <c r="E13837" s="38" t="s">
        <v>344</v>
      </c>
      <c r="F13837" s="38" t="s">
        <v>106</v>
      </c>
      <c r="G13837" s="49" t="str">
        <f t="shared" si="1"/>
        <v>71510</v>
      </c>
      <c r="H13837" s="49">
        <f t="shared" si="2"/>
        <v>71391</v>
      </c>
    </row>
    <row r="13838">
      <c r="A13838" s="48" t="s">
        <v>2340</v>
      </c>
      <c r="B13838" s="38">
        <v>21238.0</v>
      </c>
      <c r="C13838" s="38" t="s">
        <v>18104</v>
      </c>
      <c r="D13838" s="38" t="str">
        <f>IFERROR(__xludf.DUMMYFUNCTION("REGEXREPLACE(C13838,""-\d+(.*)|--\d+(.*)"","""")"),"ECHANNAY")</f>
        <v>ECHANNAY</v>
      </c>
      <c r="E13838" s="38" t="s">
        <v>105</v>
      </c>
      <c r="F13838" s="38" t="s">
        <v>106</v>
      </c>
      <c r="G13838" s="49" t="str">
        <f t="shared" si="1"/>
        <v>21540</v>
      </c>
      <c r="H13838" s="49">
        <f t="shared" si="2"/>
        <v>21238</v>
      </c>
    </row>
    <row r="13839">
      <c r="A13839" s="48" t="s">
        <v>16262</v>
      </c>
      <c r="B13839" s="38">
        <v>36160.0</v>
      </c>
      <c r="C13839" s="38" t="s">
        <v>18105</v>
      </c>
      <c r="D13839" s="38" t="str">
        <f>IFERROR(__xludf.DUMMYFUNCTION("REGEXREPLACE(C13839,""-\d+(.*)|--\d+(.*)"","""")"),"POMMIERS")</f>
        <v>POMMIERS</v>
      </c>
      <c r="E13839" s="38" t="s">
        <v>258</v>
      </c>
      <c r="F13839" s="38" t="s">
        <v>123</v>
      </c>
      <c r="G13839" s="49" t="str">
        <f t="shared" si="1"/>
        <v>36190</v>
      </c>
      <c r="H13839" s="49">
        <f t="shared" si="2"/>
        <v>36160</v>
      </c>
    </row>
    <row r="13840">
      <c r="A13840" s="48" t="s">
        <v>10509</v>
      </c>
      <c r="B13840" s="38">
        <v>42231.0</v>
      </c>
      <c r="C13840" s="38" t="s">
        <v>18106</v>
      </c>
      <c r="D13840" s="38" t="str">
        <f>IFERROR(__xludf.DUMMYFUNCTION("REGEXREPLACE(C13840,""-\d+(.*)|--\d+(.*)"","""")"),"SAINT-GERMAIN-LESPINASSE")</f>
        <v>SAINT-GERMAIN-LESPINASSE</v>
      </c>
      <c r="E13840" s="38" t="s">
        <v>166</v>
      </c>
      <c r="F13840" s="38" t="s">
        <v>102</v>
      </c>
      <c r="G13840" s="49" t="str">
        <f t="shared" si="1"/>
        <v>42640</v>
      </c>
      <c r="H13840" s="49">
        <f t="shared" si="2"/>
        <v>42231</v>
      </c>
    </row>
    <row r="13841">
      <c r="A13841" s="48" t="s">
        <v>2495</v>
      </c>
      <c r="B13841" s="38">
        <v>41266.0</v>
      </c>
      <c r="C13841" s="38" t="s">
        <v>18107</v>
      </c>
      <c r="D13841" s="38" t="str">
        <f>IFERROR(__xludf.DUMMYFUNCTION("REGEXREPLACE(C13841,""-\d+(.*)|--\d+(.*)"","""")"),"VALAIRE")</f>
        <v>VALAIRE</v>
      </c>
      <c r="E13841" s="38" t="s">
        <v>188</v>
      </c>
      <c r="F13841" s="38" t="s">
        <v>123</v>
      </c>
      <c r="G13841" s="49" t="str">
        <f t="shared" si="1"/>
        <v>41120</v>
      </c>
      <c r="H13841" s="49">
        <f t="shared" si="2"/>
        <v>41266</v>
      </c>
    </row>
    <row r="13842">
      <c r="A13842" s="48" t="s">
        <v>2981</v>
      </c>
      <c r="B13842" s="38">
        <v>21462.0</v>
      </c>
      <c r="C13842" s="38" t="s">
        <v>18108</v>
      </c>
      <c r="D13842" s="38" t="str">
        <f>IFERROR(__xludf.DUMMYFUNCTION("REGEXREPLACE(C13842,""-\d+(.*)|--\d+(.*)"","""")"),"NORGES-LA-VILLE")</f>
        <v>NORGES-LA-VILLE</v>
      </c>
      <c r="E13842" s="38" t="s">
        <v>105</v>
      </c>
      <c r="F13842" s="38" t="s">
        <v>106</v>
      </c>
      <c r="G13842" s="49" t="str">
        <f t="shared" si="1"/>
        <v>21490</v>
      </c>
      <c r="H13842" s="49">
        <f t="shared" si="2"/>
        <v>21462</v>
      </c>
    </row>
    <row r="13843">
      <c r="A13843" s="48" t="s">
        <v>2942</v>
      </c>
      <c r="B13843" s="38">
        <v>14704.0</v>
      </c>
      <c r="C13843" s="38" t="s">
        <v>18109</v>
      </c>
      <c r="D13843" s="38" t="str">
        <f>IFERROR(__xludf.DUMMYFUNCTION("REGEXREPLACE(C13843,""-\d+(.*)|--\d+(.*)"","""")"),"LE TOURNEUR")</f>
        <v>LE TOURNEUR</v>
      </c>
      <c r="E13843" s="38" t="s">
        <v>137</v>
      </c>
      <c r="F13843" s="38" t="s">
        <v>138</v>
      </c>
      <c r="G13843" s="49" t="str">
        <f t="shared" si="1"/>
        <v>14350</v>
      </c>
      <c r="H13843" s="49">
        <f t="shared" si="2"/>
        <v>14704</v>
      </c>
    </row>
    <row r="13844">
      <c r="A13844" s="48" t="s">
        <v>1483</v>
      </c>
      <c r="B13844" s="38">
        <v>80260.0</v>
      </c>
      <c r="C13844" s="38" t="s">
        <v>18110</v>
      </c>
      <c r="D13844" s="38" t="str">
        <f>IFERROR(__xludf.DUMMYFUNCTION("REGEXREPLACE(C13844,""-\d+(.*)|--\d+(.*)"","""")"),"DRUCAT")</f>
        <v>DRUCAT</v>
      </c>
      <c r="E13844" s="38" t="s">
        <v>224</v>
      </c>
      <c r="F13844" s="38" t="s">
        <v>113</v>
      </c>
      <c r="G13844" s="49" t="str">
        <f t="shared" si="1"/>
        <v>80132</v>
      </c>
      <c r="H13844" s="49">
        <f t="shared" si="2"/>
        <v>80260</v>
      </c>
    </row>
    <row r="13845">
      <c r="A13845" s="48" t="s">
        <v>18111</v>
      </c>
      <c r="B13845" s="38">
        <v>1451.0</v>
      </c>
      <c r="C13845" s="38" t="s">
        <v>18112</v>
      </c>
      <c r="D13845" s="38" t="str">
        <f>IFERROR(__xludf.DUMMYFUNCTION("REGEXREPLACE(C13845,""-\d+(.*)|--\d+(.*)"","""")"),"VIRIAT")</f>
        <v>VIRIAT</v>
      </c>
      <c r="E13845" s="38" t="s">
        <v>255</v>
      </c>
      <c r="F13845" s="38" t="s">
        <v>102</v>
      </c>
      <c r="G13845" s="49" t="str">
        <f t="shared" si="1"/>
        <v>01440</v>
      </c>
      <c r="H13845" s="49" t="str">
        <f t="shared" si="2"/>
        <v>01451</v>
      </c>
    </row>
    <row r="13846">
      <c r="A13846" s="48" t="s">
        <v>131</v>
      </c>
      <c r="B13846" s="38">
        <v>76031.0</v>
      </c>
      <c r="C13846" s="38" t="s">
        <v>18113</v>
      </c>
      <c r="D13846" s="38" t="str">
        <f>IFERROR(__xludf.DUMMYFUNCTION("REGEXREPLACE(C13846,""-\d+(.*)|--\d+(.*)"","""")"),"AUBERVILLE-LA-CAMPAGNE")</f>
        <v>AUBERVILLE-LA-CAMPAGNE</v>
      </c>
      <c r="E13846" s="38" t="s">
        <v>133</v>
      </c>
      <c r="F13846" s="38" t="s">
        <v>134</v>
      </c>
      <c r="G13846" s="49" t="str">
        <f t="shared" si="1"/>
        <v>76170</v>
      </c>
      <c r="H13846" s="49">
        <f t="shared" si="2"/>
        <v>76031</v>
      </c>
    </row>
    <row r="13847">
      <c r="A13847" s="48" t="s">
        <v>2156</v>
      </c>
      <c r="B13847" s="38">
        <v>26016.0</v>
      </c>
      <c r="C13847" s="38" t="s">
        <v>18114</v>
      </c>
      <c r="D13847" s="38" t="str">
        <f>IFERROR(__xludf.DUMMYFUNCTION("REGEXREPLACE(C13847,""-\d+(.*)|--\d+(.*)"","""")"),"AUBRES")</f>
        <v>AUBRES</v>
      </c>
      <c r="E13847" s="38" t="s">
        <v>126</v>
      </c>
      <c r="F13847" s="38" t="s">
        <v>102</v>
      </c>
      <c r="G13847" s="49" t="str">
        <f t="shared" si="1"/>
        <v>26110</v>
      </c>
      <c r="H13847" s="49">
        <f t="shared" si="2"/>
        <v>26016</v>
      </c>
    </row>
    <row r="13848">
      <c r="A13848" s="48" t="s">
        <v>519</v>
      </c>
      <c r="B13848" s="38">
        <v>72130.0</v>
      </c>
      <c r="C13848" s="38" t="s">
        <v>18115</v>
      </c>
      <c r="D13848" s="38" t="str">
        <f>IFERROR(__xludf.DUMMYFUNCTION("REGEXREPLACE(C13848,""-\d+(.*)|--\d+(.*)"","""")"),"FAY")</f>
        <v>FAY</v>
      </c>
      <c r="E13848" s="38" t="s">
        <v>521</v>
      </c>
      <c r="F13848" s="38" t="s">
        <v>180</v>
      </c>
      <c r="G13848" s="49" t="str">
        <f t="shared" si="1"/>
        <v>72550</v>
      </c>
      <c r="H13848" s="49">
        <f t="shared" si="2"/>
        <v>72130</v>
      </c>
    </row>
    <row r="13849">
      <c r="A13849" s="48" t="s">
        <v>11099</v>
      </c>
      <c r="B13849" s="38">
        <v>1348.0</v>
      </c>
      <c r="C13849" s="38" t="s">
        <v>18116</v>
      </c>
      <c r="D13849" s="38" t="str">
        <f>IFERROR(__xludf.DUMMYFUNCTION("REGEXREPLACE(C13849,""-\d+(.*)|--\d+(.*)"","""")"),"SAINT-DIDIER-SUR-CHALARONNE")</f>
        <v>SAINT-DIDIER-SUR-CHALARONNE</v>
      </c>
      <c r="E13849" s="38" t="s">
        <v>255</v>
      </c>
      <c r="F13849" s="38" t="s">
        <v>102</v>
      </c>
      <c r="G13849" s="49" t="str">
        <f t="shared" si="1"/>
        <v>01140</v>
      </c>
      <c r="H13849" s="49" t="str">
        <f t="shared" si="2"/>
        <v>01348</v>
      </c>
    </row>
    <row r="13850">
      <c r="A13850" s="48" t="s">
        <v>4599</v>
      </c>
      <c r="B13850" s="38">
        <v>70060.0</v>
      </c>
      <c r="C13850" s="38" t="s">
        <v>18117</v>
      </c>
      <c r="D13850" s="38" t="str">
        <f>IFERROR(__xludf.DUMMYFUNCTION("REGEXREPLACE(C13850,""-\d+(.*)|--\d+(.*)"","""")"),"BEAUMOTTE-LES-PIN")</f>
        <v>BEAUMOTTE-LES-PIN</v>
      </c>
      <c r="E13850" s="38" t="s">
        <v>956</v>
      </c>
      <c r="F13850" s="38" t="s">
        <v>214</v>
      </c>
      <c r="G13850" s="49" t="str">
        <f t="shared" si="1"/>
        <v>70150</v>
      </c>
      <c r="H13850" s="49">
        <f t="shared" si="2"/>
        <v>70060</v>
      </c>
    </row>
    <row r="13851">
      <c r="A13851" s="48" t="s">
        <v>2485</v>
      </c>
      <c r="B13851" s="38">
        <v>78569.0</v>
      </c>
      <c r="C13851" s="38" t="s">
        <v>18118</v>
      </c>
      <c r="D13851" s="38" t="str">
        <f>IFERROR(__xludf.DUMMYFUNCTION("REGEXREPLACE(C13851,""-\d+(.*)|--\d+(.*)"","""")"),"SAINTE-MESME")</f>
        <v>SAINTE-MESME</v>
      </c>
      <c r="E13851" s="38" t="s">
        <v>362</v>
      </c>
      <c r="F13851" s="38" t="s">
        <v>245</v>
      </c>
      <c r="G13851" s="49" t="str">
        <f t="shared" si="1"/>
        <v>78730</v>
      </c>
      <c r="H13851" s="49">
        <f t="shared" si="2"/>
        <v>78569</v>
      </c>
    </row>
    <row r="13852">
      <c r="A13852" s="48" t="s">
        <v>930</v>
      </c>
      <c r="B13852" s="38">
        <v>32121.0</v>
      </c>
      <c r="C13852" s="38" t="s">
        <v>18119</v>
      </c>
      <c r="D13852" s="38" t="str">
        <f>IFERROR(__xludf.DUMMYFUNCTION("REGEXREPLACE(C13852,""-\d+(.*)|--\d+(.*)"","""")"),"ENDOUFIELLE")</f>
        <v>ENDOUFIELLE</v>
      </c>
      <c r="E13852" s="38" t="s">
        <v>440</v>
      </c>
      <c r="F13852" s="38" t="s">
        <v>94</v>
      </c>
      <c r="G13852" s="49" t="str">
        <f t="shared" si="1"/>
        <v>32600</v>
      </c>
      <c r="H13852" s="49">
        <f t="shared" si="2"/>
        <v>32121</v>
      </c>
    </row>
    <row r="13853">
      <c r="A13853" s="48" t="s">
        <v>7164</v>
      </c>
      <c r="B13853" s="38">
        <v>15159.0</v>
      </c>
      <c r="C13853" s="38" t="s">
        <v>18120</v>
      </c>
      <c r="D13853" s="38" t="str">
        <f>IFERROR(__xludf.DUMMYFUNCTION("REGEXREPLACE(C13853,""-\d+(.*)|--\d+(.*)"","""")"),"RAULHAC")</f>
        <v>RAULHAC</v>
      </c>
      <c r="E13853" s="38" t="s">
        <v>632</v>
      </c>
      <c r="F13853" s="38" t="s">
        <v>161</v>
      </c>
      <c r="G13853" s="49" t="str">
        <f t="shared" si="1"/>
        <v>15800</v>
      </c>
      <c r="H13853" s="49">
        <f t="shared" si="2"/>
        <v>15159</v>
      </c>
    </row>
    <row r="13854">
      <c r="A13854" s="48" t="s">
        <v>4599</v>
      </c>
      <c r="B13854" s="38">
        <v>70509.0</v>
      </c>
      <c r="C13854" s="38" t="s">
        <v>18121</v>
      </c>
      <c r="D13854" s="38" t="str">
        <f>IFERROR(__xludf.DUMMYFUNCTION("REGEXREPLACE(C13854,""-\d+(.*)|--\d+(.*)"","""")"),"TROMAREY")</f>
        <v>TROMAREY</v>
      </c>
      <c r="E13854" s="38" t="s">
        <v>956</v>
      </c>
      <c r="F13854" s="38" t="s">
        <v>214</v>
      </c>
      <c r="G13854" s="49" t="str">
        <f t="shared" si="1"/>
        <v>70150</v>
      </c>
      <c r="H13854" s="49">
        <f t="shared" si="2"/>
        <v>70509</v>
      </c>
    </row>
    <row r="13855">
      <c r="A13855" s="48" t="s">
        <v>17943</v>
      </c>
      <c r="B13855" s="38">
        <v>60045.0</v>
      </c>
      <c r="C13855" s="38" t="s">
        <v>18122</v>
      </c>
      <c r="D13855" s="38" t="str">
        <f>IFERROR(__xludf.DUMMYFUNCTION("REGEXREPLACE(C13855,""-\d+(.*)|--\d+(.*)"","""")"),"BARBERY")</f>
        <v>BARBERY</v>
      </c>
      <c r="E13855" s="38" t="s">
        <v>112</v>
      </c>
      <c r="F13855" s="38" t="s">
        <v>113</v>
      </c>
      <c r="G13855" s="49" t="str">
        <f t="shared" si="1"/>
        <v>60810</v>
      </c>
      <c r="H13855" s="49">
        <f t="shared" si="2"/>
        <v>60045</v>
      </c>
    </row>
    <row r="13856">
      <c r="A13856" s="48" t="s">
        <v>12396</v>
      </c>
      <c r="B13856" s="38">
        <v>49234.0</v>
      </c>
      <c r="C13856" s="38" t="s">
        <v>18123</v>
      </c>
      <c r="D13856" s="38" t="str">
        <f>IFERROR(__xludf.DUMMYFUNCTION("REGEXREPLACE(C13856,""-\d+(.*)|--\d+(.*)"","""")"),"PARCAY-LES-PINS")</f>
        <v>PARCAY-LES-PINS</v>
      </c>
      <c r="E13856" s="38" t="s">
        <v>653</v>
      </c>
      <c r="F13856" s="38" t="s">
        <v>180</v>
      </c>
      <c r="G13856" s="49" t="str">
        <f t="shared" si="1"/>
        <v>49390</v>
      </c>
      <c r="H13856" s="49">
        <f t="shared" si="2"/>
        <v>49234</v>
      </c>
    </row>
    <row r="13857">
      <c r="A13857" s="48" t="s">
        <v>9311</v>
      </c>
      <c r="B13857" s="38">
        <v>24319.0</v>
      </c>
      <c r="C13857" s="38" t="s">
        <v>18124</v>
      </c>
      <c r="D13857" s="38" t="str">
        <f>IFERROR(__xludf.DUMMYFUNCTION("REGEXREPLACE(C13857,""-\d+(.*)|--\d+(.*)"","""")"),"PAUSSAC-ET-SAINT-VIVIEN")</f>
        <v>PAUSSAC-ET-SAINT-VIVIEN</v>
      </c>
      <c r="E13857" s="38" t="s">
        <v>261</v>
      </c>
      <c r="F13857" s="38" t="s">
        <v>252</v>
      </c>
      <c r="G13857" s="49" t="str">
        <f t="shared" si="1"/>
        <v>24310</v>
      </c>
      <c r="H13857" s="49">
        <f t="shared" si="2"/>
        <v>24319</v>
      </c>
    </row>
    <row r="13858">
      <c r="A13858" s="48" t="s">
        <v>11688</v>
      </c>
      <c r="B13858" s="38">
        <v>95353.0</v>
      </c>
      <c r="C13858" s="38" t="s">
        <v>18125</v>
      </c>
      <c r="D13858" s="38" t="str">
        <f>IFERROR(__xludf.DUMMYFUNCTION("REGEXREPLACE(C13858,""-\d+(.*)|--\d+(.*)"","""")"),"MAFFLIERS")</f>
        <v>MAFFLIERS</v>
      </c>
      <c r="E13858" s="38" t="s">
        <v>541</v>
      </c>
      <c r="F13858" s="38" t="s">
        <v>245</v>
      </c>
      <c r="G13858" s="49" t="str">
        <f t="shared" si="1"/>
        <v>95560</v>
      </c>
      <c r="H13858" s="49">
        <f t="shared" si="2"/>
        <v>95353</v>
      </c>
    </row>
    <row r="13859">
      <c r="A13859" s="48" t="s">
        <v>18126</v>
      </c>
      <c r="B13859" s="38">
        <v>59257.0</v>
      </c>
      <c r="C13859" s="38" t="s">
        <v>18127</v>
      </c>
      <c r="D13859" s="38" t="str">
        <f>IFERROR(__xludf.DUMMYFUNCTION("REGEXREPLACE(C13859,""-\d+(.*)|--\d+(.*)"","""")"),"FROMELLES")</f>
        <v>FROMELLES</v>
      </c>
      <c r="E13859" s="38" t="s">
        <v>85</v>
      </c>
      <c r="F13859" s="38" t="s">
        <v>86</v>
      </c>
      <c r="G13859" s="49" t="str">
        <f t="shared" si="1"/>
        <v>59249</v>
      </c>
      <c r="H13859" s="49">
        <f t="shared" si="2"/>
        <v>59257</v>
      </c>
    </row>
    <row r="13860">
      <c r="A13860" s="48" t="s">
        <v>5759</v>
      </c>
      <c r="B13860" s="38">
        <v>59062.0</v>
      </c>
      <c r="C13860" s="38" t="s">
        <v>18128</v>
      </c>
      <c r="D13860" s="38" t="str">
        <f>IFERROR(__xludf.DUMMYFUNCTION("REGEXREPLACE(C13860,""-\d+(.*)|--\d+(.*)"","""")"),"BEAURIEUX")</f>
        <v>BEAURIEUX</v>
      </c>
      <c r="E13860" s="38" t="s">
        <v>85</v>
      </c>
      <c r="F13860" s="38" t="s">
        <v>86</v>
      </c>
      <c r="G13860" s="49" t="str">
        <f t="shared" si="1"/>
        <v>59740</v>
      </c>
      <c r="H13860" s="49">
        <f t="shared" si="2"/>
        <v>59062</v>
      </c>
    </row>
    <row r="13861">
      <c r="A13861" s="48" t="s">
        <v>958</v>
      </c>
      <c r="B13861" s="38">
        <v>71275.0</v>
      </c>
      <c r="C13861" s="38" t="s">
        <v>18129</v>
      </c>
      <c r="D13861" s="38" t="str">
        <f>IFERROR(__xludf.DUMMYFUNCTION("REGEXREPLACE(C13861,""-\d+(.*)|--\d+(.*)"","""")"),"MARCIGNY")</f>
        <v>MARCIGNY</v>
      </c>
      <c r="E13861" s="38" t="s">
        <v>344</v>
      </c>
      <c r="F13861" s="38" t="s">
        <v>106</v>
      </c>
      <c r="G13861" s="49" t="str">
        <f t="shared" si="1"/>
        <v>71110</v>
      </c>
      <c r="H13861" s="49">
        <f t="shared" si="2"/>
        <v>71275</v>
      </c>
    </row>
    <row r="13862">
      <c r="A13862" s="48" t="s">
        <v>1108</v>
      </c>
      <c r="B13862" s="38">
        <v>27226.0</v>
      </c>
      <c r="C13862" s="38" t="s">
        <v>18130</v>
      </c>
      <c r="D13862" s="38" t="str">
        <f>IFERROR(__xludf.DUMMYFUNCTION("REGEXREPLACE(C13862,""-\d+(.*)|--\d+(.*)"","""")"),"ETREPAGNY")</f>
        <v>ETREPAGNY</v>
      </c>
      <c r="E13862" s="38" t="s">
        <v>241</v>
      </c>
      <c r="F13862" s="38" t="s">
        <v>134</v>
      </c>
      <c r="G13862" s="49" t="str">
        <f t="shared" si="1"/>
        <v>27150</v>
      </c>
      <c r="H13862" s="49">
        <f t="shared" si="2"/>
        <v>27226</v>
      </c>
    </row>
    <row r="13863">
      <c r="A13863" s="48" t="s">
        <v>10219</v>
      </c>
      <c r="B13863" s="38">
        <v>34089.0</v>
      </c>
      <c r="C13863" s="38" t="s">
        <v>18131</v>
      </c>
      <c r="D13863" s="38" t="str">
        <f>IFERROR(__xludf.DUMMYFUNCTION("REGEXREPLACE(C13863,""-\d+(.*)|--\d+(.*)"","""")"),"CREISSAN")</f>
        <v>CREISSAN</v>
      </c>
      <c r="E13863" s="38" t="s">
        <v>118</v>
      </c>
      <c r="F13863" s="38" t="s">
        <v>119</v>
      </c>
      <c r="G13863" s="49" t="str">
        <f t="shared" si="1"/>
        <v>34370</v>
      </c>
      <c r="H13863" s="49">
        <f t="shared" si="2"/>
        <v>34089</v>
      </c>
    </row>
    <row r="13864">
      <c r="A13864" s="48" t="s">
        <v>2650</v>
      </c>
      <c r="B13864" s="38">
        <v>65373.0</v>
      </c>
      <c r="C13864" s="38" t="s">
        <v>18132</v>
      </c>
      <c r="D13864" s="38" t="str">
        <f>IFERROR(__xludf.DUMMYFUNCTION("REGEXREPLACE(C13864,""-\d+(.*)|--\d+(.*)"","""")"),"PUNTOUS")</f>
        <v>PUNTOUS</v>
      </c>
      <c r="E13864" s="38" t="s">
        <v>200</v>
      </c>
      <c r="F13864" s="38" t="s">
        <v>94</v>
      </c>
      <c r="G13864" s="49" t="str">
        <f t="shared" si="1"/>
        <v>65230</v>
      </c>
      <c r="H13864" s="49">
        <f t="shared" si="2"/>
        <v>65373</v>
      </c>
    </row>
    <row r="13865">
      <c r="A13865" s="48" t="s">
        <v>7988</v>
      </c>
      <c r="B13865" s="38">
        <v>24314.0</v>
      </c>
      <c r="C13865" s="38" t="s">
        <v>18133</v>
      </c>
      <c r="D13865" s="38" t="str">
        <f>IFERROR(__xludf.DUMMYFUNCTION("REGEXREPLACE(C13865,""-\d+(.*)|--\d+(.*)"","""")"),"ORLIAGUET")</f>
        <v>ORLIAGUET</v>
      </c>
      <c r="E13865" s="38" t="s">
        <v>261</v>
      </c>
      <c r="F13865" s="38" t="s">
        <v>252</v>
      </c>
      <c r="G13865" s="49" t="str">
        <f t="shared" si="1"/>
        <v>24370</v>
      </c>
      <c r="H13865" s="49">
        <f t="shared" si="2"/>
        <v>24314</v>
      </c>
    </row>
    <row r="13866">
      <c r="A13866" s="48" t="s">
        <v>4185</v>
      </c>
      <c r="B13866" s="38">
        <v>30280.0</v>
      </c>
      <c r="C13866" s="38" t="s">
        <v>18134</v>
      </c>
      <c r="D13866" s="38" t="str">
        <f>IFERROR(__xludf.DUMMYFUNCTION("REGEXREPLACE(C13866,""-\d+(.*)|--\d+(.*)"","""")"),"SAINT-LAURENT-LE-MINIER")</f>
        <v>SAINT-LAURENT-LE-MINIER</v>
      </c>
      <c r="E13866" s="38" t="s">
        <v>526</v>
      </c>
      <c r="F13866" s="38" t="s">
        <v>119</v>
      </c>
      <c r="G13866" s="49" t="str">
        <f t="shared" si="1"/>
        <v>30440</v>
      </c>
      <c r="H13866" s="49">
        <f t="shared" si="2"/>
        <v>30280</v>
      </c>
    </row>
    <row r="13867">
      <c r="A13867" s="48" t="s">
        <v>9368</v>
      </c>
      <c r="B13867" s="38">
        <v>12293.0</v>
      </c>
      <c r="C13867" s="38" t="s">
        <v>18135</v>
      </c>
      <c r="D13867" s="38" t="str">
        <f>IFERROR(__xludf.DUMMYFUNCTION("REGEXREPLACE(C13867,""-\d+(.*)|--\d+(.*)"","""")"),"VEYREAU")</f>
        <v>VEYREAU</v>
      </c>
      <c r="E13867" s="38" t="s">
        <v>465</v>
      </c>
      <c r="F13867" s="38" t="s">
        <v>94</v>
      </c>
      <c r="G13867" s="49" t="str">
        <f t="shared" si="1"/>
        <v>12720</v>
      </c>
      <c r="H13867" s="49">
        <f t="shared" si="2"/>
        <v>12293</v>
      </c>
    </row>
    <row r="13868">
      <c r="A13868" s="48" t="s">
        <v>964</v>
      </c>
      <c r="B13868" s="38">
        <v>71328.0</v>
      </c>
      <c r="C13868" s="38" t="s">
        <v>18136</v>
      </c>
      <c r="D13868" s="38" t="str">
        <f>IFERROR(__xludf.DUMMYFUNCTION("REGEXREPLACE(C13868,""-\d+(.*)|--\d+(.*)"","""")"),"NANTON")</f>
        <v>NANTON</v>
      </c>
      <c r="E13868" s="38" t="s">
        <v>344</v>
      </c>
      <c r="F13868" s="38" t="s">
        <v>106</v>
      </c>
      <c r="G13868" s="49" t="str">
        <f t="shared" si="1"/>
        <v>71240</v>
      </c>
      <c r="H13868" s="49">
        <f t="shared" si="2"/>
        <v>71328</v>
      </c>
    </row>
    <row r="13869">
      <c r="A13869" s="48" t="s">
        <v>1883</v>
      </c>
      <c r="B13869" s="38">
        <v>39498.0</v>
      </c>
      <c r="C13869" s="38" t="s">
        <v>18137</v>
      </c>
      <c r="D13869" s="38" t="str">
        <f>IFERROR(__xludf.DUMMYFUNCTION("REGEXREPLACE(C13869,""-\d+(.*)|--\d+(.*)"","""")"),"SALANS")</f>
        <v>SALANS</v>
      </c>
      <c r="E13869" s="38" t="s">
        <v>400</v>
      </c>
      <c r="F13869" s="38" t="s">
        <v>214</v>
      </c>
      <c r="G13869" s="49" t="str">
        <f t="shared" si="1"/>
        <v>39700</v>
      </c>
      <c r="H13869" s="49">
        <f t="shared" si="2"/>
        <v>39498</v>
      </c>
    </row>
    <row r="13870">
      <c r="A13870" s="48" t="s">
        <v>3413</v>
      </c>
      <c r="B13870" s="38" t="s">
        <v>18138</v>
      </c>
      <c r="C13870" s="38" t="s">
        <v>18139</v>
      </c>
      <c r="D13870" s="38" t="str">
        <f>IFERROR(__xludf.DUMMYFUNCTION("REGEXREPLACE(C13870,""-\d+(.*)|--\d+(.*)"","""")"),"OMESSA")</f>
        <v>OMESSA</v>
      </c>
      <c r="E13870" s="38" t="s">
        <v>743</v>
      </c>
      <c r="F13870" s="38" t="s">
        <v>607</v>
      </c>
      <c r="G13870" s="49" t="str">
        <f t="shared" si="1"/>
        <v>20236</v>
      </c>
      <c r="H13870" s="49" t="str">
        <f t="shared" si="2"/>
        <v>2B193</v>
      </c>
    </row>
    <row r="13871">
      <c r="A13871" s="48" t="s">
        <v>18140</v>
      </c>
      <c r="B13871" s="38">
        <v>14079.0</v>
      </c>
      <c r="C13871" s="38" t="s">
        <v>18141</v>
      </c>
      <c r="D13871" s="38" t="str">
        <f>IFERROR(__xludf.DUMMYFUNCTION("REGEXREPLACE(C13871,""-\d+(.*)|--\d+(.*)"","""")"),"BLONVILLE-SUR-MER")</f>
        <v>BLONVILLE-SUR-MER</v>
      </c>
      <c r="E13871" s="38" t="s">
        <v>137</v>
      </c>
      <c r="F13871" s="38" t="s">
        <v>138</v>
      </c>
      <c r="G13871" s="49" t="str">
        <f t="shared" si="1"/>
        <v>14910</v>
      </c>
      <c r="H13871" s="49">
        <f t="shared" si="2"/>
        <v>14079</v>
      </c>
    </row>
    <row r="13872">
      <c r="A13872" s="48" t="s">
        <v>2506</v>
      </c>
      <c r="B13872" s="38">
        <v>80094.0</v>
      </c>
      <c r="C13872" s="38" t="s">
        <v>18142</v>
      </c>
      <c r="D13872" s="38" t="str">
        <f>IFERROR(__xludf.DUMMYFUNCTION("REGEXREPLACE(C13872,""-\d+(.*)|--\d+(.*)"","""")"),"BERTEAUCOURT-LES-THENNES")</f>
        <v>BERTEAUCOURT-LES-THENNES</v>
      </c>
      <c r="E13872" s="38" t="s">
        <v>224</v>
      </c>
      <c r="F13872" s="38" t="s">
        <v>113</v>
      </c>
      <c r="G13872" s="49" t="str">
        <f t="shared" si="1"/>
        <v>80110</v>
      </c>
      <c r="H13872" s="49">
        <f t="shared" si="2"/>
        <v>80094</v>
      </c>
    </row>
    <row r="13873">
      <c r="A13873" s="48" t="s">
        <v>17977</v>
      </c>
      <c r="B13873" s="38">
        <v>19202.0</v>
      </c>
      <c r="C13873" s="38" t="s">
        <v>18143</v>
      </c>
      <c r="D13873" s="38" t="str">
        <f>IFERROR(__xludf.DUMMYFUNCTION("REGEXREPLACE(C13873,""-\d+(.*)|--\d+(.*)"","""")"),"SAINTE-FEREOLE")</f>
        <v>SAINTE-FEREOLE</v>
      </c>
      <c r="E13873" s="38" t="s">
        <v>271</v>
      </c>
      <c r="F13873" s="38" t="s">
        <v>98</v>
      </c>
      <c r="G13873" s="49" t="str">
        <f t="shared" si="1"/>
        <v>19270</v>
      </c>
      <c r="H13873" s="49">
        <f t="shared" si="2"/>
        <v>19202</v>
      </c>
    </row>
    <row r="13874">
      <c r="A13874" s="48" t="s">
        <v>18144</v>
      </c>
      <c r="B13874" s="38">
        <v>3229.0</v>
      </c>
      <c r="C13874" s="38" t="s">
        <v>18145</v>
      </c>
      <c r="D13874" s="38" t="str">
        <f>IFERROR(__xludf.DUMMYFUNCTION("REGEXREPLACE(C13874,""-\d+(.*)|--\d+(.*)"","""")"),"SAINT-ENNEMOND")</f>
        <v>SAINT-ENNEMOND</v>
      </c>
      <c r="E13874" s="38" t="s">
        <v>160</v>
      </c>
      <c r="F13874" s="38" t="s">
        <v>161</v>
      </c>
      <c r="G13874" s="49" t="str">
        <f t="shared" si="1"/>
        <v>03400</v>
      </c>
      <c r="H13874" s="49" t="str">
        <f t="shared" si="2"/>
        <v>03229</v>
      </c>
    </row>
    <row r="13875">
      <c r="A13875" s="48" t="s">
        <v>2995</v>
      </c>
      <c r="B13875" s="38">
        <v>28234.0</v>
      </c>
      <c r="C13875" s="38" t="s">
        <v>18146</v>
      </c>
      <c r="D13875" s="38" t="str">
        <f>IFERROR(__xludf.DUMMYFUNCTION("REGEXREPLACE(C13875,""-\d+(.*)|--\d+(.*)"","""")"),"MARCHEVILLE")</f>
        <v>MARCHEVILLE</v>
      </c>
      <c r="E13875" s="38" t="s">
        <v>300</v>
      </c>
      <c r="F13875" s="38" t="s">
        <v>123</v>
      </c>
      <c r="G13875" s="49" t="str">
        <f t="shared" si="1"/>
        <v>28120</v>
      </c>
      <c r="H13875" s="49">
        <f t="shared" si="2"/>
        <v>28234</v>
      </c>
    </row>
    <row r="13876">
      <c r="A13876" s="48" t="s">
        <v>18147</v>
      </c>
      <c r="B13876" s="38">
        <v>10265.0</v>
      </c>
      <c r="C13876" s="38" t="s">
        <v>18148</v>
      </c>
      <c r="D13876" s="38" t="str">
        <f>IFERROR(__xludf.DUMMYFUNCTION("REGEXREPLACE(C13876,""-\d+(.*)|--\d+(.*)"","""")"),"LES NOES-PRES-TROYES")</f>
        <v>LES NOES-PRES-TROYES</v>
      </c>
      <c r="E13876" s="38" t="s">
        <v>147</v>
      </c>
      <c r="F13876" s="38" t="s">
        <v>130</v>
      </c>
      <c r="G13876" s="49" t="str">
        <f t="shared" si="1"/>
        <v>10420</v>
      </c>
      <c r="H13876" s="49">
        <f t="shared" si="2"/>
        <v>10265</v>
      </c>
    </row>
    <row r="13877">
      <c r="A13877" s="48" t="s">
        <v>588</v>
      </c>
      <c r="B13877" s="38">
        <v>14431.0</v>
      </c>
      <c r="C13877" s="38" t="s">
        <v>18149</v>
      </c>
      <c r="D13877" s="38" t="str">
        <f>IFERROR(__xludf.DUMMYFUNCTION("REGEXREPLACE(C13877,""-\d+(.*)|--\d+(.*)"","""")"),"MEZIDON-CANON")</f>
        <v>MEZIDON-CANON</v>
      </c>
      <c r="E13877" s="38" t="s">
        <v>137</v>
      </c>
      <c r="F13877" s="38" t="s">
        <v>138</v>
      </c>
      <c r="G13877" s="49" t="str">
        <f t="shared" si="1"/>
        <v>14270</v>
      </c>
      <c r="H13877" s="49">
        <f t="shared" si="2"/>
        <v>14431</v>
      </c>
    </row>
    <row r="13878">
      <c r="A13878" s="48" t="s">
        <v>18150</v>
      </c>
      <c r="B13878" s="38">
        <v>22208.0</v>
      </c>
      <c r="C13878" s="38" t="s">
        <v>18151</v>
      </c>
      <c r="D13878" s="38" t="str">
        <f>IFERROR(__xludf.DUMMYFUNCTION("REGEXREPLACE(C13878,""-\d+(.*)|--\d+(.*)"","""")"),"PLOUASNE")</f>
        <v>PLOUASNE</v>
      </c>
      <c r="E13878" s="38" t="s">
        <v>89</v>
      </c>
      <c r="F13878" s="38" t="s">
        <v>90</v>
      </c>
      <c r="G13878" s="49" t="str">
        <f t="shared" si="1"/>
        <v>22830</v>
      </c>
      <c r="H13878" s="49">
        <f t="shared" si="2"/>
        <v>22208</v>
      </c>
    </row>
    <row r="13879">
      <c r="A13879" s="48" t="s">
        <v>315</v>
      </c>
      <c r="B13879" s="38">
        <v>27351.0</v>
      </c>
      <c r="C13879" s="38" t="s">
        <v>18152</v>
      </c>
      <c r="D13879" s="38" t="str">
        <f>IFERROR(__xludf.DUMMYFUNCTION("REGEXREPLACE(C13879,""-\d+(.*)|--\d+(.*)"","""")"),"INCARVILLE")</f>
        <v>INCARVILLE</v>
      </c>
      <c r="E13879" s="38" t="s">
        <v>241</v>
      </c>
      <c r="F13879" s="38" t="s">
        <v>134</v>
      </c>
      <c r="G13879" s="49" t="str">
        <f t="shared" si="1"/>
        <v>27400</v>
      </c>
      <c r="H13879" s="49">
        <f t="shared" si="2"/>
        <v>27351</v>
      </c>
    </row>
    <row r="13880">
      <c r="A13880" s="48" t="s">
        <v>2465</v>
      </c>
      <c r="B13880" s="38">
        <v>35339.0</v>
      </c>
      <c r="C13880" s="38" t="s">
        <v>18153</v>
      </c>
      <c r="D13880" s="38" t="str">
        <f>IFERROR(__xludf.DUMMYFUNCTION("REGEXREPLACE(C13880,""-\d+(.*)|--\d+(.*)"","""")"),"TRANS-LA-FORET")</f>
        <v>TRANS-LA-FORET</v>
      </c>
      <c r="E13880" s="38" t="s">
        <v>347</v>
      </c>
      <c r="F13880" s="38" t="s">
        <v>90</v>
      </c>
      <c r="G13880" s="49" t="str">
        <f t="shared" si="1"/>
        <v>35610</v>
      </c>
      <c r="H13880" s="49">
        <f t="shared" si="2"/>
        <v>35339</v>
      </c>
    </row>
    <row r="13881">
      <c r="A13881" s="48" t="s">
        <v>9536</v>
      </c>
      <c r="B13881" s="38">
        <v>8421.0</v>
      </c>
      <c r="C13881" s="38" t="s">
        <v>18154</v>
      </c>
      <c r="D13881" s="38" t="str">
        <f>IFERROR(__xludf.DUMMYFUNCTION("REGEXREPLACE(C13881,""-\d+(.*)|--\d+(.*)"","""")"),"SIGNY-MONTLIBERT")</f>
        <v>SIGNY-MONTLIBERT</v>
      </c>
      <c r="E13881" s="38" t="s">
        <v>327</v>
      </c>
      <c r="F13881" s="38" t="s">
        <v>130</v>
      </c>
      <c r="G13881" s="49" t="str">
        <f t="shared" si="1"/>
        <v>08370</v>
      </c>
      <c r="H13881" s="49" t="str">
        <f t="shared" si="2"/>
        <v>08421</v>
      </c>
    </row>
    <row r="13882">
      <c r="A13882" s="48" t="s">
        <v>18155</v>
      </c>
      <c r="B13882" s="38">
        <v>47308.0</v>
      </c>
      <c r="C13882" s="38" t="s">
        <v>18156</v>
      </c>
      <c r="D13882" s="38" t="str">
        <f>IFERROR(__xludf.DUMMYFUNCTION("REGEXREPLACE(C13882,""-\d+(.*)|--\d+(.*)"","""")"),"THOUARS-SUR-GARONNE")</f>
        <v>THOUARS-SUR-GARONNE</v>
      </c>
      <c r="E13882" s="38" t="s">
        <v>251</v>
      </c>
      <c r="F13882" s="38" t="s">
        <v>252</v>
      </c>
      <c r="G13882" s="49" t="str">
        <f t="shared" si="1"/>
        <v>47230</v>
      </c>
      <c r="H13882" s="49">
        <f t="shared" si="2"/>
        <v>47308</v>
      </c>
    </row>
    <row r="13883">
      <c r="A13883" s="48" t="s">
        <v>7368</v>
      </c>
      <c r="B13883" s="38">
        <v>37124.0</v>
      </c>
      <c r="C13883" s="38" t="s">
        <v>18157</v>
      </c>
      <c r="D13883" s="38" t="str">
        <f>IFERROR(__xludf.DUMMYFUNCTION("REGEXREPLACE(C13883,""-\d+(.*)|--\d+(.*)"","""")"),"LARCAY")</f>
        <v>LARCAY</v>
      </c>
      <c r="E13883" s="38" t="s">
        <v>205</v>
      </c>
      <c r="F13883" s="38" t="s">
        <v>123</v>
      </c>
      <c r="G13883" s="49" t="str">
        <f t="shared" si="1"/>
        <v>37270</v>
      </c>
      <c r="H13883" s="49">
        <f t="shared" si="2"/>
        <v>37124</v>
      </c>
    </row>
    <row r="13884">
      <c r="A13884" s="48" t="s">
        <v>4321</v>
      </c>
      <c r="B13884" s="38">
        <v>29069.0</v>
      </c>
      <c r="C13884" s="38" t="s">
        <v>18158</v>
      </c>
      <c r="D13884" s="38" t="str">
        <f>IFERROR(__xludf.DUMMYFUNCTION("REGEXREPLACE(C13884,""-\d+(.*)|--\d+(.*)"","""")"),"GUILERS")</f>
        <v>GUILERS</v>
      </c>
      <c r="E13884" s="38" t="s">
        <v>176</v>
      </c>
      <c r="F13884" s="38" t="s">
        <v>90</v>
      </c>
      <c r="G13884" s="49" t="str">
        <f t="shared" si="1"/>
        <v>29820</v>
      </c>
      <c r="H13884" s="49">
        <f t="shared" si="2"/>
        <v>29069</v>
      </c>
    </row>
    <row r="13885">
      <c r="A13885" s="48" t="s">
        <v>2794</v>
      </c>
      <c r="B13885" s="38">
        <v>39418.0</v>
      </c>
      <c r="C13885" s="38" t="s">
        <v>18159</v>
      </c>
      <c r="D13885" s="38" t="str">
        <f>IFERROR(__xludf.DUMMYFUNCTION("REGEXREPLACE(C13885,""-\d+(.*)|--\d+(.*)"","""")"),"PICARREAU")</f>
        <v>PICARREAU</v>
      </c>
      <c r="E13885" s="38" t="s">
        <v>400</v>
      </c>
      <c r="F13885" s="38" t="s">
        <v>214</v>
      </c>
      <c r="G13885" s="49" t="str">
        <f t="shared" si="1"/>
        <v>39800</v>
      </c>
      <c r="H13885" s="49">
        <f t="shared" si="2"/>
        <v>39418</v>
      </c>
    </row>
    <row r="13886">
      <c r="A13886" s="48" t="s">
        <v>1654</v>
      </c>
      <c r="B13886" s="38">
        <v>72090.0</v>
      </c>
      <c r="C13886" s="38" t="s">
        <v>18160</v>
      </c>
      <c r="D13886" s="38" t="str">
        <f>IFERROR(__xludf.DUMMYFUNCTION("REGEXREPLACE(C13886,""-\d+(.*)|--\d+(.*)"","""")"),"CONNERRE")</f>
        <v>CONNERRE</v>
      </c>
      <c r="E13886" s="38" t="s">
        <v>521</v>
      </c>
      <c r="F13886" s="38" t="s">
        <v>180</v>
      </c>
      <c r="G13886" s="49" t="str">
        <f t="shared" si="1"/>
        <v>72160</v>
      </c>
      <c r="H13886" s="49">
        <f t="shared" si="2"/>
        <v>72090</v>
      </c>
    </row>
    <row r="13887">
      <c r="A13887" s="48" t="s">
        <v>3550</v>
      </c>
      <c r="B13887" s="38">
        <v>79166.0</v>
      </c>
      <c r="C13887" s="38" t="s">
        <v>13668</v>
      </c>
      <c r="D13887" s="38" t="str">
        <f>IFERROR(__xludf.DUMMYFUNCTION("REGEXREPLACE(C13887,""-\d+(.*)|--\d+(.*)"","""")"),"MARIGNY")</f>
        <v>MARIGNY</v>
      </c>
      <c r="E13887" s="38" t="s">
        <v>337</v>
      </c>
      <c r="F13887" s="38" t="s">
        <v>338</v>
      </c>
      <c r="G13887" s="49" t="str">
        <f t="shared" si="1"/>
        <v>79360</v>
      </c>
      <c r="H13887" s="49">
        <f t="shared" si="2"/>
        <v>79166</v>
      </c>
    </row>
    <row r="13888">
      <c r="A13888" s="48" t="s">
        <v>8652</v>
      </c>
      <c r="B13888" s="38">
        <v>64324.0</v>
      </c>
      <c r="C13888" s="38" t="s">
        <v>18161</v>
      </c>
      <c r="D13888" s="38" t="str">
        <f>IFERROR(__xludf.DUMMYFUNCTION("REGEXREPLACE(C13888,""-\d+(.*)|--\d+(.*)"","""")"),"LASSEUBE")</f>
        <v>LASSEUBE</v>
      </c>
      <c r="E13888" s="38" t="s">
        <v>268</v>
      </c>
      <c r="F13888" s="38" t="s">
        <v>252</v>
      </c>
      <c r="G13888" s="49" t="str">
        <f t="shared" si="1"/>
        <v>64290</v>
      </c>
      <c r="H13888" s="49">
        <f t="shared" si="2"/>
        <v>64324</v>
      </c>
    </row>
    <row r="13889">
      <c r="A13889" s="48" t="s">
        <v>2805</v>
      </c>
      <c r="B13889" s="38">
        <v>23254.0</v>
      </c>
      <c r="C13889" s="38" t="s">
        <v>18162</v>
      </c>
      <c r="D13889" s="38" t="str">
        <f>IFERROR(__xludf.DUMMYFUNCTION("REGEXREPLACE(C13889,""-\d+(.*)|--\d+(.*)"","""")"),"TOULX-SAINTE-CROIX")</f>
        <v>TOULX-SAINTE-CROIX</v>
      </c>
      <c r="E13889" s="38" t="s">
        <v>97</v>
      </c>
      <c r="F13889" s="38" t="s">
        <v>98</v>
      </c>
      <c r="G13889" s="49" t="str">
        <f t="shared" si="1"/>
        <v>23600</v>
      </c>
      <c r="H13889" s="49">
        <f t="shared" si="2"/>
        <v>23254</v>
      </c>
    </row>
    <row r="13890">
      <c r="A13890" s="48" t="s">
        <v>2868</v>
      </c>
      <c r="B13890" s="38">
        <v>80263.0</v>
      </c>
      <c r="C13890" s="38" t="s">
        <v>18163</v>
      </c>
      <c r="D13890" s="38" t="str">
        <f>IFERROR(__xludf.DUMMYFUNCTION("REGEXREPLACE(C13890,""-\d+(.*)|--\d+(.*)"","""")"),"L'ECHELLE-SAINT-AURIN")</f>
        <v>L'ECHELLE-SAINT-AURIN</v>
      </c>
      <c r="E13890" s="38" t="s">
        <v>224</v>
      </c>
      <c r="F13890" s="38" t="s">
        <v>113</v>
      </c>
      <c r="G13890" s="49" t="str">
        <f t="shared" si="1"/>
        <v>80700</v>
      </c>
      <c r="H13890" s="49">
        <f t="shared" si="2"/>
        <v>80263</v>
      </c>
    </row>
    <row r="13891">
      <c r="A13891" s="48" t="s">
        <v>7514</v>
      </c>
      <c r="B13891" s="38">
        <v>88206.0</v>
      </c>
      <c r="C13891" s="38" t="s">
        <v>18164</v>
      </c>
      <c r="D13891" s="38" t="str">
        <f>IFERROR(__xludf.DUMMYFUNCTION("REGEXREPLACE(C13891,""-\d+(.*)|--\d+(.*)"","""")"),"GIRONCOURT-SUR-VRAINE")</f>
        <v>GIRONCOURT-SUR-VRAINE</v>
      </c>
      <c r="E13891" s="38" t="s">
        <v>194</v>
      </c>
      <c r="F13891" s="38" t="s">
        <v>195</v>
      </c>
      <c r="G13891" s="49" t="str">
        <f t="shared" si="1"/>
        <v>88170</v>
      </c>
      <c r="H13891" s="49">
        <f t="shared" si="2"/>
        <v>88206</v>
      </c>
    </row>
    <row r="13892">
      <c r="A13892" s="48" t="s">
        <v>1089</v>
      </c>
      <c r="B13892" s="38">
        <v>67488.0</v>
      </c>
      <c r="C13892" s="38" t="s">
        <v>18165</v>
      </c>
      <c r="D13892" s="38" t="str">
        <f>IFERROR(__xludf.DUMMYFUNCTION("REGEXREPLACE(C13892,""-\d+(.*)|--\d+(.*)"","""")"),"THAL-DRULINGEN")</f>
        <v>THAL-DRULINGEN</v>
      </c>
      <c r="E13892" s="38" t="s">
        <v>210</v>
      </c>
      <c r="F13892" s="38" t="s">
        <v>151</v>
      </c>
      <c r="G13892" s="49" t="str">
        <f t="shared" si="1"/>
        <v>67320</v>
      </c>
      <c r="H13892" s="49">
        <f t="shared" si="2"/>
        <v>67488</v>
      </c>
    </row>
    <row r="13893">
      <c r="A13893" s="48" t="s">
        <v>1462</v>
      </c>
      <c r="B13893" s="38">
        <v>11331.0</v>
      </c>
      <c r="C13893" s="38" t="s">
        <v>18166</v>
      </c>
      <c r="D13893" s="38" t="str">
        <f>IFERROR(__xludf.DUMMYFUNCTION("REGEXREPLACE(C13893,""-\d+(.*)|--\d+(.*)"","""")"),"SAINT-AMANS")</f>
        <v>SAINT-AMANS</v>
      </c>
      <c r="E13893" s="38" t="s">
        <v>278</v>
      </c>
      <c r="F13893" s="38" t="s">
        <v>119</v>
      </c>
      <c r="G13893" s="49" t="str">
        <f t="shared" si="1"/>
        <v>11270</v>
      </c>
      <c r="H13893" s="49">
        <f t="shared" si="2"/>
        <v>11331</v>
      </c>
    </row>
    <row r="13894">
      <c r="A13894" s="48" t="s">
        <v>792</v>
      </c>
      <c r="B13894" s="38">
        <v>2022.0</v>
      </c>
      <c r="C13894" s="38" t="s">
        <v>18167</v>
      </c>
      <c r="D13894" s="38" t="str">
        <f>IFERROR(__xludf.DUMMYFUNCTION("REGEXREPLACE(C13894,""-\d+(.*)|--\d+(.*)"","""")"),"ARCY-SAINTE-RESTITUE")</f>
        <v>ARCY-SAINTE-RESTITUE</v>
      </c>
      <c r="E13894" s="38" t="s">
        <v>191</v>
      </c>
      <c r="F13894" s="38" t="s">
        <v>113</v>
      </c>
      <c r="G13894" s="49" t="str">
        <f t="shared" si="1"/>
        <v>02130</v>
      </c>
      <c r="H13894" s="49" t="str">
        <f t="shared" si="2"/>
        <v>02022</v>
      </c>
    </row>
    <row r="13895">
      <c r="A13895" s="48" t="s">
        <v>3869</v>
      </c>
      <c r="B13895" s="38">
        <v>21512.0</v>
      </c>
      <c r="C13895" s="38" t="s">
        <v>18168</v>
      </c>
      <c r="D13895" s="38" t="str">
        <f>IFERROR(__xludf.DUMMYFUNCTION("REGEXREPLACE(C13895,""-\d+(.*)|--\d+(.*)"","""")"),"PULIGNY-MONTRACHET")</f>
        <v>PULIGNY-MONTRACHET</v>
      </c>
      <c r="E13895" s="38" t="s">
        <v>105</v>
      </c>
      <c r="F13895" s="38" t="s">
        <v>106</v>
      </c>
      <c r="G13895" s="49" t="str">
        <f t="shared" si="1"/>
        <v>21190</v>
      </c>
      <c r="H13895" s="49">
        <f t="shared" si="2"/>
        <v>21512</v>
      </c>
    </row>
    <row r="13896">
      <c r="A13896" s="48" t="s">
        <v>5028</v>
      </c>
      <c r="B13896" s="38">
        <v>25052.0</v>
      </c>
      <c r="C13896" s="38" t="s">
        <v>10049</v>
      </c>
      <c r="D13896" s="38" t="str">
        <f>IFERROR(__xludf.DUMMYFUNCTION("REGEXREPLACE(C13896,""-\d+(.*)|--\d+(.*)"","""")"),"BELMONT")</f>
        <v>BELMONT</v>
      </c>
      <c r="E13896" s="38" t="s">
        <v>213</v>
      </c>
      <c r="F13896" s="38" t="s">
        <v>214</v>
      </c>
      <c r="G13896" s="49" t="str">
        <f t="shared" si="1"/>
        <v>25530</v>
      </c>
      <c r="H13896" s="49">
        <f t="shared" si="2"/>
        <v>25052</v>
      </c>
    </row>
    <row r="13897">
      <c r="A13897" s="48" t="s">
        <v>2922</v>
      </c>
      <c r="B13897" s="38">
        <v>5134.0</v>
      </c>
      <c r="C13897" s="38" t="s">
        <v>18169</v>
      </c>
      <c r="D13897" s="38" t="str">
        <f>IFERROR(__xludf.DUMMYFUNCTION("REGEXREPLACE(C13897,""-\d+(.*)|--\d+(.*)"","""")"),"SAINT-CLEMENT-SUR-DURANCE")</f>
        <v>SAINT-CLEMENT-SUR-DURANCE</v>
      </c>
      <c r="E13897" s="38" t="s">
        <v>706</v>
      </c>
      <c r="F13897" s="38" t="s">
        <v>228</v>
      </c>
      <c r="G13897" s="49" t="str">
        <f t="shared" si="1"/>
        <v>05600</v>
      </c>
      <c r="H13897" s="49" t="str">
        <f t="shared" si="2"/>
        <v>05134</v>
      </c>
    </row>
    <row r="13898">
      <c r="A13898" s="48" t="s">
        <v>11059</v>
      </c>
      <c r="B13898" s="38">
        <v>48140.0</v>
      </c>
      <c r="C13898" s="38" t="s">
        <v>18170</v>
      </c>
      <c r="D13898" s="38" t="str">
        <f>IFERROR(__xludf.DUMMYFUNCTION("REGEXREPLACE(C13898,""-\d+(.*)|--\d+(.*)"","""")"),"SAINT-CHELY-D'APCHER")</f>
        <v>SAINT-CHELY-D'APCHER</v>
      </c>
      <c r="E13898" s="38" t="s">
        <v>154</v>
      </c>
      <c r="F13898" s="38" t="s">
        <v>119</v>
      </c>
      <c r="G13898" s="49" t="str">
        <f t="shared" si="1"/>
        <v>48200</v>
      </c>
      <c r="H13898" s="49">
        <f t="shared" si="2"/>
        <v>48140</v>
      </c>
    </row>
    <row r="13899">
      <c r="A13899" s="48" t="s">
        <v>781</v>
      </c>
      <c r="B13899" s="38">
        <v>65107.0</v>
      </c>
      <c r="C13899" s="38" t="s">
        <v>18171</v>
      </c>
      <c r="D13899" s="38" t="str">
        <f>IFERROR(__xludf.DUMMYFUNCTION("REGEXREPLACE(C13899,""-\d+(.*)|--\d+(.*)"","""")"),"BOURREAC")</f>
        <v>BOURREAC</v>
      </c>
      <c r="E13899" s="38" t="s">
        <v>200</v>
      </c>
      <c r="F13899" s="38" t="s">
        <v>94</v>
      </c>
      <c r="G13899" s="49" t="str">
        <f t="shared" si="1"/>
        <v>65100</v>
      </c>
      <c r="H13899" s="49">
        <f t="shared" si="2"/>
        <v>65107</v>
      </c>
    </row>
    <row r="13900">
      <c r="A13900" s="48" t="s">
        <v>8434</v>
      </c>
      <c r="B13900" s="38">
        <v>41171.0</v>
      </c>
      <c r="C13900" s="38" t="s">
        <v>18172</v>
      </c>
      <c r="D13900" s="38" t="str">
        <f>IFERROR(__xludf.DUMMYFUNCTION("REGEXREPLACE(C13900,""-\d+(.*)|--\d+(.*)"","""")"),"OUCQUES")</f>
        <v>OUCQUES</v>
      </c>
      <c r="E13900" s="38" t="s">
        <v>188</v>
      </c>
      <c r="F13900" s="38" t="s">
        <v>123</v>
      </c>
      <c r="G13900" s="49" t="str">
        <f t="shared" si="1"/>
        <v>41290</v>
      </c>
      <c r="H13900" s="49">
        <f t="shared" si="2"/>
        <v>41171</v>
      </c>
    </row>
    <row r="13901">
      <c r="A13901" s="48" t="s">
        <v>7039</v>
      </c>
      <c r="B13901" s="38">
        <v>62213.0</v>
      </c>
      <c r="C13901" s="38" t="s">
        <v>18173</v>
      </c>
      <c r="D13901" s="38" t="str">
        <f>IFERROR(__xludf.DUMMYFUNCTION("REGEXREPLACE(C13901,""-\d+(.*)|--\d+(.*)"","""")"),"CARENCY")</f>
        <v>CARENCY</v>
      </c>
      <c r="E13901" s="38" t="s">
        <v>109</v>
      </c>
      <c r="F13901" s="38" t="s">
        <v>86</v>
      </c>
      <c r="G13901" s="49" t="str">
        <f t="shared" si="1"/>
        <v>62144</v>
      </c>
      <c r="H13901" s="49">
        <f t="shared" si="2"/>
        <v>62213</v>
      </c>
    </row>
    <row r="13902">
      <c r="A13902" s="48" t="s">
        <v>2534</v>
      </c>
      <c r="B13902" s="38">
        <v>27574.0</v>
      </c>
      <c r="C13902" s="38" t="s">
        <v>18174</v>
      </c>
      <c r="D13902" s="38" t="str">
        <f>IFERROR(__xludf.DUMMYFUNCTION("REGEXREPLACE(C13902,""-\d+(.*)|--\d+(.*)"","""")"),"SAINT-NICOLAS-DU-BOSC")</f>
        <v>SAINT-NICOLAS-DU-BOSC</v>
      </c>
      <c r="E13902" s="38" t="s">
        <v>241</v>
      </c>
      <c r="F13902" s="38" t="s">
        <v>134</v>
      </c>
      <c r="G13902" s="49" t="str">
        <f t="shared" si="1"/>
        <v>27370</v>
      </c>
      <c r="H13902" s="49">
        <f t="shared" si="2"/>
        <v>27574</v>
      </c>
    </row>
    <row r="13903">
      <c r="A13903" s="48" t="s">
        <v>8695</v>
      </c>
      <c r="B13903" s="38">
        <v>62181.0</v>
      </c>
      <c r="C13903" s="38" t="s">
        <v>18175</v>
      </c>
      <c r="D13903" s="38" t="str">
        <f>IFERROR(__xludf.DUMMYFUNCTION("REGEXREPLACE(C13903,""-\d+(.*)|--\d+(.*)"","""")"),"BUCQUOY")</f>
        <v>BUCQUOY</v>
      </c>
      <c r="E13903" s="38" t="s">
        <v>109</v>
      </c>
      <c r="F13903" s="38" t="s">
        <v>86</v>
      </c>
      <c r="G13903" s="49" t="str">
        <f t="shared" si="1"/>
        <v>62116</v>
      </c>
      <c r="H13903" s="49">
        <f t="shared" si="2"/>
        <v>62181</v>
      </c>
    </row>
    <row r="13904">
      <c r="A13904" s="48" t="s">
        <v>1800</v>
      </c>
      <c r="B13904" s="38">
        <v>88395.0</v>
      </c>
      <c r="C13904" s="38" t="s">
        <v>18176</v>
      </c>
      <c r="D13904" s="38" t="str">
        <f>IFERROR(__xludf.DUMMYFUNCTION("REGEXREPLACE(C13904,""-\d+(.*)|--\d+(.*)"","""")"),"ROMONT")</f>
        <v>ROMONT</v>
      </c>
      <c r="E13904" s="38" t="s">
        <v>194</v>
      </c>
      <c r="F13904" s="38" t="s">
        <v>195</v>
      </c>
      <c r="G13904" s="49" t="str">
        <f t="shared" si="1"/>
        <v>88700</v>
      </c>
      <c r="H13904" s="49">
        <f t="shared" si="2"/>
        <v>88395</v>
      </c>
    </row>
    <row r="13905">
      <c r="A13905" s="48" t="s">
        <v>860</v>
      </c>
      <c r="B13905" s="38">
        <v>80698.0</v>
      </c>
      <c r="C13905" s="38" t="s">
        <v>18177</v>
      </c>
      <c r="D13905" s="38" t="str">
        <f>IFERROR(__xludf.DUMMYFUNCTION("REGEXREPLACE(C13905,""-\d+(.*)|--\d+(.*)"","""")"),"SAINT-AUBIN-MONTENOY")</f>
        <v>SAINT-AUBIN-MONTENOY</v>
      </c>
      <c r="E13905" s="38" t="s">
        <v>224</v>
      </c>
      <c r="F13905" s="38" t="s">
        <v>113</v>
      </c>
      <c r="G13905" s="49" t="str">
        <f t="shared" si="1"/>
        <v>80540</v>
      </c>
      <c r="H13905" s="49">
        <f t="shared" si="2"/>
        <v>80698</v>
      </c>
    </row>
    <row r="13906">
      <c r="A13906" s="48" t="s">
        <v>1450</v>
      </c>
      <c r="B13906" s="38">
        <v>50192.0</v>
      </c>
      <c r="C13906" s="38" t="s">
        <v>18178</v>
      </c>
      <c r="D13906" s="38" t="str">
        <f>IFERROR(__xludf.DUMMYFUNCTION("REGEXREPLACE(C13906,""-\d+(.*)|--\d+(.*)"","""")"),"FOURNEAUX")</f>
        <v>FOURNEAUX</v>
      </c>
      <c r="E13906" s="38" t="s">
        <v>157</v>
      </c>
      <c r="F13906" s="38" t="s">
        <v>138</v>
      </c>
      <c r="G13906" s="49" t="str">
        <f t="shared" si="1"/>
        <v>50420</v>
      </c>
      <c r="H13906" s="49">
        <f t="shared" si="2"/>
        <v>50192</v>
      </c>
    </row>
    <row r="13907">
      <c r="A13907" s="48" t="s">
        <v>12232</v>
      </c>
      <c r="B13907" s="38">
        <v>11124.0</v>
      </c>
      <c r="C13907" s="38" t="s">
        <v>18179</v>
      </c>
      <c r="D13907" s="38" t="str">
        <f>IFERROR(__xludf.DUMMYFUNCTION("REGEXREPLACE(C13907,""-\d+(.*)|--\d+(.*)"","""")"),"DURBAN-CORBIERES")</f>
        <v>DURBAN-CORBIERES</v>
      </c>
      <c r="E13907" s="38" t="s">
        <v>278</v>
      </c>
      <c r="F13907" s="38" t="s">
        <v>119</v>
      </c>
      <c r="G13907" s="49" t="str">
        <f t="shared" si="1"/>
        <v>11360</v>
      </c>
      <c r="H13907" s="49">
        <f t="shared" si="2"/>
        <v>11124</v>
      </c>
    </row>
    <row r="13908">
      <c r="A13908" s="48" t="s">
        <v>6256</v>
      </c>
      <c r="B13908" s="38">
        <v>55428.0</v>
      </c>
      <c r="C13908" s="38" t="s">
        <v>18180</v>
      </c>
      <c r="D13908" s="38" t="str">
        <f>IFERROR(__xludf.DUMMYFUNCTION("REGEXREPLACE(C13908,""-\d+(.*)|--\d+(.*)"","""")"),"REVILLE-AUX-BOIS")</f>
        <v>REVILLE-AUX-BOIS</v>
      </c>
      <c r="E13908" s="38" t="s">
        <v>322</v>
      </c>
      <c r="F13908" s="38" t="s">
        <v>195</v>
      </c>
      <c r="G13908" s="49" t="str">
        <f t="shared" si="1"/>
        <v>55150</v>
      </c>
      <c r="H13908" s="49">
        <f t="shared" si="2"/>
        <v>55428</v>
      </c>
    </row>
    <row r="13909">
      <c r="A13909" s="48" t="s">
        <v>3137</v>
      </c>
      <c r="B13909" s="38">
        <v>67462.0</v>
      </c>
      <c r="C13909" s="38" t="s">
        <v>18181</v>
      </c>
      <c r="D13909" s="38" t="str">
        <f>IFERROR(__xludf.DUMMYFUNCTION("REGEXREPLACE(C13909,""-\d+(.*)|--\d+(.*)"","""")"),"SELESTAT")</f>
        <v>SELESTAT</v>
      </c>
      <c r="E13909" s="38" t="s">
        <v>210</v>
      </c>
      <c r="F13909" s="38" t="s">
        <v>151</v>
      </c>
      <c r="G13909" s="49" t="str">
        <f t="shared" si="1"/>
        <v>67600</v>
      </c>
      <c r="H13909" s="49">
        <f t="shared" si="2"/>
        <v>67462</v>
      </c>
    </row>
    <row r="13910">
      <c r="A13910" s="48" t="s">
        <v>4941</v>
      </c>
      <c r="B13910" s="38">
        <v>89070.0</v>
      </c>
      <c r="C13910" s="38" t="s">
        <v>18182</v>
      </c>
      <c r="D13910" s="38" t="str">
        <f>IFERROR(__xludf.DUMMYFUNCTION("REGEXREPLACE(C13910,""-\d+(.*)|--\d+(.*)"","""")"),"CHAMBEUGLE")</f>
        <v>CHAMBEUGLE</v>
      </c>
      <c r="E13910" s="38" t="s">
        <v>275</v>
      </c>
      <c r="F13910" s="38" t="s">
        <v>106</v>
      </c>
      <c r="G13910" s="49" t="str">
        <f t="shared" si="1"/>
        <v>89120</v>
      </c>
      <c r="H13910" s="49">
        <f t="shared" si="2"/>
        <v>89070</v>
      </c>
    </row>
    <row r="13911">
      <c r="A13911" s="48" t="s">
        <v>18183</v>
      </c>
      <c r="B13911" s="38">
        <v>26281.0</v>
      </c>
      <c r="C13911" s="38" t="s">
        <v>18184</v>
      </c>
      <c r="D13911" s="38" t="str">
        <f>IFERROR(__xludf.DUMMYFUNCTION("REGEXREPLACE(C13911,""-\d+(.*)|--\d+(.*)"","""")"),"ROMANS-SUR-ISERE")</f>
        <v>ROMANS-SUR-ISERE</v>
      </c>
      <c r="E13911" s="38" t="s">
        <v>126</v>
      </c>
      <c r="F13911" s="38" t="s">
        <v>102</v>
      </c>
      <c r="G13911" s="49" t="str">
        <f t="shared" si="1"/>
        <v>26100</v>
      </c>
      <c r="H13911" s="49">
        <f t="shared" si="2"/>
        <v>26281</v>
      </c>
    </row>
    <row r="13912">
      <c r="A13912" s="48" t="s">
        <v>4065</v>
      </c>
      <c r="B13912" s="38">
        <v>21069.0</v>
      </c>
      <c r="C13912" s="38" t="s">
        <v>18185</v>
      </c>
      <c r="D13912" s="38" t="str">
        <f>IFERROR(__xludf.DUMMYFUNCTION("REGEXREPLACE(C13912,""-\d+(.*)|--\d+(.*)"","""")"),"BEURIZOT")</f>
        <v>BEURIZOT</v>
      </c>
      <c r="E13912" s="38" t="s">
        <v>105</v>
      </c>
      <c r="F13912" s="38" t="s">
        <v>106</v>
      </c>
      <c r="G13912" s="49" t="str">
        <f t="shared" si="1"/>
        <v>21350</v>
      </c>
      <c r="H13912" s="49">
        <f t="shared" si="2"/>
        <v>21069</v>
      </c>
    </row>
    <row r="13913">
      <c r="A13913" s="48" t="s">
        <v>5840</v>
      </c>
      <c r="B13913" s="38">
        <v>71107.0</v>
      </c>
      <c r="C13913" s="38" t="s">
        <v>18186</v>
      </c>
      <c r="D13913" s="38" t="str">
        <f>IFERROR(__xludf.DUMMYFUNCTION("REGEXREPLACE(C13913,""-\d+(.*)|--\d+(.*)"","""")"),"CHARRECEY")</f>
        <v>CHARRECEY</v>
      </c>
      <c r="E13913" s="38" t="s">
        <v>344</v>
      </c>
      <c r="F13913" s="38" t="s">
        <v>106</v>
      </c>
      <c r="G13913" s="49" t="str">
        <f t="shared" si="1"/>
        <v>71510</v>
      </c>
      <c r="H13913" s="49">
        <f t="shared" si="2"/>
        <v>71107</v>
      </c>
    </row>
    <row r="13914">
      <c r="A13914" s="48" t="s">
        <v>2631</v>
      </c>
      <c r="B13914" s="38">
        <v>64411.0</v>
      </c>
      <c r="C13914" s="38" t="s">
        <v>18187</v>
      </c>
      <c r="D13914" s="38" t="str">
        <f>IFERROR(__xludf.DUMMYFUNCTION("REGEXREPLACE(C13914,""-\d+(.*)|--\d+(.*)"","""")"),"MUSCULDY")</f>
        <v>MUSCULDY</v>
      </c>
      <c r="E13914" s="38" t="s">
        <v>268</v>
      </c>
      <c r="F13914" s="38" t="s">
        <v>252</v>
      </c>
      <c r="G13914" s="49" t="str">
        <f t="shared" si="1"/>
        <v>64130</v>
      </c>
      <c r="H13914" s="49">
        <f t="shared" si="2"/>
        <v>64411</v>
      </c>
    </row>
    <row r="13915">
      <c r="A13915" s="48" t="s">
        <v>394</v>
      </c>
      <c r="B13915" s="38">
        <v>41131.0</v>
      </c>
      <c r="C13915" s="38" t="s">
        <v>18188</v>
      </c>
      <c r="D13915" s="38" t="str">
        <f>IFERROR(__xludf.DUMMYFUNCTION("REGEXREPLACE(C13915,""-\d+(.*)|--\d+(.*)"","""")"),"MAZANGE")</f>
        <v>MAZANGE</v>
      </c>
      <c r="E13915" s="38" t="s">
        <v>188</v>
      </c>
      <c r="F13915" s="38" t="s">
        <v>123</v>
      </c>
      <c r="G13915" s="49" t="str">
        <f t="shared" si="1"/>
        <v>41100</v>
      </c>
      <c r="H13915" s="49">
        <f t="shared" si="2"/>
        <v>41131</v>
      </c>
    </row>
    <row r="13916">
      <c r="A13916" s="48" t="s">
        <v>5761</v>
      </c>
      <c r="B13916" s="38">
        <v>17050.0</v>
      </c>
      <c r="C13916" s="38" t="s">
        <v>18189</v>
      </c>
      <c r="D13916" s="38" t="str">
        <f>IFERROR(__xludf.DUMMYFUNCTION("REGEXREPLACE(C13916,""-\d+(.*)|--\d+(.*)"","""")"),"BOIS")</f>
        <v>BOIS</v>
      </c>
      <c r="E13916" s="38" t="s">
        <v>488</v>
      </c>
      <c r="F13916" s="38" t="s">
        <v>338</v>
      </c>
      <c r="G13916" s="49" t="str">
        <f t="shared" si="1"/>
        <v>17240</v>
      </c>
      <c r="H13916" s="49">
        <f t="shared" si="2"/>
        <v>17050</v>
      </c>
    </row>
    <row r="13917">
      <c r="A13917" s="48" t="s">
        <v>7874</v>
      </c>
      <c r="B13917" s="38">
        <v>40261.0</v>
      </c>
      <c r="C13917" s="38" t="s">
        <v>18190</v>
      </c>
      <c r="D13917" s="38" t="str">
        <f>IFERROR(__xludf.DUMMYFUNCTION("REGEXREPLACE(C13917,""-\d+(.*)|--\d+(.*)"","""")"),"SAINT-GEOURS-DE-MAREMNE")</f>
        <v>SAINT-GEOURS-DE-MAREMNE</v>
      </c>
      <c r="E13917" s="38" t="s">
        <v>281</v>
      </c>
      <c r="F13917" s="38" t="s">
        <v>252</v>
      </c>
      <c r="G13917" s="49" t="str">
        <f t="shared" si="1"/>
        <v>40230</v>
      </c>
      <c r="H13917" s="49">
        <f t="shared" si="2"/>
        <v>40261</v>
      </c>
    </row>
    <row r="13918">
      <c r="A13918" s="48" t="s">
        <v>2734</v>
      </c>
      <c r="B13918" s="38">
        <v>89036.0</v>
      </c>
      <c r="C13918" s="38" t="s">
        <v>18191</v>
      </c>
      <c r="D13918" s="38" t="str">
        <f>IFERROR(__xludf.DUMMYFUNCTION("REGEXREPLACE(C13918,""-\d+(.*)|--\d+(.*)"","""")"),"LA BELLIOLE")</f>
        <v>LA BELLIOLE</v>
      </c>
      <c r="E13918" s="38" t="s">
        <v>275</v>
      </c>
      <c r="F13918" s="38" t="s">
        <v>106</v>
      </c>
      <c r="G13918" s="49" t="str">
        <f t="shared" si="1"/>
        <v>89150</v>
      </c>
      <c r="H13918" s="49">
        <f t="shared" si="2"/>
        <v>89036</v>
      </c>
    </row>
    <row r="13919">
      <c r="A13919" s="48" t="s">
        <v>5581</v>
      </c>
      <c r="B13919" s="38">
        <v>62311.0</v>
      </c>
      <c r="C13919" s="38" t="s">
        <v>18192</v>
      </c>
      <c r="D13919" s="38" t="str">
        <f>IFERROR(__xludf.DUMMYFUNCTION("REGEXREPLACE(C13919,""-\d+(.*)|--\d+(.*)"","""")"),"ESTEVELLES")</f>
        <v>ESTEVELLES</v>
      </c>
      <c r="E13919" s="38" t="s">
        <v>109</v>
      </c>
      <c r="F13919" s="38" t="s">
        <v>86</v>
      </c>
      <c r="G13919" s="49" t="str">
        <f t="shared" si="1"/>
        <v>62880</v>
      </c>
      <c r="H13919" s="49">
        <f t="shared" si="2"/>
        <v>62311</v>
      </c>
    </row>
    <row r="13920">
      <c r="A13920" s="48" t="s">
        <v>333</v>
      </c>
      <c r="B13920" s="38">
        <v>43139.0</v>
      </c>
      <c r="C13920" s="38" t="s">
        <v>18193</v>
      </c>
      <c r="D13920" s="38" t="str">
        <f>IFERROR(__xludf.DUMMYFUNCTION("REGEXREPLACE(C13920,""-\d+(.*)|--\d+(.*)"","""")"),"MONTCLARD")</f>
        <v>MONTCLARD</v>
      </c>
      <c r="E13920" s="38" t="s">
        <v>332</v>
      </c>
      <c r="F13920" s="38" t="s">
        <v>161</v>
      </c>
      <c r="G13920" s="49" t="str">
        <f t="shared" si="1"/>
        <v>43230</v>
      </c>
      <c r="H13920" s="49">
        <f t="shared" si="2"/>
        <v>43139</v>
      </c>
    </row>
    <row r="13921">
      <c r="A13921" s="48" t="s">
        <v>18194</v>
      </c>
      <c r="B13921" s="38">
        <v>36231.0</v>
      </c>
      <c r="C13921" s="38" t="s">
        <v>18195</v>
      </c>
      <c r="D13921" s="38" t="str">
        <f>IFERROR(__xludf.DUMMYFUNCTION("REGEXREPLACE(C13921,""-\d+(.*)|--\d+(.*)"","""")"),"VELLES")</f>
        <v>VELLES</v>
      </c>
      <c r="E13921" s="38" t="s">
        <v>258</v>
      </c>
      <c r="F13921" s="38" t="s">
        <v>123</v>
      </c>
      <c r="G13921" s="49" t="str">
        <f t="shared" si="1"/>
        <v>36330</v>
      </c>
      <c r="H13921" s="49">
        <f t="shared" si="2"/>
        <v>36231</v>
      </c>
    </row>
    <row r="13922">
      <c r="A13922" s="48" t="s">
        <v>3050</v>
      </c>
      <c r="B13922" s="38">
        <v>11165.0</v>
      </c>
      <c r="C13922" s="38" t="s">
        <v>18196</v>
      </c>
      <c r="D13922" s="38" t="str">
        <f>IFERROR(__xludf.DUMMYFUNCTION("REGEXREPLACE(C13922,""-\d+(.*)|--\d+(.*)"","""")"),"GINOLES")</f>
        <v>GINOLES</v>
      </c>
      <c r="E13922" s="38" t="s">
        <v>278</v>
      </c>
      <c r="F13922" s="38" t="s">
        <v>119</v>
      </c>
      <c r="G13922" s="49" t="str">
        <f t="shared" si="1"/>
        <v>11500</v>
      </c>
      <c r="H13922" s="49">
        <f t="shared" si="2"/>
        <v>11165</v>
      </c>
    </row>
    <row r="13923">
      <c r="A13923" s="48" t="s">
        <v>1018</v>
      </c>
      <c r="B13923" s="38">
        <v>60361.0</v>
      </c>
      <c r="C13923" s="38" t="s">
        <v>18197</v>
      </c>
      <c r="D13923" s="38" t="str">
        <f>IFERROR(__xludf.DUMMYFUNCTION("REGEXREPLACE(C13923,""-\d+(.*)|--\d+(.*)"","""")"),"LIANCOURT-SAINT-PIERRE")</f>
        <v>LIANCOURT-SAINT-PIERRE</v>
      </c>
      <c r="E13923" s="38" t="s">
        <v>112</v>
      </c>
      <c r="F13923" s="38" t="s">
        <v>113</v>
      </c>
      <c r="G13923" s="49" t="str">
        <f t="shared" si="1"/>
        <v>60240</v>
      </c>
      <c r="H13923" s="49">
        <f t="shared" si="2"/>
        <v>60361</v>
      </c>
    </row>
    <row r="13924">
      <c r="A13924" s="48" t="s">
        <v>6909</v>
      </c>
      <c r="B13924" s="38">
        <v>14302.0</v>
      </c>
      <c r="C13924" s="38" t="s">
        <v>18198</v>
      </c>
      <c r="D13924" s="38" t="str">
        <f>IFERROR(__xludf.DUMMYFUNCTION("REGEXREPLACE(C13924,""-\d+(.*)|--\d+(.*)"","""")"),"GLANVILLE")</f>
        <v>GLANVILLE</v>
      </c>
      <c r="E13924" s="38" t="s">
        <v>137</v>
      </c>
      <c r="F13924" s="38" t="s">
        <v>138</v>
      </c>
      <c r="G13924" s="49" t="str">
        <f t="shared" si="1"/>
        <v>14950</v>
      </c>
      <c r="H13924" s="49">
        <f t="shared" si="2"/>
        <v>14302</v>
      </c>
    </row>
    <row r="13925">
      <c r="A13925" s="48" t="s">
        <v>4270</v>
      </c>
      <c r="B13925" s="38">
        <v>76218.0</v>
      </c>
      <c r="C13925" s="38" t="s">
        <v>18199</v>
      </c>
      <c r="D13925" s="38" t="str">
        <f>IFERROR(__xludf.DUMMYFUNCTION("REGEXREPLACE(C13925,""-\d+(.*)|--\d+(.*)"","""")"),"DOUDEAUVILLE")</f>
        <v>DOUDEAUVILLE</v>
      </c>
      <c r="E13925" s="38" t="s">
        <v>133</v>
      </c>
      <c r="F13925" s="38" t="s">
        <v>134</v>
      </c>
      <c r="G13925" s="49" t="str">
        <f t="shared" si="1"/>
        <v>76220</v>
      </c>
      <c r="H13925" s="49">
        <f t="shared" si="2"/>
        <v>76218</v>
      </c>
    </row>
    <row r="13926">
      <c r="A13926" s="48" t="s">
        <v>99</v>
      </c>
      <c r="B13926" s="38">
        <v>38073.0</v>
      </c>
      <c r="C13926" s="38" t="s">
        <v>18200</v>
      </c>
      <c r="D13926" s="38" t="str">
        <f>IFERROR(__xludf.DUMMYFUNCTION("REGEXREPLACE(C13926,""-\d+(.*)|--\d+(.*)"","""")"),"CHANTELOUVE")</f>
        <v>CHANTELOUVE</v>
      </c>
      <c r="E13926" s="38" t="s">
        <v>101</v>
      </c>
      <c r="F13926" s="38" t="s">
        <v>102</v>
      </c>
      <c r="G13926" s="49" t="str">
        <f t="shared" si="1"/>
        <v>38740</v>
      </c>
      <c r="H13926" s="49">
        <f t="shared" si="2"/>
        <v>38073</v>
      </c>
    </row>
    <row r="13927">
      <c r="A13927" s="48" t="s">
        <v>491</v>
      </c>
      <c r="B13927" s="38">
        <v>19200.0</v>
      </c>
      <c r="C13927" s="38" t="s">
        <v>18201</v>
      </c>
      <c r="D13927" s="38" t="str">
        <f>IFERROR(__xludf.DUMMYFUNCTION("REGEXREPLACE(C13927,""-\d+(.*)|--\d+(.*)"","""")"),"SAINT-ETIENNE-LA-GENESTE")</f>
        <v>SAINT-ETIENNE-LA-GENESTE</v>
      </c>
      <c r="E13927" s="38" t="s">
        <v>271</v>
      </c>
      <c r="F13927" s="38" t="s">
        <v>98</v>
      </c>
      <c r="G13927" s="49" t="str">
        <f t="shared" si="1"/>
        <v>19160</v>
      </c>
      <c r="H13927" s="49">
        <f t="shared" si="2"/>
        <v>19200</v>
      </c>
    </row>
    <row r="13928">
      <c r="A13928" s="48" t="s">
        <v>2701</v>
      </c>
      <c r="B13928" s="38">
        <v>17448.0</v>
      </c>
      <c r="C13928" s="38" t="s">
        <v>18202</v>
      </c>
      <c r="D13928" s="38" t="str">
        <f>IFERROR(__xludf.DUMMYFUNCTION("REGEXREPLACE(C13928,""-\d+(.*)|--\d+(.*)"","""")"),"TONNAY-BOUTONNE")</f>
        <v>TONNAY-BOUTONNE</v>
      </c>
      <c r="E13928" s="38" t="s">
        <v>488</v>
      </c>
      <c r="F13928" s="38" t="s">
        <v>338</v>
      </c>
      <c r="G13928" s="49" t="str">
        <f t="shared" si="1"/>
        <v>17380</v>
      </c>
      <c r="H13928" s="49">
        <f t="shared" si="2"/>
        <v>17448</v>
      </c>
    </row>
    <row r="13929">
      <c r="A13929" s="48" t="s">
        <v>8204</v>
      </c>
      <c r="B13929" s="38">
        <v>78070.0</v>
      </c>
      <c r="C13929" s="38" t="s">
        <v>18203</v>
      </c>
      <c r="D13929" s="38" t="str">
        <f>IFERROR(__xludf.DUMMYFUNCTION("REGEXREPLACE(C13929,""-\d+(.*)|--\d+(.*)"","""")"),"BOINVILLE-EN-MANTOIS")</f>
        <v>BOINVILLE-EN-MANTOIS</v>
      </c>
      <c r="E13929" s="38" t="s">
        <v>362</v>
      </c>
      <c r="F13929" s="38" t="s">
        <v>245</v>
      </c>
      <c r="G13929" s="49" t="str">
        <f t="shared" si="1"/>
        <v>78930</v>
      </c>
      <c r="H13929" s="49">
        <f t="shared" si="2"/>
        <v>78070</v>
      </c>
    </row>
    <row r="13930">
      <c r="A13930" s="48" t="s">
        <v>9683</v>
      </c>
      <c r="B13930" s="38">
        <v>46299.0</v>
      </c>
      <c r="C13930" s="38" t="s">
        <v>18204</v>
      </c>
      <c r="D13930" s="38" t="str">
        <f>IFERROR(__xludf.DUMMYFUNCTION("REGEXREPLACE(C13930,""-\d+(.*)|--\d+(.*)"","""")"),"SAULIAC-SUR-CELE")</f>
        <v>SAULIAC-SUR-CELE</v>
      </c>
      <c r="E13930" s="38" t="s">
        <v>185</v>
      </c>
      <c r="F13930" s="38" t="s">
        <v>94</v>
      </c>
      <c r="G13930" s="49" t="str">
        <f t="shared" si="1"/>
        <v>46330</v>
      </c>
      <c r="H13930" s="49">
        <f t="shared" si="2"/>
        <v>46299</v>
      </c>
    </row>
    <row r="13931">
      <c r="A13931" s="48" t="s">
        <v>18205</v>
      </c>
      <c r="B13931" s="38">
        <v>88445.0</v>
      </c>
      <c r="C13931" s="38" t="s">
        <v>18206</v>
      </c>
      <c r="D13931" s="38" t="str">
        <f>IFERROR(__xludf.DUMMYFUNCTION("REGEXREPLACE(C13931,""-\d+(.*)|--\d+(.*)"","""")"),"SAULCY-SUR-MEURTHE")</f>
        <v>SAULCY-SUR-MEURTHE</v>
      </c>
      <c r="E13931" s="38" t="s">
        <v>194</v>
      </c>
      <c r="F13931" s="38" t="s">
        <v>195</v>
      </c>
      <c r="G13931" s="49" t="str">
        <f t="shared" si="1"/>
        <v>88580</v>
      </c>
      <c r="H13931" s="49">
        <f t="shared" si="2"/>
        <v>88445</v>
      </c>
    </row>
    <row r="13932">
      <c r="A13932" s="48" t="s">
        <v>18207</v>
      </c>
      <c r="B13932" s="38">
        <v>13042.0</v>
      </c>
      <c r="C13932" s="38" t="s">
        <v>18208</v>
      </c>
      <c r="D13932" s="38" t="str">
        <f>IFERROR(__xludf.DUMMYFUNCTION("REGEXREPLACE(C13932,""-\d+(.*)|--\d+(.*)"","""")"),"GEMENOS")</f>
        <v>GEMENOS</v>
      </c>
      <c r="E13932" s="38" t="s">
        <v>980</v>
      </c>
      <c r="F13932" s="38" t="s">
        <v>228</v>
      </c>
      <c r="G13932" s="49" t="str">
        <f t="shared" si="1"/>
        <v>13420</v>
      </c>
      <c r="H13932" s="49">
        <f t="shared" si="2"/>
        <v>13042</v>
      </c>
    </row>
    <row r="13933">
      <c r="A13933" s="48" t="s">
        <v>1785</v>
      </c>
      <c r="B13933" s="38">
        <v>42126.0</v>
      </c>
      <c r="C13933" s="38" t="s">
        <v>18209</v>
      </c>
      <c r="D13933" s="38" t="str">
        <f>IFERROR(__xludf.DUMMYFUNCTION("REGEXREPLACE(C13933,""-\d+(.*)|--\d+(.*)"","""")"),"LURIECQ")</f>
        <v>LURIECQ</v>
      </c>
      <c r="E13933" s="38" t="s">
        <v>166</v>
      </c>
      <c r="F13933" s="38" t="s">
        <v>102</v>
      </c>
      <c r="G13933" s="49" t="str">
        <f t="shared" si="1"/>
        <v>42380</v>
      </c>
      <c r="H13933" s="49">
        <f t="shared" si="2"/>
        <v>42126</v>
      </c>
    </row>
    <row r="13934">
      <c r="A13934" s="48" t="s">
        <v>8506</v>
      </c>
      <c r="B13934" s="38">
        <v>79074.0</v>
      </c>
      <c r="C13934" s="38" t="s">
        <v>18210</v>
      </c>
      <c r="D13934" s="38" t="str">
        <f>IFERROR(__xludf.DUMMYFUNCTION("REGEXREPLACE(C13934,""-\d+(.*)|--\d+(.*)"","""")"),"LA CHAPELLE-POUILLOUX")</f>
        <v>LA CHAPELLE-POUILLOUX</v>
      </c>
      <c r="E13934" s="38" t="s">
        <v>337</v>
      </c>
      <c r="F13934" s="38" t="s">
        <v>338</v>
      </c>
      <c r="G13934" s="49" t="str">
        <f t="shared" si="1"/>
        <v>79190</v>
      </c>
      <c r="H13934" s="49">
        <f t="shared" si="2"/>
        <v>79074</v>
      </c>
    </row>
    <row r="13935">
      <c r="A13935" s="48" t="s">
        <v>2794</v>
      </c>
      <c r="B13935" s="38">
        <v>39222.0</v>
      </c>
      <c r="C13935" s="38" t="s">
        <v>18211</v>
      </c>
      <c r="D13935" s="38" t="str">
        <f>IFERROR(__xludf.DUMMYFUNCTION("REGEXREPLACE(C13935,""-\d+(.*)|--\d+(.*)"","""")"),"FAY-EN-MONTAGNE")</f>
        <v>FAY-EN-MONTAGNE</v>
      </c>
      <c r="E13935" s="38" t="s">
        <v>400</v>
      </c>
      <c r="F13935" s="38" t="s">
        <v>214</v>
      </c>
      <c r="G13935" s="49" t="str">
        <f t="shared" si="1"/>
        <v>39800</v>
      </c>
      <c r="H13935" s="49">
        <f t="shared" si="2"/>
        <v>39222</v>
      </c>
    </row>
    <row r="13936">
      <c r="A13936" s="48" t="s">
        <v>10189</v>
      </c>
      <c r="B13936" s="38">
        <v>59213.0</v>
      </c>
      <c r="C13936" s="38" t="s">
        <v>18212</v>
      </c>
      <c r="D13936" s="38" t="str">
        <f>IFERROR(__xludf.DUMMYFUNCTION("REGEXREPLACE(C13936,""-\d+(.*)|--\d+(.*)"","""")"),"ESTOURMEL")</f>
        <v>ESTOURMEL</v>
      </c>
      <c r="E13936" s="38" t="s">
        <v>85</v>
      </c>
      <c r="F13936" s="38" t="s">
        <v>86</v>
      </c>
      <c r="G13936" s="49" t="str">
        <f t="shared" si="1"/>
        <v>59400</v>
      </c>
      <c r="H13936" s="49">
        <f t="shared" si="2"/>
        <v>59213</v>
      </c>
    </row>
    <row r="13937">
      <c r="A13937" s="48" t="s">
        <v>7514</v>
      </c>
      <c r="B13937" s="38">
        <v>88324.0</v>
      </c>
      <c r="C13937" s="38" t="s">
        <v>18213</v>
      </c>
      <c r="D13937" s="38" t="str">
        <f>IFERROR(__xludf.DUMMYFUNCTION("REGEXREPLACE(C13937,""-\d+(.*)|--\d+(.*)"","""")"),"LA NEUVEVILLE-SOUS-CHATENOIS")</f>
        <v>LA NEUVEVILLE-SOUS-CHATENOIS</v>
      </c>
      <c r="E13937" s="38" t="s">
        <v>194</v>
      </c>
      <c r="F13937" s="38" t="s">
        <v>195</v>
      </c>
      <c r="G13937" s="49" t="str">
        <f t="shared" si="1"/>
        <v>88170</v>
      </c>
      <c r="H13937" s="49">
        <f t="shared" si="2"/>
        <v>88324</v>
      </c>
    </row>
    <row r="13938">
      <c r="A13938" s="48" t="s">
        <v>4332</v>
      </c>
      <c r="B13938" s="38">
        <v>24233.0</v>
      </c>
      <c r="C13938" s="38" t="s">
        <v>18214</v>
      </c>
      <c r="D13938" s="38" t="str">
        <f>IFERROR(__xludf.DUMMYFUNCTION("REGEXREPLACE(C13938,""-\d+(.*)|--\d+(.*)"","""")"),"LAVEYSSIERE")</f>
        <v>LAVEYSSIERE</v>
      </c>
      <c r="E13938" s="38" t="s">
        <v>261</v>
      </c>
      <c r="F13938" s="38" t="s">
        <v>252</v>
      </c>
      <c r="G13938" s="49" t="str">
        <f t="shared" si="1"/>
        <v>24130</v>
      </c>
      <c r="H13938" s="49">
        <f t="shared" si="2"/>
        <v>24233</v>
      </c>
    </row>
    <row r="13939">
      <c r="A13939" s="48" t="s">
        <v>18215</v>
      </c>
      <c r="B13939" s="38">
        <v>62637.0</v>
      </c>
      <c r="C13939" s="38" t="s">
        <v>18216</v>
      </c>
      <c r="D13939" s="38" t="str">
        <f>IFERROR(__xludf.DUMMYFUNCTION("REGEXREPLACE(C13939,""-\d+(.*)|--\d+(.*)"","""")"),"OIGNIES")</f>
        <v>OIGNIES</v>
      </c>
      <c r="E13939" s="38" t="s">
        <v>109</v>
      </c>
      <c r="F13939" s="38" t="s">
        <v>86</v>
      </c>
      <c r="G13939" s="49" t="str">
        <f t="shared" si="1"/>
        <v>62590</v>
      </c>
      <c r="H13939" s="49">
        <f t="shared" si="2"/>
        <v>62637</v>
      </c>
    </row>
    <row r="13940">
      <c r="A13940" s="48" t="s">
        <v>4428</v>
      </c>
      <c r="B13940" s="38">
        <v>72254.0</v>
      </c>
      <c r="C13940" s="38" t="s">
        <v>18217</v>
      </c>
      <c r="D13940" s="38" t="str">
        <f>IFERROR(__xludf.DUMMYFUNCTION("REGEXREPLACE(C13940,""-\d+(.*)|--\d+(.*)"","""")"),"ROUESSE-FONTAINE")</f>
        <v>ROUESSE-FONTAINE</v>
      </c>
      <c r="E13940" s="38" t="s">
        <v>521</v>
      </c>
      <c r="F13940" s="38" t="s">
        <v>180</v>
      </c>
      <c r="G13940" s="49" t="str">
        <f t="shared" si="1"/>
        <v>72610</v>
      </c>
      <c r="H13940" s="49">
        <f t="shared" si="2"/>
        <v>72254</v>
      </c>
    </row>
    <row r="13941">
      <c r="A13941" s="48" t="s">
        <v>2393</v>
      </c>
      <c r="B13941" s="38">
        <v>38278.0</v>
      </c>
      <c r="C13941" s="38" t="s">
        <v>18218</v>
      </c>
      <c r="D13941" s="38" t="str">
        <f>IFERROR(__xludf.DUMMYFUNCTION("REGEXREPLACE(C13941,""-\d+(.*)|--\d+(.*)"","""")"),"NOTRE-DAME-DE-L'OSIER")</f>
        <v>NOTRE-DAME-DE-L'OSIER</v>
      </c>
      <c r="E13941" s="38" t="s">
        <v>101</v>
      </c>
      <c r="F13941" s="38" t="s">
        <v>102</v>
      </c>
      <c r="G13941" s="49" t="str">
        <f t="shared" si="1"/>
        <v>38470</v>
      </c>
      <c r="H13941" s="49">
        <f t="shared" si="2"/>
        <v>38278</v>
      </c>
    </row>
    <row r="13942">
      <c r="A13942" s="48" t="s">
        <v>18219</v>
      </c>
      <c r="B13942" s="38">
        <v>95268.0</v>
      </c>
      <c r="C13942" s="38" t="s">
        <v>18220</v>
      </c>
      <c r="D13942" s="38" t="str">
        <f>IFERROR(__xludf.DUMMYFUNCTION("REGEXREPLACE(C13942,""-\d+(.*)|--\d+(.*)"","""")"),"GARGES-LES-GONESSE")</f>
        <v>GARGES-LES-GONESSE</v>
      </c>
      <c r="E13942" s="38" t="s">
        <v>541</v>
      </c>
      <c r="F13942" s="38" t="s">
        <v>245</v>
      </c>
      <c r="G13942" s="49" t="str">
        <f t="shared" si="1"/>
        <v>95140</v>
      </c>
      <c r="H13942" s="49">
        <f t="shared" si="2"/>
        <v>95268</v>
      </c>
    </row>
    <row r="13943">
      <c r="A13943" s="48" t="s">
        <v>1108</v>
      </c>
      <c r="B13943" s="38">
        <v>27098.0</v>
      </c>
      <c r="C13943" s="38" t="s">
        <v>18221</v>
      </c>
      <c r="D13943" s="38" t="str">
        <f>IFERROR(__xludf.DUMMYFUNCTION("REGEXREPLACE(C13943,""-\d+(.*)|--\d+(.*)"","""")"),"BOUCHEVILLIERS")</f>
        <v>BOUCHEVILLIERS</v>
      </c>
      <c r="E13943" s="38" t="s">
        <v>241</v>
      </c>
      <c r="F13943" s="38" t="s">
        <v>134</v>
      </c>
      <c r="G13943" s="49" t="str">
        <f t="shared" si="1"/>
        <v>27150</v>
      </c>
      <c r="H13943" s="49">
        <f t="shared" si="2"/>
        <v>27098</v>
      </c>
    </row>
    <row r="13944">
      <c r="A13944" s="48" t="s">
        <v>3711</v>
      </c>
      <c r="B13944" s="38">
        <v>21389.0</v>
      </c>
      <c r="C13944" s="38" t="s">
        <v>18222</v>
      </c>
      <c r="D13944" s="38" t="str">
        <f>IFERROR(__xludf.DUMMYFUNCTION("REGEXREPLACE(C13944,""-\d+(.*)|--\d+(.*)"","""")"),"MARMAGNE")</f>
        <v>MARMAGNE</v>
      </c>
      <c r="E13944" s="38" t="s">
        <v>105</v>
      </c>
      <c r="F13944" s="38" t="s">
        <v>106</v>
      </c>
      <c r="G13944" s="49" t="str">
        <f t="shared" si="1"/>
        <v>21500</v>
      </c>
      <c r="H13944" s="49">
        <f t="shared" si="2"/>
        <v>21389</v>
      </c>
    </row>
    <row r="13945">
      <c r="A13945" s="48" t="s">
        <v>18223</v>
      </c>
      <c r="B13945" s="38">
        <v>66148.0</v>
      </c>
      <c r="C13945" s="38" t="s">
        <v>18224</v>
      </c>
      <c r="D13945" s="38" t="str">
        <f>IFERROR(__xludf.DUMMYFUNCTION("REGEXREPLACE(C13945,""-\d+(.*)|--\d+(.*)"","""")"),"PORT-VENDRES")</f>
        <v>PORT-VENDRES</v>
      </c>
      <c r="E13945" s="38" t="s">
        <v>248</v>
      </c>
      <c r="F13945" s="38" t="s">
        <v>119</v>
      </c>
      <c r="G13945" s="49" t="str">
        <f t="shared" si="1"/>
        <v>66660</v>
      </c>
      <c r="H13945" s="49">
        <f t="shared" si="2"/>
        <v>66148</v>
      </c>
    </row>
    <row r="13946">
      <c r="A13946" s="48" t="s">
        <v>1806</v>
      </c>
      <c r="B13946" s="38">
        <v>90104.0</v>
      </c>
      <c r="C13946" s="38" t="s">
        <v>18225</v>
      </c>
      <c r="D13946" s="38" t="str">
        <f>IFERROR(__xludf.DUMMYFUNCTION("REGEXREPLACE(C13946,""-\d+(.*)|--\d+(.*)"","""")"),"VEZELOIS")</f>
        <v>VEZELOIS</v>
      </c>
      <c r="E13946" s="38" t="s">
        <v>1283</v>
      </c>
      <c r="F13946" s="38" t="s">
        <v>214</v>
      </c>
      <c r="G13946" s="49" t="str">
        <f t="shared" si="1"/>
        <v>90400</v>
      </c>
      <c r="H13946" s="49">
        <f t="shared" si="2"/>
        <v>90104</v>
      </c>
    </row>
    <row r="13947">
      <c r="A13947" s="48" t="s">
        <v>13409</v>
      </c>
      <c r="B13947" s="38">
        <v>35265.0</v>
      </c>
      <c r="C13947" s="38" t="s">
        <v>18226</v>
      </c>
      <c r="D13947" s="38" t="str">
        <f>IFERROR(__xludf.DUMMYFUNCTION("REGEXREPLACE(C13947,""-\d+(.*)|--\d+(.*)"","""")"),"SAINT-DOMINEUC")</f>
        <v>SAINT-DOMINEUC</v>
      </c>
      <c r="E13947" s="38" t="s">
        <v>347</v>
      </c>
      <c r="F13947" s="38" t="s">
        <v>90</v>
      </c>
      <c r="G13947" s="49" t="str">
        <f t="shared" si="1"/>
        <v>35190</v>
      </c>
      <c r="H13947" s="49">
        <f t="shared" si="2"/>
        <v>35265</v>
      </c>
    </row>
    <row r="13948">
      <c r="A13948" s="48" t="s">
        <v>6965</v>
      </c>
      <c r="B13948" s="38">
        <v>2434.0</v>
      </c>
      <c r="C13948" s="38" t="s">
        <v>18227</v>
      </c>
      <c r="D13948" s="38" t="str">
        <f>IFERROR(__xludf.DUMMYFUNCTION("REGEXREPLACE(C13948,""-\d+(.*)|--\d+(.*)"","""")"),"LIZY")</f>
        <v>LIZY</v>
      </c>
      <c r="E13948" s="38" t="s">
        <v>191</v>
      </c>
      <c r="F13948" s="38" t="s">
        <v>113</v>
      </c>
      <c r="G13948" s="49" t="str">
        <f t="shared" si="1"/>
        <v>02320</v>
      </c>
      <c r="H13948" s="49" t="str">
        <f t="shared" si="2"/>
        <v>02434</v>
      </c>
    </row>
    <row r="13949">
      <c r="A13949" s="48" t="s">
        <v>13232</v>
      </c>
      <c r="B13949" s="38">
        <v>8319.0</v>
      </c>
      <c r="C13949" s="38" t="s">
        <v>18228</v>
      </c>
      <c r="D13949" s="38" t="str">
        <f>IFERROR(__xludf.DUMMYFUNCTION("REGEXREPLACE(C13949,""-\d+(.*)|--\d+(.*)"","""")"),"NEUVILLE-LEZ-BEAULIEU")</f>
        <v>NEUVILLE-LEZ-BEAULIEU</v>
      </c>
      <c r="E13949" s="38" t="s">
        <v>327</v>
      </c>
      <c r="F13949" s="38" t="s">
        <v>130</v>
      </c>
      <c r="G13949" s="49" t="str">
        <f t="shared" si="1"/>
        <v>08380</v>
      </c>
      <c r="H13949" s="49" t="str">
        <f t="shared" si="2"/>
        <v>08319</v>
      </c>
    </row>
    <row r="13950">
      <c r="A13950" s="48" t="s">
        <v>9026</v>
      </c>
      <c r="B13950" s="38">
        <v>21572.0</v>
      </c>
      <c r="C13950" s="38" t="s">
        <v>18229</v>
      </c>
      <c r="D13950" s="38" t="str">
        <f>IFERROR(__xludf.DUMMYFUNCTION("REGEXREPLACE(C13950,""-\d+(.*)|--\d+(.*)"","""")"),"SAINT-SEINE-EN-BACHE")</f>
        <v>SAINT-SEINE-EN-BACHE</v>
      </c>
      <c r="E13950" s="38" t="s">
        <v>105</v>
      </c>
      <c r="F13950" s="38" t="s">
        <v>106</v>
      </c>
      <c r="G13950" s="49" t="str">
        <f t="shared" si="1"/>
        <v>21130</v>
      </c>
      <c r="H13950" s="49">
        <f t="shared" si="2"/>
        <v>21572</v>
      </c>
    </row>
    <row r="13951">
      <c r="A13951" s="48" t="s">
        <v>8293</v>
      </c>
      <c r="B13951" s="38">
        <v>62200.0</v>
      </c>
      <c r="C13951" s="38" t="s">
        <v>18230</v>
      </c>
      <c r="D13951" s="38" t="str">
        <f>IFERROR(__xludf.DUMMYFUNCTION("REGEXREPLACE(C13951,""-\d+(.*)|--\d+(.*)"","""")"),"CAMBRIN")</f>
        <v>CAMBRIN</v>
      </c>
      <c r="E13951" s="38" t="s">
        <v>109</v>
      </c>
      <c r="F13951" s="38" t="s">
        <v>86</v>
      </c>
      <c r="G13951" s="49" t="str">
        <f t="shared" si="1"/>
        <v>62149</v>
      </c>
      <c r="H13951" s="49">
        <f t="shared" si="2"/>
        <v>62200</v>
      </c>
    </row>
    <row r="13952">
      <c r="A13952" s="48" t="s">
        <v>1358</v>
      </c>
      <c r="B13952" s="38">
        <v>81183.0</v>
      </c>
      <c r="C13952" s="38" t="s">
        <v>18231</v>
      </c>
      <c r="D13952" s="38" t="str">
        <f>IFERROR(__xludf.DUMMYFUNCTION("REGEXREPLACE(C13952,""-\d+(.*)|--\d+(.*)"","""")"),"MONT-ROC")</f>
        <v>MONT-ROC</v>
      </c>
      <c r="E13952" s="38" t="s">
        <v>231</v>
      </c>
      <c r="F13952" s="38" t="s">
        <v>94</v>
      </c>
      <c r="G13952" s="49" t="str">
        <f t="shared" si="1"/>
        <v>81120</v>
      </c>
      <c r="H13952" s="49">
        <f t="shared" si="2"/>
        <v>81183</v>
      </c>
    </row>
    <row r="13953">
      <c r="A13953" s="48" t="s">
        <v>4779</v>
      </c>
      <c r="B13953" s="38">
        <v>28321.0</v>
      </c>
      <c r="C13953" s="38" t="s">
        <v>11164</v>
      </c>
      <c r="D13953" s="38" t="str">
        <f>IFERROR(__xludf.DUMMYFUNCTION("REGEXREPLACE(C13953,""-\d+(.*)|--\d+(.*)"","""")"),"ROUVRES")</f>
        <v>ROUVRES</v>
      </c>
      <c r="E13953" s="38" t="s">
        <v>300</v>
      </c>
      <c r="F13953" s="38" t="s">
        <v>123</v>
      </c>
      <c r="G13953" s="49" t="str">
        <f t="shared" si="1"/>
        <v>28260</v>
      </c>
      <c r="H13953" s="49">
        <f t="shared" si="2"/>
        <v>28321</v>
      </c>
    </row>
    <row r="13954">
      <c r="A13954" s="48" t="s">
        <v>1036</v>
      </c>
      <c r="B13954" s="38">
        <v>57391.0</v>
      </c>
      <c r="C13954" s="38" t="s">
        <v>18232</v>
      </c>
      <c r="D13954" s="38" t="str">
        <f>IFERROR(__xludf.DUMMYFUNCTION("REGEXREPLACE(C13954,""-\d+(.*)|--\d+(.*)"","""")"),"LEMONCOURT")</f>
        <v>LEMONCOURT</v>
      </c>
      <c r="E13954" s="38" t="s">
        <v>303</v>
      </c>
      <c r="F13954" s="38" t="s">
        <v>195</v>
      </c>
      <c r="G13954" s="49" t="str">
        <f t="shared" si="1"/>
        <v>57590</v>
      </c>
      <c r="H13954" s="49">
        <f t="shared" si="2"/>
        <v>57391</v>
      </c>
    </row>
    <row r="13955">
      <c r="A13955" s="48" t="s">
        <v>7876</v>
      </c>
      <c r="B13955" s="38">
        <v>58129.0</v>
      </c>
      <c r="C13955" s="38" t="s">
        <v>18233</v>
      </c>
      <c r="D13955" s="38" t="str">
        <f>IFERROR(__xludf.DUMMYFUNCTION("REGEXREPLACE(C13955,""-\d+(.*)|--\d+(.*)"","""")"),"GOULOUX")</f>
        <v>GOULOUX</v>
      </c>
      <c r="E13955" s="38" t="s">
        <v>219</v>
      </c>
      <c r="F13955" s="38" t="s">
        <v>106</v>
      </c>
      <c r="G13955" s="49" t="str">
        <f t="shared" si="1"/>
        <v>58230</v>
      </c>
      <c r="H13955" s="49">
        <f t="shared" si="2"/>
        <v>58129</v>
      </c>
    </row>
    <row r="13956">
      <c r="A13956" s="48" t="s">
        <v>5866</v>
      </c>
      <c r="B13956" s="38">
        <v>33375.0</v>
      </c>
      <c r="C13956" s="38" t="s">
        <v>18234</v>
      </c>
      <c r="D13956" s="38" t="str">
        <f>IFERROR(__xludf.DUMMYFUNCTION("REGEXREPLACE(C13956,""-\d+(.*)|--\d+(.*)"","""")"),"SAINT-AUBIN-DE-BRANNE")</f>
        <v>SAINT-AUBIN-DE-BRANNE</v>
      </c>
      <c r="E13956" s="38" t="s">
        <v>462</v>
      </c>
      <c r="F13956" s="38" t="s">
        <v>252</v>
      </c>
      <c r="G13956" s="49" t="str">
        <f t="shared" si="1"/>
        <v>33420</v>
      </c>
      <c r="H13956" s="49">
        <f t="shared" si="2"/>
        <v>33375</v>
      </c>
    </row>
    <row r="13957">
      <c r="A13957" s="48" t="s">
        <v>468</v>
      </c>
      <c r="B13957" s="38">
        <v>26282.0</v>
      </c>
      <c r="C13957" s="38" t="s">
        <v>18235</v>
      </c>
      <c r="D13957" s="38" t="str">
        <f>IFERROR(__xludf.DUMMYFUNCTION("REGEXREPLACE(C13957,""-\d+(.*)|--\d+(.*)"","""")"),"ROMEYER")</f>
        <v>ROMEYER</v>
      </c>
      <c r="E13957" s="38" t="s">
        <v>126</v>
      </c>
      <c r="F13957" s="38" t="s">
        <v>102</v>
      </c>
      <c r="G13957" s="49" t="str">
        <f t="shared" si="1"/>
        <v>26150</v>
      </c>
      <c r="H13957" s="49">
        <f t="shared" si="2"/>
        <v>26282</v>
      </c>
    </row>
    <row r="13958">
      <c r="A13958" s="48" t="s">
        <v>401</v>
      </c>
      <c r="B13958" s="38">
        <v>24392.0</v>
      </c>
      <c r="C13958" s="38" t="s">
        <v>18236</v>
      </c>
      <c r="D13958" s="38" t="str">
        <f>IFERROR(__xludf.DUMMYFUNCTION("REGEXREPLACE(C13958,""-\d+(.*)|--\d+(.*)"","""")"),"SAINT-CREPIN-ET-CARLUCET")</f>
        <v>SAINT-CREPIN-ET-CARLUCET</v>
      </c>
      <c r="E13958" s="38" t="s">
        <v>261</v>
      </c>
      <c r="F13958" s="38" t="s">
        <v>252</v>
      </c>
      <c r="G13958" s="49" t="str">
        <f t="shared" si="1"/>
        <v>24590</v>
      </c>
      <c r="H13958" s="49">
        <f t="shared" si="2"/>
        <v>24392</v>
      </c>
    </row>
    <row r="13959">
      <c r="A13959" s="48" t="s">
        <v>3260</v>
      </c>
      <c r="B13959" s="38">
        <v>3132.0</v>
      </c>
      <c r="C13959" s="38" t="s">
        <v>18237</v>
      </c>
      <c r="D13959" s="38" t="str">
        <f>IFERROR(__xludf.DUMMYFUNCTION("REGEXREPLACE(C13959,""-\d+(.*)|--\d+(.*)"","""")"),"JALIGNY-SUR-BESBRE")</f>
        <v>JALIGNY-SUR-BESBRE</v>
      </c>
      <c r="E13959" s="38" t="s">
        <v>160</v>
      </c>
      <c r="F13959" s="38" t="s">
        <v>161</v>
      </c>
      <c r="G13959" s="49" t="str">
        <f t="shared" si="1"/>
        <v>03220</v>
      </c>
      <c r="H13959" s="49" t="str">
        <f t="shared" si="2"/>
        <v>03132</v>
      </c>
    </row>
    <row r="13960">
      <c r="A13960" s="48" t="s">
        <v>1870</v>
      </c>
      <c r="B13960" s="38">
        <v>37163.0</v>
      </c>
      <c r="C13960" s="38" t="s">
        <v>18238</v>
      </c>
      <c r="D13960" s="38" t="str">
        <f>IFERROR(__xludf.DUMMYFUNCTION("REGEXREPLACE(C13960,""-\d+(.*)|--\d+(.*)"","""")"),"NAZELLES-NEGRON")</f>
        <v>NAZELLES-NEGRON</v>
      </c>
      <c r="E13960" s="38" t="s">
        <v>205</v>
      </c>
      <c r="F13960" s="38" t="s">
        <v>123</v>
      </c>
      <c r="G13960" s="49" t="str">
        <f t="shared" si="1"/>
        <v>37530</v>
      </c>
      <c r="H13960" s="49">
        <f t="shared" si="2"/>
        <v>37163</v>
      </c>
    </row>
    <row r="13961">
      <c r="A13961" s="48" t="s">
        <v>4097</v>
      </c>
      <c r="B13961" s="38">
        <v>50274.0</v>
      </c>
      <c r="C13961" s="38" t="s">
        <v>18239</v>
      </c>
      <c r="D13961" s="38" t="str">
        <f>IFERROR(__xludf.DUMMYFUNCTION("REGEXREPLACE(C13961,""-\d+(.*)|--\d+(.*)"","""")"),"LES LOGES-MARCHIS")</f>
        <v>LES LOGES-MARCHIS</v>
      </c>
      <c r="E13961" s="38" t="s">
        <v>157</v>
      </c>
      <c r="F13961" s="38" t="s">
        <v>138</v>
      </c>
      <c r="G13961" s="49" t="str">
        <f t="shared" si="1"/>
        <v>50600</v>
      </c>
      <c r="H13961" s="49">
        <f t="shared" si="2"/>
        <v>50274</v>
      </c>
    </row>
    <row r="13962">
      <c r="A13962" s="48" t="s">
        <v>384</v>
      </c>
      <c r="B13962" s="38">
        <v>55479.0</v>
      </c>
      <c r="C13962" s="38" t="s">
        <v>18240</v>
      </c>
      <c r="D13962" s="38" t="str">
        <f>IFERROR(__xludf.DUMMYFUNCTION("REGEXREPLACE(C13962,""-\d+(.*)|--\d+(.*)"","""")"),"SEIGNEULLES")</f>
        <v>SEIGNEULLES</v>
      </c>
      <c r="E13962" s="38" t="s">
        <v>322</v>
      </c>
      <c r="F13962" s="38" t="s">
        <v>195</v>
      </c>
      <c r="G13962" s="49" t="str">
        <f t="shared" si="1"/>
        <v>55000</v>
      </c>
      <c r="H13962" s="49">
        <f t="shared" si="2"/>
        <v>55479</v>
      </c>
    </row>
    <row r="13963">
      <c r="A13963" s="48" t="s">
        <v>14093</v>
      </c>
      <c r="B13963" s="38">
        <v>1262.0</v>
      </c>
      <c r="C13963" s="38" t="s">
        <v>18241</v>
      </c>
      <c r="D13963" s="38" t="str">
        <f>IFERROR(__xludf.DUMMYFUNCTION("REGEXREPLACE(C13963,""-\d+(.*)|--\d+(.*)"","""")"),"MONTLUEL")</f>
        <v>MONTLUEL</v>
      </c>
      <c r="E13963" s="38" t="s">
        <v>255</v>
      </c>
      <c r="F13963" s="38" t="s">
        <v>102</v>
      </c>
      <c r="G13963" s="49" t="str">
        <f t="shared" si="1"/>
        <v>01120</v>
      </c>
      <c r="H13963" s="49" t="str">
        <f t="shared" si="2"/>
        <v>01262</v>
      </c>
    </row>
    <row r="13964">
      <c r="A13964" s="48" t="s">
        <v>4095</v>
      </c>
      <c r="B13964" s="38">
        <v>23158.0</v>
      </c>
      <c r="C13964" s="38" t="s">
        <v>18242</v>
      </c>
      <c r="D13964" s="38" t="str">
        <f>IFERROR(__xludf.DUMMYFUNCTION("REGEXREPLACE(C13964,""-\d+(.*)|--\d+(.*)"","""")"),"POUSSANGES")</f>
        <v>POUSSANGES</v>
      </c>
      <c r="E13964" s="38" t="s">
        <v>97</v>
      </c>
      <c r="F13964" s="38" t="s">
        <v>98</v>
      </c>
      <c r="G13964" s="49" t="str">
        <f t="shared" si="1"/>
        <v>23500</v>
      </c>
      <c r="H13964" s="49">
        <f t="shared" si="2"/>
        <v>23158</v>
      </c>
    </row>
    <row r="13965">
      <c r="A13965" s="48" t="s">
        <v>2835</v>
      </c>
      <c r="B13965" s="38">
        <v>18053.0</v>
      </c>
      <c r="C13965" s="38" t="s">
        <v>18243</v>
      </c>
      <c r="D13965" s="38" t="str">
        <f>IFERROR(__xludf.DUMMYFUNCTION("REGEXREPLACE(C13965,""-\d+(.*)|--\d+(.*)"","""")"),"CHARENTONNAY")</f>
        <v>CHARENTONNAY</v>
      </c>
      <c r="E13965" s="38" t="s">
        <v>504</v>
      </c>
      <c r="F13965" s="38" t="s">
        <v>123</v>
      </c>
      <c r="G13965" s="49" t="str">
        <f t="shared" si="1"/>
        <v>18140</v>
      </c>
      <c r="H13965" s="49">
        <f t="shared" si="2"/>
        <v>18053</v>
      </c>
    </row>
    <row r="13966">
      <c r="A13966" s="48" t="s">
        <v>18244</v>
      </c>
      <c r="B13966" s="38">
        <v>59289.0</v>
      </c>
      <c r="C13966" s="38" t="s">
        <v>18245</v>
      </c>
      <c r="D13966" s="38" t="str">
        <f>IFERROR(__xludf.DUMMYFUNCTION("REGEXREPLACE(C13966,""-\d+(.*)|--\d+(.*)"","""")"),"HAUSSY")</f>
        <v>HAUSSY</v>
      </c>
      <c r="E13966" s="38" t="s">
        <v>85</v>
      </c>
      <c r="F13966" s="38" t="s">
        <v>86</v>
      </c>
      <c r="G13966" s="49" t="str">
        <f t="shared" si="1"/>
        <v>59294</v>
      </c>
      <c r="H13966" s="49">
        <f t="shared" si="2"/>
        <v>59289</v>
      </c>
    </row>
    <row r="13967">
      <c r="A13967" s="48" t="s">
        <v>2278</v>
      </c>
      <c r="B13967" s="38">
        <v>80346.0</v>
      </c>
      <c r="C13967" s="38" t="s">
        <v>18246</v>
      </c>
      <c r="D13967" s="38" t="str">
        <f>IFERROR(__xludf.DUMMYFUNCTION("REGEXREPLACE(C13967,""-\d+(.*)|--\d+(.*)"","""")"),"FRANQUEVILLE")</f>
        <v>FRANQUEVILLE</v>
      </c>
      <c r="E13967" s="38" t="s">
        <v>224</v>
      </c>
      <c r="F13967" s="38" t="s">
        <v>113</v>
      </c>
      <c r="G13967" s="49" t="str">
        <f t="shared" si="1"/>
        <v>80620</v>
      </c>
      <c r="H13967" s="49">
        <f t="shared" si="2"/>
        <v>80346</v>
      </c>
    </row>
    <row r="13968">
      <c r="A13968" s="48" t="s">
        <v>2330</v>
      </c>
      <c r="B13968" s="38">
        <v>65267.0</v>
      </c>
      <c r="C13968" s="38" t="s">
        <v>18247</v>
      </c>
      <c r="D13968" s="38" t="str">
        <f>IFERROR(__xludf.DUMMYFUNCTION("REGEXREPLACE(C13968,""-\d+(.*)|--\d+(.*)"","""")"),"LAU-BALAGNAS")</f>
        <v>LAU-BALAGNAS</v>
      </c>
      <c r="E13968" s="38" t="s">
        <v>200</v>
      </c>
      <c r="F13968" s="38" t="s">
        <v>94</v>
      </c>
      <c r="G13968" s="49" t="str">
        <f t="shared" si="1"/>
        <v>65400</v>
      </c>
      <c r="H13968" s="49">
        <f t="shared" si="2"/>
        <v>65267</v>
      </c>
    </row>
    <row r="13969">
      <c r="A13969" s="48" t="s">
        <v>7760</v>
      </c>
      <c r="B13969" s="38">
        <v>54217.0</v>
      </c>
      <c r="C13969" s="38" t="s">
        <v>18248</v>
      </c>
      <c r="D13969" s="38" t="str">
        <f>IFERROR(__xludf.DUMMYFUNCTION("REGEXREPLACE(C13969,""-\d+(.*)|--\d+(.*)"","""")"),"GELACOURT")</f>
        <v>GELACOURT</v>
      </c>
      <c r="E13969" s="38" t="s">
        <v>548</v>
      </c>
      <c r="F13969" s="38" t="s">
        <v>195</v>
      </c>
      <c r="G13969" s="49" t="str">
        <f t="shared" si="1"/>
        <v>54120</v>
      </c>
      <c r="H13969" s="49">
        <f t="shared" si="2"/>
        <v>54217</v>
      </c>
    </row>
    <row r="13970">
      <c r="A13970" s="48" t="s">
        <v>1424</v>
      </c>
      <c r="B13970" s="38">
        <v>86285.0</v>
      </c>
      <c r="C13970" s="38" t="s">
        <v>3348</v>
      </c>
      <c r="D13970" s="38" t="str">
        <f>IFERROR(__xludf.DUMMYFUNCTION("REGEXREPLACE(C13970,""-\d+(.*)|--\d+(.*)"","""")"),"VERRIERES")</f>
        <v>VERRIERES</v>
      </c>
      <c r="E13970" s="38" t="s">
        <v>529</v>
      </c>
      <c r="F13970" s="38" t="s">
        <v>338</v>
      </c>
      <c r="G13970" s="49" t="str">
        <f t="shared" si="1"/>
        <v>86410</v>
      </c>
      <c r="H13970" s="49">
        <f t="shared" si="2"/>
        <v>86285</v>
      </c>
    </row>
    <row r="13971">
      <c r="A13971" s="48" t="s">
        <v>18249</v>
      </c>
      <c r="B13971" s="38">
        <v>69044.0</v>
      </c>
      <c r="C13971" s="38" t="s">
        <v>18250</v>
      </c>
      <c r="D13971" s="38" t="str">
        <f>IFERROR(__xludf.DUMMYFUNCTION("REGEXREPLACE(C13971,""-\d+(.*)|--\d+(.*)"","""")"),"CHARBONNIERES-LES-BAINS")</f>
        <v>CHARBONNIERES-LES-BAINS</v>
      </c>
      <c r="E13971" s="38" t="s">
        <v>350</v>
      </c>
      <c r="F13971" s="38" t="s">
        <v>102</v>
      </c>
      <c r="G13971" s="49" t="str">
        <f t="shared" si="1"/>
        <v>69260</v>
      </c>
      <c r="H13971" s="49">
        <f t="shared" si="2"/>
        <v>69044</v>
      </c>
    </row>
    <row r="13972">
      <c r="A13972" s="48" t="s">
        <v>11670</v>
      </c>
      <c r="B13972" s="38">
        <v>31044.0</v>
      </c>
      <c r="C13972" s="38" t="s">
        <v>18251</v>
      </c>
      <c r="D13972" s="38" t="str">
        <f>IFERROR(__xludf.DUMMYFUNCTION("REGEXREPLACE(C13972,""-\d+(.*)|--\d+(.*)"","""")"),"BALMA")</f>
        <v>BALMA</v>
      </c>
      <c r="E13972" s="38" t="s">
        <v>93</v>
      </c>
      <c r="F13972" s="38" t="s">
        <v>94</v>
      </c>
      <c r="G13972" s="49" t="str">
        <f t="shared" si="1"/>
        <v>31130</v>
      </c>
      <c r="H13972" s="49">
        <f t="shared" si="2"/>
        <v>31044</v>
      </c>
    </row>
    <row r="13973">
      <c r="A13973" s="48" t="s">
        <v>10392</v>
      </c>
      <c r="B13973" s="38">
        <v>64147.0</v>
      </c>
      <c r="C13973" s="38" t="s">
        <v>18252</v>
      </c>
      <c r="D13973" s="38" t="str">
        <f>IFERROR(__xludf.DUMMYFUNCTION("REGEXREPLACE(C13973,""-\d+(.*)|--\d+(.*)"","""")"),"BRISCOUS")</f>
        <v>BRISCOUS</v>
      </c>
      <c r="E13973" s="38" t="s">
        <v>268</v>
      </c>
      <c r="F13973" s="38" t="s">
        <v>252</v>
      </c>
      <c r="G13973" s="49" t="str">
        <f t="shared" si="1"/>
        <v>64240</v>
      </c>
      <c r="H13973" s="49">
        <f t="shared" si="2"/>
        <v>64147</v>
      </c>
    </row>
    <row r="13974">
      <c r="A13974" s="48" t="s">
        <v>18253</v>
      </c>
      <c r="B13974" s="38">
        <v>81192.0</v>
      </c>
      <c r="C13974" s="38" t="s">
        <v>18254</v>
      </c>
      <c r="D13974" s="38" t="str">
        <f>IFERROR(__xludf.DUMMYFUNCTION("REGEXREPLACE(C13974,""-\d+(.*)|--\d+(.*)"","""")"),"MURAT-SUR-VEBRE")</f>
        <v>MURAT-SUR-VEBRE</v>
      </c>
      <c r="E13974" s="38" t="s">
        <v>231</v>
      </c>
      <c r="F13974" s="38" t="s">
        <v>94</v>
      </c>
      <c r="G13974" s="49" t="str">
        <f t="shared" si="1"/>
        <v>81320</v>
      </c>
      <c r="H13974" s="49">
        <f t="shared" si="2"/>
        <v>81192</v>
      </c>
    </row>
    <row r="13975">
      <c r="A13975" s="48" t="s">
        <v>4497</v>
      </c>
      <c r="B13975" s="38">
        <v>25549.0</v>
      </c>
      <c r="C13975" s="38" t="s">
        <v>18255</v>
      </c>
      <c r="D13975" s="38" t="str">
        <f>IFERROR(__xludf.DUMMYFUNCTION("REGEXREPLACE(C13975,""-\d+(.*)|--\d+(.*)"","""")"),"SOMBACOUR")</f>
        <v>SOMBACOUR</v>
      </c>
      <c r="E13975" s="38" t="s">
        <v>213</v>
      </c>
      <c r="F13975" s="38" t="s">
        <v>214</v>
      </c>
      <c r="G13975" s="49" t="str">
        <f t="shared" si="1"/>
        <v>25520</v>
      </c>
      <c r="H13975" s="49">
        <f t="shared" si="2"/>
        <v>25549</v>
      </c>
    </row>
    <row r="13976">
      <c r="A13976" s="48" t="s">
        <v>11853</v>
      </c>
      <c r="B13976" s="38">
        <v>38028.0</v>
      </c>
      <c r="C13976" s="38" t="s">
        <v>18256</v>
      </c>
      <c r="D13976" s="38" t="str">
        <f>IFERROR(__xludf.DUMMYFUNCTION("REGEXREPLACE(C13976,""-\d+(.*)|--\d+(.*)"","""")"),"LA BATIE-DIVISIN")</f>
        <v>LA BATIE-DIVISIN</v>
      </c>
      <c r="E13976" s="38" t="s">
        <v>101</v>
      </c>
      <c r="F13976" s="38" t="s">
        <v>102</v>
      </c>
      <c r="G13976" s="49" t="str">
        <f t="shared" si="1"/>
        <v>38490</v>
      </c>
      <c r="H13976" s="49">
        <f t="shared" si="2"/>
        <v>38028</v>
      </c>
    </row>
    <row r="13977">
      <c r="A13977" s="48" t="s">
        <v>8145</v>
      </c>
      <c r="B13977" s="38">
        <v>9320.0</v>
      </c>
      <c r="C13977" s="38" t="s">
        <v>18257</v>
      </c>
      <c r="D13977" s="38" t="str">
        <f>IFERROR(__xludf.DUMMYFUNCTION("REGEXREPLACE(C13977,""-\d+(.*)|--\d+(.*)"","""")"),"URS")</f>
        <v>URS</v>
      </c>
      <c r="E13977" s="38" t="s">
        <v>238</v>
      </c>
      <c r="F13977" s="38" t="s">
        <v>94</v>
      </c>
      <c r="G13977" s="49" t="str">
        <f t="shared" si="1"/>
        <v>09310</v>
      </c>
      <c r="H13977" s="49" t="str">
        <f t="shared" si="2"/>
        <v>09320</v>
      </c>
    </row>
    <row r="13978">
      <c r="A13978" s="48" t="s">
        <v>580</v>
      </c>
      <c r="B13978" s="38">
        <v>31081.0</v>
      </c>
      <c r="C13978" s="38" t="s">
        <v>18258</v>
      </c>
      <c r="D13978" s="38" t="str">
        <f>IFERROR(__xludf.DUMMYFUNCTION("REGEXREPLACE(C13978,""-\d+(.*)|--\d+(.*)"","""")"),"BOURG-D'OUEIL")</f>
        <v>BOURG-D'OUEIL</v>
      </c>
      <c r="E13978" s="38" t="s">
        <v>93</v>
      </c>
      <c r="F13978" s="38" t="s">
        <v>94</v>
      </c>
      <c r="G13978" s="49" t="str">
        <f t="shared" si="1"/>
        <v>31110</v>
      </c>
      <c r="H13978" s="49">
        <f t="shared" si="2"/>
        <v>31081</v>
      </c>
    </row>
    <row r="13979">
      <c r="A13979" s="48" t="s">
        <v>18259</v>
      </c>
      <c r="B13979" s="38">
        <v>14396.0</v>
      </c>
      <c r="C13979" s="38" t="s">
        <v>18260</v>
      </c>
      <c r="D13979" s="38" t="str">
        <f>IFERROR(__xludf.DUMMYFUNCTION("REGEXREPLACE(C13979,""-\d+(.*)|--\d+(.*)"","""")"),"MALTOT")</f>
        <v>MALTOT</v>
      </c>
      <c r="E13979" s="38" t="s">
        <v>137</v>
      </c>
      <c r="F13979" s="38" t="s">
        <v>138</v>
      </c>
      <c r="G13979" s="49" t="str">
        <f t="shared" si="1"/>
        <v>14930</v>
      </c>
      <c r="H13979" s="49">
        <f t="shared" si="2"/>
        <v>14396</v>
      </c>
    </row>
    <row r="13980">
      <c r="A13980" s="48" t="s">
        <v>3182</v>
      </c>
      <c r="B13980" s="38">
        <v>80762.0</v>
      </c>
      <c r="C13980" s="38" t="s">
        <v>18261</v>
      </c>
      <c r="D13980" s="38" t="str">
        <f>IFERROR(__xludf.DUMMYFUNCTION("REGEXREPLACE(C13980,""-\d+(.*)|--\d+(.*)"","""")"),"TINCOURT-BOUCLY")</f>
        <v>TINCOURT-BOUCLY</v>
      </c>
      <c r="E13980" s="38" t="s">
        <v>224</v>
      </c>
      <c r="F13980" s="38" t="s">
        <v>113</v>
      </c>
      <c r="G13980" s="49" t="str">
        <f t="shared" si="1"/>
        <v>80240</v>
      </c>
      <c r="H13980" s="49">
        <f t="shared" si="2"/>
        <v>80762</v>
      </c>
    </row>
    <row r="13981">
      <c r="A13981" s="48" t="s">
        <v>809</v>
      </c>
      <c r="B13981" s="38">
        <v>33355.0</v>
      </c>
      <c r="C13981" s="38" t="s">
        <v>18262</v>
      </c>
      <c r="D13981" s="38" t="str">
        <f>IFERROR(__xludf.DUMMYFUNCTION("REGEXREPLACE(C13981,""-\d+(.*)|--\d+(.*)"","""")"),"RIONS")</f>
        <v>RIONS</v>
      </c>
      <c r="E13981" s="38" t="s">
        <v>462</v>
      </c>
      <c r="F13981" s="38" t="s">
        <v>252</v>
      </c>
      <c r="G13981" s="49" t="str">
        <f t="shared" si="1"/>
        <v>33410</v>
      </c>
      <c r="H13981" s="49">
        <f t="shared" si="2"/>
        <v>33355</v>
      </c>
    </row>
    <row r="13982">
      <c r="A13982" s="48" t="s">
        <v>792</v>
      </c>
      <c r="B13982" s="38">
        <v>2655.0</v>
      </c>
      <c r="C13982" s="38" t="s">
        <v>18263</v>
      </c>
      <c r="D13982" s="38" t="str">
        <f>IFERROR(__xludf.DUMMYFUNCTION("REGEXREPLACE(C13982,""-\d+(.*)|--\d+(.*)"","""")"),"RONCHERES")</f>
        <v>RONCHERES</v>
      </c>
      <c r="E13982" s="38" t="s">
        <v>191</v>
      </c>
      <c r="F13982" s="38" t="s">
        <v>113</v>
      </c>
      <c r="G13982" s="49" t="str">
        <f t="shared" si="1"/>
        <v>02130</v>
      </c>
      <c r="H13982" s="49" t="str">
        <f t="shared" si="2"/>
        <v>02655</v>
      </c>
    </row>
    <row r="13983">
      <c r="A13983" s="48" t="s">
        <v>3056</v>
      </c>
      <c r="B13983" s="38">
        <v>24553.0</v>
      </c>
      <c r="C13983" s="38" t="s">
        <v>18264</v>
      </c>
      <c r="D13983" s="38" t="str">
        <f>IFERROR(__xludf.DUMMYFUNCTION("REGEXREPLACE(C13983,""-\d+(.*)|--\d+(.*)"","""")"),"TOCANE-SAINT-APRE")</f>
        <v>TOCANE-SAINT-APRE</v>
      </c>
      <c r="E13983" s="38" t="s">
        <v>261</v>
      </c>
      <c r="F13983" s="38" t="s">
        <v>252</v>
      </c>
      <c r="G13983" s="49" t="str">
        <f t="shared" si="1"/>
        <v>24350</v>
      </c>
      <c r="H13983" s="49">
        <f t="shared" si="2"/>
        <v>24553</v>
      </c>
    </row>
    <row r="13984">
      <c r="A13984" s="48" t="s">
        <v>11177</v>
      </c>
      <c r="B13984" s="38">
        <v>12040.0</v>
      </c>
      <c r="C13984" s="38" t="s">
        <v>18265</v>
      </c>
      <c r="D13984" s="38" t="str">
        <f>IFERROR(__xludf.DUMMYFUNCTION("REGEXREPLACE(C13984,""-\d+(.*)|--\d+(.*)"","""")"),"BUZEINS")</f>
        <v>BUZEINS</v>
      </c>
      <c r="E13984" s="38" t="s">
        <v>465</v>
      </c>
      <c r="F13984" s="38" t="s">
        <v>94</v>
      </c>
      <c r="G13984" s="49" t="str">
        <f t="shared" si="1"/>
        <v>12150</v>
      </c>
      <c r="H13984" s="49">
        <f t="shared" si="2"/>
        <v>12040</v>
      </c>
    </row>
    <row r="13985">
      <c r="A13985" s="48" t="s">
        <v>14345</v>
      </c>
      <c r="B13985" s="38">
        <v>63159.0</v>
      </c>
      <c r="C13985" s="38" t="s">
        <v>18266</v>
      </c>
      <c r="D13985" s="38" t="str">
        <f>IFERROR(__xludf.DUMMYFUNCTION("REGEXREPLACE(C13985,""-\d+(.*)|--\d+(.*)"","""")"),"FERNOEL")</f>
        <v>FERNOEL</v>
      </c>
      <c r="E13985" s="38" t="s">
        <v>353</v>
      </c>
      <c r="F13985" s="38" t="s">
        <v>161</v>
      </c>
      <c r="G13985" s="49" t="str">
        <f t="shared" si="1"/>
        <v>63620</v>
      </c>
      <c r="H13985" s="49">
        <f t="shared" si="2"/>
        <v>63159</v>
      </c>
    </row>
    <row r="13986">
      <c r="A13986" s="48" t="s">
        <v>1288</v>
      </c>
      <c r="B13986" s="38">
        <v>64418.0</v>
      </c>
      <c r="C13986" s="38" t="s">
        <v>18267</v>
      </c>
      <c r="D13986" s="38" t="str">
        <f>IFERROR(__xludf.DUMMYFUNCTION("REGEXREPLACE(C13986,""-\d+(.*)|--\d+(.*)"","""")"),"NOGUERES")</f>
        <v>NOGUERES</v>
      </c>
      <c r="E13986" s="38" t="s">
        <v>268</v>
      </c>
      <c r="F13986" s="38" t="s">
        <v>252</v>
      </c>
      <c r="G13986" s="49" t="str">
        <f t="shared" si="1"/>
        <v>64150</v>
      </c>
      <c r="H13986" s="49">
        <f t="shared" si="2"/>
        <v>64418</v>
      </c>
    </row>
    <row r="13987">
      <c r="A13987" s="48" t="s">
        <v>1420</v>
      </c>
      <c r="B13987" s="38">
        <v>4130.0</v>
      </c>
      <c r="C13987" s="38" t="s">
        <v>18268</v>
      </c>
      <c r="D13987" s="38" t="str">
        <f>IFERROR(__xludf.DUMMYFUNCTION("REGEXREPLACE(C13987,""-\d+(.*)|--\d+(.*)"","""")"),"MONTLAUX")</f>
        <v>MONTLAUX</v>
      </c>
      <c r="E13987" s="38" t="s">
        <v>662</v>
      </c>
      <c r="F13987" s="38" t="s">
        <v>228</v>
      </c>
      <c r="G13987" s="49" t="str">
        <f t="shared" si="1"/>
        <v>04230</v>
      </c>
      <c r="H13987" s="49" t="str">
        <f t="shared" si="2"/>
        <v>04130</v>
      </c>
    </row>
    <row r="13988">
      <c r="A13988" s="48" t="s">
        <v>18269</v>
      </c>
      <c r="B13988" s="38">
        <v>57606.0</v>
      </c>
      <c r="C13988" s="38" t="s">
        <v>18270</v>
      </c>
      <c r="D13988" s="38" t="str">
        <f>IFERROR(__xludf.DUMMYFUNCTION("REGEXREPLACE(C13988,""-\d+(.*)|--\d+(.*)"","""")"),"SAINT-AVOLD")</f>
        <v>SAINT-AVOLD</v>
      </c>
      <c r="E13988" s="38" t="s">
        <v>303</v>
      </c>
      <c r="F13988" s="38" t="s">
        <v>195</v>
      </c>
      <c r="G13988" s="49" t="str">
        <f t="shared" si="1"/>
        <v>57500</v>
      </c>
      <c r="H13988" s="49">
        <f t="shared" si="2"/>
        <v>57606</v>
      </c>
    </row>
    <row r="13989">
      <c r="A13989" s="48" t="s">
        <v>9556</v>
      </c>
      <c r="B13989" s="38">
        <v>60109.0</v>
      </c>
      <c r="C13989" s="38" t="s">
        <v>18271</v>
      </c>
      <c r="D13989" s="38" t="str">
        <f>IFERROR(__xludf.DUMMYFUNCTION("REGEXREPLACE(C13989,""-\d+(.*)|--\d+(.*)"","""")"),"BROMBOS")</f>
        <v>BROMBOS</v>
      </c>
      <c r="E13989" s="38" t="s">
        <v>112</v>
      </c>
      <c r="F13989" s="38" t="s">
        <v>113</v>
      </c>
      <c r="G13989" s="49" t="str">
        <f t="shared" si="1"/>
        <v>60210</v>
      </c>
      <c r="H13989" s="49">
        <f t="shared" si="2"/>
        <v>60109</v>
      </c>
    </row>
    <row r="13990">
      <c r="A13990" s="48" t="s">
        <v>10299</v>
      </c>
      <c r="B13990" s="38">
        <v>67068.0</v>
      </c>
      <c r="C13990" s="38" t="s">
        <v>18272</v>
      </c>
      <c r="D13990" s="38" t="str">
        <f>IFERROR(__xludf.DUMMYFUNCTION("REGEXREPLACE(C13990,""-\d+(.*)|--\d+(.*)"","""")"),"BUSWILLER")</f>
        <v>BUSWILLER</v>
      </c>
      <c r="E13990" s="38" t="s">
        <v>210</v>
      </c>
      <c r="F13990" s="38" t="s">
        <v>151</v>
      </c>
      <c r="G13990" s="49" t="str">
        <f t="shared" si="1"/>
        <v>67350</v>
      </c>
      <c r="H13990" s="49">
        <f t="shared" si="2"/>
        <v>67068</v>
      </c>
    </row>
    <row r="13991">
      <c r="A13991" s="48" t="s">
        <v>11319</v>
      </c>
      <c r="B13991" s="38">
        <v>51410.0</v>
      </c>
      <c r="C13991" s="38" t="s">
        <v>18273</v>
      </c>
      <c r="D13991" s="38" t="str">
        <f>IFERROR(__xludf.DUMMYFUNCTION("REGEXREPLACE(C13991,""-\d+(.*)|--\d+(.*)"","""")"),"OEUILLY")</f>
        <v>OEUILLY</v>
      </c>
      <c r="E13991" s="38" t="s">
        <v>129</v>
      </c>
      <c r="F13991" s="38" t="s">
        <v>130</v>
      </c>
      <c r="G13991" s="49" t="str">
        <f t="shared" si="1"/>
        <v>51480</v>
      </c>
      <c r="H13991" s="49">
        <f t="shared" si="2"/>
        <v>51410</v>
      </c>
    </row>
    <row r="13992">
      <c r="A13992" s="48" t="s">
        <v>15271</v>
      </c>
      <c r="B13992" s="38">
        <v>76165.0</v>
      </c>
      <c r="C13992" s="38" t="s">
        <v>18274</v>
      </c>
      <c r="D13992" s="38" t="str">
        <f>IFERROR(__xludf.DUMMYFUNCTION("REGEXREPLACE(C13992,""-\d+(.*)|--\d+(.*)"","""")"),"CAUDEBEC-LES-ELBEUF")</f>
        <v>CAUDEBEC-LES-ELBEUF</v>
      </c>
      <c r="E13992" s="38" t="s">
        <v>133</v>
      </c>
      <c r="F13992" s="38" t="s">
        <v>134</v>
      </c>
      <c r="G13992" s="49" t="str">
        <f t="shared" si="1"/>
        <v>76320</v>
      </c>
      <c r="H13992" s="49">
        <f t="shared" si="2"/>
        <v>76165</v>
      </c>
    </row>
    <row r="13993">
      <c r="A13993" s="48" t="s">
        <v>1675</v>
      </c>
      <c r="B13993" s="38">
        <v>45276.0</v>
      </c>
      <c r="C13993" s="38" t="s">
        <v>18275</v>
      </c>
      <c r="D13993" s="38" t="str">
        <f>IFERROR(__xludf.DUMMYFUNCTION("REGEXREPLACE(C13993,""-\d+(.*)|--\d+(.*)"","""")"),"SAINT-FIRMIN-SUR-LOIRE")</f>
        <v>SAINT-FIRMIN-SUR-LOIRE</v>
      </c>
      <c r="E13993" s="38" t="s">
        <v>122</v>
      </c>
      <c r="F13993" s="38" t="s">
        <v>123</v>
      </c>
      <c r="G13993" s="49" t="str">
        <f t="shared" si="1"/>
        <v>45360</v>
      </c>
      <c r="H13993" s="49">
        <f t="shared" si="2"/>
        <v>45276</v>
      </c>
    </row>
    <row r="13994">
      <c r="A13994" s="48" t="s">
        <v>8587</v>
      </c>
      <c r="B13994" s="38">
        <v>66128.0</v>
      </c>
      <c r="C13994" s="38" t="s">
        <v>18276</v>
      </c>
      <c r="D13994" s="38" t="str">
        <f>IFERROR(__xludf.DUMMYFUNCTION("REGEXREPLACE(C13994,""-\d+(.*)|--\d+(.*)"","""")"),"OREILLA")</f>
        <v>OREILLA</v>
      </c>
      <c r="E13994" s="38" t="s">
        <v>248</v>
      </c>
      <c r="F13994" s="38" t="s">
        <v>119</v>
      </c>
      <c r="G13994" s="49" t="str">
        <f t="shared" si="1"/>
        <v>66360</v>
      </c>
      <c r="H13994" s="49">
        <f t="shared" si="2"/>
        <v>66128</v>
      </c>
    </row>
    <row r="13995">
      <c r="A13995" s="48" t="s">
        <v>7329</v>
      </c>
      <c r="B13995" s="38">
        <v>54202.0</v>
      </c>
      <c r="C13995" s="38" t="s">
        <v>18277</v>
      </c>
      <c r="D13995" s="38" t="str">
        <f>IFERROR(__xludf.DUMMYFUNCTION("REGEXREPLACE(C13995,""-\d+(.*)|--\d+(.*)"","""")"),"FONTENOY-SUR-MOSELLE")</f>
        <v>FONTENOY-SUR-MOSELLE</v>
      </c>
      <c r="E13995" s="38" t="s">
        <v>548</v>
      </c>
      <c r="F13995" s="38" t="s">
        <v>195</v>
      </c>
      <c r="G13995" s="49" t="str">
        <f t="shared" si="1"/>
        <v>54840</v>
      </c>
      <c r="H13995" s="49">
        <f t="shared" si="2"/>
        <v>54202</v>
      </c>
    </row>
    <row r="13996">
      <c r="A13996" s="48" t="s">
        <v>10037</v>
      </c>
      <c r="B13996" s="38">
        <v>7032.0</v>
      </c>
      <c r="C13996" s="38" t="s">
        <v>18278</v>
      </c>
      <c r="D13996" s="38" t="str">
        <f>IFERROR(__xludf.DUMMYFUNCTION("REGEXREPLACE(C13996,""-\d+(.*)|--\d+(.*)"","""")"),"BERZEME")</f>
        <v>BERZEME</v>
      </c>
      <c r="E13996" s="38" t="s">
        <v>144</v>
      </c>
      <c r="F13996" s="38" t="s">
        <v>102</v>
      </c>
      <c r="G13996" s="49" t="str">
        <f t="shared" si="1"/>
        <v>07580</v>
      </c>
      <c r="H13996" s="49" t="str">
        <f t="shared" si="2"/>
        <v>07032</v>
      </c>
    </row>
    <row r="13997">
      <c r="A13997" s="48" t="s">
        <v>1758</v>
      </c>
      <c r="B13997" s="38">
        <v>65478.0</v>
      </c>
      <c r="C13997" s="38" t="s">
        <v>18279</v>
      </c>
      <c r="D13997" s="38" t="str">
        <f>IFERROR(__xludf.DUMMYFUNCTION("REGEXREPLACE(C13997,""-\d+(.*)|--\d+(.*)"","""")"),"VISCOS")</f>
        <v>VISCOS</v>
      </c>
      <c r="E13997" s="38" t="s">
        <v>200</v>
      </c>
      <c r="F13997" s="38" t="s">
        <v>94</v>
      </c>
      <c r="G13997" s="49" t="str">
        <f t="shared" si="1"/>
        <v>65120</v>
      </c>
      <c r="H13997" s="49">
        <f t="shared" si="2"/>
        <v>65478</v>
      </c>
    </row>
    <row r="13998">
      <c r="A13998" s="48" t="s">
        <v>1921</v>
      </c>
      <c r="B13998" s="38">
        <v>2691.0</v>
      </c>
      <c r="C13998" s="38" t="s">
        <v>18280</v>
      </c>
      <c r="D13998" s="38" t="str">
        <f>IFERROR(__xludf.DUMMYFUNCTION("REGEXREPLACE(C13998,""-\d+(.*)|--\d+(.*)"","""")"),"SAINT-QUENTIN")</f>
        <v>SAINT-QUENTIN</v>
      </c>
      <c r="E13998" s="38" t="s">
        <v>191</v>
      </c>
      <c r="F13998" s="38" t="s">
        <v>113</v>
      </c>
      <c r="G13998" s="49" t="str">
        <f t="shared" si="1"/>
        <v>02100</v>
      </c>
      <c r="H13998" s="49" t="str">
        <f t="shared" si="2"/>
        <v>02691</v>
      </c>
    </row>
    <row r="13999">
      <c r="A13999" s="48" t="s">
        <v>12894</v>
      </c>
      <c r="B13999" s="38">
        <v>48195.0</v>
      </c>
      <c r="C13999" s="38" t="s">
        <v>18281</v>
      </c>
      <c r="D13999" s="38" t="str">
        <f>IFERROR(__xludf.DUMMYFUNCTION("REGEXREPLACE(C13999,""-\d+(.*)|--\d+(.*)"","""")"),"LES VIGNES")</f>
        <v>LES VIGNES</v>
      </c>
      <c r="E13999" s="38" t="s">
        <v>154</v>
      </c>
      <c r="F13999" s="38" t="s">
        <v>119</v>
      </c>
      <c r="G13999" s="49" t="str">
        <f t="shared" si="1"/>
        <v>48210</v>
      </c>
      <c r="H13999" s="49">
        <f t="shared" si="2"/>
        <v>48195</v>
      </c>
    </row>
    <row r="14000">
      <c r="A14000" s="48" t="s">
        <v>13174</v>
      </c>
      <c r="B14000" s="38">
        <v>33494.0</v>
      </c>
      <c r="C14000" s="38" t="s">
        <v>18282</v>
      </c>
      <c r="D14000" s="38" t="str">
        <f>IFERROR(__xludf.DUMMYFUNCTION("REGEXREPLACE(C14000,""-\d+(.*)|--\d+(.*)"","""")"),"SALAUNES")</f>
        <v>SALAUNES</v>
      </c>
      <c r="E14000" s="38" t="s">
        <v>462</v>
      </c>
      <c r="F14000" s="38" t="s">
        <v>252</v>
      </c>
      <c r="G14000" s="49" t="str">
        <f t="shared" si="1"/>
        <v>33160</v>
      </c>
      <c r="H14000" s="49">
        <f t="shared" si="2"/>
        <v>33494</v>
      </c>
    </row>
    <row r="14001">
      <c r="A14001" s="48" t="s">
        <v>4065</v>
      </c>
      <c r="B14001" s="38">
        <v>21040.0</v>
      </c>
      <c r="C14001" s="38" t="s">
        <v>18283</v>
      </c>
      <c r="D14001" s="38" t="str">
        <f>IFERROR(__xludf.DUMMYFUNCTION("REGEXREPLACE(C14001,""-\d+(.*)|--\d+(.*)"","""")"),"AVOSNES")</f>
        <v>AVOSNES</v>
      </c>
      <c r="E14001" s="38" t="s">
        <v>105</v>
      </c>
      <c r="F14001" s="38" t="s">
        <v>106</v>
      </c>
      <c r="G14001" s="49" t="str">
        <f t="shared" si="1"/>
        <v>21350</v>
      </c>
      <c r="H14001" s="49">
        <f t="shared" si="2"/>
        <v>21040</v>
      </c>
    </row>
    <row r="14002">
      <c r="A14002" s="48" t="s">
        <v>5953</v>
      </c>
      <c r="B14002" s="38">
        <v>76058.0</v>
      </c>
      <c r="C14002" s="38" t="s">
        <v>18284</v>
      </c>
      <c r="D14002" s="38" t="str">
        <f>IFERROR(__xludf.DUMMYFUNCTION("REGEXREPLACE(C14002,""-\d+(.*)|--\d+(.*)"","""")"),"BAROMESNIL")</f>
        <v>BAROMESNIL</v>
      </c>
      <c r="E14002" s="38" t="s">
        <v>133</v>
      </c>
      <c r="F14002" s="38" t="s">
        <v>134</v>
      </c>
      <c r="G14002" s="49" t="str">
        <f t="shared" si="1"/>
        <v>76260</v>
      </c>
      <c r="H14002" s="49">
        <f t="shared" si="2"/>
        <v>76058</v>
      </c>
    </row>
    <row r="14003">
      <c r="A14003" s="48" t="s">
        <v>3603</v>
      </c>
      <c r="B14003" s="38">
        <v>24288.0</v>
      </c>
      <c r="C14003" s="38" t="s">
        <v>18285</v>
      </c>
      <c r="D14003" s="38" t="str">
        <f>IFERROR(__xludf.DUMMYFUNCTION("REGEXREPLACE(C14003,""-\d+(.*)|--\d+(.*)"","""")"),"MONTAZEAU")</f>
        <v>MONTAZEAU</v>
      </c>
      <c r="E14003" s="38" t="s">
        <v>261</v>
      </c>
      <c r="F14003" s="38" t="s">
        <v>252</v>
      </c>
      <c r="G14003" s="49" t="str">
        <f t="shared" si="1"/>
        <v>24230</v>
      </c>
      <c r="H14003" s="49">
        <f t="shared" si="2"/>
        <v>24288</v>
      </c>
    </row>
    <row r="14004">
      <c r="A14004" s="48" t="s">
        <v>3718</v>
      </c>
      <c r="B14004" s="38">
        <v>62629.0</v>
      </c>
      <c r="C14004" s="38" t="s">
        <v>18286</v>
      </c>
      <c r="D14004" s="38" t="str">
        <f>IFERROR(__xludf.DUMMYFUNCTION("REGEXREPLACE(C14004,""-\d+(.*)|--\d+(.*)"","""")"),"NOYELLETTE")</f>
        <v>NOYELLETTE</v>
      </c>
      <c r="E14004" s="38" t="s">
        <v>109</v>
      </c>
      <c r="F14004" s="38" t="s">
        <v>86</v>
      </c>
      <c r="G14004" s="49" t="str">
        <f t="shared" si="1"/>
        <v>62123</v>
      </c>
      <c r="H14004" s="49">
        <f t="shared" si="2"/>
        <v>62629</v>
      </c>
    </row>
    <row r="14005">
      <c r="A14005" s="48" t="s">
        <v>1616</v>
      </c>
      <c r="B14005" s="38">
        <v>10403.0</v>
      </c>
      <c r="C14005" s="38" t="s">
        <v>18287</v>
      </c>
      <c r="D14005" s="38" t="str">
        <f>IFERROR(__xludf.DUMMYFUNCTION("REGEXREPLACE(C14005,""-\d+(.*)|--\d+(.*)"","""")"),"VERNONVILLIERS")</f>
        <v>VERNONVILLIERS</v>
      </c>
      <c r="E14005" s="38" t="s">
        <v>147</v>
      </c>
      <c r="F14005" s="38" t="s">
        <v>130</v>
      </c>
      <c r="G14005" s="49" t="str">
        <f t="shared" si="1"/>
        <v>10200</v>
      </c>
      <c r="H14005" s="49">
        <f t="shared" si="2"/>
        <v>10403</v>
      </c>
    </row>
    <row r="14006">
      <c r="A14006" s="48" t="s">
        <v>2438</v>
      </c>
      <c r="B14006" s="38">
        <v>64222.0</v>
      </c>
      <c r="C14006" s="38" t="s">
        <v>18288</v>
      </c>
      <c r="D14006" s="38" t="str">
        <f>IFERROR(__xludf.DUMMYFUNCTION("REGEXREPLACE(C14006,""-\d+(.*)|--\d+(.*)"","""")"),"ETCHEBAR")</f>
        <v>ETCHEBAR</v>
      </c>
      <c r="E14006" s="38" t="s">
        <v>268</v>
      </c>
      <c r="F14006" s="38" t="s">
        <v>252</v>
      </c>
      <c r="G14006" s="49" t="str">
        <f t="shared" si="1"/>
        <v>64470</v>
      </c>
      <c r="H14006" s="49">
        <f t="shared" si="2"/>
        <v>64222</v>
      </c>
    </row>
    <row r="14007">
      <c r="A14007" s="48" t="s">
        <v>2469</v>
      </c>
      <c r="B14007" s="38">
        <v>8365.0</v>
      </c>
      <c r="C14007" s="38" t="s">
        <v>18289</v>
      </c>
      <c r="D14007" s="38" t="str">
        <f>IFERROR(__xludf.DUMMYFUNCTION("REGEXREPLACE(C14007,""-\d+(.*)|--\d+(.*)"","""")"),"RIMOGNE")</f>
        <v>RIMOGNE</v>
      </c>
      <c r="E14007" s="38" t="s">
        <v>327</v>
      </c>
      <c r="F14007" s="38" t="s">
        <v>130</v>
      </c>
      <c r="G14007" s="49" t="str">
        <f t="shared" si="1"/>
        <v>08150</v>
      </c>
      <c r="H14007" s="49" t="str">
        <f t="shared" si="2"/>
        <v>08365</v>
      </c>
    </row>
    <row r="14008">
      <c r="A14008" s="48" t="s">
        <v>2788</v>
      </c>
      <c r="B14008" s="38">
        <v>35324.0</v>
      </c>
      <c r="C14008" s="38" t="s">
        <v>18290</v>
      </c>
      <c r="D14008" s="38" t="str">
        <f>IFERROR(__xludf.DUMMYFUNCTION("REGEXREPLACE(C14008,""-\d+(.*)|--\d+(.*)"","""")"),"LA SELLE-EN-LUITRE")</f>
        <v>LA SELLE-EN-LUITRE</v>
      </c>
      <c r="E14008" s="38" t="s">
        <v>347</v>
      </c>
      <c r="F14008" s="38" t="s">
        <v>90</v>
      </c>
      <c r="G14008" s="49" t="str">
        <f t="shared" si="1"/>
        <v>35133</v>
      </c>
      <c r="H14008" s="49">
        <f t="shared" si="2"/>
        <v>35324</v>
      </c>
    </row>
    <row r="14009">
      <c r="A14009" s="48" t="s">
        <v>2547</v>
      </c>
      <c r="B14009" s="38">
        <v>8215.0</v>
      </c>
      <c r="C14009" s="38" t="s">
        <v>18291</v>
      </c>
      <c r="D14009" s="38" t="str">
        <f>IFERROR(__xludf.DUMMYFUNCTION("REGEXREPLACE(C14009,""-\d+(.*)|--\d+(.*)"","""")"),"HARRICOURT")</f>
        <v>HARRICOURT</v>
      </c>
      <c r="E14009" s="38" t="s">
        <v>327</v>
      </c>
      <c r="F14009" s="38" t="s">
        <v>130</v>
      </c>
      <c r="G14009" s="49" t="str">
        <f t="shared" si="1"/>
        <v>08240</v>
      </c>
      <c r="H14009" s="49" t="str">
        <f t="shared" si="2"/>
        <v>08215</v>
      </c>
    </row>
    <row r="14010">
      <c r="A14010" s="48" t="s">
        <v>18292</v>
      </c>
      <c r="B14010" s="38">
        <v>22201.0</v>
      </c>
      <c r="C14010" s="38" t="s">
        <v>18293</v>
      </c>
      <c r="D14010" s="38" t="str">
        <f>IFERROR(__xludf.DUMMYFUNCTION("REGEXREPLACE(C14010,""-\d+(.*)|--\d+(.*)"","""")"),"PLEVENON")</f>
        <v>PLEVENON</v>
      </c>
      <c r="E14010" s="38" t="s">
        <v>89</v>
      </c>
      <c r="F14010" s="38" t="s">
        <v>90</v>
      </c>
      <c r="G14010" s="49" t="str">
        <f t="shared" si="1"/>
        <v>22240</v>
      </c>
      <c r="H14010" s="49">
        <f t="shared" si="2"/>
        <v>22201</v>
      </c>
    </row>
    <row r="14011">
      <c r="A14011" s="48" t="s">
        <v>2057</v>
      </c>
      <c r="B14011" s="38">
        <v>89139.0</v>
      </c>
      <c r="C14011" s="38" t="s">
        <v>18294</v>
      </c>
      <c r="D14011" s="38" t="str">
        <f>IFERROR(__xludf.DUMMYFUNCTION("REGEXREPLACE(C14011,""-\d+(.*)|--\d+(.*)"","""")"),"DIGES")</f>
        <v>DIGES</v>
      </c>
      <c r="E14011" s="38" t="s">
        <v>275</v>
      </c>
      <c r="F14011" s="38" t="s">
        <v>106</v>
      </c>
      <c r="G14011" s="49" t="str">
        <f t="shared" si="1"/>
        <v>89240</v>
      </c>
      <c r="H14011" s="49">
        <f t="shared" si="2"/>
        <v>89139</v>
      </c>
    </row>
    <row r="14012">
      <c r="A14012" s="48" t="s">
        <v>2130</v>
      </c>
      <c r="B14012" s="38">
        <v>62762.0</v>
      </c>
      <c r="C14012" s="38" t="s">
        <v>18295</v>
      </c>
      <c r="D14012" s="38" t="str">
        <f>IFERROR(__xludf.DUMMYFUNCTION("REGEXREPLACE(C14012,""-\d+(.*)|--\d+(.*)"","""")"),"SAINT-MICHEL-SOUS-BOIS")</f>
        <v>SAINT-MICHEL-SOUS-BOIS</v>
      </c>
      <c r="E14012" s="38" t="s">
        <v>109</v>
      </c>
      <c r="F14012" s="38" t="s">
        <v>86</v>
      </c>
      <c r="G14012" s="49" t="str">
        <f t="shared" si="1"/>
        <v>62650</v>
      </c>
      <c r="H14012" s="49">
        <f t="shared" si="2"/>
        <v>62762</v>
      </c>
    </row>
    <row r="14013">
      <c r="A14013" s="48" t="s">
        <v>5302</v>
      </c>
      <c r="B14013" s="38">
        <v>14424.0</v>
      </c>
      <c r="C14013" s="38" t="s">
        <v>18296</v>
      </c>
      <c r="D14013" s="38" t="str">
        <f>IFERROR(__xludf.DUMMYFUNCTION("REGEXREPLACE(C14013,""-\d+(.*)|--\d+(.*)"","""")"),"LE MESNIL-ROBERT")</f>
        <v>LE MESNIL-ROBERT</v>
      </c>
      <c r="E14013" s="38" t="s">
        <v>137</v>
      </c>
      <c r="F14013" s="38" t="s">
        <v>138</v>
      </c>
      <c r="G14013" s="49" t="str">
        <f t="shared" si="1"/>
        <v>14380</v>
      </c>
      <c r="H14013" s="49">
        <f t="shared" si="2"/>
        <v>14424</v>
      </c>
    </row>
    <row r="14014">
      <c r="A14014" s="48" t="s">
        <v>13269</v>
      </c>
      <c r="B14014" s="38">
        <v>4020.0</v>
      </c>
      <c r="C14014" s="38" t="s">
        <v>18297</v>
      </c>
      <c r="D14014" s="38" t="str">
        <f>IFERROR(__xludf.DUMMYFUNCTION("REGEXREPLACE(C14014,""-\d+(.*)|--\d+(.*)"","""")"),"BARLES")</f>
        <v>BARLES</v>
      </c>
      <c r="E14014" s="38" t="s">
        <v>662</v>
      </c>
      <c r="F14014" s="38" t="s">
        <v>228</v>
      </c>
      <c r="G14014" s="49" t="str">
        <f t="shared" si="1"/>
        <v>04140</v>
      </c>
      <c r="H14014" s="49" t="str">
        <f t="shared" si="2"/>
        <v>04020</v>
      </c>
    </row>
    <row r="14015">
      <c r="A14015" s="48" t="s">
        <v>6515</v>
      </c>
      <c r="B14015" s="38">
        <v>62315.0</v>
      </c>
      <c r="C14015" s="38" t="s">
        <v>18298</v>
      </c>
      <c r="D14015" s="38" t="str">
        <f>IFERROR(__xludf.DUMMYFUNCTION("REGEXREPLACE(C14015,""-\d+(.*)|--\d+(.*)"","""")"),"ESTREELLES")</f>
        <v>ESTREELLES</v>
      </c>
      <c r="E14015" s="38" t="s">
        <v>109</v>
      </c>
      <c r="F14015" s="38" t="s">
        <v>86</v>
      </c>
      <c r="G14015" s="49" t="str">
        <f t="shared" si="1"/>
        <v>62170</v>
      </c>
      <c r="H14015" s="49">
        <f t="shared" si="2"/>
        <v>62315</v>
      </c>
    </row>
    <row r="14016">
      <c r="A14016" s="48" t="s">
        <v>2625</v>
      </c>
      <c r="B14016" s="38">
        <v>30035.0</v>
      </c>
      <c r="C14016" s="38" t="s">
        <v>14704</v>
      </c>
      <c r="D14016" s="38" t="str">
        <f>IFERROR(__xludf.DUMMYFUNCTION("REGEXREPLACE(C14016,""-\d+(.*)|--\d+(.*)"","""")"),"BELVEZET")</f>
        <v>BELVEZET</v>
      </c>
      <c r="E14016" s="38" t="s">
        <v>526</v>
      </c>
      <c r="F14016" s="38" t="s">
        <v>119</v>
      </c>
      <c r="G14016" s="49" t="str">
        <f t="shared" si="1"/>
        <v>30580</v>
      </c>
      <c r="H14016" s="49">
        <f t="shared" si="2"/>
        <v>30035</v>
      </c>
    </row>
    <row r="14017">
      <c r="A14017" s="48" t="s">
        <v>3311</v>
      </c>
      <c r="B14017" s="38">
        <v>19032.0</v>
      </c>
      <c r="C14017" s="38" t="s">
        <v>18299</v>
      </c>
      <c r="D14017" s="38" t="str">
        <f>IFERROR(__xludf.DUMMYFUNCTION("REGEXREPLACE(C14017,""-\d+(.*)|--\d+(.*)"","""")"),"BRIVEZAC")</f>
        <v>BRIVEZAC</v>
      </c>
      <c r="E14017" s="38" t="s">
        <v>271</v>
      </c>
      <c r="F14017" s="38" t="s">
        <v>98</v>
      </c>
      <c r="G14017" s="49" t="str">
        <f t="shared" si="1"/>
        <v>19120</v>
      </c>
      <c r="H14017" s="49">
        <f t="shared" si="2"/>
        <v>19032</v>
      </c>
    </row>
    <row r="14018">
      <c r="A14018" s="48" t="s">
        <v>2567</v>
      </c>
      <c r="B14018" s="38">
        <v>6153.0</v>
      </c>
      <c r="C14018" s="38" t="s">
        <v>18300</v>
      </c>
      <c r="D14018" s="38" t="str">
        <f>IFERROR(__xludf.DUMMYFUNCTION("REGEXREPLACE(C14018,""-\d+(.*)|--\d+(.*)"","""")"),"VALDEBLORE")</f>
        <v>VALDEBLORE</v>
      </c>
      <c r="E14018" s="38" t="s">
        <v>227</v>
      </c>
      <c r="F14018" s="38" t="s">
        <v>228</v>
      </c>
      <c r="G14018" s="49" t="str">
        <f t="shared" si="1"/>
        <v>06420</v>
      </c>
      <c r="H14018" s="49" t="str">
        <f t="shared" si="2"/>
        <v>06153</v>
      </c>
    </row>
    <row r="14019">
      <c r="A14019" s="48" t="s">
        <v>12958</v>
      </c>
      <c r="B14019" s="38">
        <v>27457.0</v>
      </c>
      <c r="C14019" s="38" t="s">
        <v>18301</v>
      </c>
      <c r="D14019" s="38" t="str">
        <f>IFERROR(__xludf.DUMMYFUNCTION("REGEXREPLACE(C14019,""-\d+(.*)|--\d+(.*)"","""")"),"PISEUX")</f>
        <v>PISEUX</v>
      </c>
      <c r="E14019" s="38" t="s">
        <v>241</v>
      </c>
      <c r="F14019" s="38" t="s">
        <v>134</v>
      </c>
      <c r="G14019" s="49" t="str">
        <f t="shared" si="1"/>
        <v>27130</v>
      </c>
      <c r="H14019" s="49">
        <f t="shared" si="2"/>
        <v>27457</v>
      </c>
    </row>
    <row r="14020">
      <c r="A14020" s="48" t="s">
        <v>12364</v>
      </c>
      <c r="B14020" s="38">
        <v>89063.0</v>
      </c>
      <c r="C14020" s="38" t="s">
        <v>18302</v>
      </c>
      <c r="D14020" s="38" t="str">
        <f>IFERROR(__xludf.DUMMYFUNCTION("REGEXREPLACE(C14020,""-\d+(.*)|--\d+(.*)"","""")"),"LA CELLE-SAINT-CYR")</f>
        <v>LA CELLE-SAINT-CYR</v>
      </c>
      <c r="E14020" s="38" t="s">
        <v>275</v>
      </c>
      <c r="F14020" s="38" t="s">
        <v>106</v>
      </c>
      <c r="G14020" s="49" t="str">
        <f t="shared" si="1"/>
        <v>89116</v>
      </c>
      <c r="H14020" s="49">
        <f t="shared" si="2"/>
        <v>89063</v>
      </c>
    </row>
    <row r="14021">
      <c r="A14021" s="48" t="s">
        <v>10861</v>
      </c>
      <c r="B14021" s="38">
        <v>35325.0</v>
      </c>
      <c r="C14021" s="38" t="s">
        <v>18303</v>
      </c>
      <c r="D14021" s="38" t="str">
        <f>IFERROR(__xludf.DUMMYFUNCTION("REGEXREPLACE(C14021,""-\d+(.*)|--\d+(.*)"","""")"),"LA SELLE-GUERCHAISE")</f>
        <v>LA SELLE-GUERCHAISE</v>
      </c>
      <c r="E14021" s="38" t="s">
        <v>347</v>
      </c>
      <c r="F14021" s="38" t="s">
        <v>90</v>
      </c>
      <c r="G14021" s="49" t="str">
        <f t="shared" si="1"/>
        <v>35130</v>
      </c>
      <c r="H14021" s="49">
        <f t="shared" si="2"/>
        <v>35325</v>
      </c>
    </row>
    <row r="14022">
      <c r="A14022" s="48" t="s">
        <v>578</v>
      </c>
      <c r="B14022" s="38">
        <v>52033.0</v>
      </c>
      <c r="C14022" s="38" t="s">
        <v>18304</v>
      </c>
      <c r="D14022" s="38" t="str">
        <f>IFERROR(__xludf.DUMMYFUNCTION("REGEXREPLACE(C14022,""-\d+(.*)|--\d+(.*)"","""")"),"AVRECOURT")</f>
        <v>AVRECOURT</v>
      </c>
      <c r="E14022" s="38" t="s">
        <v>234</v>
      </c>
      <c r="F14022" s="38" t="s">
        <v>130</v>
      </c>
      <c r="G14022" s="49" t="str">
        <f t="shared" si="1"/>
        <v>52140</v>
      </c>
      <c r="H14022" s="49">
        <f t="shared" si="2"/>
        <v>52033</v>
      </c>
    </row>
    <row r="14023">
      <c r="A14023" s="48" t="s">
        <v>5490</v>
      </c>
      <c r="B14023" s="38">
        <v>22056.0</v>
      </c>
      <c r="C14023" s="38" t="s">
        <v>18305</v>
      </c>
      <c r="D14023" s="38" t="str">
        <f>IFERROR(__xludf.DUMMYFUNCTION("REGEXREPLACE(C14023,""-\d+(.*)|--\d+(.*)"","""")"),"EVRAN")</f>
        <v>EVRAN</v>
      </c>
      <c r="E14023" s="38" t="s">
        <v>89</v>
      </c>
      <c r="F14023" s="38" t="s">
        <v>90</v>
      </c>
      <c r="G14023" s="49" t="str">
        <f t="shared" si="1"/>
        <v>22630</v>
      </c>
      <c r="H14023" s="49">
        <f t="shared" si="2"/>
        <v>22056</v>
      </c>
    </row>
    <row r="14024">
      <c r="A14024" s="48" t="s">
        <v>2100</v>
      </c>
      <c r="B14024" s="38">
        <v>14348.0</v>
      </c>
      <c r="C14024" s="38" t="s">
        <v>18306</v>
      </c>
      <c r="D14024" s="38" t="str">
        <f>IFERROR(__xludf.DUMMYFUNCTION("REGEXREPLACE(C14024,""-\d+(.*)|--\d+(.*)"","""")"),"JUVIGNY-SUR-SEULLES")</f>
        <v>JUVIGNY-SUR-SEULLES</v>
      </c>
      <c r="E14024" s="38" t="s">
        <v>137</v>
      </c>
      <c r="F14024" s="38" t="s">
        <v>138</v>
      </c>
      <c r="G14024" s="49" t="str">
        <f t="shared" si="1"/>
        <v>14250</v>
      </c>
      <c r="H14024" s="49">
        <f t="shared" si="2"/>
        <v>14348</v>
      </c>
    </row>
    <row r="14025">
      <c r="A14025" s="48" t="s">
        <v>3819</v>
      </c>
      <c r="B14025" s="38">
        <v>38463.0</v>
      </c>
      <c r="C14025" s="38" t="s">
        <v>10240</v>
      </c>
      <c r="D14025" s="38" t="str">
        <f>IFERROR(__xludf.DUMMYFUNCTION("REGEXREPLACE(C14025,""-\d+(.*)|--\d+(.*)"","""")"),"SAINT-VERAND")</f>
        <v>SAINT-VERAND</v>
      </c>
      <c r="E14025" s="38" t="s">
        <v>101</v>
      </c>
      <c r="F14025" s="38" t="s">
        <v>102</v>
      </c>
      <c r="G14025" s="49" t="str">
        <f t="shared" si="1"/>
        <v>38160</v>
      </c>
      <c r="H14025" s="49">
        <f t="shared" si="2"/>
        <v>38463</v>
      </c>
    </row>
    <row r="14026">
      <c r="A14026" s="48" t="s">
        <v>1590</v>
      </c>
      <c r="B14026" s="38">
        <v>33215.0</v>
      </c>
      <c r="C14026" s="38" t="s">
        <v>18307</v>
      </c>
      <c r="D14026" s="38" t="str">
        <f>IFERROR(__xludf.DUMMYFUNCTION("REGEXREPLACE(C14026,""-\d+(.*)|--\d+(.*)"","""")"),"LADAUX")</f>
        <v>LADAUX</v>
      </c>
      <c r="E14026" s="38" t="s">
        <v>462</v>
      </c>
      <c r="F14026" s="38" t="s">
        <v>252</v>
      </c>
      <c r="G14026" s="49" t="str">
        <f t="shared" si="1"/>
        <v>33760</v>
      </c>
      <c r="H14026" s="49">
        <f t="shared" si="2"/>
        <v>33215</v>
      </c>
    </row>
    <row r="14027">
      <c r="A14027" s="48" t="s">
        <v>18308</v>
      </c>
      <c r="B14027" s="38">
        <v>78442.0</v>
      </c>
      <c r="C14027" s="38" t="s">
        <v>18309</v>
      </c>
      <c r="D14027" s="38" t="str">
        <f>IFERROR(__xludf.DUMMYFUNCTION("REGEXREPLACE(C14027,""-\d+(.*)|--\d+(.*)"","""")"),"NEAUPHLE-LE-CHATEAU")</f>
        <v>NEAUPHLE-LE-CHATEAU</v>
      </c>
      <c r="E14027" s="38" t="s">
        <v>362</v>
      </c>
      <c r="F14027" s="38" t="s">
        <v>245</v>
      </c>
      <c r="G14027" s="49" t="str">
        <f t="shared" si="1"/>
        <v>78640</v>
      </c>
      <c r="H14027" s="49">
        <f t="shared" si="2"/>
        <v>78442</v>
      </c>
    </row>
    <row r="14028">
      <c r="A14028" s="48" t="s">
        <v>398</v>
      </c>
      <c r="B14028" s="38">
        <v>39053.0</v>
      </c>
      <c r="C14028" s="38" t="s">
        <v>18310</v>
      </c>
      <c r="D14028" s="38" t="str">
        <f>IFERROR(__xludf.DUMMYFUNCTION("REGEXREPLACE(C14028,""-\d+(.*)|--\d+(.*)"","""")"),"BIEF-DU-FOURG")</f>
        <v>BIEF-DU-FOURG</v>
      </c>
      <c r="E14028" s="38" t="s">
        <v>400</v>
      </c>
      <c r="F14028" s="38" t="s">
        <v>214</v>
      </c>
      <c r="G14028" s="49" t="str">
        <f t="shared" si="1"/>
        <v>39250</v>
      </c>
      <c r="H14028" s="49">
        <f t="shared" si="2"/>
        <v>39053</v>
      </c>
    </row>
    <row r="14029">
      <c r="A14029" s="48" t="s">
        <v>4090</v>
      </c>
      <c r="B14029" s="38">
        <v>48116.0</v>
      </c>
      <c r="C14029" s="38" t="s">
        <v>18311</v>
      </c>
      <c r="D14029" s="38" t="str">
        <f>IFERROR(__xludf.DUMMYFUNCTION("REGEXREPLACE(C14029,""-\d+(.*)|--\d+(.*)"","""")"),"LE PONT-DE-MONTVERT")</f>
        <v>LE PONT-DE-MONTVERT</v>
      </c>
      <c r="E14029" s="38" t="s">
        <v>154</v>
      </c>
      <c r="F14029" s="38" t="s">
        <v>119</v>
      </c>
      <c r="G14029" s="49" t="str">
        <f t="shared" si="1"/>
        <v>48220</v>
      </c>
      <c r="H14029" s="49">
        <f t="shared" si="2"/>
        <v>48116</v>
      </c>
    </row>
    <row r="14030">
      <c r="A14030" s="48" t="s">
        <v>2126</v>
      </c>
      <c r="B14030" s="38">
        <v>59640.0</v>
      </c>
      <c r="C14030" s="38" t="s">
        <v>18312</v>
      </c>
      <c r="D14030" s="38" t="str">
        <f>IFERROR(__xludf.DUMMYFUNCTION("REGEXREPLACE(C14030,""-\d+(.*)|--\d+(.*)"","""")"),"WARGNIES-LE-PETIT")</f>
        <v>WARGNIES-LE-PETIT</v>
      </c>
      <c r="E14030" s="38" t="s">
        <v>85</v>
      </c>
      <c r="F14030" s="38" t="s">
        <v>86</v>
      </c>
      <c r="G14030" s="49" t="str">
        <f t="shared" si="1"/>
        <v>59144</v>
      </c>
      <c r="H14030" s="49">
        <f t="shared" si="2"/>
        <v>59640</v>
      </c>
    </row>
    <row r="14031">
      <c r="A14031" s="48" t="s">
        <v>145</v>
      </c>
      <c r="B14031" s="38">
        <v>10040.0</v>
      </c>
      <c r="C14031" s="38" t="s">
        <v>18313</v>
      </c>
      <c r="D14031" s="38" t="str">
        <f>IFERROR(__xludf.DUMMYFUNCTION("REGEXREPLACE(C14031,""-\d+(.*)|--\d+(.*)"","""")"),"BERNON")</f>
        <v>BERNON</v>
      </c>
      <c r="E14031" s="38" t="s">
        <v>147</v>
      </c>
      <c r="F14031" s="38" t="s">
        <v>130</v>
      </c>
      <c r="G14031" s="49" t="str">
        <f t="shared" si="1"/>
        <v>10130</v>
      </c>
      <c r="H14031" s="49">
        <f t="shared" si="2"/>
        <v>10040</v>
      </c>
    </row>
    <row r="14032">
      <c r="A14032" s="48" t="s">
        <v>601</v>
      </c>
      <c r="B14032" s="38">
        <v>51539.0</v>
      </c>
      <c r="C14032" s="38" t="s">
        <v>18314</v>
      </c>
      <c r="D14032" s="38" t="str">
        <f>IFERROR(__xludf.DUMMYFUNCTION("REGEXREPLACE(C14032,""-\d+(.*)|--\d+(.*)"","""")"),"SOGNY-EN-L'ANGLE")</f>
        <v>SOGNY-EN-L'ANGLE</v>
      </c>
      <c r="E14032" s="38" t="s">
        <v>129</v>
      </c>
      <c r="F14032" s="38" t="s">
        <v>130</v>
      </c>
      <c r="G14032" s="49" t="str">
        <f t="shared" si="1"/>
        <v>51340</v>
      </c>
      <c r="H14032" s="49">
        <f t="shared" si="2"/>
        <v>51539</v>
      </c>
    </row>
    <row r="14033">
      <c r="A14033" s="48" t="s">
        <v>2340</v>
      </c>
      <c r="B14033" s="38">
        <v>21081.0</v>
      </c>
      <c r="C14033" s="38" t="s">
        <v>18315</v>
      </c>
      <c r="D14033" s="38" t="str">
        <f>IFERROR(__xludf.DUMMYFUNCTION("REGEXREPLACE(C14033,""-\d+(.*)|--\d+(.*)"","""")"),"BLAISY-HAUT")</f>
        <v>BLAISY-HAUT</v>
      </c>
      <c r="E14033" s="38" t="s">
        <v>105</v>
      </c>
      <c r="F14033" s="38" t="s">
        <v>106</v>
      </c>
      <c r="G14033" s="49" t="str">
        <f t="shared" si="1"/>
        <v>21540</v>
      </c>
      <c r="H14033" s="49">
        <f t="shared" si="2"/>
        <v>21081</v>
      </c>
    </row>
    <row r="14034">
      <c r="A14034" s="48" t="s">
        <v>18316</v>
      </c>
      <c r="B14034" s="38">
        <v>38552.0</v>
      </c>
      <c r="C14034" s="38" t="s">
        <v>18317</v>
      </c>
      <c r="D14034" s="38" t="str">
        <f>IFERROR(__xludf.DUMMYFUNCTION("REGEXREPLACE(C14034,""-\d+(.*)|--\d+(.*)"","""")"),"VILLARD-SAINT-CHRISTOPHE")</f>
        <v>VILLARD-SAINT-CHRISTOPHE</v>
      </c>
      <c r="E14034" s="38" t="s">
        <v>101</v>
      </c>
      <c r="F14034" s="38" t="s">
        <v>102</v>
      </c>
      <c r="G14034" s="49" t="str">
        <f t="shared" si="1"/>
        <v>38119</v>
      </c>
      <c r="H14034" s="49">
        <f t="shared" si="2"/>
        <v>38552</v>
      </c>
    </row>
    <row r="14035">
      <c r="A14035" s="48" t="s">
        <v>9315</v>
      </c>
      <c r="B14035" s="38">
        <v>68038.0</v>
      </c>
      <c r="C14035" s="38" t="s">
        <v>18318</v>
      </c>
      <c r="D14035" s="38" t="str">
        <f>IFERROR(__xludf.DUMMYFUNCTION("REGEXREPLACE(C14035,""-\d+(.*)|--\d+(.*)"","""")"),"BISCHWIHR")</f>
        <v>BISCHWIHR</v>
      </c>
      <c r="E14035" s="38" t="s">
        <v>150</v>
      </c>
      <c r="F14035" s="38" t="s">
        <v>151</v>
      </c>
      <c r="G14035" s="49" t="str">
        <f t="shared" si="1"/>
        <v>68320</v>
      </c>
      <c r="H14035" s="49">
        <f t="shared" si="2"/>
        <v>68038</v>
      </c>
    </row>
    <row r="14036">
      <c r="A14036" s="48" t="s">
        <v>1387</v>
      </c>
      <c r="B14036" s="38">
        <v>42128.0</v>
      </c>
      <c r="C14036" s="38" t="s">
        <v>18319</v>
      </c>
      <c r="D14036" s="38" t="str">
        <f>IFERROR(__xludf.DUMMYFUNCTION("REGEXREPLACE(C14036,""-\d+(.*)|--\d+(.*)"","""")"),"MACHEZAL")</f>
        <v>MACHEZAL</v>
      </c>
      <c r="E14036" s="38" t="s">
        <v>166</v>
      </c>
      <c r="F14036" s="38" t="s">
        <v>102</v>
      </c>
      <c r="G14036" s="49" t="str">
        <f t="shared" si="1"/>
        <v>42114</v>
      </c>
      <c r="H14036" s="49">
        <f t="shared" si="2"/>
        <v>42128</v>
      </c>
    </row>
    <row r="14037">
      <c r="A14037" s="48" t="s">
        <v>1104</v>
      </c>
      <c r="B14037" s="38">
        <v>52160.0</v>
      </c>
      <c r="C14037" s="38" t="s">
        <v>18320</v>
      </c>
      <c r="D14037" s="38" t="str">
        <f>IFERROR(__xludf.DUMMYFUNCTION("REGEXREPLACE(C14037,""-\d+(.*)|--\d+(.*)"","""")"),"DAILLANCOURT")</f>
        <v>DAILLANCOURT</v>
      </c>
      <c r="E14037" s="38" t="s">
        <v>234</v>
      </c>
      <c r="F14037" s="38" t="s">
        <v>130</v>
      </c>
      <c r="G14037" s="49" t="str">
        <f t="shared" si="1"/>
        <v>52110</v>
      </c>
      <c r="H14037" s="49">
        <f t="shared" si="2"/>
        <v>52160</v>
      </c>
    </row>
    <row r="14038">
      <c r="A14038" s="48" t="s">
        <v>3346</v>
      </c>
      <c r="B14038" s="38">
        <v>65297.0</v>
      </c>
      <c r="C14038" s="38" t="s">
        <v>18321</v>
      </c>
      <c r="D14038" s="38" t="str">
        <f>IFERROR(__xludf.DUMMYFUNCTION("REGEXREPLACE(C14038,""-\d+(.*)|--\d+(.*)"","""")"),"MANSAN")</f>
        <v>MANSAN</v>
      </c>
      <c r="E14038" s="38" t="s">
        <v>200</v>
      </c>
      <c r="F14038" s="38" t="s">
        <v>94</v>
      </c>
      <c r="G14038" s="49" t="str">
        <f t="shared" si="1"/>
        <v>65140</v>
      </c>
      <c r="H14038" s="49">
        <f t="shared" si="2"/>
        <v>65297</v>
      </c>
    </row>
    <row r="14039">
      <c r="A14039" s="48" t="s">
        <v>8510</v>
      </c>
      <c r="B14039" s="38">
        <v>39321.0</v>
      </c>
      <c r="C14039" s="38" t="s">
        <v>18322</v>
      </c>
      <c r="D14039" s="38" t="str">
        <f>IFERROR(__xludf.DUMMYFUNCTION("REGEXREPLACE(C14039,""-\d+(.*)|--\d+(.*)"","""")"),"MENETRU-LE-VIGNOBLE")</f>
        <v>MENETRU-LE-VIGNOBLE</v>
      </c>
      <c r="E14039" s="38" t="s">
        <v>400</v>
      </c>
      <c r="F14039" s="38" t="s">
        <v>214</v>
      </c>
      <c r="G14039" s="49" t="str">
        <f t="shared" si="1"/>
        <v>39210</v>
      </c>
      <c r="H14039" s="49">
        <f t="shared" si="2"/>
        <v>39321</v>
      </c>
    </row>
    <row r="14040">
      <c r="A14040" s="48" t="s">
        <v>18323</v>
      </c>
      <c r="B14040" s="38">
        <v>33011.0</v>
      </c>
      <c r="C14040" s="38" t="s">
        <v>18324</v>
      </c>
      <c r="D14040" s="38" t="str">
        <f>IFERROR(__xludf.DUMMYFUNCTION("REGEXREPLACE(C14040,""-\d+(.*)|--\d+(.*)"","""")"),"ARES")</f>
        <v>ARES</v>
      </c>
      <c r="E14040" s="38" t="s">
        <v>462</v>
      </c>
      <c r="F14040" s="38" t="s">
        <v>252</v>
      </c>
      <c r="G14040" s="49" t="str">
        <f t="shared" si="1"/>
        <v>33740</v>
      </c>
      <c r="H14040" s="49">
        <f t="shared" si="2"/>
        <v>33011</v>
      </c>
    </row>
    <row r="14041">
      <c r="A14041" s="48" t="s">
        <v>438</v>
      </c>
      <c r="B14041" s="38">
        <v>32287.0</v>
      </c>
      <c r="C14041" s="38" t="s">
        <v>18325</v>
      </c>
      <c r="D14041" s="38" t="str">
        <f>IFERROR(__xludf.DUMMYFUNCTION("REGEXREPLACE(C14041,""-\d+(.*)|--\d+(.*)"","""")"),"MONTIES")</f>
        <v>MONTIES</v>
      </c>
      <c r="E14041" s="38" t="s">
        <v>440</v>
      </c>
      <c r="F14041" s="38" t="s">
        <v>94</v>
      </c>
      <c r="G14041" s="49" t="str">
        <f t="shared" si="1"/>
        <v>32420</v>
      </c>
      <c r="H14041" s="49">
        <f t="shared" si="2"/>
        <v>32287</v>
      </c>
    </row>
    <row r="14042">
      <c r="A14042" s="48" t="s">
        <v>1302</v>
      </c>
      <c r="B14042" s="38">
        <v>38361.0</v>
      </c>
      <c r="C14042" s="38" t="s">
        <v>18326</v>
      </c>
      <c r="D14042" s="38" t="str">
        <f>IFERROR(__xludf.DUMMYFUNCTION("REGEXREPLACE(C14042,""-\d+(.*)|--\d+(.*)"","""")"),"SAINT-AREY")</f>
        <v>SAINT-AREY</v>
      </c>
      <c r="E14042" s="38" t="s">
        <v>101</v>
      </c>
      <c r="F14042" s="38" t="s">
        <v>102</v>
      </c>
      <c r="G14042" s="49" t="str">
        <f t="shared" si="1"/>
        <v>38350</v>
      </c>
      <c r="H14042" s="49">
        <f t="shared" si="2"/>
        <v>38361</v>
      </c>
    </row>
    <row r="14043">
      <c r="A14043" s="48" t="s">
        <v>18327</v>
      </c>
      <c r="B14043" s="38">
        <v>91593.0</v>
      </c>
      <c r="C14043" s="38" t="s">
        <v>7443</v>
      </c>
      <c r="D14043" s="38" t="str">
        <f>IFERROR(__xludf.DUMMYFUNCTION("REGEXREPLACE(C14043,""-\d+(.*)|--\d+(.*)"","""")"),"SERMAISE")</f>
        <v>SERMAISE</v>
      </c>
      <c r="E14043" s="38" t="s">
        <v>756</v>
      </c>
      <c r="F14043" s="38" t="s">
        <v>245</v>
      </c>
      <c r="G14043" s="49" t="str">
        <f t="shared" si="1"/>
        <v>91530</v>
      </c>
      <c r="H14043" s="49">
        <f t="shared" si="2"/>
        <v>91593</v>
      </c>
    </row>
    <row r="14044">
      <c r="A14044" s="48" t="s">
        <v>1566</v>
      </c>
      <c r="B14044" s="38">
        <v>29130.0</v>
      </c>
      <c r="C14044" s="38" t="s">
        <v>18328</v>
      </c>
      <c r="D14044" s="38" t="str">
        <f>IFERROR(__xludf.DUMMYFUNCTION("REGEXREPLACE(C14044,""-\d+(.*)|--\d+(.*)"","""")"),"LOCMARIA-PLOUZANE")</f>
        <v>LOCMARIA-PLOUZANE</v>
      </c>
      <c r="E14044" s="38" t="s">
        <v>176</v>
      </c>
      <c r="F14044" s="38" t="s">
        <v>90</v>
      </c>
      <c r="G14044" s="49" t="str">
        <f t="shared" si="1"/>
        <v>29280</v>
      </c>
      <c r="H14044" s="49">
        <f t="shared" si="2"/>
        <v>29130</v>
      </c>
    </row>
    <row r="14045">
      <c r="A14045" s="48" t="s">
        <v>1790</v>
      </c>
      <c r="B14045" s="38">
        <v>67400.0</v>
      </c>
      <c r="C14045" s="38" t="s">
        <v>18329</v>
      </c>
      <c r="D14045" s="38" t="str">
        <f>IFERROR(__xludf.DUMMYFUNCTION("REGEXREPLACE(C14045,""-\d+(.*)|--\d+(.*)"","""")"),"RIEDSELTZ")</f>
        <v>RIEDSELTZ</v>
      </c>
      <c r="E14045" s="38" t="s">
        <v>210</v>
      </c>
      <c r="F14045" s="38" t="s">
        <v>151</v>
      </c>
      <c r="G14045" s="49" t="str">
        <f t="shared" si="1"/>
        <v>67160</v>
      </c>
      <c r="H14045" s="49">
        <f t="shared" si="2"/>
        <v>67400</v>
      </c>
    </row>
    <row r="14046">
      <c r="A14046" s="48" t="s">
        <v>1800</v>
      </c>
      <c r="B14046" s="38">
        <v>88042.0</v>
      </c>
      <c r="C14046" s="38" t="s">
        <v>18330</v>
      </c>
      <c r="D14046" s="38" t="str">
        <f>IFERROR(__xludf.DUMMYFUNCTION("REGEXREPLACE(C14046,""-\d+(.*)|--\d+(.*)"","""")"),"BAZIEN")</f>
        <v>BAZIEN</v>
      </c>
      <c r="E14046" s="38" t="s">
        <v>194</v>
      </c>
      <c r="F14046" s="38" t="s">
        <v>195</v>
      </c>
      <c r="G14046" s="49" t="str">
        <f t="shared" si="1"/>
        <v>88700</v>
      </c>
      <c r="H14046" s="49">
        <f t="shared" si="2"/>
        <v>88042</v>
      </c>
    </row>
    <row r="14047">
      <c r="A14047" s="48" t="s">
        <v>7676</v>
      </c>
      <c r="B14047" s="38">
        <v>63278.0</v>
      </c>
      <c r="C14047" s="38" t="s">
        <v>18331</v>
      </c>
      <c r="D14047" s="38" t="str">
        <f>IFERROR(__xludf.DUMMYFUNCTION("REGEXREPLACE(C14047,""-\d+(.*)|--\d+(.*)"","""")"),"PESSAT-VILLENEUVE")</f>
        <v>PESSAT-VILLENEUVE</v>
      </c>
      <c r="E14047" s="38" t="s">
        <v>353</v>
      </c>
      <c r="F14047" s="38" t="s">
        <v>161</v>
      </c>
      <c r="G14047" s="49" t="str">
        <f t="shared" si="1"/>
        <v>63200</v>
      </c>
      <c r="H14047" s="49">
        <f t="shared" si="2"/>
        <v>63278</v>
      </c>
    </row>
    <row r="14048">
      <c r="A14048" s="48" t="s">
        <v>18332</v>
      </c>
      <c r="B14048" s="38">
        <v>88426.0</v>
      </c>
      <c r="C14048" s="38" t="s">
        <v>18333</v>
      </c>
      <c r="D14048" s="38" t="str">
        <f>IFERROR(__xludf.DUMMYFUNCTION("REGEXREPLACE(C14048,""-\d+(.*)|--\d+(.*)"","""")"),"SAINT-MAURICE-SUR-MOSELLE")</f>
        <v>SAINT-MAURICE-SUR-MOSELLE</v>
      </c>
      <c r="E14048" s="38" t="s">
        <v>194</v>
      </c>
      <c r="F14048" s="38" t="s">
        <v>195</v>
      </c>
      <c r="G14048" s="49" t="str">
        <f t="shared" si="1"/>
        <v>88560</v>
      </c>
      <c r="H14048" s="49">
        <f t="shared" si="2"/>
        <v>88426</v>
      </c>
    </row>
    <row r="14049">
      <c r="A14049" s="48" t="s">
        <v>1254</v>
      </c>
      <c r="B14049" s="38">
        <v>72157.0</v>
      </c>
      <c r="C14049" s="38" t="s">
        <v>16566</v>
      </c>
      <c r="D14049" s="38" t="str">
        <f>IFERROR(__xludf.DUMMYFUNCTION("REGEXREPLACE(C14049,""-\d+(.*)|--\d+(.*)"","""")"),"LAVARDIN")</f>
        <v>LAVARDIN</v>
      </c>
      <c r="E14049" s="38" t="s">
        <v>521</v>
      </c>
      <c r="F14049" s="38" t="s">
        <v>180</v>
      </c>
      <c r="G14049" s="49" t="str">
        <f t="shared" si="1"/>
        <v>72240</v>
      </c>
      <c r="H14049" s="49">
        <f t="shared" si="2"/>
        <v>72157</v>
      </c>
    </row>
    <row r="14050">
      <c r="A14050" s="48" t="s">
        <v>1368</v>
      </c>
      <c r="B14050" s="38">
        <v>8406.0</v>
      </c>
      <c r="C14050" s="38" t="s">
        <v>18334</v>
      </c>
      <c r="D14050" s="38" t="str">
        <f>IFERROR(__xludf.DUMMYFUNCTION("REGEXREPLACE(C14050,""-\d+(.*)|--\d+(.*)"","""")"),"SAVIGNY-SUR-AISNE")</f>
        <v>SAVIGNY-SUR-AISNE</v>
      </c>
      <c r="E14050" s="38" t="s">
        <v>327</v>
      </c>
      <c r="F14050" s="38" t="s">
        <v>130</v>
      </c>
      <c r="G14050" s="49" t="str">
        <f t="shared" si="1"/>
        <v>08400</v>
      </c>
      <c r="H14050" s="49" t="str">
        <f t="shared" si="2"/>
        <v>08406</v>
      </c>
    </row>
    <row r="14051">
      <c r="A14051" s="48" t="s">
        <v>13080</v>
      </c>
      <c r="B14051" s="38">
        <v>71539.0</v>
      </c>
      <c r="C14051" s="38" t="s">
        <v>18335</v>
      </c>
      <c r="D14051" s="38" t="str">
        <f>IFERROR(__xludf.DUMMYFUNCTION("REGEXREPLACE(C14051,""-\d+(.*)|--\d+(.*)"","""")"),"TINTRY")</f>
        <v>TINTRY</v>
      </c>
      <c r="E14051" s="38" t="s">
        <v>344</v>
      </c>
      <c r="F14051" s="38" t="s">
        <v>106</v>
      </c>
      <c r="G14051" s="49" t="str">
        <f t="shared" si="1"/>
        <v>71490</v>
      </c>
      <c r="H14051" s="49">
        <f t="shared" si="2"/>
        <v>71539</v>
      </c>
    </row>
    <row r="14052">
      <c r="A14052" s="48" t="s">
        <v>3246</v>
      </c>
      <c r="B14052" s="38">
        <v>9231.0</v>
      </c>
      <c r="C14052" s="38" t="s">
        <v>18336</v>
      </c>
      <c r="D14052" s="38" t="str">
        <f>IFERROR(__xludf.DUMMYFUNCTION("REGEXREPLACE(C14052,""-\d+(.*)|--\d+(.*)"","""")"),"LE PORT")</f>
        <v>LE PORT</v>
      </c>
      <c r="E14052" s="38" t="s">
        <v>238</v>
      </c>
      <c r="F14052" s="38" t="s">
        <v>94</v>
      </c>
      <c r="G14052" s="49" t="str">
        <f t="shared" si="1"/>
        <v>09320</v>
      </c>
      <c r="H14052" s="49" t="str">
        <f t="shared" si="2"/>
        <v>09231</v>
      </c>
    </row>
    <row r="14053">
      <c r="A14053" s="48" t="s">
        <v>1598</v>
      </c>
      <c r="B14053" s="38">
        <v>77275.0</v>
      </c>
      <c r="C14053" s="38" t="s">
        <v>18337</v>
      </c>
      <c r="D14053" s="38" t="str">
        <f>IFERROR(__xludf.DUMMYFUNCTION("REGEXREPLACE(C14053,""-\d+(.*)|--\d+(.*)"","""")"),"LES MARETS")</f>
        <v>LES MARETS</v>
      </c>
      <c r="E14053" s="38" t="s">
        <v>244</v>
      </c>
      <c r="F14053" s="38" t="s">
        <v>245</v>
      </c>
      <c r="G14053" s="49" t="str">
        <f t="shared" si="1"/>
        <v>77560</v>
      </c>
      <c r="H14053" s="49">
        <f t="shared" si="2"/>
        <v>77275</v>
      </c>
    </row>
    <row r="14054">
      <c r="A14054" s="48" t="s">
        <v>18338</v>
      </c>
      <c r="B14054" s="38">
        <v>22186.0</v>
      </c>
      <c r="C14054" s="38" t="s">
        <v>18339</v>
      </c>
      <c r="D14054" s="38" t="str">
        <f>IFERROR(__xludf.DUMMYFUNCTION("REGEXREPLACE(C14054,""-\d+(.*)|--\d+(.*)"","""")"),"PLENEUF-VAL-ANDRE")</f>
        <v>PLENEUF-VAL-ANDRE</v>
      </c>
      <c r="E14054" s="38" t="s">
        <v>89</v>
      </c>
      <c r="F14054" s="38" t="s">
        <v>90</v>
      </c>
      <c r="G14054" s="49" t="str">
        <f t="shared" si="1"/>
        <v>22370</v>
      </c>
      <c r="H14054" s="49">
        <f t="shared" si="2"/>
        <v>22186</v>
      </c>
    </row>
    <row r="14055">
      <c r="A14055" s="48" t="s">
        <v>13405</v>
      </c>
      <c r="B14055" s="38">
        <v>28248.0</v>
      </c>
      <c r="C14055" s="38" t="s">
        <v>18340</v>
      </c>
      <c r="D14055" s="38" t="str">
        <f>IFERROR(__xludf.DUMMYFUNCTION("REGEXREPLACE(C14055,""-\d+(.*)|--\d+(.*)"","""")"),"LE MESNIL-THOMAS")</f>
        <v>LE MESNIL-THOMAS</v>
      </c>
      <c r="E14055" s="38" t="s">
        <v>300</v>
      </c>
      <c r="F14055" s="38" t="s">
        <v>123</v>
      </c>
      <c r="G14055" s="49" t="str">
        <f t="shared" si="1"/>
        <v>28250</v>
      </c>
      <c r="H14055" s="49">
        <f t="shared" si="2"/>
        <v>28248</v>
      </c>
    </row>
    <row r="14056">
      <c r="A14056" s="48" t="s">
        <v>5386</v>
      </c>
      <c r="B14056" s="38">
        <v>42196.0</v>
      </c>
      <c r="C14056" s="38" t="s">
        <v>18341</v>
      </c>
      <c r="D14056" s="38" t="str">
        <f>IFERROR(__xludf.DUMMYFUNCTION("REGEXREPLACE(C14056,""-\d+(.*)|--\d+(.*)"","""")"),"SAINTE-AGATHE-EN-DONZY")</f>
        <v>SAINTE-AGATHE-EN-DONZY</v>
      </c>
      <c r="E14056" s="38" t="s">
        <v>166</v>
      </c>
      <c r="F14056" s="38" t="s">
        <v>102</v>
      </c>
      <c r="G14056" s="49" t="str">
        <f t="shared" si="1"/>
        <v>42510</v>
      </c>
      <c r="H14056" s="49">
        <f t="shared" si="2"/>
        <v>42196</v>
      </c>
    </row>
    <row r="14057">
      <c r="A14057" s="48" t="s">
        <v>1785</v>
      </c>
      <c r="B14057" s="38">
        <v>42050.0</v>
      </c>
      <c r="C14057" s="38" t="s">
        <v>18342</v>
      </c>
      <c r="D14057" s="38" t="str">
        <f>IFERROR(__xludf.DUMMYFUNCTION("REGEXREPLACE(C14057,""-\d+(.*)|--\d+(.*)"","""")"),"LA CHAPELLE-EN-LAFAYE")</f>
        <v>LA CHAPELLE-EN-LAFAYE</v>
      </c>
      <c r="E14057" s="38" t="s">
        <v>166</v>
      </c>
      <c r="F14057" s="38" t="s">
        <v>102</v>
      </c>
      <c r="G14057" s="49" t="str">
        <f t="shared" si="1"/>
        <v>42380</v>
      </c>
      <c r="H14057" s="49">
        <f t="shared" si="2"/>
        <v>42050</v>
      </c>
    </row>
    <row r="14058">
      <c r="A14058" s="48" t="s">
        <v>1398</v>
      </c>
      <c r="B14058" s="38">
        <v>45041.0</v>
      </c>
      <c r="C14058" s="38" t="s">
        <v>18343</v>
      </c>
      <c r="D14058" s="38" t="str">
        <f>IFERROR(__xludf.DUMMYFUNCTION("REGEXREPLACE(C14058,""-\d+(.*)|--\d+(.*)"","""")"),"BORDEAUX-EN-GATINAIS")</f>
        <v>BORDEAUX-EN-GATINAIS</v>
      </c>
      <c r="E14058" s="38" t="s">
        <v>122</v>
      </c>
      <c r="F14058" s="38" t="s">
        <v>123</v>
      </c>
      <c r="G14058" s="49" t="str">
        <f t="shared" si="1"/>
        <v>45340</v>
      </c>
      <c r="H14058" s="49">
        <f t="shared" si="2"/>
        <v>45041</v>
      </c>
    </row>
    <row r="14059">
      <c r="A14059" s="48" t="s">
        <v>6832</v>
      </c>
      <c r="B14059" s="38">
        <v>80320.0</v>
      </c>
      <c r="C14059" s="38" t="s">
        <v>18344</v>
      </c>
      <c r="D14059" s="38" t="str">
        <f>IFERROR(__xludf.DUMMYFUNCTION("REGEXREPLACE(C14059,""-\d+(.*)|--\d+(.*)"","""")"),"FOLIES")</f>
        <v>FOLIES</v>
      </c>
      <c r="E14059" s="38" t="s">
        <v>224</v>
      </c>
      <c r="F14059" s="38" t="s">
        <v>113</v>
      </c>
      <c r="G14059" s="49" t="str">
        <f t="shared" si="1"/>
        <v>80170</v>
      </c>
      <c r="H14059" s="49">
        <f t="shared" si="2"/>
        <v>80320</v>
      </c>
    </row>
    <row r="14060">
      <c r="A14060" s="48" t="s">
        <v>2783</v>
      </c>
      <c r="B14060" s="38">
        <v>31447.0</v>
      </c>
      <c r="C14060" s="38" t="s">
        <v>18345</v>
      </c>
      <c r="D14060" s="38" t="str">
        <f>IFERROR(__xludf.DUMMYFUNCTION("REGEXREPLACE(C14060,""-\d+(.*)|--\d+(.*)"","""")"),"RAZECUEILLE")</f>
        <v>RAZECUEILLE</v>
      </c>
      <c r="E14060" s="38" t="s">
        <v>93</v>
      </c>
      <c r="F14060" s="38" t="s">
        <v>94</v>
      </c>
      <c r="G14060" s="49" t="str">
        <f t="shared" si="1"/>
        <v>31160</v>
      </c>
      <c r="H14060" s="49">
        <f t="shared" si="2"/>
        <v>31447</v>
      </c>
    </row>
    <row r="14061">
      <c r="A14061" s="48" t="s">
        <v>16304</v>
      </c>
      <c r="B14061" s="38">
        <v>87106.0</v>
      </c>
      <c r="C14061" s="38" t="s">
        <v>18346</v>
      </c>
      <c r="D14061" s="38" t="str">
        <f>IFERROR(__xludf.DUMMYFUNCTION("REGEXREPLACE(C14061,""-\d+(.*)|--\d+(.*)"","""")"),"NEXON")</f>
        <v>NEXON</v>
      </c>
      <c r="E14061" s="38" t="s">
        <v>897</v>
      </c>
      <c r="F14061" s="38" t="s">
        <v>98</v>
      </c>
      <c r="G14061" s="49" t="str">
        <f t="shared" si="1"/>
        <v>87800</v>
      </c>
      <c r="H14061" s="49">
        <f t="shared" si="2"/>
        <v>87106</v>
      </c>
    </row>
    <row r="14062">
      <c r="A14062" s="48" t="s">
        <v>11285</v>
      </c>
      <c r="B14062" s="38" t="s">
        <v>18347</v>
      </c>
      <c r="C14062" s="38" t="s">
        <v>18348</v>
      </c>
      <c r="D14062" s="38" t="str">
        <f>IFERROR(__xludf.DUMMYFUNCTION("REGEXREPLACE(C14062,""-\d+(.*)|--\d+(.*)"","""")"),"AITI")</f>
        <v>AITI</v>
      </c>
      <c r="E14062" s="38" t="s">
        <v>743</v>
      </c>
      <c r="F14062" s="38" t="s">
        <v>607</v>
      </c>
      <c r="G14062" s="49" t="str">
        <f t="shared" si="1"/>
        <v>20244</v>
      </c>
      <c r="H14062" s="49" t="str">
        <f t="shared" si="2"/>
        <v>2B003</v>
      </c>
    </row>
    <row r="14063">
      <c r="A14063" s="48" t="s">
        <v>1298</v>
      </c>
      <c r="B14063" s="38">
        <v>38299.0</v>
      </c>
      <c r="C14063" s="38" t="s">
        <v>18349</v>
      </c>
      <c r="D14063" s="38" t="str">
        <f>IFERROR(__xludf.DUMMYFUNCTION("REGEXREPLACE(C14063,""-\d+(.*)|--\d+(.*)"","""")"),"PELLAFOL")</f>
        <v>PELLAFOL</v>
      </c>
      <c r="E14063" s="38" t="s">
        <v>101</v>
      </c>
      <c r="F14063" s="38" t="s">
        <v>102</v>
      </c>
      <c r="G14063" s="49" t="str">
        <f t="shared" si="1"/>
        <v>38970</v>
      </c>
      <c r="H14063" s="49">
        <f t="shared" si="2"/>
        <v>38299</v>
      </c>
    </row>
    <row r="14064">
      <c r="A14064" s="48" t="s">
        <v>8396</v>
      </c>
      <c r="B14064" s="38">
        <v>7088.0</v>
      </c>
      <c r="C14064" s="38" t="s">
        <v>18350</v>
      </c>
      <c r="D14064" s="38" t="str">
        <f>IFERROR(__xludf.DUMMYFUNCTION("REGEXREPLACE(C14064,""-\d+(.*)|--\d+(.*)"","""")"),"FAUGERES")</f>
        <v>FAUGERES</v>
      </c>
      <c r="E14064" s="38" t="s">
        <v>144</v>
      </c>
      <c r="F14064" s="38" t="s">
        <v>102</v>
      </c>
      <c r="G14064" s="49" t="str">
        <f t="shared" si="1"/>
        <v>07230</v>
      </c>
      <c r="H14064" s="49" t="str">
        <f t="shared" si="2"/>
        <v>07088</v>
      </c>
    </row>
    <row r="14065">
      <c r="A14065" s="48" t="s">
        <v>2067</v>
      </c>
      <c r="B14065" s="38">
        <v>18008.0</v>
      </c>
      <c r="C14065" s="38" t="s">
        <v>18351</v>
      </c>
      <c r="D14065" s="38" t="str">
        <f>IFERROR(__xludf.DUMMYFUNCTION("REGEXREPLACE(C14065,""-\d+(.*)|--\d+(.*)"","""")"),"ARCAY")</f>
        <v>ARCAY</v>
      </c>
      <c r="E14065" s="38" t="s">
        <v>504</v>
      </c>
      <c r="F14065" s="38" t="s">
        <v>123</v>
      </c>
      <c r="G14065" s="49" t="str">
        <f t="shared" si="1"/>
        <v>18340</v>
      </c>
      <c r="H14065" s="49">
        <f t="shared" si="2"/>
        <v>18008</v>
      </c>
    </row>
    <row r="14066">
      <c r="A14066" s="48" t="s">
        <v>8167</v>
      </c>
      <c r="B14066" s="38">
        <v>41014.0</v>
      </c>
      <c r="C14066" s="38" t="s">
        <v>18352</v>
      </c>
      <c r="D14066" s="38" t="str">
        <f>IFERROR(__xludf.DUMMYFUNCTION("REGEXREPLACE(C14066,""-\d+(.*)|--\d+(.*)"","""")"),"BEAUCHENE")</f>
        <v>BEAUCHENE</v>
      </c>
      <c r="E14066" s="38" t="s">
        <v>188</v>
      </c>
      <c r="F14066" s="38" t="s">
        <v>123</v>
      </c>
      <c r="G14066" s="49" t="str">
        <f t="shared" si="1"/>
        <v>41170</v>
      </c>
      <c r="H14066" s="49">
        <f t="shared" si="2"/>
        <v>41014</v>
      </c>
    </row>
    <row r="14067">
      <c r="A14067" s="48" t="s">
        <v>3212</v>
      </c>
      <c r="B14067" s="38">
        <v>64328.0</v>
      </c>
      <c r="C14067" s="38" t="s">
        <v>18353</v>
      </c>
      <c r="D14067" s="38" t="str">
        <f>IFERROR(__xludf.DUMMYFUNCTION("REGEXREPLACE(C14067,""-\d+(.*)|--\d+(.*)"","""")"),"LEDEUIX")</f>
        <v>LEDEUIX</v>
      </c>
      <c r="E14067" s="38" t="s">
        <v>268</v>
      </c>
      <c r="F14067" s="38" t="s">
        <v>252</v>
      </c>
      <c r="G14067" s="49" t="str">
        <f t="shared" si="1"/>
        <v>64400</v>
      </c>
      <c r="H14067" s="49">
        <f t="shared" si="2"/>
        <v>64328</v>
      </c>
    </row>
    <row r="14068">
      <c r="A14068" s="48" t="s">
        <v>18354</v>
      </c>
      <c r="B14068" s="38">
        <v>43251.0</v>
      </c>
      <c r="C14068" s="38" t="s">
        <v>18355</v>
      </c>
      <c r="D14068" s="38" t="str">
        <f>IFERROR(__xludf.DUMMYFUNCTION("REGEXREPLACE(C14068,""-\d+(.*)|--\d+(.*)"","""")"),"VALS-PRES-LE-PUY")</f>
        <v>VALS-PRES-LE-PUY</v>
      </c>
      <c r="E14068" s="38" t="s">
        <v>332</v>
      </c>
      <c r="F14068" s="38" t="s">
        <v>161</v>
      </c>
      <c r="G14068" s="49" t="str">
        <f t="shared" si="1"/>
        <v>43750</v>
      </c>
      <c r="H14068" s="49">
        <f t="shared" si="2"/>
        <v>43251</v>
      </c>
    </row>
    <row r="14069">
      <c r="A14069" s="48" t="s">
        <v>13750</v>
      </c>
      <c r="B14069" s="38">
        <v>79035.0</v>
      </c>
      <c r="C14069" s="38" t="s">
        <v>18356</v>
      </c>
      <c r="D14069" s="38" t="str">
        <f>IFERROR(__xludf.DUMMYFUNCTION("REGEXREPLACE(C14069,""-\d+(.*)|--\d+(.*)"","""")"),"LE BEUGNON")</f>
        <v>LE BEUGNON</v>
      </c>
      <c r="E14069" s="38" t="s">
        <v>337</v>
      </c>
      <c r="F14069" s="38" t="s">
        <v>338</v>
      </c>
      <c r="G14069" s="49" t="str">
        <f t="shared" si="1"/>
        <v>79130</v>
      </c>
      <c r="H14069" s="49">
        <f t="shared" si="2"/>
        <v>79035</v>
      </c>
    </row>
    <row r="14070">
      <c r="A14070" s="48" t="s">
        <v>474</v>
      </c>
      <c r="B14070" s="38">
        <v>76543.0</v>
      </c>
      <c r="C14070" s="38" t="s">
        <v>9820</v>
      </c>
      <c r="D14070" s="38" t="str">
        <f>IFERROR(__xludf.DUMMYFUNCTION("REGEXREPLACE(C14070,""-\d+(.*)|--\d+(.*)"","""")"),"ROUVILLE")</f>
        <v>ROUVILLE</v>
      </c>
      <c r="E14070" s="38" t="s">
        <v>133</v>
      </c>
      <c r="F14070" s="38" t="s">
        <v>134</v>
      </c>
      <c r="G14070" s="49" t="str">
        <f t="shared" si="1"/>
        <v>76210</v>
      </c>
      <c r="H14070" s="49">
        <f t="shared" si="2"/>
        <v>76543</v>
      </c>
    </row>
    <row r="14071">
      <c r="A14071" s="48" t="s">
        <v>10819</v>
      </c>
      <c r="B14071" s="38">
        <v>65331.0</v>
      </c>
      <c r="C14071" s="38" t="s">
        <v>18357</v>
      </c>
      <c r="D14071" s="38" t="str">
        <f>IFERROR(__xludf.DUMMYFUNCTION("REGEXREPLACE(C14071,""-\d+(.*)|--\d+(.*)"","""")"),"ODOS")</f>
        <v>ODOS</v>
      </c>
      <c r="E14071" s="38" t="s">
        <v>200</v>
      </c>
      <c r="F14071" s="38" t="s">
        <v>94</v>
      </c>
      <c r="G14071" s="49" t="str">
        <f t="shared" si="1"/>
        <v>65310</v>
      </c>
      <c r="H14071" s="49">
        <f t="shared" si="2"/>
        <v>65331</v>
      </c>
    </row>
    <row r="14072">
      <c r="A14072" s="48" t="s">
        <v>7712</v>
      </c>
      <c r="B14072" s="38">
        <v>9329.0</v>
      </c>
      <c r="C14072" s="38" t="s">
        <v>18358</v>
      </c>
      <c r="D14072" s="38" t="str">
        <f>IFERROR(__xludf.DUMMYFUNCTION("REGEXREPLACE(C14072,""-\d+(.*)|--\d+(.*)"","""")"),"VERNAJOUL")</f>
        <v>VERNAJOUL</v>
      </c>
      <c r="E14072" s="38" t="s">
        <v>238</v>
      </c>
      <c r="F14072" s="38" t="s">
        <v>94</v>
      </c>
      <c r="G14072" s="49" t="str">
        <f t="shared" si="1"/>
        <v>09000</v>
      </c>
      <c r="H14072" s="49" t="str">
        <f t="shared" si="2"/>
        <v>09329</v>
      </c>
    </row>
    <row r="14073">
      <c r="A14073" s="48" t="s">
        <v>5783</v>
      </c>
      <c r="B14073" s="38">
        <v>37038.0</v>
      </c>
      <c r="C14073" s="38" t="s">
        <v>18359</v>
      </c>
      <c r="D14073" s="38" t="str">
        <f>IFERROR(__xludf.DUMMYFUNCTION("REGEXREPLACE(C14073,""-\d+(.*)|--\d+(.*)"","""")"),"BREHEMONT")</f>
        <v>BREHEMONT</v>
      </c>
      <c r="E14073" s="38" t="s">
        <v>205</v>
      </c>
      <c r="F14073" s="38" t="s">
        <v>123</v>
      </c>
      <c r="G14073" s="49" t="str">
        <f t="shared" si="1"/>
        <v>37130</v>
      </c>
      <c r="H14073" s="49">
        <f t="shared" si="2"/>
        <v>37038</v>
      </c>
    </row>
    <row r="14074">
      <c r="A14074" s="48" t="s">
        <v>938</v>
      </c>
      <c r="B14074" s="38">
        <v>9038.0</v>
      </c>
      <c r="C14074" s="38" t="s">
        <v>18360</v>
      </c>
      <c r="D14074" s="38" t="str">
        <f>IFERROR(__xludf.DUMMYFUNCTION("REGEXREPLACE(C14074,""-\d+(.*)|--\d+(.*)"","""")"),"LA BASTIDE-DE-BESPLAS")</f>
        <v>LA BASTIDE-DE-BESPLAS</v>
      </c>
      <c r="E14074" s="38" t="s">
        <v>238</v>
      </c>
      <c r="F14074" s="38" t="s">
        <v>94</v>
      </c>
      <c r="G14074" s="49" t="str">
        <f t="shared" si="1"/>
        <v>09350</v>
      </c>
      <c r="H14074" s="49" t="str">
        <f t="shared" si="2"/>
        <v>09038</v>
      </c>
    </row>
    <row r="14075">
      <c r="A14075" s="48" t="s">
        <v>384</v>
      </c>
      <c r="B14075" s="38">
        <v>55298.0</v>
      </c>
      <c r="C14075" s="38" t="s">
        <v>18361</v>
      </c>
      <c r="D14075" s="38" t="str">
        <f>IFERROR(__xludf.DUMMYFUNCTION("REGEXREPLACE(C14075,""-\d+(.*)|--\d+(.*)"","""")"),"LOISEY-CULEY")</f>
        <v>LOISEY-CULEY</v>
      </c>
      <c r="E14075" s="38" t="s">
        <v>322</v>
      </c>
      <c r="F14075" s="38" t="s">
        <v>195</v>
      </c>
      <c r="G14075" s="49" t="str">
        <f t="shared" si="1"/>
        <v>55000</v>
      </c>
      <c r="H14075" s="49">
        <f t="shared" si="2"/>
        <v>55298</v>
      </c>
    </row>
    <row r="14076">
      <c r="A14076" s="48" t="s">
        <v>18362</v>
      </c>
      <c r="B14076" s="38">
        <v>67122.0</v>
      </c>
      <c r="C14076" s="38" t="s">
        <v>18363</v>
      </c>
      <c r="D14076" s="38" t="str">
        <f>IFERROR(__xludf.DUMMYFUNCTION("REGEXREPLACE(C14076,""-\d+(.*)|--\d+(.*)"","""")"),"WANGENBOURG-ENGENTHAL")</f>
        <v>WANGENBOURG-ENGENTHAL</v>
      </c>
      <c r="E14076" s="38" t="s">
        <v>210</v>
      </c>
      <c r="F14076" s="38" t="s">
        <v>151</v>
      </c>
      <c r="G14076" s="49" t="str">
        <f t="shared" si="1"/>
        <v>67710</v>
      </c>
      <c r="H14076" s="49">
        <f t="shared" si="2"/>
        <v>67122</v>
      </c>
    </row>
    <row r="14077">
      <c r="A14077" s="48" t="s">
        <v>5223</v>
      </c>
      <c r="B14077" s="38">
        <v>65178.0</v>
      </c>
      <c r="C14077" s="38" t="s">
        <v>18364</v>
      </c>
      <c r="D14077" s="38" t="str">
        <f>IFERROR(__xludf.DUMMYFUNCTION("REGEXREPLACE(C14077,""-\d+(.*)|--\d+(.*)"","""")"),"FRECHEDE")</f>
        <v>FRECHEDE</v>
      </c>
      <c r="E14077" s="38" t="s">
        <v>200</v>
      </c>
      <c r="F14077" s="38" t="s">
        <v>94</v>
      </c>
      <c r="G14077" s="49" t="str">
        <f t="shared" si="1"/>
        <v>65220</v>
      </c>
      <c r="H14077" s="49">
        <f t="shared" si="2"/>
        <v>65178</v>
      </c>
    </row>
    <row r="14078">
      <c r="A14078" s="48" t="s">
        <v>785</v>
      </c>
      <c r="B14078" s="38">
        <v>33404.0</v>
      </c>
      <c r="C14078" s="38" t="s">
        <v>18365</v>
      </c>
      <c r="D14078" s="38" t="str">
        <f>IFERROR(__xludf.DUMMYFUNCTION("REGEXREPLACE(C14078,""-\d+(.*)|--\d+(.*)"","""")"),"SAINTE-GEMME")</f>
        <v>SAINTE-GEMME</v>
      </c>
      <c r="E14078" s="38" t="s">
        <v>462</v>
      </c>
      <c r="F14078" s="38" t="s">
        <v>252</v>
      </c>
      <c r="G14078" s="49" t="str">
        <f t="shared" si="1"/>
        <v>33580</v>
      </c>
      <c r="H14078" s="49">
        <f t="shared" si="2"/>
        <v>33404</v>
      </c>
    </row>
    <row r="14079">
      <c r="A14079" s="48" t="s">
        <v>885</v>
      </c>
      <c r="B14079" s="38">
        <v>71278.0</v>
      </c>
      <c r="C14079" s="38" t="s">
        <v>13668</v>
      </c>
      <c r="D14079" s="38" t="str">
        <f>IFERROR(__xludf.DUMMYFUNCTION("REGEXREPLACE(C14079,""-\d+(.*)|--\d+(.*)"","""")"),"MARIGNY")</f>
        <v>MARIGNY</v>
      </c>
      <c r="E14079" s="38" t="s">
        <v>344</v>
      </c>
      <c r="F14079" s="38" t="s">
        <v>106</v>
      </c>
      <c r="G14079" s="49" t="str">
        <f t="shared" si="1"/>
        <v>71300</v>
      </c>
      <c r="H14079" s="49">
        <f t="shared" si="2"/>
        <v>71278</v>
      </c>
    </row>
    <row r="14080">
      <c r="A14080" s="48" t="s">
        <v>7914</v>
      </c>
      <c r="B14080" s="38">
        <v>84143.0</v>
      </c>
      <c r="C14080" s="38" t="s">
        <v>18366</v>
      </c>
      <c r="D14080" s="38" t="str">
        <f>IFERROR(__xludf.DUMMYFUNCTION("REGEXREPLACE(C14080,""-\d+(.*)|--\d+(.*)"","""")"),"VENASQUE")</f>
        <v>VENASQUE</v>
      </c>
      <c r="E14080" s="38" t="s">
        <v>1026</v>
      </c>
      <c r="F14080" s="38" t="s">
        <v>228</v>
      </c>
      <c r="G14080" s="49" t="str">
        <f t="shared" si="1"/>
        <v>84210</v>
      </c>
      <c r="H14080" s="49">
        <f t="shared" si="2"/>
        <v>84143</v>
      </c>
    </row>
    <row r="14081">
      <c r="A14081" s="48" t="s">
        <v>5020</v>
      </c>
      <c r="B14081" s="38">
        <v>51618.0</v>
      </c>
      <c r="C14081" s="38" t="s">
        <v>18367</v>
      </c>
      <c r="D14081" s="38" t="str">
        <f>IFERROR(__xludf.DUMMYFUNCTION("REGEXREPLACE(C14081,""-\d+(.*)|--\d+(.*)"","""")"),"LE VEZIER")</f>
        <v>LE VEZIER</v>
      </c>
      <c r="E14081" s="38" t="s">
        <v>129</v>
      </c>
      <c r="F14081" s="38" t="s">
        <v>130</v>
      </c>
      <c r="G14081" s="49" t="str">
        <f t="shared" si="1"/>
        <v>51210</v>
      </c>
      <c r="H14081" s="49">
        <f t="shared" si="2"/>
        <v>51618</v>
      </c>
    </row>
    <row r="14082">
      <c r="A14082" s="48" t="s">
        <v>576</v>
      </c>
      <c r="B14082" s="38">
        <v>54556.0</v>
      </c>
      <c r="C14082" s="38" t="s">
        <v>18368</v>
      </c>
      <c r="D14082" s="38" t="str">
        <f>IFERROR(__xludf.DUMMYFUNCTION("REGEXREPLACE(C14082,""-\d+(.*)|--\d+(.*)"","""")"),"VEHO")</f>
        <v>VEHO</v>
      </c>
      <c r="E14082" s="38" t="s">
        <v>548</v>
      </c>
      <c r="F14082" s="38" t="s">
        <v>195</v>
      </c>
      <c r="G14082" s="49" t="str">
        <f t="shared" si="1"/>
        <v>54450</v>
      </c>
      <c r="H14082" s="49">
        <f t="shared" si="2"/>
        <v>54556</v>
      </c>
    </row>
    <row r="14083">
      <c r="A14083" s="48" t="s">
        <v>8632</v>
      </c>
      <c r="B14083" s="38">
        <v>50503.0</v>
      </c>
      <c r="C14083" s="38" t="s">
        <v>18369</v>
      </c>
      <c r="D14083" s="38" t="str">
        <f>IFERROR(__xludf.DUMMYFUNCTION("REGEXREPLACE(C14083,""-\d+(.*)|--\d+(.*)"","""")"),"SAINT-LO-D'OURVILLE")</f>
        <v>SAINT-LO-D'OURVILLE</v>
      </c>
      <c r="E14083" s="38" t="s">
        <v>157</v>
      </c>
      <c r="F14083" s="38" t="s">
        <v>138</v>
      </c>
      <c r="G14083" s="49" t="str">
        <f t="shared" si="1"/>
        <v>50580</v>
      </c>
      <c r="H14083" s="49">
        <f t="shared" si="2"/>
        <v>50503</v>
      </c>
    </row>
    <row r="14084">
      <c r="A14084" s="48" t="s">
        <v>1518</v>
      </c>
      <c r="B14084" s="38">
        <v>88400.0</v>
      </c>
      <c r="C14084" s="38" t="s">
        <v>18370</v>
      </c>
      <c r="D14084" s="38" t="str">
        <f>IFERROR(__xludf.DUMMYFUNCTION("REGEXREPLACE(C14084,""-\d+(.*)|--\d+(.*)"","""")"),"ROUVRES-EN-XAINTOIS")</f>
        <v>ROUVRES-EN-XAINTOIS</v>
      </c>
      <c r="E14084" s="38" t="s">
        <v>194</v>
      </c>
      <c r="F14084" s="38" t="s">
        <v>195</v>
      </c>
      <c r="G14084" s="49" t="str">
        <f t="shared" si="1"/>
        <v>88500</v>
      </c>
      <c r="H14084" s="49">
        <f t="shared" si="2"/>
        <v>88400</v>
      </c>
    </row>
    <row r="14085">
      <c r="A14085" s="48" t="s">
        <v>2495</v>
      </c>
      <c r="B14085" s="38">
        <v>41061.0</v>
      </c>
      <c r="C14085" s="38" t="s">
        <v>18371</v>
      </c>
      <c r="D14085" s="38" t="str">
        <f>IFERROR(__xludf.DUMMYFUNCTION("REGEXREPLACE(C14085,""-\d+(.*)|--\d+(.*)"","""")"),"CORMERAY")</f>
        <v>CORMERAY</v>
      </c>
      <c r="E14085" s="38" t="s">
        <v>188</v>
      </c>
      <c r="F14085" s="38" t="s">
        <v>123</v>
      </c>
      <c r="G14085" s="49" t="str">
        <f t="shared" si="1"/>
        <v>41120</v>
      </c>
      <c r="H14085" s="49">
        <f t="shared" si="2"/>
        <v>41061</v>
      </c>
    </row>
    <row r="14086">
      <c r="A14086" s="48" t="s">
        <v>2538</v>
      </c>
      <c r="B14086" s="38">
        <v>12289.0</v>
      </c>
      <c r="C14086" s="38" t="s">
        <v>18372</v>
      </c>
      <c r="D14086" s="38" t="str">
        <f>IFERROR(__xludf.DUMMYFUNCTION("REGEXREPLACE(C14086,""-\d+(.*)|--\d+(.*)"","""")"),"VALZERGUES")</f>
        <v>VALZERGUES</v>
      </c>
      <c r="E14086" s="38" t="s">
        <v>465</v>
      </c>
      <c r="F14086" s="38" t="s">
        <v>94</v>
      </c>
      <c r="G14086" s="49" t="str">
        <f t="shared" si="1"/>
        <v>12220</v>
      </c>
      <c r="H14086" s="49">
        <f t="shared" si="2"/>
        <v>12289</v>
      </c>
    </row>
    <row r="14087">
      <c r="A14087" s="48" t="s">
        <v>4473</v>
      </c>
      <c r="B14087" s="38">
        <v>5100.0</v>
      </c>
      <c r="C14087" s="38" t="s">
        <v>18373</v>
      </c>
      <c r="D14087" s="38" t="str">
        <f>IFERROR(__xludf.DUMMYFUNCTION("REGEXREPLACE(C14087,""-\d+(.*)|--\d+(.*)"","""")"),"PELLEAUTIER")</f>
        <v>PELLEAUTIER</v>
      </c>
      <c r="E14087" s="38" t="s">
        <v>706</v>
      </c>
      <c r="F14087" s="38" t="s">
        <v>228</v>
      </c>
      <c r="G14087" s="49" t="str">
        <f t="shared" si="1"/>
        <v>05000</v>
      </c>
      <c r="H14087" s="49" t="str">
        <f t="shared" si="2"/>
        <v>05100</v>
      </c>
    </row>
    <row r="14088">
      <c r="A14088" s="48" t="s">
        <v>1396</v>
      </c>
      <c r="B14088" s="38">
        <v>29167.0</v>
      </c>
      <c r="C14088" s="38" t="s">
        <v>18374</v>
      </c>
      <c r="D14088" s="38" t="str">
        <f>IFERROR(__xludf.DUMMYFUNCTION("REGEXREPLACE(C14088,""-\d+(.*)|--\d+(.*)"","""")"),"PLOGASTEL-SAINT-GERMAIN")</f>
        <v>PLOGASTEL-SAINT-GERMAIN</v>
      </c>
      <c r="E14088" s="38" t="s">
        <v>176</v>
      </c>
      <c r="F14088" s="38" t="s">
        <v>90</v>
      </c>
      <c r="G14088" s="49" t="str">
        <f t="shared" si="1"/>
        <v>29710</v>
      </c>
      <c r="H14088" s="49">
        <f t="shared" si="2"/>
        <v>29167</v>
      </c>
    </row>
    <row r="14089">
      <c r="A14089" s="48" t="s">
        <v>5163</v>
      </c>
      <c r="B14089" s="38">
        <v>76097.0</v>
      </c>
      <c r="C14089" s="38" t="s">
        <v>18375</v>
      </c>
      <c r="D14089" s="38" t="str">
        <f>IFERROR(__xludf.DUMMYFUNCTION("REGEXREPLACE(C14089,""-\d+(.*)|--\d+(.*)"","""")"),"BIVILLE-LA-RIVIERE")</f>
        <v>BIVILLE-LA-RIVIERE</v>
      </c>
      <c r="E14089" s="38" t="s">
        <v>133</v>
      </c>
      <c r="F14089" s="38" t="s">
        <v>134</v>
      </c>
      <c r="G14089" s="49" t="str">
        <f t="shared" si="1"/>
        <v>76730</v>
      </c>
      <c r="H14089" s="49">
        <f t="shared" si="2"/>
        <v>76097</v>
      </c>
    </row>
    <row r="14090">
      <c r="A14090" s="48" t="s">
        <v>18376</v>
      </c>
      <c r="B14090" s="38">
        <v>62173.0</v>
      </c>
      <c r="C14090" s="38" t="s">
        <v>18377</v>
      </c>
      <c r="D14090" s="38" t="str">
        <f>IFERROR(__xludf.DUMMYFUNCTION("REGEXREPLACE(C14090,""-\d+(.*)|--\d+(.*)"","""")"),"BREBIERES")</f>
        <v>BREBIERES</v>
      </c>
      <c r="E14090" s="38" t="s">
        <v>109</v>
      </c>
      <c r="F14090" s="38" t="s">
        <v>86</v>
      </c>
      <c r="G14090" s="49" t="str">
        <f t="shared" si="1"/>
        <v>62117</v>
      </c>
      <c r="H14090" s="49">
        <f t="shared" si="2"/>
        <v>62173</v>
      </c>
    </row>
    <row r="14091">
      <c r="A14091" s="48" t="s">
        <v>5850</v>
      </c>
      <c r="B14091" s="38">
        <v>22051.0</v>
      </c>
      <c r="C14091" s="38" t="s">
        <v>18378</v>
      </c>
      <c r="D14091" s="38" t="str">
        <f>IFERROR(__xludf.DUMMYFUNCTION("REGEXREPLACE(C14091,""-\d+(.*)|--\d+(.*)"","""")"),"DOLO")</f>
        <v>DOLO</v>
      </c>
      <c r="E14091" s="38" t="s">
        <v>89</v>
      </c>
      <c r="F14091" s="38" t="s">
        <v>90</v>
      </c>
      <c r="G14091" s="49" t="str">
        <f t="shared" si="1"/>
        <v>22270</v>
      </c>
      <c r="H14091" s="49">
        <f t="shared" si="2"/>
        <v>22051</v>
      </c>
    </row>
    <row r="14092">
      <c r="A14092" s="48" t="s">
        <v>1483</v>
      </c>
      <c r="B14092" s="38">
        <v>80385.0</v>
      </c>
      <c r="C14092" s="38" t="s">
        <v>18379</v>
      </c>
      <c r="D14092" s="38" t="str">
        <f>IFERROR(__xludf.DUMMYFUNCTION("REGEXREPLACE(C14092,""-\d+(.*)|--\d+(.*)"","""")"),"GRAND-LAVIERS")</f>
        <v>GRAND-LAVIERS</v>
      </c>
      <c r="E14092" s="38" t="s">
        <v>224</v>
      </c>
      <c r="F14092" s="38" t="s">
        <v>113</v>
      </c>
      <c r="G14092" s="49" t="str">
        <f t="shared" si="1"/>
        <v>80132</v>
      </c>
      <c r="H14092" s="49">
        <f t="shared" si="2"/>
        <v>80385</v>
      </c>
    </row>
    <row r="14093">
      <c r="A14093" s="48" t="s">
        <v>1327</v>
      </c>
      <c r="B14093" s="38">
        <v>51020.0</v>
      </c>
      <c r="C14093" s="38" t="s">
        <v>18380</v>
      </c>
      <c r="D14093" s="38" t="str">
        <f>IFERROR(__xludf.DUMMYFUNCTION("REGEXREPLACE(C14093,""-\d+(.*)|--\d+(.*)"","""")"),"AUBILLY")</f>
        <v>AUBILLY</v>
      </c>
      <c r="E14093" s="38" t="s">
        <v>129</v>
      </c>
      <c r="F14093" s="38" t="s">
        <v>130</v>
      </c>
      <c r="G14093" s="49" t="str">
        <f t="shared" si="1"/>
        <v>51170</v>
      </c>
      <c r="H14093" s="49">
        <f t="shared" si="2"/>
        <v>51020</v>
      </c>
    </row>
    <row r="14094">
      <c r="A14094" s="48" t="s">
        <v>14353</v>
      </c>
      <c r="B14094" s="38">
        <v>40304.0</v>
      </c>
      <c r="C14094" s="38" t="s">
        <v>18381</v>
      </c>
      <c r="D14094" s="38" t="str">
        <f>IFERROR(__xludf.DUMMYFUNCTION("REGEXREPLACE(C14094,""-\d+(.*)|--\d+(.*)"","""")"),"SOORTS-HOSSEGOR")</f>
        <v>SOORTS-HOSSEGOR</v>
      </c>
      <c r="E14094" s="38" t="s">
        <v>281</v>
      </c>
      <c r="F14094" s="38" t="s">
        <v>252</v>
      </c>
      <c r="G14094" s="49" t="str">
        <f t="shared" si="1"/>
        <v>40150</v>
      </c>
      <c r="H14094" s="49">
        <f t="shared" si="2"/>
        <v>40304</v>
      </c>
    </row>
    <row r="14095">
      <c r="A14095" s="48" t="s">
        <v>14076</v>
      </c>
      <c r="B14095" s="38">
        <v>7063.0</v>
      </c>
      <c r="C14095" s="38" t="s">
        <v>18382</v>
      </c>
      <c r="D14095" s="38" t="str">
        <f>IFERROR(__xludf.DUMMYFUNCTION("REGEXREPLACE(C14095,""-\d+(.*)|--\d+(.*)"","""")"),"CHEMINAS")</f>
        <v>CHEMINAS</v>
      </c>
      <c r="E14095" s="38" t="s">
        <v>144</v>
      </c>
      <c r="F14095" s="38" t="s">
        <v>102</v>
      </c>
      <c r="G14095" s="49" t="str">
        <f t="shared" si="1"/>
        <v>07300</v>
      </c>
      <c r="H14095" s="49" t="str">
        <f t="shared" si="2"/>
        <v>07063</v>
      </c>
    </row>
    <row r="14096">
      <c r="A14096" s="48" t="s">
        <v>1728</v>
      </c>
      <c r="B14096" s="38">
        <v>45170.0</v>
      </c>
      <c r="C14096" s="38" t="s">
        <v>18383</v>
      </c>
      <c r="D14096" s="38" t="str">
        <f>IFERROR(__xludf.DUMMYFUNCTION("REGEXREPLACE(C14096,""-\d+(.*)|--\d+(.*)"","""")"),"INTVILLE-LA-GUETARD")</f>
        <v>INTVILLE-LA-GUETARD</v>
      </c>
      <c r="E14096" s="38" t="s">
        <v>122</v>
      </c>
      <c r="F14096" s="38" t="s">
        <v>123</v>
      </c>
      <c r="G14096" s="49" t="str">
        <f t="shared" si="1"/>
        <v>45300</v>
      </c>
      <c r="H14096" s="49">
        <f t="shared" si="2"/>
        <v>45170</v>
      </c>
    </row>
    <row r="14097">
      <c r="A14097" s="48" t="s">
        <v>6285</v>
      </c>
      <c r="B14097" s="38">
        <v>16264.0</v>
      </c>
      <c r="C14097" s="38" t="s">
        <v>18384</v>
      </c>
      <c r="D14097" s="38" t="str">
        <f>IFERROR(__xludf.DUMMYFUNCTION("REGEXREPLACE(C14097,""-\d+(.*)|--\d+(.*)"","""")"),"PLEUVILLE")</f>
        <v>PLEUVILLE</v>
      </c>
      <c r="E14097" s="38" t="s">
        <v>429</v>
      </c>
      <c r="F14097" s="38" t="s">
        <v>338</v>
      </c>
      <c r="G14097" s="49" t="str">
        <f t="shared" si="1"/>
        <v>16490</v>
      </c>
      <c r="H14097" s="49">
        <f t="shared" si="2"/>
        <v>16264</v>
      </c>
    </row>
    <row r="14098">
      <c r="A14098" s="48" t="s">
        <v>10536</v>
      </c>
      <c r="B14098" s="38">
        <v>72088.0</v>
      </c>
      <c r="C14098" s="38" t="s">
        <v>18385</v>
      </c>
      <c r="D14098" s="38" t="str">
        <f>IFERROR(__xludf.DUMMYFUNCTION("REGEXREPLACE(C14098,""-\d+(.*)|--\d+(.*)"","""")"),"CONGE-SUR-ORNE")</f>
        <v>CONGE-SUR-ORNE</v>
      </c>
      <c r="E14098" s="38" t="s">
        <v>521</v>
      </c>
      <c r="F14098" s="38" t="s">
        <v>180</v>
      </c>
      <c r="G14098" s="49" t="str">
        <f t="shared" si="1"/>
        <v>72290</v>
      </c>
      <c r="H14098" s="49">
        <f t="shared" si="2"/>
        <v>72088</v>
      </c>
    </row>
    <row r="14099">
      <c r="A14099" s="48" t="s">
        <v>2848</v>
      </c>
      <c r="B14099" s="38">
        <v>51247.0</v>
      </c>
      <c r="C14099" s="38" t="s">
        <v>18386</v>
      </c>
      <c r="D14099" s="38" t="str">
        <f>IFERROR(__xludf.DUMMYFUNCTION("REGEXREPLACE(C14099,""-\d+(.*)|--\d+(.*)"","""")"),"FEREBRIANGES")</f>
        <v>FEREBRIANGES</v>
      </c>
      <c r="E14099" s="38" t="s">
        <v>129</v>
      </c>
      <c r="F14099" s="38" t="s">
        <v>130</v>
      </c>
      <c r="G14099" s="49" t="str">
        <f t="shared" si="1"/>
        <v>51270</v>
      </c>
      <c r="H14099" s="49">
        <f t="shared" si="2"/>
        <v>51247</v>
      </c>
    </row>
    <row r="14100">
      <c r="A14100" s="48" t="s">
        <v>1905</v>
      </c>
      <c r="B14100" s="38">
        <v>29262.0</v>
      </c>
      <c r="C14100" s="38" t="s">
        <v>4403</v>
      </c>
      <c r="D14100" s="38" t="str">
        <f>IFERROR(__xludf.DUMMYFUNCTION("REGEXREPLACE(C14100,""-\d+(.*)|--\d+(.*)"","""")"),"SAINT-SAUVEUR")</f>
        <v>SAINT-SAUVEUR</v>
      </c>
      <c r="E14100" s="38" t="s">
        <v>176</v>
      </c>
      <c r="F14100" s="38" t="s">
        <v>90</v>
      </c>
      <c r="G14100" s="49" t="str">
        <f t="shared" si="1"/>
        <v>29400</v>
      </c>
      <c r="H14100" s="49">
        <f t="shared" si="2"/>
        <v>29262</v>
      </c>
    </row>
    <row r="14101">
      <c r="A14101" s="48" t="s">
        <v>18387</v>
      </c>
      <c r="B14101" s="38">
        <v>69387.0</v>
      </c>
      <c r="C14101" s="38" t="s">
        <v>18388</v>
      </c>
      <c r="D14101" s="38" t="str">
        <f>IFERROR(__xludf.DUMMYFUNCTION("REGEXREPLACE(C14101,""-\d+(.*)|--\d+(.*)"","""")"),"LYON")</f>
        <v>LYON</v>
      </c>
      <c r="E14101" s="38" t="s">
        <v>350</v>
      </c>
      <c r="F14101" s="38" t="s">
        <v>102</v>
      </c>
      <c r="G14101" s="49" t="str">
        <f t="shared" si="1"/>
        <v>69007</v>
      </c>
      <c r="H14101" s="49">
        <f t="shared" si="2"/>
        <v>69387</v>
      </c>
    </row>
    <row r="14102">
      <c r="A14102" s="48" t="s">
        <v>1000</v>
      </c>
      <c r="B14102" s="38">
        <v>70213.0</v>
      </c>
      <c r="C14102" s="38" t="s">
        <v>18389</v>
      </c>
      <c r="D14102" s="38" t="str">
        <f>IFERROR(__xludf.DUMMYFUNCTION("REGEXREPLACE(C14102,""-\d+(.*)|--\d+(.*)"","""")"),"EHUNS")</f>
        <v>EHUNS</v>
      </c>
      <c r="E14102" s="38" t="s">
        <v>956</v>
      </c>
      <c r="F14102" s="38" t="s">
        <v>214</v>
      </c>
      <c r="G14102" s="49" t="str">
        <f t="shared" si="1"/>
        <v>70300</v>
      </c>
      <c r="H14102" s="49">
        <f t="shared" si="2"/>
        <v>70213</v>
      </c>
    </row>
    <row r="14103">
      <c r="A14103" s="48" t="s">
        <v>968</v>
      </c>
      <c r="B14103" s="38">
        <v>16295.0</v>
      </c>
      <c r="C14103" s="38" t="s">
        <v>18390</v>
      </c>
      <c r="D14103" s="38" t="str">
        <f>IFERROR(__xludf.DUMMYFUNCTION("REGEXREPLACE(C14103,""-\d+(.*)|--\d+(.*)"","""")"),"SAINT-AMANT-DE-BOIXE")</f>
        <v>SAINT-AMANT-DE-BOIXE</v>
      </c>
      <c r="E14103" s="38" t="s">
        <v>429</v>
      </c>
      <c r="F14103" s="38" t="s">
        <v>338</v>
      </c>
      <c r="G14103" s="49" t="str">
        <f t="shared" si="1"/>
        <v>16330</v>
      </c>
      <c r="H14103" s="49">
        <f t="shared" si="2"/>
        <v>16295</v>
      </c>
    </row>
    <row r="14104">
      <c r="A14104" s="48" t="s">
        <v>480</v>
      </c>
      <c r="B14104" s="38">
        <v>3024.0</v>
      </c>
      <c r="C14104" s="38" t="s">
        <v>18391</v>
      </c>
      <c r="D14104" s="38" t="str">
        <f>IFERROR(__xludf.DUMMYFUNCTION("REGEXREPLACE(C14104,""-\d+(.*)|--\d+(.*)"","""")"),"BERT")</f>
        <v>BERT</v>
      </c>
      <c r="E14104" s="38" t="s">
        <v>160</v>
      </c>
      <c r="F14104" s="38" t="s">
        <v>161</v>
      </c>
      <c r="G14104" s="49" t="str">
        <f t="shared" si="1"/>
        <v>03130</v>
      </c>
      <c r="H14104" s="49" t="str">
        <f t="shared" si="2"/>
        <v>03024</v>
      </c>
    </row>
    <row r="14105">
      <c r="A14105" s="48" t="s">
        <v>18392</v>
      </c>
      <c r="B14105" s="38">
        <v>63136.0</v>
      </c>
      <c r="C14105" s="38" t="s">
        <v>18393</v>
      </c>
      <c r="D14105" s="38" t="str">
        <f>IFERROR(__xludf.DUMMYFUNCTION("REGEXREPLACE(C14105,""-\d+(.*)|--\d+(.*)"","""")"),"DOMAIZE")</f>
        <v>DOMAIZE</v>
      </c>
      <c r="E14105" s="38" t="s">
        <v>353</v>
      </c>
      <c r="F14105" s="38" t="s">
        <v>161</v>
      </c>
      <c r="G14105" s="49" t="str">
        <f t="shared" si="1"/>
        <v>63520</v>
      </c>
      <c r="H14105" s="49">
        <f t="shared" si="2"/>
        <v>63136</v>
      </c>
    </row>
    <row r="14106">
      <c r="A14106" s="48" t="s">
        <v>11949</v>
      </c>
      <c r="B14106" s="38">
        <v>45089.0</v>
      </c>
      <c r="C14106" s="38" t="s">
        <v>18394</v>
      </c>
      <c r="D14106" s="38" t="str">
        <f>IFERROR(__xludf.DUMMYFUNCTION("REGEXREPLACE(C14106,""-\d+(.*)|--\d+(.*)"","""")"),"CHECY")</f>
        <v>CHECY</v>
      </c>
      <c r="E14106" s="38" t="s">
        <v>122</v>
      </c>
      <c r="F14106" s="38" t="s">
        <v>123</v>
      </c>
      <c r="G14106" s="49" t="str">
        <f t="shared" si="1"/>
        <v>45430</v>
      </c>
      <c r="H14106" s="49">
        <f t="shared" si="2"/>
        <v>45089</v>
      </c>
    </row>
    <row r="14107">
      <c r="A14107" s="48" t="s">
        <v>11712</v>
      </c>
      <c r="B14107" s="38">
        <v>58200.0</v>
      </c>
      <c r="C14107" s="38" t="s">
        <v>18395</v>
      </c>
      <c r="D14107" s="38" t="str">
        <f>IFERROR(__xludf.DUMMYFUNCTION("REGEXREPLACE(C14107,""-\d+(.*)|--\d+(.*)"","""")"),"OUAGNE")</f>
        <v>OUAGNE</v>
      </c>
      <c r="E14107" s="38" t="s">
        <v>219</v>
      </c>
      <c r="F14107" s="38" t="s">
        <v>106</v>
      </c>
      <c r="G14107" s="49" t="str">
        <f t="shared" si="1"/>
        <v>58500</v>
      </c>
      <c r="H14107" s="49">
        <f t="shared" si="2"/>
        <v>58200</v>
      </c>
    </row>
    <row r="14108">
      <c r="A14108" s="48" t="s">
        <v>2960</v>
      </c>
      <c r="B14108" s="38">
        <v>86151.0</v>
      </c>
      <c r="C14108" s="38" t="s">
        <v>18396</v>
      </c>
      <c r="D14108" s="38" t="str">
        <f>IFERROR(__xludf.DUMMYFUNCTION("REGEXREPLACE(C14108,""-\d+(.*)|--\d+(.*)"","""")"),"MAULAY")</f>
        <v>MAULAY</v>
      </c>
      <c r="E14108" s="38" t="s">
        <v>529</v>
      </c>
      <c r="F14108" s="38" t="s">
        <v>338</v>
      </c>
      <c r="G14108" s="49" t="str">
        <f t="shared" si="1"/>
        <v>86200</v>
      </c>
      <c r="H14108" s="49">
        <f t="shared" si="2"/>
        <v>86151</v>
      </c>
    </row>
    <row r="14109">
      <c r="A14109" s="48" t="s">
        <v>3315</v>
      </c>
      <c r="B14109" s="38">
        <v>12039.0</v>
      </c>
      <c r="C14109" s="38" t="s">
        <v>18397</v>
      </c>
      <c r="D14109" s="38" t="str">
        <f>IFERROR(__xludf.DUMMYFUNCTION("REGEXREPLACE(C14109,""-\d+(.*)|--\d+(.*)"","""")"),"BRUSQUE")</f>
        <v>BRUSQUE</v>
      </c>
      <c r="E14109" s="38" t="s">
        <v>465</v>
      </c>
      <c r="F14109" s="38" t="s">
        <v>94</v>
      </c>
      <c r="G14109" s="49" t="str">
        <f t="shared" si="1"/>
        <v>12360</v>
      </c>
      <c r="H14109" s="49">
        <f t="shared" si="2"/>
        <v>12039</v>
      </c>
    </row>
    <row r="14110">
      <c r="A14110" s="48" t="s">
        <v>9152</v>
      </c>
      <c r="B14110" s="38">
        <v>37066.0</v>
      </c>
      <c r="C14110" s="38" t="s">
        <v>18398</v>
      </c>
      <c r="D14110" s="38" t="str">
        <f>IFERROR(__xludf.DUMMYFUNCTION("REGEXREPLACE(C14110,""-\d+(.*)|--\d+(.*)"","""")"),"CHEDIGNY")</f>
        <v>CHEDIGNY</v>
      </c>
      <c r="E14110" s="38" t="s">
        <v>205</v>
      </c>
      <c r="F14110" s="38" t="s">
        <v>123</v>
      </c>
      <c r="G14110" s="49" t="str">
        <f t="shared" si="1"/>
        <v>37310</v>
      </c>
      <c r="H14110" s="49">
        <f t="shared" si="2"/>
        <v>37066</v>
      </c>
    </row>
    <row r="14111">
      <c r="A14111" s="48" t="s">
        <v>11525</v>
      </c>
      <c r="B14111" s="38">
        <v>58109.0</v>
      </c>
      <c r="C14111" s="38" t="s">
        <v>18399</v>
      </c>
      <c r="D14111" s="38" t="str">
        <f>IFERROR(__xludf.DUMMYFUNCTION("REGEXREPLACE(C14111,""-\d+(.*)|--\d+(.*)"","""")"),"ENTRAINS-SUR-NOHAIN")</f>
        <v>ENTRAINS-SUR-NOHAIN</v>
      </c>
      <c r="E14111" s="38" t="s">
        <v>219</v>
      </c>
      <c r="F14111" s="38" t="s">
        <v>106</v>
      </c>
      <c r="G14111" s="49" t="str">
        <f t="shared" si="1"/>
        <v>58410</v>
      </c>
      <c r="H14111" s="49">
        <f t="shared" si="2"/>
        <v>58109</v>
      </c>
    </row>
    <row r="14112">
      <c r="A14112" s="48" t="s">
        <v>1452</v>
      </c>
      <c r="B14112" s="38">
        <v>55307.0</v>
      </c>
      <c r="C14112" s="38" t="s">
        <v>18400</v>
      </c>
      <c r="D14112" s="38" t="str">
        <f>IFERROR(__xludf.DUMMYFUNCTION("REGEXREPLACE(C14112,""-\d+(.*)|--\d+(.*)"","""")"),"LOUVEMONT-COTE-DU-POIVRE")</f>
        <v>LOUVEMONT-COTE-DU-POIVRE</v>
      </c>
      <c r="E14112" s="38" t="s">
        <v>322</v>
      </c>
      <c r="F14112" s="38" t="s">
        <v>195</v>
      </c>
      <c r="G14112" s="49" t="str">
        <f t="shared" si="1"/>
        <v>55100</v>
      </c>
      <c r="H14112" s="49">
        <f t="shared" si="2"/>
        <v>55307</v>
      </c>
    </row>
    <row r="14113">
      <c r="A14113" s="48" t="s">
        <v>18401</v>
      </c>
      <c r="B14113" s="38">
        <v>78208.0</v>
      </c>
      <c r="C14113" s="38" t="s">
        <v>18402</v>
      </c>
      <c r="D14113" s="38" t="str">
        <f>IFERROR(__xludf.DUMMYFUNCTION("REGEXREPLACE(C14113,""-\d+(.*)|--\d+(.*)"","""")"),"ELANCOURT")</f>
        <v>ELANCOURT</v>
      </c>
      <c r="E14113" s="38" t="s">
        <v>362</v>
      </c>
      <c r="F14113" s="38" t="s">
        <v>245</v>
      </c>
      <c r="G14113" s="49" t="str">
        <f t="shared" si="1"/>
        <v>78990</v>
      </c>
      <c r="H14113" s="49">
        <f t="shared" si="2"/>
        <v>78208</v>
      </c>
    </row>
    <row r="14114">
      <c r="A14114" s="48" t="s">
        <v>2047</v>
      </c>
      <c r="B14114" s="38">
        <v>62855.0</v>
      </c>
      <c r="C14114" s="38" t="s">
        <v>18403</v>
      </c>
      <c r="D14114" s="38" t="str">
        <f>IFERROR(__xludf.DUMMYFUNCTION("REGEXREPLACE(C14114,""-\d+(.*)|--\d+(.*)"","""")"),"VILLERS-AU-FLOS")</f>
        <v>VILLERS-AU-FLOS</v>
      </c>
      <c r="E14114" s="38" t="s">
        <v>109</v>
      </c>
      <c r="F14114" s="38" t="s">
        <v>86</v>
      </c>
      <c r="G14114" s="49" t="str">
        <f t="shared" si="1"/>
        <v>62450</v>
      </c>
      <c r="H14114" s="49">
        <f t="shared" si="2"/>
        <v>62855</v>
      </c>
    </row>
    <row r="14115">
      <c r="A14115" s="48" t="s">
        <v>7332</v>
      </c>
      <c r="B14115" s="38">
        <v>24558.0</v>
      </c>
      <c r="C14115" s="38" t="s">
        <v>18404</v>
      </c>
      <c r="D14115" s="38" t="str">
        <f>IFERROR(__xludf.DUMMYFUNCTION("REGEXREPLACE(C14115,""-\d+(.*)|--\d+(.*)"","""")"),"TREMOLAT")</f>
        <v>TREMOLAT</v>
      </c>
      <c r="E14115" s="38" t="s">
        <v>261</v>
      </c>
      <c r="F14115" s="38" t="s">
        <v>252</v>
      </c>
      <c r="G14115" s="49" t="str">
        <f t="shared" si="1"/>
        <v>24510</v>
      </c>
      <c r="H14115" s="49">
        <f t="shared" si="2"/>
        <v>24558</v>
      </c>
    </row>
    <row r="14116">
      <c r="A14116" s="48" t="s">
        <v>1911</v>
      </c>
      <c r="B14116" s="38">
        <v>85003.0</v>
      </c>
      <c r="C14116" s="38" t="s">
        <v>18405</v>
      </c>
      <c r="D14116" s="38" t="str">
        <f>IFERROR(__xludf.DUMMYFUNCTION("REGEXREPLACE(C14116,""-\d+(.*)|--\d+(.*)"","""")"),"AIZENAY")</f>
        <v>AIZENAY</v>
      </c>
      <c r="E14116" s="38" t="s">
        <v>179</v>
      </c>
      <c r="F14116" s="38" t="s">
        <v>180</v>
      </c>
      <c r="G14116" s="49" t="str">
        <f t="shared" si="1"/>
        <v>85190</v>
      </c>
      <c r="H14116" s="49">
        <f t="shared" si="2"/>
        <v>85003</v>
      </c>
    </row>
    <row r="14117">
      <c r="A14117" s="48" t="s">
        <v>8414</v>
      </c>
      <c r="B14117" s="38">
        <v>60400.0</v>
      </c>
      <c r="C14117" s="38" t="s">
        <v>18406</v>
      </c>
      <c r="D14117" s="38" t="str">
        <f>IFERROR(__xludf.DUMMYFUNCTION("REGEXREPLACE(C14117,""-\d+(.*)|--\d+(.*)"","""")"),"LE MESNIL-SUR-BULLES")</f>
        <v>LE MESNIL-SUR-BULLES</v>
      </c>
      <c r="E14117" s="38" t="s">
        <v>112</v>
      </c>
      <c r="F14117" s="38" t="s">
        <v>113</v>
      </c>
      <c r="G14117" s="49" t="str">
        <f t="shared" si="1"/>
        <v>60130</v>
      </c>
      <c r="H14117" s="49">
        <f t="shared" si="2"/>
        <v>60400</v>
      </c>
    </row>
    <row r="14118">
      <c r="A14118" s="48" t="s">
        <v>10533</v>
      </c>
      <c r="B14118" s="38">
        <v>87186.0</v>
      </c>
      <c r="C14118" s="38" t="s">
        <v>18407</v>
      </c>
      <c r="D14118" s="38" t="str">
        <f>IFERROR(__xludf.DUMMYFUNCTION("REGEXREPLACE(C14118,""-\d+(.*)|--\d+(.*)"","""")"),"SAINT-VITTE-SUR-BRIANCE")</f>
        <v>SAINT-VITTE-SUR-BRIANCE</v>
      </c>
      <c r="E14118" s="38" t="s">
        <v>897</v>
      </c>
      <c r="F14118" s="38" t="s">
        <v>98</v>
      </c>
      <c r="G14118" s="49" t="str">
        <f t="shared" si="1"/>
        <v>87380</v>
      </c>
      <c r="H14118" s="49">
        <f t="shared" si="2"/>
        <v>87186</v>
      </c>
    </row>
    <row r="14119">
      <c r="A14119" s="48" t="s">
        <v>6773</v>
      </c>
      <c r="B14119" s="38">
        <v>48169.0</v>
      </c>
      <c r="C14119" s="38" t="s">
        <v>18408</v>
      </c>
      <c r="D14119" s="38" t="str">
        <f>IFERROR(__xludf.DUMMYFUNCTION("REGEXREPLACE(C14119,""-\d+(.*)|--\d+(.*)"","""")"),"SAINT-LEGER-DU-MALZIEU")</f>
        <v>SAINT-LEGER-DU-MALZIEU</v>
      </c>
      <c r="E14119" s="38" t="s">
        <v>154</v>
      </c>
      <c r="F14119" s="38" t="s">
        <v>119</v>
      </c>
      <c r="G14119" s="49" t="str">
        <f t="shared" si="1"/>
        <v>48140</v>
      </c>
      <c r="H14119" s="49">
        <f t="shared" si="2"/>
        <v>48169</v>
      </c>
    </row>
    <row r="14120">
      <c r="A14120" s="48" t="s">
        <v>9594</v>
      </c>
      <c r="B14120" s="38">
        <v>44112.0</v>
      </c>
      <c r="C14120" s="38" t="s">
        <v>18409</v>
      </c>
      <c r="D14120" s="38" t="str">
        <f>IFERROR(__xludf.DUMMYFUNCTION("REGEXREPLACE(C14120,""-\d+(.*)|--\d+(.*)"","""")"),"NOYAL-SUR-BRUTZ")</f>
        <v>NOYAL-SUR-BRUTZ</v>
      </c>
      <c r="E14120" s="38" t="s">
        <v>759</v>
      </c>
      <c r="F14120" s="38" t="s">
        <v>180</v>
      </c>
      <c r="G14120" s="49" t="str">
        <f t="shared" si="1"/>
        <v>44110</v>
      </c>
      <c r="H14120" s="49">
        <f t="shared" si="2"/>
        <v>44112</v>
      </c>
    </row>
    <row r="14121">
      <c r="A14121" s="48" t="s">
        <v>15644</v>
      </c>
      <c r="B14121" s="38">
        <v>56054.0</v>
      </c>
      <c r="C14121" s="38" t="s">
        <v>18410</v>
      </c>
      <c r="D14121" s="38" t="str">
        <f>IFERROR(__xludf.DUMMYFUNCTION("REGEXREPLACE(C14121,""-\d+(.*)|--\d+(.*)"","""")"),"ERDEVEN")</f>
        <v>ERDEVEN</v>
      </c>
      <c r="E14121" s="38" t="s">
        <v>173</v>
      </c>
      <c r="F14121" s="38" t="s">
        <v>90</v>
      </c>
      <c r="G14121" s="49" t="str">
        <f t="shared" si="1"/>
        <v>56410</v>
      </c>
      <c r="H14121" s="49">
        <f t="shared" si="2"/>
        <v>56054</v>
      </c>
    </row>
    <row r="14122">
      <c r="A14122" s="48" t="s">
        <v>7657</v>
      </c>
      <c r="B14122" s="38">
        <v>80055.0</v>
      </c>
      <c r="C14122" s="38" t="s">
        <v>2647</v>
      </c>
      <c r="D14122" s="38" t="str">
        <f>IFERROR(__xludf.DUMMYFUNCTION("REGEXREPLACE(C14122,""-\d+(.*)|--\d+(.*)"","""")"),"BARLY")</f>
        <v>BARLY</v>
      </c>
      <c r="E14122" s="38" t="s">
        <v>224</v>
      </c>
      <c r="F14122" s="38" t="s">
        <v>113</v>
      </c>
      <c r="G14122" s="49" t="str">
        <f t="shared" si="1"/>
        <v>80600</v>
      </c>
      <c r="H14122" s="49">
        <f t="shared" si="2"/>
        <v>80055</v>
      </c>
    </row>
    <row r="14123">
      <c r="A14123" s="48" t="s">
        <v>3955</v>
      </c>
      <c r="B14123" s="38">
        <v>62683.0</v>
      </c>
      <c r="C14123" s="38" t="s">
        <v>18411</v>
      </c>
      <c r="D14123" s="38" t="str">
        <f>IFERROR(__xludf.DUMMYFUNCTION("REGEXREPLACE(C14123,""-\d+(.*)|--\d+(.*)"","""")"),"QUOEUX-HAUT-MAINIL")</f>
        <v>QUOEUX-HAUT-MAINIL</v>
      </c>
      <c r="E14123" s="38" t="s">
        <v>109</v>
      </c>
      <c r="F14123" s="38" t="s">
        <v>86</v>
      </c>
      <c r="G14123" s="49" t="str">
        <f t="shared" si="1"/>
        <v>62390</v>
      </c>
      <c r="H14123" s="49">
        <f t="shared" si="2"/>
        <v>62683</v>
      </c>
    </row>
    <row r="14124">
      <c r="A14124" s="48" t="s">
        <v>18412</v>
      </c>
      <c r="B14124" s="38">
        <v>82131.0</v>
      </c>
      <c r="C14124" s="38" t="s">
        <v>18413</v>
      </c>
      <c r="D14124" s="38" t="str">
        <f>IFERROR(__xludf.DUMMYFUNCTION("REGEXREPLACE(C14124,""-\d+(.*)|--\d+(.*)"","""")"),"MONTPEZAT-DE-QUERCY")</f>
        <v>MONTPEZAT-DE-QUERCY</v>
      </c>
      <c r="E14124" s="38" t="s">
        <v>570</v>
      </c>
      <c r="F14124" s="38" t="s">
        <v>94</v>
      </c>
      <c r="G14124" s="49" t="str">
        <f t="shared" si="1"/>
        <v>82270</v>
      </c>
      <c r="H14124" s="49">
        <f t="shared" si="2"/>
        <v>82131</v>
      </c>
    </row>
    <row r="14125">
      <c r="A14125" s="48" t="s">
        <v>3071</v>
      </c>
      <c r="B14125" s="38">
        <v>59584.0</v>
      </c>
      <c r="C14125" s="38" t="s">
        <v>18414</v>
      </c>
      <c r="D14125" s="38" t="str">
        <f>IFERROR(__xludf.DUMMYFUNCTION("REGEXREPLACE(C14125,""-\d+(.*)|--\d+(.*)"","""")"),"TAISNIERES-SUR-HON")</f>
        <v>TAISNIERES-SUR-HON</v>
      </c>
      <c r="E14125" s="38" t="s">
        <v>85</v>
      </c>
      <c r="F14125" s="38" t="s">
        <v>86</v>
      </c>
      <c r="G14125" s="49" t="str">
        <f t="shared" si="1"/>
        <v>59570</v>
      </c>
      <c r="H14125" s="49">
        <f t="shared" si="2"/>
        <v>59584</v>
      </c>
    </row>
    <row r="14126">
      <c r="A14126" s="48" t="s">
        <v>1174</v>
      </c>
      <c r="B14126" s="38">
        <v>51156.0</v>
      </c>
      <c r="C14126" s="38" t="s">
        <v>18415</v>
      </c>
      <c r="D14126" s="38" t="str">
        <f>IFERROR(__xludf.DUMMYFUNCTION("REGEXREPLACE(C14126,""-\d+(.*)|--\d+(.*)"","""")"),"CLOYES-SUR-MARNE")</f>
        <v>CLOYES-SUR-MARNE</v>
      </c>
      <c r="E14126" s="38" t="s">
        <v>129</v>
      </c>
      <c r="F14126" s="38" t="s">
        <v>130</v>
      </c>
      <c r="G14126" s="49" t="str">
        <f t="shared" si="1"/>
        <v>51300</v>
      </c>
      <c r="H14126" s="49">
        <f t="shared" si="2"/>
        <v>51156</v>
      </c>
    </row>
    <row r="14127">
      <c r="A14127" s="48" t="s">
        <v>1420</v>
      </c>
      <c r="B14127" s="38">
        <v>4141.0</v>
      </c>
      <c r="C14127" s="38" t="s">
        <v>18416</v>
      </c>
      <c r="D14127" s="38" t="str">
        <f>IFERROR(__xludf.DUMMYFUNCTION("REGEXREPLACE(C14127,""-\d+(.*)|--\d+(.*)"","""")"),"ONGLES")</f>
        <v>ONGLES</v>
      </c>
      <c r="E14127" s="38" t="s">
        <v>662</v>
      </c>
      <c r="F14127" s="38" t="s">
        <v>228</v>
      </c>
      <c r="G14127" s="49" t="str">
        <f t="shared" si="1"/>
        <v>04230</v>
      </c>
      <c r="H14127" s="49" t="str">
        <f t="shared" si="2"/>
        <v>04141</v>
      </c>
    </row>
    <row r="14128">
      <c r="A14128" s="48" t="s">
        <v>10939</v>
      </c>
      <c r="B14128" s="38">
        <v>77286.0</v>
      </c>
      <c r="C14128" s="38" t="s">
        <v>18417</v>
      </c>
      <c r="D14128" s="38" t="str">
        <f>IFERROR(__xludf.DUMMYFUNCTION("REGEXREPLACE(C14128,""-\d+(.*)|--\d+(.*)"","""")"),"MEIGNEUX")</f>
        <v>MEIGNEUX</v>
      </c>
      <c r="E14128" s="38" t="s">
        <v>244</v>
      </c>
      <c r="F14128" s="38" t="s">
        <v>245</v>
      </c>
      <c r="G14128" s="49" t="str">
        <f t="shared" si="1"/>
        <v>77520</v>
      </c>
      <c r="H14128" s="49">
        <f t="shared" si="2"/>
        <v>77286</v>
      </c>
    </row>
    <row r="14129">
      <c r="A14129" s="48" t="s">
        <v>232</v>
      </c>
      <c r="B14129" s="38">
        <v>52384.0</v>
      </c>
      <c r="C14129" s="38" t="s">
        <v>18418</v>
      </c>
      <c r="D14129" s="38" t="str">
        <f>IFERROR(__xludf.DUMMYFUNCTION("REGEXREPLACE(C14129,""-\d+(.*)|--\d+(.*)"","""")"),"PERROGNEY-LES-FONTAINES")</f>
        <v>PERROGNEY-LES-FONTAINES</v>
      </c>
      <c r="E14129" s="38" t="s">
        <v>234</v>
      </c>
      <c r="F14129" s="38" t="s">
        <v>130</v>
      </c>
      <c r="G14129" s="49" t="str">
        <f t="shared" si="1"/>
        <v>52160</v>
      </c>
      <c r="H14129" s="49">
        <f t="shared" si="2"/>
        <v>52384</v>
      </c>
    </row>
    <row r="14130">
      <c r="A14130" s="48" t="s">
        <v>3800</v>
      </c>
      <c r="B14130" s="38">
        <v>35046.0</v>
      </c>
      <c r="C14130" s="38" t="s">
        <v>18419</v>
      </c>
      <c r="D14130" s="38" t="str">
        <f>IFERROR(__xludf.DUMMYFUNCTION("REGEXREPLACE(C14130,""-\d+(.*)|--\d+(.*)"","""")"),"LES BRULAIS")</f>
        <v>LES BRULAIS</v>
      </c>
      <c r="E14130" s="38" t="s">
        <v>347</v>
      </c>
      <c r="F14130" s="38" t="s">
        <v>90</v>
      </c>
      <c r="G14130" s="49" t="str">
        <f t="shared" si="1"/>
        <v>35330</v>
      </c>
      <c r="H14130" s="49">
        <f t="shared" si="2"/>
        <v>35046</v>
      </c>
    </row>
    <row r="14131">
      <c r="A14131" s="48" t="s">
        <v>1404</v>
      </c>
      <c r="B14131" s="38">
        <v>30086.0</v>
      </c>
      <c r="C14131" s="38" t="s">
        <v>18420</v>
      </c>
      <c r="D14131" s="38" t="str">
        <f>IFERROR(__xludf.DUMMYFUNCTION("REGEXREPLACE(C14131,""-\d+(.*)|--\d+(.*)"","""")"),"COLLORGUES")</f>
        <v>COLLORGUES</v>
      </c>
      <c r="E14131" s="38" t="s">
        <v>526</v>
      </c>
      <c r="F14131" s="38" t="s">
        <v>119</v>
      </c>
      <c r="G14131" s="49" t="str">
        <f t="shared" si="1"/>
        <v>30190</v>
      </c>
      <c r="H14131" s="49">
        <f t="shared" si="2"/>
        <v>30086</v>
      </c>
    </row>
    <row r="14132">
      <c r="A14132" s="48" t="s">
        <v>315</v>
      </c>
      <c r="B14132" s="38">
        <v>27666.0</v>
      </c>
      <c r="C14132" s="38" t="s">
        <v>18421</v>
      </c>
      <c r="D14132" s="38" t="str">
        <f>IFERROR(__xludf.DUMMYFUNCTION("REGEXREPLACE(C14132,""-\d+(.*)|--\d+(.*)"","""")"),"LA VACHERIE")</f>
        <v>LA VACHERIE</v>
      </c>
      <c r="E14132" s="38" t="s">
        <v>241</v>
      </c>
      <c r="F14132" s="38" t="s">
        <v>134</v>
      </c>
      <c r="G14132" s="49" t="str">
        <f t="shared" si="1"/>
        <v>27400</v>
      </c>
      <c r="H14132" s="49">
        <f t="shared" si="2"/>
        <v>27666</v>
      </c>
    </row>
    <row r="14133">
      <c r="A14133" s="48" t="s">
        <v>13381</v>
      </c>
      <c r="B14133" s="38">
        <v>1158.0</v>
      </c>
      <c r="C14133" s="38" t="s">
        <v>18422</v>
      </c>
      <c r="D14133" s="38" t="str">
        <f>IFERROR(__xludf.DUMMYFUNCTION("REGEXREPLACE(C14133,""-\d+(.*)|--\d+(.*)"","""")"),"FARGES")</f>
        <v>FARGES</v>
      </c>
      <c r="E14133" s="38" t="s">
        <v>255</v>
      </c>
      <c r="F14133" s="38" t="s">
        <v>102</v>
      </c>
      <c r="G14133" s="49" t="str">
        <f t="shared" si="1"/>
        <v>01550</v>
      </c>
      <c r="H14133" s="49" t="str">
        <f t="shared" si="2"/>
        <v>01158</v>
      </c>
    </row>
    <row r="14134">
      <c r="A14134" s="48" t="s">
        <v>5163</v>
      </c>
      <c r="B14134" s="38">
        <v>76334.0</v>
      </c>
      <c r="C14134" s="38" t="s">
        <v>18423</v>
      </c>
      <c r="D14134" s="38" t="str">
        <f>IFERROR(__xludf.DUMMYFUNCTION("REGEXREPLACE(C14134,""-\d+(.*)|--\d+(.*)"","""")"),"GUEURES")</f>
        <v>GUEURES</v>
      </c>
      <c r="E14134" s="38" t="s">
        <v>133</v>
      </c>
      <c r="F14134" s="38" t="s">
        <v>134</v>
      </c>
      <c r="G14134" s="49" t="str">
        <f t="shared" si="1"/>
        <v>76730</v>
      </c>
      <c r="H14134" s="49">
        <f t="shared" si="2"/>
        <v>76334</v>
      </c>
    </row>
    <row r="14135">
      <c r="A14135" s="48" t="s">
        <v>5081</v>
      </c>
      <c r="B14135" s="38">
        <v>54198.0</v>
      </c>
      <c r="C14135" s="38" t="s">
        <v>18424</v>
      </c>
      <c r="D14135" s="38" t="str">
        <f>IFERROR(__xludf.DUMMYFUNCTION("REGEXREPLACE(C14135,""-\d+(.*)|--\d+(.*)"","""")"),"FLEVILLE-LIXIERES")</f>
        <v>FLEVILLE-LIXIERES</v>
      </c>
      <c r="E14135" s="38" t="s">
        <v>548</v>
      </c>
      <c r="F14135" s="38" t="s">
        <v>195</v>
      </c>
      <c r="G14135" s="49" t="str">
        <f t="shared" si="1"/>
        <v>54150</v>
      </c>
      <c r="H14135" s="49">
        <f t="shared" si="2"/>
        <v>54198</v>
      </c>
    </row>
    <row r="14136">
      <c r="A14136" s="48" t="s">
        <v>3990</v>
      </c>
      <c r="B14136" s="38">
        <v>2103.0</v>
      </c>
      <c r="C14136" s="38" t="s">
        <v>18425</v>
      </c>
      <c r="D14136" s="38" t="str">
        <f>IFERROR(__xludf.DUMMYFUNCTION("REGEXREPLACE(C14136,""-\d+(.*)|--\d+(.*)"","""")"),"BOUE")</f>
        <v>BOUE</v>
      </c>
      <c r="E14136" s="38" t="s">
        <v>191</v>
      </c>
      <c r="F14136" s="38" t="s">
        <v>113</v>
      </c>
      <c r="G14136" s="49" t="str">
        <f t="shared" si="1"/>
        <v>02450</v>
      </c>
      <c r="H14136" s="49" t="str">
        <f t="shared" si="2"/>
        <v>02103</v>
      </c>
    </row>
    <row r="14137">
      <c r="A14137" s="48" t="s">
        <v>1908</v>
      </c>
      <c r="B14137" s="38">
        <v>62381.0</v>
      </c>
      <c r="C14137" s="38" t="s">
        <v>18426</v>
      </c>
      <c r="D14137" s="38" t="str">
        <f>IFERROR(__xludf.DUMMYFUNCTION("REGEXREPLACE(C14137,""-\d+(.*)|--\d+(.*)"","""")"),"GOUY-EN-TERNOIS")</f>
        <v>GOUY-EN-TERNOIS</v>
      </c>
      <c r="E14137" s="38" t="s">
        <v>109</v>
      </c>
      <c r="F14137" s="38" t="s">
        <v>86</v>
      </c>
      <c r="G14137" s="49" t="str">
        <f t="shared" si="1"/>
        <v>62127</v>
      </c>
      <c r="H14137" s="49">
        <f t="shared" si="2"/>
        <v>62381</v>
      </c>
    </row>
    <row r="14138">
      <c r="A14138" s="48" t="s">
        <v>1495</v>
      </c>
      <c r="B14138" s="38">
        <v>33437.0</v>
      </c>
      <c r="C14138" s="38" t="s">
        <v>18427</v>
      </c>
      <c r="D14138" s="38" t="str">
        <f>IFERROR(__xludf.DUMMYFUNCTION("REGEXREPLACE(C14138,""-\d+(.*)|--\d+(.*)"","""")"),"SAINT-MAGNE-DE-CASTILLON")</f>
        <v>SAINT-MAGNE-DE-CASTILLON</v>
      </c>
      <c r="E14138" s="38" t="s">
        <v>462</v>
      </c>
      <c r="F14138" s="38" t="s">
        <v>252</v>
      </c>
      <c r="G14138" s="49" t="str">
        <f t="shared" si="1"/>
        <v>33350</v>
      </c>
      <c r="H14138" s="49">
        <f t="shared" si="2"/>
        <v>33437</v>
      </c>
    </row>
    <row r="14139">
      <c r="A14139" s="48" t="s">
        <v>7431</v>
      </c>
      <c r="B14139" s="38">
        <v>77131.0</v>
      </c>
      <c r="C14139" s="38" t="s">
        <v>18428</v>
      </c>
      <c r="D14139" s="38" t="str">
        <f>IFERROR(__xludf.DUMMYFUNCTION("REGEXREPLACE(C14139,""-\d+(.*)|--\d+(.*)"","""")"),"COULOMMIERS")</f>
        <v>COULOMMIERS</v>
      </c>
      <c r="E14139" s="38" t="s">
        <v>244</v>
      </c>
      <c r="F14139" s="38" t="s">
        <v>245</v>
      </c>
      <c r="G14139" s="49" t="str">
        <f t="shared" si="1"/>
        <v>77120</v>
      </c>
      <c r="H14139" s="49">
        <f t="shared" si="2"/>
        <v>77131</v>
      </c>
    </row>
    <row r="14140">
      <c r="A14140" s="48" t="s">
        <v>11028</v>
      </c>
      <c r="B14140" s="38">
        <v>72382.0</v>
      </c>
      <c r="C14140" s="38" t="s">
        <v>11458</v>
      </c>
      <c r="D14140" s="38" t="str">
        <f>IFERROR(__xludf.DUMMYFUNCTION("REGEXREPLACE(C14140,""-\d+(.*)|--\d+(.*)"","""")"),"VOLNAY")</f>
        <v>VOLNAY</v>
      </c>
      <c r="E14140" s="38" t="s">
        <v>521</v>
      </c>
      <c r="F14140" s="38" t="s">
        <v>180</v>
      </c>
      <c r="G14140" s="49" t="str">
        <f t="shared" si="1"/>
        <v>72440</v>
      </c>
      <c r="H14140" s="49">
        <f t="shared" si="2"/>
        <v>72382</v>
      </c>
    </row>
    <row r="14141">
      <c r="A14141" s="48" t="s">
        <v>2174</v>
      </c>
      <c r="B14141" s="38">
        <v>35027.0</v>
      </c>
      <c r="C14141" s="38" t="s">
        <v>18429</v>
      </c>
      <c r="D14141" s="38" t="str">
        <f>IFERROR(__xludf.DUMMYFUNCTION("REGEXREPLACE(C14141,""-\d+(.*)|--\d+(.*)"","""")"),"BOISGERVILLY")</f>
        <v>BOISGERVILLY</v>
      </c>
      <c r="E14141" s="38" t="s">
        <v>347</v>
      </c>
      <c r="F14141" s="38" t="s">
        <v>90</v>
      </c>
      <c r="G14141" s="49" t="str">
        <f t="shared" si="1"/>
        <v>35360</v>
      </c>
      <c r="H14141" s="49">
        <f t="shared" si="2"/>
        <v>35027</v>
      </c>
    </row>
    <row r="14142">
      <c r="A14142" s="48" t="s">
        <v>114</v>
      </c>
      <c r="B14142" s="38">
        <v>62282.0</v>
      </c>
      <c r="C14142" s="38" t="s">
        <v>18430</v>
      </c>
      <c r="D14142" s="38" t="str">
        <f>IFERROR(__xludf.DUMMYFUNCTION("REGEXREPLACE(C14142,""-\d+(.*)|--\d+(.*)"","""")"),"ECLIMEUX")</f>
        <v>ECLIMEUX</v>
      </c>
      <c r="E14142" s="38" t="s">
        <v>109</v>
      </c>
      <c r="F14142" s="38" t="s">
        <v>86</v>
      </c>
      <c r="G14142" s="49" t="str">
        <f t="shared" si="1"/>
        <v>62770</v>
      </c>
      <c r="H14142" s="49">
        <f t="shared" si="2"/>
        <v>62282</v>
      </c>
    </row>
    <row r="14143">
      <c r="A14143" s="48" t="s">
        <v>8441</v>
      </c>
      <c r="B14143" s="38">
        <v>30230.0</v>
      </c>
      <c r="C14143" s="38" t="s">
        <v>18431</v>
      </c>
      <c r="D14143" s="38" t="str">
        <f>IFERROR(__xludf.DUMMYFUNCTION("REGEXREPLACE(C14143,""-\d+(.*)|--\d+(.*)"","""")"),"SAINT-ANDRE-DE-ROQUEPERTUIS")</f>
        <v>SAINT-ANDRE-DE-ROQUEPERTUIS</v>
      </c>
      <c r="E14143" s="38" t="s">
        <v>526</v>
      </c>
      <c r="F14143" s="38" t="s">
        <v>119</v>
      </c>
      <c r="G14143" s="49" t="str">
        <f t="shared" si="1"/>
        <v>30630</v>
      </c>
      <c r="H14143" s="49">
        <f t="shared" si="2"/>
        <v>30230</v>
      </c>
    </row>
    <row r="14144">
      <c r="A14144" s="48" t="s">
        <v>3945</v>
      </c>
      <c r="B14144" s="38">
        <v>34334.0</v>
      </c>
      <c r="C14144" s="38" t="s">
        <v>18432</v>
      </c>
      <c r="D14144" s="38" t="str">
        <f>IFERROR(__xludf.DUMMYFUNCTION("REGEXREPLACE(C14144,""-\d+(.*)|--\d+(.*)"","""")"),"VIEUSSAN")</f>
        <v>VIEUSSAN</v>
      </c>
      <c r="E14144" s="38" t="s">
        <v>118</v>
      </c>
      <c r="F14144" s="38" t="s">
        <v>119</v>
      </c>
      <c r="G14144" s="49" t="str">
        <f t="shared" si="1"/>
        <v>34390</v>
      </c>
      <c r="H14144" s="49">
        <f t="shared" si="2"/>
        <v>34334</v>
      </c>
    </row>
    <row r="14145">
      <c r="A14145" s="48" t="s">
        <v>7760</v>
      </c>
      <c r="B14145" s="38">
        <v>54287.0</v>
      </c>
      <c r="C14145" s="38" t="s">
        <v>2441</v>
      </c>
      <c r="D14145" s="38" t="str">
        <f>IFERROR(__xludf.DUMMYFUNCTION("REGEXREPLACE(C14145,""-\d+(.*)|--\d+(.*)"","""")"),"LACHAPELLE")</f>
        <v>LACHAPELLE</v>
      </c>
      <c r="E14145" s="38" t="s">
        <v>548</v>
      </c>
      <c r="F14145" s="38" t="s">
        <v>195</v>
      </c>
      <c r="G14145" s="49" t="str">
        <f t="shared" si="1"/>
        <v>54120</v>
      </c>
      <c r="H14145" s="49">
        <f t="shared" si="2"/>
        <v>54287</v>
      </c>
    </row>
    <row r="14146">
      <c r="A14146" s="48" t="s">
        <v>3208</v>
      </c>
      <c r="B14146" s="38">
        <v>80771.0</v>
      </c>
      <c r="C14146" s="38" t="s">
        <v>18433</v>
      </c>
      <c r="D14146" s="38" t="str">
        <f>IFERROR(__xludf.DUMMYFUNCTION("REGEXREPLACE(C14146,""-\d+(.*)|--\d+(.*)"","""")"),"UGNY-L'EQUIPEE")</f>
        <v>UGNY-L'EQUIPEE</v>
      </c>
      <c r="E14146" s="38" t="s">
        <v>224</v>
      </c>
      <c r="F14146" s="38" t="s">
        <v>113</v>
      </c>
      <c r="G14146" s="49" t="str">
        <f t="shared" si="1"/>
        <v>80400</v>
      </c>
      <c r="H14146" s="49">
        <f t="shared" si="2"/>
        <v>80771</v>
      </c>
    </row>
    <row r="14147">
      <c r="A14147" s="48" t="s">
        <v>3937</v>
      </c>
      <c r="B14147" s="38">
        <v>18226.0</v>
      </c>
      <c r="C14147" s="38" t="s">
        <v>18434</v>
      </c>
      <c r="D14147" s="38" t="str">
        <f>IFERROR(__xludf.DUMMYFUNCTION("REGEXREPLACE(C14147,""-\d+(.*)|--\d+(.*)"","""")"),"SAINT-MICHEL-DE-VOLANGIS")</f>
        <v>SAINT-MICHEL-DE-VOLANGIS</v>
      </c>
      <c r="E14147" s="38" t="s">
        <v>504</v>
      </c>
      <c r="F14147" s="38" t="s">
        <v>123</v>
      </c>
      <c r="G14147" s="49" t="str">
        <f t="shared" si="1"/>
        <v>18390</v>
      </c>
      <c r="H14147" s="49">
        <f t="shared" si="2"/>
        <v>18226</v>
      </c>
    </row>
    <row r="14148">
      <c r="A14148" s="48" t="s">
        <v>18435</v>
      </c>
      <c r="B14148" s="38">
        <v>91654.0</v>
      </c>
      <c r="C14148" s="38" t="s">
        <v>18436</v>
      </c>
      <c r="D14148" s="38" t="str">
        <f>IFERROR(__xludf.DUMMYFUNCTION("REGEXREPLACE(C14148,""-\d+(.*)|--\d+(.*)"","""")"),"VIDELLES")</f>
        <v>VIDELLES</v>
      </c>
      <c r="E14148" s="38" t="s">
        <v>756</v>
      </c>
      <c r="F14148" s="38" t="s">
        <v>245</v>
      </c>
      <c r="G14148" s="49" t="str">
        <f t="shared" si="1"/>
        <v>91890</v>
      </c>
      <c r="H14148" s="49">
        <f t="shared" si="2"/>
        <v>91654</v>
      </c>
    </row>
    <row r="14149">
      <c r="A14149" s="48" t="s">
        <v>5772</v>
      </c>
      <c r="B14149" s="38">
        <v>43222.0</v>
      </c>
      <c r="C14149" s="38" t="s">
        <v>18437</v>
      </c>
      <c r="D14149" s="38" t="str">
        <f>IFERROR(__xludf.DUMMYFUNCTION("REGEXREPLACE(C14149,""-\d+(.*)|--\d+(.*)"","""")"),"SAINT-PRIVAT-DU-DRAGON")</f>
        <v>SAINT-PRIVAT-DU-DRAGON</v>
      </c>
      <c r="E14149" s="38" t="s">
        <v>332</v>
      </c>
      <c r="F14149" s="38" t="s">
        <v>161</v>
      </c>
      <c r="G14149" s="49" t="str">
        <f t="shared" si="1"/>
        <v>43380</v>
      </c>
      <c r="H14149" s="49">
        <f t="shared" si="2"/>
        <v>43222</v>
      </c>
    </row>
    <row r="14150">
      <c r="A14150" s="48" t="s">
        <v>5924</v>
      </c>
      <c r="B14150" s="38">
        <v>87004.0</v>
      </c>
      <c r="C14150" s="38" t="s">
        <v>18438</v>
      </c>
      <c r="D14150" s="38" t="str">
        <f>IFERROR(__xludf.DUMMYFUNCTION("REGEXREPLACE(C14150,""-\d+(.*)|--\d+(.*)"","""")"),"AUGNE")</f>
        <v>AUGNE</v>
      </c>
      <c r="E14150" s="38" t="s">
        <v>897</v>
      </c>
      <c r="F14150" s="38" t="s">
        <v>98</v>
      </c>
      <c r="G14150" s="49" t="str">
        <f t="shared" si="1"/>
        <v>87120</v>
      </c>
      <c r="H14150" s="49">
        <f t="shared" si="2"/>
        <v>87004</v>
      </c>
    </row>
    <row r="14151">
      <c r="A14151" s="48" t="s">
        <v>18439</v>
      </c>
      <c r="B14151" s="38">
        <v>89037.0</v>
      </c>
      <c r="C14151" s="38" t="s">
        <v>5747</v>
      </c>
      <c r="D14151" s="38" t="str">
        <f>IFERROR(__xludf.DUMMYFUNCTION("REGEXREPLACE(C14151,""-\d+(.*)|--\d+(.*)"","""")"),"BEON")</f>
        <v>BEON</v>
      </c>
      <c r="E14151" s="38" t="s">
        <v>275</v>
      </c>
      <c r="F14151" s="38" t="s">
        <v>106</v>
      </c>
      <c r="G14151" s="49" t="str">
        <f t="shared" si="1"/>
        <v>89410</v>
      </c>
      <c r="H14151" s="49">
        <f t="shared" si="2"/>
        <v>89037</v>
      </c>
    </row>
    <row r="14152">
      <c r="A14152" s="48" t="s">
        <v>5230</v>
      </c>
      <c r="B14152" s="38">
        <v>25315.0</v>
      </c>
      <c r="C14152" s="38" t="s">
        <v>18440</v>
      </c>
      <c r="D14152" s="38" t="str">
        <f>IFERROR(__xludf.DUMMYFUNCTION("REGEXREPLACE(C14152,""-\d+(.*)|--\d+(.*)"","""")"),"L'ISLE-SUR-LE-DOUBS")</f>
        <v>L'ISLE-SUR-LE-DOUBS</v>
      </c>
      <c r="E14152" s="38" t="s">
        <v>213</v>
      </c>
      <c r="F14152" s="38" t="s">
        <v>214</v>
      </c>
      <c r="G14152" s="49" t="str">
        <f t="shared" si="1"/>
        <v>25250</v>
      </c>
      <c r="H14152" s="49">
        <f t="shared" si="2"/>
        <v>25315</v>
      </c>
    </row>
    <row r="14153">
      <c r="A14153" s="48" t="s">
        <v>1644</v>
      </c>
      <c r="B14153" s="38">
        <v>21309.0</v>
      </c>
      <c r="C14153" s="38" t="s">
        <v>12186</v>
      </c>
      <c r="D14153" s="38" t="str">
        <f>IFERROR(__xludf.DUMMYFUNCTION("REGEXREPLACE(C14153,""-\d+(.*)|--\d+(.*)"","""")"),"GRISELLES")</f>
        <v>GRISELLES</v>
      </c>
      <c r="E14153" s="38" t="s">
        <v>105</v>
      </c>
      <c r="F14153" s="38" t="s">
        <v>106</v>
      </c>
      <c r="G14153" s="49" t="str">
        <f t="shared" si="1"/>
        <v>21330</v>
      </c>
      <c r="H14153" s="49">
        <f t="shared" si="2"/>
        <v>21309</v>
      </c>
    </row>
    <row r="14154">
      <c r="A14154" s="48" t="s">
        <v>3804</v>
      </c>
      <c r="B14154" s="38">
        <v>80325.0</v>
      </c>
      <c r="C14154" s="38" t="s">
        <v>18441</v>
      </c>
      <c r="D14154" s="38" t="str">
        <f>IFERROR(__xludf.DUMMYFUNCTION("REGEXREPLACE(C14154,""-\d+(.*)|--\d+(.*)"","""")"),"FONTAINE-LES-CAPPY")</f>
        <v>FONTAINE-LES-CAPPY</v>
      </c>
      <c r="E14154" s="38" t="s">
        <v>224</v>
      </c>
      <c r="F14154" s="38" t="s">
        <v>113</v>
      </c>
      <c r="G14154" s="49" t="str">
        <f t="shared" si="1"/>
        <v>80340</v>
      </c>
      <c r="H14154" s="49">
        <f t="shared" si="2"/>
        <v>80325</v>
      </c>
    </row>
    <row r="14155">
      <c r="A14155" s="48" t="s">
        <v>717</v>
      </c>
      <c r="B14155" s="38">
        <v>31188.0</v>
      </c>
      <c r="C14155" s="38" t="s">
        <v>18442</v>
      </c>
      <c r="D14155" s="38" t="str">
        <f>IFERROR(__xludf.DUMMYFUNCTION("REGEXREPLACE(C14155,""-\d+(.*)|--\d+(.*)"","""")"),"FONTENILLES")</f>
        <v>FONTENILLES</v>
      </c>
      <c r="E14155" s="38" t="s">
        <v>93</v>
      </c>
      <c r="F14155" s="38" t="s">
        <v>94</v>
      </c>
      <c r="G14155" s="49" t="str">
        <f t="shared" si="1"/>
        <v>31470</v>
      </c>
      <c r="H14155" s="49">
        <f t="shared" si="2"/>
        <v>31188</v>
      </c>
    </row>
    <row r="14156">
      <c r="A14156" s="48" t="s">
        <v>1908</v>
      </c>
      <c r="B14156" s="38">
        <v>62536.0</v>
      </c>
      <c r="C14156" s="38" t="s">
        <v>18443</v>
      </c>
      <c r="D14156" s="38" t="str">
        <f>IFERROR(__xludf.DUMMYFUNCTION("REGEXREPLACE(C14156,""-\d+(.*)|--\d+(.*)"","""")"),"MAGNICOURT-EN-COMTE")</f>
        <v>MAGNICOURT-EN-COMTE</v>
      </c>
      <c r="E14156" s="38" t="s">
        <v>109</v>
      </c>
      <c r="F14156" s="38" t="s">
        <v>86</v>
      </c>
      <c r="G14156" s="49" t="str">
        <f t="shared" si="1"/>
        <v>62127</v>
      </c>
      <c r="H14156" s="49">
        <f t="shared" si="2"/>
        <v>62536</v>
      </c>
    </row>
    <row r="14157">
      <c r="A14157" s="48" t="s">
        <v>13041</v>
      </c>
      <c r="B14157" s="38">
        <v>27211.0</v>
      </c>
      <c r="C14157" s="38" t="s">
        <v>18444</v>
      </c>
      <c r="D14157" s="38" t="str">
        <f>IFERROR(__xludf.DUMMYFUNCTION("REGEXREPLACE(C14157,""-\d+(.*)|--\d+(.*)"","""")"),"ECARDENVILLE-SUR-EURE")</f>
        <v>ECARDENVILLE-SUR-EURE</v>
      </c>
      <c r="E14157" s="38" t="s">
        <v>241</v>
      </c>
      <c r="F14157" s="38" t="s">
        <v>134</v>
      </c>
      <c r="G14157" s="49" t="str">
        <f t="shared" si="1"/>
        <v>27490</v>
      </c>
      <c r="H14157" s="49">
        <f t="shared" si="2"/>
        <v>27211</v>
      </c>
    </row>
    <row r="14158">
      <c r="A14158" s="48" t="s">
        <v>4766</v>
      </c>
      <c r="B14158" s="38">
        <v>64183.0</v>
      </c>
      <c r="C14158" s="38" t="s">
        <v>18445</v>
      </c>
      <c r="D14158" s="38" t="str">
        <f>IFERROR(__xludf.DUMMYFUNCTION("REGEXREPLACE(C14158,""-\d+(.*)|--\d+(.*)"","""")"),"CAUBIOS-LOOS")</f>
        <v>CAUBIOS-LOOS</v>
      </c>
      <c r="E14158" s="38" t="s">
        <v>268</v>
      </c>
      <c r="F14158" s="38" t="s">
        <v>252</v>
      </c>
      <c r="G14158" s="49" t="str">
        <f t="shared" si="1"/>
        <v>64230</v>
      </c>
      <c r="H14158" s="49">
        <f t="shared" si="2"/>
        <v>64183</v>
      </c>
    </row>
    <row r="14159">
      <c r="A14159" s="48" t="s">
        <v>201</v>
      </c>
      <c r="B14159" s="38">
        <v>2073.0</v>
      </c>
      <c r="C14159" s="38" t="s">
        <v>18446</v>
      </c>
      <c r="D14159" s="38" t="str">
        <f>IFERROR(__xludf.DUMMYFUNCTION("REGEXREPLACE(C14159,""-\d+(.*)|--\d+(.*)"","""")"),"BERRY-AU-BAC")</f>
        <v>BERRY-AU-BAC</v>
      </c>
      <c r="E14159" s="38" t="s">
        <v>191</v>
      </c>
      <c r="F14159" s="38" t="s">
        <v>113</v>
      </c>
      <c r="G14159" s="49" t="str">
        <f t="shared" si="1"/>
        <v>02190</v>
      </c>
      <c r="H14159" s="49" t="str">
        <f t="shared" si="2"/>
        <v>02073</v>
      </c>
    </row>
    <row r="14160">
      <c r="A14160" s="48" t="s">
        <v>3046</v>
      </c>
      <c r="B14160" s="38">
        <v>70280.0</v>
      </c>
      <c r="C14160" s="38" t="s">
        <v>18447</v>
      </c>
      <c r="D14160" s="38" t="str">
        <f>IFERROR(__xludf.DUMMYFUNCTION("REGEXREPLACE(C14160,""-\d+(.*)|--\d+(.*)"","""")"),"GRAY-LA-VILLE")</f>
        <v>GRAY-LA-VILLE</v>
      </c>
      <c r="E14160" s="38" t="s">
        <v>956</v>
      </c>
      <c r="F14160" s="38" t="s">
        <v>214</v>
      </c>
      <c r="G14160" s="49" t="str">
        <f t="shared" si="1"/>
        <v>70100</v>
      </c>
      <c r="H14160" s="49">
        <f t="shared" si="2"/>
        <v>70280</v>
      </c>
    </row>
    <row r="14161">
      <c r="A14161" s="48" t="s">
        <v>18448</v>
      </c>
      <c r="B14161" s="38">
        <v>59512.0</v>
      </c>
      <c r="C14161" s="38" t="s">
        <v>18449</v>
      </c>
      <c r="D14161" s="38" t="str">
        <f>IFERROR(__xludf.DUMMYFUNCTION("REGEXREPLACE(C14161,""-\d+(.*)|--\d+(.*)"","""")"),"ROUBAIX")</f>
        <v>ROUBAIX</v>
      </c>
      <c r="E14161" s="38" t="s">
        <v>85</v>
      </c>
      <c r="F14161" s="38" t="s">
        <v>86</v>
      </c>
      <c r="G14161" s="49" t="str">
        <f t="shared" si="1"/>
        <v>59100</v>
      </c>
      <c r="H14161" s="49">
        <f t="shared" si="2"/>
        <v>59512</v>
      </c>
    </row>
    <row r="14162">
      <c r="A14162" s="48" t="s">
        <v>12166</v>
      </c>
      <c r="B14162" s="38">
        <v>22184.0</v>
      </c>
      <c r="C14162" s="38" t="s">
        <v>18450</v>
      </c>
      <c r="D14162" s="38" t="str">
        <f>IFERROR(__xludf.DUMMYFUNCTION("REGEXREPLACE(C14162,""-\d+(.*)|--\d+(.*)"","""")"),"PLEMY")</f>
        <v>PLEMY</v>
      </c>
      <c r="E14162" s="38" t="s">
        <v>89</v>
      </c>
      <c r="F14162" s="38" t="s">
        <v>90</v>
      </c>
      <c r="G14162" s="49" t="str">
        <f t="shared" si="1"/>
        <v>22150</v>
      </c>
      <c r="H14162" s="49">
        <f t="shared" si="2"/>
        <v>22184</v>
      </c>
    </row>
    <row r="14163">
      <c r="A14163" s="48" t="s">
        <v>456</v>
      </c>
      <c r="B14163" s="38">
        <v>63422.0</v>
      </c>
      <c r="C14163" s="38" t="s">
        <v>18451</v>
      </c>
      <c r="D14163" s="38" t="str">
        <f>IFERROR(__xludf.DUMMYFUNCTION("REGEXREPLACE(C14163,""-\d+(.*)|--\d+(.*)"","""")"),"SOLIGNAT")</f>
        <v>SOLIGNAT</v>
      </c>
      <c r="E14163" s="38" t="s">
        <v>353</v>
      </c>
      <c r="F14163" s="38" t="s">
        <v>161</v>
      </c>
      <c r="G14163" s="49" t="str">
        <f t="shared" si="1"/>
        <v>63500</v>
      </c>
      <c r="H14163" s="49">
        <f t="shared" si="2"/>
        <v>63422</v>
      </c>
    </row>
    <row r="14164">
      <c r="A14164" s="48" t="s">
        <v>12526</v>
      </c>
      <c r="B14164" s="38">
        <v>44155.0</v>
      </c>
      <c r="C14164" s="38" t="s">
        <v>18452</v>
      </c>
      <c r="D14164" s="38" t="str">
        <f>IFERROR(__xludf.DUMMYFUNCTION("REGEXREPLACE(C14164,""-\d+(.*)|--\d+(.*)"","""")"),"SAINT-COLOMBAN")</f>
        <v>SAINT-COLOMBAN</v>
      </c>
      <c r="E14164" s="38" t="s">
        <v>759</v>
      </c>
      <c r="F14164" s="38" t="s">
        <v>180</v>
      </c>
      <c r="G14164" s="49" t="str">
        <f t="shared" si="1"/>
        <v>44310</v>
      </c>
      <c r="H14164" s="49">
        <f t="shared" si="2"/>
        <v>44155</v>
      </c>
    </row>
    <row r="14165">
      <c r="A14165" s="48" t="s">
        <v>18453</v>
      </c>
      <c r="B14165" s="38">
        <v>59388.0</v>
      </c>
      <c r="C14165" s="38" t="s">
        <v>18454</v>
      </c>
      <c r="D14165" s="38" t="str">
        <f>IFERROR(__xludf.DUMMYFUNCTION("REGEXREPLACE(C14165,""-\d+(.*)|--\d+(.*)"","""")"),"MARQUILLIES")</f>
        <v>MARQUILLIES</v>
      </c>
      <c r="E14165" s="38" t="s">
        <v>85</v>
      </c>
      <c r="F14165" s="38" t="s">
        <v>86</v>
      </c>
      <c r="G14165" s="49" t="str">
        <f t="shared" si="1"/>
        <v>59274</v>
      </c>
      <c r="H14165" s="49">
        <f t="shared" si="2"/>
        <v>59388</v>
      </c>
    </row>
    <row r="14166">
      <c r="A14166" s="48" t="s">
        <v>7818</v>
      </c>
      <c r="B14166" s="38">
        <v>90085.0</v>
      </c>
      <c r="C14166" s="38" t="s">
        <v>18455</v>
      </c>
      <c r="D14166" s="38" t="str">
        <f>IFERROR(__xludf.DUMMYFUNCTION("REGEXREPLACE(C14166,""-\d+(.*)|--\d+(.*)"","""")"),"RIERVESCEMONT")</f>
        <v>RIERVESCEMONT</v>
      </c>
      <c r="E14166" s="38" t="s">
        <v>1283</v>
      </c>
      <c r="F14166" s="38" t="s">
        <v>214</v>
      </c>
      <c r="G14166" s="49" t="str">
        <f t="shared" si="1"/>
        <v>90200</v>
      </c>
      <c r="H14166" s="49">
        <f t="shared" si="2"/>
        <v>90085</v>
      </c>
    </row>
    <row r="14167">
      <c r="A14167" s="48" t="s">
        <v>2803</v>
      </c>
      <c r="B14167" s="38">
        <v>80490.0</v>
      </c>
      <c r="C14167" s="38" t="s">
        <v>18456</v>
      </c>
      <c r="D14167" s="38" t="str">
        <f>IFERROR(__xludf.DUMMYFUNCTION("REGEXREPLACE(C14167,""-\d+(.*)|--\d+(.*)"","""")"),"LONGUEVAL")</f>
        <v>LONGUEVAL</v>
      </c>
      <c r="E14167" s="38" t="s">
        <v>224</v>
      </c>
      <c r="F14167" s="38" t="s">
        <v>113</v>
      </c>
      <c r="G14167" s="49" t="str">
        <f t="shared" si="1"/>
        <v>80360</v>
      </c>
      <c r="H14167" s="49">
        <f t="shared" si="2"/>
        <v>80490</v>
      </c>
    </row>
    <row r="14168">
      <c r="A14168" s="48" t="s">
        <v>1649</v>
      </c>
      <c r="B14168" s="38">
        <v>27284.0</v>
      </c>
      <c r="C14168" s="38" t="s">
        <v>18457</v>
      </c>
      <c r="D14168" s="38" t="str">
        <f>IFERROR(__xludf.DUMMYFUNCTION("REGEXREPLACE(C14168,""-\d+(.*)|--\d+(.*)"","""")"),"GISORS")</f>
        <v>GISORS</v>
      </c>
      <c r="E14168" s="38" t="s">
        <v>241</v>
      </c>
      <c r="F14168" s="38" t="s">
        <v>134</v>
      </c>
      <c r="G14168" s="49" t="str">
        <f t="shared" si="1"/>
        <v>27140</v>
      </c>
      <c r="H14168" s="49">
        <f t="shared" si="2"/>
        <v>27284</v>
      </c>
    </row>
    <row r="14169">
      <c r="A14169" s="48" t="s">
        <v>7876</v>
      </c>
      <c r="B14169" s="38">
        <v>58205.0</v>
      </c>
      <c r="C14169" s="38" t="s">
        <v>18458</v>
      </c>
      <c r="D14169" s="38" t="str">
        <f>IFERROR(__xludf.DUMMYFUNCTION("REGEXREPLACE(C14169,""-\d+(.*)|--\d+(.*)"","""")"),"OUROUX-EN-MORVAN")</f>
        <v>OUROUX-EN-MORVAN</v>
      </c>
      <c r="E14169" s="38" t="s">
        <v>219</v>
      </c>
      <c r="F14169" s="38" t="s">
        <v>106</v>
      </c>
      <c r="G14169" s="49" t="str">
        <f t="shared" si="1"/>
        <v>58230</v>
      </c>
      <c r="H14169" s="49">
        <f t="shared" si="2"/>
        <v>58205</v>
      </c>
    </row>
    <row r="14170">
      <c r="A14170" s="48" t="s">
        <v>12195</v>
      </c>
      <c r="B14170" s="38">
        <v>22115.0</v>
      </c>
      <c r="C14170" s="38" t="s">
        <v>18459</v>
      </c>
      <c r="D14170" s="38" t="str">
        <f>IFERROR(__xludf.DUMMYFUNCTION("REGEXREPLACE(C14170,""-\d+(.*)|--\d+(.*)"","""")"),"LANRIVAIN")</f>
        <v>LANRIVAIN</v>
      </c>
      <c r="E14170" s="38" t="s">
        <v>89</v>
      </c>
      <c r="F14170" s="38" t="s">
        <v>90</v>
      </c>
      <c r="G14170" s="49" t="str">
        <f t="shared" si="1"/>
        <v>22480</v>
      </c>
      <c r="H14170" s="49">
        <f t="shared" si="2"/>
        <v>22115</v>
      </c>
    </row>
    <row r="14171">
      <c r="A14171" s="48" t="s">
        <v>384</v>
      </c>
      <c r="B14171" s="38">
        <v>55470.0</v>
      </c>
      <c r="C14171" s="38" t="s">
        <v>18460</v>
      </c>
      <c r="D14171" s="38" t="str">
        <f>IFERROR(__xludf.DUMMYFUNCTION("REGEXREPLACE(C14171,""-\d+(.*)|--\d+(.*)"","""")"),"SAUDRUPT")</f>
        <v>SAUDRUPT</v>
      </c>
      <c r="E14171" s="38" t="s">
        <v>322</v>
      </c>
      <c r="F14171" s="38" t="s">
        <v>195</v>
      </c>
      <c r="G14171" s="49" t="str">
        <f t="shared" si="1"/>
        <v>55000</v>
      </c>
      <c r="H14171" s="49">
        <f t="shared" si="2"/>
        <v>55470</v>
      </c>
    </row>
    <row r="14172">
      <c r="A14172" s="48" t="s">
        <v>4354</v>
      </c>
      <c r="B14172" s="38">
        <v>72322.0</v>
      </c>
      <c r="C14172" s="38" t="s">
        <v>18461</v>
      </c>
      <c r="D14172" s="38" t="str">
        <f>IFERROR(__xludf.DUMMYFUNCTION("REGEXREPLACE(C14172,""-\d+(.*)|--\d+(.*)"","""")"),"SAINT-ULPHACE")</f>
        <v>SAINT-ULPHACE</v>
      </c>
      <c r="E14172" s="38" t="s">
        <v>521</v>
      </c>
      <c r="F14172" s="38" t="s">
        <v>180</v>
      </c>
      <c r="G14172" s="49" t="str">
        <f t="shared" si="1"/>
        <v>72320</v>
      </c>
      <c r="H14172" s="49">
        <f t="shared" si="2"/>
        <v>72322</v>
      </c>
    </row>
    <row r="14173">
      <c r="A14173" s="48" t="s">
        <v>18462</v>
      </c>
      <c r="B14173" s="38">
        <v>54162.0</v>
      </c>
      <c r="C14173" s="38" t="s">
        <v>18463</v>
      </c>
      <c r="D14173" s="38" t="str">
        <f>IFERROR(__xludf.DUMMYFUNCTION("REGEXREPLACE(C14173,""-\d+(.*)|--\d+(.*)"","""")"),"DOMGERMAIN")</f>
        <v>DOMGERMAIN</v>
      </c>
      <c r="E14173" s="38" t="s">
        <v>548</v>
      </c>
      <c r="F14173" s="38" t="s">
        <v>195</v>
      </c>
      <c r="G14173" s="49" t="str">
        <f t="shared" si="1"/>
        <v>54119</v>
      </c>
      <c r="H14173" s="49">
        <f t="shared" si="2"/>
        <v>54162</v>
      </c>
    </row>
    <row r="14174">
      <c r="A14174" s="48" t="s">
        <v>18464</v>
      </c>
      <c r="B14174" s="38">
        <v>34031.0</v>
      </c>
      <c r="C14174" s="38" t="s">
        <v>18465</v>
      </c>
      <c r="D14174" s="38" t="str">
        <f>IFERROR(__xludf.DUMMYFUNCTION("REGEXREPLACE(C14174,""-\d+(.*)|--\d+(.*)"","""")"),"BESSAN")</f>
        <v>BESSAN</v>
      </c>
      <c r="E14174" s="38" t="s">
        <v>118</v>
      </c>
      <c r="F14174" s="38" t="s">
        <v>119</v>
      </c>
      <c r="G14174" s="49" t="str">
        <f t="shared" si="1"/>
        <v>34550</v>
      </c>
      <c r="H14174" s="49">
        <f t="shared" si="2"/>
        <v>34031</v>
      </c>
    </row>
    <row r="14175">
      <c r="A14175" s="48" t="s">
        <v>14024</v>
      </c>
      <c r="B14175" s="38">
        <v>74236.0</v>
      </c>
      <c r="C14175" s="38" t="s">
        <v>18466</v>
      </c>
      <c r="D14175" s="38" t="str">
        <f>IFERROR(__xludf.DUMMYFUNCTION("REGEXREPLACE(C14175,""-\d+(.*)|--\d+(.*)"","""")"),"SAINT-GERVAIS-LES-BAINS")</f>
        <v>SAINT-GERVAIS-LES-BAINS</v>
      </c>
      <c r="E14175" s="38" t="s">
        <v>319</v>
      </c>
      <c r="F14175" s="38" t="s">
        <v>102</v>
      </c>
      <c r="G14175" s="49" t="str">
        <f t="shared" si="1"/>
        <v>74170</v>
      </c>
      <c r="H14175" s="49">
        <f t="shared" si="2"/>
        <v>74236</v>
      </c>
    </row>
    <row r="14176">
      <c r="A14176" s="48" t="s">
        <v>6168</v>
      </c>
      <c r="B14176" s="38">
        <v>16276.0</v>
      </c>
      <c r="C14176" s="38" t="s">
        <v>18467</v>
      </c>
      <c r="D14176" s="38" t="str">
        <f>IFERROR(__xludf.DUMMYFUNCTION("REGEXREPLACE(C14176,""-\d+(.*)|--\d+(.*)"","""")"),"REIGNAC")</f>
        <v>REIGNAC</v>
      </c>
      <c r="E14176" s="38" t="s">
        <v>429</v>
      </c>
      <c r="F14176" s="38" t="s">
        <v>338</v>
      </c>
      <c r="G14176" s="49" t="str">
        <f t="shared" si="1"/>
        <v>16360</v>
      </c>
      <c r="H14176" s="49">
        <f t="shared" si="2"/>
        <v>16276</v>
      </c>
    </row>
    <row r="14177">
      <c r="A14177" s="48" t="s">
        <v>2995</v>
      </c>
      <c r="B14177" s="38">
        <v>28282.0</v>
      </c>
      <c r="C14177" s="38" t="s">
        <v>18468</v>
      </c>
      <c r="D14177" s="38" t="str">
        <f>IFERROR(__xludf.DUMMYFUNCTION("REGEXREPLACE(C14177,""-\d+(.*)|--\d+(.*)"","""")"),"NONVILLIERS-GRANDHOUX")</f>
        <v>NONVILLIERS-GRANDHOUX</v>
      </c>
      <c r="E14177" s="38" t="s">
        <v>300</v>
      </c>
      <c r="F14177" s="38" t="s">
        <v>123</v>
      </c>
      <c r="G14177" s="49" t="str">
        <f t="shared" si="1"/>
        <v>28120</v>
      </c>
      <c r="H14177" s="49">
        <f t="shared" si="2"/>
        <v>28282</v>
      </c>
    </row>
    <row r="14178">
      <c r="A14178" s="48" t="s">
        <v>4483</v>
      </c>
      <c r="B14178" s="38">
        <v>4224.0</v>
      </c>
      <c r="C14178" s="38" t="s">
        <v>18469</v>
      </c>
      <c r="D14178" s="38" t="str">
        <f>IFERROR(__xludf.DUMMYFUNCTION("REGEXREPLACE(C14178,""-\d+(.*)|--\d+(.*)"","""")"),"UBRAYE")</f>
        <v>UBRAYE</v>
      </c>
      <c r="E14178" s="38" t="s">
        <v>662</v>
      </c>
      <c r="F14178" s="38" t="s">
        <v>228</v>
      </c>
      <c r="G14178" s="49" t="str">
        <f t="shared" si="1"/>
        <v>04240</v>
      </c>
      <c r="H14178" s="49" t="str">
        <f t="shared" si="2"/>
        <v>04224</v>
      </c>
    </row>
    <row r="14179">
      <c r="A14179" s="48" t="s">
        <v>6492</v>
      </c>
      <c r="B14179" s="38">
        <v>26374.0</v>
      </c>
      <c r="C14179" s="38" t="s">
        <v>18470</v>
      </c>
      <c r="D14179" s="38" t="str">
        <f>IFERROR(__xludf.DUMMYFUNCTION("REGEXREPLACE(C14179,""-\d+(.*)|--\d+(.*)"","""")"),"VILLEBOIS-LES-PINS")</f>
        <v>VILLEBOIS-LES-PINS</v>
      </c>
      <c r="E14179" s="38" t="s">
        <v>126</v>
      </c>
      <c r="F14179" s="38" t="s">
        <v>102</v>
      </c>
      <c r="G14179" s="49" t="str">
        <f t="shared" si="1"/>
        <v>05700</v>
      </c>
      <c r="H14179" s="49">
        <f t="shared" si="2"/>
        <v>26374</v>
      </c>
    </row>
    <row r="14180">
      <c r="A14180" s="48" t="s">
        <v>7334</v>
      </c>
      <c r="B14180" s="38">
        <v>45141.0</v>
      </c>
      <c r="C14180" s="38" t="s">
        <v>18471</v>
      </c>
      <c r="D14180" s="38" t="str">
        <f>IFERROR(__xludf.DUMMYFUNCTION("REGEXREPLACE(C14180,""-\d+(.*)|--\d+(.*)"","""")"),"FAVERELLES")</f>
        <v>FAVERELLES</v>
      </c>
      <c r="E14180" s="38" t="s">
        <v>122</v>
      </c>
      <c r="F14180" s="38" t="s">
        <v>123</v>
      </c>
      <c r="G14180" s="49" t="str">
        <f t="shared" si="1"/>
        <v>45420</v>
      </c>
      <c r="H14180" s="49">
        <f t="shared" si="2"/>
        <v>45141</v>
      </c>
    </row>
    <row r="14181">
      <c r="A14181" s="48" t="s">
        <v>18472</v>
      </c>
      <c r="B14181" s="38">
        <v>81004.0</v>
      </c>
      <c r="C14181" s="38" t="s">
        <v>18473</v>
      </c>
      <c r="D14181" s="38" t="str">
        <f>IFERROR(__xludf.DUMMYFUNCTION("REGEXREPLACE(C14181,""-\d+(.*)|--\d+(.*)"","""")"),"ALBI")</f>
        <v>ALBI</v>
      </c>
      <c r="E14181" s="38" t="s">
        <v>231</v>
      </c>
      <c r="F14181" s="38" t="s">
        <v>94</v>
      </c>
      <c r="G14181" s="49" t="str">
        <f t="shared" si="1"/>
        <v>81000</v>
      </c>
      <c r="H14181" s="49">
        <f t="shared" si="2"/>
        <v>81004</v>
      </c>
    </row>
    <row r="14182">
      <c r="A14182" s="48" t="s">
        <v>6535</v>
      </c>
      <c r="B14182" s="38">
        <v>58294.0</v>
      </c>
      <c r="C14182" s="38" t="s">
        <v>18474</v>
      </c>
      <c r="D14182" s="38" t="str">
        <f>IFERROR(__xludf.DUMMYFUNCTION("REGEXREPLACE(C14182,""-\d+(.*)|--\d+(.*)"","""")"),"TOURY-SUR-JOUR")</f>
        <v>TOURY-SUR-JOUR</v>
      </c>
      <c r="E14182" s="38" t="s">
        <v>219</v>
      </c>
      <c r="F14182" s="38" t="s">
        <v>106</v>
      </c>
      <c r="G14182" s="49" t="str">
        <f t="shared" si="1"/>
        <v>58240</v>
      </c>
      <c r="H14182" s="49">
        <f t="shared" si="2"/>
        <v>58294</v>
      </c>
    </row>
    <row r="14183">
      <c r="A14183" s="48" t="s">
        <v>18475</v>
      </c>
      <c r="B14183" s="38">
        <v>83134.0</v>
      </c>
      <c r="C14183" s="38" t="s">
        <v>18476</v>
      </c>
      <c r="D14183" s="38" t="str">
        <f>IFERROR(__xludf.DUMMYFUNCTION("REGEXREPLACE(C14183,""-\d+(.*)|--\d+(.*)"","""")"),"TARADEAU")</f>
        <v>TARADEAU</v>
      </c>
      <c r="E14183" s="38" t="s">
        <v>813</v>
      </c>
      <c r="F14183" s="38" t="s">
        <v>228</v>
      </c>
      <c r="G14183" s="49" t="str">
        <f t="shared" si="1"/>
        <v>83460</v>
      </c>
      <c r="H14183" s="49">
        <f t="shared" si="2"/>
        <v>83134</v>
      </c>
    </row>
    <row r="14184">
      <c r="A14184" s="48" t="s">
        <v>4594</v>
      </c>
      <c r="B14184" s="38">
        <v>62560.0</v>
      </c>
      <c r="C14184" s="38" t="s">
        <v>18477</v>
      </c>
      <c r="D14184" s="38" t="str">
        <f>IFERROR(__xludf.DUMMYFUNCTION("REGEXREPLACE(C14184,""-\d+(.*)|--\d+(.*)"","""")"),"MARQUISE")</f>
        <v>MARQUISE</v>
      </c>
      <c r="E14184" s="38" t="s">
        <v>109</v>
      </c>
      <c r="F14184" s="38" t="s">
        <v>86</v>
      </c>
      <c r="G14184" s="49" t="str">
        <f t="shared" si="1"/>
        <v>62250</v>
      </c>
      <c r="H14184" s="49">
        <f t="shared" si="2"/>
        <v>62560</v>
      </c>
    </row>
    <row r="14185">
      <c r="A14185" s="48" t="s">
        <v>18478</v>
      </c>
      <c r="B14185" s="38">
        <v>93006.0</v>
      </c>
      <c r="C14185" s="38" t="s">
        <v>18479</v>
      </c>
      <c r="D14185" s="38" t="str">
        <f>IFERROR(__xludf.DUMMYFUNCTION("REGEXREPLACE(C14185,""-\d+(.*)|--\d+(.*)"","""")"),"BAGNOLET")</f>
        <v>BAGNOLET</v>
      </c>
      <c r="E14185" s="38" t="s">
        <v>341</v>
      </c>
      <c r="F14185" s="38" t="s">
        <v>245</v>
      </c>
      <c r="G14185" s="49" t="str">
        <f t="shared" si="1"/>
        <v>93170</v>
      </c>
      <c r="H14185" s="49">
        <f t="shared" si="2"/>
        <v>93006</v>
      </c>
    </row>
    <row r="14186">
      <c r="A14186" s="48" t="s">
        <v>145</v>
      </c>
      <c r="B14186" s="38">
        <v>10227.0</v>
      </c>
      <c r="C14186" s="38" t="s">
        <v>18480</v>
      </c>
      <c r="D14186" s="38" t="str">
        <f>IFERROR(__xludf.DUMMYFUNCTION("REGEXREPLACE(C14186,""-\d+(.*)|--\d+(.*)"","""")"),"MAROLLES-SOUS-LIGNIERES")</f>
        <v>MAROLLES-SOUS-LIGNIERES</v>
      </c>
      <c r="E14186" s="38" t="s">
        <v>147</v>
      </c>
      <c r="F14186" s="38" t="s">
        <v>130</v>
      </c>
      <c r="G14186" s="49" t="str">
        <f t="shared" si="1"/>
        <v>10130</v>
      </c>
      <c r="H14186" s="49">
        <f t="shared" si="2"/>
        <v>10227</v>
      </c>
    </row>
    <row r="14187">
      <c r="A14187" s="48" t="s">
        <v>2942</v>
      </c>
      <c r="B14187" s="38">
        <v>14129.0</v>
      </c>
      <c r="C14187" s="38" t="s">
        <v>18481</v>
      </c>
      <c r="D14187" s="38" t="str">
        <f>IFERROR(__xludf.DUMMYFUNCTION("REGEXREPLACE(C14187,""-\d+(.*)|--\d+(.*)"","""")"),"CAMPEAUX")</f>
        <v>CAMPEAUX</v>
      </c>
      <c r="E14187" s="38" t="s">
        <v>137</v>
      </c>
      <c r="F14187" s="38" t="s">
        <v>138</v>
      </c>
      <c r="G14187" s="49" t="str">
        <f t="shared" si="1"/>
        <v>14350</v>
      </c>
      <c r="H14187" s="49">
        <f t="shared" si="2"/>
        <v>14129</v>
      </c>
    </row>
    <row r="14188">
      <c r="A14188" s="48" t="s">
        <v>5743</v>
      </c>
      <c r="B14188" s="38">
        <v>52301.0</v>
      </c>
      <c r="C14188" s="38" t="s">
        <v>18482</v>
      </c>
      <c r="D14188" s="38" t="str">
        <f>IFERROR(__xludf.DUMMYFUNCTION("REGEXREPLACE(C14188,""-\d+(.*)|--\d+(.*)"","""")"),"MAISONCELLES")</f>
        <v>MAISONCELLES</v>
      </c>
      <c r="E14188" s="38" t="s">
        <v>234</v>
      </c>
      <c r="F14188" s="38" t="s">
        <v>130</v>
      </c>
      <c r="G14188" s="49" t="str">
        <f t="shared" si="1"/>
        <v>52240</v>
      </c>
      <c r="H14188" s="49">
        <f t="shared" si="2"/>
        <v>52301</v>
      </c>
    </row>
    <row r="14189">
      <c r="A14189" s="48" t="s">
        <v>12547</v>
      </c>
      <c r="B14189" s="38">
        <v>60316.0</v>
      </c>
      <c r="C14189" s="38" t="s">
        <v>18483</v>
      </c>
      <c r="D14189" s="38" t="str">
        <f>IFERROR(__xludf.DUMMYFUNCTION("REGEXREPLACE(C14189,""-\d+(.*)|--\d+(.*)"","""")"),"HODENC-L'EVEQUE")</f>
        <v>HODENC-L'EVEQUE</v>
      </c>
      <c r="E14189" s="38" t="s">
        <v>112</v>
      </c>
      <c r="F14189" s="38" t="s">
        <v>113</v>
      </c>
      <c r="G14189" s="49" t="str">
        <f t="shared" si="1"/>
        <v>60430</v>
      </c>
      <c r="H14189" s="49">
        <f t="shared" si="2"/>
        <v>60316</v>
      </c>
    </row>
    <row r="14190">
      <c r="A14190" s="48" t="s">
        <v>6264</v>
      </c>
      <c r="B14190" s="38">
        <v>77149.0</v>
      </c>
      <c r="C14190" s="38" t="s">
        <v>18484</v>
      </c>
      <c r="D14190" s="38" t="str">
        <f>IFERROR(__xludf.DUMMYFUNCTION("REGEXREPLACE(C14190,""-\d+(.*)|--\d+(.*)"","""")"),"CUCHARMOY")</f>
        <v>CUCHARMOY</v>
      </c>
      <c r="E14190" s="38" t="s">
        <v>244</v>
      </c>
      <c r="F14190" s="38" t="s">
        <v>245</v>
      </c>
      <c r="G14190" s="49" t="str">
        <f t="shared" si="1"/>
        <v>77160</v>
      </c>
      <c r="H14190" s="49">
        <f t="shared" si="2"/>
        <v>77149</v>
      </c>
    </row>
    <row r="14191">
      <c r="A14191" s="48" t="s">
        <v>11269</v>
      </c>
      <c r="B14191" s="38">
        <v>51029.0</v>
      </c>
      <c r="C14191" s="38" t="s">
        <v>18485</v>
      </c>
      <c r="D14191" s="38" t="str">
        <f>IFERROR(__xludf.DUMMYFUNCTION("REGEXREPLACE(C14191,""-\d+(.*)|--\d+(.*)"","""")"),"AVIZE")</f>
        <v>AVIZE</v>
      </c>
      <c r="E14191" s="38" t="s">
        <v>129</v>
      </c>
      <c r="F14191" s="38" t="s">
        <v>130</v>
      </c>
      <c r="G14191" s="49" t="str">
        <f t="shared" si="1"/>
        <v>51190</v>
      </c>
      <c r="H14191" s="49">
        <f t="shared" si="2"/>
        <v>51029</v>
      </c>
    </row>
    <row r="14192">
      <c r="A14192" s="48" t="s">
        <v>10366</v>
      </c>
      <c r="B14192" s="38">
        <v>1304.0</v>
      </c>
      <c r="C14192" s="38" t="s">
        <v>18486</v>
      </c>
      <c r="D14192" s="38" t="str">
        <f>IFERROR(__xludf.DUMMYFUNCTION("REGEXREPLACE(C14192,""-\d+(.*)|--\d+(.*)"","""")"),"PONT-D'AIN")</f>
        <v>PONT-D'AIN</v>
      </c>
      <c r="E14192" s="38" t="s">
        <v>255</v>
      </c>
      <c r="F14192" s="38" t="s">
        <v>102</v>
      </c>
      <c r="G14192" s="49" t="str">
        <f t="shared" si="1"/>
        <v>01160</v>
      </c>
      <c r="H14192" s="49" t="str">
        <f t="shared" si="2"/>
        <v>01304</v>
      </c>
    </row>
    <row r="14193">
      <c r="A14193" s="48" t="s">
        <v>6519</v>
      </c>
      <c r="B14193" s="38">
        <v>81246.0</v>
      </c>
      <c r="C14193" s="38" t="s">
        <v>18487</v>
      </c>
      <c r="D14193" s="38" t="str">
        <f>IFERROR(__xludf.DUMMYFUNCTION("REGEXREPLACE(C14193,""-\d+(.*)|--\d+(.*)"","""")"),"SAINTE-CECILE-DU-CAYROU")</f>
        <v>SAINTE-CECILE-DU-CAYROU</v>
      </c>
      <c r="E14193" s="38" t="s">
        <v>231</v>
      </c>
      <c r="F14193" s="38" t="s">
        <v>94</v>
      </c>
      <c r="G14193" s="49" t="str">
        <f t="shared" si="1"/>
        <v>81140</v>
      </c>
      <c r="H14193" s="49">
        <f t="shared" si="2"/>
        <v>81246</v>
      </c>
    </row>
    <row r="14194">
      <c r="A14194" s="48" t="s">
        <v>443</v>
      </c>
      <c r="B14194" s="38">
        <v>24573.0</v>
      </c>
      <c r="C14194" s="38" t="s">
        <v>18488</v>
      </c>
      <c r="D14194" s="38" t="str">
        <f>IFERROR(__xludf.DUMMYFUNCTION("REGEXREPLACE(C14194,""-\d+(.*)|--\d+(.*)"","""")"),"VERTEILLAC")</f>
        <v>VERTEILLAC</v>
      </c>
      <c r="E14194" s="38" t="s">
        <v>261</v>
      </c>
      <c r="F14194" s="38" t="s">
        <v>252</v>
      </c>
      <c r="G14194" s="49" t="str">
        <f t="shared" si="1"/>
        <v>24320</v>
      </c>
      <c r="H14194" s="49">
        <f t="shared" si="2"/>
        <v>24573</v>
      </c>
    </row>
    <row r="14195">
      <c r="A14195" s="48" t="s">
        <v>16366</v>
      </c>
      <c r="B14195" s="38">
        <v>21500.0</v>
      </c>
      <c r="C14195" s="38" t="s">
        <v>18489</v>
      </c>
      <c r="D14195" s="38" t="str">
        <f>IFERROR(__xludf.DUMMYFUNCTION("REGEXREPLACE(C14195,""-\d+(.*)|--\d+(.*)"","""")"),"POUILLENAY")</f>
        <v>POUILLENAY</v>
      </c>
      <c r="E14195" s="38" t="s">
        <v>105</v>
      </c>
      <c r="F14195" s="38" t="s">
        <v>106</v>
      </c>
      <c r="G14195" s="49" t="str">
        <f t="shared" si="1"/>
        <v>21150</v>
      </c>
      <c r="H14195" s="49">
        <f t="shared" si="2"/>
        <v>21500</v>
      </c>
    </row>
    <row r="14196">
      <c r="A14196" s="48" t="s">
        <v>8069</v>
      </c>
      <c r="B14196" s="38">
        <v>60259.0</v>
      </c>
      <c r="C14196" s="38" t="s">
        <v>18490</v>
      </c>
      <c r="D14196" s="38" t="str">
        <f>IFERROR(__xludf.DUMMYFUNCTION("REGEXREPLACE(C14196,""-\d+(.*)|--\d+(.*)"","""")"),"FRESNOY-EN-THELLE")</f>
        <v>FRESNOY-EN-THELLE</v>
      </c>
      <c r="E14196" s="38" t="s">
        <v>112</v>
      </c>
      <c r="F14196" s="38" t="s">
        <v>113</v>
      </c>
      <c r="G14196" s="49" t="str">
        <f t="shared" si="1"/>
        <v>60530</v>
      </c>
      <c r="H14196" s="49">
        <f t="shared" si="2"/>
        <v>60259</v>
      </c>
    </row>
    <row r="14197">
      <c r="A14197" s="48" t="s">
        <v>2075</v>
      </c>
      <c r="B14197" s="38">
        <v>46314.0</v>
      </c>
      <c r="C14197" s="38" t="s">
        <v>18491</v>
      </c>
      <c r="D14197" s="38" t="str">
        <f>IFERROR(__xludf.DUMMYFUNCTION("REGEXREPLACE(C14197,""-\d+(.*)|--\d+(.*)"","""")"),"TERROU")</f>
        <v>TERROU</v>
      </c>
      <c r="E14197" s="38" t="s">
        <v>185</v>
      </c>
      <c r="F14197" s="38" t="s">
        <v>94</v>
      </c>
      <c r="G14197" s="49" t="str">
        <f t="shared" si="1"/>
        <v>46120</v>
      </c>
      <c r="H14197" s="49">
        <f t="shared" si="2"/>
        <v>46314</v>
      </c>
    </row>
    <row r="14198">
      <c r="A14198" s="48" t="s">
        <v>5372</v>
      </c>
      <c r="B14198" s="38">
        <v>73046.0</v>
      </c>
      <c r="C14198" s="38" t="s">
        <v>3173</v>
      </c>
      <c r="D14198" s="38" t="str">
        <f>IFERROR(__xludf.DUMMYFUNCTION("REGEXREPLACE(C14198,""-\d+(.*)|--\d+(.*)"","""")"),"BONNEVAL")</f>
        <v>BONNEVAL</v>
      </c>
      <c r="E14198" s="38" t="s">
        <v>306</v>
      </c>
      <c r="F14198" s="38" t="s">
        <v>102</v>
      </c>
      <c r="G14198" s="49" t="str">
        <f t="shared" si="1"/>
        <v>73260</v>
      </c>
      <c r="H14198" s="49">
        <f t="shared" si="2"/>
        <v>73046</v>
      </c>
    </row>
    <row r="14199">
      <c r="A14199" s="48" t="s">
        <v>2920</v>
      </c>
      <c r="B14199" s="38">
        <v>62550.0</v>
      </c>
      <c r="C14199" s="38" t="s">
        <v>18492</v>
      </c>
      <c r="D14199" s="38" t="str">
        <f>IFERROR(__xludf.DUMMYFUNCTION("REGEXREPLACE(C14199,""-\d+(.*)|--\d+(.*)"","""")"),"MARCONNELLE")</f>
        <v>MARCONNELLE</v>
      </c>
      <c r="E14199" s="38" t="s">
        <v>109</v>
      </c>
      <c r="F14199" s="38" t="s">
        <v>86</v>
      </c>
      <c r="G14199" s="49" t="str">
        <f t="shared" si="1"/>
        <v>62140</v>
      </c>
      <c r="H14199" s="49">
        <f t="shared" si="2"/>
        <v>62550</v>
      </c>
    </row>
    <row r="14200">
      <c r="A14200" s="48" t="s">
        <v>14346</v>
      </c>
      <c r="B14200" s="38">
        <v>43178.0</v>
      </c>
      <c r="C14200" s="38" t="s">
        <v>18493</v>
      </c>
      <c r="D14200" s="38" t="str">
        <f>IFERROR(__xludf.DUMMYFUNCTION("REGEXREPLACE(C14200,""-\d+(.*)|--\d+(.*)"","""")"),"SAINT-DIDIER-SUR-DOULON")</f>
        <v>SAINT-DIDIER-SUR-DOULON</v>
      </c>
      <c r="E14200" s="38" t="s">
        <v>332</v>
      </c>
      <c r="F14200" s="38" t="s">
        <v>161</v>
      </c>
      <c r="G14200" s="49" t="str">
        <f t="shared" si="1"/>
        <v>43440</v>
      </c>
      <c r="H14200" s="49">
        <f t="shared" si="2"/>
        <v>43178</v>
      </c>
    </row>
    <row r="14201">
      <c r="A14201" s="48" t="s">
        <v>18494</v>
      </c>
      <c r="B14201" s="38">
        <v>82101.0</v>
      </c>
      <c r="C14201" s="38" t="s">
        <v>18495</v>
      </c>
      <c r="D14201" s="38" t="str">
        <f>IFERROR(__xludf.DUMMYFUNCTION("REGEXREPLACE(C14201,""-\d+(.*)|--\d+(.*)"","""")"),"MALAUSE")</f>
        <v>MALAUSE</v>
      </c>
      <c r="E14201" s="38" t="s">
        <v>570</v>
      </c>
      <c r="F14201" s="38" t="s">
        <v>94</v>
      </c>
      <c r="G14201" s="49" t="str">
        <f t="shared" si="1"/>
        <v>82200</v>
      </c>
      <c r="H14201" s="49">
        <f t="shared" si="2"/>
        <v>82101</v>
      </c>
    </row>
    <row r="14202">
      <c r="A14202" s="48" t="s">
        <v>18496</v>
      </c>
      <c r="B14202" s="38">
        <v>30344.0</v>
      </c>
      <c r="C14202" s="38" t="s">
        <v>18497</v>
      </c>
      <c r="D14202" s="38" t="str">
        <f>IFERROR(__xludf.DUMMYFUNCTION("REGEXREPLACE(C14202,""-\d+(.*)|--\d+(.*)"","""")"),"VERGEZE")</f>
        <v>VERGEZE</v>
      </c>
      <c r="E14202" s="38" t="s">
        <v>526</v>
      </c>
      <c r="F14202" s="38" t="s">
        <v>119</v>
      </c>
      <c r="G14202" s="49" t="str">
        <f t="shared" si="1"/>
        <v>30310</v>
      </c>
      <c r="H14202" s="49">
        <f t="shared" si="2"/>
        <v>30344</v>
      </c>
    </row>
    <row r="14203">
      <c r="A14203" s="48" t="s">
        <v>5840</v>
      </c>
      <c r="B14203" s="38">
        <v>71191.0</v>
      </c>
      <c r="C14203" s="38" t="s">
        <v>18498</v>
      </c>
      <c r="D14203" s="38" t="str">
        <f>IFERROR(__xludf.DUMMYFUNCTION("REGEXREPLACE(C14203,""-\d+(.*)|--\d+(.*)"","""")"),"ESSERTENNE")</f>
        <v>ESSERTENNE</v>
      </c>
      <c r="E14203" s="38" t="s">
        <v>344</v>
      </c>
      <c r="F14203" s="38" t="s">
        <v>106</v>
      </c>
      <c r="G14203" s="49" t="str">
        <f t="shared" si="1"/>
        <v>71510</v>
      </c>
      <c r="H14203" s="49">
        <f t="shared" si="2"/>
        <v>71191</v>
      </c>
    </row>
    <row r="14204">
      <c r="A14204" s="48" t="s">
        <v>18499</v>
      </c>
      <c r="B14204" s="38">
        <v>37064.0</v>
      </c>
      <c r="C14204" s="38" t="s">
        <v>18500</v>
      </c>
      <c r="D14204" s="38" t="str">
        <f>IFERROR(__xludf.DUMMYFUNCTION("REGEXREPLACE(C14204,""-\d+(.*)|--\d+(.*)"","""")"),"CHAUMUSSAY")</f>
        <v>CHAUMUSSAY</v>
      </c>
      <c r="E14204" s="38" t="s">
        <v>205</v>
      </c>
      <c r="F14204" s="38" t="s">
        <v>123</v>
      </c>
      <c r="G14204" s="49" t="str">
        <f t="shared" si="1"/>
        <v>37350</v>
      </c>
      <c r="H14204" s="49">
        <f t="shared" si="2"/>
        <v>37064</v>
      </c>
    </row>
    <row r="14205">
      <c r="A14205" s="48" t="s">
        <v>1354</v>
      </c>
      <c r="B14205" s="38">
        <v>28209.0</v>
      </c>
      <c r="C14205" s="38" t="s">
        <v>18501</v>
      </c>
      <c r="D14205" s="38" t="str">
        <f>IFERROR(__xludf.DUMMYFUNCTION("REGEXREPLACE(C14205,""-\d+(.*)|--\d+(.*)"","""")"),"LEVES")</f>
        <v>LEVES</v>
      </c>
      <c r="E14205" s="38" t="s">
        <v>300</v>
      </c>
      <c r="F14205" s="38" t="s">
        <v>123</v>
      </c>
      <c r="G14205" s="49" t="str">
        <f t="shared" si="1"/>
        <v>28300</v>
      </c>
      <c r="H14205" s="49">
        <f t="shared" si="2"/>
        <v>28209</v>
      </c>
    </row>
    <row r="14206">
      <c r="A14206" s="48" t="s">
        <v>7192</v>
      </c>
      <c r="B14206" s="38">
        <v>61343.0</v>
      </c>
      <c r="C14206" s="38" t="s">
        <v>18502</v>
      </c>
      <c r="D14206" s="38" t="str">
        <f>IFERROR(__xludf.DUMMYFUNCTION("REGEXREPLACE(C14206,""-\d+(.*)|--\d+(.*)"","""")"),"RANDONNAI")</f>
        <v>RANDONNAI</v>
      </c>
      <c r="E14206" s="38" t="s">
        <v>141</v>
      </c>
      <c r="F14206" s="38" t="s">
        <v>138</v>
      </c>
      <c r="G14206" s="49" t="str">
        <f t="shared" si="1"/>
        <v>61190</v>
      </c>
      <c r="H14206" s="49">
        <f t="shared" si="2"/>
        <v>61343</v>
      </c>
    </row>
    <row r="14207">
      <c r="A14207" s="48" t="s">
        <v>1272</v>
      </c>
      <c r="B14207" s="38">
        <v>51022.0</v>
      </c>
      <c r="C14207" s="38" t="s">
        <v>18503</v>
      </c>
      <c r="D14207" s="38" t="str">
        <f>IFERROR(__xludf.DUMMYFUNCTION("REGEXREPLACE(C14207,""-\d+(.*)|--\d+(.*)"","""")"),"AULNAY-L'AITRE")</f>
        <v>AULNAY-L'AITRE</v>
      </c>
      <c r="E14207" s="38" t="s">
        <v>129</v>
      </c>
      <c r="F14207" s="38" t="s">
        <v>130</v>
      </c>
      <c r="G14207" s="49" t="str">
        <f t="shared" si="1"/>
        <v>51240</v>
      </c>
      <c r="H14207" s="49">
        <f t="shared" si="2"/>
        <v>51022</v>
      </c>
    </row>
    <row r="14208">
      <c r="A14208" s="48" t="s">
        <v>3759</v>
      </c>
      <c r="B14208" s="38">
        <v>17397.0</v>
      </c>
      <c r="C14208" s="38" t="s">
        <v>18504</v>
      </c>
      <c r="D14208" s="38" t="str">
        <f>IFERROR(__xludf.DUMMYFUNCTION("REGEXREPLACE(C14208,""-\d+(.*)|--\d+(.*)"","""")"),"SAINT-SAVINIEN")</f>
        <v>SAINT-SAVINIEN</v>
      </c>
      <c r="E14208" s="38" t="s">
        <v>488</v>
      </c>
      <c r="F14208" s="38" t="s">
        <v>338</v>
      </c>
      <c r="G14208" s="49" t="str">
        <f t="shared" si="1"/>
        <v>17350</v>
      </c>
      <c r="H14208" s="49">
        <f t="shared" si="2"/>
        <v>17397</v>
      </c>
    </row>
    <row r="14209">
      <c r="A14209" s="48" t="s">
        <v>14097</v>
      </c>
      <c r="B14209" s="38">
        <v>10192.0</v>
      </c>
      <c r="C14209" s="38" t="s">
        <v>18505</v>
      </c>
      <c r="D14209" s="38" t="str">
        <f>IFERROR(__xludf.DUMMYFUNCTION("REGEXREPLACE(C14209,""-\d+(.*)|--\d+(.*)"","""")"),"LENTILLES")</f>
        <v>LENTILLES</v>
      </c>
      <c r="E14209" s="38" t="s">
        <v>147</v>
      </c>
      <c r="F14209" s="38" t="s">
        <v>130</v>
      </c>
      <c r="G14209" s="49" t="str">
        <f t="shared" si="1"/>
        <v>10330</v>
      </c>
      <c r="H14209" s="49">
        <f t="shared" si="2"/>
        <v>10192</v>
      </c>
    </row>
    <row r="14210">
      <c r="A14210" s="48" t="s">
        <v>2459</v>
      </c>
      <c r="B14210" s="38" t="s">
        <v>18506</v>
      </c>
      <c r="C14210" s="38" t="s">
        <v>18507</v>
      </c>
      <c r="D14210" s="38" t="str">
        <f>IFERROR(__xludf.DUMMYFUNCTION("REGEXREPLACE(C14210,""-\d+(.*)|--\d+(.*)"","""")"),"PRUNO")</f>
        <v>PRUNO</v>
      </c>
      <c r="E14210" s="38" t="s">
        <v>743</v>
      </c>
      <c r="F14210" s="38" t="s">
        <v>607</v>
      </c>
      <c r="G14210" s="49" t="str">
        <f t="shared" si="1"/>
        <v>20213</v>
      </c>
      <c r="H14210" s="49" t="str">
        <f t="shared" si="2"/>
        <v>2B252</v>
      </c>
    </row>
    <row r="14211">
      <c r="A14211" s="48" t="s">
        <v>1896</v>
      </c>
      <c r="B14211" s="38">
        <v>51584.0</v>
      </c>
      <c r="C14211" s="38" t="s">
        <v>18508</v>
      </c>
      <c r="D14211" s="38" t="str">
        <f>IFERROR(__xludf.DUMMYFUNCTION("REGEXREPLACE(C14211,""-\d+(.*)|--\d+(.*)"","""")"),"TROIS-PUITS")</f>
        <v>TROIS-PUITS</v>
      </c>
      <c r="E14211" s="38" t="s">
        <v>129</v>
      </c>
      <c r="F14211" s="38" t="s">
        <v>130</v>
      </c>
      <c r="G14211" s="49" t="str">
        <f t="shared" si="1"/>
        <v>51500</v>
      </c>
      <c r="H14211" s="49">
        <f t="shared" si="2"/>
        <v>51584</v>
      </c>
    </row>
    <row r="14212">
      <c r="A14212" s="48" t="s">
        <v>5783</v>
      </c>
      <c r="B14212" s="38">
        <v>37227.0</v>
      </c>
      <c r="C14212" s="38" t="s">
        <v>18509</v>
      </c>
      <c r="D14212" s="38" t="str">
        <f>IFERROR(__xludf.DUMMYFUNCTION("REGEXREPLACE(C14212,""-\d+(.*)|--\d+(.*)"","""")"),"SAINT-MICHEL-SUR-LOIRE")</f>
        <v>SAINT-MICHEL-SUR-LOIRE</v>
      </c>
      <c r="E14212" s="38" t="s">
        <v>205</v>
      </c>
      <c r="F14212" s="38" t="s">
        <v>123</v>
      </c>
      <c r="G14212" s="49" t="str">
        <f t="shared" si="1"/>
        <v>37130</v>
      </c>
      <c r="H14212" s="49">
        <f t="shared" si="2"/>
        <v>37227</v>
      </c>
    </row>
    <row r="14213">
      <c r="A14213" s="48" t="s">
        <v>3458</v>
      </c>
      <c r="B14213" s="38">
        <v>52474.0</v>
      </c>
      <c r="C14213" s="38" t="s">
        <v>18510</v>
      </c>
      <c r="D14213" s="38" t="str">
        <f>IFERROR(__xludf.DUMMYFUNCTION("REGEXREPLACE(C14213,""-\d+(.*)|--\d+(.*)"","""")"),"SILVAROUVRES")</f>
        <v>SILVAROUVRES</v>
      </c>
      <c r="E14213" s="38" t="s">
        <v>234</v>
      </c>
      <c r="F14213" s="38" t="s">
        <v>130</v>
      </c>
      <c r="G14213" s="49" t="str">
        <f t="shared" si="1"/>
        <v>52120</v>
      </c>
      <c r="H14213" s="49">
        <f t="shared" si="2"/>
        <v>52474</v>
      </c>
    </row>
    <row r="14214">
      <c r="A14214" s="48" t="s">
        <v>3831</v>
      </c>
      <c r="B14214" s="38">
        <v>63405.0</v>
      </c>
      <c r="C14214" s="38" t="s">
        <v>18511</v>
      </c>
      <c r="D14214" s="38" t="str">
        <f>IFERROR(__xludf.DUMMYFUNCTION("REGEXREPLACE(C14214,""-\d+(.*)|--\d+(.*)"","""")"),"SALLEDES")</f>
        <v>SALLEDES</v>
      </c>
      <c r="E14214" s="38" t="s">
        <v>353</v>
      </c>
      <c r="F14214" s="38" t="s">
        <v>161</v>
      </c>
      <c r="G14214" s="49" t="str">
        <f t="shared" si="1"/>
        <v>63270</v>
      </c>
      <c r="H14214" s="49">
        <f t="shared" si="2"/>
        <v>63405</v>
      </c>
    </row>
    <row r="14215">
      <c r="A14215" s="48" t="s">
        <v>5302</v>
      </c>
      <c r="B14215" s="38">
        <v>14192.0</v>
      </c>
      <c r="C14215" s="38" t="s">
        <v>18512</v>
      </c>
      <c r="D14215" s="38" t="str">
        <f>IFERROR(__xludf.DUMMYFUNCTION("REGEXREPLACE(C14215,""-\d+(.*)|--\d+(.*)"","""")"),"COURSON")</f>
        <v>COURSON</v>
      </c>
      <c r="E14215" s="38" t="s">
        <v>137</v>
      </c>
      <c r="F14215" s="38" t="s">
        <v>138</v>
      </c>
      <c r="G14215" s="49" t="str">
        <f t="shared" si="1"/>
        <v>14380</v>
      </c>
      <c r="H14215" s="49">
        <f t="shared" si="2"/>
        <v>14192</v>
      </c>
    </row>
    <row r="14216">
      <c r="A14216" s="48" t="s">
        <v>2162</v>
      </c>
      <c r="B14216" s="38">
        <v>26268.0</v>
      </c>
      <c r="C14216" s="38" t="s">
        <v>18513</v>
      </c>
      <c r="D14216" s="38" t="str">
        <f>IFERROR(__xludf.DUMMYFUNCTION("REGEXREPLACE(C14216,""-\d+(.*)|--\d+(.*)"","""")"),"ROCHEBAUDIN")</f>
        <v>ROCHEBAUDIN</v>
      </c>
      <c r="E14216" s="38" t="s">
        <v>126</v>
      </c>
      <c r="F14216" s="38" t="s">
        <v>102</v>
      </c>
      <c r="G14216" s="49" t="str">
        <f t="shared" si="1"/>
        <v>26160</v>
      </c>
      <c r="H14216" s="49">
        <f t="shared" si="2"/>
        <v>26268</v>
      </c>
    </row>
    <row r="14217">
      <c r="A14217" s="48" t="s">
        <v>2532</v>
      </c>
      <c r="B14217" s="38">
        <v>51526.0</v>
      </c>
      <c r="C14217" s="38" t="s">
        <v>18514</v>
      </c>
      <c r="D14217" s="38" t="str">
        <f>IFERROR(__xludf.DUMMYFUNCTION("REGEXREPLACE(C14217,""-\d+(.*)|--\d+(.*)"","""")"),"SAUDOY")</f>
        <v>SAUDOY</v>
      </c>
      <c r="E14217" s="38" t="s">
        <v>129</v>
      </c>
      <c r="F14217" s="38" t="s">
        <v>130</v>
      </c>
      <c r="G14217" s="49" t="str">
        <f t="shared" si="1"/>
        <v>51120</v>
      </c>
      <c r="H14217" s="49">
        <f t="shared" si="2"/>
        <v>51526</v>
      </c>
    </row>
    <row r="14218">
      <c r="A14218" s="48" t="s">
        <v>15341</v>
      </c>
      <c r="B14218" s="38">
        <v>88467.0</v>
      </c>
      <c r="C14218" s="38" t="s">
        <v>18515</v>
      </c>
      <c r="D14218" s="38" t="str">
        <f>IFERROR(__xludf.DUMMYFUNCTION("REGEXREPLACE(C14218,""-\d+(.*)|--\d+(.*)"","""")"),"THIEFOSSE")</f>
        <v>THIEFOSSE</v>
      </c>
      <c r="E14218" s="38" t="s">
        <v>194</v>
      </c>
      <c r="F14218" s="38" t="s">
        <v>195</v>
      </c>
      <c r="G14218" s="49" t="str">
        <f t="shared" si="1"/>
        <v>88290</v>
      </c>
      <c r="H14218" s="49">
        <f t="shared" si="2"/>
        <v>88467</v>
      </c>
    </row>
    <row r="14219">
      <c r="A14219" s="48" t="s">
        <v>8525</v>
      </c>
      <c r="B14219" s="38">
        <v>44137.0</v>
      </c>
      <c r="C14219" s="38" t="s">
        <v>18516</v>
      </c>
      <c r="D14219" s="38" t="str">
        <f>IFERROR(__xludf.DUMMYFUNCTION("REGEXREPLACE(C14219,""-\d+(.*)|--\d+(.*)"","""")"),"PRINQUIAU")</f>
        <v>PRINQUIAU</v>
      </c>
      <c r="E14219" s="38" t="s">
        <v>759</v>
      </c>
      <c r="F14219" s="38" t="s">
        <v>180</v>
      </c>
      <c r="G14219" s="49" t="str">
        <f t="shared" si="1"/>
        <v>44260</v>
      </c>
      <c r="H14219" s="49">
        <f t="shared" si="2"/>
        <v>44137</v>
      </c>
    </row>
    <row r="14220">
      <c r="A14220" s="48" t="s">
        <v>13752</v>
      </c>
      <c r="B14220" s="38">
        <v>72024.0</v>
      </c>
      <c r="C14220" s="38" t="s">
        <v>18517</v>
      </c>
      <c r="D14220" s="38" t="str">
        <f>IFERROR(__xludf.DUMMYFUNCTION("REGEXREPLACE(C14220,""-\d+(.*)|--\d+(.*)"","""")"),"LA BAZOGE")</f>
        <v>LA BAZOGE</v>
      </c>
      <c r="E14220" s="38" t="s">
        <v>521</v>
      </c>
      <c r="F14220" s="38" t="s">
        <v>180</v>
      </c>
      <c r="G14220" s="49" t="str">
        <f t="shared" si="1"/>
        <v>72650</v>
      </c>
      <c r="H14220" s="49">
        <f t="shared" si="2"/>
        <v>72024</v>
      </c>
    </row>
    <row r="14221">
      <c r="A14221" s="48" t="s">
        <v>9734</v>
      </c>
      <c r="B14221" s="38">
        <v>62307.0</v>
      </c>
      <c r="C14221" s="38" t="s">
        <v>18518</v>
      </c>
      <c r="D14221" s="38" t="str">
        <f>IFERROR(__xludf.DUMMYFUNCTION("REGEXREPLACE(C14221,""-\d+(.*)|--\d+(.*)"","""")"),"ESCALLES")</f>
        <v>ESCALLES</v>
      </c>
      <c r="E14221" s="38" t="s">
        <v>109</v>
      </c>
      <c r="F14221" s="38" t="s">
        <v>86</v>
      </c>
      <c r="G14221" s="49" t="str">
        <f t="shared" si="1"/>
        <v>62179</v>
      </c>
      <c r="H14221" s="49">
        <f t="shared" si="2"/>
        <v>62307</v>
      </c>
    </row>
    <row r="14222">
      <c r="A14222" s="48" t="s">
        <v>4805</v>
      </c>
      <c r="B14222" s="38">
        <v>31158.0</v>
      </c>
      <c r="C14222" s="38" t="s">
        <v>18519</v>
      </c>
      <c r="D14222" s="38" t="str">
        <f>IFERROR(__xludf.DUMMYFUNCTION("REGEXREPLACE(C14222,""-\d+(.*)|--\d+(.*)"","""")"),"CUGURON")</f>
        <v>CUGURON</v>
      </c>
      <c r="E14222" s="38" t="s">
        <v>93</v>
      </c>
      <c r="F14222" s="38" t="s">
        <v>94</v>
      </c>
      <c r="G14222" s="49" t="str">
        <f t="shared" si="1"/>
        <v>31210</v>
      </c>
      <c r="H14222" s="49">
        <f t="shared" si="2"/>
        <v>31158</v>
      </c>
    </row>
    <row r="14223">
      <c r="A14223" s="48" t="s">
        <v>5273</v>
      </c>
      <c r="B14223" s="38">
        <v>53014.0</v>
      </c>
      <c r="C14223" s="38" t="s">
        <v>18520</v>
      </c>
      <c r="D14223" s="38" t="str">
        <f>IFERROR(__xludf.DUMMYFUNCTION("REGEXREPLACE(C14223,""-\d+(.*)|--\d+(.*)"","""")"),"AZE")</f>
        <v>AZE</v>
      </c>
      <c r="E14223" s="38" t="s">
        <v>518</v>
      </c>
      <c r="F14223" s="38" t="s">
        <v>180</v>
      </c>
      <c r="G14223" s="49" t="str">
        <f t="shared" si="1"/>
        <v>53200</v>
      </c>
      <c r="H14223" s="49">
        <f t="shared" si="2"/>
        <v>53014</v>
      </c>
    </row>
    <row r="14224">
      <c r="A14224" s="48" t="s">
        <v>3711</v>
      </c>
      <c r="B14224" s="38">
        <v>21064.0</v>
      </c>
      <c r="C14224" s="38" t="s">
        <v>18521</v>
      </c>
      <c r="D14224" s="38" t="str">
        <f>IFERROR(__xludf.DUMMYFUNCTION("REGEXREPLACE(C14224,""-\d+(.*)|--\d+(.*)"","""")"),"BENOISEY")</f>
        <v>BENOISEY</v>
      </c>
      <c r="E14224" s="38" t="s">
        <v>105</v>
      </c>
      <c r="F14224" s="38" t="s">
        <v>106</v>
      </c>
      <c r="G14224" s="49" t="str">
        <f t="shared" si="1"/>
        <v>21500</v>
      </c>
      <c r="H14224" s="49">
        <f t="shared" si="2"/>
        <v>21064</v>
      </c>
    </row>
    <row r="14225">
      <c r="A14225" s="48" t="s">
        <v>2320</v>
      </c>
      <c r="B14225" s="38">
        <v>74285.0</v>
      </c>
      <c r="C14225" s="38" t="s">
        <v>18522</v>
      </c>
      <c r="D14225" s="38" t="str">
        <f>IFERROR(__xludf.DUMMYFUNCTION("REGEXREPLACE(C14225,""-\d+(.*)|--\d+(.*)"","""")"),"USINENS")</f>
        <v>USINENS</v>
      </c>
      <c r="E14225" s="38" t="s">
        <v>319</v>
      </c>
      <c r="F14225" s="38" t="s">
        <v>102</v>
      </c>
      <c r="G14225" s="49" t="str">
        <f t="shared" si="1"/>
        <v>74910</v>
      </c>
      <c r="H14225" s="49">
        <f t="shared" si="2"/>
        <v>74285</v>
      </c>
    </row>
    <row r="14226">
      <c r="A14226" s="48" t="s">
        <v>15080</v>
      </c>
      <c r="B14226" s="38">
        <v>19104.0</v>
      </c>
      <c r="C14226" s="38" t="s">
        <v>18523</v>
      </c>
      <c r="D14226" s="38" t="str">
        <f>IFERROR(__xludf.DUMMYFUNCTION("REGEXREPLACE(C14226,""-\d+(.*)|--\d+(.*)"","""")"),"LAMONGERIE")</f>
        <v>LAMONGERIE</v>
      </c>
      <c r="E14226" s="38" t="s">
        <v>271</v>
      </c>
      <c r="F14226" s="38" t="s">
        <v>98</v>
      </c>
      <c r="G14226" s="49" t="str">
        <f t="shared" si="1"/>
        <v>19510</v>
      </c>
      <c r="H14226" s="49">
        <f t="shared" si="2"/>
        <v>19104</v>
      </c>
    </row>
    <row r="14227">
      <c r="A14227" s="48" t="s">
        <v>5933</v>
      </c>
      <c r="B14227" s="38">
        <v>64542.0</v>
      </c>
      <c r="C14227" s="38" t="s">
        <v>18524</v>
      </c>
      <c r="D14227" s="38" t="str">
        <f>IFERROR(__xludf.DUMMYFUNCTION("REGEXREPLACE(C14227,""-\d+(.*)|--\d+(.*)"","""")"),"URDOS")</f>
        <v>URDOS</v>
      </c>
      <c r="E14227" s="38" t="s">
        <v>268</v>
      </c>
      <c r="F14227" s="38" t="s">
        <v>252</v>
      </c>
      <c r="G14227" s="49" t="str">
        <f t="shared" si="1"/>
        <v>64490</v>
      </c>
      <c r="H14227" s="49">
        <f t="shared" si="2"/>
        <v>64542</v>
      </c>
    </row>
    <row r="14228">
      <c r="A14228" s="48" t="s">
        <v>15662</v>
      </c>
      <c r="B14228" s="38">
        <v>43030.0</v>
      </c>
      <c r="C14228" s="38" t="s">
        <v>18525</v>
      </c>
      <c r="D14228" s="38" t="str">
        <f>IFERROR(__xludf.DUMMYFUNCTION("REGEXREPLACE(C14228,""-\d+(.*)|--\d+(.*)"","""")"),"BLANZAC")</f>
        <v>BLANZAC</v>
      </c>
      <c r="E14228" s="38" t="s">
        <v>332</v>
      </c>
      <c r="F14228" s="38" t="s">
        <v>161</v>
      </c>
      <c r="G14228" s="49" t="str">
        <f t="shared" si="1"/>
        <v>43350</v>
      </c>
      <c r="H14228" s="49">
        <f t="shared" si="2"/>
        <v>43030</v>
      </c>
    </row>
    <row r="14229">
      <c r="A14229" s="48" t="s">
        <v>18526</v>
      </c>
      <c r="B14229" s="38">
        <v>16377.0</v>
      </c>
      <c r="C14229" s="38" t="s">
        <v>18527</v>
      </c>
      <c r="D14229" s="38" t="str">
        <f>IFERROR(__xludf.DUMMYFUNCTION("REGEXREPLACE(C14229,""-\d+(.*)|--\d+(.*)"","""")"),"LA TACHE")</f>
        <v>LA TACHE</v>
      </c>
      <c r="E14229" s="38" t="s">
        <v>429</v>
      </c>
      <c r="F14229" s="38" t="s">
        <v>338</v>
      </c>
      <c r="G14229" s="49" t="str">
        <f t="shared" si="1"/>
        <v>16260</v>
      </c>
      <c r="H14229" s="49">
        <f t="shared" si="2"/>
        <v>16377</v>
      </c>
    </row>
    <row r="14230">
      <c r="A14230" s="48" t="s">
        <v>5405</v>
      </c>
      <c r="B14230" s="38">
        <v>85184.0</v>
      </c>
      <c r="C14230" s="38" t="s">
        <v>18528</v>
      </c>
      <c r="D14230" s="38" t="str">
        <f>IFERROR(__xludf.DUMMYFUNCTION("REGEXREPLACE(C14230,""-\d+(.*)|--\d+(.*)"","""")"),"PUY-DE-SERRE")</f>
        <v>PUY-DE-SERRE</v>
      </c>
      <c r="E14230" s="38" t="s">
        <v>179</v>
      </c>
      <c r="F14230" s="38" t="s">
        <v>180</v>
      </c>
      <c r="G14230" s="49" t="str">
        <f t="shared" si="1"/>
        <v>85240</v>
      </c>
      <c r="H14230" s="49">
        <f t="shared" si="2"/>
        <v>85184</v>
      </c>
    </row>
    <row r="14231">
      <c r="A14231" s="48" t="s">
        <v>1598</v>
      </c>
      <c r="B14231" s="38">
        <v>77134.0</v>
      </c>
      <c r="C14231" s="38" t="s">
        <v>18529</v>
      </c>
      <c r="D14231" s="38" t="str">
        <f>IFERROR(__xludf.DUMMYFUNCTION("REGEXREPLACE(C14231,""-\d+(.*)|--\d+(.*)"","""")"),"COURCHAMP")</f>
        <v>COURCHAMP</v>
      </c>
      <c r="E14231" s="38" t="s">
        <v>244</v>
      </c>
      <c r="F14231" s="38" t="s">
        <v>245</v>
      </c>
      <c r="G14231" s="49" t="str">
        <f t="shared" si="1"/>
        <v>77560</v>
      </c>
      <c r="H14231" s="49">
        <f t="shared" si="2"/>
        <v>77134</v>
      </c>
    </row>
    <row r="14232">
      <c r="A14232" s="48" t="s">
        <v>591</v>
      </c>
      <c r="B14232" s="38">
        <v>85092.0</v>
      </c>
      <c r="C14232" s="38" t="s">
        <v>18530</v>
      </c>
      <c r="D14232" s="38" t="str">
        <f>IFERROR(__xludf.DUMMYFUNCTION("REGEXREPLACE(C14232,""-\d+(.*)|--\d+(.*)"","""")"),"FONTENAY-LE-COMTE")</f>
        <v>FONTENAY-LE-COMTE</v>
      </c>
      <c r="E14232" s="38" t="s">
        <v>179</v>
      </c>
      <c r="F14232" s="38" t="s">
        <v>180</v>
      </c>
      <c r="G14232" s="49" t="str">
        <f t="shared" si="1"/>
        <v>85200</v>
      </c>
      <c r="H14232" s="49">
        <f t="shared" si="2"/>
        <v>85092</v>
      </c>
    </row>
    <row r="14233">
      <c r="A14233" s="48" t="s">
        <v>809</v>
      </c>
      <c r="B14233" s="38">
        <v>33152.0</v>
      </c>
      <c r="C14233" s="38" t="s">
        <v>16918</v>
      </c>
      <c r="D14233" s="38" t="str">
        <f>IFERROR(__xludf.DUMMYFUNCTION("REGEXREPLACE(C14233,""-\d+(.*)|--\d+(.*)"","""")"),"DONZAC")</f>
        <v>DONZAC</v>
      </c>
      <c r="E14233" s="38" t="s">
        <v>462</v>
      </c>
      <c r="F14233" s="38" t="s">
        <v>252</v>
      </c>
      <c r="G14233" s="49" t="str">
        <f t="shared" si="1"/>
        <v>33410</v>
      </c>
      <c r="H14233" s="49">
        <f t="shared" si="2"/>
        <v>33152</v>
      </c>
    </row>
    <row r="14234">
      <c r="A14234" s="48" t="s">
        <v>286</v>
      </c>
      <c r="B14234" s="38">
        <v>68160.0</v>
      </c>
      <c r="C14234" s="38" t="s">
        <v>18531</v>
      </c>
      <c r="D14234" s="38" t="str">
        <f>IFERROR(__xludf.DUMMYFUNCTION("REGEXREPLACE(C14234,""-\d+(.*)|--\d+(.*)"","""")"),"KAPPELEN")</f>
        <v>KAPPELEN</v>
      </c>
      <c r="E14234" s="38" t="s">
        <v>150</v>
      </c>
      <c r="F14234" s="38" t="s">
        <v>151</v>
      </c>
      <c r="G14234" s="49" t="str">
        <f t="shared" si="1"/>
        <v>68510</v>
      </c>
      <c r="H14234" s="49">
        <f t="shared" si="2"/>
        <v>68160</v>
      </c>
    </row>
    <row r="14235">
      <c r="A14235" s="48" t="s">
        <v>16706</v>
      </c>
      <c r="B14235" s="38">
        <v>82137.0</v>
      </c>
      <c r="C14235" s="38" t="s">
        <v>18532</v>
      </c>
      <c r="D14235" s="38" t="str">
        <f>IFERROR(__xludf.DUMMYFUNCTION("REGEXREPLACE(C14235,""-\d+(.*)|--\d+(.*)"","""")"),"PARISOT")</f>
        <v>PARISOT</v>
      </c>
      <c r="E14235" s="38" t="s">
        <v>570</v>
      </c>
      <c r="F14235" s="38" t="s">
        <v>94</v>
      </c>
      <c r="G14235" s="49" t="str">
        <f t="shared" si="1"/>
        <v>82160</v>
      </c>
      <c r="H14235" s="49">
        <f t="shared" si="2"/>
        <v>82137</v>
      </c>
    </row>
    <row r="14236">
      <c r="A14236" s="48" t="s">
        <v>18533</v>
      </c>
      <c r="B14236" s="38">
        <v>77531.0</v>
      </c>
      <c r="C14236" s="38" t="s">
        <v>18534</v>
      </c>
      <c r="D14236" s="38" t="str">
        <f>IFERROR(__xludf.DUMMYFUNCTION("REGEXREPLACE(C14236,""-\d+(.*)|--\d+(.*)"","""")"),"VOULX")</f>
        <v>VOULX</v>
      </c>
      <c r="E14236" s="38" t="s">
        <v>244</v>
      </c>
      <c r="F14236" s="38" t="s">
        <v>245</v>
      </c>
      <c r="G14236" s="49" t="str">
        <f t="shared" si="1"/>
        <v>77940</v>
      </c>
      <c r="H14236" s="49">
        <f t="shared" si="2"/>
        <v>77531</v>
      </c>
    </row>
    <row r="14237">
      <c r="A14237" s="48" t="s">
        <v>4199</v>
      </c>
      <c r="B14237" s="38">
        <v>17099.0</v>
      </c>
      <c r="C14237" s="38" t="s">
        <v>18535</v>
      </c>
      <c r="D14237" s="38" t="str">
        <f>IFERROR(__xludf.DUMMYFUNCTION("REGEXREPLACE(C14237,""-\d+(.*)|--\d+(.*)"","""")"),"CHEPNIERS")</f>
        <v>CHEPNIERS</v>
      </c>
      <c r="E14237" s="38" t="s">
        <v>488</v>
      </c>
      <c r="F14237" s="38" t="s">
        <v>338</v>
      </c>
      <c r="G14237" s="49" t="str">
        <f t="shared" si="1"/>
        <v>17210</v>
      </c>
      <c r="H14237" s="49">
        <f t="shared" si="2"/>
        <v>17099</v>
      </c>
    </row>
    <row r="14238">
      <c r="A14238" s="48" t="s">
        <v>5250</v>
      </c>
      <c r="B14238" s="38">
        <v>27209.0</v>
      </c>
      <c r="C14238" s="38" t="s">
        <v>18536</v>
      </c>
      <c r="D14238" s="38" t="str">
        <f>IFERROR(__xludf.DUMMYFUNCTION("REGEXREPLACE(C14238,""-\d+(.*)|--\d+(.*)"","""")"),"ECAQUELON")</f>
        <v>ECAQUELON</v>
      </c>
      <c r="E14238" s="38" t="s">
        <v>241</v>
      </c>
      <c r="F14238" s="38" t="s">
        <v>134</v>
      </c>
      <c r="G14238" s="49" t="str">
        <f t="shared" si="1"/>
        <v>27290</v>
      </c>
      <c r="H14238" s="49">
        <f t="shared" si="2"/>
        <v>27209</v>
      </c>
    </row>
    <row r="14239">
      <c r="A14239" s="48" t="s">
        <v>7116</v>
      </c>
      <c r="B14239" s="38">
        <v>84139.0</v>
      </c>
      <c r="C14239" s="38" t="s">
        <v>18537</v>
      </c>
      <c r="D14239" s="38" t="str">
        <f>IFERROR(__xludf.DUMMYFUNCTION("REGEXREPLACE(C14239,""-\d+(.*)|--\d+(.*)"","""")"),"FONTAINE-DE-VAUCLUSE")</f>
        <v>FONTAINE-DE-VAUCLUSE</v>
      </c>
      <c r="E14239" s="38" t="s">
        <v>1026</v>
      </c>
      <c r="F14239" s="38" t="s">
        <v>228</v>
      </c>
      <c r="G14239" s="49" t="str">
        <f t="shared" si="1"/>
        <v>84800</v>
      </c>
      <c r="H14239" s="49">
        <f t="shared" si="2"/>
        <v>84139</v>
      </c>
    </row>
    <row r="14240">
      <c r="A14240" s="48" t="s">
        <v>1089</v>
      </c>
      <c r="B14240" s="38">
        <v>67467.0</v>
      </c>
      <c r="C14240" s="38" t="s">
        <v>18538</v>
      </c>
      <c r="D14240" s="38" t="str">
        <f>IFERROR(__xludf.DUMMYFUNCTION("REGEXREPLACE(C14240,""-\d+(.*)|--\d+(.*)"","""")"),"SIEWILLER")</f>
        <v>SIEWILLER</v>
      </c>
      <c r="E14240" s="38" t="s">
        <v>210</v>
      </c>
      <c r="F14240" s="38" t="s">
        <v>151</v>
      </c>
      <c r="G14240" s="49" t="str">
        <f t="shared" si="1"/>
        <v>67320</v>
      </c>
      <c r="H14240" s="49">
        <f t="shared" si="2"/>
        <v>67467</v>
      </c>
    </row>
    <row r="14241">
      <c r="A14241" s="48" t="s">
        <v>1293</v>
      </c>
      <c r="B14241" s="38">
        <v>25607.0</v>
      </c>
      <c r="C14241" s="38" t="s">
        <v>18539</v>
      </c>
      <c r="D14241" s="38" t="str">
        <f>IFERROR(__xludf.DUMMYFUNCTION("REGEXREPLACE(C14241,""-\d+(.*)|--\d+(.*)"","""")"),"VERNOIS-LES-BELVOIR")</f>
        <v>VERNOIS-LES-BELVOIR</v>
      </c>
      <c r="E14241" s="38" t="s">
        <v>213</v>
      </c>
      <c r="F14241" s="38" t="s">
        <v>214</v>
      </c>
      <c r="G14241" s="49" t="str">
        <f t="shared" si="1"/>
        <v>25430</v>
      </c>
      <c r="H14241" s="49">
        <f t="shared" si="2"/>
        <v>25607</v>
      </c>
    </row>
    <row r="14242">
      <c r="A14242" s="48" t="s">
        <v>5221</v>
      </c>
      <c r="B14242" s="38">
        <v>56182.0</v>
      </c>
      <c r="C14242" s="38" t="s">
        <v>18540</v>
      </c>
      <c r="D14242" s="38" t="str">
        <f>IFERROR(__xludf.DUMMYFUNCTION("REGEXREPLACE(C14242,""-\d+(.*)|--\d+(.*)"","""")"),"PRIZIAC")</f>
        <v>PRIZIAC</v>
      </c>
      <c r="E14242" s="38" t="s">
        <v>173</v>
      </c>
      <c r="F14242" s="38" t="s">
        <v>90</v>
      </c>
      <c r="G14242" s="49" t="str">
        <f t="shared" si="1"/>
        <v>56320</v>
      </c>
      <c r="H14242" s="49">
        <f t="shared" si="2"/>
        <v>56182</v>
      </c>
    </row>
    <row r="14243">
      <c r="A14243" s="48" t="s">
        <v>5958</v>
      </c>
      <c r="B14243" s="38">
        <v>68216.0</v>
      </c>
      <c r="C14243" s="38" t="s">
        <v>18541</v>
      </c>
      <c r="D14243" s="38" t="str">
        <f>IFERROR(__xludf.DUMMYFUNCTION("REGEXREPLACE(C14243,""-\d+(.*)|--\d+(.*)"","""")"),"MOOSLARGUE")</f>
        <v>MOOSLARGUE</v>
      </c>
      <c r="E14243" s="38" t="s">
        <v>150</v>
      </c>
      <c r="F14243" s="38" t="s">
        <v>151</v>
      </c>
      <c r="G14243" s="49" t="str">
        <f t="shared" si="1"/>
        <v>68580</v>
      </c>
      <c r="H14243" s="49">
        <f t="shared" si="2"/>
        <v>68216</v>
      </c>
    </row>
    <row r="14244">
      <c r="A14244" s="48" t="s">
        <v>1038</v>
      </c>
      <c r="B14244" s="38">
        <v>50408.0</v>
      </c>
      <c r="C14244" s="38" t="s">
        <v>18542</v>
      </c>
      <c r="D14244" s="38" t="str">
        <f>IFERROR(__xludf.DUMMYFUNCTION("REGEXREPLACE(C14244,""-\d+(.*)|--\d+(.*)"","""")"),"PONTAUBAULT")</f>
        <v>PONTAUBAULT</v>
      </c>
      <c r="E14244" s="38" t="s">
        <v>157</v>
      </c>
      <c r="F14244" s="38" t="s">
        <v>138</v>
      </c>
      <c r="G14244" s="49" t="str">
        <f t="shared" si="1"/>
        <v>50220</v>
      </c>
      <c r="H14244" s="49">
        <f t="shared" si="2"/>
        <v>50408</v>
      </c>
    </row>
    <row r="14245">
      <c r="A14245" s="48" t="s">
        <v>3898</v>
      </c>
      <c r="B14245" s="38">
        <v>65080.0</v>
      </c>
      <c r="C14245" s="38" t="s">
        <v>18543</v>
      </c>
      <c r="D14245" s="38" t="str">
        <f>IFERROR(__xludf.DUMMYFUNCTION("REGEXREPLACE(C14245,""-\d+(.*)|--\d+(.*)"","""")"),"BENAC")</f>
        <v>BENAC</v>
      </c>
      <c r="E14245" s="38" t="s">
        <v>200</v>
      </c>
      <c r="F14245" s="38" t="s">
        <v>94</v>
      </c>
      <c r="G14245" s="49" t="str">
        <f t="shared" si="1"/>
        <v>65380</v>
      </c>
      <c r="H14245" s="49">
        <f t="shared" si="2"/>
        <v>65080</v>
      </c>
    </row>
    <row r="14246">
      <c r="A14246" s="48" t="s">
        <v>18544</v>
      </c>
      <c r="B14246" s="38">
        <v>44115.0</v>
      </c>
      <c r="C14246" s="38" t="s">
        <v>18545</v>
      </c>
      <c r="D14246" s="38" t="str">
        <f>IFERROR(__xludf.DUMMYFUNCTION("REGEXREPLACE(C14246,""-\d+(.*)|--\d+(.*)"","""")"),"OUDON")</f>
        <v>OUDON</v>
      </c>
      <c r="E14246" s="38" t="s">
        <v>759</v>
      </c>
      <c r="F14246" s="38" t="s">
        <v>180</v>
      </c>
      <c r="G14246" s="49" t="str">
        <f t="shared" si="1"/>
        <v>44521</v>
      </c>
      <c r="H14246" s="49">
        <f t="shared" si="2"/>
        <v>44115</v>
      </c>
    </row>
    <row r="14247">
      <c r="A14247" s="48" t="s">
        <v>4814</v>
      </c>
      <c r="B14247" s="38">
        <v>57750.0</v>
      </c>
      <c r="C14247" s="38" t="s">
        <v>18546</v>
      </c>
      <c r="D14247" s="38" t="str">
        <f>IFERROR(__xludf.DUMMYFUNCTION("REGEXREPLACE(C14247,""-\d+(.*)|--\d+(.*)"","""")"),"WOELFLING-LES-SARREGUEMINES")</f>
        <v>WOELFLING-LES-SARREGUEMINES</v>
      </c>
      <c r="E14247" s="38" t="s">
        <v>303</v>
      </c>
      <c r="F14247" s="38" t="s">
        <v>195</v>
      </c>
      <c r="G14247" s="49" t="str">
        <f t="shared" si="1"/>
        <v>57200</v>
      </c>
      <c r="H14247" s="49">
        <f t="shared" si="2"/>
        <v>57750</v>
      </c>
    </row>
    <row r="14248">
      <c r="A14248" s="48" t="s">
        <v>5461</v>
      </c>
      <c r="B14248" s="38">
        <v>86208.0</v>
      </c>
      <c r="C14248" s="38" t="s">
        <v>18547</v>
      </c>
      <c r="D14248" s="38" t="str">
        <f>IFERROR(__xludf.DUMMYFUNCTION("REGEXREPLACE(C14248,""-\d+(.*)|--\d+(.*)"","""")"),"LE ROCHEREAU")</f>
        <v>LE ROCHEREAU</v>
      </c>
      <c r="E14248" s="38" t="s">
        <v>529</v>
      </c>
      <c r="F14248" s="38" t="s">
        <v>338</v>
      </c>
      <c r="G14248" s="49" t="str">
        <f t="shared" si="1"/>
        <v>86170</v>
      </c>
      <c r="H14248" s="49">
        <f t="shared" si="2"/>
        <v>86208</v>
      </c>
    </row>
    <row r="14249">
      <c r="A14249" s="48" t="s">
        <v>4176</v>
      </c>
      <c r="B14249" s="38">
        <v>41018.0</v>
      </c>
      <c r="C14249" s="38" t="s">
        <v>18548</v>
      </c>
      <c r="D14249" s="38" t="str">
        <f>IFERROR(__xludf.DUMMYFUNCTION("REGEXREPLACE(C14249,""-\d+(.*)|--\d+(.*)"","""")"),"BLOIS")</f>
        <v>BLOIS</v>
      </c>
      <c r="E14249" s="38" t="s">
        <v>188</v>
      </c>
      <c r="F14249" s="38" t="s">
        <v>123</v>
      </c>
      <c r="G14249" s="49" t="str">
        <f t="shared" si="1"/>
        <v>41000</v>
      </c>
      <c r="H14249" s="49">
        <f t="shared" si="2"/>
        <v>41018</v>
      </c>
    </row>
    <row r="14250">
      <c r="A14250" s="48" t="s">
        <v>12826</v>
      </c>
      <c r="B14250" s="38">
        <v>45214.0</v>
      </c>
      <c r="C14250" s="38" t="s">
        <v>5740</v>
      </c>
      <c r="D14250" s="38" t="str">
        <f>IFERROR(__xludf.DUMMYFUNCTION("REGEXREPLACE(C14250,""-\d+(.*)|--\d+(.*)"","""")"),"MONTIGNY")</f>
        <v>MONTIGNY</v>
      </c>
      <c r="E14250" s="38" t="s">
        <v>122</v>
      </c>
      <c r="F14250" s="38" t="s">
        <v>123</v>
      </c>
      <c r="G14250" s="49" t="str">
        <f t="shared" si="1"/>
        <v>45170</v>
      </c>
      <c r="H14250" s="49">
        <f t="shared" si="2"/>
        <v>45214</v>
      </c>
    </row>
    <row r="14251">
      <c r="A14251" s="48" t="s">
        <v>3662</v>
      </c>
      <c r="B14251" s="38">
        <v>80251.0</v>
      </c>
      <c r="C14251" s="38" t="s">
        <v>18549</v>
      </c>
      <c r="D14251" s="38" t="str">
        <f>IFERROR(__xludf.DUMMYFUNCTION("REGEXREPLACE(C14251,""-\d+(.*)|--\d+(.*)"","""")"),"DOUDELAINVILLE")</f>
        <v>DOUDELAINVILLE</v>
      </c>
      <c r="E14251" s="38" t="s">
        <v>224</v>
      </c>
      <c r="F14251" s="38" t="s">
        <v>113</v>
      </c>
      <c r="G14251" s="49" t="str">
        <f t="shared" si="1"/>
        <v>80140</v>
      </c>
      <c r="H14251" s="49">
        <f t="shared" si="2"/>
        <v>80251</v>
      </c>
    </row>
    <row r="14252">
      <c r="A14252" s="48" t="s">
        <v>1754</v>
      </c>
      <c r="B14252" s="38">
        <v>14576.0</v>
      </c>
      <c r="C14252" s="38" t="s">
        <v>18550</v>
      </c>
      <c r="D14252" s="38" t="str">
        <f>IFERROR(__xludf.DUMMYFUNCTION("REGEXREPLACE(C14252,""-\d+(.*)|--\d+(.*)"","""")"),"SAINTE-FOY-DE-MONTGOMMERY")</f>
        <v>SAINTE-FOY-DE-MONTGOMMERY</v>
      </c>
      <c r="E14252" s="38" t="s">
        <v>137</v>
      </c>
      <c r="F14252" s="38" t="s">
        <v>138</v>
      </c>
      <c r="G14252" s="49" t="str">
        <f t="shared" si="1"/>
        <v>14140</v>
      </c>
      <c r="H14252" s="49">
        <f t="shared" si="2"/>
        <v>14576</v>
      </c>
    </row>
    <row r="14253">
      <c r="A14253" s="48" t="s">
        <v>832</v>
      </c>
      <c r="B14253" s="38">
        <v>12177.0</v>
      </c>
      <c r="C14253" s="38" t="s">
        <v>18551</v>
      </c>
      <c r="D14253" s="38" t="str">
        <f>IFERROR(__xludf.DUMMYFUNCTION("REGEXREPLACE(C14253,""-\d+(.*)|--\d+(.*)"","""")"),"PALMAS")</f>
        <v>PALMAS</v>
      </c>
      <c r="E14253" s="38" t="s">
        <v>465</v>
      </c>
      <c r="F14253" s="38" t="s">
        <v>94</v>
      </c>
      <c r="G14253" s="49" t="str">
        <f t="shared" si="1"/>
        <v>12310</v>
      </c>
      <c r="H14253" s="49">
        <f t="shared" si="2"/>
        <v>12177</v>
      </c>
    </row>
    <row r="14254">
      <c r="A14254" s="48" t="s">
        <v>3028</v>
      </c>
      <c r="B14254" s="38">
        <v>21209.0</v>
      </c>
      <c r="C14254" s="38" t="s">
        <v>18552</v>
      </c>
      <c r="D14254" s="38" t="str">
        <f>IFERROR(__xludf.DUMMYFUNCTION("REGEXREPLACE(C14254,""-\d+(.*)|--\d+(.*)"","""")"),"COUTERNON")</f>
        <v>COUTERNON</v>
      </c>
      <c r="E14254" s="38" t="s">
        <v>105</v>
      </c>
      <c r="F14254" s="38" t="s">
        <v>106</v>
      </c>
      <c r="G14254" s="49" t="str">
        <f t="shared" si="1"/>
        <v>21560</v>
      </c>
      <c r="H14254" s="49">
        <f t="shared" si="2"/>
        <v>21209</v>
      </c>
    </row>
    <row r="14255">
      <c r="A14255" s="48" t="s">
        <v>18553</v>
      </c>
      <c r="B14255" s="38">
        <v>57331.0</v>
      </c>
      <c r="C14255" s="38" t="s">
        <v>18554</v>
      </c>
      <c r="D14255" s="38" t="str">
        <f>IFERROR(__xludf.DUMMYFUNCTION("REGEXREPLACE(C14255,""-\d+(.*)|--\d+(.*)"","""")"),"HOMBOURG-BUDANGE")</f>
        <v>HOMBOURG-BUDANGE</v>
      </c>
      <c r="E14255" s="38" t="s">
        <v>303</v>
      </c>
      <c r="F14255" s="38" t="s">
        <v>195</v>
      </c>
      <c r="G14255" s="49" t="str">
        <f t="shared" si="1"/>
        <v>57920</v>
      </c>
      <c r="H14255" s="49">
        <f t="shared" si="2"/>
        <v>57331</v>
      </c>
    </row>
    <row r="14256">
      <c r="A14256" s="48" t="s">
        <v>9028</v>
      </c>
      <c r="B14256" s="38">
        <v>65430.0</v>
      </c>
      <c r="C14256" s="38" t="s">
        <v>18555</v>
      </c>
      <c r="D14256" s="38" t="str">
        <f>IFERROR(__xludf.DUMMYFUNCTION("REGEXREPLACE(C14256,""-\d+(.*)|--\d+(.*)"","""")"),"SOREAC")</f>
        <v>SOREAC</v>
      </c>
      <c r="E14256" s="38" t="s">
        <v>200</v>
      </c>
      <c r="F14256" s="38" t="s">
        <v>94</v>
      </c>
      <c r="G14256" s="49" t="str">
        <f t="shared" si="1"/>
        <v>65350</v>
      </c>
      <c r="H14256" s="49">
        <f t="shared" si="2"/>
        <v>65430</v>
      </c>
    </row>
    <row r="14257">
      <c r="A14257" s="48" t="s">
        <v>18556</v>
      </c>
      <c r="B14257" s="38">
        <v>62424.0</v>
      </c>
      <c r="C14257" s="38" t="s">
        <v>18557</v>
      </c>
      <c r="D14257" s="38" t="str">
        <f>IFERROR(__xludf.DUMMYFUNCTION("REGEXREPLACE(C14257,""-\d+(.*)|--\d+(.*)"","""")"),"HENDECOURT-LES-CAGNICOURT")</f>
        <v>HENDECOURT-LES-CAGNICOURT</v>
      </c>
      <c r="E14257" s="38" t="s">
        <v>109</v>
      </c>
      <c r="F14257" s="38" t="s">
        <v>86</v>
      </c>
      <c r="G14257" s="49" t="str">
        <f t="shared" si="1"/>
        <v>62182</v>
      </c>
      <c r="H14257" s="49">
        <f t="shared" si="2"/>
        <v>62424</v>
      </c>
    </row>
    <row r="14258">
      <c r="A14258" s="48" t="s">
        <v>11867</v>
      </c>
      <c r="B14258" s="38">
        <v>34239.0</v>
      </c>
      <c r="C14258" s="38" t="s">
        <v>18558</v>
      </c>
      <c r="D14258" s="38" t="str">
        <f>IFERROR(__xludf.DUMMYFUNCTION("REGEXREPLACE(C14258,""-\d+(.*)|--\d+(.*)"","""")"),"SAINT-ANDRE-DE-SANGONIS")</f>
        <v>SAINT-ANDRE-DE-SANGONIS</v>
      </c>
      <c r="E14258" s="38" t="s">
        <v>118</v>
      </c>
      <c r="F14258" s="38" t="s">
        <v>119</v>
      </c>
      <c r="G14258" s="49" t="str">
        <f t="shared" si="1"/>
        <v>34725</v>
      </c>
      <c r="H14258" s="49">
        <f t="shared" si="2"/>
        <v>34239</v>
      </c>
    </row>
    <row r="14259">
      <c r="A14259" s="48" t="s">
        <v>5030</v>
      </c>
      <c r="B14259" s="38">
        <v>65200.0</v>
      </c>
      <c r="C14259" s="38" t="s">
        <v>18559</v>
      </c>
      <c r="D14259" s="38" t="str">
        <f>IFERROR(__xludf.DUMMYFUNCTION("REGEXREPLACE(C14259,""-\d+(.*)|--\d+(.*)"","""")"),"GERMS-SUR-L'OUSSOUET")</f>
        <v>GERMS-SUR-L'OUSSOUET</v>
      </c>
      <c r="E14259" s="38" t="s">
        <v>200</v>
      </c>
      <c r="F14259" s="38" t="s">
        <v>94</v>
      </c>
      <c r="G14259" s="49" t="str">
        <f t="shared" si="1"/>
        <v>65200</v>
      </c>
      <c r="H14259" s="49">
        <f t="shared" si="2"/>
        <v>65200</v>
      </c>
    </row>
    <row r="14260">
      <c r="A14260" s="48" t="s">
        <v>5207</v>
      </c>
      <c r="B14260" s="38">
        <v>85063.0</v>
      </c>
      <c r="C14260" s="38" t="s">
        <v>18560</v>
      </c>
      <c r="D14260" s="38" t="str">
        <f>IFERROR(__xludf.DUMMYFUNCTION("REGEXREPLACE(C14260,""-\d+(.*)|--\d+(.*)"","""")"),"LES CHATELLIERS-CHATEAUMUR")</f>
        <v>LES CHATELLIERS-CHATEAUMUR</v>
      </c>
      <c r="E14260" s="38" t="s">
        <v>179</v>
      </c>
      <c r="F14260" s="38" t="s">
        <v>180</v>
      </c>
      <c r="G14260" s="49" t="str">
        <f t="shared" si="1"/>
        <v>85700</v>
      </c>
      <c r="H14260" s="49">
        <f t="shared" si="2"/>
        <v>85063</v>
      </c>
    </row>
    <row r="14261">
      <c r="A14261" s="48" t="s">
        <v>1159</v>
      </c>
      <c r="B14261" s="38">
        <v>60671.0</v>
      </c>
      <c r="C14261" s="38" t="s">
        <v>18561</v>
      </c>
      <c r="D14261" s="38" t="str">
        <f>IFERROR(__xludf.DUMMYFUNCTION("REGEXREPLACE(C14261,""-\d+(.*)|--\d+(.*)"","""")"),"VERSIGNY")</f>
        <v>VERSIGNY</v>
      </c>
      <c r="E14261" s="38" t="s">
        <v>112</v>
      </c>
      <c r="F14261" s="38" t="s">
        <v>113</v>
      </c>
      <c r="G14261" s="49" t="str">
        <f t="shared" si="1"/>
        <v>60440</v>
      </c>
      <c r="H14261" s="49">
        <f t="shared" si="2"/>
        <v>60671</v>
      </c>
    </row>
    <row r="14262">
      <c r="A14262" s="48" t="s">
        <v>436</v>
      </c>
      <c r="B14262" s="38">
        <v>51322.0</v>
      </c>
      <c r="C14262" s="38" t="s">
        <v>18562</v>
      </c>
      <c r="D14262" s="38" t="str">
        <f>IFERROR(__xludf.DUMMYFUNCTION("REGEXREPLACE(C14262,""-\d+(.*)|--\d+(.*)"","""")"),"LIGNON")</f>
        <v>LIGNON</v>
      </c>
      <c r="E14262" s="38" t="s">
        <v>129</v>
      </c>
      <c r="F14262" s="38" t="s">
        <v>130</v>
      </c>
      <c r="G14262" s="49" t="str">
        <f t="shared" si="1"/>
        <v>51290</v>
      </c>
      <c r="H14262" s="49">
        <f t="shared" si="2"/>
        <v>51322</v>
      </c>
    </row>
    <row r="14263">
      <c r="A14263" s="48" t="s">
        <v>1332</v>
      </c>
      <c r="B14263" s="38">
        <v>51213.0</v>
      </c>
      <c r="C14263" s="38" t="s">
        <v>18563</v>
      </c>
      <c r="D14263" s="38" t="str">
        <f>IFERROR(__xludf.DUMMYFUNCTION("REGEXREPLACE(C14263,""-\d+(.*)|--\d+(.*)"","""")"),"DOMMARTIN-SOUS-HANS")</f>
        <v>DOMMARTIN-SOUS-HANS</v>
      </c>
      <c r="E14263" s="38" t="s">
        <v>129</v>
      </c>
      <c r="F14263" s="38" t="s">
        <v>130</v>
      </c>
      <c r="G14263" s="49" t="str">
        <f t="shared" si="1"/>
        <v>51800</v>
      </c>
      <c r="H14263" s="49">
        <f t="shared" si="2"/>
        <v>51213</v>
      </c>
    </row>
    <row r="14264">
      <c r="A14264" s="48" t="s">
        <v>4274</v>
      </c>
      <c r="B14264" s="38">
        <v>52002.0</v>
      </c>
      <c r="C14264" s="38" t="s">
        <v>14037</v>
      </c>
      <c r="D14264" s="38" t="str">
        <f>IFERROR(__xludf.DUMMYFUNCTION("REGEXREPLACE(C14264,""-\d+(.*)|--\d+(.*)"","""")"),"AIGREMONT")</f>
        <v>AIGREMONT</v>
      </c>
      <c r="E14264" s="38" t="s">
        <v>234</v>
      </c>
      <c r="F14264" s="38" t="s">
        <v>130</v>
      </c>
      <c r="G14264" s="49" t="str">
        <f t="shared" si="1"/>
        <v>52400</v>
      </c>
      <c r="H14264" s="49">
        <f t="shared" si="2"/>
        <v>52002</v>
      </c>
    </row>
    <row r="14265">
      <c r="A14265" s="48" t="s">
        <v>2571</v>
      </c>
      <c r="B14265" s="38">
        <v>61357.0</v>
      </c>
      <c r="C14265" s="38" t="s">
        <v>18564</v>
      </c>
      <c r="D14265" s="38" t="str">
        <f>IFERROR(__xludf.DUMMYFUNCTION("REGEXREPLACE(C14265,""-\d+(.*)|--\d+(.*)"","""")"),"ROUPERROUX")</f>
        <v>ROUPERROUX</v>
      </c>
      <c r="E14265" s="38" t="s">
        <v>141</v>
      </c>
      <c r="F14265" s="38" t="s">
        <v>138</v>
      </c>
      <c r="G14265" s="49" t="str">
        <f t="shared" si="1"/>
        <v>61320</v>
      </c>
      <c r="H14265" s="49">
        <f t="shared" si="2"/>
        <v>61357</v>
      </c>
    </row>
    <row r="14266">
      <c r="A14266" s="48" t="s">
        <v>18565</v>
      </c>
      <c r="B14266" s="38">
        <v>29216.0</v>
      </c>
      <c r="C14266" s="38" t="s">
        <v>18566</v>
      </c>
      <c r="D14266" s="38" t="str">
        <f>IFERROR(__xludf.DUMMYFUNCTION("REGEXREPLACE(C14266,""-\d+(.*)|--\d+(.*)"","""")"),"PLUGUFFAN")</f>
        <v>PLUGUFFAN</v>
      </c>
      <c r="E14266" s="38" t="s">
        <v>176</v>
      </c>
      <c r="F14266" s="38" t="s">
        <v>90</v>
      </c>
      <c r="G14266" s="49" t="str">
        <f t="shared" si="1"/>
        <v>29700</v>
      </c>
      <c r="H14266" s="49">
        <f t="shared" si="2"/>
        <v>29216</v>
      </c>
    </row>
    <row r="14267">
      <c r="A14267" s="48" t="s">
        <v>493</v>
      </c>
      <c r="B14267" s="38">
        <v>28334.0</v>
      </c>
      <c r="C14267" s="38" t="s">
        <v>18567</v>
      </c>
      <c r="D14267" s="38" t="str">
        <f>IFERROR(__xludf.DUMMYFUNCTION("REGEXREPLACE(C14267,""-\d+(.*)|--\d+(.*)"","""")"),"SAINT-DENIS-LES-PONTS")</f>
        <v>SAINT-DENIS-LES-PONTS</v>
      </c>
      <c r="E14267" s="38" t="s">
        <v>300</v>
      </c>
      <c r="F14267" s="38" t="s">
        <v>123</v>
      </c>
      <c r="G14267" s="49" t="str">
        <f t="shared" si="1"/>
        <v>28200</v>
      </c>
      <c r="H14267" s="49">
        <f t="shared" si="2"/>
        <v>28334</v>
      </c>
    </row>
    <row r="14268">
      <c r="A14268" s="48" t="s">
        <v>883</v>
      </c>
      <c r="B14268" s="38">
        <v>71186.0</v>
      </c>
      <c r="C14268" s="38" t="s">
        <v>18568</v>
      </c>
      <c r="D14268" s="38" t="str">
        <f>IFERROR(__xludf.DUMMYFUNCTION("REGEXREPLACE(C14268,""-\d+(.*)|--\d+(.*)"","""")"),"ECUELLES")</f>
        <v>ECUELLES</v>
      </c>
      <c r="E14268" s="38" t="s">
        <v>344</v>
      </c>
      <c r="F14268" s="38" t="s">
        <v>106</v>
      </c>
      <c r="G14268" s="49" t="str">
        <f t="shared" si="1"/>
        <v>71350</v>
      </c>
      <c r="H14268" s="49">
        <f t="shared" si="2"/>
        <v>71186</v>
      </c>
    </row>
    <row r="14269">
      <c r="A14269" s="48" t="s">
        <v>10255</v>
      </c>
      <c r="B14269" s="38">
        <v>87028.0</v>
      </c>
      <c r="C14269" s="38" t="s">
        <v>18569</v>
      </c>
      <c r="D14269" s="38" t="str">
        <f>IFERROR(__xludf.DUMMYFUNCTION("REGEXREPLACE(C14269,""-\d+(.*)|--\d+(.*)"","""")"),"BUSSIERE-POITEVINE")</f>
        <v>BUSSIERE-POITEVINE</v>
      </c>
      <c r="E14269" s="38" t="s">
        <v>897</v>
      </c>
      <c r="F14269" s="38" t="s">
        <v>98</v>
      </c>
      <c r="G14269" s="49" t="str">
        <f t="shared" si="1"/>
        <v>87320</v>
      </c>
      <c r="H14269" s="49">
        <f t="shared" si="2"/>
        <v>87028</v>
      </c>
    </row>
    <row r="14270">
      <c r="A14270" s="48" t="s">
        <v>8145</v>
      </c>
      <c r="B14270" s="38">
        <v>9004.0</v>
      </c>
      <c r="C14270" s="38" t="s">
        <v>18570</v>
      </c>
      <c r="D14270" s="38" t="str">
        <f>IFERROR(__xludf.DUMMYFUNCTION("REGEXREPLACE(C14270,""-\d+(.*)|--\d+(.*)"","""")"),"ALBIES")</f>
        <v>ALBIES</v>
      </c>
      <c r="E14270" s="38" t="s">
        <v>238</v>
      </c>
      <c r="F14270" s="38" t="s">
        <v>94</v>
      </c>
      <c r="G14270" s="49" t="str">
        <f t="shared" si="1"/>
        <v>09310</v>
      </c>
      <c r="H14270" s="49" t="str">
        <f t="shared" si="2"/>
        <v>09004</v>
      </c>
    </row>
    <row r="14271">
      <c r="A14271" s="48" t="s">
        <v>5170</v>
      </c>
      <c r="B14271" s="38">
        <v>47087.0</v>
      </c>
      <c r="C14271" s="38" t="s">
        <v>18571</v>
      </c>
      <c r="D14271" s="38" t="str">
        <f>IFERROR(__xludf.DUMMYFUNCTION("REGEXREPLACE(C14271,""-\d+(.*)|--\d+(.*)"","""")"),"ENGAYRAC")</f>
        <v>ENGAYRAC</v>
      </c>
      <c r="E14271" s="38" t="s">
        <v>251</v>
      </c>
      <c r="F14271" s="38" t="s">
        <v>252</v>
      </c>
      <c r="G14271" s="49" t="str">
        <f t="shared" si="1"/>
        <v>47470</v>
      </c>
      <c r="H14271" s="49">
        <f t="shared" si="2"/>
        <v>47087</v>
      </c>
    </row>
    <row r="14272">
      <c r="A14272" s="48" t="s">
        <v>970</v>
      </c>
      <c r="B14272" s="38">
        <v>2789.0</v>
      </c>
      <c r="C14272" s="38" t="s">
        <v>18572</v>
      </c>
      <c r="D14272" s="38" t="str">
        <f>IFERROR(__xludf.DUMMYFUNCTION("REGEXREPLACE(C14272,""-\d+(.*)|--\d+(.*)"","""")"),"VERVINS")</f>
        <v>VERVINS</v>
      </c>
      <c r="E14272" s="38" t="s">
        <v>191</v>
      </c>
      <c r="F14272" s="38" t="s">
        <v>113</v>
      </c>
      <c r="G14272" s="49" t="str">
        <f t="shared" si="1"/>
        <v>02140</v>
      </c>
      <c r="H14272" s="49" t="str">
        <f t="shared" si="2"/>
        <v>02789</v>
      </c>
    </row>
    <row r="14273">
      <c r="A14273" s="48" t="s">
        <v>1284</v>
      </c>
      <c r="B14273" s="38">
        <v>9242.0</v>
      </c>
      <c r="C14273" s="38" t="s">
        <v>18573</v>
      </c>
      <c r="D14273" s="38" t="str">
        <f>IFERROR(__xludf.DUMMYFUNCTION("REGEXREPLACE(C14273,""-\d+(.*)|--\d+(.*)"","""")"),"RAISSAC")</f>
        <v>RAISSAC</v>
      </c>
      <c r="E14273" s="38" t="s">
        <v>238</v>
      </c>
      <c r="F14273" s="38" t="s">
        <v>94</v>
      </c>
      <c r="G14273" s="49" t="str">
        <f t="shared" si="1"/>
        <v>09300</v>
      </c>
      <c r="H14273" s="49" t="str">
        <f t="shared" si="2"/>
        <v>09242</v>
      </c>
    </row>
    <row r="14274">
      <c r="A14274" s="48" t="s">
        <v>489</v>
      </c>
      <c r="B14274" s="38">
        <v>9056.0</v>
      </c>
      <c r="C14274" s="38" t="s">
        <v>18574</v>
      </c>
      <c r="D14274" s="38" t="str">
        <f>IFERROR(__xludf.DUMMYFUNCTION("REGEXREPLACE(C14274,""-\d+(.*)|--\d+(.*)"","""")"),"BEZAC")</f>
        <v>BEZAC</v>
      </c>
      <c r="E14274" s="38" t="s">
        <v>238</v>
      </c>
      <c r="F14274" s="38" t="s">
        <v>94</v>
      </c>
      <c r="G14274" s="49" t="str">
        <f t="shared" si="1"/>
        <v>09100</v>
      </c>
      <c r="H14274" s="49" t="str">
        <f t="shared" si="2"/>
        <v>09056</v>
      </c>
    </row>
    <row r="14275">
      <c r="A14275" s="48" t="s">
        <v>2491</v>
      </c>
      <c r="B14275" s="38">
        <v>46150.0</v>
      </c>
      <c r="C14275" s="38" t="s">
        <v>18575</v>
      </c>
      <c r="D14275" s="38" t="str">
        <f>IFERROR(__xludf.DUMMYFUNCTION("REGEXREPLACE(C14275,""-\d+(.*)|--\d+(.*)"","""")"),"LAMATIVIE")</f>
        <v>LAMATIVIE</v>
      </c>
      <c r="E14275" s="38" t="s">
        <v>185</v>
      </c>
      <c r="F14275" s="38" t="s">
        <v>94</v>
      </c>
      <c r="G14275" s="49" t="str">
        <f t="shared" si="1"/>
        <v>46190</v>
      </c>
      <c r="H14275" s="49">
        <f t="shared" si="2"/>
        <v>46150</v>
      </c>
    </row>
    <row r="14276">
      <c r="A14276" s="48" t="s">
        <v>15022</v>
      </c>
      <c r="B14276" s="38">
        <v>8088.0</v>
      </c>
      <c r="C14276" s="38" t="s">
        <v>18576</v>
      </c>
      <c r="D14276" s="38" t="str">
        <f>IFERROR(__xludf.DUMMYFUNCTION("REGEXREPLACE(C14276,""-\d+(.*)|--\d+(.*)"","""")"),"BULSON")</f>
        <v>BULSON</v>
      </c>
      <c r="E14276" s="38" t="s">
        <v>327</v>
      </c>
      <c r="F14276" s="38" t="s">
        <v>130</v>
      </c>
      <c r="G14276" s="49" t="str">
        <f t="shared" si="1"/>
        <v>08450</v>
      </c>
      <c r="H14276" s="49" t="str">
        <f t="shared" si="2"/>
        <v>08088</v>
      </c>
    </row>
    <row r="14277">
      <c r="A14277" s="48" t="s">
        <v>18577</v>
      </c>
      <c r="B14277" s="38">
        <v>27589.0</v>
      </c>
      <c r="C14277" s="38" t="s">
        <v>18578</v>
      </c>
      <c r="D14277" s="38" t="str">
        <f>IFERROR(__xludf.DUMMYFUNCTION("REGEXREPLACE(C14277,""-\d+(.*)|--\d+(.*)"","""")"),"SAINT-PIERRE-DE-BAILLEUL")</f>
        <v>SAINT-PIERRE-DE-BAILLEUL</v>
      </c>
      <c r="E14277" s="38" t="s">
        <v>241</v>
      </c>
      <c r="F14277" s="38" t="s">
        <v>134</v>
      </c>
      <c r="G14277" s="49" t="str">
        <f t="shared" si="1"/>
        <v>27920</v>
      </c>
      <c r="H14277" s="49">
        <f t="shared" si="2"/>
        <v>27589</v>
      </c>
    </row>
    <row r="14278">
      <c r="A14278" s="48" t="s">
        <v>509</v>
      </c>
      <c r="B14278" s="38">
        <v>28002.0</v>
      </c>
      <c r="C14278" s="38" t="s">
        <v>18579</v>
      </c>
      <c r="D14278" s="38" t="str">
        <f>IFERROR(__xludf.DUMMYFUNCTION("REGEXREPLACE(C14278,""-\d+(.*)|--\d+(.*)"","""")"),"ALLAINES-MERVILLIERS")</f>
        <v>ALLAINES-MERVILLIERS</v>
      </c>
      <c r="E14278" s="38" t="s">
        <v>300</v>
      </c>
      <c r="F14278" s="38" t="s">
        <v>123</v>
      </c>
      <c r="G14278" s="49" t="str">
        <f t="shared" si="1"/>
        <v>28310</v>
      </c>
      <c r="H14278" s="49">
        <f t="shared" si="2"/>
        <v>28002</v>
      </c>
    </row>
    <row r="14279">
      <c r="A14279" s="48" t="s">
        <v>4129</v>
      </c>
      <c r="B14279" s="38">
        <v>3202.0</v>
      </c>
      <c r="C14279" s="38" t="s">
        <v>18580</v>
      </c>
      <c r="D14279" s="38" t="str">
        <f>IFERROR(__xludf.DUMMYFUNCTION("REGEXREPLACE(C14279,""-\d+(.*)|--\d+(.*)"","""")"),"NOYANT-D'ALLIER")</f>
        <v>NOYANT-D'ALLIER</v>
      </c>
      <c r="E14279" s="38" t="s">
        <v>160</v>
      </c>
      <c r="F14279" s="38" t="s">
        <v>161</v>
      </c>
      <c r="G14279" s="49" t="str">
        <f t="shared" si="1"/>
        <v>03210</v>
      </c>
      <c r="H14279" s="49" t="str">
        <f t="shared" si="2"/>
        <v>03202</v>
      </c>
    </row>
    <row r="14280">
      <c r="A14280" s="48" t="s">
        <v>3266</v>
      </c>
      <c r="B14280" s="38">
        <v>55374.0</v>
      </c>
      <c r="C14280" s="38" t="s">
        <v>18581</v>
      </c>
      <c r="D14280" s="38" t="str">
        <f>IFERROR(__xludf.DUMMYFUNCTION("REGEXREPLACE(C14280,""-\d+(.*)|--\d+(.*)"","""")"),"NANT-LE-PETIT")</f>
        <v>NANT-LE-PETIT</v>
      </c>
      <c r="E14280" s="38" t="s">
        <v>322</v>
      </c>
      <c r="F14280" s="38" t="s">
        <v>195</v>
      </c>
      <c r="G14280" s="49" t="str">
        <f t="shared" si="1"/>
        <v>55500</v>
      </c>
      <c r="H14280" s="49">
        <f t="shared" si="2"/>
        <v>55374</v>
      </c>
    </row>
    <row r="14281">
      <c r="A14281" s="48" t="s">
        <v>1120</v>
      </c>
      <c r="B14281" s="38">
        <v>64243.0</v>
      </c>
      <c r="C14281" s="38" t="s">
        <v>18582</v>
      </c>
      <c r="D14281" s="38" t="str">
        <f>IFERROR(__xludf.DUMMYFUNCTION("REGEXREPLACE(C14281,""-\d+(.*)|--\d+(.*)"","""")"),"GEUS-D'ARZACQ")</f>
        <v>GEUS-D'ARZACQ</v>
      </c>
      <c r="E14281" s="38" t="s">
        <v>268</v>
      </c>
      <c r="F14281" s="38" t="s">
        <v>252</v>
      </c>
      <c r="G14281" s="49" t="str">
        <f t="shared" si="1"/>
        <v>64370</v>
      </c>
      <c r="H14281" s="49">
        <f t="shared" si="2"/>
        <v>64243</v>
      </c>
    </row>
    <row r="14282">
      <c r="A14282" s="48" t="s">
        <v>18583</v>
      </c>
      <c r="B14282" s="38">
        <v>83082.0</v>
      </c>
      <c r="C14282" s="38" t="s">
        <v>3499</v>
      </c>
      <c r="D14282" s="38" t="str">
        <f>IFERROR(__xludf.DUMMYFUNCTION("REGEXREPLACE(C14282,""-\d+(.*)|--\d+(.*)"","""")"),"MONTFERRAT")</f>
        <v>MONTFERRAT</v>
      </c>
      <c r="E14282" s="38" t="s">
        <v>813</v>
      </c>
      <c r="F14282" s="38" t="s">
        <v>228</v>
      </c>
      <c r="G14282" s="49" t="str">
        <f t="shared" si="1"/>
        <v>83131</v>
      </c>
      <c r="H14282" s="49">
        <f t="shared" si="2"/>
        <v>83082</v>
      </c>
    </row>
    <row r="14283">
      <c r="A14283" s="48" t="s">
        <v>8039</v>
      </c>
      <c r="B14283" s="38">
        <v>6078.0</v>
      </c>
      <c r="C14283" s="38" t="s">
        <v>18584</v>
      </c>
      <c r="D14283" s="38" t="str">
        <f>IFERROR(__xludf.DUMMYFUNCTION("REGEXREPLACE(C14283,""-\d+(.*)|--\d+(.*)"","""")"),"MALAUSSENE")</f>
        <v>MALAUSSENE</v>
      </c>
      <c r="E14283" s="38" t="s">
        <v>227</v>
      </c>
      <c r="F14283" s="38" t="s">
        <v>228</v>
      </c>
      <c r="G14283" s="49" t="str">
        <f t="shared" si="1"/>
        <v>06710</v>
      </c>
      <c r="H14283" s="49" t="str">
        <f t="shared" si="2"/>
        <v>06078</v>
      </c>
    </row>
    <row r="14284">
      <c r="A14284" s="48" t="s">
        <v>3135</v>
      </c>
      <c r="B14284" s="38">
        <v>12011.0</v>
      </c>
      <c r="C14284" s="38" t="s">
        <v>18585</v>
      </c>
      <c r="D14284" s="38" t="str">
        <f>IFERROR(__xludf.DUMMYFUNCTION("REGEXREPLACE(C14284,""-\d+(.*)|--\d+(.*)"","""")"),"ARVIEU")</f>
        <v>ARVIEU</v>
      </c>
      <c r="E14284" s="38" t="s">
        <v>465</v>
      </c>
      <c r="F14284" s="38" t="s">
        <v>94</v>
      </c>
      <c r="G14284" s="49" t="str">
        <f t="shared" si="1"/>
        <v>12120</v>
      </c>
      <c r="H14284" s="49">
        <f t="shared" si="2"/>
        <v>12011</v>
      </c>
    </row>
    <row r="14285">
      <c r="A14285" s="48" t="s">
        <v>5679</v>
      </c>
      <c r="B14285" s="38">
        <v>66221.0</v>
      </c>
      <c r="C14285" s="38" t="s">
        <v>18586</v>
      </c>
      <c r="D14285" s="38" t="str">
        <f>IFERROR(__xludf.DUMMYFUNCTION("REGEXREPLACE(C14285,""-\d+(.*)|--\d+(.*)"","""")"),"VALMANYA")</f>
        <v>VALMANYA</v>
      </c>
      <c r="E14285" s="38" t="s">
        <v>248</v>
      </c>
      <c r="F14285" s="38" t="s">
        <v>119</v>
      </c>
      <c r="G14285" s="49" t="str">
        <f t="shared" si="1"/>
        <v>66320</v>
      </c>
      <c r="H14285" s="49">
        <f t="shared" si="2"/>
        <v>66221</v>
      </c>
    </row>
    <row r="14286">
      <c r="A14286" s="48" t="s">
        <v>582</v>
      </c>
      <c r="B14286" s="38">
        <v>39472.0</v>
      </c>
      <c r="C14286" s="38" t="s">
        <v>18587</v>
      </c>
      <c r="D14286" s="38" t="str">
        <f>IFERROR(__xludf.DUMMYFUNCTION("REGEXREPLACE(C14286,""-\d+(.*)|--\d+(.*)"","""")"),"RYE")</f>
        <v>RYE</v>
      </c>
      <c r="E14286" s="38" t="s">
        <v>400</v>
      </c>
      <c r="F14286" s="38" t="s">
        <v>214</v>
      </c>
      <c r="G14286" s="49" t="str">
        <f t="shared" si="1"/>
        <v>39230</v>
      </c>
      <c r="H14286" s="49">
        <f t="shared" si="2"/>
        <v>39472</v>
      </c>
    </row>
    <row r="14287">
      <c r="A14287" s="48" t="s">
        <v>14989</v>
      </c>
      <c r="B14287" s="38">
        <v>74253.0</v>
      </c>
      <c r="C14287" s="38" t="s">
        <v>18588</v>
      </c>
      <c r="D14287" s="38" t="str">
        <f>IFERROR(__xludf.DUMMYFUNCTION("REGEXREPLACE(C14287,""-\d+(.*)|--\d+(.*)"","""")"),"SAINT-SIXT")</f>
        <v>SAINT-SIXT</v>
      </c>
      <c r="E14287" s="38" t="s">
        <v>319</v>
      </c>
      <c r="F14287" s="38" t="s">
        <v>102</v>
      </c>
      <c r="G14287" s="49" t="str">
        <f t="shared" si="1"/>
        <v>74800</v>
      </c>
      <c r="H14287" s="49">
        <f t="shared" si="2"/>
        <v>74253</v>
      </c>
    </row>
    <row r="14288">
      <c r="A14288" s="48" t="s">
        <v>18589</v>
      </c>
      <c r="B14288" s="38">
        <v>7106.0</v>
      </c>
      <c r="C14288" s="38" t="s">
        <v>18590</v>
      </c>
      <c r="D14288" s="38" t="str">
        <f>IFERROR(__xludf.DUMMYFUNCTION("REGEXREPLACE(C14288,""-\d+(.*)|--\d+(.*)"","""")"),"ISSARLES")</f>
        <v>ISSARLES</v>
      </c>
      <c r="E14288" s="38" t="s">
        <v>144</v>
      </c>
      <c r="F14288" s="38" t="s">
        <v>102</v>
      </c>
      <c r="G14288" s="49" t="str">
        <f t="shared" si="1"/>
        <v>07470</v>
      </c>
      <c r="H14288" s="49" t="str">
        <f t="shared" si="2"/>
        <v>07106</v>
      </c>
    </row>
    <row r="14289">
      <c r="A14289" s="48" t="s">
        <v>1135</v>
      </c>
      <c r="B14289" s="38">
        <v>79265.0</v>
      </c>
      <c r="C14289" s="38" t="s">
        <v>18591</v>
      </c>
      <c r="D14289" s="38" t="str">
        <f>IFERROR(__xludf.DUMMYFUNCTION("REGEXREPLACE(C14289,""-\d+(.*)|--\d+(.*)"","""")"),"SAINT-LEGER-DE-MONTBRUN")</f>
        <v>SAINT-LEGER-DE-MONTBRUN</v>
      </c>
      <c r="E14289" s="38" t="s">
        <v>337</v>
      </c>
      <c r="F14289" s="38" t="s">
        <v>338</v>
      </c>
      <c r="G14289" s="49" t="str">
        <f t="shared" si="1"/>
        <v>79100</v>
      </c>
      <c r="H14289" s="49">
        <f t="shared" si="2"/>
        <v>79265</v>
      </c>
    </row>
    <row r="14290">
      <c r="A14290" s="48" t="s">
        <v>2164</v>
      </c>
      <c r="B14290" s="38">
        <v>63358.0</v>
      </c>
      <c r="C14290" s="38" t="s">
        <v>18592</v>
      </c>
      <c r="D14290" s="38" t="str">
        <f>IFERROR(__xludf.DUMMYFUNCTION("REGEXREPLACE(C14290,""-\d+(.*)|--\d+(.*)"","""")"),"SAINT-HILAIRE-LA-CROIX")</f>
        <v>SAINT-HILAIRE-LA-CROIX</v>
      </c>
      <c r="E14290" s="38" t="s">
        <v>353</v>
      </c>
      <c r="F14290" s="38" t="s">
        <v>161</v>
      </c>
      <c r="G14290" s="49" t="str">
        <f t="shared" si="1"/>
        <v>63440</v>
      </c>
      <c r="H14290" s="49">
        <f t="shared" si="2"/>
        <v>63358</v>
      </c>
    </row>
    <row r="14291">
      <c r="A14291" s="48" t="s">
        <v>9436</v>
      </c>
      <c r="B14291" s="38">
        <v>63409.0</v>
      </c>
      <c r="C14291" s="38" t="s">
        <v>18593</v>
      </c>
      <c r="D14291" s="38" t="str">
        <f>IFERROR(__xludf.DUMMYFUNCTION("REGEXREPLACE(C14291,""-\d+(.*)|--\d+(.*)"","""")"),"SAURIER")</f>
        <v>SAURIER</v>
      </c>
      <c r="E14291" s="38" t="s">
        <v>353</v>
      </c>
      <c r="F14291" s="38" t="s">
        <v>161</v>
      </c>
      <c r="G14291" s="49" t="str">
        <f t="shared" si="1"/>
        <v>63320</v>
      </c>
      <c r="H14291" s="49">
        <f t="shared" si="2"/>
        <v>63409</v>
      </c>
    </row>
    <row r="14292">
      <c r="A14292" s="48" t="s">
        <v>5302</v>
      </c>
      <c r="B14292" s="38">
        <v>14671.0</v>
      </c>
      <c r="C14292" s="38" t="s">
        <v>18594</v>
      </c>
      <c r="D14292" s="38" t="str">
        <f>IFERROR(__xludf.DUMMYFUNCTION("REGEXREPLACE(C14292,""-\d+(.*)|--\d+(.*)"","""")"),"SEPT-FRERES")</f>
        <v>SEPT-FRERES</v>
      </c>
      <c r="E14292" s="38" t="s">
        <v>137</v>
      </c>
      <c r="F14292" s="38" t="s">
        <v>138</v>
      </c>
      <c r="G14292" s="49" t="str">
        <f t="shared" si="1"/>
        <v>14380</v>
      </c>
      <c r="H14292" s="49">
        <f t="shared" si="2"/>
        <v>14671</v>
      </c>
    </row>
    <row r="14293">
      <c r="A14293" s="48" t="s">
        <v>5461</v>
      </c>
      <c r="B14293" s="38">
        <v>86030.0</v>
      </c>
      <c r="C14293" s="38" t="s">
        <v>18595</v>
      </c>
      <c r="D14293" s="38" t="str">
        <f>IFERROR(__xludf.DUMMYFUNCTION("REGEXREPLACE(C14293,""-\d+(.*)|--\d+(.*)"","""")"),"BLASLAY")</f>
        <v>BLASLAY</v>
      </c>
      <c r="E14293" s="38" t="s">
        <v>529</v>
      </c>
      <c r="F14293" s="38" t="s">
        <v>338</v>
      </c>
      <c r="G14293" s="49" t="str">
        <f t="shared" si="1"/>
        <v>86170</v>
      </c>
      <c r="H14293" s="49">
        <f t="shared" si="2"/>
        <v>86030</v>
      </c>
    </row>
    <row r="14294">
      <c r="A14294" s="48" t="s">
        <v>18596</v>
      </c>
      <c r="B14294" s="38">
        <v>15220.0</v>
      </c>
      <c r="C14294" s="38" t="s">
        <v>18597</v>
      </c>
      <c r="D14294" s="38" t="str">
        <f>IFERROR(__xludf.DUMMYFUNCTION("REGEXREPLACE(C14294,""-\d+(.*)|--\d+(.*)"","""")"),"SALINS")</f>
        <v>SALINS</v>
      </c>
      <c r="E14294" s="38" t="s">
        <v>632</v>
      </c>
      <c r="F14294" s="38" t="s">
        <v>161</v>
      </c>
      <c r="G14294" s="49" t="str">
        <f t="shared" si="1"/>
        <v>15200</v>
      </c>
      <c r="H14294" s="49">
        <f t="shared" si="2"/>
        <v>15220</v>
      </c>
    </row>
    <row r="14295">
      <c r="A14295" s="48" t="s">
        <v>1483</v>
      </c>
      <c r="B14295" s="38">
        <v>80588.0</v>
      </c>
      <c r="C14295" s="38" t="s">
        <v>18598</v>
      </c>
      <c r="D14295" s="38" t="str">
        <f>IFERROR(__xludf.DUMMYFUNCTION("REGEXREPLACE(C14295,""-\d+(.*)|--\d+(.*)"","""")"),"NEUFMOULIN")</f>
        <v>NEUFMOULIN</v>
      </c>
      <c r="E14295" s="38" t="s">
        <v>224</v>
      </c>
      <c r="F14295" s="38" t="s">
        <v>113</v>
      </c>
      <c r="G14295" s="49" t="str">
        <f t="shared" si="1"/>
        <v>80132</v>
      </c>
      <c r="H14295" s="49">
        <f t="shared" si="2"/>
        <v>80588</v>
      </c>
    </row>
    <row r="14296">
      <c r="A14296" s="48" t="s">
        <v>1000</v>
      </c>
      <c r="B14296" s="38">
        <v>70007.0</v>
      </c>
      <c r="C14296" s="38" t="s">
        <v>18599</v>
      </c>
      <c r="D14296" s="38" t="str">
        <f>IFERROR(__xludf.DUMMYFUNCTION("REGEXREPLACE(C14296,""-\d+(.*)|--\d+(.*)"","""")"),"AILLONCOURT")</f>
        <v>AILLONCOURT</v>
      </c>
      <c r="E14296" s="38" t="s">
        <v>956</v>
      </c>
      <c r="F14296" s="38" t="s">
        <v>214</v>
      </c>
      <c r="G14296" s="49" t="str">
        <f t="shared" si="1"/>
        <v>70300</v>
      </c>
      <c r="H14296" s="49">
        <f t="shared" si="2"/>
        <v>70007</v>
      </c>
    </row>
    <row r="14297">
      <c r="A14297" s="48" t="s">
        <v>1845</v>
      </c>
      <c r="B14297" s="38">
        <v>79250.0</v>
      </c>
      <c r="C14297" s="38" t="s">
        <v>18365</v>
      </c>
      <c r="D14297" s="38" t="str">
        <f>IFERROR(__xludf.DUMMYFUNCTION("REGEXREPLACE(C14297,""-\d+(.*)|--\d+(.*)"","""")"),"SAINTE-GEMME")</f>
        <v>SAINTE-GEMME</v>
      </c>
      <c r="E14297" s="38" t="s">
        <v>337</v>
      </c>
      <c r="F14297" s="38" t="s">
        <v>338</v>
      </c>
      <c r="G14297" s="49" t="str">
        <f t="shared" si="1"/>
        <v>79330</v>
      </c>
      <c r="H14297" s="49">
        <f t="shared" si="2"/>
        <v>79250</v>
      </c>
    </row>
    <row r="14298">
      <c r="A14298" s="48" t="s">
        <v>702</v>
      </c>
      <c r="B14298" s="38">
        <v>31124.0</v>
      </c>
      <c r="C14298" s="38" t="s">
        <v>18600</v>
      </c>
      <c r="D14298" s="38" t="str">
        <f>IFERROR(__xludf.DUMMYFUNCTION("REGEXREPLACE(C14298,""-\d+(.*)|--\d+(.*)"","""")"),"CASTILLON-DE-SAINT-MARTORY")</f>
        <v>CASTILLON-DE-SAINT-MARTORY</v>
      </c>
      <c r="E14298" s="38" t="s">
        <v>93</v>
      </c>
      <c r="F14298" s="38" t="s">
        <v>94</v>
      </c>
      <c r="G14298" s="49" t="str">
        <f t="shared" si="1"/>
        <v>31360</v>
      </c>
      <c r="H14298" s="49">
        <f t="shared" si="2"/>
        <v>31124</v>
      </c>
    </row>
    <row r="14299">
      <c r="A14299" s="48" t="s">
        <v>18601</v>
      </c>
      <c r="B14299" s="38">
        <v>93055.0</v>
      </c>
      <c r="C14299" s="38" t="s">
        <v>18602</v>
      </c>
      <c r="D14299" s="38" t="str">
        <f>IFERROR(__xludf.DUMMYFUNCTION("REGEXREPLACE(C14299,""-\d+(.*)|--\d+(.*)"","""")"),"PANTIN")</f>
        <v>PANTIN</v>
      </c>
      <c r="E14299" s="38" t="s">
        <v>341</v>
      </c>
      <c r="F14299" s="38" t="s">
        <v>245</v>
      </c>
      <c r="G14299" s="49" t="str">
        <f t="shared" si="1"/>
        <v>93500</v>
      </c>
      <c r="H14299" s="49">
        <f t="shared" si="2"/>
        <v>93055</v>
      </c>
    </row>
    <row r="14300">
      <c r="A14300" s="48" t="s">
        <v>11028</v>
      </c>
      <c r="B14300" s="38">
        <v>72298.0</v>
      </c>
      <c r="C14300" s="38" t="s">
        <v>18603</v>
      </c>
      <c r="D14300" s="38" t="str">
        <f>IFERROR(__xludf.DUMMYFUNCTION("REGEXREPLACE(C14300,""-\d+(.*)|--\d+(.*)"","""")"),"SAINT-MARS-DE-LOCQUENAY")</f>
        <v>SAINT-MARS-DE-LOCQUENAY</v>
      </c>
      <c r="E14300" s="38" t="s">
        <v>521</v>
      </c>
      <c r="F14300" s="38" t="s">
        <v>180</v>
      </c>
      <c r="G14300" s="49" t="str">
        <f t="shared" si="1"/>
        <v>72440</v>
      </c>
      <c r="H14300" s="49">
        <f t="shared" si="2"/>
        <v>72298</v>
      </c>
    </row>
    <row r="14301">
      <c r="A14301" s="48" t="s">
        <v>7155</v>
      </c>
      <c r="B14301" s="38">
        <v>30058.0</v>
      </c>
      <c r="C14301" s="38" t="s">
        <v>18604</v>
      </c>
      <c r="D14301" s="38" t="str">
        <f>IFERROR(__xludf.DUMMYFUNCTION("REGEXREPLACE(C14301,""-\d+(.*)|--\d+(.*)"","""")"),"LA CADIERE-ET-CAMBO")</f>
        <v>LA CADIERE-ET-CAMBO</v>
      </c>
      <c r="E14301" s="38" t="s">
        <v>526</v>
      </c>
      <c r="F14301" s="38" t="s">
        <v>119</v>
      </c>
      <c r="G14301" s="49" t="str">
        <f t="shared" si="1"/>
        <v>30170</v>
      </c>
      <c r="H14301" s="49">
        <f t="shared" si="2"/>
        <v>30058</v>
      </c>
    </row>
    <row r="14302">
      <c r="A14302" s="48" t="s">
        <v>1522</v>
      </c>
      <c r="B14302" s="38">
        <v>32385.0</v>
      </c>
      <c r="C14302" s="38" t="s">
        <v>14749</v>
      </c>
      <c r="D14302" s="38" t="str">
        <f>IFERROR(__xludf.DUMMYFUNCTION("REGEXREPLACE(C14302,""-\d+(.*)|--\d+(.*)"","""")"),"SAINT-LEONARD")</f>
        <v>SAINT-LEONARD</v>
      </c>
      <c r="E14302" s="38" t="s">
        <v>440</v>
      </c>
      <c r="F14302" s="38" t="s">
        <v>94</v>
      </c>
      <c r="G14302" s="49" t="str">
        <f t="shared" si="1"/>
        <v>32380</v>
      </c>
      <c r="H14302" s="49">
        <f t="shared" si="2"/>
        <v>32385</v>
      </c>
    </row>
    <row r="14303">
      <c r="A14303" s="48" t="s">
        <v>2290</v>
      </c>
      <c r="B14303" s="38">
        <v>38072.0</v>
      </c>
      <c r="C14303" s="38" t="s">
        <v>18605</v>
      </c>
      <c r="D14303" s="38" t="str">
        <f>IFERROR(__xludf.DUMMYFUNCTION("REGEXREPLACE(C14303,""-\d+(.*)|--\d+(.*)"","""")"),"CHANAS")</f>
        <v>CHANAS</v>
      </c>
      <c r="E14303" s="38" t="s">
        <v>101</v>
      </c>
      <c r="F14303" s="38" t="s">
        <v>102</v>
      </c>
      <c r="G14303" s="49" t="str">
        <f t="shared" si="1"/>
        <v>38150</v>
      </c>
      <c r="H14303" s="49">
        <f t="shared" si="2"/>
        <v>38072</v>
      </c>
    </row>
    <row r="14304">
      <c r="A14304" s="48" t="s">
        <v>527</v>
      </c>
      <c r="B14304" s="38">
        <v>86138.0</v>
      </c>
      <c r="C14304" s="38" t="s">
        <v>18606</v>
      </c>
      <c r="D14304" s="38" t="str">
        <f>IFERROR(__xludf.DUMMYFUNCTION("REGEXREPLACE(C14304,""-\d+(.*)|--\d+(.*)"","""")"),"LUCHAPT")</f>
        <v>LUCHAPT</v>
      </c>
      <c r="E14304" s="38" t="s">
        <v>529</v>
      </c>
      <c r="F14304" s="38" t="s">
        <v>338</v>
      </c>
      <c r="G14304" s="49" t="str">
        <f t="shared" si="1"/>
        <v>86430</v>
      </c>
      <c r="H14304" s="49">
        <f t="shared" si="2"/>
        <v>86138</v>
      </c>
    </row>
    <row r="14305">
      <c r="A14305" s="48" t="s">
        <v>18607</v>
      </c>
      <c r="B14305" s="38">
        <v>33075.0</v>
      </c>
      <c r="C14305" s="38" t="s">
        <v>18608</v>
      </c>
      <c r="D14305" s="38" t="str">
        <f>IFERROR(__xludf.DUMMYFUNCTION("REGEXREPLACE(C14305,""-\d+(.*)|--\d+(.*)"","""")"),"BRUGES")</f>
        <v>BRUGES</v>
      </c>
      <c r="E14305" s="38" t="s">
        <v>462</v>
      </c>
      <c r="F14305" s="38" t="s">
        <v>252</v>
      </c>
      <c r="G14305" s="49" t="str">
        <f t="shared" si="1"/>
        <v>33520</v>
      </c>
      <c r="H14305" s="49">
        <f t="shared" si="2"/>
        <v>33075</v>
      </c>
    </row>
    <row r="14306">
      <c r="A14306" s="48" t="s">
        <v>394</v>
      </c>
      <c r="B14306" s="38">
        <v>41283.0</v>
      </c>
      <c r="C14306" s="38" t="s">
        <v>18609</v>
      </c>
      <c r="D14306" s="38" t="str">
        <f>IFERROR(__xludf.DUMMYFUNCTION("REGEXREPLACE(C14306,""-\d+(.*)|--\d+(.*)"","""")"),"VILLEMARDY")</f>
        <v>VILLEMARDY</v>
      </c>
      <c r="E14306" s="38" t="s">
        <v>188</v>
      </c>
      <c r="F14306" s="38" t="s">
        <v>123</v>
      </c>
      <c r="G14306" s="49" t="str">
        <f t="shared" si="1"/>
        <v>41100</v>
      </c>
      <c r="H14306" s="49">
        <f t="shared" si="2"/>
        <v>41283</v>
      </c>
    </row>
    <row r="14307">
      <c r="A14307" s="48" t="s">
        <v>10908</v>
      </c>
      <c r="B14307" s="38">
        <v>11236.0</v>
      </c>
      <c r="C14307" s="38" t="s">
        <v>18610</v>
      </c>
      <c r="D14307" s="38" t="str">
        <f>IFERROR(__xludf.DUMMYFUNCTION("REGEXREPLACE(C14307,""-\d+(.*)|--\d+(.*)"","""")"),"MOLANDIER")</f>
        <v>MOLANDIER</v>
      </c>
      <c r="E14307" s="38" t="s">
        <v>278</v>
      </c>
      <c r="F14307" s="38" t="s">
        <v>119</v>
      </c>
      <c r="G14307" s="49" t="str">
        <f t="shared" si="1"/>
        <v>11420</v>
      </c>
      <c r="H14307" s="49">
        <f t="shared" si="2"/>
        <v>11236</v>
      </c>
    </row>
    <row r="14308">
      <c r="A14308" s="48" t="s">
        <v>478</v>
      </c>
      <c r="B14308" s="38">
        <v>41168.0</v>
      </c>
      <c r="C14308" s="38" t="s">
        <v>18611</v>
      </c>
      <c r="D14308" s="38" t="str">
        <f>IFERROR(__xludf.DUMMYFUNCTION("REGEXREPLACE(C14308,""-\d+(.*)|--\d+(.*)"","""")"),"ORCAY")</f>
        <v>ORCAY</v>
      </c>
      <c r="E14308" s="38" t="s">
        <v>188</v>
      </c>
      <c r="F14308" s="38" t="s">
        <v>123</v>
      </c>
      <c r="G14308" s="49" t="str">
        <f t="shared" si="1"/>
        <v>41300</v>
      </c>
      <c r="H14308" s="49">
        <f t="shared" si="2"/>
        <v>41168</v>
      </c>
    </row>
    <row r="14309">
      <c r="A14309" s="48" t="s">
        <v>12467</v>
      </c>
      <c r="B14309" s="38">
        <v>72133.0</v>
      </c>
      <c r="C14309" s="38" t="s">
        <v>18612</v>
      </c>
      <c r="D14309" s="38" t="str">
        <f>IFERROR(__xludf.DUMMYFUNCTION("REGEXREPLACE(C14309,""-\d+(.*)|--\d+(.*)"","""")"),"FILLE")</f>
        <v>FILLE</v>
      </c>
      <c r="E14309" s="38" t="s">
        <v>521</v>
      </c>
      <c r="F14309" s="38" t="s">
        <v>180</v>
      </c>
      <c r="G14309" s="49" t="str">
        <f t="shared" si="1"/>
        <v>72210</v>
      </c>
      <c r="H14309" s="49">
        <f t="shared" si="2"/>
        <v>72133</v>
      </c>
    </row>
    <row r="14310">
      <c r="A14310" s="48" t="s">
        <v>3621</v>
      </c>
      <c r="B14310" s="38">
        <v>52374.0</v>
      </c>
      <c r="C14310" s="38" t="s">
        <v>18613</v>
      </c>
      <c r="D14310" s="38" t="str">
        <f>IFERROR(__xludf.DUMMYFUNCTION("REGEXREPLACE(C14310,""-\d+(.*)|--\d+(.*)"","""")"),"LE PAILLY")</f>
        <v>LE PAILLY</v>
      </c>
      <c r="E14310" s="38" t="s">
        <v>234</v>
      </c>
      <c r="F14310" s="38" t="s">
        <v>130</v>
      </c>
      <c r="G14310" s="49" t="str">
        <f t="shared" si="1"/>
        <v>52600</v>
      </c>
      <c r="H14310" s="49">
        <f t="shared" si="2"/>
        <v>52374</v>
      </c>
    </row>
    <row r="14311">
      <c r="A14311" s="48" t="s">
        <v>372</v>
      </c>
      <c r="B14311" s="38">
        <v>29054.0</v>
      </c>
      <c r="C14311" s="38" t="s">
        <v>18614</v>
      </c>
      <c r="D14311" s="38" t="str">
        <f>IFERROR(__xludf.DUMMYFUNCTION("REGEXREPLACE(C14311,""-\d+(.*)|--\d+(.*)"","""")"),"LA FEUILLEE")</f>
        <v>LA FEUILLEE</v>
      </c>
      <c r="E14311" s="38" t="s">
        <v>176</v>
      </c>
      <c r="F14311" s="38" t="s">
        <v>90</v>
      </c>
      <c r="G14311" s="49" t="str">
        <f t="shared" si="1"/>
        <v>29690</v>
      </c>
      <c r="H14311" s="49">
        <f t="shared" si="2"/>
        <v>29054</v>
      </c>
    </row>
    <row r="14312">
      <c r="A14312" s="48" t="s">
        <v>7752</v>
      </c>
      <c r="B14312" s="38">
        <v>69195.0</v>
      </c>
      <c r="C14312" s="38" t="s">
        <v>18615</v>
      </c>
      <c r="D14312" s="38" t="str">
        <f>IFERROR(__xludf.DUMMYFUNCTION("REGEXREPLACE(C14312,""-\d+(.*)|--\d+(.*)"","""")"),"SAINT-DIDIER-SOUS-RIVERIE")</f>
        <v>SAINT-DIDIER-SOUS-RIVERIE</v>
      </c>
      <c r="E14312" s="38" t="s">
        <v>350</v>
      </c>
      <c r="F14312" s="38" t="s">
        <v>102</v>
      </c>
      <c r="G14312" s="49" t="str">
        <f t="shared" si="1"/>
        <v>69440</v>
      </c>
      <c r="H14312" s="49">
        <f t="shared" si="2"/>
        <v>69195</v>
      </c>
    </row>
    <row r="14313">
      <c r="A14313" s="48" t="s">
        <v>9795</v>
      </c>
      <c r="B14313" s="38">
        <v>33369.0</v>
      </c>
      <c r="C14313" s="38" t="s">
        <v>18616</v>
      </c>
      <c r="D14313" s="38" t="str">
        <f>IFERROR(__xludf.DUMMYFUNCTION("REGEXREPLACE(C14313,""-\d+(.*)|--\d+(.*)"","""")"),"SAINT-ANDRE-ET-APPELLES")</f>
        <v>SAINT-ANDRE-ET-APPELLES</v>
      </c>
      <c r="E14313" s="38" t="s">
        <v>462</v>
      </c>
      <c r="F14313" s="38" t="s">
        <v>252</v>
      </c>
      <c r="G14313" s="49" t="str">
        <f t="shared" si="1"/>
        <v>33220</v>
      </c>
      <c r="H14313" s="49">
        <f t="shared" si="2"/>
        <v>33369</v>
      </c>
    </row>
    <row r="14314">
      <c r="A14314" s="48" t="s">
        <v>4422</v>
      </c>
      <c r="B14314" s="38">
        <v>59193.0</v>
      </c>
      <c r="C14314" s="38" t="s">
        <v>18617</v>
      </c>
      <c r="D14314" s="38" t="str">
        <f>IFERROR(__xludf.DUMMYFUNCTION("REGEXREPLACE(C14314,""-\d+(.*)|--\d+(.*)"","""")"),"EMMERIN")</f>
        <v>EMMERIN</v>
      </c>
      <c r="E14314" s="38" t="s">
        <v>85</v>
      </c>
      <c r="F14314" s="38" t="s">
        <v>86</v>
      </c>
      <c r="G14314" s="49" t="str">
        <f t="shared" si="1"/>
        <v>59320</v>
      </c>
      <c r="H14314" s="49">
        <f t="shared" si="2"/>
        <v>59193</v>
      </c>
    </row>
    <row r="14315">
      <c r="A14315" s="48" t="s">
        <v>14072</v>
      </c>
      <c r="B14315" s="38">
        <v>71530.0</v>
      </c>
      <c r="C14315" s="38" t="s">
        <v>18618</v>
      </c>
      <c r="D14315" s="38" t="str">
        <f>IFERROR(__xludf.DUMMYFUNCTION("REGEXREPLACE(C14315,""-\d+(.*)|--\d+(.*)"","""")"),"SULLY")</f>
        <v>SULLY</v>
      </c>
      <c r="E14315" s="38" t="s">
        <v>344</v>
      </c>
      <c r="F14315" s="38" t="s">
        <v>106</v>
      </c>
      <c r="G14315" s="49" t="str">
        <f t="shared" si="1"/>
        <v>71360</v>
      </c>
      <c r="H14315" s="49">
        <f t="shared" si="2"/>
        <v>71530</v>
      </c>
    </row>
    <row r="14316">
      <c r="A14316" s="48" t="s">
        <v>9613</v>
      </c>
      <c r="B14316" s="38">
        <v>16143.0</v>
      </c>
      <c r="C14316" s="38" t="s">
        <v>18619</v>
      </c>
      <c r="D14316" s="38" t="str">
        <f>IFERROR(__xludf.DUMMYFUNCTION("REGEXREPLACE(C14316,""-\d+(.*)|--\d+(.*)"","""")"),"FOUQUEBRUNE")</f>
        <v>FOUQUEBRUNE</v>
      </c>
      <c r="E14316" s="38" t="s">
        <v>429</v>
      </c>
      <c r="F14316" s="38" t="s">
        <v>338</v>
      </c>
      <c r="G14316" s="49" t="str">
        <f t="shared" si="1"/>
        <v>16410</v>
      </c>
      <c r="H14316" s="49">
        <f t="shared" si="2"/>
        <v>16143</v>
      </c>
    </row>
    <row r="14317">
      <c r="A14317" s="48" t="s">
        <v>2937</v>
      </c>
      <c r="B14317" s="38">
        <v>73075.0</v>
      </c>
      <c r="C14317" s="38" t="s">
        <v>7373</v>
      </c>
      <c r="D14317" s="38" t="str">
        <f>IFERROR(__xludf.DUMMYFUNCTION("REGEXREPLACE(C14317,""-\d+(.*)|--\d+(.*)"","""")"),"LA CHAPELLE-BLANCHE")</f>
        <v>LA CHAPELLE-BLANCHE</v>
      </c>
      <c r="E14317" s="38" t="s">
        <v>306</v>
      </c>
      <c r="F14317" s="38" t="s">
        <v>102</v>
      </c>
      <c r="G14317" s="49" t="str">
        <f t="shared" si="1"/>
        <v>73110</v>
      </c>
      <c r="H14317" s="49">
        <f t="shared" si="2"/>
        <v>73075</v>
      </c>
    </row>
    <row r="14318">
      <c r="A14318" s="48" t="s">
        <v>2692</v>
      </c>
      <c r="B14318" s="38">
        <v>67558.0</v>
      </c>
      <c r="C14318" s="38" t="s">
        <v>18620</v>
      </c>
      <c r="D14318" s="38" t="str">
        <f>IFERROR(__xludf.DUMMYFUNCTION("REGEXREPLACE(C14318,""-\d+(.*)|--\d+(.*)"","""")"),"ZINSWILLER")</f>
        <v>ZINSWILLER</v>
      </c>
      <c r="E14318" s="38" t="s">
        <v>210</v>
      </c>
      <c r="F14318" s="38" t="s">
        <v>151</v>
      </c>
      <c r="G14318" s="49" t="str">
        <f t="shared" si="1"/>
        <v>67110</v>
      </c>
      <c r="H14318" s="49">
        <f t="shared" si="2"/>
        <v>67558</v>
      </c>
    </row>
    <row r="14319">
      <c r="A14319" s="48" t="s">
        <v>5281</v>
      </c>
      <c r="B14319" s="38">
        <v>25324.0</v>
      </c>
      <c r="C14319" s="38" t="s">
        <v>18621</v>
      </c>
      <c r="D14319" s="38" t="str">
        <f>IFERROR(__xludf.DUMMYFUNCTION("REGEXREPLACE(C14319,""-\d+(.*)|--\d+(.*)"","""")"),"LANANS")</f>
        <v>LANANS</v>
      </c>
      <c r="E14319" s="38" t="s">
        <v>213</v>
      </c>
      <c r="F14319" s="38" t="s">
        <v>214</v>
      </c>
      <c r="G14319" s="49" t="str">
        <f t="shared" si="1"/>
        <v>25360</v>
      </c>
      <c r="H14319" s="49">
        <f t="shared" si="2"/>
        <v>25324</v>
      </c>
    </row>
    <row r="14320">
      <c r="A14320" s="48" t="s">
        <v>2899</v>
      </c>
      <c r="B14320" s="38">
        <v>15215.0</v>
      </c>
      <c r="C14320" s="38" t="s">
        <v>12675</v>
      </c>
      <c r="D14320" s="38" t="str">
        <f>IFERROR(__xludf.DUMMYFUNCTION("REGEXREPLACE(C14320,""-\d+(.*)|--\d+(.*)"","""")"),"SAINT-SIMON")</f>
        <v>SAINT-SIMON</v>
      </c>
      <c r="E14320" s="38" t="s">
        <v>632</v>
      </c>
      <c r="F14320" s="38" t="s">
        <v>161</v>
      </c>
      <c r="G14320" s="49" t="str">
        <f t="shared" si="1"/>
        <v>15130</v>
      </c>
      <c r="H14320" s="49">
        <f t="shared" si="2"/>
        <v>15215</v>
      </c>
    </row>
    <row r="14321">
      <c r="A14321" s="48" t="s">
        <v>4526</v>
      </c>
      <c r="B14321" s="38">
        <v>23184.0</v>
      </c>
      <c r="C14321" s="38" t="s">
        <v>18622</v>
      </c>
      <c r="D14321" s="38" t="str">
        <f>IFERROR(__xludf.DUMMYFUNCTION("REGEXREPLACE(C14321,""-\d+(.*)|--\d+(.*)"","""")"),"SAINT-BARD")</f>
        <v>SAINT-BARD</v>
      </c>
      <c r="E14321" s="38" t="s">
        <v>97</v>
      </c>
      <c r="F14321" s="38" t="s">
        <v>98</v>
      </c>
      <c r="G14321" s="49" t="str">
        <f t="shared" si="1"/>
        <v>23260</v>
      </c>
      <c r="H14321" s="49">
        <f t="shared" si="2"/>
        <v>23184</v>
      </c>
    </row>
    <row r="14322">
      <c r="A14322" s="48" t="s">
        <v>2519</v>
      </c>
      <c r="B14322" s="38">
        <v>80452.0</v>
      </c>
      <c r="C14322" s="38" t="s">
        <v>18623</v>
      </c>
      <c r="D14322" s="38" t="str">
        <f>IFERROR(__xludf.DUMMYFUNCTION("REGEXREPLACE(C14322,""-\d+(.*)|--\d+(.*)"","""")"),"JUMEL")</f>
        <v>JUMEL</v>
      </c>
      <c r="E14322" s="38" t="s">
        <v>224</v>
      </c>
      <c r="F14322" s="38" t="s">
        <v>113</v>
      </c>
      <c r="G14322" s="49" t="str">
        <f t="shared" si="1"/>
        <v>80250</v>
      </c>
      <c r="H14322" s="49">
        <f t="shared" si="2"/>
        <v>80452</v>
      </c>
    </row>
    <row r="14323">
      <c r="A14323" s="48" t="s">
        <v>2116</v>
      </c>
      <c r="B14323" s="38">
        <v>26292.0</v>
      </c>
      <c r="C14323" s="38" t="s">
        <v>18624</v>
      </c>
      <c r="D14323" s="38" t="str">
        <f>IFERROR(__xludf.DUMMYFUNCTION("REGEXREPLACE(C14323,""-\d+(.*)|--\d+(.*)"","""")"),"SAINT-AUBAN-SUR-L'OUVEZE")</f>
        <v>SAINT-AUBAN-SUR-L'OUVEZE</v>
      </c>
      <c r="E14323" s="38" t="s">
        <v>126</v>
      </c>
      <c r="F14323" s="38" t="s">
        <v>102</v>
      </c>
      <c r="G14323" s="49" t="str">
        <f t="shared" si="1"/>
        <v>26170</v>
      </c>
      <c r="H14323" s="49">
        <f t="shared" si="2"/>
        <v>26292</v>
      </c>
    </row>
    <row r="14324">
      <c r="A14324" s="48" t="s">
        <v>8019</v>
      </c>
      <c r="B14324" s="38">
        <v>53036.0</v>
      </c>
      <c r="C14324" s="38" t="s">
        <v>18625</v>
      </c>
      <c r="D14324" s="38" t="str">
        <f>IFERROR(__xludf.DUMMYFUNCTION("REGEXREPLACE(C14324,""-\d+(.*)|--\d+(.*)"","""")"),"BOUERE")</f>
        <v>BOUERE</v>
      </c>
      <c r="E14324" s="38" t="s">
        <v>518</v>
      </c>
      <c r="F14324" s="38" t="s">
        <v>180</v>
      </c>
      <c r="G14324" s="49" t="str">
        <f t="shared" si="1"/>
        <v>53290</v>
      </c>
      <c r="H14324" s="49">
        <f t="shared" si="2"/>
        <v>53036</v>
      </c>
    </row>
    <row r="14325">
      <c r="A14325" s="48" t="s">
        <v>5565</v>
      </c>
      <c r="B14325" s="38">
        <v>63462.0</v>
      </c>
      <c r="C14325" s="38" t="s">
        <v>18626</v>
      </c>
      <c r="D14325" s="38" t="str">
        <f>IFERROR(__xludf.DUMMYFUNCTION("REGEXREPLACE(C14325,""-\d+(.*)|--\d+(.*)"","""")"),"VIRLET")</f>
        <v>VIRLET</v>
      </c>
      <c r="E14325" s="38" t="s">
        <v>353</v>
      </c>
      <c r="F14325" s="38" t="s">
        <v>161</v>
      </c>
      <c r="G14325" s="49" t="str">
        <f t="shared" si="1"/>
        <v>63330</v>
      </c>
      <c r="H14325" s="49">
        <f t="shared" si="2"/>
        <v>63462</v>
      </c>
    </row>
    <row r="14326">
      <c r="A14326" s="48" t="s">
        <v>4568</v>
      </c>
      <c r="B14326" s="38">
        <v>32201.0</v>
      </c>
      <c r="C14326" s="38" t="s">
        <v>18627</v>
      </c>
      <c r="D14326" s="38" t="str">
        <f>IFERROR(__xludf.DUMMYFUNCTION("REGEXREPLACE(C14326,""-\d+(.*)|--\d+(.*)"","""")"),"LASSEUBE-PROPRE")</f>
        <v>LASSEUBE-PROPRE</v>
      </c>
      <c r="E14326" s="38" t="s">
        <v>440</v>
      </c>
      <c r="F14326" s="38" t="s">
        <v>94</v>
      </c>
      <c r="G14326" s="49" t="str">
        <f t="shared" si="1"/>
        <v>32550</v>
      </c>
      <c r="H14326" s="49">
        <f t="shared" si="2"/>
        <v>32201</v>
      </c>
    </row>
    <row r="14327">
      <c r="A14327" s="48" t="s">
        <v>436</v>
      </c>
      <c r="B14327" s="38">
        <v>51520.0</v>
      </c>
      <c r="C14327" s="38" t="s">
        <v>18628</v>
      </c>
      <c r="D14327" s="38" t="str">
        <f>IFERROR(__xludf.DUMMYFUNCTION("REGEXREPLACE(C14327,""-\d+(.*)|--\d+(.*)"","""")"),"SAINT-UTIN")</f>
        <v>SAINT-UTIN</v>
      </c>
      <c r="E14327" s="38" t="s">
        <v>129</v>
      </c>
      <c r="F14327" s="38" t="s">
        <v>130</v>
      </c>
      <c r="G14327" s="49" t="str">
        <f t="shared" si="1"/>
        <v>51290</v>
      </c>
      <c r="H14327" s="49">
        <f t="shared" si="2"/>
        <v>51520</v>
      </c>
    </row>
    <row r="14328">
      <c r="A14328" s="48" t="s">
        <v>4586</v>
      </c>
      <c r="B14328" s="38">
        <v>40198.0</v>
      </c>
      <c r="C14328" s="38" t="s">
        <v>18629</v>
      </c>
      <c r="D14328" s="38" t="str">
        <f>IFERROR(__xludf.DUMMYFUNCTION("REGEXREPLACE(C14328,""-\d+(.*)|--\d+(.*)"","""")"),"MORGANX")</f>
        <v>MORGANX</v>
      </c>
      <c r="E14328" s="38" t="s">
        <v>281</v>
      </c>
      <c r="F14328" s="38" t="s">
        <v>252</v>
      </c>
      <c r="G14328" s="49" t="str">
        <f t="shared" si="1"/>
        <v>40700</v>
      </c>
      <c r="H14328" s="49">
        <f t="shared" si="2"/>
        <v>40198</v>
      </c>
    </row>
    <row r="14329">
      <c r="A14329" s="48" t="s">
        <v>18630</v>
      </c>
      <c r="B14329" s="38">
        <v>59544.0</v>
      </c>
      <c r="C14329" s="38" t="s">
        <v>18631</v>
      </c>
      <c r="D14329" s="38" t="str">
        <f>IFERROR(__xludf.DUMMYFUNCTION("REGEXREPLACE(C14329,""-\d+(.*)|--\d+(.*)"","""")"),"SAINT-SAULVE")</f>
        <v>SAINT-SAULVE</v>
      </c>
      <c r="E14329" s="38" t="s">
        <v>85</v>
      </c>
      <c r="F14329" s="38" t="s">
        <v>86</v>
      </c>
      <c r="G14329" s="49" t="str">
        <f t="shared" si="1"/>
        <v>59880</v>
      </c>
      <c r="H14329" s="49">
        <f t="shared" si="2"/>
        <v>59544</v>
      </c>
    </row>
    <row r="14330">
      <c r="A14330" s="48" t="s">
        <v>8669</v>
      </c>
      <c r="B14330" s="38">
        <v>50473.0</v>
      </c>
      <c r="C14330" s="38" t="s">
        <v>18632</v>
      </c>
      <c r="D14330" s="38" t="str">
        <f>IFERROR(__xludf.DUMMYFUNCTION("REGEXREPLACE(C14330,""-\d+(.*)|--\d+(.*)"","""")"),"SAINT-GEORGES-D'ELLE")</f>
        <v>SAINT-GEORGES-D'ELLE</v>
      </c>
      <c r="E14330" s="38" t="s">
        <v>157</v>
      </c>
      <c r="F14330" s="38" t="s">
        <v>138</v>
      </c>
      <c r="G14330" s="49" t="str">
        <f t="shared" si="1"/>
        <v>50680</v>
      </c>
      <c r="H14330" s="49">
        <f t="shared" si="2"/>
        <v>50473</v>
      </c>
    </row>
    <row r="14331">
      <c r="A14331" s="48" t="s">
        <v>2783</v>
      </c>
      <c r="B14331" s="38">
        <v>31095.0</v>
      </c>
      <c r="C14331" s="38" t="s">
        <v>18633</v>
      </c>
      <c r="D14331" s="38" t="str">
        <f>IFERROR(__xludf.DUMMYFUNCTION("REGEXREPLACE(C14331,""-\d+(.*)|--\d+(.*)"","""")"),"CABANAC-CAZAUX")</f>
        <v>CABANAC-CAZAUX</v>
      </c>
      <c r="E14331" s="38" t="s">
        <v>93</v>
      </c>
      <c r="F14331" s="38" t="s">
        <v>94</v>
      </c>
      <c r="G14331" s="49" t="str">
        <f t="shared" si="1"/>
        <v>31160</v>
      </c>
      <c r="H14331" s="49">
        <f t="shared" si="2"/>
        <v>31095</v>
      </c>
    </row>
    <row r="14332">
      <c r="A14332" s="48" t="s">
        <v>10268</v>
      </c>
      <c r="B14332" s="38">
        <v>41285.0</v>
      </c>
      <c r="C14332" s="38" t="s">
        <v>18634</v>
      </c>
      <c r="D14332" s="38" t="str">
        <f>IFERROR(__xludf.DUMMYFUNCTION("REGEXREPLACE(C14332,""-\d+(.*)|--\d+(.*)"","""")"),"VILLENY")</f>
        <v>VILLENY</v>
      </c>
      <c r="E14332" s="38" t="s">
        <v>188</v>
      </c>
      <c r="F14332" s="38" t="s">
        <v>123</v>
      </c>
      <c r="G14332" s="49" t="str">
        <f t="shared" si="1"/>
        <v>41220</v>
      </c>
      <c r="H14332" s="49">
        <f t="shared" si="2"/>
        <v>41285</v>
      </c>
    </row>
    <row r="14333">
      <c r="A14333" s="48" t="s">
        <v>1947</v>
      </c>
      <c r="B14333" s="38">
        <v>52433.0</v>
      </c>
      <c r="C14333" s="38" t="s">
        <v>18635</v>
      </c>
      <c r="D14333" s="38" t="str">
        <f>IFERROR(__xludf.DUMMYFUNCTION("REGEXREPLACE(C14333,""-\d+(.*)|--\d+(.*)"","""")"),"ROMAIN-SUR-MEUSE")</f>
        <v>ROMAIN-SUR-MEUSE</v>
      </c>
      <c r="E14333" s="38" t="s">
        <v>234</v>
      </c>
      <c r="F14333" s="38" t="s">
        <v>130</v>
      </c>
      <c r="G14333" s="49" t="str">
        <f t="shared" si="1"/>
        <v>52150</v>
      </c>
      <c r="H14333" s="49">
        <f t="shared" si="2"/>
        <v>52433</v>
      </c>
    </row>
    <row r="14334">
      <c r="A14334" s="48" t="s">
        <v>3161</v>
      </c>
      <c r="B14334" s="38">
        <v>70237.0</v>
      </c>
      <c r="C14334" s="38" t="s">
        <v>18636</v>
      </c>
      <c r="D14334" s="38" t="str">
        <f>IFERROR(__xludf.DUMMYFUNCTION("REGEXREPLACE(C14334,""-\d+(.*)|--\d+(.*)"","""")"),"FLEUREY-LES-LAVONCOURT")</f>
        <v>FLEUREY-LES-LAVONCOURT</v>
      </c>
      <c r="E14334" s="38" t="s">
        <v>956</v>
      </c>
      <c r="F14334" s="38" t="s">
        <v>214</v>
      </c>
      <c r="G14334" s="49" t="str">
        <f t="shared" si="1"/>
        <v>70120</v>
      </c>
      <c r="H14334" s="49">
        <f t="shared" si="2"/>
        <v>70237</v>
      </c>
    </row>
    <row r="14335">
      <c r="A14335" s="48" t="s">
        <v>6340</v>
      </c>
      <c r="B14335" s="38">
        <v>89413.0</v>
      </c>
      <c r="C14335" s="38" t="s">
        <v>18637</v>
      </c>
      <c r="D14335" s="38" t="str">
        <f>IFERROR(__xludf.DUMMYFUNCTION("REGEXREPLACE(C14335,""-\d+(.*)|--\d+(.*)"","""")"),"THOREY")</f>
        <v>THOREY</v>
      </c>
      <c r="E14335" s="38" t="s">
        <v>275</v>
      </c>
      <c r="F14335" s="38" t="s">
        <v>106</v>
      </c>
      <c r="G14335" s="49" t="str">
        <f t="shared" si="1"/>
        <v>89430</v>
      </c>
      <c r="H14335" s="49">
        <f t="shared" si="2"/>
        <v>89413</v>
      </c>
    </row>
    <row r="14336">
      <c r="A14336" s="48" t="s">
        <v>4864</v>
      </c>
      <c r="B14336" s="38">
        <v>91393.0</v>
      </c>
      <c r="C14336" s="38" t="s">
        <v>18638</v>
      </c>
      <c r="D14336" s="38" t="str">
        <f>IFERROR(__xludf.DUMMYFUNCTION("REGEXREPLACE(C14336,""-\d+(.*)|--\d+(.*)"","""")"),"MEROBERT")</f>
        <v>MEROBERT</v>
      </c>
      <c r="E14336" s="38" t="s">
        <v>756</v>
      </c>
      <c r="F14336" s="38" t="s">
        <v>245</v>
      </c>
      <c r="G14336" s="49" t="str">
        <f t="shared" si="1"/>
        <v>91780</v>
      </c>
      <c r="H14336" s="49">
        <f t="shared" si="2"/>
        <v>91393</v>
      </c>
    </row>
    <row r="14337">
      <c r="A14337" s="48" t="s">
        <v>674</v>
      </c>
      <c r="B14337" s="38">
        <v>49307.0</v>
      </c>
      <c r="C14337" s="38" t="s">
        <v>18639</v>
      </c>
      <c r="D14337" s="38" t="str">
        <f>IFERROR(__xludf.DUMMYFUNCTION("REGEXREPLACE(C14337,""-\d+(.*)|--\d+(.*)"","""")"),"SAINT-MATHURIN-SUR-LOIRE")</f>
        <v>SAINT-MATHURIN-SUR-LOIRE</v>
      </c>
      <c r="E14337" s="38" t="s">
        <v>653</v>
      </c>
      <c r="F14337" s="38" t="s">
        <v>180</v>
      </c>
      <c r="G14337" s="49" t="str">
        <f t="shared" si="1"/>
        <v>49250</v>
      </c>
      <c r="H14337" s="49">
        <f t="shared" si="2"/>
        <v>49307</v>
      </c>
    </row>
    <row r="14338">
      <c r="A14338" s="48" t="s">
        <v>2087</v>
      </c>
      <c r="B14338" s="38">
        <v>88349.0</v>
      </c>
      <c r="C14338" s="38" t="s">
        <v>18640</v>
      </c>
      <c r="D14338" s="38" t="str">
        <f>IFERROR(__xludf.DUMMYFUNCTION("REGEXREPLACE(C14338,""-\d+(.*)|--\d+(.*)"","""")"),"PLAINFAING")</f>
        <v>PLAINFAING</v>
      </c>
      <c r="E14338" s="38" t="s">
        <v>194</v>
      </c>
      <c r="F14338" s="38" t="s">
        <v>195</v>
      </c>
      <c r="G14338" s="49" t="str">
        <f t="shared" si="1"/>
        <v>88230</v>
      </c>
      <c r="H14338" s="49">
        <f t="shared" si="2"/>
        <v>88349</v>
      </c>
    </row>
    <row r="14339">
      <c r="A14339" s="48" t="s">
        <v>18641</v>
      </c>
      <c r="B14339" s="38">
        <v>14709.0</v>
      </c>
      <c r="C14339" s="38" t="s">
        <v>18642</v>
      </c>
      <c r="D14339" s="38" t="str">
        <f>IFERROR(__xludf.DUMMYFUNCTION("REGEXREPLACE(C14339,""-\d+(.*)|--\d+(.*)"","""")"),"TRACY-SUR-MER")</f>
        <v>TRACY-SUR-MER</v>
      </c>
      <c r="E14339" s="38" t="s">
        <v>137</v>
      </c>
      <c r="F14339" s="38" t="s">
        <v>138</v>
      </c>
      <c r="G14339" s="49" t="str">
        <f t="shared" si="1"/>
        <v>14117</v>
      </c>
      <c r="H14339" s="49">
        <f t="shared" si="2"/>
        <v>14709</v>
      </c>
    </row>
    <row r="14340">
      <c r="A14340" s="48" t="s">
        <v>2457</v>
      </c>
      <c r="B14340" s="38">
        <v>17361.0</v>
      </c>
      <c r="C14340" s="38" t="s">
        <v>8391</v>
      </c>
      <c r="D14340" s="38" t="str">
        <f>IFERROR(__xludf.DUMMYFUNCTION("REGEXREPLACE(C14340,""-\d+(.*)|--\d+(.*)"","""")"),"SAINT-MARTIAL")</f>
        <v>SAINT-MARTIAL</v>
      </c>
      <c r="E14340" s="38" t="s">
        <v>488</v>
      </c>
      <c r="F14340" s="38" t="s">
        <v>338</v>
      </c>
      <c r="G14340" s="49" t="str">
        <f t="shared" si="1"/>
        <v>17330</v>
      </c>
      <c r="H14340" s="49">
        <f t="shared" si="2"/>
        <v>17361</v>
      </c>
    </row>
    <row r="14341">
      <c r="A14341" s="48" t="s">
        <v>1894</v>
      </c>
      <c r="B14341" s="38">
        <v>10317.0</v>
      </c>
      <c r="C14341" s="38" t="s">
        <v>18643</v>
      </c>
      <c r="D14341" s="38" t="str">
        <f>IFERROR(__xludf.DUMMYFUNCTION("REGEXREPLACE(C14341,""-\d+(.*)|--\d+(.*)"","""")"),"LES RICEYS")</f>
        <v>LES RICEYS</v>
      </c>
      <c r="E14341" s="38" t="s">
        <v>147</v>
      </c>
      <c r="F14341" s="38" t="s">
        <v>130</v>
      </c>
      <c r="G14341" s="49" t="str">
        <f t="shared" si="1"/>
        <v>10340</v>
      </c>
      <c r="H14341" s="49">
        <f t="shared" si="2"/>
        <v>10317</v>
      </c>
    </row>
    <row r="14342">
      <c r="A14342" s="48" t="s">
        <v>4065</v>
      </c>
      <c r="B14342" s="38">
        <v>21613.0</v>
      </c>
      <c r="C14342" s="38" t="s">
        <v>18644</v>
      </c>
      <c r="D14342" s="38" t="str">
        <f>IFERROR(__xludf.DUMMYFUNCTION("REGEXREPLACE(C14342,""-\d+(.*)|--\d+(.*)"","""")"),"SOUSSEY-SUR-BRIONNE")</f>
        <v>SOUSSEY-SUR-BRIONNE</v>
      </c>
      <c r="E14342" s="38" t="s">
        <v>105</v>
      </c>
      <c r="F14342" s="38" t="s">
        <v>106</v>
      </c>
      <c r="G14342" s="49" t="str">
        <f t="shared" si="1"/>
        <v>21350</v>
      </c>
      <c r="H14342" s="49">
        <f t="shared" si="2"/>
        <v>21613</v>
      </c>
    </row>
    <row r="14343">
      <c r="A14343" s="48" t="s">
        <v>6233</v>
      </c>
      <c r="B14343" s="38">
        <v>15195.0</v>
      </c>
      <c r="C14343" s="38" t="s">
        <v>13965</v>
      </c>
      <c r="D14343" s="38" t="str">
        <f>IFERROR(__xludf.DUMMYFUNCTION("REGEXREPLACE(C14343,""-\d+(.*)|--\d+(.*)"","""")"),"SAINT-JUST")</f>
        <v>SAINT-JUST</v>
      </c>
      <c r="E14343" s="38" t="s">
        <v>632</v>
      </c>
      <c r="F14343" s="38" t="s">
        <v>161</v>
      </c>
      <c r="G14343" s="49" t="str">
        <f t="shared" si="1"/>
        <v>15320</v>
      </c>
      <c r="H14343" s="49">
        <f t="shared" si="2"/>
        <v>15195</v>
      </c>
    </row>
    <row r="14344">
      <c r="A14344" s="48" t="s">
        <v>1511</v>
      </c>
      <c r="B14344" s="38">
        <v>22349.0</v>
      </c>
      <c r="C14344" s="38" t="s">
        <v>18645</v>
      </c>
      <c r="D14344" s="38" t="str">
        <f>IFERROR(__xludf.DUMMYFUNCTION("REGEXREPLACE(C14344,""-\d+(.*)|--\d+(.*)"","""")"),"TREDREZ-LOCQUEMEAU")</f>
        <v>TREDREZ-LOCQUEMEAU</v>
      </c>
      <c r="E14344" s="38" t="s">
        <v>89</v>
      </c>
      <c r="F14344" s="38" t="s">
        <v>90</v>
      </c>
      <c r="G14344" s="49" t="str">
        <f t="shared" si="1"/>
        <v>22300</v>
      </c>
      <c r="H14344" s="49">
        <f t="shared" si="2"/>
        <v>22349</v>
      </c>
    </row>
    <row r="14345">
      <c r="A14345" s="48" t="s">
        <v>11498</v>
      </c>
      <c r="B14345" s="38">
        <v>26092.0</v>
      </c>
      <c r="C14345" s="38" t="s">
        <v>503</v>
      </c>
      <c r="D14345" s="38" t="str">
        <f>IFERROR(__xludf.DUMMYFUNCTION("REGEXREPLACE(C14345,""-\d+(.*)|--\d+(.*)"","""")"),"CHAVANNES")</f>
        <v>CHAVANNES</v>
      </c>
      <c r="E14345" s="38" t="s">
        <v>126</v>
      </c>
      <c r="F14345" s="38" t="s">
        <v>102</v>
      </c>
      <c r="G14345" s="49" t="str">
        <f t="shared" si="1"/>
        <v>26260</v>
      </c>
      <c r="H14345" s="49">
        <f t="shared" si="2"/>
        <v>26092</v>
      </c>
    </row>
    <row r="14346">
      <c r="A14346" s="48" t="s">
        <v>2521</v>
      </c>
      <c r="B14346" s="38">
        <v>28288.0</v>
      </c>
      <c r="C14346" s="38" t="s">
        <v>16693</v>
      </c>
      <c r="D14346" s="38" t="str">
        <f>IFERROR(__xludf.DUMMYFUNCTION("REGEXREPLACE(C14346,""-\d+(.*)|--\d+(.*)"","""")"),"ORLU")</f>
        <v>ORLU</v>
      </c>
      <c r="E14346" s="38" t="s">
        <v>300</v>
      </c>
      <c r="F14346" s="38" t="s">
        <v>123</v>
      </c>
      <c r="G14346" s="49" t="str">
        <f t="shared" si="1"/>
        <v>28700</v>
      </c>
      <c r="H14346" s="49">
        <f t="shared" si="2"/>
        <v>28288</v>
      </c>
    </row>
    <row r="14347">
      <c r="A14347" s="48" t="s">
        <v>18646</v>
      </c>
      <c r="B14347" s="38">
        <v>3224.0</v>
      </c>
      <c r="C14347" s="38" t="s">
        <v>6198</v>
      </c>
      <c r="D14347" s="38" t="str">
        <f>IFERROR(__xludf.DUMMYFUNCTION("REGEXREPLACE(C14347,""-\d+(.*)|--\d+(.*)"","""")"),"SAINT-CLEMENT")</f>
        <v>SAINT-CLEMENT</v>
      </c>
      <c r="E14347" s="38" t="s">
        <v>160</v>
      </c>
      <c r="F14347" s="38" t="s">
        <v>161</v>
      </c>
      <c r="G14347" s="49" t="str">
        <f t="shared" si="1"/>
        <v>03250</v>
      </c>
      <c r="H14347" s="49" t="str">
        <f t="shared" si="2"/>
        <v>03224</v>
      </c>
    </row>
    <row r="14348">
      <c r="A14348" s="48" t="s">
        <v>18647</v>
      </c>
      <c r="B14348" s="38">
        <v>63138.0</v>
      </c>
      <c r="C14348" s="38" t="s">
        <v>18648</v>
      </c>
      <c r="D14348" s="38" t="str">
        <f>IFERROR(__xludf.DUMMYFUNCTION("REGEXREPLACE(C14348,""-\d+(.*)|--\d+(.*)"","""")"),"DORAT")</f>
        <v>DORAT</v>
      </c>
      <c r="E14348" s="38" t="s">
        <v>353</v>
      </c>
      <c r="F14348" s="38" t="s">
        <v>161</v>
      </c>
      <c r="G14348" s="49" t="str">
        <f t="shared" si="1"/>
        <v>63300</v>
      </c>
      <c r="H14348" s="49">
        <f t="shared" si="2"/>
        <v>63138</v>
      </c>
    </row>
    <row r="14349">
      <c r="A14349" s="48" t="s">
        <v>3618</v>
      </c>
      <c r="B14349" s="38">
        <v>31471.0</v>
      </c>
      <c r="C14349" s="38" t="s">
        <v>18649</v>
      </c>
      <c r="D14349" s="38" t="str">
        <f>IFERROR(__xludf.DUMMYFUNCTION("REGEXREPLACE(C14349,""-\d+(.*)|--\d+(.*)"","""")"),"SAINT-BEAT")</f>
        <v>SAINT-BEAT</v>
      </c>
      <c r="E14349" s="38" t="s">
        <v>93</v>
      </c>
      <c r="F14349" s="38" t="s">
        <v>94</v>
      </c>
      <c r="G14349" s="49" t="str">
        <f t="shared" si="1"/>
        <v>31440</v>
      </c>
      <c r="H14349" s="49">
        <f t="shared" si="2"/>
        <v>31471</v>
      </c>
    </row>
    <row r="14350">
      <c r="A14350" s="48" t="s">
        <v>2688</v>
      </c>
      <c r="B14350" s="38">
        <v>36177.0</v>
      </c>
      <c r="C14350" s="38" t="s">
        <v>18650</v>
      </c>
      <c r="D14350" s="38" t="str">
        <f>IFERROR(__xludf.DUMMYFUNCTION("REGEXREPLACE(C14350,""-\d+(.*)|--\d+(.*)"","""")"),"SACIERGES-SAINT-MARTIN")</f>
        <v>SACIERGES-SAINT-MARTIN</v>
      </c>
      <c r="E14350" s="38" t="s">
        <v>258</v>
      </c>
      <c r="F14350" s="38" t="s">
        <v>123</v>
      </c>
      <c r="G14350" s="49" t="str">
        <f t="shared" si="1"/>
        <v>36170</v>
      </c>
      <c r="H14350" s="49">
        <f t="shared" si="2"/>
        <v>36177</v>
      </c>
    </row>
    <row r="14351">
      <c r="A14351" s="48" t="s">
        <v>1695</v>
      </c>
      <c r="B14351" s="38">
        <v>80138.0</v>
      </c>
      <c r="C14351" s="38" t="s">
        <v>18651</v>
      </c>
      <c r="D14351" s="38" t="str">
        <f>IFERROR(__xludf.DUMMYFUNCTION("REGEXREPLACE(C14351,""-\d+(.*)|--\d+(.*)"","""")"),"BRESLE")</f>
        <v>BRESLE</v>
      </c>
      <c r="E14351" s="38" t="s">
        <v>224</v>
      </c>
      <c r="F14351" s="38" t="s">
        <v>113</v>
      </c>
      <c r="G14351" s="49" t="str">
        <f t="shared" si="1"/>
        <v>80300</v>
      </c>
      <c r="H14351" s="49">
        <f t="shared" si="2"/>
        <v>80138</v>
      </c>
    </row>
    <row r="14352">
      <c r="A14352" s="48" t="s">
        <v>18652</v>
      </c>
      <c r="B14352" s="38">
        <v>6085.0</v>
      </c>
      <c r="C14352" s="38" t="s">
        <v>18653</v>
      </c>
      <c r="D14352" s="38" t="str">
        <f>IFERROR(__xludf.DUMMYFUNCTION("REGEXREPLACE(C14352,""-\d+(.*)|--\d+(.*)"","""")"),"MOUGINS")</f>
        <v>MOUGINS</v>
      </c>
      <c r="E14352" s="38" t="s">
        <v>227</v>
      </c>
      <c r="F14352" s="38" t="s">
        <v>228</v>
      </c>
      <c r="G14352" s="49" t="str">
        <f t="shared" si="1"/>
        <v>06250</v>
      </c>
      <c r="H14352" s="49" t="str">
        <f t="shared" si="2"/>
        <v>06085</v>
      </c>
    </row>
    <row r="14353">
      <c r="A14353" s="48" t="s">
        <v>4377</v>
      </c>
      <c r="B14353" s="38">
        <v>31232.0</v>
      </c>
      <c r="C14353" s="38" t="s">
        <v>18654</v>
      </c>
      <c r="D14353" s="38" t="str">
        <f>IFERROR(__xludf.DUMMYFUNCTION("REGEXREPLACE(C14353,""-\d+(.*)|--\d+(.*)"","""")"),"GRENADE")</f>
        <v>GRENADE</v>
      </c>
      <c r="E14353" s="38" t="s">
        <v>93</v>
      </c>
      <c r="F14353" s="38" t="s">
        <v>94</v>
      </c>
      <c r="G14353" s="49" t="str">
        <f t="shared" si="1"/>
        <v>31330</v>
      </c>
      <c r="H14353" s="49">
        <f t="shared" si="2"/>
        <v>31232</v>
      </c>
    </row>
    <row r="14354">
      <c r="A14354" s="48" t="s">
        <v>18655</v>
      </c>
      <c r="B14354" s="38">
        <v>57019.0</v>
      </c>
      <c r="C14354" s="38" t="s">
        <v>18656</v>
      </c>
      <c r="D14354" s="38" t="str">
        <f>IFERROR(__xludf.DUMMYFUNCTION("REGEXREPLACE(C14354,""-\d+(.*)|--\d+(.*)"","""")"),"AMNEVILLE")</f>
        <v>AMNEVILLE</v>
      </c>
      <c r="E14354" s="38" t="s">
        <v>303</v>
      </c>
      <c r="F14354" s="38" t="s">
        <v>195</v>
      </c>
      <c r="G14354" s="49" t="str">
        <f t="shared" si="1"/>
        <v>57360</v>
      </c>
      <c r="H14354" s="49">
        <f t="shared" si="2"/>
        <v>57019</v>
      </c>
    </row>
    <row r="14355">
      <c r="A14355" s="48" t="s">
        <v>18657</v>
      </c>
      <c r="B14355" s="38">
        <v>30211.0</v>
      </c>
      <c r="C14355" s="38" t="s">
        <v>18658</v>
      </c>
      <c r="D14355" s="38" t="str">
        <f>IFERROR(__xludf.DUMMYFUNCTION("REGEXREPLACE(C14355,""-\d+(.*)|--\d+(.*)"","""")"),"REDESSAN")</f>
        <v>REDESSAN</v>
      </c>
      <c r="E14355" s="38" t="s">
        <v>526</v>
      </c>
      <c r="F14355" s="38" t="s">
        <v>119</v>
      </c>
      <c r="G14355" s="49" t="str">
        <f t="shared" si="1"/>
        <v>30129</v>
      </c>
      <c r="H14355" s="49">
        <f t="shared" si="2"/>
        <v>30211</v>
      </c>
    </row>
    <row r="14356">
      <c r="A14356" s="48" t="s">
        <v>2234</v>
      </c>
      <c r="B14356" s="38">
        <v>30205.0</v>
      </c>
      <c r="C14356" s="38" t="s">
        <v>18659</v>
      </c>
      <c r="D14356" s="38" t="str">
        <f>IFERROR(__xludf.DUMMYFUNCTION("REGEXREPLACE(C14356,""-\d+(.*)|--\d+(.*)"","""")"),"POUGNADORESSE")</f>
        <v>POUGNADORESSE</v>
      </c>
      <c r="E14356" s="38" t="s">
        <v>526</v>
      </c>
      <c r="F14356" s="38" t="s">
        <v>119</v>
      </c>
      <c r="G14356" s="49" t="str">
        <f t="shared" si="1"/>
        <v>30330</v>
      </c>
      <c r="H14356" s="49">
        <f t="shared" si="2"/>
        <v>30205</v>
      </c>
    </row>
    <row r="14357">
      <c r="A14357" s="48" t="s">
        <v>3920</v>
      </c>
      <c r="B14357" s="38">
        <v>50422.0</v>
      </c>
      <c r="C14357" s="38" t="s">
        <v>18660</v>
      </c>
      <c r="D14357" s="38" t="str">
        <f>IFERROR(__xludf.DUMMYFUNCTION("REGEXREPLACE(C14357,""-\d+(.*)|--\d+(.*)"","""")"),"RAIDS")</f>
        <v>RAIDS</v>
      </c>
      <c r="E14357" s="38" t="s">
        <v>157</v>
      </c>
      <c r="F14357" s="38" t="s">
        <v>138</v>
      </c>
      <c r="G14357" s="49" t="str">
        <f t="shared" si="1"/>
        <v>50500</v>
      </c>
      <c r="H14357" s="49">
        <f t="shared" si="2"/>
        <v>50422</v>
      </c>
    </row>
    <row r="14358">
      <c r="A14358" s="48" t="s">
        <v>2459</v>
      </c>
      <c r="B14358" s="38" t="s">
        <v>18661</v>
      </c>
      <c r="C14358" s="38" t="s">
        <v>18662</v>
      </c>
      <c r="D14358" s="38" t="str">
        <f>IFERROR(__xludf.DUMMYFUNCTION("REGEXREPLACE(C14358,""-\d+(.*)|--\d+(.*)"","""")"),"PENTA-DI-CASINCA")</f>
        <v>PENTA-DI-CASINCA</v>
      </c>
      <c r="E14358" s="38" t="s">
        <v>743</v>
      </c>
      <c r="F14358" s="38" t="s">
        <v>607</v>
      </c>
      <c r="G14358" s="49" t="str">
        <f t="shared" si="1"/>
        <v>20213</v>
      </c>
      <c r="H14358" s="49" t="str">
        <f t="shared" si="2"/>
        <v>2B207</v>
      </c>
    </row>
    <row r="14359">
      <c r="A14359" s="48" t="s">
        <v>5973</v>
      </c>
      <c r="B14359" s="38">
        <v>54201.0</v>
      </c>
      <c r="C14359" s="38" t="s">
        <v>18663</v>
      </c>
      <c r="D14359" s="38" t="str">
        <f>IFERROR(__xludf.DUMMYFUNCTION("REGEXREPLACE(C14359,""-\d+(.*)|--\d+(.*)"","""")"),"FONTENOY-LA-JOUTE")</f>
        <v>FONTENOY-LA-JOUTE</v>
      </c>
      <c r="E14359" s="38" t="s">
        <v>548</v>
      </c>
      <c r="F14359" s="38" t="s">
        <v>195</v>
      </c>
      <c r="G14359" s="49" t="str">
        <f t="shared" si="1"/>
        <v>54122</v>
      </c>
      <c r="H14359" s="49">
        <f t="shared" si="2"/>
        <v>54201</v>
      </c>
    </row>
    <row r="14360">
      <c r="A14360" s="48" t="s">
        <v>4125</v>
      </c>
      <c r="B14360" s="38">
        <v>19126.0</v>
      </c>
      <c r="C14360" s="38" t="s">
        <v>18664</v>
      </c>
      <c r="D14360" s="38" t="str">
        <f>IFERROR(__xludf.DUMMYFUNCTION("REGEXREPLACE(C14360,""-\d+(.*)|--\d+(.*)"","""")"),"MARCILLAC-LA-CROZE")</f>
        <v>MARCILLAC-LA-CROZE</v>
      </c>
      <c r="E14360" s="38" t="s">
        <v>271</v>
      </c>
      <c r="F14360" s="38" t="s">
        <v>98</v>
      </c>
      <c r="G14360" s="49" t="str">
        <f t="shared" si="1"/>
        <v>19500</v>
      </c>
      <c r="H14360" s="49">
        <f t="shared" si="2"/>
        <v>19126</v>
      </c>
    </row>
    <row r="14361">
      <c r="A14361" s="48" t="s">
        <v>18646</v>
      </c>
      <c r="B14361" s="38">
        <v>3248.0</v>
      </c>
      <c r="C14361" s="38" t="s">
        <v>18665</v>
      </c>
      <c r="D14361" s="38" t="str">
        <f>IFERROR(__xludf.DUMMYFUNCTION("REGEXREPLACE(C14361,""-\d+(.*)|--\d+(.*)"","""")"),"SAINT-NICOLAS-DES-BIEFS")</f>
        <v>SAINT-NICOLAS-DES-BIEFS</v>
      </c>
      <c r="E14361" s="38" t="s">
        <v>160</v>
      </c>
      <c r="F14361" s="38" t="s">
        <v>161</v>
      </c>
      <c r="G14361" s="49" t="str">
        <f t="shared" si="1"/>
        <v>03250</v>
      </c>
      <c r="H14361" s="49" t="str">
        <f t="shared" si="2"/>
        <v>03248</v>
      </c>
    </row>
    <row r="14362">
      <c r="A14362" s="48" t="s">
        <v>18666</v>
      </c>
      <c r="B14362" s="38">
        <v>42262.0</v>
      </c>
      <c r="C14362" s="38" t="s">
        <v>18667</v>
      </c>
      <c r="D14362" s="38" t="str">
        <f>IFERROR(__xludf.DUMMYFUNCTION("REGEXREPLACE(C14362,""-\d+(.*)|--\d+(.*)"","""")"),"SAINT-MAURICE-EN-GOURGOIS")</f>
        <v>SAINT-MAURICE-EN-GOURGOIS</v>
      </c>
      <c r="E14362" s="38" t="s">
        <v>166</v>
      </c>
      <c r="F14362" s="38" t="s">
        <v>102</v>
      </c>
      <c r="G14362" s="49" t="str">
        <f t="shared" si="1"/>
        <v>42240</v>
      </c>
      <c r="H14362" s="49">
        <f t="shared" si="2"/>
        <v>42262</v>
      </c>
    </row>
    <row r="14363">
      <c r="A14363" s="48" t="s">
        <v>9621</v>
      </c>
      <c r="B14363" s="38">
        <v>43065.0</v>
      </c>
      <c r="C14363" s="38" t="s">
        <v>18668</v>
      </c>
      <c r="D14363" s="38" t="str">
        <f>IFERROR(__xludf.DUMMYFUNCTION("REGEXREPLACE(C14363,""-\d+(.*)|--\d+(.*)"","""")"),"CHASTEL")</f>
        <v>CHASTEL</v>
      </c>
      <c r="E14363" s="38" t="s">
        <v>332</v>
      </c>
      <c r="F14363" s="38" t="s">
        <v>161</v>
      </c>
      <c r="G14363" s="49" t="str">
        <f t="shared" si="1"/>
        <v>43300</v>
      </c>
      <c r="H14363" s="49">
        <f t="shared" si="2"/>
        <v>43065</v>
      </c>
    </row>
    <row r="14364">
      <c r="A14364" s="48" t="s">
        <v>626</v>
      </c>
      <c r="B14364" s="38">
        <v>31489.0</v>
      </c>
      <c r="C14364" s="38" t="s">
        <v>18669</v>
      </c>
      <c r="D14364" s="38" t="str">
        <f>IFERROR(__xludf.DUMMYFUNCTION("REGEXREPLACE(C14364,""-\d+(.*)|--\d+(.*)"","""")"),"SAINT-JEAN-LHERM")</f>
        <v>SAINT-JEAN-LHERM</v>
      </c>
      <c r="E14364" s="38" t="s">
        <v>93</v>
      </c>
      <c r="F14364" s="38" t="s">
        <v>94</v>
      </c>
      <c r="G14364" s="49" t="str">
        <f t="shared" si="1"/>
        <v>31380</v>
      </c>
      <c r="H14364" s="49">
        <f t="shared" si="2"/>
        <v>31489</v>
      </c>
    </row>
    <row r="14365">
      <c r="A14365" s="48" t="s">
        <v>2628</v>
      </c>
      <c r="B14365" s="38">
        <v>19257.0</v>
      </c>
      <c r="C14365" s="38" t="s">
        <v>18670</v>
      </c>
      <c r="D14365" s="38" t="str">
        <f>IFERROR(__xludf.DUMMYFUNCTION("REGEXREPLACE(C14365,""-\d+(.*)|--\d+(.*)"","""")"),"SERILHAC")</f>
        <v>SERILHAC</v>
      </c>
      <c r="E14365" s="38" t="s">
        <v>271</v>
      </c>
      <c r="F14365" s="38" t="s">
        <v>98</v>
      </c>
      <c r="G14365" s="49" t="str">
        <f t="shared" si="1"/>
        <v>19190</v>
      </c>
      <c r="H14365" s="49">
        <f t="shared" si="2"/>
        <v>19257</v>
      </c>
    </row>
    <row r="14366">
      <c r="A14366" s="48" t="s">
        <v>4497</v>
      </c>
      <c r="B14366" s="38">
        <v>25440.0</v>
      </c>
      <c r="C14366" s="38" t="s">
        <v>18671</v>
      </c>
      <c r="D14366" s="38" t="str">
        <f>IFERROR(__xludf.DUMMYFUNCTION("REGEXREPLACE(C14366,""-\d+(.*)|--\d+(.*)"","""")"),"OUHANS")</f>
        <v>OUHANS</v>
      </c>
      <c r="E14366" s="38" t="s">
        <v>213</v>
      </c>
      <c r="F14366" s="38" t="s">
        <v>214</v>
      </c>
      <c r="G14366" s="49" t="str">
        <f t="shared" si="1"/>
        <v>25520</v>
      </c>
      <c r="H14366" s="49">
        <f t="shared" si="2"/>
        <v>25440</v>
      </c>
    </row>
    <row r="14367">
      <c r="A14367" s="48" t="s">
        <v>15194</v>
      </c>
      <c r="B14367" s="38">
        <v>24020.0</v>
      </c>
      <c r="C14367" s="38" t="s">
        <v>18672</v>
      </c>
      <c r="D14367" s="38" t="str">
        <f>IFERROR(__xludf.DUMMYFUNCTION("REGEXREPLACE(C14367,""-\d+(.*)|--\d+(.*)"","""")"),"LA BACHELLERIE")</f>
        <v>LA BACHELLERIE</v>
      </c>
      <c r="E14367" s="38" t="s">
        <v>261</v>
      </c>
      <c r="F14367" s="38" t="s">
        <v>252</v>
      </c>
      <c r="G14367" s="49" t="str">
        <f t="shared" si="1"/>
        <v>24210</v>
      </c>
      <c r="H14367" s="49">
        <f t="shared" si="2"/>
        <v>24020</v>
      </c>
    </row>
    <row r="14368">
      <c r="A14368" s="48" t="s">
        <v>736</v>
      </c>
      <c r="B14368" s="38">
        <v>57653.0</v>
      </c>
      <c r="C14368" s="38" t="s">
        <v>18673</v>
      </c>
      <c r="D14368" s="38" t="str">
        <f>IFERROR(__xludf.DUMMYFUNCTION("REGEXREPLACE(C14368,""-\d+(.*)|--\d+(.*)"","""")"),"SILLY-EN-SAULNOIS")</f>
        <v>SILLY-EN-SAULNOIS</v>
      </c>
      <c r="E14368" s="38" t="s">
        <v>303</v>
      </c>
      <c r="F14368" s="38" t="s">
        <v>195</v>
      </c>
      <c r="G14368" s="49" t="str">
        <f t="shared" si="1"/>
        <v>57420</v>
      </c>
      <c r="H14368" s="49">
        <f t="shared" si="2"/>
        <v>57653</v>
      </c>
    </row>
    <row r="14369">
      <c r="A14369" s="48" t="s">
        <v>17943</v>
      </c>
      <c r="B14369" s="38">
        <v>60682.0</v>
      </c>
      <c r="C14369" s="38" t="s">
        <v>18674</v>
      </c>
      <c r="D14369" s="38" t="str">
        <f>IFERROR(__xludf.DUMMYFUNCTION("REGEXREPLACE(C14369,""-\d+(.*)|--\d+(.*)"","""")"),"VILLERS-SAINT-FRAMBOURG")</f>
        <v>VILLERS-SAINT-FRAMBOURG</v>
      </c>
      <c r="E14369" s="38" t="s">
        <v>112</v>
      </c>
      <c r="F14369" s="38" t="s">
        <v>113</v>
      </c>
      <c r="G14369" s="49" t="str">
        <f t="shared" si="1"/>
        <v>60810</v>
      </c>
      <c r="H14369" s="49">
        <f t="shared" si="2"/>
        <v>60682</v>
      </c>
    </row>
    <row r="14370">
      <c r="A14370" s="48" t="s">
        <v>18675</v>
      </c>
      <c r="B14370" s="38">
        <v>19001.0</v>
      </c>
      <c r="C14370" s="38" t="s">
        <v>18676</v>
      </c>
      <c r="D14370" s="38" t="str">
        <f>IFERROR(__xludf.DUMMYFUNCTION("REGEXREPLACE(C14370,""-\d+(.*)|--\d+(.*)"","""")"),"AFFIEUX")</f>
        <v>AFFIEUX</v>
      </c>
      <c r="E14370" s="38" t="s">
        <v>271</v>
      </c>
      <c r="F14370" s="38" t="s">
        <v>98</v>
      </c>
      <c r="G14370" s="49" t="str">
        <f t="shared" si="1"/>
        <v>19260</v>
      </c>
      <c r="H14370" s="49">
        <f t="shared" si="2"/>
        <v>19001</v>
      </c>
    </row>
    <row r="14371">
      <c r="A14371" s="48" t="s">
        <v>12674</v>
      </c>
      <c r="B14371" s="38">
        <v>2752.0</v>
      </c>
      <c r="C14371" s="38" t="s">
        <v>18677</v>
      </c>
      <c r="D14371" s="38" t="str">
        <f>IFERROR(__xludf.DUMMYFUNCTION("REGEXREPLACE(C14371,""-\d+(.*)|--\d+(.*)"","""")"),"TUGNY-ET-PONT")</f>
        <v>TUGNY-ET-PONT</v>
      </c>
      <c r="E14371" s="38" t="s">
        <v>191</v>
      </c>
      <c r="F14371" s="38" t="s">
        <v>113</v>
      </c>
      <c r="G14371" s="49" t="str">
        <f t="shared" si="1"/>
        <v>02640</v>
      </c>
      <c r="H14371" s="49" t="str">
        <f t="shared" si="2"/>
        <v>02752</v>
      </c>
    </row>
    <row r="14372">
      <c r="A14372" s="48" t="s">
        <v>16561</v>
      </c>
      <c r="B14372" s="38">
        <v>27362.0</v>
      </c>
      <c r="C14372" s="38" t="s">
        <v>18678</v>
      </c>
      <c r="D14372" s="38" t="str">
        <f>IFERROR(__xludf.DUMMYFUNCTION("REGEXREPLACE(C14372,""-\d+(.*)|--\d+(.*)"","""")"),"LANDEPEREUSE")</f>
        <v>LANDEPEREUSE</v>
      </c>
      <c r="E14372" s="38" t="s">
        <v>241</v>
      </c>
      <c r="F14372" s="38" t="s">
        <v>134</v>
      </c>
      <c r="G14372" s="49" t="str">
        <f t="shared" si="1"/>
        <v>27410</v>
      </c>
      <c r="H14372" s="49">
        <f t="shared" si="2"/>
        <v>27362</v>
      </c>
    </row>
    <row r="14373">
      <c r="A14373" s="48" t="s">
        <v>2893</v>
      </c>
      <c r="B14373" s="38">
        <v>27360.0</v>
      </c>
      <c r="C14373" s="38" t="s">
        <v>18679</v>
      </c>
      <c r="D14373" s="38" t="str">
        <f>IFERROR(__xludf.DUMMYFUNCTION("REGEXREPLACE(C14373,""-\d+(.*)|--\d+(.*)"","""")"),"JUMELLES")</f>
        <v>JUMELLES</v>
      </c>
      <c r="E14373" s="38" t="s">
        <v>241</v>
      </c>
      <c r="F14373" s="38" t="s">
        <v>134</v>
      </c>
      <c r="G14373" s="49" t="str">
        <f t="shared" si="1"/>
        <v>27220</v>
      </c>
      <c r="H14373" s="49">
        <f t="shared" si="2"/>
        <v>27360</v>
      </c>
    </row>
    <row r="14374">
      <c r="A14374" s="48" t="s">
        <v>18680</v>
      </c>
      <c r="B14374" s="38">
        <v>92007.0</v>
      </c>
      <c r="C14374" s="38" t="s">
        <v>7131</v>
      </c>
      <c r="D14374" s="38" t="str">
        <f>IFERROR(__xludf.DUMMYFUNCTION("REGEXREPLACE(C14374,""-\d+(.*)|--\d+(.*)"","""")"),"BAGNEUX")</f>
        <v>BAGNEUX</v>
      </c>
      <c r="E14374" s="38" t="s">
        <v>838</v>
      </c>
      <c r="F14374" s="38" t="s">
        <v>245</v>
      </c>
      <c r="G14374" s="49" t="str">
        <f t="shared" si="1"/>
        <v>92220</v>
      </c>
      <c r="H14374" s="49">
        <f t="shared" si="2"/>
        <v>92007</v>
      </c>
    </row>
    <row r="14375">
      <c r="A14375" s="48" t="s">
        <v>18681</v>
      </c>
      <c r="B14375" s="38">
        <v>69006.0</v>
      </c>
      <c r="C14375" s="38" t="s">
        <v>18682</v>
      </c>
      <c r="D14375" s="38" t="str">
        <f>IFERROR(__xludf.DUMMYFUNCTION("REGEXREPLACE(C14375,""-\d+(.*)|--\d+(.*)"","""")"),"AMPLEPUIS")</f>
        <v>AMPLEPUIS</v>
      </c>
      <c r="E14375" s="38" t="s">
        <v>350</v>
      </c>
      <c r="F14375" s="38" t="s">
        <v>102</v>
      </c>
      <c r="G14375" s="49" t="str">
        <f t="shared" si="1"/>
        <v>69550</v>
      </c>
      <c r="H14375" s="49">
        <f t="shared" si="2"/>
        <v>69006</v>
      </c>
    </row>
    <row r="14376">
      <c r="A14376" s="48" t="s">
        <v>12223</v>
      </c>
      <c r="B14376" s="38">
        <v>3160.0</v>
      </c>
      <c r="C14376" s="38" t="s">
        <v>18683</v>
      </c>
      <c r="D14376" s="38" t="str">
        <f>IFERROR(__xludf.DUMMYFUNCTION("REGEXREPLACE(C14376,""-\d+(.*)|--\d+(.*)"","""")"),"MARCENAT")</f>
        <v>MARCENAT</v>
      </c>
      <c r="E14376" s="38" t="s">
        <v>160</v>
      </c>
      <c r="F14376" s="38" t="s">
        <v>161</v>
      </c>
      <c r="G14376" s="49" t="str">
        <f t="shared" si="1"/>
        <v>03260</v>
      </c>
      <c r="H14376" s="49" t="str">
        <f t="shared" si="2"/>
        <v>03160</v>
      </c>
    </row>
    <row r="14377">
      <c r="A14377" s="48" t="s">
        <v>1070</v>
      </c>
      <c r="B14377" s="38">
        <v>39135.0</v>
      </c>
      <c r="C14377" s="38" t="s">
        <v>14819</v>
      </c>
      <c r="D14377" s="38" t="str">
        <f>IFERROR(__xludf.DUMMYFUNCTION("REGEXREPLACE(C14377,""-\d+(.*)|--\d+(.*)"","""")"),"CHAZELLES")</f>
        <v>CHAZELLES</v>
      </c>
      <c r="E14377" s="38" t="s">
        <v>400</v>
      </c>
      <c r="F14377" s="38" t="s">
        <v>214</v>
      </c>
      <c r="G14377" s="49" t="str">
        <f t="shared" si="1"/>
        <v>39160</v>
      </c>
      <c r="H14377" s="49">
        <f t="shared" si="2"/>
        <v>39135</v>
      </c>
    </row>
    <row r="14378">
      <c r="A14378" s="48" t="s">
        <v>18684</v>
      </c>
      <c r="B14378" s="38">
        <v>86068.0</v>
      </c>
      <c r="C14378" s="38" t="s">
        <v>18685</v>
      </c>
      <c r="D14378" s="38" t="str">
        <f>IFERROR(__xludf.DUMMYFUNCTION("REGEXREPLACE(C14378,""-\d+(.*)|--\d+(.*)"","""")"),"CHAUNAY")</f>
        <v>CHAUNAY</v>
      </c>
      <c r="E14378" s="38" t="s">
        <v>529</v>
      </c>
      <c r="F14378" s="38" t="s">
        <v>338</v>
      </c>
      <c r="G14378" s="49" t="str">
        <f t="shared" si="1"/>
        <v>86510</v>
      </c>
      <c r="H14378" s="49">
        <f t="shared" si="2"/>
        <v>86068</v>
      </c>
    </row>
    <row r="14379">
      <c r="A14379" s="48" t="s">
        <v>14783</v>
      </c>
      <c r="B14379" s="38">
        <v>42247.0</v>
      </c>
      <c r="C14379" s="38" t="s">
        <v>18686</v>
      </c>
      <c r="D14379" s="38" t="str">
        <f>IFERROR(__xludf.DUMMYFUNCTION("REGEXREPLACE(C14379,""-\d+(.*)|--\d+(.*)"","""")"),"SAINT-JUST-EN-BAS")</f>
        <v>SAINT-JUST-EN-BAS</v>
      </c>
      <c r="E14379" s="38" t="s">
        <v>166</v>
      </c>
      <c r="F14379" s="38" t="s">
        <v>102</v>
      </c>
      <c r="G14379" s="49" t="str">
        <f t="shared" si="1"/>
        <v>42990</v>
      </c>
      <c r="H14379" s="49">
        <f t="shared" si="2"/>
        <v>42247</v>
      </c>
    </row>
    <row r="14380">
      <c r="A14380" s="48" t="s">
        <v>11602</v>
      </c>
      <c r="B14380" s="38">
        <v>5150.0</v>
      </c>
      <c r="C14380" s="38" t="s">
        <v>7412</v>
      </c>
      <c r="D14380" s="38" t="str">
        <f>IFERROR(__xludf.DUMMYFUNCTION("REGEXREPLACE(C14380,""-\d+(.*)|--\d+(.*)"","""")"),"SAINTE-MARIE")</f>
        <v>SAINTE-MARIE</v>
      </c>
      <c r="E14380" s="38" t="s">
        <v>706</v>
      </c>
      <c r="F14380" s="38" t="s">
        <v>228</v>
      </c>
      <c r="G14380" s="49" t="str">
        <f t="shared" si="1"/>
        <v>05150</v>
      </c>
      <c r="H14380" s="49" t="str">
        <f t="shared" si="2"/>
        <v>05150</v>
      </c>
    </row>
    <row r="14381">
      <c r="A14381" s="48" t="s">
        <v>4766</v>
      </c>
      <c r="B14381" s="38">
        <v>64549.0</v>
      </c>
      <c r="C14381" s="38" t="s">
        <v>18687</v>
      </c>
      <c r="D14381" s="38" t="str">
        <f>IFERROR(__xludf.DUMMYFUNCTION("REGEXREPLACE(C14381,""-\d+(.*)|--\d+(.*)"","""")"),"UZEIN")</f>
        <v>UZEIN</v>
      </c>
      <c r="E14381" s="38" t="s">
        <v>268</v>
      </c>
      <c r="F14381" s="38" t="s">
        <v>252</v>
      </c>
      <c r="G14381" s="49" t="str">
        <f t="shared" si="1"/>
        <v>64230</v>
      </c>
      <c r="H14381" s="49">
        <f t="shared" si="2"/>
        <v>64549</v>
      </c>
    </row>
    <row r="14382">
      <c r="A14382" s="48" t="s">
        <v>595</v>
      </c>
      <c r="B14382" s="38">
        <v>29080.0</v>
      </c>
      <c r="C14382" s="38" t="s">
        <v>18688</v>
      </c>
      <c r="D14382" s="38" t="str">
        <f>IFERROR(__xludf.DUMMYFUNCTION("REGEXREPLACE(C14382,""-\d+(.*)|--\d+(.*)"","""")"),"HOPITAL-CAMFROUT")</f>
        <v>HOPITAL-CAMFROUT</v>
      </c>
      <c r="E14382" s="38" t="s">
        <v>176</v>
      </c>
      <c r="F14382" s="38" t="s">
        <v>90</v>
      </c>
      <c r="G14382" s="49" t="str">
        <f t="shared" si="1"/>
        <v>29460</v>
      </c>
      <c r="H14382" s="49">
        <f t="shared" si="2"/>
        <v>29080</v>
      </c>
    </row>
    <row r="14383">
      <c r="A14383" s="48" t="s">
        <v>18689</v>
      </c>
      <c r="B14383" s="38">
        <v>38265.0</v>
      </c>
      <c r="C14383" s="38" t="s">
        <v>18690</v>
      </c>
      <c r="D14383" s="38" t="str">
        <f>IFERROR(__xludf.DUMMYFUNCTION("REGEXREPLACE(C14383,""-\d+(.*)|--\d+(.*)"","""")"),"LA MOTTE-D'AVEILLANS")</f>
        <v>LA MOTTE-D'AVEILLANS</v>
      </c>
      <c r="E14383" s="38" t="s">
        <v>101</v>
      </c>
      <c r="F14383" s="38" t="s">
        <v>102</v>
      </c>
      <c r="G14383" s="49" t="str">
        <f t="shared" si="1"/>
        <v>38770</v>
      </c>
      <c r="H14383" s="49">
        <f t="shared" si="2"/>
        <v>38265</v>
      </c>
    </row>
    <row r="14384">
      <c r="A14384" s="48" t="s">
        <v>18691</v>
      </c>
      <c r="B14384" s="38">
        <v>53034.0</v>
      </c>
      <c r="C14384" s="38" t="s">
        <v>18692</v>
      </c>
      <c r="D14384" s="38" t="str">
        <f>IFERROR(__xludf.DUMMYFUNCTION("REGEXREPLACE(C14384,""-\d+(.*)|--\d+(.*)"","""")"),"BONCHAMP-LES-LAVAL")</f>
        <v>BONCHAMP-LES-LAVAL</v>
      </c>
      <c r="E14384" s="38" t="s">
        <v>518</v>
      </c>
      <c r="F14384" s="38" t="s">
        <v>180</v>
      </c>
      <c r="G14384" s="49" t="str">
        <f t="shared" si="1"/>
        <v>53960</v>
      </c>
      <c r="H14384" s="49">
        <f t="shared" si="2"/>
        <v>53034</v>
      </c>
    </row>
    <row r="14385">
      <c r="A14385" s="48" t="s">
        <v>5697</v>
      </c>
      <c r="B14385" s="38">
        <v>69289.0</v>
      </c>
      <c r="C14385" s="38" t="s">
        <v>18693</v>
      </c>
      <c r="D14385" s="38" t="str">
        <f>IFERROR(__xludf.DUMMYFUNCTION("REGEXREPLACE(C14385,""-\d+(.*)|--\d+(.*)"","""")"),"SAINT-PIERRE-DE-CHANDIEU")</f>
        <v>SAINT-PIERRE-DE-CHANDIEU</v>
      </c>
      <c r="E14385" s="38" t="s">
        <v>350</v>
      </c>
      <c r="F14385" s="38" t="s">
        <v>102</v>
      </c>
      <c r="G14385" s="49" t="str">
        <f t="shared" si="1"/>
        <v>69780</v>
      </c>
      <c r="H14385" s="49">
        <f t="shared" si="2"/>
        <v>69289</v>
      </c>
    </row>
    <row r="14386">
      <c r="A14386" s="48" t="s">
        <v>844</v>
      </c>
      <c r="B14386" s="38">
        <v>72091.0</v>
      </c>
      <c r="C14386" s="38" t="s">
        <v>18694</v>
      </c>
      <c r="D14386" s="38" t="str">
        <f>IFERROR(__xludf.DUMMYFUNCTION("REGEXREPLACE(C14386,""-\d+(.*)|--\d+(.*)"","""")"),"CONTILLY")</f>
        <v>CONTILLY</v>
      </c>
      <c r="E14386" s="38" t="s">
        <v>521</v>
      </c>
      <c r="F14386" s="38" t="s">
        <v>180</v>
      </c>
      <c r="G14386" s="49" t="str">
        <f t="shared" si="1"/>
        <v>72600</v>
      </c>
      <c r="H14386" s="49">
        <f t="shared" si="2"/>
        <v>72091</v>
      </c>
    </row>
    <row r="14387">
      <c r="A14387" s="48" t="s">
        <v>12157</v>
      </c>
      <c r="B14387" s="38">
        <v>80011.0</v>
      </c>
      <c r="C14387" s="38" t="s">
        <v>18695</v>
      </c>
      <c r="D14387" s="38" t="str">
        <f>IFERROR(__xludf.DUMMYFUNCTION("REGEXREPLACE(C14387,""-\d+(.*)|--\d+(.*)"","""")"),"AILLY-SUR-SOMME")</f>
        <v>AILLY-SUR-SOMME</v>
      </c>
      <c r="E14387" s="38" t="s">
        <v>224</v>
      </c>
      <c r="F14387" s="38" t="s">
        <v>113</v>
      </c>
      <c r="G14387" s="49" t="str">
        <f t="shared" si="1"/>
        <v>80470</v>
      </c>
      <c r="H14387" s="49">
        <f t="shared" si="2"/>
        <v>80011</v>
      </c>
    </row>
    <row r="14388">
      <c r="A14388" s="48" t="s">
        <v>12009</v>
      </c>
      <c r="B14388" s="38">
        <v>71056.0</v>
      </c>
      <c r="C14388" s="38" t="s">
        <v>18696</v>
      </c>
      <c r="D14388" s="38" t="str">
        <f>IFERROR(__xludf.DUMMYFUNCTION("REGEXREPLACE(C14388,""-\d+(.*)|--\d+(.*)"","""")"),"BRANGES")</f>
        <v>BRANGES</v>
      </c>
      <c r="E14388" s="38" t="s">
        <v>344</v>
      </c>
      <c r="F14388" s="38" t="s">
        <v>106</v>
      </c>
      <c r="G14388" s="49" t="str">
        <f t="shared" si="1"/>
        <v>71500</v>
      </c>
      <c r="H14388" s="49">
        <f t="shared" si="2"/>
        <v>71056</v>
      </c>
    </row>
    <row r="14389">
      <c r="A14389" s="48" t="s">
        <v>4267</v>
      </c>
      <c r="B14389" s="38">
        <v>62066.0</v>
      </c>
      <c r="C14389" s="38" t="s">
        <v>18697</v>
      </c>
      <c r="D14389" s="38" t="str">
        <f>IFERROR(__xludf.DUMMYFUNCTION("REGEXREPLACE(C14389,""-\d+(.*)|--\d+(.*)"","""")"),"AVONDANCE")</f>
        <v>AVONDANCE</v>
      </c>
      <c r="E14389" s="38" t="s">
        <v>109</v>
      </c>
      <c r="F14389" s="38" t="s">
        <v>86</v>
      </c>
      <c r="G14389" s="49" t="str">
        <f t="shared" si="1"/>
        <v>62310</v>
      </c>
      <c r="H14389" s="49">
        <f t="shared" si="2"/>
        <v>62066</v>
      </c>
    </row>
    <row r="14390">
      <c r="A14390" s="48" t="s">
        <v>1381</v>
      </c>
      <c r="B14390" s="38">
        <v>62063.0</v>
      </c>
      <c r="C14390" s="38" t="s">
        <v>18698</v>
      </c>
      <c r="D14390" s="38" t="str">
        <f>IFERROR(__xludf.DUMMYFUNCTION("REGEXREPLACE(C14390,""-\d+(.*)|--\d+(.*)"","""")"),"AVESNES-LE-COMTE")</f>
        <v>AVESNES-LE-COMTE</v>
      </c>
      <c r="E14390" s="38" t="s">
        <v>109</v>
      </c>
      <c r="F14390" s="38" t="s">
        <v>86</v>
      </c>
      <c r="G14390" s="49" t="str">
        <f t="shared" si="1"/>
        <v>62810</v>
      </c>
      <c r="H14390" s="49">
        <f t="shared" si="2"/>
        <v>62063</v>
      </c>
    </row>
    <row r="14391">
      <c r="A14391" s="48" t="s">
        <v>307</v>
      </c>
      <c r="B14391" s="38">
        <v>88232.0</v>
      </c>
      <c r="C14391" s="38" t="s">
        <v>18699</v>
      </c>
      <c r="D14391" s="38" t="str">
        <f>IFERROR(__xludf.DUMMYFUNCTION("REGEXREPLACE(C14391,""-\d+(.*)|--\d+(.*)"","""")"),"HARMONVILLE")</f>
        <v>HARMONVILLE</v>
      </c>
      <c r="E14391" s="38" t="s">
        <v>194</v>
      </c>
      <c r="F14391" s="38" t="s">
        <v>195</v>
      </c>
      <c r="G14391" s="49" t="str">
        <f t="shared" si="1"/>
        <v>88300</v>
      </c>
      <c r="H14391" s="49">
        <f t="shared" si="2"/>
        <v>88232</v>
      </c>
    </row>
    <row r="14392">
      <c r="A14392" s="48" t="s">
        <v>220</v>
      </c>
      <c r="B14392" s="38">
        <v>67321.0</v>
      </c>
      <c r="C14392" s="38" t="s">
        <v>18700</v>
      </c>
      <c r="D14392" s="38" t="str">
        <f>IFERROR(__xludf.DUMMYFUNCTION("REGEXREPLACE(C14392,""-\d+(.*)|--\d+(.*)"","""")"),"NEUVILLER-LA-ROCHE")</f>
        <v>NEUVILLER-LA-ROCHE</v>
      </c>
      <c r="E14392" s="38" t="s">
        <v>210</v>
      </c>
      <c r="F14392" s="38" t="s">
        <v>151</v>
      </c>
      <c r="G14392" s="49" t="str">
        <f t="shared" si="1"/>
        <v>67130</v>
      </c>
      <c r="H14392" s="49">
        <f t="shared" si="2"/>
        <v>67321</v>
      </c>
    </row>
    <row r="14393">
      <c r="A14393" s="48" t="s">
        <v>946</v>
      </c>
      <c r="B14393" s="38">
        <v>81071.0</v>
      </c>
      <c r="C14393" s="38" t="s">
        <v>18701</v>
      </c>
      <c r="D14393" s="38" t="str">
        <f>IFERROR(__xludf.DUMMYFUNCTION("REGEXREPLACE(C14393,""-\d+(.*)|--\d+(.*)"","""")"),"COURRIS")</f>
        <v>COURRIS</v>
      </c>
      <c r="E14393" s="38" t="s">
        <v>231</v>
      </c>
      <c r="F14393" s="38" t="s">
        <v>94</v>
      </c>
      <c r="G14393" s="49" t="str">
        <f t="shared" si="1"/>
        <v>81340</v>
      </c>
      <c r="H14393" s="49">
        <f t="shared" si="2"/>
        <v>81071</v>
      </c>
    </row>
    <row r="14394">
      <c r="A14394" s="48" t="s">
        <v>734</v>
      </c>
      <c r="B14394" s="38">
        <v>54004.0</v>
      </c>
      <c r="C14394" s="38" t="s">
        <v>18702</v>
      </c>
      <c r="D14394" s="38" t="str">
        <f>IFERROR(__xludf.DUMMYFUNCTION("REGEXREPLACE(C14394,""-\d+(.*)|--\d+(.*)"","""")"),"AFFLEVILLE")</f>
        <v>AFFLEVILLE</v>
      </c>
      <c r="E14394" s="38" t="s">
        <v>548</v>
      </c>
      <c r="F14394" s="38" t="s">
        <v>195</v>
      </c>
      <c r="G14394" s="49" t="str">
        <f t="shared" si="1"/>
        <v>54800</v>
      </c>
      <c r="H14394" s="49">
        <f t="shared" si="2"/>
        <v>54004</v>
      </c>
    </row>
    <row r="14395">
      <c r="A14395" s="48" t="s">
        <v>3699</v>
      </c>
      <c r="B14395" s="38">
        <v>18246.0</v>
      </c>
      <c r="C14395" s="38" t="s">
        <v>18703</v>
      </c>
      <c r="D14395" s="38" t="str">
        <f>IFERROR(__xludf.DUMMYFUNCTION("REGEXREPLACE(C14395,""-\d+(.*)|--\d+(.*)"","""")"),"SAVIGNY-EN-SANCERRE")</f>
        <v>SAVIGNY-EN-SANCERRE</v>
      </c>
      <c r="E14395" s="38" t="s">
        <v>504</v>
      </c>
      <c r="F14395" s="38" t="s">
        <v>123</v>
      </c>
      <c r="G14395" s="49" t="str">
        <f t="shared" si="1"/>
        <v>18240</v>
      </c>
      <c r="H14395" s="49">
        <f t="shared" si="2"/>
        <v>18246</v>
      </c>
    </row>
    <row r="14396">
      <c r="A14396" s="48" t="s">
        <v>2170</v>
      </c>
      <c r="B14396" s="38">
        <v>80128.0</v>
      </c>
      <c r="C14396" s="38" t="s">
        <v>18704</v>
      </c>
      <c r="D14396" s="38" t="str">
        <f>IFERROR(__xludf.DUMMYFUNCTION("REGEXREPLACE(C14396,""-\d+(.*)|--\d+(.*)"","""")"),"BOUVINCOURT-EN-VERMANDOIS")</f>
        <v>BOUVINCOURT-EN-VERMANDOIS</v>
      </c>
      <c r="E14396" s="38" t="s">
        <v>224</v>
      </c>
      <c r="F14396" s="38" t="s">
        <v>113</v>
      </c>
      <c r="G14396" s="49" t="str">
        <f t="shared" si="1"/>
        <v>80200</v>
      </c>
      <c r="H14396" s="49">
        <f t="shared" si="2"/>
        <v>80128</v>
      </c>
    </row>
    <row r="14397">
      <c r="A14397" s="48" t="s">
        <v>7796</v>
      </c>
      <c r="B14397" s="38">
        <v>84063.0</v>
      </c>
      <c r="C14397" s="38" t="s">
        <v>18705</v>
      </c>
      <c r="D14397" s="38" t="str">
        <f>IFERROR(__xludf.DUMMYFUNCTION("REGEXREPLACE(C14397,""-\d+(.*)|--\d+(.*)"","""")"),"LAMOTTE-DU-RHONE")</f>
        <v>LAMOTTE-DU-RHONE</v>
      </c>
      <c r="E14397" s="38" t="s">
        <v>1026</v>
      </c>
      <c r="F14397" s="38" t="s">
        <v>228</v>
      </c>
      <c r="G14397" s="49" t="str">
        <f t="shared" si="1"/>
        <v>84840</v>
      </c>
      <c r="H14397" s="49">
        <f t="shared" si="2"/>
        <v>84063</v>
      </c>
    </row>
    <row r="14398">
      <c r="A14398" s="48" t="s">
        <v>18706</v>
      </c>
      <c r="B14398" s="38">
        <v>54111.0</v>
      </c>
      <c r="C14398" s="38" t="s">
        <v>18707</v>
      </c>
      <c r="D14398" s="38" t="str">
        <f>IFERROR(__xludf.DUMMYFUNCTION("REGEXREPLACE(C14398,""-\d+(.*)|--\d+(.*)"","""")"),"CHALIGNY")</f>
        <v>CHALIGNY</v>
      </c>
      <c r="E14398" s="38" t="s">
        <v>548</v>
      </c>
      <c r="F14398" s="38" t="s">
        <v>195</v>
      </c>
      <c r="G14398" s="49" t="str">
        <f t="shared" si="1"/>
        <v>54230</v>
      </c>
      <c r="H14398" s="49">
        <f t="shared" si="2"/>
        <v>54111</v>
      </c>
    </row>
    <row r="14399">
      <c r="A14399" s="48" t="s">
        <v>5209</v>
      </c>
      <c r="B14399" s="38">
        <v>54558.0</v>
      </c>
      <c r="C14399" s="38" t="s">
        <v>18708</v>
      </c>
      <c r="D14399" s="38" t="str">
        <f>IFERROR(__xludf.DUMMYFUNCTION("REGEXREPLACE(C14399,""-\d+(.*)|--\d+(.*)"","""")"),"VELAINE-SOUS-AMANCE")</f>
        <v>VELAINE-SOUS-AMANCE</v>
      </c>
      <c r="E14399" s="38" t="s">
        <v>548</v>
      </c>
      <c r="F14399" s="38" t="s">
        <v>195</v>
      </c>
      <c r="G14399" s="49" t="str">
        <f t="shared" si="1"/>
        <v>54280</v>
      </c>
      <c r="H14399" s="49">
        <f t="shared" si="2"/>
        <v>54558</v>
      </c>
    </row>
    <row r="14400">
      <c r="A14400" s="48" t="s">
        <v>3763</v>
      </c>
      <c r="B14400" s="38">
        <v>76086.0</v>
      </c>
      <c r="C14400" s="38" t="s">
        <v>18709</v>
      </c>
      <c r="D14400" s="38" t="str">
        <f>IFERROR(__xludf.DUMMYFUNCTION("REGEXREPLACE(C14400,""-\d+(.*)|--\d+(.*)"","""")"),"BERTRIMONT")</f>
        <v>BERTRIMONT</v>
      </c>
      <c r="E14400" s="38" t="s">
        <v>133</v>
      </c>
      <c r="F14400" s="38" t="s">
        <v>134</v>
      </c>
      <c r="G14400" s="49" t="str">
        <f t="shared" si="1"/>
        <v>76890</v>
      </c>
      <c r="H14400" s="49">
        <f t="shared" si="2"/>
        <v>76086</v>
      </c>
    </row>
    <row r="14401">
      <c r="A14401" s="48" t="s">
        <v>18710</v>
      </c>
      <c r="B14401" s="38">
        <v>78646.0</v>
      </c>
      <c r="C14401" s="38" t="s">
        <v>18711</v>
      </c>
      <c r="D14401" s="38" t="str">
        <f>IFERROR(__xludf.DUMMYFUNCTION("REGEXREPLACE(C14401,""-\d+(.*)|--\d+(.*)"","""")"),"VERSAILLES")</f>
        <v>VERSAILLES</v>
      </c>
      <c r="E14401" s="38" t="s">
        <v>362</v>
      </c>
      <c r="F14401" s="38" t="s">
        <v>245</v>
      </c>
      <c r="G14401" s="49" t="str">
        <f t="shared" si="1"/>
        <v>78000</v>
      </c>
      <c r="H14401" s="49">
        <f t="shared" si="2"/>
        <v>78646</v>
      </c>
    </row>
    <row r="14402">
      <c r="A14402" s="48" t="s">
        <v>5553</v>
      </c>
      <c r="B14402" s="38">
        <v>34036.0</v>
      </c>
      <c r="C14402" s="38" t="s">
        <v>17024</v>
      </c>
      <c r="D14402" s="38" t="str">
        <f>IFERROR(__xludf.DUMMYFUNCTION("REGEXREPLACE(C14402,""-\d+(.*)|--\d+(.*)"","""")"),"LE BOSC")</f>
        <v>LE BOSC</v>
      </c>
      <c r="E14402" s="38" t="s">
        <v>118</v>
      </c>
      <c r="F14402" s="38" t="s">
        <v>119</v>
      </c>
      <c r="G14402" s="49" t="str">
        <f t="shared" si="1"/>
        <v>34700</v>
      </c>
      <c r="H14402" s="49">
        <f t="shared" si="2"/>
        <v>34036</v>
      </c>
    </row>
    <row r="14403">
      <c r="A14403" s="48" t="s">
        <v>14151</v>
      </c>
      <c r="B14403" s="38">
        <v>53184.0</v>
      </c>
      <c r="C14403" s="38" t="s">
        <v>3487</v>
      </c>
      <c r="D14403" s="38" t="str">
        <f>IFERROR(__xludf.DUMMYFUNCTION("REGEXREPLACE(C14403,""-\d+(.*)|--\d+(.*)"","""")"),"PREAUX")</f>
        <v>PREAUX</v>
      </c>
      <c r="E14403" s="38" t="s">
        <v>518</v>
      </c>
      <c r="F14403" s="38" t="s">
        <v>180</v>
      </c>
      <c r="G14403" s="49" t="str">
        <f t="shared" si="1"/>
        <v>53340</v>
      </c>
      <c r="H14403" s="49">
        <f t="shared" si="2"/>
        <v>53184</v>
      </c>
    </row>
    <row r="14404">
      <c r="A14404" s="48" t="s">
        <v>1258</v>
      </c>
      <c r="B14404" s="38">
        <v>35297.0</v>
      </c>
      <c r="C14404" s="38" t="s">
        <v>18712</v>
      </c>
      <c r="D14404" s="38" t="str">
        <f>IFERROR(__xludf.DUMMYFUNCTION("REGEXREPLACE(C14404,""-\d+(.*)|--\d+(.*)"","""")"),"SAINT-MEEN-LE-GRAND")</f>
        <v>SAINT-MEEN-LE-GRAND</v>
      </c>
      <c r="E14404" s="38" t="s">
        <v>347</v>
      </c>
      <c r="F14404" s="38" t="s">
        <v>90</v>
      </c>
      <c r="G14404" s="49" t="str">
        <f t="shared" si="1"/>
        <v>35290</v>
      </c>
      <c r="H14404" s="49">
        <f t="shared" si="2"/>
        <v>35297</v>
      </c>
    </row>
    <row r="14405">
      <c r="A14405" s="48" t="s">
        <v>8167</v>
      </c>
      <c r="B14405" s="38">
        <v>41202.0</v>
      </c>
      <c r="C14405" s="38" t="s">
        <v>2297</v>
      </c>
      <c r="D14405" s="38" t="str">
        <f>IFERROR(__xludf.DUMMYFUNCTION("REGEXREPLACE(C14405,""-\d+(.*)|--\d+(.*)"","""")"),"SAINT-AVIT")</f>
        <v>SAINT-AVIT</v>
      </c>
      <c r="E14405" s="38" t="s">
        <v>188</v>
      </c>
      <c r="F14405" s="38" t="s">
        <v>123</v>
      </c>
      <c r="G14405" s="49" t="str">
        <f t="shared" si="1"/>
        <v>41170</v>
      </c>
      <c r="H14405" s="49">
        <f t="shared" si="2"/>
        <v>41202</v>
      </c>
    </row>
    <row r="14406">
      <c r="A14406" s="48" t="s">
        <v>430</v>
      </c>
      <c r="B14406" s="38">
        <v>2428.0</v>
      </c>
      <c r="C14406" s="38" t="s">
        <v>18713</v>
      </c>
      <c r="D14406" s="38" t="str">
        <f>IFERROR(__xludf.DUMMYFUNCTION("REGEXREPLACE(C14406,""-\d+(.*)|--\d+(.*)"","""")"),"LICY-CLIGNON")</f>
        <v>LICY-CLIGNON</v>
      </c>
      <c r="E14406" s="38" t="s">
        <v>191</v>
      </c>
      <c r="F14406" s="38" t="s">
        <v>113</v>
      </c>
      <c r="G14406" s="49" t="str">
        <f t="shared" si="1"/>
        <v>02810</v>
      </c>
      <c r="H14406" s="49" t="str">
        <f t="shared" si="2"/>
        <v>02428</v>
      </c>
    </row>
    <row r="14407">
      <c r="A14407" s="48" t="s">
        <v>754</v>
      </c>
      <c r="B14407" s="38">
        <v>91145.0</v>
      </c>
      <c r="C14407" s="38" t="s">
        <v>18714</v>
      </c>
      <c r="D14407" s="38" t="str">
        <f>IFERROR(__xludf.DUMMYFUNCTION("REGEXREPLACE(C14407,""-\d+(.*)|--\d+(.*)"","""")"),"CHATIGNONVILLE")</f>
        <v>CHATIGNONVILLE</v>
      </c>
      <c r="E14407" s="38" t="s">
        <v>756</v>
      </c>
      <c r="F14407" s="38" t="s">
        <v>245</v>
      </c>
      <c r="G14407" s="49" t="str">
        <f t="shared" si="1"/>
        <v>91410</v>
      </c>
      <c r="H14407" s="49">
        <f t="shared" si="2"/>
        <v>91145</v>
      </c>
    </row>
    <row r="14408">
      <c r="A14408" s="48" t="s">
        <v>1182</v>
      </c>
      <c r="B14408" s="38">
        <v>67127.0</v>
      </c>
      <c r="C14408" s="38" t="s">
        <v>18715</v>
      </c>
      <c r="D14408" s="38" t="str">
        <f>IFERROR(__xludf.DUMMYFUNCTION("REGEXREPLACE(C14408,""-\d+(.*)|--\d+(.*)"","""")"),"ERGERSHEIM")</f>
        <v>ERGERSHEIM</v>
      </c>
      <c r="E14408" s="38" t="s">
        <v>210</v>
      </c>
      <c r="F14408" s="38" t="s">
        <v>151</v>
      </c>
      <c r="G14408" s="49" t="str">
        <f t="shared" si="1"/>
        <v>67120</v>
      </c>
      <c r="H14408" s="49">
        <f t="shared" si="2"/>
        <v>67127</v>
      </c>
    </row>
    <row r="14409">
      <c r="A14409" s="48" t="s">
        <v>3465</v>
      </c>
      <c r="B14409" s="38">
        <v>11139.0</v>
      </c>
      <c r="C14409" s="38" t="s">
        <v>18716</v>
      </c>
      <c r="D14409" s="38" t="str">
        <f>IFERROR(__xludf.DUMMYFUNCTION("REGEXREPLACE(C14409,""-\d+(.*)|--\d+(.*)"","""")"),"FENOUILLET-DU-RAZES")</f>
        <v>FENOUILLET-DU-RAZES</v>
      </c>
      <c r="E14409" s="38" t="s">
        <v>278</v>
      </c>
      <c r="F14409" s="38" t="s">
        <v>119</v>
      </c>
      <c r="G14409" s="49" t="str">
        <f t="shared" si="1"/>
        <v>11240</v>
      </c>
      <c r="H14409" s="49">
        <f t="shared" si="2"/>
        <v>11139</v>
      </c>
    </row>
    <row r="14410">
      <c r="A14410" s="48" t="s">
        <v>4402</v>
      </c>
      <c r="B14410" s="38">
        <v>54419.0</v>
      </c>
      <c r="C14410" s="38" t="s">
        <v>18717</v>
      </c>
      <c r="D14410" s="38" t="str">
        <f>IFERROR(__xludf.DUMMYFUNCTION("REGEXREPLACE(C14410,""-\d+(.*)|--\d+(.*)"","""")"),"PARUX")</f>
        <v>PARUX</v>
      </c>
      <c r="E14410" s="38" t="s">
        <v>548</v>
      </c>
      <c r="F14410" s="38" t="s">
        <v>195</v>
      </c>
      <c r="G14410" s="49" t="str">
        <f t="shared" si="1"/>
        <v>54480</v>
      </c>
      <c r="H14410" s="49">
        <f t="shared" si="2"/>
        <v>54419</v>
      </c>
    </row>
    <row r="14411">
      <c r="A14411" s="48" t="s">
        <v>4553</v>
      </c>
      <c r="B14411" s="38">
        <v>56142.0</v>
      </c>
      <c r="C14411" s="38" t="s">
        <v>18718</v>
      </c>
      <c r="D14411" s="38" t="str">
        <f>IFERROR(__xludf.DUMMYFUNCTION("REGEXREPLACE(C14411,""-\d+(.*)|--\d+(.*)"","""")"),"MOUSTOIR-REMUNGOL")</f>
        <v>MOUSTOIR-REMUNGOL</v>
      </c>
      <c r="E14411" s="38" t="s">
        <v>173</v>
      </c>
      <c r="F14411" s="38" t="s">
        <v>90</v>
      </c>
      <c r="G14411" s="49" t="str">
        <f t="shared" si="1"/>
        <v>56500</v>
      </c>
      <c r="H14411" s="49">
        <f t="shared" si="2"/>
        <v>56142</v>
      </c>
    </row>
    <row r="14412">
      <c r="A14412" s="48" t="s">
        <v>18719</v>
      </c>
      <c r="B14412" s="38">
        <v>25415.0</v>
      </c>
      <c r="C14412" s="38" t="s">
        <v>18720</v>
      </c>
      <c r="D14412" s="38" t="str">
        <f>IFERROR(__xludf.DUMMYFUNCTION("REGEXREPLACE(C14412,""-\d+(.*)|--\d+(.*)"","""")"),"MOUTHIER-HAUTE-PIERRE")</f>
        <v>MOUTHIER-HAUTE-PIERRE</v>
      </c>
      <c r="E14412" s="38" t="s">
        <v>213</v>
      </c>
      <c r="F14412" s="38" t="s">
        <v>214</v>
      </c>
      <c r="G14412" s="49" t="str">
        <f t="shared" si="1"/>
        <v>25920</v>
      </c>
      <c r="H14412" s="49">
        <f t="shared" si="2"/>
        <v>25415</v>
      </c>
    </row>
    <row r="14413">
      <c r="A14413" s="48" t="s">
        <v>276</v>
      </c>
      <c r="B14413" s="38">
        <v>11177.0</v>
      </c>
      <c r="C14413" s="38" t="s">
        <v>18721</v>
      </c>
      <c r="D14413" s="38" t="str">
        <f>IFERROR(__xludf.DUMMYFUNCTION("REGEXREPLACE(C14413,""-\d+(.*)|--\d+(.*)"","""")"),"JOUCOU")</f>
        <v>JOUCOU</v>
      </c>
      <c r="E14413" s="38" t="s">
        <v>278</v>
      </c>
      <c r="F14413" s="38" t="s">
        <v>119</v>
      </c>
      <c r="G14413" s="49" t="str">
        <f t="shared" si="1"/>
        <v>11140</v>
      </c>
      <c r="H14413" s="49">
        <f t="shared" si="2"/>
        <v>11177</v>
      </c>
    </row>
    <row r="14414">
      <c r="A14414" s="48" t="s">
        <v>18722</v>
      </c>
      <c r="B14414" s="38">
        <v>38519.0</v>
      </c>
      <c r="C14414" s="38" t="s">
        <v>18723</v>
      </c>
      <c r="D14414" s="38" t="str">
        <f>IFERROR(__xludf.DUMMYFUNCTION("REGEXREPLACE(C14414,""-\d+(.*)|--\d+(.*)"","""")"),"VALENCIN")</f>
        <v>VALENCIN</v>
      </c>
      <c r="E14414" s="38" t="s">
        <v>101</v>
      </c>
      <c r="F14414" s="38" t="s">
        <v>102</v>
      </c>
      <c r="G14414" s="49" t="str">
        <f t="shared" si="1"/>
        <v>38540</v>
      </c>
      <c r="H14414" s="49">
        <f t="shared" si="2"/>
        <v>38519</v>
      </c>
    </row>
    <row r="14415">
      <c r="A14415" s="48" t="s">
        <v>3523</v>
      </c>
      <c r="B14415" s="38">
        <v>31303.0</v>
      </c>
      <c r="C14415" s="38" t="s">
        <v>18724</v>
      </c>
      <c r="D14415" s="38" t="str">
        <f>IFERROR(__xludf.DUMMYFUNCTION("REGEXREPLACE(C14415,""-\d+(.*)|--\d+(.*)"","""")"),"LONGAGES")</f>
        <v>LONGAGES</v>
      </c>
      <c r="E14415" s="38" t="s">
        <v>93</v>
      </c>
      <c r="F14415" s="38" t="s">
        <v>94</v>
      </c>
      <c r="G14415" s="49" t="str">
        <f t="shared" si="1"/>
        <v>31410</v>
      </c>
      <c r="H14415" s="49">
        <f t="shared" si="2"/>
        <v>31303</v>
      </c>
    </row>
    <row r="14416">
      <c r="A14416" s="48" t="s">
        <v>18725</v>
      </c>
      <c r="B14416" s="38">
        <v>15240.0</v>
      </c>
      <c r="C14416" s="38" t="s">
        <v>18726</v>
      </c>
      <c r="D14416" s="38" t="str">
        <f>IFERROR(__xludf.DUMMYFUNCTION("REGEXREPLACE(C14416,""-\d+(.*)|--\d+(.*)"","""")"),"TREMOUILLE")</f>
        <v>TREMOUILLE</v>
      </c>
      <c r="E14416" s="38" t="s">
        <v>632</v>
      </c>
      <c r="F14416" s="38" t="s">
        <v>161</v>
      </c>
      <c r="G14416" s="49" t="str">
        <f t="shared" si="1"/>
        <v>15270</v>
      </c>
      <c r="H14416" s="49">
        <f t="shared" si="2"/>
        <v>15240</v>
      </c>
    </row>
    <row r="14417">
      <c r="A14417" s="48" t="s">
        <v>1686</v>
      </c>
      <c r="B14417" s="38">
        <v>51320.0</v>
      </c>
      <c r="C14417" s="38" t="s">
        <v>18727</v>
      </c>
      <c r="D14417" s="38" t="str">
        <f>IFERROR(__xludf.DUMMYFUNCTION("REGEXREPLACE(C14417,""-\d+(.*)|--\d+(.*)"","""")"),"LEUVRIGNY")</f>
        <v>LEUVRIGNY</v>
      </c>
      <c r="E14417" s="38" t="s">
        <v>129</v>
      </c>
      <c r="F14417" s="38" t="s">
        <v>130</v>
      </c>
      <c r="G14417" s="49" t="str">
        <f t="shared" si="1"/>
        <v>51700</v>
      </c>
      <c r="H14417" s="49">
        <f t="shared" si="2"/>
        <v>51320</v>
      </c>
    </row>
    <row r="14418">
      <c r="A14418" s="48" t="s">
        <v>4644</v>
      </c>
      <c r="B14418" s="38">
        <v>46044.0</v>
      </c>
      <c r="C14418" s="38" t="s">
        <v>18728</v>
      </c>
      <c r="D14418" s="38" t="str">
        <f>IFERROR(__xludf.DUMMYFUNCTION("REGEXREPLACE(C14418,""-\d+(.*)|--\d+(.*)"","""")"),"CAILLAC")</f>
        <v>CAILLAC</v>
      </c>
      <c r="E14418" s="38" t="s">
        <v>185</v>
      </c>
      <c r="F14418" s="38" t="s">
        <v>94</v>
      </c>
      <c r="G14418" s="49" t="str">
        <f t="shared" si="1"/>
        <v>46140</v>
      </c>
      <c r="H14418" s="49">
        <f t="shared" si="2"/>
        <v>46044</v>
      </c>
    </row>
    <row r="14419">
      <c r="A14419" s="48" t="s">
        <v>12826</v>
      </c>
      <c r="B14419" s="38">
        <v>45011.0</v>
      </c>
      <c r="C14419" s="38" t="s">
        <v>18729</v>
      </c>
      <c r="D14419" s="38" t="str">
        <f>IFERROR(__xludf.DUMMYFUNCTION("REGEXREPLACE(C14419,""-\d+(.*)|--\d+(.*)"","""")"),"ATTRAY")</f>
        <v>ATTRAY</v>
      </c>
      <c r="E14419" s="38" t="s">
        <v>122</v>
      </c>
      <c r="F14419" s="38" t="s">
        <v>123</v>
      </c>
      <c r="G14419" s="49" t="str">
        <f t="shared" si="1"/>
        <v>45170</v>
      </c>
      <c r="H14419" s="49">
        <f t="shared" si="2"/>
        <v>45011</v>
      </c>
    </row>
    <row r="14420">
      <c r="A14420" s="48" t="s">
        <v>3624</v>
      </c>
      <c r="B14420" s="38">
        <v>39195.0</v>
      </c>
      <c r="C14420" s="38" t="s">
        <v>18730</v>
      </c>
      <c r="D14420" s="38" t="str">
        <f>IFERROR(__xludf.DUMMYFUNCTION("REGEXREPLACE(C14420,""-\d+(.*)|--\d+(.*)"","""")"),"DESSIA")</f>
        <v>DESSIA</v>
      </c>
      <c r="E14420" s="38" t="s">
        <v>400</v>
      </c>
      <c r="F14420" s="38" t="s">
        <v>214</v>
      </c>
      <c r="G14420" s="49" t="str">
        <f t="shared" si="1"/>
        <v>39320</v>
      </c>
      <c r="H14420" s="49">
        <f t="shared" si="2"/>
        <v>39195</v>
      </c>
    </row>
    <row r="14421">
      <c r="A14421" s="48" t="s">
        <v>1774</v>
      </c>
      <c r="B14421" s="38">
        <v>28327.0</v>
      </c>
      <c r="C14421" s="38" t="s">
        <v>18731</v>
      </c>
      <c r="D14421" s="38" t="str">
        <f>IFERROR(__xludf.DUMMYFUNCTION("REGEXREPLACE(C14421,""-\d+(.*)|--\d+(.*)"","""")"),"SAINT-BOMER")</f>
        <v>SAINT-BOMER</v>
      </c>
      <c r="E14421" s="38" t="s">
        <v>300</v>
      </c>
      <c r="F14421" s="38" t="s">
        <v>123</v>
      </c>
      <c r="G14421" s="49" t="str">
        <f t="shared" si="1"/>
        <v>28330</v>
      </c>
      <c r="H14421" s="49">
        <f t="shared" si="2"/>
        <v>28327</v>
      </c>
    </row>
    <row r="14422">
      <c r="A14422" s="48" t="s">
        <v>7357</v>
      </c>
      <c r="B14422" s="38">
        <v>80076.0</v>
      </c>
      <c r="C14422" s="38" t="s">
        <v>18732</v>
      </c>
      <c r="D14422" s="38" t="str">
        <f>IFERROR(__xludf.DUMMYFUNCTION("REGEXREPLACE(C14422,""-\d+(.*)|--\d+(.*)"","""")"),"BEHEN")</f>
        <v>BEHEN</v>
      </c>
      <c r="E14422" s="38" t="s">
        <v>224</v>
      </c>
      <c r="F14422" s="38" t="s">
        <v>113</v>
      </c>
      <c r="G14422" s="49" t="str">
        <f t="shared" si="1"/>
        <v>80870</v>
      </c>
      <c r="H14422" s="49">
        <f t="shared" si="2"/>
        <v>80076</v>
      </c>
    </row>
    <row r="14423">
      <c r="A14423" s="48" t="s">
        <v>6233</v>
      </c>
      <c r="B14423" s="38">
        <v>15107.0</v>
      </c>
      <c r="C14423" s="38" t="s">
        <v>18733</v>
      </c>
      <c r="D14423" s="38" t="str">
        <f>IFERROR(__xludf.DUMMYFUNCTION("REGEXREPLACE(C14423,""-\d+(.*)|--\d+(.*)"","""")"),"LORCIERES")</f>
        <v>LORCIERES</v>
      </c>
      <c r="E14423" s="38" t="s">
        <v>632</v>
      </c>
      <c r="F14423" s="38" t="s">
        <v>161</v>
      </c>
      <c r="G14423" s="49" t="str">
        <f t="shared" si="1"/>
        <v>15320</v>
      </c>
      <c r="H14423" s="49">
        <f t="shared" si="2"/>
        <v>15107</v>
      </c>
    </row>
    <row r="14424">
      <c r="A14424" s="48" t="s">
        <v>1742</v>
      </c>
      <c r="B14424" s="38">
        <v>21385.0</v>
      </c>
      <c r="C14424" s="38" t="s">
        <v>18734</v>
      </c>
      <c r="D14424" s="38" t="str">
        <f>IFERROR(__xludf.DUMMYFUNCTION("REGEXREPLACE(C14424,""-\d+(.*)|--\d+(.*)"","""")"),"MAREY-SUR-TILLE")</f>
        <v>MAREY-SUR-TILLE</v>
      </c>
      <c r="E14424" s="38" t="s">
        <v>105</v>
      </c>
      <c r="F14424" s="38" t="s">
        <v>106</v>
      </c>
      <c r="G14424" s="49" t="str">
        <f t="shared" si="1"/>
        <v>21120</v>
      </c>
      <c r="H14424" s="49">
        <f t="shared" si="2"/>
        <v>21385</v>
      </c>
    </row>
    <row r="14425">
      <c r="A14425" s="48" t="s">
        <v>16366</v>
      </c>
      <c r="B14425" s="38">
        <v>21358.0</v>
      </c>
      <c r="C14425" s="38" t="s">
        <v>18735</v>
      </c>
      <c r="D14425" s="38" t="str">
        <f>IFERROR(__xludf.DUMMYFUNCTION("REGEXREPLACE(C14425,""-\d+(.*)|--\d+(.*)"","""")"),"LUCENAY-LE-DUC")</f>
        <v>LUCENAY-LE-DUC</v>
      </c>
      <c r="E14425" s="38" t="s">
        <v>105</v>
      </c>
      <c r="F14425" s="38" t="s">
        <v>106</v>
      </c>
      <c r="G14425" s="49" t="str">
        <f t="shared" si="1"/>
        <v>21150</v>
      </c>
      <c r="H14425" s="49">
        <f t="shared" si="2"/>
        <v>21358</v>
      </c>
    </row>
    <row r="14426">
      <c r="A14426" s="48" t="s">
        <v>16913</v>
      </c>
      <c r="B14426" s="38">
        <v>24139.0</v>
      </c>
      <c r="C14426" s="38" t="s">
        <v>18736</v>
      </c>
      <c r="D14426" s="38" t="str">
        <f>IFERROR(__xludf.DUMMYFUNCTION("REGEXREPLACE(C14426,""-\d+(.*)|--\d+(.*)"","""")"),"COURSAC")</f>
        <v>COURSAC</v>
      </c>
      <c r="E14426" s="38" t="s">
        <v>261</v>
      </c>
      <c r="F14426" s="38" t="s">
        <v>252</v>
      </c>
      <c r="G14426" s="49" t="str">
        <f t="shared" si="1"/>
        <v>24430</v>
      </c>
      <c r="H14426" s="49">
        <f t="shared" si="2"/>
        <v>24139</v>
      </c>
    </row>
    <row r="14427">
      <c r="A14427" s="48" t="s">
        <v>4441</v>
      </c>
      <c r="B14427" s="38">
        <v>6103.0</v>
      </c>
      <c r="C14427" s="38" t="s">
        <v>18737</v>
      </c>
      <c r="D14427" s="38" t="str">
        <f>IFERROR(__xludf.DUMMYFUNCTION("REGEXREPLACE(C14427,""-\d+(.*)|--\d+(.*)"","""")"),"ROQUEBILLIERE")</f>
        <v>ROQUEBILLIERE</v>
      </c>
      <c r="E14427" s="38" t="s">
        <v>227</v>
      </c>
      <c r="F14427" s="38" t="s">
        <v>228</v>
      </c>
      <c r="G14427" s="49" t="str">
        <f t="shared" si="1"/>
        <v>06450</v>
      </c>
      <c r="H14427" s="49" t="str">
        <f t="shared" si="2"/>
        <v>06103</v>
      </c>
    </row>
    <row r="14428">
      <c r="A14428" s="48" t="s">
        <v>14867</v>
      </c>
      <c r="B14428" s="38">
        <v>49060.0</v>
      </c>
      <c r="C14428" s="38" t="s">
        <v>18738</v>
      </c>
      <c r="D14428" s="38" t="str">
        <f>IFERROR(__xludf.DUMMYFUNCTION("REGEXREPLACE(C14428,""-\d+(.*)|--\d+(.*)"","""")"),"CHACE")</f>
        <v>CHACE</v>
      </c>
      <c r="E14428" s="38" t="s">
        <v>653</v>
      </c>
      <c r="F14428" s="38" t="s">
        <v>180</v>
      </c>
      <c r="G14428" s="49" t="str">
        <f t="shared" si="1"/>
        <v>49400</v>
      </c>
      <c r="H14428" s="49">
        <f t="shared" si="2"/>
        <v>49060</v>
      </c>
    </row>
    <row r="14429">
      <c r="A14429" s="48" t="s">
        <v>8393</v>
      </c>
      <c r="B14429" s="38">
        <v>80061.0</v>
      </c>
      <c r="C14429" s="38" t="s">
        <v>18739</v>
      </c>
      <c r="D14429" s="38" t="str">
        <f>IFERROR(__xludf.DUMMYFUNCTION("REGEXREPLACE(C14429,""-\d+(.*)|--\d+(.*)"","""")"),"BEAUCAMPS-LE-JEUNE")</f>
        <v>BEAUCAMPS-LE-JEUNE</v>
      </c>
      <c r="E14429" s="38" t="s">
        <v>224</v>
      </c>
      <c r="F14429" s="38" t="s">
        <v>113</v>
      </c>
      <c r="G14429" s="49" t="str">
        <f t="shared" si="1"/>
        <v>80430</v>
      </c>
      <c r="H14429" s="49">
        <f t="shared" si="2"/>
        <v>80061</v>
      </c>
    </row>
    <row r="14430">
      <c r="A14430" s="48" t="s">
        <v>315</v>
      </c>
      <c r="B14430" s="38">
        <v>27623.0</v>
      </c>
      <c r="C14430" s="38" t="s">
        <v>18740</v>
      </c>
      <c r="D14430" s="38" t="str">
        <f>IFERROR(__xludf.DUMMYFUNCTION("REGEXREPLACE(C14430,""-\d+(.*)|--\d+(.*)"","""")"),"SURTAUVILLE")</f>
        <v>SURTAUVILLE</v>
      </c>
      <c r="E14430" s="38" t="s">
        <v>241</v>
      </c>
      <c r="F14430" s="38" t="s">
        <v>134</v>
      </c>
      <c r="G14430" s="49" t="str">
        <f t="shared" si="1"/>
        <v>27400</v>
      </c>
      <c r="H14430" s="49">
        <f t="shared" si="2"/>
        <v>27623</v>
      </c>
    </row>
    <row r="14431">
      <c r="A14431" s="48" t="s">
        <v>11152</v>
      </c>
      <c r="B14431" s="38">
        <v>61445.0</v>
      </c>
      <c r="C14431" s="38" t="s">
        <v>18741</v>
      </c>
      <c r="D14431" s="38" t="str">
        <f>IFERROR(__xludf.DUMMYFUNCTION("REGEXREPLACE(C14431,""-\d+(.*)|--\d+(.*)"","""")"),"SAINT-PIERRE-D'ENTREMONT")</f>
        <v>SAINT-PIERRE-D'ENTREMONT</v>
      </c>
      <c r="E14431" s="38" t="s">
        <v>141</v>
      </c>
      <c r="F14431" s="38" t="s">
        <v>138</v>
      </c>
      <c r="G14431" s="49" t="str">
        <f t="shared" si="1"/>
        <v>61800</v>
      </c>
      <c r="H14431" s="49">
        <f t="shared" si="2"/>
        <v>61445</v>
      </c>
    </row>
    <row r="14432">
      <c r="A14432" s="48" t="s">
        <v>4711</v>
      </c>
      <c r="B14432" s="38">
        <v>88059.0</v>
      </c>
      <c r="C14432" s="38" t="s">
        <v>18742</v>
      </c>
      <c r="D14432" s="38" t="str">
        <f>IFERROR(__xludf.DUMMYFUNCTION("REGEXREPLACE(C14432,""-\d+(.*)|--\d+(.*)"","""")"),"BIFFONTAINE")</f>
        <v>BIFFONTAINE</v>
      </c>
      <c r="E14432" s="38" t="s">
        <v>194</v>
      </c>
      <c r="F14432" s="38" t="s">
        <v>195</v>
      </c>
      <c r="G14432" s="49" t="str">
        <f t="shared" si="1"/>
        <v>88430</v>
      </c>
      <c r="H14432" s="49">
        <f t="shared" si="2"/>
        <v>88059</v>
      </c>
    </row>
    <row r="14433">
      <c r="A14433" s="48" t="s">
        <v>2487</v>
      </c>
      <c r="B14433" s="38">
        <v>70397.0</v>
      </c>
      <c r="C14433" s="38" t="s">
        <v>18743</v>
      </c>
      <c r="D14433" s="38" t="str">
        <f>IFERROR(__xludf.DUMMYFUNCTION("REGEXREPLACE(C14433,""-\d+(.*)|--\d+(.*)"","""")"),"ORMENANS")</f>
        <v>ORMENANS</v>
      </c>
      <c r="E14433" s="38" t="s">
        <v>956</v>
      </c>
      <c r="F14433" s="38" t="s">
        <v>214</v>
      </c>
      <c r="G14433" s="49" t="str">
        <f t="shared" si="1"/>
        <v>70230</v>
      </c>
      <c r="H14433" s="49">
        <f t="shared" si="2"/>
        <v>70397</v>
      </c>
    </row>
    <row r="14434">
      <c r="A14434" s="48" t="s">
        <v>9028</v>
      </c>
      <c r="B14434" s="38">
        <v>65301.0</v>
      </c>
      <c r="C14434" s="38" t="s">
        <v>10103</v>
      </c>
      <c r="D14434" s="38" t="str">
        <f>IFERROR(__xludf.DUMMYFUNCTION("REGEXREPLACE(C14434,""-\d+(.*)|--\d+(.*)"","""")"),"MARSEILLAN")</f>
        <v>MARSEILLAN</v>
      </c>
      <c r="E14434" s="38" t="s">
        <v>200</v>
      </c>
      <c r="F14434" s="38" t="s">
        <v>94</v>
      </c>
      <c r="G14434" s="49" t="str">
        <f t="shared" si="1"/>
        <v>65350</v>
      </c>
      <c r="H14434" s="49">
        <f t="shared" si="2"/>
        <v>65301</v>
      </c>
    </row>
    <row r="14435">
      <c r="A14435" s="48" t="s">
        <v>14413</v>
      </c>
      <c r="B14435" s="38">
        <v>62334.0</v>
      </c>
      <c r="C14435" s="38" t="s">
        <v>18744</v>
      </c>
      <c r="D14435" s="38" t="str">
        <f>IFERROR(__xludf.DUMMYFUNCTION("REGEXREPLACE(C14435,""-\d+(.*)|--\d+(.*)"","""")"),"FIENNES")</f>
        <v>FIENNES</v>
      </c>
      <c r="E14435" s="38" t="s">
        <v>109</v>
      </c>
      <c r="F14435" s="38" t="s">
        <v>86</v>
      </c>
      <c r="G14435" s="49" t="str">
        <f t="shared" si="1"/>
        <v>62132</v>
      </c>
      <c r="H14435" s="49">
        <f t="shared" si="2"/>
        <v>62334</v>
      </c>
    </row>
    <row r="14436">
      <c r="A14436" s="48" t="s">
        <v>2845</v>
      </c>
      <c r="B14436" s="38" t="s">
        <v>18745</v>
      </c>
      <c r="C14436" s="38" t="s">
        <v>18746</v>
      </c>
      <c r="D14436" s="38" t="str">
        <f>IFERROR(__xludf.DUMMYFUNCTION("REGEXREPLACE(C14436,""-\d+(.*)|--\d+(.*)"","""")"),"LINGUIZZETTA")</f>
        <v>LINGUIZZETTA</v>
      </c>
      <c r="E14436" s="38" t="s">
        <v>743</v>
      </c>
      <c r="F14436" s="38" t="s">
        <v>607</v>
      </c>
      <c r="G14436" s="49" t="str">
        <f t="shared" si="1"/>
        <v>20230</v>
      </c>
      <c r="H14436" s="49" t="str">
        <f t="shared" si="2"/>
        <v>2B143</v>
      </c>
    </row>
    <row r="14437">
      <c r="A14437" s="48" t="s">
        <v>9152</v>
      </c>
      <c r="B14437" s="38">
        <v>37209.0</v>
      </c>
      <c r="C14437" s="38" t="s">
        <v>18747</v>
      </c>
      <c r="D14437" s="38" t="str">
        <f>IFERROR(__xludf.DUMMYFUNCTION("REGEXREPLACE(C14437,""-\d+(.*)|--\d+(.*)"","""")"),"SAINT-BAULD")</f>
        <v>SAINT-BAULD</v>
      </c>
      <c r="E14437" s="38" t="s">
        <v>205</v>
      </c>
      <c r="F14437" s="38" t="s">
        <v>123</v>
      </c>
      <c r="G14437" s="49" t="str">
        <f t="shared" si="1"/>
        <v>37310</v>
      </c>
      <c r="H14437" s="49">
        <f t="shared" si="2"/>
        <v>37209</v>
      </c>
    </row>
    <row r="14438">
      <c r="A14438" s="48" t="s">
        <v>8620</v>
      </c>
      <c r="B14438" s="38">
        <v>45268.0</v>
      </c>
      <c r="C14438" s="38" t="s">
        <v>18748</v>
      </c>
      <c r="D14438" s="38" t="str">
        <f>IFERROR(__xludf.DUMMYFUNCTION("REGEXREPLACE(C14438,""-\d+(.*)|--\d+(.*)"","""")"),"SAINT-AIGNAN-LE-JAILLARD")</f>
        <v>SAINT-AIGNAN-LE-JAILLARD</v>
      </c>
      <c r="E14438" s="38" t="s">
        <v>122</v>
      </c>
      <c r="F14438" s="38" t="s">
        <v>123</v>
      </c>
      <c r="G14438" s="49" t="str">
        <f t="shared" si="1"/>
        <v>45600</v>
      </c>
      <c r="H14438" s="49">
        <f t="shared" si="2"/>
        <v>45268</v>
      </c>
    </row>
    <row r="14439">
      <c r="A14439" s="48" t="s">
        <v>10861</v>
      </c>
      <c r="B14439" s="38">
        <v>35199.0</v>
      </c>
      <c r="C14439" s="38" t="s">
        <v>18749</v>
      </c>
      <c r="D14439" s="38" t="str">
        <f>IFERROR(__xludf.DUMMYFUNCTION("REGEXREPLACE(C14439,""-\d+(.*)|--\d+(.*)"","""")"),"MOUSSE")</f>
        <v>MOUSSE</v>
      </c>
      <c r="E14439" s="38" t="s">
        <v>347</v>
      </c>
      <c r="F14439" s="38" t="s">
        <v>90</v>
      </c>
      <c r="G14439" s="49" t="str">
        <f t="shared" si="1"/>
        <v>35130</v>
      </c>
      <c r="H14439" s="49">
        <f t="shared" si="2"/>
        <v>35199</v>
      </c>
    </row>
    <row r="14440">
      <c r="A14440" s="48" t="s">
        <v>12258</v>
      </c>
      <c r="B14440" s="38">
        <v>69200.0</v>
      </c>
      <c r="C14440" s="38" t="s">
        <v>18750</v>
      </c>
      <c r="D14440" s="38" t="str">
        <f>IFERROR(__xludf.DUMMYFUNCTION("REGEXREPLACE(C14440,""-\d+(.*)|--\d+(.*)"","""")"),"SAINT-FORGEUX")</f>
        <v>SAINT-FORGEUX</v>
      </c>
      <c r="E14440" s="38" t="s">
        <v>350</v>
      </c>
      <c r="F14440" s="38" t="s">
        <v>102</v>
      </c>
      <c r="G14440" s="49" t="str">
        <f t="shared" si="1"/>
        <v>69490</v>
      </c>
      <c r="H14440" s="49">
        <f t="shared" si="2"/>
        <v>69200</v>
      </c>
    </row>
    <row r="14441">
      <c r="A14441" s="48" t="s">
        <v>2168</v>
      </c>
      <c r="B14441" s="38">
        <v>77440.0</v>
      </c>
      <c r="C14441" s="38" t="s">
        <v>18751</v>
      </c>
      <c r="D14441" s="38" t="str">
        <f>IFERROR(__xludf.DUMMYFUNCTION("REGEXREPLACE(C14441,""-\d+(.*)|--\d+(.*)"","""")"),"SAMMERON")</f>
        <v>SAMMERON</v>
      </c>
      <c r="E14441" s="38" t="s">
        <v>244</v>
      </c>
      <c r="F14441" s="38" t="s">
        <v>245</v>
      </c>
      <c r="G14441" s="49" t="str">
        <f t="shared" si="1"/>
        <v>77260</v>
      </c>
      <c r="H14441" s="49">
        <f t="shared" si="2"/>
        <v>77440</v>
      </c>
    </row>
    <row r="14442">
      <c r="A14442" s="48" t="s">
        <v>8032</v>
      </c>
      <c r="B14442" s="38">
        <v>46281.0</v>
      </c>
      <c r="C14442" s="38" t="s">
        <v>18752</v>
      </c>
      <c r="D14442" s="38" t="str">
        <f>IFERROR(__xludf.DUMMYFUNCTION("REGEXREPLACE(C14442,""-\d+(.*)|--\d+(.*)"","""")"),"SAINT-MEDARD-DE-PRESQUE")</f>
        <v>SAINT-MEDARD-DE-PRESQUE</v>
      </c>
      <c r="E14442" s="38" t="s">
        <v>185</v>
      </c>
      <c r="F14442" s="38" t="s">
        <v>94</v>
      </c>
      <c r="G14442" s="49" t="str">
        <f t="shared" si="1"/>
        <v>46400</v>
      </c>
      <c r="H14442" s="49">
        <f t="shared" si="2"/>
        <v>46281</v>
      </c>
    </row>
    <row r="14443">
      <c r="A14443" s="48" t="s">
        <v>9801</v>
      </c>
      <c r="B14443" s="38">
        <v>2724.0</v>
      </c>
      <c r="C14443" s="38" t="s">
        <v>18753</v>
      </c>
      <c r="D14443" s="38" t="str">
        <f>IFERROR(__xludf.DUMMYFUNCTION("REGEXREPLACE(C14443,""-\d+(.*)|--\d+(.*)"","""")"),"SOMMELANS")</f>
        <v>SOMMELANS</v>
      </c>
      <c r="E14443" s="38" t="s">
        <v>191</v>
      </c>
      <c r="F14443" s="38" t="s">
        <v>113</v>
      </c>
      <c r="G14443" s="49" t="str">
        <f t="shared" si="1"/>
        <v>02470</v>
      </c>
      <c r="H14443" s="49" t="str">
        <f t="shared" si="2"/>
        <v>02724</v>
      </c>
    </row>
    <row r="14444">
      <c r="A14444" s="48" t="s">
        <v>9498</v>
      </c>
      <c r="B14444" s="38">
        <v>79117.0</v>
      </c>
      <c r="C14444" s="38" t="s">
        <v>18754</v>
      </c>
      <c r="D14444" s="38" t="str">
        <f>IFERROR(__xludf.DUMMYFUNCTION("REGEXREPLACE(C14444,""-\d+(.*)|--\d+(.*)"","""")"),"FAYE-SUR-ARDIN")</f>
        <v>FAYE-SUR-ARDIN</v>
      </c>
      <c r="E14444" s="38" t="s">
        <v>337</v>
      </c>
      <c r="F14444" s="38" t="s">
        <v>338</v>
      </c>
      <c r="G14444" s="49" t="str">
        <f t="shared" si="1"/>
        <v>79160</v>
      </c>
      <c r="H14444" s="49">
        <f t="shared" si="2"/>
        <v>79117</v>
      </c>
    </row>
    <row r="14445">
      <c r="A14445" s="48" t="s">
        <v>1514</v>
      </c>
      <c r="B14445" s="38">
        <v>70477.0</v>
      </c>
      <c r="C14445" s="38" t="s">
        <v>18755</v>
      </c>
      <c r="D14445" s="38" t="str">
        <f>IFERROR(__xludf.DUMMYFUNCTION("REGEXREPLACE(C14445,""-\d+(.*)|--\d+(.*)"","""")"),"SAULNOT")</f>
        <v>SAULNOT</v>
      </c>
      <c r="E14445" s="38" t="s">
        <v>956</v>
      </c>
      <c r="F14445" s="38" t="s">
        <v>214</v>
      </c>
      <c r="G14445" s="49" t="str">
        <f t="shared" si="1"/>
        <v>70400</v>
      </c>
      <c r="H14445" s="49">
        <f t="shared" si="2"/>
        <v>70477</v>
      </c>
    </row>
    <row r="14446">
      <c r="A14446" s="48" t="s">
        <v>2571</v>
      </c>
      <c r="B14446" s="38">
        <v>61424.0</v>
      </c>
      <c r="C14446" s="38" t="s">
        <v>18756</v>
      </c>
      <c r="D14446" s="38" t="str">
        <f>IFERROR(__xludf.DUMMYFUNCTION("REGEXREPLACE(C14446,""-\d+(.*)|--\d+(.*)"","""")"),"SAINT-MARTIN-DES-LANDES")</f>
        <v>SAINT-MARTIN-DES-LANDES</v>
      </c>
      <c r="E14446" s="38" t="s">
        <v>141</v>
      </c>
      <c r="F14446" s="38" t="s">
        <v>138</v>
      </c>
      <c r="G14446" s="49" t="str">
        <f t="shared" si="1"/>
        <v>61320</v>
      </c>
      <c r="H14446" s="49">
        <f t="shared" si="2"/>
        <v>61424</v>
      </c>
    </row>
    <row r="14447">
      <c r="A14447" s="48" t="s">
        <v>1632</v>
      </c>
      <c r="B14447" s="38">
        <v>63134.0</v>
      </c>
      <c r="C14447" s="38" t="s">
        <v>18757</v>
      </c>
      <c r="D14447" s="38" t="str">
        <f>IFERROR(__xludf.DUMMYFUNCTION("REGEXREPLACE(C14447,""-\d+(.*)|--\d+(.*)"","""")"),"DAUZAT-SUR-VODABLE")</f>
        <v>DAUZAT-SUR-VODABLE</v>
      </c>
      <c r="E14447" s="38" t="s">
        <v>353</v>
      </c>
      <c r="F14447" s="38" t="s">
        <v>161</v>
      </c>
      <c r="G14447" s="49" t="str">
        <f t="shared" si="1"/>
        <v>63340</v>
      </c>
      <c r="H14447" s="49">
        <f t="shared" si="2"/>
        <v>63134</v>
      </c>
    </row>
    <row r="14448">
      <c r="A14448" s="48" t="s">
        <v>7893</v>
      </c>
      <c r="B14448" s="38">
        <v>63386.0</v>
      </c>
      <c r="C14448" s="38" t="s">
        <v>18758</v>
      </c>
      <c r="D14448" s="38" t="str">
        <f>IFERROR(__xludf.DUMMYFUNCTION("REGEXREPLACE(C14448,""-\d+(.*)|--\d+(.*)"","""")"),"SAINT-PIERRE-ROCHE")</f>
        <v>SAINT-PIERRE-ROCHE</v>
      </c>
      <c r="E14448" s="38" t="s">
        <v>353</v>
      </c>
      <c r="F14448" s="38" t="s">
        <v>161</v>
      </c>
      <c r="G14448" s="49" t="str">
        <f t="shared" si="1"/>
        <v>63210</v>
      </c>
      <c r="H14448" s="49">
        <f t="shared" si="2"/>
        <v>63386</v>
      </c>
    </row>
    <row r="14449">
      <c r="A14449" s="48" t="s">
        <v>12761</v>
      </c>
      <c r="B14449" s="38">
        <v>36086.0</v>
      </c>
      <c r="C14449" s="38" t="s">
        <v>18759</v>
      </c>
      <c r="D14449" s="38" t="str">
        <f>IFERROR(__xludf.DUMMYFUNCTION("REGEXREPLACE(C14449,""-\d+(.*)|--\d+(.*)"","""")"),"HEUGNES")</f>
        <v>HEUGNES</v>
      </c>
      <c r="E14449" s="38" t="s">
        <v>258</v>
      </c>
      <c r="F14449" s="38" t="s">
        <v>123</v>
      </c>
      <c r="G14449" s="49" t="str">
        <f t="shared" si="1"/>
        <v>36180</v>
      </c>
      <c r="H14449" s="49">
        <f t="shared" si="2"/>
        <v>36086</v>
      </c>
    </row>
    <row r="14450">
      <c r="A14450" s="48" t="s">
        <v>6734</v>
      </c>
      <c r="B14450" s="38">
        <v>28001.0</v>
      </c>
      <c r="C14450" s="38" t="s">
        <v>18760</v>
      </c>
      <c r="D14450" s="38" t="str">
        <f>IFERROR(__xludf.DUMMYFUNCTION("REGEXREPLACE(C14450,""-\d+(.*)|--\d+(.*)"","""")"),"ABONDANT")</f>
        <v>ABONDANT</v>
      </c>
      <c r="E14450" s="38" t="s">
        <v>300</v>
      </c>
      <c r="F14450" s="38" t="s">
        <v>123</v>
      </c>
      <c r="G14450" s="49" t="str">
        <f t="shared" si="1"/>
        <v>28410</v>
      </c>
      <c r="H14450" s="49">
        <f t="shared" si="2"/>
        <v>28001</v>
      </c>
    </row>
    <row r="14451">
      <c r="A14451" s="48" t="s">
        <v>1800</v>
      </c>
      <c r="B14451" s="38">
        <v>88153.0</v>
      </c>
      <c r="C14451" s="38" t="s">
        <v>18761</v>
      </c>
      <c r="D14451" s="38" t="str">
        <f>IFERROR(__xludf.DUMMYFUNCTION("REGEXREPLACE(C14451,""-\d+(.*)|--\d+(.*)"","""")"),"DOMPTAIL")</f>
        <v>DOMPTAIL</v>
      </c>
      <c r="E14451" s="38" t="s">
        <v>194</v>
      </c>
      <c r="F14451" s="38" t="s">
        <v>195</v>
      </c>
      <c r="G14451" s="49" t="str">
        <f t="shared" si="1"/>
        <v>88700</v>
      </c>
      <c r="H14451" s="49">
        <f t="shared" si="2"/>
        <v>88153</v>
      </c>
    </row>
    <row r="14452">
      <c r="A14452" s="48" t="s">
        <v>3814</v>
      </c>
      <c r="B14452" s="38">
        <v>71127.0</v>
      </c>
      <c r="C14452" s="38" t="s">
        <v>18762</v>
      </c>
      <c r="D14452" s="38" t="str">
        <f>IFERROR(__xludf.DUMMYFUNCTION("REGEXREPLACE(C14452,""-\d+(.*)|--\d+(.*)"","""")"),"CHEVAGNY-SUR-GUYE")</f>
        <v>CHEVAGNY-SUR-GUYE</v>
      </c>
      <c r="E14452" s="38" t="s">
        <v>344</v>
      </c>
      <c r="F14452" s="38" t="s">
        <v>106</v>
      </c>
      <c r="G14452" s="49" t="str">
        <f t="shared" si="1"/>
        <v>71220</v>
      </c>
      <c r="H14452" s="49">
        <f t="shared" si="2"/>
        <v>71127</v>
      </c>
    </row>
    <row r="14453">
      <c r="A14453" s="48" t="s">
        <v>1800</v>
      </c>
      <c r="B14453" s="38">
        <v>88416.0</v>
      </c>
      <c r="C14453" s="38" t="s">
        <v>2242</v>
      </c>
      <c r="D14453" s="38" t="str">
        <f>IFERROR(__xludf.DUMMYFUNCTION("REGEXREPLACE(C14453,""-\d+(.*)|--\d+(.*)"","""")"),"SAINT-GENEST")</f>
        <v>SAINT-GENEST</v>
      </c>
      <c r="E14453" s="38" t="s">
        <v>194</v>
      </c>
      <c r="F14453" s="38" t="s">
        <v>195</v>
      </c>
      <c r="G14453" s="49" t="str">
        <f t="shared" si="1"/>
        <v>88700</v>
      </c>
      <c r="H14453" s="49">
        <f t="shared" si="2"/>
        <v>88416</v>
      </c>
    </row>
    <row r="14454">
      <c r="A14454" s="48" t="s">
        <v>411</v>
      </c>
      <c r="B14454" s="38">
        <v>57396.0</v>
      </c>
      <c r="C14454" s="38" t="s">
        <v>18763</v>
      </c>
      <c r="D14454" s="38" t="str">
        <f>IFERROR(__xludf.DUMMYFUNCTION("REGEXREPLACE(C14454,""-\d+(.*)|--\d+(.*)"","""")"),"LESSY")</f>
        <v>LESSY</v>
      </c>
      <c r="E14454" s="38" t="s">
        <v>303</v>
      </c>
      <c r="F14454" s="38" t="s">
        <v>195</v>
      </c>
      <c r="G14454" s="49" t="str">
        <f t="shared" si="1"/>
        <v>57160</v>
      </c>
      <c r="H14454" s="49">
        <f t="shared" si="2"/>
        <v>57396</v>
      </c>
    </row>
    <row r="14455">
      <c r="A14455" s="48" t="s">
        <v>8302</v>
      </c>
      <c r="B14455" s="38">
        <v>66187.0</v>
      </c>
      <c r="C14455" s="38" t="s">
        <v>18764</v>
      </c>
      <c r="D14455" s="38" t="str">
        <f>IFERROR(__xludf.DUMMYFUNCTION("REGEXREPLACE(C14455,""-\d+(.*)|--\d+(.*)"","""")"),"SAINT-PAUL-DE-FENOUILLET")</f>
        <v>SAINT-PAUL-DE-FENOUILLET</v>
      </c>
      <c r="E14455" s="38" t="s">
        <v>248</v>
      </c>
      <c r="F14455" s="38" t="s">
        <v>119</v>
      </c>
      <c r="G14455" s="49" t="str">
        <f t="shared" si="1"/>
        <v>66220</v>
      </c>
      <c r="H14455" s="49">
        <f t="shared" si="2"/>
        <v>66187</v>
      </c>
    </row>
    <row r="14456">
      <c r="A14456" s="48" t="s">
        <v>8414</v>
      </c>
      <c r="B14456" s="38">
        <v>60115.0</v>
      </c>
      <c r="C14456" s="38" t="s">
        <v>18765</v>
      </c>
      <c r="D14456" s="38" t="str">
        <f>IFERROR(__xludf.DUMMYFUNCTION("REGEXREPLACE(C14456,""-\d+(.*)|--\d+(.*)"","""")"),"BULLES")</f>
        <v>BULLES</v>
      </c>
      <c r="E14456" s="38" t="s">
        <v>112</v>
      </c>
      <c r="F14456" s="38" t="s">
        <v>113</v>
      </c>
      <c r="G14456" s="49" t="str">
        <f t="shared" si="1"/>
        <v>60130</v>
      </c>
      <c r="H14456" s="49">
        <f t="shared" si="2"/>
        <v>60115</v>
      </c>
    </row>
    <row r="14457">
      <c r="A14457" s="48" t="s">
        <v>1495</v>
      </c>
      <c r="B14457" s="38">
        <v>33361.0</v>
      </c>
      <c r="C14457" s="38" t="s">
        <v>18766</v>
      </c>
      <c r="D14457" s="38" t="str">
        <f>IFERROR(__xludf.DUMMYFUNCTION("REGEXREPLACE(C14457,""-\d+(.*)|--\d+(.*)"","""")"),"RUCH")</f>
        <v>RUCH</v>
      </c>
      <c r="E14457" s="38" t="s">
        <v>462</v>
      </c>
      <c r="F14457" s="38" t="s">
        <v>252</v>
      </c>
      <c r="G14457" s="49" t="str">
        <f t="shared" si="1"/>
        <v>33350</v>
      </c>
      <c r="H14457" s="49">
        <f t="shared" si="2"/>
        <v>33361</v>
      </c>
    </row>
    <row r="14458">
      <c r="A14458" s="48" t="s">
        <v>2710</v>
      </c>
      <c r="B14458" s="38">
        <v>68035.0</v>
      </c>
      <c r="C14458" s="38" t="s">
        <v>18767</v>
      </c>
      <c r="D14458" s="38" t="str">
        <f>IFERROR(__xludf.DUMMYFUNCTION("REGEXREPLACE(C14458,""-\d+(.*)|--\d+(.*)"","""")"),"BIEDERTHAL")</f>
        <v>BIEDERTHAL</v>
      </c>
      <c r="E14458" s="38" t="s">
        <v>150</v>
      </c>
      <c r="F14458" s="38" t="s">
        <v>151</v>
      </c>
      <c r="G14458" s="49" t="str">
        <f t="shared" si="1"/>
        <v>68480</v>
      </c>
      <c r="H14458" s="49">
        <f t="shared" si="2"/>
        <v>68035</v>
      </c>
    </row>
    <row r="14459">
      <c r="A14459" s="48" t="s">
        <v>18768</v>
      </c>
      <c r="B14459" s="38">
        <v>33471.0</v>
      </c>
      <c r="C14459" s="38" t="s">
        <v>4403</v>
      </c>
      <c r="D14459" s="38" t="str">
        <f>IFERROR(__xludf.DUMMYFUNCTION("REGEXREPLACE(C14459,""-\d+(.*)|--\d+(.*)"","""")"),"SAINT-SAUVEUR")</f>
        <v>SAINT-SAUVEUR</v>
      </c>
      <c r="E14459" s="38" t="s">
        <v>462</v>
      </c>
      <c r="F14459" s="38" t="s">
        <v>252</v>
      </c>
      <c r="G14459" s="49" t="str">
        <f t="shared" si="1"/>
        <v>33250</v>
      </c>
      <c r="H14459" s="49">
        <f t="shared" si="2"/>
        <v>33471</v>
      </c>
    </row>
    <row r="14460">
      <c r="A14460" s="48" t="s">
        <v>14721</v>
      </c>
      <c r="B14460" s="38">
        <v>27102.0</v>
      </c>
      <c r="C14460" s="38" t="s">
        <v>18769</v>
      </c>
      <c r="D14460" s="38" t="str">
        <f>IFERROR(__xludf.DUMMYFUNCTION("REGEXREPLACE(C14460,""-\d+(.*)|--\d+(.*)"","""")"),"BOUQUETOT")</f>
        <v>BOUQUETOT</v>
      </c>
      <c r="E14460" s="38" t="s">
        <v>241</v>
      </c>
      <c r="F14460" s="38" t="s">
        <v>134</v>
      </c>
      <c r="G14460" s="49" t="str">
        <f t="shared" si="1"/>
        <v>27310</v>
      </c>
      <c r="H14460" s="49">
        <f t="shared" si="2"/>
        <v>27102</v>
      </c>
    </row>
    <row r="14461">
      <c r="A14461" s="48" t="s">
        <v>7274</v>
      </c>
      <c r="B14461" s="38">
        <v>11036.0</v>
      </c>
      <c r="C14461" s="38" t="s">
        <v>18770</v>
      </c>
      <c r="D14461" s="38" t="str">
        <f>IFERROR(__xludf.DUMMYFUNCTION("REGEXREPLACE(C14461,""-\d+(.*)|--\d+(.*)"","""")"),"BELVIS")</f>
        <v>BELVIS</v>
      </c>
      <c r="E14461" s="38" t="s">
        <v>278</v>
      </c>
      <c r="F14461" s="38" t="s">
        <v>119</v>
      </c>
      <c r="G14461" s="49" t="str">
        <f t="shared" si="1"/>
        <v>11340</v>
      </c>
      <c r="H14461" s="49">
        <f t="shared" si="2"/>
        <v>11036</v>
      </c>
    </row>
    <row r="14462">
      <c r="A14462" s="48" t="s">
        <v>12204</v>
      </c>
      <c r="B14462" s="38">
        <v>25040.0</v>
      </c>
      <c r="C14462" s="38" t="s">
        <v>18771</v>
      </c>
      <c r="D14462" s="38" t="str">
        <f>IFERROR(__xludf.DUMMYFUNCTION("REGEXREPLACE(C14462,""-\d+(.*)|--\d+(.*)"","""")"),"BADEVEL")</f>
        <v>BADEVEL</v>
      </c>
      <c r="E14462" s="38" t="s">
        <v>213</v>
      </c>
      <c r="F14462" s="38" t="s">
        <v>214</v>
      </c>
      <c r="G14462" s="49" t="str">
        <f t="shared" si="1"/>
        <v>25490</v>
      </c>
      <c r="H14462" s="49">
        <f t="shared" si="2"/>
        <v>25040</v>
      </c>
    </row>
    <row r="14463">
      <c r="A14463" s="48" t="s">
        <v>7393</v>
      </c>
      <c r="B14463" s="38">
        <v>42132.0</v>
      </c>
      <c r="C14463" s="38" t="s">
        <v>18772</v>
      </c>
      <c r="D14463" s="38" t="str">
        <f>IFERROR(__xludf.DUMMYFUNCTION("REGEXREPLACE(C14463,""-\d+(.*)|--\d+(.*)"","""")"),"MALLEVAL")</f>
        <v>MALLEVAL</v>
      </c>
      <c r="E14463" s="38" t="s">
        <v>166</v>
      </c>
      <c r="F14463" s="38" t="s">
        <v>102</v>
      </c>
      <c r="G14463" s="49" t="str">
        <f t="shared" si="1"/>
        <v>42520</v>
      </c>
      <c r="H14463" s="49">
        <f t="shared" si="2"/>
        <v>42132</v>
      </c>
    </row>
    <row r="14464">
      <c r="A14464" s="48" t="s">
        <v>2678</v>
      </c>
      <c r="B14464" s="38">
        <v>8355.0</v>
      </c>
      <c r="C14464" s="38" t="s">
        <v>18773</v>
      </c>
      <c r="D14464" s="38" t="str">
        <f>IFERROR(__xludf.DUMMYFUNCTION("REGEXREPLACE(C14464,""-\d+(.*)|--\d+(.*)"","""")"),"REGNIOWEZ")</f>
        <v>REGNIOWEZ</v>
      </c>
      <c r="E14464" s="38" t="s">
        <v>327</v>
      </c>
      <c r="F14464" s="38" t="s">
        <v>130</v>
      </c>
      <c r="G14464" s="49" t="str">
        <f t="shared" si="1"/>
        <v>08230</v>
      </c>
      <c r="H14464" s="49" t="str">
        <f t="shared" si="2"/>
        <v>08355</v>
      </c>
    </row>
    <row r="14465">
      <c r="A14465" s="48" t="s">
        <v>18774</v>
      </c>
      <c r="B14465" s="38">
        <v>67152.0</v>
      </c>
      <c r="C14465" s="38" t="s">
        <v>18775</v>
      </c>
      <c r="D14465" s="38" t="str">
        <f>IFERROR(__xludf.DUMMYFUNCTION("REGEXREPLACE(C14465,""-\d+(.*)|--\d+(.*)"","""")"),"GEISPOLSHEIM")</f>
        <v>GEISPOLSHEIM</v>
      </c>
      <c r="E14465" s="38" t="s">
        <v>210</v>
      </c>
      <c r="F14465" s="38" t="s">
        <v>151</v>
      </c>
      <c r="G14465" s="49" t="str">
        <f t="shared" si="1"/>
        <v>67118</v>
      </c>
      <c r="H14465" s="49">
        <f t="shared" si="2"/>
        <v>67152</v>
      </c>
    </row>
    <row r="14466">
      <c r="A14466" s="48" t="s">
        <v>390</v>
      </c>
      <c r="B14466" s="38">
        <v>11183.0</v>
      </c>
      <c r="C14466" s="38" t="s">
        <v>18776</v>
      </c>
      <c r="D14466" s="38" t="str">
        <f>IFERROR(__xludf.DUMMYFUNCTION("REGEXREPLACE(C14466,""-\d+(.*)|--\d+(.*)"","""")"),"LADERN-SUR-LAUQUET")</f>
        <v>LADERN-SUR-LAUQUET</v>
      </c>
      <c r="E14466" s="38" t="s">
        <v>278</v>
      </c>
      <c r="F14466" s="38" t="s">
        <v>119</v>
      </c>
      <c r="G14466" s="49" t="str">
        <f t="shared" si="1"/>
        <v>11250</v>
      </c>
      <c r="H14466" s="49">
        <f t="shared" si="2"/>
        <v>11183</v>
      </c>
    </row>
    <row r="14467">
      <c r="A14467" s="48" t="s">
        <v>6508</v>
      </c>
      <c r="B14467" s="38">
        <v>15113.0</v>
      </c>
      <c r="C14467" s="38" t="s">
        <v>18777</v>
      </c>
      <c r="D14467" s="38" t="str">
        <f>IFERROR(__xludf.DUMMYFUNCTION("REGEXREPLACE(C14467,""-\d+(.*)|--\d+(.*)"","""")"),"MANDAILLES-SAINT-JULIEN")</f>
        <v>MANDAILLES-SAINT-JULIEN</v>
      </c>
      <c r="E14467" s="38" t="s">
        <v>632</v>
      </c>
      <c r="F14467" s="38" t="s">
        <v>161</v>
      </c>
      <c r="G14467" s="49" t="str">
        <f t="shared" si="1"/>
        <v>15590</v>
      </c>
      <c r="H14467" s="49">
        <f t="shared" si="2"/>
        <v>15113</v>
      </c>
    </row>
    <row r="14468">
      <c r="A14468" s="48" t="s">
        <v>2640</v>
      </c>
      <c r="B14468" s="38">
        <v>58244.0</v>
      </c>
      <c r="C14468" s="38" t="s">
        <v>18778</v>
      </c>
      <c r="D14468" s="38" t="str">
        <f>IFERROR(__xludf.DUMMYFUNCTION("REGEXREPLACE(C14468,""-\d+(.*)|--\d+(.*)"","""")"),"SAINT-HILAIRE-EN-MORVAN")</f>
        <v>SAINT-HILAIRE-EN-MORVAN</v>
      </c>
      <c r="E14468" s="38" t="s">
        <v>219</v>
      </c>
      <c r="F14468" s="38" t="s">
        <v>106</v>
      </c>
      <c r="G14468" s="49" t="str">
        <f t="shared" si="1"/>
        <v>58120</v>
      </c>
      <c r="H14468" s="49">
        <f t="shared" si="2"/>
        <v>58244</v>
      </c>
    </row>
    <row r="14469">
      <c r="A14469" s="48" t="s">
        <v>7037</v>
      </c>
      <c r="B14469" s="38">
        <v>34042.0</v>
      </c>
      <c r="C14469" s="38" t="s">
        <v>18779</v>
      </c>
      <c r="D14469" s="38" t="str">
        <f>IFERROR(__xludf.DUMMYFUNCTION("REGEXREPLACE(C14469,""-\d+(.*)|--\d+(.*)"","""")"),"BRISSAC")</f>
        <v>BRISSAC</v>
      </c>
      <c r="E14469" s="38" t="s">
        <v>118</v>
      </c>
      <c r="F14469" s="38" t="s">
        <v>119</v>
      </c>
      <c r="G14469" s="49" t="str">
        <f t="shared" si="1"/>
        <v>34190</v>
      </c>
      <c r="H14469" s="49">
        <f t="shared" si="2"/>
        <v>34042</v>
      </c>
    </row>
    <row r="14470">
      <c r="A14470" s="48" t="s">
        <v>5846</v>
      </c>
      <c r="B14470" s="38">
        <v>60069.0</v>
      </c>
      <c r="C14470" s="38" t="s">
        <v>18780</v>
      </c>
      <c r="D14470" s="38" t="str">
        <f>IFERROR(__xludf.DUMMYFUNCTION("REGEXREPLACE(C14470,""-\d+(.*)|--\d+(.*)"","""")"),"BETZ")</f>
        <v>BETZ</v>
      </c>
      <c r="E14470" s="38" t="s">
        <v>112</v>
      </c>
      <c r="F14470" s="38" t="s">
        <v>113</v>
      </c>
      <c r="G14470" s="49" t="str">
        <f t="shared" si="1"/>
        <v>60620</v>
      </c>
      <c r="H14470" s="49">
        <f t="shared" si="2"/>
        <v>60069</v>
      </c>
    </row>
    <row r="14471">
      <c r="A14471" s="48" t="s">
        <v>10465</v>
      </c>
      <c r="B14471" s="38">
        <v>71472.0</v>
      </c>
      <c r="C14471" s="38" t="s">
        <v>16886</v>
      </c>
      <c r="D14471" s="38" t="str">
        <f>IFERROR(__xludf.DUMMYFUNCTION("REGEXREPLACE(C14471,""-\d+(.*)|--\d+(.*)"","""")"),"SAINT-PRIX")</f>
        <v>SAINT-PRIX</v>
      </c>
      <c r="E14471" s="38" t="s">
        <v>344</v>
      </c>
      <c r="F14471" s="38" t="s">
        <v>106</v>
      </c>
      <c r="G14471" s="49" t="str">
        <f t="shared" si="1"/>
        <v>71990</v>
      </c>
      <c r="H14471" s="49">
        <f t="shared" si="2"/>
        <v>71472</v>
      </c>
    </row>
    <row r="14472">
      <c r="A14472" s="48" t="s">
        <v>1613</v>
      </c>
      <c r="B14472" s="38">
        <v>38255.0</v>
      </c>
      <c r="C14472" s="38" t="s">
        <v>18781</v>
      </c>
      <c r="D14472" s="38" t="str">
        <f>IFERROR(__xludf.DUMMYFUNCTION("REGEXREPLACE(C14472,""-\d+(.*)|--\d+(.*)"","""")"),"MONTFALCON")</f>
        <v>MONTFALCON</v>
      </c>
      <c r="E14472" s="38" t="s">
        <v>101</v>
      </c>
      <c r="F14472" s="38" t="s">
        <v>102</v>
      </c>
      <c r="G14472" s="49" t="str">
        <f t="shared" si="1"/>
        <v>38940</v>
      </c>
      <c r="H14472" s="49">
        <f t="shared" si="2"/>
        <v>38255</v>
      </c>
    </row>
    <row r="14473">
      <c r="A14473" s="48" t="s">
        <v>14072</v>
      </c>
      <c r="B14473" s="38">
        <v>71188.0</v>
      </c>
      <c r="C14473" s="38" t="s">
        <v>18782</v>
      </c>
      <c r="D14473" s="38" t="str">
        <f>IFERROR(__xludf.DUMMYFUNCTION("REGEXREPLACE(C14473,""-\d+(.*)|--\d+(.*)"","""")"),"EPERTULLY")</f>
        <v>EPERTULLY</v>
      </c>
      <c r="E14473" s="38" t="s">
        <v>344</v>
      </c>
      <c r="F14473" s="38" t="s">
        <v>106</v>
      </c>
      <c r="G14473" s="49" t="str">
        <f t="shared" si="1"/>
        <v>71360</v>
      </c>
      <c r="H14473" s="49">
        <f t="shared" si="2"/>
        <v>71188</v>
      </c>
    </row>
    <row r="14474">
      <c r="A14474" s="48" t="s">
        <v>6129</v>
      </c>
      <c r="B14474" s="38">
        <v>67474.0</v>
      </c>
      <c r="C14474" s="38" t="s">
        <v>18783</v>
      </c>
      <c r="D14474" s="38" t="str">
        <f>IFERROR(__xludf.DUMMYFUNCTION("REGEXREPLACE(C14474,""-\d+(.*)|--\d+(.*)"","""")"),"SOULTZ-SOUS-FORETS")</f>
        <v>SOULTZ-SOUS-FORETS</v>
      </c>
      <c r="E14474" s="38" t="s">
        <v>210</v>
      </c>
      <c r="F14474" s="38" t="s">
        <v>151</v>
      </c>
      <c r="G14474" s="49" t="str">
        <f t="shared" si="1"/>
        <v>67250</v>
      </c>
      <c r="H14474" s="49">
        <f t="shared" si="2"/>
        <v>67474</v>
      </c>
    </row>
    <row r="14475">
      <c r="A14475" s="48" t="s">
        <v>4617</v>
      </c>
      <c r="B14475" s="38">
        <v>15116.0</v>
      </c>
      <c r="C14475" s="38" t="s">
        <v>18784</v>
      </c>
      <c r="D14475" s="38" t="str">
        <f>IFERROR(__xludf.DUMMYFUNCTION("REGEXREPLACE(C14475,""-\d+(.*)|--\d+(.*)"","""")"),"MARCHASTEL")</f>
        <v>MARCHASTEL</v>
      </c>
      <c r="E14475" s="38" t="s">
        <v>632</v>
      </c>
      <c r="F14475" s="38" t="s">
        <v>161</v>
      </c>
      <c r="G14475" s="49" t="str">
        <f t="shared" si="1"/>
        <v>15400</v>
      </c>
      <c r="H14475" s="49">
        <f t="shared" si="2"/>
        <v>15116</v>
      </c>
    </row>
    <row r="14476">
      <c r="A14476" s="48" t="s">
        <v>18785</v>
      </c>
      <c r="B14476" s="38">
        <v>67478.0</v>
      </c>
      <c r="C14476" s="38" t="s">
        <v>18786</v>
      </c>
      <c r="D14476" s="38" t="str">
        <f>IFERROR(__xludf.DUMMYFUNCTION("REGEXREPLACE(C14476,""-\d+(.*)|--\d+(.*)"","""")"),"STEINBOURG")</f>
        <v>STEINBOURG</v>
      </c>
      <c r="E14476" s="38" t="s">
        <v>210</v>
      </c>
      <c r="F14476" s="38" t="s">
        <v>151</v>
      </c>
      <c r="G14476" s="49" t="str">
        <f t="shared" si="1"/>
        <v>67790</v>
      </c>
      <c r="H14476" s="49">
        <f t="shared" si="2"/>
        <v>67478</v>
      </c>
    </row>
    <row r="14477">
      <c r="A14477" s="48" t="s">
        <v>3080</v>
      </c>
      <c r="B14477" s="38">
        <v>71559.0</v>
      </c>
      <c r="C14477" s="38" t="s">
        <v>18787</v>
      </c>
      <c r="D14477" s="38" t="str">
        <f>IFERROR(__xludf.DUMMYFUNCTION("REGEXREPLACE(C14477,""-\d+(.*)|--\d+(.*)"","""")"),"VARENNES-SOUS-DUN")</f>
        <v>VARENNES-SOUS-DUN</v>
      </c>
      <c r="E14477" s="38" t="s">
        <v>344</v>
      </c>
      <c r="F14477" s="38" t="s">
        <v>106</v>
      </c>
      <c r="G14477" s="49" t="str">
        <f t="shared" si="1"/>
        <v>71800</v>
      </c>
      <c r="H14477" s="49">
        <f t="shared" si="2"/>
        <v>71559</v>
      </c>
    </row>
    <row r="14478">
      <c r="A14478" s="48" t="s">
        <v>14095</v>
      </c>
      <c r="B14478" s="38">
        <v>1436.0</v>
      </c>
      <c r="C14478" s="38" t="s">
        <v>18788</v>
      </c>
      <c r="D14478" s="38" t="str">
        <f>IFERROR(__xludf.DUMMYFUNCTION("REGEXREPLACE(C14478,""-\d+(.*)|--\d+(.*)"","""")"),"VESANCY")</f>
        <v>VESANCY</v>
      </c>
      <c r="E14478" s="38" t="s">
        <v>255</v>
      </c>
      <c r="F14478" s="38" t="s">
        <v>102</v>
      </c>
      <c r="G14478" s="49" t="str">
        <f t="shared" si="1"/>
        <v>01170</v>
      </c>
      <c r="H14478" s="49" t="str">
        <f t="shared" si="2"/>
        <v>01436</v>
      </c>
    </row>
    <row r="14479">
      <c r="A14479" s="48" t="s">
        <v>1157</v>
      </c>
      <c r="B14479" s="38">
        <v>16360.0</v>
      </c>
      <c r="C14479" s="38" t="s">
        <v>18789</v>
      </c>
      <c r="D14479" s="38" t="str">
        <f>IFERROR(__xludf.DUMMYFUNCTION("REGEXREPLACE(C14479,""-\d+(.*)|--\d+(.*)"","""")"),"SALLES-DE-BARBEZIEUX")</f>
        <v>SALLES-DE-BARBEZIEUX</v>
      </c>
      <c r="E14479" s="38" t="s">
        <v>429</v>
      </c>
      <c r="F14479" s="38" t="s">
        <v>338</v>
      </c>
      <c r="G14479" s="49" t="str">
        <f t="shared" si="1"/>
        <v>16300</v>
      </c>
      <c r="H14479" s="49">
        <f t="shared" si="2"/>
        <v>16360</v>
      </c>
    </row>
    <row r="14480">
      <c r="A14480" s="48" t="s">
        <v>1038</v>
      </c>
      <c r="B14480" s="38">
        <v>50146.0</v>
      </c>
      <c r="C14480" s="38" t="s">
        <v>18790</v>
      </c>
      <c r="D14480" s="38" t="str">
        <f>IFERROR(__xludf.DUMMYFUNCTION("REGEXREPLACE(C14480,""-\d+(.*)|--\d+(.*)"","""")"),"COURTILS")</f>
        <v>COURTILS</v>
      </c>
      <c r="E14480" s="38" t="s">
        <v>157</v>
      </c>
      <c r="F14480" s="38" t="s">
        <v>138</v>
      </c>
      <c r="G14480" s="49" t="str">
        <f t="shared" si="1"/>
        <v>50220</v>
      </c>
      <c r="H14480" s="49">
        <f t="shared" si="2"/>
        <v>50146</v>
      </c>
    </row>
    <row r="14481">
      <c r="A14481" s="48" t="s">
        <v>3846</v>
      </c>
      <c r="B14481" s="38">
        <v>19039.0</v>
      </c>
      <c r="C14481" s="38" t="s">
        <v>18791</v>
      </c>
      <c r="D14481" s="38" t="str">
        <f>IFERROR(__xludf.DUMMYFUNCTION("REGEXREPLACE(C14481,""-\d+(.*)|--\d+(.*)"","""")"),"CHAMPAGNAC-LA-NOAILLE")</f>
        <v>CHAMPAGNAC-LA-NOAILLE</v>
      </c>
      <c r="E14481" s="38" t="s">
        <v>271</v>
      </c>
      <c r="F14481" s="38" t="s">
        <v>98</v>
      </c>
      <c r="G14481" s="49" t="str">
        <f t="shared" si="1"/>
        <v>19320</v>
      </c>
      <c r="H14481" s="49">
        <f t="shared" si="2"/>
        <v>19039</v>
      </c>
    </row>
    <row r="14482">
      <c r="A14482" s="48" t="s">
        <v>6224</v>
      </c>
      <c r="B14482" s="38">
        <v>38100.0</v>
      </c>
      <c r="C14482" s="38" t="s">
        <v>18792</v>
      </c>
      <c r="D14482" s="38" t="str">
        <f>IFERROR(__xludf.DUMMYFUNCTION("REGEXREPLACE(C14482,""-\d+(.*)|--\d+(.*)"","""")"),"LE CHEYLAS")</f>
        <v>LE CHEYLAS</v>
      </c>
      <c r="E14482" s="38" t="s">
        <v>101</v>
      </c>
      <c r="F14482" s="38" t="s">
        <v>102</v>
      </c>
      <c r="G14482" s="49" t="str">
        <f t="shared" si="1"/>
        <v>38570</v>
      </c>
      <c r="H14482" s="49">
        <f t="shared" si="2"/>
        <v>38100</v>
      </c>
    </row>
    <row r="14483">
      <c r="A14483" s="48" t="s">
        <v>2942</v>
      </c>
      <c r="B14483" s="38">
        <v>14395.0</v>
      </c>
      <c r="C14483" s="38" t="s">
        <v>18793</v>
      </c>
      <c r="D14483" s="38" t="str">
        <f>IFERROR(__xludf.DUMMYFUNCTION("REGEXREPLACE(C14483,""-\d+(.*)|--\d+(.*)"","""")"),"MALLOUE")</f>
        <v>MALLOUE</v>
      </c>
      <c r="E14483" s="38" t="s">
        <v>137</v>
      </c>
      <c r="F14483" s="38" t="s">
        <v>138</v>
      </c>
      <c r="G14483" s="49" t="str">
        <f t="shared" si="1"/>
        <v>14350</v>
      </c>
      <c r="H14483" s="49">
        <f t="shared" si="2"/>
        <v>14395</v>
      </c>
    </row>
    <row r="14484">
      <c r="A14484" s="48" t="s">
        <v>4344</v>
      </c>
      <c r="B14484" s="38">
        <v>14142.0</v>
      </c>
      <c r="C14484" s="38" t="s">
        <v>18794</v>
      </c>
      <c r="D14484" s="38" t="str">
        <f>IFERROR(__xludf.DUMMYFUNCTION("REGEXREPLACE(C14484,""-\d+(.*)|--\d+(.*)"","""")"),"CASTILLY")</f>
        <v>CASTILLY</v>
      </c>
      <c r="E14484" s="38" t="s">
        <v>137</v>
      </c>
      <c r="F14484" s="38" t="s">
        <v>138</v>
      </c>
      <c r="G14484" s="49" t="str">
        <f t="shared" si="1"/>
        <v>14330</v>
      </c>
      <c r="H14484" s="49">
        <f t="shared" si="2"/>
        <v>14142</v>
      </c>
    </row>
    <row r="14485">
      <c r="A14485" s="48" t="s">
        <v>1663</v>
      </c>
      <c r="B14485" s="38">
        <v>88040.0</v>
      </c>
      <c r="C14485" s="38" t="s">
        <v>18795</v>
      </c>
      <c r="D14485" s="38" t="str">
        <f>IFERROR(__xludf.DUMMYFUNCTION("REGEXREPLACE(C14485,""-\d+(.*)|--\d+(.*)"","""")"),"BAYECOURT")</f>
        <v>BAYECOURT</v>
      </c>
      <c r="E14485" s="38" t="s">
        <v>194</v>
      </c>
      <c r="F14485" s="38" t="s">
        <v>195</v>
      </c>
      <c r="G14485" s="49" t="str">
        <f t="shared" si="1"/>
        <v>88150</v>
      </c>
      <c r="H14485" s="49">
        <f t="shared" si="2"/>
        <v>88040</v>
      </c>
    </row>
    <row r="14486">
      <c r="A14486" s="48" t="s">
        <v>18796</v>
      </c>
      <c r="B14486" s="38">
        <v>29297.0</v>
      </c>
      <c r="C14486" s="38" t="s">
        <v>18797</v>
      </c>
      <c r="D14486" s="38" t="str">
        <f>IFERROR(__xludf.DUMMYFUNCTION("REGEXREPLACE(C14486,""-\d+(.*)|--\d+(.*)"","""")"),"TREMEVEN")</f>
        <v>TREMEVEN</v>
      </c>
      <c r="E14486" s="38" t="s">
        <v>176</v>
      </c>
      <c r="F14486" s="38" t="s">
        <v>90</v>
      </c>
      <c r="G14486" s="49" t="str">
        <f t="shared" si="1"/>
        <v>29300</v>
      </c>
      <c r="H14486" s="49">
        <f t="shared" si="2"/>
        <v>29297</v>
      </c>
    </row>
    <row r="14487">
      <c r="A14487" s="48" t="s">
        <v>18798</v>
      </c>
      <c r="B14487" s="38">
        <v>10261.0</v>
      </c>
      <c r="C14487" s="38" t="s">
        <v>18799</v>
      </c>
      <c r="D14487" s="38" t="str">
        <f>IFERROR(__xludf.DUMMYFUNCTION("REGEXREPLACE(C14487,""-\d+(.*)|--\d+(.*)"","""")"),"MUSSY-SUR-SEINE")</f>
        <v>MUSSY-SUR-SEINE</v>
      </c>
      <c r="E14487" s="38" t="s">
        <v>147</v>
      </c>
      <c r="F14487" s="38" t="s">
        <v>130</v>
      </c>
      <c r="G14487" s="49" t="str">
        <f t="shared" si="1"/>
        <v>10250</v>
      </c>
      <c r="H14487" s="49">
        <f t="shared" si="2"/>
        <v>10261</v>
      </c>
    </row>
    <row r="14488">
      <c r="A14488" s="48" t="s">
        <v>12322</v>
      </c>
      <c r="B14488" s="38">
        <v>89282.0</v>
      </c>
      <c r="C14488" s="38" t="s">
        <v>10560</v>
      </c>
      <c r="D14488" s="38" t="str">
        <f>IFERROR(__xludf.DUMMYFUNCTION("REGEXREPLACE(C14488,""-\d+(.*)|--\d+(.*)"","""")"),"ORMOY")</f>
        <v>ORMOY</v>
      </c>
      <c r="E14488" s="38" t="s">
        <v>275</v>
      </c>
      <c r="F14488" s="38" t="s">
        <v>106</v>
      </c>
      <c r="G14488" s="49" t="str">
        <f t="shared" si="1"/>
        <v>89400</v>
      </c>
      <c r="H14488" s="49">
        <f t="shared" si="2"/>
        <v>89282</v>
      </c>
    </row>
    <row r="14489">
      <c r="A14489" s="48" t="s">
        <v>1750</v>
      </c>
      <c r="B14489" s="38">
        <v>37047.0</v>
      </c>
      <c r="C14489" s="38" t="s">
        <v>18800</v>
      </c>
      <c r="D14489" s="38" t="str">
        <f>IFERROR(__xludf.DUMMYFUNCTION("REGEXREPLACE(C14489,""-\d+(.*)|--\d+(.*)"","""")"),"CERELLES")</f>
        <v>CERELLES</v>
      </c>
      <c r="E14489" s="38" t="s">
        <v>205</v>
      </c>
      <c r="F14489" s="38" t="s">
        <v>123</v>
      </c>
      <c r="G14489" s="49" t="str">
        <f t="shared" si="1"/>
        <v>37390</v>
      </c>
      <c r="H14489" s="49">
        <f t="shared" si="2"/>
        <v>37047</v>
      </c>
    </row>
    <row r="14490">
      <c r="A14490" s="48" t="s">
        <v>284</v>
      </c>
      <c r="B14490" s="38">
        <v>60654.0</v>
      </c>
      <c r="C14490" s="38" t="s">
        <v>18801</v>
      </c>
      <c r="D14490" s="38" t="str">
        <f>IFERROR(__xludf.DUMMYFUNCTION("REGEXREPLACE(C14490,""-\d+(.*)|--\d+(.*)"","""")"),"VANDELICOURT")</f>
        <v>VANDELICOURT</v>
      </c>
      <c r="E14490" s="38" t="s">
        <v>112</v>
      </c>
      <c r="F14490" s="38" t="s">
        <v>113</v>
      </c>
      <c r="G14490" s="49" t="str">
        <f t="shared" si="1"/>
        <v>60490</v>
      </c>
      <c r="H14490" s="49">
        <f t="shared" si="2"/>
        <v>60654</v>
      </c>
    </row>
    <row r="14491">
      <c r="A14491" s="48" t="s">
        <v>18094</v>
      </c>
      <c r="B14491" s="38">
        <v>59658.0</v>
      </c>
      <c r="C14491" s="38" t="s">
        <v>18802</v>
      </c>
      <c r="D14491" s="38" t="str">
        <f>IFERROR(__xludf.DUMMYFUNCTION("REGEXREPLACE(C14491,""-\d+(.*)|--\d+(.*)"","""")"),"WICRES")</f>
        <v>WICRES</v>
      </c>
      <c r="E14491" s="38" t="s">
        <v>85</v>
      </c>
      <c r="F14491" s="38" t="s">
        <v>86</v>
      </c>
      <c r="G14491" s="49" t="str">
        <f t="shared" si="1"/>
        <v>59134</v>
      </c>
      <c r="H14491" s="49">
        <f t="shared" si="2"/>
        <v>59658</v>
      </c>
    </row>
    <row r="14492">
      <c r="A14492" s="48" t="s">
        <v>6928</v>
      </c>
      <c r="B14492" s="38">
        <v>25457.0</v>
      </c>
      <c r="C14492" s="38" t="s">
        <v>18803</v>
      </c>
      <c r="D14492" s="38" t="str">
        <f>IFERROR(__xludf.DUMMYFUNCTION("REGEXREPLACE(C14492,""-\d+(.*)|--\d+(.*)"","""")"),"PLAIMBOIS-VENNES")</f>
        <v>PLAIMBOIS-VENNES</v>
      </c>
      <c r="E14492" s="38" t="s">
        <v>213</v>
      </c>
      <c r="F14492" s="38" t="s">
        <v>214</v>
      </c>
      <c r="G14492" s="49" t="str">
        <f t="shared" si="1"/>
        <v>25390</v>
      </c>
      <c r="H14492" s="49">
        <f t="shared" si="2"/>
        <v>25457</v>
      </c>
    </row>
    <row r="14493">
      <c r="A14493" s="48" t="s">
        <v>2955</v>
      </c>
      <c r="B14493" s="38">
        <v>76098.0</v>
      </c>
      <c r="C14493" s="38" t="s">
        <v>18804</v>
      </c>
      <c r="D14493" s="38" t="str">
        <f>IFERROR(__xludf.DUMMYFUNCTION("REGEXREPLACE(C14493,""-\d+(.*)|--\d+(.*)"","""")"),"BIVILLE-SUR-MER")</f>
        <v>BIVILLE-SUR-MER</v>
      </c>
      <c r="E14493" s="38" t="s">
        <v>133</v>
      </c>
      <c r="F14493" s="38" t="s">
        <v>134</v>
      </c>
      <c r="G14493" s="49" t="str">
        <f t="shared" si="1"/>
        <v>76630</v>
      </c>
      <c r="H14493" s="49">
        <f t="shared" si="2"/>
        <v>76098</v>
      </c>
    </row>
    <row r="14494">
      <c r="A14494" s="48" t="s">
        <v>6316</v>
      </c>
      <c r="B14494" s="38">
        <v>50648.0</v>
      </c>
      <c r="C14494" s="38" t="s">
        <v>18805</v>
      </c>
      <c r="D14494" s="38" t="str">
        <f>IFERROR(__xludf.DUMMYFUNCTION("REGEXREPLACE(C14494,""-\d+(.*)|--\d+(.*)"","""")"),"YVETOT-BOCAGE")</f>
        <v>YVETOT-BOCAGE</v>
      </c>
      <c r="E14494" s="38" t="s">
        <v>157</v>
      </c>
      <c r="F14494" s="38" t="s">
        <v>138</v>
      </c>
      <c r="G14494" s="49" t="str">
        <f t="shared" si="1"/>
        <v>50700</v>
      </c>
      <c r="H14494" s="49">
        <f t="shared" si="2"/>
        <v>50648</v>
      </c>
    </row>
    <row r="14495">
      <c r="A14495" s="48" t="s">
        <v>5241</v>
      </c>
      <c r="B14495" s="38">
        <v>36023.0</v>
      </c>
      <c r="C14495" s="38" t="s">
        <v>18806</v>
      </c>
      <c r="D14495" s="38" t="str">
        <f>IFERROR(__xludf.DUMMYFUNCTION("REGEXREPLACE(C14495,""-\d+(.*)|--\d+(.*)"","""")"),"BOUGES-LE-CHATEAU")</f>
        <v>BOUGES-LE-CHATEAU</v>
      </c>
      <c r="E14495" s="38" t="s">
        <v>258</v>
      </c>
      <c r="F14495" s="38" t="s">
        <v>123</v>
      </c>
      <c r="G14495" s="49" t="str">
        <f t="shared" si="1"/>
        <v>36110</v>
      </c>
      <c r="H14495" s="49">
        <f t="shared" si="2"/>
        <v>36023</v>
      </c>
    </row>
    <row r="14496">
      <c r="A14496" s="48" t="s">
        <v>1768</v>
      </c>
      <c r="B14496" s="38">
        <v>53097.0</v>
      </c>
      <c r="C14496" s="38" t="s">
        <v>18807</v>
      </c>
      <c r="D14496" s="38" t="str">
        <f>IFERROR(__xludf.DUMMYFUNCTION("REGEXREPLACE(C14496,""-\d+(.*)|--\d+(.*)"","""")"),"EVRON")</f>
        <v>EVRON</v>
      </c>
      <c r="E14496" s="38" t="s">
        <v>518</v>
      </c>
      <c r="F14496" s="38" t="s">
        <v>180</v>
      </c>
      <c r="G14496" s="49" t="str">
        <f t="shared" si="1"/>
        <v>53600</v>
      </c>
      <c r="H14496" s="49">
        <f t="shared" si="2"/>
        <v>53097</v>
      </c>
    </row>
    <row r="14497">
      <c r="A14497" s="48" t="s">
        <v>14454</v>
      </c>
      <c r="B14497" s="38">
        <v>14045.0</v>
      </c>
      <c r="C14497" s="38" t="s">
        <v>18808</v>
      </c>
      <c r="D14497" s="38" t="str">
        <f>IFERROR(__xludf.DUMMYFUNCTION("REGEXREPLACE(C14497,""-\d+(.*)|--\d+(.*)"","""")"),"BASSENEVILLE")</f>
        <v>BASSENEVILLE</v>
      </c>
      <c r="E14497" s="38" t="s">
        <v>137</v>
      </c>
      <c r="F14497" s="38" t="s">
        <v>138</v>
      </c>
      <c r="G14497" s="49" t="str">
        <f t="shared" si="1"/>
        <v>14670</v>
      </c>
      <c r="H14497" s="49">
        <f t="shared" si="2"/>
        <v>14045</v>
      </c>
    </row>
    <row r="14498">
      <c r="A14498" s="48" t="s">
        <v>5753</v>
      </c>
      <c r="B14498" s="38">
        <v>72222.0</v>
      </c>
      <c r="C14498" s="38" t="s">
        <v>18809</v>
      </c>
      <c r="D14498" s="38" t="str">
        <f>IFERROR(__xludf.DUMMYFUNCTION("REGEXREPLACE(C14498,""-\d+(.*)|--\d+(.*)"","""")"),"NOUANS")</f>
        <v>NOUANS</v>
      </c>
      <c r="E14498" s="38" t="s">
        <v>521</v>
      </c>
      <c r="F14498" s="38" t="s">
        <v>180</v>
      </c>
      <c r="G14498" s="49" t="str">
        <f t="shared" si="1"/>
        <v>72260</v>
      </c>
      <c r="H14498" s="49">
        <f t="shared" si="2"/>
        <v>72222</v>
      </c>
    </row>
    <row r="14499">
      <c r="A14499" s="48" t="s">
        <v>2294</v>
      </c>
      <c r="B14499" s="38">
        <v>87053.0</v>
      </c>
      <c r="C14499" s="38" t="s">
        <v>18810</v>
      </c>
      <c r="D14499" s="38" t="str">
        <f>IFERROR(__xludf.DUMMYFUNCTION("REGEXREPLACE(C14499,""-\d+(.*)|--\d+(.*)"","""")"),"CROMAC")</f>
        <v>CROMAC</v>
      </c>
      <c r="E14499" s="38" t="s">
        <v>897</v>
      </c>
      <c r="F14499" s="38" t="s">
        <v>98</v>
      </c>
      <c r="G14499" s="49" t="str">
        <f t="shared" si="1"/>
        <v>87160</v>
      </c>
      <c r="H14499" s="49">
        <f t="shared" si="2"/>
        <v>87053</v>
      </c>
    </row>
    <row r="14500">
      <c r="A14500" s="48" t="s">
        <v>3317</v>
      </c>
      <c r="B14500" s="38">
        <v>1163.0</v>
      </c>
      <c r="C14500" s="38" t="s">
        <v>18811</v>
      </c>
      <c r="D14500" s="38" t="str">
        <f>IFERROR(__xludf.DUMMYFUNCTION("REGEXREPLACE(C14500,""-\d+(.*)|--\d+(.*)"","""")"),"FOISSIAT")</f>
        <v>FOISSIAT</v>
      </c>
      <c r="E14500" s="38" t="s">
        <v>255</v>
      </c>
      <c r="F14500" s="38" t="s">
        <v>102</v>
      </c>
      <c r="G14500" s="49" t="str">
        <f t="shared" si="1"/>
        <v>01340</v>
      </c>
      <c r="H14500" s="49" t="str">
        <f t="shared" si="2"/>
        <v>01163</v>
      </c>
    </row>
    <row r="14501">
      <c r="A14501" s="48" t="s">
        <v>1728</v>
      </c>
      <c r="B14501" s="38">
        <v>45137.0</v>
      </c>
      <c r="C14501" s="38" t="s">
        <v>18812</v>
      </c>
      <c r="D14501" s="38" t="str">
        <f>IFERROR(__xludf.DUMMYFUNCTION("REGEXREPLACE(C14501,""-\d+(.*)|--\d+(.*)"","""")"),"ESCRENNES")</f>
        <v>ESCRENNES</v>
      </c>
      <c r="E14501" s="38" t="s">
        <v>122</v>
      </c>
      <c r="F14501" s="38" t="s">
        <v>123</v>
      </c>
      <c r="G14501" s="49" t="str">
        <f t="shared" si="1"/>
        <v>45300</v>
      </c>
      <c r="H14501" s="49">
        <f t="shared" si="2"/>
        <v>45137</v>
      </c>
    </row>
    <row r="14502">
      <c r="A14502" s="48" t="s">
        <v>9498</v>
      </c>
      <c r="B14502" s="38">
        <v>79290.0</v>
      </c>
      <c r="C14502" s="38" t="s">
        <v>18813</v>
      </c>
      <c r="D14502" s="38" t="str">
        <f>IFERROR(__xludf.DUMMYFUNCTION("REGEXREPLACE(C14502,""-\d+(.*)|--\d+(.*)"","""")"),"SAINT-POMPAIN")</f>
        <v>SAINT-POMPAIN</v>
      </c>
      <c r="E14502" s="38" t="s">
        <v>337</v>
      </c>
      <c r="F14502" s="38" t="s">
        <v>338</v>
      </c>
      <c r="G14502" s="49" t="str">
        <f t="shared" si="1"/>
        <v>79160</v>
      </c>
      <c r="H14502" s="49">
        <f t="shared" si="2"/>
        <v>79290</v>
      </c>
    </row>
    <row r="14503">
      <c r="A14503" s="48" t="s">
        <v>3044</v>
      </c>
      <c r="B14503" s="38">
        <v>88372.0</v>
      </c>
      <c r="C14503" s="38" t="s">
        <v>18814</v>
      </c>
      <c r="D14503" s="38" t="str">
        <f>IFERROR(__xludf.DUMMYFUNCTION("REGEXREPLACE(C14503,""-\d+(.*)|--\d+(.*)"","""")"),"RAON-L'ETAPE")</f>
        <v>RAON-L'ETAPE</v>
      </c>
      <c r="E14503" s="38" t="s">
        <v>194</v>
      </c>
      <c r="F14503" s="38" t="s">
        <v>195</v>
      </c>
      <c r="G14503" s="49" t="str">
        <f t="shared" si="1"/>
        <v>88110</v>
      </c>
      <c r="H14503" s="49">
        <f t="shared" si="2"/>
        <v>88372</v>
      </c>
    </row>
    <row r="14504">
      <c r="A14504" s="48" t="s">
        <v>4358</v>
      </c>
      <c r="B14504" s="38">
        <v>1257.0</v>
      </c>
      <c r="C14504" s="38" t="s">
        <v>18815</v>
      </c>
      <c r="D14504" s="38" t="str">
        <f>IFERROR(__xludf.DUMMYFUNCTION("REGEXREPLACE(C14504,""-\d+(.*)|--\d+(.*)"","""")"),"MONTANGES")</f>
        <v>MONTANGES</v>
      </c>
      <c r="E14504" s="38" t="s">
        <v>255</v>
      </c>
      <c r="F14504" s="38" t="s">
        <v>102</v>
      </c>
      <c r="G14504" s="49" t="str">
        <f t="shared" si="1"/>
        <v>01200</v>
      </c>
      <c r="H14504" s="49" t="str">
        <f t="shared" si="2"/>
        <v>01257</v>
      </c>
    </row>
    <row r="14505">
      <c r="A14505" s="48" t="s">
        <v>3135</v>
      </c>
      <c r="B14505" s="38">
        <v>12073.0</v>
      </c>
      <c r="C14505" s="38" t="s">
        <v>18816</v>
      </c>
      <c r="D14505" s="38" t="str">
        <f>IFERROR(__xludf.DUMMYFUNCTION("REGEXREPLACE(C14505,""-\d+(.*)|--\d+(.*)"","""")"),"COMPS-LA-GRAND-VILLE")</f>
        <v>COMPS-LA-GRAND-VILLE</v>
      </c>
      <c r="E14505" s="38" t="s">
        <v>465</v>
      </c>
      <c r="F14505" s="38" t="s">
        <v>94</v>
      </c>
      <c r="G14505" s="49" t="str">
        <f t="shared" si="1"/>
        <v>12120</v>
      </c>
      <c r="H14505" s="49">
        <f t="shared" si="2"/>
        <v>12073</v>
      </c>
    </row>
    <row r="14506">
      <c r="A14506" s="48" t="s">
        <v>18817</v>
      </c>
      <c r="B14506" s="38">
        <v>97611.0</v>
      </c>
      <c r="C14506" s="38" t="s">
        <v>18818</v>
      </c>
      <c r="D14506" s="38" t="str">
        <f>IFERROR(__xludf.DUMMYFUNCTION("REGEXREPLACE(C14506,""-\d+(.*)|--\d+(.*)"","""")"),"MAMOUDZOU")</f>
        <v>MAMOUDZOU</v>
      </c>
      <c r="E14506" s="38" t="s">
        <v>2865</v>
      </c>
      <c r="F14506" s="38" t="s">
        <v>2865</v>
      </c>
      <c r="G14506" s="49" t="str">
        <f t="shared" si="1"/>
        <v>97600</v>
      </c>
      <c r="H14506" s="49">
        <f t="shared" si="2"/>
        <v>97611</v>
      </c>
    </row>
    <row r="14507">
      <c r="A14507" s="48" t="s">
        <v>18819</v>
      </c>
      <c r="B14507" s="38">
        <v>6089.0</v>
      </c>
      <c r="C14507" s="38" t="s">
        <v>18820</v>
      </c>
      <c r="D14507" s="38" t="str">
        <f>IFERROR(__xludf.DUMMYFUNCTION("REGEXREPLACE(C14507,""-\d+(.*)|--\d+(.*)"","""")"),"OPIO")</f>
        <v>OPIO</v>
      </c>
      <c r="E14507" s="38" t="s">
        <v>227</v>
      </c>
      <c r="F14507" s="38" t="s">
        <v>228</v>
      </c>
      <c r="G14507" s="49" t="str">
        <f t="shared" si="1"/>
        <v>06650</v>
      </c>
      <c r="H14507" s="49" t="str">
        <f t="shared" si="2"/>
        <v>06089</v>
      </c>
    </row>
    <row r="14508">
      <c r="A14508" s="48" t="s">
        <v>493</v>
      </c>
      <c r="B14508" s="38">
        <v>28295.0</v>
      </c>
      <c r="C14508" s="38" t="s">
        <v>18821</v>
      </c>
      <c r="D14508" s="38" t="str">
        <f>IFERROR(__xludf.DUMMYFUNCTION("REGEXREPLACE(C14508,""-\d+(.*)|--\d+(.*)"","""")"),"OZOIR-LE-BREUIL")</f>
        <v>OZOIR-LE-BREUIL</v>
      </c>
      <c r="E14508" s="38" t="s">
        <v>300</v>
      </c>
      <c r="F14508" s="38" t="s">
        <v>123</v>
      </c>
      <c r="G14508" s="49" t="str">
        <f t="shared" si="1"/>
        <v>28200</v>
      </c>
      <c r="H14508" s="49">
        <f t="shared" si="2"/>
        <v>28295</v>
      </c>
    </row>
    <row r="14509">
      <c r="A14509" s="48" t="s">
        <v>10407</v>
      </c>
      <c r="B14509" s="38">
        <v>87021.0</v>
      </c>
      <c r="C14509" s="38" t="s">
        <v>18822</v>
      </c>
      <c r="D14509" s="38" t="str">
        <f>IFERROR(__xludf.DUMMYFUNCTION("REGEXREPLACE(C14509,""-\d+(.*)|--\d+(.*)"","""")"),"BOSMIE-L'AIGUILLE")</f>
        <v>BOSMIE-L'AIGUILLE</v>
      </c>
      <c r="E14509" s="38" t="s">
        <v>897</v>
      </c>
      <c r="F14509" s="38" t="s">
        <v>98</v>
      </c>
      <c r="G14509" s="49" t="str">
        <f t="shared" si="1"/>
        <v>87110</v>
      </c>
      <c r="H14509" s="49">
        <f t="shared" si="2"/>
        <v>87021</v>
      </c>
    </row>
    <row r="14510">
      <c r="A14510" s="48" t="s">
        <v>18823</v>
      </c>
      <c r="B14510" s="38">
        <v>92073.0</v>
      </c>
      <c r="C14510" s="38" t="s">
        <v>18824</v>
      </c>
      <c r="D14510" s="38" t="str">
        <f>IFERROR(__xludf.DUMMYFUNCTION("REGEXREPLACE(C14510,""-\d+(.*)|--\d+(.*)"","""")"),"SURESNES")</f>
        <v>SURESNES</v>
      </c>
      <c r="E14510" s="38" t="s">
        <v>838</v>
      </c>
      <c r="F14510" s="38" t="s">
        <v>245</v>
      </c>
      <c r="G14510" s="49" t="str">
        <f t="shared" si="1"/>
        <v>92150</v>
      </c>
      <c r="H14510" s="49">
        <f t="shared" si="2"/>
        <v>92073</v>
      </c>
    </row>
    <row r="14511">
      <c r="A14511" s="48" t="s">
        <v>1060</v>
      </c>
      <c r="B14511" s="38">
        <v>57667.0</v>
      </c>
      <c r="C14511" s="38" t="s">
        <v>18825</v>
      </c>
      <c r="D14511" s="38" t="str">
        <f>IFERROR(__xludf.DUMMYFUNCTION("REGEXREPLACE(C14511,""-\d+(.*)|--\d+(.*)"","""")"),"TETERCHEN")</f>
        <v>TETERCHEN</v>
      </c>
      <c r="E14511" s="38" t="s">
        <v>303</v>
      </c>
      <c r="F14511" s="38" t="s">
        <v>195</v>
      </c>
      <c r="G14511" s="49" t="str">
        <f t="shared" si="1"/>
        <v>57220</v>
      </c>
      <c r="H14511" s="49">
        <f t="shared" si="2"/>
        <v>57667</v>
      </c>
    </row>
    <row r="14512">
      <c r="A14512" s="48" t="s">
        <v>724</v>
      </c>
      <c r="B14512" s="38">
        <v>32394.0</v>
      </c>
      <c r="C14512" s="38" t="s">
        <v>9699</v>
      </c>
      <c r="D14512" s="38" t="str">
        <f>IFERROR(__xludf.DUMMYFUNCTION("REGEXREPLACE(C14512,""-\d+(.*)|--\d+(.*)"","""")"),"SAINT-MEDARD")</f>
        <v>SAINT-MEDARD</v>
      </c>
      <c r="E14512" s="38" t="s">
        <v>440</v>
      </c>
      <c r="F14512" s="38" t="s">
        <v>94</v>
      </c>
      <c r="G14512" s="49" t="str">
        <f t="shared" si="1"/>
        <v>32300</v>
      </c>
      <c r="H14512" s="49">
        <f t="shared" si="2"/>
        <v>32394</v>
      </c>
    </row>
    <row r="14513">
      <c r="A14513" s="48" t="s">
        <v>15028</v>
      </c>
      <c r="B14513" s="38">
        <v>79165.0</v>
      </c>
      <c r="C14513" s="38" t="s">
        <v>18826</v>
      </c>
      <c r="D14513" s="38" t="str">
        <f>IFERROR(__xludf.DUMMYFUNCTION("REGEXREPLACE(C14513,""-\d+(.*)|--\d+(.*)"","""")"),"MAISONTIERS")</f>
        <v>MAISONTIERS</v>
      </c>
      <c r="E14513" s="38" t="s">
        <v>337</v>
      </c>
      <c r="F14513" s="38" t="s">
        <v>338</v>
      </c>
      <c r="G14513" s="49" t="str">
        <f t="shared" si="1"/>
        <v>79600</v>
      </c>
      <c r="H14513" s="49">
        <f t="shared" si="2"/>
        <v>79165</v>
      </c>
    </row>
    <row r="14514">
      <c r="A14514" s="48" t="s">
        <v>5636</v>
      </c>
      <c r="B14514" s="38">
        <v>40228.0</v>
      </c>
      <c r="C14514" s="38" t="s">
        <v>18827</v>
      </c>
      <c r="D14514" s="38" t="str">
        <f>IFERROR(__xludf.DUMMYFUNCTION("REGEXREPLACE(C14514,""-\d+(.*)|--\d+(.*)"","""")"),"POMAREZ")</f>
        <v>POMAREZ</v>
      </c>
      <c r="E14514" s="38" t="s">
        <v>281</v>
      </c>
      <c r="F14514" s="38" t="s">
        <v>252</v>
      </c>
      <c r="G14514" s="49" t="str">
        <f t="shared" si="1"/>
        <v>40360</v>
      </c>
      <c r="H14514" s="49">
        <f t="shared" si="2"/>
        <v>40228</v>
      </c>
    </row>
    <row r="14515">
      <c r="A14515" s="48" t="s">
        <v>4924</v>
      </c>
      <c r="B14515" s="38">
        <v>56138.0</v>
      </c>
      <c r="C14515" s="38" t="s">
        <v>18828</v>
      </c>
      <c r="D14515" s="38" t="str">
        <f>IFERROR(__xludf.DUMMYFUNCTION("REGEXREPLACE(C14515,""-\d+(.*)|--\d+(.*)"","""")"),"MONTERREIN")</f>
        <v>MONTERREIN</v>
      </c>
      <c r="E14515" s="38" t="s">
        <v>173</v>
      </c>
      <c r="F14515" s="38" t="s">
        <v>90</v>
      </c>
      <c r="G14515" s="49" t="str">
        <f t="shared" si="1"/>
        <v>56800</v>
      </c>
      <c r="H14515" s="49">
        <f t="shared" si="2"/>
        <v>56138</v>
      </c>
    </row>
    <row r="14516">
      <c r="A14516" s="48" t="s">
        <v>4431</v>
      </c>
      <c r="B14516" s="38">
        <v>32178.0</v>
      </c>
      <c r="C14516" s="38" t="s">
        <v>18829</v>
      </c>
      <c r="D14516" s="38" t="str">
        <f>IFERROR(__xludf.DUMMYFUNCTION("REGEXREPLACE(C14516,""-\d+(.*)|--\d+(.*)"","""")"),"LAGARDERE")</f>
        <v>LAGARDERE</v>
      </c>
      <c r="E14516" s="38" t="s">
        <v>440</v>
      </c>
      <c r="F14516" s="38" t="s">
        <v>94</v>
      </c>
      <c r="G14516" s="49" t="str">
        <f t="shared" si="1"/>
        <v>32310</v>
      </c>
      <c r="H14516" s="49">
        <f t="shared" si="2"/>
        <v>32178</v>
      </c>
    </row>
    <row r="14517">
      <c r="A14517" s="48" t="s">
        <v>18830</v>
      </c>
      <c r="B14517" s="38">
        <v>22127.0</v>
      </c>
      <c r="C14517" s="38" t="s">
        <v>18831</v>
      </c>
      <c r="D14517" s="38" t="str">
        <f>IFERROR(__xludf.DUMMYFUNCTION("REGEXREPLACE(C14517,""-\d+(.*)|--\d+(.*)"","""")"),"LEZARDRIEUX")</f>
        <v>LEZARDRIEUX</v>
      </c>
      <c r="E14517" s="38" t="s">
        <v>89</v>
      </c>
      <c r="F14517" s="38" t="s">
        <v>90</v>
      </c>
      <c r="G14517" s="49" t="str">
        <f t="shared" si="1"/>
        <v>22740</v>
      </c>
      <c r="H14517" s="49">
        <f t="shared" si="2"/>
        <v>22127</v>
      </c>
    </row>
    <row r="14518">
      <c r="A14518" s="48" t="s">
        <v>6613</v>
      </c>
      <c r="B14518" s="38">
        <v>61227.0</v>
      </c>
      <c r="C14518" s="38" t="s">
        <v>18832</v>
      </c>
      <c r="D14518" s="38" t="str">
        <f>IFERROR(__xludf.DUMMYFUNCTION("REGEXREPLACE(C14518,""-\d+(.*)|--\d+(.*)"","""")"),"LIGNOU")</f>
        <v>LIGNOU</v>
      </c>
      <c r="E14518" s="38" t="s">
        <v>141</v>
      </c>
      <c r="F14518" s="38" t="s">
        <v>138</v>
      </c>
      <c r="G14518" s="49" t="str">
        <f t="shared" si="1"/>
        <v>61220</v>
      </c>
      <c r="H14518" s="49">
        <f t="shared" si="2"/>
        <v>61227</v>
      </c>
    </row>
    <row r="14519">
      <c r="A14519" s="48" t="s">
        <v>1300</v>
      </c>
      <c r="B14519" s="38">
        <v>60456.0</v>
      </c>
      <c r="C14519" s="38" t="s">
        <v>18833</v>
      </c>
      <c r="D14519" s="38" t="str">
        <f>IFERROR(__xludf.DUMMYFUNCTION("REGEXREPLACE(C14519,""-\d+(.*)|--\d+(.*)"","""")"),"LA NEUVILLE-ROY")</f>
        <v>LA NEUVILLE-ROY</v>
      </c>
      <c r="E14519" s="38" t="s">
        <v>112</v>
      </c>
      <c r="F14519" s="38" t="s">
        <v>113</v>
      </c>
      <c r="G14519" s="49" t="str">
        <f t="shared" si="1"/>
        <v>60190</v>
      </c>
      <c r="H14519" s="49">
        <f t="shared" si="2"/>
        <v>60456</v>
      </c>
    </row>
    <row r="14520">
      <c r="A14520" s="48" t="s">
        <v>18834</v>
      </c>
      <c r="B14520" s="38">
        <v>88302.0</v>
      </c>
      <c r="C14520" s="38" t="s">
        <v>18835</v>
      </c>
      <c r="D14520" s="38" t="str">
        <f>IFERROR(__xludf.DUMMYFUNCTION("REGEXREPLACE(C14520,""-\d+(.*)|--\d+(.*)"","""")"),"LE MENIL")</f>
        <v>LE MENIL</v>
      </c>
      <c r="E14520" s="38" t="s">
        <v>194</v>
      </c>
      <c r="F14520" s="38" t="s">
        <v>195</v>
      </c>
      <c r="G14520" s="49" t="str">
        <f t="shared" si="1"/>
        <v>88160</v>
      </c>
      <c r="H14520" s="49">
        <f t="shared" si="2"/>
        <v>88302</v>
      </c>
    </row>
    <row r="14521">
      <c r="A14521" s="48" t="s">
        <v>7365</v>
      </c>
      <c r="B14521" s="38">
        <v>18190.0</v>
      </c>
      <c r="C14521" s="38" t="s">
        <v>18836</v>
      </c>
      <c r="D14521" s="38" t="str">
        <f>IFERROR(__xludf.DUMMYFUNCTION("REGEXREPLACE(C14521,""-\d+(.*)|--\d+(.*)"","""")"),"QUINCY")</f>
        <v>QUINCY</v>
      </c>
      <c r="E14521" s="38" t="s">
        <v>504</v>
      </c>
      <c r="F14521" s="38" t="s">
        <v>123</v>
      </c>
      <c r="G14521" s="49" t="str">
        <f t="shared" si="1"/>
        <v>18120</v>
      </c>
      <c r="H14521" s="49">
        <f t="shared" si="2"/>
        <v>18190</v>
      </c>
    </row>
    <row r="14522">
      <c r="A14522" s="48" t="s">
        <v>1022</v>
      </c>
      <c r="B14522" s="38">
        <v>2654.0</v>
      </c>
      <c r="C14522" s="38" t="s">
        <v>11320</v>
      </c>
      <c r="D14522" s="38" t="str">
        <f>IFERROR(__xludf.DUMMYFUNCTION("REGEXREPLACE(C14522,""-\d+(.*)|--\d+(.*)"","""")"),"ROMERY")</f>
        <v>ROMERY</v>
      </c>
      <c r="E14522" s="38" t="s">
        <v>191</v>
      </c>
      <c r="F14522" s="38" t="s">
        <v>113</v>
      </c>
      <c r="G14522" s="49" t="str">
        <f t="shared" si="1"/>
        <v>02120</v>
      </c>
      <c r="H14522" s="49" t="str">
        <f t="shared" si="2"/>
        <v>02654</v>
      </c>
    </row>
    <row r="14523">
      <c r="A14523" s="48" t="s">
        <v>1104</v>
      </c>
      <c r="B14523" s="38">
        <v>52039.0</v>
      </c>
      <c r="C14523" s="38" t="s">
        <v>18837</v>
      </c>
      <c r="D14523" s="38" t="str">
        <f>IFERROR(__xludf.DUMMYFUNCTION("REGEXREPLACE(C14523,""-\d+(.*)|--\d+(.*)"","""")"),"BAUDRECOURT")</f>
        <v>BAUDRECOURT</v>
      </c>
      <c r="E14523" s="38" t="s">
        <v>234</v>
      </c>
      <c r="F14523" s="38" t="s">
        <v>130</v>
      </c>
      <c r="G14523" s="49" t="str">
        <f t="shared" si="1"/>
        <v>52110</v>
      </c>
      <c r="H14523" s="49">
        <f t="shared" si="2"/>
        <v>52039</v>
      </c>
    </row>
    <row r="14524">
      <c r="A14524" s="48" t="s">
        <v>3152</v>
      </c>
      <c r="B14524" s="38">
        <v>7095.0</v>
      </c>
      <c r="C14524" s="38" t="s">
        <v>18838</v>
      </c>
      <c r="D14524" s="38" t="str">
        <f>IFERROR(__xludf.DUMMYFUNCTION("REGEXREPLACE(C14524,""-\d+(.*)|--\d+(.*)"","""")"),"GILHOC-SUR-ORMEZE")</f>
        <v>GILHOC-SUR-ORMEZE</v>
      </c>
      <c r="E14524" s="38" t="s">
        <v>144</v>
      </c>
      <c r="F14524" s="38" t="s">
        <v>102</v>
      </c>
      <c r="G14524" s="49" t="str">
        <f t="shared" si="1"/>
        <v>07270</v>
      </c>
      <c r="H14524" s="49" t="str">
        <f t="shared" si="2"/>
        <v>07095</v>
      </c>
    </row>
    <row r="14525">
      <c r="A14525" s="48" t="s">
        <v>17049</v>
      </c>
      <c r="B14525" s="38">
        <v>60578.0</v>
      </c>
      <c r="C14525" s="38" t="s">
        <v>18839</v>
      </c>
      <c r="D14525" s="38" t="str">
        <f>IFERROR(__xludf.DUMMYFUNCTION("REGEXREPLACE(C14525,""-\d+(.*)|--\d+(.*)"","""")"),"SAINTINES")</f>
        <v>SAINTINES</v>
      </c>
      <c r="E14525" s="38" t="s">
        <v>112</v>
      </c>
      <c r="F14525" s="38" t="s">
        <v>113</v>
      </c>
      <c r="G14525" s="49" t="str">
        <f t="shared" si="1"/>
        <v>60410</v>
      </c>
      <c r="H14525" s="49">
        <f t="shared" si="2"/>
        <v>60578</v>
      </c>
    </row>
    <row r="14526">
      <c r="A14526" s="48" t="s">
        <v>6647</v>
      </c>
      <c r="B14526" s="38">
        <v>58304.0</v>
      </c>
      <c r="C14526" s="38" t="s">
        <v>18840</v>
      </c>
      <c r="D14526" s="38" t="str">
        <f>IFERROR(__xludf.DUMMYFUNCTION("REGEXREPLACE(C14526,""-\d+(.*)|--\d+(.*)"","""")"),"VARZY")</f>
        <v>VARZY</v>
      </c>
      <c r="E14526" s="38" t="s">
        <v>219</v>
      </c>
      <c r="F14526" s="38" t="s">
        <v>106</v>
      </c>
      <c r="G14526" s="49" t="str">
        <f t="shared" si="1"/>
        <v>58210</v>
      </c>
      <c r="H14526" s="49">
        <f t="shared" si="2"/>
        <v>58304</v>
      </c>
    </row>
    <row r="14527">
      <c r="A14527" s="48" t="s">
        <v>2447</v>
      </c>
      <c r="B14527" s="38">
        <v>42260.0</v>
      </c>
      <c r="C14527" s="38" t="s">
        <v>18841</v>
      </c>
      <c r="D14527" s="38" t="str">
        <f>IFERROR(__xludf.DUMMYFUNCTION("REGEXREPLACE(C14527,""-\d+(.*)|--\d+(.*)"","""")"),"SAINT-MARTIN-LA-SAUVETE")</f>
        <v>SAINT-MARTIN-LA-SAUVETE</v>
      </c>
      <c r="E14527" s="38" t="s">
        <v>166</v>
      </c>
      <c r="F14527" s="38" t="s">
        <v>102</v>
      </c>
      <c r="G14527" s="49" t="str">
        <f t="shared" si="1"/>
        <v>42260</v>
      </c>
      <c r="H14527" s="49">
        <f t="shared" si="2"/>
        <v>42260</v>
      </c>
    </row>
    <row r="14528">
      <c r="A14528" s="48" t="s">
        <v>2149</v>
      </c>
      <c r="B14528" s="38">
        <v>83015.0</v>
      </c>
      <c r="C14528" s="38" t="s">
        <v>18842</v>
      </c>
      <c r="D14528" s="38" t="str">
        <f>IFERROR(__xludf.DUMMYFUNCTION("REGEXREPLACE(C14528,""-\d+(.*)|--\d+(.*)"","""")"),"BAUDUEN")</f>
        <v>BAUDUEN</v>
      </c>
      <c r="E14528" s="38" t="s">
        <v>813</v>
      </c>
      <c r="F14528" s="38" t="s">
        <v>228</v>
      </c>
      <c r="G14528" s="49" t="str">
        <f t="shared" si="1"/>
        <v>83630</v>
      </c>
      <c r="H14528" s="49">
        <f t="shared" si="2"/>
        <v>83015</v>
      </c>
    </row>
    <row r="14529">
      <c r="A14529" s="48" t="s">
        <v>6495</v>
      </c>
      <c r="B14529" s="38">
        <v>23064.0</v>
      </c>
      <c r="C14529" s="38" t="s">
        <v>18843</v>
      </c>
      <c r="D14529" s="38" t="str">
        <f>IFERROR(__xludf.DUMMYFUNCTION("REGEXREPLACE(C14529,""-\d+(.*)|--\d+(.*)"","""")"),"CLUGNAT")</f>
        <v>CLUGNAT</v>
      </c>
      <c r="E14529" s="38" t="s">
        <v>97</v>
      </c>
      <c r="F14529" s="38" t="s">
        <v>98</v>
      </c>
      <c r="G14529" s="49" t="str">
        <f t="shared" si="1"/>
        <v>23270</v>
      </c>
      <c r="H14529" s="49">
        <f t="shared" si="2"/>
        <v>23064</v>
      </c>
    </row>
    <row r="14530">
      <c r="A14530" s="48" t="s">
        <v>2382</v>
      </c>
      <c r="B14530" s="38">
        <v>54047.0</v>
      </c>
      <c r="C14530" s="38" t="s">
        <v>18844</v>
      </c>
      <c r="D14530" s="38" t="str">
        <f>IFERROR(__xludf.DUMMYFUNCTION("REGEXREPLACE(C14530,""-\d+(.*)|--\d+(.*)"","""")"),"BARISEY-LA-COTE")</f>
        <v>BARISEY-LA-COTE</v>
      </c>
      <c r="E14530" s="38" t="s">
        <v>548</v>
      </c>
      <c r="F14530" s="38" t="s">
        <v>195</v>
      </c>
      <c r="G14530" s="49" t="str">
        <f t="shared" si="1"/>
        <v>54170</v>
      </c>
      <c r="H14530" s="49">
        <f t="shared" si="2"/>
        <v>54047</v>
      </c>
    </row>
    <row r="14531">
      <c r="A14531" s="48" t="s">
        <v>5179</v>
      </c>
      <c r="B14531" s="38">
        <v>10191.0</v>
      </c>
      <c r="C14531" s="38" t="s">
        <v>11147</v>
      </c>
      <c r="D14531" s="38" t="str">
        <f>IFERROR(__xludf.DUMMYFUNCTION("REGEXREPLACE(C14531,""-\d+(.*)|--\d+(.*)"","""")"),"LAVAU")</f>
        <v>LAVAU</v>
      </c>
      <c r="E14531" s="38" t="s">
        <v>147</v>
      </c>
      <c r="F14531" s="38" t="s">
        <v>130</v>
      </c>
      <c r="G14531" s="49" t="str">
        <f t="shared" si="1"/>
        <v>10150</v>
      </c>
      <c r="H14531" s="49">
        <f t="shared" si="2"/>
        <v>10191</v>
      </c>
    </row>
    <row r="14532">
      <c r="A14532" s="48" t="s">
        <v>18845</v>
      </c>
      <c r="B14532" s="38">
        <v>39228.0</v>
      </c>
      <c r="C14532" s="38" t="s">
        <v>18846</v>
      </c>
      <c r="D14532" s="38" t="str">
        <f>IFERROR(__xludf.DUMMYFUNCTION("REGEXREPLACE(C14532,""-\d+(.*)|--\d+(.*)"","""")"),"FONCINE-LE-HAUT")</f>
        <v>FONCINE-LE-HAUT</v>
      </c>
      <c r="E14532" s="38" t="s">
        <v>400</v>
      </c>
      <c r="F14532" s="38" t="s">
        <v>214</v>
      </c>
      <c r="G14532" s="49" t="str">
        <f t="shared" si="1"/>
        <v>39460</v>
      </c>
      <c r="H14532" s="49">
        <f t="shared" si="2"/>
        <v>39228</v>
      </c>
    </row>
    <row r="14533">
      <c r="A14533" s="48" t="s">
        <v>18847</v>
      </c>
      <c r="B14533" s="38">
        <v>56212.0</v>
      </c>
      <c r="C14533" s="38" t="s">
        <v>18848</v>
      </c>
      <c r="D14533" s="38" t="str">
        <f>IFERROR(__xludf.DUMMYFUNCTION("REGEXREPLACE(C14533,""-\d+(.*)|--\d+(.*)"","""")"),"SAINT-DOLAY")</f>
        <v>SAINT-DOLAY</v>
      </c>
      <c r="E14533" s="38" t="s">
        <v>173</v>
      </c>
      <c r="F14533" s="38" t="s">
        <v>90</v>
      </c>
      <c r="G14533" s="49" t="str">
        <f t="shared" si="1"/>
        <v>56130</v>
      </c>
      <c r="H14533" s="49">
        <f t="shared" si="2"/>
        <v>56212</v>
      </c>
    </row>
    <row r="14534">
      <c r="A14534" s="48" t="s">
        <v>13395</v>
      </c>
      <c r="B14534" s="38">
        <v>57199.0</v>
      </c>
      <c r="C14534" s="38" t="s">
        <v>18849</v>
      </c>
      <c r="D14534" s="38" t="str">
        <f>IFERROR(__xludf.DUMMYFUNCTION("REGEXREPLACE(C14534,""-\d+(.*)|--\d+(.*)"","""")"),"ESCHERANGE")</f>
        <v>ESCHERANGE</v>
      </c>
      <c r="E14534" s="38" t="s">
        <v>303</v>
      </c>
      <c r="F14534" s="38" t="s">
        <v>195</v>
      </c>
      <c r="G14534" s="49" t="str">
        <f t="shared" si="1"/>
        <v>57330</v>
      </c>
      <c r="H14534" s="49">
        <f t="shared" si="2"/>
        <v>57199</v>
      </c>
    </row>
    <row r="14535">
      <c r="A14535" s="48" t="s">
        <v>6521</v>
      </c>
      <c r="B14535" s="38">
        <v>34006.0</v>
      </c>
      <c r="C14535" s="38" t="s">
        <v>16370</v>
      </c>
      <c r="D14535" s="38" t="str">
        <f>IFERROR(__xludf.DUMMYFUNCTION("REGEXREPLACE(C14535,""-\d+(.*)|--\d+(.*)"","""")"),"AIGNE")</f>
        <v>AIGNE</v>
      </c>
      <c r="E14535" s="38" t="s">
        <v>118</v>
      </c>
      <c r="F14535" s="38" t="s">
        <v>119</v>
      </c>
      <c r="G14535" s="49" t="str">
        <f t="shared" si="1"/>
        <v>34210</v>
      </c>
      <c r="H14535" s="49">
        <f t="shared" si="2"/>
        <v>34006</v>
      </c>
    </row>
    <row r="14536">
      <c r="A14536" s="48" t="s">
        <v>4900</v>
      </c>
      <c r="B14536" s="38">
        <v>33259.0</v>
      </c>
      <c r="C14536" s="38" t="s">
        <v>18850</v>
      </c>
      <c r="D14536" s="38" t="str">
        <f>IFERROR(__xludf.DUMMYFUNCTION("REGEXREPLACE(C14536,""-\d+(.*)|--\d+(.*)"","""")"),"LUGON-ET-L'ILE-DU-CARNAY")</f>
        <v>LUGON-ET-L'ILE-DU-CARNAY</v>
      </c>
      <c r="E14536" s="38" t="s">
        <v>462</v>
      </c>
      <c r="F14536" s="38" t="s">
        <v>252</v>
      </c>
      <c r="G14536" s="49" t="str">
        <f t="shared" si="1"/>
        <v>33240</v>
      </c>
      <c r="H14536" s="49">
        <f t="shared" si="2"/>
        <v>33259</v>
      </c>
    </row>
    <row r="14537">
      <c r="A14537" s="48" t="s">
        <v>10324</v>
      </c>
      <c r="B14537" s="38">
        <v>54515.0</v>
      </c>
      <c r="C14537" s="38" t="s">
        <v>18851</v>
      </c>
      <c r="D14537" s="38" t="str">
        <f>IFERROR(__xludf.DUMMYFUNCTION("REGEXREPLACE(C14537,""-\d+(.*)|--\d+(.*)"","""")"),"THELOD")</f>
        <v>THELOD</v>
      </c>
      <c r="E14537" s="38" t="s">
        <v>548</v>
      </c>
      <c r="F14537" s="38" t="s">
        <v>195</v>
      </c>
      <c r="G14537" s="49" t="str">
        <f t="shared" si="1"/>
        <v>54330</v>
      </c>
      <c r="H14537" s="49">
        <f t="shared" si="2"/>
        <v>54515</v>
      </c>
    </row>
    <row r="14538">
      <c r="A14538" s="48" t="s">
        <v>2575</v>
      </c>
      <c r="B14538" s="38">
        <v>91433.0</v>
      </c>
      <c r="C14538" s="38" t="s">
        <v>18852</v>
      </c>
      <c r="D14538" s="38" t="str">
        <f>IFERROR(__xludf.DUMMYFUNCTION("REGEXREPLACE(C14538,""-\d+(.*)|--\d+(.*)"","""")"),"MORIGNY-CHAMPIGNY")</f>
        <v>MORIGNY-CHAMPIGNY</v>
      </c>
      <c r="E14538" s="38" t="s">
        <v>756</v>
      </c>
      <c r="F14538" s="38" t="s">
        <v>245</v>
      </c>
      <c r="G14538" s="49" t="str">
        <f t="shared" si="1"/>
        <v>91150</v>
      </c>
      <c r="H14538" s="49">
        <f t="shared" si="2"/>
        <v>91433</v>
      </c>
    </row>
    <row r="14539">
      <c r="A14539" s="48" t="s">
        <v>15238</v>
      </c>
      <c r="B14539" s="38">
        <v>7200.0</v>
      </c>
      <c r="C14539" s="38" t="s">
        <v>18853</v>
      </c>
      <c r="D14539" s="38" t="str">
        <f>IFERROR(__xludf.DUMMYFUNCTION("REGEXREPLACE(C14539,""-\d+(.*)|--\d+(.*)"","""")"),"LE ROUX")</f>
        <v>LE ROUX</v>
      </c>
      <c r="E14539" s="38" t="s">
        <v>144</v>
      </c>
      <c r="F14539" s="38" t="s">
        <v>102</v>
      </c>
      <c r="G14539" s="49" t="str">
        <f t="shared" si="1"/>
        <v>07560</v>
      </c>
      <c r="H14539" s="49" t="str">
        <f t="shared" si="2"/>
        <v>07200</v>
      </c>
    </row>
    <row r="14540">
      <c r="A14540" s="48" t="s">
        <v>1114</v>
      </c>
      <c r="B14540" s="38">
        <v>2145.0</v>
      </c>
      <c r="C14540" s="38" t="s">
        <v>2371</v>
      </c>
      <c r="D14540" s="38" t="str">
        <f>IFERROR(__xludf.DUMMYFUNCTION("REGEXREPLACE(C14540,""-\d+(.*)|--\d+(.*)"","""")"),"CAUMONT")</f>
        <v>CAUMONT</v>
      </c>
      <c r="E14540" s="38" t="s">
        <v>191</v>
      </c>
      <c r="F14540" s="38" t="s">
        <v>113</v>
      </c>
      <c r="G14540" s="49" t="str">
        <f t="shared" si="1"/>
        <v>02300</v>
      </c>
      <c r="H14540" s="49" t="str">
        <f t="shared" si="2"/>
        <v>02145</v>
      </c>
    </row>
    <row r="14541">
      <c r="A14541" s="48" t="s">
        <v>922</v>
      </c>
      <c r="B14541" s="38">
        <v>76332.0</v>
      </c>
      <c r="C14541" s="38" t="s">
        <v>18854</v>
      </c>
      <c r="D14541" s="38" t="str">
        <f>IFERROR(__xludf.DUMMYFUNCTION("REGEXREPLACE(C14541,""-\d+(.*)|--\d+(.*)"","""")"),"GRUMESNIL")</f>
        <v>GRUMESNIL</v>
      </c>
      <c r="E14541" s="38" t="s">
        <v>133</v>
      </c>
      <c r="F14541" s="38" t="s">
        <v>134</v>
      </c>
      <c r="G14541" s="49" t="str">
        <f t="shared" si="1"/>
        <v>76440</v>
      </c>
      <c r="H14541" s="49">
        <f t="shared" si="2"/>
        <v>76332</v>
      </c>
    </row>
    <row r="14542">
      <c r="A14542" s="48" t="s">
        <v>18855</v>
      </c>
      <c r="B14542" s="38">
        <v>86224.0</v>
      </c>
      <c r="C14542" s="38" t="s">
        <v>18856</v>
      </c>
      <c r="D14542" s="38" t="str">
        <f>IFERROR(__xludf.DUMMYFUNCTION("REGEXREPLACE(C14542,""-\d+(.*)|--\d+(.*)"","""")"),"SAINT-GERVAIS-LES-TROIS-CLOCHERS")</f>
        <v>SAINT-GERVAIS-LES-TROIS-CLOCHERS</v>
      </c>
      <c r="E14542" s="38" t="s">
        <v>529</v>
      </c>
      <c r="F14542" s="38" t="s">
        <v>338</v>
      </c>
      <c r="G14542" s="49" t="str">
        <f t="shared" si="1"/>
        <v>86230</v>
      </c>
      <c r="H14542" s="49">
        <f t="shared" si="2"/>
        <v>86224</v>
      </c>
    </row>
    <row r="14543">
      <c r="A14543" s="48" t="s">
        <v>3161</v>
      </c>
      <c r="B14543" s="38">
        <v>70430.0</v>
      </c>
      <c r="C14543" s="38" t="s">
        <v>18857</v>
      </c>
      <c r="D14543" s="38" t="str">
        <f>IFERROR(__xludf.DUMMYFUNCTION("REGEXREPLACE(C14543,""-\d+(.*)|--\d+(.*)"","""")"),"LA QUARTE")</f>
        <v>LA QUARTE</v>
      </c>
      <c r="E14543" s="38" t="s">
        <v>956</v>
      </c>
      <c r="F14543" s="38" t="s">
        <v>214</v>
      </c>
      <c r="G14543" s="49" t="str">
        <f t="shared" si="1"/>
        <v>70120</v>
      </c>
      <c r="H14543" s="49">
        <f t="shared" si="2"/>
        <v>70430</v>
      </c>
    </row>
    <row r="14544">
      <c r="A14544" s="48" t="s">
        <v>1819</v>
      </c>
      <c r="B14544" s="38">
        <v>16329.0</v>
      </c>
      <c r="C14544" s="38" t="s">
        <v>18858</v>
      </c>
      <c r="D14544" s="38" t="str">
        <f>IFERROR(__xludf.DUMMYFUNCTION("REGEXREPLACE(C14544,""-\d+(.*)|--\d+(.*)"","""")"),"SAINT-LAURENT-DE-CERIS")</f>
        <v>SAINT-LAURENT-DE-CERIS</v>
      </c>
      <c r="E14544" s="38" t="s">
        <v>429</v>
      </c>
      <c r="F14544" s="38" t="s">
        <v>338</v>
      </c>
      <c r="G14544" s="49" t="str">
        <f t="shared" si="1"/>
        <v>16450</v>
      </c>
      <c r="H14544" s="49">
        <f t="shared" si="2"/>
        <v>16329</v>
      </c>
    </row>
    <row r="14545">
      <c r="A14545" s="48" t="s">
        <v>13344</v>
      </c>
      <c r="B14545" s="38">
        <v>37245.0</v>
      </c>
      <c r="C14545" s="38" t="s">
        <v>18859</v>
      </c>
      <c r="D14545" s="38" t="str">
        <f>IFERROR(__xludf.DUMMYFUNCTION("REGEXREPLACE(C14545,""-\d+(.*)|--\d+(.*)"","""")"),"SEMBLANCAY")</f>
        <v>SEMBLANCAY</v>
      </c>
      <c r="E14545" s="38" t="s">
        <v>205</v>
      </c>
      <c r="F14545" s="38" t="s">
        <v>123</v>
      </c>
      <c r="G14545" s="49" t="str">
        <f t="shared" si="1"/>
        <v>37360</v>
      </c>
      <c r="H14545" s="49">
        <f t="shared" si="2"/>
        <v>37245</v>
      </c>
    </row>
    <row r="14546">
      <c r="A14546" s="48" t="s">
        <v>12662</v>
      </c>
      <c r="B14546" s="38">
        <v>85105.0</v>
      </c>
      <c r="C14546" s="38" t="s">
        <v>18860</v>
      </c>
      <c r="D14546" s="38" t="str">
        <f>IFERROR(__xludf.DUMMYFUNCTION("REGEXREPLACE(C14546,""-\d+(.*)|--\d+(.*)"","""")"),"LE GUE-DE-VELLUIRE")</f>
        <v>LE GUE-DE-VELLUIRE</v>
      </c>
      <c r="E14546" s="38" t="s">
        <v>179</v>
      </c>
      <c r="F14546" s="38" t="s">
        <v>180</v>
      </c>
      <c r="G14546" s="49" t="str">
        <f t="shared" si="1"/>
        <v>85770</v>
      </c>
      <c r="H14546" s="49">
        <f t="shared" si="2"/>
        <v>85105</v>
      </c>
    </row>
    <row r="14547">
      <c r="A14547" s="48" t="s">
        <v>4088</v>
      </c>
      <c r="B14547" s="38">
        <v>39322.0</v>
      </c>
      <c r="C14547" s="38" t="s">
        <v>18861</v>
      </c>
      <c r="D14547" s="38" t="str">
        <f>IFERROR(__xludf.DUMMYFUNCTION("REGEXREPLACE(C14547,""-\d+(.*)|--\d+(.*)"","""")"),"MENETRUX-EN-JOUX")</f>
        <v>MENETRUX-EN-JOUX</v>
      </c>
      <c r="E14547" s="38" t="s">
        <v>400</v>
      </c>
      <c r="F14547" s="38" t="s">
        <v>214</v>
      </c>
      <c r="G14547" s="49" t="str">
        <f t="shared" si="1"/>
        <v>39130</v>
      </c>
      <c r="H14547" s="49">
        <f t="shared" si="2"/>
        <v>39322</v>
      </c>
    </row>
    <row r="14548">
      <c r="A14548" s="48" t="s">
        <v>4125</v>
      </c>
      <c r="B14548" s="38">
        <v>19050.0</v>
      </c>
      <c r="C14548" s="38" t="s">
        <v>18862</v>
      </c>
      <c r="D14548" s="38" t="str">
        <f>IFERROR(__xludf.DUMMYFUNCTION("REGEXREPLACE(C14548,""-\d+(.*)|--\d+(.*)"","""")"),"CHAUFFOUR-SUR-VELL")</f>
        <v>CHAUFFOUR-SUR-VELL</v>
      </c>
      <c r="E14548" s="38" t="s">
        <v>271</v>
      </c>
      <c r="F14548" s="38" t="s">
        <v>98</v>
      </c>
      <c r="G14548" s="49" t="str">
        <f t="shared" si="1"/>
        <v>19500</v>
      </c>
      <c r="H14548" s="49">
        <f t="shared" si="2"/>
        <v>19050</v>
      </c>
    </row>
    <row r="14549">
      <c r="A14549" s="48" t="s">
        <v>1695</v>
      </c>
      <c r="B14549" s="38">
        <v>80560.0</v>
      </c>
      <c r="C14549" s="38" t="s">
        <v>18863</v>
      </c>
      <c r="D14549" s="38" t="str">
        <f>IFERROR(__xludf.DUMMYFUNCTION("REGEXREPLACE(C14549,""-\d+(.*)|--\d+(.*)"","""")"),"MONTAUBAN-DE-PICARDIE")</f>
        <v>MONTAUBAN-DE-PICARDIE</v>
      </c>
      <c r="E14549" s="38" t="s">
        <v>224</v>
      </c>
      <c r="F14549" s="38" t="s">
        <v>113</v>
      </c>
      <c r="G14549" s="49" t="str">
        <f t="shared" si="1"/>
        <v>80300</v>
      </c>
      <c r="H14549" s="49">
        <f t="shared" si="2"/>
        <v>80560</v>
      </c>
    </row>
    <row r="14550">
      <c r="A14550" s="48" t="s">
        <v>630</v>
      </c>
      <c r="B14550" s="38">
        <v>15100.0</v>
      </c>
      <c r="C14550" s="38" t="s">
        <v>18864</v>
      </c>
      <c r="D14550" s="38" t="str">
        <f>IFERROR(__xludf.DUMMYFUNCTION("REGEXREPLACE(C14550,""-\d+(.*)|--\d+(.*)"","""")"),"LAVEISSENET")</f>
        <v>LAVEISSENET</v>
      </c>
      <c r="E14550" s="38" t="s">
        <v>632</v>
      </c>
      <c r="F14550" s="38" t="s">
        <v>161</v>
      </c>
      <c r="G14550" s="49" t="str">
        <f t="shared" si="1"/>
        <v>15300</v>
      </c>
      <c r="H14550" s="49">
        <f t="shared" si="2"/>
        <v>15100</v>
      </c>
    </row>
    <row r="14551">
      <c r="A14551" s="48" t="s">
        <v>721</v>
      </c>
      <c r="B14551" s="38">
        <v>14711.0</v>
      </c>
      <c r="C14551" s="38" t="s">
        <v>18865</v>
      </c>
      <c r="D14551" s="38" t="str">
        <f>IFERROR(__xludf.DUMMYFUNCTION("REGEXREPLACE(C14551,""-\d+(.*)|--\d+(.*)"","""")"),"TREVIERES")</f>
        <v>TREVIERES</v>
      </c>
      <c r="E14551" s="38" t="s">
        <v>137</v>
      </c>
      <c r="F14551" s="38" t="s">
        <v>138</v>
      </c>
      <c r="G14551" s="49" t="str">
        <f t="shared" si="1"/>
        <v>14710</v>
      </c>
      <c r="H14551" s="49">
        <f t="shared" si="2"/>
        <v>14711</v>
      </c>
    </row>
    <row r="14552">
      <c r="A14552" s="48" t="s">
        <v>4945</v>
      </c>
      <c r="B14552" s="38" t="s">
        <v>18866</v>
      </c>
      <c r="C14552" s="38" t="s">
        <v>18867</v>
      </c>
      <c r="D14552" s="38" t="str">
        <f>IFERROR(__xludf.DUMMYFUNCTION("REGEXREPLACE(C14552,""-\d+(.*)|--\d+(.*)"","""")"),"GROSSA")</f>
        <v>GROSSA</v>
      </c>
      <c r="E14552" s="38" t="s">
        <v>606</v>
      </c>
      <c r="F14552" s="38" t="s">
        <v>607</v>
      </c>
      <c r="G14552" s="49" t="str">
        <f t="shared" si="1"/>
        <v>20100</v>
      </c>
      <c r="H14552" s="49" t="str">
        <f t="shared" si="2"/>
        <v>2A129</v>
      </c>
    </row>
    <row r="14553">
      <c r="A14553" s="48" t="s">
        <v>8575</v>
      </c>
      <c r="B14553" s="38">
        <v>29037.0</v>
      </c>
      <c r="C14553" s="38" t="s">
        <v>18868</v>
      </c>
      <c r="D14553" s="38" t="str">
        <f>IFERROR(__xludf.DUMMYFUNCTION("REGEXREPLACE(C14553,""-\d+(.*)|--\d+(.*)"","""")"),"COMBRIT")</f>
        <v>COMBRIT</v>
      </c>
      <c r="E14553" s="38" t="s">
        <v>176</v>
      </c>
      <c r="F14553" s="38" t="s">
        <v>90</v>
      </c>
      <c r="G14553" s="49" t="str">
        <f t="shared" si="1"/>
        <v>29120</v>
      </c>
      <c r="H14553" s="49">
        <f t="shared" si="2"/>
        <v>29037</v>
      </c>
    </row>
    <row r="14554">
      <c r="A14554" s="48" t="s">
        <v>3681</v>
      </c>
      <c r="B14554" s="38">
        <v>39306.0</v>
      </c>
      <c r="C14554" s="38" t="s">
        <v>18869</v>
      </c>
      <c r="D14554" s="38" t="str">
        <f>IFERROR(__xludf.DUMMYFUNCTION("REGEXREPLACE(C14554,""-\d+(.*)|--\d+(.*)"","""")"),"MACORNAY")</f>
        <v>MACORNAY</v>
      </c>
      <c r="E14554" s="38" t="s">
        <v>400</v>
      </c>
      <c r="F14554" s="38" t="s">
        <v>214</v>
      </c>
      <c r="G14554" s="49" t="str">
        <f t="shared" si="1"/>
        <v>39570</v>
      </c>
      <c r="H14554" s="49">
        <f t="shared" si="2"/>
        <v>39306</v>
      </c>
    </row>
    <row r="14555">
      <c r="A14555" s="48" t="s">
        <v>1246</v>
      </c>
      <c r="B14555" s="38">
        <v>62618.0</v>
      </c>
      <c r="C14555" s="38" t="s">
        <v>18870</v>
      </c>
      <c r="D14555" s="38" t="str">
        <f>IFERROR(__xludf.DUMMYFUNCTION("REGEXREPLACE(C14555,""-\d+(.*)|--\d+(.*)"","""")"),"NORDAUSQUES")</f>
        <v>NORDAUSQUES</v>
      </c>
      <c r="E14555" s="38" t="s">
        <v>109</v>
      </c>
      <c r="F14555" s="38" t="s">
        <v>86</v>
      </c>
      <c r="G14555" s="49" t="str">
        <f t="shared" si="1"/>
        <v>62890</v>
      </c>
      <c r="H14555" s="49">
        <f t="shared" si="2"/>
        <v>62618</v>
      </c>
    </row>
    <row r="14556">
      <c r="A14556" s="48" t="s">
        <v>18871</v>
      </c>
      <c r="B14556" s="38">
        <v>42246.0</v>
      </c>
      <c r="C14556" s="38" t="s">
        <v>18872</v>
      </c>
      <c r="D14556" s="38" t="str">
        <f>IFERROR(__xludf.DUMMYFUNCTION("REGEXREPLACE(C14556,""-\d+(.*)|--\d+(.*)"","""")"),"SAINT-JULIEN-MOLIN-MOLETTE")</f>
        <v>SAINT-JULIEN-MOLIN-MOLETTE</v>
      </c>
      <c r="E14556" s="38" t="s">
        <v>166</v>
      </c>
      <c r="F14556" s="38" t="s">
        <v>102</v>
      </c>
      <c r="G14556" s="49" t="str">
        <f t="shared" si="1"/>
        <v>42220</v>
      </c>
      <c r="H14556" s="49">
        <f t="shared" si="2"/>
        <v>42246</v>
      </c>
    </row>
    <row r="14557">
      <c r="A14557" s="48" t="s">
        <v>2384</v>
      </c>
      <c r="B14557" s="38">
        <v>21646.0</v>
      </c>
      <c r="C14557" s="38" t="s">
        <v>18873</v>
      </c>
      <c r="D14557" s="38" t="str">
        <f>IFERROR(__xludf.DUMMYFUNCTION("REGEXREPLACE(C14557,""-\d+(.*)|--\d+(.*)"","""")"),"TROUHAUT")</f>
        <v>TROUHAUT</v>
      </c>
      <c r="E14557" s="38" t="s">
        <v>105</v>
      </c>
      <c r="F14557" s="38" t="s">
        <v>106</v>
      </c>
      <c r="G14557" s="49" t="str">
        <f t="shared" si="1"/>
        <v>21440</v>
      </c>
      <c r="H14557" s="49">
        <f t="shared" si="2"/>
        <v>21646</v>
      </c>
    </row>
    <row r="14558">
      <c r="A14558" s="48" t="s">
        <v>4015</v>
      </c>
      <c r="B14558" s="38">
        <v>68041.0</v>
      </c>
      <c r="C14558" s="38" t="s">
        <v>18874</v>
      </c>
      <c r="D14558" s="38" t="str">
        <f>IFERROR(__xludf.DUMMYFUNCTION("REGEXREPLACE(C14558,""-\d+(.*)|--\d+(.*)"","""")"),"BLODELSHEIM")</f>
        <v>BLODELSHEIM</v>
      </c>
      <c r="E14558" s="38" t="s">
        <v>150</v>
      </c>
      <c r="F14558" s="38" t="s">
        <v>151</v>
      </c>
      <c r="G14558" s="49" t="str">
        <f t="shared" si="1"/>
        <v>68740</v>
      </c>
      <c r="H14558" s="49">
        <f t="shared" si="2"/>
        <v>68041</v>
      </c>
    </row>
    <row r="14559">
      <c r="A14559" s="48" t="s">
        <v>5866</v>
      </c>
      <c r="B14559" s="38">
        <v>33185.0</v>
      </c>
      <c r="C14559" s="38" t="s">
        <v>18875</v>
      </c>
      <c r="D14559" s="38" t="str">
        <f>IFERROR(__xludf.DUMMYFUNCTION("REGEXREPLACE(C14559,""-\d+(.*)|--\d+(.*)"","""")"),"GENISSAC")</f>
        <v>GENISSAC</v>
      </c>
      <c r="E14559" s="38" t="s">
        <v>462</v>
      </c>
      <c r="F14559" s="38" t="s">
        <v>252</v>
      </c>
      <c r="G14559" s="49" t="str">
        <f t="shared" si="1"/>
        <v>33420</v>
      </c>
      <c r="H14559" s="49">
        <f t="shared" si="2"/>
        <v>33185</v>
      </c>
    </row>
    <row r="14560">
      <c r="A14560" s="48" t="s">
        <v>18876</v>
      </c>
      <c r="B14560" s="38">
        <v>22085.0</v>
      </c>
      <c r="C14560" s="38" t="s">
        <v>18877</v>
      </c>
      <c r="D14560" s="38" t="str">
        <f>IFERROR(__xludf.DUMMYFUNCTION("REGEXREPLACE(C14560,""-\d+(.*)|--\d+(.*)"","""")"),"KERBORS")</f>
        <v>KERBORS</v>
      </c>
      <c r="E14560" s="38" t="s">
        <v>89</v>
      </c>
      <c r="F14560" s="38" t="s">
        <v>90</v>
      </c>
      <c r="G14560" s="49" t="str">
        <f t="shared" si="1"/>
        <v>22610</v>
      </c>
      <c r="H14560" s="49">
        <f t="shared" si="2"/>
        <v>22085</v>
      </c>
    </row>
    <row r="14561">
      <c r="A14561" s="48" t="s">
        <v>18878</v>
      </c>
      <c r="B14561" s="38">
        <v>14046.0</v>
      </c>
      <c r="C14561" s="38" t="s">
        <v>18879</v>
      </c>
      <c r="D14561" s="38" t="str">
        <f>IFERROR(__xludf.DUMMYFUNCTION("REGEXREPLACE(C14561,""-\d+(.*)|--\d+(.*)"","""")"),"BAVENT")</f>
        <v>BAVENT</v>
      </c>
      <c r="E14561" s="38" t="s">
        <v>137</v>
      </c>
      <c r="F14561" s="38" t="s">
        <v>138</v>
      </c>
      <c r="G14561" s="49" t="str">
        <f t="shared" si="1"/>
        <v>14860</v>
      </c>
      <c r="H14561" s="49">
        <f t="shared" si="2"/>
        <v>14046</v>
      </c>
    </row>
    <row r="14562">
      <c r="A14562" s="48" t="s">
        <v>262</v>
      </c>
      <c r="B14562" s="38">
        <v>9294.0</v>
      </c>
      <c r="C14562" s="38" t="s">
        <v>18880</v>
      </c>
      <c r="D14562" s="38" t="str">
        <f>IFERROR(__xludf.DUMMYFUNCTION("REGEXREPLACE(C14562,""-\d+(.*)|--\d+(.*)"","""")"),"SIEURAS")</f>
        <v>SIEURAS</v>
      </c>
      <c r="E14562" s="38" t="s">
        <v>238</v>
      </c>
      <c r="F14562" s="38" t="s">
        <v>94</v>
      </c>
      <c r="G14562" s="49" t="str">
        <f t="shared" si="1"/>
        <v>09130</v>
      </c>
      <c r="H14562" s="49" t="str">
        <f t="shared" si="2"/>
        <v>09294</v>
      </c>
    </row>
    <row r="14563">
      <c r="A14563" s="48" t="s">
        <v>3983</v>
      </c>
      <c r="B14563" s="38">
        <v>67161.0</v>
      </c>
      <c r="C14563" s="38" t="s">
        <v>18881</v>
      </c>
      <c r="D14563" s="38" t="str">
        <f>IFERROR(__xludf.DUMMYFUNCTION("REGEXREPLACE(C14563,""-\d+(.*)|--\d+(.*)"","""")"),"GOTTENHOUSE")</f>
        <v>GOTTENHOUSE</v>
      </c>
      <c r="E14563" s="38" t="s">
        <v>210</v>
      </c>
      <c r="F14563" s="38" t="s">
        <v>151</v>
      </c>
      <c r="G14563" s="49" t="str">
        <f t="shared" si="1"/>
        <v>67700</v>
      </c>
      <c r="H14563" s="49">
        <f t="shared" si="2"/>
        <v>67161</v>
      </c>
    </row>
    <row r="14564">
      <c r="A14564" s="48" t="s">
        <v>215</v>
      </c>
      <c r="B14564" s="38">
        <v>2556.0</v>
      </c>
      <c r="C14564" s="38" t="s">
        <v>18882</v>
      </c>
      <c r="D14564" s="38" t="str">
        <f>IFERROR(__xludf.DUMMYFUNCTION("REGEXREPLACE(C14564,""-\d+(.*)|--\d+(.*)"","""")"),"NOIRCOURT")</f>
        <v>NOIRCOURT</v>
      </c>
      <c r="E14564" s="38" t="s">
        <v>191</v>
      </c>
      <c r="F14564" s="38" t="s">
        <v>113</v>
      </c>
      <c r="G14564" s="49" t="str">
        <f t="shared" si="1"/>
        <v>02340</v>
      </c>
      <c r="H14564" s="49" t="str">
        <f t="shared" si="2"/>
        <v>02556</v>
      </c>
    </row>
    <row r="14565">
      <c r="A14565" s="48" t="s">
        <v>2506</v>
      </c>
      <c r="B14565" s="38">
        <v>80570.0</v>
      </c>
      <c r="C14565" s="38" t="s">
        <v>18883</v>
      </c>
      <c r="D14565" s="38" t="str">
        <f>IFERROR(__xludf.DUMMYFUNCTION("REGEXREPLACE(C14565,""-\d+(.*)|--\d+(.*)"","""")"),"MOREUIL")</f>
        <v>MOREUIL</v>
      </c>
      <c r="E14565" s="38" t="s">
        <v>224</v>
      </c>
      <c r="F14565" s="38" t="s">
        <v>113</v>
      </c>
      <c r="G14565" s="49" t="str">
        <f t="shared" si="1"/>
        <v>80110</v>
      </c>
      <c r="H14565" s="49">
        <f t="shared" si="2"/>
        <v>80570</v>
      </c>
    </row>
    <row r="14566">
      <c r="A14566" s="48" t="s">
        <v>11861</v>
      </c>
      <c r="B14566" s="38">
        <v>30297.0</v>
      </c>
      <c r="C14566" s="38" t="s">
        <v>18884</v>
      </c>
      <c r="D14566" s="38" t="str">
        <f>IFERROR(__xludf.DUMMYFUNCTION("REGEXREPLACE(C14566,""-\d+(.*)|--\d+(.*)"","""")"),"SAINT-SAUVEUR-CAMPRIEU")</f>
        <v>SAINT-SAUVEUR-CAMPRIEU</v>
      </c>
      <c r="E14566" s="38" t="s">
        <v>526</v>
      </c>
      <c r="F14566" s="38" t="s">
        <v>119</v>
      </c>
      <c r="G14566" s="49" t="str">
        <f t="shared" si="1"/>
        <v>30750</v>
      </c>
      <c r="H14566" s="49">
        <f t="shared" si="2"/>
        <v>30297</v>
      </c>
    </row>
    <row r="14567">
      <c r="A14567" s="48" t="s">
        <v>3727</v>
      </c>
      <c r="B14567" s="38">
        <v>59613.0</v>
      </c>
      <c r="C14567" s="38" t="s">
        <v>17755</v>
      </c>
      <c r="D14567" s="38" t="str">
        <f>IFERROR(__xludf.DUMMYFUNCTION("REGEXREPLACE(C14567,""-\d+(.*)|--\d+(.*)"","""")"),"VICQ")</f>
        <v>VICQ</v>
      </c>
      <c r="E14567" s="38" t="s">
        <v>85</v>
      </c>
      <c r="F14567" s="38" t="s">
        <v>86</v>
      </c>
      <c r="G14567" s="49" t="str">
        <f t="shared" si="1"/>
        <v>59970</v>
      </c>
      <c r="H14567" s="49">
        <f t="shared" si="2"/>
        <v>59613</v>
      </c>
    </row>
    <row r="14568">
      <c r="A14568" s="48" t="s">
        <v>6844</v>
      </c>
      <c r="B14568" s="38">
        <v>12185.0</v>
      </c>
      <c r="C14568" s="38" t="s">
        <v>18885</v>
      </c>
      <c r="D14568" s="38" t="str">
        <f>IFERROR(__xludf.DUMMYFUNCTION("REGEXREPLACE(C14568,""-\d+(.*)|--\d+(.*)"","""")"),"PONT-DE-SALARS")</f>
        <v>PONT-DE-SALARS</v>
      </c>
      <c r="E14568" s="38" t="s">
        <v>465</v>
      </c>
      <c r="F14568" s="38" t="s">
        <v>94</v>
      </c>
      <c r="G14568" s="49" t="str">
        <f t="shared" si="1"/>
        <v>12290</v>
      </c>
      <c r="H14568" s="49">
        <f t="shared" si="2"/>
        <v>12185</v>
      </c>
    </row>
    <row r="14569">
      <c r="A14569" s="48" t="s">
        <v>2116</v>
      </c>
      <c r="B14569" s="38">
        <v>26267.0</v>
      </c>
      <c r="C14569" s="38" t="s">
        <v>18886</v>
      </c>
      <c r="D14569" s="38" t="str">
        <f>IFERROR(__xludf.DUMMYFUNCTION("REGEXREPLACE(C14569,""-\d+(.*)|--\d+(.*)"","""")"),"RIOMS")</f>
        <v>RIOMS</v>
      </c>
      <c r="E14569" s="38" t="s">
        <v>126</v>
      </c>
      <c r="F14569" s="38" t="s">
        <v>102</v>
      </c>
      <c r="G14569" s="49" t="str">
        <f t="shared" si="1"/>
        <v>26170</v>
      </c>
      <c r="H14569" s="49">
        <f t="shared" si="2"/>
        <v>26267</v>
      </c>
    </row>
    <row r="14570">
      <c r="A14570" s="48" t="s">
        <v>266</v>
      </c>
      <c r="B14570" s="38">
        <v>64388.0</v>
      </c>
      <c r="C14570" s="38" t="s">
        <v>18887</v>
      </c>
      <c r="D14570" s="38" t="str">
        <f>IFERROR(__xludf.DUMMYFUNCTION("REGEXREPLACE(C14570,""-\d+(.*)|--\d+(.*)"","""")"),"MOMY")</f>
        <v>MOMY</v>
      </c>
      <c r="E14570" s="38" t="s">
        <v>268</v>
      </c>
      <c r="F14570" s="38" t="s">
        <v>252</v>
      </c>
      <c r="G14570" s="49" t="str">
        <f t="shared" si="1"/>
        <v>64350</v>
      </c>
      <c r="H14570" s="49">
        <f t="shared" si="2"/>
        <v>64388</v>
      </c>
    </row>
    <row r="14571">
      <c r="A14571" s="48" t="s">
        <v>3469</v>
      </c>
      <c r="B14571" s="38">
        <v>74074.0</v>
      </c>
      <c r="C14571" s="38" t="s">
        <v>18888</v>
      </c>
      <c r="D14571" s="38" t="str">
        <f>IFERROR(__xludf.DUMMYFUNCTION("REGEXREPLACE(C14571,""-\d+(.*)|--\d+(.*)"","""")"),"CHEVRIER")</f>
        <v>CHEVRIER</v>
      </c>
      <c r="E14571" s="38" t="s">
        <v>319</v>
      </c>
      <c r="F14571" s="38" t="s">
        <v>102</v>
      </c>
      <c r="G14571" s="49" t="str">
        <f t="shared" si="1"/>
        <v>74520</v>
      </c>
      <c r="H14571" s="49">
        <f t="shared" si="2"/>
        <v>74074</v>
      </c>
    </row>
    <row r="14572">
      <c r="A14572" s="48" t="s">
        <v>1212</v>
      </c>
      <c r="B14572" s="38">
        <v>11267.0</v>
      </c>
      <c r="C14572" s="38" t="s">
        <v>18889</v>
      </c>
      <c r="D14572" s="38" t="str">
        <f>IFERROR(__xludf.DUMMYFUNCTION("REGEXREPLACE(C14572,""-\d+(.*)|--\d+(.*)"","""")"),"ORNAISONS")</f>
        <v>ORNAISONS</v>
      </c>
      <c r="E14572" s="38" t="s">
        <v>278</v>
      </c>
      <c r="F14572" s="38" t="s">
        <v>119</v>
      </c>
      <c r="G14572" s="49" t="str">
        <f t="shared" si="1"/>
        <v>11200</v>
      </c>
      <c r="H14572" s="49">
        <f t="shared" si="2"/>
        <v>11267</v>
      </c>
    </row>
    <row r="14573">
      <c r="A14573" s="48" t="s">
        <v>18890</v>
      </c>
      <c r="B14573" s="38">
        <v>64161.0</v>
      </c>
      <c r="C14573" s="38" t="s">
        <v>18891</v>
      </c>
      <c r="D14573" s="38" t="str">
        <f>IFERROR(__xludf.DUMMYFUNCTION("REGEXREPLACE(C14573,""-\d+(.*)|--\d+(.*)"","""")"),"CAME")</f>
        <v>CAME</v>
      </c>
      <c r="E14573" s="38" t="s">
        <v>268</v>
      </c>
      <c r="F14573" s="38" t="s">
        <v>252</v>
      </c>
      <c r="G14573" s="49" t="str">
        <f t="shared" si="1"/>
        <v>64520</v>
      </c>
      <c r="H14573" s="49">
        <f t="shared" si="2"/>
        <v>64161</v>
      </c>
    </row>
    <row r="14574">
      <c r="A14574" s="48" t="s">
        <v>8345</v>
      </c>
      <c r="B14574" s="38">
        <v>10081.0</v>
      </c>
      <c r="C14574" s="38" t="s">
        <v>18892</v>
      </c>
      <c r="D14574" s="38" t="str">
        <f>IFERROR(__xludf.DUMMYFUNCTION("REGEXREPLACE(C14574,""-\d+(.*)|--\d+(.*)"","""")"),"LA CHAPELLE-SAINT-LUC")</f>
        <v>LA CHAPELLE-SAINT-LUC</v>
      </c>
      <c r="E14574" s="38" t="s">
        <v>147</v>
      </c>
      <c r="F14574" s="38" t="s">
        <v>130</v>
      </c>
      <c r="G14574" s="49" t="str">
        <f t="shared" si="1"/>
        <v>10600</v>
      </c>
      <c r="H14574" s="49">
        <f t="shared" si="2"/>
        <v>10081</v>
      </c>
    </row>
    <row r="14575">
      <c r="A14575" s="48" t="s">
        <v>17266</v>
      </c>
      <c r="B14575" s="38">
        <v>59033.0</v>
      </c>
      <c r="C14575" s="38" t="s">
        <v>18893</v>
      </c>
      <c r="D14575" s="38" t="str">
        <f>IFERROR(__xludf.DUMMYFUNCTION("REGEXREPLACE(C14575,""-\d+(.*)|--\d+(.*)"","""")"),"AULNOYE-AYMERIES")</f>
        <v>AULNOYE-AYMERIES</v>
      </c>
      <c r="E14575" s="38" t="s">
        <v>85</v>
      </c>
      <c r="F14575" s="38" t="s">
        <v>86</v>
      </c>
      <c r="G14575" s="49" t="str">
        <f t="shared" si="1"/>
        <v>59620</v>
      </c>
      <c r="H14575" s="49">
        <f t="shared" si="2"/>
        <v>59033</v>
      </c>
    </row>
    <row r="14576">
      <c r="A14576" s="48" t="s">
        <v>18894</v>
      </c>
      <c r="B14576" s="38">
        <v>97216.0</v>
      </c>
      <c r="C14576" s="38" t="s">
        <v>18895</v>
      </c>
      <c r="D14576" s="38" t="str">
        <f>IFERROR(__xludf.DUMMYFUNCTION("REGEXREPLACE(C14576,""-\d+(.*)|--\d+(.*)"","""")"),"LE MARIGOT")</f>
        <v>LE MARIGOT</v>
      </c>
      <c r="E14576" s="38" t="s">
        <v>2282</v>
      </c>
      <c r="F14576" s="38" t="s">
        <v>2282</v>
      </c>
      <c r="G14576" s="49" t="str">
        <f t="shared" si="1"/>
        <v>97225</v>
      </c>
      <c r="H14576" s="49">
        <f t="shared" si="2"/>
        <v>97216</v>
      </c>
    </row>
    <row r="14577">
      <c r="A14577" s="48" t="s">
        <v>1966</v>
      </c>
      <c r="B14577" s="38">
        <v>2016.0</v>
      </c>
      <c r="C14577" s="38" t="s">
        <v>18896</v>
      </c>
      <c r="D14577" s="38" t="str">
        <f>IFERROR(__xludf.DUMMYFUNCTION("REGEXREPLACE(C14577,""-\d+(.*)|--\d+(.*)"","""")"),"ANDELAIN")</f>
        <v>ANDELAIN</v>
      </c>
      <c r="E14577" s="38" t="s">
        <v>191</v>
      </c>
      <c r="F14577" s="38" t="s">
        <v>113</v>
      </c>
      <c r="G14577" s="49" t="str">
        <f t="shared" si="1"/>
        <v>02800</v>
      </c>
      <c r="H14577" s="49" t="str">
        <f t="shared" si="2"/>
        <v>02016</v>
      </c>
    </row>
    <row r="14578">
      <c r="A14578" s="48" t="s">
        <v>9536</v>
      </c>
      <c r="B14578" s="38">
        <v>8269.0</v>
      </c>
      <c r="C14578" s="38" t="s">
        <v>18897</v>
      </c>
      <c r="D14578" s="38" t="str">
        <f>IFERROR(__xludf.DUMMYFUNCTION("REGEXREPLACE(C14578,""-\d+(.*)|--\d+(.*)"","""")"),"MALANDRY")</f>
        <v>MALANDRY</v>
      </c>
      <c r="E14578" s="38" t="s">
        <v>327</v>
      </c>
      <c r="F14578" s="38" t="s">
        <v>130</v>
      </c>
      <c r="G14578" s="49" t="str">
        <f t="shared" si="1"/>
        <v>08370</v>
      </c>
      <c r="H14578" s="49" t="str">
        <f t="shared" si="2"/>
        <v>08269</v>
      </c>
    </row>
    <row r="14579">
      <c r="A14579" s="48" t="s">
        <v>6019</v>
      </c>
      <c r="B14579" s="38">
        <v>39188.0</v>
      </c>
      <c r="C14579" s="38" t="s">
        <v>18898</v>
      </c>
      <c r="D14579" s="38" t="str">
        <f>IFERROR(__xludf.DUMMYFUNCTION("REGEXREPLACE(C14579,""-\d+(.*)|--\d+(.*)"","""")"),"DAMMARTIN-MARPAIN")</f>
        <v>DAMMARTIN-MARPAIN</v>
      </c>
      <c r="E14579" s="38" t="s">
        <v>400</v>
      </c>
      <c r="F14579" s="38" t="s">
        <v>214</v>
      </c>
      <c r="G14579" s="49" t="str">
        <f t="shared" si="1"/>
        <v>39290</v>
      </c>
      <c r="H14579" s="49">
        <f t="shared" si="2"/>
        <v>39188</v>
      </c>
    </row>
    <row r="14580">
      <c r="A14580" s="48" t="s">
        <v>13881</v>
      </c>
      <c r="B14580" s="38">
        <v>56070.0</v>
      </c>
      <c r="C14580" s="38" t="s">
        <v>18899</v>
      </c>
      <c r="D14580" s="38" t="str">
        <f>IFERROR(__xludf.DUMMYFUNCTION("REGEXREPLACE(C14580,""-\d+(.*)|--\d+(.*)"","""")"),"GUEGON")</f>
        <v>GUEGON</v>
      </c>
      <c r="E14580" s="38" t="s">
        <v>173</v>
      </c>
      <c r="F14580" s="38" t="s">
        <v>90</v>
      </c>
      <c r="G14580" s="49" t="str">
        <f t="shared" si="1"/>
        <v>56120</v>
      </c>
      <c r="H14580" s="49">
        <f t="shared" si="2"/>
        <v>56070</v>
      </c>
    </row>
    <row r="14581">
      <c r="A14581" s="48" t="s">
        <v>3806</v>
      </c>
      <c r="B14581" s="38">
        <v>7232.0</v>
      </c>
      <c r="C14581" s="38" t="s">
        <v>18900</v>
      </c>
      <c r="D14581" s="38" t="str">
        <f>IFERROR(__xludf.DUMMYFUNCTION("REGEXREPLACE(C14581,""-\d+(.*)|--\d+(.*)"","""")"),"SAINT-ETIENNE-DE-LUGDARES")</f>
        <v>SAINT-ETIENNE-DE-LUGDARES</v>
      </c>
      <c r="E14581" s="38" t="s">
        <v>144</v>
      </c>
      <c r="F14581" s="38" t="s">
        <v>102</v>
      </c>
      <c r="G14581" s="49" t="str">
        <f t="shared" si="1"/>
        <v>07590</v>
      </c>
      <c r="H14581" s="49" t="str">
        <f t="shared" si="2"/>
        <v>07232</v>
      </c>
    </row>
    <row r="14582">
      <c r="A14582" s="48" t="s">
        <v>3541</v>
      </c>
      <c r="B14582" s="38">
        <v>32440.0</v>
      </c>
      <c r="C14582" s="38" t="s">
        <v>18901</v>
      </c>
      <c r="D14582" s="38" t="str">
        <f>IFERROR(__xludf.DUMMYFUNCTION("REGEXREPLACE(C14582,""-\d+(.*)|--\d+(.*)"","""")"),"TASQUE")</f>
        <v>TASQUE</v>
      </c>
      <c r="E14582" s="38" t="s">
        <v>440</v>
      </c>
      <c r="F14582" s="38" t="s">
        <v>94</v>
      </c>
      <c r="G14582" s="49" t="str">
        <f t="shared" si="1"/>
        <v>32160</v>
      </c>
      <c r="H14582" s="49">
        <f t="shared" si="2"/>
        <v>32440</v>
      </c>
    </row>
    <row r="14583">
      <c r="A14583" s="48" t="s">
        <v>902</v>
      </c>
      <c r="B14583" s="38">
        <v>21452.0</v>
      </c>
      <c r="C14583" s="38" t="s">
        <v>18902</v>
      </c>
      <c r="D14583" s="38" t="str">
        <f>IFERROR(__xludf.DUMMYFUNCTION("REGEXREPLACE(C14583,""-\d+(.*)|--\d+(.*)"","""")"),"NEUILLY-LES-DIJON")</f>
        <v>NEUILLY-LES-DIJON</v>
      </c>
      <c r="E14583" s="38" t="s">
        <v>105</v>
      </c>
      <c r="F14583" s="38" t="s">
        <v>106</v>
      </c>
      <c r="G14583" s="49" t="str">
        <f t="shared" si="1"/>
        <v>21800</v>
      </c>
      <c r="H14583" s="49">
        <f t="shared" si="2"/>
        <v>21452</v>
      </c>
    </row>
    <row r="14584">
      <c r="A14584" s="48" t="s">
        <v>18903</v>
      </c>
      <c r="B14584" s="38">
        <v>14024.0</v>
      </c>
      <c r="C14584" s="38" t="s">
        <v>18904</v>
      </c>
      <c r="D14584" s="38" t="str">
        <f>IFERROR(__xludf.DUMMYFUNCTION("REGEXREPLACE(C14584,""-\d+(.*)|--\d+(.*)"","""")"),"AUBERVILLE")</f>
        <v>AUBERVILLE</v>
      </c>
      <c r="E14584" s="38" t="s">
        <v>137</v>
      </c>
      <c r="F14584" s="38" t="s">
        <v>138</v>
      </c>
      <c r="G14584" s="49" t="str">
        <f t="shared" si="1"/>
        <v>14640</v>
      </c>
      <c r="H14584" s="49">
        <f t="shared" si="2"/>
        <v>14024</v>
      </c>
    </row>
    <row r="14585">
      <c r="A14585" s="48" t="s">
        <v>18796</v>
      </c>
      <c r="B14585" s="38">
        <v>29071.0</v>
      </c>
      <c r="C14585" s="38" t="s">
        <v>18905</v>
      </c>
      <c r="D14585" s="38" t="str">
        <f>IFERROR(__xludf.DUMMYFUNCTION("REGEXREPLACE(C14585,""-\d+(.*)|--\d+(.*)"","""")"),"GUILLIGOMARC'H")</f>
        <v>GUILLIGOMARC'H</v>
      </c>
      <c r="E14585" s="38" t="s">
        <v>176</v>
      </c>
      <c r="F14585" s="38" t="s">
        <v>90</v>
      </c>
      <c r="G14585" s="49" t="str">
        <f t="shared" si="1"/>
        <v>29300</v>
      </c>
      <c r="H14585" s="49">
        <f t="shared" si="2"/>
        <v>29071</v>
      </c>
    </row>
    <row r="14586">
      <c r="A14586" s="48" t="s">
        <v>415</v>
      </c>
      <c r="B14586" s="38">
        <v>21274.0</v>
      </c>
      <c r="C14586" s="38" t="s">
        <v>18906</v>
      </c>
      <c r="D14586" s="38" t="str">
        <f>IFERROR(__xludf.DUMMYFUNCTION("REGEXREPLACE(C14586,""-\d+(.*)|--\d+(.*)"","""")"),"FOISSY")</f>
        <v>FOISSY</v>
      </c>
      <c r="E14586" s="38" t="s">
        <v>105</v>
      </c>
      <c r="F14586" s="38" t="s">
        <v>106</v>
      </c>
      <c r="G14586" s="49" t="str">
        <f t="shared" si="1"/>
        <v>21230</v>
      </c>
      <c r="H14586" s="49">
        <f t="shared" si="2"/>
        <v>21274</v>
      </c>
    </row>
    <row r="14587">
      <c r="A14587" s="48" t="s">
        <v>9692</v>
      </c>
      <c r="B14587" s="38">
        <v>18182.0</v>
      </c>
      <c r="C14587" s="38" t="s">
        <v>18907</v>
      </c>
      <c r="D14587" s="38" t="str">
        <f>IFERROR(__xludf.DUMMYFUNCTION("REGEXREPLACE(C14587,""-\d+(.*)|--\d+(.*)"","""")"),"POISIEUX")</f>
        <v>POISIEUX</v>
      </c>
      <c r="E14587" s="38" t="s">
        <v>504</v>
      </c>
      <c r="F14587" s="38" t="s">
        <v>123</v>
      </c>
      <c r="G14587" s="49" t="str">
        <f t="shared" si="1"/>
        <v>18290</v>
      </c>
      <c r="H14587" s="49">
        <f t="shared" si="2"/>
        <v>18182</v>
      </c>
    </row>
    <row r="14588">
      <c r="A14588" s="48" t="s">
        <v>1435</v>
      </c>
      <c r="B14588" s="38">
        <v>14620.0</v>
      </c>
      <c r="C14588" s="38" t="s">
        <v>18908</v>
      </c>
      <c r="D14588" s="38" t="str">
        <f>IFERROR(__xludf.DUMMYFUNCTION("REGEXREPLACE(C14588,""-\d+(.*)|--\d+(.*)"","""")"),"SAINT-MARTIN-AUX-CHARTRAINS")</f>
        <v>SAINT-MARTIN-AUX-CHARTRAINS</v>
      </c>
      <c r="E14588" s="38" t="s">
        <v>137</v>
      </c>
      <c r="F14588" s="38" t="s">
        <v>138</v>
      </c>
      <c r="G14588" s="49" t="str">
        <f t="shared" si="1"/>
        <v>14130</v>
      </c>
      <c r="H14588" s="49">
        <f t="shared" si="2"/>
        <v>14620</v>
      </c>
    </row>
    <row r="14589">
      <c r="A14589" s="48" t="s">
        <v>18909</v>
      </c>
      <c r="B14589" s="38">
        <v>35207.0</v>
      </c>
      <c r="C14589" s="38" t="s">
        <v>18910</v>
      </c>
      <c r="D14589" s="38" t="str">
        <f>IFERROR(__xludf.DUMMYFUNCTION("REGEXREPLACE(C14589,""-\d+(.*)|--\d+(.*)"","""")"),"NOYAL-SUR-VILAINE")</f>
        <v>NOYAL-SUR-VILAINE</v>
      </c>
      <c r="E14589" s="38" t="s">
        <v>347</v>
      </c>
      <c r="F14589" s="38" t="s">
        <v>90</v>
      </c>
      <c r="G14589" s="49" t="str">
        <f t="shared" si="1"/>
        <v>35530</v>
      </c>
      <c r="H14589" s="49">
        <f t="shared" si="2"/>
        <v>35207</v>
      </c>
    </row>
    <row r="14590">
      <c r="A14590" s="48" t="s">
        <v>18911</v>
      </c>
      <c r="B14590" s="38">
        <v>14653.0</v>
      </c>
      <c r="C14590" s="38" t="s">
        <v>18912</v>
      </c>
      <c r="D14590" s="38" t="str">
        <f>IFERROR(__xludf.DUMMYFUNCTION("REGEXREPLACE(C14590,""-\d+(.*)|--\d+(.*)"","""")"),"SAINT-PIERRE-LA-VIEILLE")</f>
        <v>SAINT-PIERRE-LA-VIEILLE</v>
      </c>
      <c r="E14590" s="38" t="s">
        <v>137</v>
      </c>
      <c r="F14590" s="38" t="s">
        <v>138</v>
      </c>
      <c r="G14590" s="49" t="str">
        <f t="shared" si="1"/>
        <v>14770</v>
      </c>
      <c r="H14590" s="49">
        <f t="shared" si="2"/>
        <v>14653</v>
      </c>
    </row>
    <row r="14591">
      <c r="A14591" s="48" t="s">
        <v>1679</v>
      </c>
      <c r="B14591" s="38">
        <v>51244.0</v>
      </c>
      <c r="C14591" s="38" t="s">
        <v>18913</v>
      </c>
      <c r="D14591" s="38" t="str">
        <f>IFERROR(__xludf.DUMMYFUNCTION("REGEXREPLACE(C14591,""-\d+(.*)|--\d+(.*)"","""")"),"FAUX-VESIGNEUL")</f>
        <v>FAUX-VESIGNEUL</v>
      </c>
      <c r="E14591" s="38" t="s">
        <v>129</v>
      </c>
      <c r="F14591" s="38" t="s">
        <v>130</v>
      </c>
      <c r="G14591" s="49" t="str">
        <f t="shared" si="1"/>
        <v>51320</v>
      </c>
      <c r="H14591" s="49">
        <f t="shared" si="2"/>
        <v>51244</v>
      </c>
    </row>
    <row r="14592">
      <c r="A14592" s="48" t="s">
        <v>860</v>
      </c>
      <c r="B14592" s="38">
        <v>80319.0</v>
      </c>
      <c r="C14592" s="38" t="s">
        <v>18914</v>
      </c>
      <c r="D14592" s="38" t="str">
        <f>IFERROR(__xludf.DUMMYFUNCTION("REGEXREPLACE(C14592,""-\d+(.*)|--\d+(.*)"","""")"),"FLUY")</f>
        <v>FLUY</v>
      </c>
      <c r="E14592" s="38" t="s">
        <v>224</v>
      </c>
      <c r="F14592" s="38" t="s">
        <v>113</v>
      </c>
      <c r="G14592" s="49" t="str">
        <f t="shared" si="1"/>
        <v>80540</v>
      </c>
      <c r="H14592" s="49">
        <f t="shared" si="2"/>
        <v>80319</v>
      </c>
    </row>
    <row r="14593">
      <c r="A14593" s="48" t="s">
        <v>1688</v>
      </c>
      <c r="B14593" s="38">
        <v>76669.0</v>
      </c>
      <c r="C14593" s="38" t="s">
        <v>18915</v>
      </c>
      <c r="D14593" s="38" t="str">
        <f>IFERROR(__xludf.DUMMYFUNCTION("REGEXREPLACE(C14593,""-\d+(.*)|--\d+(.*)"","""")"),"SAUSSEUZEMARE-EN-CAUX")</f>
        <v>SAUSSEUZEMARE-EN-CAUX</v>
      </c>
      <c r="E14593" s="38" t="s">
        <v>133</v>
      </c>
      <c r="F14593" s="38" t="s">
        <v>134</v>
      </c>
      <c r="G14593" s="49" t="str">
        <f t="shared" si="1"/>
        <v>76110</v>
      </c>
      <c r="H14593" s="49">
        <f t="shared" si="2"/>
        <v>76669</v>
      </c>
    </row>
    <row r="14594">
      <c r="A14594" s="48" t="s">
        <v>5866</v>
      </c>
      <c r="B14594" s="38">
        <v>33078.0</v>
      </c>
      <c r="C14594" s="38" t="s">
        <v>18916</v>
      </c>
      <c r="D14594" s="38" t="str">
        <f>IFERROR(__xludf.DUMMYFUNCTION("REGEXREPLACE(C14594,""-\d+(.*)|--\d+(.*)"","""")"),"CABARA")</f>
        <v>CABARA</v>
      </c>
      <c r="E14594" s="38" t="s">
        <v>462</v>
      </c>
      <c r="F14594" s="38" t="s">
        <v>252</v>
      </c>
      <c r="G14594" s="49" t="str">
        <f t="shared" si="1"/>
        <v>33420</v>
      </c>
      <c r="H14594" s="49">
        <f t="shared" si="2"/>
        <v>33078</v>
      </c>
    </row>
    <row r="14595">
      <c r="A14595" s="48" t="s">
        <v>8414</v>
      </c>
      <c r="B14595" s="38">
        <v>60466.0</v>
      </c>
      <c r="C14595" s="38" t="s">
        <v>18917</v>
      </c>
      <c r="D14595" s="38" t="str">
        <f>IFERROR(__xludf.DUMMYFUNCTION("REGEXREPLACE(C14595,""-\d+(.*)|--\d+(.*)"","""")"),"NOROY")</f>
        <v>NOROY</v>
      </c>
      <c r="E14595" s="38" t="s">
        <v>112</v>
      </c>
      <c r="F14595" s="38" t="s">
        <v>113</v>
      </c>
      <c r="G14595" s="49" t="str">
        <f t="shared" si="1"/>
        <v>60130</v>
      </c>
      <c r="H14595" s="49">
        <f t="shared" si="2"/>
        <v>60466</v>
      </c>
    </row>
    <row r="14596">
      <c r="A14596" s="48" t="s">
        <v>1534</v>
      </c>
      <c r="B14596" s="38">
        <v>19204.0</v>
      </c>
      <c r="C14596" s="38" t="s">
        <v>18918</v>
      </c>
      <c r="D14596" s="38" t="str">
        <f>IFERROR(__xludf.DUMMYFUNCTION("REGEXREPLACE(C14596,""-\d+(.*)|--\d+(.*)"","""")"),"SAINT-FREJOUX")</f>
        <v>SAINT-FREJOUX</v>
      </c>
      <c r="E14596" s="38" t="s">
        <v>271</v>
      </c>
      <c r="F14596" s="38" t="s">
        <v>98</v>
      </c>
      <c r="G14596" s="49" t="str">
        <f t="shared" si="1"/>
        <v>19200</v>
      </c>
      <c r="H14596" s="49">
        <f t="shared" si="2"/>
        <v>19204</v>
      </c>
    </row>
    <row r="14597">
      <c r="A14597" s="48" t="s">
        <v>5030</v>
      </c>
      <c r="B14597" s="38">
        <v>65275.0</v>
      </c>
      <c r="C14597" s="38" t="s">
        <v>18919</v>
      </c>
      <c r="D14597" s="38" t="str">
        <f>IFERROR(__xludf.DUMMYFUNCTION("REGEXREPLACE(C14597,""-\d+(.*)|--\d+(.*)"","""")"),"LIES")</f>
        <v>LIES</v>
      </c>
      <c r="E14597" s="38" t="s">
        <v>200</v>
      </c>
      <c r="F14597" s="38" t="s">
        <v>94</v>
      </c>
      <c r="G14597" s="49" t="str">
        <f t="shared" si="1"/>
        <v>65200</v>
      </c>
      <c r="H14597" s="49">
        <f t="shared" si="2"/>
        <v>65275</v>
      </c>
    </row>
    <row r="14598">
      <c r="A14598" s="48" t="s">
        <v>5584</v>
      </c>
      <c r="B14598" s="38">
        <v>41073.0</v>
      </c>
      <c r="C14598" s="38" t="s">
        <v>18920</v>
      </c>
      <c r="D14598" s="38" t="str">
        <f>IFERROR(__xludf.DUMMYFUNCTION("REGEXREPLACE(C14598,""-\d+(.*)|--\d+(.*)"","""")"),"DANZE")</f>
        <v>DANZE</v>
      </c>
      <c r="E14598" s="38" t="s">
        <v>188</v>
      </c>
      <c r="F14598" s="38" t="s">
        <v>123</v>
      </c>
      <c r="G14598" s="49" t="str">
        <f t="shared" si="1"/>
        <v>41160</v>
      </c>
      <c r="H14598" s="49">
        <f t="shared" si="2"/>
        <v>41073</v>
      </c>
    </row>
    <row r="14599">
      <c r="A14599" s="48" t="s">
        <v>3733</v>
      </c>
      <c r="B14599" s="38">
        <v>78391.0</v>
      </c>
      <c r="C14599" s="38" t="s">
        <v>11991</v>
      </c>
      <c r="D14599" s="38" t="str">
        <f>IFERROR(__xludf.DUMMYFUNCTION("REGEXREPLACE(C14599,""-\d+(.*)|--\d+(.*)"","""")"),"MERICOURT")</f>
        <v>MERICOURT</v>
      </c>
      <c r="E14599" s="38" t="s">
        <v>362</v>
      </c>
      <c r="F14599" s="38" t="s">
        <v>245</v>
      </c>
      <c r="G14599" s="49" t="str">
        <f t="shared" si="1"/>
        <v>78270</v>
      </c>
      <c r="H14599" s="49">
        <f t="shared" si="2"/>
        <v>78391</v>
      </c>
    </row>
    <row r="14600">
      <c r="A14600" s="48" t="s">
        <v>1777</v>
      </c>
      <c r="B14600" s="38">
        <v>10342.0</v>
      </c>
      <c r="C14600" s="38" t="s">
        <v>18921</v>
      </c>
      <c r="D14600" s="38" t="str">
        <f>IFERROR(__xludf.DUMMYFUNCTION("REGEXREPLACE(C14600,""-\d+(.*)|--\d+(.*)"","""")"),"SAINT-JEAN-DE-BONNEVAL")</f>
        <v>SAINT-JEAN-DE-BONNEVAL</v>
      </c>
      <c r="E14600" s="38" t="s">
        <v>147</v>
      </c>
      <c r="F14600" s="38" t="s">
        <v>130</v>
      </c>
      <c r="G14600" s="49" t="str">
        <f t="shared" si="1"/>
        <v>10320</v>
      </c>
      <c r="H14600" s="49">
        <f t="shared" si="2"/>
        <v>10342</v>
      </c>
    </row>
    <row r="14601">
      <c r="A14601" s="48" t="s">
        <v>4272</v>
      </c>
      <c r="B14601" s="38">
        <v>76445.0</v>
      </c>
      <c r="C14601" s="38" t="s">
        <v>18922</v>
      </c>
      <c r="D14601" s="38" t="str">
        <f>IFERROR(__xludf.DUMMYFUNCTION("REGEXREPLACE(C14601,""-\d+(.*)|--\d+(.*)"","""")"),"MONTEROLIER")</f>
        <v>MONTEROLIER</v>
      </c>
      <c r="E14601" s="38" t="s">
        <v>133</v>
      </c>
      <c r="F14601" s="38" t="s">
        <v>134</v>
      </c>
      <c r="G14601" s="49" t="str">
        <f t="shared" si="1"/>
        <v>76680</v>
      </c>
      <c r="H14601" s="49">
        <f t="shared" si="2"/>
        <v>76445</v>
      </c>
    </row>
    <row r="14602">
      <c r="A14602" s="48" t="s">
        <v>1913</v>
      </c>
      <c r="B14602" s="38">
        <v>63408.0</v>
      </c>
      <c r="C14602" s="38" t="s">
        <v>18923</v>
      </c>
      <c r="D14602" s="38" t="str">
        <f>IFERROR(__xludf.DUMMYFUNCTION("REGEXREPLACE(C14602,""-\d+(.*)|--\d+(.*)"","""")"),"SAURET-BESSERVE")</f>
        <v>SAURET-BESSERVE</v>
      </c>
      <c r="E14602" s="38" t="s">
        <v>353</v>
      </c>
      <c r="F14602" s="38" t="s">
        <v>161</v>
      </c>
      <c r="G14602" s="49" t="str">
        <f t="shared" si="1"/>
        <v>63390</v>
      </c>
      <c r="H14602" s="49">
        <f t="shared" si="2"/>
        <v>63408</v>
      </c>
    </row>
    <row r="14603">
      <c r="A14603" s="48" t="s">
        <v>7122</v>
      </c>
      <c r="B14603" s="38">
        <v>57402.0</v>
      </c>
      <c r="C14603" s="38" t="s">
        <v>18924</v>
      </c>
      <c r="D14603" s="38" t="str">
        <f>IFERROR(__xludf.DUMMYFUNCTION("REGEXREPLACE(C14603,""-\d+(.*)|--\d+(.*)"","""")"),"LIEDERSCHIEDT")</f>
        <v>LIEDERSCHIEDT</v>
      </c>
      <c r="E14603" s="38" t="s">
        <v>303</v>
      </c>
      <c r="F14603" s="38" t="s">
        <v>195</v>
      </c>
      <c r="G14603" s="49" t="str">
        <f t="shared" si="1"/>
        <v>57230</v>
      </c>
      <c r="H14603" s="49">
        <f t="shared" si="2"/>
        <v>57402</v>
      </c>
    </row>
    <row r="14604">
      <c r="A14604" s="48" t="s">
        <v>2657</v>
      </c>
      <c r="B14604" s="38">
        <v>59372.0</v>
      </c>
      <c r="C14604" s="38" t="s">
        <v>18925</v>
      </c>
      <c r="D14604" s="38" t="str">
        <f>IFERROR(__xludf.DUMMYFUNCTION("REGEXREPLACE(C14604,""-\d+(.*)|--\d+(.*)"","""")"),"MALINCOURT")</f>
        <v>MALINCOURT</v>
      </c>
      <c r="E14604" s="38" t="s">
        <v>85</v>
      </c>
      <c r="F14604" s="38" t="s">
        <v>86</v>
      </c>
      <c r="G14604" s="49" t="str">
        <f t="shared" si="1"/>
        <v>59127</v>
      </c>
      <c r="H14604" s="49">
        <f t="shared" si="2"/>
        <v>59372</v>
      </c>
    </row>
    <row r="14605">
      <c r="A14605" s="48" t="s">
        <v>789</v>
      </c>
      <c r="B14605" s="38">
        <v>10432.0</v>
      </c>
      <c r="C14605" s="38" t="s">
        <v>18926</v>
      </c>
      <c r="D14605" s="38" t="str">
        <f>IFERROR(__xludf.DUMMYFUNCTION("REGEXREPLACE(C14605,""-\d+(.*)|--\d+(.*)"","""")"),"VILLIERS-SOUS-PRASLIN")</f>
        <v>VILLIERS-SOUS-PRASLIN</v>
      </c>
      <c r="E14605" s="38" t="s">
        <v>147</v>
      </c>
      <c r="F14605" s="38" t="s">
        <v>130</v>
      </c>
      <c r="G14605" s="49" t="str">
        <f t="shared" si="1"/>
        <v>10210</v>
      </c>
      <c r="H14605" s="49">
        <f t="shared" si="2"/>
        <v>10432</v>
      </c>
    </row>
    <row r="14606">
      <c r="A14606" s="48" t="s">
        <v>862</v>
      </c>
      <c r="B14606" s="38">
        <v>27126.0</v>
      </c>
      <c r="C14606" s="38" t="s">
        <v>10766</v>
      </c>
      <c r="D14606" s="38" t="str">
        <f>IFERROR(__xludf.DUMMYFUNCTION("REGEXREPLACE(C14606,""-\d+(.*)|--\d+(.*)"","""")"),"CAMPIGNY")</f>
        <v>CAMPIGNY</v>
      </c>
      <c r="E14606" s="38" t="s">
        <v>241</v>
      </c>
      <c r="F14606" s="38" t="s">
        <v>134</v>
      </c>
      <c r="G14606" s="49" t="str">
        <f t="shared" si="1"/>
        <v>27500</v>
      </c>
      <c r="H14606" s="49">
        <f t="shared" si="2"/>
        <v>27126</v>
      </c>
    </row>
    <row r="14607">
      <c r="A14607" s="48" t="s">
        <v>8005</v>
      </c>
      <c r="B14607" s="38">
        <v>23239.0</v>
      </c>
      <c r="C14607" s="38" t="s">
        <v>13954</v>
      </c>
      <c r="D14607" s="38" t="str">
        <f>IFERROR(__xludf.DUMMYFUNCTION("REGEXREPLACE(C14607,""-\d+(.*)|--\d+(.*)"","""")"),"SAINT-SEBASTIEN")</f>
        <v>SAINT-SEBASTIEN</v>
      </c>
      <c r="E14607" s="38" t="s">
        <v>97</v>
      </c>
      <c r="F14607" s="38" t="s">
        <v>98</v>
      </c>
      <c r="G14607" s="49" t="str">
        <f t="shared" si="1"/>
        <v>23160</v>
      </c>
      <c r="H14607" s="49">
        <f t="shared" si="2"/>
        <v>23239</v>
      </c>
    </row>
    <row r="14608">
      <c r="A14608" s="48" t="s">
        <v>1742</v>
      </c>
      <c r="B14608" s="38">
        <v>21383.0</v>
      </c>
      <c r="C14608" s="38" t="s">
        <v>18927</v>
      </c>
      <c r="D14608" s="38" t="str">
        <f>IFERROR(__xludf.DUMMYFUNCTION("REGEXREPLACE(C14608,""-\d+(.*)|--\d+(.*)"","""")"),"MARCILLY-SUR-TILLE")</f>
        <v>MARCILLY-SUR-TILLE</v>
      </c>
      <c r="E14608" s="38" t="s">
        <v>105</v>
      </c>
      <c r="F14608" s="38" t="s">
        <v>106</v>
      </c>
      <c r="G14608" s="49" t="str">
        <f t="shared" si="1"/>
        <v>21120</v>
      </c>
      <c r="H14608" s="49">
        <f t="shared" si="2"/>
        <v>21383</v>
      </c>
    </row>
    <row r="14609">
      <c r="A14609" s="48" t="s">
        <v>3816</v>
      </c>
      <c r="B14609" s="38">
        <v>25318.0</v>
      </c>
      <c r="C14609" s="38" t="s">
        <v>18928</v>
      </c>
      <c r="D14609" s="38" t="str">
        <f>IFERROR(__xludf.DUMMYFUNCTION("REGEXREPLACE(C14609,""-\d+(.*)|--\d+(.*)"","""")"),"JOUGNE")</f>
        <v>JOUGNE</v>
      </c>
      <c r="E14609" s="38" t="s">
        <v>213</v>
      </c>
      <c r="F14609" s="38" t="s">
        <v>214</v>
      </c>
      <c r="G14609" s="49" t="str">
        <f t="shared" si="1"/>
        <v>25370</v>
      </c>
      <c r="H14609" s="49">
        <f t="shared" si="2"/>
        <v>25318</v>
      </c>
    </row>
    <row r="14610">
      <c r="A14610" s="48" t="s">
        <v>2400</v>
      </c>
      <c r="B14610" s="38">
        <v>25038.0</v>
      </c>
      <c r="C14610" s="38" t="s">
        <v>18929</v>
      </c>
      <c r="D14610" s="38" t="str">
        <f>IFERROR(__xludf.DUMMYFUNCTION("REGEXREPLACE(C14610,""-\d+(.*)|--\d+(.*)"","""")"),"AVILLEY")</f>
        <v>AVILLEY</v>
      </c>
      <c r="E14610" s="38" t="s">
        <v>213</v>
      </c>
      <c r="F14610" s="38" t="s">
        <v>214</v>
      </c>
      <c r="G14610" s="49" t="str">
        <f t="shared" si="1"/>
        <v>25680</v>
      </c>
      <c r="H14610" s="49">
        <f t="shared" si="2"/>
        <v>25038</v>
      </c>
    </row>
    <row r="14611">
      <c r="A14611" s="48" t="s">
        <v>1317</v>
      </c>
      <c r="B14611" s="38">
        <v>8402.0</v>
      </c>
      <c r="C14611" s="38" t="s">
        <v>18930</v>
      </c>
      <c r="D14611" s="38" t="str">
        <f>IFERROR(__xludf.DUMMYFUNCTION("REGEXREPLACE(C14611,""-\d+(.*)|--\d+(.*)"","""")"),"SAULCES-MONCLIN")</f>
        <v>SAULCES-MONCLIN</v>
      </c>
      <c r="E14611" s="38" t="s">
        <v>327</v>
      </c>
      <c r="F14611" s="38" t="s">
        <v>130</v>
      </c>
      <c r="G14611" s="49" t="str">
        <f t="shared" si="1"/>
        <v>08270</v>
      </c>
      <c r="H14611" s="49" t="str">
        <f t="shared" si="2"/>
        <v>08402</v>
      </c>
    </row>
    <row r="14612">
      <c r="A14612" s="48" t="s">
        <v>1272</v>
      </c>
      <c r="B14612" s="38">
        <v>51106.0</v>
      </c>
      <c r="C14612" s="38" t="s">
        <v>18931</v>
      </c>
      <c r="D14612" s="38" t="str">
        <f>IFERROR(__xludf.DUMMYFUNCTION("REGEXREPLACE(C14612,""-\d+(.*)|--\d+(.*)"","""")"),"CERNON")</f>
        <v>CERNON</v>
      </c>
      <c r="E14612" s="38" t="s">
        <v>129</v>
      </c>
      <c r="F14612" s="38" t="s">
        <v>130</v>
      </c>
      <c r="G14612" s="49" t="str">
        <f t="shared" si="1"/>
        <v>51240</v>
      </c>
      <c r="H14612" s="49">
        <f t="shared" si="2"/>
        <v>51106</v>
      </c>
    </row>
    <row r="14613">
      <c r="A14613" s="48" t="s">
        <v>18932</v>
      </c>
      <c r="B14613" s="38">
        <v>44068.0</v>
      </c>
      <c r="C14613" s="38" t="s">
        <v>18933</v>
      </c>
      <c r="D14613" s="38" t="str">
        <f>IFERROR(__xludf.DUMMYFUNCTION("REGEXREPLACE(C14613,""-\d+(.*)|--\d+(.*)"","""")"),"GUENROUET")</f>
        <v>GUENROUET</v>
      </c>
      <c r="E14613" s="38" t="s">
        <v>759</v>
      </c>
      <c r="F14613" s="38" t="s">
        <v>180</v>
      </c>
      <c r="G14613" s="49" t="str">
        <f t="shared" si="1"/>
        <v>44530</v>
      </c>
      <c r="H14613" s="49">
        <f t="shared" si="2"/>
        <v>44068</v>
      </c>
    </row>
    <row r="14614">
      <c r="A14614" s="48" t="s">
        <v>3022</v>
      </c>
      <c r="B14614" s="38">
        <v>14729.0</v>
      </c>
      <c r="C14614" s="38" t="s">
        <v>18934</v>
      </c>
      <c r="D14614" s="38" t="str">
        <f>IFERROR(__xludf.DUMMYFUNCTION("REGEXREPLACE(C14614,""-\d+(.*)|--\d+(.*)"","""")"),"VAUDELOGES")</f>
        <v>VAUDELOGES</v>
      </c>
      <c r="E14614" s="38" t="s">
        <v>137</v>
      </c>
      <c r="F14614" s="38" t="s">
        <v>138</v>
      </c>
      <c r="G14614" s="49" t="str">
        <f t="shared" si="1"/>
        <v>14170</v>
      </c>
      <c r="H14614" s="49">
        <f t="shared" si="2"/>
        <v>14729</v>
      </c>
    </row>
    <row r="14615">
      <c r="A14615" s="48" t="s">
        <v>8003</v>
      </c>
      <c r="B14615" s="38">
        <v>86187.0</v>
      </c>
      <c r="C14615" s="38" t="s">
        <v>18935</v>
      </c>
      <c r="D14615" s="38" t="str">
        <f>IFERROR(__xludf.DUMMYFUNCTION("REGEXREPLACE(C14615,""-\d+(.*)|--\d+(.*)"","""")"),"PAIZAY-LE-SEC")</f>
        <v>PAIZAY-LE-SEC</v>
      </c>
      <c r="E14615" s="38" t="s">
        <v>529</v>
      </c>
      <c r="F14615" s="38" t="s">
        <v>338</v>
      </c>
      <c r="G14615" s="49" t="str">
        <f t="shared" si="1"/>
        <v>86300</v>
      </c>
      <c r="H14615" s="49">
        <f t="shared" si="2"/>
        <v>86187</v>
      </c>
    </row>
    <row r="14616">
      <c r="A14616" s="48" t="s">
        <v>3154</v>
      </c>
      <c r="B14616" s="38">
        <v>15217.0</v>
      </c>
      <c r="C14616" s="38" t="s">
        <v>3057</v>
      </c>
      <c r="D14616" s="38" t="str">
        <f>IFERROR(__xludf.DUMMYFUNCTION("REGEXREPLACE(C14616,""-\d+(.*)|--\d+(.*)"","""")"),"SAINT-VICTOR")</f>
        <v>SAINT-VICTOR</v>
      </c>
      <c r="E14616" s="38" t="s">
        <v>632</v>
      </c>
      <c r="F14616" s="38" t="s">
        <v>161</v>
      </c>
      <c r="G14616" s="49" t="str">
        <f t="shared" si="1"/>
        <v>15150</v>
      </c>
      <c r="H14616" s="49">
        <f t="shared" si="2"/>
        <v>15217</v>
      </c>
    </row>
    <row r="14617">
      <c r="A14617" s="48" t="s">
        <v>3504</v>
      </c>
      <c r="B14617" s="38">
        <v>42084.0</v>
      </c>
      <c r="C14617" s="38" t="s">
        <v>18936</v>
      </c>
      <c r="D14617" s="38" t="str">
        <f>IFERROR(__xludf.DUMMYFUNCTION("REGEXREPLACE(C14617,""-\d+(.*)|--\d+(.*)"","""")"),"DEBATS-RIVIERE-D'ORPRA")</f>
        <v>DEBATS-RIVIERE-D'ORPRA</v>
      </c>
      <c r="E14617" s="38" t="s">
        <v>166</v>
      </c>
      <c r="F14617" s="38" t="s">
        <v>102</v>
      </c>
      <c r="G14617" s="49" t="str">
        <f t="shared" si="1"/>
        <v>42130</v>
      </c>
      <c r="H14617" s="49">
        <f t="shared" si="2"/>
        <v>42084</v>
      </c>
    </row>
    <row r="14618">
      <c r="A14618" s="48" t="s">
        <v>7702</v>
      </c>
      <c r="B14618" s="38">
        <v>57506.0</v>
      </c>
      <c r="C14618" s="38" t="s">
        <v>18937</v>
      </c>
      <c r="D14618" s="38" t="str">
        <f>IFERROR(__xludf.DUMMYFUNCTION("REGEXREPLACE(C14618,""-\d+(.*)|--\d+(.*)"","""")"),"NIEDERSTINZEL")</f>
        <v>NIEDERSTINZEL</v>
      </c>
      <c r="E14618" s="38" t="s">
        <v>303</v>
      </c>
      <c r="F14618" s="38" t="s">
        <v>195</v>
      </c>
      <c r="G14618" s="49" t="str">
        <f t="shared" si="1"/>
        <v>57930</v>
      </c>
      <c r="H14618" s="49">
        <f t="shared" si="2"/>
        <v>57506</v>
      </c>
    </row>
    <row r="14619">
      <c r="A14619" s="48" t="s">
        <v>2744</v>
      </c>
      <c r="B14619" s="38">
        <v>17248.0</v>
      </c>
      <c r="C14619" s="38" t="s">
        <v>18938</v>
      </c>
      <c r="D14619" s="38" t="str">
        <f>IFERROR(__xludf.DUMMYFUNCTION("REGEXREPLACE(C14619,""-\d+(.*)|--\d+(.*)"","""")"),"MORTAGNE-SUR-GIRONDE")</f>
        <v>MORTAGNE-SUR-GIRONDE</v>
      </c>
      <c r="E14619" s="38" t="s">
        <v>488</v>
      </c>
      <c r="F14619" s="38" t="s">
        <v>338</v>
      </c>
      <c r="G14619" s="49" t="str">
        <f t="shared" si="1"/>
        <v>17120</v>
      </c>
      <c r="H14619" s="49">
        <f t="shared" si="2"/>
        <v>17248</v>
      </c>
    </row>
    <row r="14620">
      <c r="A14620" s="48" t="s">
        <v>637</v>
      </c>
      <c r="B14620" s="38">
        <v>1041.0</v>
      </c>
      <c r="C14620" s="38" t="s">
        <v>18939</v>
      </c>
      <c r="D14620" s="38" t="str">
        <f>IFERROR(__xludf.DUMMYFUNCTION("REGEXREPLACE(C14620,""-\d+(.*)|--\d+(.*)"","""")"),"BETTANT")</f>
        <v>BETTANT</v>
      </c>
      <c r="E14620" s="38" t="s">
        <v>255</v>
      </c>
      <c r="F14620" s="38" t="s">
        <v>102</v>
      </c>
      <c r="G14620" s="49" t="str">
        <f t="shared" si="1"/>
        <v>01500</v>
      </c>
      <c r="H14620" s="49" t="str">
        <f t="shared" si="2"/>
        <v>01041</v>
      </c>
    </row>
    <row r="14621">
      <c r="A14621" s="48" t="s">
        <v>4642</v>
      </c>
      <c r="B14621" s="38">
        <v>21265.0</v>
      </c>
      <c r="C14621" s="38" t="s">
        <v>18940</v>
      </c>
      <c r="D14621" s="38" t="str">
        <f>IFERROR(__xludf.DUMMYFUNCTION("REGEXREPLACE(C14621,""-\d+(.*)|--\d+(.*)"","""")"),"FIXIN")</f>
        <v>FIXIN</v>
      </c>
      <c r="E14621" s="38" t="s">
        <v>105</v>
      </c>
      <c r="F14621" s="38" t="s">
        <v>106</v>
      </c>
      <c r="G14621" s="49" t="str">
        <f t="shared" si="1"/>
        <v>21220</v>
      </c>
      <c r="H14621" s="49">
        <f t="shared" si="2"/>
        <v>21265</v>
      </c>
    </row>
    <row r="14622">
      <c r="A14622" s="48" t="s">
        <v>18941</v>
      </c>
      <c r="B14622" s="38">
        <v>74215.0</v>
      </c>
      <c r="C14622" s="38" t="s">
        <v>18942</v>
      </c>
      <c r="D14622" s="38" t="str">
        <f>IFERROR(__xludf.DUMMYFUNCTION("REGEXREPLACE(C14622,""-\d+(.*)|--\d+(.*)"","""")"),"PRAZ-SUR-ARLY")</f>
        <v>PRAZ-SUR-ARLY</v>
      </c>
      <c r="E14622" s="38" t="s">
        <v>319</v>
      </c>
      <c r="F14622" s="38" t="s">
        <v>102</v>
      </c>
      <c r="G14622" s="49" t="str">
        <f t="shared" si="1"/>
        <v>74120</v>
      </c>
      <c r="H14622" s="49">
        <f t="shared" si="2"/>
        <v>74215</v>
      </c>
    </row>
    <row r="14623">
      <c r="A14623" s="48" t="s">
        <v>4754</v>
      </c>
      <c r="B14623" s="38">
        <v>12045.0</v>
      </c>
      <c r="C14623" s="38" t="s">
        <v>18943</v>
      </c>
      <c r="D14623" s="38" t="str">
        <f>IFERROR(__xludf.DUMMYFUNCTION("REGEXREPLACE(C14623,""-\d+(.*)|--\d+(.*)"","""")"),"CAMBOULAZET")</f>
        <v>CAMBOULAZET</v>
      </c>
      <c r="E14623" s="38" t="s">
        <v>465</v>
      </c>
      <c r="F14623" s="38" t="s">
        <v>94</v>
      </c>
      <c r="G14623" s="49" t="str">
        <f t="shared" si="1"/>
        <v>12160</v>
      </c>
      <c r="H14623" s="49">
        <f t="shared" si="2"/>
        <v>12045</v>
      </c>
    </row>
    <row r="14624">
      <c r="A14624" s="48" t="s">
        <v>5513</v>
      </c>
      <c r="B14624" s="38">
        <v>57496.0</v>
      </c>
      <c r="C14624" s="38" t="s">
        <v>18944</v>
      </c>
      <c r="D14624" s="38" t="str">
        <f>IFERROR(__xludf.DUMMYFUNCTION("REGEXREPLACE(C14624,""-\d+(.*)|--\d+(.*)"","""")"),"NEBING")</f>
        <v>NEBING</v>
      </c>
      <c r="E14624" s="38" t="s">
        <v>303</v>
      </c>
      <c r="F14624" s="38" t="s">
        <v>195</v>
      </c>
      <c r="G14624" s="49" t="str">
        <f t="shared" si="1"/>
        <v>57670</v>
      </c>
      <c r="H14624" s="49">
        <f t="shared" si="2"/>
        <v>57496</v>
      </c>
    </row>
    <row r="14625">
      <c r="A14625" s="48" t="s">
        <v>18945</v>
      </c>
      <c r="B14625" s="38">
        <v>59462.0</v>
      </c>
      <c r="C14625" s="38" t="s">
        <v>18946</v>
      </c>
      <c r="D14625" s="38" t="str">
        <f>IFERROR(__xludf.DUMMYFUNCTION("REGEXREPLACE(C14625,""-\d+(.*)|--\d+(.*)"","""")"),"PHALEMPIN")</f>
        <v>PHALEMPIN</v>
      </c>
      <c r="E14625" s="38" t="s">
        <v>85</v>
      </c>
      <c r="F14625" s="38" t="s">
        <v>86</v>
      </c>
      <c r="G14625" s="49" t="str">
        <f t="shared" si="1"/>
        <v>59133</v>
      </c>
      <c r="H14625" s="49">
        <f t="shared" si="2"/>
        <v>59462</v>
      </c>
    </row>
    <row r="14626">
      <c r="A14626" s="48" t="s">
        <v>2128</v>
      </c>
      <c r="B14626" s="38">
        <v>2803.0</v>
      </c>
      <c r="C14626" s="38" t="s">
        <v>18947</v>
      </c>
      <c r="D14626" s="38" t="str">
        <f>IFERROR(__xludf.DUMMYFUNCTION("REGEXREPLACE(C14626,""-\d+(.*)|--\d+(.*)"","""")"),"LA VILLE-AUX-BOIS-LES-PONTAVERT")</f>
        <v>LA VILLE-AUX-BOIS-LES-PONTAVERT</v>
      </c>
      <c r="E14626" s="38" t="s">
        <v>191</v>
      </c>
      <c r="F14626" s="38" t="s">
        <v>113</v>
      </c>
      <c r="G14626" s="49" t="str">
        <f t="shared" si="1"/>
        <v>02160</v>
      </c>
      <c r="H14626" s="49" t="str">
        <f t="shared" si="2"/>
        <v>02803</v>
      </c>
    </row>
    <row r="14627">
      <c r="A14627" s="48" t="s">
        <v>4499</v>
      </c>
      <c r="B14627" s="38">
        <v>25443.0</v>
      </c>
      <c r="C14627" s="38" t="s">
        <v>18948</v>
      </c>
      <c r="D14627" s="38" t="str">
        <f>IFERROR(__xludf.DUMMYFUNCTION("REGEXREPLACE(C14627,""-\d+(.*)|--\d+(.*)"","""")"),"PALANTINE")</f>
        <v>PALANTINE</v>
      </c>
      <c r="E14627" s="38" t="s">
        <v>213</v>
      </c>
      <c r="F14627" s="38" t="s">
        <v>214</v>
      </c>
      <c r="G14627" s="49" t="str">
        <f t="shared" si="1"/>
        <v>25440</v>
      </c>
      <c r="H14627" s="49">
        <f t="shared" si="2"/>
        <v>25443</v>
      </c>
    </row>
    <row r="14628">
      <c r="A14628" s="48" t="s">
        <v>9621</v>
      </c>
      <c r="B14628" s="38">
        <v>43015.0</v>
      </c>
      <c r="C14628" s="38" t="s">
        <v>18949</v>
      </c>
      <c r="D14628" s="38" t="str">
        <f>IFERROR(__xludf.DUMMYFUNCTION("REGEXREPLACE(C14628,""-\d+(.*)|--\d+(.*)"","""")"),"AUVERS")</f>
        <v>AUVERS</v>
      </c>
      <c r="E14628" s="38" t="s">
        <v>332</v>
      </c>
      <c r="F14628" s="38" t="s">
        <v>161</v>
      </c>
      <c r="G14628" s="49" t="str">
        <f t="shared" si="1"/>
        <v>43300</v>
      </c>
      <c r="H14628" s="49">
        <f t="shared" si="2"/>
        <v>43015</v>
      </c>
    </row>
    <row r="14629">
      <c r="A14629" s="48" t="s">
        <v>544</v>
      </c>
      <c r="B14629" s="38">
        <v>57291.0</v>
      </c>
      <c r="C14629" s="38" t="s">
        <v>18950</v>
      </c>
      <c r="D14629" s="38" t="str">
        <f>IFERROR(__xludf.DUMMYFUNCTION("REGEXREPLACE(C14629,""-\d+(.*)|--\d+(.*)"","""")"),"HANGVILLER")</f>
        <v>HANGVILLER</v>
      </c>
      <c r="E14629" s="38" t="s">
        <v>303</v>
      </c>
      <c r="F14629" s="38" t="s">
        <v>195</v>
      </c>
      <c r="G14629" s="49" t="str">
        <f t="shared" si="1"/>
        <v>57370</v>
      </c>
      <c r="H14629" s="49">
        <f t="shared" si="2"/>
        <v>57291</v>
      </c>
    </row>
    <row r="14630">
      <c r="A14630" s="48" t="s">
        <v>789</v>
      </c>
      <c r="B14630" s="38">
        <v>10185.0</v>
      </c>
      <c r="C14630" s="38" t="s">
        <v>18951</v>
      </c>
      <c r="D14630" s="38" t="str">
        <f>IFERROR(__xludf.DUMMYFUNCTION("REGEXREPLACE(C14630,""-\d+(.*)|--\d+(.*)"","""")"),"LAGESSE")</f>
        <v>LAGESSE</v>
      </c>
      <c r="E14630" s="38" t="s">
        <v>147</v>
      </c>
      <c r="F14630" s="38" t="s">
        <v>130</v>
      </c>
      <c r="G14630" s="49" t="str">
        <f t="shared" si="1"/>
        <v>10210</v>
      </c>
      <c r="H14630" s="49">
        <f t="shared" si="2"/>
        <v>10185</v>
      </c>
    </row>
    <row r="14631">
      <c r="A14631" s="48" t="s">
        <v>6651</v>
      </c>
      <c r="B14631" s="38">
        <v>31540.0</v>
      </c>
      <c r="C14631" s="38" t="s">
        <v>18952</v>
      </c>
      <c r="D14631" s="38" t="str">
        <f>IFERROR(__xludf.DUMMYFUNCTION("REGEXREPLACE(C14631,""-\d+(.*)|--\d+(.*)"","""")"),"SEGREVILLE")</f>
        <v>SEGREVILLE</v>
      </c>
      <c r="E14631" s="38" t="s">
        <v>93</v>
      </c>
      <c r="F14631" s="38" t="s">
        <v>94</v>
      </c>
      <c r="G14631" s="49" t="str">
        <f t="shared" si="1"/>
        <v>31460</v>
      </c>
      <c r="H14631" s="49">
        <f t="shared" si="2"/>
        <v>31540</v>
      </c>
    </row>
    <row r="14632">
      <c r="A14632" s="48" t="s">
        <v>582</v>
      </c>
      <c r="B14632" s="38">
        <v>39310.0</v>
      </c>
      <c r="C14632" s="38" t="s">
        <v>18953</v>
      </c>
      <c r="D14632" s="38" t="str">
        <f>IFERROR(__xludf.DUMMYFUNCTION("REGEXREPLACE(C14632,""-\d+(.*)|--\d+(.*)"","""")"),"MANTRY")</f>
        <v>MANTRY</v>
      </c>
      <c r="E14632" s="38" t="s">
        <v>400</v>
      </c>
      <c r="F14632" s="38" t="s">
        <v>214</v>
      </c>
      <c r="G14632" s="49" t="str">
        <f t="shared" si="1"/>
        <v>39230</v>
      </c>
      <c r="H14632" s="49">
        <f t="shared" si="2"/>
        <v>39310</v>
      </c>
    </row>
    <row r="14633">
      <c r="A14633" s="48" t="s">
        <v>5596</v>
      </c>
      <c r="B14633" s="38">
        <v>25402.0</v>
      </c>
      <c r="C14633" s="38" t="s">
        <v>18954</v>
      </c>
      <c r="D14633" s="38" t="str">
        <f>IFERROR(__xludf.DUMMYFUNCTION("REGEXREPLACE(C14633,""-\d+(.*)|--\d+(.*)"","""")"),"MONTJOIE-LE-CHATEAU")</f>
        <v>MONTJOIE-LE-CHATEAU</v>
      </c>
      <c r="E14633" s="38" t="s">
        <v>213</v>
      </c>
      <c r="F14633" s="38" t="s">
        <v>214</v>
      </c>
      <c r="G14633" s="49" t="str">
        <f t="shared" si="1"/>
        <v>25190</v>
      </c>
      <c r="H14633" s="49">
        <f t="shared" si="2"/>
        <v>25402</v>
      </c>
    </row>
    <row r="14634">
      <c r="A14634" s="48" t="s">
        <v>2419</v>
      </c>
      <c r="B14634" s="38">
        <v>58075.0</v>
      </c>
      <c r="C14634" s="38" t="s">
        <v>18955</v>
      </c>
      <c r="D14634" s="38" t="str">
        <f>IFERROR(__xludf.DUMMYFUNCTION("REGEXREPLACE(C14634,""-\d+(.*)|--\d+(.*)"","""")"),"CHITRY-LES-MINES")</f>
        <v>CHITRY-LES-MINES</v>
      </c>
      <c r="E14634" s="38" t="s">
        <v>219</v>
      </c>
      <c r="F14634" s="38" t="s">
        <v>106</v>
      </c>
      <c r="G14634" s="49" t="str">
        <f t="shared" si="1"/>
        <v>58800</v>
      </c>
      <c r="H14634" s="49">
        <f t="shared" si="2"/>
        <v>58075</v>
      </c>
    </row>
    <row r="14635">
      <c r="A14635" s="48" t="s">
        <v>425</v>
      </c>
      <c r="B14635" s="38">
        <v>88026.0</v>
      </c>
      <c r="C14635" s="38" t="s">
        <v>18956</v>
      </c>
      <c r="D14635" s="38" t="str">
        <f>IFERROR(__xludf.DUMMYFUNCTION("REGEXREPLACE(C14635,""-\d+(.*)|--\d+(.*)"","""")"),"AYDOILLES")</f>
        <v>AYDOILLES</v>
      </c>
      <c r="E14635" s="38" t="s">
        <v>194</v>
      </c>
      <c r="F14635" s="38" t="s">
        <v>195</v>
      </c>
      <c r="G14635" s="49" t="str">
        <f t="shared" si="1"/>
        <v>88600</v>
      </c>
      <c r="H14635" s="49">
        <f t="shared" si="2"/>
        <v>88026</v>
      </c>
    </row>
    <row r="14636">
      <c r="A14636" s="48" t="s">
        <v>13370</v>
      </c>
      <c r="B14636" s="38">
        <v>22155.0</v>
      </c>
      <c r="C14636" s="38" t="s">
        <v>13946</v>
      </c>
      <c r="D14636" s="38" t="str">
        <f>IFERROR(__xludf.DUMMYFUNCTION("REGEXREPLACE(C14636,""-\d+(.*)|--\d+(.*)"","""")"),"LA MOTTE")</f>
        <v>LA MOTTE</v>
      </c>
      <c r="E14636" s="38" t="s">
        <v>89</v>
      </c>
      <c r="F14636" s="38" t="s">
        <v>90</v>
      </c>
      <c r="G14636" s="49" t="str">
        <f t="shared" si="1"/>
        <v>22600</v>
      </c>
      <c r="H14636" s="49">
        <f t="shared" si="2"/>
        <v>22155</v>
      </c>
    </row>
    <row r="14637">
      <c r="A14637" s="48" t="s">
        <v>2010</v>
      </c>
      <c r="B14637" s="38">
        <v>49313.0</v>
      </c>
      <c r="C14637" s="38" t="s">
        <v>18957</v>
      </c>
      <c r="D14637" s="38" t="str">
        <f>IFERROR(__xludf.DUMMYFUNCTION("REGEXREPLACE(C14637,""-\d+(.*)|--\d+(.*)"","""")"),"SAINT-PIERRE-MONTLIMART")</f>
        <v>SAINT-PIERRE-MONTLIMART</v>
      </c>
      <c r="E14637" s="38" t="s">
        <v>653</v>
      </c>
      <c r="F14637" s="38" t="s">
        <v>180</v>
      </c>
      <c r="G14637" s="49" t="str">
        <f t="shared" si="1"/>
        <v>49110</v>
      </c>
      <c r="H14637" s="49">
        <f t="shared" si="2"/>
        <v>49313</v>
      </c>
    </row>
    <row r="14638">
      <c r="A14638" s="48" t="s">
        <v>8137</v>
      </c>
      <c r="B14638" s="38">
        <v>62527.0</v>
      </c>
      <c r="C14638" s="38" t="s">
        <v>2486</v>
      </c>
      <c r="D14638" s="38" t="str">
        <f>IFERROR(__xludf.DUMMYFUNCTION("REGEXREPLACE(C14638,""-\d+(.*)|--\d+(.*)"","""")"),"LONGVILLIERS")</f>
        <v>LONGVILLIERS</v>
      </c>
      <c r="E14638" s="38" t="s">
        <v>109</v>
      </c>
      <c r="F14638" s="38" t="s">
        <v>86</v>
      </c>
      <c r="G14638" s="49" t="str">
        <f t="shared" si="1"/>
        <v>62630</v>
      </c>
      <c r="H14638" s="49">
        <f t="shared" si="2"/>
        <v>62527</v>
      </c>
    </row>
    <row r="14639">
      <c r="A14639" s="48" t="s">
        <v>1212</v>
      </c>
      <c r="B14639" s="38">
        <v>11126.0</v>
      </c>
      <c r="C14639" s="38" t="s">
        <v>18958</v>
      </c>
      <c r="D14639" s="38" t="str">
        <f>IFERROR(__xludf.DUMMYFUNCTION("REGEXREPLACE(C14639,""-\d+(.*)|--\d+(.*)"","""")"),"ESCALES")</f>
        <v>ESCALES</v>
      </c>
      <c r="E14639" s="38" t="s">
        <v>278</v>
      </c>
      <c r="F14639" s="38" t="s">
        <v>119</v>
      </c>
      <c r="G14639" s="49" t="str">
        <f t="shared" si="1"/>
        <v>11200</v>
      </c>
      <c r="H14639" s="49">
        <f t="shared" si="2"/>
        <v>11126</v>
      </c>
    </row>
    <row r="14640">
      <c r="A14640" s="48" t="s">
        <v>7199</v>
      </c>
      <c r="B14640" s="38">
        <v>76753.0</v>
      </c>
      <c r="C14640" s="38" t="s">
        <v>18959</v>
      </c>
      <c r="D14640" s="38" t="str">
        <f>IFERROR(__xludf.DUMMYFUNCTION("REGEXREPLACE(C14640,""-\d+(.*)|--\d+(.*)"","""")"),"YMARE")</f>
        <v>YMARE</v>
      </c>
      <c r="E14640" s="38" t="s">
        <v>133</v>
      </c>
      <c r="F14640" s="38" t="s">
        <v>134</v>
      </c>
      <c r="G14640" s="49" t="str">
        <f t="shared" si="1"/>
        <v>76520</v>
      </c>
      <c r="H14640" s="49">
        <f t="shared" si="2"/>
        <v>76753</v>
      </c>
    </row>
    <row r="14641">
      <c r="A14641" s="48" t="s">
        <v>7760</v>
      </c>
      <c r="B14641" s="38">
        <v>54243.0</v>
      </c>
      <c r="C14641" s="38" t="s">
        <v>18960</v>
      </c>
      <c r="D14641" s="38" t="str">
        <f>IFERROR(__xludf.DUMMYFUNCTION("REGEXREPLACE(C14641,""-\d+(.*)|--\d+(.*)"","""")"),"HABLAINVILLE")</f>
        <v>HABLAINVILLE</v>
      </c>
      <c r="E14641" s="38" t="s">
        <v>548</v>
      </c>
      <c r="F14641" s="38" t="s">
        <v>195</v>
      </c>
      <c r="G14641" s="49" t="str">
        <f t="shared" si="1"/>
        <v>54120</v>
      </c>
      <c r="H14641" s="49">
        <f t="shared" si="2"/>
        <v>54243</v>
      </c>
    </row>
    <row r="14642">
      <c r="A14642" s="48" t="s">
        <v>9028</v>
      </c>
      <c r="B14642" s="38">
        <v>65103.0</v>
      </c>
      <c r="C14642" s="38" t="s">
        <v>18961</v>
      </c>
      <c r="D14642" s="38" t="str">
        <f>IFERROR(__xludf.DUMMYFUNCTION("REGEXREPLACE(C14642,""-\d+(.*)|--\d+(.*)"","""")"),"BOUILH-PEREUILH")</f>
        <v>BOUILH-PEREUILH</v>
      </c>
      <c r="E14642" s="38" t="s">
        <v>200</v>
      </c>
      <c r="F14642" s="38" t="s">
        <v>94</v>
      </c>
      <c r="G14642" s="49" t="str">
        <f t="shared" si="1"/>
        <v>65350</v>
      </c>
      <c r="H14642" s="49">
        <f t="shared" si="2"/>
        <v>65103</v>
      </c>
    </row>
    <row r="14643">
      <c r="A14643" s="48" t="s">
        <v>11009</v>
      </c>
      <c r="B14643" s="38">
        <v>33038.0</v>
      </c>
      <c r="C14643" s="38" t="s">
        <v>18962</v>
      </c>
      <c r="D14643" s="38" t="str">
        <f>IFERROR(__xludf.DUMMYFUNCTION("REGEXREPLACE(C14643,""-\d+(.*)|--\d+(.*)"","""")"),"BEGADAN")</f>
        <v>BEGADAN</v>
      </c>
      <c r="E14643" s="38" t="s">
        <v>462</v>
      </c>
      <c r="F14643" s="38" t="s">
        <v>252</v>
      </c>
      <c r="G14643" s="49" t="str">
        <f t="shared" si="1"/>
        <v>33340</v>
      </c>
      <c r="H14643" s="49">
        <f t="shared" si="2"/>
        <v>33038</v>
      </c>
    </row>
    <row r="14644">
      <c r="A14644" s="48" t="s">
        <v>5030</v>
      </c>
      <c r="B14644" s="38">
        <v>65281.0</v>
      </c>
      <c r="C14644" s="38" t="s">
        <v>18963</v>
      </c>
      <c r="D14644" s="38" t="str">
        <f>IFERROR(__xludf.DUMMYFUNCTION("REGEXREPLACE(C14644,""-\d+(.*)|--\d+(.*)"","""")"),"LOUCRUP")</f>
        <v>LOUCRUP</v>
      </c>
      <c r="E14644" s="38" t="s">
        <v>200</v>
      </c>
      <c r="F14644" s="38" t="s">
        <v>94</v>
      </c>
      <c r="G14644" s="49" t="str">
        <f t="shared" si="1"/>
        <v>65200</v>
      </c>
      <c r="H14644" s="49">
        <f t="shared" si="2"/>
        <v>65281</v>
      </c>
    </row>
    <row r="14645">
      <c r="A14645" s="48" t="s">
        <v>1644</v>
      </c>
      <c r="B14645" s="38">
        <v>21451.0</v>
      </c>
      <c r="C14645" s="38" t="s">
        <v>18964</v>
      </c>
      <c r="D14645" s="38" t="str">
        <f>IFERROR(__xludf.DUMMYFUNCTION("REGEXREPLACE(C14645,""-\d+(.*)|--\d+(.*)"","""")"),"NESLE-ET-MASSOULT")</f>
        <v>NESLE-ET-MASSOULT</v>
      </c>
      <c r="E14645" s="38" t="s">
        <v>105</v>
      </c>
      <c r="F14645" s="38" t="s">
        <v>106</v>
      </c>
      <c r="G14645" s="49" t="str">
        <f t="shared" si="1"/>
        <v>21330</v>
      </c>
      <c r="H14645" s="49">
        <f t="shared" si="2"/>
        <v>21451</v>
      </c>
    </row>
    <row r="14646">
      <c r="A14646" s="48" t="s">
        <v>5558</v>
      </c>
      <c r="B14646" s="38">
        <v>14586.0</v>
      </c>
      <c r="C14646" s="38" t="s">
        <v>18965</v>
      </c>
      <c r="D14646" s="38" t="str">
        <f>IFERROR(__xludf.DUMMYFUNCTION("REGEXREPLACE(C14646,""-\d+(.*)|--\d+(.*)"","""")"),"SAINT-GERMAIN-DU-PERT")</f>
        <v>SAINT-GERMAIN-DU-PERT</v>
      </c>
      <c r="E14646" s="38" t="s">
        <v>137</v>
      </c>
      <c r="F14646" s="38" t="s">
        <v>138</v>
      </c>
      <c r="G14646" s="49" t="str">
        <f t="shared" si="1"/>
        <v>14230</v>
      </c>
      <c r="H14646" s="49">
        <f t="shared" si="2"/>
        <v>14586</v>
      </c>
    </row>
    <row r="14647">
      <c r="A14647" s="48" t="s">
        <v>2487</v>
      </c>
      <c r="B14647" s="38">
        <v>70137.0</v>
      </c>
      <c r="C14647" s="38" t="s">
        <v>18966</v>
      </c>
      <c r="D14647" s="38" t="str">
        <f>IFERROR(__xludf.DUMMYFUNCTION("REGEXREPLACE(C14647,""-\d+(.*)|--\d+(.*)"","""")"),"CHASSEY-LES-MONTBOZON")</f>
        <v>CHASSEY-LES-MONTBOZON</v>
      </c>
      <c r="E14647" s="38" t="s">
        <v>956</v>
      </c>
      <c r="F14647" s="38" t="s">
        <v>214</v>
      </c>
      <c r="G14647" s="49" t="str">
        <f t="shared" si="1"/>
        <v>70230</v>
      </c>
      <c r="H14647" s="49">
        <f t="shared" si="2"/>
        <v>70137</v>
      </c>
    </row>
    <row r="14648">
      <c r="A14648" s="48" t="s">
        <v>1147</v>
      </c>
      <c r="B14648" s="38">
        <v>37029.0</v>
      </c>
      <c r="C14648" s="38" t="s">
        <v>18967</v>
      </c>
      <c r="D14648" s="38" t="str">
        <f>IFERROR(__xludf.DUMMYFUNCTION("REGEXREPLACE(C14648,""-\d+(.*)|--\d+(.*)"","""")"),"BOSSEE")</f>
        <v>BOSSEE</v>
      </c>
      <c r="E14648" s="38" t="s">
        <v>205</v>
      </c>
      <c r="F14648" s="38" t="s">
        <v>123</v>
      </c>
      <c r="G14648" s="49" t="str">
        <f t="shared" si="1"/>
        <v>37240</v>
      </c>
      <c r="H14648" s="49">
        <f t="shared" si="2"/>
        <v>37029</v>
      </c>
    </row>
    <row r="14649">
      <c r="A14649" s="48" t="s">
        <v>17909</v>
      </c>
      <c r="B14649" s="38">
        <v>25493.0</v>
      </c>
      <c r="C14649" s="38" t="s">
        <v>18968</v>
      </c>
      <c r="D14649" s="38" t="str">
        <f>IFERROR(__xludf.DUMMYFUNCTION("REGEXREPLACE(C14649,""-\d+(.*)|--\d+(.*)"","""")"),"LA RIVIERE-DRUGEON")</f>
        <v>LA RIVIERE-DRUGEON</v>
      </c>
      <c r="E14649" s="38" t="s">
        <v>213</v>
      </c>
      <c r="F14649" s="38" t="s">
        <v>214</v>
      </c>
      <c r="G14649" s="49" t="str">
        <f t="shared" si="1"/>
        <v>25560</v>
      </c>
      <c r="H14649" s="49">
        <f t="shared" si="2"/>
        <v>25493</v>
      </c>
    </row>
    <row r="14650">
      <c r="A14650" s="48" t="s">
        <v>18969</v>
      </c>
      <c r="B14650" s="38">
        <v>94074.0</v>
      </c>
      <c r="C14650" s="38" t="s">
        <v>18970</v>
      </c>
      <c r="D14650" s="38" t="str">
        <f>IFERROR(__xludf.DUMMYFUNCTION("REGEXREPLACE(C14650,""-\d+(.*)|--\d+(.*)"","""")"),"VALENTON")</f>
        <v>VALENTON</v>
      </c>
      <c r="E14650" s="38" t="s">
        <v>561</v>
      </c>
      <c r="F14650" s="38" t="s">
        <v>245</v>
      </c>
      <c r="G14650" s="49" t="str">
        <f t="shared" si="1"/>
        <v>94460</v>
      </c>
      <c r="H14650" s="49">
        <f t="shared" si="2"/>
        <v>94074</v>
      </c>
    </row>
    <row r="14651">
      <c r="A14651" s="48" t="s">
        <v>671</v>
      </c>
      <c r="B14651" s="38">
        <v>21365.0</v>
      </c>
      <c r="C14651" s="38" t="s">
        <v>18971</v>
      </c>
      <c r="D14651" s="38" t="str">
        <f>IFERROR(__xludf.DUMMYFUNCTION("REGEXREPLACE(C14651,""-\d+(.*)|--\d+(.*)"","""")"),"MAGNY-LA-VILLE")</f>
        <v>MAGNY-LA-VILLE</v>
      </c>
      <c r="E14651" s="38" t="s">
        <v>105</v>
      </c>
      <c r="F14651" s="38" t="s">
        <v>106</v>
      </c>
      <c r="G14651" s="49" t="str">
        <f t="shared" si="1"/>
        <v>21140</v>
      </c>
      <c r="H14651" s="49">
        <f t="shared" si="2"/>
        <v>21365</v>
      </c>
    </row>
    <row r="14652">
      <c r="A14652" s="48" t="s">
        <v>12681</v>
      </c>
      <c r="B14652" s="38">
        <v>2380.0</v>
      </c>
      <c r="C14652" s="38" t="s">
        <v>18972</v>
      </c>
      <c r="D14652" s="38" t="str">
        <f>IFERROR(__xludf.DUMMYFUNCTION("REGEXREPLACE(C14652,""-\d+(.*)|--\d+(.*)"","""")"),"HINACOURT")</f>
        <v>HINACOURT</v>
      </c>
      <c r="E14652" s="38" t="s">
        <v>191</v>
      </c>
      <c r="F14652" s="38" t="s">
        <v>113</v>
      </c>
      <c r="G14652" s="49" t="str">
        <f t="shared" si="1"/>
        <v>02440</v>
      </c>
      <c r="H14652" s="49" t="str">
        <f t="shared" si="2"/>
        <v>02380</v>
      </c>
    </row>
    <row r="14653">
      <c r="A14653" s="48" t="s">
        <v>7061</v>
      </c>
      <c r="B14653" s="38">
        <v>60493.0</v>
      </c>
      <c r="C14653" s="38" t="s">
        <v>18973</v>
      </c>
      <c r="D14653" s="38" t="str">
        <f>IFERROR(__xludf.DUMMYFUNCTION("REGEXREPLACE(C14653,""-\d+(.*)|--\d+(.*)"","""")"),"PISSELEU")</f>
        <v>PISSELEU</v>
      </c>
      <c r="E14653" s="38" t="s">
        <v>112</v>
      </c>
      <c r="F14653" s="38" t="s">
        <v>113</v>
      </c>
      <c r="G14653" s="49" t="str">
        <f t="shared" si="1"/>
        <v>60860</v>
      </c>
      <c r="H14653" s="49">
        <f t="shared" si="2"/>
        <v>60493</v>
      </c>
    </row>
    <row r="14654">
      <c r="A14654" s="48" t="s">
        <v>14137</v>
      </c>
      <c r="B14654" s="38">
        <v>69062.0</v>
      </c>
      <c r="C14654" s="38" t="s">
        <v>18974</v>
      </c>
      <c r="D14654" s="38" t="str">
        <f>IFERROR(__xludf.DUMMYFUNCTION("REGEXREPLACE(C14654,""-\d+(.*)|--\d+(.*)"","""")"),"COISE")</f>
        <v>COISE</v>
      </c>
      <c r="E14654" s="38" t="s">
        <v>350</v>
      </c>
      <c r="F14654" s="38" t="s">
        <v>102</v>
      </c>
      <c r="G14654" s="49" t="str">
        <f t="shared" si="1"/>
        <v>69590</v>
      </c>
      <c r="H14654" s="49">
        <f t="shared" si="2"/>
        <v>69062</v>
      </c>
    </row>
    <row r="14655">
      <c r="A14655" s="48" t="s">
        <v>5268</v>
      </c>
      <c r="B14655" s="38">
        <v>49233.0</v>
      </c>
      <c r="C14655" s="38" t="s">
        <v>18975</v>
      </c>
      <c r="D14655" s="38" t="str">
        <f>IFERROR(__xludf.DUMMYFUNCTION("REGEXREPLACE(C14655,""-\d+(.*)|--\d+(.*)"","""")"),"NYOISEAU")</f>
        <v>NYOISEAU</v>
      </c>
      <c r="E14655" s="38" t="s">
        <v>653</v>
      </c>
      <c r="F14655" s="38" t="s">
        <v>180</v>
      </c>
      <c r="G14655" s="49" t="str">
        <f t="shared" si="1"/>
        <v>49500</v>
      </c>
      <c r="H14655" s="49">
        <f t="shared" si="2"/>
        <v>49233</v>
      </c>
    </row>
    <row r="14656">
      <c r="A14656" s="48" t="s">
        <v>16500</v>
      </c>
      <c r="B14656" s="38">
        <v>66060.0</v>
      </c>
      <c r="C14656" s="38" t="s">
        <v>18976</v>
      </c>
      <c r="D14656" s="38" t="str">
        <f>IFERROR(__xludf.DUMMYFUNCTION("REGEXREPLACE(C14656,""-\d+(.*)|--\d+(.*)"","""")"),"CORSAVY")</f>
        <v>CORSAVY</v>
      </c>
      <c r="E14656" s="38" t="s">
        <v>248</v>
      </c>
      <c r="F14656" s="38" t="s">
        <v>119</v>
      </c>
      <c r="G14656" s="49" t="str">
        <f t="shared" si="1"/>
        <v>66150</v>
      </c>
      <c r="H14656" s="49">
        <f t="shared" si="2"/>
        <v>66060</v>
      </c>
    </row>
    <row r="14657">
      <c r="A14657" s="48" t="s">
        <v>2208</v>
      </c>
      <c r="B14657" s="38">
        <v>55280.0</v>
      </c>
      <c r="C14657" s="38" t="s">
        <v>18977</v>
      </c>
      <c r="D14657" s="38" t="str">
        <f>IFERROR(__xludf.DUMMYFUNCTION("REGEXREPLACE(C14657,""-\d+(.*)|--\d+(.*)"","""")"),"LANHERES")</f>
        <v>LANHERES</v>
      </c>
      <c r="E14657" s="38" t="s">
        <v>322</v>
      </c>
      <c r="F14657" s="38" t="s">
        <v>195</v>
      </c>
      <c r="G14657" s="49" t="str">
        <f t="shared" si="1"/>
        <v>55400</v>
      </c>
      <c r="H14657" s="49">
        <f t="shared" si="2"/>
        <v>55280</v>
      </c>
    </row>
    <row r="14658">
      <c r="A14658" s="48" t="s">
        <v>6442</v>
      </c>
      <c r="B14658" s="38">
        <v>18192.0</v>
      </c>
      <c r="C14658" s="38" t="s">
        <v>18978</v>
      </c>
      <c r="D14658" s="38" t="str">
        <f>IFERROR(__xludf.DUMMYFUNCTION("REGEXREPLACE(C14658,""-\d+(.*)|--\d+(.*)"","""")"),"REIGNY")</f>
        <v>REIGNY</v>
      </c>
      <c r="E14658" s="38" t="s">
        <v>504</v>
      </c>
      <c r="F14658" s="38" t="s">
        <v>123</v>
      </c>
      <c r="G14658" s="49" t="str">
        <f t="shared" si="1"/>
        <v>18270</v>
      </c>
      <c r="H14658" s="49">
        <f t="shared" si="2"/>
        <v>18192</v>
      </c>
    </row>
    <row r="14659">
      <c r="A14659" s="48" t="s">
        <v>544</v>
      </c>
      <c r="B14659" s="38">
        <v>57168.0</v>
      </c>
      <c r="C14659" s="38" t="s">
        <v>18979</v>
      </c>
      <c r="D14659" s="38" t="str">
        <f>IFERROR(__xludf.DUMMYFUNCTION("REGEXREPLACE(C14659,""-\d+(.*)|--\d+(.*)"","""")"),"DANNE-ET-QUATRE-VENTS")</f>
        <v>DANNE-ET-QUATRE-VENTS</v>
      </c>
      <c r="E14659" s="38" t="s">
        <v>303</v>
      </c>
      <c r="F14659" s="38" t="s">
        <v>195</v>
      </c>
      <c r="G14659" s="49" t="str">
        <f t="shared" si="1"/>
        <v>57370</v>
      </c>
      <c r="H14659" s="49">
        <f t="shared" si="2"/>
        <v>57168</v>
      </c>
    </row>
    <row r="14660">
      <c r="A14660" s="48" t="s">
        <v>5761</v>
      </c>
      <c r="B14660" s="38">
        <v>17328.0</v>
      </c>
      <c r="C14660" s="38" t="s">
        <v>18980</v>
      </c>
      <c r="D14660" s="38" t="str">
        <f>IFERROR(__xludf.DUMMYFUNCTION("REGEXREPLACE(C14660,""-\d+(.*)|--\d+(.*)"","""")"),"SAINT-FORT-SUR-GIRONDE")</f>
        <v>SAINT-FORT-SUR-GIRONDE</v>
      </c>
      <c r="E14660" s="38" t="s">
        <v>488</v>
      </c>
      <c r="F14660" s="38" t="s">
        <v>338</v>
      </c>
      <c r="G14660" s="49" t="str">
        <f t="shared" si="1"/>
        <v>17240</v>
      </c>
      <c r="H14660" s="49">
        <f t="shared" si="2"/>
        <v>17328</v>
      </c>
    </row>
    <row r="14661">
      <c r="A14661" s="48" t="s">
        <v>2400</v>
      </c>
      <c r="B14661" s="38">
        <v>25184.0</v>
      </c>
      <c r="C14661" s="38" t="s">
        <v>18981</v>
      </c>
      <c r="D14661" s="38" t="str">
        <f>IFERROR(__xludf.DUMMYFUNCTION("REGEXREPLACE(C14661,""-\d+(.*)|--\d+(.*)"","""")"),"CUSE-ET-ADRISANS")</f>
        <v>CUSE-ET-ADRISANS</v>
      </c>
      <c r="E14661" s="38" t="s">
        <v>213</v>
      </c>
      <c r="F14661" s="38" t="s">
        <v>214</v>
      </c>
      <c r="G14661" s="49" t="str">
        <f t="shared" si="1"/>
        <v>25680</v>
      </c>
      <c r="H14661" s="49">
        <f t="shared" si="2"/>
        <v>25184</v>
      </c>
    </row>
    <row r="14662">
      <c r="A14662" s="48" t="s">
        <v>4203</v>
      </c>
      <c r="B14662" s="38">
        <v>77446.0</v>
      </c>
      <c r="C14662" s="38" t="s">
        <v>18982</v>
      </c>
      <c r="D14662" s="38" t="str">
        <f>IFERROR(__xludf.DUMMYFUNCTION("REGEXREPLACE(C14662,""-\d+(.*)|--\d+(.*)"","""")"),"SAVINS")</f>
        <v>SAVINS</v>
      </c>
      <c r="E14662" s="38" t="s">
        <v>244</v>
      </c>
      <c r="F14662" s="38" t="s">
        <v>245</v>
      </c>
      <c r="G14662" s="49" t="str">
        <f t="shared" si="1"/>
        <v>77650</v>
      </c>
      <c r="H14662" s="49">
        <f t="shared" si="2"/>
        <v>77446</v>
      </c>
    </row>
    <row r="14663">
      <c r="A14663" s="48" t="s">
        <v>715</v>
      </c>
      <c r="B14663" s="38">
        <v>88233.0</v>
      </c>
      <c r="C14663" s="38" t="s">
        <v>18983</v>
      </c>
      <c r="D14663" s="38" t="str">
        <f>IFERROR(__xludf.DUMMYFUNCTION("REGEXREPLACE(C14663,""-\d+(.*)|--\d+(.*)"","""")"),"HAROL")</f>
        <v>HAROL</v>
      </c>
      <c r="E14663" s="38" t="s">
        <v>194</v>
      </c>
      <c r="F14663" s="38" t="s">
        <v>195</v>
      </c>
      <c r="G14663" s="49" t="str">
        <f t="shared" si="1"/>
        <v>88270</v>
      </c>
      <c r="H14663" s="49">
        <f t="shared" si="2"/>
        <v>88233</v>
      </c>
    </row>
    <row r="14664">
      <c r="A14664" s="48" t="s">
        <v>1681</v>
      </c>
      <c r="B14664" s="38">
        <v>80326.0</v>
      </c>
      <c r="C14664" s="38" t="s">
        <v>18984</v>
      </c>
      <c r="D14664" s="38" t="str">
        <f>IFERROR(__xludf.DUMMYFUNCTION("REGEXREPLACE(C14664,""-\d+(.*)|--\d+(.*)"","""")"),"FONTAINE-SOUS-MONTDIDIER")</f>
        <v>FONTAINE-SOUS-MONTDIDIER</v>
      </c>
      <c r="E14664" s="38" t="s">
        <v>224</v>
      </c>
      <c r="F14664" s="38" t="s">
        <v>113</v>
      </c>
      <c r="G14664" s="49" t="str">
        <f t="shared" si="1"/>
        <v>80500</v>
      </c>
      <c r="H14664" s="49">
        <f t="shared" si="2"/>
        <v>80326</v>
      </c>
    </row>
    <row r="14665">
      <c r="A14665" s="48" t="s">
        <v>6517</v>
      </c>
      <c r="B14665" s="38">
        <v>50597.0</v>
      </c>
      <c r="C14665" s="38" t="s">
        <v>18985</v>
      </c>
      <c r="D14665" s="38" t="str">
        <f>IFERROR(__xludf.DUMMYFUNCTION("REGEXREPLACE(C14665,""-\d+(.*)|--\d+(.*)"","""")"),"TIREPIED")</f>
        <v>TIREPIED</v>
      </c>
      <c r="E14665" s="38" t="s">
        <v>157</v>
      </c>
      <c r="F14665" s="38" t="s">
        <v>138</v>
      </c>
      <c r="G14665" s="49" t="str">
        <f t="shared" si="1"/>
        <v>50870</v>
      </c>
      <c r="H14665" s="49">
        <f t="shared" si="2"/>
        <v>50597</v>
      </c>
    </row>
    <row r="14666">
      <c r="A14666" s="48" t="s">
        <v>18986</v>
      </c>
      <c r="B14666" s="38">
        <v>63225.0</v>
      </c>
      <c r="C14666" s="38" t="s">
        <v>18987</v>
      </c>
      <c r="D14666" s="38" t="str">
        <f>IFERROR(__xludf.DUMMYFUNCTION("REGEXREPLACE(C14666,""-\d+(.*)|--\d+(.*)"","""")"),"MESSEIX")</f>
        <v>MESSEIX</v>
      </c>
      <c r="E14666" s="38" t="s">
        <v>353</v>
      </c>
      <c r="F14666" s="38" t="s">
        <v>161</v>
      </c>
      <c r="G14666" s="49" t="str">
        <f t="shared" si="1"/>
        <v>63750</v>
      </c>
      <c r="H14666" s="49">
        <f t="shared" si="2"/>
        <v>63225</v>
      </c>
    </row>
    <row r="14667">
      <c r="A14667" s="48" t="s">
        <v>8584</v>
      </c>
      <c r="B14667" s="38">
        <v>59483.0</v>
      </c>
      <c r="C14667" s="38" t="s">
        <v>18988</v>
      </c>
      <c r="D14667" s="38" t="str">
        <f>IFERROR(__xludf.DUMMYFUNCTION("REGEXREPLACE(C14667,""-\d+(.*)|--\d+(.*)"","""")"),"QUIEVELON")</f>
        <v>QUIEVELON</v>
      </c>
      <c r="E14667" s="38" t="s">
        <v>85</v>
      </c>
      <c r="F14667" s="38" t="s">
        <v>86</v>
      </c>
      <c r="G14667" s="49" t="str">
        <f t="shared" si="1"/>
        <v>59680</v>
      </c>
      <c r="H14667" s="49">
        <f t="shared" si="2"/>
        <v>59483</v>
      </c>
    </row>
    <row r="14668">
      <c r="A14668" s="48" t="s">
        <v>1106</v>
      </c>
      <c r="B14668" s="38">
        <v>14320.0</v>
      </c>
      <c r="C14668" s="38" t="s">
        <v>18989</v>
      </c>
      <c r="D14668" s="38" t="str">
        <f>IFERROR(__xludf.DUMMYFUNCTION("REGEXREPLACE(C14668,""-\d+(.*)|--\d+(.*)"","""")"),"GRIMBOSQ")</f>
        <v>GRIMBOSQ</v>
      </c>
      <c r="E14668" s="38" t="s">
        <v>137</v>
      </c>
      <c r="F14668" s="38" t="s">
        <v>138</v>
      </c>
      <c r="G14668" s="49" t="str">
        <f t="shared" si="1"/>
        <v>14220</v>
      </c>
      <c r="H14668" s="49">
        <f t="shared" si="2"/>
        <v>14320</v>
      </c>
    </row>
    <row r="14669">
      <c r="A14669" s="48" t="s">
        <v>2141</v>
      </c>
      <c r="B14669" s="38">
        <v>80357.0</v>
      </c>
      <c r="C14669" s="38" t="s">
        <v>18990</v>
      </c>
      <c r="D14669" s="38" t="str">
        <f>IFERROR(__xludf.DUMMYFUNCTION("REGEXREPLACE(C14669,""-\d+(.*)|--\d+(.*)"","""")"),"FRESNOY-AU-VAL")</f>
        <v>FRESNOY-AU-VAL</v>
      </c>
      <c r="E14669" s="38" t="s">
        <v>224</v>
      </c>
      <c r="F14669" s="38" t="s">
        <v>113</v>
      </c>
      <c r="G14669" s="49" t="str">
        <f t="shared" si="1"/>
        <v>80290</v>
      </c>
      <c r="H14669" s="49">
        <f t="shared" si="2"/>
        <v>80357</v>
      </c>
    </row>
    <row r="14670">
      <c r="A14670" s="48" t="s">
        <v>2387</v>
      </c>
      <c r="B14670" s="38">
        <v>42122.0</v>
      </c>
      <c r="C14670" s="38" t="s">
        <v>18991</v>
      </c>
      <c r="D14670" s="38" t="str">
        <f>IFERROR(__xludf.DUMMYFUNCTION("REGEXREPLACE(C14670,""-\d+(.*)|--\d+(.*)"","""")"),"LEZIGNEUX")</f>
        <v>LEZIGNEUX</v>
      </c>
      <c r="E14670" s="38" t="s">
        <v>166</v>
      </c>
      <c r="F14670" s="38" t="s">
        <v>102</v>
      </c>
      <c r="G14670" s="49" t="str">
        <f t="shared" si="1"/>
        <v>42600</v>
      </c>
      <c r="H14670" s="49">
        <f t="shared" si="2"/>
        <v>42122</v>
      </c>
    </row>
    <row r="14671">
      <c r="A14671" s="48" t="s">
        <v>7107</v>
      </c>
      <c r="B14671" s="38">
        <v>10401.0</v>
      </c>
      <c r="C14671" s="38" t="s">
        <v>18992</v>
      </c>
      <c r="D14671" s="38" t="str">
        <f>IFERROR(__xludf.DUMMYFUNCTION("REGEXREPLACE(C14671,""-\d+(.*)|--\d+(.*)"","""")"),"VENDEUVRE-SUR-BARSE")</f>
        <v>VENDEUVRE-SUR-BARSE</v>
      </c>
      <c r="E14671" s="38" t="s">
        <v>147</v>
      </c>
      <c r="F14671" s="38" t="s">
        <v>130</v>
      </c>
      <c r="G14671" s="49" t="str">
        <f t="shared" si="1"/>
        <v>10140</v>
      </c>
      <c r="H14671" s="49">
        <f t="shared" si="2"/>
        <v>10401</v>
      </c>
    </row>
    <row r="14672">
      <c r="A14672" s="48" t="s">
        <v>18993</v>
      </c>
      <c r="B14672" s="38">
        <v>63231.0</v>
      </c>
      <c r="C14672" s="38" t="s">
        <v>18994</v>
      </c>
      <c r="D14672" s="38" t="str">
        <f>IFERROR(__xludf.DUMMYFUNCTION("REGEXREPLACE(C14672,""-\d+(.*)|--\d+(.*)"","""")"),"LA MONNERIE-LE-MONTEL")</f>
        <v>LA MONNERIE-LE-MONTEL</v>
      </c>
      <c r="E14672" s="38" t="s">
        <v>353</v>
      </c>
      <c r="F14672" s="38" t="s">
        <v>161</v>
      </c>
      <c r="G14672" s="49" t="str">
        <f t="shared" si="1"/>
        <v>63650</v>
      </c>
      <c r="H14672" s="49">
        <f t="shared" si="2"/>
        <v>63231</v>
      </c>
    </row>
    <row r="14673">
      <c r="A14673" s="48" t="s">
        <v>5081</v>
      </c>
      <c r="B14673" s="38">
        <v>54036.0</v>
      </c>
      <c r="C14673" s="38" t="s">
        <v>18995</v>
      </c>
      <c r="D14673" s="38" t="str">
        <f>IFERROR(__xludf.DUMMYFUNCTION("REGEXREPLACE(C14673,""-\d+(.*)|--\d+(.*)"","""")"),"AVRIL")</f>
        <v>AVRIL</v>
      </c>
      <c r="E14673" s="38" t="s">
        <v>548</v>
      </c>
      <c r="F14673" s="38" t="s">
        <v>195</v>
      </c>
      <c r="G14673" s="49" t="str">
        <f t="shared" si="1"/>
        <v>54150</v>
      </c>
      <c r="H14673" s="49">
        <f t="shared" si="2"/>
        <v>54036</v>
      </c>
    </row>
    <row r="14674">
      <c r="A14674" s="48" t="s">
        <v>724</v>
      </c>
      <c r="B14674" s="38">
        <v>32156.0</v>
      </c>
      <c r="C14674" s="38" t="s">
        <v>18996</v>
      </c>
      <c r="D14674" s="38" t="str">
        <f>IFERROR(__xludf.DUMMYFUNCTION("REGEXREPLACE(C14674,""-\d+(.*)|--\d+(.*)"","""")"),"IDRAC-RESPAILLES")</f>
        <v>IDRAC-RESPAILLES</v>
      </c>
      <c r="E14674" s="38" t="s">
        <v>440</v>
      </c>
      <c r="F14674" s="38" t="s">
        <v>94</v>
      </c>
      <c r="G14674" s="49" t="str">
        <f t="shared" si="1"/>
        <v>32300</v>
      </c>
      <c r="H14674" s="49">
        <f t="shared" si="2"/>
        <v>32156</v>
      </c>
    </row>
    <row r="14675">
      <c r="A14675" s="48" t="s">
        <v>1579</v>
      </c>
      <c r="B14675" s="38">
        <v>63285.0</v>
      </c>
      <c r="C14675" s="38" t="s">
        <v>18997</v>
      </c>
      <c r="D14675" s="38" t="str">
        <f>IFERROR(__xludf.DUMMYFUNCTION("REGEXREPLACE(C14675,""-\d+(.*)|--\d+(.*)"","""")"),"PONTGIBAUD")</f>
        <v>PONTGIBAUD</v>
      </c>
      <c r="E14675" s="38" t="s">
        <v>353</v>
      </c>
      <c r="F14675" s="38" t="s">
        <v>161</v>
      </c>
      <c r="G14675" s="49" t="str">
        <f t="shared" si="1"/>
        <v>63230</v>
      </c>
      <c r="H14675" s="49">
        <f t="shared" si="2"/>
        <v>63285</v>
      </c>
    </row>
    <row r="14676">
      <c r="A14676" s="48" t="s">
        <v>2296</v>
      </c>
      <c r="B14676" s="38">
        <v>47189.0</v>
      </c>
      <c r="C14676" s="38" t="s">
        <v>18998</v>
      </c>
      <c r="D14676" s="38" t="str">
        <f>IFERROR(__xludf.DUMMYFUNCTION("REGEXREPLACE(C14676,""-\d+(.*)|--\d+(.*)"","""")"),"MONTIGNAC-TOUPINERIE")</f>
        <v>MONTIGNAC-TOUPINERIE</v>
      </c>
      <c r="E14676" s="38" t="s">
        <v>251</v>
      </c>
      <c r="F14676" s="38" t="s">
        <v>252</v>
      </c>
      <c r="G14676" s="49" t="str">
        <f t="shared" si="1"/>
        <v>47350</v>
      </c>
      <c r="H14676" s="49">
        <f t="shared" si="2"/>
        <v>47189</v>
      </c>
    </row>
    <row r="14677">
      <c r="A14677" s="48" t="s">
        <v>4499</v>
      </c>
      <c r="B14677" s="38">
        <v>25330.0</v>
      </c>
      <c r="C14677" s="38" t="s">
        <v>18999</v>
      </c>
      <c r="D14677" s="38" t="str">
        <f>IFERROR(__xludf.DUMMYFUNCTION("REGEXREPLACE(C14677,""-\d+(.*)|--\d+(.*)"","""")"),"LAVANS-QUINGEY")</f>
        <v>LAVANS-QUINGEY</v>
      </c>
      <c r="E14677" s="38" t="s">
        <v>213</v>
      </c>
      <c r="F14677" s="38" t="s">
        <v>214</v>
      </c>
      <c r="G14677" s="49" t="str">
        <f t="shared" si="1"/>
        <v>25440</v>
      </c>
      <c r="H14677" s="49">
        <f t="shared" si="2"/>
        <v>25330</v>
      </c>
    </row>
    <row r="14678">
      <c r="A14678" s="48" t="s">
        <v>3219</v>
      </c>
      <c r="B14678" s="38">
        <v>22337.0</v>
      </c>
      <c r="C14678" s="38" t="s">
        <v>19000</v>
      </c>
      <c r="D14678" s="38" t="str">
        <f>IFERROR(__xludf.DUMMYFUNCTION("REGEXREPLACE(C14678,""-\d+(.*)|--\d+(.*)"","""")"),"SEVIGNAC")</f>
        <v>SEVIGNAC</v>
      </c>
      <c r="E14678" s="38" t="s">
        <v>89</v>
      </c>
      <c r="F14678" s="38" t="s">
        <v>90</v>
      </c>
      <c r="G14678" s="49" t="str">
        <f t="shared" si="1"/>
        <v>22250</v>
      </c>
      <c r="H14678" s="49">
        <f t="shared" si="2"/>
        <v>22337</v>
      </c>
    </row>
    <row r="14679">
      <c r="A14679" s="48" t="s">
        <v>1422</v>
      </c>
      <c r="B14679" s="38">
        <v>14285.0</v>
      </c>
      <c r="C14679" s="38" t="s">
        <v>19001</v>
      </c>
      <c r="D14679" s="38" t="str">
        <f>IFERROR(__xludf.DUMMYFUNCTION("REGEXREPLACE(C14679,""-\d+(.*)|--\d+(.*)"","""")"),"LE FOURNET")</f>
        <v>LE FOURNET</v>
      </c>
      <c r="E14679" s="38" t="s">
        <v>137</v>
      </c>
      <c r="F14679" s="38" t="s">
        <v>138</v>
      </c>
      <c r="G14679" s="49" t="str">
        <f t="shared" si="1"/>
        <v>14340</v>
      </c>
      <c r="H14679" s="49">
        <f t="shared" si="2"/>
        <v>14285</v>
      </c>
    </row>
    <row r="14680">
      <c r="A14680" s="48" t="s">
        <v>3293</v>
      </c>
      <c r="B14680" s="38">
        <v>73137.0</v>
      </c>
      <c r="C14680" s="38" t="s">
        <v>19002</v>
      </c>
      <c r="D14680" s="38" t="str">
        <f>IFERROR(__xludf.DUMMYFUNCTION("REGEXREPLACE(C14680,""-\d+(.*)|--\d+(.*)"","""")"),"JACOB-BELLECOMBETTE")</f>
        <v>JACOB-BELLECOMBETTE</v>
      </c>
      <c r="E14680" s="38" t="s">
        <v>306</v>
      </c>
      <c r="F14680" s="38" t="s">
        <v>102</v>
      </c>
      <c r="G14680" s="49" t="str">
        <f t="shared" si="1"/>
        <v>73000</v>
      </c>
      <c r="H14680" s="49">
        <f t="shared" si="2"/>
        <v>73137</v>
      </c>
    </row>
    <row r="14681">
      <c r="A14681" s="48" t="s">
        <v>13763</v>
      </c>
      <c r="B14681" s="38">
        <v>1392.0</v>
      </c>
      <c r="C14681" s="38" t="s">
        <v>19003</v>
      </c>
      <c r="D14681" s="38" t="str">
        <f>IFERROR(__xludf.DUMMYFUNCTION("REGEXREPLACE(C14681,""-\d+(.*)|--\d+(.*)"","""")"),"SAMOGNAT")</f>
        <v>SAMOGNAT</v>
      </c>
      <c r="E14681" s="38" t="s">
        <v>255</v>
      </c>
      <c r="F14681" s="38" t="s">
        <v>102</v>
      </c>
      <c r="G14681" s="49" t="str">
        <f t="shared" si="1"/>
        <v>01580</v>
      </c>
      <c r="H14681" s="49" t="str">
        <f t="shared" si="2"/>
        <v>01392</v>
      </c>
    </row>
    <row r="14682">
      <c r="A14682" s="48" t="s">
        <v>11152</v>
      </c>
      <c r="B14682" s="38">
        <v>61031.0</v>
      </c>
      <c r="C14682" s="38" t="s">
        <v>18352</v>
      </c>
      <c r="D14682" s="38" t="str">
        <f>IFERROR(__xludf.DUMMYFUNCTION("REGEXREPLACE(C14682,""-\d+(.*)|--\d+(.*)"","""")"),"BEAUCHENE")</f>
        <v>BEAUCHENE</v>
      </c>
      <c r="E14682" s="38" t="s">
        <v>141</v>
      </c>
      <c r="F14682" s="38" t="s">
        <v>138</v>
      </c>
      <c r="G14682" s="49" t="str">
        <f t="shared" si="1"/>
        <v>61800</v>
      </c>
      <c r="H14682" s="49">
        <f t="shared" si="2"/>
        <v>61031</v>
      </c>
    </row>
    <row r="14683">
      <c r="A14683" s="48" t="s">
        <v>5956</v>
      </c>
      <c r="B14683" s="38">
        <v>62721.0</v>
      </c>
      <c r="C14683" s="38" t="s">
        <v>19004</v>
      </c>
      <c r="D14683" s="38" t="str">
        <f>IFERROR(__xludf.DUMMYFUNCTION("REGEXREPLACE(C14683,""-\d+(.*)|--\d+(.*)"","""")"),"ROQUETOIRE")</f>
        <v>ROQUETOIRE</v>
      </c>
      <c r="E14683" s="38" t="s">
        <v>109</v>
      </c>
      <c r="F14683" s="38" t="s">
        <v>86</v>
      </c>
      <c r="G14683" s="49" t="str">
        <f t="shared" si="1"/>
        <v>62120</v>
      </c>
      <c r="H14683" s="49">
        <f t="shared" si="2"/>
        <v>62721</v>
      </c>
    </row>
    <row r="14684">
      <c r="A14684" s="48" t="s">
        <v>576</v>
      </c>
      <c r="B14684" s="38">
        <v>54381.0</v>
      </c>
      <c r="C14684" s="38" t="s">
        <v>19005</v>
      </c>
      <c r="D14684" s="38" t="str">
        <f>IFERROR(__xludf.DUMMYFUNCTION("REGEXREPLACE(C14684,""-\d+(.*)|--\d+(.*)"","""")"),"MONTREUX")</f>
        <v>MONTREUX</v>
      </c>
      <c r="E14684" s="38" t="s">
        <v>548</v>
      </c>
      <c r="F14684" s="38" t="s">
        <v>195</v>
      </c>
      <c r="G14684" s="49" t="str">
        <f t="shared" si="1"/>
        <v>54450</v>
      </c>
      <c r="H14684" s="49">
        <f t="shared" si="2"/>
        <v>54381</v>
      </c>
    </row>
    <row r="14685">
      <c r="A14685" s="48" t="s">
        <v>19006</v>
      </c>
      <c r="B14685" s="38">
        <v>51403.0</v>
      </c>
      <c r="C14685" s="38" t="s">
        <v>19007</v>
      </c>
      <c r="D14685" s="38" t="str">
        <f>IFERROR(__xludf.DUMMYFUNCTION("REGEXREPLACE(C14685,""-\d+(.*)|--\d+(.*)"","""")"),"NOGENT-L'ABBESSE")</f>
        <v>NOGENT-L'ABBESSE</v>
      </c>
      <c r="E14685" s="38" t="s">
        <v>129</v>
      </c>
      <c r="F14685" s="38" t="s">
        <v>130</v>
      </c>
      <c r="G14685" s="49" t="str">
        <f t="shared" si="1"/>
        <v>51420</v>
      </c>
      <c r="H14685" s="49">
        <f t="shared" si="2"/>
        <v>51403</v>
      </c>
    </row>
    <row r="14686">
      <c r="A14686" s="48" t="s">
        <v>767</v>
      </c>
      <c r="B14686" s="38">
        <v>91121.0</v>
      </c>
      <c r="C14686" s="38" t="s">
        <v>19008</v>
      </c>
      <c r="D14686" s="38" t="str">
        <f>IFERROR(__xludf.DUMMYFUNCTION("REGEXREPLACE(C14686,""-\d+(.*)|--\d+(.*)"","""")"),"BUNO-BONNEVAUX")</f>
        <v>BUNO-BONNEVAUX</v>
      </c>
      <c r="E14686" s="38" t="s">
        <v>756</v>
      </c>
      <c r="F14686" s="38" t="s">
        <v>245</v>
      </c>
      <c r="G14686" s="49" t="str">
        <f t="shared" si="1"/>
        <v>91720</v>
      </c>
      <c r="H14686" s="49">
        <f t="shared" si="2"/>
        <v>91121</v>
      </c>
    </row>
    <row r="14687">
      <c r="A14687" s="48" t="s">
        <v>3793</v>
      </c>
      <c r="B14687" s="38">
        <v>86170.0</v>
      </c>
      <c r="C14687" s="38" t="s">
        <v>19009</v>
      </c>
      <c r="D14687" s="38" t="str">
        <f>IFERROR(__xludf.DUMMYFUNCTION("REGEXREPLACE(C14687,""-\d+(.*)|--\d+(.*)"","""")"),"MOULISMES")</f>
        <v>MOULISMES</v>
      </c>
      <c r="E14687" s="38" t="s">
        <v>529</v>
      </c>
      <c r="F14687" s="38" t="s">
        <v>338</v>
      </c>
      <c r="G14687" s="49" t="str">
        <f t="shared" si="1"/>
        <v>86500</v>
      </c>
      <c r="H14687" s="49">
        <f t="shared" si="2"/>
        <v>86170</v>
      </c>
    </row>
    <row r="14688">
      <c r="A14688" s="48" t="s">
        <v>19010</v>
      </c>
      <c r="B14688" s="38">
        <v>97228.0</v>
      </c>
      <c r="C14688" s="38" t="s">
        <v>7412</v>
      </c>
      <c r="D14688" s="38" t="str">
        <f>IFERROR(__xludf.DUMMYFUNCTION("REGEXREPLACE(C14688,""-\d+(.*)|--\d+(.*)"","""")"),"SAINTE-MARIE")</f>
        <v>SAINTE-MARIE</v>
      </c>
      <c r="E14688" s="38" t="s">
        <v>2282</v>
      </c>
      <c r="F14688" s="38" t="s">
        <v>2282</v>
      </c>
      <c r="G14688" s="49" t="str">
        <f t="shared" si="1"/>
        <v>97230</v>
      </c>
      <c r="H14688" s="49">
        <f t="shared" si="2"/>
        <v>97228</v>
      </c>
    </row>
    <row r="14689">
      <c r="A14689" s="48" t="s">
        <v>4123</v>
      </c>
      <c r="B14689" s="38">
        <v>60668.0</v>
      </c>
      <c r="C14689" s="38" t="s">
        <v>19011</v>
      </c>
      <c r="D14689" s="38" t="str">
        <f>IFERROR(__xludf.DUMMYFUNCTION("REGEXREPLACE(C14689,""-\d+(.*)|--\d+(.*)"","""")"),"VERDEREL-LES-SAUQUEUSE")</f>
        <v>VERDEREL-LES-SAUQUEUSE</v>
      </c>
      <c r="E14689" s="38" t="s">
        <v>112</v>
      </c>
      <c r="F14689" s="38" t="s">
        <v>113</v>
      </c>
      <c r="G14689" s="49" t="str">
        <f t="shared" si="1"/>
        <v>60112</v>
      </c>
      <c r="H14689" s="49">
        <f t="shared" si="2"/>
        <v>60668</v>
      </c>
    </row>
    <row r="14690">
      <c r="A14690" s="48" t="s">
        <v>15517</v>
      </c>
      <c r="B14690" s="38">
        <v>41118.0</v>
      </c>
      <c r="C14690" s="38" t="s">
        <v>19012</v>
      </c>
      <c r="D14690" s="38" t="str">
        <f>IFERROR(__xludf.DUMMYFUNCTION("REGEXREPLACE(C14690,""-\d+(.*)|--\d+(.*)"","""")"),"LOREUX")</f>
        <v>LOREUX</v>
      </c>
      <c r="E14690" s="38" t="s">
        <v>188</v>
      </c>
      <c r="F14690" s="38" t="s">
        <v>123</v>
      </c>
      <c r="G14690" s="49" t="str">
        <f t="shared" si="1"/>
        <v>41200</v>
      </c>
      <c r="H14690" s="49">
        <f t="shared" si="2"/>
        <v>41118</v>
      </c>
    </row>
    <row r="14691">
      <c r="A14691" s="48" t="s">
        <v>866</v>
      </c>
      <c r="B14691" s="38">
        <v>63185.0</v>
      </c>
      <c r="C14691" s="38" t="s">
        <v>19013</v>
      </c>
      <c r="D14691" s="38" t="str">
        <f>IFERROR(__xludf.DUMMYFUNCTION("REGEXREPLACE(C14691,""-\d+(.*)|--\d+(.*)"","""")"),"LAMONTGIE")</f>
        <v>LAMONTGIE</v>
      </c>
      <c r="E14691" s="38" t="s">
        <v>353</v>
      </c>
      <c r="F14691" s="38" t="s">
        <v>161</v>
      </c>
      <c r="G14691" s="49" t="str">
        <f t="shared" si="1"/>
        <v>63570</v>
      </c>
      <c r="H14691" s="49">
        <f t="shared" si="2"/>
        <v>63185</v>
      </c>
    </row>
    <row r="14692">
      <c r="A14692" s="48" t="s">
        <v>1070</v>
      </c>
      <c r="B14692" s="38">
        <v>39509.0</v>
      </c>
      <c r="C14692" s="38" t="s">
        <v>19014</v>
      </c>
      <c r="D14692" s="38" t="str">
        <f>IFERROR(__xludf.DUMMYFUNCTION("REGEXREPLACE(C14692,""-\d+(.*)|--\d+(.*)"","""")"),"SENAUD")</f>
        <v>SENAUD</v>
      </c>
      <c r="E14692" s="38" t="s">
        <v>400</v>
      </c>
      <c r="F14692" s="38" t="s">
        <v>214</v>
      </c>
      <c r="G14692" s="49" t="str">
        <f t="shared" si="1"/>
        <v>39160</v>
      </c>
      <c r="H14692" s="49">
        <f t="shared" si="2"/>
        <v>39509</v>
      </c>
    </row>
    <row r="14693">
      <c r="A14693" s="48" t="s">
        <v>1531</v>
      </c>
      <c r="B14693" s="38">
        <v>65307.0</v>
      </c>
      <c r="C14693" s="38" t="s">
        <v>19015</v>
      </c>
      <c r="D14693" s="38" t="str">
        <f>IFERROR(__xludf.DUMMYFUNCTION("REGEXREPLACE(C14693,""-\d+(.*)|--\d+(.*)"","""")"),"MAZERES-DE-NESTE")</f>
        <v>MAZERES-DE-NESTE</v>
      </c>
      <c r="E14693" s="38" t="s">
        <v>200</v>
      </c>
      <c r="F14693" s="38" t="s">
        <v>94</v>
      </c>
      <c r="G14693" s="49" t="str">
        <f t="shared" si="1"/>
        <v>65150</v>
      </c>
      <c r="H14693" s="49">
        <f t="shared" si="2"/>
        <v>65307</v>
      </c>
    </row>
    <row r="14694">
      <c r="A14694" s="48" t="s">
        <v>8752</v>
      </c>
      <c r="B14694" s="38">
        <v>6016.0</v>
      </c>
      <c r="C14694" s="38" t="s">
        <v>19016</v>
      </c>
      <c r="D14694" s="38" t="str">
        <f>IFERROR(__xludf.DUMMYFUNCTION("REGEXREPLACE(C14694,""-\d+(.*)|--\d+(.*)"","""")"),"BEUIL")</f>
        <v>BEUIL</v>
      </c>
      <c r="E14694" s="38" t="s">
        <v>227</v>
      </c>
      <c r="F14694" s="38" t="s">
        <v>228</v>
      </c>
      <c r="G14694" s="49" t="str">
        <f t="shared" si="1"/>
        <v>06470</v>
      </c>
      <c r="H14694" s="49" t="str">
        <f t="shared" si="2"/>
        <v>06016</v>
      </c>
    </row>
    <row r="14695">
      <c r="A14695" s="48" t="s">
        <v>1128</v>
      </c>
      <c r="B14695" s="38">
        <v>2457.0</v>
      </c>
      <c r="C14695" s="38" t="s">
        <v>19017</v>
      </c>
      <c r="D14695" s="38" t="str">
        <f>IFERROR(__xludf.DUMMYFUNCTION("REGEXREPLACE(C14695,""-\d+(.*)|--\d+(.*)"","""")"),"MARCHAIS")</f>
        <v>MARCHAIS</v>
      </c>
      <c r="E14695" s="38" t="s">
        <v>191</v>
      </c>
      <c r="F14695" s="38" t="s">
        <v>113</v>
      </c>
      <c r="G14695" s="49" t="str">
        <f t="shared" si="1"/>
        <v>02350</v>
      </c>
      <c r="H14695" s="49" t="str">
        <f t="shared" si="2"/>
        <v>02457</v>
      </c>
    </row>
    <row r="14696">
      <c r="A14696" s="48" t="s">
        <v>495</v>
      </c>
      <c r="B14696" s="38">
        <v>40154.0</v>
      </c>
      <c r="C14696" s="38" t="s">
        <v>19018</v>
      </c>
      <c r="D14696" s="38" t="str">
        <f>IFERROR(__xludf.DUMMYFUNCTION("REGEXREPLACE(C14696,""-\d+(.*)|--\d+(.*)"","""")"),"LEVIGNACQ")</f>
        <v>LEVIGNACQ</v>
      </c>
      <c r="E14696" s="38" t="s">
        <v>281</v>
      </c>
      <c r="F14696" s="38" t="s">
        <v>252</v>
      </c>
      <c r="G14696" s="49" t="str">
        <f t="shared" si="1"/>
        <v>40170</v>
      </c>
      <c r="H14696" s="49">
        <f t="shared" si="2"/>
        <v>40154</v>
      </c>
    </row>
    <row r="14697">
      <c r="A14697" s="48" t="s">
        <v>14348</v>
      </c>
      <c r="B14697" s="38">
        <v>12221.0</v>
      </c>
      <c r="C14697" s="38" t="s">
        <v>19019</v>
      </c>
      <c r="D14697" s="38" t="str">
        <f>IFERROR(__xludf.DUMMYFUNCTION("REGEXREPLACE(C14697,""-\d+(.*)|--\d+(.*)"","""")"),"SAINT-FELIX-DE-LUNEL")</f>
        <v>SAINT-FELIX-DE-LUNEL</v>
      </c>
      <c r="E14697" s="38" t="s">
        <v>465</v>
      </c>
      <c r="F14697" s="38" t="s">
        <v>94</v>
      </c>
      <c r="G14697" s="49" t="str">
        <f t="shared" si="1"/>
        <v>12320</v>
      </c>
      <c r="H14697" s="49">
        <f t="shared" si="2"/>
        <v>12221</v>
      </c>
    </row>
    <row r="14698">
      <c r="A14698" s="48" t="s">
        <v>5823</v>
      </c>
      <c r="B14698" s="38">
        <v>49229.0</v>
      </c>
      <c r="C14698" s="38" t="s">
        <v>19020</v>
      </c>
      <c r="D14698" s="38" t="str">
        <f>IFERROR(__xludf.DUMMYFUNCTION("REGEXREPLACE(C14698,""-\d+(.*)|--\d+(.*)"","""")"),"NOYANT-LA-GRAVOYERE")</f>
        <v>NOYANT-LA-GRAVOYERE</v>
      </c>
      <c r="E14698" s="38" t="s">
        <v>653</v>
      </c>
      <c r="F14698" s="38" t="s">
        <v>180</v>
      </c>
      <c r="G14698" s="49" t="str">
        <f t="shared" si="1"/>
        <v>49520</v>
      </c>
      <c r="H14698" s="49">
        <f t="shared" si="2"/>
        <v>49229</v>
      </c>
    </row>
    <row r="14699">
      <c r="A14699" s="48" t="s">
        <v>1632</v>
      </c>
      <c r="B14699" s="38">
        <v>63017.0</v>
      </c>
      <c r="C14699" s="38" t="s">
        <v>19021</v>
      </c>
      <c r="D14699" s="38" t="str">
        <f>IFERROR(__xludf.DUMMYFUNCTION("REGEXREPLACE(C14699,""-\d+(.*)|--\d+(.*)"","""")"),"AUGNAT")</f>
        <v>AUGNAT</v>
      </c>
      <c r="E14699" s="38" t="s">
        <v>353</v>
      </c>
      <c r="F14699" s="38" t="s">
        <v>161</v>
      </c>
      <c r="G14699" s="49" t="str">
        <f t="shared" si="1"/>
        <v>63340</v>
      </c>
      <c r="H14699" s="49">
        <f t="shared" si="2"/>
        <v>63017</v>
      </c>
    </row>
    <row r="14700">
      <c r="A14700" s="48" t="s">
        <v>19022</v>
      </c>
      <c r="B14700" s="38">
        <v>63407.0</v>
      </c>
      <c r="C14700" s="38" t="s">
        <v>19023</v>
      </c>
      <c r="D14700" s="38" t="str">
        <f>IFERROR(__xludf.DUMMYFUNCTION("REGEXREPLACE(C14700,""-\d+(.*)|--\d+(.*)"","""")"),"SAULZET-LE-FROID")</f>
        <v>SAULZET-LE-FROID</v>
      </c>
      <c r="E14700" s="38" t="s">
        <v>353</v>
      </c>
      <c r="F14700" s="38" t="s">
        <v>161</v>
      </c>
      <c r="G14700" s="49" t="str">
        <f t="shared" si="1"/>
        <v>63970</v>
      </c>
      <c r="H14700" s="49">
        <f t="shared" si="2"/>
        <v>63407</v>
      </c>
    </row>
    <row r="14701">
      <c r="A14701" s="48" t="s">
        <v>1848</v>
      </c>
      <c r="B14701" s="38">
        <v>15134.0</v>
      </c>
      <c r="C14701" s="38" t="s">
        <v>19024</v>
      </c>
      <c r="D14701" s="38" t="str">
        <f>IFERROR(__xludf.DUMMYFUNCTION("REGEXREPLACE(C14701,""-\d+(.*)|--\d+(.*)"","""")"),"MONTSALVY")</f>
        <v>MONTSALVY</v>
      </c>
      <c r="E14701" s="38" t="s">
        <v>632</v>
      </c>
      <c r="F14701" s="38" t="s">
        <v>161</v>
      </c>
      <c r="G14701" s="49" t="str">
        <f t="shared" si="1"/>
        <v>15120</v>
      </c>
      <c r="H14701" s="49">
        <f t="shared" si="2"/>
        <v>15134</v>
      </c>
    </row>
    <row r="14702">
      <c r="A14702" s="48" t="s">
        <v>5032</v>
      </c>
      <c r="B14702" s="38">
        <v>44095.0</v>
      </c>
      <c r="C14702" s="38" t="s">
        <v>19025</v>
      </c>
      <c r="D14702" s="38" t="str">
        <f>IFERROR(__xludf.DUMMYFUNCTION("REGEXREPLACE(C14702,""-\d+(.*)|--\d+(.*)"","""")"),"LA MEILLERAYE-DE-BRETAGNE")</f>
        <v>LA MEILLERAYE-DE-BRETAGNE</v>
      </c>
      <c r="E14702" s="38" t="s">
        <v>759</v>
      </c>
      <c r="F14702" s="38" t="s">
        <v>180</v>
      </c>
      <c r="G14702" s="49" t="str">
        <f t="shared" si="1"/>
        <v>44520</v>
      </c>
      <c r="H14702" s="49">
        <f t="shared" si="2"/>
        <v>44095</v>
      </c>
    </row>
    <row r="14703">
      <c r="A14703" s="48" t="s">
        <v>2073</v>
      </c>
      <c r="B14703" s="38">
        <v>8020.0</v>
      </c>
      <c r="C14703" s="38" t="s">
        <v>19026</v>
      </c>
      <c r="D14703" s="38" t="str">
        <f>IFERROR(__xludf.DUMMYFUNCTION("REGEXREPLACE(C14703,""-\d+(.*)|--\d+(.*)"","""")"),"LES PETITES-ARMOISES")</f>
        <v>LES PETITES-ARMOISES</v>
      </c>
      <c r="E14703" s="38" t="s">
        <v>327</v>
      </c>
      <c r="F14703" s="38" t="s">
        <v>130</v>
      </c>
      <c r="G14703" s="49" t="str">
        <f t="shared" si="1"/>
        <v>08390</v>
      </c>
      <c r="H14703" s="49" t="str">
        <f t="shared" si="2"/>
        <v>08020</v>
      </c>
    </row>
    <row r="14704">
      <c r="A14704" s="48" t="s">
        <v>8587</v>
      </c>
      <c r="B14704" s="38">
        <v>66191.0</v>
      </c>
      <c r="C14704" s="38" t="s">
        <v>19027</v>
      </c>
      <c r="D14704" s="38" t="str">
        <f>IFERROR(__xludf.DUMMYFUNCTION("REGEXREPLACE(C14704,""-\d+(.*)|--\d+(.*)"","""")"),"SANSA")</f>
        <v>SANSA</v>
      </c>
      <c r="E14704" s="38" t="s">
        <v>248</v>
      </c>
      <c r="F14704" s="38" t="s">
        <v>119</v>
      </c>
      <c r="G14704" s="49" t="str">
        <f t="shared" si="1"/>
        <v>66360</v>
      </c>
      <c r="H14704" s="49">
        <f t="shared" si="2"/>
        <v>66191</v>
      </c>
    </row>
    <row r="14705">
      <c r="A14705" s="48" t="s">
        <v>2292</v>
      </c>
      <c r="B14705" s="38">
        <v>76369.0</v>
      </c>
      <c r="C14705" s="38" t="s">
        <v>19028</v>
      </c>
      <c r="D14705" s="38" t="str">
        <f>IFERROR(__xludf.DUMMYFUNCTION("REGEXREPLACE(C14705,""-\d+(.*)|--\d+(.*)"","""")"),"LA HOUSSAYE-BERANGER")</f>
        <v>LA HOUSSAYE-BERANGER</v>
      </c>
      <c r="E14705" s="38" t="s">
        <v>133</v>
      </c>
      <c r="F14705" s="38" t="s">
        <v>134</v>
      </c>
      <c r="G14705" s="49" t="str">
        <f t="shared" si="1"/>
        <v>76690</v>
      </c>
      <c r="H14705" s="49">
        <f t="shared" si="2"/>
        <v>76369</v>
      </c>
    </row>
    <row r="14706">
      <c r="A14706" s="48" t="s">
        <v>18847</v>
      </c>
      <c r="B14706" s="38">
        <v>56030.0</v>
      </c>
      <c r="C14706" s="38" t="s">
        <v>19029</v>
      </c>
      <c r="D14706" s="38" t="str">
        <f>IFERROR(__xludf.DUMMYFUNCTION("REGEXREPLACE(C14706,""-\d+(.*)|--\d+(.*)"","""")"),"CAMOEL")</f>
        <v>CAMOEL</v>
      </c>
      <c r="E14706" s="38" t="s">
        <v>173</v>
      </c>
      <c r="F14706" s="38" t="s">
        <v>90</v>
      </c>
      <c r="G14706" s="49" t="str">
        <f t="shared" si="1"/>
        <v>56130</v>
      </c>
      <c r="H14706" s="49">
        <f t="shared" si="2"/>
        <v>56030</v>
      </c>
    </row>
    <row r="14707">
      <c r="A14707" s="48" t="s">
        <v>2714</v>
      </c>
      <c r="B14707" s="38">
        <v>61251.0</v>
      </c>
      <c r="C14707" s="38" t="s">
        <v>19030</v>
      </c>
      <c r="D14707" s="38" t="str">
        <f>IFERROR(__xludf.DUMMYFUNCTION("REGEXREPLACE(C14707,""-\d+(.*)|--\d+(.*)"","""")"),"MARCHEMAISONS")</f>
        <v>MARCHEMAISONS</v>
      </c>
      <c r="E14707" s="38" t="s">
        <v>141</v>
      </c>
      <c r="F14707" s="38" t="s">
        <v>138</v>
      </c>
      <c r="G14707" s="49" t="str">
        <f t="shared" si="1"/>
        <v>61170</v>
      </c>
      <c r="H14707" s="49">
        <f t="shared" si="2"/>
        <v>61251</v>
      </c>
    </row>
    <row r="14708">
      <c r="A14708" s="48" t="s">
        <v>2059</v>
      </c>
      <c r="B14708" s="38">
        <v>37035.0</v>
      </c>
      <c r="C14708" s="38" t="s">
        <v>19031</v>
      </c>
      <c r="D14708" s="38" t="str">
        <f>IFERROR(__xludf.DUMMYFUNCTION("REGEXREPLACE(C14708,""-\d+(.*)|--\d+(.*)"","""")"),"BRAYE-SOUS-FAYE")</f>
        <v>BRAYE-SOUS-FAYE</v>
      </c>
      <c r="E14708" s="38" t="s">
        <v>205</v>
      </c>
      <c r="F14708" s="38" t="s">
        <v>123</v>
      </c>
      <c r="G14708" s="49" t="str">
        <f t="shared" si="1"/>
        <v>37120</v>
      </c>
      <c r="H14708" s="49">
        <f t="shared" si="2"/>
        <v>37035</v>
      </c>
    </row>
    <row r="14709">
      <c r="A14709" s="48" t="s">
        <v>19032</v>
      </c>
      <c r="B14709" s="38">
        <v>87122.0</v>
      </c>
      <c r="C14709" s="38" t="s">
        <v>19033</v>
      </c>
      <c r="D14709" s="38" t="str">
        <f>IFERROR(__xludf.DUMMYFUNCTION("REGEXREPLACE(C14709,""-\d+(.*)|--\d+(.*)"","""")"),"RAZES")</f>
        <v>RAZES</v>
      </c>
      <c r="E14709" s="38" t="s">
        <v>897</v>
      </c>
      <c r="F14709" s="38" t="s">
        <v>98</v>
      </c>
      <c r="G14709" s="49" t="str">
        <f t="shared" si="1"/>
        <v>87640</v>
      </c>
      <c r="H14709" s="49">
        <f t="shared" si="2"/>
        <v>87122</v>
      </c>
    </row>
    <row r="14710">
      <c r="A14710" s="48" t="s">
        <v>10052</v>
      </c>
      <c r="B14710" s="38">
        <v>39339.0</v>
      </c>
      <c r="C14710" s="38" t="s">
        <v>19034</v>
      </c>
      <c r="D14710" s="38" t="str">
        <f>IFERROR(__xludf.DUMMYFUNCTION("REGEXREPLACE(C14710,""-\d+(.*)|--\d+(.*)"","""")"),"MOLINGES")</f>
        <v>MOLINGES</v>
      </c>
      <c r="E14710" s="38" t="s">
        <v>400</v>
      </c>
      <c r="F14710" s="38" t="s">
        <v>214</v>
      </c>
      <c r="G14710" s="49" t="str">
        <f t="shared" si="1"/>
        <v>39360</v>
      </c>
      <c r="H14710" s="49">
        <f t="shared" si="2"/>
        <v>39339</v>
      </c>
    </row>
    <row r="14711">
      <c r="A14711" s="48" t="s">
        <v>1077</v>
      </c>
      <c r="B14711" s="38">
        <v>25574.0</v>
      </c>
      <c r="C14711" s="38" t="s">
        <v>19035</v>
      </c>
      <c r="D14711" s="38" t="str">
        <f>IFERROR(__xludf.DUMMYFUNCTION("REGEXREPLACE(C14711,""-\d+(.*)|--\d+(.*)"","""")"),"UZELLE")</f>
        <v>UZELLE</v>
      </c>
      <c r="E14711" s="38" t="s">
        <v>213</v>
      </c>
      <c r="F14711" s="38" t="s">
        <v>214</v>
      </c>
      <c r="G14711" s="49" t="str">
        <f t="shared" si="1"/>
        <v>25340</v>
      </c>
      <c r="H14711" s="49">
        <f t="shared" si="2"/>
        <v>25574</v>
      </c>
    </row>
    <row r="14712">
      <c r="A14712" s="48" t="s">
        <v>10974</v>
      </c>
      <c r="B14712" s="38">
        <v>66179.0</v>
      </c>
      <c r="C14712" s="38" t="s">
        <v>19036</v>
      </c>
      <c r="D14712" s="38" t="str">
        <f>IFERROR(__xludf.DUMMYFUNCTION("REGEXREPLACE(C14712,""-\d+(.*)|--\d+(.*)"","""")"),"SAINT-LAURENT-DE-CERDANS")</f>
        <v>SAINT-LAURENT-DE-CERDANS</v>
      </c>
      <c r="E14712" s="38" t="s">
        <v>248</v>
      </c>
      <c r="F14712" s="38" t="s">
        <v>119</v>
      </c>
      <c r="G14712" s="49" t="str">
        <f t="shared" si="1"/>
        <v>66260</v>
      </c>
      <c r="H14712" s="49">
        <f t="shared" si="2"/>
        <v>66179</v>
      </c>
    </row>
    <row r="14713">
      <c r="A14713" s="48" t="s">
        <v>7116</v>
      </c>
      <c r="B14713" s="38">
        <v>84062.0</v>
      </c>
      <c r="C14713" s="38" t="s">
        <v>19037</v>
      </c>
      <c r="D14713" s="38" t="str">
        <f>IFERROR(__xludf.DUMMYFUNCTION("REGEXREPLACE(C14713,""-\d+(.*)|--\d+(.*)"","""")"),"LAGNES")</f>
        <v>LAGNES</v>
      </c>
      <c r="E14713" s="38" t="s">
        <v>1026</v>
      </c>
      <c r="F14713" s="38" t="s">
        <v>228</v>
      </c>
      <c r="G14713" s="49" t="str">
        <f t="shared" si="1"/>
        <v>84800</v>
      </c>
      <c r="H14713" s="49">
        <f t="shared" si="2"/>
        <v>84062</v>
      </c>
    </row>
    <row r="14714">
      <c r="A14714" s="48" t="s">
        <v>1174</v>
      </c>
      <c r="B14714" s="38">
        <v>51288.0</v>
      </c>
      <c r="C14714" s="38" t="s">
        <v>19038</v>
      </c>
      <c r="D14714" s="38" t="str">
        <f>IFERROR(__xludf.DUMMYFUNCTION("REGEXREPLACE(C14714,""-\d+(.*)|--\d+(.*)"","""")"),"HEILTZ-LE-HUTIER")</f>
        <v>HEILTZ-LE-HUTIER</v>
      </c>
      <c r="E14714" s="38" t="s">
        <v>129</v>
      </c>
      <c r="F14714" s="38" t="s">
        <v>130</v>
      </c>
      <c r="G14714" s="49" t="str">
        <f t="shared" si="1"/>
        <v>51300</v>
      </c>
      <c r="H14714" s="49">
        <f t="shared" si="2"/>
        <v>51288</v>
      </c>
    </row>
    <row r="14715">
      <c r="A14715" s="48" t="s">
        <v>8267</v>
      </c>
      <c r="B14715" s="38">
        <v>22378.0</v>
      </c>
      <c r="C14715" s="38" t="s">
        <v>19039</v>
      </c>
      <c r="D14715" s="38" t="str">
        <f>IFERROR(__xludf.DUMMYFUNCTION("REGEXREPLACE(C14715,""-\d+(.*)|--\d+(.*)"","""")"),"TREVEREC")</f>
        <v>TREVEREC</v>
      </c>
      <c r="E14715" s="38" t="s">
        <v>89</v>
      </c>
      <c r="F14715" s="38" t="s">
        <v>90</v>
      </c>
      <c r="G14715" s="49" t="str">
        <f t="shared" si="1"/>
        <v>22290</v>
      </c>
      <c r="H14715" s="49">
        <f t="shared" si="2"/>
        <v>22378</v>
      </c>
    </row>
    <row r="14716">
      <c r="A14716" s="48" t="s">
        <v>4108</v>
      </c>
      <c r="B14716" s="38" t="s">
        <v>19040</v>
      </c>
      <c r="C14716" s="38" t="s">
        <v>19041</v>
      </c>
      <c r="D14716" s="38" t="str">
        <f>IFERROR(__xludf.DUMMYFUNCTION("REGEXREPLACE(C14716,""-\d+(.*)|--\d+(.*)"","""")"),"L'ILE-ROUSSE")</f>
        <v>L'ILE-ROUSSE</v>
      </c>
      <c r="E14716" s="38" t="s">
        <v>743</v>
      </c>
      <c r="F14716" s="38" t="s">
        <v>607</v>
      </c>
      <c r="G14716" s="49" t="str">
        <f t="shared" si="1"/>
        <v>20220</v>
      </c>
      <c r="H14716" s="49" t="str">
        <f t="shared" si="2"/>
        <v>2B134</v>
      </c>
    </row>
    <row r="14717">
      <c r="A14717" s="48" t="s">
        <v>3596</v>
      </c>
      <c r="B14717" s="38">
        <v>25309.0</v>
      </c>
      <c r="C14717" s="38" t="s">
        <v>19042</v>
      </c>
      <c r="D14717" s="38" t="str">
        <f>IFERROR(__xludf.DUMMYFUNCTION("REGEXREPLACE(C14717,""-\d+(.*)|--\d+(.*)"","""")"),"HOUTAUD")</f>
        <v>HOUTAUD</v>
      </c>
      <c r="E14717" s="38" t="s">
        <v>213</v>
      </c>
      <c r="F14717" s="38" t="s">
        <v>214</v>
      </c>
      <c r="G14717" s="49" t="str">
        <f t="shared" si="1"/>
        <v>25300</v>
      </c>
      <c r="H14717" s="49">
        <f t="shared" si="2"/>
        <v>25309</v>
      </c>
    </row>
    <row r="14718">
      <c r="A14718" s="48" t="s">
        <v>1938</v>
      </c>
      <c r="B14718" s="38">
        <v>55241.0</v>
      </c>
      <c r="C14718" s="38" t="s">
        <v>19043</v>
      </c>
      <c r="D14718" s="38" t="str">
        <f>IFERROR(__xludf.DUMMYFUNCTION("REGEXREPLACE(C14718,""-\d+(.*)|--\d+(.*)"","""")"),"HEIPPES")</f>
        <v>HEIPPES</v>
      </c>
      <c r="E14718" s="38" t="s">
        <v>322</v>
      </c>
      <c r="F14718" s="38" t="s">
        <v>195</v>
      </c>
      <c r="G14718" s="49" t="str">
        <f t="shared" si="1"/>
        <v>55220</v>
      </c>
      <c r="H14718" s="49">
        <f t="shared" si="2"/>
        <v>55241</v>
      </c>
    </row>
    <row r="14719">
      <c r="A14719" s="48" t="s">
        <v>8267</v>
      </c>
      <c r="B14719" s="38">
        <v>22236.0</v>
      </c>
      <c r="C14719" s="38" t="s">
        <v>19044</v>
      </c>
      <c r="D14719" s="38" t="str">
        <f>IFERROR(__xludf.DUMMYFUNCTION("REGEXREPLACE(C14719,""-\d+(.*)|--\d+(.*)"","""")"),"PLUDUAL")</f>
        <v>PLUDUAL</v>
      </c>
      <c r="E14719" s="38" t="s">
        <v>89</v>
      </c>
      <c r="F14719" s="38" t="s">
        <v>90</v>
      </c>
      <c r="G14719" s="49" t="str">
        <f t="shared" si="1"/>
        <v>22290</v>
      </c>
      <c r="H14719" s="49">
        <f t="shared" si="2"/>
        <v>22236</v>
      </c>
    </row>
    <row r="14720">
      <c r="A14720" s="48" t="s">
        <v>217</v>
      </c>
      <c r="B14720" s="38">
        <v>58147.0</v>
      </c>
      <c r="C14720" s="38" t="s">
        <v>19045</v>
      </c>
      <c r="D14720" s="38" t="str">
        <f>IFERROR(__xludf.DUMMYFUNCTION("REGEXREPLACE(C14720,""-\d+(.*)|--\d+(.*)"","""")"),"LURCY-LE-BOURG")</f>
        <v>LURCY-LE-BOURG</v>
      </c>
      <c r="E14720" s="38" t="s">
        <v>219</v>
      </c>
      <c r="F14720" s="38" t="s">
        <v>106</v>
      </c>
      <c r="G14720" s="49" t="str">
        <f t="shared" si="1"/>
        <v>58700</v>
      </c>
      <c r="H14720" s="49">
        <f t="shared" si="2"/>
        <v>58147</v>
      </c>
    </row>
    <row r="14721">
      <c r="A14721" s="48" t="s">
        <v>1766</v>
      </c>
      <c r="B14721" s="38">
        <v>2217.0</v>
      </c>
      <c r="C14721" s="38" t="s">
        <v>19046</v>
      </c>
      <c r="D14721" s="38" t="str">
        <f>IFERROR(__xludf.DUMMYFUNCTION("REGEXREPLACE(C14721,""-\d+(.*)|--\d+(.*)"","""")"),"COUCY-LE-CHATEAU-AUFFRIQUE")</f>
        <v>COUCY-LE-CHATEAU-AUFFRIQUE</v>
      </c>
      <c r="E14721" s="38" t="s">
        <v>191</v>
      </c>
      <c r="F14721" s="38" t="s">
        <v>113</v>
      </c>
      <c r="G14721" s="49" t="str">
        <f t="shared" si="1"/>
        <v>02380</v>
      </c>
      <c r="H14721" s="49" t="str">
        <f t="shared" si="2"/>
        <v>02217</v>
      </c>
    </row>
    <row r="14722">
      <c r="A14722" s="48" t="s">
        <v>19047</v>
      </c>
      <c r="B14722" s="38">
        <v>69127.0</v>
      </c>
      <c r="C14722" s="38" t="s">
        <v>19048</v>
      </c>
      <c r="D14722" s="38" t="str">
        <f>IFERROR(__xludf.DUMMYFUNCTION("REGEXREPLACE(C14722,""-\d+(.*)|--\d+(.*)"","""")"),"MARCY-L'ETOILE")</f>
        <v>MARCY-L'ETOILE</v>
      </c>
      <c r="E14722" s="38" t="s">
        <v>350</v>
      </c>
      <c r="F14722" s="38" t="s">
        <v>102</v>
      </c>
      <c r="G14722" s="49" t="str">
        <f t="shared" si="1"/>
        <v>69280</v>
      </c>
      <c r="H14722" s="49">
        <f t="shared" si="2"/>
        <v>69127</v>
      </c>
    </row>
    <row r="14723">
      <c r="A14723" s="48" t="s">
        <v>12799</v>
      </c>
      <c r="B14723" s="38">
        <v>11360.0</v>
      </c>
      <c r="C14723" s="38" t="s">
        <v>19049</v>
      </c>
      <c r="D14723" s="38" t="str">
        <f>IFERROR(__xludf.DUMMYFUNCTION("REGEXREPLACE(C14723,""-\d+(.*)|--\d+(.*)"","""")"),"SAINT-NAZAIRE-D'AUDE")</f>
        <v>SAINT-NAZAIRE-D'AUDE</v>
      </c>
      <c r="E14723" s="38" t="s">
        <v>278</v>
      </c>
      <c r="F14723" s="38" t="s">
        <v>119</v>
      </c>
      <c r="G14723" s="49" t="str">
        <f t="shared" si="1"/>
        <v>11120</v>
      </c>
      <c r="H14723" s="49">
        <f t="shared" si="2"/>
        <v>11360</v>
      </c>
    </row>
    <row r="14724">
      <c r="A14724" s="48" t="s">
        <v>19050</v>
      </c>
      <c r="B14724" s="38">
        <v>19059.0</v>
      </c>
      <c r="C14724" s="38" t="s">
        <v>19051</v>
      </c>
      <c r="D14724" s="38" t="str">
        <f>IFERROR(__xludf.DUMMYFUNCTION("REGEXREPLACE(C14724,""-\d+(.*)|--\d+(.*)"","""")"),"CONCEZE")</f>
        <v>CONCEZE</v>
      </c>
      <c r="E14724" s="38" t="s">
        <v>271</v>
      </c>
      <c r="F14724" s="38" t="s">
        <v>98</v>
      </c>
      <c r="G14724" s="49" t="str">
        <f t="shared" si="1"/>
        <v>19350</v>
      </c>
      <c r="H14724" s="49">
        <f t="shared" si="2"/>
        <v>19059</v>
      </c>
    </row>
    <row r="14725">
      <c r="A14725" s="48" t="s">
        <v>1205</v>
      </c>
      <c r="B14725" s="38">
        <v>54380.0</v>
      </c>
      <c r="C14725" s="38" t="s">
        <v>19052</v>
      </c>
      <c r="D14725" s="38" t="str">
        <f>IFERROR(__xludf.DUMMYFUNCTION("REGEXREPLACE(C14725,""-\d+(.*)|--\d+(.*)"","""")"),"MONT-LE-VIGNOBLE")</f>
        <v>MONT-LE-VIGNOBLE</v>
      </c>
      <c r="E14725" s="38" t="s">
        <v>548</v>
      </c>
      <c r="F14725" s="38" t="s">
        <v>195</v>
      </c>
      <c r="G14725" s="49" t="str">
        <f t="shared" si="1"/>
        <v>54113</v>
      </c>
      <c r="H14725" s="49">
        <f t="shared" si="2"/>
        <v>54380</v>
      </c>
    </row>
    <row r="14726">
      <c r="A14726" s="48" t="s">
        <v>4364</v>
      </c>
      <c r="B14726" s="38">
        <v>78082.0</v>
      </c>
      <c r="C14726" s="38" t="s">
        <v>19053</v>
      </c>
      <c r="D14726" s="38" t="str">
        <f>IFERROR(__xludf.DUMMYFUNCTION("REGEXREPLACE(C14726,""-\d+(.*)|--\d+(.*)"","""")"),"BOISSY-MAUVOISIN")</f>
        <v>BOISSY-MAUVOISIN</v>
      </c>
      <c r="E14726" s="38" t="s">
        <v>362</v>
      </c>
      <c r="F14726" s="38" t="s">
        <v>245</v>
      </c>
      <c r="G14726" s="49" t="str">
        <f t="shared" si="1"/>
        <v>78200</v>
      </c>
      <c r="H14726" s="49">
        <f t="shared" si="2"/>
        <v>78082</v>
      </c>
    </row>
    <row r="14727">
      <c r="A14727" s="48" t="s">
        <v>2538</v>
      </c>
      <c r="B14727" s="38">
        <v>12181.0</v>
      </c>
      <c r="C14727" s="38" t="s">
        <v>19054</v>
      </c>
      <c r="D14727" s="38" t="str">
        <f>IFERROR(__xludf.DUMMYFUNCTION("REGEXREPLACE(C14727,""-\d+(.*)|--\d+(.*)"","""")"),"PEYRUSSE-LE-ROC")</f>
        <v>PEYRUSSE-LE-ROC</v>
      </c>
      <c r="E14727" s="38" t="s">
        <v>465</v>
      </c>
      <c r="F14727" s="38" t="s">
        <v>94</v>
      </c>
      <c r="G14727" s="49" t="str">
        <f t="shared" si="1"/>
        <v>12220</v>
      </c>
      <c r="H14727" s="49">
        <f t="shared" si="2"/>
        <v>12181</v>
      </c>
    </row>
    <row r="14728">
      <c r="A14728" s="48" t="s">
        <v>17049</v>
      </c>
      <c r="B14728" s="38">
        <v>60536.0</v>
      </c>
      <c r="C14728" s="38" t="s">
        <v>19055</v>
      </c>
      <c r="D14728" s="38" t="str">
        <f>IFERROR(__xludf.DUMMYFUNCTION("REGEXREPLACE(C14728,""-\d+(.*)|--\d+(.*)"","""")"),"RHUIS")</f>
        <v>RHUIS</v>
      </c>
      <c r="E14728" s="38" t="s">
        <v>112</v>
      </c>
      <c r="F14728" s="38" t="s">
        <v>113</v>
      </c>
      <c r="G14728" s="49" t="str">
        <f t="shared" si="1"/>
        <v>60410</v>
      </c>
      <c r="H14728" s="49">
        <f t="shared" si="2"/>
        <v>60536</v>
      </c>
    </row>
    <row r="14729">
      <c r="A14729" s="48" t="s">
        <v>1428</v>
      </c>
      <c r="B14729" s="38">
        <v>31385.0</v>
      </c>
      <c r="C14729" s="38" t="s">
        <v>19056</v>
      </c>
      <c r="D14729" s="38" t="str">
        <f>IFERROR(__xludf.DUMMYFUNCTION("REGEXREPLACE(C14729,""-\d+(.*)|--\d+(.*)"","""")"),"MONTMAURIN")</f>
        <v>MONTMAURIN</v>
      </c>
      <c r="E14729" s="38" t="s">
        <v>93</v>
      </c>
      <c r="F14729" s="38" t="s">
        <v>94</v>
      </c>
      <c r="G14729" s="49" t="str">
        <f t="shared" si="1"/>
        <v>31350</v>
      </c>
      <c r="H14729" s="49">
        <f t="shared" si="2"/>
        <v>31385</v>
      </c>
    </row>
    <row r="14730">
      <c r="A14730" s="48" t="s">
        <v>7811</v>
      </c>
      <c r="B14730" s="38">
        <v>59291.0</v>
      </c>
      <c r="C14730" s="38" t="s">
        <v>19057</v>
      </c>
      <c r="D14730" s="38" t="str">
        <f>IFERROR(__xludf.DUMMYFUNCTION("REGEXREPLACE(C14730,""-\d+(.*)|--\d+(.*)"","""")"),"HAUTMONT")</f>
        <v>HAUTMONT</v>
      </c>
      <c r="E14730" s="38" t="s">
        <v>85</v>
      </c>
      <c r="F14730" s="38" t="s">
        <v>86</v>
      </c>
      <c r="G14730" s="49" t="str">
        <f t="shared" si="1"/>
        <v>59330</v>
      </c>
      <c r="H14730" s="49">
        <f t="shared" si="2"/>
        <v>59291</v>
      </c>
    </row>
    <row r="14731">
      <c r="A14731" s="48" t="s">
        <v>5432</v>
      </c>
      <c r="B14731" s="38">
        <v>33241.0</v>
      </c>
      <c r="C14731" s="38" t="s">
        <v>19058</v>
      </c>
      <c r="D14731" s="38" t="str">
        <f>IFERROR(__xludf.DUMMYFUNCTION("REGEXREPLACE(C14731,""-\d+(.*)|--\d+(.*)"","""")"),"LESTIAC-SUR-GARONNE")</f>
        <v>LESTIAC-SUR-GARONNE</v>
      </c>
      <c r="E14731" s="38" t="s">
        <v>462</v>
      </c>
      <c r="F14731" s="38" t="s">
        <v>252</v>
      </c>
      <c r="G14731" s="49" t="str">
        <f t="shared" si="1"/>
        <v>33550</v>
      </c>
      <c r="H14731" s="49">
        <f t="shared" si="2"/>
        <v>33241</v>
      </c>
    </row>
    <row r="14732">
      <c r="A14732" s="48" t="s">
        <v>3137</v>
      </c>
      <c r="B14732" s="38">
        <v>67310.0</v>
      </c>
      <c r="C14732" s="38" t="s">
        <v>19059</v>
      </c>
      <c r="D14732" s="38" t="str">
        <f>IFERROR(__xludf.DUMMYFUNCTION("REGEXREPLACE(C14732,""-\d+(.*)|--\d+(.*)"","""")"),"MUSSIG")</f>
        <v>MUSSIG</v>
      </c>
      <c r="E14732" s="38" t="s">
        <v>210</v>
      </c>
      <c r="F14732" s="38" t="s">
        <v>151</v>
      </c>
      <c r="G14732" s="49" t="str">
        <f t="shared" si="1"/>
        <v>67600</v>
      </c>
      <c r="H14732" s="49">
        <f t="shared" si="2"/>
        <v>67310</v>
      </c>
    </row>
    <row r="14733">
      <c r="A14733" s="48" t="s">
        <v>276</v>
      </c>
      <c r="B14733" s="38">
        <v>11321.0</v>
      </c>
      <c r="C14733" s="38" t="s">
        <v>19060</v>
      </c>
      <c r="D14733" s="38" t="str">
        <f>IFERROR(__xludf.DUMMYFUNCTION("REGEXREPLACE(C14733,""-\d+(.*)|--\d+(.*)"","""")"),"ROQUEFORT-DE-SAULT")</f>
        <v>ROQUEFORT-DE-SAULT</v>
      </c>
      <c r="E14733" s="38" t="s">
        <v>278</v>
      </c>
      <c r="F14733" s="38" t="s">
        <v>119</v>
      </c>
      <c r="G14733" s="49" t="str">
        <f t="shared" si="1"/>
        <v>11140</v>
      </c>
      <c r="H14733" s="49">
        <f t="shared" si="2"/>
        <v>11321</v>
      </c>
    </row>
    <row r="14734">
      <c r="A14734" s="48" t="s">
        <v>5477</v>
      </c>
      <c r="B14734" s="38">
        <v>74121.0</v>
      </c>
      <c r="C14734" s="38" t="s">
        <v>19061</v>
      </c>
      <c r="D14734" s="38" t="str">
        <f>IFERROR(__xludf.DUMMYFUNCTION("REGEXREPLACE(C14734,""-\d+(.*)|--\d+(.*)"","""")"),"EXCENEVEX")</f>
        <v>EXCENEVEX</v>
      </c>
      <c r="E14734" s="38" t="s">
        <v>319</v>
      </c>
      <c r="F14734" s="38" t="s">
        <v>102</v>
      </c>
      <c r="G14734" s="49" t="str">
        <f t="shared" si="1"/>
        <v>74140</v>
      </c>
      <c r="H14734" s="49">
        <f t="shared" si="2"/>
        <v>74121</v>
      </c>
    </row>
    <row r="14735">
      <c r="A14735" s="48" t="s">
        <v>16993</v>
      </c>
      <c r="B14735" s="38">
        <v>59503.0</v>
      </c>
      <c r="C14735" s="38" t="s">
        <v>19062</v>
      </c>
      <c r="D14735" s="38" t="str">
        <f>IFERROR(__xludf.DUMMYFUNCTION("REGEXREPLACE(C14735,""-\d+(.*)|--\d+(.*)"","""")"),"ROBERSART")</f>
        <v>ROBERSART</v>
      </c>
      <c r="E14735" s="38" t="s">
        <v>85</v>
      </c>
      <c r="F14735" s="38" t="s">
        <v>86</v>
      </c>
      <c r="G14735" s="49" t="str">
        <f t="shared" si="1"/>
        <v>59550</v>
      </c>
      <c r="H14735" s="49">
        <f t="shared" si="2"/>
        <v>59503</v>
      </c>
    </row>
    <row r="14736">
      <c r="A14736" s="48" t="s">
        <v>3395</v>
      </c>
      <c r="B14736" s="38">
        <v>40171.0</v>
      </c>
      <c r="C14736" s="38" t="s">
        <v>19063</v>
      </c>
      <c r="D14736" s="38" t="str">
        <f>IFERROR(__xludf.DUMMYFUNCTION("REGEXREPLACE(C14736,""-\d+(.*)|--\d+(.*)"","""")"),"MANO")</f>
        <v>MANO</v>
      </c>
      <c r="E14736" s="38" t="s">
        <v>281</v>
      </c>
      <c r="F14736" s="38" t="s">
        <v>252</v>
      </c>
      <c r="G14736" s="49" t="str">
        <f t="shared" si="1"/>
        <v>40410</v>
      </c>
      <c r="H14736" s="49">
        <f t="shared" si="2"/>
        <v>40171</v>
      </c>
    </row>
    <row r="14737">
      <c r="A14737" s="48" t="s">
        <v>19064</v>
      </c>
      <c r="B14737" s="38">
        <v>61345.0</v>
      </c>
      <c r="C14737" s="38" t="s">
        <v>19065</v>
      </c>
      <c r="D14737" s="38" t="str">
        <f>IFERROR(__xludf.DUMMYFUNCTION("REGEXREPLACE(C14737,""-\d+(.*)|--\d+(.*)"","""")"),"REMALARD")</f>
        <v>REMALARD</v>
      </c>
      <c r="E14737" s="38" t="s">
        <v>141</v>
      </c>
      <c r="F14737" s="38" t="s">
        <v>138</v>
      </c>
      <c r="G14737" s="49" t="str">
        <f t="shared" si="1"/>
        <v>61110</v>
      </c>
      <c r="H14737" s="49">
        <f t="shared" si="2"/>
        <v>61345</v>
      </c>
    </row>
    <row r="14738">
      <c r="A14738" s="48" t="s">
        <v>4536</v>
      </c>
      <c r="B14738" s="38">
        <v>77271.0</v>
      </c>
      <c r="C14738" s="38" t="s">
        <v>19066</v>
      </c>
      <c r="D14738" s="38" t="str">
        <f>IFERROR(__xludf.DUMMYFUNCTION("REGEXREPLACE(C14738,""-\d+(.*)|--\d+(.*)"","""")"),"MAISONCELLES-EN-GATINAIS")</f>
        <v>MAISONCELLES-EN-GATINAIS</v>
      </c>
      <c r="E14738" s="38" t="s">
        <v>244</v>
      </c>
      <c r="F14738" s="38" t="s">
        <v>245</v>
      </c>
      <c r="G14738" s="49" t="str">
        <f t="shared" si="1"/>
        <v>77570</v>
      </c>
      <c r="H14738" s="49">
        <f t="shared" si="2"/>
        <v>77271</v>
      </c>
    </row>
    <row r="14739">
      <c r="A14739" s="48" t="s">
        <v>7676</v>
      </c>
      <c r="B14739" s="38">
        <v>63224.0</v>
      </c>
      <c r="C14739" s="38" t="s">
        <v>19067</v>
      </c>
      <c r="D14739" s="38" t="str">
        <f>IFERROR(__xludf.DUMMYFUNCTION("REGEXREPLACE(C14739,""-\d+(.*)|--\d+(.*)"","""")"),"MENETROL")</f>
        <v>MENETROL</v>
      </c>
      <c r="E14739" s="38" t="s">
        <v>353</v>
      </c>
      <c r="F14739" s="38" t="s">
        <v>161</v>
      </c>
      <c r="G14739" s="49" t="str">
        <f t="shared" si="1"/>
        <v>63200</v>
      </c>
      <c r="H14739" s="49">
        <f t="shared" si="2"/>
        <v>63224</v>
      </c>
    </row>
    <row r="14740">
      <c r="A14740" s="48" t="s">
        <v>1174</v>
      </c>
      <c r="B14740" s="38">
        <v>51039.0</v>
      </c>
      <c r="C14740" s="38" t="s">
        <v>19068</v>
      </c>
      <c r="D14740" s="38" t="str">
        <f>IFERROR(__xludf.DUMMYFUNCTION("REGEXREPLACE(C14740,""-\d+(.*)|--\d+(.*)"","""")"),"BASSU")</f>
        <v>BASSU</v>
      </c>
      <c r="E14740" s="38" t="s">
        <v>129</v>
      </c>
      <c r="F14740" s="38" t="s">
        <v>130</v>
      </c>
      <c r="G14740" s="49" t="str">
        <f t="shared" si="1"/>
        <v>51300</v>
      </c>
      <c r="H14740" s="49">
        <f t="shared" si="2"/>
        <v>51039</v>
      </c>
    </row>
    <row r="14741">
      <c r="A14741" s="48" t="s">
        <v>8508</v>
      </c>
      <c r="B14741" s="38">
        <v>87017.0</v>
      </c>
      <c r="C14741" s="38" t="s">
        <v>18525</v>
      </c>
      <c r="D14741" s="38" t="str">
        <f>IFERROR(__xludf.DUMMYFUNCTION("REGEXREPLACE(C14741,""-\d+(.*)|--\d+(.*)"","""")"),"BLANZAC")</f>
        <v>BLANZAC</v>
      </c>
      <c r="E14741" s="38" t="s">
        <v>897</v>
      </c>
      <c r="F14741" s="38" t="s">
        <v>98</v>
      </c>
      <c r="G14741" s="49" t="str">
        <f t="shared" si="1"/>
        <v>87300</v>
      </c>
      <c r="H14741" s="49">
        <f t="shared" si="2"/>
        <v>87017</v>
      </c>
    </row>
    <row r="14742">
      <c r="A14742" s="48" t="s">
        <v>9675</v>
      </c>
      <c r="B14742" s="38">
        <v>24037.0</v>
      </c>
      <c r="C14742" s="38" t="s">
        <v>19069</v>
      </c>
      <c r="D14742" s="38" t="str">
        <f>IFERROR(__xludf.DUMMYFUNCTION("REGEXREPLACE(C14742,""-\d+(.*)|--\d+(.*)"","""")"),"BERGERAC")</f>
        <v>BERGERAC</v>
      </c>
      <c r="E14742" s="38" t="s">
        <v>261</v>
      </c>
      <c r="F14742" s="38" t="s">
        <v>252</v>
      </c>
      <c r="G14742" s="49" t="str">
        <f t="shared" si="1"/>
        <v>24100</v>
      </c>
      <c r="H14742" s="49">
        <f t="shared" si="2"/>
        <v>24037</v>
      </c>
    </row>
    <row r="14743">
      <c r="A14743" s="48" t="s">
        <v>564</v>
      </c>
      <c r="B14743" s="38">
        <v>73299.0</v>
      </c>
      <c r="C14743" s="38" t="s">
        <v>19070</v>
      </c>
      <c r="D14743" s="38" t="str">
        <f>IFERROR(__xludf.DUMMYFUNCTION("REGEXREPLACE(C14743,""-\d+(.*)|--\d+(.*)"","""")"),"TRAIZE")</f>
        <v>TRAIZE</v>
      </c>
      <c r="E14743" s="38" t="s">
        <v>306</v>
      </c>
      <c r="F14743" s="38" t="s">
        <v>102</v>
      </c>
      <c r="G14743" s="49" t="str">
        <f t="shared" si="1"/>
        <v>73170</v>
      </c>
      <c r="H14743" s="49">
        <f t="shared" si="2"/>
        <v>73299</v>
      </c>
    </row>
    <row r="14744">
      <c r="A14744" s="48" t="s">
        <v>6296</v>
      </c>
      <c r="B14744" s="38">
        <v>50472.0</v>
      </c>
      <c r="C14744" s="38" t="s">
        <v>19071</v>
      </c>
      <c r="D14744" s="38" t="str">
        <f>IFERROR(__xludf.DUMMYFUNCTION("REGEXREPLACE(C14744,""-\d+(.*)|--\d+(.*)"","""")"),"SAINT-GEORGES-DE-LIVOYE")</f>
        <v>SAINT-GEORGES-DE-LIVOYE</v>
      </c>
      <c r="E14744" s="38" t="s">
        <v>157</v>
      </c>
      <c r="F14744" s="38" t="s">
        <v>138</v>
      </c>
      <c r="G14744" s="49" t="str">
        <f t="shared" si="1"/>
        <v>50370</v>
      </c>
      <c r="H14744" s="49">
        <f t="shared" si="2"/>
        <v>50472</v>
      </c>
    </row>
    <row r="14745">
      <c r="A14745" s="48" t="s">
        <v>1300</v>
      </c>
      <c r="B14745" s="38">
        <v>60152.0</v>
      </c>
      <c r="C14745" s="38" t="s">
        <v>19072</v>
      </c>
      <c r="D14745" s="38" t="str">
        <f>IFERROR(__xludf.DUMMYFUNCTION("REGEXREPLACE(C14745,""-\d+(.*)|--\d+(.*)"","""")"),"CHOISY-LA-VICTOIRE")</f>
        <v>CHOISY-LA-VICTOIRE</v>
      </c>
      <c r="E14745" s="38" t="s">
        <v>112</v>
      </c>
      <c r="F14745" s="38" t="s">
        <v>113</v>
      </c>
      <c r="G14745" s="49" t="str">
        <f t="shared" si="1"/>
        <v>60190</v>
      </c>
      <c r="H14745" s="49">
        <f t="shared" si="2"/>
        <v>60152</v>
      </c>
    </row>
    <row r="14746">
      <c r="A14746" s="48" t="s">
        <v>8684</v>
      </c>
      <c r="B14746" s="38">
        <v>37055.0</v>
      </c>
      <c r="C14746" s="38" t="s">
        <v>19073</v>
      </c>
      <c r="D14746" s="38" t="str">
        <f>IFERROR(__xludf.DUMMYFUNCTION("REGEXREPLACE(C14746,""-\d+(.*)|--\d+(.*)"","""")"),"CHANNAY-SUR-LATHAN")</f>
        <v>CHANNAY-SUR-LATHAN</v>
      </c>
      <c r="E14746" s="38" t="s">
        <v>205</v>
      </c>
      <c r="F14746" s="38" t="s">
        <v>123</v>
      </c>
      <c r="G14746" s="49" t="str">
        <f t="shared" si="1"/>
        <v>37330</v>
      </c>
      <c r="H14746" s="49">
        <f t="shared" si="2"/>
        <v>37055</v>
      </c>
    </row>
    <row r="14747">
      <c r="A14747" s="48" t="s">
        <v>916</v>
      </c>
      <c r="B14747" s="38">
        <v>76132.0</v>
      </c>
      <c r="C14747" s="38" t="s">
        <v>19074</v>
      </c>
      <c r="D14747" s="38" t="str">
        <f>IFERROR(__xludf.DUMMYFUNCTION("REGEXREPLACE(C14747,""-\d+(.*)|--\d+(.*)"","""")"),"BOURDAINVILLE")</f>
        <v>BOURDAINVILLE</v>
      </c>
      <c r="E14747" s="38" t="s">
        <v>133</v>
      </c>
      <c r="F14747" s="38" t="s">
        <v>134</v>
      </c>
      <c r="G14747" s="49" t="str">
        <f t="shared" si="1"/>
        <v>76760</v>
      </c>
      <c r="H14747" s="49">
        <f t="shared" si="2"/>
        <v>76132</v>
      </c>
    </row>
    <row r="14748">
      <c r="A14748" s="48" t="s">
        <v>2814</v>
      </c>
      <c r="B14748" s="38">
        <v>45094.0</v>
      </c>
      <c r="C14748" s="38" t="s">
        <v>19075</v>
      </c>
      <c r="D14748" s="38" t="str">
        <f>IFERROR(__xludf.DUMMYFUNCTION("REGEXREPLACE(C14748,""-\d+(.*)|--\d+(.*)"","""")"),"CHEVRY-SOUS-LE-BIGNON")</f>
        <v>CHEVRY-SOUS-LE-BIGNON</v>
      </c>
      <c r="E14748" s="38" t="s">
        <v>122</v>
      </c>
      <c r="F14748" s="38" t="s">
        <v>123</v>
      </c>
      <c r="G14748" s="49" t="str">
        <f t="shared" si="1"/>
        <v>45210</v>
      </c>
      <c r="H14748" s="49">
        <f t="shared" si="2"/>
        <v>45094</v>
      </c>
    </row>
    <row r="14749">
      <c r="A14749" s="48" t="s">
        <v>8221</v>
      </c>
      <c r="B14749" s="38">
        <v>32218.0</v>
      </c>
      <c r="C14749" s="38" t="s">
        <v>19076</v>
      </c>
      <c r="D14749" s="38" t="str">
        <f>IFERROR(__xludf.DUMMYFUNCTION("REGEXREPLACE(C14749,""-\d+(.*)|--\d+(.*)"","""")"),"LOUSSOUS-DEBAT")</f>
        <v>LOUSSOUS-DEBAT</v>
      </c>
      <c r="E14749" s="38" t="s">
        <v>440</v>
      </c>
      <c r="F14749" s="38" t="s">
        <v>94</v>
      </c>
      <c r="G14749" s="49" t="str">
        <f t="shared" si="1"/>
        <v>32290</v>
      </c>
      <c r="H14749" s="49">
        <f t="shared" si="2"/>
        <v>32218</v>
      </c>
    </row>
    <row r="14750">
      <c r="A14750" s="48" t="s">
        <v>6773</v>
      </c>
      <c r="B14750" s="38">
        <v>48077.0</v>
      </c>
      <c r="C14750" s="38" t="s">
        <v>19077</v>
      </c>
      <c r="D14750" s="38" t="str">
        <f>IFERROR(__xludf.DUMMYFUNCTION("REGEXREPLACE(C14750,""-\d+(.*)|--\d+(.*)"","""")"),"JULIANGES")</f>
        <v>JULIANGES</v>
      </c>
      <c r="E14750" s="38" t="s">
        <v>154</v>
      </c>
      <c r="F14750" s="38" t="s">
        <v>119</v>
      </c>
      <c r="G14750" s="49" t="str">
        <f t="shared" si="1"/>
        <v>48140</v>
      </c>
      <c r="H14750" s="49">
        <f t="shared" si="2"/>
        <v>48077</v>
      </c>
    </row>
    <row r="14751">
      <c r="A14751" s="48" t="s">
        <v>1188</v>
      </c>
      <c r="B14751" s="38">
        <v>45200.0</v>
      </c>
      <c r="C14751" s="38" t="s">
        <v>19078</v>
      </c>
      <c r="D14751" s="38" t="str">
        <f>IFERROR(__xludf.DUMMYFUNCTION("REGEXREPLACE(C14751,""-\d+(.*)|--\d+(.*)"","""")"),"MENESTREAU-EN-VILLETTE")</f>
        <v>MENESTREAU-EN-VILLETTE</v>
      </c>
      <c r="E14751" s="38" t="s">
        <v>122</v>
      </c>
      <c r="F14751" s="38" t="s">
        <v>123</v>
      </c>
      <c r="G14751" s="49" t="str">
        <f t="shared" si="1"/>
        <v>45240</v>
      </c>
      <c r="H14751" s="49">
        <f t="shared" si="2"/>
        <v>45200</v>
      </c>
    </row>
    <row r="14752">
      <c r="A14752" s="48" t="s">
        <v>3127</v>
      </c>
      <c r="B14752" s="38">
        <v>70236.0</v>
      </c>
      <c r="C14752" s="38" t="s">
        <v>19079</v>
      </c>
      <c r="D14752" s="38" t="str">
        <f>IFERROR(__xludf.DUMMYFUNCTION("REGEXREPLACE(C14752,""-\d+(.*)|--\d+(.*)"","""")"),"FLEUREY-LES-FAVERNEY")</f>
        <v>FLEUREY-LES-FAVERNEY</v>
      </c>
      <c r="E14752" s="38" t="s">
        <v>956</v>
      </c>
      <c r="F14752" s="38" t="s">
        <v>214</v>
      </c>
      <c r="G14752" s="49" t="str">
        <f t="shared" si="1"/>
        <v>70160</v>
      </c>
      <c r="H14752" s="49">
        <f t="shared" si="2"/>
        <v>70236</v>
      </c>
    </row>
    <row r="14753">
      <c r="A14753" s="48" t="s">
        <v>19080</v>
      </c>
      <c r="B14753" s="38">
        <v>60678.0</v>
      </c>
      <c r="C14753" s="38" t="s">
        <v>19081</v>
      </c>
      <c r="D14753" s="38" t="str">
        <f>IFERROR(__xludf.DUMMYFUNCTION("REGEXREPLACE(C14753,""-\d+(.*)|--\d+(.*)"","""")"),"VILLENEUVE-LES-SABLONS")</f>
        <v>VILLENEUVE-LES-SABLONS</v>
      </c>
      <c r="E14753" s="38" t="s">
        <v>112</v>
      </c>
      <c r="F14753" s="38" t="s">
        <v>113</v>
      </c>
      <c r="G14753" s="49" t="str">
        <f t="shared" si="1"/>
        <v>60175</v>
      </c>
      <c r="H14753" s="49">
        <f t="shared" si="2"/>
        <v>60678</v>
      </c>
    </row>
    <row r="14754">
      <c r="A14754" s="48" t="s">
        <v>9781</v>
      </c>
      <c r="B14754" s="38">
        <v>19186.0</v>
      </c>
      <c r="C14754" s="38" t="s">
        <v>19082</v>
      </c>
      <c r="D14754" s="38" t="str">
        <f>IFERROR(__xludf.DUMMYFUNCTION("REGEXREPLACE(C14754,""-\d+(.*)|--\d+(.*)"","""")"),"SAINT-BONNET-ELVERT")</f>
        <v>SAINT-BONNET-ELVERT</v>
      </c>
      <c r="E14754" s="38" t="s">
        <v>271</v>
      </c>
      <c r="F14754" s="38" t="s">
        <v>98</v>
      </c>
      <c r="G14754" s="49" t="str">
        <f t="shared" si="1"/>
        <v>19380</v>
      </c>
      <c r="H14754" s="49">
        <f t="shared" si="2"/>
        <v>19186</v>
      </c>
    </row>
    <row r="14755">
      <c r="A14755" s="48" t="s">
        <v>18053</v>
      </c>
      <c r="B14755" s="38">
        <v>4063.0</v>
      </c>
      <c r="C14755" s="38" t="s">
        <v>17138</v>
      </c>
      <c r="D14755" s="38" t="str">
        <f>IFERROR(__xludf.DUMMYFUNCTION("REGEXREPLACE(C14755,""-\d+(.*)|--\d+(.*)"","""")"),"CORBIERES")</f>
        <v>CORBIERES</v>
      </c>
      <c r="E14755" s="38" t="s">
        <v>662</v>
      </c>
      <c r="F14755" s="38" t="s">
        <v>228</v>
      </c>
      <c r="G14755" s="49" t="str">
        <f t="shared" si="1"/>
        <v>04220</v>
      </c>
      <c r="H14755" s="49" t="str">
        <f t="shared" si="2"/>
        <v>04063</v>
      </c>
    </row>
    <row r="14756">
      <c r="A14756" s="48" t="s">
        <v>2477</v>
      </c>
      <c r="B14756" s="38">
        <v>76202.0</v>
      </c>
      <c r="C14756" s="38" t="s">
        <v>19083</v>
      </c>
      <c r="D14756" s="38" t="str">
        <f>IFERROR(__xludf.DUMMYFUNCTION("REGEXREPLACE(C14756,""-\d+(.*)|--\d+(.*)"","""")"),"CROIXDALLE")</f>
        <v>CROIXDALLE</v>
      </c>
      <c r="E14756" s="38" t="s">
        <v>133</v>
      </c>
      <c r="F14756" s="38" t="s">
        <v>134</v>
      </c>
      <c r="G14756" s="49" t="str">
        <f t="shared" si="1"/>
        <v>76660</v>
      </c>
      <c r="H14756" s="49">
        <f t="shared" si="2"/>
        <v>76202</v>
      </c>
    </row>
    <row r="14757">
      <c r="A14757" s="48" t="s">
        <v>4650</v>
      </c>
      <c r="B14757" s="38">
        <v>47183.0</v>
      </c>
      <c r="C14757" s="38" t="s">
        <v>19084</v>
      </c>
      <c r="D14757" s="38" t="str">
        <f>IFERROR(__xludf.DUMMYFUNCTION("REGEXREPLACE(C14757,""-\d+(.*)|--\d+(.*)"","""")"),"MONTAURIOL")</f>
        <v>MONTAURIOL</v>
      </c>
      <c r="E14757" s="38" t="s">
        <v>251</v>
      </c>
      <c r="F14757" s="38" t="s">
        <v>252</v>
      </c>
      <c r="G14757" s="49" t="str">
        <f t="shared" si="1"/>
        <v>47330</v>
      </c>
      <c r="H14757" s="49">
        <f t="shared" si="2"/>
        <v>47183</v>
      </c>
    </row>
    <row r="14758">
      <c r="A14758" s="48" t="s">
        <v>4596</v>
      </c>
      <c r="B14758" s="38">
        <v>2606.0</v>
      </c>
      <c r="C14758" s="38" t="s">
        <v>19085</v>
      </c>
      <c r="D14758" s="38" t="str">
        <f>IFERROR(__xludf.DUMMYFUNCTION("REGEXREPLACE(C14758,""-\d+(.*)|--\d+(.*)"","""")"),"LE PLESSIER-HULEU")</f>
        <v>LE PLESSIER-HULEU</v>
      </c>
      <c r="E14758" s="38" t="s">
        <v>191</v>
      </c>
      <c r="F14758" s="38" t="s">
        <v>113</v>
      </c>
      <c r="G14758" s="49" t="str">
        <f t="shared" si="1"/>
        <v>02210</v>
      </c>
      <c r="H14758" s="49" t="str">
        <f t="shared" si="2"/>
        <v>02606</v>
      </c>
    </row>
    <row r="14759">
      <c r="A14759" s="48" t="s">
        <v>736</v>
      </c>
      <c r="B14759" s="38">
        <v>57162.0</v>
      </c>
      <c r="C14759" s="38" t="s">
        <v>19086</v>
      </c>
      <c r="D14759" s="38" t="str">
        <f>IFERROR(__xludf.DUMMYFUNCTION("REGEXREPLACE(C14759,""-\d+(.*)|--\d+(.*)"","""")"),"CUVRY")</f>
        <v>CUVRY</v>
      </c>
      <c r="E14759" s="38" t="s">
        <v>303</v>
      </c>
      <c r="F14759" s="38" t="s">
        <v>195</v>
      </c>
      <c r="G14759" s="49" t="str">
        <f t="shared" si="1"/>
        <v>57420</v>
      </c>
      <c r="H14759" s="49">
        <f t="shared" si="2"/>
        <v>57162</v>
      </c>
    </row>
    <row r="14760">
      <c r="A14760" s="48" t="s">
        <v>19087</v>
      </c>
      <c r="B14760" s="38">
        <v>17333.0</v>
      </c>
      <c r="C14760" s="38" t="s">
        <v>19088</v>
      </c>
      <c r="D14760" s="38" t="str">
        <f>IFERROR(__xludf.DUMMYFUNCTION("REGEXREPLACE(C14760,""-\d+(.*)|--\d+(.*)"","""")"),"SAINT-GEORGES-DE-DIDONNE")</f>
        <v>SAINT-GEORGES-DE-DIDONNE</v>
      </c>
      <c r="E14760" s="38" t="s">
        <v>488</v>
      </c>
      <c r="F14760" s="38" t="s">
        <v>338</v>
      </c>
      <c r="G14760" s="49" t="str">
        <f t="shared" si="1"/>
        <v>17110</v>
      </c>
      <c r="H14760" s="49">
        <f t="shared" si="2"/>
        <v>17333</v>
      </c>
    </row>
    <row r="14761">
      <c r="A14761" s="48" t="s">
        <v>2389</v>
      </c>
      <c r="B14761" s="38">
        <v>64420.0</v>
      </c>
      <c r="C14761" s="38" t="s">
        <v>19089</v>
      </c>
      <c r="D14761" s="38" t="str">
        <f>IFERROR(__xludf.DUMMYFUNCTION("REGEXREPLACE(C14761,""-\d+(.*)|--\d+(.*)"","""")"),"OGENNE-CAMPTORT")</f>
        <v>OGENNE-CAMPTORT</v>
      </c>
      <c r="E14761" s="38" t="s">
        <v>268</v>
      </c>
      <c r="F14761" s="38" t="s">
        <v>252</v>
      </c>
      <c r="G14761" s="49" t="str">
        <f t="shared" si="1"/>
        <v>64190</v>
      </c>
      <c r="H14761" s="49">
        <f t="shared" si="2"/>
        <v>64420</v>
      </c>
    </row>
    <row r="14762">
      <c r="A14762" s="48" t="s">
        <v>16012</v>
      </c>
      <c r="B14762" s="38">
        <v>89457.0</v>
      </c>
      <c r="C14762" s="38" t="s">
        <v>19090</v>
      </c>
      <c r="D14762" s="38" t="str">
        <f>IFERROR(__xludf.DUMMYFUNCTION("REGEXREPLACE(C14762,""-\d+(.*)|--\d+(.*)"","""")"),"VILLEMER")</f>
        <v>VILLEMER</v>
      </c>
      <c r="E14762" s="38" t="s">
        <v>275</v>
      </c>
      <c r="F14762" s="38" t="s">
        <v>106</v>
      </c>
      <c r="G14762" s="49" t="str">
        <f t="shared" si="1"/>
        <v>89113</v>
      </c>
      <c r="H14762" s="49">
        <f t="shared" si="2"/>
        <v>89457</v>
      </c>
    </row>
    <row r="14763">
      <c r="A14763" s="48" t="s">
        <v>13625</v>
      </c>
      <c r="B14763" s="38">
        <v>38075.0</v>
      </c>
      <c r="C14763" s="38" t="s">
        <v>19091</v>
      </c>
      <c r="D14763" s="38" t="str">
        <f>IFERROR(__xludf.DUMMYFUNCTION("REGEXREPLACE(C14763,""-\d+(.*)|--\d+(.*)"","""")"),"CHAPAREILLAN")</f>
        <v>CHAPAREILLAN</v>
      </c>
      <c r="E14763" s="38" t="s">
        <v>101</v>
      </c>
      <c r="F14763" s="38" t="s">
        <v>102</v>
      </c>
      <c r="G14763" s="49" t="str">
        <f t="shared" si="1"/>
        <v>38530</v>
      </c>
      <c r="H14763" s="49">
        <f t="shared" si="2"/>
        <v>38075</v>
      </c>
    </row>
    <row r="14764">
      <c r="A14764" s="48" t="s">
        <v>582</v>
      </c>
      <c r="B14764" s="38">
        <v>39132.0</v>
      </c>
      <c r="C14764" s="38" t="s">
        <v>19092</v>
      </c>
      <c r="D14764" s="38" t="str">
        <f>IFERROR(__xludf.DUMMYFUNCTION("REGEXREPLACE(C14764,""-\d+(.*)|--\d+(.*)"","""")"),"LA CHAUX-EN-BRESSE")</f>
        <v>LA CHAUX-EN-BRESSE</v>
      </c>
      <c r="E14764" s="38" t="s">
        <v>400</v>
      </c>
      <c r="F14764" s="38" t="s">
        <v>214</v>
      </c>
      <c r="G14764" s="49" t="str">
        <f t="shared" si="1"/>
        <v>39230</v>
      </c>
      <c r="H14764" s="49">
        <f t="shared" si="2"/>
        <v>39132</v>
      </c>
    </row>
    <row r="14765">
      <c r="A14765" s="48" t="s">
        <v>3804</v>
      </c>
      <c r="B14765" s="38">
        <v>80532.0</v>
      </c>
      <c r="C14765" s="38" t="s">
        <v>19093</v>
      </c>
      <c r="D14765" s="38" t="str">
        <f>IFERROR(__xludf.DUMMYFUNCTION("REGEXREPLACE(C14765,""-\d+(.*)|--\d+(.*)"","""")"),"MERICOURT-SUR-SOMME")</f>
        <v>MERICOURT-SUR-SOMME</v>
      </c>
      <c r="E14765" s="38" t="s">
        <v>224</v>
      </c>
      <c r="F14765" s="38" t="s">
        <v>113</v>
      </c>
      <c r="G14765" s="49" t="str">
        <f t="shared" si="1"/>
        <v>80340</v>
      </c>
      <c r="H14765" s="49">
        <f t="shared" si="2"/>
        <v>80532</v>
      </c>
    </row>
    <row r="14766">
      <c r="A14766" s="48" t="s">
        <v>19094</v>
      </c>
      <c r="B14766" s="38">
        <v>78440.0</v>
      </c>
      <c r="C14766" s="38" t="s">
        <v>19095</v>
      </c>
      <c r="D14766" s="38" t="str">
        <f>IFERROR(__xludf.DUMMYFUNCTION("REGEXREPLACE(C14766,""-\d+(.*)|--\d+(.*)"","""")"),"LES MUREAUX")</f>
        <v>LES MUREAUX</v>
      </c>
      <c r="E14766" s="38" t="s">
        <v>362</v>
      </c>
      <c r="F14766" s="38" t="s">
        <v>245</v>
      </c>
      <c r="G14766" s="49" t="str">
        <f t="shared" si="1"/>
        <v>78130</v>
      </c>
      <c r="H14766" s="49">
        <f t="shared" si="2"/>
        <v>78440</v>
      </c>
    </row>
    <row r="14767">
      <c r="A14767" s="48" t="s">
        <v>5642</v>
      </c>
      <c r="B14767" s="38">
        <v>73004.0</v>
      </c>
      <c r="C14767" s="38" t="s">
        <v>19096</v>
      </c>
      <c r="D14767" s="38" t="str">
        <f>IFERROR(__xludf.DUMMYFUNCTION("REGEXREPLACE(C14767,""-\d+(.*)|--\d+(.*)"","""")"),"AILLON-LE-JEUNE")</f>
        <v>AILLON-LE-JEUNE</v>
      </c>
      <c r="E14767" s="38" t="s">
        <v>306</v>
      </c>
      <c r="F14767" s="38" t="s">
        <v>102</v>
      </c>
      <c r="G14767" s="49" t="str">
        <f t="shared" si="1"/>
        <v>73340</v>
      </c>
      <c r="H14767" s="49">
        <f t="shared" si="2"/>
        <v>73004</v>
      </c>
    </row>
    <row r="14768">
      <c r="A14768" s="48" t="s">
        <v>443</v>
      </c>
      <c r="B14768" s="38">
        <v>24119.0</v>
      </c>
      <c r="C14768" s="38" t="s">
        <v>19097</v>
      </c>
      <c r="D14768" s="38" t="str">
        <f>IFERROR(__xludf.DUMMYFUNCTION("REGEXREPLACE(C14768,""-\d+(.*)|--\d+(.*)"","""")"),"CHERVAL")</f>
        <v>CHERVAL</v>
      </c>
      <c r="E14768" s="38" t="s">
        <v>261</v>
      </c>
      <c r="F14768" s="38" t="s">
        <v>252</v>
      </c>
      <c r="G14768" s="49" t="str">
        <f t="shared" si="1"/>
        <v>24320</v>
      </c>
      <c r="H14768" s="49">
        <f t="shared" si="2"/>
        <v>24119</v>
      </c>
    </row>
    <row r="14769">
      <c r="A14769" s="48" t="s">
        <v>2757</v>
      </c>
      <c r="B14769" s="38">
        <v>24494.0</v>
      </c>
      <c r="C14769" s="38" t="s">
        <v>2361</v>
      </c>
      <c r="D14769" s="38" t="str">
        <f>IFERROR(__xludf.DUMMYFUNCTION("REGEXREPLACE(C14769,""-\d+(.*)|--\d+(.*)"","""")"),"SAINT-REMY")</f>
        <v>SAINT-REMY</v>
      </c>
      <c r="E14769" s="38" t="s">
        <v>261</v>
      </c>
      <c r="F14769" s="38" t="s">
        <v>252</v>
      </c>
      <c r="G14769" s="49" t="str">
        <f t="shared" si="1"/>
        <v>24700</v>
      </c>
      <c r="H14769" s="49">
        <f t="shared" si="2"/>
        <v>24494</v>
      </c>
    </row>
    <row r="14770">
      <c r="A14770" s="48" t="s">
        <v>4557</v>
      </c>
      <c r="B14770" s="38">
        <v>46142.0</v>
      </c>
      <c r="C14770" s="38" t="s">
        <v>19098</v>
      </c>
      <c r="D14770" s="38" t="str">
        <f>IFERROR(__xludf.DUMMYFUNCTION("REGEXREPLACE(C14770,""-\d+(.*)|--\d+(.*)"","""")"),"LACAPELLE-CABANAC")</f>
        <v>LACAPELLE-CABANAC</v>
      </c>
      <c r="E14770" s="38" t="s">
        <v>185</v>
      </c>
      <c r="F14770" s="38" t="s">
        <v>94</v>
      </c>
      <c r="G14770" s="49" t="str">
        <f t="shared" si="1"/>
        <v>46700</v>
      </c>
      <c r="H14770" s="49">
        <f t="shared" si="2"/>
        <v>46142</v>
      </c>
    </row>
    <row r="14771">
      <c r="A14771" s="48" t="s">
        <v>19099</v>
      </c>
      <c r="B14771" s="38">
        <v>97408.0</v>
      </c>
      <c r="C14771" s="38" t="s">
        <v>19100</v>
      </c>
      <c r="D14771" s="38" t="str">
        <f>IFERROR(__xludf.DUMMYFUNCTION("REGEXREPLACE(C14771,""-\d+(.*)|--\d+(.*)"","""")"),"LA POSSESSION")</f>
        <v>LA POSSESSION</v>
      </c>
      <c r="E14771" s="38" t="s">
        <v>7739</v>
      </c>
      <c r="F14771" s="38" t="s">
        <v>7739</v>
      </c>
      <c r="G14771" s="49" t="str">
        <f t="shared" si="1"/>
        <v>97419</v>
      </c>
      <c r="H14771" s="49">
        <f t="shared" si="2"/>
        <v>97408</v>
      </c>
    </row>
    <row r="14772">
      <c r="A14772" s="48" t="s">
        <v>1878</v>
      </c>
      <c r="B14772" s="38">
        <v>14022.0</v>
      </c>
      <c r="C14772" s="38" t="s">
        <v>19101</v>
      </c>
      <c r="D14772" s="38" t="str">
        <f>IFERROR(__xludf.DUMMYFUNCTION("REGEXREPLACE(C14772,""-\d+(.*)|--\d+(.*)"","""")"),"ASNELLES")</f>
        <v>ASNELLES</v>
      </c>
      <c r="E14772" s="38" t="s">
        <v>137</v>
      </c>
      <c r="F14772" s="38" t="s">
        <v>138</v>
      </c>
      <c r="G14772" s="49" t="str">
        <f t="shared" si="1"/>
        <v>14960</v>
      </c>
      <c r="H14772" s="49">
        <f t="shared" si="2"/>
        <v>14022</v>
      </c>
    </row>
    <row r="14773">
      <c r="A14773" s="48" t="s">
        <v>2613</v>
      </c>
      <c r="B14773" s="38">
        <v>47112.0</v>
      </c>
      <c r="C14773" s="38" t="s">
        <v>19102</v>
      </c>
      <c r="D14773" s="38" t="str">
        <f>IFERROR(__xludf.DUMMYFUNCTION("REGEXREPLACE(C14773,""-\d+(.*)|--\d+(.*)"","""")"),"GRATELOUP-SAINT-GAYRAND")</f>
        <v>GRATELOUP-SAINT-GAYRAND</v>
      </c>
      <c r="E14773" s="38" t="s">
        <v>251</v>
      </c>
      <c r="F14773" s="38" t="s">
        <v>252</v>
      </c>
      <c r="G14773" s="49" t="str">
        <f t="shared" si="1"/>
        <v>47400</v>
      </c>
      <c r="H14773" s="49">
        <f t="shared" si="2"/>
        <v>47112</v>
      </c>
    </row>
    <row r="14774">
      <c r="A14774" s="48" t="s">
        <v>14258</v>
      </c>
      <c r="B14774" s="38">
        <v>34231.0</v>
      </c>
      <c r="C14774" s="38" t="s">
        <v>19103</v>
      </c>
      <c r="D14774" s="38" t="str">
        <f>IFERROR(__xludf.DUMMYFUNCTION("REGEXREPLACE(C14774,""-\d+(.*)|--\d+(.*)"","""")"),"ROMIGUIERES")</f>
        <v>ROMIGUIERES</v>
      </c>
      <c r="E14774" s="38" t="s">
        <v>118</v>
      </c>
      <c r="F14774" s="38" t="s">
        <v>119</v>
      </c>
      <c r="G14774" s="49" t="str">
        <f t="shared" si="1"/>
        <v>34650</v>
      </c>
      <c r="H14774" s="49">
        <f t="shared" si="2"/>
        <v>34231</v>
      </c>
    </row>
    <row r="14775">
      <c r="A14775" s="48" t="s">
        <v>19104</v>
      </c>
      <c r="B14775" s="38">
        <v>2340.0</v>
      </c>
      <c r="C14775" s="38" t="s">
        <v>19105</v>
      </c>
      <c r="D14775" s="38" t="str">
        <f>IFERROR(__xludf.DUMMYFUNCTION("REGEXREPLACE(C14775,""-\d+(.*)|--\d+(.*)"","""")"),"GAUCHY")</f>
        <v>GAUCHY</v>
      </c>
      <c r="E14775" s="38" t="s">
        <v>191</v>
      </c>
      <c r="F14775" s="38" t="s">
        <v>113</v>
      </c>
      <c r="G14775" s="49" t="str">
        <f t="shared" si="1"/>
        <v>02430</v>
      </c>
      <c r="H14775" s="49" t="str">
        <f t="shared" si="2"/>
        <v>02340</v>
      </c>
    </row>
    <row r="14776">
      <c r="A14776" s="48" t="s">
        <v>5163</v>
      </c>
      <c r="B14776" s="38">
        <v>76690.0</v>
      </c>
      <c r="C14776" s="38" t="s">
        <v>19106</v>
      </c>
      <c r="D14776" s="38" t="str">
        <f>IFERROR(__xludf.DUMMYFUNCTION("REGEXREPLACE(C14776,""-\d+(.*)|--\d+(.*)"","""")"),"THIL-MANNEVILLE")</f>
        <v>THIL-MANNEVILLE</v>
      </c>
      <c r="E14776" s="38" t="s">
        <v>133</v>
      </c>
      <c r="F14776" s="38" t="s">
        <v>134</v>
      </c>
      <c r="G14776" s="49" t="str">
        <f t="shared" si="1"/>
        <v>76730</v>
      </c>
      <c r="H14776" s="49">
        <f t="shared" si="2"/>
        <v>76690</v>
      </c>
    </row>
    <row r="14777">
      <c r="A14777" s="48" t="s">
        <v>4526</v>
      </c>
      <c r="B14777" s="38">
        <v>23225.0</v>
      </c>
      <c r="C14777" s="38" t="s">
        <v>19107</v>
      </c>
      <c r="D14777" s="38" t="str">
        <f>IFERROR(__xludf.DUMMYFUNCTION("REGEXREPLACE(C14777,""-\d+(.*)|--\d+(.*)"","""")"),"SAINT-ORADOUX-PRES-CROCQ")</f>
        <v>SAINT-ORADOUX-PRES-CROCQ</v>
      </c>
      <c r="E14777" s="38" t="s">
        <v>97</v>
      </c>
      <c r="F14777" s="38" t="s">
        <v>98</v>
      </c>
      <c r="G14777" s="49" t="str">
        <f t="shared" si="1"/>
        <v>23260</v>
      </c>
      <c r="H14777" s="49">
        <f t="shared" si="2"/>
        <v>23225</v>
      </c>
    </row>
    <row r="14778">
      <c r="A14778" s="48" t="s">
        <v>2411</v>
      </c>
      <c r="B14778" s="38">
        <v>37004.0</v>
      </c>
      <c r="C14778" s="38" t="s">
        <v>17525</v>
      </c>
      <c r="D14778" s="38" t="str">
        <f>IFERROR(__xludf.DUMMYFUNCTION("REGEXREPLACE(C14778,""-\d+(.*)|--\d+(.*)"","""")"),"ANCHE")</f>
        <v>ANCHE</v>
      </c>
      <c r="E14778" s="38" t="s">
        <v>205</v>
      </c>
      <c r="F14778" s="38" t="s">
        <v>123</v>
      </c>
      <c r="G14778" s="49" t="str">
        <f t="shared" si="1"/>
        <v>37500</v>
      </c>
      <c r="H14778" s="49">
        <f t="shared" si="2"/>
        <v>37004</v>
      </c>
    </row>
    <row r="14779">
      <c r="A14779" s="48" t="s">
        <v>5275</v>
      </c>
      <c r="B14779" s="38">
        <v>17309.0</v>
      </c>
      <c r="C14779" s="38" t="s">
        <v>19108</v>
      </c>
      <c r="D14779" s="38" t="str">
        <f>IFERROR(__xludf.DUMMYFUNCTION("REGEXREPLACE(C14779,""-\d+(.*)|--\d+(.*)"","""")"),"SAINT-AIGULIN")</f>
        <v>SAINT-AIGULIN</v>
      </c>
      <c r="E14779" s="38" t="s">
        <v>488</v>
      </c>
      <c r="F14779" s="38" t="s">
        <v>338</v>
      </c>
      <c r="G14779" s="49" t="str">
        <f t="shared" si="1"/>
        <v>17360</v>
      </c>
      <c r="H14779" s="49">
        <f t="shared" si="2"/>
        <v>17309</v>
      </c>
    </row>
    <row r="14780">
      <c r="A14780" s="48" t="s">
        <v>8145</v>
      </c>
      <c r="B14780" s="38">
        <v>9070.0</v>
      </c>
      <c r="C14780" s="38" t="s">
        <v>19109</v>
      </c>
      <c r="D14780" s="38" t="str">
        <f>IFERROR(__xludf.DUMMYFUNCTION("REGEXREPLACE(C14780,""-\d+(.*)|--\d+(.*)"","""")"),"LES CABANNES")</f>
        <v>LES CABANNES</v>
      </c>
      <c r="E14780" s="38" t="s">
        <v>238</v>
      </c>
      <c r="F14780" s="38" t="s">
        <v>94</v>
      </c>
      <c r="G14780" s="49" t="str">
        <f t="shared" si="1"/>
        <v>09310</v>
      </c>
      <c r="H14780" s="49" t="str">
        <f t="shared" si="2"/>
        <v>09070</v>
      </c>
    </row>
    <row r="14781">
      <c r="A14781" s="48" t="s">
        <v>1327</v>
      </c>
      <c r="B14781" s="38">
        <v>51527.0</v>
      </c>
      <c r="C14781" s="38" t="s">
        <v>19110</v>
      </c>
      <c r="D14781" s="38" t="str">
        <f>IFERROR(__xludf.DUMMYFUNCTION("REGEXREPLACE(C14781,""-\d+(.*)|--\d+(.*)"","""")"),"SAVIGNY-SUR-ARDRES")</f>
        <v>SAVIGNY-SUR-ARDRES</v>
      </c>
      <c r="E14781" s="38" t="s">
        <v>129</v>
      </c>
      <c r="F14781" s="38" t="s">
        <v>130</v>
      </c>
      <c r="G14781" s="49" t="str">
        <f t="shared" si="1"/>
        <v>51170</v>
      </c>
      <c r="H14781" s="49">
        <f t="shared" si="2"/>
        <v>51527</v>
      </c>
    </row>
    <row r="14782">
      <c r="A14782" s="48" t="s">
        <v>9991</v>
      </c>
      <c r="B14782" s="38">
        <v>9088.0</v>
      </c>
      <c r="C14782" s="38" t="s">
        <v>19111</v>
      </c>
      <c r="D14782" s="38" t="str">
        <f>IFERROR(__xludf.DUMMYFUNCTION("REGEXREPLACE(C14782,""-\d+(.*)|--\d+(.*)"","""")"),"CAYCHAX")</f>
        <v>CAYCHAX</v>
      </c>
      <c r="E14782" s="38" t="s">
        <v>238</v>
      </c>
      <c r="F14782" s="38" t="s">
        <v>94</v>
      </c>
      <c r="G14782" s="49" t="str">
        <f t="shared" si="1"/>
        <v>09250</v>
      </c>
      <c r="H14782" s="49" t="str">
        <f t="shared" si="2"/>
        <v>09088</v>
      </c>
    </row>
    <row r="14783">
      <c r="A14783" s="48" t="s">
        <v>1800</v>
      </c>
      <c r="B14783" s="38">
        <v>88425.0</v>
      </c>
      <c r="C14783" s="38" t="s">
        <v>19112</v>
      </c>
      <c r="D14783" s="38" t="str">
        <f>IFERROR(__xludf.DUMMYFUNCTION("REGEXREPLACE(C14783,""-\d+(.*)|--\d+(.*)"","""")"),"SAINT-MAURICE-SUR-MORTAGNE")</f>
        <v>SAINT-MAURICE-SUR-MORTAGNE</v>
      </c>
      <c r="E14783" s="38" t="s">
        <v>194</v>
      </c>
      <c r="F14783" s="38" t="s">
        <v>195</v>
      </c>
      <c r="G14783" s="49" t="str">
        <f t="shared" si="1"/>
        <v>88700</v>
      </c>
      <c r="H14783" s="49">
        <f t="shared" si="2"/>
        <v>88425</v>
      </c>
    </row>
    <row r="14784">
      <c r="A14784" s="48" t="s">
        <v>19113</v>
      </c>
      <c r="B14784" s="38">
        <v>1291.0</v>
      </c>
      <c r="C14784" s="38" t="s">
        <v>19114</v>
      </c>
      <c r="D14784" s="38" t="str">
        <f>IFERROR(__xludf.DUMMYFUNCTION("REGEXREPLACE(C14784,""-\d+(.*)|--\d+(.*)"","""")"),"PERREX")</f>
        <v>PERREX</v>
      </c>
      <c r="E14784" s="38" t="s">
        <v>255</v>
      </c>
      <c r="F14784" s="38" t="s">
        <v>102</v>
      </c>
      <c r="G14784" s="49" t="str">
        <f t="shared" si="1"/>
        <v>01540</v>
      </c>
      <c r="H14784" s="49" t="str">
        <f t="shared" si="2"/>
        <v>01291</v>
      </c>
    </row>
    <row r="14785">
      <c r="A14785" s="48" t="s">
        <v>2194</v>
      </c>
      <c r="B14785" s="38">
        <v>38484.0</v>
      </c>
      <c r="C14785" s="38" t="s">
        <v>19115</v>
      </c>
      <c r="D14785" s="38" t="str">
        <f>IFERROR(__xludf.DUMMYFUNCTION("REGEXREPLACE(C14785,""-\d+(.*)|--\d+(.*)"","""")"),"SERPAIZE")</f>
        <v>SERPAIZE</v>
      </c>
      <c r="E14785" s="38" t="s">
        <v>101</v>
      </c>
      <c r="F14785" s="38" t="s">
        <v>102</v>
      </c>
      <c r="G14785" s="49" t="str">
        <f t="shared" si="1"/>
        <v>38200</v>
      </c>
      <c r="H14785" s="49">
        <f t="shared" si="2"/>
        <v>38484</v>
      </c>
    </row>
    <row r="14786">
      <c r="A14786" s="48" t="s">
        <v>9734</v>
      </c>
      <c r="B14786" s="38">
        <v>62806.0</v>
      </c>
      <c r="C14786" s="38" t="s">
        <v>19116</v>
      </c>
      <c r="D14786" s="38" t="str">
        <f>IFERROR(__xludf.DUMMYFUNCTION("REGEXREPLACE(C14786,""-\d+(.*)|--\d+(.*)"","""")"),"TARDINGHEN")</f>
        <v>TARDINGHEN</v>
      </c>
      <c r="E14786" s="38" t="s">
        <v>109</v>
      </c>
      <c r="F14786" s="38" t="s">
        <v>86</v>
      </c>
      <c r="G14786" s="49" t="str">
        <f t="shared" si="1"/>
        <v>62179</v>
      </c>
      <c r="H14786" s="49">
        <f t="shared" si="2"/>
        <v>62806</v>
      </c>
    </row>
    <row r="14787">
      <c r="A14787" s="48" t="s">
        <v>2400</v>
      </c>
      <c r="B14787" s="38">
        <v>25572.0</v>
      </c>
      <c r="C14787" s="38" t="s">
        <v>19117</v>
      </c>
      <c r="D14787" s="38" t="str">
        <f>IFERROR(__xludf.DUMMYFUNCTION("REGEXREPLACE(C14787,""-\d+(.*)|--\d+(.*)"","""")"),"TROUVANS")</f>
        <v>TROUVANS</v>
      </c>
      <c r="E14787" s="38" t="s">
        <v>213</v>
      </c>
      <c r="F14787" s="38" t="s">
        <v>214</v>
      </c>
      <c r="G14787" s="49" t="str">
        <f t="shared" si="1"/>
        <v>25680</v>
      </c>
      <c r="H14787" s="49">
        <f t="shared" si="2"/>
        <v>25572</v>
      </c>
    </row>
    <row r="14788">
      <c r="A14788" s="48" t="s">
        <v>3283</v>
      </c>
      <c r="B14788" s="38">
        <v>52306.0</v>
      </c>
      <c r="C14788" s="38" t="s">
        <v>19118</v>
      </c>
      <c r="D14788" s="38" t="str">
        <f>IFERROR(__xludf.DUMMYFUNCTION("REGEXREPLACE(C14788,""-\d+(.*)|--\d+(.*)"","""")"),"MANOIS")</f>
        <v>MANOIS</v>
      </c>
      <c r="E14788" s="38" t="s">
        <v>234</v>
      </c>
      <c r="F14788" s="38" t="s">
        <v>130</v>
      </c>
      <c r="G14788" s="49" t="str">
        <f t="shared" si="1"/>
        <v>52700</v>
      </c>
      <c r="H14788" s="49">
        <f t="shared" si="2"/>
        <v>52306</v>
      </c>
    </row>
    <row r="14789">
      <c r="A14789" s="48" t="s">
        <v>2633</v>
      </c>
      <c r="B14789" s="38" t="s">
        <v>19119</v>
      </c>
      <c r="C14789" s="38" t="s">
        <v>19120</v>
      </c>
      <c r="D14789" s="38" t="str">
        <f>IFERROR(__xludf.DUMMYFUNCTION("REGEXREPLACE(C14789,""-\d+(.*)|--\d+(.*)"","""")"),"CRISTINACCE")</f>
        <v>CRISTINACCE</v>
      </c>
      <c r="E14789" s="38" t="s">
        <v>606</v>
      </c>
      <c r="F14789" s="38" t="s">
        <v>607</v>
      </c>
      <c r="G14789" s="49" t="str">
        <f t="shared" si="1"/>
        <v>20126</v>
      </c>
      <c r="H14789" s="49" t="str">
        <f t="shared" si="2"/>
        <v>2A100</v>
      </c>
    </row>
    <row r="14790">
      <c r="A14790" s="48" t="s">
        <v>7600</v>
      </c>
      <c r="B14790" s="38">
        <v>69186.0</v>
      </c>
      <c r="C14790" s="38" t="s">
        <v>19121</v>
      </c>
      <c r="D14790" s="38" t="str">
        <f>IFERROR(__xludf.DUMMYFUNCTION("REGEXREPLACE(C14790,""-\d+(.*)|--\d+(.*)"","""")"),"SAINT-CLEMENT-DE-VERS")</f>
        <v>SAINT-CLEMENT-DE-VERS</v>
      </c>
      <c r="E14790" s="38" t="s">
        <v>350</v>
      </c>
      <c r="F14790" s="38" t="s">
        <v>102</v>
      </c>
      <c r="G14790" s="49" t="str">
        <f t="shared" si="1"/>
        <v>69790</v>
      </c>
      <c r="H14790" s="49">
        <f t="shared" si="2"/>
        <v>69186</v>
      </c>
    </row>
    <row r="14791">
      <c r="A14791" s="48" t="s">
        <v>5831</v>
      </c>
      <c r="B14791" s="38">
        <v>5155.0</v>
      </c>
      <c r="C14791" s="38" t="s">
        <v>19122</v>
      </c>
      <c r="D14791" s="38" t="str">
        <f>IFERROR(__xludf.DUMMYFUNCTION("REGEXREPLACE(C14791,""-\d+(.*)|--\d+(.*)"","""")"),"SAINT-PIERRE-AVEZ")</f>
        <v>SAINT-PIERRE-AVEZ</v>
      </c>
      <c r="E14791" s="38" t="s">
        <v>706</v>
      </c>
      <c r="F14791" s="38" t="s">
        <v>228</v>
      </c>
      <c r="G14791" s="49" t="str">
        <f t="shared" si="1"/>
        <v>05300</v>
      </c>
      <c r="H14791" s="49" t="str">
        <f t="shared" si="2"/>
        <v>05155</v>
      </c>
    </row>
    <row r="14792">
      <c r="A14792" s="48" t="s">
        <v>9141</v>
      </c>
      <c r="B14792" s="38">
        <v>1353.0</v>
      </c>
      <c r="C14792" s="38" t="s">
        <v>19123</v>
      </c>
      <c r="D14792" s="38" t="str">
        <f>IFERROR(__xludf.DUMMYFUNCTION("REGEXREPLACE(C14792,""-\d+(.*)|--\d+(.*)"","""")"),"SAINTE-EUPHEMIE")</f>
        <v>SAINTE-EUPHEMIE</v>
      </c>
      <c r="E14792" s="38" t="s">
        <v>255</v>
      </c>
      <c r="F14792" s="38" t="s">
        <v>102</v>
      </c>
      <c r="G14792" s="49" t="str">
        <f t="shared" si="1"/>
        <v>01600</v>
      </c>
      <c r="H14792" s="49" t="str">
        <f t="shared" si="2"/>
        <v>01353</v>
      </c>
    </row>
    <row r="14793">
      <c r="A14793" s="48" t="s">
        <v>8298</v>
      </c>
      <c r="B14793" s="38">
        <v>54573.0</v>
      </c>
      <c r="C14793" s="38" t="s">
        <v>19124</v>
      </c>
      <c r="D14793" s="38" t="str">
        <f>IFERROR(__xludf.DUMMYFUNCTION("REGEXREPLACE(C14793,""-\d+(.*)|--\d+(.*)"","""")"),"VILLERS-EN-HAYE")</f>
        <v>VILLERS-EN-HAYE</v>
      </c>
      <c r="E14793" s="38" t="s">
        <v>548</v>
      </c>
      <c r="F14793" s="38" t="s">
        <v>195</v>
      </c>
      <c r="G14793" s="49" t="str">
        <f t="shared" si="1"/>
        <v>54380</v>
      </c>
      <c r="H14793" s="49">
        <f t="shared" si="2"/>
        <v>54573</v>
      </c>
    </row>
    <row r="14794">
      <c r="A14794" s="48" t="s">
        <v>1166</v>
      </c>
      <c r="B14794" s="38">
        <v>9246.0</v>
      </c>
      <c r="C14794" s="38" t="s">
        <v>19125</v>
      </c>
      <c r="D14794" s="38" t="str">
        <f>IFERROR(__xludf.DUMMYFUNCTION("REGEXREPLACE(C14794,""-\d+(.*)|--\d+(.*)"","""")"),"RIMONT")</f>
        <v>RIMONT</v>
      </c>
      <c r="E14794" s="38" t="s">
        <v>238</v>
      </c>
      <c r="F14794" s="38" t="s">
        <v>94</v>
      </c>
      <c r="G14794" s="49" t="str">
        <f t="shared" si="1"/>
        <v>09420</v>
      </c>
      <c r="H14794" s="49" t="str">
        <f t="shared" si="2"/>
        <v>09246</v>
      </c>
    </row>
    <row r="14795">
      <c r="A14795" s="48" t="s">
        <v>635</v>
      </c>
      <c r="B14795" s="38">
        <v>15119.0</v>
      </c>
      <c r="C14795" s="38" t="s">
        <v>19126</v>
      </c>
      <c r="D14795" s="38" t="str">
        <f>IFERROR(__xludf.DUMMYFUNCTION("REGEXREPLACE(C14795,""-\d+(.*)|--\d+(.*)"","""")"),"MASSIAC")</f>
        <v>MASSIAC</v>
      </c>
      <c r="E14795" s="38" t="s">
        <v>632</v>
      </c>
      <c r="F14795" s="38" t="s">
        <v>161</v>
      </c>
      <c r="G14795" s="49" t="str">
        <f t="shared" si="1"/>
        <v>15500</v>
      </c>
      <c r="H14795" s="49">
        <f t="shared" si="2"/>
        <v>15119</v>
      </c>
    </row>
    <row r="14796">
      <c r="A14796" s="48" t="s">
        <v>1894</v>
      </c>
      <c r="B14796" s="38">
        <v>10022.0</v>
      </c>
      <c r="C14796" s="38" t="s">
        <v>19127</v>
      </c>
      <c r="D14796" s="38" t="str">
        <f>IFERROR(__xludf.DUMMYFUNCTION("REGEXREPLACE(C14796,""-\d+(.*)|--\d+(.*)"","""")"),"AVIREY-LINGEY")</f>
        <v>AVIREY-LINGEY</v>
      </c>
      <c r="E14796" s="38" t="s">
        <v>147</v>
      </c>
      <c r="F14796" s="38" t="s">
        <v>130</v>
      </c>
      <c r="G14796" s="49" t="str">
        <f t="shared" si="1"/>
        <v>10340</v>
      </c>
      <c r="H14796" s="49">
        <f t="shared" si="2"/>
        <v>10022</v>
      </c>
    </row>
    <row r="14797">
      <c r="A14797" s="48" t="s">
        <v>3351</v>
      </c>
      <c r="B14797" s="38">
        <v>69198.0</v>
      </c>
      <c r="C14797" s="38" t="s">
        <v>19128</v>
      </c>
      <c r="D14797" s="38" t="str">
        <f>IFERROR(__xludf.DUMMYFUNCTION("REGEXREPLACE(C14797,""-\d+(.*)|--\d+(.*)"","""")"),"SAINT-ETIENNE-LA-VARENNE")</f>
        <v>SAINT-ETIENNE-LA-VARENNE</v>
      </c>
      <c r="E14797" s="38" t="s">
        <v>350</v>
      </c>
      <c r="F14797" s="38" t="s">
        <v>102</v>
      </c>
      <c r="G14797" s="49" t="str">
        <f t="shared" si="1"/>
        <v>69460</v>
      </c>
      <c r="H14797" s="49">
        <f t="shared" si="2"/>
        <v>69198</v>
      </c>
    </row>
    <row r="14798">
      <c r="A14798" s="48" t="s">
        <v>9585</v>
      </c>
      <c r="B14798" s="38">
        <v>25132.0</v>
      </c>
      <c r="C14798" s="38" t="s">
        <v>19129</v>
      </c>
      <c r="D14798" s="38" t="str">
        <f>IFERROR(__xludf.DUMMYFUNCTION("REGEXREPLACE(C14798,""-\d+(.*)|--\d+(.*)"","""")"),"CHATILLON-GUYOTTE")</f>
        <v>CHATILLON-GUYOTTE</v>
      </c>
      <c r="E14798" s="38" t="s">
        <v>213</v>
      </c>
      <c r="F14798" s="38" t="s">
        <v>214</v>
      </c>
      <c r="G14798" s="49" t="str">
        <f t="shared" si="1"/>
        <v>25640</v>
      </c>
      <c r="H14798" s="49">
        <f t="shared" si="2"/>
        <v>25132</v>
      </c>
    </row>
    <row r="14799">
      <c r="A14799" s="48" t="s">
        <v>8810</v>
      </c>
      <c r="B14799" s="38">
        <v>63297.0</v>
      </c>
      <c r="C14799" s="38" t="s">
        <v>19130</v>
      </c>
      <c r="D14799" s="38" t="str">
        <f>IFERROR(__xludf.DUMMYFUNCTION("REGEXREPLACE(C14799,""-\d+(.*)|--\d+(.*)"","""")"),"REIGNAT")</f>
        <v>REIGNAT</v>
      </c>
      <c r="E14799" s="38" t="s">
        <v>353</v>
      </c>
      <c r="F14799" s="38" t="s">
        <v>161</v>
      </c>
      <c r="G14799" s="49" t="str">
        <f t="shared" si="1"/>
        <v>63160</v>
      </c>
      <c r="H14799" s="49">
        <f t="shared" si="2"/>
        <v>63297</v>
      </c>
    </row>
    <row r="14800">
      <c r="A14800" s="48" t="s">
        <v>6025</v>
      </c>
      <c r="B14800" s="38">
        <v>31030.0</v>
      </c>
      <c r="C14800" s="38" t="s">
        <v>19131</v>
      </c>
      <c r="D14800" s="38" t="str">
        <f>IFERROR(__xludf.DUMMYFUNCTION("REGEXREPLACE(C14800,""-\d+(.*)|--\d+(.*)"","""")"),"AUSSEING")</f>
        <v>AUSSEING</v>
      </c>
      <c r="E14800" s="38" t="s">
        <v>93</v>
      </c>
      <c r="F14800" s="38" t="s">
        <v>94</v>
      </c>
      <c r="G14800" s="49" t="str">
        <f t="shared" si="1"/>
        <v>31260</v>
      </c>
      <c r="H14800" s="49">
        <f t="shared" si="2"/>
        <v>31030</v>
      </c>
    </row>
    <row r="14801">
      <c r="A14801" s="48" t="s">
        <v>9498</v>
      </c>
      <c r="B14801" s="38">
        <v>79263.0</v>
      </c>
      <c r="C14801" s="38" t="s">
        <v>19132</v>
      </c>
      <c r="D14801" s="38" t="str">
        <f>IFERROR(__xludf.DUMMYFUNCTION("REGEXREPLACE(C14801,""-\d+(.*)|--\d+(.*)"","""")"),"SAINT-LAURS")</f>
        <v>SAINT-LAURS</v>
      </c>
      <c r="E14801" s="38" t="s">
        <v>337</v>
      </c>
      <c r="F14801" s="38" t="s">
        <v>338</v>
      </c>
      <c r="G14801" s="49" t="str">
        <f t="shared" si="1"/>
        <v>79160</v>
      </c>
      <c r="H14801" s="49">
        <f t="shared" si="2"/>
        <v>79263</v>
      </c>
    </row>
    <row r="14802">
      <c r="A14802" s="48" t="s">
        <v>5775</v>
      </c>
      <c r="B14802" s="38">
        <v>73023.0</v>
      </c>
      <c r="C14802" s="38" t="s">
        <v>19133</v>
      </c>
      <c r="D14802" s="38" t="str">
        <f>IFERROR(__xludf.DUMMYFUNCTION("REGEXREPLACE(C14802,""-\d+(.*)|--\d+(.*)"","""")"),"AUSSOIS")</f>
        <v>AUSSOIS</v>
      </c>
      <c r="E14802" s="38" t="s">
        <v>306</v>
      </c>
      <c r="F14802" s="38" t="s">
        <v>102</v>
      </c>
      <c r="G14802" s="49" t="str">
        <f t="shared" si="1"/>
        <v>73500</v>
      </c>
      <c r="H14802" s="49">
        <f t="shared" si="2"/>
        <v>73023</v>
      </c>
    </row>
    <row r="14803">
      <c r="A14803" s="48" t="s">
        <v>8589</v>
      </c>
      <c r="B14803" s="38">
        <v>27233.0</v>
      </c>
      <c r="C14803" s="38" t="s">
        <v>19134</v>
      </c>
      <c r="D14803" s="38" t="str">
        <f>IFERROR(__xludf.DUMMYFUNCTION("REGEXREPLACE(C14803,""-\d+(.*)|--\d+(.*)"","""")"),"FATOUVILLE-GRESTAIN")</f>
        <v>FATOUVILLE-GRESTAIN</v>
      </c>
      <c r="E14803" s="38" t="s">
        <v>241</v>
      </c>
      <c r="F14803" s="38" t="s">
        <v>134</v>
      </c>
      <c r="G14803" s="49" t="str">
        <f t="shared" si="1"/>
        <v>27210</v>
      </c>
      <c r="H14803" s="49">
        <f t="shared" si="2"/>
        <v>27233</v>
      </c>
    </row>
    <row r="14804">
      <c r="A14804" s="48" t="s">
        <v>4267</v>
      </c>
      <c r="B14804" s="38">
        <v>62209.0</v>
      </c>
      <c r="C14804" s="38" t="s">
        <v>19135</v>
      </c>
      <c r="D14804" s="38" t="str">
        <f>IFERROR(__xludf.DUMMYFUNCTION("REGEXREPLACE(C14804,""-\d+(.*)|--\d+(.*)"","""")"),"CANLERS")</f>
        <v>CANLERS</v>
      </c>
      <c r="E14804" s="38" t="s">
        <v>109</v>
      </c>
      <c r="F14804" s="38" t="s">
        <v>86</v>
      </c>
      <c r="G14804" s="49" t="str">
        <f t="shared" si="1"/>
        <v>62310</v>
      </c>
      <c r="H14804" s="49">
        <f t="shared" si="2"/>
        <v>62209</v>
      </c>
    </row>
    <row r="14805">
      <c r="A14805" s="48" t="s">
        <v>7673</v>
      </c>
      <c r="B14805" s="38">
        <v>39186.0</v>
      </c>
      <c r="C14805" s="38" t="s">
        <v>19136</v>
      </c>
      <c r="D14805" s="38" t="str">
        <f>IFERROR(__xludf.DUMMYFUNCTION("REGEXREPLACE(C14805,""-\d+(.*)|--\d+(.*)"","""")"),"CUTTURA")</f>
        <v>CUTTURA</v>
      </c>
      <c r="E14805" s="38" t="s">
        <v>400</v>
      </c>
      <c r="F14805" s="38" t="s">
        <v>214</v>
      </c>
      <c r="G14805" s="49" t="str">
        <f t="shared" si="1"/>
        <v>39170</v>
      </c>
      <c r="H14805" s="49">
        <f t="shared" si="2"/>
        <v>39186</v>
      </c>
    </row>
    <row r="14806">
      <c r="A14806" s="48" t="s">
        <v>19137</v>
      </c>
      <c r="B14806" s="38">
        <v>38107.0</v>
      </c>
      <c r="C14806" s="38" t="s">
        <v>19138</v>
      </c>
      <c r="D14806" s="38" t="str">
        <f>IFERROR(__xludf.DUMMYFUNCTION("REGEXREPLACE(C14806,""-\d+(.*)|--\d+(.*)"","""")"),"CHONAS-L'AMBALLAN")</f>
        <v>CHONAS-L'AMBALLAN</v>
      </c>
      <c r="E14806" s="38" t="s">
        <v>101</v>
      </c>
      <c r="F14806" s="38" t="s">
        <v>102</v>
      </c>
      <c r="G14806" s="49" t="str">
        <f t="shared" si="1"/>
        <v>38121</v>
      </c>
      <c r="H14806" s="49">
        <f t="shared" si="2"/>
        <v>38107</v>
      </c>
    </row>
    <row r="14807">
      <c r="A14807" s="48" t="s">
        <v>8263</v>
      </c>
      <c r="B14807" s="38">
        <v>43158.0</v>
      </c>
      <c r="C14807" s="38" t="s">
        <v>19139</v>
      </c>
      <c r="D14807" s="38" t="str">
        <f>IFERROR(__xludf.DUMMYFUNCTION("REGEXREPLACE(C14807,""-\d+(.*)|--\d+(.*)"","""")"),"QUEYRIERES")</f>
        <v>QUEYRIERES</v>
      </c>
      <c r="E14807" s="38" t="s">
        <v>332</v>
      </c>
      <c r="F14807" s="38" t="s">
        <v>161</v>
      </c>
      <c r="G14807" s="49" t="str">
        <f t="shared" si="1"/>
        <v>43260</v>
      </c>
      <c r="H14807" s="49">
        <f t="shared" si="2"/>
        <v>43158</v>
      </c>
    </row>
    <row r="14808">
      <c r="A14808" s="48" t="s">
        <v>4377</v>
      </c>
      <c r="B14808" s="38">
        <v>31473.0</v>
      </c>
      <c r="C14808" s="38" t="s">
        <v>19140</v>
      </c>
      <c r="D14808" s="38" t="str">
        <f>IFERROR(__xludf.DUMMYFUNCTION("REGEXREPLACE(C14808,""-\d+(.*)|--\d+(.*)"","""")"),"SAINT-CEZERT")</f>
        <v>SAINT-CEZERT</v>
      </c>
      <c r="E14808" s="38" t="s">
        <v>93</v>
      </c>
      <c r="F14808" s="38" t="s">
        <v>94</v>
      </c>
      <c r="G14808" s="49" t="str">
        <f t="shared" si="1"/>
        <v>31330</v>
      </c>
      <c r="H14808" s="49">
        <f t="shared" si="2"/>
        <v>31473</v>
      </c>
    </row>
    <row r="14809">
      <c r="A14809" s="48" t="s">
        <v>12001</v>
      </c>
      <c r="B14809" s="38">
        <v>7272.0</v>
      </c>
      <c r="C14809" s="38" t="s">
        <v>19141</v>
      </c>
      <c r="D14809" s="38" t="str">
        <f>IFERROR(__xludf.DUMMYFUNCTION("REGEXREPLACE(C14809,""-\d+(.*)|--\d+(.*)"","""")"),"SAINT-MAURICE-D'ARDECHE")</f>
        <v>SAINT-MAURICE-D'ARDECHE</v>
      </c>
      <c r="E14809" s="38" t="s">
        <v>144</v>
      </c>
      <c r="F14809" s="38" t="s">
        <v>102</v>
      </c>
      <c r="G14809" s="49" t="str">
        <f t="shared" si="1"/>
        <v>07200</v>
      </c>
      <c r="H14809" s="49" t="str">
        <f t="shared" si="2"/>
        <v>07272</v>
      </c>
    </row>
    <row r="14810">
      <c r="A14810" s="48" t="s">
        <v>3147</v>
      </c>
      <c r="B14810" s="38">
        <v>68250.0</v>
      </c>
      <c r="C14810" s="38" t="s">
        <v>19142</v>
      </c>
      <c r="D14810" s="38" t="str">
        <f>IFERROR(__xludf.DUMMYFUNCTION("REGEXREPLACE(C14810,""-\d+(.*)|--\d+(.*)"","""")"),"ORSCHWIHR")</f>
        <v>ORSCHWIHR</v>
      </c>
      <c r="E14810" s="38" t="s">
        <v>150</v>
      </c>
      <c r="F14810" s="38" t="s">
        <v>151</v>
      </c>
      <c r="G14810" s="49" t="str">
        <f t="shared" si="1"/>
        <v>68500</v>
      </c>
      <c r="H14810" s="49">
        <f t="shared" si="2"/>
        <v>68250</v>
      </c>
    </row>
    <row r="14811">
      <c r="A14811" s="48" t="s">
        <v>7192</v>
      </c>
      <c r="B14811" s="38">
        <v>61335.0</v>
      </c>
      <c r="C14811" s="38" t="s">
        <v>19143</v>
      </c>
      <c r="D14811" s="38" t="str">
        <f>IFERROR(__xludf.DUMMYFUNCTION("REGEXREPLACE(C14811,""-\d+(.*)|--\d+(.*)"","""")"),"LA POTERIE-AU-PERCHE")</f>
        <v>LA POTERIE-AU-PERCHE</v>
      </c>
      <c r="E14811" s="38" t="s">
        <v>141</v>
      </c>
      <c r="F14811" s="38" t="s">
        <v>138</v>
      </c>
      <c r="G14811" s="49" t="str">
        <f t="shared" si="1"/>
        <v>61190</v>
      </c>
      <c r="H14811" s="49">
        <f t="shared" si="2"/>
        <v>61335</v>
      </c>
    </row>
    <row r="14812">
      <c r="A14812" s="48" t="s">
        <v>4079</v>
      </c>
      <c r="B14812" s="38">
        <v>1277.0</v>
      </c>
      <c r="C14812" s="38" t="s">
        <v>19144</v>
      </c>
      <c r="D14812" s="38" t="str">
        <f>IFERROR(__xludf.DUMMYFUNCTION("REGEXREPLACE(C14812,""-\d+(.*)|--\d+(.*)"","""")"),"NIVOLLET-MONTGRIFFON")</f>
        <v>NIVOLLET-MONTGRIFFON</v>
      </c>
      <c r="E14812" s="38" t="s">
        <v>255</v>
      </c>
      <c r="F14812" s="38" t="s">
        <v>102</v>
      </c>
      <c r="G14812" s="49" t="str">
        <f t="shared" si="1"/>
        <v>01230</v>
      </c>
      <c r="H14812" s="49" t="str">
        <f t="shared" si="2"/>
        <v>01277</v>
      </c>
    </row>
    <row r="14813">
      <c r="A14813" s="48" t="s">
        <v>2029</v>
      </c>
      <c r="B14813" s="38">
        <v>50005.0</v>
      </c>
      <c r="C14813" s="38" t="s">
        <v>19145</v>
      </c>
      <c r="D14813" s="38" t="str">
        <f>IFERROR(__xludf.DUMMYFUNCTION("REGEXREPLACE(C14813,""-\d+(.*)|--\d+(.*)"","""")"),"AMFREVILLE")</f>
        <v>AMFREVILLE</v>
      </c>
      <c r="E14813" s="38" t="s">
        <v>157</v>
      </c>
      <c r="F14813" s="38" t="s">
        <v>138</v>
      </c>
      <c r="G14813" s="49" t="str">
        <f t="shared" si="1"/>
        <v>50480</v>
      </c>
      <c r="H14813" s="49">
        <f t="shared" si="2"/>
        <v>50005</v>
      </c>
    </row>
    <row r="14814">
      <c r="A14814" s="48" t="s">
        <v>19146</v>
      </c>
      <c r="B14814" s="38">
        <v>83070.0</v>
      </c>
      <c r="C14814" s="38" t="s">
        <v>19147</v>
      </c>
      <c r="D14814" s="38" t="str">
        <f>IFERROR(__xludf.DUMMYFUNCTION("REGEXREPLACE(C14814,""-\d+(.*)|--\d+(.*)"","""")"),"LE LAVANDOU")</f>
        <v>LE LAVANDOU</v>
      </c>
      <c r="E14814" s="38" t="s">
        <v>813</v>
      </c>
      <c r="F14814" s="38" t="s">
        <v>228</v>
      </c>
      <c r="G14814" s="49" t="str">
        <f t="shared" si="1"/>
        <v>83980</v>
      </c>
      <c r="H14814" s="49">
        <f t="shared" si="2"/>
        <v>83070</v>
      </c>
    </row>
    <row r="14815">
      <c r="A14815" s="48" t="s">
        <v>211</v>
      </c>
      <c r="B14815" s="38">
        <v>25199.0</v>
      </c>
      <c r="C14815" s="38" t="s">
        <v>19148</v>
      </c>
      <c r="D14815" s="38" t="str">
        <f>IFERROR(__xludf.DUMMYFUNCTION("REGEXREPLACE(C14815,""-\d+(.*)|--\d+(.*)"","""")"),"DESERVILLERS")</f>
        <v>DESERVILLERS</v>
      </c>
      <c r="E14815" s="38" t="s">
        <v>213</v>
      </c>
      <c r="F14815" s="38" t="s">
        <v>214</v>
      </c>
      <c r="G14815" s="49" t="str">
        <f t="shared" si="1"/>
        <v>25330</v>
      </c>
      <c r="H14815" s="49">
        <f t="shared" si="2"/>
        <v>25199</v>
      </c>
    </row>
    <row r="14816">
      <c r="A14816" s="48" t="s">
        <v>1959</v>
      </c>
      <c r="B14816" s="38">
        <v>82160.0</v>
      </c>
      <c r="C14816" s="38" t="s">
        <v>5402</v>
      </c>
      <c r="D14816" s="38" t="str">
        <f>IFERROR(__xludf.DUMMYFUNCTION("REGEXREPLACE(C14816,""-\d+(.*)|--\d+(.*)"","""")"),"SAINT-CLAIR")</f>
        <v>SAINT-CLAIR</v>
      </c>
      <c r="E14816" s="38" t="s">
        <v>570</v>
      </c>
      <c r="F14816" s="38" t="s">
        <v>94</v>
      </c>
      <c r="G14816" s="49" t="str">
        <f t="shared" si="1"/>
        <v>82400</v>
      </c>
      <c r="H14816" s="49">
        <f t="shared" si="2"/>
        <v>82160</v>
      </c>
    </row>
    <row r="14817">
      <c r="A14817" s="48" t="s">
        <v>3031</v>
      </c>
      <c r="B14817" s="38">
        <v>21043.0</v>
      </c>
      <c r="C14817" s="38" t="s">
        <v>19149</v>
      </c>
      <c r="D14817" s="38" t="str">
        <f>IFERROR(__xludf.DUMMYFUNCTION("REGEXREPLACE(C14817,""-\d+(.*)|--\d+(.*)"","""")"),"BAIGNEUX-LES-JUIFS")</f>
        <v>BAIGNEUX-LES-JUIFS</v>
      </c>
      <c r="E14817" s="38" t="s">
        <v>105</v>
      </c>
      <c r="F14817" s="38" t="s">
        <v>106</v>
      </c>
      <c r="G14817" s="49" t="str">
        <f t="shared" si="1"/>
        <v>21450</v>
      </c>
      <c r="H14817" s="49">
        <f t="shared" si="2"/>
        <v>21043</v>
      </c>
    </row>
    <row r="14818">
      <c r="A14818" s="48" t="s">
        <v>4799</v>
      </c>
      <c r="B14818" s="38">
        <v>38235.0</v>
      </c>
      <c r="C14818" s="38" t="s">
        <v>19150</v>
      </c>
      <c r="D14818" s="38" t="str">
        <f>IFERROR(__xludf.DUMMYFUNCTION("REGEXREPLACE(C14818,""-\d+(.*)|--\d+(.*)"","""")"),"MIRIBEL-LANCHATRE")</f>
        <v>MIRIBEL-LANCHATRE</v>
      </c>
      <c r="E14818" s="38" t="s">
        <v>101</v>
      </c>
      <c r="F14818" s="38" t="s">
        <v>102</v>
      </c>
      <c r="G14818" s="49" t="str">
        <f t="shared" si="1"/>
        <v>38450</v>
      </c>
      <c r="H14818" s="49">
        <f t="shared" si="2"/>
        <v>38235</v>
      </c>
    </row>
    <row r="14819">
      <c r="A14819" s="48" t="s">
        <v>13263</v>
      </c>
      <c r="B14819" s="38">
        <v>50482.0</v>
      </c>
      <c r="C14819" s="38" t="s">
        <v>19151</v>
      </c>
      <c r="D14819" s="38" t="str">
        <f>IFERROR(__xludf.DUMMYFUNCTION("REGEXREPLACE(C14819,""-\d+(.*)|--\d+(.*)"","""")"),"SAINT-GERMAIN-SUR-SEVES")</f>
        <v>SAINT-GERMAIN-SUR-SEVES</v>
      </c>
      <c r="E14819" s="38" t="s">
        <v>157</v>
      </c>
      <c r="F14819" s="38" t="s">
        <v>138</v>
      </c>
      <c r="G14819" s="49" t="str">
        <f t="shared" si="1"/>
        <v>50190</v>
      </c>
      <c r="H14819" s="49">
        <f t="shared" si="2"/>
        <v>50482</v>
      </c>
    </row>
    <row r="14820">
      <c r="A14820" s="48" t="s">
        <v>6191</v>
      </c>
      <c r="B14820" s="38">
        <v>50625.0</v>
      </c>
      <c r="C14820" s="38" t="s">
        <v>19152</v>
      </c>
      <c r="D14820" s="38" t="str">
        <f>IFERROR(__xludf.DUMMYFUNCTION("REGEXREPLACE(C14820,""-\d+(.*)|--\d+(.*)"","""")"),"VENGEONS")</f>
        <v>VENGEONS</v>
      </c>
      <c r="E14820" s="38" t="s">
        <v>157</v>
      </c>
      <c r="F14820" s="38" t="s">
        <v>138</v>
      </c>
      <c r="G14820" s="49" t="str">
        <f t="shared" si="1"/>
        <v>50150</v>
      </c>
      <c r="H14820" s="49">
        <f t="shared" si="2"/>
        <v>50625</v>
      </c>
    </row>
    <row r="14821">
      <c r="A14821" s="48" t="s">
        <v>19153</v>
      </c>
      <c r="B14821" s="38">
        <v>78164.0</v>
      </c>
      <c r="C14821" s="38" t="s">
        <v>19154</v>
      </c>
      <c r="D14821" s="38" t="str">
        <f>IFERROR(__xludf.DUMMYFUNCTION("REGEXREPLACE(C14821,""-\d+(.*)|--\d+(.*)"","""")"),"CLAIREFONTAINE-EN-YVELINES")</f>
        <v>CLAIREFONTAINE-EN-YVELINES</v>
      </c>
      <c r="E14821" s="38" t="s">
        <v>362</v>
      </c>
      <c r="F14821" s="38" t="s">
        <v>245</v>
      </c>
      <c r="G14821" s="49" t="str">
        <f t="shared" si="1"/>
        <v>78120</v>
      </c>
      <c r="H14821" s="49">
        <f t="shared" si="2"/>
        <v>78164</v>
      </c>
    </row>
    <row r="14822">
      <c r="A14822" s="48" t="s">
        <v>566</v>
      </c>
      <c r="B14822" s="38">
        <v>23247.0</v>
      </c>
      <c r="C14822" s="38" t="s">
        <v>19155</v>
      </c>
      <c r="D14822" s="38" t="str">
        <f>IFERROR(__xludf.DUMMYFUNCTION("REGEXREPLACE(C14822,""-\d+(.*)|--\d+(.*)"","""")"),"SAINT-VAURY")</f>
        <v>SAINT-VAURY</v>
      </c>
      <c r="E14822" s="38" t="s">
        <v>97</v>
      </c>
      <c r="F14822" s="38" t="s">
        <v>98</v>
      </c>
      <c r="G14822" s="49" t="str">
        <f t="shared" si="1"/>
        <v>23320</v>
      </c>
      <c r="H14822" s="49">
        <f t="shared" si="2"/>
        <v>23247</v>
      </c>
    </row>
    <row r="14823">
      <c r="A14823" s="48" t="s">
        <v>6261</v>
      </c>
      <c r="B14823" s="38">
        <v>76307.0</v>
      </c>
      <c r="C14823" s="38" t="s">
        <v>19156</v>
      </c>
      <c r="D14823" s="38" t="str">
        <f>IFERROR(__xludf.DUMMYFUNCTION("REGEXREPLACE(C14823,""-\d+(.*)|--\d+(.*)"","""")"),"GONNEVILLE-LA-MALLET")</f>
        <v>GONNEVILLE-LA-MALLET</v>
      </c>
      <c r="E14823" s="38" t="s">
        <v>133</v>
      </c>
      <c r="F14823" s="38" t="s">
        <v>134</v>
      </c>
      <c r="G14823" s="49" t="str">
        <f t="shared" si="1"/>
        <v>76280</v>
      </c>
      <c r="H14823" s="49">
        <f t="shared" si="2"/>
        <v>76307</v>
      </c>
    </row>
    <row r="14824">
      <c r="A14824" s="48" t="s">
        <v>6613</v>
      </c>
      <c r="B14824" s="38">
        <v>61137.0</v>
      </c>
      <c r="C14824" s="38" t="s">
        <v>19157</v>
      </c>
      <c r="D14824" s="38" t="str">
        <f>IFERROR(__xludf.DUMMYFUNCTION("REGEXREPLACE(C14824,""-\d+(.*)|--\d+(.*)"","""")"),"CRAMENIL")</f>
        <v>CRAMENIL</v>
      </c>
      <c r="E14824" s="38" t="s">
        <v>141</v>
      </c>
      <c r="F14824" s="38" t="s">
        <v>138</v>
      </c>
      <c r="G14824" s="49" t="str">
        <f t="shared" si="1"/>
        <v>61220</v>
      </c>
      <c r="H14824" s="49">
        <f t="shared" si="2"/>
        <v>61137</v>
      </c>
    </row>
    <row r="14825">
      <c r="A14825" s="48" t="s">
        <v>369</v>
      </c>
      <c r="B14825" s="38">
        <v>63235.0</v>
      </c>
      <c r="C14825" s="38" t="s">
        <v>19158</v>
      </c>
      <c r="D14825" s="38" t="str">
        <f>IFERROR(__xludf.DUMMYFUNCTION("REGEXREPLACE(C14825,""-\d+(.*)|--\d+(.*)"","""")"),"MONTCEL")</f>
        <v>MONTCEL</v>
      </c>
      <c r="E14825" s="38" t="s">
        <v>353</v>
      </c>
      <c r="F14825" s="38" t="s">
        <v>161</v>
      </c>
      <c r="G14825" s="49" t="str">
        <f t="shared" si="1"/>
        <v>63460</v>
      </c>
      <c r="H14825" s="49">
        <f t="shared" si="2"/>
        <v>63235</v>
      </c>
    </row>
    <row r="14826">
      <c r="A14826" s="48" t="s">
        <v>3693</v>
      </c>
      <c r="B14826" s="38">
        <v>24263.0</v>
      </c>
      <c r="C14826" s="38" t="s">
        <v>19159</v>
      </c>
      <c r="D14826" s="38" t="str">
        <f>IFERROR(__xludf.DUMMYFUNCTION("REGEXREPLACE(C14826,""-\d+(.*)|--\d+(.*)"","""")"),"MAZEYROLLES")</f>
        <v>MAZEYROLLES</v>
      </c>
      <c r="E14826" s="38" t="s">
        <v>261</v>
      </c>
      <c r="F14826" s="38" t="s">
        <v>252</v>
      </c>
      <c r="G14826" s="49" t="str">
        <f t="shared" si="1"/>
        <v>24550</v>
      </c>
      <c r="H14826" s="49">
        <f t="shared" si="2"/>
        <v>24263</v>
      </c>
    </row>
    <row r="14827">
      <c r="A14827" s="48" t="s">
        <v>5470</v>
      </c>
      <c r="B14827" s="38">
        <v>65435.0</v>
      </c>
      <c r="C14827" s="38" t="s">
        <v>19160</v>
      </c>
      <c r="D14827" s="38" t="str">
        <f>IFERROR(__xludf.DUMMYFUNCTION("REGEXREPLACE(C14827,""-\d+(.*)|--\d+(.*)"","""")"),"SOULOM")</f>
        <v>SOULOM</v>
      </c>
      <c r="E14827" s="38" t="s">
        <v>200</v>
      </c>
      <c r="F14827" s="38" t="s">
        <v>94</v>
      </c>
      <c r="G14827" s="49" t="str">
        <f t="shared" si="1"/>
        <v>65260</v>
      </c>
      <c r="H14827" s="49">
        <f t="shared" si="2"/>
        <v>65435</v>
      </c>
    </row>
    <row r="14828">
      <c r="A14828" s="48" t="s">
        <v>4334</v>
      </c>
      <c r="B14828" s="38">
        <v>3086.0</v>
      </c>
      <c r="C14828" s="38" t="s">
        <v>17817</v>
      </c>
      <c r="D14828" s="38" t="str">
        <f>IFERROR(__xludf.DUMMYFUNCTION("REGEXREPLACE(C14828,""-\d+(.*)|--\d+(.*)"","""")"),"COULANGES")</f>
        <v>COULANGES</v>
      </c>
      <c r="E14828" s="38" t="s">
        <v>160</v>
      </c>
      <c r="F14828" s="38" t="s">
        <v>161</v>
      </c>
      <c r="G14828" s="49" t="str">
        <f t="shared" si="1"/>
        <v>03470</v>
      </c>
      <c r="H14828" s="49" t="str">
        <f t="shared" si="2"/>
        <v>03086</v>
      </c>
    </row>
    <row r="14829">
      <c r="A14829" s="48" t="s">
        <v>3212</v>
      </c>
      <c r="B14829" s="38">
        <v>64224.0</v>
      </c>
      <c r="C14829" s="38" t="s">
        <v>19161</v>
      </c>
      <c r="D14829" s="38" t="str">
        <f>IFERROR(__xludf.DUMMYFUNCTION("REGEXREPLACE(C14829,""-\d+(.*)|--\d+(.*)"","""")"),"EYSUS")</f>
        <v>EYSUS</v>
      </c>
      <c r="E14829" s="38" t="s">
        <v>268</v>
      </c>
      <c r="F14829" s="38" t="s">
        <v>252</v>
      </c>
      <c r="G14829" s="49" t="str">
        <f t="shared" si="1"/>
        <v>64400</v>
      </c>
      <c r="H14829" s="49">
        <f t="shared" si="2"/>
        <v>64224</v>
      </c>
    </row>
    <row r="14830">
      <c r="A14830" s="48" t="s">
        <v>19162</v>
      </c>
      <c r="B14830" s="38">
        <v>30108.0</v>
      </c>
      <c r="C14830" s="38" t="s">
        <v>19163</v>
      </c>
      <c r="D14830" s="38" t="str">
        <f>IFERROR(__xludf.DUMMYFUNCTION("REGEXREPLACE(C14830,""-\d+(.*)|--\d+(.*)"","""")"),"L'ESTRECHURE")</f>
        <v>L'ESTRECHURE</v>
      </c>
      <c r="E14830" s="38" t="s">
        <v>526</v>
      </c>
      <c r="F14830" s="38" t="s">
        <v>119</v>
      </c>
      <c r="G14830" s="49" t="str">
        <f t="shared" si="1"/>
        <v>30124</v>
      </c>
      <c r="H14830" s="49">
        <f t="shared" si="2"/>
        <v>30108</v>
      </c>
    </row>
    <row r="14831">
      <c r="A14831" s="48" t="s">
        <v>1887</v>
      </c>
      <c r="B14831" s="38">
        <v>88004.0</v>
      </c>
      <c r="C14831" s="38" t="s">
        <v>19164</v>
      </c>
      <c r="D14831" s="38" t="str">
        <f>IFERROR(__xludf.DUMMYFUNCTION("REGEXREPLACE(C14831,""-\d+(.*)|--\d+(.*)"","""")"),"AINVELLE")</f>
        <v>AINVELLE</v>
      </c>
      <c r="E14831" s="38" t="s">
        <v>194</v>
      </c>
      <c r="F14831" s="38" t="s">
        <v>195</v>
      </c>
      <c r="G14831" s="49" t="str">
        <f t="shared" si="1"/>
        <v>88320</v>
      </c>
      <c r="H14831" s="49">
        <f t="shared" si="2"/>
        <v>88004</v>
      </c>
    </row>
    <row r="14832">
      <c r="A14832" s="48" t="s">
        <v>730</v>
      </c>
      <c r="B14832" s="38">
        <v>48036.0</v>
      </c>
      <c r="C14832" s="38" t="s">
        <v>19165</v>
      </c>
      <c r="D14832" s="38" t="str">
        <f>IFERROR(__xludf.DUMMYFUNCTION("REGEXREPLACE(C14832,""-\d+(.*)|--\d+(.*)"","""")"),"CASSAGNAS")</f>
        <v>CASSAGNAS</v>
      </c>
      <c r="E14832" s="38" t="s">
        <v>154</v>
      </c>
      <c r="F14832" s="38" t="s">
        <v>119</v>
      </c>
      <c r="G14832" s="49" t="str">
        <f t="shared" si="1"/>
        <v>48400</v>
      </c>
      <c r="H14832" s="49">
        <f t="shared" si="2"/>
        <v>48036</v>
      </c>
    </row>
    <row r="14833">
      <c r="A14833" s="48" t="s">
        <v>2126</v>
      </c>
      <c r="B14833" s="38">
        <v>59116.0</v>
      </c>
      <c r="C14833" s="38" t="s">
        <v>19166</v>
      </c>
      <c r="D14833" s="38" t="str">
        <f>IFERROR(__xludf.DUMMYFUNCTION("REGEXREPLACE(C14833,""-\d+(.*)|--\d+(.*)"","""")"),"BRY")</f>
        <v>BRY</v>
      </c>
      <c r="E14833" s="38" t="s">
        <v>85</v>
      </c>
      <c r="F14833" s="38" t="s">
        <v>86</v>
      </c>
      <c r="G14833" s="49" t="str">
        <f t="shared" si="1"/>
        <v>59144</v>
      </c>
      <c r="H14833" s="49">
        <f t="shared" si="2"/>
        <v>59116</v>
      </c>
    </row>
    <row r="14834">
      <c r="A14834" s="48" t="s">
        <v>2400</v>
      </c>
      <c r="B14834" s="38">
        <v>25384.0</v>
      </c>
      <c r="C14834" s="38" t="s">
        <v>19167</v>
      </c>
      <c r="D14834" s="38" t="str">
        <f>IFERROR(__xludf.DUMMYFUNCTION("REGEXREPLACE(C14834,""-\d+(.*)|--\d+(.*)"","""")"),"MONDON")</f>
        <v>MONDON</v>
      </c>
      <c r="E14834" s="38" t="s">
        <v>213</v>
      </c>
      <c r="F14834" s="38" t="s">
        <v>214</v>
      </c>
      <c r="G14834" s="49" t="str">
        <f t="shared" si="1"/>
        <v>25680</v>
      </c>
      <c r="H14834" s="49">
        <f t="shared" si="2"/>
        <v>25384</v>
      </c>
    </row>
    <row r="14835">
      <c r="A14835" s="48" t="s">
        <v>2128</v>
      </c>
      <c r="B14835" s="38">
        <v>2764.0</v>
      </c>
      <c r="C14835" s="38" t="s">
        <v>19168</v>
      </c>
      <c r="D14835" s="38" t="str">
        <f>IFERROR(__xludf.DUMMYFUNCTION("REGEXREPLACE(C14835,""-\d+(.*)|--\d+(.*)"","""")"),"VASSOGNE")</f>
        <v>VASSOGNE</v>
      </c>
      <c r="E14835" s="38" t="s">
        <v>191</v>
      </c>
      <c r="F14835" s="38" t="s">
        <v>113</v>
      </c>
      <c r="G14835" s="49" t="str">
        <f t="shared" si="1"/>
        <v>02160</v>
      </c>
      <c r="H14835" s="49" t="str">
        <f t="shared" si="2"/>
        <v>02764</v>
      </c>
    </row>
    <row r="14836">
      <c r="A14836" s="48" t="s">
        <v>6002</v>
      </c>
      <c r="B14836" s="38">
        <v>18272.0</v>
      </c>
      <c r="C14836" s="38" t="s">
        <v>19169</v>
      </c>
      <c r="D14836" s="38" t="str">
        <f>IFERROR(__xludf.DUMMYFUNCTION("REGEXREPLACE(C14836,""-\d+(.*)|--\d+(.*)"","""")"),"VEAUGUES")</f>
        <v>VEAUGUES</v>
      </c>
      <c r="E14836" s="38" t="s">
        <v>504</v>
      </c>
      <c r="F14836" s="38" t="s">
        <v>123</v>
      </c>
      <c r="G14836" s="49" t="str">
        <f t="shared" si="1"/>
        <v>18300</v>
      </c>
      <c r="H14836" s="49">
        <f t="shared" si="2"/>
        <v>18272</v>
      </c>
    </row>
    <row r="14837">
      <c r="A14837" s="48" t="s">
        <v>19170</v>
      </c>
      <c r="B14837" s="38">
        <v>53259.0</v>
      </c>
      <c r="C14837" s="38" t="s">
        <v>19171</v>
      </c>
      <c r="D14837" s="38" t="str">
        <f>IFERROR(__xludf.DUMMYFUNCTION("REGEXREPLACE(C14837,""-\d+(.*)|--\d+(.*)"","""")"),"SENONNES")</f>
        <v>SENONNES</v>
      </c>
      <c r="E14837" s="38" t="s">
        <v>518</v>
      </c>
      <c r="F14837" s="38" t="s">
        <v>180</v>
      </c>
      <c r="G14837" s="49" t="str">
        <f t="shared" si="1"/>
        <v>53390</v>
      </c>
      <c r="H14837" s="49">
        <f t="shared" si="2"/>
        <v>53259</v>
      </c>
    </row>
    <row r="14838">
      <c r="A14838" s="48" t="s">
        <v>376</v>
      </c>
      <c r="B14838" s="38">
        <v>73168.0</v>
      </c>
      <c r="C14838" s="38" t="s">
        <v>19172</v>
      </c>
      <c r="D14838" s="38" t="str">
        <f>IFERROR(__xludf.DUMMYFUNCTION("REGEXREPLACE(C14838,""-\d+(.*)|--\d+(.*)"","""")"),"MONTGILBERT")</f>
        <v>MONTGILBERT</v>
      </c>
      <c r="E14838" s="38" t="s">
        <v>306</v>
      </c>
      <c r="F14838" s="38" t="s">
        <v>102</v>
      </c>
      <c r="G14838" s="49" t="str">
        <f t="shared" si="1"/>
        <v>73220</v>
      </c>
      <c r="H14838" s="49">
        <f t="shared" si="2"/>
        <v>73168</v>
      </c>
    </row>
    <row r="14839">
      <c r="A14839" s="48" t="s">
        <v>1332</v>
      </c>
      <c r="B14839" s="38">
        <v>51341.0</v>
      </c>
      <c r="C14839" s="38" t="s">
        <v>19173</v>
      </c>
      <c r="D14839" s="38" t="str">
        <f>IFERROR(__xludf.DUMMYFUNCTION("REGEXREPLACE(C14839,""-\d+(.*)|--\d+(.*)"","""")"),"MALMY")</f>
        <v>MALMY</v>
      </c>
      <c r="E14839" s="38" t="s">
        <v>129</v>
      </c>
      <c r="F14839" s="38" t="s">
        <v>130</v>
      </c>
      <c r="G14839" s="49" t="str">
        <f t="shared" si="1"/>
        <v>51800</v>
      </c>
      <c r="H14839" s="49">
        <f t="shared" si="2"/>
        <v>51341</v>
      </c>
    </row>
    <row r="14840">
      <c r="A14840" s="48" t="s">
        <v>167</v>
      </c>
      <c r="B14840" s="38">
        <v>34323.0</v>
      </c>
      <c r="C14840" s="38" t="s">
        <v>19174</v>
      </c>
      <c r="D14840" s="38" t="str">
        <f>IFERROR(__xludf.DUMMYFUNCTION("REGEXREPLACE(C14840,""-\d+(.*)|--\d+(.*)"","""")"),"VALMASCLE")</f>
        <v>VALMASCLE</v>
      </c>
      <c r="E14840" s="38" t="s">
        <v>118</v>
      </c>
      <c r="F14840" s="38" t="s">
        <v>119</v>
      </c>
      <c r="G14840" s="49" t="str">
        <f t="shared" si="1"/>
        <v>34800</v>
      </c>
      <c r="H14840" s="49">
        <f t="shared" si="2"/>
        <v>34323</v>
      </c>
    </row>
    <row r="14841">
      <c r="A14841" s="48" t="s">
        <v>8669</v>
      </c>
      <c r="B14841" s="38">
        <v>50491.0</v>
      </c>
      <c r="C14841" s="38" t="s">
        <v>19175</v>
      </c>
      <c r="D14841" s="38" t="str">
        <f>IFERROR(__xludf.DUMMYFUNCTION("REGEXREPLACE(C14841,""-\d+(.*)|--\d+(.*)"","""")"),"SAINT-JEAN-DE-SAVIGNY")</f>
        <v>SAINT-JEAN-DE-SAVIGNY</v>
      </c>
      <c r="E14841" s="38" t="s">
        <v>157</v>
      </c>
      <c r="F14841" s="38" t="s">
        <v>138</v>
      </c>
      <c r="G14841" s="49" t="str">
        <f t="shared" si="1"/>
        <v>50680</v>
      </c>
      <c r="H14841" s="49">
        <f t="shared" si="2"/>
        <v>50491</v>
      </c>
    </row>
    <row r="14842">
      <c r="A14842" s="48" t="s">
        <v>4703</v>
      </c>
      <c r="B14842" s="38">
        <v>66223.0</v>
      </c>
      <c r="C14842" s="38" t="s">
        <v>19176</v>
      </c>
      <c r="D14842" s="38" t="str">
        <f>IFERROR(__xludf.DUMMYFUNCTION("REGEXREPLACE(C14842,""-\d+(.*)|--\d+(.*)"","""")"),"VILLEFRANCHE-DE-CONFLENT")</f>
        <v>VILLEFRANCHE-DE-CONFLENT</v>
      </c>
      <c r="E14842" s="38" t="s">
        <v>248</v>
      </c>
      <c r="F14842" s="38" t="s">
        <v>119</v>
      </c>
      <c r="G14842" s="49" t="str">
        <f t="shared" si="1"/>
        <v>66500</v>
      </c>
      <c r="H14842" s="49">
        <f t="shared" si="2"/>
        <v>66223</v>
      </c>
    </row>
    <row r="14843">
      <c r="A14843" s="48" t="s">
        <v>1381</v>
      </c>
      <c r="B14843" s="38">
        <v>62804.0</v>
      </c>
      <c r="C14843" s="38" t="s">
        <v>19177</v>
      </c>
      <c r="D14843" s="38" t="str">
        <f>IFERROR(__xludf.DUMMYFUNCTION("REGEXREPLACE(C14843,""-\d+(.*)|--\d+(.*)"","""")"),"SUS-SAINT-LEGER")</f>
        <v>SUS-SAINT-LEGER</v>
      </c>
      <c r="E14843" s="38" t="s">
        <v>109</v>
      </c>
      <c r="F14843" s="38" t="s">
        <v>86</v>
      </c>
      <c r="G14843" s="49" t="str">
        <f t="shared" si="1"/>
        <v>62810</v>
      </c>
      <c r="H14843" s="49">
        <f t="shared" si="2"/>
        <v>62804</v>
      </c>
    </row>
    <row r="14844">
      <c r="A14844" s="48" t="s">
        <v>4056</v>
      </c>
      <c r="B14844" s="38">
        <v>16245.0</v>
      </c>
      <c r="C14844" s="38" t="s">
        <v>19178</v>
      </c>
      <c r="D14844" s="38" t="str">
        <f>IFERROR(__xludf.DUMMYFUNCTION("REGEXREPLACE(C14844,""-\d+(.*)|--\d+(.*)"","""")"),"NIEUIL")</f>
        <v>NIEUIL</v>
      </c>
      <c r="E14844" s="38" t="s">
        <v>429</v>
      </c>
      <c r="F14844" s="38" t="s">
        <v>338</v>
      </c>
      <c r="G14844" s="49" t="str">
        <f t="shared" si="1"/>
        <v>16270</v>
      </c>
      <c r="H14844" s="49">
        <f t="shared" si="2"/>
        <v>16245</v>
      </c>
    </row>
    <row r="14845">
      <c r="A14845" s="48" t="s">
        <v>1872</v>
      </c>
      <c r="B14845" s="38">
        <v>80599.0</v>
      </c>
      <c r="C14845" s="38" t="s">
        <v>19179</v>
      </c>
      <c r="D14845" s="38" t="str">
        <f>IFERROR(__xludf.DUMMYFUNCTION("REGEXREPLACE(C14845,""-\d+(.*)|--\d+(.*)"","""")"),"NOYELLES-EN-CHAUSSEE")</f>
        <v>NOYELLES-EN-CHAUSSEE</v>
      </c>
      <c r="E14845" s="38" t="s">
        <v>224</v>
      </c>
      <c r="F14845" s="38" t="s">
        <v>113</v>
      </c>
      <c r="G14845" s="49" t="str">
        <f t="shared" si="1"/>
        <v>80150</v>
      </c>
      <c r="H14845" s="49">
        <f t="shared" si="2"/>
        <v>80599</v>
      </c>
    </row>
    <row r="14846">
      <c r="A14846" s="48" t="s">
        <v>19180</v>
      </c>
      <c r="B14846" s="38">
        <v>34225.0</v>
      </c>
      <c r="C14846" s="38" t="s">
        <v>19181</v>
      </c>
      <c r="D14846" s="38" t="str">
        <f>IFERROR(__xludf.DUMMYFUNCTION("REGEXREPLACE(C14846,""-\d+(.*)|--\d+(.*)"","""")"),"PUISSERGUIER")</f>
        <v>PUISSERGUIER</v>
      </c>
      <c r="E14846" s="38" t="s">
        <v>118</v>
      </c>
      <c r="F14846" s="38" t="s">
        <v>119</v>
      </c>
      <c r="G14846" s="49" t="str">
        <f t="shared" si="1"/>
        <v>34620</v>
      </c>
      <c r="H14846" s="49">
        <f t="shared" si="2"/>
        <v>34225</v>
      </c>
    </row>
    <row r="14847">
      <c r="A14847" s="48" t="s">
        <v>546</v>
      </c>
      <c r="B14847" s="38">
        <v>54589.0</v>
      </c>
      <c r="C14847" s="38" t="s">
        <v>19182</v>
      </c>
      <c r="D14847" s="38" t="str">
        <f>IFERROR(__xludf.DUMMYFUNCTION("REGEXREPLACE(C14847,""-\d+(.*)|--\d+(.*)"","""")"),"VITTONVILLE")</f>
        <v>VITTONVILLE</v>
      </c>
      <c r="E14847" s="38" t="s">
        <v>548</v>
      </c>
      <c r="F14847" s="38" t="s">
        <v>195</v>
      </c>
      <c r="G14847" s="49" t="str">
        <f t="shared" si="1"/>
        <v>54700</v>
      </c>
      <c r="H14847" s="49">
        <f t="shared" si="2"/>
        <v>54589</v>
      </c>
    </row>
    <row r="14848">
      <c r="A14848" s="48" t="s">
        <v>948</v>
      </c>
      <c r="B14848" s="38">
        <v>68068.0</v>
      </c>
      <c r="C14848" s="38" t="s">
        <v>19183</v>
      </c>
      <c r="D14848" s="38" t="str">
        <f>IFERROR(__xludf.DUMMYFUNCTION("REGEXREPLACE(C14848,""-\d+(.*)|--\d+(.*)"","""")"),"DANNEMARIE")</f>
        <v>DANNEMARIE</v>
      </c>
      <c r="E14848" s="38" t="s">
        <v>150</v>
      </c>
      <c r="F14848" s="38" t="s">
        <v>151</v>
      </c>
      <c r="G14848" s="49" t="str">
        <f t="shared" si="1"/>
        <v>68210</v>
      </c>
      <c r="H14848" s="49">
        <f t="shared" si="2"/>
        <v>68068</v>
      </c>
    </row>
    <row r="14849">
      <c r="A14849" s="48" t="s">
        <v>1300</v>
      </c>
      <c r="B14849" s="38">
        <v>60308.0</v>
      </c>
      <c r="C14849" s="38" t="s">
        <v>19184</v>
      </c>
      <c r="D14849" s="38" t="str">
        <f>IFERROR(__xludf.DUMMYFUNCTION("REGEXREPLACE(C14849,""-\d+(.*)|--\d+(.*)"","""")"),"HEMEVILLERS")</f>
        <v>HEMEVILLERS</v>
      </c>
      <c r="E14849" s="38" t="s">
        <v>112</v>
      </c>
      <c r="F14849" s="38" t="s">
        <v>113</v>
      </c>
      <c r="G14849" s="49" t="str">
        <f t="shared" si="1"/>
        <v>60190</v>
      </c>
      <c r="H14849" s="49">
        <f t="shared" si="2"/>
        <v>60308</v>
      </c>
    </row>
    <row r="14850">
      <c r="A14850" s="48" t="s">
        <v>3755</v>
      </c>
      <c r="B14850" s="38">
        <v>76225.0</v>
      </c>
      <c r="C14850" s="38" t="s">
        <v>19185</v>
      </c>
      <c r="D14850" s="38" t="str">
        <f>IFERROR(__xludf.DUMMYFUNCTION("REGEXREPLACE(C14850,""-\d+(.*)|--\d+(.*)"","""")"),"ECRETTEVILLE-LES-BAONS")</f>
        <v>ECRETTEVILLE-LES-BAONS</v>
      </c>
      <c r="E14850" s="38" t="s">
        <v>133</v>
      </c>
      <c r="F14850" s="38" t="s">
        <v>134</v>
      </c>
      <c r="G14850" s="49" t="str">
        <f t="shared" si="1"/>
        <v>76190</v>
      </c>
      <c r="H14850" s="49">
        <f t="shared" si="2"/>
        <v>76225</v>
      </c>
    </row>
    <row r="14851">
      <c r="A14851" s="48" t="s">
        <v>19186</v>
      </c>
      <c r="B14851" s="38">
        <v>45171.0</v>
      </c>
      <c r="C14851" s="38" t="s">
        <v>19187</v>
      </c>
      <c r="D14851" s="38" t="str">
        <f>IFERROR(__xludf.DUMMYFUNCTION("REGEXREPLACE(C14851,""-\d+(.*)|--\d+(.*)"","""")"),"ISDES")</f>
        <v>ISDES</v>
      </c>
      <c r="E14851" s="38" t="s">
        <v>122</v>
      </c>
      <c r="F14851" s="38" t="s">
        <v>123</v>
      </c>
      <c r="G14851" s="49" t="str">
        <f t="shared" si="1"/>
        <v>45620</v>
      </c>
      <c r="H14851" s="49">
        <f t="shared" si="2"/>
        <v>45171</v>
      </c>
    </row>
    <row r="14852">
      <c r="A14852" s="48" t="s">
        <v>1857</v>
      </c>
      <c r="B14852" s="38">
        <v>4179.0</v>
      </c>
      <c r="C14852" s="38" t="s">
        <v>19188</v>
      </c>
      <c r="D14852" s="38" t="str">
        <f>IFERROR(__xludf.DUMMYFUNCTION("REGEXREPLACE(C14852,""-\d+(.*)|--\d+(.*)"","""")"),"SAINT-GENIEZ")</f>
        <v>SAINT-GENIEZ</v>
      </c>
      <c r="E14852" s="38" t="s">
        <v>662</v>
      </c>
      <c r="F14852" s="38" t="s">
        <v>228</v>
      </c>
      <c r="G14852" s="49" t="str">
        <f t="shared" si="1"/>
        <v>04200</v>
      </c>
      <c r="H14852" s="49" t="str">
        <f t="shared" si="2"/>
        <v>04179</v>
      </c>
    </row>
    <row r="14853">
      <c r="A14853" s="48" t="s">
        <v>12619</v>
      </c>
      <c r="B14853" s="38">
        <v>24381.0</v>
      </c>
      <c r="C14853" s="38" t="s">
        <v>19189</v>
      </c>
      <c r="D14853" s="38" t="str">
        <f>IFERROR(__xludf.DUMMYFUNCTION("REGEXREPLACE(C14853,""-\d+(.*)|--\d+(.*)"","""")"),"SAINT-BARTHELEMY-DE-BUSSIERE")</f>
        <v>SAINT-BARTHELEMY-DE-BUSSIERE</v>
      </c>
      <c r="E14853" s="38" t="s">
        <v>261</v>
      </c>
      <c r="F14853" s="38" t="s">
        <v>252</v>
      </c>
      <c r="G14853" s="49" t="str">
        <f t="shared" si="1"/>
        <v>24360</v>
      </c>
      <c r="H14853" s="49">
        <f t="shared" si="2"/>
        <v>24381</v>
      </c>
    </row>
    <row r="14854">
      <c r="A14854" s="48" t="s">
        <v>15219</v>
      </c>
      <c r="B14854" s="38">
        <v>56042.0</v>
      </c>
      <c r="C14854" s="38" t="s">
        <v>19190</v>
      </c>
      <c r="D14854" s="38" t="str">
        <f>IFERROR(__xludf.DUMMYFUNCTION("REGEXREPLACE(C14854,""-\d+(.*)|--\d+(.*)"","""")"),"COLPO")</f>
        <v>COLPO</v>
      </c>
      <c r="E14854" s="38" t="s">
        <v>173</v>
      </c>
      <c r="F14854" s="38" t="s">
        <v>90</v>
      </c>
      <c r="G14854" s="49" t="str">
        <f t="shared" si="1"/>
        <v>56390</v>
      </c>
      <c r="H14854" s="49">
        <f t="shared" si="2"/>
        <v>56042</v>
      </c>
    </row>
    <row r="14855">
      <c r="A14855" s="48" t="s">
        <v>1501</v>
      </c>
      <c r="B14855" s="38">
        <v>39271.0</v>
      </c>
      <c r="C14855" s="38" t="s">
        <v>19191</v>
      </c>
      <c r="D14855" s="38" t="str">
        <f>IFERROR(__xludf.DUMMYFUNCTION("REGEXREPLACE(C14855,""-\d+(.*)|--\d+(.*)"","""")"),"LAC-DES-ROUGES-TRUITES")</f>
        <v>LAC-DES-ROUGES-TRUITES</v>
      </c>
      <c r="E14855" s="38" t="s">
        <v>400</v>
      </c>
      <c r="F14855" s="38" t="s">
        <v>214</v>
      </c>
      <c r="G14855" s="49" t="str">
        <f t="shared" si="1"/>
        <v>39150</v>
      </c>
      <c r="H14855" s="49">
        <f t="shared" si="2"/>
        <v>39271</v>
      </c>
    </row>
    <row r="14856">
      <c r="A14856" s="48" t="s">
        <v>1616</v>
      </c>
      <c r="B14856" s="38">
        <v>10428.0</v>
      </c>
      <c r="C14856" s="38" t="s">
        <v>19192</v>
      </c>
      <c r="D14856" s="38" t="str">
        <f>IFERROR(__xludf.DUMMYFUNCTION("REGEXREPLACE(C14856,""-\d+(.*)|--\d+(.*)"","""")"),"VILLE-SUR-TERRE")</f>
        <v>VILLE-SUR-TERRE</v>
      </c>
      <c r="E14856" s="38" t="s">
        <v>147</v>
      </c>
      <c r="F14856" s="38" t="s">
        <v>130</v>
      </c>
      <c r="G14856" s="49" t="str">
        <f t="shared" si="1"/>
        <v>10200</v>
      </c>
      <c r="H14856" s="49">
        <f t="shared" si="2"/>
        <v>10428</v>
      </c>
    </row>
    <row r="14857">
      <c r="A14857" s="48" t="s">
        <v>5381</v>
      </c>
      <c r="B14857" s="38">
        <v>38161.0</v>
      </c>
      <c r="C14857" s="38" t="s">
        <v>13665</v>
      </c>
      <c r="D14857" s="38" t="str">
        <f>IFERROR(__xludf.DUMMYFUNCTION("REGEXREPLACE(C14857,""-\d+(.*)|--\d+(.*)"","""")"),"FARAMANS")</f>
        <v>FARAMANS</v>
      </c>
      <c r="E14857" s="38" t="s">
        <v>101</v>
      </c>
      <c r="F14857" s="38" t="s">
        <v>102</v>
      </c>
      <c r="G14857" s="49" t="str">
        <f t="shared" si="1"/>
        <v>38260</v>
      </c>
      <c r="H14857" s="49">
        <f t="shared" si="2"/>
        <v>38161</v>
      </c>
    </row>
    <row r="14858">
      <c r="A14858" s="48" t="s">
        <v>6038</v>
      </c>
      <c r="B14858" s="38">
        <v>88411.0</v>
      </c>
      <c r="C14858" s="38" t="s">
        <v>19193</v>
      </c>
      <c r="D14858" s="38" t="str">
        <f>IFERROR(__xludf.DUMMYFUNCTION("REGEXREPLACE(C14858,""-\d+(.*)|--\d+(.*)"","""")"),"SAINT-BASLEMONT")</f>
        <v>SAINT-BASLEMONT</v>
      </c>
      <c r="E14858" s="38" t="s">
        <v>194</v>
      </c>
      <c r="F14858" s="38" t="s">
        <v>195</v>
      </c>
      <c r="G14858" s="49" t="str">
        <f t="shared" si="1"/>
        <v>88260</v>
      </c>
      <c r="H14858" s="49">
        <f t="shared" si="2"/>
        <v>88411</v>
      </c>
    </row>
    <row r="14859">
      <c r="A14859" s="48" t="s">
        <v>19194</v>
      </c>
      <c r="B14859" s="38">
        <v>50193.0</v>
      </c>
      <c r="C14859" s="38" t="s">
        <v>19195</v>
      </c>
      <c r="D14859" s="38" t="str">
        <f>IFERROR(__xludf.DUMMYFUNCTION("REGEXREPLACE(C14859,""-\d+(.*)|--\d+(.*)"","""")"),"LE FRESNE-PORET")</f>
        <v>LE FRESNE-PORET</v>
      </c>
      <c r="E14859" s="38" t="s">
        <v>157</v>
      </c>
      <c r="F14859" s="38" t="s">
        <v>138</v>
      </c>
      <c r="G14859" s="49" t="str">
        <f t="shared" si="1"/>
        <v>50850</v>
      </c>
      <c r="H14859" s="49">
        <f t="shared" si="2"/>
        <v>50193</v>
      </c>
    </row>
    <row r="14860">
      <c r="A14860" s="48" t="s">
        <v>6832</v>
      </c>
      <c r="B14860" s="38">
        <v>80824.0</v>
      </c>
      <c r="C14860" s="38" t="s">
        <v>19196</v>
      </c>
      <c r="D14860" s="38" t="str">
        <f>IFERROR(__xludf.DUMMYFUNCTION("REGEXREPLACE(C14860,""-\d+(.*)|--\d+(.*)"","""")"),"WIENCOURT-L'EQUIPEE")</f>
        <v>WIENCOURT-L'EQUIPEE</v>
      </c>
      <c r="E14860" s="38" t="s">
        <v>224</v>
      </c>
      <c r="F14860" s="38" t="s">
        <v>113</v>
      </c>
      <c r="G14860" s="49" t="str">
        <f t="shared" si="1"/>
        <v>80170</v>
      </c>
      <c r="H14860" s="49">
        <f t="shared" si="2"/>
        <v>80824</v>
      </c>
    </row>
    <row r="14861">
      <c r="A14861" s="48" t="s">
        <v>7760</v>
      </c>
      <c r="B14861" s="38">
        <v>54039.0</v>
      </c>
      <c r="C14861" s="38" t="s">
        <v>19197</v>
      </c>
      <c r="D14861" s="38" t="str">
        <f>IFERROR(__xludf.DUMMYFUNCTION("REGEXREPLACE(C14861,""-\d+(.*)|--\d+(.*)"","""")"),"BACCARAT")</f>
        <v>BACCARAT</v>
      </c>
      <c r="E14861" s="38" t="s">
        <v>548</v>
      </c>
      <c r="F14861" s="38" t="s">
        <v>195</v>
      </c>
      <c r="G14861" s="49" t="str">
        <f t="shared" si="1"/>
        <v>54120</v>
      </c>
      <c r="H14861" s="49">
        <f t="shared" si="2"/>
        <v>54039</v>
      </c>
    </row>
    <row r="14862">
      <c r="A14862" s="48" t="s">
        <v>1012</v>
      </c>
      <c r="B14862" s="38">
        <v>21007.0</v>
      </c>
      <c r="C14862" s="38" t="s">
        <v>19198</v>
      </c>
      <c r="D14862" s="38" t="str">
        <f>IFERROR(__xludf.DUMMYFUNCTION("REGEXREPLACE(C14862,""-\d+(.*)|--\d+(.*)"","""")"),"AISY-SOUS-THIL")</f>
        <v>AISY-SOUS-THIL</v>
      </c>
      <c r="E14862" s="38" t="s">
        <v>105</v>
      </c>
      <c r="F14862" s="38" t="s">
        <v>106</v>
      </c>
      <c r="G14862" s="49" t="str">
        <f t="shared" si="1"/>
        <v>21390</v>
      </c>
      <c r="H14862" s="49">
        <f t="shared" si="2"/>
        <v>21007</v>
      </c>
    </row>
    <row r="14863">
      <c r="A14863" s="48" t="s">
        <v>3562</v>
      </c>
      <c r="B14863" s="38">
        <v>2452.0</v>
      </c>
      <c r="C14863" s="38" t="s">
        <v>19199</v>
      </c>
      <c r="D14863" s="38" t="str">
        <f>IFERROR(__xludf.DUMMYFUNCTION("REGEXREPLACE(C14863,""-\d+(.*)|--\d+(.*)"","""")"),"MAISSEMY")</f>
        <v>MAISSEMY</v>
      </c>
      <c r="E14863" s="38" t="s">
        <v>191</v>
      </c>
      <c r="F14863" s="38" t="s">
        <v>113</v>
      </c>
      <c r="G14863" s="49" t="str">
        <f t="shared" si="1"/>
        <v>02490</v>
      </c>
      <c r="H14863" s="49" t="str">
        <f t="shared" si="2"/>
        <v>02452</v>
      </c>
    </row>
    <row r="14864">
      <c r="A14864" s="48" t="s">
        <v>2042</v>
      </c>
      <c r="B14864" s="38">
        <v>80646.0</v>
      </c>
      <c r="C14864" s="38" t="s">
        <v>19200</v>
      </c>
      <c r="D14864" s="38" t="str">
        <f>IFERROR(__xludf.DUMMYFUNCTION("REGEXREPLACE(C14864,""-\d+(.*)|--\d+(.*)"","""")"),"PUNCHY")</f>
        <v>PUNCHY</v>
      </c>
      <c r="E14864" s="38" t="s">
        <v>224</v>
      </c>
      <c r="F14864" s="38" t="s">
        <v>113</v>
      </c>
      <c r="G14864" s="49" t="str">
        <f t="shared" si="1"/>
        <v>80320</v>
      </c>
      <c r="H14864" s="49">
        <f t="shared" si="2"/>
        <v>80646</v>
      </c>
    </row>
    <row r="14865">
      <c r="A14865" s="48" t="s">
        <v>1155</v>
      </c>
      <c r="B14865" s="38">
        <v>67385.0</v>
      </c>
      <c r="C14865" s="38" t="s">
        <v>19201</v>
      </c>
      <c r="D14865" s="38" t="str">
        <f>IFERROR(__xludf.DUMMYFUNCTION("REGEXREPLACE(C14865,""-\d+(.*)|--\d+(.*)"","""")"),"RATZWILLER")</f>
        <v>RATZWILLER</v>
      </c>
      <c r="E14865" s="38" t="s">
        <v>210</v>
      </c>
      <c r="F14865" s="38" t="s">
        <v>151</v>
      </c>
      <c r="G14865" s="49" t="str">
        <f t="shared" si="1"/>
        <v>67430</v>
      </c>
      <c r="H14865" s="49">
        <f t="shared" si="2"/>
        <v>67385</v>
      </c>
    </row>
    <row r="14866">
      <c r="A14866" s="48" t="s">
        <v>5848</v>
      </c>
      <c r="B14866" s="38">
        <v>50188.0</v>
      </c>
      <c r="C14866" s="38" t="s">
        <v>19202</v>
      </c>
      <c r="D14866" s="38" t="str">
        <f>IFERROR(__xludf.DUMMYFUNCTION("REGEXREPLACE(C14866,""-\d+(.*)|--\d+(.*)"","""")"),"FOLLIGNY")</f>
        <v>FOLLIGNY</v>
      </c>
      <c r="E14866" s="38" t="s">
        <v>157</v>
      </c>
      <c r="F14866" s="38" t="s">
        <v>138</v>
      </c>
      <c r="G14866" s="49" t="str">
        <f t="shared" si="1"/>
        <v>50320</v>
      </c>
      <c r="H14866" s="49">
        <f t="shared" si="2"/>
        <v>50188</v>
      </c>
    </row>
    <row r="14867">
      <c r="A14867" s="48" t="s">
        <v>19203</v>
      </c>
      <c r="B14867" s="38">
        <v>53130.0</v>
      </c>
      <c r="C14867" s="38" t="s">
        <v>19204</v>
      </c>
      <c r="D14867" s="38" t="str">
        <f>IFERROR(__xludf.DUMMYFUNCTION("REGEXREPLACE(C14867,""-\d+(.*)|--\d+(.*)"","""")"),"LAVAL")</f>
        <v>LAVAL</v>
      </c>
      <c r="E14867" s="38" t="s">
        <v>518</v>
      </c>
      <c r="F14867" s="38" t="s">
        <v>180</v>
      </c>
      <c r="G14867" s="49" t="str">
        <f t="shared" si="1"/>
        <v>53000</v>
      </c>
      <c r="H14867" s="49">
        <f t="shared" si="2"/>
        <v>53130</v>
      </c>
    </row>
    <row r="14868">
      <c r="A14868" s="48" t="s">
        <v>19205</v>
      </c>
      <c r="B14868" s="38">
        <v>59178.0</v>
      </c>
      <c r="C14868" s="38" t="s">
        <v>19206</v>
      </c>
      <c r="D14868" s="38" t="str">
        <f>IFERROR(__xludf.DUMMYFUNCTION("REGEXREPLACE(C14868,""-\d+(.*)|--\d+(.*)"","""")"),"DOUAI")</f>
        <v>DOUAI</v>
      </c>
      <c r="E14868" s="38" t="s">
        <v>85</v>
      </c>
      <c r="F14868" s="38" t="s">
        <v>86</v>
      </c>
      <c r="G14868" s="49" t="str">
        <f t="shared" si="1"/>
        <v>59500</v>
      </c>
      <c r="H14868" s="49">
        <f t="shared" si="2"/>
        <v>59178</v>
      </c>
    </row>
    <row r="14869">
      <c r="A14869" s="48" t="s">
        <v>3943</v>
      </c>
      <c r="B14869" s="38">
        <v>15104.0</v>
      </c>
      <c r="C14869" s="38" t="s">
        <v>19207</v>
      </c>
      <c r="D14869" s="38" t="str">
        <f>IFERROR(__xludf.DUMMYFUNCTION("REGEXREPLACE(C14869,""-\d+(.*)|--\d+(.*)"","""")"),"LEYNHAC")</f>
        <v>LEYNHAC</v>
      </c>
      <c r="E14869" s="38" t="s">
        <v>632</v>
      </c>
      <c r="F14869" s="38" t="s">
        <v>161</v>
      </c>
      <c r="G14869" s="49" t="str">
        <f t="shared" si="1"/>
        <v>15600</v>
      </c>
      <c r="H14869" s="49">
        <f t="shared" si="2"/>
        <v>15104</v>
      </c>
    </row>
    <row r="14870">
      <c r="A14870" s="48" t="s">
        <v>19208</v>
      </c>
      <c r="B14870" s="38">
        <v>14738.0</v>
      </c>
      <c r="C14870" s="38" t="s">
        <v>19209</v>
      </c>
      <c r="D14870" s="38" t="str">
        <f>IFERROR(__xludf.DUMMYFUNCTION("REGEXREPLACE(C14870,""-\d+(.*)|--\d+(.*)"","""")"),"VERSON")</f>
        <v>VERSON</v>
      </c>
      <c r="E14870" s="38" t="s">
        <v>137</v>
      </c>
      <c r="F14870" s="38" t="s">
        <v>138</v>
      </c>
      <c r="G14870" s="49" t="str">
        <f t="shared" si="1"/>
        <v>14790</v>
      </c>
      <c r="H14870" s="49">
        <f t="shared" si="2"/>
        <v>14738</v>
      </c>
    </row>
    <row r="14871">
      <c r="A14871" s="48" t="s">
        <v>3125</v>
      </c>
      <c r="B14871" s="38">
        <v>12300.0</v>
      </c>
      <c r="C14871" s="38" t="s">
        <v>19210</v>
      </c>
      <c r="D14871" s="38" t="str">
        <f>IFERROR(__xludf.DUMMYFUNCTION("REGEXREPLACE(C14871,""-\d+(.*)|--\d+(.*)"","""")"),"VILLEFRANCHE-DE-ROUERGUE")</f>
        <v>VILLEFRANCHE-DE-ROUERGUE</v>
      </c>
      <c r="E14871" s="38" t="s">
        <v>465</v>
      </c>
      <c r="F14871" s="38" t="s">
        <v>94</v>
      </c>
      <c r="G14871" s="49" t="str">
        <f t="shared" si="1"/>
        <v>12200</v>
      </c>
      <c r="H14871" s="49">
        <f t="shared" si="2"/>
        <v>12300</v>
      </c>
    </row>
    <row r="14872">
      <c r="A14872" s="48" t="s">
        <v>486</v>
      </c>
      <c r="B14872" s="38">
        <v>17216.0</v>
      </c>
      <c r="C14872" s="38" t="s">
        <v>19211</v>
      </c>
      <c r="D14872" s="38" t="str">
        <f>IFERROR(__xludf.DUMMYFUNCTION("REGEXREPLACE(C14872,""-\d+(.*)|--\d+(.*)"","""")"),"LUSSANT")</f>
        <v>LUSSANT</v>
      </c>
      <c r="E14872" s="38" t="s">
        <v>488</v>
      </c>
      <c r="F14872" s="38" t="s">
        <v>338</v>
      </c>
      <c r="G14872" s="49" t="str">
        <f t="shared" si="1"/>
        <v>17430</v>
      </c>
      <c r="H14872" s="49">
        <f t="shared" si="2"/>
        <v>17216</v>
      </c>
    </row>
    <row r="14873">
      <c r="A14873" s="48" t="s">
        <v>6406</v>
      </c>
      <c r="B14873" s="38">
        <v>41096.0</v>
      </c>
      <c r="C14873" s="38" t="s">
        <v>19212</v>
      </c>
      <c r="D14873" s="38" t="str">
        <f>IFERROR(__xludf.DUMMYFUNCTION("REGEXREPLACE(C14873,""-\d+(.*)|--\d+(.*)"","""")"),"LE GAULT-PERCHE")</f>
        <v>LE GAULT-PERCHE</v>
      </c>
      <c r="E14873" s="38" t="s">
        <v>188</v>
      </c>
      <c r="F14873" s="38" t="s">
        <v>123</v>
      </c>
      <c r="G14873" s="49" t="str">
        <f t="shared" si="1"/>
        <v>41270</v>
      </c>
      <c r="H14873" s="49">
        <f t="shared" si="2"/>
        <v>41096</v>
      </c>
    </row>
    <row r="14874">
      <c r="A14874" s="48" t="s">
        <v>1072</v>
      </c>
      <c r="B14874" s="38">
        <v>86220.0</v>
      </c>
      <c r="C14874" s="38" t="s">
        <v>19213</v>
      </c>
      <c r="D14874" s="38" t="str">
        <f>IFERROR(__xludf.DUMMYFUNCTION("REGEXREPLACE(C14874,""-\d+(.*)|--\d+(.*)"","""")"),"SAINT-GAUDENT")</f>
        <v>SAINT-GAUDENT</v>
      </c>
      <c r="E14874" s="38" t="s">
        <v>529</v>
      </c>
      <c r="F14874" s="38" t="s">
        <v>338</v>
      </c>
      <c r="G14874" s="49" t="str">
        <f t="shared" si="1"/>
        <v>86400</v>
      </c>
      <c r="H14874" s="49">
        <f t="shared" si="2"/>
        <v>86220</v>
      </c>
    </row>
    <row r="14875">
      <c r="A14875" s="48" t="s">
        <v>1300</v>
      </c>
      <c r="B14875" s="38">
        <v>60531.0</v>
      </c>
      <c r="C14875" s="38" t="s">
        <v>15215</v>
      </c>
      <c r="D14875" s="38" t="str">
        <f>IFERROR(__xludf.DUMMYFUNCTION("REGEXREPLACE(C14875,""-\d+(.*)|--\d+(.*)"","""")"),"REMY")</f>
        <v>REMY</v>
      </c>
      <c r="E14875" s="38" t="s">
        <v>112</v>
      </c>
      <c r="F14875" s="38" t="s">
        <v>113</v>
      </c>
      <c r="G14875" s="49" t="str">
        <f t="shared" si="1"/>
        <v>60190</v>
      </c>
      <c r="H14875" s="49">
        <f t="shared" si="2"/>
        <v>60531</v>
      </c>
    </row>
    <row r="14876">
      <c r="A14876" s="48" t="s">
        <v>18646</v>
      </c>
      <c r="B14876" s="38">
        <v>3050.0</v>
      </c>
      <c r="C14876" s="38" t="s">
        <v>19214</v>
      </c>
      <c r="D14876" s="38" t="str">
        <f>IFERROR(__xludf.DUMMYFUNCTION("REGEXREPLACE(C14876,""-\d+(.*)|--\d+(.*)"","""")"),"LA CHABANNE")</f>
        <v>LA CHABANNE</v>
      </c>
      <c r="E14876" s="38" t="s">
        <v>160</v>
      </c>
      <c r="F14876" s="38" t="s">
        <v>161</v>
      </c>
      <c r="G14876" s="49" t="str">
        <f t="shared" si="1"/>
        <v>03250</v>
      </c>
      <c r="H14876" s="49" t="str">
        <f t="shared" si="2"/>
        <v>03050</v>
      </c>
    </row>
    <row r="14877">
      <c r="A14877" s="48" t="s">
        <v>19215</v>
      </c>
      <c r="B14877" s="38">
        <v>5175.0</v>
      </c>
      <c r="C14877" s="38" t="s">
        <v>19216</v>
      </c>
      <c r="D14877" s="38" t="str">
        <f>IFERROR(__xludf.DUMMYFUNCTION("REGEXREPLACE(C14877,""-\d+(.*)|--\d+(.*)"","""")"),"VALLOUISE")</f>
        <v>VALLOUISE</v>
      </c>
      <c r="E14877" s="38" t="s">
        <v>706</v>
      </c>
      <c r="F14877" s="38" t="s">
        <v>228</v>
      </c>
      <c r="G14877" s="49" t="str">
        <f t="shared" si="1"/>
        <v>05290</v>
      </c>
      <c r="H14877" s="49" t="str">
        <f t="shared" si="2"/>
        <v>05175</v>
      </c>
    </row>
    <row r="14878">
      <c r="A14878" s="48" t="s">
        <v>6383</v>
      </c>
      <c r="B14878" s="38">
        <v>42086.0</v>
      </c>
      <c r="C14878" s="38" t="s">
        <v>19217</v>
      </c>
      <c r="D14878" s="38" t="str">
        <f>IFERROR(__xludf.DUMMYFUNCTION("REGEXREPLACE(C14878,""-\d+(.*)|--\d+(.*)"","""")"),"ECOCHE")</f>
        <v>ECOCHE</v>
      </c>
      <c r="E14878" s="38" t="s">
        <v>166</v>
      </c>
      <c r="F14878" s="38" t="s">
        <v>102</v>
      </c>
      <c r="G14878" s="49" t="str">
        <f t="shared" si="1"/>
        <v>42670</v>
      </c>
      <c r="H14878" s="49">
        <f t="shared" si="2"/>
        <v>42086</v>
      </c>
    </row>
    <row r="14879">
      <c r="A14879" s="48" t="s">
        <v>15250</v>
      </c>
      <c r="B14879" s="38">
        <v>86022.0</v>
      </c>
      <c r="C14879" s="38" t="s">
        <v>19218</v>
      </c>
      <c r="D14879" s="38" t="str">
        <f>IFERROR(__xludf.DUMMYFUNCTION("REGEXREPLACE(C14879,""-\d+(.*)|--\d+(.*)"","""")"),"BERRIE")</f>
        <v>BERRIE</v>
      </c>
      <c r="E14879" s="38" t="s">
        <v>529</v>
      </c>
      <c r="F14879" s="38" t="s">
        <v>338</v>
      </c>
      <c r="G14879" s="49" t="str">
        <f t="shared" si="1"/>
        <v>86120</v>
      </c>
      <c r="H14879" s="49">
        <f t="shared" si="2"/>
        <v>86022</v>
      </c>
    </row>
    <row r="14880">
      <c r="A14880" s="48" t="s">
        <v>211</v>
      </c>
      <c r="B14880" s="38">
        <v>25015.0</v>
      </c>
      <c r="C14880" s="38" t="s">
        <v>19219</v>
      </c>
      <c r="D14880" s="38" t="str">
        <f>IFERROR(__xludf.DUMMYFUNCTION("REGEXREPLACE(C14880,""-\d+(.*)|--\d+(.*)"","""")"),"AMANCEY")</f>
        <v>AMANCEY</v>
      </c>
      <c r="E14880" s="38" t="s">
        <v>213</v>
      </c>
      <c r="F14880" s="38" t="s">
        <v>214</v>
      </c>
      <c r="G14880" s="49" t="str">
        <f t="shared" si="1"/>
        <v>25330</v>
      </c>
      <c r="H14880" s="49">
        <f t="shared" si="2"/>
        <v>25015</v>
      </c>
    </row>
    <row r="14881">
      <c r="A14881" s="48" t="s">
        <v>2547</v>
      </c>
      <c r="B14881" s="38">
        <v>8233.0</v>
      </c>
      <c r="C14881" s="38" t="s">
        <v>19220</v>
      </c>
      <c r="D14881" s="38" t="str">
        <f>IFERROR(__xludf.DUMMYFUNCTION("REGEXREPLACE(C14881,""-\d+(.*)|--\d+(.*)"","""")"),"IMECOURT")</f>
        <v>IMECOURT</v>
      </c>
      <c r="E14881" s="38" t="s">
        <v>327</v>
      </c>
      <c r="F14881" s="38" t="s">
        <v>130</v>
      </c>
      <c r="G14881" s="49" t="str">
        <f t="shared" si="1"/>
        <v>08240</v>
      </c>
      <c r="H14881" s="49" t="str">
        <f t="shared" si="2"/>
        <v>08233</v>
      </c>
    </row>
    <row r="14882">
      <c r="A14882" s="48" t="s">
        <v>19221</v>
      </c>
      <c r="B14882" s="38">
        <v>92046.0</v>
      </c>
      <c r="C14882" s="38" t="s">
        <v>19222</v>
      </c>
      <c r="D14882" s="38" t="str">
        <f>IFERROR(__xludf.DUMMYFUNCTION("REGEXREPLACE(C14882,""-\d+(.*)|--\d+(.*)"","""")"),"MALAKOFF")</f>
        <v>MALAKOFF</v>
      </c>
      <c r="E14882" s="38" t="s">
        <v>838</v>
      </c>
      <c r="F14882" s="38" t="s">
        <v>245</v>
      </c>
      <c r="G14882" s="49" t="str">
        <f t="shared" si="1"/>
        <v>92240</v>
      </c>
      <c r="H14882" s="49">
        <f t="shared" si="2"/>
        <v>92046</v>
      </c>
    </row>
    <row r="14883">
      <c r="A14883" s="48" t="s">
        <v>9436</v>
      </c>
      <c r="B14883" s="38">
        <v>63127.0</v>
      </c>
      <c r="C14883" s="38" t="s">
        <v>19223</v>
      </c>
      <c r="D14883" s="38" t="str">
        <f>IFERROR(__xludf.DUMMYFUNCTION("REGEXREPLACE(C14883,""-\d+(.*)|--\d+(.*)"","""")"),"CRESTE")</f>
        <v>CRESTE</v>
      </c>
      <c r="E14883" s="38" t="s">
        <v>353</v>
      </c>
      <c r="F14883" s="38" t="s">
        <v>161</v>
      </c>
      <c r="G14883" s="49" t="str">
        <f t="shared" si="1"/>
        <v>63320</v>
      </c>
      <c r="H14883" s="49">
        <f t="shared" si="2"/>
        <v>63127</v>
      </c>
    </row>
    <row r="14884">
      <c r="A14884" s="48" t="s">
        <v>10299</v>
      </c>
      <c r="B14884" s="38">
        <v>67498.0</v>
      </c>
      <c r="C14884" s="38" t="s">
        <v>19224</v>
      </c>
      <c r="D14884" s="38" t="str">
        <f>IFERROR(__xludf.DUMMYFUNCTION("REGEXREPLACE(C14884,""-\d+(.*)|--\d+(.*)"","""")"),"UHRWILLER")</f>
        <v>UHRWILLER</v>
      </c>
      <c r="E14884" s="38" t="s">
        <v>210</v>
      </c>
      <c r="F14884" s="38" t="s">
        <v>151</v>
      </c>
      <c r="G14884" s="49" t="str">
        <f t="shared" si="1"/>
        <v>67350</v>
      </c>
      <c r="H14884" s="49">
        <f t="shared" si="2"/>
        <v>67498</v>
      </c>
    </row>
    <row r="14885">
      <c r="A14885" s="48" t="s">
        <v>2960</v>
      </c>
      <c r="B14885" s="38">
        <v>86049.0</v>
      </c>
      <c r="C14885" s="38" t="s">
        <v>19225</v>
      </c>
      <c r="D14885" s="38" t="str">
        <f>IFERROR(__xludf.DUMMYFUNCTION("REGEXREPLACE(C14885,""-\d+(.*)|--\d+(.*)"","""")"),"CHALAIS")</f>
        <v>CHALAIS</v>
      </c>
      <c r="E14885" s="38" t="s">
        <v>529</v>
      </c>
      <c r="F14885" s="38" t="s">
        <v>338</v>
      </c>
      <c r="G14885" s="49" t="str">
        <f t="shared" si="1"/>
        <v>86200</v>
      </c>
      <c r="H14885" s="49">
        <f t="shared" si="2"/>
        <v>86049</v>
      </c>
    </row>
    <row r="14886">
      <c r="A14886" s="48" t="s">
        <v>1592</v>
      </c>
      <c r="B14886" s="38">
        <v>40235.0</v>
      </c>
      <c r="C14886" s="38" t="s">
        <v>19226</v>
      </c>
      <c r="D14886" s="38" t="str">
        <f>IFERROR(__xludf.DUMMYFUNCTION("REGEXREPLACE(C14886,""-\d+(.*)|--\d+(.*)"","""")"),"POYANNE")</f>
        <v>POYANNE</v>
      </c>
      <c r="E14886" s="38" t="s">
        <v>281</v>
      </c>
      <c r="F14886" s="38" t="s">
        <v>252</v>
      </c>
      <c r="G14886" s="49" t="str">
        <f t="shared" si="1"/>
        <v>40380</v>
      </c>
      <c r="H14886" s="49">
        <f t="shared" si="2"/>
        <v>40235</v>
      </c>
    </row>
    <row r="14887">
      <c r="A14887" s="48" t="s">
        <v>1636</v>
      </c>
      <c r="B14887" s="38">
        <v>14308.0</v>
      </c>
      <c r="C14887" s="38" t="s">
        <v>19227</v>
      </c>
      <c r="D14887" s="38" t="str">
        <f>IFERROR(__xludf.DUMMYFUNCTION("REGEXREPLACE(C14887,""-\d+(.*)|--\d+(.*)"","""")"),"GOUSTRANVILLE")</f>
        <v>GOUSTRANVILLE</v>
      </c>
      <c r="E14887" s="38" t="s">
        <v>137</v>
      </c>
      <c r="F14887" s="38" t="s">
        <v>138</v>
      </c>
      <c r="G14887" s="49" t="str">
        <f t="shared" si="1"/>
        <v>14430</v>
      </c>
      <c r="H14887" s="49">
        <f t="shared" si="2"/>
        <v>14308</v>
      </c>
    </row>
    <row r="14888">
      <c r="A14888" s="48" t="s">
        <v>5043</v>
      </c>
      <c r="B14888" s="38">
        <v>19101.0</v>
      </c>
      <c r="C14888" s="38" t="s">
        <v>19228</v>
      </c>
      <c r="D14888" s="38" t="str">
        <f>IFERROR(__xludf.DUMMYFUNCTION("REGEXREPLACE(C14888,""-\d+(.*)|--\d+(.*)"","""")"),"LAGUENNE")</f>
        <v>LAGUENNE</v>
      </c>
      <c r="E14888" s="38" t="s">
        <v>271</v>
      </c>
      <c r="F14888" s="38" t="s">
        <v>98</v>
      </c>
      <c r="G14888" s="49" t="str">
        <f t="shared" si="1"/>
        <v>19150</v>
      </c>
      <c r="H14888" s="49">
        <f t="shared" si="2"/>
        <v>19101</v>
      </c>
    </row>
    <row r="14889">
      <c r="A14889" s="48" t="s">
        <v>542</v>
      </c>
      <c r="B14889" s="38">
        <v>50276.0</v>
      </c>
      <c r="C14889" s="38" t="s">
        <v>19229</v>
      </c>
      <c r="D14889" s="38" t="str">
        <f>IFERROR(__xludf.DUMMYFUNCTION("REGEXREPLACE(C14889,""-\d+(.*)|--\d+(.*)"","""")"),"LOLIF")</f>
        <v>LOLIF</v>
      </c>
      <c r="E14889" s="38" t="s">
        <v>157</v>
      </c>
      <c r="F14889" s="38" t="s">
        <v>138</v>
      </c>
      <c r="G14889" s="49" t="str">
        <f t="shared" si="1"/>
        <v>50530</v>
      </c>
      <c r="H14889" s="49">
        <f t="shared" si="2"/>
        <v>50276</v>
      </c>
    </row>
    <row r="14890">
      <c r="A14890" s="48" t="s">
        <v>3198</v>
      </c>
      <c r="B14890" s="38">
        <v>32231.0</v>
      </c>
      <c r="C14890" s="38" t="s">
        <v>19230</v>
      </c>
      <c r="D14890" s="38" t="str">
        <f>IFERROR(__xludf.DUMMYFUNCTION("REGEXREPLACE(C14890,""-\d+(.*)|--\d+(.*)"","""")"),"MARAMBAT")</f>
        <v>MARAMBAT</v>
      </c>
      <c r="E14890" s="38" t="s">
        <v>440</v>
      </c>
      <c r="F14890" s="38" t="s">
        <v>94</v>
      </c>
      <c r="G14890" s="49" t="str">
        <f t="shared" si="1"/>
        <v>32190</v>
      </c>
      <c r="H14890" s="49">
        <f t="shared" si="2"/>
        <v>32231</v>
      </c>
    </row>
    <row r="14891">
      <c r="A14891" s="48" t="s">
        <v>10939</v>
      </c>
      <c r="B14891" s="38">
        <v>77159.0</v>
      </c>
      <c r="C14891" s="38" t="s">
        <v>19231</v>
      </c>
      <c r="D14891" s="38" t="str">
        <f>IFERROR(__xludf.DUMMYFUNCTION("REGEXREPLACE(C14891,""-\d+(.*)|--\d+(.*)"","""")"),"DONNEMARIE-DONTILLY")</f>
        <v>DONNEMARIE-DONTILLY</v>
      </c>
      <c r="E14891" s="38" t="s">
        <v>244</v>
      </c>
      <c r="F14891" s="38" t="s">
        <v>245</v>
      </c>
      <c r="G14891" s="49" t="str">
        <f t="shared" si="1"/>
        <v>77520</v>
      </c>
      <c r="H14891" s="49">
        <f t="shared" si="2"/>
        <v>77159</v>
      </c>
    </row>
    <row r="14892">
      <c r="A14892" s="48" t="s">
        <v>19232</v>
      </c>
      <c r="B14892" s="38">
        <v>72181.0</v>
      </c>
      <c r="C14892" s="38" t="s">
        <v>19233</v>
      </c>
      <c r="D14892" s="38" t="str">
        <f>IFERROR(__xludf.DUMMYFUNCTION("REGEXREPLACE(C14892,""-\d+(.*)|--\d+(.*)"","""")"),"LE MANS")</f>
        <v>LE MANS</v>
      </c>
      <c r="E14892" s="38" t="s">
        <v>521</v>
      </c>
      <c r="F14892" s="38" t="s">
        <v>180</v>
      </c>
      <c r="G14892" s="49" t="str">
        <f t="shared" si="1"/>
        <v>72000/72100</v>
      </c>
      <c r="H14892" s="49">
        <f t="shared" si="2"/>
        <v>72181</v>
      </c>
    </row>
    <row r="14893">
      <c r="A14893" s="48" t="s">
        <v>452</v>
      </c>
      <c r="B14893" s="38">
        <v>21117.0</v>
      </c>
      <c r="C14893" s="38" t="s">
        <v>19234</v>
      </c>
      <c r="D14893" s="38" t="str">
        <f>IFERROR(__xludf.DUMMYFUNCTION("REGEXREPLACE(C14893,""-\d+(.*)|--\d+(.*)"","""")"),"BUSSEAUT")</f>
        <v>BUSSEAUT</v>
      </c>
      <c r="E14893" s="38" t="s">
        <v>105</v>
      </c>
      <c r="F14893" s="38" t="s">
        <v>106</v>
      </c>
      <c r="G14893" s="49" t="str">
        <f t="shared" si="1"/>
        <v>21510</v>
      </c>
      <c r="H14893" s="49">
        <f t="shared" si="2"/>
        <v>21117</v>
      </c>
    </row>
    <row r="14894">
      <c r="A14894" s="48" t="s">
        <v>12281</v>
      </c>
      <c r="B14894" s="38">
        <v>54250.0</v>
      </c>
      <c r="C14894" s="38" t="s">
        <v>19235</v>
      </c>
      <c r="D14894" s="38" t="str">
        <f>IFERROR(__xludf.DUMMYFUNCTION("REGEXREPLACE(C14894,""-\d+(.*)|--\d+(.*)"","""")"),"HARAUCOURT")</f>
        <v>HARAUCOURT</v>
      </c>
      <c r="E14894" s="38" t="s">
        <v>548</v>
      </c>
      <c r="F14894" s="38" t="s">
        <v>195</v>
      </c>
      <c r="G14894" s="49" t="str">
        <f t="shared" si="1"/>
        <v>54110</v>
      </c>
      <c r="H14894" s="49">
        <f t="shared" si="2"/>
        <v>54250</v>
      </c>
    </row>
    <row r="14895">
      <c r="A14895" s="48" t="s">
        <v>2824</v>
      </c>
      <c r="B14895" s="38">
        <v>25434.0</v>
      </c>
      <c r="C14895" s="38" t="s">
        <v>19236</v>
      </c>
      <c r="D14895" s="38" t="str">
        <f>IFERROR(__xludf.DUMMYFUNCTION("REGEXREPLACE(C14895,""-\d+(.*)|--\d+(.*)"","""")"),"ORNANS")</f>
        <v>ORNANS</v>
      </c>
      <c r="E14895" s="38" t="s">
        <v>213</v>
      </c>
      <c r="F14895" s="38" t="s">
        <v>214</v>
      </c>
      <c r="G14895" s="49" t="str">
        <f t="shared" si="1"/>
        <v>25290</v>
      </c>
      <c r="H14895" s="49">
        <f t="shared" si="2"/>
        <v>25434</v>
      </c>
    </row>
    <row r="14896">
      <c r="A14896" s="48" t="s">
        <v>16541</v>
      </c>
      <c r="B14896" s="38">
        <v>71508.0</v>
      </c>
      <c r="C14896" s="38" t="s">
        <v>19237</v>
      </c>
      <c r="D14896" s="38" t="str">
        <f>IFERROR(__xludf.DUMMYFUNCTION("REGEXREPLACE(C14896,""-\d+(.*)|--\d+(.*)"","""")"),"SAVIGNY-SUR-SEILLE")</f>
        <v>SAVIGNY-SUR-SEILLE</v>
      </c>
      <c r="E14896" s="38" t="s">
        <v>344</v>
      </c>
      <c r="F14896" s="38" t="s">
        <v>106</v>
      </c>
      <c r="G14896" s="49" t="str">
        <f t="shared" si="1"/>
        <v>71440</v>
      </c>
      <c r="H14896" s="49">
        <f t="shared" si="2"/>
        <v>71508</v>
      </c>
    </row>
    <row r="14897">
      <c r="A14897" s="48" t="s">
        <v>3655</v>
      </c>
      <c r="B14897" s="38">
        <v>51362.0</v>
      </c>
      <c r="C14897" s="38" t="s">
        <v>19238</v>
      </c>
      <c r="D14897" s="38" t="str">
        <f>IFERROR(__xludf.DUMMYFUNCTION("REGEXREPLACE(C14897,""-\d+(.*)|--\d+(.*)"","""")"),"MERFY")</f>
        <v>MERFY</v>
      </c>
      <c r="E14897" s="38" t="s">
        <v>129</v>
      </c>
      <c r="F14897" s="38" t="s">
        <v>130</v>
      </c>
      <c r="G14897" s="49" t="str">
        <f t="shared" si="1"/>
        <v>51220</v>
      </c>
      <c r="H14897" s="49">
        <f t="shared" si="2"/>
        <v>51362</v>
      </c>
    </row>
    <row r="14898">
      <c r="A14898" s="48" t="s">
        <v>3869</v>
      </c>
      <c r="B14898" s="38">
        <v>21196.0</v>
      </c>
      <c r="C14898" s="38" t="s">
        <v>19239</v>
      </c>
      <c r="D14898" s="38" t="str">
        <f>IFERROR(__xludf.DUMMYFUNCTION("REGEXREPLACE(C14898,""-\d+(.*)|--\d+(.*)"","""")"),"CORPEAU")</f>
        <v>CORPEAU</v>
      </c>
      <c r="E14898" s="38" t="s">
        <v>105</v>
      </c>
      <c r="F14898" s="38" t="s">
        <v>106</v>
      </c>
      <c r="G14898" s="49" t="str">
        <f t="shared" si="1"/>
        <v>21190</v>
      </c>
      <c r="H14898" s="49">
        <f t="shared" si="2"/>
        <v>21196</v>
      </c>
    </row>
    <row r="14899">
      <c r="A14899" s="48" t="s">
        <v>9637</v>
      </c>
      <c r="B14899" s="38">
        <v>95539.0</v>
      </c>
      <c r="C14899" s="38" t="s">
        <v>19240</v>
      </c>
      <c r="D14899" s="38" t="str">
        <f>IFERROR(__xludf.DUMMYFUNCTION("REGEXREPLACE(C14899,""-\d+(.*)|--\d+(.*)"","""")"),"SAINT-BRICE-SOUS-FORET")</f>
        <v>SAINT-BRICE-SOUS-FORET</v>
      </c>
      <c r="E14899" s="38" t="s">
        <v>541</v>
      </c>
      <c r="F14899" s="38" t="s">
        <v>245</v>
      </c>
      <c r="G14899" s="49" t="str">
        <f t="shared" si="1"/>
        <v>95350</v>
      </c>
      <c r="H14899" s="49">
        <f t="shared" si="2"/>
        <v>95539</v>
      </c>
    </row>
    <row r="14900">
      <c r="A14900" s="48" t="s">
        <v>3723</v>
      </c>
      <c r="B14900" s="38">
        <v>54400.0</v>
      </c>
      <c r="C14900" s="38" t="s">
        <v>19241</v>
      </c>
      <c r="D14900" s="38" t="str">
        <f>IFERROR(__xludf.DUMMYFUNCTION("REGEXREPLACE(C14900,""-\d+(.*)|--\d+(.*)"","""")"),"NOMENY")</f>
        <v>NOMENY</v>
      </c>
      <c r="E14900" s="38" t="s">
        <v>548</v>
      </c>
      <c r="F14900" s="38" t="s">
        <v>195</v>
      </c>
      <c r="G14900" s="49" t="str">
        <f t="shared" si="1"/>
        <v>54610</v>
      </c>
      <c r="H14900" s="49">
        <f t="shared" si="2"/>
        <v>54400</v>
      </c>
    </row>
    <row r="14901">
      <c r="A14901" s="48" t="s">
        <v>10847</v>
      </c>
      <c r="B14901" s="38">
        <v>77410.0</v>
      </c>
      <c r="C14901" s="38" t="s">
        <v>19242</v>
      </c>
      <c r="D14901" s="38" t="str">
        <f>IFERROR(__xludf.DUMMYFUNCTION("REGEXREPLACE(C14901,""-\d+(.*)|--\d+(.*)"","""")"),"SAINT-GERMAIN-LAXIS")</f>
        <v>SAINT-GERMAIN-LAXIS</v>
      </c>
      <c r="E14901" s="38" t="s">
        <v>244</v>
      </c>
      <c r="F14901" s="38" t="s">
        <v>245</v>
      </c>
      <c r="G14901" s="49" t="str">
        <f t="shared" si="1"/>
        <v>77950</v>
      </c>
      <c r="H14901" s="49">
        <f t="shared" si="2"/>
        <v>77410</v>
      </c>
    </row>
    <row r="14902">
      <c r="A14902" s="48" t="s">
        <v>11910</v>
      </c>
      <c r="B14902" s="38">
        <v>46134.0</v>
      </c>
      <c r="C14902" s="38" t="s">
        <v>19243</v>
      </c>
      <c r="D14902" s="38" t="str">
        <f>IFERROR(__xludf.DUMMYFUNCTION("REGEXREPLACE(C14902,""-\d+(.*)|--\d+(.*)"","""")"),"LES JUNIES")</f>
        <v>LES JUNIES</v>
      </c>
      <c r="E14902" s="38" t="s">
        <v>185</v>
      </c>
      <c r="F14902" s="38" t="s">
        <v>94</v>
      </c>
      <c r="G14902" s="49" t="str">
        <f t="shared" si="1"/>
        <v>46150</v>
      </c>
      <c r="H14902" s="49">
        <f t="shared" si="2"/>
        <v>46134</v>
      </c>
    </row>
    <row r="14903">
      <c r="A14903" s="48" t="s">
        <v>3364</v>
      </c>
      <c r="B14903" s="38">
        <v>62169.0</v>
      </c>
      <c r="C14903" s="38" t="s">
        <v>19244</v>
      </c>
      <c r="D14903" s="38" t="str">
        <f>IFERROR(__xludf.DUMMYFUNCTION("REGEXREPLACE(C14903,""-\d+(.*)|--\d+(.*)"","""")"),"BOUVELINGHEM")</f>
        <v>BOUVELINGHEM</v>
      </c>
      <c r="E14903" s="38" t="s">
        <v>109</v>
      </c>
      <c r="F14903" s="38" t="s">
        <v>86</v>
      </c>
      <c r="G14903" s="49" t="str">
        <f t="shared" si="1"/>
        <v>62380</v>
      </c>
      <c r="H14903" s="49">
        <f t="shared" si="2"/>
        <v>62169</v>
      </c>
    </row>
    <row r="14904">
      <c r="A14904" s="48" t="s">
        <v>2757</v>
      </c>
      <c r="B14904" s="38">
        <v>24165.0</v>
      </c>
      <c r="C14904" s="38" t="s">
        <v>19245</v>
      </c>
      <c r="D14904" s="38" t="str">
        <f>IFERROR(__xludf.DUMMYFUNCTION("REGEXREPLACE(C14904,""-\d+(.*)|--\d+(.*)"","""")"),"EYGURANDE-ET-GARDEDEUIL")</f>
        <v>EYGURANDE-ET-GARDEDEUIL</v>
      </c>
      <c r="E14904" s="38" t="s">
        <v>261</v>
      </c>
      <c r="F14904" s="38" t="s">
        <v>252</v>
      </c>
      <c r="G14904" s="49" t="str">
        <f t="shared" si="1"/>
        <v>24700</v>
      </c>
      <c r="H14904" s="49">
        <f t="shared" si="2"/>
        <v>24165</v>
      </c>
    </row>
    <row r="14905">
      <c r="A14905" s="48" t="s">
        <v>624</v>
      </c>
      <c r="B14905" s="38">
        <v>67384.0</v>
      </c>
      <c r="C14905" s="38" t="s">
        <v>19246</v>
      </c>
      <c r="D14905" s="38" t="str">
        <f>IFERROR(__xludf.DUMMYFUNCTION("REGEXREPLACE(C14905,""-\d+(.*)|--\d+(.*)"","""")"),"RANRUPT")</f>
        <v>RANRUPT</v>
      </c>
      <c r="E14905" s="38" t="s">
        <v>210</v>
      </c>
      <c r="F14905" s="38" t="s">
        <v>151</v>
      </c>
      <c r="G14905" s="49" t="str">
        <f t="shared" si="1"/>
        <v>67420</v>
      </c>
      <c r="H14905" s="49">
        <f t="shared" si="2"/>
        <v>67384</v>
      </c>
    </row>
    <row r="14906">
      <c r="A14906" s="48" t="s">
        <v>6644</v>
      </c>
      <c r="B14906" s="38">
        <v>11086.0</v>
      </c>
      <c r="C14906" s="38" t="s">
        <v>19247</v>
      </c>
      <c r="D14906" s="38" t="str">
        <f>IFERROR(__xludf.DUMMYFUNCTION("REGEXREPLACE(C14906,""-\d+(.*)|--\d+(.*)"","""")"),"CAVES")</f>
        <v>CAVES</v>
      </c>
      <c r="E14906" s="38" t="s">
        <v>278</v>
      </c>
      <c r="F14906" s="38" t="s">
        <v>119</v>
      </c>
      <c r="G14906" s="49" t="str">
        <f t="shared" si="1"/>
        <v>11510</v>
      </c>
      <c r="H14906" s="49">
        <f t="shared" si="2"/>
        <v>11086</v>
      </c>
    </row>
    <row r="14907">
      <c r="A14907" s="48" t="s">
        <v>4599</v>
      </c>
      <c r="B14907" s="38">
        <v>70224.0</v>
      </c>
      <c r="C14907" s="38" t="s">
        <v>19248</v>
      </c>
      <c r="D14907" s="38" t="str">
        <f>IFERROR(__xludf.DUMMYFUNCTION("REGEXREPLACE(C14907,""-\d+(.*)|--\d+(.*)"","""")"),"ETUZ")</f>
        <v>ETUZ</v>
      </c>
      <c r="E14907" s="38" t="s">
        <v>956</v>
      </c>
      <c r="F14907" s="38" t="s">
        <v>214</v>
      </c>
      <c r="G14907" s="49" t="str">
        <f t="shared" si="1"/>
        <v>70150</v>
      </c>
      <c r="H14907" s="49">
        <f t="shared" si="2"/>
        <v>70224</v>
      </c>
    </row>
    <row r="14908">
      <c r="A14908" s="48" t="s">
        <v>19249</v>
      </c>
      <c r="B14908" s="38">
        <v>77084.0</v>
      </c>
      <c r="C14908" s="38" t="s">
        <v>19250</v>
      </c>
      <c r="D14908" s="38" t="str">
        <f>IFERROR(__xludf.DUMMYFUNCTION("REGEXREPLACE(C14908,""-\d+(.*)|--\d+(.*)"","""")"),"CHANGIS-SUR-MARNE")</f>
        <v>CHANGIS-SUR-MARNE</v>
      </c>
      <c r="E14908" s="38" t="s">
        <v>244</v>
      </c>
      <c r="F14908" s="38" t="s">
        <v>245</v>
      </c>
      <c r="G14908" s="49" t="str">
        <f t="shared" si="1"/>
        <v>77660</v>
      </c>
      <c r="H14908" s="49">
        <f t="shared" si="2"/>
        <v>77084</v>
      </c>
    </row>
    <row r="14909">
      <c r="A14909" s="48" t="s">
        <v>582</v>
      </c>
      <c r="B14909" s="38">
        <v>39489.0</v>
      </c>
      <c r="C14909" s="38" t="s">
        <v>19251</v>
      </c>
      <c r="D14909" s="38" t="str">
        <f>IFERROR(__xludf.DUMMYFUNCTION("REGEXREPLACE(C14909,""-\d+(.*)|--\d+(.*)"","""")"),"SAINT-LOTHAIN")</f>
        <v>SAINT-LOTHAIN</v>
      </c>
      <c r="E14909" s="38" t="s">
        <v>400</v>
      </c>
      <c r="F14909" s="38" t="s">
        <v>214</v>
      </c>
      <c r="G14909" s="49" t="str">
        <f t="shared" si="1"/>
        <v>39230</v>
      </c>
      <c r="H14909" s="49">
        <f t="shared" si="2"/>
        <v>39489</v>
      </c>
    </row>
    <row r="14910">
      <c r="A14910" s="48" t="s">
        <v>5985</v>
      </c>
      <c r="B14910" s="38">
        <v>85049.0</v>
      </c>
      <c r="C14910" s="38" t="s">
        <v>19252</v>
      </c>
      <c r="D14910" s="38" t="str">
        <f>IFERROR(__xludf.DUMMYFUNCTION("REGEXREPLACE(C14910,""-\d+(.*)|--\d+(.*)"","""")"),"CHAMPAGNE-LES-MARAIS")</f>
        <v>CHAMPAGNE-LES-MARAIS</v>
      </c>
      <c r="E14910" s="38" t="s">
        <v>179</v>
      </c>
      <c r="F14910" s="38" t="s">
        <v>180</v>
      </c>
      <c r="G14910" s="49" t="str">
        <f t="shared" si="1"/>
        <v>85450</v>
      </c>
      <c r="H14910" s="49">
        <f t="shared" si="2"/>
        <v>85049</v>
      </c>
    </row>
    <row r="14911">
      <c r="A14911" s="48" t="s">
        <v>19253</v>
      </c>
      <c r="B14911" s="38">
        <v>44049.0</v>
      </c>
      <c r="C14911" s="38" t="s">
        <v>19254</v>
      </c>
      <c r="D14911" s="38" t="str">
        <f>IFERROR(__xludf.DUMMYFUNCTION("REGEXREPLACE(C14911,""-\d+(.*)|--\d+(.*)"","""")"),"LE CROISIC")</f>
        <v>LE CROISIC</v>
      </c>
      <c r="E14911" s="38" t="s">
        <v>759</v>
      </c>
      <c r="F14911" s="38" t="s">
        <v>180</v>
      </c>
      <c r="G14911" s="49" t="str">
        <f t="shared" si="1"/>
        <v>44490</v>
      </c>
      <c r="H14911" s="49">
        <f t="shared" si="2"/>
        <v>44049</v>
      </c>
    </row>
    <row r="14912">
      <c r="A14912" s="48" t="s">
        <v>1562</v>
      </c>
      <c r="B14912" s="38">
        <v>24543.0</v>
      </c>
      <c r="C14912" s="38" t="s">
        <v>19255</v>
      </c>
      <c r="D14912" s="38" t="str">
        <f>IFERROR(__xludf.DUMMYFUNCTION("REGEXREPLACE(C14912,""-\d+(.*)|--\d+(.*)"","""")"),"SOURZAC")</f>
        <v>SOURZAC</v>
      </c>
      <c r="E14912" s="38" t="s">
        <v>261</v>
      </c>
      <c r="F14912" s="38" t="s">
        <v>252</v>
      </c>
      <c r="G14912" s="49" t="str">
        <f t="shared" si="1"/>
        <v>24400</v>
      </c>
      <c r="H14912" s="49">
        <f t="shared" si="2"/>
        <v>24543</v>
      </c>
    </row>
    <row r="14913">
      <c r="A14913" s="48" t="s">
        <v>19208</v>
      </c>
      <c r="B14913" s="38">
        <v>14454.0</v>
      </c>
      <c r="C14913" s="38" t="s">
        <v>19256</v>
      </c>
      <c r="D14913" s="38" t="str">
        <f>IFERROR(__xludf.DUMMYFUNCTION("REGEXREPLACE(C14913,""-\d+(.*)|--\d+(.*)"","""")"),"MOUEN")</f>
        <v>MOUEN</v>
      </c>
      <c r="E14913" s="38" t="s">
        <v>137</v>
      </c>
      <c r="F14913" s="38" t="s">
        <v>138</v>
      </c>
      <c r="G14913" s="49" t="str">
        <f t="shared" si="1"/>
        <v>14790</v>
      </c>
      <c r="H14913" s="49">
        <f t="shared" si="2"/>
        <v>14454</v>
      </c>
    </row>
    <row r="14914">
      <c r="A14914" s="48" t="s">
        <v>19257</v>
      </c>
      <c r="B14914" s="38">
        <v>69153.0</v>
      </c>
      <c r="C14914" s="38" t="s">
        <v>19258</v>
      </c>
      <c r="D14914" s="38" t="str">
        <f>IFERROR(__xludf.DUMMYFUNCTION("REGEXREPLACE(C14914,""-\d+(.*)|--\d+(.*)"","""")"),"POLEYMIEUX-AU-MONT-D'OR")</f>
        <v>POLEYMIEUX-AU-MONT-D'OR</v>
      </c>
      <c r="E14914" s="38" t="s">
        <v>350</v>
      </c>
      <c r="F14914" s="38" t="s">
        <v>102</v>
      </c>
      <c r="G14914" s="49" t="str">
        <f t="shared" si="1"/>
        <v>69250</v>
      </c>
      <c r="H14914" s="49">
        <f t="shared" si="2"/>
        <v>69153</v>
      </c>
    </row>
    <row r="14915">
      <c r="A14915" s="48" t="s">
        <v>2019</v>
      </c>
      <c r="B14915" s="38">
        <v>90063.0</v>
      </c>
      <c r="C14915" s="38" t="s">
        <v>19259</v>
      </c>
      <c r="D14915" s="38" t="str">
        <f>IFERROR(__xludf.DUMMYFUNCTION("REGEXREPLACE(C14915,""-\d+(.*)|--\d+(.*)"","""")"),"LEBETAIN")</f>
        <v>LEBETAIN</v>
      </c>
      <c r="E14915" s="38" t="s">
        <v>1283</v>
      </c>
      <c r="F14915" s="38" t="s">
        <v>214</v>
      </c>
      <c r="G14915" s="49" t="str">
        <f t="shared" si="1"/>
        <v>90100</v>
      </c>
      <c r="H14915" s="49">
        <f t="shared" si="2"/>
        <v>90063</v>
      </c>
    </row>
    <row r="14916">
      <c r="A14916" s="48" t="s">
        <v>2835</v>
      </c>
      <c r="B14916" s="38">
        <v>18061.0</v>
      </c>
      <c r="C14916" s="38" t="s">
        <v>19260</v>
      </c>
      <c r="D14916" s="38" t="str">
        <f>IFERROR(__xludf.DUMMYFUNCTION("REGEXREPLACE(C14916,""-\d+(.*)|--\d+(.*)"","""")"),"CHAUMOUX-MARCILLY")</f>
        <v>CHAUMOUX-MARCILLY</v>
      </c>
      <c r="E14916" s="38" t="s">
        <v>504</v>
      </c>
      <c r="F14916" s="38" t="s">
        <v>123</v>
      </c>
      <c r="G14916" s="49" t="str">
        <f t="shared" si="1"/>
        <v>18140</v>
      </c>
      <c r="H14916" s="49">
        <f t="shared" si="2"/>
        <v>18061</v>
      </c>
    </row>
    <row r="14917">
      <c r="A14917" s="48" t="s">
        <v>2814</v>
      </c>
      <c r="B14917" s="38">
        <v>45032.0</v>
      </c>
      <c r="C14917" s="38" t="s">
        <v>19261</v>
      </c>
      <c r="D14917" s="38" t="str">
        <f>IFERROR(__xludf.DUMMYFUNCTION("REGEXREPLACE(C14917,""-\d+(.*)|--\d+(.*)"","""")"),"LE BIGNON-MIRABEAU")</f>
        <v>LE BIGNON-MIRABEAU</v>
      </c>
      <c r="E14917" s="38" t="s">
        <v>122</v>
      </c>
      <c r="F14917" s="38" t="s">
        <v>123</v>
      </c>
      <c r="G14917" s="49" t="str">
        <f t="shared" si="1"/>
        <v>45210</v>
      </c>
      <c r="H14917" s="49">
        <f t="shared" si="2"/>
        <v>45032</v>
      </c>
    </row>
    <row r="14918">
      <c r="A14918" s="48" t="s">
        <v>10324</v>
      </c>
      <c r="B14918" s="38">
        <v>54354.0</v>
      </c>
      <c r="C14918" s="38" t="s">
        <v>19262</v>
      </c>
      <c r="D14918" s="38" t="str">
        <f>IFERROR(__xludf.DUMMYFUNCTION("REGEXREPLACE(C14918,""-\d+(.*)|--\d+(.*)"","""")"),"MARTHEMONT")</f>
        <v>MARTHEMONT</v>
      </c>
      <c r="E14918" s="38" t="s">
        <v>548</v>
      </c>
      <c r="F14918" s="38" t="s">
        <v>195</v>
      </c>
      <c r="G14918" s="49" t="str">
        <f t="shared" si="1"/>
        <v>54330</v>
      </c>
      <c r="H14918" s="49">
        <f t="shared" si="2"/>
        <v>54354</v>
      </c>
    </row>
    <row r="14919">
      <c r="A14919" s="48" t="s">
        <v>3190</v>
      </c>
      <c r="B14919" s="38">
        <v>70384.0</v>
      </c>
      <c r="C14919" s="38" t="s">
        <v>19263</v>
      </c>
      <c r="D14919" s="38" t="str">
        <f>IFERROR(__xludf.DUMMYFUNCTION("REGEXREPLACE(C14919,""-\d+(.*)|--\d+(.*)"","""")"),"NEUVELLE-LES-LA-CHARITE")</f>
        <v>NEUVELLE-LES-LA-CHARITE</v>
      </c>
      <c r="E14919" s="38" t="s">
        <v>956</v>
      </c>
      <c r="F14919" s="38" t="s">
        <v>214</v>
      </c>
      <c r="G14919" s="49" t="str">
        <f t="shared" si="1"/>
        <v>70130</v>
      </c>
      <c r="H14919" s="49">
        <f t="shared" si="2"/>
        <v>70384</v>
      </c>
    </row>
    <row r="14920">
      <c r="A14920" s="48" t="s">
        <v>9571</v>
      </c>
      <c r="B14920" s="38">
        <v>78403.0</v>
      </c>
      <c r="C14920" s="38" t="s">
        <v>19264</v>
      </c>
      <c r="D14920" s="38" t="str">
        <f>IFERROR(__xludf.DUMMYFUNCTION("REGEXREPLACE(C14920,""-\d+(.*)|--\d+(.*)"","""")"),"MEZY-SUR-SEINE")</f>
        <v>MEZY-SUR-SEINE</v>
      </c>
      <c r="E14920" s="38" t="s">
        <v>362</v>
      </c>
      <c r="F14920" s="38" t="s">
        <v>245</v>
      </c>
      <c r="G14920" s="49" t="str">
        <f t="shared" si="1"/>
        <v>78250</v>
      </c>
      <c r="H14920" s="49">
        <f t="shared" si="2"/>
        <v>78403</v>
      </c>
    </row>
    <row r="14921">
      <c r="A14921" s="48" t="s">
        <v>4272</v>
      </c>
      <c r="B14921" s="38">
        <v>76621.0</v>
      </c>
      <c r="C14921" s="38" t="s">
        <v>19265</v>
      </c>
      <c r="D14921" s="38" t="str">
        <f>IFERROR(__xludf.DUMMYFUNCTION("REGEXREPLACE(C14921,""-\d+(.*)|--\d+(.*)"","""")"),"SAINT-MARTIN-OSMONVILLE")</f>
        <v>SAINT-MARTIN-OSMONVILLE</v>
      </c>
      <c r="E14921" s="38" t="s">
        <v>133</v>
      </c>
      <c r="F14921" s="38" t="s">
        <v>134</v>
      </c>
      <c r="G14921" s="49" t="str">
        <f t="shared" si="1"/>
        <v>76680</v>
      </c>
      <c r="H14921" s="49">
        <f t="shared" si="2"/>
        <v>76621</v>
      </c>
    </row>
    <row r="14922">
      <c r="A14922" s="48" t="s">
        <v>7140</v>
      </c>
      <c r="B14922" s="38">
        <v>3134.0</v>
      </c>
      <c r="C14922" s="38" t="s">
        <v>19266</v>
      </c>
      <c r="D14922" s="38" t="str">
        <f>IFERROR(__xludf.DUMMYFUNCTION("REGEXREPLACE(C14922,""-\d+(.*)|--\d+(.*)"","""")"),"LAFELINE")</f>
        <v>LAFELINE</v>
      </c>
      <c r="E14922" s="38" t="s">
        <v>160</v>
      </c>
      <c r="F14922" s="38" t="s">
        <v>161</v>
      </c>
      <c r="G14922" s="49" t="str">
        <f t="shared" si="1"/>
        <v>03500</v>
      </c>
      <c r="H14922" s="49" t="str">
        <f t="shared" si="2"/>
        <v>03134</v>
      </c>
    </row>
    <row r="14923">
      <c r="A14923" s="48" t="s">
        <v>5078</v>
      </c>
      <c r="B14923" s="38">
        <v>47119.0</v>
      </c>
      <c r="C14923" s="38" t="s">
        <v>19267</v>
      </c>
      <c r="D14923" s="38" t="str">
        <f>IFERROR(__xludf.DUMMYFUNCTION("REGEXREPLACE(C14923,""-\d+(.*)|--\d+(.*)"","""")"),"HOUEILLES")</f>
        <v>HOUEILLES</v>
      </c>
      <c r="E14923" s="38" t="s">
        <v>251</v>
      </c>
      <c r="F14923" s="38" t="s">
        <v>252</v>
      </c>
      <c r="G14923" s="49" t="str">
        <f t="shared" si="1"/>
        <v>47420</v>
      </c>
      <c r="H14923" s="49">
        <f t="shared" si="2"/>
        <v>47119</v>
      </c>
    </row>
    <row r="14924">
      <c r="A14924" s="48" t="s">
        <v>2162</v>
      </c>
      <c r="B14924" s="38">
        <v>26045.0</v>
      </c>
      <c r="C14924" s="38" t="s">
        <v>19268</v>
      </c>
      <c r="D14924" s="38" t="str">
        <f>IFERROR(__xludf.DUMMYFUNCTION("REGEXREPLACE(C14924,""-\d+(.*)|--\d+(.*)"","""")"),"LA BEGUDE-DE-MAZENC")</f>
        <v>LA BEGUDE-DE-MAZENC</v>
      </c>
      <c r="E14924" s="38" t="s">
        <v>126</v>
      </c>
      <c r="F14924" s="38" t="s">
        <v>102</v>
      </c>
      <c r="G14924" s="49" t="str">
        <f t="shared" si="1"/>
        <v>26160</v>
      </c>
      <c r="H14924" s="49">
        <f t="shared" si="2"/>
        <v>26045</v>
      </c>
    </row>
    <row r="14925">
      <c r="A14925" s="48" t="s">
        <v>19269</v>
      </c>
      <c r="B14925" s="38">
        <v>34151.0</v>
      </c>
      <c r="C14925" s="38" t="s">
        <v>19270</v>
      </c>
      <c r="D14925" s="38" t="str">
        <f>IFERROR(__xludf.DUMMYFUNCTION("REGEXREPLACE(C14925,""-\d+(.*)|--\d+(.*)"","""")"),"MARSILLARGUES")</f>
        <v>MARSILLARGUES</v>
      </c>
      <c r="E14925" s="38" t="s">
        <v>118</v>
      </c>
      <c r="F14925" s="38" t="s">
        <v>119</v>
      </c>
      <c r="G14925" s="49" t="str">
        <f t="shared" si="1"/>
        <v>34590</v>
      </c>
      <c r="H14925" s="49">
        <f t="shared" si="2"/>
        <v>34151</v>
      </c>
    </row>
    <row r="14926">
      <c r="A14926" s="48" t="s">
        <v>19271</v>
      </c>
      <c r="B14926" s="38">
        <v>8304.0</v>
      </c>
      <c r="C14926" s="38" t="s">
        <v>19272</v>
      </c>
      <c r="D14926" s="38" t="str">
        <f>IFERROR(__xludf.DUMMYFUNCTION("REGEXREPLACE(C14926,""-\d+(.*)|--\d+(.*)"","""")"),"MONTIGNY-SUR-MEUSE")</f>
        <v>MONTIGNY-SUR-MEUSE</v>
      </c>
      <c r="E14926" s="38" t="s">
        <v>327</v>
      </c>
      <c r="F14926" s="38" t="s">
        <v>130</v>
      </c>
      <c r="G14926" s="49" t="str">
        <f t="shared" si="1"/>
        <v>08170</v>
      </c>
      <c r="H14926" s="49" t="str">
        <f t="shared" si="2"/>
        <v>08304</v>
      </c>
    </row>
    <row r="14927">
      <c r="A14927" s="48" t="s">
        <v>9524</v>
      </c>
      <c r="B14927" s="38">
        <v>77037.0</v>
      </c>
      <c r="C14927" s="38" t="s">
        <v>19273</v>
      </c>
      <c r="D14927" s="38" t="str">
        <f>IFERROR(__xludf.DUMMYFUNCTION("REGEXREPLACE(C14927,""-\d+(.*)|--\d+(.*)"","""")"),"BOIS-LE-ROI")</f>
        <v>BOIS-LE-ROI</v>
      </c>
      <c r="E14927" s="38" t="s">
        <v>244</v>
      </c>
      <c r="F14927" s="38" t="s">
        <v>245</v>
      </c>
      <c r="G14927" s="49" t="str">
        <f t="shared" si="1"/>
        <v>77590</v>
      </c>
      <c r="H14927" s="49">
        <f t="shared" si="2"/>
        <v>77037</v>
      </c>
    </row>
    <row r="14928">
      <c r="A14928" s="48" t="s">
        <v>16271</v>
      </c>
      <c r="B14928" s="38">
        <v>56034.0</v>
      </c>
      <c r="C14928" s="38" t="s">
        <v>19274</v>
      </c>
      <c r="D14928" s="38" t="str">
        <f>IFERROR(__xludf.DUMMYFUNCTION("REGEXREPLACE(C14928,""-\d+(.*)|--\d+(.*)"","""")"),"CARNAC")</f>
        <v>CARNAC</v>
      </c>
      <c r="E14928" s="38" t="s">
        <v>173</v>
      </c>
      <c r="F14928" s="38" t="s">
        <v>90</v>
      </c>
      <c r="G14928" s="49" t="str">
        <f t="shared" si="1"/>
        <v>56340</v>
      </c>
      <c r="H14928" s="49">
        <f t="shared" si="2"/>
        <v>56034</v>
      </c>
    </row>
    <row r="14929">
      <c r="A14929" s="48" t="s">
        <v>1609</v>
      </c>
      <c r="B14929" s="38">
        <v>30161.0</v>
      </c>
      <c r="C14929" s="38" t="s">
        <v>19275</v>
      </c>
      <c r="D14929" s="38" t="str">
        <f>IFERROR(__xludf.DUMMYFUNCTION("REGEXREPLACE(C14929,""-\d+(.*)|--\d+(.*)"","""")"),"MASSANES")</f>
        <v>MASSANES</v>
      </c>
      <c r="E14929" s="38" t="s">
        <v>526</v>
      </c>
      <c r="F14929" s="38" t="s">
        <v>119</v>
      </c>
      <c r="G14929" s="49" t="str">
        <f t="shared" si="1"/>
        <v>30350</v>
      </c>
      <c r="H14929" s="49">
        <f t="shared" si="2"/>
        <v>30161</v>
      </c>
    </row>
    <row r="14930">
      <c r="A14930" s="48" t="s">
        <v>19276</v>
      </c>
      <c r="B14930" s="38">
        <v>13098.0</v>
      </c>
      <c r="C14930" s="38" t="s">
        <v>19277</v>
      </c>
      <c r="D14930" s="38" t="str">
        <f>IFERROR(__xludf.DUMMYFUNCTION("REGEXREPLACE(C14930,""-\d+(.*)|--\d+(.*)"","""")"),"SAINT-MITRE-LES-REMPARTS")</f>
        <v>SAINT-MITRE-LES-REMPARTS</v>
      </c>
      <c r="E14930" s="38" t="s">
        <v>980</v>
      </c>
      <c r="F14930" s="38" t="s">
        <v>228</v>
      </c>
      <c r="G14930" s="49" t="str">
        <f t="shared" si="1"/>
        <v>13920</v>
      </c>
      <c r="H14930" s="49">
        <f t="shared" si="2"/>
        <v>13098</v>
      </c>
    </row>
    <row r="14931">
      <c r="A14931" s="48" t="s">
        <v>1046</v>
      </c>
      <c r="B14931" s="38">
        <v>26365.0</v>
      </c>
      <c r="C14931" s="38" t="s">
        <v>19278</v>
      </c>
      <c r="D14931" s="38" t="str">
        <f>IFERROR(__xludf.DUMMYFUNCTION("REGEXREPLACE(C14931,""-\d+(.*)|--\d+(.*)"","""")"),"VAUNAVEYS-LA-ROCHETTE")</f>
        <v>VAUNAVEYS-LA-ROCHETTE</v>
      </c>
      <c r="E14931" s="38" t="s">
        <v>126</v>
      </c>
      <c r="F14931" s="38" t="s">
        <v>102</v>
      </c>
      <c r="G14931" s="49" t="str">
        <f t="shared" si="1"/>
        <v>26400</v>
      </c>
      <c r="H14931" s="49">
        <f t="shared" si="2"/>
        <v>26365</v>
      </c>
    </row>
    <row r="14932">
      <c r="A14932" s="48" t="s">
        <v>2779</v>
      </c>
      <c r="B14932" s="38">
        <v>80440.0</v>
      </c>
      <c r="C14932" s="38" t="s">
        <v>19279</v>
      </c>
      <c r="D14932" s="38" t="str">
        <f>IFERROR(__xludf.DUMMYFUNCTION("REGEXREPLACE(C14932,""-\d+(.*)|--\d+(.*)"","""")"),"HIERMONT")</f>
        <v>HIERMONT</v>
      </c>
      <c r="E14932" s="38" t="s">
        <v>224</v>
      </c>
      <c r="F14932" s="38" t="s">
        <v>113</v>
      </c>
      <c r="G14932" s="49" t="str">
        <f t="shared" si="1"/>
        <v>80370</v>
      </c>
      <c r="H14932" s="49">
        <f t="shared" si="2"/>
        <v>80440</v>
      </c>
    </row>
    <row r="14933">
      <c r="A14933" s="48" t="s">
        <v>2243</v>
      </c>
      <c r="B14933" s="38">
        <v>17206.0</v>
      </c>
      <c r="C14933" s="38" t="s">
        <v>19280</v>
      </c>
      <c r="D14933" s="38" t="str">
        <f>IFERROR(__xludf.DUMMYFUNCTION("REGEXREPLACE(C14933,""-\d+(.*)|--\d+(.*)"","""")"),"LOIRE-SUR-NIE")</f>
        <v>LOIRE-SUR-NIE</v>
      </c>
      <c r="E14933" s="38" t="s">
        <v>488</v>
      </c>
      <c r="F14933" s="38" t="s">
        <v>338</v>
      </c>
      <c r="G14933" s="49" t="str">
        <f t="shared" si="1"/>
        <v>17470</v>
      </c>
      <c r="H14933" s="49">
        <f t="shared" si="2"/>
        <v>17206</v>
      </c>
    </row>
    <row r="14934">
      <c r="A14934" s="48" t="s">
        <v>12300</v>
      </c>
      <c r="B14934" s="38">
        <v>37238.0</v>
      </c>
      <c r="C14934" s="38" t="s">
        <v>19281</v>
      </c>
      <c r="D14934" s="38" t="str">
        <f>IFERROR(__xludf.DUMMYFUNCTION("REGEXREPLACE(C14934,""-\d+(.*)|--\d+(.*)"","""")"),"SAINT-SENOCH")</f>
        <v>SAINT-SENOCH</v>
      </c>
      <c r="E14934" s="38" t="s">
        <v>205</v>
      </c>
      <c r="F14934" s="38" t="s">
        <v>123</v>
      </c>
      <c r="G14934" s="49" t="str">
        <f t="shared" si="1"/>
        <v>37600</v>
      </c>
      <c r="H14934" s="49">
        <f t="shared" si="2"/>
        <v>37238</v>
      </c>
    </row>
    <row r="14935">
      <c r="A14935" s="48" t="s">
        <v>19282</v>
      </c>
      <c r="B14935" s="38">
        <v>65010.0</v>
      </c>
      <c r="C14935" s="38" t="s">
        <v>19283</v>
      </c>
      <c r="D14935" s="38" t="str">
        <f>IFERROR(__xludf.DUMMYFUNCTION("REGEXREPLACE(C14935,""-\d+(.*)|--\d+(.*)"","""")"),"ANGOS")</f>
        <v>ANGOS</v>
      </c>
      <c r="E14935" s="38" t="s">
        <v>200</v>
      </c>
      <c r="F14935" s="38" t="s">
        <v>94</v>
      </c>
      <c r="G14935" s="49" t="str">
        <f t="shared" si="1"/>
        <v>65690</v>
      </c>
      <c r="H14935" s="49">
        <f t="shared" si="2"/>
        <v>65010</v>
      </c>
    </row>
    <row r="14936">
      <c r="A14936" s="48" t="s">
        <v>12777</v>
      </c>
      <c r="B14936" s="38">
        <v>73087.0</v>
      </c>
      <c r="C14936" s="38" t="s">
        <v>19284</v>
      </c>
      <c r="D14936" s="38" t="str">
        <f>IFERROR(__xludf.DUMMYFUNCTION("REGEXREPLACE(C14936,""-\d+(.*)|--\d+(.*)"","""")"),"COGNIN")</f>
        <v>COGNIN</v>
      </c>
      <c r="E14936" s="38" t="s">
        <v>306</v>
      </c>
      <c r="F14936" s="38" t="s">
        <v>102</v>
      </c>
      <c r="G14936" s="49" t="str">
        <f t="shared" si="1"/>
        <v>73160</v>
      </c>
      <c r="H14936" s="49">
        <f t="shared" si="2"/>
        <v>73087</v>
      </c>
    </row>
    <row r="14937">
      <c r="A14937" s="48" t="s">
        <v>1422</v>
      </c>
      <c r="B14937" s="38">
        <v>14337.0</v>
      </c>
      <c r="C14937" s="38" t="s">
        <v>19285</v>
      </c>
      <c r="D14937" s="38" t="str">
        <f>IFERROR(__xludf.DUMMYFUNCTION("REGEXREPLACE(C14937,""-\d+(.*)|--\d+(.*)"","""")"),"LA HOUBLONNIERE")</f>
        <v>LA HOUBLONNIERE</v>
      </c>
      <c r="E14937" s="38" t="s">
        <v>137</v>
      </c>
      <c r="F14937" s="38" t="s">
        <v>138</v>
      </c>
      <c r="G14937" s="49" t="str">
        <f t="shared" si="1"/>
        <v>14340</v>
      </c>
      <c r="H14937" s="49">
        <f t="shared" si="2"/>
        <v>14337</v>
      </c>
    </row>
    <row r="14938">
      <c r="A14938" s="48" t="s">
        <v>1636</v>
      </c>
      <c r="B14938" s="38">
        <v>14203.0</v>
      </c>
      <c r="C14938" s="38" t="s">
        <v>19286</v>
      </c>
      <c r="D14938" s="38" t="str">
        <f>IFERROR(__xludf.DUMMYFUNCTION("REGEXREPLACE(C14938,""-\d+(.*)|--\d+(.*)"","""")"),"CRICQUEVILLE-EN-AUGE")</f>
        <v>CRICQUEVILLE-EN-AUGE</v>
      </c>
      <c r="E14938" s="38" t="s">
        <v>137</v>
      </c>
      <c r="F14938" s="38" t="s">
        <v>138</v>
      </c>
      <c r="G14938" s="49" t="str">
        <f t="shared" si="1"/>
        <v>14430</v>
      </c>
      <c r="H14938" s="49">
        <f t="shared" si="2"/>
        <v>14203</v>
      </c>
    </row>
    <row r="14939">
      <c r="A14939" s="48" t="s">
        <v>2310</v>
      </c>
      <c r="B14939" s="38">
        <v>60171.0</v>
      </c>
      <c r="C14939" s="38" t="s">
        <v>19287</v>
      </c>
      <c r="D14939" s="38" t="str">
        <f>IFERROR(__xludf.DUMMYFUNCTION("REGEXREPLACE(C14939,""-\d+(.*)|--\d+(.*)"","""")"),"COURTIEUX")</f>
        <v>COURTIEUX</v>
      </c>
      <c r="E14939" s="38" t="s">
        <v>112</v>
      </c>
      <c r="F14939" s="38" t="s">
        <v>113</v>
      </c>
      <c r="G14939" s="49" t="str">
        <f t="shared" si="1"/>
        <v>60350</v>
      </c>
      <c r="H14939" s="49">
        <f t="shared" si="2"/>
        <v>60171</v>
      </c>
    </row>
    <row r="14940">
      <c r="A14940" s="48" t="s">
        <v>8103</v>
      </c>
      <c r="B14940" s="38">
        <v>55046.0</v>
      </c>
      <c r="C14940" s="38" t="s">
        <v>19288</v>
      </c>
      <c r="D14940" s="38" t="str">
        <f>IFERROR(__xludf.DUMMYFUNCTION("REGEXREPLACE(C14940,""-\d+(.*)|--\d+(.*)"","""")"),"BENEY-EN-WOEVRE")</f>
        <v>BENEY-EN-WOEVRE</v>
      </c>
      <c r="E14940" s="38" t="s">
        <v>322</v>
      </c>
      <c r="F14940" s="38" t="s">
        <v>195</v>
      </c>
      <c r="G14940" s="49" t="str">
        <f t="shared" si="1"/>
        <v>55210</v>
      </c>
      <c r="H14940" s="49">
        <f t="shared" si="2"/>
        <v>55046</v>
      </c>
    </row>
    <row r="14941">
      <c r="A14941" s="48" t="s">
        <v>5203</v>
      </c>
      <c r="B14941" s="38">
        <v>88087.0</v>
      </c>
      <c r="C14941" s="38" t="s">
        <v>19289</v>
      </c>
      <c r="D14941" s="38" t="str">
        <f>IFERROR(__xludf.DUMMYFUNCTION("REGEXREPLACE(C14941,""-\d+(.*)|--\d+(.*)"","""")"),"CHANTRAINE")</f>
        <v>CHANTRAINE</v>
      </c>
      <c r="E14941" s="38" t="s">
        <v>194</v>
      </c>
      <c r="F14941" s="38" t="s">
        <v>195</v>
      </c>
      <c r="G14941" s="49" t="str">
        <f t="shared" si="1"/>
        <v>88000</v>
      </c>
      <c r="H14941" s="49">
        <f t="shared" si="2"/>
        <v>88087</v>
      </c>
    </row>
    <row r="14942">
      <c r="A14942" s="48" t="s">
        <v>4902</v>
      </c>
      <c r="B14942" s="38">
        <v>61159.0</v>
      </c>
      <c r="C14942" s="38" t="s">
        <v>18115</v>
      </c>
      <c r="D14942" s="38" t="str">
        <f>IFERROR(__xludf.DUMMYFUNCTION("REGEXREPLACE(C14942,""-\d+(.*)|--\d+(.*)"","""")"),"FAY")</f>
        <v>FAY</v>
      </c>
      <c r="E14942" s="38" t="s">
        <v>141</v>
      </c>
      <c r="F14942" s="38" t="s">
        <v>138</v>
      </c>
      <c r="G14942" s="49" t="str">
        <f t="shared" si="1"/>
        <v>61390</v>
      </c>
      <c r="H14942" s="49">
        <f t="shared" si="2"/>
        <v>61159</v>
      </c>
    </row>
    <row r="14943">
      <c r="A14943" s="48" t="s">
        <v>7239</v>
      </c>
      <c r="B14943" s="38">
        <v>24124.0</v>
      </c>
      <c r="C14943" s="38" t="s">
        <v>19290</v>
      </c>
      <c r="D14943" s="38" t="str">
        <f>IFERROR(__xludf.DUMMYFUNCTION("REGEXREPLACE(C14943,""-\d+(.*)|--\d+(.*)"","""")"),"CLERMONT-D'EXCIDEUIL")</f>
        <v>CLERMONT-D'EXCIDEUIL</v>
      </c>
      <c r="E14943" s="38" t="s">
        <v>261</v>
      </c>
      <c r="F14943" s="38" t="s">
        <v>252</v>
      </c>
      <c r="G14943" s="49" t="str">
        <f t="shared" si="1"/>
        <v>24160</v>
      </c>
      <c r="H14943" s="49">
        <f t="shared" si="2"/>
        <v>24124</v>
      </c>
    </row>
    <row r="14944">
      <c r="A14944" s="48" t="s">
        <v>4030</v>
      </c>
      <c r="B14944" s="38">
        <v>16183.0</v>
      </c>
      <c r="C14944" s="38" t="s">
        <v>19291</v>
      </c>
      <c r="D14944" s="38" t="str">
        <f>IFERROR(__xludf.DUMMYFUNCTION("REGEXREPLACE(C14944,""-\d+(.*)|--\d+(.*)"","""")"),"LESIGNAC-DURAND")</f>
        <v>LESIGNAC-DURAND</v>
      </c>
      <c r="E14944" s="38" t="s">
        <v>429</v>
      </c>
      <c r="F14944" s="38" t="s">
        <v>338</v>
      </c>
      <c r="G14944" s="49" t="str">
        <f t="shared" si="1"/>
        <v>16310</v>
      </c>
      <c r="H14944" s="49">
        <f t="shared" si="2"/>
        <v>16183</v>
      </c>
    </row>
    <row r="14945">
      <c r="A14945" s="48" t="s">
        <v>9378</v>
      </c>
      <c r="B14945" s="38">
        <v>11174.0</v>
      </c>
      <c r="C14945" s="38" t="s">
        <v>19292</v>
      </c>
      <c r="D14945" s="38" t="str">
        <f>IFERROR(__xludf.DUMMYFUNCTION("REGEXREPLACE(C14945,""-\d+(.*)|--\d+(.*)"","""")"),"LES ILHES")</f>
        <v>LES ILHES</v>
      </c>
      <c r="E14945" s="38" t="s">
        <v>278</v>
      </c>
      <c r="F14945" s="38" t="s">
        <v>119</v>
      </c>
      <c r="G14945" s="49" t="str">
        <f t="shared" si="1"/>
        <v>11380</v>
      </c>
      <c r="H14945" s="49">
        <f t="shared" si="2"/>
        <v>11174</v>
      </c>
    </row>
    <row r="14946">
      <c r="A14946" s="48" t="s">
        <v>19293</v>
      </c>
      <c r="B14946" s="38">
        <v>18090.0</v>
      </c>
      <c r="C14946" s="38" t="s">
        <v>7318</v>
      </c>
      <c r="D14946" s="38" t="str">
        <f>IFERROR(__xludf.DUMMYFUNCTION("REGEXREPLACE(C14946,""-\d+(.*)|--\d+(.*)"","""")"),"ETRECHY")</f>
        <v>ETRECHY</v>
      </c>
      <c r="E14946" s="38" t="s">
        <v>504</v>
      </c>
      <c r="F14946" s="38" t="s">
        <v>123</v>
      </c>
      <c r="G14946" s="49" t="str">
        <f t="shared" si="1"/>
        <v>18800</v>
      </c>
      <c r="H14946" s="49">
        <f t="shared" si="2"/>
        <v>18090</v>
      </c>
    </row>
    <row r="14947">
      <c r="A14947" s="48" t="s">
        <v>1222</v>
      </c>
      <c r="B14947" s="38">
        <v>47320.0</v>
      </c>
      <c r="C14947" s="38" t="s">
        <v>19294</v>
      </c>
      <c r="D14947" s="38" t="str">
        <f>IFERROR(__xludf.DUMMYFUNCTION("REGEXREPLACE(C14947,""-\d+(.*)|--\d+(.*)"","""")"),"VILLEFRANCHE-DU-QUEYRAN")</f>
        <v>VILLEFRANCHE-DU-QUEYRAN</v>
      </c>
      <c r="E14947" s="38" t="s">
        <v>251</v>
      </c>
      <c r="F14947" s="38" t="s">
        <v>252</v>
      </c>
      <c r="G14947" s="49" t="str">
        <f t="shared" si="1"/>
        <v>47160</v>
      </c>
      <c r="H14947" s="49">
        <f t="shared" si="2"/>
        <v>47320</v>
      </c>
    </row>
    <row r="14948">
      <c r="A14948" s="48" t="s">
        <v>2547</v>
      </c>
      <c r="B14948" s="38">
        <v>8033.0</v>
      </c>
      <c r="C14948" s="38" t="s">
        <v>19295</v>
      </c>
      <c r="D14948" s="38" t="str">
        <f>IFERROR(__xludf.DUMMYFUNCTION("REGEXREPLACE(C14948,""-\d+(.*)|--\d+(.*)"","""")"),"AUTHE")</f>
        <v>AUTHE</v>
      </c>
      <c r="E14948" s="38" t="s">
        <v>327</v>
      </c>
      <c r="F14948" s="38" t="s">
        <v>130</v>
      </c>
      <c r="G14948" s="49" t="str">
        <f t="shared" si="1"/>
        <v>08240</v>
      </c>
      <c r="H14948" s="49" t="str">
        <f t="shared" si="2"/>
        <v>08033</v>
      </c>
    </row>
    <row r="14949">
      <c r="A14949" s="48" t="s">
        <v>427</v>
      </c>
      <c r="B14949" s="38">
        <v>16186.0</v>
      </c>
      <c r="C14949" s="38" t="s">
        <v>19296</v>
      </c>
      <c r="D14949" s="38" t="str">
        <f>IFERROR(__xludf.DUMMYFUNCTION("REGEXREPLACE(C14949,""-\d+(.*)|--\d+(.*)"","""")"),"LIGNIERES-SONNEVILLE")</f>
        <v>LIGNIERES-SONNEVILLE</v>
      </c>
      <c r="E14949" s="38" t="s">
        <v>429</v>
      </c>
      <c r="F14949" s="38" t="s">
        <v>338</v>
      </c>
      <c r="G14949" s="49" t="str">
        <f t="shared" si="1"/>
        <v>16130</v>
      </c>
      <c r="H14949" s="49">
        <f t="shared" si="2"/>
        <v>16186</v>
      </c>
    </row>
    <row r="14950">
      <c r="A14950" s="48" t="s">
        <v>19297</v>
      </c>
      <c r="B14950" s="38">
        <v>59131.0</v>
      </c>
      <c r="C14950" s="38" t="s">
        <v>19298</v>
      </c>
      <c r="D14950" s="38" t="str">
        <f>IFERROR(__xludf.DUMMYFUNCTION("REGEXREPLACE(C14950,""-\d+(.*)|--\d+(.*)"","""")"),"CAPPELLE-LA-GRANDE")</f>
        <v>CAPPELLE-LA-GRANDE</v>
      </c>
      <c r="E14950" s="38" t="s">
        <v>85</v>
      </c>
      <c r="F14950" s="38" t="s">
        <v>86</v>
      </c>
      <c r="G14950" s="49" t="str">
        <f t="shared" si="1"/>
        <v>59180</v>
      </c>
      <c r="H14950" s="49">
        <f t="shared" si="2"/>
        <v>59131</v>
      </c>
    </row>
    <row r="14951">
      <c r="A14951" s="48" t="s">
        <v>4434</v>
      </c>
      <c r="B14951" s="38">
        <v>31005.0</v>
      </c>
      <c r="C14951" s="38" t="s">
        <v>19299</v>
      </c>
      <c r="D14951" s="38" t="str">
        <f>IFERROR(__xludf.DUMMYFUNCTION("REGEXREPLACE(C14951,""-\d+(.*)|--\d+(.*)"","""")"),"ALAN")</f>
        <v>ALAN</v>
      </c>
      <c r="E14951" s="38" t="s">
        <v>93</v>
      </c>
      <c r="F14951" s="38" t="s">
        <v>94</v>
      </c>
      <c r="G14951" s="49" t="str">
        <f t="shared" si="1"/>
        <v>31420</v>
      </c>
      <c r="H14951" s="49">
        <f t="shared" si="2"/>
        <v>31005</v>
      </c>
    </row>
    <row r="14952">
      <c r="A14952" s="48" t="s">
        <v>6555</v>
      </c>
      <c r="B14952" s="38">
        <v>67264.0</v>
      </c>
      <c r="C14952" s="38" t="s">
        <v>19300</v>
      </c>
      <c r="D14952" s="38" t="str">
        <f>IFERROR(__xludf.DUMMYFUNCTION("REGEXREPLACE(C14952,""-\d+(.*)|--\d+(.*)"","""")"),"LEUTENHEIM")</f>
        <v>LEUTENHEIM</v>
      </c>
      <c r="E14952" s="38" t="s">
        <v>210</v>
      </c>
      <c r="F14952" s="38" t="s">
        <v>151</v>
      </c>
      <c r="G14952" s="49" t="str">
        <f t="shared" si="1"/>
        <v>67480</v>
      </c>
      <c r="H14952" s="49">
        <f t="shared" si="2"/>
        <v>67264</v>
      </c>
    </row>
    <row r="14953">
      <c r="A14953" s="48" t="s">
        <v>1538</v>
      </c>
      <c r="B14953" s="38">
        <v>27505.0</v>
      </c>
      <c r="C14953" s="38" t="s">
        <v>19301</v>
      </c>
      <c r="D14953" s="38" t="str">
        <f>IFERROR(__xludf.DUMMYFUNCTION("REGEXREPLACE(C14953,""-\d+(.*)|--\d+(.*)"","""")"),"SAINT-AGNAN-DE-CERNIERES")</f>
        <v>SAINT-AGNAN-DE-CERNIERES</v>
      </c>
      <c r="E14953" s="38" t="s">
        <v>241</v>
      </c>
      <c r="F14953" s="38" t="s">
        <v>134</v>
      </c>
      <c r="G14953" s="49" t="str">
        <f t="shared" si="1"/>
        <v>27390</v>
      </c>
      <c r="H14953" s="49">
        <f t="shared" si="2"/>
        <v>27505</v>
      </c>
    </row>
    <row r="14954">
      <c r="A14954" s="48" t="s">
        <v>3009</v>
      </c>
      <c r="B14954" s="38">
        <v>11191.0</v>
      </c>
      <c r="C14954" s="38" t="s">
        <v>19302</v>
      </c>
      <c r="D14954" s="38" t="str">
        <f>IFERROR(__xludf.DUMMYFUNCTION("REGEXREPLACE(C14954,""-\d+(.*)|--\d+(.*)"","""")"),"LAROQUE-DE-FA")</f>
        <v>LAROQUE-DE-FA</v>
      </c>
      <c r="E14954" s="38" t="s">
        <v>278</v>
      </c>
      <c r="F14954" s="38" t="s">
        <v>119</v>
      </c>
      <c r="G14954" s="49" t="str">
        <f t="shared" si="1"/>
        <v>11330</v>
      </c>
      <c r="H14954" s="49">
        <f t="shared" si="2"/>
        <v>11191</v>
      </c>
    </row>
    <row r="14955">
      <c r="A14955" s="48" t="s">
        <v>12867</v>
      </c>
      <c r="B14955" s="38">
        <v>38538.0</v>
      </c>
      <c r="C14955" s="38" t="s">
        <v>19303</v>
      </c>
      <c r="D14955" s="38" t="str">
        <f>IFERROR(__xludf.DUMMYFUNCTION("REGEXREPLACE(C14955,""-\d+(.*)|--\d+(.*)"","""")"),"LE VERSOUD")</f>
        <v>LE VERSOUD</v>
      </c>
      <c r="E14955" s="38" t="s">
        <v>101</v>
      </c>
      <c r="F14955" s="38" t="s">
        <v>102</v>
      </c>
      <c r="G14955" s="49" t="str">
        <f t="shared" si="1"/>
        <v>38420</v>
      </c>
      <c r="H14955" s="49">
        <f t="shared" si="2"/>
        <v>38538</v>
      </c>
    </row>
    <row r="14956">
      <c r="A14956" s="48" t="s">
        <v>8665</v>
      </c>
      <c r="B14956" s="38">
        <v>83135.0</v>
      </c>
      <c r="C14956" s="38" t="s">
        <v>19304</v>
      </c>
      <c r="D14956" s="38" t="str">
        <f>IFERROR(__xludf.DUMMYFUNCTION("REGEXREPLACE(C14956,""-\d+(.*)|--\d+(.*)"","""")"),"TAVERNES")</f>
        <v>TAVERNES</v>
      </c>
      <c r="E14956" s="38" t="s">
        <v>813</v>
      </c>
      <c r="F14956" s="38" t="s">
        <v>228</v>
      </c>
      <c r="G14956" s="49" t="str">
        <f t="shared" si="1"/>
        <v>83670</v>
      </c>
      <c r="H14956" s="49">
        <f t="shared" si="2"/>
        <v>83135</v>
      </c>
    </row>
    <row r="14957">
      <c r="A14957" s="48" t="s">
        <v>5631</v>
      </c>
      <c r="B14957" s="38">
        <v>76397.0</v>
      </c>
      <c r="C14957" s="38" t="s">
        <v>19305</v>
      </c>
      <c r="D14957" s="38" t="str">
        <f>IFERROR(__xludf.DUMMYFUNCTION("REGEXREPLACE(C14957,""-\d+(.*)|--\d+(.*)"","""")"),"LONGUEVILLE-SUR-SCIE")</f>
        <v>LONGUEVILLE-SUR-SCIE</v>
      </c>
      <c r="E14957" s="38" t="s">
        <v>133</v>
      </c>
      <c r="F14957" s="38" t="s">
        <v>134</v>
      </c>
      <c r="G14957" s="49" t="str">
        <f t="shared" si="1"/>
        <v>76590</v>
      </c>
      <c r="H14957" s="49">
        <f t="shared" si="2"/>
        <v>76397</v>
      </c>
    </row>
    <row r="14958">
      <c r="A14958" s="48" t="s">
        <v>4316</v>
      </c>
      <c r="B14958" s="38">
        <v>49072.0</v>
      </c>
      <c r="C14958" s="38" t="s">
        <v>19306</v>
      </c>
      <c r="D14958" s="38" t="str">
        <f>IFERROR(__xludf.DUMMYFUNCTION("REGEXREPLACE(C14958,""-\d+(.*)|--\d+(.*)"","""")"),"LA CHAPELLE-DU-GENET")</f>
        <v>LA CHAPELLE-DU-GENET</v>
      </c>
      <c r="E14958" s="38" t="s">
        <v>653</v>
      </c>
      <c r="F14958" s="38" t="s">
        <v>180</v>
      </c>
      <c r="G14958" s="49" t="str">
        <f t="shared" si="1"/>
        <v>49600</v>
      </c>
      <c r="H14958" s="49">
        <f t="shared" si="2"/>
        <v>49072</v>
      </c>
    </row>
    <row r="14959">
      <c r="A14959" s="48" t="s">
        <v>9905</v>
      </c>
      <c r="B14959" s="38">
        <v>65347.0</v>
      </c>
      <c r="C14959" s="38" t="s">
        <v>19307</v>
      </c>
      <c r="D14959" s="38" t="str">
        <f>IFERROR(__xludf.DUMMYFUNCTION("REGEXREPLACE(C14959,""-\d+(.*)|--\d+(.*)"","""")"),"OURDE")</f>
        <v>OURDE</v>
      </c>
      <c r="E14959" s="38" t="s">
        <v>200</v>
      </c>
      <c r="F14959" s="38" t="s">
        <v>94</v>
      </c>
      <c r="G14959" s="49" t="str">
        <f t="shared" si="1"/>
        <v>65370</v>
      </c>
      <c r="H14959" s="49">
        <f t="shared" si="2"/>
        <v>65347</v>
      </c>
    </row>
    <row r="14960">
      <c r="A14960" s="48" t="s">
        <v>8196</v>
      </c>
      <c r="B14960" s="38">
        <v>23150.0</v>
      </c>
      <c r="C14960" s="38" t="s">
        <v>19308</v>
      </c>
      <c r="D14960" s="38" t="str">
        <f>IFERROR(__xludf.DUMMYFUNCTION("REGEXREPLACE(C14960,""-\d+(.*)|--\d+(.*)"","""")"),"PEYRABOUT")</f>
        <v>PEYRABOUT</v>
      </c>
      <c r="E14960" s="38" t="s">
        <v>97</v>
      </c>
      <c r="F14960" s="38" t="s">
        <v>98</v>
      </c>
      <c r="G14960" s="49" t="str">
        <f t="shared" si="1"/>
        <v>23000</v>
      </c>
      <c r="H14960" s="49">
        <f t="shared" si="2"/>
        <v>23150</v>
      </c>
    </row>
    <row r="14961">
      <c r="A14961" s="48" t="s">
        <v>11285</v>
      </c>
      <c r="B14961" s="38" t="s">
        <v>19309</v>
      </c>
      <c r="C14961" s="38" t="s">
        <v>19310</v>
      </c>
      <c r="D14961" s="38" t="str">
        <f>IFERROR(__xludf.DUMMYFUNCTION("REGEXREPLACE(C14961,""-\d+(.*)|--\d+(.*)"","""")"),"RUSIO")</f>
        <v>RUSIO</v>
      </c>
      <c r="E14961" s="38" t="s">
        <v>743</v>
      </c>
      <c r="F14961" s="38" t="s">
        <v>607</v>
      </c>
      <c r="G14961" s="49" t="str">
        <f t="shared" si="1"/>
        <v>20244</v>
      </c>
      <c r="H14961" s="49" t="str">
        <f t="shared" si="2"/>
        <v>2B264</v>
      </c>
    </row>
    <row r="14962">
      <c r="A14962" s="48" t="s">
        <v>13460</v>
      </c>
      <c r="B14962" s="38">
        <v>68262.0</v>
      </c>
      <c r="C14962" s="38" t="s">
        <v>19311</v>
      </c>
      <c r="D14962" s="38" t="str">
        <f>IFERROR(__xludf.DUMMYFUNCTION("REGEXREPLACE(C14962,""-\d+(.*)|--\d+(.*)"","""")"),"RANSPACH")</f>
        <v>RANSPACH</v>
      </c>
      <c r="E14962" s="38" t="s">
        <v>150</v>
      </c>
      <c r="F14962" s="38" t="s">
        <v>151</v>
      </c>
      <c r="G14962" s="49" t="str">
        <f t="shared" si="1"/>
        <v>68470</v>
      </c>
      <c r="H14962" s="49">
        <f t="shared" si="2"/>
        <v>68262</v>
      </c>
    </row>
    <row r="14963">
      <c r="A14963" s="48" t="s">
        <v>4853</v>
      </c>
      <c r="B14963" s="38">
        <v>32132.0</v>
      </c>
      <c r="C14963" s="38" t="s">
        <v>19312</v>
      </c>
      <c r="D14963" s="38" t="str">
        <f>IFERROR(__xludf.DUMMYFUNCTION("REGEXREPLACE(C14963,""-\d+(.*)|--\d+(.*)"","""")"),"FLEURANCE")</f>
        <v>FLEURANCE</v>
      </c>
      <c r="E14963" s="38" t="s">
        <v>440</v>
      </c>
      <c r="F14963" s="38" t="s">
        <v>94</v>
      </c>
      <c r="G14963" s="49" t="str">
        <f t="shared" si="1"/>
        <v>32500</v>
      </c>
      <c r="H14963" s="49">
        <f t="shared" si="2"/>
        <v>32132</v>
      </c>
    </row>
    <row r="14964">
      <c r="A14964" s="48" t="s">
        <v>19313</v>
      </c>
      <c r="B14964" s="38">
        <v>56081.0</v>
      </c>
      <c r="C14964" s="38" t="s">
        <v>19314</v>
      </c>
      <c r="D14964" s="38" t="str">
        <f>IFERROR(__xludf.DUMMYFUNCTION("REGEXREPLACE(C14964,""-\d+(.*)|--\d+(.*)"","""")"),"GUISCRIFF")</f>
        <v>GUISCRIFF</v>
      </c>
      <c r="E14964" s="38" t="s">
        <v>173</v>
      </c>
      <c r="F14964" s="38" t="s">
        <v>90</v>
      </c>
      <c r="G14964" s="49" t="str">
        <f t="shared" si="1"/>
        <v>56560</v>
      </c>
      <c r="H14964" s="49">
        <f t="shared" si="2"/>
        <v>56081</v>
      </c>
    </row>
    <row r="14965">
      <c r="A14965" s="48" t="s">
        <v>2899</v>
      </c>
      <c r="B14965" s="38">
        <v>15267.0</v>
      </c>
      <c r="C14965" s="38" t="s">
        <v>19315</v>
      </c>
      <c r="D14965" s="38" t="str">
        <f>IFERROR(__xludf.DUMMYFUNCTION("REGEXREPLACE(C14965,""-\d+(.*)|--\d+(.*)"","""")"),"YTRAC")</f>
        <v>YTRAC</v>
      </c>
      <c r="E14965" s="38" t="s">
        <v>632</v>
      </c>
      <c r="F14965" s="38" t="s">
        <v>161</v>
      </c>
      <c r="G14965" s="49" t="str">
        <f t="shared" si="1"/>
        <v>15130</v>
      </c>
      <c r="H14965" s="49">
        <f t="shared" si="2"/>
        <v>15267</v>
      </c>
    </row>
    <row r="14966">
      <c r="A14966" s="48" t="s">
        <v>2270</v>
      </c>
      <c r="B14966" s="38">
        <v>32169.0</v>
      </c>
      <c r="C14966" s="38" t="s">
        <v>569</v>
      </c>
      <c r="D14966" s="38" t="str">
        <f>IFERROR(__xludf.DUMMYFUNCTION("REGEXREPLACE(C14966,""-\d+(.*)|--\d+(.*)"","""")"),"LABARTHE")</f>
        <v>LABARTHE</v>
      </c>
      <c r="E14966" s="38" t="s">
        <v>440</v>
      </c>
      <c r="F14966" s="38" t="s">
        <v>94</v>
      </c>
      <c r="G14966" s="49" t="str">
        <f t="shared" si="1"/>
        <v>32260</v>
      </c>
      <c r="H14966" s="49">
        <f t="shared" si="2"/>
        <v>32169</v>
      </c>
    </row>
    <row r="14967">
      <c r="A14967" s="48" t="s">
        <v>2330</v>
      </c>
      <c r="B14967" s="38">
        <v>65458.0</v>
      </c>
      <c r="C14967" s="38" t="s">
        <v>19316</v>
      </c>
      <c r="D14967" s="38" t="str">
        <f>IFERROR(__xludf.DUMMYFUNCTION("REGEXREPLACE(C14967,""-\d+(.*)|--\d+(.*)"","""")"),"UZ")</f>
        <v>UZ</v>
      </c>
      <c r="E14967" s="38" t="s">
        <v>200</v>
      </c>
      <c r="F14967" s="38" t="s">
        <v>94</v>
      </c>
      <c r="G14967" s="49" t="str">
        <f t="shared" si="1"/>
        <v>65400</v>
      </c>
      <c r="H14967" s="49">
        <f t="shared" si="2"/>
        <v>65458</v>
      </c>
    </row>
    <row r="14968">
      <c r="A14968" s="48" t="s">
        <v>2338</v>
      </c>
      <c r="B14968" s="38">
        <v>8441.0</v>
      </c>
      <c r="C14968" s="38" t="s">
        <v>19317</v>
      </c>
      <c r="D14968" s="38" t="str">
        <f>IFERROR(__xludf.DUMMYFUNCTION("REGEXREPLACE(C14968,""-\d+(.*)|--\d+(.*)"","""")"),"TERMES")</f>
        <v>TERMES</v>
      </c>
      <c r="E14968" s="38" t="s">
        <v>327</v>
      </c>
      <c r="F14968" s="38" t="s">
        <v>130</v>
      </c>
      <c r="G14968" s="49" t="str">
        <f t="shared" si="1"/>
        <v>08250</v>
      </c>
      <c r="H14968" s="49" t="str">
        <f t="shared" si="2"/>
        <v>08441</v>
      </c>
    </row>
    <row r="14969">
      <c r="A14969" s="48" t="s">
        <v>181</v>
      </c>
      <c r="B14969" s="38">
        <v>51282.0</v>
      </c>
      <c r="C14969" s="38" t="s">
        <v>19318</v>
      </c>
      <c r="D14969" s="38" t="str">
        <f>IFERROR(__xludf.DUMMYFUNCTION("REGEXREPLACE(C14969,""-\d+(.*)|--\d+(.*)"","""")"),"GUEUX")</f>
        <v>GUEUX</v>
      </c>
      <c r="E14969" s="38" t="s">
        <v>129</v>
      </c>
      <c r="F14969" s="38" t="s">
        <v>130</v>
      </c>
      <c r="G14969" s="49" t="str">
        <f t="shared" si="1"/>
        <v>51390</v>
      </c>
      <c r="H14969" s="49">
        <f t="shared" si="2"/>
        <v>51282</v>
      </c>
    </row>
    <row r="14970">
      <c r="A14970" s="48" t="s">
        <v>19319</v>
      </c>
      <c r="B14970" s="38">
        <v>27681.0</v>
      </c>
      <c r="C14970" s="38" t="s">
        <v>19320</v>
      </c>
      <c r="D14970" s="38" t="str">
        <f>IFERROR(__xludf.DUMMYFUNCTION("REGEXREPLACE(C14970,""-\d+(.*)|--\d+(.*)"","""")"),"VERNON")</f>
        <v>VERNON</v>
      </c>
      <c r="E14970" s="38" t="s">
        <v>241</v>
      </c>
      <c r="F14970" s="38" t="s">
        <v>134</v>
      </c>
      <c r="G14970" s="49" t="str">
        <f t="shared" si="1"/>
        <v>27200</v>
      </c>
      <c r="H14970" s="49">
        <f t="shared" si="2"/>
        <v>27681</v>
      </c>
    </row>
    <row r="14971">
      <c r="A14971" s="48" t="s">
        <v>1861</v>
      </c>
      <c r="B14971" s="38">
        <v>46010.0</v>
      </c>
      <c r="C14971" s="38" t="s">
        <v>19321</v>
      </c>
      <c r="D14971" s="38" t="str">
        <f>IFERROR(__xludf.DUMMYFUNCTION("REGEXREPLACE(C14971,""-\d+(.*)|--\d+(.*)"","""")"),"AUJOLS")</f>
        <v>AUJOLS</v>
      </c>
      <c r="E14971" s="38" t="s">
        <v>185</v>
      </c>
      <c r="F14971" s="38" t="s">
        <v>94</v>
      </c>
      <c r="G14971" s="49" t="str">
        <f t="shared" si="1"/>
        <v>46090</v>
      </c>
      <c r="H14971" s="49">
        <f t="shared" si="2"/>
        <v>46010</v>
      </c>
    </row>
    <row r="14972">
      <c r="A14972" s="48" t="s">
        <v>2989</v>
      </c>
      <c r="B14972" s="38">
        <v>70519.0</v>
      </c>
      <c r="C14972" s="38" t="s">
        <v>19322</v>
      </c>
      <c r="D14972" s="38" t="str">
        <f>IFERROR(__xludf.DUMMYFUNCTION("REGEXREPLACE(C14972,""-\d+(.*)|--\d+(.*)"","""")"),"VANDELANS")</f>
        <v>VANDELANS</v>
      </c>
      <c r="E14972" s="38" t="s">
        <v>956</v>
      </c>
      <c r="F14972" s="38" t="s">
        <v>214</v>
      </c>
      <c r="G14972" s="49" t="str">
        <f t="shared" si="1"/>
        <v>70190</v>
      </c>
      <c r="H14972" s="49">
        <f t="shared" si="2"/>
        <v>70519</v>
      </c>
    </row>
    <row r="14973">
      <c r="A14973" s="48" t="s">
        <v>7057</v>
      </c>
      <c r="B14973" s="38">
        <v>18229.0</v>
      </c>
      <c r="C14973" s="38" t="s">
        <v>5908</v>
      </c>
      <c r="D14973" s="38" t="str">
        <f>IFERROR(__xludf.DUMMYFUNCTION("REGEXREPLACE(C14973,""-\d+(.*)|--\d+(.*)"","""")"),"SAINT-PALAIS")</f>
        <v>SAINT-PALAIS</v>
      </c>
      <c r="E14973" s="38" t="s">
        <v>504</v>
      </c>
      <c r="F14973" s="38" t="s">
        <v>123</v>
      </c>
      <c r="G14973" s="49" t="str">
        <f t="shared" si="1"/>
        <v>18110</v>
      </c>
      <c r="H14973" s="49">
        <f t="shared" si="2"/>
        <v>18229</v>
      </c>
    </row>
    <row r="14974">
      <c r="A14974" s="48" t="s">
        <v>10765</v>
      </c>
      <c r="B14974" s="38">
        <v>36223.0</v>
      </c>
      <c r="C14974" s="38" t="s">
        <v>5504</v>
      </c>
      <c r="D14974" s="38" t="str">
        <f>IFERROR(__xludf.DUMMYFUNCTION("REGEXREPLACE(C14974,""-\d+(.*)|--\d+(.*)"","""")"),"TILLY")</f>
        <v>TILLY</v>
      </c>
      <c r="E14974" s="38" t="s">
        <v>258</v>
      </c>
      <c r="F14974" s="38" t="s">
        <v>123</v>
      </c>
      <c r="G14974" s="49" t="str">
        <f t="shared" si="1"/>
        <v>36310</v>
      </c>
      <c r="H14974" s="49">
        <f t="shared" si="2"/>
        <v>36223</v>
      </c>
    </row>
    <row r="14975">
      <c r="A14975" s="48" t="s">
        <v>16634</v>
      </c>
      <c r="B14975" s="38">
        <v>17036.0</v>
      </c>
      <c r="C14975" s="38" t="s">
        <v>19323</v>
      </c>
      <c r="D14975" s="38" t="str">
        <f>IFERROR(__xludf.DUMMYFUNCTION("REGEXREPLACE(C14975,""-\d+(.*)|--\d+(.*)"","""")"),"BEAUGEAY")</f>
        <v>BEAUGEAY</v>
      </c>
      <c r="E14975" s="38" t="s">
        <v>488</v>
      </c>
      <c r="F14975" s="38" t="s">
        <v>338</v>
      </c>
      <c r="G14975" s="49" t="str">
        <f t="shared" si="1"/>
        <v>17620</v>
      </c>
      <c r="H14975" s="49">
        <f t="shared" si="2"/>
        <v>17036</v>
      </c>
    </row>
    <row r="14976">
      <c r="A14976" s="48" t="s">
        <v>14636</v>
      </c>
      <c r="B14976" s="38">
        <v>38076.0</v>
      </c>
      <c r="C14976" s="38" t="s">
        <v>19324</v>
      </c>
      <c r="D14976" s="38" t="str">
        <f>IFERROR(__xludf.DUMMYFUNCTION("REGEXREPLACE(C14976,""-\d+(.*)|--\d+(.*)"","""")"),"LA CHAPELLE-DE-LA-TOUR")</f>
        <v>LA CHAPELLE-DE-LA-TOUR</v>
      </c>
      <c r="E14976" s="38" t="s">
        <v>101</v>
      </c>
      <c r="F14976" s="38" t="s">
        <v>102</v>
      </c>
      <c r="G14976" s="49" t="str">
        <f t="shared" si="1"/>
        <v>38110</v>
      </c>
      <c r="H14976" s="49">
        <f t="shared" si="2"/>
        <v>38076</v>
      </c>
    </row>
    <row r="14977">
      <c r="A14977" s="48" t="s">
        <v>19325</v>
      </c>
      <c r="B14977" s="38" t="s">
        <v>19326</v>
      </c>
      <c r="C14977" s="38" t="s">
        <v>19327</v>
      </c>
      <c r="D14977" s="38" t="str">
        <f>IFERROR(__xludf.DUMMYFUNCTION("REGEXREPLACE(C14977,""-\d+(.*)|--\d+(.*)"","""")"),"ROGLIANO")</f>
        <v>ROGLIANO</v>
      </c>
      <c r="E14977" s="38" t="s">
        <v>743</v>
      </c>
      <c r="F14977" s="38" t="s">
        <v>607</v>
      </c>
      <c r="G14977" s="49" t="str">
        <f t="shared" si="1"/>
        <v>20247</v>
      </c>
      <c r="H14977" s="49" t="str">
        <f t="shared" si="2"/>
        <v>2B261</v>
      </c>
    </row>
    <row r="14978">
      <c r="A14978" s="48" t="s">
        <v>3212</v>
      </c>
      <c r="B14978" s="38">
        <v>64244.0</v>
      </c>
      <c r="C14978" s="38" t="s">
        <v>19328</v>
      </c>
      <c r="D14978" s="38" t="str">
        <f>IFERROR(__xludf.DUMMYFUNCTION("REGEXREPLACE(C14978,""-\d+(.*)|--\d+(.*)"","""")"),"GEUS-D'OLORON")</f>
        <v>GEUS-D'OLORON</v>
      </c>
      <c r="E14978" s="38" t="s">
        <v>268</v>
      </c>
      <c r="F14978" s="38" t="s">
        <v>252</v>
      </c>
      <c r="G14978" s="49" t="str">
        <f t="shared" si="1"/>
        <v>64400</v>
      </c>
      <c r="H14978" s="49">
        <f t="shared" si="2"/>
        <v>64244</v>
      </c>
    </row>
    <row r="14979">
      <c r="A14979" s="48" t="s">
        <v>8137</v>
      </c>
      <c r="B14979" s="38">
        <v>62241.0</v>
      </c>
      <c r="C14979" s="38" t="s">
        <v>19329</v>
      </c>
      <c r="D14979" s="38" t="str">
        <f>IFERROR(__xludf.DUMMYFUNCTION("REGEXREPLACE(C14979,""-\d+(.*)|--\d+(.*)"","""")"),"CORMONT")</f>
        <v>CORMONT</v>
      </c>
      <c r="E14979" s="38" t="s">
        <v>109</v>
      </c>
      <c r="F14979" s="38" t="s">
        <v>86</v>
      </c>
      <c r="G14979" s="49" t="str">
        <f t="shared" si="1"/>
        <v>62630</v>
      </c>
      <c r="H14979" s="49">
        <f t="shared" si="2"/>
        <v>62241</v>
      </c>
    </row>
    <row r="14980">
      <c r="A14980" s="48" t="s">
        <v>19330</v>
      </c>
      <c r="B14980" s="38">
        <v>44143.0</v>
      </c>
      <c r="C14980" s="38" t="s">
        <v>19331</v>
      </c>
      <c r="D14980" s="38" t="str">
        <f>IFERROR(__xludf.DUMMYFUNCTION("REGEXREPLACE(C14980,""-\d+(.*)|--\d+(.*)"","""")"),"REZE")</f>
        <v>REZE</v>
      </c>
      <c r="E14980" s="38" t="s">
        <v>759</v>
      </c>
      <c r="F14980" s="38" t="s">
        <v>180</v>
      </c>
      <c r="G14980" s="49" t="str">
        <f t="shared" si="1"/>
        <v>44400</v>
      </c>
      <c r="H14980" s="49">
        <f t="shared" si="2"/>
        <v>44143</v>
      </c>
    </row>
    <row r="14981">
      <c r="A14981" s="48" t="s">
        <v>2457</v>
      </c>
      <c r="B14981" s="38">
        <v>17213.0</v>
      </c>
      <c r="C14981" s="38" t="s">
        <v>19332</v>
      </c>
      <c r="D14981" s="38" t="str">
        <f>IFERROR(__xludf.DUMMYFUNCTION("REGEXREPLACE(C14981,""-\d+(.*)|--\d+(.*)"","""")"),"LOZAY")</f>
        <v>LOZAY</v>
      </c>
      <c r="E14981" s="38" t="s">
        <v>488</v>
      </c>
      <c r="F14981" s="38" t="s">
        <v>338</v>
      </c>
      <c r="G14981" s="49" t="str">
        <f t="shared" si="1"/>
        <v>17330</v>
      </c>
      <c r="H14981" s="49">
        <f t="shared" si="2"/>
        <v>17213</v>
      </c>
    </row>
    <row r="14982">
      <c r="A14982" s="48" t="s">
        <v>9526</v>
      </c>
      <c r="B14982" s="38">
        <v>23209.0</v>
      </c>
      <c r="C14982" s="38" t="s">
        <v>1320</v>
      </c>
      <c r="D14982" s="38" t="str">
        <f>IFERROR(__xludf.DUMMYFUNCTION("REGEXREPLACE(C14982,""-\d+(.*)|--\d+(.*)"","""")"),"SAINT-LOUP")</f>
        <v>SAINT-LOUP</v>
      </c>
      <c r="E14982" s="38" t="s">
        <v>97</v>
      </c>
      <c r="F14982" s="38" t="s">
        <v>98</v>
      </c>
      <c r="G14982" s="49" t="str">
        <f t="shared" si="1"/>
        <v>23130</v>
      </c>
      <c r="H14982" s="49">
        <f t="shared" si="2"/>
        <v>23209</v>
      </c>
    </row>
    <row r="14983">
      <c r="A14983" s="48" t="s">
        <v>19333</v>
      </c>
      <c r="B14983" s="38">
        <v>77217.0</v>
      </c>
      <c r="C14983" s="38" t="s">
        <v>19334</v>
      </c>
      <c r="D14983" s="38" t="str">
        <f>IFERROR(__xludf.DUMMYFUNCTION("REGEXREPLACE(C14983,""-\d+(.*)|--\d+(.*)"","""")"),"GRISY-SUISNES")</f>
        <v>GRISY-SUISNES</v>
      </c>
      <c r="E14983" s="38" t="s">
        <v>244</v>
      </c>
      <c r="F14983" s="38" t="s">
        <v>245</v>
      </c>
      <c r="G14983" s="49" t="str">
        <f t="shared" si="1"/>
        <v>77166</v>
      </c>
      <c r="H14983" s="49">
        <f t="shared" si="2"/>
        <v>77217</v>
      </c>
    </row>
    <row r="14984">
      <c r="A14984" s="48" t="s">
        <v>348</v>
      </c>
      <c r="B14984" s="38">
        <v>69093.0</v>
      </c>
      <c r="C14984" s="38" t="s">
        <v>19335</v>
      </c>
      <c r="D14984" s="38" t="str">
        <f>IFERROR(__xludf.DUMMYFUNCTION("REGEXREPLACE(C14984,""-\d+(.*)|--\d+(.*)"","""")"),"GRANDRIS")</f>
        <v>GRANDRIS</v>
      </c>
      <c r="E14984" s="38" t="s">
        <v>350</v>
      </c>
      <c r="F14984" s="38" t="s">
        <v>102</v>
      </c>
      <c r="G14984" s="49" t="str">
        <f t="shared" si="1"/>
        <v>69870</v>
      </c>
      <c r="H14984" s="49">
        <f t="shared" si="2"/>
        <v>69093</v>
      </c>
    </row>
    <row r="14985">
      <c r="A14985" s="48" t="s">
        <v>3448</v>
      </c>
      <c r="B14985" s="38">
        <v>65113.0</v>
      </c>
      <c r="C14985" s="38" t="s">
        <v>19336</v>
      </c>
      <c r="D14985" s="38" t="str">
        <f>IFERROR(__xludf.DUMMYFUNCTION("REGEXREPLACE(C14985,""-\d+(.*)|--\d+(.*)"","""")"),"BURG")</f>
        <v>BURG</v>
      </c>
      <c r="E14985" s="38" t="s">
        <v>200</v>
      </c>
      <c r="F14985" s="38" t="s">
        <v>94</v>
      </c>
      <c r="G14985" s="49" t="str">
        <f t="shared" si="1"/>
        <v>65190</v>
      </c>
      <c r="H14985" s="49">
        <f t="shared" si="2"/>
        <v>65113</v>
      </c>
    </row>
    <row r="14986">
      <c r="A14986" s="48" t="s">
        <v>1514</v>
      </c>
      <c r="B14986" s="38">
        <v>70187.0</v>
      </c>
      <c r="C14986" s="38" t="s">
        <v>19337</v>
      </c>
      <c r="D14986" s="38" t="str">
        <f>IFERROR(__xludf.DUMMYFUNCTION("REGEXREPLACE(C14986,""-\d+(.*)|--\d+(.*)"","""")"),"CREVANS-ET-LA-CHAPELLE-LES-GRANGES")</f>
        <v>CREVANS-ET-LA-CHAPELLE-LES-GRANGES</v>
      </c>
      <c r="E14986" s="38" t="s">
        <v>956</v>
      </c>
      <c r="F14986" s="38" t="s">
        <v>214</v>
      </c>
      <c r="G14986" s="49" t="str">
        <f t="shared" si="1"/>
        <v>70400</v>
      </c>
      <c r="H14986" s="49">
        <f t="shared" si="2"/>
        <v>70187</v>
      </c>
    </row>
    <row r="14987">
      <c r="A14987" s="48" t="s">
        <v>19338</v>
      </c>
      <c r="B14987" s="38">
        <v>97404.0</v>
      </c>
      <c r="C14987" s="38" t="s">
        <v>19339</v>
      </c>
      <c r="D14987" s="38" t="str">
        <f>IFERROR(__xludf.DUMMYFUNCTION("REGEXREPLACE(C14987,""-\d+(.*)|--\d+(.*)"","""")"),"L'ETANG-SALE")</f>
        <v>L'ETANG-SALE</v>
      </c>
      <c r="E14987" s="38" t="s">
        <v>7739</v>
      </c>
      <c r="F14987" s="38" t="s">
        <v>7739</v>
      </c>
      <c r="G14987" s="49" t="str">
        <f t="shared" si="1"/>
        <v>97427</v>
      </c>
      <c r="H14987" s="49">
        <f t="shared" si="2"/>
        <v>97404</v>
      </c>
    </row>
    <row r="14988">
      <c r="A14988" s="48" t="s">
        <v>110</v>
      </c>
      <c r="B14988" s="38">
        <v>60645.0</v>
      </c>
      <c r="C14988" s="38" t="s">
        <v>19340</v>
      </c>
      <c r="D14988" s="38" t="str">
        <f>IFERROR(__xludf.DUMMYFUNCTION("REGEXREPLACE(C14988,""-\d+(.*)|--\d+(.*)"","""")"),"TRIE-LA-VILLE")</f>
        <v>TRIE-LA-VILLE</v>
      </c>
      <c r="E14988" s="38" t="s">
        <v>112</v>
      </c>
      <c r="F14988" s="38" t="s">
        <v>113</v>
      </c>
      <c r="G14988" s="49" t="str">
        <f t="shared" si="1"/>
        <v>60590</v>
      </c>
      <c r="H14988" s="49">
        <f t="shared" si="2"/>
        <v>60645</v>
      </c>
    </row>
    <row r="14989">
      <c r="A14989" s="48" t="s">
        <v>5479</v>
      </c>
      <c r="B14989" s="38">
        <v>67200.0</v>
      </c>
      <c r="C14989" s="38" t="s">
        <v>19341</v>
      </c>
      <c r="D14989" s="38" t="str">
        <f>IFERROR(__xludf.DUMMYFUNCTION("REGEXREPLACE(C14989,""-\d+(.*)|--\d+(.*)"","""")"),"HIPSHEIM")</f>
        <v>HIPSHEIM</v>
      </c>
      <c r="E14989" s="38" t="s">
        <v>210</v>
      </c>
      <c r="F14989" s="38" t="s">
        <v>151</v>
      </c>
      <c r="G14989" s="49" t="str">
        <f t="shared" si="1"/>
        <v>67150</v>
      </c>
      <c r="H14989" s="49">
        <f t="shared" si="2"/>
        <v>67200</v>
      </c>
    </row>
    <row r="14990">
      <c r="A14990" s="48" t="s">
        <v>11498</v>
      </c>
      <c r="B14990" s="38">
        <v>26061.0</v>
      </c>
      <c r="C14990" s="38" t="s">
        <v>19342</v>
      </c>
      <c r="D14990" s="38" t="str">
        <f>IFERROR(__xludf.DUMMYFUNCTION("REGEXREPLACE(C14990,""-\d+(.*)|--\d+(.*)"","""")"),"BREN")</f>
        <v>BREN</v>
      </c>
      <c r="E14990" s="38" t="s">
        <v>126</v>
      </c>
      <c r="F14990" s="38" t="s">
        <v>102</v>
      </c>
      <c r="G14990" s="49" t="str">
        <f t="shared" si="1"/>
        <v>26260</v>
      </c>
      <c r="H14990" s="49">
        <f t="shared" si="2"/>
        <v>26061</v>
      </c>
    </row>
    <row r="14991">
      <c r="A14991" s="48" t="s">
        <v>511</v>
      </c>
      <c r="B14991" s="38">
        <v>77129.0</v>
      </c>
      <c r="C14991" s="38" t="s">
        <v>19343</v>
      </c>
      <c r="D14991" s="38" t="str">
        <f>IFERROR(__xludf.DUMMYFUNCTION("REGEXREPLACE(C14991,""-\d+(.*)|--\d+(.*)"","""")"),"COULOMBS-EN-VALOIS")</f>
        <v>COULOMBS-EN-VALOIS</v>
      </c>
      <c r="E14991" s="38" t="s">
        <v>244</v>
      </c>
      <c r="F14991" s="38" t="s">
        <v>245</v>
      </c>
      <c r="G14991" s="49" t="str">
        <f t="shared" si="1"/>
        <v>77840</v>
      </c>
      <c r="H14991" s="49">
        <f t="shared" si="2"/>
        <v>77129</v>
      </c>
    </row>
    <row r="14992">
      <c r="A14992" s="48" t="s">
        <v>1220</v>
      </c>
      <c r="B14992" s="38">
        <v>76530.0</v>
      </c>
      <c r="C14992" s="38" t="s">
        <v>19344</v>
      </c>
      <c r="D14992" s="38" t="str">
        <f>IFERROR(__xludf.DUMMYFUNCTION("REGEXREPLACE(C14992,""-\d+(.*)|--\d+(.*)"","""")"),"ROBERTOT")</f>
        <v>ROBERTOT</v>
      </c>
      <c r="E14992" s="38" t="s">
        <v>133</v>
      </c>
      <c r="F14992" s="38" t="s">
        <v>134</v>
      </c>
      <c r="G14992" s="49" t="str">
        <f t="shared" si="1"/>
        <v>76560</v>
      </c>
      <c r="H14992" s="49">
        <f t="shared" si="2"/>
        <v>76530</v>
      </c>
    </row>
    <row r="14993">
      <c r="A14993" s="48" t="s">
        <v>846</v>
      </c>
      <c r="B14993" s="38">
        <v>44127.0</v>
      </c>
      <c r="C14993" s="38" t="s">
        <v>19345</v>
      </c>
      <c r="D14993" s="38" t="str">
        <f>IFERROR(__xludf.DUMMYFUNCTION("REGEXREPLACE(C14993,""-\d+(.*)|--\d+(.*)"","""")"),"LA PLANCHE")</f>
        <v>LA PLANCHE</v>
      </c>
      <c r="E14993" s="38" t="s">
        <v>759</v>
      </c>
      <c r="F14993" s="38" t="s">
        <v>180</v>
      </c>
      <c r="G14993" s="49" t="str">
        <f t="shared" si="1"/>
        <v>44140</v>
      </c>
      <c r="H14993" s="49">
        <f t="shared" si="2"/>
        <v>44127</v>
      </c>
    </row>
    <row r="14994">
      <c r="A14994" s="48" t="s">
        <v>2800</v>
      </c>
      <c r="B14994" s="38">
        <v>77387.0</v>
      </c>
      <c r="C14994" s="38" t="s">
        <v>19346</v>
      </c>
      <c r="D14994" s="38" t="str">
        <f>IFERROR(__xludf.DUMMYFUNCTION("REGEXREPLACE(C14994,""-\d+(.*)|--\d+(.*)"","""")"),"REMAUVILLE")</f>
        <v>REMAUVILLE</v>
      </c>
      <c r="E14994" s="38" t="s">
        <v>244</v>
      </c>
      <c r="F14994" s="38" t="s">
        <v>245</v>
      </c>
      <c r="G14994" s="49" t="str">
        <f t="shared" si="1"/>
        <v>77710</v>
      </c>
      <c r="H14994" s="49">
        <f t="shared" si="2"/>
        <v>77387</v>
      </c>
    </row>
    <row r="14995">
      <c r="A14995" s="48" t="s">
        <v>877</v>
      </c>
      <c r="B14995" s="38">
        <v>57535.0</v>
      </c>
      <c r="C14995" s="38" t="s">
        <v>19347</v>
      </c>
      <c r="D14995" s="38" t="str">
        <f>IFERROR(__xludf.DUMMYFUNCTION("REGEXREPLACE(C14995,""-\d+(.*)|--\d+(.*)"","""")"),"PETIT-REDERCHING")</f>
        <v>PETIT-REDERCHING</v>
      </c>
      <c r="E14995" s="38" t="s">
        <v>303</v>
      </c>
      <c r="F14995" s="38" t="s">
        <v>195</v>
      </c>
      <c r="G14995" s="49" t="str">
        <f t="shared" si="1"/>
        <v>57410</v>
      </c>
      <c r="H14995" s="49">
        <f t="shared" si="2"/>
        <v>57535</v>
      </c>
    </row>
    <row r="14996">
      <c r="A14996" s="48" t="s">
        <v>2540</v>
      </c>
      <c r="B14996" s="38">
        <v>2168.0</v>
      </c>
      <c r="C14996" s="38" t="s">
        <v>19348</v>
      </c>
      <c r="D14996" s="38" t="str">
        <f>IFERROR(__xludf.DUMMYFUNCTION("REGEXREPLACE(C14996,""-\d+(.*)|--\d+(.*)"","""")"),"CHATEAU-THIERRY")</f>
        <v>CHATEAU-THIERRY</v>
      </c>
      <c r="E14996" s="38" t="s">
        <v>191</v>
      </c>
      <c r="F14996" s="38" t="s">
        <v>113</v>
      </c>
      <c r="G14996" s="49" t="str">
        <f t="shared" si="1"/>
        <v>02400</v>
      </c>
      <c r="H14996" s="49" t="str">
        <f t="shared" si="2"/>
        <v>02168</v>
      </c>
    </row>
    <row r="14997">
      <c r="A14997" s="48" t="s">
        <v>715</v>
      </c>
      <c r="B14997" s="38">
        <v>88092.0</v>
      </c>
      <c r="C14997" s="38" t="s">
        <v>19349</v>
      </c>
      <c r="D14997" s="38" t="str">
        <f>IFERROR(__xludf.DUMMYFUNCTION("REGEXREPLACE(C14997,""-\d+(.*)|--\d+(.*)"","""")"),"CHARMOIS-L'ORGUEILLEUX")</f>
        <v>CHARMOIS-L'ORGUEILLEUX</v>
      </c>
      <c r="E14997" s="38" t="s">
        <v>194</v>
      </c>
      <c r="F14997" s="38" t="s">
        <v>195</v>
      </c>
      <c r="G14997" s="49" t="str">
        <f t="shared" si="1"/>
        <v>88270</v>
      </c>
      <c r="H14997" s="49">
        <f t="shared" si="2"/>
        <v>88092</v>
      </c>
    </row>
    <row r="14998">
      <c r="A14998" s="48" t="s">
        <v>2204</v>
      </c>
      <c r="B14998" s="38">
        <v>42056.0</v>
      </c>
      <c r="C14998" s="38" t="s">
        <v>19350</v>
      </c>
      <c r="D14998" s="38" t="str">
        <f>IFERROR(__xludf.DUMMYFUNCTION("REGEXREPLACE(C14998,""-\d+(.*)|--\d+(.*)"","""")"),"CHAVANAY")</f>
        <v>CHAVANAY</v>
      </c>
      <c r="E14998" s="38" t="s">
        <v>166</v>
      </c>
      <c r="F14998" s="38" t="s">
        <v>102</v>
      </c>
      <c r="G14998" s="49" t="str">
        <f t="shared" si="1"/>
        <v>42410</v>
      </c>
      <c r="H14998" s="49">
        <f t="shared" si="2"/>
        <v>42056</v>
      </c>
    </row>
    <row r="14999">
      <c r="A14999" s="48" t="s">
        <v>1368</v>
      </c>
      <c r="B14999" s="38">
        <v>8453.0</v>
      </c>
      <c r="C14999" s="38" t="s">
        <v>19351</v>
      </c>
      <c r="D14999" s="38" t="str">
        <f>IFERROR(__xludf.DUMMYFUNCTION("REGEXREPLACE(C14999,""-\d+(.*)|--\d+(.*)"","""")"),"TOGES")</f>
        <v>TOGES</v>
      </c>
      <c r="E14999" s="38" t="s">
        <v>327</v>
      </c>
      <c r="F14999" s="38" t="s">
        <v>130</v>
      </c>
      <c r="G14999" s="49" t="str">
        <f t="shared" si="1"/>
        <v>08400</v>
      </c>
      <c r="H14999" s="49" t="str">
        <f t="shared" si="2"/>
        <v>08453</v>
      </c>
    </row>
    <row r="15000">
      <c r="A15000" s="48" t="s">
        <v>7712</v>
      </c>
      <c r="B15000" s="38">
        <v>9066.0</v>
      </c>
      <c r="C15000" s="38" t="s">
        <v>19352</v>
      </c>
      <c r="D15000" s="38" t="str">
        <f>IFERROR(__xludf.DUMMYFUNCTION("REGEXREPLACE(C15000,""-\d+(.*)|--\d+(.*)"","""")"),"BRASSAC")</f>
        <v>BRASSAC</v>
      </c>
      <c r="E15000" s="38" t="s">
        <v>238</v>
      </c>
      <c r="F15000" s="38" t="s">
        <v>94</v>
      </c>
      <c r="G15000" s="49" t="str">
        <f t="shared" si="1"/>
        <v>09000</v>
      </c>
      <c r="H15000" s="49" t="str">
        <f t="shared" si="2"/>
        <v>09066</v>
      </c>
    </row>
    <row r="15001">
      <c r="A15001" s="48" t="s">
        <v>198</v>
      </c>
      <c r="B15001" s="38">
        <v>65462.0</v>
      </c>
      <c r="C15001" s="38" t="s">
        <v>19353</v>
      </c>
      <c r="D15001" s="38" t="str">
        <f>IFERROR(__xludf.DUMMYFUNCTION("REGEXREPLACE(C15001,""-\d+(.*)|--\d+(.*)"","""")"),"VIDOUZE")</f>
        <v>VIDOUZE</v>
      </c>
      <c r="E15001" s="38" t="s">
        <v>200</v>
      </c>
      <c r="F15001" s="38" t="s">
        <v>94</v>
      </c>
      <c r="G15001" s="49" t="str">
        <f t="shared" si="1"/>
        <v>65700</v>
      </c>
      <c r="H15001" s="49">
        <f t="shared" si="2"/>
        <v>65462</v>
      </c>
    </row>
    <row r="15002">
      <c r="A15002" s="48" t="s">
        <v>3351</v>
      </c>
      <c r="B15002" s="38">
        <v>69023.0</v>
      </c>
      <c r="C15002" s="38" t="s">
        <v>19354</v>
      </c>
      <c r="D15002" s="38" t="str">
        <f>IFERROR(__xludf.DUMMYFUNCTION("REGEXREPLACE(C15002,""-\d+(.*)|--\d+(.*)"","""")"),"BLACE")</f>
        <v>BLACE</v>
      </c>
      <c r="E15002" s="38" t="s">
        <v>350</v>
      </c>
      <c r="F15002" s="38" t="s">
        <v>102</v>
      </c>
      <c r="G15002" s="49" t="str">
        <f t="shared" si="1"/>
        <v>69460</v>
      </c>
      <c r="H15002" s="49">
        <f t="shared" si="2"/>
        <v>69023</v>
      </c>
    </row>
    <row r="15003">
      <c r="A15003" s="48" t="s">
        <v>14679</v>
      </c>
      <c r="B15003" s="38">
        <v>73105.0</v>
      </c>
      <c r="C15003" s="38" t="s">
        <v>19355</v>
      </c>
      <c r="D15003" s="38" t="str">
        <f>IFERROR(__xludf.DUMMYFUNCTION("REGEXREPLACE(C15003,""-\d+(.*)|--\d+(.*)"","""")"),"LES ECHELLES")</f>
        <v>LES ECHELLES</v>
      </c>
      <c r="E15003" s="38" t="s">
        <v>306</v>
      </c>
      <c r="F15003" s="38" t="s">
        <v>102</v>
      </c>
      <c r="G15003" s="49" t="str">
        <f t="shared" si="1"/>
        <v>73360</v>
      </c>
      <c r="H15003" s="49">
        <f t="shared" si="2"/>
        <v>73105</v>
      </c>
    </row>
    <row r="15004">
      <c r="A15004" s="48" t="s">
        <v>5423</v>
      </c>
      <c r="B15004" s="38">
        <v>31478.0</v>
      </c>
      <c r="C15004" s="38" t="s">
        <v>19356</v>
      </c>
      <c r="D15004" s="38" t="str">
        <f>IFERROR(__xludf.DUMMYFUNCTION("REGEXREPLACE(C15004,""-\d+(.*)|--\d+(.*)"","""")"),"SAINT-FELIX-LAURAGAIS")</f>
        <v>SAINT-FELIX-LAURAGAIS</v>
      </c>
      <c r="E15004" s="38" t="s">
        <v>93</v>
      </c>
      <c r="F15004" s="38" t="s">
        <v>94</v>
      </c>
      <c r="G15004" s="49" t="str">
        <f t="shared" si="1"/>
        <v>31540</v>
      </c>
      <c r="H15004" s="49">
        <f t="shared" si="2"/>
        <v>31478</v>
      </c>
    </row>
    <row r="15005">
      <c r="A15005" s="48" t="s">
        <v>4709</v>
      </c>
      <c r="B15005" s="38">
        <v>95270.0</v>
      </c>
      <c r="C15005" s="38" t="s">
        <v>19357</v>
      </c>
      <c r="D15005" s="38" t="str">
        <f>IFERROR(__xludf.DUMMYFUNCTION("REGEXREPLACE(C15005,""-\d+(.*)|--\d+(.*)"","""")"),"GENAINVILLE")</f>
        <v>GENAINVILLE</v>
      </c>
      <c r="E15005" s="38" t="s">
        <v>541</v>
      </c>
      <c r="F15005" s="38" t="s">
        <v>245</v>
      </c>
      <c r="G15005" s="49" t="str">
        <f t="shared" si="1"/>
        <v>95420</v>
      </c>
      <c r="H15005" s="49">
        <f t="shared" si="2"/>
        <v>95270</v>
      </c>
    </row>
    <row r="15006">
      <c r="A15006" s="48" t="s">
        <v>19358</v>
      </c>
      <c r="B15006" s="38">
        <v>67410.0</v>
      </c>
      <c r="C15006" s="38" t="s">
        <v>19359</v>
      </c>
      <c r="D15006" s="38" t="str">
        <f>IFERROR(__xludf.DUMMYFUNCTION("REGEXREPLACE(C15006,""-\d+(.*)|--\d+(.*)"","""")"),"ROSENWILLER")</f>
        <v>ROSENWILLER</v>
      </c>
      <c r="E15006" s="38" t="s">
        <v>210</v>
      </c>
      <c r="F15006" s="38" t="s">
        <v>151</v>
      </c>
      <c r="G15006" s="49" t="str">
        <f t="shared" si="1"/>
        <v>67560</v>
      </c>
      <c r="H15006" s="49">
        <f t="shared" si="2"/>
        <v>67410</v>
      </c>
    </row>
    <row r="15007">
      <c r="A15007" s="48" t="s">
        <v>2631</v>
      </c>
      <c r="B15007" s="38">
        <v>64341.0</v>
      </c>
      <c r="C15007" s="38" t="s">
        <v>19360</v>
      </c>
      <c r="D15007" s="38" t="str">
        <f>IFERROR(__xludf.DUMMYFUNCTION("REGEXREPLACE(C15007,""-\d+(.*)|--\d+(.*)"","""")"),"LICHOS")</f>
        <v>LICHOS</v>
      </c>
      <c r="E15007" s="38" t="s">
        <v>268</v>
      </c>
      <c r="F15007" s="38" t="s">
        <v>252</v>
      </c>
      <c r="G15007" s="49" t="str">
        <f t="shared" si="1"/>
        <v>64130</v>
      </c>
      <c r="H15007" s="49">
        <f t="shared" si="2"/>
        <v>64341</v>
      </c>
    </row>
    <row r="15008">
      <c r="A15008" s="48" t="s">
        <v>9679</v>
      </c>
      <c r="B15008" s="38">
        <v>26356.0</v>
      </c>
      <c r="C15008" s="38" t="s">
        <v>19361</v>
      </c>
      <c r="D15008" s="38" t="str">
        <f>IFERROR(__xludf.DUMMYFUNCTION("REGEXREPLACE(C15008,""-\d+(.*)|--\d+(.*)"","""")"),"TRUINAS")</f>
        <v>TRUINAS</v>
      </c>
      <c r="E15008" s="38" t="s">
        <v>126</v>
      </c>
      <c r="F15008" s="38" t="s">
        <v>102</v>
      </c>
      <c r="G15008" s="49" t="str">
        <f t="shared" si="1"/>
        <v>26460</v>
      </c>
      <c r="H15008" s="49">
        <f t="shared" si="2"/>
        <v>26356</v>
      </c>
    </row>
    <row r="15009">
      <c r="A15009" s="48" t="s">
        <v>9623</v>
      </c>
      <c r="B15009" s="38">
        <v>5151.0</v>
      </c>
      <c r="C15009" s="38" t="s">
        <v>19362</v>
      </c>
      <c r="D15009" s="38" t="str">
        <f>IFERROR(__xludf.DUMMYFUNCTION("REGEXREPLACE(C15009,""-\d+(.*)|--\d+(.*)"","""")"),"SAINT-MARTIN-DE-QUEYRIERES")</f>
        <v>SAINT-MARTIN-DE-QUEYRIERES</v>
      </c>
      <c r="E15009" s="38" t="s">
        <v>706</v>
      </c>
      <c r="F15009" s="38" t="s">
        <v>228</v>
      </c>
      <c r="G15009" s="49" t="str">
        <f t="shared" si="1"/>
        <v>05120</v>
      </c>
      <c r="H15009" s="49" t="str">
        <f t="shared" si="2"/>
        <v>05151</v>
      </c>
    </row>
    <row r="15010">
      <c r="A15010" s="48" t="s">
        <v>16641</v>
      </c>
      <c r="B15010" s="38">
        <v>56230.0</v>
      </c>
      <c r="C15010" s="38" t="s">
        <v>19363</v>
      </c>
      <c r="D15010" s="38" t="str">
        <f>IFERROR(__xludf.DUMMYFUNCTION("REGEXREPLACE(C15010,""-\d+(.*)|--\d+(.*)"","""")"),"SAINT-NICOLAS-DU-TERTRE")</f>
        <v>SAINT-NICOLAS-DU-TERTRE</v>
      </c>
      <c r="E15010" s="38" t="s">
        <v>173</v>
      </c>
      <c r="F15010" s="38" t="s">
        <v>90</v>
      </c>
      <c r="G15010" s="49" t="str">
        <f t="shared" si="1"/>
        <v>56910</v>
      </c>
      <c r="H15010" s="49">
        <f t="shared" si="2"/>
        <v>56230</v>
      </c>
    </row>
    <row r="15011">
      <c r="A15011" s="48" t="s">
        <v>4506</v>
      </c>
      <c r="B15011" s="38">
        <v>7035.0</v>
      </c>
      <c r="C15011" s="38" t="s">
        <v>19364</v>
      </c>
      <c r="D15011" s="38" t="str">
        <f>IFERROR(__xludf.DUMMYFUNCTION("REGEXREPLACE(C15011,""-\d+(.*)|--\d+(.*)"","""")"),"BOFFRES")</f>
        <v>BOFFRES</v>
      </c>
      <c r="E15011" s="38" t="s">
        <v>144</v>
      </c>
      <c r="F15011" s="38" t="s">
        <v>102</v>
      </c>
      <c r="G15011" s="49" t="str">
        <f t="shared" si="1"/>
        <v>07440</v>
      </c>
      <c r="H15011" s="49" t="str">
        <f t="shared" si="2"/>
        <v>07035</v>
      </c>
    </row>
    <row r="15012">
      <c r="A15012" s="48" t="s">
        <v>7756</v>
      </c>
      <c r="B15012" s="38">
        <v>27373.0</v>
      </c>
      <c r="C15012" s="38" t="s">
        <v>19365</v>
      </c>
      <c r="D15012" s="38" t="str">
        <f>IFERROR(__xludf.DUMMYFUNCTION("REGEXREPLACE(C15012,""-\d+(.*)|--\d+(.*)"","""")"),"LORLEAU")</f>
        <v>LORLEAU</v>
      </c>
      <c r="E15012" s="38" t="s">
        <v>241</v>
      </c>
      <c r="F15012" s="38" t="s">
        <v>134</v>
      </c>
      <c r="G15012" s="49" t="str">
        <f t="shared" si="1"/>
        <v>27480</v>
      </c>
      <c r="H15012" s="49">
        <f t="shared" si="2"/>
        <v>27373</v>
      </c>
    </row>
    <row r="15013">
      <c r="A15013" s="48" t="s">
        <v>1208</v>
      </c>
      <c r="B15013" s="38">
        <v>32378.0</v>
      </c>
      <c r="C15013" s="38" t="s">
        <v>19366</v>
      </c>
      <c r="D15013" s="38" t="str">
        <f>IFERROR(__xludf.DUMMYFUNCTION("REGEXREPLACE(C15013,""-\d+(.*)|--\d+(.*)"","""")"),"SAINT-GERME")</f>
        <v>SAINT-GERME</v>
      </c>
      <c r="E15013" s="38" t="s">
        <v>440</v>
      </c>
      <c r="F15013" s="38" t="s">
        <v>94</v>
      </c>
      <c r="G15013" s="49" t="str">
        <f t="shared" si="1"/>
        <v>32400</v>
      </c>
      <c r="H15013" s="49">
        <f t="shared" si="2"/>
        <v>32378</v>
      </c>
    </row>
    <row r="15014">
      <c r="A15014" s="48" t="s">
        <v>19367</v>
      </c>
      <c r="B15014" s="38" t="s">
        <v>19368</v>
      </c>
      <c r="C15014" s="38" t="s">
        <v>19369</v>
      </c>
      <c r="D15014" s="38" t="str">
        <f>IFERROR(__xludf.DUMMYFUNCTION("REGEXREPLACE(C15014,""-\d+(.*)|--\d+(.*)"","""")"),"ASCO")</f>
        <v>ASCO</v>
      </c>
      <c r="E15014" s="38" t="s">
        <v>743</v>
      </c>
      <c r="F15014" s="38" t="s">
        <v>607</v>
      </c>
      <c r="G15014" s="49" t="str">
        <f t="shared" si="1"/>
        <v>20276</v>
      </c>
      <c r="H15014" s="49" t="str">
        <f t="shared" si="2"/>
        <v>2B023</v>
      </c>
    </row>
    <row r="15015">
      <c r="A15015" s="48" t="s">
        <v>3743</v>
      </c>
      <c r="B15015" s="38">
        <v>27316.0</v>
      </c>
      <c r="C15015" s="38" t="s">
        <v>19370</v>
      </c>
      <c r="D15015" s="38" t="str">
        <f>IFERROR(__xludf.DUMMYFUNCTION("REGEXREPLACE(C15015,""-\d+(.*)|--\d+(.*)"","""")"),"HAUVILLE")</f>
        <v>HAUVILLE</v>
      </c>
      <c r="E15015" s="38" t="s">
        <v>241</v>
      </c>
      <c r="F15015" s="38" t="s">
        <v>134</v>
      </c>
      <c r="G15015" s="49" t="str">
        <f t="shared" si="1"/>
        <v>27350</v>
      </c>
      <c r="H15015" s="49">
        <f t="shared" si="2"/>
        <v>27316</v>
      </c>
    </row>
    <row r="15016">
      <c r="A15016" s="48" t="s">
        <v>11319</v>
      </c>
      <c r="B15016" s="38">
        <v>51173.0</v>
      </c>
      <c r="C15016" s="38" t="s">
        <v>19371</v>
      </c>
      <c r="D15016" s="38" t="str">
        <f>IFERROR(__xludf.DUMMYFUNCTION("REGEXREPLACE(C15016,""-\d+(.*)|--\d+(.*)"","""")"),"CORMOYEUX")</f>
        <v>CORMOYEUX</v>
      </c>
      <c r="E15016" s="38" t="s">
        <v>129</v>
      </c>
      <c r="F15016" s="38" t="s">
        <v>130</v>
      </c>
      <c r="G15016" s="49" t="str">
        <f t="shared" si="1"/>
        <v>51480</v>
      </c>
      <c r="H15016" s="49">
        <f t="shared" si="2"/>
        <v>51173</v>
      </c>
    </row>
    <row r="15017">
      <c r="A15017" s="48" t="s">
        <v>2270</v>
      </c>
      <c r="B15017" s="38">
        <v>32327.0</v>
      </c>
      <c r="C15017" s="38" t="s">
        <v>19372</v>
      </c>
      <c r="D15017" s="38" t="str">
        <f>IFERROR(__xludf.DUMMYFUNCTION("REGEXREPLACE(C15017,""-\d+(.*)|--\d+(.*)"","""")"),"POUY-LOUBRIN")</f>
        <v>POUY-LOUBRIN</v>
      </c>
      <c r="E15017" s="38" t="s">
        <v>440</v>
      </c>
      <c r="F15017" s="38" t="s">
        <v>94</v>
      </c>
      <c r="G15017" s="49" t="str">
        <f t="shared" si="1"/>
        <v>32260</v>
      </c>
      <c r="H15017" s="49">
        <f t="shared" si="2"/>
        <v>32327</v>
      </c>
    </row>
    <row r="15018">
      <c r="A15018" s="48" t="s">
        <v>5028</v>
      </c>
      <c r="B15018" s="38">
        <v>25596.0</v>
      </c>
      <c r="C15018" s="38" t="s">
        <v>19373</v>
      </c>
      <c r="D15018" s="38" t="str">
        <f>IFERROR(__xludf.DUMMYFUNCTION("REGEXREPLACE(C15018,""-\d+(.*)|--\d+(.*)"","""")"),"VELLEROT-LES-VERCEL")</f>
        <v>VELLEROT-LES-VERCEL</v>
      </c>
      <c r="E15018" s="38" t="s">
        <v>213</v>
      </c>
      <c r="F15018" s="38" t="s">
        <v>214</v>
      </c>
      <c r="G15018" s="49" t="str">
        <f t="shared" si="1"/>
        <v>25530</v>
      </c>
      <c r="H15018" s="49">
        <f t="shared" si="2"/>
        <v>25596</v>
      </c>
    </row>
    <row r="15019">
      <c r="A15019" s="48" t="s">
        <v>18596</v>
      </c>
      <c r="B15019" s="38">
        <v>15010.0</v>
      </c>
      <c r="C15019" s="38" t="s">
        <v>13845</v>
      </c>
      <c r="D15019" s="38" t="str">
        <f>IFERROR(__xludf.DUMMYFUNCTION("REGEXREPLACE(C15019,""-\d+(.*)|--\d+(.*)"","""")"),"ARCHES")</f>
        <v>ARCHES</v>
      </c>
      <c r="E15019" s="38" t="s">
        <v>632</v>
      </c>
      <c r="F15019" s="38" t="s">
        <v>161</v>
      </c>
      <c r="G15019" s="49" t="str">
        <f t="shared" si="1"/>
        <v>15200</v>
      </c>
      <c r="H15019" s="49">
        <f t="shared" si="2"/>
        <v>15010</v>
      </c>
    </row>
    <row r="15020">
      <c r="A15020" s="48" t="s">
        <v>19374</v>
      </c>
      <c r="B15020" s="38">
        <v>82002.0</v>
      </c>
      <c r="C15020" s="38" t="s">
        <v>19375</v>
      </c>
      <c r="D15020" s="38" t="str">
        <f>IFERROR(__xludf.DUMMYFUNCTION("REGEXREPLACE(C15020,""-\d+(.*)|--\d+(.*)"","""")"),"ALBIAS")</f>
        <v>ALBIAS</v>
      </c>
      <c r="E15020" s="38" t="s">
        <v>570</v>
      </c>
      <c r="F15020" s="38" t="s">
        <v>94</v>
      </c>
      <c r="G15020" s="49" t="str">
        <f t="shared" si="1"/>
        <v>82350</v>
      </c>
      <c r="H15020" s="49">
        <f t="shared" si="2"/>
        <v>82002</v>
      </c>
    </row>
    <row r="15021">
      <c r="A15021" s="48" t="s">
        <v>13395</v>
      </c>
      <c r="B15021" s="38">
        <v>57764.0</v>
      </c>
      <c r="C15021" s="38" t="s">
        <v>19376</v>
      </c>
      <c r="D15021" s="38" t="str">
        <f>IFERROR(__xludf.DUMMYFUNCTION("REGEXREPLACE(C15021,""-\d+(.*)|--\d+(.*)"","""")"),"ZOUFFTGEN")</f>
        <v>ZOUFFTGEN</v>
      </c>
      <c r="E15021" s="38" t="s">
        <v>303</v>
      </c>
      <c r="F15021" s="38" t="s">
        <v>195</v>
      </c>
      <c r="G15021" s="49" t="str">
        <f t="shared" si="1"/>
        <v>57330</v>
      </c>
      <c r="H15021" s="49">
        <f t="shared" si="2"/>
        <v>57764</v>
      </c>
    </row>
    <row r="15022">
      <c r="A15022" s="48" t="s">
        <v>1681</v>
      </c>
      <c r="B15022" s="38">
        <v>80174.0</v>
      </c>
      <c r="C15022" s="38" t="s">
        <v>19377</v>
      </c>
      <c r="D15022" s="38" t="str">
        <f>IFERROR(__xludf.DUMMYFUNCTION("REGEXREPLACE(C15022,""-\d+(.*)|--\d+(.*)"","""")"),"LE CARDONNOIS")</f>
        <v>LE CARDONNOIS</v>
      </c>
      <c r="E15022" s="38" t="s">
        <v>224</v>
      </c>
      <c r="F15022" s="38" t="s">
        <v>113</v>
      </c>
      <c r="G15022" s="49" t="str">
        <f t="shared" si="1"/>
        <v>80500</v>
      </c>
      <c r="H15022" s="49">
        <f t="shared" si="2"/>
        <v>80174</v>
      </c>
    </row>
    <row r="15023">
      <c r="A15023" s="48" t="s">
        <v>580</v>
      </c>
      <c r="B15023" s="38">
        <v>31394.0</v>
      </c>
      <c r="C15023" s="38" t="s">
        <v>19378</v>
      </c>
      <c r="D15023" s="38" t="str">
        <f>IFERROR(__xludf.DUMMYFUNCTION("REGEXREPLACE(C15023,""-\d+(.*)|--\d+(.*)"","""")"),"MOUSTAJON")</f>
        <v>MOUSTAJON</v>
      </c>
      <c r="E15023" s="38" t="s">
        <v>93</v>
      </c>
      <c r="F15023" s="38" t="s">
        <v>94</v>
      </c>
      <c r="G15023" s="49" t="str">
        <f t="shared" si="1"/>
        <v>31110</v>
      </c>
      <c r="H15023" s="49">
        <f t="shared" si="2"/>
        <v>31394</v>
      </c>
    </row>
    <row r="15024">
      <c r="A15024" s="48" t="s">
        <v>1199</v>
      </c>
      <c r="B15024" s="38">
        <v>55575.0</v>
      </c>
      <c r="C15024" s="38" t="s">
        <v>19379</v>
      </c>
      <c r="D15024" s="38" t="str">
        <f>IFERROR(__xludf.DUMMYFUNCTION("REGEXREPLACE(C15024,""-\d+(.*)|--\d+(.*)"","""")"),"VOUTHON-HAUT")</f>
        <v>VOUTHON-HAUT</v>
      </c>
      <c r="E15024" s="38" t="s">
        <v>322</v>
      </c>
      <c r="F15024" s="38" t="s">
        <v>195</v>
      </c>
      <c r="G15024" s="49" t="str">
        <f t="shared" si="1"/>
        <v>55130</v>
      </c>
      <c r="H15024" s="49">
        <f t="shared" si="2"/>
        <v>55575</v>
      </c>
    </row>
    <row r="15025">
      <c r="A15025" s="48" t="s">
        <v>3733</v>
      </c>
      <c r="B15025" s="38">
        <v>78188.0</v>
      </c>
      <c r="C15025" s="38" t="s">
        <v>19380</v>
      </c>
      <c r="D15025" s="38" t="str">
        <f>IFERROR(__xludf.DUMMYFUNCTION("REGEXREPLACE(C15025,""-\d+(.*)|--\d+(.*)"","""")"),"CRAVENT")</f>
        <v>CRAVENT</v>
      </c>
      <c r="E15025" s="38" t="s">
        <v>362</v>
      </c>
      <c r="F15025" s="38" t="s">
        <v>245</v>
      </c>
      <c r="G15025" s="49" t="str">
        <f t="shared" si="1"/>
        <v>78270</v>
      </c>
      <c r="H15025" s="49">
        <f t="shared" si="2"/>
        <v>78188</v>
      </c>
    </row>
    <row r="15026">
      <c r="A15026" s="48" t="s">
        <v>12491</v>
      </c>
      <c r="B15026" s="38">
        <v>21674.0</v>
      </c>
      <c r="C15026" s="38" t="s">
        <v>19381</v>
      </c>
      <c r="D15026" s="38" t="str">
        <f>IFERROR(__xludf.DUMMYFUNCTION("REGEXREPLACE(C15026,""-\d+(.*)|--\d+(.*)"","""")"),"VEUXHAULLES-SUR-AUBE")</f>
        <v>VEUXHAULLES-SUR-AUBE</v>
      </c>
      <c r="E15026" s="38" t="s">
        <v>105</v>
      </c>
      <c r="F15026" s="38" t="s">
        <v>106</v>
      </c>
      <c r="G15026" s="49" t="str">
        <f t="shared" si="1"/>
        <v>21520</v>
      </c>
      <c r="H15026" s="49">
        <f t="shared" si="2"/>
        <v>21674</v>
      </c>
    </row>
    <row r="15027">
      <c r="A15027" s="48" t="s">
        <v>807</v>
      </c>
      <c r="B15027" s="38">
        <v>68319.0</v>
      </c>
      <c r="C15027" s="38" t="s">
        <v>19382</v>
      </c>
      <c r="D15027" s="38" t="str">
        <f>IFERROR(__xludf.DUMMYFUNCTION("REGEXREPLACE(C15027,""-\d+(.*)|--\d+(.*)"","""")"),"SPECHBACH-LE-BAS")</f>
        <v>SPECHBACH-LE-BAS</v>
      </c>
      <c r="E15027" s="38" t="s">
        <v>150</v>
      </c>
      <c r="F15027" s="38" t="s">
        <v>151</v>
      </c>
      <c r="G15027" s="49" t="str">
        <f t="shared" si="1"/>
        <v>68720</v>
      </c>
      <c r="H15027" s="49">
        <f t="shared" si="2"/>
        <v>68319</v>
      </c>
    </row>
    <row r="15028">
      <c r="A15028" s="48" t="s">
        <v>1315</v>
      </c>
      <c r="B15028" s="38">
        <v>19021.0</v>
      </c>
      <c r="C15028" s="38" t="s">
        <v>19383</v>
      </c>
      <c r="D15028" s="38" t="str">
        <f>IFERROR(__xludf.DUMMYFUNCTION("REGEXREPLACE(C15028,""-\d+(.*)|--\d+(.*)"","""")"),"BELLECHASSAGNE")</f>
        <v>BELLECHASSAGNE</v>
      </c>
      <c r="E15028" s="38" t="s">
        <v>271</v>
      </c>
      <c r="F15028" s="38" t="s">
        <v>98</v>
      </c>
      <c r="G15028" s="49" t="str">
        <f t="shared" si="1"/>
        <v>19290</v>
      </c>
      <c r="H15028" s="49">
        <f t="shared" si="2"/>
        <v>19021</v>
      </c>
    </row>
    <row r="15029">
      <c r="A15029" s="48" t="s">
        <v>2942</v>
      </c>
      <c r="B15029" s="38">
        <v>14632.0</v>
      </c>
      <c r="C15029" s="38" t="s">
        <v>19384</v>
      </c>
      <c r="D15029" s="38" t="str">
        <f>IFERROR(__xludf.DUMMYFUNCTION("REGEXREPLACE(C15029,""-\d+(.*)|--\d+(.*)"","""")"),"SAINT-MARTIN-DON")</f>
        <v>SAINT-MARTIN-DON</v>
      </c>
      <c r="E15029" s="38" t="s">
        <v>137</v>
      </c>
      <c r="F15029" s="38" t="s">
        <v>138</v>
      </c>
      <c r="G15029" s="49" t="str">
        <f t="shared" si="1"/>
        <v>14350</v>
      </c>
      <c r="H15029" s="49">
        <f t="shared" si="2"/>
        <v>14632</v>
      </c>
    </row>
    <row r="15030">
      <c r="A15030" s="48" t="s">
        <v>3061</v>
      </c>
      <c r="B15030" s="38">
        <v>71588.0</v>
      </c>
      <c r="C15030" s="38" t="s">
        <v>19385</v>
      </c>
      <c r="D15030" s="38" t="str">
        <f>IFERROR(__xludf.DUMMYFUNCTION("REGEXREPLACE(C15030,""-\d+(.*)|--\d+(.*)"","""")"),"VITRY-EN-CHAROLLAIS")</f>
        <v>VITRY-EN-CHAROLLAIS</v>
      </c>
      <c r="E15030" s="38" t="s">
        <v>344</v>
      </c>
      <c r="F15030" s="38" t="s">
        <v>106</v>
      </c>
      <c r="G15030" s="49" t="str">
        <f t="shared" si="1"/>
        <v>71600</v>
      </c>
      <c r="H15030" s="49">
        <f t="shared" si="2"/>
        <v>71588</v>
      </c>
    </row>
    <row r="15031">
      <c r="A15031" s="48" t="s">
        <v>1570</v>
      </c>
      <c r="B15031" s="38">
        <v>16215.0</v>
      </c>
      <c r="C15031" s="38" t="s">
        <v>19386</v>
      </c>
      <c r="D15031" s="38" t="str">
        <f>IFERROR(__xludf.DUMMYFUNCTION("REGEXREPLACE(C15031,""-\d+(.*)|--\d+(.*)"","""")"),"MEDILLAC")</f>
        <v>MEDILLAC</v>
      </c>
      <c r="E15031" s="38" t="s">
        <v>429</v>
      </c>
      <c r="F15031" s="38" t="s">
        <v>338</v>
      </c>
      <c r="G15031" s="49" t="str">
        <f t="shared" si="1"/>
        <v>16210</v>
      </c>
      <c r="H15031" s="49">
        <f t="shared" si="2"/>
        <v>16215</v>
      </c>
    </row>
    <row r="15032">
      <c r="A15032" s="48" t="s">
        <v>2820</v>
      </c>
      <c r="B15032" s="38">
        <v>2795.0</v>
      </c>
      <c r="C15032" s="38" t="s">
        <v>19387</v>
      </c>
      <c r="D15032" s="38" t="str">
        <f>IFERROR(__xludf.DUMMYFUNCTION("REGEXREPLACE(C15032,""-\d+(.*)|--\d+(.*)"","""")"),"VIC-SUR-AISNE")</f>
        <v>VIC-SUR-AISNE</v>
      </c>
      <c r="E15032" s="38" t="s">
        <v>191</v>
      </c>
      <c r="F15032" s="38" t="s">
        <v>113</v>
      </c>
      <c r="G15032" s="49" t="str">
        <f t="shared" si="1"/>
        <v>02290</v>
      </c>
      <c r="H15032" s="49" t="str">
        <f t="shared" si="2"/>
        <v>02795</v>
      </c>
    </row>
    <row r="15033">
      <c r="A15033" s="48" t="s">
        <v>5008</v>
      </c>
      <c r="B15033" s="38">
        <v>76746.0</v>
      </c>
      <c r="C15033" s="38" t="s">
        <v>19388</v>
      </c>
      <c r="D15033" s="38" t="str">
        <f>IFERROR(__xludf.DUMMYFUNCTION("REGEXREPLACE(C15033,""-\d+(.*)|--\d+(.*)"","""")"),"VINNEMERVILLE")</f>
        <v>VINNEMERVILLE</v>
      </c>
      <c r="E15033" s="38" t="s">
        <v>133</v>
      </c>
      <c r="F15033" s="38" t="s">
        <v>134</v>
      </c>
      <c r="G15033" s="49" t="str">
        <f t="shared" si="1"/>
        <v>76540</v>
      </c>
      <c r="H15033" s="49">
        <f t="shared" si="2"/>
        <v>76746</v>
      </c>
    </row>
    <row r="15034">
      <c r="A15034" s="48" t="s">
        <v>259</v>
      </c>
      <c r="B15034" s="38">
        <v>24307.0</v>
      </c>
      <c r="C15034" s="38" t="s">
        <v>19389</v>
      </c>
      <c r="D15034" s="38" t="str">
        <f>IFERROR(__xludf.DUMMYFUNCTION("REGEXREPLACE(C15034,""-\d+(.*)|--\d+(.*)"","""")"),"NAUSSANNES")</f>
        <v>NAUSSANNES</v>
      </c>
      <c r="E15034" s="38" t="s">
        <v>261</v>
      </c>
      <c r="F15034" s="38" t="s">
        <v>252</v>
      </c>
      <c r="G15034" s="49" t="str">
        <f t="shared" si="1"/>
        <v>24440</v>
      </c>
      <c r="H15034" s="49">
        <f t="shared" si="2"/>
        <v>24307</v>
      </c>
    </row>
    <row r="15035">
      <c r="A15035" s="48" t="s">
        <v>7700</v>
      </c>
      <c r="B15035" s="38">
        <v>23012.0</v>
      </c>
      <c r="C15035" s="38" t="s">
        <v>19390</v>
      </c>
      <c r="D15035" s="38" t="str">
        <f>IFERROR(__xludf.DUMMYFUNCTION("REGEXREPLACE(C15035,""-\d+(.*)|--\d+(.*)"","""")"),"AURIAT")</f>
        <v>AURIAT</v>
      </c>
      <c r="E15035" s="38" t="s">
        <v>97</v>
      </c>
      <c r="F15035" s="38" t="s">
        <v>98</v>
      </c>
      <c r="G15035" s="49" t="str">
        <f t="shared" si="1"/>
        <v>23400</v>
      </c>
      <c r="H15035" s="49">
        <f t="shared" si="2"/>
        <v>23012</v>
      </c>
    </row>
    <row r="15036">
      <c r="A15036" s="48" t="s">
        <v>918</v>
      </c>
      <c r="B15036" s="38">
        <v>59237.0</v>
      </c>
      <c r="C15036" s="38" t="s">
        <v>19391</v>
      </c>
      <c r="D15036" s="38" t="str">
        <f>IFERROR(__xludf.DUMMYFUNCTION("REGEXREPLACE(C15036,""-\d+(.*)|--\d+(.*)"","""")"),"FLETRE")</f>
        <v>FLETRE</v>
      </c>
      <c r="E15036" s="38" t="s">
        <v>85</v>
      </c>
      <c r="F15036" s="38" t="s">
        <v>86</v>
      </c>
      <c r="G15036" s="49" t="str">
        <f t="shared" si="1"/>
        <v>59270</v>
      </c>
      <c r="H15036" s="49">
        <f t="shared" si="2"/>
        <v>59237</v>
      </c>
    </row>
    <row r="15037">
      <c r="A15037" s="48" t="s">
        <v>454</v>
      </c>
      <c r="B15037" s="38">
        <v>71101.0</v>
      </c>
      <c r="C15037" s="38" t="s">
        <v>19392</v>
      </c>
      <c r="D15037" s="38" t="str">
        <f>IFERROR(__xludf.DUMMYFUNCTION("REGEXREPLACE(C15037,""-\d+(.*)|--\d+(.*)"","""")"),"CHARETTE-VARENNES")</f>
        <v>CHARETTE-VARENNES</v>
      </c>
      <c r="E15037" s="38" t="s">
        <v>344</v>
      </c>
      <c r="F15037" s="38" t="s">
        <v>106</v>
      </c>
      <c r="G15037" s="49" t="str">
        <f t="shared" si="1"/>
        <v>71270</v>
      </c>
      <c r="H15037" s="49">
        <f t="shared" si="2"/>
        <v>71101</v>
      </c>
    </row>
    <row r="15038">
      <c r="A15038" s="48" t="s">
        <v>4065</v>
      </c>
      <c r="B15038" s="38">
        <v>21377.0</v>
      </c>
      <c r="C15038" s="38" t="s">
        <v>19393</v>
      </c>
      <c r="D15038" s="38" t="str">
        <f>IFERROR(__xludf.DUMMYFUNCTION("REGEXREPLACE(C15038,""-\d+(.*)|--\d+(.*)"","""")"),"MARCELLOIS")</f>
        <v>MARCELLOIS</v>
      </c>
      <c r="E15038" s="38" t="s">
        <v>105</v>
      </c>
      <c r="F15038" s="38" t="s">
        <v>106</v>
      </c>
      <c r="G15038" s="49" t="str">
        <f t="shared" si="1"/>
        <v>21350</v>
      </c>
      <c r="H15038" s="49">
        <f t="shared" si="2"/>
        <v>21377</v>
      </c>
    </row>
    <row r="15039">
      <c r="A15039" s="48" t="s">
        <v>5423</v>
      </c>
      <c r="B15039" s="38">
        <v>31329.0</v>
      </c>
      <c r="C15039" s="38" t="s">
        <v>17863</v>
      </c>
      <c r="D15039" s="38" t="str">
        <f>IFERROR(__xludf.DUMMYFUNCTION("REGEXREPLACE(C15039,""-\d+(.*)|--\d+(.*)"","""")"),"MAURENS")</f>
        <v>MAURENS</v>
      </c>
      <c r="E15039" s="38" t="s">
        <v>93</v>
      </c>
      <c r="F15039" s="38" t="s">
        <v>94</v>
      </c>
      <c r="G15039" s="49" t="str">
        <f t="shared" si="1"/>
        <v>31540</v>
      </c>
      <c r="H15039" s="49">
        <f t="shared" si="2"/>
        <v>31329</v>
      </c>
    </row>
    <row r="15040">
      <c r="A15040" s="48" t="s">
        <v>10299</v>
      </c>
      <c r="B15040" s="38">
        <v>67403.0</v>
      </c>
      <c r="C15040" s="38" t="s">
        <v>19394</v>
      </c>
      <c r="D15040" s="38" t="str">
        <f>IFERROR(__xludf.DUMMYFUNCTION("REGEXREPLACE(C15040,""-\d+(.*)|--\d+(.*)"","""")"),"RINGENDORF")</f>
        <v>RINGENDORF</v>
      </c>
      <c r="E15040" s="38" t="s">
        <v>210</v>
      </c>
      <c r="F15040" s="38" t="s">
        <v>151</v>
      </c>
      <c r="G15040" s="49" t="str">
        <f t="shared" si="1"/>
        <v>67350</v>
      </c>
      <c r="H15040" s="49">
        <f t="shared" si="2"/>
        <v>67403</v>
      </c>
    </row>
    <row r="15041">
      <c r="A15041" s="48" t="s">
        <v>5390</v>
      </c>
      <c r="B15041" s="38">
        <v>27104.0</v>
      </c>
      <c r="C15041" s="38" t="s">
        <v>19395</v>
      </c>
      <c r="D15041" s="38" t="str">
        <f>IFERROR(__xludf.DUMMYFUNCTION("REGEXREPLACE(C15041,""-\d+(.*)|--\d+(.*)"","""")"),"BOURG-BEAUDOUIN")</f>
        <v>BOURG-BEAUDOUIN</v>
      </c>
      <c r="E15041" s="38" t="s">
        <v>241</v>
      </c>
      <c r="F15041" s="38" t="s">
        <v>134</v>
      </c>
      <c r="G15041" s="49" t="str">
        <f t="shared" si="1"/>
        <v>27380</v>
      </c>
      <c r="H15041" s="49">
        <f t="shared" si="2"/>
        <v>27104</v>
      </c>
    </row>
    <row r="15042">
      <c r="A15042" s="48" t="s">
        <v>12873</v>
      </c>
      <c r="B15042" s="38">
        <v>63057.0</v>
      </c>
      <c r="C15042" s="38" t="s">
        <v>19396</v>
      </c>
      <c r="D15042" s="38" t="str">
        <f>IFERROR(__xludf.DUMMYFUNCTION("REGEXREPLACE(C15042,""-\d+(.*)|--\d+(.*)"","""")"),"LE BRUGERON")</f>
        <v>LE BRUGERON</v>
      </c>
      <c r="E15042" s="38" t="s">
        <v>353</v>
      </c>
      <c r="F15042" s="38" t="s">
        <v>161</v>
      </c>
      <c r="G15042" s="49" t="str">
        <f t="shared" si="1"/>
        <v>63880</v>
      </c>
      <c r="H15042" s="49">
        <f t="shared" si="2"/>
        <v>63057</v>
      </c>
    </row>
    <row r="15043">
      <c r="A15043" s="48" t="s">
        <v>114</v>
      </c>
      <c r="B15043" s="38">
        <v>62868.0</v>
      </c>
      <c r="C15043" s="38" t="s">
        <v>19397</v>
      </c>
      <c r="D15043" s="38" t="str">
        <f>IFERROR(__xludf.DUMMYFUNCTION("REGEXREPLACE(C15043,""-\d+(.*)|--\d+(.*)"","""")"),"WAIL")</f>
        <v>WAIL</v>
      </c>
      <c r="E15043" s="38" t="s">
        <v>109</v>
      </c>
      <c r="F15043" s="38" t="s">
        <v>86</v>
      </c>
      <c r="G15043" s="49" t="str">
        <f t="shared" si="1"/>
        <v>62770</v>
      </c>
      <c r="H15043" s="49">
        <f t="shared" si="2"/>
        <v>62868</v>
      </c>
    </row>
    <row r="15044">
      <c r="A15044" s="48" t="s">
        <v>12204</v>
      </c>
      <c r="B15044" s="38">
        <v>25190.0</v>
      </c>
      <c r="C15044" s="38" t="s">
        <v>19398</v>
      </c>
      <c r="D15044" s="38" t="str">
        <f>IFERROR(__xludf.DUMMYFUNCTION("REGEXREPLACE(C15044,""-\d+(.*)|--\d+(.*)"","""")"),"DAMPIERRE-LES-BOIS")</f>
        <v>DAMPIERRE-LES-BOIS</v>
      </c>
      <c r="E15044" s="38" t="s">
        <v>213</v>
      </c>
      <c r="F15044" s="38" t="s">
        <v>214</v>
      </c>
      <c r="G15044" s="49" t="str">
        <f t="shared" si="1"/>
        <v>25490</v>
      </c>
      <c r="H15044" s="49">
        <f t="shared" si="2"/>
        <v>25190</v>
      </c>
    </row>
    <row r="15045">
      <c r="A15045" s="48" t="s">
        <v>19399</v>
      </c>
      <c r="B15045" s="38">
        <v>64038.0</v>
      </c>
      <c r="C15045" s="38" t="s">
        <v>19400</v>
      </c>
      <c r="D15045" s="38" t="str">
        <f>IFERROR(__xludf.DUMMYFUNCTION("REGEXREPLACE(C15045,""-\d+(.*)|--\d+(.*)"","""")"),"ARCANGUES")</f>
        <v>ARCANGUES</v>
      </c>
      <c r="E15045" s="38" t="s">
        <v>268</v>
      </c>
      <c r="F15045" s="38" t="s">
        <v>252</v>
      </c>
      <c r="G15045" s="49" t="str">
        <f t="shared" si="1"/>
        <v>64200</v>
      </c>
      <c r="H15045" s="49">
        <f t="shared" si="2"/>
        <v>64038</v>
      </c>
    </row>
    <row r="15046">
      <c r="A15046" s="48" t="s">
        <v>6058</v>
      </c>
      <c r="B15046" s="38">
        <v>30335.0</v>
      </c>
      <c r="C15046" s="38" t="s">
        <v>10051</v>
      </c>
      <c r="D15046" s="38" t="str">
        <f>IFERROR(__xludf.DUMMYFUNCTION("REGEXREPLACE(C15046,""-\d+(.*)|--\d+(.*)"","""")"),"VABRES")</f>
        <v>VABRES</v>
      </c>
      <c r="E15046" s="38" t="s">
        <v>526</v>
      </c>
      <c r="F15046" s="38" t="s">
        <v>119</v>
      </c>
      <c r="G15046" s="49" t="str">
        <f t="shared" si="1"/>
        <v>30460</v>
      </c>
      <c r="H15046" s="49">
        <f t="shared" si="2"/>
        <v>30335</v>
      </c>
    </row>
    <row r="15047">
      <c r="A15047" s="48" t="s">
        <v>6156</v>
      </c>
      <c r="B15047" s="38">
        <v>35173.0</v>
      </c>
      <c r="C15047" s="38" t="s">
        <v>19401</v>
      </c>
      <c r="D15047" s="38" t="str">
        <f>IFERROR(__xludf.DUMMYFUNCTION("REGEXREPLACE(C15047,""-\d+(.*)|--\d+(.*)"","""")"),"MELESSE")</f>
        <v>MELESSE</v>
      </c>
      <c r="E15047" s="38" t="s">
        <v>347</v>
      </c>
      <c r="F15047" s="38" t="s">
        <v>90</v>
      </c>
      <c r="G15047" s="49" t="str">
        <f t="shared" si="1"/>
        <v>35520</v>
      </c>
      <c r="H15047" s="49">
        <f t="shared" si="2"/>
        <v>35173</v>
      </c>
    </row>
    <row r="15048">
      <c r="A15048" s="48" t="s">
        <v>19402</v>
      </c>
      <c r="B15048" s="38">
        <v>42110.0</v>
      </c>
      <c r="C15048" s="38" t="s">
        <v>19403</v>
      </c>
      <c r="D15048" s="38" t="str">
        <f>IFERROR(__xludf.DUMMYFUNCTION("REGEXREPLACE(C15048,""-\d+(.*)|--\d+(.*)"","""")"),"L'HORME")</f>
        <v>L'HORME</v>
      </c>
      <c r="E15048" s="38" t="s">
        <v>166</v>
      </c>
      <c r="F15048" s="38" t="s">
        <v>102</v>
      </c>
      <c r="G15048" s="49" t="str">
        <f t="shared" si="1"/>
        <v>42152</v>
      </c>
      <c r="H15048" s="49">
        <f t="shared" si="2"/>
        <v>42110</v>
      </c>
    </row>
    <row r="15049">
      <c r="A15049" s="48" t="s">
        <v>17847</v>
      </c>
      <c r="B15049" s="38" t="s">
        <v>19404</v>
      </c>
      <c r="C15049" s="38" t="s">
        <v>19405</v>
      </c>
      <c r="D15049" s="38" t="str">
        <f>IFERROR(__xludf.DUMMYFUNCTION("REGEXREPLACE(C15049,""-\d+(.*)|--\d+(.*)"","""")"),"ALATA")</f>
        <v>ALATA</v>
      </c>
      <c r="E15049" s="38" t="s">
        <v>606</v>
      </c>
      <c r="F15049" s="38" t="s">
        <v>607</v>
      </c>
      <c r="G15049" s="49" t="str">
        <f t="shared" si="1"/>
        <v>20167</v>
      </c>
      <c r="H15049" s="49" t="str">
        <f t="shared" si="2"/>
        <v>2A006</v>
      </c>
    </row>
    <row r="15050">
      <c r="A15050" s="48" t="s">
        <v>6800</v>
      </c>
      <c r="B15050" s="38">
        <v>77210.0</v>
      </c>
      <c r="C15050" s="38" t="s">
        <v>19406</v>
      </c>
      <c r="D15050" s="38" t="str">
        <f>IFERROR(__xludf.DUMMYFUNCTION("REGEXREPLACE(C15050,""-\d+(.*)|--\d+(.*)"","""")"),"LA GRANDE-PAROISSE")</f>
        <v>LA GRANDE-PAROISSE</v>
      </c>
      <c r="E15050" s="38" t="s">
        <v>244</v>
      </c>
      <c r="F15050" s="38" t="s">
        <v>245</v>
      </c>
      <c r="G15050" s="49" t="str">
        <f t="shared" si="1"/>
        <v>77130</v>
      </c>
      <c r="H15050" s="49">
        <f t="shared" si="2"/>
        <v>77210</v>
      </c>
    </row>
    <row r="15051">
      <c r="A15051" s="48" t="s">
        <v>6963</v>
      </c>
      <c r="B15051" s="38">
        <v>27114.0</v>
      </c>
      <c r="C15051" s="38" t="s">
        <v>19407</v>
      </c>
      <c r="D15051" s="38" t="str">
        <f>IFERROR(__xludf.DUMMYFUNCTION("REGEXREPLACE(C15051,""-\d+(.*)|--\d+(.*)"","""")"),"BREUILPONT")</f>
        <v>BREUILPONT</v>
      </c>
      <c r="E15051" s="38" t="s">
        <v>241</v>
      </c>
      <c r="F15051" s="38" t="s">
        <v>134</v>
      </c>
      <c r="G15051" s="49" t="str">
        <f t="shared" si="1"/>
        <v>27640</v>
      </c>
      <c r="H15051" s="49">
        <f t="shared" si="2"/>
        <v>27114</v>
      </c>
    </row>
    <row r="15052">
      <c r="A15052" s="48" t="s">
        <v>19408</v>
      </c>
      <c r="B15052" s="38">
        <v>97106.0</v>
      </c>
      <c r="C15052" s="38" t="s">
        <v>19409</v>
      </c>
      <c r="D15052" s="38" t="str">
        <f>IFERROR(__xludf.DUMMYFUNCTION("REGEXREPLACE(C15052,""-\d+(.*)|--\d+(.*)"","""")"),"BOUILLANTE")</f>
        <v>BOUILLANTE</v>
      </c>
      <c r="E15052" s="38" t="s">
        <v>2023</v>
      </c>
      <c r="F15052" s="38" t="s">
        <v>2023</v>
      </c>
      <c r="G15052" s="49" t="str">
        <f t="shared" si="1"/>
        <v>97125</v>
      </c>
      <c r="H15052" s="49">
        <f t="shared" si="2"/>
        <v>97106</v>
      </c>
    </row>
    <row r="15053">
      <c r="A15053" s="48" t="s">
        <v>2406</v>
      </c>
      <c r="B15053" s="38">
        <v>55093.0</v>
      </c>
      <c r="C15053" s="38" t="s">
        <v>19410</v>
      </c>
      <c r="D15053" s="38" t="str">
        <f>IFERROR(__xludf.DUMMYFUNCTION("REGEXREPLACE(C15053,""-\d+(.*)|--\d+(.*)"","""")"),"BUXIERES-SOUS-LES-COTES")</f>
        <v>BUXIERES-SOUS-LES-COTES</v>
      </c>
      <c r="E15053" s="38" t="s">
        <v>322</v>
      </c>
      <c r="F15053" s="38" t="s">
        <v>195</v>
      </c>
      <c r="G15053" s="49" t="str">
        <f t="shared" si="1"/>
        <v>55300</v>
      </c>
      <c r="H15053" s="49">
        <f t="shared" si="2"/>
        <v>55093</v>
      </c>
    </row>
    <row r="15054">
      <c r="A15054" s="48" t="s">
        <v>509</v>
      </c>
      <c r="B15054" s="38">
        <v>28311.0</v>
      </c>
      <c r="C15054" s="38" t="s">
        <v>19411</v>
      </c>
      <c r="D15054" s="38" t="str">
        <f>IFERROR(__xludf.DUMMYFUNCTION("REGEXREPLACE(C15054,""-\d+(.*)|--\d+(.*)"","""")"),"LE PUISET")</f>
        <v>LE PUISET</v>
      </c>
      <c r="E15054" s="38" t="s">
        <v>300</v>
      </c>
      <c r="F15054" s="38" t="s">
        <v>123</v>
      </c>
      <c r="G15054" s="49" t="str">
        <f t="shared" si="1"/>
        <v>28310</v>
      </c>
      <c r="H15054" s="49">
        <f t="shared" si="2"/>
        <v>28311</v>
      </c>
    </row>
    <row r="15055">
      <c r="A15055" s="48" t="s">
        <v>1298</v>
      </c>
      <c r="B15055" s="38">
        <v>38414.0</v>
      </c>
      <c r="C15055" s="38" t="s">
        <v>19412</v>
      </c>
      <c r="D15055" s="38" t="str">
        <f>IFERROR(__xludf.DUMMYFUNCTION("REGEXREPLACE(C15055,""-\d+(.*)|--\d+(.*)"","""")"),"SAINTE-LUCE")</f>
        <v>SAINTE-LUCE</v>
      </c>
      <c r="E15055" s="38" t="s">
        <v>101</v>
      </c>
      <c r="F15055" s="38" t="s">
        <v>102</v>
      </c>
      <c r="G15055" s="49" t="str">
        <f t="shared" si="1"/>
        <v>38970</v>
      </c>
      <c r="H15055" s="49">
        <f t="shared" si="2"/>
        <v>38414</v>
      </c>
    </row>
    <row r="15056">
      <c r="A15056" s="48" t="s">
        <v>6875</v>
      </c>
      <c r="B15056" s="38">
        <v>2388.0</v>
      </c>
      <c r="C15056" s="38" t="s">
        <v>19413</v>
      </c>
      <c r="D15056" s="38" t="str">
        <f>IFERROR(__xludf.DUMMYFUNCTION("REGEXREPLACE(C15056,""-\d+(.*)|--\d+(.*)"","""")"),"IVIERS")</f>
        <v>IVIERS</v>
      </c>
      <c r="E15056" s="38" t="s">
        <v>191</v>
      </c>
      <c r="F15056" s="38" t="s">
        <v>113</v>
      </c>
      <c r="G15056" s="49" t="str">
        <f t="shared" si="1"/>
        <v>02360</v>
      </c>
      <c r="H15056" s="49" t="str">
        <f t="shared" si="2"/>
        <v>02388</v>
      </c>
    </row>
    <row r="15057">
      <c r="A15057" s="48" t="s">
        <v>1058</v>
      </c>
      <c r="B15057" s="38">
        <v>21131.0</v>
      </c>
      <c r="C15057" s="38" t="s">
        <v>19414</v>
      </c>
      <c r="D15057" s="38" t="str">
        <f>IFERROR(__xludf.DUMMYFUNCTION("REGEXREPLACE(C15057,""-\d+(.*)|--\d+(.*)"","""")"),"CHAMBLANC")</f>
        <v>CHAMBLANC</v>
      </c>
      <c r="E15057" s="38" t="s">
        <v>105</v>
      </c>
      <c r="F15057" s="38" t="s">
        <v>106</v>
      </c>
      <c r="G15057" s="49" t="str">
        <f t="shared" si="1"/>
        <v>21250</v>
      </c>
      <c r="H15057" s="49">
        <f t="shared" si="2"/>
        <v>21131</v>
      </c>
    </row>
    <row r="15058">
      <c r="A15058" s="48" t="s">
        <v>1323</v>
      </c>
      <c r="B15058" s="38">
        <v>21615.0</v>
      </c>
      <c r="C15058" s="38" t="s">
        <v>19415</v>
      </c>
      <c r="D15058" s="38" t="str">
        <f>IFERROR(__xludf.DUMMYFUNCTION("REGEXREPLACE(C15058,""-\d+(.*)|--\d+(.*)"","""")"),"SUSSEY")</f>
        <v>SUSSEY</v>
      </c>
      <c r="E15058" s="38" t="s">
        <v>105</v>
      </c>
      <c r="F15058" s="38" t="s">
        <v>106</v>
      </c>
      <c r="G15058" s="49" t="str">
        <f t="shared" si="1"/>
        <v>21430</v>
      </c>
      <c r="H15058" s="49">
        <f t="shared" si="2"/>
        <v>21615</v>
      </c>
    </row>
    <row r="15059">
      <c r="A15059" s="48" t="s">
        <v>5332</v>
      </c>
      <c r="B15059" s="38">
        <v>1036.0</v>
      </c>
      <c r="C15059" s="38" t="s">
        <v>19416</v>
      </c>
      <c r="D15059" s="38" t="str">
        <f>IFERROR(__xludf.DUMMYFUNCTION("REGEXREPLACE(C15059,""-\d+(.*)|--\d+(.*)"","""")"),"BELMONT-LUTHEZIEU")</f>
        <v>BELMONT-LUTHEZIEU</v>
      </c>
      <c r="E15059" s="38" t="s">
        <v>255</v>
      </c>
      <c r="F15059" s="38" t="s">
        <v>102</v>
      </c>
      <c r="G15059" s="49" t="str">
        <f t="shared" si="1"/>
        <v>01260</v>
      </c>
      <c r="H15059" s="49" t="str">
        <f t="shared" si="2"/>
        <v>01036</v>
      </c>
    </row>
    <row r="15060">
      <c r="A15060" s="48" t="s">
        <v>5035</v>
      </c>
      <c r="B15060" s="38">
        <v>32369.0</v>
      </c>
      <c r="C15060" s="38" t="s">
        <v>19417</v>
      </c>
      <c r="D15060" s="38" t="str">
        <f>IFERROR(__xludf.DUMMYFUNCTION("REGEXREPLACE(C15060,""-\d+(.*)|--\d+(.*)"","""")"),"SAINTE-CHRISTIE-D'ARMAGNAC")</f>
        <v>SAINTE-CHRISTIE-D'ARMAGNAC</v>
      </c>
      <c r="E15060" s="38" t="s">
        <v>440</v>
      </c>
      <c r="F15060" s="38" t="s">
        <v>94</v>
      </c>
      <c r="G15060" s="49" t="str">
        <f t="shared" si="1"/>
        <v>32370</v>
      </c>
      <c r="H15060" s="49">
        <f t="shared" si="2"/>
        <v>32369</v>
      </c>
    </row>
    <row r="15061">
      <c r="A15061" s="48" t="s">
        <v>6858</v>
      </c>
      <c r="B15061" s="38">
        <v>71146.0</v>
      </c>
      <c r="C15061" s="38" t="s">
        <v>19418</v>
      </c>
      <c r="D15061" s="38" t="str">
        <f>IFERROR(__xludf.DUMMYFUNCTION("REGEXREPLACE(C15061,""-\d+(.*)|--\d+(.*)"","""")"),"CORTAMBERT")</f>
        <v>CORTAMBERT</v>
      </c>
      <c r="E15061" s="38" t="s">
        <v>344</v>
      </c>
      <c r="F15061" s="38" t="s">
        <v>106</v>
      </c>
      <c r="G15061" s="49" t="str">
        <f t="shared" si="1"/>
        <v>71250</v>
      </c>
      <c r="H15061" s="49">
        <f t="shared" si="2"/>
        <v>71146</v>
      </c>
    </row>
    <row r="15062">
      <c r="A15062" s="48" t="s">
        <v>930</v>
      </c>
      <c r="B15062" s="38">
        <v>32038.0</v>
      </c>
      <c r="C15062" s="38" t="s">
        <v>19419</v>
      </c>
      <c r="D15062" s="38" t="str">
        <f>IFERROR(__xludf.DUMMYFUNCTION("REGEXREPLACE(C15062,""-\d+(.*)|--\d+(.*)"","""")"),"BEAUPUY")</f>
        <v>BEAUPUY</v>
      </c>
      <c r="E15062" s="38" t="s">
        <v>440</v>
      </c>
      <c r="F15062" s="38" t="s">
        <v>94</v>
      </c>
      <c r="G15062" s="49" t="str">
        <f t="shared" si="1"/>
        <v>32600</v>
      </c>
      <c r="H15062" s="49">
        <f t="shared" si="2"/>
        <v>32038</v>
      </c>
    </row>
    <row r="15063">
      <c r="A15063" s="48" t="s">
        <v>1874</v>
      </c>
      <c r="B15063" s="38">
        <v>73141.0</v>
      </c>
      <c r="C15063" s="38" t="s">
        <v>19420</v>
      </c>
      <c r="D15063" s="38" t="str">
        <f>IFERROR(__xludf.DUMMYFUNCTION("REGEXREPLACE(C15063,""-\d+(.*)|--\d+(.*)"","""")"),"LAISSAUD")</f>
        <v>LAISSAUD</v>
      </c>
      <c r="E15063" s="38" t="s">
        <v>306</v>
      </c>
      <c r="F15063" s="38" t="s">
        <v>102</v>
      </c>
      <c r="G15063" s="49" t="str">
        <f t="shared" si="1"/>
        <v>73800</v>
      </c>
      <c r="H15063" s="49">
        <f t="shared" si="2"/>
        <v>73141</v>
      </c>
    </row>
    <row r="15064">
      <c r="A15064" s="48" t="s">
        <v>19421</v>
      </c>
      <c r="B15064" s="38">
        <v>57426.0</v>
      </c>
      <c r="C15064" s="38" t="s">
        <v>19422</v>
      </c>
      <c r="D15064" s="38" t="str">
        <f>IFERROR(__xludf.DUMMYFUNCTION("REGEXREPLACE(C15064,""-\d+(.*)|--\d+(.*)"","""")"),"LUTTANGE")</f>
        <v>LUTTANGE</v>
      </c>
      <c r="E15064" s="38" t="s">
        <v>303</v>
      </c>
      <c r="F15064" s="38" t="s">
        <v>195</v>
      </c>
      <c r="G15064" s="49" t="str">
        <f t="shared" si="1"/>
        <v>57935</v>
      </c>
      <c r="H15064" s="49">
        <f t="shared" si="2"/>
        <v>57426</v>
      </c>
    </row>
    <row r="15065">
      <c r="A15065" s="48" t="s">
        <v>3080</v>
      </c>
      <c r="B15065" s="38">
        <v>71095.0</v>
      </c>
      <c r="C15065" s="38" t="s">
        <v>19423</v>
      </c>
      <c r="D15065" s="38" t="str">
        <f>IFERROR(__xludf.DUMMYFUNCTION("REGEXREPLACE(C15065,""-\d+(.*)|--\d+(.*)"","""")"),"LA CHAPELLE-SOUS-DUN")</f>
        <v>LA CHAPELLE-SOUS-DUN</v>
      </c>
      <c r="E15065" s="38" t="s">
        <v>344</v>
      </c>
      <c r="F15065" s="38" t="s">
        <v>106</v>
      </c>
      <c r="G15065" s="49" t="str">
        <f t="shared" si="1"/>
        <v>71800</v>
      </c>
      <c r="H15065" s="49">
        <f t="shared" si="2"/>
        <v>71095</v>
      </c>
    </row>
    <row r="15066">
      <c r="A15066" s="48" t="s">
        <v>7758</v>
      </c>
      <c r="B15066" s="38">
        <v>63130.0</v>
      </c>
      <c r="C15066" s="38" t="s">
        <v>19424</v>
      </c>
      <c r="D15066" s="38" t="str">
        <f>IFERROR(__xludf.DUMMYFUNCTION("REGEXREPLACE(C15066,""-\d+(.*)|--\d+(.*)"","""")"),"LA CROUZILLE")</f>
        <v>LA CROUZILLE</v>
      </c>
      <c r="E15066" s="38" t="s">
        <v>353</v>
      </c>
      <c r="F15066" s="38" t="s">
        <v>161</v>
      </c>
      <c r="G15066" s="49" t="str">
        <f t="shared" si="1"/>
        <v>63700</v>
      </c>
      <c r="H15066" s="49">
        <f t="shared" si="2"/>
        <v>63130</v>
      </c>
    </row>
    <row r="15067">
      <c r="A15067" s="48" t="s">
        <v>16185</v>
      </c>
      <c r="B15067" s="38">
        <v>18188.0</v>
      </c>
      <c r="C15067" s="38" t="s">
        <v>19425</v>
      </c>
      <c r="D15067" s="38" t="str">
        <f>IFERROR(__xludf.DUMMYFUNCTION("REGEXREPLACE(C15067,""-\d+(.*)|--\d+(.*)"","""")"),"PRIMELLES")</f>
        <v>PRIMELLES</v>
      </c>
      <c r="E15067" s="38" t="s">
        <v>504</v>
      </c>
      <c r="F15067" s="38" t="s">
        <v>123</v>
      </c>
      <c r="G15067" s="49" t="str">
        <f t="shared" si="1"/>
        <v>18400</v>
      </c>
      <c r="H15067" s="49">
        <f t="shared" si="2"/>
        <v>18188</v>
      </c>
    </row>
    <row r="15068">
      <c r="A15068" s="48" t="s">
        <v>639</v>
      </c>
      <c r="B15068" s="38">
        <v>16155.0</v>
      </c>
      <c r="C15068" s="38" t="s">
        <v>19426</v>
      </c>
      <c r="D15068" s="38" t="str">
        <f>IFERROR(__xludf.DUMMYFUNCTION("REGEXREPLACE(C15068,""-\d+(.*)|--\d+(.*)"","""")"),"LES GOURS")</f>
        <v>LES GOURS</v>
      </c>
      <c r="E15068" s="38" t="s">
        <v>429</v>
      </c>
      <c r="F15068" s="38" t="s">
        <v>338</v>
      </c>
      <c r="G15068" s="49" t="str">
        <f t="shared" si="1"/>
        <v>16140</v>
      </c>
      <c r="H15068" s="49">
        <f t="shared" si="2"/>
        <v>16155</v>
      </c>
    </row>
    <row r="15069">
      <c r="A15069" s="48" t="s">
        <v>11336</v>
      </c>
      <c r="B15069" s="38">
        <v>10437.0</v>
      </c>
      <c r="C15069" s="38" t="s">
        <v>19427</v>
      </c>
      <c r="D15069" s="38" t="str">
        <f>IFERROR(__xludf.DUMMYFUNCTION("REGEXREPLACE(C15069,""-\d+(.*)|--\d+(.*)"","""")"),"VIREY-SOUS-BAR")</f>
        <v>VIREY-SOUS-BAR</v>
      </c>
      <c r="E15069" s="38" t="s">
        <v>147</v>
      </c>
      <c r="F15069" s="38" t="s">
        <v>130</v>
      </c>
      <c r="G15069" s="49" t="str">
        <f t="shared" si="1"/>
        <v>10260</v>
      </c>
      <c r="H15069" s="49">
        <f t="shared" si="2"/>
        <v>10437</v>
      </c>
    </row>
    <row r="15070">
      <c r="A15070" s="48" t="s">
        <v>685</v>
      </c>
      <c r="B15070" s="38">
        <v>86004.0</v>
      </c>
      <c r="C15070" s="38" t="s">
        <v>19428</v>
      </c>
      <c r="D15070" s="38" t="str">
        <f>IFERROR(__xludf.DUMMYFUNCTION("REGEXREPLACE(C15070,""-\d+(.*)|--\d+(.*)"","""")"),"ANGLES-SUR-L'ANGLIN")</f>
        <v>ANGLES-SUR-L'ANGLIN</v>
      </c>
      <c r="E15070" s="38" t="s">
        <v>529</v>
      </c>
      <c r="F15070" s="38" t="s">
        <v>338</v>
      </c>
      <c r="G15070" s="49" t="str">
        <f t="shared" si="1"/>
        <v>86260</v>
      </c>
      <c r="H15070" s="49">
        <f t="shared" si="2"/>
        <v>86004</v>
      </c>
    </row>
    <row r="15071">
      <c r="A15071" s="48" t="s">
        <v>5322</v>
      </c>
      <c r="B15071" s="38">
        <v>32247.0</v>
      </c>
      <c r="C15071" s="38" t="s">
        <v>17863</v>
      </c>
      <c r="D15071" s="38" t="str">
        <f>IFERROR(__xludf.DUMMYFUNCTION("REGEXREPLACE(C15071,""-\d+(.*)|--\d+(.*)"","""")"),"MAURENS")</f>
        <v>MAURENS</v>
      </c>
      <c r="E15071" s="38" t="s">
        <v>440</v>
      </c>
      <c r="F15071" s="38" t="s">
        <v>94</v>
      </c>
      <c r="G15071" s="49" t="str">
        <f t="shared" si="1"/>
        <v>32200</v>
      </c>
      <c r="H15071" s="49">
        <f t="shared" si="2"/>
        <v>32247</v>
      </c>
    </row>
    <row r="15072">
      <c r="A15072" s="48" t="s">
        <v>1400</v>
      </c>
      <c r="B15072" s="38">
        <v>21501.0</v>
      </c>
      <c r="C15072" s="38" t="s">
        <v>19429</v>
      </c>
      <c r="D15072" s="38" t="str">
        <f>IFERROR(__xludf.DUMMYFUNCTION("REGEXREPLACE(C15072,""-\d+(.*)|--\d+(.*)"","""")"),"POUILLY-EN-AUXOIS")</f>
        <v>POUILLY-EN-AUXOIS</v>
      </c>
      <c r="E15072" s="38" t="s">
        <v>105</v>
      </c>
      <c r="F15072" s="38" t="s">
        <v>106</v>
      </c>
      <c r="G15072" s="49" t="str">
        <f t="shared" si="1"/>
        <v>21320</v>
      </c>
      <c r="H15072" s="49">
        <f t="shared" si="2"/>
        <v>21501</v>
      </c>
    </row>
    <row r="15073">
      <c r="A15073" s="48" t="s">
        <v>1770</v>
      </c>
      <c r="B15073" s="38">
        <v>57352.0</v>
      </c>
      <c r="C15073" s="38" t="s">
        <v>3243</v>
      </c>
      <c r="D15073" s="38" t="str">
        <f>IFERROR(__xludf.DUMMYFUNCTION("REGEXREPLACE(C15073,""-\d+(.*)|--\d+(.*)"","""")"),"JUSSY")</f>
        <v>JUSSY</v>
      </c>
      <c r="E15073" s="38" t="s">
        <v>303</v>
      </c>
      <c r="F15073" s="38" t="s">
        <v>195</v>
      </c>
      <c r="G15073" s="49" t="str">
        <f t="shared" si="1"/>
        <v>57130</v>
      </c>
      <c r="H15073" s="49">
        <f t="shared" si="2"/>
        <v>57352</v>
      </c>
    </row>
    <row r="15074">
      <c r="A15074" s="48" t="s">
        <v>282</v>
      </c>
      <c r="B15074" s="38">
        <v>46067.0</v>
      </c>
      <c r="C15074" s="38" t="s">
        <v>19430</v>
      </c>
      <c r="D15074" s="38" t="str">
        <f>IFERROR(__xludf.DUMMYFUNCTION("REGEXREPLACE(C15074,""-\d+(.*)|--\d+(.*)"","""")"),"CAZILLAC")</f>
        <v>CAZILLAC</v>
      </c>
      <c r="E15074" s="38" t="s">
        <v>185</v>
      </c>
      <c r="F15074" s="38" t="s">
        <v>94</v>
      </c>
      <c r="G15074" s="49" t="str">
        <f t="shared" si="1"/>
        <v>46600</v>
      </c>
      <c r="H15074" s="49">
        <f t="shared" si="2"/>
        <v>46067</v>
      </c>
    </row>
    <row r="15075">
      <c r="A15075" s="48" t="s">
        <v>5690</v>
      </c>
      <c r="B15075" s="38">
        <v>8105.0</v>
      </c>
      <c r="C15075" s="38" t="s">
        <v>19431</v>
      </c>
      <c r="D15075" s="38" t="str">
        <f>IFERROR(__xludf.DUMMYFUNCTION("REGEXREPLACE(C15075,""-\d+(.*)|--\d+(.*)"","""")"),"CHARLEVILLE-MEZIERES")</f>
        <v>CHARLEVILLE-MEZIERES</v>
      </c>
      <c r="E15075" s="38" t="s">
        <v>327</v>
      </c>
      <c r="F15075" s="38" t="s">
        <v>130</v>
      </c>
      <c r="G15075" s="49" t="str">
        <f t="shared" si="1"/>
        <v>08000</v>
      </c>
      <c r="H15075" s="49" t="str">
        <f t="shared" si="2"/>
        <v>08105</v>
      </c>
    </row>
    <row r="15076">
      <c r="A15076" s="48" t="s">
        <v>2204</v>
      </c>
      <c r="B15076" s="38">
        <v>42051.0</v>
      </c>
      <c r="C15076" s="38" t="s">
        <v>19432</v>
      </c>
      <c r="D15076" s="38" t="str">
        <f>IFERROR(__xludf.DUMMYFUNCTION("REGEXREPLACE(C15076,""-\d+(.*)|--\d+(.*)"","""")"),"LA CHAPELLE-VILLARS")</f>
        <v>LA CHAPELLE-VILLARS</v>
      </c>
      <c r="E15076" s="38" t="s">
        <v>166</v>
      </c>
      <c r="F15076" s="38" t="s">
        <v>102</v>
      </c>
      <c r="G15076" s="49" t="str">
        <f t="shared" si="1"/>
        <v>42410</v>
      </c>
      <c r="H15076" s="49">
        <f t="shared" si="2"/>
        <v>42051</v>
      </c>
    </row>
    <row r="15077">
      <c r="A15077" s="48" t="s">
        <v>948</v>
      </c>
      <c r="B15077" s="38">
        <v>68337.0</v>
      </c>
      <c r="C15077" s="38" t="s">
        <v>19433</v>
      </c>
      <c r="D15077" s="38" t="str">
        <f>IFERROR(__xludf.DUMMYFUNCTION("REGEXREPLACE(C15077,""-\d+(.*)|--\d+(.*)"","""")"),"TRAUBACH-LE-HAUT")</f>
        <v>TRAUBACH-LE-HAUT</v>
      </c>
      <c r="E15077" s="38" t="s">
        <v>150</v>
      </c>
      <c r="F15077" s="38" t="s">
        <v>151</v>
      </c>
      <c r="G15077" s="49" t="str">
        <f t="shared" si="1"/>
        <v>68210</v>
      </c>
      <c r="H15077" s="49">
        <f t="shared" si="2"/>
        <v>68337</v>
      </c>
    </row>
    <row r="15078">
      <c r="A15078" s="48" t="s">
        <v>19434</v>
      </c>
      <c r="B15078" s="38">
        <v>62643.0</v>
      </c>
      <c r="C15078" s="38" t="s">
        <v>19435</v>
      </c>
      <c r="D15078" s="38" t="str">
        <f>IFERROR(__xludf.DUMMYFUNCTION("REGEXREPLACE(C15078,""-\d+(.*)|--\d+(.*)"","""")"),"OUTREAU")</f>
        <v>OUTREAU</v>
      </c>
      <c r="E15078" s="38" t="s">
        <v>109</v>
      </c>
      <c r="F15078" s="38" t="s">
        <v>86</v>
      </c>
      <c r="G15078" s="49" t="str">
        <f t="shared" si="1"/>
        <v>62230</v>
      </c>
      <c r="H15078" s="49">
        <f t="shared" si="2"/>
        <v>62643</v>
      </c>
    </row>
    <row r="15079">
      <c r="A15079" s="48" t="s">
        <v>7254</v>
      </c>
      <c r="B15079" s="38">
        <v>63325.0</v>
      </c>
      <c r="C15079" s="38" t="s">
        <v>19436</v>
      </c>
      <c r="D15079" s="38" t="str">
        <f>IFERROR(__xludf.DUMMYFUNCTION("REGEXREPLACE(C15079,""-\d+(.*)|--\d+(.*)"","""")"),"SAINT-BONNET-LES-ALLIER")</f>
        <v>SAINT-BONNET-LES-ALLIER</v>
      </c>
      <c r="E15079" s="38" t="s">
        <v>353</v>
      </c>
      <c r="F15079" s="38" t="s">
        <v>161</v>
      </c>
      <c r="G15079" s="49" t="str">
        <f t="shared" si="1"/>
        <v>63800</v>
      </c>
      <c r="H15079" s="49">
        <f t="shared" si="2"/>
        <v>63325</v>
      </c>
    </row>
    <row r="15080">
      <c r="A15080" s="48" t="s">
        <v>3618</v>
      </c>
      <c r="B15080" s="38">
        <v>31316.0</v>
      </c>
      <c r="C15080" s="38" t="s">
        <v>11585</v>
      </c>
      <c r="D15080" s="38" t="str">
        <f>IFERROR(__xludf.DUMMYFUNCTION("REGEXREPLACE(C15080,""-\d+(.*)|--\d+(.*)"","""")"),"MARIGNAC")</f>
        <v>MARIGNAC</v>
      </c>
      <c r="E15080" s="38" t="s">
        <v>93</v>
      </c>
      <c r="F15080" s="38" t="s">
        <v>94</v>
      </c>
      <c r="G15080" s="49" t="str">
        <f t="shared" si="1"/>
        <v>31440</v>
      </c>
      <c r="H15080" s="49">
        <f t="shared" si="2"/>
        <v>31316</v>
      </c>
    </row>
    <row r="15081">
      <c r="A15081" s="48" t="s">
        <v>2429</v>
      </c>
      <c r="B15081" s="38">
        <v>63312.0</v>
      </c>
      <c r="C15081" s="38" t="s">
        <v>19437</v>
      </c>
      <c r="D15081" s="38" t="str">
        <f>IFERROR(__xludf.DUMMYFUNCTION("REGEXREPLACE(C15081,""-\d+(.*)|--\d+(.*)"","""")"),"SAINT-ALYRE-D'ARLANC")</f>
        <v>SAINT-ALYRE-D'ARLANC</v>
      </c>
      <c r="E15081" s="38" t="s">
        <v>353</v>
      </c>
      <c r="F15081" s="38" t="s">
        <v>161</v>
      </c>
      <c r="G15081" s="49" t="str">
        <f t="shared" si="1"/>
        <v>63220</v>
      </c>
      <c r="H15081" s="49">
        <f t="shared" si="2"/>
        <v>63312</v>
      </c>
    </row>
    <row r="15082">
      <c r="A15082" s="48" t="s">
        <v>5587</v>
      </c>
      <c r="B15082" s="38">
        <v>3051.0</v>
      </c>
      <c r="C15082" s="38" t="s">
        <v>19438</v>
      </c>
      <c r="D15082" s="38" t="str">
        <f>IFERROR(__xludf.DUMMYFUNCTION("REGEXREPLACE(C15082,""-\d+(.*)|--\d+(.*)"","""")"),"CHAMBERAT")</f>
        <v>CHAMBERAT</v>
      </c>
      <c r="E15082" s="38" t="s">
        <v>160</v>
      </c>
      <c r="F15082" s="38" t="s">
        <v>161</v>
      </c>
      <c r="G15082" s="49" t="str">
        <f t="shared" si="1"/>
        <v>03370</v>
      </c>
      <c r="H15082" s="49" t="str">
        <f t="shared" si="2"/>
        <v>03051</v>
      </c>
    </row>
    <row r="15083">
      <c r="A15083" s="48" t="s">
        <v>3885</v>
      </c>
      <c r="B15083" s="38">
        <v>53026.0</v>
      </c>
      <c r="C15083" s="38" t="s">
        <v>19439</v>
      </c>
      <c r="D15083" s="38" t="str">
        <f>IFERROR(__xludf.DUMMYFUNCTION("REGEXREPLACE(C15083,""-\d+(.*)|--\d+(.*)"","""")"),"BEAULIEU-SUR-OUDON")</f>
        <v>BEAULIEU-SUR-OUDON</v>
      </c>
      <c r="E15083" s="38" t="s">
        <v>518</v>
      </c>
      <c r="F15083" s="38" t="s">
        <v>180</v>
      </c>
      <c r="G15083" s="49" t="str">
        <f t="shared" si="1"/>
        <v>53320</v>
      </c>
      <c r="H15083" s="49">
        <f t="shared" si="2"/>
        <v>53026</v>
      </c>
    </row>
    <row r="15084">
      <c r="A15084" s="48" t="s">
        <v>4581</v>
      </c>
      <c r="B15084" s="38">
        <v>79009.0</v>
      </c>
      <c r="C15084" s="38" t="s">
        <v>19440</v>
      </c>
      <c r="D15084" s="38" t="str">
        <f>IFERROR(__xludf.DUMMYFUNCTION("REGEXREPLACE(C15084,""-\d+(.*)|--\d+(.*)"","""")"),"AMURE")</f>
        <v>AMURE</v>
      </c>
      <c r="E15084" s="38" t="s">
        <v>337</v>
      </c>
      <c r="F15084" s="38" t="s">
        <v>338</v>
      </c>
      <c r="G15084" s="49" t="str">
        <f t="shared" si="1"/>
        <v>79210</v>
      </c>
      <c r="H15084" s="49">
        <f t="shared" si="2"/>
        <v>79009</v>
      </c>
    </row>
    <row r="15085">
      <c r="A15085" s="48" t="s">
        <v>2668</v>
      </c>
      <c r="B15085" s="38">
        <v>55028.0</v>
      </c>
      <c r="C15085" s="38" t="s">
        <v>19441</v>
      </c>
      <c r="D15085" s="38" t="str">
        <f>IFERROR(__xludf.DUMMYFUNCTION("REGEXREPLACE(C15085,""-\d+(.*)|--\d+(.*)"","""")"),"BANTHEVILLE")</f>
        <v>BANTHEVILLE</v>
      </c>
      <c r="E15085" s="38" t="s">
        <v>322</v>
      </c>
      <c r="F15085" s="38" t="s">
        <v>195</v>
      </c>
      <c r="G15085" s="49" t="str">
        <f t="shared" si="1"/>
        <v>55110</v>
      </c>
      <c r="H15085" s="49">
        <f t="shared" si="2"/>
        <v>55028</v>
      </c>
    </row>
    <row r="15086">
      <c r="A15086" s="48" t="s">
        <v>8950</v>
      </c>
      <c r="B15086" s="38">
        <v>53191.0</v>
      </c>
      <c r="C15086" s="38" t="s">
        <v>19442</v>
      </c>
      <c r="D15086" s="38" t="str">
        <f>IFERROR(__xludf.DUMMYFUNCTION("REGEXREPLACE(C15086,""-\d+(.*)|--\d+(.*)"","""")"),"LA ROE")</f>
        <v>LA ROE</v>
      </c>
      <c r="E15086" s="38" t="s">
        <v>518</v>
      </c>
      <c r="F15086" s="38" t="s">
        <v>180</v>
      </c>
      <c r="G15086" s="49" t="str">
        <f t="shared" si="1"/>
        <v>53350</v>
      </c>
      <c r="H15086" s="49">
        <f t="shared" si="2"/>
        <v>53191</v>
      </c>
    </row>
    <row r="15087">
      <c r="A15087" s="48" t="s">
        <v>630</v>
      </c>
      <c r="B15087" s="38">
        <v>15041.0</v>
      </c>
      <c r="C15087" s="38" t="s">
        <v>19443</v>
      </c>
      <c r="D15087" s="38" t="str">
        <f>IFERROR(__xludf.DUMMYFUNCTION("REGEXREPLACE(C15087,""-\d+(.*)|--\d+(.*)"","""")"),"LA CHAPELLE-D'ALAGNON")</f>
        <v>LA CHAPELLE-D'ALAGNON</v>
      </c>
      <c r="E15087" s="38" t="s">
        <v>632</v>
      </c>
      <c r="F15087" s="38" t="s">
        <v>161</v>
      </c>
      <c r="G15087" s="49" t="str">
        <f t="shared" si="1"/>
        <v>15300</v>
      </c>
      <c r="H15087" s="49">
        <f t="shared" si="2"/>
        <v>15041</v>
      </c>
    </row>
    <row r="15088">
      <c r="A15088" s="48" t="s">
        <v>19444</v>
      </c>
      <c r="B15088" s="38">
        <v>30123.0</v>
      </c>
      <c r="C15088" s="38" t="s">
        <v>19445</v>
      </c>
      <c r="D15088" s="38" t="str">
        <f>IFERROR(__xludf.DUMMYFUNCTION("REGEXREPLACE(C15088,""-\d+(.*)|--\d+(.*)"","""")"),"GALLARGUES-LE-MONTUEUX")</f>
        <v>GALLARGUES-LE-MONTUEUX</v>
      </c>
      <c r="E15088" s="38" t="s">
        <v>526</v>
      </c>
      <c r="F15088" s="38" t="s">
        <v>119</v>
      </c>
      <c r="G15088" s="49" t="str">
        <f t="shared" si="1"/>
        <v>30660</v>
      </c>
      <c r="H15088" s="49">
        <f t="shared" si="2"/>
        <v>30123</v>
      </c>
    </row>
    <row r="15089">
      <c r="A15089" s="48" t="s">
        <v>3780</v>
      </c>
      <c r="B15089" s="38">
        <v>50583.0</v>
      </c>
      <c r="C15089" s="38" t="s">
        <v>19446</v>
      </c>
      <c r="D15089" s="38" t="str">
        <f>IFERROR(__xludf.DUMMYFUNCTION("REGEXREPLACE(C15089,""-\d+(.*)|--\d+(.*)"","""")"),"SOURDEVAL-LES-BOIS")</f>
        <v>SOURDEVAL-LES-BOIS</v>
      </c>
      <c r="E15089" s="38" t="s">
        <v>157</v>
      </c>
      <c r="F15089" s="38" t="s">
        <v>138</v>
      </c>
      <c r="G15089" s="49" t="str">
        <f t="shared" si="1"/>
        <v>50450</v>
      </c>
      <c r="H15089" s="49">
        <f t="shared" si="2"/>
        <v>50583</v>
      </c>
    </row>
    <row r="15090">
      <c r="A15090" s="48" t="s">
        <v>1058</v>
      </c>
      <c r="B15090" s="38">
        <v>21193.0</v>
      </c>
      <c r="C15090" s="38" t="s">
        <v>19447</v>
      </c>
      <c r="D15090" s="38" t="str">
        <f>IFERROR(__xludf.DUMMYFUNCTION("REGEXREPLACE(C15090,""-\d+(.*)|--\d+(.*)"","""")"),"CORGENGOUX")</f>
        <v>CORGENGOUX</v>
      </c>
      <c r="E15090" s="38" t="s">
        <v>105</v>
      </c>
      <c r="F15090" s="38" t="s">
        <v>106</v>
      </c>
      <c r="G15090" s="49" t="str">
        <f t="shared" si="1"/>
        <v>21250</v>
      </c>
      <c r="H15090" s="49">
        <f t="shared" si="2"/>
        <v>21193</v>
      </c>
    </row>
    <row r="15091">
      <c r="A15091" s="48" t="s">
        <v>7799</v>
      </c>
      <c r="B15091" s="38">
        <v>7090.0</v>
      </c>
      <c r="C15091" s="38" t="s">
        <v>19448</v>
      </c>
      <c r="D15091" s="38" t="str">
        <f>IFERROR(__xludf.DUMMYFUNCTION("REGEXREPLACE(C15091,""-\d+(.*)|--\d+(.*)"","""")"),"FLAVIAC")</f>
        <v>FLAVIAC</v>
      </c>
      <c r="E15091" s="38" t="s">
        <v>144</v>
      </c>
      <c r="F15091" s="38" t="s">
        <v>102</v>
      </c>
      <c r="G15091" s="49" t="str">
        <f t="shared" si="1"/>
        <v>07000</v>
      </c>
      <c r="H15091" s="49" t="str">
        <f t="shared" si="2"/>
        <v>07090</v>
      </c>
    </row>
    <row r="15092">
      <c r="A15092" s="48" t="s">
        <v>3735</v>
      </c>
      <c r="B15092" s="38">
        <v>28273.0</v>
      </c>
      <c r="C15092" s="38" t="s">
        <v>19449</v>
      </c>
      <c r="D15092" s="38" t="str">
        <f>IFERROR(__xludf.DUMMYFUNCTION("REGEXREPLACE(C15092,""-\d+(.*)|--\d+(.*)"","""")"),"MOULHARD")</f>
        <v>MOULHARD</v>
      </c>
      <c r="E15092" s="38" t="s">
        <v>300</v>
      </c>
      <c r="F15092" s="38" t="s">
        <v>123</v>
      </c>
      <c r="G15092" s="49" t="str">
        <f t="shared" si="1"/>
        <v>28160</v>
      </c>
      <c r="H15092" s="49">
        <f t="shared" si="2"/>
        <v>28273</v>
      </c>
    </row>
    <row r="15093">
      <c r="A15093" s="48" t="s">
        <v>5230</v>
      </c>
      <c r="B15093" s="38">
        <v>25553.0</v>
      </c>
      <c r="C15093" s="38" t="s">
        <v>19450</v>
      </c>
      <c r="D15093" s="38" t="str">
        <f>IFERROR(__xludf.DUMMYFUNCTION("REGEXREPLACE(C15093,""-\d+(.*)|--\d+(.*)"","""")"),"SOYE")</f>
        <v>SOYE</v>
      </c>
      <c r="E15093" s="38" t="s">
        <v>213</v>
      </c>
      <c r="F15093" s="38" t="s">
        <v>214</v>
      </c>
      <c r="G15093" s="49" t="str">
        <f t="shared" si="1"/>
        <v>25250</v>
      </c>
      <c r="H15093" s="49">
        <f t="shared" si="2"/>
        <v>25553</v>
      </c>
    </row>
    <row r="15094">
      <c r="A15094" s="48" t="s">
        <v>7752</v>
      </c>
      <c r="B15094" s="38">
        <v>69051.0</v>
      </c>
      <c r="C15094" s="38" t="s">
        <v>19451</v>
      </c>
      <c r="D15094" s="38" t="str">
        <f>IFERROR(__xludf.DUMMYFUNCTION("REGEXREPLACE(C15094,""-\d+(.*)|--\d+(.*)"","""")"),"CHAUSSAN")</f>
        <v>CHAUSSAN</v>
      </c>
      <c r="E15094" s="38" t="s">
        <v>350</v>
      </c>
      <c r="F15094" s="38" t="s">
        <v>102</v>
      </c>
      <c r="G15094" s="49" t="str">
        <f t="shared" si="1"/>
        <v>69440</v>
      </c>
      <c r="H15094" s="49">
        <f t="shared" si="2"/>
        <v>69051</v>
      </c>
    </row>
    <row r="15095">
      <c r="A15095" s="48" t="s">
        <v>3226</v>
      </c>
      <c r="B15095" s="38">
        <v>61078.0</v>
      </c>
      <c r="C15095" s="38" t="s">
        <v>19452</v>
      </c>
      <c r="D15095" s="38" t="str">
        <f>IFERROR(__xludf.DUMMYFUNCTION("REGEXREPLACE(C15095,""-\d+(.*)|--\d+(.*)"","""")"),"CERISY-BELLE-ETOILE")</f>
        <v>CERISY-BELLE-ETOILE</v>
      </c>
      <c r="E15095" s="38" t="s">
        <v>141</v>
      </c>
      <c r="F15095" s="38" t="s">
        <v>138</v>
      </c>
      <c r="G15095" s="49" t="str">
        <f t="shared" si="1"/>
        <v>61100</v>
      </c>
      <c r="H15095" s="49">
        <f t="shared" si="2"/>
        <v>61078</v>
      </c>
    </row>
    <row r="15096">
      <c r="A15096" s="48" t="s">
        <v>920</v>
      </c>
      <c r="B15096" s="38">
        <v>31247.0</v>
      </c>
      <c r="C15096" s="38" t="s">
        <v>19453</v>
      </c>
      <c r="D15096" s="38" t="str">
        <f>IFERROR(__xludf.DUMMYFUNCTION("REGEXREPLACE(C15096,""-\d+(.*)|--\d+(.*)"","""")"),"LABARTHE-RIVIERE")</f>
        <v>LABARTHE-RIVIERE</v>
      </c>
      <c r="E15096" s="38" t="s">
        <v>93</v>
      </c>
      <c r="F15096" s="38" t="s">
        <v>94</v>
      </c>
      <c r="G15096" s="49" t="str">
        <f t="shared" si="1"/>
        <v>31800</v>
      </c>
      <c r="H15096" s="49">
        <f t="shared" si="2"/>
        <v>31247</v>
      </c>
    </row>
    <row r="15097">
      <c r="A15097" s="48" t="s">
        <v>1885</v>
      </c>
      <c r="B15097" s="38">
        <v>27459.0</v>
      </c>
      <c r="C15097" s="38" t="s">
        <v>19454</v>
      </c>
      <c r="D15097" s="38" t="str">
        <f>IFERROR(__xludf.DUMMYFUNCTION("REGEXREPLACE(C15097,""-\d+(.*)|--\d+(.*)"","""")"),"LES PLACES")</f>
        <v>LES PLACES</v>
      </c>
      <c r="E15097" s="38" t="s">
        <v>241</v>
      </c>
      <c r="F15097" s="38" t="s">
        <v>134</v>
      </c>
      <c r="G15097" s="49" t="str">
        <f t="shared" si="1"/>
        <v>27230</v>
      </c>
      <c r="H15097" s="49">
        <f t="shared" si="2"/>
        <v>27459</v>
      </c>
    </row>
    <row r="15098">
      <c r="A15098" s="48" t="s">
        <v>2549</v>
      </c>
      <c r="B15098" s="38">
        <v>55128.0</v>
      </c>
      <c r="C15098" s="38" t="s">
        <v>19455</v>
      </c>
      <c r="D15098" s="38" t="str">
        <f>IFERROR(__xludf.DUMMYFUNCTION("REGEXREPLACE(C15098,""-\d+(.*)|--\d+(.*)"","""")"),"COURCELLES-SUR-AIRE")</f>
        <v>COURCELLES-SUR-AIRE</v>
      </c>
      <c r="E15098" s="38" t="s">
        <v>322</v>
      </c>
      <c r="F15098" s="38" t="s">
        <v>195</v>
      </c>
      <c r="G15098" s="49" t="str">
        <f t="shared" si="1"/>
        <v>55260</v>
      </c>
      <c r="H15098" s="49">
        <f t="shared" si="2"/>
        <v>55128</v>
      </c>
    </row>
    <row r="15099">
      <c r="A15099" s="48" t="s">
        <v>972</v>
      </c>
      <c r="B15099" s="38">
        <v>37098.0</v>
      </c>
      <c r="C15099" s="38" t="s">
        <v>19456</v>
      </c>
      <c r="D15099" s="38" t="str">
        <f>IFERROR(__xludf.DUMMYFUNCTION("REGEXREPLACE(C15099,""-\d+(.*)|--\d+(.*)"","""")"),"DRACHE")</f>
        <v>DRACHE</v>
      </c>
      <c r="E15099" s="38" t="s">
        <v>205</v>
      </c>
      <c r="F15099" s="38" t="s">
        <v>123</v>
      </c>
      <c r="G15099" s="49" t="str">
        <f t="shared" si="1"/>
        <v>37800</v>
      </c>
      <c r="H15099" s="49">
        <f t="shared" si="2"/>
        <v>37098</v>
      </c>
    </row>
    <row r="15100">
      <c r="A15100" s="48" t="s">
        <v>4596</v>
      </c>
      <c r="B15100" s="38">
        <v>2580.0</v>
      </c>
      <c r="C15100" s="38" t="s">
        <v>19457</v>
      </c>
      <c r="D15100" s="38" t="str">
        <f>IFERROR(__xludf.DUMMYFUNCTION("REGEXREPLACE(C15100,""-\d+(.*)|--\d+(.*)"","""")"),"OULCHY-LE-CHATEAU")</f>
        <v>OULCHY-LE-CHATEAU</v>
      </c>
      <c r="E15100" s="38" t="s">
        <v>191</v>
      </c>
      <c r="F15100" s="38" t="s">
        <v>113</v>
      </c>
      <c r="G15100" s="49" t="str">
        <f t="shared" si="1"/>
        <v>02210</v>
      </c>
      <c r="H15100" s="49" t="str">
        <f t="shared" si="2"/>
        <v>02580</v>
      </c>
    </row>
    <row r="15101">
      <c r="A15101" s="48" t="s">
        <v>3244</v>
      </c>
      <c r="B15101" s="38">
        <v>27659.0</v>
      </c>
      <c r="C15101" s="38" t="s">
        <v>7648</v>
      </c>
      <c r="D15101" s="38" t="str">
        <f>IFERROR(__xludf.DUMMYFUNCTION("REGEXREPLACE(C15101,""-\d+(.*)|--\d+(.*)"","""")"),"LA TRINITE")</f>
        <v>LA TRINITE</v>
      </c>
      <c r="E15101" s="38" t="s">
        <v>241</v>
      </c>
      <c r="F15101" s="38" t="s">
        <v>134</v>
      </c>
      <c r="G15101" s="49" t="str">
        <f t="shared" si="1"/>
        <v>27930</v>
      </c>
      <c r="H15101" s="49">
        <f t="shared" si="2"/>
        <v>27659</v>
      </c>
    </row>
    <row r="15102">
      <c r="A15102" s="48" t="s">
        <v>5103</v>
      </c>
      <c r="B15102" s="38">
        <v>37169.0</v>
      </c>
      <c r="C15102" s="38" t="s">
        <v>19458</v>
      </c>
      <c r="D15102" s="38" t="str">
        <f>IFERROR(__xludf.DUMMYFUNCTION("REGEXREPLACE(C15102,""-\d+(.*)|--\d+(.*)"","""")"),"NEUVILLE-SUR-BRENNE")</f>
        <v>NEUVILLE-SUR-BRENNE</v>
      </c>
      <c r="E15102" s="38" t="s">
        <v>205</v>
      </c>
      <c r="F15102" s="38" t="s">
        <v>123</v>
      </c>
      <c r="G15102" s="49" t="str">
        <f t="shared" si="1"/>
        <v>37110</v>
      </c>
      <c r="H15102" s="49">
        <f t="shared" si="2"/>
        <v>37169</v>
      </c>
    </row>
    <row r="15103">
      <c r="A15103" s="48" t="s">
        <v>1077</v>
      </c>
      <c r="B15103" s="38">
        <v>25018.0</v>
      </c>
      <c r="C15103" s="38" t="s">
        <v>19459</v>
      </c>
      <c r="D15103" s="38" t="str">
        <f>IFERROR(__xludf.DUMMYFUNCTION("REGEXREPLACE(C15103,""-\d+(.*)|--\d+(.*)"","""")"),"ANTEUIL")</f>
        <v>ANTEUIL</v>
      </c>
      <c r="E15103" s="38" t="s">
        <v>213</v>
      </c>
      <c r="F15103" s="38" t="s">
        <v>214</v>
      </c>
      <c r="G15103" s="49" t="str">
        <f t="shared" si="1"/>
        <v>25340</v>
      </c>
      <c r="H15103" s="49">
        <f t="shared" si="2"/>
        <v>25018</v>
      </c>
    </row>
    <row r="15104">
      <c r="A15104" s="48" t="s">
        <v>5423</v>
      </c>
      <c r="B15104" s="38">
        <v>31243.0</v>
      </c>
      <c r="C15104" s="38" t="s">
        <v>19460</v>
      </c>
      <c r="D15104" s="38" t="str">
        <f>IFERROR(__xludf.DUMMYFUNCTION("REGEXREPLACE(C15104,""-\d+(.*)|--\d+(.*)"","""")"),"JUZES")</f>
        <v>JUZES</v>
      </c>
      <c r="E15104" s="38" t="s">
        <v>93</v>
      </c>
      <c r="F15104" s="38" t="s">
        <v>94</v>
      </c>
      <c r="G15104" s="49" t="str">
        <f t="shared" si="1"/>
        <v>31540</v>
      </c>
      <c r="H15104" s="49">
        <f t="shared" si="2"/>
        <v>31243</v>
      </c>
    </row>
    <row r="15105">
      <c r="A15105" s="48" t="s">
        <v>345</v>
      </c>
      <c r="B15105" s="38">
        <v>35263.0</v>
      </c>
      <c r="C15105" s="38" t="s">
        <v>19461</v>
      </c>
      <c r="D15105" s="38" t="str">
        <f>IFERROR(__xludf.DUMMYFUNCTION("REGEXREPLACE(C15105,""-\d+(.*)|--\d+(.*)"","""")"),"SAINT-COULOMB")</f>
        <v>SAINT-COULOMB</v>
      </c>
      <c r="E15105" s="38" t="s">
        <v>347</v>
      </c>
      <c r="F15105" s="38" t="s">
        <v>90</v>
      </c>
      <c r="G15105" s="49" t="str">
        <f t="shared" si="1"/>
        <v>35350</v>
      </c>
      <c r="H15105" s="49">
        <f t="shared" si="2"/>
        <v>35263</v>
      </c>
    </row>
    <row r="15106">
      <c r="A15106" s="48" t="s">
        <v>601</v>
      </c>
      <c r="B15106" s="38">
        <v>51240.0</v>
      </c>
      <c r="C15106" s="38" t="s">
        <v>19462</v>
      </c>
      <c r="D15106" s="38" t="str">
        <f>IFERROR(__xludf.DUMMYFUNCTION("REGEXREPLACE(C15106,""-\d+(.*)|--\d+(.*)"","""")"),"ETREPY")</f>
        <v>ETREPY</v>
      </c>
      <c r="E15106" s="38" t="s">
        <v>129</v>
      </c>
      <c r="F15106" s="38" t="s">
        <v>130</v>
      </c>
      <c r="G15106" s="49" t="str">
        <f t="shared" si="1"/>
        <v>51340</v>
      </c>
      <c r="H15106" s="49">
        <f t="shared" si="2"/>
        <v>51240</v>
      </c>
    </row>
    <row r="15107">
      <c r="A15107" s="48" t="s">
        <v>7351</v>
      </c>
      <c r="B15107" s="38">
        <v>56076.0</v>
      </c>
      <c r="C15107" s="38" t="s">
        <v>19463</v>
      </c>
      <c r="D15107" s="38" t="str">
        <f>IFERROR(__xludf.DUMMYFUNCTION("REGEXREPLACE(C15107,""-\d+(.*)|--\d+(.*)"","""")"),"GUERN")</f>
        <v>GUERN</v>
      </c>
      <c r="E15107" s="38" t="s">
        <v>173</v>
      </c>
      <c r="F15107" s="38" t="s">
        <v>90</v>
      </c>
      <c r="G15107" s="49" t="str">
        <f t="shared" si="1"/>
        <v>56310</v>
      </c>
      <c r="H15107" s="49">
        <f t="shared" si="2"/>
        <v>56076</v>
      </c>
    </row>
    <row r="15108">
      <c r="A15108" s="48" t="s">
        <v>2805</v>
      </c>
      <c r="B15108" s="38">
        <v>23104.0</v>
      </c>
      <c r="C15108" s="38" t="s">
        <v>19464</v>
      </c>
      <c r="D15108" s="38" t="str">
        <f>IFERROR(__xludf.DUMMYFUNCTION("REGEXREPLACE(C15108,""-\d+(.*)|--\d+(.*)"","""")"),"LAVAUFRANCHE")</f>
        <v>LAVAUFRANCHE</v>
      </c>
      <c r="E15108" s="38" t="s">
        <v>97</v>
      </c>
      <c r="F15108" s="38" t="s">
        <v>98</v>
      </c>
      <c r="G15108" s="49" t="str">
        <f t="shared" si="1"/>
        <v>23600</v>
      </c>
      <c r="H15108" s="49">
        <f t="shared" si="2"/>
        <v>23104</v>
      </c>
    </row>
    <row r="15109">
      <c r="A15109" s="48" t="s">
        <v>19465</v>
      </c>
      <c r="B15109" s="38">
        <v>16240.0</v>
      </c>
      <c r="C15109" s="38" t="s">
        <v>19466</v>
      </c>
      <c r="D15109" s="38" t="str">
        <f>IFERROR(__xludf.DUMMYFUNCTION("REGEXREPLACE(C15109,""-\d+(.*)|--\d+(.*)"","""")"),"NABINAUD")</f>
        <v>NABINAUD</v>
      </c>
      <c r="E15109" s="38" t="s">
        <v>429</v>
      </c>
      <c r="F15109" s="38" t="s">
        <v>338</v>
      </c>
      <c r="G15109" s="49" t="str">
        <f t="shared" si="1"/>
        <v>16390</v>
      </c>
      <c r="H15109" s="49">
        <f t="shared" si="2"/>
        <v>16240</v>
      </c>
    </row>
    <row r="15110">
      <c r="A15110" s="48" t="s">
        <v>1978</v>
      </c>
      <c r="B15110" s="38">
        <v>88220.0</v>
      </c>
      <c r="C15110" s="38" t="s">
        <v>19467</v>
      </c>
      <c r="D15110" s="38" t="str">
        <f>IFERROR(__xludf.DUMMYFUNCTION("REGEXREPLACE(C15110,""-\d+(.*)|--\d+(.*)"","""")"),"GRIGNONCOURT")</f>
        <v>GRIGNONCOURT</v>
      </c>
      <c r="E15110" s="38" t="s">
        <v>194</v>
      </c>
      <c r="F15110" s="38" t="s">
        <v>195</v>
      </c>
      <c r="G15110" s="49" t="str">
        <f t="shared" si="1"/>
        <v>88410</v>
      </c>
      <c r="H15110" s="49">
        <f t="shared" si="2"/>
        <v>88220</v>
      </c>
    </row>
    <row r="15111">
      <c r="A15111" s="48" t="s">
        <v>10552</v>
      </c>
      <c r="B15111" s="38">
        <v>22290.0</v>
      </c>
      <c r="C15111" s="38" t="s">
        <v>19468</v>
      </c>
      <c r="D15111" s="38" t="str">
        <f>IFERROR(__xludf.DUMMYFUNCTION("REGEXREPLACE(C15111,""-\d+(.*)|--\d+(.*)"","""")"),"SAINT-GELVEN")</f>
        <v>SAINT-GELVEN</v>
      </c>
      <c r="E15111" s="38" t="s">
        <v>89</v>
      </c>
      <c r="F15111" s="38" t="s">
        <v>90</v>
      </c>
      <c r="G15111" s="49" t="str">
        <f t="shared" si="1"/>
        <v>22570</v>
      </c>
      <c r="H15111" s="49">
        <f t="shared" si="2"/>
        <v>22290</v>
      </c>
    </row>
    <row r="15112">
      <c r="A15112" s="48" t="s">
        <v>436</v>
      </c>
      <c r="B15112" s="38">
        <v>51373.0</v>
      </c>
      <c r="C15112" s="38" t="s">
        <v>19469</v>
      </c>
      <c r="D15112" s="38" t="str">
        <f>IFERROR(__xludf.DUMMYFUNCTION("REGEXREPLACE(C15112,""-\d+(.*)|--\d+(.*)"","""")"),"MONCETZ-L'ABBAYE")</f>
        <v>MONCETZ-L'ABBAYE</v>
      </c>
      <c r="E15112" s="38" t="s">
        <v>129</v>
      </c>
      <c r="F15112" s="38" t="s">
        <v>130</v>
      </c>
      <c r="G15112" s="49" t="str">
        <f t="shared" si="1"/>
        <v>51290</v>
      </c>
      <c r="H15112" s="49">
        <f t="shared" si="2"/>
        <v>51373</v>
      </c>
    </row>
    <row r="15113">
      <c r="A15113" s="48" t="s">
        <v>17399</v>
      </c>
      <c r="B15113" s="38">
        <v>41204.0</v>
      </c>
      <c r="C15113" s="38" t="s">
        <v>19470</v>
      </c>
      <c r="D15113" s="38" t="str">
        <f>IFERROR(__xludf.DUMMYFUNCTION("REGEXREPLACE(C15113,""-\d+(.*)|--\d+(.*)"","""")"),"SAINT-CLAUDE-DE-DIRAY")</f>
        <v>SAINT-CLAUDE-DE-DIRAY</v>
      </c>
      <c r="E15113" s="38" t="s">
        <v>188</v>
      </c>
      <c r="F15113" s="38" t="s">
        <v>123</v>
      </c>
      <c r="G15113" s="49" t="str">
        <f t="shared" si="1"/>
        <v>41350</v>
      </c>
      <c r="H15113" s="49">
        <f t="shared" si="2"/>
        <v>41204</v>
      </c>
    </row>
    <row r="15114">
      <c r="A15114" s="48" t="s">
        <v>12249</v>
      </c>
      <c r="B15114" s="38">
        <v>71265.0</v>
      </c>
      <c r="C15114" s="38" t="s">
        <v>19471</v>
      </c>
      <c r="D15114" s="38" t="str">
        <f>IFERROR(__xludf.DUMMYFUNCTION("REGEXREPLACE(C15114,""-\d+(.*)|--\d+(.*)"","""")"),"LA LOYERE")</f>
        <v>LA LOYERE</v>
      </c>
      <c r="E15114" s="38" t="s">
        <v>344</v>
      </c>
      <c r="F15114" s="38" t="s">
        <v>106</v>
      </c>
      <c r="G15114" s="49" t="str">
        <f t="shared" si="1"/>
        <v>71530</v>
      </c>
      <c r="H15114" s="49">
        <f t="shared" si="2"/>
        <v>71265</v>
      </c>
    </row>
    <row r="15115">
      <c r="A15115" s="48" t="s">
        <v>2899</v>
      </c>
      <c r="B15115" s="38">
        <v>15183.0</v>
      </c>
      <c r="C15115" s="38" t="s">
        <v>19472</v>
      </c>
      <c r="D15115" s="38" t="str">
        <f>IFERROR(__xludf.DUMMYFUNCTION("REGEXREPLACE(C15115,""-\d+(.*)|--\d+(.*)"","""")"),"SAINT-ETIENNE-DE-CARLAT")</f>
        <v>SAINT-ETIENNE-DE-CARLAT</v>
      </c>
      <c r="E15115" s="38" t="s">
        <v>632</v>
      </c>
      <c r="F15115" s="38" t="s">
        <v>161</v>
      </c>
      <c r="G15115" s="49" t="str">
        <f t="shared" si="1"/>
        <v>15130</v>
      </c>
      <c r="H15115" s="49">
        <f t="shared" si="2"/>
        <v>15183</v>
      </c>
    </row>
    <row r="15116">
      <c r="A15116" s="48" t="s">
        <v>5460</v>
      </c>
      <c r="B15116" s="38">
        <v>60135.0</v>
      </c>
      <c r="C15116" s="38" t="s">
        <v>19473</v>
      </c>
      <c r="D15116" s="38" t="str">
        <f>IFERROR(__xludf.DUMMYFUNCTION("REGEXREPLACE(C15116,""-\d+(.*)|--\d+(.*)"","""")"),"CAUVIGNY")</f>
        <v>CAUVIGNY</v>
      </c>
      <c r="E15116" s="38" t="s">
        <v>112</v>
      </c>
      <c r="F15116" s="38" t="s">
        <v>113</v>
      </c>
      <c r="G15116" s="49" t="str">
        <f t="shared" si="1"/>
        <v>60730</v>
      </c>
      <c r="H15116" s="49">
        <f t="shared" si="2"/>
        <v>60135</v>
      </c>
    </row>
    <row r="15117">
      <c r="A15117" s="48" t="s">
        <v>9585</v>
      </c>
      <c r="B15117" s="38">
        <v>25490.0</v>
      </c>
      <c r="C15117" s="38" t="s">
        <v>19474</v>
      </c>
      <c r="D15117" s="38" t="str">
        <f>IFERROR(__xludf.DUMMYFUNCTION("REGEXREPLACE(C15117,""-\d+(.*)|--\d+(.*)"","""")"),"RIGNEY")</f>
        <v>RIGNEY</v>
      </c>
      <c r="E15117" s="38" t="s">
        <v>213</v>
      </c>
      <c r="F15117" s="38" t="s">
        <v>214</v>
      </c>
      <c r="G15117" s="49" t="str">
        <f t="shared" si="1"/>
        <v>25640</v>
      </c>
      <c r="H15117" s="49">
        <f t="shared" si="2"/>
        <v>25490</v>
      </c>
    </row>
    <row r="15118">
      <c r="A15118" s="48" t="s">
        <v>127</v>
      </c>
      <c r="B15118" s="38">
        <v>51098.0</v>
      </c>
      <c r="C15118" s="38" t="s">
        <v>19475</v>
      </c>
      <c r="D15118" s="38" t="str">
        <f>IFERROR(__xludf.DUMMYFUNCTION("REGEXREPLACE(C15118,""-\d+(.*)|--\d+(.*)"","""")"),"BUSSY-LE-REPOS")</f>
        <v>BUSSY-LE-REPOS</v>
      </c>
      <c r="E15118" s="38" t="s">
        <v>129</v>
      </c>
      <c r="F15118" s="38" t="s">
        <v>130</v>
      </c>
      <c r="G15118" s="49" t="str">
        <f t="shared" si="1"/>
        <v>51330</v>
      </c>
      <c r="H15118" s="49">
        <f t="shared" si="2"/>
        <v>51098</v>
      </c>
    </row>
    <row r="15119">
      <c r="A15119" s="48" t="s">
        <v>4499</v>
      </c>
      <c r="B15119" s="38">
        <v>25460.0</v>
      </c>
      <c r="C15119" s="38" t="s">
        <v>19476</v>
      </c>
      <c r="D15119" s="38" t="str">
        <f>IFERROR(__xludf.DUMMYFUNCTION("REGEXREPLACE(C15119,""-\d+(.*)|--\d+(.*)"","""")"),"POINTVILLERS")</f>
        <v>POINTVILLERS</v>
      </c>
      <c r="E15119" s="38" t="s">
        <v>213</v>
      </c>
      <c r="F15119" s="38" t="s">
        <v>214</v>
      </c>
      <c r="G15119" s="49" t="str">
        <f t="shared" si="1"/>
        <v>25440</v>
      </c>
      <c r="H15119" s="49">
        <f t="shared" si="2"/>
        <v>25460</v>
      </c>
    </row>
    <row r="15120">
      <c r="A15120" s="48" t="s">
        <v>6145</v>
      </c>
      <c r="B15120" s="38">
        <v>59541.0</v>
      </c>
      <c r="C15120" s="38" t="s">
        <v>19477</v>
      </c>
      <c r="D15120" s="38" t="str">
        <f>IFERROR(__xludf.DUMMYFUNCTION("REGEXREPLACE(C15120,""-\d+(.*)|--\d+(.*)"","""")"),"SAINT-PYTHON")</f>
        <v>SAINT-PYTHON</v>
      </c>
      <c r="E15120" s="38" t="s">
        <v>85</v>
      </c>
      <c r="F15120" s="38" t="s">
        <v>86</v>
      </c>
      <c r="G15120" s="49" t="str">
        <f t="shared" si="1"/>
        <v>59730</v>
      </c>
      <c r="H15120" s="49">
        <f t="shared" si="2"/>
        <v>59541</v>
      </c>
    </row>
    <row r="15121">
      <c r="A15121" s="48" t="s">
        <v>8287</v>
      </c>
      <c r="B15121" s="38">
        <v>31227.0</v>
      </c>
      <c r="C15121" s="38" t="s">
        <v>19478</v>
      </c>
      <c r="D15121" s="38" t="str">
        <f>IFERROR(__xludf.DUMMYFUNCTION("REGEXREPLACE(C15121,""-\d+(.*)|--\d+(.*)"","""")"),"GOYRANS")</f>
        <v>GOYRANS</v>
      </c>
      <c r="E15121" s="38" t="s">
        <v>93</v>
      </c>
      <c r="F15121" s="38" t="s">
        <v>94</v>
      </c>
      <c r="G15121" s="49" t="str">
        <f t="shared" si="1"/>
        <v>31120</v>
      </c>
      <c r="H15121" s="49">
        <f t="shared" si="2"/>
        <v>31227</v>
      </c>
    </row>
    <row r="15122">
      <c r="A15122" s="48" t="s">
        <v>7501</v>
      </c>
      <c r="B15122" s="38">
        <v>9021.0</v>
      </c>
      <c r="C15122" s="38" t="s">
        <v>19479</v>
      </c>
      <c r="D15122" s="38" t="str">
        <f>IFERROR(__xludf.DUMMYFUNCTION("REGEXREPLACE(C15122,""-\d+(.*)|--\d+(.*)"","""")"),"ARTIX")</f>
        <v>ARTIX</v>
      </c>
      <c r="E15122" s="38" t="s">
        <v>238</v>
      </c>
      <c r="F15122" s="38" t="s">
        <v>94</v>
      </c>
      <c r="G15122" s="49" t="str">
        <f t="shared" si="1"/>
        <v>09120</v>
      </c>
      <c r="H15122" s="49" t="str">
        <f t="shared" si="2"/>
        <v>09021</v>
      </c>
    </row>
    <row r="15123">
      <c r="A15123" s="48" t="s">
        <v>7712</v>
      </c>
      <c r="B15123" s="38">
        <v>9130.0</v>
      </c>
      <c r="C15123" s="38" t="s">
        <v>19480</v>
      </c>
      <c r="D15123" s="38" t="str">
        <f>IFERROR(__xludf.DUMMYFUNCTION("REGEXREPLACE(C15123,""-\d+(.*)|--\d+(.*)"","""")"),"GANAC")</f>
        <v>GANAC</v>
      </c>
      <c r="E15123" s="38" t="s">
        <v>238</v>
      </c>
      <c r="F15123" s="38" t="s">
        <v>94</v>
      </c>
      <c r="G15123" s="49" t="str">
        <f t="shared" si="1"/>
        <v>09000</v>
      </c>
      <c r="H15123" s="49" t="str">
        <f t="shared" si="2"/>
        <v>09130</v>
      </c>
    </row>
    <row r="15124">
      <c r="A15124" s="48" t="s">
        <v>1588</v>
      </c>
      <c r="B15124" s="38">
        <v>9059.0</v>
      </c>
      <c r="C15124" s="38" t="s">
        <v>19481</v>
      </c>
      <c r="D15124" s="38" t="str">
        <f>IFERROR(__xludf.DUMMYFUNCTION("REGEXREPLACE(C15124,""-\d+(.*)|--\d+(.*)"","""")"),"BONAC-IRAZEIN")</f>
        <v>BONAC-IRAZEIN</v>
      </c>
      <c r="E15124" s="38" t="s">
        <v>238</v>
      </c>
      <c r="F15124" s="38" t="s">
        <v>94</v>
      </c>
      <c r="G15124" s="49" t="str">
        <f t="shared" si="1"/>
        <v>09800</v>
      </c>
      <c r="H15124" s="49" t="str">
        <f t="shared" si="2"/>
        <v>09059</v>
      </c>
    </row>
    <row r="15125">
      <c r="A15125" s="48" t="s">
        <v>11131</v>
      </c>
      <c r="B15125" s="38">
        <v>53142.0</v>
      </c>
      <c r="C15125" s="38" t="s">
        <v>19482</v>
      </c>
      <c r="D15125" s="38" t="str">
        <f>IFERROR(__xludf.DUMMYFUNCTION("REGEXREPLACE(C15125,""-\d+(.*)|--\d+(.*)"","""")"),"MADRE")</f>
        <v>MADRE</v>
      </c>
      <c r="E15125" s="38" t="s">
        <v>518</v>
      </c>
      <c r="F15125" s="38" t="s">
        <v>180</v>
      </c>
      <c r="G15125" s="49" t="str">
        <f t="shared" si="1"/>
        <v>53250</v>
      </c>
      <c r="H15125" s="49">
        <f t="shared" si="2"/>
        <v>53142</v>
      </c>
    </row>
    <row r="15126">
      <c r="A15126" s="48" t="s">
        <v>10002</v>
      </c>
      <c r="B15126" s="38">
        <v>67404.0</v>
      </c>
      <c r="C15126" s="38" t="s">
        <v>19483</v>
      </c>
      <c r="D15126" s="38" t="str">
        <f>IFERROR(__xludf.DUMMYFUNCTION("REGEXREPLACE(C15126,""-\d+(.*)|--\d+(.*)"","""")"),"RITTERSHOFFEN")</f>
        <v>RITTERSHOFFEN</v>
      </c>
      <c r="E15126" s="38" t="s">
        <v>210</v>
      </c>
      <c r="F15126" s="38" t="s">
        <v>151</v>
      </c>
      <c r="G15126" s="49" t="str">
        <f t="shared" si="1"/>
        <v>67690</v>
      </c>
      <c r="H15126" s="49">
        <f t="shared" si="2"/>
        <v>67404</v>
      </c>
    </row>
    <row r="15127">
      <c r="A15127" s="48" t="s">
        <v>468</v>
      </c>
      <c r="B15127" s="38">
        <v>26248.0</v>
      </c>
      <c r="C15127" s="38" t="s">
        <v>19484</v>
      </c>
      <c r="D15127" s="38" t="str">
        <f>IFERROR(__xludf.DUMMYFUNCTION("REGEXREPLACE(C15127,""-\d+(.*)|--\d+(.*)"","""")"),"PONTAIX")</f>
        <v>PONTAIX</v>
      </c>
      <c r="E15127" s="38" t="s">
        <v>126</v>
      </c>
      <c r="F15127" s="38" t="s">
        <v>102</v>
      </c>
      <c r="G15127" s="49" t="str">
        <f t="shared" si="1"/>
        <v>26150</v>
      </c>
      <c r="H15127" s="49">
        <f t="shared" si="2"/>
        <v>26248</v>
      </c>
    </row>
    <row r="15128">
      <c r="A15128" s="48" t="s">
        <v>8595</v>
      </c>
      <c r="B15128" s="38">
        <v>42242.0</v>
      </c>
      <c r="C15128" s="38" t="s">
        <v>19485</v>
      </c>
      <c r="D15128" s="38" t="str">
        <f>IFERROR(__xludf.DUMMYFUNCTION("REGEXREPLACE(C15128,""-\d+(.*)|--\d+(.*)"","""")"),"SAINT-JOSEPH")</f>
        <v>SAINT-JOSEPH</v>
      </c>
      <c r="E15128" s="38" t="s">
        <v>166</v>
      </c>
      <c r="F15128" s="38" t="s">
        <v>102</v>
      </c>
      <c r="G15128" s="49" t="str">
        <f t="shared" si="1"/>
        <v>42800</v>
      </c>
      <c r="H15128" s="49">
        <f t="shared" si="2"/>
        <v>42242</v>
      </c>
    </row>
    <row r="15129">
      <c r="A15129" s="48" t="s">
        <v>1016</v>
      </c>
      <c r="B15129" s="38">
        <v>28302.0</v>
      </c>
      <c r="C15129" s="38" t="s">
        <v>19486</v>
      </c>
      <c r="D15129" s="38" t="str">
        <f>IFERROR(__xludf.DUMMYFUNCTION("REGEXREPLACE(C15129,""-\d+(.*)|--\d+(.*)"","""")"),"PONTGOUIN")</f>
        <v>PONTGOUIN</v>
      </c>
      <c r="E15129" s="38" t="s">
        <v>300</v>
      </c>
      <c r="F15129" s="38" t="s">
        <v>123</v>
      </c>
      <c r="G15129" s="49" t="str">
        <f t="shared" si="1"/>
        <v>28190</v>
      </c>
      <c r="H15129" s="49">
        <f t="shared" si="2"/>
        <v>28302</v>
      </c>
    </row>
    <row r="15130">
      <c r="A15130" s="48" t="s">
        <v>1544</v>
      </c>
      <c r="B15130" s="38">
        <v>2337.0</v>
      </c>
      <c r="C15130" s="38" t="s">
        <v>19487</v>
      </c>
      <c r="D15130" s="38" t="str">
        <f>IFERROR(__xludf.DUMMYFUNCTION("REGEXREPLACE(C15130,""-\d+(.*)|--\d+(.*)"","""")"),"FROIDESTREES")</f>
        <v>FROIDESTREES</v>
      </c>
      <c r="E15130" s="38" t="s">
        <v>191</v>
      </c>
      <c r="F15130" s="38" t="s">
        <v>113</v>
      </c>
      <c r="G15130" s="49" t="str">
        <f t="shared" si="1"/>
        <v>02260</v>
      </c>
      <c r="H15130" s="49" t="str">
        <f t="shared" si="2"/>
        <v>02337</v>
      </c>
    </row>
    <row r="15131">
      <c r="A15131" s="48" t="s">
        <v>17621</v>
      </c>
      <c r="B15131" s="38">
        <v>7027.0</v>
      </c>
      <c r="C15131" s="38" t="s">
        <v>19488</v>
      </c>
      <c r="D15131" s="38" t="str">
        <f>IFERROR(__xludf.DUMMYFUNCTION("REGEXREPLACE(C15131,""-\d+(.*)|--\d+(.*)"","""")"),"BEAUCHASTEL")</f>
        <v>BEAUCHASTEL</v>
      </c>
      <c r="E15131" s="38" t="s">
        <v>144</v>
      </c>
      <c r="F15131" s="38" t="s">
        <v>102</v>
      </c>
      <c r="G15131" s="49" t="str">
        <f t="shared" si="1"/>
        <v>07800</v>
      </c>
      <c r="H15131" s="49" t="str">
        <f t="shared" si="2"/>
        <v>07027</v>
      </c>
    </row>
    <row r="15132">
      <c r="A15132" s="48" t="s">
        <v>877</v>
      </c>
      <c r="B15132" s="38">
        <v>57261.0</v>
      </c>
      <c r="C15132" s="38" t="s">
        <v>19489</v>
      </c>
      <c r="D15132" s="38" t="str">
        <f>IFERROR(__xludf.DUMMYFUNCTION("REGEXREPLACE(C15132,""-\d+(.*)|--\d+(.*)"","""")"),"GROS-REDERCHING")</f>
        <v>GROS-REDERCHING</v>
      </c>
      <c r="E15132" s="38" t="s">
        <v>303</v>
      </c>
      <c r="F15132" s="38" t="s">
        <v>195</v>
      </c>
      <c r="G15132" s="49" t="str">
        <f t="shared" si="1"/>
        <v>57410</v>
      </c>
      <c r="H15132" s="49">
        <f t="shared" si="2"/>
        <v>57261</v>
      </c>
    </row>
    <row r="15133">
      <c r="A15133" s="48" t="s">
        <v>4530</v>
      </c>
      <c r="B15133" s="38">
        <v>11106.0</v>
      </c>
      <c r="C15133" s="38" t="s">
        <v>19490</v>
      </c>
      <c r="D15133" s="38" t="str">
        <f>IFERROR(__xludf.DUMMYFUNCTION("REGEXREPLACE(C15133,""-\d+(.*)|--\d+(.*)"","""")"),"COURSAN")</f>
        <v>COURSAN</v>
      </c>
      <c r="E15133" s="38" t="s">
        <v>278</v>
      </c>
      <c r="F15133" s="38" t="s">
        <v>119</v>
      </c>
      <c r="G15133" s="49" t="str">
        <f t="shared" si="1"/>
        <v>11110</v>
      </c>
      <c r="H15133" s="49">
        <f t="shared" si="2"/>
        <v>11106</v>
      </c>
    </row>
    <row r="15134">
      <c r="A15134" s="48" t="s">
        <v>10996</v>
      </c>
      <c r="B15134" s="38">
        <v>29125.0</v>
      </c>
      <c r="C15134" s="38" t="s">
        <v>19491</v>
      </c>
      <c r="D15134" s="38" t="str">
        <f>IFERROR(__xludf.DUMMYFUNCTION("REGEXREPLACE(C15134,""-\d+(.*)|--\d+(.*)"","""")"),"LEUHAN")</f>
        <v>LEUHAN</v>
      </c>
      <c r="E15134" s="38" t="s">
        <v>176</v>
      </c>
      <c r="F15134" s="38" t="s">
        <v>90</v>
      </c>
      <c r="G15134" s="49" t="str">
        <f t="shared" si="1"/>
        <v>29390</v>
      </c>
      <c r="H15134" s="49">
        <f t="shared" si="2"/>
        <v>29125</v>
      </c>
    </row>
    <row r="15135">
      <c r="A15135" s="48" t="s">
        <v>19492</v>
      </c>
      <c r="B15135" s="38">
        <v>71023.0</v>
      </c>
      <c r="C15135" s="38" t="s">
        <v>19493</v>
      </c>
      <c r="D15135" s="38" t="str">
        <f>IFERROR(__xludf.DUMMYFUNCTION("REGEXREPLACE(C15135,""-\d+(.*)|--\d+(.*)"","""")"),"BAUDRIERES")</f>
        <v>BAUDRIERES</v>
      </c>
      <c r="E15135" s="38" t="s">
        <v>344</v>
      </c>
      <c r="F15135" s="38" t="s">
        <v>106</v>
      </c>
      <c r="G15135" s="49" t="str">
        <f t="shared" si="1"/>
        <v>71370</v>
      </c>
      <c r="H15135" s="49">
        <f t="shared" si="2"/>
        <v>71023</v>
      </c>
    </row>
    <row r="15136">
      <c r="A15136" s="48" t="s">
        <v>11370</v>
      </c>
      <c r="B15136" s="38">
        <v>26302.0</v>
      </c>
      <c r="C15136" s="38" t="s">
        <v>19494</v>
      </c>
      <c r="D15136" s="38" t="str">
        <f>IFERROR(__xludf.DUMMYFUNCTION("REGEXREPLACE(C15136,""-\d+(.*)|--\d+(.*)"","""")"),"SAINTE-EULALIE-EN-ROYANS")</f>
        <v>SAINTE-EULALIE-EN-ROYANS</v>
      </c>
      <c r="E15136" s="38" t="s">
        <v>126</v>
      </c>
      <c r="F15136" s="38" t="s">
        <v>102</v>
      </c>
      <c r="G15136" s="49" t="str">
        <f t="shared" si="1"/>
        <v>26190</v>
      </c>
      <c r="H15136" s="49">
        <f t="shared" si="2"/>
        <v>26302</v>
      </c>
    </row>
    <row r="15137">
      <c r="A15137" s="48" t="s">
        <v>3725</v>
      </c>
      <c r="B15137" s="38">
        <v>50357.0</v>
      </c>
      <c r="C15137" s="38" t="s">
        <v>19495</v>
      </c>
      <c r="D15137" s="38" t="str">
        <f>IFERROR(__xludf.DUMMYFUNCTION("REGEXREPLACE(C15137,""-\d+(.*)|--\d+(.*)"","""")"),"MORIGNY")</f>
        <v>MORIGNY</v>
      </c>
      <c r="E15137" s="38" t="s">
        <v>157</v>
      </c>
      <c r="F15137" s="38" t="s">
        <v>138</v>
      </c>
      <c r="G15137" s="49" t="str">
        <f t="shared" si="1"/>
        <v>50410</v>
      </c>
      <c r="H15137" s="49">
        <f t="shared" si="2"/>
        <v>50357</v>
      </c>
    </row>
    <row r="15138">
      <c r="A15138" s="48" t="s">
        <v>9585</v>
      </c>
      <c r="B15138" s="38">
        <v>25269.0</v>
      </c>
      <c r="C15138" s="38" t="s">
        <v>19496</v>
      </c>
      <c r="D15138" s="38" t="str">
        <f>IFERROR(__xludf.DUMMYFUNCTION("REGEXREPLACE(C15138,""-\d+(.*)|--\d+(.*)"","""")"),"GERMONDANS")</f>
        <v>GERMONDANS</v>
      </c>
      <c r="E15138" s="38" t="s">
        <v>213</v>
      </c>
      <c r="F15138" s="38" t="s">
        <v>214</v>
      </c>
      <c r="G15138" s="49" t="str">
        <f t="shared" si="1"/>
        <v>25640</v>
      </c>
      <c r="H15138" s="49">
        <f t="shared" si="2"/>
        <v>25269</v>
      </c>
    </row>
    <row r="15139">
      <c r="A15139" s="48" t="s">
        <v>3031</v>
      </c>
      <c r="B15139" s="38">
        <v>21685.0</v>
      </c>
      <c r="C15139" s="38" t="s">
        <v>19497</v>
      </c>
      <c r="D15139" s="38" t="str">
        <f>IFERROR(__xludf.DUMMYFUNCTION("REGEXREPLACE(C15139,""-\d+(.*)|--\d+(.*)"","""")"),"VILLAINES-EN-DUESMOIS")</f>
        <v>VILLAINES-EN-DUESMOIS</v>
      </c>
      <c r="E15139" s="38" t="s">
        <v>105</v>
      </c>
      <c r="F15139" s="38" t="s">
        <v>106</v>
      </c>
      <c r="G15139" s="49" t="str">
        <f t="shared" si="1"/>
        <v>21450</v>
      </c>
      <c r="H15139" s="49">
        <f t="shared" si="2"/>
        <v>21685</v>
      </c>
    </row>
    <row r="15140">
      <c r="A15140" s="48" t="s">
        <v>930</v>
      </c>
      <c r="B15140" s="38">
        <v>32425.0</v>
      </c>
      <c r="C15140" s="38" t="s">
        <v>19498</v>
      </c>
      <c r="D15140" s="38" t="str">
        <f>IFERROR(__xludf.DUMMYFUNCTION("REGEXREPLACE(C15140,""-\d+(.*)|--\d+(.*)"","""")"),"SEGOUFIELLE")</f>
        <v>SEGOUFIELLE</v>
      </c>
      <c r="E15140" s="38" t="s">
        <v>440</v>
      </c>
      <c r="F15140" s="38" t="s">
        <v>94</v>
      </c>
      <c r="G15140" s="49" t="str">
        <f t="shared" si="1"/>
        <v>32600</v>
      </c>
      <c r="H15140" s="49">
        <f t="shared" si="2"/>
        <v>32425</v>
      </c>
    </row>
    <row r="15141">
      <c r="A15141" s="48" t="s">
        <v>12007</v>
      </c>
      <c r="B15141" s="38">
        <v>37141.0</v>
      </c>
      <c r="C15141" s="38" t="s">
        <v>19499</v>
      </c>
      <c r="D15141" s="38" t="str">
        <f>IFERROR(__xludf.DUMMYFUNCTION("REGEXREPLACE(C15141,""-\d+(.*)|--\d+(.*)"","""")"),"LUZILLE")</f>
        <v>LUZILLE</v>
      </c>
      <c r="E15141" s="38" t="s">
        <v>205</v>
      </c>
      <c r="F15141" s="38" t="s">
        <v>123</v>
      </c>
      <c r="G15141" s="49" t="str">
        <f t="shared" si="1"/>
        <v>37150</v>
      </c>
      <c r="H15141" s="49">
        <f t="shared" si="2"/>
        <v>37141</v>
      </c>
    </row>
    <row r="15142">
      <c r="A15142" s="48" t="s">
        <v>6602</v>
      </c>
      <c r="B15142" s="38">
        <v>68354.0</v>
      </c>
      <c r="C15142" s="38" t="s">
        <v>19500</v>
      </c>
      <c r="D15142" s="38" t="str">
        <f>IFERROR(__xludf.DUMMYFUNCTION("REGEXREPLACE(C15142,""-\d+(.*)|--\d+(.*)"","""")"),"WALBACH")</f>
        <v>WALBACH</v>
      </c>
      <c r="E15142" s="38" t="s">
        <v>150</v>
      </c>
      <c r="F15142" s="38" t="s">
        <v>151</v>
      </c>
      <c r="G15142" s="49" t="str">
        <f t="shared" si="1"/>
        <v>68230</v>
      </c>
      <c r="H15142" s="49">
        <f t="shared" si="2"/>
        <v>68354</v>
      </c>
    </row>
    <row r="15143">
      <c r="A15143" s="48" t="s">
        <v>2710</v>
      </c>
      <c r="B15143" s="38">
        <v>68190.0</v>
      </c>
      <c r="C15143" s="38" t="s">
        <v>19501</v>
      </c>
      <c r="D15143" s="38" t="str">
        <f>IFERROR(__xludf.DUMMYFUNCTION("REGEXREPLACE(C15143,""-\d+(.*)|--\d+(.*)"","""")"),"LUCELLE")</f>
        <v>LUCELLE</v>
      </c>
      <c r="E15143" s="38" t="s">
        <v>150</v>
      </c>
      <c r="F15143" s="38" t="s">
        <v>151</v>
      </c>
      <c r="G15143" s="49" t="str">
        <f t="shared" si="1"/>
        <v>68480</v>
      </c>
      <c r="H15143" s="49">
        <f t="shared" si="2"/>
        <v>68190</v>
      </c>
    </row>
    <row r="15144">
      <c r="A15144" s="48" t="s">
        <v>3848</v>
      </c>
      <c r="B15144" s="38">
        <v>89250.0</v>
      </c>
      <c r="C15144" s="38" t="s">
        <v>17573</v>
      </c>
      <c r="D15144" s="38" t="str">
        <f>IFERROR(__xludf.DUMMYFUNCTION("REGEXREPLACE(C15144,""-\d+(.*)|--\d+(.*)"","""")"),"MERE")</f>
        <v>MERE</v>
      </c>
      <c r="E15144" s="38" t="s">
        <v>275</v>
      </c>
      <c r="F15144" s="38" t="s">
        <v>106</v>
      </c>
      <c r="G15144" s="49" t="str">
        <f t="shared" si="1"/>
        <v>89144</v>
      </c>
      <c r="H15144" s="49">
        <f t="shared" si="2"/>
        <v>89250</v>
      </c>
    </row>
    <row r="15145">
      <c r="A15145" s="48" t="s">
        <v>2571</v>
      </c>
      <c r="B15145" s="38">
        <v>61080.0</v>
      </c>
      <c r="C15145" s="38" t="s">
        <v>19502</v>
      </c>
      <c r="D15145" s="38" t="str">
        <f>IFERROR(__xludf.DUMMYFUNCTION("REGEXREPLACE(C15145,""-\d+(.*)|--\d+(.*)"","""")"),"CHAHAINS")</f>
        <v>CHAHAINS</v>
      </c>
      <c r="E15145" s="38" t="s">
        <v>141</v>
      </c>
      <c r="F15145" s="38" t="s">
        <v>138</v>
      </c>
      <c r="G15145" s="49" t="str">
        <f t="shared" si="1"/>
        <v>61320</v>
      </c>
      <c r="H15145" s="49">
        <f t="shared" si="2"/>
        <v>61080</v>
      </c>
    </row>
    <row r="15146">
      <c r="A15146" s="48" t="s">
        <v>3182</v>
      </c>
      <c r="B15146" s="38">
        <v>80475.0</v>
      </c>
      <c r="C15146" s="38" t="s">
        <v>19503</v>
      </c>
      <c r="D15146" s="38" t="str">
        <f>IFERROR(__xludf.DUMMYFUNCTION("REGEXREPLACE(C15146,""-\d+(.*)|--\d+(.*)"","""")"),"LIERAMONT")</f>
        <v>LIERAMONT</v>
      </c>
      <c r="E15146" s="38" t="s">
        <v>224</v>
      </c>
      <c r="F15146" s="38" t="s">
        <v>113</v>
      </c>
      <c r="G15146" s="49" t="str">
        <f t="shared" si="1"/>
        <v>80240</v>
      </c>
      <c r="H15146" s="49">
        <f t="shared" si="2"/>
        <v>80475</v>
      </c>
    </row>
    <row r="15147">
      <c r="A15147" s="48" t="s">
        <v>4131</v>
      </c>
      <c r="B15147" s="38">
        <v>27527.0</v>
      </c>
      <c r="C15147" s="38" t="s">
        <v>19504</v>
      </c>
      <c r="D15147" s="38" t="str">
        <f>IFERROR(__xludf.DUMMYFUNCTION("REGEXREPLACE(C15147,""-\d+(.*)|--\d+(.*)"","""")"),"SAINT-CYR-DE-SALERNE")</f>
        <v>SAINT-CYR-DE-SALERNE</v>
      </c>
      <c r="E15147" s="38" t="s">
        <v>241</v>
      </c>
      <c r="F15147" s="38" t="s">
        <v>134</v>
      </c>
      <c r="G15147" s="49" t="str">
        <f t="shared" si="1"/>
        <v>27800</v>
      </c>
      <c r="H15147" s="49">
        <f t="shared" si="2"/>
        <v>27527</v>
      </c>
    </row>
    <row r="15148">
      <c r="A15148" s="48" t="s">
        <v>5485</v>
      </c>
      <c r="B15148" s="38">
        <v>27168.0</v>
      </c>
      <c r="C15148" s="38" t="s">
        <v>19505</v>
      </c>
      <c r="D15148" s="38" t="str">
        <f>IFERROR(__xludf.DUMMYFUNCTION("REGEXREPLACE(C15148,""-\d+(.*)|--\d+(.*)"","""")"),"CONNELLES")</f>
        <v>CONNELLES</v>
      </c>
      <c r="E15148" s="38" t="s">
        <v>241</v>
      </c>
      <c r="F15148" s="38" t="s">
        <v>134</v>
      </c>
      <c r="G15148" s="49" t="str">
        <f t="shared" si="1"/>
        <v>27430</v>
      </c>
      <c r="H15148" s="49">
        <f t="shared" si="2"/>
        <v>27168</v>
      </c>
    </row>
    <row r="15149">
      <c r="A15149" s="48" t="s">
        <v>5840</v>
      </c>
      <c r="B15149" s="38">
        <v>71078.0</v>
      </c>
      <c r="C15149" s="38" t="s">
        <v>19506</v>
      </c>
      <c r="D15149" s="38" t="str">
        <f>IFERROR(__xludf.DUMMYFUNCTION("REGEXREPLACE(C15149,""-\d+(.*)|--\d+(.*)"","""")"),"CHAMILLY")</f>
        <v>CHAMILLY</v>
      </c>
      <c r="E15149" s="38" t="s">
        <v>344</v>
      </c>
      <c r="F15149" s="38" t="s">
        <v>106</v>
      </c>
      <c r="G15149" s="49" t="str">
        <f t="shared" si="1"/>
        <v>71510</v>
      </c>
      <c r="H15149" s="49">
        <f t="shared" si="2"/>
        <v>71078</v>
      </c>
    </row>
    <row r="15150">
      <c r="A15150" s="48" t="s">
        <v>1641</v>
      </c>
      <c r="B15150" s="38">
        <v>18161.0</v>
      </c>
      <c r="C15150" s="38" t="s">
        <v>19507</v>
      </c>
      <c r="D15150" s="38" t="str">
        <f>IFERROR(__xludf.DUMMYFUNCTION("REGEXREPLACE(C15150,""-\d+(.*)|--\d+(.*)"","""")"),"NEUILLY-EN-DUN")</f>
        <v>NEUILLY-EN-DUN</v>
      </c>
      <c r="E15150" s="38" t="s">
        <v>504</v>
      </c>
      <c r="F15150" s="38" t="s">
        <v>123</v>
      </c>
      <c r="G15150" s="49" t="str">
        <f t="shared" si="1"/>
        <v>18600</v>
      </c>
      <c r="H15150" s="49">
        <f t="shared" si="2"/>
        <v>18161</v>
      </c>
    </row>
    <row r="15151">
      <c r="A15151" s="48" t="s">
        <v>3346</v>
      </c>
      <c r="B15151" s="38">
        <v>65446.0</v>
      </c>
      <c r="C15151" s="38" t="s">
        <v>19508</v>
      </c>
      <c r="D15151" s="38" t="str">
        <f>IFERROR(__xludf.DUMMYFUNCTION("REGEXREPLACE(C15151,""-\d+(.*)|--\d+(.*)"","""")"),"TOSTAT")</f>
        <v>TOSTAT</v>
      </c>
      <c r="E15151" s="38" t="s">
        <v>200</v>
      </c>
      <c r="F15151" s="38" t="s">
        <v>94</v>
      </c>
      <c r="G15151" s="49" t="str">
        <f t="shared" si="1"/>
        <v>65140</v>
      </c>
      <c r="H15151" s="49">
        <f t="shared" si="2"/>
        <v>65446</v>
      </c>
    </row>
    <row r="15152">
      <c r="A15152" s="48" t="s">
        <v>5284</v>
      </c>
      <c r="B15152" s="38">
        <v>19282.0</v>
      </c>
      <c r="C15152" s="38" t="s">
        <v>19509</v>
      </c>
      <c r="D15152" s="38" t="str">
        <f>IFERROR(__xludf.DUMMYFUNCTION("REGEXREPLACE(C15152,""-\d+(.*)|--\d+(.*)"","""")"),"VENARSAL")</f>
        <v>VENARSAL</v>
      </c>
      <c r="E15152" s="38" t="s">
        <v>271</v>
      </c>
      <c r="F15152" s="38" t="s">
        <v>98</v>
      </c>
      <c r="G15152" s="49" t="str">
        <f t="shared" si="1"/>
        <v>19360</v>
      </c>
      <c r="H15152" s="49">
        <f t="shared" si="2"/>
        <v>19282</v>
      </c>
    </row>
    <row r="15153">
      <c r="A15153" s="48" t="s">
        <v>19510</v>
      </c>
      <c r="B15153" s="38">
        <v>6161.0</v>
      </c>
      <c r="C15153" s="38" t="s">
        <v>19511</v>
      </c>
      <c r="D15153" s="38" t="str">
        <f>IFERROR(__xludf.DUMMYFUNCTION("REGEXREPLACE(C15153,""-\d+(.*)|--\d+(.*)"","""")"),"VILLENEUVE-LOUBET")</f>
        <v>VILLENEUVE-LOUBET</v>
      </c>
      <c r="E15153" s="38" t="s">
        <v>227</v>
      </c>
      <c r="F15153" s="38" t="s">
        <v>228</v>
      </c>
      <c r="G15153" s="49" t="str">
        <f t="shared" si="1"/>
        <v>06270</v>
      </c>
      <c r="H15153" s="49" t="str">
        <f t="shared" si="2"/>
        <v>06161</v>
      </c>
    </row>
    <row r="15154">
      <c r="A15154" s="48" t="s">
        <v>2547</v>
      </c>
      <c r="B15154" s="38">
        <v>8186.0</v>
      </c>
      <c r="C15154" s="38" t="s">
        <v>19512</v>
      </c>
      <c r="D15154" s="38" t="str">
        <f>IFERROR(__xludf.DUMMYFUNCTION("REGEXREPLACE(C15154,""-\d+(.*)|--\d+(.*)"","""")"),"GERMONT")</f>
        <v>GERMONT</v>
      </c>
      <c r="E15154" s="38" t="s">
        <v>327</v>
      </c>
      <c r="F15154" s="38" t="s">
        <v>130</v>
      </c>
      <c r="G15154" s="49" t="str">
        <f t="shared" si="1"/>
        <v>08240</v>
      </c>
      <c r="H15154" s="49" t="str">
        <f t="shared" si="2"/>
        <v>08186</v>
      </c>
    </row>
    <row r="15155">
      <c r="A15155" s="48" t="s">
        <v>2270</v>
      </c>
      <c r="B15155" s="38">
        <v>32186.0</v>
      </c>
      <c r="C15155" s="38" t="s">
        <v>19513</v>
      </c>
      <c r="D15155" s="38" t="str">
        <f>IFERROR(__xludf.DUMMYFUNCTION("REGEXREPLACE(C15155,""-\d+(.*)|--\d+(.*)"","""")"),"LAMAGUERE")</f>
        <v>LAMAGUERE</v>
      </c>
      <c r="E15155" s="38" t="s">
        <v>440</v>
      </c>
      <c r="F15155" s="38" t="s">
        <v>94</v>
      </c>
      <c r="G15155" s="49" t="str">
        <f t="shared" si="1"/>
        <v>32260</v>
      </c>
      <c r="H15155" s="49">
        <f t="shared" si="2"/>
        <v>32186</v>
      </c>
    </row>
    <row r="15156">
      <c r="A15156" s="48" t="s">
        <v>2692</v>
      </c>
      <c r="B15156" s="38">
        <v>67176.0</v>
      </c>
      <c r="C15156" s="38" t="s">
        <v>19514</v>
      </c>
      <c r="D15156" s="38" t="str">
        <f>IFERROR(__xludf.DUMMYFUNCTION("REGEXREPLACE(C15156,""-\d+(.*)|--\d+(.*)"","""")"),"GUNDERSHOFFEN")</f>
        <v>GUNDERSHOFFEN</v>
      </c>
      <c r="E15156" s="38" t="s">
        <v>210</v>
      </c>
      <c r="F15156" s="38" t="s">
        <v>151</v>
      </c>
      <c r="G15156" s="49" t="str">
        <f t="shared" si="1"/>
        <v>67110</v>
      </c>
      <c r="H15156" s="49">
        <f t="shared" si="2"/>
        <v>67176</v>
      </c>
    </row>
    <row r="15157">
      <c r="A15157" s="48" t="s">
        <v>1114</v>
      </c>
      <c r="B15157" s="38">
        <v>2671.0</v>
      </c>
      <c r="C15157" s="38" t="s">
        <v>2041</v>
      </c>
      <c r="D15157" s="38" t="str">
        <f>IFERROR(__xludf.DUMMYFUNCTION("REGEXREPLACE(C15157,""-\d+(.*)|--\d+(.*)"","""")"),"SAINT-AUBIN")</f>
        <v>SAINT-AUBIN</v>
      </c>
      <c r="E15157" s="38" t="s">
        <v>191</v>
      </c>
      <c r="F15157" s="38" t="s">
        <v>113</v>
      </c>
      <c r="G15157" s="49" t="str">
        <f t="shared" si="1"/>
        <v>02300</v>
      </c>
      <c r="H15157" s="49" t="str">
        <f t="shared" si="2"/>
        <v>02671</v>
      </c>
    </row>
    <row r="15158">
      <c r="A15158" s="48" t="s">
        <v>639</v>
      </c>
      <c r="B15158" s="38">
        <v>16390.0</v>
      </c>
      <c r="C15158" s="38" t="s">
        <v>19515</v>
      </c>
      <c r="D15158" s="38" t="str">
        <f>IFERROR(__xludf.DUMMYFUNCTION("REGEXREPLACE(C15158,""-\d+(.*)|--\d+(.*)"","""")"),"TUSSON")</f>
        <v>TUSSON</v>
      </c>
      <c r="E15158" s="38" t="s">
        <v>429</v>
      </c>
      <c r="F15158" s="38" t="s">
        <v>338</v>
      </c>
      <c r="G15158" s="49" t="str">
        <f t="shared" si="1"/>
        <v>16140</v>
      </c>
      <c r="H15158" s="49">
        <f t="shared" si="2"/>
        <v>16390</v>
      </c>
    </row>
    <row r="15159">
      <c r="A15159" s="48" t="s">
        <v>2567</v>
      </c>
      <c r="B15159" s="38">
        <v>6144.0</v>
      </c>
      <c r="C15159" s="38" t="s">
        <v>19516</v>
      </c>
      <c r="D15159" s="38" t="str">
        <f>IFERROR(__xludf.DUMMYFUNCTION("REGEXREPLACE(C15159,""-\d+(.*)|--\d+(.*)"","""")"),"LA TOUR")</f>
        <v>LA TOUR</v>
      </c>
      <c r="E15159" s="38" t="s">
        <v>227</v>
      </c>
      <c r="F15159" s="38" t="s">
        <v>228</v>
      </c>
      <c r="G15159" s="49" t="str">
        <f t="shared" si="1"/>
        <v>06420</v>
      </c>
      <c r="H15159" s="49" t="str">
        <f t="shared" si="2"/>
        <v>06144</v>
      </c>
    </row>
    <row r="15160">
      <c r="A15160" s="48" t="s">
        <v>298</v>
      </c>
      <c r="B15160" s="38">
        <v>28214.0</v>
      </c>
      <c r="C15160" s="38" t="s">
        <v>19517</v>
      </c>
      <c r="D15160" s="38" t="str">
        <f>IFERROR(__xludf.DUMMYFUNCTION("REGEXREPLACE(C15160,""-\d+(.*)|--\d+(.*)"","""")"),"LA LOUPE")</f>
        <v>LA LOUPE</v>
      </c>
      <c r="E15160" s="38" t="s">
        <v>300</v>
      </c>
      <c r="F15160" s="38" t="s">
        <v>123</v>
      </c>
      <c r="G15160" s="49" t="str">
        <f t="shared" si="1"/>
        <v>28240</v>
      </c>
      <c r="H15160" s="49">
        <f t="shared" si="2"/>
        <v>28214</v>
      </c>
    </row>
    <row r="15161">
      <c r="A15161" s="48" t="s">
        <v>1744</v>
      </c>
      <c r="B15161" s="38">
        <v>31156.0</v>
      </c>
      <c r="C15161" s="38" t="s">
        <v>19518</v>
      </c>
      <c r="D15161" s="38" t="str">
        <f>IFERROR(__xludf.DUMMYFUNCTION("REGEXREPLACE(C15161,""-\d+(.*)|--\d+(.*)"","""")"),"COX")</f>
        <v>COX</v>
      </c>
      <c r="E15161" s="38" t="s">
        <v>93</v>
      </c>
      <c r="F15161" s="38" t="s">
        <v>94</v>
      </c>
      <c r="G15161" s="49" t="str">
        <f t="shared" si="1"/>
        <v>31480</v>
      </c>
      <c r="H15161" s="49">
        <f t="shared" si="2"/>
        <v>31156</v>
      </c>
    </row>
    <row r="15162">
      <c r="A15162" s="48" t="s">
        <v>6002</v>
      </c>
      <c r="B15162" s="38">
        <v>18074.0</v>
      </c>
      <c r="C15162" s="38" t="s">
        <v>19519</v>
      </c>
      <c r="D15162" s="38" t="str">
        <f>IFERROR(__xludf.DUMMYFUNCTION("REGEXREPLACE(C15162,""-\d+(.*)|--\d+(.*)"","""")"),"COUARGUES")</f>
        <v>COUARGUES</v>
      </c>
      <c r="E15162" s="38" t="s">
        <v>504</v>
      </c>
      <c r="F15162" s="38" t="s">
        <v>123</v>
      </c>
      <c r="G15162" s="49" t="str">
        <f t="shared" si="1"/>
        <v>18300</v>
      </c>
      <c r="H15162" s="49">
        <f t="shared" si="2"/>
        <v>18074</v>
      </c>
    </row>
    <row r="15163">
      <c r="A15163" s="48" t="s">
        <v>2326</v>
      </c>
      <c r="B15163" s="38">
        <v>54600.0</v>
      </c>
      <c r="C15163" s="38" t="s">
        <v>19520</v>
      </c>
      <c r="D15163" s="38" t="str">
        <f>IFERROR(__xludf.DUMMYFUNCTION("REGEXREPLACE(C15163,""-\d+(.*)|--\d+(.*)"","""")"),"XOUSSE")</f>
        <v>XOUSSE</v>
      </c>
      <c r="E15163" s="38" t="s">
        <v>548</v>
      </c>
      <c r="F15163" s="38" t="s">
        <v>195</v>
      </c>
      <c r="G15163" s="49" t="str">
        <f t="shared" si="1"/>
        <v>54370</v>
      </c>
      <c r="H15163" s="49">
        <f t="shared" si="2"/>
        <v>54600</v>
      </c>
    </row>
    <row r="15164">
      <c r="A15164" s="48" t="s">
        <v>11703</v>
      </c>
      <c r="B15164" s="38">
        <v>16271.0</v>
      </c>
      <c r="C15164" s="38" t="s">
        <v>19521</v>
      </c>
      <c r="D15164" s="38" t="str">
        <f>IFERROR(__xludf.DUMMYFUNCTION("REGEXREPLACE(C15164,""-\d+(.*)|--\d+(.*)"","""")"),"PUYMOYEN")</f>
        <v>PUYMOYEN</v>
      </c>
      <c r="E15164" s="38" t="s">
        <v>429</v>
      </c>
      <c r="F15164" s="38" t="s">
        <v>338</v>
      </c>
      <c r="G15164" s="49" t="str">
        <f t="shared" si="1"/>
        <v>16400</v>
      </c>
      <c r="H15164" s="49">
        <f t="shared" si="2"/>
        <v>16271</v>
      </c>
    </row>
    <row r="15165">
      <c r="A15165" s="48" t="s">
        <v>5640</v>
      </c>
      <c r="B15165" s="38">
        <v>2772.0</v>
      </c>
      <c r="C15165" s="38" t="s">
        <v>19522</v>
      </c>
      <c r="D15165" s="38" t="str">
        <f>IFERROR(__xludf.DUMMYFUNCTION("REGEXREPLACE(C15165,""-\d+(.*)|--\d+(.*)"","""")"),"VAUX-EN-VERMANDOIS")</f>
        <v>VAUX-EN-VERMANDOIS</v>
      </c>
      <c r="E15165" s="38" t="s">
        <v>191</v>
      </c>
      <c r="F15165" s="38" t="s">
        <v>113</v>
      </c>
      <c r="G15165" s="49" t="str">
        <f t="shared" si="1"/>
        <v>02590</v>
      </c>
      <c r="H15165" s="49" t="str">
        <f t="shared" si="2"/>
        <v>02772</v>
      </c>
    </row>
    <row r="15166">
      <c r="A15166" s="48" t="s">
        <v>116</v>
      </c>
      <c r="B15166" s="38">
        <v>34303.0</v>
      </c>
      <c r="C15166" s="38" t="s">
        <v>19523</v>
      </c>
      <c r="D15166" s="38" t="str">
        <f>IFERROR(__xludf.DUMMYFUNCTION("REGEXREPLACE(C15166,""-\d+(.*)|--\d+(.*)"","""")"),"SORBS")</f>
        <v>SORBS</v>
      </c>
      <c r="E15166" s="38" t="s">
        <v>118</v>
      </c>
      <c r="F15166" s="38" t="s">
        <v>119</v>
      </c>
      <c r="G15166" s="49" t="str">
        <f t="shared" si="1"/>
        <v>34520</v>
      </c>
      <c r="H15166" s="49">
        <f t="shared" si="2"/>
        <v>34303</v>
      </c>
    </row>
    <row r="15167">
      <c r="A15167" s="48" t="s">
        <v>6235</v>
      </c>
      <c r="B15167" s="38">
        <v>49192.0</v>
      </c>
      <c r="C15167" s="38" t="s">
        <v>19524</v>
      </c>
      <c r="D15167" s="38" t="str">
        <f>IFERROR(__xludf.DUMMYFUNCTION("REGEXREPLACE(C15167,""-\d+(.*)|--\d+(.*)"","""")"),"MAULEVRIER")</f>
        <v>MAULEVRIER</v>
      </c>
      <c r="E15167" s="38" t="s">
        <v>653</v>
      </c>
      <c r="F15167" s="38" t="s">
        <v>180</v>
      </c>
      <c r="G15167" s="49" t="str">
        <f t="shared" si="1"/>
        <v>49360</v>
      </c>
      <c r="H15167" s="49">
        <f t="shared" si="2"/>
        <v>49192</v>
      </c>
    </row>
    <row r="15168">
      <c r="A15168" s="48" t="s">
        <v>8698</v>
      </c>
      <c r="B15168" s="38">
        <v>11380.0</v>
      </c>
      <c r="C15168" s="38" t="s">
        <v>19525</v>
      </c>
      <c r="D15168" s="38" t="str">
        <f>IFERROR(__xludf.DUMMYFUNCTION("REGEXREPLACE(C15168,""-\d+(.*)|--\d+(.*)"","""")"),"SONNAC-SUR-L'HERS")</f>
        <v>SONNAC-SUR-L'HERS</v>
      </c>
      <c r="E15168" s="38" t="s">
        <v>278</v>
      </c>
      <c r="F15168" s="38" t="s">
        <v>119</v>
      </c>
      <c r="G15168" s="49" t="str">
        <f t="shared" si="1"/>
        <v>11230</v>
      </c>
      <c r="H15168" s="49">
        <f t="shared" si="2"/>
        <v>11380</v>
      </c>
    </row>
    <row r="15169">
      <c r="A15169" s="48" t="s">
        <v>2734</v>
      </c>
      <c r="B15169" s="38">
        <v>89459.0</v>
      </c>
      <c r="C15169" s="38" t="s">
        <v>19526</v>
      </c>
      <c r="D15169" s="38" t="str">
        <f>IFERROR(__xludf.DUMMYFUNCTION("REGEXREPLACE(C15169,""-\d+(.*)|--\d+(.*)"","""")"),"VILLENEUVE-LA-DONDAGRE")</f>
        <v>VILLENEUVE-LA-DONDAGRE</v>
      </c>
      <c r="E15169" s="38" t="s">
        <v>275</v>
      </c>
      <c r="F15169" s="38" t="s">
        <v>106</v>
      </c>
      <c r="G15169" s="49" t="str">
        <f t="shared" si="1"/>
        <v>89150</v>
      </c>
      <c r="H15169" s="49">
        <f t="shared" si="2"/>
        <v>89459</v>
      </c>
    </row>
    <row r="15170">
      <c r="A15170" s="48" t="s">
        <v>19527</v>
      </c>
      <c r="B15170" s="38">
        <v>26034.0</v>
      </c>
      <c r="C15170" s="38" t="s">
        <v>19528</v>
      </c>
      <c r="D15170" s="38" t="str">
        <f>IFERROR(__xludf.DUMMYFUNCTION("REGEXREPLACE(C15170,""-\d+(.*)|--\d+(.*)"","""")"),"LA BAUME-D'HOSTUN")</f>
        <v>LA BAUME-D'HOSTUN</v>
      </c>
      <c r="E15170" s="38" t="s">
        <v>126</v>
      </c>
      <c r="F15170" s="38" t="s">
        <v>102</v>
      </c>
      <c r="G15170" s="49" t="str">
        <f t="shared" si="1"/>
        <v>26730</v>
      </c>
      <c r="H15170" s="49">
        <f t="shared" si="2"/>
        <v>26034</v>
      </c>
    </row>
    <row r="15171">
      <c r="A15171" s="48" t="s">
        <v>11076</v>
      </c>
      <c r="B15171" s="38">
        <v>49206.0</v>
      </c>
      <c r="C15171" s="38" t="s">
        <v>19529</v>
      </c>
      <c r="D15171" s="38" t="str">
        <f>IFERROR(__xludf.DUMMYFUNCTION("REGEXREPLACE(C15171,""-\d+(.*)|--\d+(.*)"","""")"),"MONTFAUCON-MONTIGNE")</f>
        <v>MONTFAUCON-MONTIGNE</v>
      </c>
      <c r="E15171" s="38" t="s">
        <v>653</v>
      </c>
      <c r="F15171" s="38" t="s">
        <v>180</v>
      </c>
      <c r="G15171" s="49" t="str">
        <f t="shared" si="1"/>
        <v>49230</v>
      </c>
      <c r="H15171" s="49">
        <f t="shared" si="2"/>
        <v>49206</v>
      </c>
    </row>
    <row r="15172">
      <c r="A15172" s="48" t="s">
        <v>8523</v>
      </c>
      <c r="B15172" s="38">
        <v>9239.0</v>
      </c>
      <c r="C15172" s="38" t="s">
        <v>19530</v>
      </c>
      <c r="D15172" s="38" t="str">
        <f>IFERROR(__xludf.DUMMYFUNCTION("REGEXREPLACE(C15172,""-\d+(.*)|--\d+(.*)"","""")"),"QUERIGUT")</f>
        <v>QUERIGUT</v>
      </c>
      <c r="E15172" s="38" t="s">
        <v>238</v>
      </c>
      <c r="F15172" s="38" t="s">
        <v>94</v>
      </c>
      <c r="G15172" s="49" t="str">
        <f t="shared" si="1"/>
        <v>09460</v>
      </c>
      <c r="H15172" s="49" t="str">
        <f t="shared" si="2"/>
        <v>09239</v>
      </c>
    </row>
    <row r="15173">
      <c r="A15173" s="48" t="s">
        <v>5846</v>
      </c>
      <c r="B15173" s="38">
        <v>60478.0</v>
      </c>
      <c r="C15173" s="38" t="s">
        <v>19531</v>
      </c>
      <c r="D15173" s="38" t="str">
        <f>IFERROR(__xludf.DUMMYFUNCTION("REGEXREPLACE(C15173,""-\d+(.*)|--\d+(.*)"","""")"),"ORMOY-LE-DAVIEN")</f>
        <v>ORMOY-LE-DAVIEN</v>
      </c>
      <c r="E15173" s="38" t="s">
        <v>112</v>
      </c>
      <c r="F15173" s="38" t="s">
        <v>113</v>
      </c>
      <c r="G15173" s="49" t="str">
        <f t="shared" si="1"/>
        <v>60620</v>
      </c>
      <c r="H15173" s="49">
        <f t="shared" si="2"/>
        <v>60478</v>
      </c>
    </row>
    <row r="15174">
      <c r="A15174" s="48" t="s">
        <v>11225</v>
      </c>
      <c r="B15174" s="38">
        <v>33056.0</v>
      </c>
      <c r="C15174" s="38" t="s">
        <v>2484</v>
      </c>
      <c r="D15174" s="38" t="str">
        <f>IFERROR(__xludf.DUMMYFUNCTION("REGEXREPLACE(C15174,""-\d+(.*)|--\d+(.*)"","""")"),"BLANQUEFORT")</f>
        <v>BLANQUEFORT</v>
      </c>
      <c r="E15174" s="38" t="s">
        <v>462</v>
      </c>
      <c r="F15174" s="38" t="s">
        <v>252</v>
      </c>
      <c r="G15174" s="49" t="str">
        <f t="shared" si="1"/>
        <v>33290</v>
      </c>
      <c r="H15174" s="49">
        <f t="shared" si="2"/>
        <v>33056</v>
      </c>
    </row>
    <row r="15175">
      <c r="A15175" s="48" t="s">
        <v>4592</v>
      </c>
      <c r="B15175" s="38">
        <v>26099.0</v>
      </c>
      <c r="C15175" s="38" t="s">
        <v>19532</v>
      </c>
      <c r="D15175" s="38" t="str">
        <f>IFERROR(__xludf.DUMMYFUNCTION("REGEXREPLACE(C15175,""-\d+(.*)|--\d+(.*)"","""")"),"COLONZELLE")</f>
        <v>COLONZELLE</v>
      </c>
      <c r="E15175" s="38" t="s">
        <v>126</v>
      </c>
      <c r="F15175" s="38" t="s">
        <v>102</v>
      </c>
      <c r="G15175" s="49" t="str">
        <f t="shared" si="1"/>
        <v>26230</v>
      </c>
      <c r="H15175" s="49">
        <f t="shared" si="2"/>
        <v>26099</v>
      </c>
    </row>
    <row r="15176">
      <c r="A15176" s="48" t="s">
        <v>15440</v>
      </c>
      <c r="B15176" s="38">
        <v>43152.0</v>
      </c>
      <c r="C15176" s="38" t="s">
        <v>19533</v>
      </c>
      <c r="D15176" s="38" t="str">
        <f>IFERROR(__xludf.DUMMYFUNCTION("REGEXREPLACE(C15176,""-\d+(.*)|--\d+(.*)"","""")"),"POLIGNAC")</f>
        <v>POLIGNAC</v>
      </c>
      <c r="E15176" s="38" t="s">
        <v>332</v>
      </c>
      <c r="F15176" s="38" t="s">
        <v>161</v>
      </c>
      <c r="G15176" s="49" t="str">
        <f t="shared" si="1"/>
        <v>43000</v>
      </c>
      <c r="H15176" s="49">
        <f t="shared" si="2"/>
        <v>43152</v>
      </c>
    </row>
    <row r="15177">
      <c r="A15177" s="48" t="s">
        <v>9315</v>
      </c>
      <c r="B15177" s="38">
        <v>68366.0</v>
      </c>
      <c r="C15177" s="38" t="s">
        <v>19534</v>
      </c>
      <c r="D15177" s="38" t="str">
        <f>IFERROR(__xludf.DUMMYFUNCTION("REGEXREPLACE(C15177,""-\d+(.*)|--\d+(.*)"","""")"),"WICKERSCHWIHR")</f>
        <v>WICKERSCHWIHR</v>
      </c>
      <c r="E15177" s="38" t="s">
        <v>150</v>
      </c>
      <c r="F15177" s="38" t="s">
        <v>151</v>
      </c>
      <c r="G15177" s="49" t="str">
        <f t="shared" si="1"/>
        <v>68320</v>
      </c>
      <c r="H15177" s="49">
        <f t="shared" si="2"/>
        <v>68366</v>
      </c>
    </row>
    <row r="15178">
      <c r="A15178" s="48" t="s">
        <v>7059</v>
      </c>
      <c r="B15178" s="38">
        <v>35026.0</v>
      </c>
      <c r="C15178" s="38" t="s">
        <v>19535</v>
      </c>
      <c r="D15178" s="38" t="str">
        <f>IFERROR(__xludf.DUMMYFUNCTION("REGEXREPLACE(C15178,""-\d+(.*)|--\d+(.*)"","""")"),"BLERUAIS")</f>
        <v>BLERUAIS</v>
      </c>
      <c r="E15178" s="38" t="s">
        <v>347</v>
      </c>
      <c r="F15178" s="38" t="s">
        <v>90</v>
      </c>
      <c r="G15178" s="49" t="str">
        <f t="shared" si="1"/>
        <v>35750</v>
      </c>
      <c r="H15178" s="49">
        <f t="shared" si="2"/>
        <v>35026</v>
      </c>
    </row>
    <row r="15179">
      <c r="A15179" s="48" t="s">
        <v>5985</v>
      </c>
      <c r="B15179" s="38">
        <v>85267.0</v>
      </c>
      <c r="C15179" s="38" t="s">
        <v>19536</v>
      </c>
      <c r="D15179" s="38" t="str">
        <f>IFERROR(__xludf.DUMMYFUNCTION("REGEXREPLACE(C15179,""-\d+(.*)|--\d+(.*)"","""")"),"SAINTE-RADEGONDE-DES-NOYERS")</f>
        <v>SAINTE-RADEGONDE-DES-NOYERS</v>
      </c>
      <c r="E15179" s="38" t="s">
        <v>179</v>
      </c>
      <c r="F15179" s="38" t="s">
        <v>180</v>
      </c>
      <c r="G15179" s="49" t="str">
        <f t="shared" si="1"/>
        <v>85450</v>
      </c>
      <c r="H15179" s="49">
        <f t="shared" si="2"/>
        <v>85267</v>
      </c>
    </row>
    <row r="15180">
      <c r="A15180" s="48" t="s">
        <v>5973</v>
      </c>
      <c r="B15180" s="38">
        <v>54038.0</v>
      </c>
      <c r="C15180" s="38" t="s">
        <v>19537</v>
      </c>
      <c r="D15180" s="38" t="str">
        <f>IFERROR(__xludf.DUMMYFUNCTION("REGEXREPLACE(C15180,""-\d+(.*)|--\d+(.*)"","""")"),"AZERAILLES")</f>
        <v>AZERAILLES</v>
      </c>
      <c r="E15180" s="38" t="s">
        <v>548</v>
      </c>
      <c r="F15180" s="38" t="s">
        <v>195</v>
      </c>
      <c r="G15180" s="49" t="str">
        <f t="shared" si="1"/>
        <v>54122</v>
      </c>
      <c r="H15180" s="49">
        <f t="shared" si="2"/>
        <v>54038</v>
      </c>
    </row>
    <row r="15181">
      <c r="A15181" s="48" t="s">
        <v>17424</v>
      </c>
      <c r="B15181" s="38">
        <v>81065.0</v>
      </c>
      <c r="C15181" s="38" t="s">
        <v>3685</v>
      </c>
      <c r="D15181" s="38" t="str">
        <f>IFERROR(__xludf.DUMMYFUNCTION("REGEXREPLACE(C15181,""-\d+(.*)|--\d+(.*)"","""")"),"CASTRES")</f>
        <v>CASTRES</v>
      </c>
      <c r="E15181" s="38" t="s">
        <v>231</v>
      </c>
      <c r="F15181" s="38" t="s">
        <v>94</v>
      </c>
      <c r="G15181" s="49" t="str">
        <f t="shared" si="1"/>
        <v>81100</v>
      </c>
      <c r="H15181" s="49">
        <f t="shared" si="2"/>
        <v>81065</v>
      </c>
    </row>
    <row r="15182">
      <c r="A15182" s="48" t="s">
        <v>1654</v>
      </c>
      <c r="B15182" s="38">
        <v>72122.0</v>
      </c>
      <c r="C15182" s="38" t="s">
        <v>19538</v>
      </c>
      <c r="D15182" s="38" t="str">
        <f>IFERROR(__xludf.DUMMYFUNCTION("REGEXREPLACE(C15182,""-\d+(.*)|--\d+(.*)"","""")"),"DUNEAU")</f>
        <v>DUNEAU</v>
      </c>
      <c r="E15182" s="38" t="s">
        <v>521</v>
      </c>
      <c r="F15182" s="38" t="s">
        <v>180</v>
      </c>
      <c r="G15182" s="49" t="str">
        <f t="shared" si="1"/>
        <v>72160</v>
      </c>
      <c r="H15182" s="49">
        <f t="shared" si="2"/>
        <v>72122</v>
      </c>
    </row>
    <row r="15183">
      <c r="A15183" s="48" t="s">
        <v>3681</v>
      </c>
      <c r="B15183" s="38">
        <v>39327.0</v>
      </c>
      <c r="C15183" s="38" t="s">
        <v>19539</v>
      </c>
      <c r="D15183" s="38" t="str">
        <f>IFERROR(__xludf.DUMMYFUNCTION("REGEXREPLACE(C15183,""-\d+(.*)|--\d+(.*)"","""")"),"MESSIA-SUR-SORNE")</f>
        <v>MESSIA-SUR-SORNE</v>
      </c>
      <c r="E15183" s="38" t="s">
        <v>400</v>
      </c>
      <c r="F15183" s="38" t="s">
        <v>214</v>
      </c>
      <c r="G15183" s="49" t="str">
        <f t="shared" si="1"/>
        <v>39570</v>
      </c>
      <c r="H15183" s="49">
        <f t="shared" si="2"/>
        <v>39327</v>
      </c>
    </row>
    <row r="15184">
      <c r="A15184" s="48" t="s">
        <v>7933</v>
      </c>
      <c r="B15184" s="38">
        <v>27109.0</v>
      </c>
      <c r="C15184" s="38" t="s">
        <v>19540</v>
      </c>
      <c r="D15184" s="38" t="str">
        <f>IFERROR(__xludf.DUMMYFUNCTION("REGEXREPLACE(C15184,""-\d+(.*)|--\d+(.*)"","""")"),"BRAY")</f>
        <v>BRAY</v>
      </c>
      <c r="E15184" s="38" t="s">
        <v>241</v>
      </c>
      <c r="F15184" s="38" t="s">
        <v>134</v>
      </c>
      <c r="G15184" s="49" t="str">
        <f t="shared" si="1"/>
        <v>27170</v>
      </c>
      <c r="H15184" s="49">
        <f t="shared" si="2"/>
        <v>27109</v>
      </c>
    </row>
    <row r="15185">
      <c r="A15185" s="48" t="s">
        <v>7423</v>
      </c>
      <c r="B15185" s="38">
        <v>22150.0</v>
      </c>
      <c r="C15185" s="38" t="s">
        <v>19541</v>
      </c>
      <c r="D15185" s="38" t="str">
        <f>IFERROR(__xludf.DUMMYFUNCTION("REGEXREPLACE(C15185,""-\d+(.*)|--\d+(.*)"","""")"),"LE MERZER")</f>
        <v>LE MERZER</v>
      </c>
      <c r="E15185" s="38" t="s">
        <v>89</v>
      </c>
      <c r="F15185" s="38" t="s">
        <v>90</v>
      </c>
      <c r="G15185" s="49" t="str">
        <f t="shared" si="1"/>
        <v>22200</v>
      </c>
      <c r="H15185" s="49">
        <f t="shared" si="2"/>
        <v>22150</v>
      </c>
    </row>
    <row r="15186">
      <c r="A15186" s="48" t="s">
        <v>19542</v>
      </c>
      <c r="B15186" s="38">
        <v>17414.0</v>
      </c>
      <c r="C15186" s="38" t="s">
        <v>19543</v>
      </c>
      <c r="D15186" s="38" t="str">
        <f>IFERROR(__xludf.DUMMYFUNCTION("REGEXREPLACE(C15186,""-\d+(.*)|--\d+(.*)"","""")"),"SAINT-XANDRE")</f>
        <v>SAINT-XANDRE</v>
      </c>
      <c r="E15186" s="38" t="s">
        <v>488</v>
      </c>
      <c r="F15186" s="38" t="s">
        <v>338</v>
      </c>
      <c r="G15186" s="49" t="str">
        <f t="shared" si="1"/>
        <v>17138</v>
      </c>
      <c r="H15186" s="49">
        <f t="shared" si="2"/>
        <v>17414</v>
      </c>
    </row>
    <row r="15187">
      <c r="A15187" s="48" t="s">
        <v>2408</v>
      </c>
      <c r="B15187" s="38">
        <v>30349.0</v>
      </c>
      <c r="C15187" s="38" t="s">
        <v>19544</v>
      </c>
      <c r="D15187" s="38" t="str">
        <f>IFERROR(__xludf.DUMMYFUNCTION("REGEXREPLACE(C15187,""-\d+(.*)|--\d+(.*)"","""")"),"VIC-LE-FESQ")</f>
        <v>VIC-LE-FESQ</v>
      </c>
      <c r="E15187" s="38" t="s">
        <v>526</v>
      </c>
      <c r="F15187" s="38" t="s">
        <v>119</v>
      </c>
      <c r="G15187" s="49" t="str">
        <f t="shared" si="1"/>
        <v>30260</v>
      </c>
      <c r="H15187" s="49">
        <f t="shared" si="2"/>
        <v>30349</v>
      </c>
    </row>
    <row r="15188">
      <c r="A15188" s="48" t="s">
        <v>2130</v>
      </c>
      <c r="B15188" s="38">
        <v>62127.0</v>
      </c>
      <c r="C15188" s="38" t="s">
        <v>19545</v>
      </c>
      <c r="D15188" s="38" t="str">
        <f>IFERROR(__xludf.DUMMYFUNCTION("REGEXREPLACE(C15188,""-\d+(.*)|--\d+(.*)"","""")"),"BEZINGHEM")</f>
        <v>BEZINGHEM</v>
      </c>
      <c r="E15188" s="38" t="s">
        <v>109</v>
      </c>
      <c r="F15188" s="38" t="s">
        <v>86</v>
      </c>
      <c r="G15188" s="49" t="str">
        <f t="shared" si="1"/>
        <v>62650</v>
      </c>
      <c r="H15188" s="49">
        <f t="shared" si="2"/>
        <v>62127</v>
      </c>
    </row>
    <row r="15189">
      <c r="A15189" s="48" t="s">
        <v>4140</v>
      </c>
      <c r="B15189" s="38">
        <v>54037.0</v>
      </c>
      <c r="C15189" s="38" t="s">
        <v>19546</v>
      </c>
      <c r="D15189" s="38" t="str">
        <f>IFERROR(__xludf.DUMMYFUNCTION("REGEXREPLACE(C15189,""-\d+(.*)|--\d+(.*)"","""")"),"AZELOT")</f>
        <v>AZELOT</v>
      </c>
      <c r="E15189" s="38" t="s">
        <v>548</v>
      </c>
      <c r="F15189" s="38" t="s">
        <v>195</v>
      </c>
      <c r="G15189" s="49" t="str">
        <f t="shared" si="1"/>
        <v>54210</v>
      </c>
      <c r="H15189" s="49">
        <f t="shared" si="2"/>
        <v>54037</v>
      </c>
    </row>
    <row r="15190">
      <c r="A15190" s="48" t="s">
        <v>16014</v>
      </c>
      <c r="B15190" s="38">
        <v>33362.0</v>
      </c>
      <c r="C15190" s="38" t="s">
        <v>15918</v>
      </c>
      <c r="D15190" s="38" t="str">
        <f>IFERROR(__xludf.DUMMYFUNCTION("REGEXREPLACE(C15190,""-\d+(.*)|--\d+(.*)"","""")"),"SABLONS")</f>
        <v>SABLONS</v>
      </c>
      <c r="E15190" s="38" t="s">
        <v>462</v>
      </c>
      <c r="F15190" s="38" t="s">
        <v>252</v>
      </c>
      <c r="G15190" s="49" t="str">
        <f t="shared" si="1"/>
        <v>33910</v>
      </c>
      <c r="H15190" s="49">
        <f t="shared" si="2"/>
        <v>33362</v>
      </c>
    </row>
    <row r="15191">
      <c r="A15191" s="48" t="s">
        <v>13443</v>
      </c>
      <c r="B15191" s="38">
        <v>84042.0</v>
      </c>
      <c r="C15191" s="38" t="s">
        <v>19547</v>
      </c>
      <c r="D15191" s="38" t="str">
        <f>IFERROR(__xludf.DUMMYFUNCTION("REGEXREPLACE(C15191,""-\d+(.*)|--\d+(.*)"","""")"),"CUCURON")</f>
        <v>CUCURON</v>
      </c>
      <c r="E15191" s="38" t="s">
        <v>1026</v>
      </c>
      <c r="F15191" s="38" t="s">
        <v>228</v>
      </c>
      <c r="G15191" s="49" t="str">
        <f t="shared" si="1"/>
        <v>84160</v>
      </c>
      <c r="H15191" s="49">
        <f t="shared" si="2"/>
        <v>84042</v>
      </c>
    </row>
    <row r="15192">
      <c r="A15192" s="48" t="s">
        <v>5525</v>
      </c>
      <c r="B15192" s="38">
        <v>10187.0</v>
      </c>
      <c r="C15192" s="38" t="s">
        <v>19548</v>
      </c>
      <c r="D15192" s="38" t="str">
        <f>IFERROR(__xludf.DUMMYFUNCTION("REGEXREPLACE(C15192,""-\d+(.*)|--\d+(.*)"","""")"),"LANDREVILLE")</f>
        <v>LANDREVILLE</v>
      </c>
      <c r="E15192" s="38" t="s">
        <v>147</v>
      </c>
      <c r="F15192" s="38" t="s">
        <v>130</v>
      </c>
      <c r="G15192" s="49" t="str">
        <f t="shared" si="1"/>
        <v>10110</v>
      </c>
      <c r="H15192" s="49">
        <f t="shared" si="2"/>
        <v>10187</v>
      </c>
    </row>
    <row r="15193">
      <c r="A15193" s="48" t="s">
        <v>5472</v>
      </c>
      <c r="B15193" s="38">
        <v>36057.0</v>
      </c>
      <c r="C15193" s="38" t="s">
        <v>19549</v>
      </c>
      <c r="D15193" s="38" t="str">
        <f>IFERROR(__xludf.DUMMYFUNCTION("REGEXREPLACE(C15193,""-\d+(.*)|--\d+(.*)"","""")"),"COINGS")</f>
        <v>COINGS</v>
      </c>
      <c r="E15193" s="38" t="s">
        <v>258</v>
      </c>
      <c r="F15193" s="38" t="s">
        <v>123</v>
      </c>
      <c r="G15193" s="49" t="str">
        <f t="shared" si="1"/>
        <v>36130</v>
      </c>
      <c r="H15193" s="49">
        <f t="shared" si="2"/>
        <v>36057</v>
      </c>
    </row>
    <row r="15194">
      <c r="A15194" s="48" t="s">
        <v>7972</v>
      </c>
      <c r="B15194" s="38">
        <v>62502.0</v>
      </c>
      <c r="C15194" s="38" t="s">
        <v>19550</v>
      </c>
      <c r="D15194" s="38" t="str">
        <f>IFERROR(__xludf.DUMMYFUNCTION("REGEXREPLACE(C15194,""-\d+(.*)|--\d+(.*)"","""")"),"LESTREM")</f>
        <v>LESTREM</v>
      </c>
      <c r="E15194" s="38" t="s">
        <v>109</v>
      </c>
      <c r="F15194" s="38" t="s">
        <v>86</v>
      </c>
      <c r="G15194" s="49" t="str">
        <f t="shared" si="1"/>
        <v>62136</v>
      </c>
      <c r="H15194" s="49">
        <f t="shared" si="2"/>
        <v>62502</v>
      </c>
    </row>
    <row r="15195">
      <c r="A15195" s="48" t="s">
        <v>1172</v>
      </c>
      <c r="B15195" s="38">
        <v>76169.0</v>
      </c>
      <c r="C15195" s="38" t="s">
        <v>19551</v>
      </c>
      <c r="D15195" s="38" t="str">
        <f>IFERROR(__xludf.DUMMYFUNCTION("REGEXREPLACE(C15195,""-\d+(.*)|--\d+(.*)"","""")"),"LA CERLANGUE")</f>
        <v>LA CERLANGUE</v>
      </c>
      <c r="E15195" s="38" t="s">
        <v>133</v>
      </c>
      <c r="F15195" s="38" t="s">
        <v>134</v>
      </c>
      <c r="G15195" s="49" t="str">
        <f t="shared" si="1"/>
        <v>76430</v>
      </c>
      <c r="H15195" s="49">
        <f t="shared" si="2"/>
        <v>76169</v>
      </c>
    </row>
    <row r="15196">
      <c r="A15196" s="48" t="s">
        <v>14892</v>
      </c>
      <c r="B15196" s="38" t="s">
        <v>19552</v>
      </c>
      <c r="C15196" s="38" t="s">
        <v>19553</v>
      </c>
      <c r="D15196" s="38" t="str">
        <f>IFERROR(__xludf.DUMMYFUNCTION("REGEXREPLACE(C15196,""-\d+(.*)|--\d+(.*)"","""")"),"CAMPITELLO")</f>
        <v>CAMPITELLO</v>
      </c>
      <c r="E15196" s="38" t="s">
        <v>743</v>
      </c>
      <c r="F15196" s="38" t="s">
        <v>607</v>
      </c>
      <c r="G15196" s="49" t="str">
        <f t="shared" si="1"/>
        <v>20252</v>
      </c>
      <c r="H15196" s="49" t="str">
        <f t="shared" si="2"/>
        <v>2B055</v>
      </c>
    </row>
    <row r="15197">
      <c r="A15197" s="48" t="s">
        <v>4733</v>
      </c>
      <c r="B15197" s="38">
        <v>38276.0</v>
      </c>
      <c r="C15197" s="38" t="s">
        <v>19554</v>
      </c>
      <c r="D15197" s="38" t="str">
        <f>IFERROR(__xludf.DUMMYFUNCTION("REGEXREPLACE(C15197,""-\d+(.*)|--\d+(.*)"","""")"),"NIVOLAS-VERMELLE")</f>
        <v>NIVOLAS-VERMELLE</v>
      </c>
      <c r="E15197" s="38" t="s">
        <v>101</v>
      </c>
      <c r="F15197" s="38" t="s">
        <v>102</v>
      </c>
      <c r="G15197" s="49" t="str">
        <f t="shared" si="1"/>
        <v>38300</v>
      </c>
      <c r="H15197" s="49">
        <f t="shared" si="2"/>
        <v>38276</v>
      </c>
    </row>
    <row r="15198">
      <c r="A15198" s="48" t="s">
        <v>19555</v>
      </c>
      <c r="B15198" s="38">
        <v>13059.0</v>
      </c>
      <c r="C15198" s="38" t="s">
        <v>19556</v>
      </c>
      <c r="D15198" s="38" t="str">
        <f>IFERROR(__xludf.DUMMYFUNCTION("REGEXREPLACE(C15198,""-\d+(.*)|--\d+(.*)"","""")"),"MEYRARGUES")</f>
        <v>MEYRARGUES</v>
      </c>
      <c r="E15198" s="38" t="s">
        <v>980</v>
      </c>
      <c r="F15198" s="38" t="s">
        <v>228</v>
      </c>
      <c r="G15198" s="49" t="str">
        <f t="shared" si="1"/>
        <v>13650</v>
      </c>
      <c r="H15198" s="49">
        <f t="shared" si="2"/>
        <v>13059</v>
      </c>
    </row>
    <row r="15199">
      <c r="A15199" s="48" t="s">
        <v>14222</v>
      </c>
      <c r="B15199" s="38">
        <v>42127.0</v>
      </c>
      <c r="C15199" s="38" t="s">
        <v>19557</v>
      </c>
      <c r="D15199" s="38" t="str">
        <f>IFERROR(__xludf.DUMMYFUNCTION("REGEXREPLACE(C15199,""-\d+(.*)|--\d+(.*)"","""")"),"MABLY")</f>
        <v>MABLY</v>
      </c>
      <c r="E15199" s="38" t="s">
        <v>166</v>
      </c>
      <c r="F15199" s="38" t="s">
        <v>102</v>
      </c>
      <c r="G15199" s="49" t="str">
        <f t="shared" si="1"/>
        <v>42300</v>
      </c>
      <c r="H15199" s="49">
        <f t="shared" si="2"/>
        <v>42127</v>
      </c>
    </row>
    <row r="15200">
      <c r="A15200" s="48" t="s">
        <v>6021</v>
      </c>
      <c r="B15200" s="38">
        <v>30084.0</v>
      </c>
      <c r="C15200" s="38" t="s">
        <v>19558</v>
      </c>
      <c r="D15200" s="38" t="str">
        <f>IFERROR(__xludf.DUMMYFUNCTION("REGEXREPLACE(C15200,""-\d+(.*)|--\d+(.*)"","""")"),"CODOLET")</f>
        <v>CODOLET</v>
      </c>
      <c r="E15200" s="38" t="s">
        <v>526</v>
      </c>
      <c r="F15200" s="38" t="s">
        <v>119</v>
      </c>
      <c r="G15200" s="49" t="str">
        <f t="shared" si="1"/>
        <v>30200</v>
      </c>
      <c r="H15200" s="49">
        <f t="shared" si="2"/>
        <v>30084</v>
      </c>
    </row>
    <row r="15201">
      <c r="A15201" s="48" t="s">
        <v>4568</v>
      </c>
      <c r="B15201" s="38">
        <v>32282.0</v>
      </c>
      <c r="C15201" s="38" t="s">
        <v>16049</v>
      </c>
      <c r="D15201" s="38" t="str">
        <f>IFERROR(__xludf.DUMMYFUNCTION("REGEXREPLACE(C15201,""-\d+(.*)|--\d+(.*)"","""")"),"MONTEGUT")</f>
        <v>MONTEGUT</v>
      </c>
      <c r="E15201" s="38" t="s">
        <v>440</v>
      </c>
      <c r="F15201" s="38" t="s">
        <v>94</v>
      </c>
      <c r="G15201" s="49" t="str">
        <f t="shared" si="1"/>
        <v>32550</v>
      </c>
      <c r="H15201" s="49">
        <f t="shared" si="2"/>
        <v>32282</v>
      </c>
    </row>
    <row r="15202">
      <c r="A15202" s="48" t="s">
        <v>16603</v>
      </c>
      <c r="B15202" s="38">
        <v>78168.0</v>
      </c>
      <c r="C15202" s="38" t="s">
        <v>19559</v>
      </c>
      <c r="D15202" s="38" t="str">
        <f>IFERROR(__xludf.DUMMYFUNCTION("REGEXREPLACE(C15202,""-\d+(.*)|--\d+(.*)"","""")"),"COIGNIERES")</f>
        <v>COIGNIERES</v>
      </c>
      <c r="E15202" s="38" t="s">
        <v>362</v>
      </c>
      <c r="F15202" s="38" t="s">
        <v>245</v>
      </c>
      <c r="G15202" s="49" t="str">
        <f t="shared" si="1"/>
        <v>78310</v>
      </c>
      <c r="H15202" s="49">
        <f t="shared" si="2"/>
        <v>78168</v>
      </c>
    </row>
    <row r="15203">
      <c r="A15203" s="48" t="s">
        <v>2316</v>
      </c>
      <c r="B15203" s="38">
        <v>25312.0</v>
      </c>
      <c r="C15203" s="38" t="s">
        <v>19560</v>
      </c>
      <c r="D15203" s="38" t="str">
        <f>IFERROR(__xludf.DUMMYFUNCTION("REGEXREPLACE(C15203,""-\d+(.*)|--\d+(.*)"","""")"),"HYEVRE-MAGNY")</f>
        <v>HYEVRE-MAGNY</v>
      </c>
      <c r="E15203" s="38" t="s">
        <v>213</v>
      </c>
      <c r="F15203" s="38" t="s">
        <v>214</v>
      </c>
      <c r="G15203" s="49" t="str">
        <f t="shared" si="1"/>
        <v>25110</v>
      </c>
      <c r="H15203" s="49">
        <f t="shared" si="2"/>
        <v>25312</v>
      </c>
    </row>
    <row r="15204">
      <c r="A15204" s="48" t="s">
        <v>7080</v>
      </c>
      <c r="B15204" s="38">
        <v>86045.0</v>
      </c>
      <c r="C15204" s="38" t="s">
        <v>19561</v>
      </c>
      <c r="D15204" s="38" t="str">
        <f>IFERROR(__xludf.DUMMYFUNCTION("REGEXREPLACE(C15204,""-\d+(.*)|--\d+(.*)"","""")"),"CELLE-LEVESCAULT")</f>
        <v>CELLE-LEVESCAULT</v>
      </c>
      <c r="E15204" s="38" t="s">
        <v>529</v>
      </c>
      <c r="F15204" s="38" t="s">
        <v>338</v>
      </c>
      <c r="G15204" s="49" t="str">
        <f t="shared" si="1"/>
        <v>86600</v>
      </c>
      <c r="H15204" s="49">
        <f t="shared" si="2"/>
        <v>86045</v>
      </c>
    </row>
    <row r="15205">
      <c r="A15205" s="48" t="s">
        <v>253</v>
      </c>
      <c r="B15205" s="38">
        <v>1355.0</v>
      </c>
      <c r="C15205" s="38" t="s">
        <v>19562</v>
      </c>
      <c r="D15205" s="38" t="str">
        <f>IFERROR(__xludf.DUMMYFUNCTION("REGEXREPLACE(C15205,""-\d+(.*)|--\d+(.*)"","""")"),"SAINT-GENIS-SUR-MENTHON")</f>
        <v>SAINT-GENIS-SUR-MENTHON</v>
      </c>
      <c r="E15205" s="38" t="s">
        <v>255</v>
      </c>
      <c r="F15205" s="38" t="s">
        <v>102</v>
      </c>
      <c r="G15205" s="49" t="str">
        <f t="shared" si="1"/>
        <v>01380</v>
      </c>
      <c r="H15205" s="49" t="str">
        <f t="shared" si="2"/>
        <v>01355</v>
      </c>
    </row>
    <row r="15206">
      <c r="A15206" s="48" t="s">
        <v>524</v>
      </c>
      <c r="B15206" s="38">
        <v>30235.0</v>
      </c>
      <c r="C15206" s="38" t="s">
        <v>19563</v>
      </c>
      <c r="D15206" s="38" t="str">
        <f>IFERROR(__xludf.DUMMYFUNCTION("REGEXREPLACE(C15206,""-\d+(.*)|--\d+(.*)"","""")"),"SAINT-BONNET-DU-GARD")</f>
        <v>SAINT-BONNET-DU-GARD</v>
      </c>
      <c r="E15206" s="38" t="s">
        <v>526</v>
      </c>
      <c r="F15206" s="38" t="s">
        <v>119</v>
      </c>
      <c r="G15206" s="49" t="str">
        <f t="shared" si="1"/>
        <v>30210</v>
      </c>
      <c r="H15206" s="49">
        <f t="shared" si="2"/>
        <v>30235</v>
      </c>
    </row>
    <row r="15207">
      <c r="A15207" s="48" t="s">
        <v>19564</v>
      </c>
      <c r="B15207" s="38">
        <v>97617.0</v>
      </c>
      <c r="C15207" s="38" t="s">
        <v>19565</v>
      </c>
      <c r="D15207" s="38" t="str">
        <f>IFERROR(__xludf.DUMMYFUNCTION("REGEXREPLACE(C15207,""-\d+(.*)|--\d+(.*)"","""")"),"TSINGONI")</f>
        <v>TSINGONI</v>
      </c>
      <c r="E15207" s="38" t="s">
        <v>2865</v>
      </c>
      <c r="F15207" s="38" t="s">
        <v>2865</v>
      </c>
      <c r="G15207" s="49" t="str">
        <f t="shared" si="1"/>
        <v>97680</v>
      </c>
      <c r="H15207" s="49">
        <f t="shared" si="2"/>
        <v>97617</v>
      </c>
    </row>
    <row r="15208">
      <c r="A15208" s="48" t="s">
        <v>19566</v>
      </c>
      <c r="B15208" s="38">
        <v>97310.0</v>
      </c>
      <c r="C15208" s="38" t="s">
        <v>19567</v>
      </c>
      <c r="D15208" s="38" t="str">
        <f>IFERROR(__xludf.DUMMYFUNCTION("REGEXREPLACE(C15208,""-\d+(.*)|--\d+(.*)"","""")"),"ROURA")</f>
        <v>ROURA</v>
      </c>
      <c r="E15208" s="38" t="s">
        <v>1737</v>
      </c>
      <c r="F15208" s="38" t="s">
        <v>1737</v>
      </c>
      <c r="G15208" s="49" t="str">
        <f t="shared" si="1"/>
        <v>97311</v>
      </c>
      <c r="H15208" s="49">
        <f t="shared" si="2"/>
        <v>97310</v>
      </c>
    </row>
    <row r="15209">
      <c r="A15209" s="48" t="s">
        <v>3305</v>
      </c>
      <c r="B15209" s="38">
        <v>24313.0</v>
      </c>
      <c r="C15209" s="38" t="s">
        <v>19568</v>
      </c>
      <c r="D15209" s="38" t="str">
        <f>IFERROR(__xludf.DUMMYFUNCTION("REGEXREPLACE(C15209,""-\d+(.*)|--\d+(.*)"","""")"),"ORLIAC")</f>
        <v>ORLIAC</v>
      </c>
      <c r="E15209" s="38" t="s">
        <v>261</v>
      </c>
      <c r="F15209" s="38" t="s">
        <v>252</v>
      </c>
      <c r="G15209" s="49" t="str">
        <f t="shared" si="1"/>
        <v>24170</v>
      </c>
      <c r="H15209" s="49">
        <f t="shared" si="2"/>
        <v>24313</v>
      </c>
    </row>
    <row r="15210">
      <c r="A15210" s="48" t="s">
        <v>9064</v>
      </c>
      <c r="B15210" s="38">
        <v>15172.0</v>
      </c>
      <c r="C15210" s="38" t="s">
        <v>10665</v>
      </c>
      <c r="D15210" s="38" t="str">
        <f>IFERROR(__xludf.DUMMYFUNCTION("REGEXREPLACE(C15210,""-\d+(.*)|--\d+(.*)"","""")"),"SAINT-ANTOINE")</f>
        <v>SAINT-ANTOINE</v>
      </c>
      <c r="E15210" s="38" t="s">
        <v>632</v>
      </c>
      <c r="F15210" s="38" t="s">
        <v>161</v>
      </c>
      <c r="G15210" s="49" t="str">
        <f t="shared" si="1"/>
        <v>15220</v>
      </c>
      <c r="H15210" s="49">
        <f t="shared" si="2"/>
        <v>15172</v>
      </c>
    </row>
    <row r="15211">
      <c r="A15211" s="48" t="s">
        <v>9365</v>
      </c>
      <c r="B15211" s="38">
        <v>90060.0</v>
      </c>
      <c r="C15211" s="38" t="s">
        <v>3207</v>
      </c>
      <c r="D15211" s="38" t="str">
        <f>IFERROR(__xludf.DUMMYFUNCTION("REGEXREPLACE(C15211,""-\d+(.*)|--\d+(.*)"","""")"),"LAGRANGE")</f>
        <v>LAGRANGE</v>
      </c>
      <c r="E15211" s="38" t="s">
        <v>1283</v>
      </c>
      <c r="F15211" s="38" t="s">
        <v>214</v>
      </c>
      <c r="G15211" s="49" t="str">
        <f t="shared" si="1"/>
        <v>90150</v>
      </c>
      <c r="H15211" s="49">
        <f t="shared" si="2"/>
        <v>90060</v>
      </c>
    </row>
    <row r="15212">
      <c r="A15212" s="48" t="s">
        <v>2362</v>
      </c>
      <c r="B15212" s="38">
        <v>14717.0</v>
      </c>
      <c r="C15212" s="38" t="s">
        <v>19569</v>
      </c>
      <c r="D15212" s="38" t="str">
        <f>IFERROR(__xludf.DUMMYFUNCTION("REGEXREPLACE(C15212,""-\d+(.*)|--\d+(.*)"","""")"),"TRUTTEMER-LE-GRAND")</f>
        <v>TRUTTEMER-LE-GRAND</v>
      </c>
      <c r="E15212" s="38" t="s">
        <v>137</v>
      </c>
      <c r="F15212" s="38" t="s">
        <v>138</v>
      </c>
      <c r="G15212" s="49" t="str">
        <f t="shared" si="1"/>
        <v>14500</v>
      </c>
      <c r="H15212" s="49">
        <f t="shared" si="2"/>
        <v>14717</v>
      </c>
    </row>
    <row r="15213">
      <c r="A15213" s="48" t="s">
        <v>2824</v>
      </c>
      <c r="B15213" s="38">
        <v>25129.0</v>
      </c>
      <c r="C15213" s="38" t="s">
        <v>19570</v>
      </c>
      <c r="D15213" s="38" t="str">
        <f>IFERROR(__xludf.DUMMYFUNCTION("REGEXREPLACE(C15213,""-\d+(.*)|--\d+(.*)"","""")"),"CHASSAGNE-SAINT-DENIS")</f>
        <v>CHASSAGNE-SAINT-DENIS</v>
      </c>
      <c r="E15213" s="38" t="s">
        <v>213</v>
      </c>
      <c r="F15213" s="38" t="s">
        <v>214</v>
      </c>
      <c r="G15213" s="49" t="str">
        <f t="shared" si="1"/>
        <v>25290</v>
      </c>
      <c r="H15213" s="49">
        <f t="shared" si="2"/>
        <v>25129</v>
      </c>
    </row>
    <row r="15214">
      <c r="A15214" s="48" t="s">
        <v>8129</v>
      </c>
      <c r="B15214" s="38">
        <v>70227.0</v>
      </c>
      <c r="C15214" s="38" t="s">
        <v>19571</v>
      </c>
      <c r="D15214" s="38" t="str">
        <f>IFERROR(__xludf.DUMMYFUNCTION("REGEXREPLACE(C15214,""-\d+(.*)|--\d+(.*)"","""")"),"FAUCOGNEY-ET-LA-MER")</f>
        <v>FAUCOGNEY-ET-LA-MER</v>
      </c>
      <c r="E15214" s="38" t="s">
        <v>956</v>
      </c>
      <c r="F15214" s="38" t="s">
        <v>214</v>
      </c>
      <c r="G15214" s="49" t="str">
        <f t="shared" si="1"/>
        <v>70310</v>
      </c>
      <c r="H15214" s="49">
        <f t="shared" si="2"/>
        <v>70227</v>
      </c>
    </row>
    <row r="15215">
      <c r="A15215" s="48" t="s">
        <v>5250</v>
      </c>
      <c r="B15215" s="38">
        <v>27288.0</v>
      </c>
      <c r="C15215" s="38" t="s">
        <v>19572</v>
      </c>
      <c r="D15215" s="38" t="str">
        <f>IFERROR(__xludf.DUMMYFUNCTION("REGEXREPLACE(C15215,""-\d+(.*)|--\d+(.*)"","""")"),"GLOS-SUR-RISLE")</f>
        <v>GLOS-SUR-RISLE</v>
      </c>
      <c r="E15215" s="38" t="s">
        <v>241</v>
      </c>
      <c r="F15215" s="38" t="s">
        <v>134</v>
      </c>
      <c r="G15215" s="49" t="str">
        <f t="shared" si="1"/>
        <v>27290</v>
      </c>
      <c r="H15215" s="49">
        <f t="shared" si="2"/>
        <v>27288</v>
      </c>
    </row>
    <row r="15216">
      <c r="A15216" s="48" t="s">
        <v>15022</v>
      </c>
      <c r="B15216" s="38">
        <v>8357.0</v>
      </c>
      <c r="C15216" s="38" t="s">
        <v>19573</v>
      </c>
      <c r="D15216" s="38" t="str">
        <f>IFERROR(__xludf.DUMMYFUNCTION("REGEXREPLACE(C15216,""-\d+(.*)|--\d+(.*)"","""")"),"REMILLY-AILLICOURT")</f>
        <v>REMILLY-AILLICOURT</v>
      </c>
      <c r="E15216" s="38" t="s">
        <v>327</v>
      </c>
      <c r="F15216" s="38" t="s">
        <v>130</v>
      </c>
      <c r="G15216" s="49" t="str">
        <f t="shared" si="1"/>
        <v>08450</v>
      </c>
      <c r="H15216" s="49" t="str">
        <f t="shared" si="2"/>
        <v>08357</v>
      </c>
    </row>
    <row r="15217">
      <c r="A15217" s="48" t="s">
        <v>8279</v>
      </c>
      <c r="B15217" s="38">
        <v>86065.0</v>
      </c>
      <c r="C15217" s="38" t="s">
        <v>19574</v>
      </c>
      <c r="D15217" s="38" t="str">
        <f>IFERROR(__xludf.DUMMYFUNCTION("REGEXREPLACE(C15217,""-\d+(.*)|--\d+(.*)"","""")"),"CHATEAU-LARCHER")</f>
        <v>CHATEAU-LARCHER</v>
      </c>
      <c r="E15217" s="38" t="s">
        <v>529</v>
      </c>
      <c r="F15217" s="38" t="s">
        <v>338</v>
      </c>
      <c r="G15217" s="49" t="str">
        <f t="shared" si="1"/>
        <v>86370</v>
      </c>
      <c r="H15217" s="49">
        <f t="shared" si="2"/>
        <v>86065</v>
      </c>
    </row>
    <row r="15218">
      <c r="A15218" s="48" t="s">
        <v>4733</v>
      </c>
      <c r="B15218" s="38">
        <v>38230.0</v>
      </c>
      <c r="C15218" s="38" t="s">
        <v>19575</v>
      </c>
      <c r="D15218" s="38" t="str">
        <f>IFERROR(__xludf.DUMMYFUNCTION("REGEXREPLACE(C15218,""-\d+(.*)|--\d+(.*)"","""")"),"MEYRIE")</f>
        <v>MEYRIE</v>
      </c>
      <c r="E15218" s="38" t="s">
        <v>101</v>
      </c>
      <c r="F15218" s="38" t="s">
        <v>102</v>
      </c>
      <c r="G15218" s="49" t="str">
        <f t="shared" si="1"/>
        <v>38300</v>
      </c>
      <c r="H15218" s="49">
        <f t="shared" si="2"/>
        <v>38230</v>
      </c>
    </row>
    <row r="15219">
      <c r="A15219" s="48" t="s">
        <v>1208</v>
      </c>
      <c r="B15219" s="38">
        <v>32093.0</v>
      </c>
      <c r="C15219" s="38" t="s">
        <v>2371</v>
      </c>
      <c r="D15219" s="38" t="str">
        <f>IFERROR(__xludf.DUMMYFUNCTION("REGEXREPLACE(C15219,""-\d+(.*)|--\d+(.*)"","""")"),"CAUMONT")</f>
        <v>CAUMONT</v>
      </c>
      <c r="E15219" s="38" t="s">
        <v>440</v>
      </c>
      <c r="F15219" s="38" t="s">
        <v>94</v>
      </c>
      <c r="G15219" s="49" t="str">
        <f t="shared" si="1"/>
        <v>32400</v>
      </c>
      <c r="H15219" s="49">
        <f t="shared" si="2"/>
        <v>32093</v>
      </c>
    </row>
    <row r="15220">
      <c r="A15220" s="48" t="s">
        <v>3598</v>
      </c>
      <c r="B15220" s="38">
        <v>7178.0</v>
      </c>
      <c r="C15220" s="38" t="s">
        <v>19576</v>
      </c>
      <c r="D15220" s="38" t="str">
        <f>IFERROR(__xludf.DUMMYFUNCTION("REGEXREPLACE(C15220,""-\d+(.*)|--\d+(.*)"","""")"),"PONT-DE-LABEAUME")</f>
        <v>PONT-DE-LABEAUME</v>
      </c>
      <c r="E15220" s="38" t="s">
        <v>144</v>
      </c>
      <c r="F15220" s="38" t="s">
        <v>102</v>
      </c>
      <c r="G15220" s="49" t="str">
        <f t="shared" si="1"/>
        <v>07380</v>
      </c>
      <c r="H15220" s="49" t="str">
        <f t="shared" si="2"/>
        <v>07178</v>
      </c>
    </row>
    <row r="15221">
      <c r="A15221" s="48" t="s">
        <v>19577</v>
      </c>
      <c r="B15221" s="38">
        <v>12237.0</v>
      </c>
      <c r="C15221" s="38" t="s">
        <v>19578</v>
      </c>
      <c r="D15221" s="38" t="str">
        <f>IFERROR(__xludf.DUMMYFUNCTION("REGEXREPLACE(C15221,""-\d+(.*)|--\d+(.*)"","""")"),"SAINT-LAURENT-D'OLT")</f>
        <v>SAINT-LAURENT-D'OLT</v>
      </c>
      <c r="E15221" s="38" t="s">
        <v>465</v>
      </c>
      <c r="F15221" s="38" t="s">
        <v>94</v>
      </c>
      <c r="G15221" s="49" t="str">
        <f t="shared" si="1"/>
        <v>12560</v>
      </c>
      <c r="H15221" s="49">
        <f t="shared" si="2"/>
        <v>12237</v>
      </c>
    </row>
    <row r="15222">
      <c r="A15222" s="48" t="s">
        <v>7239</v>
      </c>
      <c r="B15222" s="38">
        <v>24429.0</v>
      </c>
      <c r="C15222" s="38" t="s">
        <v>19579</v>
      </c>
      <c r="D15222" s="38" t="str">
        <f>IFERROR(__xludf.DUMMYFUNCTION("REGEXREPLACE(C15222,""-\d+(.*)|--\d+(.*)"","""")"),"SAINT-JORY-LAS-BLOUX")</f>
        <v>SAINT-JORY-LAS-BLOUX</v>
      </c>
      <c r="E15222" s="38" t="s">
        <v>261</v>
      </c>
      <c r="F15222" s="38" t="s">
        <v>252</v>
      </c>
      <c r="G15222" s="49" t="str">
        <f t="shared" si="1"/>
        <v>24160</v>
      </c>
      <c r="H15222" s="49">
        <f t="shared" si="2"/>
        <v>24429</v>
      </c>
    </row>
    <row r="15223">
      <c r="A15223" s="48" t="s">
        <v>1118</v>
      </c>
      <c r="B15223" s="38">
        <v>50558.0</v>
      </c>
      <c r="C15223" s="38" t="s">
        <v>19580</v>
      </c>
      <c r="D15223" s="38" t="str">
        <f>IFERROR(__xludf.DUMMYFUNCTION("REGEXREPLACE(C15223,""-\d+(.*)|--\d+(.*)"","""")"),"SAINT-SYMPHORIEN-LE-VALOIS")</f>
        <v>SAINT-SYMPHORIEN-LE-VALOIS</v>
      </c>
      <c r="E15223" s="38" t="s">
        <v>157</v>
      </c>
      <c r="F15223" s="38" t="s">
        <v>138</v>
      </c>
      <c r="G15223" s="49" t="str">
        <f t="shared" si="1"/>
        <v>50250</v>
      </c>
      <c r="H15223" s="49">
        <f t="shared" si="2"/>
        <v>50558</v>
      </c>
    </row>
    <row r="15224">
      <c r="A15224" s="48" t="s">
        <v>8698</v>
      </c>
      <c r="B15224" s="38">
        <v>11316.0</v>
      </c>
      <c r="C15224" s="38" t="s">
        <v>19581</v>
      </c>
      <c r="D15224" s="38" t="str">
        <f>IFERROR(__xludf.DUMMYFUNCTION("REGEXREPLACE(C15224,""-\d+(.*)|--\d+(.*)"","""")"),"RIVEL")</f>
        <v>RIVEL</v>
      </c>
      <c r="E15224" s="38" t="s">
        <v>278</v>
      </c>
      <c r="F15224" s="38" t="s">
        <v>119</v>
      </c>
      <c r="G15224" s="49" t="str">
        <f t="shared" si="1"/>
        <v>11230</v>
      </c>
      <c r="H15224" s="49">
        <f t="shared" si="2"/>
        <v>11316</v>
      </c>
    </row>
    <row r="15225">
      <c r="A15225" s="48" t="s">
        <v>2703</v>
      </c>
      <c r="B15225" s="38">
        <v>69201.0</v>
      </c>
      <c r="C15225" s="38" t="s">
        <v>19582</v>
      </c>
      <c r="D15225" s="38" t="str">
        <f>IFERROR(__xludf.DUMMYFUNCTION("REGEXREPLACE(C15225,""-\d+(.*)|--\d+(.*)"","""")"),"SAINTE-FOY-L'ARGENTIERE")</f>
        <v>SAINTE-FOY-L'ARGENTIERE</v>
      </c>
      <c r="E15225" s="38" t="s">
        <v>350</v>
      </c>
      <c r="F15225" s="38" t="s">
        <v>102</v>
      </c>
      <c r="G15225" s="49" t="str">
        <f t="shared" si="1"/>
        <v>69610</v>
      </c>
      <c r="H15225" s="49">
        <f t="shared" si="2"/>
        <v>69201</v>
      </c>
    </row>
    <row r="15226">
      <c r="A15226" s="48" t="s">
        <v>15028</v>
      </c>
      <c r="B15226" s="38">
        <v>79022.0</v>
      </c>
      <c r="C15226" s="38" t="s">
        <v>19583</v>
      </c>
      <c r="D15226" s="38" t="str">
        <f>IFERROR(__xludf.DUMMYFUNCTION("REGEXREPLACE(C15226,""-\d+(.*)|--\d+(.*)"","""")"),"AVAILLES-THOUARSAIS")</f>
        <v>AVAILLES-THOUARSAIS</v>
      </c>
      <c r="E15226" s="38" t="s">
        <v>337</v>
      </c>
      <c r="F15226" s="38" t="s">
        <v>338</v>
      </c>
      <c r="G15226" s="49" t="str">
        <f t="shared" si="1"/>
        <v>79600</v>
      </c>
      <c r="H15226" s="49">
        <f t="shared" si="2"/>
        <v>79022</v>
      </c>
    </row>
    <row r="15227">
      <c r="A15227" s="48" t="s">
        <v>6542</v>
      </c>
      <c r="B15227" s="38">
        <v>40201.0</v>
      </c>
      <c r="C15227" s="38" t="s">
        <v>19584</v>
      </c>
      <c r="D15227" s="38" t="str">
        <f>IFERROR(__xludf.DUMMYFUNCTION("REGEXREPLACE(C15227,""-\d+(.*)|--\d+(.*)"","""")"),"MUGRON")</f>
        <v>MUGRON</v>
      </c>
      <c r="E15227" s="38" t="s">
        <v>281</v>
      </c>
      <c r="F15227" s="38" t="s">
        <v>252</v>
      </c>
      <c r="G15227" s="49" t="str">
        <f t="shared" si="1"/>
        <v>40250</v>
      </c>
      <c r="H15227" s="49">
        <f t="shared" si="2"/>
        <v>40201</v>
      </c>
    </row>
    <row r="15228">
      <c r="A15228" s="48" t="s">
        <v>8042</v>
      </c>
      <c r="B15228" s="38">
        <v>26325.0</v>
      </c>
      <c r="C15228" s="38" t="s">
        <v>19585</v>
      </c>
      <c r="D15228" s="38" t="str">
        <f>IFERROR(__xludf.DUMMYFUNCTION("REGEXREPLACE(C15228,""-\d+(.*)|--\d+(.*)"","""")"),"SAINT-RAMBERT-D'ALBON")</f>
        <v>SAINT-RAMBERT-D'ALBON</v>
      </c>
      <c r="E15228" s="38" t="s">
        <v>126</v>
      </c>
      <c r="F15228" s="38" t="s">
        <v>102</v>
      </c>
      <c r="G15228" s="49" t="str">
        <f t="shared" si="1"/>
        <v>26140</v>
      </c>
      <c r="H15228" s="49">
        <f t="shared" si="2"/>
        <v>26325</v>
      </c>
    </row>
    <row r="15229">
      <c r="A15229" s="48" t="s">
        <v>1100</v>
      </c>
      <c r="B15229" s="38">
        <v>8032.0</v>
      </c>
      <c r="C15229" s="38" t="s">
        <v>19586</v>
      </c>
      <c r="D15229" s="38" t="str">
        <f>IFERROR(__xludf.DUMMYFUNCTION("REGEXREPLACE(C15229,""-\d+(.*)|--\d+(.*)"","""")"),"AUSSONCE")</f>
        <v>AUSSONCE</v>
      </c>
      <c r="E15229" s="38" t="s">
        <v>327</v>
      </c>
      <c r="F15229" s="38" t="s">
        <v>130</v>
      </c>
      <c r="G15229" s="49" t="str">
        <f t="shared" si="1"/>
        <v>08310</v>
      </c>
      <c r="H15229" s="49" t="str">
        <f t="shared" si="2"/>
        <v>08032</v>
      </c>
    </row>
    <row r="15230">
      <c r="A15230" s="48" t="s">
        <v>639</v>
      </c>
      <c r="B15230" s="38">
        <v>16081.0</v>
      </c>
      <c r="C15230" s="38" t="s">
        <v>1198</v>
      </c>
      <c r="D15230" s="38" t="str">
        <f>IFERROR(__xludf.DUMMYFUNCTION("REGEXREPLACE(C15230,""-\d+(.*)|--\d+(.*)"","""")"),"LA CHAPELLE")</f>
        <v>LA CHAPELLE</v>
      </c>
      <c r="E15230" s="38" t="s">
        <v>429</v>
      </c>
      <c r="F15230" s="38" t="s">
        <v>338</v>
      </c>
      <c r="G15230" s="49" t="str">
        <f t="shared" si="1"/>
        <v>16140</v>
      </c>
      <c r="H15230" s="49">
        <f t="shared" si="2"/>
        <v>16081</v>
      </c>
    </row>
    <row r="15231">
      <c r="A15231" s="48" t="s">
        <v>4543</v>
      </c>
      <c r="B15231" s="38">
        <v>64036.0</v>
      </c>
      <c r="C15231" s="38" t="s">
        <v>19587</v>
      </c>
      <c r="D15231" s="38" t="str">
        <f>IFERROR(__xludf.DUMMYFUNCTION("REGEXREPLACE(C15231,""-\d+(.*)|--\d+(.*)"","""")"),"ARBOUET-SUSSAUTE")</f>
        <v>ARBOUET-SUSSAUTE</v>
      </c>
      <c r="E15231" s="38" t="s">
        <v>268</v>
      </c>
      <c r="F15231" s="38" t="s">
        <v>252</v>
      </c>
      <c r="G15231" s="49" t="str">
        <f t="shared" si="1"/>
        <v>64120</v>
      </c>
      <c r="H15231" s="49">
        <f t="shared" si="2"/>
        <v>64036</v>
      </c>
    </row>
    <row r="15232">
      <c r="A15232" s="48" t="s">
        <v>19588</v>
      </c>
      <c r="B15232" s="38">
        <v>78404.0</v>
      </c>
      <c r="C15232" s="38" t="s">
        <v>19589</v>
      </c>
      <c r="D15232" s="38" t="str">
        <f>IFERROR(__xludf.DUMMYFUNCTION("REGEXREPLACE(C15232,""-\d+(.*)|--\d+(.*)"","""")"),"MILLEMONT")</f>
        <v>MILLEMONT</v>
      </c>
      <c r="E15232" s="38" t="s">
        <v>362</v>
      </c>
      <c r="F15232" s="38" t="s">
        <v>245</v>
      </c>
      <c r="G15232" s="49" t="str">
        <f t="shared" si="1"/>
        <v>78940</v>
      </c>
      <c r="H15232" s="49">
        <f t="shared" si="2"/>
        <v>78404</v>
      </c>
    </row>
    <row r="15233">
      <c r="A15233" s="48" t="s">
        <v>7171</v>
      </c>
      <c r="B15233" s="38">
        <v>54181.0</v>
      </c>
      <c r="C15233" s="38" t="s">
        <v>19590</v>
      </c>
      <c r="D15233" s="38" t="str">
        <f>IFERROR(__xludf.DUMMYFUNCTION("REGEXREPLACE(C15233,""-\d+(.*)|--\d+(.*)"","""")"),"ERROUVILLE")</f>
        <v>ERROUVILLE</v>
      </c>
      <c r="E15233" s="38" t="s">
        <v>548</v>
      </c>
      <c r="F15233" s="38" t="s">
        <v>195</v>
      </c>
      <c r="G15233" s="49" t="str">
        <f t="shared" si="1"/>
        <v>54680</v>
      </c>
      <c r="H15233" s="49">
        <f t="shared" si="2"/>
        <v>54181</v>
      </c>
    </row>
    <row r="15234">
      <c r="A15234" s="48" t="s">
        <v>1323</v>
      </c>
      <c r="B15234" s="38">
        <v>21083.0</v>
      </c>
      <c r="C15234" s="38" t="s">
        <v>19591</v>
      </c>
      <c r="D15234" s="38" t="str">
        <f>IFERROR(__xludf.DUMMYFUNCTION("REGEXREPLACE(C15234,""-\d+(.*)|--\d+(.*)"","""")"),"BLANOT")</f>
        <v>BLANOT</v>
      </c>
      <c r="E15234" s="38" t="s">
        <v>105</v>
      </c>
      <c r="F15234" s="38" t="s">
        <v>106</v>
      </c>
      <c r="G15234" s="49" t="str">
        <f t="shared" si="1"/>
        <v>21430</v>
      </c>
      <c r="H15234" s="49">
        <f t="shared" si="2"/>
        <v>21083</v>
      </c>
    </row>
    <row r="15235">
      <c r="A15235" s="48" t="s">
        <v>3212</v>
      </c>
      <c r="B15235" s="38">
        <v>64508.0</v>
      </c>
      <c r="C15235" s="38" t="s">
        <v>19592</v>
      </c>
      <c r="D15235" s="38" t="str">
        <f>IFERROR(__xludf.DUMMYFUNCTION("REGEXREPLACE(C15235,""-\d+(.*)|--\d+(.*)"","""")"),"SAUCEDE")</f>
        <v>SAUCEDE</v>
      </c>
      <c r="E15235" s="38" t="s">
        <v>268</v>
      </c>
      <c r="F15235" s="38" t="s">
        <v>252</v>
      </c>
      <c r="G15235" s="49" t="str">
        <f t="shared" si="1"/>
        <v>64400</v>
      </c>
      <c r="H15235" s="49">
        <f t="shared" si="2"/>
        <v>64508</v>
      </c>
    </row>
    <row r="15236">
      <c r="A15236" s="48" t="s">
        <v>2067</v>
      </c>
      <c r="B15236" s="38">
        <v>18222.0</v>
      </c>
      <c r="C15236" s="38" t="s">
        <v>19593</v>
      </c>
      <c r="D15236" s="38" t="str">
        <f>IFERROR(__xludf.DUMMYFUNCTION("REGEXREPLACE(C15236,""-\d+(.*)|--\d+(.*)"","""")"),"SAINTE-LUNAISE")</f>
        <v>SAINTE-LUNAISE</v>
      </c>
      <c r="E15236" s="38" t="s">
        <v>504</v>
      </c>
      <c r="F15236" s="38" t="s">
        <v>123</v>
      </c>
      <c r="G15236" s="49" t="str">
        <f t="shared" si="1"/>
        <v>18340</v>
      </c>
      <c r="H15236" s="49">
        <f t="shared" si="2"/>
        <v>18222</v>
      </c>
    </row>
    <row r="15237">
      <c r="A15237" s="48" t="s">
        <v>9597</v>
      </c>
      <c r="B15237" s="38">
        <v>29063.0</v>
      </c>
      <c r="C15237" s="38" t="s">
        <v>19594</v>
      </c>
      <c r="D15237" s="38" t="str">
        <f>IFERROR(__xludf.DUMMYFUNCTION("REGEXREPLACE(C15237,""-\d+(.*)|--\d+(.*)"","""")"),"GOULIEN")</f>
        <v>GOULIEN</v>
      </c>
      <c r="E15237" s="38" t="s">
        <v>176</v>
      </c>
      <c r="F15237" s="38" t="s">
        <v>90</v>
      </c>
      <c r="G15237" s="49" t="str">
        <f t="shared" si="1"/>
        <v>29770</v>
      </c>
      <c r="H15237" s="49">
        <f t="shared" si="2"/>
        <v>29063</v>
      </c>
    </row>
    <row r="15238">
      <c r="A15238" s="48" t="s">
        <v>2924</v>
      </c>
      <c r="B15238" s="38">
        <v>8111.0</v>
      </c>
      <c r="C15238" s="38" t="s">
        <v>19595</v>
      </c>
      <c r="D15238" s="38" t="str">
        <f>IFERROR(__xludf.DUMMYFUNCTION("REGEXREPLACE(C15238,""-\d+(.*)|--\d+(.*)"","""")"),"LE CHATELET-SUR-RETOURNE")</f>
        <v>LE CHATELET-SUR-RETOURNE</v>
      </c>
      <c r="E15238" s="38" t="s">
        <v>327</v>
      </c>
      <c r="F15238" s="38" t="s">
        <v>130</v>
      </c>
      <c r="G15238" s="49" t="str">
        <f t="shared" si="1"/>
        <v>08300</v>
      </c>
      <c r="H15238" s="49" t="str">
        <f t="shared" si="2"/>
        <v>08111</v>
      </c>
    </row>
    <row r="15239">
      <c r="A15239" s="48" t="s">
        <v>452</v>
      </c>
      <c r="B15239" s="38">
        <v>21410.0</v>
      </c>
      <c r="C15239" s="38" t="s">
        <v>19596</v>
      </c>
      <c r="D15239" s="38" t="str">
        <f>IFERROR(__xludf.DUMMYFUNCTION("REGEXREPLACE(C15239,""-\d+(.*)|--\d+(.*)"","""")"),"MEULSON")</f>
        <v>MEULSON</v>
      </c>
      <c r="E15239" s="38" t="s">
        <v>105</v>
      </c>
      <c r="F15239" s="38" t="s">
        <v>106</v>
      </c>
      <c r="G15239" s="49" t="str">
        <f t="shared" si="1"/>
        <v>21510</v>
      </c>
      <c r="H15239" s="49">
        <f t="shared" si="2"/>
        <v>21410</v>
      </c>
    </row>
    <row r="15240">
      <c r="A15240" s="48" t="s">
        <v>7843</v>
      </c>
      <c r="B15240" s="38">
        <v>49032.0</v>
      </c>
      <c r="C15240" s="38" t="s">
        <v>19597</v>
      </c>
      <c r="D15240" s="38" t="str">
        <f>IFERROR(__xludf.DUMMYFUNCTION("REGEXREPLACE(C15240,""-\d+(.*)|--\d+(.*)"","""")"),"LA BOHALLE")</f>
        <v>LA BOHALLE</v>
      </c>
      <c r="E15240" s="38" t="s">
        <v>653</v>
      </c>
      <c r="F15240" s="38" t="s">
        <v>180</v>
      </c>
      <c r="G15240" s="49" t="str">
        <f t="shared" si="1"/>
        <v>49800</v>
      </c>
      <c r="H15240" s="49">
        <f t="shared" si="2"/>
        <v>49032</v>
      </c>
    </row>
    <row r="15241">
      <c r="A15241" s="48" t="s">
        <v>11926</v>
      </c>
      <c r="B15241" s="38">
        <v>72247.0</v>
      </c>
      <c r="C15241" s="38" t="s">
        <v>19598</v>
      </c>
      <c r="D15241" s="38" t="str">
        <f>IFERROR(__xludf.DUMMYFUNCTION("REGEXREPLACE(C15241,""-\d+(.*)|--\d+(.*)"","""")"),"PRUILLE-LE-CHETIF")</f>
        <v>PRUILLE-LE-CHETIF</v>
      </c>
      <c r="E15241" s="38" t="s">
        <v>521</v>
      </c>
      <c r="F15241" s="38" t="s">
        <v>180</v>
      </c>
      <c r="G15241" s="49" t="str">
        <f t="shared" si="1"/>
        <v>72700</v>
      </c>
      <c r="H15241" s="49">
        <f t="shared" si="2"/>
        <v>72247</v>
      </c>
    </row>
    <row r="15242">
      <c r="A15242" s="48" t="s">
        <v>794</v>
      </c>
      <c r="B15242" s="38">
        <v>60039.0</v>
      </c>
      <c r="C15242" s="38" t="s">
        <v>19599</v>
      </c>
      <c r="D15242" s="38" t="str">
        <f>IFERROR(__xludf.DUMMYFUNCTION("REGEXREPLACE(C15242,""-\d+(.*)|--\d+(.*)"","""")"),"BACOUEL")</f>
        <v>BACOUEL</v>
      </c>
      <c r="E15242" s="38" t="s">
        <v>112</v>
      </c>
      <c r="F15242" s="38" t="s">
        <v>113</v>
      </c>
      <c r="G15242" s="49" t="str">
        <f t="shared" si="1"/>
        <v>60120</v>
      </c>
      <c r="H15242" s="49">
        <f t="shared" si="2"/>
        <v>60039</v>
      </c>
    </row>
    <row r="15243">
      <c r="A15243" s="48" t="s">
        <v>6073</v>
      </c>
      <c r="B15243" s="38">
        <v>40195.0</v>
      </c>
      <c r="C15243" s="38" t="s">
        <v>5854</v>
      </c>
      <c r="D15243" s="38" t="str">
        <f>IFERROR(__xludf.DUMMYFUNCTION("REGEXREPLACE(C15243,""-\d+(.*)|--\d+(.*)"","""")"),"MONTGAILLARD")</f>
        <v>MONTGAILLARD</v>
      </c>
      <c r="E15243" s="38" t="s">
        <v>281</v>
      </c>
      <c r="F15243" s="38" t="s">
        <v>252</v>
      </c>
      <c r="G15243" s="49" t="str">
        <f t="shared" si="1"/>
        <v>40500</v>
      </c>
      <c r="H15243" s="49">
        <f t="shared" si="2"/>
        <v>40195</v>
      </c>
    </row>
    <row r="15244">
      <c r="A15244" s="48" t="s">
        <v>3900</v>
      </c>
      <c r="B15244" s="38">
        <v>2501.0</v>
      </c>
      <c r="C15244" s="38" t="s">
        <v>19600</v>
      </c>
      <c r="D15244" s="38" t="str">
        <f>IFERROR(__xludf.DUMMYFUNCTION("REGEXREPLACE(C15244,""-\d+(.*)|--\d+(.*)"","""")"),"MONTCHALONS")</f>
        <v>MONTCHALONS</v>
      </c>
      <c r="E15244" s="38" t="s">
        <v>191</v>
      </c>
      <c r="F15244" s="38" t="s">
        <v>113</v>
      </c>
      <c r="G15244" s="49" t="str">
        <f t="shared" si="1"/>
        <v>02860</v>
      </c>
      <c r="H15244" s="49" t="str">
        <f t="shared" si="2"/>
        <v>02501</v>
      </c>
    </row>
    <row r="15245">
      <c r="A15245" s="48" t="s">
        <v>201</v>
      </c>
      <c r="B15245" s="38">
        <v>2761.0</v>
      </c>
      <c r="C15245" s="38" t="s">
        <v>19601</v>
      </c>
      <c r="D15245" s="38" t="str">
        <f>IFERROR(__xludf.DUMMYFUNCTION("REGEXREPLACE(C15245,""-\d+(.*)|--\d+(.*)"","""")"),"VARISCOURT")</f>
        <v>VARISCOURT</v>
      </c>
      <c r="E15245" s="38" t="s">
        <v>191</v>
      </c>
      <c r="F15245" s="38" t="s">
        <v>113</v>
      </c>
      <c r="G15245" s="49" t="str">
        <f t="shared" si="1"/>
        <v>02190</v>
      </c>
      <c r="H15245" s="49" t="str">
        <f t="shared" si="2"/>
        <v>02761</v>
      </c>
    </row>
    <row r="15246">
      <c r="A15246" s="48" t="s">
        <v>2640</v>
      </c>
      <c r="B15246" s="38">
        <v>58249.0</v>
      </c>
      <c r="C15246" s="38" t="s">
        <v>19602</v>
      </c>
      <c r="D15246" s="38" t="str">
        <f>IFERROR(__xludf.DUMMYFUNCTION("REGEXREPLACE(C15246,""-\d+(.*)|--\d+(.*)"","""")"),"SAINT-LEGER-DE-FOUGERET")</f>
        <v>SAINT-LEGER-DE-FOUGERET</v>
      </c>
      <c r="E15246" s="38" t="s">
        <v>219</v>
      </c>
      <c r="F15246" s="38" t="s">
        <v>106</v>
      </c>
      <c r="G15246" s="49" t="str">
        <f t="shared" si="1"/>
        <v>58120</v>
      </c>
      <c r="H15246" s="49">
        <f t="shared" si="2"/>
        <v>58249</v>
      </c>
    </row>
    <row r="15247">
      <c r="A15247" s="48" t="s">
        <v>9002</v>
      </c>
      <c r="B15247" s="38">
        <v>78029.0</v>
      </c>
      <c r="C15247" s="38" t="s">
        <v>19603</v>
      </c>
      <c r="D15247" s="38" t="str">
        <f>IFERROR(__xludf.DUMMYFUNCTION("REGEXREPLACE(C15247,""-\d+(.*)|--\d+(.*)"","""")"),"AUBERGENVILLE")</f>
        <v>AUBERGENVILLE</v>
      </c>
      <c r="E15247" s="38" t="s">
        <v>362</v>
      </c>
      <c r="F15247" s="38" t="s">
        <v>245</v>
      </c>
      <c r="G15247" s="49" t="str">
        <f t="shared" si="1"/>
        <v>78410</v>
      </c>
      <c r="H15247" s="49">
        <f t="shared" si="2"/>
        <v>78029</v>
      </c>
    </row>
    <row r="15248">
      <c r="A15248" s="48" t="s">
        <v>4676</v>
      </c>
      <c r="B15248" s="38">
        <v>48007.0</v>
      </c>
      <c r="C15248" s="38" t="s">
        <v>19604</v>
      </c>
      <c r="D15248" s="38" t="str">
        <f>IFERROR(__xludf.DUMMYFUNCTION("REGEXREPLACE(C15248,""-\d+(.*)|--\d+(.*)"","""")"),"ARZENC-D'APCHER")</f>
        <v>ARZENC-D'APCHER</v>
      </c>
      <c r="E15248" s="38" t="s">
        <v>154</v>
      </c>
      <c r="F15248" s="38" t="s">
        <v>119</v>
      </c>
      <c r="G15248" s="49" t="str">
        <f t="shared" si="1"/>
        <v>48310</v>
      </c>
      <c r="H15248" s="49">
        <f t="shared" si="2"/>
        <v>48007</v>
      </c>
    </row>
    <row r="15249">
      <c r="A15249" s="48" t="s">
        <v>6019</v>
      </c>
      <c r="B15249" s="38">
        <v>39096.0</v>
      </c>
      <c r="C15249" s="38" t="s">
        <v>19605</v>
      </c>
      <c r="D15249" s="38" t="str">
        <f>IFERROR(__xludf.DUMMYFUNCTION("REGEXREPLACE(C15249,""-\d+(.*)|--\d+(.*)"","""")"),"CHAMPAGNEY")</f>
        <v>CHAMPAGNEY</v>
      </c>
      <c r="E15249" s="38" t="s">
        <v>400</v>
      </c>
      <c r="F15249" s="38" t="s">
        <v>214</v>
      </c>
      <c r="G15249" s="49" t="str">
        <f t="shared" si="1"/>
        <v>39290</v>
      </c>
      <c r="H15249" s="49">
        <f t="shared" si="2"/>
        <v>39096</v>
      </c>
    </row>
    <row r="15250">
      <c r="A15250" s="48" t="s">
        <v>5250</v>
      </c>
      <c r="B15250" s="38">
        <v>27167.0</v>
      </c>
      <c r="C15250" s="38" t="s">
        <v>19606</v>
      </c>
      <c r="D15250" s="38" t="str">
        <f>IFERROR(__xludf.DUMMYFUNCTION("REGEXREPLACE(C15250,""-\d+(.*)|--\d+(.*)"","""")"),"CONDE-SUR-RISLE")</f>
        <v>CONDE-SUR-RISLE</v>
      </c>
      <c r="E15250" s="38" t="s">
        <v>241</v>
      </c>
      <c r="F15250" s="38" t="s">
        <v>134</v>
      </c>
      <c r="G15250" s="49" t="str">
        <f t="shared" si="1"/>
        <v>27290</v>
      </c>
      <c r="H15250" s="49">
        <f t="shared" si="2"/>
        <v>27167</v>
      </c>
    </row>
    <row r="15251">
      <c r="A15251" s="48" t="s">
        <v>2506</v>
      </c>
      <c r="B15251" s="38">
        <v>80242.0</v>
      </c>
      <c r="C15251" s="38" t="s">
        <v>19607</v>
      </c>
      <c r="D15251" s="38" t="str">
        <f>IFERROR(__xludf.DUMMYFUNCTION("REGEXREPLACE(C15251,""-\d+(.*)|--\d+(.*)"","""")"),"DOMART-SUR-LA-LUCE")</f>
        <v>DOMART-SUR-LA-LUCE</v>
      </c>
      <c r="E15251" s="38" t="s">
        <v>224</v>
      </c>
      <c r="F15251" s="38" t="s">
        <v>113</v>
      </c>
      <c r="G15251" s="49" t="str">
        <f t="shared" si="1"/>
        <v>80110</v>
      </c>
      <c r="H15251" s="49">
        <f t="shared" si="2"/>
        <v>80242</v>
      </c>
    </row>
    <row r="15252">
      <c r="A15252" s="48" t="s">
        <v>2587</v>
      </c>
      <c r="B15252" s="38">
        <v>60344.0</v>
      </c>
      <c r="C15252" s="38" t="s">
        <v>19608</v>
      </c>
      <c r="D15252" s="38" t="str">
        <f>IFERROR(__xludf.DUMMYFUNCTION("REGEXREPLACE(C15252,""-\d+(.*)|--\d+(.*)"","""")"),"LALANDELLE")</f>
        <v>LALANDELLE</v>
      </c>
      <c r="E15252" s="38" t="s">
        <v>112</v>
      </c>
      <c r="F15252" s="38" t="s">
        <v>113</v>
      </c>
      <c r="G15252" s="49" t="str">
        <f t="shared" si="1"/>
        <v>60850</v>
      </c>
      <c r="H15252" s="49">
        <f t="shared" si="2"/>
        <v>60344</v>
      </c>
    </row>
    <row r="15253">
      <c r="A15253" s="48" t="s">
        <v>8196</v>
      </c>
      <c r="B15253" s="38">
        <v>23195.0</v>
      </c>
      <c r="C15253" s="38" t="s">
        <v>19609</v>
      </c>
      <c r="D15253" s="38" t="str">
        <f>IFERROR(__xludf.DUMMYFUNCTION("REGEXREPLACE(C15253,""-\d+(.*)|--\d+(.*)"","""")"),"SAINT-FIEL")</f>
        <v>SAINT-FIEL</v>
      </c>
      <c r="E15253" s="38" t="s">
        <v>97</v>
      </c>
      <c r="F15253" s="38" t="s">
        <v>98</v>
      </c>
      <c r="G15253" s="49" t="str">
        <f t="shared" si="1"/>
        <v>23000</v>
      </c>
      <c r="H15253" s="49">
        <f t="shared" si="2"/>
        <v>23195</v>
      </c>
    </row>
    <row r="15254">
      <c r="A15254" s="48" t="s">
        <v>1124</v>
      </c>
      <c r="B15254" s="38">
        <v>61189.0</v>
      </c>
      <c r="C15254" s="38" t="s">
        <v>19610</v>
      </c>
      <c r="D15254" s="38" t="str">
        <f>IFERROR(__xludf.DUMMYFUNCTION("REGEXREPLACE(C15254,""-\d+(.*)|--\d+(.*)"","""")"),"GIEL-COURTEILLES")</f>
        <v>GIEL-COURTEILLES</v>
      </c>
      <c r="E15254" s="38" t="s">
        <v>141</v>
      </c>
      <c r="F15254" s="38" t="s">
        <v>138</v>
      </c>
      <c r="G15254" s="49" t="str">
        <f t="shared" si="1"/>
        <v>61210</v>
      </c>
      <c r="H15254" s="49">
        <f t="shared" si="2"/>
        <v>61189</v>
      </c>
    </row>
    <row r="15255">
      <c r="A15255" s="48" t="s">
        <v>5996</v>
      </c>
      <c r="B15255" s="38">
        <v>67265.0</v>
      </c>
      <c r="C15255" s="38" t="s">
        <v>19611</v>
      </c>
      <c r="D15255" s="38" t="str">
        <f>IFERROR(__xludf.DUMMYFUNCTION("REGEXREPLACE(C15255,""-\d+(.*)|--\d+(.*)"","""")"),"LICHTENBERG")</f>
        <v>LICHTENBERG</v>
      </c>
      <c r="E15255" s="38" t="s">
        <v>210</v>
      </c>
      <c r="F15255" s="38" t="s">
        <v>151</v>
      </c>
      <c r="G15255" s="49" t="str">
        <f t="shared" si="1"/>
        <v>67340</v>
      </c>
      <c r="H15255" s="49">
        <f t="shared" si="2"/>
        <v>67265</v>
      </c>
    </row>
    <row r="15256">
      <c r="A15256" s="48" t="s">
        <v>17266</v>
      </c>
      <c r="B15256" s="38">
        <v>59344.0</v>
      </c>
      <c r="C15256" s="38" t="s">
        <v>19612</v>
      </c>
      <c r="D15256" s="38" t="str">
        <f>IFERROR(__xludf.DUMMYFUNCTION("REGEXREPLACE(C15256,""-\d+(.*)|--\d+(.*)"","""")"),"LEVAL")</f>
        <v>LEVAL</v>
      </c>
      <c r="E15256" s="38" t="s">
        <v>85</v>
      </c>
      <c r="F15256" s="38" t="s">
        <v>86</v>
      </c>
      <c r="G15256" s="49" t="str">
        <f t="shared" si="1"/>
        <v>59620</v>
      </c>
      <c r="H15256" s="49">
        <f t="shared" si="2"/>
        <v>59344</v>
      </c>
    </row>
    <row r="15257">
      <c r="A15257" s="48" t="s">
        <v>2278</v>
      </c>
      <c r="B15257" s="38">
        <v>80089.0</v>
      </c>
      <c r="C15257" s="38" t="s">
        <v>8509</v>
      </c>
      <c r="D15257" s="38" t="str">
        <f>IFERROR(__xludf.DUMMYFUNCTION("REGEXREPLACE(C15257,""-\d+(.*)|--\d+(.*)"","""")"),"BERNEUIL")</f>
        <v>BERNEUIL</v>
      </c>
      <c r="E15257" s="38" t="s">
        <v>224</v>
      </c>
      <c r="F15257" s="38" t="s">
        <v>113</v>
      </c>
      <c r="G15257" s="49" t="str">
        <f t="shared" si="1"/>
        <v>80620</v>
      </c>
      <c r="H15257" s="49">
        <f t="shared" si="2"/>
        <v>80089</v>
      </c>
    </row>
    <row r="15258">
      <c r="A15258" s="48" t="s">
        <v>7639</v>
      </c>
      <c r="B15258" s="38">
        <v>11362.0</v>
      </c>
      <c r="C15258" s="38" t="s">
        <v>19613</v>
      </c>
      <c r="D15258" s="38" t="str">
        <f>IFERROR(__xludf.DUMMYFUNCTION("REGEXREPLACE(C15258,""-\d+(.*)|--\d+(.*)"","""")"),"SAINT-PAULET")</f>
        <v>SAINT-PAULET</v>
      </c>
      <c r="E15258" s="38" t="s">
        <v>278</v>
      </c>
      <c r="F15258" s="38" t="s">
        <v>119</v>
      </c>
      <c r="G15258" s="49" t="str">
        <f t="shared" si="1"/>
        <v>11320</v>
      </c>
      <c r="H15258" s="49">
        <f t="shared" si="2"/>
        <v>11362</v>
      </c>
    </row>
    <row r="15259">
      <c r="A15259" s="48" t="s">
        <v>7075</v>
      </c>
      <c r="B15259" s="38">
        <v>27378.0</v>
      </c>
      <c r="C15259" s="38" t="s">
        <v>19614</v>
      </c>
      <c r="D15259" s="38" t="str">
        <f>IFERROR(__xludf.DUMMYFUNCTION("REGEXREPLACE(C15259,""-\d+(.*)|--\d+(.*)"","""")"),"LA MADELEINE-DE-NONANCOURT")</f>
        <v>LA MADELEINE-DE-NONANCOURT</v>
      </c>
      <c r="E15259" s="38" t="s">
        <v>241</v>
      </c>
      <c r="F15259" s="38" t="s">
        <v>134</v>
      </c>
      <c r="G15259" s="49" t="str">
        <f t="shared" si="1"/>
        <v>27320</v>
      </c>
      <c r="H15259" s="49">
        <f t="shared" si="2"/>
        <v>27378</v>
      </c>
    </row>
    <row r="15260">
      <c r="A15260" s="48" t="s">
        <v>427</v>
      </c>
      <c r="B15260" s="38">
        <v>16399.0</v>
      </c>
      <c r="C15260" s="38" t="s">
        <v>3348</v>
      </c>
      <c r="D15260" s="38" t="str">
        <f>IFERROR(__xludf.DUMMYFUNCTION("REGEXREPLACE(C15260,""-\d+(.*)|--\d+(.*)"","""")"),"VERRIERES")</f>
        <v>VERRIERES</v>
      </c>
      <c r="E15260" s="38" t="s">
        <v>429</v>
      </c>
      <c r="F15260" s="38" t="s">
        <v>338</v>
      </c>
      <c r="G15260" s="49" t="str">
        <f t="shared" si="1"/>
        <v>16130</v>
      </c>
      <c r="H15260" s="49">
        <f t="shared" si="2"/>
        <v>16399</v>
      </c>
    </row>
    <row r="15261">
      <c r="A15261" s="48" t="s">
        <v>5551</v>
      </c>
      <c r="B15261" s="38">
        <v>71129.0</v>
      </c>
      <c r="C15261" s="38" t="s">
        <v>19615</v>
      </c>
      <c r="D15261" s="38" t="str">
        <f>IFERROR(__xludf.DUMMYFUNCTION("REGEXREPLACE(C15261,""-\d+(.*)|--\d+(.*)"","""")"),"CHISSEY-EN-MORVAN")</f>
        <v>CHISSEY-EN-MORVAN</v>
      </c>
      <c r="E15261" s="38" t="s">
        <v>344</v>
      </c>
      <c r="F15261" s="38" t="s">
        <v>106</v>
      </c>
      <c r="G15261" s="49" t="str">
        <f t="shared" si="1"/>
        <v>71540</v>
      </c>
      <c r="H15261" s="49">
        <f t="shared" si="2"/>
        <v>71129</v>
      </c>
    </row>
    <row r="15262">
      <c r="A15262" s="48" t="s">
        <v>573</v>
      </c>
      <c r="B15262" s="38">
        <v>65356.0</v>
      </c>
      <c r="C15262" s="38" t="s">
        <v>5039</v>
      </c>
      <c r="D15262" s="38" t="str">
        <f>IFERROR(__xludf.DUMMYFUNCTION("REGEXREPLACE(C15262,""-\d+(.*)|--\d+(.*)"","""")"),"PERE")</f>
        <v>PERE</v>
      </c>
      <c r="E15262" s="38" t="s">
        <v>200</v>
      </c>
      <c r="F15262" s="38" t="s">
        <v>94</v>
      </c>
      <c r="G15262" s="49" t="str">
        <f t="shared" si="1"/>
        <v>65130</v>
      </c>
      <c r="H15262" s="49">
        <f t="shared" si="2"/>
        <v>65356</v>
      </c>
    </row>
    <row r="15263">
      <c r="A15263" s="48" t="s">
        <v>5640</v>
      </c>
      <c r="B15263" s="38">
        <v>2327.0</v>
      </c>
      <c r="C15263" s="38" t="s">
        <v>19616</v>
      </c>
      <c r="D15263" s="38" t="str">
        <f>IFERROR(__xludf.DUMMYFUNCTION("REGEXREPLACE(C15263,""-\d+(.*)|--\d+(.*)"","""")"),"FORESTE")</f>
        <v>FORESTE</v>
      </c>
      <c r="E15263" s="38" t="s">
        <v>191</v>
      </c>
      <c r="F15263" s="38" t="s">
        <v>113</v>
      </c>
      <c r="G15263" s="49" t="str">
        <f t="shared" si="1"/>
        <v>02590</v>
      </c>
      <c r="H15263" s="49" t="str">
        <f t="shared" si="2"/>
        <v>02327</v>
      </c>
    </row>
    <row r="15264">
      <c r="A15264" s="48" t="s">
        <v>1274</v>
      </c>
      <c r="B15264" s="38">
        <v>33479.0</v>
      </c>
      <c r="C15264" s="38" t="s">
        <v>19617</v>
      </c>
      <c r="D15264" s="38" t="str">
        <f>IFERROR(__xludf.DUMMYFUNCTION("REGEXREPLACE(C15264,""-\d+(.*)|--\d+(.*)"","""")"),"SAINT-SEVE")</f>
        <v>SAINT-SEVE</v>
      </c>
      <c r="E15264" s="38" t="s">
        <v>462</v>
      </c>
      <c r="F15264" s="38" t="s">
        <v>252</v>
      </c>
      <c r="G15264" s="49" t="str">
        <f t="shared" si="1"/>
        <v>33190</v>
      </c>
      <c r="H15264" s="49">
        <f t="shared" si="2"/>
        <v>33479</v>
      </c>
    </row>
    <row r="15265">
      <c r="A15265" s="48" t="s">
        <v>3163</v>
      </c>
      <c r="B15265" s="38">
        <v>28114.0</v>
      </c>
      <c r="C15265" s="38" t="s">
        <v>19618</v>
      </c>
      <c r="D15265" s="38" t="str">
        <f>IFERROR(__xludf.DUMMYFUNCTION("REGEXREPLACE(C15265,""-\d+(.*)|--\d+(.*)"","""")"),"COURBEHAYE")</f>
        <v>COURBEHAYE</v>
      </c>
      <c r="E15265" s="38" t="s">
        <v>300</v>
      </c>
      <c r="F15265" s="38" t="s">
        <v>123</v>
      </c>
      <c r="G15265" s="49" t="str">
        <f t="shared" si="1"/>
        <v>28140</v>
      </c>
      <c r="H15265" s="49">
        <f t="shared" si="2"/>
        <v>28114</v>
      </c>
    </row>
    <row r="15266">
      <c r="A15266" s="48" t="s">
        <v>3450</v>
      </c>
      <c r="B15266" s="38">
        <v>60445.0</v>
      </c>
      <c r="C15266" s="38" t="s">
        <v>19619</v>
      </c>
      <c r="D15266" s="38" t="str">
        <f>IFERROR(__xludf.DUMMYFUNCTION("REGEXREPLACE(C15266,""-\d+(.*)|--\d+(.*)"","""")"),"NAMPCEL")</f>
        <v>NAMPCEL</v>
      </c>
      <c r="E15266" s="38" t="s">
        <v>112</v>
      </c>
      <c r="F15266" s="38" t="s">
        <v>113</v>
      </c>
      <c r="G15266" s="49" t="str">
        <f t="shared" si="1"/>
        <v>60400</v>
      </c>
      <c r="H15266" s="49">
        <f t="shared" si="2"/>
        <v>60445</v>
      </c>
    </row>
    <row r="15267">
      <c r="A15267" s="48" t="s">
        <v>8235</v>
      </c>
      <c r="B15267" s="38">
        <v>48163.0</v>
      </c>
      <c r="C15267" s="38" t="s">
        <v>19620</v>
      </c>
      <c r="D15267" s="38" t="str">
        <f>IFERROR(__xludf.DUMMYFUNCTION("REGEXREPLACE(C15267,""-\d+(.*)|--\d+(.*)"","""")"),"SAINT-JULIEN-DES-POINTS")</f>
        <v>SAINT-JULIEN-DES-POINTS</v>
      </c>
      <c r="E15267" s="38" t="s">
        <v>154</v>
      </c>
      <c r="F15267" s="38" t="s">
        <v>119</v>
      </c>
      <c r="G15267" s="49" t="str">
        <f t="shared" si="1"/>
        <v>48160</v>
      </c>
      <c r="H15267" s="49">
        <f t="shared" si="2"/>
        <v>48163</v>
      </c>
    </row>
    <row r="15268">
      <c r="A15268" s="48" t="s">
        <v>10778</v>
      </c>
      <c r="B15268" s="38">
        <v>21398.0</v>
      </c>
      <c r="C15268" s="38" t="s">
        <v>19621</v>
      </c>
      <c r="D15268" s="38" t="str">
        <f>IFERROR(__xludf.DUMMYFUNCTION("REGEXREPLACE(C15268,""-\d+(.*)|--\d+(.*)"","""")"),"MAXILLY-SUR-SAONE")</f>
        <v>MAXILLY-SUR-SAONE</v>
      </c>
      <c r="E15268" s="38" t="s">
        <v>105</v>
      </c>
      <c r="F15268" s="38" t="s">
        <v>106</v>
      </c>
      <c r="G15268" s="49" t="str">
        <f t="shared" si="1"/>
        <v>21270</v>
      </c>
      <c r="H15268" s="49">
        <f t="shared" si="2"/>
        <v>21398</v>
      </c>
    </row>
    <row r="15269">
      <c r="A15269" s="48" t="s">
        <v>6542</v>
      </c>
      <c r="B15269" s="38">
        <v>40160.0</v>
      </c>
      <c r="C15269" s="38" t="s">
        <v>19622</v>
      </c>
      <c r="D15269" s="38" t="str">
        <f>IFERROR(__xludf.DUMMYFUNCTION("REGEXREPLACE(C15269,""-\d+(.*)|--\d+(.*)"","""")"),"LOURQUEN")</f>
        <v>LOURQUEN</v>
      </c>
      <c r="E15269" s="38" t="s">
        <v>281</v>
      </c>
      <c r="F15269" s="38" t="s">
        <v>252</v>
      </c>
      <c r="G15269" s="49" t="str">
        <f t="shared" si="1"/>
        <v>40250</v>
      </c>
      <c r="H15269" s="49">
        <f t="shared" si="2"/>
        <v>40160</v>
      </c>
    </row>
    <row r="15270">
      <c r="A15270" s="48" t="s">
        <v>10861</v>
      </c>
      <c r="B15270" s="38">
        <v>35008.0</v>
      </c>
      <c r="C15270" s="38" t="s">
        <v>19623</v>
      </c>
      <c r="D15270" s="38" t="str">
        <f>IFERROR(__xludf.DUMMYFUNCTION("REGEXREPLACE(C15270,""-\d+(.*)|--\d+(.*)"","""")"),"AVAILLES-SUR-SEICHE")</f>
        <v>AVAILLES-SUR-SEICHE</v>
      </c>
      <c r="E15270" s="38" t="s">
        <v>347</v>
      </c>
      <c r="F15270" s="38" t="s">
        <v>90</v>
      </c>
      <c r="G15270" s="49" t="str">
        <f t="shared" si="1"/>
        <v>35130</v>
      </c>
      <c r="H15270" s="49">
        <f t="shared" si="2"/>
        <v>35008</v>
      </c>
    </row>
    <row r="15271">
      <c r="A15271" s="48" t="s">
        <v>948</v>
      </c>
      <c r="B15271" s="38">
        <v>68192.0</v>
      </c>
      <c r="C15271" s="38" t="s">
        <v>19624</v>
      </c>
      <c r="D15271" s="38" t="str">
        <f>IFERROR(__xludf.DUMMYFUNCTION("REGEXREPLACE(C15271,""-\d+(.*)|--\d+(.*)"","""")"),"VALDIEU-LUTRAN")</f>
        <v>VALDIEU-LUTRAN</v>
      </c>
      <c r="E15271" s="38" t="s">
        <v>150</v>
      </c>
      <c r="F15271" s="38" t="s">
        <v>151</v>
      </c>
      <c r="G15271" s="49" t="str">
        <f t="shared" si="1"/>
        <v>68210</v>
      </c>
      <c r="H15271" s="49">
        <f t="shared" si="2"/>
        <v>68192</v>
      </c>
    </row>
    <row r="15272">
      <c r="A15272" s="48" t="s">
        <v>3675</v>
      </c>
      <c r="B15272" s="38">
        <v>58271.0</v>
      </c>
      <c r="C15272" s="38" t="s">
        <v>19625</v>
      </c>
      <c r="D15272" s="38" t="str">
        <f>IFERROR(__xludf.DUMMYFUNCTION("REGEXREPLACE(C15272,""-\d+(.*)|--\d+(.*)"","""")"),"SAIZY")</f>
        <v>SAIZY</v>
      </c>
      <c r="E15272" s="38" t="s">
        <v>219</v>
      </c>
      <c r="F15272" s="38" t="s">
        <v>106</v>
      </c>
      <c r="G15272" s="49" t="str">
        <f t="shared" si="1"/>
        <v>58190</v>
      </c>
      <c r="H15272" s="49">
        <f t="shared" si="2"/>
        <v>58271</v>
      </c>
    </row>
    <row r="15273">
      <c r="A15273" s="48" t="s">
        <v>1044</v>
      </c>
      <c r="B15273" s="38">
        <v>63002.0</v>
      </c>
      <c r="C15273" s="38" t="s">
        <v>19626</v>
      </c>
      <c r="D15273" s="38" t="str">
        <f>IFERROR(__xludf.DUMMYFUNCTION("REGEXREPLACE(C15273,""-\d+(.*)|--\d+(.*)"","""")"),"AIX-LA-FAYETTE")</f>
        <v>AIX-LA-FAYETTE</v>
      </c>
      <c r="E15273" s="38" t="s">
        <v>353</v>
      </c>
      <c r="F15273" s="38" t="s">
        <v>161</v>
      </c>
      <c r="G15273" s="49" t="str">
        <f t="shared" si="1"/>
        <v>63980</v>
      </c>
      <c r="H15273" s="49">
        <f t="shared" si="2"/>
        <v>63002</v>
      </c>
    </row>
    <row r="15274">
      <c r="A15274" s="48" t="s">
        <v>5812</v>
      </c>
      <c r="B15274" s="38">
        <v>77009.0</v>
      </c>
      <c r="C15274" s="38" t="s">
        <v>10069</v>
      </c>
      <c r="D15274" s="38" t="str">
        <f>IFERROR(__xludf.DUMMYFUNCTION("REGEXREPLACE(C15274,""-\d+(.*)|--\d+(.*)"","""")"),"ARVILLE")</f>
        <v>ARVILLE</v>
      </c>
      <c r="E15274" s="38" t="s">
        <v>244</v>
      </c>
      <c r="F15274" s="38" t="s">
        <v>245</v>
      </c>
      <c r="G15274" s="49" t="str">
        <f t="shared" si="1"/>
        <v>77890</v>
      </c>
      <c r="H15274" s="49">
        <f t="shared" si="2"/>
        <v>77009</v>
      </c>
    </row>
    <row r="15275">
      <c r="A15275" s="48" t="s">
        <v>7199</v>
      </c>
      <c r="B15275" s="38">
        <v>76313.0</v>
      </c>
      <c r="C15275" s="38" t="s">
        <v>19627</v>
      </c>
      <c r="D15275" s="38" t="str">
        <f>IFERROR(__xludf.DUMMYFUNCTION("REGEXREPLACE(C15275,""-\d+(.*)|--\d+(.*)"","""")"),"GOUY")</f>
        <v>GOUY</v>
      </c>
      <c r="E15275" s="38" t="s">
        <v>133</v>
      </c>
      <c r="F15275" s="38" t="s">
        <v>134</v>
      </c>
      <c r="G15275" s="49" t="str">
        <f t="shared" si="1"/>
        <v>76520</v>
      </c>
      <c r="H15275" s="49">
        <f t="shared" si="2"/>
        <v>76313</v>
      </c>
    </row>
    <row r="15276">
      <c r="A15276" s="48" t="s">
        <v>12919</v>
      </c>
      <c r="B15276" s="38">
        <v>56220.0</v>
      </c>
      <c r="C15276" s="38" t="s">
        <v>14695</v>
      </c>
      <c r="D15276" s="38" t="str">
        <f>IFERROR(__xludf.DUMMYFUNCTION("REGEXREPLACE(C15276,""-\d+(.*)|--\d+(.*)"","""")"),"SAINTE-HELENE")</f>
        <v>SAINTE-HELENE</v>
      </c>
      <c r="E15276" s="38" t="s">
        <v>173</v>
      </c>
      <c r="F15276" s="38" t="s">
        <v>90</v>
      </c>
      <c r="G15276" s="49" t="str">
        <f t="shared" si="1"/>
        <v>56700</v>
      </c>
      <c r="H15276" s="49">
        <f t="shared" si="2"/>
        <v>56220</v>
      </c>
    </row>
    <row r="15277">
      <c r="A15277" s="48" t="s">
        <v>1772</v>
      </c>
      <c r="B15277" s="38">
        <v>53039.0</v>
      </c>
      <c r="C15277" s="38" t="s">
        <v>19628</v>
      </c>
      <c r="D15277" s="38" t="str">
        <f>IFERROR(__xludf.DUMMYFUNCTION("REGEXREPLACE(C15277,""-\d+(.*)|--\d+(.*)"","""")"),"LE BOURGNEUF-LA-FORET")</f>
        <v>LE BOURGNEUF-LA-FORET</v>
      </c>
      <c r="E15277" s="38" t="s">
        <v>518</v>
      </c>
      <c r="F15277" s="38" t="s">
        <v>180</v>
      </c>
      <c r="G15277" s="49" t="str">
        <f t="shared" si="1"/>
        <v>53410</v>
      </c>
      <c r="H15277" s="49">
        <f t="shared" si="2"/>
        <v>53039</v>
      </c>
    </row>
    <row r="15278">
      <c r="A15278" s="48" t="s">
        <v>9995</v>
      </c>
      <c r="B15278" s="38">
        <v>49266.0</v>
      </c>
      <c r="C15278" s="38" t="s">
        <v>19629</v>
      </c>
      <c r="D15278" s="38" t="str">
        <f>IFERROR(__xludf.DUMMYFUNCTION("REGEXREPLACE(C15278,""-\d+(.*)|--\d+(.*)"","""")"),"SAINT-AUGUSTIN-DES-BOIS")</f>
        <v>SAINT-AUGUSTIN-DES-BOIS</v>
      </c>
      <c r="E15278" s="38" t="s">
        <v>653</v>
      </c>
      <c r="F15278" s="38" t="s">
        <v>180</v>
      </c>
      <c r="G15278" s="49" t="str">
        <f t="shared" si="1"/>
        <v>49170</v>
      </c>
      <c r="H15278" s="49">
        <f t="shared" si="2"/>
        <v>49266</v>
      </c>
    </row>
    <row r="15279">
      <c r="A15279" s="48" t="s">
        <v>660</v>
      </c>
      <c r="B15279" s="38">
        <v>4069.0</v>
      </c>
      <c r="C15279" s="38" t="s">
        <v>19630</v>
      </c>
      <c r="D15279" s="38" t="str">
        <f>IFERROR(__xludf.DUMMYFUNCTION("REGEXREPLACE(C15279,""-\d+(.*)|--\d+(.*)"","""")"),"DEMANDOLX")</f>
        <v>DEMANDOLX</v>
      </c>
      <c r="E15279" s="38" t="s">
        <v>662</v>
      </c>
      <c r="F15279" s="38" t="s">
        <v>228</v>
      </c>
      <c r="G15279" s="49" t="str">
        <f t="shared" si="1"/>
        <v>04120</v>
      </c>
      <c r="H15279" s="49" t="str">
        <f t="shared" si="2"/>
        <v>04069</v>
      </c>
    </row>
    <row r="15280">
      <c r="A15280" s="48" t="s">
        <v>6613</v>
      </c>
      <c r="B15280" s="38">
        <v>61124.0</v>
      </c>
      <c r="C15280" s="38" t="s">
        <v>19631</v>
      </c>
      <c r="D15280" s="38" t="str">
        <f>IFERROR(__xludf.DUMMYFUNCTION("REGEXREPLACE(C15280,""-\d+(.*)|--\d+(.*)"","""")"),"LA COULONCHE")</f>
        <v>LA COULONCHE</v>
      </c>
      <c r="E15280" s="38" t="s">
        <v>141</v>
      </c>
      <c r="F15280" s="38" t="s">
        <v>138</v>
      </c>
      <c r="G15280" s="49" t="str">
        <f t="shared" si="1"/>
        <v>61220</v>
      </c>
      <c r="H15280" s="49">
        <f t="shared" si="2"/>
        <v>61124</v>
      </c>
    </row>
    <row r="15281">
      <c r="A15281" s="48" t="s">
        <v>3077</v>
      </c>
      <c r="B15281" s="38">
        <v>32026.0</v>
      </c>
      <c r="C15281" s="38" t="s">
        <v>19632</v>
      </c>
      <c r="D15281" s="38" t="str">
        <f>IFERROR(__xludf.DUMMYFUNCTION("REGEXREPLACE(C15281,""-\d+(.*)|--\d+(.*)"","""")"),"BAJONNETTE")</f>
        <v>BAJONNETTE</v>
      </c>
      <c r="E15281" s="38" t="s">
        <v>440</v>
      </c>
      <c r="F15281" s="38" t="s">
        <v>94</v>
      </c>
      <c r="G15281" s="49" t="str">
        <f t="shared" si="1"/>
        <v>32120</v>
      </c>
      <c r="H15281" s="49">
        <f t="shared" si="2"/>
        <v>32026</v>
      </c>
    </row>
    <row r="15282">
      <c r="A15282" s="48" t="s">
        <v>1347</v>
      </c>
      <c r="B15282" s="38">
        <v>16371.0</v>
      </c>
      <c r="C15282" s="38" t="s">
        <v>19633</v>
      </c>
      <c r="D15282" s="38" t="str">
        <f>IFERROR(__xludf.DUMMYFUNCTION("REGEXREPLACE(C15282,""-\d+(.*)|--\d+(.*)"","""")"),"SONNEVILLE")</f>
        <v>SONNEVILLE</v>
      </c>
      <c r="E15282" s="38" t="s">
        <v>429</v>
      </c>
      <c r="F15282" s="38" t="s">
        <v>338</v>
      </c>
      <c r="G15282" s="49" t="str">
        <f t="shared" si="1"/>
        <v>16170</v>
      </c>
      <c r="H15282" s="49">
        <f t="shared" si="2"/>
        <v>16371</v>
      </c>
    </row>
    <row r="15283">
      <c r="A15283" s="48" t="s">
        <v>19634</v>
      </c>
      <c r="B15283" s="38">
        <v>36241.0</v>
      </c>
      <c r="C15283" s="38" t="s">
        <v>19635</v>
      </c>
      <c r="D15283" s="38" t="str">
        <f>IFERROR(__xludf.DUMMYFUNCTION("REGEXREPLACE(C15283,""-\d+(.*)|--\d+(.*)"","""")"),"VILLEDIEU-SUR-INDRE")</f>
        <v>VILLEDIEU-SUR-INDRE</v>
      </c>
      <c r="E15283" s="38" t="s">
        <v>258</v>
      </c>
      <c r="F15283" s="38" t="s">
        <v>123</v>
      </c>
      <c r="G15283" s="49" t="str">
        <f t="shared" si="1"/>
        <v>36320</v>
      </c>
      <c r="H15283" s="49">
        <f t="shared" si="2"/>
        <v>36241</v>
      </c>
    </row>
    <row r="15284">
      <c r="A15284" s="48" t="s">
        <v>2162</v>
      </c>
      <c r="B15284" s="38">
        <v>26251.0</v>
      </c>
      <c r="C15284" s="38" t="s">
        <v>19636</v>
      </c>
      <c r="D15284" s="38" t="str">
        <f>IFERROR(__xludf.DUMMYFUNCTION("REGEXREPLACE(C15284,""-\d+(.*)|--\d+(.*)"","""")"),"PORTES-EN-VALDAINE")</f>
        <v>PORTES-EN-VALDAINE</v>
      </c>
      <c r="E15284" s="38" t="s">
        <v>126</v>
      </c>
      <c r="F15284" s="38" t="s">
        <v>102</v>
      </c>
      <c r="G15284" s="49" t="str">
        <f t="shared" si="1"/>
        <v>26160</v>
      </c>
      <c r="H15284" s="49">
        <f t="shared" si="2"/>
        <v>26251</v>
      </c>
    </row>
    <row r="15285">
      <c r="A15285" s="48" t="s">
        <v>1302</v>
      </c>
      <c r="B15285" s="38">
        <v>38444.0</v>
      </c>
      <c r="C15285" s="38" t="s">
        <v>19637</v>
      </c>
      <c r="D15285" s="38" t="str">
        <f>IFERROR(__xludf.DUMMYFUNCTION("REGEXREPLACE(C15285,""-\d+(.*)|--\d+(.*)"","""")"),"SAINT-PIERRE-DE-MEAROZ")</f>
        <v>SAINT-PIERRE-DE-MEAROZ</v>
      </c>
      <c r="E15285" s="38" t="s">
        <v>101</v>
      </c>
      <c r="F15285" s="38" t="s">
        <v>102</v>
      </c>
      <c r="G15285" s="49" t="str">
        <f t="shared" si="1"/>
        <v>38350</v>
      </c>
      <c r="H15285" s="49">
        <f t="shared" si="2"/>
        <v>38444</v>
      </c>
    </row>
    <row r="15286">
      <c r="A15286" s="48" t="s">
        <v>1704</v>
      </c>
      <c r="B15286" s="38">
        <v>48144.0</v>
      </c>
      <c r="C15286" s="38" t="s">
        <v>19638</v>
      </c>
      <c r="D15286" s="38" t="str">
        <f>IFERROR(__xludf.DUMMYFUNCTION("REGEXREPLACE(C15286,""-\d+(.*)|--\d+(.*)"","""")"),"SAINTE-CROIX-VALLEE-FRANCAISE")</f>
        <v>SAINTE-CROIX-VALLEE-FRANCAISE</v>
      </c>
      <c r="E15286" s="38" t="s">
        <v>154</v>
      </c>
      <c r="F15286" s="38" t="s">
        <v>119</v>
      </c>
      <c r="G15286" s="49" t="str">
        <f t="shared" si="1"/>
        <v>48110</v>
      </c>
      <c r="H15286" s="49">
        <f t="shared" si="2"/>
        <v>48144</v>
      </c>
    </row>
    <row r="15287">
      <c r="A15287" s="48" t="s">
        <v>942</v>
      </c>
      <c r="B15287" s="38">
        <v>2003.0</v>
      </c>
      <c r="C15287" s="38" t="s">
        <v>19639</v>
      </c>
      <c r="D15287" s="38" t="str">
        <f>IFERROR(__xludf.DUMMYFUNCTION("REGEXREPLACE(C15287,""-\d+(.*)|--\d+(.*)"","""")"),"ACY")</f>
        <v>ACY</v>
      </c>
      <c r="E15287" s="38" t="s">
        <v>191</v>
      </c>
      <c r="F15287" s="38" t="s">
        <v>113</v>
      </c>
      <c r="G15287" s="49" t="str">
        <f t="shared" si="1"/>
        <v>02200</v>
      </c>
      <c r="H15287" s="49" t="str">
        <f t="shared" si="2"/>
        <v>02003</v>
      </c>
    </row>
    <row r="15288">
      <c r="A15288" s="48" t="s">
        <v>2773</v>
      </c>
      <c r="B15288" s="38">
        <v>21460.0</v>
      </c>
      <c r="C15288" s="38" t="s">
        <v>19640</v>
      </c>
      <c r="D15288" s="38" t="str">
        <f>IFERROR(__xludf.DUMMYFUNCTION("REGEXREPLACE(C15288,""-\d+(.*)|--\d+(.*)"","""")"),"NOIRON-SUR-SEINE")</f>
        <v>NOIRON-SUR-SEINE</v>
      </c>
      <c r="E15288" s="38" t="s">
        <v>105</v>
      </c>
      <c r="F15288" s="38" t="s">
        <v>106</v>
      </c>
      <c r="G15288" s="49" t="str">
        <f t="shared" si="1"/>
        <v>21400</v>
      </c>
      <c r="H15288" s="49">
        <f t="shared" si="2"/>
        <v>21460</v>
      </c>
    </row>
    <row r="15289">
      <c r="A15289" s="48" t="s">
        <v>15493</v>
      </c>
      <c r="B15289" s="38">
        <v>18082.0</v>
      </c>
      <c r="C15289" s="38" t="s">
        <v>19641</v>
      </c>
      <c r="D15289" s="38" t="str">
        <f>IFERROR(__xludf.DUMMYFUNCTION("REGEXREPLACE(C15289,""-\d+(.*)|--\d+(.*)"","""")"),"CUFFY")</f>
        <v>CUFFY</v>
      </c>
      <c r="E15289" s="38" t="s">
        <v>504</v>
      </c>
      <c r="F15289" s="38" t="s">
        <v>123</v>
      </c>
      <c r="G15289" s="49" t="str">
        <f t="shared" si="1"/>
        <v>18150</v>
      </c>
      <c r="H15289" s="49">
        <f t="shared" si="2"/>
        <v>18082</v>
      </c>
    </row>
    <row r="15290">
      <c r="A15290" s="48" t="s">
        <v>19642</v>
      </c>
      <c r="B15290" s="38">
        <v>76325.0</v>
      </c>
      <c r="C15290" s="38" t="s">
        <v>19643</v>
      </c>
      <c r="D15290" s="38" t="str">
        <f>IFERROR(__xludf.DUMMYFUNCTION("REGEXREPLACE(C15290,""-\d+(.*)|--\d+(.*)"","""")"),"GREMONVILLE")</f>
        <v>GREMONVILLE</v>
      </c>
      <c r="E15290" s="38" t="s">
        <v>133</v>
      </c>
      <c r="F15290" s="38" t="s">
        <v>134</v>
      </c>
      <c r="G15290" s="49" t="str">
        <f t="shared" si="1"/>
        <v>76970</v>
      </c>
      <c r="H15290" s="49">
        <f t="shared" si="2"/>
        <v>76325</v>
      </c>
    </row>
    <row r="15291">
      <c r="A15291" s="48" t="s">
        <v>460</v>
      </c>
      <c r="B15291" s="38">
        <v>33512.0</v>
      </c>
      <c r="C15291" s="38" t="s">
        <v>19644</v>
      </c>
      <c r="D15291" s="38" t="str">
        <f>IFERROR(__xludf.DUMMYFUNCTION("REGEXREPLACE(C15291,""-\d+(.*)|--\d+(.*)"","""")"),"SIGALENS")</f>
        <v>SIGALENS</v>
      </c>
      <c r="E15291" s="38" t="s">
        <v>462</v>
      </c>
      <c r="F15291" s="38" t="s">
        <v>252</v>
      </c>
      <c r="G15291" s="49" t="str">
        <f t="shared" si="1"/>
        <v>33690</v>
      </c>
      <c r="H15291" s="49">
        <f t="shared" si="2"/>
        <v>33512</v>
      </c>
    </row>
    <row r="15292">
      <c r="A15292" s="48" t="s">
        <v>6334</v>
      </c>
      <c r="B15292" s="38">
        <v>43041.0</v>
      </c>
      <c r="C15292" s="38" t="s">
        <v>19645</v>
      </c>
      <c r="D15292" s="38" t="str">
        <f>IFERROR(__xludf.DUMMYFUNCTION("REGEXREPLACE(C15292,""-\d+(.*)|--\d+(.*)"","""")"),"BRIVES-CHARENSAC")</f>
        <v>BRIVES-CHARENSAC</v>
      </c>
      <c r="E15292" s="38" t="s">
        <v>332</v>
      </c>
      <c r="F15292" s="38" t="s">
        <v>161</v>
      </c>
      <c r="G15292" s="49" t="str">
        <f t="shared" si="1"/>
        <v>43700</v>
      </c>
      <c r="H15292" s="49">
        <f t="shared" si="2"/>
        <v>43041</v>
      </c>
    </row>
    <row r="15293">
      <c r="A15293" s="48" t="s">
        <v>2208</v>
      </c>
      <c r="B15293" s="38">
        <v>55361.0</v>
      </c>
      <c r="C15293" s="38" t="s">
        <v>19646</v>
      </c>
      <c r="D15293" s="38" t="str">
        <f>IFERROR(__xludf.DUMMYFUNCTION("REGEXREPLACE(C15293,""-\d+(.*)|--\d+(.*)"","""")"),"MOULAINVILLE")</f>
        <v>MOULAINVILLE</v>
      </c>
      <c r="E15293" s="38" t="s">
        <v>322</v>
      </c>
      <c r="F15293" s="38" t="s">
        <v>195</v>
      </c>
      <c r="G15293" s="49" t="str">
        <f t="shared" si="1"/>
        <v>55400</v>
      </c>
      <c r="H15293" s="49">
        <f t="shared" si="2"/>
        <v>55361</v>
      </c>
    </row>
    <row r="15294">
      <c r="A15294" s="48" t="s">
        <v>1688</v>
      </c>
      <c r="B15294" s="38">
        <v>76425.0</v>
      </c>
      <c r="C15294" s="38" t="s">
        <v>19647</v>
      </c>
      <c r="D15294" s="38" t="str">
        <f>IFERROR(__xludf.DUMMYFUNCTION("REGEXREPLACE(C15294,""-\d+(.*)|--\d+(.*)"","""")"),"MENTHEVILLE")</f>
        <v>MENTHEVILLE</v>
      </c>
      <c r="E15294" s="38" t="s">
        <v>133</v>
      </c>
      <c r="F15294" s="38" t="s">
        <v>134</v>
      </c>
      <c r="G15294" s="49" t="str">
        <f t="shared" si="1"/>
        <v>76110</v>
      </c>
      <c r="H15294" s="49">
        <f t="shared" si="2"/>
        <v>76425</v>
      </c>
    </row>
    <row r="15295">
      <c r="A15295" s="48" t="s">
        <v>16816</v>
      </c>
      <c r="B15295" s="38">
        <v>89328.0</v>
      </c>
      <c r="C15295" s="38" t="s">
        <v>19648</v>
      </c>
      <c r="D15295" s="38" t="str">
        <f>IFERROR(__xludf.DUMMYFUNCTION("REGEXREPLACE(C15295,""-\d+(.*)|--\d+(.*)"","""")"),"ROUVRAY")</f>
        <v>ROUVRAY</v>
      </c>
      <c r="E15295" s="38" t="s">
        <v>275</v>
      </c>
      <c r="F15295" s="38" t="s">
        <v>106</v>
      </c>
      <c r="G15295" s="49" t="str">
        <f t="shared" si="1"/>
        <v>89230</v>
      </c>
      <c r="H15295" s="49">
        <f t="shared" si="2"/>
        <v>89328</v>
      </c>
    </row>
    <row r="15296">
      <c r="A15296" s="48" t="s">
        <v>2047</v>
      </c>
      <c r="B15296" s="38">
        <v>62129.0</v>
      </c>
      <c r="C15296" s="38" t="s">
        <v>19649</v>
      </c>
      <c r="D15296" s="38" t="str">
        <f>IFERROR(__xludf.DUMMYFUNCTION("REGEXREPLACE(C15296,""-\d+(.*)|--\d+(.*)"","""")"),"BIEFVILLERS-LES-BAPAUME")</f>
        <v>BIEFVILLERS-LES-BAPAUME</v>
      </c>
      <c r="E15296" s="38" t="s">
        <v>109</v>
      </c>
      <c r="F15296" s="38" t="s">
        <v>86</v>
      </c>
      <c r="G15296" s="49" t="str">
        <f t="shared" si="1"/>
        <v>62450</v>
      </c>
      <c r="H15296" s="49">
        <f t="shared" si="2"/>
        <v>62129</v>
      </c>
    </row>
    <row r="15297">
      <c r="A15297" s="48" t="s">
        <v>4364</v>
      </c>
      <c r="B15297" s="38">
        <v>78597.0</v>
      </c>
      <c r="C15297" s="38" t="s">
        <v>19650</v>
      </c>
      <c r="D15297" s="38" t="str">
        <f>IFERROR(__xludf.DUMMYFUNCTION("REGEXREPLACE(C15297,""-\d+(.*)|--\d+(.*)"","""")"),"SOINDRES")</f>
        <v>SOINDRES</v>
      </c>
      <c r="E15297" s="38" t="s">
        <v>362</v>
      </c>
      <c r="F15297" s="38" t="s">
        <v>245</v>
      </c>
      <c r="G15297" s="49" t="str">
        <f t="shared" si="1"/>
        <v>78200</v>
      </c>
      <c r="H15297" s="49">
        <f t="shared" si="2"/>
        <v>78597</v>
      </c>
    </row>
    <row r="15298">
      <c r="A15298" s="48" t="s">
        <v>7645</v>
      </c>
      <c r="B15298" s="38">
        <v>34193.0</v>
      </c>
      <c r="C15298" s="38" t="s">
        <v>19651</v>
      </c>
      <c r="D15298" s="38" t="str">
        <f>IFERROR(__xludf.DUMMYFUNCTION("REGEXREPLACE(C15298,""-\d+(.*)|--\d+(.*)"","""")"),"PARDAILHAN")</f>
        <v>PARDAILHAN</v>
      </c>
      <c r="E15298" s="38" t="s">
        <v>118</v>
      </c>
      <c r="F15298" s="38" t="s">
        <v>119</v>
      </c>
      <c r="G15298" s="49" t="str">
        <f t="shared" si="1"/>
        <v>34360</v>
      </c>
      <c r="H15298" s="49">
        <f t="shared" si="2"/>
        <v>34193</v>
      </c>
    </row>
    <row r="15299">
      <c r="A15299" s="48" t="s">
        <v>11269</v>
      </c>
      <c r="B15299" s="38">
        <v>51367.0</v>
      </c>
      <c r="C15299" s="38" t="s">
        <v>19652</v>
      </c>
      <c r="D15299" s="38" t="str">
        <f>IFERROR(__xludf.DUMMYFUNCTION("REGEXREPLACE(C15299,""-\d+(.*)|--\d+(.*)"","""")"),"LE MESNIL-SUR-OGER")</f>
        <v>LE MESNIL-SUR-OGER</v>
      </c>
      <c r="E15299" s="38" t="s">
        <v>129</v>
      </c>
      <c r="F15299" s="38" t="s">
        <v>130</v>
      </c>
      <c r="G15299" s="49" t="str">
        <f t="shared" si="1"/>
        <v>51190</v>
      </c>
      <c r="H15299" s="49">
        <f t="shared" si="2"/>
        <v>51367</v>
      </c>
    </row>
    <row r="15300">
      <c r="A15300" s="48" t="s">
        <v>1710</v>
      </c>
      <c r="B15300" s="38">
        <v>24559.0</v>
      </c>
      <c r="C15300" s="38" t="s">
        <v>19653</v>
      </c>
      <c r="D15300" s="38" t="str">
        <f>IFERROR(__xludf.DUMMYFUNCTION("REGEXREPLACE(C15300,""-\d+(.*)|--\d+(.*)"","""")"),"TURSAC")</f>
        <v>TURSAC</v>
      </c>
      <c r="E15300" s="38" t="s">
        <v>261</v>
      </c>
      <c r="F15300" s="38" t="s">
        <v>252</v>
      </c>
      <c r="G15300" s="49" t="str">
        <f t="shared" si="1"/>
        <v>24620</v>
      </c>
      <c r="H15300" s="49">
        <f t="shared" si="2"/>
        <v>24559</v>
      </c>
    </row>
    <row r="15301">
      <c r="A15301" s="48" t="s">
        <v>2993</v>
      </c>
      <c r="B15301" s="38">
        <v>66170.0</v>
      </c>
      <c r="C15301" s="38" t="s">
        <v>19654</v>
      </c>
      <c r="D15301" s="38" t="str">
        <f>IFERROR(__xludf.DUMMYFUNCTION("REGEXREPLACE(C15301,""-\d+(.*)|--\d+(.*)"","""")"),"SAINTE-COLOMBE-DE-LA-COMMANDERIE")</f>
        <v>SAINTE-COLOMBE-DE-LA-COMMANDERIE</v>
      </c>
      <c r="E15301" s="38" t="s">
        <v>248</v>
      </c>
      <c r="F15301" s="38" t="s">
        <v>119</v>
      </c>
      <c r="G15301" s="49" t="str">
        <f t="shared" si="1"/>
        <v>66300</v>
      </c>
      <c r="H15301" s="49">
        <f t="shared" si="2"/>
        <v>66170</v>
      </c>
    </row>
    <row r="15302">
      <c r="A15302" s="48" t="s">
        <v>19655</v>
      </c>
      <c r="B15302" s="38">
        <v>4108.0</v>
      </c>
      <c r="C15302" s="38" t="s">
        <v>19656</v>
      </c>
      <c r="D15302" s="38" t="str">
        <f>IFERROR(__xludf.DUMMYFUNCTION("REGEXREPLACE(C15302,""-\d+(.*)|--\d+(.*)"","""")"),"MALIJAI")</f>
        <v>MALIJAI</v>
      </c>
      <c r="E15302" s="38" t="s">
        <v>662</v>
      </c>
      <c r="F15302" s="38" t="s">
        <v>228</v>
      </c>
      <c r="G15302" s="49" t="str">
        <f t="shared" si="1"/>
        <v>04350</v>
      </c>
      <c r="H15302" s="49" t="str">
        <f t="shared" si="2"/>
        <v>04108</v>
      </c>
    </row>
    <row r="15303">
      <c r="A15303" s="48" t="s">
        <v>555</v>
      </c>
      <c r="B15303" s="38">
        <v>65146.0</v>
      </c>
      <c r="C15303" s="38" t="s">
        <v>19657</v>
      </c>
      <c r="D15303" s="38" t="str">
        <f>IFERROR(__xludf.DUMMYFUNCTION("REGEXREPLACE(C15303,""-\d+(.*)|--\d+(.*)"","""")"),"CHIS")</f>
        <v>CHIS</v>
      </c>
      <c r="E15303" s="38" t="s">
        <v>200</v>
      </c>
      <c r="F15303" s="38" t="s">
        <v>94</v>
      </c>
      <c r="G15303" s="49" t="str">
        <f t="shared" si="1"/>
        <v>65800</v>
      </c>
      <c r="H15303" s="49">
        <f t="shared" si="2"/>
        <v>65146</v>
      </c>
    </row>
    <row r="15304">
      <c r="A15304" s="48" t="s">
        <v>19658</v>
      </c>
      <c r="B15304" s="38">
        <v>78643.0</v>
      </c>
      <c r="C15304" s="38" t="s">
        <v>13000</v>
      </c>
      <c r="D15304" s="38" t="str">
        <f>IFERROR(__xludf.DUMMYFUNCTION("REGEXREPLACE(C15304,""-\d+(.*)|--\d+(.*)"","""")"),"VERNOUILLET")</f>
        <v>VERNOUILLET</v>
      </c>
      <c r="E15304" s="38" t="s">
        <v>362</v>
      </c>
      <c r="F15304" s="38" t="s">
        <v>245</v>
      </c>
      <c r="G15304" s="49" t="str">
        <f t="shared" si="1"/>
        <v>78540</v>
      </c>
      <c r="H15304" s="49">
        <f t="shared" si="2"/>
        <v>78643</v>
      </c>
    </row>
    <row r="15305">
      <c r="A15305" s="48" t="s">
        <v>12281</v>
      </c>
      <c r="B15305" s="38">
        <v>54145.0</v>
      </c>
      <c r="C15305" s="38" t="s">
        <v>19659</v>
      </c>
      <c r="D15305" s="38" t="str">
        <f>IFERROR(__xludf.DUMMYFUNCTION("REGEXREPLACE(C15305,""-\d+(.*)|--\d+(.*)"","""")"),"CREVIC")</f>
        <v>CREVIC</v>
      </c>
      <c r="E15305" s="38" t="s">
        <v>548</v>
      </c>
      <c r="F15305" s="38" t="s">
        <v>195</v>
      </c>
      <c r="G15305" s="49" t="str">
        <f t="shared" si="1"/>
        <v>54110</v>
      </c>
      <c r="H15305" s="49">
        <f t="shared" si="2"/>
        <v>54145</v>
      </c>
    </row>
    <row r="15306">
      <c r="A15306" s="48" t="s">
        <v>3319</v>
      </c>
      <c r="B15306" s="38">
        <v>95612.0</v>
      </c>
      <c r="C15306" s="38" t="s">
        <v>19660</v>
      </c>
      <c r="D15306" s="38" t="str">
        <f>IFERROR(__xludf.DUMMYFUNCTION("REGEXREPLACE(C15306,""-\d+(.*)|--\d+(.*)"","""")"),"LE THILLAY")</f>
        <v>LE THILLAY</v>
      </c>
      <c r="E15306" s="38" t="s">
        <v>541</v>
      </c>
      <c r="F15306" s="38" t="s">
        <v>245</v>
      </c>
      <c r="G15306" s="49" t="str">
        <f t="shared" si="1"/>
        <v>95500</v>
      </c>
      <c r="H15306" s="49">
        <f t="shared" si="2"/>
        <v>95612</v>
      </c>
    </row>
    <row r="15307">
      <c r="A15307" s="48" t="s">
        <v>5257</v>
      </c>
      <c r="B15307" s="38">
        <v>15033.0</v>
      </c>
      <c r="C15307" s="38" t="s">
        <v>19661</v>
      </c>
      <c r="D15307" s="38" t="str">
        <f>IFERROR(__xludf.DUMMYFUNCTION("REGEXREPLACE(C15307,""-\d+(.*)|--\d+(.*)"","""")"),"CEZENS")</f>
        <v>CEZENS</v>
      </c>
      <c r="E15307" s="38" t="s">
        <v>632</v>
      </c>
      <c r="F15307" s="38" t="s">
        <v>161</v>
      </c>
      <c r="G15307" s="49" t="str">
        <f t="shared" si="1"/>
        <v>15230</v>
      </c>
      <c r="H15307" s="49">
        <f t="shared" si="2"/>
        <v>15033</v>
      </c>
    </row>
    <row r="15308">
      <c r="A15308" s="48" t="s">
        <v>3031</v>
      </c>
      <c r="B15308" s="38">
        <v>21471.0</v>
      </c>
      <c r="C15308" s="38" t="s">
        <v>19662</v>
      </c>
      <c r="D15308" s="38" t="str">
        <f>IFERROR(__xludf.DUMMYFUNCTION("REGEXREPLACE(C15308,""-\d+(.*)|--\d+(.*)"","""")"),"ORRET")</f>
        <v>ORRET</v>
      </c>
      <c r="E15308" s="38" t="s">
        <v>105</v>
      </c>
      <c r="F15308" s="38" t="s">
        <v>106</v>
      </c>
      <c r="G15308" s="49" t="str">
        <f t="shared" si="1"/>
        <v>21450</v>
      </c>
      <c r="H15308" s="49">
        <f t="shared" si="2"/>
        <v>21471</v>
      </c>
    </row>
    <row r="15309">
      <c r="A15309" s="48" t="s">
        <v>19663</v>
      </c>
      <c r="B15309" s="38">
        <v>77370.0</v>
      </c>
      <c r="C15309" s="38" t="s">
        <v>7451</v>
      </c>
      <c r="D15309" s="38" t="str">
        <f>IFERROR(__xludf.DUMMYFUNCTION("REGEXREPLACE(C15309,""-\d+(.*)|--\d+(.*)"","""")"),"POLIGNY")</f>
        <v>POLIGNY</v>
      </c>
      <c r="E15309" s="38" t="s">
        <v>244</v>
      </c>
      <c r="F15309" s="38" t="s">
        <v>245</v>
      </c>
      <c r="G15309" s="49" t="str">
        <f t="shared" si="1"/>
        <v>77167</v>
      </c>
      <c r="H15309" s="49">
        <f t="shared" si="2"/>
        <v>77370</v>
      </c>
    </row>
    <row r="15310">
      <c r="A15310" s="48" t="s">
        <v>19664</v>
      </c>
      <c r="B15310" s="38">
        <v>57080.0</v>
      </c>
      <c r="C15310" s="38" t="s">
        <v>19665</v>
      </c>
      <c r="D15310" s="38" t="str">
        <f>IFERROR(__xludf.DUMMYFUNCTION("REGEXREPLACE(C15310,""-\d+(.*)|--\d+(.*)"","""")"),"BICKENHOLTZ")</f>
        <v>BICKENHOLTZ</v>
      </c>
      <c r="E15310" s="38" t="s">
        <v>303</v>
      </c>
      <c r="F15310" s="38" t="s">
        <v>195</v>
      </c>
      <c r="G15310" s="49" t="str">
        <f t="shared" si="1"/>
        <v>57635</v>
      </c>
      <c r="H15310" s="49">
        <f t="shared" si="2"/>
        <v>57080</v>
      </c>
    </row>
    <row r="15311">
      <c r="A15311" s="48" t="s">
        <v>3075</v>
      </c>
      <c r="B15311" s="38">
        <v>46293.0</v>
      </c>
      <c r="C15311" s="38" t="s">
        <v>19666</v>
      </c>
      <c r="D15311" s="38" t="str">
        <f>IFERROR(__xludf.DUMMYFUNCTION("REGEXREPLACE(C15311,""-\d+(.*)|--\d+(.*)"","""")"),"SAINT-SOZY")</f>
        <v>SAINT-SOZY</v>
      </c>
      <c r="E15311" s="38" t="s">
        <v>185</v>
      </c>
      <c r="F15311" s="38" t="s">
        <v>94</v>
      </c>
      <c r="G15311" s="49" t="str">
        <f t="shared" si="1"/>
        <v>46200</v>
      </c>
      <c r="H15311" s="49">
        <f t="shared" si="2"/>
        <v>46293</v>
      </c>
    </row>
    <row r="15312">
      <c r="A15312" s="48" t="s">
        <v>19667</v>
      </c>
      <c r="B15312" s="38">
        <v>13213.0</v>
      </c>
      <c r="C15312" s="38" t="s">
        <v>19668</v>
      </c>
      <c r="D15312" s="38" t="str">
        <f>IFERROR(__xludf.DUMMYFUNCTION("REGEXREPLACE(C15312,""-\d+(.*)|--\d+(.*)"","""")"),"MARSEILLE")</f>
        <v>MARSEILLE</v>
      </c>
      <c r="E15312" s="38" t="s">
        <v>980</v>
      </c>
      <c r="F15312" s="38" t="s">
        <v>228</v>
      </c>
      <c r="G15312" s="49" t="str">
        <f t="shared" si="1"/>
        <v>13013</v>
      </c>
      <c r="H15312" s="49">
        <f t="shared" si="2"/>
        <v>13213</v>
      </c>
    </row>
    <row r="15313">
      <c r="A15313" s="48" t="s">
        <v>7777</v>
      </c>
      <c r="B15313" s="38">
        <v>54568.0</v>
      </c>
      <c r="C15313" s="38" t="s">
        <v>19669</v>
      </c>
      <c r="D15313" s="38" t="str">
        <f>IFERROR(__xludf.DUMMYFUNCTION("REGEXREPLACE(C15313,""-\d+(.*)|--\d+(.*)"","""")"),"VILLE-AU-MONTOIS")</f>
        <v>VILLE-AU-MONTOIS</v>
      </c>
      <c r="E15313" s="38" t="s">
        <v>548</v>
      </c>
      <c r="F15313" s="38" t="s">
        <v>195</v>
      </c>
      <c r="G15313" s="49" t="str">
        <f t="shared" si="1"/>
        <v>54620</v>
      </c>
      <c r="H15313" s="49">
        <f t="shared" si="2"/>
        <v>54568</v>
      </c>
    </row>
    <row r="15314">
      <c r="A15314" s="48" t="s">
        <v>9585</v>
      </c>
      <c r="B15314" s="38">
        <v>25045.0</v>
      </c>
      <c r="C15314" s="38" t="s">
        <v>19670</v>
      </c>
      <c r="D15314" s="38" t="str">
        <f>IFERROR(__xludf.DUMMYFUNCTION("REGEXREPLACE(C15314,""-\d+(.*)|--\d+(.*)"","""")"),"BATTENANS-LES-MINES")</f>
        <v>BATTENANS-LES-MINES</v>
      </c>
      <c r="E15314" s="38" t="s">
        <v>213</v>
      </c>
      <c r="F15314" s="38" t="s">
        <v>214</v>
      </c>
      <c r="G15314" s="49" t="str">
        <f t="shared" si="1"/>
        <v>25640</v>
      </c>
      <c r="H15314" s="49">
        <f t="shared" si="2"/>
        <v>25045</v>
      </c>
    </row>
    <row r="15315">
      <c r="A15315" s="48" t="s">
        <v>8669</v>
      </c>
      <c r="B15315" s="38">
        <v>50110.0</v>
      </c>
      <c r="C15315" s="38" t="s">
        <v>19671</v>
      </c>
      <c r="D15315" s="38" t="str">
        <f>IFERROR(__xludf.DUMMYFUNCTION("REGEXREPLACE(C15315,""-\d+(.*)|--\d+(.*)"","""")"),"CERISY-LA-FORET")</f>
        <v>CERISY-LA-FORET</v>
      </c>
      <c r="E15315" s="38" t="s">
        <v>157</v>
      </c>
      <c r="F15315" s="38" t="s">
        <v>138</v>
      </c>
      <c r="G15315" s="49" t="str">
        <f t="shared" si="1"/>
        <v>50680</v>
      </c>
      <c r="H15315" s="49">
        <f t="shared" si="2"/>
        <v>50110</v>
      </c>
    </row>
    <row r="15316">
      <c r="A15316" s="48" t="s">
        <v>507</v>
      </c>
      <c r="B15316" s="38">
        <v>8193.0</v>
      </c>
      <c r="C15316" s="38" t="s">
        <v>451</v>
      </c>
      <c r="D15316" s="38" t="str">
        <f>IFERROR(__xludf.DUMMYFUNCTION("REGEXREPLACE(C15316,""-\d+(.*)|--\d+(.*)"","""")"),"GIVRY")</f>
        <v>GIVRY</v>
      </c>
      <c r="E15316" s="38" t="s">
        <v>327</v>
      </c>
      <c r="F15316" s="38" t="s">
        <v>130</v>
      </c>
      <c r="G15316" s="49" t="str">
        <f t="shared" si="1"/>
        <v>08130</v>
      </c>
      <c r="H15316" s="49" t="str">
        <f t="shared" si="2"/>
        <v>08193</v>
      </c>
    </row>
    <row r="15317">
      <c r="A15317" s="48" t="s">
        <v>19672</v>
      </c>
      <c r="B15317" s="38" t="s">
        <v>19673</v>
      </c>
      <c r="C15317" s="38" t="s">
        <v>19674</v>
      </c>
      <c r="D15317" s="38" t="str">
        <f>IFERROR(__xludf.DUMMYFUNCTION("REGEXREPLACE(C15317,""-\d+(.*)|--\d+(.*)"","""")"),"ZEVACO")</f>
        <v>ZEVACO</v>
      </c>
      <c r="E15317" s="38" t="s">
        <v>606</v>
      </c>
      <c r="F15317" s="38" t="s">
        <v>607</v>
      </c>
      <c r="G15317" s="49" t="str">
        <f t="shared" si="1"/>
        <v>20173</v>
      </c>
      <c r="H15317" s="49" t="str">
        <f t="shared" si="2"/>
        <v>2A358</v>
      </c>
    </row>
    <row r="15318">
      <c r="A15318" s="48" t="s">
        <v>19675</v>
      </c>
      <c r="B15318" s="38">
        <v>34150.0</v>
      </c>
      <c r="C15318" s="38" t="s">
        <v>10103</v>
      </c>
      <c r="D15318" s="38" t="str">
        <f>IFERROR(__xludf.DUMMYFUNCTION("REGEXREPLACE(C15318,""-\d+(.*)|--\d+(.*)"","""")"),"MARSEILLAN")</f>
        <v>MARSEILLAN</v>
      </c>
      <c r="E15318" s="38" t="s">
        <v>118</v>
      </c>
      <c r="F15318" s="38" t="s">
        <v>119</v>
      </c>
      <c r="G15318" s="49" t="str">
        <f t="shared" si="1"/>
        <v>34340</v>
      </c>
      <c r="H15318" s="49">
        <f t="shared" si="2"/>
        <v>34150</v>
      </c>
    </row>
    <row r="15319">
      <c r="A15319" s="48" t="s">
        <v>139</v>
      </c>
      <c r="B15319" s="38">
        <v>61286.0</v>
      </c>
      <c r="C15319" s="38" t="s">
        <v>19676</v>
      </c>
      <c r="D15319" s="38" t="str">
        <f>IFERROR(__xludf.DUMMYFUNCTION("REGEXREPLACE(C15319,""-\d+(.*)|--\d+(.*)"","""")"),"MONTGAUDRY")</f>
        <v>MONTGAUDRY</v>
      </c>
      <c r="E15319" s="38" t="s">
        <v>141</v>
      </c>
      <c r="F15319" s="38" t="s">
        <v>138</v>
      </c>
      <c r="G15319" s="49" t="str">
        <f t="shared" si="1"/>
        <v>61360</v>
      </c>
      <c r="H15319" s="49">
        <f t="shared" si="2"/>
        <v>61286</v>
      </c>
    </row>
    <row r="15320">
      <c r="A15320" s="48" t="s">
        <v>7858</v>
      </c>
      <c r="B15320" s="38">
        <v>47074.0</v>
      </c>
      <c r="C15320" s="38" t="s">
        <v>19677</v>
      </c>
      <c r="D15320" s="38" t="str">
        <f>IFERROR(__xludf.DUMMYFUNCTION("REGEXREPLACE(C15320,""-\d+(.*)|--\d+(.*)"","""")"),"COUTHURES-SUR-GARONNE")</f>
        <v>COUTHURES-SUR-GARONNE</v>
      </c>
      <c r="E15320" s="38" t="s">
        <v>251</v>
      </c>
      <c r="F15320" s="38" t="s">
        <v>252</v>
      </c>
      <c r="G15320" s="49" t="str">
        <f t="shared" si="1"/>
        <v>47180</v>
      </c>
      <c r="H15320" s="49">
        <f t="shared" si="2"/>
        <v>47074</v>
      </c>
    </row>
    <row r="15321">
      <c r="A15321" s="48" t="s">
        <v>3808</v>
      </c>
      <c r="B15321" s="38">
        <v>86159.0</v>
      </c>
      <c r="C15321" s="38" t="s">
        <v>19678</v>
      </c>
      <c r="D15321" s="38" t="str">
        <f>IFERROR(__xludf.DUMMYFUNCTION("REGEXREPLACE(C15321,""-\d+(.*)|--\d+(.*)"","""")"),"MILLAC")</f>
        <v>MILLAC</v>
      </c>
      <c r="E15321" s="38" t="s">
        <v>529</v>
      </c>
      <c r="F15321" s="38" t="s">
        <v>338</v>
      </c>
      <c r="G15321" s="49" t="str">
        <f t="shared" si="1"/>
        <v>86150</v>
      </c>
      <c r="H15321" s="49">
        <f t="shared" si="2"/>
        <v>86159</v>
      </c>
    </row>
    <row r="15322">
      <c r="A15322" s="48" t="s">
        <v>1114</v>
      </c>
      <c r="B15322" s="38">
        <v>2041.0</v>
      </c>
      <c r="C15322" s="38" t="s">
        <v>11971</v>
      </c>
      <c r="D15322" s="38" t="str">
        <f>IFERROR(__xludf.DUMMYFUNCTION("REGEXREPLACE(C15322,""-\d+(.*)|--\d+(.*)"","""")"),"AUTREVILLE")</f>
        <v>AUTREVILLE</v>
      </c>
      <c r="E15322" s="38" t="s">
        <v>191</v>
      </c>
      <c r="F15322" s="38" t="s">
        <v>113</v>
      </c>
      <c r="G15322" s="49" t="str">
        <f t="shared" si="1"/>
        <v>02300</v>
      </c>
      <c r="H15322" s="49" t="str">
        <f t="shared" si="2"/>
        <v>02041</v>
      </c>
    </row>
    <row r="15323">
      <c r="A15323" s="48" t="s">
        <v>19679</v>
      </c>
      <c r="B15323" s="38">
        <v>97113.0</v>
      </c>
      <c r="C15323" s="38" t="s">
        <v>19680</v>
      </c>
      <c r="D15323" s="38" t="str">
        <f>IFERROR(__xludf.DUMMYFUNCTION("REGEXREPLACE(C15323,""-\d+(.*)|--\d+(.*)"","""")"),"LE GOSIER")</f>
        <v>LE GOSIER</v>
      </c>
      <c r="E15323" s="38" t="s">
        <v>2023</v>
      </c>
      <c r="F15323" s="38" t="s">
        <v>2023</v>
      </c>
      <c r="G15323" s="49" t="str">
        <f t="shared" si="1"/>
        <v>97190</v>
      </c>
      <c r="H15323" s="49">
        <f t="shared" si="2"/>
        <v>97113</v>
      </c>
    </row>
    <row r="15324">
      <c r="A15324" s="48" t="s">
        <v>201</v>
      </c>
      <c r="B15324" s="38">
        <v>2601.0</v>
      </c>
      <c r="C15324" s="38" t="s">
        <v>19681</v>
      </c>
      <c r="D15324" s="38" t="str">
        <f>IFERROR(__xludf.DUMMYFUNCTION("REGEXREPLACE(C15324,""-\d+(.*)|--\d+(.*)"","""")"),"PIGNICOURT")</f>
        <v>PIGNICOURT</v>
      </c>
      <c r="E15324" s="38" t="s">
        <v>191</v>
      </c>
      <c r="F15324" s="38" t="s">
        <v>113</v>
      </c>
      <c r="G15324" s="49" t="str">
        <f t="shared" si="1"/>
        <v>02190</v>
      </c>
      <c r="H15324" s="49" t="str">
        <f t="shared" si="2"/>
        <v>02601</v>
      </c>
    </row>
    <row r="15325">
      <c r="A15325" s="48" t="s">
        <v>4311</v>
      </c>
      <c r="B15325" s="38">
        <v>47218.0</v>
      </c>
      <c r="C15325" s="38" t="s">
        <v>19682</v>
      </c>
      <c r="D15325" s="38" t="str">
        <f>IFERROR(__xludf.DUMMYFUNCTION("REGEXREPLACE(C15325,""-\d+(.*)|--\d+(.*)"","""")"),"PUYSSERAMPION")</f>
        <v>PUYSSERAMPION</v>
      </c>
      <c r="E15325" s="38" t="s">
        <v>251</v>
      </c>
      <c r="F15325" s="38" t="s">
        <v>252</v>
      </c>
      <c r="G15325" s="49" t="str">
        <f t="shared" si="1"/>
        <v>47800</v>
      </c>
      <c r="H15325" s="49">
        <f t="shared" si="2"/>
        <v>47218</v>
      </c>
    </row>
    <row r="15326">
      <c r="A15326" s="48" t="s">
        <v>298</v>
      </c>
      <c r="B15326" s="38">
        <v>28240.0</v>
      </c>
      <c r="C15326" s="38" t="s">
        <v>19683</v>
      </c>
      <c r="D15326" s="38" t="str">
        <f>IFERROR(__xludf.DUMMYFUNCTION("REGEXREPLACE(C15326,""-\d+(.*)|--\d+(.*)"","""")"),"MEAUCE")</f>
        <v>MEAUCE</v>
      </c>
      <c r="E15326" s="38" t="s">
        <v>300</v>
      </c>
      <c r="F15326" s="38" t="s">
        <v>123</v>
      </c>
      <c r="G15326" s="49" t="str">
        <f t="shared" si="1"/>
        <v>28240</v>
      </c>
      <c r="H15326" s="49">
        <f t="shared" si="2"/>
        <v>28240</v>
      </c>
    </row>
    <row r="15327">
      <c r="A15327" s="48" t="s">
        <v>12826</v>
      </c>
      <c r="B15327" s="38">
        <v>45044.0</v>
      </c>
      <c r="C15327" s="38" t="s">
        <v>19684</v>
      </c>
      <c r="D15327" s="38" t="str">
        <f>IFERROR(__xludf.DUMMYFUNCTION("REGEXREPLACE(C15327,""-\d+(.*)|--\d+(.*)"","""")"),"BOUGY-LEZ-NEUVILLE")</f>
        <v>BOUGY-LEZ-NEUVILLE</v>
      </c>
      <c r="E15327" s="38" t="s">
        <v>122</v>
      </c>
      <c r="F15327" s="38" t="s">
        <v>123</v>
      </c>
      <c r="G15327" s="49" t="str">
        <f t="shared" si="1"/>
        <v>45170</v>
      </c>
      <c r="H15327" s="49">
        <f t="shared" si="2"/>
        <v>45044</v>
      </c>
    </row>
    <row r="15328">
      <c r="A15328" s="48" t="s">
        <v>4706</v>
      </c>
      <c r="B15328" s="38">
        <v>74127.0</v>
      </c>
      <c r="C15328" s="38" t="s">
        <v>19685</v>
      </c>
      <c r="D15328" s="38" t="str">
        <f>IFERROR(__xludf.DUMMYFUNCTION("REGEXREPLACE(C15328,""-\d+(.*)|--\d+(.*)"","""")"),"FETERNES")</f>
        <v>FETERNES</v>
      </c>
      <c r="E15328" s="38" t="s">
        <v>319</v>
      </c>
      <c r="F15328" s="38" t="s">
        <v>102</v>
      </c>
      <c r="G15328" s="49" t="str">
        <f t="shared" si="1"/>
        <v>74500</v>
      </c>
      <c r="H15328" s="49">
        <f t="shared" si="2"/>
        <v>74127</v>
      </c>
    </row>
    <row r="15329">
      <c r="A15329" s="48" t="s">
        <v>5875</v>
      </c>
      <c r="B15329" s="38">
        <v>14698.0</v>
      </c>
      <c r="C15329" s="38" t="s">
        <v>19686</v>
      </c>
      <c r="D15329" s="38" t="str">
        <f>IFERROR(__xludf.DUMMYFUNCTION("REGEXREPLACE(C15329,""-\d+(.*)|--\d+(.*)"","""")"),"TOUFFREVILLE")</f>
        <v>TOUFFREVILLE</v>
      </c>
      <c r="E15329" s="38" t="s">
        <v>137</v>
      </c>
      <c r="F15329" s="38" t="s">
        <v>138</v>
      </c>
      <c r="G15329" s="49" t="str">
        <f t="shared" si="1"/>
        <v>14940</v>
      </c>
      <c r="H15329" s="49">
        <f t="shared" si="2"/>
        <v>14698</v>
      </c>
    </row>
    <row r="15330">
      <c r="A15330" s="48" t="s">
        <v>9262</v>
      </c>
      <c r="B15330" s="38">
        <v>16134.0</v>
      </c>
      <c r="C15330" s="38" t="s">
        <v>19687</v>
      </c>
      <c r="D15330" s="38" t="str">
        <f>IFERROR(__xludf.DUMMYFUNCTION("REGEXREPLACE(C15330,""-\d+(.*)|--\d+(.*)"","""")"),"EXIDEUIL")</f>
        <v>EXIDEUIL</v>
      </c>
      <c r="E15330" s="38" t="s">
        <v>429</v>
      </c>
      <c r="F15330" s="38" t="s">
        <v>338</v>
      </c>
      <c r="G15330" s="49" t="str">
        <f t="shared" si="1"/>
        <v>16150</v>
      </c>
      <c r="H15330" s="49">
        <f t="shared" si="2"/>
        <v>16134</v>
      </c>
    </row>
    <row r="15331">
      <c r="A15331" s="48" t="s">
        <v>1802</v>
      </c>
      <c r="B15331" s="38">
        <v>53043.0</v>
      </c>
      <c r="C15331" s="38" t="s">
        <v>19688</v>
      </c>
      <c r="D15331" s="38" t="str">
        <f>IFERROR(__xludf.DUMMYFUNCTION("REGEXREPLACE(C15331,""-\d+(.*)|--\d+(.*)"","""")"),"BREE")</f>
        <v>BREE</v>
      </c>
      <c r="E15331" s="38" t="s">
        <v>518</v>
      </c>
      <c r="F15331" s="38" t="s">
        <v>180</v>
      </c>
      <c r="G15331" s="49" t="str">
        <f t="shared" si="1"/>
        <v>53150</v>
      </c>
      <c r="H15331" s="49">
        <f t="shared" si="2"/>
        <v>53043</v>
      </c>
    </row>
    <row r="15332">
      <c r="A15332" s="48" t="s">
        <v>4402</v>
      </c>
      <c r="B15332" s="38">
        <v>54512.0</v>
      </c>
      <c r="C15332" s="38" t="s">
        <v>19689</v>
      </c>
      <c r="D15332" s="38" t="str">
        <f>IFERROR(__xludf.DUMMYFUNCTION("REGEXREPLACE(C15332,""-\d+(.*)|--\d+(.*)"","""")"),"TANCONVILLE")</f>
        <v>TANCONVILLE</v>
      </c>
      <c r="E15332" s="38" t="s">
        <v>548</v>
      </c>
      <c r="F15332" s="38" t="s">
        <v>195</v>
      </c>
      <c r="G15332" s="49" t="str">
        <f t="shared" si="1"/>
        <v>54480</v>
      </c>
      <c r="H15332" s="49">
        <f t="shared" si="2"/>
        <v>54512</v>
      </c>
    </row>
    <row r="15333">
      <c r="A15333" s="48" t="s">
        <v>12658</v>
      </c>
      <c r="B15333" s="38">
        <v>32290.0</v>
      </c>
      <c r="C15333" s="38" t="s">
        <v>4182</v>
      </c>
      <c r="D15333" s="38" t="str">
        <f>IFERROR(__xludf.DUMMYFUNCTION("REGEXREPLACE(C15333,""-\d+(.*)|--\d+(.*)"","""")"),"MONTREAL")</f>
        <v>MONTREAL</v>
      </c>
      <c r="E15333" s="38" t="s">
        <v>440</v>
      </c>
      <c r="F15333" s="38" t="s">
        <v>94</v>
      </c>
      <c r="G15333" s="49" t="str">
        <f t="shared" si="1"/>
        <v>32250</v>
      </c>
      <c r="H15333" s="49">
        <f t="shared" si="2"/>
        <v>32290</v>
      </c>
    </row>
    <row r="15334">
      <c r="A15334" s="48" t="s">
        <v>19690</v>
      </c>
      <c r="B15334" s="38">
        <v>97360.0</v>
      </c>
      <c r="C15334" s="38" t="s">
        <v>19691</v>
      </c>
      <c r="D15334" s="38" t="str">
        <f>IFERROR(__xludf.DUMMYFUNCTION("REGEXREPLACE(C15334,""-\d+(.*)|--\d+(.*)"","""")"),"APATOU")</f>
        <v>APATOU</v>
      </c>
      <c r="E15334" s="38" t="s">
        <v>1737</v>
      </c>
      <c r="F15334" s="38" t="s">
        <v>1737</v>
      </c>
      <c r="G15334" s="49" t="str">
        <f t="shared" si="1"/>
        <v>97317</v>
      </c>
      <c r="H15334" s="49">
        <f t="shared" si="2"/>
        <v>97360</v>
      </c>
    </row>
    <row r="15335">
      <c r="A15335" s="48" t="s">
        <v>19692</v>
      </c>
      <c r="B15335" s="38">
        <v>80652.0</v>
      </c>
      <c r="C15335" s="38" t="s">
        <v>19693</v>
      </c>
      <c r="D15335" s="38" t="str">
        <f>IFERROR(__xludf.DUMMYFUNCTION("REGEXREPLACE(C15335,""-\d+(.*)|--\d+(.*)"","""")"),"LE QUESNEL")</f>
        <v>LE QUESNEL</v>
      </c>
      <c r="E15335" s="38" t="s">
        <v>224</v>
      </c>
      <c r="F15335" s="38" t="s">
        <v>113</v>
      </c>
      <c r="G15335" s="49" t="str">
        <f t="shared" si="1"/>
        <v>80118</v>
      </c>
      <c r="H15335" s="49">
        <f t="shared" si="2"/>
        <v>80652</v>
      </c>
    </row>
    <row r="15336">
      <c r="A15336" s="48" t="s">
        <v>19694</v>
      </c>
      <c r="B15336" s="38">
        <v>71477.0</v>
      </c>
      <c r="C15336" s="38" t="s">
        <v>19695</v>
      </c>
      <c r="D15336" s="38" t="str">
        <f>IFERROR(__xludf.DUMMYFUNCTION("REGEXREPLACE(C15336,""-\d+(.*)|--\d+(.*)"","""")"),"SAINT-ROMAIN-SOUS-GOURDON")</f>
        <v>SAINT-ROMAIN-SOUS-GOURDON</v>
      </c>
      <c r="E15336" s="38" t="s">
        <v>344</v>
      </c>
      <c r="F15336" s="38" t="s">
        <v>106</v>
      </c>
      <c r="G15336" s="49" t="str">
        <f t="shared" si="1"/>
        <v>71230</v>
      </c>
      <c r="H15336" s="49">
        <f t="shared" si="2"/>
        <v>71477</v>
      </c>
    </row>
    <row r="15337">
      <c r="A15337" s="48" t="s">
        <v>3299</v>
      </c>
      <c r="B15337" s="38">
        <v>39151.0</v>
      </c>
      <c r="C15337" s="38" t="s">
        <v>19696</v>
      </c>
      <c r="D15337" s="38" t="str">
        <f>IFERROR(__xludf.DUMMYFUNCTION("REGEXREPLACE(C15337,""-\d+(.*)|--\d+(.*)"","""")"),"CHOUX")</f>
        <v>CHOUX</v>
      </c>
      <c r="E15337" s="38" t="s">
        <v>400</v>
      </c>
      <c r="F15337" s="38" t="s">
        <v>214</v>
      </c>
      <c r="G15337" s="49" t="str">
        <f t="shared" si="1"/>
        <v>39370</v>
      </c>
      <c r="H15337" s="49">
        <f t="shared" si="2"/>
        <v>39151</v>
      </c>
    </row>
    <row r="15338">
      <c r="A15338" s="48" t="s">
        <v>3452</v>
      </c>
      <c r="B15338" s="38">
        <v>36089.0</v>
      </c>
      <c r="C15338" s="38" t="s">
        <v>19697</v>
      </c>
      <c r="D15338" s="38" t="str">
        <f>IFERROR(__xludf.DUMMYFUNCTION("REGEXREPLACE(C15338,""-\d+(.*)|--\d+(.*)"","""")"),"JEU-LES-BOIS")</f>
        <v>JEU-LES-BOIS</v>
      </c>
      <c r="E15338" s="38" t="s">
        <v>258</v>
      </c>
      <c r="F15338" s="38" t="s">
        <v>123</v>
      </c>
      <c r="G15338" s="49" t="str">
        <f t="shared" si="1"/>
        <v>36120</v>
      </c>
      <c r="H15338" s="49">
        <f t="shared" si="2"/>
        <v>36089</v>
      </c>
    </row>
    <row r="15339">
      <c r="A15339" s="48" t="s">
        <v>11319</v>
      </c>
      <c r="B15339" s="38">
        <v>51076.0</v>
      </c>
      <c r="C15339" s="38" t="s">
        <v>19698</v>
      </c>
      <c r="D15339" s="38" t="str">
        <f>IFERROR(__xludf.DUMMYFUNCTION("REGEXREPLACE(C15339,""-\d+(.*)|--\d+(.*)"","""")"),"BOURSAULT")</f>
        <v>BOURSAULT</v>
      </c>
      <c r="E15339" s="38" t="s">
        <v>129</v>
      </c>
      <c r="F15339" s="38" t="s">
        <v>130</v>
      </c>
      <c r="G15339" s="49" t="str">
        <f t="shared" si="1"/>
        <v>51480</v>
      </c>
      <c r="H15339" s="49">
        <f t="shared" si="2"/>
        <v>51076</v>
      </c>
    </row>
    <row r="15340">
      <c r="A15340" s="48" t="s">
        <v>9405</v>
      </c>
      <c r="B15340" s="38">
        <v>15070.0</v>
      </c>
      <c r="C15340" s="38" t="s">
        <v>19699</v>
      </c>
      <c r="D15340" s="38" t="str">
        <f>IFERROR(__xludf.DUMMYFUNCTION("REGEXREPLACE(C15340,""-\d+(.*)|--\d+(.*)"","""")"),"FONTANGES")</f>
        <v>FONTANGES</v>
      </c>
      <c r="E15340" s="38" t="s">
        <v>632</v>
      </c>
      <c r="F15340" s="38" t="s">
        <v>161</v>
      </c>
      <c r="G15340" s="49" t="str">
        <f t="shared" si="1"/>
        <v>15140</v>
      </c>
      <c r="H15340" s="49">
        <f t="shared" si="2"/>
        <v>15070</v>
      </c>
    </row>
    <row r="15341">
      <c r="A15341" s="48" t="s">
        <v>591</v>
      </c>
      <c r="B15341" s="38">
        <v>85080.0</v>
      </c>
      <c r="C15341" s="38" t="s">
        <v>19700</v>
      </c>
      <c r="D15341" s="38" t="str">
        <f>IFERROR(__xludf.DUMMYFUNCTION("REGEXREPLACE(C15341,""-\d+(.*)|--\d+(.*)"","""")"),"DOIX")</f>
        <v>DOIX</v>
      </c>
      <c r="E15341" s="38" t="s">
        <v>179</v>
      </c>
      <c r="F15341" s="38" t="s">
        <v>180</v>
      </c>
      <c r="G15341" s="49" t="str">
        <f t="shared" si="1"/>
        <v>85200</v>
      </c>
      <c r="H15341" s="49">
        <f t="shared" si="2"/>
        <v>85080</v>
      </c>
    </row>
    <row r="15342">
      <c r="A15342" s="48" t="s">
        <v>4697</v>
      </c>
      <c r="B15342" s="38">
        <v>67033.0</v>
      </c>
      <c r="C15342" s="38" t="s">
        <v>19701</v>
      </c>
      <c r="D15342" s="38" t="str">
        <f>IFERROR(__xludf.DUMMYFUNCTION("REGEXREPLACE(C15342,""-\d+(.*)|--\d+(.*)"","""")"),"BERNOLSHEIM")</f>
        <v>BERNOLSHEIM</v>
      </c>
      <c r="E15342" s="38" t="s">
        <v>210</v>
      </c>
      <c r="F15342" s="38" t="s">
        <v>151</v>
      </c>
      <c r="G15342" s="49" t="str">
        <f t="shared" si="1"/>
        <v>67170</v>
      </c>
      <c r="H15342" s="49">
        <f t="shared" si="2"/>
        <v>67033</v>
      </c>
    </row>
    <row r="15343">
      <c r="A15343" s="48" t="s">
        <v>744</v>
      </c>
      <c r="B15343" s="38">
        <v>14413.0</v>
      </c>
      <c r="C15343" s="38" t="s">
        <v>19702</v>
      </c>
      <c r="D15343" s="38" t="str">
        <f>IFERROR(__xludf.DUMMYFUNCTION("REGEXREPLACE(C15343,""-\d+(.*)|--\d+(.*)"","""")"),"LE MESNIL-AUZOUF")</f>
        <v>LE MESNIL-AUZOUF</v>
      </c>
      <c r="E15343" s="38" t="s">
        <v>137</v>
      </c>
      <c r="F15343" s="38" t="s">
        <v>138</v>
      </c>
      <c r="G15343" s="49" t="str">
        <f t="shared" si="1"/>
        <v>14260</v>
      </c>
      <c r="H15343" s="49">
        <f t="shared" si="2"/>
        <v>14413</v>
      </c>
    </row>
    <row r="15344">
      <c r="A15344" s="48" t="s">
        <v>1157</v>
      </c>
      <c r="B15344" s="38">
        <v>16116.0</v>
      </c>
      <c r="C15344" s="38" t="s">
        <v>19703</v>
      </c>
      <c r="D15344" s="38" t="str">
        <f>IFERROR(__xludf.DUMMYFUNCTION("REGEXREPLACE(C15344,""-\d+(.*)|--\d+(.*)"","""")"),"CRITEUIL-LA-MAGDELEINE")</f>
        <v>CRITEUIL-LA-MAGDELEINE</v>
      </c>
      <c r="E15344" s="38" t="s">
        <v>429</v>
      </c>
      <c r="F15344" s="38" t="s">
        <v>338</v>
      </c>
      <c r="G15344" s="49" t="str">
        <f t="shared" si="1"/>
        <v>16300</v>
      </c>
      <c r="H15344" s="49">
        <f t="shared" si="2"/>
        <v>16116</v>
      </c>
    </row>
    <row r="15345">
      <c r="A15345" s="48" t="s">
        <v>588</v>
      </c>
      <c r="B15345" s="38">
        <v>14245.0</v>
      </c>
      <c r="C15345" s="38" t="s">
        <v>19704</v>
      </c>
      <c r="D15345" s="38" t="str">
        <f>IFERROR(__xludf.DUMMYFUNCTION("REGEXREPLACE(C15345,""-\d+(.*)|--\d+(.*)"","""")"),"ERNES")</f>
        <v>ERNES</v>
      </c>
      <c r="E15345" s="38" t="s">
        <v>137</v>
      </c>
      <c r="F15345" s="38" t="s">
        <v>138</v>
      </c>
      <c r="G15345" s="49" t="str">
        <f t="shared" si="1"/>
        <v>14270</v>
      </c>
      <c r="H15345" s="49">
        <f t="shared" si="2"/>
        <v>14245</v>
      </c>
    </row>
    <row r="15346">
      <c r="A15346" s="48" t="s">
        <v>15871</v>
      </c>
      <c r="B15346" s="38">
        <v>72230.0</v>
      </c>
      <c r="C15346" s="38" t="s">
        <v>19705</v>
      </c>
      <c r="D15346" s="38" t="str">
        <f>IFERROR(__xludf.DUMMYFUNCTION("REGEXREPLACE(C15346,""-\d+(.*)|--\d+(.*)"","""")"),"PARIGNE-LE-POLIN")</f>
        <v>PARIGNE-LE-POLIN</v>
      </c>
      <c r="E15346" s="38" t="s">
        <v>521</v>
      </c>
      <c r="F15346" s="38" t="s">
        <v>180</v>
      </c>
      <c r="G15346" s="49" t="str">
        <f t="shared" si="1"/>
        <v>72330</v>
      </c>
      <c r="H15346" s="49">
        <f t="shared" si="2"/>
        <v>72230</v>
      </c>
    </row>
    <row r="15347">
      <c r="A15347" s="48" t="s">
        <v>6474</v>
      </c>
      <c r="B15347" s="38">
        <v>61154.0</v>
      </c>
      <c r="C15347" s="38" t="s">
        <v>19706</v>
      </c>
      <c r="D15347" s="38" t="str">
        <f>IFERROR(__xludf.DUMMYFUNCTION("REGEXREPLACE(C15347,""-\d+(.*)|--\d+(.*)"","""")"),"EPERRAIS")</f>
        <v>EPERRAIS</v>
      </c>
      <c r="E15347" s="38" t="s">
        <v>141</v>
      </c>
      <c r="F15347" s="38" t="s">
        <v>138</v>
      </c>
      <c r="G15347" s="49" t="str">
        <f t="shared" si="1"/>
        <v>61400</v>
      </c>
      <c r="H15347" s="49">
        <f t="shared" si="2"/>
        <v>61154</v>
      </c>
    </row>
    <row r="15348">
      <c r="A15348" s="48" t="s">
        <v>1964</v>
      </c>
      <c r="B15348" s="38">
        <v>26371.0</v>
      </c>
      <c r="C15348" s="38" t="s">
        <v>19707</v>
      </c>
      <c r="D15348" s="38" t="str">
        <f>IFERROR(__xludf.DUMMYFUNCTION("REGEXREPLACE(C15348,""-\d+(.*)|--\d+(.*)"","""")"),"VERONNE")</f>
        <v>VERONNE</v>
      </c>
      <c r="E15348" s="38" t="s">
        <v>126</v>
      </c>
      <c r="F15348" s="38" t="s">
        <v>102</v>
      </c>
      <c r="G15348" s="49" t="str">
        <f t="shared" si="1"/>
        <v>26340</v>
      </c>
      <c r="H15348" s="49">
        <f t="shared" si="2"/>
        <v>26371</v>
      </c>
    </row>
    <row r="15349">
      <c r="A15349" s="48" t="s">
        <v>1302</v>
      </c>
      <c r="B15349" s="38">
        <v>38116.0</v>
      </c>
      <c r="C15349" s="38" t="s">
        <v>19708</v>
      </c>
      <c r="D15349" s="38" t="str">
        <f>IFERROR(__xludf.DUMMYFUNCTION("REGEXREPLACE(C15349,""-\d+(.*)|--\d+(.*)"","""")"),"COGNET")</f>
        <v>COGNET</v>
      </c>
      <c r="E15349" s="38" t="s">
        <v>101</v>
      </c>
      <c r="F15349" s="38" t="s">
        <v>102</v>
      </c>
      <c r="G15349" s="49" t="str">
        <f t="shared" si="1"/>
        <v>38350</v>
      </c>
      <c r="H15349" s="49">
        <f t="shared" si="2"/>
        <v>38116</v>
      </c>
    </row>
    <row r="15350">
      <c r="A15350" s="48" t="s">
        <v>1336</v>
      </c>
      <c r="B15350" s="38">
        <v>33233.0</v>
      </c>
      <c r="C15350" s="38" t="s">
        <v>19709</v>
      </c>
      <c r="D15350" s="38" t="str">
        <f>IFERROR(__xludf.DUMMYFUNCTION("REGEXREPLACE(C15350,""-\d+(.*)|--\d+(.*)"","""")"),"LARUSCADE")</f>
        <v>LARUSCADE</v>
      </c>
      <c r="E15350" s="38" t="s">
        <v>462</v>
      </c>
      <c r="F15350" s="38" t="s">
        <v>252</v>
      </c>
      <c r="G15350" s="49" t="str">
        <f t="shared" si="1"/>
        <v>33620</v>
      </c>
      <c r="H15350" s="49">
        <f t="shared" si="2"/>
        <v>33233</v>
      </c>
    </row>
    <row r="15351">
      <c r="A15351" s="48" t="s">
        <v>2029</v>
      </c>
      <c r="B15351" s="38">
        <v>50269.0</v>
      </c>
      <c r="C15351" s="38" t="s">
        <v>19710</v>
      </c>
      <c r="D15351" s="38" t="str">
        <f>IFERROR(__xludf.DUMMYFUNCTION("REGEXREPLACE(C15351,""-\d+(.*)|--\d+(.*)"","""")"),"LIESVILLE-SUR-DOUVE")</f>
        <v>LIESVILLE-SUR-DOUVE</v>
      </c>
      <c r="E15351" s="38" t="s">
        <v>157</v>
      </c>
      <c r="F15351" s="38" t="s">
        <v>138</v>
      </c>
      <c r="G15351" s="49" t="str">
        <f t="shared" si="1"/>
        <v>50480</v>
      </c>
      <c r="H15351" s="49">
        <f t="shared" si="2"/>
        <v>50269</v>
      </c>
    </row>
    <row r="15352">
      <c r="A15352" s="48" t="s">
        <v>1932</v>
      </c>
      <c r="B15352" s="38">
        <v>70157.0</v>
      </c>
      <c r="C15352" s="38" t="s">
        <v>19711</v>
      </c>
      <c r="D15352" s="38" t="str">
        <f>IFERROR(__xludf.DUMMYFUNCTION("REGEXREPLACE(C15352,""-\d+(.*)|--\d+(.*)"","""")"),"CLAIREGOUTTE")</f>
        <v>CLAIREGOUTTE</v>
      </c>
      <c r="E15352" s="38" t="s">
        <v>956</v>
      </c>
      <c r="F15352" s="38" t="s">
        <v>214</v>
      </c>
      <c r="G15352" s="49" t="str">
        <f t="shared" si="1"/>
        <v>70200</v>
      </c>
      <c r="H15352" s="49">
        <f t="shared" si="2"/>
        <v>70157</v>
      </c>
    </row>
    <row r="15353">
      <c r="A15353" s="48" t="s">
        <v>2374</v>
      </c>
      <c r="B15353" s="38">
        <v>58052.0</v>
      </c>
      <c r="C15353" s="38" t="s">
        <v>19712</v>
      </c>
      <c r="D15353" s="38" t="str">
        <f>IFERROR(__xludf.DUMMYFUNCTION("REGEXREPLACE(C15353,""-\d+(.*)|--\d+(.*)"","""")"),"CHAMPALLEMENT")</f>
        <v>CHAMPALLEMENT</v>
      </c>
      <c r="E15353" s="38" t="s">
        <v>219</v>
      </c>
      <c r="F15353" s="38" t="s">
        <v>106</v>
      </c>
      <c r="G15353" s="49" t="str">
        <f t="shared" si="1"/>
        <v>58420</v>
      </c>
      <c r="H15353" s="49">
        <f t="shared" si="2"/>
        <v>58052</v>
      </c>
    </row>
    <row r="15354">
      <c r="A15354" s="48" t="s">
        <v>19713</v>
      </c>
      <c r="B15354" s="38">
        <v>56132.0</v>
      </c>
      <c r="C15354" s="38" t="s">
        <v>19714</v>
      </c>
      <c r="D15354" s="38" t="str">
        <f>IFERROR(__xludf.DUMMYFUNCTION("REGEXREPLACE(C15354,""-\d+(.*)|--\d+(.*)"","""")"),"MEUCON")</f>
        <v>MEUCON</v>
      </c>
      <c r="E15354" s="38" t="s">
        <v>173</v>
      </c>
      <c r="F15354" s="38" t="s">
        <v>90</v>
      </c>
      <c r="G15354" s="49" t="str">
        <f t="shared" si="1"/>
        <v>56890</v>
      </c>
      <c r="H15354" s="49">
        <f t="shared" si="2"/>
        <v>56132</v>
      </c>
    </row>
    <row r="15355">
      <c r="A15355" s="48" t="s">
        <v>19715</v>
      </c>
      <c r="B15355" s="38">
        <v>78189.0</v>
      </c>
      <c r="C15355" s="38" t="s">
        <v>19716</v>
      </c>
      <c r="D15355" s="38" t="str">
        <f>IFERROR(__xludf.DUMMYFUNCTION("REGEXREPLACE(C15355,""-\d+(.*)|--\d+(.*)"","""")"),"CRESPIERES")</f>
        <v>CRESPIERES</v>
      </c>
      <c r="E15355" s="38" t="s">
        <v>362</v>
      </c>
      <c r="F15355" s="38" t="s">
        <v>245</v>
      </c>
      <c r="G15355" s="49" t="str">
        <f t="shared" si="1"/>
        <v>78121</v>
      </c>
      <c r="H15355" s="49">
        <f t="shared" si="2"/>
        <v>78189</v>
      </c>
    </row>
    <row r="15356">
      <c r="A15356" s="48" t="s">
        <v>1286</v>
      </c>
      <c r="B15356" s="38">
        <v>47091.0</v>
      </c>
      <c r="C15356" s="38" t="s">
        <v>19717</v>
      </c>
      <c r="D15356" s="38" t="str">
        <f>IFERROR(__xludf.DUMMYFUNCTION("REGEXREPLACE(C15356,""-\d+(.*)|--\d+(.*)"","""")"),"ESTILLAC")</f>
        <v>ESTILLAC</v>
      </c>
      <c r="E15356" s="38" t="s">
        <v>251</v>
      </c>
      <c r="F15356" s="38" t="s">
        <v>252</v>
      </c>
      <c r="G15356" s="49" t="str">
        <f t="shared" si="1"/>
        <v>47310</v>
      </c>
      <c r="H15356" s="49">
        <f t="shared" si="2"/>
        <v>47091</v>
      </c>
    </row>
    <row r="15357">
      <c r="A15357" s="48" t="s">
        <v>2040</v>
      </c>
      <c r="B15357" s="38">
        <v>59035.0</v>
      </c>
      <c r="C15357" s="38" t="s">
        <v>19718</v>
      </c>
      <c r="D15357" s="38" t="str">
        <f>IFERROR(__xludf.DUMMYFUNCTION("REGEXREPLACE(C15357,""-\d+(.*)|--\d+(.*)"","""")"),"AVESNELLES")</f>
        <v>AVESNELLES</v>
      </c>
      <c r="E15357" s="38" t="s">
        <v>85</v>
      </c>
      <c r="F15357" s="38" t="s">
        <v>86</v>
      </c>
      <c r="G15357" s="49" t="str">
        <f t="shared" si="1"/>
        <v>59440</v>
      </c>
      <c r="H15357" s="49">
        <f t="shared" si="2"/>
        <v>59035</v>
      </c>
    </row>
    <row r="15358">
      <c r="A15358" s="48" t="s">
        <v>3978</v>
      </c>
      <c r="B15358" s="38">
        <v>21373.0</v>
      </c>
      <c r="C15358" s="38" t="s">
        <v>19719</v>
      </c>
      <c r="D15358" s="38" t="str">
        <f>IFERROR(__xludf.DUMMYFUNCTION("REGEXREPLACE(C15358,""-\d+(.*)|--\d+(.*)"","""")"),"MALAIN")</f>
        <v>MALAIN</v>
      </c>
      <c r="E15358" s="38" t="s">
        <v>105</v>
      </c>
      <c r="F15358" s="38" t="s">
        <v>106</v>
      </c>
      <c r="G15358" s="49" t="str">
        <f t="shared" si="1"/>
        <v>21410</v>
      </c>
      <c r="H15358" s="49">
        <f t="shared" si="2"/>
        <v>21373</v>
      </c>
    </row>
    <row r="15359">
      <c r="A15359" s="48" t="s">
        <v>3059</v>
      </c>
      <c r="B15359" s="38">
        <v>89248.0</v>
      </c>
      <c r="C15359" s="38" t="s">
        <v>19720</v>
      </c>
      <c r="D15359" s="38" t="str">
        <f>IFERROR(__xludf.DUMMYFUNCTION("REGEXREPLACE(C15359,""-\d+(.*)|--\d+(.*)"","""")"),"MENADES")</f>
        <v>MENADES</v>
      </c>
      <c r="E15359" s="38" t="s">
        <v>275</v>
      </c>
      <c r="F15359" s="38" t="s">
        <v>106</v>
      </c>
      <c r="G15359" s="49" t="str">
        <f t="shared" si="1"/>
        <v>89450</v>
      </c>
      <c r="H15359" s="49">
        <f t="shared" si="2"/>
        <v>89248</v>
      </c>
    </row>
    <row r="15360">
      <c r="A15360" s="48" t="s">
        <v>13331</v>
      </c>
      <c r="B15360" s="38">
        <v>12106.0</v>
      </c>
      <c r="C15360" s="38" t="s">
        <v>19721</v>
      </c>
      <c r="D15360" s="38" t="str">
        <f>IFERROR(__xludf.DUMMYFUNCTION("REGEXREPLACE(C15360,""-\d+(.*)|--\d+(.*)"","""")"),"GABRIAC")</f>
        <v>GABRIAC</v>
      </c>
      <c r="E15360" s="38" t="s">
        <v>465</v>
      </c>
      <c r="F15360" s="38" t="s">
        <v>94</v>
      </c>
      <c r="G15360" s="49" t="str">
        <f t="shared" si="1"/>
        <v>12340</v>
      </c>
      <c r="H15360" s="49">
        <f t="shared" si="2"/>
        <v>12106</v>
      </c>
    </row>
    <row r="15361">
      <c r="A15361" s="48" t="s">
        <v>19722</v>
      </c>
      <c r="B15361" s="38">
        <v>7102.0</v>
      </c>
      <c r="C15361" s="38" t="s">
        <v>19723</v>
      </c>
      <c r="D15361" s="38" t="str">
        <f>IFERROR(__xludf.DUMMYFUNCTION("REGEXREPLACE(C15361,""-\d+(.*)|--\d+(.*)"","""")"),"GUILHERAND-GRANGES")</f>
        <v>GUILHERAND-GRANGES</v>
      </c>
      <c r="E15361" s="38" t="s">
        <v>144</v>
      </c>
      <c r="F15361" s="38" t="s">
        <v>102</v>
      </c>
      <c r="G15361" s="49" t="str">
        <f t="shared" si="1"/>
        <v>07500</v>
      </c>
      <c r="H15361" s="49" t="str">
        <f t="shared" si="2"/>
        <v>07102</v>
      </c>
    </row>
    <row r="15362">
      <c r="A15362" s="48" t="s">
        <v>1298</v>
      </c>
      <c r="B15362" s="38">
        <v>38329.0</v>
      </c>
      <c r="C15362" s="38" t="s">
        <v>19724</v>
      </c>
      <c r="D15362" s="38" t="str">
        <f>IFERROR(__xludf.DUMMYFUNCTION("REGEXREPLACE(C15362,""-\d+(.*)|--\d+(.*)"","""")"),"QUET-EN-BEAUMONT")</f>
        <v>QUET-EN-BEAUMONT</v>
      </c>
      <c r="E15362" s="38" t="s">
        <v>101</v>
      </c>
      <c r="F15362" s="38" t="s">
        <v>102</v>
      </c>
      <c r="G15362" s="49" t="str">
        <f t="shared" si="1"/>
        <v>38970</v>
      </c>
      <c r="H15362" s="49">
        <f t="shared" si="2"/>
        <v>38329</v>
      </c>
    </row>
    <row r="15363">
      <c r="A15363" s="48" t="s">
        <v>2783</v>
      </c>
      <c r="B15363" s="38">
        <v>31020.0</v>
      </c>
      <c r="C15363" s="38" t="s">
        <v>19725</v>
      </c>
      <c r="D15363" s="38" t="str">
        <f>IFERROR(__xludf.DUMMYFUNCTION("REGEXREPLACE(C15363,""-\d+(.*)|--\d+(.*)"","""")"),"ASPET")</f>
        <v>ASPET</v>
      </c>
      <c r="E15363" s="38" t="s">
        <v>93</v>
      </c>
      <c r="F15363" s="38" t="s">
        <v>94</v>
      </c>
      <c r="G15363" s="49" t="str">
        <f t="shared" si="1"/>
        <v>31160</v>
      </c>
      <c r="H15363" s="49">
        <f t="shared" si="2"/>
        <v>31020</v>
      </c>
    </row>
    <row r="15364">
      <c r="A15364" s="48" t="s">
        <v>1012</v>
      </c>
      <c r="B15364" s="38">
        <v>21108.0</v>
      </c>
      <c r="C15364" s="38" t="s">
        <v>19726</v>
      </c>
      <c r="D15364" s="38" t="str">
        <f>IFERROR(__xludf.DUMMYFUNCTION("REGEXREPLACE(C15364,""-\d+(.*)|--\d+(.*)"","""")"),"BRIANNY")</f>
        <v>BRIANNY</v>
      </c>
      <c r="E15364" s="38" t="s">
        <v>105</v>
      </c>
      <c r="F15364" s="38" t="s">
        <v>106</v>
      </c>
      <c r="G15364" s="49" t="str">
        <f t="shared" si="1"/>
        <v>21390</v>
      </c>
      <c r="H15364" s="49">
        <f t="shared" si="2"/>
        <v>21108</v>
      </c>
    </row>
    <row r="15365">
      <c r="A15365" s="48" t="s">
        <v>11011</v>
      </c>
      <c r="B15365" s="38">
        <v>14585.0</v>
      </c>
      <c r="C15365" s="38" t="s">
        <v>19727</v>
      </c>
      <c r="D15365" s="38" t="str">
        <f>IFERROR(__xludf.DUMMYFUNCTION("REGEXREPLACE(C15365,""-\d+(.*)|--\d+(.*)"","""")"),"SAINT-GERMAIN-DU-CRIOULT")</f>
        <v>SAINT-GERMAIN-DU-CRIOULT</v>
      </c>
      <c r="E15365" s="38" t="s">
        <v>137</v>
      </c>
      <c r="F15365" s="38" t="s">
        <v>138</v>
      </c>
      <c r="G15365" s="49" t="str">
        <f t="shared" si="1"/>
        <v>14110</v>
      </c>
      <c r="H15365" s="49">
        <f t="shared" si="2"/>
        <v>14585</v>
      </c>
    </row>
    <row r="15366">
      <c r="A15366" s="48" t="s">
        <v>6409</v>
      </c>
      <c r="B15366" s="38">
        <v>79285.0</v>
      </c>
      <c r="C15366" s="38" t="s">
        <v>19728</v>
      </c>
      <c r="D15366" s="38" t="str">
        <f>IFERROR(__xludf.DUMMYFUNCTION("REGEXREPLACE(C15366,""-\d+(.*)|--\d+(.*)"","""")"),"SAINT-PARDOUX")</f>
        <v>SAINT-PARDOUX</v>
      </c>
      <c r="E15366" s="38" t="s">
        <v>337</v>
      </c>
      <c r="F15366" s="38" t="s">
        <v>338</v>
      </c>
      <c r="G15366" s="49" t="str">
        <f t="shared" si="1"/>
        <v>79310</v>
      </c>
      <c r="H15366" s="49">
        <f t="shared" si="2"/>
        <v>79285</v>
      </c>
    </row>
    <row r="15367">
      <c r="A15367" s="48" t="s">
        <v>9556</v>
      </c>
      <c r="B15367" s="38">
        <v>60604.0</v>
      </c>
      <c r="C15367" s="38" t="s">
        <v>19729</v>
      </c>
      <c r="D15367" s="38" t="str">
        <f>IFERROR(__xludf.DUMMYFUNCTION("REGEXREPLACE(C15367,""-\d+(.*)|--\d+(.*)"","""")"),"SARCUS")</f>
        <v>SARCUS</v>
      </c>
      <c r="E15367" s="38" t="s">
        <v>112</v>
      </c>
      <c r="F15367" s="38" t="s">
        <v>113</v>
      </c>
      <c r="G15367" s="49" t="str">
        <f t="shared" si="1"/>
        <v>60210</v>
      </c>
      <c r="H15367" s="49">
        <f t="shared" si="2"/>
        <v>60604</v>
      </c>
    </row>
    <row r="15368">
      <c r="A15368" s="48" t="s">
        <v>5584</v>
      </c>
      <c r="B15368" s="38">
        <v>41275.0</v>
      </c>
      <c r="C15368" s="38" t="s">
        <v>19730</v>
      </c>
      <c r="D15368" s="38" t="str">
        <f>IFERROR(__xludf.DUMMYFUNCTION("REGEXREPLACE(C15368,""-\d+(.*)|--\d+(.*)"","""")"),"LA VILLE-AUX-CLERCS")</f>
        <v>LA VILLE-AUX-CLERCS</v>
      </c>
      <c r="E15368" s="38" t="s">
        <v>188</v>
      </c>
      <c r="F15368" s="38" t="s">
        <v>123</v>
      </c>
      <c r="G15368" s="49" t="str">
        <f t="shared" si="1"/>
        <v>41160</v>
      </c>
      <c r="H15368" s="49">
        <f t="shared" si="2"/>
        <v>41275</v>
      </c>
    </row>
    <row r="15369">
      <c r="A15369" s="48" t="s">
        <v>7388</v>
      </c>
      <c r="B15369" s="38">
        <v>42337.0</v>
      </c>
      <c r="C15369" s="38" t="s">
        <v>19731</v>
      </c>
      <c r="D15369" s="38" t="str">
        <f>IFERROR(__xludf.DUMMYFUNCTION("REGEXREPLACE(C15369,""-\d+(.*)|--\d+(.*)"","""")"),"VIVANS")</f>
        <v>VIVANS</v>
      </c>
      <c r="E15369" s="38" t="s">
        <v>166</v>
      </c>
      <c r="F15369" s="38" t="s">
        <v>102</v>
      </c>
      <c r="G15369" s="49" t="str">
        <f t="shared" si="1"/>
        <v>42310</v>
      </c>
      <c r="H15369" s="49">
        <f t="shared" si="2"/>
        <v>42337</v>
      </c>
    </row>
    <row r="15370">
      <c r="A15370" s="48" t="s">
        <v>19732</v>
      </c>
      <c r="B15370" s="38">
        <v>16101.0</v>
      </c>
      <c r="C15370" s="38" t="s">
        <v>19733</v>
      </c>
      <c r="D15370" s="38" t="str">
        <f>IFERROR(__xludf.DUMMYFUNCTION("REGEXREPLACE(C15370,""-\d+(.*)|--\d+(.*)"","""")"),"CLAIX")</f>
        <v>CLAIX</v>
      </c>
      <c r="E15370" s="38" t="s">
        <v>429</v>
      </c>
      <c r="F15370" s="38" t="s">
        <v>338</v>
      </c>
      <c r="G15370" s="49" t="str">
        <f t="shared" si="1"/>
        <v>16440</v>
      </c>
      <c r="H15370" s="49">
        <f t="shared" si="2"/>
        <v>16101</v>
      </c>
    </row>
    <row r="15371">
      <c r="A15371" s="48" t="s">
        <v>10039</v>
      </c>
      <c r="B15371" s="38">
        <v>47288.0</v>
      </c>
      <c r="C15371" s="38" t="s">
        <v>19734</v>
      </c>
      <c r="D15371" s="38" t="str">
        <f>IFERROR(__xludf.DUMMYFUNCTION("REGEXREPLACE(C15371,""-\d+(.*)|--\d+(.*)"","""")"),"SAUVAGNAS")</f>
        <v>SAUVAGNAS</v>
      </c>
      <c r="E15371" s="38" t="s">
        <v>251</v>
      </c>
      <c r="F15371" s="38" t="s">
        <v>252</v>
      </c>
      <c r="G15371" s="49" t="str">
        <f t="shared" si="1"/>
        <v>47340</v>
      </c>
      <c r="H15371" s="49">
        <f t="shared" si="2"/>
        <v>47288</v>
      </c>
    </row>
    <row r="15372">
      <c r="A15372" s="48" t="s">
        <v>16895</v>
      </c>
      <c r="B15372" s="38">
        <v>35165.0</v>
      </c>
      <c r="C15372" s="38" t="s">
        <v>19735</v>
      </c>
      <c r="D15372" s="38" t="str">
        <f>IFERROR(__xludf.DUMMYFUNCTION("REGEXREPLACE(C15372,""-\d+(.*)|--\d+(.*)"","""")"),"MARCILLE-ROBERT")</f>
        <v>MARCILLE-ROBERT</v>
      </c>
      <c r="E15372" s="38" t="s">
        <v>347</v>
      </c>
      <c r="F15372" s="38" t="s">
        <v>90</v>
      </c>
      <c r="G15372" s="49" t="str">
        <f t="shared" si="1"/>
        <v>35240</v>
      </c>
      <c r="H15372" s="49">
        <f t="shared" si="2"/>
        <v>35165</v>
      </c>
    </row>
    <row r="15373">
      <c r="A15373" s="48" t="s">
        <v>987</v>
      </c>
      <c r="B15373" s="38">
        <v>40174.0</v>
      </c>
      <c r="C15373" s="38" t="s">
        <v>19736</v>
      </c>
      <c r="D15373" s="38" t="str">
        <f>IFERROR(__xludf.DUMMYFUNCTION("REGEXREPLACE(C15373,""-\d+(.*)|--\d+(.*)"","""")"),"MAURIES")</f>
        <v>MAURIES</v>
      </c>
      <c r="E15373" s="38" t="s">
        <v>281</v>
      </c>
      <c r="F15373" s="38" t="s">
        <v>252</v>
      </c>
      <c r="G15373" s="49" t="str">
        <f t="shared" si="1"/>
        <v>40320</v>
      </c>
      <c r="H15373" s="49">
        <f t="shared" si="2"/>
        <v>40174</v>
      </c>
    </row>
    <row r="15374">
      <c r="A15374" s="48" t="s">
        <v>3626</v>
      </c>
      <c r="B15374" s="38">
        <v>57024.0</v>
      </c>
      <c r="C15374" s="38" t="s">
        <v>17127</v>
      </c>
      <c r="D15374" s="38" t="str">
        <f>IFERROR(__xludf.DUMMYFUNCTION("REGEXREPLACE(C15374,""-\d+(.*)|--\d+(.*)"","""")"),"ANTILLY")</f>
        <v>ANTILLY</v>
      </c>
      <c r="E15374" s="38" t="s">
        <v>303</v>
      </c>
      <c r="F15374" s="38" t="s">
        <v>195</v>
      </c>
      <c r="G15374" s="49" t="str">
        <f t="shared" si="1"/>
        <v>57640</v>
      </c>
      <c r="H15374" s="49">
        <f t="shared" si="2"/>
        <v>57024</v>
      </c>
    </row>
    <row r="15375">
      <c r="A15375" s="48" t="s">
        <v>19737</v>
      </c>
      <c r="B15375" s="38">
        <v>24258.0</v>
      </c>
      <c r="C15375" s="38" t="s">
        <v>19738</v>
      </c>
      <c r="D15375" s="38" t="str">
        <f>IFERROR(__xludf.DUMMYFUNCTION("REGEXREPLACE(C15375,""-\d+(.*)|--\d+(.*)"","""")"),"MARSANEIX")</f>
        <v>MARSANEIX</v>
      </c>
      <c r="E15375" s="38" t="s">
        <v>261</v>
      </c>
      <c r="F15375" s="38" t="s">
        <v>252</v>
      </c>
      <c r="G15375" s="49" t="str">
        <f t="shared" si="1"/>
        <v>24750</v>
      </c>
      <c r="H15375" s="49">
        <f t="shared" si="2"/>
        <v>24258</v>
      </c>
    </row>
    <row r="15376">
      <c r="A15376" s="48" t="s">
        <v>19739</v>
      </c>
      <c r="B15376" s="38">
        <v>60414.0</v>
      </c>
      <c r="C15376" s="38" t="s">
        <v>19740</v>
      </c>
      <c r="D15376" s="38" t="str">
        <f>IFERROR(__xludf.DUMMYFUNCTION("REGEXREPLACE(C15376,""-\d+(.*)|--\d+(.*)"","""")"),"MONTATAIRE")</f>
        <v>MONTATAIRE</v>
      </c>
      <c r="E15376" s="38" t="s">
        <v>112</v>
      </c>
      <c r="F15376" s="38" t="s">
        <v>113</v>
      </c>
      <c r="G15376" s="49" t="str">
        <f t="shared" si="1"/>
        <v>60160</v>
      </c>
      <c r="H15376" s="49">
        <f t="shared" si="2"/>
        <v>60414</v>
      </c>
    </row>
    <row r="15377">
      <c r="A15377" s="48" t="s">
        <v>3504</v>
      </c>
      <c r="B15377" s="38">
        <v>42219.0</v>
      </c>
      <c r="C15377" s="38" t="s">
        <v>19741</v>
      </c>
      <c r="D15377" s="38" t="str">
        <f>IFERROR(__xludf.DUMMYFUNCTION("REGEXREPLACE(C15377,""-\d+(.*)|--\d+(.*)"","""")"),"SAINT-ETIENNE-LE-MOLARD")</f>
        <v>SAINT-ETIENNE-LE-MOLARD</v>
      </c>
      <c r="E15377" s="38" t="s">
        <v>166</v>
      </c>
      <c r="F15377" s="38" t="s">
        <v>102</v>
      </c>
      <c r="G15377" s="49" t="str">
        <f t="shared" si="1"/>
        <v>42130</v>
      </c>
      <c r="H15377" s="49">
        <f t="shared" si="2"/>
        <v>42219</v>
      </c>
    </row>
    <row r="15378">
      <c r="A15378" s="48" t="s">
        <v>4784</v>
      </c>
      <c r="B15378" s="38">
        <v>24323.0</v>
      </c>
      <c r="C15378" s="38" t="s">
        <v>19742</v>
      </c>
      <c r="D15378" s="38" t="str">
        <f>IFERROR(__xludf.DUMMYFUNCTION("REGEXREPLACE(C15378,""-\d+(.*)|--\d+(.*)"","""")"),"PETIT-BERSAC")</f>
        <v>PETIT-BERSAC</v>
      </c>
      <c r="E15378" s="38" t="s">
        <v>261</v>
      </c>
      <c r="F15378" s="38" t="s">
        <v>252</v>
      </c>
      <c r="G15378" s="49" t="str">
        <f t="shared" si="1"/>
        <v>24600</v>
      </c>
      <c r="H15378" s="49">
        <f t="shared" si="2"/>
        <v>24323</v>
      </c>
    </row>
    <row r="15379">
      <c r="A15379" s="48" t="s">
        <v>5542</v>
      </c>
      <c r="B15379" s="38">
        <v>89148.0</v>
      </c>
      <c r="C15379" s="38" t="s">
        <v>19743</v>
      </c>
      <c r="D15379" s="38" t="str">
        <f>IFERROR(__xludf.DUMMYFUNCTION("REGEXREPLACE(C15379,""-\d+(.*)|--\d+(.*)"","""")"),"DRUYES-LES-BELLES-FONTAINES")</f>
        <v>DRUYES-LES-BELLES-FONTAINES</v>
      </c>
      <c r="E15379" s="38" t="s">
        <v>275</v>
      </c>
      <c r="F15379" s="38" t="s">
        <v>106</v>
      </c>
      <c r="G15379" s="49" t="str">
        <f t="shared" si="1"/>
        <v>89560</v>
      </c>
      <c r="H15379" s="49">
        <f t="shared" si="2"/>
        <v>89148</v>
      </c>
    </row>
    <row r="15380">
      <c r="A15380" s="48" t="s">
        <v>1022</v>
      </c>
      <c r="B15380" s="38">
        <v>2313.0</v>
      </c>
      <c r="C15380" s="38" t="s">
        <v>19744</v>
      </c>
      <c r="D15380" s="38" t="str">
        <f>IFERROR(__xludf.DUMMYFUNCTION("REGEXREPLACE(C15380,""-\d+(.*)|--\d+(.*)"","""")"),"FLAVIGNY-LE-GRAND-ET-BEAURAIN")</f>
        <v>FLAVIGNY-LE-GRAND-ET-BEAURAIN</v>
      </c>
      <c r="E15380" s="38" t="s">
        <v>191</v>
      </c>
      <c r="F15380" s="38" t="s">
        <v>113</v>
      </c>
      <c r="G15380" s="49" t="str">
        <f t="shared" si="1"/>
        <v>02120</v>
      </c>
      <c r="H15380" s="49" t="str">
        <f t="shared" si="2"/>
        <v>02313</v>
      </c>
    </row>
    <row r="15381">
      <c r="A15381" s="48" t="s">
        <v>3364</v>
      </c>
      <c r="B15381" s="38">
        <v>62534.0</v>
      </c>
      <c r="C15381" s="38" t="s">
        <v>19745</v>
      </c>
      <c r="D15381" s="38" t="str">
        <f>IFERROR(__xludf.DUMMYFUNCTION("REGEXREPLACE(C15381,""-\d+(.*)|--\d+(.*)"","""")"),"LUMBRES")</f>
        <v>LUMBRES</v>
      </c>
      <c r="E15381" s="38" t="s">
        <v>109</v>
      </c>
      <c r="F15381" s="38" t="s">
        <v>86</v>
      </c>
      <c r="G15381" s="49" t="str">
        <f t="shared" si="1"/>
        <v>62380</v>
      </c>
      <c r="H15381" s="49">
        <f t="shared" si="2"/>
        <v>62534</v>
      </c>
    </row>
    <row r="15382">
      <c r="A15382" s="48" t="s">
        <v>2775</v>
      </c>
      <c r="B15382" s="38">
        <v>59450.0</v>
      </c>
      <c r="C15382" s="38" t="s">
        <v>19746</v>
      </c>
      <c r="D15382" s="38" t="str">
        <f>IFERROR(__xludf.DUMMYFUNCTION("REGEXREPLACE(C15382,""-\d+(.*)|--\d+(.*)"","""")"),"ORS")</f>
        <v>ORS</v>
      </c>
      <c r="E15382" s="38" t="s">
        <v>85</v>
      </c>
      <c r="F15382" s="38" t="s">
        <v>86</v>
      </c>
      <c r="G15382" s="49" t="str">
        <f t="shared" si="1"/>
        <v>59360</v>
      </c>
      <c r="H15382" s="49">
        <f t="shared" si="2"/>
        <v>59450</v>
      </c>
    </row>
    <row r="15383">
      <c r="A15383" s="48" t="s">
        <v>10299</v>
      </c>
      <c r="B15383" s="38">
        <v>67166.0</v>
      </c>
      <c r="C15383" s="38" t="s">
        <v>19747</v>
      </c>
      <c r="D15383" s="38" t="str">
        <f>IFERROR(__xludf.DUMMYFUNCTION("REGEXREPLACE(C15383,""-\d+(.*)|--\d+(.*)"","""")"),"GRASSENDORF")</f>
        <v>GRASSENDORF</v>
      </c>
      <c r="E15383" s="38" t="s">
        <v>210</v>
      </c>
      <c r="F15383" s="38" t="s">
        <v>151</v>
      </c>
      <c r="G15383" s="49" t="str">
        <f t="shared" si="1"/>
        <v>67350</v>
      </c>
      <c r="H15383" s="49">
        <f t="shared" si="2"/>
        <v>67166</v>
      </c>
    </row>
    <row r="15384">
      <c r="A15384" s="48" t="s">
        <v>6132</v>
      </c>
      <c r="B15384" s="38">
        <v>87107.0</v>
      </c>
      <c r="C15384" s="38" t="s">
        <v>19748</v>
      </c>
      <c r="D15384" s="38" t="str">
        <f>IFERROR(__xludf.DUMMYFUNCTION("REGEXREPLACE(C15384,""-\d+(.*)|--\d+(.*)"","""")"),"NIEUL")</f>
        <v>NIEUL</v>
      </c>
      <c r="E15384" s="38" t="s">
        <v>897</v>
      </c>
      <c r="F15384" s="38" t="s">
        <v>98</v>
      </c>
      <c r="G15384" s="49" t="str">
        <f t="shared" si="1"/>
        <v>87510</v>
      </c>
      <c r="H15384" s="49">
        <f t="shared" si="2"/>
        <v>87107</v>
      </c>
    </row>
    <row r="15385">
      <c r="A15385" s="48" t="s">
        <v>10177</v>
      </c>
      <c r="B15385" s="38">
        <v>80713.0</v>
      </c>
      <c r="C15385" s="38" t="s">
        <v>19749</v>
      </c>
      <c r="D15385" s="38" t="str">
        <f>IFERROR(__xludf.DUMMYFUNCTION("REGEXREPLACE(C15385,""-\d+(.*)|--\d+(.*)"","""")"),"SAINT-QUENTIN-EN-TOURMONT")</f>
        <v>SAINT-QUENTIN-EN-TOURMONT</v>
      </c>
      <c r="E15385" s="38" t="s">
        <v>224</v>
      </c>
      <c r="F15385" s="38" t="s">
        <v>113</v>
      </c>
      <c r="G15385" s="49" t="str">
        <f t="shared" si="1"/>
        <v>80120</v>
      </c>
      <c r="H15385" s="49">
        <f t="shared" si="2"/>
        <v>80713</v>
      </c>
    </row>
    <row r="15386">
      <c r="A15386" s="48" t="s">
        <v>9844</v>
      </c>
      <c r="B15386" s="38">
        <v>17335.0</v>
      </c>
      <c r="C15386" s="38" t="s">
        <v>19750</v>
      </c>
      <c r="D15386" s="38" t="str">
        <f>IFERROR(__xludf.DUMMYFUNCTION("REGEXREPLACE(C15386,""-\d+(.*)|--\d+(.*)"","""")"),"SAINT-GEORGES-DES-AGOUTS")</f>
        <v>SAINT-GEORGES-DES-AGOUTS</v>
      </c>
      <c r="E15386" s="38" t="s">
        <v>488</v>
      </c>
      <c r="F15386" s="38" t="s">
        <v>338</v>
      </c>
      <c r="G15386" s="49" t="str">
        <f t="shared" si="1"/>
        <v>17150</v>
      </c>
      <c r="H15386" s="49">
        <f t="shared" si="2"/>
        <v>17335</v>
      </c>
    </row>
    <row r="15387">
      <c r="A15387" s="48" t="s">
        <v>1404</v>
      </c>
      <c r="B15387" s="38">
        <v>30228.0</v>
      </c>
      <c r="C15387" s="38" t="s">
        <v>8832</v>
      </c>
      <c r="D15387" s="38" t="str">
        <f>IFERROR(__xludf.DUMMYFUNCTION("REGEXREPLACE(C15387,""-\d+(.*)|--\d+(.*)"","""")"),"SAINTE-ANASTASIE")</f>
        <v>SAINTE-ANASTASIE</v>
      </c>
      <c r="E15387" s="38" t="s">
        <v>526</v>
      </c>
      <c r="F15387" s="38" t="s">
        <v>119</v>
      </c>
      <c r="G15387" s="49" t="str">
        <f t="shared" si="1"/>
        <v>30190</v>
      </c>
      <c r="H15387" s="49">
        <f t="shared" si="2"/>
        <v>30228</v>
      </c>
    </row>
    <row r="15388">
      <c r="A15388" s="48" t="s">
        <v>13555</v>
      </c>
      <c r="B15388" s="38">
        <v>57303.0</v>
      </c>
      <c r="C15388" s="38" t="s">
        <v>19751</v>
      </c>
      <c r="D15388" s="38" t="str">
        <f>IFERROR(__xludf.DUMMYFUNCTION("REGEXREPLACE(C15388,""-\d+(.*)|--\d+(.*)"","""")"),"HAUCONCOURT")</f>
        <v>HAUCONCOURT</v>
      </c>
      <c r="E15388" s="38" t="s">
        <v>303</v>
      </c>
      <c r="F15388" s="38" t="s">
        <v>195</v>
      </c>
      <c r="G15388" s="49" t="str">
        <f t="shared" si="1"/>
        <v>57280</v>
      </c>
      <c r="H15388" s="49">
        <f t="shared" si="2"/>
        <v>57303</v>
      </c>
    </row>
    <row r="15389">
      <c r="A15389" s="48" t="s">
        <v>2981</v>
      </c>
      <c r="B15389" s="38">
        <v>21111.0</v>
      </c>
      <c r="C15389" s="38" t="s">
        <v>19752</v>
      </c>
      <c r="D15389" s="38" t="str">
        <f>IFERROR(__xludf.DUMMYFUNCTION("REGEXREPLACE(C15389,""-\d+(.*)|--\d+(.*)"","""")"),"BROGNON")</f>
        <v>BROGNON</v>
      </c>
      <c r="E15389" s="38" t="s">
        <v>105</v>
      </c>
      <c r="F15389" s="38" t="s">
        <v>106</v>
      </c>
      <c r="G15389" s="49" t="str">
        <f t="shared" si="1"/>
        <v>21490</v>
      </c>
      <c r="H15389" s="49">
        <f t="shared" si="2"/>
        <v>21111</v>
      </c>
    </row>
    <row r="15390">
      <c r="A15390" s="48" t="s">
        <v>5515</v>
      </c>
      <c r="B15390" s="38">
        <v>72149.0</v>
      </c>
      <c r="C15390" s="38" t="s">
        <v>19753</v>
      </c>
      <c r="D15390" s="38" t="str">
        <f>IFERROR(__xludf.DUMMYFUNCTION("REGEXREPLACE(C15390,""-\d+(.*)|--\d+(.*)"","""")"),"JOUE-EN-CHARNIE")</f>
        <v>JOUE-EN-CHARNIE</v>
      </c>
      <c r="E15390" s="38" t="s">
        <v>521</v>
      </c>
      <c r="F15390" s="38" t="s">
        <v>180</v>
      </c>
      <c r="G15390" s="49" t="str">
        <f t="shared" si="1"/>
        <v>72540</v>
      </c>
      <c r="H15390" s="49">
        <f t="shared" si="2"/>
        <v>72149</v>
      </c>
    </row>
    <row r="15391">
      <c r="A15391" s="48" t="s">
        <v>9498</v>
      </c>
      <c r="B15391" s="38">
        <v>79032.0</v>
      </c>
      <c r="C15391" s="38" t="s">
        <v>19754</v>
      </c>
      <c r="D15391" s="38" t="str">
        <f>IFERROR(__xludf.DUMMYFUNCTION("REGEXREPLACE(C15391,""-\d+(.*)|--\d+(.*)"","""")"),"BECELEUF")</f>
        <v>BECELEUF</v>
      </c>
      <c r="E15391" s="38" t="s">
        <v>337</v>
      </c>
      <c r="F15391" s="38" t="s">
        <v>338</v>
      </c>
      <c r="G15391" s="49" t="str">
        <f t="shared" si="1"/>
        <v>79160</v>
      </c>
      <c r="H15391" s="49">
        <f t="shared" si="2"/>
        <v>79032</v>
      </c>
    </row>
    <row r="15392">
      <c r="A15392" s="48" t="s">
        <v>10110</v>
      </c>
      <c r="B15392" s="38">
        <v>63353.0</v>
      </c>
      <c r="C15392" s="38" t="s">
        <v>19755</v>
      </c>
      <c r="D15392" s="38" t="str">
        <f>IFERROR(__xludf.DUMMYFUNCTION("REGEXREPLACE(C15392,""-\d+(.*)|--\d+(.*)"","""")"),"SAINT-GERMAIN-L'HERM")</f>
        <v>SAINT-GERMAIN-L'HERM</v>
      </c>
      <c r="E15392" s="38" t="s">
        <v>353</v>
      </c>
      <c r="F15392" s="38" t="s">
        <v>161</v>
      </c>
      <c r="G15392" s="49" t="str">
        <f t="shared" si="1"/>
        <v>63630</v>
      </c>
      <c r="H15392" s="49">
        <f t="shared" si="2"/>
        <v>63353</v>
      </c>
    </row>
    <row r="15393">
      <c r="A15393" s="48" t="s">
        <v>19756</v>
      </c>
      <c r="B15393" s="38">
        <v>77169.0</v>
      </c>
      <c r="C15393" s="38" t="s">
        <v>19757</v>
      </c>
      <c r="D15393" s="38" t="str">
        <f>IFERROR(__xludf.DUMMYFUNCTION("REGEXREPLACE(C15393,""-\d+(.*)|--\d+(.*)"","""")"),"EMERAINVILLE")</f>
        <v>EMERAINVILLE</v>
      </c>
      <c r="E15393" s="38" t="s">
        <v>244</v>
      </c>
      <c r="F15393" s="38" t="s">
        <v>245</v>
      </c>
      <c r="G15393" s="49" t="str">
        <f t="shared" si="1"/>
        <v>77184</v>
      </c>
      <c r="H15393" s="49">
        <f t="shared" si="2"/>
        <v>77169</v>
      </c>
    </row>
    <row r="15394">
      <c r="A15394" s="48" t="s">
        <v>7480</v>
      </c>
      <c r="B15394" s="38">
        <v>62291.0</v>
      </c>
      <c r="C15394" s="38" t="s">
        <v>19758</v>
      </c>
      <c r="D15394" s="38" t="str">
        <f>IFERROR(__xludf.DUMMYFUNCTION("REGEXREPLACE(C15394,""-\d+(.*)|--\d+(.*)"","""")"),"ELEU-DIT-LEAUWETTE")</f>
        <v>ELEU-DIT-LEAUWETTE</v>
      </c>
      <c r="E15394" s="38" t="s">
        <v>109</v>
      </c>
      <c r="F15394" s="38" t="s">
        <v>86</v>
      </c>
      <c r="G15394" s="49" t="str">
        <f t="shared" si="1"/>
        <v>62300</v>
      </c>
      <c r="H15394" s="49">
        <f t="shared" si="2"/>
        <v>62291</v>
      </c>
    </row>
    <row r="15395">
      <c r="A15395" s="48" t="s">
        <v>6948</v>
      </c>
      <c r="B15395" s="38">
        <v>17020.0</v>
      </c>
      <c r="C15395" s="38" t="s">
        <v>19759</v>
      </c>
      <c r="D15395" s="38" t="str">
        <f>IFERROR(__xludf.DUMMYFUNCTION("REGEXREPLACE(C15395,""-\d+(.*)|--\d+(.*)"","""")"),"ARTHENAC")</f>
        <v>ARTHENAC</v>
      </c>
      <c r="E15395" s="38" t="s">
        <v>488</v>
      </c>
      <c r="F15395" s="38" t="s">
        <v>338</v>
      </c>
      <c r="G15395" s="49" t="str">
        <f t="shared" si="1"/>
        <v>17520</v>
      </c>
      <c r="H15395" s="49">
        <f t="shared" si="2"/>
        <v>17020</v>
      </c>
    </row>
    <row r="15396">
      <c r="A15396" s="48" t="s">
        <v>1636</v>
      </c>
      <c r="B15396" s="38">
        <v>14016.0</v>
      </c>
      <c r="C15396" s="38" t="s">
        <v>19760</v>
      </c>
      <c r="D15396" s="38" t="str">
        <f>IFERROR(__xludf.DUMMYFUNCTION("REGEXREPLACE(C15396,""-\d+(.*)|--\d+(.*)"","""")"),"ANNEBAULT")</f>
        <v>ANNEBAULT</v>
      </c>
      <c r="E15396" s="38" t="s">
        <v>137</v>
      </c>
      <c r="F15396" s="38" t="s">
        <v>138</v>
      </c>
      <c r="G15396" s="49" t="str">
        <f t="shared" si="1"/>
        <v>14430</v>
      </c>
      <c r="H15396" s="49">
        <f t="shared" si="2"/>
        <v>14016</v>
      </c>
    </row>
    <row r="15397">
      <c r="A15397" s="48" t="s">
        <v>103</v>
      </c>
      <c r="B15397" s="38">
        <v>21031.0</v>
      </c>
      <c r="C15397" s="38" t="s">
        <v>19761</v>
      </c>
      <c r="D15397" s="38" t="str">
        <f>IFERROR(__xludf.DUMMYFUNCTION("REGEXREPLACE(C15397,""-\d+(.*)|--\d+(.*)"","""")"),"AUBIGNY-EN-PLAINE")</f>
        <v>AUBIGNY-EN-PLAINE</v>
      </c>
      <c r="E15397" s="38" t="s">
        <v>105</v>
      </c>
      <c r="F15397" s="38" t="s">
        <v>106</v>
      </c>
      <c r="G15397" s="49" t="str">
        <f t="shared" si="1"/>
        <v>21170</v>
      </c>
      <c r="H15397" s="49">
        <f t="shared" si="2"/>
        <v>21031</v>
      </c>
    </row>
    <row r="15398">
      <c r="A15398" s="48" t="s">
        <v>4766</v>
      </c>
      <c r="B15398" s="38">
        <v>64060.0</v>
      </c>
      <c r="C15398" s="38" t="s">
        <v>19762</v>
      </c>
      <c r="D15398" s="38" t="str">
        <f>IFERROR(__xludf.DUMMYFUNCTION("REGEXREPLACE(C15398,""-\d+(.*)|--\d+(.*)"","""")"),"ARTIGUELOUVE")</f>
        <v>ARTIGUELOUVE</v>
      </c>
      <c r="E15398" s="38" t="s">
        <v>268</v>
      </c>
      <c r="F15398" s="38" t="s">
        <v>252</v>
      </c>
      <c r="G15398" s="49" t="str">
        <f t="shared" si="1"/>
        <v>64230</v>
      </c>
      <c r="H15398" s="49">
        <f t="shared" si="2"/>
        <v>64060</v>
      </c>
    </row>
    <row r="15399">
      <c r="A15399" s="48" t="s">
        <v>2120</v>
      </c>
      <c r="B15399" s="38">
        <v>50454.0</v>
      </c>
      <c r="C15399" s="38" t="s">
        <v>19763</v>
      </c>
      <c r="D15399" s="38" t="str">
        <f>IFERROR(__xludf.DUMMYFUNCTION("REGEXREPLACE(C15399,""-\d+(.*)|--\d+(.*)"","""")"),"SAINT-CHRISTOPHE-DU-FOC")</f>
        <v>SAINT-CHRISTOPHE-DU-FOC</v>
      </c>
      <c r="E15399" s="38" t="s">
        <v>157</v>
      </c>
      <c r="F15399" s="38" t="s">
        <v>138</v>
      </c>
      <c r="G15399" s="49" t="str">
        <f t="shared" si="1"/>
        <v>50340</v>
      </c>
      <c r="H15399" s="49">
        <f t="shared" si="2"/>
        <v>50454</v>
      </c>
    </row>
    <row r="15400">
      <c r="A15400" s="48" t="s">
        <v>2469</v>
      </c>
      <c r="B15400" s="38">
        <v>8460.0</v>
      </c>
      <c r="C15400" s="38" t="s">
        <v>19764</v>
      </c>
      <c r="D15400" s="38" t="str">
        <f>IFERROR(__xludf.DUMMYFUNCTION("REGEXREPLACE(C15400,""-\d+(.*)|--\d+(.*)"","""")"),"TREMBLOIS-LES-ROCROI")</f>
        <v>TREMBLOIS-LES-ROCROI</v>
      </c>
      <c r="E15400" s="38" t="s">
        <v>327</v>
      </c>
      <c r="F15400" s="38" t="s">
        <v>130</v>
      </c>
      <c r="G15400" s="49" t="str">
        <f t="shared" si="1"/>
        <v>08150</v>
      </c>
      <c r="H15400" s="49" t="str">
        <f t="shared" si="2"/>
        <v>08460</v>
      </c>
    </row>
    <row r="15401">
      <c r="A15401" s="48" t="s">
        <v>256</v>
      </c>
      <c r="B15401" s="38">
        <v>36127.0</v>
      </c>
      <c r="C15401" s="38" t="s">
        <v>19765</v>
      </c>
      <c r="D15401" s="38" t="str">
        <f>IFERROR(__xludf.DUMMYFUNCTION("REGEXREPLACE(C15401,""-\d+(.*)|--\d+(.*)"","""")"),"MONTGIVRAY")</f>
        <v>MONTGIVRAY</v>
      </c>
      <c r="E15401" s="38" t="s">
        <v>258</v>
      </c>
      <c r="F15401" s="38" t="s">
        <v>123</v>
      </c>
      <c r="G15401" s="49" t="str">
        <f t="shared" si="1"/>
        <v>36400</v>
      </c>
      <c r="H15401" s="49">
        <f t="shared" si="2"/>
        <v>36127</v>
      </c>
    </row>
    <row r="15402">
      <c r="A15402" s="48" t="s">
        <v>3226</v>
      </c>
      <c r="B15402" s="38">
        <v>61070.0</v>
      </c>
      <c r="C15402" s="38" t="s">
        <v>19766</v>
      </c>
      <c r="D15402" s="38" t="str">
        <f>IFERROR(__xludf.DUMMYFUNCTION("REGEXREPLACE(C15402,""-\d+(.*)|--\d+(.*)"","""")"),"CALIGNY")</f>
        <v>CALIGNY</v>
      </c>
      <c r="E15402" s="38" t="s">
        <v>141</v>
      </c>
      <c r="F15402" s="38" t="s">
        <v>138</v>
      </c>
      <c r="G15402" s="49" t="str">
        <f t="shared" si="1"/>
        <v>61100</v>
      </c>
      <c r="H15402" s="49">
        <f t="shared" si="2"/>
        <v>61070</v>
      </c>
    </row>
    <row r="15403">
      <c r="A15403" s="48" t="s">
        <v>1400</v>
      </c>
      <c r="B15403" s="38">
        <v>21652.0</v>
      </c>
      <c r="C15403" s="38" t="s">
        <v>19767</v>
      </c>
      <c r="D15403" s="38" t="str">
        <f>IFERROR(__xludf.DUMMYFUNCTION("REGEXREPLACE(C15403,""-\d+(.*)|--\d+(.*)"","""")"),"VANDENESSE-EN-AUXOIS")</f>
        <v>VANDENESSE-EN-AUXOIS</v>
      </c>
      <c r="E15403" s="38" t="s">
        <v>105</v>
      </c>
      <c r="F15403" s="38" t="s">
        <v>106</v>
      </c>
      <c r="G15403" s="49" t="str">
        <f t="shared" si="1"/>
        <v>21320</v>
      </c>
      <c r="H15403" s="49">
        <f t="shared" si="2"/>
        <v>21652</v>
      </c>
    </row>
    <row r="15404">
      <c r="A15404" s="48" t="s">
        <v>7037</v>
      </c>
      <c r="B15404" s="38">
        <v>34005.0</v>
      </c>
      <c r="C15404" s="38" t="s">
        <v>19768</v>
      </c>
      <c r="D15404" s="38" t="str">
        <f>IFERROR(__xludf.DUMMYFUNCTION("REGEXREPLACE(C15404,""-\d+(.*)|--\d+(.*)"","""")"),"AGONES")</f>
        <v>AGONES</v>
      </c>
      <c r="E15404" s="38" t="s">
        <v>118</v>
      </c>
      <c r="F15404" s="38" t="s">
        <v>119</v>
      </c>
      <c r="G15404" s="49" t="str">
        <f t="shared" si="1"/>
        <v>34190</v>
      </c>
      <c r="H15404" s="49">
        <f t="shared" si="2"/>
        <v>34005</v>
      </c>
    </row>
    <row r="15405">
      <c r="A15405" s="48" t="s">
        <v>5565</v>
      </c>
      <c r="B15405" s="38">
        <v>63377.0</v>
      </c>
      <c r="C15405" s="38" t="s">
        <v>19769</v>
      </c>
      <c r="D15405" s="38" t="str">
        <f>IFERROR(__xludf.DUMMYFUNCTION("REGEXREPLACE(C15405,""-\d+(.*)|--\d+(.*)"","""")"),"SAINT-MAURICE-PRES-PIONSAT")</f>
        <v>SAINT-MAURICE-PRES-PIONSAT</v>
      </c>
      <c r="E15405" s="38" t="s">
        <v>353</v>
      </c>
      <c r="F15405" s="38" t="s">
        <v>161</v>
      </c>
      <c r="G15405" s="49" t="str">
        <f t="shared" si="1"/>
        <v>63330</v>
      </c>
      <c r="H15405" s="49">
        <f t="shared" si="2"/>
        <v>63377</v>
      </c>
    </row>
    <row r="15406">
      <c r="A15406" s="48" t="s">
        <v>5575</v>
      </c>
      <c r="B15406" s="38">
        <v>62430.0</v>
      </c>
      <c r="C15406" s="38" t="s">
        <v>19770</v>
      </c>
      <c r="D15406" s="38" t="str">
        <f>IFERROR(__xludf.DUMMYFUNCTION("REGEXREPLACE(C15406,""-\d+(.*)|--\d+(.*)"","""")"),"HENU")</f>
        <v>HENU</v>
      </c>
      <c r="E15406" s="38" t="s">
        <v>109</v>
      </c>
      <c r="F15406" s="38" t="s">
        <v>86</v>
      </c>
      <c r="G15406" s="49" t="str">
        <f t="shared" si="1"/>
        <v>62760</v>
      </c>
      <c r="H15406" s="49">
        <f t="shared" si="2"/>
        <v>62430</v>
      </c>
    </row>
    <row r="15407">
      <c r="A15407" s="48" t="s">
        <v>1520</v>
      </c>
      <c r="B15407" s="38">
        <v>16189.0</v>
      </c>
      <c r="C15407" s="38" t="s">
        <v>19771</v>
      </c>
      <c r="D15407" s="38" t="str">
        <f>IFERROR(__xludf.DUMMYFUNCTION("REGEXREPLACE(C15407,""-\d+(.*)|--\d+(.*)"","""")"),"LONDIGNY")</f>
        <v>LONDIGNY</v>
      </c>
      <c r="E15407" s="38" t="s">
        <v>429</v>
      </c>
      <c r="F15407" s="38" t="s">
        <v>338</v>
      </c>
      <c r="G15407" s="49" t="str">
        <f t="shared" si="1"/>
        <v>16700</v>
      </c>
      <c r="H15407" s="49">
        <f t="shared" si="2"/>
        <v>16189</v>
      </c>
    </row>
    <row r="15408">
      <c r="A15408" s="48" t="s">
        <v>7164</v>
      </c>
      <c r="B15408" s="38">
        <v>15017.0</v>
      </c>
      <c r="C15408" s="38" t="s">
        <v>19772</v>
      </c>
      <c r="D15408" s="38" t="str">
        <f>IFERROR(__xludf.DUMMYFUNCTION("REGEXREPLACE(C15408,""-\d+(.*)|--\d+(.*)"","""")"),"BADAILHAC")</f>
        <v>BADAILHAC</v>
      </c>
      <c r="E15408" s="38" t="s">
        <v>632</v>
      </c>
      <c r="F15408" s="38" t="s">
        <v>161</v>
      </c>
      <c r="G15408" s="49" t="str">
        <f t="shared" si="1"/>
        <v>15800</v>
      </c>
      <c r="H15408" s="49">
        <f t="shared" si="2"/>
        <v>15017</v>
      </c>
    </row>
    <row r="15409">
      <c r="A15409" s="48" t="s">
        <v>1859</v>
      </c>
      <c r="B15409" s="38">
        <v>88271.0</v>
      </c>
      <c r="C15409" s="38" t="s">
        <v>19773</v>
      </c>
      <c r="D15409" s="38" t="str">
        <f>IFERROR(__xludf.DUMMYFUNCTION("REGEXREPLACE(C15409,""-\d+(.*)|--\d+(.*)"","""")"),"LIGNEVILLE")</f>
        <v>LIGNEVILLE</v>
      </c>
      <c r="E15409" s="38" t="s">
        <v>194</v>
      </c>
      <c r="F15409" s="38" t="s">
        <v>195</v>
      </c>
      <c r="G15409" s="49" t="str">
        <f t="shared" si="1"/>
        <v>88800</v>
      </c>
      <c r="H15409" s="49">
        <f t="shared" si="2"/>
        <v>88271</v>
      </c>
    </row>
    <row r="15410">
      <c r="A15410" s="48" t="s">
        <v>3208</v>
      </c>
      <c r="B15410" s="38">
        <v>80389.0</v>
      </c>
      <c r="C15410" s="38" t="s">
        <v>19774</v>
      </c>
      <c r="D15410" s="38" t="str">
        <f>IFERROR(__xludf.DUMMYFUNCTION("REGEXREPLACE(C15410,""-\d+(.*)|--\d+(.*)"","""")"),"GRECOURT")</f>
        <v>GRECOURT</v>
      </c>
      <c r="E15410" s="38" t="s">
        <v>224</v>
      </c>
      <c r="F15410" s="38" t="s">
        <v>113</v>
      </c>
      <c r="G15410" s="49" t="str">
        <f t="shared" si="1"/>
        <v>80400</v>
      </c>
      <c r="H15410" s="49">
        <f t="shared" si="2"/>
        <v>80389</v>
      </c>
    </row>
    <row r="15411">
      <c r="A15411" s="48" t="s">
        <v>13108</v>
      </c>
      <c r="B15411" s="38">
        <v>11369.0</v>
      </c>
      <c r="C15411" s="38" t="s">
        <v>19775</v>
      </c>
      <c r="D15411" s="38" t="str">
        <f>IFERROR(__xludf.DUMMYFUNCTION("REGEXREPLACE(C15411,""-\d+(.*)|--\d+(.*)"","""")"),"SALLELES-D'AUDE")</f>
        <v>SALLELES-D'AUDE</v>
      </c>
      <c r="E15411" s="38" t="s">
        <v>278</v>
      </c>
      <c r="F15411" s="38" t="s">
        <v>119</v>
      </c>
      <c r="G15411" s="49" t="str">
        <f t="shared" si="1"/>
        <v>11590</v>
      </c>
      <c r="H15411" s="49">
        <f t="shared" si="2"/>
        <v>11369</v>
      </c>
    </row>
    <row r="15412">
      <c r="A15412" s="48" t="s">
        <v>3100</v>
      </c>
      <c r="B15412" s="38">
        <v>7145.0</v>
      </c>
      <c r="C15412" s="38" t="s">
        <v>19776</v>
      </c>
      <c r="D15412" s="38" t="str">
        <f>IFERROR(__xludf.DUMMYFUNCTION("REGEXREPLACE(C15412,""-\d+(.*)|--\d+(.*)"","""")"),"LUSSAS")</f>
        <v>LUSSAS</v>
      </c>
      <c r="E15412" s="38" t="s">
        <v>144</v>
      </c>
      <c r="F15412" s="38" t="s">
        <v>102</v>
      </c>
      <c r="G15412" s="49" t="str">
        <f t="shared" si="1"/>
        <v>07170</v>
      </c>
      <c r="H15412" s="49" t="str">
        <f t="shared" si="2"/>
        <v>07145</v>
      </c>
    </row>
    <row r="15413">
      <c r="A15413" s="48" t="s">
        <v>9850</v>
      </c>
      <c r="B15413" s="38">
        <v>67489.0</v>
      </c>
      <c r="C15413" s="38" t="s">
        <v>19777</v>
      </c>
      <c r="D15413" s="38" t="str">
        <f>IFERROR(__xludf.DUMMYFUNCTION("REGEXREPLACE(C15413,""-\d+(.*)|--\d+(.*)"","""")"),"THAL-MARMOUTIER")</f>
        <v>THAL-MARMOUTIER</v>
      </c>
      <c r="E15413" s="38" t="s">
        <v>210</v>
      </c>
      <c r="F15413" s="38" t="s">
        <v>151</v>
      </c>
      <c r="G15413" s="49" t="str">
        <f t="shared" si="1"/>
        <v>67440</v>
      </c>
      <c r="H15413" s="49">
        <f t="shared" si="2"/>
        <v>67489</v>
      </c>
    </row>
    <row r="15414">
      <c r="A15414" s="48" t="s">
        <v>6633</v>
      </c>
      <c r="B15414" s="38">
        <v>64430.0</v>
      </c>
      <c r="C15414" s="38" t="s">
        <v>19778</v>
      </c>
      <c r="D15414" s="38" t="str">
        <f>IFERROR(__xludf.DUMMYFUNCTION("REGEXREPLACE(C15414,""-\d+(.*)|--\d+(.*)"","""")"),"ORTHEZ")</f>
        <v>ORTHEZ</v>
      </c>
      <c r="E15414" s="38" t="s">
        <v>268</v>
      </c>
      <c r="F15414" s="38" t="s">
        <v>252</v>
      </c>
      <c r="G15414" s="49" t="str">
        <f t="shared" si="1"/>
        <v>64300</v>
      </c>
      <c r="H15414" s="49">
        <f t="shared" si="2"/>
        <v>64430</v>
      </c>
    </row>
    <row r="15415">
      <c r="A15415" s="48" t="s">
        <v>502</v>
      </c>
      <c r="B15415" s="38">
        <v>18250.0</v>
      </c>
      <c r="C15415" s="38" t="s">
        <v>19779</v>
      </c>
      <c r="D15415" s="38" t="str">
        <f>IFERROR(__xludf.DUMMYFUNCTION("REGEXREPLACE(C15415,""-\d+(.*)|--\d+(.*)"","""")"),"SERRUELLES")</f>
        <v>SERRUELLES</v>
      </c>
      <c r="E15415" s="38" t="s">
        <v>504</v>
      </c>
      <c r="F15415" s="38" t="s">
        <v>123</v>
      </c>
      <c r="G15415" s="49" t="str">
        <f t="shared" si="1"/>
        <v>18190</v>
      </c>
      <c r="H15415" s="49">
        <f t="shared" si="2"/>
        <v>18250</v>
      </c>
    </row>
    <row r="15416">
      <c r="A15416" s="48" t="s">
        <v>1060</v>
      </c>
      <c r="B15416" s="38">
        <v>57507.0</v>
      </c>
      <c r="C15416" s="38" t="s">
        <v>19780</v>
      </c>
      <c r="D15416" s="38" t="str">
        <f>IFERROR(__xludf.DUMMYFUNCTION("REGEXREPLACE(C15416,""-\d+(.*)|--\d+(.*)"","""")"),"NIEDERVISSE")</f>
        <v>NIEDERVISSE</v>
      </c>
      <c r="E15416" s="38" t="s">
        <v>303</v>
      </c>
      <c r="F15416" s="38" t="s">
        <v>195</v>
      </c>
      <c r="G15416" s="49" t="str">
        <f t="shared" si="1"/>
        <v>57220</v>
      </c>
      <c r="H15416" s="49">
        <f t="shared" si="2"/>
        <v>57507</v>
      </c>
    </row>
    <row r="15417">
      <c r="A15417" s="48" t="s">
        <v>19465</v>
      </c>
      <c r="B15417" s="38">
        <v>16260.0</v>
      </c>
      <c r="C15417" s="38" t="s">
        <v>19781</v>
      </c>
      <c r="D15417" s="38" t="str">
        <f>IFERROR(__xludf.DUMMYFUNCTION("REGEXREPLACE(C15417,""-\d+(.*)|--\d+(.*)"","""")"),"PILLAC")</f>
        <v>PILLAC</v>
      </c>
      <c r="E15417" s="38" t="s">
        <v>429</v>
      </c>
      <c r="F15417" s="38" t="s">
        <v>338</v>
      </c>
      <c r="G15417" s="49" t="str">
        <f t="shared" si="1"/>
        <v>16390</v>
      </c>
      <c r="H15417" s="49">
        <f t="shared" si="2"/>
        <v>16260</v>
      </c>
    </row>
    <row r="15418">
      <c r="A15418" s="48" t="s">
        <v>5358</v>
      </c>
      <c r="B15418" s="38">
        <v>23182.0</v>
      </c>
      <c r="C15418" s="38" t="s">
        <v>19782</v>
      </c>
      <c r="D15418" s="38" t="str">
        <f>IFERROR(__xludf.DUMMYFUNCTION("REGEXREPLACE(C15418,""-\d+(.*)|--\d+(.*)"","""")"),"SAINT-AVIT-DE-TARDES")</f>
        <v>SAINT-AVIT-DE-TARDES</v>
      </c>
      <c r="E15418" s="38" t="s">
        <v>97</v>
      </c>
      <c r="F15418" s="38" t="s">
        <v>98</v>
      </c>
      <c r="G15418" s="49" t="str">
        <f t="shared" si="1"/>
        <v>23200</v>
      </c>
      <c r="H15418" s="49">
        <f t="shared" si="2"/>
        <v>23182</v>
      </c>
    </row>
    <row r="15419">
      <c r="A15419" s="48" t="s">
        <v>19783</v>
      </c>
      <c r="B15419" s="38">
        <v>13077.0</v>
      </c>
      <c r="C15419" s="38" t="s">
        <v>19784</v>
      </c>
      <c r="D15419" s="38" t="str">
        <f>IFERROR(__xludf.DUMMYFUNCTION("REGEXREPLACE(C15419,""-\d+(.*)|--\d+(.*)"","""")"),"PORT-DE-BOUC")</f>
        <v>PORT-DE-BOUC</v>
      </c>
      <c r="E15419" s="38" t="s">
        <v>980</v>
      </c>
      <c r="F15419" s="38" t="s">
        <v>228</v>
      </c>
      <c r="G15419" s="49" t="str">
        <f t="shared" si="1"/>
        <v>13110</v>
      </c>
      <c r="H15419" s="49">
        <f t="shared" si="2"/>
        <v>13077</v>
      </c>
    </row>
    <row r="15420">
      <c r="A15420" s="48" t="s">
        <v>1693</v>
      </c>
      <c r="B15420" s="38">
        <v>24496.0</v>
      </c>
      <c r="C15420" s="38" t="s">
        <v>19785</v>
      </c>
      <c r="D15420" s="38" t="str">
        <f>IFERROR(__xludf.DUMMYFUNCTION("REGEXREPLACE(C15420,""-\d+(.*)|--\d+(.*)"","""")"),"SAINT-ROMAIN-ET-SAINT-CLEMENT")</f>
        <v>SAINT-ROMAIN-ET-SAINT-CLEMENT</v>
      </c>
      <c r="E15420" s="38" t="s">
        <v>261</v>
      </c>
      <c r="F15420" s="38" t="s">
        <v>252</v>
      </c>
      <c r="G15420" s="49" t="str">
        <f t="shared" si="1"/>
        <v>24800</v>
      </c>
      <c r="H15420" s="49">
        <f t="shared" si="2"/>
        <v>24496</v>
      </c>
    </row>
    <row r="15421">
      <c r="A15421" s="48" t="s">
        <v>502</v>
      </c>
      <c r="B15421" s="38">
        <v>18046.0</v>
      </c>
      <c r="C15421" s="38" t="s">
        <v>12601</v>
      </c>
      <c r="D15421" s="38" t="str">
        <f>IFERROR(__xludf.DUMMYFUNCTION("REGEXREPLACE(C15421,""-\d+(.*)|--\d+(.*)"","""")"),"CHAMBON")</f>
        <v>CHAMBON</v>
      </c>
      <c r="E15421" s="38" t="s">
        <v>504</v>
      </c>
      <c r="F15421" s="38" t="s">
        <v>123</v>
      </c>
      <c r="G15421" s="49" t="str">
        <f t="shared" si="1"/>
        <v>18190</v>
      </c>
      <c r="H15421" s="49">
        <f t="shared" si="2"/>
        <v>18046</v>
      </c>
    </row>
    <row r="15422">
      <c r="A15422" s="48" t="s">
        <v>2734</v>
      </c>
      <c r="B15422" s="38">
        <v>89428.0</v>
      </c>
      <c r="C15422" s="38" t="s">
        <v>19786</v>
      </c>
      <c r="D15422" s="38" t="str">
        <f>IFERROR(__xludf.DUMMYFUNCTION("REGEXREPLACE(C15422,""-\d+(.*)|--\d+(.*)"","""")"),"VALLERY")</f>
        <v>VALLERY</v>
      </c>
      <c r="E15422" s="38" t="s">
        <v>275</v>
      </c>
      <c r="F15422" s="38" t="s">
        <v>106</v>
      </c>
      <c r="G15422" s="49" t="str">
        <f t="shared" si="1"/>
        <v>89150</v>
      </c>
      <c r="H15422" s="49">
        <f t="shared" si="2"/>
        <v>89428</v>
      </c>
    </row>
    <row r="15423">
      <c r="A15423" s="48" t="s">
        <v>593</v>
      </c>
      <c r="B15423" s="38">
        <v>29123.0</v>
      </c>
      <c r="C15423" s="38" t="s">
        <v>19787</v>
      </c>
      <c r="D15423" s="38" t="str">
        <f>IFERROR(__xludf.DUMMYFUNCTION("REGEXREPLACE(C15423,""-\d+(.*)|--\d+(.*)"","""")"),"LENNON")</f>
        <v>LENNON</v>
      </c>
      <c r="E15423" s="38" t="s">
        <v>176</v>
      </c>
      <c r="F15423" s="38" t="s">
        <v>90</v>
      </c>
      <c r="G15423" s="49" t="str">
        <f t="shared" si="1"/>
        <v>29190</v>
      </c>
      <c r="H15423" s="49">
        <f t="shared" si="2"/>
        <v>29123</v>
      </c>
    </row>
    <row r="15424">
      <c r="A15424" s="48" t="s">
        <v>19788</v>
      </c>
      <c r="B15424" s="38">
        <v>17422.0</v>
      </c>
      <c r="C15424" s="38" t="s">
        <v>19789</v>
      </c>
      <c r="D15424" s="38" t="str">
        <f>IFERROR(__xludf.DUMMYFUNCTION("REGEXREPLACE(C15424,""-\d+(.*)|--\d+(.*)"","""")"),"SEIGNE")</f>
        <v>SEIGNE</v>
      </c>
      <c r="E15424" s="38" t="s">
        <v>488</v>
      </c>
      <c r="F15424" s="38" t="s">
        <v>338</v>
      </c>
      <c r="G15424" s="49" t="str">
        <f t="shared" si="1"/>
        <v>17510</v>
      </c>
      <c r="H15424" s="49">
        <f t="shared" si="2"/>
        <v>17422</v>
      </c>
    </row>
    <row r="15425">
      <c r="A15425" s="48" t="s">
        <v>7889</v>
      </c>
      <c r="B15425" s="38">
        <v>56134.0</v>
      </c>
      <c r="C15425" s="38" t="s">
        <v>19790</v>
      </c>
      <c r="D15425" s="38" t="str">
        <f>IFERROR(__xludf.DUMMYFUNCTION("REGEXREPLACE(C15425,""-\d+(.*)|--\d+(.*)"","""")"),"MOHON")</f>
        <v>MOHON</v>
      </c>
      <c r="E15425" s="38" t="s">
        <v>173</v>
      </c>
      <c r="F15425" s="38" t="s">
        <v>90</v>
      </c>
      <c r="G15425" s="49" t="str">
        <f t="shared" si="1"/>
        <v>56490</v>
      </c>
      <c r="H15425" s="49">
        <f t="shared" si="2"/>
        <v>56134</v>
      </c>
    </row>
    <row r="15426">
      <c r="A15426" s="48" t="s">
        <v>19791</v>
      </c>
      <c r="B15426" s="38">
        <v>92078.0</v>
      </c>
      <c r="C15426" s="38" t="s">
        <v>19792</v>
      </c>
      <c r="D15426" s="38" t="str">
        <f>IFERROR(__xludf.DUMMYFUNCTION("REGEXREPLACE(C15426,""-\d+(.*)|--\d+(.*)"","""")"),"VILLENEUVE-LA-GARENNE")</f>
        <v>VILLENEUVE-LA-GARENNE</v>
      </c>
      <c r="E15426" s="38" t="s">
        <v>838</v>
      </c>
      <c r="F15426" s="38" t="s">
        <v>245</v>
      </c>
      <c r="G15426" s="49" t="str">
        <f t="shared" si="1"/>
        <v>92390</v>
      </c>
      <c r="H15426" s="49">
        <f t="shared" si="2"/>
        <v>92078</v>
      </c>
    </row>
    <row r="15427">
      <c r="A15427" s="48" t="s">
        <v>6965</v>
      </c>
      <c r="B15427" s="38">
        <v>2018.0</v>
      </c>
      <c r="C15427" s="38" t="s">
        <v>19793</v>
      </c>
      <c r="D15427" s="38" t="str">
        <f>IFERROR(__xludf.DUMMYFUNCTION("REGEXREPLACE(C15427,""-\d+(.*)|--\d+(.*)"","""")"),"ANIZY-LE-CHATEAU")</f>
        <v>ANIZY-LE-CHATEAU</v>
      </c>
      <c r="E15427" s="38" t="s">
        <v>191</v>
      </c>
      <c r="F15427" s="38" t="s">
        <v>113</v>
      </c>
      <c r="G15427" s="49" t="str">
        <f t="shared" si="1"/>
        <v>02320</v>
      </c>
      <c r="H15427" s="49" t="str">
        <f t="shared" si="2"/>
        <v>02018</v>
      </c>
    </row>
    <row r="15428">
      <c r="A15428" s="48" t="s">
        <v>10778</v>
      </c>
      <c r="B15428" s="38">
        <v>21713.0</v>
      </c>
      <c r="C15428" s="38" t="s">
        <v>19794</v>
      </c>
      <c r="D15428" s="38" t="str">
        <f>IFERROR(__xludf.DUMMYFUNCTION("REGEXREPLACE(C15428,""-\d+(.*)|--\d+(.*)"","""")"),"VONGES")</f>
        <v>VONGES</v>
      </c>
      <c r="E15428" s="38" t="s">
        <v>105</v>
      </c>
      <c r="F15428" s="38" t="s">
        <v>106</v>
      </c>
      <c r="G15428" s="49" t="str">
        <f t="shared" si="1"/>
        <v>21270</v>
      </c>
      <c r="H15428" s="49">
        <f t="shared" si="2"/>
        <v>21713</v>
      </c>
    </row>
    <row r="15429">
      <c r="A15429" s="48" t="s">
        <v>4614</v>
      </c>
      <c r="B15429" s="38">
        <v>78464.0</v>
      </c>
      <c r="C15429" s="38" t="s">
        <v>19795</v>
      </c>
      <c r="D15429" s="38" t="str">
        <f>IFERROR(__xludf.DUMMYFUNCTION("REGEXREPLACE(C15429,""-\d+(.*)|--\d+(.*)"","""")"),"ORCEMONT")</f>
        <v>ORCEMONT</v>
      </c>
      <c r="E15429" s="38" t="s">
        <v>362</v>
      </c>
      <c r="F15429" s="38" t="s">
        <v>245</v>
      </c>
      <c r="G15429" s="49" t="str">
        <f t="shared" si="1"/>
        <v>78125</v>
      </c>
      <c r="H15429" s="49">
        <f t="shared" si="2"/>
        <v>78464</v>
      </c>
    </row>
    <row r="15430">
      <c r="A15430" s="48" t="s">
        <v>5035</v>
      </c>
      <c r="B15430" s="38">
        <v>32408.0</v>
      </c>
      <c r="C15430" s="38" t="s">
        <v>19796</v>
      </c>
      <c r="D15430" s="38" t="str">
        <f>IFERROR(__xludf.DUMMYFUNCTION("REGEXREPLACE(C15430,""-\d+(.*)|--\d+(.*)"","""")"),"SALLES-D'ARMAGNAC")</f>
        <v>SALLES-D'ARMAGNAC</v>
      </c>
      <c r="E15430" s="38" t="s">
        <v>440</v>
      </c>
      <c r="F15430" s="38" t="s">
        <v>94</v>
      </c>
      <c r="G15430" s="49" t="str">
        <f t="shared" si="1"/>
        <v>32370</v>
      </c>
      <c r="H15430" s="49">
        <f t="shared" si="2"/>
        <v>32408</v>
      </c>
    </row>
    <row r="15431">
      <c r="A15431" s="48" t="s">
        <v>19797</v>
      </c>
      <c r="B15431" s="38">
        <v>62624.0</v>
      </c>
      <c r="C15431" s="38" t="s">
        <v>19798</v>
      </c>
      <c r="D15431" s="38" t="str">
        <f>IFERROR(__xludf.DUMMYFUNCTION("REGEXREPLACE(C15431,""-\d+(.*)|--\d+(.*)"","""")"),"NOYELLES-GODAULT")</f>
        <v>NOYELLES-GODAULT</v>
      </c>
      <c r="E15431" s="38" t="s">
        <v>109</v>
      </c>
      <c r="F15431" s="38" t="s">
        <v>86</v>
      </c>
      <c r="G15431" s="49" t="str">
        <f t="shared" si="1"/>
        <v>62950</v>
      </c>
      <c r="H15431" s="49">
        <f t="shared" si="2"/>
        <v>62624</v>
      </c>
    </row>
    <row r="15432">
      <c r="A15432" s="48" t="s">
        <v>11683</v>
      </c>
      <c r="B15432" s="38">
        <v>54575.0</v>
      </c>
      <c r="C15432" s="38" t="s">
        <v>19799</v>
      </c>
      <c r="D15432" s="38" t="str">
        <f>IFERROR(__xludf.DUMMYFUNCTION("REGEXREPLACE(C15432,""-\d+(.*)|--\d+(.*)"","""")"),"VILLERS-LA-MONTAGNE")</f>
        <v>VILLERS-LA-MONTAGNE</v>
      </c>
      <c r="E15432" s="38" t="s">
        <v>548</v>
      </c>
      <c r="F15432" s="38" t="s">
        <v>195</v>
      </c>
      <c r="G15432" s="49" t="str">
        <f t="shared" si="1"/>
        <v>54920</v>
      </c>
      <c r="H15432" s="49">
        <f t="shared" si="2"/>
        <v>54575</v>
      </c>
    </row>
    <row r="15433">
      <c r="A15433" s="48" t="s">
        <v>325</v>
      </c>
      <c r="B15433" s="38">
        <v>8146.0</v>
      </c>
      <c r="C15433" s="38" t="s">
        <v>19800</v>
      </c>
      <c r="D15433" s="38" t="str">
        <f>IFERROR(__xludf.DUMMYFUNCTION("REGEXREPLACE(C15433,""-\d+(.*)|--\d+(.*)"","""")"),"DRAIZE")</f>
        <v>DRAIZE</v>
      </c>
      <c r="E15433" s="38" t="s">
        <v>327</v>
      </c>
      <c r="F15433" s="38" t="s">
        <v>130</v>
      </c>
      <c r="G15433" s="49" t="str">
        <f t="shared" si="1"/>
        <v>08220</v>
      </c>
      <c r="H15433" s="49" t="str">
        <f t="shared" si="2"/>
        <v>08146</v>
      </c>
    </row>
    <row r="15434">
      <c r="A15434" s="48" t="s">
        <v>11804</v>
      </c>
      <c r="B15434" s="38">
        <v>85128.0</v>
      </c>
      <c r="C15434" s="38" t="s">
        <v>19801</v>
      </c>
      <c r="D15434" s="38" t="str">
        <f>IFERROR(__xludf.DUMMYFUNCTION("REGEXREPLACE(C15434,""-\d+(.*)|--\d+(.*)"","""")"),"LUCON")</f>
        <v>LUCON</v>
      </c>
      <c r="E15434" s="38" t="s">
        <v>179</v>
      </c>
      <c r="F15434" s="38" t="s">
        <v>180</v>
      </c>
      <c r="G15434" s="49" t="str">
        <f t="shared" si="1"/>
        <v>85400</v>
      </c>
      <c r="H15434" s="49">
        <f t="shared" si="2"/>
        <v>85128</v>
      </c>
    </row>
    <row r="15435">
      <c r="A15435" s="48" t="s">
        <v>1817</v>
      </c>
      <c r="B15435" s="38">
        <v>31185.0</v>
      </c>
      <c r="C15435" s="38" t="s">
        <v>19802</v>
      </c>
      <c r="D15435" s="38" t="str">
        <f>IFERROR(__xludf.DUMMYFUNCTION("REGEXREPLACE(C15435,""-\d+(.*)|--\d+(.*)"","""")"),"FOLCARDE")</f>
        <v>FOLCARDE</v>
      </c>
      <c r="E15435" s="38" t="s">
        <v>93</v>
      </c>
      <c r="F15435" s="38" t="s">
        <v>94</v>
      </c>
      <c r="G15435" s="49" t="str">
        <f t="shared" si="1"/>
        <v>31290</v>
      </c>
      <c r="H15435" s="49">
        <f t="shared" si="2"/>
        <v>31185</v>
      </c>
    </row>
    <row r="15436">
      <c r="A15436" s="48" t="s">
        <v>1190</v>
      </c>
      <c r="B15436" s="38">
        <v>41034.0</v>
      </c>
      <c r="C15436" s="38" t="s">
        <v>19803</v>
      </c>
      <c r="D15436" s="38" t="str">
        <f>IFERROR(__xludf.DUMMYFUNCTION("REGEXREPLACE(C15436,""-\d+(.*)|--\d+(.*)"","""")"),"CHAMBORD")</f>
        <v>CHAMBORD</v>
      </c>
      <c r="E15436" s="38" t="s">
        <v>188</v>
      </c>
      <c r="F15436" s="38" t="s">
        <v>123</v>
      </c>
      <c r="G15436" s="49" t="str">
        <f t="shared" si="1"/>
        <v>41250</v>
      </c>
      <c r="H15436" s="49">
        <f t="shared" si="2"/>
        <v>41034</v>
      </c>
    </row>
    <row r="15437">
      <c r="A15437" s="48" t="s">
        <v>10358</v>
      </c>
      <c r="B15437" s="38">
        <v>42278.0</v>
      </c>
      <c r="C15437" s="38" t="s">
        <v>19804</v>
      </c>
      <c r="D15437" s="38" t="str">
        <f>IFERROR(__xludf.DUMMYFUNCTION("REGEXREPLACE(C15437,""-\d+(.*)|--\d+(.*)"","""")"),"SAINT-PRIEST-LA-VETRE")</f>
        <v>SAINT-PRIEST-LA-VETRE</v>
      </c>
      <c r="E15437" s="38" t="s">
        <v>166</v>
      </c>
      <c r="F15437" s="38" t="s">
        <v>102</v>
      </c>
      <c r="G15437" s="49" t="str">
        <f t="shared" si="1"/>
        <v>42440</v>
      </c>
      <c r="H15437" s="49">
        <f t="shared" si="2"/>
        <v>42278</v>
      </c>
    </row>
    <row r="15438">
      <c r="A15438" s="48" t="s">
        <v>2130</v>
      </c>
      <c r="B15438" s="38">
        <v>62682.0</v>
      </c>
      <c r="C15438" s="38" t="s">
        <v>19805</v>
      </c>
      <c r="D15438" s="38" t="str">
        <f>IFERROR(__xludf.DUMMYFUNCTION("REGEXREPLACE(C15438,""-\d+(.*)|--\d+(.*)"","""")"),"QUILEN")</f>
        <v>QUILEN</v>
      </c>
      <c r="E15438" s="38" t="s">
        <v>109</v>
      </c>
      <c r="F15438" s="38" t="s">
        <v>86</v>
      </c>
      <c r="G15438" s="49" t="str">
        <f t="shared" si="1"/>
        <v>62650</v>
      </c>
      <c r="H15438" s="49">
        <f t="shared" si="2"/>
        <v>62682</v>
      </c>
    </row>
    <row r="15439">
      <c r="A15439" s="48" t="s">
        <v>19806</v>
      </c>
      <c r="B15439" s="38">
        <v>93062.0</v>
      </c>
      <c r="C15439" s="38" t="s">
        <v>19807</v>
      </c>
      <c r="D15439" s="38" t="str">
        <f>IFERROR(__xludf.DUMMYFUNCTION("REGEXREPLACE(C15439,""-\d+(.*)|--\d+(.*)"","""")"),"LE RAINCY")</f>
        <v>LE RAINCY</v>
      </c>
      <c r="E15439" s="38" t="s">
        <v>341</v>
      </c>
      <c r="F15439" s="38" t="s">
        <v>245</v>
      </c>
      <c r="G15439" s="49" t="str">
        <f t="shared" si="1"/>
        <v>93340</v>
      </c>
      <c r="H15439" s="49">
        <f t="shared" si="2"/>
        <v>93062</v>
      </c>
    </row>
    <row r="15440">
      <c r="A15440" s="48" t="s">
        <v>12799</v>
      </c>
      <c r="B15440" s="38">
        <v>11366.0</v>
      </c>
      <c r="C15440" s="38" t="s">
        <v>19808</v>
      </c>
      <c r="D15440" s="38" t="str">
        <f>IFERROR(__xludf.DUMMYFUNCTION("REGEXREPLACE(C15440,""-\d+(.*)|--\d+(.*)"","""")"),"SAINTE-VALIERE")</f>
        <v>SAINTE-VALIERE</v>
      </c>
      <c r="E15440" s="38" t="s">
        <v>278</v>
      </c>
      <c r="F15440" s="38" t="s">
        <v>119</v>
      </c>
      <c r="G15440" s="49" t="str">
        <f t="shared" si="1"/>
        <v>11120</v>
      </c>
      <c r="H15440" s="49">
        <f t="shared" si="2"/>
        <v>11366</v>
      </c>
    </row>
    <row r="15441">
      <c r="A15441" s="48" t="s">
        <v>2579</v>
      </c>
      <c r="B15441" s="38">
        <v>32010.0</v>
      </c>
      <c r="C15441" s="38" t="s">
        <v>19809</v>
      </c>
      <c r="D15441" s="38" t="str">
        <f>IFERROR(__xludf.DUMMYFUNCTION("REGEXREPLACE(C15441,""-\d+(.*)|--\d+(.*)"","""")"),"ARROUEDE")</f>
        <v>ARROUEDE</v>
      </c>
      <c r="E15441" s="38" t="s">
        <v>440</v>
      </c>
      <c r="F15441" s="38" t="s">
        <v>94</v>
      </c>
      <c r="G15441" s="49" t="str">
        <f t="shared" si="1"/>
        <v>32140</v>
      </c>
      <c r="H15441" s="49">
        <f t="shared" si="2"/>
        <v>32010</v>
      </c>
    </row>
    <row r="15442">
      <c r="A15442" s="48" t="s">
        <v>7355</v>
      </c>
      <c r="B15442" s="38">
        <v>33391.0</v>
      </c>
      <c r="C15442" s="38" t="s">
        <v>19810</v>
      </c>
      <c r="D15442" s="38" t="str">
        <f>IFERROR(__xludf.DUMMYFUNCTION("REGEXREPLACE(C15442,""-\d+(.*)|--\d+(.*)"","""")"),"SAINT-COME")</f>
        <v>SAINT-COME</v>
      </c>
      <c r="E15442" s="38" t="s">
        <v>462</v>
      </c>
      <c r="F15442" s="38" t="s">
        <v>252</v>
      </c>
      <c r="G15442" s="49" t="str">
        <f t="shared" si="1"/>
        <v>33430</v>
      </c>
      <c r="H15442" s="49">
        <f t="shared" si="2"/>
        <v>33391</v>
      </c>
    </row>
    <row r="15443">
      <c r="A15443" s="48" t="s">
        <v>5603</v>
      </c>
      <c r="B15443" s="38">
        <v>41093.0</v>
      </c>
      <c r="C15443" s="38" t="s">
        <v>19811</v>
      </c>
      <c r="D15443" s="38" t="str">
        <f>IFERROR(__xludf.DUMMYFUNCTION("REGEXREPLACE(C15443,""-\d+(.*)|--\d+(.*)"","""")"),"FRANCAY")</f>
        <v>FRANCAY</v>
      </c>
      <c r="E15443" s="38" t="s">
        <v>188</v>
      </c>
      <c r="F15443" s="38" t="s">
        <v>123</v>
      </c>
      <c r="G15443" s="49" t="str">
        <f t="shared" si="1"/>
        <v>41190</v>
      </c>
      <c r="H15443" s="49">
        <f t="shared" si="2"/>
        <v>41093</v>
      </c>
    </row>
    <row r="15444">
      <c r="A15444" s="48" t="s">
        <v>8338</v>
      </c>
      <c r="B15444" s="38">
        <v>47258.0</v>
      </c>
      <c r="C15444" s="38" t="s">
        <v>19812</v>
      </c>
      <c r="D15444" s="38" t="str">
        <f>IFERROR(__xludf.DUMMYFUNCTION("REGEXREPLACE(C15444,""-\d+(.*)|--\d+(.*)"","""")"),"SAINTE-MAURE-DE-PEYRIAC")</f>
        <v>SAINTE-MAURE-DE-PEYRIAC</v>
      </c>
      <c r="E15444" s="38" t="s">
        <v>251</v>
      </c>
      <c r="F15444" s="38" t="s">
        <v>252</v>
      </c>
      <c r="G15444" s="49" t="str">
        <f t="shared" si="1"/>
        <v>47170</v>
      </c>
      <c r="H15444" s="49">
        <f t="shared" si="2"/>
        <v>47258</v>
      </c>
    </row>
    <row r="15445">
      <c r="A15445" s="48" t="s">
        <v>1590</v>
      </c>
      <c r="B15445" s="38">
        <v>33464.0</v>
      </c>
      <c r="C15445" s="38" t="s">
        <v>19813</v>
      </c>
      <c r="D15445" s="38" t="str">
        <f>IFERROR(__xludf.DUMMYFUNCTION("REGEXREPLACE(C15445,""-\d+(.*)|--\d+(.*)"","""")"),"SAINT-PIERRE-DE-BAT")</f>
        <v>SAINT-PIERRE-DE-BAT</v>
      </c>
      <c r="E15445" s="38" t="s">
        <v>462</v>
      </c>
      <c r="F15445" s="38" t="s">
        <v>252</v>
      </c>
      <c r="G15445" s="49" t="str">
        <f t="shared" si="1"/>
        <v>33760</v>
      </c>
      <c r="H15445" s="49">
        <f t="shared" si="2"/>
        <v>33464</v>
      </c>
    </row>
    <row r="15446">
      <c r="A15446" s="48" t="s">
        <v>954</v>
      </c>
      <c r="B15446" s="38">
        <v>70457.0</v>
      </c>
      <c r="C15446" s="38" t="s">
        <v>19814</v>
      </c>
      <c r="D15446" s="38" t="str">
        <f>IFERROR(__xludf.DUMMYFUNCTION("REGEXREPLACE(C15446,""-\d+(.*)|--\d+(.*)"","""")"),"RUPT-SUR-SAONE")</f>
        <v>RUPT-SUR-SAONE</v>
      </c>
      <c r="E15446" s="38" t="s">
        <v>956</v>
      </c>
      <c r="F15446" s="38" t="s">
        <v>214</v>
      </c>
      <c r="G15446" s="49" t="str">
        <f t="shared" si="1"/>
        <v>70360</v>
      </c>
      <c r="H15446" s="49">
        <f t="shared" si="2"/>
        <v>70457</v>
      </c>
    </row>
    <row r="15447">
      <c r="A15447" s="48" t="s">
        <v>2845</v>
      </c>
      <c r="B15447" s="38" t="s">
        <v>19815</v>
      </c>
      <c r="C15447" s="38" t="s">
        <v>19816</v>
      </c>
      <c r="D15447" s="38" t="str">
        <f>IFERROR(__xludf.DUMMYFUNCTION("REGEXREPLACE(C15447,""-\d+(.*)|--\d+(.*)"","""")"),"TAGLIO-ISOLACCIO")</f>
        <v>TAGLIO-ISOLACCIO</v>
      </c>
      <c r="E15447" s="38" t="s">
        <v>743</v>
      </c>
      <c r="F15447" s="38" t="s">
        <v>607</v>
      </c>
      <c r="G15447" s="49" t="str">
        <f t="shared" si="1"/>
        <v>20230</v>
      </c>
      <c r="H15447" s="49" t="str">
        <f t="shared" si="2"/>
        <v>2B318</v>
      </c>
    </row>
    <row r="15448">
      <c r="A15448" s="48" t="s">
        <v>8317</v>
      </c>
      <c r="B15448" s="38">
        <v>77203.0</v>
      </c>
      <c r="C15448" s="38" t="s">
        <v>19817</v>
      </c>
      <c r="D15448" s="38" t="str">
        <f>IFERROR(__xludf.DUMMYFUNCTION("REGEXREPLACE(C15448,""-\d+(.*)|--\d+(.*)"","""")"),"GERMIGNY-L'EVEQUE")</f>
        <v>GERMIGNY-L'EVEQUE</v>
      </c>
      <c r="E15448" s="38" t="s">
        <v>244</v>
      </c>
      <c r="F15448" s="38" t="s">
        <v>245</v>
      </c>
      <c r="G15448" s="49" t="str">
        <f t="shared" si="1"/>
        <v>77910</v>
      </c>
      <c r="H15448" s="49">
        <f t="shared" si="2"/>
        <v>77203</v>
      </c>
    </row>
    <row r="15449">
      <c r="A15449" s="48" t="s">
        <v>1810</v>
      </c>
      <c r="B15449" s="38">
        <v>23001.0</v>
      </c>
      <c r="C15449" s="38" t="s">
        <v>19818</v>
      </c>
      <c r="D15449" s="38" t="str">
        <f>IFERROR(__xludf.DUMMYFUNCTION("REGEXREPLACE(C15449,""-\d+(.*)|--\d+(.*)"","""")"),"AHUN")</f>
        <v>AHUN</v>
      </c>
      <c r="E15449" s="38" t="s">
        <v>97</v>
      </c>
      <c r="F15449" s="38" t="s">
        <v>98</v>
      </c>
      <c r="G15449" s="49" t="str">
        <f t="shared" si="1"/>
        <v>23150</v>
      </c>
      <c r="H15449" s="49">
        <f t="shared" si="2"/>
        <v>23001</v>
      </c>
    </row>
    <row r="15450">
      <c r="A15450" s="48" t="s">
        <v>19819</v>
      </c>
      <c r="B15450" s="38">
        <v>59119.0</v>
      </c>
      <c r="C15450" s="38" t="s">
        <v>19820</v>
      </c>
      <c r="D15450" s="38" t="str">
        <f>IFERROR(__xludf.DUMMYFUNCTION("REGEXREPLACE(C15450,""-\d+(.*)|--\d+(.*)"","""")"),"BUYSSCHEURE")</f>
        <v>BUYSSCHEURE</v>
      </c>
      <c r="E15450" s="38" t="s">
        <v>85</v>
      </c>
      <c r="F15450" s="38" t="s">
        <v>86</v>
      </c>
      <c r="G15450" s="49" t="str">
        <f t="shared" si="1"/>
        <v>59285</v>
      </c>
      <c r="H15450" s="49">
        <f t="shared" si="2"/>
        <v>59119</v>
      </c>
    </row>
    <row r="15451">
      <c r="A15451" s="48" t="s">
        <v>19821</v>
      </c>
      <c r="B15451" s="38">
        <v>53109.0</v>
      </c>
      <c r="C15451" s="38" t="s">
        <v>19822</v>
      </c>
      <c r="D15451" s="38" t="str">
        <f>IFERROR(__xludf.DUMMYFUNCTION("REGEXREPLACE(C15451,""-\d+(.*)|--\d+(.*)"","""")"),"GRAZAY")</f>
        <v>GRAZAY</v>
      </c>
      <c r="E15451" s="38" t="s">
        <v>518</v>
      </c>
      <c r="F15451" s="38" t="s">
        <v>180</v>
      </c>
      <c r="G15451" s="49" t="str">
        <f t="shared" si="1"/>
        <v>53440</v>
      </c>
      <c r="H15451" s="49">
        <f t="shared" si="2"/>
        <v>53109</v>
      </c>
    </row>
    <row r="15452">
      <c r="A15452" s="48" t="s">
        <v>10578</v>
      </c>
      <c r="B15452" s="38">
        <v>79087.0</v>
      </c>
      <c r="C15452" s="38" t="s">
        <v>19823</v>
      </c>
      <c r="D15452" s="38" t="str">
        <f>IFERROR(__xludf.DUMMYFUNCTION("REGEXREPLACE(C15452,""-\d+(.*)|--\d+(.*)"","""")"),"CHEY")</f>
        <v>CHEY</v>
      </c>
      <c r="E15452" s="38" t="s">
        <v>337</v>
      </c>
      <c r="F15452" s="38" t="s">
        <v>338</v>
      </c>
      <c r="G15452" s="49" t="str">
        <f t="shared" si="1"/>
        <v>79120</v>
      </c>
      <c r="H15452" s="49">
        <f t="shared" si="2"/>
        <v>79087</v>
      </c>
    </row>
    <row r="15453">
      <c r="A15453" s="48" t="s">
        <v>3932</v>
      </c>
      <c r="B15453" s="38">
        <v>61173.0</v>
      </c>
      <c r="C15453" s="38" t="s">
        <v>19824</v>
      </c>
      <c r="D15453" s="38" t="str">
        <f>IFERROR(__xludf.DUMMYFUNCTION("REGEXREPLACE(C15453,""-\d+(.*)|--\d+(.*)"","""")"),"FONTENAI-SUR-ORNE")</f>
        <v>FONTENAI-SUR-ORNE</v>
      </c>
      <c r="E15453" s="38" t="s">
        <v>141</v>
      </c>
      <c r="F15453" s="38" t="s">
        <v>138</v>
      </c>
      <c r="G15453" s="49" t="str">
        <f t="shared" si="1"/>
        <v>61200</v>
      </c>
      <c r="H15453" s="49">
        <f t="shared" si="2"/>
        <v>61173</v>
      </c>
    </row>
    <row r="15454">
      <c r="A15454" s="48" t="s">
        <v>10582</v>
      </c>
      <c r="B15454" s="38">
        <v>77331.0</v>
      </c>
      <c r="C15454" s="38" t="s">
        <v>19825</v>
      </c>
      <c r="D15454" s="38" t="str">
        <f>IFERROR(__xludf.DUMMYFUNCTION("REGEXREPLACE(C15454,""-\d+(.*)|--\d+(.*)"","""")"),"NANTEUIL-SUR-MARNE")</f>
        <v>NANTEUIL-SUR-MARNE</v>
      </c>
      <c r="E15454" s="38" t="s">
        <v>244</v>
      </c>
      <c r="F15454" s="38" t="s">
        <v>245</v>
      </c>
      <c r="G15454" s="49" t="str">
        <f t="shared" si="1"/>
        <v>77730</v>
      </c>
      <c r="H15454" s="49">
        <f t="shared" si="2"/>
        <v>77331</v>
      </c>
    </row>
    <row r="15455">
      <c r="A15455" s="48" t="s">
        <v>987</v>
      </c>
      <c r="B15455" s="38">
        <v>40220.0</v>
      </c>
      <c r="C15455" s="38" t="s">
        <v>19826</v>
      </c>
      <c r="D15455" s="38" t="str">
        <f>IFERROR(__xludf.DUMMYFUNCTION("REGEXREPLACE(C15455,""-\d+(.*)|--\d+(.*)"","""")"),"PECORADE")</f>
        <v>PECORADE</v>
      </c>
      <c r="E15455" s="38" t="s">
        <v>281</v>
      </c>
      <c r="F15455" s="38" t="s">
        <v>252</v>
      </c>
      <c r="G15455" s="49" t="str">
        <f t="shared" si="1"/>
        <v>40320</v>
      </c>
      <c r="H15455" s="49">
        <f t="shared" si="2"/>
        <v>40220</v>
      </c>
    </row>
    <row r="15456">
      <c r="A15456" s="48" t="s">
        <v>13339</v>
      </c>
      <c r="B15456" s="38">
        <v>62414.0</v>
      </c>
      <c r="C15456" s="38" t="s">
        <v>19827</v>
      </c>
      <c r="D15456" s="38" t="str">
        <f>IFERROR(__xludf.DUMMYFUNCTION("REGEXREPLACE(C15456,""-\d+(.*)|--\d+(.*)"","""")"),"HAUCOURT")</f>
        <v>HAUCOURT</v>
      </c>
      <c r="E15456" s="38" t="s">
        <v>109</v>
      </c>
      <c r="F15456" s="38" t="s">
        <v>86</v>
      </c>
      <c r="G15456" s="49" t="str">
        <f t="shared" si="1"/>
        <v>62156</v>
      </c>
      <c r="H15456" s="49">
        <f t="shared" si="2"/>
        <v>62414</v>
      </c>
    </row>
    <row r="15457">
      <c r="A15457" s="48" t="s">
        <v>19828</v>
      </c>
      <c r="B15457" s="38">
        <v>91458.0</v>
      </c>
      <c r="C15457" s="38" t="s">
        <v>15087</v>
      </c>
      <c r="D15457" s="38" t="str">
        <f>IFERROR(__xludf.DUMMYFUNCTION("REGEXREPLACE(C15457,""-\d+(.*)|--\d+(.*)"","""")"),"NOZAY")</f>
        <v>NOZAY</v>
      </c>
      <c r="E15457" s="38" t="s">
        <v>756</v>
      </c>
      <c r="F15457" s="38" t="s">
        <v>245</v>
      </c>
      <c r="G15457" s="49" t="str">
        <f t="shared" si="1"/>
        <v>91620</v>
      </c>
      <c r="H15457" s="49">
        <f t="shared" si="2"/>
        <v>91458</v>
      </c>
    </row>
    <row r="15458">
      <c r="A15458" s="48" t="s">
        <v>298</v>
      </c>
      <c r="B15458" s="38">
        <v>28071.0</v>
      </c>
      <c r="C15458" s="38" t="s">
        <v>19829</v>
      </c>
      <c r="D15458" s="38" t="str">
        <f>IFERROR(__xludf.DUMMYFUNCTION("REGEXREPLACE(C15458,""-\d+(.*)|--\d+(.*)"","""")"),"CHAMPROND-EN-GATINE")</f>
        <v>CHAMPROND-EN-GATINE</v>
      </c>
      <c r="E15458" s="38" t="s">
        <v>300</v>
      </c>
      <c r="F15458" s="38" t="s">
        <v>123</v>
      </c>
      <c r="G15458" s="49" t="str">
        <f t="shared" si="1"/>
        <v>28240</v>
      </c>
      <c r="H15458" s="49">
        <f t="shared" si="2"/>
        <v>28071</v>
      </c>
    </row>
    <row r="15459">
      <c r="A15459" s="48" t="s">
        <v>1435</v>
      </c>
      <c r="B15459" s="38">
        <v>14748.0</v>
      </c>
      <c r="C15459" s="38" t="s">
        <v>19830</v>
      </c>
      <c r="D15459" s="38" t="str">
        <f>IFERROR(__xludf.DUMMYFUNCTION("REGEXREPLACE(C15459,""-\d+(.*)|--\d+(.*)"","""")"),"VIEUX-BOURG")</f>
        <v>VIEUX-BOURG</v>
      </c>
      <c r="E15459" s="38" t="s">
        <v>137</v>
      </c>
      <c r="F15459" s="38" t="s">
        <v>138</v>
      </c>
      <c r="G15459" s="49" t="str">
        <f t="shared" si="1"/>
        <v>14130</v>
      </c>
      <c r="H15459" s="49">
        <f t="shared" si="2"/>
        <v>14748</v>
      </c>
    </row>
    <row r="15460">
      <c r="A15460" s="48" t="s">
        <v>4592</v>
      </c>
      <c r="B15460" s="38">
        <v>26203.0</v>
      </c>
      <c r="C15460" s="38" t="s">
        <v>19831</v>
      </c>
      <c r="D15460" s="38" t="str">
        <f>IFERROR(__xludf.DUMMYFUNCTION("REGEXREPLACE(C15460,""-\d+(.*)|--\d+(.*)"","""")"),"MONTJOYER")</f>
        <v>MONTJOYER</v>
      </c>
      <c r="E15460" s="38" t="s">
        <v>126</v>
      </c>
      <c r="F15460" s="38" t="s">
        <v>102</v>
      </c>
      <c r="G15460" s="49" t="str">
        <f t="shared" si="1"/>
        <v>26230</v>
      </c>
      <c r="H15460" s="49">
        <f t="shared" si="2"/>
        <v>26203</v>
      </c>
    </row>
    <row r="15461">
      <c r="A15461" s="48" t="s">
        <v>4065</v>
      </c>
      <c r="B15461" s="38">
        <v>21694.0</v>
      </c>
      <c r="C15461" s="38" t="s">
        <v>19832</v>
      </c>
      <c r="D15461" s="38" t="str">
        <f>IFERROR(__xludf.DUMMYFUNCTION("REGEXREPLACE(C15461,""-\d+(.*)|--\d+(.*)"","""")"),"VILLEFERRY")</f>
        <v>VILLEFERRY</v>
      </c>
      <c r="E15461" s="38" t="s">
        <v>105</v>
      </c>
      <c r="F15461" s="38" t="s">
        <v>106</v>
      </c>
      <c r="G15461" s="49" t="str">
        <f t="shared" si="1"/>
        <v>21350</v>
      </c>
      <c r="H15461" s="49">
        <f t="shared" si="2"/>
        <v>21694</v>
      </c>
    </row>
    <row r="15462">
      <c r="A15462" s="48" t="s">
        <v>3080</v>
      </c>
      <c r="B15462" s="38">
        <v>71041.0</v>
      </c>
      <c r="C15462" s="38" t="s">
        <v>19833</v>
      </c>
      <c r="D15462" s="38" t="str">
        <f>IFERROR(__xludf.DUMMYFUNCTION("REGEXREPLACE(C15462,""-\d+(.*)|--\d+(.*)"","""")"),"BOIS-SAINTE-MARIE")</f>
        <v>BOIS-SAINTE-MARIE</v>
      </c>
      <c r="E15462" s="38" t="s">
        <v>344</v>
      </c>
      <c r="F15462" s="38" t="s">
        <v>106</v>
      </c>
      <c r="G15462" s="49" t="str">
        <f t="shared" si="1"/>
        <v>71800</v>
      </c>
      <c r="H15462" s="49">
        <f t="shared" si="2"/>
        <v>71041</v>
      </c>
    </row>
    <row r="15463">
      <c r="A15463" s="48" t="s">
        <v>19834</v>
      </c>
      <c r="B15463" s="38">
        <v>67218.0</v>
      </c>
      <c r="C15463" s="38" t="s">
        <v>19835</v>
      </c>
      <c r="D15463" s="38" t="str">
        <f>IFERROR(__xludf.DUMMYFUNCTION("REGEXREPLACE(C15463,""-\d+(.*)|--\d+(.*)"","""")"),"ILLKIRCH-GRAFFENSTADEN")</f>
        <v>ILLKIRCH-GRAFFENSTADEN</v>
      </c>
      <c r="E15463" s="38" t="s">
        <v>210</v>
      </c>
      <c r="F15463" s="38" t="s">
        <v>151</v>
      </c>
      <c r="G15463" s="49" t="str">
        <f t="shared" si="1"/>
        <v>67400</v>
      </c>
      <c r="H15463" s="49">
        <f t="shared" si="2"/>
        <v>67218</v>
      </c>
    </row>
    <row r="15464">
      <c r="A15464" s="48" t="s">
        <v>13370</v>
      </c>
      <c r="B15464" s="38">
        <v>22075.0</v>
      </c>
      <c r="C15464" s="38" t="s">
        <v>19836</v>
      </c>
      <c r="D15464" s="38" t="str">
        <f>IFERROR(__xludf.DUMMYFUNCTION("REGEXREPLACE(C15464,""-\d+(.*)|--\d+(.*)"","""")"),"HEMONSTOIR")</f>
        <v>HEMONSTOIR</v>
      </c>
      <c r="E15464" s="38" t="s">
        <v>89</v>
      </c>
      <c r="F15464" s="38" t="s">
        <v>90</v>
      </c>
      <c r="G15464" s="49" t="str">
        <f t="shared" si="1"/>
        <v>22600</v>
      </c>
      <c r="H15464" s="49">
        <f t="shared" si="2"/>
        <v>22075</v>
      </c>
    </row>
    <row r="15465">
      <c r="A15465" s="48" t="s">
        <v>5030</v>
      </c>
      <c r="B15465" s="38">
        <v>65328.0</v>
      </c>
      <c r="C15465" s="38" t="s">
        <v>19837</v>
      </c>
      <c r="D15465" s="38" t="str">
        <f>IFERROR(__xludf.DUMMYFUNCTION("REGEXREPLACE(C15465,""-\d+(.*)|--\d+(.*)"","""")"),"NEUILH")</f>
        <v>NEUILH</v>
      </c>
      <c r="E15465" s="38" t="s">
        <v>200</v>
      </c>
      <c r="F15465" s="38" t="s">
        <v>94</v>
      </c>
      <c r="G15465" s="49" t="str">
        <f t="shared" si="1"/>
        <v>65200</v>
      </c>
      <c r="H15465" s="49">
        <f t="shared" si="2"/>
        <v>65328</v>
      </c>
    </row>
    <row r="15466">
      <c r="A15466" s="48" t="s">
        <v>19838</v>
      </c>
      <c r="B15466" s="38">
        <v>63110.0</v>
      </c>
      <c r="C15466" s="38" t="s">
        <v>19839</v>
      </c>
      <c r="D15466" s="38" t="str">
        <f>IFERROR(__xludf.DUMMYFUNCTION("REGEXREPLACE(C15466,""-\d+(.*)|--\d+(.*)"","""")"),"CISTERNES-LA-FORET")</f>
        <v>CISTERNES-LA-FORET</v>
      </c>
      <c r="E15466" s="38" t="s">
        <v>353</v>
      </c>
      <c r="F15466" s="38" t="s">
        <v>161</v>
      </c>
      <c r="G15466" s="49" t="str">
        <f t="shared" si="1"/>
        <v>63740</v>
      </c>
      <c r="H15466" s="49">
        <f t="shared" si="2"/>
        <v>63110</v>
      </c>
    </row>
    <row r="15467">
      <c r="A15467" s="48" t="s">
        <v>1638</v>
      </c>
      <c r="B15467" s="38">
        <v>70290.0</v>
      </c>
      <c r="C15467" s="38" t="s">
        <v>19840</v>
      </c>
      <c r="D15467" s="38" t="str">
        <f>IFERROR(__xludf.DUMMYFUNCTION("REGEXREPLACE(C15467,""-\d+(.*)|--\d+(.*)"","""")"),"JASNEY")</f>
        <v>JASNEY</v>
      </c>
      <c r="E15467" s="38" t="s">
        <v>956</v>
      </c>
      <c r="F15467" s="38" t="s">
        <v>214</v>
      </c>
      <c r="G15467" s="49" t="str">
        <f t="shared" si="1"/>
        <v>70800</v>
      </c>
      <c r="H15467" s="49">
        <f t="shared" si="2"/>
        <v>70290</v>
      </c>
    </row>
    <row r="15468">
      <c r="A15468" s="48" t="s">
        <v>546</v>
      </c>
      <c r="B15468" s="38">
        <v>54375.0</v>
      </c>
      <c r="C15468" s="38" t="s">
        <v>19841</v>
      </c>
      <c r="D15468" s="38" t="str">
        <f>IFERROR(__xludf.DUMMYFUNCTION("REGEXREPLACE(C15468,""-\d+(.*)|--\d+(.*)"","""")"),"MONTAUVILLE")</f>
        <v>MONTAUVILLE</v>
      </c>
      <c r="E15468" s="38" t="s">
        <v>548</v>
      </c>
      <c r="F15468" s="38" t="s">
        <v>195</v>
      </c>
      <c r="G15468" s="49" t="str">
        <f t="shared" si="1"/>
        <v>54700</v>
      </c>
      <c r="H15468" s="49">
        <f t="shared" si="2"/>
        <v>54375</v>
      </c>
    </row>
    <row r="15469">
      <c r="A15469" s="48" t="s">
        <v>658</v>
      </c>
      <c r="B15469" s="38">
        <v>62566.0</v>
      </c>
      <c r="C15469" s="38" t="s">
        <v>19842</v>
      </c>
      <c r="D15469" s="38" t="str">
        <f>IFERROR(__xludf.DUMMYFUNCTION("REGEXREPLACE(C15469,""-\d+(.*)|--\d+(.*)"","""")"),"MENNEVILLE")</f>
        <v>MENNEVILLE</v>
      </c>
      <c r="E15469" s="38" t="s">
        <v>109</v>
      </c>
      <c r="F15469" s="38" t="s">
        <v>86</v>
      </c>
      <c r="G15469" s="49" t="str">
        <f t="shared" si="1"/>
        <v>62240</v>
      </c>
      <c r="H15469" s="49">
        <f t="shared" si="2"/>
        <v>62566</v>
      </c>
    </row>
    <row r="15470">
      <c r="A15470" s="48" t="s">
        <v>4422</v>
      </c>
      <c r="B15470" s="38">
        <v>59195.0</v>
      </c>
      <c r="C15470" s="38" t="s">
        <v>19843</v>
      </c>
      <c r="D15470" s="38" t="str">
        <f>IFERROR(__xludf.DUMMYFUNCTION("REGEXREPLACE(C15470,""-\d+(.*)|--\d+(.*)"","""")"),"ENGLOS")</f>
        <v>ENGLOS</v>
      </c>
      <c r="E15470" s="38" t="s">
        <v>85</v>
      </c>
      <c r="F15470" s="38" t="s">
        <v>86</v>
      </c>
      <c r="G15470" s="49" t="str">
        <f t="shared" si="1"/>
        <v>59320</v>
      </c>
      <c r="H15470" s="49">
        <f t="shared" si="2"/>
        <v>59195</v>
      </c>
    </row>
    <row r="15471">
      <c r="A15471" s="48" t="s">
        <v>6628</v>
      </c>
      <c r="B15471" s="38">
        <v>1450.0</v>
      </c>
      <c r="C15471" s="38" t="s">
        <v>19844</v>
      </c>
      <c r="D15471" s="38" t="str">
        <f>IFERROR(__xludf.DUMMYFUNCTION("REGEXREPLACE(C15471,""-\d+(.*)|--\d+(.*)"","""")"),"VILLIEU-LOYES-MOLLON")</f>
        <v>VILLIEU-LOYES-MOLLON</v>
      </c>
      <c r="E15471" s="38" t="s">
        <v>255</v>
      </c>
      <c r="F15471" s="38" t="s">
        <v>102</v>
      </c>
      <c r="G15471" s="49" t="str">
        <f t="shared" si="1"/>
        <v>01800</v>
      </c>
      <c r="H15471" s="49" t="str">
        <f t="shared" si="2"/>
        <v>01450</v>
      </c>
    </row>
    <row r="15472">
      <c r="A15472" s="48" t="s">
        <v>9231</v>
      </c>
      <c r="B15472" s="38">
        <v>76482.0</v>
      </c>
      <c r="C15472" s="38" t="s">
        <v>19845</v>
      </c>
      <c r="D15472" s="38" t="str">
        <f>IFERROR(__xludf.DUMMYFUNCTION("REGEXREPLACE(C15472,""-\d+(.*)|--\d+(.*)"","""")"),"OFFRANVILLE")</f>
        <v>OFFRANVILLE</v>
      </c>
      <c r="E15472" s="38" t="s">
        <v>133</v>
      </c>
      <c r="F15472" s="38" t="s">
        <v>134</v>
      </c>
      <c r="G15472" s="49" t="str">
        <f t="shared" si="1"/>
        <v>76550</v>
      </c>
      <c r="H15472" s="49">
        <f t="shared" si="2"/>
        <v>76482</v>
      </c>
    </row>
    <row r="15473">
      <c r="A15473" s="48" t="s">
        <v>12639</v>
      </c>
      <c r="B15473" s="38">
        <v>81262.0</v>
      </c>
      <c r="C15473" s="38" t="s">
        <v>19846</v>
      </c>
      <c r="D15473" s="38" t="str">
        <f>IFERROR(__xludf.DUMMYFUNCTION("REGEXREPLACE(C15473,""-\d+(.*)|--\d+(.*)"","""")"),"SAINT-MARCEL-CAMPES")</f>
        <v>SAINT-MARCEL-CAMPES</v>
      </c>
      <c r="E15473" s="38" t="s">
        <v>231</v>
      </c>
      <c r="F15473" s="38" t="s">
        <v>94</v>
      </c>
      <c r="G15473" s="49" t="str">
        <f t="shared" si="1"/>
        <v>81170</v>
      </c>
      <c r="H15473" s="49">
        <f t="shared" si="2"/>
        <v>81262</v>
      </c>
    </row>
    <row r="15474">
      <c r="A15474" s="48" t="s">
        <v>8575</v>
      </c>
      <c r="B15474" s="38">
        <v>29296.0</v>
      </c>
      <c r="C15474" s="38" t="s">
        <v>19847</v>
      </c>
      <c r="D15474" s="38" t="str">
        <f>IFERROR(__xludf.DUMMYFUNCTION("REGEXREPLACE(C15474,""-\d+(.*)|--\d+(.*)"","""")"),"TREMEOC")</f>
        <v>TREMEOC</v>
      </c>
      <c r="E15474" s="38" t="s">
        <v>176</v>
      </c>
      <c r="F15474" s="38" t="s">
        <v>90</v>
      </c>
      <c r="G15474" s="49" t="str">
        <f t="shared" si="1"/>
        <v>29120</v>
      </c>
      <c r="H15474" s="49">
        <f t="shared" si="2"/>
        <v>29296</v>
      </c>
    </row>
    <row r="15475">
      <c r="A15475" s="48" t="s">
        <v>826</v>
      </c>
      <c r="B15475" s="38">
        <v>21423.0</v>
      </c>
      <c r="C15475" s="38" t="s">
        <v>19848</v>
      </c>
      <c r="D15475" s="38" t="str">
        <f>IFERROR(__xludf.DUMMYFUNCTION("REGEXREPLACE(C15475,""-\d+(.*)|--\d+(.*)"","""")"),"MONTAGNY-LES-BEAUNE")</f>
        <v>MONTAGNY-LES-BEAUNE</v>
      </c>
      <c r="E15475" s="38" t="s">
        <v>105</v>
      </c>
      <c r="F15475" s="38" t="s">
        <v>106</v>
      </c>
      <c r="G15475" s="49" t="str">
        <f t="shared" si="1"/>
        <v>21200</v>
      </c>
      <c r="H15475" s="49">
        <f t="shared" si="2"/>
        <v>21423</v>
      </c>
    </row>
    <row r="15476">
      <c r="A15476" s="48" t="s">
        <v>752</v>
      </c>
      <c r="B15476" s="38">
        <v>42323.0</v>
      </c>
      <c r="C15476" s="38" t="s">
        <v>19849</v>
      </c>
      <c r="D15476" s="38" t="str">
        <f>IFERROR(__xludf.DUMMYFUNCTION("REGEXREPLACE(C15476,""-\d+(.*)|--\d+(.*)"","""")"),"VEAUCHE")</f>
        <v>VEAUCHE</v>
      </c>
      <c r="E15476" s="38" t="s">
        <v>166</v>
      </c>
      <c r="F15476" s="38" t="s">
        <v>102</v>
      </c>
      <c r="G15476" s="49" t="str">
        <f t="shared" si="1"/>
        <v>42340</v>
      </c>
      <c r="H15476" s="49">
        <f t="shared" si="2"/>
        <v>42323</v>
      </c>
    </row>
    <row r="15477">
      <c r="A15477" s="48" t="s">
        <v>15260</v>
      </c>
      <c r="B15477" s="38">
        <v>57638.0</v>
      </c>
      <c r="C15477" s="38" t="s">
        <v>19850</v>
      </c>
      <c r="D15477" s="38" t="str">
        <f>IFERROR(__xludf.DUMMYFUNCTION("REGEXREPLACE(C15477,""-\d+(.*)|--\d+(.*)"","""")"),"SCHOENECK")</f>
        <v>SCHOENECK</v>
      </c>
      <c r="E15477" s="38" t="s">
        <v>303</v>
      </c>
      <c r="F15477" s="38" t="s">
        <v>195</v>
      </c>
      <c r="G15477" s="49" t="str">
        <f t="shared" si="1"/>
        <v>57350</v>
      </c>
      <c r="H15477" s="49">
        <f t="shared" si="2"/>
        <v>57638</v>
      </c>
    </row>
    <row r="15478">
      <c r="A15478" s="48" t="s">
        <v>1697</v>
      </c>
      <c r="B15478" s="38">
        <v>39007.0</v>
      </c>
      <c r="C15478" s="38" t="s">
        <v>19851</v>
      </c>
      <c r="D15478" s="38" t="str">
        <f>IFERROR(__xludf.DUMMYFUNCTION("REGEXREPLACE(C15478,""-\d+(.*)|--\d+(.*)"","""")"),"ALIEZE")</f>
        <v>ALIEZE</v>
      </c>
      <c r="E15478" s="38" t="s">
        <v>400</v>
      </c>
      <c r="F15478" s="38" t="s">
        <v>214</v>
      </c>
      <c r="G15478" s="49" t="str">
        <f t="shared" si="1"/>
        <v>39270</v>
      </c>
      <c r="H15478" s="49">
        <f t="shared" si="2"/>
        <v>39007</v>
      </c>
    </row>
    <row r="15479">
      <c r="A15479" s="48" t="s">
        <v>2421</v>
      </c>
      <c r="B15479" s="38">
        <v>4228.0</v>
      </c>
      <c r="C15479" s="38" t="s">
        <v>19852</v>
      </c>
      <c r="D15479" s="38" t="str">
        <f>IFERROR(__xludf.DUMMYFUNCTION("REGEXREPLACE(C15479,""-\d+(.*)|--\d+(.*)"","""")"),"VALAVOIRE")</f>
        <v>VALAVOIRE</v>
      </c>
      <c r="E15479" s="38" t="s">
        <v>662</v>
      </c>
      <c r="F15479" s="38" t="s">
        <v>228</v>
      </c>
      <c r="G15479" s="49" t="str">
        <f t="shared" si="1"/>
        <v>04250</v>
      </c>
      <c r="H15479" s="49" t="str">
        <f t="shared" si="2"/>
        <v>04228</v>
      </c>
    </row>
    <row r="15480">
      <c r="A15480" s="48" t="s">
        <v>10880</v>
      </c>
      <c r="B15480" s="38">
        <v>72155.0</v>
      </c>
      <c r="C15480" s="38" t="s">
        <v>19853</v>
      </c>
      <c r="D15480" s="38" t="str">
        <f>IFERROR(__xludf.DUMMYFUNCTION("REGEXREPLACE(C15480,""-\d+(.*)|--\d+(.*)"","""")"),"LAIGNE-EN-BELIN")</f>
        <v>LAIGNE-EN-BELIN</v>
      </c>
      <c r="E15480" s="38" t="s">
        <v>521</v>
      </c>
      <c r="F15480" s="38" t="s">
        <v>180</v>
      </c>
      <c r="G15480" s="49" t="str">
        <f t="shared" si="1"/>
        <v>72220</v>
      </c>
      <c r="H15480" s="49">
        <f t="shared" si="2"/>
        <v>72155</v>
      </c>
    </row>
    <row r="15481">
      <c r="A15481" s="48" t="s">
        <v>2227</v>
      </c>
      <c r="B15481" s="38">
        <v>74234.0</v>
      </c>
      <c r="C15481" s="38" t="s">
        <v>19854</v>
      </c>
      <c r="D15481" s="38" t="str">
        <f>IFERROR(__xludf.DUMMYFUNCTION("REGEXREPLACE(C15481,""-\d+(.*)|--\d+(.*)"","""")"),"SAINT-FERREOL")</f>
        <v>SAINT-FERREOL</v>
      </c>
      <c r="E15481" s="38" t="s">
        <v>319</v>
      </c>
      <c r="F15481" s="38" t="s">
        <v>102</v>
      </c>
      <c r="G15481" s="49" t="str">
        <f t="shared" si="1"/>
        <v>74210</v>
      </c>
      <c r="H15481" s="49">
        <f t="shared" si="2"/>
        <v>74234</v>
      </c>
    </row>
    <row r="15482">
      <c r="A15482" s="48" t="s">
        <v>11152</v>
      </c>
      <c r="B15482" s="38">
        <v>61177.0</v>
      </c>
      <c r="C15482" s="38" t="s">
        <v>19855</v>
      </c>
      <c r="D15482" s="38" t="str">
        <f>IFERROR(__xludf.DUMMYFUNCTION("REGEXREPLACE(C15482,""-\d+(.*)|--\d+(.*)"","""")"),"FRENES")</f>
        <v>FRENES</v>
      </c>
      <c r="E15482" s="38" t="s">
        <v>141</v>
      </c>
      <c r="F15482" s="38" t="s">
        <v>138</v>
      </c>
      <c r="G15482" s="49" t="str">
        <f t="shared" si="1"/>
        <v>61800</v>
      </c>
      <c r="H15482" s="49">
        <f t="shared" si="2"/>
        <v>61177</v>
      </c>
    </row>
    <row r="15483">
      <c r="A15483" s="48" t="s">
        <v>5125</v>
      </c>
      <c r="B15483" s="38">
        <v>49197.0</v>
      </c>
      <c r="C15483" s="38" t="s">
        <v>19856</v>
      </c>
      <c r="D15483" s="38" t="str">
        <f>IFERROR(__xludf.DUMMYFUNCTION("REGEXREPLACE(C15483,""-\d+(.*)|--\d+(.*)"","""")"),"MEIGNE-LE-VICOMTE")</f>
        <v>MEIGNE-LE-VICOMTE</v>
      </c>
      <c r="E15483" s="38" t="s">
        <v>653</v>
      </c>
      <c r="F15483" s="38" t="s">
        <v>180</v>
      </c>
      <c r="G15483" s="49" t="str">
        <f t="shared" si="1"/>
        <v>49490</v>
      </c>
      <c r="H15483" s="49">
        <f t="shared" si="2"/>
        <v>49197</v>
      </c>
    </row>
    <row r="15484">
      <c r="A15484" s="48" t="s">
        <v>1027</v>
      </c>
      <c r="B15484" s="38">
        <v>1116.0</v>
      </c>
      <c r="C15484" s="38" t="s">
        <v>19857</v>
      </c>
      <c r="D15484" s="38" t="str">
        <f>IFERROR(__xludf.DUMMYFUNCTION("REGEXREPLACE(C15484,""-\d+(.*)|--\d+(.*)"","""")"),"CONTREVOZ")</f>
        <v>CONTREVOZ</v>
      </c>
      <c r="E15484" s="38" t="s">
        <v>255</v>
      </c>
      <c r="F15484" s="38" t="s">
        <v>102</v>
      </c>
      <c r="G15484" s="49" t="str">
        <f t="shared" si="1"/>
        <v>01300</v>
      </c>
      <c r="H15484" s="49" t="str">
        <f t="shared" si="2"/>
        <v>01116</v>
      </c>
    </row>
    <row r="15485">
      <c r="A15485" s="48" t="s">
        <v>1135</v>
      </c>
      <c r="B15485" s="38">
        <v>79157.0</v>
      </c>
      <c r="C15485" s="38" t="s">
        <v>19858</v>
      </c>
      <c r="D15485" s="38" t="str">
        <f>IFERROR(__xludf.DUMMYFUNCTION("REGEXREPLACE(C15485,""-\d+(.*)|--\d+(.*)"","""")"),"LOUZY")</f>
        <v>LOUZY</v>
      </c>
      <c r="E15485" s="38" t="s">
        <v>337</v>
      </c>
      <c r="F15485" s="38" t="s">
        <v>338</v>
      </c>
      <c r="G15485" s="49" t="str">
        <f t="shared" si="1"/>
        <v>79100</v>
      </c>
      <c r="H15485" s="49">
        <f t="shared" si="2"/>
        <v>79157</v>
      </c>
    </row>
    <row r="15486">
      <c r="A15486" s="48" t="s">
        <v>2035</v>
      </c>
      <c r="B15486" s="38">
        <v>64313.0</v>
      </c>
      <c r="C15486" s="38" t="s">
        <v>19859</v>
      </c>
      <c r="D15486" s="38" t="str">
        <f>IFERROR(__xludf.DUMMYFUNCTION("REGEXREPLACE(C15486,""-\d+(.*)|--\d+(.*)"","""")"),"LANTABAT")</f>
        <v>LANTABAT</v>
      </c>
      <c r="E15486" s="38" t="s">
        <v>268</v>
      </c>
      <c r="F15486" s="38" t="s">
        <v>252</v>
      </c>
      <c r="G15486" s="49" t="str">
        <f t="shared" si="1"/>
        <v>64640</v>
      </c>
      <c r="H15486" s="49">
        <f t="shared" si="2"/>
        <v>64313</v>
      </c>
    </row>
    <row r="15487">
      <c r="A15487" s="48" t="s">
        <v>2408</v>
      </c>
      <c r="B15487" s="38">
        <v>30066.0</v>
      </c>
      <c r="C15487" s="38" t="s">
        <v>19860</v>
      </c>
      <c r="D15487" s="38" t="str">
        <f>IFERROR(__xludf.DUMMYFUNCTION("REGEXREPLACE(C15487,""-\d+(.*)|--\d+(.*)"","""")"),"CANNES-ET-CLAIRAN")</f>
        <v>CANNES-ET-CLAIRAN</v>
      </c>
      <c r="E15487" s="38" t="s">
        <v>526</v>
      </c>
      <c r="F15487" s="38" t="s">
        <v>119</v>
      </c>
      <c r="G15487" s="49" t="str">
        <f t="shared" si="1"/>
        <v>30260</v>
      </c>
      <c r="H15487" s="49">
        <f t="shared" si="2"/>
        <v>30066</v>
      </c>
    </row>
    <row r="15488">
      <c r="A15488" s="48" t="s">
        <v>8097</v>
      </c>
      <c r="B15488" s="38">
        <v>85272.0</v>
      </c>
      <c r="C15488" s="38" t="s">
        <v>19861</v>
      </c>
      <c r="D15488" s="38" t="str">
        <f>IFERROR(__xludf.DUMMYFUNCTION("REGEXREPLACE(C15488,""-\d+(.*)|--\d+(.*)"","""")"),"SAINT-SULPICE-LE-VERDON")</f>
        <v>SAINT-SULPICE-LE-VERDON</v>
      </c>
      <c r="E15488" s="38" t="s">
        <v>179</v>
      </c>
      <c r="F15488" s="38" t="s">
        <v>180</v>
      </c>
      <c r="G15488" s="49" t="str">
        <f t="shared" si="1"/>
        <v>85260</v>
      </c>
      <c r="H15488" s="49">
        <f t="shared" si="2"/>
        <v>85272</v>
      </c>
    </row>
    <row r="15489">
      <c r="A15489" s="48" t="s">
        <v>794</v>
      </c>
      <c r="B15489" s="38">
        <v>60221.0</v>
      </c>
      <c r="C15489" s="38" t="s">
        <v>19862</v>
      </c>
      <c r="D15489" s="38" t="str">
        <f>IFERROR(__xludf.DUMMYFUNCTION("REGEXREPLACE(C15489,""-\d+(.*)|--\d+(.*)"","""")"),"ESQUENNOY")</f>
        <v>ESQUENNOY</v>
      </c>
      <c r="E15489" s="38" t="s">
        <v>112</v>
      </c>
      <c r="F15489" s="38" t="s">
        <v>113</v>
      </c>
      <c r="G15489" s="49" t="str">
        <f t="shared" si="1"/>
        <v>60120</v>
      </c>
      <c r="H15489" s="49">
        <f t="shared" si="2"/>
        <v>60221</v>
      </c>
    </row>
    <row r="15490">
      <c r="A15490" s="48" t="s">
        <v>19863</v>
      </c>
      <c r="B15490" s="38">
        <v>67296.0</v>
      </c>
      <c r="C15490" s="38" t="s">
        <v>19864</v>
      </c>
      <c r="D15490" s="38" t="str">
        <f>IFERROR(__xludf.DUMMYFUNCTION("REGEXREPLACE(C15490,""-\d+(.*)|--\d+(.*)"","""")"),"MITTELHAUSBERGEN")</f>
        <v>MITTELHAUSBERGEN</v>
      </c>
      <c r="E15490" s="38" t="s">
        <v>210</v>
      </c>
      <c r="F15490" s="38" t="s">
        <v>151</v>
      </c>
      <c r="G15490" s="49" t="str">
        <f t="shared" si="1"/>
        <v>67206</v>
      </c>
      <c r="H15490" s="49">
        <f t="shared" si="2"/>
        <v>67296</v>
      </c>
    </row>
    <row r="15491">
      <c r="A15491" s="48" t="s">
        <v>276</v>
      </c>
      <c r="B15491" s="38">
        <v>11373.0</v>
      </c>
      <c r="C15491" s="38" t="s">
        <v>19865</v>
      </c>
      <c r="D15491" s="38" t="str">
        <f>IFERROR(__xludf.DUMMYFUNCTION("REGEXREPLACE(C15491,""-\d+(.*)|--\d+(.*)"","""")"),"SALVEZINES")</f>
        <v>SALVEZINES</v>
      </c>
      <c r="E15491" s="38" t="s">
        <v>278</v>
      </c>
      <c r="F15491" s="38" t="s">
        <v>119</v>
      </c>
      <c r="G15491" s="49" t="str">
        <f t="shared" si="1"/>
        <v>11140</v>
      </c>
      <c r="H15491" s="49">
        <f t="shared" si="2"/>
        <v>11373</v>
      </c>
    </row>
    <row r="15492">
      <c r="A15492" s="48" t="s">
        <v>7986</v>
      </c>
      <c r="B15492" s="38">
        <v>69017.0</v>
      </c>
      <c r="C15492" s="38" t="s">
        <v>10571</v>
      </c>
      <c r="D15492" s="38" t="str">
        <f>IFERROR(__xludf.DUMMYFUNCTION("REGEXREPLACE(C15492,""-\d+(.*)|--\d+(.*)"","""")"),"BAGNOLS")</f>
        <v>BAGNOLS</v>
      </c>
      <c r="E15492" s="38" t="s">
        <v>350</v>
      </c>
      <c r="F15492" s="38" t="s">
        <v>102</v>
      </c>
      <c r="G15492" s="49" t="str">
        <f t="shared" si="1"/>
        <v>69620</v>
      </c>
      <c r="H15492" s="49">
        <f t="shared" si="2"/>
        <v>69017</v>
      </c>
    </row>
    <row r="15493">
      <c r="A15493" s="48" t="s">
        <v>6515</v>
      </c>
      <c r="B15493" s="38">
        <v>62585.0</v>
      </c>
      <c r="C15493" s="38" t="s">
        <v>19866</v>
      </c>
      <c r="D15493" s="38" t="str">
        <f>IFERROR(__xludf.DUMMYFUNCTION("REGEXREPLACE(C15493,""-\d+(.*)|--\d+(.*)"","""")"),"MONTCAVREL")</f>
        <v>MONTCAVREL</v>
      </c>
      <c r="E15493" s="38" t="s">
        <v>109</v>
      </c>
      <c r="F15493" s="38" t="s">
        <v>86</v>
      </c>
      <c r="G15493" s="49" t="str">
        <f t="shared" si="1"/>
        <v>62170</v>
      </c>
      <c r="H15493" s="49">
        <f t="shared" si="2"/>
        <v>62585</v>
      </c>
    </row>
    <row r="15494">
      <c r="A15494" s="48" t="s">
        <v>17834</v>
      </c>
      <c r="B15494" s="38">
        <v>83142.0</v>
      </c>
      <c r="C15494" s="38" t="s">
        <v>19867</v>
      </c>
      <c r="D15494" s="38" t="str">
        <f>IFERROR(__xludf.DUMMYFUNCTION("REGEXREPLACE(C15494,""-\d+(.*)|--\d+(.*)"","""")"),"TRIGANCE")</f>
        <v>TRIGANCE</v>
      </c>
      <c r="E15494" s="38" t="s">
        <v>813</v>
      </c>
      <c r="F15494" s="38" t="s">
        <v>228</v>
      </c>
      <c r="G15494" s="49" t="str">
        <f t="shared" si="1"/>
        <v>83840</v>
      </c>
      <c r="H15494" s="49">
        <f t="shared" si="2"/>
        <v>83142</v>
      </c>
    </row>
    <row r="15495">
      <c r="A15495" s="48" t="s">
        <v>1588</v>
      </c>
      <c r="B15495" s="38">
        <v>9129.0</v>
      </c>
      <c r="C15495" s="38" t="s">
        <v>19868</v>
      </c>
      <c r="D15495" s="38" t="str">
        <f>IFERROR(__xludf.DUMMYFUNCTION("REGEXREPLACE(C15495,""-\d+(.*)|--\d+(.*)"","""")"),"GALEY")</f>
        <v>GALEY</v>
      </c>
      <c r="E15495" s="38" t="s">
        <v>238</v>
      </c>
      <c r="F15495" s="38" t="s">
        <v>94</v>
      </c>
      <c r="G15495" s="49" t="str">
        <f t="shared" si="1"/>
        <v>09800</v>
      </c>
      <c r="H15495" s="49" t="str">
        <f t="shared" si="2"/>
        <v>09129</v>
      </c>
    </row>
    <row r="15496">
      <c r="A15496" s="48" t="s">
        <v>9556</v>
      </c>
      <c r="B15496" s="38">
        <v>60286.0</v>
      </c>
      <c r="C15496" s="38" t="s">
        <v>14530</v>
      </c>
      <c r="D15496" s="38" t="str">
        <f>IFERROR(__xludf.DUMMYFUNCTION("REGEXREPLACE(C15496,""-\d+(.*)|--\d+(.*)"","""")"),"GRANDVILLIERS")</f>
        <v>GRANDVILLIERS</v>
      </c>
      <c r="E15496" s="38" t="s">
        <v>112</v>
      </c>
      <c r="F15496" s="38" t="s">
        <v>113</v>
      </c>
      <c r="G15496" s="49" t="str">
        <f t="shared" si="1"/>
        <v>60210</v>
      </c>
      <c r="H15496" s="49">
        <f t="shared" si="2"/>
        <v>60286</v>
      </c>
    </row>
    <row r="15497">
      <c r="A15497" s="48" t="s">
        <v>9772</v>
      </c>
      <c r="B15497" s="38">
        <v>25391.0</v>
      </c>
      <c r="C15497" s="38" t="s">
        <v>19869</v>
      </c>
      <c r="D15497" s="38" t="str">
        <f>IFERROR(__xludf.DUMMYFUNCTION("REGEXREPLACE(C15497,""-\d+(.*)|--\d+(.*)"","""")"),"MONT-DE-LAVAL")</f>
        <v>MONT-DE-LAVAL</v>
      </c>
      <c r="E15497" s="38" t="s">
        <v>213</v>
      </c>
      <c r="F15497" s="38" t="s">
        <v>214</v>
      </c>
      <c r="G15497" s="49" t="str">
        <f t="shared" si="1"/>
        <v>25210</v>
      </c>
      <c r="H15497" s="49">
        <f t="shared" si="2"/>
        <v>25391</v>
      </c>
    </row>
    <row r="15498">
      <c r="A15498" s="48" t="s">
        <v>18909</v>
      </c>
      <c r="B15498" s="38">
        <v>35327.0</v>
      </c>
      <c r="C15498" s="38" t="s">
        <v>19870</v>
      </c>
      <c r="D15498" s="38" t="str">
        <f>IFERROR(__xludf.DUMMYFUNCTION("REGEXREPLACE(C15498,""-\d+(.*)|--\d+(.*)"","""")"),"SERVON-SUR-VILAINE")</f>
        <v>SERVON-SUR-VILAINE</v>
      </c>
      <c r="E15498" s="38" t="s">
        <v>347</v>
      </c>
      <c r="F15498" s="38" t="s">
        <v>90</v>
      </c>
      <c r="G15498" s="49" t="str">
        <f t="shared" si="1"/>
        <v>35530</v>
      </c>
      <c r="H15498" s="49">
        <f t="shared" si="2"/>
        <v>35327</v>
      </c>
    </row>
    <row r="15499">
      <c r="A15499" s="48" t="s">
        <v>7826</v>
      </c>
      <c r="B15499" s="38">
        <v>73280.0</v>
      </c>
      <c r="C15499" s="38" t="s">
        <v>19871</v>
      </c>
      <c r="D15499" s="38" t="str">
        <f>IFERROR(__xludf.DUMMYFUNCTION("REGEXREPLACE(C15499,""-\d+(.*)|--\d+(.*)"","""")"),"SAINT-SORLIN-D'ARVES")</f>
        <v>SAINT-SORLIN-D'ARVES</v>
      </c>
      <c r="E15499" s="38" t="s">
        <v>306</v>
      </c>
      <c r="F15499" s="38" t="s">
        <v>102</v>
      </c>
      <c r="G15499" s="49" t="str">
        <f t="shared" si="1"/>
        <v>73530</v>
      </c>
      <c r="H15499" s="49">
        <f t="shared" si="2"/>
        <v>73280</v>
      </c>
    </row>
    <row r="15500">
      <c r="A15500" s="48" t="s">
        <v>17943</v>
      </c>
      <c r="B15500" s="38">
        <v>60475.0</v>
      </c>
      <c r="C15500" s="38" t="s">
        <v>19872</v>
      </c>
      <c r="D15500" s="38" t="str">
        <f>IFERROR(__xludf.DUMMYFUNCTION("REGEXREPLACE(C15500,""-\d+(.*)|--\d+(.*)"","""")"),"OGNON")</f>
        <v>OGNON</v>
      </c>
      <c r="E15500" s="38" t="s">
        <v>112</v>
      </c>
      <c r="F15500" s="38" t="s">
        <v>113</v>
      </c>
      <c r="G15500" s="49" t="str">
        <f t="shared" si="1"/>
        <v>60810</v>
      </c>
      <c r="H15500" s="49">
        <f t="shared" si="2"/>
        <v>60475</v>
      </c>
    </row>
    <row r="15501">
      <c r="A15501" s="48" t="s">
        <v>3819</v>
      </c>
      <c r="B15501" s="38">
        <v>38359.0</v>
      </c>
      <c r="C15501" s="38" t="s">
        <v>19873</v>
      </c>
      <c r="D15501" s="38" t="str">
        <f>IFERROR(__xludf.DUMMYFUNCTION("REGEXREPLACE(C15501,""-\d+(.*)|--\d+(.*)"","""")"),"SAINT-ANTOINE-L'ABBAYE")</f>
        <v>SAINT-ANTOINE-L'ABBAYE</v>
      </c>
      <c r="E15501" s="38" t="s">
        <v>101</v>
      </c>
      <c r="F15501" s="38" t="s">
        <v>102</v>
      </c>
      <c r="G15501" s="49" t="str">
        <f t="shared" si="1"/>
        <v>38160</v>
      </c>
      <c r="H15501" s="49">
        <f t="shared" si="2"/>
        <v>38359</v>
      </c>
    </row>
    <row r="15502">
      <c r="A15502" s="48" t="s">
        <v>8120</v>
      </c>
      <c r="B15502" s="38">
        <v>61479.0</v>
      </c>
      <c r="C15502" s="38" t="s">
        <v>19874</v>
      </c>
      <c r="D15502" s="38" t="str">
        <f>IFERROR(__xludf.DUMMYFUNCTION("REGEXREPLACE(C15502,""-\d+(.*)|--\d+(.*)"","""")"),"TANQUES")</f>
        <v>TANQUES</v>
      </c>
      <c r="E15502" s="38" t="s">
        <v>141</v>
      </c>
      <c r="F15502" s="38" t="s">
        <v>138</v>
      </c>
      <c r="G15502" s="49" t="str">
        <f t="shared" si="1"/>
        <v>61150</v>
      </c>
      <c r="H15502" s="49">
        <f t="shared" si="2"/>
        <v>61479</v>
      </c>
    </row>
    <row r="15503">
      <c r="A15503" s="48" t="s">
        <v>8263</v>
      </c>
      <c r="B15503" s="38">
        <v>43113.0</v>
      </c>
      <c r="C15503" s="38" t="s">
        <v>19875</v>
      </c>
      <c r="D15503" s="38" t="str">
        <f>IFERROR(__xludf.DUMMYFUNCTION("REGEXREPLACE(C15503,""-\d+(.*)|--\d+(.*)"","""")"),"LANTRIAC")</f>
        <v>LANTRIAC</v>
      </c>
      <c r="E15503" s="38" t="s">
        <v>332</v>
      </c>
      <c r="F15503" s="38" t="s">
        <v>161</v>
      </c>
      <c r="G15503" s="49" t="str">
        <f t="shared" si="1"/>
        <v>43260</v>
      </c>
      <c r="H15503" s="49">
        <f t="shared" si="2"/>
        <v>43113</v>
      </c>
    </row>
    <row r="15504">
      <c r="A15504" s="48" t="s">
        <v>1483</v>
      </c>
      <c r="B15504" s="38">
        <v>80779.0</v>
      </c>
      <c r="C15504" s="38" t="s">
        <v>19876</v>
      </c>
      <c r="D15504" s="38" t="str">
        <f>IFERROR(__xludf.DUMMYFUNCTION("REGEXREPLACE(C15504,""-\d+(.*)|--\d+(.*)"","""")"),"VAUCHELLES-LES-QUESNOY")</f>
        <v>VAUCHELLES-LES-QUESNOY</v>
      </c>
      <c r="E15504" s="38" t="s">
        <v>224</v>
      </c>
      <c r="F15504" s="38" t="s">
        <v>113</v>
      </c>
      <c r="G15504" s="49" t="str">
        <f t="shared" si="1"/>
        <v>80132</v>
      </c>
      <c r="H15504" s="49">
        <f t="shared" si="2"/>
        <v>80779</v>
      </c>
    </row>
    <row r="15505">
      <c r="A15505" s="48" t="s">
        <v>18553</v>
      </c>
      <c r="B15505" s="38">
        <v>57359.0</v>
      </c>
      <c r="C15505" s="38" t="s">
        <v>19877</v>
      </c>
      <c r="D15505" s="38" t="str">
        <f>IFERROR(__xludf.DUMMYFUNCTION("REGEXREPLACE(C15505,""-\d+(.*)|--\d+(.*)"","""")"),"KEMPLICH")</f>
        <v>KEMPLICH</v>
      </c>
      <c r="E15505" s="38" t="s">
        <v>303</v>
      </c>
      <c r="F15505" s="38" t="s">
        <v>195</v>
      </c>
      <c r="G15505" s="49" t="str">
        <f t="shared" si="1"/>
        <v>57920</v>
      </c>
      <c r="H15505" s="49">
        <f t="shared" si="2"/>
        <v>57359</v>
      </c>
    </row>
    <row r="15506">
      <c r="A15506" s="48" t="s">
        <v>19878</v>
      </c>
      <c r="B15506" s="38">
        <v>77330.0</v>
      </c>
      <c r="C15506" s="38" t="s">
        <v>19879</v>
      </c>
      <c r="D15506" s="38" t="str">
        <f>IFERROR(__xludf.DUMMYFUNCTION("REGEXREPLACE(C15506,""-\d+(.*)|--\d+(.*)"","""")"),"NANTEUIL-LES-MEAUX")</f>
        <v>NANTEUIL-LES-MEAUX</v>
      </c>
      <c r="E15506" s="38" t="s">
        <v>244</v>
      </c>
      <c r="F15506" s="38" t="s">
        <v>245</v>
      </c>
      <c r="G15506" s="49" t="str">
        <f t="shared" si="1"/>
        <v>77100</v>
      </c>
      <c r="H15506" s="49">
        <f t="shared" si="2"/>
        <v>77330</v>
      </c>
    </row>
    <row r="15507">
      <c r="A15507" s="48" t="s">
        <v>266</v>
      </c>
      <c r="B15507" s="38">
        <v>64517.0</v>
      </c>
      <c r="C15507" s="38" t="s">
        <v>19880</v>
      </c>
      <c r="D15507" s="38" t="str">
        <f>IFERROR(__xludf.DUMMYFUNCTION("REGEXREPLACE(C15507,""-\d+(.*)|--\d+(.*)"","""")"),"SEMEACQ-BLACHON")</f>
        <v>SEMEACQ-BLACHON</v>
      </c>
      <c r="E15507" s="38" t="s">
        <v>268</v>
      </c>
      <c r="F15507" s="38" t="s">
        <v>252</v>
      </c>
      <c r="G15507" s="49" t="str">
        <f t="shared" si="1"/>
        <v>64350</v>
      </c>
      <c r="H15507" s="49">
        <f t="shared" si="2"/>
        <v>64517</v>
      </c>
    </row>
    <row r="15508">
      <c r="A15508" s="48" t="s">
        <v>9571</v>
      </c>
      <c r="B15508" s="38">
        <v>78460.0</v>
      </c>
      <c r="C15508" s="38" t="s">
        <v>19881</v>
      </c>
      <c r="D15508" s="38" t="str">
        <f>IFERROR(__xludf.DUMMYFUNCTION("REGEXREPLACE(C15508,""-\d+(.*)|--\d+(.*)"","""")"),"OINVILLE-SUR-MONTCIENT")</f>
        <v>OINVILLE-SUR-MONTCIENT</v>
      </c>
      <c r="E15508" s="38" t="s">
        <v>362</v>
      </c>
      <c r="F15508" s="38" t="s">
        <v>245</v>
      </c>
      <c r="G15508" s="49" t="str">
        <f t="shared" si="1"/>
        <v>78250</v>
      </c>
      <c r="H15508" s="49">
        <f t="shared" si="2"/>
        <v>78460</v>
      </c>
    </row>
    <row r="15509">
      <c r="A15509" s="48" t="s">
        <v>762</v>
      </c>
      <c r="B15509" s="38">
        <v>65408.0</v>
      </c>
      <c r="C15509" s="38" t="s">
        <v>19882</v>
      </c>
      <c r="D15509" s="38" t="str">
        <f>IFERROR(__xludf.DUMMYFUNCTION("REGEXREPLACE(C15509,""-\d+(.*)|--\d+(.*)"","""")"),"SARRANCOLIN")</f>
        <v>SARRANCOLIN</v>
      </c>
      <c r="E15509" s="38" t="s">
        <v>200</v>
      </c>
      <c r="F15509" s="38" t="s">
        <v>94</v>
      </c>
      <c r="G15509" s="49" t="str">
        <f t="shared" si="1"/>
        <v>65410</v>
      </c>
      <c r="H15509" s="49">
        <f t="shared" si="2"/>
        <v>65408</v>
      </c>
    </row>
    <row r="15510">
      <c r="A15510" s="48" t="s">
        <v>19883</v>
      </c>
      <c r="B15510" s="38">
        <v>38173.0</v>
      </c>
      <c r="C15510" s="38" t="s">
        <v>19884</v>
      </c>
      <c r="D15510" s="38" t="str">
        <f>IFERROR(__xludf.DUMMYFUNCTION("REGEXREPLACE(C15510,""-\d+(.*)|--\d+(.*)"","""")"),"LE FRENEY-D'OISANS")</f>
        <v>LE FRENEY-D'OISANS</v>
      </c>
      <c r="E15510" s="38" t="s">
        <v>101</v>
      </c>
      <c r="F15510" s="38" t="s">
        <v>102</v>
      </c>
      <c r="G15510" s="49" t="str">
        <f t="shared" si="1"/>
        <v>38142</v>
      </c>
      <c r="H15510" s="49">
        <f t="shared" si="2"/>
        <v>38173</v>
      </c>
    </row>
    <row r="15511">
      <c r="A15511" s="48" t="s">
        <v>2201</v>
      </c>
      <c r="B15511" s="38">
        <v>32373.0</v>
      </c>
      <c r="C15511" s="38" t="s">
        <v>19885</v>
      </c>
      <c r="D15511" s="38" t="str">
        <f>IFERROR(__xludf.DUMMYFUNCTION("REGEXREPLACE(C15511,""-\d+(.*)|--\d+(.*)"","""")"),"SAINTE-DODE")</f>
        <v>SAINTE-DODE</v>
      </c>
      <c r="E15511" s="38" t="s">
        <v>440</v>
      </c>
      <c r="F15511" s="38" t="s">
        <v>94</v>
      </c>
      <c r="G15511" s="49" t="str">
        <f t="shared" si="1"/>
        <v>32170</v>
      </c>
      <c r="H15511" s="49">
        <f t="shared" si="2"/>
        <v>32373</v>
      </c>
    </row>
    <row r="15512">
      <c r="A15512" s="48" t="s">
        <v>3932</v>
      </c>
      <c r="B15512" s="38">
        <v>61358.0</v>
      </c>
      <c r="C15512" s="38" t="s">
        <v>19886</v>
      </c>
      <c r="D15512" s="38" t="str">
        <f>IFERROR(__xludf.DUMMYFUNCTION("REGEXREPLACE(C15512,""-\d+(.*)|--\d+(.*)"","""")"),"SAI")</f>
        <v>SAI</v>
      </c>
      <c r="E15512" s="38" t="s">
        <v>141</v>
      </c>
      <c r="F15512" s="38" t="s">
        <v>138</v>
      </c>
      <c r="G15512" s="49" t="str">
        <f t="shared" si="1"/>
        <v>61200</v>
      </c>
      <c r="H15512" s="49">
        <f t="shared" si="2"/>
        <v>61358</v>
      </c>
    </row>
    <row r="15513">
      <c r="A15513" s="48" t="s">
        <v>1993</v>
      </c>
      <c r="B15513" s="38">
        <v>2460.0</v>
      </c>
      <c r="C15513" s="38" t="s">
        <v>19887</v>
      </c>
      <c r="D15513" s="38" t="str">
        <f>IFERROR(__xludf.DUMMYFUNCTION("REGEXREPLACE(C15513,""-\d+(.*)|--\d+(.*)"","""")"),"MARCY-SOUS-MARLE")</f>
        <v>MARCY-SOUS-MARLE</v>
      </c>
      <c r="E15513" s="38" t="s">
        <v>191</v>
      </c>
      <c r="F15513" s="38" t="s">
        <v>113</v>
      </c>
      <c r="G15513" s="49" t="str">
        <f t="shared" si="1"/>
        <v>02250</v>
      </c>
      <c r="H15513" s="49" t="str">
        <f t="shared" si="2"/>
        <v>02460</v>
      </c>
    </row>
    <row r="15514">
      <c r="A15514" s="48" t="s">
        <v>19888</v>
      </c>
      <c r="B15514" s="38">
        <v>95116.0</v>
      </c>
      <c r="C15514" s="38" t="s">
        <v>19889</v>
      </c>
      <c r="D15514" s="38" t="str">
        <f>IFERROR(__xludf.DUMMYFUNCTION("REGEXREPLACE(C15514,""-\d+(.*)|--\d+(.*)"","""")"),"BRUYERES-SUR-OISE")</f>
        <v>BRUYERES-SUR-OISE</v>
      </c>
      <c r="E15514" s="38" t="s">
        <v>541</v>
      </c>
      <c r="F15514" s="38" t="s">
        <v>245</v>
      </c>
      <c r="G15514" s="49" t="str">
        <f t="shared" si="1"/>
        <v>95820</v>
      </c>
      <c r="H15514" s="49">
        <f t="shared" si="2"/>
        <v>95116</v>
      </c>
    </row>
    <row r="15515">
      <c r="A15515" s="48" t="s">
        <v>18647</v>
      </c>
      <c r="B15515" s="38">
        <v>63430.0</v>
      </c>
      <c r="C15515" s="38" t="s">
        <v>19890</v>
      </c>
      <c r="D15515" s="38" t="str">
        <f>IFERROR(__xludf.DUMMYFUNCTION("REGEXREPLACE(C15515,""-\d+(.*)|--\d+(.*)"","""")"),"THIERS")</f>
        <v>THIERS</v>
      </c>
      <c r="E15515" s="38" t="s">
        <v>353</v>
      </c>
      <c r="F15515" s="38" t="s">
        <v>161</v>
      </c>
      <c r="G15515" s="49" t="str">
        <f t="shared" si="1"/>
        <v>63300</v>
      </c>
      <c r="H15515" s="49">
        <f t="shared" si="2"/>
        <v>63430</v>
      </c>
    </row>
    <row r="15516">
      <c r="A15516" s="48" t="s">
        <v>2100</v>
      </c>
      <c r="B15516" s="38">
        <v>14205.0</v>
      </c>
      <c r="C15516" s="38" t="s">
        <v>19891</v>
      </c>
      <c r="D15516" s="38" t="str">
        <f>IFERROR(__xludf.DUMMYFUNCTION("REGEXREPLACE(C15516,""-\d+(.*)|--\d+(.*)"","""")"),"CRISTOT")</f>
        <v>CRISTOT</v>
      </c>
      <c r="E15516" s="38" t="s">
        <v>137</v>
      </c>
      <c r="F15516" s="38" t="s">
        <v>138</v>
      </c>
      <c r="G15516" s="49" t="str">
        <f t="shared" si="1"/>
        <v>14250</v>
      </c>
      <c r="H15516" s="49">
        <f t="shared" si="2"/>
        <v>14205</v>
      </c>
    </row>
    <row r="15517">
      <c r="A15517" s="48" t="s">
        <v>5130</v>
      </c>
      <c r="B15517" s="38">
        <v>19248.0</v>
      </c>
      <c r="C15517" s="38" t="s">
        <v>19892</v>
      </c>
      <c r="D15517" s="38" t="str">
        <f>IFERROR(__xludf.DUMMYFUNCTION("REGEXREPLACE(C15517,""-\d+(.*)|--\d+(.*)"","""")"),"SAINT-YBARD")</f>
        <v>SAINT-YBARD</v>
      </c>
      <c r="E15517" s="38" t="s">
        <v>271</v>
      </c>
      <c r="F15517" s="38" t="s">
        <v>98</v>
      </c>
      <c r="G15517" s="49" t="str">
        <f t="shared" si="1"/>
        <v>19140</v>
      </c>
      <c r="H15517" s="49">
        <f t="shared" si="2"/>
        <v>19248</v>
      </c>
    </row>
    <row r="15518">
      <c r="A15518" s="48" t="s">
        <v>1978</v>
      </c>
      <c r="B15518" s="38">
        <v>88421.0</v>
      </c>
      <c r="C15518" s="38" t="s">
        <v>812</v>
      </c>
      <c r="D15518" s="38" t="str">
        <f>IFERROR(__xludf.DUMMYFUNCTION("REGEXREPLACE(C15518,""-\d+(.*)|--\d+(.*)"","""")"),"SAINT-JULIEN")</f>
        <v>SAINT-JULIEN</v>
      </c>
      <c r="E15518" s="38" t="s">
        <v>194</v>
      </c>
      <c r="F15518" s="38" t="s">
        <v>195</v>
      </c>
      <c r="G15518" s="49" t="str">
        <f t="shared" si="1"/>
        <v>88410</v>
      </c>
      <c r="H15518" s="49">
        <f t="shared" si="2"/>
        <v>88421</v>
      </c>
    </row>
    <row r="15519">
      <c r="A15519" s="48" t="s">
        <v>1286</v>
      </c>
      <c r="B15519" s="38">
        <v>47300.0</v>
      </c>
      <c r="C15519" s="38" t="s">
        <v>19893</v>
      </c>
      <c r="D15519" s="38" t="str">
        <f>IFERROR(__xludf.DUMMYFUNCTION("REGEXREPLACE(C15519,""-\d+(.*)|--\d+(.*)"","""")"),"SERIGNAC-SUR-GARONNE")</f>
        <v>SERIGNAC-SUR-GARONNE</v>
      </c>
      <c r="E15519" s="38" t="s">
        <v>251</v>
      </c>
      <c r="F15519" s="38" t="s">
        <v>252</v>
      </c>
      <c r="G15519" s="49" t="str">
        <f t="shared" si="1"/>
        <v>47310</v>
      </c>
      <c r="H15519" s="49">
        <f t="shared" si="2"/>
        <v>47300</v>
      </c>
    </row>
    <row r="15520">
      <c r="A15520" s="48" t="s">
        <v>9871</v>
      </c>
      <c r="B15520" s="38">
        <v>22116.0</v>
      </c>
      <c r="C15520" s="38" t="s">
        <v>19894</v>
      </c>
      <c r="D15520" s="38" t="str">
        <f>IFERROR(__xludf.DUMMYFUNCTION("REGEXREPLACE(C15520,""-\d+(.*)|--\d+(.*)"","""")"),"LANRODEC")</f>
        <v>LANRODEC</v>
      </c>
      <c r="E15520" s="38" t="s">
        <v>89</v>
      </c>
      <c r="F15520" s="38" t="s">
        <v>90</v>
      </c>
      <c r="G15520" s="49" t="str">
        <f t="shared" si="1"/>
        <v>22170</v>
      </c>
      <c r="H15520" s="49">
        <f t="shared" si="2"/>
        <v>22116</v>
      </c>
    </row>
    <row r="15521">
      <c r="A15521" s="48" t="s">
        <v>13460</v>
      </c>
      <c r="B15521" s="38">
        <v>68151.0</v>
      </c>
      <c r="C15521" s="38" t="s">
        <v>19895</v>
      </c>
      <c r="D15521" s="38" t="str">
        <f>IFERROR(__xludf.DUMMYFUNCTION("REGEXREPLACE(C15521,""-\d+(.*)|--\d+(.*)"","""")"),"HUSSEREN-WESSERLING")</f>
        <v>HUSSEREN-WESSERLING</v>
      </c>
      <c r="E15521" s="38" t="s">
        <v>150</v>
      </c>
      <c r="F15521" s="38" t="s">
        <v>151</v>
      </c>
      <c r="G15521" s="49" t="str">
        <f t="shared" si="1"/>
        <v>68470</v>
      </c>
      <c r="H15521" s="49">
        <f t="shared" si="2"/>
        <v>68151</v>
      </c>
    </row>
    <row r="15522">
      <c r="A15522" s="48" t="s">
        <v>8967</v>
      </c>
      <c r="B15522" s="38">
        <v>80009.0</v>
      </c>
      <c r="C15522" s="38" t="s">
        <v>19896</v>
      </c>
      <c r="D15522" s="38" t="str">
        <f>IFERROR(__xludf.DUMMYFUNCTION("REGEXREPLACE(C15522,""-\d+(.*)|--\d+(.*)"","""")"),"AILLY-LE-HAUT-CLOCHER")</f>
        <v>AILLY-LE-HAUT-CLOCHER</v>
      </c>
      <c r="E15522" s="38" t="s">
        <v>224</v>
      </c>
      <c r="F15522" s="38" t="s">
        <v>113</v>
      </c>
      <c r="G15522" s="49" t="str">
        <f t="shared" si="1"/>
        <v>80690</v>
      </c>
      <c r="H15522" s="49">
        <f t="shared" si="2"/>
        <v>80009</v>
      </c>
    </row>
    <row r="15523">
      <c r="A15523" s="48" t="s">
        <v>1435</v>
      </c>
      <c r="B15523" s="38">
        <v>14644.0</v>
      </c>
      <c r="C15523" s="38" t="s">
        <v>19897</v>
      </c>
      <c r="D15523" s="38" t="str">
        <f>IFERROR(__xludf.DUMMYFUNCTION("REGEXREPLACE(C15523,""-\d+(.*)|--\d+(.*)"","""")"),"SAINT-PHILBERT-DES-CHAMPS")</f>
        <v>SAINT-PHILBERT-DES-CHAMPS</v>
      </c>
      <c r="E15523" s="38" t="s">
        <v>137</v>
      </c>
      <c r="F15523" s="38" t="s">
        <v>138</v>
      </c>
      <c r="G15523" s="49" t="str">
        <f t="shared" si="1"/>
        <v>14130</v>
      </c>
      <c r="H15523" s="49">
        <f t="shared" si="2"/>
        <v>14644</v>
      </c>
    </row>
    <row r="15524">
      <c r="A15524" s="48" t="s">
        <v>19898</v>
      </c>
      <c r="B15524" s="38">
        <v>69088.0</v>
      </c>
      <c r="C15524" s="38" t="s">
        <v>19899</v>
      </c>
      <c r="D15524" s="38" t="str">
        <f>IFERROR(__xludf.DUMMYFUNCTION("REGEXREPLACE(C15524,""-\d+(.*)|--\d+(.*)"","""")"),"FONTAINES-SUR-SAONE")</f>
        <v>FONTAINES-SUR-SAONE</v>
      </c>
      <c r="E15524" s="38" t="s">
        <v>350</v>
      </c>
      <c r="F15524" s="38" t="s">
        <v>102</v>
      </c>
      <c r="G15524" s="49" t="str">
        <f t="shared" si="1"/>
        <v>69270</v>
      </c>
      <c r="H15524" s="49">
        <f t="shared" si="2"/>
        <v>69088</v>
      </c>
    </row>
    <row r="15525">
      <c r="A15525" s="48" t="s">
        <v>5381</v>
      </c>
      <c r="B15525" s="38">
        <v>38025.0</v>
      </c>
      <c r="C15525" s="38" t="s">
        <v>19900</v>
      </c>
      <c r="D15525" s="38" t="str">
        <f>IFERROR(__xludf.DUMMYFUNCTION("REGEXREPLACE(C15525,""-\d+(.*)|--\d+(.*)"","""")"),"BALBINS")</f>
        <v>BALBINS</v>
      </c>
      <c r="E15525" s="38" t="s">
        <v>101</v>
      </c>
      <c r="F15525" s="38" t="s">
        <v>102</v>
      </c>
      <c r="G15525" s="49" t="str">
        <f t="shared" si="1"/>
        <v>38260</v>
      </c>
      <c r="H15525" s="49">
        <f t="shared" si="2"/>
        <v>38025</v>
      </c>
    </row>
    <row r="15526">
      <c r="A15526" s="48" t="s">
        <v>9430</v>
      </c>
      <c r="B15526" s="38">
        <v>24106.0</v>
      </c>
      <c r="C15526" s="38" t="s">
        <v>19901</v>
      </c>
      <c r="D15526" s="38" t="str">
        <f>IFERROR(__xludf.DUMMYFUNCTION("REGEXREPLACE(C15526,""-\d+(.*)|--\d+(.*)"","""")"),"LA CHAPELLE-AUBAREIL")</f>
        <v>LA CHAPELLE-AUBAREIL</v>
      </c>
      <c r="E15526" s="38" t="s">
        <v>261</v>
      </c>
      <c r="F15526" s="38" t="s">
        <v>252</v>
      </c>
      <c r="G15526" s="49" t="str">
        <f t="shared" si="1"/>
        <v>24290</v>
      </c>
      <c r="H15526" s="49">
        <f t="shared" si="2"/>
        <v>24106</v>
      </c>
    </row>
    <row r="15527">
      <c r="A15527" s="48" t="s">
        <v>17847</v>
      </c>
      <c r="B15527" s="38" t="s">
        <v>19902</v>
      </c>
      <c r="C15527" s="38" t="s">
        <v>19903</v>
      </c>
      <c r="D15527" s="38" t="str">
        <f>IFERROR(__xludf.DUMMYFUNCTION("REGEXREPLACE(C15527,""-\d+(.*)|--\d+(.*)"","""")"),"TAVACO")</f>
        <v>TAVACO</v>
      </c>
      <c r="E15527" s="38" t="s">
        <v>606</v>
      </c>
      <c r="F15527" s="38" t="s">
        <v>607</v>
      </c>
      <c r="G15527" s="49" t="str">
        <f t="shared" si="1"/>
        <v>20167</v>
      </c>
      <c r="H15527" s="49" t="str">
        <f t="shared" si="2"/>
        <v>2A323</v>
      </c>
    </row>
    <row r="15528">
      <c r="A15528" s="48" t="s">
        <v>2554</v>
      </c>
      <c r="B15528" s="38">
        <v>95253.0</v>
      </c>
      <c r="C15528" s="38" t="s">
        <v>19904</v>
      </c>
      <c r="D15528" s="38" t="str">
        <f>IFERROR(__xludf.DUMMYFUNCTION("REGEXREPLACE(C15528,""-\d+(.*)|--\d+(.*)"","""")"),"FREMAINVILLE")</f>
        <v>FREMAINVILLE</v>
      </c>
      <c r="E15528" s="38" t="s">
        <v>541</v>
      </c>
      <c r="F15528" s="38" t="s">
        <v>245</v>
      </c>
      <c r="G15528" s="49" t="str">
        <f t="shared" si="1"/>
        <v>95450</v>
      </c>
      <c r="H15528" s="49">
        <f t="shared" si="2"/>
        <v>95253</v>
      </c>
    </row>
    <row r="15529">
      <c r="A15529" s="48" t="s">
        <v>19905</v>
      </c>
      <c r="B15529" s="38">
        <v>67368.0</v>
      </c>
      <c r="C15529" s="38" t="s">
        <v>19906</v>
      </c>
      <c r="D15529" s="38" t="str">
        <f>IFERROR(__xludf.DUMMYFUNCTION("REGEXREPLACE(C15529,""-\d+(.*)|--\d+(.*)"","""")"),"OTTROTT")</f>
        <v>OTTROTT</v>
      </c>
      <c r="E15529" s="38" t="s">
        <v>210</v>
      </c>
      <c r="F15529" s="38" t="s">
        <v>151</v>
      </c>
      <c r="G15529" s="49" t="str">
        <f t="shared" si="1"/>
        <v>67530</v>
      </c>
      <c r="H15529" s="49">
        <f t="shared" si="2"/>
        <v>67368</v>
      </c>
    </row>
    <row r="15530">
      <c r="A15530" s="48" t="s">
        <v>1540</v>
      </c>
      <c r="B15530" s="38">
        <v>70550.0</v>
      </c>
      <c r="C15530" s="38" t="s">
        <v>19907</v>
      </c>
      <c r="D15530" s="38" t="str">
        <f>IFERROR(__xludf.DUMMYFUNCTION("REGEXREPLACE(C15530,""-\d+(.*)|--\d+(.*)"","""")"),"VESOUL")</f>
        <v>VESOUL</v>
      </c>
      <c r="E15530" s="38" t="s">
        <v>956</v>
      </c>
      <c r="F15530" s="38" t="s">
        <v>214</v>
      </c>
      <c r="G15530" s="49" t="str">
        <f t="shared" si="1"/>
        <v>70000</v>
      </c>
      <c r="H15530" s="49">
        <f t="shared" si="2"/>
        <v>70550</v>
      </c>
    </row>
    <row r="15531">
      <c r="A15531" s="48" t="s">
        <v>19908</v>
      </c>
      <c r="B15531" s="38">
        <v>34126.0</v>
      </c>
      <c r="C15531" s="38" t="s">
        <v>19909</v>
      </c>
      <c r="D15531" s="38" t="str">
        <f>IFERROR(__xludf.DUMMYFUNCTION("REGEXREPLACE(C15531,""-\d+(.*)|--\d+(.*)"","""")"),"LAMALOU-LES-BAINS")</f>
        <v>LAMALOU-LES-BAINS</v>
      </c>
      <c r="E15531" s="38" t="s">
        <v>118</v>
      </c>
      <c r="F15531" s="38" t="s">
        <v>119</v>
      </c>
      <c r="G15531" s="49" t="str">
        <f t="shared" si="1"/>
        <v>34240</v>
      </c>
      <c r="H15531" s="49">
        <f t="shared" si="2"/>
        <v>34126</v>
      </c>
    </row>
    <row r="15532">
      <c r="A15532" s="48" t="s">
        <v>1381</v>
      </c>
      <c r="B15532" s="38">
        <v>62507.0</v>
      </c>
      <c r="C15532" s="38" t="s">
        <v>19910</v>
      </c>
      <c r="D15532" s="38" t="str">
        <f>IFERROR(__xludf.DUMMYFUNCTION("REGEXREPLACE(C15532,""-\d+(.*)|--\d+(.*)"","""")"),"LIENCOURT")</f>
        <v>LIENCOURT</v>
      </c>
      <c r="E15532" s="38" t="s">
        <v>109</v>
      </c>
      <c r="F15532" s="38" t="s">
        <v>86</v>
      </c>
      <c r="G15532" s="49" t="str">
        <f t="shared" si="1"/>
        <v>62810</v>
      </c>
      <c r="H15532" s="49">
        <f t="shared" si="2"/>
        <v>62507</v>
      </c>
    </row>
    <row r="15533">
      <c r="A15533" s="48" t="s">
        <v>2376</v>
      </c>
      <c r="B15533" s="38">
        <v>79121.0</v>
      </c>
      <c r="C15533" s="38" t="s">
        <v>19911</v>
      </c>
      <c r="D15533" s="38" t="str">
        <f>IFERROR(__xludf.DUMMYFUNCTION("REGEXREPLACE(C15533,""-\d+(.*)|--\d+(.*)"","""")"),"FOMPERRON")</f>
        <v>FOMPERRON</v>
      </c>
      <c r="E15533" s="38" t="s">
        <v>337</v>
      </c>
      <c r="F15533" s="38" t="s">
        <v>338</v>
      </c>
      <c r="G15533" s="49" t="str">
        <f t="shared" si="1"/>
        <v>79340</v>
      </c>
      <c r="H15533" s="49">
        <f t="shared" si="2"/>
        <v>79121</v>
      </c>
    </row>
    <row r="15534">
      <c r="A15534" s="48" t="s">
        <v>1205</v>
      </c>
      <c r="B15534" s="38">
        <v>54080.0</v>
      </c>
      <c r="C15534" s="38" t="s">
        <v>19912</v>
      </c>
      <c r="D15534" s="38" t="str">
        <f>IFERROR(__xludf.DUMMYFUNCTION("REGEXREPLACE(C15534,""-\d+(.*)|--\d+(.*)"","""")"),"BLENOD-LES-TOUL")</f>
        <v>BLENOD-LES-TOUL</v>
      </c>
      <c r="E15534" s="38" t="s">
        <v>548</v>
      </c>
      <c r="F15534" s="38" t="s">
        <v>195</v>
      </c>
      <c r="G15534" s="49" t="str">
        <f t="shared" si="1"/>
        <v>54113</v>
      </c>
      <c r="H15534" s="49">
        <f t="shared" si="2"/>
        <v>54080</v>
      </c>
    </row>
    <row r="15535">
      <c r="A15535" s="48" t="s">
        <v>18941</v>
      </c>
      <c r="B15535" s="38">
        <v>74173.0</v>
      </c>
      <c r="C15535" s="38" t="s">
        <v>19913</v>
      </c>
      <c r="D15535" s="38" t="str">
        <f>IFERROR(__xludf.DUMMYFUNCTION("REGEXREPLACE(C15535,""-\d+(.*)|--\d+(.*)"","""")"),"MEGEVE")</f>
        <v>MEGEVE</v>
      </c>
      <c r="E15535" s="38" t="s">
        <v>319</v>
      </c>
      <c r="F15535" s="38" t="s">
        <v>102</v>
      </c>
      <c r="G15535" s="49" t="str">
        <f t="shared" si="1"/>
        <v>74120</v>
      </c>
      <c r="H15535" s="49">
        <f t="shared" si="2"/>
        <v>74173</v>
      </c>
    </row>
    <row r="15536">
      <c r="A15536" s="48" t="s">
        <v>6557</v>
      </c>
      <c r="B15536" s="38">
        <v>82178.0</v>
      </c>
      <c r="C15536" s="38" t="s">
        <v>19914</v>
      </c>
      <c r="D15536" s="38" t="str">
        <f>IFERROR(__xludf.DUMMYFUNCTION("REGEXREPLACE(C15536,""-\d+(.*)|--\d+(.*)"","""")"),"SAVENES")</f>
        <v>SAVENES</v>
      </c>
      <c r="E15536" s="38" t="s">
        <v>570</v>
      </c>
      <c r="F15536" s="38" t="s">
        <v>94</v>
      </c>
      <c r="G15536" s="49" t="str">
        <f t="shared" si="1"/>
        <v>82600</v>
      </c>
      <c r="H15536" s="49">
        <f t="shared" si="2"/>
        <v>82178</v>
      </c>
    </row>
    <row r="15537">
      <c r="A15537" s="48" t="s">
        <v>12539</v>
      </c>
      <c r="B15537" s="38">
        <v>14188.0</v>
      </c>
      <c r="C15537" s="38" t="s">
        <v>19915</v>
      </c>
      <c r="D15537" s="38" t="str">
        <f>IFERROR(__xludf.DUMMYFUNCTION("REGEXREPLACE(C15537,""-\d+(.*)|--\d+(.*)"","""")"),"COULVAIN")</f>
        <v>COULVAIN</v>
      </c>
      <c r="E15537" s="38" t="s">
        <v>137</v>
      </c>
      <c r="F15537" s="38" t="s">
        <v>138</v>
      </c>
      <c r="G15537" s="49" t="str">
        <f t="shared" si="1"/>
        <v>14310</v>
      </c>
      <c r="H15537" s="49">
        <f t="shared" si="2"/>
        <v>14188</v>
      </c>
    </row>
    <row r="15538">
      <c r="A15538" s="48" t="s">
        <v>3011</v>
      </c>
      <c r="B15538" s="38">
        <v>63396.0</v>
      </c>
      <c r="C15538" s="38" t="s">
        <v>1113</v>
      </c>
      <c r="D15538" s="38" t="str">
        <f>IFERROR(__xludf.DUMMYFUNCTION("REGEXREPLACE(C15538,""-\d+(.*)|--\d+(.*)"","""")"),"SAINT-SATURNIN")</f>
        <v>SAINT-SATURNIN</v>
      </c>
      <c r="E15538" s="38" t="s">
        <v>353</v>
      </c>
      <c r="F15538" s="38" t="s">
        <v>161</v>
      </c>
      <c r="G15538" s="49" t="str">
        <f t="shared" si="1"/>
        <v>63450</v>
      </c>
      <c r="H15538" s="49">
        <f t="shared" si="2"/>
        <v>63396</v>
      </c>
    </row>
    <row r="15539">
      <c r="A15539" s="48" t="s">
        <v>10765</v>
      </c>
      <c r="B15539" s="38">
        <v>36035.0</v>
      </c>
      <c r="C15539" s="38" t="s">
        <v>19916</v>
      </c>
      <c r="D15539" s="38" t="str">
        <f>IFERROR(__xludf.DUMMYFUNCTION("REGEXREPLACE(C15539,""-\d+(.*)|--\d+(.*)"","""")"),"CHAILLAC")</f>
        <v>CHAILLAC</v>
      </c>
      <c r="E15539" s="38" t="s">
        <v>258</v>
      </c>
      <c r="F15539" s="38" t="s">
        <v>123</v>
      </c>
      <c r="G15539" s="49" t="str">
        <f t="shared" si="1"/>
        <v>36310</v>
      </c>
      <c r="H15539" s="49">
        <f t="shared" si="2"/>
        <v>36035</v>
      </c>
    </row>
    <row r="15540">
      <c r="A15540" s="48" t="s">
        <v>14148</v>
      </c>
      <c r="B15540" s="38">
        <v>31332.0</v>
      </c>
      <c r="C15540" s="38" t="s">
        <v>19917</v>
      </c>
      <c r="D15540" s="38" t="str">
        <f>IFERROR(__xludf.DUMMYFUNCTION("REGEXREPLACE(C15540,""-\d+(.*)|--\d+(.*)"","""")"),"MAUVAISIN")</f>
        <v>MAUVAISIN</v>
      </c>
      <c r="E15540" s="38" t="s">
        <v>93</v>
      </c>
      <c r="F15540" s="38" t="s">
        <v>94</v>
      </c>
      <c r="G15540" s="49" t="str">
        <f t="shared" si="1"/>
        <v>31190</v>
      </c>
      <c r="H15540" s="49">
        <f t="shared" si="2"/>
        <v>31332</v>
      </c>
    </row>
    <row r="15541">
      <c r="A15541" s="48" t="s">
        <v>10954</v>
      </c>
      <c r="B15541" s="38">
        <v>87037.0</v>
      </c>
      <c r="C15541" s="38" t="s">
        <v>19918</v>
      </c>
      <c r="D15541" s="38" t="str">
        <f>IFERROR(__xludf.DUMMYFUNCTION("REGEXREPLACE(C15541,""-\d+(.*)|--\d+(.*)"","""")"),"LA CHAPELLE-MONTBRANDEIX")</f>
        <v>LA CHAPELLE-MONTBRANDEIX</v>
      </c>
      <c r="E15541" s="38" t="s">
        <v>897</v>
      </c>
      <c r="F15541" s="38" t="s">
        <v>98</v>
      </c>
      <c r="G15541" s="49" t="str">
        <f t="shared" si="1"/>
        <v>87440</v>
      </c>
      <c r="H15541" s="49">
        <f t="shared" si="2"/>
        <v>87037</v>
      </c>
    </row>
    <row r="15542">
      <c r="A15542" s="48" t="s">
        <v>509</v>
      </c>
      <c r="B15542" s="38">
        <v>28300.0</v>
      </c>
      <c r="C15542" s="38" t="s">
        <v>19919</v>
      </c>
      <c r="D15542" s="38" t="str">
        <f>IFERROR(__xludf.DUMMYFUNCTION("REGEXREPLACE(C15542,""-\d+(.*)|--\d+(.*)"","""")"),"POINVILLE")</f>
        <v>POINVILLE</v>
      </c>
      <c r="E15542" s="38" t="s">
        <v>300</v>
      </c>
      <c r="F15542" s="38" t="s">
        <v>123</v>
      </c>
      <c r="G15542" s="49" t="str">
        <f t="shared" si="1"/>
        <v>28310</v>
      </c>
      <c r="H15542" s="49">
        <f t="shared" si="2"/>
        <v>28300</v>
      </c>
    </row>
    <row r="15543">
      <c r="A15543" s="48" t="s">
        <v>17181</v>
      </c>
      <c r="B15543" s="38">
        <v>35151.0</v>
      </c>
      <c r="C15543" s="38" t="s">
        <v>19920</v>
      </c>
      <c r="D15543" s="38" t="str">
        <f>IFERROR(__xludf.DUMMYFUNCTION("REGEXREPLACE(C15543,""-\d+(.*)|--\d+(.*)"","""")"),"LIEURON")</f>
        <v>LIEURON</v>
      </c>
      <c r="E15543" s="38" t="s">
        <v>347</v>
      </c>
      <c r="F15543" s="38" t="s">
        <v>90</v>
      </c>
      <c r="G15543" s="49" t="str">
        <f t="shared" si="1"/>
        <v>35550</v>
      </c>
      <c r="H15543" s="49">
        <f t="shared" si="2"/>
        <v>35151</v>
      </c>
    </row>
    <row r="15544">
      <c r="A15544" s="48" t="s">
        <v>19921</v>
      </c>
      <c r="B15544" s="38">
        <v>57030.0</v>
      </c>
      <c r="C15544" s="38" t="s">
        <v>16038</v>
      </c>
      <c r="D15544" s="38" t="str">
        <f>IFERROR(__xludf.DUMMYFUNCTION("REGEXREPLACE(C15544,""-\d+(.*)|--\d+(.*)"","""")"),"ARRY")</f>
        <v>ARRY</v>
      </c>
      <c r="E15544" s="38" t="s">
        <v>303</v>
      </c>
      <c r="F15544" s="38" t="s">
        <v>195</v>
      </c>
      <c r="G15544" s="49" t="str">
        <f t="shared" si="1"/>
        <v>57680</v>
      </c>
      <c r="H15544" s="49">
        <f t="shared" si="2"/>
        <v>57030</v>
      </c>
    </row>
    <row r="15545">
      <c r="A15545" s="48" t="s">
        <v>1157</v>
      </c>
      <c r="B15545" s="38">
        <v>16074.0</v>
      </c>
      <c r="C15545" s="38" t="s">
        <v>19922</v>
      </c>
      <c r="D15545" s="38" t="str">
        <f>IFERROR(__xludf.DUMMYFUNCTION("REGEXREPLACE(C15545,""-\d+(.*)|--\d+(.*)"","""")"),"CHALLIGNAC")</f>
        <v>CHALLIGNAC</v>
      </c>
      <c r="E15545" s="38" t="s">
        <v>429</v>
      </c>
      <c r="F15545" s="38" t="s">
        <v>338</v>
      </c>
      <c r="G15545" s="49" t="str">
        <f t="shared" si="1"/>
        <v>16300</v>
      </c>
      <c r="H15545" s="49">
        <f t="shared" si="2"/>
        <v>16074</v>
      </c>
    </row>
    <row r="15546">
      <c r="A15546" s="48" t="s">
        <v>5104</v>
      </c>
      <c r="B15546" s="38">
        <v>29124.0</v>
      </c>
      <c r="C15546" s="38" t="s">
        <v>19923</v>
      </c>
      <c r="D15546" s="38" t="str">
        <f>IFERROR(__xludf.DUMMYFUNCTION("REGEXREPLACE(C15546,""-\d+(.*)|--\d+(.*)"","""")"),"LESNEVEN")</f>
        <v>LESNEVEN</v>
      </c>
      <c r="E15546" s="38" t="s">
        <v>176</v>
      </c>
      <c r="F15546" s="38" t="s">
        <v>90</v>
      </c>
      <c r="G15546" s="49" t="str">
        <f t="shared" si="1"/>
        <v>29260</v>
      </c>
      <c r="H15546" s="49">
        <f t="shared" si="2"/>
        <v>29124</v>
      </c>
    </row>
    <row r="15547">
      <c r="A15547" s="48" t="s">
        <v>6080</v>
      </c>
      <c r="B15547" s="38">
        <v>76693.0</v>
      </c>
      <c r="C15547" s="38" t="s">
        <v>19924</v>
      </c>
      <c r="D15547" s="38" t="str">
        <f>IFERROR(__xludf.DUMMYFUNCTION("REGEXREPLACE(C15547,""-\d+(.*)|--\d+(.*)"","""")"),"LE TILLEUL")</f>
        <v>LE TILLEUL</v>
      </c>
      <c r="E15547" s="38" t="s">
        <v>133</v>
      </c>
      <c r="F15547" s="38" t="s">
        <v>134</v>
      </c>
      <c r="G15547" s="49" t="str">
        <f t="shared" si="1"/>
        <v>76790</v>
      </c>
      <c r="H15547" s="49">
        <f t="shared" si="2"/>
        <v>76693</v>
      </c>
    </row>
    <row r="15548">
      <c r="A15548" s="48" t="s">
        <v>765</v>
      </c>
      <c r="B15548" s="38">
        <v>89278.0</v>
      </c>
      <c r="C15548" s="38" t="s">
        <v>11216</v>
      </c>
      <c r="D15548" s="38" t="str">
        <f>IFERROR(__xludf.DUMMYFUNCTION("REGEXREPLACE(C15548,""-\d+(.*)|--\d+(.*)"","""")"),"NOE")</f>
        <v>NOE</v>
      </c>
      <c r="E15548" s="38" t="s">
        <v>275</v>
      </c>
      <c r="F15548" s="38" t="s">
        <v>106</v>
      </c>
      <c r="G15548" s="49" t="str">
        <f t="shared" si="1"/>
        <v>89320</v>
      </c>
      <c r="H15548" s="49">
        <f t="shared" si="2"/>
        <v>89278</v>
      </c>
    </row>
    <row r="15549">
      <c r="A15549" s="48" t="s">
        <v>3359</v>
      </c>
      <c r="B15549" s="38">
        <v>9189.0</v>
      </c>
      <c r="C15549" s="38" t="s">
        <v>19925</v>
      </c>
      <c r="D15549" s="38" t="str">
        <f>IFERROR(__xludf.DUMMYFUNCTION("REGEXREPLACE(C15549,""-\d+(.*)|--\d+(.*)"","""")"),"MERENS-LES-VALS")</f>
        <v>MERENS-LES-VALS</v>
      </c>
      <c r="E15549" s="38" t="s">
        <v>238</v>
      </c>
      <c r="F15549" s="38" t="s">
        <v>94</v>
      </c>
      <c r="G15549" s="49" t="str">
        <f t="shared" si="1"/>
        <v>09110</v>
      </c>
      <c r="H15549" s="49" t="str">
        <f t="shared" si="2"/>
        <v>09189</v>
      </c>
    </row>
    <row r="15550">
      <c r="A15550" s="48" t="s">
        <v>19926</v>
      </c>
      <c r="B15550" s="38" t="s">
        <v>19927</v>
      </c>
      <c r="C15550" s="38" t="s">
        <v>19928</v>
      </c>
      <c r="D15550" s="38" t="str">
        <f>IFERROR(__xludf.DUMMYFUNCTION("REGEXREPLACE(C15550,""-\d+(.*)|--\d+(.*)"","""")"),"CARGESE")</f>
        <v>CARGESE</v>
      </c>
      <c r="E15550" s="38" t="s">
        <v>606</v>
      </c>
      <c r="F15550" s="38" t="s">
        <v>607</v>
      </c>
      <c r="G15550" s="49" t="str">
        <f t="shared" si="1"/>
        <v>20130</v>
      </c>
      <c r="H15550" s="49" t="str">
        <f t="shared" si="2"/>
        <v>2A065</v>
      </c>
    </row>
    <row r="15551">
      <c r="A15551" s="48" t="s">
        <v>3252</v>
      </c>
      <c r="B15551" s="38">
        <v>63027.0</v>
      </c>
      <c r="C15551" s="38" t="s">
        <v>19929</v>
      </c>
      <c r="D15551" s="38" t="str">
        <f>IFERROR(__xludf.DUMMYFUNCTION("REGEXREPLACE(C15551,""-\d+(.*)|--\d+(.*)"","""")"),"BAFFIE")</f>
        <v>BAFFIE</v>
      </c>
      <c r="E15551" s="38" t="s">
        <v>353</v>
      </c>
      <c r="F15551" s="38" t="s">
        <v>161</v>
      </c>
      <c r="G15551" s="49" t="str">
        <f t="shared" si="1"/>
        <v>63600</v>
      </c>
      <c r="H15551" s="49">
        <f t="shared" si="2"/>
        <v>63027</v>
      </c>
    </row>
    <row r="15552">
      <c r="A15552" s="48" t="s">
        <v>19930</v>
      </c>
      <c r="B15552" s="38">
        <v>76354.0</v>
      </c>
      <c r="C15552" s="38" t="s">
        <v>19931</v>
      </c>
      <c r="D15552" s="38" t="str">
        <f>IFERROR(__xludf.DUMMYFUNCTION("REGEXREPLACE(C15552,""-\d+(.*)|--\d+(.*)"","""")"),"HENOUVILLE")</f>
        <v>HENOUVILLE</v>
      </c>
      <c r="E15552" s="38" t="s">
        <v>133</v>
      </c>
      <c r="F15552" s="38" t="s">
        <v>134</v>
      </c>
      <c r="G15552" s="49" t="str">
        <f t="shared" si="1"/>
        <v>76840</v>
      </c>
      <c r="H15552" s="49">
        <f t="shared" si="2"/>
        <v>76354</v>
      </c>
    </row>
    <row r="15553">
      <c r="A15553" s="48" t="s">
        <v>1526</v>
      </c>
      <c r="B15553" s="38">
        <v>60602.0</v>
      </c>
      <c r="C15553" s="38" t="s">
        <v>19932</v>
      </c>
      <c r="D15553" s="38" t="str">
        <f>IFERROR(__xludf.DUMMYFUNCTION("REGEXREPLACE(C15553,""-\d+(.*)|--\d+(.*)"","""")"),"SAINT-VALERY")</f>
        <v>SAINT-VALERY</v>
      </c>
      <c r="E15553" s="38" t="s">
        <v>112</v>
      </c>
      <c r="F15553" s="38" t="s">
        <v>113</v>
      </c>
      <c r="G15553" s="49" t="str">
        <f t="shared" si="1"/>
        <v>60220</v>
      </c>
      <c r="H15553" s="49">
        <f t="shared" si="2"/>
        <v>60602</v>
      </c>
    </row>
    <row r="15554">
      <c r="A15554" s="48" t="s">
        <v>2989</v>
      </c>
      <c r="B15554" s="38">
        <v>70109.0</v>
      </c>
      <c r="C15554" s="38" t="s">
        <v>9533</v>
      </c>
      <c r="D15554" s="38" t="str">
        <f>IFERROR(__xludf.DUMMYFUNCTION("REGEXREPLACE(C15554,""-\d+(.*)|--\d+(.*)"","""")"),"BUTHIERS")</f>
        <v>BUTHIERS</v>
      </c>
      <c r="E15554" s="38" t="s">
        <v>956</v>
      </c>
      <c r="F15554" s="38" t="s">
        <v>214</v>
      </c>
      <c r="G15554" s="49" t="str">
        <f t="shared" si="1"/>
        <v>70190</v>
      </c>
      <c r="H15554" s="49">
        <f t="shared" si="2"/>
        <v>70109</v>
      </c>
    </row>
    <row r="15555">
      <c r="A15555" s="48" t="s">
        <v>8196</v>
      </c>
      <c r="B15555" s="38">
        <v>23170.0</v>
      </c>
      <c r="C15555" s="38" t="s">
        <v>19933</v>
      </c>
      <c r="D15555" s="38" t="str">
        <f>IFERROR(__xludf.DUMMYFUNCTION("REGEXREPLACE(C15555,""-\d+(.*)|--\d+(.*)"","""")"),"SAVENNES")</f>
        <v>SAVENNES</v>
      </c>
      <c r="E15555" s="38" t="s">
        <v>97</v>
      </c>
      <c r="F15555" s="38" t="s">
        <v>98</v>
      </c>
      <c r="G15555" s="49" t="str">
        <f t="shared" si="1"/>
        <v>23000</v>
      </c>
      <c r="H15555" s="49">
        <f t="shared" si="2"/>
        <v>23170</v>
      </c>
    </row>
    <row r="15556">
      <c r="A15556" s="48" t="s">
        <v>493</v>
      </c>
      <c r="B15556" s="38">
        <v>28075.0</v>
      </c>
      <c r="C15556" s="38" t="s">
        <v>19934</v>
      </c>
      <c r="D15556" s="38" t="str">
        <f>IFERROR(__xludf.DUMMYFUNCTION("REGEXREPLACE(C15556,""-\d+(.*)|--\d+(.*)"","""")"),"LA CHAPELLE-DU-NOYER")</f>
        <v>LA CHAPELLE-DU-NOYER</v>
      </c>
      <c r="E15556" s="38" t="s">
        <v>300</v>
      </c>
      <c r="F15556" s="38" t="s">
        <v>123</v>
      </c>
      <c r="G15556" s="49" t="str">
        <f t="shared" si="1"/>
        <v>28200</v>
      </c>
      <c r="H15556" s="49">
        <f t="shared" si="2"/>
        <v>28075</v>
      </c>
    </row>
    <row r="15557">
      <c r="A15557" s="48" t="s">
        <v>7353</v>
      </c>
      <c r="B15557" s="38">
        <v>26202.0</v>
      </c>
      <c r="C15557" s="38" t="s">
        <v>19935</v>
      </c>
      <c r="D15557" s="38" t="str">
        <f>IFERROR(__xludf.DUMMYFUNCTION("REGEXREPLACE(C15557,""-\d+(.*)|--\d+(.*)"","""")"),"MONTJOUX")</f>
        <v>MONTJOUX</v>
      </c>
      <c r="E15557" s="38" t="s">
        <v>126</v>
      </c>
      <c r="F15557" s="38" t="s">
        <v>102</v>
      </c>
      <c r="G15557" s="49" t="str">
        <f t="shared" si="1"/>
        <v>26220</v>
      </c>
      <c r="H15557" s="49">
        <f t="shared" si="2"/>
        <v>26202</v>
      </c>
    </row>
    <row r="15558">
      <c r="A15558" s="48" t="s">
        <v>1321</v>
      </c>
      <c r="B15558" s="38">
        <v>67233.0</v>
      </c>
      <c r="C15558" s="38" t="s">
        <v>19936</v>
      </c>
      <c r="D15558" s="38" t="str">
        <f>IFERROR(__xludf.DUMMYFUNCTION("REGEXREPLACE(C15558,""-\d+(.*)|--\d+(.*)"","""")"),"KERTZFELD")</f>
        <v>KERTZFELD</v>
      </c>
      <c r="E15558" s="38" t="s">
        <v>210</v>
      </c>
      <c r="F15558" s="38" t="s">
        <v>151</v>
      </c>
      <c r="G15558" s="49" t="str">
        <f t="shared" si="1"/>
        <v>67230</v>
      </c>
      <c r="H15558" s="49">
        <f t="shared" si="2"/>
        <v>67233</v>
      </c>
    </row>
    <row r="15559">
      <c r="A15559" s="48" t="s">
        <v>4434</v>
      </c>
      <c r="B15559" s="38">
        <v>31196.0</v>
      </c>
      <c r="C15559" s="38" t="s">
        <v>19937</v>
      </c>
      <c r="D15559" s="38" t="str">
        <f>IFERROR(__xludf.DUMMYFUNCTION("REGEXREPLACE(C15559,""-\d+(.*)|--\d+(.*)"","""")"),"FRANCON")</f>
        <v>FRANCON</v>
      </c>
      <c r="E15559" s="38" t="s">
        <v>93</v>
      </c>
      <c r="F15559" s="38" t="s">
        <v>94</v>
      </c>
      <c r="G15559" s="49" t="str">
        <f t="shared" si="1"/>
        <v>31420</v>
      </c>
      <c r="H15559" s="49">
        <f t="shared" si="2"/>
        <v>31196</v>
      </c>
    </row>
    <row r="15560">
      <c r="A15560" s="48" t="s">
        <v>10175</v>
      </c>
      <c r="B15560" s="38">
        <v>24312.0</v>
      </c>
      <c r="C15560" s="38" t="s">
        <v>19938</v>
      </c>
      <c r="D15560" s="38" t="str">
        <f>IFERROR(__xludf.DUMMYFUNCTION("REGEXREPLACE(C15560,""-\d+(.*)|--\d+(.*)"","""")"),"NOTRE-DAME-DE-SANILHAC")</f>
        <v>NOTRE-DAME-DE-SANILHAC</v>
      </c>
      <c r="E15560" s="38" t="s">
        <v>261</v>
      </c>
      <c r="F15560" s="38" t="s">
        <v>252</v>
      </c>
      <c r="G15560" s="49" t="str">
        <f t="shared" si="1"/>
        <v>24660</v>
      </c>
      <c r="H15560" s="49">
        <f t="shared" si="2"/>
        <v>24312</v>
      </c>
    </row>
    <row r="15561">
      <c r="A15561" s="48" t="s">
        <v>1400</v>
      </c>
      <c r="B15561" s="38">
        <v>21630.0</v>
      </c>
      <c r="C15561" s="38" t="s">
        <v>19939</v>
      </c>
      <c r="D15561" s="38" t="str">
        <f>IFERROR(__xludf.DUMMYFUNCTION("REGEXREPLACE(C15561,""-\d+(.*)|--\d+(.*)"","""")"),"THOISY-LE-DESERT")</f>
        <v>THOISY-LE-DESERT</v>
      </c>
      <c r="E15561" s="38" t="s">
        <v>105</v>
      </c>
      <c r="F15561" s="38" t="s">
        <v>106</v>
      </c>
      <c r="G15561" s="49" t="str">
        <f t="shared" si="1"/>
        <v>21320</v>
      </c>
      <c r="H15561" s="49">
        <f t="shared" si="2"/>
        <v>21630</v>
      </c>
    </row>
    <row r="15562">
      <c r="A15562" s="48" t="s">
        <v>2995</v>
      </c>
      <c r="B15562" s="38">
        <v>28225.0</v>
      </c>
      <c r="C15562" s="38" t="s">
        <v>5437</v>
      </c>
      <c r="D15562" s="38" t="str">
        <f>IFERROR(__xludf.DUMMYFUNCTION("REGEXREPLACE(C15562,""-\d+(.*)|--\d+(.*)"","""")"),"MAGNY")</f>
        <v>MAGNY</v>
      </c>
      <c r="E15562" s="38" t="s">
        <v>300</v>
      </c>
      <c r="F15562" s="38" t="s">
        <v>123</v>
      </c>
      <c r="G15562" s="49" t="str">
        <f t="shared" si="1"/>
        <v>28120</v>
      </c>
      <c r="H15562" s="49">
        <f t="shared" si="2"/>
        <v>28225</v>
      </c>
    </row>
    <row r="15563">
      <c r="A15563" s="48" t="s">
        <v>2710</v>
      </c>
      <c r="B15563" s="38">
        <v>68090.0</v>
      </c>
      <c r="C15563" s="38" t="s">
        <v>19940</v>
      </c>
      <c r="D15563" s="38" t="str">
        <f>IFERROR(__xludf.DUMMYFUNCTION("REGEXREPLACE(C15563,""-\d+(.*)|--\d+(.*)"","""")"),"FERRETTE")</f>
        <v>FERRETTE</v>
      </c>
      <c r="E15563" s="38" t="s">
        <v>150</v>
      </c>
      <c r="F15563" s="38" t="s">
        <v>151</v>
      </c>
      <c r="G15563" s="49" t="str">
        <f t="shared" si="1"/>
        <v>68480</v>
      </c>
      <c r="H15563" s="49">
        <f t="shared" si="2"/>
        <v>68090</v>
      </c>
    </row>
    <row r="15564">
      <c r="A15564" s="48" t="s">
        <v>19293</v>
      </c>
      <c r="B15564" s="38">
        <v>18105.0</v>
      </c>
      <c r="C15564" s="38" t="s">
        <v>19941</v>
      </c>
      <c r="D15564" s="38" t="str">
        <f>IFERROR(__xludf.DUMMYFUNCTION("REGEXREPLACE(C15564,""-\d+(.*)|--\d+(.*)"","""")"),"GRON")</f>
        <v>GRON</v>
      </c>
      <c r="E15564" s="38" t="s">
        <v>504</v>
      </c>
      <c r="F15564" s="38" t="s">
        <v>123</v>
      </c>
      <c r="G15564" s="49" t="str">
        <f t="shared" si="1"/>
        <v>18800</v>
      </c>
      <c r="H15564" s="49">
        <f t="shared" si="2"/>
        <v>18105</v>
      </c>
    </row>
    <row r="15565">
      <c r="A15565" s="48" t="s">
        <v>1959</v>
      </c>
      <c r="B15565" s="38">
        <v>82141.0</v>
      </c>
      <c r="C15565" s="38" t="s">
        <v>19942</v>
      </c>
      <c r="D15565" s="38" t="str">
        <f>IFERROR(__xludf.DUMMYFUNCTION("REGEXREPLACE(C15565,""-\d+(.*)|--\d+(.*)"","""")"),"POMMEVIC")</f>
        <v>POMMEVIC</v>
      </c>
      <c r="E15565" s="38" t="s">
        <v>570</v>
      </c>
      <c r="F15565" s="38" t="s">
        <v>94</v>
      </c>
      <c r="G15565" s="49" t="str">
        <f t="shared" si="1"/>
        <v>82400</v>
      </c>
      <c r="H15565" s="49">
        <f t="shared" si="2"/>
        <v>82141</v>
      </c>
    </row>
    <row r="15566">
      <c r="A15566" s="48" t="s">
        <v>2697</v>
      </c>
      <c r="B15566" s="38">
        <v>61002.0</v>
      </c>
      <c r="C15566" s="38" t="s">
        <v>19943</v>
      </c>
      <c r="D15566" s="38" t="str">
        <f>IFERROR(__xludf.DUMMYFUNCTION("REGEXREPLACE(C15566,""-\d+(.*)|--\d+(.*)"","""")"),"ALMENECHES")</f>
        <v>ALMENECHES</v>
      </c>
      <c r="E15566" s="38" t="s">
        <v>141</v>
      </c>
      <c r="F15566" s="38" t="s">
        <v>138</v>
      </c>
      <c r="G15566" s="49" t="str">
        <f t="shared" si="1"/>
        <v>61570</v>
      </c>
      <c r="H15566" s="49">
        <f t="shared" si="2"/>
        <v>61002</v>
      </c>
    </row>
    <row r="15567">
      <c r="A15567" s="48" t="s">
        <v>1190</v>
      </c>
      <c r="B15567" s="38">
        <v>41160.0</v>
      </c>
      <c r="C15567" s="38" t="s">
        <v>9877</v>
      </c>
      <c r="D15567" s="38" t="str">
        <f>IFERROR(__xludf.DUMMYFUNCTION("REGEXREPLACE(C15567,""-\d+(.*)|--\d+(.*)"","""")"),"NEUVY")</f>
        <v>NEUVY</v>
      </c>
      <c r="E15567" s="38" t="s">
        <v>188</v>
      </c>
      <c r="F15567" s="38" t="s">
        <v>123</v>
      </c>
      <c r="G15567" s="49" t="str">
        <f t="shared" si="1"/>
        <v>41250</v>
      </c>
      <c r="H15567" s="49">
        <f t="shared" si="2"/>
        <v>41160</v>
      </c>
    </row>
    <row r="15568">
      <c r="A15568" s="48" t="s">
        <v>5209</v>
      </c>
      <c r="B15568" s="38">
        <v>54358.0</v>
      </c>
      <c r="C15568" s="38" t="s">
        <v>19944</v>
      </c>
      <c r="D15568" s="38" t="str">
        <f>IFERROR(__xludf.DUMMYFUNCTION("REGEXREPLACE(C15568,""-\d+(.*)|--\d+(.*)"","""")"),"MAZERULLES")</f>
        <v>MAZERULLES</v>
      </c>
      <c r="E15568" s="38" t="s">
        <v>548</v>
      </c>
      <c r="F15568" s="38" t="s">
        <v>195</v>
      </c>
      <c r="G15568" s="49" t="str">
        <f t="shared" si="1"/>
        <v>54280</v>
      </c>
      <c r="H15568" s="49">
        <f t="shared" si="2"/>
        <v>54358</v>
      </c>
    </row>
    <row r="15569">
      <c r="A15569" s="48" t="s">
        <v>14346</v>
      </c>
      <c r="B15569" s="38">
        <v>43116.0</v>
      </c>
      <c r="C15569" s="38" t="s">
        <v>19945</v>
      </c>
      <c r="D15569" s="38" t="str">
        <f>IFERROR(__xludf.DUMMYFUNCTION("REGEXREPLACE(C15569,""-\d+(.*)|--\d+(.*)"","""")"),"LAVAL-SUR-DOULON")</f>
        <v>LAVAL-SUR-DOULON</v>
      </c>
      <c r="E15569" s="38" t="s">
        <v>332</v>
      </c>
      <c r="F15569" s="38" t="s">
        <v>161</v>
      </c>
      <c r="G15569" s="49" t="str">
        <f t="shared" si="1"/>
        <v>43440</v>
      </c>
      <c r="H15569" s="49">
        <f t="shared" si="2"/>
        <v>43116</v>
      </c>
    </row>
    <row r="15570">
      <c r="A15570" s="48" t="s">
        <v>19946</v>
      </c>
      <c r="B15570" s="38">
        <v>57463.0</v>
      </c>
      <c r="C15570" s="38" t="s">
        <v>19947</v>
      </c>
      <c r="D15570" s="38" t="str">
        <f>IFERROR(__xludf.DUMMYFUNCTION("REGEXREPLACE(C15570,""-\d+(.*)|--\d+(.*)"","""")"),"METZ")</f>
        <v>METZ</v>
      </c>
      <c r="E15570" s="38" t="s">
        <v>303</v>
      </c>
      <c r="F15570" s="38" t="s">
        <v>195</v>
      </c>
      <c r="G15570" s="49" t="str">
        <f t="shared" si="1"/>
        <v>57000/57050/57070</v>
      </c>
      <c r="H15570" s="49">
        <f t="shared" si="2"/>
        <v>57463</v>
      </c>
    </row>
    <row r="15571">
      <c r="A15571" s="48" t="s">
        <v>7592</v>
      </c>
      <c r="B15571" s="38">
        <v>86028.0</v>
      </c>
      <c r="C15571" s="38" t="s">
        <v>19948</v>
      </c>
      <c r="D15571" s="38" t="str">
        <f>IFERROR(__xludf.DUMMYFUNCTION("REGEXREPLACE(C15571,""-\d+(.*)|--\d+(.*)"","""")"),"BIGNOUX")</f>
        <v>BIGNOUX</v>
      </c>
      <c r="E15571" s="38" t="s">
        <v>529</v>
      </c>
      <c r="F15571" s="38" t="s">
        <v>338</v>
      </c>
      <c r="G15571" s="49" t="str">
        <f t="shared" si="1"/>
        <v>86800</v>
      </c>
      <c r="H15571" s="49">
        <f t="shared" si="2"/>
        <v>86028</v>
      </c>
    </row>
    <row r="15572">
      <c r="A15572" s="48" t="s">
        <v>6483</v>
      </c>
      <c r="B15572" s="38">
        <v>58161.0</v>
      </c>
      <c r="C15572" s="38" t="s">
        <v>19949</v>
      </c>
      <c r="D15572" s="38" t="str">
        <f>IFERROR(__xludf.DUMMYFUNCTION("REGEXREPLACE(C15572,""-\d+(.*)|--\d+(.*)"","""")"),"MAUX")</f>
        <v>MAUX</v>
      </c>
      <c r="E15572" s="38" t="s">
        <v>219</v>
      </c>
      <c r="F15572" s="38" t="s">
        <v>106</v>
      </c>
      <c r="G15572" s="49" t="str">
        <f t="shared" si="1"/>
        <v>58290</v>
      </c>
      <c r="H15572" s="49">
        <f t="shared" si="2"/>
        <v>58161</v>
      </c>
    </row>
    <row r="15573">
      <c r="A15573" s="48" t="s">
        <v>12692</v>
      </c>
      <c r="B15573" s="38">
        <v>47222.0</v>
      </c>
      <c r="C15573" s="38" t="s">
        <v>19950</v>
      </c>
      <c r="D15573" s="38" t="str">
        <f>IFERROR(__xludf.DUMMYFUNCTION("REGEXREPLACE(C15573,""-\d+(.*)|--\d+(.*)"","""")"),"LA REUNION")</f>
        <v>LA REUNION</v>
      </c>
      <c r="E15573" s="38" t="s">
        <v>251</v>
      </c>
      <c r="F15573" s="38" t="s">
        <v>252</v>
      </c>
      <c r="G15573" s="49" t="str">
        <f t="shared" si="1"/>
        <v>47700</v>
      </c>
      <c r="H15573" s="49">
        <f t="shared" si="2"/>
        <v>47222</v>
      </c>
    </row>
    <row r="15574">
      <c r="A15574" s="48" t="s">
        <v>9293</v>
      </c>
      <c r="B15574" s="38">
        <v>9251.0</v>
      </c>
      <c r="C15574" s="38" t="s">
        <v>19951</v>
      </c>
      <c r="D15574" s="38" t="str">
        <f>IFERROR(__xludf.DUMMYFUNCTION("REGEXREPLACE(C15574,""-\d+(.*)|--\d+(.*)"","""")"),"ROUMENGOUX")</f>
        <v>ROUMENGOUX</v>
      </c>
      <c r="E15574" s="38" t="s">
        <v>238</v>
      </c>
      <c r="F15574" s="38" t="s">
        <v>94</v>
      </c>
      <c r="G15574" s="49" t="str">
        <f t="shared" si="1"/>
        <v>09500</v>
      </c>
      <c r="H15574" s="49" t="str">
        <f t="shared" si="2"/>
        <v>09251</v>
      </c>
    </row>
    <row r="15575">
      <c r="A15575" s="48" t="s">
        <v>9402</v>
      </c>
      <c r="B15575" s="38">
        <v>14753.0</v>
      </c>
      <c r="C15575" s="38" t="s">
        <v>19952</v>
      </c>
      <c r="D15575" s="38" t="str">
        <f>IFERROR(__xludf.DUMMYFUNCTION("REGEXREPLACE(C15575,""-\d+(.*)|--\d+(.*)"","""")"),"VILLERS-CANIVET")</f>
        <v>VILLERS-CANIVET</v>
      </c>
      <c r="E15575" s="38" t="s">
        <v>137</v>
      </c>
      <c r="F15575" s="38" t="s">
        <v>138</v>
      </c>
      <c r="G15575" s="49" t="str">
        <f t="shared" si="1"/>
        <v>14420</v>
      </c>
      <c r="H15575" s="49">
        <f t="shared" si="2"/>
        <v>14753</v>
      </c>
    </row>
    <row r="15576">
      <c r="A15576" s="48" t="s">
        <v>10209</v>
      </c>
      <c r="B15576" s="38">
        <v>3152.0</v>
      </c>
      <c r="C15576" s="38" t="s">
        <v>19953</v>
      </c>
      <c r="D15576" s="38" t="str">
        <f>IFERROR(__xludf.DUMMYFUNCTION("REGEXREPLACE(C15576,""-\d+(.*)|--\d+(.*)"","""")"),"LOUROUX-DE-BOUBLE")</f>
        <v>LOUROUX-DE-BOUBLE</v>
      </c>
      <c r="E15576" s="38" t="s">
        <v>160</v>
      </c>
      <c r="F15576" s="38" t="s">
        <v>161</v>
      </c>
      <c r="G15576" s="49" t="str">
        <f t="shared" si="1"/>
        <v>03330</v>
      </c>
      <c r="H15576" s="49" t="str">
        <f t="shared" si="2"/>
        <v>03152</v>
      </c>
    </row>
    <row r="15577">
      <c r="A15577" s="48" t="s">
        <v>12845</v>
      </c>
      <c r="B15577" s="38">
        <v>85273.0</v>
      </c>
      <c r="C15577" s="38" t="s">
        <v>1449</v>
      </c>
      <c r="D15577" s="38" t="str">
        <f>IFERROR(__xludf.DUMMYFUNCTION("REGEXREPLACE(C15577,""-\d+(.*)|--\d+(.*)"","""")"),"SAINT-URBAIN")</f>
        <v>SAINT-URBAIN</v>
      </c>
      <c r="E15577" s="38" t="s">
        <v>179</v>
      </c>
      <c r="F15577" s="38" t="s">
        <v>180</v>
      </c>
      <c r="G15577" s="49" t="str">
        <f t="shared" si="1"/>
        <v>85230</v>
      </c>
      <c r="H15577" s="49">
        <f t="shared" si="2"/>
        <v>85273</v>
      </c>
    </row>
    <row r="15578">
      <c r="A15578" s="48" t="s">
        <v>5702</v>
      </c>
      <c r="B15578" s="38">
        <v>26147.0</v>
      </c>
      <c r="C15578" s="38" t="s">
        <v>19954</v>
      </c>
      <c r="D15578" s="38" t="str">
        <f>IFERROR(__xludf.DUMMYFUNCTION("REGEXREPLACE(C15578,""-\d+(.*)|--\d+(.*)"","""")"),"GUMIANE")</f>
        <v>GUMIANE</v>
      </c>
      <c r="E15578" s="38" t="s">
        <v>126</v>
      </c>
      <c r="F15578" s="38" t="s">
        <v>102</v>
      </c>
      <c r="G15578" s="49" t="str">
        <f t="shared" si="1"/>
        <v>26470</v>
      </c>
      <c r="H15578" s="49">
        <f t="shared" si="2"/>
        <v>26147</v>
      </c>
    </row>
    <row r="15579">
      <c r="A15579" s="48" t="s">
        <v>4605</v>
      </c>
      <c r="B15579" s="38">
        <v>39405.0</v>
      </c>
      <c r="C15579" s="38" t="s">
        <v>19955</v>
      </c>
      <c r="D15579" s="38" t="str">
        <f>IFERROR(__xludf.DUMMYFUNCTION("REGEXREPLACE(C15579,""-\d+(.*)|--\d+(.*)"","""")"),"PARCEY")</f>
        <v>PARCEY</v>
      </c>
      <c r="E15579" s="38" t="s">
        <v>400</v>
      </c>
      <c r="F15579" s="38" t="s">
        <v>214</v>
      </c>
      <c r="G15579" s="49" t="str">
        <f t="shared" si="1"/>
        <v>39100</v>
      </c>
      <c r="H15579" s="49">
        <f t="shared" si="2"/>
        <v>39405</v>
      </c>
    </row>
    <row r="15580">
      <c r="A15580" s="48" t="s">
        <v>6586</v>
      </c>
      <c r="B15580" s="38">
        <v>82024.0</v>
      </c>
      <c r="C15580" s="38" t="s">
        <v>19352</v>
      </c>
      <c r="D15580" s="38" t="str">
        <f>IFERROR(__xludf.DUMMYFUNCTION("REGEXREPLACE(C15580,""-\d+(.*)|--\d+(.*)"","""")"),"BRASSAC")</f>
        <v>BRASSAC</v>
      </c>
      <c r="E15580" s="38" t="s">
        <v>570</v>
      </c>
      <c r="F15580" s="38" t="s">
        <v>94</v>
      </c>
      <c r="G15580" s="49" t="str">
        <f t="shared" si="1"/>
        <v>82190</v>
      </c>
      <c r="H15580" s="49">
        <f t="shared" si="2"/>
        <v>82024</v>
      </c>
    </row>
    <row r="15581">
      <c r="A15581" s="48" t="s">
        <v>5545</v>
      </c>
      <c r="B15581" s="38">
        <v>22002.0</v>
      </c>
      <c r="C15581" s="38" t="s">
        <v>19956</v>
      </c>
      <c r="D15581" s="38" t="str">
        <f>IFERROR(__xludf.DUMMYFUNCTION("REGEXREPLACE(C15581,""-\d+(.*)|--\d+(.*)"","""")"),"ANDEL")</f>
        <v>ANDEL</v>
      </c>
      <c r="E15581" s="38" t="s">
        <v>89</v>
      </c>
      <c r="F15581" s="38" t="s">
        <v>90</v>
      </c>
      <c r="G15581" s="49" t="str">
        <f t="shared" si="1"/>
        <v>22400</v>
      </c>
      <c r="H15581" s="49">
        <f t="shared" si="2"/>
        <v>22002</v>
      </c>
    </row>
    <row r="15582">
      <c r="A15582" s="48" t="s">
        <v>6670</v>
      </c>
      <c r="B15582" s="38">
        <v>32003.0</v>
      </c>
      <c r="C15582" s="38" t="s">
        <v>19957</v>
      </c>
      <c r="D15582" s="38" t="str">
        <f>IFERROR(__xludf.DUMMYFUNCTION("REGEXREPLACE(C15582,""-\d+(.*)|--\d+(.*)"","""")"),"ANTRAS")</f>
        <v>ANTRAS</v>
      </c>
      <c r="E15582" s="38" t="s">
        <v>440</v>
      </c>
      <c r="F15582" s="38" t="s">
        <v>94</v>
      </c>
      <c r="G15582" s="49" t="str">
        <f t="shared" si="1"/>
        <v>32360</v>
      </c>
      <c r="H15582" s="49">
        <f t="shared" si="2"/>
        <v>32003</v>
      </c>
    </row>
    <row r="15583">
      <c r="A15583" s="48" t="s">
        <v>7116</v>
      </c>
      <c r="B15583" s="38">
        <v>84054.0</v>
      </c>
      <c r="C15583" s="38" t="s">
        <v>19958</v>
      </c>
      <c r="D15583" s="38" t="str">
        <f>IFERROR(__xludf.DUMMYFUNCTION("REGEXREPLACE(C15583,""-\d+(.*)|--\d+(.*)"","""")"),"L'ISLE-SUR-LA-SORGUE")</f>
        <v>L'ISLE-SUR-LA-SORGUE</v>
      </c>
      <c r="E15583" s="38" t="s">
        <v>1026</v>
      </c>
      <c r="F15583" s="38" t="s">
        <v>228</v>
      </c>
      <c r="G15583" s="49" t="str">
        <f t="shared" si="1"/>
        <v>84800</v>
      </c>
      <c r="H15583" s="49">
        <f t="shared" si="2"/>
        <v>84054</v>
      </c>
    </row>
    <row r="15584">
      <c r="A15584" s="48" t="s">
        <v>17909</v>
      </c>
      <c r="B15584" s="38">
        <v>25176.0</v>
      </c>
      <c r="C15584" s="38" t="s">
        <v>19959</v>
      </c>
      <c r="D15584" s="38" t="str">
        <f>IFERROR(__xludf.DUMMYFUNCTION("REGEXREPLACE(C15584,""-\d+(.*)|--\d+(.*)"","""")"),"COURVIERES")</f>
        <v>COURVIERES</v>
      </c>
      <c r="E15584" s="38" t="s">
        <v>213</v>
      </c>
      <c r="F15584" s="38" t="s">
        <v>214</v>
      </c>
      <c r="G15584" s="49" t="str">
        <f t="shared" si="1"/>
        <v>25560</v>
      </c>
      <c r="H15584" s="49">
        <f t="shared" si="2"/>
        <v>25176</v>
      </c>
    </row>
    <row r="15585">
      <c r="A15585" s="48" t="s">
        <v>1089</v>
      </c>
      <c r="B15585" s="38">
        <v>67111.0</v>
      </c>
      <c r="C15585" s="38" t="s">
        <v>19960</v>
      </c>
      <c r="D15585" s="38" t="str">
        <f>IFERROR(__xludf.DUMMYFUNCTION("REGEXREPLACE(C15585,""-\d+(.*)|--\d+(.*)"","""")"),"DURSTEL")</f>
        <v>DURSTEL</v>
      </c>
      <c r="E15585" s="38" t="s">
        <v>210</v>
      </c>
      <c r="F15585" s="38" t="s">
        <v>151</v>
      </c>
      <c r="G15585" s="49" t="str">
        <f t="shared" si="1"/>
        <v>67320</v>
      </c>
      <c r="H15585" s="49">
        <f t="shared" si="2"/>
        <v>67111</v>
      </c>
    </row>
    <row r="15586">
      <c r="A15586" s="48" t="s">
        <v>12348</v>
      </c>
      <c r="B15586" s="38">
        <v>67529.0</v>
      </c>
      <c r="C15586" s="38" t="s">
        <v>19961</v>
      </c>
      <c r="D15586" s="38" t="str">
        <f>IFERROR(__xludf.DUMMYFUNCTION("REGEXREPLACE(C15586,""-\d+(.*)|--\d+(.*)"","""")"),"WEYERSHEIM")</f>
        <v>WEYERSHEIM</v>
      </c>
      <c r="E15586" s="38" t="s">
        <v>210</v>
      </c>
      <c r="F15586" s="38" t="s">
        <v>151</v>
      </c>
      <c r="G15586" s="49" t="str">
        <f t="shared" si="1"/>
        <v>67720</v>
      </c>
      <c r="H15586" s="49">
        <f t="shared" si="2"/>
        <v>67529</v>
      </c>
    </row>
    <row r="15587">
      <c r="A15587" s="48" t="s">
        <v>1295</v>
      </c>
      <c r="B15587" s="38">
        <v>57732.0</v>
      </c>
      <c r="C15587" s="38" t="s">
        <v>19962</v>
      </c>
      <c r="D15587" s="38" t="str">
        <f>IFERROR(__xludf.DUMMYFUNCTION("REGEXREPLACE(C15587,""-\d+(.*)|--\d+(.*)"","""")"),"VOLMUNSTER")</f>
        <v>VOLMUNSTER</v>
      </c>
      <c r="E15587" s="38" t="s">
        <v>303</v>
      </c>
      <c r="F15587" s="38" t="s">
        <v>195</v>
      </c>
      <c r="G15587" s="49" t="str">
        <f t="shared" si="1"/>
        <v>57720</v>
      </c>
      <c r="H15587" s="49">
        <f t="shared" si="2"/>
        <v>57732</v>
      </c>
    </row>
    <row r="15588">
      <c r="A15588" s="48" t="s">
        <v>522</v>
      </c>
      <c r="B15588" s="38">
        <v>39406.0</v>
      </c>
      <c r="C15588" s="38" t="s">
        <v>19963</v>
      </c>
      <c r="D15588" s="38" t="str">
        <f>IFERROR(__xludf.DUMMYFUNCTION("REGEXREPLACE(C15588,""-\d+(.*)|--\d+(.*)"","""")"),"LE PASQUIER")</f>
        <v>LE PASQUIER</v>
      </c>
      <c r="E15588" s="38" t="s">
        <v>400</v>
      </c>
      <c r="F15588" s="38" t="s">
        <v>214</v>
      </c>
      <c r="G15588" s="49" t="str">
        <f t="shared" si="1"/>
        <v>39300</v>
      </c>
      <c r="H15588" s="49">
        <f t="shared" si="2"/>
        <v>39406</v>
      </c>
    </row>
    <row r="15589">
      <c r="A15589" s="48" t="s">
        <v>19964</v>
      </c>
      <c r="B15589" s="38">
        <v>87038.0</v>
      </c>
      <c r="C15589" s="38" t="s">
        <v>19965</v>
      </c>
      <c r="D15589" s="38" t="str">
        <f>IFERROR(__xludf.DUMMYFUNCTION("REGEXREPLACE(C15589,""-\d+(.*)|--\d+(.*)"","""")"),"CHAPTELAT")</f>
        <v>CHAPTELAT</v>
      </c>
      <c r="E15589" s="38" t="s">
        <v>897</v>
      </c>
      <c r="F15589" s="38" t="s">
        <v>98</v>
      </c>
      <c r="G15589" s="49" t="str">
        <f t="shared" si="1"/>
        <v>87270</v>
      </c>
      <c r="H15589" s="49">
        <f t="shared" si="2"/>
        <v>87038</v>
      </c>
    </row>
    <row r="15590">
      <c r="A15590" s="48" t="s">
        <v>4650</v>
      </c>
      <c r="B15590" s="38">
        <v>47272.0</v>
      </c>
      <c r="C15590" s="38" t="s">
        <v>19966</v>
      </c>
      <c r="D15590" s="38" t="str">
        <f>IFERROR(__xludf.DUMMYFUNCTION("REGEXREPLACE(C15590,""-\d+(.*)|--\d+(.*)"","""")"),"SAINT-QUENTIN-DU-DROPT")</f>
        <v>SAINT-QUENTIN-DU-DROPT</v>
      </c>
      <c r="E15590" s="38" t="s">
        <v>251</v>
      </c>
      <c r="F15590" s="38" t="s">
        <v>252</v>
      </c>
      <c r="G15590" s="49" t="str">
        <f t="shared" si="1"/>
        <v>47330</v>
      </c>
      <c r="H15590" s="49">
        <f t="shared" si="2"/>
        <v>47272</v>
      </c>
    </row>
    <row r="15591">
      <c r="A15591" s="48" t="s">
        <v>19967</v>
      </c>
      <c r="B15591" s="38">
        <v>4155.0</v>
      </c>
      <c r="C15591" s="38" t="s">
        <v>19968</v>
      </c>
      <c r="D15591" s="38" t="str">
        <f>IFERROR(__xludf.DUMMYFUNCTION("REGEXREPLACE(C15591,""-\d+(.*)|--\d+(.*)"","""")"),"PRADS-HAUTE-BLEONE")</f>
        <v>PRADS-HAUTE-BLEONE</v>
      </c>
      <c r="E15591" s="38" t="s">
        <v>662</v>
      </c>
      <c r="F15591" s="38" t="s">
        <v>228</v>
      </c>
      <c r="G15591" s="49" t="str">
        <f t="shared" si="1"/>
        <v>04420</v>
      </c>
      <c r="H15591" s="49" t="str">
        <f t="shared" si="2"/>
        <v>04155</v>
      </c>
    </row>
    <row r="15592">
      <c r="A15592" s="48" t="s">
        <v>651</v>
      </c>
      <c r="B15592" s="38">
        <v>49121.0</v>
      </c>
      <c r="C15592" s="38" t="s">
        <v>19969</v>
      </c>
      <c r="D15592" s="38" t="str">
        <f>IFERROR(__xludf.DUMMYFUNCTION("REGEXREPLACE(C15592,""-\d+(.*)|--\d+(.*)"","""")"),"DENEZE-SOUS-DOUE")</f>
        <v>DENEZE-SOUS-DOUE</v>
      </c>
      <c r="E15592" s="38" t="s">
        <v>653</v>
      </c>
      <c r="F15592" s="38" t="s">
        <v>180</v>
      </c>
      <c r="G15592" s="49" t="str">
        <f t="shared" si="1"/>
        <v>49700</v>
      </c>
      <c r="H15592" s="49">
        <f t="shared" si="2"/>
        <v>49121</v>
      </c>
    </row>
    <row r="15593">
      <c r="A15593" s="48" t="s">
        <v>2170</v>
      </c>
      <c r="B15593" s="38">
        <v>80197.0</v>
      </c>
      <c r="C15593" s="38" t="s">
        <v>19970</v>
      </c>
      <c r="D15593" s="38" t="str">
        <f>IFERROR(__xludf.DUMMYFUNCTION("REGEXREPLACE(C15593,""-\d+(.*)|--\d+(.*)"","""")"),"CIZANCOURT")</f>
        <v>CIZANCOURT</v>
      </c>
      <c r="E15593" s="38" t="s">
        <v>224</v>
      </c>
      <c r="F15593" s="38" t="s">
        <v>113</v>
      </c>
      <c r="G15593" s="49" t="str">
        <f t="shared" si="1"/>
        <v>80200</v>
      </c>
      <c r="H15593" s="49">
        <f t="shared" si="2"/>
        <v>80197</v>
      </c>
    </row>
    <row r="15594">
      <c r="A15594" s="48" t="s">
        <v>1174</v>
      </c>
      <c r="B15594" s="38">
        <v>51406.0</v>
      </c>
      <c r="C15594" s="38" t="s">
        <v>19971</v>
      </c>
      <c r="D15594" s="38" t="str">
        <f>IFERROR(__xludf.DUMMYFUNCTION("REGEXREPLACE(C15594,""-\d+(.*)|--\d+(.*)"","""")"),"NORROIS")</f>
        <v>NORROIS</v>
      </c>
      <c r="E15594" s="38" t="s">
        <v>129</v>
      </c>
      <c r="F15594" s="38" t="s">
        <v>130</v>
      </c>
      <c r="G15594" s="49" t="str">
        <f t="shared" si="1"/>
        <v>51300</v>
      </c>
      <c r="H15594" s="49">
        <f t="shared" si="2"/>
        <v>51406</v>
      </c>
    </row>
    <row r="15595">
      <c r="A15595" s="48" t="s">
        <v>10908</v>
      </c>
      <c r="B15595" s="38">
        <v>11365.0</v>
      </c>
      <c r="C15595" s="38" t="s">
        <v>19972</v>
      </c>
      <c r="D15595" s="38" t="str">
        <f>IFERROR(__xludf.DUMMYFUNCTION("REGEXREPLACE(C15595,""-\d+(.*)|--\d+(.*)"","""")"),"SAINT-SERNIN")</f>
        <v>SAINT-SERNIN</v>
      </c>
      <c r="E15595" s="38" t="s">
        <v>278</v>
      </c>
      <c r="F15595" s="38" t="s">
        <v>119</v>
      </c>
      <c r="G15595" s="49" t="str">
        <f t="shared" si="1"/>
        <v>11420</v>
      </c>
      <c r="H15595" s="49">
        <f t="shared" si="2"/>
        <v>11365</v>
      </c>
    </row>
    <row r="15596">
      <c r="A15596" s="48" t="s">
        <v>920</v>
      </c>
      <c r="B15596" s="38">
        <v>31175.0</v>
      </c>
      <c r="C15596" s="38" t="s">
        <v>19973</v>
      </c>
      <c r="D15596" s="38" t="str">
        <f>IFERROR(__xludf.DUMMYFUNCTION("REGEXREPLACE(C15596,""-\d+(.*)|--\d+(.*)"","""")"),"ESTANCARBON")</f>
        <v>ESTANCARBON</v>
      </c>
      <c r="E15596" s="38" t="s">
        <v>93</v>
      </c>
      <c r="F15596" s="38" t="s">
        <v>94</v>
      </c>
      <c r="G15596" s="49" t="str">
        <f t="shared" si="1"/>
        <v>31800</v>
      </c>
      <c r="H15596" s="49">
        <f t="shared" si="2"/>
        <v>31175</v>
      </c>
    </row>
    <row r="15597">
      <c r="A15597" s="48" t="s">
        <v>8221</v>
      </c>
      <c r="B15597" s="38">
        <v>32001.0</v>
      </c>
      <c r="C15597" s="38" t="s">
        <v>19974</v>
      </c>
      <c r="D15597" s="38" t="str">
        <f>IFERROR(__xludf.DUMMYFUNCTION("REGEXREPLACE(C15597,""-\d+(.*)|--\d+(.*)"","""")"),"AIGNAN")</f>
        <v>AIGNAN</v>
      </c>
      <c r="E15597" s="38" t="s">
        <v>440</v>
      </c>
      <c r="F15597" s="38" t="s">
        <v>94</v>
      </c>
      <c r="G15597" s="49" t="str">
        <f t="shared" si="1"/>
        <v>32290</v>
      </c>
      <c r="H15597" s="49">
        <f t="shared" si="2"/>
        <v>32001</v>
      </c>
    </row>
    <row r="15598">
      <c r="A15598" s="48" t="s">
        <v>19975</v>
      </c>
      <c r="B15598" s="38">
        <v>32310.0</v>
      </c>
      <c r="C15598" s="38" t="s">
        <v>19976</v>
      </c>
      <c r="D15598" s="38" t="str">
        <f>IFERROR(__xludf.DUMMYFUNCTION("REGEXREPLACE(C15598,""-\d+(.*)|--\d+(.*)"","""")"),"PERCHEDE")</f>
        <v>PERCHEDE</v>
      </c>
      <c r="E15598" s="38" t="s">
        <v>440</v>
      </c>
      <c r="F15598" s="38" t="s">
        <v>94</v>
      </c>
      <c r="G15598" s="49" t="str">
        <f t="shared" si="1"/>
        <v>32460</v>
      </c>
      <c r="H15598" s="49">
        <f t="shared" si="2"/>
        <v>32310</v>
      </c>
    </row>
    <row r="15599">
      <c r="A15599" s="48" t="s">
        <v>2298</v>
      </c>
      <c r="B15599" s="38">
        <v>85129.0</v>
      </c>
      <c r="C15599" s="38" t="s">
        <v>19977</v>
      </c>
      <c r="D15599" s="38" t="str">
        <f>IFERROR(__xludf.DUMMYFUNCTION("REGEXREPLACE(C15599,""-\d+(.*)|--\d+(.*)"","""")"),"LES LUCS-SUR-BOULOGNE")</f>
        <v>LES LUCS-SUR-BOULOGNE</v>
      </c>
      <c r="E15599" s="38" t="s">
        <v>179</v>
      </c>
      <c r="F15599" s="38" t="s">
        <v>180</v>
      </c>
      <c r="G15599" s="49" t="str">
        <f t="shared" si="1"/>
        <v>85170</v>
      </c>
      <c r="H15599" s="49">
        <f t="shared" si="2"/>
        <v>85129</v>
      </c>
    </row>
    <row r="15600">
      <c r="A15600" s="48" t="s">
        <v>1302</v>
      </c>
      <c r="B15600" s="38">
        <v>38470.0</v>
      </c>
      <c r="C15600" s="38" t="s">
        <v>19978</v>
      </c>
      <c r="D15600" s="38" t="str">
        <f>IFERROR(__xludf.DUMMYFUNCTION("REGEXREPLACE(C15600,""-\d+(.*)|--\d+(.*)"","""")"),"LA SALLE-EN-BEAUMONT")</f>
        <v>LA SALLE-EN-BEAUMONT</v>
      </c>
      <c r="E15600" s="38" t="s">
        <v>101</v>
      </c>
      <c r="F15600" s="38" t="s">
        <v>102</v>
      </c>
      <c r="G15600" s="49" t="str">
        <f t="shared" si="1"/>
        <v>38350</v>
      </c>
      <c r="H15600" s="49">
        <f t="shared" si="2"/>
        <v>38470</v>
      </c>
    </row>
    <row r="15601">
      <c r="A15601" s="48" t="s">
        <v>15637</v>
      </c>
      <c r="B15601" s="38">
        <v>66094.0</v>
      </c>
      <c r="C15601" s="38" t="s">
        <v>19979</v>
      </c>
      <c r="D15601" s="38" t="str">
        <f>IFERROR(__xludf.DUMMYFUNCTION("REGEXREPLACE(C15601,""-\d+(.*)|--\d+(.*)"","""")"),"LATOUR-BAS-ELNE")</f>
        <v>LATOUR-BAS-ELNE</v>
      </c>
      <c r="E15601" s="38" t="s">
        <v>248</v>
      </c>
      <c r="F15601" s="38" t="s">
        <v>119</v>
      </c>
      <c r="G15601" s="49" t="str">
        <f t="shared" si="1"/>
        <v>66200</v>
      </c>
      <c r="H15601" s="49">
        <f t="shared" si="2"/>
        <v>66094</v>
      </c>
    </row>
    <row r="15602">
      <c r="A15602" s="48" t="s">
        <v>2907</v>
      </c>
      <c r="B15602" s="38">
        <v>22027.0</v>
      </c>
      <c r="C15602" s="38" t="s">
        <v>19980</v>
      </c>
      <c r="D15602" s="38" t="str">
        <f>IFERROR(__xludf.DUMMYFUNCTION("REGEXREPLACE(C15602,""-\d+(.*)|--\d+(.*)"","""")"),"LE CAMBOUT")</f>
        <v>LE CAMBOUT</v>
      </c>
      <c r="E15602" s="38" t="s">
        <v>89</v>
      </c>
      <c r="F15602" s="38" t="s">
        <v>90</v>
      </c>
      <c r="G15602" s="49" t="str">
        <f t="shared" si="1"/>
        <v>22210</v>
      </c>
      <c r="H15602" s="49">
        <f t="shared" si="2"/>
        <v>22027</v>
      </c>
    </row>
    <row r="15603">
      <c r="A15603" s="48" t="s">
        <v>1665</v>
      </c>
      <c r="B15603" s="38">
        <v>22342.0</v>
      </c>
      <c r="C15603" s="38" t="s">
        <v>19981</v>
      </c>
      <c r="D15603" s="38" t="str">
        <f>IFERROR(__xludf.DUMMYFUNCTION("REGEXREPLACE(C15603,""-\d+(.*)|--\d+(.*)"","""")"),"TREBEDAN")</f>
        <v>TREBEDAN</v>
      </c>
      <c r="E15603" s="38" t="s">
        <v>89</v>
      </c>
      <c r="F15603" s="38" t="s">
        <v>90</v>
      </c>
      <c r="G15603" s="49" t="str">
        <f t="shared" si="1"/>
        <v>22980</v>
      </c>
      <c r="H15603" s="49">
        <f t="shared" si="2"/>
        <v>22342</v>
      </c>
    </row>
    <row r="15604">
      <c r="A15604" s="48" t="s">
        <v>5499</v>
      </c>
      <c r="B15604" s="38">
        <v>47190.0</v>
      </c>
      <c r="C15604" s="38" t="s">
        <v>13653</v>
      </c>
      <c r="D15604" s="38" t="str">
        <f>IFERROR(__xludf.DUMMYFUNCTION("REGEXREPLACE(C15604,""-\d+(.*)|--\d+(.*)"","""")"),"MONTPEZAT")</f>
        <v>MONTPEZAT</v>
      </c>
      <c r="E15604" s="38" t="s">
        <v>251</v>
      </c>
      <c r="F15604" s="38" t="s">
        <v>252</v>
      </c>
      <c r="G15604" s="49" t="str">
        <f t="shared" si="1"/>
        <v>47360</v>
      </c>
      <c r="H15604" s="49">
        <f t="shared" si="2"/>
        <v>47190</v>
      </c>
    </row>
    <row r="15605">
      <c r="A15605" s="48" t="s">
        <v>942</v>
      </c>
      <c r="B15605" s="38">
        <v>2663.0</v>
      </c>
      <c r="C15605" s="38" t="s">
        <v>19982</v>
      </c>
      <c r="D15605" s="38" t="str">
        <f>IFERROR(__xludf.DUMMYFUNCTION("REGEXREPLACE(C15605,""-\d+(.*)|--\d+(.*)"","""")"),"ROZIERES-SUR-CRISE")</f>
        <v>ROZIERES-SUR-CRISE</v>
      </c>
      <c r="E15605" s="38" t="s">
        <v>191</v>
      </c>
      <c r="F15605" s="38" t="s">
        <v>113</v>
      </c>
      <c r="G15605" s="49" t="str">
        <f t="shared" si="1"/>
        <v>02200</v>
      </c>
      <c r="H15605" s="49" t="str">
        <f t="shared" si="2"/>
        <v>02663</v>
      </c>
    </row>
    <row r="15606">
      <c r="A15606" s="48" t="s">
        <v>2742</v>
      </c>
      <c r="B15606" s="38">
        <v>57324.0</v>
      </c>
      <c r="C15606" s="38" t="s">
        <v>19983</v>
      </c>
      <c r="D15606" s="38" t="str">
        <f>IFERROR(__xludf.DUMMYFUNCTION("REGEXREPLACE(C15606,""-\d+(.*)|--\d+(.*)"","""")"),"HILBESHEIM")</f>
        <v>HILBESHEIM</v>
      </c>
      <c r="E15606" s="38" t="s">
        <v>303</v>
      </c>
      <c r="F15606" s="38" t="s">
        <v>195</v>
      </c>
      <c r="G15606" s="49" t="str">
        <f t="shared" si="1"/>
        <v>57400</v>
      </c>
      <c r="H15606" s="49">
        <f t="shared" si="2"/>
        <v>57324</v>
      </c>
    </row>
    <row r="15607">
      <c r="A15607" s="48" t="s">
        <v>6566</v>
      </c>
      <c r="B15607" s="38">
        <v>49084.0</v>
      </c>
      <c r="C15607" s="38" t="s">
        <v>19984</v>
      </c>
      <c r="D15607" s="38" t="str">
        <f>IFERROR(__xludf.DUMMYFUNCTION("REGEXREPLACE(C15607,""-\d+(.*)|--\d+(.*)"","""")"),"CHAUMONT-D'ANJOU")</f>
        <v>CHAUMONT-D'ANJOU</v>
      </c>
      <c r="E15607" s="38" t="s">
        <v>653</v>
      </c>
      <c r="F15607" s="38" t="s">
        <v>180</v>
      </c>
      <c r="G15607" s="49" t="str">
        <f t="shared" si="1"/>
        <v>49140</v>
      </c>
      <c r="H15607" s="49">
        <f t="shared" si="2"/>
        <v>49084</v>
      </c>
    </row>
    <row r="15608">
      <c r="A15608" s="48" t="s">
        <v>2697</v>
      </c>
      <c r="B15608" s="38">
        <v>61375.0</v>
      </c>
      <c r="C15608" s="38" t="s">
        <v>19985</v>
      </c>
      <c r="D15608" s="38" t="str">
        <f>IFERROR(__xludf.DUMMYFUNCTION("REGEXREPLACE(C15608,""-\d+(.*)|--\d+(.*)"","""")"),"SAINT-CHRISTOPHE-LE-JAJOLET")</f>
        <v>SAINT-CHRISTOPHE-LE-JAJOLET</v>
      </c>
      <c r="E15608" s="38" t="s">
        <v>141</v>
      </c>
      <c r="F15608" s="38" t="s">
        <v>138</v>
      </c>
      <c r="G15608" s="49" t="str">
        <f t="shared" si="1"/>
        <v>61570</v>
      </c>
      <c r="H15608" s="49">
        <f t="shared" si="2"/>
        <v>61375</v>
      </c>
    </row>
    <row r="15609">
      <c r="A15609" s="48" t="s">
        <v>2794</v>
      </c>
      <c r="B15609" s="38">
        <v>39003.0</v>
      </c>
      <c r="C15609" s="38" t="s">
        <v>19986</v>
      </c>
      <c r="D15609" s="38" t="str">
        <f>IFERROR(__xludf.DUMMYFUNCTION("REGEXREPLACE(C15609,""-\d+(.*)|--\d+(.*)"","""")"),"ABERGEMENT-LE-PETIT")</f>
        <v>ABERGEMENT-LE-PETIT</v>
      </c>
      <c r="E15609" s="38" t="s">
        <v>400</v>
      </c>
      <c r="F15609" s="38" t="s">
        <v>214</v>
      </c>
      <c r="G15609" s="49" t="str">
        <f t="shared" si="1"/>
        <v>39800</v>
      </c>
      <c r="H15609" s="49">
        <f t="shared" si="2"/>
        <v>39003</v>
      </c>
    </row>
    <row r="15610">
      <c r="A15610" s="48" t="s">
        <v>16223</v>
      </c>
      <c r="B15610" s="38">
        <v>60537.0</v>
      </c>
      <c r="C15610" s="38" t="s">
        <v>19987</v>
      </c>
      <c r="D15610" s="38" t="str">
        <f>IFERROR(__xludf.DUMMYFUNCTION("REGEXREPLACE(C15610,""-\d+(.*)|--\d+(.*)"","""")"),"RIBECOURT-DRESLINCOURT")</f>
        <v>RIBECOURT-DRESLINCOURT</v>
      </c>
      <c r="E15610" s="38" t="s">
        <v>112</v>
      </c>
      <c r="F15610" s="38" t="s">
        <v>113</v>
      </c>
      <c r="G15610" s="49" t="str">
        <f t="shared" si="1"/>
        <v>60170</v>
      </c>
      <c r="H15610" s="49">
        <f t="shared" si="2"/>
        <v>60537</v>
      </c>
    </row>
    <row r="15611">
      <c r="A15611" s="48" t="s">
        <v>19988</v>
      </c>
      <c r="B15611" s="38">
        <v>49120.0</v>
      </c>
      <c r="C15611" s="38" t="s">
        <v>19989</v>
      </c>
      <c r="D15611" s="38" t="str">
        <f>IFERROR(__xludf.DUMMYFUNCTION("REGEXREPLACE(C15611,""-\d+(.*)|--\d+(.*)"","""")"),"DENEE")</f>
        <v>DENEE</v>
      </c>
      <c r="E15611" s="38" t="s">
        <v>653</v>
      </c>
      <c r="F15611" s="38" t="s">
        <v>180</v>
      </c>
      <c r="G15611" s="49" t="str">
        <f t="shared" si="1"/>
        <v>49190</v>
      </c>
      <c r="H15611" s="49">
        <f t="shared" si="2"/>
        <v>49120</v>
      </c>
    </row>
    <row r="15612">
      <c r="A15612" s="48" t="s">
        <v>3816</v>
      </c>
      <c r="B15612" s="38">
        <v>25380.0</v>
      </c>
      <c r="C15612" s="38" t="s">
        <v>19990</v>
      </c>
      <c r="D15612" s="38" t="str">
        <f>IFERROR(__xludf.DUMMYFUNCTION("REGEXREPLACE(C15612,""-\d+(.*)|--\d+(.*)"","""")"),"METABIEF")</f>
        <v>METABIEF</v>
      </c>
      <c r="E15612" s="38" t="s">
        <v>213</v>
      </c>
      <c r="F15612" s="38" t="s">
        <v>214</v>
      </c>
      <c r="G15612" s="49" t="str">
        <f t="shared" si="1"/>
        <v>25370</v>
      </c>
      <c r="H15612" s="49">
        <f t="shared" si="2"/>
        <v>25380</v>
      </c>
    </row>
    <row r="15613">
      <c r="A15613" s="48" t="s">
        <v>4011</v>
      </c>
      <c r="B15613" s="38">
        <v>80134.0</v>
      </c>
      <c r="C15613" s="38" t="s">
        <v>11137</v>
      </c>
      <c r="D15613" s="38" t="str">
        <f>IFERROR(__xludf.DUMMYFUNCTION("REGEXREPLACE(C15613,""-\d+(.*)|--\d+(.*)"","""")"),"BRASSY")</f>
        <v>BRASSY</v>
      </c>
      <c r="E15613" s="38" t="s">
        <v>224</v>
      </c>
      <c r="F15613" s="38" t="s">
        <v>113</v>
      </c>
      <c r="G15613" s="49" t="str">
        <f t="shared" si="1"/>
        <v>80160</v>
      </c>
      <c r="H15613" s="49">
        <f t="shared" si="2"/>
        <v>80134</v>
      </c>
    </row>
    <row r="15614">
      <c r="A15614" s="48" t="s">
        <v>186</v>
      </c>
      <c r="B15614" s="38">
        <v>41253.0</v>
      </c>
      <c r="C15614" s="38" t="s">
        <v>19991</v>
      </c>
      <c r="D15614" s="38" t="str">
        <f>IFERROR(__xludf.DUMMYFUNCTION("REGEXREPLACE(C15614,""-\d+(.*)|--\d+(.*)"","""")"),"TALCY")</f>
        <v>TALCY</v>
      </c>
      <c r="E15614" s="38" t="s">
        <v>188</v>
      </c>
      <c r="F15614" s="38" t="s">
        <v>123</v>
      </c>
      <c r="G15614" s="49" t="str">
        <f t="shared" si="1"/>
        <v>41370</v>
      </c>
      <c r="H15614" s="49">
        <f t="shared" si="2"/>
        <v>41253</v>
      </c>
    </row>
    <row r="15615">
      <c r="A15615" s="48" t="s">
        <v>19992</v>
      </c>
      <c r="B15615" s="38">
        <v>44154.0</v>
      </c>
      <c r="C15615" s="38" t="s">
        <v>19993</v>
      </c>
      <c r="D15615" s="38" t="str">
        <f>IFERROR(__xludf.DUMMYFUNCTION("REGEXREPLACE(C15615,""-\d+(.*)|--\d+(.*)"","""")"),"SAINT-BREVIN-LES-PINS")</f>
        <v>SAINT-BREVIN-LES-PINS</v>
      </c>
      <c r="E15615" s="38" t="s">
        <v>759</v>
      </c>
      <c r="F15615" s="38" t="s">
        <v>180</v>
      </c>
      <c r="G15615" s="49" t="str">
        <f t="shared" si="1"/>
        <v>44250</v>
      </c>
      <c r="H15615" s="49">
        <f t="shared" si="2"/>
        <v>44154</v>
      </c>
    </row>
    <row r="15616">
      <c r="A15616" s="48" t="s">
        <v>844</v>
      </c>
      <c r="B15616" s="38">
        <v>72316.0</v>
      </c>
      <c r="C15616" s="38" t="s">
        <v>19994</v>
      </c>
      <c r="D15616" s="38" t="str">
        <f>IFERROR(__xludf.DUMMYFUNCTION("REGEXREPLACE(C15616,""-\d+(.*)|--\d+(.*)"","""")"),"SAINT-REMY-DES-MONTS")</f>
        <v>SAINT-REMY-DES-MONTS</v>
      </c>
      <c r="E15616" s="38" t="s">
        <v>521</v>
      </c>
      <c r="F15616" s="38" t="s">
        <v>180</v>
      </c>
      <c r="G15616" s="49" t="str">
        <f t="shared" si="1"/>
        <v>72600</v>
      </c>
      <c r="H15616" s="49">
        <f t="shared" si="2"/>
        <v>72316</v>
      </c>
    </row>
    <row r="15617">
      <c r="A15617" s="48" t="s">
        <v>3838</v>
      </c>
      <c r="B15617" s="38">
        <v>27571.0</v>
      </c>
      <c r="C15617" s="38" t="s">
        <v>19995</v>
      </c>
      <c r="D15617" s="38" t="str">
        <f>IFERROR(__xludf.DUMMYFUNCTION("REGEXREPLACE(C15617,""-\d+(.*)|--\d+(.*)"","""")"),"SAINT-MARTIN-SAINT-FIRMIN")</f>
        <v>SAINT-MARTIN-SAINT-FIRMIN</v>
      </c>
      <c r="E15617" s="38" t="s">
        <v>241</v>
      </c>
      <c r="F15617" s="38" t="s">
        <v>134</v>
      </c>
      <c r="G15617" s="49" t="str">
        <f t="shared" si="1"/>
        <v>27450</v>
      </c>
      <c r="H15617" s="49">
        <f t="shared" si="2"/>
        <v>27571</v>
      </c>
    </row>
    <row r="15618">
      <c r="A15618" s="48" t="s">
        <v>8845</v>
      </c>
      <c r="B15618" s="38">
        <v>8039.0</v>
      </c>
      <c r="C15618" s="38" t="s">
        <v>19996</v>
      </c>
      <c r="D15618" s="38" t="str">
        <f>IFERROR(__xludf.DUMMYFUNCTION("REGEXREPLACE(C15618,""-\d+(.*)|--\d+(.*)"","""")"),"AVAUX")</f>
        <v>AVAUX</v>
      </c>
      <c r="E15618" s="38" t="s">
        <v>327</v>
      </c>
      <c r="F15618" s="38" t="s">
        <v>130</v>
      </c>
      <c r="G15618" s="49" t="str">
        <f t="shared" si="1"/>
        <v>08190</v>
      </c>
      <c r="H15618" s="49" t="str">
        <f t="shared" si="2"/>
        <v>08039</v>
      </c>
    </row>
    <row r="15619">
      <c r="A15619" s="48" t="s">
        <v>189</v>
      </c>
      <c r="B15619" s="38">
        <v>2298.0</v>
      </c>
      <c r="C15619" s="38" t="s">
        <v>19997</v>
      </c>
      <c r="D15619" s="38" t="str">
        <f>IFERROR(__xludf.DUMMYFUNCTION("REGEXREPLACE(C15619,""-\d+(.*)|--\d+(.*)"","""")"),"ETREUX")</f>
        <v>ETREUX</v>
      </c>
      <c r="E15619" s="38" t="s">
        <v>191</v>
      </c>
      <c r="F15619" s="38" t="s">
        <v>113</v>
      </c>
      <c r="G15619" s="49" t="str">
        <f t="shared" si="1"/>
        <v>02510</v>
      </c>
      <c r="H15619" s="49" t="str">
        <f t="shared" si="2"/>
        <v>02298</v>
      </c>
    </row>
    <row r="15620">
      <c r="A15620" s="48" t="s">
        <v>2019</v>
      </c>
      <c r="B15620" s="38">
        <v>90014.0</v>
      </c>
      <c r="C15620" s="38" t="s">
        <v>19998</v>
      </c>
      <c r="D15620" s="38" t="str">
        <f>IFERROR(__xludf.DUMMYFUNCTION("REGEXREPLACE(C15620,""-\d+(.*)|--\d+(.*)"","""")"),"BORON")</f>
        <v>BORON</v>
      </c>
      <c r="E15620" s="38" t="s">
        <v>1283</v>
      </c>
      <c r="F15620" s="38" t="s">
        <v>214</v>
      </c>
      <c r="G15620" s="49" t="str">
        <f t="shared" si="1"/>
        <v>90100</v>
      </c>
      <c r="H15620" s="49">
        <f t="shared" si="2"/>
        <v>90014</v>
      </c>
    </row>
    <row r="15621">
      <c r="A15621" s="48" t="s">
        <v>5395</v>
      </c>
      <c r="B15621" s="38">
        <v>23125.0</v>
      </c>
      <c r="C15621" s="38" t="s">
        <v>19999</v>
      </c>
      <c r="D15621" s="38" t="str">
        <f>IFERROR(__xludf.DUMMYFUNCTION("REGEXREPLACE(C15621,""-\d+(.*)|--\d+(.*)"","""")"),"LE MAS-D'ARTIGE")</f>
        <v>LE MAS-D'ARTIGE</v>
      </c>
      <c r="E15621" s="38" t="s">
        <v>97</v>
      </c>
      <c r="F15621" s="38" t="s">
        <v>98</v>
      </c>
      <c r="G15621" s="49" t="str">
        <f t="shared" si="1"/>
        <v>23100</v>
      </c>
      <c r="H15621" s="49">
        <f t="shared" si="2"/>
        <v>23125</v>
      </c>
    </row>
    <row r="15622">
      <c r="A15622" s="48" t="s">
        <v>3900</v>
      </c>
      <c r="B15622" s="38">
        <v>2824.0</v>
      </c>
      <c r="C15622" s="38" t="s">
        <v>20000</v>
      </c>
      <c r="D15622" s="38" t="str">
        <f>IFERROR(__xludf.DUMMYFUNCTION("REGEXREPLACE(C15622,""-\d+(.*)|--\d+(.*)"","""")"),"VORGES")</f>
        <v>VORGES</v>
      </c>
      <c r="E15622" s="38" t="s">
        <v>191</v>
      </c>
      <c r="F15622" s="38" t="s">
        <v>113</v>
      </c>
      <c r="G15622" s="49" t="str">
        <f t="shared" si="1"/>
        <v>02860</v>
      </c>
      <c r="H15622" s="49" t="str">
        <f t="shared" si="2"/>
        <v>02824</v>
      </c>
    </row>
    <row r="15623">
      <c r="A15623" s="48" t="s">
        <v>11884</v>
      </c>
      <c r="B15623" s="38">
        <v>37277.0</v>
      </c>
      <c r="C15623" s="38" t="s">
        <v>20001</v>
      </c>
      <c r="D15623" s="38" t="str">
        <f>IFERROR(__xludf.DUMMYFUNCTION("REGEXREPLACE(C15623,""-\d+(.*)|--\d+(.*)"","""")"),"VILLELOIN-COULANGE")</f>
        <v>VILLELOIN-COULANGE</v>
      </c>
      <c r="E15623" s="38" t="s">
        <v>205</v>
      </c>
      <c r="F15623" s="38" t="s">
        <v>123</v>
      </c>
      <c r="G15623" s="49" t="str">
        <f t="shared" si="1"/>
        <v>37460</v>
      </c>
      <c r="H15623" s="49">
        <f t="shared" si="2"/>
        <v>37277</v>
      </c>
    </row>
    <row r="15624">
      <c r="A15624" s="48" t="s">
        <v>1520</v>
      </c>
      <c r="B15624" s="38">
        <v>16410.0</v>
      </c>
      <c r="C15624" s="38" t="s">
        <v>20002</v>
      </c>
      <c r="D15624" s="38" t="str">
        <f>IFERROR(__xludf.DUMMYFUNCTION("REGEXREPLACE(C15624,""-\d+(.*)|--\d+(.*)"","""")"),"VILLEGATS")</f>
        <v>VILLEGATS</v>
      </c>
      <c r="E15624" s="38" t="s">
        <v>429</v>
      </c>
      <c r="F15624" s="38" t="s">
        <v>338</v>
      </c>
      <c r="G15624" s="49" t="str">
        <f t="shared" si="1"/>
        <v>16700</v>
      </c>
      <c r="H15624" s="49">
        <f t="shared" si="2"/>
        <v>16410</v>
      </c>
    </row>
    <row r="15625">
      <c r="A15625" s="48" t="s">
        <v>384</v>
      </c>
      <c r="B15625" s="38">
        <v>55369.0</v>
      </c>
      <c r="C15625" s="38" t="s">
        <v>20003</v>
      </c>
      <c r="D15625" s="38" t="str">
        <f>IFERROR(__xludf.DUMMYFUNCTION("REGEXREPLACE(C15625,""-\d+(.*)|--\d+(.*)"","""")"),"NAIVES-ROSIERES")</f>
        <v>NAIVES-ROSIERES</v>
      </c>
      <c r="E15625" s="38" t="s">
        <v>322</v>
      </c>
      <c r="F15625" s="38" t="s">
        <v>195</v>
      </c>
      <c r="G15625" s="49" t="str">
        <f t="shared" si="1"/>
        <v>55000</v>
      </c>
      <c r="H15625" s="49">
        <f t="shared" si="2"/>
        <v>55369</v>
      </c>
    </row>
    <row r="15626">
      <c r="A15626" s="48" t="s">
        <v>415</v>
      </c>
      <c r="B15626" s="38">
        <v>21414.0</v>
      </c>
      <c r="C15626" s="38" t="s">
        <v>20004</v>
      </c>
      <c r="D15626" s="38" t="str">
        <f>IFERROR(__xludf.DUMMYFUNCTION("REGEXREPLACE(C15626,""-\d+(.*)|--\d+(.*)"","""")"),"MIMEURE")</f>
        <v>MIMEURE</v>
      </c>
      <c r="E15626" s="38" t="s">
        <v>105</v>
      </c>
      <c r="F15626" s="38" t="s">
        <v>106</v>
      </c>
      <c r="G15626" s="49" t="str">
        <f t="shared" si="1"/>
        <v>21230</v>
      </c>
      <c r="H15626" s="49">
        <f t="shared" si="2"/>
        <v>21414</v>
      </c>
    </row>
    <row r="15627">
      <c r="A15627" s="48" t="s">
        <v>20005</v>
      </c>
      <c r="B15627" s="38">
        <v>22166.0</v>
      </c>
      <c r="C15627" s="38" t="s">
        <v>20006</v>
      </c>
      <c r="D15627" s="38" t="str">
        <f>IFERROR(__xludf.DUMMYFUNCTION("REGEXREPLACE(C15627,""-\d+(.*)|--\d+(.*)"","""")"),"PENVENAN")</f>
        <v>PENVENAN</v>
      </c>
      <c r="E15627" s="38" t="s">
        <v>89</v>
      </c>
      <c r="F15627" s="38" t="s">
        <v>90</v>
      </c>
      <c r="G15627" s="49" t="str">
        <f t="shared" si="1"/>
        <v>22710</v>
      </c>
      <c r="H15627" s="49">
        <f t="shared" si="2"/>
        <v>22166</v>
      </c>
    </row>
    <row r="15628">
      <c r="A15628" s="48" t="s">
        <v>3093</v>
      </c>
      <c r="B15628" s="38">
        <v>57375.0</v>
      </c>
      <c r="C15628" s="38" t="s">
        <v>20007</v>
      </c>
      <c r="D15628" s="38" t="str">
        <f>IFERROR(__xludf.DUMMYFUNCTION("REGEXREPLACE(C15628,""-\d+(.*)|--\d+(.*)"","""")"),"LAGARDE")</f>
        <v>LAGARDE</v>
      </c>
      <c r="E15628" s="38" t="s">
        <v>303</v>
      </c>
      <c r="F15628" s="38" t="s">
        <v>195</v>
      </c>
      <c r="G15628" s="49" t="str">
        <f t="shared" si="1"/>
        <v>57810</v>
      </c>
      <c r="H15628" s="49">
        <f t="shared" si="2"/>
        <v>57375</v>
      </c>
    </row>
    <row r="15629">
      <c r="A15629" s="48" t="s">
        <v>2655</v>
      </c>
      <c r="B15629" s="38">
        <v>52405.0</v>
      </c>
      <c r="C15629" s="38" t="s">
        <v>20008</v>
      </c>
      <c r="D15629" s="38" t="str">
        <f>IFERROR(__xludf.DUMMYFUNCTION("REGEXREPLACE(C15629,""-\d+(.*)|--\d+(.*)"","""")"),"PRAUTHOY")</f>
        <v>PRAUTHOY</v>
      </c>
      <c r="E15629" s="38" t="s">
        <v>234</v>
      </c>
      <c r="F15629" s="38" t="s">
        <v>130</v>
      </c>
      <c r="G15629" s="49" t="str">
        <f t="shared" si="1"/>
        <v>52190</v>
      </c>
      <c r="H15629" s="49">
        <f t="shared" si="2"/>
        <v>52405</v>
      </c>
    </row>
    <row r="15630">
      <c r="A15630" s="48" t="s">
        <v>16014</v>
      </c>
      <c r="B15630" s="38">
        <v>33393.0</v>
      </c>
      <c r="C15630" s="38" t="s">
        <v>20009</v>
      </c>
      <c r="D15630" s="38" t="str">
        <f>IFERROR(__xludf.DUMMYFUNCTION("REGEXREPLACE(C15630,""-\d+(.*)|--\d+(.*)"","""")"),"SAINT-DENIS-DE-PILE")</f>
        <v>SAINT-DENIS-DE-PILE</v>
      </c>
      <c r="E15630" s="38" t="s">
        <v>462</v>
      </c>
      <c r="F15630" s="38" t="s">
        <v>252</v>
      </c>
      <c r="G15630" s="49" t="str">
        <f t="shared" si="1"/>
        <v>33910</v>
      </c>
      <c r="H15630" s="49">
        <f t="shared" si="2"/>
        <v>33393</v>
      </c>
    </row>
    <row r="15631">
      <c r="A15631" s="48" t="s">
        <v>1864</v>
      </c>
      <c r="B15631" s="38">
        <v>70474.0</v>
      </c>
      <c r="C15631" s="38" t="s">
        <v>1346</v>
      </c>
      <c r="D15631" s="38" t="str">
        <f>IFERROR(__xludf.DUMMYFUNCTION("REGEXREPLACE(C15631,""-\d+(.*)|--\d+(.*)"","""")"),"SAINT-SULPICE")</f>
        <v>SAINT-SULPICE</v>
      </c>
      <c r="E15631" s="38" t="s">
        <v>956</v>
      </c>
      <c r="F15631" s="38" t="s">
        <v>214</v>
      </c>
      <c r="G15631" s="49" t="str">
        <f t="shared" si="1"/>
        <v>70110</v>
      </c>
      <c r="H15631" s="49">
        <f t="shared" si="2"/>
        <v>70474</v>
      </c>
    </row>
    <row r="15632">
      <c r="A15632" s="48" t="s">
        <v>7155</v>
      </c>
      <c r="B15632" s="38">
        <v>30119.0</v>
      </c>
      <c r="C15632" s="38" t="s">
        <v>20010</v>
      </c>
      <c r="D15632" s="38" t="str">
        <f>IFERROR(__xludf.DUMMYFUNCTION("REGEXREPLACE(C15632,""-\d+(.*)|--\d+(.*)"","""")"),"FRESSAC")</f>
        <v>FRESSAC</v>
      </c>
      <c r="E15632" s="38" t="s">
        <v>526</v>
      </c>
      <c r="F15632" s="38" t="s">
        <v>119</v>
      </c>
      <c r="G15632" s="49" t="str">
        <f t="shared" si="1"/>
        <v>30170</v>
      </c>
      <c r="H15632" s="49">
        <f t="shared" si="2"/>
        <v>30119</v>
      </c>
    </row>
    <row r="15633">
      <c r="A15633" s="48" t="s">
        <v>11152</v>
      </c>
      <c r="B15633" s="38">
        <v>61513.0</v>
      </c>
      <c r="C15633" s="38" t="s">
        <v>20011</v>
      </c>
      <c r="D15633" s="38" t="str">
        <f>IFERROR(__xludf.DUMMYFUNCTION("REGEXREPLACE(C15633,""-\d+(.*)|--\d+(.*)"","""")"),"YVRANDES")</f>
        <v>YVRANDES</v>
      </c>
      <c r="E15633" s="38" t="s">
        <v>141</v>
      </c>
      <c r="F15633" s="38" t="s">
        <v>138</v>
      </c>
      <c r="G15633" s="49" t="str">
        <f t="shared" si="1"/>
        <v>61800</v>
      </c>
      <c r="H15633" s="49">
        <f t="shared" si="2"/>
        <v>61513</v>
      </c>
    </row>
    <row r="15634">
      <c r="A15634" s="48" t="s">
        <v>220</v>
      </c>
      <c r="B15634" s="38">
        <v>67513.0</v>
      </c>
      <c r="C15634" s="38" t="s">
        <v>20012</v>
      </c>
      <c r="D15634" s="38" t="str">
        <f>IFERROR(__xludf.DUMMYFUNCTION("REGEXREPLACE(C15634,""-\d+(.*)|--\d+(.*)"","""")"),"WALDERSBACH")</f>
        <v>WALDERSBACH</v>
      </c>
      <c r="E15634" s="38" t="s">
        <v>210</v>
      </c>
      <c r="F15634" s="38" t="s">
        <v>151</v>
      </c>
      <c r="G15634" s="49" t="str">
        <f t="shared" si="1"/>
        <v>67130</v>
      </c>
      <c r="H15634" s="49">
        <f t="shared" si="2"/>
        <v>67513</v>
      </c>
    </row>
    <row r="15635">
      <c r="A15635" s="48" t="s">
        <v>13655</v>
      </c>
      <c r="B15635" s="38">
        <v>17485.0</v>
      </c>
      <c r="C15635" s="38" t="s">
        <v>20013</v>
      </c>
      <c r="D15635" s="38" t="str">
        <f>IFERROR(__xludf.DUMMYFUNCTION("REGEXREPLACE(C15635,""-\d+(.*)|--\d+(.*)"","""")"),"LE GRAND-VILLAGE-PLAGE")</f>
        <v>LE GRAND-VILLAGE-PLAGE</v>
      </c>
      <c r="E15635" s="38" t="s">
        <v>488</v>
      </c>
      <c r="F15635" s="38" t="s">
        <v>338</v>
      </c>
      <c r="G15635" s="49" t="str">
        <f t="shared" si="1"/>
        <v>17370</v>
      </c>
      <c r="H15635" s="49">
        <f t="shared" si="2"/>
        <v>17485</v>
      </c>
    </row>
    <row r="15636">
      <c r="A15636" s="48" t="s">
        <v>1358</v>
      </c>
      <c r="B15636" s="38">
        <v>81119.0</v>
      </c>
      <c r="C15636" s="38" t="s">
        <v>20014</v>
      </c>
      <c r="D15636" s="38" t="str">
        <f>IFERROR(__xludf.DUMMYFUNCTION("REGEXREPLACE(C15636,""-\d+(.*)|--\d+(.*)"","""")"),"LABOUTARIE")</f>
        <v>LABOUTARIE</v>
      </c>
      <c r="E15636" s="38" t="s">
        <v>231</v>
      </c>
      <c r="F15636" s="38" t="s">
        <v>94</v>
      </c>
      <c r="G15636" s="49" t="str">
        <f t="shared" si="1"/>
        <v>81120</v>
      </c>
      <c r="H15636" s="49">
        <f t="shared" si="2"/>
        <v>81119</v>
      </c>
    </row>
    <row r="15637">
      <c r="A15637" s="48" t="s">
        <v>6230</v>
      </c>
      <c r="B15637" s="38">
        <v>53025.0</v>
      </c>
      <c r="C15637" s="38" t="s">
        <v>20015</v>
      </c>
      <c r="D15637" s="38" t="str">
        <f>IFERROR(__xludf.DUMMYFUNCTION("REGEXREPLACE(C15637,""-\d+(.*)|--\d+(.*)"","""")"),"BAZOUGERS")</f>
        <v>BAZOUGERS</v>
      </c>
      <c r="E15637" s="38" t="s">
        <v>518</v>
      </c>
      <c r="F15637" s="38" t="s">
        <v>180</v>
      </c>
      <c r="G15637" s="49" t="str">
        <f t="shared" si="1"/>
        <v>53170</v>
      </c>
      <c r="H15637" s="49">
        <f t="shared" si="2"/>
        <v>53025</v>
      </c>
    </row>
    <row r="15638">
      <c r="A15638" s="48" t="s">
        <v>5565</v>
      </c>
      <c r="B15638" s="38">
        <v>63360.0</v>
      </c>
      <c r="C15638" s="38" t="s">
        <v>3567</v>
      </c>
      <c r="D15638" s="38" t="str">
        <f>IFERROR(__xludf.DUMMYFUNCTION("REGEXREPLACE(C15638,""-\d+(.*)|--\d+(.*)"","""")"),"SAINT-HILAIRE")</f>
        <v>SAINT-HILAIRE</v>
      </c>
      <c r="E15638" s="38" t="s">
        <v>353</v>
      </c>
      <c r="F15638" s="38" t="s">
        <v>161</v>
      </c>
      <c r="G15638" s="49" t="str">
        <f t="shared" si="1"/>
        <v>63330</v>
      </c>
      <c r="H15638" s="49">
        <f t="shared" si="2"/>
        <v>63360</v>
      </c>
    </row>
    <row r="15639">
      <c r="A15639" s="48" t="s">
        <v>13932</v>
      </c>
      <c r="B15639" s="38">
        <v>19085.0</v>
      </c>
      <c r="C15639" s="38" t="s">
        <v>20016</v>
      </c>
      <c r="D15639" s="38" t="str">
        <f>IFERROR(__xludf.DUMMYFUNCTION("REGEXREPLACE(C15639,""-\d+(.*)|--\d+(.*)"","""")"),"GIMEL-LES-CASCADES")</f>
        <v>GIMEL-LES-CASCADES</v>
      </c>
      <c r="E15639" s="38" t="s">
        <v>271</v>
      </c>
      <c r="F15639" s="38" t="s">
        <v>98</v>
      </c>
      <c r="G15639" s="49" t="str">
        <f t="shared" si="1"/>
        <v>19800</v>
      </c>
      <c r="H15639" s="49">
        <f t="shared" si="2"/>
        <v>19085</v>
      </c>
    </row>
    <row r="15640">
      <c r="A15640" s="48" t="s">
        <v>1588</v>
      </c>
      <c r="B15640" s="38">
        <v>9085.0</v>
      </c>
      <c r="C15640" s="38" t="s">
        <v>20017</v>
      </c>
      <c r="D15640" s="38" t="str">
        <f>IFERROR(__xludf.DUMMYFUNCTION("REGEXREPLACE(C15640,""-\d+(.*)|--\d+(.*)"","""")"),"CASTILLON-EN-COUSERANS")</f>
        <v>CASTILLON-EN-COUSERANS</v>
      </c>
      <c r="E15640" s="38" t="s">
        <v>238</v>
      </c>
      <c r="F15640" s="38" t="s">
        <v>94</v>
      </c>
      <c r="G15640" s="49" t="str">
        <f t="shared" si="1"/>
        <v>09800</v>
      </c>
      <c r="H15640" s="49" t="str">
        <f t="shared" si="2"/>
        <v>09085</v>
      </c>
    </row>
    <row r="15641">
      <c r="A15641" s="48" t="s">
        <v>4065</v>
      </c>
      <c r="B15641" s="38">
        <v>21147.0</v>
      </c>
      <c r="C15641" s="38" t="s">
        <v>20018</v>
      </c>
      <c r="D15641" s="38" t="str">
        <f>IFERROR(__xludf.DUMMYFUNCTION("REGEXREPLACE(C15641,""-\d+(.*)|--\d+(.*)"","""")"),"CHARNY")</f>
        <v>CHARNY</v>
      </c>
      <c r="E15641" s="38" t="s">
        <v>105</v>
      </c>
      <c r="F15641" s="38" t="s">
        <v>106</v>
      </c>
      <c r="G15641" s="49" t="str">
        <f t="shared" si="1"/>
        <v>21350</v>
      </c>
      <c r="H15641" s="49">
        <f t="shared" si="2"/>
        <v>21147</v>
      </c>
    </row>
    <row r="15642">
      <c r="A15642" s="48" t="s">
        <v>586</v>
      </c>
      <c r="B15642" s="38">
        <v>67079.0</v>
      </c>
      <c r="C15642" s="38" t="s">
        <v>20019</v>
      </c>
      <c r="D15642" s="38" t="str">
        <f>IFERROR(__xludf.DUMMYFUNCTION("REGEXREPLACE(C15642,""-\d+(.*)|--\d+(.*)"","""")"),"CROETTWILLER")</f>
        <v>CROETTWILLER</v>
      </c>
      <c r="E15642" s="38" t="s">
        <v>210</v>
      </c>
      <c r="F15642" s="38" t="s">
        <v>151</v>
      </c>
      <c r="G15642" s="49" t="str">
        <f t="shared" si="1"/>
        <v>67470</v>
      </c>
      <c r="H15642" s="49">
        <f t="shared" si="2"/>
        <v>67079</v>
      </c>
    </row>
    <row r="15643">
      <c r="A15643" s="48" t="s">
        <v>8453</v>
      </c>
      <c r="B15643" s="38">
        <v>8208.0</v>
      </c>
      <c r="C15643" s="38" t="s">
        <v>20020</v>
      </c>
      <c r="D15643" s="38" t="str">
        <f>IFERROR(__xludf.DUMMYFUNCTION("REGEXREPLACE(C15643,""-\d+(.*)|--\d+(.*)"","""")"),"HANNAPPES")</f>
        <v>HANNAPPES</v>
      </c>
      <c r="E15643" s="38" t="s">
        <v>327</v>
      </c>
      <c r="F15643" s="38" t="s">
        <v>130</v>
      </c>
      <c r="G15643" s="49" t="str">
        <f t="shared" si="1"/>
        <v>08290</v>
      </c>
      <c r="H15643" s="49" t="str">
        <f t="shared" si="2"/>
        <v>08208</v>
      </c>
    </row>
    <row r="15644">
      <c r="A15644" s="48" t="s">
        <v>12252</v>
      </c>
      <c r="B15644" s="38">
        <v>56232.0</v>
      </c>
      <c r="C15644" s="38" t="s">
        <v>20021</v>
      </c>
      <c r="D15644" s="38" t="str">
        <f>IFERROR(__xludf.DUMMYFUNCTION("REGEXREPLACE(C15644,""-\d+(.*)|--\d+(.*)"","""")"),"SAINT-PERREUX")</f>
        <v>SAINT-PERREUX</v>
      </c>
      <c r="E15644" s="38" t="s">
        <v>173</v>
      </c>
      <c r="F15644" s="38" t="s">
        <v>90</v>
      </c>
      <c r="G15644" s="49" t="str">
        <f t="shared" si="1"/>
        <v>56350</v>
      </c>
      <c r="H15644" s="49">
        <f t="shared" si="2"/>
        <v>56232</v>
      </c>
    </row>
    <row r="15645">
      <c r="A15645" s="48" t="s">
        <v>3190</v>
      </c>
      <c r="B15645" s="38">
        <v>70257.0</v>
      </c>
      <c r="C15645" s="38" t="s">
        <v>20022</v>
      </c>
      <c r="D15645" s="38" t="str">
        <f>IFERROR(__xludf.DUMMYFUNCTION("REGEXREPLACE(C15645,""-\d+(.*)|--\d+(.*)"","""")"),"FRETIGNEY-ET-VELLOREILLE")</f>
        <v>FRETIGNEY-ET-VELLOREILLE</v>
      </c>
      <c r="E15645" s="38" t="s">
        <v>956</v>
      </c>
      <c r="F15645" s="38" t="s">
        <v>214</v>
      </c>
      <c r="G15645" s="49" t="str">
        <f t="shared" si="1"/>
        <v>70130</v>
      </c>
      <c r="H15645" s="49">
        <f t="shared" si="2"/>
        <v>70257</v>
      </c>
    </row>
    <row r="15646">
      <c r="A15646" s="48" t="s">
        <v>6492</v>
      </c>
      <c r="B15646" s="38">
        <v>5094.0</v>
      </c>
      <c r="C15646" s="38" t="s">
        <v>20023</v>
      </c>
      <c r="D15646" s="38" t="str">
        <f>IFERROR(__xludf.DUMMYFUNCTION("REGEXREPLACE(C15646,""-\d+(.*)|--\d+(.*)"","""")"),"NOSSAGE-ET-BENEVENT")</f>
        <v>NOSSAGE-ET-BENEVENT</v>
      </c>
      <c r="E15646" s="38" t="s">
        <v>706</v>
      </c>
      <c r="F15646" s="38" t="s">
        <v>228</v>
      </c>
      <c r="G15646" s="49" t="str">
        <f t="shared" si="1"/>
        <v>05700</v>
      </c>
      <c r="H15646" s="49" t="str">
        <f t="shared" si="2"/>
        <v>05094</v>
      </c>
    </row>
    <row r="15647">
      <c r="A15647" s="48" t="s">
        <v>6025</v>
      </c>
      <c r="B15647" s="38">
        <v>31591.0</v>
      </c>
      <c r="C15647" s="38" t="s">
        <v>20024</v>
      </c>
      <c r="D15647" s="38" t="str">
        <f>IFERROR(__xludf.DUMMYFUNCTION("REGEXREPLACE(C15647,""-\d+(.*)|--\d+(.*)"","""")"),"ESCOULIS")</f>
        <v>ESCOULIS</v>
      </c>
      <c r="E15647" s="38" t="s">
        <v>93</v>
      </c>
      <c r="F15647" s="38" t="s">
        <v>94</v>
      </c>
      <c r="G15647" s="49" t="str">
        <f t="shared" si="1"/>
        <v>31260</v>
      </c>
      <c r="H15647" s="49">
        <f t="shared" si="2"/>
        <v>31591</v>
      </c>
    </row>
    <row r="15648">
      <c r="A15648" s="48" t="s">
        <v>5390</v>
      </c>
      <c r="B15648" s="38">
        <v>27247.0</v>
      </c>
      <c r="C15648" s="38" t="s">
        <v>20025</v>
      </c>
      <c r="D15648" s="38" t="str">
        <f>IFERROR(__xludf.DUMMYFUNCTION("REGEXREPLACE(C15648,""-\d+(.*)|--\d+(.*)"","""")"),"FLIPOU")</f>
        <v>FLIPOU</v>
      </c>
      <c r="E15648" s="38" t="s">
        <v>241</v>
      </c>
      <c r="F15648" s="38" t="s">
        <v>134</v>
      </c>
      <c r="G15648" s="49" t="str">
        <f t="shared" si="1"/>
        <v>27380</v>
      </c>
      <c r="H15648" s="49">
        <f t="shared" si="2"/>
        <v>27247</v>
      </c>
    </row>
    <row r="15649">
      <c r="A15649" s="48" t="s">
        <v>4373</v>
      </c>
      <c r="B15649" s="38">
        <v>82003.0</v>
      </c>
      <c r="C15649" s="38" t="s">
        <v>20026</v>
      </c>
      <c r="D15649" s="38" t="str">
        <f>IFERROR(__xludf.DUMMYFUNCTION("REGEXREPLACE(C15649,""-\d+(.*)|--\d+(.*)"","""")"),"ANGEVILLE")</f>
        <v>ANGEVILLE</v>
      </c>
      <c r="E15649" s="38" t="s">
        <v>570</v>
      </c>
      <c r="F15649" s="38" t="s">
        <v>94</v>
      </c>
      <c r="G15649" s="49" t="str">
        <f t="shared" si="1"/>
        <v>82210</v>
      </c>
      <c r="H15649" s="49">
        <f t="shared" si="2"/>
        <v>82003</v>
      </c>
    </row>
    <row r="15650">
      <c r="A15650" s="48" t="s">
        <v>2067</v>
      </c>
      <c r="B15650" s="38">
        <v>18218.0</v>
      </c>
      <c r="C15650" s="38" t="s">
        <v>13965</v>
      </c>
      <c r="D15650" s="38" t="str">
        <f>IFERROR(__xludf.DUMMYFUNCTION("REGEXREPLACE(C15650,""-\d+(.*)|--\d+(.*)"","""")"),"SAINT-JUST")</f>
        <v>SAINT-JUST</v>
      </c>
      <c r="E15650" s="38" t="s">
        <v>504</v>
      </c>
      <c r="F15650" s="38" t="s">
        <v>123</v>
      </c>
      <c r="G15650" s="49" t="str">
        <f t="shared" si="1"/>
        <v>18340</v>
      </c>
      <c r="H15650" s="49">
        <f t="shared" si="2"/>
        <v>18218</v>
      </c>
    </row>
    <row r="15651">
      <c r="A15651" s="48" t="s">
        <v>6296</v>
      </c>
      <c r="B15651" s="38">
        <v>50275.0</v>
      </c>
      <c r="C15651" s="38" t="s">
        <v>20027</v>
      </c>
      <c r="D15651" s="38" t="str">
        <f>IFERROR(__xludf.DUMMYFUNCTION("REGEXREPLACE(C15651,""-\d+(.*)|--\d+(.*)"","""")"),"LES LOGES-SUR-BRECEY")</f>
        <v>LES LOGES-SUR-BRECEY</v>
      </c>
      <c r="E15651" s="38" t="s">
        <v>157</v>
      </c>
      <c r="F15651" s="38" t="s">
        <v>138</v>
      </c>
      <c r="G15651" s="49" t="str">
        <f t="shared" si="1"/>
        <v>50370</v>
      </c>
      <c r="H15651" s="49">
        <f t="shared" si="2"/>
        <v>50275</v>
      </c>
    </row>
    <row r="15652">
      <c r="A15652" s="48" t="s">
        <v>16965</v>
      </c>
      <c r="B15652" s="38">
        <v>24005.0</v>
      </c>
      <c r="C15652" s="38" t="s">
        <v>20028</v>
      </c>
      <c r="D15652" s="38" t="str">
        <f>IFERROR(__xludf.DUMMYFUNCTION("REGEXREPLACE(C15652,""-\d+(.*)|--\d+(.*)"","""")"),"ALLES-SUR-DORDOGNE")</f>
        <v>ALLES-SUR-DORDOGNE</v>
      </c>
      <c r="E15652" s="38" t="s">
        <v>261</v>
      </c>
      <c r="F15652" s="38" t="s">
        <v>252</v>
      </c>
      <c r="G15652" s="49" t="str">
        <f t="shared" si="1"/>
        <v>24480</v>
      </c>
      <c r="H15652" s="49">
        <f t="shared" si="2"/>
        <v>24005</v>
      </c>
    </row>
    <row r="15653">
      <c r="A15653" s="48" t="s">
        <v>6670</v>
      </c>
      <c r="B15653" s="38">
        <v>32316.0</v>
      </c>
      <c r="C15653" s="38" t="s">
        <v>20029</v>
      </c>
      <c r="D15653" s="38" t="str">
        <f>IFERROR(__xludf.DUMMYFUNCTION("REGEXREPLACE(C15653,""-\d+(.*)|--\d+(.*)"","""")"),"PEYRUSSE-MASSAS")</f>
        <v>PEYRUSSE-MASSAS</v>
      </c>
      <c r="E15653" s="38" t="s">
        <v>440</v>
      </c>
      <c r="F15653" s="38" t="s">
        <v>94</v>
      </c>
      <c r="G15653" s="49" t="str">
        <f t="shared" si="1"/>
        <v>32360</v>
      </c>
      <c r="H15653" s="49">
        <f t="shared" si="2"/>
        <v>32316</v>
      </c>
    </row>
    <row r="15654">
      <c r="A15654" s="48" t="s">
        <v>3747</v>
      </c>
      <c r="B15654" s="38">
        <v>52467.0</v>
      </c>
      <c r="C15654" s="38" t="s">
        <v>12147</v>
      </c>
      <c r="D15654" s="38" t="str">
        <f>IFERROR(__xludf.DUMMYFUNCTION("REGEXREPLACE(C15654,""-\d+(.*)|--\d+(.*)"","""")"),"SAVIGNY")</f>
        <v>SAVIGNY</v>
      </c>
      <c r="E15654" s="38" t="s">
        <v>234</v>
      </c>
      <c r="F15654" s="38" t="s">
        <v>130</v>
      </c>
      <c r="G15654" s="49" t="str">
        <f t="shared" si="1"/>
        <v>52500</v>
      </c>
      <c r="H15654" s="49">
        <f t="shared" si="2"/>
        <v>52467</v>
      </c>
    </row>
    <row r="15655">
      <c r="A15655" s="48" t="s">
        <v>1220</v>
      </c>
      <c r="B15655" s="38">
        <v>76023.0</v>
      </c>
      <c r="C15655" s="38" t="s">
        <v>20030</v>
      </c>
      <c r="D15655" s="38" t="str">
        <f>IFERROR(__xludf.DUMMYFUNCTION("REGEXREPLACE(C15655,""-\d+(.*)|--\d+(.*)"","""")"),"ANVEVILLE")</f>
        <v>ANVEVILLE</v>
      </c>
      <c r="E15655" s="38" t="s">
        <v>133</v>
      </c>
      <c r="F15655" s="38" t="s">
        <v>134</v>
      </c>
      <c r="G15655" s="49" t="str">
        <f t="shared" si="1"/>
        <v>76560</v>
      </c>
      <c r="H15655" s="49">
        <f t="shared" si="2"/>
        <v>76023</v>
      </c>
    </row>
    <row r="15656">
      <c r="A15656" s="48" t="s">
        <v>1114</v>
      </c>
      <c r="B15656" s="38">
        <v>2081.0</v>
      </c>
      <c r="C15656" s="38" t="s">
        <v>20031</v>
      </c>
      <c r="D15656" s="38" t="str">
        <f>IFERROR(__xludf.DUMMYFUNCTION("REGEXREPLACE(C15656,""-\d+(.*)|--\d+(.*)"","""")"),"BETHANCOURT-EN-VAUX")</f>
        <v>BETHANCOURT-EN-VAUX</v>
      </c>
      <c r="E15656" s="38" t="s">
        <v>191</v>
      </c>
      <c r="F15656" s="38" t="s">
        <v>113</v>
      </c>
      <c r="G15656" s="49" t="str">
        <f t="shared" si="1"/>
        <v>02300</v>
      </c>
      <c r="H15656" s="49" t="str">
        <f t="shared" si="2"/>
        <v>02081</v>
      </c>
    </row>
    <row r="15657">
      <c r="A15657" s="48" t="s">
        <v>10854</v>
      </c>
      <c r="B15657" s="38">
        <v>42253.0</v>
      </c>
      <c r="C15657" s="38" t="s">
        <v>20032</v>
      </c>
      <c r="D15657" s="38" t="str">
        <f>IFERROR(__xludf.DUMMYFUNCTION("REGEXREPLACE(C15657,""-\d+(.*)|--\d+(.*)"","""")"),"SAINT-LEGER-SUR-ROANNE")</f>
        <v>SAINT-LEGER-SUR-ROANNE</v>
      </c>
      <c r="E15657" s="38" t="s">
        <v>166</v>
      </c>
      <c r="F15657" s="38" t="s">
        <v>102</v>
      </c>
      <c r="G15657" s="49" t="str">
        <f t="shared" si="1"/>
        <v>42155</v>
      </c>
      <c r="H15657" s="49">
        <f t="shared" si="2"/>
        <v>42253</v>
      </c>
    </row>
    <row r="15658">
      <c r="A15658" s="48" t="s">
        <v>4213</v>
      </c>
      <c r="B15658" s="38">
        <v>7328.0</v>
      </c>
      <c r="C15658" s="38" t="s">
        <v>20033</v>
      </c>
      <c r="D15658" s="38" t="str">
        <f>IFERROR(__xludf.DUMMYFUNCTION("REGEXREPLACE(C15658,""-\d+(.*)|--\d+(.*)"","""")"),"VAGNAS")</f>
        <v>VAGNAS</v>
      </c>
      <c r="E15658" s="38" t="s">
        <v>144</v>
      </c>
      <c r="F15658" s="38" t="s">
        <v>102</v>
      </c>
      <c r="G15658" s="49" t="str">
        <f t="shared" si="1"/>
        <v>07150</v>
      </c>
      <c r="H15658" s="49" t="str">
        <f t="shared" si="2"/>
        <v>07328</v>
      </c>
    </row>
    <row r="15659">
      <c r="A15659" s="48" t="s">
        <v>20034</v>
      </c>
      <c r="B15659" s="38">
        <v>45179.0</v>
      </c>
      <c r="C15659" s="38" t="s">
        <v>20035</v>
      </c>
      <c r="D15659" s="38" t="str">
        <f>IFERROR(__xludf.DUMMYFUNCTION("REGEXREPLACE(C15659,""-\d+(.*)|--\d+(.*)"","""")"),"LAILLY-EN-VAL")</f>
        <v>LAILLY-EN-VAL</v>
      </c>
      <c r="E15659" s="38" t="s">
        <v>122</v>
      </c>
      <c r="F15659" s="38" t="s">
        <v>123</v>
      </c>
      <c r="G15659" s="49" t="str">
        <f t="shared" si="1"/>
        <v>45740</v>
      </c>
      <c r="H15659" s="49">
        <f t="shared" si="2"/>
        <v>45179</v>
      </c>
    </row>
    <row r="15660">
      <c r="A15660" s="48" t="s">
        <v>719</v>
      </c>
      <c r="B15660" s="38">
        <v>8352.0</v>
      </c>
      <c r="C15660" s="38" t="s">
        <v>20036</v>
      </c>
      <c r="D15660" s="38" t="str">
        <f>IFERROR(__xludf.DUMMYFUNCTION("REGEXREPLACE(C15660,""-\d+(.*)|--\d+(.*)"","""")"),"RAILLICOURT")</f>
        <v>RAILLICOURT</v>
      </c>
      <c r="E15660" s="38" t="s">
        <v>327</v>
      </c>
      <c r="F15660" s="38" t="s">
        <v>130</v>
      </c>
      <c r="G15660" s="49" t="str">
        <f t="shared" si="1"/>
        <v>08430</v>
      </c>
      <c r="H15660" s="49" t="str">
        <f t="shared" si="2"/>
        <v>08352</v>
      </c>
    </row>
    <row r="15661">
      <c r="A15661" s="48" t="s">
        <v>16366</v>
      </c>
      <c r="B15661" s="38">
        <v>21299.0</v>
      </c>
      <c r="C15661" s="38" t="s">
        <v>20037</v>
      </c>
      <c r="D15661" s="38" t="str">
        <f>IFERROR(__xludf.DUMMYFUNCTION("REGEXREPLACE(C15661,""-\d+(.*)|--\d+(.*)"","""")"),"GISSEY-SOUS-FLAVIGNY")</f>
        <v>GISSEY-SOUS-FLAVIGNY</v>
      </c>
      <c r="E15661" s="38" t="s">
        <v>105</v>
      </c>
      <c r="F15661" s="38" t="s">
        <v>106</v>
      </c>
      <c r="G15661" s="49" t="str">
        <f t="shared" si="1"/>
        <v>21150</v>
      </c>
      <c r="H15661" s="49">
        <f t="shared" si="2"/>
        <v>21299</v>
      </c>
    </row>
    <row r="15662">
      <c r="A15662" s="48" t="s">
        <v>8471</v>
      </c>
      <c r="B15662" s="38">
        <v>12103.0</v>
      </c>
      <c r="C15662" s="38" t="s">
        <v>20038</v>
      </c>
      <c r="D15662" s="38" t="str">
        <f>IFERROR(__xludf.DUMMYFUNCTION("REGEXREPLACE(C15662,""-\d+(.*)|--\d+(.*)"","""")"),"FLORENTIN-LA-CAPELLE")</f>
        <v>FLORENTIN-LA-CAPELLE</v>
      </c>
      <c r="E15662" s="38" t="s">
        <v>465</v>
      </c>
      <c r="F15662" s="38" t="s">
        <v>94</v>
      </c>
      <c r="G15662" s="49" t="str">
        <f t="shared" si="1"/>
        <v>12140</v>
      </c>
      <c r="H15662" s="49">
        <f t="shared" si="2"/>
        <v>12103</v>
      </c>
    </row>
    <row r="15663">
      <c r="A15663" s="48" t="s">
        <v>2805</v>
      </c>
      <c r="B15663" s="38">
        <v>23233.0</v>
      </c>
      <c r="C15663" s="38" t="s">
        <v>20039</v>
      </c>
      <c r="D15663" s="38" t="str">
        <f>IFERROR(__xludf.DUMMYFUNCTION("REGEXREPLACE(C15663,""-\d+(.*)|--\d+(.*)"","""")"),"SAINT-PIERRE-LE-BOST")</f>
        <v>SAINT-PIERRE-LE-BOST</v>
      </c>
      <c r="E15663" s="38" t="s">
        <v>97</v>
      </c>
      <c r="F15663" s="38" t="s">
        <v>98</v>
      </c>
      <c r="G15663" s="49" t="str">
        <f t="shared" si="1"/>
        <v>23600</v>
      </c>
      <c r="H15663" s="49">
        <f t="shared" si="2"/>
        <v>23233</v>
      </c>
    </row>
    <row r="15664">
      <c r="A15664" s="48" t="s">
        <v>7843</v>
      </c>
      <c r="B15664" s="38">
        <v>49004.0</v>
      </c>
      <c r="C15664" s="38" t="s">
        <v>20040</v>
      </c>
      <c r="D15664" s="38" t="str">
        <f>IFERROR(__xludf.DUMMYFUNCTION("REGEXREPLACE(C15664,""-\d+(.*)|--\d+(.*)"","""")"),"ANDARD")</f>
        <v>ANDARD</v>
      </c>
      <c r="E15664" s="38" t="s">
        <v>653</v>
      </c>
      <c r="F15664" s="38" t="s">
        <v>180</v>
      </c>
      <c r="G15664" s="49" t="str">
        <f t="shared" si="1"/>
        <v>49800</v>
      </c>
      <c r="H15664" s="49">
        <f t="shared" si="2"/>
        <v>49004</v>
      </c>
    </row>
    <row r="15665">
      <c r="A15665" s="48" t="s">
        <v>20041</v>
      </c>
      <c r="B15665" s="38">
        <v>69247.0</v>
      </c>
      <c r="C15665" s="38" t="s">
        <v>20042</v>
      </c>
      <c r="D15665" s="38" t="str">
        <f>IFERROR(__xludf.DUMMYFUNCTION("REGEXREPLACE(C15665,""-\d+(.*)|--\d+(.*)"","""")"),"THEL")</f>
        <v>THEL</v>
      </c>
      <c r="E15665" s="38" t="s">
        <v>350</v>
      </c>
      <c r="F15665" s="38" t="s">
        <v>102</v>
      </c>
      <c r="G15665" s="49" t="str">
        <f t="shared" si="1"/>
        <v>69470</v>
      </c>
      <c r="H15665" s="49">
        <f t="shared" si="2"/>
        <v>69247</v>
      </c>
    </row>
    <row r="15666">
      <c r="A15666" s="48" t="s">
        <v>8589</v>
      </c>
      <c r="B15666" s="38">
        <v>27258.0</v>
      </c>
      <c r="C15666" s="38" t="s">
        <v>20043</v>
      </c>
      <c r="D15666" s="38" t="str">
        <f>IFERROR(__xludf.DUMMYFUNCTION("REGEXREPLACE(C15666,""-\d+(.*)|--\d+(.*)"","""")"),"FORT-MOVILLE")</f>
        <v>FORT-MOVILLE</v>
      </c>
      <c r="E15666" s="38" t="s">
        <v>241</v>
      </c>
      <c r="F15666" s="38" t="s">
        <v>134</v>
      </c>
      <c r="G15666" s="49" t="str">
        <f t="shared" si="1"/>
        <v>27210</v>
      </c>
      <c r="H15666" s="49">
        <f t="shared" si="2"/>
        <v>27258</v>
      </c>
    </row>
    <row r="15667">
      <c r="A15667" s="48" t="s">
        <v>2924</v>
      </c>
      <c r="B15667" s="38">
        <v>8234.0</v>
      </c>
      <c r="C15667" s="38" t="s">
        <v>20044</v>
      </c>
      <c r="D15667" s="38" t="str">
        <f>IFERROR(__xludf.DUMMYFUNCTION("REGEXREPLACE(C15667,""-\d+(.*)|--\d+(.*)"","""")"),"INAUMONT")</f>
        <v>INAUMONT</v>
      </c>
      <c r="E15667" s="38" t="s">
        <v>327</v>
      </c>
      <c r="F15667" s="38" t="s">
        <v>130</v>
      </c>
      <c r="G15667" s="49" t="str">
        <f t="shared" si="1"/>
        <v>08300</v>
      </c>
      <c r="H15667" s="49" t="str">
        <f t="shared" si="2"/>
        <v>08234</v>
      </c>
    </row>
    <row r="15668">
      <c r="A15668" s="48" t="s">
        <v>5166</v>
      </c>
      <c r="B15668" s="38">
        <v>26036.0</v>
      </c>
      <c r="C15668" s="38" t="s">
        <v>20045</v>
      </c>
      <c r="D15668" s="38" t="str">
        <f>IFERROR(__xludf.DUMMYFUNCTION("REGEXREPLACE(C15668,""-\d+(.*)|--\d+(.*)"","""")"),"BEAUMONT-EN-DIOIS")</f>
        <v>BEAUMONT-EN-DIOIS</v>
      </c>
      <c r="E15668" s="38" t="s">
        <v>126</v>
      </c>
      <c r="F15668" s="38" t="s">
        <v>102</v>
      </c>
      <c r="G15668" s="49" t="str">
        <f t="shared" si="1"/>
        <v>26310</v>
      </c>
      <c r="H15668" s="49">
        <f t="shared" si="2"/>
        <v>26036</v>
      </c>
    </row>
    <row r="15669">
      <c r="A15669" s="48" t="s">
        <v>19064</v>
      </c>
      <c r="B15669" s="38">
        <v>61042.0</v>
      </c>
      <c r="C15669" s="38" t="s">
        <v>20046</v>
      </c>
      <c r="D15669" s="38" t="str">
        <f>IFERROR(__xludf.DUMMYFUNCTION("REGEXREPLACE(C15669,""-\d+(.*)|--\d+(.*)"","""")"),"BELLOU-SUR-HUISNE")</f>
        <v>BELLOU-SUR-HUISNE</v>
      </c>
      <c r="E15669" s="38" t="s">
        <v>141</v>
      </c>
      <c r="F15669" s="38" t="s">
        <v>138</v>
      </c>
      <c r="G15669" s="49" t="str">
        <f t="shared" si="1"/>
        <v>61110</v>
      </c>
      <c r="H15669" s="49">
        <f t="shared" si="2"/>
        <v>61042</v>
      </c>
    </row>
    <row r="15670">
      <c r="A15670" s="48" t="s">
        <v>5634</v>
      </c>
      <c r="B15670" s="38">
        <v>72160.0</v>
      </c>
      <c r="C15670" s="38" t="s">
        <v>20047</v>
      </c>
      <c r="D15670" s="38" t="str">
        <f>IFERROR(__xludf.DUMMYFUNCTION("REGEXREPLACE(C15670,""-\d+(.*)|--\d+(.*)"","""")"),"LAVERNAT")</f>
        <v>LAVERNAT</v>
      </c>
      <c r="E15670" s="38" t="s">
        <v>521</v>
      </c>
      <c r="F15670" s="38" t="s">
        <v>180</v>
      </c>
      <c r="G15670" s="49" t="str">
        <f t="shared" si="1"/>
        <v>72500</v>
      </c>
      <c r="H15670" s="49">
        <f t="shared" si="2"/>
        <v>72160</v>
      </c>
    </row>
    <row r="15671">
      <c r="A15671" s="48" t="s">
        <v>3488</v>
      </c>
      <c r="B15671" s="38">
        <v>67423.0</v>
      </c>
      <c r="C15671" s="38" t="s">
        <v>20048</v>
      </c>
      <c r="D15671" s="38" t="str">
        <f>IFERROR(__xludf.DUMMYFUNCTION("REGEXREPLACE(C15671,""-\d+(.*)|--\d+(.*)"","""")"),"SAESSOLSHEIM")</f>
        <v>SAESSOLSHEIM</v>
      </c>
      <c r="E15671" s="38" t="s">
        <v>210</v>
      </c>
      <c r="F15671" s="38" t="s">
        <v>151</v>
      </c>
      <c r="G15671" s="49" t="str">
        <f t="shared" si="1"/>
        <v>67270</v>
      </c>
      <c r="H15671" s="49">
        <f t="shared" si="2"/>
        <v>67423</v>
      </c>
    </row>
    <row r="15672">
      <c r="A15672" s="48" t="s">
        <v>1008</v>
      </c>
      <c r="B15672" s="38">
        <v>2006.0</v>
      </c>
      <c r="C15672" s="38" t="s">
        <v>20049</v>
      </c>
      <c r="D15672" s="38" t="str">
        <f>IFERROR(__xludf.DUMMYFUNCTION("REGEXREPLACE(C15672,""-\d+(.*)|--\d+(.*)"","""")"),"AISONVILLE-ET-BERNOVILLE")</f>
        <v>AISONVILLE-ET-BERNOVILLE</v>
      </c>
      <c r="E15672" s="38" t="s">
        <v>191</v>
      </c>
      <c r="F15672" s="38" t="s">
        <v>113</v>
      </c>
      <c r="G15672" s="49" t="str">
        <f t="shared" si="1"/>
        <v>02110</v>
      </c>
      <c r="H15672" s="49" t="str">
        <f t="shared" si="2"/>
        <v>02006</v>
      </c>
    </row>
    <row r="15673">
      <c r="A15673" s="48" t="s">
        <v>9613</v>
      </c>
      <c r="B15673" s="38">
        <v>16422.0</v>
      </c>
      <c r="C15673" s="38" t="s">
        <v>20050</v>
      </c>
      <c r="D15673" s="38" t="str">
        <f>IFERROR(__xludf.DUMMYFUNCTION("REGEXREPLACE(C15673,""-\d+(.*)|--\d+(.*)"","""")"),"VOUZAN")</f>
        <v>VOUZAN</v>
      </c>
      <c r="E15673" s="38" t="s">
        <v>429</v>
      </c>
      <c r="F15673" s="38" t="s">
        <v>338</v>
      </c>
      <c r="G15673" s="49" t="str">
        <f t="shared" si="1"/>
        <v>16410</v>
      </c>
      <c r="H15673" s="49">
        <f t="shared" si="2"/>
        <v>16422</v>
      </c>
    </row>
    <row r="15674">
      <c r="A15674" s="48" t="s">
        <v>13129</v>
      </c>
      <c r="B15674" s="38">
        <v>24023.0</v>
      </c>
      <c r="C15674" s="38" t="s">
        <v>20051</v>
      </c>
      <c r="D15674" s="38" t="str">
        <f>IFERROR(__xludf.DUMMYFUNCTION("REGEXREPLACE(C15674,""-\d+(.*)|--\d+(.*)"","""")"),"BANEUIL")</f>
        <v>BANEUIL</v>
      </c>
      <c r="E15674" s="38" t="s">
        <v>261</v>
      </c>
      <c r="F15674" s="38" t="s">
        <v>252</v>
      </c>
      <c r="G15674" s="49" t="str">
        <f t="shared" si="1"/>
        <v>24150</v>
      </c>
      <c r="H15674" s="49">
        <f t="shared" si="2"/>
        <v>24023</v>
      </c>
    </row>
    <row r="15675">
      <c r="A15675" s="48" t="s">
        <v>7821</v>
      </c>
      <c r="B15675" s="38">
        <v>8100.0</v>
      </c>
      <c r="C15675" s="38" t="s">
        <v>16400</v>
      </c>
      <c r="D15675" s="38" t="str">
        <f>IFERROR(__xludf.DUMMYFUNCTION("REGEXREPLACE(C15675,""-\d+(.*)|--\d+(.*)"","""")"),"CHAMPLIN")</f>
        <v>CHAMPLIN</v>
      </c>
      <c r="E15675" s="38" t="s">
        <v>327</v>
      </c>
      <c r="F15675" s="38" t="s">
        <v>130</v>
      </c>
      <c r="G15675" s="49" t="str">
        <f t="shared" si="1"/>
        <v>08260</v>
      </c>
      <c r="H15675" s="49" t="str">
        <f t="shared" si="2"/>
        <v>08100</v>
      </c>
    </row>
    <row r="15676">
      <c r="A15676" s="48" t="s">
        <v>20052</v>
      </c>
      <c r="B15676" s="38">
        <v>80029.0</v>
      </c>
      <c r="C15676" s="38" t="s">
        <v>20053</v>
      </c>
      <c r="D15676" s="38" t="str">
        <f>IFERROR(__xludf.DUMMYFUNCTION("REGEXREPLACE(C15676,""-\d+(.*)|--\d+(.*)"","""")"),"ARREST")</f>
        <v>ARREST</v>
      </c>
      <c r="E15676" s="38" t="s">
        <v>224</v>
      </c>
      <c r="F15676" s="38" t="s">
        <v>113</v>
      </c>
      <c r="G15676" s="49" t="str">
        <f t="shared" si="1"/>
        <v>80820</v>
      </c>
      <c r="H15676" s="49">
        <f t="shared" si="2"/>
        <v>80029</v>
      </c>
    </row>
    <row r="15677">
      <c r="A15677" s="48" t="s">
        <v>4002</v>
      </c>
      <c r="B15677" s="38">
        <v>51439.0</v>
      </c>
      <c r="C15677" s="38" t="s">
        <v>20054</v>
      </c>
      <c r="D15677" s="38" t="str">
        <f>IFERROR(__xludf.DUMMYFUNCTION("REGEXREPLACE(C15677,""-\d+(.*)|--\d+(.*)"","""")"),"POMACLE")</f>
        <v>POMACLE</v>
      </c>
      <c r="E15677" s="38" t="s">
        <v>129</v>
      </c>
      <c r="F15677" s="38" t="s">
        <v>130</v>
      </c>
      <c r="G15677" s="49" t="str">
        <f t="shared" si="1"/>
        <v>51110</v>
      </c>
      <c r="H15677" s="49">
        <f t="shared" si="2"/>
        <v>51439</v>
      </c>
    </row>
    <row r="15678">
      <c r="A15678" s="48" t="s">
        <v>2924</v>
      </c>
      <c r="B15678" s="38">
        <v>8452.0</v>
      </c>
      <c r="C15678" s="38" t="s">
        <v>20055</v>
      </c>
      <c r="D15678" s="38" t="str">
        <f>IFERROR(__xludf.DUMMYFUNCTION("REGEXREPLACE(C15678,""-\d+(.*)|--\d+(.*)"","""")"),"THUGNY-TRUGNY")</f>
        <v>THUGNY-TRUGNY</v>
      </c>
      <c r="E15678" s="38" t="s">
        <v>327</v>
      </c>
      <c r="F15678" s="38" t="s">
        <v>130</v>
      </c>
      <c r="G15678" s="49" t="str">
        <f t="shared" si="1"/>
        <v>08300</v>
      </c>
      <c r="H15678" s="49" t="str">
        <f t="shared" si="2"/>
        <v>08452</v>
      </c>
    </row>
    <row r="15679">
      <c r="A15679" s="48" t="s">
        <v>5322</v>
      </c>
      <c r="B15679" s="38">
        <v>32379.0</v>
      </c>
      <c r="C15679" s="38" t="s">
        <v>6500</v>
      </c>
      <c r="D15679" s="38" t="str">
        <f>IFERROR(__xludf.DUMMYFUNCTION("REGEXREPLACE(C15679,""-\d+(.*)|--\d+(.*)"","""")"),"SAINT-GERMIER")</f>
        <v>SAINT-GERMIER</v>
      </c>
      <c r="E15679" s="38" t="s">
        <v>440</v>
      </c>
      <c r="F15679" s="38" t="s">
        <v>94</v>
      </c>
      <c r="G15679" s="49" t="str">
        <f t="shared" si="1"/>
        <v>32200</v>
      </c>
      <c r="H15679" s="49">
        <f t="shared" si="2"/>
        <v>32379</v>
      </c>
    </row>
    <row r="15680">
      <c r="A15680" s="48" t="s">
        <v>10908</v>
      </c>
      <c r="B15680" s="38">
        <v>11033.0</v>
      </c>
      <c r="C15680" s="38" t="s">
        <v>20056</v>
      </c>
      <c r="D15680" s="38" t="str">
        <f>IFERROR(__xludf.DUMMYFUNCTION("REGEXREPLACE(C15680,""-\d+(.*)|--\d+(.*)"","""")"),"BELPECH")</f>
        <v>BELPECH</v>
      </c>
      <c r="E15680" s="38" t="s">
        <v>278</v>
      </c>
      <c r="F15680" s="38" t="s">
        <v>119</v>
      </c>
      <c r="G15680" s="49" t="str">
        <f t="shared" si="1"/>
        <v>11420</v>
      </c>
      <c r="H15680" s="49">
        <f t="shared" si="2"/>
        <v>11033</v>
      </c>
    </row>
    <row r="15681">
      <c r="A15681" s="48" t="s">
        <v>1560</v>
      </c>
      <c r="B15681" s="38">
        <v>14466.0</v>
      </c>
      <c r="C15681" s="38" t="s">
        <v>20057</v>
      </c>
      <c r="D15681" s="38" t="str">
        <f>IFERROR(__xludf.DUMMYFUNCTION("REGEXREPLACE(C15681,""-\d+(.*)|--\d+(.*)"","""")"),"NOROLLES")</f>
        <v>NOROLLES</v>
      </c>
      <c r="E15681" s="38" t="s">
        <v>137</v>
      </c>
      <c r="F15681" s="38" t="s">
        <v>138</v>
      </c>
      <c r="G15681" s="49" t="str">
        <f t="shared" si="1"/>
        <v>14100</v>
      </c>
      <c r="H15681" s="49">
        <f t="shared" si="2"/>
        <v>14466</v>
      </c>
    </row>
    <row r="15682">
      <c r="A15682" s="48" t="s">
        <v>10177</v>
      </c>
      <c r="B15682" s="38">
        <v>80332.0</v>
      </c>
      <c r="C15682" s="38" t="s">
        <v>20058</v>
      </c>
      <c r="D15682" s="38" t="str">
        <f>IFERROR(__xludf.DUMMYFUNCTION("REGEXREPLACE(C15682,""-\d+(.*)|--\d+(.*)"","""")"),"FOREST-MONTIERS")</f>
        <v>FOREST-MONTIERS</v>
      </c>
      <c r="E15682" s="38" t="s">
        <v>224</v>
      </c>
      <c r="F15682" s="38" t="s">
        <v>113</v>
      </c>
      <c r="G15682" s="49" t="str">
        <f t="shared" si="1"/>
        <v>80120</v>
      </c>
      <c r="H15682" s="49">
        <f t="shared" si="2"/>
        <v>80332</v>
      </c>
    </row>
    <row r="15683">
      <c r="A15683" s="48" t="s">
        <v>20059</v>
      </c>
      <c r="B15683" s="38">
        <v>81130.0</v>
      </c>
      <c r="C15683" s="38" t="s">
        <v>20060</v>
      </c>
      <c r="D15683" s="38" t="str">
        <f>IFERROR(__xludf.DUMMYFUNCTION("REGEXREPLACE(C15683,""-\d+(.*)|--\d+(.*)"","""")"),"LAGARRIGUE")</f>
        <v>LAGARRIGUE</v>
      </c>
      <c r="E15683" s="38" t="s">
        <v>231</v>
      </c>
      <c r="F15683" s="38" t="s">
        <v>94</v>
      </c>
      <c r="G15683" s="49" t="str">
        <f t="shared" si="1"/>
        <v>81090</v>
      </c>
      <c r="H15683" s="49">
        <f t="shared" si="2"/>
        <v>81130</v>
      </c>
    </row>
    <row r="15684">
      <c r="A15684" s="48" t="s">
        <v>7756</v>
      </c>
      <c r="B15684" s="38">
        <v>27245.0</v>
      </c>
      <c r="C15684" s="38" t="s">
        <v>20061</v>
      </c>
      <c r="D15684" s="38" t="str">
        <f>IFERROR(__xludf.DUMMYFUNCTION("REGEXREPLACE(C15684,""-\d+(.*)|--\d+(.*)"","""")"),"FLEURY-LA-FORET")</f>
        <v>FLEURY-LA-FORET</v>
      </c>
      <c r="E15684" s="38" t="s">
        <v>241</v>
      </c>
      <c r="F15684" s="38" t="s">
        <v>134</v>
      </c>
      <c r="G15684" s="49" t="str">
        <f t="shared" si="1"/>
        <v>27480</v>
      </c>
      <c r="H15684" s="49">
        <f t="shared" si="2"/>
        <v>27245</v>
      </c>
    </row>
    <row r="15685">
      <c r="A15685" s="48" t="s">
        <v>6932</v>
      </c>
      <c r="B15685" s="38">
        <v>29300.0</v>
      </c>
      <c r="C15685" s="38" t="s">
        <v>20062</v>
      </c>
      <c r="D15685" s="38" t="str">
        <f>IFERROR(__xludf.DUMMYFUNCTION("REGEXREPLACE(C15685,""-\d+(.*)|--\d+(.*)"","""")"),"LE TREVOUX")</f>
        <v>LE TREVOUX</v>
      </c>
      <c r="E15685" s="38" t="s">
        <v>176</v>
      </c>
      <c r="F15685" s="38" t="s">
        <v>90</v>
      </c>
      <c r="G15685" s="49" t="str">
        <f t="shared" si="1"/>
        <v>29380</v>
      </c>
      <c r="H15685" s="49">
        <f t="shared" si="2"/>
        <v>29300</v>
      </c>
    </row>
    <row r="15686">
      <c r="A15686" s="48" t="s">
        <v>4267</v>
      </c>
      <c r="B15686" s="38">
        <v>62738.0</v>
      </c>
      <c r="C15686" s="38" t="s">
        <v>20063</v>
      </c>
      <c r="D15686" s="38" t="str">
        <f>IFERROR(__xludf.DUMMYFUNCTION("REGEXREPLACE(C15686,""-\d+(.*)|--\d+(.*)"","""")"),"SAINS-LES-FRESSIN")</f>
        <v>SAINS-LES-FRESSIN</v>
      </c>
      <c r="E15686" s="38" t="s">
        <v>109</v>
      </c>
      <c r="F15686" s="38" t="s">
        <v>86</v>
      </c>
      <c r="G15686" s="49" t="str">
        <f t="shared" si="1"/>
        <v>62310</v>
      </c>
      <c r="H15686" s="49">
        <f t="shared" si="2"/>
        <v>62738</v>
      </c>
    </row>
    <row r="15687">
      <c r="A15687" s="48" t="s">
        <v>1060</v>
      </c>
      <c r="B15687" s="38">
        <v>57519.0</v>
      </c>
      <c r="C15687" s="38" t="s">
        <v>20064</v>
      </c>
      <c r="D15687" s="38" t="str">
        <f>IFERROR(__xludf.DUMMYFUNCTION("REGEXREPLACE(C15687,""-\d+(.*)|--\d+(.*)"","""")"),"OBERVISSE")</f>
        <v>OBERVISSE</v>
      </c>
      <c r="E15687" s="38" t="s">
        <v>303</v>
      </c>
      <c r="F15687" s="38" t="s">
        <v>195</v>
      </c>
      <c r="G15687" s="49" t="str">
        <f t="shared" si="1"/>
        <v>57220</v>
      </c>
      <c r="H15687" s="49">
        <f t="shared" si="2"/>
        <v>57519</v>
      </c>
    </row>
    <row r="15688">
      <c r="A15688" s="48" t="s">
        <v>7225</v>
      </c>
      <c r="B15688" s="38">
        <v>5085.0</v>
      </c>
      <c r="C15688" s="38" t="s">
        <v>20065</v>
      </c>
      <c r="D15688" s="38" t="str">
        <f>IFERROR(__xludf.DUMMYFUNCTION("REGEXREPLACE(C15688,""-\d+(.*)|--\d+(.*)"","""")"),"MONTGENEVRE")</f>
        <v>MONTGENEVRE</v>
      </c>
      <c r="E15688" s="38" t="s">
        <v>706</v>
      </c>
      <c r="F15688" s="38" t="s">
        <v>228</v>
      </c>
      <c r="G15688" s="49" t="str">
        <f t="shared" si="1"/>
        <v>05100</v>
      </c>
      <c r="H15688" s="49" t="str">
        <f t="shared" si="2"/>
        <v>05085</v>
      </c>
    </row>
    <row r="15689">
      <c r="A15689" s="48" t="s">
        <v>5629</v>
      </c>
      <c r="B15689" s="38">
        <v>67334.0</v>
      </c>
      <c r="C15689" s="38" t="s">
        <v>20066</v>
      </c>
      <c r="D15689" s="38" t="str">
        <f>IFERROR(__xludf.DUMMYFUNCTION("REGEXREPLACE(C15689,""-\d+(.*)|--\d+(.*)"","""")"),"NIEDERSTEINBACH")</f>
        <v>NIEDERSTEINBACH</v>
      </c>
      <c r="E15689" s="38" t="s">
        <v>210</v>
      </c>
      <c r="F15689" s="38" t="s">
        <v>151</v>
      </c>
      <c r="G15689" s="49" t="str">
        <f t="shared" si="1"/>
        <v>67510</v>
      </c>
      <c r="H15689" s="49">
        <f t="shared" si="2"/>
        <v>67334</v>
      </c>
    </row>
    <row r="15690">
      <c r="A15690" s="48" t="s">
        <v>645</v>
      </c>
      <c r="B15690" s="38">
        <v>57531.0</v>
      </c>
      <c r="C15690" s="38" t="s">
        <v>20067</v>
      </c>
      <c r="D15690" s="38" t="str">
        <f>IFERROR(__xludf.DUMMYFUNCTION("REGEXREPLACE(C15690,""-\d+(.*)|--\d+(.*)"","""")"),"OUDRENNE")</f>
        <v>OUDRENNE</v>
      </c>
      <c r="E15690" s="38" t="s">
        <v>303</v>
      </c>
      <c r="F15690" s="38" t="s">
        <v>195</v>
      </c>
      <c r="G15690" s="49" t="str">
        <f t="shared" si="1"/>
        <v>57970</v>
      </c>
      <c r="H15690" s="49">
        <f t="shared" si="2"/>
        <v>57531</v>
      </c>
    </row>
    <row r="15691">
      <c r="A15691" s="48" t="s">
        <v>5735</v>
      </c>
      <c r="B15691" s="38">
        <v>2555.0</v>
      </c>
      <c r="C15691" s="38" t="s">
        <v>20068</v>
      </c>
      <c r="D15691" s="38" t="str">
        <f>IFERROR(__xludf.DUMMYFUNCTION("REGEXREPLACE(C15691,""-\d+(.*)|--\d+(.*)"","""")"),"NOGENT-L'ARTAUD")</f>
        <v>NOGENT-L'ARTAUD</v>
      </c>
      <c r="E15691" s="38" t="s">
        <v>191</v>
      </c>
      <c r="F15691" s="38" t="s">
        <v>113</v>
      </c>
      <c r="G15691" s="49" t="str">
        <f t="shared" si="1"/>
        <v>02310</v>
      </c>
      <c r="H15691" s="49" t="str">
        <f t="shared" si="2"/>
        <v>02555</v>
      </c>
    </row>
    <row r="15692">
      <c r="A15692" s="48" t="s">
        <v>20069</v>
      </c>
      <c r="B15692" s="38">
        <v>97352.0</v>
      </c>
      <c r="C15692" s="38" t="s">
        <v>20070</v>
      </c>
      <c r="D15692" s="38" t="str">
        <f>IFERROR(__xludf.DUMMYFUNCTION("REGEXREPLACE(C15692,""-\d+(.*)|--\d+(.*)"","""")"),"SAUL")</f>
        <v>SAUL</v>
      </c>
      <c r="E15692" s="38" t="s">
        <v>1737</v>
      </c>
      <c r="F15692" s="38" t="s">
        <v>1737</v>
      </c>
      <c r="G15692" s="49" t="str">
        <f t="shared" si="1"/>
        <v>97314</v>
      </c>
      <c r="H15692" s="49">
        <f t="shared" si="2"/>
        <v>97352</v>
      </c>
    </row>
    <row r="15693">
      <c r="A15693" s="48" t="s">
        <v>8626</v>
      </c>
      <c r="B15693" s="38">
        <v>7024.0</v>
      </c>
      <c r="C15693" s="38" t="s">
        <v>20071</v>
      </c>
      <c r="D15693" s="38" t="str">
        <f>IFERROR(__xludf.DUMMYFUNCTION("REGEXREPLACE(C15693,""-\d+(.*)|--\d+(.*)"","""")"),"BANNE")</f>
        <v>BANNE</v>
      </c>
      <c r="E15693" s="38" t="s">
        <v>144</v>
      </c>
      <c r="F15693" s="38" t="s">
        <v>102</v>
      </c>
      <c r="G15693" s="49" t="str">
        <f t="shared" si="1"/>
        <v>07460</v>
      </c>
      <c r="H15693" s="49" t="str">
        <f t="shared" si="2"/>
        <v>07024</v>
      </c>
    </row>
    <row r="15694">
      <c r="A15694" s="48" t="s">
        <v>19465</v>
      </c>
      <c r="B15694" s="38">
        <v>16254.0</v>
      </c>
      <c r="C15694" s="38" t="s">
        <v>20072</v>
      </c>
      <c r="D15694" s="38" t="str">
        <f>IFERROR(__xludf.DUMMYFUNCTION("REGEXREPLACE(C15694,""-\d+(.*)|--\d+(.*)"","""")"),"PALLUAUD")</f>
        <v>PALLUAUD</v>
      </c>
      <c r="E15694" s="38" t="s">
        <v>429</v>
      </c>
      <c r="F15694" s="38" t="s">
        <v>338</v>
      </c>
      <c r="G15694" s="49" t="str">
        <f t="shared" si="1"/>
        <v>16390</v>
      </c>
      <c r="H15694" s="49">
        <f t="shared" si="2"/>
        <v>16254</v>
      </c>
    </row>
    <row r="15695">
      <c r="A15695" s="48" t="s">
        <v>2052</v>
      </c>
      <c r="B15695" s="38">
        <v>80423.0</v>
      </c>
      <c r="C15695" s="38" t="s">
        <v>20073</v>
      </c>
      <c r="D15695" s="38" t="str">
        <f>IFERROR(__xludf.DUMMYFUNCTION("REGEXREPLACE(C15695,""-\d+(.*)|--\d+(.*)"","""")"),"HAVERNAS")</f>
        <v>HAVERNAS</v>
      </c>
      <c r="E15695" s="38" t="s">
        <v>224</v>
      </c>
      <c r="F15695" s="38" t="s">
        <v>113</v>
      </c>
      <c r="G15695" s="49" t="str">
        <f t="shared" si="1"/>
        <v>80670</v>
      </c>
      <c r="H15695" s="49">
        <f t="shared" si="2"/>
        <v>80423</v>
      </c>
    </row>
    <row r="15696">
      <c r="A15696" s="48" t="s">
        <v>2723</v>
      </c>
      <c r="B15696" s="38">
        <v>50410.0</v>
      </c>
      <c r="C15696" s="38" t="s">
        <v>20074</v>
      </c>
      <c r="D15696" s="38" t="str">
        <f>IFERROR(__xludf.DUMMYFUNCTION("REGEXREPLACE(C15696,""-\d+(.*)|--\d+(.*)"","""")"),"PONTORSON")</f>
        <v>PONTORSON</v>
      </c>
      <c r="E15696" s="38" t="s">
        <v>157</v>
      </c>
      <c r="F15696" s="38" t="s">
        <v>138</v>
      </c>
      <c r="G15696" s="49" t="str">
        <f t="shared" si="1"/>
        <v>50170</v>
      </c>
      <c r="H15696" s="49">
        <f t="shared" si="2"/>
        <v>50410</v>
      </c>
    </row>
    <row r="15697">
      <c r="A15697" s="48" t="s">
        <v>421</v>
      </c>
      <c r="B15697" s="38">
        <v>25542.0</v>
      </c>
      <c r="C15697" s="38" t="s">
        <v>20075</v>
      </c>
      <c r="D15697" s="38" t="str">
        <f>IFERROR(__xludf.DUMMYFUNCTION("REGEXREPLACE(C15697,""-\d+(.*)|--\d+(.*)"","""")"),"SERRE-LES-SAPINS")</f>
        <v>SERRE-LES-SAPINS</v>
      </c>
      <c r="E15697" s="38" t="s">
        <v>213</v>
      </c>
      <c r="F15697" s="38" t="s">
        <v>214</v>
      </c>
      <c r="G15697" s="49" t="str">
        <f t="shared" si="1"/>
        <v>25770</v>
      </c>
      <c r="H15697" s="49">
        <f t="shared" si="2"/>
        <v>25542</v>
      </c>
    </row>
    <row r="15698">
      <c r="A15698" s="48" t="s">
        <v>1208</v>
      </c>
      <c r="B15698" s="38">
        <v>32439.0</v>
      </c>
      <c r="C15698" s="38" t="s">
        <v>20076</v>
      </c>
      <c r="D15698" s="38" t="str">
        <f>IFERROR(__xludf.DUMMYFUNCTION("REGEXREPLACE(C15698,""-\d+(.*)|--\d+(.*)"","""")"),"TARSAC")</f>
        <v>TARSAC</v>
      </c>
      <c r="E15698" s="38" t="s">
        <v>440</v>
      </c>
      <c r="F15698" s="38" t="s">
        <v>94</v>
      </c>
      <c r="G15698" s="49" t="str">
        <f t="shared" si="1"/>
        <v>32400</v>
      </c>
      <c r="H15698" s="49">
        <f t="shared" si="2"/>
        <v>32439</v>
      </c>
    </row>
    <row r="15699">
      <c r="A15699" s="48" t="s">
        <v>2162</v>
      </c>
      <c r="B15699" s="38">
        <v>26305.0</v>
      </c>
      <c r="C15699" s="38" t="s">
        <v>20077</v>
      </c>
      <c r="D15699" s="38" t="str">
        <f>IFERROR(__xludf.DUMMYFUNCTION("REGEXREPLACE(C15699,""-\d+(.*)|--\d+(.*)"","""")"),"SAINT-GERVAIS-SUR-ROUBION")</f>
        <v>SAINT-GERVAIS-SUR-ROUBION</v>
      </c>
      <c r="E15699" s="38" t="s">
        <v>126</v>
      </c>
      <c r="F15699" s="38" t="s">
        <v>102</v>
      </c>
      <c r="G15699" s="49" t="str">
        <f t="shared" si="1"/>
        <v>26160</v>
      </c>
      <c r="H15699" s="49">
        <f t="shared" si="2"/>
        <v>26305</v>
      </c>
    </row>
    <row r="15700">
      <c r="A15700" s="48" t="s">
        <v>2712</v>
      </c>
      <c r="B15700" s="38">
        <v>72039.0</v>
      </c>
      <c r="C15700" s="38" t="s">
        <v>20078</v>
      </c>
      <c r="D15700" s="38" t="str">
        <f>IFERROR(__xludf.DUMMYFUNCTION("REGEXREPLACE(C15700,""-\d+(.*)|--\d+(.*)"","""")"),"BONNETABLE")</f>
        <v>BONNETABLE</v>
      </c>
      <c r="E15700" s="38" t="s">
        <v>521</v>
      </c>
      <c r="F15700" s="38" t="s">
        <v>180</v>
      </c>
      <c r="G15700" s="49" t="str">
        <f t="shared" si="1"/>
        <v>72110</v>
      </c>
      <c r="H15700" s="49">
        <f t="shared" si="2"/>
        <v>72039</v>
      </c>
    </row>
    <row r="15701">
      <c r="A15701" s="48" t="s">
        <v>6224</v>
      </c>
      <c r="B15701" s="38">
        <v>38192.0</v>
      </c>
      <c r="C15701" s="38" t="s">
        <v>20079</v>
      </c>
      <c r="D15701" s="38" t="str">
        <f>IFERROR(__xludf.DUMMYFUNCTION("REGEXREPLACE(C15701,""-\d+(.*)|--\d+(.*)"","""")"),"HURTIERES")</f>
        <v>HURTIERES</v>
      </c>
      <c r="E15701" s="38" t="s">
        <v>101</v>
      </c>
      <c r="F15701" s="38" t="s">
        <v>102</v>
      </c>
      <c r="G15701" s="49" t="str">
        <f t="shared" si="1"/>
        <v>38570</v>
      </c>
      <c r="H15701" s="49">
        <f t="shared" si="2"/>
        <v>38192</v>
      </c>
    </row>
    <row r="15702">
      <c r="A15702" s="48" t="s">
        <v>2521</v>
      </c>
      <c r="B15702" s="38">
        <v>28421.0</v>
      </c>
      <c r="C15702" s="38" t="s">
        <v>20080</v>
      </c>
      <c r="D15702" s="38" t="str">
        <f>IFERROR(__xludf.DUMMYFUNCTION("REGEXREPLACE(C15702,""-\d+(.*)|--\d+(.*)"","""")"),"VOISE")</f>
        <v>VOISE</v>
      </c>
      <c r="E15702" s="38" t="s">
        <v>300</v>
      </c>
      <c r="F15702" s="38" t="s">
        <v>123</v>
      </c>
      <c r="G15702" s="49" t="str">
        <f t="shared" si="1"/>
        <v>28700</v>
      </c>
      <c r="H15702" s="49">
        <f t="shared" si="2"/>
        <v>28421</v>
      </c>
    </row>
    <row r="15703">
      <c r="A15703" s="48" t="s">
        <v>2712</v>
      </c>
      <c r="B15703" s="38">
        <v>72259.0</v>
      </c>
      <c r="C15703" s="38" t="s">
        <v>20081</v>
      </c>
      <c r="D15703" s="38" t="str">
        <f>IFERROR(__xludf.DUMMYFUNCTION("REGEXREPLACE(C15703,""-\d+(.*)|--\d+(.*)"","""")"),"ROUPERROUX-LE-COQUET")</f>
        <v>ROUPERROUX-LE-COQUET</v>
      </c>
      <c r="E15703" s="38" t="s">
        <v>521</v>
      </c>
      <c r="F15703" s="38" t="s">
        <v>180</v>
      </c>
      <c r="G15703" s="49" t="str">
        <f t="shared" si="1"/>
        <v>72110</v>
      </c>
      <c r="H15703" s="49">
        <f t="shared" si="2"/>
        <v>72259</v>
      </c>
    </row>
    <row r="15704">
      <c r="A15704" s="48" t="s">
        <v>17614</v>
      </c>
      <c r="B15704" s="38">
        <v>30201.0</v>
      </c>
      <c r="C15704" s="38" t="s">
        <v>20082</v>
      </c>
      <c r="D15704" s="38" t="str">
        <f>IFERROR(__xludf.DUMMYFUNCTION("REGEXREPLACE(C15704,""-\d+(.*)|--\d+(.*)"","""")"),"PONTEILS-ET-BRESIS")</f>
        <v>PONTEILS-ET-BRESIS</v>
      </c>
      <c r="E15704" s="38" t="s">
        <v>526</v>
      </c>
      <c r="F15704" s="38" t="s">
        <v>119</v>
      </c>
      <c r="G15704" s="49" t="str">
        <f t="shared" si="1"/>
        <v>30450</v>
      </c>
      <c r="H15704" s="49">
        <f t="shared" si="2"/>
        <v>30201</v>
      </c>
    </row>
    <row r="15705">
      <c r="A15705" s="48" t="s">
        <v>3102</v>
      </c>
      <c r="B15705" s="38">
        <v>55184.0</v>
      </c>
      <c r="C15705" s="38" t="s">
        <v>20083</v>
      </c>
      <c r="D15705" s="38" t="str">
        <f>IFERROR(__xludf.DUMMYFUNCTION("REGEXREPLACE(C15705,""-\d+(.*)|--\d+(.*)"","""")"),"EUVILLE")</f>
        <v>EUVILLE</v>
      </c>
      <c r="E15705" s="38" t="s">
        <v>322</v>
      </c>
      <c r="F15705" s="38" t="s">
        <v>195</v>
      </c>
      <c r="G15705" s="49" t="str">
        <f t="shared" si="1"/>
        <v>55200</v>
      </c>
      <c r="H15705" s="49">
        <f t="shared" si="2"/>
        <v>55184</v>
      </c>
    </row>
    <row r="15706">
      <c r="A15706" s="48" t="s">
        <v>20084</v>
      </c>
      <c r="B15706" s="38">
        <v>62801.0</v>
      </c>
      <c r="C15706" s="38" t="s">
        <v>20085</v>
      </c>
      <c r="D15706" s="38" t="str">
        <f>IFERROR(__xludf.DUMMYFUNCTION("REGEXREPLACE(C15706,""-\d+(.*)|--\d+(.*)"","""")"),"SOUCHEZ")</f>
        <v>SOUCHEZ</v>
      </c>
      <c r="E15706" s="38" t="s">
        <v>109</v>
      </c>
      <c r="F15706" s="38" t="s">
        <v>86</v>
      </c>
      <c r="G15706" s="49" t="str">
        <f t="shared" si="1"/>
        <v>62153</v>
      </c>
      <c r="H15706" s="49">
        <f t="shared" si="2"/>
        <v>62801</v>
      </c>
    </row>
    <row r="15707">
      <c r="A15707" s="48" t="s">
        <v>1074</v>
      </c>
      <c r="B15707" s="38">
        <v>27416.0</v>
      </c>
      <c r="C15707" s="38" t="s">
        <v>20086</v>
      </c>
      <c r="D15707" s="38" t="str">
        <f>IFERROR(__xludf.DUMMYFUNCTION("REGEXREPLACE(C15707,""-\d+(.*)|--\d+(.*)"","""")"),"BUIS-SUR-DAMVILLE")</f>
        <v>BUIS-SUR-DAMVILLE</v>
      </c>
      <c r="E15707" s="38" t="s">
        <v>241</v>
      </c>
      <c r="F15707" s="38" t="s">
        <v>134</v>
      </c>
      <c r="G15707" s="49" t="str">
        <f t="shared" si="1"/>
        <v>27240</v>
      </c>
      <c r="H15707" s="49">
        <f t="shared" si="2"/>
        <v>27416</v>
      </c>
    </row>
    <row r="15708">
      <c r="A15708" s="48" t="s">
        <v>8042</v>
      </c>
      <c r="B15708" s="38">
        <v>26010.0</v>
      </c>
      <c r="C15708" s="38" t="s">
        <v>20087</v>
      </c>
      <c r="D15708" s="38" t="str">
        <f>IFERROR(__xludf.DUMMYFUNCTION("REGEXREPLACE(C15708,""-\d+(.*)|--\d+(.*)"","""")"),"ANNEYRON")</f>
        <v>ANNEYRON</v>
      </c>
      <c r="E15708" s="38" t="s">
        <v>126</v>
      </c>
      <c r="F15708" s="38" t="s">
        <v>102</v>
      </c>
      <c r="G15708" s="49" t="str">
        <f t="shared" si="1"/>
        <v>26140</v>
      </c>
      <c r="H15708" s="49">
        <f t="shared" si="2"/>
        <v>26010</v>
      </c>
    </row>
    <row r="15709">
      <c r="A15709" s="48" t="s">
        <v>3681</v>
      </c>
      <c r="B15709" s="38">
        <v>39458.0</v>
      </c>
      <c r="C15709" s="38" t="s">
        <v>20088</v>
      </c>
      <c r="D15709" s="38" t="str">
        <f>IFERROR(__xludf.DUMMYFUNCTION("REGEXREPLACE(C15709,""-\d+(.*)|--\d+(.*)"","""")"),"REVIGNY")</f>
        <v>REVIGNY</v>
      </c>
      <c r="E15709" s="38" t="s">
        <v>400</v>
      </c>
      <c r="F15709" s="38" t="s">
        <v>214</v>
      </c>
      <c r="G15709" s="49" t="str">
        <f t="shared" si="1"/>
        <v>39570</v>
      </c>
      <c r="H15709" s="49">
        <f t="shared" si="2"/>
        <v>39458</v>
      </c>
    </row>
    <row r="15710">
      <c r="A15710" s="48" t="s">
        <v>584</v>
      </c>
      <c r="B15710" s="38">
        <v>62306.0</v>
      </c>
      <c r="C15710" s="38" t="s">
        <v>20089</v>
      </c>
      <c r="D15710" s="38" t="str">
        <f>IFERROR(__xludf.DUMMYFUNCTION("REGEXREPLACE(C15710,""-\d+(.*)|--\d+(.*)"","""")"),"ERVILLERS")</f>
        <v>ERVILLERS</v>
      </c>
      <c r="E15710" s="38" t="s">
        <v>109</v>
      </c>
      <c r="F15710" s="38" t="s">
        <v>86</v>
      </c>
      <c r="G15710" s="49" t="str">
        <f t="shared" si="1"/>
        <v>62121</v>
      </c>
      <c r="H15710" s="49">
        <f t="shared" si="2"/>
        <v>62306</v>
      </c>
    </row>
    <row r="15711">
      <c r="A15711" s="48" t="s">
        <v>6438</v>
      </c>
      <c r="B15711" s="38">
        <v>29187.0</v>
      </c>
      <c r="C15711" s="38" t="s">
        <v>20090</v>
      </c>
      <c r="D15711" s="38" t="str">
        <f>IFERROR(__xludf.DUMMYFUNCTION("REGEXREPLACE(C15711,""-\d+(.*)|--\d+(.*)"","""")"),"PLOUGAR")</f>
        <v>PLOUGAR</v>
      </c>
      <c r="E15711" s="38" t="s">
        <v>176</v>
      </c>
      <c r="F15711" s="38" t="s">
        <v>90</v>
      </c>
      <c r="G15711" s="49" t="str">
        <f t="shared" si="1"/>
        <v>29440</v>
      </c>
      <c r="H15711" s="49">
        <f t="shared" si="2"/>
        <v>29187</v>
      </c>
    </row>
    <row r="15712">
      <c r="A15712" s="48" t="s">
        <v>6515</v>
      </c>
      <c r="B15712" s="38">
        <v>62535.0</v>
      </c>
      <c r="C15712" s="38" t="s">
        <v>20091</v>
      </c>
      <c r="D15712" s="38" t="str">
        <f>IFERROR(__xludf.DUMMYFUNCTION("REGEXREPLACE(C15712,""-\d+(.*)|--\d+(.*)"","""")"),"LA MADELAINE-SOUS-MONTREUIL")</f>
        <v>LA MADELAINE-SOUS-MONTREUIL</v>
      </c>
      <c r="E15712" s="38" t="s">
        <v>109</v>
      </c>
      <c r="F15712" s="38" t="s">
        <v>86</v>
      </c>
      <c r="G15712" s="49" t="str">
        <f t="shared" si="1"/>
        <v>62170</v>
      </c>
      <c r="H15712" s="49">
        <f t="shared" si="2"/>
        <v>62535</v>
      </c>
    </row>
    <row r="15713">
      <c r="A15713" s="48" t="s">
        <v>2575</v>
      </c>
      <c r="B15713" s="38">
        <v>91469.0</v>
      </c>
      <c r="C15713" s="38" t="s">
        <v>20092</v>
      </c>
      <c r="D15713" s="38" t="str">
        <f>IFERROR(__xludf.DUMMYFUNCTION("REGEXREPLACE(C15713,""-\d+(.*)|--\d+(.*)"","""")"),"ORMOY-LA-RIVIERE")</f>
        <v>ORMOY-LA-RIVIERE</v>
      </c>
      <c r="E15713" s="38" t="s">
        <v>756</v>
      </c>
      <c r="F15713" s="38" t="s">
        <v>245</v>
      </c>
      <c r="G15713" s="49" t="str">
        <f t="shared" si="1"/>
        <v>91150</v>
      </c>
      <c r="H15713" s="49">
        <f t="shared" si="2"/>
        <v>91469</v>
      </c>
    </row>
    <row r="15714">
      <c r="A15714" s="48" t="s">
        <v>13171</v>
      </c>
      <c r="B15714" s="38">
        <v>15029.0</v>
      </c>
      <c r="C15714" s="38" t="s">
        <v>20093</v>
      </c>
      <c r="D15714" s="38" t="str">
        <f>IFERROR(__xludf.DUMMYFUNCTION("REGEXREPLACE(C15714,""-\d+(.*)|--\d+(.*)"","""")"),"CASSANIOUZE")</f>
        <v>CASSANIOUZE</v>
      </c>
      <c r="E15714" s="38" t="s">
        <v>632</v>
      </c>
      <c r="F15714" s="38" t="s">
        <v>161</v>
      </c>
      <c r="G15714" s="49" t="str">
        <f t="shared" si="1"/>
        <v>15340</v>
      </c>
      <c r="H15714" s="49">
        <f t="shared" si="2"/>
        <v>15029</v>
      </c>
    </row>
    <row r="15715">
      <c r="A15715" s="48" t="s">
        <v>1999</v>
      </c>
      <c r="B15715" s="38">
        <v>2510.0</v>
      </c>
      <c r="C15715" s="38" t="s">
        <v>20094</v>
      </c>
      <c r="D15715" s="38" t="str">
        <f>IFERROR(__xludf.DUMMYFUNCTION("REGEXREPLACE(C15715,""-\d+(.*)|--\d+(.*)"","""")"),"MONTHUREL")</f>
        <v>MONTHUREL</v>
      </c>
      <c r="E15715" s="38" t="s">
        <v>191</v>
      </c>
      <c r="F15715" s="38" t="s">
        <v>113</v>
      </c>
      <c r="G15715" s="49" t="str">
        <f t="shared" si="1"/>
        <v>02330</v>
      </c>
      <c r="H15715" s="49" t="str">
        <f t="shared" si="2"/>
        <v>02510</v>
      </c>
    </row>
    <row r="15716">
      <c r="A15716" s="48" t="s">
        <v>5953</v>
      </c>
      <c r="B15716" s="38">
        <v>76507.0</v>
      </c>
      <c r="C15716" s="38" t="s">
        <v>20095</v>
      </c>
      <c r="D15716" s="38" t="str">
        <f>IFERROR(__xludf.DUMMYFUNCTION("REGEXREPLACE(C15716,""-\d+(.*)|--\d+(.*)"","""")"),"PONTS-ET-MARAIS")</f>
        <v>PONTS-ET-MARAIS</v>
      </c>
      <c r="E15716" s="38" t="s">
        <v>133</v>
      </c>
      <c r="F15716" s="38" t="s">
        <v>134</v>
      </c>
      <c r="G15716" s="49" t="str">
        <f t="shared" si="1"/>
        <v>76260</v>
      </c>
      <c r="H15716" s="49">
        <f t="shared" si="2"/>
        <v>76507</v>
      </c>
    </row>
    <row r="15717">
      <c r="A15717" s="48" t="s">
        <v>707</v>
      </c>
      <c r="B15717" s="38">
        <v>61439.0</v>
      </c>
      <c r="C15717" s="38" t="s">
        <v>20096</v>
      </c>
      <c r="D15717" s="38" t="str">
        <f>IFERROR(__xludf.DUMMYFUNCTION("REGEXREPLACE(C15717,""-\d+(.*)|--\d+(.*)"","""")"),"SAINT-OUEN-LE-BRISOULT")</f>
        <v>SAINT-OUEN-LE-BRISOULT</v>
      </c>
      <c r="E15717" s="38" t="s">
        <v>141</v>
      </c>
      <c r="F15717" s="38" t="s">
        <v>138</v>
      </c>
      <c r="G15717" s="49" t="str">
        <f t="shared" si="1"/>
        <v>61410</v>
      </c>
      <c r="H15717" s="49">
        <f t="shared" si="2"/>
        <v>61439</v>
      </c>
    </row>
    <row r="15718">
      <c r="A15718" s="48" t="s">
        <v>789</v>
      </c>
      <c r="B15718" s="38">
        <v>10112.0</v>
      </c>
      <c r="C15718" s="38" t="s">
        <v>20097</v>
      </c>
      <c r="D15718" s="38" t="str">
        <f>IFERROR(__xludf.DUMMYFUNCTION("REGEXREPLACE(C15718,""-\d+(.*)|--\d+(.*)"","""")"),"COUSSEGREY")</f>
        <v>COUSSEGREY</v>
      </c>
      <c r="E15718" s="38" t="s">
        <v>147</v>
      </c>
      <c r="F15718" s="38" t="s">
        <v>130</v>
      </c>
      <c r="G15718" s="49" t="str">
        <f t="shared" si="1"/>
        <v>10210</v>
      </c>
      <c r="H15718" s="49">
        <f t="shared" si="2"/>
        <v>10112</v>
      </c>
    </row>
    <row r="15719">
      <c r="A15719" s="48" t="s">
        <v>2681</v>
      </c>
      <c r="B15719" s="38">
        <v>67004.0</v>
      </c>
      <c r="C15719" s="38" t="s">
        <v>20098</v>
      </c>
      <c r="D15719" s="38" t="str">
        <f>IFERROR(__xludf.DUMMYFUNCTION("REGEXREPLACE(C15719,""-\d+(.*)|--\d+(.*)"","""")"),"ALLENWILLER")</f>
        <v>ALLENWILLER</v>
      </c>
      <c r="E15719" s="38" t="s">
        <v>210</v>
      </c>
      <c r="F15719" s="38" t="s">
        <v>151</v>
      </c>
      <c r="G15719" s="49" t="str">
        <f t="shared" si="1"/>
        <v>67310</v>
      </c>
      <c r="H15719" s="49">
        <f t="shared" si="2"/>
        <v>67004</v>
      </c>
    </row>
    <row r="15720">
      <c r="A15720" s="48" t="s">
        <v>1161</v>
      </c>
      <c r="B15720" s="38">
        <v>45092.0</v>
      </c>
      <c r="C15720" s="38" t="s">
        <v>20099</v>
      </c>
      <c r="D15720" s="38" t="str">
        <f>IFERROR(__xludf.DUMMYFUNCTION("REGEXREPLACE(C15720,""-\d+(.*)|--\d+(.*)"","""")"),"CHEVILLON-SUR-HUILLARD")</f>
        <v>CHEVILLON-SUR-HUILLARD</v>
      </c>
      <c r="E15720" s="38" t="s">
        <v>122</v>
      </c>
      <c r="F15720" s="38" t="s">
        <v>123</v>
      </c>
      <c r="G15720" s="49" t="str">
        <f t="shared" si="1"/>
        <v>45700</v>
      </c>
      <c r="H15720" s="49">
        <f t="shared" si="2"/>
        <v>45092</v>
      </c>
    </row>
    <row r="15721">
      <c r="A15721" s="48" t="s">
        <v>15462</v>
      </c>
      <c r="B15721" s="38">
        <v>89078.0</v>
      </c>
      <c r="C15721" s="38" t="s">
        <v>20100</v>
      </c>
      <c r="D15721" s="38" t="str">
        <f>IFERROR(__xludf.DUMMYFUNCTION("REGEXREPLACE(C15721,""-\d+(.*)|--\d+(.*)"","""")"),"CHAMPVALLON")</f>
        <v>CHAMPVALLON</v>
      </c>
      <c r="E15721" s="38" t="s">
        <v>275</v>
      </c>
      <c r="F15721" s="38" t="s">
        <v>106</v>
      </c>
      <c r="G15721" s="49" t="str">
        <f t="shared" si="1"/>
        <v>89710</v>
      </c>
      <c r="H15721" s="49">
        <f t="shared" si="2"/>
        <v>89078</v>
      </c>
    </row>
    <row r="15722">
      <c r="A15722" s="48" t="s">
        <v>9526</v>
      </c>
      <c r="B15722" s="38">
        <v>23097.0</v>
      </c>
      <c r="C15722" s="38" t="s">
        <v>20101</v>
      </c>
      <c r="D15722" s="38" t="str">
        <f>IFERROR(__xludf.DUMMYFUNCTION("REGEXREPLACE(C15722,""-\d+(.*)|--\d+(.*)"","""")"),"ISSOUDUN-LETRIEIX")</f>
        <v>ISSOUDUN-LETRIEIX</v>
      </c>
      <c r="E15722" s="38" t="s">
        <v>97</v>
      </c>
      <c r="F15722" s="38" t="s">
        <v>98</v>
      </c>
      <c r="G15722" s="49" t="str">
        <f t="shared" si="1"/>
        <v>23130</v>
      </c>
      <c r="H15722" s="49">
        <f t="shared" si="2"/>
        <v>23097</v>
      </c>
    </row>
    <row r="15723">
      <c r="A15723" s="48" t="s">
        <v>17614</v>
      </c>
      <c r="B15723" s="38">
        <v>30079.0</v>
      </c>
      <c r="C15723" s="38" t="s">
        <v>12601</v>
      </c>
      <c r="D15723" s="38" t="str">
        <f>IFERROR(__xludf.DUMMYFUNCTION("REGEXREPLACE(C15723,""-\d+(.*)|--\d+(.*)"","""")"),"CHAMBON")</f>
        <v>CHAMBON</v>
      </c>
      <c r="E15723" s="38" t="s">
        <v>526</v>
      </c>
      <c r="F15723" s="38" t="s">
        <v>119</v>
      </c>
      <c r="G15723" s="49" t="str">
        <f t="shared" si="1"/>
        <v>30450</v>
      </c>
      <c r="H15723" s="49">
        <f t="shared" si="2"/>
        <v>30079</v>
      </c>
    </row>
    <row r="15724">
      <c r="A15724" s="48" t="s">
        <v>2475</v>
      </c>
      <c r="B15724" s="38">
        <v>25433.0</v>
      </c>
      <c r="C15724" s="38" t="s">
        <v>20102</v>
      </c>
      <c r="D15724" s="38" t="str">
        <f>IFERROR(__xludf.DUMMYFUNCTION("REGEXREPLACE(C15724,""-\d+(.*)|--\d+(.*)"","""")"),"ORGEANS-BLANCHEFONTAINE")</f>
        <v>ORGEANS-BLANCHEFONTAINE</v>
      </c>
      <c r="E15724" s="38" t="s">
        <v>213</v>
      </c>
      <c r="F15724" s="38" t="s">
        <v>214</v>
      </c>
      <c r="G15724" s="49" t="str">
        <f t="shared" si="1"/>
        <v>25120</v>
      </c>
      <c r="H15724" s="49">
        <f t="shared" si="2"/>
        <v>25433</v>
      </c>
    </row>
    <row r="15725">
      <c r="A15725" s="48" t="s">
        <v>20103</v>
      </c>
      <c r="B15725" s="38">
        <v>59499.0</v>
      </c>
      <c r="C15725" s="38" t="s">
        <v>20104</v>
      </c>
      <c r="D15725" s="38" t="str">
        <f>IFERROR(__xludf.DUMMYFUNCTION("REGEXREPLACE(C15725,""-\d+(.*)|--\d+(.*)"","""")"),"REXPOEDE")</f>
        <v>REXPOEDE</v>
      </c>
      <c r="E15725" s="38" t="s">
        <v>85</v>
      </c>
      <c r="F15725" s="38" t="s">
        <v>86</v>
      </c>
      <c r="G15725" s="49" t="str">
        <f t="shared" si="1"/>
        <v>59122</v>
      </c>
      <c r="H15725" s="49">
        <f t="shared" si="2"/>
        <v>59499</v>
      </c>
    </row>
    <row r="15726">
      <c r="A15726" s="48" t="s">
        <v>11794</v>
      </c>
      <c r="B15726" s="38">
        <v>12077.0</v>
      </c>
      <c r="C15726" s="38" t="s">
        <v>20105</v>
      </c>
      <c r="D15726" s="38" t="str">
        <f>IFERROR(__xludf.DUMMYFUNCTION("REGEXREPLACE(C15726,""-\d+(.*)|--\d+(.*)"","""")"),"CORNUS")</f>
        <v>CORNUS</v>
      </c>
      <c r="E15726" s="38" t="s">
        <v>465</v>
      </c>
      <c r="F15726" s="38" t="s">
        <v>94</v>
      </c>
      <c r="G15726" s="49" t="str">
        <f t="shared" si="1"/>
        <v>12540</v>
      </c>
      <c r="H15726" s="49">
        <f t="shared" si="2"/>
        <v>12077</v>
      </c>
    </row>
    <row r="15727">
      <c r="A15727" s="48" t="s">
        <v>3789</v>
      </c>
      <c r="B15727" s="38">
        <v>51564.0</v>
      </c>
      <c r="C15727" s="38" t="s">
        <v>20106</v>
      </c>
      <c r="D15727" s="38" t="str">
        <f>IFERROR(__xludf.DUMMYFUNCTION("REGEXREPLACE(C15727,""-\d+(.*)|--\d+(.*)"","""")"),"TAUXIERES-MUTRY")</f>
        <v>TAUXIERES-MUTRY</v>
      </c>
      <c r="E15727" s="38" t="s">
        <v>129</v>
      </c>
      <c r="F15727" s="38" t="s">
        <v>130</v>
      </c>
      <c r="G15727" s="49" t="str">
        <f t="shared" si="1"/>
        <v>51150</v>
      </c>
      <c r="H15727" s="49">
        <f t="shared" si="2"/>
        <v>51564</v>
      </c>
    </row>
    <row r="15728">
      <c r="A15728" s="48" t="s">
        <v>8962</v>
      </c>
      <c r="B15728" s="38">
        <v>12167.0</v>
      </c>
      <c r="C15728" s="38" t="s">
        <v>20107</v>
      </c>
      <c r="D15728" s="38" t="str">
        <f>IFERROR(__xludf.DUMMYFUNCTION("REGEXREPLACE(C15728,""-\d+(.*)|--\d+(.*)"","""")"),"NAJAC")</f>
        <v>NAJAC</v>
      </c>
      <c r="E15728" s="38" t="s">
        <v>465</v>
      </c>
      <c r="F15728" s="38" t="s">
        <v>94</v>
      </c>
      <c r="G15728" s="49" t="str">
        <f t="shared" si="1"/>
        <v>12270</v>
      </c>
      <c r="H15728" s="49">
        <f t="shared" si="2"/>
        <v>12167</v>
      </c>
    </row>
    <row r="15729">
      <c r="A15729" s="48" t="s">
        <v>2788</v>
      </c>
      <c r="B15729" s="38">
        <v>35310.0</v>
      </c>
      <c r="C15729" s="38" t="s">
        <v>20108</v>
      </c>
      <c r="D15729" s="38" t="str">
        <f>IFERROR(__xludf.DUMMYFUNCTION("REGEXREPLACE(C15729,""-\d+(.*)|--\d+(.*)"","""")"),"SAINT-SAUVEUR-DES-LANDES")</f>
        <v>SAINT-SAUVEUR-DES-LANDES</v>
      </c>
      <c r="E15729" s="38" t="s">
        <v>347</v>
      </c>
      <c r="F15729" s="38" t="s">
        <v>90</v>
      </c>
      <c r="G15729" s="49" t="str">
        <f t="shared" si="1"/>
        <v>35133</v>
      </c>
      <c r="H15729" s="49">
        <f t="shared" si="2"/>
        <v>35310</v>
      </c>
    </row>
    <row r="15730">
      <c r="A15730" s="48" t="s">
        <v>1857</v>
      </c>
      <c r="B15730" s="38">
        <v>4209.0</v>
      </c>
      <c r="C15730" s="38" t="s">
        <v>20109</v>
      </c>
      <c r="D15730" s="38" t="str">
        <f>IFERROR(__xludf.DUMMYFUNCTION("REGEXREPLACE(C15730,""-\d+(.*)|--\d+(.*)"","""")"),"SISTERON")</f>
        <v>SISTERON</v>
      </c>
      <c r="E15730" s="38" t="s">
        <v>662</v>
      </c>
      <c r="F15730" s="38" t="s">
        <v>228</v>
      </c>
      <c r="G15730" s="49" t="str">
        <f t="shared" si="1"/>
        <v>04200</v>
      </c>
      <c r="H15730" s="49" t="str">
        <f t="shared" si="2"/>
        <v>04209</v>
      </c>
    </row>
    <row r="15731">
      <c r="A15731" s="48" t="s">
        <v>15440</v>
      </c>
      <c r="B15731" s="38">
        <v>43045.0</v>
      </c>
      <c r="C15731" s="38" t="s">
        <v>20110</v>
      </c>
      <c r="D15731" s="38" t="str">
        <f>IFERROR(__xludf.DUMMYFUNCTION("REGEXREPLACE(C15731,""-\d+(.*)|--\d+(.*)"","""")"),"CEYSSAC")</f>
        <v>CEYSSAC</v>
      </c>
      <c r="E15731" s="38" t="s">
        <v>332</v>
      </c>
      <c r="F15731" s="38" t="s">
        <v>161</v>
      </c>
      <c r="G15731" s="49" t="str">
        <f t="shared" si="1"/>
        <v>43000</v>
      </c>
      <c r="H15731" s="49">
        <f t="shared" si="2"/>
        <v>43045</v>
      </c>
    </row>
    <row r="15732">
      <c r="A15732" s="48" t="s">
        <v>20111</v>
      </c>
      <c r="B15732" s="38">
        <v>59218.0</v>
      </c>
      <c r="C15732" s="38" t="s">
        <v>20112</v>
      </c>
      <c r="D15732" s="38" t="str">
        <f>IFERROR(__xludf.DUMMYFUNCTION("REGEXREPLACE(C15732,""-\d+(.*)|--\d+(.*)"","""")"),"ETROEUNGT")</f>
        <v>ETROEUNGT</v>
      </c>
      <c r="E15732" s="38" t="s">
        <v>85</v>
      </c>
      <c r="F15732" s="38" t="s">
        <v>86</v>
      </c>
      <c r="G15732" s="49" t="str">
        <f t="shared" si="1"/>
        <v>59219</v>
      </c>
      <c r="H15732" s="49">
        <f t="shared" si="2"/>
        <v>59218</v>
      </c>
    </row>
    <row r="15733">
      <c r="A15733" s="48" t="s">
        <v>3666</v>
      </c>
      <c r="B15733" s="38">
        <v>21199.0</v>
      </c>
      <c r="C15733" s="38" t="s">
        <v>20113</v>
      </c>
      <c r="D15733" s="38" t="str">
        <f>IFERROR(__xludf.DUMMYFUNCTION("REGEXREPLACE(C15733,""-\d+(.*)|--\d+(.*)"","""")"),"CORSAINT")</f>
        <v>CORSAINT</v>
      </c>
      <c r="E15733" s="38" t="s">
        <v>105</v>
      </c>
      <c r="F15733" s="38" t="s">
        <v>106</v>
      </c>
      <c r="G15733" s="49" t="str">
        <f t="shared" si="1"/>
        <v>21460</v>
      </c>
      <c r="H15733" s="49">
        <f t="shared" si="2"/>
        <v>21199</v>
      </c>
    </row>
    <row r="15734">
      <c r="A15734" s="48" t="s">
        <v>2623</v>
      </c>
      <c r="B15734" s="38">
        <v>86294.0</v>
      </c>
      <c r="C15734" s="38" t="s">
        <v>12775</v>
      </c>
      <c r="D15734" s="38" t="str">
        <f>IFERROR(__xludf.DUMMYFUNCTION("REGEXREPLACE(C15734,""-\d+(.*)|--\d+(.*)"","""")"),"VOUILLE")</f>
        <v>VOUILLE</v>
      </c>
      <c r="E15734" s="38" t="s">
        <v>529</v>
      </c>
      <c r="F15734" s="38" t="s">
        <v>338</v>
      </c>
      <c r="G15734" s="49" t="str">
        <f t="shared" si="1"/>
        <v>86190</v>
      </c>
      <c r="H15734" s="49">
        <f t="shared" si="2"/>
        <v>86294</v>
      </c>
    </row>
    <row r="15735">
      <c r="A15735" s="48" t="s">
        <v>7377</v>
      </c>
      <c r="B15735" s="38">
        <v>49075.0</v>
      </c>
      <c r="C15735" s="38" t="s">
        <v>20114</v>
      </c>
      <c r="D15735" s="38" t="str">
        <f>IFERROR(__xludf.DUMMYFUNCTION("REGEXREPLACE(C15735,""-\d+(.*)|--\d+(.*)"","""")"),"LA CHAPELLE-SAINT-FLORENT")</f>
        <v>LA CHAPELLE-SAINT-FLORENT</v>
      </c>
      <c r="E15735" s="38" t="s">
        <v>653</v>
      </c>
      <c r="F15735" s="38" t="s">
        <v>180</v>
      </c>
      <c r="G15735" s="49" t="str">
        <f t="shared" si="1"/>
        <v>49410</v>
      </c>
      <c r="H15735" s="49">
        <f t="shared" si="2"/>
        <v>49075</v>
      </c>
    </row>
    <row r="15736">
      <c r="A15736" s="48" t="s">
        <v>1616</v>
      </c>
      <c r="B15736" s="38">
        <v>10390.0</v>
      </c>
      <c r="C15736" s="38" t="s">
        <v>6769</v>
      </c>
      <c r="D15736" s="38" t="str">
        <f>IFERROR(__xludf.DUMMYFUNCTION("REGEXREPLACE(C15736,""-\d+(.*)|--\d+(.*)"","""")"),"URVILLE")</f>
        <v>URVILLE</v>
      </c>
      <c r="E15736" s="38" t="s">
        <v>147</v>
      </c>
      <c r="F15736" s="38" t="s">
        <v>130</v>
      </c>
      <c r="G15736" s="49" t="str">
        <f t="shared" si="1"/>
        <v>10200</v>
      </c>
      <c r="H15736" s="49">
        <f t="shared" si="2"/>
        <v>10390</v>
      </c>
    </row>
    <row r="15737">
      <c r="A15737" s="48" t="s">
        <v>6825</v>
      </c>
      <c r="B15737" s="38">
        <v>14065.0</v>
      </c>
      <c r="C15737" s="38" t="s">
        <v>20115</v>
      </c>
      <c r="D15737" s="38" t="str">
        <f>IFERROR(__xludf.DUMMYFUNCTION("REGEXREPLACE(C15737,""-\d+(.*)|--\d+(.*)"","""")"),"BERNIERES-LE-PATRY")</f>
        <v>BERNIERES-LE-PATRY</v>
      </c>
      <c r="E15737" s="38" t="s">
        <v>137</v>
      </c>
      <c r="F15737" s="38" t="s">
        <v>138</v>
      </c>
      <c r="G15737" s="49" t="str">
        <f t="shared" si="1"/>
        <v>14410</v>
      </c>
      <c r="H15737" s="49">
        <f t="shared" si="2"/>
        <v>14065</v>
      </c>
    </row>
    <row r="15738">
      <c r="A15738" s="48" t="s">
        <v>5781</v>
      </c>
      <c r="B15738" s="38">
        <v>69297.0</v>
      </c>
      <c r="C15738" s="38" t="s">
        <v>20116</v>
      </c>
      <c r="D15738" s="38" t="str">
        <f>IFERROR(__xludf.DUMMYFUNCTION("REGEXREPLACE(C15738,""-\d+(.*)|--\d+(.*)"","""")"),"TERNAY")</f>
        <v>TERNAY</v>
      </c>
      <c r="E15738" s="38" t="s">
        <v>350</v>
      </c>
      <c r="F15738" s="38" t="s">
        <v>102</v>
      </c>
      <c r="G15738" s="49" t="str">
        <f t="shared" si="1"/>
        <v>69360</v>
      </c>
      <c r="H15738" s="49">
        <f t="shared" si="2"/>
        <v>69297</v>
      </c>
    </row>
    <row r="15739">
      <c r="A15739" s="48" t="s">
        <v>4011</v>
      </c>
      <c r="B15739" s="38">
        <v>80786.0</v>
      </c>
      <c r="C15739" s="38" t="s">
        <v>20117</v>
      </c>
      <c r="D15739" s="38" t="str">
        <f>IFERROR(__xludf.DUMMYFUNCTION("REGEXREPLACE(C15739,""-\d+(.*)|--\d+(.*)"","""")"),"VELENNES")</f>
        <v>VELENNES</v>
      </c>
      <c r="E15739" s="38" t="s">
        <v>224</v>
      </c>
      <c r="F15739" s="38" t="s">
        <v>113</v>
      </c>
      <c r="G15739" s="49" t="str">
        <f t="shared" si="1"/>
        <v>80160</v>
      </c>
      <c r="H15739" s="49">
        <f t="shared" si="2"/>
        <v>80786</v>
      </c>
    </row>
    <row r="15740">
      <c r="A15740" s="48" t="s">
        <v>2384</v>
      </c>
      <c r="B15740" s="38">
        <v>21085.0</v>
      </c>
      <c r="C15740" s="38" t="s">
        <v>20118</v>
      </c>
      <c r="D15740" s="38" t="str">
        <f>IFERROR(__xludf.DUMMYFUNCTION("REGEXREPLACE(C15740,""-\d+(.*)|--\d+(.*)"","""")"),"BLIGNY-LE-SEC")</f>
        <v>BLIGNY-LE-SEC</v>
      </c>
      <c r="E15740" s="38" t="s">
        <v>105</v>
      </c>
      <c r="F15740" s="38" t="s">
        <v>106</v>
      </c>
      <c r="G15740" s="49" t="str">
        <f t="shared" si="1"/>
        <v>21440</v>
      </c>
      <c r="H15740" s="49">
        <f t="shared" si="2"/>
        <v>21085</v>
      </c>
    </row>
    <row r="15741">
      <c r="A15741" s="48" t="s">
        <v>8300</v>
      </c>
      <c r="B15741" s="38">
        <v>39289.0</v>
      </c>
      <c r="C15741" s="38" t="s">
        <v>20119</v>
      </c>
      <c r="D15741" s="38" t="str">
        <f>IFERROR(__xludf.DUMMYFUNCTION("REGEXREPLACE(C15741,""-\d+(.*)|--\d+(.*)"","""")"),"LECT")</f>
        <v>LECT</v>
      </c>
      <c r="E15741" s="38" t="s">
        <v>400</v>
      </c>
      <c r="F15741" s="38" t="s">
        <v>214</v>
      </c>
      <c r="G15741" s="49" t="str">
        <f t="shared" si="1"/>
        <v>39260</v>
      </c>
      <c r="H15741" s="49">
        <f t="shared" si="2"/>
        <v>39289</v>
      </c>
    </row>
    <row r="15742">
      <c r="A15742" s="48" t="s">
        <v>1216</v>
      </c>
      <c r="B15742" s="38">
        <v>21318.0</v>
      </c>
      <c r="C15742" s="38" t="s">
        <v>20120</v>
      </c>
      <c r="D15742" s="38" t="str">
        <f>IFERROR(__xludf.DUMMYFUNCTION("REGEXREPLACE(C15742,""-\d+(.*)|--\d+(.*)"","""")"),"IVRY-EN-MONTAGNE")</f>
        <v>IVRY-EN-MONTAGNE</v>
      </c>
      <c r="E15742" s="38" t="s">
        <v>105</v>
      </c>
      <c r="F15742" s="38" t="s">
        <v>106</v>
      </c>
      <c r="G15742" s="49" t="str">
        <f t="shared" si="1"/>
        <v>21340</v>
      </c>
      <c r="H15742" s="49">
        <f t="shared" si="2"/>
        <v>21318</v>
      </c>
    </row>
    <row r="15743">
      <c r="A15743" s="48" t="s">
        <v>5163</v>
      </c>
      <c r="B15743" s="38">
        <v>76383.0</v>
      </c>
      <c r="C15743" s="38" t="s">
        <v>20121</v>
      </c>
      <c r="D15743" s="38" t="str">
        <f>IFERROR(__xludf.DUMMYFUNCTION("REGEXREPLACE(C15743,""-\d+(.*)|--\d+(.*)"","""")"),"LESTANVILLE")</f>
        <v>LESTANVILLE</v>
      </c>
      <c r="E15743" s="38" t="s">
        <v>133</v>
      </c>
      <c r="F15743" s="38" t="s">
        <v>134</v>
      </c>
      <c r="G15743" s="49" t="str">
        <f t="shared" si="1"/>
        <v>76730</v>
      </c>
      <c r="H15743" s="49">
        <f t="shared" si="2"/>
        <v>76383</v>
      </c>
    </row>
    <row r="15744">
      <c r="A15744" s="48" t="s">
        <v>2387</v>
      </c>
      <c r="B15744" s="38">
        <v>42087.0</v>
      </c>
      <c r="C15744" s="38" t="s">
        <v>20122</v>
      </c>
      <c r="D15744" s="38" t="str">
        <f>IFERROR(__xludf.DUMMYFUNCTION("REGEXREPLACE(C15744,""-\d+(.*)|--\d+(.*)"","""")"),"ECOTAY-L'OLME")</f>
        <v>ECOTAY-L'OLME</v>
      </c>
      <c r="E15744" s="38" t="s">
        <v>166</v>
      </c>
      <c r="F15744" s="38" t="s">
        <v>102</v>
      </c>
      <c r="G15744" s="49" t="str">
        <f t="shared" si="1"/>
        <v>42600</v>
      </c>
      <c r="H15744" s="49">
        <f t="shared" si="2"/>
        <v>42087</v>
      </c>
    </row>
    <row r="15745">
      <c r="A15745" s="48" t="s">
        <v>15222</v>
      </c>
      <c r="B15745" s="38">
        <v>56259.0</v>
      </c>
      <c r="C15745" s="38" t="s">
        <v>20123</v>
      </c>
      <c r="D15745" s="38" t="str">
        <f>IFERROR(__xludf.DUMMYFUNCTION("REGEXREPLACE(C15745,""-\d+(.*)|--\d+(.*)"","""")"),"LA TRINITE-SURZUR")</f>
        <v>LA TRINITE-SURZUR</v>
      </c>
      <c r="E15745" s="38" t="s">
        <v>173</v>
      </c>
      <c r="F15745" s="38" t="s">
        <v>90</v>
      </c>
      <c r="G15745" s="49" t="str">
        <f t="shared" si="1"/>
        <v>56190</v>
      </c>
      <c r="H15745" s="49">
        <f t="shared" si="2"/>
        <v>56259</v>
      </c>
    </row>
    <row r="15746">
      <c r="A15746" s="48" t="s">
        <v>4062</v>
      </c>
      <c r="B15746" s="38">
        <v>50629.0</v>
      </c>
      <c r="C15746" s="38" t="s">
        <v>20124</v>
      </c>
      <c r="D15746" s="38" t="str">
        <f>IFERROR(__xludf.DUMMYFUNCTION("REGEXREPLACE(C15746,""-\d+(.*)|--\d+(.*)"","""")"),"VESLY")</f>
        <v>VESLY</v>
      </c>
      <c r="E15746" s="38" t="s">
        <v>157</v>
      </c>
      <c r="F15746" s="38" t="s">
        <v>138</v>
      </c>
      <c r="G15746" s="49" t="str">
        <f t="shared" si="1"/>
        <v>50430</v>
      </c>
      <c r="H15746" s="49">
        <f t="shared" si="2"/>
        <v>50629</v>
      </c>
    </row>
    <row r="15747">
      <c r="A15747" s="48" t="s">
        <v>2251</v>
      </c>
      <c r="B15747" s="38">
        <v>2100.0</v>
      </c>
      <c r="C15747" s="38" t="s">
        <v>20125</v>
      </c>
      <c r="D15747" s="38" t="str">
        <f>IFERROR(__xludf.DUMMYFUNCTION("REGEXREPLACE(C15747,""-\d+(.*)|--\d+(.*)"","""")"),"BONY")</f>
        <v>BONY</v>
      </c>
      <c r="E15747" s="38" t="s">
        <v>191</v>
      </c>
      <c r="F15747" s="38" t="s">
        <v>113</v>
      </c>
      <c r="G15747" s="49" t="str">
        <f t="shared" si="1"/>
        <v>02420</v>
      </c>
      <c r="H15747" s="49" t="str">
        <f t="shared" si="2"/>
        <v>02100</v>
      </c>
    </row>
    <row r="15748">
      <c r="A15748" s="48" t="s">
        <v>2740</v>
      </c>
      <c r="B15748" s="38">
        <v>46073.0</v>
      </c>
      <c r="C15748" s="38" t="s">
        <v>20126</v>
      </c>
      <c r="D15748" s="38" t="str">
        <f>IFERROR(__xludf.DUMMYFUNCTION("REGEXREPLACE(C15748,""-\d+(.*)|--\d+(.*)"","""")"),"CONCOTS")</f>
        <v>CONCOTS</v>
      </c>
      <c r="E15748" s="38" t="s">
        <v>185</v>
      </c>
      <c r="F15748" s="38" t="s">
        <v>94</v>
      </c>
      <c r="G15748" s="49" t="str">
        <f t="shared" si="1"/>
        <v>46260</v>
      </c>
      <c r="H15748" s="49">
        <f t="shared" si="2"/>
        <v>46073</v>
      </c>
    </row>
    <row r="15749">
      <c r="A15749" s="48" t="s">
        <v>10705</v>
      </c>
      <c r="B15749" s="38">
        <v>64535.0</v>
      </c>
      <c r="C15749" s="38" t="s">
        <v>20127</v>
      </c>
      <c r="D15749" s="38" t="str">
        <f>IFERROR(__xludf.DUMMYFUNCTION("REGEXREPLACE(C15749,""-\d+(.*)|--\d+(.*)"","""")"),"TARSACQ")</f>
        <v>TARSACQ</v>
      </c>
      <c r="E15749" s="38" t="s">
        <v>268</v>
      </c>
      <c r="F15749" s="38" t="s">
        <v>252</v>
      </c>
      <c r="G15749" s="49" t="str">
        <f t="shared" si="1"/>
        <v>64360</v>
      </c>
      <c r="H15749" s="49">
        <f t="shared" si="2"/>
        <v>64535</v>
      </c>
    </row>
    <row r="15750">
      <c r="A15750" s="48" t="s">
        <v>5338</v>
      </c>
      <c r="B15750" s="38">
        <v>63267.0</v>
      </c>
      <c r="C15750" s="38" t="s">
        <v>20128</v>
      </c>
      <c r="D15750" s="38" t="str">
        <f>IFERROR(__xludf.DUMMYFUNCTION("REGEXREPLACE(C15750,""-\d+(.*)|--\d+(.*)"","""")"),"PALLADUC")</f>
        <v>PALLADUC</v>
      </c>
      <c r="E15750" s="38" t="s">
        <v>353</v>
      </c>
      <c r="F15750" s="38" t="s">
        <v>161</v>
      </c>
      <c r="G15750" s="49" t="str">
        <f t="shared" si="1"/>
        <v>63550</v>
      </c>
      <c r="H15750" s="49">
        <f t="shared" si="2"/>
        <v>63267</v>
      </c>
    </row>
    <row r="15751">
      <c r="A15751" s="48" t="s">
        <v>266</v>
      </c>
      <c r="B15751" s="38">
        <v>64193.0</v>
      </c>
      <c r="C15751" s="38" t="s">
        <v>20129</v>
      </c>
      <c r="D15751" s="38" t="str">
        <f>IFERROR(__xludf.DUMMYFUNCTION("REGEXREPLACE(C15751,""-\d+(.*)|--\d+(.*)"","""")"),"CORBERE-ABERES")</f>
        <v>CORBERE-ABERES</v>
      </c>
      <c r="E15751" s="38" t="s">
        <v>268</v>
      </c>
      <c r="F15751" s="38" t="s">
        <v>252</v>
      </c>
      <c r="G15751" s="49" t="str">
        <f t="shared" si="1"/>
        <v>64350</v>
      </c>
      <c r="H15751" s="49">
        <f t="shared" si="2"/>
        <v>64193</v>
      </c>
    </row>
    <row r="15752">
      <c r="A15752" s="48" t="s">
        <v>8642</v>
      </c>
      <c r="B15752" s="38" t="s">
        <v>20130</v>
      </c>
      <c r="C15752" s="38" t="s">
        <v>20131</v>
      </c>
      <c r="D15752" s="38" t="str">
        <f>IFERROR(__xludf.DUMMYFUNCTION("REGEXREPLACE(C15752,""-\d+(.*)|--\d+(.*)"","""")"),"CROCE")</f>
        <v>CROCE</v>
      </c>
      <c r="E15752" s="38" t="s">
        <v>743</v>
      </c>
      <c r="F15752" s="38" t="s">
        <v>607</v>
      </c>
      <c r="G15752" s="49" t="str">
        <f t="shared" si="1"/>
        <v>20237</v>
      </c>
      <c r="H15752" s="49" t="str">
        <f t="shared" si="2"/>
        <v>2B101</v>
      </c>
    </row>
    <row r="15753">
      <c r="A15753" s="48" t="s">
        <v>9821</v>
      </c>
      <c r="B15753" s="38">
        <v>52035.0</v>
      </c>
      <c r="C15753" s="38" t="s">
        <v>20132</v>
      </c>
      <c r="D15753" s="38" t="str">
        <f>IFERROR(__xludf.DUMMYFUNCTION("REGEXREPLACE(C15753,""-\d+(.*)|--\d+(.*)"","""")"),"BAISSEY")</f>
        <v>BAISSEY</v>
      </c>
      <c r="E15753" s="38" t="s">
        <v>234</v>
      </c>
      <c r="F15753" s="38" t="s">
        <v>130</v>
      </c>
      <c r="G15753" s="49" t="str">
        <f t="shared" si="1"/>
        <v>52250</v>
      </c>
      <c r="H15753" s="49">
        <f t="shared" si="2"/>
        <v>52035</v>
      </c>
    </row>
    <row r="15754">
      <c r="A15754" s="48" t="s">
        <v>6849</v>
      </c>
      <c r="B15754" s="38">
        <v>28278.0</v>
      </c>
      <c r="C15754" s="38" t="s">
        <v>20133</v>
      </c>
      <c r="D15754" s="38" t="str">
        <f>IFERROR(__xludf.DUMMYFUNCTION("REGEXREPLACE(C15754,""-\d+(.*)|--\d+(.*)"","""")"),"NOGENT-LE-PHAYE")</f>
        <v>NOGENT-LE-PHAYE</v>
      </c>
      <c r="E15754" s="38" t="s">
        <v>300</v>
      </c>
      <c r="F15754" s="38" t="s">
        <v>123</v>
      </c>
      <c r="G15754" s="49" t="str">
        <f t="shared" si="1"/>
        <v>28630</v>
      </c>
      <c r="H15754" s="49">
        <f t="shared" si="2"/>
        <v>28278</v>
      </c>
    </row>
    <row r="15755">
      <c r="A15755" s="48" t="s">
        <v>10970</v>
      </c>
      <c r="B15755" s="38">
        <v>59016.0</v>
      </c>
      <c r="C15755" s="38" t="s">
        <v>20134</v>
      </c>
      <c r="D15755" s="38" t="str">
        <f>IFERROR(__xludf.DUMMYFUNCTION("REGEXREPLACE(C15755,""-\d+(.*)|--\d+(.*)"","""")"),"ARMBOUTS-CAPPEL")</f>
        <v>ARMBOUTS-CAPPEL</v>
      </c>
      <c r="E15755" s="38" t="s">
        <v>85</v>
      </c>
      <c r="F15755" s="38" t="s">
        <v>86</v>
      </c>
      <c r="G15755" s="49" t="str">
        <f t="shared" si="1"/>
        <v>59380</v>
      </c>
      <c r="H15755" s="49">
        <f t="shared" si="2"/>
        <v>59016</v>
      </c>
    </row>
    <row r="15756">
      <c r="A15756" s="48" t="s">
        <v>1250</v>
      </c>
      <c r="B15756" s="38">
        <v>31586.0</v>
      </c>
      <c r="C15756" s="38" t="s">
        <v>20135</v>
      </c>
      <c r="D15756" s="38" t="str">
        <f>IFERROR(__xludf.DUMMYFUNCTION("REGEXREPLACE(C15756,""-\d+(.*)|--\d+(.*)"","""")"),"VILLENEUVE-LECUSSAN")</f>
        <v>VILLENEUVE-LECUSSAN</v>
      </c>
      <c r="E15756" s="38" t="s">
        <v>93</v>
      </c>
      <c r="F15756" s="38" t="s">
        <v>94</v>
      </c>
      <c r="G15756" s="49" t="str">
        <f t="shared" si="1"/>
        <v>31580</v>
      </c>
      <c r="H15756" s="49">
        <f t="shared" si="2"/>
        <v>31586</v>
      </c>
    </row>
    <row r="15757">
      <c r="A15757" s="48" t="s">
        <v>1742</v>
      </c>
      <c r="B15757" s="38">
        <v>21240.0</v>
      </c>
      <c r="C15757" s="38" t="s">
        <v>1311</v>
      </c>
      <c r="D15757" s="38" t="str">
        <f>IFERROR(__xludf.DUMMYFUNCTION("REGEXREPLACE(C15757,""-\d+(.*)|--\d+(.*)"","""")"),"ECHEVANNES")</f>
        <v>ECHEVANNES</v>
      </c>
      <c r="E15757" s="38" t="s">
        <v>105</v>
      </c>
      <c r="F15757" s="38" t="s">
        <v>106</v>
      </c>
      <c r="G15757" s="49" t="str">
        <f t="shared" si="1"/>
        <v>21120</v>
      </c>
      <c r="H15757" s="49">
        <f t="shared" si="2"/>
        <v>21240</v>
      </c>
    </row>
    <row r="15758">
      <c r="A15758" s="48" t="s">
        <v>1850</v>
      </c>
      <c r="B15758" s="38">
        <v>48068.0</v>
      </c>
      <c r="C15758" s="38" t="s">
        <v>20136</v>
      </c>
      <c r="D15758" s="38" t="str">
        <f>IFERROR(__xludf.DUMMYFUNCTION("REGEXREPLACE(C15758,""-\d+(.*)|--\d+(.*)"","""")"),"GABRIAS")</f>
        <v>GABRIAS</v>
      </c>
      <c r="E15758" s="38" t="s">
        <v>154</v>
      </c>
      <c r="F15758" s="38" t="s">
        <v>119</v>
      </c>
      <c r="G15758" s="49" t="str">
        <f t="shared" si="1"/>
        <v>48100</v>
      </c>
      <c r="H15758" s="49">
        <f t="shared" si="2"/>
        <v>48068</v>
      </c>
    </row>
    <row r="15759">
      <c r="A15759" s="48" t="s">
        <v>2408</v>
      </c>
      <c r="B15759" s="38">
        <v>30098.0</v>
      </c>
      <c r="C15759" s="38" t="s">
        <v>20137</v>
      </c>
      <c r="D15759" s="38" t="str">
        <f>IFERROR(__xludf.DUMMYFUNCTION("REGEXREPLACE(C15759,""-\d+(.*)|--\d+(.*)"","""")"),"CRESPIAN")</f>
        <v>CRESPIAN</v>
      </c>
      <c r="E15759" s="38" t="s">
        <v>526</v>
      </c>
      <c r="F15759" s="38" t="s">
        <v>119</v>
      </c>
      <c r="G15759" s="49" t="str">
        <f t="shared" si="1"/>
        <v>30260</v>
      </c>
      <c r="H15759" s="49">
        <f t="shared" si="2"/>
        <v>30098</v>
      </c>
    </row>
    <row r="15760">
      <c r="A15760" s="48" t="s">
        <v>4951</v>
      </c>
      <c r="B15760" s="38">
        <v>16078.0</v>
      </c>
      <c r="C15760" s="38" t="s">
        <v>20138</v>
      </c>
      <c r="D15760" s="38" t="str">
        <f>IFERROR(__xludf.DUMMYFUNCTION("REGEXREPLACE(C15760,""-\d+(.*)|--\d+(.*)"","""")"),"CHAMPNIERS")</f>
        <v>CHAMPNIERS</v>
      </c>
      <c r="E15760" s="38" t="s">
        <v>429</v>
      </c>
      <c r="F15760" s="38" t="s">
        <v>338</v>
      </c>
      <c r="G15760" s="49" t="str">
        <f t="shared" si="1"/>
        <v>16430</v>
      </c>
      <c r="H15760" s="49">
        <f t="shared" si="2"/>
        <v>16078</v>
      </c>
    </row>
    <row r="15761">
      <c r="A15761" s="48" t="s">
        <v>14039</v>
      </c>
      <c r="B15761" s="38">
        <v>52099.0</v>
      </c>
      <c r="C15761" s="38" t="s">
        <v>20139</v>
      </c>
      <c r="D15761" s="38" t="str">
        <f>IFERROR(__xludf.DUMMYFUNCTION("REGEXREPLACE(C15761,""-\d+(.*)|--\d+(.*)"","""")"),"CHAMOUILLEY")</f>
        <v>CHAMOUILLEY</v>
      </c>
      <c r="E15761" s="38" t="s">
        <v>234</v>
      </c>
      <c r="F15761" s="38" t="s">
        <v>130</v>
      </c>
      <c r="G15761" s="49" t="str">
        <f t="shared" si="1"/>
        <v>52410</v>
      </c>
      <c r="H15761" s="49">
        <f t="shared" si="2"/>
        <v>52099</v>
      </c>
    </row>
    <row r="15762">
      <c r="A15762" s="48" t="s">
        <v>1208</v>
      </c>
      <c r="B15762" s="38">
        <v>32161.0</v>
      </c>
      <c r="C15762" s="38" t="s">
        <v>20140</v>
      </c>
      <c r="D15762" s="38" t="str">
        <f>IFERROR(__xludf.DUMMYFUNCTION("REGEXREPLACE(C15762,""-\d+(.*)|--\d+(.*)"","""")"),"IZOTGES")</f>
        <v>IZOTGES</v>
      </c>
      <c r="E15762" s="38" t="s">
        <v>440</v>
      </c>
      <c r="F15762" s="38" t="s">
        <v>94</v>
      </c>
      <c r="G15762" s="49" t="str">
        <f t="shared" si="1"/>
        <v>32400</v>
      </c>
      <c r="H15762" s="49">
        <f t="shared" si="2"/>
        <v>32161</v>
      </c>
    </row>
    <row r="15763">
      <c r="A15763" s="48" t="s">
        <v>9755</v>
      </c>
      <c r="B15763" s="38">
        <v>51407.0</v>
      </c>
      <c r="C15763" s="38" t="s">
        <v>20141</v>
      </c>
      <c r="D15763" s="38" t="str">
        <f>IFERROR(__xludf.DUMMYFUNCTION("REGEXREPLACE(C15763,""-\d+(.*)|--\d+(.*)"","""")"),"LA NOUE")</f>
        <v>LA NOUE</v>
      </c>
      <c r="E15763" s="38" t="s">
        <v>129</v>
      </c>
      <c r="F15763" s="38" t="s">
        <v>130</v>
      </c>
      <c r="G15763" s="49" t="str">
        <f t="shared" si="1"/>
        <v>51310</v>
      </c>
      <c r="H15763" s="49">
        <f t="shared" si="2"/>
        <v>51407</v>
      </c>
    </row>
    <row r="15764">
      <c r="A15764" s="48" t="s">
        <v>8320</v>
      </c>
      <c r="B15764" s="38">
        <v>1051.0</v>
      </c>
      <c r="C15764" s="38" t="s">
        <v>20142</v>
      </c>
      <c r="D15764" s="38" t="str">
        <f>IFERROR(__xludf.DUMMYFUNCTION("REGEXREPLACE(C15764,""-\d+(.*)|--\d+(.*)"","""")"),"BOLOZON")</f>
        <v>BOLOZON</v>
      </c>
      <c r="E15764" s="38" t="s">
        <v>255</v>
      </c>
      <c r="F15764" s="38" t="s">
        <v>102</v>
      </c>
      <c r="G15764" s="49" t="str">
        <f t="shared" si="1"/>
        <v>01450</v>
      </c>
      <c r="H15764" s="49" t="str">
        <f t="shared" si="2"/>
        <v>01051</v>
      </c>
    </row>
    <row r="15765">
      <c r="A15765" s="48" t="s">
        <v>10847</v>
      </c>
      <c r="B15765" s="38">
        <v>77295.0</v>
      </c>
      <c r="C15765" s="38" t="s">
        <v>20143</v>
      </c>
      <c r="D15765" s="38" t="str">
        <f>IFERROR(__xludf.DUMMYFUNCTION("REGEXREPLACE(C15765,""-\d+(.*)|--\d+(.*)"","""")"),"MOISENAY")</f>
        <v>MOISENAY</v>
      </c>
      <c r="E15765" s="38" t="s">
        <v>244</v>
      </c>
      <c r="F15765" s="38" t="s">
        <v>245</v>
      </c>
      <c r="G15765" s="49" t="str">
        <f t="shared" si="1"/>
        <v>77950</v>
      </c>
      <c r="H15765" s="49">
        <f t="shared" si="2"/>
        <v>77295</v>
      </c>
    </row>
    <row r="15766">
      <c r="A15766" s="48" t="s">
        <v>14650</v>
      </c>
      <c r="B15766" s="38">
        <v>25578.0</v>
      </c>
      <c r="C15766" s="38" t="s">
        <v>20144</v>
      </c>
      <c r="D15766" s="38" t="str">
        <f>IFERROR(__xludf.DUMMYFUNCTION("REGEXREPLACE(C15766,""-\d+(.*)|--\d+(.*)"","""")"),"VALDAHON")</f>
        <v>VALDAHON</v>
      </c>
      <c r="E15766" s="38" t="s">
        <v>213</v>
      </c>
      <c r="F15766" s="38" t="s">
        <v>214</v>
      </c>
      <c r="G15766" s="49" t="str">
        <f t="shared" si="1"/>
        <v>25800</v>
      </c>
      <c r="H15766" s="49">
        <f t="shared" si="2"/>
        <v>25578</v>
      </c>
    </row>
    <row r="15767">
      <c r="A15767" s="48" t="s">
        <v>16765</v>
      </c>
      <c r="B15767" s="38">
        <v>76488.0</v>
      </c>
      <c r="C15767" s="38" t="s">
        <v>20145</v>
      </c>
      <c r="D15767" s="38" t="str">
        <f>IFERROR(__xludf.DUMMYFUNCTION("REGEXREPLACE(C15767,""-\d+(.*)|--\d+(.*)"","""")"),"OUAINVILLE")</f>
        <v>OUAINVILLE</v>
      </c>
      <c r="E15767" s="38" t="s">
        <v>133</v>
      </c>
      <c r="F15767" s="38" t="s">
        <v>134</v>
      </c>
      <c r="G15767" s="49" t="str">
        <f t="shared" si="1"/>
        <v>76450</v>
      </c>
      <c r="H15767" s="49">
        <f t="shared" si="2"/>
        <v>76488</v>
      </c>
    </row>
    <row r="15768">
      <c r="A15768" s="48" t="s">
        <v>2487</v>
      </c>
      <c r="B15768" s="38">
        <v>70500.0</v>
      </c>
      <c r="C15768" s="38" t="s">
        <v>20146</v>
      </c>
      <c r="D15768" s="38" t="str">
        <f>IFERROR(__xludf.DUMMYFUNCTION("REGEXREPLACE(C15768,""-\d+(.*)|--\d+(.*)"","""")"),"THIEFFRANS")</f>
        <v>THIEFFRANS</v>
      </c>
      <c r="E15768" s="38" t="s">
        <v>956</v>
      </c>
      <c r="F15768" s="38" t="s">
        <v>214</v>
      </c>
      <c r="G15768" s="49" t="str">
        <f t="shared" si="1"/>
        <v>70230</v>
      </c>
      <c r="H15768" s="49">
        <f t="shared" si="2"/>
        <v>70500</v>
      </c>
    </row>
    <row r="15769">
      <c r="A15769" s="48" t="s">
        <v>10307</v>
      </c>
      <c r="B15769" s="38">
        <v>35140.0</v>
      </c>
      <c r="C15769" s="38" t="s">
        <v>20147</v>
      </c>
      <c r="D15769" s="38" t="str">
        <f>IFERROR(__xludf.DUMMYFUNCTION("REGEXREPLACE(C15769,""-\d+(.*)|--\d+(.*)"","""")"),"LALLEU")</f>
        <v>LALLEU</v>
      </c>
      <c r="E15769" s="38" t="s">
        <v>347</v>
      </c>
      <c r="F15769" s="38" t="s">
        <v>90</v>
      </c>
      <c r="G15769" s="49" t="str">
        <f t="shared" si="1"/>
        <v>35320</v>
      </c>
      <c r="H15769" s="49">
        <f t="shared" si="2"/>
        <v>35140</v>
      </c>
    </row>
    <row r="15770">
      <c r="A15770" s="48" t="s">
        <v>2893</v>
      </c>
      <c r="B15770" s="38">
        <v>27419.0</v>
      </c>
      <c r="C15770" s="38" t="s">
        <v>20148</v>
      </c>
      <c r="D15770" s="38" t="str">
        <f>IFERROR(__xludf.DUMMYFUNCTION("REGEXREPLACE(C15770,""-\d+(.*)|--\d+(.*)"","""")"),"MOUETTES")</f>
        <v>MOUETTES</v>
      </c>
      <c r="E15770" s="38" t="s">
        <v>241</v>
      </c>
      <c r="F15770" s="38" t="s">
        <v>134</v>
      </c>
      <c r="G15770" s="49" t="str">
        <f t="shared" si="1"/>
        <v>27220</v>
      </c>
      <c r="H15770" s="49">
        <f t="shared" si="2"/>
        <v>27419</v>
      </c>
    </row>
    <row r="15771">
      <c r="A15771" s="48" t="s">
        <v>388</v>
      </c>
      <c r="B15771" s="38">
        <v>19080.0</v>
      </c>
      <c r="C15771" s="38" t="s">
        <v>20149</v>
      </c>
      <c r="D15771" s="38" t="str">
        <f>IFERROR(__xludf.DUMMYFUNCTION("REGEXREPLACE(C15771,""-\d+(.*)|--\d+(.*)"","""")"),"EYGURANDE")</f>
        <v>EYGURANDE</v>
      </c>
      <c r="E15771" s="38" t="s">
        <v>271</v>
      </c>
      <c r="F15771" s="38" t="s">
        <v>98</v>
      </c>
      <c r="G15771" s="49" t="str">
        <f t="shared" si="1"/>
        <v>19340</v>
      </c>
      <c r="H15771" s="49">
        <f t="shared" si="2"/>
        <v>19080</v>
      </c>
    </row>
    <row r="15772">
      <c r="A15772" s="48" t="s">
        <v>2605</v>
      </c>
      <c r="B15772" s="38">
        <v>39086.0</v>
      </c>
      <c r="C15772" s="38" t="s">
        <v>18931</v>
      </c>
      <c r="D15772" s="38" t="str">
        <f>IFERROR(__xludf.DUMMYFUNCTION("REGEXREPLACE(C15772,""-\d+(.*)|--\d+(.*)"","""")"),"CERNON")</f>
        <v>CERNON</v>
      </c>
      <c r="E15772" s="38" t="s">
        <v>400</v>
      </c>
      <c r="F15772" s="38" t="s">
        <v>214</v>
      </c>
      <c r="G15772" s="49" t="str">
        <f t="shared" si="1"/>
        <v>39240</v>
      </c>
      <c r="H15772" s="49">
        <f t="shared" si="2"/>
        <v>39086</v>
      </c>
    </row>
    <row r="15773">
      <c r="A15773" s="48" t="s">
        <v>3283</v>
      </c>
      <c r="B15773" s="38">
        <v>52097.0</v>
      </c>
      <c r="C15773" s="38" t="s">
        <v>20150</v>
      </c>
      <c r="D15773" s="38" t="str">
        <f>IFERROR(__xludf.DUMMYFUNCTION("REGEXREPLACE(C15773,""-\d+(.*)|--\d+(.*)"","""")"),"CHAMBRONCOURT")</f>
        <v>CHAMBRONCOURT</v>
      </c>
      <c r="E15773" s="38" t="s">
        <v>234</v>
      </c>
      <c r="F15773" s="38" t="s">
        <v>130</v>
      </c>
      <c r="G15773" s="49" t="str">
        <f t="shared" si="1"/>
        <v>52700</v>
      </c>
      <c r="H15773" s="49">
        <f t="shared" si="2"/>
        <v>52097</v>
      </c>
    </row>
    <row r="15774">
      <c r="A15774" s="48" t="s">
        <v>6658</v>
      </c>
      <c r="B15774" s="38">
        <v>53265.0</v>
      </c>
      <c r="C15774" s="38" t="s">
        <v>20151</v>
      </c>
      <c r="D15774" s="38" t="str">
        <f>IFERROR(__xludf.DUMMYFUNCTION("REGEXREPLACE(C15774,""-\d+(.*)|--\d+(.*)"","""")"),"TORCE-VIVIERS-EN-CHARNIE")</f>
        <v>TORCE-VIVIERS-EN-CHARNIE</v>
      </c>
      <c r="E15774" s="38" t="s">
        <v>518</v>
      </c>
      <c r="F15774" s="38" t="s">
        <v>180</v>
      </c>
      <c r="G15774" s="49" t="str">
        <f t="shared" si="1"/>
        <v>53270</v>
      </c>
      <c r="H15774" s="49">
        <f t="shared" si="2"/>
        <v>53265</v>
      </c>
    </row>
    <row r="15775">
      <c r="A15775" s="48" t="s">
        <v>10017</v>
      </c>
      <c r="B15775" s="38">
        <v>14275.0</v>
      </c>
      <c r="C15775" s="38" t="s">
        <v>20152</v>
      </c>
      <c r="D15775" s="38" t="str">
        <f>IFERROR(__xludf.DUMMYFUNCTION("REGEXREPLACE(C15775,""-\d+(.*)|--\d+(.*)"","""")"),"FONTAINE-HENRY")</f>
        <v>FONTAINE-HENRY</v>
      </c>
      <c r="E15775" s="38" t="s">
        <v>137</v>
      </c>
      <c r="F15775" s="38" t="s">
        <v>138</v>
      </c>
      <c r="G15775" s="49" t="str">
        <f t="shared" si="1"/>
        <v>14610</v>
      </c>
      <c r="H15775" s="49">
        <f t="shared" si="2"/>
        <v>14275</v>
      </c>
    </row>
    <row r="15776">
      <c r="A15776" s="48" t="s">
        <v>1027</v>
      </c>
      <c r="B15776" s="38">
        <v>1227.0</v>
      </c>
      <c r="C15776" s="38" t="s">
        <v>20153</v>
      </c>
      <c r="D15776" s="38" t="str">
        <f>IFERROR(__xludf.DUMMYFUNCTION("REGEXREPLACE(C15776,""-\d+(.*)|--\d+(.*)"","""")"),"MAGNIEU")</f>
        <v>MAGNIEU</v>
      </c>
      <c r="E15776" s="38" t="s">
        <v>255</v>
      </c>
      <c r="F15776" s="38" t="s">
        <v>102</v>
      </c>
      <c r="G15776" s="49" t="str">
        <f t="shared" si="1"/>
        <v>01300</v>
      </c>
      <c r="H15776" s="49" t="str">
        <f t="shared" si="2"/>
        <v>01227</v>
      </c>
    </row>
    <row r="15777">
      <c r="A15777" s="48" t="s">
        <v>930</v>
      </c>
      <c r="B15777" s="38">
        <v>32160.0</v>
      </c>
      <c r="C15777" s="38" t="s">
        <v>3809</v>
      </c>
      <c r="D15777" s="38" t="str">
        <f>IFERROR(__xludf.DUMMYFUNCTION("REGEXREPLACE(C15777,""-\d+(.*)|--\d+(.*)"","""")"),"L'ISLE-JOURDAIN")</f>
        <v>L'ISLE-JOURDAIN</v>
      </c>
      <c r="E15777" s="38" t="s">
        <v>440</v>
      </c>
      <c r="F15777" s="38" t="s">
        <v>94</v>
      </c>
      <c r="G15777" s="49" t="str">
        <f t="shared" si="1"/>
        <v>32600</v>
      </c>
      <c r="H15777" s="49">
        <f t="shared" si="2"/>
        <v>32160</v>
      </c>
    </row>
    <row r="15778">
      <c r="A15778" s="48" t="s">
        <v>342</v>
      </c>
      <c r="B15778" s="38">
        <v>71526.0</v>
      </c>
      <c r="C15778" s="38" t="s">
        <v>20154</v>
      </c>
      <c r="D15778" s="38" t="str">
        <f>IFERROR(__xludf.DUMMYFUNCTION("REGEXREPLACE(C15778,""-\d+(.*)|--\d+(.*)"","""")"),"SOLUTRE-POUILLY")</f>
        <v>SOLUTRE-POUILLY</v>
      </c>
      <c r="E15778" s="38" t="s">
        <v>344</v>
      </c>
      <c r="F15778" s="38" t="s">
        <v>106</v>
      </c>
      <c r="G15778" s="49" t="str">
        <f t="shared" si="1"/>
        <v>71960</v>
      </c>
      <c r="H15778" s="49">
        <f t="shared" si="2"/>
        <v>71526</v>
      </c>
    </row>
    <row r="15779">
      <c r="A15779" s="48" t="s">
        <v>415</v>
      </c>
      <c r="B15779" s="38">
        <v>21264.0</v>
      </c>
      <c r="C15779" s="38" t="s">
        <v>20155</v>
      </c>
      <c r="D15779" s="38" t="str">
        <f>IFERROR(__xludf.DUMMYFUNCTION("REGEXREPLACE(C15779,""-\d+(.*)|--\d+(.*)"","""")"),"LE FETE")</f>
        <v>LE FETE</v>
      </c>
      <c r="E15779" s="38" t="s">
        <v>105</v>
      </c>
      <c r="F15779" s="38" t="s">
        <v>106</v>
      </c>
      <c r="G15779" s="49" t="str">
        <f t="shared" si="1"/>
        <v>21230</v>
      </c>
      <c r="H15779" s="49">
        <f t="shared" si="2"/>
        <v>21264</v>
      </c>
    </row>
    <row r="15780">
      <c r="A15780" s="48" t="s">
        <v>4224</v>
      </c>
      <c r="B15780" s="38">
        <v>29247.0</v>
      </c>
      <c r="C15780" s="38" t="s">
        <v>20156</v>
      </c>
      <c r="D15780" s="38" t="str">
        <f>IFERROR(__xludf.DUMMYFUNCTION("REGEXREPLACE(C15780,""-\d+(.*)|--\d+(.*)"","""")"),"SAINT-EVARZEC")</f>
        <v>SAINT-EVARZEC</v>
      </c>
      <c r="E15780" s="38" t="s">
        <v>176</v>
      </c>
      <c r="F15780" s="38" t="s">
        <v>90</v>
      </c>
      <c r="G15780" s="49" t="str">
        <f t="shared" si="1"/>
        <v>29170</v>
      </c>
      <c r="H15780" s="49">
        <f t="shared" si="2"/>
        <v>29247</v>
      </c>
    </row>
    <row r="15781">
      <c r="A15781" s="48" t="s">
        <v>14207</v>
      </c>
      <c r="B15781" s="38">
        <v>29032.0</v>
      </c>
      <c r="C15781" s="38" t="s">
        <v>20157</v>
      </c>
      <c r="D15781" s="38" t="str">
        <f>IFERROR(__xludf.DUMMYFUNCTION("REGEXREPLACE(C15781,""-\d+(.*)|--\d+(.*)"","""")"),"CLOHARS-FOUESNANT")</f>
        <v>CLOHARS-FOUESNANT</v>
      </c>
      <c r="E15781" s="38" t="s">
        <v>176</v>
      </c>
      <c r="F15781" s="38" t="s">
        <v>90</v>
      </c>
      <c r="G15781" s="49" t="str">
        <f t="shared" si="1"/>
        <v>29950</v>
      </c>
      <c r="H15781" s="49">
        <f t="shared" si="2"/>
        <v>29032</v>
      </c>
    </row>
    <row r="15782">
      <c r="A15782" s="48" t="s">
        <v>5944</v>
      </c>
      <c r="B15782" s="38">
        <v>62366.0</v>
      </c>
      <c r="C15782" s="38" t="s">
        <v>20158</v>
      </c>
      <c r="D15782" s="38" t="str">
        <f>IFERROR(__xludf.DUMMYFUNCTION("REGEXREPLACE(C15782,""-\d+(.*)|--\d+(.*)"","""")"),"GAUCHIN-LEGAL")</f>
        <v>GAUCHIN-LEGAL</v>
      </c>
      <c r="E15782" s="38" t="s">
        <v>109</v>
      </c>
      <c r="F15782" s="38" t="s">
        <v>86</v>
      </c>
      <c r="G15782" s="49" t="str">
        <f t="shared" si="1"/>
        <v>62150</v>
      </c>
      <c r="H15782" s="49">
        <f t="shared" si="2"/>
        <v>62366</v>
      </c>
    </row>
    <row r="15783">
      <c r="A15783" s="48" t="s">
        <v>5262</v>
      </c>
      <c r="B15783" s="38">
        <v>15209.0</v>
      </c>
      <c r="C15783" s="38" t="s">
        <v>20159</v>
      </c>
      <c r="D15783" s="38" t="str">
        <f>IFERROR(__xludf.DUMMYFUNCTION("REGEXREPLACE(C15783,""-\d+(.*)|--\d+(.*)"","""")"),"SAINT-REMY-DE-CHAUDES-AIGUES")</f>
        <v>SAINT-REMY-DE-CHAUDES-AIGUES</v>
      </c>
      <c r="E15783" s="38" t="s">
        <v>632</v>
      </c>
      <c r="F15783" s="38" t="s">
        <v>161</v>
      </c>
      <c r="G15783" s="49" t="str">
        <f t="shared" si="1"/>
        <v>15110</v>
      </c>
      <c r="H15783" s="49">
        <f t="shared" si="2"/>
        <v>15209</v>
      </c>
    </row>
    <row r="15784">
      <c r="A15784" s="48" t="s">
        <v>8105</v>
      </c>
      <c r="B15784" s="38">
        <v>25485.0</v>
      </c>
      <c r="C15784" s="38" t="s">
        <v>20160</v>
      </c>
      <c r="D15784" s="38" t="str">
        <f>IFERROR(__xludf.DUMMYFUNCTION("REGEXREPLACE(C15784,""-\d+(.*)|--\d+(.*)"","""")"),"REMONDANS-VAIVRE")</f>
        <v>REMONDANS-VAIVRE</v>
      </c>
      <c r="E15784" s="38" t="s">
        <v>213</v>
      </c>
      <c r="F15784" s="38" t="s">
        <v>214</v>
      </c>
      <c r="G15784" s="49" t="str">
        <f t="shared" si="1"/>
        <v>25150</v>
      </c>
      <c r="H15784" s="49">
        <f t="shared" si="2"/>
        <v>25485</v>
      </c>
    </row>
    <row r="15785">
      <c r="A15785" s="48" t="s">
        <v>12036</v>
      </c>
      <c r="B15785" s="38">
        <v>91105.0</v>
      </c>
      <c r="C15785" s="38" t="s">
        <v>20161</v>
      </c>
      <c r="D15785" s="38" t="str">
        <f>IFERROR(__xludf.DUMMYFUNCTION("REGEXREPLACE(C15785,""-\d+(.*)|--\d+(.*)"","""")"),"BREUILLET")</f>
        <v>BREUILLET</v>
      </c>
      <c r="E15785" s="38" t="s">
        <v>756</v>
      </c>
      <c r="F15785" s="38" t="s">
        <v>245</v>
      </c>
      <c r="G15785" s="49" t="str">
        <f t="shared" si="1"/>
        <v>91650</v>
      </c>
      <c r="H15785" s="49">
        <f t="shared" si="2"/>
        <v>91105</v>
      </c>
    </row>
    <row r="15786">
      <c r="A15786" s="48" t="s">
        <v>771</v>
      </c>
      <c r="B15786" s="38">
        <v>60035.0</v>
      </c>
      <c r="C15786" s="38" t="s">
        <v>20162</v>
      </c>
      <c r="D15786" s="38" t="str">
        <f>IFERROR(__xludf.DUMMYFUNCTION("REGEXREPLACE(C15786,""-\d+(.*)|--\d+(.*)"","""")"),"AVRICOURT")</f>
        <v>AVRICOURT</v>
      </c>
      <c r="E15786" s="38" t="s">
        <v>112</v>
      </c>
      <c r="F15786" s="38" t="s">
        <v>113</v>
      </c>
      <c r="G15786" s="49" t="str">
        <f t="shared" si="1"/>
        <v>60310</v>
      </c>
      <c r="H15786" s="49">
        <f t="shared" si="2"/>
        <v>60035</v>
      </c>
    </row>
    <row r="15787">
      <c r="A15787" s="48" t="s">
        <v>10778</v>
      </c>
      <c r="B15787" s="38">
        <v>21571.0</v>
      </c>
      <c r="C15787" s="38" t="s">
        <v>4403</v>
      </c>
      <c r="D15787" s="38" t="str">
        <f>IFERROR(__xludf.DUMMYFUNCTION("REGEXREPLACE(C15787,""-\d+(.*)|--\d+(.*)"","""")"),"SAINT-SAUVEUR")</f>
        <v>SAINT-SAUVEUR</v>
      </c>
      <c r="E15787" s="38" t="s">
        <v>105</v>
      </c>
      <c r="F15787" s="38" t="s">
        <v>106</v>
      </c>
      <c r="G15787" s="49" t="str">
        <f t="shared" si="1"/>
        <v>21270</v>
      </c>
      <c r="H15787" s="49">
        <f t="shared" si="2"/>
        <v>21571</v>
      </c>
    </row>
    <row r="15788">
      <c r="A15788" s="48" t="s">
        <v>1733</v>
      </c>
      <c r="B15788" s="38">
        <v>23110.0</v>
      </c>
      <c r="C15788" s="38" t="s">
        <v>20163</v>
      </c>
      <c r="D15788" s="38" t="str">
        <f>IFERROR(__xludf.DUMMYFUNCTION("REGEXREPLACE(C15788,""-\d+(.*)|--\d+(.*)"","""")"),"LIOUX-LES-MONGES")</f>
        <v>LIOUX-LES-MONGES</v>
      </c>
      <c r="E15788" s="38" t="s">
        <v>97</v>
      </c>
      <c r="F15788" s="38" t="s">
        <v>98</v>
      </c>
      <c r="G15788" s="49" t="str">
        <f t="shared" si="1"/>
        <v>23700</v>
      </c>
      <c r="H15788" s="49">
        <f t="shared" si="2"/>
        <v>23110</v>
      </c>
    </row>
    <row r="15789">
      <c r="A15789" s="48" t="s">
        <v>6492</v>
      </c>
      <c r="B15789" s="38">
        <v>5172.0</v>
      </c>
      <c r="C15789" s="38" t="s">
        <v>20164</v>
      </c>
      <c r="D15789" s="38" t="str">
        <f>IFERROR(__xludf.DUMMYFUNCTION("REGEXREPLACE(C15789,""-\d+(.*)|--\d+(.*)"","""")"),"TRESCLEOUX")</f>
        <v>TRESCLEOUX</v>
      </c>
      <c r="E15789" s="38" t="s">
        <v>706</v>
      </c>
      <c r="F15789" s="38" t="s">
        <v>228</v>
      </c>
      <c r="G15789" s="49" t="str">
        <f t="shared" si="1"/>
        <v>05700</v>
      </c>
      <c r="H15789" s="49" t="str">
        <f t="shared" si="2"/>
        <v>05172</v>
      </c>
    </row>
    <row r="15790">
      <c r="A15790" s="48" t="s">
        <v>6728</v>
      </c>
      <c r="B15790" s="38">
        <v>89017.0</v>
      </c>
      <c r="C15790" s="38" t="s">
        <v>20165</v>
      </c>
      <c r="D15790" s="38" t="str">
        <f>IFERROR(__xludf.DUMMYFUNCTION("REGEXREPLACE(C15790,""-\d+(.*)|--\d+(.*)"","""")"),"ARGENTEUIL-SUR-ARMANCON")</f>
        <v>ARGENTEUIL-SUR-ARMANCON</v>
      </c>
      <c r="E15790" s="38" t="s">
        <v>275</v>
      </c>
      <c r="F15790" s="38" t="s">
        <v>106</v>
      </c>
      <c r="G15790" s="49" t="str">
        <f t="shared" si="1"/>
        <v>89160</v>
      </c>
      <c r="H15790" s="49">
        <f t="shared" si="2"/>
        <v>89017</v>
      </c>
    </row>
    <row r="15791">
      <c r="A15791" s="48" t="s">
        <v>6515</v>
      </c>
      <c r="B15791" s="38">
        <v>62742.0</v>
      </c>
      <c r="C15791" s="38" t="s">
        <v>2041</v>
      </c>
      <c r="D15791" s="38" t="str">
        <f>IFERROR(__xludf.DUMMYFUNCTION("REGEXREPLACE(C15791,""-\d+(.*)|--\d+(.*)"","""")"),"SAINT-AUBIN")</f>
        <v>SAINT-AUBIN</v>
      </c>
      <c r="E15791" s="38" t="s">
        <v>109</v>
      </c>
      <c r="F15791" s="38" t="s">
        <v>86</v>
      </c>
      <c r="G15791" s="49" t="str">
        <f t="shared" si="1"/>
        <v>62170</v>
      </c>
      <c r="H15791" s="49">
        <f t="shared" si="2"/>
        <v>62742</v>
      </c>
    </row>
    <row r="15792">
      <c r="A15792" s="48" t="s">
        <v>8393</v>
      </c>
      <c r="B15792" s="38">
        <v>80651.0</v>
      </c>
      <c r="C15792" s="38" t="s">
        <v>20166</v>
      </c>
      <c r="D15792" s="38" t="str">
        <f>IFERROR(__xludf.DUMMYFUNCTION("REGEXREPLACE(C15792,""-\d+(.*)|--\d+(.*)"","""")"),"LE QUESNE")</f>
        <v>LE QUESNE</v>
      </c>
      <c r="E15792" s="38" t="s">
        <v>224</v>
      </c>
      <c r="F15792" s="38" t="s">
        <v>113</v>
      </c>
      <c r="G15792" s="49" t="str">
        <f t="shared" si="1"/>
        <v>80430</v>
      </c>
      <c r="H15792" s="49">
        <f t="shared" si="2"/>
        <v>80651</v>
      </c>
    </row>
    <row r="15793">
      <c r="A15793" s="48" t="s">
        <v>7153</v>
      </c>
      <c r="B15793" s="38">
        <v>30250.0</v>
      </c>
      <c r="C15793" s="38" t="s">
        <v>20167</v>
      </c>
      <c r="D15793" s="38" t="str">
        <f>IFERROR(__xludf.DUMMYFUNCTION("REGEXREPLACE(C15793,""-\d+(.*)|--\d+(.*)"","""")"),"SAINT-ETIENNE-DE-L'OLM")</f>
        <v>SAINT-ETIENNE-DE-L'OLM</v>
      </c>
      <c r="E15793" s="38" t="s">
        <v>526</v>
      </c>
      <c r="F15793" s="38" t="s">
        <v>119</v>
      </c>
      <c r="G15793" s="49" t="str">
        <f t="shared" si="1"/>
        <v>30360</v>
      </c>
      <c r="H15793" s="49">
        <f t="shared" si="2"/>
        <v>30250</v>
      </c>
    </row>
    <row r="15794">
      <c r="A15794" s="48" t="s">
        <v>2406</v>
      </c>
      <c r="B15794" s="38">
        <v>55007.0</v>
      </c>
      <c r="C15794" s="38" t="s">
        <v>20168</v>
      </c>
      <c r="D15794" s="38" t="str">
        <f>IFERROR(__xludf.DUMMYFUNCTION("REGEXREPLACE(C15794,""-\d+(.*)|--\d+(.*)"","""")"),"AMBLY-SUR-MEUSE")</f>
        <v>AMBLY-SUR-MEUSE</v>
      </c>
      <c r="E15794" s="38" t="s">
        <v>322</v>
      </c>
      <c r="F15794" s="38" t="s">
        <v>195</v>
      </c>
      <c r="G15794" s="49" t="str">
        <f t="shared" si="1"/>
        <v>55300</v>
      </c>
      <c r="H15794" s="49">
        <f t="shared" si="2"/>
        <v>55007</v>
      </c>
    </row>
    <row r="15795">
      <c r="A15795" s="48" t="s">
        <v>1850</v>
      </c>
      <c r="B15795" s="38">
        <v>48092.0</v>
      </c>
      <c r="C15795" s="38" t="s">
        <v>20169</v>
      </c>
      <c r="D15795" s="38" t="str">
        <f>IFERROR(__xludf.DUMMYFUNCTION("REGEXREPLACE(C15795,""-\d+(.*)|--\d+(.*)"","""")"),"MARVEJOLS")</f>
        <v>MARVEJOLS</v>
      </c>
      <c r="E15795" s="38" t="s">
        <v>154</v>
      </c>
      <c r="F15795" s="38" t="s">
        <v>119</v>
      </c>
      <c r="G15795" s="49" t="str">
        <f t="shared" si="1"/>
        <v>48100</v>
      </c>
      <c r="H15795" s="49">
        <f t="shared" si="2"/>
        <v>48092</v>
      </c>
    </row>
    <row r="15796">
      <c r="A15796" s="48" t="s">
        <v>2812</v>
      </c>
      <c r="B15796" s="38">
        <v>61280.0</v>
      </c>
      <c r="C15796" s="38" t="s">
        <v>20170</v>
      </c>
      <c r="D15796" s="38" t="str">
        <f>IFERROR(__xludf.DUMMYFUNCTION("REGEXREPLACE(C15796,""-\d+(.*)|--\d+(.*)"","""")"),"MONCEAUX-AU-PERCHE")</f>
        <v>MONCEAUX-AU-PERCHE</v>
      </c>
      <c r="E15796" s="38" t="s">
        <v>141</v>
      </c>
      <c r="F15796" s="38" t="s">
        <v>138</v>
      </c>
      <c r="G15796" s="49" t="str">
        <f t="shared" si="1"/>
        <v>61290</v>
      </c>
      <c r="H15796" s="49">
        <f t="shared" si="2"/>
        <v>61280</v>
      </c>
    </row>
    <row r="15797">
      <c r="A15797" s="48" t="s">
        <v>3208</v>
      </c>
      <c r="B15797" s="38">
        <v>80284.0</v>
      </c>
      <c r="C15797" s="38" t="s">
        <v>20171</v>
      </c>
      <c r="D15797" s="38" t="str">
        <f>IFERROR(__xludf.DUMMYFUNCTION("REGEXREPLACE(C15797,""-\d+(.*)|--\d+(.*)"","""")"),"ESMERY-HALLON")</f>
        <v>ESMERY-HALLON</v>
      </c>
      <c r="E15797" s="38" t="s">
        <v>224</v>
      </c>
      <c r="F15797" s="38" t="s">
        <v>113</v>
      </c>
      <c r="G15797" s="49" t="str">
        <f t="shared" si="1"/>
        <v>80400</v>
      </c>
      <c r="H15797" s="49">
        <f t="shared" si="2"/>
        <v>80284</v>
      </c>
    </row>
    <row r="15798">
      <c r="A15798" s="48" t="s">
        <v>2726</v>
      </c>
      <c r="B15798" s="38">
        <v>46269.0</v>
      </c>
      <c r="C15798" s="38" t="s">
        <v>3567</v>
      </c>
      <c r="D15798" s="38" t="str">
        <f>IFERROR(__xludf.DUMMYFUNCTION("REGEXREPLACE(C15798,""-\d+(.*)|--\d+(.*)"","""")"),"SAINT-HILAIRE")</f>
        <v>SAINT-HILAIRE</v>
      </c>
      <c r="E15798" s="38" t="s">
        <v>185</v>
      </c>
      <c r="F15798" s="38" t="s">
        <v>94</v>
      </c>
      <c r="G15798" s="49" t="str">
        <f t="shared" si="1"/>
        <v>46210</v>
      </c>
      <c r="H15798" s="49">
        <f t="shared" si="2"/>
        <v>46269</v>
      </c>
    </row>
    <row r="15799">
      <c r="A15799" s="48" t="s">
        <v>4877</v>
      </c>
      <c r="B15799" s="38">
        <v>61504.0</v>
      </c>
      <c r="C15799" s="38" t="s">
        <v>20172</v>
      </c>
      <c r="D15799" s="38" t="str">
        <f>IFERROR(__xludf.DUMMYFUNCTION("REGEXREPLACE(C15799,""-\d+(.*)|--\d+(.*)"","""")"),"VILLEBADIN")</f>
        <v>VILLEBADIN</v>
      </c>
      <c r="E15799" s="38" t="s">
        <v>141</v>
      </c>
      <c r="F15799" s="38" t="s">
        <v>138</v>
      </c>
      <c r="G15799" s="49" t="str">
        <f t="shared" si="1"/>
        <v>61310</v>
      </c>
      <c r="H15799" s="49">
        <f t="shared" si="2"/>
        <v>61504</v>
      </c>
    </row>
    <row r="15800">
      <c r="A15800" s="48" t="s">
        <v>7073</v>
      </c>
      <c r="B15800" s="38">
        <v>38546.0</v>
      </c>
      <c r="C15800" s="38" t="s">
        <v>20173</v>
      </c>
      <c r="D15800" s="38" t="str">
        <f>IFERROR(__xludf.DUMMYFUNCTION("REGEXREPLACE(C15800,""-\d+(.*)|--\d+(.*)"","""")"),"VIGNIEU")</f>
        <v>VIGNIEU</v>
      </c>
      <c r="E15800" s="38" t="s">
        <v>101</v>
      </c>
      <c r="F15800" s="38" t="s">
        <v>102</v>
      </c>
      <c r="G15800" s="49" t="str">
        <f t="shared" si="1"/>
        <v>38890</v>
      </c>
      <c r="H15800" s="49">
        <f t="shared" si="2"/>
        <v>38546</v>
      </c>
    </row>
    <row r="15801">
      <c r="A15801" s="48" t="s">
        <v>8003</v>
      </c>
      <c r="B15801" s="38">
        <v>86239.0</v>
      </c>
      <c r="C15801" s="38" t="s">
        <v>3856</v>
      </c>
      <c r="D15801" s="38" t="str">
        <f>IFERROR(__xludf.DUMMYFUNCTION("REGEXREPLACE(C15801,""-\d+(.*)|--\d+(.*)"","""")"),"SAINTE-RADEGONDE")</f>
        <v>SAINTE-RADEGONDE</v>
      </c>
      <c r="E15801" s="38" t="s">
        <v>529</v>
      </c>
      <c r="F15801" s="38" t="s">
        <v>338</v>
      </c>
      <c r="G15801" s="49" t="str">
        <f t="shared" si="1"/>
        <v>86300</v>
      </c>
      <c r="H15801" s="49">
        <f t="shared" si="2"/>
        <v>86239</v>
      </c>
    </row>
    <row r="15802">
      <c r="A15802" s="48" t="s">
        <v>19064</v>
      </c>
      <c r="B15802" s="38">
        <v>61061.0</v>
      </c>
      <c r="C15802" s="38" t="s">
        <v>20174</v>
      </c>
      <c r="D15802" s="38" t="str">
        <f>IFERROR(__xludf.DUMMYFUNCTION("REGEXREPLACE(C15802,""-\d+(.*)|--\d+(.*)"","""")"),"BRETONCELLES")</f>
        <v>BRETONCELLES</v>
      </c>
      <c r="E15802" s="38" t="s">
        <v>141</v>
      </c>
      <c r="F15802" s="38" t="s">
        <v>138</v>
      </c>
      <c r="G15802" s="49" t="str">
        <f t="shared" si="1"/>
        <v>61110</v>
      </c>
      <c r="H15802" s="49">
        <f t="shared" si="2"/>
        <v>61061</v>
      </c>
    </row>
    <row r="15803">
      <c r="A15803" s="48" t="s">
        <v>325</v>
      </c>
      <c r="B15803" s="38">
        <v>8413.0</v>
      </c>
      <c r="C15803" s="38" t="s">
        <v>7401</v>
      </c>
      <c r="D15803" s="38" t="str">
        <f>IFERROR(__xludf.DUMMYFUNCTION("REGEXREPLACE(C15803,""-\d+(.*)|--\d+(.*)"","""")"),"SERAINCOURT")</f>
        <v>SERAINCOURT</v>
      </c>
      <c r="E15803" s="38" t="s">
        <v>327</v>
      </c>
      <c r="F15803" s="38" t="s">
        <v>130</v>
      </c>
      <c r="G15803" s="49" t="str">
        <f t="shared" si="1"/>
        <v>08220</v>
      </c>
      <c r="H15803" s="49" t="str">
        <f t="shared" si="2"/>
        <v>08413</v>
      </c>
    </row>
    <row r="15804">
      <c r="A15804" s="48" t="s">
        <v>20175</v>
      </c>
      <c r="B15804" s="38">
        <v>33174.0</v>
      </c>
      <c r="C15804" s="38" t="s">
        <v>20176</v>
      </c>
      <c r="D15804" s="38" t="str">
        <f>IFERROR(__xludf.DUMMYFUNCTION("REGEXREPLACE(C15804,""-\d+(.*)|--\d+(.*)"","""")"),"FRONSAC")</f>
        <v>FRONSAC</v>
      </c>
      <c r="E15804" s="38" t="s">
        <v>462</v>
      </c>
      <c r="F15804" s="38" t="s">
        <v>252</v>
      </c>
      <c r="G15804" s="49" t="str">
        <f t="shared" si="1"/>
        <v>33126</v>
      </c>
      <c r="H15804" s="49">
        <f t="shared" si="2"/>
        <v>33174</v>
      </c>
    </row>
    <row r="15805">
      <c r="A15805" s="48" t="s">
        <v>580</v>
      </c>
      <c r="B15805" s="38">
        <v>31146.0</v>
      </c>
      <c r="C15805" s="38" t="s">
        <v>20177</v>
      </c>
      <c r="D15805" s="38" t="str">
        <f>IFERROR(__xludf.DUMMYFUNCTION("REGEXREPLACE(C15805,""-\d+(.*)|--\d+(.*)"","""")"),"CIRES")</f>
        <v>CIRES</v>
      </c>
      <c r="E15805" s="38" t="s">
        <v>93</v>
      </c>
      <c r="F15805" s="38" t="s">
        <v>94</v>
      </c>
      <c r="G15805" s="49" t="str">
        <f t="shared" si="1"/>
        <v>31110</v>
      </c>
      <c r="H15805" s="49">
        <f t="shared" si="2"/>
        <v>31146</v>
      </c>
    </row>
    <row r="15806">
      <c r="A15806" s="48" t="s">
        <v>2835</v>
      </c>
      <c r="B15806" s="38">
        <v>18240.0</v>
      </c>
      <c r="C15806" s="38" t="s">
        <v>20178</v>
      </c>
      <c r="D15806" s="38" t="str">
        <f>IFERROR(__xludf.DUMMYFUNCTION("REGEXREPLACE(C15806,""-\d+(.*)|--\d+(.*)"","""")"),"SANCERGUES")</f>
        <v>SANCERGUES</v>
      </c>
      <c r="E15806" s="38" t="s">
        <v>504</v>
      </c>
      <c r="F15806" s="38" t="s">
        <v>123</v>
      </c>
      <c r="G15806" s="49" t="str">
        <f t="shared" si="1"/>
        <v>18140</v>
      </c>
      <c r="H15806" s="49">
        <f t="shared" si="2"/>
        <v>18240</v>
      </c>
    </row>
    <row r="15807">
      <c r="A15807" s="48" t="s">
        <v>6487</v>
      </c>
      <c r="B15807" s="38">
        <v>1293.0</v>
      </c>
      <c r="C15807" s="38" t="s">
        <v>20179</v>
      </c>
      <c r="D15807" s="38" t="str">
        <f>IFERROR(__xludf.DUMMYFUNCTION("REGEXREPLACE(C15807,""-\d+(.*)|--\d+(.*)"","""")"),"PEYRIAT")</f>
        <v>PEYRIAT</v>
      </c>
      <c r="E15807" s="38" t="s">
        <v>255</v>
      </c>
      <c r="F15807" s="38" t="s">
        <v>102</v>
      </c>
      <c r="G15807" s="49" t="str">
        <f t="shared" si="1"/>
        <v>01430</v>
      </c>
      <c r="H15807" s="49" t="str">
        <f t="shared" si="2"/>
        <v>01293</v>
      </c>
    </row>
    <row r="15808">
      <c r="A15808" s="48" t="s">
        <v>1400</v>
      </c>
      <c r="B15808" s="38">
        <v>21382.0</v>
      </c>
      <c r="C15808" s="38" t="s">
        <v>20180</v>
      </c>
      <c r="D15808" s="38" t="str">
        <f>IFERROR(__xludf.DUMMYFUNCTION("REGEXREPLACE(C15808,""-\d+(.*)|--\d+(.*)"","""")"),"MARCILLY-OGNY")</f>
        <v>MARCILLY-OGNY</v>
      </c>
      <c r="E15808" s="38" t="s">
        <v>105</v>
      </c>
      <c r="F15808" s="38" t="s">
        <v>106</v>
      </c>
      <c r="G15808" s="49" t="str">
        <f t="shared" si="1"/>
        <v>21320</v>
      </c>
      <c r="H15808" s="49">
        <f t="shared" si="2"/>
        <v>21382</v>
      </c>
    </row>
    <row r="15809">
      <c r="A15809" s="48" t="s">
        <v>3158</v>
      </c>
      <c r="B15809" s="38">
        <v>50618.0</v>
      </c>
      <c r="C15809" s="38" t="s">
        <v>20181</v>
      </c>
      <c r="D15809" s="38" t="str">
        <f>IFERROR(__xludf.DUMMYFUNCTION("REGEXREPLACE(C15809,""-\d+(.*)|--\d+(.*)"","""")"),"VAROUVILLE")</f>
        <v>VAROUVILLE</v>
      </c>
      <c r="E15809" s="38" t="s">
        <v>157</v>
      </c>
      <c r="F15809" s="38" t="s">
        <v>138</v>
      </c>
      <c r="G15809" s="49" t="str">
        <f t="shared" si="1"/>
        <v>50330</v>
      </c>
      <c r="H15809" s="49">
        <f t="shared" si="2"/>
        <v>50618</v>
      </c>
    </row>
    <row r="15810">
      <c r="A15810" s="48" t="s">
        <v>4295</v>
      </c>
      <c r="B15810" s="38">
        <v>40107.0</v>
      </c>
      <c r="C15810" s="38" t="s">
        <v>20182</v>
      </c>
      <c r="D15810" s="38" t="str">
        <f>IFERROR(__xludf.DUMMYFUNCTION("REGEXREPLACE(C15810,""-\d+(.*)|--\d+(.*)"","""")"),"GARROSSE")</f>
        <v>GARROSSE</v>
      </c>
      <c r="E15810" s="38" t="s">
        <v>281</v>
      </c>
      <c r="F15810" s="38" t="s">
        <v>252</v>
      </c>
      <c r="G15810" s="49" t="str">
        <f t="shared" si="1"/>
        <v>40110</v>
      </c>
      <c r="H15810" s="49">
        <f t="shared" si="2"/>
        <v>40107</v>
      </c>
    </row>
    <row r="15811">
      <c r="A15811" s="48" t="s">
        <v>2734</v>
      </c>
      <c r="B15811" s="38">
        <v>89380.0</v>
      </c>
      <c r="C15811" s="38" t="s">
        <v>20183</v>
      </c>
      <c r="D15811" s="38" t="str">
        <f>IFERROR(__xludf.DUMMYFUNCTION("REGEXREPLACE(C15811,""-\d+(.*)|--\d+(.*)"","""")"),"SAVIGNY-SUR-CLAIRIS")</f>
        <v>SAVIGNY-SUR-CLAIRIS</v>
      </c>
      <c r="E15811" s="38" t="s">
        <v>275</v>
      </c>
      <c r="F15811" s="38" t="s">
        <v>106</v>
      </c>
      <c r="G15811" s="49" t="str">
        <f t="shared" si="1"/>
        <v>89150</v>
      </c>
      <c r="H15811" s="49">
        <f t="shared" si="2"/>
        <v>89380</v>
      </c>
    </row>
    <row r="15812">
      <c r="A15812" s="48" t="s">
        <v>4752</v>
      </c>
      <c r="B15812" s="38">
        <v>33245.0</v>
      </c>
      <c r="C15812" s="38" t="s">
        <v>20184</v>
      </c>
      <c r="D15812" s="38" t="str">
        <f>IFERROR(__xludf.DUMMYFUNCTION("REGEXREPLACE(C15812,""-\d+(.*)|--\d+(.*)"","""")"),"LIGNAN-DE-BORDEAUX")</f>
        <v>LIGNAN-DE-BORDEAUX</v>
      </c>
      <c r="E15812" s="38" t="s">
        <v>462</v>
      </c>
      <c r="F15812" s="38" t="s">
        <v>252</v>
      </c>
      <c r="G15812" s="49" t="str">
        <f t="shared" si="1"/>
        <v>33360</v>
      </c>
      <c r="H15812" s="49">
        <f t="shared" si="2"/>
        <v>33245</v>
      </c>
    </row>
    <row r="15813">
      <c r="A15813" s="48" t="s">
        <v>3681</v>
      </c>
      <c r="B15813" s="38">
        <v>39567.0</v>
      </c>
      <c r="C15813" s="38" t="s">
        <v>20185</v>
      </c>
      <c r="D15813" s="38" t="str">
        <f>IFERROR(__xludf.DUMMYFUNCTION("REGEXREPLACE(C15813,""-\d+(.*)|--\d+(.*)"","""")"),"VILLENEUVE-SOUS-PYMONT")</f>
        <v>VILLENEUVE-SOUS-PYMONT</v>
      </c>
      <c r="E15813" s="38" t="s">
        <v>400</v>
      </c>
      <c r="F15813" s="38" t="s">
        <v>214</v>
      </c>
      <c r="G15813" s="49" t="str">
        <f t="shared" si="1"/>
        <v>39570</v>
      </c>
      <c r="H15813" s="49">
        <f t="shared" si="2"/>
        <v>39567</v>
      </c>
    </row>
    <row r="15814">
      <c r="A15814" s="48" t="s">
        <v>20186</v>
      </c>
      <c r="B15814" s="38">
        <v>23160.0</v>
      </c>
      <c r="C15814" s="38" t="s">
        <v>20187</v>
      </c>
      <c r="D15814" s="38" t="str">
        <f>IFERROR(__xludf.DUMMYFUNCTION("REGEXREPLACE(C15814,""-\d+(.*)|--\d+(.*)"","""")"),"RETERRE")</f>
        <v>RETERRE</v>
      </c>
      <c r="E15814" s="38" t="s">
        <v>97</v>
      </c>
      <c r="F15814" s="38" t="s">
        <v>98</v>
      </c>
      <c r="G15814" s="49" t="str">
        <f t="shared" si="1"/>
        <v>23110</v>
      </c>
      <c r="H15814" s="49">
        <f t="shared" si="2"/>
        <v>23160</v>
      </c>
    </row>
    <row r="15815">
      <c r="A15815" s="48" t="s">
        <v>127</v>
      </c>
      <c r="B15815" s="38">
        <v>51057.0</v>
      </c>
      <c r="C15815" s="38" t="s">
        <v>20188</v>
      </c>
      <c r="D15815" s="38" t="str">
        <f>IFERROR(__xludf.DUMMYFUNCTION("REGEXREPLACE(C15815,""-\d+(.*)|--\d+(.*)"","""")"),"BETTANCOURT-LA-LONGUE")</f>
        <v>BETTANCOURT-LA-LONGUE</v>
      </c>
      <c r="E15815" s="38" t="s">
        <v>129</v>
      </c>
      <c r="F15815" s="38" t="s">
        <v>130</v>
      </c>
      <c r="G15815" s="49" t="str">
        <f t="shared" si="1"/>
        <v>51330</v>
      </c>
      <c r="H15815" s="49">
        <f t="shared" si="2"/>
        <v>51057</v>
      </c>
    </row>
    <row r="15816">
      <c r="A15816" s="48" t="s">
        <v>1118</v>
      </c>
      <c r="B15816" s="38">
        <v>50372.0</v>
      </c>
      <c r="C15816" s="38" t="s">
        <v>20189</v>
      </c>
      <c r="D15816" s="38" t="str">
        <f>IFERROR(__xludf.DUMMYFUNCTION("REGEXREPLACE(C15816,""-\d+(.*)|--\d+(.*)"","""")"),"NEUFMESNIL")</f>
        <v>NEUFMESNIL</v>
      </c>
      <c r="E15816" s="38" t="s">
        <v>157</v>
      </c>
      <c r="F15816" s="38" t="s">
        <v>138</v>
      </c>
      <c r="G15816" s="49" t="str">
        <f t="shared" si="1"/>
        <v>50250</v>
      </c>
      <c r="H15816" s="49">
        <f t="shared" si="2"/>
        <v>50372</v>
      </c>
    </row>
    <row r="15817">
      <c r="A15817" s="48" t="s">
        <v>3329</v>
      </c>
      <c r="B15817" s="38">
        <v>60288.0</v>
      </c>
      <c r="C15817" s="38" t="s">
        <v>20190</v>
      </c>
      <c r="D15817" s="38" t="str">
        <f>IFERROR(__xludf.DUMMYFUNCTION("REGEXREPLACE(C15817,""-\d+(.*)|--\d+(.*)"","""")"),"GREMEVILLERS")</f>
        <v>GREMEVILLERS</v>
      </c>
      <c r="E15817" s="38" t="s">
        <v>112</v>
      </c>
      <c r="F15817" s="38" t="s">
        <v>113</v>
      </c>
      <c r="G15817" s="49" t="str">
        <f t="shared" si="1"/>
        <v>60380</v>
      </c>
      <c r="H15817" s="49">
        <f t="shared" si="2"/>
        <v>60288</v>
      </c>
    </row>
    <row r="15818">
      <c r="A15818" s="48" t="s">
        <v>2503</v>
      </c>
      <c r="B15818" s="38">
        <v>33161.0</v>
      </c>
      <c r="C15818" s="38" t="s">
        <v>20191</v>
      </c>
      <c r="D15818" s="38" t="str">
        <f>IFERROR(__xludf.DUMMYFUNCTION("REGEXREPLACE(C15818,""-\d+(.*)|--\d+(.*)"","""")"),"EYRANS")</f>
        <v>EYRANS</v>
      </c>
      <c r="E15818" s="38" t="s">
        <v>462</v>
      </c>
      <c r="F15818" s="38" t="s">
        <v>252</v>
      </c>
      <c r="G15818" s="49" t="str">
        <f t="shared" si="1"/>
        <v>33390</v>
      </c>
      <c r="H15818" s="49">
        <f t="shared" si="2"/>
        <v>33161</v>
      </c>
    </row>
    <row r="15819">
      <c r="A15819" s="48" t="s">
        <v>116</v>
      </c>
      <c r="B15819" s="38">
        <v>34278.0</v>
      </c>
      <c r="C15819" s="38" t="s">
        <v>4389</v>
      </c>
      <c r="D15819" s="38" t="str">
        <f>IFERROR(__xludf.DUMMYFUNCTION("REGEXREPLACE(C15819,""-\d+(.*)|--\d+(.*)"","""")"),"SAINT-MICHEL")</f>
        <v>SAINT-MICHEL</v>
      </c>
      <c r="E15819" s="38" t="s">
        <v>118</v>
      </c>
      <c r="F15819" s="38" t="s">
        <v>119</v>
      </c>
      <c r="G15819" s="49" t="str">
        <f t="shared" si="1"/>
        <v>34520</v>
      </c>
      <c r="H15819" s="49">
        <f t="shared" si="2"/>
        <v>34278</v>
      </c>
    </row>
    <row r="15820">
      <c r="A15820" s="48" t="s">
        <v>13997</v>
      </c>
      <c r="B15820" s="38">
        <v>32127.0</v>
      </c>
      <c r="C15820" s="38" t="s">
        <v>20192</v>
      </c>
      <c r="D15820" s="38" t="str">
        <f>IFERROR(__xludf.DUMMYFUNCTION("REGEXREPLACE(C15820,""-\d+(.*)|--\d+(.*)"","""")"),"ESTANG")</f>
        <v>ESTANG</v>
      </c>
      <c r="E15820" s="38" t="s">
        <v>440</v>
      </c>
      <c r="F15820" s="38" t="s">
        <v>94</v>
      </c>
      <c r="G15820" s="49" t="str">
        <f t="shared" si="1"/>
        <v>32240</v>
      </c>
      <c r="H15820" s="49">
        <f t="shared" si="2"/>
        <v>32127</v>
      </c>
    </row>
    <row r="15821">
      <c r="A15821" s="48" t="s">
        <v>18675</v>
      </c>
      <c r="B15821" s="38">
        <v>19269.0</v>
      </c>
      <c r="C15821" s="38" t="s">
        <v>20193</v>
      </c>
      <c r="D15821" s="38" t="str">
        <f>IFERROR(__xludf.DUMMYFUNCTION("REGEXREPLACE(C15821,""-\d+(.*)|--\d+(.*)"","""")"),"TREIGNAC")</f>
        <v>TREIGNAC</v>
      </c>
      <c r="E15821" s="38" t="s">
        <v>271</v>
      </c>
      <c r="F15821" s="38" t="s">
        <v>98</v>
      </c>
      <c r="G15821" s="49" t="str">
        <f t="shared" si="1"/>
        <v>19260</v>
      </c>
      <c r="H15821" s="49">
        <f t="shared" si="2"/>
        <v>19269</v>
      </c>
    </row>
    <row r="15822">
      <c r="A15822" s="48" t="s">
        <v>7360</v>
      </c>
      <c r="B15822" s="38">
        <v>86167.0</v>
      </c>
      <c r="C15822" s="38" t="s">
        <v>20194</v>
      </c>
      <c r="D15822" s="38" t="str">
        <f>IFERROR(__xludf.DUMMYFUNCTION("REGEXREPLACE(C15822,""-\d+(.*)|--\d+(.*)"","""")"),"MONTS-SUR-GUESNES")</f>
        <v>MONTS-SUR-GUESNES</v>
      </c>
      <c r="E15822" s="38" t="s">
        <v>529</v>
      </c>
      <c r="F15822" s="38" t="s">
        <v>338</v>
      </c>
      <c r="G15822" s="49" t="str">
        <f t="shared" si="1"/>
        <v>86420</v>
      </c>
      <c r="H15822" s="49">
        <f t="shared" si="2"/>
        <v>86167</v>
      </c>
    </row>
    <row r="15823">
      <c r="A15823" s="48" t="s">
        <v>2261</v>
      </c>
      <c r="B15823" s="38">
        <v>9015.0</v>
      </c>
      <c r="C15823" s="38" t="s">
        <v>20195</v>
      </c>
      <c r="D15823" s="38" t="str">
        <f>IFERROR(__xludf.DUMMYFUNCTION("REGEXREPLACE(C15823,""-\d+(.*)|--\d+(.*)"","""")"),"ARIGNAC")</f>
        <v>ARIGNAC</v>
      </c>
      <c r="E15823" s="38" t="s">
        <v>238</v>
      </c>
      <c r="F15823" s="38" t="s">
        <v>94</v>
      </c>
      <c r="G15823" s="49" t="str">
        <f t="shared" si="1"/>
        <v>09400</v>
      </c>
      <c r="H15823" s="49" t="str">
        <f t="shared" si="2"/>
        <v>09015</v>
      </c>
    </row>
    <row r="15824">
      <c r="A15824" s="48" t="s">
        <v>12539</v>
      </c>
      <c r="B15824" s="38">
        <v>14379.0</v>
      </c>
      <c r="C15824" s="38" t="s">
        <v>20196</v>
      </c>
      <c r="D15824" s="38" t="str">
        <f>IFERROR(__xludf.DUMMYFUNCTION("REGEXREPLACE(C15824,""-\d+(.*)|--\d+(.*)"","""")"),"LONGVILLERS")</f>
        <v>LONGVILLERS</v>
      </c>
      <c r="E15824" s="38" t="s">
        <v>137</v>
      </c>
      <c r="F15824" s="38" t="s">
        <v>138</v>
      </c>
      <c r="G15824" s="49" t="str">
        <f t="shared" si="1"/>
        <v>14310</v>
      </c>
      <c r="H15824" s="49">
        <f t="shared" si="2"/>
        <v>14379</v>
      </c>
    </row>
    <row r="15825">
      <c r="A15825" s="48" t="s">
        <v>3015</v>
      </c>
      <c r="B15825" s="38">
        <v>16392.0</v>
      </c>
      <c r="C15825" s="38" t="s">
        <v>2546</v>
      </c>
      <c r="D15825" s="38" t="str">
        <f>IFERROR(__xludf.DUMMYFUNCTION("REGEXREPLACE(C15825,""-\d+(.*)|--\d+(.*)"","""")"),"VALENCE")</f>
        <v>VALENCE</v>
      </c>
      <c r="E15825" s="38" t="s">
        <v>429</v>
      </c>
      <c r="F15825" s="38" t="s">
        <v>338</v>
      </c>
      <c r="G15825" s="49" t="str">
        <f t="shared" si="1"/>
        <v>16460</v>
      </c>
      <c r="H15825" s="49">
        <f t="shared" si="2"/>
        <v>16392</v>
      </c>
    </row>
    <row r="15826">
      <c r="A15826" s="48" t="s">
        <v>5209</v>
      </c>
      <c r="B15826" s="38">
        <v>54296.0</v>
      </c>
      <c r="C15826" s="38" t="s">
        <v>20197</v>
      </c>
      <c r="D15826" s="38" t="str">
        <f>IFERROR(__xludf.DUMMYFUNCTION("REGEXREPLACE(C15826,""-\d+(.*)|--\d+(.*)"","""")"),"LANEUVELOTTE")</f>
        <v>LANEUVELOTTE</v>
      </c>
      <c r="E15826" s="38" t="s">
        <v>548</v>
      </c>
      <c r="F15826" s="38" t="s">
        <v>195</v>
      </c>
      <c r="G15826" s="49" t="str">
        <f t="shared" si="1"/>
        <v>54280</v>
      </c>
      <c r="H15826" s="49">
        <f t="shared" si="2"/>
        <v>54296</v>
      </c>
    </row>
    <row r="15827">
      <c r="A15827" s="48" t="s">
        <v>20198</v>
      </c>
      <c r="B15827" s="38">
        <v>33179.0</v>
      </c>
      <c r="C15827" s="38" t="s">
        <v>20199</v>
      </c>
      <c r="D15827" s="38" t="str">
        <f>IFERROR(__xludf.DUMMYFUNCTION("REGEXREPLACE(C15827,""-\d+(.*)|--\d+(.*)"","""")"),"GALGON")</f>
        <v>GALGON</v>
      </c>
      <c r="E15827" s="38" t="s">
        <v>462</v>
      </c>
      <c r="F15827" s="38" t="s">
        <v>252</v>
      </c>
      <c r="G15827" s="49" t="str">
        <f t="shared" si="1"/>
        <v>33133</v>
      </c>
      <c r="H15827" s="49">
        <f t="shared" si="2"/>
        <v>33179</v>
      </c>
    </row>
    <row r="15828">
      <c r="A15828" s="48" t="s">
        <v>1785</v>
      </c>
      <c r="B15828" s="38">
        <v>42312.0</v>
      </c>
      <c r="C15828" s="38" t="s">
        <v>20200</v>
      </c>
      <c r="D15828" s="38" t="str">
        <f>IFERROR(__xludf.DUMMYFUNCTION("REGEXREPLACE(C15828,""-\d+(.*)|--\d+(.*)"","""")"),"LA TOURETTE")</f>
        <v>LA TOURETTE</v>
      </c>
      <c r="E15828" s="38" t="s">
        <v>166</v>
      </c>
      <c r="F15828" s="38" t="s">
        <v>102</v>
      </c>
      <c r="G15828" s="49" t="str">
        <f t="shared" si="1"/>
        <v>42380</v>
      </c>
      <c r="H15828" s="49">
        <f t="shared" si="2"/>
        <v>42312</v>
      </c>
    </row>
    <row r="15829">
      <c r="A15829" s="48" t="s">
        <v>7353</v>
      </c>
      <c r="B15829" s="38">
        <v>26373.0</v>
      </c>
      <c r="C15829" s="38" t="s">
        <v>20201</v>
      </c>
      <c r="D15829" s="38" t="str">
        <f>IFERROR(__xludf.DUMMYFUNCTION("REGEXREPLACE(C15829,""-\d+(.*)|--\d+(.*)"","""")"),"VESC")</f>
        <v>VESC</v>
      </c>
      <c r="E15829" s="38" t="s">
        <v>126</v>
      </c>
      <c r="F15829" s="38" t="s">
        <v>102</v>
      </c>
      <c r="G15829" s="49" t="str">
        <f t="shared" si="1"/>
        <v>26220</v>
      </c>
      <c r="H15829" s="49">
        <f t="shared" si="2"/>
        <v>26373</v>
      </c>
    </row>
    <row r="15830">
      <c r="A15830" s="48" t="s">
        <v>12066</v>
      </c>
      <c r="B15830" s="38">
        <v>56229.0</v>
      </c>
      <c r="C15830" s="38" t="s">
        <v>20202</v>
      </c>
      <c r="D15830" s="38" t="str">
        <f>IFERROR(__xludf.DUMMYFUNCTION("REGEXREPLACE(C15830,""-\d+(.*)|--\d+(.*)"","""")"),"SAINT-MARTIN-SUR-OUST")</f>
        <v>SAINT-MARTIN-SUR-OUST</v>
      </c>
      <c r="E15830" s="38" t="s">
        <v>173</v>
      </c>
      <c r="F15830" s="38" t="s">
        <v>90</v>
      </c>
      <c r="G15830" s="49" t="str">
        <f t="shared" si="1"/>
        <v>56200</v>
      </c>
      <c r="H15830" s="49">
        <f t="shared" si="2"/>
        <v>56229</v>
      </c>
    </row>
    <row r="15831">
      <c r="A15831" s="48" t="s">
        <v>9778</v>
      </c>
      <c r="B15831" s="38">
        <v>23103.0</v>
      </c>
      <c r="C15831" s="38" t="s">
        <v>20203</v>
      </c>
      <c r="D15831" s="38" t="str">
        <f>IFERROR(__xludf.DUMMYFUNCTION("REGEXREPLACE(C15831,""-\d+(.*)|--\d+(.*)"","""")"),"LAFAT")</f>
        <v>LAFAT</v>
      </c>
      <c r="E15831" s="38" t="s">
        <v>97</v>
      </c>
      <c r="F15831" s="38" t="s">
        <v>98</v>
      </c>
      <c r="G15831" s="49" t="str">
        <f t="shared" si="1"/>
        <v>23800</v>
      </c>
      <c r="H15831" s="49">
        <f t="shared" si="2"/>
        <v>23103</v>
      </c>
    </row>
    <row r="15832">
      <c r="A15832" s="48" t="s">
        <v>9621</v>
      </c>
      <c r="B15832" s="38">
        <v>43068.0</v>
      </c>
      <c r="C15832" s="38" t="s">
        <v>14819</v>
      </c>
      <c r="D15832" s="38" t="str">
        <f>IFERROR(__xludf.DUMMYFUNCTION("REGEXREPLACE(C15832,""-\d+(.*)|--\d+(.*)"","""")"),"CHAZELLES")</f>
        <v>CHAZELLES</v>
      </c>
      <c r="E15832" s="38" t="s">
        <v>332</v>
      </c>
      <c r="F15832" s="38" t="s">
        <v>161</v>
      </c>
      <c r="G15832" s="49" t="str">
        <f t="shared" si="1"/>
        <v>43300</v>
      </c>
      <c r="H15832" s="49">
        <f t="shared" si="2"/>
        <v>43068</v>
      </c>
    </row>
    <row r="15833">
      <c r="A15833" s="48" t="s">
        <v>2495</v>
      </c>
      <c r="B15833" s="38">
        <v>41233.0</v>
      </c>
      <c r="C15833" s="38" t="s">
        <v>20204</v>
      </c>
      <c r="D15833" s="38" t="str">
        <f>IFERROR(__xludf.DUMMYFUNCTION("REGEXREPLACE(C15833,""-\d+(.*)|--\d+(.*)"","""")"),"SAMBIN")</f>
        <v>SAMBIN</v>
      </c>
      <c r="E15833" s="38" t="s">
        <v>188</v>
      </c>
      <c r="F15833" s="38" t="s">
        <v>123</v>
      </c>
      <c r="G15833" s="49" t="str">
        <f t="shared" si="1"/>
        <v>41120</v>
      </c>
      <c r="H15833" s="49">
        <f t="shared" si="2"/>
        <v>41233</v>
      </c>
    </row>
    <row r="15834">
      <c r="A15834" s="48" t="s">
        <v>1437</v>
      </c>
      <c r="B15834" s="38">
        <v>39457.0</v>
      </c>
      <c r="C15834" s="38" t="s">
        <v>20205</v>
      </c>
      <c r="D15834" s="38" t="str">
        <f>IFERROR(__xludf.DUMMYFUNCTION("REGEXREPLACE(C15834,""-\d+(.*)|--\d+(.*)"","""")"),"LES REPOTS")</f>
        <v>LES REPOTS</v>
      </c>
      <c r="E15834" s="38" t="s">
        <v>400</v>
      </c>
      <c r="F15834" s="38" t="s">
        <v>214</v>
      </c>
      <c r="G15834" s="49" t="str">
        <f t="shared" si="1"/>
        <v>39140</v>
      </c>
      <c r="H15834" s="49">
        <f t="shared" si="2"/>
        <v>39457</v>
      </c>
    </row>
    <row r="15835">
      <c r="A15835" s="48" t="s">
        <v>1857</v>
      </c>
      <c r="B15835" s="38">
        <v>4051.0</v>
      </c>
      <c r="C15835" s="38" t="s">
        <v>20206</v>
      </c>
      <c r="D15835" s="38" t="str">
        <f>IFERROR(__xludf.DUMMYFUNCTION("REGEXREPLACE(C15835,""-\d+(.*)|--\d+(.*)"","""")"),"CHATEAUNEUF-MIRAVAIL")</f>
        <v>CHATEAUNEUF-MIRAVAIL</v>
      </c>
      <c r="E15835" s="38" t="s">
        <v>662</v>
      </c>
      <c r="F15835" s="38" t="s">
        <v>228</v>
      </c>
      <c r="G15835" s="49" t="str">
        <f t="shared" si="1"/>
        <v>04200</v>
      </c>
      <c r="H15835" s="49" t="str">
        <f t="shared" si="2"/>
        <v>04051</v>
      </c>
    </row>
    <row r="15836">
      <c r="A15836" s="48" t="s">
        <v>2334</v>
      </c>
      <c r="B15836" s="38">
        <v>46184.0</v>
      </c>
      <c r="C15836" s="38" t="s">
        <v>20207</v>
      </c>
      <c r="D15836" s="38" t="str">
        <f>IFERROR(__xludf.DUMMYFUNCTION("REGEXREPLACE(C15836,""-\d+(.*)|--\d+(.*)"","""")"),"MARMINIAC")</f>
        <v>MARMINIAC</v>
      </c>
      <c r="E15836" s="38" t="s">
        <v>185</v>
      </c>
      <c r="F15836" s="38" t="s">
        <v>94</v>
      </c>
      <c r="G15836" s="49" t="str">
        <f t="shared" si="1"/>
        <v>46250</v>
      </c>
      <c r="H15836" s="49">
        <f t="shared" si="2"/>
        <v>46184</v>
      </c>
    </row>
    <row r="15837">
      <c r="A15837" s="48" t="s">
        <v>4259</v>
      </c>
      <c r="B15837" s="38">
        <v>32292.0</v>
      </c>
      <c r="C15837" s="38" t="s">
        <v>20208</v>
      </c>
      <c r="D15837" s="38" t="str">
        <f>IFERROR(__xludf.DUMMYFUNCTION("REGEXREPLACE(C15837,""-\d+(.*)|--\d+(.*)"","""")"),"MOUCHAN")</f>
        <v>MOUCHAN</v>
      </c>
      <c r="E15837" s="38" t="s">
        <v>440</v>
      </c>
      <c r="F15837" s="38" t="s">
        <v>94</v>
      </c>
      <c r="G15837" s="49" t="str">
        <f t="shared" si="1"/>
        <v>32330</v>
      </c>
      <c r="H15837" s="49">
        <f t="shared" si="2"/>
        <v>32292</v>
      </c>
    </row>
    <row r="15838">
      <c r="A15838" s="48" t="s">
        <v>1632</v>
      </c>
      <c r="B15838" s="38">
        <v>63266.0</v>
      </c>
      <c r="C15838" s="38" t="s">
        <v>20209</v>
      </c>
      <c r="D15838" s="38" t="str">
        <f>IFERROR(__xludf.DUMMYFUNCTION("REGEXREPLACE(C15838,""-\d+(.*)|--\d+(.*)"","""")"),"ORSONNETTE")</f>
        <v>ORSONNETTE</v>
      </c>
      <c r="E15838" s="38" t="s">
        <v>353</v>
      </c>
      <c r="F15838" s="38" t="s">
        <v>161</v>
      </c>
      <c r="G15838" s="49" t="str">
        <f t="shared" si="1"/>
        <v>63340</v>
      </c>
      <c r="H15838" s="49">
        <f t="shared" si="2"/>
        <v>63266</v>
      </c>
    </row>
    <row r="15839">
      <c r="A15839" s="48" t="s">
        <v>6651</v>
      </c>
      <c r="B15839" s="38">
        <v>31194.0</v>
      </c>
      <c r="C15839" s="38" t="s">
        <v>20210</v>
      </c>
      <c r="D15839" s="38" t="str">
        <f>IFERROR(__xludf.DUMMYFUNCTION("REGEXREPLACE(C15839,""-\d+(.*)|--\d+(.*)"","""")"),"FRANCARVILLE")</f>
        <v>FRANCARVILLE</v>
      </c>
      <c r="E15839" s="38" t="s">
        <v>93</v>
      </c>
      <c r="F15839" s="38" t="s">
        <v>94</v>
      </c>
      <c r="G15839" s="49" t="str">
        <f t="shared" si="1"/>
        <v>31460</v>
      </c>
      <c r="H15839" s="49">
        <f t="shared" si="2"/>
        <v>31194</v>
      </c>
    </row>
    <row r="15840">
      <c r="A15840" s="48" t="s">
        <v>2495</v>
      </c>
      <c r="B15840" s="38">
        <v>41032.0</v>
      </c>
      <c r="C15840" s="38" t="s">
        <v>20211</v>
      </c>
      <c r="D15840" s="38" t="str">
        <f>IFERROR(__xludf.DUMMYFUNCTION("REGEXREPLACE(C15840,""-\d+(.*)|--\d+(.*)"","""")"),"CHAILLES")</f>
        <v>CHAILLES</v>
      </c>
      <c r="E15840" s="38" t="s">
        <v>188</v>
      </c>
      <c r="F15840" s="38" t="s">
        <v>123</v>
      </c>
      <c r="G15840" s="49" t="str">
        <f t="shared" si="1"/>
        <v>41120</v>
      </c>
      <c r="H15840" s="49">
        <f t="shared" si="2"/>
        <v>41032</v>
      </c>
    </row>
    <row r="15841">
      <c r="A15841" s="48" t="s">
        <v>1783</v>
      </c>
      <c r="B15841" s="38">
        <v>60199.0</v>
      </c>
      <c r="C15841" s="38" t="s">
        <v>20212</v>
      </c>
      <c r="D15841" s="38" t="str">
        <f>IFERROR(__xludf.DUMMYFUNCTION("REGEXREPLACE(C15841,""-\d+(.*)|--\d+(.*)"","""")"),"DOMELIERS")</f>
        <v>DOMELIERS</v>
      </c>
      <c r="E15841" s="38" t="s">
        <v>112</v>
      </c>
      <c r="F15841" s="38" t="s">
        <v>113</v>
      </c>
      <c r="G15841" s="49" t="str">
        <f t="shared" si="1"/>
        <v>60360</v>
      </c>
      <c r="H15841" s="49">
        <f t="shared" si="2"/>
        <v>60199</v>
      </c>
    </row>
    <row r="15842">
      <c r="A15842" s="48" t="s">
        <v>15775</v>
      </c>
      <c r="B15842" s="38">
        <v>62594.0</v>
      </c>
      <c r="C15842" s="38" t="s">
        <v>20213</v>
      </c>
      <c r="D15842" s="38" t="str">
        <f>IFERROR(__xludf.DUMMYFUNCTION("REGEXREPLACE(C15842,""-\d+(.*)|--\d+(.*)"","""")"),"MORY")</f>
        <v>MORY</v>
      </c>
      <c r="E15842" s="38" t="s">
        <v>109</v>
      </c>
      <c r="F15842" s="38" t="s">
        <v>86</v>
      </c>
      <c r="G15842" s="49" t="str">
        <f t="shared" si="1"/>
        <v>62159</v>
      </c>
      <c r="H15842" s="49">
        <f t="shared" si="2"/>
        <v>62594</v>
      </c>
    </row>
    <row r="15843">
      <c r="A15843" s="48" t="s">
        <v>99</v>
      </c>
      <c r="B15843" s="38">
        <v>38154.0</v>
      </c>
      <c r="C15843" s="38" t="s">
        <v>20214</v>
      </c>
      <c r="D15843" s="38" t="str">
        <f>IFERROR(__xludf.DUMMYFUNCTION("REGEXREPLACE(C15843,""-\d+(.*)|--\d+(.*)"","""")"),"ENTRAIGUES")</f>
        <v>ENTRAIGUES</v>
      </c>
      <c r="E15843" s="38" t="s">
        <v>101</v>
      </c>
      <c r="F15843" s="38" t="s">
        <v>102</v>
      </c>
      <c r="G15843" s="49" t="str">
        <f t="shared" si="1"/>
        <v>38740</v>
      </c>
      <c r="H15843" s="49">
        <f t="shared" si="2"/>
        <v>38154</v>
      </c>
    </row>
    <row r="15844">
      <c r="A15844" s="48" t="s">
        <v>5743</v>
      </c>
      <c r="B15844" s="38">
        <v>52325.0</v>
      </c>
      <c r="C15844" s="38" t="s">
        <v>20215</v>
      </c>
      <c r="D15844" s="38" t="str">
        <f>IFERROR(__xludf.DUMMYFUNCTION("REGEXREPLACE(C15844,""-\d+(.*)|--\d+(.*)"","""")"),"MILLIERES")</f>
        <v>MILLIERES</v>
      </c>
      <c r="E15844" s="38" t="s">
        <v>234</v>
      </c>
      <c r="F15844" s="38" t="s">
        <v>130</v>
      </c>
      <c r="G15844" s="49" t="str">
        <f t="shared" si="1"/>
        <v>52240</v>
      </c>
      <c r="H15844" s="49">
        <f t="shared" si="2"/>
        <v>52325</v>
      </c>
    </row>
    <row r="15845">
      <c r="A15845" s="48" t="s">
        <v>2042</v>
      </c>
      <c r="B15845" s="38">
        <v>80474.0</v>
      </c>
      <c r="C15845" s="38" t="s">
        <v>20216</v>
      </c>
      <c r="D15845" s="38" t="str">
        <f>IFERROR(__xludf.DUMMYFUNCTION("REGEXREPLACE(C15845,""-\d+(.*)|--\d+(.*)"","""")"),"LICOURT")</f>
        <v>LICOURT</v>
      </c>
      <c r="E15845" s="38" t="s">
        <v>224</v>
      </c>
      <c r="F15845" s="38" t="s">
        <v>113</v>
      </c>
      <c r="G15845" s="49" t="str">
        <f t="shared" si="1"/>
        <v>80320</v>
      </c>
      <c r="H15845" s="49">
        <f t="shared" si="2"/>
        <v>80474</v>
      </c>
    </row>
    <row r="15846">
      <c r="A15846" s="48" t="s">
        <v>4431</v>
      </c>
      <c r="B15846" s="38">
        <v>32230.0</v>
      </c>
      <c r="C15846" s="38" t="s">
        <v>20217</v>
      </c>
      <c r="D15846" s="38" t="str">
        <f>IFERROR(__xludf.DUMMYFUNCTION("REGEXREPLACE(C15846,""-\d+(.*)|--\d+(.*)"","""")"),"MANSENCOME")</f>
        <v>MANSENCOME</v>
      </c>
      <c r="E15846" s="38" t="s">
        <v>440</v>
      </c>
      <c r="F15846" s="38" t="s">
        <v>94</v>
      </c>
      <c r="G15846" s="49" t="str">
        <f t="shared" si="1"/>
        <v>32310</v>
      </c>
      <c r="H15846" s="49">
        <f t="shared" si="2"/>
        <v>32230</v>
      </c>
    </row>
    <row r="15847">
      <c r="A15847" s="48" t="s">
        <v>7804</v>
      </c>
      <c r="B15847" s="38">
        <v>51162.0</v>
      </c>
      <c r="C15847" s="38" t="s">
        <v>20218</v>
      </c>
      <c r="D15847" s="38" t="str">
        <f>IFERROR(__xludf.DUMMYFUNCTION("REGEXREPLACE(C15847,""-\d+(.*)|--\d+(.*)"","""")"),"CONFLANS-SUR-SEINE")</f>
        <v>CONFLANS-SUR-SEINE</v>
      </c>
      <c r="E15847" s="38" t="s">
        <v>129</v>
      </c>
      <c r="F15847" s="38" t="s">
        <v>130</v>
      </c>
      <c r="G15847" s="49" t="str">
        <f t="shared" si="1"/>
        <v>51260</v>
      </c>
      <c r="H15847" s="49">
        <f t="shared" si="2"/>
        <v>51162</v>
      </c>
    </row>
    <row r="15848">
      <c r="A15848" s="48" t="s">
        <v>1426</v>
      </c>
      <c r="B15848" s="38">
        <v>61130.0</v>
      </c>
      <c r="C15848" s="38" t="s">
        <v>20219</v>
      </c>
      <c r="D15848" s="38" t="str">
        <f>IFERROR(__xludf.DUMMYFUNCTION("REGEXREPLACE(C15848,""-\d+(.*)|--\d+(.*)"","""")"),"COURGEOUT")</f>
        <v>COURGEOUT</v>
      </c>
      <c r="E15848" s="38" t="s">
        <v>141</v>
      </c>
      <c r="F15848" s="38" t="s">
        <v>138</v>
      </c>
      <c r="G15848" s="49" t="str">
        <f t="shared" si="1"/>
        <v>61560</v>
      </c>
      <c r="H15848" s="49">
        <f t="shared" si="2"/>
        <v>61130</v>
      </c>
    </row>
    <row r="15849">
      <c r="A15849" s="48" t="s">
        <v>3317</v>
      </c>
      <c r="B15849" s="38">
        <v>1229.0</v>
      </c>
      <c r="C15849" s="38" t="s">
        <v>20220</v>
      </c>
      <c r="D15849" s="38" t="str">
        <f>IFERROR(__xludf.DUMMYFUNCTION("REGEXREPLACE(C15849,""-\d+(.*)|--\d+(.*)"","""")"),"MALAFRETAZ")</f>
        <v>MALAFRETAZ</v>
      </c>
      <c r="E15849" s="38" t="s">
        <v>255</v>
      </c>
      <c r="F15849" s="38" t="s">
        <v>102</v>
      </c>
      <c r="G15849" s="49" t="str">
        <f t="shared" si="1"/>
        <v>01340</v>
      </c>
      <c r="H15849" s="49" t="str">
        <f t="shared" si="2"/>
        <v>01229</v>
      </c>
    </row>
    <row r="15850">
      <c r="A15850" s="48" t="s">
        <v>20221</v>
      </c>
      <c r="B15850" s="38">
        <v>27220.0</v>
      </c>
      <c r="C15850" s="38" t="s">
        <v>712</v>
      </c>
      <c r="D15850" s="38" t="str">
        <f>IFERROR(__xludf.DUMMYFUNCTION("REGEXREPLACE(C15850,""-\d+(.*)|--\d+(.*)"","""")"),"EPIEDS")</f>
        <v>EPIEDS</v>
      </c>
      <c r="E15850" s="38" t="s">
        <v>241</v>
      </c>
      <c r="F15850" s="38" t="s">
        <v>134</v>
      </c>
      <c r="G15850" s="49" t="str">
        <f t="shared" si="1"/>
        <v>27730</v>
      </c>
      <c r="H15850" s="49">
        <f t="shared" si="2"/>
        <v>27220</v>
      </c>
    </row>
    <row r="15851">
      <c r="A15851" s="48" t="s">
        <v>7514</v>
      </c>
      <c r="B15851" s="38">
        <v>88387.0</v>
      </c>
      <c r="C15851" s="38" t="s">
        <v>20222</v>
      </c>
      <c r="D15851" s="38" t="str">
        <f>IFERROR(__xludf.DUMMYFUNCTION("REGEXREPLACE(C15851,""-\d+(.*)|--\d+(.*)"","""")"),"REMOVILLE")</f>
        <v>REMOVILLE</v>
      </c>
      <c r="E15851" s="38" t="s">
        <v>194</v>
      </c>
      <c r="F15851" s="38" t="s">
        <v>195</v>
      </c>
      <c r="G15851" s="49" t="str">
        <f t="shared" si="1"/>
        <v>88170</v>
      </c>
      <c r="H15851" s="49">
        <f t="shared" si="2"/>
        <v>88387</v>
      </c>
    </row>
    <row r="15852">
      <c r="A15852" s="48" t="s">
        <v>1268</v>
      </c>
      <c r="B15852" s="38">
        <v>8459.0</v>
      </c>
      <c r="C15852" s="38" t="s">
        <v>20223</v>
      </c>
      <c r="D15852" s="38" t="str">
        <f>IFERROR(__xludf.DUMMYFUNCTION("REGEXREPLACE(C15852,""-\d+(.*)|--\d+(.*)"","""")"),"TREMBLOIS-LES-CARIGNAN")</f>
        <v>TREMBLOIS-LES-CARIGNAN</v>
      </c>
      <c r="E15852" s="38" t="s">
        <v>327</v>
      </c>
      <c r="F15852" s="38" t="s">
        <v>130</v>
      </c>
      <c r="G15852" s="49" t="str">
        <f t="shared" si="1"/>
        <v>08110</v>
      </c>
      <c r="H15852" s="49" t="str">
        <f t="shared" si="2"/>
        <v>08459</v>
      </c>
    </row>
    <row r="15853">
      <c r="A15853" s="48" t="s">
        <v>1056</v>
      </c>
      <c r="B15853" s="38">
        <v>11338.0</v>
      </c>
      <c r="C15853" s="38" t="s">
        <v>20224</v>
      </c>
      <c r="D15853" s="38" t="str">
        <f>IFERROR(__xludf.DUMMYFUNCTION("REGEXREPLACE(C15853,""-\d+(.*)|--\d+(.*)"","""")"),"SAINT-COUAT-DU-RAZES")</f>
        <v>SAINT-COUAT-DU-RAZES</v>
      </c>
      <c r="E15853" s="38" t="s">
        <v>278</v>
      </c>
      <c r="F15853" s="38" t="s">
        <v>119</v>
      </c>
      <c r="G15853" s="49" t="str">
        <f t="shared" si="1"/>
        <v>11300</v>
      </c>
      <c r="H15853" s="49">
        <f t="shared" si="2"/>
        <v>11338</v>
      </c>
    </row>
    <row r="15854">
      <c r="A15854" s="48" t="s">
        <v>1284</v>
      </c>
      <c r="B15854" s="38">
        <v>9126.0</v>
      </c>
      <c r="C15854" s="38" t="s">
        <v>20225</v>
      </c>
      <c r="D15854" s="38" t="str">
        <f>IFERROR(__xludf.DUMMYFUNCTION("REGEXREPLACE(C15854,""-\d+(.*)|--\d+(.*)"","""")"),"FREYCHENET")</f>
        <v>FREYCHENET</v>
      </c>
      <c r="E15854" s="38" t="s">
        <v>238</v>
      </c>
      <c r="F15854" s="38" t="s">
        <v>94</v>
      </c>
      <c r="G15854" s="49" t="str">
        <f t="shared" si="1"/>
        <v>09300</v>
      </c>
      <c r="H15854" s="49" t="str">
        <f t="shared" si="2"/>
        <v>09126</v>
      </c>
    </row>
    <row r="15855">
      <c r="A15855" s="48" t="s">
        <v>20226</v>
      </c>
      <c r="B15855" s="38">
        <v>63247.0</v>
      </c>
      <c r="C15855" s="38" t="s">
        <v>20227</v>
      </c>
      <c r="D15855" s="38" t="str">
        <f>IFERROR(__xludf.DUMMYFUNCTION("REGEXREPLACE(C15855,""-\d+(.*)|--\d+(.*)"","""")"),"MUROL")</f>
        <v>MUROL</v>
      </c>
      <c r="E15855" s="38" t="s">
        <v>353</v>
      </c>
      <c r="F15855" s="38" t="s">
        <v>161</v>
      </c>
      <c r="G15855" s="49" t="str">
        <f t="shared" si="1"/>
        <v>63790</v>
      </c>
      <c r="H15855" s="49">
        <f t="shared" si="2"/>
        <v>63247</v>
      </c>
    </row>
    <row r="15856">
      <c r="A15856" s="48" t="s">
        <v>6278</v>
      </c>
      <c r="B15856" s="38">
        <v>3230.0</v>
      </c>
      <c r="C15856" s="38" t="s">
        <v>20228</v>
      </c>
      <c r="D15856" s="38" t="str">
        <f>IFERROR(__xludf.DUMMYFUNCTION("REGEXREPLACE(C15856,""-\d+(.*)|--\d+(.*)"","""")"),"SAINT-ETIENNE-DE-VICQ")</f>
        <v>SAINT-ETIENNE-DE-VICQ</v>
      </c>
      <c r="E15856" s="38" t="s">
        <v>160</v>
      </c>
      <c r="F15856" s="38" t="s">
        <v>161</v>
      </c>
      <c r="G15856" s="49" t="str">
        <f t="shared" si="1"/>
        <v>03300</v>
      </c>
      <c r="H15856" s="49" t="str">
        <f t="shared" si="2"/>
        <v>03230</v>
      </c>
    </row>
    <row r="15857">
      <c r="A15857" s="48" t="s">
        <v>8267</v>
      </c>
      <c r="B15857" s="38">
        <v>22112.0</v>
      </c>
      <c r="C15857" s="38" t="s">
        <v>20229</v>
      </c>
      <c r="D15857" s="38" t="str">
        <f>IFERROR(__xludf.DUMMYFUNCTION("REGEXREPLACE(C15857,""-\d+(.*)|--\d+(.*)"","""")"),"LANNEBERT")</f>
        <v>LANNEBERT</v>
      </c>
      <c r="E15857" s="38" t="s">
        <v>89</v>
      </c>
      <c r="F15857" s="38" t="s">
        <v>90</v>
      </c>
      <c r="G15857" s="49" t="str">
        <f t="shared" si="1"/>
        <v>22290</v>
      </c>
      <c r="H15857" s="49">
        <f t="shared" si="2"/>
        <v>22112</v>
      </c>
    </row>
    <row r="15858">
      <c r="A15858" s="48" t="s">
        <v>9905</v>
      </c>
      <c r="B15858" s="38">
        <v>65391.0</v>
      </c>
      <c r="C15858" s="38" t="s">
        <v>7412</v>
      </c>
      <c r="D15858" s="38" t="str">
        <f>IFERROR(__xludf.DUMMYFUNCTION("REGEXREPLACE(C15858,""-\d+(.*)|--\d+(.*)"","""")"),"SAINTE-MARIE")</f>
        <v>SAINTE-MARIE</v>
      </c>
      <c r="E15858" s="38" t="s">
        <v>200</v>
      </c>
      <c r="F15858" s="38" t="s">
        <v>94</v>
      </c>
      <c r="G15858" s="49" t="str">
        <f t="shared" si="1"/>
        <v>65370</v>
      </c>
      <c r="H15858" s="49">
        <f t="shared" si="2"/>
        <v>65391</v>
      </c>
    </row>
    <row r="15859">
      <c r="A15859" s="48" t="s">
        <v>5214</v>
      </c>
      <c r="B15859" s="38">
        <v>9110.0</v>
      </c>
      <c r="C15859" s="38" t="s">
        <v>20230</v>
      </c>
      <c r="D15859" s="38" t="str">
        <f>IFERROR(__xludf.DUMMYFUNCTION("REGEXREPLACE(C15859,""-\d+(.*)|--\d+(.*)"","""")"),"ENCOURTIECH")</f>
        <v>ENCOURTIECH</v>
      </c>
      <c r="E15859" s="38" t="s">
        <v>238</v>
      </c>
      <c r="F15859" s="38" t="s">
        <v>94</v>
      </c>
      <c r="G15859" s="49" t="str">
        <f t="shared" si="1"/>
        <v>09200</v>
      </c>
      <c r="H15859" s="49" t="str">
        <f t="shared" si="2"/>
        <v>09110</v>
      </c>
    </row>
    <row r="15860">
      <c r="A15860" s="48" t="s">
        <v>6951</v>
      </c>
      <c r="B15860" s="38">
        <v>58107.0</v>
      </c>
      <c r="C15860" s="38" t="s">
        <v>20231</v>
      </c>
      <c r="D15860" s="38" t="str">
        <f>IFERROR(__xludf.DUMMYFUNCTION("REGEXREPLACE(C15860,""-\d+(.*)|--\d+(.*)"","""")"),"DUN-SUR-GRANDRY")</f>
        <v>DUN-SUR-GRANDRY</v>
      </c>
      <c r="E15860" s="38" t="s">
        <v>219</v>
      </c>
      <c r="F15860" s="38" t="s">
        <v>106</v>
      </c>
      <c r="G15860" s="49" t="str">
        <f t="shared" si="1"/>
        <v>58110</v>
      </c>
      <c r="H15860" s="49">
        <f t="shared" si="2"/>
        <v>58107</v>
      </c>
    </row>
    <row r="15861">
      <c r="A15861" s="48" t="s">
        <v>2340</v>
      </c>
      <c r="B15861" s="38">
        <v>21679.0</v>
      </c>
      <c r="C15861" s="38" t="s">
        <v>20232</v>
      </c>
      <c r="D15861" s="38" t="str">
        <f>IFERROR(__xludf.DUMMYFUNCTION("REGEXREPLACE(C15861,""-\d+(.*)|--\d+(.*)"","""")"),"VIEILMOULIN")</f>
        <v>VIEILMOULIN</v>
      </c>
      <c r="E15861" s="38" t="s">
        <v>105</v>
      </c>
      <c r="F15861" s="38" t="s">
        <v>106</v>
      </c>
      <c r="G15861" s="49" t="str">
        <f t="shared" si="1"/>
        <v>21540</v>
      </c>
      <c r="H15861" s="49">
        <f t="shared" si="2"/>
        <v>21679</v>
      </c>
    </row>
    <row r="15862">
      <c r="A15862" s="48" t="s">
        <v>425</v>
      </c>
      <c r="B15862" s="38">
        <v>88064.0</v>
      </c>
      <c r="C15862" s="38" t="s">
        <v>20233</v>
      </c>
      <c r="D15862" s="38" t="str">
        <f>IFERROR(__xludf.DUMMYFUNCTION("REGEXREPLACE(C15862,""-\d+(.*)|--\d+(.*)"","""")"),"BOIS-DE-CHAMP")</f>
        <v>BOIS-DE-CHAMP</v>
      </c>
      <c r="E15862" s="38" t="s">
        <v>194</v>
      </c>
      <c r="F15862" s="38" t="s">
        <v>195</v>
      </c>
      <c r="G15862" s="49" t="str">
        <f t="shared" si="1"/>
        <v>88600</v>
      </c>
      <c r="H15862" s="49">
        <f t="shared" si="2"/>
        <v>88064</v>
      </c>
    </row>
    <row r="15863">
      <c r="A15863" s="48" t="s">
        <v>7852</v>
      </c>
      <c r="B15863" s="38">
        <v>38044.0</v>
      </c>
      <c r="C15863" s="38" t="s">
        <v>20234</v>
      </c>
      <c r="D15863" s="38" t="str">
        <f>IFERROR(__xludf.DUMMYFUNCTION("REGEXREPLACE(C15863,""-\d+(.*)|--\d+(.*)"","""")"),"BIOL")</f>
        <v>BIOL</v>
      </c>
      <c r="E15863" s="38" t="s">
        <v>101</v>
      </c>
      <c r="F15863" s="38" t="s">
        <v>102</v>
      </c>
      <c r="G15863" s="49" t="str">
        <f t="shared" si="1"/>
        <v>38690</v>
      </c>
      <c r="H15863" s="49">
        <f t="shared" si="2"/>
        <v>38044</v>
      </c>
    </row>
    <row r="15864">
      <c r="A15864" s="48" t="s">
        <v>4504</v>
      </c>
      <c r="B15864" s="38">
        <v>40262.0</v>
      </c>
      <c r="C15864" s="38" t="s">
        <v>20235</v>
      </c>
      <c r="D15864" s="38" t="str">
        <f>IFERROR(__xludf.DUMMYFUNCTION("REGEXREPLACE(C15864,""-\d+(.*)|--\d+(.*)"","""")"),"SAINT-GOR")</f>
        <v>SAINT-GOR</v>
      </c>
      <c r="E15864" s="38" t="s">
        <v>281</v>
      </c>
      <c r="F15864" s="38" t="s">
        <v>252</v>
      </c>
      <c r="G15864" s="49" t="str">
        <f t="shared" si="1"/>
        <v>40120</v>
      </c>
      <c r="H15864" s="49">
        <f t="shared" si="2"/>
        <v>40262</v>
      </c>
    </row>
    <row r="15865">
      <c r="A15865" s="48" t="s">
        <v>3129</v>
      </c>
      <c r="B15865" s="38">
        <v>18231.0</v>
      </c>
      <c r="C15865" s="38" t="s">
        <v>20236</v>
      </c>
      <c r="D15865" s="38" t="str">
        <f>IFERROR(__xludf.DUMMYFUNCTION("REGEXREPLACE(C15865,""-\d+(.*)|--\d+(.*)"","""")"),"SAINT-PIERRE-LES-ETIEUX")</f>
        <v>SAINT-PIERRE-LES-ETIEUX</v>
      </c>
      <c r="E15865" s="38" t="s">
        <v>504</v>
      </c>
      <c r="F15865" s="38" t="s">
        <v>123</v>
      </c>
      <c r="G15865" s="49" t="str">
        <f t="shared" si="1"/>
        <v>18210</v>
      </c>
      <c r="H15865" s="49">
        <f t="shared" si="2"/>
        <v>18231</v>
      </c>
    </row>
    <row r="15866">
      <c r="A15866" s="48" t="s">
        <v>5578</v>
      </c>
      <c r="B15866" s="38">
        <v>57193.0</v>
      </c>
      <c r="C15866" s="38" t="s">
        <v>15575</v>
      </c>
      <c r="D15866" s="38" t="str">
        <f>IFERROR(__xludf.DUMMYFUNCTION("REGEXREPLACE(C15866,""-\d+(.*)|--\d+(.*)"","""")"),"ENNERY")</f>
        <v>ENNERY</v>
      </c>
      <c r="E15866" s="38" t="s">
        <v>303</v>
      </c>
      <c r="F15866" s="38" t="s">
        <v>195</v>
      </c>
      <c r="G15866" s="49" t="str">
        <f t="shared" si="1"/>
        <v>57365</v>
      </c>
      <c r="H15866" s="49">
        <f t="shared" si="2"/>
        <v>57193</v>
      </c>
    </row>
    <row r="15867">
      <c r="A15867" s="48" t="s">
        <v>8265</v>
      </c>
      <c r="B15867" s="38">
        <v>28137.0</v>
      </c>
      <c r="C15867" s="38" t="s">
        <v>20237</v>
      </c>
      <c r="D15867" s="38" t="str">
        <f>IFERROR(__xludf.DUMMYFUNCTION("REGEXREPLACE(C15867,""-\d+(.*)|--\d+(.*)"","""")"),"ECROSNES")</f>
        <v>ECROSNES</v>
      </c>
      <c r="E15867" s="38" t="s">
        <v>300</v>
      </c>
      <c r="F15867" s="38" t="s">
        <v>123</v>
      </c>
      <c r="G15867" s="49" t="str">
        <f t="shared" si="1"/>
        <v>28320</v>
      </c>
      <c r="H15867" s="49">
        <f t="shared" si="2"/>
        <v>28137</v>
      </c>
    </row>
    <row r="15868">
      <c r="A15868" s="48" t="s">
        <v>2773</v>
      </c>
      <c r="B15868" s="38">
        <v>21161.0</v>
      </c>
      <c r="C15868" s="38" t="s">
        <v>20238</v>
      </c>
      <c r="D15868" s="38" t="str">
        <f>IFERROR(__xludf.DUMMYFUNCTION("REGEXREPLACE(C15868,""-\d+(.*)|--\d+(.*)"","""")"),"CHAUMONT-LE-BOIS")</f>
        <v>CHAUMONT-LE-BOIS</v>
      </c>
      <c r="E15868" s="38" t="s">
        <v>105</v>
      </c>
      <c r="F15868" s="38" t="s">
        <v>106</v>
      </c>
      <c r="G15868" s="49" t="str">
        <f t="shared" si="1"/>
        <v>21400</v>
      </c>
      <c r="H15868" s="49">
        <f t="shared" si="2"/>
        <v>21161</v>
      </c>
    </row>
    <row r="15869">
      <c r="A15869" s="48" t="s">
        <v>1932</v>
      </c>
      <c r="B15869" s="38">
        <v>70195.0</v>
      </c>
      <c r="C15869" s="38" t="s">
        <v>20239</v>
      </c>
      <c r="D15869" s="38" t="str">
        <f>IFERROR(__xludf.DUMMYFUNCTION("REGEXREPLACE(C15869,""-\d+(.*)|--\d+(.*)"","""")"),"DAMBENOIT-LES-COLOMBE")</f>
        <v>DAMBENOIT-LES-COLOMBE</v>
      </c>
      <c r="E15869" s="38" t="s">
        <v>956</v>
      </c>
      <c r="F15869" s="38" t="s">
        <v>214</v>
      </c>
      <c r="G15869" s="49" t="str">
        <f t="shared" si="1"/>
        <v>70200</v>
      </c>
      <c r="H15869" s="49">
        <f t="shared" si="2"/>
        <v>70195</v>
      </c>
    </row>
    <row r="15870">
      <c r="A15870" s="48" t="s">
        <v>816</v>
      </c>
      <c r="B15870" s="38">
        <v>11209.0</v>
      </c>
      <c r="C15870" s="38" t="s">
        <v>20240</v>
      </c>
      <c r="D15870" s="38" t="str">
        <f>IFERROR(__xludf.DUMMYFUNCTION("REGEXREPLACE(C15870,""-\d+(.*)|--\d+(.*)"","""")"),"LUC-SUR-AUDE")</f>
        <v>LUC-SUR-AUDE</v>
      </c>
      <c r="E15870" s="38" t="s">
        <v>278</v>
      </c>
      <c r="F15870" s="38" t="s">
        <v>119</v>
      </c>
      <c r="G15870" s="49" t="str">
        <f t="shared" si="1"/>
        <v>11190</v>
      </c>
      <c r="H15870" s="49">
        <f t="shared" si="2"/>
        <v>11209</v>
      </c>
    </row>
    <row r="15871">
      <c r="A15871" s="48" t="s">
        <v>5702</v>
      </c>
      <c r="B15871" s="38">
        <v>26283.0</v>
      </c>
      <c r="C15871" s="38" t="s">
        <v>20241</v>
      </c>
      <c r="D15871" s="38" t="str">
        <f>IFERROR(__xludf.DUMMYFUNCTION("REGEXREPLACE(C15871,""-\d+(.*)|--\d+(.*)"","""")"),"ROTTIER")</f>
        <v>ROTTIER</v>
      </c>
      <c r="E15871" s="38" t="s">
        <v>126</v>
      </c>
      <c r="F15871" s="38" t="s">
        <v>102</v>
      </c>
      <c r="G15871" s="49" t="str">
        <f t="shared" si="1"/>
        <v>26470</v>
      </c>
      <c r="H15871" s="49">
        <f t="shared" si="2"/>
        <v>26283</v>
      </c>
    </row>
    <row r="15872">
      <c r="A15872" s="48" t="s">
        <v>676</v>
      </c>
      <c r="B15872" s="38">
        <v>81239.0</v>
      </c>
      <c r="C15872" s="38" t="s">
        <v>20242</v>
      </c>
      <c r="D15872" s="38" t="str">
        <f>IFERROR(__xludf.DUMMYFUNCTION("REGEXREPLACE(C15872,""-\d+(.*)|--\d+(.*)"","""")"),"SAINT-AMANS-VALTORET")</f>
        <v>SAINT-AMANS-VALTORET</v>
      </c>
      <c r="E15872" s="38" t="s">
        <v>231</v>
      </c>
      <c r="F15872" s="38" t="s">
        <v>94</v>
      </c>
      <c r="G15872" s="49" t="str">
        <f t="shared" si="1"/>
        <v>81240</v>
      </c>
      <c r="H15872" s="49">
        <f t="shared" si="2"/>
        <v>81239</v>
      </c>
    </row>
    <row r="15873">
      <c r="A15873" s="48" t="s">
        <v>434</v>
      </c>
      <c r="B15873" s="38">
        <v>55544.0</v>
      </c>
      <c r="C15873" s="38" t="s">
        <v>20243</v>
      </c>
      <c r="D15873" s="38" t="str">
        <f>IFERROR(__xludf.DUMMYFUNCTION("REGEXREPLACE(C15873,""-\d+(.*)|--\d+(.*)"","""")"),"VELOSNES")</f>
        <v>VELOSNES</v>
      </c>
      <c r="E15873" s="38" t="s">
        <v>322</v>
      </c>
      <c r="F15873" s="38" t="s">
        <v>195</v>
      </c>
      <c r="G15873" s="49" t="str">
        <f t="shared" si="1"/>
        <v>55600</v>
      </c>
      <c r="H15873" s="49">
        <f t="shared" si="2"/>
        <v>55544</v>
      </c>
    </row>
    <row r="15874">
      <c r="A15874" s="48" t="s">
        <v>524</v>
      </c>
      <c r="B15874" s="38">
        <v>30260.0</v>
      </c>
      <c r="C15874" s="38" t="s">
        <v>20244</v>
      </c>
      <c r="D15874" s="38" t="str">
        <f>IFERROR(__xludf.DUMMYFUNCTION("REGEXREPLACE(C15874,""-\d+(.*)|--\d+(.*)"","""")"),"SAINT-HILAIRE-D'OZILHAN")</f>
        <v>SAINT-HILAIRE-D'OZILHAN</v>
      </c>
      <c r="E15874" s="38" t="s">
        <v>526</v>
      </c>
      <c r="F15874" s="38" t="s">
        <v>119</v>
      </c>
      <c r="G15874" s="49" t="str">
        <f t="shared" si="1"/>
        <v>30210</v>
      </c>
      <c r="H15874" s="49">
        <f t="shared" si="2"/>
        <v>30260</v>
      </c>
    </row>
    <row r="15875">
      <c r="A15875" s="48" t="s">
        <v>1004</v>
      </c>
      <c r="B15875" s="38">
        <v>71550.0</v>
      </c>
      <c r="C15875" s="38" t="s">
        <v>20245</v>
      </c>
      <c r="D15875" s="38" t="str">
        <f>IFERROR(__xludf.DUMMYFUNCTION("REGEXREPLACE(C15875,""-\d+(.*)|--\d+(.*)"","""")"),"UCHIZY")</f>
        <v>UCHIZY</v>
      </c>
      <c r="E15875" s="38" t="s">
        <v>344</v>
      </c>
      <c r="F15875" s="38" t="s">
        <v>106</v>
      </c>
      <c r="G15875" s="49" t="str">
        <f t="shared" si="1"/>
        <v>71700</v>
      </c>
      <c r="H15875" s="49">
        <f t="shared" si="2"/>
        <v>71550</v>
      </c>
    </row>
    <row r="15876">
      <c r="A15876" s="48" t="s">
        <v>3467</v>
      </c>
      <c r="B15876" s="38">
        <v>72061.0</v>
      </c>
      <c r="C15876" s="38" t="s">
        <v>20246</v>
      </c>
      <c r="D15876" s="38" t="str">
        <f>IFERROR(__xludf.DUMMYFUNCTION("REGEXREPLACE(C15876,""-\d+(.*)|--\d+(.*)"","""")"),"LA CHAPELLE-D'ALIGNE")</f>
        <v>LA CHAPELLE-D'ALIGNE</v>
      </c>
      <c r="E15876" s="38" t="s">
        <v>521</v>
      </c>
      <c r="F15876" s="38" t="s">
        <v>180</v>
      </c>
      <c r="G15876" s="49" t="str">
        <f t="shared" si="1"/>
        <v>72300</v>
      </c>
      <c r="H15876" s="49">
        <f t="shared" si="2"/>
        <v>72061</v>
      </c>
    </row>
    <row r="15877">
      <c r="A15877" s="48" t="s">
        <v>2229</v>
      </c>
      <c r="B15877" s="38">
        <v>64063.0</v>
      </c>
      <c r="C15877" s="38" t="s">
        <v>20247</v>
      </c>
      <c r="D15877" s="38" t="str">
        <f>IFERROR(__xludf.DUMMYFUNCTION("REGEXREPLACE(C15877,""-\d+(.*)|--\d+(.*)"","""")"),"ARZACQ-ARRAZIGUET")</f>
        <v>ARZACQ-ARRAZIGUET</v>
      </c>
      <c r="E15877" s="38" t="s">
        <v>268</v>
      </c>
      <c r="F15877" s="38" t="s">
        <v>252</v>
      </c>
      <c r="G15877" s="49" t="str">
        <f t="shared" si="1"/>
        <v>64410</v>
      </c>
      <c r="H15877" s="49">
        <f t="shared" si="2"/>
        <v>64063</v>
      </c>
    </row>
    <row r="15878">
      <c r="A15878" s="48" t="s">
        <v>4526</v>
      </c>
      <c r="B15878" s="38">
        <v>23119.0</v>
      </c>
      <c r="C15878" s="38" t="s">
        <v>20248</v>
      </c>
      <c r="D15878" s="38" t="str">
        <f>IFERROR(__xludf.DUMMYFUNCTION("REGEXREPLACE(C15878,""-\d+(.*)|--\d+(.*)"","""")"),"MALLERET")</f>
        <v>MALLERET</v>
      </c>
      <c r="E15878" s="38" t="s">
        <v>97</v>
      </c>
      <c r="F15878" s="38" t="s">
        <v>98</v>
      </c>
      <c r="G15878" s="49" t="str">
        <f t="shared" si="1"/>
        <v>23260</v>
      </c>
      <c r="H15878" s="49">
        <f t="shared" si="2"/>
        <v>23119</v>
      </c>
    </row>
    <row r="15879">
      <c r="A15879" s="48" t="s">
        <v>1686</v>
      </c>
      <c r="B15879" s="38">
        <v>51644.0</v>
      </c>
      <c r="C15879" s="38" t="s">
        <v>20249</v>
      </c>
      <c r="D15879" s="38" t="str">
        <f>IFERROR(__xludf.DUMMYFUNCTION("REGEXREPLACE(C15879,""-\d+(.*)|--\d+(.*)"","""")"),"VINCELLES")</f>
        <v>VINCELLES</v>
      </c>
      <c r="E15879" s="38" t="s">
        <v>129</v>
      </c>
      <c r="F15879" s="38" t="s">
        <v>130</v>
      </c>
      <c r="G15879" s="49" t="str">
        <f t="shared" si="1"/>
        <v>51700</v>
      </c>
      <c r="H15879" s="49">
        <f t="shared" si="2"/>
        <v>51644</v>
      </c>
    </row>
    <row r="15880">
      <c r="A15880" s="48" t="s">
        <v>13690</v>
      </c>
      <c r="B15880" s="38">
        <v>38528.0</v>
      </c>
      <c r="C15880" s="38" t="s">
        <v>20250</v>
      </c>
      <c r="D15880" s="38" t="str">
        <f>IFERROR(__xludf.DUMMYFUNCTION("REGEXREPLACE(C15880,""-\d+(.*)|--\d+(.*)"","""")"),"VAULNAVEYS-LE-BAS")</f>
        <v>VAULNAVEYS-LE-BAS</v>
      </c>
      <c r="E15880" s="38" t="s">
        <v>101</v>
      </c>
      <c r="F15880" s="38" t="s">
        <v>102</v>
      </c>
      <c r="G15880" s="49" t="str">
        <f t="shared" si="1"/>
        <v>38410</v>
      </c>
      <c r="H15880" s="49">
        <f t="shared" si="2"/>
        <v>38528</v>
      </c>
    </row>
    <row r="15881">
      <c r="A15881" s="48" t="s">
        <v>20251</v>
      </c>
      <c r="B15881" s="38">
        <v>44206.0</v>
      </c>
      <c r="C15881" s="38" t="s">
        <v>20252</v>
      </c>
      <c r="D15881" s="38" t="str">
        <f>IFERROR(__xludf.DUMMYFUNCTION("REGEXREPLACE(C15881,""-\d+(.*)|--\d+(.*)"","""")"),"TOUVOIS")</f>
        <v>TOUVOIS</v>
      </c>
      <c r="E15881" s="38" t="s">
        <v>759</v>
      </c>
      <c r="F15881" s="38" t="s">
        <v>180</v>
      </c>
      <c r="G15881" s="49" t="str">
        <f t="shared" si="1"/>
        <v>44650</v>
      </c>
      <c r="H15881" s="49">
        <f t="shared" si="2"/>
        <v>44206</v>
      </c>
    </row>
    <row r="15882">
      <c r="A15882" s="48" t="s">
        <v>2592</v>
      </c>
      <c r="B15882" s="38">
        <v>34194.0</v>
      </c>
      <c r="C15882" s="38" t="s">
        <v>20253</v>
      </c>
      <c r="D15882" s="38" t="str">
        <f>IFERROR(__xludf.DUMMYFUNCTION("REGEXREPLACE(C15882,""-\d+(.*)|--\d+(.*)"","""")"),"PAULHAN")</f>
        <v>PAULHAN</v>
      </c>
      <c r="E15882" s="38" t="s">
        <v>118</v>
      </c>
      <c r="F15882" s="38" t="s">
        <v>119</v>
      </c>
      <c r="G15882" s="49" t="str">
        <f t="shared" si="1"/>
        <v>34230</v>
      </c>
      <c r="H15882" s="49">
        <f t="shared" si="2"/>
        <v>34194</v>
      </c>
    </row>
    <row r="15883">
      <c r="A15883" s="48" t="s">
        <v>18308</v>
      </c>
      <c r="B15883" s="38">
        <v>78683.0</v>
      </c>
      <c r="C15883" s="38" t="s">
        <v>20254</v>
      </c>
      <c r="D15883" s="38" t="str">
        <f>IFERROR(__xludf.DUMMYFUNCTION("REGEXREPLACE(C15883,""-\d+(.*)|--\d+(.*)"","""")"),"VILLIERS-SAINT-FREDERIC")</f>
        <v>VILLIERS-SAINT-FREDERIC</v>
      </c>
      <c r="E15883" s="38" t="s">
        <v>362</v>
      </c>
      <c r="F15883" s="38" t="s">
        <v>245</v>
      </c>
      <c r="G15883" s="49" t="str">
        <f t="shared" si="1"/>
        <v>78640</v>
      </c>
      <c r="H15883" s="49">
        <f t="shared" si="2"/>
        <v>78683</v>
      </c>
    </row>
    <row r="15884">
      <c r="A15884" s="48" t="s">
        <v>20255</v>
      </c>
      <c r="B15884" s="38">
        <v>12174.0</v>
      </c>
      <c r="C15884" s="38" t="s">
        <v>20256</v>
      </c>
      <c r="D15884" s="38" t="str">
        <f>IFERROR(__xludf.DUMMYFUNCTION("REGEXREPLACE(C15884,""-\d+(.*)|--\d+(.*)"","""")"),"OLEMPS")</f>
        <v>OLEMPS</v>
      </c>
      <c r="E15884" s="38" t="s">
        <v>465</v>
      </c>
      <c r="F15884" s="38" t="s">
        <v>94</v>
      </c>
      <c r="G15884" s="49" t="str">
        <f t="shared" si="1"/>
        <v>12510</v>
      </c>
      <c r="H15884" s="49">
        <f t="shared" si="2"/>
        <v>12174</v>
      </c>
    </row>
    <row r="15885">
      <c r="A15885" s="48" t="s">
        <v>2688</v>
      </c>
      <c r="B15885" s="38">
        <v>36187.0</v>
      </c>
      <c r="C15885" s="38" t="s">
        <v>20257</v>
      </c>
      <c r="D15885" s="38" t="str">
        <f>IFERROR(__xludf.DUMMYFUNCTION("REGEXREPLACE(C15885,""-\d+(.*)|--\d+(.*)"","""")"),"SAINT-CIVRAN")</f>
        <v>SAINT-CIVRAN</v>
      </c>
      <c r="E15885" s="38" t="s">
        <v>258</v>
      </c>
      <c r="F15885" s="38" t="s">
        <v>123</v>
      </c>
      <c r="G15885" s="49" t="str">
        <f t="shared" si="1"/>
        <v>36170</v>
      </c>
      <c r="H15885" s="49">
        <f t="shared" si="2"/>
        <v>36187</v>
      </c>
    </row>
    <row r="15886">
      <c r="A15886" s="48" t="s">
        <v>330</v>
      </c>
      <c r="B15886" s="38">
        <v>43156.0</v>
      </c>
      <c r="C15886" s="38" t="s">
        <v>20258</v>
      </c>
      <c r="D15886" s="38" t="str">
        <f>IFERROR(__xludf.DUMMYFUNCTION("REGEXREPLACE(C15886,""-\d+(.*)|--\d+(.*)"","""")"),"PRESAILLES")</f>
        <v>PRESAILLES</v>
      </c>
      <c r="E15886" s="38" t="s">
        <v>332</v>
      </c>
      <c r="F15886" s="38" t="s">
        <v>161</v>
      </c>
      <c r="G15886" s="49" t="str">
        <f t="shared" si="1"/>
        <v>43150</v>
      </c>
      <c r="H15886" s="49">
        <f t="shared" si="2"/>
        <v>43156</v>
      </c>
    </row>
    <row r="15887">
      <c r="A15887" s="48" t="s">
        <v>7501</v>
      </c>
      <c r="B15887" s="38">
        <v>9101.0</v>
      </c>
      <c r="C15887" s="38" t="s">
        <v>20259</v>
      </c>
      <c r="D15887" s="38" t="str">
        <f>IFERROR(__xludf.DUMMYFUNCTION("REGEXREPLACE(C15887,""-\d+(.*)|--\d+(.*)"","""")"),"COUSSA")</f>
        <v>COUSSA</v>
      </c>
      <c r="E15887" s="38" t="s">
        <v>238</v>
      </c>
      <c r="F15887" s="38" t="s">
        <v>94</v>
      </c>
      <c r="G15887" s="49" t="str">
        <f t="shared" si="1"/>
        <v>09120</v>
      </c>
      <c r="H15887" s="49" t="str">
        <f t="shared" si="2"/>
        <v>09101</v>
      </c>
    </row>
    <row r="15888">
      <c r="A15888" s="48" t="s">
        <v>20260</v>
      </c>
      <c r="B15888" s="38">
        <v>13106.0</v>
      </c>
      <c r="C15888" s="38" t="s">
        <v>20261</v>
      </c>
      <c r="D15888" s="38" t="str">
        <f>IFERROR(__xludf.DUMMYFUNCTION("REGEXREPLACE(C15888,""-\d+(.*)|--\d+(.*)"","""")"),"SEPTEMES-LES-VALLONS")</f>
        <v>SEPTEMES-LES-VALLONS</v>
      </c>
      <c r="E15888" s="38" t="s">
        <v>980</v>
      </c>
      <c r="F15888" s="38" t="s">
        <v>228</v>
      </c>
      <c r="G15888" s="49" t="str">
        <f t="shared" si="1"/>
        <v>13240</v>
      </c>
      <c r="H15888" s="49">
        <f t="shared" si="2"/>
        <v>13106</v>
      </c>
    </row>
    <row r="15889">
      <c r="A15889" s="48" t="s">
        <v>5753</v>
      </c>
      <c r="B15889" s="38">
        <v>72201.0</v>
      </c>
      <c r="C15889" s="38" t="s">
        <v>20262</v>
      </c>
      <c r="D15889" s="38" t="str">
        <f>IFERROR(__xludf.DUMMYFUNCTION("REGEXREPLACE(C15889,""-\d+(.*)|--\d+(.*)"","""")"),"MONCE-EN-SAOSNOIS")</f>
        <v>MONCE-EN-SAOSNOIS</v>
      </c>
      <c r="E15889" s="38" t="s">
        <v>521</v>
      </c>
      <c r="F15889" s="38" t="s">
        <v>180</v>
      </c>
      <c r="G15889" s="49" t="str">
        <f t="shared" si="1"/>
        <v>72260</v>
      </c>
      <c r="H15889" s="49">
        <f t="shared" si="2"/>
        <v>72201</v>
      </c>
    </row>
    <row r="15890">
      <c r="A15890" s="48" t="s">
        <v>3305</v>
      </c>
      <c r="B15890" s="38">
        <v>24517.0</v>
      </c>
      <c r="C15890" s="38" t="s">
        <v>20263</v>
      </c>
      <c r="D15890" s="38" t="str">
        <f>IFERROR(__xludf.DUMMYFUNCTION("REGEXREPLACE(C15890,""-\d+(.*)|--\d+(.*)"","""")"),"SALLES-DE-BELVES")</f>
        <v>SALLES-DE-BELVES</v>
      </c>
      <c r="E15890" s="38" t="s">
        <v>261</v>
      </c>
      <c r="F15890" s="38" t="s">
        <v>252</v>
      </c>
      <c r="G15890" s="49" t="str">
        <f t="shared" si="1"/>
        <v>24170</v>
      </c>
      <c r="H15890" s="49">
        <f t="shared" si="2"/>
        <v>24517</v>
      </c>
    </row>
    <row r="15891">
      <c r="A15891" s="48" t="s">
        <v>832</v>
      </c>
      <c r="B15891" s="38">
        <v>12026.0</v>
      </c>
      <c r="C15891" s="38" t="s">
        <v>20264</v>
      </c>
      <c r="D15891" s="38" t="str">
        <f>IFERROR(__xludf.DUMMYFUNCTION("REGEXREPLACE(C15891,""-\d+(.*)|--\d+(.*)"","""")"),"BERTHOLENE")</f>
        <v>BERTHOLENE</v>
      </c>
      <c r="E15891" s="38" t="s">
        <v>465</v>
      </c>
      <c r="F15891" s="38" t="s">
        <v>94</v>
      </c>
      <c r="G15891" s="49" t="str">
        <f t="shared" si="1"/>
        <v>12310</v>
      </c>
      <c r="H15891" s="49">
        <f t="shared" si="2"/>
        <v>12026</v>
      </c>
    </row>
    <row r="15892">
      <c r="A15892" s="48" t="s">
        <v>20265</v>
      </c>
      <c r="B15892" s="38">
        <v>12238.0</v>
      </c>
      <c r="C15892" s="38" t="s">
        <v>20266</v>
      </c>
      <c r="D15892" s="38" t="str">
        <f>IFERROR(__xludf.DUMMYFUNCTION("REGEXREPLACE(C15892,""-\d+(.*)|--\d+(.*)"","""")"),"SAINT-LEONS")</f>
        <v>SAINT-LEONS</v>
      </c>
      <c r="E15892" s="38" t="s">
        <v>465</v>
      </c>
      <c r="F15892" s="38" t="s">
        <v>94</v>
      </c>
      <c r="G15892" s="49" t="str">
        <f t="shared" si="1"/>
        <v>12780</v>
      </c>
      <c r="H15892" s="49">
        <f t="shared" si="2"/>
        <v>12238</v>
      </c>
    </row>
    <row r="15893">
      <c r="A15893" s="48" t="s">
        <v>624</v>
      </c>
      <c r="B15893" s="38">
        <v>67421.0</v>
      </c>
      <c r="C15893" s="38" t="s">
        <v>20267</v>
      </c>
      <c r="D15893" s="38" t="str">
        <f>IFERROR(__xludf.DUMMYFUNCTION("REGEXREPLACE(C15893,""-\d+(.*)|--\d+(.*)"","""")"),"SAALES")</f>
        <v>SAALES</v>
      </c>
      <c r="E15893" s="38" t="s">
        <v>210</v>
      </c>
      <c r="F15893" s="38" t="s">
        <v>151</v>
      </c>
      <c r="G15893" s="49" t="str">
        <f t="shared" si="1"/>
        <v>67420</v>
      </c>
      <c r="H15893" s="49">
        <f t="shared" si="2"/>
        <v>67421</v>
      </c>
    </row>
    <row r="15894">
      <c r="A15894" s="48" t="s">
        <v>7754</v>
      </c>
      <c r="B15894" s="38">
        <v>23219.0</v>
      </c>
      <c r="C15894" s="38" t="s">
        <v>20268</v>
      </c>
      <c r="D15894" s="38" t="str">
        <f>IFERROR(__xludf.DUMMYFUNCTION("REGEXREPLACE(C15894,""-\d+(.*)|--\d+(.*)"","""")"),"SAINT-MAURICE-LA-SOUTERRAINE")</f>
        <v>SAINT-MAURICE-LA-SOUTERRAINE</v>
      </c>
      <c r="E15894" s="38" t="s">
        <v>97</v>
      </c>
      <c r="F15894" s="38" t="s">
        <v>98</v>
      </c>
      <c r="G15894" s="49" t="str">
        <f t="shared" si="1"/>
        <v>23300</v>
      </c>
      <c r="H15894" s="49">
        <f t="shared" si="2"/>
        <v>23219</v>
      </c>
    </row>
    <row r="15895">
      <c r="A15895" s="48" t="s">
        <v>2547</v>
      </c>
      <c r="B15895" s="38">
        <v>8332.0</v>
      </c>
      <c r="C15895" s="38" t="s">
        <v>20269</v>
      </c>
      <c r="D15895" s="38" t="str">
        <f>IFERROR(__xludf.DUMMYFUNCTION("REGEXREPLACE(C15895,""-\d+(.*)|--\d+(.*)"","""")"),"OCHES")</f>
        <v>OCHES</v>
      </c>
      <c r="E15895" s="38" t="s">
        <v>327</v>
      </c>
      <c r="F15895" s="38" t="s">
        <v>130</v>
      </c>
      <c r="G15895" s="49" t="str">
        <f t="shared" si="1"/>
        <v>08240</v>
      </c>
      <c r="H15895" s="49" t="str">
        <f t="shared" si="2"/>
        <v>08332</v>
      </c>
    </row>
    <row r="15896">
      <c r="A15896" s="48" t="s">
        <v>356</v>
      </c>
      <c r="B15896" s="38">
        <v>7136.0</v>
      </c>
      <c r="C15896" s="38" t="s">
        <v>20270</v>
      </c>
      <c r="D15896" s="38" t="str">
        <f>IFERROR(__xludf.DUMMYFUNCTION("REGEXREPLACE(C15896,""-\d+(.*)|--\d+(.*)"","""")"),"LAVEYRUNE")</f>
        <v>LAVEYRUNE</v>
      </c>
      <c r="E15896" s="38" t="s">
        <v>144</v>
      </c>
      <c r="F15896" s="38" t="s">
        <v>102</v>
      </c>
      <c r="G15896" s="49" t="str">
        <f t="shared" si="1"/>
        <v>48250</v>
      </c>
      <c r="H15896" s="49" t="str">
        <f t="shared" si="2"/>
        <v>07136</v>
      </c>
    </row>
    <row r="15897">
      <c r="A15897" s="48" t="s">
        <v>4926</v>
      </c>
      <c r="B15897" s="38">
        <v>14035.0</v>
      </c>
      <c r="C15897" s="38" t="s">
        <v>20271</v>
      </c>
      <c r="D15897" s="38" t="str">
        <f>IFERROR(__xludf.DUMMYFUNCTION("REGEXREPLACE(C15897,""-\d+(.*)|--\d+(.*)"","""")"),"BALLEROY")</f>
        <v>BALLEROY</v>
      </c>
      <c r="E15897" s="38" t="s">
        <v>137</v>
      </c>
      <c r="F15897" s="38" t="s">
        <v>138</v>
      </c>
      <c r="G15897" s="49" t="str">
        <f t="shared" si="1"/>
        <v>14490</v>
      </c>
      <c r="H15897" s="49">
        <f t="shared" si="2"/>
        <v>14035</v>
      </c>
    </row>
    <row r="15898">
      <c r="A15898" s="48" t="s">
        <v>5268</v>
      </c>
      <c r="B15898" s="38">
        <v>49331.0</v>
      </c>
      <c r="C15898" s="38" t="s">
        <v>20272</v>
      </c>
      <c r="D15898" s="38" t="str">
        <f>IFERROR(__xludf.DUMMYFUNCTION("REGEXREPLACE(C15898,""-\d+(.*)|--\d+(.*)"","""")"),"SEGRE")</f>
        <v>SEGRE</v>
      </c>
      <c r="E15898" s="38" t="s">
        <v>653</v>
      </c>
      <c r="F15898" s="38" t="s">
        <v>180</v>
      </c>
      <c r="G15898" s="49" t="str">
        <f t="shared" si="1"/>
        <v>49500</v>
      </c>
      <c r="H15898" s="49">
        <f t="shared" si="2"/>
        <v>49331</v>
      </c>
    </row>
    <row r="15899">
      <c r="A15899" s="48" t="s">
        <v>14991</v>
      </c>
      <c r="B15899" s="38">
        <v>74191.0</v>
      </c>
      <c r="C15899" s="38" t="s">
        <v>20273</v>
      </c>
      <c r="D15899" s="38" t="str">
        <f>IFERROR(__xludf.DUMMYFUNCTION("REGEXREPLACE(C15899,""-\d+(.*)|--\d+(.*)"","""")"),"MORZINE")</f>
        <v>MORZINE</v>
      </c>
      <c r="E15899" s="38" t="s">
        <v>319</v>
      </c>
      <c r="F15899" s="38" t="s">
        <v>102</v>
      </c>
      <c r="G15899" s="49" t="str">
        <f t="shared" si="1"/>
        <v>74110</v>
      </c>
      <c r="H15899" s="49">
        <f t="shared" si="2"/>
        <v>74191</v>
      </c>
    </row>
    <row r="15900">
      <c r="A15900" s="48" t="s">
        <v>16223</v>
      </c>
      <c r="B15900" s="38">
        <v>60119.0</v>
      </c>
      <c r="C15900" s="38" t="s">
        <v>20274</v>
      </c>
      <c r="D15900" s="38" t="str">
        <f>IFERROR(__xludf.DUMMYFUNCTION("REGEXREPLACE(C15900,""-\d+(.*)|--\d+(.*)"","""")"),"CAMBRONNE-LES-RIBECOURT")</f>
        <v>CAMBRONNE-LES-RIBECOURT</v>
      </c>
      <c r="E15900" s="38" t="s">
        <v>112</v>
      </c>
      <c r="F15900" s="38" t="s">
        <v>113</v>
      </c>
      <c r="G15900" s="49" t="str">
        <f t="shared" si="1"/>
        <v>60170</v>
      </c>
      <c r="H15900" s="49">
        <f t="shared" si="2"/>
        <v>60119</v>
      </c>
    </row>
    <row r="15901">
      <c r="A15901" s="48" t="s">
        <v>1675</v>
      </c>
      <c r="B15901" s="38">
        <v>45251.0</v>
      </c>
      <c r="C15901" s="38" t="s">
        <v>20275</v>
      </c>
      <c r="D15901" s="38" t="str">
        <f>IFERROR(__xludf.DUMMYFUNCTION("REGEXREPLACE(C15901,""-\d+(.*)|--\d+(.*)"","""")"),"PIERREFITTE-ES-BOIS")</f>
        <v>PIERREFITTE-ES-BOIS</v>
      </c>
      <c r="E15901" s="38" t="s">
        <v>122</v>
      </c>
      <c r="F15901" s="38" t="s">
        <v>123</v>
      </c>
      <c r="G15901" s="49" t="str">
        <f t="shared" si="1"/>
        <v>45360</v>
      </c>
      <c r="H15901" s="49">
        <f t="shared" si="2"/>
        <v>45251</v>
      </c>
    </row>
    <row r="15902">
      <c r="A15902" s="48" t="s">
        <v>380</v>
      </c>
      <c r="B15902" s="38">
        <v>80127.0</v>
      </c>
      <c r="C15902" s="38" t="s">
        <v>20276</v>
      </c>
      <c r="D15902" s="38" t="str">
        <f>IFERROR(__xludf.DUMMYFUNCTION("REGEXREPLACE(C15902,""-\d+(.*)|--\d+(.*)"","""")"),"BOUVAINCOURT-SUR-BRESLE")</f>
        <v>BOUVAINCOURT-SUR-BRESLE</v>
      </c>
      <c r="E15902" s="38" t="s">
        <v>224</v>
      </c>
      <c r="F15902" s="38" t="s">
        <v>113</v>
      </c>
      <c r="G15902" s="49" t="str">
        <f t="shared" si="1"/>
        <v>80220</v>
      </c>
      <c r="H15902" s="49">
        <f t="shared" si="2"/>
        <v>80127</v>
      </c>
    </row>
    <row r="15903">
      <c r="A15903" s="48" t="s">
        <v>13255</v>
      </c>
      <c r="B15903" s="38">
        <v>35058.0</v>
      </c>
      <c r="C15903" s="38" t="s">
        <v>20277</v>
      </c>
      <c r="D15903" s="38" t="str">
        <f>IFERROR(__xludf.DUMMYFUNCTION("REGEXREPLACE(C15903,""-\d+(.*)|--\d+(.*)"","""")"),"LA CHAPELLE-CHAUSSEE")</f>
        <v>LA CHAPELLE-CHAUSSEE</v>
      </c>
      <c r="E15903" s="38" t="s">
        <v>347</v>
      </c>
      <c r="F15903" s="38" t="s">
        <v>90</v>
      </c>
      <c r="G15903" s="49" t="str">
        <f t="shared" si="1"/>
        <v>35630</v>
      </c>
      <c r="H15903" s="49">
        <f t="shared" si="2"/>
        <v>35058</v>
      </c>
    </row>
    <row r="15904">
      <c r="A15904" s="48" t="s">
        <v>7777</v>
      </c>
      <c r="B15904" s="38">
        <v>54172.0</v>
      </c>
      <c r="C15904" s="38" t="s">
        <v>20278</v>
      </c>
      <c r="D15904" s="38" t="str">
        <f>IFERROR(__xludf.DUMMYFUNCTION("REGEXREPLACE(C15904,""-\d+(.*)|--\d+(.*)"","""")"),"DONCOURT-LES-LONGUYON")</f>
        <v>DONCOURT-LES-LONGUYON</v>
      </c>
      <c r="E15904" s="38" t="s">
        <v>548</v>
      </c>
      <c r="F15904" s="38" t="s">
        <v>195</v>
      </c>
      <c r="G15904" s="49" t="str">
        <f t="shared" si="1"/>
        <v>54620</v>
      </c>
      <c r="H15904" s="49">
        <f t="shared" si="2"/>
        <v>54172</v>
      </c>
    </row>
    <row r="15905">
      <c r="A15905" s="48" t="s">
        <v>5584</v>
      </c>
      <c r="B15905" s="38">
        <v>41172.0</v>
      </c>
      <c r="C15905" s="38" t="s">
        <v>20279</v>
      </c>
      <c r="D15905" s="38" t="str">
        <f>IFERROR(__xludf.DUMMYFUNCTION("REGEXREPLACE(C15905,""-\d+(.*)|--\d+(.*)"","""")"),"OUZOUER-LE-DOYEN")</f>
        <v>OUZOUER-LE-DOYEN</v>
      </c>
      <c r="E15905" s="38" t="s">
        <v>188</v>
      </c>
      <c r="F15905" s="38" t="s">
        <v>123</v>
      </c>
      <c r="G15905" s="49" t="str">
        <f t="shared" si="1"/>
        <v>41160</v>
      </c>
      <c r="H15905" s="49">
        <f t="shared" si="2"/>
        <v>41172</v>
      </c>
    </row>
    <row r="15906">
      <c r="A15906" s="48" t="s">
        <v>4328</v>
      </c>
      <c r="B15906" s="38">
        <v>70282.0</v>
      </c>
      <c r="C15906" s="38" t="s">
        <v>20280</v>
      </c>
      <c r="D15906" s="38" t="str">
        <f>IFERROR(__xludf.DUMMYFUNCTION("REGEXREPLACE(C15906,""-\d+(.*)|--\d+(.*)"","""")"),"GY")</f>
        <v>GY</v>
      </c>
      <c r="E15906" s="38" t="s">
        <v>956</v>
      </c>
      <c r="F15906" s="38" t="s">
        <v>214</v>
      </c>
      <c r="G15906" s="49" t="str">
        <f t="shared" si="1"/>
        <v>70700</v>
      </c>
      <c r="H15906" s="49">
        <f t="shared" si="2"/>
        <v>70282</v>
      </c>
    </row>
    <row r="15907">
      <c r="A15907" s="48" t="s">
        <v>6633</v>
      </c>
      <c r="B15907" s="38">
        <v>64131.0</v>
      </c>
      <c r="C15907" s="38" t="s">
        <v>15437</v>
      </c>
      <c r="D15907" s="38" t="str">
        <f>IFERROR(__xludf.DUMMYFUNCTION("REGEXREPLACE(C15907,""-\d+(.*)|--\d+(.*)"","""")"),"BIRON")</f>
        <v>BIRON</v>
      </c>
      <c r="E15907" s="38" t="s">
        <v>268</v>
      </c>
      <c r="F15907" s="38" t="s">
        <v>252</v>
      </c>
      <c r="G15907" s="49" t="str">
        <f t="shared" si="1"/>
        <v>64300</v>
      </c>
      <c r="H15907" s="49">
        <f t="shared" si="2"/>
        <v>64131</v>
      </c>
    </row>
    <row r="15908">
      <c r="A15908" s="48" t="s">
        <v>630</v>
      </c>
      <c r="B15908" s="38">
        <v>15225.0</v>
      </c>
      <c r="C15908" s="38" t="s">
        <v>20281</v>
      </c>
      <c r="D15908" s="38" t="str">
        <f>IFERROR(__xludf.DUMMYFUNCTION("REGEXREPLACE(C15908,""-\d+(.*)|--\d+(.*)"","""")"),"SEGUR-LES-VILLAS")</f>
        <v>SEGUR-LES-VILLAS</v>
      </c>
      <c r="E15908" s="38" t="s">
        <v>632</v>
      </c>
      <c r="F15908" s="38" t="s">
        <v>161</v>
      </c>
      <c r="G15908" s="49" t="str">
        <f t="shared" si="1"/>
        <v>15300</v>
      </c>
      <c r="H15908" s="49">
        <f t="shared" si="2"/>
        <v>15225</v>
      </c>
    </row>
    <row r="15909">
      <c r="A15909" s="48" t="s">
        <v>4609</v>
      </c>
      <c r="B15909" s="38">
        <v>61024.0</v>
      </c>
      <c r="C15909" s="38" t="s">
        <v>20282</v>
      </c>
      <c r="D15909" s="38" t="str">
        <f>IFERROR(__xludf.DUMMYFUNCTION("REGEXREPLACE(C15909,""-\d+(.*)|--\d+(.*)"","""")"),"BANVOU")</f>
        <v>BANVOU</v>
      </c>
      <c r="E15909" s="38" t="s">
        <v>141</v>
      </c>
      <c r="F15909" s="38" t="s">
        <v>138</v>
      </c>
      <c r="G15909" s="49" t="str">
        <f t="shared" si="1"/>
        <v>61450</v>
      </c>
      <c r="H15909" s="49">
        <f t="shared" si="2"/>
        <v>61024</v>
      </c>
    </row>
    <row r="15910">
      <c r="A15910" s="48" t="s">
        <v>363</v>
      </c>
      <c r="B15910" s="38">
        <v>35129.0</v>
      </c>
      <c r="C15910" s="38" t="s">
        <v>20283</v>
      </c>
      <c r="D15910" s="38" t="str">
        <f>IFERROR(__xludf.DUMMYFUNCTION("REGEXREPLACE(C15910,""-\d+(.*)|--\d+(.*)"","""")"),"GUIPRY")</f>
        <v>GUIPRY</v>
      </c>
      <c r="E15910" s="38" t="s">
        <v>347</v>
      </c>
      <c r="F15910" s="38" t="s">
        <v>90</v>
      </c>
      <c r="G15910" s="49" t="str">
        <f t="shared" si="1"/>
        <v>35480</v>
      </c>
      <c r="H15910" s="49">
        <f t="shared" si="2"/>
        <v>35129</v>
      </c>
    </row>
    <row r="15911">
      <c r="A15911" s="48" t="s">
        <v>189</v>
      </c>
      <c r="B15911" s="38">
        <v>2779.0</v>
      </c>
      <c r="C15911" s="38" t="s">
        <v>20284</v>
      </c>
      <c r="D15911" s="38" t="str">
        <f>IFERROR(__xludf.DUMMYFUNCTION("REGEXREPLACE(C15911,""-\d+(.*)|--\d+(.*)"","""")"),"VENEROLLES")</f>
        <v>VENEROLLES</v>
      </c>
      <c r="E15911" s="38" t="s">
        <v>191</v>
      </c>
      <c r="F15911" s="38" t="s">
        <v>113</v>
      </c>
      <c r="G15911" s="49" t="str">
        <f t="shared" si="1"/>
        <v>02510</v>
      </c>
      <c r="H15911" s="49" t="str">
        <f t="shared" si="2"/>
        <v>02779</v>
      </c>
    </row>
    <row r="15912">
      <c r="A15912" s="48" t="s">
        <v>19821</v>
      </c>
      <c r="B15912" s="38">
        <v>53028.0</v>
      </c>
      <c r="C15912" s="38" t="s">
        <v>20285</v>
      </c>
      <c r="D15912" s="38" t="str">
        <f>IFERROR(__xludf.DUMMYFUNCTION("REGEXREPLACE(C15912,""-\d+(.*)|--\d+(.*)"","""")"),"BELGEARD")</f>
        <v>BELGEARD</v>
      </c>
      <c r="E15912" s="38" t="s">
        <v>518</v>
      </c>
      <c r="F15912" s="38" t="s">
        <v>180</v>
      </c>
      <c r="G15912" s="49" t="str">
        <f t="shared" si="1"/>
        <v>53440</v>
      </c>
      <c r="H15912" s="49">
        <f t="shared" si="2"/>
        <v>53028</v>
      </c>
    </row>
    <row r="15913">
      <c r="A15913" s="48" t="s">
        <v>201</v>
      </c>
      <c r="B15913" s="38">
        <v>2572.0</v>
      </c>
      <c r="C15913" s="38" t="s">
        <v>20286</v>
      </c>
      <c r="D15913" s="38" t="str">
        <f>IFERROR(__xludf.DUMMYFUNCTION("REGEXREPLACE(C15913,""-\d+(.*)|--\d+(.*)"","""")"),"ORAINVILLE")</f>
        <v>ORAINVILLE</v>
      </c>
      <c r="E15913" s="38" t="s">
        <v>191</v>
      </c>
      <c r="F15913" s="38" t="s">
        <v>113</v>
      </c>
      <c r="G15913" s="49" t="str">
        <f t="shared" si="1"/>
        <v>02190</v>
      </c>
      <c r="H15913" s="49" t="str">
        <f t="shared" si="2"/>
        <v>02572</v>
      </c>
    </row>
    <row r="15914">
      <c r="A15914" s="48" t="s">
        <v>11555</v>
      </c>
      <c r="B15914" s="38">
        <v>6067.0</v>
      </c>
      <c r="C15914" s="38" t="s">
        <v>20287</v>
      </c>
      <c r="D15914" s="38" t="str">
        <f>IFERROR(__xludf.DUMMYFUNCTION("REGEXREPLACE(C15914,""-\d+(.*)|--\d+(.*)"","""")"),"GORBIO")</f>
        <v>GORBIO</v>
      </c>
      <c r="E15914" s="38" t="s">
        <v>227</v>
      </c>
      <c r="F15914" s="38" t="s">
        <v>228</v>
      </c>
      <c r="G15914" s="49" t="str">
        <f t="shared" si="1"/>
        <v>06500</v>
      </c>
      <c r="H15914" s="49" t="str">
        <f t="shared" si="2"/>
        <v>06067</v>
      </c>
    </row>
    <row r="15915">
      <c r="A15915" s="48" t="s">
        <v>2748</v>
      </c>
      <c r="B15915" s="38">
        <v>32422.0</v>
      </c>
      <c r="C15915" s="38" t="s">
        <v>20288</v>
      </c>
      <c r="D15915" s="38" t="str">
        <f>IFERROR(__xludf.DUMMYFUNCTION("REGEXREPLACE(C15915,""-\d+(.*)|--\d+(.*)"","""")"),"SCIEURAC-ET-FLOURES")</f>
        <v>SCIEURAC-ET-FLOURES</v>
      </c>
      <c r="E15915" s="38" t="s">
        <v>440</v>
      </c>
      <c r="F15915" s="38" t="s">
        <v>94</v>
      </c>
      <c r="G15915" s="49" t="str">
        <f t="shared" si="1"/>
        <v>32230</v>
      </c>
      <c r="H15915" s="49">
        <f t="shared" si="2"/>
        <v>32422</v>
      </c>
    </row>
    <row r="15916">
      <c r="A15916" s="48" t="s">
        <v>1742</v>
      </c>
      <c r="B15916" s="38">
        <v>21638.0</v>
      </c>
      <c r="C15916" s="38" t="s">
        <v>20289</v>
      </c>
      <c r="D15916" s="38" t="str">
        <f>IFERROR(__xludf.DUMMYFUNCTION("REGEXREPLACE(C15916,""-\d+(.*)|--\d+(.*)"","""")"),"TIL-CHATEL")</f>
        <v>TIL-CHATEL</v>
      </c>
      <c r="E15916" s="38" t="s">
        <v>105</v>
      </c>
      <c r="F15916" s="38" t="s">
        <v>106</v>
      </c>
      <c r="G15916" s="49" t="str">
        <f t="shared" si="1"/>
        <v>21120</v>
      </c>
      <c r="H15916" s="49">
        <f t="shared" si="2"/>
        <v>21638</v>
      </c>
    </row>
    <row r="15917">
      <c r="A15917" s="48" t="s">
        <v>2411</v>
      </c>
      <c r="B15917" s="38">
        <v>37144.0</v>
      </c>
      <c r="C15917" s="38" t="s">
        <v>8280</v>
      </c>
      <c r="D15917" s="38" t="str">
        <f>IFERROR(__xludf.DUMMYFUNCTION("REGEXREPLACE(C15917,""-\d+(.*)|--\d+(.*)"","""")"),"MARCAY")</f>
        <v>MARCAY</v>
      </c>
      <c r="E15917" s="38" t="s">
        <v>205</v>
      </c>
      <c r="F15917" s="38" t="s">
        <v>123</v>
      </c>
      <c r="G15917" s="49" t="str">
        <f t="shared" si="1"/>
        <v>37500</v>
      </c>
      <c r="H15917" s="49">
        <f t="shared" si="2"/>
        <v>37144</v>
      </c>
    </row>
    <row r="15918">
      <c r="A15918" s="48" t="s">
        <v>3359</v>
      </c>
      <c r="B15918" s="38">
        <v>9140.0</v>
      </c>
      <c r="C15918" s="38" t="s">
        <v>20290</v>
      </c>
      <c r="D15918" s="38" t="str">
        <f>IFERROR(__xludf.DUMMYFUNCTION("REGEXREPLACE(C15918,""-\d+(.*)|--\d+(.*)"","""")"),"IGNAUX")</f>
        <v>IGNAUX</v>
      </c>
      <c r="E15918" s="38" t="s">
        <v>238</v>
      </c>
      <c r="F15918" s="38" t="s">
        <v>94</v>
      </c>
      <c r="G15918" s="49" t="str">
        <f t="shared" si="1"/>
        <v>09110</v>
      </c>
      <c r="H15918" s="49" t="str">
        <f t="shared" si="2"/>
        <v>09140</v>
      </c>
    </row>
    <row r="15919">
      <c r="A15919" s="48" t="s">
        <v>4434</v>
      </c>
      <c r="B15919" s="38">
        <v>31415.0</v>
      </c>
      <c r="C15919" s="38" t="s">
        <v>20291</v>
      </c>
      <c r="D15919" s="38" t="str">
        <f>IFERROR(__xludf.DUMMYFUNCTION("REGEXREPLACE(C15919,""-\d+(.*)|--\d+(.*)"","""")"),"PEYROUZET")</f>
        <v>PEYROUZET</v>
      </c>
      <c r="E15919" s="38" t="s">
        <v>93</v>
      </c>
      <c r="F15919" s="38" t="s">
        <v>94</v>
      </c>
      <c r="G15919" s="49" t="str">
        <f t="shared" si="1"/>
        <v>31420</v>
      </c>
      <c r="H15919" s="49">
        <f t="shared" si="2"/>
        <v>31415</v>
      </c>
    </row>
    <row r="15920">
      <c r="A15920" s="48" t="s">
        <v>6647</v>
      </c>
      <c r="B15920" s="38">
        <v>58163.0</v>
      </c>
      <c r="C15920" s="38" t="s">
        <v>20292</v>
      </c>
      <c r="D15920" s="38" t="str">
        <f>IFERROR(__xludf.DUMMYFUNCTION("REGEXREPLACE(C15920,""-\d+(.*)|--\d+(.*)"","""")"),"MENOU")</f>
        <v>MENOU</v>
      </c>
      <c r="E15920" s="38" t="s">
        <v>219</v>
      </c>
      <c r="F15920" s="38" t="s">
        <v>106</v>
      </c>
      <c r="G15920" s="49" t="str">
        <f t="shared" si="1"/>
        <v>58210</v>
      </c>
      <c r="H15920" s="49">
        <f t="shared" si="2"/>
        <v>58163</v>
      </c>
    </row>
    <row r="15921">
      <c r="A15921" s="48" t="s">
        <v>12732</v>
      </c>
      <c r="B15921" s="38">
        <v>29015.0</v>
      </c>
      <c r="C15921" s="38" t="s">
        <v>20293</v>
      </c>
      <c r="D15921" s="38" t="str">
        <f>IFERROR(__xludf.DUMMYFUNCTION("REGEXREPLACE(C15921,""-\d+(.*)|--\d+(.*)"","""")"),"BOURG-BLANC")</f>
        <v>BOURG-BLANC</v>
      </c>
      <c r="E15921" s="38" t="s">
        <v>176</v>
      </c>
      <c r="F15921" s="38" t="s">
        <v>90</v>
      </c>
      <c r="G15921" s="49" t="str">
        <f t="shared" si="1"/>
        <v>29860</v>
      </c>
      <c r="H15921" s="49">
        <f t="shared" si="2"/>
        <v>29015</v>
      </c>
    </row>
    <row r="15922">
      <c r="A15922" s="48" t="s">
        <v>10689</v>
      </c>
      <c r="B15922" s="38">
        <v>59259.0</v>
      </c>
      <c r="C15922" s="38" t="s">
        <v>20294</v>
      </c>
      <c r="D15922" s="38" t="str">
        <f>IFERROR(__xludf.DUMMYFUNCTION("REGEXREPLACE(C15922,""-\d+(.*)|--\d+(.*)"","""")"),"GHISSIGNIES")</f>
        <v>GHISSIGNIES</v>
      </c>
      <c r="E15922" s="38" t="s">
        <v>85</v>
      </c>
      <c r="F15922" s="38" t="s">
        <v>86</v>
      </c>
      <c r="G15922" s="49" t="str">
        <f t="shared" si="1"/>
        <v>59530</v>
      </c>
      <c r="H15922" s="49">
        <f t="shared" si="2"/>
        <v>59259</v>
      </c>
    </row>
    <row r="15923">
      <c r="A15923" s="48" t="s">
        <v>2882</v>
      </c>
      <c r="B15923" s="38">
        <v>76649.0</v>
      </c>
      <c r="C15923" s="38" t="s">
        <v>20295</v>
      </c>
      <c r="D15923" s="38" t="str">
        <f>IFERROR(__xludf.DUMMYFUNCTION("REGEXREPLACE(C15923,""-\d+(.*)|--\d+(.*)"","""")"),"SAINT-SAIRE")</f>
        <v>SAINT-SAIRE</v>
      </c>
      <c r="E15923" s="38" t="s">
        <v>133</v>
      </c>
      <c r="F15923" s="38" t="s">
        <v>134</v>
      </c>
      <c r="G15923" s="49" t="str">
        <f t="shared" si="1"/>
        <v>76270</v>
      </c>
      <c r="H15923" s="49">
        <f t="shared" si="2"/>
        <v>76649</v>
      </c>
    </row>
    <row r="15924">
      <c r="A15924" s="48" t="s">
        <v>1989</v>
      </c>
      <c r="B15924" s="38">
        <v>60416.0</v>
      </c>
      <c r="C15924" s="38" t="s">
        <v>20296</v>
      </c>
      <c r="D15924" s="38" t="str">
        <f>IFERROR(__xludf.DUMMYFUNCTION("REGEXREPLACE(C15924,""-\d+(.*)|--\d+(.*)"","""")"),"MONTGERAIN")</f>
        <v>MONTGERAIN</v>
      </c>
      <c r="E15924" s="38" t="s">
        <v>112</v>
      </c>
      <c r="F15924" s="38" t="s">
        <v>113</v>
      </c>
      <c r="G15924" s="49" t="str">
        <f t="shared" si="1"/>
        <v>60420</v>
      </c>
      <c r="H15924" s="49">
        <f t="shared" si="2"/>
        <v>60416</v>
      </c>
    </row>
    <row r="15925">
      <c r="A15925" s="48" t="s">
        <v>11225</v>
      </c>
      <c r="B15925" s="38">
        <v>33256.0</v>
      </c>
      <c r="C15925" s="38" t="s">
        <v>20297</v>
      </c>
      <c r="D15925" s="38" t="str">
        <f>IFERROR(__xludf.DUMMYFUNCTION("REGEXREPLACE(C15925,""-\d+(.*)|--\d+(.*)"","""")"),"LUDON-MEDOC")</f>
        <v>LUDON-MEDOC</v>
      </c>
      <c r="E15925" s="38" t="s">
        <v>462</v>
      </c>
      <c r="F15925" s="38" t="s">
        <v>252</v>
      </c>
      <c r="G15925" s="49" t="str">
        <f t="shared" si="1"/>
        <v>33290</v>
      </c>
      <c r="H15925" s="49">
        <f t="shared" si="2"/>
        <v>33256</v>
      </c>
    </row>
    <row r="15926">
      <c r="A15926" s="48" t="s">
        <v>12897</v>
      </c>
      <c r="B15926" s="38">
        <v>67230.0</v>
      </c>
      <c r="C15926" s="38" t="s">
        <v>20298</v>
      </c>
      <c r="D15926" s="38" t="str">
        <f>IFERROR(__xludf.DUMMYFUNCTION("REGEXREPLACE(C15926,""-\d+(.*)|--\d+(.*)"","""")"),"KALTENHOUSE")</f>
        <v>KALTENHOUSE</v>
      </c>
      <c r="E15926" s="38" t="s">
        <v>210</v>
      </c>
      <c r="F15926" s="38" t="s">
        <v>151</v>
      </c>
      <c r="G15926" s="49" t="str">
        <f t="shared" si="1"/>
        <v>67240</v>
      </c>
      <c r="H15926" s="49">
        <f t="shared" si="2"/>
        <v>67230</v>
      </c>
    </row>
    <row r="15927">
      <c r="A15927" s="48" t="s">
        <v>5455</v>
      </c>
      <c r="B15927" s="38">
        <v>91347.0</v>
      </c>
      <c r="C15927" s="38" t="s">
        <v>20299</v>
      </c>
      <c r="D15927" s="38" t="str">
        <f>IFERROR(__xludf.DUMMYFUNCTION("REGEXREPLACE(C15927,""-\d+(.*)|--\d+(.*)"","""")"),"LONGPONT-SUR-ORGE")</f>
        <v>LONGPONT-SUR-ORGE</v>
      </c>
      <c r="E15927" s="38" t="s">
        <v>756</v>
      </c>
      <c r="F15927" s="38" t="s">
        <v>245</v>
      </c>
      <c r="G15927" s="49" t="str">
        <f t="shared" si="1"/>
        <v>91310</v>
      </c>
      <c r="H15927" s="49">
        <f t="shared" si="2"/>
        <v>91347</v>
      </c>
    </row>
    <row r="15928">
      <c r="A15928" s="48" t="s">
        <v>2833</v>
      </c>
      <c r="B15928" s="38">
        <v>77426.0</v>
      </c>
      <c r="C15928" s="38" t="s">
        <v>20300</v>
      </c>
      <c r="D15928" s="38" t="str">
        <f>IFERROR(__xludf.DUMMYFUNCTION("REGEXREPLACE(C15928,""-\d+(.*)|--\d+(.*)"","""")"),"SAINT-MERY")</f>
        <v>SAINT-MERY</v>
      </c>
      <c r="E15928" s="38" t="s">
        <v>244</v>
      </c>
      <c r="F15928" s="38" t="s">
        <v>245</v>
      </c>
      <c r="G15928" s="49" t="str">
        <f t="shared" si="1"/>
        <v>77720</v>
      </c>
      <c r="H15928" s="49">
        <f t="shared" si="2"/>
        <v>77426</v>
      </c>
    </row>
    <row r="15929">
      <c r="A15929" s="48" t="s">
        <v>2734</v>
      </c>
      <c r="B15929" s="38">
        <v>89054.0</v>
      </c>
      <c r="C15929" s="38" t="s">
        <v>20301</v>
      </c>
      <c r="D15929" s="38" t="str">
        <f>IFERROR(__xludf.DUMMYFUNCTION("REGEXREPLACE(C15929,""-\d+(.*)|--\d+(.*)"","""")"),"BRANNAY")</f>
        <v>BRANNAY</v>
      </c>
      <c r="E15929" s="38" t="s">
        <v>275</v>
      </c>
      <c r="F15929" s="38" t="s">
        <v>106</v>
      </c>
      <c r="G15929" s="49" t="str">
        <f t="shared" si="1"/>
        <v>89150</v>
      </c>
      <c r="H15929" s="49">
        <f t="shared" si="2"/>
        <v>89054</v>
      </c>
    </row>
    <row r="15930">
      <c r="A15930" s="48" t="s">
        <v>20302</v>
      </c>
      <c r="B15930" s="38">
        <v>95306.0</v>
      </c>
      <c r="C15930" s="38" t="s">
        <v>20303</v>
      </c>
      <c r="D15930" s="38" t="str">
        <f>IFERROR(__xludf.DUMMYFUNCTION("REGEXREPLACE(C15930,""-\d+(.*)|--\d+(.*)"","""")"),"HERBLAY")</f>
        <v>HERBLAY</v>
      </c>
      <c r="E15930" s="38" t="s">
        <v>541</v>
      </c>
      <c r="F15930" s="38" t="s">
        <v>245</v>
      </c>
      <c r="G15930" s="49" t="str">
        <f t="shared" si="1"/>
        <v>95220</v>
      </c>
      <c r="H15930" s="49">
        <f t="shared" si="2"/>
        <v>95306</v>
      </c>
    </row>
    <row r="15931">
      <c r="A15931" s="48" t="s">
        <v>542</v>
      </c>
      <c r="B15931" s="38">
        <v>50116.0</v>
      </c>
      <c r="C15931" s="38" t="s">
        <v>20304</v>
      </c>
      <c r="D15931" s="38" t="str">
        <f>IFERROR(__xludf.DUMMYFUNCTION("REGEXREPLACE(C15931,""-\d+(.*)|--\d+(.*)"","""")"),"CHAMPCEY")</f>
        <v>CHAMPCEY</v>
      </c>
      <c r="E15931" s="38" t="s">
        <v>157</v>
      </c>
      <c r="F15931" s="38" t="s">
        <v>138</v>
      </c>
      <c r="G15931" s="49" t="str">
        <f t="shared" si="1"/>
        <v>50530</v>
      </c>
      <c r="H15931" s="49">
        <f t="shared" si="2"/>
        <v>50116</v>
      </c>
    </row>
    <row r="15932">
      <c r="A15932" s="48" t="s">
        <v>3439</v>
      </c>
      <c r="B15932" s="38">
        <v>86148.0</v>
      </c>
      <c r="C15932" s="38" t="s">
        <v>16679</v>
      </c>
      <c r="D15932" s="38" t="str">
        <f>IFERROR(__xludf.DUMMYFUNCTION("REGEXREPLACE(C15932,""-\d+(.*)|--\d+(.*)"","""")"),"MARNAY")</f>
        <v>MARNAY</v>
      </c>
      <c r="E15932" s="38" t="s">
        <v>529</v>
      </c>
      <c r="F15932" s="38" t="s">
        <v>338</v>
      </c>
      <c r="G15932" s="49" t="str">
        <f t="shared" si="1"/>
        <v>86160</v>
      </c>
      <c r="H15932" s="49">
        <f t="shared" si="2"/>
        <v>86148</v>
      </c>
    </row>
    <row r="15933">
      <c r="A15933" s="48" t="s">
        <v>14540</v>
      </c>
      <c r="B15933" s="38">
        <v>34103.0</v>
      </c>
      <c r="C15933" s="38" t="s">
        <v>20305</v>
      </c>
      <c r="D15933" s="38" t="str">
        <f>IFERROR(__xludf.DUMMYFUNCTION("REGEXREPLACE(C15933,""-\d+(.*)|--\d+(.*)"","""")"),"FONTES")</f>
        <v>FONTES</v>
      </c>
      <c r="E15933" s="38" t="s">
        <v>118</v>
      </c>
      <c r="F15933" s="38" t="s">
        <v>119</v>
      </c>
      <c r="G15933" s="49" t="str">
        <f t="shared" si="1"/>
        <v>34320</v>
      </c>
      <c r="H15933" s="49">
        <f t="shared" si="2"/>
        <v>34103</v>
      </c>
    </row>
    <row r="15934">
      <c r="A15934" s="48" t="s">
        <v>1415</v>
      </c>
      <c r="B15934" s="38">
        <v>4154.0</v>
      </c>
      <c r="C15934" s="38" t="s">
        <v>20306</v>
      </c>
      <c r="D15934" s="38" t="str">
        <f>IFERROR(__xludf.DUMMYFUNCTION("REGEXREPLACE(C15934,""-\d+(.*)|--\d+(.*)"","""")"),"PONTIS")</f>
        <v>PONTIS</v>
      </c>
      <c r="E15934" s="38" t="s">
        <v>662</v>
      </c>
      <c r="F15934" s="38" t="s">
        <v>228</v>
      </c>
      <c r="G15934" s="49" t="str">
        <f t="shared" si="1"/>
        <v>05160</v>
      </c>
      <c r="H15934" s="49" t="str">
        <f t="shared" si="2"/>
        <v>04154</v>
      </c>
    </row>
    <row r="15935">
      <c r="A15935" s="48" t="s">
        <v>13815</v>
      </c>
      <c r="B15935" s="38">
        <v>69187.0</v>
      </c>
      <c r="C15935" s="38" t="s">
        <v>20307</v>
      </c>
      <c r="D15935" s="38" t="str">
        <f>IFERROR(__xludf.DUMMYFUNCTION("REGEXREPLACE(C15935,""-\d+(.*)|--\d+(.*)"","""")"),"SAINT-CLEMENT-LES-PLACES")</f>
        <v>SAINT-CLEMENT-LES-PLACES</v>
      </c>
      <c r="E15935" s="38" t="s">
        <v>350</v>
      </c>
      <c r="F15935" s="38" t="s">
        <v>102</v>
      </c>
      <c r="G15935" s="49" t="str">
        <f t="shared" si="1"/>
        <v>69930</v>
      </c>
      <c r="H15935" s="49">
        <f t="shared" si="2"/>
        <v>69187</v>
      </c>
    </row>
    <row r="15936">
      <c r="A15936" s="48" t="s">
        <v>5837</v>
      </c>
      <c r="B15936" s="38">
        <v>95446.0</v>
      </c>
      <c r="C15936" s="38" t="s">
        <v>20308</v>
      </c>
      <c r="D15936" s="38" t="str">
        <f>IFERROR(__xludf.DUMMYFUNCTION("REGEXREPLACE(C15936,""-\d+(.*)|--\d+(.*)"","""")"),"NESLES-LA-VALLEE")</f>
        <v>NESLES-LA-VALLEE</v>
      </c>
      <c r="E15936" s="38" t="s">
        <v>541</v>
      </c>
      <c r="F15936" s="38" t="s">
        <v>245</v>
      </c>
      <c r="G15936" s="49" t="str">
        <f t="shared" si="1"/>
        <v>95690</v>
      </c>
      <c r="H15936" s="49">
        <f t="shared" si="2"/>
        <v>95446</v>
      </c>
    </row>
    <row r="15937">
      <c r="A15937" s="48" t="s">
        <v>4332</v>
      </c>
      <c r="B15937" s="38">
        <v>24191.0</v>
      </c>
      <c r="C15937" s="38" t="s">
        <v>20309</v>
      </c>
      <c r="D15937" s="38" t="str">
        <f>IFERROR(__xludf.DUMMYFUNCTION("REGEXREPLACE(C15937,""-\d+(.*)|--\d+(.*)"","""")"),"FRAISSE")</f>
        <v>FRAISSE</v>
      </c>
      <c r="E15937" s="38" t="s">
        <v>261</v>
      </c>
      <c r="F15937" s="38" t="s">
        <v>252</v>
      </c>
      <c r="G15937" s="49" t="str">
        <f t="shared" si="1"/>
        <v>24130</v>
      </c>
      <c r="H15937" s="49">
        <f t="shared" si="2"/>
        <v>24191</v>
      </c>
    </row>
    <row r="15938">
      <c r="A15938" s="48" t="s">
        <v>1616</v>
      </c>
      <c r="B15938" s="38">
        <v>10048.0</v>
      </c>
      <c r="C15938" s="38" t="s">
        <v>20310</v>
      </c>
      <c r="D15938" s="38" t="str">
        <f>IFERROR(__xludf.DUMMYFUNCTION("REGEXREPLACE(C15938,""-\d+(.*)|--\d+(.*)"","""")"),"BLIGNY")</f>
        <v>BLIGNY</v>
      </c>
      <c r="E15938" s="38" t="s">
        <v>147</v>
      </c>
      <c r="F15938" s="38" t="s">
        <v>130</v>
      </c>
      <c r="G15938" s="49" t="str">
        <f t="shared" si="1"/>
        <v>10200</v>
      </c>
      <c r="H15938" s="49">
        <f t="shared" si="2"/>
        <v>10048</v>
      </c>
    </row>
    <row r="15939">
      <c r="A15939" s="48" t="s">
        <v>11490</v>
      </c>
      <c r="B15939" s="38">
        <v>59150.0</v>
      </c>
      <c r="C15939" s="38" t="s">
        <v>20311</v>
      </c>
      <c r="D15939" s="38" t="str">
        <f>IFERROR(__xludf.DUMMYFUNCTION("REGEXREPLACE(C15939,""-\d+(.*)|--\d+(.*)"","""")"),"COBRIEUX")</f>
        <v>COBRIEUX</v>
      </c>
      <c r="E15939" s="38" t="s">
        <v>85</v>
      </c>
      <c r="F15939" s="38" t="s">
        <v>86</v>
      </c>
      <c r="G15939" s="49" t="str">
        <f t="shared" si="1"/>
        <v>59830</v>
      </c>
      <c r="H15939" s="49">
        <f t="shared" si="2"/>
        <v>59150</v>
      </c>
    </row>
    <row r="15940">
      <c r="A15940" s="48" t="s">
        <v>10578</v>
      </c>
      <c r="B15940" s="38">
        <v>79313.0</v>
      </c>
      <c r="C15940" s="38" t="s">
        <v>20312</v>
      </c>
      <c r="D15940" s="38" t="str">
        <f>IFERROR(__xludf.DUMMYFUNCTION("REGEXREPLACE(C15940,""-\d+(.*)|--\d+(.*)"","""")"),"SEPVRET")</f>
        <v>SEPVRET</v>
      </c>
      <c r="E15940" s="38" t="s">
        <v>337</v>
      </c>
      <c r="F15940" s="38" t="s">
        <v>338</v>
      </c>
      <c r="G15940" s="49" t="str">
        <f t="shared" si="1"/>
        <v>79120</v>
      </c>
      <c r="H15940" s="49">
        <f t="shared" si="2"/>
        <v>79313</v>
      </c>
    </row>
    <row r="15941">
      <c r="A15941" s="48" t="s">
        <v>8904</v>
      </c>
      <c r="B15941" s="38">
        <v>48176.0</v>
      </c>
      <c r="C15941" s="38" t="s">
        <v>20313</v>
      </c>
      <c r="D15941" s="38" t="str">
        <f>IFERROR(__xludf.DUMMYFUNCTION("REGEXREPLACE(C15941,""-\d+(.*)|--\d+(.*)"","""")"),"SAINT-PIERRE-DES-TRIPIERS")</f>
        <v>SAINT-PIERRE-DES-TRIPIERS</v>
      </c>
      <c r="E15941" s="38" t="s">
        <v>154</v>
      </c>
      <c r="F15941" s="38" t="s">
        <v>119</v>
      </c>
      <c r="G15941" s="49" t="str">
        <f t="shared" si="1"/>
        <v>48150</v>
      </c>
      <c r="H15941" s="49">
        <f t="shared" si="2"/>
        <v>48176</v>
      </c>
    </row>
    <row r="15942">
      <c r="A15942" s="48" t="s">
        <v>6007</v>
      </c>
      <c r="B15942" s="38">
        <v>24378.0</v>
      </c>
      <c r="C15942" s="38" t="s">
        <v>20314</v>
      </c>
      <c r="D15942" s="38" t="str">
        <f>IFERROR(__xludf.DUMMYFUNCTION("REGEXREPLACE(C15942,""-\d+(.*)|--\d+(.*)"","""")"),"SAINT-AVIT-RIVIERE")</f>
        <v>SAINT-AVIT-RIVIERE</v>
      </c>
      <c r="E15942" s="38" t="s">
        <v>261</v>
      </c>
      <c r="F15942" s="38" t="s">
        <v>252</v>
      </c>
      <c r="G15942" s="49" t="str">
        <f t="shared" si="1"/>
        <v>24540</v>
      </c>
      <c r="H15942" s="49">
        <f t="shared" si="2"/>
        <v>24378</v>
      </c>
    </row>
    <row r="15943">
      <c r="A15943" s="48" t="s">
        <v>3100</v>
      </c>
      <c r="B15943" s="38">
        <v>7159.0</v>
      </c>
      <c r="C15943" s="38" t="s">
        <v>20315</v>
      </c>
      <c r="D15943" s="38" t="str">
        <f>IFERROR(__xludf.DUMMYFUNCTION("REGEXREPLACE(C15943,""-\d+(.*)|--\d+(.*)"","""")"),"MIRABEL")</f>
        <v>MIRABEL</v>
      </c>
      <c r="E15943" s="38" t="s">
        <v>144</v>
      </c>
      <c r="F15943" s="38" t="s">
        <v>102</v>
      </c>
      <c r="G15943" s="49" t="str">
        <f t="shared" si="1"/>
        <v>07170</v>
      </c>
      <c r="H15943" s="49" t="str">
        <f t="shared" si="2"/>
        <v>07159</v>
      </c>
    </row>
    <row r="15944">
      <c r="A15944" s="48" t="s">
        <v>4490</v>
      </c>
      <c r="B15944" s="38">
        <v>6047.0</v>
      </c>
      <c r="C15944" s="38" t="s">
        <v>20316</v>
      </c>
      <c r="D15944" s="38" t="str">
        <f>IFERROR(__xludf.DUMMYFUNCTION("REGEXREPLACE(C15944,""-\d+(.*)|--\d+(.*)"","""")"),"CONSEGUDES")</f>
        <v>CONSEGUDES</v>
      </c>
      <c r="E15944" s="38" t="s">
        <v>227</v>
      </c>
      <c r="F15944" s="38" t="s">
        <v>228</v>
      </c>
      <c r="G15944" s="49" t="str">
        <f t="shared" si="1"/>
        <v>06510</v>
      </c>
      <c r="H15944" s="49" t="str">
        <f t="shared" si="2"/>
        <v>06047</v>
      </c>
    </row>
    <row r="15945">
      <c r="A15945" s="48" t="s">
        <v>10536</v>
      </c>
      <c r="B15945" s="38">
        <v>72099.0</v>
      </c>
      <c r="C15945" s="38" t="s">
        <v>20317</v>
      </c>
      <c r="D15945" s="38" t="str">
        <f>IFERROR(__xludf.DUMMYFUNCTION("REGEXREPLACE(C15945,""-\d+(.*)|--\d+(.*)"","""")"),"COURCEBOEUFS")</f>
        <v>COURCEBOEUFS</v>
      </c>
      <c r="E15945" s="38" t="s">
        <v>521</v>
      </c>
      <c r="F15945" s="38" t="s">
        <v>180</v>
      </c>
      <c r="G15945" s="49" t="str">
        <f t="shared" si="1"/>
        <v>72290</v>
      </c>
      <c r="H15945" s="49">
        <f t="shared" si="2"/>
        <v>72099</v>
      </c>
    </row>
    <row r="15946">
      <c r="A15946" s="48" t="s">
        <v>1624</v>
      </c>
      <c r="B15946" s="38">
        <v>34025.0</v>
      </c>
      <c r="C15946" s="38" t="s">
        <v>20318</v>
      </c>
      <c r="D15946" s="38" t="str">
        <f>IFERROR(__xludf.DUMMYFUNCTION("REGEXREPLACE(C15946,""-\d+(.*)|--\d+(.*)"","""")"),"BASSAN")</f>
        <v>BASSAN</v>
      </c>
      <c r="E15946" s="38" t="s">
        <v>118</v>
      </c>
      <c r="F15946" s="38" t="s">
        <v>119</v>
      </c>
      <c r="G15946" s="49" t="str">
        <f t="shared" si="1"/>
        <v>34290</v>
      </c>
      <c r="H15946" s="49">
        <f t="shared" si="2"/>
        <v>34025</v>
      </c>
    </row>
    <row r="15947">
      <c r="A15947" s="48" t="s">
        <v>20319</v>
      </c>
      <c r="B15947" s="38">
        <v>29101.0</v>
      </c>
      <c r="C15947" s="38" t="s">
        <v>20320</v>
      </c>
      <c r="D15947" s="38" t="str">
        <f>IFERROR(__xludf.DUMMYFUNCTION("REGEXREPLACE(C15947,""-\d+(.*)|--\d+(.*)"","""")"),"LANDEDA")</f>
        <v>LANDEDA</v>
      </c>
      <c r="E15947" s="38" t="s">
        <v>176</v>
      </c>
      <c r="F15947" s="38" t="s">
        <v>90</v>
      </c>
      <c r="G15947" s="49" t="str">
        <f t="shared" si="1"/>
        <v>29870</v>
      </c>
      <c r="H15947" s="49">
        <f t="shared" si="2"/>
        <v>29101</v>
      </c>
    </row>
    <row r="15948">
      <c r="A15948" s="48" t="s">
        <v>20321</v>
      </c>
      <c r="B15948" s="38">
        <v>29239.0</v>
      </c>
      <c r="C15948" s="38" t="s">
        <v>20322</v>
      </c>
      <c r="D15948" s="38" t="str">
        <f>IFERROR(__xludf.DUMMYFUNCTION("REGEXREPLACE(C15948,""-\d+(.*)|--\d+(.*)"","""")"),"ROSCOFF")</f>
        <v>ROSCOFF</v>
      </c>
      <c r="E15948" s="38" t="s">
        <v>176</v>
      </c>
      <c r="F15948" s="38" t="s">
        <v>90</v>
      </c>
      <c r="G15948" s="49" t="str">
        <f t="shared" si="1"/>
        <v>29680</v>
      </c>
      <c r="H15948" s="49">
        <f t="shared" si="2"/>
        <v>29239</v>
      </c>
    </row>
    <row r="15949">
      <c r="A15949" s="48" t="s">
        <v>6997</v>
      </c>
      <c r="B15949" s="38">
        <v>62483.0</v>
      </c>
      <c r="C15949" s="38" t="s">
        <v>20323</v>
      </c>
      <c r="D15949" s="38" t="str">
        <f>IFERROR(__xludf.DUMMYFUNCTION("REGEXREPLACE(C15949,""-\d+(.*)|--\d+(.*)"","""")"),"LACRES")</f>
        <v>LACRES</v>
      </c>
      <c r="E15949" s="38" t="s">
        <v>109</v>
      </c>
      <c r="F15949" s="38" t="s">
        <v>86</v>
      </c>
      <c r="G15949" s="49" t="str">
        <f t="shared" si="1"/>
        <v>62830</v>
      </c>
      <c r="H15949" s="49">
        <f t="shared" si="2"/>
        <v>62483</v>
      </c>
    </row>
    <row r="15950">
      <c r="A15950" s="48" t="s">
        <v>5101</v>
      </c>
      <c r="B15950" s="38">
        <v>54487.0</v>
      </c>
      <c r="C15950" s="38" t="s">
        <v>20324</v>
      </c>
      <c r="D15950" s="38" t="str">
        <f>IFERROR(__xludf.DUMMYFUNCTION("REGEXREPLACE(C15950,""-\d+(.*)|--\d+(.*)"","""")"),"SAINT-REMY-AUX-BOIS")</f>
        <v>SAINT-REMY-AUX-BOIS</v>
      </c>
      <c r="E15950" s="38" t="s">
        <v>548</v>
      </c>
      <c r="F15950" s="38" t="s">
        <v>195</v>
      </c>
      <c r="G15950" s="49" t="str">
        <f t="shared" si="1"/>
        <v>54290</v>
      </c>
      <c r="H15950" s="49">
        <f t="shared" si="2"/>
        <v>54487</v>
      </c>
    </row>
    <row r="15951">
      <c r="A15951" s="48" t="s">
        <v>19737</v>
      </c>
      <c r="B15951" s="38">
        <v>24013.0</v>
      </c>
      <c r="C15951" s="38" t="s">
        <v>20325</v>
      </c>
      <c r="D15951" s="38" t="str">
        <f>IFERROR(__xludf.DUMMYFUNCTION("REGEXREPLACE(C15951,""-\d+(.*)|--\d+(.*)"","""")"),"ATUR")</f>
        <v>ATUR</v>
      </c>
      <c r="E15951" s="38" t="s">
        <v>261</v>
      </c>
      <c r="F15951" s="38" t="s">
        <v>252</v>
      </c>
      <c r="G15951" s="49" t="str">
        <f t="shared" si="1"/>
        <v>24750</v>
      </c>
      <c r="H15951" s="49">
        <f t="shared" si="2"/>
        <v>24013</v>
      </c>
    </row>
    <row r="15952">
      <c r="A15952" s="48" t="s">
        <v>2730</v>
      </c>
      <c r="B15952" s="38">
        <v>22373.0</v>
      </c>
      <c r="C15952" s="38" t="s">
        <v>20326</v>
      </c>
      <c r="D15952" s="38" t="str">
        <f>IFERROR(__xludf.DUMMYFUNCTION("REGEXREPLACE(C15952,""-\d+(.*)|--\d+(.*)"","""")"),"TREOGAN")</f>
        <v>TREOGAN</v>
      </c>
      <c r="E15952" s="38" t="s">
        <v>89</v>
      </c>
      <c r="F15952" s="38" t="s">
        <v>90</v>
      </c>
      <c r="G15952" s="49" t="str">
        <f t="shared" si="1"/>
        <v>22340</v>
      </c>
      <c r="H15952" s="49">
        <f t="shared" si="2"/>
        <v>22373</v>
      </c>
    </row>
    <row r="15953">
      <c r="A15953" s="48" t="s">
        <v>3572</v>
      </c>
      <c r="B15953" s="38">
        <v>63310.0</v>
      </c>
      <c r="C15953" s="38" t="s">
        <v>20327</v>
      </c>
      <c r="D15953" s="38" t="str">
        <f>IFERROR(__xludf.DUMMYFUNCTION("REGEXREPLACE(C15953,""-\d+(.*)|--\d+(.*)"","""")"),"SAINTE-AGATHE")</f>
        <v>SAINTE-AGATHE</v>
      </c>
      <c r="E15953" s="38" t="s">
        <v>353</v>
      </c>
      <c r="F15953" s="38" t="s">
        <v>161</v>
      </c>
      <c r="G15953" s="49" t="str">
        <f t="shared" si="1"/>
        <v>63120</v>
      </c>
      <c r="H15953" s="49">
        <f t="shared" si="2"/>
        <v>63310</v>
      </c>
    </row>
    <row r="15954">
      <c r="A15954" s="48" t="s">
        <v>124</v>
      </c>
      <c r="B15954" s="38">
        <v>26312.0</v>
      </c>
      <c r="C15954" s="38" t="s">
        <v>20328</v>
      </c>
      <c r="D15954" s="38" t="str">
        <f>IFERROR(__xludf.DUMMYFUNCTION("REGEXREPLACE(C15954,""-\d+(.*)|--\d+(.*)"","""")"),"SAINT-MARCEL-LES-SAUZET")</f>
        <v>SAINT-MARCEL-LES-SAUZET</v>
      </c>
      <c r="E15954" s="38" t="s">
        <v>126</v>
      </c>
      <c r="F15954" s="38" t="s">
        <v>102</v>
      </c>
      <c r="G15954" s="49" t="str">
        <f t="shared" si="1"/>
        <v>26740</v>
      </c>
      <c r="H15954" s="49">
        <f t="shared" si="2"/>
        <v>26312</v>
      </c>
    </row>
    <row r="15955">
      <c r="A15955" s="48" t="s">
        <v>8527</v>
      </c>
      <c r="B15955" s="38">
        <v>44163.0</v>
      </c>
      <c r="C15955" s="38" t="s">
        <v>20329</v>
      </c>
      <c r="D15955" s="38" t="str">
        <f>IFERROR(__xludf.DUMMYFUNCTION("REGEXREPLACE(C15955,""-\d+(.*)|--\d+(.*)"","""")"),"SAINT-HERBLON")</f>
        <v>SAINT-HERBLON</v>
      </c>
      <c r="E15955" s="38" t="s">
        <v>759</v>
      </c>
      <c r="F15955" s="38" t="s">
        <v>180</v>
      </c>
      <c r="G15955" s="49" t="str">
        <f t="shared" si="1"/>
        <v>44150</v>
      </c>
      <c r="H15955" s="49">
        <f t="shared" si="2"/>
        <v>44163</v>
      </c>
    </row>
    <row r="15956">
      <c r="A15956" s="48" t="s">
        <v>5612</v>
      </c>
      <c r="B15956" s="38">
        <v>52246.0</v>
      </c>
      <c r="C15956" s="38" t="s">
        <v>20330</v>
      </c>
      <c r="D15956" s="38" t="str">
        <f>IFERROR(__xludf.DUMMYFUNCTION("REGEXREPLACE(C15956,""-\d+(.*)|--\d+(.*)"","""")"),"HUMES-JORQUENAY")</f>
        <v>HUMES-JORQUENAY</v>
      </c>
      <c r="E15956" s="38" t="s">
        <v>234</v>
      </c>
      <c r="F15956" s="38" t="s">
        <v>130</v>
      </c>
      <c r="G15956" s="49" t="str">
        <f t="shared" si="1"/>
        <v>52200</v>
      </c>
      <c r="H15956" s="49">
        <f t="shared" si="2"/>
        <v>52246</v>
      </c>
    </row>
    <row r="15957">
      <c r="A15957" s="48" t="s">
        <v>20331</v>
      </c>
      <c r="B15957" s="38">
        <v>54184.0</v>
      </c>
      <c r="C15957" s="38" t="s">
        <v>20332</v>
      </c>
      <c r="D15957" s="38" t="str">
        <f>IFERROR(__xludf.DUMMYFUNCTION("REGEXREPLACE(C15957,""-\d+(.*)|--\d+(.*)"","""")"),"ESSEY-LES-NANCY")</f>
        <v>ESSEY-LES-NANCY</v>
      </c>
      <c r="E15957" s="38" t="s">
        <v>548</v>
      </c>
      <c r="F15957" s="38" t="s">
        <v>195</v>
      </c>
      <c r="G15957" s="49" t="str">
        <f t="shared" si="1"/>
        <v>54270</v>
      </c>
      <c r="H15957" s="49">
        <f t="shared" si="2"/>
        <v>54184</v>
      </c>
    </row>
    <row r="15958">
      <c r="A15958" s="48" t="s">
        <v>4898</v>
      </c>
      <c r="B15958" s="38">
        <v>27016.0</v>
      </c>
      <c r="C15958" s="38" t="s">
        <v>20333</v>
      </c>
      <c r="D15958" s="38" t="str">
        <f>IFERROR(__xludf.DUMMYFUNCTION("REGEXREPLACE(C15958,""-\d+(.*)|--\d+(.*)"","""")"),"LES ANDELYS")</f>
        <v>LES ANDELYS</v>
      </c>
      <c r="E15958" s="38" t="s">
        <v>241</v>
      </c>
      <c r="F15958" s="38" t="s">
        <v>134</v>
      </c>
      <c r="G15958" s="49" t="str">
        <f t="shared" si="1"/>
        <v>27700</v>
      </c>
      <c r="H15958" s="49">
        <f t="shared" si="2"/>
        <v>27016</v>
      </c>
    </row>
    <row r="15959">
      <c r="A15959" s="48" t="s">
        <v>2532</v>
      </c>
      <c r="B15959" s="38">
        <v>51005.0</v>
      </c>
      <c r="C15959" s="38" t="s">
        <v>20334</v>
      </c>
      <c r="D15959" s="38" t="str">
        <f>IFERROR(__xludf.DUMMYFUNCTION("REGEXREPLACE(C15959,""-\d+(.*)|--\d+(.*)"","""")"),"ALLEMANT")</f>
        <v>ALLEMANT</v>
      </c>
      <c r="E15959" s="38" t="s">
        <v>129</v>
      </c>
      <c r="F15959" s="38" t="s">
        <v>130</v>
      </c>
      <c r="G15959" s="49" t="str">
        <f t="shared" si="1"/>
        <v>51120</v>
      </c>
      <c r="H15959" s="49">
        <f t="shared" si="2"/>
        <v>51005</v>
      </c>
    </row>
    <row r="15960">
      <c r="A15960" s="48" t="s">
        <v>4235</v>
      </c>
      <c r="B15960" s="38">
        <v>50554.0</v>
      </c>
      <c r="C15960" s="38" t="s">
        <v>20335</v>
      </c>
      <c r="D15960" s="38" t="str">
        <f>IFERROR(__xludf.DUMMYFUNCTION("REGEXREPLACE(C15960,""-\d+(.*)|--\d+(.*)"","""")"),"SAINT-SENIER-SOUS-AVRANCHES")</f>
        <v>SAINT-SENIER-SOUS-AVRANCHES</v>
      </c>
      <c r="E15960" s="38" t="s">
        <v>157</v>
      </c>
      <c r="F15960" s="38" t="s">
        <v>138</v>
      </c>
      <c r="G15960" s="49" t="str">
        <f t="shared" si="1"/>
        <v>50300</v>
      </c>
      <c r="H15960" s="49">
        <f t="shared" si="2"/>
        <v>50554</v>
      </c>
    </row>
    <row r="15961">
      <c r="A15961" s="48" t="s">
        <v>10052</v>
      </c>
      <c r="B15961" s="38">
        <v>39269.0</v>
      </c>
      <c r="C15961" s="38" t="s">
        <v>20336</v>
      </c>
      <c r="D15961" s="38" t="str">
        <f>IFERROR(__xludf.DUMMYFUNCTION("REGEXREPLACE(C15961,""-\d+(.*)|--\d+(.*)"","""")"),"JEURRE")</f>
        <v>JEURRE</v>
      </c>
      <c r="E15961" s="38" t="s">
        <v>400</v>
      </c>
      <c r="F15961" s="38" t="s">
        <v>214</v>
      </c>
      <c r="G15961" s="49" t="str">
        <f t="shared" si="1"/>
        <v>39360</v>
      </c>
      <c r="H15961" s="49">
        <f t="shared" si="2"/>
        <v>39269</v>
      </c>
    </row>
    <row r="15962">
      <c r="A15962" s="48" t="s">
        <v>2389</v>
      </c>
      <c r="B15962" s="38">
        <v>64025.0</v>
      </c>
      <c r="C15962" s="38" t="s">
        <v>20337</v>
      </c>
      <c r="D15962" s="38" t="str">
        <f>IFERROR(__xludf.DUMMYFUNCTION("REGEXREPLACE(C15962,""-\d+(.*)|--\d+(.*)"","""")"),"ANGOUS")</f>
        <v>ANGOUS</v>
      </c>
      <c r="E15962" s="38" t="s">
        <v>268</v>
      </c>
      <c r="F15962" s="38" t="s">
        <v>252</v>
      </c>
      <c r="G15962" s="49" t="str">
        <f t="shared" si="1"/>
        <v>64190</v>
      </c>
      <c r="H15962" s="49">
        <f t="shared" si="2"/>
        <v>64025</v>
      </c>
    </row>
    <row r="15963">
      <c r="A15963" s="48" t="s">
        <v>9844</v>
      </c>
      <c r="B15963" s="38">
        <v>17430.0</v>
      </c>
      <c r="C15963" s="38" t="s">
        <v>20338</v>
      </c>
      <c r="D15963" s="38" t="str">
        <f>IFERROR(__xludf.DUMMYFUNCTION("REGEXREPLACE(C15963,""-\d+(.*)|--\d+(.*)"","""")"),"SOUBRAN")</f>
        <v>SOUBRAN</v>
      </c>
      <c r="E15963" s="38" t="s">
        <v>488</v>
      </c>
      <c r="F15963" s="38" t="s">
        <v>338</v>
      </c>
      <c r="G15963" s="49" t="str">
        <f t="shared" si="1"/>
        <v>17150</v>
      </c>
      <c r="H15963" s="49">
        <f t="shared" si="2"/>
        <v>17430</v>
      </c>
    </row>
    <row r="15964">
      <c r="A15964" s="48" t="s">
        <v>6549</v>
      </c>
      <c r="B15964" s="38">
        <v>33434.0</v>
      </c>
      <c r="C15964" s="38" t="s">
        <v>20339</v>
      </c>
      <c r="D15964" s="38" t="str">
        <f>IFERROR(__xludf.DUMMYFUNCTION("REGEXREPLACE(C15964,""-\d+(.*)|--\d+(.*)"","""")"),"SAINT-LOUIS-DE-MONTFERRAND")</f>
        <v>SAINT-LOUIS-DE-MONTFERRAND</v>
      </c>
      <c r="E15964" s="38" t="s">
        <v>462</v>
      </c>
      <c r="F15964" s="38" t="s">
        <v>252</v>
      </c>
      <c r="G15964" s="49" t="str">
        <f t="shared" si="1"/>
        <v>33440</v>
      </c>
      <c r="H15964" s="49">
        <f t="shared" si="2"/>
        <v>33434</v>
      </c>
    </row>
    <row r="15965">
      <c r="A15965" s="48" t="s">
        <v>5587</v>
      </c>
      <c r="B15965" s="38">
        <v>3259.0</v>
      </c>
      <c r="C15965" s="38" t="s">
        <v>20340</v>
      </c>
      <c r="D15965" s="38" t="str">
        <f>IFERROR(__xludf.DUMMYFUNCTION("REGEXREPLACE(C15965,""-\d+(.*)|--\d+(.*)"","""")"),"SAINT-SAUVIER")</f>
        <v>SAINT-SAUVIER</v>
      </c>
      <c r="E15965" s="38" t="s">
        <v>160</v>
      </c>
      <c r="F15965" s="38" t="s">
        <v>161</v>
      </c>
      <c r="G15965" s="49" t="str">
        <f t="shared" si="1"/>
        <v>03370</v>
      </c>
      <c r="H15965" s="49" t="str">
        <f t="shared" si="2"/>
        <v>03259</v>
      </c>
    </row>
    <row r="15966">
      <c r="A15966" s="48" t="s">
        <v>1033</v>
      </c>
      <c r="B15966" s="38">
        <v>67374.0</v>
      </c>
      <c r="C15966" s="38" t="s">
        <v>20341</v>
      </c>
      <c r="D15966" s="38" t="str">
        <f>IFERROR(__xludf.DUMMYFUNCTION("REGEXREPLACE(C15966,""-\d+(.*)|--\d+(.*)"","""")"),"PFETTISHEIM")</f>
        <v>PFETTISHEIM</v>
      </c>
      <c r="E15966" s="38" t="s">
        <v>210</v>
      </c>
      <c r="F15966" s="38" t="s">
        <v>151</v>
      </c>
      <c r="G15966" s="49" t="str">
        <f t="shared" si="1"/>
        <v>67370</v>
      </c>
      <c r="H15966" s="49">
        <f t="shared" si="2"/>
        <v>67374</v>
      </c>
    </row>
    <row r="15967">
      <c r="A15967" s="48" t="s">
        <v>564</v>
      </c>
      <c r="B15967" s="38">
        <v>73147.0</v>
      </c>
      <c r="C15967" s="38" t="s">
        <v>20342</v>
      </c>
      <c r="D15967" s="38" t="str">
        <f>IFERROR(__xludf.DUMMYFUNCTION("REGEXREPLACE(C15967,""-\d+(.*)|--\d+(.*)"","""")"),"LOISIEUX")</f>
        <v>LOISIEUX</v>
      </c>
      <c r="E15967" s="38" t="s">
        <v>306</v>
      </c>
      <c r="F15967" s="38" t="s">
        <v>102</v>
      </c>
      <c r="G15967" s="49" t="str">
        <f t="shared" si="1"/>
        <v>73170</v>
      </c>
      <c r="H15967" s="49">
        <f t="shared" si="2"/>
        <v>73147</v>
      </c>
    </row>
    <row r="15968">
      <c r="A15968" s="48" t="s">
        <v>1681</v>
      </c>
      <c r="B15968" s="38">
        <v>80220.0</v>
      </c>
      <c r="C15968" s="38" t="s">
        <v>20343</v>
      </c>
      <c r="D15968" s="38" t="str">
        <f>IFERROR(__xludf.DUMMYFUNCTION("REGEXREPLACE(C15968,""-\d+(.*)|--\d+(.*)"","""")"),"COURTEMANCHE")</f>
        <v>COURTEMANCHE</v>
      </c>
      <c r="E15968" s="38" t="s">
        <v>224</v>
      </c>
      <c r="F15968" s="38" t="s">
        <v>113</v>
      </c>
      <c r="G15968" s="49" t="str">
        <f t="shared" si="1"/>
        <v>80500</v>
      </c>
      <c r="H15968" s="49">
        <f t="shared" si="2"/>
        <v>80220</v>
      </c>
    </row>
    <row r="15969">
      <c r="A15969" s="48" t="s">
        <v>20344</v>
      </c>
      <c r="B15969" s="38">
        <v>78263.0</v>
      </c>
      <c r="C15969" s="38" t="s">
        <v>20345</v>
      </c>
      <c r="D15969" s="38" t="str">
        <f>IFERROR(__xludf.DUMMYFUNCTION("REGEXREPLACE(C15969,""-\d+(.*)|--\d+(.*)"","""")"),"GAMBAIS")</f>
        <v>GAMBAIS</v>
      </c>
      <c r="E15969" s="38" t="s">
        <v>362</v>
      </c>
      <c r="F15969" s="38" t="s">
        <v>245</v>
      </c>
      <c r="G15969" s="49" t="str">
        <f t="shared" si="1"/>
        <v>78950</v>
      </c>
      <c r="H15969" s="49">
        <f t="shared" si="2"/>
        <v>78263</v>
      </c>
    </row>
    <row r="15970">
      <c r="A15970" s="48" t="s">
        <v>20346</v>
      </c>
      <c r="B15970" s="38">
        <v>22357.0</v>
      </c>
      <c r="C15970" s="38" t="s">
        <v>20347</v>
      </c>
      <c r="D15970" s="38" t="str">
        <f>IFERROR(__xludf.DUMMYFUNCTION("REGEXREPLACE(C15970,""-\d+(.*)|--\d+(.*)"","""")"),"TREGON")</f>
        <v>TREGON</v>
      </c>
      <c r="E15970" s="38" t="s">
        <v>89</v>
      </c>
      <c r="F15970" s="38" t="s">
        <v>90</v>
      </c>
      <c r="G15970" s="49" t="str">
        <f t="shared" si="1"/>
        <v>22650</v>
      </c>
      <c r="H15970" s="49">
        <f t="shared" si="2"/>
        <v>22357</v>
      </c>
    </row>
    <row r="15971">
      <c r="A15971" s="48" t="s">
        <v>1827</v>
      </c>
      <c r="B15971" s="38">
        <v>77314.0</v>
      </c>
      <c r="C15971" s="38" t="s">
        <v>20348</v>
      </c>
      <c r="D15971" s="38" t="str">
        <f>IFERROR(__xludf.DUMMYFUNCTION("REGEXREPLACE(C15971,""-\d+(.*)|--\d+(.*)"","""")"),"MONTOLIVET")</f>
        <v>MONTOLIVET</v>
      </c>
      <c r="E15971" s="38" t="s">
        <v>244</v>
      </c>
      <c r="F15971" s="38" t="s">
        <v>245</v>
      </c>
      <c r="G15971" s="49" t="str">
        <f t="shared" si="1"/>
        <v>77320</v>
      </c>
      <c r="H15971" s="49">
        <f t="shared" si="2"/>
        <v>77314</v>
      </c>
    </row>
    <row r="15972">
      <c r="A15972" s="48" t="s">
        <v>5732</v>
      </c>
      <c r="B15972" s="38">
        <v>12251.0</v>
      </c>
      <c r="C15972" s="38" t="s">
        <v>20349</v>
      </c>
      <c r="D15972" s="38" t="str">
        <f>IFERROR(__xludf.DUMMYFUNCTION("REGEXREPLACE(C15972,""-\d+(.*)|--\d+(.*)"","""")"),"SAINT-VICTOR-ET-MELVIEU")</f>
        <v>SAINT-VICTOR-ET-MELVIEU</v>
      </c>
      <c r="E15972" s="38" t="s">
        <v>465</v>
      </c>
      <c r="F15972" s="38" t="s">
        <v>94</v>
      </c>
      <c r="G15972" s="49" t="str">
        <f t="shared" si="1"/>
        <v>12400</v>
      </c>
      <c r="H15972" s="49">
        <f t="shared" si="2"/>
        <v>12251</v>
      </c>
    </row>
    <row r="15973">
      <c r="A15973" s="48" t="s">
        <v>12127</v>
      </c>
      <c r="B15973" s="38">
        <v>7193.0</v>
      </c>
      <c r="C15973" s="38" t="s">
        <v>20350</v>
      </c>
      <c r="D15973" s="38" t="str">
        <f>IFERROR(__xludf.DUMMYFUNCTION("REGEXREPLACE(C15973,""-\d+(.*)|--\d+(.*)"","""")"),"ROCHER")</f>
        <v>ROCHER</v>
      </c>
      <c r="E15973" s="38" t="s">
        <v>144</v>
      </c>
      <c r="F15973" s="38" t="s">
        <v>102</v>
      </c>
      <c r="G15973" s="49" t="str">
        <f t="shared" si="1"/>
        <v>07110</v>
      </c>
      <c r="H15973" s="49" t="str">
        <f t="shared" si="2"/>
        <v>07193</v>
      </c>
    </row>
    <row r="15974">
      <c r="A15974" s="48" t="s">
        <v>3747</v>
      </c>
      <c r="B15974" s="38">
        <v>52229.0</v>
      </c>
      <c r="C15974" s="38" t="s">
        <v>20351</v>
      </c>
      <c r="D15974" s="38" t="str">
        <f>IFERROR(__xludf.DUMMYFUNCTION("REGEXREPLACE(C15974,""-\d+(.*)|--\d+(.*)"","""")"),"GRENANT")</f>
        <v>GRENANT</v>
      </c>
      <c r="E15974" s="38" t="s">
        <v>234</v>
      </c>
      <c r="F15974" s="38" t="s">
        <v>130</v>
      </c>
      <c r="G15974" s="49" t="str">
        <f t="shared" si="1"/>
        <v>52500</v>
      </c>
      <c r="H15974" s="49">
        <f t="shared" si="2"/>
        <v>52229</v>
      </c>
    </row>
    <row r="15975">
      <c r="A15975" s="48" t="s">
        <v>7052</v>
      </c>
      <c r="B15975" s="38">
        <v>10414.0</v>
      </c>
      <c r="C15975" s="38" t="s">
        <v>20352</v>
      </c>
      <c r="D15975" s="38" t="str">
        <f>IFERROR(__xludf.DUMMYFUNCTION("REGEXREPLACE(C15975,""-\d+(.*)|--\d+(.*)"","""")"),"VILLELOUP")</f>
        <v>VILLELOUP</v>
      </c>
      <c r="E15975" s="38" t="s">
        <v>147</v>
      </c>
      <c r="F15975" s="38" t="s">
        <v>130</v>
      </c>
      <c r="G15975" s="49" t="str">
        <f t="shared" si="1"/>
        <v>10350</v>
      </c>
      <c r="H15975" s="49">
        <f t="shared" si="2"/>
        <v>10414</v>
      </c>
    </row>
    <row r="15976">
      <c r="A15976" s="48" t="s">
        <v>294</v>
      </c>
      <c r="B15976" s="38">
        <v>40275.0</v>
      </c>
      <c r="C15976" s="38" t="s">
        <v>20353</v>
      </c>
      <c r="D15976" s="38" t="str">
        <f>IFERROR(__xludf.DUMMYFUNCTION("REGEXREPLACE(C15976,""-\d+(.*)|--\d+(.*)"","""")"),"SAINT-MAURICE-SUR-ADOUR")</f>
        <v>SAINT-MAURICE-SUR-ADOUR</v>
      </c>
      <c r="E15976" s="38" t="s">
        <v>281</v>
      </c>
      <c r="F15976" s="38" t="s">
        <v>252</v>
      </c>
      <c r="G15976" s="49" t="str">
        <f t="shared" si="1"/>
        <v>40270</v>
      </c>
      <c r="H15976" s="49">
        <f t="shared" si="2"/>
        <v>40275</v>
      </c>
    </row>
    <row r="15977">
      <c r="A15977" s="48" t="s">
        <v>2736</v>
      </c>
      <c r="B15977" s="38">
        <v>89326.0</v>
      </c>
      <c r="C15977" s="38" t="s">
        <v>8077</v>
      </c>
      <c r="D15977" s="38" t="str">
        <f>IFERROR(__xludf.DUMMYFUNCTION("REGEXREPLACE(C15977,""-\d+(.*)|--\d+(.*)"","""")"),"ROSOY")</f>
        <v>ROSOY</v>
      </c>
      <c r="E15977" s="38" t="s">
        <v>275</v>
      </c>
      <c r="F15977" s="38" t="s">
        <v>106</v>
      </c>
      <c r="G15977" s="49" t="str">
        <f t="shared" si="1"/>
        <v>89100</v>
      </c>
      <c r="H15977" s="49">
        <f t="shared" si="2"/>
        <v>89326</v>
      </c>
    </row>
    <row r="15978">
      <c r="A15978" s="48" t="s">
        <v>20354</v>
      </c>
      <c r="B15978" s="38">
        <v>74290.0</v>
      </c>
      <c r="C15978" s="38" t="s">
        <v>20355</v>
      </c>
      <c r="D15978" s="38" t="str">
        <f>IFERROR(__xludf.DUMMYFUNCTION("REGEXREPLACE(C15978,""-\d+(.*)|--\d+(.*)"","""")"),"VALLORCINE")</f>
        <v>VALLORCINE</v>
      </c>
      <c r="E15978" s="38" t="s">
        <v>319</v>
      </c>
      <c r="F15978" s="38" t="s">
        <v>102</v>
      </c>
      <c r="G15978" s="49" t="str">
        <f t="shared" si="1"/>
        <v>74660</v>
      </c>
      <c r="H15978" s="49">
        <f t="shared" si="2"/>
        <v>74290</v>
      </c>
    </row>
    <row r="15979">
      <c r="A15979" s="48" t="s">
        <v>4267</v>
      </c>
      <c r="B15979" s="38">
        <v>62562.0</v>
      </c>
      <c r="C15979" s="38" t="s">
        <v>20356</v>
      </c>
      <c r="D15979" s="38" t="str">
        <f>IFERROR(__xludf.DUMMYFUNCTION("REGEXREPLACE(C15979,""-\d+(.*)|--\d+(.*)"","""")"),"MATRINGHEM")</f>
        <v>MATRINGHEM</v>
      </c>
      <c r="E15979" s="38" t="s">
        <v>109</v>
      </c>
      <c r="F15979" s="38" t="s">
        <v>86</v>
      </c>
      <c r="G15979" s="49" t="str">
        <f t="shared" si="1"/>
        <v>62310</v>
      </c>
      <c r="H15979" s="49">
        <f t="shared" si="2"/>
        <v>62562</v>
      </c>
    </row>
    <row r="15980">
      <c r="A15980" s="48" t="s">
        <v>20357</v>
      </c>
      <c r="B15980" s="38">
        <v>97104.0</v>
      </c>
      <c r="C15980" s="38" t="s">
        <v>20358</v>
      </c>
      <c r="D15980" s="38" t="str">
        <f>IFERROR(__xludf.DUMMYFUNCTION("REGEXREPLACE(C15980,""-\d+(.*)|--\d+(.*)"","""")"),"BAILLIF")</f>
        <v>BAILLIF</v>
      </c>
      <c r="E15980" s="38" t="s">
        <v>2023</v>
      </c>
      <c r="F15980" s="38" t="s">
        <v>2023</v>
      </c>
      <c r="G15980" s="49" t="str">
        <f t="shared" si="1"/>
        <v>97123</v>
      </c>
      <c r="H15980" s="49">
        <f t="shared" si="2"/>
        <v>97104</v>
      </c>
    </row>
    <row r="15981">
      <c r="A15981" s="48" t="s">
        <v>20359</v>
      </c>
      <c r="B15981" s="38">
        <v>62628.0</v>
      </c>
      <c r="C15981" s="38" t="s">
        <v>20360</v>
      </c>
      <c r="D15981" s="38" t="str">
        <f>IFERROR(__xludf.DUMMYFUNCTION("REGEXREPLACE(C15981,""-\d+(.*)|--\d+(.*)"","""")"),"NOYELLES-SOUS-LENS")</f>
        <v>NOYELLES-SOUS-LENS</v>
      </c>
      <c r="E15981" s="38" t="s">
        <v>109</v>
      </c>
      <c r="F15981" s="38" t="s">
        <v>86</v>
      </c>
      <c r="G15981" s="49" t="str">
        <f t="shared" si="1"/>
        <v>62221</v>
      </c>
      <c r="H15981" s="49">
        <f t="shared" si="2"/>
        <v>62628</v>
      </c>
    </row>
    <row r="15982">
      <c r="A15982" s="48" t="s">
        <v>2957</v>
      </c>
      <c r="B15982" s="38">
        <v>86140.0</v>
      </c>
      <c r="C15982" s="38" t="s">
        <v>20361</v>
      </c>
      <c r="D15982" s="38" t="str">
        <f>IFERROR(__xludf.DUMMYFUNCTION("REGEXREPLACE(C15982,""-\d+(.*)|--\d+(.*)"","""")"),"LUSSAC-LES-CHATEAUX")</f>
        <v>LUSSAC-LES-CHATEAUX</v>
      </c>
      <c r="E15982" s="38" t="s">
        <v>529</v>
      </c>
      <c r="F15982" s="38" t="s">
        <v>338</v>
      </c>
      <c r="G15982" s="49" t="str">
        <f t="shared" si="1"/>
        <v>86320</v>
      </c>
      <c r="H15982" s="49">
        <f t="shared" si="2"/>
        <v>86140</v>
      </c>
    </row>
    <row r="15983">
      <c r="A15983" s="48" t="s">
        <v>4328</v>
      </c>
      <c r="B15983" s="38">
        <v>70039.0</v>
      </c>
      <c r="C15983" s="38" t="s">
        <v>20362</v>
      </c>
      <c r="D15983" s="38" t="str">
        <f>IFERROR(__xludf.DUMMYFUNCTION("REGEXREPLACE(C15983,""-\d+(.*)|--\d+(.*)"","""")"),"AUTOREILLE")</f>
        <v>AUTOREILLE</v>
      </c>
      <c r="E15983" s="38" t="s">
        <v>956</v>
      </c>
      <c r="F15983" s="38" t="s">
        <v>214</v>
      </c>
      <c r="G15983" s="49" t="str">
        <f t="shared" si="1"/>
        <v>70700</v>
      </c>
      <c r="H15983" s="49">
        <f t="shared" si="2"/>
        <v>70039</v>
      </c>
    </row>
    <row r="15984">
      <c r="A15984" s="48" t="s">
        <v>10930</v>
      </c>
      <c r="B15984" s="38">
        <v>62889.0</v>
      </c>
      <c r="C15984" s="38" t="s">
        <v>20363</v>
      </c>
      <c r="D15984" s="38" t="str">
        <f>IFERROR(__xludf.DUMMYFUNCTION("REGEXREPLACE(C15984,""-\d+(.*)|--\d+(.*)"","""")"),"WIERRE-EFFROY")</f>
        <v>WIERRE-EFFROY</v>
      </c>
      <c r="E15984" s="38" t="s">
        <v>109</v>
      </c>
      <c r="F15984" s="38" t="s">
        <v>86</v>
      </c>
      <c r="G15984" s="49" t="str">
        <f t="shared" si="1"/>
        <v>62720</v>
      </c>
      <c r="H15984" s="49">
        <f t="shared" si="2"/>
        <v>62889</v>
      </c>
    </row>
    <row r="15985">
      <c r="A15985" s="48" t="s">
        <v>2040</v>
      </c>
      <c r="B15985" s="38">
        <v>59374.0</v>
      </c>
      <c r="C15985" s="38" t="s">
        <v>20364</v>
      </c>
      <c r="D15985" s="38" t="str">
        <f>IFERROR(__xludf.DUMMYFUNCTION("REGEXREPLACE(C15985,""-\d+(.*)|--\d+(.*)"","""")"),"MARBAIX")</f>
        <v>MARBAIX</v>
      </c>
      <c r="E15985" s="38" t="s">
        <v>85</v>
      </c>
      <c r="F15985" s="38" t="s">
        <v>86</v>
      </c>
      <c r="G15985" s="49" t="str">
        <f t="shared" si="1"/>
        <v>59440</v>
      </c>
      <c r="H15985" s="49">
        <f t="shared" si="2"/>
        <v>59374</v>
      </c>
    </row>
    <row r="15986">
      <c r="A15986" s="48" t="s">
        <v>20365</v>
      </c>
      <c r="B15986" s="38">
        <v>97210.0</v>
      </c>
      <c r="C15986" s="38" t="s">
        <v>20366</v>
      </c>
      <c r="D15986" s="38" t="str">
        <f>IFERROR(__xludf.DUMMYFUNCTION("REGEXREPLACE(C15986,""-\d+(.*)|--\d+(.*)"","""")"),"LE FRANCOIS")</f>
        <v>LE FRANCOIS</v>
      </c>
      <c r="E15986" s="38" t="s">
        <v>2282</v>
      </c>
      <c r="F15986" s="38" t="s">
        <v>2282</v>
      </c>
      <c r="G15986" s="49" t="str">
        <f t="shared" si="1"/>
        <v>97240</v>
      </c>
      <c r="H15986" s="49">
        <f t="shared" si="2"/>
        <v>97210</v>
      </c>
    </row>
    <row r="15987">
      <c r="A15987" s="48" t="s">
        <v>20367</v>
      </c>
      <c r="B15987" s="38">
        <v>74164.0</v>
      </c>
      <c r="C15987" s="38" t="s">
        <v>20368</v>
      </c>
      <c r="D15987" s="38" t="str">
        <f>IFERROR(__xludf.DUMMYFUNCTION("REGEXREPLACE(C15987,""-\d+(.*)|--\d+(.*)"","""")"),"MARIGNIER")</f>
        <v>MARIGNIER</v>
      </c>
      <c r="E15987" s="38" t="s">
        <v>319</v>
      </c>
      <c r="F15987" s="38" t="s">
        <v>102</v>
      </c>
      <c r="G15987" s="49" t="str">
        <f t="shared" si="1"/>
        <v>74970</v>
      </c>
      <c r="H15987" s="49">
        <f t="shared" si="2"/>
        <v>74164</v>
      </c>
    </row>
    <row r="15988">
      <c r="A15988" s="48" t="s">
        <v>12300</v>
      </c>
      <c r="B15988" s="38">
        <v>37246.0</v>
      </c>
      <c r="C15988" s="38" t="s">
        <v>20369</v>
      </c>
      <c r="D15988" s="38" t="str">
        <f>IFERROR(__xludf.DUMMYFUNCTION("REGEXREPLACE(C15988,""-\d+(.*)|--\d+(.*)"","""")"),"SENNEVIERES")</f>
        <v>SENNEVIERES</v>
      </c>
      <c r="E15988" s="38" t="s">
        <v>205</v>
      </c>
      <c r="F15988" s="38" t="s">
        <v>123</v>
      </c>
      <c r="G15988" s="49" t="str">
        <f t="shared" si="1"/>
        <v>37600</v>
      </c>
      <c r="H15988" s="49">
        <f t="shared" si="2"/>
        <v>37246</v>
      </c>
    </row>
    <row r="15989">
      <c r="A15989" s="48" t="s">
        <v>20370</v>
      </c>
      <c r="B15989" s="38">
        <v>67240.0</v>
      </c>
      <c r="C15989" s="38" t="s">
        <v>20371</v>
      </c>
      <c r="D15989" s="38" t="str">
        <f>IFERROR(__xludf.DUMMYFUNCTION("REGEXREPLACE(C15989,""-\d+(.*)|--\d+(.*)"","""")"),"KIRCHHEIM")</f>
        <v>KIRCHHEIM</v>
      </c>
      <c r="E15989" s="38" t="s">
        <v>210</v>
      </c>
      <c r="F15989" s="38" t="s">
        <v>151</v>
      </c>
      <c r="G15989" s="49" t="str">
        <f t="shared" si="1"/>
        <v>67520</v>
      </c>
      <c r="H15989" s="49">
        <f t="shared" si="2"/>
        <v>67240</v>
      </c>
    </row>
    <row r="15990">
      <c r="A15990" s="48" t="s">
        <v>8084</v>
      </c>
      <c r="B15990" s="38">
        <v>16168.0</v>
      </c>
      <c r="C15990" s="38" t="s">
        <v>20372</v>
      </c>
      <c r="D15990" s="38" t="str">
        <f>IFERROR(__xludf.DUMMYFUNCTION("REGEXREPLACE(C15990,""-\d+(.*)|--\d+(.*)"","""")"),"JAULDES")</f>
        <v>JAULDES</v>
      </c>
      <c r="E15990" s="38" t="s">
        <v>429</v>
      </c>
      <c r="F15990" s="38" t="s">
        <v>338</v>
      </c>
      <c r="G15990" s="49" t="str">
        <f t="shared" si="1"/>
        <v>16560</v>
      </c>
      <c r="H15990" s="49">
        <f t="shared" si="2"/>
        <v>16168</v>
      </c>
    </row>
    <row r="15991">
      <c r="A15991" s="48" t="s">
        <v>2882</v>
      </c>
      <c r="B15991" s="38">
        <v>76122.0</v>
      </c>
      <c r="C15991" s="38" t="s">
        <v>20373</v>
      </c>
      <c r="D15991" s="38" t="str">
        <f>IFERROR(__xludf.DUMMYFUNCTION("REGEXREPLACE(C15991,""-\d+(.*)|--\d+(.*)"","""")"),"CALLENGEVILLE")</f>
        <v>CALLENGEVILLE</v>
      </c>
      <c r="E15991" s="38" t="s">
        <v>133</v>
      </c>
      <c r="F15991" s="38" t="s">
        <v>134</v>
      </c>
      <c r="G15991" s="49" t="str">
        <f t="shared" si="1"/>
        <v>76270</v>
      </c>
      <c r="H15991" s="49">
        <f t="shared" si="2"/>
        <v>76122</v>
      </c>
    </row>
    <row r="15992">
      <c r="A15992" s="48" t="s">
        <v>4304</v>
      </c>
      <c r="B15992" s="38">
        <v>44121.0</v>
      </c>
      <c r="C15992" s="38" t="s">
        <v>20374</v>
      </c>
      <c r="D15992" s="38" t="str">
        <f>IFERROR(__xludf.DUMMYFUNCTION("REGEXREPLACE(C15992,""-\d+(.*)|--\d+(.*)"","""")"),"PETIT-AUVERNE")</f>
        <v>PETIT-AUVERNE</v>
      </c>
      <c r="E15992" s="38" t="s">
        <v>759</v>
      </c>
      <c r="F15992" s="38" t="s">
        <v>180</v>
      </c>
      <c r="G15992" s="49" t="str">
        <f t="shared" si="1"/>
        <v>44670</v>
      </c>
      <c r="H15992" s="49">
        <f t="shared" si="2"/>
        <v>44121</v>
      </c>
    </row>
    <row r="15993">
      <c r="A15993" s="48" t="s">
        <v>7492</v>
      </c>
      <c r="B15993" s="38">
        <v>15131.0</v>
      </c>
      <c r="C15993" s="38" t="s">
        <v>20375</v>
      </c>
      <c r="D15993" s="38" t="str">
        <f>IFERROR(__xludf.DUMMYFUNCTION("REGEXREPLACE(C15993,""-\d+(.*)|--\d+(.*)"","""")"),"LE MONTEIL")</f>
        <v>LE MONTEIL</v>
      </c>
      <c r="E15993" s="38" t="s">
        <v>632</v>
      </c>
      <c r="F15993" s="38" t="s">
        <v>161</v>
      </c>
      <c r="G15993" s="49" t="str">
        <f t="shared" si="1"/>
        <v>15240</v>
      </c>
      <c r="H15993" s="49">
        <f t="shared" si="2"/>
        <v>15131</v>
      </c>
    </row>
    <row r="15994">
      <c r="A15994" s="48" t="s">
        <v>2981</v>
      </c>
      <c r="B15994" s="38">
        <v>21179.0</v>
      </c>
      <c r="C15994" s="38" t="s">
        <v>20376</v>
      </c>
      <c r="D15994" s="38" t="str">
        <f>IFERROR(__xludf.DUMMYFUNCTION("REGEXREPLACE(C15994,""-\d+(.*)|--\d+(.*)"","""")"),"CLENAY")</f>
        <v>CLENAY</v>
      </c>
      <c r="E15994" s="38" t="s">
        <v>105</v>
      </c>
      <c r="F15994" s="38" t="s">
        <v>106</v>
      </c>
      <c r="G15994" s="49" t="str">
        <f t="shared" si="1"/>
        <v>21490</v>
      </c>
      <c r="H15994" s="49">
        <f t="shared" si="2"/>
        <v>21179</v>
      </c>
    </row>
    <row r="15995">
      <c r="A15995" s="48" t="s">
        <v>9006</v>
      </c>
      <c r="B15995" s="38">
        <v>67382.0</v>
      </c>
      <c r="C15995" s="38" t="s">
        <v>20377</v>
      </c>
      <c r="D15995" s="38" t="str">
        <f>IFERROR(__xludf.DUMMYFUNCTION("REGEXREPLACE(C15995,""-\d+(.*)|--\d+(.*)"","""")"),"QUATZENHEIM")</f>
        <v>QUATZENHEIM</v>
      </c>
      <c r="E15995" s="38" t="s">
        <v>210</v>
      </c>
      <c r="F15995" s="38" t="s">
        <v>151</v>
      </c>
      <c r="G15995" s="49" t="str">
        <f t="shared" si="1"/>
        <v>67117</v>
      </c>
      <c r="H15995" s="49">
        <f t="shared" si="2"/>
        <v>67382</v>
      </c>
    </row>
    <row r="15996">
      <c r="A15996" s="48" t="s">
        <v>3337</v>
      </c>
      <c r="B15996" s="38">
        <v>34173.0</v>
      </c>
      <c r="C15996" s="38" t="s">
        <v>8273</v>
      </c>
      <c r="D15996" s="38" t="str">
        <f>IFERROR(__xludf.DUMMYFUNCTION("REGEXREPLACE(C15996,""-\d+(.*)|--\d+(.*)"","""")"),"MONTPEYROUX")</f>
        <v>MONTPEYROUX</v>
      </c>
      <c r="E15996" s="38" t="s">
        <v>118</v>
      </c>
      <c r="F15996" s="38" t="s">
        <v>119</v>
      </c>
      <c r="G15996" s="49" t="str">
        <f t="shared" si="1"/>
        <v>34150</v>
      </c>
      <c r="H15996" s="49">
        <f t="shared" si="2"/>
        <v>34173</v>
      </c>
    </row>
    <row r="15997">
      <c r="A15997" s="48" t="s">
        <v>1885</v>
      </c>
      <c r="B15997" s="38">
        <v>27564.0</v>
      </c>
      <c r="C15997" s="38" t="s">
        <v>20378</v>
      </c>
      <c r="D15997" s="38" t="str">
        <f>IFERROR(__xludf.DUMMYFUNCTION("REGEXREPLACE(C15997,""-\d+(.*)|--\d+(.*)"","""")"),"SAINT-MARDS-DE-FRESNE")</f>
        <v>SAINT-MARDS-DE-FRESNE</v>
      </c>
      <c r="E15997" s="38" t="s">
        <v>241</v>
      </c>
      <c r="F15997" s="38" t="s">
        <v>134</v>
      </c>
      <c r="G15997" s="49" t="str">
        <f t="shared" si="1"/>
        <v>27230</v>
      </c>
      <c r="H15997" s="49">
        <f t="shared" si="2"/>
        <v>27564</v>
      </c>
    </row>
    <row r="15998">
      <c r="A15998" s="48" t="s">
        <v>734</v>
      </c>
      <c r="B15998" s="38">
        <v>54082.0</v>
      </c>
      <c r="C15998" s="38" t="s">
        <v>3326</v>
      </c>
      <c r="D15998" s="38" t="str">
        <f>IFERROR(__xludf.DUMMYFUNCTION("REGEXREPLACE(C15998,""-\d+(.*)|--\d+(.*)"","""")"),"BONCOURT")</f>
        <v>BONCOURT</v>
      </c>
      <c r="E15998" s="38" t="s">
        <v>548</v>
      </c>
      <c r="F15998" s="38" t="s">
        <v>195</v>
      </c>
      <c r="G15998" s="49" t="str">
        <f t="shared" si="1"/>
        <v>54800</v>
      </c>
      <c r="H15998" s="49">
        <f t="shared" si="2"/>
        <v>54082</v>
      </c>
    </row>
    <row r="15999">
      <c r="A15999" s="48" t="s">
        <v>691</v>
      </c>
      <c r="B15999" s="38">
        <v>64108.0</v>
      </c>
      <c r="C15999" s="38" t="s">
        <v>20379</v>
      </c>
      <c r="D15999" s="38" t="str">
        <f>IFERROR(__xludf.DUMMYFUNCTION("REGEXREPLACE(C15999,""-\d+(.*)|--\d+(.*)"","""")"),"BELLOCQ")</f>
        <v>BELLOCQ</v>
      </c>
      <c r="E15999" s="38" t="s">
        <v>268</v>
      </c>
      <c r="F15999" s="38" t="s">
        <v>252</v>
      </c>
      <c r="G15999" s="49" t="str">
        <f t="shared" si="1"/>
        <v>64270</v>
      </c>
      <c r="H15999" s="49">
        <f t="shared" si="2"/>
        <v>64108</v>
      </c>
    </row>
    <row r="16000">
      <c r="A16000" s="48" t="s">
        <v>3812</v>
      </c>
      <c r="B16000" s="38">
        <v>71135.0</v>
      </c>
      <c r="C16000" s="38" t="s">
        <v>15275</v>
      </c>
      <c r="D16000" s="38" t="str">
        <f>IFERROR(__xludf.DUMMYFUNCTION("REGEXREPLACE(C16000,""-\d+(.*)|--\d+(.*)"","""")"),"CLESSE")</f>
        <v>CLESSE</v>
      </c>
      <c r="E16000" s="38" t="s">
        <v>344</v>
      </c>
      <c r="F16000" s="38" t="s">
        <v>106</v>
      </c>
      <c r="G16000" s="49" t="str">
        <f t="shared" si="1"/>
        <v>71260</v>
      </c>
      <c r="H16000" s="49">
        <f t="shared" si="2"/>
        <v>71135</v>
      </c>
    </row>
    <row r="16001">
      <c r="A16001" s="48" t="s">
        <v>3424</v>
      </c>
      <c r="B16001" s="38">
        <v>10162.0</v>
      </c>
      <c r="C16001" s="38" t="s">
        <v>20380</v>
      </c>
      <c r="D16001" s="38" t="str">
        <f>IFERROR(__xludf.DUMMYFUNCTION("REGEXREPLACE(C16001,""-\d+(.*)|--\d+(.*)"","""")"),"FRESNOY-LE-CHATEAU")</f>
        <v>FRESNOY-LE-CHATEAU</v>
      </c>
      <c r="E16001" s="38" t="s">
        <v>147</v>
      </c>
      <c r="F16001" s="38" t="s">
        <v>130</v>
      </c>
      <c r="G16001" s="49" t="str">
        <f t="shared" si="1"/>
        <v>10270</v>
      </c>
      <c r="H16001" s="49">
        <f t="shared" si="2"/>
        <v>10162</v>
      </c>
    </row>
    <row r="16002">
      <c r="A16002" s="48" t="s">
        <v>6572</v>
      </c>
      <c r="B16002" s="38">
        <v>31353.0</v>
      </c>
      <c r="C16002" s="38" t="s">
        <v>20381</v>
      </c>
      <c r="D16002" s="38" t="str">
        <f>IFERROR(__xludf.DUMMYFUNCTION("REGEXREPLACE(C16002,""-\d+(.*)|--\d+(.*)"","""")"),"MONES")</f>
        <v>MONES</v>
      </c>
      <c r="E16002" s="38" t="s">
        <v>93</v>
      </c>
      <c r="F16002" s="38" t="s">
        <v>94</v>
      </c>
      <c r="G16002" s="49" t="str">
        <f t="shared" si="1"/>
        <v>31370</v>
      </c>
      <c r="H16002" s="49">
        <f t="shared" si="2"/>
        <v>31353</v>
      </c>
    </row>
    <row r="16003">
      <c r="A16003" s="48" t="s">
        <v>20382</v>
      </c>
      <c r="B16003" s="38">
        <v>64129.0</v>
      </c>
      <c r="C16003" s="38" t="s">
        <v>20383</v>
      </c>
      <c r="D16003" s="38" t="str">
        <f>IFERROR(__xludf.DUMMYFUNCTION("REGEXREPLACE(C16003,""-\d+(.*)|--\d+(.*)"","""")"),"BILLERE")</f>
        <v>BILLERE</v>
      </c>
      <c r="E16003" s="38" t="s">
        <v>268</v>
      </c>
      <c r="F16003" s="38" t="s">
        <v>252</v>
      </c>
      <c r="G16003" s="49" t="str">
        <f t="shared" si="1"/>
        <v>64140</v>
      </c>
      <c r="H16003" s="49">
        <f t="shared" si="2"/>
        <v>64129</v>
      </c>
    </row>
    <row r="16004">
      <c r="A16004" s="48" t="s">
        <v>889</v>
      </c>
      <c r="B16004" s="38">
        <v>30306.0</v>
      </c>
      <c r="C16004" s="38" t="s">
        <v>20384</v>
      </c>
      <c r="D16004" s="38" t="str">
        <f>IFERROR(__xludf.DUMMYFUNCTION("REGEXREPLACE(C16004,""-\d+(.*)|--\d+(.*)"","""")"),"SALINELLES")</f>
        <v>SALINELLES</v>
      </c>
      <c r="E16004" s="38" t="s">
        <v>526</v>
      </c>
      <c r="F16004" s="38" t="s">
        <v>119</v>
      </c>
      <c r="G16004" s="49" t="str">
        <f t="shared" si="1"/>
        <v>30250</v>
      </c>
      <c r="H16004" s="49">
        <f t="shared" si="2"/>
        <v>30306</v>
      </c>
    </row>
    <row r="16005">
      <c r="A16005" s="48" t="s">
        <v>15350</v>
      </c>
      <c r="B16005" s="38">
        <v>49373.0</v>
      </c>
      <c r="C16005" s="38" t="s">
        <v>20385</v>
      </c>
      <c r="D16005" s="38" t="str">
        <f>IFERROR(__xludf.DUMMYFUNCTION("REGEXREPLACE(C16005,""-\d+(.*)|--\d+(.*)"","""")"),"VIHIERS")</f>
        <v>VIHIERS</v>
      </c>
      <c r="E16005" s="38" t="s">
        <v>653</v>
      </c>
      <c r="F16005" s="38" t="s">
        <v>180</v>
      </c>
      <c r="G16005" s="49" t="str">
        <f t="shared" si="1"/>
        <v>49310</v>
      </c>
      <c r="H16005" s="49">
        <f t="shared" si="2"/>
        <v>49373</v>
      </c>
    </row>
    <row r="16006">
      <c r="A16006" s="48" t="s">
        <v>9928</v>
      </c>
      <c r="B16006" s="38">
        <v>32050.0</v>
      </c>
      <c r="C16006" s="38" t="s">
        <v>20386</v>
      </c>
      <c r="D16006" s="38" t="str">
        <f>IFERROR(__xludf.DUMMYFUNCTION("REGEXREPLACE(C16006,""-\d+(.*)|--\d+(.*)"","""")"),"BETPLAN")</f>
        <v>BETPLAN</v>
      </c>
      <c r="E16006" s="38" t="s">
        <v>440</v>
      </c>
      <c r="F16006" s="38" t="s">
        <v>94</v>
      </c>
      <c r="G16006" s="49" t="str">
        <f t="shared" si="1"/>
        <v>32730</v>
      </c>
      <c r="H16006" s="49">
        <f t="shared" si="2"/>
        <v>32050</v>
      </c>
    </row>
    <row r="16007">
      <c r="A16007" s="48" t="s">
        <v>307</v>
      </c>
      <c r="B16007" s="38">
        <v>88443.0</v>
      </c>
      <c r="C16007" s="38" t="s">
        <v>20387</v>
      </c>
      <c r="D16007" s="38" t="str">
        <f>IFERROR(__xludf.DUMMYFUNCTION("REGEXREPLACE(C16007,""-\d+(.*)|--\d+(.*)"","""")"),"SARTES")</f>
        <v>SARTES</v>
      </c>
      <c r="E16007" s="38" t="s">
        <v>194</v>
      </c>
      <c r="F16007" s="38" t="s">
        <v>195</v>
      </c>
      <c r="G16007" s="49" t="str">
        <f t="shared" si="1"/>
        <v>88300</v>
      </c>
      <c r="H16007" s="49">
        <f t="shared" si="2"/>
        <v>88443</v>
      </c>
    </row>
    <row r="16008">
      <c r="A16008" s="48" t="s">
        <v>8111</v>
      </c>
      <c r="B16008" s="38">
        <v>40258.0</v>
      </c>
      <c r="C16008" s="38" t="s">
        <v>20388</v>
      </c>
      <c r="D16008" s="38" t="str">
        <f>IFERROR(__xludf.DUMMYFUNCTION("REGEXREPLACE(C16008,""-\d+(.*)|--\d+(.*)"","""")"),"SAINTE-FOY")</f>
        <v>SAINTE-FOY</v>
      </c>
      <c r="E16008" s="38" t="s">
        <v>281</v>
      </c>
      <c r="F16008" s="38" t="s">
        <v>252</v>
      </c>
      <c r="G16008" s="49" t="str">
        <f t="shared" si="1"/>
        <v>40190</v>
      </c>
      <c r="H16008" s="49">
        <f t="shared" si="2"/>
        <v>40258</v>
      </c>
    </row>
    <row r="16009">
      <c r="A16009" s="48" t="s">
        <v>15154</v>
      </c>
      <c r="B16009" s="38">
        <v>21591.0</v>
      </c>
      <c r="C16009" s="38" t="s">
        <v>20389</v>
      </c>
      <c r="D16009" s="38" t="str">
        <f>IFERROR(__xludf.DUMMYFUNCTION("REGEXREPLACE(C16009,""-\d+(.*)|--\d+(.*)"","""")"),"SAVIGNY-LE-SEC")</f>
        <v>SAVIGNY-LE-SEC</v>
      </c>
      <c r="E16009" s="38" t="s">
        <v>105</v>
      </c>
      <c r="F16009" s="38" t="s">
        <v>106</v>
      </c>
      <c r="G16009" s="49" t="str">
        <f t="shared" si="1"/>
        <v>21380</v>
      </c>
      <c r="H16009" s="49">
        <f t="shared" si="2"/>
        <v>21591</v>
      </c>
    </row>
    <row r="16010">
      <c r="A16010" s="48" t="s">
        <v>6073</v>
      </c>
      <c r="B16010" s="38">
        <v>40196.0</v>
      </c>
      <c r="C16010" s="38" t="s">
        <v>20390</v>
      </c>
      <c r="D16010" s="38" t="str">
        <f>IFERROR(__xludf.DUMMYFUNCTION("REGEXREPLACE(C16010,""-\d+(.*)|--\d+(.*)"","""")"),"MONTSOUE")</f>
        <v>MONTSOUE</v>
      </c>
      <c r="E16010" s="38" t="s">
        <v>281</v>
      </c>
      <c r="F16010" s="38" t="s">
        <v>252</v>
      </c>
      <c r="G16010" s="49" t="str">
        <f t="shared" si="1"/>
        <v>40500</v>
      </c>
      <c r="H16010" s="49">
        <f t="shared" si="2"/>
        <v>40196</v>
      </c>
    </row>
    <row r="16011">
      <c r="A16011" s="48" t="s">
        <v>6890</v>
      </c>
      <c r="B16011" s="38">
        <v>51031.0</v>
      </c>
      <c r="C16011" s="38" t="s">
        <v>20391</v>
      </c>
      <c r="D16011" s="38" t="str">
        <f>IFERROR(__xludf.DUMMYFUNCTION("REGEXREPLACE(C16011,""-\d+(.*)|--\d+(.*)"","""")"),"BACONNES")</f>
        <v>BACONNES</v>
      </c>
      <c r="E16011" s="38" t="s">
        <v>129</v>
      </c>
      <c r="F16011" s="38" t="s">
        <v>130</v>
      </c>
      <c r="G16011" s="49" t="str">
        <f t="shared" si="1"/>
        <v>51400</v>
      </c>
      <c r="H16011" s="49">
        <f t="shared" si="2"/>
        <v>51031</v>
      </c>
    </row>
    <row r="16012">
      <c r="A16012" s="48" t="s">
        <v>20392</v>
      </c>
      <c r="B16012" s="38">
        <v>44134.0</v>
      </c>
      <c r="C16012" s="38" t="s">
        <v>20393</v>
      </c>
      <c r="D16012" s="38" t="str">
        <f>IFERROR(__xludf.DUMMYFUNCTION("REGEXREPLACE(C16012,""-\d+(.*)|--\d+(.*)"","""")"),"POUILLE-LES-COTEAUX")</f>
        <v>POUILLE-LES-COTEAUX</v>
      </c>
      <c r="E16012" s="38" t="s">
        <v>759</v>
      </c>
      <c r="F16012" s="38" t="s">
        <v>180</v>
      </c>
      <c r="G16012" s="49" t="str">
        <f t="shared" si="1"/>
        <v>44522</v>
      </c>
      <c r="H16012" s="49">
        <f t="shared" si="2"/>
        <v>44134</v>
      </c>
    </row>
    <row r="16013">
      <c r="A16013" s="48" t="s">
        <v>1501</v>
      </c>
      <c r="B16013" s="38">
        <v>39417.0</v>
      </c>
      <c r="C16013" s="38" t="s">
        <v>20394</v>
      </c>
      <c r="D16013" s="38" t="str">
        <f>IFERROR(__xludf.DUMMYFUNCTION("REGEXREPLACE(C16013,""-\d+(.*)|--\d+(.*)"","""")"),"LES PIARDS")</f>
        <v>LES PIARDS</v>
      </c>
      <c r="E16013" s="38" t="s">
        <v>400</v>
      </c>
      <c r="F16013" s="38" t="s">
        <v>214</v>
      </c>
      <c r="G16013" s="49" t="str">
        <f t="shared" si="1"/>
        <v>39150</v>
      </c>
      <c r="H16013" s="49">
        <f t="shared" si="2"/>
        <v>39417</v>
      </c>
    </row>
    <row r="16014">
      <c r="A16014" s="48" t="s">
        <v>6517</v>
      </c>
      <c r="B16014" s="38">
        <v>50126.0</v>
      </c>
      <c r="C16014" s="38" t="s">
        <v>20395</v>
      </c>
      <c r="D16014" s="38" t="str">
        <f>IFERROR(__xludf.DUMMYFUNCTION("REGEXREPLACE(C16014,""-\d+(.*)|--\d+(.*)"","""")"),"CHAVOY")</f>
        <v>CHAVOY</v>
      </c>
      <c r="E16014" s="38" t="s">
        <v>157</v>
      </c>
      <c r="F16014" s="38" t="s">
        <v>138</v>
      </c>
      <c r="G16014" s="49" t="str">
        <f t="shared" si="1"/>
        <v>50870</v>
      </c>
      <c r="H16014" s="49">
        <f t="shared" si="2"/>
        <v>50126</v>
      </c>
    </row>
    <row r="16015">
      <c r="A16015" s="48" t="s">
        <v>3065</v>
      </c>
      <c r="B16015" s="38">
        <v>7267.0</v>
      </c>
      <c r="C16015" s="38" t="s">
        <v>8391</v>
      </c>
      <c r="D16015" s="38" t="str">
        <f>IFERROR(__xludf.DUMMYFUNCTION("REGEXREPLACE(C16015,""-\d+(.*)|--\d+(.*)"","""")"),"SAINT-MARTIAL")</f>
        <v>SAINT-MARTIAL</v>
      </c>
      <c r="E16015" s="38" t="s">
        <v>144</v>
      </c>
      <c r="F16015" s="38" t="s">
        <v>102</v>
      </c>
      <c r="G16015" s="49" t="str">
        <f t="shared" si="1"/>
        <v>07310</v>
      </c>
      <c r="H16015" s="49" t="str">
        <f t="shared" si="2"/>
        <v>07267</v>
      </c>
    </row>
    <row r="16016">
      <c r="A16016" s="48" t="s">
        <v>3158</v>
      </c>
      <c r="B16016" s="38">
        <v>50142.0</v>
      </c>
      <c r="C16016" s="38" t="s">
        <v>20396</v>
      </c>
      <c r="D16016" s="38" t="str">
        <f>IFERROR(__xludf.DUMMYFUNCTION("REGEXREPLACE(C16016,""-\d+(.*)|--\d+(.*)"","""")"),"COSQUEVILLE")</f>
        <v>COSQUEVILLE</v>
      </c>
      <c r="E16016" s="38" t="s">
        <v>157</v>
      </c>
      <c r="F16016" s="38" t="s">
        <v>138</v>
      </c>
      <c r="G16016" s="49" t="str">
        <f t="shared" si="1"/>
        <v>50330</v>
      </c>
      <c r="H16016" s="49">
        <f t="shared" si="2"/>
        <v>50142</v>
      </c>
    </row>
    <row r="16017">
      <c r="A16017" s="48" t="s">
        <v>5235</v>
      </c>
      <c r="B16017" s="38">
        <v>61435.0</v>
      </c>
      <c r="C16017" s="38" t="s">
        <v>20397</v>
      </c>
      <c r="D16017" s="38" t="str">
        <f>IFERROR(__xludf.DUMMYFUNCTION("REGEXREPLACE(C16017,""-\d+(.*)|--\d+(.*)"","""")"),"SAINT-NICOLAS-DE-SOMMAIRE")</f>
        <v>SAINT-NICOLAS-DE-SOMMAIRE</v>
      </c>
      <c r="E16017" s="38" t="s">
        <v>141</v>
      </c>
      <c r="F16017" s="38" t="s">
        <v>138</v>
      </c>
      <c r="G16017" s="49" t="str">
        <f t="shared" si="1"/>
        <v>61550</v>
      </c>
      <c r="H16017" s="49">
        <f t="shared" si="2"/>
        <v>61435</v>
      </c>
    </row>
    <row r="16018">
      <c r="A16018" s="48" t="s">
        <v>3842</v>
      </c>
      <c r="B16018" s="38">
        <v>88111.0</v>
      </c>
      <c r="C16018" s="38" t="s">
        <v>20398</v>
      </c>
      <c r="D16018" s="38" t="str">
        <f>IFERROR(__xludf.DUMMYFUNCTION("REGEXREPLACE(C16018,""-\d+(.*)|--\d+(.*)"","""")"),"COINCHES")</f>
        <v>COINCHES</v>
      </c>
      <c r="E16018" s="38" t="s">
        <v>194</v>
      </c>
      <c r="F16018" s="38" t="s">
        <v>195</v>
      </c>
      <c r="G16018" s="49" t="str">
        <f t="shared" si="1"/>
        <v>88100</v>
      </c>
      <c r="H16018" s="49">
        <f t="shared" si="2"/>
        <v>88111</v>
      </c>
    </row>
    <row r="16019">
      <c r="A16019" s="48" t="s">
        <v>20399</v>
      </c>
      <c r="B16019" s="38">
        <v>81202.0</v>
      </c>
      <c r="C16019" s="38" t="s">
        <v>18532</v>
      </c>
      <c r="D16019" s="38" t="str">
        <f>IFERROR(__xludf.DUMMYFUNCTION("REGEXREPLACE(C16019,""-\d+(.*)|--\d+(.*)"","""")"),"PARISOT")</f>
        <v>PARISOT</v>
      </c>
      <c r="E16019" s="38" t="s">
        <v>231</v>
      </c>
      <c r="F16019" s="38" t="s">
        <v>94</v>
      </c>
      <c r="G16019" s="49" t="str">
        <f t="shared" si="1"/>
        <v>81310</v>
      </c>
      <c r="H16019" s="49">
        <f t="shared" si="2"/>
        <v>81202</v>
      </c>
    </row>
    <row r="16020">
      <c r="A16020" s="48" t="s">
        <v>20400</v>
      </c>
      <c r="B16020" s="38">
        <v>66180.0</v>
      </c>
      <c r="C16020" s="38" t="s">
        <v>20401</v>
      </c>
      <c r="D16020" s="38" t="str">
        <f>IFERROR(__xludf.DUMMYFUNCTION("REGEXREPLACE(C16020,""-\d+(.*)|--\d+(.*)"","""")"),"SAINT-LAURENT-DE-LA-SALANQUE")</f>
        <v>SAINT-LAURENT-DE-LA-SALANQUE</v>
      </c>
      <c r="E16020" s="38" t="s">
        <v>248</v>
      </c>
      <c r="F16020" s="38" t="s">
        <v>119</v>
      </c>
      <c r="G16020" s="49" t="str">
        <f t="shared" si="1"/>
        <v>66250</v>
      </c>
      <c r="H16020" s="49">
        <f t="shared" si="2"/>
        <v>66180</v>
      </c>
    </row>
    <row r="16021">
      <c r="A16021" s="48" t="s">
        <v>298</v>
      </c>
      <c r="B16021" s="38">
        <v>28335.0</v>
      </c>
      <c r="C16021" s="38" t="s">
        <v>20402</v>
      </c>
      <c r="D16021" s="38" t="str">
        <f>IFERROR(__xludf.DUMMYFUNCTION("REGEXREPLACE(C16021,""-\d+(.*)|--\d+(.*)"","""")"),"SAINT-ELIPH")</f>
        <v>SAINT-ELIPH</v>
      </c>
      <c r="E16021" s="38" t="s">
        <v>300</v>
      </c>
      <c r="F16021" s="38" t="s">
        <v>123</v>
      </c>
      <c r="G16021" s="49" t="str">
        <f t="shared" si="1"/>
        <v>28240</v>
      </c>
      <c r="H16021" s="49">
        <f t="shared" si="2"/>
        <v>28335</v>
      </c>
    </row>
    <row r="16022">
      <c r="A16022" s="48" t="s">
        <v>19642</v>
      </c>
      <c r="B16022" s="38">
        <v>76264.0</v>
      </c>
      <c r="C16022" s="38" t="s">
        <v>6499</v>
      </c>
      <c r="D16022" s="38" t="str">
        <f>IFERROR(__xludf.DUMMYFUNCTION("REGEXREPLACE(C16022,""-\d+(.*)|--\d+(.*)"","""")"),"FLAMANVILLE")</f>
        <v>FLAMANVILLE</v>
      </c>
      <c r="E16022" s="38" t="s">
        <v>133</v>
      </c>
      <c r="F16022" s="38" t="s">
        <v>134</v>
      </c>
      <c r="G16022" s="49" t="str">
        <f t="shared" si="1"/>
        <v>76970</v>
      </c>
      <c r="H16022" s="49">
        <f t="shared" si="2"/>
        <v>76264</v>
      </c>
    </row>
    <row r="16023">
      <c r="A16023" s="48" t="s">
        <v>5286</v>
      </c>
      <c r="B16023" s="38">
        <v>71224.0</v>
      </c>
      <c r="C16023" s="38" t="s">
        <v>20403</v>
      </c>
      <c r="D16023" s="38" t="str">
        <f>IFERROR(__xludf.DUMMYFUNCTION("REGEXREPLACE(C16023,""-\d+(.*)|--\d+(.*)"","""")"),"GRANDVAUX")</f>
        <v>GRANDVAUX</v>
      </c>
      <c r="E16023" s="38" t="s">
        <v>344</v>
      </c>
      <c r="F16023" s="38" t="s">
        <v>106</v>
      </c>
      <c r="G16023" s="49" t="str">
        <f t="shared" si="1"/>
        <v>71430</v>
      </c>
      <c r="H16023" s="49">
        <f t="shared" si="2"/>
        <v>71224</v>
      </c>
    </row>
    <row r="16024">
      <c r="A16024" s="48" t="s">
        <v>9004</v>
      </c>
      <c r="B16024" s="38">
        <v>48164.0</v>
      </c>
      <c r="C16024" s="38" t="s">
        <v>20404</v>
      </c>
      <c r="D16024" s="38" t="str">
        <f>IFERROR(__xludf.DUMMYFUNCTION("REGEXREPLACE(C16024,""-\d+(.*)|--\d+(.*)"","""")"),"SAINT-JULIEN-DU-TOURNEL")</f>
        <v>SAINT-JULIEN-DU-TOURNEL</v>
      </c>
      <c r="E16024" s="38" t="s">
        <v>154</v>
      </c>
      <c r="F16024" s="38" t="s">
        <v>119</v>
      </c>
      <c r="G16024" s="49" t="str">
        <f t="shared" si="1"/>
        <v>48190</v>
      </c>
      <c r="H16024" s="49">
        <f t="shared" si="2"/>
        <v>48164</v>
      </c>
    </row>
    <row r="16025">
      <c r="A16025" s="48" t="s">
        <v>20405</v>
      </c>
      <c r="B16025" s="38">
        <v>56155.0</v>
      </c>
      <c r="C16025" s="38" t="s">
        <v>20406</v>
      </c>
      <c r="D16025" s="38" t="str">
        <f>IFERROR(__xludf.DUMMYFUNCTION("REGEXREPLACE(C16025,""-\d+(.*)|--\d+(.*)"","""")"),"PENESTIN")</f>
        <v>PENESTIN</v>
      </c>
      <c r="E16025" s="38" t="s">
        <v>173</v>
      </c>
      <c r="F16025" s="38" t="s">
        <v>90</v>
      </c>
      <c r="G16025" s="49" t="str">
        <f t="shared" si="1"/>
        <v>56760</v>
      </c>
      <c r="H16025" s="49">
        <f t="shared" si="2"/>
        <v>56155</v>
      </c>
    </row>
    <row r="16026">
      <c r="A16026" s="48" t="s">
        <v>20407</v>
      </c>
      <c r="B16026" s="38">
        <v>87206.0</v>
      </c>
      <c r="C16026" s="38" t="s">
        <v>20408</v>
      </c>
      <c r="D16026" s="38" t="str">
        <f>IFERROR(__xludf.DUMMYFUNCTION("REGEXREPLACE(C16026,""-\d+(.*)|--\d+(.*)"","""")"),"VILLEFAVARD")</f>
        <v>VILLEFAVARD</v>
      </c>
      <c r="E16026" s="38" t="s">
        <v>897</v>
      </c>
      <c r="F16026" s="38" t="s">
        <v>98</v>
      </c>
      <c r="G16026" s="49" t="str">
        <f t="shared" si="1"/>
        <v>87190</v>
      </c>
      <c r="H16026" s="49">
        <f t="shared" si="2"/>
        <v>87206</v>
      </c>
    </row>
    <row r="16027">
      <c r="A16027" s="48" t="s">
        <v>2875</v>
      </c>
      <c r="B16027" s="38">
        <v>39338.0</v>
      </c>
      <c r="C16027" s="38" t="s">
        <v>18068</v>
      </c>
      <c r="D16027" s="38" t="str">
        <f>IFERROR(__xludf.DUMMYFUNCTION("REGEXREPLACE(C16027,""-\d+(.*)|--\d+(.*)"","""")"),"MOLAY")</f>
        <v>MOLAY</v>
      </c>
      <c r="E16027" s="38" t="s">
        <v>400</v>
      </c>
      <c r="F16027" s="38" t="s">
        <v>214</v>
      </c>
      <c r="G16027" s="49" t="str">
        <f t="shared" si="1"/>
        <v>39500</v>
      </c>
      <c r="H16027" s="49">
        <f t="shared" si="2"/>
        <v>39338</v>
      </c>
    </row>
    <row r="16028">
      <c r="A16028" s="48" t="s">
        <v>20409</v>
      </c>
      <c r="B16028" s="38">
        <v>95127.0</v>
      </c>
      <c r="C16028" s="38" t="s">
        <v>20410</v>
      </c>
      <c r="D16028" s="38" t="str">
        <f>IFERROR(__xludf.DUMMYFUNCTION("REGEXREPLACE(C16028,""-\d+(.*)|--\d+(.*)"","""")"),"CERGY")</f>
        <v>CERGY</v>
      </c>
      <c r="E16028" s="38" t="s">
        <v>541</v>
      </c>
      <c r="F16028" s="38" t="s">
        <v>245</v>
      </c>
      <c r="G16028" s="49" t="str">
        <f t="shared" si="1"/>
        <v>95000/95800</v>
      </c>
      <c r="H16028" s="49">
        <f t="shared" si="2"/>
        <v>95127</v>
      </c>
    </row>
    <row r="16029">
      <c r="A16029" s="48" t="s">
        <v>155</v>
      </c>
      <c r="B16029" s="38">
        <v>50007.0</v>
      </c>
      <c r="C16029" s="38" t="s">
        <v>20411</v>
      </c>
      <c r="D16029" s="38" t="str">
        <f>IFERROR(__xludf.DUMMYFUNCTION("REGEXREPLACE(C16029,""-\d+(.*)|--\d+(.*)"","""")"),"ANCTEVILLE")</f>
        <v>ANCTEVILLE</v>
      </c>
      <c r="E16029" s="38" t="s">
        <v>157</v>
      </c>
      <c r="F16029" s="38" t="s">
        <v>138</v>
      </c>
      <c r="G16029" s="49" t="str">
        <f t="shared" si="1"/>
        <v>50200</v>
      </c>
      <c r="H16029" s="49">
        <f t="shared" si="2"/>
        <v>50007</v>
      </c>
    </row>
    <row r="16030">
      <c r="A16030" s="48" t="s">
        <v>2055</v>
      </c>
      <c r="B16030" s="38">
        <v>4163.0</v>
      </c>
      <c r="C16030" s="38" t="s">
        <v>20412</v>
      </c>
      <c r="D16030" s="38" t="str">
        <f>IFERROR(__xludf.DUMMYFUNCTION("REGEXREPLACE(C16030,""-\d+(.*)|--\d+(.*)"","""")"),"REVEST-DU-BION")</f>
        <v>REVEST-DU-BION</v>
      </c>
      <c r="E16030" s="38" t="s">
        <v>662</v>
      </c>
      <c r="F16030" s="38" t="s">
        <v>228</v>
      </c>
      <c r="G16030" s="49" t="str">
        <f t="shared" si="1"/>
        <v>04150</v>
      </c>
      <c r="H16030" s="49" t="str">
        <f t="shared" si="2"/>
        <v>04163</v>
      </c>
    </row>
    <row r="16031">
      <c r="A16031" s="48" t="s">
        <v>1540</v>
      </c>
      <c r="B16031" s="38">
        <v>70163.0</v>
      </c>
      <c r="C16031" s="38" t="s">
        <v>4732</v>
      </c>
      <c r="D16031" s="38" t="str">
        <f>IFERROR(__xludf.DUMMYFUNCTION("REGEXREPLACE(C16031,""-\d+(.*)|--\d+(.*)"","""")"),"COLOMBIER")</f>
        <v>COLOMBIER</v>
      </c>
      <c r="E16031" s="38" t="s">
        <v>956</v>
      </c>
      <c r="F16031" s="38" t="s">
        <v>214</v>
      </c>
      <c r="G16031" s="49" t="str">
        <f t="shared" si="1"/>
        <v>70000</v>
      </c>
      <c r="H16031" s="49">
        <f t="shared" si="2"/>
        <v>70163</v>
      </c>
    </row>
    <row r="16032">
      <c r="A16032" s="48" t="s">
        <v>10066</v>
      </c>
      <c r="B16032" s="38">
        <v>1080.0</v>
      </c>
      <c r="C16032" s="38" t="s">
        <v>20413</v>
      </c>
      <c r="D16032" s="38" t="str">
        <f>IFERROR(__xludf.DUMMYFUNCTION("REGEXREPLACE(C16032,""-\d+(.*)|--\d+(.*)"","""")"),"CHAMPDOR")</f>
        <v>CHAMPDOR</v>
      </c>
      <c r="E16032" s="38" t="s">
        <v>255</v>
      </c>
      <c r="F16032" s="38" t="s">
        <v>102</v>
      </c>
      <c r="G16032" s="49" t="str">
        <f t="shared" si="1"/>
        <v>01110</v>
      </c>
      <c r="H16032" s="49" t="str">
        <f t="shared" si="2"/>
        <v>01080</v>
      </c>
    </row>
    <row r="16033">
      <c r="A16033" s="48" t="s">
        <v>5207</v>
      </c>
      <c r="B16033" s="38">
        <v>85140.0</v>
      </c>
      <c r="C16033" s="38" t="s">
        <v>20414</v>
      </c>
      <c r="D16033" s="38" t="str">
        <f>IFERROR(__xludf.DUMMYFUNCTION("REGEXREPLACE(C16033,""-\d+(.*)|--\d+(.*)"","""")"),"LA MEILLERAIE-TILLAY")</f>
        <v>LA MEILLERAIE-TILLAY</v>
      </c>
      <c r="E16033" s="38" t="s">
        <v>179</v>
      </c>
      <c r="F16033" s="38" t="s">
        <v>180</v>
      </c>
      <c r="G16033" s="49" t="str">
        <f t="shared" si="1"/>
        <v>85700</v>
      </c>
      <c r="H16033" s="49">
        <f t="shared" si="2"/>
        <v>85140</v>
      </c>
    </row>
    <row r="16034">
      <c r="A16034" s="48" t="s">
        <v>7813</v>
      </c>
      <c r="B16034" s="38">
        <v>35011.0</v>
      </c>
      <c r="C16034" s="38" t="s">
        <v>20415</v>
      </c>
      <c r="D16034" s="38" t="str">
        <f>IFERROR(__xludf.DUMMYFUNCTION("REGEXREPLACE(C16034,""-\d+(.*)|--\d+(.*)"","""")"),"BAILLE")</f>
        <v>BAILLE</v>
      </c>
      <c r="E16034" s="38" t="s">
        <v>347</v>
      </c>
      <c r="F16034" s="38" t="s">
        <v>90</v>
      </c>
      <c r="G16034" s="49" t="str">
        <f t="shared" si="1"/>
        <v>35460</v>
      </c>
      <c r="H16034" s="49">
        <f t="shared" si="2"/>
        <v>35011</v>
      </c>
    </row>
    <row r="16035">
      <c r="A16035" s="48" t="s">
        <v>11166</v>
      </c>
      <c r="B16035" s="38">
        <v>55535.0</v>
      </c>
      <c r="C16035" s="38" t="s">
        <v>20416</v>
      </c>
      <c r="D16035" s="38" t="str">
        <f>IFERROR(__xludf.DUMMYFUNCTION("REGEXREPLACE(C16035,""-\d+(.*)|--\d+(.*)"","""")"),"VAUDONCOURT")</f>
        <v>VAUDONCOURT</v>
      </c>
      <c r="E16035" s="38" t="s">
        <v>322</v>
      </c>
      <c r="F16035" s="38" t="s">
        <v>195</v>
      </c>
      <c r="G16035" s="49" t="str">
        <f t="shared" si="1"/>
        <v>55230</v>
      </c>
      <c r="H16035" s="49">
        <f t="shared" si="2"/>
        <v>55535</v>
      </c>
    </row>
    <row r="16036">
      <c r="A16036" s="48" t="s">
        <v>8167</v>
      </c>
      <c r="B16036" s="38">
        <v>41197.0</v>
      </c>
      <c r="C16036" s="38" t="s">
        <v>20417</v>
      </c>
      <c r="D16036" s="38" t="str">
        <f>IFERROR(__xludf.DUMMYFUNCTION("REGEXREPLACE(C16036,""-\d+(.*)|--\d+(.*)"","""")"),"SAINT-AGIL")</f>
        <v>SAINT-AGIL</v>
      </c>
      <c r="E16036" s="38" t="s">
        <v>188</v>
      </c>
      <c r="F16036" s="38" t="s">
        <v>123</v>
      </c>
      <c r="G16036" s="49" t="str">
        <f t="shared" si="1"/>
        <v>41170</v>
      </c>
      <c r="H16036" s="49">
        <f t="shared" si="2"/>
        <v>41197</v>
      </c>
    </row>
    <row r="16037">
      <c r="A16037" s="48" t="s">
        <v>3080</v>
      </c>
      <c r="B16037" s="38">
        <v>71160.0</v>
      </c>
      <c r="C16037" s="38" t="s">
        <v>20418</v>
      </c>
      <c r="D16037" s="38" t="str">
        <f>IFERROR(__xludf.DUMMYFUNCTION("REGEXREPLACE(C16037,""-\d+(.*)|--\d+(.*)"","""")"),"CURBIGNY")</f>
        <v>CURBIGNY</v>
      </c>
      <c r="E16037" s="38" t="s">
        <v>344</v>
      </c>
      <c r="F16037" s="38" t="s">
        <v>106</v>
      </c>
      <c r="G16037" s="49" t="str">
        <f t="shared" si="1"/>
        <v>71800</v>
      </c>
      <c r="H16037" s="49">
        <f t="shared" si="2"/>
        <v>71160</v>
      </c>
    </row>
    <row r="16038">
      <c r="A16038" s="48" t="s">
        <v>3821</v>
      </c>
      <c r="B16038" s="38">
        <v>57539.0</v>
      </c>
      <c r="C16038" s="38" t="s">
        <v>20419</v>
      </c>
      <c r="D16038" s="38" t="str">
        <f>IFERROR(__xludf.DUMMYFUNCTION("REGEXREPLACE(C16038,""-\d+(.*)|--\d+(.*)"","""")"),"PEVANGE")</f>
        <v>PEVANGE</v>
      </c>
      <c r="E16038" s="38" t="s">
        <v>303</v>
      </c>
      <c r="F16038" s="38" t="s">
        <v>195</v>
      </c>
      <c r="G16038" s="49" t="str">
        <f t="shared" si="1"/>
        <v>57340</v>
      </c>
      <c r="H16038" s="49">
        <f t="shared" si="2"/>
        <v>57539</v>
      </c>
    </row>
    <row r="16039">
      <c r="A16039" s="48" t="s">
        <v>1354</v>
      </c>
      <c r="B16039" s="38">
        <v>28060.0</v>
      </c>
      <c r="C16039" s="38" t="s">
        <v>20420</v>
      </c>
      <c r="D16039" s="38" t="str">
        <f>IFERROR(__xludf.DUMMYFUNCTION("REGEXREPLACE(C16039,""-\d+(.*)|--\d+(.*)"","""")"),"BRICONVILLE")</f>
        <v>BRICONVILLE</v>
      </c>
      <c r="E16039" s="38" t="s">
        <v>300</v>
      </c>
      <c r="F16039" s="38" t="s">
        <v>123</v>
      </c>
      <c r="G16039" s="49" t="str">
        <f t="shared" si="1"/>
        <v>28300</v>
      </c>
      <c r="H16039" s="49">
        <f t="shared" si="2"/>
        <v>28060</v>
      </c>
    </row>
    <row r="16040">
      <c r="A16040" s="48" t="s">
        <v>13699</v>
      </c>
      <c r="B16040" s="38">
        <v>22328.0</v>
      </c>
      <c r="C16040" s="38" t="s">
        <v>20421</v>
      </c>
      <c r="D16040" s="38" t="str">
        <f>IFERROR(__xludf.DUMMYFUNCTION("REGEXREPLACE(C16040,""-\d+(.*)|--\d+(.*)"","""")"),"SAINT-SERVAIS")</f>
        <v>SAINT-SERVAIS</v>
      </c>
      <c r="E16040" s="38" t="s">
        <v>89</v>
      </c>
      <c r="F16040" s="38" t="s">
        <v>90</v>
      </c>
      <c r="G16040" s="49" t="str">
        <f t="shared" si="1"/>
        <v>22160</v>
      </c>
      <c r="H16040" s="49">
        <f t="shared" si="2"/>
        <v>22328</v>
      </c>
    </row>
    <row r="16041">
      <c r="A16041" s="48" t="s">
        <v>7388</v>
      </c>
      <c r="B16041" s="38">
        <v>42203.0</v>
      </c>
      <c r="C16041" s="38" t="s">
        <v>20422</v>
      </c>
      <c r="D16041" s="38" t="str">
        <f>IFERROR(__xludf.DUMMYFUNCTION("REGEXREPLACE(C16041,""-\d+(.*)|--\d+(.*)"","""")"),"SAINT-BONNET-DES-QUARTS")</f>
        <v>SAINT-BONNET-DES-QUARTS</v>
      </c>
      <c r="E16041" s="38" t="s">
        <v>166</v>
      </c>
      <c r="F16041" s="38" t="s">
        <v>102</v>
      </c>
      <c r="G16041" s="49" t="str">
        <f t="shared" si="1"/>
        <v>42310</v>
      </c>
      <c r="H16041" s="49">
        <f t="shared" si="2"/>
        <v>42203</v>
      </c>
    </row>
    <row r="16042">
      <c r="A16042" s="48" t="s">
        <v>1986</v>
      </c>
      <c r="B16042" s="38">
        <v>79104.0</v>
      </c>
      <c r="C16042" s="38" t="s">
        <v>2816</v>
      </c>
      <c r="D16042" s="38" t="str">
        <f>IFERROR(__xludf.DUMMYFUNCTION("REGEXREPLACE(C16042,""-\d+(.*)|--\d+(.*)"","""")"),"COURS")</f>
        <v>COURS</v>
      </c>
      <c r="E16042" s="38" t="s">
        <v>337</v>
      </c>
      <c r="F16042" s="38" t="s">
        <v>338</v>
      </c>
      <c r="G16042" s="49" t="str">
        <f t="shared" si="1"/>
        <v>79220</v>
      </c>
      <c r="H16042" s="49">
        <f t="shared" si="2"/>
        <v>79104</v>
      </c>
    </row>
    <row r="16043">
      <c r="A16043" s="48" t="s">
        <v>2915</v>
      </c>
      <c r="B16043" s="38">
        <v>79229.0</v>
      </c>
      <c r="C16043" s="38" t="s">
        <v>20423</v>
      </c>
      <c r="D16043" s="38" t="str">
        <f>IFERROR(__xludf.DUMMYFUNCTION("REGEXREPLACE(C16043,""-\d+(.*)|--\d+(.*)"","""")"),"LA ROCHENARD")</f>
        <v>LA ROCHENARD</v>
      </c>
      <c r="E16043" s="38" t="s">
        <v>337</v>
      </c>
      <c r="F16043" s="38" t="s">
        <v>338</v>
      </c>
      <c r="G16043" s="49" t="str">
        <f t="shared" si="1"/>
        <v>79270</v>
      </c>
      <c r="H16043" s="49">
        <f t="shared" si="2"/>
        <v>79229</v>
      </c>
    </row>
    <row r="16044">
      <c r="A16044" s="48" t="s">
        <v>1241</v>
      </c>
      <c r="B16044" s="38">
        <v>71070.0</v>
      </c>
      <c r="C16044" s="38" t="s">
        <v>20424</v>
      </c>
      <c r="D16044" s="38" t="str">
        <f>IFERROR(__xludf.DUMMYFUNCTION("REGEXREPLACE(C16044,""-\d+(.*)|--\d+(.*)"","""")"),"BUXY")</f>
        <v>BUXY</v>
      </c>
      <c r="E16044" s="38" t="s">
        <v>344</v>
      </c>
      <c r="F16044" s="38" t="s">
        <v>106</v>
      </c>
      <c r="G16044" s="49" t="str">
        <f t="shared" si="1"/>
        <v>71390</v>
      </c>
      <c r="H16044" s="49">
        <f t="shared" si="2"/>
        <v>71070</v>
      </c>
    </row>
    <row r="16045">
      <c r="A16045" s="48" t="s">
        <v>14148</v>
      </c>
      <c r="B16045" s="38">
        <v>31173.0</v>
      </c>
      <c r="C16045" s="38" t="s">
        <v>20425</v>
      </c>
      <c r="D16045" s="38" t="str">
        <f>IFERROR(__xludf.DUMMYFUNCTION("REGEXREPLACE(C16045,""-\d+(.*)|--\d+(.*)"","""")"),"ESPERCE")</f>
        <v>ESPERCE</v>
      </c>
      <c r="E16045" s="38" t="s">
        <v>93</v>
      </c>
      <c r="F16045" s="38" t="s">
        <v>94</v>
      </c>
      <c r="G16045" s="49" t="str">
        <f t="shared" si="1"/>
        <v>31190</v>
      </c>
      <c r="H16045" s="49">
        <f t="shared" si="2"/>
        <v>31173</v>
      </c>
    </row>
    <row r="16046">
      <c r="A16046" s="48" t="s">
        <v>5174</v>
      </c>
      <c r="B16046" s="38">
        <v>82030.0</v>
      </c>
      <c r="C16046" s="38" t="s">
        <v>20426</v>
      </c>
      <c r="D16046" s="38" t="str">
        <f>IFERROR(__xludf.DUMMYFUNCTION("REGEXREPLACE(C16046,""-\d+(.*)|--\d+(.*)"","""")"),"CASTELFERRUS")</f>
        <v>CASTELFERRUS</v>
      </c>
      <c r="E16046" s="38" t="s">
        <v>570</v>
      </c>
      <c r="F16046" s="38" t="s">
        <v>94</v>
      </c>
      <c r="G16046" s="49" t="str">
        <f t="shared" si="1"/>
        <v>82100</v>
      </c>
      <c r="H16046" s="49">
        <f t="shared" si="2"/>
        <v>82030</v>
      </c>
    </row>
    <row r="16047">
      <c r="A16047" s="48" t="s">
        <v>1137</v>
      </c>
      <c r="B16047" s="38">
        <v>60073.0</v>
      </c>
      <c r="C16047" s="38" t="s">
        <v>20427</v>
      </c>
      <c r="D16047" s="38" t="str">
        <f>IFERROR(__xludf.DUMMYFUNCTION("REGEXREPLACE(C16047,""-\d+(.*)|--\d+(.*)"","""")"),"BLACOURT")</f>
        <v>BLACOURT</v>
      </c>
      <c r="E16047" s="38" t="s">
        <v>112</v>
      </c>
      <c r="F16047" s="38" t="s">
        <v>113</v>
      </c>
      <c r="G16047" s="49" t="str">
        <f t="shared" si="1"/>
        <v>60650</v>
      </c>
      <c r="H16047" s="49">
        <f t="shared" si="2"/>
        <v>60073</v>
      </c>
    </row>
    <row r="16048">
      <c r="A16048" s="48" t="s">
        <v>3080</v>
      </c>
      <c r="B16048" s="38">
        <v>71022.0</v>
      </c>
      <c r="C16048" s="38" t="s">
        <v>20428</v>
      </c>
      <c r="D16048" s="38" t="str">
        <f>IFERROR(__xludf.DUMMYFUNCTION("REGEXREPLACE(C16048,""-\d+(.*)|--\d+(.*)"","""")"),"BAUDEMONT")</f>
        <v>BAUDEMONT</v>
      </c>
      <c r="E16048" s="38" t="s">
        <v>344</v>
      </c>
      <c r="F16048" s="38" t="s">
        <v>106</v>
      </c>
      <c r="G16048" s="49" t="str">
        <f t="shared" si="1"/>
        <v>71800</v>
      </c>
      <c r="H16048" s="49">
        <f t="shared" si="2"/>
        <v>71022</v>
      </c>
    </row>
    <row r="16049">
      <c r="A16049" s="48" t="s">
        <v>19732</v>
      </c>
      <c r="B16049" s="38">
        <v>16244.0</v>
      </c>
      <c r="C16049" s="38" t="s">
        <v>20429</v>
      </c>
      <c r="D16049" s="38" t="str">
        <f>IFERROR(__xludf.DUMMYFUNCTION("REGEXREPLACE(C16049,""-\d+(.*)|--\d+(.*)"","""")"),"NERSAC")</f>
        <v>NERSAC</v>
      </c>
      <c r="E16049" s="38" t="s">
        <v>429</v>
      </c>
      <c r="F16049" s="38" t="s">
        <v>338</v>
      </c>
      <c r="G16049" s="49" t="str">
        <f t="shared" si="1"/>
        <v>16440</v>
      </c>
      <c r="H16049" s="49">
        <f t="shared" si="2"/>
        <v>16244</v>
      </c>
    </row>
    <row r="16050">
      <c r="A16050" s="48" t="s">
        <v>20430</v>
      </c>
      <c r="B16050" s="38">
        <v>84019.0</v>
      </c>
      <c r="C16050" s="38" t="s">
        <v>20431</v>
      </c>
      <c r="D16050" s="38" t="str">
        <f>IFERROR(__xludf.DUMMYFUNCTION("REGEXREPLACE(C16050,""-\d+(.*)|--\d+(.*)"","""")"),"BOLLENE")</f>
        <v>BOLLENE</v>
      </c>
      <c r="E16050" s="38" t="s">
        <v>1026</v>
      </c>
      <c r="F16050" s="38" t="s">
        <v>228</v>
      </c>
      <c r="G16050" s="49" t="str">
        <f t="shared" si="1"/>
        <v>84500</v>
      </c>
      <c r="H16050" s="49">
        <f t="shared" si="2"/>
        <v>84019</v>
      </c>
    </row>
    <row r="16051">
      <c r="A16051" s="48" t="s">
        <v>16304</v>
      </c>
      <c r="B16051" s="38">
        <v>87124.0</v>
      </c>
      <c r="C16051" s="38" t="s">
        <v>20432</v>
      </c>
      <c r="D16051" s="38" t="str">
        <f>IFERROR(__xludf.DUMMYFUNCTION("REGEXREPLACE(C16051,""-\d+(.*)|--\d+(.*)"","""")"),"RILHAC-LASTOURS")</f>
        <v>RILHAC-LASTOURS</v>
      </c>
      <c r="E16051" s="38" t="s">
        <v>897</v>
      </c>
      <c r="F16051" s="38" t="s">
        <v>98</v>
      </c>
      <c r="G16051" s="49" t="str">
        <f t="shared" si="1"/>
        <v>87800</v>
      </c>
      <c r="H16051" s="49">
        <f t="shared" si="2"/>
        <v>87124</v>
      </c>
    </row>
    <row r="16052">
      <c r="A16052" s="48" t="s">
        <v>4642</v>
      </c>
      <c r="B16052" s="38">
        <v>21246.0</v>
      </c>
      <c r="C16052" s="38" t="s">
        <v>20433</v>
      </c>
      <c r="D16052" s="38" t="str">
        <f>IFERROR(__xludf.DUMMYFUNCTION("REGEXREPLACE(C16052,""-\d+(.*)|--\d+(.*)"","""")"),"EPERNAY-SOUS-GEVREY")</f>
        <v>EPERNAY-SOUS-GEVREY</v>
      </c>
      <c r="E16052" s="38" t="s">
        <v>105</v>
      </c>
      <c r="F16052" s="38" t="s">
        <v>106</v>
      </c>
      <c r="G16052" s="49" t="str">
        <f t="shared" si="1"/>
        <v>21220</v>
      </c>
      <c r="H16052" s="49">
        <f t="shared" si="2"/>
        <v>21246</v>
      </c>
    </row>
    <row r="16053">
      <c r="A16053" s="48" t="s">
        <v>5381</v>
      </c>
      <c r="B16053" s="38">
        <v>38473.0</v>
      </c>
      <c r="C16053" s="38" t="s">
        <v>20434</v>
      </c>
      <c r="D16053" s="38" t="str">
        <f>IFERROR(__xludf.DUMMYFUNCTION("REGEXREPLACE(C16053,""-\d+(.*)|--\d+(.*)"","""")"),"SARDIEU")</f>
        <v>SARDIEU</v>
      </c>
      <c r="E16053" s="38" t="s">
        <v>101</v>
      </c>
      <c r="F16053" s="38" t="s">
        <v>102</v>
      </c>
      <c r="G16053" s="49" t="str">
        <f t="shared" si="1"/>
        <v>38260</v>
      </c>
      <c r="H16053" s="49">
        <f t="shared" si="2"/>
        <v>38473</v>
      </c>
    </row>
    <row r="16054">
      <c r="A16054" s="48" t="s">
        <v>8069</v>
      </c>
      <c r="B16054" s="38">
        <v>60212.0</v>
      </c>
      <c r="C16054" s="38" t="s">
        <v>20435</v>
      </c>
      <c r="D16054" s="38" t="str">
        <f>IFERROR(__xludf.DUMMYFUNCTION("REGEXREPLACE(C16054,""-\d+(.*)|--\d+(.*)"","""")"),"ERCUIS")</f>
        <v>ERCUIS</v>
      </c>
      <c r="E16054" s="38" t="s">
        <v>112</v>
      </c>
      <c r="F16054" s="38" t="s">
        <v>113</v>
      </c>
      <c r="G16054" s="49" t="str">
        <f t="shared" si="1"/>
        <v>60530</v>
      </c>
      <c r="H16054" s="49">
        <f t="shared" si="2"/>
        <v>60212</v>
      </c>
    </row>
    <row r="16055">
      <c r="A16055" s="48" t="s">
        <v>2008</v>
      </c>
      <c r="B16055" s="38">
        <v>46168.0</v>
      </c>
      <c r="C16055" s="38" t="s">
        <v>20436</v>
      </c>
      <c r="D16055" s="38" t="str">
        <f>IFERROR(__xludf.DUMMYFUNCTION("REGEXREPLACE(C16055,""-\d+(.*)|--\d+(.*)"","""")"),"LENTILLAC-SAINT-BLAISE")</f>
        <v>LENTILLAC-SAINT-BLAISE</v>
      </c>
      <c r="E16055" s="38" t="s">
        <v>185</v>
      </c>
      <c r="F16055" s="38" t="s">
        <v>94</v>
      </c>
      <c r="G16055" s="49" t="str">
        <f t="shared" si="1"/>
        <v>46100</v>
      </c>
      <c r="H16055" s="49">
        <f t="shared" si="2"/>
        <v>46168</v>
      </c>
    </row>
    <row r="16056">
      <c r="A16056" s="48" t="s">
        <v>12571</v>
      </c>
      <c r="B16056" s="38">
        <v>57339.0</v>
      </c>
      <c r="C16056" s="38" t="s">
        <v>20437</v>
      </c>
      <c r="D16056" s="38" t="str">
        <f>IFERROR(__xludf.DUMMYFUNCTION("REGEXREPLACE(C16056,""-\d+(.*)|--\d+(.*)"","""")"),"HULTEHOUSE")</f>
        <v>HULTEHOUSE</v>
      </c>
      <c r="E16056" s="38" t="s">
        <v>303</v>
      </c>
      <c r="F16056" s="38" t="s">
        <v>195</v>
      </c>
      <c r="G16056" s="49" t="str">
        <f t="shared" si="1"/>
        <v>57820</v>
      </c>
      <c r="H16056" s="49">
        <f t="shared" si="2"/>
        <v>57339</v>
      </c>
    </row>
    <row r="16057">
      <c r="A16057" s="48" t="s">
        <v>789</v>
      </c>
      <c r="B16057" s="38">
        <v>10028.0</v>
      </c>
      <c r="C16057" s="38" t="s">
        <v>20438</v>
      </c>
      <c r="D16057" s="38" t="str">
        <f>IFERROR(__xludf.DUMMYFUNCTION("REGEXREPLACE(C16057,""-\d+(.*)|--\d+(.*)"","""")"),"BALNOT-LA-GRANGE")</f>
        <v>BALNOT-LA-GRANGE</v>
      </c>
      <c r="E16057" s="38" t="s">
        <v>147</v>
      </c>
      <c r="F16057" s="38" t="s">
        <v>130</v>
      </c>
      <c r="G16057" s="49" t="str">
        <f t="shared" si="1"/>
        <v>10210</v>
      </c>
      <c r="H16057" s="49">
        <f t="shared" si="2"/>
        <v>10028</v>
      </c>
    </row>
    <row r="16058">
      <c r="A16058" s="48" t="s">
        <v>1821</v>
      </c>
      <c r="B16058" s="38">
        <v>3133.0</v>
      </c>
      <c r="C16058" s="38" t="s">
        <v>20439</v>
      </c>
      <c r="D16058" s="38" t="str">
        <f>IFERROR(__xludf.DUMMYFUNCTION("REGEXREPLACE(C16058,""-\d+(.*)|--\d+(.*)"","""")"),"JENZAT")</f>
        <v>JENZAT</v>
      </c>
      <c r="E16058" s="38" t="s">
        <v>160</v>
      </c>
      <c r="F16058" s="38" t="s">
        <v>161</v>
      </c>
      <c r="G16058" s="49" t="str">
        <f t="shared" si="1"/>
        <v>03800</v>
      </c>
      <c r="H16058" s="49" t="str">
        <f t="shared" si="2"/>
        <v>03133</v>
      </c>
    </row>
    <row r="16059">
      <c r="A16059" s="48" t="s">
        <v>2141</v>
      </c>
      <c r="B16059" s="38">
        <v>80402.0</v>
      </c>
      <c r="C16059" s="38" t="s">
        <v>20440</v>
      </c>
      <c r="D16059" s="38" t="str">
        <f>IFERROR(__xludf.DUMMYFUNCTION("REGEXREPLACE(C16059,""-\d+(.*)|--\d+(.*)"","""")"),"GUIZANCOURT")</f>
        <v>GUIZANCOURT</v>
      </c>
      <c r="E16059" s="38" t="s">
        <v>224</v>
      </c>
      <c r="F16059" s="38" t="s">
        <v>113</v>
      </c>
      <c r="G16059" s="49" t="str">
        <f t="shared" si="1"/>
        <v>80290</v>
      </c>
      <c r="H16059" s="49">
        <f t="shared" si="2"/>
        <v>80402</v>
      </c>
    </row>
    <row r="16060">
      <c r="A16060" s="48" t="s">
        <v>5250</v>
      </c>
      <c r="B16060" s="38">
        <v>27018.0</v>
      </c>
      <c r="C16060" s="38" t="s">
        <v>20441</v>
      </c>
      <c r="D16060" s="38" t="str">
        <f>IFERROR(__xludf.DUMMYFUNCTION("REGEXREPLACE(C16060,""-\d+(.*)|--\d+(.*)"","""")"),"APPEVILLE-ANNEBAULT")</f>
        <v>APPEVILLE-ANNEBAULT</v>
      </c>
      <c r="E16060" s="38" t="s">
        <v>241</v>
      </c>
      <c r="F16060" s="38" t="s">
        <v>134</v>
      </c>
      <c r="G16060" s="49" t="str">
        <f t="shared" si="1"/>
        <v>27290</v>
      </c>
      <c r="H16060" s="49">
        <f t="shared" si="2"/>
        <v>27018</v>
      </c>
    </row>
    <row r="16061">
      <c r="A16061" s="48" t="s">
        <v>4131</v>
      </c>
      <c r="B16061" s="38">
        <v>27325.0</v>
      </c>
      <c r="C16061" s="38" t="s">
        <v>20442</v>
      </c>
      <c r="D16061" s="38" t="str">
        <f>IFERROR(__xludf.DUMMYFUNCTION("REGEXREPLACE(C16061,""-\d+(.*)|--\d+(.*)"","""")"),"HECMANVILLE")</f>
        <v>HECMANVILLE</v>
      </c>
      <c r="E16061" s="38" t="s">
        <v>241</v>
      </c>
      <c r="F16061" s="38" t="s">
        <v>134</v>
      </c>
      <c r="G16061" s="49" t="str">
        <f t="shared" si="1"/>
        <v>27800</v>
      </c>
      <c r="H16061" s="49">
        <f t="shared" si="2"/>
        <v>27325</v>
      </c>
    </row>
    <row r="16062">
      <c r="A16062" s="48" t="s">
        <v>9378</v>
      </c>
      <c r="B16062" s="38">
        <v>11222.0</v>
      </c>
      <c r="C16062" s="38" t="s">
        <v>20443</v>
      </c>
      <c r="D16062" s="38" t="str">
        <f>IFERROR(__xludf.DUMMYFUNCTION("REGEXREPLACE(C16062,""-\d+(.*)|--\d+(.*)"","""")"),"MAS-CABARDES")</f>
        <v>MAS-CABARDES</v>
      </c>
      <c r="E16062" s="38" t="s">
        <v>278</v>
      </c>
      <c r="F16062" s="38" t="s">
        <v>119</v>
      </c>
      <c r="G16062" s="49" t="str">
        <f t="shared" si="1"/>
        <v>11380</v>
      </c>
      <c r="H16062" s="49">
        <f t="shared" si="2"/>
        <v>11222</v>
      </c>
    </row>
    <row r="16063">
      <c r="A16063" s="48" t="s">
        <v>9293</v>
      </c>
      <c r="B16063" s="38">
        <v>9274.0</v>
      </c>
      <c r="C16063" s="38" t="s">
        <v>20444</v>
      </c>
      <c r="D16063" s="38" t="str">
        <f>IFERROR(__xludf.DUMMYFUNCTION("REGEXREPLACE(C16063,""-\d+(.*)|--\d+(.*)"","""")"),"SAINT-QUENTIN-LA-TOUR")</f>
        <v>SAINT-QUENTIN-LA-TOUR</v>
      </c>
      <c r="E16063" s="38" t="s">
        <v>238</v>
      </c>
      <c r="F16063" s="38" t="s">
        <v>94</v>
      </c>
      <c r="G16063" s="49" t="str">
        <f t="shared" si="1"/>
        <v>09500</v>
      </c>
      <c r="H16063" s="49" t="str">
        <f t="shared" si="2"/>
        <v>09274</v>
      </c>
    </row>
    <row r="16064">
      <c r="A16064" s="48" t="s">
        <v>20445</v>
      </c>
      <c r="B16064" s="38">
        <v>78490.0</v>
      </c>
      <c r="C16064" s="38" t="s">
        <v>20446</v>
      </c>
      <c r="D16064" s="38" t="str">
        <f>IFERROR(__xludf.DUMMYFUNCTION("REGEXREPLACE(C16064,""-\d+(.*)|--\d+(.*)"","""")"),"PLAISIR")</f>
        <v>PLAISIR</v>
      </c>
      <c r="E16064" s="38" t="s">
        <v>362</v>
      </c>
      <c r="F16064" s="38" t="s">
        <v>245</v>
      </c>
      <c r="G16064" s="49" t="str">
        <f t="shared" si="1"/>
        <v>78370</v>
      </c>
      <c r="H16064" s="49">
        <f t="shared" si="2"/>
        <v>78490</v>
      </c>
    </row>
    <row r="16065">
      <c r="A16065" s="48" t="s">
        <v>9621</v>
      </c>
      <c r="B16065" s="38">
        <v>43013.0</v>
      </c>
      <c r="C16065" s="38" t="s">
        <v>20447</v>
      </c>
      <c r="D16065" s="38" t="str">
        <f>IFERROR(__xludf.DUMMYFUNCTION("REGEXREPLACE(C16065,""-\d+(.*)|--\d+(.*)"","""")"),"VISSAC-AUTEYRAC")</f>
        <v>VISSAC-AUTEYRAC</v>
      </c>
      <c r="E16065" s="38" t="s">
        <v>332</v>
      </c>
      <c r="F16065" s="38" t="s">
        <v>161</v>
      </c>
      <c r="G16065" s="49" t="str">
        <f t="shared" si="1"/>
        <v>43300</v>
      </c>
      <c r="H16065" s="49">
        <f t="shared" si="2"/>
        <v>43013</v>
      </c>
    </row>
    <row r="16066">
      <c r="A16066" s="48" t="s">
        <v>834</v>
      </c>
      <c r="B16066" s="38">
        <v>25509.0</v>
      </c>
      <c r="C16066" s="38" t="s">
        <v>20448</v>
      </c>
      <c r="D16066" s="38" t="str">
        <f>IFERROR(__xludf.DUMMYFUNCTION("REGEXREPLACE(C16066,""-\d+(.*)|--\d+(.*)"","""")"),"ROUTELLE")</f>
        <v>ROUTELLE</v>
      </c>
      <c r="E16066" s="38" t="s">
        <v>213</v>
      </c>
      <c r="F16066" s="38" t="s">
        <v>214</v>
      </c>
      <c r="G16066" s="49" t="str">
        <f t="shared" si="1"/>
        <v>25410</v>
      </c>
      <c r="H16066" s="49">
        <f t="shared" si="2"/>
        <v>25509</v>
      </c>
    </row>
    <row r="16067">
      <c r="A16067" s="48" t="s">
        <v>8418</v>
      </c>
      <c r="B16067" s="38">
        <v>80019.0</v>
      </c>
      <c r="C16067" s="38" t="s">
        <v>20449</v>
      </c>
      <c r="D16067" s="38" t="str">
        <f>IFERROR(__xludf.DUMMYFUNCTION("REGEXREPLACE(C16067,""-\d+(.*)|--\d+(.*)"","""")"),"ALLERY")</f>
        <v>ALLERY</v>
      </c>
      <c r="E16067" s="38" t="s">
        <v>224</v>
      </c>
      <c r="F16067" s="38" t="s">
        <v>113</v>
      </c>
      <c r="G16067" s="49" t="str">
        <f t="shared" si="1"/>
        <v>80270</v>
      </c>
      <c r="H16067" s="49">
        <f t="shared" si="2"/>
        <v>80019</v>
      </c>
    </row>
    <row r="16068">
      <c r="A16068" s="48" t="s">
        <v>1241</v>
      </c>
      <c r="B16068" s="38">
        <v>71124.0</v>
      </c>
      <c r="C16068" s="38" t="s">
        <v>20450</v>
      </c>
      <c r="D16068" s="38" t="str">
        <f>IFERROR(__xludf.DUMMYFUNCTION("REGEXREPLACE(C16068,""-\d+(.*)|--\d+(.*)"","""")"),"CHENOVES")</f>
        <v>CHENOVES</v>
      </c>
      <c r="E16068" s="38" t="s">
        <v>344</v>
      </c>
      <c r="F16068" s="38" t="s">
        <v>106</v>
      </c>
      <c r="G16068" s="49" t="str">
        <f t="shared" si="1"/>
        <v>71390</v>
      </c>
      <c r="H16068" s="49">
        <f t="shared" si="2"/>
        <v>71124</v>
      </c>
    </row>
    <row r="16069">
      <c r="A16069" s="48" t="s">
        <v>1540</v>
      </c>
      <c r="B16069" s="38">
        <v>70134.0</v>
      </c>
      <c r="C16069" s="38" t="s">
        <v>20451</v>
      </c>
      <c r="D16069" s="38" t="str">
        <f>IFERROR(__xludf.DUMMYFUNCTION("REGEXREPLACE(C16069,""-\d+(.*)|--\d+(.*)"","""")"),"CHARIEZ")</f>
        <v>CHARIEZ</v>
      </c>
      <c r="E16069" s="38" t="s">
        <v>956</v>
      </c>
      <c r="F16069" s="38" t="s">
        <v>214</v>
      </c>
      <c r="G16069" s="49" t="str">
        <f t="shared" si="1"/>
        <v>70000</v>
      </c>
      <c r="H16069" s="49">
        <f t="shared" si="2"/>
        <v>70134</v>
      </c>
    </row>
    <row r="16070">
      <c r="A16070" s="48" t="s">
        <v>872</v>
      </c>
      <c r="B16070" s="38">
        <v>35338.0</v>
      </c>
      <c r="C16070" s="38" t="s">
        <v>20452</v>
      </c>
      <c r="D16070" s="38" t="str">
        <f>IFERROR(__xludf.DUMMYFUNCTION("REGEXREPLACE(C16070,""-\d+(.*)|--\d+(.*)"","""")"),"TORCE")</f>
        <v>TORCE</v>
      </c>
      <c r="E16070" s="38" t="s">
        <v>347</v>
      </c>
      <c r="F16070" s="38" t="s">
        <v>90</v>
      </c>
      <c r="G16070" s="49" t="str">
        <f t="shared" si="1"/>
        <v>35370</v>
      </c>
      <c r="H16070" s="49">
        <f t="shared" si="2"/>
        <v>35338</v>
      </c>
    </row>
    <row r="16071">
      <c r="A16071" s="48" t="s">
        <v>2387</v>
      </c>
      <c r="B16071" s="38">
        <v>42089.0</v>
      </c>
      <c r="C16071" s="38" t="s">
        <v>20453</v>
      </c>
      <c r="D16071" s="38" t="str">
        <f>IFERROR(__xludf.DUMMYFUNCTION("REGEXREPLACE(C16071,""-\d+(.*)|--\d+(.*)"","""")"),"ESSERTINES-EN-CHATELNEUF")</f>
        <v>ESSERTINES-EN-CHATELNEUF</v>
      </c>
      <c r="E16071" s="38" t="s">
        <v>166</v>
      </c>
      <c r="F16071" s="38" t="s">
        <v>102</v>
      </c>
      <c r="G16071" s="49" t="str">
        <f t="shared" si="1"/>
        <v>42600</v>
      </c>
      <c r="H16071" s="49">
        <f t="shared" si="2"/>
        <v>42089</v>
      </c>
    </row>
    <row r="16072">
      <c r="A16072" s="48" t="s">
        <v>2141</v>
      </c>
      <c r="B16072" s="38">
        <v>80301.0</v>
      </c>
      <c r="C16072" s="38" t="s">
        <v>20454</v>
      </c>
      <c r="D16072" s="38" t="str">
        <f>IFERROR(__xludf.DUMMYFUNCTION("REGEXREPLACE(C16072,""-\d+(.*)|--\d+(.*)"","""")"),"FAMECHON")</f>
        <v>FAMECHON</v>
      </c>
      <c r="E16072" s="38" t="s">
        <v>224</v>
      </c>
      <c r="F16072" s="38" t="s">
        <v>113</v>
      </c>
      <c r="G16072" s="49" t="str">
        <f t="shared" si="1"/>
        <v>80290</v>
      </c>
      <c r="H16072" s="49">
        <f t="shared" si="2"/>
        <v>80301</v>
      </c>
    </row>
    <row r="16073">
      <c r="A16073" s="48" t="s">
        <v>3009</v>
      </c>
      <c r="B16073" s="38">
        <v>11271.0</v>
      </c>
      <c r="C16073" s="38" t="s">
        <v>20455</v>
      </c>
      <c r="D16073" s="38" t="str">
        <f>IFERROR(__xludf.DUMMYFUNCTION("REGEXREPLACE(C16073,""-\d+(.*)|--\d+(.*)"","""")"),"PALAIRAC")</f>
        <v>PALAIRAC</v>
      </c>
      <c r="E16073" s="38" t="s">
        <v>278</v>
      </c>
      <c r="F16073" s="38" t="s">
        <v>119</v>
      </c>
      <c r="G16073" s="49" t="str">
        <f t="shared" si="1"/>
        <v>11330</v>
      </c>
      <c r="H16073" s="49">
        <f t="shared" si="2"/>
        <v>11271</v>
      </c>
    </row>
    <row r="16074">
      <c r="A16074" s="48" t="s">
        <v>407</v>
      </c>
      <c r="B16074" s="38">
        <v>71145.0</v>
      </c>
      <c r="C16074" s="38" t="s">
        <v>20456</v>
      </c>
      <c r="D16074" s="38" t="str">
        <f>IFERROR(__xludf.DUMMYFUNCTION("REGEXREPLACE(C16074,""-\d+(.*)|--\d+(.*)"","""")"),"CORMATIN")</f>
        <v>CORMATIN</v>
      </c>
      <c r="E16074" s="38" t="s">
        <v>344</v>
      </c>
      <c r="F16074" s="38" t="s">
        <v>106</v>
      </c>
      <c r="G16074" s="49" t="str">
        <f t="shared" si="1"/>
        <v>71460</v>
      </c>
      <c r="H16074" s="49">
        <f t="shared" si="2"/>
        <v>71145</v>
      </c>
    </row>
    <row r="16075">
      <c r="A16075" s="48" t="s">
        <v>6674</v>
      </c>
      <c r="B16075" s="38">
        <v>27156.0</v>
      </c>
      <c r="C16075" s="38" t="s">
        <v>20457</v>
      </c>
      <c r="D16075" s="38" t="str">
        <f>IFERROR(__xludf.DUMMYFUNCTION("REGEXREPLACE(C16075,""-\d+(.*)|--\d+(.*)"","""")"),"CHERONVILLIERS")</f>
        <v>CHERONVILLIERS</v>
      </c>
      <c r="E16075" s="38" t="s">
        <v>241</v>
      </c>
      <c r="F16075" s="38" t="s">
        <v>134</v>
      </c>
      <c r="G16075" s="49" t="str">
        <f t="shared" si="1"/>
        <v>27250</v>
      </c>
      <c r="H16075" s="49">
        <f t="shared" si="2"/>
        <v>27156</v>
      </c>
    </row>
    <row r="16076">
      <c r="A16076" s="48" t="s">
        <v>10970</v>
      </c>
      <c r="B16076" s="38">
        <v>59082.0</v>
      </c>
      <c r="C16076" s="38" t="s">
        <v>20458</v>
      </c>
      <c r="D16076" s="38" t="str">
        <f>IFERROR(__xludf.DUMMYFUNCTION("REGEXREPLACE(C16076,""-\d+(.*)|--\d+(.*)"","""")"),"BIERNE")</f>
        <v>BIERNE</v>
      </c>
      <c r="E16076" s="38" t="s">
        <v>85</v>
      </c>
      <c r="F16076" s="38" t="s">
        <v>86</v>
      </c>
      <c r="G16076" s="49" t="str">
        <f t="shared" si="1"/>
        <v>59380</v>
      </c>
      <c r="H16076" s="49">
        <f t="shared" si="2"/>
        <v>59082</v>
      </c>
    </row>
    <row r="16077">
      <c r="A16077" s="48" t="s">
        <v>11061</v>
      </c>
      <c r="B16077" s="38">
        <v>16203.0</v>
      </c>
      <c r="C16077" s="38" t="s">
        <v>20459</v>
      </c>
      <c r="D16077" s="38" t="str">
        <f>IFERROR(__xludf.DUMMYFUNCTION("REGEXREPLACE(C16077,""-\d+(.*)|--\d+(.*)"","""")"),"MAINZAC")</f>
        <v>MAINZAC</v>
      </c>
      <c r="E16077" s="38" t="s">
        <v>429</v>
      </c>
      <c r="F16077" s="38" t="s">
        <v>338</v>
      </c>
      <c r="G16077" s="49" t="str">
        <f t="shared" si="1"/>
        <v>16380</v>
      </c>
      <c r="H16077" s="49">
        <f t="shared" si="2"/>
        <v>16203</v>
      </c>
    </row>
    <row r="16078">
      <c r="A16078" s="48" t="s">
        <v>2937</v>
      </c>
      <c r="B16078" s="38">
        <v>73095.0</v>
      </c>
      <c r="C16078" s="38" t="s">
        <v>20460</v>
      </c>
      <c r="D16078" s="38" t="str">
        <f>IFERROR(__xludf.DUMMYFUNCTION("REGEXREPLACE(C16078,""-\d+(.*)|--\d+(.*)"","""")"),"LA CROIX-DE-LA-ROCHETTE")</f>
        <v>LA CROIX-DE-LA-ROCHETTE</v>
      </c>
      <c r="E16078" s="38" t="s">
        <v>306</v>
      </c>
      <c r="F16078" s="38" t="s">
        <v>102</v>
      </c>
      <c r="G16078" s="49" t="str">
        <f t="shared" si="1"/>
        <v>73110</v>
      </c>
      <c r="H16078" s="49">
        <f t="shared" si="2"/>
        <v>73095</v>
      </c>
    </row>
    <row r="16079">
      <c r="A16079" s="48" t="s">
        <v>5463</v>
      </c>
      <c r="B16079" s="38">
        <v>26022.0</v>
      </c>
      <c r="C16079" s="38" t="s">
        <v>20461</v>
      </c>
      <c r="D16079" s="38" t="str">
        <f>IFERROR(__xludf.DUMMYFUNCTION("REGEXREPLACE(C16079,""-\d+(.*)|--\d+(.*)"","""")"),"BALLONS")</f>
        <v>BALLONS</v>
      </c>
      <c r="E16079" s="38" t="s">
        <v>126</v>
      </c>
      <c r="F16079" s="38" t="s">
        <v>102</v>
      </c>
      <c r="G16079" s="49" t="str">
        <f t="shared" si="1"/>
        <v>26560</v>
      </c>
      <c r="H16079" s="49">
        <f t="shared" si="2"/>
        <v>26022</v>
      </c>
    </row>
    <row r="16080">
      <c r="A16080" s="48" t="s">
        <v>7933</v>
      </c>
      <c r="B16080" s="38">
        <v>27640.0</v>
      </c>
      <c r="C16080" s="38" t="s">
        <v>20462</v>
      </c>
      <c r="D16080" s="38" t="str">
        <f>IFERROR(__xludf.DUMMYFUNCTION("REGEXREPLACE(C16080,""-\d+(.*)|--\d+(.*)"","""")"),"TILLEUL-DAME-AGNES")</f>
        <v>TILLEUL-DAME-AGNES</v>
      </c>
      <c r="E16080" s="38" t="s">
        <v>241</v>
      </c>
      <c r="F16080" s="38" t="s">
        <v>134</v>
      </c>
      <c r="G16080" s="49" t="str">
        <f t="shared" si="1"/>
        <v>27170</v>
      </c>
      <c r="H16080" s="49">
        <f t="shared" si="2"/>
        <v>27640</v>
      </c>
    </row>
    <row r="16081">
      <c r="A16081" s="48" t="s">
        <v>15034</v>
      </c>
      <c r="B16081" s="38">
        <v>22258.0</v>
      </c>
      <c r="C16081" s="38" t="s">
        <v>20463</v>
      </c>
      <c r="D16081" s="38" t="str">
        <f>IFERROR(__xludf.DUMMYFUNCTION("REGEXREPLACE(C16081,""-\d+(.*)|--\d+(.*)"","""")"),"QUESSOY")</f>
        <v>QUESSOY</v>
      </c>
      <c r="E16081" s="38" t="s">
        <v>89</v>
      </c>
      <c r="F16081" s="38" t="s">
        <v>90</v>
      </c>
      <c r="G16081" s="49" t="str">
        <f t="shared" si="1"/>
        <v>22120</v>
      </c>
      <c r="H16081" s="49">
        <f t="shared" si="2"/>
        <v>22258</v>
      </c>
    </row>
    <row r="16082">
      <c r="A16082" s="48" t="s">
        <v>8620</v>
      </c>
      <c r="B16082" s="38">
        <v>45297.0</v>
      </c>
      <c r="C16082" s="38" t="s">
        <v>20464</v>
      </c>
      <c r="D16082" s="38" t="str">
        <f>IFERROR(__xludf.DUMMYFUNCTION("REGEXREPLACE(C16082,""-\d+(.*)|--\d+(.*)"","""")"),"SAINT-PERE-SUR-LOIRE")</f>
        <v>SAINT-PERE-SUR-LOIRE</v>
      </c>
      <c r="E16082" s="38" t="s">
        <v>122</v>
      </c>
      <c r="F16082" s="38" t="s">
        <v>123</v>
      </c>
      <c r="G16082" s="49" t="str">
        <f t="shared" si="1"/>
        <v>45600</v>
      </c>
      <c r="H16082" s="49">
        <f t="shared" si="2"/>
        <v>45297</v>
      </c>
    </row>
    <row r="16083">
      <c r="A16083" s="48" t="s">
        <v>20465</v>
      </c>
      <c r="B16083" s="38">
        <v>87157.0</v>
      </c>
      <c r="C16083" s="38" t="s">
        <v>20466</v>
      </c>
      <c r="D16083" s="38" t="str">
        <f>IFERROR(__xludf.DUMMYFUNCTION("REGEXREPLACE(C16083,""-\d+(.*)|--\d+(.*)"","""")"),"SAINT-LAURENT-LES-EGLISES")</f>
        <v>SAINT-LAURENT-LES-EGLISES</v>
      </c>
      <c r="E16083" s="38" t="s">
        <v>897</v>
      </c>
      <c r="F16083" s="38" t="s">
        <v>98</v>
      </c>
      <c r="G16083" s="49" t="str">
        <f t="shared" si="1"/>
        <v>87240</v>
      </c>
      <c r="H16083" s="49">
        <f t="shared" si="2"/>
        <v>87157</v>
      </c>
    </row>
    <row r="16084">
      <c r="A16084" s="48" t="s">
        <v>5146</v>
      </c>
      <c r="B16084" s="38">
        <v>85260.0</v>
      </c>
      <c r="C16084" s="38" t="s">
        <v>20467</v>
      </c>
      <c r="D16084" s="38" t="str">
        <f>IFERROR(__xludf.DUMMYFUNCTION("REGEXREPLACE(C16084,""-\d+(.*)|--\d+(.*)"","""")"),"SAINT-PAUL-MONT-PENIT")</f>
        <v>SAINT-PAUL-MONT-PENIT</v>
      </c>
      <c r="E16084" s="38" t="s">
        <v>179</v>
      </c>
      <c r="F16084" s="38" t="s">
        <v>180</v>
      </c>
      <c r="G16084" s="49" t="str">
        <f t="shared" si="1"/>
        <v>85670</v>
      </c>
      <c r="H16084" s="49">
        <f t="shared" si="2"/>
        <v>85260</v>
      </c>
    </row>
    <row r="16085">
      <c r="A16085" s="48" t="s">
        <v>1457</v>
      </c>
      <c r="B16085" s="38">
        <v>13017.0</v>
      </c>
      <c r="C16085" s="38" t="s">
        <v>20468</v>
      </c>
      <c r="D16085" s="38" t="str">
        <f>IFERROR(__xludf.DUMMYFUNCTION("REGEXREPLACE(C16085,""-\d+(.*)|--\d+(.*)"","""")"),"BOULBON")</f>
        <v>BOULBON</v>
      </c>
      <c r="E16085" s="38" t="s">
        <v>980</v>
      </c>
      <c r="F16085" s="38" t="s">
        <v>228</v>
      </c>
      <c r="G16085" s="49" t="str">
        <f t="shared" si="1"/>
        <v>13150</v>
      </c>
      <c r="H16085" s="49">
        <f t="shared" si="2"/>
        <v>13017</v>
      </c>
    </row>
    <row r="16086">
      <c r="A16086" s="48" t="s">
        <v>3965</v>
      </c>
      <c r="B16086" s="38">
        <v>33188.0</v>
      </c>
      <c r="C16086" s="38" t="s">
        <v>20469</v>
      </c>
      <c r="D16086" s="38" t="str">
        <f>IFERROR(__xludf.DUMMYFUNCTION("REGEXREPLACE(C16086,""-\d+(.*)|--\d+(.*)"","""")"),"GISCOS")</f>
        <v>GISCOS</v>
      </c>
      <c r="E16086" s="38" t="s">
        <v>462</v>
      </c>
      <c r="F16086" s="38" t="s">
        <v>252</v>
      </c>
      <c r="G16086" s="49" t="str">
        <f t="shared" si="1"/>
        <v>33840</v>
      </c>
      <c r="H16086" s="49">
        <f t="shared" si="2"/>
        <v>33188</v>
      </c>
    </row>
    <row r="16087">
      <c r="A16087" s="48" t="s">
        <v>2473</v>
      </c>
      <c r="B16087" s="38">
        <v>69118.0</v>
      </c>
      <c r="C16087" s="38" t="s">
        <v>20470</v>
      </c>
      <c r="D16087" s="38" t="str">
        <f>IFERROR(__xludf.DUMMYFUNCTION("REGEXREPLACE(C16087,""-\d+(.*)|--\d+(.*)"","""")"),"LOIRE-SUR-RHONE")</f>
        <v>LOIRE-SUR-RHONE</v>
      </c>
      <c r="E16087" s="38" t="s">
        <v>350</v>
      </c>
      <c r="F16087" s="38" t="s">
        <v>102</v>
      </c>
      <c r="G16087" s="49" t="str">
        <f t="shared" si="1"/>
        <v>69700</v>
      </c>
      <c r="H16087" s="49">
        <f t="shared" si="2"/>
        <v>69118</v>
      </c>
    </row>
    <row r="16088">
      <c r="A16088" s="48" t="s">
        <v>3161</v>
      </c>
      <c r="B16088" s="38">
        <v>70329.0</v>
      </c>
      <c r="C16088" s="38" t="s">
        <v>20471</v>
      </c>
      <c r="D16088" s="38" t="str">
        <f>IFERROR(__xludf.DUMMYFUNCTION("REGEXREPLACE(C16088,""-\d+(.*)|--\d+(.*)"","""")"),"MALVILLERS")</f>
        <v>MALVILLERS</v>
      </c>
      <c r="E16088" s="38" t="s">
        <v>956</v>
      </c>
      <c r="F16088" s="38" t="s">
        <v>214</v>
      </c>
      <c r="G16088" s="49" t="str">
        <f t="shared" si="1"/>
        <v>70120</v>
      </c>
      <c r="H16088" s="49">
        <f t="shared" si="2"/>
        <v>70329</v>
      </c>
    </row>
    <row r="16089">
      <c r="A16089" s="48" t="s">
        <v>4428</v>
      </c>
      <c r="B16089" s="38">
        <v>72079.0</v>
      </c>
      <c r="C16089" s="38" t="s">
        <v>20472</v>
      </c>
      <c r="D16089" s="38" t="str">
        <f>IFERROR(__xludf.DUMMYFUNCTION("REGEXREPLACE(C16089,""-\d+(.*)|--\d+(.*)"","""")"),"CHERISAY")</f>
        <v>CHERISAY</v>
      </c>
      <c r="E16089" s="38" t="s">
        <v>521</v>
      </c>
      <c r="F16089" s="38" t="s">
        <v>180</v>
      </c>
      <c r="G16089" s="49" t="str">
        <f t="shared" si="1"/>
        <v>72610</v>
      </c>
      <c r="H16089" s="49">
        <f t="shared" si="2"/>
        <v>72079</v>
      </c>
    </row>
    <row r="16090">
      <c r="A16090" s="48" t="s">
        <v>1276</v>
      </c>
      <c r="B16090" s="38">
        <v>64090.0</v>
      </c>
      <c r="C16090" s="38" t="s">
        <v>20473</v>
      </c>
      <c r="D16090" s="38" t="str">
        <f>IFERROR(__xludf.DUMMYFUNCTION("REGEXREPLACE(C16090,""-\d+(.*)|--\d+(.*)"","""")"),"BALIRACQ-MAUMUSSON")</f>
        <v>BALIRACQ-MAUMUSSON</v>
      </c>
      <c r="E16090" s="38" t="s">
        <v>268</v>
      </c>
      <c r="F16090" s="38" t="s">
        <v>252</v>
      </c>
      <c r="G16090" s="49" t="str">
        <f t="shared" si="1"/>
        <v>64330</v>
      </c>
      <c r="H16090" s="49">
        <f t="shared" si="2"/>
        <v>64090</v>
      </c>
    </row>
    <row r="16091">
      <c r="A16091" s="48" t="s">
        <v>5056</v>
      </c>
      <c r="B16091" s="38">
        <v>85217.0</v>
      </c>
      <c r="C16091" s="38" t="s">
        <v>20474</v>
      </c>
      <c r="D16091" s="38" t="str">
        <f>IFERROR(__xludf.DUMMYFUNCTION("REGEXREPLACE(C16091,""-\d+(.*)|--\d+(.*)"","""")"),"SAINT-GEORGES-DE-MONTAIGU")</f>
        <v>SAINT-GEORGES-DE-MONTAIGU</v>
      </c>
      <c r="E16091" s="38" t="s">
        <v>179</v>
      </c>
      <c r="F16091" s="38" t="s">
        <v>180</v>
      </c>
      <c r="G16091" s="49" t="str">
        <f t="shared" si="1"/>
        <v>85600</v>
      </c>
      <c r="H16091" s="49">
        <f t="shared" si="2"/>
        <v>85217</v>
      </c>
    </row>
    <row r="16092">
      <c r="A16092" s="48" t="s">
        <v>15777</v>
      </c>
      <c r="B16092" s="38">
        <v>35179.0</v>
      </c>
      <c r="C16092" s="38" t="s">
        <v>20475</v>
      </c>
      <c r="D16092" s="38" t="str">
        <f>IFERROR(__xludf.DUMMYFUNCTION("REGEXREPLACE(C16092,""-\d+(.*)|--\d+(.*)"","""")"),"MINIAC-MORVAN")</f>
        <v>MINIAC-MORVAN</v>
      </c>
      <c r="E16092" s="38" t="s">
        <v>347</v>
      </c>
      <c r="F16092" s="38" t="s">
        <v>90</v>
      </c>
      <c r="G16092" s="49" t="str">
        <f t="shared" si="1"/>
        <v>35540</v>
      </c>
      <c r="H16092" s="49">
        <f t="shared" si="2"/>
        <v>35179</v>
      </c>
    </row>
    <row r="16093">
      <c r="A16093" s="48" t="s">
        <v>5648</v>
      </c>
      <c r="B16093" s="38">
        <v>76028.0</v>
      </c>
      <c r="C16093" s="38" t="s">
        <v>20476</v>
      </c>
      <c r="D16093" s="38" t="str">
        <f>IFERROR(__xludf.DUMMYFUNCTION("REGEXREPLACE(C16093,""-\d+(.*)|--\d+(.*)"","""")"),"AUBEGUIMONT")</f>
        <v>AUBEGUIMONT</v>
      </c>
      <c r="E16093" s="38" t="s">
        <v>133</v>
      </c>
      <c r="F16093" s="38" t="s">
        <v>134</v>
      </c>
      <c r="G16093" s="49" t="str">
        <f t="shared" si="1"/>
        <v>76390</v>
      </c>
      <c r="H16093" s="49">
        <f t="shared" si="2"/>
        <v>76028</v>
      </c>
    </row>
    <row r="16094">
      <c r="A16094" s="48" t="s">
        <v>1448</v>
      </c>
      <c r="B16094" s="38">
        <v>29103.0</v>
      </c>
      <c r="C16094" s="38" t="s">
        <v>20477</v>
      </c>
      <c r="D16094" s="38" t="str">
        <f>IFERROR(__xludf.DUMMYFUNCTION("REGEXREPLACE(C16094,""-\d+(.*)|--\d+(.*)"","""")"),"LANDERNEAU")</f>
        <v>LANDERNEAU</v>
      </c>
      <c r="E16094" s="38" t="s">
        <v>176</v>
      </c>
      <c r="F16094" s="38" t="s">
        <v>90</v>
      </c>
      <c r="G16094" s="49" t="str">
        <f t="shared" si="1"/>
        <v>29800</v>
      </c>
      <c r="H16094" s="49">
        <f t="shared" si="2"/>
        <v>29103</v>
      </c>
    </row>
    <row r="16095">
      <c r="A16095" s="48" t="s">
        <v>1036</v>
      </c>
      <c r="B16095" s="38">
        <v>57674.0</v>
      </c>
      <c r="C16095" s="38" t="s">
        <v>20478</v>
      </c>
      <c r="D16095" s="38" t="str">
        <f>IFERROR(__xludf.DUMMYFUNCTION("REGEXREPLACE(C16095,""-\d+(.*)|--\d+(.*)"","""")"),"TINCRY")</f>
        <v>TINCRY</v>
      </c>
      <c r="E16095" s="38" t="s">
        <v>303</v>
      </c>
      <c r="F16095" s="38" t="s">
        <v>195</v>
      </c>
      <c r="G16095" s="49" t="str">
        <f t="shared" si="1"/>
        <v>57590</v>
      </c>
      <c r="H16095" s="49">
        <f t="shared" si="2"/>
        <v>57674</v>
      </c>
    </row>
    <row r="16096">
      <c r="A16096" s="48" t="s">
        <v>616</v>
      </c>
      <c r="B16096" s="38">
        <v>89188.0</v>
      </c>
      <c r="C16096" s="38" t="s">
        <v>629</v>
      </c>
      <c r="D16096" s="38" t="str">
        <f>IFERROR(__xludf.DUMMYFUNCTION("REGEXREPLACE(C16096,""-\d+(.*)|--\d+(.*)"","""")"),"GIROLLES")</f>
        <v>GIROLLES</v>
      </c>
      <c r="E16096" s="38" t="s">
        <v>275</v>
      </c>
      <c r="F16096" s="38" t="s">
        <v>106</v>
      </c>
      <c r="G16096" s="49" t="str">
        <f t="shared" si="1"/>
        <v>89200</v>
      </c>
      <c r="H16096" s="49">
        <f t="shared" si="2"/>
        <v>89188</v>
      </c>
    </row>
    <row r="16097">
      <c r="A16097" s="48" t="s">
        <v>155</v>
      </c>
      <c r="B16097" s="38">
        <v>50243.0</v>
      </c>
      <c r="C16097" s="38" t="s">
        <v>20479</v>
      </c>
      <c r="D16097" s="38" t="str">
        <f>IFERROR(__xludf.DUMMYFUNCTION("REGEXREPLACE(C16097,""-\d+(.*)|--\d+(.*)"","""")"),"HEUGUEVILLE-SUR-SIENNE")</f>
        <v>HEUGUEVILLE-SUR-SIENNE</v>
      </c>
      <c r="E16097" s="38" t="s">
        <v>157</v>
      </c>
      <c r="F16097" s="38" t="s">
        <v>138</v>
      </c>
      <c r="G16097" s="49" t="str">
        <f t="shared" si="1"/>
        <v>50200</v>
      </c>
      <c r="H16097" s="49">
        <f t="shared" si="2"/>
        <v>50243</v>
      </c>
    </row>
    <row r="16098">
      <c r="A16098" s="48" t="s">
        <v>1935</v>
      </c>
      <c r="B16098" s="38">
        <v>48135.0</v>
      </c>
      <c r="C16098" s="38" t="s">
        <v>20480</v>
      </c>
      <c r="D16098" s="38" t="str">
        <f>IFERROR(__xludf.DUMMYFUNCTION("REGEXREPLACE(C16098,""-\d+(.*)|--\d+(.*)"","""")"),"SAINT-ANDRE-CAPCEZE")</f>
        <v>SAINT-ANDRE-CAPCEZE</v>
      </c>
      <c r="E16098" s="38" t="s">
        <v>154</v>
      </c>
      <c r="F16098" s="38" t="s">
        <v>119</v>
      </c>
      <c r="G16098" s="49" t="str">
        <f t="shared" si="1"/>
        <v>48800</v>
      </c>
      <c r="H16098" s="49">
        <f t="shared" si="2"/>
        <v>48135</v>
      </c>
    </row>
    <row r="16099">
      <c r="A16099" s="48" t="s">
        <v>1315</v>
      </c>
      <c r="B16099" s="38">
        <v>19139.0</v>
      </c>
      <c r="C16099" s="38" t="s">
        <v>20481</v>
      </c>
      <c r="D16099" s="38" t="str">
        <f>IFERROR(__xludf.DUMMYFUNCTION("REGEXREPLACE(C16099,""-\d+(.*)|--\d+(.*)"","""")"),"MILLEVACHES")</f>
        <v>MILLEVACHES</v>
      </c>
      <c r="E16099" s="38" t="s">
        <v>271</v>
      </c>
      <c r="F16099" s="38" t="s">
        <v>98</v>
      </c>
      <c r="G16099" s="49" t="str">
        <f t="shared" si="1"/>
        <v>19290</v>
      </c>
      <c r="H16099" s="49">
        <f t="shared" si="2"/>
        <v>19139</v>
      </c>
    </row>
    <row r="16100">
      <c r="A16100" s="48" t="s">
        <v>3161</v>
      </c>
      <c r="B16100" s="38">
        <v>70169.0</v>
      </c>
      <c r="C16100" s="38" t="s">
        <v>20482</v>
      </c>
      <c r="D16100" s="38" t="str">
        <f>IFERROR(__xludf.DUMMYFUNCTION("REGEXREPLACE(C16100,""-\d+(.*)|--\d+(.*)"","""")"),"CONFRACOURT")</f>
        <v>CONFRACOURT</v>
      </c>
      <c r="E16100" s="38" t="s">
        <v>956</v>
      </c>
      <c r="F16100" s="38" t="s">
        <v>214</v>
      </c>
      <c r="G16100" s="49" t="str">
        <f t="shared" si="1"/>
        <v>70120</v>
      </c>
      <c r="H16100" s="49">
        <f t="shared" si="2"/>
        <v>70169</v>
      </c>
    </row>
    <row r="16101">
      <c r="A16101" s="48" t="s">
        <v>1100</v>
      </c>
      <c r="B16101" s="38">
        <v>8320.0</v>
      </c>
      <c r="C16101" s="38" t="s">
        <v>20483</v>
      </c>
      <c r="D16101" s="38" t="str">
        <f>IFERROR(__xludf.DUMMYFUNCTION("REGEXREPLACE(C16101,""-\d+(.*)|--\d+(.*)"","""")"),"LA NEUVILLE-EN-TOURNE-A-FUY")</f>
        <v>LA NEUVILLE-EN-TOURNE-A-FUY</v>
      </c>
      <c r="E16101" s="38" t="s">
        <v>327</v>
      </c>
      <c r="F16101" s="38" t="s">
        <v>130</v>
      </c>
      <c r="G16101" s="49" t="str">
        <f t="shared" si="1"/>
        <v>08310</v>
      </c>
      <c r="H16101" s="49" t="str">
        <f t="shared" si="2"/>
        <v>08320</v>
      </c>
    </row>
    <row r="16102">
      <c r="A16102" s="48" t="s">
        <v>5690</v>
      </c>
      <c r="B16102" s="38">
        <v>8497.0</v>
      </c>
      <c r="C16102" s="38" t="s">
        <v>17389</v>
      </c>
      <c r="D16102" s="38" t="str">
        <f>IFERROR(__xludf.DUMMYFUNCTION("REGEXREPLACE(C16102,""-\d+(.*)|--\d+(.*)"","""")"),"WARCQ")</f>
        <v>WARCQ</v>
      </c>
      <c r="E16102" s="38" t="s">
        <v>327</v>
      </c>
      <c r="F16102" s="38" t="s">
        <v>130</v>
      </c>
      <c r="G16102" s="49" t="str">
        <f t="shared" si="1"/>
        <v>08000</v>
      </c>
      <c r="H16102" s="49" t="str">
        <f t="shared" si="2"/>
        <v>08497</v>
      </c>
    </row>
    <row r="16103">
      <c r="A16103" s="48" t="s">
        <v>6078</v>
      </c>
      <c r="B16103" s="38">
        <v>10017.0</v>
      </c>
      <c r="C16103" s="38" t="s">
        <v>20484</v>
      </c>
      <c r="D16103" s="38" t="str">
        <f>IFERROR(__xludf.DUMMYFUNCTION("REGEXREPLACE(C16103,""-\d+(.*)|--\d+(.*)"","""")"),"AULNAY")</f>
        <v>AULNAY</v>
      </c>
      <c r="E16103" s="38" t="s">
        <v>147</v>
      </c>
      <c r="F16103" s="38" t="s">
        <v>130</v>
      </c>
      <c r="G16103" s="49" t="str">
        <f t="shared" si="1"/>
        <v>10240</v>
      </c>
      <c r="H16103" s="49">
        <f t="shared" si="2"/>
        <v>10017</v>
      </c>
    </row>
    <row r="16104">
      <c r="A16104" s="48" t="s">
        <v>6825</v>
      </c>
      <c r="B16104" s="38">
        <v>14746.0</v>
      </c>
      <c r="C16104" s="38" t="s">
        <v>20485</v>
      </c>
      <c r="D16104" s="38" t="str">
        <f>IFERROR(__xludf.DUMMYFUNCTION("REGEXREPLACE(C16104,""-\d+(.*)|--\d+(.*)"","""")"),"VIESSOIX")</f>
        <v>VIESSOIX</v>
      </c>
      <c r="E16104" s="38" t="s">
        <v>137</v>
      </c>
      <c r="F16104" s="38" t="s">
        <v>138</v>
      </c>
      <c r="G16104" s="49" t="str">
        <f t="shared" si="1"/>
        <v>14410</v>
      </c>
      <c r="H16104" s="49">
        <f t="shared" si="2"/>
        <v>14746</v>
      </c>
    </row>
    <row r="16105">
      <c r="A16105" s="48" t="s">
        <v>2215</v>
      </c>
      <c r="B16105" s="38">
        <v>64124.0</v>
      </c>
      <c r="C16105" s="38" t="s">
        <v>20486</v>
      </c>
      <c r="D16105" s="38" t="str">
        <f>IFERROR(__xludf.DUMMYFUNCTION("REGEXREPLACE(C16105,""-\d+(.*)|--\d+(.*)"","""")"),"BIDARRAY")</f>
        <v>BIDARRAY</v>
      </c>
      <c r="E16105" s="38" t="s">
        <v>268</v>
      </c>
      <c r="F16105" s="38" t="s">
        <v>252</v>
      </c>
      <c r="G16105" s="49" t="str">
        <f t="shared" si="1"/>
        <v>64780</v>
      </c>
      <c r="H16105" s="49">
        <f t="shared" si="2"/>
        <v>64124</v>
      </c>
    </row>
    <row r="16106">
      <c r="A16106" s="48" t="s">
        <v>8025</v>
      </c>
      <c r="B16106" s="38">
        <v>18100.0</v>
      </c>
      <c r="C16106" s="38" t="s">
        <v>20487</v>
      </c>
      <c r="D16106" s="38" t="str">
        <f>IFERROR(__xludf.DUMMYFUNCTION("REGEXREPLACE(C16106,""-\d+(.*)|--\d+(.*)"","""")"),"GENOUILLY")</f>
        <v>GENOUILLY</v>
      </c>
      <c r="E16106" s="38" t="s">
        <v>504</v>
      </c>
      <c r="F16106" s="38" t="s">
        <v>123</v>
      </c>
      <c r="G16106" s="49" t="str">
        <f t="shared" si="1"/>
        <v>18310</v>
      </c>
      <c r="H16106" s="49">
        <f t="shared" si="2"/>
        <v>18100</v>
      </c>
    </row>
    <row r="16107">
      <c r="A16107" s="48" t="s">
        <v>3346</v>
      </c>
      <c r="B16107" s="38">
        <v>65418.0</v>
      </c>
      <c r="C16107" s="38" t="s">
        <v>20488</v>
      </c>
      <c r="D16107" s="38" t="str">
        <f>IFERROR(__xludf.DUMMYFUNCTION("REGEXREPLACE(C16107,""-\d+(.*)|--\d+(.*)"","""")"),"SENAC")</f>
        <v>SENAC</v>
      </c>
      <c r="E16107" s="38" t="s">
        <v>200</v>
      </c>
      <c r="F16107" s="38" t="s">
        <v>94</v>
      </c>
      <c r="G16107" s="49" t="str">
        <f t="shared" si="1"/>
        <v>65140</v>
      </c>
      <c r="H16107" s="49">
        <f t="shared" si="2"/>
        <v>65418</v>
      </c>
    </row>
    <row r="16108">
      <c r="A16108" s="48" t="s">
        <v>8374</v>
      </c>
      <c r="B16108" s="38">
        <v>85056.0</v>
      </c>
      <c r="C16108" s="38" t="s">
        <v>20489</v>
      </c>
      <c r="D16108" s="38" t="str">
        <f>IFERROR(__xludf.DUMMYFUNCTION("REGEXREPLACE(C16108,""-\d+(.*)|--\d+(.*)"","""")"),"LA CHAPELLE-THEMER")</f>
        <v>LA CHAPELLE-THEMER</v>
      </c>
      <c r="E16108" s="38" t="s">
        <v>179</v>
      </c>
      <c r="F16108" s="38" t="s">
        <v>180</v>
      </c>
      <c r="G16108" s="49" t="str">
        <f t="shared" si="1"/>
        <v>85210</v>
      </c>
      <c r="H16108" s="49">
        <f t="shared" si="2"/>
        <v>85056</v>
      </c>
    </row>
    <row r="16109">
      <c r="A16109" s="48" t="s">
        <v>2201</v>
      </c>
      <c r="B16109" s="38">
        <v>32226.0</v>
      </c>
      <c r="C16109" s="38" t="s">
        <v>20490</v>
      </c>
      <c r="D16109" s="38" t="str">
        <f>IFERROR(__xludf.DUMMYFUNCTION("REGEXREPLACE(C16109,""-\d+(.*)|--\d+(.*)"","""")"),"MANAS-BASTANOUS")</f>
        <v>MANAS-BASTANOUS</v>
      </c>
      <c r="E16109" s="38" t="s">
        <v>440</v>
      </c>
      <c r="F16109" s="38" t="s">
        <v>94</v>
      </c>
      <c r="G16109" s="49" t="str">
        <f t="shared" si="1"/>
        <v>32170</v>
      </c>
      <c r="H16109" s="49">
        <f t="shared" si="2"/>
        <v>32226</v>
      </c>
    </row>
    <row r="16110">
      <c r="A16110" s="48" t="s">
        <v>5532</v>
      </c>
      <c r="B16110" s="38">
        <v>30266.0</v>
      </c>
      <c r="C16110" s="38" t="s">
        <v>20491</v>
      </c>
      <c r="D16110" s="38" t="str">
        <f>IFERROR(__xludf.DUMMYFUNCTION("REGEXREPLACE(C16110,""-\d+(.*)|--\d+(.*)"","""")"),"SAINT-JEAN-DE-MARUEJOLS-ET-AVEJAN")</f>
        <v>SAINT-JEAN-DE-MARUEJOLS-ET-AVEJAN</v>
      </c>
      <c r="E16110" s="38" t="s">
        <v>526</v>
      </c>
      <c r="F16110" s="38" t="s">
        <v>119</v>
      </c>
      <c r="G16110" s="49" t="str">
        <f t="shared" si="1"/>
        <v>30430</v>
      </c>
      <c r="H16110" s="49">
        <f t="shared" si="2"/>
        <v>30266</v>
      </c>
    </row>
    <row r="16111">
      <c r="A16111" s="48" t="s">
        <v>16706</v>
      </c>
      <c r="B16111" s="38">
        <v>82038.0</v>
      </c>
      <c r="C16111" s="38" t="s">
        <v>20492</v>
      </c>
      <c r="D16111" s="38" t="str">
        <f>IFERROR(__xludf.DUMMYFUNCTION("REGEXREPLACE(C16111,""-\d+(.*)|--\d+(.*)"","""")"),"CAYLUS")</f>
        <v>CAYLUS</v>
      </c>
      <c r="E16111" s="38" t="s">
        <v>570</v>
      </c>
      <c r="F16111" s="38" t="s">
        <v>94</v>
      </c>
      <c r="G16111" s="49" t="str">
        <f t="shared" si="1"/>
        <v>82160</v>
      </c>
      <c r="H16111" s="49">
        <f t="shared" si="2"/>
        <v>82038</v>
      </c>
    </row>
    <row r="16112">
      <c r="A16112" s="48" t="s">
        <v>7078</v>
      </c>
      <c r="B16112" s="38">
        <v>7235.0</v>
      </c>
      <c r="C16112" s="38" t="s">
        <v>20493</v>
      </c>
      <c r="D16112" s="38" t="str">
        <f>IFERROR(__xludf.DUMMYFUNCTION("REGEXREPLACE(C16112,""-\d+(.*)|--\d+(.*)"","""")"),"SAINTE-EULALIE")</f>
        <v>SAINTE-EULALIE</v>
      </c>
      <c r="E16112" s="38" t="s">
        <v>144</v>
      </c>
      <c r="F16112" s="38" t="s">
        <v>102</v>
      </c>
      <c r="G16112" s="49" t="str">
        <f t="shared" si="1"/>
        <v>07510</v>
      </c>
      <c r="H16112" s="49" t="str">
        <f t="shared" si="2"/>
        <v>07235</v>
      </c>
    </row>
    <row r="16113">
      <c r="A16113" s="48" t="s">
        <v>20494</v>
      </c>
      <c r="B16113" s="38">
        <v>17028.0</v>
      </c>
      <c r="C16113" s="38" t="s">
        <v>20495</v>
      </c>
      <c r="D16113" s="38" t="str">
        <f>IFERROR(__xludf.DUMMYFUNCTION("REGEXREPLACE(C16113,""-\d+(.*)|--\d+(.*)"","""")"),"AYTRE")</f>
        <v>AYTRE</v>
      </c>
      <c r="E16113" s="38" t="s">
        <v>488</v>
      </c>
      <c r="F16113" s="38" t="s">
        <v>338</v>
      </c>
      <c r="G16113" s="49" t="str">
        <f t="shared" si="1"/>
        <v>17440</v>
      </c>
      <c r="H16113" s="49">
        <f t="shared" si="2"/>
        <v>17028</v>
      </c>
    </row>
    <row r="16114">
      <c r="A16114" s="48" t="s">
        <v>1861</v>
      </c>
      <c r="B16114" s="38">
        <v>46112.0</v>
      </c>
      <c r="C16114" s="38" t="s">
        <v>20496</v>
      </c>
      <c r="D16114" s="38" t="str">
        <f>IFERROR(__xludf.DUMMYFUNCTION("REGEXREPLACE(C16114,""-\d+(.*)|--\d+(.*)"","""")"),"FRANCOULES")</f>
        <v>FRANCOULES</v>
      </c>
      <c r="E16114" s="38" t="s">
        <v>185</v>
      </c>
      <c r="F16114" s="38" t="s">
        <v>94</v>
      </c>
      <c r="G16114" s="49" t="str">
        <f t="shared" si="1"/>
        <v>46090</v>
      </c>
      <c r="H16114" s="49">
        <f t="shared" si="2"/>
        <v>46112</v>
      </c>
    </row>
    <row r="16115">
      <c r="A16115" s="48" t="s">
        <v>5223</v>
      </c>
      <c r="B16115" s="38">
        <v>65308.0</v>
      </c>
      <c r="C16115" s="38" t="s">
        <v>10143</v>
      </c>
      <c r="D16115" s="38" t="str">
        <f>IFERROR(__xludf.DUMMYFUNCTION("REGEXREPLACE(C16115,""-\d+(.*)|--\d+(.*)"","""")"),"MAZEROLLES")</f>
        <v>MAZEROLLES</v>
      </c>
      <c r="E16115" s="38" t="s">
        <v>200</v>
      </c>
      <c r="F16115" s="38" t="s">
        <v>94</v>
      </c>
      <c r="G16115" s="49" t="str">
        <f t="shared" si="1"/>
        <v>65220</v>
      </c>
      <c r="H16115" s="49">
        <f t="shared" si="2"/>
        <v>65308</v>
      </c>
    </row>
    <row r="16116">
      <c r="A16116" s="48" t="s">
        <v>3465</v>
      </c>
      <c r="B16116" s="38">
        <v>11108.0</v>
      </c>
      <c r="C16116" s="38" t="s">
        <v>20497</v>
      </c>
      <c r="D16116" s="38" t="str">
        <f>IFERROR(__xludf.DUMMYFUNCTION("REGEXREPLACE(C16116,""-\d+(.*)|--\d+(.*)"","""")"),"LA COURTETE")</f>
        <v>LA COURTETE</v>
      </c>
      <c r="E16116" s="38" t="s">
        <v>278</v>
      </c>
      <c r="F16116" s="38" t="s">
        <v>119</v>
      </c>
      <c r="G16116" s="49" t="str">
        <f t="shared" si="1"/>
        <v>11240</v>
      </c>
      <c r="H16116" s="49">
        <f t="shared" si="2"/>
        <v>11108</v>
      </c>
    </row>
    <row r="16117">
      <c r="A16117" s="48" t="s">
        <v>9127</v>
      </c>
      <c r="B16117" s="38">
        <v>43198.0</v>
      </c>
      <c r="C16117" s="38" t="s">
        <v>20498</v>
      </c>
      <c r="D16117" s="38" t="str">
        <f>IFERROR(__xludf.DUMMYFUNCTION("REGEXREPLACE(C16117,""-\d+(.*)|--\d+(.*)"","""")"),"SAINT-JEAN-LACHALM")</f>
        <v>SAINT-JEAN-LACHALM</v>
      </c>
      <c r="E16117" s="38" t="s">
        <v>332</v>
      </c>
      <c r="F16117" s="38" t="s">
        <v>161</v>
      </c>
      <c r="G16117" s="49" t="str">
        <f t="shared" si="1"/>
        <v>43510</v>
      </c>
      <c r="H16117" s="49">
        <f t="shared" si="2"/>
        <v>43198</v>
      </c>
    </row>
    <row r="16118">
      <c r="A16118" s="48" t="s">
        <v>15038</v>
      </c>
      <c r="B16118" s="38">
        <v>22133.0</v>
      </c>
      <c r="C16118" s="38" t="s">
        <v>20499</v>
      </c>
      <c r="D16118" s="38" t="str">
        <f>IFERROR(__xludf.DUMMYFUNCTION("REGEXREPLACE(C16118,""-\d+(.*)|--\d+(.*)"","""")"),"LOSCOUET-SUR-MEU")</f>
        <v>LOSCOUET-SUR-MEU</v>
      </c>
      <c r="E16118" s="38" t="s">
        <v>89</v>
      </c>
      <c r="F16118" s="38" t="s">
        <v>90</v>
      </c>
      <c r="G16118" s="49" t="str">
        <f t="shared" si="1"/>
        <v>22230</v>
      </c>
      <c r="H16118" s="49">
        <f t="shared" si="2"/>
        <v>22133</v>
      </c>
    </row>
    <row r="16119">
      <c r="A16119" s="48" t="s">
        <v>1758</v>
      </c>
      <c r="B16119" s="38">
        <v>65481.0</v>
      </c>
      <c r="C16119" s="38" t="s">
        <v>20500</v>
      </c>
      <c r="D16119" s="38" t="str">
        <f>IFERROR(__xludf.DUMMYFUNCTION("REGEXREPLACE(C16119,""-\d+(.*)|--\d+(.*)"","""")"),"BAREGES")</f>
        <v>BAREGES</v>
      </c>
      <c r="E16119" s="38" t="s">
        <v>200</v>
      </c>
      <c r="F16119" s="38" t="s">
        <v>94</v>
      </c>
      <c r="G16119" s="49" t="str">
        <f t="shared" si="1"/>
        <v>65120</v>
      </c>
      <c r="H16119" s="49">
        <f t="shared" si="2"/>
        <v>65481</v>
      </c>
    </row>
    <row r="16120">
      <c r="A16120" s="48" t="s">
        <v>1695</v>
      </c>
      <c r="B16120" s="38">
        <v>80468.0</v>
      </c>
      <c r="C16120" s="38" t="s">
        <v>20501</v>
      </c>
      <c r="D16120" s="38" t="str">
        <f>IFERROR(__xludf.DUMMYFUNCTION("REGEXREPLACE(C16120,""-\d+(.*)|--\d+(.*)"","""")"),"LAVIEVILLE")</f>
        <v>LAVIEVILLE</v>
      </c>
      <c r="E16120" s="38" t="s">
        <v>224</v>
      </c>
      <c r="F16120" s="38" t="s">
        <v>113</v>
      </c>
      <c r="G16120" s="49" t="str">
        <f t="shared" si="1"/>
        <v>80300</v>
      </c>
      <c r="H16120" s="49">
        <f t="shared" si="2"/>
        <v>80468</v>
      </c>
    </row>
    <row r="16121">
      <c r="A16121" s="48" t="s">
        <v>239</v>
      </c>
      <c r="B16121" s="38">
        <v>27192.0</v>
      </c>
      <c r="C16121" s="38" t="s">
        <v>20502</v>
      </c>
      <c r="D16121" s="38" t="str">
        <f>IFERROR(__xludf.DUMMYFUNCTION("REGEXREPLACE(C16121,""-\d+(.*)|--\d+(.*)"","""")"),"CROSVILLE-LA-VIEILLE")</f>
        <v>CROSVILLE-LA-VIEILLE</v>
      </c>
      <c r="E16121" s="38" t="s">
        <v>241</v>
      </c>
      <c r="F16121" s="38" t="s">
        <v>134</v>
      </c>
      <c r="G16121" s="49" t="str">
        <f t="shared" si="1"/>
        <v>27110</v>
      </c>
      <c r="H16121" s="49">
        <f t="shared" si="2"/>
        <v>27192</v>
      </c>
    </row>
    <row r="16122">
      <c r="A16122" s="48" t="s">
        <v>8434</v>
      </c>
      <c r="B16122" s="38">
        <v>41273.0</v>
      </c>
      <c r="C16122" s="38" t="s">
        <v>20503</v>
      </c>
      <c r="D16122" s="38" t="str">
        <f>IFERROR(__xludf.DUMMYFUNCTION("REGEXREPLACE(C16122,""-\d+(.*)|--\d+(.*)"","""")"),"VIEVY-LE-RAYE")</f>
        <v>VIEVY-LE-RAYE</v>
      </c>
      <c r="E16122" s="38" t="s">
        <v>188</v>
      </c>
      <c r="F16122" s="38" t="s">
        <v>123</v>
      </c>
      <c r="G16122" s="49" t="str">
        <f t="shared" si="1"/>
        <v>41290</v>
      </c>
      <c r="H16122" s="49">
        <f t="shared" si="2"/>
        <v>41273</v>
      </c>
    </row>
    <row r="16123">
      <c r="A16123" s="48" t="s">
        <v>8404</v>
      </c>
      <c r="B16123" s="38" t="s">
        <v>20504</v>
      </c>
      <c r="C16123" s="38" t="s">
        <v>20505</v>
      </c>
      <c r="D16123" s="38" t="str">
        <f>IFERROR(__xludf.DUMMYFUNCTION("REGEXREPLACE(C16123,""-\d+(.*)|--\d+(.*)"","""")"),"BORGO")</f>
        <v>BORGO</v>
      </c>
      <c r="E16123" s="38" t="s">
        <v>743</v>
      </c>
      <c r="F16123" s="38" t="s">
        <v>607</v>
      </c>
      <c r="G16123" s="49" t="str">
        <f t="shared" si="1"/>
        <v>20290</v>
      </c>
      <c r="H16123" s="49" t="str">
        <f t="shared" si="2"/>
        <v>2B042</v>
      </c>
    </row>
    <row r="16124">
      <c r="A16124" s="48" t="s">
        <v>1091</v>
      </c>
      <c r="B16124" s="38">
        <v>57533.0</v>
      </c>
      <c r="C16124" s="38" t="s">
        <v>20506</v>
      </c>
      <c r="D16124" s="38" t="str">
        <f>IFERROR(__xludf.DUMMYFUNCTION("REGEXREPLACE(C16124,""-\d+(.*)|--\d+(.*)"","""")"),"PANGE")</f>
        <v>PANGE</v>
      </c>
      <c r="E16124" s="38" t="s">
        <v>303</v>
      </c>
      <c r="F16124" s="38" t="s">
        <v>195</v>
      </c>
      <c r="G16124" s="49" t="str">
        <f t="shared" si="1"/>
        <v>57530</v>
      </c>
      <c r="H16124" s="49">
        <f t="shared" si="2"/>
        <v>57533</v>
      </c>
    </row>
    <row r="16125">
      <c r="A16125" s="48" t="s">
        <v>2657</v>
      </c>
      <c r="B16125" s="38">
        <v>59171.0</v>
      </c>
      <c r="C16125" s="38" t="s">
        <v>20507</v>
      </c>
      <c r="D16125" s="38" t="str">
        <f>IFERROR(__xludf.DUMMYFUNCTION("REGEXREPLACE(C16125,""-\d+(.*)|--\d+(.*)"","""")"),"DEHERIES")</f>
        <v>DEHERIES</v>
      </c>
      <c r="E16125" s="38" t="s">
        <v>85</v>
      </c>
      <c r="F16125" s="38" t="s">
        <v>86</v>
      </c>
      <c r="G16125" s="49" t="str">
        <f t="shared" si="1"/>
        <v>59127</v>
      </c>
      <c r="H16125" s="49">
        <f t="shared" si="2"/>
        <v>59171</v>
      </c>
    </row>
    <row r="16126">
      <c r="A16126" s="48" t="s">
        <v>6296</v>
      </c>
      <c r="B16126" s="38">
        <v>50529.0</v>
      </c>
      <c r="C16126" s="38" t="s">
        <v>20508</v>
      </c>
      <c r="D16126" s="38" t="str">
        <f>IFERROR(__xludf.DUMMYFUNCTION("REGEXREPLACE(C16126,""-\d+(.*)|--\d+(.*)"","""")"),"SAINT-NICOLAS-DES-BOIS")</f>
        <v>SAINT-NICOLAS-DES-BOIS</v>
      </c>
      <c r="E16126" s="38" t="s">
        <v>157</v>
      </c>
      <c r="F16126" s="38" t="s">
        <v>138</v>
      </c>
      <c r="G16126" s="49" t="str">
        <f t="shared" si="1"/>
        <v>50370</v>
      </c>
      <c r="H16126" s="49">
        <f t="shared" si="2"/>
        <v>50529</v>
      </c>
    </row>
    <row r="16127">
      <c r="A16127" s="48" t="s">
        <v>962</v>
      </c>
      <c r="B16127" s="38">
        <v>24422.0</v>
      </c>
      <c r="C16127" s="38" t="s">
        <v>20509</v>
      </c>
      <c r="D16127" s="38" t="str">
        <f>IFERROR(__xludf.DUMMYFUNCTION("REGEXREPLACE(C16127,""-\d+(.*)|--\d+(.*)"","""")"),"SAINT-HILAIRE-D'ESTISSAC")</f>
        <v>SAINT-HILAIRE-D'ESTISSAC</v>
      </c>
      <c r="E16127" s="38" t="s">
        <v>261</v>
      </c>
      <c r="F16127" s="38" t="s">
        <v>252</v>
      </c>
      <c r="G16127" s="49" t="str">
        <f t="shared" si="1"/>
        <v>24140</v>
      </c>
      <c r="H16127" s="49">
        <f t="shared" si="2"/>
        <v>24422</v>
      </c>
    </row>
    <row r="16128">
      <c r="A16128" s="48" t="s">
        <v>8412</v>
      </c>
      <c r="B16128" s="38">
        <v>43005.0</v>
      </c>
      <c r="C16128" s="38" t="s">
        <v>20510</v>
      </c>
      <c r="D16128" s="38" t="str">
        <f>IFERROR(__xludf.DUMMYFUNCTION("REGEXREPLACE(C16128,""-\d+(.*)|--\d+(.*)"","""")"),"ALLEYRAS")</f>
        <v>ALLEYRAS</v>
      </c>
      <c r="E16128" s="38" t="s">
        <v>332</v>
      </c>
      <c r="F16128" s="38" t="s">
        <v>161</v>
      </c>
      <c r="G16128" s="49" t="str">
        <f t="shared" si="1"/>
        <v>43580</v>
      </c>
      <c r="H16128" s="49">
        <f t="shared" si="2"/>
        <v>43005</v>
      </c>
    </row>
    <row r="16129">
      <c r="A16129" s="48" t="s">
        <v>14097</v>
      </c>
      <c r="B16129" s="38">
        <v>10094.0</v>
      </c>
      <c r="C16129" s="38" t="s">
        <v>20511</v>
      </c>
      <c r="D16129" s="38" t="str">
        <f>IFERROR(__xludf.DUMMYFUNCTION("REGEXREPLACE(C16129,""-\d+(.*)|--\d+(.*)"","""")"),"CHAVANGES")</f>
        <v>CHAVANGES</v>
      </c>
      <c r="E16129" s="38" t="s">
        <v>147</v>
      </c>
      <c r="F16129" s="38" t="s">
        <v>130</v>
      </c>
      <c r="G16129" s="49" t="str">
        <f t="shared" si="1"/>
        <v>10330</v>
      </c>
      <c r="H16129" s="49">
        <f t="shared" si="2"/>
        <v>10094</v>
      </c>
    </row>
    <row r="16130">
      <c r="A16130" s="48" t="s">
        <v>1926</v>
      </c>
      <c r="B16130" s="38">
        <v>28143.0</v>
      </c>
      <c r="C16130" s="38" t="s">
        <v>20512</v>
      </c>
      <c r="D16130" s="38" t="str">
        <f>IFERROR(__xludf.DUMMYFUNCTION("REGEXREPLACE(C16130,""-\d+(.*)|--\d+(.*)"","""")"),"ESCORPAIN")</f>
        <v>ESCORPAIN</v>
      </c>
      <c r="E16130" s="38" t="s">
        <v>300</v>
      </c>
      <c r="F16130" s="38" t="s">
        <v>123</v>
      </c>
      <c r="G16130" s="49" t="str">
        <f t="shared" si="1"/>
        <v>28270</v>
      </c>
      <c r="H16130" s="49">
        <f t="shared" si="2"/>
        <v>28143</v>
      </c>
    </row>
    <row r="16131">
      <c r="A16131" s="48" t="s">
        <v>1481</v>
      </c>
      <c r="B16131" s="38">
        <v>2798.0</v>
      </c>
      <c r="C16131" s="38" t="s">
        <v>20513</v>
      </c>
      <c r="D16131" s="38" t="str">
        <f>IFERROR(__xludf.DUMMYFUNCTION("REGEXREPLACE(C16131,""-\d+(.*)|--\d+(.*)"","""")"),"VIELS-MAISONS")</f>
        <v>VIELS-MAISONS</v>
      </c>
      <c r="E16131" s="38" t="s">
        <v>191</v>
      </c>
      <c r="F16131" s="38" t="s">
        <v>113</v>
      </c>
      <c r="G16131" s="49" t="str">
        <f t="shared" si="1"/>
        <v>02540</v>
      </c>
      <c r="H16131" s="49" t="str">
        <f t="shared" si="2"/>
        <v>02798</v>
      </c>
    </row>
    <row r="16132">
      <c r="A16132" s="48" t="s">
        <v>6633</v>
      </c>
      <c r="B16132" s="38">
        <v>64312.0</v>
      </c>
      <c r="C16132" s="38" t="s">
        <v>20514</v>
      </c>
      <c r="D16132" s="38" t="str">
        <f>IFERROR(__xludf.DUMMYFUNCTION("REGEXREPLACE(C16132,""-\d+(.*)|--\d+(.*)"","""")"),"LANNEPLAA")</f>
        <v>LANNEPLAA</v>
      </c>
      <c r="E16132" s="38" t="s">
        <v>268</v>
      </c>
      <c r="F16132" s="38" t="s">
        <v>252</v>
      </c>
      <c r="G16132" s="49" t="str">
        <f t="shared" si="1"/>
        <v>64300</v>
      </c>
      <c r="H16132" s="49">
        <f t="shared" si="2"/>
        <v>64312</v>
      </c>
    </row>
    <row r="16133">
      <c r="A16133" s="48" t="s">
        <v>4386</v>
      </c>
      <c r="B16133" s="38">
        <v>5031.0</v>
      </c>
      <c r="C16133" s="38" t="s">
        <v>20515</v>
      </c>
      <c r="D16133" s="38" t="str">
        <f>IFERROR(__xludf.DUMMYFUNCTION("REGEXREPLACE(C16133,""-\d+(.*)|--\d+(.*)"","""")"),"CHAMPCELLA")</f>
        <v>CHAMPCELLA</v>
      </c>
      <c r="E16133" s="38" t="s">
        <v>706</v>
      </c>
      <c r="F16133" s="38" t="s">
        <v>228</v>
      </c>
      <c r="G16133" s="49" t="str">
        <f t="shared" si="1"/>
        <v>05310</v>
      </c>
      <c r="H16133" s="49" t="str">
        <f t="shared" si="2"/>
        <v>05031</v>
      </c>
    </row>
    <row r="16134">
      <c r="A16134" s="48" t="s">
        <v>3475</v>
      </c>
      <c r="B16134" s="38">
        <v>35319.0</v>
      </c>
      <c r="C16134" s="38" t="s">
        <v>20516</v>
      </c>
      <c r="D16134" s="38" t="str">
        <f>IFERROR(__xludf.DUMMYFUNCTION("REGEXREPLACE(C16134,""-\d+(.*)|--\d+(.*)"","""")"),"SAINT-THURIAL")</f>
        <v>SAINT-THURIAL</v>
      </c>
      <c r="E16134" s="38" t="s">
        <v>347</v>
      </c>
      <c r="F16134" s="38" t="s">
        <v>90</v>
      </c>
      <c r="G16134" s="49" t="str">
        <f t="shared" si="1"/>
        <v>35310</v>
      </c>
      <c r="H16134" s="49">
        <f t="shared" si="2"/>
        <v>35319</v>
      </c>
    </row>
    <row r="16135">
      <c r="A16135" s="48" t="s">
        <v>2330</v>
      </c>
      <c r="B16135" s="38">
        <v>65396.0</v>
      </c>
      <c r="C16135" s="38" t="s">
        <v>1869</v>
      </c>
      <c r="D16135" s="38" t="str">
        <f>IFERROR(__xludf.DUMMYFUNCTION("REGEXREPLACE(C16135,""-\d+(.*)|--\d+(.*)"","""")"),"SAINT-SAVIN")</f>
        <v>SAINT-SAVIN</v>
      </c>
      <c r="E16135" s="38" t="s">
        <v>200</v>
      </c>
      <c r="F16135" s="38" t="s">
        <v>94</v>
      </c>
      <c r="G16135" s="49" t="str">
        <f t="shared" si="1"/>
        <v>65400</v>
      </c>
      <c r="H16135" s="49">
        <f t="shared" si="2"/>
        <v>65396</v>
      </c>
    </row>
    <row r="16136">
      <c r="A16136" s="48" t="s">
        <v>6832</v>
      </c>
      <c r="B16136" s="38">
        <v>80680.0</v>
      </c>
      <c r="C16136" s="38" t="s">
        <v>20517</v>
      </c>
      <c r="D16136" s="38" t="str">
        <f>IFERROR(__xludf.DUMMYFUNCTION("REGEXREPLACE(C16136,""-\d+(.*)|--\d+(.*)"","""")"),"ROSIERES-EN-SANTERRE")</f>
        <v>ROSIERES-EN-SANTERRE</v>
      </c>
      <c r="E16136" s="38" t="s">
        <v>224</v>
      </c>
      <c r="F16136" s="38" t="s">
        <v>113</v>
      </c>
      <c r="G16136" s="49" t="str">
        <f t="shared" si="1"/>
        <v>80170</v>
      </c>
      <c r="H16136" s="49">
        <f t="shared" si="2"/>
        <v>80680</v>
      </c>
    </row>
    <row r="16137">
      <c r="A16137" s="48" t="s">
        <v>3502</v>
      </c>
      <c r="B16137" s="38">
        <v>22034.0</v>
      </c>
      <c r="C16137" s="38" t="s">
        <v>20518</v>
      </c>
      <c r="D16137" s="38" t="str">
        <f>IFERROR(__xludf.DUMMYFUNCTION("REGEXREPLACE(C16137,""-\d+(.*)|--\d+(.*)"","""")"),"CAVAN")</f>
        <v>CAVAN</v>
      </c>
      <c r="E16137" s="38" t="s">
        <v>89</v>
      </c>
      <c r="F16137" s="38" t="s">
        <v>90</v>
      </c>
      <c r="G16137" s="49" t="str">
        <f t="shared" si="1"/>
        <v>22140</v>
      </c>
      <c r="H16137" s="49">
        <f t="shared" si="2"/>
        <v>22034</v>
      </c>
    </row>
    <row r="16138">
      <c r="A16138" s="48" t="s">
        <v>4036</v>
      </c>
      <c r="B16138" s="38">
        <v>49251.0</v>
      </c>
      <c r="C16138" s="38" t="s">
        <v>20519</v>
      </c>
      <c r="D16138" s="38" t="str">
        <f>IFERROR(__xludf.DUMMYFUNCTION("REGEXREPLACE(C16138,""-\d+(.*)|--\d+(.*)"","""")"),"PRUILLE")</f>
        <v>PRUILLE</v>
      </c>
      <c r="E16138" s="38" t="s">
        <v>653</v>
      </c>
      <c r="F16138" s="38" t="s">
        <v>180</v>
      </c>
      <c r="G16138" s="49" t="str">
        <f t="shared" si="1"/>
        <v>49220</v>
      </c>
      <c r="H16138" s="49">
        <f t="shared" si="2"/>
        <v>49251</v>
      </c>
    </row>
    <row r="16139">
      <c r="A16139" s="48" t="s">
        <v>11561</v>
      </c>
      <c r="B16139" s="38">
        <v>35275.0</v>
      </c>
      <c r="C16139" s="38" t="s">
        <v>2153</v>
      </c>
      <c r="D16139" s="38" t="str">
        <f>IFERROR(__xludf.DUMMYFUNCTION("REGEXREPLACE(C16139,""-\d+(.*)|--\d+(.*)"","""")"),"SAINT-GILLES")</f>
        <v>SAINT-GILLES</v>
      </c>
      <c r="E16139" s="38" t="s">
        <v>347</v>
      </c>
      <c r="F16139" s="38" t="s">
        <v>90</v>
      </c>
      <c r="G16139" s="49" t="str">
        <f t="shared" si="1"/>
        <v>35590</v>
      </c>
      <c r="H16139" s="49">
        <f t="shared" si="2"/>
        <v>35275</v>
      </c>
    </row>
    <row r="16140">
      <c r="A16140" s="48" t="s">
        <v>8868</v>
      </c>
      <c r="B16140" s="38">
        <v>29188.0</v>
      </c>
      <c r="C16140" s="38" t="s">
        <v>20520</v>
      </c>
      <c r="D16140" s="38" t="str">
        <f>IFERROR(__xludf.DUMMYFUNCTION("REGEXREPLACE(C16140,""-\d+(.*)|--\d+(.*)"","""")"),"PLOUGASNOU")</f>
        <v>PLOUGASNOU</v>
      </c>
      <c r="E16140" s="38" t="s">
        <v>176</v>
      </c>
      <c r="F16140" s="38" t="s">
        <v>90</v>
      </c>
      <c r="G16140" s="49" t="str">
        <f t="shared" si="1"/>
        <v>29630</v>
      </c>
      <c r="H16140" s="49">
        <f t="shared" si="2"/>
        <v>29188</v>
      </c>
    </row>
    <row r="16141">
      <c r="A16141" s="48" t="s">
        <v>576</v>
      </c>
      <c r="B16141" s="38">
        <v>54308.0</v>
      </c>
      <c r="C16141" s="38" t="s">
        <v>20521</v>
      </c>
      <c r="D16141" s="38" t="str">
        <f>IFERROR(__xludf.DUMMYFUNCTION("REGEXREPLACE(C16141,""-\d+(.*)|--\d+(.*)"","""")"),"LEINTREY")</f>
        <v>LEINTREY</v>
      </c>
      <c r="E16141" s="38" t="s">
        <v>548</v>
      </c>
      <c r="F16141" s="38" t="s">
        <v>195</v>
      </c>
      <c r="G16141" s="49" t="str">
        <f t="shared" si="1"/>
        <v>54450</v>
      </c>
      <c r="H16141" s="49">
        <f t="shared" si="2"/>
        <v>54308</v>
      </c>
    </row>
    <row r="16142">
      <c r="A16142" s="48" t="s">
        <v>2714</v>
      </c>
      <c r="B16142" s="38">
        <v>61215.0</v>
      </c>
      <c r="C16142" s="38" t="s">
        <v>12045</v>
      </c>
      <c r="D16142" s="38" t="str">
        <f>IFERROR(__xludf.DUMMYFUNCTION("REGEXREPLACE(C16142,""-\d+(.*)|--\d+(.*)"","""")"),"LALEU")</f>
        <v>LALEU</v>
      </c>
      <c r="E16142" s="38" t="s">
        <v>141</v>
      </c>
      <c r="F16142" s="38" t="s">
        <v>138</v>
      </c>
      <c r="G16142" s="49" t="str">
        <f t="shared" si="1"/>
        <v>61170</v>
      </c>
      <c r="H16142" s="49">
        <f t="shared" si="2"/>
        <v>61215</v>
      </c>
    </row>
    <row r="16143">
      <c r="A16143" s="48" t="s">
        <v>7852</v>
      </c>
      <c r="B16143" s="38">
        <v>38508.0</v>
      </c>
      <c r="C16143" s="38" t="s">
        <v>20522</v>
      </c>
      <c r="D16143" s="38" t="str">
        <f>IFERROR(__xludf.DUMMYFUNCTION("REGEXREPLACE(C16143,""-\d+(.*)|--\d+(.*)"","""")"),"TORCHEFELON")</f>
        <v>TORCHEFELON</v>
      </c>
      <c r="E16143" s="38" t="s">
        <v>101</v>
      </c>
      <c r="F16143" s="38" t="s">
        <v>102</v>
      </c>
      <c r="G16143" s="49" t="str">
        <f t="shared" si="1"/>
        <v>38690</v>
      </c>
      <c r="H16143" s="49">
        <f t="shared" si="2"/>
        <v>38508</v>
      </c>
    </row>
    <row r="16144">
      <c r="A16144" s="48" t="s">
        <v>1932</v>
      </c>
      <c r="B16144" s="38">
        <v>70328.0</v>
      </c>
      <c r="C16144" s="38" t="s">
        <v>20523</v>
      </c>
      <c r="D16144" s="38" t="str">
        <f>IFERROR(__xludf.DUMMYFUNCTION("REGEXREPLACE(C16144,""-\d+(.*)|--\d+(.*)"","""")"),"MALBOUHANS")</f>
        <v>MALBOUHANS</v>
      </c>
      <c r="E16144" s="38" t="s">
        <v>956</v>
      </c>
      <c r="F16144" s="38" t="s">
        <v>214</v>
      </c>
      <c r="G16144" s="49" t="str">
        <f t="shared" si="1"/>
        <v>70200</v>
      </c>
      <c r="H16144" s="49">
        <f t="shared" si="2"/>
        <v>70328</v>
      </c>
    </row>
    <row r="16145">
      <c r="A16145" s="48" t="s">
        <v>1174</v>
      </c>
      <c r="B16145" s="38">
        <v>51420.0</v>
      </c>
      <c r="C16145" s="38" t="s">
        <v>20524</v>
      </c>
      <c r="D16145" s="38" t="str">
        <f>IFERROR(__xludf.DUMMYFUNCTION("REGEXREPLACE(C16145,""-\d+(.*)|--\d+(.*)"","""")"),"OUTREPONT")</f>
        <v>OUTREPONT</v>
      </c>
      <c r="E16145" s="38" t="s">
        <v>129</v>
      </c>
      <c r="F16145" s="38" t="s">
        <v>130</v>
      </c>
      <c r="G16145" s="49" t="str">
        <f t="shared" si="1"/>
        <v>51300</v>
      </c>
      <c r="H16145" s="49">
        <f t="shared" si="2"/>
        <v>51420</v>
      </c>
    </row>
    <row r="16146">
      <c r="A16146" s="48" t="s">
        <v>139</v>
      </c>
      <c r="B16146" s="38">
        <v>61121.0</v>
      </c>
      <c r="C16146" s="38" t="s">
        <v>20525</v>
      </c>
      <c r="D16146" s="38" t="str">
        <f>IFERROR(__xludf.DUMMYFUNCTION("REGEXREPLACE(C16146,""-\d+(.*)|--\d+(.*)"","""")"),"COULIMER")</f>
        <v>COULIMER</v>
      </c>
      <c r="E16146" s="38" t="s">
        <v>141</v>
      </c>
      <c r="F16146" s="38" t="s">
        <v>138</v>
      </c>
      <c r="G16146" s="49" t="str">
        <f t="shared" si="1"/>
        <v>61360</v>
      </c>
      <c r="H16146" s="49">
        <f t="shared" si="2"/>
        <v>61121</v>
      </c>
    </row>
    <row r="16147">
      <c r="A16147" s="48" t="s">
        <v>8336</v>
      </c>
      <c r="B16147" s="38">
        <v>85078.0</v>
      </c>
      <c r="C16147" s="38" t="s">
        <v>20526</v>
      </c>
      <c r="D16147" s="38" t="str">
        <f>IFERROR(__xludf.DUMMYFUNCTION("REGEXREPLACE(C16147,""-\d+(.*)|--\d+(.*)"","""")"),"DAMVIX")</f>
        <v>DAMVIX</v>
      </c>
      <c r="E16147" s="38" t="s">
        <v>179</v>
      </c>
      <c r="F16147" s="38" t="s">
        <v>180</v>
      </c>
      <c r="G16147" s="49" t="str">
        <f t="shared" si="1"/>
        <v>85420</v>
      </c>
      <c r="H16147" s="49">
        <f t="shared" si="2"/>
        <v>85078</v>
      </c>
    </row>
    <row r="16148">
      <c r="A16148" s="48" t="s">
        <v>1728</v>
      </c>
      <c r="B16148" s="38">
        <v>45012.0</v>
      </c>
      <c r="C16148" s="38" t="s">
        <v>20527</v>
      </c>
      <c r="D16148" s="38" t="str">
        <f>IFERROR(__xludf.DUMMYFUNCTION("REGEXREPLACE(C16148,""-\d+(.*)|--\d+(.*)"","""")"),"AUDEVILLE")</f>
        <v>AUDEVILLE</v>
      </c>
      <c r="E16148" s="38" t="s">
        <v>122</v>
      </c>
      <c r="F16148" s="38" t="s">
        <v>123</v>
      </c>
      <c r="G16148" s="49" t="str">
        <f t="shared" si="1"/>
        <v>45300</v>
      </c>
      <c r="H16148" s="49">
        <f t="shared" si="2"/>
        <v>45012</v>
      </c>
    </row>
    <row r="16149">
      <c r="A16149" s="48" t="s">
        <v>478</v>
      </c>
      <c r="B16149" s="38">
        <v>41084.0</v>
      </c>
      <c r="C16149" s="38" t="s">
        <v>20528</v>
      </c>
      <c r="D16149" s="38" t="str">
        <f>IFERROR(__xludf.DUMMYFUNCTION("REGEXREPLACE(C16149,""-\d+(.*)|--\d+(.*)"","""")"),"LA FERTE-IMBAULT")</f>
        <v>LA FERTE-IMBAULT</v>
      </c>
      <c r="E16149" s="38" t="s">
        <v>188</v>
      </c>
      <c r="F16149" s="38" t="s">
        <v>123</v>
      </c>
      <c r="G16149" s="49" t="str">
        <f t="shared" si="1"/>
        <v>41300</v>
      </c>
      <c r="H16149" s="49">
        <f t="shared" si="2"/>
        <v>41084</v>
      </c>
    </row>
    <row r="16150">
      <c r="A16150" s="48" t="s">
        <v>3562</v>
      </c>
      <c r="B16150" s="38">
        <v>2615.0</v>
      </c>
      <c r="C16150" s="38" t="s">
        <v>20529</v>
      </c>
      <c r="D16150" s="38" t="str">
        <f>IFERROR(__xludf.DUMMYFUNCTION("REGEXREPLACE(C16150,""-\d+(.*)|--\d+(.*)"","""")"),"PONTRUET")</f>
        <v>PONTRUET</v>
      </c>
      <c r="E16150" s="38" t="s">
        <v>191</v>
      </c>
      <c r="F16150" s="38" t="s">
        <v>113</v>
      </c>
      <c r="G16150" s="49" t="str">
        <f t="shared" si="1"/>
        <v>02490</v>
      </c>
      <c r="H16150" s="49" t="str">
        <f t="shared" si="2"/>
        <v>02615</v>
      </c>
    </row>
    <row r="16151">
      <c r="A16151" s="48" t="s">
        <v>9436</v>
      </c>
      <c r="B16151" s="38">
        <v>63222.0</v>
      </c>
      <c r="C16151" s="38" t="s">
        <v>20530</v>
      </c>
      <c r="D16151" s="38" t="str">
        <f>IFERROR(__xludf.DUMMYFUNCTION("REGEXREPLACE(C16151,""-\d+(.*)|--\d+(.*)"","""")"),"MEILHAUD")</f>
        <v>MEILHAUD</v>
      </c>
      <c r="E16151" s="38" t="s">
        <v>353</v>
      </c>
      <c r="F16151" s="38" t="s">
        <v>161</v>
      </c>
      <c r="G16151" s="49" t="str">
        <f t="shared" si="1"/>
        <v>63320</v>
      </c>
      <c r="H16151" s="49">
        <f t="shared" si="2"/>
        <v>63222</v>
      </c>
    </row>
    <row r="16152">
      <c r="A16152" s="48" t="s">
        <v>1319</v>
      </c>
      <c r="B16152" s="38">
        <v>58261.0</v>
      </c>
      <c r="C16152" s="38" t="s">
        <v>20531</v>
      </c>
      <c r="D16152" s="38" t="str">
        <f>IFERROR(__xludf.DUMMYFUNCTION("REGEXREPLACE(C16152,""-\d+(.*)|--\d+(.*)"","""")"),"SAINT-PERE")</f>
        <v>SAINT-PERE</v>
      </c>
      <c r="E16152" s="38" t="s">
        <v>219</v>
      </c>
      <c r="F16152" s="38" t="s">
        <v>106</v>
      </c>
      <c r="G16152" s="49" t="str">
        <f t="shared" si="1"/>
        <v>58200</v>
      </c>
      <c r="H16152" s="49">
        <f t="shared" si="2"/>
        <v>58261</v>
      </c>
    </row>
    <row r="16153">
      <c r="A16153" s="48" t="s">
        <v>12477</v>
      </c>
      <c r="B16153" s="38">
        <v>27407.0</v>
      </c>
      <c r="C16153" s="38" t="s">
        <v>20532</v>
      </c>
      <c r="D16153" s="38" t="str">
        <f>IFERROR(__xludf.DUMMYFUNCTION("REGEXREPLACE(C16153,""-\d+(.*)|--\d+(.*)"","""")"),"MESNIL-VERCLIVES")</f>
        <v>MESNIL-VERCLIVES</v>
      </c>
      <c r="E16153" s="38" t="s">
        <v>241</v>
      </c>
      <c r="F16153" s="38" t="s">
        <v>134</v>
      </c>
      <c r="G16153" s="49" t="str">
        <f t="shared" si="1"/>
        <v>27440</v>
      </c>
      <c r="H16153" s="49">
        <f t="shared" si="2"/>
        <v>27407</v>
      </c>
    </row>
    <row r="16154">
      <c r="A16154" s="48" t="s">
        <v>7247</v>
      </c>
      <c r="B16154" s="38">
        <v>24041.0</v>
      </c>
      <c r="C16154" s="38" t="s">
        <v>20533</v>
      </c>
      <c r="D16154" s="38" t="str">
        <f>IFERROR(__xludf.DUMMYFUNCTION("REGEXREPLACE(C16154,""-\d+(.*)|--\d+(.*)"","""")"),"BEZENAC")</f>
        <v>BEZENAC</v>
      </c>
      <c r="E16154" s="38" t="s">
        <v>261</v>
      </c>
      <c r="F16154" s="38" t="s">
        <v>252</v>
      </c>
      <c r="G16154" s="49" t="str">
        <f t="shared" si="1"/>
        <v>24220</v>
      </c>
      <c r="H16154" s="49">
        <f t="shared" si="2"/>
        <v>24041</v>
      </c>
    </row>
    <row r="16155">
      <c r="A16155" s="48" t="s">
        <v>20534</v>
      </c>
      <c r="B16155" s="38">
        <v>93070.0</v>
      </c>
      <c r="C16155" s="38" t="s">
        <v>1551</v>
      </c>
      <c r="D16155" s="38" t="str">
        <f>IFERROR(__xludf.DUMMYFUNCTION("REGEXREPLACE(C16155,""-\d+(.*)|--\d+(.*)"","""")"),"SAINT-OUEN")</f>
        <v>SAINT-OUEN</v>
      </c>
      <c r="E16155" s="38" t="s">
        <v>341</v>
      </c>
      <c r="F16155" s="38" t="s">
        <v>245</v>
      </c>
      <c r="G16155" s="49" t="str">
        <f t="shared" si="1"/>
        <v>93400</v>
      </c>
      <c r="H16155" s="49">
        <f t="shared" si="2"/>
        <v>93070</v>
      </c>
    </row>
    <row r="16156">
      <c r="A16156" s="48" t="s">
        <v>542</v>
      </c>
      <c r="B16156" s="38">
        <v>50117.0</v>
      </c>
      <c r="C16156" s="38" t="s">
        <v>20535</v>
      </c>
      <c r="D16156" s="38" t="str">
        <f>IFERROR(__xludf.DUMMYFUNCTION("REGEXREPLACE(C16156,""-\d+(.*)|--\d+(.*)"","""")"),"CHAMPEAUX")</f>
        <v>CHAMPEAUX</v>
      </c>
      <c r="E16156" s="38" t="s">
        <v>157</v>
      </c>
      <c r="F16156" s="38" t="s">
        <v>138</v>
      </c>
      <c r="G16156" s="49" t="str">
        <f t="shared" si="1"/>
        <v>50530</v>
      </c>
      <c r="H16156" s="49">
        <f t="shared" si="2"/>
        <v>50117</v>
      </c>
    </row>
    <row r="16157">
      <c r="A16157" s="48" t="s">
        <v>960</v>
      </c>
      <c r="B16157" s="38">
        <v>28014.0</v>
      </c>
      <c r="C16157" s="38" t="s">
        <v>20536</v>
      </c>
      <c r="D16157" s="38" t="str">
        <f>IFERROR(__xludf.DUMMYFUNCTION("REGEXREPLACE(C16157,""-\d+(.*)|--\d+(.*)"","""")"),"AUNAY-SOUS-CRECY")</f>
        <v>AUNAY-SOUS-CRECY</v>
      </c>
      <c r="E16157" s="38" t="s">
        <v>300</v>
      </c>
      <c r="F16157" s="38" t="s">
        <v>123</v>
      </c>
      <c r="G16157" s="49" t="str">
        <f t="shared" si="1"/>
        <v>28500</v>
      </c>
      <c r="H16157" s="49">
        <f t="shared" si="2"/>
        <v>28014</v>
      </c>
    </row>
    <row r="16158">
      <c r="A16158" s="48" t="s">
        <v>3706</v>
      </c>
      <c r="B16158" s="38">
        <v>77218.0</v>
      </c>
      <c r="C16158" s="38" t="s">
        <v>20537</v>
      </c>
      <c r="D16158" s="38" t="str">
        <f>IFERROR(__xludf.DUMMYFUNCTION("REGEXREPLACE(C16158,""-\d+(.*)|--\d+(.*)"","""")"),"GRISY-SUR-SEINE")</f>
        <v>GRISY-SUR-SEINE</v>
      </c>
      <c r="E16158" s="38" t="s">
        <v>244</v>
      </c>
      <c r="F16158" s="38" t="s">
        <v>245</v>
      </c>
      <c r="G16158" s="49" t="str">
        <f t="shared" si="1"/>
        <v>77480</v>
      </c>
      <c r="H16158" s="49">
        <f t="shared" si="2"/>
        <v>77218</v>
      </c>
    </row>
    <row r="16159">
      <c r="A16159" s="48" t="s">
        <v>1404</v>
      </c>
      <c r="B16159" s="38">
        <v>30184.0</v>
      </c>
      <c r="C16159" s="38" t="s">
        <v>10455</v>
      </c>
      <c r="D16159" s="38" t="str">
        <f>IFERROR(__xludf.DUMMYFUNCTION("REGEXREPLACE(C16159,""-\d+(.*)|--\d+(.*)"","""")"),"MOUSSAC")</f>
        <v>MOUSSAC</v>
      </c>
      <c r="E16159" s="38" t="s">
        <v>526</v>
      </c>
      <c r="F16159" s="38" t="s">
        <v>119</v>
      </c>
      <c r="G16159" s="49" t="str">
        <f t="shared" si="1"/>
        <v>30190</v>
      </c>
      <c r="H16159" s="49">
        <f t="shared" si="2"/>
        <v>30184</v>
      </c>
    </row>
    <row r="16160">
      <c r="A16160" s="48" t="s">
        <v>20538</v>
      </c>
      <c r="B16160" s="38">
        <v>75118.0</v>
      </c>
      <c r="C16160" s="38" t="s">
        <v>20539</v>
      </c>
      <c r="D16160" s="38" t="str">
        <f>IFERROR(__xludf.DUMMYFUNCTION("REGEXREPLACE(C16160,""-\d+(.*)|--\d+(.*)"","""")"),"PARIS")</f>
        <v>PARIS</v>
      </c>
      <c r="E16160" s="38" t="s">
        <v>823</v>
      </c>
      <c r="F16160" s="38" t="s">
        <v>245</v>
      </c>
      <c r="G16160" s="49" t="str">
        <f t="shared" si="1"/>
        <v>75018</v>
      </c>
      <c r="H16160" s="49">
        <f t="shared" si="2"/>
        <v>75118</v>
      </c>
    </row>
    <row r="16161">
      <c r="A16161" s="48" t="s">
        <v>6923</v>
      </c>
      <c r="B16161" s="38">
        <v>33535.0</v>
      </c>
      <c r="C16161" s="38" t="s">
        <v>20540</v>
      </c>
      <c r="D16161" s="38" t="str">
        <f>IFERROR(__xludf.DUMMYFUNCTION("REGEXREPLACE(C16161,""-\d+(.*)|--\d+(.*)"","""")"),"TRESSES")</f>
        <v>TRESSES</v>
      </c>
      <c r="E16161" s="38" t="s">
        <v>462</v>
      </c>
      <c r="F16161" s="38" t="s">
        <v>252</v>
      </c>
      <c r="G16161" s="49" t="str">
        <f t="shared" si="1"/>
        <v>33370</v>
      </c>
      <c r="H16161" s="49">
        <f t="shared" si="2"/>
        <v>33535</v>
      </c>
    </row>
    <row r="16162">
      <c r="A16162" s="48" t="s">
        <v>2955</v>
      </c>
      <c r="B16162" s="38">
        <v>76326.0</v>
      </c>
      <c r="C16162" s="38" t="s">
        <v>20541</v>
      </c>
      <c r="D16162" s="38" t="str">
        <f>IFERROR(__xludf.DUMMYFUNCTION("REGEXREPLACE(C16162,""-\d+(.*)|--\d+(.*)"","""")"),"GRENY")</f>
        <v>GRENY</v>
      </c>
      <c r="E16162" s="38" t="s">
        <v>133</v>
      </c>
      <c r="F16162" s="38" t="s">
        <v>134</v>
      </c>
      <c r="G16162" s="49" t="str">
        <f t="shared" si="1"/>
        <v>76630</v>
      </c>
      <c r="H16162" s="49">
        <f t="shared" si="2"/>
        <v>76326</v>
      </c>
    </row>
    <row r="16163">
      <c r="A16163" s="48" t="s">
        <v>12807</v>
      </c>
      <c r="B16163" s="38">
        <v>42013.0</v>
      </c>
      <c r="C16163" s="38" t="s">
        <v>20542</v>
      </c>
      <c r="D16163" s="38" t="str">
        <f>IFERROR(__xludf.DUMMYFUNCTION("REGEXREPLACE(C16163,""-\d+(.*)|--\d+(.*)"","""")"),"BELLEGARDE-EN-FOREZ")</f>
        <v>BELLEGARDE-EN-FOREZ</v>
      </c>
      <c r="E16163" s="38" t="s">
        <v>166</v>
      </c>
      <c r="F16163" s="38" t="s">
        <v>102</v>
      </c>
      <c r="G16163" s="49" t="str">
        <f t="shared" si="1"/>
        <v>42210</v>
      </c>
      <c r="H16163" s="49">
        <f t="shared" si="2"/>
        <v>42013</v>
      </c>
    </row>
    <row r="16164">
      <c r="A16164" s="48" t="s">
        <v>2681</v>
      </c>
      <c r="B16164" s="38">
        <v>67245.0</v>
      </c>
      <c r="C16164" s="38" t="s">
        <v>20543</v>
      </c>
      <c r="D16164" s="38" t="str">
        <f>IFERROR(__xludf.DUMMYFUNCTION("REGEXREPLACE(C16164,""-\d+(.*)|--\d+(.*)"","""")"),"KNOERSHEIM")</f>
        <v>KNOERSHEIM</v>
      </c>
      <c r="E16164" s="38" t="s">
        <v>210</v>
      </c>
      <c r="F16164" s="38" t="s">
        <v>151</v>
      </c>
      <c r="G16164" s="49" t="str">
        <f t="shared" si="1"/>
        <v>67310</v>
      </c>
      <c r="H16164" s="49">
        <f t="shared" si="2"/>
        <v>67245</v>
      </c>
    </row>
    <row r="16165">
      <c r="A16165" s="48" t="s">
        <v>2734</v>
      </c>
      <c r="B16165" s="38">
        <v>89126.0</v>
      </c>
      <c r="C16165" s="38" t="s">
        <v>20544</v>
      </c>
      <c r="D16165" s="38" t="str">
        <f>IFERROR(__xludf.DUMMYFUNCTION("REGEXREPLACE(C16165,""-\d+(.*)|--\d+(.*)"","""")"),"COURTOIN")</f>
        <v>COURTOIN</v>
      </c>
      <c r="E16165" s="38" t="s">
        <v>275</v>
      </c>
      <c r="F16165" s="38" t="s">
        <v>106</v>
      </c>
      <c r="G16165" s="49" t="str">
        <f t="shared" si="1"/>
        <v>89150</v>
      </c>
      <c r="H16165" s="49">
        <f t="shared" si="2"/>
        <v>89126</v>
      </c>
    </row>
    <row r="16166">
      <c r="A16166" s="48" t="s">
        <v>20545</v>
      </c>
      <c r="B16166" s="38">
        <v>47032.0</v>
      </c>
      <c r="C16166" s="38" t="s">
        <v>20546</v>
      </c>
      <c r="D16166" s="38" t="str">
        <f>IFERROR(__xludf.DUMMYFUNCTION("REGEXREPLACE(C16166,""-\d+(.*)|--\d+(.*)"","""")"),"BON-ENCONTRE")</f>
        <v>BON-ENCONTRE</v>
      </c>
      <c r="E16166" s="38" t="s">
        <v>251</v>
      </c>
      <c r="F16166" s="38" t="s">
        <v>252</v>
      </c>
      <c r="G16166" s="49" t="str">
        <f t="shared" si="1"/>
        <v>47240</v>
      </c>
      <c r="H16166" s="49">
        <f t="shared" si="2"/>
        <v>47032</v>
      </c>
    </row>
    <row r="16167">
      <c r="A16167" s="48" t="s">
        <v>4220</v>
      </c>
      <c r="B16167" s="38">
        <v>35351.0</v>
      </c>
      <c r="C16167" s="38" t="s">
        <v>20547</v>
      </c>
      <c r="D16167" s="38" t="str">
        <f>IFERROR(__xludf.DUMMYFUNCTION("REGEXREPLACE(C16167,""-\d+(.*)|--\d+(.*)"","""")"),"LE VERGER")</f>
        <v>LE VERGER</v>
      </c>
      <c r="E16167" s="38" t="s">
        <v>347</v>
      </c>
      <c r="F16167" s="38" t="s">
        <v>90</v>
      </c>
      <c r="G16167" s="49" t="str">
        <f t="shared" si="1"/>
        <v>35160</v>
      </c>
      <c r="H16167" s="49">
        <f t="shared" si="2"/>
        <v>35351</v>
      </c>
    </row>
    <row r="16168">
      <c r="A16168" s="48" t="s">
        <v>20548</v>
      </c>
      <c r="B16168" s="38">
        <v>31555.0</v>
      </c>
      <c r="C16168" s="38" t="s">
        <v>20549</v>
      </c>
      <c r="D16168" s="38" t="str">
        <f>IFERROR(__xludf.DUMMYFUNCTION("REGEXREPLACE(C16168,""-\d+(.*)|--\d+(.*)"","""")"),"TOULOUSE")</f>
        <v>TOULOUSE</v>
      </c>
      <c r="E16168" s="38" t="s">
        <v>93</v>
      </c>
      <c r="F16168" s="38" t="s">
        <v>94</v>
      </c>
      <c r="G16168" s="49" t="str">
        <f t="shared" si="1"/>
        <v>31000/31100/31200/31300/31400/31500</v>
      </c>
      <c r="H16168" s="49">
        <f t="shared" si="2"/>
        <v>31555</v>
      </c>
    </row>
    <row r="16169">
      <c r="A16169" s="48" t="s">
        <v>3618</v>
      </c>
      <c r="B16169" s="38">
        <v>31199.0</v>
      </c>
      <c r="C16169" s="38" t="s">
        <v>20176</v>
      </c>
      <c r="D16169" s="38" t="str">
        <f>IFERROR(__xludf.DUMMYFUNCTION("REGEXREPLACE(C16169,""-\d+(.*)|--\d+(.*)"","""")"),"FRONSAC")</f>
        <v>FRONSAC</v>
      </c>
      <c r="E16169" s="38" t="s">
        <v>93</v>
      </c>
      <c r="F16169" s="38" t="s">
        <v>94</v>
      </c>
      <c r="G16169" s="49" t="str">
        <f t="shared" si="1"/>
        <v>31440</v>
      </c>
      <c r="H16169" s="49">
        <f t="shared" si="2"/>
        <v>31199</v>
      </c>
    </row>
    <row r="16170">
      <c r="A16170" s="48" t="s">
        <v>20550</v>
      </c>
      <c r="B16170" s="38">
        <v>4006.0</v>
      </c>
      <c r="C16170" s="38" t="s">
        <v>20551</v>
      </c>
      <c r="D16170" s="38" t="str">
        <f>IFERROR(__xludf.DUMMYFUNCTION("REGEXREPLACE(C16170,""-\d+(.*)|--\d+(.*)"","""")"),"ALLOS")</f>
        <v>ALLOS</v>
      </c>
      <c r="E16170" s="38" t="s">
        <v>662</v>
      </c>
      <c r="F16170" s="38" t="s">
        <v>228</v>
      </c>
      <c r="G16170" s="49" t="str">
        <f t="shared" si="1"/>
        <v>04260</v>
      </c>
      <c r="H16170" s="49" t="str">
        <f t="shared" si="2"/>
        <v>04006</v>
      </c>
    </row>
    <row r="16171">
      <c r="A16171" s="48" t="s">
        <v>6878</v>
      </c>
      <c r="B16171" s="38">
        <v>80613.0</v>
      </c>
      <c r="C16171" s="38" t="s">
        <v>20552</v>
      </c>
      <c r="D16171" s="38" t="str">
        <f>IFERROR(__xludf.DUMMYFUNCTION("REGEXREPLACE(C16171,""-\d+(.*)|--\d+(.*)"","""")"),"OUST-MAREST")</f>
        <v>OUST-MAREST</v>
      </c>
      <c r="E16171" s="38" t="s">
        <v>224</v>
      </c>
      <c r="F16171" s="38" t="s">
        <v>113</v>
      </c>
      <c r="G16171" s="49" t="str">
        <f t="shared" si="1"/>
        <v>80460</v>
      </c>
      <c r="H16171" s="49">
        <f t="shared" si="2"/>
        <v>80613</v>
      </c>
    </row>
    <row r="16172">
      <c r="A16172" s="48" t="s">
        <v>5487</v>
      </c>
      <c r="B16172" s="38">
        <v>27054.0</v>
      </c>
      <c r="C16172" s="38" t="s">
        <v>20553</v>
      </c>
      <c r="D16172" s="38" t="str">
        <f>IFERROR(__xludf.DUMMYFUNCTION("REGEXREPLACE(C16172,""-\d+(.*)|--\d+(.*)"","""")"),"BEMECOURT")</f>
        <v>BEMECOURT</v>
      </c>
      <c r="E16172" s="38" t="s">
        <v>241</v>
      </c>
      <c r="F16172" s="38" t="s">
        <v>134</v>
      </c>
      <c r="G16172" s="49" t="str">
        <f t="shared" si="1"/>
        <v>27160</v>
      </c>
      <c r="H16172" s="49">
        <f t="shared" si="2"/>
        <v>27054</v>
      </c>
    </row>
    <row r="16173">
      <c r="A16173" s="48" t="s">
        <v>20554</v>
      </c>
      <c r="B16173" s="38">
        <v>50139.0</v>
      </c>
      <c r="C16173" s="38" t="s">
        <v>20555</v>
      </c>
      <c r="D16173" s="38" t="str">
        <f>IFERROR(__xludf.DUMMYFUNCTION("REGEXREPLACE(C16173,""-\d+(.*)|--\d+(.*)"","""")"),"CONDE-SUR-VIRE")</f>
        <v>CONDE-SUR-VIRE</v>
      </c>
      <c r="E16173" s="38" t="s">
        <v>157</v>
      </c>
      <c r="F16173" s="38" t="s">
        <v>138</v>
      </c>
      <c r="G16173" s="49" t="str">
        <f t="shared" si="1"/>
        <v>50890</v>
      </c>
      <c r="H16173" s="49">
        <f t="shared" si="2"/>
        <v>50139</v>
      </c>
    </row>
    <row r="16174">
      <c r="A16174" s="48" t="s">
        <v>730</v>
      </c>
      <c r="B16174" s="38">
        <v>48162.0</v>
      </c>
      <c r="C16174" s="38" t="s">
        <v>20556</v>
      </c>
      <c r="D16174" s="38" t="str">
        <f>IFERROR(__xludf.DUMMYFUNCTION("REGEXREPLACE(C16174,""-\d+(.*)|--\d+(.*)"","""")"),"SAINT-JULIEN-D'ARPAON")</f>
        <v>SAINT-JULIEN-D'ARPAON</v>
      </c>
      <c r="E16174" s="38" t="s">
        <v>154</v>
      </c>
      <c r="F16174" s="38" t="s">
        <v>119</v>
      </c>
      <c r="G16174" s="49" t="str">
        <f t="shared" si="1"/>
        <v>48400</v>
      </c>
      <c r="H16174" s="49">
        <f t="shared" si="2"/>
        <v>48162</v>
      </c>
    </row>
    <row r="16175">
      <c r="A16175" s="48" t="s">
        <v>4290</v>
      </c>
      <c r="B16175" s="38">
        <v>69156.0</v>
      </c>
      <c r="C16175" s="38" t="s">
        <v>18105</v>
      </c>
      <c r="D16175" s="38" t="str">
        <f>IFERROR(__xludf.DUMMYFUNCTION("REGEXREPLACE(C16175,""-\d+(.*)|--\d+(.*)"","""")"),"POMMIERS")</f>
        <v>POMMIERS</v>
      </c>
      <c r="E16175" s="38" t="s">
        <v>350</v>
      </c>
      <c r="F16175" s="38" t="s">
        <v>102</v>
      </c>
      <c r="G16175" s="49" t="str">
        <f t="shared" si="1"/>
        <v>69480</v>
      </c>
      <c r="H16175" s="49">
        <f t="shared" si="2"/>
        <v>69156</v>
      </c>
    </row>
    <row r="16176">
      <c r="A16176" s="48" t="s">
        <v>2549</v>
      </c>
      <c r="B16176" s="38">
        <v>55032.0</v>
      </c>
      <c r="C16176" s="38" t="s">
        <v>20557</v>
      </c>
      <c r="D16176" s="38" t="str">
        <f>IFERROR(__xludf.DUMMYFUNCTION("REGEXREPLACE(C16176,""-\d+(.*)|--\d+(.*)"","""")"),"BAUDREMONT")</f>
        <v>BAUDREMONT</v>
      </c>
      <c r="E16176" s="38" t="s">
        <v>322</v>
      </c>
      <c r="F16176" s="38" t="s">
        <v>195</v>
      </c>
      <c r="G16176" s="49" t="str">
        <f t="shared" si="1"/>
        <v>55260</v>
      </c>
      <c r="H16176" s="49">
        <f t="shared" si="2"/>
        <v>55032</v>
      </c>
    </row>
    <row r="16177">
      <c r="A16177" s="48" t="s">
        <v>19170</v>
      </c>
      <c r="B16177" s="38">
        <v>53197.0</v>
      </c>
      <c r="C16177" s="38" t="s">
        <v>20558</v>
      </c>
      <c r="D16177" s="38" t="str">
        <f>IFERROR(__xludf.DUMMYFUNCTION("REGEXREPLACE(C16177,""-\d+(.*)|--\d+(.*)"","""")"),"SAINT-AIGNAN-SUR-ROE")</f>
        <v>SAINT-AIGNAN-SUR-ROE</v>
      </c>
      <c r="E16177" s="38" t="s">
        <v>518</v>
      </c>
      <c r="F16177" s="38" t="s">
        <v>180</v>
      </c>
      <c r="G16177" s="49" t="str">
        <f t="shared" si="1"/>
        <v>53390</v>
      </c>
      <c r="H16177" s="49">
        <f t="shared" si="2"/>
        <v>53197</v>
      </c>
    </row>
    <row r="16178">
      <c r="A16178" s="48" t="s">
        <v>12897</v>
      </c>
      <c r="B16178" s="38">
        <v>67046.0</v>
      </c>
      <c r="C16178" s="38" t="s">
        <v>20559</v>
      </c>
      <c r="D16178" s="38" t="str">
        <f>IFERROR(__xludf.DUMMYFUNCTION("REGEXREPLACE(C16178,""-\d+(.*)|--\d+(.*)"","""")"),"BISCHWILLER")</f>
        <v>BISCHWILLER</v>
      </c>
      <c r="E16178" s="38" t="s">
        <v>210</v>
      </c>
      <c r="F16178" s="38" t="s">
        <v>151</v>
      </c>
      <c r="G16178" s="49" t="str">
        <f t="shared" si="1"/>
        <v>67240</v>
      </c>
      <c r="H16178" s="49">
        <f t="shared" si="2"/>
        <v>67046</v>
      </c>
    </row>
    <row r="16179">
      <c r="A16179" s="48" t="s">
        <v>20560</v>
      </c>
      <c r="B16179" s="38">
        <v>59656.0</v>
      </c>
      <c r="C16179" s="38" t="s">
        <v>20561</v>
      </c>
      <c r="D16179" s="38" t="str">
        <f>IFERROR(__xludf.DUMMYFUNCTION("REGEXREPLACE(C16179,""-\d+(.*)|--\d+(.*)"","""")"),"WERVICQ-SUD")</f>
        <v>WERVICQ-SUD</v>
      </c>
      <c r="E16179" s="38" t="s">
        <v>85</v>
      </c>
      <c r="F16179" s="38" t="s">
        <v>86</v>
      </c>
      <c r="G16179" s="49" t="str">
        <f t="shared" si="1"/>
        <v>59117</v>
      </c>
      <c r="H16179" s="49">
        <f t="shared" si="2"/>
        <v>59656</v>
      </c>
    </row>
    <row r="16180">
      <c r="A16180" s="48" t="s">
        <v>20562</v>
      </c>
      <c r="B16180" s="38">
        <v>13015.0</v>
      </c>
      <c r="C16180" s="38" t="s">
        <v>20563</v>
      </c>
      <c r="D16180" s="38" t="str">
        <f>IFERROR(__xludf.DUMMYFUNCTION("REGEXREPLACE(C16180,""-\d+(.*)|--\d+(.*)"","""")"),"BOUC-BEL-AIR")</f>
        <v>BOUC-BEL-AIR</v>
      </c>
      <c r="E16180" s="38" t="s">
        <v>980</v>
      </c>
      <c r="F16180" s="38" t="s">
        <v>228</v>
      </c>
      <c r="G16180" s="49" t="str">
        <f t="shared" si="1"/>
        <v>13320</v>
      </c>
      <c r="H16180" s="49">
        <f t="shared" si="2"/>
        <v>13015</v>
      </c>
    </row>
    <row r="16181">
      <c r="A16181" s="48" t="s">
        <v>4682</v>
      </c>
      <c r="B16181" s="38">
        <v>50587.0</v>
      </c>
      <c r="C16181" s="38" t="s">
        <v>20564</v>
      </c>
      <c r="D16181" s="38" t="str">
        <f>IFERROR(__xludf.DUMMYFUNCTION("REGEXREPLACE(C16181,""-\d+(.*)|--\d+(.*)"","""")"),"TAILLEPIED")</f>
        <v>TAILLEPIED</v>
      </c>
      <c r="E16181" s="38" t="s">
        <v>157</v>
      </c>
      <c r="F16181" s="38" t="s">
        <v>138</v>
      </c>
      <c r="G16181" s="49" t="str">
        <f t="shared" si="1"/>
        <v>50390</v>
      </c>
      <c r="H16181" s="49">
        <f t="shared" si="2"/>
        <v>50587</v>
      </c>
    </row>
    <row r="16182">
      <c r="A16182" s="48" t="s">
        <v>7763</v>
      </c>
      <c r="B16182" s="38">
        <v>89238.0</v>
      </c>
      <c r="C16182" s="38" t="s">
        <v>20565</v>
      </c>
      <c r="D16182" s="38" t="str">
        <f>IFERROR(__xludf.DUMMYFUNCTION("REGEXREPLACE(C16182,""-\d+(.*)|--\d+(.*)"","""")"),"MAILLY-LE-CHATEAU")</f>
        <v>MAILLY-LE-CHATEAU</v>
      </c>
      <c r="E16182" s="38" t="s">
        <v>275</v>
      </c>
      <c r="F16182" s="38" t="s">
        <v>106</v>
      </c>
      <c r="G16182" s="49" t="str">
        <f t="shared" si="1"/>
        <v>89660</v>
      </c>
      <c r="H16182" s="49">
        <f t="shared" si="2"/>
        <v>89238</v>
      </c>
    </row>
    <row r="16183">
      <c r="A16183" s="48" t="s">
        <v>14935</v>
      </c>
      <c r="B16183" s="38">
        <v>47198.0</v>
      </c>
      <c r="C16183" s="38" t="s">
        <v>20566</v>
      </c>
      <c r="D16183" s="38" t="str">
        <f>IFERROR(__xludf.DUMMYFUNCTION("REGEXREPLACE(C16183,""-\d+(.*)|--\d+(.*)"","""")"),"PAILLOLES")</f>
        <v>PAILLOLES</v>
      </c>
      <c r="E16183" s="38" t="s">
        <v>251</v>
      </c>
      <c r="F16183" s="38" t="s">
        <v>252</v>
      </c>
      <c r="G16183" s="49" t="str">
        <f t="shared" si="1"/>
        <v>47440</v>
      </c>
      <c r="H16183" s="49">
        <f t="shared" si="2"/>
        <v>47198</v>
      </c>
    </row>
    <row r="16184">
      <c r="A16184" s="48" t="s">
        <v>1770</v>
      </c>
      <c r="B16184" s="38">
        <v>57184.0</v>
      </c>
      <c r="C16184" s="38" t="s">
        <v>20567</v>
      </c>
      <c r="D16184" s="38" t="str">
        <f>IFERROR(__xludf.DUMMYFUNCTION("REGEXREPLACE(C16184,""-\d+(.*)|--\d+(.*)"","""")"),"DORNOT")</f>
        <v>DORNOT</v>
      </c>
      <c r="E16184" s="38" t="s">
        <v>303</v>
      </c>
      <c r="F16184" s="38" t="s">
        <v>195</v>
      </c>
      <c r="G16184" s="49" t="str">
        <f t="shared" si="1"/>
        <v>57130</v>
      </c>
      <c r="H16184" s="49">
        <f t="shared" si="2"/>
        <v>57184</v>
      </c>
    </row>
    <row r="16185">
      <c r="A16185" s="48" t="s">
        <v>1054</v>
      </c>
      <c r="B16185" s="38">
        <v>46029.0</v>
      </c>
      <c r="C16185" s="38" t="s">
        <v>20568</v>
      </c>
      <c r="D16185" s="38" t="str">
        <f>IFERROR(__xludf.DUMMYFUNCTION("REGEXREPLACE(C16185,""-\d+(.*)|--\d+(.*)"","""")"),"BIARS-SUR-CERE")</f>
        <v>BIARS-SUR-CERE</v>
      </c>
      <c r="E16185" s="38" t="s">
        <v>185</v>
      </c>
      <c r="F16185" s="38" t="s">
        <v>94</v>
      </c>
      <c r="G16185" s="49" t="str">
        <f t="shared" si="1"/>
        <v>46130</v>
      </c>
      <c r="H16185" s="49">
        <f t="shared" si="2"/>
        <v>46029</v>
      </c>
    </row>
    <row r="16186">
      <c r="A16186" s="48" t="s">
        <v>6945</v>
      </c>
      <c r="B16186" s="38">
        <v>80097.0</v>
      </c>
      <c r="C16186" s="38" t="s">
        <v>20569</v>
      </c>
      <c r="D16186" s="38" t="str">
        <f>IFERROR(__xludf.DUMMYFUNCTION("REGEXREPLACE(C16186,""-\d+(.*)|--\d+(.*)"","""")"),"BETHENCOURT-SUR-SOMME")</f>
        <v>BETHENCOURT-SUR-SOMME</v>
      </c>
      <c r="E16186" s="38" t="s">
        <v>224</v>
      </c>
      <c r="F16186" s="38" t="s">
        <v>113</v>
      </c>
      <c r="G16186" s="49" t="str">
        <f t="shared" si="1"/>
        <v>80190</v>
      </c>
      <c r="H16186" s="49">
        <f t="shared" si="2"/>
        <v>80097</v>
      </c>
    </row>
    <row r="16187">
      <c r="A16187" s="48" t="s">
        <v>9067</v>
      </c>
      <c r="B16187" s="38">
        <v>73203.0</v>
      </c>
      <c r="C16187" s="38" t="s">
        <v>20570</v>
      </c>
      <c r="D16187" s="38" t="str">
        <f>IFERROR(__xludf.DUMMYFUNCTION("REGEXREPLACE(C16187,""-\d+(.*)|--\d+(.*)"","""")"),"PONTAMAFREY-MONTPASCAL")</f>
        <v>PONTAMAFREY-MONTPASCAL</v>
      </c>
      <c r="E16187" s="38" t="s">
        <v>306</v>
      </c>
      <c r="F16187" s="38" t="s">
        <v>102</v>
      </c>
      <c r="G16187" s="49" t="str">
        <f t="shared" si="1"/>
        <v>73300</v>
      </c>
      <c r="H16187" s="49">
        <f t="shared" si="2"/>
        <v>73203</v>
      </c>
    </row>
    <row r="16188">
      <c r="A16188" s="48" t="s">
        <v>4032</v>
      </c>
      <c r="B16188" s="38">
        <v>17314.0</v>
      </c>
      <c r="C16188" s="38" t="s">
        <v>20571</v>
      </c>
      <c r="D16188" s="38" t="str">
        <f>IFERROR(__xludf.DUMMYFUNCTION("REGEXREPLACE(C16188,""-\d+(.*)|--\d+(.*)"","""")"),"SAINT-CESAIRE")</f>
        <v>SAINT-CESAIRE</v>
      </c>
      <c r="E16188" s="38" t="s">
        <v>488</v>
      </c>
      <c r="F16188" s="38" t="s">
        <v>338</v>
      </c>
      <c r="G16188" s="49" t="str">
        <f t="shared" si="1"/>
        <v>17770</v>
      </c>
      <c r="H16188" s="49">
        <f t="shared" si="2"/>
        <v>17314</v>
      </c>
    </row>
    <row r="16189">
      <c r="A16189" s="48" t="s">
        <v>4536</v>
      </c>
      <c r="B16189" s="38">
        <v>77110.0</v>
      </c>
      <c r="C16189" s="38" t="s">
        <v>20572</v>
      </c>
      <c r="D16189" s="38" t="str">
        <f>IFERROR(__xludf.DUMMYFUNCTION("REGEXREPLACE(C16189,""-\d+(.*)|--\d+(.*)"","""")"),"CHENOU")</f>
        <v>CHENOU</v>
      </c>
      <c r="E16189" s="38" t="s">
        <v>244</v>
      </c>
      <c r="F16189" s="38" t="s">
        <v>245</v>
      </c>
      <c r="G16189" s="49" t="str">
        <f t="shared" si="1"/>
        <v>77570</v>
      </c>
      <c r="H16189" s="49">
        <f t="shared" si="2"/>
        <v>77110</v>
      </c>
    </row>
    <row r="16190">
      <c r="A16190" s="48" t="s">
        <v>20573</v>
      </c>
      <c r="B16190" s="38">
        <v>59314.0</v>
      </c>
      <c r="C16190" s="38" t="s">
        <v>20574</v>
      </c>
      <c r="D16190" s="38" t="str">
        <f>IFERROR(__xludf.DUMMYFUNCTION("REGEXREPLACE(C16190,""-\d+(.*)|--\d+(.*)"","""")"),"HORNAING")</f>
        <v>HORNAING</v>
      </c>
      <c r="E16190" s="38" t="s">
        <v>85</v>
      </c>
      <c r="F16190" s="38" t="s">
        <v>86</v>
      </c>
      <c r="G16190" s="49" t="str">
        <f t="shared" si="1"/>
        <v>59171</v>
      </c>
      <c r="H16190" s="49">
        <f t="shared" si="2"/>
        <v>59314</v>
      </c>
    </row>
    <row r="16191">
      <c r="A16191" s="48" t="s">
        <v>4570</v>
      </c>
      <c r="B16191" s="38">
        <v>57570.0</v>
      </c>
      <c r="C16191" s="38" t="s">
        <v>20575</v>
      </c>
      <c r="D16191" s="38" t="str">
        <f>IFERROR(__xludf.DUMMYFUNCTION("REGEXREPLACE(C16191,""-\d+(.*)|--\d+(.*)"","""")"),"REMERING")</f>
        <v>REMERING</v>
      </c>
      <c r="E16191" s="38" t="s">
        <v>303</v>
      </c>
      <c r="F16191" s="38" t="s">
        <v>195</v>
      </c>
      <c r="G16191" s="49" t="str">
        <f t="shared" si="1"/>
        <v>57550</v>
      </c>
      <c r="H16191" s="49">
        <f t="shared" si="2"/>
        <v>57570</v>
      </c>
    </row>
    <row r="16192">
      <c r="A16192" s="48" t="s">
        <v>20576</v>
      </c>
      <c r="B16192" s="38">
        <v>68115.0</v>
      </c>
      <c r="C16192" s="38" t="s">
        <v>20577</v>
      </c>
      <c r="D16192" s="38" t="str">
        <f>IFERROR(__xludf.DUMMYFUNCTION("REGEXREPLACE(C16192,""-\d+(.*)|--\d+(.*)"","""")"),"GUEWENHEIM")</f>
        <v>GUEWENHEIM</v>
      </c>
      <c r="E16192" s="38" t="s">
        <v>150</v>
      </c>
      <c r="F16192" s="38" t="s">
        <v>151</v>
      </c>
      <c r="G16192" s="49" t="str">
        <f t="shared" si="1"/>
        <v>68116</v>
      </c>
      <c r="H16192" s="49">
        <f t="shared" si="2"/>
        <v>68115</v>
      </c>
    </row>
    <row r="16193">
      <c r="A16193" s="48" t="s">
        <v>3578</v>
      </c>
      <c r="B16193" s="38">
        <v>72319.0</v>
      </c>
      <c r="C16193" s="38" t="s">
        <v>20578</v>
      </c>
      <c r="D16193" s="38" t="str">
        <f>IFERROR(__xludf.DUMMYFUNCTION("REGEXREPLACE(C16193,""-\d+(.*)|--\d+(.*)"","""")"),"SAINTE-SABINE-SUR-LONGEVE")</f>
        <v>SAINTE-SABINE-SUR-LONGEVE</v>
      </c>
      <c r="E16193" s="38" t="s">
        <v>521</v>
      </c>
      <c r="F16193" s="38" t="s">
        <v>180</v>
      </c>
      <c r="G16193" s="49" t="str">
        <f t="shared" si="1"/>
        <v>72380</v>
      </c>
      <c r="H16193" s="49">
        <f t="shared" si="2"/>
        <v>72319</v>
      </c>
    </row>
    <row r="16194">
      <c r="A16194" s="48" t="s">
        <v>3190</v>
      </c>
      <c r="B16194" s="38">
        <v>70491.0</v>
      </c>
      <c r="C16194" s="38" t="s">
        <v>20579</v>
      </c>
      <c r="D16194" s="38" t="str">
        <f>IFERROR(__xludf.DUMMYFUNCTION("REGEXREPLACE(C16194,""-\d+(.*)|--\d+(.*)"","""")"),"SEVEUX")</f>
        <v>SEVEUX</v>
      </c>
      <c r="E16194" s="38" t="s">
        <v>956</v>
      </c>
      <c r="F16194" s="38" t="s">
        <v>214</v>
      </c>
      <c r="G16194" s="49" t="str">
        <f t="shared" si="1"/>
        <v>70130</v>
      </c>
      <c r="H16194" s="49">
        <f t="shared" si="2"/>
        <v>70491</v>
      </c>
    </row>
    <row r="16195">
      <c r="A16195" s="48" t="s">
        <v>595</v>
      </c>
      <c r="B16195" s="38">
        <v>29137.0</v>
      </c>
      <c r="C16195" s="38" t="s">
        <v>20580</v>
      </c>
      <c r="D16195" s="38" t="str">
        <f>IFERROR(__xludf.DUMMYFUNCTION("REGEXREPLACE(C16195,""-\d+(.*)|--\d+(.*)"","""")"),"LOGONNA-DAOULAS")</f>
        <v>LOGONNA-DAOULAS</v>
      </c>
      <c r="E16195" s="38" t="s">
        <v>176</v>
      </c>
      <c r="F16195" s="38" t="s">
        <v>90</v>
      </c>
      <c r="G16195" s="49" t="str">
        <f t="shared" si="1"/>
        <v>29460</v>
      </c>
      <c r="H16195" s="49">
        <f t="shared" si="2"/>
        <v>29137</v>
      </c>
    </row>
    <row r="16196">
      <c r="A16196" s="48" t="s">
        <v>7749</v>
      </c>
      <c r="B16196" s="38">
        <v>85193.0</v>
      </c>
      <c r="C16196" s="38" t="s">
        <v>1954</v>
      </c>
      <c r="D16196" s="38" t="str">
        <f>IFERROR(__xludf.DUMMYFUNCTION("REGEXREPLACE(C16196,""-\d+(.*)|--\d+(.*)"","""")"),"ROSNAY")</f>
        <v>ROSNAY</v>
      </c>
      <c r="E16196" s="38" t="s">
        <v>179</v>
      </c>
      <c r="F16196" s="38" t="s">
        <v>180</v>
      </c>
      <c r="G16196" s="49" t="str">
        <f t="shared" si="1"/>
        <v>85320</v>
      </c>
      <c r="H16196" s="49">
        <f t="shared" si="2"/>
        <v>85193</v>
      </c>
    </row>
    <row r="16197">
      <c r="A16197" s="48" t="s">
        <v>746</v>
      </c>
      <c r="B16197" s="38">
        <v>76548.0</v>
      </c>
      <c r="C16197" s="38" t="s">
        <v>20581</v>
      </c>
      <c r="D16197" s="38" t="str">
        <f>IFERROR(__xludf.DUMMYFUNCTION("REGEXREPLACE(C16197,""-\d+(.*)|--\d+(.*)"","""")"),"RY")</f>
        <v>RY</v>
      </c>
      <c r="E16197" s="38" t="s">
        <v>133</v>
      </c>
      <c r="F16197" s="38" t="s">
        <v>134</v>
      </c>
      <c r="G16197" s="49" t="str">
        <f t="shared" si="1"/>
        <v>76116</v>
      </c>
      <c r="H16197" s="49">
        <f t="shared" si="2"/>
        <v>76548</v>
      </c>
    </row>
    <row r="16198">
      <c r="A16198" s="48" t="s">
        <v>425</v>
      </c>
      <c r="B16198" s="38">
        <v>88131.0</v>
      </c>
      <c r="C16198" s="38" t="s">
        <v>20582</v>
      </c>
      <c r="D16198" s="38" t="str">
        <f>IFERROR(__xludf.DUMMYFUNCTION("REGEXREPLACE(C16198,""-\d+(.*)|--\d+(.*)"","""")"),"DEYCIMONT")</f>
        <v>DEYCIMONT</v>
      </c>
      <c r="E16198" s="38" t="s">
        <v>194</v>
      </c>
      <c r="F16198" s="38" t="s">
        <v>195</v>
      </c>
      <c r="G16198" s="49" t="str">
        <f t="shared" si="1"/>
        <v>88600</v>
      </c>
      <c r="H16198" s="49">
        <f t="shared" si="2"/>
        <v>88131</v>
      </c>
    </row>
    <row r="16199">
      <c r="A16199" s="48" t="s">
        <v>6626</v>
      </c>
      <c r="B16199" s="38">
        <v>58221.0</v>
      </c>
      <c r="C16199" s="38" t="s">
        <v>20583</v>
      </c>
      <c r="D16199" s="38" t="str">
        <f>IFERROR(__xludf.DUMMYFUNCTION("REGEXREPLACE(C16199,""-\d+(.*)|--\d+(.*)"","""")"),"REMILLY")</f>
        <v>REMILLY</v>
      </c>
      <c r="E16199" s="38" t="s">
        <v>219</v>
      </c>
      <c r="F16199" s="38" t="s">
        <v>106</v>
      </c>
      <c r="G16199" s="49" t="str">
        <f t="shared" si="1"/>
        <v>58250</v>
      </c>
      <c r="H16199" s="49">
        <f t="shared" si="2"/>
        <v>58221</v>
      </c>
    </row>
    <row r="16200">
      <c r="A16200" s="48" t="s">
        <v>9585</v>
      </c>
      <c r="B16200" s="38">
        <v>25579.0</v>
      </c>
      <c r="C16200" s="38" t="s">
        <v>20584</v>
      </c>
      <c r="D16200" s="38" t="str">
        <f>IFERROR(__xludf.DUMMYFUNCTION("REGEXREPLACE(C16200,""-\d+(.*)|--\d+(.*)"","""")"),"VAL-DE-ROULANS")</f>
        <v>VAL-DE-ROULANS</v>
      </c>
      <c r="E16200" s="38" t="s">
        <v>213</v>
      </c>
      <c r="F16200" s="38" t="s">
        <v>214</v>
      </c>
      <c r="G16200" s="49" t="str">
        <f t="shared" si="1"/>
        <v>25640</v>
      </c>
      <c r="H16200" s="49">
        <f t="shared" si="2"/>
        <v>25579</v>
      </c>
    </row>
    <row r="16201">
      <c r="A16201" s="48" t="s">
        <v>9772</v>
      </c>
      <c r="B16201" s="38">
        <v>25389.0</v>
      </c>
      <c r="C16201" s="38" t="s">
        <v>20585</v>
      </c>
      <c r="D16201" s="38" t="str">
        <f>IFERROR(__xludf.DUMMYFUNCTION("REGEXREPLACE(C16201,""-\d+(.*)|--\d+(.*)"","""")"),"MONTBELIARDOT")</f>
        <v>MONTBELIARDOT</v>
      </c>
      <c r="E16201" s="38" t="s">
        <v>213</v>
      </c>
      <c r="F16201" s="38" t="s">
        <v>214</v>
      </c>
      <c r="G16201" s="49" t="str">
        <f t="shared" si="1"/>
        <v>25210</v>
      </c>
      <c r="H16201" s="49">
        <f t="shared" si="2"/>
        <v>25389</v>
      </c>
    </row>
    <row r="16202">
      <c r="A16202" s="48" t="s">
        <v>582</v>
      </c>
      <c r="B16202" s="38">
        <v>39575.0</v>
      </c>
      <c r="C16202" s="38" t="s">
        <v>20586</v>
      </c>
      <c r="D16202" s="38" t="str">
        <f>IFERROR(__xludf.DUMMYFUNCTION("REGEXREPLACE(C16202,""-\d+(.*)|--\d+(.*)"","""")"),"LE VILLEY")</f>
        <v>LE VILLEY</v>
      </c>
      <c r="E16202" s="38" t="s">
        <v>400</v>
      </c>
      <c r="F16202" s="38" t="s">
        <v>214</v>
      </c>
      <c r="G16202" s="49" t="str">
        <f t="shared" si="1"/>
        <v>39230</v>
      </c>
      <c r="H16202" s="49">
        <f t="shared" si="2"/>
        <v>39575</v>
      </c>
    </row>
    <row r="16203">
      <c r="A16203" s="48" t="s">
        <v>3789</v>
      </c>
      <c r="B16203" s="38">
        <v>51117.0</v>
      </c>
      <c r="C16203" s="38" t="s">
        <v>20587</v>
      </c>
      <c r="D16203" s="38" t="str">
        <f>IFERROR(__xludf.DUMMYFUNCTION("REGEXREPLACE(C16203,""-\d+(.*)|--\d+(.*)"","""")"),"CHAMPIGNEUL-CHAMPAGNE")</f>
        <v>CHAMPIGNEUL-CHAMPAGNE</v>
      </c>
      <c r="E16203" s="38" t="s">
        <v>129</v>
      </c>
      <c r="F16203" s="38" t="s">
        <v>130</v>
      </c>
      <c r="G16203" s="49" t="str">
        <f t="shared" si="1"/>
        <v>51150</v>
      </c>
      <c r="H16203" s="49">
        <f t="shared" si="2"/>
        <v>51117</v>
      </c>
    </row>
    <row r="16204">
      <c r="A16204" s="48" t="s">
        <v>10017</v>
      </c>
      <c r="B16204" s="38">
        <v>14170.0</v>
      </c>
      <c r="C16204" s="38" t="s">
        <v>20588</v>
      </c>
      <c r="D16204" s="38" t="str">
        <f>IFERROR(__xludf.DUMMYFUNCTION("REGEXREPLACE(C16204,""-\d+(.*)|--\d+(.*)"","""")"),"COLOMBY-SUR-THAON")</f>
        <v>COLOMBY-SUR-THAON</v>
      </c>
      <c r="E16204" s="38" t="s">
        <v>137</v>
      </c>
      <c r="F16204" s="38" t="s">
        <v>138</v>
      </c>
      <c r="G16204" s="49" t="str">
        <f t="shared" si="1"/>
        <v>14610</v>
      </c>
      <c r="H16204" s="49">
        <f t="shared" si="2"/>
        <v>14170</v>
      </c>
    </row>
    <row r="16205">
      <c r="A16205" s="48" t="s">
        <v>7247</v>
      </c>
      <c r="B16205" s="38">
        <v>24087.0</v>
      </c>
      <c r="C16205" s="38" t="s">
        <v>20589</v>
      </c>
      <c r="D16205" s="38" t="str">
        <f>IFERROR(__xludf.DUMMYFUNCTION("REGEXREPLACE(C16205,""-\d+(.*)|--\d+(.*)"","""")"),"CASTELS")</f>
        <v>CASTELS</v>
      </c>
      <c r="E16205" s="38" t="s">
        <v>261</v>
      </c>
      <c r="F16205" s="38" t="s">
        <v>252</v>
      </c>
      <c r="G16205" s="49" t="str">
        <f t="shared" si="1"/>
        <v>24220</v>
      </c>
      <c r="H16205" s="49">
        <f t="shared" si="2"/>
        <v>24087</v>
      </c>
    </row>
    <row r="16206">
      <c r="A16206" s="48" t="s">
        <v>6535</v>
      </c>
      <c r="B16206" s="38">
        <v>58158.0</v>
      </c>
      <c r="C16206" s="38" t="s">
        <v>20590</v>
      </c>
      <c r="D16206" s="38" t="str">
        <f>IFERROR(__xludf.DUMMYFUNCTION("REGEXREPLACE(C16206,""-\d+(.*)|--\d+(.*)"","""")"),"MARS-SUR-ALLIER")</f>
        <v>MARS-SUR-ALLIER</v>
      </c>
      <c r="E16206" s="38" t="s">
        <v>219</v>
      </c>
      <c r="F16206" s="38" t="s">
        <v>106</v>
      </c>
      <c r="G16206" s="49" t="str">
        <f t="shared" si="1"/>
        <v>58240</v>
      </c>
      <c r="H16206" s="49">
        <f t="shared" si="2"/>
        <v>58158</v>
      </c>
    </row>
    <row r="16207">
      <c r="A16207" s="48" t="s">
        <v>2503</v>
      </c>
      <c r="B16207" s="38">
        <v>33441.0</v>
      </c>
      <c r="C16207" s="38" t="s">
        <v>20591</v>
      </c>
      <c r="D16207" s="38" t="str">
        <f>IFERROR(__xludf.DUMMYFUNCTION("REGEXREPLACE(C16207,""-\d+(.*)|--\d+(.*)"","""")"),"SAINT-MARTIN-LACAUSSADE")</f>
        <v>SAINT-MARTIN-LACAUSSADE</v>
      </c>
      <c r="E16207" s="38" t="s">
        <v>462</v>
      </c>
      <c r="F16207" s="38" t="s">
        <v>252</v>
      </c>
      <c r="G16207" s="49" t="str">
        <f t="shared" si="1"/>
        <v>33390</v>
      </c>
      <c r="H16207" s="49">
        <f t="shared" si="2"/>
        <v>33441</v>
      </c>
    </row>
    <row r="16208">
      <c r="A16208" s="48" t="s">
        <v>20592</v>
      </c>
      <c r="B16208" s="38">
        <v>35055.0</v>
      </c>
      <c r="C16208" s="38" t="s">
        <v>20593</v>
      </c>
      <c r="D16208" s="38" t="str">
        <f>IFERROR(__xludf.DUMMYFUNCTION("REGEXREPLACE(C16208,""-\d+(.*)|--\d+(.*)"","""")"),"CHANTEPIE")</f>
        <v>CHANTEPIE</v>
      </c>
      <c r="E16208" s="38" t="s">
        <v>347</v>
      </c>
      <c r="F16208" s="38" t="s">
        <v>90</v>
      </c>
      <c r="G16208" s="49" t="str">
        <f t="shared" si="1"/>
        <v>35135</v>
      </c>
      <c r="H16208" s="49">
        <f t="shared" si="2"/>
        <v>35055</v>
      </c>
    </row>
    <row r="16209">
      <c r="A16209" s="48" t="s">
        <v>110</v>
      </c>
      <c r="B16209" s="38">
        <v>60211.0</v>
      </c>
      <c r="C16209" s="38" t="s">
        <v>20594</v>
      </c>
      <c r="D16209" s="38" t="str">
        <f>IFERROR(__xludf.DUMMYFUNCTION("REGEXREPLACE(C16209,""-\d+(.*)|--\d+(.*)"","""")"),"ERAGNY-SUR-EPTE")</f>
        <v>ERAGNY-SUR-EPTE</v>
      </c>
      <c r="E16209" s="38" t="s">
        <v>112</v>
      </c>
      <c r="F16209" s="38" t="s">
        <v>113</v>
      </c>
      <c r="G16209" s="49" t="str">
        <f t="shared" si="1"/>
        <v>60590</v>
      </c>
      <c r="H16209" s="49">
        <f t="shared" si="2"/>
        <v>60211</v>
      </c>
    </row>
    <row r="16210">
      <c r="A16210" s="48" t="s">
        <v>20545</v>
      </c>
      <c r="B16210" s="38">
        <v>47128.0</v>
      </c>
      <c r="C16210" s="38" t="s">
        <v>20595</v>
      </c>
      <c r="D16210" s="38" t="str">
        <f>IFERROR(__xludf.DUMMYFUNCTION("REGEXREPLACE(C16210,""-\d+(.*)|--\d+(.*)"","""")"),"LAFOX")</f>
        <v>LAFOX</v>
      </c>
      <c r="E16210" s="38" t="s">
        <v>251</v>
      </c>
      <c r="F16210" s="38" t="s">
        <v>252</v>
      </c>
      <c r="G16210" s="49" t="str">
        <f t="shared" si="1"/>
        <v>47240</v>
      </c>
      <c r="H16210" s="49">
        <f t="shared" si="2"/>
        <v>47128</v>
      </c>
    </row>
    <row r="16211">
      <c r="A16211" s="48" t="s">
        <v>20596</v>
      </c>
      <c r="B16211" s="38">
        <v>59236.0</v>
      </c>
      <c r="C16211" s="38" t="s">
        <v>20597</v>
      </c>
      <c r="D16211" s="38" t="str">
        <f>IFERROR(__xludf.DUMMYFUNCTION("REGEXREPLACE(C16211,""-\d+(.*)|--\d+(.*)"","""")"),"FLESQUIERES")</f>
        <v>FLESQUIERES</v>
      </c>
      <c r="E16211" s="38" t="s">
        <v>85</v>
      </c>
      <c r="F16211" s="38" t="s">
        <v>86</v>
      </c>
      <c r="G16211" s="49" t="str">
        <f t="shared" si="1"/>
        <v>59267</v>
      </c>
      <c r="H16211" s="49">
        <f t="shared" si="2"/>
        <v>59236</v>
      </c>
    </row>
    <row r="16212">
      <c r="A16212" s="48" t="s">
        <v>183</v>
      </c>
      <c r="B16212" s="38">
        <v>46006.0</v>
      </c>
      <c r="C16212" s="38" t="s">
        <v>20598</v>
      </c>
      <c r="D16212" s="38" t="str">
        <f>IFERROR(__xludf.DUMMYFUNCTION("REGEXREPLACE(C16212,""-\d+(.*)|--\d+(.*)"","""")"),"ANGLARS-NOZAC")</f>
        <v>ANGLARS-NOZAC</v>
      </c>
      <c r="E16212" s="38" t="s">
        <v>185</v>
      </c>
      <c r="F16212" s="38" t="s">
        <v>94</v>
      </c>
      <c r="G16212" s="49" t="str">
        <f t="shared" si="1"/>
        <v>46300</v>
      </c>
      <c r="H16212" s="49">
        <f t="shared" si="2"/>
        <v>46006</v>
      </c>
    </row>
    <row r="16213">
      <c r="A16213" s="48" t="s">
        <v>10025</v>
      </c>
      <c r="B16213" s="38">
        <v>66092.0</v>
      </c>
      <c r="C16213" s="38" t="s">
        <v>3974</v>
      </c>
      <c r="D16213" s="38" t="str">
        <f>IFERROR(__xludf.DUMMYFUNCTION("REGEXREPLACE(C16213,""-\d+(.*)|--\d+(.*)"","""")"),"LANSAC")</f>
        <v>LANSAC</v>
      </c>
      <c r="E16213" s="38" t="s">
        <v>248</v>
      </c>
      <c r="F16213" s="38" t="s">
        <v>119</v>
      </c>
      <c r="G16213" s="49" t="str">
        <f t="shared" si="1"/>
        <v>66720</v>
      </c>
      <c r="H16213" s="49">
        <f t="shared" si="2"/>
        <v>66092</v>
      </c>
    </row>
    <row r="16214">
      <c r="A16214" s="48" t="s">
        <v>11861</v>
      </c>
      <c r="B16214" s="38">
        <v>30074.0</v>
      </c>
      <c r="C16214" s="38" t="s">
        <v>20599</v>
      </c>
      <c r="D16214" s="38" t="str">
        <f>IFERROR(__xludf.DUMMYFUNCTION("REGEXREPLACE(C16214,""-\d+(.*)|--\d+(.*)"","""")"),"CAUSSE-BEGON")</f>
        <v>CAUSSE-BEGON</v>
      </c>
      <c r="E16214" s="38" t="s">
        <v>526</v>
      </c>
      <c r="F16214" s="38" t="s">
        <v>119</v>
      </c>
      <c r="G16214" s="49" t="str">
        <f t="shared" si="1"/>
        <v>30750</v>
      </c>
      <c r="H16214" s="49">
        <f t="shared" si="2"/>
        <v>30074</v>
      </c>
    </row>
    <row r="16215">
      <c r="A16215" s="48" t="s">
        <v>7437</v>
      </c>
      <c r="B16215" s="38">
        <v>45100.0</v>
      </c>
      <c r="C16215" s="38" t="s">
        <v>20600</v>
      </c>
      <c r="D16215" s="38" t="str">
        <f>IFERROR(__xludf.DUMMYFUNCTION("REGEXREPLACE(C16215,""-\d+(.*)|--\d+(.*)"","""")"),"COMBLEUX")</f>
        <v>COMBLEUX</v>
      </c>
      <c r="E16215" s="38" t="s">
        <v>122</v>
      </c>
      <c r="F16215" s="38" t="s">
        <v>123</v>
      </c>
      <c r="G16215" s="49" t="str">
        <f t="shared" si="1"/>
        <v>45800</v>
      </c>
      <c r="H16215" s="49">
        <f t="shared" si="2"/>
        <v>45100</v>
      </c>
    </row>
    <row r="16216">
      <c r="A16216" s="48" t="s">
        <v>5840</v>
      </c>
      <c r="B16216" s="38">
        <v>71425.0</v>
      </c>
      <c r="C16216" s="38" t="s">
        <v>2153</v>
      </c>
      <c r="D16216" s="38" t="str">
        <f>IFERROR(__xludf.DUMMYFUNCTION("REGEXREPLACE(C16216,""-\d+(.*)|--\d+(.*)"","""")"),"SAINT-GILLES")</f>
        <v>SAINT-GILLES</v>
      </c>
      <c r="E16216" s="38" t="s">
        <v>344</v>
      </c>
      <c r="F16216" s="38" t="s">
        <v>106</v>
      </c>
      <c r="G16216" s="49" t="str">
        <f t="shared" si="1"/>
        <v>71510</v>
      </c>
      <c r="H16216" s="49">
        <f t="shared" si="2"/>
        <v>71425</v>
      </c>
    </row>
    <row r="16217">
      <c r="A16217" s="48" t="s">
        <v>1091</v>
      </c>
      <c r="B16217" s="38">
        <v>57155.0</v>
      </c>
      <c r="C16217" s="38" t="s">
        <v>20601</v>
      </c>
      <c r="D16217" s="38" t="str">
        <f>IFERROR(__xludf.DUMMYFUNCTION("REGEXREPLACE(C16217,""-\d+(.*)|--\d+(.*)"","""")"),"COURCELLES-CHAUSSY")</f>
        <v>COURCELLES-CHAUSSY</v>
      </c>
      <c r="E16217" s="38" t="s">
        <v>303</v>
      </c>
      <c r="F16217" s="38" t="s">
        <v>195</v>
      </c>
      <c r="G16217" s="49" t="str">
        <f t="shared" si="1"/>
        <v>57530</v>
      </c>
      <c r="H16217" s="49">
        <f t="shared" si="2"/>
        <v>57155</v>
      </c>
    </row>
    <row r="16218">
      <c r="A16218" s="48" t="s">
        <v>6872</v>
      </c>
      <c r="B16218" s="38">
        <v>45057.0</v>
      </c>
      <c r="C16218" s="38" t="s">
        <v>20602</v>
      </c>
      <c r="D16218" s="38" t="str">
        <f>IFERROR(__xludf.DUMMYFUNCTION("REGEXREPLACE(C16218,""-\d+(.*)|--\d+(.*)"","""")"),"LABROSSE")</f>
        <v>LABROSSE</v>
      </c>
      <c r="E16218" s="38" t="s">
        <v>122</v>
      </c>
      <c r="F16218" s="38" t="s">
        <v>123</v>
      </c>
      <c r="G16218" s="49" t="str">
        <f t="shared" si="1"/>
        <v>45330</v>
      </c>
      <c r="H16218" s="49">
        <f t="shared" si="2"/>
        <v>45057</v>
      </c>
    </row>
    <row r="16219">
      <c r="A16219" s="48" t="s">
        <v>7199</v>
      </c>
      <c r="B16219" s="38">
        <v>76285.0</v>
      </c>
      <c r="C16219" s="38" t="s">
        <v>20603</v>
      </c>
      <c r="D16219" s="38" t="str">
        <f>IFERROR(__xludf.DUMMYFUNCTION("REGEXREPLACE(C16219,""-\d+(.*)|--\d+(.*)"","""")"),"FRESNE-LE-PLAN")</f>
        <v>FRESNE-LE-PLAN</v>
      </c>
      <c r="E16219" s="38" t="s">
        <v>133</v>
      </c>
      <c r="F16219" s="38" t="s">
        <v>134</v>
      </c>
      <c r="G16219" s="49" t="str">
        <f t="shared" si="1"/>
        <v>76520</v>
      </c>
      <c r="H16219" s="49">
        <f t="shared" si="2"/>
        <v>76285</v>
      </c>
    </row>
    <row r="16220">
      <c r="A16220" s="48" t="s">
        <v>1020</v>
      </c>
      <c r="B16220" s="38">
        <v>1108.0</v>
      </c>
      <c r="C16220" s="38" t="s">
        <v>20604</v>
      </c>
      <c r="D16220" s="38" t="str">
        <f>IFERROR(__xludf.DUMMYFUNCTION("REGEXREPLACE(C16220,""-\d+(.*)|--\d+(.*)"","""")"),"COLIGNY")</f>
        <v>COLIGNY</v>
      </c>
      <c r="E16220" s="38" t="s">
        <v>255</v>
      </c>
      <c r="F16220" s="38" t="s">
        <v>102</v>
      </c>
      <c r="G16220" s="49" t="str">
        <f t="shared" si="1"/>
        <v>01270</v>
      </c>
      <c r="H16220" s="49" t="str">
        <f t="shared" si="2"/>
        <v>01108</v>
      </c>
    </row>
    <row r="16221">
      <c r="A16221" s="48" t="s">
        <v>7514</v>
      </c>
      <c r="B16221" s="38">
        <v>88504.0</v>
      </c>
      <c r="C16221" s="38" t="s">
        <v>20605</v>
      </c>
      <c r="D16221" s="38" t="str">
        <f>IFERROR(__xludf.DUMMYFUNCTION("REGEXREPLACE(C16221,""-\d+(.*)|--\d+(.*)"","""")"),"VICHEREY")</f>
        <v>VICHEREY</v>
      </c>
      <c r="E16221" s="38" t="s">
        <v>194</v>
      </c>
      <c r="F16221" s="38" t="s">
        <v>195</v>
      </c>
      <c r="G16221" s="49" t="str">
        <f t="shared" si="1"/>
        <v>88170</v>
      </c>
      <c r="H16221" s="49">
        <f t="shared" si="2"/>
        <v>88504</v>
      </c>
    </row>
    <row r="16222">
      <c r="A16222" s="48" t="s">
        <v>3293</v>
      </c>
      <c r="B16222" s="38">
        <v>73160.0</v>
      </c>
      <c r="C16222" s="38" t="s">
        <v>20606</v>
      </c>
      <c r="D16222" s="38" t="str">
        <f>IFERROR(__xludf.DUMMYFUNCTION("REGEXREPLACE(C16222,""-\d+(.*)|--\d+(.*)"","""")"),"MONTAGNOLE")</f>
        <v>MONTAGNOLE</v>
      </c>
      <c r="E16222" s="38" t="s">
        <v>306</v>
      </c>
      <c r="F16222" s="38" t="s">
        <v>102</v>
      </c>
      <c r="G16222" s="49" t="str">
        <f t="shared" si="1"/>
        <v>73000</v>
      </c>
      <c r="H16222" s="49">
        <f t="shared" si="2"/>
        <v>73160</v>
      </c>
    </row>
    <row r="16223">
      <c r="A16223" s="48" t="s">
        <v>5205</v>
      </c>
      <c r="B16223" s="38">
        <v>59433.0</v>
      </c>
      <c r="C16223" s="38" t="s">
        <v>20607</v>
      </c>
      <c r="D16223" s="38" t="str">
        <f>IFERROR(__xludf.DUMMYFUNCTION("REGEXREPLACE(C16223,""-\d+(.*)|--\d+(.*)"","""")"),"NIEURLET")</f>
        <v>NIEURLET</v>
      </c>
      <c r="E16223" s="38" t="s">
        <v>85</v>
      </c>
      <c r="F16223" s="38" t="s">
        <v>86</v>
      </c>
      <c r="G16223" s="49" t="str">
        <f t="shared" si="1"/>
        <v>59143</v>
      </c>
      <c r="H16223" s="49">
        <f t="shared" si="2"/>
        <v>59433</v>
      </c>
    </row>
    <row r="16224">
      <c r="A16224" s="48" t="s">
        <v>3125</v>
      </c>
      <c r="B16224" s="38">
        <v>12242.0</v>
      </c>
      <c r="C16224" s="38" t="s">
        <v>2361</v>
      </c>
      <c r="D16224" s="38" t="str">
        <f>IFERROR(__xludf.DUMMYFUNCTION("REGEXREPLACE(C16224,""-\d+(.*)|--\d+(.*)"","""")"),"SAINT-REMY")</f>
        <v>SAINT-REMY</v>
      </c>
      <c r="E16224" s="38" t="s">
        <v>465</v>
      </c>
      <c r="F16224" s="38" t="s">
        <v>94</v>
      </c>
      <c r="G16224" s="49" t="str">
        <f t="shared" si="1"/>
        <v>12200</v>
      </c>
      <c r="H16224" s="49">
        <f t="shared" si="2"/>
        <v>12242</v>
      </c>
    </row>
    <row r="16225">
      <c r="A16225" s="48" t="s">
        <v>15775</v>
      </c>
      <c r="B16225" s="38">
        <v>62839.0</v>
      </c>
      <c r="C16225" s="38" t="s">
        <v>20608</v>
      </c>
      <c r="D16225" s="38" t="str">
        <f>IFERROR(__xludf.DUMMYFUNCTION("REGEXREPLACE(C16225,""-\d+(.*)|--\d+(.*)"","""")"),"VAULX-VRAUCOURT")</f>
        <v>VAULX-VRAUCOURT</v>
      </c>
      <c r="E16225" s="38" t="s">
        <v>109</v>
      </c>
      <c r="F16225" s="38" t="s">
        <v>86</v>
      </c>
      <c r="G16225" s="49" t="str">
        <f t="shared" si="1"/>
        <v>62159</v>
      </c>
      <c r="H16225" s="49">
        <f t="shared" si="2"/>
        <v>62839</v>
      </c>
    </row>
    <row r="16226">
      <c r="A16226" s="48" t="s">
        <v>12114</v>
      </c>
      <c r="B16226" s="38">
        <v>77431.0</v>
      </c>
      <c r="C16226" s="38" t="s">
        <v>20609</v>
      </c>
      <c r="D16226" s="38" t="str">
        <f>IFERROR(__xludf.DUMMYFUNCTION("REGEXREPLACE(C16226,""-\d+(.*)|--\d+(.*)"","""")"),"SAINT-PIERRE-LES-NEMOURS")</f>
        <v>SAINT-PIERRE-LES-NEMOURS</v>
      </c>
      <c r="E16226" s="38" t="s">
        <v>244</v>
      </c>
      <c r="F16226" s="38" t="s">
        <v>245</v>
      </c>
      <c r="G16226" s="49" t="str">
        <f t="shared" si="1"/>
        <v>77140</v>
      </c>
      <c r="H16226" s="49">
        <f t="shared" si="2"/>
        <v>77431</v>
      </c>
    </row>
    <row r="16227">
      <c r="A16227" s="48" t="s">
        <v>20610</v>
      </c>
      <c r="B16227" s="38">
        <v>47246.0</v>
      </c>
      <c r="C16227" s="38" t="s">
        <v>20611</v>
      </c>
      <c r="D16227" s="38" t="str">
        <f>IFERROR(__xludf.DUMMYFUNCTION("REGEXREPLACE(C16227,""-\d+(.*)|--\d+(.*)"","""")"),"SAINT-HILAIRE-DE-LUSIGNAN")</f>
        <v>SAINT-HILAIRE-DE-LUSIGNAN</v>
      </c>
      <c r="E16227" s="38" t="s">
        <v>251</v>
      </c>
      <c r="F16227" s="38" t="s">
        <v>252</v>
      </c>
      <c r="G16227" s="49" t="str">
        <f t="shared" si="1"/>
        <v>47450</v>
      </c>
      <c r="H16227" s="49">
        <f t="shared" si="2"/>
        <v>47246</v>
      </c>
    </row>
    <row r="16228">
      <c r="A16228" s="48" t="s">
        <v>3961</v>
      </c>
      <c r="B16228" s="38">
        <v>19254.0</v>
      </c>
      <c r="C16228" s="38" t="s">
        <v>20612</v>
      </c>
      <c r="D16228" s="38" t="str">
        <f>IFERROR(__xludf.DUMMYFUNCTION("REGEXREPLACE(C16228,""-\d+(.*)|--\d+(.*)"","""")"),"SEGUR-LE-CHATEAU")</f>
        <v>SEGUR-LE-CHATEAU</v>
      </c>
      <c r="E16228" s="38" t="s">
        <v>271</v>
      </c>
      <c r="F16228" s="38" t="s">
        <v>98</v>
      </c>
      <c r="G16228" s="49" t="str">
        <f t="shared" si="1"/>
        <v>19230</v>
      </c>
      <c r="H16228" s="49">
        <f t="shared" si="2"/>
        <v>19254</v>
      </c>
    </row>
    <row r="16229">
      <c r="A16229" s="48" t="s">
        <v>4752</v>
      </c>
      <c r="B16229" s="38">
        <v>33118.0</v>
      </c>
      <c r="C16229" s="38" t="s">
        <v>20613</v>
      </c>
      <c r="D16229" s="38" t="str">
        <f>IFERROR(__xludf.DUMMYFUNCTION("REGEXREPLACE(C16229,""-\d+(.*)|--\d+(.*)"","""")"),"CENAC")</f>
        <v>CENAC</v>
      </c>
      <c r="E16229" s="38" t="s">
        <v>462</v>
      </c>
      <c r="F16229" s="38" t="s">
        <v>252</v>
      </c>
      <c r="G16229" s="49" t="str">
        <f t="shared" si="1"/>
        <v>33360</v>
      </c>
      <c r="H16229" s="49">
        <f t="shared" si="2"/>
        <v>33118</v>
      </c>
    </row>
    <row r="16230">
      <c r="A16230" s="48" t="s">
        <v>6948</v>
      </c>
      <c r="B16230" s="38">
        <v>17364.0</v>
      </c>
      <c r="C16230" s="38" t="s">
        <v>20614</v>
      </c>
      <c r="D16230" s="38" t="str">
        <f>IFERROR(__xludf.DUMMYFUNCTION("REGEXREPLACE(C16230,""-\d+(.*)|--\d+(.*)"","""")"),"SAINT-MARTIAL-SUR-NE")</f>
        <v>SAINT-MARTIAL-SUR-NE</v>
      </c>
      <c r="E16230" s="38" t="s">
        <v>488</v>
      </c>
      <c r="F16230" s="38" t="s">
        <v>338</v>
      </c>
      <c r="G16230" s="49" t="str">
        <f t="shared" si="1"/>
        <v>17520</v>
      </c>
      <c r="H16230" s="49">
        <f t="shared" si="2"/>
        <v>17364</v>
      </c>
    </row>
    <row r="16231">
      <c r="A16231" s="48" t="s">
        <v>16314</v>
      </c>
      <c r="B16231" s="38">
        <v>10052.0</v>
      </c>
      <c r="C16231" s="38" t="s">
        <v>20615</v>
      </c>
      <c r="D16231" s="38" t="str">
        <f>IFERROR(__xludf.DUMMYFUNCTION("REGEXREPLACE(C16231,""-\d+(.*)|--\d+(.*)"","""")"),"BOULAGES")</f>
        <v>BOULAGES</v>
      </c>
      <c r="E16231" s="38" t="s">
        <v>147</v>
      </c>
      <c r="F16231" s="38" t="s">
        <v>130</v>
      </c>
      <c r="G16231" s="49" t="str">
        <f t="shared" si="1"/>
        <v>10380</v>
      </c>
      <c r="H16231" s="49">
        <f t="shared" si="2"/>
        <v>10052</v>
      </c>
    </row>
    <row r="16232">
      <c r="A16232" s="48" t="s">
        <v>2159</v>
      </c>
      <c r="B16232" s="38">
        <v>57572.0</v>
      </c>
      <c r="C16232" s="38" t="s">
        <v>20583</v>
      </c>
      <c r="D16232" s="38" t="str">
        <f>IFERROR(__xludf.DUMMYFUNCTION("REGEXREPLACE(C16232,""-\d+(.*)|--\d+(.*)"","""")"),"REMILLY")</f>
        <v>REMILLY</v>
      </c>
      <c r="E16232" s="38" t="s">
        <v>303</v>
      </c>
      <c r="F16232" s="38" t="s">
        <v>195</v>
      </c>
      <c r="G16232" s="49" t="str">
        <f t="shared" si="1"/>
        <v>57580</v>
      </c>
      <c r="H16232" s="49">
        <f t="shared" si="2"/>
        <v>57572</v>
      </c>
    </row>
    <row r="16233">
      <c r="A16233" s="48" t="s">
        <v>20221</v>
      </c>
      <c r="B16233" s="38">
        <v>27119.0</v>
      </c>
      <c r="C16233" s="38" t="s">
        <v>20616</v>
      </c>
      <c r="D16233" s="38" t="str">
        <f>IFERROR(__xludf.DUMMYFUNCTION("REGEXREPLACE(C16233,""-\d+(.*)|--\d+(.*)"","""")"),"BUEIL")</f>
        <v>BUEIL</v>
      </c>
      <c r="E16233" s="38" t="s">
        <v>241</v>
      </c>
      <c r="F16233" s="38" t="s">
        <v>134</v>
      </c>
      <c r="G16233" s="49" t="str">
        <f t="shared" si="1"/>
        <v>27730</v>
      </c>
      <c r="H16233" s="49">
        <f t="shared" si="2"/>
        <v>27119</v>
      </c>
    </row>
    <row r="16234">
      <c r="A16234" s="48" t="s">
        <v>16816</v>
      </c>
      <c r="B16234" s="38">
        <v>89437.0</v>
      </c>
      <c r="C16234" s="38" t="s">
        <v>20617</v>
      </c>
      <c r="D16234" s="38" t="str">
        <f>IFERROR(__xludf.DUMMYFUNCTION("REGEXREPLACE(C16234,""-\d+(.*)|--\d+(.*)"","""")"),"VENOUSE")</f>
        <v>VENOUSE</v>
      </c>
      <c r="E16234" s="38" t="s">
        <v>275</v>
      </c>
      <c r="F16234" s="38" t="s">
        <v>106</v>
      </c>
      <c r="G16234" s="49" t="str">
        <f t="shared" si="1"/>
        <v>89230</v>
      </c>
      <c r="H16234" s="49">
        <f t="shared" si="2"/>
        <v>89437</v>
      </c>
    </row>
    <row r="16235">
      <c r="A16235" s="48" t="s">
        <v>2534</v>
      </c>
      <c r="B16235" s="38">
        <v>27572.0</v>
      </c>
      <c r="C16235" s="38" t="s">
        <v>20618</v>
      </c>
      <c r="D16235" s="38" t="str">
        <f>IFERROR(__xludf.DUMMYFUNCTION("REGEXREPLACE(C16235,""-\d+(.*)|--\d+(.*)"","""")"),"SAINT-MESLIN-DU-BOSC")</f>
        <v>SAINT-MESLIN-DU-BOSC</v>
      </c>
      <c r="E16235" s="38" t="s">
        <v>241</v>
      </c>
      <c r="F16235" s="38" t="s">
        <v>134</v>
      </c>
      <c r="G16235" s="49" t="str">
        <f t="shared" si="1"/>
        <v>27370</v>
      </c>
      <c r="H16235" s="49">
        <f t="shared" si="2"/>
        <v>27572</v>
      </c>
    </row>
    <row r="16236">
      <c r="A16236" s="48" t="s">
        <v>3395</v>
      </c>
      <c r="B16236" s="38">
        <v>40032.0</v>
      </c>
      <c r="C16236" s="38" t="s">
        <v>20619</v>
      </c>
      <c r="D16236" s="38" t="str">
        <f>IFERROR(__xludf.DUMMYFUNCTION("REGEXREPLACE(C16236,""-\d+(.*)|--\d+(.*)"","""")"),"BELHADE")</f>
        <v>BELHADE</v>
      </c>
      <c r="E16236" s="38" t="s">
        <v>281</v>
      </c>
      <c r="F16236" s="38" t="s">
        <v>252</v>
      </c>
      <c r="G16236" s="49" t="str">
        <f t="shared" si="1"/>
        <v>40410</v>
      </c>
      <c r="H16236" s="49">
        <f t="shared" si="2"/>
        <v>40032</v>
      </c>
    </row>
    <row r="16237">
      <c r="A16237" s="48" t="s">
        <v>4992</v>
      </c>
      <c r="B16237" s="38">
        <v>80765.0</v>
      </c>
      <c r="C16237" s="38" t="s">
        <v>20620</v>
      </c>
      <c r="D16237" s="38" t="str">
        <f>IFERROR(__xludf.DUMMYFUNCTION("REGEXREPLACE(C16237,""-\d+(.*)|--\d+(.*)"","""")"),"TOURS-EN-VIMEU")</f>
        <v>TOURS-EN-VIMEU</v>
      </c>
      <c r="E16237" s="38" t="s">
        <v>224</v>
      </c>
      <c r="F16237" s="38" t="s">
        <v>113</v>
      </c>
      <c r="G16237" s="49" t="str">
        <f t="shared" si="1"/>
        <v>80210</v>
      </c>
      <c r="H16237" s="49">
        <f t="shared" si="2"/>
        <v>80765</v>
      </c>
    </row>
    <row r="16238">
      <c r="A16238" s="48" t="s">
        <v>1997</v>
      </c>
      <c r="B16238" s="38">
        <v>21562.0</v>
      </c>
      <c r="C16238" s="38" t="s">
        <v>20621</v>
      </c>
      <c r="D16238" s="38" t="str">
        <f>IFERROR(__xludf.DUMMYFUNCTION("REGEXREPLACE(C16238,""-\d+(.*)|--\d+(.*)"","""")"),"SAINT-MAURICE-SUR-VINGEANNE")</f>
        <v>SAINT-MAURICE-SUR-VINGEANNE</v>
      </c>
      <c r="E16238" s="38" t="s">
        <v>105</v>
      </c>
      <c r="F16238" s="38" t="s">
        <v>106</v>
      </c>
      <c r="G16238" s="49" t="str">
        <f t="shared" si="1"/>
        <v>21610</v>
      </c>
      <c r="H16238" s="49">
        <f t="shared" si="2"/>
        <v>21562</v>
      </c>
    </row>
    <row r="16239">
      <c r="A16239" s="48" t="s">
        <v>7474</v>
      </c>
      <c r="B16239" s="38">
        <v>42117.0</v>
      </c>
      <c r="C16239" s="38" t="s">
        <v>20622</v>
      </c>
      <c r="D16239" s="38" t="str">
        <f>IFERROR(__xludf.DUMMYFUNCTION("REGEXREPLACE(C16239,""-\d+(.*)|--\d+(.*)"","""")"),"LAVIEU")</f>
        <v>LAVIEU</v>
      </c>
      <c r="E16239" s="38" t="s">
        <v>166</v>
      </c>
      <c r="F16239" s="38" t="s">
        <v>102</v>
      </c>
      <c r="G16239" s="49" t="str">
        <f t="shared" si="1"/>
        <v>42560</v>
      </c>
      <c r="H16239" s="49">
        <f t="shared" si="2"/>
        <v>42117</v>
      </c>
    </row>
    <row r="16240">
      <c r="A16240" s="48" t="s">
        <v>20623</v>
      </c>
      <c r="B16240" s="38">
        <v>97231.0</v>
      </c>
      <c r="C16240" s="38" t="s">
        <v>20624</v>
      </c>
      <c r="D16240" s="38" t="str">
        <f>IFERROR(__xludf.DUMMYFUNCTION("REGEXREPLACE(C16240,""-\d+(.*)|--\d+(.*)"","""")"),"LES TROIS-ILETS")</f>
        <v>LES TROIS-ILETS</v>
      </c>
      <c r="E16240" s="38" t="s">
        <v>2282</v>
      </c>
      <c r="F16240" s="38" t="s">
        <v>2282</v>
      </c>
      <c r="G16240" s="49" t="str">
        <f t="shared" si="1"/>
        <v>97229</v>
      </c>
      <c r="H16240" s="49">
        <f t="shared" si="2"/>
        <v>97231</v>
      </c>
    </row>
    <row r="16241">
      <c r="A16241" s="48" t="s">
        <v>1557</v>
      </c>
      <c r="B16241" s="38">
        <v>5064.0</v>
      </c>
      <c r="C16241" s="38" t="s">
        <v>20625</v>
      </c>
      <c r="D16241" s="38" t="str">
        <f>IFERROR(__xludf.DUMMYFUNCTION("REGEXREPLACE(C16241,""-\d+(.*)|--\d+(.*)"","""")"),"LA CHAPELLE-EN-VALGAUDEMAR")</f>
        <v>LA CHAPELLE-EN-VALGAUDEMAR</v>
      </c>
      <c r="E16241" s="38" t="s">
        <v>706</v>
      </c>
      <c r="F16241" s="38" t="s">
        <v>228</v>
      </c>
      <c r="G16241" s="49" t="str">
        <f t="shared" si="1"/>
        <v>05800</v>
      </c>
      <c r="H16241" s="49" t="str">
        <f t="shared" si="2"/>
        <v>05064</v>
      </c>
    </row>
    <row r="16242">
      <c r="A16242" s="48" t="s">
        <v>1276</v>
      </c>
      <c r="B16242" s="38">
        <v>64366.0</v>
      </c>
      <c r="C16242" s="38" t="s">
        <v>20626</v>
      </c>
      <c r="D16242" s="38" t="str">
        <f>IFERROR(__xludf.DUMMYFUNCTION("REGEXREPLACE(C16242,""-\d+(.*)|--\d+(.*)"","""")"),"MASCARAAS-HARON")</f>
        <v>MASCARAAS-HARON</v>
      </c>
      <c r="E16242" s="38" t="s">
        <v>268</v>
      </c>
      <c r="F16242" s="38" t="s">
        <v>252</v>
      </c>
      <c r="G16242" s="49" t="str">
        <f t="shared" si="1"/>
        <v>64330</v>
      </c>
      <c r="H16242" s="49">
        <f t="shared" si="2"/>
        <v>64366</v>
      </c>
    </row>
    <row r="16243">
      <c r="A16243" s="48" t="s">
        <v>8865</v>
      </c>
      <c r="B16243" s="38">
        <v>42280.0</v>
      </c>
      <c r="C16243" s="38" t="s">
        <v>20627</v>
      </c>
      <c r="D16243" s="38" t="str">
        <f>IFERROR(__xludf.DUMMYFUNCTION("REGEXREPLACE(C16243,""-\d+(.*)|--\d+(.*)"","""")"),"SAINT-REGIS-DU-COIN")</f>
        <v>SAINT-REGIS-DU-COIN</v>
      </c>
      <c r="E16243" s="38" t="s">
        <v>166</v>
      </c>
      <c r="F16243" s="38" t="s">
        <v>102</v>
      </c>
      <c r="G16243" s="49" t="str">
        <f t="shared" si="1"/>
        <v>42660</v>
      </c>
      <c r="H16243" s="49">
        <f t="shared" si="2"/>
        <v>42280</v>
      </c>
    </row>
    <row r="16244">
      <c r="A16244" s="48" t="s">
        <v>9234</v>
      </c>
      <c r="B16244" s="38">
        <v>16403.0</v>
      </c>
      <c r="C16244" s="38" t="s">
        <v>20628</v>
      </c>
      <c r="D16244" s="38" t="str">
        <f>IFERROR(__xludf.DUMMYFUNCTION("REGEXREPLACE(C16244,""-\d+(.*)|--\d+(.*)"","""")"),"LE VIEUX-CERIER")</f>
        <v>LE VIEUX-CERIER</v>
      </c>
      <c r="E16244" s="38" t="s">
        <v>429</v>
      </c>
      <c r="F16244" s="38" t="s">
        <v>338</v>
      </c>
      <c r="G16244" s="49" t="str">
        <f t="shared" si="1"/>
        <v>16350</v>
      </c>
      <c r="H16244" s="49">
        <f t="shared" si="2"/>
        <v>16403</v>
      </c>
    </row>
    <row r="16245">
      <c r="A16245" s="48" t="s">
        <v>8359</v>
      </c>
      <c r="B16245" s="38">
        <v>89478.0</v>
      </c>
      <c r="C16245" s="38" t="s">
        <v>20249</v>
      </c>
      <c r="D16245" s="38" t="str">
        <f>IFERROR(__xludf.DUMMYFUNCTION("REGEXREPLACE(C16245,""-\d+(.*)|--\d+(.*)"","""")"),"VINCELLES")</f>
        <v>VINCELLES</v>
      </c>
      <c r="E16245" s="38" t="s">
        <v>275</v>
      </c>
      <c r="F16245" s="38" t="s">
        <v>106</v>
      </c>
      <c r="G16245" s="49" t="str">
        <f t="shared" si="1"/>
        <v>89290</v>
      </c>
      <c r="H16245" s="49">
        <f t="shared" si="2"/>
        <v>89478</v>
      </c>
    </row>
    <row r="16246">
      <c r="A16246" s="48" t="s">
        <v>7590</v>
      </c>
      <c r="B16246" s="38">
        <v>85200.0</v>
      </c>
      <c r="C16246" s="38" t="s">
        <v>20629</v>
      </c>
      <c r="D16246" s="38" t="str">
        <f>IFERROR(__xludf.DUMMYFUNCTION("REGEXREPLACE(C16246,""-\d+(.*)|--\d+(.*)"","""")"),"SAINT-AVAUGOURD-DES-LANDES")</f>
        <v>SAINT-AVAUGOURD-DES-LANDES</v>
      </c>
      <c r="E16246" s="38" t="s">
        <v>179</v>
      </c>
      <c r="F16246" s="38" t="s">
        <v>180</v>
      </c>
      <c r="G16246" s="49" t="str">
        <f t="shared" si="1"/>
        <v>85540</v>
      </c>
      <c r="H16246" s="49">
        <f t="shared" si="2"/>
        <v>85200</v>
      </c>
    </row>
    <row r="16247">
      <c r="A16247" s="48" t="s">
        <v>2190</v>
      </c>
      <c r="B16247" s="38">
        <v>10382.0</v>
      </c>
      <c r="C16247" s="38" t="s">
        <v>20630</v>
      </c>
      <c r="D16247" s="38" t="str">
        <f>IFERROR(__xludf.DUMMYFUNCTION("REGEXREPLACE(C16247,""-\d+(.*)|--\d+(.*)"","""")"),"TRAINEL")</f>
        <v>TRAINEL</v>
      </c>
      <c r="E16247" s="38" t="s">
        <v>147</v>
      </c>
      <c r="F16247" s="38" t="s">
        <v>130</v>
      </c>
      <c r="G16247" s="49" t="str">
        <f t="shared" si="1"/>
        <v>10400</v>
      </c>
      <c r="H16247" s="49">
        <f t="shared" si="2"/>
        <v>10382</v>
      </c>
    </row>
    <row r="16248">
      <c r="A16248" s="48" t="s">
        <v>12083</v>
      </c>
      <c r="B16248" s="38">
        <v>26224.0</v>
      </c>
      <c r="C16248" s="38" t="s">
        <v>20631</v>
      </c>
      <c r="D16248" s="38" t="str">
        <f>IFERROR(__xludf.DUMMYFUNCTION("REGEXREPLACE(C16248,""-\d+(.*)|--\d+(.*)"","""")"),"OURCHES")</f>
        <v>OURCHES</v>
      </c>
      <c r="E16248" s="38" t="s">
        <v>126</v>
      </c>
      <c r="F16248" s="38" t="s">
        <v>102</v>
      </c>
      <c r="G16248" s="49" t="str">
        <f t="shared" si="1"/>
        <v>26120</v>
      </c>
      <c r="H16248" s="49">
        <f t="shared" si="2"/>
        <v>26224</v>
      </c>
    </row>
    <row r="16249">
      <c r="A16249" s="48" t="s">
        <v>4679</v>
      </c>
      <c r="B16249" s="38">
        <v>17288.0</v>
      </c>
      <c r="C16249" s="38" t="s">
        <v>20632</v>
      </c>
      <c r="D16249" s="38" t="str">
        <f>IFERROR(__xludf.DUMMYFUNCTION("REGEXREPLACE(C16249,""-\d+(.*)|--\d+(.*)"","""")"),"POURSAY-GARNAUD")</f>
        <v>POURSAY-GARNAUD</v>
      </c>
      <c r="E16249" s="38" t="s">
        <v>488</v>
      </c>
      <c r="F16249" s="38" t="s">
        <v>338</v>
      </c>
      <c r="G16249" s="49" t="str">
        <f t="shared" si="1"/>
        <v>17400</v>
      </c>
      <c r="H16249" s="49">
        <f t="shared" si="2"/>
        <v>17288</v>
      </c>
    </row>
    <row r="16250">
      <c r="A16250" s="48" t="s">
        <v>3930</v>
      </c>
      <c r="B16250" s="38">
        <v>12250.0</v>
      </c>
      <c r="C16250" s="38" t="s">
        <v>20633</v>
      </c>
      <c r="D16250" s="38" t="str">
        <f>IFERROR(__xludf.DUMMYFUNCTION("REGEXREPLACE(C16250,""-\d+(.*)|--\d+(.*)"","""")"),"SAINT-SYMPHORIEN-DE-THENIERES")</f>
        <v>SAINT-SYMPHORIEN-DE-THENIERES</v>
      </c>
      <c r="E16250" s="38" t="s">
        <v>465</v>
      </c>
      <c r="F16250" s="38" t="s">
        <v>94</v>
      </c>
      <c r="G16250" s="49" t="str">
        <f t="shared" si="1"/>
        <v>12460</v>
      </c>
      <c r="H16250" s="49">
        <f t="shared" si="2"/>
        <v>12250</v>
      </c>
    </row>
    <row r="16251">
      <c r="A16251" s="48" t="s">
        <v>960</v>
      </c>
      <c r="B16251" s="38">
        <v>28216.0</v>
      </c>
      <c r="C16251" s="38" t="s">
        <v>20634</v>
      </c>
      <c r="D16251" s="38" t="str">
        <f>IFERROR(__xludf.DUMMYFUNCTION("REGEXREPLACE(C16251,""-\d+(.*)|--\d+(.*)"","""")"),"LOUVILLIERS-EN-DROUAIS")</f>
        <v>LOUVILLIERS-EN-DROUAIS</v>
      </c>
      <c r="E16251" s="38" t="s">
        <v>300</v>
      </c>
      <c r="F16251" s="38" t="s">
        <v>123</v>
      </c>
      <c r="G16251" s="49" t="str">
        <f t="shared" si="1"/>
        <v>28500</v>
      </c>
      <c r="H16251" s="49">
        <f t="shared" si="2"/>
        <v>28216</v>
      </c>
    </row>
    <row r="16252">
      <c r="A16252" s="48" t="s">
        <v>870</v>
      </c>
      <c r="B16252" s="38">
        <v>22269.0</v>
      </c>
      <c r="C16252" s="38" t="s">
        <v>20635</v>
      </c>
      <c r="D16252" s="38" t="str">
        <f>IFERROR(__xludf.DUMMYFUNCTION("REGEXREPLACE(C16252,""-\d+(.*)|--\d+(.*)"","""")"),"RUNAN")</f>
        <v>RUNAN</v>
      </c>
      <c r="E16252" s="38" t="s">
        <v>89</v>
      </c>
      <c r="F16252" s="38" t="s">
        <v>90</v>
      </c>
      <c r="G16252" s="49" t="str">
        <f t="shared" si="1"/>
        <v>22260</v>
      </c>
      <c r="H16252" s="49">
        <f t="shared" si="2"/>
        <v>22269</v>
      </c>
    </row>
    <row r="16253">
      <c r="A16253" s="48" t="s">
        <v>2748</v>
      </c>
      <c r="B16253" s="38">
        <v>32111.0</v>
      </c>
      <c r="C16253" s="38" t="s">
        <v>20636</v>
      </c>
      <c r="D16253" s="38" t="str">
        <f>IFERROR(__xludf.DUMMYFUNCTION("REGEXREPLACE(C16253,""-\d+(.*)|--\d+(.*)"","""")"),"COURTIES")</f>
        <v>COURTIES</v>
      </c>
      <c r="E16253" s="38" t="s">
        <v>440</v>
      </c>
      <c r="F16253" s="38" t="s">
        <v>94</v>
      </c>
      <c r="G16253" s="49" t="str">
        <f t="shared" si="1"/>
        <v>32230</v>
      </c>
      <c r="H16253" s="49">
        <f t="shared" si="2"/>
        <v>32111</v>
      </c>
    </row>
    <row r="16254">
      <c r="A16254" s="48" t="s">
        <v>20111</v>
      </c>
      <c r="B16254" s="38">
        <v>59241.0</v>
      </c>
      <c r="C16254" s="38" t="s">
        <v>20637</v>
      </c>
      <c r="D16254" s="38" t="str">
        <f>IFERROR(__xludf.DUMMYFUNCTION("REGEXREPLACE(C16254,""-\d+(.*)|--\d+(.*)"","""")"),"FLOYON")</f>
        <v>FLOYON</v>
      </c>
      <c r="E16254" s="38" t="s">
        <v>85</v>
      </c>
      <c r="F16254" s="38" t="s">
        <v>86</v>
      </c>
      <c r="G16254" s="49" t="str">
        <f t="shared" si="1"/>
        <v>59219</v>
      </c>
      <c r="H16254" s="49">
        <f t="shared" si="2"/>
        <v>59241</v>
      </c>
    </row>
    <row r="16255">
      <c r="A16255" s="48" t="s">
        <v>1616</v>
      </c>
      <c r="B16255" s="38">
        <v>10113.0</v>
      </c>
      <c r="C16255" s="38" t="s">
        <v>20638</v>
      </c>
      <c r="D16255" s="38" t="str">
        <f>IFERROR(__xludf.DUMMYFUNCTION("REGEXREPLACE(C16255,""-\d+(.*)|--\d+(.*)"","""")"),"COUVIGNON")</f>
        <v>COUVIGNON</v>
      </c>
      <c r="E16255" s="38" t="s">
        <v>147</v>
      </c>
      <c r="F16255" s="38" t="s">
        <v>130</v>
      </c>
      <c r="G16255" s="49" t="str">
        <f t="shared" si="1"/>
        <v>10200</v>
      </c>
      <c r="H16255" s="49">
        <f t="shared" si="2"/>
        <v>10113</v>
      </c>
    </row>
    <row r="16256">
      <c r="A16256" s="48" t="s">
        <v>2487</v>
      </c>
      <c r="B16256" s="38">
        <v>70197.0</v>
      </c>
      <c r="C16256" s="38" t="s">
        <v>20639</v>
      </c>
      <c r="D16256" s="38" t="str">
        <f>IFERROR(__xludf.DUMMYFUNCTION("REGEXREPLACE(C16256,""-\d+(.*)|--\d+(.*)"","""")"),"DAMPIERRE-SUR-LINOTTE")</f>
        <v>DAMPIERRE-SUR-LINOTTE</v>
      </c>
      <c r="E16256" s="38" t="s">
        <v>956</v>
      </c>
      <c r="F16256" s="38" t="s">
        <v>214</v>
      </c>
      <c r="G16256" s="49" t="str">
        <f t="shared" si="1"/>
        <v>70230</v>
      </c>
      <c r="H16256" s="49">
        <f t="shared" si="2"/>
        <v>70197</v>
      </c>
    </row>
    <row r="16257">
      <c r="A16257" s="48" t="s">
        <v>5237</v>
      </c>
      <c r="B16257" s="38">
        <v>69001.0</v>
      </c>
      <c r="C16257" s="38" t="s">
        <v>20640</v>
      </c>
      <c r="D16257" s="38" t="str">
        <f>IFERROR(__xludf.DUMMYFUNCTION("REGEXREPLACE(C16257,""-\d+(.*)|--\d+(.*)"","""")"),"AFFOUX")</f>
        <v>AFFOUX</v>
      </c>
      <c r="E16257" s="38" t="s">
        <v>350</v>
      </c>
      <c r="F16257" s="38" t="s">
        <v>102</v>
      </c>
      <c r="G16257" s="49" t="str">
        <f t="shared" si="1"/>
        <v>69170</v>
      </c>
      <c r="H16257" s="49">
        <f t="shared" si="2"/>
        <v>69001</v>
      </c>
    </row>
    <row r="16258">
      <c r="A16258" s="48" t="s">
        <v>20641</v>
      </c>
      <c r="B16258" s="38">
        <v>38439.0</v>
      </c>
      <c r="C16258" s="38" t="s">
        <v>20642</v>
      </c>
      <c r="D16258" s="38" t="str">
        <f>IFERROR(__xludf.DUMMYFUNCTION("REGEXREPLACE(C16258,""-\d+(.*)|--\d+(.*)"","""")"),"SAINT-PIERRE-D'ALLEVARD")</f>
        <v>SAINT-PIERRE-D'ALLEVARD</v>
      </c>
      <c r="E16258" s="38" t="s">
        <v>101</v>
      </c>
      <c r="F16258" s="38" t="s">
        <v>102</v>
      </c>
      <c r="G16258" s="49" t="str">
        <f t="shared" si="1"/>
        <v>38830</v>
      </c>
      <c r="H16258" s="49">
        <f t="shared" si="2"/>
        <v>38439</v>
      </c>
    </row>
    <row r="16259">
      <c r="A16259" s="48" t="s">
        <v>8711</v>
      </c>
      <c r="B16259" s="38">
        <v>33083.0</v>
      </c>
      <c r="C16259" s="38" t="s">
        <v>20643</v>
      </c>
      <c r="D16259" s="38" t="str">
        <f>IFERROR(__xludf.DUMMYFUNCTION("REGEXREPLACE(C16259,""-\d+(.*)|--\d+(.*)"","""")"),"CAMARSAC")</f>
        <v>CAMARSAC</v>
      </c>
      <c r="E16259" s="38" t="s">
        <v>462</v>
      </c>
      <c r="F16259" s="38" t="s">
        <v>252</v>
      </c>
      <c r="G16259" s="49" t="str">
        <f t="shared" si="1"/>
        <v>33750</v>
      </c>
      <c r="H16259" s="49">
        <f t="shared" si="2"/>
        <v>33083</v>
      </c>
    </row>
    <row r="16260">
      <c r="A16260" s="48" t="s">
        <v>10710</v>
      </c>
      <c r="B16260" s="38">
        <v>77484.0</v>
      </c>
      <c r="C16260" s="38" t="s">
        <v>20644</v>
      </c>
      <c r="D16260" s="38" t="str">
        <f>IFERROR(__xludf.DUMMYFUNCTION("REGEXREPLACE(C16260,""-\d+(.*)|--\d+(.*)"","""")"),"VAUCOURTOIS")</f>
        <v>VAUCOURTOIS</v>
      </c>
      <c r="E16260" s="38" t="s">
        <v>244</v>
      </c>
      <c r="F16260" s="38" t="s">
        <v>245</v>
      </c>
      <c r="G16260" s="49" t="str">
        <f t="shared" si="1"/>
        <v>77580</v>
      </c>
      <c r="H16260" s="49">
        <f t="shared" si="2"/>
        <v>77484</v>
      </c>
    </row>
    <row r="16261">
      <c r="A16261" s="48" t="s">
        <v>5674</v>
      </c>
      <c r="B16261" s="38">
        <v>55447.0</v>
      </c>
      <c r="C16261" s="38" t="s">
        <v>20645</v>
      </c>
      <c r="D16261" s="38" t="str">
        <f>IFERROR(__xludf.DUMMYFUNCTION("REGEXREPLACE(C16261,""-\d+(.*)|--\d+(.*)"","""")"),"RUPT-AUX-NONAINS")</f>
        <v>RUPT-AUX-NONAINS</v>
      </c>
      <c r="E16261" s="38" t="s">
        <v>322</v>
      </c>
      <c r="F16261" s="38" t="s">
        <v>195</v>
      </c>
      <c r="G16261" s="49" t="str">
        <f t="shared" si="1"/>
        <v>55170</v>
      </c>
      <c r="H16261" s="49">
        <f t="shared" si="2"/>
        <v>55447</v>
      </c>
    </row>
    <row r="16262">
      <c r="A16262" s="48" t="s">
        <v>4402</v>
      </c>
      <c r="B16262" s="38">
        <v>54540.0</v>
      </c>
      <c r="C16262" s="38" t="s">
        <v>20646</v>
      </c>
      <c r="D16262" s="38" t="str">
        <f>IFERROR(__xludf.DUMMYFUNCTION("REGEXREPLACE(C16262,""-\d+(.*)|--\d+(.*)"","""")"),"VAL-ET-CHATILLON")</f>
        <v>VAL-ET-CHATILLON</v>
      </c>
      <c r="E16262" s="38" t="s">
        <v>548</v>
      </c>
      <c r="F16262" s="38" t="s">
        <v>195</v>
      </c>
      <c r="G16262" s="49" t="str">
        <f t="shared" si="1"/>
        <v>54480</v>
      </c>
      <c r="H16262" s="49">
        <f t="shared" si="2"/>
        <v>54540</v>
      </c>
    </row>
    <row r="16263">
      <c r="A16263" s="48" t="s">
        <v>3156</v>
      </c>
      <c r="B16263" s="38">
        <v>77492.0</v>
      </c>
      <c r="C16263" s="38" t="s">
        <v>20647</v>
      </c>
      <c r="D16263" s="38" t="str">
        <f>IFERROR(__xludf.DUMMYFUNCTION("REGEXREPLACE(C16263,""-\d+(.*)|--\d+(.*)"","""")"),"VERDELOT")</f>
        <v>VERDELOT</v>
      </c>
      <c r="E16263" s="38" t="s">
        <v>244</v>
      </c>
      <c r="F16263" s="38" t="s">
        <v>245</v>
      </c>
      <c r="G16263" s="49" t="str">
        <f t="shared" si="1"/>
        <v>77510</v>
      </c>
      <c r="H16263" s="49">
        <f t="shared" si="2"/>
        <v>77492</v>
      </c>
    </row>
    <row r="16264">
      <c r="A16264" s="48" t="s">
        <v>5043</v>
      </c>
      <c r="B16264" s="38">
        <v>19075.0</v>
      </c>
      <c r="C16264" s="38" t="s">
        <v>20648</v>
      </c>
      <c r="D16264" s="38" t="str">
        <f>IFERROR(__xludf.DUMMYFUNCTION("REGEXREPLACE(C16264,""-\d+(.*)|--\d+(.*)"","""")"),"ESPAGNAC")</f>
        <v>ESPAGNAC</v>
      </c>
      <c r="E16264" s="38" t="s">
        <v>271</v>
      </c>
      <c r="F16264" s="38" t="s">
        <v>98</v>
      </c>
      <c r="G16264" s="49" t="str">
        <f t="shared" si="1"/>
        <v>19150</v>
      </c>
      <c r="H16264" s="49">
        <f t="shared" si="2"/>
        <v>19075</v>
      </c>
    </row>
    <row r="16265">
      <c r="A16265" s="48" t="s">
        <v>1446</v>
      </c>
      <c r="B16265" s="38">
        <v>76187.0</v>
      </c>
      <c r="C16265" s="38" t="s">
        <v>20649</v>
      </c>
      <c r="D16265" s="38" t="str">
        <f>IFERROR(__xludf.DUMMYFUNCTION("REGEXREPLACE(C16265,""-\d+(.*)|--\d+(.*)"","""")"),"CONTREMOULINS")</f>
        <v>CONTREMOULINS</v>
      </c>
      <c r="E16265" s="38" t="s">
        <v>133</v>
      </c>
      <c r="F16265" s="38" t="s">
        <v>134</v>
      </c>
      <c r="G16265" s="49" t="str">
        <f t="shared" si="1"/>
        <v>76400</v>
      </c>
      <c r="H16265" s="49">
        <f t="shared" si="2"/>
        <v>76187</v>
      </c>
    </row>
    <row r="16266">
      <c r="A16266" s="48" t="s">
        <v>9297</v>
      </c>
      <c r="B16266" s="38">
        <v>41103.0</v>
      </c>
      <c r="C16266" s="38" t="s">
        <v>20650</v>
      </c>
      <c r="D16266" s="38" t="str">
        <f>IFERROR(__xludf.DUMMYFUNCTION("REGEXREPLACE(C16266,""-\d+(.*)|--\d+(.*)"","""")"),"HUISSEAU-EN-BEAUCE")</f>
        <v>HUISSEAU-EN-BEAUCE</v>
      </c>
      <c r="E16266" s="38" t="s">
        <v>188</v>
      </c>
      <c r="F16266" s="38" t="s">
        <v>123</v>
      </c>
      <c r="G16266" s="49" t="str">
        <f t="shared" si="1"/>
        <v>41310</v>
      </c>
      <c r="H16266" s="49">
        <f t="shared" si="2"/>
        <v>41103</v>
      </c>
    </row>
    <row r="16267">
      <c r="A16267" s="48" t="s">
        <v>3422</v>
      </c>
      <c r="B16267" s="38">
        <v>32418.0</v>
      </c>
      <c r="C16267" s="38" t="s">
        <v>677</v>
      </c>
      <c r="D16267" s="38" t="str">
        <f>IFERROR(__xludf.DUMMYFUNCTION("REGEXREPLACE(C16267,""-\d+(.*)|--\d+(.*)"","""")"),"SAUVETERRE")</f>
        <v>SAUVETERRE</v>
      </c>
      <c r="E16267" s="38" t="s">
        <v>440</v>
      </c>
      <c r="F16267" s="38" t="s">
        <v>94</v>
      </c>
      <c r="G16267" s="49" t="str">
        <f t="shared" si="1"/>
        <v>32220</v>
      </c>
      <c r="H16267" s="49">
        <f t="shared" si="2"/>
        <v>32418</v>
      </c>
    </row>
    <row r="16268">
      <c r="A16268" s="48" t="s">
        <v>2268</v>
      </c>
      <c r="B16268" s="38">
        <v>55113.0</v>
      </c>
      <c r="C16268" s="38" t="s">
        <v>20651</v>
      </c>
      <c r="D16268" s="38" t="str">
        <f>IFERROR(__xludf.DUMMYFUNCTION("REGEXREPLACE(C16268,""-\d+(.*)|--\d+(.*)"","""")"),"CHEPPY")</f>
        <v>CHEPPY</v>
      </c>
      <c r="E16268" s="38" t="s">
        <v>322</v>
      </c>
      <c r="F16268" s="38" t="s">
        <v>195</v>
      </c>
      <c r="G16268" s="49" t="str">
        <f t="shared" si="1"/>
        <v>55270</v>
      </c>
      <c r="H16268" s="49">
        <f t="shared" si="2"/>
        <v>55113</v>
      </c>
    </row>
    <row r="16269">
      <c r="A16269" s="48" t="s">
        <v>3077</v>
      </c>
      <c r="B16269" s="38">
        <v>32249.0</v>
      </c>
      <c r="C16269" s="38" t="s">
        <v>17036</v>
      </c>
      <c r="D16269" s="38" t="str">
        <f>IFERROR(__xludf.DUMMYFUNCTION("REGEXREPLACE(C16269,""-\d+(.*)|--\d+(.*)"","""")"),"MAUVEZIN")</f>
        <v>MAUVEZIN</v>
      </c>
      <c r="E16269" s="38" t="s">
        <v>440</v>
      </c>
      <c r="F16269" s="38" t="s">
        <v>94</v>
      </c>
      <c r="G16269" s="49" t="str">
        <f t="shared" si="1"/>
        <v>32120</v>
      </c>
      <c r="H16269" s="49">
        <f t="shared" si="2"/>
        <v>32249</v>
      </c>
    </row>
    <row r="16270">
      <c r="A16270" s="48" t="s">
        <v>1693</v>
      </c>
      <c r="B16270" s="38">
        <v>24485.0</v>
      </c>
      <c r="C16270" s="38" t="s">
        <v>20652</v>
      </c>
      <c r="D16270" s="38" t="str">
        <f>IFERROR(__xludf.DUMMYFUNCTION("REGEXREPLACE(C16270,""-\d+(.*)|--\d+(.*)"","""")"),"SAINT-PIERRE-DE-COLE")</f>
        <v>SAINT-PIERRE-DE-COLE</v>
      </c>
      <c r="E16270" s="38" t="s">
        <v>261</v>
      </c>
      <c r="F16270" s="38" t="s">
        <v>252</v>
      </c>
      <c r="G16270" s="49" t="str">
        <f t="shared" si="1"/>
        <v>24800</v>
      </c>
      <c r="H16270" s="49">
        <f t="shared" si="2"/>
        <v>24485</v>
      </c>
    </row>
    <row r="16271">
      <c r="A16271" s="48" t="s">
        <v>20653</v>
      </c>
      <c r="B16271" s="38">
        <v>27333.0</v>
      </c>
      <c r="C16271" s="38" t="s">
        <v>20654</v>
      </c>
      <c r="D16271" s="38" t="str">
        <f>IFERROR(__xludf.DUMMYFUNCTION("REGEXREPLACE(C16271,""-\d+(.*)|--\d+(.*)"","""")"),"HEUDICOURT")</f>
        <v>HEUDICOURT</v>
      </c>
      <c r="E16271" s="38" t="s">
        <v>241</v>
      </c>
      <c r="F16271" s="38" t="s">
        <v>134</v>
      </c>
      <c r="G16271" s="49" t="str">
        <f t="shared" si="1"/>
        <v>27860</v>
      </c>
      <c r="H16271" s="49">
        <f t="shared" si="2"/>
        <v>27333</v>
      </c>
    </row>
    <row r="16272">
      <c r="A16272" s="48" t="s">
        <v>8934</v>
      </c>
      <c r="B16272" s="38">
        <v>68207.0</v>
      </c>
      <c r="C16272" s="38" t="s">
        <v>20655</v>
      </c>
      <c r="D16272" s="38" t="str">
        <f>IFERROR(__xludf.DUMMYFUNCTION("REGEXREPLACE(C16272,""-\d+(.*)|--\d+(.*)"","""")"),"MICHELBACH-LE-BAS")</f>
        <v>MICHELBACH-LE-BAS</v>
      </c>
      <c r="E16272" s="38" t="s">
        <v>150</v>
      </c>
      <c r="F16272" s="38" t="s">
        <v>151</v>
      </c>
      <c r="G16272" s="49" t="str">
        <f t="shared" si="1"/>
        <v>68730</v>
      </c>
      <c r="H16272" s="49">
        <f t="shared" si="2"/>
        <v>68207</v>
      </c>
    </row>
    <row r="16273">
      <c r="A16273" s="48" t="s">
        <v>2128</v>
      </c>
      <c r="B16273" s="38">
        <v>2453.0</v>
      </c>
      <c r="C16273" s="38" t="s">
        <v>20656</v>
      </c>
      <c r="D16273" s="38" t="str">
        <f>IFERROR(__xludf.DUMMYFUNCTION("REGEXREPLACE(C16273,""-\d+(.*)|--\d+(.*)"","""")"),"MAIZY")</f>
        <v>MAIZY</v>
      </c>
      <c r="E16273" s="38" t="s">
        <v>191</v>
      </c>
      <c r="F16273" s="38" t="s">
        <v>113</v>
      </c>
      <c r="G16273" s="49" t="str">
        <f t="shared" si="1"/>
        <v>02160</v>
      </c>
      <c r="H16273" s="49" t="str">
        <f t="shared" si="2"/>
        <v>02453</v>
      </c>
    </row>
    <row r="16274">
      <c r="A16274" s="48" t="s">
        <v>3572</v>
      </c>
      <c r="B16274" s="38">
        <v>63015.0</v>
      </c>
      <c r="C16274" s="38" t="s">
        <v>20657</v>
      </c>
      <c r="D16274" s="38" t="str">
        <f>IFERROR(__xludf.DUMMYFUNCTION("REGEXREPLACE(C16274,""-\d+(.*)|--\d+(.*)"","""")"),"AUBUSSON-D'AUVERGNE")</f>
        <v>AUBUSSON-D'AUVERGNE</v>
      </c>
      <c r="E16274" s="38" t="s">
        <v>353</v>
      </c>
      <c r="F16274" s="38" t="s">
        <v>161</v>
      </c>
      <c r="G16274" s="49" t="str">
        <f t="shared" si="1"/>
        <v>63120</v>
      </c>
      <c r="H16274" s="49">
        <f t="shared" si="2"/>
        <v>63015</v>
      </c>
    </row>
    <row r="16275">
      <c r="A16275" s="48" t="s">
        <v>3896</v>
      </c>
      <c r="B16275" s="38">
        <v>13025.0</v>
      </c>
      <c r="C16275" s="38" t="s">
        <v>20658</v>
      </c>
      <c r="D16275" s="38" t="str">
        <f>IFERROR(__xludf.DUMMYFUNCTION("REGEXREPLACE(C16275,""-\d+(.*)|--\d+(.*)"","""")"),"CHATEAUNEUF-LE-ROUGE")</f>
        <v>CHATEAUNEUF-LE-ROUGE</v>
      </c>
      <c r="E16275" s="38" t="s">
        <v>980</v>
      </c>
      <c r="F16275" s="38" t="s">
        <v>228</v>
      </c>
      <c r="G16275" s="49" t="str">
        <f t="shared" si="1"/>
        <v>13790</v>
      </c>
      <c r="H16275" s="49">
        <f t="shared" si="2"/>
        <v>13025</v>
      </c>
    </row>
    <row r="16276">
      <c r="A16276" s="48" t="s">
        <v>4032</v>
      </c>
      <c r="B16276" s="38">
        <v>17235.0</v>
      </c>
      <c r="C16276" s="38" t="s">
        <v>20659</v>
      </c>
      <c r="D16276" s="38" t="str">
        <f>IFERROR(__xludf.DUMMYFUNCTION("REGEXREPLACE(C16276,""-\d+(.*)|--\d+(.*)"","""")"),"MIGRON")</f>
        <v>MIGRON</v>
      </c>
      <c r="E16276" s="38" t="s">
        <v>488</v>
      </c>
      <c r="F16276" s="38" t="s">
        <v>338</v>
      </c>
      <c r="G16276" s="49" t="str">
        <f t="shared" si="1"/>
        <v>17770</v>
      </c>
      <c r="H16276" s="49">
        <f t="shared" si="2"/>
        <v>17235</v>
      </c>
    </row>
    <row r="16277">
      <c r="A16277" s="48" t="s">
        <v>20660</v>
      </c>
      <c r="B16277" s="38">
        <v>92076.0</v>
      </c>
      <c r="C16277" s="38" t="s">
        <v>20661</v>
      </c>
      <c r="D16277" s="38" t="str">
        <f>IFERROR(__xludf.DUMMYFUNCTION("REGEXREPLACE(C16277,""-\d+(.*)|--\d+(.*)"","""")"),"VAUCRESSON")</f>
        <v>VAUCRESSON</v>
      </c>
      <c r="E16277" s="38" t="s">
        <v>838</v>
      </c>
      <c r="F16277" s="38" t="s">
        <v>245</v>
      </c>
      <c r="G16277" s="49" t="str">
        <f t="shared" si="1"/>
        <v>92420</v>
      </c>
      <c r="H16277" s="49">
        <f t="shared" si="2"/>
        <v>92076</v>
      </c>
    </row>
    <row r="16278">
      <c r="A16278" s="48" t="s">
        <v>683</v>
      </c>
      <c r="B16278" s="38">
        <v>64215.0</v>
      </c>
      <c r="C16278" s="38" t="s">
        <v>20662</v>
      </c>
      <c r="D16278" s="38" t="str">
        <f>IFERROR(__xludf.DUMMYFUNCTION("REGEXREPLACE(C16278,""-\d+(.*)|--\d+(.*)"","""")"),"ESPIUTE")</f>
        <v>ESPIUTE</v>
      </c>
      <c r="E16278" s="38" t="s">
        <v>268</v>
      </c>
      <c r="F16278" s="38" t="s">
        <v>252</v>
      </c>
      <c r="G16278" s="49" t="str">
        <f t="shared" si="1"/>
        <v>64390</v>
      </c>
      <c r="H16278" s="49">
        <f t="shared" si="2"/>
        <v>64215</v>
      </c>
    </row>
    <row r="16279">
      <c r="A16279" s="48" t="s">
        <v>707</v>
      </c>
      <c r="B16279" s="38">
        <v>61135.0</v>
      </c>
      <c r="C16279" s="38" t="s">
        <v>20663</v>
      </c>
      <c r="D16279" s="38" t="str">
        <f>IFERROR(__xludf.DUMMYFUNCTION("REGEXREPLACE(C16279,""-\d+(.*)|--\d+(.*)"","""")"),"COUTERNE")</f>
        <v>COUTERNE</v>
      </c>
      <c r="E16279" s="38" t="s">
        <v>141</v>
      </c>
      <c r="F16279" s="38" t="s">
        <v>138</v>
      </c>
      <c r="G16279" s="49" t="str">
        <f t="shared" si="1"/>
        <v>61410</v>
      </c>
      <c r="H16279" s="49">
        <f t="shared" si="2"/>
        <v>61135</v>
      </c>
    </row>
    <row r="16280">
      <c r="A16280" s="48" t="s">
        <v>1174</v>
      </c>
      <c r="B16280" s="38">
        <v>51094.0</v>
      </c>
      <c r="C16280" s="38" t="s">
        <v>20664</v>
      </c>
      <c r="D16280" s="38" t="str">
        <f>IFERROR(__xludf.DUMMYFUNCTION("REGEXREPLACE(C16280,""-\d+(.*)|--\d+(.*)"","""")"),"BRUSSON")</f>
        <v>BRUSSON</v>
      </c>
      <c r="E16280" s="38" t="s">
        <v>129</v>
      </c>
      <c r="F16280" s="38" t="s">
        <v>130</v>
      </c>
      <c r="G16280" s="49" t="str">
        <f t="shared" si="1"/>
        <v>51300</v>
      </c>
      <c r="H16280" s="49">
        <f t="shared" si="2"/>
        <v>51094</v>
      </c>
    </row>
    <row r="16281">
      <c r="A16281" s="48" t="s">
        <v>20665</v>
      </c>
      <c r="B16281" s="38">
        <v>74182.0</v>
      </c>
      <c r="C16281" s="38" t="s">
        <v>20666</v>
      </c>
      <c r="D16281" s="38" t="str">
        <f>IFERROR(__xludf.DUMMYFUNCTION("REGEXREPLACE(C16281,""-\d+(.*)|--\d+(.*)"","""")"),"MEYTHET")</f>
        <v>MEYTHET</v>
      </c>
      <c r="E16281" s="38" t="s">
        <v>319</v>
      </c>
      <c r="F16281" s="38" t="s">
        <v>102</v>
      </c>
      <c r="G16281" s="49" t="str">
        <f t="shared" si="1"/>
        <v>74960</v>
      </c>
      <c r="H16281" s="49">
        <f t="shared" si="2"/>
        <v>74182</v>
      </c>
    </row>
    <row r="16282">
      <c r="A16282" s="48" t="s">
        <v>2132</v>
      </c>
      <c r="B16282" s="38">
        <v>61044.0</v>
      </c>
      <c r="C16282" s="38" t="s">
        <v>20667</v>
      </c>
      <c r="D16282" s="38" t="str">
        <f>IFERROR(__xludf.DUMMYFUNCTION("REGEXREPLACE(C16282,""-\d+(.*)|--\d+(.*)"","""")"),"BERJOU")</f>
        <v>BERJOU</v>
      </c>
      <c r="E16282" s="38" t="s">
        <v>141</v>
      </c>
      <c r="F16282" s="38" t="s">
        <v>138</v>
      </c>
      <c r="G16282" s="49" t="str">
        <f t="shared" si="1"/>
        <v>61430</v>
      </c>
      <c r="H16282" s="49">
        <f t="shared" si="2"/>
        <v>61044</v>
      </c>
    </row>
    <row r="16283">
      <c r="A16283" s="48" t="s">
        <v>1825</v>
      </c>
      <c r="B16283" s="38">
        <v>64370.0</v>
      </c>
      <c r="C16283" s="38" t="s">
        <v>20668</v>
      </c>
      <c r="D16283" s="38" t="str">
        <f>IFERROR(__xludf.DUMMYFUNCTION("REGEXREPLACE(C16283,""-\d+(.*)|--\d+(.*)"","""")"),"MAUCOR")</f>
        <v>MAUCOR</v>
      </c>
      <c r="E16283" s="38" t="s">
        <v>268</v>
      </c>
      <c r="F16283" s="38" t="s">
        <v>252</v>
      </c>
      <c r="G16283" s="49" t="str">
        <f t="shared" si="1"/>
        <v>64160</v>
      </c>
      <c r="H16283" s="49">
        <f t="shared" si="2"/>
        <v>64370</v>
      </c>
    </row>
    <row r="16284">
      <c r="A16284" s="48" t="s">
        <v>2261</v>
      </c>
      <c r="B16284" s="38">
        <v>9303.0</v>
      </c>
      <c r="C16284" s="38" t="s">
        <v>20669</v>
      </c>
      <c r="D16284" s="38" t="str">
        <f>IFERROR(__xludf.DUMMYFUNCTION("REGEXREPLACE(C16284,""-\d+(.*)|--\d+(.*)"","""")"),"SURBA")</f>
        <v>SURBA</v>
      </c>
      <c r="E16284" s="38" t="s">
        <v>238</v>
      </c>
      <c r="F16284" s="38" t="s">
        <v>94</v>
      </c>
      <c r="G16284" s="49" t="str">
        <f t="shared" si="1"/>
        <v>09400</v>
      </c>
      <c r="H16284" s="49" t="str">
        <f t="shared" si="2"/>
        <v>09303</v>
      </c>
    </row>
    <row r="16285">
      <c r="A16285" s="48" t="s">
        <v>20670</v>
      </c>
      <c r="B16285" s="38">
        <v>93001.0</v>
      </c>
      <c r="C16285" s="38" t="s">
        <v>20671</v>
      </c>
      <c r="D16285" s="38" t="str">
        <f>IFERROR(__xludf.DUMMYFUNCTION("REGEXREPLACE(C16285,""-\d+(.*)|--\d+(.*)"","""")"),"AUBERVILLIERS")</f>
        <v>AUBERVILLIERS</v>
      </c>
      <c r="E16285" s="38" t="s">
        <v>341</v>
      </c>
      <c r="F16285" s="38" t="s">
        <v>245</v>
      </c>
      <c r="G16285" s="49" t="str">
        <f t="shared" si="1"/>
        <v>93300</v>
      </c>
      <c r="H16285" s="49">
        <f t="shared" si="2"/>
        <v>93001</v>
      </c>
    </row>
    <row r="16286">
      <c r="A16286" s="48" t="s">
        <v>16480</v>
      </c>
      <c r="B16286" s="38">
        <v>71445.0</v>
      </c>
      <c r="C16286" s="38" t="s">
        <v>7456</v>
      </c>
      <c r="D16286" s="38" t="str">
        <f>IFERROR(__xludf.DUMMYFUNCTION("REGEXREPLACE(C16286,""-\d+(.*)|--\d+(.*)"","""")"),"SAINT-MARCEL")</f>
        <v>SAINT-MARCEL</v>
      </c>
      <c r="E16286" s="38" t="s">
        <v>344</v>
      </c>
      <c r="F16286" s="38" t="s">
        <v>106</v>
      </c>
      <c r="G16286" s="49" t="str">
        <f t="shared" si="1"/>
        <v>71380</v>
      </c>
      <c r="H16286" s="49">
        <f t="shared" si="2"/>
        <v>71445</v>
      </c>
    </row>
    <row r="16287">
      <c r="A16287" s="48" t="s">
        <v>12639</v>
      </c>
      <c r="B16287" s="38">
        <v>81154.0</v>
      </c>
      <c r="C16287" s="38" t="s">
        <v>20672</v>
      </c>
      <c r="D16287" s="38" t="str">
        <f>IFERROR(__xludf.DUMMYFUNCTION("REGEXREPLACE(C16287,""-\d+(.*)|--\d+(.*)"","""")"),"MARNAVES")</f>
        <v>MARNAVES</v>
      </c>
      <c r="E16287" s="38" t="s">
        <v>231</v>
      </c>
      <c r="F16287" s="38" t="s">
        <v>94</v>
      </c>
      <c r="G16287" s="49" t="str">
        <f t="shared" si="1"/>
        <v>81170</v>
      </c>
      <c r="H16287" s="49">
        <f t="shared" si="2"/>
        <v>81154</v>
      </c>
    </row>
    <row r="16288">
      <c r="A16288" s="48" t="s">
        <v>20673</v>
      </c>
      <c r="B16288" s="38">
        <v>22217.0</v>
      </c>
      <c r="C16288" s="38" t="s">
        <v>20674</v>
      </c>
      <c r="D16288" s="38" t="str">
        <f>IFERROR(__xludf.DUMMYFUNCTION("REGEXREPLACE(C16288,""-\d+(.*)|--\d+(.*)"","""")"),"PLOUGRAS")</f>
        <v>PLOUGRAS</v>
      </c>
      <c r="E16288" s="38" t="s">
        <v>89</v>
      </c>
      <c r="F16288" s="38" t="s">
        <v>90</v>
      </c>
      <c r="G16288" s="49" t="str">
        <f t="shared" si="1"/>
        <v>22780</v>
      </c>
      <c r="H16288" s="49">
        <f t="shared" si="2"/>
        <v>22217</v>
      </c>
    </row>
    <row r="16289">
      <c r="A16289" s="48" t="s">
        <v>1228</v>
      </c>
      <c r="B16289" s="38">
        <v>34293.0</v>
      </c>
      <c r="C16289" s="38" t="s">
        <v>20675</v>
      </c>
      <c r="D16289" s="38" t="str">
        <f>IFERROR(__xludf.DUMMYFUNCTION("REGEXREPLACE(C16289,""-\d+(.*)|--\d+(.*)"","""")"),"LA SALVETAT-SUR-AGOUT")</f>
        <v>LA SALVETAT-SUR-AGOUT</v>
      </c>
      <c r="E16289" s="38" t="s">
        <v>118</v>
      </c>
      <c r="F16289" s="38" t="s">
        <v>119</v>
      </c>
      <c r="G16289" s="49" t="str">
        <f t="shared" si="1"/>
        <v>34330</v>
      </c>
      <c r="H16289" s="49">
        <f t="shared" si="2"/>
        <v>34293</v>
      </c>
    </row>
    <row r="16290">
      <c r="A16290" s="48" t="s">
        <v>2790</v>
      </c>
      <c r="B16290" s="38">
        <v>40281.0</v>
      </c>
      <c r="C16290" s="38" t="s">
        <v>6159</v>
      </c>
      <c r="D16290" s="38" t="str">
        <f>IFERROR(__xludf.DUMMYFUNCTION("REGEXREPLACE(C16290,""-\d+(.*)|--\d+(.*)"","""")"),"SAINT-PIERRE-DU-MONT")</f>
        <v>SAINT-PIERRE-DU-MONT</v>
      </c>
      <c r="E16290" s="38" t="s">
        <v>281</v>
      </c>
      <c r="F16290" s="38" t="s">
        <v>252</v>
      </c>
      <c r="G16290" s="49" t="str">
        <f t="shared" si="1"/>
        <v>40280</v>
      </c>
      <c r="H16290" s="49">
        <f t="shared" si="2"/>
        <v>40281</v>
      </c>
    </row>
    <row r="16291">
      <c r="A16291" s="48" t="s">
        <v>1605</v>
      </c>
      <c r="B16291" s="38">
        <v>17158.0</v>
      </c>
      <c r="C16291" s="38" t="s">
        <v>9893</v>
      </c>
      <c r="D16291" s="38" t="str">
        <f>IFERROR(__xludf.DUMMYFUNCTION("REGEXREPLACE(C16291,""-\d+(.*)|--\d+(.*)"","""")"),"FERRIERES")</f>
        <v>FERRIERES</v>
      </c>
      <c r="E16291" s="38" t="s">
        <v>488</v>
      </c>
      <c r="F16291" s="38" t="s">
        <v>338</v>
      </c>
      <c r="G16291" s="49" t="str">
        <f t="shared" si="1"/>
        <v>17170</v>
      </c>
      <c r="H16291" s="49">
        <f t="shared" si="2"/>
        <v>17158</v>
      </c>
    </row>
    <row r="16292">
      <c r="A16292" s="48" t="s">
        <v>1777</v>
      </c>
      <c r="B16292" s="38">
        <v>10371.0</v>
      </c>
      <c r="C16292" s="38" t="s">
        <v>20676</v>
      </c>
      <c r="D16292" s="38" t="str">
        <f>IFERROR(__xludf.DUMMYFUNCTION("REGEXREPLACE(C16292,""-\d+(.*)|--\d+(.*)"","""")"),"SOMMEVAL")</f>
        <v>SOMMEVAL</v>
      </c>
      <c r="E16292" s="38" t="s">
        <v>147</v>
      </c>
      <c r="F16292" s="38" t="s">
        <v>130</v>
      </c>
      <c r="G16292" s="49" t="str">
        <f t="shared" si="1"/>
        <v>10320</v>
      </c>
      <c r="H16292" s="49">
        <f t="shared" si="2"/>
        <v>10371</v>
      </c>
    </row>
    <row r="16293">
      <c r="A16293" s="48" t="s">
        <v>771</v>
      </c>
      <c r="B16293" s="38">
        <v>60198.0</v>
      </c>
      <c r="C16293" s="38" t="s">
        <v>20677</v>
      </c>
      <c r="D16293" s="38" t="str">
        <f>IFERROR(__xludf.DUMMYFUNCTION("REGEXREPLACE(C16293,""-\d+(.*)|--\d+(.*)"","""")"),"DIVES")</f>
        <v>DIVES</v>
      </c>
      <c r="E16293" s="38" t="s">
        <v>112</v>
      </c>
      <c r="F16293" s="38" t="s">
        <v>113</v>
      </c>
      <c r="G16293" s="49" t="str">
        <f t="shared" si="1"/>
        <v>60310</v>
      </c>
      <c r="H16293" s="49">
        <f t="shared" si="2"/>
        <v>60198</v>
      </c>
    </row>
    <row r="16294">
      <c r="A16294" s="48" t="s">
        <v>20678</v>
      </c>
      <c r="B16294" s="38">
        <v>23264.0</v>
      </c>
      <c r="C16294" s="38" t="s">
        <v>2244</v>
      </c>
      <c r="D16294" s="38" t="str">
        <f>IFERROR(__xludf.DUMMYFUNCTION("REGEXREPLACE(C16294,""-\d+(.*)|--\d+(.*)"","""")"),"LA VILLEDIEU")</f>
        <v>LA VILLEDIEU</v>
      </c>
      <c r="E16294" s="38" t="s">
        <v>97</v>
      </c>
      <c r="F16294" s="38" t="s">
        <v>98</v>
      </c>
      <c r="G16294" s="49" t="str">
        <f t="shared" si="1"/>
        <v>23340</v>
      </c>
      <c r="H16294" s="49">
        <f t="shared" si="2"/>
        <v>23264</v>
      </c>
    </row>
    <row r="16295">
      <c r="A16295" s="48" t="s">
        <v>509</v>
      </c>
      <c r="B16295" s="38">
        <v>28026.0</v>
      </c>
      <c r="C16295" s="38" t="s">
        <v>20679</v>
      </c>
      <c r="D16295" s="38" t="str">
        <f>IFERROR(__xludf.DUMMYFUNCTION("REGEXREPLACE(C16295,""-\d+(.*)|--\d+(.*)"","""")"),"BAUDREVILLE")</f>
        <v>BAUDREVILLE</v>
      </c>
      <c r="E16295" s="38" t="s">
        <v>300</v>
      </c>
      <c r="F16295" s="38" t="s">
        <v>123</v>
      </c>
      <c r="G16295" s="49" t="str">
        <f t="shared" si="1"/>
        <v>28310</v>
      </c>
      <c r="H16295" s="49">
        <f t="shared" si="2"/>
        <v>28026</v>
      </c>
    </row>
    <row r="16296">
      <c r="A16296" s="48" t="s">
        <v>7804</v>
      </c>
      <c r="B16296" s="38">
        <v>51524.0</v>
      </c>
      <c r="C16296" s="38" t="s">
        <v>20680</v>
      </c>
      <c r="D16296" s="38" t="str">
        <f>IFERROR(__xludf.DUMMYFUNCTION("REGEXREPLACE(C16296,""-\d+(.*)|--\d+(.*)"","""")"),"SARON-SUR-AUBE")</f>
        <v>SARON-SUR-AUBE</v>
      </c>
      <c r="E16296" s="38" t="s">
        <v>129</v>
      </c>
      <c r="F16296" s="38" t="s">
        <v>130</v>
      </c>
      <c r="G16296" s="49" t="str">
        <f t="shared" si="1"/>
        <v>51260</v>
      </c>
      <c r="H16296" s="49">
        <f t="shared" si="2"/>
        <v>51524</v>
      </c>
    </row>
    <row r="16297">
      <c r="A16297" s="48" t="s">
        <v>1224</v>
      </c>
      <c r="B16297" s="38">
        <v>18089.0</v>
      </c>
      <c r="C16297" s="38" t="s">
        <v>20681</v>
      </c>
      <c r="D16297" s="38" t="str">
        <f>IFERROR(__xludf.DUMMYFUNCTION("REGEXREPLACE(C16297,""-\d+(.*)|--\d+(.*)"","""")"),"EPINEUIL-LE-FLEURIEL")</f>
        <v>EPINEUIL-LE-FLEURIEL</v>
      </c>
      <c r="E16297" s="38" t="s">
        <v>504</v>
      </c>
      <c r="F16297" s="38" t="s">
        <v>123</v>
      </c>
      <c r="G16297" s="49" t="str">
        <f t="shared" si="1"/>
        <v>18360</v>
      </c>
      <c r="H16297" s="49">
        <f t="shared" si="2"/>
        <v>18089</v>
      </c>
    </row>
    <row r="16298">
      <c r="A16298" s="48" t="s">
        <v>2608</v>
      </c>
      <c r="B16298" s="38">
        <v>24129.0</v>
      </c>
      <c r="C16298" s="38" t="s">
        <v>20682</v>
      </c>
      <c r="D16298" s="38" t="str">
        <f>IFERROR(__xludf.DUMMYFUNCTION("REGEXREPLACE(C16298,""-\d+(.*)|--\d+(.*)"","""")"),"CONDAT-SUR-TRINCOU")</f>
        <v>CONDAT-SUR-TRINCOU</v>
      </c>
      <c r="E16298" s="38" t="s">
        <v>261</v>
      </c>
      <c r="F16298" s="38" t="s">
        <v>252</v>
      </c>
      <c r="G16298" s="49" t="str">
        <f t="shared" si="1"/>
        <v>24530</v>
      </c>
      <c r="H16298" s="49">
        <f t="shared" si="2"/>
        <v>24129</v>
      </c>
    </row>
    <row r="16299">
      <c r="A16299" s="48" t="s">
        <v>1332</v>
      </c>
      <c r="B16299" s="38">
        <v>51280.0</v>
      </c>
      <c r="C16299" s="38" t="s">
        <v>20683</v>
      </c>
      <c r="D16299" s="38" t="str">
        <f>IFERROR(__xludf.DUMMYFUNCTION("REGEXREPLACE(C16299,""-\d+(.*)|--\d+(.*)"","""")"),"GRATREUIL")</f>
        <v>GRATREUIL</v>
      </c>
      <c r="E16299" s="38" t="s">
        <v>129</v>
      </c>
      <c r="F16299" s="38" t="s">
        <v>130</v>
      </c>
      <c r="G16299" s="49" t="str">
        <f t="shared" si="1"/>
        <v>51800</v>
      </c>
      <c r="H16299" s="49">
        <f t="shared" si="2"/>
        <v>51280</v>
      </c>
    </row>
    <row r="16300">
      <c r="A16300" s="48" t="s">
        <v>7852</v>
      </c>
      <c r="B16300" s="38">
        <v>38118.0</v>
      </c>
      <c r="C16300" s="38" t="s">
        <v>20684</v>
      </c>
      <c r="D16300" s="38" t="str">
        <f>IFERROR(__xludf.DUMMYFUNCTION("REGEXREPLACE(C16300,""-\d+(.*)|--\d+(.*)"","""")"),"COLOMBE")</f>
        <v>COLOMBE</v>
      </c>
      <c r="E16300" s="38" t="s">
        <v>101</v>
      </c>
      <c r="F16300" s="38" t="s">
        <v>102</v>
      </c>
      <c r="G16300" s="49" t="str">
        <f t="shared" si="1"/>
        <v>38690</v>
      </c>
      <c r="H16300" s="49">
        <f t="shared" si="2"/>
        <v>38118</v>
      </c>
    </row>
    <row r="16301">
      <c r="A16301" s="48" t="s">
        <v>5661</v>
      </c>
      <c r="B16301" s="38">
        <v>63215.0</v>
      </c>
      <c r="C16301" s="38" t="s">
        <v>20685</v>
      </c>
      <c r="D16301" s="38" t="str">
        <f>IFERROR(__xludf.DUMMYFUNCTION("REGEXREPLACE(C16301,""-\d+(.*)|--\d+(.*)"","""")"),"MARTRES-SUR-MORGE")</f>
        <v>MARTRES-SUR-MORGE</v>
      </c>
      <c r="E16301" s="38" t="s">
        <v>353</v>
      </c>
      <c r="F16301" s="38" t="s">
        <v>161</v>
      </c>
      <c r="G16301" s="49" t="str">
        <f t="shared" si="1"/>
        <v>63720</v>
      </c>
      <c r="H16301" s="49">
        <f t="shared" si="2"/>
        <v>63215</v>
      </c>
    </row>
    <row r="16302">
      <c r="A16302" s="48" t="s">
        <v>4168</v>
      </c>
      <c r="B16302" s="38">
        <v>1267.0</v>
      </c>
      <c r="C16302" s="38" t="s">
        <v>20686</v>
      </c>
      <c r="D16302" s="38" t="str">
        <f>IFERROR(__xludf.DUMMYFUNCTION("REGEXREPLACE(C16302,""-\d+(.*)|--\d+(.*)"","""")"),"NURIEUX-VOLOGNAT")</f>
        <v>NURIEUX-VOLOGNAT</v>
      </c>
      <c r="E16302" s="38" t="s">
        <v>255</v>
      </c>
      <c r="F16302" s="38" t="s">
        <v>102</v>
      </c>
      <c r="G16302" s="49" t="str">
        <f t="shared" si="1"/>
        <v>01460</v>
      </c>
      <c r="H16302" s="49" t="str">
        <f t="shared" si="2"/>
        <v>01267</v>
      </c>
    </row>
    <row r="16303">
      <c r="A16303" s="48" t="s">
        <v>5466</v>
      </c>
      <c r="B16303" s="38">
        <v>88263.0</v>
      </c>
      <c r="C16303" s="38" t="s">
        <v>20687</v>
      </c>
      <c r="D16303" s="38" t="str">
        <f>IFERROR(__xludf.DUMMYFUNCTION("REGEXREPLACE(C16303,""-\d+(.*)|--\d+(.*)"","""")"),"LAVELINE-DU-HOUX")</f>
        <v>LAVELINE-DU-HOUX</v>
      </c>
      <c r="E16303" s="38" t="s">
        <v>194</v>
      </c>
      <c r="F16303" s="38" t="s">
        <v>195</v>
      </c>
      <c r="G16303" s="49" t="str">
        <f t="shared" si="1"/>
        <v>88640</v>
      </c>
      <c r="H16303" s="49">
        <f t="shared" si="2"/>
        <v>88263</v>
      </c>
    </row>
    <row r="16304">
      <c r="A16304" s="48" t="s">
        <v>17859</v>
      </c>
      <c r="B16304" s="38">
        <v>40095.0</v>
      </c>
      <c r="C16304" s="38" t="s">
        <v>20688</v>
      </c>
      <c r="D16304" s="38" t="str">
        <f>IFERROR(__xludf.DUMMYFUNCTION("REGEXREPLACE(C16304,""-\d+(.*)|--\d+(.*)"","""")"),"ESTIBEAUX")</f>
        <v>ESTIBEAUX</v>
      </c>
      <c r="E16304" s="38" t="s">
        <v>281</v>
      </c>
      <c r="F16304" s="38" t="s">
        <v>252</v>
      </c>
      <c r="G16304" s="49" t="str">
        <f t="shared" si="1"/>
        <v>40290</v>
      </c>
      <c r="H16304" s="49">
        <f t="shared" si="2"/>
        <v>40095</v>
      </c>
    </row>
    <row r="16305">
      <c r="A16305" s="48" t="s">
        <v>8584</v>
      </c>
      <c r="B16305" s="38">
        <v>59442.0</v>
      </c>
      <c r="C16305" s="38" t="s">
        <v>20689</v>
      </c>
      <c r="D16305" s="38" t="str">
        <f>IFERROR(__xludf.DUMMYFUNCTION("REGEXREPLACE(C16305,""-\d+(.*)|--\d+(.*)"","""")"),"OBRECHIES")</f>
        <v>OBRECHIES</v>
      </c>
      <c r="E16305" s="38" t="s">
        <v>85</v>
      </c>
      <c r="F16305" s="38" t="s">
        <v>86</v>
      </c>
      <c r="G16305" s="49" t="str">
        <f t="shared" si="1"/>
        <v>59680</v>
      </c>
      <c r="H16305" s="49">
        <f t="shared" si="2"/>
        <v>59442</v>
      </c>
    </row>
    <row r="16306">
      <c r="A16306" s="48" t="s">
        <v>597</v>
      </c>
      <c r="B16306" s="38">
        <v>31072.0</v>
      </c>
      <c r="C16306" s="38" t="s">
        <v>20690</v>
      </c>
      <c r="D16306" s="38" t="str">
        <f>IFERROR(__xludf.DUMMYFUNCTION("REGEXREPLACE(C16306,""-\d+(.*)|--\d+(.*)"","""")"),"BOISSEDE")</f>
        <v>BOISSEDE</v>
      </c>
      <c r="E16306" s="38" t="s">
        <v>93</v>
      </c>
      <c r="F16306" s="38" t="s">
        <v>94</v>
      </c>
      <c r="G16306" s="49" t="str">
        <f t="shared" si="1"/>
        <v>31230</v>
      </c>
      <c r="H16306" s="49">
        <f t="shared" si="2"/>
        <v>31072</v>
      </c>
    </row>
    <row r="16307">
      <c r="A16307" s="48" t="s">
        <v>8129</v>
      </c>
      <c r="B16307" s="38">
        <v>70217.0</v>
      </c>
      <c r="C16307" s="38" t="s">
        <v>20691</v>
      </c>
      <c r="D16307" s="38" t="str">
        <f>IFERROR(__xludf.DUMMYFUNCTION("REGEXREPLACE(C16307,""-\d+(.*)|--\d+(.*)"","""")"),"ESMOULIERES")</f>
        <v>ESMOULIERES</v>
      </c>
      <c r="E16307" s="38" t="s">
        <v>956</v>
      </c>
      <c r="F16307" s="38" t="s">
        <v>214</v>
      </c>
      <c r="G16307" s="49" t="str">
        <f t="shared" si="1"/>
        <v>70310</v>
      </c>
      <c r="H16307" s="49">
        <f t="shared" si="2"/>
        <v>70217</v>
      </c>
    </row>
    <row r="16308">
      <c r="A16308" s="48" t="s">
        <v>3353</v>
      </c>
      <c r="B16308" s="38">
        <v>61446.0</v>
      </c>
      <c r="C16308" s="38" t="s">
        <v>20692</v>
      </c>
      <c r="D16308" s="38" t="str">
        <f>IFERROR(__xludf.DUMMYFUNCTION("REGEXREPLACE(C16308,""-\d+(.*)|--\d+(.*)"","""")"),"SAINT-PIERRE-DES-LOGES")</f>
        <v>SAINT-PIERRE-DES-LOGES</v>
      </c>
      <c r="E16308" s="38" t="s">
        <v>141</v>
      </c>
      <c r="F16308" s="38" t="s">
        <v>138</v>
      </c>
      <c r="G16308" s="49" t="str">
        <f t="shared" si="1"/>
        <v>61370</v>
      </c>
      <c r="H16308" s="49">
        <f t="shared" si="2"/>
        <v>61446</v>
      </c>
    </row>
    <row r="16309">
      <c r="A16309" s="48" t="s">
        <v>3486</v>
      </c>
      <c r="B16309" s="38">
        <v>76740.0</v>
      </c>
      <c r="C16309" s="38" t="s">
        <v>20693</v>
      </c>
      <c r="D16309" s="38" t="str">
        <f>IFERROR(__xludf.DUMMYFUNCTION("REGEXREPLACE(C16309,""-\d+(.*)|--\d+(.*)"","""")"),"LA VIEUX-RUE")</f>
        <v>LA VIEUX-RUE</v>
      </c>
      <c r="E16309" s="38" t="s">
        <v>133</v>
      </c>
      <c r="F16309" s="38" t="s">
        <v>134</v>
      </c>
      <c r="G16309" s="49" t="str">
        <f t="shared" si="1"/>
        <v>76160</v>
      </c>
      <c r="H16309" s="49">
        <f t="shared" si="2"/>
        <v>76740</v>
      </c>
    </row>
    <row r="16310">
      <c r="A16310" s="48" t="s">
        <v>7452</v>
      </c>
      <c r="B16310" s="38">
        <v>48104.0</v>
      </c>
      <c r="C16310" s="38" t="s">
        <v>20694</v>
      </c>
      <c r="D16310" s="38" t="str">
        <f>IFERROR(__xludf.DUMMYFUNCTION("REGEXREPLACE(C16310,""-\d+(.*)|--\d+(.*)"","""")"),"NASBINALS")</f>
        <v>NASBINALS</v>
      </c>
      <c r="E16310" s="38" t="s">
        <v>154</v>
      </c>
      <c r="F16310" s="38" t="s">
        <v>119</v>
      </c>
      <c r="G16310" s="49" t="str">
        <f t="shared" si="1"/>
        <v>48260</v>
      </c>
      <c r="H16310" s="49">
        <f t="shared" si="2"/>
        <v>48104</v>
      </c>
    </row>
    <row r="16311">
      <c r="A16311" s="48" t="s">
        <v>2149</v>
      </c>
      <c r="B16311" s="38">
        <v>83078.0</v>
      </c>
      <c r="C16311" s="38" t="s">
        <v>20695</v>
      </c>
      <c r="D16311" s="38" t="str">
        <f>IFERROR(__xludf.DUMMYFUNCTION("REGEXREPLACE(C16311,""-\d+(.*)|--\d+(.*)"","""")"),"MOISSAC-BELLEVUE")</f>
        <v>MOISSAC-BELLEVUE</v>
      </c>
      <c r="E16311" s="38" t="s">
        <v>813</v>
      </c>
      <c r="F16311" s="38" t="s">
        <v>228</v>
      </c>
      <c r="G16311" s="49" t="str">
        <f t="shared" si="1"/>
        <v>83630</v>
      </c>
      <c r="H16311" s="49">
        <f t="shared" si="2"/>
        <v>83078</v>
      </c>
    </row>
    <row r="16312">
      <c r="A16312" s="48" t="s">
        <v>2547</v>
      </c>
      <c r="B16312" s="38">
        <v>8463.0</v>
      </c>
      <c r="C16312" s="38" t="s">
        <v>20696</v>
      </c>
      <c r="D16312" s="38" t="str">
        <f>IFERROR(__xludf.DUMMYFUNCTION("REGEXREPLACE(C16312,""-\d+(.*)|--\d+(.*)"","""")"),"VAUX-EN-DIEULET")</f>
        <v>VAUX-EN-DIEULET</v>
      </c>
      <c r="E16312" s="38" t="s">
        <v>327</v>
      </c>
      <c r="F16312" s="38" t="s">
        <v>130</v>
      </c>
      <c r="G16312" s="49" t="str">
        <f t="shared" si="1"/>
        <v>08240</v>
      </c>
      <c r="H16312" s="49" t="str">
        <f t="shared" si="2"/>
        <v>08463</v>
      </c>
    </row>
    <row r="16313">
      <c r="A16313" s="48" t="s">
        <v>7218</v>
      </c>
      <c r="B16313" s="38">
        <v>71176.0</v>
      </c>
      <c r="C16313" s="38" t="s">
        <v>20697</v>
      </c>
      <c r="D16313" s="38" t="str">
        <f>IFERROR(__xludf.DUMMYFUNCTION("REGEXREPLACE(C16313,""-\d+(.*)|--\d+(.*)"","""")"),"DIGOIN")</f>
        <v>DIGOIN</v>
      </c>
      <c r="E16313" s="38" t="s">
        <v>344</v>
      </c>
      <c r="F16313" s="38" t="s">
        <v>106</v>
      </c>
      <c r="G16313" s="49" t="str">
        <f t="shared" si="1"/>
        <v>71160</v>
      </c>
      <c r="H16313" s="49">
        <f t="shared" si="2"/>
        <v>71176</v>
      </c>
    </row>
    <row r="16314">
      <c r="A16314" s="48" t="s">
        <v>10400</v>
      </c>
      <c r="B16314" s="38">
        <v>13095.0</v>
      </c>
      <c r="C16314" s="38" t="s">
        <v>20698</v>
      </c>
      <c r="D16314" s="38" t="str">
        <f>IFERROR(__xludf.DUMMYFUNCTION("REGEXREPLACE(C16314,""-\d+(.*)|--\d+(.*)"","""")"),"SAINT-MARC-JAUMEGARDE")</f>
        <v>SAINT-MARC-JAUMEGARDE</v>
      </c>
      <c r="E16314" s="38" t="s">
        <v>980</v>
      </c>
      <c r="F16314" s="38" t="s">
        <v>228</v>
      </c>
      <c r="G16314" s="49" t="str">
        <f t="shared" si="1"/>
        <v>13100</v>
      </c>
      <c r="H16314" s="49">
        <f t="shared" si="2"/>
        <v>13095</v>
      </c>
    </row>
    <row r="16315">
      <c r="A16315" s="48" t="s">
        <v>3681</v>
      </c>
      <c r="B16315" s="38">
        <v>39445.0</v>
      </c>
      <c r="C16315" s="38" t="s">
        <v>20699</v>
      </c>
      <c r="D16315" s="38" t="str">
        <f>IFERROR(__xludf.DUMMYFUNCTION("REGEXREPLACE(C16315,""-\d+(.*)|--\d+(.*)"","""")"),"PUBLY")</f>
        <v>PUBLY</v>
      </c>
      <c r="E16315" s="38" t="s">
        <v>400</v>
      </c>
      <c r="F16315" s="38" t="s">
        <v>214</v>
      </c>
      <c r="G16315" s="49" t="str">
        <f t="shared" si="1"/>
        <v>39570</v>
      </c>
      <c r="H16315" s="49">
        <f t="shared" si="2"/>
        <v>39445</v>
      </c>
    </row>
    <row r="16316">
      <c r="A16316" s="48" t="s">
        <v>19898</v>
      </c>
      <c r="B16316" s="38">
        <v>69168.0</v>
      </c>
      <c r="C16316" s="38" t="s">
        <v>20700</v>
      </c>
      <c r="D16316" s="38" t="str">
        <f>IFERROR(__xludf.DUMMYFUNCTION("REGEXREPLACE(C16316,""-\d+(.*)|--\d+(.*)"","""")"),"ROCHETAILLEE-SUR-SAONE")</f>
        <v>ROCHETAILLEE-SUR-SAONE</v>
      </c>
      <c r="E16316" s="38" t="s">
        <v>350</v>
      </c>
      <c r="F16316" s="38" t="s">
        <v>102</v>
      </c>
      <c r="G16316" s="49" t="str">
        <f t="shared" si="1"/>
        <v>69270</v>
      </c>
      <c r="H16316" s="49">
        <f t="shared" si="2"/>
        <v>69168</v>
      </c>
    </row>
    <row r="16317">
      <c r="A16317" s="48" t="s">
        <v>997</v>
      </c>
      <c r="B16317" s="38">
        <v>55434.0</v>
      </c>
      <c r="C16317" s="38" t="s">
        <v>20701</v>
      </c>
      <c r="D16317" s="38" t="str">
        <f>IFERROR(__xludf.DUMMYFUNCTION("REGEXREPLACE(C16317,""-\d+(.*)|--\d+(.*)"","""")"),"RIGNY-SAINT-MARTIN")</f>
        <v>RIGNY-SAINT-MARTIN</v>
      </c>
      <c r="E16317" s="38" t="s">
        <v>322</v>
      </c>
      <c r="F16317" s="38" t="s">
        <v>195</v>
      </c>
      <c r="G16317" s="49" t="str">
        <f t="shared" si="1"/>
        <v>55140</v>
      </c>
      <c r="H16317" s="49">
        <f t="shared" si="2"/>
        <v>55434</v>
      </c>
    </row>
    <row r="16318">
      <c r="A16318" s="48" t="s">
        <v>1823</v>
      </c>
      <c r="B16318" s="38">
        <v>48013.0</v>
      </c>
      <c r="C16318" s="38" t="s">
        <v>20702</v>
      </c>
      <c r="D16318" s="38" t="str">
        <f>IFERROR(__xludf.DUMMYFUNCTION("REGEXREPLACE(C16318,""-\d+(.*)|--\d+(.*)"","""")"),"BADAROUX")</f>
        <v>BADAROUX</v>
      </c>
      <c r="E16318" s="38" t="s">
        <v>154</v>
      </c>
      <c r="F16318" s="38" t="s">
        <v>119</v>
      </c>
      <c r="G16318" s="49" t="str">
        <f t="shared" si="1"/>
        <v>48000</v>
      </c>
      <c r="H16318" s="49">
        <f t="shared" si="2"/>
        <v>48013</v>
      </c>
    </row>
    <row r="16319">
      <c r="A16319" s="48" t="s">
        <v>12410</v>
      </c>
      <c r="B16319" s="38">
        <v>66105.0</v>
      </c>
      <c r="C16319" s="38" t="s">
        <v>20703</v>
      </c>
      <c r="D16319" s="38" t="str">
        <f>IFERROR(__xludf.DUMMYFUNCTION("REGEXREPLACE(C16319,""-\d+(.*)|--\d+(.*)"","""")"),"MATEMALE")</f>
        <v>MATEMALE</v>
      </c>
      <c r="E16319" s="38" t="s">
        <v>248</v>
      </c>
      <c r="F16319" s="38" t="s">
        <v>119</v>
      </c>
      <c r="G16319" s="49" t="str">
        <f t="shared" si="1"/>
        <v>66210</v>
      </c>
      <c r="H16319" s="49">
        <f t="shared" si="2"/>
        <v>66105</v>
      </c>
    </row>
    <row r="16320">
      <c r="A16320" s="48" t="s">
        <v>1787</v>
      </c>
      <c r="B16320" s="38">
        <v>62267.0</v>
      </c>
      <c r="C16320" s="38" t="s">
        <v>20704</v>
      </c>
      <c r="D16320" s="38" t="str">
        <f>IFERROR(__xludf.DUMMYFUNCTION("REGEXREPLACE(C16320,""-\d+(.*)|--\d+(.*)"","""")"),"DENNEBROEUCQ")</f>
        <v>DENNEBROEUCQ</v>
      </c>
      <c r="E16320" s="38" t="s">
        <v>109</v>
      </c>
      <c r="F16320" s="38" t="s">
        <v>86</v>
      </c>
      <c r="G16320" s="49" t="str">
        <f t="shared" si="1"/>
        <v>62560</v>
      </c>
      <c r="H16320" s="49">
        <f t="shared" si="2"/>
        <v>62267</v>
      </c>
    </row>
    <row r="16321">
      <c r="A16321" s="48" t="s">
        <v>1864</v>
      </c>
      <c r="B16321" s="38">
        <v>70552.0</v>
      </c>
      <c r="C16321" s="38" t="s">
        <v>20705</v>
      </c>
      <c r="D16321" s="38" t="str">
        <f>IFERROR(__xludf.DUMMYFUNCTION("REGEXREPLACE(C16321,""-\d+(.*)|--\d+(.*)"","""")"),"VILLAFANS")</f>
        <v>VILLAFANS</v>
      </c>
      <c r="E16321" s="38" t="s">
        <v>956</v>
      </c>
      <c r="F16321" s="38" t="s">
        <v>214</v>
      </c>
      <c r="G16321" s="49" t="str">
        <f t="shared" si="1"/>
        <v>70110</v>
      </c>
      <c r="H16321" s="49">
        <f t="shared" si="2"/>
        <v>70552</v>
      </c>
    </row>
    <row r="16322">
      <c r="A16322" s="48" t="s">
        <v>1418</v>
      </c>
      <c r="B16322" s="38">
        <v>36077.0</v>
      </c>
      <c r="C16322" s="38" t="s">
        <v>20706</v>
      </c>
      <c r="D16322" s="38" t="str">
        <f>IFERROR(__xludf.DUMMYFUNCTION("REGEXREPLACE(C16322,""-\d+(.*)|--\d+(.*)"","""")"),"FONTGUENAND")</f>
        <v>FONTGUENAND</v>
      </c>
      <c r="E16322" s="38" t="s">
        <v>258</v>
      </c>
      <c r="F16322" s="38" t="s">
        <v>123</v>
      </c>
      <c r="G16322" s="49" t="str">
        <f t="shared" si="1"/>
        <v>36600</v>
      </c>
      <c r="H16322" s="49">
        <f t="shared" si="2"/>
        <v>36077</v>
      </c>
    </row>
    <row r="16323">
      <c r="A16323" s="48" t="s">
        <v>20707</v>
      </c>
      <c r="B16323" s="38">
        <v>33536.0</v>
      </c>
      <c r="C16323" s="38" t="s">
        <v>20708</v>
      </c>
      <c r="D16323" s="38" t="str">
        <f>IFERROR(__xludf.DUMMYFUNCTION("REGEXREPLACE(C16323,""-\d+(.*)|--\d+(.*)"","""")"),"LE TUZAN")</f>
        <v>LE TUZAN</v>
      </c>
      <c r="E16323" s="38" t="s">
        <v>462</v>
      </c>
      <c r="F16323" s="38" t="s">
        <v>252</v>
      </c>
      <c r="G16323" s="49" t="str">
        <f t="shared" si="1"/>
        <v>33125</v>
      </c>
      <c r="H16323" s="49">
        <f t="shared" si="2"/>
        <v>33536</v>
      </c>
    </row>
    <row r="16324">
      <c r="A16324" s="48" t="s">
        <v>2773</v>
      </c>
      <c r="B16324" s="38">
        <v>21012.0</v>
      </c>
      <c r="C16324" s="38" t="s">
        <v>20709</v>
      </c>
      <c r="D16324" s="38" t="str">
        <f>IFERROR(__xludf.DUMMYFUNCTION("REGEXREPLACE(C16324,""-\d+(.*)|--\d+(.*)"","""")"),"AMPILLY-LE-SEC")</f>
        <v>AMPILLY-LE-SEC</v>
      </c>
      <c r="E16324" s="38" t="s">
        <v>105</v>
      </c>
      <c r="F16324" s="38" t="s">
        <v>106</v>
      </c>
      <c r="G16324" s="49" t="str">
        <f t="shared" si="1"/>
        <v>21400</v>
      </c>
      <c r="H16324" s="49">
        <f t="shared" si="2"/>
        <v>21012</v>
      </c>
    </row>
    <row r="16325">
      <c r="A16325" s="48" t="s">
        <v>785</v>
      </c>
      <c r="B16325" s="38">
        <v>33520.0</v>
      </c>
      <c r="C16325" s="38" t="s">
        <v>20710</v>
      </c>
      <c r="D16325" s="38" t="str">
        <f>IFERROR(__xludf.DUMMYFUNCTION("REGEXREPLACE(C16325,""-\d+(.*)|--\d+(.*)"","""")"),"TAILLECAVAT")</f>
        <v>TAILLECAVAT</v>
      </c>
      <c r="E16325" s="38" t="s">
        <v>462</v>
      </c>
      <c r="F16325" s="38" t="s">
        <v>252</v>
      </c>
      <c r="G16325" s="49" t="str">
        <f t="shared" si="1"/>
        <v>33580</v>
      </c>
      <c r="H16325" s="49">
        <f t="shared" si="2"/>
        <v>33520</v>
      </c>
    </row>
    <row r="16326">
      <c r="A16326" s="48" t="s">
        <v>3366</v>
      </c>
      <c r="B16326" s="38">
        <v>47326.0</v>
      </c>
      <c r="C16326" s="38" t="s">
        <v>20711</v>
      </c>
      <c r="D16326" s="38" t="str">
        <f>IFERROR(__xludf.DUMMYFUNCTION("REGEXREPLACE(C16326,""-\d+(.*)|--\d+(.*)"","""")"),"VIRAZEIL")</f>
        <v>VIRAZEIL</v>
      </c>
      <c r="E16326" s="38" t="s">
        <v>251</v>
      </c>
      <c r="F16326" s="38" t="s">
        <v>252</v>
      </c>
      <c r="G16326" s="49" t="str">
        <f t="shared" si="1"/>
        <v>47200</v>
      </c>
      <c r="H16326" s="49">
        <f t="shared" si="2"/>
        <v>47326</v>
      </c>
    </row>
    <row r="16327">
      <c r="A16327" s="48" t="s">
        <v>789</v>
      </c>
      <c r="B16327" s="38">
        <v>10431.0</v>
      </c>
      <c r="C16327" s="38" t="s">
        <v>20712</v>
      </c>
      <c r="D16327" s="38" t="str">
        <f>IFERROR(__xludf.DUMMYFUNCTION("REGEXREPLACE(C16327,""-\d+(.*)|--\d+(.*)"","""")"),"VILLIERS-LE-BOIS")</f>
        <v>VILLIERS-LE-BOIS</v>
      </c>
      <c r="E16327" s="38" t="s">
        <v>147</v>
      </c>
      <c r="F16327" s="38" t="s">
        <v>130</v>
      </c>
      <c r="G16327" s="49" t="str">
        <f t="shared" si="1"/>
        <v>10210</v>
      </c>
      <c r="H16327" s="49">
        <f t="shared" si="2"/>
        <v>10431</v>
      </c>
    </row>
    <row r="16328">
      <c r="A16328" s="48" t="s">
        <v>5941</v>
      </c>
      <c r="B16328" s="38">
        <v>22289.0</v>
      </c>
      <c r="C16328" s="38" t="s">
        <v>20713</v>
      </c>
      <c r="D16328" s="38" t="str">
        <f>IFERROR(__xludf.DUMMYFUNCTION("REGEXREPLACE(C16328,""-\d+(.*)|--\d+(.*)"","""")"),"SAINT-FIACRE")</f>
        <v>SAINT-FIACRE</v>
      </c>
      <c r="E16328" s="38" t="s">
        <v>89</v>
      </c>
      <c r="F16328" s="38" t="s">
        <v>90</v>
      </c>
      <c r="G16328" s="49" t="str">
        <f t="shared" si="1"/>
        <v>22720</v>
      </c>
      <c r="H16328" s="49">
        <f t="shared" si="2"/>
        <v>22289</v>
      </c>
    </row>
    <row r="16329">
      <c r="A16329" s="48" t="s">
        <v>18027</v>
      </c>
      <c r="B16329" s="38">
        <v>87159.0</v>
      </c>
      <c r="C16329" s="38" t="s">
        <v>20714</v>
      </c>
      <c r="D16329" s="38" t="str">
        <f>IFERROR(__xludf.DUMMYFUNCTION("REGEXREPLACE(C16329,""-\d+(.*)|--\d+(.*)"","""")"),"SAINT-LEGER-LA-MONTAGNE")</f>
        <v>SAINT-LEGER-LA-MONTAGNE</v>
      </c>
      <c r="E16329" s="38" t="s">
        <v>897</v>
      </c>
      <c r="F16329" s="38" t="s">
        <v>98</v>
      </c>
      <c r="G16329" s="49" t="str">
        <f t="shared" si="1"/>
        <v>87340</v>
      </c>
      <c r="H16329" s="49">
        <f t="shared" si="2"/>
        <v>87159</v>
      </c>
    </row>
    <row r="16330">
      <c r="A16330" s="48" t="s">
        <v>3846</v>
      </c>
      <c r="B16330" s="38">
        <v>19089.0</v>
      </c>
      <c r="C16330" s="38" t="s">
        <v>20715</v>
      </c>
      <c r="D16330" s="38" t="str">
        <f>IFERROR(__xludf.DUMMYFUNCTION("REGEXREPLACE(C16330,""-\d+(.*)|--\d+(.*)"","""")"),"GROS-CHASTANG")</f>
        <v>GROS-CHASTANG</v>
      </c>
      <c r="E16330" s="38" t="s">
        <v>271</v>
      </c>
      <c r="F16330" s="38" t="s">
        <v>98</v>
      </c>
      <c r="G16330" s="49" t="str">
        <f t="shared" si="1"/>
        <v>19320</v>
      </c>
      <c r="H16330" s="49">
        <f t="shared" si="2"/>
        <v>19089</v>
      </c>
    </row>
    <row r="16331">
      <c r="A16331" s="48" t="s">
        <v>2807</v>
      </c>
      <c r="B16331" s="38">
        <v>81050.0</v>
      </c>
      <c r="C16331" s="38" t="s">
        <v>20716</v>
      </c>
      <c r="D16331" s="38" t="str">
        <f>IFERROR(__xludf.DUMMYFUNCTION("REGEXREPLACE(C16331,""-\d+(.*)|--\d+(.*)"","""")"),"CAMBON-LES-LAVAUR")</f>
        <v>CAMBON-LES-LAVAUR</v>
      </c>
      <c r="E16331" s="38" t="s">
        <v>231</v>
      </c>
      <c r="F16331" s="38" t="s">
        <v>94</v>
      </c>
      <c r="G16331" s="49" t="str">
        <f t="shared" si="1"/>
        <v>81470</v>
      </c>
      <c r="H16331" s="49">
        <f t="shared" si="2"/>
        <v>81050</v>
      </c>
    </row>
    <row r="16332">
      <c r="A16332" s="48" t="s">
        <v>20717</v>
      </c>
      <c r="B16332" s="38">
        <v>59275.0</v>
      </c>
      <c r="C16332" s="38" t="s">
        <v>20718</v>
      </c>
      <c r="D16332" s="38" t="str">
        <f>IFERROR(__xludf.DUMMYFUNCTION("REGEXREPLACE(C16332,""-\d+(.*)|--\d+(.*)"","""")"),"GRUSON")</f>
        <v>GRUSON</v>
      </c>
      <c r="E16332" s="38" t="s">
        <v>85</v>
      </c>
      <c r="F16332" s="38" t="s">
        <v>86</v>
      </c>
      <c r="G16332" s="49" t="str">
        <f t="shared" si="1"/>
        <v>59152</v>
      </c>
      <c r="H16332" s="49">
        <f t="shared" si="2"/>
        <v>59275</v>
      </c>
    </row>
    <row r="16333">
      <c r="A16333" s="48" t="s">
        <v>2243</v>
      </c>
      <c r="B16333" s="38">
        <v>17049.0</v>
      </c>
      <c r="C16333" s="38" t="s">
        <v>20719</v>
      </c>
      <c r="D16333" s="38" t="str">
        <f>IFERROR(__xludf.DUMMYFUNCTION("REGEXREPLACE(C16333,""-\d+(.*)|--\d+(.*)"","""")"),"BLANZAY-SUR-BOUTONNE")</f>
        <v>BLANZAY-SUR-BOUTONNE</v>
      </c>
      <c r="E16333" s="38" t="s">
        <v>488</v>
      </c>
      <c r="F16333" s="38" t="s">
        <v>338</v>
      </c>
      <c r="G16333" s="49" t="str">
        <f t="shared" si="1"/>
        <v>17470</v>
      </c>
      <c r="H16333" s="49">
        <f t="shared" si="2"/>
        <v>17049</v>
      </c>
    </row>
    <row r="16334">
      <c r="A16334" s="48" t="s">
        <v>239</v>
      </c>
      <c r="B16334" s="38">
        <v>27219.0</v>
      </c>
      <c r="C16334" s="38" t="s">
        <v>20720</v>
      </c>
      <c r="D16334" s="38" t="str">
        <f>IFERROR(__xludf.DUMMYFUNCTION("REGEXREPLACE(C16334,""-\d+(.*)|--\d+(.*)"","""")"),"EPEGARD")</f>
        <v>EPEGARD</v>
      </c>
      <c r="E16334" s="38" t="s">
        <v>241</v>
      </c>
      <c r="F16334" s="38" t="s">
        <v>134</v>
      </c>
      <c r="G16334" s="49" t="str">
        <f t="shared" si="1"/>
        <v>27110</v>
      </c>
      <c r="H16334" s="49">
        <f t="shared" si="2"/>
        <v>27219</v>
      </c>
    </row>
    <row r="16335">
      <c r="A16335" s="48" t="s">
        <v>1310</v>
      </c>
      <c r="B16335" s="38">
        <v>25585.0</v>
      </c>
      <c r="C16335" s="38" t="s">
        <v>20721</v>
      </c>
      <c r="D16335" s="38" t="str">
        <f>IFERROR(__xludf.DUMMYFUNCTION("REGEXREPLACE(C16335,""-\d+(.*)|--\d+(.*)"","""")"),"VANCLANS")</f>
        <v>VANCLANS</v>
      </c>
      <c r="E16335" s="38" t="s">
        <v>213</v>
      </c>
      <c r="F16335" s="38" t="s">
        <v>214</v>
      </c>
      <c r="G16335" s="49" t="str">
        <f t="shared" si="1"/>
        <v>25580</v>
      </c>
      <c r="H16335" s="49">
        <f t="shared" si="2"/>
        <v>25585</v>
      </c>
    </row>
    <row r="16336">
      <c r="A16336" s="48" t="s">
        <v>3036</v>
      </c>
      <c r="B16336" s="38">
        <v>61062.0</v>
      </c>
      <c r="C16336" s="38" t="s">
        <v>20722</v>
      </c>
      <c r="D16336" s="38" t="str">
        <f>IFERROR(__xludf.DUMMYFUNCTION("REGEXREPLACE(C16336,""-\d+(.*)|--\d+(.*)"","""")"),"BRIEUX")</f>
        <v>BRIEUX</v>
      </c>
      <c r="E16336" s="38" t="s">
        <v>141</v>
      </c>
      <c r="F16336" s="38" t="s">
        <v>138</v>
      </c>
      <c r="G16336" s="49" t="str">
        <f t="shared" si="1"/>
        <v>61160</v>
      </c>
      <c r="H16336" s="49">
        <f t="shared" si="2"/>
        <v>61062</v>
      </c>
    </row>
    <row r="16337">
      <c r="A16337" s="48" t="s">
        <v>222</v>
      </c>
      <c r="B16337" s="38">
        <v>80028.0</v>
      </c>
      <c r="C16337" s="38" t="s">
        <v>20723</v>
      </c>
      <c r="D16337" s="38" t="str">
        <f>IFERROR(__xludf.DUMMYFUNCTION("REGEXREPLACE(C16337,""-\d+(.*)|--\d+(.*)"","""")"),"ARQUEVES")</f>
        <v>ARQUEVES</v>
      </c>
      <c r="E16337" s="38" t="s">
        <v>224</v>
      </c>
      <c r="F16337" s="38" t="s">
        <v>113</v>
      </c>
      <c r="G16337" s="49" t="str">
        <f t="shared" si="1"/>
        <v>80560</v>
      </c>
      <c r="H16337" s="49">
        <f t="shared" si="2"/>
        <v>80028</v>
      </c>
    </row>
    <row r="16338">
      <c r="A16338" s="48" t="s">
        <v>2666</v>
      </c>
      <c r="B16338" s="38">
        <v>34318.0</v>
      </c>
      <c r="C16338" s="38" t="s">
        <v>20724</v>
      </c>
      <c r="D16338" s="38" t="str">
        <f>IFERROR(__xludf.DUMMYFUNCTION("REGEXREPLACE(C16338,""-\d+(.*)|--\d+(.*)"","""")"),"VACQUIERES")</f>
        <v>VACQUIERES</v>
      </c>
      <c r="E16338" s="38" t="s">
        <v>118</v>
      </c>
      <c r="F16338" s="38" t="s">
        <v>119</v>
      </c>
      <c r="G16338" s="49" t="str">
        <f t="shared" si="1"/>
        <v>34270</v>
      </c>
      <c r="H16338" s="49">
        <f t="shared" si="2"/>
        <v>34318</v>
      </c>
    </row>
    <row r="16339">
      <c r="A16339" s="48" t="s">
        <v>2126</v>
      </c>
      <c r="B16339" s="38">
        <v>59473.0</v>
      </c>
      <c r="C16339" s="38" t="s">
        <v>20725</v>
      </c>
      <c r="D16339" s="38" t="str">
        <f>IFERROR(__xludf.DUMMYFUNCTION("REGEXREPLACE(C16339,""-\d+(.*)|--\d+(.*)"","""")"),"PREUX-AU-SART")</f>
        <v>PREUX-AU-SART</v>
      </c>
      <c r="E16339" s="38" t="s">
        <v>85</v>
      </c>
      <c r="F16339" s="38" t="s">
        <v>86</v>
      </c>
      <c r="G16339" s="49" t="str">
        <f t="shared" si="1"/>
        <v>59144</v>
      </c>
      <c r="H16339" s="49">
        <f t="shared" si="2"/>
        <v>59473</v>
      </c>
    </row>
    <row r="16340">
      <c r="A16340" s="48" t="s">
        <v>12642</v>
      </c>
      <c r="B16340" s="38">
        <v>50308.0</v>
      </c>
      <c r="C16340" s="38" t="s">
        <v>20726</v>
      </c>
      <c r="D16340" s="38" t="str">
        <f>IFERROR(__xludf.DUMMYFUNCTION("REGEXREPLACE(C16340,""-\d+(.*)|--\d+(.*)"","""")"),"LE MESNILBUS")</f>
        <v>LE MESNILBUS</v>
      </c>
      <c r="E16340" s="38" t="s">
        <v>157</v>
      </c>
      <c r="F16340" s="38" t="s">
        <v>138</v>
      </c>
      <c r="G16340" s="49" t="str">
        <f t="shared" si="1"/>
        <v>50490</v>
      </c>
      <c r="H16340" s="49">
        <f t="shared" si="2"/>
        <v>50308</v>
      </c>
    </row>
    <row r="16341">
      <c r="A16341" s="48" t="s">
        <v>2805</v>
      </c>
      <c r="B16341" s="38">
        <v>23108.0</v>
      </c>
      <c r="C16341" s="38" t="s">
        <v>20727</v>
      </c>
      <c r="D16341" s="38" t="str">
        <f>IFERROR(__xludf.DUMMYFUNCTION("REGEXREPLACE(C16341,""-\d+(.*)|--\d+(.*)"","""")"),"LEYRAT")</f>
        <v>LEYRAT</v>
      </c>
      <c r="E16341" s="38" t="s">
        <v>97</v>
      </c>
      <c r="F16341" s="38" t="s">
        <v>98</v>
      </c>
      <c r="G16341" s="49" t="str">
        <f t="shared" si="1"/>
        <v>23600</v>
      </c>
      <c r="H16341" s="49">
        <f t="shared" si="2"/>
        <v>23108</v>
      </c>
    </row>
    <row r="16342">
      <c r="A16342" s="48" t="s">
        <v>7763</v>
      </c>
      <c r="B16342" s="38">
        <v>89049.0</v>
      </c>
      <c r="C16342" s="38" t="s">
        <v>10741</v>
      </c>
      <c r="D16342" s="38" t="str">
        <f>IFERROR(__xludf.DUMMYFUNCTION("REGEXREPLACE(C16342,""-\d+(.*)|--\d+(.*)"","""")"),"BOIS-D'ARCY")</f>
        <v>BOIS-D'ARCY</v>
      </c>
      <c r="E16342" s="38" t="s">
        <v>275</v>
      </c>
      <c r="F16342" s="38" t="s">
        <v>106</v>
      </c>
      <c r="G16342" s="49" t="str">
        <f t="shared" si="1"/>
        <v>89660</v>
      </c>
      <c r="H16342" s="49">
        <f t="shared" si="2"/>
        <v>89049</v>
      </c>
    </row>
    <row r="16343">
      <c r="A16343" s="48" t="s">
        <v>13902</v>
      </c>
      <c r="B16343" s="38">
        <v>49296.0</v>
      </c>
      <c r="C16343" s="38" t="s">
        <v>20728</v>
      </c>
      <c r="D16343" s="38" t="str">
        <f>IFERROR(__xludf.DUMMYFUNCTION("REGEXREPLACE(C16343,""-\d+(.*)|--\d+(.*)"","""")"),"SAINT-LAURENT-DES-AUTELS")</f>
        <v>SAINT-LAURENT-DES-AUTELS</v>
      </c>
      <c r="E16343" s="38" t="s">
        <v>653</v>
      </c>
      <c r="F16343" s="38" t="s">
        <v>180</v>
      </c>
      <c r="G16343" s="49" t="str">
        <f t="shared" si="1"/>
        <v>49270</v>
      </c>
      <c r="H16343" s="49">
        <f t="shared" si="2"/>
        <v>49296</v>
      </c>
    </row>
    <row r="16344">
      <c r="A16344" s="48" t="s">
        <v>6047</v>
      </c>
      <c r="B16344" s="38">
        <v>38335.0</v>
      </c>
      <c r="C16344" s="38" t="s">
        <v>20729</v>
      </c>
      <c r="D16344" s="38" t="str">
        <f>IFERROR(__xludf.DUMMYFUNCTION("REGEXREPLACE(C16344,""-\d+(.*)|--\d+(.*)"","""")"),"REVEL-TOURDAN")</f>
        <v>REVEL-TOURDAN</v>
      </c>
      <c r="E16344" s="38" t="s">
        <v>101</v>
      </c>
      <c r="F16344" s="38" t="s">
        <v>102</v>
      </c>
      <c r="G16344" s="49" t="str">
        <f t="shared" si="1"/>
        <v>38270</v>
      </c>
      <c r="H16344" s="49">
        <f t="shared" si="2"/>
        <v>38335</v>
      </c>
    </row>
    <row r="16345">
      <c r="A16345" s="48" t="s">
        <v>3335</v>
      </c>
      <c r="B16345" s="38">
        <v>53071.0</v>
      </c>
      <c r="C16345" s="38" t="s">
        <v>20730</v>
      </c>
      <c r="D16345" s="38" t="str">
        <f>IFERROR(__xludf.DUMMYFUNCTION("REGEXREPLACE(C16345,""-\d+(.*)|--\d+(.*)"","""")"),"COLOMBIERS-DU-PLESSIS")</f>
        <v>COLOMBIERS-DU-PLESSIS</v>
      </c>
      <c r="E16345" s="38" t="s">
        <v>518</v>
      </c>
      <c r="F16345" s="38" t="s">
        <v>180</v>
      </c>
      <c r="G16345" s="49" t="str">
        <f t="shared" si="1"/>
        <v>53120</v>
      </c>
      <c r="H16345" s="49">
        <f t="shared" si="2"/>
        <v>53071</v>
      </c>
    </row>
    <row r="16346">
      <c r="A16346" s="48" t="s">
        <v>1991</v>
      </c>
      <c r="B16346" s="38">
        <v>54057.0</v>
      </c>
      <c r="C16346" s="38" t="s">
        <v>2319</v>
      </c>
      <c r="D16346" s="38" t="str">
        <f>IFERROR(__xludf.DUMMYFUNCTION("REGEXREPLACE(C16346,""-\d+(.*)|--\d+(.*)"","""")"),"BEAUMONT")</f>
        <v>BEAUMONT</v>
      </c>
      <c r="E16346" s="38" t="s">
        <v>548</v>
      </c>
      <c r="F16346" s="38" t="s">
        <v>195</v>
      </c>
      <c r="G16346" s="49" t="str">
        <f t="shared" si="1"/>
        <v>54470</v>
      </c>
      <c r="H16346" s="49">
        <f t="shared" si="2"/>
        <v>54057</v>
      </c>
    </row>
    <row r="16347">
      <c r="A16347" s="48" t="s">
        <v>2234</v>
      </c>
      <c r="B16347" s="38">
        <v>30076.0</v>
      </c>
      <c r="C16347" s="38" t="s">
        <v>20731</v>
      </c>
      <c r="D16347" s="38" t="str">
        <f>IFERROR(__xludf.DUMMYFUNCTION("REGEXREPLACE(C16347,""-\d+(.*)|--\d+(.*)"","""")"),"CAVILLARGUES")</f>
        <v>CAVILLARGUES</v>
      </c>
      <c r="E16347" s="38" t="s">
        <v>526</v>
      </c>
      <c r="F16347" s="38" t="s">
        <v>119</v>
      </c>
      <c r="G16347" s="49" t="str">
        <f t="shared" si="1"/>
        <v>30330</v>
      </c>
      <c r="H16347" s="49">
        <f t="shared" si="2"/>
        <v>30076</v>
      </c>
    </row>
    <row r="16348">
      <c r="A16348" s="48" t="s">
        <v>5542</v>
      </c>
      <c r="B16348" s="38">
        <v>89383.0</v>
      </c>
      <c r="C16348" s="38" t="s">
        <v>20732</v>
      </c>
      <c r="D16348" s="38" t="str">
        <f>IFERROR(__xludf.DUMMYFUNCTION("REGEXREPLACE(C16348,""-\d+(.*)|--\d+(.*)"","""")"),"SEMENTRON")</f>
        <v>SEMENTRON</v>
      </c>
      <c r="E16348" s="38" t="s">
        <v>275</v>
      </c>
      <c r="F16348" s="38" t="s">
        <v>106</v>
      </c>
      <c r="G16348" s="49" t="str">
        <f t="shared" si="1"/>
        <v>89560</v>
      </c>
      <c r="H16348" s="49">
        <f t="shared" si="2"/>
        <v>89383</v>
      </c>
    </row>
    <row r="16349">
      <c r="A16349" s="48" t="s">
        <v>1718</v>
      </c>
      <c r="B16349" s="38">
        <v>43199.0</v>
      </c>
      <c r="C16349" s="38" t="s">
        <v>20733</v>
      </c>
      <c r="D16349" s="38" t="str">
        <f>IFERROR(__xludf.DUMMYFUNCTION("REGEXREPLACE(C16349,""-\d+(.*)|--\d+(.*)"","""")"),"SAINT-JEURES")</f>
        <v>SAINT-JEURES</v>
      </c>
      <c r="E16349" s="38" t="s">
        <v>332</v>
      </c>
      <c r="F16349" s="38" t="s">
        <v>161</v>
      </c>
      <c r="G16349" s="49" t="str">
        <f t="shared" si="1"/>
        <v>43200</v>
      </c>
      <c r="H16349" s="49">
        <f t="shared" si="2"/>
        <v>43199</v>
      </c>
    </row>
    <row r="16350">
      <c r="A16350" s="48" t="s">
        <v>20734</v>
      </c>
      <c r="B16350" s="38">
        <v>48122.0</v>
      </c>
      <c r="C16350" s="38" t="s">
        <v>20735</v>
      </c>
      <c r="D16350" s="38" t="str">
        <f>IFERROR(__xludf.DUMMYFUNCTION("REGEXREPLACE(C16350,""-\d+(.*)|--\d+(.*)"","""")"),"QUEZAC")</f>
        <v>QUEZAC</v>
      </c>
      <c r="E16350" s="38" t="s">
        <v>154</v>
      </c>
      <c r="F16350" s="38" t="s">
        <v>119</v>
      </c>
      <c r="G16350" s="49" t="str">
        <f t="shared" si="1"/>
        <v>48320</v>
      </c>
      <c r="H16350" s="49">
        <f t="shared" si="2"/>
        <v>48122</v>
      </c>
    </row>
    <row r="16351">
      <c r="A16351" s="48" t="s">
        <v>618</v>
      </c>
      <c r="B16351" s="38">
        <v>54190.0</v>
      </c>
      <c r="C16351" s="38" t="s">
        <v>20736</v>
      </c>
      <c r="D16351" s="38" t="str">
        <f>IFERROR(__xludf.DUMMYFUNCTION("REGEXREPLACE(C16351,""-\d+(.*)|--\d+(.*)"","""")"),"FECOCOURT")</f>
        <v>FECOCOURT</v>
      </c>
      <c r="E16351" s="38" t="s">
        <v>548</v>
      </c>
      <c r="F16351" s="38" t="s">
        <v>195</v>
      </c>
      <c r="G16351" s="49" t="str">
        <f t="shared" si="1"/>
        <v>54115</v>
      </c>
      <c r="H16351" s="49">
        <f t="shared" si="2"/>
        <v>54190</v>
      </c>
    </row>
    <row r="16352">
      <c r="A16352" s="48" t="s">
        <v>5372</v>
      </c>
      <c r="B16352" s="38">
        <v>73003.0</v>
      </c>
      <c r="C16352" s="38" t="s">
        <v>20737</v>
      </c>
      <c r="D16352" s="38" t="str">
        <f>IFERROR(__xludf.DUMMYFUNCTION("REGEXREPLACE(C16352,""-\d+(.*)|--\d+(.*)"","""")"),"AIGUEBLANCHE")</f>
        <v>AIGUEBLANCHE</v>
      </c>
      <c r="E16352" s="38" t="s">
        <v>306</v>
      </c>
      <c r="F16352" s="38" t="s">
        <v>102</v>
      </c>
      <c r="G16352" s="49" t="str">
        <f t="shared" si="1"/>
        <v>73260</v>
      </c>
      <c r="H16352" s="49">
        <f t="shared" si="2"/>
        <v>73003</v>
      </c>
    </row>
    <row r="16353">
      <c r="A16353" s="48" t="s">
        <v>3900</v>
      </c>
      <c r="B16353" s="38">
        <v>2583.0</v>
      </c>
      <c r="C16353" s="38" t="s">
        <v>20738</v>
      </c>
      <c r="D16353" s="38" t="str">
        <f>IFERROR(__xludf.DUMMYFUNCTION("REGEXREPLACE(C16353,""-\d+(.*)|--\d+(.*)"","""")"),"PANCY-COURTECON")</f>
        <v>PANCY-COURTECON</v>
      </c>
      <c r="E16353" s="38" t="s">
        <v>191</v>
      </c>
      <c r="F16353" s="38" t="s">
        <v>113</v>
      </c>
      <c r="G16353" s="49" t="str">
        <f t="shared" si="1"/>
        <v>02860</v>
      </c>
      <c r="H16353" s="49" t="str">
        <f t="shared" si="2"/>
        <v>02583</v>
      </c>
    </row>
    <row r="16354">
      <c r="A16354" s="48" t="s">
        <v>3430</v>
      </c>
      <c r="B16354" s="38">
        <v>84045.0</v>
      </c>
      <c r="C16354" s="38" t="s">
        <v>20739</v>
      </c>
      <c r="D16354" s="38" t="str">
        <f>IFERROR(__xludf.DUMMYFUNCTION("REGEXREPLACE(C16354,""-\d+(.*)|--\d+(.*)"","""")"),"FAUCON")</f>
        <v>FAUCON</v>
      </c>
      <c r="E16354" s="38" t="s">
        <v>1026</v>
      </c>
      <c r="F16354" s="38" t="s">
        <v>228</v>
      </c>
      <c r="G16354" s="49" t="str">
        <f t="shared" si="1"/>
        <v>84110</v>
      </c>
      <c r="H16354" s="49">
        <f t="shared" si="2"/>
        <v>84045</v>
      </c>
    </row>
    <row r="16355">
      <c r="A16355" s="48" t="s">
        <v>5938</v>
      </c>
      <c r="B16355" s="38">
        <v>58254.0</v>
      </c>
      <c r="C16355" s="38" t="s">
        <v>20740</v>
      </c>
      <c r="D16355" s="38" t="str">
        <f>IFERROR(__xludf.DUMMYFUNCTION("REGEXREPLACE(C16355,""-\d+(.*)|--\d+(.*)"","""")"),"SAINT-MARTIN-D'HEUILLE")</f>
        <v>SAINT-MARTIN-D'HEUILLE</v>
      </c>
      <c r="E16355" s="38" t="s">
        <v>219</v>
      </c>
      <c r="F16355" s="38" t="s">
        <v>106</v>
      </c>
      <c r="G16355" s="49" t="str">
        <f t="shared" si="1"/>
        <v>58130</v>
      </c>
      <c r="H16355" s="49">
        <f t="shared" si="2"/>
        <v>58254</v>
      </c>
    </row>
    <row r="16356">
      <c r="A16356" s="48" t="s">
        <v>14095</v>
      </c>
      <c r="B16356" s="38">
        <v>1399.0</v>
      </c>
      <c r="C16356" s="38" t="s">
        <v>20741</v>
      </c>
      <c r="D16356" s="38" t="str">
        <f>IFERROR(__xludf.DUMMYFUNCTION("REGEXREPLACE(C16356,""-\d+(.*)|--\d+(.*)"","""")"),"SEGNY")</f>
        <v>SEGNY</v>
      </c>
      <c r="E16356" s="38" t="s">
        <v>255</v>
      </c>
      <c r="F16356" s="38" t="s">
        <v>102</v>
      </c>
      <c r="G16356" s="49" t="str">
        <f t="shared" si="1"/>
        <v>01170</v>
      </c>
      <c r="H16356" s="49" t="str">
        <f t="shared" si="2"/>
        <v>01399</v>
      </c>
    </row>
    <row r="16357">
      <c r="A16357" s="48" t="s">
        <v>2955</v>
      </c>
      <c r="B16357" s="38">
        <v>76049.0</v>
      </c>
      <c r="C16357" s="38" t="s">
        <v>20742</v>
      </c>
      <c r="D16357" s="38" t="str">
        <f>IFERROR(__xludf.DUMMYFUNCTION("REGEXREPLACE(C16357,""-\d+(.*)|--\d+(.*)"","""")"),"AVESNES-EN-VAL")</f>
        <v>AVESNES-EN-VAL</v>
      </c>
      <c r="E16357" s="38" t="s">
        <v>133</v>
      </c>
      <c r="F16357" s="38" t="s">
        <v>134</v>
      </c>
      <c r="G16357" s="49" t="str">
        <f t="shared" si="1"/>
        <v>76630</v>
      </c>
      <c r="H16357" s="49">
        <f t="shared" si="2"/>
        <v>76049</v>
      </c>
    </row>
    <row r="16358">
      <c r="A16358" s="48" t="s">
        <v>12223</v>
      </c>
      <c r="B16358" s="38">
        <v>3232.0</v>
      </c>
      <c r="C16358" s="38" t="s">
        <v>7139</v>
      </c>
      <c r="D16358" s="38" t="str">
        <f>IFERROR(__xludf.DUMMYFUNCTION("REGEXREPLACE(C16358,""-\d+(.*)|--\d+(.*)"","""")"),"SAINT-FELIX")</f>
        <v>SAINT-FELIX</v>
      </c>
      <c r="E16358" s="38" t="s">
        <v>160</v>
      </c>
      <c r="F16358" s="38" t="s">
        <v>161</v>
      </c>
      <c r="G16358" s="49" t="str">
        <f t="shared" si="1"/>
        <v>03260</v>
      </c>
      <c r="H16358" s="49" t="str">
        <f t="shared" si="2"/>
        <v>03232</v>
      </c>
    </row>
    <row r="16359">
      <c r="A16359" s="48" t="s">
        <v>7237</v>
      </c>
      <c r="B16359" s="38">
        <v>17302.0</v>
      </c>
      <c r="C16359" s="38" t="s">
        <v>20743</v>
      </c>
      <c r="D16359" s="38" t="str">
        <f>IFERROR(__xludf.DUMMYFUNCTION("REGEXREPLACE(C16359,""-\d+(.*)|--\d+(.*)"","""")"),"ROMEGOUX")</f>
        <v>ROMEGOUX</v>
      </c>
      <c r="E16359" s="38" t="s">
        <v>488</v>
      </c>
      <c r="F16359" s="38" t="s">
        <v>338</v>
      </c>
      <c r="G16359" s="49" t="str">
        <f t="shared" si="1"/>
        <v>17250</v>
      </c>
      <c r="H16359" s="49">
        <f t="shared" si="2"/>
        <v>17302</v>
      </c>
    </row>
    <row r="16360">
      <c r="A16360" s="48" t="s">
        <v>6709</v>
      </c>
      <c r="B16360" s="38">
        <v>29202.0</v>
      </c>
      <c r="C16360" s="38" t="s">
        <v>20744</v>
      </c>
      <c r="D16360" s="38" t="str">
        <f>IFERROR(__xludf.DUMMYFUNCTION("REGEXREPLACE(C16360,""-\d+(.*)|--\d+(.*)"","""")"),"PLOUNEOUR-MENEZ")</f>
        <v>PLOUNEOUR-MENEZ</v>
      </c>
      <c r="E16360" s="38" t="s">
        <v>176</v>
      </c>
      <c r="F16360" s="38" t="s">
        <v>90</v>
      </c>
      <c r="G16360" s="49" t="str">
        <f t="shared" si="1"/>
        <v>29410</v>
      </c>
      <c r="H16360" s="49">
        <f t="shared" si="2"/>
        <v>29202</v>
      </c>
    </row>
    <row r="16361">
      <c r="A16361" s="48" t="s">
        <v>14146</v>
      </c>
      <c r="B16361" s="38">
        <v>95409.0</v>
      </c>
      <c r="C16361" s="38" t="s">
        <v>20745</v>
      </c>
      <c r="D16361" s="38" t="str">
        <f>IFERROR(__xludf.DUMMYFUNCTION("REGEXREPLACE(C16361,""-\d+(.*)|--\d+(.*)"","""")"),"MOISSELLES")</f>
        <v>MOISSELLES</v>
      </c>
      <c r="E16361" s="38" t="s">
        <v>541</v>
      </c>
      <c r="F16361" s="38" t="s">
        <v>245</v>
      </c>
      <c r="G16361" s="49" t="str">
        <f t="shared" si="1"/>
        <v>95570</v>
      </c>
      <c r="H16361" s="49">
        <f t="shared" si="2"/>
        <v>95409</v>
      </c>
    </row>
    <row r="16362">
      <c r="A16362" s="48" t="s">
        <v>463</v>
      </c>
      <c r="B16362" s="38">
        <v>12061.0</v>
      </c>
      <c r="C16362" s="38" t="s">
        <v>20746</v>
      </c>
      <c r="D16362" s="38" t="str">
        <f>IFERROR(__xludf.DUMMYFUNCTION("REGEXREPLACE(C16362,""-\d+(.*)|--\d+(.*)"","""")"),"CASTELNAU-DE-MANDAILLES")</f>
        <v>CASTELNAU-DE-MANDAILLES</v>
      </c>
      <c r="E16362" s="38" t="s">
        <v>465</v>
      </c>
      <c r="F16362" s="38" t="s">
        <v>94</v>
      </c>
      <c r="G16362" s="49" t="str">
        <f t="shared" si="1"/>
        <v>12500</v>
      </c>
      <c r="H16362" s="49">
        <f t="shared" si="2"/>
        <v>12061</v>
      </c>
    </row>
    <row r="16363">
      <c r="A16363" s="48" t="s">
        <v>8349</v>
      </c>
      <c r="B16363" s="38">
        <v>34044.0</v>
      </c>
      <c r="C16363" s="38" t="s">
        <v>20747</v>
      </c>
      <c r="D16363" s="38" t="str">
        <f>IFERROR(__xludf.DUMMYFUNCTION("REGEXREPLACE(C16363,""-\d+(.*)|--\d+(.*)"","""")"),"CABREROLLES")</f>
        <v>CABREROLLES</v>
      </c>
      <c r="E16363" s="38" t="s">
        <v>118</v>
      </c>
      <c r="F16363" s="38" t="s">
        <v>119</v>
      </c>
      <c r="G16363" s="49" t="str">
        <f t="shared" si="1"/>
        <v>34480</v>
      </c>
      <c r="H16363" s="49">
        <f t="shared" si="2"/>
        <v>34044</v>
      </c>
    </row>
    <row r="16364">
      <c r="A16364" s="48" t="s">
        <v>616</v>
      </c>
      <c r="B16364" s="38">
        <v>89025.0</v>
      </c>
      <c r="C16364" s="38" t="s">
        <v>20748</v>
      </c>
      <c r="D16364" s="38" t="str">
        <f>IFERROR(__xludf.DUMMYFUNCTION("REGEXREPLACE(C16364,""-\d+(.*)|--\d+(.*)"","""")"),"AVALLON")</f>
        <v>AVALLON</v>
      </c>
      <c r="E16364" s="38" t="s">
        <v>275</v>
      </c>
      <c r="F16364" s="38" t="s">
        <v>106</v>
      </c>
      <c r="G16364" s="49" t="str">
        <f t="shared" si="1"/>
        <v>89200</v>
      </c>
      <c r="H16364" s="49">
        <f t="shared" si="2"/>
        <v>89025</v>
      </c>
    </row>
    <row r="16365">
      <c r="A16365" s="48" t="s">
        <v>9817</v>
      </c>
      <c r="B16365" s="38">
        <v>85292.0</v>
      </c>
      <c r="C16365" s="38" t="s">
        <v>20749</v>
      </c>
      <c r="D16365" s="38" t="str">
        <f>IFERROR(__xludf.DUMMYFUNCTION("REGEXREPLACE(C16365,""-\d+(.*)|--\d+(.*)"","""")"),"THOUARSAIS-BOUILDROUX")</f>
        <v>THOUARSAIS-BOUILDROUX</v>
      </c>
      <c r="E16365" s="38" t="s">
        <v>179</v>
      </c>
      <c r="F16365" s="38" t="s">
        <v>180</v>
      </c>
      <c r="G16365" s="49" t="str">
        <f t="shared" si="1"/>
        <v>85410</v>
      </c>
      <c r="H16365" s="49">
        <f t="shared" si="2"/>
        <v>85292</v>
      </c>
    </row>
    <row r="16366">
      <c r="A16366" s="48" t="s">
        <v>7144</v>
      </c>
      <c r="B16366" s="38">
        <v>76469.0</v>
      </c>
      <c r="C16366" s="38" t="s">
        <v>20750</v>
      </c>
      <c r="D16366" s="38" t="str">
        <f>IFERROR(__xludf.DUMMYFUNCTION("REGEXREPLACE(C16366,""-\d+(.*)|--\d+(.*)"","""")"),"NOLLEVAL")</f>
        <v>NOLLEVAL</v>
      </c>
      <c r="E16366" s="38" t="s">
        <v>133</v>
      </c>
      <c r="F16366" s="38" t="s">
        <v>134</v>
      </c>
      <c r="G16366" s="49" t="str">
        <f t="shared" si="1"/>
        <v>76780</v>
      </c>
      <c r="H16366" s="49">
        <f t="shared" si="2"/>
        <v>76469</v>
      </c>
    </row>
    <row r="16367">
      <c r="A16367" s="48" t="s">
        <v>1210</v>
      </c>
      <c r="B16367" s="38">
        <v>50190.0</v>
      </c>
      <c r="C16367" s="38" t="s">
        <v>20751</v>
      </c>
      <c r="D16367" s="38" t="str">
        <f>IFERROR(__xludf.DUMMYFUNCTION("REGEXREPLACE(C16367,""-\d+(.*)|--\d+(.*)"","""")"),"FONTENAY-SUR-MER")</f>
        <v>FONTENAY-SUR-MER</v>
      </c>
      <c r="E16367" s="38" t="s">
        <v>157</v>
      </c>
      <c r="F16367" s="38" t="s">
        <v>138</v>
      </c>
      <c r="G16367" s="49" t="str">
        <f t="shared" si="1"/>
        <v>50310</v>
      </c>
      <c r="H16367" s="49">
        <f t="shared" si="2"/>
        <v>50190</v>
      </c>
    </row>
    <row r="16368">
      <c r="A16368" s="48" t="s">
        <v>744</v>
      </c>
      <c r="B16368" s="38">
        <v>14347.0</v>
      </c>
      <c r="C16368" s="38" t="s">
        <v>20752</v>
      </c>
      <c r="D16368" s="38" t="str">
        <f>IFERROR(__xludf.DUMMYFUNCTION("REGEXREPLACE(C16368,""-\d+(.*)|--\d+(.*)"","""")"),"JURQUES")</f>
        <v>JURQUES</v>
      </c>
      <c r="E16368" s="38" t="s">
        <v>137</v>
      </c>
      <c r="F16368" s="38" t="s">
        <v>138</v>
      </c>
      <c r="G16368" s="49" t="str">
        <f t="shared" si="1"/>
        <v>14260</v>
      </c>
      <c r="H16368" s="49">
        <f t="shared" si="2"/>
        <v>14347</v>
      </c>
    </row>
    <row r="16369">
      <c r="A16369" s="48" t="s">
        <v>5370</v>
      </c>
      <c r="B16369" s="38">
        <v>15170.0</v>
      </c>
      <c r="C16369" s="38" t="s">
        <v>20753</v>
      </c>
      <c r="D16369" s="38" t="str">
        <f>IFERROR(__xludf.DUMMYFUNCTION("REGEXREPLACE(C16369,""-\d+(.*)|--\d+(.*)"","""")"),"SAINT-AMANDIN")</f>
        <v>SAINT-AMANDIN</v>
      </c>
      <c r="E16369" s="38" t="s">
        <v>632</v>
      </c>
      <c r="F16369" s="38" t="s">
        <v>161</v>
      </c>
      <c r="G16369" s="49" t="str">
        <f t="shared" si="1"/>
        <v>15190</v>
      </c>
      <c r="H16369" s="49">
        <f t="shared" si="2"/>
        <v>15170</v>
      </c>
    </row>
    <row r="16370">
      <c r="A16370" s="48" t="s">
        <v>5400</v>
      </c>
      <c r="B16370" s="38">
        <v>72008.0</v>
      </c>
      <c r="C16370" s="38" t="s">
        <v>20754</v>
      </c>
      <c r="D16370" s="38" t="str">
        <f>IFERROR(__xludf.DUMMYFUNCTION("REGEXREPLACE(C16370,""-\d+(.*)|--\d+(.*)"","""")"),"ARNAGE")</f>
        <v>ARNAGE</v>
      </c>
      <c r="E16370" s="38" t="s">
        <v>521</v>
      </c>
      <c r="F16370" s="38" t="s">
        <v>180</v>
      </c>
      <c r="G16370" s="49" t="str">
        <f t="shared" si="1"/>
        <v>72230</v>
      </c>
      <c r="H16370" s="49">
        <f t="shared" si="2"/>
        <v>72008</v>
      </c>
    </row>
    <row r="16371">
      <c r="A16371" s="48" t="s">
        <v>20755</v>
      </c>
      <c r="B16371" s="38">
        <v>95488.0</v>
      </c>
      <c r="C16371" s="38" t="s">
        <v>20756</v>
      </c>
      <c r="D16371" s="38" t="str">
        <f>IFERROR(__xludf.DUMMYFUNCTION("REGEXREPLACE(C16371,""-\d+(.*)|--\d+(.*)"","""")"),"PIERRELAYE")</f>
        <v>PIERRELAYE</v>
      </c>
      <c r="E16371" s="38" t="s">
        <v>541</v>
      </c>
      <c r="F16371" s="38" t="s">
        <v>245</v>
      </c>
      <c r="G16371" s="49" t="str">
        <f t="shared" si="1"/>
        <v>95480</v>
      </c>
      <c r="H16371" s="49">
        <f t="shared" si="2"/>
        <v>95488</v>
      </c>
    </row>
    <row r="16372">
      <c r="A16372" s="48" t="s">
        <v>16816</v>
      </c>
      <c r="B16372" s="38">
        <v>89045.0</v>
      </c>
      <c r="C16372" s="38" t="s">
        <v>20757</v>
      </c>
      <c r="D16372" s="38" t="str">
        <f>IFERROR(__xludf.DUMMYFUNCTION("REGEXREPLACE(C16372,""-\d+(.*)|--\d+(.*)"","""")"),"BLEIGNY-LE-CARREAU")</f>
        <v>BLEIGNY-LE-CARREAU</v>
      </c>
      <c r="E16372" s="38" t="s">
        <v>275</v>
      </c>
      <c r="F16372" s="38" t="s">
        <v>106</v>
      </c>
      <c r="G16372" s="49" t="str">
        <f t="shared" si="1"/>
        <v>89230</v>
      </c>
      <c r="H16372" s="49">
        <f t="shared" si="2"/>
        <v>89045</v>
      </c>
    </row>
    <row r="16373">
      <c r="A16373" s="48" t="s">
        <v>20758</v>
      </c>
      <c r="B16373" s="38">
        <v>53001.0</v>
      </c>
      <c r="C16373" s="38" t="s">
        <v>20759</v>
      </c>
      <c r="D16373" s="38" t="str">
        <f>IFERROR(__xludf.DUMMYFUNCTION("REGEXREPLACE(C16373,""-\d+(.*)|--\d+(.*)"","""")"),"AHUILLE")</f>
        <v>AHUILLE</v>
      </c>
      <c r="E16373" s="38" t="s">
        <v>518</v>
      </c>
      <c r="F16373" s="38" t="s">
        <v>180</v>
      </c>
      <c r="G16373" s="49" t="str">
        <f t="shared" si="1"/>
        <v>53940</v>
      </c>
      <c r="H16373" s="49">
        <f t="shared" si="2"/>
        <v>53001</v>
      </c>
    </row>
    <row r="16374">
      <c r="A16374" s="48" t="s">
        <v>217</v>
      </c>
      <c r="B16374" s="38">
        <v>58196.0</v>
      </c>
      <c r="C16374" s="38" t="s">
        <v>5355</v>
      </c>
      <c r="D16374" s="38" t="str">
        <f>IFERROR(__xludf.DUMMYFUNCTION("REGEXREPLACE(C16374,""-\d+(.*)|--\d+(.*)"","""")"),"NOLAY")</f>
        <v>NOLAY</v>
      </c>
      <c r="E16374" s="38" t="s">
        <v>219</v>
      </c>
      <c r="F16374" s="38" t="s">
        <v>106</v>
      </c>
      <c r="G16374" s="49" t="str">
        <f t="shared" si="1"/>
        <v>58700</v>
      </c>
      <c r="H16374" s="49">
        <f t="shared" si="2"/>
        <v>58196</v>
      </c>
    </row>
    <row r="16375">
      <c r="A16375" s="48" t="s">
        <v>1495</v>
      </c>
      <c r="B16375" s="38">
        <v>33181.0</v>
      </c>
      <c r="C16375" s="38" t="s">
        <v>20760</v>
      </c>
      <c r="D16375" s="38" t="str">
        <f>IFERROR(__xludf.DUMMYFUNCTION("REGEXREPLACE(C16375,""-\d+(.*)|--\d+(.*)"","""")"),"GARDEGAN-ET-TOURTIRAC")</f>
        <v>GARDEGAN-ET-TOURTIRAC</v>
      </c>
      <c r="E16375" s="38" t="s">
        <v>462</v>
      </c>
      <c r="F16375" s="38" t="s">
        <v>252</v>
      </c>
      <c r="G16375" s="49" t="str">
        <f t="shared" si="1"/>
        <v>33350</v>
      </c>
      <c r="H16375" s="49">
        <f t="shared" si="2"/>
        <v>33181</v>
      </c>
    </row>
    <row r="16376">
      <c r="A16376" s="48" t="s">
        <v>20761</v>
      </c>
      <c r="B16376" s="38">
        <v>4127.0</v>
      </c>
      <c r="C16376" s="38" t="s">
        <v>20762</v>
      </c>
      <c r="D16376" s="38" t="str">
        <f>IFERROR(__xludf.DUMMYFUNCTION("REGEXREPLACE(C16376,""-\d+(.*)|--\d+(.*)"","""")"),"MONTFORT")</f>
        <v>MONTFORT</v>
      </c>
      <c r="E16376" s="38" t="s">
        <v>662</v>
      </c>
      <c r="F16376" s="38" t="s">
        <v>228</v>
      </c>
      <c r="G16376" s="49" t="str">
        <f t="shared" si="1"/>
        <v>04600</v>
      </c>
      <c r="H16376" s="49" t="str">
        <f t="shared" si="2"/>
        <v>04127</v>
      </c>
    </row>
    <row r="16377">
      <c r="A16377" s="48" t="s">
        <v>8779</v>
      </c>
      <c r="B16377" s="38">
        <v>45074.0</v>
      </c>
      <c r="C16377" s="38" t="s">
        <v>20763</v>
      </c>
      <c r="D16377" s="38" t="str">
        <f>IFERROR(__xludf.DUMMYFUNCTION("REGEXREPLACE(C16377,""-\d+(.*)|--\d+(.*)"","""")"),"LA CHAPELLE-ONZERAIN")</f>
        <v>LA CHAPELLE-ONZERAIN</v>
      </c>
      <c r="E16377" s="38" t="s">
        <v>122</v>
      </c>
      <c r="F16377" s="38" t="s">
        <v>123</v>
      </c>
      <c r="G16377" s="49" t="str">
        <f t="shared" si="1"/>
        <v>45310</v>
      </c>
      <c r="H16377" s="49">
        <f t="shared" si="2"/>
        <v>45074</v>
      </c>
    </row>
    <row r="16378">
      <c r="A16378" s="48" t="s">
        <v>3364</v>
      </c>
      <c r="B16378" s="38">
        <v>62897.0</v>
      </c>
      <c r="C16378" s="38" t="s">
        <v>20764</v>
      </c>
      <c r="D16378" s="38" t="str">
        <f>IFERROR(__xludf.DUMMYFUNCTION("REGEXREPLACE(C16378,""-\d+(.*)|--\d+(.*)"","""")"),"WISMES")</f>
        <v>WISMES</v>
      </c>
      <c r="E16378" s="38" t="s">
        <v>109</v>
      </c>
      <c r="F16378" s="38" t="s">
        <v>86</v>
      </c>
      <c r="G16378" s="49" t="str">
        <f t="shared" si="1"/>
        <v>62380</v>
      </c>
      <c r="H16378" s="49">
        <f t="shared" si="2"/>
        <v>62897</v>
      </c>
    </row>
    <row r="16379">
      <c r="A16379" s="48" t="s">
        <v>2668</v>
      </c>
      <c r="B16379" s="38">
        <v>55561.0</v>
      </c>
      <c r="C16379" s="38" t="s">
        <v>20765</v>
      </c>
      <c r="D16379" s="38" t="str">
        <f>IFERROR(__xludf.DUMMYFUNCTION("REGEXREPLACE(C16379,""-\d+(.*)|--\d+(.*)"","""")"),"VILLERS-DEVANT-DUN")</f>
        <v>VILLERS-DEVANT-DUN</v>
      </c>
      <c r="E16379" s="38" t="s">
        <v>322</v>
      </c>
      <c r="F16379" s="38" t="s">
        <v>195</v>
      </c>
      <c r="G16379" s="49" t="str">
        <f t="shared" si="1"/>
        <v>55110</v>
      </c>
      <c r="H16379" s="49">
        <f t="shared" si="2"/>
        <v>55561</v>
      </c>
    </row>
    <row r="16380">
      <c r="A16380" s="48" t="s">
        <v>5262</v>
      </c>
      <c r="B16380" s="38">
        <v>15216.0</v>
      </c>
      <c r="C16380" s="38" t="s">
        <v>20766</v>
      </c>
      <c r="D16380" s="38" t="str">
        <f>IFERROR(__xludf.DUMMYFUNCTION("REGEXREPLACE(C16380,""-\d+(.*)|--\d+(.*)"","""")"),"SAINT-URCIZE")</f>
        <v>SAINT-URCIZE</v>
      </c>
      <c r="E16380" s="38" t="s">
        <v>632</v>
      </c>
      <c r="F16380" s="38" t="s">
        <v>161</v>
      </c>
      <c r="G16380" s="49" t="str">
        <f t="shared" si="1"/>
        <v>15110</v>
      </c>
      <c r="H16380" s="49">
        <f t="shared" si="2"/>
        <v>15216</v>
      </c>
    </row>
    <row r="16381">
      <c r="A16381" s="48" t="s">
        <v>6965</v>
      </c>
      <c r="B16381" s="38">
        <v>2733.0</v>
      </c>
      <c r="C16381" s="38" t="s">
        <v>20767</v>
      </c>
      <c r="D16381" s="38" t="str">
        <f>IFERROR(__xludf.DUMMYFUNCTION("REGEXREPLACE(C16381,""-\d+(.*)|--\d+(.*)"","""")"),"SUZY")</f>
        <v>SUZY</v>
      </c>
      <c r="E16381" s="38" t="s">
        <v>191</v>
      </c>
      <c r="F16381" s="38" t="s">
        <v>113</v>
      </c>
      <c r="G16381" s="49" t="str">
        <f t="shared" si="1"/>
        <v>02320</v>
      </c>
      <c r="H16381" s="49" t="str">
        <f t="shared" si="2"/>
        <v>02733</v>
      </c>
    </row>
    <row r="16382">
      <c r="A16382" s="48" t="s">
        <v>8711</v>
      </c>
      <c r="B16382" s="38">
        <v>33413.0</v>
      </c>
      <c r="C16382" s="38" t="s">
        <v>20768</v>
      </c>
      <c r="D16382" s="38" t="str">
        <f>IFERROR(__xludf.DUMMYFUNCTION("REGEXREPLACE(C16382,""-\d+(.*)|--\d+(.*)"","""")"),"SAINT-GERMAIN-DU-PUCH")</f>
        <v>SAINT-GERMAIN-DU-PUCH</v>
      </c>
      <c r="E16382" s="38" t="s">
        <v>462</v>
      </c>
      <c r="F16382" s="38" t="s">
        <v>252</v>
      </c>
      <c r="G16382" s="49" t="str">
        <f t="shared" si="1"/>
        <v>33750</v>
      </c>
      <c r="H16382" s="49">
        <f t="shared" si="2"/>
        <v>33413</v>
      </c>
    </row>
    <row r="16383">
      <c r="A16383" s="48" t="s">
        <v>3273</v>
      </c>
      <c r="B16383" s="38">
        <v>59015.0</v>
      </c>
      <c r="C16383" s="38" t="s">
        <v>20769</v>
      </c>
      <c r="D16383" s="38" t="str">
        <f>IFERROR(__xludf.DUMMYFUNCTION("REGEXREPLACE(C16383,""-\d+(.*)|--\d+(.*)"","""")"),"ARLEUX")</f>
        <v>ARLEUX</v>
      </c>
      <c r="E16383" s="38" t="s">
        <v>85</v>
      </c>
      <c r="F16383" s="38" t="s">
        <v>86</v>
      </c>
      <c r="G16383" s="49" t="str">
        <f t="shared" si="1"/>
        <v>59151</v>
      </c>
      <c r="H16383" s="49">
        <f t="shared" si="2"/>
        <v>59015</v>
      </c>
    </row>
    <row r="16384">
      <c r="A16384" s="48" t="s">
        <v>19271</v>
      </c>
      <c r="B16384" s="38">
        <v>8214.0</v>
      </c>
      <c r="C16384" s="38" t="s">
        <v>20770</v>
      </c>
      <c r="D16384" s="38" t="str">
        <f>IFERROR(__xludf.DUMMYFUNCTION("REGEXREPLACE(C16384,""-\d+(.*)|--\d+(.*)"","""")"),"HARGNIES")</f>
        <v>HARGNIES</v>
      </c>
      <c r="E16384" s="38" t="s">
        <v>327</v>
      </c>
      <c r="F16384" s="38" t="s">
        <v>130</v>
      </c>
      <c r="G16384" s="49" t="str">
        <f t="shared" si="1"/>
        <v>08170</v>
      </c>
      <c r="H16384" s="49" t="str">
        <f t="shared" si="2"/>
        <v>08214</v>
      </c>
    </row>
    <row r="16385">
      <c r="A16385" s="48" t="s">
        <v>20771</v>
      </c>
      <c r="B16385" s="38">
        <v>78043.0</v>
      </c>
      <c r="C16385" s="38" t="s">
        <v>20772</v>
      </c>
      <c r="D16385" s="38" t="str">
        <f>IFERROR(__xludf.DUMMYFUNCTION("REGEXREPLACE(C16385,""-\d+(.*)|--\d+(.*)"","""")"),"BAILLY")</f>
        <v>BAILLY</v>
      </c>
      <c r="E16385" s="38" t="s">
        <v>362</v>
      </c>
      <c r="F16385" s="38" t="s">
        <v>245</v>
      </c>
      <c r="G16385" s="49" t="str">
        <f t="shared" si="1"/>
        <v>78870</v>
      </c>
      <c r="H16385" s="49">
        <f t="shared" si="2"/>
        <v>78043</v>
      </c>
    </row>
    <row r="16386">
      <c r="A16386" s="48" t="s">
        <v>2237</v>
      </c>
      <c r="B16386" s="38">
        <v>45168.0</v>
      </c>
      <c r="C16386" s="38" t="s">
        <v>20773</v>
      </c>
      <c r="D16386" s="38" t="str">
        <f>IFERROR(__xludf.DUMMYFUNCTION("REGEXREPLACE(C16386,""-\d+(.*)|--\d+(.*)"","""")"),"INGRANNES")</f>
        <v>INGRANNES</v>
      </c>
      <c r="E16386" s="38" t="s">
        <v>122</v>
      </c>
      <c r="F16386" s="38" t="s">
        <v>123</v>
      </c>
      <c r="G16386" s="49" t="str">
        <f t="shared" si="1"/>
        <v>45450</v>
      </c>
      <c r="H16386" s="49">
        <f t="shared" si="2"/>
        <v>45168</v>
      </c>
    </row>
    <row r="16387">
      <c r="A16387" s="48" t="s">
        <v>571</v>
      </c>
      <c r="B16387" s="38">
        <v>55036.0</v>
      </c>
      <c r="C16387" s="38" t="s">
        <v>20774</v>
      </c>
      <c r="D16387" s="38" t="str">
        <f>IFERROR(__xludf.DUMMYFUNCTION("REGEXREPLACE(C16387,""-\d+(.*)|--\d+(.*)"","""")"),"BEAUCLAIR")</f>
        <v>BEAUCLAIR</v>
      </c>
      <c r="E16387" s="38" t="s">
        <v>322</v>
      </c>
      <c r="F16387" s="38" t="s">
        <v>195</v>
      </c>
      <c r="G16387" s="49" t="str">
        <f t="shared" si="1"/>
        <v>55700</v>
      </c>
      <c r="H16387" s="49">
        <f t="shared" si="2"/>
        <v>55036</v>
      </c>
    </row>
    <row r="16388">
      <c r="A16388" s="48" t="s">
        <v>3093</v>
      </c>
      <c r="B16388" s="38">
        <v>57383.0</v>
      </c>
      <c r="C16388" s="38" t="s">
        <v>20775</v>
      </c>
      <c r="D16388" s="38" t="str">
        <f>IFERROR(__xludf.DUMMYFUNCTION("REGEXREPLACE(C16388,""-\d+(.*)|--\d+(.*)"","""")"),"LANGUIMBERG")</f>
        <v>LANGUIMBERG</v>
      </c>
      <c r="E16388" s="38" t="s">
        <v>303</v>
      </c>
      <c r="F16388" s="38" t="s">
        <v>195</v>
      </c>
      <c r="G16388" s="49" t="str">
        <f t="shared" si="1"/>
        <v>57810</v>
      </c>
      <c r="H16388" s="49">
        <f t="shared" si="2"/>
        <v>57383</v>
      </c>
    </row>
    <row r="16389">
      <c r="A16389" s="48" t="s">
        <v>9713</v>
      </c>
      <c r="B16389" s="38">
        <v>77439.0</v>
      </c>
      <c r="C16389" s="38" t="s">
        <v>18597</v>
      </c>
      <c r="D16389" s="38" t="str">
        <f>IFERROR(__xludf.DUMMYFUNCTION("REGEXREPLACE(C16389,""-\d+(.*)|--\d+(.*)"","""")"),"SALINS")</f>
        <v>SALINS</v>
      </c>
      <c r="E16389" s="38" t="s">
        <v>244</v>
      </c>
      <c r="F16389" s="38" t="s">
        <v>245</v>
      </c>
      <c r="G16389" s="49" t="str">
        <f t="shared" si="1"/>
        <v>77148</v>
      </c>
      <c r="H16389" s="49">
        <f t="shared" si="2"/>
        <v>77439</v>
      </c>
    </row>
    <row r="16390">
      <c r="A16390" s="48" t="s">
        <v>5666</v>
      </c>
      <c r="B16390" s="38">
        <v>39059.0</v>
      </c>
      <c r="C16390" s="38" t="s">
        <v>20776</v>
      </c>
      <c r="D16390" s="38" t="str">
        <f>IFERROR(__xludf.DUMMYFUNCTION("REGEXREPLACE(C16390,""-\d+(.*)|--\d+(.*)"","""")"),"BOIS-D'AMONT")</f>
        <v>BOIS-D'AMONT</v>
      </c>
      <c r="E16390" s="38" t="s">
        <v>400</v>
      </c>
      <c r="F16390" s="38" t="s">
        <v>214</v>
      </c>
      <c r="G16390" s="49" t="str">
        <f t="shared" si="1"/>
        <v>39220</v>
      </c>
      <c r="H16390" s="49">
        <f t="shared" si="2"/>
        <v>39059</v>
      </c>
    </row>
    <row r="16391">
      <c r="A16391" s="48" t="s">
        <v>1327</v>
      </c>
      <c r="B16391" s="38">
        <v>51321.0</v>
      </c>
      <c r="C16391" s="38" t="s">
        <v>20777</v>
      </c>
      <c r="D16391" s="38" t="str">
        <f>IFERROR(__xludf.DUMMYFUNCTION("REGEXREPLACE(C16391,""-\d+(.*)|--\d+(.*)"","""")"),"LHERY")</f>
        <v>LHERY</v>
      </c>
      <c r="E16391" s="38" t="s">
        <v>129</v>
      </c>
      <c r="F16391" s="38" t="s">
        <v>130</v>
      </c>
      <c r="G16391" s="49" t="str">
        <f t="shared" si="1"/>
        <v>51170</v>
      </c>
      <c r="H16391" s="49">
        <f t="shared" si="2"/>
        <v>51321</v>
      </c>
    </row>
    <row r="16392">
      <c r="A16392" s="48" t="s">
        <v>215</v>
      </c>
      <c r="B16392" s="38">
        <v>2743.0</v>
      </c>
      <c r="C16392" s="38" t="s">
        <v>20778</v>
      </c>
      <c r="D16392" s="38" t="str">
        <f>IFERROR(__xludf.DUMMYFUNCTION("REGEXREPLACE(C16392,""-\d+(.*)|--\d+(.*)"","""")"),"LE THUEL")</f>
        <v>LE THUEL</v>
      </c>
      <c r="E16392" s="38" t="s">
        <v>191</v>
      </c>
      <c r="F16392" s="38" t="s">
        <v>113</v>
      </c>
      <c r="G16392" s="49" t="str">
        <f t="shared" si="1"/>
        <v>02340</v>
      </c>
      <c r="H16392" s="49" t="str">
        <f t="shared" si="2"/>
        <v>02743</v>
      </c>
    </row>
    <row r="16393">
      <c r="A16393" s="48" t="s">
        <v>3329</v>
      </c>
      <c r="B16393" s="38">
        <v>60114.0</v>
      </c>
      <c r="C16393" s="38" t="s">
        <v>20779</v>
      </c>
      <c r="D16393" s="38" t="str">
        <f>IFERROR(__xludf.DUMMYFUNCTION("REGEXREPLACE(C16393,""-\d+(.*)|--\d+(.*)"","""")"),"BUICOURT")</f>
        <v>BUICOURT</v>
      </c>
      <c r="E16393" s="38" t="s">
        <v>112</v>
      </c>
      <c r="F16393" s="38" t="s">
        <v>113</v>
      </c>
      <c r="G16393" s="49" t="str">
        <f t="shared" si="1"/>
        <v>60380</v>
      </c>
      <c r="H16393" s="49">
        <f t="shared" si="2"/>
        <v>60114</v>
      </c>
    </row>
    <row r="16394">
      <c r="A16394" s="48" t="s">
        <v>3590</v>
      </c>
      <c r="B16394" s="38">
        <v>76238.0</v>
      </c>
      <c r="C16394" s="38" t="s">
        <v>20780</v>
      </c>
      <c r="D16394" s="38" t="str">
        <f>IFERROR(__xludf.DUMMYFUNCTION("REGEXREPLACE(C16394,""-\d+(.*)|--\d+(.*)"","""")"),"EPOUVILLE")</f>
        <v>EPOUVILLE</v>
      </c>
      <c r="E16394" s="38" t="s">
        <v>133</v>
      </c>
      <c r="F16394" s="38" t="s">
        <v>134</v>
      </c>
      <c r="G16394" s="49" t="str">
        <f t="shared" si="1"/>
        <v>76133</v>
      </c>
      <c r="H16394" s="49">
        <f t="shared" si="2"/>
        <v>76238</v>
      </c>
    </row>
    <row r="16395">
      <c r="A16395" s="48" t="s">
        <v>3662</v>
      </c>
      <c r="B16395" s="38">
        <v>80324.0</v>
      </c>
      <c r="C16395" s="38" t="s">
        <v>20781</v>
      </c>
      <c r="D16395" s="38" t="str">
        <f>IFERROR(__xludf.DUMMYFUNCTION("REGEXREPLACE(C16395,""-\d+(.*)|--\d+(.*)"","""")"),"FONTAINE-LE-SEC")</f>
        <v>FONTAINE-LE-SEC</v>
      </c>
      <c r="E16395" s="38" t="s">
        <v>224</v>
      </c>
      <c r="F16395" s="38" t="s">
        <v>113</v>
      </c>
      <c r="G16395" s="49" t="str">
        <f t="shared" si="1"/>
        <v>80140</v>
      </c>
      <c r="H16395" s="49">
        <f t="shared" si="2"/>
        <v>80324</v>
      </c>
    </row>
    <row r="16396">
      <c r="A16396" s="48" t="s">
        <v>2128</v>
      </c>
      <c r="B16396" s="38">
        <v>2106.0</v>
      </c>
      <c r="C16396" s="38" t="s">
        <v>20782</v>
      </c>
      <c r="D16396" s="38" t="str">
        <f>IFERROR(__xludf.DUMMYFUNCTION("REGEXREPLACE(C16396,""-\d+(.*)|--\d+(.*)"","""")"),"BOURG-ET-COMIN")</f>
        <v>BOURG-ET-COMIN</v>
      </c>
      <c r="E16396" s="38" t="s">
        <v>191</v>
      </c>
      <c r="F16396" s="38" t="s">
        <v>113</v>
      </c>
      <c r="G16396" s="49" t="str">
        <f t="shared" si="1"/>
        <v>02160</v>
      </c>
      <c r="H16396" s="49" t="str">
        <f t="shared" si="2"/>
        <v>02106</v>
      </c>
    </row>
    <row r="16397">
      <c r="A16397" s="48" t="s">
        <v>20783</v>
      </c>
      <c r="B16397" s="38">
        <v>62108.0</v>
      </c>
      <c r="C16397" s="38" t="s">
        <v>20784</v>
      </c>
      <c r="D16397" s="38" t="str">
        <f>IFERROR(__xludf.DUMMYFUNCTION("REGEXREPLACE(C16397,""-\d+(.*)|--\d+(.*)"","""")"),"BERCK")</f>
        <v>BERCK</v>
      </c>
      <c r="E16397" s="38" t="s">
        <v>109</v>
      </c>
      <c r="F16397" s="38" t="s">
        <v>86</v>
      </c>
      <c r="G16397" s="49" t="str">
        <f t="shared" si="1"/>
        <v>62600</v>
      </c>
      <c r="H16397" s="49">
        <f t="shared" si="2"/>
        <v>62108</v>
      </c>
    </row>
    <row r="16398">
      <c r="A16398" s="48" t="s">
        <v>910</v>
      </c>
      <c r="B16398" s="38">
        <v>32421.0</v>
      </c>
      <c r="C16398" s="38" t="s">
        <v>20785</v>
      </c>
      <c r="D16398" s="38" t="str">
        <f>IFERROR(__xludf.DUMMYFUNCTION("REGEXREPLACE(C16398,""-\d+(.*)|--\d+(.*)"","""")"),"SAVIGNAC-MONA")</f>
        <v>SAVIGNAC-MONA</v>
      </c>
      <c r="E16398" s="38" t="s">
        <v>440</v>
      </c>
      <c r="F16398" s="38" t="s">
        <v>94</v>
      </c>
      <c r="G16398" s="49" t="str">
        <f t="shared" si="1"/>
        <v>32130</v>
      </c>
      <c r="H16398" s="49">
        <f t="shared" si="2"/>
        <v>32421</v>
      </c>
    </row>
    <row r="16399">
      <c r="A16399" s="48" t="s">
        <v>3889</v>
      </c>
      <c r="B16399" s="38">
        <v>87101.0</v>
      </c>
      <c r="C16399" s="38" t="s">
        <v>20786</v>
      </c>
      <c r="D16399" s="38" t="str">
        <f>IFERROR(__xludf.DUMMYFUNCTION("REGEXREPLACE(C16399,""-\d+(.*)|--\d+(.*)"","""")"),"MORTEMART")</f>
        <v>MORTEMART</v>
      </c>
      <c r="E16399" s="38" t="s">
        <v>897</v>
      </c>
      <c r="F16399" s="38" t="s">
        <v>98</v>
      </c>
      <c r="G16399" s="49" t="str">
        <f t="shared" si="1"/>
        <v>87330</v>
      </c>
      <c r="H16399" s="49">
        <f t="shared" si="2"/>
        <v>87101</v>
      </c>
    </row>
    <row r="16400">
      <c r="A16400" s="48" t="s">
        <v>2625</v>
      </c>
      <c r="B16400" s="38">
        <v>30113.0</v>
      </c>
      <c r="C16400" s="38" t="s">
        <v>20787</v>
      </c>
      <c r="D16400" s="38" t="str">
        <f>IFERROR(__xludf.DUMMYFUNCTION("REGEXREPLACE(C16400,""-\d+(.*)|--\d+(.*)"","""")"),"FONS-SUR-LUSSAN")</f>
        <v>FONS-SUR-LUSSAN</v>
      </c>
      <c r="E16400" s="38" t="s">
        <v>526</v>
      </c>
      <c r="F16400" s="38" t="s">
        <v>119</v>
      </c>
      <c r="G16400" s="49" t="str">
        <f t="shared" si="1"/>
        <v>30580</v>
      </c>
      <c r="H16400" s="49">
        <f t="shared" si="2"/>
        <v>30113</v>
      </c>
    </row>
    <row r="16401">
      <c r="A16401" s="48" t="s">
        <v>936</v>
      </c>
      <c r="B16401" s="38">
        <v>59622.0</v>
      </c>
      <c r="C16401" s="38" t="s">
        <v>20788</v>
      </c>
      <c r="D16401" s="38" t="str">
        <f>IFERROR(__xludf.DUMMYFUNCTION("REGEXREPLACE(C16401,""-\d+(.*)|--\d+(.*)"","""")"),"VILLERS-EN-CAUCHIES")</f>
        <v>VILLERS-EN-CAUCHIES</v>
      </c>
      <c r="E16401" s="38" t="s">
        <v>85</v>
      </c>
      <c r="F16401" s="38" t="s">
        <v>86</v>
      </c>
      <c r="G16401" s="49" t="str">
        <f t="shared" si="1"/>
        <v>59188</v>
      </c>
      <c r="H16401" s="49">
        <f t="shared" si="2"/>
        <v>59622</v>
      </c>
    </row>
    <row r="16402">
      <c r="A16402" s="48" t="s">
        <v>2942</v>
      </c>
      <c r="B16402" s="38">
        <v>14115.0</v>
      </c>
      <c r="C16402" s="38" t="s">
        <v>20789</v>
      </c>
      <c r="D16402" s="38" t="str">
        <f>IFERROR(__xludf.DUMMYFUNCTION("REGEXREPLACE(C16402,""-\d+(.*)|--\d+(.*)"","""")"),"BURES-LES-MONTS")</f>
        <v>BURES-LES-MONTS</v>
      </c>
      <c r="E16402" s="38" t="s">
        <v>137</v>
      </c>
      <c r="F16402" s="38" t="s">
        <v>138</v>
      </c>
      <c r="G16402" s="49" t="str">
        <f t="shared" si="1"/>
        <v>14350</v>
      </c>
      <c r="H16402" s="49">
        <f t="shared" si="2"/>
        <v>14115</v>
      </c>
    </row>
    <row r="16403">
      <c r="A16403" s="48" t="s">
        <v>384</v>
      </c>
      <c r="B16403" s="38">
        <v>55504.0</v>
      </c>
      <c r="C16403" s="38" t="s">
        <v>20790</v>
      </c>
      <c r="D16403" s="38" t="str">
        <f>IFERROR(__xludf.DUMMYFUNCTION("REGEXREPLACE(C16403,""-\d+(.*)|--\d+(.*)"","""")"),"TANNOIS")</f>
        <v>TANNOIS</v>
      </c>
      <c r="E16403" s="38" t="s">
        <v>322</v>
      </c>
      <c r="F16403" s="38" t="s">
        <v>195</v>
      </c>
      <c r="G16403" s="49" t="str">
        <f t="shared" si="1"/>
        <v>55000</v>
      </c>
      <c r="H16403" s="49">
        <f t="shared" si="2"/>
        <v>55504</v>
      </c>
    </row>
    <row r="16404">
      <c r="A16404" s="48" t="s">
        <v>9536</v>
      </c>
      <c r="B16404" s="38">
        <v>8065.0</v>
      </c>
      <c r="C16404" s="38" t="s">
        <v>13828</v>
      </c>
      <c r="D16404" s="38" t="str">
        <f>IFERROR(__xludf.DUMMYFUNCTION("REGEXREPLACE(C16404,""-\d+(.*)|--\d+(.*)"","""")"),"BIEVRES")</f>
        <v>BIEVRES</v>
      </c>
      <c r="E16404" s="38" t="s">
        <v>327</v>
      </c>
      <c r="F16404" s="38" t="s">
        <v>130</v>
      </c>
      <c r="G16404" s="49" t="str">
        <f t="shared" si="1"/>
        <v>08370</v>
      </c>
      <c r="H16404" s="49" t="str">
        <f t="shared" si="2"/>
        <v>08065</v>
      </c>
    </row>
    <row r="16405">
      <c r="A16405" s="48" t="s">
        <v>5894</v>
      </c>
      <c r="B16405" s="38">
        <v>69059.0</v>
      </c>
      <c r="C16405" s="38" t="s">
        <v>20791</v>
      </c>
      <c r="D16405" s="38" t="str">
        <f>IFERROR(__xludf.DUMMYFUNCTION("REGEXREPLACE(C16405,""-\d+(.*)|--\d+(.*)"","""")"),"CIVRIEUX-D'AZERGUES")</f>
        <v>CIVRIEUX-D'AZERGUES</v>
      </c>
      <c r="E16405" s="38" t="s">
        <v>350</v>
      </c>
      <c r="F16405" s="38" t="s">
        <v>102</v>
      </c>
      <c r="G16405" s="49" t="str">
        <f t="shared" si="1"/>
        <v>69380</v>
      </c>
      <c r="H16405" s="49">
        <f t="shared" si="2"/>
        <v>69059</v>
      </c>
    </row>
    <row r="16406">
      <c r="A16406" s="48" t="s">
        <v>1947</v>
      </c>
      <c r="B16406" s="38">
        <v>52234.0</v>
      </c>
      <c r="C16406" s="38" t="s">
        <v>20792</v>
      </c>
      <c r="D16406" s="38" t="str">
        <f>IFERROR(__xludf.DUMMYFUNCTION("REGEXREPLACE(C16406,""-\d+(.*)|--\d+(.*)"","""")"),"HACOURT")</f>
        <v>HACOURT</v>
      </c>
      <c r="E16406" s="38" t="s">
        <v>234</v>
      </c>
      <c r="F16406" s="38" t="s">
        <v>130</v>
      </c>
      <c r="G16406" s="49" t="str">
        <f t="shared" si="1"/>
        <v>52150</v>
      </c>
      <c r="H16406" s="49">
        <f t="shared" si="2"/>
        <v>52234</v>
      </c>
    </row>
    <row r="16407">
      <c r="A16407" s="48" t="s">
        <v>3628</v>
      </c>
      <c r="B16407" s="38">
        <v>16048.0</v>
      </c>
      <c r="C16407" s="38" t="s">
        <v>20793</v>
      </c>
      <c r="D16407" s="38" t="str">
        <f>IFERROR(__xludf.DUMMYFUNCTION("REGEXREPLACE(C16407,""-\d+(.*)|--\d+(.*)"","""")"),"BOISBRETEAU")</f>
        <v>BOISBRETEAU</v>
      </c>
      <c r="E16407" s="38" t="s">
        <v>429</v>
      </c>
      <c r="F16407" s="38" t="s">
        <v>338</v>
      </c>
      <c r="G16407" s="49" t="str">
        <f t="shared" si="1"/>
        <v>16480</v>
      </c>
      <c r="H16407" s="49">
        <f t="shared" si="2"/>
        <v>16048</v>
      </c>
    </row>
    <row r="16408">
      <c r="A16408" s="48" t="s">
        <v>17916</v>
      </c>
      <c r="B16408" s="38">
        <v>59219.0</v>
      </c>
      <c r="C16408" s="38" t="s">
        <v>20794</v>
      </c>
      <c r="D16408" s="38" t="str">
        <f>IFERROR(__xludf.DUMMYFUNCTION("REGEXREPLACE(C16408,""-\d+(.*)|--\d+(.*)"","""")"),"ESTRUN")</f>
        <v>ESTRUN</v>
      </c>
      <c r="E16408" s="38" t="s">
        <v>85</v>
      </c>
      <c r="F16408" s="38" t="s">
        <v>86</v>
      </c>
      <c r="G16408" s="49" t="str">
        <f t="shared" si="1"/>
        <v>59295</v>
      </c>
      <c r="H16408" s="49">
        <f t="shared" si="2"/>
        <v>59219</v>
      </c>
    </row>
    <row r="16409">
      <c r="A16409" s="48" t="s">
        <v>6350</v>
      </c>
      <c r="B16409" s="38">
        <v>6010.0</v>
      </c>
      <c r="C16409" s="38" t="s">
        <v>20795</v>
      </c>
      <c r="D16409" s="38" t="str">
        <f>IFERROR(__xludf.DUMMYFUNCTION("REGEXREPLACE(C16409,""-\d+(.*)|--\d+(.*)"","""")"),"LE BAR-SUR-LOUP")</f>
        <v>LE BAR-SUR-LOUP</v>
      </c>
      <c r="E16409" s="38" t="s">
        <v>227</v>
      </c>
      <c r="F16409" s="38" t="s">
        <v>228</v>
      </c>
      <c r="G16409" s="49" t="str">
        <f t="shared" si="1"/>
        <v>06620</v>
      </c>
      <c r="H16409" s="49" t="str">
        <f t="shared" si="2"/>
        <v>06010</v>
      </c>
    </row>
    <row r="16410">
      <c r="A16410" s="48" t="s">
        <v>616</v>
      </c>
      <c r="B16410" s="38">
        <v>89392.0</v>
      </c>
      <c r="C16410" s="38" t="s">
        <v>20796</v>
      </c>
      <c r="D16410" s="38" t="str">
        <f>IFERROR(__xludf.DUMMYFUNCTION("REGEXREPLACE(C16410,""-\d+(.*)|--\d+(.*)"","""")"),"SERMIZELLES")</f>
        <v>SERMIZELLES</v>
      </c>
      <c r="E16410" s="38" t="s">
        <v>275</v>
      </c>
      <c r="F16410" s="38" t="s">
        <v>106</v>
      </c>
      <c r="G16410" s="49" t="str">
        <f t="shared" si="1"/>
        <v>89200</v>
      </c>
      <c r="H16410" s="49">
        <f t="shared" si="2"/>
        <v>89392</v>
      </c>
    </row>
    <row r="16411">
      <c r="A16411" s="48" t="s">
        <v>4624</v>
      </c>
      <c r="B16411" s="38">
        <v>74296.0</v>
      </c>
      <c r="C16411" s="38" t="s">
        <v>20797</v>
      </c>
      <c r="D16411" s="38" t="str">
        <f>IFERROR(__xludf.DUMMYFUNCTION("REGEXREPLACE(C16411,""-\d+(.*)|--\d+(.*)"","""")"),"VERS")</f>
        <v>VERS</v>
      </c>
      <c r="E16411" s="38" t="s">
        <v>319</v>
      </c>
      <c r="F16411" s="38" t="s">
        <v>102</v>
      </c>
      <c r="G16411" s="49" t="str">
        <f t="shared" si="1"/>
        <v>74160</v>
      </c>
      <c r="H16411" s="49">
        <f t="shared" si="2"/>
        <v>74296</v>
      </c>
    </row>
    <row r="16412">
      <c r="A16412" s="48" t="s">
        <v>1268</v>
      </c>
      <c r="B16412" s="38">
        <v>8138.0</v>
      </c>
      <c r="C16412" s="38" t="s">
        <v>20798</v>
      </c>
      <c r="D16412" s="38" t="str">
        <f>IFERROR(__xludf.DUMMYFUNCTION("REGEXREPLACE(C16412,""-\d+(.*)|--\d+(.*)"","""")"),"LES DEUX-VILLES")</f>
        <v>LES DEUX-VILLES</v>
      </c>
      <c r="E16412" s="38" t="s">
        <v>327</v>
      </c>
      <c r="F16412" s="38" t="s">
        <v>130</v>
      </c>
      <c r="G16412" s="49" t="str">
        <f t="shared" si="1"/>
        <v>08110</v>
      </c>
      <c r="H16412" s="49" t="str">
        <f t="shared" si="2"/>
        <v>08138</v>
      </c>
    </row>
    <row r="16413">
      <c r="A16413" s="48" t="s">
        <v>711</v>
      </c>
      <c r="B16413" s="38">
        <v>49113.0</v>
      </c>
      <c r="C16413" s="38" t="s">
        <v>20799</v>
      </c>
      <c r="D16413" s="38" t="str">
        <f>IFERROR(__xludf.DUMMYFUNCTION("REGEXREPLACE(C16413,""-\d+(.*)|--\d+(.*)"","""")"),"COURCHAMPS")</f>
        <v>COURCHAMPS</v>
      </c>
      <c r="E16413" s="38" t="s">
        <v>653</v>
      </c>
      <c r="F16413" s="38" t="s">
        <v>180</v>
      </c>
      <c r="G16413" s="49" t="str">
        <f t="shared" si="1"/>
        <v>49260</v>
      </c>
      <c r="H16413" s="49">
        <f t="shared" si="2"/>
        <v>49113</v>
      </c>
    </row>
    <row r="16414">
      <c r="A16414" s="48" t="s">
        <v>13577</v>
      </c>
      <c r="B16414" s="38">
        <v>21339.0</v>
      </c>
      <c r="C16414" s="38" t="s">
        <v>20800</v>
      </c>
      <c r="D16414" s="38" t="str">
        <f>IFERROR(__xludf.DUMMYFUNCTION("REGEXREPLACE(C16414,""-\d+(.*)|--\d+(.*)"","""")"),"LANTENAY")</f>
        <v>LANTENAY</v>
      </c>
      <c r="E16414" s="38" t="s">
        <v>105</v>
      </c>
      <c r="F16414" s="38" t="s">
        <v>106</v>
      </c>
      <c r="G16414" s="49" t="str">
        <f t="shared" si="1"/>
        <v>21370</v>
      </c>
      <c r="H16414" s="49">
        <f t="shared" si="2"/>
        <v>21339</v>
      </c>
    </row>
    <row r="16415">
      <c r="A16415" s="48" t="s">
        <v>5070</v>
      </c>
      <c r="B16415" s="38">
        <v>79136.0</v>
      </c>
      <c r="C16415" s="38" t="s">
        <v>20801</v>
      </c>
      <c r="D16415" s="38" t="str">
        <f>IFERROR(__xludf.DUMMYFUNCTION("REGEXREPLACE(C16415,""-\d+(.*)|--\d+(.*)"","""")"),"GOURNAY-LOIZE")</f>
        <v>GOURNAY-LOIZE</v>
      </c>
      <c r="E16415" s="38" t="s">
        <v>337</v>
      </c>
      <c r="F16415" s="38" t="s">
        <v>338</v>
      </c>
      <c r="G16415" s="49" t="str">
        <f t="shared" si="1"/>
        <v>79110</v>
      </c>
      <c r="H16415" s="49">
        <f t="shared" si="2"/>
        <v>79136</v>
      </c>
    </row>
    <row r="16416">
      <c r="A16416" s="48" t="s">
        <v>1821</v>
      </c>
      <c r="B16416" s="38">
        <v>3182.0</v>
      </c>
      <c r="C16416" s="38" t="s">
        <v>20802</v>
      </c>
      <c r="D16416" s="38" t="str">
        <f>IFERROR(__xludf.DUMMYFUNCTION("REGEXREPLACE(C16416,""-\d+(.*)|--\d+(.*)"","""")"),"MONTEIGNET-SUR-L'ANDELOT")</f>
        <v>MONTEIGNET-SUR-L'ANDELOT</v>
      </c>
      <c r="E16416" s="38" t="s">
        <v>160</v>
      </c>
      <c r="F16416" s="38" t="s">
        <v>161</v>
      </c>
      <c r="G16416" s="49" t="str">
        <f t="shared" si="1"/>
        <v>03800</v>
      </c>
      <c r="H16416" s="49" t="str">
        <f t="shared" si="2"/>
        <v>03182</v>
      </c>
    </row>
    <row r="16417">
      <c r="A16417" s="48" t="s">
        <v>16765</v>
      </c>
      <c r="B16417" s="38">
        <v>76490.0</v>
      </c>
      <c r="C16417" s="38" t="s">
        <v>20803</v>
      </c>
      <c r="D16417" s="38" t="str">
        <f>IFERROR(__xludf.DUMMYFUNCTION("REGEXREPLACE(C16417,""-\d+(.*)|--\d+(.*)"","""")"),"OURVILLE-EN-CAUX")</f>
        <v>OURVILLE-EN-CAUX</v>
      </c>
      <c r="E16417" s="38" t="s">
        <v>133</v>
      </c>
      <c r="F16417" s="38" t="s">
        <v>134</v>
      </c>
      <c r="G16417" s="49" t="str">
        <f t="shared" si="1"/>
        <v>76450</v>
      </c>
      <c r="H16417" s="49">
        <f t="shared" si="2"/>
        <v>76490</v>
      </c>
    </row>
    <row r="16418">
      <c r="A16418" s="48" t="s">
        <v>8345</v>
      </c>
      <c r="B16418" s="38">
        <v>10409.0</v>
      </c>
      <c r="C16418" s="38" t="s">
        <v>20804</v>
      </c>
      <c r="D16418" s="38" t="str">
        <f>IFERROR(__xludf.DUMMYFUNCTION("REGEXREPLACE(C16418,""-\d+(.*)|--\d+(.*)"","""")"),"VILLACERF")</f>
        <v>VILLACERF</v>
      </c>
      <c r="E16418" s="38" t="s">
        <v>147</v>
      </c>
      <c r="F16418" s="38" t="s">
        <v>130</v>
      </c>
      <c r="G16418" s="49" t="str">
        <f t="shared" si="1"/>
        <v>10600</v>
      </c>
      <c r="H16418" s="49">
        <f t="shared" si="2"/>
        <v>10409</v>
      </c>
    </row>
    <row r="16419">
      <c r="A16419" s="48" t="s">
        <v>1446</v>
      </c>
      <c r="B16419" s="38">
        <v>76406.0</v>
      </c>
      <c r="C16419" s="38" t="s">
        <v>20805</v>
      </c>
      <c r="D16419" s="38" t="str">
        <f>IFERROR(__xludf.DUMMYFUNCTION("REGEXREPLACE(C16419,""-\d+(.*)|--\d+(.*)"","""")"),"MANIQUERVILLE")</f>
        <v>MANIQUERVILLE</v>
      </c>
      <c r="E16419" s="38" t="s">
        <v>133</v>
      </c>
      <c r="F16419" s="38" t="s">
        <v>134</v>
      </c>
      <c r="G16419" s="49" t="str">
        <f t="shared" si="1"/>
        <v>76400</v>
      </c>
      <c r="H16419" s="49">
        <f t="shared" si="2"/>
        <v>76406</v>
      </c>
    </row>
    <row r="16420">
      <c r="A16420" s="48" t="s">
        <v>1317</v>
      </c>
      <c r="B16420" s="38">
        <v>8329.0</v>
      </c>
      <c r="C16420" s="38" t="s">
        <v>20806</v>
      </c>
      <c r="D16420" s="38" t="str">
        <f>IFERROR(__xludf.DUMMYFUNCTION("REGEXREPLACE(C16420,""-\d+(.*)|--\d+(.*)"","""")"),"NOVION-PORCIEN")</f>
        <v>NOVION-PORCIEN</v>
      </c>
      <c r="E16420" s="38" t="s">
        <v>327</v>
      </c>
      <c r="F16420" s="38" t="s">
        <v>130</v>
      </c>
      <c r="G16420" s="49" t="str">
        <f t="shared" si="1"/>
        <v>08270</v>
      </c>
      <c r="H16420" s="49" t="str">
        <f t="shared" si="2"/>
        <v>08329</v>
      </c>
    </row>
    <row r="16421">
      <c r="A16421" s="48" t="s">
        <v>7893</v>
      </c>
      <c r="B16421" s="38">
        <v>63264.0</v>
      </c>
      <c r="C16421" s="38" t="s">
        <v>20807</v>
      </c>
      <c r="D16421" s="38" t="str">
        <f>IFERROR(__xludf.DUMMYFUNCTION("REGEXREPLACE(C16421,""-\d+(.*)|--\d+(.*)"","""")"),"ORCIVAL")</f>
        <v>ORCIVAL</v>
      </c>
      <c r="E16421" s="38" t="s">
        <v>353</v>
      </c>
      <c r="F16421" s="38" t="s">
        <v>161</v>
      </c>
      <c r="G16421" s="49" t="str">
        <f t="shared" si="1"/>
        <v>63210</v>
      </c>
      <c r="H16421" s="49">
        <f t="shared" si="2"/>
        <v>63264</v>
      </c>
    </row>
    <row r="16422">
      <c r="A16422" s="48" t="s">
        <v>1669</v>
      </c>
      <c r="B16422" s="38">
        <v>21135.0</v>
      </c>
      <c r="C16422" s="38" t="s">
        <v>20808</v>
      </c>
      <c r="D16422" s="38" t="str">
        <f>IFERROR(__xludf.DUMMYFUNCTION("REGEXREPLACE(C16422,""-\d+(.*)|--\d+(.*)"","""")"),"CHAMPAGNE-SUR-VINGEANNE")</f>
        <v>CHAMPAGNE-SUR-VINGEANNE</v>
      </c>
      <c r="E16422" s="38" t="s">
        <v>105</v>
      </c>
      <c r="F16422" s="38" t="s">
        <v>106</v>
      </c>
      <c r="G16422" s="49" t="str">
        <f t="shared" si="1"/>
        <v>21310</v>
      </c>
      <c r="H16422" s="49">
        <f t="shared" si="2"/>
        <v>21135</v>
      </c>
    </row>
    <row r="16423">
      <c r="A16423" s="48" t="s">
        <v>8589</v>
      </c>
      <c r="B16423" s="38">
        <v>27604.0</v>
      </c>
      <c r="C16423" s="38" t="s">
        <v>20809</v>
      </c>
      <c r="D16423" s="38" t="str">
        <f>IFERROR(__xludf.DUMMYFUNCTION("REGEXREPLACE(C16423,""-\d+(.*)|--\d+(.*)"","""")"),"SAINT-SULPICE-DE-GRIMBOUVILLE")</f>
        <v>SAINT-SULPICE-DE-GRIMBOUVILLE</v>
      </c>
      <c r="E16423" s="38" t="s">
        <v>241</v>
      </c>
      <c r="F16423" s="38" t="s">
        <v>134</v>
      </c>
      <c r="G16423" s="49" t="str">
        <f t="shared" si="1"/>
        <v>27210</v>
      </c>
      <c r="H16423" s="49">
        <f t="shared" si="2"/>
        <v>27604</v>
      </c>
    </row>
    <row r="16424">
      <c r="A16424" s="48" t="s">
        <v>4620</v>
      </c>
      <c r="B16424" s="38">
        <v>12285.0</v>
      </c>
      <c r="C16424" s="38" t="s">
        <v>20810</v>
      </c>
      <c r="D16424" s="38" t="str">
        <f>IFERROR(__xludf.DUMMYFUNCTION("REGEXREPLACE(C16424,""-\d+(.*)|--\d+(.*)"","""")"),"VABRE-TIZAC")</f>
        <v>VABRE-TIZAC</v>
      </c>
      <c r="E16424" s="38" t="s">
        <v>465</v>
      </c>
      <c r="F16424" s="38" t="s">
        <v>94</v>
      </c>
      <c r="G16424" s="49" t="str">
        <f t="shared" si="1"/>
        <v>12240</v>
      </c>
      <c r="H16424" s="49">
        <f t="shared" si="2"/>
        <v>12285</v>
      </c>
    </row>
    <row r="16425">
      <c r="A16425" s="48" t="s">
        <v>3212</v>
      </c>
      <c r="B16425" s="38">
        <v>64252.0</v>
      </c>
      <c r="C16425" s="38" t="s">
        <v>20811</v>
      </c>
      <c r="D16425" s="38" t="str">
        <f>IFERROR(__xludf.DUMMYFUNCTION("REGEXREPLACE(C16425,""-\d+(.*)|--\d+(.*)"","""")"),"GURMENCON")</f>
        <v>GURMENCON</v>
      </c>
      <c r="E16425" s="38" t="s">
        <v>268</v>
      </c>
      <c r="F16425" s="38" t="s">
        <v>252</v>
      </c>
      <c r="G16425" s="49" t="str">
        <f t="shared" si="1"/>
        <v>64400</v>
      </c>
      <c r="H16425" s="49">
        <f t="shared" si="2"/>
        <v>64252</v>
      </c>
    </row>
    <row r="16426">
      <c r="A16426" s="48" t="s">
        <v>452</v>
      </c>
      <c r="B16426" s="38">
        <v>21061.0</v>
      </c>
      <c r="C16426" s="38" t="s">
        <v>20812</v>
      </c>
      <c r="D16426" s="38" t="str">
        <f>IFERROR(__xludf.DUMMYFUNCTION("REGEXREPLACE(C16426,""-\d+(.*)|--\d+(.*)"","""")"),"BELLENOD-SUR-SEINE")</f>
        <v>BELLENOD-SUR-SEINE</v>
      </c>
      <c r="E16426" s="38" t="s">
        <v>105</v>
      </c>
      <c r="F16426" s="38" t="s">
        <v>106</v>
      </c>
      <c r="G16426" s="49" t="str">
        <f t="shared" si="1"/>
        <v>21510</v>
      </c>
      <c r="H16426" s="49">
        <f t="shared" si="2"/>
        <v>21061</v>
      </c>
    </row>
    <row r="16427">
      <c r="A16427" s="48" t="s">
        <v>8589</v>
      </c>
      <c r="B16427" s="38">
        <v>27671.0</v>
      </c>
      <c r="C16427" s="38" t="s">
        <v>20813</v>
      </c>
      <c r="D16427" s="38" t="str">
        <f>IFERROR(__xludf.DUMMYFUNCTION("REGEXREPLACE(C16427,""-\d+(.*)|--\d+(.*)"","""")"),"VANNECROCQ")</f>
        <v>VANNECROCQ</v>
      </c>
      <c r="E16427" s="38" t="s">
        <v>241</v>
      </c>
      <c r="F16427" s="38" t="s">
        <v>134</v>
      </c>
      <c r="G16427" s="49" t="str">
        <f t="shared" si="1"/>
        <v>27210</v>
      </c>
      <c r="H16427" s="49">
        <f t="shared" si="2"/>
        <v>27671</v>
      </c>
    </row>
    <row r="16428">
      <c r="A16428" s="48" t="s">
        <v>8742</v>
      </c>
      <c r="B16428" s="38">
        <v>27420.0</v>
      </c>
      <c r="C16428" s="38" t="s">
        <v>20814</v>
      </c>
      <c r="D16428" s="38" t="str">
        <f>IFERROR(__xludf.DUMMYFUNCTION("REGEXREPLACE(C16428,""-\d+(.*)|--\d+(.*)"","""")"),"MOUFLAINES")</f>
        <v>MOUFLAINES</v>
      </c>
      <c r="E16428" s="38" t="s">
        <v>241</v>
      </c>
      <c r="F16428" s="38" t="s">
        <v>134</v>
      </c>
      <c r="G16428" s="49" t="str">
        <f t="shared" si="1"/>
        <v>27420</v>
      </c>
      <c r="H16428" s="49">
        <f t="shared" si="2"/>
        <v>27420</v>
      </c>
    </row>
    <row r="16429">
      <c r="A16429" s="48" t="s">
        <v>576</v>
      </c>
      <c r="B16429" s="38">
        <v>54406.0</v>
      </c>
      <c r="C16429" s="38" t="s">
        <v>20815</v>
      </c>
      <c r="D16429" s="38" t="str">
        <f>IFERROR(__xludf.DUMMYFUNCTION("REGEXREPLACE(C16429,""-\d+(.*)|--\d+(.*)"","""")"),"OGEVILLER")</f>
        <v>OGEVILLER</v>
      </c>
      <c r="E16429" s="38" t="s">
        <v>548</v>
      </c>
      <c r="F16429" s="38" t="s">
        <v>195</v>
      </c>
      <c r="G16429" s="49" t="str">
        <f t="shared" si="1"/>
        <v>54450</v>
      </c>
      <c r="H16429" s="49">
        <f t="shared" si="2"/>
        <v>54406</v>
      </c>
    </row>
    <row r="16430">
      <c r="A16430" s="48" t="s">
        <v>20816</v>
      </c>
      <c r="B16430" s="38">
        <v>26196.0</v>
      </c>
      <c r="C16430" s="38" t="s">
        <v>20817</v>
      </c>
      <c r="D16430" s="38" t="str">
        <f>IFERROR(__xludf.DUMMYFUNCTION("REGEXREPLACE(C16430,""-\d+(.*)|--\d+(.*)"","""")"),"MONTELEGER")</f>
        <v>MONTELEGER</v>
      </c>
      <c r="E16430" s="38" t="s">
        <v>126</v>
      </c>
      <c r="F16430" s="38" t="s">
        <v>102</v>
      </c>
      <c r="G16430" s="49" t="str">
        <f t="shared" si="1"/>
        <v>26760</v>
      </c>
      <c r="H16430" s="49">
        <f t="shared" si="2"/>
        <v>26196</v>
      </c>
    </row>
    <row r="16431">
      <c r="A16431" s="48" t="s">
        <v>1883</v>
      </c>
      <c r="B16431" s="38">
        <v>39584.0</v>
      </c>
      <c r="C16431" s="38" t="s">
        <v>20818</v>
      </c>
      <c r="D16431" s="38" t="str">
        <f>IFERROR(__xludf.DUMMYFUNCTION("REGEXREPLACE(C16431,""-\d+(.*)|--\d+(.*)"","""")"),"VRIANGE")</f>
        <v>VRIANGE</v>
      </c>
      <c r="E16431" s="38" t="s">
        <v>400</v>
      </c>
      <c r="F16431" s="38" t="s">
        <v>214</v>
      </c>
      <c r="G16431" s="49" t="str">
        <f t="shared" si="1"/>
        <v>39700</v>
      </c>
      <c r="H16431" s="49">
        <f t="shared" si="2"/>
        <v>39584</v>
      </c>
    </row>
    <row r="16432">
      <c r="A16432" s="48" t="s">
        <v>781</v>
      </c>
      <c r="B16432" s="38">
        <v>65349.0</v>
      </c>
      <c r="C16432" s="38" t="s">
        <v>20819</v>
      </c>
      <c r="D16432" s="38" t="str">
        <f>IFERROR(__xludf.DUMMYFUNCTION("REGEXREPLACE(C16432,""-\d+(.*)|--\d+(.*)"","""")"),"OURDON")</f>
        <v>OURDON</v>
      </c>
      <c r="E16432" s="38" t="s">
        <v>200</v>
      </c>
      <c r="F16432" s="38" t="s">
        <v>94</v>
      </c>
      <c r="G16432" s="49" t="str">
        <f t="shared" si="1"/>
        <v>65100</v>
      </c>
      <c r="H16432" s="49">
        <f t="shared" si="2"/>
        <v>65349</v>
      </c>
    </row>
    <row r="16433">
      <c r="A16433" s="48" t="s">
        <v>11538</v>
      </c>
      <c r="B16433" s="38">
        <v>61440.0</v>
      </c>
      <c r="C16433" s="38" t="s">
        <v>20820</v>
      </c>
      <c r="D16433" s="38" t="str">
        <f>IFERROR(__xludf.DUMMYFUNCTION("REGEXREPLACE(C16433,""-\d+(.*)|--\d+(.*)"","""")"),"SAINT-OUEN-SUR-ITON")</f>
        <v>SAINT-OUEN-SUR-ITON</v>
      </c>
      <c r="E16433" s="38" t="s">
        <v>141</v>
      </c>
      <c r="F16433" s="38" t="s">
        <v>138</v>
      </c>
      <c r="G16433" s="49" t="str">
        <f t="shared" si="1"/>
        <v>61300</v>
      </c>
      <c r="H16433" s="49">
        <f t="shared" si="2"/>
        <v>61440</v>
      </c>
    </row>
    <row r="16434">
      <c r="A16434" s="48" t="s">
        <v>8834</v>
      </c>
      <c r="B16434" s="38">
        <v>51569.0</v>
      </c>
      <c r="C16434" s="38" t="s">
        <v>20821</v>
      </c>
      <c r="D16434" s="38" t="str">
        <f>IFERROR(__xludf.DUMMYFUNCTION("REGEXREPLACE(C16434,""-\d+(.*)|--\d+(.*)"","""")"),"THILLOIS")</f>
        <v>THILLOIS</v>
      </c>
      <c r="E16434" s="38" t="s">
        <v>129</v>
      </c>
      <c r="F16434" s="38" t="s">
        <v>130</v>
      </c>
      <c r="G16434" s="49" t="str">
        <f t="shared" si="1"/>
        <v>51370</v>
      </c>
      <c r="H16434" s="49">
        <f t="shared" si="2"/>
        <v>51569</v>
      </c>
    </row>
    <row r="16435">
      <c r="A16435" s="48" t="s">
        <v>1932</v>
      </c>
      <c r="B16435" s="38">
        <v>70321.0</v>
      </c>
      <c r="C16435" s="38" t="s">
        <v>20822</v>
      </c>
      <c r="D16435" s="38" t="str">
        <f>IFERROR(__xludf.DUMMYFUNCTION("REGEXREPLACE(C16435,""-\d+(.*)|--\d+(.*)"","""")"),"MAGNY-VERNOIS")</f>
        <v>MAGNY-VERNOIS</v>
      </c>
      <c r="E16435" s="38" t="s">
        <v>956</v>
      </c>
      <c r="F16435" s="38" t="s">
        <v>214</v>
      </c>
      <c r="G16435" s="49" t="str">
        <f t="shared" si="1"/>
        <v>70200</v>
      </c>
      <c r="H16435" s="49">
        <f t="shared" si="2"/>
        <v>70321</v>
      </c>
    </row>
    <row r="16436">
      <c r="A16436" s="48" t="s">
        <v>5532</v>
      </c>
      <c r="B16436" s="38">
        <v>30164.0</v>
      </c>
      <c r="C16436" s="38" t="s">
        <v>20823</v>
      </c>
      <c r="D16436" s="38" t="str">
        <f>IFERROR(__xludf.DUMMYFUNCTION("REGEXREPLACE(C16436,""-\d+(.*)|--\d+(.*)"","""")"),"MEJANNES-LE-CLAP")</f>
        <v>MEJANNES-LE-CLAP</v>
      </c>
      <c r="E16436" s="38" t="s">
        <v>526</v>
      </c>
      <c r="F16436" s="38" t="s">
        <v>119</v>
      </c>
      <c r="G16436" s="49" t="str">
        <f t="shared" si="1"/>
        <v>30430</v>
      </c>
      <c r="H16436" s="49">
        <f t="shared" si="2"/>
        <v>30164</v>
      </c>
    </row>
    <row r="16437">
      <c r="A16437" s="48" t="s">
        <v>966</v>
      </c>
      <c r="B16437" s="38">
        <v>70480.0</v>
      </c>
      <c r="C16437" s="38" t="s">
        <v>20824</v>
      </c>
      <c r="D16437" s="38" t="str">
        <f>IFERROR(__xludf.DUMMYFUNCTION("REGEXREPLACE(C16437,""-\d+(.*)|--\d+(.*)"","""")"),"SAUVIGNEY-LES-PESMES")</f>
        <v>SAUVIGNEY-LES-PESMES</v>
      </c>
      <c r="E16437" s="38" t="s">
        <v>956</v>
      </c>
      <c r="F16437" s="38" t="s">
        <v>214</v>
      </c>
      <c r="G16437" s="49" t="str">
        <f t="shared" si="1"/>
        <v>70140</v>
      </c>
      <c r="H16437" s="49">
        <f t="shared" si="2"/>
        <v>70480</v>
      </c>
    </row>
    <row r="16438">
      <c r="A16438" s="48" t="s">
        <v>1903</v>
      </c>
      <c r="B16438" s="38">
        <v>10393.0</v>
      </c>
      <c r="C16438" s="38" t="s">
        <v>20825</v>
      </c>
      <c r="D16438" s="38" t="str">
        <f>IFERROR(__xludf.DUMMYFUNCTION("REGEXREPLACE(C16438,""-\d+(.*)|--\d+(.*)"","""")"),"VALLENTIGNY")</f>
        <v>VALLENTIGNY</v>
      </c>
      <c r="E16438" s="38" t="s">
        <v>147</v>
      </c>
      <c r="F16438" s="38" t="s">
        <v>130</v>
      </c>
      <c r="G16438" s="49" t="str">
        <f t="shared" si="1"/>
        <v>10500</v>
      </c>
      <c r="H16438" s="49">
        <f t="shared" si="2"/>
        <v>10393</v>
      </c>
    </row>
    <row r="16439">
      <c r="A16439" s="48" t="s">
        <v>4642</v>
      </c>
      <c r="B16439" s="38">
        <v>21219.0</v>
      </c>
      <c r="C16439" s="38" t="s">
        <v>20826</v>
      </c>
      <c r="D16439" s="38" t="str">
        <f>IFERROR(__xludf.DUMMYFUNCTION("REGEXREPLACE(C16439,""-\d+(.*)|--\d+(.*)"","""")"),"CURTIL-VERGY")</f>
        <v>CURTIL-VERGY</v>
      </c>
      <c r="E16439" s="38" t="s">
        <v>105</v>
      </c>
      <c r="F16439" s="38" t="s">
        <v>106</v>
      </c>
      <c r="G16439" s="49" t="str">
        <f t="shared" si="1"/>
        <v>21220</v>
      </c>
      <c r="H16439" s="49">
        <f t="shared" si="2"/>
        <v>21219</v>
      </c>
    </row>
    <row r="16440">
      <c r="A16440" s="48" t="s">
        <v>7192</v>
      </c>
      <c r="B16440" s="38">
        <v>61090.0</v>
      </c>
      <c r="C16440" s="38" t="s">
        <v>12164</v>
      </c>
      <c r="D16440" s="38" t="str">
        <f>IFERROR(__xludf.DUMMYFUNCTION("REGEXREPLACE(C16440,""-\d+(.*)|--\d+(.*)"","""")"),"CHAMPS")</f>
        <v>CHAMPS</v>
      </c>
      <c r="E16440" s="38" t="s">
        <v>141</v>
      </c>
      <c r="F16440" s="38" t="s">
        <v>138</v>
      </c>
      <c r="G16440" s="49" t="str">
        <f t="shared" si="1"/>
        <v>61190</v>
      </c>
      <c r="H16440" s="49">
        <f t="shared" si="2"/>
        <v>61090</v>
      </c>
    </row>
    <row r="16441">
      <c r="A16441" s="48" t="s">
        <v>10533</v>
      </c>
      <c r="B16441" s="38">
        <v>87120.0</v>
      </c>
      <c r="C16441" s="38" t="s">
        <v>20827</v>
      </c>
      <c r="D16441" s="38" t="str">
        <f>IFERROR(__xludf.DUMMYFUNCTION("REGEXREPLACE(C16441,""-\d+(.*)|--\d+(.*)"","""")"),"LA PORCHERIE")</f>
        <v>LA PORCHERIE</v>
      </c>
      <c r="E16441" s="38" t="s">
        <v>897</v>
      </c>
      <c r="F16441" s="38" t="s">
        <v>98</v>
      </c>
      <c r="G16441" s="49" t="str">
        <f t="shared" si="1"/>
        <v>87380</v>
      </c>
      <c r="H16441" s="49">
        <f t="shared" si="2"/>
        <v>87120</v>
      </c>
    </row>
    <row r="16442">
      <c r="A16442" s="48" t="s">
        <v>20828</v>
      </c>
      <c r="B16442" s="38">
        <v>31088.0</v>
      </c>
      <c r="C16442" s="38" t="s">
        <v>20829</v>
      </c>
      <c r="D16442" s="38" t="str">
        <f>IFERROR(__xludf.DUMMYFUNCTION("REGEXREPLACE(C16442,""-\d+(.*)|--\d+(.*)"","""")"),"BRAX")</f>
        <v>BRAX</v>
      </c>
      <c r="E16442" s="38" t="s">
        <v>93</v>
      </c>
      <c r="F16442" s="38" t="s">
        <v>94</v>
      </c>
      <c r="G16442" s="49" t="str">
        <f t="shared" si="1"/>
        <v>31490</v>
      </c>
      <c r="H16442" s="49">
        <f t="shared" si="2"/>
        <v>31088</v>
      </c>
    </row>
    <row r="16443">
      <c r="A16443" s="48" t="s">
        <v>932</v>
      </c>
      <c r="B16443" s="38">
        <v>17212.0</v>
      </c>
      <c r="C16443" s="38" t="s">
        <v>20830</v>
      </c>
      <c r="D16443" s="38" t="str">
        <f>IFERROR(__xludf.DUMMYFUNCTION("REGEXREPLACE(C16443,""-\d+(.*)|--\d+(.*)"","""")"),"LOUZIGNAC")</f>
        <v>LOUZIGNAC</v>
      </c>
      <c r="E16443" s="38" t="s">
        <v>488</v>
      </c>
      <c r="F16443" s="38" t="s">
        <v>338</v>
      </c>
      <c r="G16443" s="49" t="str">
        <f t="shared" si="1"/>
        <v>17160</v>
      </c>
      <c r="H16443" s="49">
        <f t="shared" si="2"/>
        <v>17212</v>
      </c>
    </row>
    <row r="16444">
      <c r="A16444" s="48" t="s">
        <v>2515</v>
      </c>
      <c r="B16444" s="38">
        <v>87047.0</v>
      </c>
      <c r="C16444" s="38" t="s">
        <v>20831</v>
      </c>
      <c r="D16444" s="38" t="str">
        <f>IFERROR(__xludf.DUMMYFUNCTION("REGEXREPLACE(C16444,""-\d+(.*)|--\d+(.*)"","""")"),"COMPREIGNAC")</f>
        <v>COMPREIGNAC</v>
      </c>
      <c r="E16444" s="38" t="s">
        <v>897</v>
      </c>
      <c r="F16444" s="38" t="s">
        <v>98</v>
      </c>
      <c r="G16444" s="49" t="str">
        <f t="shared" si="1"/>
        <v>87140</v>
      </c>
      <c r="H16444" s="49">
        <f t="shared" si="2"/>
        <v>87047</v>
      </c>
    </row>
    <row r="16445">
      <c r="A16445" s="48" t="s">
        <v>5761</v>
      </c>
      <c r="B16445" s="38">
        <v>17210.0</v>
      </c>
      <c r="C16445" s="38" t="s">
        <v>20832</v>
      </c>
      <c r="D16445" s="38" t="str">
        <f>IFERROR(__xludf.DUMMYFUNCTION("REGEXREPLACE(C16445,""-\d+(.*)|--\d+(.*)"","""")"),"LORIGNAC")</f>
        <v>LORIGNAC</v>
      </c>
      <c r="E16445" s="38" t="s">
        <v>488</v>
      </c>
      <c r="F16445" s="38" t="s">
        <v>338</v>
      </c>
      <c r="G16445" s="49" t="str">
        <f t="shared" si="1"/>
        <v>17240</v>
      </c>
      <c r="H16445" s="49">
        <f t="shared" si="2"/>
        <v>17210</v>
      </c>
    </row>
    <row r="16446">
      <c r="A16446" s="48" t="s">
        <v>6016</v>
      </c>
      <c r="B16446" s="38">
        <v>57259.0</v>
      </c>
      <c r="C16446" s="38" t="s">
        <v>20833</v>
      </c>
      <c r="D16446" s="38" t="str">
        <f>IFERROR(__xludf.DUMMYFUNCTION("REGEXREPLACE(C16446,""-\d+(.*)|--\d+(.*)"","""")"),"GRINDORFF-BIZING")</f>
        <v>GRINDORFF-BIZING</v>
      </c>
      <c r="E16446" s="38" t="s">
        <v>303</v>
      </c>
      <c r="F16446" s="38" t="s">
        <v>195</v>
      </c>
      <c r="G16446" s="49" t="str">
        <f t="shared" si="1"/>
        <v>57480</v>
      </c>
      <c r="H16446" s="49">
        <f t="shared" si="2"/>
        <v>57259</v>
      </c>
    </row>
    <row r="16447">
      <c r="A16447" s="48" t="s">
        <v>8001</v>
      </c>
      <c r="B16447" s="38">
        <v>89363.0</v>
      </c>
      <c r="C16447" s="38" t="s">
        <v>20834</v>
      </c>
      <c r="D16447" s="38" t="str">
        <f>IFERROR(__xludf.DUMMYFUNCTION("REGEXREPLACE(C16447,""-\d+(.*)|--\d+(.*)"","""")"),"SAINTE-PALLAYE")</f>
        <v>SAINTE-PALLAYE</v>
      </c>
      <c r="E16447" s="38" t="s">
        <v>275</v>
      </c>
      <c r="F16447" s="38" t="s">
        <v>106</v>
      </c>
      <c r="G16447" s="49" t="str">
        <f t="shared" si="1"/>
        <v>89460</v>
      </c>
      <c r="H16447" s="49">
        <f t="shared" si="2"/>
        <v>89363</v>
      </c>
    </row>
    <row r="16448">
      <c r="A16448" s="48" t="s">
        <v>10219</v>
      </c>
      <c r="B16448" s="38">
        <v>34069.0</v>
      </c>
      <c r="C16448" s="38" t="s">
        <v>20835</v>
      </c>
      <c r="D16448" s="38" t="str">
        <f>IFERROR(__xludf.DUMMYFUNCTION("REGEXREPLACE(C16448,""-\d+(.*)|--\d+(.*)"","""")"),"CAZOULS-LES-BEZIERS")</f>
        <v>CAZOULS-LES-BEZIERS</v>
      </c>
      <c r="E16448" s="38" t="s">
        <v>118</v>
      </c>
      <c r="F16448" s="38" t="s">
        <v>119</v>
      </c>
      <c r="G16448" s="49" t="str">
        <f t="shared" si="1"/>
        <v>34370</v>
      </c>
      <c r="H16448" s="49">
        <f t="shared" si="2"/>
        <v>34069</v>
      </c>
    </row>
    <row r="16449">
      <c r="A16449" s="48" t="s">
        <v>10778</v>
      </c>
      <c r="B16449" s="38">
        <v>21680.0</v>
      </c>
      <c r="C16449" s="38" t="s">
        <v>20836</v>
      </c>
      <c r="D16449" s="38" t="str">
        <f>IFERROR(__xludf.DUMMYFUNCTION("REGEXREPLACE(C16449,""-\d+(.*)|--\d+(.*)"","""")"),"VIELVERGE")</f>
        <v>VIELVERGE</v>
      </c>
      <c r="E16449" s="38" t="s">
        <v>105</v>
      </c>
      <c r="F16449" s="38" t="s">
        <v>106</v>
      </c>
      <c r="G16449" s="49" t="str">
        <f t="shared" si="1"/>
        <v>21270</v>
      </c>
      <c r="H16449" s="49">
        <f t="shared" si="2"/>
        <v>21680</v>
      </c>
    </row>
    <row r="16450">
      <c r="A16450" s="48" t="s">
        <v>6107</v>
      </c>
      <c r="B16450" s="38">
        <v>61005.0</v>
      </c>
      <c r="C16450" s="38" t="s">
        <v>20837</v>
      </c>
      <c r="D16450" s="38" t="str">
        <f>IFERROR(__xludf.DUMMYFUNCTION("REGEXREPLACE(C16450,""-\d+(.*)|--\d+(.*)"","""")"),"APPENAI-SOUS-BELLEME")</f>
        <v>APPENAI-SOUS-BELLEME</v>
      </c>
      <c r="E16450" s="38" t="s">
        <v>141</v>
      </c>
      <c r="F16450" s="38" t="s">
        <v>138</v>
      </c>
      <c r="G16450" s="49" t="str">
        <f t="shared" si="1"/>
        <v>61130</v>
      </c>
      <c r="H16450" s="49">
        <f t="shared" si="2"/>
        <v>61005</v>
      </c>
    </row>
    <row r="16451">
      <c r="A16451" s="48" t="s">
        <v>8032</v>
      </c>
      <c r="B16451" s="38">
        <v>46017.0</v>
      </c>
      <c r="C16451" s="38" t="s">
        <v>14152</v>
      </c>
      <c r="D16451" s="38" t="str">
        <f>IFERROR(__xludf.DUMMYFUNCTION("REGEXREPLACE(C16451,""-\d+(.*)|--\d+(.*)"","""")"),"BANNES")</f>
        <v>BANNES</v>
      </c>
      <c r="E16451" s="38" t="s">
        <v>185</v>
      </c>
      <c r="F16451" s="38" t="s">
        <v>94</v>
      </c>
      <c r="G16451" s="49" t="str">
        <f t="shared" si="1"/>
        <v>46400</v>
      </c>
      <c r="H16451" s="49">
        <f t="shared" si="2"/>
        <v>46017</v>
      </c>
    </row>
    <row r="16452">
      <c r="A16452" s="48" t="s">
        <v>286</v>
      </c>
      <c r="B16452" s="38">
        <v>68309.0</v>
      </c>
      <c r="C16452" s="38" t="s">
        <v>20838</v>
      </c>
      <c r="D16452" s="38" t="str">
        <f>IFERROR(__xludf.DUMMYFUNCTION("REGEXREPLACE(C16452,""-\d+(.*)|--\d+(.*)"","""")"),"SIERENTZ")</f>
        <v>SIERENTZ</v>
      </c>
      <c r="E16452" s="38" t="s">
        <v>150</v>
      </c>
      <c r="F16452" s="38" t="s">
        <v>151</v>
      </c>
      <c r="G16452" s="49" t="str">
        <f t="shared" si="1"/>
        <v>68510</v>
      </c>
      <c r="H16452" s="49">
        <f t="shared" si="2"/>
        <v>68309</v>
      </c>
    </row>
    <row r="16453">
      <c r="A16453" s="48" t="s">
        <v>20839</v>
      </c>
      <c r="B16453" s="38">
        <v>30231.0</v>
      </c>
      <c r="C16453" s="38" t="s">
        <v>20840</v>
      </c>
      <c r="D16453" s="38" t="str">
        <f>IFERROR(__xludf.DUMMYFUNCTION("REGEXREPLACE(C16453,""-\d+(.*)|--\d+(.*)"","""")"),"SAINT-ANDRE-DE-VALBORGNE")</f>
        <v>SAINT-ANDRE-DE-VALBORGNE</v>
      </c>
      <c r="E16453" s="38" t="s">
        <v>526</v>
      </c>
      <c r="F16453" s="38" t="s">
        <v>119</v>
      </c>
      <c r="G16453" s="49" t="str">
        <f t="shared" si="1"/>
        <v>30940</v>
      </c>
      <c r="H16453" s="49">
        <f t="shared" si="2"/>
        <v>30231</v>
      </c>
    </row>
    <row r="16454">
      <c r="A16454" s="48" t="s">
        <v>16012</v>
      </c>
      <c r="B16454" s="38">
        <v>89196.0</v>
      </c>
      <c r="C16454" s="38" t="s">
        <v>20841</v>
      </c>
      <c r="D16454" s="38" t="str">
        <f>IFERROR(__xludf.DUMMYFUNCTION("REGEXREPLACE(C16454,""-\d+(.*)|--\d+(.*)"","""")"),"GUERCHY")</f>
        <v>GUERCHY</v>
      </c>
      <c r="E16454" s="38" t="s">
        <v>275</v>
      </c>
      <c r="F16454" s="38" t="s">
        <v>106</v>
      </c>
      <c r="G16454" s="49" t="str">
        <f t="shared" si="1"/>
        <v>89113</v>
      </c>
      <c r="H16454" s="49">
        <f t="shared" si="2"/>
        <v>89196</v>
      </c>
    </row>
    <row r="16455">
      <c r="A16455" s="48" t="s">
        <v>20842</v>
      </c>
      <c r="B16455" s="38">
        <v>63397.0</v>
      </c>
      <c r="C16455" s="38" t="s">
        <v>20843</v>
      </c>
      <c r="D16455" s="38" t="str">
        <f>IFERROR(__xludf.DUMMYFUNCTION("REGEXREPLACE(C16455,""-\d+(.*)|--\d+(.*)"","""")"),"SAINT-SAUVES-D'AUVERGNE")</f>
        <v>SAINT-SAUVES-D'AUVERGNE</v>
      </c>
      <c r="E16455" s="38" t="s">
        <v>353</v>
      </c>
      <c r="F16455" s="38" t="s">
        <v>161</v>
      </c>
      <c r="G16455" s="49" t="str">
        <f t="shared" si="1"/>
        <v>63950</v>
      </c>
      <c r="H16455" s="49">
        <f t="shared" si="2"/>
        <v>63397</v>
      </c>
    </row>
    <row r="16456">
      <c r="A16456" s="48" t="s">
        <v>1861</v>
      </c>
      <c r="B16456" s="38">
        <v>46191.0</v>
      </c>
      <c r="C16456" s="38" t="s">
        <v>20844</v>
      </c>
      <c r="D16456" s="38" t="str">
        <f>IFERROR(__xludf.DUMMYFUNCTION("REGEXREPLACE(C16456,""-\d+(.*)|--\d+(.*)"","""")"),"MERCUES")</f>
        <v>MERCUES</v>
      </c>
      <c r="E16456" s="38" t="s">
        <v>185</v>
      </c>
      <c r="F16456" s="38" t="s">
        <v>94</v>
      </c>
      <c r="G16456" s="49" t="str">
        <f t="shared" si="1"/>
        <v>46090</v>
      </c>
      <c r="H16456" s="49">
        <f t="shared" si="2"/>
        <v>46191</v>
      </c>
    </row>
    <row r="16457">
      <c r="A16457" s="48" t="s">
        <v>20845</v>
      </c>
      <c r="B16457" s="38">
        <v>68292.0</v>
      </c>
      <c r="C16457" s="38" t="s">
        <v>20846</v>
      </c>
      <c r="D16457" s="38" t="str">
        <f>IFERROR(__xludf.DUMMYFUNCTION("REGEXREPLACE(C16457,""-\d+(.*)|--\d+(.*)"","""")"),"SAINT-AMARIN")</f>
        <v>SAINT-AMARIN</v>
      </c>
      <c r="E16457" s="38" t="s">
        <v>150</v>
      </c>
      <c r="F16457" s="38" t="s">
        <v>151</v>
      </c>
      <c r="G16457" s="49" t="str">
        <f t="shared" si="1"/>
        <v>68550</v>
      </c>
      <c r="H16457" s="49">
        <f t="shared" si="2"/>
        <v>68292</v>
      </c>
    </row>
    <row r="16458">
      <c r="A16458" s="48" t="s">
        <v>5887</v>
      </c>
      <c r="B16458" s="38">
        <v>61464.0</v>
      </c>
      <c r="C16458" s="38" t="s">
        <v>20847</v>
      </c>
      <c r="D16458" s="38" t="str">
        <f>IFERROR(__xludf.DUMMYFUNCTION("REGEXREPLACE(C16458,""-\d+(.*)|--\d+(.*)"","""")"),"SEES")</f>
        <v>SEES</v>
      </c>
      <c r="E16458" s="38" t="s">
        <v>141</v>
      </c>
      <c r="F16458" s="38" t="s">
        <v>138</v>
      </c>
      <c r="G16458" s="49" t="str">
        <f t="shared" si="1"/>
        <v>61500</v>
      </c>
      <c r="H16458" s="49">
        <f t="shared" si="2"/>
        <v>61464</v>
      </c>
    </row>
    <row r="16459">
      <c r="A16459" s="48" t="s">
        <v>2592</v>
      </c>
      <c r="B16459" s="38">
        <v>34016.0</v>
      </c>
      <c r="C16459" s="38" t="s">
        <v>20848</v>
      </c>
      <c r="D16459" s="38" t="str">
        <f>IFERROR(__xludf.DUMMYFUNCTION("REGEXREPLACE(C16459,""-\d+(.*)|--\d+(.*)"","""")"),"AUMELAS")</f>
        <v>AUMELAS</v>
      </c>
      <c r="E16459" s="38" t="s">
        <v>118</v>
      </c>
      <c r="F16459" s="38" t="s">
        <v>119</v>
      </c>
      <c r="G16459" s="49" t="str">
        <f t="shared" si="1"/>
        <v>34230</v>
      </c>
      <c r="H16459" s="49">
        <f t="shared" si="2"/>
        <v>34016</v>
      </c>
    </row>
    <row r="16460">
      <c r="A16460" s="48" t="s">
        <v>7399</v>
      </c>
      <c r="B16460" s="38">
        <v>28105.0</v>
      </c>
      <c r="C16460" s="38" t="s">
        <v>20849</v>
      </c>
      <c r="D16460" s="38" t="str">
        <f>IFERROR(__xludf.DUMMYFUNCTION("REGEXREPLACE(C16460,""-\d+(.*)|--\d+(.*)"","""")"),"COMBRES")</f>
        <v>COMBRES</v>
      </c>
      <c r="E16460" s="38" t="s">
        <v>300</v>
      </c>
      <c r="F16460" s="38" t="s">
        <v>123</v>
      </c>
      <c r="G16460" s="49" t="str">
        <f t="shared" si="1"/>
        <v>28480</v>
      </c>
      <c r="H16460" s="49">
        <f t="shared" si="2"/>
        <v>28105</v>
      </c>
    </row>
    <row r="16461">
      <c r="A16461" s="48" t="s">
        <v>970</v>
      </c>
      <c r="B16461" s="38">
        <v>2321.0</v>
      </c>
      <c r="C16461" s="38" t="s">
        <v>20850</v>
      </c>
      <c r="D16461" s="38" t="str">
        <f>IFERROR(__xludf.DUMMYFUNCTION("REGEXREPLACE(C16461,""-\d+(.*)|--\d+(.*)"","""")"),"FONTAINE-LES-VERVINS")</f>
        <v>FONTAINE-LES-VERVINS</v>
      </c>
      <c r="E16461" s="38" t="s">
        <v>191</v>
      </c>
      <c r="F16461" s="38" t="s">
        <v>113</v>
      </c>
      <c r="G16461" s="49" t="str">
        <f t="shared" si="1"/>
        <v>02140</v>
      </c>
      <c r="H16461" s="49" t="str">
        <f t="shared" si="2"/>
        <v>02321</v>
      </c>
    </row>
    <row r="16462">
      <c r="A16462" s="48" t="s">
        <v>3295</v>
      </c>
      <c r="B16462" s="38">
        <v>76215.0</v>
      </c>
      <c r="C16462" s="38" t="s">
        <v>20851</v>
      </c>
      <c r="D16462" s="38" t="str">
        <f>IFERROR(__xludf.DUMMYFUNCTION("REGEXREPLACE(C16462,""-\d+(.*)|--\d+(.*)"","""")"),"DERCHIGNY")</f>
        <v>DERCHIGNY</v>
      </c>
      <c r="E16462" s="38" t="s">
        <v>133</v>
      </c>
      <c r="F16462" s="38" t="s">
        <v>134</v>
      </c>
      <c r="G16462" s="49" t="str">
        <f t="shared" si="1"/>
        <v>76370</v>
      </c>
      <c r="H16462" s="49">
        <f t="shared" si="2"/>
        <v>76215</v>
      </c>
    </row>
    <row r="16463">
      <c r="A16463" s="48" t="s">
        <v>6753</v>
      </c>
      <c r="B16463" s="38">
        <v>42325.0</v>
      </c>
      <c r="C16463" s="38" t="s">
        <v>20852</v>
      </c>
      <c r="D16463" s="38" t="str">
        <f>IFERROR(__xludf.DUMMYFUNCTION("REGEXREPLACE(C16463,""-\d+(.*)|--\d+(.*)"","""")"),"VENDRANGES")</f>
        <v>VENDRANGES</v>
      </c>
      <c r="E16463" s="38" t="s">
        <v>166</v>
      </c>
      <c r="F16463" s="38" t="s">
        <v>102</v>
      </c>
      <c r="G16463" s="49" t="str">
        <f t="shared" si="1"/>
        <v>42590</v>
      </c>
      <c r="H16463" s="49">
        <f t="shared" si="2"/>
        <v>42325</v>
      </c>
    </row>
    <row r="16464">
      <c r="A16464" s="48" t="s">
        <v>12083</v>
      </c>
      <c r="B16464" s="38">
        <v>26100.0</v>
      </c>
      <c r="C16464" s="38" t="s">
        <v>20853</v>
      </c>
      <c r="D16464" s="38" t="str">
        <f>IFERROR(__xludf.DUMMYFUNCTION("REGEXREPLACE(C16464,""-\d+(.*)|--\d+(.*)"","""")"),"COMBOVIN")</f>
        <v>COMBOVIN</v>
      </c>
      <c r="E16464" s="38" t="s">
        <v>126</v>
      </c>
      <c r="F16464" s="38" t="s">
        <v>102</v>
      </c>
      <c r="G16464" s="49" t="str">
        <f t="shared" si="1"/>
        <v>26120</v>
      </c>
      <c r="H16464" s="49">
        <f t="shared" si="2"/>
        <v>26100</v>
      </c>
    </row>
    <row r="16465">
      <c r="A16465" s="48" t="s">
        <v>2330</v>
      </c>
      <c r="B16465" s="38">
        <v>65202.0</v>
      </c>
      <c r="C16465" s="38" t="s">
        <v>20854</v>
      </c>
      <c r="D16465" s="38" t="str">
        <f>IFERROR(__xludf.DUMMYFUNCTION("REGEXREPLACE(C16465,""-\d+(.*)|--\d+(.*)"","""")"),"GEZ")</f>
        <v>GEZ</v>
      </c>
      <c r="E16465" s="38" t="s">
        <v>200</v>
      </c>
      <c r="F16465" s="38" t="s">
        <v>94</v>
      </c>
      <c r="G16465" s="49" t="str">
        <f t="shared" si="1"/>
        <v>65400</v>
      </c>
      <c r="H16465" s="49">
        <f t="shared" si="2"/>
        <v>65202</v>
      </c>
    </row>
    <row r="16466">
      <c r="A16466" s="48" t="s">
        <v>20855</v>
      </c>
      <c r="B16466" s="38">
        <v>31254.0</v>
      </c>
      <c r="C16466" s="38" t="s">
        <v>20856</v>
      </c>
      <c r="D16466" s="38" t="str">
        <f>IFERROR(__xludf.DUMMYFUNCTION("REGEXREPLACE(C16466,""-\d+(.*)|--\d+(.*)"","""")"),"LABEGE")</f>
        <v>LABEGE</v>
      </c>
      <c r="E16466" s="38" t="s">
        <v>93</v>
      </c>
      <c r="F16466" s="38" t="s">
        <v>94</v>
      </c>
      <c r="G16466" s="49" t="str">
        <f t="shared" si="1"/>
        <v>31670</v>
      </c>
      <c r="H16466" s="49">
        <f t="shared" si="2"/>
        <v>31254</v>
      </c>
    </row>
    <row r="16467">
      <c r="A16467" s="48" t="s">
        <v>20857</v>
      </c>
      <c r="B16467" s="38">
        <v>64009.0</v>
      </c>
      <c r="C16467" s="38" t="s">
        <v>20858</v>
      </c>
      <c r="D16467" s="38" t="str">
        <f>IFERROR(__xludf.DUMMYFUNCTION("REGEXREPLACE(C16467,""-\d+(.*)|--\d+(.*)"","""")"),"AHETZE")</f>
        <v>AHETZE</v>
      </c>
      <c r="E16467" s="38" t="s">
        <v>268</v>
      </c>
      <c r="F16467" s="38" t="s">
        <v>252</v>
      </c>
      <c r="G16467" s="49" t="str">
        <f t="shared" si="1"/>
        <v>64210</v>
      </c>
      <c r="H16467" s="49">
        <f t="shared" si="2"/>
        <v>64009</v>
      </c>
    </row>
    <row r="16468">
      <c r="A16468" s="48" t="s">
        <v>5911</v>
      </c>
      <c r="B16468" s="38">
        <v>54369.0</v>
      </c>
      <c r="C16468" s="38" t="s">
        <v>14211</v>
      </c>
      <c r="D16468" s="38" t="str">
        <f>IFERROR(__xludf.DUMMYFUNCTION("REGEXREPLACE(C16468,""-\d+(.*)|--\d+(.*)"","""")"),"MILLERY")</f>
        <v>MILLERY</v>
      </c>
      <c r="E16468" s="38" t="s">
        <v>548</v>
      </c>
      <c r="F16468" s="38" t="s">
        <v>195</v>
      </c>
      <c r="G16468" s="49" t="str">
        <f t="shared" si="1"/>
        <v>54670</v>
      </c>
      <c r="H16468" s="49">
        <f t="shared" si="2"/>
        <v>54369</v>
      </c>
    </row>
    <row r="16469">
      <c r="A16469" s="48" t="s">
        <v>3341</v>
      </c>
      <c r="B16469" s="38">
        <v>25501.0</v>
      </c>
      <c r="C16469" s="38" t="s">
        <v>20859</v>
      </c>
      <c r="D16469" s="38" t="str">
        <f>IFERROR(__xludf.DUMMYFUNCTION("REGEXREPLACE(C16469,""-\d+(.*)|--\d+(.*)"","""")"),"RONDEFONTAINE")</f>
        <v>RONDEFONTAINE</v>
      </c>
      <c r="E16469" s="38" t="s">
        <v>213</v>
      </c>
      <c r="F16469" s="38" t="s">
        <v>214</v>
      </c>
      <c r="G16469" s="49" t="str">
        <f t="shared" si="1"/>
        <v>25240</v>
      </c>
      <c r="H16469" s="49">
        <f t="shared" si="2"/>
        <v>25501</v>
      </c>
    </row>
    <row r="16470">
      <c r="A16470" s="48" t="s">
        <v>3311</v>
      </c>
      <c r="B16470" s="38">
        <v>19026.0</v>
      </c>
      <c r="C16470" s="38" t="s">
        <v>20860</v>
      </c>
      <c r="D16470" s="38" t="str">
        <f>IFERROR(__xludf.DUMMYFUNCTION("REGEXREPLACE(C16470,""-\d+(.*)|--\d+(.*)"","""")"),"BILHAC")</f>
        <v>BILHAC</v>
      </c>
      <c r="E16470" s="38" t="s">
        <v>271</v>
      </c>
      <c r="F16470" s="38" t="s">
        <v>98</v>
      </c>
      <c r="G16470" s="49" t="str">
        <f t="shared" si="1"/>
        <v>19120</v>
      </c>
      <c r="H16470" s="49">
        <f t="shared" si="2"/>
        <v>19026</v>
      </c>
    </row>
    <row r="16471">
      <c r="A16471" s="48" t="s">
        <v>4557</v>
      </c>
      <c r="B16471" s="38">
        <v>46089.0</v>
      </c>
      <c r="C16471" s="38" t="s">
        <v>20861</v>
      </c>
      <c r="D16471" s="38" t="str">
        <f>IFERROR(__xludf.DUMMYFUNCTION("REGEXREPLACE(C16471,""-\d+(.*)|--\d+(.*)"","""")"),"DURAVEL")</f>
        <v>DURAVEL</v>
      </c>
      <c r="E16471" s="38" t="s">
        <v>185</v>
      </c>
      <c r="F16471" s="38" t="s">
        <v>94</v>
      </c>
      <c r="G16471" s="49" t="str">
        <f t="shared" si="1"/>
        <v>46700</v>
      </c>
      <c r="H16471" s="49">
        <f t="shared" si="2"/>
        <v>46089</v>
      </c>
    </row>
    <row r="16472">
      <c r="A16472" s="48" t="s">
        <v>20862</v>
      </c>
      <c r="B16472" s="38">
        <v>77152.0</v>
      </c>
      <c r="C16472" s="38" t="s">
        <v>20863</v>
      </c>
      <c r="D16472" s="38" t="str">
        <f>IFERROR(__xludf.DUMMYFUNCTION("REGEXREPLACE(C16472,""-\d+(.*)|--\d+(.*)"","""")"),"DAMMARIE-LES-LYS")</f>
        <v>DAMMARIE-LES-LYS</v>
      </c>
      <c r="E16472" s="38" t="s">
        <v>244</v>
      </c>
      <c r="F16472" s="38" t="s">
        <v>245</v>
      </c>
      <c r="G16472" s="49" t="str">
        <f t="shared" si="1"/>
        <v>77190</v>
      </c>
      <c r="H16472" s="49">
        <f t="shared" si="2"/>
        <v>77152</v>
      </c>
    </row>
    <row r="16473">
      <c r="A16473" s="48" t="s">
        <v>20864</v>
      </c>
      <c r="B16473" s="38">
        <v>39274.0</v>
      </c>
      <c r="C16473" s="38" t="s">
        <v>20865</v>
      </c>
      <c r="D16473" s="38" t="str">
        <f>IFERROR(__xludf.DUMMYFUNCTION("REGEXREPLACE(C16473,""-\d+(.*)|--\d+(.*)"","""")"),"LAJOUX")</f>
        <v>LAJOUX</v>
      </c>
      <c r="E16473" s="38" t="s">
        <v>400</v>
      </c>
      <c r="F16473" s="38" t="s">
        <v>214</v>
      </c>
      <c r="G16473" s="49" t="str">
        <f t="shared" si="1"/>
        <v>39310/01410</v>
      </c>
      <c r="H16473" s="49">
        <f t="shared" si="2"/>
        <v>39274</v>
      </c>
    </row>
    <row r="16474">
      <c r="A16474" s="48" t="s">
        <v>1132</v>
      </c>
      <c r="B16474" s="38">
        <v>2711.0</v>
      </c>
      <c r="C16474" s="38" t="s">
        <v>20866</v>
      </c>
      <c r="D16474" s="38" t="str">
        <f>IFERROR(__xludf.DUMMYFUNCTION("REGEXREPLACE(C16474,""-\d+(.*)|--\d+(.*)"","""")"),"SERCHES")</f>
        <v>SERCHES</v>
      </c>
      <c r="E16474" s="38" t="s">
        <v>191</v>
      </c>
      <c r="F16474" s="38" t="s">
        <v>113</v>
      </c>
      <c r="G16474" s="49" t="str">
        <f t="shared" si="1"/>
        <v>02220</v>
      </c>
      <c r="H16474" s="49" t="str">
        <f t="shared" si="2"/>
        <v>02711</v>
      </c>
    </row>
    <row r="16475">
      <c r="A16475" s="48" t="s">
        <v>20867</v>
      </c>
      <c r="B16475" s="38" t="s">
        <v>20868</v>
      </c>
      <c r="C16475" s="38" t="s">
        <v>20869</v>
      </c>
      <c r="D16475" s="38" t="str">
        <f>IFERROR(__xludf.DUMMYFUNCTION("REGEXREPLACE(C16475,""-\d+(.*)|--\d+(.*)"","""")"),"NOVALE")</f>
        <v>NOVALE</v>
      </c>
      <c r="E16475" s="38" t="s">
        <v>743</v>
      </c>
      <c r="F16475" s="38" t="s">
        <v>607</v>
      </c>
      <c r="G16475" s="49" t="str">
        <f t="shared" si="1"/>
        <v>20234</v>
      </c>
      <c r="H16475" s="49" t="str">
        <f t="shared" si="2"/>
        <v>2B179</v>
      </c>
    </row>
    <row r="16476">
      <c r="A16476" s="48" t="s">
        <v>8779</v>
      </c>
      <c r="B16476" s="38">
        <v>45326.0</v>
      </c>
      <c r="C16476" s="38" t="s">
        <v>20870</v>
      </c>
      <c r="D16476" s="38" t="str">
        <f>IFERROR(__xludf.DUMMYFUNCTION("REGEXREPLACE(C16476,""-\d+(.*)|--\d+(.*)"","""")"),"TOURNOISIS")</f>
        <v>TOURNOISIS</v>
      </c>
      <c r="E16476" s="38" t="s">
        <v>122</v>
      </c>
      <c r="F16476" s="38" t="s">
        <v>123</v>
      </c>
      <c r="G16476" s="49" t="str">
        <f t="shared" si="1"/>
        <v>45310</v>
      </c>
      <c r="H16476" s="49">
        <f t="shared" si="2"/>
        <v>45326</v>
      </c>
    </row>
    <row r="16477">
      <c r="A16477" s="48" t="s">
        <v>1683</v>
      </c>
      <c r="B16477" s="38">
        <v>78193.0</v>
      </c>
      <c r="C16477" s="38" t="s">
        <v>20871</v>
      </c>
      <c r="D16477" s="38" t="str">
        <f>IFERROR(__xludf.DUMMYFUNCTION("REGEXREPLACE(C16477,""-\d+(.*)|--\d+(.*)"","""")"),"DAMPIERRE-EN-YVELINES")</f>
        <v>DAMPIERRE-EN-YVELINES</v>
      </c>
      <c r="E16477" s="38" t="s">
        <v>362</v>
      </c>
      <c r="F16477" s="38" t="s">
        <v>245</v>
      </c>
      <c r="G16477" s="49" t="str">
        <f t="shared" si="1"/>
        <v>78720</v>
      </c>
      <c r="H16477" s="49">
        <f t="shared" si="2"/>
        <v>78193</v>
      </c>
    </row>
    <row r="16478">
      <c r="A16478" s="48" t="s">
        <v>2833</v>
      </c>
      <c r="B16478" s="38">
        <v>77044.0</v>
      </c>
      <c r="C16478" s="38" t="s">
        <v>20872</v>
      </c>
      <c r="D16478" s="38" t="str">
        <f>IFERROR(__xludf.DUMMYFUNCTION("REGEXREPLACE(C16478,""-\d+(.*)|--\d+(.*)"","""")"),"BOMBON")</f>
        <v>BOMBON</v>
      </c>
      <c r="E16478" s="38" t="s">
        <v>244</v>
      </c>
      <c r="F16478" s="38" t="s">
        <v>245</v>
      </c>
      <c r="G16478" s="49" t="str">
        <f t="shared" si="1"/>
        <v>77720</v>
      </c>
      <c r="H16478" s="49">
        <f t="shared" si="2"/>
        <v>77044</v>
      </c>
    </row>
    <row r="16479">
      <c r="A16479" s="48" t="s">
        <v>8757</v>
      </c>
      <c r="B16479" s="38">
        <v>84048.0</v>
      </c>
      <c r="C16479" s="38" t="s">
        <v>3338</v>
      </c>
      <c r="D16479" s="38" t="str">
        <f>IFERROR(__xludf.DUMMYFUNCTION("REGEXREPLACE(C16479,""-\d+(.*)|--\d+(.*)"","""")"),"GIGNAC")</f>
        <v>GIGNAC</v>
      </c>
      <c r="E16479" s="38" t="s">
        <v>1026</v>
      </c>
      <c r="F16479" s="38" t="s">
        <v>228</v>
      </c>
      <c r="G16479" s="49" t="str">
        <f t="shared" si="1"/>
        <v>84400</v>
      </c>
      <c r="H16479" s="49">
        <f t="shared" si="2"/>
        <v>84048</v>
      </c>
    </row>
    <row r="16480">
      <c r="A16480" s="48" t="s">
        <v>1894</v>
      </c>
      <c r="B16480" s="38">
        <v>10058.0</v>
      </c>
      <c r="C16480" s="38" t="s">
        <v>20873</v>
      </c>
      <c r="D16480" s="38" t="str">
        <f>IFERROR(__xludf.DUMMYFUNCTION("REGEXREPLACE(C16480,""-\d+(.*)|--\d+(.*)"","""")"),"BRAGELOGNE-BEAUVOIR")</f>
        <v>BRAGELOGNE-BEAUVOIR</v>
      </c>
      <c r="E16480" s="38" t="s">
        <v>147</v>
      </c>
      <c r="F16480" s="38" t="s">
        <v>130</v>
      </c>
      <c r="G16480" s="49" t="str">
        <f t="shared" si="1"/>
        <v>10340</v>
      </c>
      <c r="H16480" s="49">
        <f t="shared" si="2"/>
        <v>10058</v>
      </c>
    </row>
    <row r="16481">
      <c r="A16481" s="48" t="s">
        <v>948</v>
      </c>
      <c r="B16481" s="38">
        <v>68100.0</v>
      </c>
      <c r="C16481" s="38" t="s">
        <v>20874</v>
      </c>
      <c r="D16481" s="38" t="str">
        <f>IFERROR(__xludf.DUMMYFUNCTION("REGEXREPLACE(C16481,""-\d+(.*)|--\d+(.*)"","""")"),"FULLEREN")</f>
        <v>FULLEREN</v>
      </c>
      <c r="E16481" s="38" t="s">
        <v>150</v>
      </c>
      <c r="F16481" s="38" t="s">
        <v>151</v>
      </c>
      <c r="G16481" s="49" t="str">
        <f t="shared" si="1"/>
        <v>68210</v>
      </c>
      <c r="H16481" s="49">
        <f t="shared" si="2"/>
        <v>68100</v>
      </c>
    </row>
    <row r="16482">
      <c r="A16482" s="48" t="s">
        <v>10520</v>
      </c>
      <c r="B16482" s="38">
        <v>69263.0</v>
      </c>
      <c r="C16482" s="38" t="s">
        <v>20875</v>
      </c>
      <c r="D16482" s="38" t="str">
        <f>IFERROR(__xludf.DUMMYFUNCTION("REGEXREPLACE(C16482,""-\d+(.*)|--\d+(.*)"","""")"),"VILLECHENEVE")</f>
        <v>VILLECHENEVE</v>
      </c>
      <c r="E16482" s="38" t="s">
        <v>350</v>
      </c>
      <c r="F16482" s="38" t="s">
        <v>102</v>
      </c>
      <c r="G16482" s="49" t="str">
        <f t="shared" si="1"/>
        <v>69770</v>
      </c>
      <c r="H16482" s="49">
        <f t="shared" si="2"/>
        <v>69263</v>
      </c>
    </row>
    <row r="16483">
      <c r="A16483" s="48" t="s">
        <v>10880</v>
      </c>
      <c r="B16483" s="38">
        <v>72287.0</v>
      </c>
      <c r="C16483" s="38" t="s">
        <v>20876</v>
      </c>
      <c r="D16483" s="38" t="str">
        <f>IFERROR(__xludf.DUMMYFUNCTION("REGEXREPLACE(C16483,""-\d+(.*)|--\d+(.*)"","""")"),"SAINT-GERVAIS-EN-BELIN")</f>
        <v>SAINT-GERVAIS-EN-BELIN</v>
      </c>
      <c r="E16483" s="38" t="s">
        <v>521</v>
      </c>
      <c r="F16483" s="38" t="s">
        <v>180</v>
      </c>
      <c r="G16483" s="49" t="str">
        <f t="shared" si="1"/>
        <v>72220</v>
      </c>
      <c r="H16483" s="49">
        <f t="shared" si="2"/>
        <v>72287</v>
      </c>
    </row>
    <row r="16484">
      <c r="A16484" s="48" t="s">
        <v>3774</v>
      </c>
      <c r="B16484" s="38">
        <v>74060.0</v>
      </c>
      <c r="C16484" s="38" t="s">
        <v>20877</v>
      </c>
      <c r="D16484" s="38" t="str">
        <f>IFERROR(__xludf.DUMMYFUNCTION("REGEXREPLACE(C16484,""-\d+(.*)|--\d+(.*)"","""")"),"LA CHAPELLE-SAINT-MAURICE")</f>
        <v>LA CHAPELLE-SAINT-MAURICE</v>
      </c>
      <c r="E16484" s="38" t="s">
        <v>319</v>
      </c>
      <c r="F16484" s="38" t="s">
        <v>102</v>
      </c>
      <c r="G16484" s="49" t="str">
        <f t="shared" si="1"/>
        <v>74410</v>
      </c>
      <c r="H16484" s="49">
        <f t="shared" si="2"/>
        <v>74060</v>
      </c>
    </row>
    <row r="16485">
      <c r="A16485" s="48" t="s">
        <v>1918</v>
      </c>
      <c r="B16485" s="38">
        <v>10042.0</v>
      </c>
      <c r="C16485" s="38" t="s">
        <v>20878</v>
      </c>
      <c r="D16485" s="38" t="str">
        <f>IFERROR(__xludf.DUMMYFUNCTION("REGEXREPLACE(C16485,""-\d+(.*)|--\d+(.*)"","""")"),"BERULLE")</f>
        <v>BERULLE</v>
      </c>
      <c r="E16485" s="38" t="s">
        <v>147</v>
      </c>
      <c r="F16485" s="38" t="s">
        <v>130</v>
      </c>
      <c r="G16485" s="49" t="str">
        <f t="shared" si="1"/>
        <v>10160</v>
      </c>
      <c r="H16485" s="49">
        <f t="shared" si="2"/>
        <v>10042</v>
      </c>
    </row>
    <row r="16486">
      <c r="A16486" s="48" t="s">
        <v>17203</v>
      </c>
      <c r="B16486" s="38" t="s">
        <v>20879</v>
      </c>
      <c r="C16486" s="38" t="s">
        <v>20880</v>
      </c>
      <c r="D16486" s="38" t="str">
        <f>IFERROR(__xludf.DUMMYFUNCTION("REGEXREPLACE(C16486,""-\d+(.*)|--\d+(.*)"","""")"),"AVAPESSA")</f>
        <v>AVAPESSA</v>
      </c>
      <c r="E16486" s="38" t="s">
        <v>743</v>
      </c>
      <c r="F16486" s="38" t="s">
        <v>607</v>
      </c>
      <c r="G16486" s="49" t="str">
        <f t="shared" si="1"/>
        <v>20225</v>
      </c>
      <c r="H16486" s="49" t="str">
        <f t="shared" si="2"/>
        <v>2B025</v>
      </c>
    </row>
    <row r="16487">
      <c r="A16487" s="48" t="s">
        <v>1514</v>
      </c>
      <c r="B16487" s="38">
        <v>70347.0</v>
      </c>
      <c r="C16487" s="38" t="s">
        <v>20881</v>
      </c>
      <c r="D16487" s="38" t="str">
        <f>IFERROR(__xludf.DUMMYFUNCTION("REGEXREPLACE(C16487,""-\d+(.*)|--\d+(.*)"","""")"),"MIGNAVILLERS")</f>
        <v>MIGNAVILLERS</v>
      </c>
      <c r="E16487" s="38" t="s">
        <v>956</v>
      </c>
      <c r="F16487" s="38" t="s">
        <v>214</v>
      </c>
      <c r="G16487" s="49" t="str">
        <f t="shared" si="1"/>
        <v>70400</v>
      </c>
      <c r="H16487" s="49">
        <f t="shared" si="2"/>
        <v>70347</v>
      </c>
    </row>
    <row r="16488">
      <c r="A16488" s="48" t="s">
        <v>2515</v>
      </c>
      <c r="B16488" s="38">
        <v>87033.0</v>
      </c>
      <c r="C16488" s="38" t="s">
        <v>20882</v>
      </c>
      <c r="D16488" s="38" t="str">
        <f>IFERROR(__xludf.DUMMYFUNCTION("REGEXREPLACE(C16488,""-\d+(.*)|--\d+(.*)"","""")"),"CHAMBORET")</f>
        <v>CHAMBORET</v>
      </c>
      <c r="E16488" s="38" t="s">
        <v>897</v>
      </c>
      <c r="F16488" s="38" t="s">
        <v>98</v>
      </c>
      <c r="G16488" s="49" t="str">
        <f t="shared" si="1"/>
        <v>87140</v>
      </c>
      <c r="H16488" s="49">
        <f t="shared" si="2"/>
        <v>87033</v>
      </c>
    </row>
    <row r="16489">
      <c r="A16489" s="48" t="s">
        <v>2406</v>
      </c>
      <c r="B16489" s="38">
        <v>55064.0</v>
      </c>
      <c r="C16489" s="38" t="s">
        <v>20883</v>
      </c>
      <c r="D16489" s="38" t="str">
        <f>IFERROR(__xludf.DUMMYFUNCTION("REGEXREPLACE(C16489,""-\d+(.*)|--\d+(.*)"","""")"),"BOUQUEMONT")</f>
        <v>BOUQUEMONT</v>
      </c>
      <c r="E16489" s="38" t="s">
        <v>322</v>
      </c>
      <c r="F16489" s="38" t="s">
        <v>195</v>
      </c>
      <c r="G16489" s="49" t="str">
        <f t="shared" si="1"/>
        <v>55300</v>
      </c>
      <c r="H16489" s="49">
        <f t="shared" si="2"/>
        <v>55064</v>
      </c>
    </row>
    <row r="16490">
      <c r="A16490" s="48" t="s">
        <v>4375</v>
      </c>
      <c r="B16490" s="38">
        <v>27222.0</v>
      </c>
      <c r="C16490" s="38" t="s">
        <v>20884</v>
      </c>
      <c r="D16490" s="38" t="str">
        <f>IFERROR(__xludf.DUMMYFUNCTION("REGEXREPLACE(C16490,""-\d+(.*)|--\d+(.*)"","""")"),"EPREVILLE-EN-LIEUVIN")</f>
        <v>EPREVILLE-EN-LIEUVIN</v>
      </c>
      <c r="E16490" s="38" t="s">
        <v>241</v>
      </c>
      <c r="F16490" s="38" t="s">
        <v>134</v>
      </c>
      <c r="G16490" s="49" t="str">
        <f t="shared" si="1"/>
        <v>27560</v>
      </c>
      <c r="H16490" s="49">
        <f t="shared" si="2"/>
        <v>27222</v>
      </c>
    </row>
    <row r="16491">
      <c r="A16491" s="48" t="s">
        <v>1540</v>
      </c>
      <c r="B16491" s="38">
        <v>70532.0</v>
      </c>
      <c r="C16491" s="38" t="s">
        <v>20885</v>
      </c>
      <c r="D16491" s="38" t="str">
        <f>IFERROR(__xludf.DUMMYFUNCTION("REGEXREPLACE(C16491,""-\d+(.*)|--\d+(.*)"","""")"),"VELLEFAUX")</f>
        <v>VELLEFAUX</v>
      </c>
      <c r="E16491" s="38" t="s">
        <v>956</v>
      </c>
      <c r="F16491" s="38" t="s">
        <v>214</v>
      </c>
      <c r="G16491" s="49" t="str">
        <f t="shared" si="1"/>
        <v>70000</v>
      </c>
      <c r="H16491" s="49">
        <f t="shared" si="2"/>
        <v>70532</v>
      </c>
    </row>
    <row r="16492">
      <c r="A16492" s="48" t="s">
        <v>839</v>
      </c>
      <c r="B16492" s="38">
        <v>62668.0</v>
      </c>
      <c r="C16492" s="38" t="s">
        <v>20886</v>
      </c>
      <c r="D16492" s="38" t="str">
        <f>IFERROR(__xludf.DUMMYFUNCTION("REGEXREPLACE(C16492,""-\d+(.*)|--\d+(.*)"","""")"),"PREDEFIN")</f>
        <v>PREDEFIN</v>
      </c>
      <c r="E16492" s="38" t="s">
        <v>109</v>
      </c>
      <c r="F16492" s="38" t="s">
        <v>86</v>
      </c>
      <c r="G16492" s="49" t="str">
        <f t="shared" si="1"/>
        <v>62134</v>
      </c>
      <c r="H16492" s="49">
        <f t="shared" si="2"/>
        <v>62668</v>
      </c>
    </row>
    <row r="16493">
      <c r="A16493" s="48" t="s">
        <v>13075</v>
      </c>
      <c r="B16493" s="38">
        <v>85222.0</v>
      </c>
      <c r="C16493" s="38" t="s">
        <v>20887</v>
      </c>
      <c r="D16493" s="38" t="str">
        <f>IFERROR(__xludf.DUMMYFUNCTION("REGEXREPLACE(C16493,""-\d+(.*)|--\d+(.*)"","""")"),"SAINT-GILLES-CROIX-DE-VIE")</f>
        <v>SAINT-GILLES-CROIX-DE-VIE</v>
      </c>
      <c r="E16493" s="38" t="s">
        <v>179</v>
      </c>
      <c r="F16493" s="38" t="s">
        <v>180</v>
      </c>
      <c r="G16493" s="49" t="str">
        <f t="shared" si="1"/>
        <v>85800</v>
      </c>
      <c r="H16493" s="49">
        <f t="shared" si="2"/>
        <v>85222</v>
      </c>
    </row>
    <row r="16494">
      <c r="A16494" s="48" t="s">
        <v>1827</v>
      </c>
      <c r="B16494" s="38">
        <v>77093.0</v>
      </c>
      <c r="C16494" s="38" t="s">
        <v>20888</v>
      </c>
      <c r="D16494" s="38" t="str">
        <f>IFERROR(__xludf.DUMMYFUNCTION("REGEXREPLACE(C16494,""-\d+(.*)|--\d+(.*)"","""")"),"LA CHAPELLE-MOUTILS")</f>
        <v>LA CHAPELLE-MOUTILS</v>
      </c>
      <c r="E16494" s="38" t="s">
        <v>244</v>
      </c>
      <c r="F16494" s="38" t="s">
        <v>245</v>
      </c>
      <c r="G16494" s="49" t="str">
        <f t="shared" si="1"/>
        <v>77320</v>
      </c>
      <c r="H16494" s="49">
        <f t="shared" si="2"/>
        <v>77093</v>
      </c>
    </row>
    <row r="16495">
      <c r="A16495" s="48" t="s">
        <v>1677</v>
      </c>
      <c r="B16495" s="38">
        <v>59029.0</v>
      </c>
      <c r="C16495" s="38" t="s">
        <v>20889</v>
      </c>
      <c r="D16495" s="38" t="str">
        <f>IFERROR(__xludf.DUMMYFUNCTION("REGEXREPLACE(C16495,""-\d+(.*)|--\d+(.*)"","""")"),"AUCHY-LEZ-ORCHIES")</f>
        <v>AUCHY-LEZ-ORCHIES</v>
      </c>
      <c r="E16495" s="38" t="s">
        <v>85</v>
      </c>
      <c r="F16495" s="38" t="s">
        <v>86</v>
      </c>
      <c r="G16495" s="49" t="str">
        <f t="shared" si="1"/>
        <v>59310</v>
      </c>
      <c r="H16495" s="49">
        <f t="shared" si="2"/>
        <v>59029</v>
      </c>
    </row>
    <row r="16496">
      <c r="A16496" s="48" t="s">
        <v>8045</v>
      </c>
      <c r="B16496" s="38">
        <v>77522.0</v>
      </c>
      <c r="C16496" s="38" t="s">
        <v>20890</v>
      </c>
      <c r="D16496" s="38" t="str">
        <f>IFERROR(__xludf.DUMMYFUNCTION("REGEXREPLACE(C16496,""-\d+(.*)|--\d+(.*)"","""")"),"VILLIERS-SUR-SEINE")</f>
        <v>VILLIERS-SUR-SEINE</v>
      </c>
      <c r="E16496" s="38" t="s">
        <v>244</v>
      </c>
      <c r="F16496" s="38" t="s">
        <v>245</v>
      </c>
      <c r="G16496" s="49" t="str">
        <f t="shared" si="1"/>
        <v>77114</v>
      </c>
      <c r="H16496" s="49">
        <f t="shared" si="2"/>
        <v>77522</v>
      </c>
    </row>
    <row r="16497">
      <c r="A16497" s="48" t="s">
        <v>16366</v>
      </c>
      <c r="B16497" s="38">
        <v>21314.0</v>
      </c>
      <c r="C16497" s="38" t="s">
        <v>20891</v>
      </c>
      <c r="D16497" s="38" t="str">
        <f>IFERROR(__xludf.DUMMYFUNCTION("REGEXREPLACE(C16497,""-\d+(.*)|--\d+(.*)"","""")"),"HAUTEROCHE")</f>
        <v>HAUTEROCHE</v>
      </c>
      <c r="E16497" s="38" t="s">
        <v>105</v>
      </c>
      <c r="F16497" s="38" t="s">
        <v>106</v>
      </c>
      <c r="G16497" s="49" t="str">
        <f t="shared" si="1"/>
        <v>21150</v>
      </c>
      <c r="H16497" s="49">
        <f t="shared" si="2"/>
        <v>21314</v>
      </c>
    </row>
    <row r="16498">
      <c r="A16498" s="48" t="s">
        <v>220</v>
      </c>
      <c r="B16498" s="38">
        <v>67314.0</v>
      </c>
      <c r="C16498" s="38" t="s">
        <v>20892</v>
      </c>
      <c r="D16498" s="38" t="str">
        <f>IFERROR(__xludf.DUMMYFUNCTION("REGEXREPLACE(C16498,""-\d+(.*)|--\d+(.*)"","""")"),"NATZWILLER")</f>
        <v>NATZWILLER</v>
      </c>
      <c r="E16498" s="38" t="s">
        <v>210</v>
      </c>
      <c r="F16498" s="38" t="s">
        <v>151</v>
      </c>
      <c r="G16498" s="49" t="str">
        <f t="shared" si="1"/>
        <v>67130</v>
      </c>
      <c r="H16498" s="49">
        <f t="shared" si="2"/>
        <v>67314</v>
      </c>
    </row>
    <row r="16499">
      <c r="A16499" s="48" t="s">
        <v>2276</v>
      </c>
      <c r="B16499" s="38">
        <v>47013.0</v>
      </c>
      <c r="C16499" s="38" t="s">
        <v>20893</v>
      </c>
      <c r="D16499" s="38" t="str">
        <f>IFERROR(__xludf.DUMMYFUNCTION("REGEXREPLACE(C16499,""-\d+(.*)|--\d+(.*)"","""")"),"ARGENTON")</f>
        <v>ARGENTON</v>
      </c>
      <c r="E16499" s="38" t="s">
        <v>251</v>
      </c>
      <c r="F16499" s="38" t="s">
        <v>252</v>
      </c>
      <c r="G16499" s="49" t="str">
        <f t="shared" si="1"/>
        <v>47250</v>
      </c>
      <c r="H16499" s="49">
        <f t="shared" si="2"/>
        <v>47013</v>
      </c>
    </row>
    <row r="16500">
      <c r="A16500" s="48" t="s">
        <v>6055</v>
      </c>
      <c r="B16500" s="38">
        <v>25342.0</v>
      </c>
      <c r="C16500" s="38" t="s">
        <v>20894</v>
      </c>
      <c r="D16500" s="38" t="str">
        <f>IFERROR(__xludf.DUMMYFUNCTION("REGEXREPLACE(C16500,""-\d+(.*)|--\d+(.*)"","""")"),"LONGECHAUX")</f>
        <v>LONGECHAUX</v>
      </c>
      <c r="E16500" s="38" t="s">
        <v>213</v>
      </c>
      <c r="F16500" s="38" t="s">
        <v>214</v>
      </c>
      <c r="G16500" s="49" t="str">
        <f t="shared" si="1"/>
        <v>25690</v>
      </c>
      <c r="H16500" s="49">
        <f t="shared" si="2"/>
        <v>25342</v>
      </c>
    </row>
    <row r="16501">
      <c r="A16501" s="48" t="s">
        <v>5070</v>
      </c>
      <c r="B16501" s="38">
        <v>79154.0</v>
      </c>
      <c r="C16501" s="38" t="s">
        <v>20895</v>
      </c>
      <c r="D16501" s="38" t="str">
        <f>IFERROR(__xludf.DUMMYFUNCTION("REGEXREPLACE(C16501,""-\d+(.*)|--\d+(.*)"","""")"),"LOUBILLE")</f>
        <v>LOUBILLE</v>
      </c>
      <c r="E16501" s="38" t="s">
        <v>337</v>
      </c>
      <c r="F16501" s="38" t="s">
        <v>338</v>
      </c>
      <c r="G16501" s="49" t="str">
        <f t="shared" si="1"/>
        <v>79110</v>
      </c>
      <c r="H16501" s="49">
        <f t="shared" si="2"/>
        <v>79154</v>
      </c>
    </row>
    <row r="16502">
      <c r="A16502" s="48" t="s">
        <v>1018</v>
      </c>
      <c r="B16502" s="38">
        <v>60528.0</v>
      </c>
      <c r="C16502" s="38" t="s">
        <v>20896</v>
      </c>
      <c r="D16502" s="38" t="str">
        <f>IFERROR(__xludf.DUMMYFUNCTION("REGEXREPLACE(C16502,""-\d+(.*)|--\d+(.*)"","""")"),"REILLY")</f>
        <v>REILLY</v>
      </c>
      <c r="E16502" s="38" t="s">
        <v>112</v>
      </c>
      <c r="F16502" s="38" t="s">
        <v>113</v>
      </c>
      <c r="G16502" s="49" t="str">
        <f t="shared" si="1"/>
        <v>60240</v>
      </c>
      <c r="H16502" s="49">
        <f t="shared" si="2"/>
        <v>60528</v>
      </c>
    </row>
    <row r="16503">
      <c r="A16503" s="48" t="s">
        <v>2748</v>
      </c>
      <c r="B16503" s="38">
        <v>32317.0</v>
      </c>
      <c r="C16503" s="38" t="s">
        <v>20897</v>
      </c>
      <c r="D16503" s="38" t="str">
        <f>IFERROR(__xludf.DUMMYFUNCTION("REGEXREPLACE(C16503,""-\d+(.*)|--\d+(.*)"","""")"),"PEYRUSSE-VIEILLE")</f>
        <v>PEYRUSSE-VIEILLE</v>
      </c>
      <c r="E16503" s="38" t="s">
        <v>440</v>
      </c>
      <c r="F16503" s="38" t="s">
        <v>94</v>
      </c>
      <c r="G16503" s="49" t="str">
        <f t="shared" si="1"/>
        <v>32230</v>
      </c>
      <c r="H16503" s="49">
        <f t="shared" si="2"/>
        <v>32317</v>
      </c>
    </row>
    <row r="16504">
      <c r="A16504" s="48" t="s">
        <v>639</v>
      </c>
      <c r="B16504" s="38">
        <v>16397.0</v>
      </c>
      <c r="C16504" s="38" t="s">
        <v>20898</v>
      </c>
      <c r="D16504" s="38" t="str">
        <f>IFERROR(__xludf.DUMMYFUNCTION("REGEXREPLACE(C16504,""-\d+(.*)|--\d+(.*)"","""")"),"VERDILLE")</f>
        <v>VERDILLE</v>
      </c>
      <c r="E16504" s="38" t="s">
        <v>429</v>
      </c>
      <c r="F16504" s="38" t="s">
        <v>338</v>
      </c>
      <c r="G16504" s="49" t="str">
        <f t="shared" si="1"/>
        <v>16140</v>
      </c>
      <c r="H16504" s="49">
        <f t="shared" si="2"/>
        <v>16397</v>
      </c>
    </row>
    <row r="16505">
      <c r="A16505" s="48" t="s">
        <v>7317</v>
      </c>
      <c r="B16505" s="38">
        <v>91602.0</v>
      </c>
      <c r="C16505" s="38" t="s">
        <v>20899</v>
      </c>
      <c r="D16505" s="38" t="str">
        <f>IFERROR(__xludf.DUMMYFUNCTION("REGEXREPLACE(C16505,""-\d+(.*)|--\d+(.*)"","""")"),"SOUZY-LA-BRICHE")</f>
        <v>SOUZY-LA-BRICHE</v>
      </c>
      <c r="E16505" s="38" t="s">
        <v>756</v>
      </c>
      <c r="F16505" s="38" t="s">
        <v>245</v>
      </c>
      <c r="G16505" s="49" t="str">
        <f t="shared" si="1"/>
        <v>91580</v>
      </c>
      <c r="H16505" s="49">
        <f t="shared" si="2"/>
        <v>91602</v>
      </c>
    </row>
    <row r="16506">
      <c r="A16506" s="48" t="s">
        <v>1638</v>
      </c>
      <c r="B16506" s="38">
        <v>70412.0</v>
      </c>
      <c r="C16506" s="38" t="s">
        <v>20900</v>
      </c>
      <c r="D16506" s="38" t="str">
        <f>IFERROR(__xludf.DUMMYFUNCTION("REGEXREPLACE(C16506,""-\d+(.*)|--\d+(.*)"","""")"),"PLAINEMONT")</f>
        <v>PLAINEMONT</v>
      </c>
      <c r="E16506" s="38" t="s">
        <v>956</v>
      </c>
      <c r="F16506" s="38" t="s">
        <v>214</v>
      </c>
      <c r="G16506" s="49" t="str">
        <f t="shared" si="1"/>
        <v>70800</v>
      </c>
      <c r="H16506" s="49">
        <f t="shared" si="2"/>
        <v>70412</v>
      </c>
    </row>
    <row r="16507">
      <c r="A16507" s="48" t="s">
        <v>20901</v>
      </c>
      <c r="B16507" s="38">
        <v>3060.0</v>
      </c>
      <c r="C16507" s="38" t="s">
        <v>20902</v>
      </c>
      <c r="D16507" s="38" t="str">
        <f>IFERROR(__xludf.DUMMYFUNCTION("REGEXREPLACE(C16507,""-\d+(.*)|--\d+(.*)"","""")"),"CHARMEIL")</f>
        <v>CHARMEIL</v>
      </c>
      <c r="E16507" s="38" t="s">
        <v>160</v>
      </c>
      <c r="F16507" s="38" t="s">
        <v>161</v>
      </c>
      <c r="G16507" s="49" t="str">
        <f t="shared" si="1"/>
        <v>03110</v>
      </c>
      <c r="H16507" s="49" t="str">
        <f t="shared" si="2"/>
        <v>03060</v>
      </c>
    </row>
    <row r="16508">
      <c r="A16508" s="48" t="s">
        <v>6555</v>
      </c>
      <c r="B16508" s="38">
        <v>67319.0</v>
      </c>
      <c r="C16508" s="38" t="s">
        <v>20903</v>
      </c>
      <c r="D16508" s="38" t="str">
        <f>IFERROR(__xludf.DUMMYFUNCTION("REGEXREPLACE(C16508,""-\d+(.*)|--\d+(.*)"","""")"),"NEUHAEUSEL")</f>
        <v>NEUHAEUSEL</v>
      </c>
      <c r="E16508" s="38" t="s">
        <v>210</v>
      </c>
      <c r="F16508" s="38" t="s">
        <v>151</v>
      </c>
      <c r="G16508" s="49" t="str">
        <f t="shared" si="1"/>
        <v>67480</v>
      </c>
      <c r="H16508" s="49">
        <f t="shared" si="2"/>
        <v>67319</v>
      </c>
    </row>
    <row r="16509">
      <c r="A16509" s="48" t="s">
        <v>13902</v>
      </c>
      <c r="B16509" s="38">
        <v>49360.0</v>
      </c>
      <c r="C16509" s="38" t="s">
        <v>20904</v>
      </c>
      <c r="D16509" s="38" t="str">
        <f>IFERROR(__xludf.DUMMYFUNCTION("REGEXREPLACE(C16509,""-\d+(.*)|--\d+(.*)"","""")"),"LA VARENNE")</f>
        <v>LA VARENNE</v>
      </c>
      <c r="E16509" s="38" t="s">
        <v>653</v>
      </c>
      <c r="F16509" s="38" t="s">
        <v>180</v>
      </c>
      <c r="G16509" s="49" t="str">
        <f t="shared" si="1"/>
        <v>49270</v>
      </c>
      <c r="H16509" s="49">
        <f t="shared" si="2"/>
        <v>49360</v>
      </c>
    </row>
    <row r="16510">
      <c r="A16510" s="48" t="s">
        <v>2379</v>
      </c>
      <c r="B16510" s="38">
        <v>65450.0</v>
      </c>
      <c r="C16510" s="38" t="s">
        <v>20905</v>
      </c>
      <c r="D16510" s="38" t="str">
        <f>IFERROR(__xludf.DUMMYFUNCTION("REGEXREPLACE(C16510,""-\d+(.*)|--\d+(.*)"","""")"),"TRAMEZAIGUES")</f>
        <v>TRAMEZAIGUES</v>
      </c>
      <c r="E16510" s="38" t="s">
        <v>200</v>
      </c>
      <c r="F16510" s="38" t="s">
        <v>94</v>
      </c>
      <c r="G16510" s="49" t="str">
        <f t="shared" si="1"/>
        <v>65170</v>
      </c>
      <c r="H16510" s="49">
        <f t="shared" si="2"/>
        <v>65450</v>
      </c>
    </row>
    <row r="16511">
      <c r="A16511" s="48" t="s">
        <v>20906</v>
      </c>
      <c r="B16511" s="38">
        <v>29072.0</v>
      </c>
      <c r="C16511" s="38" t="s">
        <v>20907</v>
      </c>
      <c r="D16511" s="38" t="str">
        <f>IFERROR(__xludf.DUMMYFUNCTION("REGEXREPLACE(C16511,""-\d+(.*)|--\d+(.*)"","""")"),"GUILVINEC")</f>
        <v>GUILVINEC</v>
      </c>
      <c r="E16511" s="38" t="s">
        <v>176</v>
      </c>
      <c r="F16511" s="38" t="s">
        <v>90</v>
      </c>
      <c r="G16511" s="49" t="str">
        <f t="shared" si="1"/>
        <v>29730</v>
      </c>
      <c r="H16511" s="49">
        <f t="shared" si="2"/>
        <v>29072</v>
      </c>
    </row>
    <row r="16512">
      <c r="A16512" s="48" t="s">
        <v>1070</v>
      </c>
      <c r="B16512" s="38">
        <v>39035.0</v>
      </c>
      <c r="C16512" s="38" t="s">
        <v>20908</v>
      </c>
      <c r="D16512" s="38" t="str">
        <f>IFERROR(__xludf.DUMMYFUNCTION("REGEXREPLACE(C16512,""-\d+(.*)|--\d+(.*)"","""")"),"BALANOD")</f>
        <v>BALANOD</v>
      </c>
      <c r="E16512" s="38" t="s">
        <v>400</v>
      </c>
      <c r="F16512" s="38" t="s">
        <v>214</v>
      </c>
      <c r="G16512" s="49" t="str">
        <f t="shared" si="1"/>
        <v>39160</v>
      </c>
      <c r="H16512" s="49">
        <f t="shared" si="2"/>
        <v>39035</v>
      </c>
    </row>
    <row r="16513">
      <c r="A16513" s="48" t="s">
        <v>2942</v>
      </c>
      <c r="B16513" s="38">
        <v>14629.0</v>
      </c>
      <c r="C16513" s="38" t="s">
        <v>20909</v>
      </c>
      <c r="D16513" s="38" t="str">
        <f>IFERROR(__xludf.DUMMYFUNCTION("REGEXREPLACE(C16513,""-\d+(.*)|--\d+(.*)"","""")"),"SAINT-MARTIN-DES-BESACES")</f>
        <v>SAINT-MARTIN-DES-BESACES</v>
      </c>
      <c r="E16513" s="38" t="s">
        <v>137</v>
      </c>
      <c r="F16513" s="38" t="s">
        <v>138</v>
      </c>
      <c r="G16513" s="49" t="str">
        <f t="shared" si="1"/>
        <v>14350</v>
      </c>
      <c r="H16513" s="49">
        <f t="shared" si="2"/>
        <v>14629</v>
      </c>
    </row>
    <row r="16514">
      <c r="A16514" s="48" t="s">
        <v>4145</v>
      </c>
      <c r="B16514" s="38">
        <v>46312.0</v>
      </c>
      <c r="C16514" s="38" t="s">
        <v>20910</v>
      </c>
      <c r="D16514" s="38" t="str">
        <f>IFERROR(__xludf.DUMMYFUNCTION("REGEXREPLACE(C16514,""-\d+(.*)|--\d+(.*)"","""")"),"STRENQUELS")</f>
        <v>STRENQUELS</v>
      </c>
      <c r="E16514" s="38" t="s">
        <v>185</v>
      </c>
      <c r="F16514" s="38" t="s">
        <v>94</v>
      </c>
      <c r="G16514" s="49" t="str">
        <f t="shared" si="1"/>
        <v>46110</v>
      </c>
      <c r="H16514" s="49">
        <f t="shared" si="2"/>
        <v>46312</v>
      </c>
    </row>
    <row r="16515">
      <c r="A16515" s="48" t="s">
        <v>5146</v>
      </c>
      <c r="B16515" s="38">
        <v>85169.0</v>
      </c>
      <c r="C16515" s="38" t="s">
        <v>20911</v>
      </c>
      <c r="D16515" s="38" t="str">
        <f>IFERROR(__xludf.DUMMYFUNCTION("REGEXREPLACE(C16515,""-\d+(.*)|--\d+(.*)"","""")"),"PALLUAU")</f>
        <v>PALLUAU</v>
      </c>
      <c r="E16515" s="38" t="s">
        <v>179</v>
      </c>
      <c r="F16515" s="38" t="s">
        <v>180</v>
      </c>
      <c r="G16515" s="49" t="str">
        <f t="shared" si="1"/>
        <v>85670</v>
      </c>
      <c r="H16515" s="49">
        <f t="shared" si="2"/>
        <v>85169</v>
      </c>
    </row>
    <row r="16516">
      <c r="A16516" s="48" t="s">
        <v>5679</v>
      </c>
      <c r="B16516" s="38">
        <v>66007.0</v>
      </c>
      <c r="C16516" s="38" t="s">
        <v>20912</v>
      </c>
      <c r="D16516" s="38" t="str">
        <f>IFERROR(__xludf.DUMMYFUNCTION("REGEXREPLACE(C16516,""-\d+(.*)|--\d+(.*)"","""")"),"ARBOUSSOLS")</f>
        <v>ARBOUSSOLS</v>
      </c>
      <c r="E16516" s="38" t="s">
        <v>248</v>
      </c>
      <c r="F16516" s="38" t="s">
        <v>119</v>
      </c>
      <c r="G16516" s="49" t="str">
        <f t="shared" si="1"/>
        <v>66320</v>
      </c>
      <c r="H16516" s="49">
        <f t="shared" si="2"/>
        <v>66007</v>
      </c>
    </row>
    <row r="16517">
      <c r="A16517" s="48" t="s">
        <v>12001</v>
      </c>
      <c r="B16517" s="38">
        <v>7296.0</v>
      </c>
      <c r="C16517" s="38" t="s">
        <v>19972</v>
      </c>
      <c r="D16517" s="38" t="str">
        <f>IFERROR(__xludf.DUMMYFUNCTION("REGEXREPLACE(C16517,""-\d+(.*)|--\d+(.*)"","""")"),"SAINT-SERNIN")</f>
        <v>SAINT-SERNIN</v>
      </c>
      <c r="E16517" s="38" t="s">
        <v>144</v>
      </c>
      <c r="F16517" s="38" t="s">
        <v>102</v>
      </c>
      <c r="G16517" s="49" t="str">
        <f t="shared" si="1"/>
        <v>07200</v>
      </c>
      <c r="H16517" s="49" t="str">
        <f t="shared" si="2"/>
        <v>07296</v>
      </c>
    </row>
    <row r="16518">
      <c r="A16518" s="48" t="s">
        <v>3238</v>
      </c>
      <c r="B16518" s="38">
        <v>61012.0</v>
      </c>
      <c r="C16518" s="38" t="s">
        <v>20913</v>
      </c>
      <c r="D16518" s="38" t="str">
        <f>IFERROR(__xludf.DUMMYFUNCTION("REGEXREPLACE(C16518,""-\d+(.*)|--\d+(.*)"","""")"),"AUGUAISE")</f>
        <v>AUGUAISE</v>
      </c>
      <c r="E16518" s="38" t="s">
        <v>141</v>
      </c>
      <c r="F16518" s="38" t="s">
        <v>138</v>
      </c>
      <c r="G16518" s="49" t="str">
        <f t="shared" si="1"/>
        <v>61270</v>
      </c>
      <c r="H16518" s="49">
        <f t="shared" si="2"/>
        <v>61012</v>
      </c>
    </row>
    <row r="16519">
      <c r="A16519" s="48" t="s">
        <v>3986</v>
      </c>
      <c r="B16519" s="38">
        <v>62785.0</v>
      </c>
      <c r="C16519" s="38" t="s">
        <v>20914</v>
      </c>
      <c r="D16519" s="38" t="str">
        <f>IFERROR(__xludf.DUMMYFUNCTION("REGEXREPLACE(C16519,""-\d+(.*)|--\d+(.*)"","""")"),"SAVY-BERLETTE")</f>
        <v>SAVY-BERLETTE</v>
      </c>
      <c r="E16519" s="38" t="s">
        <v>109</v>
      </c>
      <c r="F16519" s="38" t="s">
        <v>86</v>
      </c>
      <c r="G16519" s="49" t="str">
        <f t="shared" si="1"/>
        <v>62690</v>
      </c>
      <c r="H16519" s="49">
        <f t="shared" si="2"/>
        <v>62785</v>
      </c>
    </row>
    <row r="16520">
      <c r="A16520" s="48" t="s">
        <v>2229</v>
      </c>
      <c r="B16520" s="38">
        <v>64383.0</v>
      </c>
      <c r="C16520" s="38" t="s">
        <v>20915</v>
      </c>
      <c r="D16520" s="38" t="str">
        <f>IFERROR(__xludf.DUMMYFUNCTION("REGEXREPLACE(C16520,""-\d+(.*)|--\d+(.*)"","""")"),"MIALOS")</f>
        <v>MIALOS</v>
      </c>
      <c r="E16520" s="38" t="s">
        <v>268</v>
      </c>
      <c r="F16520" s="38" t="s">
        <v>252</v>
      </c>
      <c r="G16520" s="49" t="str">
        <f t="shared" si="1"/>
        <v>64410</v>
      </c>
      <c r="H16520" s="49">
        <f t="shared" si="2"/>
        <v>64383</v>
      </c>
    </row>
    <row r="16521">
      <c r="A16521" s="48" t="s">
        <v>4264</v>
      </c>
      <c r="B16521" s="38">
        <v>69103.0</v>
      </c>
      <c r="C16521" s="38" t="s">
        <v>20916</v>
      </c>
      <c r="D16521" s="38" t="str">
        <f>IFERROR(__xludf.DUMMYFUNCTION("REGEXREPLACE(C16521,""-\d+(.*)|--\d+(.*)"","""")"),"JULIENAS")</f>
        <v>JULIENAS</v>
      </c>
      <c r="E16521" s="38" t="s">
        <v>350</v>
      </c>
      <c r="F16521" s="38" t="s">
        <v>102</v>
      </c>
      <c r="G16521" s="49" t="str">
        <f t="shared" si="1"/>
        <v>69840</v>
      </c>
      <c r="H16521" s="49">
        <f t="shared" si="2"/>
        <v>69103</v>
      </c>
    </row>
    <row r="16522">
      <c r="A16522" s="48" t="s">
        <v>4853</v>
      </c>
      <c r="B16522" s="38">
        <v>32457.0</v>
      </c>
      <c r="C16522" s="38" t="s">
        <v>20917</v>
      </c>
      <c r="D16522" s="38" t="str">
        <f>IFERROR(__xludf.DUMMYFUNCTION("REGEXREPLACE(C16522,""-\d+(.*)|--\d+(.*)"","""")"),"URDENS")</f>
        <v>URDENS</v>
      </c>
      <c r="E16522" s="38" t="s">
        <v>440</v>
      </c>
      <c r="F16522" s="38" t="s">
        <v>94</v>
      </c>
      <c r="G16522" s="49" t="str">
        <f t="shared" si="1"/>
        <v>32500</v>
      </c>
      <c r="H16522" s="49">
        <f t="shared" si="2"/>
        <v>32457</v>
      </c>
    </row>
    <row r="16523">
      <c r="A16523" s="48" t="s">
        <v>4579</v>
      </c>
      <c r="B16523" s="38">
        <v>81245.0</v>
      </c>
      <c r="C16523" s="38" t="s">
        <v>6001</v>
      </c>
      <c r="D16523" s="38" t="str">
        <f>IFERROR(__xludf.DUMMYFUNCTION("REGEXREPLACE(C16523,""-\d+(.*)|--\d+(.*)"","""")"),"SAINT-CHRISTOPHE")</f>
        <v>SAINT-CHRISTOPHE</v>
      </c>
      <c r="E16523" s="38" t="s">
        <v>231</v>
      </c>
      <c r="F16523" s="38" t="s">
        <v>94</v>
      </c>
      <c r="G16523" s="49" t="str">
        <f t="shared" si="1"/>
        <v>81190</v>
      </c>
      <c r="H16523" s="49">
        <f t="shared" si="2"/>
        <v>81245</v>
      </c>
    </row>
    <row r="16524">
      <c r="A16524" s="48" t="s">
        <v>6825</v>
      </c>
      <c r="B16524" s="38">
        <v>14549.0</v>
      </c>
      <c r="C16524" s="38" t="s">
        <v>17944</v>
      </c>
      <c r="D16524" s="38" t="str">
        <f>IFERROR(__xludf.DUMMYFUNCTION("REGEXREPLACE(C16524,""-\d+(.*)|--\d+(.*)"","""")"),"RULLY")</f>
        <v>RULLY</v>
      </c>
      <c r="E16524" s="38" t="s">
        <v>137</v>
      </c>
      <c r="F16524" s="38" t="s">
        <v>138</v>
      </c>
      <c r="G16524" s="49" t="str">
        <f t="shared" si="1"/>
        <v>14410</v>
      </c>
      <c r="H16524" s="49">
        <f t="shared" si="2"/>
        <v>14549</v>
      </c>
    </row>
    <row r="16525">
      <c r="A16525" s="48" t="s">
        <v>4566</v>
      </c>
      <c r="B16525" s="38">
        <v>24282.0</v>
      </c>
      <c r="C16525" s="38" t="s">
        <v>20918</v>
      </c>
      <c r="D16525" s="38" t="str">
        <f>IFERROR(__xludf.DUMMYFUNCTION("REGEXREPLACE(C16525,""-\d+(.*)|--\d+(.*)"","""")"),"MONSAGUEL")</f>
        <v>MONSAGUEL</v>
      </c>
      <c r="E16525" s="38" t="s">
        <v>261</v>
      </c>
      <c r="F16525" s="38" t="s">
        <v>252</v>
      </c>
      <c r="G16525" s="49" t="str">
        <f t="shared" si="1"/>
        <v>24560</v>
      </c>
      <c r="H16525" s="49">
        <f t="shared" si="2"/>
        <v>24282</v>
      </c>
    </row>
    <row r="16526">
      <c r="A16526" s="48" t="s">
        <v>1210</v>
      </c>
      <c r="B16526" s="38">
        <v>50258.0</v>
      </c>
      <c r="C16526" s="38" t="s">
        <v>20919</v>
      </c>
      <c r="D16526" s="38" t="str">
        <f>IFERROR(__xludf.DUMMYFUNCTION("REGEXREPLACE(C16526,""-\d+(.*)|--\d+(.*)"","""")"),"JOGANVILLE")</f>
        <v>JOGANVILLE</v>
      </c>
      <c r="E16526" s="38" t="s">
        <v>157</v>
      </c>
      <c r="F16526" s="38" t="s">
        <v>138</v>
      </c>
      <c r="G16526" s="49" t="str">
        <f t="shared" si="1"/>
        <v>50310</v>
      </c>
      <c r="H16526" s="49">
        <f t="shared" si="2"/>
        <v>50258</v>
      </c>
    </row>
    <row r="16527">
      <c r="A16527" s="48" t="s">
        <v>13583</v>
      </c>
      <c r="B16527" s="38">
        <v>90103.0</v>
      </c>
      <c r="C16527" s="38" t="s">
        <v>20920</v>
      </c>
      <c r="D16527" s="38" t="str">
        <f>IFERROR(__xludf.DUMMYFUNCTION("REGEXREPLACE(C16527,""-\d+(.*)|--\d+(.*)"","""")"),"VETRIGNE")</f>
        <v>VETRIGNE</v>
      </c>
      <c r="E16527" s="38" t="s">
        <v>1283</v>
      </c>
      <c r="F16527" s="38" t="s">
        <v>214</v>
      </c>
      <c r="G16527" s="49" t="str">
        <f t="shared" si="1"/>
        <v>90300</v>
      </c>
      <c r="H16527" s="49">
        <f t="shared" si="2"/>
        <v>90103</v>
      </c>
    </row>
    <row r="16528">
      <c r="A16528" s="48" t="s">
        <v>2523</v>
      </c>
      <c r="B16528" s="38">
        <v>46181.0</v>
      </c>
      <c r="C16528" s="38" t="s">
        <v>20921</v>
      </c>
      <c r="D16528" s="38" t="str">
        <f>IFERROR(__xludf.DUMMYFUNCTION("REGEXREPLACE(C16528,""-\d+(.*)|--\d+(.*)"","""")"),"LUNEGARDE")</f>
        <v>LUNEGARDE</v>
      </c>
      <c r="E16528" s="38" t="s">
        <v>185</v>
      </c>
      <c r="F16528" s="38" t="s">
        <v>94</v>
      </c>
      <c r="G16528" s="49" t="str">
        <f t="shared" si="1"/>
        <v>46240</v>
      </c>
      <c r="H16528" s="49">
        <f t="shared" si="2"/>
        <v>46181</v>
      </c>
    </row>
    <row r="16529">
      <c r="A16529" s="48" t="s">
        <v>407</v>
      </c>
      <c r="B16529" s="38">
        <v>71214.0</v>
      </c>
      <c r="C16529" s="38" t="s">
        <v>20487</v>
      </c>
      <c r="D16529" s="38" t="str">
        <f>IFERROR(__xludf.DUMMYFUNCTION("REGEXREPLACE(C16529,""-\d+(.*)|--\d+(.*)"","""")"),"GENOUILLY")</f>
        <v>GENOUILLY</v>
      </c>
      <c r="E16529" s="38" t="s">
        <v>344</v>
      </c>
      <c r="F16529" s="38" t="s">
        <v>106</v>
      </c>
      <c r="G16529" s="49" t="str">
        <f t="shared" si="1"/>
        <v>71460</v>
      </c>
      <c r="H16529" s="49">
        <f t="shared" si="2"/>
        <v>71214</v>
      </c>
    </row>
    <row r="16530">
      <c r="A16530" s="48" t="s">
        <v>12362</v>
      </c>
      <c r="B16530" s="38">
        <v>39297.0</v>
      </c>
      <c r="C16530" s="38" t="s">
        <v>20922</v>
      </c>
      <c r="D16530" s="38" t="str">
        <f>IFERROR(__xludf.DUMMYFUNCTION("REGEXREPLACE(C16530,""-\d+(.*)|--\d+(.*)"","""")"),"LONGCHAUMOIS")</f>
        <v>LONGCHAUMOIS</v>
      </c>
      <c r="E16530" s="38" t="s">
        <v>400</v>
      </c>
      <c r="F16530" s="38" t="s">
        <v>214</v>
      </c>
      <c r="G16530" s="49" t="str">
        <f t="shared" si="1"/>
        <v>39400</v>
      </c>
      <c r="H16530" s="49">
        <f t="shared" si="2"/>
        <v>39297</v>
      </c>
    </row>
    <row r="16531">
      <c r="A16531" s="48" t="s">
        <v>16993</v>
      </c>
      <c r="B16531" s="38">
        <v>59474.0</v>
      </c>
      <c r="C16531" s="38" t="s">
        <v>20923</v>
      </c>
      <c r="D16531" s="38" t="str">
        <f>IFERROR(__xludf.DUMMYFUNCTION("REGEXREPLACE(C16531,""-\d+(.*)|--\d+(.*)"","""")"),"PRISCHES")</f>
        <v>PRISCHES</v>
      </c>
      <c r="E16531" s="38" t="s">
        <v>85</v>
      </c>
      <c r="F16531" s="38" t="s">
        <v>86</v>
      </c>
      <c r="G16531" s="49" t="str">
        <f t="shared" si="1"/>
        <v>59550</v>
      </c>
      <c r="H16531" s="49">
        <f t="shared" si="2"/>
        <v>59474</v>
      </c>
    </row>
    <row r="16532">
      <c r="A16532" s="48" t="s">
        <v>5357</v>
      </c>
      <c r="B16532" s="38">
        <v>19155.0</v>
      </c>
      <c r="C16532" s="38" t="s">
        <v>20924</v>
      </c>
      <c r="D16532" s="38" t="str">
        <f>IFERROR(__xludf.DUMMYFUNCTION("REGEXREPLACE(C16532,""-\d+(.*)|--\d+(.*)"","""")"),"ORLIAC-DE-BAR")</f>
        <v>ORLIAC-DE-BAR</v>
      </c>
      <c r="E16532" s="38" t="s">
        <v>271</v>
      </c>
      <c r="F16532" s="38" t="s">
        <v>98</v>
      </c>
      <c r="G16532" s="49" t="str">
        <f t="shared" si="1"/>
        <v>19390</v>
      </c>
      <c r="H16532" s="49">
        <f t="shared" si="2"/>
        <v>19155</v>
      </c>
    </row>
    <row r="16533">
      <c r="A16533" s="48" t="s">
        <v>5775</v>
      </c>
      <c r="B16533" s="38">
        <v>73117.0</v>
      </c>
      <c r="C16533" s="38" t="s">
        <v>18178</v>
      </c>
      <c r="D16533" s="38" t="str">
        <f>IFERROR(__xludf.DUMMYFUNCTION("REGEXREPLACE(C16533,""-\d+(.*)|--\d+(.*)"","""")"),"FOURNEAUX")</f>
        <v>FOURNEAUX</v>
      </c>
      <c r="E16533" s="38" t="s">
        <v>306</v>
      </c>
      <c r="F16533" s="38" t="s">
        <v>102</v>
      </c>
      <c r="G16533" s="49" t="str">
        <f t="shared" si="1"/>
        <v>73500</v>
      </c>
      <c r="H16533" s="49">
        <f t="shared" si="2"/>
        <v>73117</v>
      </c>
    </row>
    <row r="16534">
      <c r="A16534" s="48" t="s">
        <v>3753</v>
      </c>
      <c r="B16534" s="38">
        <v>18040.0</v>
      </c>
      <c r="C16534" s="38" t="s">
        <v>8819</v>
      </c>
      <c r="D16534" s="38" t="str">
        <f>IFERROR(__xludf.DUMMYFUNCTION("REGEXREPLACE(C16534,""-\d+(.*)|--\d+(.*)"","""")"),"BUSSY")</f>
        <v>BUSSY</v>
      </c>
      <c r="E16534" s="38" t="s">
        <v>504</v>
      </c>
      <c r="F16534" s="38" t="s">
        <v>123</v>
      </c>
      <c r="G16534" s="49" t="str">
        <f t="shared" si="1"/>
        <v>18130</v>
      </c>
      <c r="H16534" s="49">
        <f t="shared" si="2"/>
        <v>18040</v>
      </c>
    </row>
    <row r="16535">
      <c r="A16535" s="48" t="s">
        <v>2225</v>
      </c>
      <c r="B16535" s="38">
        <v>22021.0</v>
      </c>
      <c r="C16535" s="38" t="s">
        <v>20925</v>
      </c>
      <c r="D16535" s="38" t="str">
        <f>IFERROR(__xludf.DUMMYFUNCTION("REGEXREPLACE(C16535,""-\d+(.*)|--\d+(.*)"","""")"),"BRUSVILY")</f>
        <v>BRUSVILY</v>
      </c>
      <c r="E16535" s="38" t="s">
        <v>89</v>
      </c>
      <c r="F16535" s="38" t="s">
        <v>90</v>
      </c>
      <c r="G16535" s="49" t="str">
        <f t="shared" si="1"/>
        <v>22100</v>
      </c>
      <c r="H16535" s="49">
        <f t="shared" si="2"/>
        <v>22021</v>
      </c>
    </row>
    <row r="16536">
      <c r="A16536" s="48" t="s">
        <v>1754</v>
      </c>
      <c r="B16536" s="38">
        <v>14155.0</v>
      </c>
      <c r="C16536" s="38" t="s">
        <v>20926</v>
      </c>
      <c r="D16536" s="38" t="str">
        <f>IFERROR(__xludf.DUMMYFUNCTION("REGEXREPLACE(C16536,""-\d+(.*)|--\d+(.*)"","""")"),"CHEFFREVILLE-TONNENCOURT")</f>
        <v>CHEFFREVILLE-TONNENCOURT</v>
      </c>
      <c r="E16536" s="38" t="s">
        <v>137</v>
      </c>
      <c r="F16536" s="38" t="s">
        <v>138</v>
      </c>
      <c r="G16536" s="49" t="str">
        <f t="shared" si="1"/>
        <v>14140</v>
      </c>
      <c r="H16536" s="49">
        <f t="shared" si="2"/>
        <v>14155</v>
      </c>
    </row>
    <row r="16537">
      <c r="A16537" s="48" t="s">
        <v>12897</v>
      </c>
      <c r="B16537" s="38">
        <v>67252.0</v>
      </c>
      <c r="C16537" s="38" t="s">
        <v>20927</v>
      </c>
      <c r="D16537" s="38" t="str">
        <f>IFERROR(__xludf.DUMMYFUNCTION("REGEXREPLACE(C16537,""-\d+(.*)|--\d+(.*)"","""")"),"KURTZENHOUSE")</f>
        <v>KURTZENHOUSE</v>
      </c>
      <c r="E16537" s="38" t="s">
        <v>210</v>
      </c>
      <c r="F16537" s="38" t="s">
        <v>151</v>
      </c>
      <c r="G16537" s="49" t="str">
        <f t="shared" si="1"/>
        <v>67240</v>
      </c>
      <c r="H16537" s="49">
        <f t="shared" si="2"/>
        <v>67252</v>
      </c>
    </row>
    <row r="16538">
      <c r="A16538" s="48" t="s">
        <v>5515</v>
      </c>
      <c r="B16538" s="38">
        <v>72070.0</v>
      </c>
      <c r="C16538" s="38" t="s">
        <v>20928</v>
      </c>
      <c r="D16538" s="38" t="str">
        <f>IFERROR(__xludf.DUMMYFUNCTION("REGEXREPLACE(C16538,""-\d+(.*)|--\d+(.*)"","""")"),"CHASSILLE")</f>
        <v>CHASSILLE</v>
      </c>
      <c r="E16538" s="38" t="s">
        <v>521</v>
      </c>
      <c r="F16538" s="38" t="s">
        <v>180</v>
      </c>
      <c r="G16538" s="49" t="str">
        <f t="shared" si="1"/>
        <v>72540</v>
      </c>
      <c r="H16538" s="49">
        <f t="shared" si="2"/>
        <v>72070</v>
      </c>
    </row>
    <row r="16539">
      <c r="A16539" s="48" t="s">
        <v>960</v>
      </c>
      <c r="B16539" s="38">
        <v>28171.0</v>
      </c>
      <c r="C16539" s="38" t="s">
        <v>20929</v>
      </c>
      <c r="D16539" s="38" t="str">
        <f>IFERROR(__xludf.DUMMYFUNCTION("REGEXREPLACE(C16539,""-\d+(.*)|--\d+(.*)"","""")"),"GARNAY")</f>
        <v>GARNAY</v>
      </c>
      <c r="E16539" s="38" t="s">
        <v>300</v>
      </c>
      <c r="F16539" s="38" t="s">
        <v>123</v>
      </c>
      <c r="G16539" s="49" t="str">
        <f t="shared" si="1"/>
        <v>28500</v>
      </c>
      <c r="H16539" s="49">
        <f t="shared" si="2"/>
        <v>28171</v>
      </c>
    </row>
    <row r="16540">
      <c r="A16540" s="48" t="s">
        <v>4626</v>
      </c>
      <c r="B16540" s="38">
        <v>16197.0</v>
      </c>
      <c r="C16540" s="38" t="s">
        <v>20930</v>
      </c>
      <c r="D16540" s="38" t="str">
        <f>IFERROR(__xludf.DUMMYFUNCTION("REGEXREPLACE(C16540,""-\d+(.*)|--\d+(.*)"","""")"),"LA MAGDELEINE")</f>
        <v>LA MAGDELEINE</v>
      </c>
      <c r="E16540" s="38" t="s">
        <v>429</v>
      </c>
      <c r="F16540" s="38" t="s">
        <v>338</v>
      </c>
      <c r="G16540" s="49" t="str">
        <f t="shared" si="1"/>
        <v>16240</v>
      </c>
      <c r="H16540" s="49">
        <f t="shared" si="2"/>
        <v>16197</v>
      </c>
    </row>
    <row r="16541">
      <c r="A16541" s="48" t="s">
        <v>522</v>
      </c>
      <c r="B16541" s="38">
        <v>39437.0</v>
      </c>
      <c r="C16541" s="38" t="s">
        <v>20931</v>
      </c>
      <c r="D16541" s="38" t="str">
        <f>IFERROR(__xludf.DUMMYFUNCTION("REGEXREPLACE(C16541,""-\d+(.*)|--\d+(.*)"","""")"),"PONT-DU-NAVOY")</f>
        <v>PONT-DU-NAVOY</v>
      </c>
      <c r="E16541" s="38" t="s">
        <v>400</v>
      </c>
      <c r="F16541" s="38" t="s">
        <v>214</v>
      </c>
      <c r="G16541" s="49" t="str">
        <f t="shared" si="1"/>
        <v>39300</v>
      </c>
      <c r="H16541" s="49">
        <f t="shared" si="2"/>
        <v>39437</v>
      </c>
    </row>
    <row r="16542">
      <c r="A16542" s="48" t="s">
        <v>2266</v>
      </c>
      <c r="B16542" s="38">
        <v>55198.0</v>
      </c>
      <c r="C16542" s="38" t="s">
        <v>20932</v>
      </c>
      <c r="D16542" s="38" t="str">
        <f>IFERROR(__xludf.DUMMYFUNCTION("REGEXREPLACE(C16542,""-\d+(.*)|--\d+(.*)"","""")"),"FRESNES-EN-WOEVRE")</f>
        <v>FRESNES-EN-WOEVRE</v>
      </c>
      <c r="E16542" s="38" t="s">
        <v>322</v>
      </c>
      <c r="F16542" s="38" t="s">
        <v>195</v>
      </c>
      <c r="G16542" s="49" t="str">
        <f t="shared" si="1"/>
        <v>55160</v>
      </c>
      <c r="H16542" s="49">
        <f t="shared" si="2"/>
        <v>55198</v>
      </c>
    </row>
    <row r="16543">
      <c r="A16543" s="48" t="s">
        <v>1262</v>
      </c>
      <c r="B16543" s="38">
        <v>11181.0</v>
      </c>
      <c r="C16543" s="38" t="s">
        <v>20933</v>
      </c>
      <c r="D16543" s="38" t="str">
        <f>IFERROR(__xludf.DUMMYFUNCTION("REGEXREPLACE(C16543,""-\d+(.*)|--\d+(.*)"","""")"),"LABECEDE-LAURAGAIS")</f>
        <v>LABECEDE-LAURAGAIS</v>
      </c>
      <c r="E16543" s="38" t="s">
        <v>278</v>
      </c>
      <c r="F16543" s="38" t="s">
        <v>119</v>
      </c>
      <c r="G16543" s="49" t="str">
        <f t="shared" si="1"/>
        <v>11400</v>
      </c>
      <c r="H16543" s="49">
        <f t="shared" si="2"/>
        <v>11181</v>
      </c>
    </row>
    <row r="16544">
      <c r="A16544" s="48" t="s">
        <v>13581</v>
      </c>
      <c r="B16544" s="38">
        <v>78559.0</v>
      </c>
      <c r="C16544" s="38" t="s">
        <v>20934</v>
      </c>
      <c r="D16544" s="38" t="str">
        <f>IFERROR(__xludf.DUMMYFUNCTION("REGEXREPLACE(C16544,""-\d+(.*)|--\d+(.*)"","""")"),"SAINT-ILLIERS-LE-BOIS")</f>
        <v>SAINT-ILLIERS-LE-BOIS</v>
      </c>
      <c r="E16544" s="38" t="s">
        <v>362</v>
      </c>
      <c r="F16544" s="38" t="s">
        <v>245</v>
      </c>
      <c r="G16544" s="49" t="str">
        <f t="shared" si="1"/>
        <v>78980</v>
      </c>
      <c r="H16544" s="49">
        <f t="shared" si="2"/>
        <v>78559</v>
      </c>
    </row>
    <row r="16545">
      <c r="A16545" s="48" t="s">
        <v>1441</v>
      </c>
      <c r="B16545" s="38">
        <v>52207.0</v>
      </c>
      <c r="C16545" s="38" t="s">
        <v>20935</v>
      </c>
      <c r="D16545" s="38" t="str">
        <f>IFERROR(__xludf.DUMMYFUNCTION("REGEXREPLACE(C16545,""-\d+(.*)|--\d+(.*)"","""")"),"FRECOURT")</f>
        <v>FRECOURT</v>
      </c>
      <c r="E16545" s="38" t="s">
        <v>234</v>
      </c>
      <c r="F16545" s="38" t="s">
        <v>130</v>
      </c>
      <c r="G16545" s="49" t="str">
        <f t="shared" si="1"/>
        <v>52360</v>
      </c>
      <c r="H16545" s="49">
        <f t="shared" si="2"/>
        <v>52207</v>
      </c>
    </row>
    <row r="16546">
      <c r="A16546" s="48" t="s">
        <v>6832</v>
      </c>
      <c r="B16546" s="38">
        <v>80524.0</v>
      </c>
      <c r="C16546" s="38" t="s">
        <v>20936</v>
      </c>
      <c r="D16546" s="38" t="str">
        <f>IFERROR(__xludf.DUMMYFUNCTION("REGEXREPLACE(C16546,""-\d+(.*)|--\d+(.*)"","""")"),"MEHARICOURT")</f>
        <v>MEHARICOURT</v>
      </c>
      <c r="E16546" s="38" t="s">
        <v>224</v>
      </c>
      <c r="F16546" s="38" t="s">
        <v>113</v>
      </c>
      <c r="G16546" s="49" t="str">
        <f t="shared" si="1"/>
        <v>80170</v>
      </c>
      <c r="H16546" s="49">
        <f t="shared" si="2"/>
        <v>80524</v>
      </c>
    </row>
    <row r="16547">
      <c r="A16547" s="48" t="s">
        <v>489</v>
      </c>
      <c r="B16547" s="38">
        <v>9254.0</v>
      </c>
      <c r="C16547" s="38" t="s">
        <v>20937</v>
      </c>
      <c r="D16547" s="38" t="str">
        <f>IFERROR(__xludf.DUMMYFUNCTION("REGEXREPLACE(C16547,""-\d+(.*)|--\d+(.*)"","""")"),"SAINT-AMADOU")</f>
        <v>SAINT-AMADOU</v>
      </c>
      <c r="E16547" s="38" t="s">
        <v>238</v>
      </c>
      <c r="F16547" s="38" t="s">
        <v>94</v>
      </c>
      <c r="G16547" s="49" t="str">
        <f t="shared" si="1"/>
        <v>09100</v>
      </c>
      <c r="H16547" s="49" t="str">
        <f t="shared" si="2"/>
        <v>09254</v>
      </c>
    </row>
    <row r="16548">
      <c r="A16548" s="48" t="s">
        <v>2215</v>
      </c>
      <c r="B16548" s="38">
        <v>64436.0</v>
      </c>
      <c r="C16548" s="38" t="s">
        <v>20938</v>
      </c>
      <c r="D16548" s="38" t="str">
        <f>IFERROR(__xludf.DUMMYFUNCTION("REGEXREPLACE(C16548,""-\d+(.*)|--\d+(.*)"","""")"),"OSSES")</f>
        <v>OSSES</v>
      </c>
      <c r="E16548" s="38" t="s">
        <v>268</v>
      </c>
      <c r="F16548" s="38" t="s">
        <v>252</v>
      </c>
      <c r="G16548" s="49" t="str">
        <f t="shared" si="1"/>
        <v>64780</v>
      </c>
      <c r="H16548" s="49">
        <f t="shared" si="2"/>
        <v>64436</v>
      </c>
    </row>
    <row r="16549">
      <c r="A16549" s="48" t="s">
        <v>4703</v>
      </c>
      <c r="B16549" s="38">
        <v>66109.0</v>
      </c>
      <c r="C16549" s="38" t="s">
        <v>20939</v>
      </c>
      <c r="D16549" s="38" t="str">
        <f>IFERROR(__xludf.DUMMYFUNCTION("REGEXREPLACE(C16549,""-\d+(.*)|--\d+(.*)"","""")"),"MOLITG-LES-BAINS")</f>
        <v>MOLITG-LES-BAINS</v>
      </c>
      <c r="E16549" s="38" t="s">
        <v>248</v>
      </c>
      <c r="F16549" s="38" t="s">
        <v>119</v>
      </c>
      <c r="G16549" s="49" t="str">
        <f t="shared" si="1"/>
        <v>66500</v>
      </c>
      <c r="H16549" s="49">
        <f t="shared" si="2"/>
        <v>66109</v>
      </c>
    </row>
    <row r="16550">
      <c r="A16550" s="48" t="s">
        <v>1885</v>
      </c>
      <c r="B16550" s="38">
        <v>27248.0</v>
      </c>
      <c r="C16550" s="38" t="s">
        <v>14624</v>
      </c>
      <c r="D16550" s="38" t="str">
        <f>IFERROR(__xludf.DUMMYFUNCTION("REGEXREPLACE(C16550,""-\d+(.*)|--\d+(.*)"","""")"),"FOLLEVILLE")</f>
        <v>FOLLEVILLE</v>
      </c>
      <c r="E16550" s="38" t="s">
        <v>241</v>
      </c>
      <c r="F16550" s="38" t="s">
        <v>134</v>
      </c>
      <c r="G16550" s="49" t="str">
        <f t="shared" si="1"/>
        <v>27230</v>
      </c>
      <c r="H16550" s="49">
        <f t="shared" si="2"/>
        <v>27248</v>
      </c>
    </row>
    <row r="16551">
      <c r="A16551" s="48" t="s">
        <v>4900</v>
      </c>
      <c r="B16551" s="38">
        <v>33415.0</v>
      </c>
      <c r="C16551" s="38" t="s">
        <v>20940</v>
      </c>
      <c r="D16551" s="38" t="str">
        <f>IFERROR(__xludf.DUMMYFUNCTION("REGEXREPLACE(C16551,""-\d+(.*)|--\d+(.*)"","""")"),"SAINT-GERVAIS")</f>
        <v>SAINT-GERVAIS</v>
      </c>
      <c r="E16551" s="38" t="s">
        <v>462</v>
      </c>
      <c r="F16551" s="38" t="s">
        <v>252</v>
      </c>
      <c r="G16551" s="49" t="str">
        <f t="shared" si="1"/>
        <v>33240</v>
      </c>
      <c r="H16551" s="49">
        <f t="shared" si="2"/>
        <v>33415</v>
      </c>
    </row>
    <row r="16552">
      <c r="A16552" s="48" t="s">
        <v>4473</v>
      </c>
      <c r="B16552" s="38">
        <v>5113.0</v>
      </c>
      <c r="C16552" s="38" t="s">
        <v>20941</v>
      </c>
      <c r="D16552" s="38" t="str">
        <f>IFERROR(__xludf.DUMMYFUNCTION("REGEXREPLACE(C16552,""-\d+(.*)|--\d+(.*)"","""")"),"RAMBAUD")</f>
        <v>RAMBAUD</v>
      </c>
      <c r="E16552" s="38" t="s">
        <v>706</v>
      </c>
      <c r="F16552" s="38" t="s">
        <v>228</v>
      </c>
      <c r="G16552" s="49" t="str">
        <f t="shared" si="1"/>
        <v>05000</v>
      </c>
      <c r="H16552" s="49" t="str">
        <f t="shared" si="2"/>
        <v>05113</v>
      </c>
    </row>
    <row r="16553">
      <c r="A16553" s="48" t="s">
        <v>7549</v>
      </c>
      <c r="B16553" s="38">
        <v>50031.0</v>
      </c>
      <c r="C16553" s="38" t="s">
        <v>20942</v>
      </c>
      <c r="D16553" s="38" t="str">
        <f>IFERROR(__xludf.DUMMYFUNCTION("REGEXREPLACE(C16553,""-\d+(.*)|--\d+(.*)"","""")"),"BARNEVILLE-CARTERET")</f>
        <v>BARNEVILLE-CARTERET</v>
      </c>
      <c r="E16553" s="38" t="s">
        <v>157</v>
      </c>
      <c r="F16553" s="38" t="s">
        <v>138</v>
      </c>
      <c r="G16553" s="49" t="str">
        <f t="shared" si="1"/>
        <v>50270</v>
      </c>
      <c r="H16553" s="49">
        <f t="shared" si="2"/>
        <v>50031</v>
      </c>
    </row>
    <row r="16554">
      <c r="A16554" s="48" t="s">
        <v>736</v>
      </c>
      <c r="B16554" s="38">
        <v>57553.0</v>
      </c>
      <c r="C16554" s="38" t="s">
        <v>20943</v>
      </c>
      <c r="D16554" s="38" t="str">
        <f>IFERROR(__xludf.DUMMYFUNCTION("REGEXREPLACE(C16554,""-\d+(.*)|--\d+(.*)"","""")"),"POURNOY-LA-CHETIVE")</f>
        <v>POURNOY-LA-CHETIVE</v>
      </c>
      <c r="E16554" s="38" t="s">
        <v>303</v>
      </c>
      <c r="F16554" s="38" t="s">
        <v>195</v>
      </c>
      <c r="G16554" s="49" t="str">
        <f t="shared" si="1"/>
        <v>57420</v>
      </c>
      <c r="H16554" s="49">
        <f t="shared" si="2"/>
        <v>57553</v>
      </c>
    </row>
    <row r="16555">
      <c r="A16555" s="48" t="s">
        <v>7377</v>
      </c>
      <c r="B16555" s="38">
        <v>49297.0</v>
      </c>
      <c r="C16555" s="38" t="s">
        <v>20944</v>
      </c>
      <c r="D16555" s="38" t="str">
        <f>IFERROR(__xludf.DUMMYFUNCTION("REGEXREPLACE(C16555,""-\d+(.*)|--\d+(.*)"","""")"),"SAINT-LAURENT-DU-MOTTAY")</f>
        <v>SAINT-LAURENT-DU-MOTTAY</v>
      </c>
      <c r="E16555" s="38" t="s">
        <v>653</v>
      </c>
      <c r="F16555" s="38" t="s">
        <v>180</v>
      </c>
      <c r="G16555" s="49" t="str">
        <f t="shared" si="1"/>
        <v>49410</v>
      </c>
      <c r="H16555" s="49">
        <f t="shared" si="2"/>
        <v>49297</v>
      </c>
    </row>
    <row r="16556">
      <c r="A16556" s="48" t="s">
        <v>11385</v>
      </c>
      <c r="B16556" s="38">
        <v>44062.0</v>
      </c>
      <c r="C16556" s="38" t="s">
        <v>20945</v>
      </c>
      <c r="D16556" s="38" t="str">
        <f>IFERROR(__xludf.DUMMYFUNCTION("REGEXREPLACE(C16556,""-\d+(.*)|--\d+(.*)"","""")"),"LE GAVRE")</f>
        <v>LE GAVRE</v>
      </c>
      <c r="E16556" s="38" t="s">
        <v>759</v>
      </c>
      <c r="F16556" s="38" t="s">
        <v>180</v>
      </c>
      <c r="G16556" s="49" t="str">
        <f t="shared" si="1"/>
        <v>44130</v>
      </c>
      <c r="H16556" s="49">
        <f t="shared" si="2"/>
        <v>44062</v>
      </c>
    </row>
    <row r="16557">
      <c r="A16557" s="48" t="s">
        <v>365</v>
      </c>
      <c r="B16557" s="38">
        <v>50549.0</v>
      </c>
      <c r="C16557" s="38" t="s">
        <v>20946</v>
      </c>
      <c r="D16557" s="38" t="str">
        <f>IFERROR(__xludf.DUMMYFUNCTION("REGEXREPLACE(C16557,""-\d+(.*)|--\d+(.*)"","""")"),"SAINT-SAUVEUR-LA-POMMERAYE")</f>
        <v>SAINT-SAUVEUR-LA-POMMERAYE</v>
      </c>
      <c r="E16557" s="38" t="s">
        <v>157</v>
      </c>
      <c r="F16557" s="38" t="s">
        <v>138</v>
      </c>
      <c r="G16557" s="49" t="str">
        <f t="shared" si="1"/>
        <v>50510</v>
      </c>
      <c r="H16557" s="49">
        <f t="shared" si="2"/>
        <v>50549</v>
      </c>
    </row>
    <row r="16558">
      <c r="A16558" s="48" t="s">
        <v>5358</v>
      </c>
      <c r="B16558" s="38">
        <v>23008.0</v>
      </c>
      <c r="C16558" s="38" t="s">
        <v>9384</v>
      </c>
      <c r="D16558" s="38" t="str">
        <f>IFERROR(__xludf.DUMMYFUNCTION("REGEXREPLACE(C16558,""-\d+(.*)|--\d+(.*)"","""")"),"AUBUSSON")</f>
        <v>AUBUSSON</v>
      </c>
      <c r="E16558" s="38" t="s">
        <v>97</v>
      </c>
      <c r="F16558" s="38" t="s">
        <v>98</v>
      </c>
      <c r="G16558" s="49" t="str">
        <f t="shared" si="1"/>
        <v>23200</v>
      </c>
      <c r="H16558" s="49">
        <f t="shared" si="2"/>
        <v>23008</v>
      </c>
    </row>
    <row r="16559">
      <c r="A16559" s="48" t="s">
        <v>2712</v>
      </c>
      <c r="B16559" s="38">
        <v>72220.0</v>
      </c>
      <c r="C16559" s="38" t="s">
        <v>20947</v>
      </c>
      <c r="D16559" s="38" t="str">
        <f>IFERROR(__xludf.DUMMYFUNCTION("REGEXREPLACE(C16559,""-\d+(.*)|--\d+(.*)"","""")"),"NOGENT-LE-BERNARD")</f>
        <v>NOGENT-LE-BERNARD</v>
      </c>
      <c r="E16559" s="38" t="s">
        <v>521</v>
      </c>
      <c r="F16559" s="38" t="s">
        <v>180</v>
      </c>
      <c r="G16559" s="49" t="str">
        <f t="shared" si="1"/>
        <v>72110</v>
      </c>
      <c r="H16559" s="49">
        <f t="shared" si="2"/>
        <v>72220</v>
      </c>
    </row>
    <row r="16560">
      <c r="A16560" s="48" t="s">
        <v>17375</v>
      </c>
      <c r="B16560" s="38">
        <v>62540.0</v>
      </c>
      <c r="C16560" s="38" t="s">
        <v>20948</v>
      </c>
      <c r="D16560" s="38" t="str">
        <f>IFERROR(__xludf.DUMMYFUNCTION("REGEXREPLACE(C16560,""-\d+(.*)|--\d+(.*)"","""")"),"MAISNIL-LES-RUITZ")</f>
        <v>MAISNIL-LES-RUITZ</v>
      </c>
      <c r="E16560" s="38" t="s">
        <v>109</v>
      </c>
      <c r="F16560" s="38" t="s">
        <v>86</v>
      </c>
      <c r="G16560" s="49" t="str">
        <f t="shared" si="1"/>
        <v>62620</v>
      </c>
      <c r="H16560" s="49">
        <f t="shared" si="2"/>
        <v>62540</v>
      </c>
    </row>
    <row r="16561">
      <c r="A16561" s="48" t="s">
        <v>5101</v>
      </c>
      <c r="B16561" s="38">
        <v>54238.0</v>
      </c>
      <c r="C16561" s="38" t="s">
        <v>20949</v>
      </c>
      <c r="D16561" s="38" t="str">
        <f>IFERROR(__xludf.DUMMYFUNCTION("REGEXREPLACE(C16561,""-\d+(.*)|--\d+(.*)"","""")"),"GRIPPORT")</f>
        <v>GRIPPORT</v>
      </c>
      <c r="E16561" s="38" t="s">
        <v>548</v>
      </c>
      <c r="F16561" s="38" t="s">
        <v>195</v>
      </c>
      <c r="G16561" s="49" t="str">
        <f t="shared" si="1"/>
        <v>54290</v>
      </c>
      <c r="H16561" s="49">
        <f t="shared" si="2"/>
        <v>54238</v>
      </c>
    </row>
    <row r="16562">
      <c r="A16562" s="48" t="s">
        <v>5938</v>
      </c>
      <c r="B16562" s="38">
        <v>58204.0</v>
      </c>
      <c r="C16562" s="38" t="s">
        <v>20950</v>
      </c>
      <c r="D16562" s="38" t="str">
        <f>IFERROR(__xludf.DUMMYFUNCTION("REGEXREPLACE(C16562,""-\d+(.*)|--\d+(.*)"","""")"),"OUROUER")</f>
        <v>OUROUER</v>
      </c>
      <c r="E16562" s="38" t="s">
        <v>219</v>
      </c>
      <c r="F16562" s="38" t="s">
        <v>106</v>
      </c>
      <c r="G16562" s="49" t="str">
        <f t="shared" si="1"/>
        <v>58130</v>
      </c>
      <c r="H16562" s="49">
        <f t="shared" si="2"/>
        <v>58204</v>
      </c>
    </row>
    <row r="16563">
      <c r="A16563" s="48" t="s">
        <v>20951</v>
      </c>
      <c r="B16563" s="38">
        <v>78196.0</v>
      </c>
      <c r="C16563" s="38" t="s">
        <v>20952</v>
      </c>
      <c r="D16563" s="38" t="str">
        <f>IFERROR(__xludf.DUMMYFUNCTION("REGEXREPLACE(C16563,""-\d+(.*)|--\d+(.*)"","""")"),"DAVRON")</f>
        <v>DAVRON</v>
      </c>
      <c r="E16563" s="38" t="s">
        <v>362</v>
      </c>
      <c r="F16563" s="38" t="s">
        <v>245</v>
      </c>
      <c r="G16563" s="49" t="str">
        <f t="shared" si="1"/>
        <v>78810</v>
      </c>
      <c r="H16563" s="49">
        <f t="shared" si="2"/>
        <v>78196</v>
      </c>
    </row>
    <row r="16564">
      <c r="A16564" s="48" t="s">
        <v>2714</v>
      </c>
      <c r="B16564" s="38">
        <v>61067.0</v>
      </c>
      <c r="C16564" s="38" t="s">
        <v>20953</v>
      </c>
      <c r="D16564" s="38" t="str">
        <f>IFERROR(__xludf.DUMMYFUNCTION("REGEXREPLACE(C16564,""-\d+(.*)|--\d+(.*)"","""")"),"BURES")</f>
        <v>BURES</v>
      </c>
      <c r="E16564" s="38" t="s">
        <v>141</v>
      </c>
      <c r="F16564" s="38" t="s">
        <v>138</v>
      </c>
      <c r="G16564" s="49" t="str">
        <f t="shared" si="1"/>
        <v>61170</v>
      </c>
      <c r="H16564" s="49">
        <f t="shared" si="2"/>
        <v>61067</v>
      </c>
    </row>
    <row r="16565">
      <c r="A16565" s="48" t="s">
        <v>12001</v>
      </c>
      <c r="B16565" s="38">
        <v>7155.0</v>
      </c>
      <c r="C16565" s="38" t="s">
        <v>20954</v>
      </c>
      <c r="D16565" s="38" t="str">
        <f>IFERROR(__xludf.DUMMYFUNCTION("REGEXREPLACE(C16565,""-\d+(.*)|--\d+(.*)"","""")"),"MERCUER")</f>
        <v>MERCUER</v>
      </c>
      <c r="E16565" s="38" t="s">
        <v>144</v>
      </c>
      <c r="F16565" s="38" t="s">
        <v>102</v>
      </c>
      <c r="G16565" s="49" t="str">
        <f t="shared" si="1"/>
        <v>07200</v>
      </c>
      <c r="H16565" s="49" t="str">
        <f t="shared" si="2"/>
        <v>07155</v>
      </c>
    </row>
    <row r="16566">
      <c r="A16566" s="48" t="s">
        <v>2008</v>
      </c>
      <c r="B16566" s="38">
        <v>46332.0</v>
      </c>
      <c r="C16566" s="38" t="s">
        <v>20955</v>
      </c>
      <c r="D16566" s="38" t="str">
        <f>IFERROR(__xludf.DUMMYFUNCTION("REGEXREPLACE(C16566,""-\d+(.*)|--\d+(.*)"","""")"),"VIAZAC")</f>
        <v>VIAZAC</v>
      </c>
      <c r="E16566" s="38" t="s">
        <v>185</v>
      </c>
      <c r="F16566" s="38" t="s">
        <v>94</v>
      </c>
      <c r="G16566" s="49" t="str">
        <f t="shared" si="1"/>
        <v>46100</v>
      </c>
      <c r="H16566" s="49">
        <f t="shared" si="2"/>
        <v>46332</v>
      </c>
    </row>
    <row r="16567">
      <c r="A16567" s="48" t="s">
        <v>10148</v>
      </c>
      <c r="B16567" s="38">
        <v>59392.0</v>
      </c>
      <c r="C16567" s="38" t="s">
        <v>20956</v>
      </c>
      <c r="D16567" s="38" t="str">
        <f>IFERROR(__xludf.DUMMYFUNCTION("REGEXREPLACE(C16567,""-\d+(.*)|--\d+(.*)"","""")"),"MAUBEUGE")</f>
        <v>MAUBEUGE</v>
      </c>
      <c r="E16567" s="38" t="s">
        <v>85</v>
      </c>
      <c r="F16567" s="38" t="s">
        <v>86</v>
      </c>
      <c r="G16567" s="49" t="str">
        <f t="shared" si="1"/>
        <v>59600</v>
      </c>
      <c r="H16567" s="49">
        <f t="shared" si="2"/>
        <v>59392</v>
      </c>
    </row>
    <row r="16568">
      <c r="A16568" s="48" t="s">
        <v>4073</v>
      </c>
      <c r="B16568" s="38">
        <v>11182.0</v>
      </c>
      <c r="C16568" s="38" t="s">
        <v>20957</v>
      </c>
      <c r="D16568" s="38" t="str">
        <f>IFERROR(__xludf.DUMMYFUNCTION("REGEXREPLACE(C16568,""-\d+(.*)|--\d+(.*)"","""")"),"LACOMBE")</f>
        <v>LACOMBE</v>
      </c>
      <c r="E16568" s="38" t="s">
        <v>278</v>
      </c>
      <c r="F16568" s="38" t="s">
        <v>119</v>
      </c>
      <c r="G16568" s="49" t="str">
        <f t="shared" si="1"/>
        <v>11310</v>
      </c>
      <c r="H16568" s="49">
        <f t="shared" si="2"/>
        <v>11182</v>
      </c>
    </row>
    <row r="16569">
      <c r="A16569" s="48" t="s">
        <v>20958</v>
      </c>
      <c r="B16569" s="38">
        <v>33039.0</v>
      </c>
      <c r="C16569" s="38" t="s">
        <v>20959</v>
      </c>
      <c r="D16569" s="38" t="str">
        <f>IFERROR(__xludf.DUMMYFUNCTION("REGEXREPLACE(C16569,""-\d+(.*)|--\d+(.*)"","""")"),"BEGLES")</f>
        <v>BEGLES</v>
      </c>
      <c r="E16569" s="38" t="s">
        <v>462</v>
      </c>
      <c r="F16569" s="38" t="s">
        <v>252</v>
      </c>
      <c r="G16569" s="49" t="str">
        <f t="shared" si="1"/>
        <v>33130</v>
      </c>
      <c r="H16569" s="49">
        <f t="shared" si="2"/>
        <v>33039</v>
      </c>
    </row>
    <row r="16570">
      <c r="A16570" s="48" t="s">
        <v>2219</v>
      </c>
      <c r="B16570" s="38">
        <v>2517.0</v>
      </c>
      <c r="C16570" s="38" t="s">
        <v>20960</v>
      </c>
      <c r="D16570" s="38" t="str">
        <f>IFERROR(__xludf.DUMMYFUNCTION("REGEXREPLACE(C16570,""-\d+(.*)|--\d+(.*)"","""")"),"MONTIGNY-SUR-CRECY")</f>
        <v>MONTIGNY-SUR-CRECY</v>
      </c>
      <c r="E16570" s="38" t="s">
        <v>191</v>
      </c>
      <c r="F16570" s="38" t="s">
        <v>113</v>
      </c>
      <c r="G16570" s="49" t="str">
        <f t="shared" si="1"/>
        <v>02270</v>
      </c>
      <c r="H16570" s="49" t="str">
        <f t="shared" si="2"/>
        <v>02517</v>
      </c>
    </row>
    <row r="16571">
      <c r="A16571" s="48" t="s">
        <v>5195</v>
      </c>
      <c r="B16571" s="38">
        <v>47248.0</v>
      </c>
      <c r="C16571" s="38" t="s">
        <v>20961</v>
      </c>
      <c r="D16571" s="38" t="str">
        <f>IFERROR(__xludf.DUMMYFUNCTION("REGEXREPLACE(C16571,""-\d+(.*)|--\d+(.*)"","""")"),"SAINT-JEAN-DE-THURAC")</f>
        <v>SAINT-JEAN-DE-THURAC</v>
      </c>
      <c r="E16571" s="38" t="s">
        <v>251</v>
      </c>
      <c r="F16571" s="38" t="s">
        <v>252</v>
      </c>
      <c r="G16571" s="49" t="str">
        <f t="shared" si="1"/>
        <v>47270</v>
      </c>
      <c r="H16571" s="49">
        <f t="shared" si="2"/>
        <v>47248</v>
      </c>
    </row>
    <row r="16572">
      <c r="A16572" s="48" t="s">
        <v>721</v>
      </c>
      <c r="B16572" s="38">
        <v>14023.0</v>
      </c>
      <c r="C16572" s="38" t="s">
        <v>20962</v>
      </c>
      <c r="D16572" s="38" t="str">
        <f>IFERROR(__xludf.DUMMYFUNCTION("REGEXREPLACE(C16572,""-\d+(.*)|--\d+(.*)"","""")"),"ASNIERES-EN-BESSIN")</f>
        <v>ASNIERES-EN-BESSIN</v>
      </c>
      <c r="E16572" s="38" t="s">
        <v>137</v>
      </c>
      <c r="F16572" s="38" t="s">
        <v>138</v>
      </c>
      <c r="G16572" s="49" t="str">
        <f t="shared" si="1"/>
        <v>14710</v>
      </c>
      <c r="H16572" s="49">
        <f t="shared" si="2"/>
        <v>14023</v>
      </c>
    </row>
    <row r="16573">
      <c r="A16573" s="48" t="s">
        <v>3943</v>
      </c>
      <c r="B16573" s="38">
        <v>15021.0</v>
      </c>
      <c r="C16573" s="38" t="s">
        <v>20963</v>
      </c>
      <c r="D16573" s="38" t="str">
        <f>IFERROR(__xludf.DUMMYFUNCTION("REGEXREPLACE(C16573,""-\d+(.*)|--\d+(.*)"","""")"),"BOISSET")</f>
        <v>BOISSET</v>
      </c>
      <c r="E16573" s="38" t="s">
        <v>632</v>
      </c>
      <c r="F16573" s="38" t="s">
        <v>161</v>
      </c>
      <c r="G16573" s="49" t="str">
        <f t="shared" si="1"/>
        <v>15600</v>
      </c>
      <c r="H16573" s="49">
        <f t="shared" si="2"/>
        <v>15021</v>
      </c>
    </row>
    <row r="16574">
      <c r="A16574" s="48" t="s">
        <v>20964</v>
      </c>
      <c r="B16574" s="38">
        <v>34090.0</v>
      </c>
      <c r="C16574" s="38" t="s">
        <v>20965</v>
      </c>
      <c r="D16574" s="38" t="str">
        <f>IFERROR(__xludf.DUMMYFUNCTION("REGEXREPLACE(C16574,""-\d+(.*)|--\d+(.*)"","""")"),"LE CRES")</f>
        <v>LE CRES</v>
      </c>
      <c r="E16574" s="38" t="s">
        <v>118</v>
      </c>
      <c r="F16574" s="38" t="s">
        <v>119</v>
      </c>
      <c r="G16574" s="49" t="str">
        <f t="shared" si="1"/>
        <v>34920</v>
      </c>
      <c r="H16574" s="49">
        <f t="shared" si="2"/>
        <v>34090</v>
      </c>
    </row>
    <row r="16575">
      <c r="A16575" s="48" t="s">
        <v>20966</v>
      </c>
      <c r="B16575" s="38">
        <v>59225.0</v>
      </c>
      <c r="C16575" s="38" t="s">
        <v>20967</v>
      </c>
      <c r="D16575" s="38" t="str">
        <f>IFERROR(__xludf.DUMMYFUNCTION("REGEXREPLACE(C16575,""-\d+(.*)|--\d+(.*)"","""")"),"FEIGNIES")</f>
        <v>FEIGNIES</v>
      </c>
      <c r="E16575" s="38" t="s">
        <v>85</v>
      </c>
      <c r="F16575" s="38" t="s">
        <v>86</v>
      </c>
      <c r="G16575" s="49" t="str">
        <f t="shared" si="1"/>
        <v>59750</v>
      </c>
      <c r="H16575" s="49">
        <f t="shared" si="2"/>
        <v>59225</v>
      </c>
    </row>
    <row r="16576">
      <c r="A16576" s="48" t="s">
        <v>6247</v>
      </c>
      <c r="B16576" s="38">
        <v>26332.0</v>
      </c>
      <c r="C16576" s="38" t="s">
        <v>20968</v>
      </c>
      <c r="D16576" s="38" t="str">
        <f>IFERROR(__xludf.DUMMYFUNCTION("REGEXREPLACE(C16576,""-\d+(.*)|--\d+(.*)"","""")"),"SAINT-UZE")</f>
        <v>SAINT-UZE</v>
      </c>
      <c r="E16576" s="38" t="s">
        <v>126</v>
      </c>
      <c r="F16576" s="38" t="s">
        <v>102</v>
      </c>
      <c r="G16576" s="49" t="str">
        <f t="shared" si="1"/>
        <v>26240</v>
      </c>
      <c r="H16576" s="49">
        <f t="shared" si="2"/>
        <v>26332</v>
      </c>
    </row>
    <row r="16577">
      <c r="A16577" s="48" t="s">
        <v>807</v>
      </c>
      <c r="B16577" s="38">
        <v>68320.0</v>
      </c>
      <c r="C16577" s="38" t="s">
        <v>20969</v>
      </c>
      <c r="D16577" s="38" t="str">
        <f>IFERROR(__xludf.DUMMYFUNCTION("REGEXREPLACE(C16577,""-\d+(.*)|--\d+(.*)"","""")"),"SPECHBACH-LE-HAUT")</f>
        <v>SPECHBACH-LE-HAUT</v>
      </c>
      <c r="E16577" s="38" t="s">
        <v>150</v>
      </c>
      <c r="F16577" s="38" t="s">
        <v>151</v>
      </c>
      <c r="G16577" s="49" t="str">
        <f t="shared" si="1"/>
        <v>68720</v>
      </c>
      <c r="H16577" s="49">
        <f t="shared" si="2"/>
        <v>68320</v>
      </c>
    </row>
    <row r="16578">
      <c r="A16578" s="48" t="s">
        <v>2063</v>
      </c>
      <c r="B16578" s="38">
        <v>43057.0</v>
      </c>
      <c r="C16578" s="38" t="s">
        <v>20970</v>
      </c>
      <c r="D16578" s="38" t="str">
        <f>IFERROR(__xludf.DUMMYFUNCTION("REGEXREPLACE(C16578,""-\d+(.*)|--\d+(.*)"","""")"),"LA CHAPELLE-BERTIN")</f>
        <v>LA CHAPELLE-BERTIN</v>
      </c>
      <c r="E16578" s="38" t="s">
        <v>332</v>
      </c>
      <c r="F16578" s="38" t="s">
        <v>161</v>
      </c>
      <c r="G16578" s="49" t="str">
        <f t="shared" si="1"/>
        <v>43270</v>
      </c>
      <c r="H16578" s="49">
        <f t="shared" si="2"/>
        <v>43057</v>
      </c>
    </row>
    <row r="16579">
      <c r="A16579" s="48" t="s">
        <v>3583</v>
      </c>
      <c r="B16579" s="38">
        <v>7256.0</v>
      </c>
      <c r="C16579" s="38" t="s">
        <v>20971</v>
      </c>
      <c r="D16579" s="38" t="str">
        <f>IFERROR(__xludf.DUMMYFUNCTION("REGEXREPLACE(C16579,""-\d+(.*)|--\d+(.*)"","""")"),"SAINT-JULIEN-LABROUSSE")</f>
        <v>SAINT-JULIEN-LABROUSSE</v>
      </c>
      <c r="E16579" s="38" t="s">
        <v>144</v>
      </c>
      <c r="F16579" s="38" t="s">
        <v>102</v>
      </c>
      <c r="G16579" s="49" t="str">
        <f t="shared" si="1"/>
        <v>07160</v>
      </c>
      <c r="H16579" s="49" t="str">
        <f t="shared" si="2"/>
        <v>07256</v>
      </c>
    </row>
    <row r="16580">
      <c r="A16580" s="48" t="s">
        <v>7786</v>
      </c>
      <c r="B16580" s="38">
        <v>8294.0</v>
      </c>
      <c r="C16580" s="38" t="s">
        <v>20972</v>
      </c>
      <c r="D16580" s="38" t="str">
        <f>IFERROR(__xludf.DUMMYFUNCTION("REGEXREPLACE(C16580,""-\d+(.*)|--\d+(.*)"","""")"),"LA MONCELLE")</f>
        <v>LA MONCELLE</v>
      </c>
      <c r="E16580" s="38" t="s">
        <v>327</v>
      </c>
      <c r="F16580" s="38" t="s">
        <v>130</v>
      </c>
      <c r="G16580" s="49" t="str">
        <f t="shared" si="1"/>
        <v>08140</v>
      </c>
      <c r="H16580" s="49" t="str">
        <f t="shared" si="2"/>
        <v>08294</v>
      </c>
    </row>
    <row r="16581">
      <c r="A16581" s="48" t="s">
        <v>20973</v>
      </c>
      <c r="B16581" s="38">
        <v>95183.0</v>
      </c>
      <c r="C16581" s="38" t="s">
        <v>20974</v>
      </c>
      <c r="D16581" s="38" t="str">
        <f>IFERROR(__xludf.DUMMYFUNCTION("REGEXREPLACE(C16581,""-\d+(.*)|--\d+(.*)"","""")"),"COURDIMANCHE")</f>
        <v>COURDIMANCHE</v>
      </c>
      <c r="E16581" s="38" t="s">
        <v>541</v>
      </c>
      <c r="F16581" s="38" t="s">
        <v>245</v>
      </c>
      <c r="G16581" s="49" t="str">
        <f t="shared" si="1"/>
        <v>95800</v>
      </c>
      <c r="H16581" s="49">
        <f t="shared" si="2"/>
        <v>95183</v>
      </c>
    </row>
    <row r="16582">
      <c r="A16582" s="48" t="s">
        <v>7829</v>
      </c>
      <c r="B16582" s="38">
        <v>89205.0</v>
      </c>
      <c r="C16582" s="38" t="s">
        <v>20975</v>
      </c>
      <c r="D16582" s="38" t="str">
        <f>IFERROR(__xludf.DUMMYFUNCTION("REGEXREPLACE(C16582,""-\d+(.*)|--\d+(.*)"","""")"),"JAULGES")</f>
        <v>JAULGES</v>
      </c>
      <c r="E16582" s="38" t="s">
        <v>275</v>
      </c>
      <c r="F16582" s="38" t="s">
        <v>106</v>
      </c>
      <c r="G16582" s="49" t="str">
        <f t="shared" si="1"/>
        <v>89360</v>
      </c>
      <c r="H16582" s="49">
        <f t="shared" si="2"/>
        <v>89205</v>
      </c>
    </row>
    <row r="16583">
      <c r="A16583" s="48" t="s">
        <v>4814</v>
      </c>
      <c r="B16583" s="38">
        <v>57093.0</v>
      </c>
      <c r="C16583" s="38" t="s">
        <v>20976</v>
      </c>
      <c r="D16583" s="38" t="str">
        <f>IFERROR(__xludf.DUMMYFUNCTION("REGEXREPLACE(C16583,""-\d+(.*)|--\d+(.*)"","""")"),"BLIES-GUERSVILLER")</f>
        <v>BLIES-GUERSVILLER</v>
      </c>
      <c r="E16583" s="38" t="s">
        <v>303</v>
      </c>
      <c r="F16583" s="38" t="s">
        <v>195</v>
      </c>
      <c r="G16583" s="49" t="str">
        <f t="shared" si="1"/>
        <v>57200</v>
      </c>
      <c r="H16583" s="49">
        <f t="shared" si="2"/>
        <v>57093</v>
      </c>
    </row>
    <row r="16584">
      <c r="A16584" s="48" t="s">
        <v>3317</v>
      </c>
      <c r="B16584" s="38">
        <v>1024.0</v>
      </c>
      <c r="C16584" s="38" t="s">
        <v>20977</v>
      </c>
      <c r="D16584" s="38" t="str">
        <f>IFERROR(__xludf.DUMMYFUNCTION("REGEXREPLACE(C16584,""-\d+(.*)|--\d+(.*)"","""")"),"ATTIGNAT")</f>
        <v>ATTIGNAT</v>
      </c>
      <c r="E16584" s="38" t="s">
        <v>255</v>
      </c>
      <c r="F16584" s="38" t="s">
        <v>102</v>
      </c>
      <c r="G16584" s="49" t="str">
        <f t="shared" si="1"/>
        <v>01340</v>
      </c>
      <c r="H16584" s="49" t="str">
        <f t="shared" si="2"/>
        <v>01024</v>
      </c>
    </row>
    <row r="16585">
      <c r="A16585" s="48" t="s">
        <v>2937</v>
      </c>
      <c r="B16585" s="38">
        <v>73111.0</v>
      </c>
      <c r="C16585" s="38" t="s">
        <v>20978</v>
      </c>
      <c r="D16585" s="38" t="str">
        <f>IFERROR(__xludf.DUMMYFUNCTION("REGEXREPLACE(C16585,""-\d+(.*)|--\d+(.*)"","""")"),"ETABLE")</f>
        <v>ETABLE</v>
      </c>
      <c r="E16585" s="38" t="s">
        <v>306</v>
      </c>
      <c r="F16585" s="38" t="s">
        <v>102</v>
      </c>
      <c r="G16585" s="49" t="str">
        <f t="shared" si="1"/>
        <v>73110</v>
      </c>
      <c r="H16585" s="49">
        <f t="shared" si="2"/>
        <v>73111</v>
      </c>
    </row>
    <row r="16586">
      <c r="A16586" s="48" t="s">
        <v>20979</v>
      </c>
      <c r="B16586" s="38">
        <v>44022.0</v>
      </c>
      <c r="C16586" s="38" t="s">
        <v>20980</v>
      </c>
      <c r="D16586" s="38" t="str">
        <f>IFERROR(__xludf.DUMMYFUNCTION("REGEXREPLACE(C16586,""-\d+(.*)|--\d+(.*)"","""")"),"BOUSSAY")</f>
        <v>BOUSSAY</v>
      </c>
      <c r="E16586" s="38" t="s">
        <v>759</v>
      </c>
      <c r="F16586" s="38" t="s">
        <v>180</v>
      </c>
      <c r="G16586" s="49" t="str">
        <f t="shared" si="1"/>
        <v>44190</v>
      </c>
      <c r="H16586" s="49">
        <f t="shared" si="2"/>
        <v>44022</v>
      </c>
    </row>
    <row r="16587">
      <c r="A16587" s="48" t="s">
        <v>1147</v>
      </c>
      <c r="B16587" s="38">
        <v>37103.0</v>
      </c>
      <c r="C16587" s="38" t="s">
        <v>20981</v>
      </c>
      <c r="D16587" s="38" t="str">
        <f>IFERROR(__xludf.DUMMYFUNCTION("REGEXREPLACE(C16587,""-\d+(.*)|--\d+(.*)"","""")"),"ESVES-LE-MOUTIER")</f>
        <v>ESVES-LE-MOUTIER</v>
      </c>
      <c r="E16587" s="38" t="s">
        <v>205</v>
      </c>
      <c r="F16587" s="38" t="s">
        <v>123</v>
      </c>
      <c r="G16587" s="49" t="str">
        <f t="shared" si="1"/>
        <v>37240</v>
      </c>
      <c r="H16587" s="49">
        <f t="shared" si="2"/>
        <v>37103</v>
      </c>
    </row>
    <row r="16588">
      <c r="A16588" s="48" t="s">
        <v>2182</v>
      </c>
      <c r="B16588" s="38">
        <v>89027.0</v>
      </c>
      <c r="C16588" s="38" t="s">
        <v>20982</v>
      </c>
      <c r="D16588" s="38" t="str">
        <f>IFERROR(__xludf.DUMMYFUNCTION("REGEXREPLACE(C16588,""-\d+(.*)|--\d+(.*)"","""")"),"BAGNEAUX")</f>
        <v>BAGNEAUX</v>
      </c>
      <c r="E16588" s="38" t="s">
        <v>275</v>
      </c>
      <c r="F16588" s="38" t="s">
        <v>106</v>
      </c>
      <c r="G16588" s="49" t="str">
        <f t="shared" si="1"/>
        <v>89190</v>
      </c>
      <c r="H16588" s="49">
        <f t="shared" si="2"/>
        <v>89027</v>
      </c>
    </row>
    <row r="16589">
      <c r="A16589" s="48" t="s">
        <v>423</v>
      </c>
      <c r="B16589" s="38">
        <v>2441.0</v>
      </c>
      <c r="C16589" s="38" t="s">
        <v>20983</v>
      </c>
      <c r="D16589" s="38" t="str">
        <f>IFERROR(__xludf.DUMMYFUNCTION("REGEXREPLACE(C16589,""-\d+(.*)|--\d+(.*)"","""")"),"LOUATRE")</f>
        <v>LOUATRE</v>
      </c>
      <c r="E16589" s="38" t="s">
        <v>191</v>
      </c>
      <c r="F16589" s="38" t="s">
        <v>113</v>
      </c>
      <c r="G16589" s="49" t="str">
        <f t="shared" si="1"/>
        <v>02600</v>
      </c>
      <c r="H16589" s="49" t="str">
        <f t="shared" si="2"/>
        <v>02441</v>
      </c>
    </row>
    <row r="16590">
      <c r="A16590" s="48" t="s">
        <v>7895</v>
      </c>
      <c r="B16590" s="38">
        <v>57742.0</v>
      </c>
      <c r="C16590" s="38" t="s">
        <v>20984</v>
      </c>
      <c r="D16590" s="38" t="str">
        <f>IFERROR(__xludf.DUMMYFUNCTION("REGEXREPLACE(C16590,""-\d+(.*)|--\d+(.*)"","""")"),"WALSCHEID")</f>
        <v>WALSCHEID</v>
      </c>
      <c r="E16590" s="38" t="s">
        <v>303</v>
      </c>
      <c r="F16590" s="38" t="s">
        <v>195</v>
      </c>
      <c r="G16590" s="49" t="str">
        <f t="shared" si="1"/>
        <v>57870</v>
      </c>
      <c r="H16590" s="49">
        <f t="shared" si="2"/>
        <v>57742</v>
      </c>
    </row>
    <row r="16591">
      <c r="A16591" s="48" t="s">
        <v>1254</v>
      </c>
      <c r="B16591" s="38">
        <v>72089.0</v>
      </c>
      <c r="C16591" s="38" t="s">
        <v>20985</v>
      </c>
      <c r="D16591" s="38" t="str">
        <f>IFERROR(__xludf.DUMMYFUNCTION("REGEXREPLACE(C16591,""-\d+(.*)|--\d+(.*)"","""")"),"CONLIE")</f>
        <v>CONLIE</v>
      </c>
      <c r="E16591" s="38" t="s">
        <v>521</v>
      </c>
      <c r="F16591" s="38" t="s">
        <v>180</v>
      </c>
      <c r="G16591" s="49" t="str">
        <f t="shared" si="1"/>
        <v>72240</v>
      </c>
      <c r="H16591" s="49">
        <f t="shared" si="2"/>
        <v>72089</v>
      </c>
    </row>
    <row r="16592">
      <c r="A16592" s="48" t="s">
        <v>7988</v>
      </c>
      <c r="B16592" s="38">
        <v>24081.0</v>
      </c>
      <c r="C16592" s="38" t="s">
        <v>20986</v>
      </c>
      <c r="D16592" s="38" t="str">
        <f>IFERROR(__xludf.DUMMYFUNCTION("REGEXREPLACE(C16592,""-\d+(.*)|--\d+(.*)"","""")"),"CARLUX")</f>
        <v>CARLUX</v>
      </c>
      <c r="E16592" s="38" t="s">
        <v>261</v>
      </c>
      <c r="F16592" s="38" t="s">
        <v>252</v>
      </c>
      <c r="G16592" s="49" t="str">
        <f t="shared" si="1"/>
        <v>24370</v>
      </c>
      <c r="H16592" s="49">
        <f t="shared" si="2"/>
        <v>24081</v>
      </c>
    </row>
    <row r="16593">
      <c r="A16593" s="48" t="s">
        <v>4561</v>
      </c>
      <c r="B16593" s="38">
        <v>79204.0</v>
      </c>
      <c r="C16593" s="38" t="s">
        <v>20987</v>
      </c>
      <c r="D16593" s="38" t="str">
        <f>IFERROR(__xludf.DUMMYFUNCTION("REGEXREPLACE(C16593,""-\d+(.*)|--\d+(.*)"","""")"),"PERIGNE")</f>
        <v>PERIGNE</v>
      </c>
      <c r="E16593" s="38" t="s">
        <v>337</v>
      </c>
      <c r="F16593" s="38" t="s">
        <v>338</v>
      </c>
      <c r="G16593" s="49" t="str">
        <f t="shared" si="1"/>
        <v>79170</v>
      </c>
      <c r="H16593" s="49">
        <f t="shared" si="2"/>
        <v>79204</v>
      </c>
    </row>
    <row r="16594">
      <c r="A16594" s="48" t="s">
        <v>744</v>
      </c>
      <c r="B16594" s="38">
        <v>14544.0</v>
      </c>
      <c r="C16594" s="38" t="s">
        <v>20988</v>
      </c>
      <c r="D16594" s="38" t="str">
        <f>IFERROR(__xludf.DUMMYFUNCTION("REGEXREPLACE(C16594,""-\d+(.*)|--\d+(.*)"","""")"),"ROUCAMPS")</f>
        <v>ROUCAMPS</v>
      </c>
      <c r="E16594" s="38" t="s">
        <v>137</v>
      </c>
      <c r="F16594" s="38" t="s">
        <v>138</v>
      </c>
      <c r="G16594" s="49" t="str">
        <f t="shared" si="1"/>
        <v>14260</v>
      </c>
      <c r="H16594" s="49">
        <f t="shared" si="2"/>
        <v>14544</v>
      </c>
    </row>
    <row r="16595">
      <c r="A16595" s="48" t="s">
        <v>1787</v>
      </c>
      <c r="B16595" s="38">
        <v>62704.0</v>
      </c>
      <c r="C16595" s="38" t="s">
        <v>20989</v>
      </c>
      <c r="D16595" s="38" t="str">
        <f>IFERROR(__xludf.DUMMYFUNCTION("REGEXREPLACE(C16595,""-\d+(.*)|--\d+(.*)"","""")"),"RENTY")</f>
        <v>RENTY</v>
      </c>
      <c r="E16595" s="38" t="s">
        <v>109</v>
      </c>
      <c r="F16595" s="38" t="s">
        <v>86</v>
      </c>
      <c r="G16595" s="49" t="str">
        <f t="shared" si="1"/>
        <v>62560</v>
      </c>
      <c r="H16595" s="49">
        <f t="shared" si="2"/>
        <v>62704</v>
      </c>
    </row>
    <row r="16596">
      <c r="A16596" s="48" t="s">
        <v>1679</v>
      </c>
      <c r="B16596" s="38">
        <v>51377.0</v>
      </c>
      <c r="C16596" s="38" t="s">
        <v>20990</v>
      </c>
      <c r="D16596" s="38" t="str">
        <f>IFERROR(__xludf.DUMMYFUNCTION("REGEXREPLACE(C16596,""-\d+(.*)|--\d+(.*)"","""")"),"MONTEPREUX")</f>
        <v>MONTEPREUX</v>
      </c>
      <c r="E16596" s="38" t="s">
        <v>129</v>
      </c>
      <c r="F16596" s="38" t="s">
        <v>130</v>
      </c>
      <c r="G16596" s="49" t="str">
        <f t="shared" si="1"/>
        <v>51320</v>
      </c>
      <c r="H16596" s="49">
        <f t="shared" si="2"/>
        <v>51377</v>
      </c>
    </row>
    <row r="16597">
      <c r="A16597" s="48" t="s">
        <v>4882</v>
      </c>
      <c r="B16597" s="38">
        <v>89224.0</v>
      </c>
      <c r="C16597" s="38" t="s">
        <v>20991</v>
      </c>
      <c r="D16597" s="38" t="str">
        <f>IFERROR(__xludf.DUMMYFUNCTION("REGEXREPLACE(C16597,""-\d+(.*)|--\d+(.*)"","""")"),"LICHERES-PRES-AIGREMONT")</f>
        <v>LICHERES-PRES-AIGREMONT</v>
      </c>
      <c r="E16597" s="38" t="s">
        <v>275</v>
      </c>
      <c r="F16597" s="38" t="s">
        <v>106</v>
      </c>
      <c r="G16597" s="49" t="str">
        <f t="shared" si="1"/>
        <v>89800</v>
      </c>
      <c r="H16597" s="49">
        <f t="shared" si="2"/>
        <v>89224</v>
      </c>
    </row>
    <row r="16598">
      <c r="A16598" s="48" t="s">
        <v>15329</v>
      </c>
      <c r="B16598" s="38">
        <v>54127.0</v>
      </c>
      <c r="C16598" s="38" t="s">
        <v>20992</v>
      </c>
      <c r="D16598" s="38" t="str">
        <f>IFERROR(__xludf.DUMMYFUNCTION("REGEXREPLACE(C16598,""-\d+(.*)|--\d+(.*)"","""")"),"CHENIERES")</f>
        <v>CHENIERES</v>
      </c>
      <c r="E16598" s="38" t="s">
        <v>548</v>
      </c>
      <c r="F16598" s="38" t="s">
        <v>195</v>
      </c>
      <c r="G16598" s="49" t="str">
        <f t="shared" si="1"/>
        <v>54720</v>
      </c>
      <c r="H16598" s="49">
        <f t="shared" si="2"/>
        <v>54127</v>
      </c>
    </row>
    <row r="16599">
      <c r="A16599" s="48" t="s">
        <v>715</v>
      </c>
      <c r="B16599" s="38">
        <v>88237.0</v>
      </c>
      <c r="C16599" s="38" t="s">
        <v>20993</v>
      </c>
      <c r="D16599" s="38" t="str">
        <f>IFERROR(__xludf.DUMMYFUNCTION("REGEXREPLACE(C16599,""-\d+(.*)|--\d+(.*)"","""")"),"HENNECOURT")</f>
        <v>HENNECOURT</v>
      </c>
      <c r="E16599" s="38" t="s">
        <v>194</v>
      </c>
      <c r="F16599" s="38" t="s">
        <v>195</v>
      </c>
      <c r="G16599" s="49" t="str">
        <f t="shared" si="1"/>
        <v>88270</v>
      </c>
      <c r="H16599" s="49">
        <f t="shared" si="2"/>
        <v>88237</v>
      </c>
    </row>
    <row r="16600">
      <c r="A16600" s="48" t="s">
        <v>7988</v>
      </c>
      <c r="B16600" s="38">
        <v>24336.0</v>
      </c>
      <c r="C16600" s="38" t="s">
        <v>20994</v>
      </c>
      <c r="D16600" s="38" t="str">
        <f>IFERROR(__xludf.DUMMYFUNCTION("REGEXREPLACE(C16600,""-\d+(.*)|--\d+(.*)"","""")"),"PRATS-DE-CARLUX")</f>
        <v>PRATS-DE-CARLUX</v>
      </c>
      <c r="E16600" s="38" t="s">
        <v>261</v>
      </c>
      <c r="F16600" s="38" t="s">
        <v>252</v>
      </c>
      <c r="G16600" s="49" t="str">
        <f t="shared" si="1"/>
        <v>24370</v>
      </c>
      <c r="H16600" s="49">
        <f t="shared" si="2"/>
        <v>24336</v>
      </c>
    </row>
    <row r="16601">
      <c r="A16601" s="48" t="s">
        <v>1195</v>
      </c>
      <c r="B16601" s="38">
        <v>80672.0</v>
      </c>
      <c r="C16601" s="38" t="s">
        <v>20995</v>
      </c>
      <c r="D16601" s="38" t="str">
        <f>IFERROR(__xludf.DUMMYFUNCTION("REGEXREPLACE(C16601,""-\d+(.*)|--\d+(.*)"","""")"),"RIBEMONT-SUR-ANCRE")</f>
        <v>RIBEMONT-SUR-ANCRE</v>
      </c>
      <c r="E16601" s="38" t="s">
        <v>224</v>
      </c>
      <c r="F16601" s="38" t="s">
        <v>113</v>
      </c>
      <c r="G16601" s="49" t="str">
        <f t="shared" si="1"/>
        <v>80800</v>
      </c>
      <c r="H16601" s="49">
        <f t="shared" si="2"/>
        <v>80672</v>
      </c>
    </row>
    <row r="16602">
      <c r="A16602" s="48" t="s">
        <v>19113</v>
      </c>
      <c r="B16602" s="38">
        <v>1368.0</v>
      </c>
      <c r="C16602" s="38" t="s">
        <v>20996</v>
      </c>
      <c r="D16602" s="38" t="str">
        <f>IFERROR(__xludf.DUMMYFUNCTION("REGEXREPLACE(C16602,""-\d+(.*)|--\d+(.*)"","""")"),"SAINT-JULIEN-SUR-VEYLE")</f>
        <v>SAINT-JULIEN-SUR-VEYLE</v>
      </c>
      <c r="E16602" s="38" t="s">
        <v>255</v>
      </c>
      <c r="F16602" s="38" t="s">
        <v>102</v>
      </c>
      <c r="G16602" s="49" t="str">
        <f t="shared" si="1"/>
        <v>01540</v>
      </c>
      <c r="H16602" s="49" t="str">
        <f t="shared" si="2"/>
        <v>01368</v>
      </c>
    </row>
    <row r="16603">
      <c r="A16603" s="48" t="s">
        <v>1439</v>
      </c>
      <c r="B16603" s="38">
        <v>28146.0</v>
      </c>
      <c r="C16603" s="38" t="s">
        <v>4831</v>
      </c>
      <c r="D16603" s="38" t="str">
        <f>IFERROR(__xludf.DUMMYFUNCTION("REGEXREPLACE(C16603,""-\d+(.*)|--\d+(.*)"","""")"),"FAVEROLLES")</f>
        <v>FAVEROLLES</v>
      </c>
      <c r="E16603" s="38" t="s">
        <v>300</v>
      </c>
      <c r="F16603" s="38" t="s">
        <v>123</v>
      </c>
      <c r="G16603" s="49" t="str">
        <f t="shared" si="1"/>
        <v>28210</v>
      </c>
      <c r="H16603" s="49">
        <f t="shared" si="2"/>
        <v>28146</v>
      </c>
    </row>
    <row r="16604">
      <c r="A16604" s="48" t="s">
        <v>8779</v>
      </c>
      <c r="B16604" s="38">
        <v>45341.0</v>
      </c>
      <c r="C16604" s="38" t="s">
        <v>20997</v>
      </c>
      <c r="D16604" s="38" t="str">
        <f>IFERROR(__xludf.DUMMYFUNCTION("REGEXREPLACE(C16604,""-\d+(.*)|--\d+(.*)"","""")"),"VILLENEUVE-SUR-CONIE")</f>
        <v>VILLENEUVE-SUR-CONIE</v>
      </c>
      <c r="E16604" s="38" t="s">
        <v>122</v>
      </c>
      <c r="F16604" s="38" t="s">
        <v>123</v>
      </c>
      <c r="G16604" s="49" t="str">
        <f t="shared" si="1"/>
        <v>45310</v>
      </c>
      <c r="H16604" s="49">
        <f t="shared" si="2"/>
        <v>45341</v>
      </c>
    </row>
    <row r="16605">
      <c r="A16605" s="48" t="s">
        <v>315</v>
      </c>
      <c r="B16605" s="38">
        <v>27322.0</v>
      </c>
      <c r="C16605" s="38" t="s">
        <v>20998</v>
      </c>
      <c r="D16605" s="38" t="str">
        <f>IFERROR(__xludf.DUMMYFUNCTION("REGEXREPLACE(C16605,""-\d+(.*)|--\d+(.*)"","""")"),"LA HAYE-MALHERBE")</f>
        <v>LA HAYE-MALHERBE</v>
      </c>
      <c r="E16605" s="38" t="s">
        <v>241</v>
      </c>
      <c r="F16605" s="38" t="s">
        <v>134</v>
      </c>
      <c r="G16605" s="49" t="str">
        <f t="shared" si="1"/>
        <v>27400</v>
      </c>
      <c r="H16605" s="49">
        <f t="shared" si="2"/>
        <v>27322</v>
      </c>
    </row>
    <row r="16606">
      <c r="A16606" s="48" t="s">
        <v>1370</v>
      </c>
      <c r="B16606" s="38">
        <v>10351.0</v>
      </c>
      <c r="C16606" s="38" t="s">
        <v>20999</v>
      </c>
      <c r="D16606" s="38" t="str">
        <f>IFERROR(__xludf.DUMMYFUNCTION("REGEXREPLACE(C16606,""-\d+(.*)|--\d+(.*)"","""")"),"SAINT-MARTIN-DE-BOSSENAY")</f>
        <v>SAINT-MARTIN-DE-BOSSENAY</v>
      </c>
      <c r="E16606" s="38" t="s">
        <v>147</v>
      </c>
      <c r="F16606" s="38" t="s">
        <v>130</v>
      </c>
      <c r="G16606" s="49" t="str">
        <f t="shared" si="1"/>
        <v>10100</v>
      </c>
      <c r="H16606" s="49">
        <f t="shared" si="2"/>
        <v>10351</v>
      </c>
    </row>
    <row r="16607">
      <c r="A16607" s="48" t="s">
        <v>507</v>
      </c>
      <c r="B16607" s="38">
        <v>8006.0</v>
      </c>
      <c r="C16607" s="38" t="s">
        <v>21000</v>
      </c>
      <c r="D16607" s="38" t="str">
        <f>IFERROR(__xludf.DUMMYFUNCTION("REGEXREPLACE(C16607,""-\d+(.*)|--\d+(.*)"","""")"),"ALLAND'HUY-ET-SAUSSEUIL")</f>
        <v>ALLAND'HUY-ET-SAUSSEUIL</v>
      </c>
      <c r="E16607" s="38" t="s">
        <v>327</v>
      </c>
      <c r="F16607" s="38" t="s">
        <v>130</v>
      </c>
      <c r="G16607" s="49" t="str">
        <f t="shared" si="1"/>
        <v>08130</v>
      </c>
      <c r="H16607" s="49" t="str">
        <f t="shared" si="2"/>
        <v>08006</v>
      </c>
    </row>
    <row r="16608">
      <c r="A16608" s="48" t="s">
        <v>4243</v>
      </c>
      <c r="B16608" s="38">
        <v>22295.0</v>
      </c>
      <c r="C16608" s="38" t="s">
        <v>21001</v>
      </c>
      <c r="D16608" s="38" t="str">
        <f>IFERROR(__xludf.DUMMYFUNCTION("REGEXREPLACE(C16608,""-\d+(.*)|--\d+(.*)"","""")"),"SAINT-GILLES-VIEUX-MARCHE")</f>
        <v>SAINT-GILLES-VIEUX-MARCHE</v>
      </c>
      <c r="E16608" s="38" t="s">
        <v>89</v>
      </c>
      <c r="F16608" s="38" t="s">
        <v>90</v>
      </c>
      <c r="G16608" s="49" t="str">
        <f t="shared" si="1"/>
        <v>22530</v>
      </c>
      <c r="H16608" s="49">
        <f t="shared" si="2"/>
        <v>22295</v>
      </c>
    </row>
    <row r="16609">
      <c r="A16609" s="48" t="s">
        <v>783</v>
      </c>
      <c r="B16609" s="38">
        <v>12071.0</v>
      </c>
      <c r="C16609" s="38" t="s">
        <v>21002</v>
      </c>
      <c r="D16609" s="38" t="str">
        <f>IFERROR(__xludf.DUMMYFUNCTION("REGEXREPLACE(C16609,""-\d+(.*)|--\d+(.*)"","""")"),"COMPOLIBAT")</f>
        <v>COMPOLIBAT</v>
      </c>
      <c r="E16609" s="38" t="s">
        <v>465</v>
      </c>
      <c r="F16609" s="38" t="s">
        <v>94</v>
      </c>
      <c r="G16609" s="49" t="str">
        <f t="shared" si="1"/>
        <v>12350</v>
      </c>
      <c r="H16609" s="49">
        <f t="shared" si="2"/>
        <v>12071</v>
      </c>
    </row>
    <row r="16610">
      <c r="A16610" s="48" t="s">
        <v>7756</v>
      </c>
      <c r="B16610" s="38">
        <v>27664.0</v>
      </c>
      <c r="C16610" s="38" t="s">
        <v>21003</v>
      </c>
      <c r="D16610" s="38" t="str">
        <f>IFERROR(__xludf.DUMMYFUNCTION("REGEXREPLACE(C16610,""-\d+(.*)|--\d+(.*)"","""")"),"LE TRONQUAY")</f>
        <v>LE TRONQUAY</v>
      </c>
      <c r="E16610" s="38" t="s">
        <v>241</v>
      </c>
      <c r="F16610" s="38" t="s">
        <v>134</v>
      </c>
      <c r="G16610" s="49" t="str">
        <f t="shared" si="1"/>
        <v>27480</v>
      </c>
      <c r="H16610" s="49">
        <f t="shared" si="2"/>
        <v>27664</v>
      </c>
    </row>
    <row r="16611">
      <c r="A16611" s="48" t="s">
        <v>2740</v>
      </c>
      <c r="B16611" s="38">
        <v>46230.0</v>
      </c>
      <c r="C16611" s="38" t="s">
        <v>21004</v>
      </c>
      <c r="D16611" s="38" t="str">
        <f>IFERROR(__xludf.DUMMYFUNCTION("REGEXREPLACE(C16611,""-\d+(.*)|--\d+(.*)"","""")"),"PUYJOURDES")</f>
        <v>PUYJOURDES</v>
      </c>
      <c r="E16611" s="38" t="s">
        <v>185</v>
      </c>
      <c r="F16611" s="38" t="s">
        <v>94</v>
      </c>
      <c r="G16611" s="49" t="str">
        <f t="shared" si="1"/>
        <v>46260</v>
      </c>
      <c r="H16611" s="49">
        <f t="shared" si="2"/>
        <v>46230</v>
      </c>
    </row>
    <row r="16612">
      <c r="A16612" s="48" t="s">
        <v>8019</v>
      </c>
      <c r="B16612" s="38">
        <v>53037.0</v>
      </c>
      <c r="C16612" s="38" t="s">
        <v>21005</v>
      </c>
      <c r="D16612" s="38" t="str">
        <f>IFERROR(__xludf.DUMMYFUNCTION("REGEXREPLACE(C16612,""-\d+(.*)|--\d+(.*)"","""")"),"BOUESSAY")</f>
        <v>BOUESSAY</v>
      </c>
      <c r="E16612" s="38" t="s">
        <v>518</v>
      </c>
      <c r="F16612" s="38" t="s">
        <v>180</v>
      </c>
      <c r="G16612" s="49" t="str">
        <f t="shared" si="1"/>
        <v>53290</v>
      </c>
      <c r="H16612" s="49">
        <f t="shared" si="2"/>
        <v>53037</v>
      </c>
    </row>
    <row r="16613">
      <c r="A16613" s="48" t="s">
        <v>6372</v>
      </c>
      <c r="B16613" s="38">
        <v>79059.0</v>
      </c>
      <c r="C16613" s="38" t="s">
        <v>21006</v>
      </c>
      <c r="D16613" s="38" t="str">
        <f>IFERROR(__xludf.DUMMYFUNCTION("REGEXREPLACE(C16613,""-\d+(.*)|--\d+(.*)"","""")"),"LE BUSSEAU")</f>
        <v>LE BUSSEAU</v>
      </c>
      <c r="E16613" s="38" t="s">
        <v>337</v>
      </c>
      <c r="F16613" s="38" t="s">
        <v>338</v>
      </c>
      <c r="G16613" s="49" t="str">
        <f t="shared" si="1"/>
        <v>79240</v>
      </c>
      <c r="H16613" s="49">
        <f t="shared" si="2"/>
        <v>79059</v>
      </c>
    </row>
    <row r="16614">
      <c r="A16614" s="48" t="s">
        <v>2016</v>
      </c>
      <c r="B16614" s="38">
        <v>50420.0</v>
      </c>
      <c r="C16614" s="38" t="s">
        <v>21007</v>
      </c>
      <c r="D16614" s="38" t="str">
        <f>IFERROR(__xludf.DUMMYFUNCTION("REGEXREPLACE(C16614,""-\d+(.*)|--\d+(.*)"","""")"),"QUIBOU")</f>
        <v>QUIBOU</v>
      </c>
      <c r="E16614" s="38" t="s">
        <v>157</v>
      </c>
      <c r="F16614" s="38" t="s">
        <v>138</v>
      </c>
      <c r="G16614" s="49" t="str">
        <f t="shared" si="1"/>
        <v>50750</v>
      </c>
      <c r="H16614" s="49">
        <f t="shared" si="2"/>
        <v>50420</v>
      </c>
    </row>
    <row r="16615">
      <c r="A16615" s="48" t="s">
        <v>2457</v>
      </c>
      <c r="B16615" s="38">
        <v>17137.0</v>
      </c>
      <c r="C16615" s="38" t="s">
        <v>21008</v>
      </c>
      <c r="D16615" s="38" t="str">
        <f>IFERROR(__xludf.DUMMYFUNCTION("REGEXREPLACE(C16615,""-\d+(.*)|--\d+(.*)"","""")"),"LA CROIX-COMTESSE")</f>
        <v>LA CROIX-COMTESSE</v>
      </c>
      <c r="E16615" s="38" t="s">
        <v>488</v>
      </c>
      <c r="F16615" s="38" t="s">
        <v>338</v>
      </c>
      <c r="G16615" s="49" t="str">
        <f t="shared" si="1"/>
        <v>17330</v>
      </c>
      <c r="H16615" s="49">
        <f t="shared" si="2"/>
        <v>17137</v>
      </c>
    </row>
    <row r="16616">
      <c r="A16616" s="48" t="s">
        <v>13148</v>
      </c>
      <c r="B16616" s="38">
        <v>42054.0</v>
      </c>
      <c r="C16616" s="38" t="s">
        <v>15586</v>
      </c>
      <c r="D16616" s="38" t="str">
        <f>IFERROR(__xludf.DUMMYFUNCTION("REGEXREPLACE(C16616,""-\d+(.*)|--\d+(.*)"","""")"),"CHATELNEUF")</f>
        <v>CHATELNEUF</v>
      </c>
      <c r="E16616" s="38" t="s">
        <v>166</v>
      </c>
      <c r="F16616" s="38" t="s">
        <v>102</v>
      </c>
      <c r="G16616" s="49" t="str">
        <f t="shared" si="1"/>
        <v>42940</v>
      </c>
      <c r="H16616" s="49">
        <f t="shared" si="2"/>
        <v>42054</v>
      </c>
    </row>
    <row r="16617">
      <c r="A16617" s="48" t="s">
        <v>286</v>
      </c>
      <c r="B16617" s="38">
        <v>68170.0</v>
      </c>
      <c r="C16617" s="38" t="s">
        <v>21009</v>
      </c>
      <c r="D16617" s="38" t="str">
        <f>IFERROR(__xludf.DUMMYFUNCTION("REGEXREPLACE(C16617,""-\d+(.*)|--\d+(.*)"","""")"),"KOETZINGUE")</f>
        <v>KOETZINGUE</v>
      </c>
      <c r="E16617" s="38" t="s">
        <v>150</v>
      </c>
      <c r="F16617" s="38" t="s">
        <v>151</v>
      </c>
      <c r="G16617" s="49" t="str">
        <f t="shared" si="1"/>
        <v>68510</v>
      </c>
      <c r="H16617" s="49">
        <f t="shared" si="2"/>
        <v>68170</v>
      </c>
    </row>
    <row r="16618">
      <c r="A16618" s="48" t="s">
        <v>10148</v>
      </c>
      <c r="B16618" s="38">
        <v>59627.0</v>
      </c>
      <c r="C16618" s="38" t="s">
        <v>21010</v>
      </c>
      <c r="D16618" s="38" t="str">
        <f>IFERROR(__xludf.DUMMYFUNCTION("REGEXREPLACE(C16618,""-\d+(.*)|--\d+(.*)"","""")"),"VILLERS-SIRE-NICOLE")</f>
        <v>VILLERS-SIRE-NICOLE</v>
      </c>
      <c r="E16618" s="38" t="s">
        <v>85</v>
      </c>
      <c r="F16618" s="38" t="s">
        <v>86</v>
      </c>
      <c r="G16618" s="49" t="str">
        <f t="shared" si="1"/>
        <v>59600</v>
      </c>
      <c r="H16618" s="49">
        <f t="shared" si="2"/>
        <v>59627</v>
      </c>
    </row>
    <row r="16619">
      <c r="A16619" s="48" t="s">
        <v>4316</v>
      </c>
      <c r="B16619" s="38">
        <v>49023.0</v>
      </c>
      <c r="C16619" s="38" t="s">
        <v>21011</v>
      </c>
      <c r="D16619" s="38" t="str">
        <f>IFERROR(__xludf.DUMMYFUNCTION("REGEXREPLACE(C16619,""-\d+(.*)|--\d+(.*)"","""")"),"BEAUPREAU")</f>
        <v>BEAUPREAU</v>
      </c>
      <c r="E16619" s="38" t="s">
        <v>653</v>
      </c>
      <c r="F16619" s="38" t="s">
        <v>180</v>
      </c>
      <c r="G16619" s="49" t="str">
        <f t="shared" si="1"/>
        <v>49600</v>
      </c>
      <c r="H16619" s="49">
        <f t="shared" si="2"/>
        <v>49023</v>
      </c>
    </row>
    <row r="16620">
      <c r="A16620" s="48" t="s">
        <v>14734</v>
      </c>
      <c r="B16620" s="38">
        <v>4186.0</v>
      </c>
      <c r="C16620" s="38" t="s">
        <v>21012</v>
      </c>
      <c r="D16620" s="38" t="str">
        <f>IFERROR(__xludf.DUMMYFUNCTION("REGEXREPLACE(C16620,""-\d+(.*)|--\d+(.*)"","""")"),"SAINT-LAURENT-DU-VERDON")</f>
        <v>SAINT-LAURENT-DU-VERDON</v>
      </c>
      <c r="E16620" s="38" t="s">
        <v>662</v>
      </c>
      <c r="F16620" s="38" t="s">
        <v>228</v>
      </c>
      <c r="G16620" s="49" t="str">
        <f t="shared" si="1"/>
        <v>04500</v>
      </c>
      <c r="H16620" s="49" t="str">
        <f t="shared" si="2"/>
        <v>04186</v>
      </c>
    </row>
    <row r="16621">
      <c r="A16621" s="48" t="s">
        <v>902</v>
      </c>
      <c r="B16621" s="38">
        <v>21515.0</v>
      </c>
      <c r="C16621" s="38" t="s">
        <v>21013</v>
      </c>
      <c r="D16621" s="38" t="str">
        <f>IFERROR(__xludf.DUMMYFUNCTION("REGEXREPLACE(C16621,""-\d+(.*)|--\d+(.*)"","""")"),"QUETIGNY")</f>
        <v>QUETIGNY</v>
      </c>
      <c r="E16621" s="38" t="s">
        <v>105</v>
      </c>
      <c r="F16621" s="38" t="s">
        <v>106</v>
      </c>
      <c r="G16621" s="49" t="str">
        <f t="shared" si="1"/>
        <v>21800</v>
      </c>
      <c r="H16621" s="49">
        <f t="shared" si="2"/>
        <v>21515</v>
      </c>
    </row>
    <row r="16622">
      <c r="A16622" s="48" t="s">
        <v>1923</v>
      </c>
      <c r="B16622" s="38">
        <v>60342.0</v>
      </c>
      <c r="C16622" s="38" t="s">
        <v>21014</v>
      </c>
      <c r="D16622" s="38" t="str">
        <f>IFERROR(__xludf.DUMMYFUNCTION("REGEXREPLACE(C16622,""-\d+(.*)|--\d+(.*)"","""")"),"LAIGNEVILLE")</f>
        <v>LAIGNEVILLE</v>
      </c>
      <c r="E16622" s="38" t="s">
        <v>112</v>
      </c>
      <c r="F16622" s="38" t="s">
        <v>113</v>
      </c>
      <c r="G16622" s="49" t="str">
        <f t="shared" si="1"/>
        <v>60290</v>
      </c>
      <c r="H16622" s="49">
        <f t="shared" si="2"/>
        <v>60342</v>
      </c>
    </row>
    <row r="16623">
      <c r="A16623" s="48" t="s">
        <v>14540</v>
      </c>
      <c r="B16623" s="38">
        <v>34184.0</v>
      </c>
      <c r="C16623" s="38" t="s">
        <v>21015</v>
      </c>
      <c r="D16623" s="38" t="str">
        <f>IFERROR(__xludf.DUMMYFUNCTION("REGEXREPLACE(C16623,""-\d+(.*)|--\d+(.*)"","""")"),"NIZAS")</f>
        <v>NIZAS</v>
      </c>
      <c r="E16623" s="38" t="s">
        <v>118</v>
      </c>
      <c r="F16623" s="38" t="s">
        <v>119</v>
      </c>
      <c r="G16623" s="49" t="str">
        <f t="shared" si="1"/>
        <v>34320</v>
      </c>
      <c r="H16623" s="49">
        <f t="shared" si="2"/>
        <v>34184</v>
      </c>
    </row>
    <row r="16624">
      <c r="A16624" s="48" t="s">
        <v>1752</v>
      </c>
      <c r="B16624" s="38">
        <v>49330.0</v>
      </c>
      <c r="C16624" s="38" t="s">
        <v>21016</v>
      </c>
      <c r="D16624" s="38" t="str">
        <f>IFERROR(__xludf.DUMMYFUNCTION("REGEXREPLACE(C16624,""-\d+(.*)|--\d+(.*)"","""")"),"SCEAUX-D'ANJOU")</f>
        <v>SCEAUX-D'ANJOU</v>
      </c>
      <c r="E16624" s="38" t="s">
        <v>653</v>
      </c>
      <c r="F16624" s="38" t="s">
        <v>180</v>
      </c>
      <c r="G16624" s="49" t="str">
        <f t="shared" si="1"/>
        <v>49330</v>
      </c>
      <c r="H16624" s="49">
        <f t="shared" si="2"/>
        <v>49330</v>
      </c>
    </row>
    <row r="16625">
      <c r="A16625" s="48" t="s">
        <v>4420</v>
      </c>
      <c r="B16625" s="38">
        <v>31074.0</v>
      </c>
      <c r="C16625" s="38" t="s">
        <v>21017</v>
      </c>
      <c r="D16625" s="38" t="str">
        <f>IFERROR(__xludf.DUMMYFUNCTION("REGEXREPLACE(C16625,""-\d+(.*)|--\d+(.*)"","""")"),"BONREPOS-RIQUET")</f>
        <v>BONREPOS-RIQUET</v>
      </c>
      <c r="E16625" s="38" t="s">
        <v>93</v>
      </c>
      <c r="F16625" s="38" t="s">
        <v>94</v>
      </c>
      <c r="G16625" s="49" t="str">
        <f t="shared" si="1"/>
        <v>31590</v>
      </c>
      <c r="H16625" s="49">
        <f t="shared" si="2"/>
        <v>31074</v>
      </c>
    </row>
    <row r="16626">
      <c r="A16626" s="48" t="s">
        <v>2318</v>
      </c>
      <c r="B16626" s="38">
        <v>43040.0</v>
      </c>
      <c r="C16626" s="38" t="s">
        <v>21018</v>
      </c>
      <c r="D16626" s="38" t="str">
        <f>IFERROR(__xludf.DUMMYFUNCTION("REGEXREPLACE(C16626,""-\d+(.*)|--\d+(.*)"","""")"),"BRIOUDE")</f>
        <v>BRIOUDE</v>
      </c>
      <c r="E16626" s="38" t="s">
        <v>332</v>
      </c>
      <c r="F16626" s="38" t="s">
        <v>161</v>
      </c>
      <c r="G16626" s="49" t="str">
        <f t="shared" si="1"/>
        <v>43100</v>
      </c>
      <c r="H16626" s="49">
        <f t="shared" si="2"/>
        <v>43040</v>
      </c>
    </row>
    <row r="16627">
      <c r="A16627" s="48" t="s">
        <v>1159</v>
      </c>
      <c r="B16627" s="38">
        <v>60473.0</v>
      </c>
      <c r="C16627" s="38" t="s">
        <v>1941</v>
      </c>
      <c r="D16627" s="38" t="str">
        <f>IFERROR(__xludf.DUMMYFUNCTION("REGEXREPLACE(C16627,""-\d+(.*)|--\d+(.*)"","""")"),"OGNES")</f>
        <v>OGNES</v>
      </c>
      <c r="E16627" s="38" t="s">
        <v>112</v>
      </c>
      <c r="F16627" s="38" t="s">
        <v>113</v>
      </c>
      <c r="G16627" s="49" t="str">
        <f t="shared" si="1"/>
        <v>60440</v>
      </c>
      <c r="H16627" s="49">
        <f t="shared" si="2"/>
        <v>60473</v>
      </c>
    </row>
    <row r="16628">
      <c r="A16628" s="48" t="s">
        <v>20186</v>
      </c>
      <c r="B16628" s="38">
        <v>23234.0</v>
      </c>
      <c r="C16628" s="38" t="s">
        <v>7800</v>
      </c>
      <c r="D16628" s="38" t="str">
        <f>IFERROR(__xludf.DUMMYFUNCTION("REGEXREPLACE(C16628,""-\d+(.*)|--\d+(.*)"","""")"),"SAINT-PRIEST")</f>
        <v>SAINT-PRIEST</v>
      </c>
      <c r="E16628" s="38" t="s">
        <v>97</v>
      </c>
      <c r="F16628" s="38" t="s">
        <v>98</v>
      </c>
      <c r="G16628" s="49" t="str">
        <f t="shared" si="1"/>
        <v>23110</v>
      </c>
      <c r="H16628" s="49">
        <f t="shared" si="2"/>
        <v>23234</v>
      </c>
    </row>
    <row r="16629">
      <c r="A16629" s="48" t="s">
        <v>13344</v>
      </c>
      <c r="B16629" s="38">
        <v>37021.0</v>
      </c>
      <c r="C16629" s="38" t="s">
        <v>21019</v>
      </c>
      <c r="D16629" s="38" t="str">
        <f>IFERROR(__xludf.DUMMYFUNCTION("REGEXREPLACE(C16629,""-\d+(.*)|--\d+(.*)"","""")"),"BEAUMONT-LA-RONCE")</f>
        <v>BEAUMONT-LA-RONCE</v>
      </c>
      <c r="E16629" s="38" t="s">
        <v>205</v>
      </c>
      <c r="F16629" s="38" t="s">
        <v>123</v>
      </c>
      <c r="G16629" s="49" t="str">
        <f t="shared" si="1"/>
        <v>37360</v>
      </c>
      <c r="H16629" s="49">
        <f t="shared" si="2"/>
        <v>37021</v>
      </c>
    </row>
    <row r="16630">
      <c r="A16630" s="48" t="s">
        <v>10868</v>
      </c>
      <c r="B16630" s="38">
        <v>84049.0</v>
      </c>
      <c r="C16630" s="38" t="s">
        <v>21020</v>
      </c>
      <c r="D16630" s="38" t="str">
        <f>IFERROR(__xludf.DUMMYFUNCTION("REGEXREPLACE(C16630,""-\d+(.*)|--\d+(.*)"","""")"),"GIGONDAS")</f>
        <v>GIGONDAS</v>
      </c>
      <c r="E16630" s="38" t="s">
        <v>1026</v>
      </c>
      <c r="F16630" s="38" t="s">
        <v>228</v>
      </c>
      <c r="G16630" s="49" t="str">
        <f t="shared" si="1"/>
        <v>84190</v>
      </c>
      <c r="H16630" s="49">
        <f t="shared" si="2"/>
        <v>84049</v>
      </c>
    </row>
    <row r="16631">
      <c r="A16631" s="48" t="s">
        <v>21021</v>
      </c>
      <c r="B16631" s="38">
        <v>67389.0</v>
      </c>
      <c r="C16631" s="38" t="s">
        <v>21022</v>
      </c>
      <c r="D16631" s="38" t="str">
        <f>IFERROR(__xludf.DUMMYFUNCTION("REGEXREPLACE(C16631,""-\d+(.*)|--\d+(.*)"","""")"),"REICHSTETT")</f>
        <v>REICHSTETT</v>
      </c>
      <c r="E16631" s="38" t="s">
        <v>210</v>
      </c>
      <c r="F16631" s="38" t="s">
        <v>151</v>
      </c>
      <c r="G16631" s="49" t="str">
        <f t="shared" si="1"/>
        <v>67116</v>
      </c>
      <c r="H16631" s="49">
        <f t="shared" si="2"/>
        <v>67389</v>
      </c>
    </row>
    <row r="16632">
      <c r="A16632" s="48" t="s">
        <v>1332</v>
      </c>
      <c r="B16632" s="38">
        <v>51191.0</v>
      </c>
      <c r="C16632" s="38" t="s">
        <v>21023</v>
      </c>
      <c r="D16632" s="38" t="str">
        <f>IFERROR(__xludf.DUMMYFUNCTION("REGEXREPLACE(C16632,""-\d+(.*)|--\d+(.*)"","""")"),"COURTEMONT")</f>
        <v>COURTEMONT</v>
      </c>
      <c r="E16632" s="38" t="s">
        <v>129</v>
      </c>
      <c r="F16632" s="38" t="s">
        <v>130</v>
      </c>
      <c r="G16632" s="49" t="str">
        <f t="shared" si="1"/>
        <v>51800</v>
      </c>
      <c r="H16632" s="49">
        <f t="shared" si="2"/>
        <v>51191</v>
      </c>
    </row>
    <row r="16633">
      <c r="A16633" s="48" t="s">
        <v>584</v>
      </c>
      <c r="B16633" s="38">
        <v>62776.0</v>
      </c>
      <c r="C16633" s="38" t="s">
        <v>21024</v>
      </c>
      <c r="D16633" s="38" t="str">
        <f>IFERROR(__xludf.DUMMYFUNCTION("REGEXREPLACE(C16633,""-\d+(.*)|--\d+(.*)"","""")"),"SAPIGNIES")</f>
        <v>SAPIGNIES</v>
      </c>
      <c r="E16633" s="38" t="s">
        <v>109</v>
      </c>
      <c r="F16633" s="38" t="s">
        <v>86</v>
      </c>
      <c r="G16633" s="49" t="str">
        <f t="shared" si="1"/>
        <v>62121</v>
      </c>
      <c r="H16633" s="49">
        <f t="shared" si="2"/>
        <v>62776</v>
      </c>
    </row>
    <row r="16634">
      <c r="A16634" s="48" t="s">
        <v>6731</v>
      </c>
      <c r="B16634" s="38">
        <v>89101.0</v>
      </c>
      <c r="C16634" s="38" t="s">
        <v>21025</v>
      </c>
      <c r="D16634" s="38" t="str">
        <f>IFERROR(__xludf.DUMMYFUNCTION("REGEXREPLACE(C16634,""-\d+(.*)|--\d+(.*)"","""")"),"CHEU")</f>
        <v>CHEU</v>
      </c>
      <c r="E16634" s="38" t="s">
        <v>275</v>
      </c>
      <c r="F16634" s="38" t="s">
        <v>106</v>
      </c>
      <c r="G16634" s="49" t="str">
        <f t="shared" si="1"/>
        <v>89600</v>
      </c>
      <c r="H16634" s="49">
        <f t="shared" si="2"/>
        <v>89101</v>
      </c>
    </row>
    <row r="16635">
      <c r="A16635" s="48" t="s">
        <v>2382</v>
      </c>
      <c r="B16635" s="38">
        <v>54143.0</v>
      </c>
      <c r="C16635" s="38" t="s">
        <v>21026</v>
      </c>
      <c r="D16635" s="38" t="str">
        <f>IFERROR(__xludf.DUMMYFUNCTION("REGEXREPLACE(C16635,""-\d+(.*)|--\d+(.*)"","""")"),"CREPEY")</f>
        <v>CREPEY</v>
      </c>
      <c r="E16635" s="38" t="s">
        <v>548</v>
      </c>
      <c r="F16635" s="38" t="s">
        <v>195</v>
      </c>
      <c r="G16635" s="49" t="str">
        <f t="shared" si="1"/>
        <v>54170</v>
      </c>
      <c r="H16635" s="49">
        <f t="shared" si="2"/>
        <v>54143</v>
      </c>
    </row>
    <row r="16636">
      <c r="A16636" s="48" t="s">
        <v>946</v>
      </c>
      <c r="B16636" s="38">
        <v>81259.0</v>
      </c>
      <c r="C16636" s="38" t="s">
        <v>21027</v>
      </c>
      <c r="D16636" s="38" t="str">
        <f>IFERROR(__xludf.DUMMYFUNCTION("REGEXREPLACE(C16636,""-\d+(.*)|--\d+(.*)"","""")"),"SAINT-JULIEN-GAULENE")</f>
        <v>SAINT-JULIEN-GAULENE</v>
      </c>
      <c r="E16636" s="38" t="s">
        <v>231</v>
      </c>
      <c r="F16636" s="38" t="s">
        <v>94</v>
      </c>
      <c r="G16636" s="49" t="str">
        <f t="shared" si="1"/>
        <v>81340</v>
      </c>
      <c r="H16636" s="49">
        <f t="shared" si="2"/>
        <v>81259</v>
      </c>
    </row>
    <row r="16637">
      <c r="A16637" s="48" t="s">
        <v>13570</v>
      </c>
      <c r="B16637" s="38">
        <v>85035.0</v>
      </c>
      <c r="C16637" s="38" t="s">
        <v>21028</v>
      </c>
      <c r="D16637" s="38" t="str">
        <f>IFERROR(__xludf.DUMMYFUNCTION("REGEXREPLACE(C16637,""-\d+(.*)|--\d+(.*)"","""")"),"BRETIGNOLLES-SUR-MER")</f>
        <v>BRETIGNOLLES-SUR-MER</v>
      </c>
      <c r="E16637" s="38" t="s">
        <v>179</v>
      </c>
      <c r="F16637" s="38" t="s">
        <v>180</v>
      </c>
      <c r="G16637" s="49" t="str">
        <f t="shared" si="1"/>
        <v>85470</v>
      </c>
      <c r="H16637" s="49">
        <f t="shared" si="2"/>
        <v>85035</v>
      </c>
    </row>
    <row r="16638">
      <c r="A16638" s="48" t="s">
        <v>17614</v>
      </c>
      <c r="B16638" s="38">
        <v>30044.0</v>
      </c>
      <c r="C16638" s="38" t="s">
        <v>21029</v>
      </c>
      <c r="D16638" s="38" t="str">
        <f>IFERROR(__xludf.DUMMYFUNCTION("REGEXREPLACE(C16638,""-\d+(.*)|--\d+(.*)"","""")"),"BONNEVAUX")</f>
        <v>BONNEVAUX</v>
      </c>
      <c r="E16638" s="38" t="s">
        <v>526</v>
      </c>
      <c r="F16638" s="38" t="s">
        <v>119</v>
      </c>
      <c r="G16638" s="49" t="str">
        <f t="shared" si="1"/>
        <v>30450</v>
      </c>
      <c r="H16638" s="49">
        <f t="shared" si="2"/>
        <v>30044</v>
      </c>
    </row>
    <row r="16639">
      <c r="A16639" s="48" t="s">
        <v>21030</v>
      </c>
      <c r="B16639" s="38">
        <v>62826.0</v>
      </c>
      <c r="C16639" s="38" t="s">
        <v>21031</v>
      </c>
      <c r="D16639" s="38" t="str">
        <f>IFERROR(__xludf.DUMMYFUNCTION("REGEXREPLACE(C16639,""-\d+(.*)|--\d+(.*)"","""")"),"LE TOUQUET-PARIS-PLAGE")</f>
        <v>LE TOUQUET-PARIS-PLAGE</v>
      </c>
      <c r="E16639" s="38" t="s">
        <v>109</v>
      </c>
      <c r="F16639" s="38" t="s">
        <v>86</v>
      </c>
      <c r="G16639" s="49" t="str">
        <f t="shared" si="1"/>
        <v>62520</v>
      </c>
      <c r="H16639" s="49">
        <f t="shared" si="2"/>
        <v>62826</v>
      </c>
    </row>
    <row r="16640">
      <c r="A16640" s="48" t="s">
        <v>944</v>
      </c>
      <c r="B16640" s="38">
        <v>61234.0</v>
      </c>
      <c r="C16640" s="38" t="s">
        <v>21032</v>
      </c>
      <c r="D16640" s="38" t="str">
        <f>IFERROR(__xludf.DUMMYFUNCTION("REGEXREPLACE(C16640,""-\d+(.*)|--\d+(.*)"","""")"),"LONRAI")</f>
        <v>LONRAI</v>
      </c>
      <c r="E16640" s="38" t="s">
        <v>141</v>
      </c>
      <c r="F16640" s="38" t="s">
        <v>138</v>
      </c>
      <c r="G16640" s="49" t="str">
        <f t="shared" si="1"/>
        <v>61250</v>
      </c>
      <c r="H16640" s="49">
        <f t="shared" si="2"/>
        <v>61234</v>
      </c>
    </row>
    <row r="16641">
      <c r="A16641" s="48" t="s">
        <v>21033</v>
      </c>
      <c r="B16641" s="38">
        <v>59172.0</v>
      </c>
      <c r="C16641" s="38" t="s">
        <v>21034</v>
      </c>
      <c r="D16641" s="38" t="str">
        <f>IFERROR(__xludf.DUMMYFUNCTION("REGEXREPLACE(C16641,""-\d+(.*)|--\d+(.*)"","""")"),"DENAIN")</f>
        <v>DENAIN</v>
      </c>
      <c r="E16641" s="38" t="s">
        <v>85</v>
      </c>
      <c r="F16641" s="38" t="s">
        <v>86</v>
      </c>
      <c r="G16641" s="49" t="str">
        <f t="shared" si="1"/>
        <v>59220</v>
      </c>
      <c r="H16641" s="49">
        <f t="shared" si="2"/>
        <v>59172</v>
      </c>
    </row>
    <row r="16642">
      <c r="A16642" s="48" t="s">
        <v>4181</v>
      </c>
      <c r="B16642" s="38">
        <v>89448.0</v>
      </c>
      <c r="C16642" s="38" t="s">
        <v>2355</v>
      </c>
      <c r="D16642" s="38" t="str">
        <f>IFERROR(__xludf.DUMMYFUNCTION("REGEXREPLACE(C16642,""-\d+(.*)|--\d+(.*)"","""")"),"VIGNES")</f>
        <v>VIGNES</v>
      </c>
      <c r="E16642" s="38" t="s">
        <v>275</v>
      </c>
      <c r="F16642" s="38" t="s">
        <v>106</v>
      </c>
      <c r="G16642" s="49" t="str">
        <f t="shared" si="1"/>
        <v>89420</v>
      </c>
      <c r="H16642" s="49">
        <f t="shared" si="2"/>
        <v>89448</v>
      </c>
    </row>
    <row r="16643">
      <c r="A16643" s="48" t="s">
        <v>2120</v>
      </c>
      <c r="B16643" s="38">
        <v>50240.0</v>
      </c>
      <c r="C16643" s="38" t="s">
        <v>21035</v>
      </c>
      <c r="D16643" s="38" t="str">
        <f>IFERROR(__xludf.DUMMYFUNCTION("REGEXREPLACE(C16643,""-\d+(.*)|--\d+(.*)"","""")"),"HELLEVILLE")</f>
        <v>HELLEVILLE</v>
      </c>
      <c r="E16643" s="38" t="s">
        <v>157</v>
      </c>
      <c r="F16643" s="38" t="s">
        <v>138</v>
      </c>
      <c r="G16643" s="49" t="str">
        <f t="shared" si="1"/>
        <v>50340</v>
      </c>
      <c r="H16643" s="49">
        <f t="shared" si="2"/>
        <v>50240</v>
      </c>
    </row>
    <row r="16644">
      <c r="A16644" s="48" t="s">
        <v>2254</v>
      </c>
      <c r="B16644" s="38">
        <v>62172.0</v>
      </c>
      <c r="C16644" s="38" t="s">
        <v>21036</v>
      </c>
      <c r="D16644" s="38" t="str">
        <f>IFERROR(__xludf.DUMMYFUNCTION("REGEXREPLACE(C16644,""-\d+(.*)|--\d+(.*)"","""")"),"BOYELLES")</f>
        <v>BOYELLES</v>
      </c>
      <c r="E16644" s="38" t="s">
        <v>109</v>
      </c>
      <c r="F16644" s="38" t="s">
        <v>86</v>
      </c>
      <c r="G16644" s="49" t="str">
        <f t="shared" si="1"/>
        <v>62128</v>
      </c>
      <c r="H16644" s="49">
        <f t="shared" si="2"/>
        <v>62172</v>
      </c>
    </row>
    <row r="16645">
      <c r="A16645" s="48" t="s">
        <v>1473</v>
      </c>
      <c r="B16645" s="38">
        <v>50118.0</v>
      </c>
      <c r="C16645" s="38" t="s">
        <v>21037</v>
      </c>
      <c r="D16645" s="38" t="str">
        <f>IFERROR(__xludf.DUMMYFUNCTION("REGEXREPLACE(C16645,""-\d+(.*)|--\d+(.*)"","""")"),"CHAMPREPUS")</f>
        <v>CHAMPREPUS</v>
      </c>
      <c r="E16645" s="38" t="s">
        <v>157</v>
      </c>
      <c r="F16645" s="38" t="s">
        <v>138</v>
      </c>
      <c r="G16645" s="49" t="str">
        <f t="shared" si="1"/>
        <v>50800</v>
      </c>
      <c r="H16645" s="49">
        <f t="shared" si="2"/>
        <v>50118</v>
      </c>
    </row>
    <row r="16646">
      <c r="A16646" s="48" t="s">
        <v>4062</v>
      </c>
      <c r="B16646" s="38">
        <v>50481.0</v>
      </c>
      <c r="C16646" s="38" t="s">
        <v>21038</v>
      </c>
      <c r="D16646" s="38" t="str">
        <f>IFERROR(__xludf.DUMMYFUNCTION("REGEXREPLACE(C16646,""-\d+(.*)|--\d+(.*)"","""")"),"SAINT-GERMAIN-SUR-AY")</f>
        <v>SAINT-GERMAIN-SUR-AY</v>
      </c>
      <c r="E16646" s="38" t="s">
        <v>157</v>
      </c>
      <c r="F16646" s="38" t="s">
        <v>138</v>
      </c>
      <c r="G16646" s="49" t="str">
        <f t="shared" si="1"/>
        <v>50430</v>
      </c>
      <c r="H16646" s="49">
        <f t="shared" si="2"/>
        <v>50481</v>
      </c>
    </row>
    <row r="16647">
      <c r="A16647" s="48" t="s">
        <v>21039</v>
      </c>
      <c r="B16647" s="38">
        <v>33248.0</v>
      </c>
      <c r="C16647" s="38" t="s">
        <v>21040</v>
      </c>
      <c r="D16647" s="38" t="str">
        <f>IFERROR(__xludf.DUMMYFUNCTION("REGEXREPLACE(C16647,""-\d+(.*)|--\d+(.*)"","""")"),"LISTRAC-MEDOC")</f>
        <v>LISTRAC-MEDOC</v>
      </c>
      <c r="E16647" s="38" t="s">
        <v>462</v>
      </c>
      <c r="F16647" s="38" t="s">
        <v>252</v>
      </c>
      <c r="G16647" s="49" t="str">
        <f t="shared" si="1"/>
        <v>33480</v>
      </c>
      <c r="H16647" s="49">
        <f t="shared" si="2"/>
        <v>33248</v>
      </c>
    </row>
    <row r="16648">
      <c r="A16648" s="48" t="s">
        <v>18392</v>
      </c>
      <c r="B16648" s="38">
        <v>63155.0</v>
      </c>
      <c r="C16648" s="38" t="s">
        <v>21041</v>
      </c>
      <c r="D16648" s="38" t="str">
        <f>IFERROR(__xludf.DUMMYFUNCTION("REGEXREPLACE(C16648,""-\d+(.*)|--\d+(.*)"","""")"),"ESTANDEUIL")</f>
        <v>ESTANDEUIL</v>
      </c>
      <c r="E16648" s="38" t="s">
        <v>353</v>
      </c>
      <c r="F16648" s="38" t="s">
        <v>161</v>
      </c>
      <c r="G16648" s="49" t="str">
        <f t="shared" si="1"/>
        <v>63520</v>
      </c>
      <c r="H16648" s="49">
        <f t="shared" si="2"/>
        <v>63155</v>
      </c>
    </row>
    <row r="16649">
      <c r="A16649" s="48" t="s">
        <v>8889</v>
      </c>
      <c r="B16649" s="38">
        <v>32197.0</v>
      </c>
      <c r="C16649" s="38" t="s">
        <v>21042</v>
      </c>
      <c r="D16649" s="38" t="str">
        <f>IFERROR(__xludf.DUMMYFUNCTION("REGEXREPLACE(C16649,""-\d+(.*)|--\d+(.*)"","""")"),"LARROQUE-SUR-L'OSSE")</f>
        <v>LARROQUE-SUR-L'OSSE</v>
      </c>
      <c r="E16649" s="38" t="s">
        <v>440</v>
      </c>
      <c r="F16649" s="38" t="s">
        <v>94</v>
      </c>
      <c r="G16649" s="49" t="str">
        <f t="shared" si="1"/>
        <v>32100</v>
      </c>
      <c r="H16649" s="49">
        <f t="shared" si="2"/>
        <v>32197</v>
      </c>
    </row>
    <row r="16650">
      <c r="A16650" s="48" t="s">
        <v>19664</v>
      </c>
      <c r="B16650" s="38">
        <v>57317.0</v>
      </c>
      <c r="C16650" s="38" t="s">
        <v>21043</v>
      </c>
      <c r="D16650" s="38" t="str">
        <f>IFERROR(__xludf.DUMMYFUNCTION("REGEXREPLACE(C16650,""-\d+(.*)|--\d+(.*)"","""")"),"HERANGE")</f>
        <v>HERANGE</v>
      </c>
      <c r="E16650" s="38" t="s">
        <v>303</v>
      </c>
      <c r="F16650" s="38" t="s">
        <v>195</v>
      </c>
      <c r="G16650" s="49" t="str">
        <f t="shared" si="1"/>
        <v>57635</v>
      </c>
      <c r="H16650" s="49">
        <f t="shared" si="2"/>
        <v>57317</v>
      </c>
    </row>
    <row r="16651">
      <c r="A16651" s="48" t="s">
        <v>4086</v>
      </c>
      <c r="B16651" s="38">
        <v>79132.0</v>
      </c>
      <c r="C16651" s="38" t="s">
        <v>21044</v>
      </c>
      <c r="D16651" s="38" t="str">
        <f>IFERROR(__xludf.DUMMYFUNCTION("REGEXREPLACE(C16651,""-\d+(.*)|--\d+(.*)"","""")"),"GENNETON")</f>
        <v>GENNETON</v>
      </c>
      <c r="E16651" s="38" t="s">
        <v>337</v>
      </c>
      <c r="F16651" s="38" t="s">
        <v>338</v>
      </c>
      <c r="G16651" s="49" t="str">
        <f t="shared" si="1"/>
        <v>79150</v>
      </c>
      <c r="H16651" s="49">
        <f t="shared" si="2"/>
        <v>79132</v>
      </c>
    </row>
    <row r="16652">
      <c r="A16652" s="48" t="s">
        <v>354</v>
      </c>
      <c r="B16652" s="38">
        <v>68069.0</v>
      </c>
      <c r="C16652" s="38" t="s">
        <v>21045</v>
      </c>
      <c r="D16652" s="38" t="str">
        <f>IFERROR(__xludf.DUMMYFUNCTION("REGEXREPLACE(C16652,""-\d+(.*)|--\d+(.*)"","""")"),"DESSENHEIM")</f>
        <v>DESSENHEIM</v>
      </c>
      <c r="E16652" s="38" t="s">
        <v>150</v>
      </c>
      <c r="F16652" s="38" t="s">
        <v>151</v>
      </c>
      <c r="G16652" s="49" t="str">
        <f t="shared" si="1"/>
        <v>68600</v>
      </c>
      <c r="H16652" s="49">
        <f t="shared" si="2"/>
        <v>68069</v>
      </c>
    </row>
    <row r="16653">
      <c r="A16653" s="48" t="s">
        <v>7700</v>
      </c>
      <c r="B16653" s="38">
        <v>23181.0</v>
      </c>
      <c r="C16653" s="38" t="s">
        <v>21046</v>
      </c>
      <c r="D16653" s="38" t="str">
        <f>IFERROR(__xludf.DUMMYFUNCTION("REGEXREPLACE(C16653,""-\d+(.*)|--\d+(.*)"","""")"),"SAINT-AMAND-JARTOUDEIX")</f>
        <v>SAINT-AMAND-JARTOUDEIX</v>
      </c>
      <c r="E16653" s="38" t="s">
        <v>97</v>
      </c>
      <c r="F16653" s="38" t="s">
        <v>98</v>
      </c>
      <c r="G16653" s="49" t="str">
        <f t="shared" si="1"/>
        <v>23400</v>
      </c>
      <c r="H16653" s="49">
        <f t="shared" si="2"/>
        <v>23181</v>
      </c>
    </row>
    <row r="16654">
      <c r="A16654" s="48" t="s">
        <v>12824</v>
      </c>
      <c r="B16654" s="38">
        <v>78575.0</v>
      </c>
      <c r="C16654" s="38" t="s">
        <v>21047</v>
      </c>
      <c r="D16654" s="38" t="str">
        <f>IFERROR(__xludf.DUMMYFUNCTION("REGEXREPLACE(C16654,""-\d+(.*)|--\d+(.*)"","""")"),"SAINT-REMY-LES-CHEVREUSE")</f>
        <v>SAINT-REMY-LES-CHEVREUSE</v>
      </c>
      <c r="E16654" s="38" t="s">
        <v>362</v>
      </c>
      <c r="F16654" s="38" t="s">
        <v>245</v>
      </c>
      <c r="G16654" s="49" t="str">
        <f t="shared" si="1"/>
        <v>78470</v>
      </c>
      <c r="H16654" s="49">
        <f t="shared" si="2"/>
        <v>78575</v>
      </c>
    </row>
    <row r="16655">
      <c r="A16655" s="48" t="s">
        <v>6495</v>
      </c>
      <c r="B16655" s="38">
        <v>23022.0</v>
      </c>
      <c r="C16655" s="38" t="s">
        <v>21048</v>
      </c>
      <c r="D16655" s="38" t="str">
        <f>IFERROR(__xludf.DUMMYFUNCTION("REGEXREPLACE(C16655,""-\d+(.*)|--\d+(.*)"","""")"),"BETETE")</f>
        <v>BETETE</v>
      </c>
      <c r="E16655" s="38" t="s">
        <v>97</v>
      </c>
      <c r="F16655" s="38" t="s">
        <v>98</v>
      </c>
      <c r="G16655" s="49" t="str">
        <f t="shared" si="1"/>
        <v>23270</v>
      </c>
      <c r="H16655" s="49">
        <f t="shared" si="2"/>
        <v>23022</v>
      </c>
    </row>
    <row r="16656">
      <c r="A16656" s="48" t="s">
        <v>1544</v>
      </c>
      <c r="B16656" s="38">
        <v>2670.0</v>
      </c>
      <c r="C16656" s="38" t="s">
        <v>21049</v>
      </c>
      <c r="D16656" s="38" t="str">
        <f>IFERROR(__xludf.DUMMYFUNCTION("REGEXREPLACE(C16656,""-\d+(.*)|--\d+(.*)"","""")"),"SAINT-ALGIS")</f>
        <v>SAINT-ALGIS</v>
      </c>
      <c r="E16656" s="38" t="s">
        <v>191</v>
      </c>
      <c r="F16656" s="38" t="s">
        <v>113</v>
      </c>
      <c r="G16656" s="49" t="str">
        <f t="shared" si="1"/>
        <v>02260</v>
      </c>
      <c r="H16656" s="49" t="str">
        <f t="shared" si="2"/>
        <v>02670</v>
      </c>
    </row>
    <row r="16657">
      <c r="A16657" s="48" t="s">
        <v>8365</v>
      </c>
      <c r="B16657" s="38">
        <v>39546.0</v>
      </c>
      <c r="C16657" s="38" t="s">
        <v>21050</v>
      </c>
      <c r="D16657" s="38" t="str">
        <f>IFERROR(__xludf.DUMMYFUNCTION("REGEXREPLACE(C16657,""-\d+(.*)|--\d+(.*)"","""")"),"VAUDREY")</f>
        <v>VAUDREY</v>
      </c>
      <c r="E16657" s="38" t="s">
        <v>400</v>
      </c>
      <c r="F16657" s="38" t="s">
        <v>214</v>
      </c>
      <c r="G16657" s="49" t="str">
        <f t="shared" si="1"/>
        <v>39380</v>
      </c>
      <c r="H16657" s="49">
        <f t="shared" si="2"/>
        <v>39546</v>
      </c>
    </row>
    <row r="16658">
      <c r="A16658" s="48" t="s">
        <v>6800</v>
      </c>
      <c r="B16658" s="38">
        <v>77516.0</v>
      </c>
      <c r="C16658" s="38" t="s">
        <v>21051</v>
      </c>
      <c r="D16658" s="38" t="str">
        <f>IFERROR(__xludf.DUMMYFUNCTION("REGEXREPLACE(C16658,""-\d+(.*)|--\d+(.*)"","""")"),"VILLE-SAINT-JACQUES")</f>
        <v>VILLE-SAINT-JACQUES</v>
      </c>
      <c r="E16658" s="38" t="s">
        <v>244</v>
      </c>
      <c r="F16658" s="38" t="s">
        <v>245</v>
      </c>
      <c r="G16658" s="49" t="str">
        <f t="shared" si="1"/>
        <v>77130</v>
      </c>
      <c r="H16658" s="49">
        <f t="shared" si="2"/>
        <v>77516</v>
      </c>
    </row>
    <row r="16659">
      <c r="A16659" s="48" t="s">
        <v>811</v>
      </c>
      <c r="B16659" s="38">
        <v>83150.0</v>
      </c>
      <c r="C16659" s="38" t="s">
        <v>21052</v>
      </c>
      <c r="D16659" s="38" t="str">
        <f>IFERROR(__xludf.DUMMYFUNCTION("REGEXREPLACE(C16659,""-\d+(.*)|--\d+(.*)"","""")"),"VINON-SUR-VERDON")</f>
        <v>VINON-SUR-VERDON</v>
      </c>
      <c r="E16659" s="38" t="s">
        <v>813</v>
      </c>
      <c r="F16659" s="38" t="s">
        <v>228</v>
      </c>
      <c r="G16659" s="49" t="str">
        <f t="shared" si="1"/>
        <v>83560</v>
      </c>
      <c r="H16659" s="49">
        <f t="shared" si="2"/>
        <v>83150</v>
      </c>
    </row>
    <row r="16660">
      <c r="A16660" s="48" t="s">
        <v>1726</v>
      </c>
      <c r="B16660" s="38">
        <v>14675.0</v>
      </c>
      <c r="C16660" s="38" t="s">
        <v>21053</v>
      </c>
      <c r="D16660" s="38" t="str">
        <f>IFERROR(__xludf.DUMMYFUNCTION("REGEXREPLACE(C16660,""-\d+(.*)|--\d+(.*)"","""")"),"SOLIERS")</f>
        <v>SOLIERS</v>
      </c>
      <c r="E16660" s="38" t="s">
        <v>137</v>
      </c>
      <c r="F16660" s="38" t="s">
        <v>138</v>
      </c>
      <c r="G16660" s="49" t="str">
        <f t="shared" si="1"/>
        <v>14540</v>
      </c>
      <c r="H16660" s="49">
        <f t="shared" si="2"/>
        <v>14675</v>
      </c>
    </row>
    <row r="16661">
      <c r="A16661" s="48" t="s">
        <v>7477</v>
      </c>
      <c r="B16661" s="38">
        <v>4219.0</v>
      </c>
      <c r="C16661" s="38" t="s">
        <v>21054</v>
      </c>
      <c r="D16661" s="38" t="str">
        <f>IFERROR(__xludf.DUMMYFUNCTION("REGEXREPLACE(C16661,""-\d+(.*)|--\d+(.*)"","""")"),"THORAME-HAUTE")</f>
        <v>THORAME-HAUTE</v>
      </c>
      <c r="E16661" s="38" t="s">
        <v>662</v>
      </c>
      <c r="F16661" s="38" t="s">
        <v>228</v>
      </c>
      <c r="G16661" s="49" t="str">
        <f t="shared" si="1"/>
        <v>04170</v>
      </c>
      <c r="H16661" s="49" t="str">
        <f t="shared" si="2"/>
        <v>04219</v>
      </c>
    </row>
    <row r="16662">
      <c r="A16662" s="48" t="s">
        <v>1526</v>
      </c>
      <c r="B16662" s="38">
        <v>60407.0</v>
      </c>
      <c r="C16662" s="38" t="s">
        <v>21055</v>
      </c>
      <c r="D16662" s="38" t="str">
        <f>IFERROR(__xludf.DUMMYFUNCTION("REGEXREPLACE(C16662,""-\d+(.*)|--\d+(.*)"","""")"),"MONCEAUX-L'ABBAYE")</f>
        <v>MONCEAUX-L'ABBAYE</v>
      </c>
      <c r="E16662" s="38" t="s">
        <v>112</v>
      </c>
      <c r="F16662" s="38" t="s">
        <v>113</v>
      </c>
      <c r="G16662" s="49" t="str">
        <f t="shared" si="1"/>
        <v>60220</v>
      </c>
      <c r="H16662" s="49">
        <f t="shared" si="2"/>
        <v>60407</v>
      </c>
    </row>
    <row r="16663">
      <c r="A16663" s="48" t="s">
        <v>2736</v>
      </c>
      <c r="B16663" s="38">
        <v>89127.0</v>
      </c>
      <c r="C16663" s="38" t="s">
        <v>21056</v>
      </c>
      <c r="D16663" s="38" t="str">
        <f>IFERROR(__xludf.DUMMYFUNCTION("REGEXREPLACE(C16663,""-\d+(.*)|--\d+(.*)"","""")"),"COURTOIS-SUR-YONNE")</f>
        <v>COURTOIS-SUR-YONNE</v>
      </c>
      <c r="E16663" s="38" t="s">
        <v>275</v>
      </c>
      <c r="F16663" s="38" t="s">
        <v>106</v>
      </c>
      <c r="G16663" s="49" t="str">
        <f t="shared" si="1"/>
        <v>89100</v>
      </c>
      <c r="H16663" s="49">
        <f t="shared" si="2"/>
        <v>89127</v>
      </c>
    </row>
    <row r="16664">
      <c r="A16664" s="48" t="s">
        <v>11810</v>
      </c>
      <c r="B16664" s="38">
        <v>50187.0</v>
      </c>
      <c r="C16664" s="38" t="s">
        <v>21057</v>
      </c>
      <c r="D16664" s="38" t="str">
        <f>IFERROR(__xludf.DUMMYFUNCTION("REGEXREPLACE(C16664,""-\d+(.*)|--\d+(.*)"","""")"),"FLOTTEMANVILLE-HAGUE")</f>
        <v>FLOTTEMANVILLE-HAGUE</v>
      </c>
      <c r="E16664" s="38" t="s">
        <v>157</v>
      </c>
      <c r="F16664" s="38" t="s">
        <v>138</v>
      </c>
      <c r="G16664" s="49" t="str">
        <f t="shared" si="1"/>
        <v>50690</v>
      </c>
      <c r="H16664" s="49">
        <f t="shared" si="2"/>
        <v>50187</v>
      </c>
    </row>
    <row r="16665">
      <c r="A16665" s="48" t="s">
        <v>15250</v>
      </c>
      <c r="B16665" s="38">
        <v>86206.0</v>
      </c>
      <c r="C16665" s="38" t="s">
        <v>21058</v>
      </c>
      <c r="D16665" s="38" t="str">
        <f>IFERROR(__xludf.DUMMYFUNCTION("REGEXREPLACE(C16665,""-\d+(.*)|--\d+(.*)"","""")"),"RASLAY")</f>
        <v>RASLAY</v>
      </c>
      <c r="E16665" s="38" t="s">
        <v>529</v>
      </c>
      <c r="F16665" s="38" t="s">
        <v>338</v>
      </c>
      <c r="G16665" s="49" t="str">
        <f t="shared" si="1"/>
        <v>86120</v>
      </c>
      <c r="H16665" s="49">
        <f t="shared" si="2"/>
        <v>86206</v>
      </c>
    </row>
    <row r="16666">
      <c r="A16666" s="48" t="s">
        <v>21059</v>
      </c>
      <c r="B16666" s="38">
        <v>62443.0</v>
      </c>
      <c r="C16666" s="38" t="s">
        <v>21060</v>
      </c>
      <c r="D16666" s="38" t="str">
        <f>IFERROR(__xludf.DUMMYFUNCTION("REGEXREPLACE(C16666,""-\d+(.*)|--\d+(.*)"","""")"),"HERSIN-COUPIGNY")</f>
        <v>HERSIN-COUPIGNY</v>
      </c>
      <c r="E16666" s="38" t="s">
        <v>109</v>
      </c>
      <c r="F16666" s="38" t="s">
        <v>86</v>
      </c>
      <c r="G16666" s="49" t="str">
        <f t="shared" si="1"/>
        <v>62530</v>
      </c>
      <c r="H16666" s="49">
        <f t="shared" si="2"/>
        <v>62443</v>
      </c>
    </row>
    <row r="16667">
      <c r="A16667" s="48" t="s">
        <v>5273</v>
      </c>
      <c r="B16667" s="38">
        <v>53066.0</v>
      </c>
      <c r="C16667" s="38" t="s">
        <v>21061</v>
      </c>
      <c r="D16667" s="38" t="str">
        <f>IFERROR(__xludf.DUMMYFUNCTION("REGEXREPLACE(C16667,""-\d+(.*)|--\d+(.*)"","""")"),"CHEMAZE")</f>
        <v>CHEMAZE</v>
      </c>
      <c r="E16667" s="38" t="s">
        <v>518</v>
      </c>
      <c r="F16667" s="38" t="s">
        <v>180</v>
      </c>
      <c r="G16667" s="49" t="str">
        <f t="shared" si="1"/>
        <v>53200</v>
      </c>
      <c r="H16667" s="49">
        <f t="shared" si="2"/>
        <v>53066</v>
      </c>
    </row>
    <row r="16668">
      <c r="A16668" s="48" t="s">
        <v>2775</v>
      </c>
      <c r="B16668" s="38">
        <v>59412.0</v>
      </c>
      <c r="C16668" s="38" t="s">
        <v>21062</v>
      </c>
      <c r="D16668" s="38" t="str">
        <f>IFERROR(__xludf.DUMMYFUNCTION("REGEXREPLACE(C16668,""-\d+(.*)|--\d+(.*)"","""")"),"MONTAY")</f>
        <v>MONTAY</v>
      </c>
      <c r="E16668" s="38" t="s">
        <v>85</v>
      </c>
      <c r="F16668" s="38" t="s">
        <v>86</v>
      </c>
      <c r="G16668" s="49" t="str">
        <f t="shared" si="1"/>
        <v>59360</v>
      </c>
      <c r="H16668" s="49">
        <f t="shared" si="2"/>
        <v>59412</v>
      </c>
    </row>
    <row r="16669">
      <c r="A16669" s="48" t="s">
        <v>21063</v>
      </c>
      <c r="B16669" s="38">
        <v>84046.0</v>
      </c>
      <c r="C16669" s="38" t="s">
        <v>21064</v>
      </c>
      <c r="D16669" s="38" t="str">
        <f>IFERROR(__xludf.DUMMYFUNCTION("REGEXREPLACE(C16669,""-\d+(.*)|--\d+(.*)"","""")"),"FLASSAN")</f>
        <v>FLASSAN</v>
      </c>
      <c r="E16669" s="38" t="s">
        <v>1026</v>
      </c>
      <c r="F16669" s="38" t="s">
        <v>228</v>
      </c>
      <c r="G16669" s="49" t="str">
        <f t="shared" si="1"/>
        <v>84410</v>
      </c>
      <c r="H16669" s="49">
        <f t="shared" si="2"/>
        <v>84046</v>
      </c>
    </row>
    <row r="16670">
      <c r="A16670" s="48" t="s">
        <v>7161</v>
      </c>
      <c r="B16670" s="38">
        <v>17415.0</v>
      </c>
      <c r="C16670" s="38" t="s">
        <v>21065</v>
      </c>
      <c r="D16670" s="38" t="str">
        <f>IFERROR(__xludf.DUMMYFUNCTION("REGEXREPLACE(C16670,""-\d+(.*)|--\d+(.*)"","""")"),"SAINTES")</f>
        <v>SAINTES</v>
      </c>
      <c r="E16670" s="38" t="s">
        <v>488</v>
      </c>
      <c r="F16670" s="38" t="s">
        <v>338</v>
      </c>
      <c r="G16670" s="49" t="str">
        <f t="shared" si="1"/>
        <v>17100</v>
      </c>
      <c r="H16670" s="49">
        <f t="shared" si="2"/>
        <v>17415</v>
      </c>
    </row>
    <row r="16671">
      <c r="A16671" s="48" t="s">
        <v>10802</v>
      </c>
      <c r="B16671" s="38">
        <v>77299.0</v>
      </c>
      <c r="C16671" s="38" t="s">
        <v>21066</v>
      </c>
      <c r="D16671" s="38" t="str">
        <f>IFERROR(__xludf.DUMMYFUNCTION("REGEXREPLACE(C16671,""-\d+(.*)|--\d+(.*)"","""")"),"MONTARLOT")</f>
        <v>MONTARLOT</v>
      </c>
      <c r="E16671" s="38" t="s">
        <v>244</v>
      </c>
      <c r="F16671" s="38" t="s">
        <v>245</v>
      </c>
      <c r="G16671" s="49" t="str">
        <f t="shared" si="1"/>
        <v>77250</v>
      </c>
      <c r="H16671" s="49">
        <f t="shared" si="2"/>
        <v>77299</v>
      </c>
    </row>
    <row r="16672">
      <c r="A16672" s="48" t="s">
        <v>232</v>
      </c>
      <c r="B16672" s="38">
        <v>52138.0</v>
      </c>
      <c r="C16672" s="38" t="s">
        <v>21067</v>
      </c>
      <c r="D16672" s="38" t="str">
        <f>IFERROR(__xludf.DUMMYFUNCTION("REGEXREPLACE(C16672,""-\d+(.*)|--\d+(.*)"","""")"),"COLMIER-LE-HAUT")</f>
        <v>COLMIER-LE-HAUT</v>
      </c>
      <c r="E16672" s="38" t="s">
        <v>234</v>
      </c>
      <c r="F16672" s="38" t="s">
        <v>130</v>
      </c>
      <c r="G16672" s="49" t="str">
        <f t="shared" si="1"/>
        <v>52160</v>
      </c>
      <c r="H16672" s="49">
        <f t="shared" si="2"/>
        <v>52138</v>
      </c>
    </row>
    <row r="16673">
      <c r="A16673" s="48" t="s">
        <v>2411</v>
      </c>
      <c r="B16673" s="38">
        <v>37072.0</v>
      </c>
      <c r="C16673" s="38" t="s">
        <v>21068</v>
      </c>
      <c r="D16673" s="38" t="str">
        <f>IFERROR(__xludf.DUMMYFUNCTION("REGEXREPLACE(C16673,""-\d+(.*)|--\d+(.*)"","""")"),"CHINON")</f>
        <v>CHINON</v>
      </c>
      <c r="E16673" s="38" t="s">
        <v>205</v>
      </c>
      <c r="F16673" s="38" t="s">
        <v>123</v>
      </c>
      <c r="G16673" s="49" t="str">
        <f t="shared" si="1"/>
        <v>37500</v>
      </c>
      <c r="H16673" s="49">
        <f t="shared" si="2"/>
        <v>37072</v>
      </c>
    </row>
    <row r="16674">
      <c r="A16674" s="48" t="s">
        <v>1048</v>
      </c>
      <c r="B16674" s="38">
        <v>24361.0</v>
      </c>
      <c r="C16674" s="38" t="s">
        <v>21069</v>
      </c>
      <c r="D16674" s="38" t="str">
        <f>IFERROR(__xludf.DUMMYFUNCTION("REGEXREPLACE(C16674,""-\d+(.*)|--\d+(.*)"","""")"),"SAINT-AGNE")</f>
        <v>SAINT-AGNE</v>
      </c>
      <c r="E16674" s="38" t="s">
        <v>261</v>
      </c>
      <c r="F16674" s="38" t="s">
        <v>252</v>
      </c>
      <c r="G16674" s="49" t="str">
        <f t="shared" si="1"/>
        <v>24520</v>
      </c>
      <c r="H16674" s="49">
        <f t="shared" si="2"/>
        <v>24361</v>
      </c>
    </row>
    <row r="16675">
      <c r="A16675" s="48" t="s">
        <v>3583</v>
      </c>
      <c r="B16675" s="38">
        <v>7165.0</v>
      </c>
      <c r="C16675" s="38" t="s">
        <v>21070</v>
      </c>
      <c r="D16675" s="38" t="str">
        <f>IFERROR(__xludf.DUMMYFUNCTION("REGEXREPLACE(C16675,""-\d+(.*)|--\d+(.*)"","""")"),"NONIERES")</f>
        <v>NONIERES</v>
      </c>
      <c r="E16675" s="38" t="s">
        <v>144</v>
      </c>
      <c r="F16675" s="38" t="s">
        <v>102</v>
      </c>
      <c r="G16675" s="49" t="str">
        <f t="shared" si="1"/>
        <v>07160</v>
      </c>
      <c r="H16675" s="49" t="str">
        <f t="shared" si="2"/>
        <v>07165</v>
      </c>
    </row>
    <row r="16676">
      <c r="A16676" s="48" t="s">
        <v>3382</v>
      </c>
      <c r="B16676" s="38">
        <v>41203.0</v>
      </c>
      <c r="C16676" s="38" t="s">
        <v>21071</v>
      </c>
      <c r="D16676" s="38" t="str">
        <f>IFERROR(__xludf.DUMMYFUNCTION("REGEXREPLACE(C16676,""-\d+(.*)|--\d+(.*)"","""")"),"SAINT-BOHAIRE")</f>
        <v>SAINT-BOHAIRE</v>
      </c>
      <c r="E16676" s="38" t="s">
        <v>188</v>
      </c>
      <c r="F16676" s="38" t="s">
        <v>123</v>
      </c>
      <c r="G16676" s="49" t="str">
        <f t="shared" si="1"/>
        <v>41330</v>
      </c>
      <c r="H16676" s="49">
        <f t="shared" si="2"/>
        <v>41203</v>
      </c>
    </row>
    <row r="16677">
      <c r="A16677" s="48" t="s">
        <v>3256</v>
      </c>
      <c r="B16677" s="38">
        <v>36060.0</v>
      </c>
      <c r="C16677" s="38" t="s">
        <v>21072</v>
      </c>
      <c r="D16677" s="38" t="str">
        <f>IFERROR(__xludf.DUMMYFUNCTION("REGEXREPLACE(C16677,""-\d+(.*)|--\d+(.*)"","""")"),"CREVANT")</f>
        <v>CREVANT</v>
      </c>
      <c r="E16677" s="38" t="s">
        <v>258</v>
      </c>
      <c r="F16677" s="38" t="s">
        <v>123</v>
      </c>
      <c r="G16677" s="49" t="str">
        <f t="shared" si="1"/>
        <v>36140</v>
      </c>
      <c r="H16677" s="49">
        <f t="shared" si="2"/>
        <v>36060</v>
      </c>
    </row>
    <row r="16678">
      <c r="A16678" s="48" t="s">
        <v>14072</v>
      </c>
      <c r="B16678" s="38">
        <v>71438.0</v>
      </c>
      <c r="C16678" s="38" t="s">
        <v>21073</v>
      </c>
      <c r="D16678" s="38" t="str">
        <f>IFERROR(__xludf.DUMMYFUNCTION("REGEXREPLACE(C16678,""-\d+(.*)|--\d+(.*)"","""")"),"SAINT-LEGER-DU-BOIS")</f>
        <v>SAINT-LEGER-DU-BOIS</v>
      </c>
      <c r="E16678" s="38" t="s">
        <v>344</v>
      </c>
      <c r="F16678" s="38" t="s">
        <v>106</v>
      </c>
      <c r="G16678" s="49" t="str">
        <f t="shared" si="1"/>
        <v>71360</v>
      </c>
      <c r="H16678" s="49">
        <f t="shared" si="2"/>
        <v>71438</v>
      </c>
    </row>
    <row r="16679">
      <c r="A16679" s="48" t="s">
        <v>21074</v>
      </c>
      <c r="B16679" s="38" t="s">
        <v>21075</v>
      </c>
      <c r="C16679" s="38" t="s">
        <v>21076</v>
      </c>
      <c r="D16679" s="38" t="str">
        <f>IFERROR(__xludf.DUMMYFUNCTION("REGEXREPLACE(C16679,""-\d+(.*)|--\d+(.*)"","""")"),"SANTA-MARIA-POGGIO")</f>
        <v>SANTA-MARIA-POGGIO</v>
      </c>
      <c r="E16679" s="38" t="s">
        <v>743</v>
      </c>
      <c r="F16679" s="38" t="s">
        <v>607</v>
      </c>
      <c r="G16679" s="49" t="str">
        <f t="shared" si="1"/>
        <v>20221</v>
      </c>
      <c r="H16679" s="49" t="str">
        <f t="shared" si="2"/>
        <v>2B311</v>
      </c>
    </row>
    <row r="16680">
      <c r="A16680" s="48" t="s">
        <v>6158</v>
      </c>
      <c r="B16680" s="38">
        <v>14312.0</v>
      </c>
      <c r="C16680" s="38" t="s">
        <v>21077</v>
      </c>
      <c r="D16680" s="38" t="str">
        <f>IFERROR(__xludf.DUMMYFUNCTION("REGEXREPLACE(C16680,""-\d+(.*)|--\d+(.*)"","""")"),"GRANDCAMP-MAISY")</f>
        <v>GRANDCAMP-MAISY</v>
      </c>
      <c r="E16680" s="38" t="s">
        <v>137</v>
      </c>
      <c r="F16680" s="38" t="s">
        <v>138</v>
      </c>
      <c r="G16680" s="49" t="str">
        <f t="shared" si="1"/>
        <v>14450</v>
      </c>
      <c r="H16680" s="49">
        <f t="shared" si="2"/>
        <v>14312</v>
      </c>
    </row>
    <row r="16681">
      <c r="A16681" s="48" t="s">
        <v>3983</v>
      </c>
      <c r="B16681" s="38">
        <v>67367.0</v>
      </c>
      <c r="C16681" s="38" t="s">
        <v>21078</v>
      </c>
      <c r="D16681" s="38" t="str">
        <f>IFERROR(__xludf.DUMMYFUNCTION("REGEXREPLACE(C16681,""-\d+(.*)|--\d+(.*)"","""")"),"OTTERSWILLER")</f>
        <v>OTTERSWILLER</v>
      </c>
      <c r="E16681" s="38" t="s">
        <v>210</v>
      </c>
      <c r="F16681" s="38" t="s">
        <v>151</v>
      </c>
      <c r="G16681" s="49" t="str">
        <f t="shared" si="1"/>
        <v>67700</v>
      </c>
      <c r="H16681" s="49">
        <f t="shared" si="2"/>
        <v>67367</v>
      </c>
    </row>
    <row r="16682">
      <c r="A16682" s="48" t="s">
        <v>1913</v>
      </c>
      <c r="B16682" s="38">
        <v>63369.0</v>
      </c>
      <c r="C16682" s="38" t="s">
        <v>21079</v>
      </c>
      <c r="D16682" s="38" t="str">
        <f>IFERROR(__xludf.DUMMYFUNCTION("REGEXREPLACE(C16682,""-\d+(.*)|--\d+(.*)"","""")"),"SAINT-JULIEN-LA-GENESTE")</f>
        <v>SAINT-JULIEN-LA-GENESTE</v>
      </c>
      <c r="E16682" s="38" t="s">
        <v>353</v>
      </c>
      <c r="F16682" s="38" t="s">
        <v>161</v>
      </c>
      <c r="G16682" s="49" t="str">
        <f t="shared" si="1"/>
        <v>63390</v>
      </c>
      <c r="H16682" s="49">
        <f t="shared" si="2"/>
        <v>63369</v>
      </c>
    </row>
    <row r="16683">
      <c r="A16683" s="48" t="s">
        <v>1555</v>
      </c>
      <c r="B16683" s="38">
        <v>52386.0</v>
      </c>
      <c r="C16683" s="38" t="s">
        <v>21080</v>
      </c>
      <c r="D16683" s="38" t="str">
        <f>IFERROR(__xludf.DUMMYFUNCTION("REGEXREPLACE(C16683,""-\d+(.*)|--\d+(.*)"","""")"),"PERTHES")</f>
        <v>PERTHES</v>
      </c>
      <c r="E16683" s="38" t="s">
        <v>234</v>
      </c>
      <c r="F16683" s="38" t="s">
        <v>130</v>
      </c>
      <c r="G16683" s="49" t="str">
        <f t="shared" si="1"/>
        <v>52100</v>
      </c>
      <c r="H16683" s="49">
        <f t="shared" si="2"/>
        <v>52386</v>
      </c>
    </row>
    <row r="16684">
      <c r="A16684" s="48" t="s">
        <v>6271</v>
      </c>
      <c r="B16684" s="38">
        <v>66056.0</v>
      </c>
      <c r="C16684" s="38" t="s">
        <v>21081</v>
      </c>
      <c r="D16684" s="38" t="str">
        <f>IFERROR(__xludf.DUMMYFUNCTION("REGEXREPLACE(C16684,""-\d+(.*)|--\d+(.*)"","""")"),"CORBERE-LES-CABANES")</f>
        <v>CORBERE-LES-CABANES</v>
      </c>
      <c r="E16684" s="38" t="s">
        <v>248</v>
      </c>
      <c r="F16684" s="38" t="s">
        <v>119</v>
      </c>
      <c r="G16684" s="49" t="str">
        <f t="shared" si="1"/>
        <v>66130</v>
      </c>
      <c r="H16684" s="49">
        <f t="shared" si="2"/>
        <v>66056</v>
      </c>
    </row>
    <row r="16685">
      <c r="A16685" s="48" t="s">
        <v>19064</v>
      </c>
      <c r="B16685" s="38">
        <v>61300.0</v>
      </c>
      <c r="C16685" s="38" t="s">
        <v>21082</v>
      </c>
      <c r="D16685" s="38" t="str">
        <f>IFERROR(__xludf.DUMMYFUNCTION("REGEXREPLACE(C16685,""-\d+(.*)|--\d+(.*)"","""")"),"MOUTIERS-AU-PERCHE")</f>
        <v>MOUTIERS-AU-PERCHE</v>
      </c>
      <c r="E16685" s="38" t="s">
        <v>141</v>
      </c>
      <c r="F16685" s="38" t="s">
        <v>138</v>
      </c>
      <c r="G16685" s="49" t="str">
        <f t="shared" si="1"/>
        <v>61110</v>
      </c>
      <c r="H16685" s="49">
        <f t="shared" si="2"/>
        <v>61300</v>
      </c>
    </row>
    <row r="16686">
      <c r="A16686" s="48" t="s">
        <v>9028</v>
      </c>
      <c r="B16686" s="38">
        <v>65436.0</v>
      </c>
      <c r="C16686" s="38" t="s">
        <v>21083</v>
      </c>
      <c r="D16686" s="38" t="str">
        <f>IFERROR(__xludf.DUMMYFUNCTION("REGEXREPLACE(C16686,""-\d+(.*)|--\d+(.*)"","""")"),"SOUYEAUX")</f>
        <v>SOUYEAUX</v>
      </c>
      <c r="E16686" s="38" t="s">
        <v>200</v>
      </c>
      <c r="F16686" s="38" t="s">
        <v>94</v>
      </c>
      <c r="G16686" s="49" t="str">
        <f t="shared" si="1"/>
        <v>65350</v>
      </c>
      <c r="H16686" s="49">
        <f t="shared" si="2"/>
        <v>65436</v>
      </c>
    </row>
    <row r="16687">
      <c r="A16687" s="48" t="s">
        <v>1383</v>
      </c>
      <c r="B16687" s="38">
        <v>72123.0</v>
      </c>
      <c r="C16687" s="38" t="s">
        <v>21084</v>
      </c>
      <c r="D16687" s="38" t="str">
        <f>IFERROR(__xludf.DUMMYFUNCTION("REGEXREPLACE(C16687,""-\d+(.*)|--\d+(.*)"","""")"),"DUREIL")</f>
        <v>DUREIL</v>
      </c>
      <c r="E16687" s="38" t="s">
        <v>521</v>
      </c>
      <c r="F16687" s="38" t="s">
        <v>180</v>
      </c>
      <c r="G16687" s="49" t="str">
        <f t="shared" si="1"/>
        <v>72270</v>
      </c>
      <c r="H16687" s="49">
        <f t="shared" si="2"/>
        <v>72123</v>
      </c>
    </row>
    <row r="16688">
      <c r="A16688" s="48" t="s">
        <v>21085</v>
      </c>
      <c r="B16688" s="38">
        <v>85076.0</v>
      </c>
      <c r="C16688" s="38" t="s">
        <v>21086</v>
      </c>
      <c r="D16688" s="38" t="str">
        <f>IFERROR(__xludf.DUMMYFUNCTION("REGEXREPLACE(C16688,""-\d+(.*)|--\d+(.*)"","""")"),"CUGAND")</f>
        <v>CUGAND</v>
      </c>
      <c r="E16688" s="38" t="s">
        <v>179</v>
      </c>
      <c r="F16688" s="38" t="s">
        <v>180</v>
      </c>
      <c r="G16688" s="49" t="str">
        <f t="shared" si="1"/>
        <v>85610</v>
      </c>
      <c r="H16688" s="49">
        <f t="shared" si="2"/>
        <v>85076</v>
      </c>
    </row>
    <row r="16689">
      <c r="A16689" s="48" t="s">
        <v>3912</v>
      </c>
      <c r="B16689" s="38">
        <v>38503.0</v>
      </c>
      <c r="C16689" s="38" t="s">
        <v>21087</v>
      </c>
      <c r="D16689" s="38" t="str">
        <f>IFERROR(__xludf.DUMMYFUNCTION("REGEXREPLACE(C16689,""-\d+(.*)|--\d+(.*)"","""")"),"LA TERRASSE")</f>
        <v>LA TERRASSE</v>
      </c>
      <c r="E16689" s="38" t="s">
        <v>101</v>
      </c>
      <c r="F16689" s="38" t="s">
        <v>102</v>
      </c>
      <c r="G16689" s="49" t="str">
        <f t="shared" si="1"/>
        <v>38660</v>
      </c>
      <c r="H16689" s="49">
        <f t="shared" si="2"/>
        <v>38503</v>
      </c>
    </row>
    <row r="16690">
      <c r="A16690" s="48" t="s">
        <v>5894</v>
      </c>
      <c r="B16690" s="38">
        <v>69052.0</v>
      </c>
      <c r="C16690" s="38" t="s">
        <v>21088</v>
      </c>
      <c r="D16690" s="38" t="str">
        <f>IFERROR(__xludf.DUMMYFUNCTION("REGEXREPLACE(C16690,""-\d+(.*)|--\d+(.*)"","""")"),"CHAZAY-D'AZERGUES")</f>
        <v>CHAZAY-D'AZERGUES</v>
      </c>
      <c r="E16690" s="38" t="s">
        <v>350</v>
      </c>
      <c r="F16690" s="38" t="s">
        <v>102</v>
      </c>
      <c r="G16690" s="49" t="str">
        <f t="shared" si="1"/>
        <v>69380</v>
      </c>
      <c r="H16690" s="49">
        <f t="shared" si="2"/>
        <v>69052</v>
      </c>
    </row>
    <row r="16691">
      <c r="A16691" s="48" t="s">
        <v>8059</v>
      </c>
      <c r="B16691" s="38">
        <v>70351.0</v>
      </c>
      <c r="C16691" s="38" t="s">
        <v>21089</v>
      </c>
      <c r="D16691" s="38" t="str">
        <f>IFERROR(__xludf.DUMMYFUNCTION("REGEXREPLACE(C16691,""-\d+(.*)|--\d+(.*)"","""")"),"MOLLANS")</f>
        <v>MOLLANS</v>
      </c>
      <c r="E16691" s="38" t="s">
        <v>956</v>
      </c>
      <c r="F16691" s="38" t="s">
        <v>214</v>
      </c>
      <c r="G16691" s="49" t="str">
        <f t="shared" si="1"/>
        <v>70240</v>
      </c>
      <c r="H16691" s="49">
        <f t="shared" si="2"/>
        <v>70351</v>
      </c>
    </row>
    <row r="16692">
      <c r="A16692" s="48" t="s">
        <v>6075</v>
      </c>
      <c r="B16692" s="38">
        <v>63079.0</v>
      </c>
      <c r="C16692" s="38" t="s">
        <v>21090</v>
      </c>
      <c r="D16692" s="38" t="str">
        <f>IFERROR(__xludf.DUMMYFUNCTION("REGEXREPLACE(C16692,""-\d+(.*)|--\d+(.*)"","""")"),"CHAMPAGNAT-LE-JEUNE")</f>
        <v>CHAMPAGNAT-LE-JEUNE</v>
      </c>
      <c r="E16692" s="38" t="s">
        <v>353</v>
      </c>
      <c r="F16692" s="38" t="s">
        <v>161</v>
      </c>
      <c r="G16692" s="49" t="str">
        <f t="shared" si="1"/>
        <v>63580</v>
      </c>
      <c r="H16692" s="49">
        <f t="shared" si="2"/>
        <v>63079</v>
      </c>
    </row>
    <row r="16693">
      <c r="A16693" s="48" t="s">
        <v>1020</v>
      </c>
      <c r="B16693" s="38">
        <v>1147.0</v>
      </c>
      <c r="C16693" s="38" t="s">
        <v>21091</v>
      </c>
      <c r="D16693" s="38" t="str">
        <f>IFERROR(__xludf.DUMMYFUNCTION("REGEXREPLACE(C16693,""-\d+(.*)|--\d+(.*)"","""")"),"DOMSURE")</f>
        <v>DOMSURE</v>
      </c>
      <c r="E16693" s="38" t="s">
        <v>255</v>
      </c>
      <c r="F16693" s="38" t="s">
        <v>102</v>
      </c>
      <c r="G16693" s="49" t="str">
        <f t="shared" si="1"/>
        <v>01270</v>
      </c>
      <c r="H16693" s="49" t="str">
        <f t="shared" si="2"/>
        <v>01147</v>
      </c>
    </row>
    <row r="16694">
      <c r="A16694" s="48" t="s">
        <v>5281</v>
      </c>
      <c r="B16694" s="38">
        <v>25009.0</v>
      </c>
      <c r="C16694" s="38" t="s">
        <v>21092</v>
      </c>
      <c r="D16694" s="38" t="str">
        <f>IFERROR(__xludf.DUMMYFUNCTION("REGEXREPLACE(C16694,""-\d+(.*)|--\d+(.*)"","""")"),"AISSEY")</f>
        <v>AISSEY</v>
      </c>
      <c r="E16694" s="38" t="s">
        <v>213</v>
      </c>
      <c r="F16694" s="38" t="s">
        <v>214</v>
      </c>
      <c r="G16694" s="49" t="str">
        <f t="shared" si="1"/>
        <v>25360</v>
      </c>
      <c r="H16694" s="49">
        <f t="shared" si="2"/>
        <v>25009</v>
      </c>
    </row>
    <row r="16695">
      <c r="A16695" s="48" t="s">
        <v>1284</v>
      </c>
      <c r="B16695" s="38">
        <v>9160.0</v>
      </c>
      <c r="C16695" s="38" t="s">
        <v>21093</v>
      </c>
      <c r="D16695" s="38" t="str">
        <f>IFERROR(__xludf.DUMMYFUNCTION("REGEXREPLACE(C16695,""-\d+(.*)|--\d+(.*)"","""")"),"LAVELANET")</f>
        <v>LAVELANET</v>
      </c>
      <c r="E16695" s="38" t="s">
        <v>238</v>
      </c>
      <c r="F16695" s="38" t="s">
        <v>94</v>
      </c>
      <c r="G16695" s="49" t="str">
        <f t="shared" si="1"/>
        <v>09300</v>
      </c>
      <c r="H16695" s="49" t="str">
        <f t="shared" si="2"/>
        <v>09160</v>
      </c>
    </row>
    <row r="16696">
      <c r="A16696" s="48" t="s">
        <v>2924</v>
      </c>
      <c r="B16696" s="38">
        <v>8435.0</v>
      </c>
      <c r="C16696" s="38" t="s">
        <v>21094</v>
      </c>
      <c r="D16696" s="38" t="str">
        <f>IFERROR(__xludf.DUMMYFUNCTION("REGEXREPLACE(C16696,""-\d+(.*)|--\d+(.*)"","""")"),"TAGNON")</f>
        <v>TAGNON</v>
      </c>
      <c r="E16696" s="38" t="s">
        <v>327</v>
      </c>
      <c r="F16696" s="38" t="s">
        <v>130</v>
      </c>
      <c r="G16696" s="49" t="str">
        <f t="shared" si="1"/>
        <v>08300</v>
      </c>
      <c r="H16696" s="49" t="str">
        <f t="shared" si="2"/>
        <v>08435</v>
      </c>
    </row>
    <row r="16697">
      <c r="A16697" s="48" t="s">
        <v>9381</v>
      </c>
      <c r="B16697" s="38">
        <v>68244.0</v>
      </c>
      <c r="C16697" s="38" t="s">
        <v>21095</v>
      </c>
      <c r="D16697" s="38" t="str">
        <f>IFERROR(__xludf.DUMMYFUNCTION("REGEXREPLACE(C16697,""-\d+(.*)|--\d+(.*)"","""")"),"OBERMORSCHWIHR")</f>
        <v>OBERMORSCHWIHR</v>
      </c>
      <c r="E16697" s="38" t="s">
        <v>150</v>
      </c>
      <c r="F16697" s="38" t="s">
        <v>151</v>
      </c>
      <c r="G16697" s="49" t="str">
        <f t="shared" si="1"/>
        <v>68420</v>
      </c>
      <c r="H16697" s="49">
        <f t="shared" si="2"/>
        <v>68244</v>
      </c>
    </row>
    <row r="16698">
      <c r="A16698" s="48" t="s">
        <v>10849</v>
      </c>
      <c r="B16698" s="38">
        <v>64518.0</v>
      </c>
      <c r="C16698" s="38" t="s">
        <v>21096</v>
      </c>
      <c r="D16698" s="38" t="str">
        <f>IFERROR(__xludf.DUMMYFUNCTION("REGEXREPLACE(C16698,""-\d+(.*)|--\d+(.*)"","""")"),"SENDETS")</f>
        <v>SENDETS</v>
      </c>
      <c r="E16698" s="38" t="s">
        <v>268</v>
      </c>
      <c r="F16698" s="38" t="s">
        <v>252</v>
      </c>
      <c r="G16698" s="49" t="str">
        <f t="shared" si="1"/>
        <v>64320</v>
      </c>
      <c r="H16698" s="49">
        <f t="shared" si="2"/>
        <v>64518</v>
      </c>
    </row>
    <row r="16699">
      <c r="A16699" s="48" t="s">
        <v>15777</v>
      </c>
      <c r="B16699" s="38">
        <v>35362.0</v>
      </c>
      <c r="C16699" s="38" t="s">
        <v>4689</v>
      </c>
      <c r="D16699" s="38" t="str">
        <f>IFERROR(__xludf.DUMMYFUNCTION("REGEXREPLACE(C16699,""-\d+(.*)|--\d+(.*)"","""")"),"LE TRONCHET")</f>
        <v>LE TRONCHET</v>
      </c>
      <c r="E16699" s="38" t="s">
        <v>347</v>
      </c>
      <c r="F16699" s="38" t="s">
        <v>90</v>
      </c>
      <c r="G16699" s="49" t="str">
        <f t="shared" si="1"/>
        <v>35540</v>
      </c>
      <c r="H16699" s="49">
        <f t="shared" si="2"/>
        <v>35362</v>
      </c>
    </row>
    <row r="16700">
      <c r="A16700" s="48" t="s">
        <v>19282</v>
      </c>
      <c r="B16700" s="38">
        <v>65321.0</v>
      </c>
      <c r="C16700" s="38" t="s">
        <v>8727</v>
      </c>
      <c r="D16700" s="38" t="str">
        <f>IFERROR(__xludf.DUMMYFUNCTION("REGEXREPLACE(C16700,""-\d+(.*)|--\d+(.*)"","""")"),"MONTIGNAC")</f>
        <v>MONTIGNAC</v>
      </c>
      <c r="E16700" s="38" t="s">
        <v>200</v>
      </c>
      <c r="F16700" s="38" t="s">
        <v>94</v>
      </c>
      <c r="G16700" s="49" t="str">
        <f t="shared" si="1"/>
        <v>65690</v>
      </c>
      <c r="H16700" s="49">
        <f t="shared" si="2"/>
        <v>65321</v>
      </c>
    </row>
    <row r="16701">
      <c r="A16701" s="48" t="s">
        <v>445</v>
      </c>
      <c r="B16701" s="38">
        <v>76428.0</v>
      </c>
      <c r="C16701" s="38" t="s">
        <v>21097</v>
      </c>
      <c r="D16701" s="38" t="str">
        <f>IFERROR(__xludf.DUMMYFUNCTION("REGEXREPLACE(C16701,""-\d+(.*)|--\d+(.*)"","""")"),"LE MESNIL-DURDENT")</f>
        <v>LE MESNIL-DURDENT</v>
      </c>
      <c r="E16701" s="38" t="s">
        <v>133</v>
      </c>
      <c r="F16701" s="38" t="s">
        <v>134</v>
      </c>
      <c r="G16701" s="49" t="str">
        <f t="shared" si="1"/>
        <v>76460</v>
      </c>
      <c r="H16701" s="49">
        <f t="shared" si="2"/>
        <v>76428</v>
      </c>
    </row>
    <row r="16702">
      <c r="A16702" s="48" t="s">
        <v>4902</v>
      </c>
      <c r="B16702" s="38">
        <v>61064.0</v>
      </c>
      <c r="C16702" s="38" t="s">
        <v>21098</v>
      </c>
      <c r="D16702" s="38" t="str">
        <f>IFERROR(__xludf.DUMMYFUNCTION("REGEXREPLACE(C16702,""-\d+(.*)|--\d+(.*)"","""")"),"BRULLEMAIL")</f>
        <v>BRULLEMAIL</v>
      </c>
      <c r="E16702" s="38" t="s">
        <v>141</v>
      </c>
      <c r="F16702" s="38" t="s">
        <v>138</v>
      </c>
      <c r="G16702" s="49" t="str">
        <f t="shared" si="1"/>
        <v>61390</v>
      </c>
      <c r="H16702" s="49">
        <f t="shared" si="2"/>
        <v>61064</v>
      </c>
    </row>
    <row r="16703">
      <c r="A16703" s="48" t="s">
        <v>12501</v>
      </c>
      <c r="B16703" s="38">
        <v>27197.0</v>
      </c>
      <c r="C16703" s="38" t="s">
        <v>21099</v>
      </c>
      <c r="D16703" s="38" t="str">
        <f>IFERROR(__xludf.DUMMYFUNCTION("REGEXREPLACE(C16703,""-\d+(.*)|--\d+(.*)"","""")"),"DAMPSMESNIL")</f>
        <v>DAMPSMESNIL</v>
      </c>
      <c r="E16703" s="38" t="s">
        <v>241</v>
      </c>
      <c r="F16703" s="38" t="s">
        <v>134</v>
      </c>
      <c r="G16703" s="49" t="str">
        <f t="shared" si="1"/>
        <v>27630</v>
      </c>
      <c r="H16703" s="49">
        <f t="shared" si="2"/>
        <v>27197</v>
      </c>
    </row>
    <row r="16704">
      <c r="A16704" s="48" t="s">
        <v>5209</v>
      </c>
      <c r="B16704" s="38">
        <v>54100.0</v>
      </c>
      <c r="C16704" s="38" t="s">
        <v>21100</v>
      </c>
      <c r="D16704" s="38" t="str">
        <f>IFERROR(__xludf.DUMMYFUNCTION("REGEXREPLACE(C16704,""-\d+(.*)|--\d+(.*)"","""")"),"BRIN-SUR-SEILLE")</f>
        <v>BRIN-SUR-SEILLE</v>
      </c>
      <c r="E16704" s="38" t="s">
        <v>548</v>
      </c>
      <c r="F16704" s="38" t="s">
        <v>195</v>
      </c>
      <c r="G16704" s="49" t="str">
        <f t="shared" si="1"/>
        <v>54280</v>
      </c>
      <c r="H16704" s="49">
        <f t="shared" si="2"/>
        <v>54100</v>
      </c>
    </row>
    <row r="16705">
      <c r="A16705" s="48" t="s">
        <v>4586</v>
      </c>
      <c r="B16705" s="38">
        <v>40252.0</v>
      </c>
      <c r="C16705" s="38" t="s">
        <v>10166</v>
      </c>
      <c r="D16705" s="38" t="str">
        <f>IFERROR(__xludf.DUMMYFUNCTION("REGEXREPLACE(C16705,""-\d+(.*)|--\d+(.*)"","""")"),"SAINTE-COLOMBE")</f>
        <v>SAINTE-COLOMBE</v>
      </c>
      <c r="E16705" s="38" t="s">
        <v>281</v>
      </c>
      <c r="F16705" s="38" t="s">
        <v>252</v>
      </c>
      <c r="G16705" s="49" t="str">
        <f t="shared" si="1"/>
        <v>40700</v>
      </c>
      <c r="H16705" s="49">
        <f t="shared" si="2"/>
        <v>40252</v>
      </c>
    </row>
    <row r="16706">
      <c r="A16706" s="48" t="s">
        <v>6200</v>
      </c>
      <c r="B16706" s="38">
        <v>86123.0</v>
      </c>
      <c r="C16706" s="38" t="s">
        <v>21101</v>
      </c>
      <c r="D16706" s="38" t="str">
        <f>IFERROR(__xludf.DUMMYFUNCTION("REGEXREPLACE(C16706,""-\d+(.*)|--\d+(.*)"","""")"),"LAVAUSSEAU")</f>
        <v>LAVAUSSEAU</v>
      </c>
      <c r="E16706" s="38" t="s">
        <v>529</v>
      </c>
      <c r="F16706" s="38" t="s">
        <v>338</v>
      </c>
      <c r="G16706" s="49" t="str">
        <f t="shared" si="1"/>
        <v>86470</v>
      </c>
      <c r="H16706" s="49">
        <f t="shared" si="2"/>
        <v>86123</v>
      </c>
    </row>
    <row r="16707">
      <c r="A16707" s="48" t="s">
        <v>6296</v>
      </c>
      <c r="B16707" s="38">
        <v>50495.0</v>
      </c>
      <c r="C16707" s="38" t="s">
        <v>21102</v>
      </c>
      <c r="D16707" s="38" t="str">
        <f>IFERROR(__xludf.DUMMYFUNCTION("REGEXREPLACE(C16707,""-\d+(.*)|--\d+(.*)"","""")"),"SAINT-JEAN-DU-CORAIL-DES-BOIS")</f>
        <v>SAINT-JEAN-DU-CORAIL-DES-BOIS</v>
      </c>
      <c r="E16707" s="38" t="s">
        <v>157</v>
      </c>
      <c r="F16707" s="38" t="s">
        <v>138</v>
      </c>
      <c r="G16707" s="49" t="str">
        <f t="shared" si="1"/>
        <v>50370</v>
      </c>
      <c r="H16707" s="49">
        <f t="shared" si="2"/>
        <v>50495</v>
      </c>
    </row>
    <row r="16708">
      <c r="A16708" s="48" t="s">
        <v>415</v>
      </c>
      <c r="B16708" s="38">
        <v>21374.0</v>
      </c>
      <c r="C16708" s="38" t="s">
        <v>4883</v>
      </c>
      <c r="D16708" s="38" t="str">
        <f>IFERROR(__xludf.DUMMYFUNCTION("REGEXREPLACE(C16708,""-\d+(.*)|--\d+(.*)"","""")"),"MALIGNY")</f>
        <v>MALIGNY</v>
      </c>
      <c r="E16708" s="38" t="s">
        <v>105</v>
      </c>
      <c r="F16708" s="38" t="s">
        <v>106</v>
      </c>
      <c r="G16708" s="49" t="str">
        <f t="shared" si="1"/>
        <v>21230</v>
      </c>
      <c r="H16708" s="49">
        <f t="shared" si="2"/>
        <v>21374</v>
      </c>
    </row>
    <row r="16709">
      <c r="A16709" s="48" t="s">
        <v>13094</v>
      </c>
      <c r="B16709" s="38">
        <v>56012.0</v>
      </c>
      <c r="C16709" s="38" t="s">
        <v>21103</v>
      </c>
      <c r="D16709" s="38" t="str">
        <f>IFERROR(__xludf.DUMMYFUNCTION("REGEXREPLACE(C16709,""-\d+(.*)|--\d+(.*)"","""")"),"BEIGNON")</f>
        <v>BEIGNON</v>
      </c>
      <c r="E16709" s="38" t="s">
        <v>173</v>
      </c>
      <c r="F16709" s="38" t="s">
        <v>90</v>
      </c>
      <c r="G16709" s="49" t="str">
        <f t="shared" si="1"/>
        <v>56380</v>
      </c>
      <c r="H16709" s="49">
        <f t="shared" si="2"/>
        <v>56012</v>
      </c>
    </row>
    <row r="16710">
      <c r="A16710" s="48" t="s">
        <v>3693</v>
      </c>
      <c r="B16710" s="38">
        <v>24386.0</v>
      </c>
      <c r="C16710" s="38" t="s">
        <v>21104</v>
      </c>
      <c r="D16710" s="38" t="str">
        <f>IFERROR(__xludf.DUMMYFUNCTION("REGEXREPLACE(C16710,""-\d+(.*)|--\d+(.*)"","""")"),"SAINT-CERNIN-DE-L'HERM")</f>
        <v>SAINT-CERNIN-DE-L'HERM</v>
      </c>
      <c r="E16710" s="38" t="s">
        <v>261</v>
      </c>
      <c r="F16710" s="38" t="s">
        <v>252</v>
      </c>
      <c r="G16710" s="49" t="str">
        <f t="shared" si="1"/>
        <v>24550</v>
      </c>
      <c r="H16710" s="49">
        <f t="shared" si="2"/>
        <v>24386</v>
      </c>
    </row>
    <row r="16711">
      <c r="A16711" s="48" t="s">
        <v>2300</v>
      </c>
      <c r="B16711" s="38">
        <v>28379.0</v>
      </c>
      <c r="C16711" s="38" t="s">
        <v>21105</v>
      </c>
      <c r="D16711" s="38" t="str">
        <f>IFERROR(__xludf.DUMMYFUNCTION("REGEXREPLACE(C16711,""-\d+(.*)|--\d+(.*)"","""")"),"SOULAIRES")</f>
        <v>SOULAIRES</v>
      </c>
      <c r="E16711" s="38" t="s">
        <v>300</v>
      </c>
      <c r="F16711" s="38" t="s">
        <v>123</v>
      </c>
      <c r="G16711" s="49" t="str">
        <f t="shared" si="1"/>
        <v>28130</v>
      </c>
      <c r="H16711" s="49">
        <f t="shared" si="2"/>
        <v>28379</v>
      </c>
    </row>
    <row r="16712">
      <c r="A16712" s="48" t="s">
        <v>1970</v>
      </c>
      <c r="B16712" s="38">
        <v>74170.0</v>
      </c>
      <c r="C16712" s="38" t="s">
        <v>10098</v>
      </c>
      <c r="D16712" s="38" t="str">
        <f>IFERROR(__xludf.DUMMYFUNCTION("REGEXREPLACE(C16712,""-\d+(.*)|--\d+(.*)"","""")"),"MASSINGY")</f>
        <v>MASSINGY</v>
      </c>
      <c r="E16712" s="38" t="s">
        <v>319</v>
      </c>
      <c r="F16712" s="38" t="s">
        <v>102</v>
      </c>
      <c r="G16712" s="49" t="str">
        <f t="shared" si="1"/>
        <v>74150</v>
      </c>
      <c r="H16712" s="49">
        <f t="shared" si="2"/>
        <v>74170</v>
      </c>
    </row>
    <row r="16713">
      <c r="A16713" s="48" t="s">
        <v>5428</v>
      </c>
      <c r="B16713" s="38">
        <v>74228.0</v>
      </c>
      <c r="C16713" s="38" t="s">
        <v>21106</v>
      </c>
      <c r="D16713" s="38" t="str">
        <f>IFERROR(__xludf.DUMMYFUNCTION("REGEXREPLACE(C16713,""-\d+(.*)|--\d+(.*)"","""")"),"SAINT-BLAISE")</f>
        <v>SAINT-BLAISE</v>
      </c>
      <c r="E16713" s="38" t="s">
        <v>319</v>
      </c>
      <c r="F16713" s="38" t="s">
        <v>102</v>
      </c>
      <c r="G16713" s="49" t="str">
        <f t="shared" si="1"/>
        <v>74350</v>
      </c>
      <c r="H16713" s="49">
        <f t="shared" si="2"/>
        <v>74228</v>
      </c>
    </row>
    <row r="16714">
      <c r="A16714" s="48" t="s">
        <v>6058</v>
      </c>
      <c r="B16714" s="38">
        <v>30246.0</v>
      </c>
      <c r="C16714" s="38" t="s">
        <v>21107</v>
      </c>
      <c r="D16714" s="38" t="str">
        <f>IFERROR(__xludf.DUMMYFUNCTION("REGEXREPLACE(C16714,""-\d+(.*)|--\d+(.*)"","""")"),"SAINTE-CROIX-DE-CADERLE")</f>
        <v>SAINTE-CROIX-DE-CADERLE</v>
      </c>
      <c r="E16714" s="38" t="s">
        <v>526</v>
      </c>
      <c r="F16714" s="38" t="s">
        <v>119</v>
      </c>
      <c r="G16714" s="49" t="str">
        <f t="shared" si="1"/>
        <v>30460</v>
      </c>
      <c r="H16714" s="49">
        <f t="shared" si="2"/>
        <v>30246</v>
      </c>
    </row>
    <row r="16715">
      <c r="A16715" s="48" t="s">
        <v>5779</v>
      </c>
      <c r="B16715" s="38">
        <v>86085.0</v>
      </c>
      <c r="C16715" s="38" t="s">
        <v>21108</v>
      </c>
      <c r="D16715" s="38" t="str">
        <f>IFERROR(__xludf.DUMMYFUNCTION("REGEXREPLACE(C16715,""-\d+(.*)|--\d+(.*)"","""")"),"COUSSAY")</f>
        <v>COUSSAY</v>
      </c>
      <c r="E16715" s="38" t="s">
        <v>529</v>
      </c>
      <c r="F16715" s="38" t="s">
        <v>338</v>
      </c>
      <c r="G16715" s="49" t="str">
        <f t="shared" si="1"/>
        <v>86110</v>
      </c>
      <c r="H16715" s="49">
        <f t="shared" si="2"/>
        <v>86085</v>
      </c>
    </row>
    <row r="16716">
      <c r="A16716" s="48" t="s">
        <v>5887</v>
      </c>
      <c r="B16716" s="38">
        <v>61056.0</v>
      </c>
      <c r="C16716" s="38" t="s">
        <v>21109</v>
      </c>
      <c r="D16716" s="38" t="str">
        <f>IFERROR(__xludf.DUMMYFUNCTION("REGEXREPLACE(C16716,""-\d+(.*)|--\d+(.*)"","""")"),"LE BOUILLON")</f>
        <v>LE BOUILLON</v>
      </c>
      <c r="E16716" s="38" t="s">
        <v>141</v>
      </c>
      <c r="F16716" s="38" t="s">
        <v>138</v>
      </c>
      <c r="G16716" s="49" t="str">
        <f t="shared" si="1"/>
        <v>61500</v>
      </c>
      <c r="H16716" s="49">
        <f t="shared" si="2"/>
        <v>61056</v>
      </c>
    </row>
    <row r="16717">
      <c r="A16717" s="48" t="s">
        <v>7250</v>
      </c>
      <c r="B16717" s="38">
        <v>89191.0</v>
      </c>
      <c r="C16717" s="38" t="s">
        <v>21110</v>
      </c>
      <c r="D16717" s="38" t="str">
        <f>IFERROR(__xludf.DUMMYFUNCTION("REGEXREPLACE(C16717,""-\d+(.*)|--\d+(.*)"","""")"),"GLAND")</f>
        <v>GLAND</v>
      </c>
      <c r="E16717" s="38" t="s">
        <v>275</v>
      </c>
      <c r="F16717" s="38" t="s">
        <v>106</v>
      </c>
      <c r="G16717" s="49" t="str">
        <f t="shared" si="1"/>
        <v>89740</v>
      </c>
      <c r="H16717" s="49">
        <f t="shared" si="2"/>
        <v>89191</v>
      </c>
    </row>
    <row r="16718">
      <c r="A16718" s="48" t="s">
        <v>3578</v>
      </c>
      <c r="B16718" s="38">
        <v>72290.0</v>
      </c>
      <c r="C16718" s="38" t="s">
        <v>21111</v>
      </c>
      <c r="D16718" s="38" t="str">
        <f>IFERROR(__xludf.DUMMYFUNCTION("REGEXREPLACE(C16718,""-\d+(.*)|--\d+(.*)"","""")"),"SAINT-JEAN-D'ASSE")</f>
        <v>SAINT-JEAN-D'ASSE</v>
      </c>
      <c r="E16718" s="38" t="s">
        <v>521</v>
      </c>
      <c r="F16718" s="38" t="s">
        <v>180</v>
      </c>
      <c r="G16718" s="49" t="str">
        <f t="shared" si="1"/>
        <v>72380</v>
      </c>
      <c r="H16718" s="49">
        <f t="shared" si="2"/>
        <v>72290</v>
      </c>
    </row>
    <row r="16719">
      <c r="A16719" s="48" t="s">
        <v>21112</v>
      </c>
      <c r="B16719" s="38">
        <v>67291.0</v>
      </c>
      <c r="C16719" s="38" t="s">
        <v>21113</v>
      </c>
      <c r="D16719" s="38" t="str">
        <f>IFERROR(__xludf.DUMMYFUNCTION("REGEXREPLACE(C16719,""-\d+(.*)|--\d+(.*)"","""")"),"MERTZWILLER")</f>
        <v>MERTZWILLER</v>
      </c>
      <c r="E16719" s="38" t="s">
        <v>210</v>
      </c>
      <c r="F16719" s="38" t="s">
        <v>151</v>
      </c>
      <c r="G16719" s="49" t="str">
        <f t="shared" si="1"/>
        <v>67580</v>
      </c>
      <c r="H16719" s="49">
        <f t="shared" si="2"/>
        <v>67291</v>
      </c>
    </row>
    <row r="16720">
      <c r="A16720" s="48" t="s">
        <v>4941</v>
      </c>
      <c r="B16720" s="38">
        <v>89454.0</v>
      </c>
      <c r="C16720" s="38" t="s">
        <v>439</v>
      </c>
      <c r="D16720" s="38" t="str">
        <f>IFERROR(__xludf.DUMMYFUNCTION("REGEXREPLACE(C16720,""-\d+(.*)|--\d+(.*)"","""")"),"VILLEFRANCHE")</f>
        <v>VILLEFRANCHE</v>
      </c>
      <c r="E16720" s="38" t="s">
        <v>275</v>
      </c>
      <c r="F16720" s="38" t="s">
        <v>106</v>
      </c>
      <c r="G16720" s="49" t="str">
        <f t="shared" si="1"/>
        <v>89120</v>
      </c>
      <c r="H16720" s="49">
        <f t="shared" si="2"/>
        <v>89454</v>
      </c>
    </row>
    <row r="16721">
      <c r="A16721" s="48" t="s">
        <v>10849</v>
      </c>
      <c r="B16721" s="38">
        <v>64132.0</v>
      </c>
      <c r="C16721" s="38" t="s">
        <v>21114</v>
      </c>
      <c r="D16721" s="38" t="str">
        <f>IFERROR(__xludf.DUMMYFUNCTION("REGEXREPLACE(C16721,""-\d+(.*)|--\d+(.*)"","""")"),"BIZANOS")</f>
        <v>BIZANOS</v>
      </c>
      <c r="E16721" s="38" t="s">
        <v>268</v>
      </c>
      <c r="F16721" s="38" t="s">
        <v>252</v>
      </c>
      <c r="G16721" s="49" t="str">
        <f t="shared" si="1"/>
        <v>64320</v>
      </c>
      <c r="H16721" s="49">
        <f t="shared" si="2"/>
        <v>64132</v>
      </c>
    </row>
    <row r="16722">
      <c r="A16722" s="48" t="s">
        <v>1718</v>
      </c>
      <c r="B16722" s="38">
        <v>43028.0</v>
      </c>
      <c r="C16722" s="38" t="s">
        <v>21115</v>
      </c>
      <c r="D16722" s="38" t="str">
        <f>IFERROR(__xludf.DUMMYFUNCTION("REGEXREPLACE(C16722,""-\d+(.*)|--\d+(.*)"","""")"),"BESSAMOREL")</f>
        <v>BESSAMOREL</v>
      </c>
      <c r="E16722" s="38" t="s">
        <v>332</v>
      </c>
      <c r="F16722" s="38" t="s">
        <v>161</v>
      </c>
      <c r="G16722" s="49" t="str">
        <f t="shared" si="1"/>
        <v>43200</v>
      </c>
      <c r="H16722" s="49">
        <f t="shared" si="2"/>
        <v>43028</v>
      </c>
    </row>
    <row r="16723">
      <c r="A16723" s="48" t="s">
        <v>667</v>
      </c>
      <c r="B16723" s="38">
        <v>64274.0</v>
      </c>
      <c r="C16723" s="38" t="s">
        <v>21116</v>
      </c>
      <c r="D16723" s="38" t="str">
        <f>IFERROR(__xludf.DUMMYFUNCTION("REGEXREPLACE(C16723,""-\d+(.*)|--\d+(.*)"","""")"),"IROULEGUY")</f>
        <v>IROULEGUY</v>
      </c>
      <c r="E16723" s="38" t="s">
        <v>268</v>
      </c>
      <c r="F16723" s="38" t="s">
        <v>252</v>
      </c>
      <c r="G16723" s="49" t="str">
        <f t="shared" si="1"/>
        <v>64220</v>
      </c>
      <c r="H16723" s="49">
        <f t="shared" si="2"/>
        <v>64274</v>
      </c>
    </row>
    <row r="16724">
      <c r="A16724" s="48" t="s">
        <v>10746</v>
      </c>
      <c r="B16724" s="38">
        <v>88193.0</v>
      </c>
      <c r="C16724" s="38" t="s">
        <v>21117</v>
      </c>
      <c r="D16724" s="38" t="str">
        <f>IFERROR(__xludf.DUMMYFUNCTION("REGEXREPLACE(C16724,""-\d+(.*)|--\d+(.*)"","""")"),"GEMAINGOUTTE")</f>
        <v>GEMAINGOUTTE</v>
      </c>
      <c r="E16724" s="38" t="s">
        <v>194</v>
      </c>
      <c r="F16724" s="38" t="s">
        <v>195</v>
      </c>
      <c r="G16724" s="49" t="str">
        <f t="shared" si="1"/>
        <v>88520</v>
      </c>
      <c r="H16724" s="49">
        <f t="shared" si="2"/>
        <v>88193</v>
      </c>
    </row>
    <row r="16725">
      <c r="A16725" s="48" t="s">
        <v>8845</v>
      </c>
      <c r="B16725" s="38">
        <v>8451.0</v>
      </c>
      <c r="C16725" s="38" t="s">
        <v>21118</v>
      </c>
      <c r="D16725" s="38" t="str">
        <f>IFERROR(__xludf.DUMMYFUNCTION("REGEXREPLACE(C16725,""-\d+(.*)|--\d+(.*)"","""")"),"LE THOUR")</f>
        <v>LE THOUR</v>
      </c>
      <c r="E16725" s="38" t="s">
        <v>327</v>
      </c>
      <c r="F16725" s="38" t="s">
        <v>130</v>
      </c>
      <c r="G16725" s="49" t="str">
        <f t="shared" si="1"/>
        <v>08190</v>
      </c>
      <c r="H16725" s="49" t="str">
        <f t="shared" si="2"/>
        <v>08451</v>
      </c>
    </row>
    <row r="16726">
      <c r="A16726" s="48" t="s">
        <v>21119</v>
      </c>
      <c r="B16726" s="38">
        <v>81164.0</v>
      </c>
      <c r="C16726" s="38" t="s">
        <v>21120</v>
      </c>
      <c r="D16726" s="38" t="str">
        <f>IFERROR(__xludf.DUMMYFUNCTION("REGEXREPLACE(C16726,""-\d+(.*)|--\d+(.*)"","""")"),"MEZENS")</f>
        <v>MEZENS</v>
      </c>
      <c r="E16726" s="38" t="s">
        <v>231</v>
      </c>
      <c r="F16726" s="38" t="s">
        <v>94</v>
      </c>
      <c r="G16726" s="49" t="str">
        <f t="shared" si="1"/>
        <v>81800</v>
      </c>
      <c r="H16726" s="49">
        <f t="shared" si="2"/>
        <v>81164</v>
      </c>
    </row>
    <row r="16727">
      <c r="A16727" s="48" t="s">
        <v>380</v>
      </c>
      <c r="B16727" s="38">
        <v>80120.0</v>
      </c>
      <c r="C16727" s="38" t="s">
        <v>21121</v>
      </c>
      <c r="D16727" s="38" t="str">
        <f>IFERROR(__xludf.DUMMYFUNCTION("REGEXREPLACE(C16727,""-\d+(.*)|--\d+(.*)"","""")"),"BOUILLANCOURT-EN-SERY")</f>
        <v>BOUILLANCOURT-EN-SERY</v>
      </c>
      <c r="E16727" s="38" t="s">
        <v>224</v>
      </c>
      <c r="F16727" s="38" t="s">
        <v>113</v>
      </c>
      <c r="G16727" s="49" t="str">
        <f t="shared" si="1"/>
        <v>80220</v>
      </c>
      <c r="H16727" s="49">
        <f t="shared" si="2"/>
        <v>80120</v>
      </c>
    </row>
    <row r="16728">
      <c r="A16728" s="48" t="s">
        <v>1180</v>
      </c>
      <c r="B16728" s="38">
        <v>60573.0</v>
      </c>
      <c r="C16728" s="38" t="s">
        <v>21122</v>
      </c>
      <c r="D16728" s="38" t="str">
        <f>IFERROR(__xludf.DUMMYFUNCTION("REGEXREPLACE(C16728,""-\d+(.*)|--\d+(.*)"","""")"),"SAINTE-EUSOYE")</f>
        <v>SAINTE-EUSOYE</v>
      </c>
      <c r="E16728" s="38" t="s">
        <v>112</v>
      </c>
      <c r="F16728" s="38" t="s">
        <v>113</v>
      </c>
      <c r="G16728" s="49" t="str">
        <f t="shared" si="1"/>
        <v>60480</v>
      </c>
      <c r="H16728" s="49">
        <f t="shared" si="2"/>
        <v>60573</v>
      </c>
    </row>
    <row r="16729">
      <c r="A16729" s="48" t="s">
        <v>21123</v>
      </c>
      <c r="B16729" s="38">
        <v>81314.0</v>
      </c>
      <c r="C16729" s="38" t="s">
        <v>21124</v>
      </c>
      <c r="D16729" s="38" t="str">
        <f>IFERROR(__xludf.DUMMYFUNCTION("REGEXREPLACE(C16729,""-\d+(.*)|--\d+(.*)"","""")"),"VIANE")</f>
        <v>VIANE</v>
      </c>
      <c r="E16729" s="38" t="s">
        <v>231</v>
      </c>
      <c r="F16729" s="38" t="s">
        <v>94</v>
      </c>
      <c r="G16729" s="49" t="str">
        <f t="shared" si="1"/>
        <v>81530</v>
      </c>
      <c r="H16729" s="49">
        <f t="shared" si="2"/>
        <v>81314</v>
      </c>
    </row>
    <row r="16730">
      <c r="A16730" s="48" t="s">
        <v>21125</v>
      </c>
      <c r="B16730" s="38">
        <v>80247.0</v>
      </c>
      <c r="C16730" s="38" t="s">
        <v>21126</v>
      </c>
      <c r="D16730" s="38" t="str">
        <f>IFERROR(__xludf.DUMMYFUNCTION("REGEXREPLACE(C16730,""-\d+(.*)|--\d+(.*)"","""")"),"DOMPIERRE-BECQUINCOURT")</f>
        <v>DOMPIERRE-BECQUINCOURT</v>
      </c>
      <c r="E16730" s="38" t="s">
        <v>224</v>
      </c>
      <c r="F16730" s="38" t="s">
        <v>113</v>
      </c>
      <c r="G16730" s="49" t="str">
        <f t="shared" si="1"/>
        <v>80980</v>
      </c>
      <c r="H16730" s="49">
        <f t="shared" si="2"/>
        <v>80247</v>
      </c>
    </row>
    <row r="16731">
      <c r="A16731" s="48" t="s">
        <v>7754</v>
      </c>
      <c r="B16731" s="38">
        <v>23235.0</v>
      </c>
      <c r="C16731" s="38" t="s">
        <v>21127</v>
      </c>
      <c r="D16731" s="38" t="str">
        <f>IFERROR(__xludf.DUMMYFUNCTION("REGEXREPLACE(C16731,""-\d+(.*)|--\d+(.*)"","""")"),"SAINT-PRIEST-LA-FEUILLE")</f>
        <v>SAINT-PRIEST-LA-FEUILLE</v>
      </c>
      <c r="E16731" s="38" t="s">
        <v>97</v>
      </c>
      <c r="F16731" s="38" t="s">
        <v>98</v>
      </c>
      <c r="G16731" s="49" t="str">
        <f t="shared" si="1"/>
        <v>23300</v>
      </c>
      <c r="H16731" s="49">
        <f t="shared" si="2"/>
        <v>23235</v>
      </c>
    </row>
    <row r="16732">
      <c r="A16732" s="48" t="s">
        <v>12826</v>
      </c>
      <c r="B16732" s="38">
        <v>45231.0</v>
      </c>
      <c r="C16732" s="38" t="s">
        <v>21128</v>
      </c>
      <c r="D16732" s="38" t="str">
        <f>IFERROR(__xludf.DUMMYFUNCTION("REGEXREPLACE(C16732,""-\d+(.*)|--\d+(.*)"","""")"),"OISON")</f>
        <v>OISON</v>
      </c>
      <c r="E16732" s="38" t="s">
        <v>122</v>
      </c>
      <c r="F16732" s="38" t="s">
        <v>123</v>
      </c>
      <c r="G16732" s="49" t="str">
        <f t="shared" si="1"/>
        <v>45170</v>
      </c>
      <c r="H16732" s="49">
        <f t="shared" si="2"/>
        <v>45231</v>
      </c>
    </row>
    <row r="16733">
      <c r="A16733" s="48" t="s">
        <v>1560</v>
      </c>
      <c r="B16733" s="38">
        <v>14069.0</v>
      </c>
      <c r="C16733" s="38" t="s">
        <v>21129</v>
      </c>
      <c r="D16733" s="38" t="str">
        <f>IFERROR(__xludf.DUMMYFUNCTION("REGEXREPLACE(C16733,""-\d+(.*)|--\d+(.*)"","""")"),"BEUVILLERS")</f>
        <v>BEUVILLERS</v>
      </c>
      <c r="E16733" s="38" t="s">
        <v>137</v>
      </c>
      <c r="F16733" s="38" t="s">
        <v>138</v>
      </c>
      <c r="G16733" s="49" t="str">
        <f t="shared" si="1"/>
        <v>14100</v>
      </c>
      <c r="H16733" s="49">
        <f t="shared" si="2"/>
        <v>14069</v>
      </c>
    </row>
    <row r="16734">
      <c r="A16734" s="48" t="s">
        <v>1885</v>
      </c>
      <c r="B16734" s="38">
        <v>27252.0</v>
      </c>
      <c r="C16734" s="38" t="s">
        <v>21130</v>
      </c>
      <c r="D16734" s="38" t="str">
        <f>IFERROR(__xludf.DUMMYFUNCTION("REGEXREPLACE(C16734,""-\d+(.*)|--\d+(.*)"","""")"),"FONTAINE-LA-LOUVET")</f>
        <v>FONTAINE-LA-LOUVET</v>
      </c>
      <c r="E16734" s="38" t="s">
        <v>241</v>
      </c>
      <c r="F16734" s="38" t="s">
        <v>134</v>
      </c>
      <c r="G16734" s="49" t="str">
        <f t="shared" si="1"/>
        <v>27230</v>
      </c>
      <c r="H16734" s="49">
        <f t="shared" si="2"/>
        <v>27252</v>
      </c>
    </row>
    <row r="16735">
      <c r="A16735" s="48" t="s">
        <v>6647</v>
      </c>
      <c r="B16735" s="38">
        <v>58053.0</v>
      </c>
      <c r="C16735" s="38" t="s">
        <v>21131</v>
      </c>
      <c r="D16735" s="38" t="str">
        <f>IFERROR(__xludf.DUMMYFUNCTION("REGEXREPLACE(C16735,""-\d+(.*)|--\d+(.*)"","""")"),"CHAMPLEMY")</f>
        <v>CHAMPLEMY</v>
      </c>
      <c r="E16735" s="38" t="s">
        <v>219</v>
      </c>
      <c r="F16735" s="38" t="s">
        <v>106</v>
      </c>
      <c r="G16735" s="49" t="str">
        <f t="shared" si="1"/>
        <v>58210</v>
      </c>
      <c r="H16735" s="49">
        <f t="shared" si="2"/>
        <v>58053</v>
      </c>
    </row>
    <row r="16736">
      <c r="A16736" s="48" t="s">
        <v>167</v>
      </c>
      <c r="B16736" s="38">
        <v>34175.0</v>
      </c>
      <c r="C16736" s="38" t="s">
        <v>21132</v>
      </c>
      <c r="D16736" s="38" t="str">
        <f>IFERROR(__xludf.DUMMYFUNCTION("REGEXREPLACE(C16736,""-\d+(.*)|--\d+(.*)"","""")"),"MOUREZE")</f>
        <v>MOUREZE</v>
      </c>
      <c r="E16736" s="38" t="s">
        <v>118</v>
      </c>
      <c r="F16736" s="38" t="s">
        <v>119</v>
      </c>
      <c r="G16736" s="49" t="str">
        <f t="shared" si="1"/>
        <v>34800</v>
      </c>
      <c r="H16736" s="49">
        <f t="shared" si="2"/>
        <v>34175</v>
      </c>
    </row>
    <row r="16737">
      <c r="A16737" s="48" t="s">
        <v>4267</v>
      </c>
      <c r="B16737" s="38">
        <v>62565.0</v>
      </c>
      <c r="C16737" s="38" t="s">
        <v>21133</v>
      </c>
      <c r="D16737" s="38" t="str">
        <f>IFERROR(__xludf.DUMMYFUNCTION("REGEXREPLACE(C16737,""-\d+(.*)|--\d+(.*)"","""")"),"MENCAS")</f>
        <v>MENCAS</v>
      </c>
      <c r="E16737" s="38" t="s">
        <v>109</v>
      </c>
      <c r="F16737" s="38" t="s">
        <v>86</v>
      </c>
      <c r="G16737" s="49" t="str">
        <f t="shared" si="1"/>
        <v>62310</v>
      </c>
      <c r="H16737" s="49">
        <f t="shared" si="2"/>
        <v>62565</v>
      </c>
    </row>
    <row r="16738">
      <c r="A16738" s="48" t="s">
        <v>2477</v>
      </c>
      <c r="B16738" s="38">
        <v>76487.0</v>
      </c>
      <c r="C16738" s="38" t="s">
        <v>21134</v>
      </c>
      <c r="D16738" s="38" t="str">
        <f>IFERROR(__xludf.DUMMYFUNCTION("REGEXREPLACE(C16738,""-\d+(.*)|--\d+(.*)"","""")"),"OSMOY-SAINT-VALERY")</f>
        <v>OSMOY-SAINT-VALERY</v>
      </c>
      <c r="E16738" s="38" t="s">
        <v>133</v>
      </c>
      <c r="F16738" s="38" t="s">
        <v>134</v>
      </c>
      <c r="G16738" s="49" t="str">
        <f t="shared" si="1"/>
        <v>76660</v>
      </c>
      <c r="H16738" s="49">
        <f t="shared" si="2"/>
        <v>76487</v>
      </c>
    </row>
    <row r="16739">
      <c r="A16739" s="48" t="s">
        <v>1393</v>
      </c>
      <c r="B16739" s="38">
        <v>25481.0</v>
      </c>
      <c r="C16739" s="38" t="s">
        <v>21135</v>
      </c>
      <c r="D16739" s="38" t="str">
        <f>IFERROR(__xludf.DUMMYFUNCTION("REGEXREPLACE(C16739,""-\d+(.*)|--\d+(.*)"","""")"),"RAYNANS")</f>
        <v>RAYNANS</v>
      </c>
      <c r="E16739" s="38" t="s">
        <v>213</v>
      </c>
      <c r="F16739" s="38" t="s">
        <v>214</v>
      </c>
      <c r="G16739" s="49" t="str">
        <f t="shared" si="1"/>
        <v>25550</v>
      </c>
      <c r="H16739" s="49">
        <f t="shared" si="2"/>
        <v>25481</v>
      </c>
    </row>
    <row r="16740">
      <c r="A16740" s="48" t="s">
        <v>7107</v>
      </c>
      <c r="B16740" s="38">
        <v>10217.0</v>
      </c>
      <c r="C16740" s="38" t="s">
        <v>21136</v>
      </c>
      <c r="D16740" s="38" t="str">
        <f>IFERROR(__xludf.DUMMYFUNCTION("REGEXREPLACE(C16740,""-\d+(.*)|--\d+(.*)"","""")"),"MAISON-DES-CHAMPS")</f>
        <v>MAISON-DES-CHAMPS</v>
      </c>
      <c r="E16740" s="38" t="s">
        <v>147</v>
      </c>
      <c r="F16740" s="38" t="s">
        <v>130</v>
      </c>
      <c r="G16740" s="49" t="str">
        <f t="shared" si="1"/>
        <v>10140</v>
      </c>
      <c r="H16740" s="49">
        <f t="shared" si="2"/>
        <v>10217</v>
      </c>
    </row>
    <row r="16741">
      <c r="A16741" s="48" t="s">
        <v>8652</v>
      </c>
      <c r="B16741" s="38">
        <v>64230.0</v>
      </c>
      <c r="C16741" s="38" t="s">
        <v>21137</v>
      </c>
      <c r="D16741" s="38" t="str">
        <f>IFERROR(__xludf.DUMMYFUNCTION("REGEXREPLACE(C16741,""-\d+(.*)|--\d+(.*)"","""")"),"GAN")</f>
        <v>GAN</v>
      </c>
      <c r="E16741" s="38" t="s">
        <v>268</v>
      </c>
      <c r="F16741" s="38" t="s">
        <v>252</v>
      </c>
      <c r="G16741" s="49" t="str">
        <f t="shared" si="1"/>
        <v>64290</v>
      </c>
      <c r="H16741" s="49">
        <f t="shared" si="2"/>
        <v>64230</v>
      </c>
    </row>
    <row r="16742">
      <c r="A16742" s="48" t="s">
        <v>4358</v>
      </c>
      <c r="B16742" s="38">
        <v>1044.0</v>
      </c>
      <c r="C16742" s="38" t="s">
        <v>21138</v>
      </c>
      <c r="D16742" s="38" t="str">
        <f>IFERROR(__xludf.DUMMYFUNCTION("REGEXREPLACE(C16742,""-\d+(.*)|--\d+(.*)"","""")"),"BILLIAT")</f>
        <v>BILLIAT</v>
      </c>
      <c r="E16742" s="38" t="s">
        <v>255</v>
      </c>
      <c r="F16742" s="38" t="s">
        <v>102</v>
      </c>
      <c r="G16742" s="49" t="str">
        <f t="shared" si="1"/>
        <v>01200</v>
      </c>
      <c r="H16742" s="49" t="str">
        <f t="shared" si="2"/>
        <v>01044</v>
      </c>
    </row>
    <row r="16743">
      <c r="A16743" s="48" t="s">
        <v>18499</v>
      </c>
      <c r="B16743" s="38">
        <v>37114.0</v>
      </c>
      <c r="C16743" s="38" t="s">
        <v>21139</v>
      </c>
      <c r="D16743" s="38" t="str">
        <f>IFERROR(__xludf.DUMMYFUNCTION("REGEXREPLACE(C16743,""-\d+(.*)|--\d+(.*)"","""")"),"LA GUERCHE")</f>
        <v>LA GUERCHE</v>
      </c>
      <c r="E16743" s="38" t="s">
        <v>205</v>
      </c>
      <c r="F16743" s="38" t="s">
        <v>123</v>
      </c>
      <c r="G16743" s="49" t="str">
        <f t="shared" si="1"/>
        <v>37350</v>
      </c>
      <c r="H16743" s="49">
        <f t="shared" si="2"/>
        <v>37114</v>
      </c>
    </row>
    <row r="16744">
      <c r="A16744" s="48" t="s">
        <v>13881</v>
      </c>
      <c r="B16744" s="38">
        <v>56059.0</v>
      </c>
      <c r="C16744" s="38" t="s">
        <v>4495</v>
      </c>
      <c r="D16744" s="38" t="str">
        <f>IFERROR(__xludf.DUMMYFUNCTION("REGEXREPLACE(C16744,""-\d+(.*)|--\d+(.*)"","""")"),"LES FORGES")</f>
        <v>LES FORGES</v>
      </c>
      <c r="E16744" s="38" t="s">
        <v>173</v>
      </c>
      <c r="F16744" s="38" t="s">
        <v>90</v>
      </c>
      <c r="G16744" s="49" t="str">
        <f t="shared" si="1"/>
        <v>56120</v>
      </c>
      <c r="H16744" s="49">
        <f t="shared" si="2"/>
        <v>56059</v>
      </c>
    </row>
    <row r="16745">
      <c r="A16745" s="48" t="s">
        <v>434</v>
      </c>
      <c r="B16745" s="38">
        <v>55109.0</v>
      </c>
      <c r="C16745" s="38" t="s">
        <v>21140</v>
      </c>
      <c r="D16745" s="38" t="str">
        <f>IFERROR(__xludf.DUMMYFUNCTION("REGEXREPLACE(C16745,""-\d+(.*)|--\d+(.*)"","""")"),"CHAUVENCY-LE-CHATEAU")</f>
        <v>CHAUVENCY-LE-CHATEAU</v>
      </c>
      <c r="E16745" s="38" t="s">
        <v>322</v>
      </c>
      <c r="F16745" s="38" t="s">
        <v>195</v>
      </c>
      <c r="G16745" s="49" t="str">
        <f t="shared" si="1"/>
        <v>55600</v>
      </c>
      <c r="H16745" s="49">
        <f t="shared" si="2"/>
        <v>55109</v>
      </c>
    </row>
    <row r="16746">
      <c r="A16746" s="48" t="s">
        <v>744</v>
      </c>
      <c r="B16746" s="38">
        <v>14440.0</v>
      </c>
      <c r="C16746" s="38" t="s">
        <v>21141</v>
      </c>
      <c r="D16746" s="38" t="str">
        <f>IFERROR(__xludf.DUMMYFUNCTION("REGEXREPLACE(C16746,""-\d+(.*)|--\d+(.*)"","""")"),"MONTAMY")</f>
        <v>MONTAMY</v>
      </c>
      <c r="E16746" s="38" t="s">
        <v>137</v>
      </c>
      <c r="F16746" s="38" t="s">
        <v>138</v>
      </c>
      <c r="G16746" s="49" t="str">
        <f t="shared" si="1"/>
        <v>14260</v>
      </c>
      <c r="H16746" s="49">
        <f t="shared" si="2"/>
        <v>14440</v>
      </c>
    </row>
    <row r="16747">
      <c r="A16747" s="48" t="s">
        <v>13906</v>
      </c>
      <c r="B16747" s="38">
        <v>3192.0</v>
      </c>
      <c r="C16747" s="38" t="s">
        <v>21142</v>
      </c>
      <c r="D16747" s="38" t="str">
        <f>IFERROR(__xludf.DUMMYFUNCTION("REGEXREPLACE(C16747,""-\d+(.*)|--\d+(.*)"","""")"),"NADES")</f>
        <v>NADES</v>
      </c>
      <c r="E16747" s="38" t="s">
        <v>160</v>
      </c>
      <c r="F16747" s="38" t="s">
        <v>161</v>
      </c>
      <c r="G16747" s="49" t="str">
        <f t="shared" si="1"/>
        <v>03450</v>
      </c>
      <c r="H16747" s="49" t="str">
        <f t="shared" si="2"/>
        <v>03192</v>
      </c>
    </row>
    <row r="16748">
      <c r="A16748" s="48" t="s">
        <v>14986</v>
      </c>
      <c r="B16748" s="38">
        <v>84035.0</v>
      </c>
      <c r="C16748" s="38" t="s">
        <v>21143</v>
      </c>
      <c r="D16748" s="38" t="str">
        <f>IFERROR(__xludf.DUMMYFUNCTION("REGEXREPLACE(C16748,""-\d+(.*)|--\d+(.*)"","""")"),"CAVAILLON")</f>
        <v>CAVAILLON</v>
      </c>
      <c r="E16748" s="38" t="s">
        <v>1026</v>
      </c>
      <c r="F16748" s="38" t="s">
        <v>228</v>
      </c>
      <c r="G16748" s="49" t="str">
        <f t="shared" si="1"/>
        <v>84300</v>
      </c>
      <c r="H16748" s="49">
        <f t="shared" si="2"/>
        <v>84035</v>
      </c>
    </row>
    <row r="16749">
      <c r="A16749" s="48" t="s">
        <v>12281</v>
      </c>
      <c r="B16749" s="38">
        <v>54311.0</v>
      </c>
      <c r="C16749" s="38" t="s">
        <v>21144</v>
      </c>
      <c r="D16749" s="38" t="str">
        <f>IFERROR(__xludf.DUMMYFUNCTION("REGEXREPLACE(C16749,""-\d+(.*)|--\d+(.*)"","""")"),"LENONCOURT")</f>
        <v>LENONCOURT</v>
      </c>
      <c r="E16749" s="38" t="s">
        <v>548</v>
      </c>
      <c r="F16749" s="38" t="s">
        <v>195</v>
      </c>
      <c r="G16749" s="49" t="str">
        <f t="shared" si="1"/>
        <v>54110</v>
      </c>
      <c r="H16749" s="49">
        <f t="shared" si="2"/>
        <v>54311</v>
      </c>
    </row>
    <row r="16750">
      <c r="A16750" s="48" t="s">
        <v>2201</v>
      </c>
      <c r="B16750" s="38">
        <v>32086.0</v>
      </c>
      <c r="C16750" s="38" t="s">
        <v>21145</v>
      </c>
      <c r="D16750" s="38" t="str">
        <f>IFERROR(__xludf.DUMMYFUNCTION("REGEXREPLACE(C16750,""-\d+(.*)|--\d+(.*)"","""")"),"CASTEX")</f>
        <v>CASTEX</v>
      </c>
      <c r="E16750" s="38" t="s">
        <v>440</v>
      </c>
      <c r="F16750" s="38" t="s">
        <v>94</v>
      </c>
      <c r="G16750" s="49" t="str">
        <f t="shared" si="1"/>
        <v>32170</v>
      </c>
      <c r="H16750" s="49">
        <f t="shared" si="2"/>
        <v>32086</v>
      </c>
    </row>
    <row r="16751">
      <c r="A16751" s="48" t="s">
        <v>13881</v>
      </c>
      <c r="B16751" s="38">
        <v>56160.0</v>
      </c>
      <c r="C16751" s="38" t="s">
        <v>21146</v>
      </c>
      <c r="D16751" s="38" t="str">
        <f>IFERROR(__xludf.DUMMYFUNCTION("REGEXREPLACE(C16751,""-\d+(.*)|--\d+(.*)"","""")"),"PLEUGRIFFET")</f>
        <v>PLEUGRIFFET</v>
      </c>
      <c r="E16751" s="38" t="s">
        <v>173</v>
      </c>
      <c r="F16751" s="38" t="s">
        <v>90</v>
      </c>
      <c r="G16751" s="49" t="str">
        <f t="shared" si="1"/>
        <v>56120</v>
      </c>
      <c r="H16751" s="49">
        <f t="shared" si="2"/>
        <v>56160</v>
      </c>
    </row>
    <row r="16752">
      <c r="A16752" s="48" t="s">
        <v>2726</v>
      </c>
      <c r="B16752" s="38">
        <v>46135.0</v>
      </c>
      <c r="C16752" s="38" t="s">
        <v>21147</v>
      </c>
      <c r="D16752" s="38" t="str">
        <f>IFERROR(__xludf.DUMMYFUNCTION("REGEXREPLACE(C16752,""-\d+(.*)|--\d+(.*)"","""")"),"LABASTIDE-DU-HAUT-MONT")</f>
        <v>LABASTIDE-DU-HAUT-MONT</v>
      </c>
      <c r="E16752" s="38" t="s">
        <v>185</v>
      </c>
      <c r="F16752" s="38" t="s">
        <v>94</v>
      </c>
      <c r="G16752" s="49" t="str">
        <f t="shared" si="1"/>
        <v>46210</v>
      </c>
      <c r="H16752" s="49">
        <f t="shared" si="2"/>
        <v>46135</v>
      </c>
    </row>
    <row r="16753">
      <c r="A16753" s="48" t="s">
        <v>1352</v>
      </c>
      <c r="B16753" s="38">
        <v>79023.0</v>
      </c>
      <c r="C16753" s="38" t="s">
        <v>21148</v>
      </c>
      <c r="D16753" s="38" t="str">
        <f>IFERROR(__xludf.DUMMYFUNCTION("REGEXREPLACE(C16753,""-\d+(.*)|--\d+(.*)"","""")"),"AVON")</f>
        <v>AVON</v>
      </c>
      <c r="E16753" s="38" t="s">
        <v>337</v>
      </c>
      <c r="F16753" s="38" t="s">
        <v>338</v>
      </c>
      <c r="G16753" s="49" t="str">
        <f t="shared" si="1"/>
        <v>79800</v>
      </c>
      <c r="H16753" s="49">
        <f t="shared" si="2"/>
        <v>79023</v>
      </c>
    </row>
    <row r="16754">
      <c r="A16754" s="48" t="s">
        <v>3172</v>
      </c>
      <c r="B16754" s="38">
        <v>28370.0</v>
      </c>
      <c r="C16754" s="38" t="s">
        <v>21149</v>
      </c>
      <c r="D16754" s="38" t="str">
        <f>IFERROR(__xludf.DUMMYFUNCTION("REGEXREPLACE(C16754,""-\d+(.*)|--\d+(.*)"","""")"),"SAUMERAY")</f>
        <v>SAUMERAY</v>
      </c>
      <c r="E16754" s="38" t="s">
        <v>300</v>
      </c>
      <c r="F16754" s="38" t="s">
        <v>123</v>
      </c>
      <c r="G16754" s="49" t="str">
        <f t="shared" si="1"/>
        <v>28800</v>
      </c>
      <c r="H16754" s="49">
        <f t="shared" si="2"/>
        <v>28370</v>
      </c>
    </row>
    <row r="16755">
      <c r="A16755" s="48" t="s">
        <v>9451</v>
      </c>
      <c r="B16755" s="38">
        <v>22205.0</v>
      </c>
      <c r="C16755" s="38" t="s">
        <v>21150</v>
      </c>
      <c r="D16755" s="38" t="str">
        <f>IFERROR(__xludf.DUMMYFUNCTION("REGEXREPLACE(C16755,""-\d+(.*)|--\d+(.*)"","""")"),"PLOREC-SUR-ARGUENON")</f>
        <v>PLOREC-SUR-ARGUENON</v>
      </c>
      <c r="E16755" s="38" t="s">
        <v>89</v>
      </c>
      <c r="F16755" s="38" t="s">
        <v>90</v>
      </c>
      <c r="G16755" s="49" t="str">
        <f t="shared" si="1"/>
        <v>22130</v>
      </c>
      <c r="H16755" s="49">
        <f t="shared" si="2"/>
        <v>22205</v>
      </c>
    </row>
    <row r="16756">
      <c r="A16756" s="48" t="s">
        <v>2594</v>
      </c>
      <c r="B16756" s="38">
        <v>69065.0</v>
      </c>
      <c r="C16756" s="38" t="s">
        <v>21151</v>
      </c>
      <c r="D16756" s="38" t="str">
        <f>IFERROR(__xludf.DUMMYFUNCTION("REGEXREPLACE(C16756,""-\d+(.*)|--\d+(.*)"","""")"),"CORCELLES-EN-BEAUJOLAIS")</f>
        <v>CORCELLES-EN-BEAUJOLAIS</v>
      </c>
      <c r="E16756" s="38" t="s">
        <v>350</v>
      </c>
      <c r="F16756" s="38" t="s">
        <v>102</v>
      </c>
      <c r="G16756" s="49" t="str">
        <f t="shared" si="1"/>
        <v>69220</v>
      </c>
      <c r="H16756" s="49">
        <f t="shared" si="2"/>
        <v>69065</v>
      </c>
    </row>
    <row r="16757">
      <c r="A16757" s="48" t="s">
        <v>3208</v>
      </c>
      <c r="B16757" s="38">
        <v>80274.0</v>
      </c>
      <c r="C16757" s="38" t="s">
        <v>21152</v>
      </c>
      <c r="D16757" s="38" t="str">
        <f>IFERROR(__xludf.DUMMYFUNCTION("REGEXREPLACE(C16757,""-\d+(.*)|--\d+(.*)"","""")"),"EPPEVILLE")</f>
        <v>EPPEVILLE</v>
      </c>
      <c r="E16757" s="38" t="s">
        <v>224</v>
      </c>
      <c r="F16757" s="38" t="s">
        <v>113</v>
      </c>
      <c r="G16757" s="49" t="str">
        <f t="shared" si="1"/>
        <v>80400</v>
      </c>
      <c r="H16757" s="49">
        <f t="shared" si="2"/>
        <v>80274</v>
      </c>
    </row>
    <row r="16758">
      <c r="A16758" s="48" t="s">
        <v>21153</v>
      </c>
      <c r="B16758" s="38">
        <v>69273.0</v>
      </c>
      <c r="C16758" s="38" t="s">
        <v>21154</v>
      </c>
      <c r="D16758" s="38" t="str">
        <f>IFERROR(__xludf.DUMMYFUNCTION("REGEXREPLACE(C16758,""-\d+(.*)|--\d+(.*)"","""")"),"CORBAS")</f>
        <v>CORBAS</v>
      </c>
      <c r="E16758" s="38" t="s">
        <v>350</v>
      </c>
      <c r="F16758" s="38" t="s">
        <v>102</v>
      </c>
      <c r="G16758" s="49" t="str">
        <f t="shared" si="1"/>
        <v>69960</v>
      </c>
      <c r="H16758" s="49">
        <f t="shared" si="2"/>
        <v>69273</v>
      </c>
    </row>
    <row r="16759">
      <c r="A16759" s="48" t="s">
        <v>900</v>
      </c>
      <c r="B16759" s="38">
        <v>12014.0</v>
      </c>
      <c r="C16759" s="38" t="s">
        <v>21155</v>
      </c>
      <c r="D16759" s="38" t="str">
        <f>IFERROR(__xludf.DUMMYFUNCTION("REGEXREPLACE(C16759,""-\d+(.*)|--\d+(.*)"","""")"),"AURELLE-VERLAC")</f>
        <v>AURELLE-VERLAC</v>
      </c>
      <c r="E16759" s="38" t="s">
        <v>465</v>
      </c>
      <c r="F16759" s="38" t="s">
        <v>94</v>
      </c>
      <c r="G16759" s="49" t="str">
        <f t="shared" si="1"/>
        <v>12130</v>
      </c>
      <c r="H16759" s="49">
        <f t="shared" si="2"/>
        <v>12014</v>
      </c>
    </row>
    <row r="16760">
      <c r="A16760" s="48" t="s">
        <v>20465</v>
      </c>
      <c r="B16760" s="38">
        <v>87183.0</v>
      </c>
      <c r="C16760" s="38" t="s">
        <v>21156</v>
      </c>
      <c r="D16760" s="38" t="str">
        <f>IFERROR(__xludf.DUMMYFUNCTION("REGEXREPLACE(C16760,""-\d+(.*)|--\d+(.*)"","""")"),"SAINT-SYLVESTRE")</f>
        <v>SAINT-SYLVESTRE</v>
      </c>
      <c r="E16760" s="38" t="s">
        <v>897</v>
      </c>
      <c r="F16760" s="38" t="s">
        <v>98</v>
      </c>
      <c r="G16760" s="49" t="str">
        <f t="shared" si="1"/>
        <v>87240</v>
      </c>
      <c r="H16760" s="49">
        <f t="shared" si="2"/>
        <v>87183</v>
      </c>
    </row>
    <row r="16761">
      <c r="A16761" s="48" t="s">
        <v>21157</v>
      </c>
      <c r="B16761" s="38">
        <v>17247.0</v>
      </c>
      <c r="C16761" s="38" t="s">
        <v>21158</v>
      </c>
      <c r="D16761" s="38" t="str">
        <f>IFERROR(__xludf.DUMMYFUNCTION("REGEXREPLACE(C16761,""-\d+(.*)|--\d+(.*)"","""")"),"MORNAC-SUR-SEUDRE")</f>
        <v>MORNAC-SUR-SEUDRE</v>
      </c>
      <c r="E16761" s="38" t="s">
        <v>488</v>
      </c>
      <c r="F16761" s="38" t="s">
        <v>338</v>
      </c>
      <c r="G16761" s="49" t="str">
        <f t="shared" si="1"/>
        <v>17113</v>
      </c>
      <c r="H16761" s="49">
        <f t="shared" si="2"/>
        <v>17247</v>
      </c>
    </row>
    <row r="16762">
      <c r="A16762" s="48" t="s">
        <v>4243</v>
      </c>
      <c r="B16762" s="38">
        <v>22033.0</v>
      </c>
      <c r="C16762" s="38" t="s">
        <v>10856</v>
      </c>
      <c r="D16762" s="38" t="str">
        <f>IFERROR(__xludf.DUMMYFUNCTION("REGEXREPLACE(C16762,""-\d+(.*)|--\d+(.*)"","""")"),"CAUREL")</f>
        <v>CAUREL</v>
      </c>
      <c r="E16762" s="38" t="s">
        <v>89</v>
      </c>
      <c r="F16762" s="38" t="s">
        <v>90</v>
      </c>
      <c r="G16762" s="49" t="str">
        <f t="shared" si="1"/>
        <v>22530</v>
      </c>
      <c r="H16762" s="49">
        <f t="shared" si="2"/>
        <v>22033</v>
      </c>
    </row>
    <row r="16763">
      <c r="A16763" s="48" t="s">
        <v>2770</v>
      </c>
      <c r="B16763" s="38">
        <v>25427.0</v>
      </c>
      <c r="C16763" s="38" t="s">
        <v>21159</v>
      </c>
      <c r="D16763" s="38" t="str">
        <f>IFERROR(__xludf.DUMMYFUNCTION("REGEXREPLACE(C16763,""-\d+(.*)|--\d+(.*)"","""")"),"NOIRONTE")</f>
        <v>NOIRONTE</v>
      </c>
      <c r="E16763" s="38" t="s">
        <v>213</v>
      </c>
      <c r="F16763" s="38" t="s">
        <v>214</v>
      </c>
      <c r="G16763" s="49" t="str">
        <f t="shared" si="1"/>
        <v>25170</v>
      </c>
      <c r="H16763" s="49">
        <f t="shared" si="2"/>
        <v>25427</v>
      </c>
    </row>
    <row r="16764">
      <c r="A16764" s="48" t="s">
        <v>1201</v>
      </c>
      <c r="B16764" s="38">
        <v>78329.0</v>
      </c>
      <c r="C16764" s="38" t="s">
        <v>21160</v>
      </c>
      <c r="D16764" s="38" t="str">
        <f>IFERROR(__xludf.DUMMYFUNCTION("REGEXREPLACE(C16764,""-\d+(.*)|--\d+(.*)"","""")"),"LAINVILLE-EN-VEXIN")</f>
        <v>LAINVILLE-EN-VEXIN</v>
      </c>
      <c r="E16764" s="38" t="s">
        <v>362</v>
      </c>
      <c r="F16764" s="38" t="s">
        <v>245</v>
      </c>
      <c r="G16764" s="49" t="str">
        <f t="shared" si="1"/>
        <v>78440</v>
      </c>
      <c r="H16764" s="49">
        <f t="shared" si="2"/>
        <v>78329</v>
      </c>
    </row>
    <row r="16765">
      <c r="A16765" s="48" t="s">
        <v>21161</v>
      </c>
      <c r="B16765" s="38">
        <v>53086.0</v>
      </c>
      <c r="C16765" s="38" t="s">
        <v>21162</v>
      </c>
      <c r="D16765" s="38" t="str">
        <f>IFERROR(__xludf.DUMMYFUNCTION("REGEXREPLACE(C16765,""-\d+(.*)|--\d+(.*)"","""")"),"LA CROIXILLE")</f>
        <v>LA CROIXILLE</v>
      </c>
      <c r="E16765" s="38" t="s">
        <v>518</v>
      </c>
      <c r="F16765" s="38" t="s">
        <v>180</v>
      </c>
      <c r="G16765" s="49" t="str">
        <f t="shared" si="1"/>
        <v>53380</v>
      </c>
      <c r="H16765" s="49">
        <f t="shared" si="2"/>
        <v>53086</v>
      </c>
    </row>
    <row r="16766">
      <c r="A16766" s="48" t="s">
        <v>1787</v>
      </c>
      <c r="B16766" s="38">
        <v>62067.0</v>
      </c>
      <c r="C16766" s="38" t="s">
        <v>21163</v>
      </c>
      <c r="D16766" s="38" t="str">
        <f>IFERROR(__xludf.DUMMYFUNCTION("REGEXREPLACE(C16766,""-\d+(.*)|--\d+(.*)"","""")"),"AVROULT")</f>
        <v>AVROULT</v>
      </c>
      <c r="E16766" s="38" t="s">
        <v>109</v>
      </c>
      <c r="F16766" s="38" t="s">
        <v>86</v>
      </c>
      <c r="G16766" s="49" t="str">
        <f t="shared" si="1"/>
        <v>62560</v>
      </c>
      <c r="H16766" s="49">
        <f t="shared" si="2"/>
        <v>62067</v>
      </c>
    </row>
    <row r="16767">
      <c r="A16767" s="48" t="s">
        <v>20673</v>
      </c>
      <c r="B16767" s="38">
        <v>22227.0</v>
      </c>
      <c r="C16767" s="38" t="s">
        <v>21164</v>
      </c>
      <c r="D16767" s="38" t="str">
        <f>IFERROR(__xludf.DUMMYFUNCTION("REGEXREPLACE(C16767,""-\d+(.*)|--\d+(.*)"","""")"),"PLOUNERIN")</f>
        <v>PLOUNERIN</v>
      </c>
      <c r="E16767" s="38" t="s">
        <v>89</v>
      </c>
      <c r="F16767" s="38" t="s">
        <v>90</v>
      </c>
      <c r="G16767" s="49" t="str">
        <f t="shared" si="1"/>
        <v>22780</v>
      </c>
      <c r="H16767" s="49">
        <f t="shared" si="2"/>
        <v>22227</v>
      </c>
    </row>
    <row r="16768">
      <c r="A16768" s="48" t="s">
        <v>15700</v>
      </c>
      <c r="B16768" s="38">
        <v>53213.0</v>
      </c>
      <c r="C16768" s="38" t="s">
        <v>21165</v>
      </c>
      <c r="D16768" s="38" t="str">
        <f>IFERROR(__xludf.DUMMYFUNCTION("REGEXREPLACE(C16768,""-\d+(.*)|--\d+(.*)"","""")"),"SAINT-ELLIER-DU-MAINE")</f>
        <v>SAINT-ELLIER-DU-MAINE</v>
      </c>
      <c r="E16768" s="38" t="s">
        <v>518</v>
      </c>
      <c r="F16768" s="38" t="s">
        <v>180</v>
      </c>
      <c r="G16768" s="49" t="str">
        <f t="shared" si="1"/>
        <v>53220</v>
      </c>
      <c r="H16768" s="49">
        <f t="shared" si="2"/>
        <v>53213</v>
      </c>
    </row>
    <row r="16769">
      <c r="A16769" s="48" t="s">
        <v>2239</v>
      </c>
      <c r="B16769" s="38">
        <v>87035.0</v>
      </c>
      <c r="C16769" s="38" t="s">
        <v>21166</v>
      </c>
      <c r="D16769" s="38" t="str">
        <f>IFERROR(__xludf.DUMMYFUNCTION("REGEXREPLACE(C16769,""-\d+(.*)|--\d+(.*)"","""")"),"CHAMPNETERY")</f>
        <v>CHAMPNETERY</v>
      </c>
      <c r="E16769" s="38" t="s">
        <v>897</v>
      </c>
      <c r="F16769" s="38" t="s">
        <v>98</v>
      </c>
      <c r="G16769" s="49" t="str">
        <f t="shared" si="1"/>
        <v>87400</v>
      </c>
      <c r="H16769" s="49">
        <f t="shared" si="2"/>
        <v>87035</v>
      </c>
    </row>
    <row r="16770">
      <c r="A16770" s="48" t="s">
        <v>6517</v>
      </c>
      <c r="B16770" s="38">
        <v>50071.0</v>
      </c>
      <c r="C16770" s="38" t="s">
        <v>21167</v>
      </c>
      <c r="D16770" s="38" t="str">
        <f>IFERROR(__xludf.DUMMYFUNCTION("REGEXREPLACE(C16770,""-\d+(.*)|--\d+(.*)"","""")"),"BRAFFAIS")</f>
        <v>BRAFFAIS</v>
      </c>
      <c r="E16770" s="38" t="s">
        <v>157</v>
      </c>
      <c r="F16770" s="38" t="s">
        <v>138</v>
      </c>
      <c r="G16770" s="49" t="str">
        <f t="shared" si="1"/>
        <v>50870</v>
      </c>
      <c r="H16770" s="49">
        <f t="shared" si="2"/>
        <v>50071</v>
      </c>
    </row>
    <row r="16771">
      <c r="A16771" s="48" t="s">
        <v>5455</v>
      </c>
      <c r="B16771" s="38">
        <v>91339.0</v>
      </c>
      <c r="C16771" s="38" t="s">
        <v>21168</v>
      </c>
      <c r="D16771" s="38" t="str">
        <f>IFERROR(__xludf.DUMMYFUNCTION("REGEXREPLACE(C16771,""-\d+(.*)|--\d+(.*)"","""")"),"LINAS")</f>
        <v>LINAS</v>
      </c>
      <c r="E16771" s="38" t="s">
        <v>756</v>
      </c>
      <c r="F16771" s="38" t="s">
        <v>245</v>
      </c>
      <c r="G16771" s="49" t="str">
        <f t="shared" si="1"/>
        <v>91310</v>
      </c>
      <c r="H16771" s="49">
        <f t="shared" si="2"/>
        <v>91339</v>
      </c>
    </row>
    <row r="16772">
      <c r="A16772" s="48" t="s">
        <v>1896</v>
      </c>
      <c r="B16772" s="38">
        <v>51338.0</v>
      </c>
      <c r="C16772" s="38" t="s">
        <v>21169</v>
      </c>
      <c r="D16772" s="38" t="str">
        <f>IFERROR(__xludf.DUMMYFUNCTION("REGEXREPLACE(C16772,""-\d+(.*)|--\d+(.*)"","""")"),"MAILLY-CHAMPAGNE")</f>
        <v>MAILLY-CHAMPAGNE</v>
      </c>
      <c r="E16772" s="38" t="s">
        <v>129</v>
      </c>
      <c r="F16772" s="38" t="s">
        <v>130</v>
      </c>
      <c r="G16772" s="49" t="str">
        <f t="shared" si="1"/>
        <v>51500</v>
      </c>
      <c r="H16772" s="49">
        <f t="shared" si="2"/>
        <v>51338</v>
      </c>
    </row>
    <row r="16773">
      <c r="A16773" s="48" t="s">
        <v>2579</v>
      </c>
      <c r="B16773" s="38">
        <v>32430.0</v>
      </c>
      <c r="C16773" s="38" t="s">
        <v>21170</v>
      </c>
      <c r="D16773" s="38" t="str">
        <f>IFERROR(__xludf.DUMMYFUNCTION("REGEXREPLACE(C16773,""-\d+(.*)|--\d+(.*)"","""")"),"SERE")</f>
        <v>SERE</v>
      </c>
      <c r="E16773" s="38" t="s">
        <v>440</v>
      </c>
      <c r="F16773" s="38" t="s">
        <v>94</v>
      </c>
      <c r="G16773" s="49" t="str">
        <f t="shared" si="1"/>
        <v>32140</v>
      </c>
      <c r="H16773" s="49">
        <f t="shared" si="2"/>
        <v>32430</v>
      </c>
    </row>
    <row r="16774">
      <c r="A16774" s="48" t="s">
        <v>862</v>
      </c>
      <c r="B16774" s="38">
        <v>27476.0</v>
      </c>
      <c r="C16774" s="38" t="s">
        <v>21171</v>
      </c>
      <c r="D16774" s="38" t="str">
        <f>IFERROR(__xludf.DUMMYFUNCTION("REGEXREPLACE(C16774,""-\d+(.*)|--\d+(.*)"","""")"),"LES PREAUX")</f>
        <v>LES PREAUX</v>
      </c>
      <c r="E16774" s="38" t="s">
        <v>241</v>
      </c>
      <c r="F16774" s="38" t="s">
        <v>134</v>
      </c>
      <c r="G16774" s="49" t="str">
        <f t="shared" si="1"/>
        <v>27500</v>
      </c>
      <c r="H16774" s="49">
        <f t="shared" si="2"/>
        <v>27476</v>
      </c>
    </row>
    <row r="16775">
      <c r="A16775" s="48" t="s">
        <v>21172</v>
      </c>
      <c r="B16775" s="38">
        <v>93051.0</v>
      </c>
      <c r="C16775" s="38" t="s">
        <v>21173</v>
      </c>
      <c r="D16775" s="38" t="str">
        <f>IFERROR(__xludf.DUMMYFUNCTION("REGEXREPLACE(C16775,""-\d+(.*)|--\d+(.*)"","""")"),"NOISY-LE-GRAND")</f>
        <v>NOISY-LE-GRAND</v>
      </c>
      <c r="E16775" s="38" t="s">
        <v>341</v>
      </c>
      <c r="F16775" s="38" t="s">
        <v>245</v>
      </c>
      <c r="G16775" s="49" t="str">
        <f t="shared" si="1"/>
        <v>93160</v>
      </c>
      <c r="H16775" s="49">
        <f t="shared" si="2"/>
        <v>93051</v>
      </c>
    </row>
    <row r="16776">
      <c r="A16776" s="48" t="s">
        <v>10063</v>
      </c>
      <c r="B16776" s="38">
        <v>18086.0</v>
      </c>
      <c r="C16776" s="38" t="s">
        <v>21174</v>
      </c>
      <c r="D16776" s="38" t="str">
        <f>IFERROR(__xludf.DUMMYFUNCTION("REGEXREPLACE(C16776,""-\d+(.*)|--\d+(.*)"","""")"),"DREVANT")</f>
        <v>DREVANT</v>
      </c>
      <c r="E16776" s="38" t="s">
        <v>504</v>
      </c>
      <c r="F16776" s="38" t="s">
        <v>123</v>
      </c>
      <c r="G16776" s="49" t="str">
        <f t="shared" si="1"/>
        <v>18200</v>
      </c>
      <c r="H16776" s="49">
        <f t="shared" si="2"/>
        <v>18086</v>
      </c>
    </row>
    <row r="16777">
      <c r="A16777" s="48" t="s">
        <v>10270</v>
      </c>
      <c r="B16777" s="38">
        <v>37278.0</v>
      </c>
      <c r="C16777" s="38" t="s">
        <v>21175</v>
      </c>
      <c r="D16777" s="38" t="str">
        <f>IFERROR(__xludf.DUMMYFUNCTION("REGEXREPLACE(C16777,""-\d+(.*)|--\d+(.*)"","""")"),"VILLEPERDUE")</f>
        <v>VILLEPERDUE</v>
      </c>
      <c r="E16777" s="38" t="s">
        <v>205</v>
      </c>
      <c r="F16777" s="38" t="s">
        <v>123</v>
      </c>
      <c r="G16777" s="49" t="str">
        <f t="shared" si="1"/>
        <v>37260</v>
      </c>
      <c r="H16777" s="49">
        <f t="shared" si="2"/>
        <v>37278</v>
      </c>
    </row>
    <row r="16778">
      <c r="A16778" s="48" t="s">
        <v>177</v>
      </c>
      <c r="B16778" s="38">
        <v>85251.0</v>
      </c>
      <c r="C16778" s="38" t="s">
        <v>21176</v>
      </c>
      <c r="D16778" s="38" t="str">
        <f>IFERROR(__xludf.DUMMYFUNCTION("REGEXREPLACE(C16778,""-\d+(.*)|--\d+(.*)"","""")"),"SAINT-MAURICE-DES-NOUES")</f>
        <v>SAINT-MAURICE-DES-NOUES</v>
      </c>
      <c r="E16778" s="38" t="s">
        <v>179</v>
      </c>
      <c r="F16778" s="38" t="s">
        <v>180</v>
      </c>
      <c r="G16778" s="49" t="str">
        <f t="shared" si="1"/>
        <v>85120</v>
      </c>
      <c r="H16778" s="49">
        <f t="shared" si="2"/>
        <v>85251</v>
      </c>
    </row>
    <row r="16779">
      <c r="A16779" s="48" t="s">
        <v>2176</v>
      </c>
      <c r="B16779" s="38">
        <v>62442.0</v>
      </c>
      <c r="C16779" s="38" t="s">
        <v>21177</v>
      </c>
      <c r="D16779" s="38" t="str">
        <f>IFERROR(__xludf.DUMMYFUNCTION("REGEXREPLACE(C16779,""-\d+(.*)|--\d+(.*)"","""")"),"HERNICOURT")</f>
        <v>HERNICOURT</v>
      </c>
      <c r="E16779" s="38" t="s">
        <v>109</v>
      </c>
      <c r="F16779" s="38" t="s">
        <v>86</v>
      </c>
      <c r="G16779" s="49" t="str">
        <f t="shared" si="1"/>
        <v>62130</v>
      </c>
      <c r="H16779" s="49">
        <f t="shared" si="2"/>
        <v>62442</v>
      </c>
    </row>
    <row r="16780">
      <c r="A16780" s="48" t="s">
        <v>5218</v>
      </c>
      <c r="B16780" s="38">
        <v>6048.0</v>
      </c>
      <c r="C16780" s="38" t="s">
        <v>15940</v>
      </c>
      <c r="D16780" s="38" t="str">
        <f>IFERROR(__xludf.DUMMYFUNCTION("REGEXREPLACE(C16780,""-\d+(.*)|--\d+(.*)"","""")"),"CONTES")</f>
        <v>CONTES</v>
      </c>
      <c r="E16780" s="38" t="s">
        <v>227</v>
      </c>
      <c r="F16780" s="38" t="s">
        <v>228</v>
      </c>
      <c r="G16780" s="49" t="str">
        <f t="shared" si="1"/>
        <v>06390</v>
      </c>
      <c r="H16780" s="49" t="str">
        <f t="shared" si="2"/>
        <v>06048</v>
      </c>
    </row>
    <row r="16781">
      <c r="A16781" s="48" t="s">
        <v>8349</v>
      </c>
      <c r="B16781" s="38">
        <v>34130.0</v>
      </c>
      <c r="C16781" s="38" t="s">
        <v>21178</v>
      </c>
      <c r="D16781" s="38" t="str">
        <f>IFERROR(__xludf.DUMMYFUNCTION("REGEXREPLACE(C16781,""-\d+(.*)|--\d+(.*)"","""")"),"LAURENS")</f>
        <v>LAURENS</v>
      </c>
      <c r="E16781" s="38" t="s">
        <v>118</v>
      </c>
      <c r="F16781" s="38" t="s">
        <v>119</v>
      </c>
      <c r="G16781" s="49" t="str">
        <f t="shared" si="1"/>
        <v>34480</v>
      </c>
      <c r="H16781" s="49">
        <f t="shared" si="2"/>
        <v>34130</v>
      </c>
    </row>
    <row r="16782">
      <c r="A16782" s="48" t="s">
        <v>6075</v>
      </c>
      <c r="B16782" s="38">
        <v>63442.0</v>
      </c>
      <c r="C16782" s="38" t="s">
        <v>21179</v>
      </c>
      <c r="D16782" s="38" t="str">
        <f>IFERROR(__xludf.DUMMYFUNCTION("REGEXREPLACE(C16782,""-\d+(.*)|--\d+(.*)"","""")"),"VALZ-SOUS-CHATEAUNEUF")</f>
        <v>VALZ-SOUS-CHATEAUNEUF</v>
      </c>
      <c r="E16782" s="38" t="s">
        <v>353</v>
      </c>
      <c r="F16782" s="38" t="s">
        <v>161</v>
      </c>
      <c r="G16782" s="49" t="str">
        <f t="shared" si="1"/>
        <v>63580</v>
      </c>
      <c r="H16782" s="49">
        <f t="shared" si="2"/>
        <v>63442</v>
      </c>
    </row>
    <row r="16783">
      <c r="A16783" s="48" t="s">
        <v>704</v>
      </c>
      <c r="B16783" s="38">
        <v>5011.0</v>
      </c>
      <c r="C16783" s="38" t="s">
        <v>21180</v>
      </c>
      <c r="D16783" s="38" t="str">
        <f>IFERROR(__xludf.DUMMYFUNCTION("REGEXREPLACE(C16783,""-\d+(.*)|--\d+(.*)"","""")"),"AVANCON")</f>
        <v>AVANCON</v>
      </c>
      <c r="E16783" s="38" t="s">
        <v>706</v>
      </c>
      <c r="F16783" s="38" t="s">
        <v>228</v>
      </c>
      <c r="G16783" s="49" t="str">
        <f t="shared" si="1"/>
        <v>05230</v>
      </c>
      <c r="H16783" s="49" t="str">
        <f t="shared" si="2"/>
        <v>05011</v>
      </c>
    </row>
    <row r="16784">
      <c r="A16784" s="48" t="s">
        <v>10366</v>
      </c>
      <c r="B16784" s="38">
        <v>1273.0</v>
      </c>
      <c r="C16784" s="38" t="s">
        <v>21181</v>
      </c>
      <c r="D16784" s="38" t="str">
        <f>IFERROR(__xludf.DUMMYFUNCTION("REGEXREPLACE(C16784,""-\d+(.*)|--\d+(.*)"","""")"),"NEUVILLE-SUR-AIN")</f>
        <v>NEUVILLE-SUR-AIN</v>
      </c>
      <c r="E16784" s="38" t="s">
        <v>255</v>
      </c>
      <c r="F16784" s="38" t="s">
        <v>102</v>
      </c>
      <c r="G16784" s="49" t="str">
        <f t="shared" si="1"/>
        <v>01160</v>
      </c>
      <c r="H16784" s="49" t="str">
        <f t="shared" si="2"/>
        <v>01273</v>
      </c>
    </row>
    <row r="16785">
      <c r="A16785" s="48" t="s">
        <v>7845</v>
      </c>
      <c r="B16785" s="38">
        <v>12028.0</v>
      </c>
      <c r="C16785" s="38" t="s">
        <v>21182</v>
      </c>
      <c r="D16785" s="38" t="str">
        <f>IFERROR(__xludf.DUMMYFUNCTION("REGEXREPLACE(C16785,""-\d+(.*)|--\d+(.*)"","""")"),"BOISSE-PENCHOT")</f>
        <v>BOISSE-PENCHOT</v>
      </c>
      <c r="E16785" s="38" t="s">
        <v>465</v>
      </c>
      <c r="F16785" s="38" t="s">
        <v>94</v>
      </c>
      <c r="G16785" s="49" t="str">
        <f t="shared" si="1"/>
        <v>12300</v>
      </c>
      <c r="H16785" s="49">
        <f t="shared" si="2"/>
        <v>12028</v>
      </c>
    </row>
    <row r="16786">
      <c r="A16786" s="48" t="s">
        <v>4274</v>
      </c>
      <c r="B16786" s="38">
        <v>52233.0</v>
      </c>
      <c r="C16786" s="38" t="s">
        <v>21183</v>
      </c>
      <c r="D16786" s="38" t="str">
        <f>IFERROR(__xludf.DUMMYFUNCTION("REGEXREPLACE(C16786,""-\d+(.*)|--\d+(.*)"","""")"),"GUYONVELLE")</f>
        <v>GUYONVELLE</v>
      </c>
      <c r="E16786" s="38" t="s">
        <v>234</v>
      </c>
      <c r="F16786" s="38" t="s">
        <v>130</v>
      </c>
      <c r="G16786" s="49" t="str">
        <f t="shared" si="1"/>
        <v>52400</v>
      </c>
      <c r="H16786" s="49">
        <f t="shared" si="2"/>
        <v>52233</v>
      </c>
    </row>
    <row r="16787">
      <c r="A16787" s="48" t="s">
        <v>2190</v>
      </c>
      <c r="B16787" s="38">
        <v>10268.0</v>
      </c>
      <c r="C16787" s="38" t="s">
        <v>21184</v>
      </c>
      <c r="D16787" s="38" t="str">
        <f>IFERROR(__xludf.DUMMYFUNCTION("REGEXREPLACE(C16787,""-\d+(.*)|--\d+(.*)"","""")"),"NOGENT-SUR-SEINE")</f>
        <v>NOGENT-SUR-SEINE</v>
      </c>
      <c r="E16787" s="38" t="s">
        <v>147</v>
      </c>
      <c r="F16787" s="38" t="s">
        <v>130</v>
      </c>
      <c r="G16787" s="49" t="str">
        <f t="shared" si="1"/>
        <v>10400</v>
      </c>
      <c r="H16787" s="49">
        <f t="shared" si="2"/>
        <v>10268</v>
      </c>
    </row>
    <row r="16788">
      <c r="A16788" s="48" t="s">
        <v>1310</v>
      </c>
      <c r="B16788" s="38">
        <v>25208.0</v>
      </c>
      <c r="C16788" s="38" t="s">
        <v>21185</v>
      </c>
      <c r="D16788" s="38" t="str">
        <f>IFERROR(__xludf.DUMMYFUNCTION("REGEXREPLACE(C16788,""-\d+(.*)|--\d+(.*)"","""")"),"DURNES")</f>
        <v>DURNES</v>
      </c>
      <c r="E16788" s="38" t="s">
        <v>213</v>
      </c>
      <c r="F16788" s="38" t="s">
        <v>214</v>
      </c>
      <c r="G16788" s="49" t="str">
        <f t="shared" si="1"/>
        <v>25580</v>
      </c>
      <c r="H16788" s="49">
        <f t="shared" si="2"/>
        <v>25208</v>
      </c>
    </row>
    <row r="16789">
      <c r="A16789" s="48" t="s">
        <v>4088</v>
      </c>
      <c r="B16789" s="38">
        <v>39143.0</v>
      </c>
      <c r="C16789" s="38" t="s">
        <v>21186</v>
      </c>
      <c r="D16789" s="38" t="str">
        <f>IFERROR(__xludf.DUMMYFUNCTION("REGEXREPLACE(C16789,""-\d+(.*)|--\d+(.*)"","""")"),"CHEVROTAINE")</f>
        <v>CHEVROTAINE</v>
      </c>
      <c r="E16789" s="38" t="s">
        <v>400</v>
      </c>
      <c r="F16789" s="38" t="s">
        <v>214</v>
      </c>
      <c r="G16789" s="49" t="str">
        <f t="shared" si="1"/>
        <v>39130</v>
      </c>
      <c r="H16789" s="49">
        <f t="shared" si="2"/>
        <v>39143</v>
      </c>
    </row>
    <row r="16790">
      <c r="A16790" s="48" t="s">
        <v>1000</v>
      </c>
      <c r="B16790" s="38">
        <v>70172.0</v>
      </c>
      <c r="C16790" s="38" t="s">
        <v>21187</v>
      </c>
      <c r="D16790" s="38" t="str">
        <f>IFERROR(__xludf.DUMMYFUNCTION("REGEXREPLACE(C16790,""-\d+(.*)|--\d+(.*)"","""")"),"LA CORBIERE")</f>
        <v>LA CORBIERE</v>
      </c>
      <c r="E16790" s="38" t="s">
        <v>956</v>
      </c>
      <c r="F16790" s="38" t="s">
        <v>214</v>
      </c>
      <c r="G16790" s="49" t="str">
        <f t="shared" si="1"/>
        <v>70300</v>
      </c>
      <c r="H16790" s="49">
        <f t="shared" si="2"/>
        <v>70172</v>
      </c>
    </row>
    <row r="16791">
      <c r="A16791" s="48" t="s">
        <v>21188</v>
      </c>
      <c r="B16791" s="38">
        <v>4230.0</v>
      </c>
      <c r="C16791" s="38" t="s">
        <v>21189</v>
      </c>
      <c r="D16791" s="38" t="str">
        <f>IFERROR(__xludf.DUMMYFUNCTION("REGEXREPLACE(C16791,""-\d+(.*)|--\d+(.*)"","""")"),"VALENSOLE")</f>
        <v>VALENSOLE</v>
      </c>
      <c r="E16791" s="38" t="s">
        <v>662</v>
      </c>
      <c r="F16791" s="38" t="s">
        <v>228</v>
      </c>
      <c r="G16791" s="49" t="str">
        <f t="shared" si="1"/>
        <v>04210</v>
      </c>
      <c r="H16791" s="49" t="str">
        <f t="shared" si="2"/>
        <v>04230</v>
      </c>
    </row>
    <row r="16792">
      <c r="A16792" s="48" t="s">
        <v>3422</v>
      </c>
      <c r="B16792" s="38">
        <v>32284.0</v>
      </c>
      <c r="C16792" s="38" t="s">
        <v>21190</v>
      </c>
      <c r="D16792" s="38" t="str">
        <f>IFERROR(__xludf.DUMMYFUNCTION("REGEXREPLACE(C16792,""-\d+(.*)|--\d+(.*)"","""")"),"MONTEGUT-SAVES")</f>
        <v>MONTEGUT-SAVES</v>
      </c>
      <c r="E16792" s="38" t="s">
        <v>440</v>
      </c>
      <c r="F16792" s="38" t="s">
        <v>94</v>
      </c>
      <c r="G16792" s="49" t="str">
        <f t="shared" si="1"/>
        <v>32220</v>
      </c>
      <c r="H16792" s="49">
        <f t="shared" si="2"/>
        <v>32284</v>
      </c>
    </row>
    <row r="16793">
      <c r="A16793" s="48" t="s">
        <v>564</v>
      </c>
      <c r="B16793" s="38">
        <v>73140.0</v>
      </c>
      <c r="C16793" s="38" t="s">
        <v>21191</v>
      </c>
      <c r="D16793" s="38" t="str">
        <f>IFERROR(__xludf.DUMMYFUNCTION("REGEXREPLACE(C16793,""-\d+(.*)|--\d+(.*)"","""")"),"JONGIEUX")</f>
        <v>JONGIEUX</v>
      </c>
      <c r="E16793" s="38" t="s">
        <v>306</v>
      </c>
      <c r="F16793" s="38" t="s">
        <v>102</v>
      </c>
      <c r="G16793" s="49" t="str">
        <f t="shared" si="1"/>
        <v>73170</v>
      </c>
      <c r="H16793" s="49">
        <f t="shared" si="2"/>
        <v>73140</v>
      </c>
    </row>
    <row r="16794">
      <c r="A16794" s="48" t="s">
        <v>7458</v>
      </c>
      <c r="B16794" s="38">
        <v>54574.0</v>
      </c>
      <c r="C16794" s="38" t="s">
        <v>21192</v>
      </c>
      <c r="D16794" s="38" t="str">
        <f>IFERROR(__xludf.DUMMYFUNCTION("REGEXREPLACE(C16794,""-\d+(.*)|--\d+(.*)"","""")"),"VILLERS-LA-CHEVRE")</f>
        <v>VILLERS-LA-CHEVRE</v>
      </c>
      <c r="E16794" s="38" t="s">
        <v>548</v>
      </c>
      <c r="F16794" s="38" t="s">
        <v>195</v>
      </c>
      <c r="G16794" s="49" t="str">
        <f t="shared" si="1"/>
        <v>54870</v>
      </c>
      <c r="H16794" s="49">
        <f t="shared" si="2"/>
        <v>54574</v>
      </c>
    </row>
    <row r="16795">
      <c r="A16795" s="48" t="s">
        <v>3714</v>
      </c>
      <c r="B16795" s="38">
        <v>28383.0</v>
      </c>
      <c r="C16795" s="38" t="s">
        <v>21193</v>
      </c>
      <c r="D16795" s="38" t="str">
        <f>IFERROR(__xludf.DUMMYFUNCTION("REGEXREPLACE(C16795,""-\d+(.*)|--\d+(.*)"","""")"),"THEUVILLE")</f>
        <v>THEUVILLE</v>
      </c>
      <c r="E16795" s="38" t="s">
        <v>300</v>
      </c>
      <c r="F16795" s="38" t="s">
        <v>123</v>
      </c>
      <c r="G16795" s="49" t="str">
        <f t="shared" si="1"/>
        <v>28360</v>
      </c>
      <c r="H16795" s="49">
        <f t="shared" si="2"/>
        <v>28383</v>
      </c>
    </row>
    <row r="16796">
      <c r="A16796" s="48" t="s">
        <v>17181</v>
      </c>
      <c r="B16796" s="38">
        <v>35285.0</v>
      </c>
      <c r="C16796" s="38" t="s">
        <v>13965</v>
      </c>
      <c r="D16796" s="38" t="str">
        <f>IFERROR(__xludf.DUMMYFUNCTION("REGEXREPLACE(C16796,""-\d+(.*)|--\d+(.*)"","""")"),"SAINT-JUST")</f>
        <v>SAINT-JUST</v>
      </c>
      <c r="E16796" s="38" t="s">
        <v>347</v>
      </c>
      <c r="F16796" s="38" t="s">
        <v>90</v>
      </c>
      <c r="G16796" s="49" t="str">
        <f t="shared" si="1"/>
        <v>35550</v>
      </c>
      <c r="H16796" s="49">
        <f t="shared" si="2"/>
        <v>35285</v>
      </c>
    </row>
    <row r="16797">
      <c r="A16797" s="48" t="s">
        <v>19964</v>
      </c>
      <c r="B16797" s="38">
        <v>87050.0</v>
      </c>
      <c r="C16797" s="38" t="s">
        <v>21194</v>
      </c>
      <c r="D16797" s="38" t="str">
        <f>IFERROR(__xludf.DUMMYFUNCTION("REGEXREPLACE(C16797,""-\d+(.*)|--\d+(.*)"","""")"),"COUZEIX")</f>
        <v>COUZEIX</v>
      </c>
      <c r="E16797" s="38" t="s">
        <v>897</v>
      </c>
      <c r="F16797" s="38" t="s">
        <v>98</v>
      </c>
      <c r="G16797" s="49" t="str">
        <f t="shared" si="1"/>
        <v>87270</v>
      </c>
      <c r="H16797" s="49">
        <f t="shared" si="2"/>
        <v>87050</v>
      </c>
    </row>
    <row r="16798">
      <c r="A16798" s="48" t="s">
        <v>21195</v>
      </c>
      <c r="B16798" s="38">
        <v>59346.0</v>
      </c>
      <c r="C16798" s="38" t="s">
        <v>21196</v>
      </c>
      <c r="D16798" s="38" t="str">
        <f>IFERROR(__xludf.DUMMYFUNCTION("REGEXREPLACE(C16798,""-\d+(.*)|--\d+(.*)"","""")"),"LEZENNES")</f>
        <v>LEZENNES</v>
      </c>
      <c r="E16798" s="38" t="s">
        <v>85</v>
      </c>
      <c r="F16798" s="38" t="s">
        <v>86</v>
      </c>
      <c r="G16798" s="49" t="str">
        <f t="shared" si="1"/>
        <v>59260</v>
      </c>
      <c r="H16798" s="49">
        <f t="shared" si="2"/>
        <v>59346</v>
      </c>
    </row>
    <row r="16799">
      <c r="A16799" s="48" t="s">
        <v>7676</v>
      </c>
      <c r="B16799" s="38">
        <v>63327.0</v>
      </c>
      <c r="C16799" s="38" t="s">
        <v>21197</v>
      </c>
      <c r="D16799" s="38" t="str">
        <f>IFERROR(__xludf.DUMMYFUNCTION("REGEXREPLACE(C16799,""-\d+(.*)|--\d+(.*)"","""")"),"SAINT-BONNET-PRES-RIOM")</f>
        <v>SAINT-BONNET-PRES-RIOM</v>
      </c>
      <c r="E16799" s="38" t="s">
        <v>353</v>
      </c>
      <c r="F16799" s="38" t="s">
        <v>161</v>
      </c>
      <c r="G16799" s="49" t="str">
        <f t="shared" si="1"/>
        <v>63200</v>
      </c>
      <c r="H16799" s="49">
        <f t="shared" si="2"/>
        <v>63327</v>
      </c>
    </row>
    <row r="16800">
      <c r="A16800" s="48" t="s">
        <v>9755</v>
      </c>
      <c r="B16800" s="38">
        <v>51237.0</v>
      </c>
      <c r="C16800" s="38" t="s">
        <v>21198</v>
      </c>
      <c r="D16800" s="38" t="str">
        <f>IFERROR(__xludf.DUMMYFUNCTION("REGEXREPLACE(C16800,""-\d+(.*)|--\d+(.*)"","""")"),"ESTERNAY")</f>
        <v>ESTERNAY</v>
      </c>
      <c r="E16800" s="38" t="s">
        <v>129</v>
      </c>
      <c r="F16800" s="38" t="s">
        <v>130</v>
      </c>
      <c r="G16800" s="49" t="str">
        <f t="shared" si="1"/>
        <v>51310</v>
      </c>
      <c r="H16800" s="49">
        <f t="shared" si="2"/>
        <v>51237</v>
      </c>
    </row>
    <row r="16801">
      <c r="A16801" s="48" t="s">
        <v>3795</v>
      </c>
      <c r="B16801" s="38">
        <v>24001.0</v>
      </c>
      <c r="C16801" s="38" t="s">
        <v>21199</v>
      </c>
      <c r="D16801" s="38" t="str">
        <f>IFERROR(__xludf.DUMMYFUNCTION("REGEXREPLACE(C16801,""-\d+(.*)|--\d+(.*)"","""")"),"ABJAT-SUR-BANDIAT")</f>
        <v>ABJAT-SUR-BANDIAT</v>
      </c>
      <c r="E16801" s="38" t="s">
        <v>261</v>
      </c>
      <c r="F16801" s="38" t="s">
        <v>252</v>
      </c>
      <c r="G16801" s="49" t="str">
        <f t="shared" si="1"/>
        <v>24300</v>
      </c>
      <c r="H16801" s="49">
        <f t="shared" si="2"/>
        <v>24001</v>
      </c>
    </row>
    <row r="16802">
      <c r="A16802" s="48" t="s">
        <v>7462</v>
      </c>
      <c r="B16802" s="38">
        <v>25620.0</v>
      </c>
      <c r="C16802" s="38" t="s">
        <v>21200</v>
      </c>
      <c r="D16802" s="38" t="str">
        <f>IFERROR(__xludf.DUMMYFUNCTION("REGEXREPLACE(C16802,""-\d+(.*)|--\d+(.*)"","""")"),"VILLE-DU-PONT")</f>
        <v>VILLE-DU-PONT</v>
      </c>
      <c r="E16802" s="38" t="s">
        <v>213</v>
      </c>
      <c r="F16802" s="38" t="s">
        <v>214</v>
      </c>
      <c r="G16802" s="49" t="str">
        <f t="shared" si="1"/>
        <v>25650</v>
      </c>
      <c r="H16802" s="49">
        <f t="shared" si="2"/>
        <v>25620</v>
      </c>
    </row>
    <row r="16803">
      <c r="A16803" s="48" t="s">
        <v>3795</v>
      </c>
      <c r="B16803" s="38">
        <v>24548.0</v>
      </c>
      <c r="C16803" s="38" t="s">
        <v>21201</v>
      </c>
      <c r="D16803" s="38" t="str">
        <f>IFERROR(__xludf.DUMMYFUNCTION("REGEXREPLACE(C16803,""-\d+(.*)|--\d+(.*)"","""")"),"TEYJAT")</f>
        <v>TEYJAT</v>
      </c>
      <c r="E16803" s="38" t="s">
        <v>261</v>
      </c>
      <c r="F16803" s="38" t="s">
        <v>252</v>
      </c>
      <c r="G16803" s="49" t="str">
        <f t="shared" si="1"/>
        <v>24300</v>
      </c>
      <c r="H16803" s="49">
        <f t="shared" si="2"/>
        <v>24548</v>
      </c>
    </row>
    <row r="16804">
      <c r="A16804" s="48" t="s">
        <v>5805</v>
      </c>
      <c r="B16804" s="38">
        <v>21283.0</v>
      </c>
      <c r="C16804" s="38" t="s">
        <v>21202</v>
      </c>
      <c r="D16804" s="38" t="str">
        <f>IFERROR(__xludf.DUMMYFUNCTION("REGEXREPLACE(C16804,""-\d+(.*)|--\d+(.*)"","""")"),"FRAIGNOT-ET-VESVROTTE")</f>
        <v>FRAIGNOT-ET-VESVROTTE</v>
      </c>
      <c r="E16804" s="38" t="s">
        <v>105</v>
      </c>
      <c r="F16804" s="38" t="s">
        <v>106</v>
      </c>
      <c r="G16804" s="49" t="str">
        <f t="shared" si="1"/>
        <v>21580</v>
      </c>
      <c r="H16804" s="49">
        <f t="shared" si="2"/>
        <v>21283</v>
      </c>
    </row>
    <row r="16805">
      <c r="A16805" s="48" t="s">
        <v>573</v>
      </c>
      <c r="B16805" s="38">
        <v>65041.0</v>
      </c>
      <c r="C16805" s="38" t="s">
        <v>21203</v>
      </c>
      <c r="D16805" s="38" t="str">
        <f>IFERROR(__xludf.DUMMYFUNCTION("REGEXREPLACE(C16805,""-\d+(.*)|--\d+(.*)"","""")"),"ASQUE")</f>
        <v>ASQUE</v>
      </c>
      <c r="E16805" s="38" t="s">
        <v>200</v>
      </c>
      <c r="F16805" s="38" t="s">
        <v>94</v>
      </c>
      <c r="G16805" s="49" t="str">
        <f t="shared" si="1"/>
        <v>65130</v>
      </c>
      <c r="H16805" s="49">
        <f t="shared" si="2"/>
        <v>65041</v>
      </c>
    </row>
    <row r="16806">
      <c r="A16806" s="48" t="s">
        <v>4626</v>
      </c>
      <c r="B16806" s="38">
        <v>16413.0</v>
      </c>
      <c r="C16806" s="38" t="s">
        <v>21204</v>
      </c>
      <c r="D16806" s="38" t="str">
        <f>IFERROR(__xludf.DUMMYFUNCTION("REGEXREPLACE(C16806,""-\d+(.*)|--\d+(.*)"","""")"),"VILLIERS-LE-ROUX")</f>
        <v>VILLIERS-LE-ROUX</v>
      </c>
      <c r="E16806" s="38" t="s">
        <v>429</v>
      </c>
      <c r="F16806" s="38" t="s">
        <v>338</v>
      </c>
      <c r="G16806" s="49" t="str">
        <f t="shared" si="1"/>
        <v>16240</v>
      </c>
      <c r="H16806" s="49">
        <f t="shared" si="2"/>
        <v>16413</v>
      </c>
    </row>
    <row r="16807">
      <c r="A16807" s="48" t="s">
        <v>4570</v>
      </c>
      <c r="B16807" s="38">
        <v>57296.0</v>
      </c>
      <c r="C16807" s="38" t="s">
        <v>21205</v>
      </c>
      <c r="D16807" s="38" t="str">
        <f>IFERROR(__xludf.DUMMYFUNCTION("REGEXREPLACE(C16807,""-\d+(.*)|--\d+(.*)"","""")"),"HARGARTEN-AUX-MINES")</f>
        <v>HARGARTEN-AUX-MINES</v>
      </c>
      <c r="E16807" s="38" t="s">
        <v>303</v>
      </c>
      <c r="F16807" s="38" t="s">
        <v>195</v>
      </c>
      <c r="G16807" s="49" t="str">
        <f t="shared" si="1"/>
        <v>57550</v>
      </c>
      <c r="H16807" s="49">
        <f t="shared" si="2"/>
        <v>57296</v>
      </c>
    </row>
    <row r="16808">
      <c r="A16808" s="48" t="s">
        <v>315</v>
      </c>
      <c r="B16808" s="38">
        <v>27342.0</v>
      </c>
      <c r="C16808" s="38" t="s">
        <v>21206</v>
      </c>
      <c r="D16808" s="38" t="str">
        <f>IFERROR(__xludf.DUMMYFUNCTION("REGEXREPLACE(C16808,""-\d+(.*)|--\d+(.*)"","""")"),"HOUETTEVILLE")</f>
        <v>HOUETTEVILLE</v>
      </c>
      <c r="E16808" s="38" t="s">
        <v>241</v>
      </c>
      <c r="F16808" s="38" t="s">
        <v>134</v>
      </c>
      <c r="G16808" s="49" t="str">
        <f t="shared" si="1"/>
        <v>27400</v>
      </c>
      <c r="H16808" s="49">
        <f t="shared" si="2"/>
        <v>27342</v>
      </c>
    </row>
    <row r="16809">
      <c r="A16809" s="48" t="s">
        <v>12894</v>
      </c>
      <c r="B16809" s="38">
        <v>48101.0</v>
      </c>
      <c r="C16809" s="38" t="s">
        <v>16929</v>
      </c>
      <c r="D16809" s="38" t="str">
        <f>IFERROR(__xludf.DUMMYFUNCTION("REGEXREPLACE(C16809,""-\d+(.*)|--\d+(.*)"","""")"),"MONTBRUN")</f>
        <v>MONTBRUN</v>
      </c>
      <c r="E16809" s="38" t="s">
        <v>154</v>
      </c>
      <c r="F16809" s="38" t="s">
        <v>119</v>
      </c>
      <c r="G16809" s="49" t="str">
        <f t="shared" si="1"/>
        <v>48210</v>
      </c>
      <c r="H16809" s="49">
        <f t="shared" si="2"/>
        <v>48101</v>
      </c>
    </row>
    <row r="16810">
      <c r="A16810" s="48" t="s">
        <v>10908</v>
      </c>
      <c r="B16810" s="38">
        <v>11226.0</v>
      </c>
      <c r="C16810" s="38" t="s">
        <v>21207</v>
      </c>
      <c r="D16810" s="38" t="str">
        <f>IFERROR(__xludf.DUMMYFUNCTION("REGEXREPLACE(C16810,""-\d+(.*)|--\d+(.*)"","""")"),"MAYREVILLE")</f>
        <v>MAYREVILLE</v>
      </c>
      <c r="E16810" s="38" t="s">
        <v>278</v>
      </c>
      <c r="F16810" s="38" t="s">
        <v>119</v>
      </c>
      <c r="G16810" s="49" t="str">
        <f t="shared" si="1"/>
        <v>11420</v>
      </c>
      <c r="H16810" s="49">
        <f t="shared" si="2"/>
        <v>11226</v>
      </c>
    </row>
    <row r="16811">
      <c r="A16811" s="48" t="s">
        <v>21208</v>
      </c>
      <c r="B16811" s="38">
        <v>38292.0</v>
      </c>
      <c r="C16811" s="38" t="s">
        <v>21209</v>
      </c>
      <c r="D16811" s="38" t="str">
        <f>IFERROR(__xludf.DUMMYFUNCTION("REGEXREPLACE(C16811,""-\d+(.*)|--\d+(.*)"","""")"),"PALADRU")</f>
        <v>PALADRU</v>
      </c>
      <c r="E16811" s="38" t="s">
        <v>101</v>
      </c>
      <c r="F16811" s="38" t="s">
        <v>102</v>
      </c>
      <c r="G16811" s="49" t="str">
        <f t="shared" si="1"/>
        <v>38850</v>
      </c>
      <c r="H16811" s="49">
        <f t="shared" si="2"/>
        <v>38292</v>
      </c>
    </row>
    <row r="16812">
      <c r="A16812" s="48" t="s">
        <v>7423</v>
      </c>
      <c r="B16812" s="38">
        <v>22358.0</v>
      </c>
      <c r="C16812" s="38" t="s">
        <v>21210</v>
      </c>
      <c r="D16812" s="38" t="str">
        <f>IFERROR(__xludf.DUMMYFUNCTION("REGEXREPLACE(C16812,""-\d+(.*)|--\d+(.*)"","""")"),"TREGONNEAU")</f>
        <v>TREGONNEAU</v>
      </c>
      <c r="E16812" s="38" t="s">
        <v>89</v>
      </c>
      <c r="F16812" s="38" t="s">
        <v>90</v>
      </c>
      <c r="G16812" s="49" t="str">
        <f t="shared" si="1"/>
        <v>22200</v>
      </c>
      <c r="H16812" s="49">
        <f t="shared" si="2"/>
        <v>22358</v>
      </c>
    </row>
    <row r="16813">
      <c r="A16813" s="48" t="s">
        <v>6875</v>
      </c>
      <c r="B16813" s="38">
        <v>2354.0</v>
      </c>
      <c r="C16813" s="38" t="s">
        <v>21211</v>
      </c>
      <c r="D16813" s="38" t="str">
        <f>IFERROR(__xludf.DUMMYFUNCTION("REGEXREPLACE(C16813,""-\d+(.*)|--\d+(.*)"","""")"),"GRANDRIEUX")</f>
        <v>GRANDRIEUX</v>
      </c>
      <c r="E16813" s="38" t="s">
        <v>191</v>
      </c>
      <c r="F16813" s="38" t="s">
        <v>113</v>
      </c>
      <c r="G16813" s="49" t="str">
        <f t="shared" si="1"/>
        <v>02360</v>
      </c>
      <c r="H16813" s="49" t="str">
        <f t="shared" si="2"/>
        <v>02354</v>
      </c>
    </row>
    <row r="16814">
      <c r="A16814" s="48" t="s">
        <v>2726</v>
      </c>
      <c r="B16814" s="38">
        <v>46302.0</v>
      </c>
      <c r="C16814" s="38" t="s">
        <v>21212</v>
      </c>
      <c r="D16814" s="38" t="str">
        <f>IFERROR(__xludf.DUMMYFUNCTION("REGEXREPLACE(C16814,""-\d+(.*)|--\d+(.*)"","""")"),"SENAILLAC-LATRONQUIERE")</f>
        <v>SENAILLAC-LATRONQUIERE</v>
      </c>
      <c r="E16814" s="38" t="s">
        <v>185</v>
      </c>
      <c r="F16814" s="38" t="s">
        <v>94</v>
      </c>
      <c r="G16814" s="49" t="str">
        <f t="shared" si="1"/>
        <v>46210</v>
      </c>
      <c r="H16814" s="49">
        <f t="shared" si="2"/>
        <v>46302</v>
      </c>
    </row>
    <row r="16815">
      <c r="A16815" s="48" t="s">
        <v>6990</v>
      </c>
      <c r="B16815" s="38">
        <v>29219.0</v>
      </c>
      <c r="C16815" s="38" t="s">
        <v>21213</v>
      </c>
      <c r="D16815" s="38" t="str">
        <f>IFERROR(__xludf.DUMMYFUNCTION("REGEXREPLACE(C16815,""-\d+(.*)|--\d+(.*)"","""")"),"LE PONTHOU")</f>
        <v>LE PONTHOU</v>
      </c>
      <c r="E16815" s="38" t="s">
        <v>176</v>
      </c>
      <c r="F16815" s="38" t="s">
        <v>90</v>
      </c>
      <c r="G16815" s="49" t="str">
        <f t="shared" si="1"/>
        <v>29650</v>
      </c>
      <c r="H16815" s="49">
        <f t="shared" si="2"/>
        <v>29219</v>
      </c>
    </row>
    <row r="16816">
      <c r="A16816" s="48" t="s">
        <v>651</v>
      </c>
      <c r="B16816" s="38">
        <v>49003.0</v>
      </c>
      <c r="C16816" s="38" t="s">
        <v>21214</v>
      </c>
      <c r="D16816" s="38" t="str">
        <f>IFERROR(__xludf.DUMMYFUNCTION("REGEXREPLACE(C16816,""-\d+(.*)|--\d+(.*)"","""")"),"AMBILLOU-CHATEAU")</f>
        <v>AMBILLOU-CHATEAU</v>
      </c>
      <c r="E16816" s="38" t="s">
        <v>653</v>
      </c>
      <c r="F16816" s="38" t="s">
        <v>180</v>
      </c>
      <c r="G16816" s="49" t="str">
        <f t="shared" si="1"/>
        <v>49700</v>
      </c>
      <c r="H16816" s="49">
        <f t="shared" si="2"/>
        <v>49003</v>
      </c>
    </row>
    <row r="16817">
      <c r="A16817" s="48" t="s">
        <v>489</v>
      </c>
      <c r="B16817" s="38">
        <v>9270.0</v>
      </c>
      <c r="C16817" s="38" t="s">
        <v>21215</v>
      </c>
      <c r="D16817" s="38" t="str">
        <f>IFERROR(__xludf.DUMMYFUNCTION("REGEXREPLACE(C16817,""-\d+(.*)|--\d+(.*)"","""")"),"SAINT-MARTIN-D'OYDES")</f>
        <v>SAINT-MARTIN-D'OYDES</v>
      </c>
      <c r="E16817" s="38" t="s">
        <v>238</v>
      </c>
      <c r="F16817" s="38" t="s">
        <v>94</v>
      </c>
      <c r="G16817" s="49" t="str">
        <f t="shared" si="1"/>
        <v>09100</v>
      </c>
      <c r="H16817" s="49" t="str">
        <f t="shared" si="2"/>
        <v>09270</v>
      </c>
    </row>
    <row r="16818">
      <c r="A16818" s="48" t="s">
        <v>7756</v>
      </c>
      <c r="B16818" s="38">
        <v>27066.0</v>
      </c>
      <c r="C16818" s="38" t="s">
        <v>21216</v>
      </c>
      <c r="D16818" s="38" t="str">
        <f>IFERROR(__xludf.DUMMYFUNCTION("REGEXREPLACE(C16818,""-\d+(.*)|--\d+(.*)"","""")"),"BEZU-LA-FORET")</f>
        <v>BEZU-LA-FORET</v>
      </c>
      <c r="E16818" s="38" t="s">
        <v>241</v>
      </c>
      <c r="F16818" s="38" t="s">
        <v>134</v>
      </c>
      <c r="G16818" s="49" t="str">
        <f t="shared" si="1"/>
        <v>27480</v>
      </c>
      <c r="H16818" s="49">
        <f t="shared" si="2"/>
        <v>27066</v>
      </c>
    </row>
    <row r="16819">
      <c r="A16819" s="48" t="s">
        <v>20392</v>
      </c>
      <c r="B16819" s="38">
        <v>44222.0</v>
      </c>
      <c r="C16819" s="38" t="s">
        <v>21217</v>
      </c>
      <c r="D16819" s="38" t="str">
        <f>IFERROR(__xludf.DUMMYFUNCTION("REGEXREPLACE(C16819,""-\d+(.*)|--\d+(.*)"","""")"),"LA ROCHE-BLANCHE")</f>
        <v>LA ROCHE-BLANCHE</v>
      </c>
      <c r="E16819" s="38" t="s">
        <v>759</v>
      </c>
      <c r="F16819" s="38" t="s">
        <v>180</v>
      </c>
      <c r="G16819" s="49" t="str">
        <f t="shared" si="1"/>
        <v>44522</v>
      </c>
      <c r="H16819" s="49">
        <f t="shared" si="2"/>
        <v>44222</v>
      </c>
    </row>
    <row r="16820">
      <c r="A16820" s="48" t="s">
        <v>9436</v>
      </c>
      <c r="B16820" s="38">
        <v>63234.0</v>
      </c>
      <c r="C16820" s="38" t="s">
        <v>21218</v>
      </c>
      <c r="D16820" s="38" t="str">
        <f>IFERROR(__xludf.DUMMYFUNCTION("REGEXREPLACE(C16820,""-\d+(.*)|--\d+(.*)"","""")"),"MONTAIGUT-LE-BLANC")</f>
        <v>MONTAIGUT-LE-BLANC</v>
      </c>
      <c r="E16820" s="38" t="s">
        <v>353</v>
      </c>
      <c r="F16820" s="38" t="s">
        <v>161</v>
      </c>
      <c r="G16820" s="49" t="str">
        <f t="shared" si="1"/>
        <v>63320</v>
      </c>
      <c r="H16820" s="49">
        <f t="shared" si="2"/>
        <v>63234</v>
      </c>
    </row>
    <row r="16821">
      <c r="A16821" s="48" t="s">
        <v>21219</v>
      </c>
      <c r="B16821" s="38">
        <v>6088.0</v>
      </c>
      <c r="C16821" s="38" t="s">
        <v>21220</v>
      </c>
      <c r="D16821" s="38" t="str">
        <f>IFERROR(__xludf.DUMMYFUNCTION("REGEXREPLACE(C16821,""-\d+(.*)|--\d+(.*)"","""")"),"NICE")</f>
        <v>NICE</v>
      </c>
      <c r="E16821" s="38" t="s">
        <v>227</v>
      </c>
      <c r="F16821" s="38" t="s">
        <v>228</v>
      </c>
      <c r="G16821" s="49" t="str">
        <f t="shared" si="1"/>
        <v>06000/06100/06200/06300</v>
      </c>
      <c r="H16821" s="49" t="str">
        <f t="shared" si="2"/>
        <v>06088</v>
      </c>
    </row>
    <row r="16822">
      <c r="A16822" s="48" t="s">
        <v>21221</v>
      </c>
      <c r="B16822" s="38">
        <v>62413.0</v>
      </c>
      <c r="C16822" s="38" t="s">
        <v>21222</v>
      </c>
      <c r="D16822" s="38" t="str">
        <f>IFERROR(__xludf.DUMMYFUNCTION("REGEXREPLACE(C16822,""-\d+(.*)|--\d+(.*)"","""")"),"HARNES")</f>
        <v>HARNES</v>
      </c>
      <c r="E16822" s="38" t="s">
        <v>109</v>
      </c>
      <c r="F16822" s="38" t="s">
        <v>86</v>
      </c>
      <c r="G16822" s="49" t="str">
        <f t="shared" si="1"/>
        <v>62440</v>
      </c>
      <c r="H16822" s="49">
        <f t="shared" si="2"/>
        <v>62413</v>
      </c>
    </row>
    <row r="16823">
      <c r="A16823" s="48" t="s">
        <v>16121</v>
      </c>
      <c r="B16823" s="38">
        <v>62658.0</v>
      </c>
      <c r="C16823" s="38" t="s">
        <v>21223</v>
      </c>
      <c r="D16823" s="38" t="str">
        <f>IFERROR(__xludf.DUMMYFUNCTION("REGEXREPLACE(C16823,""-\d+(.*)|--\d+(.*)"","""")"),"PITTEFAUX")</f>
        <v>PITTEFAUX</v>
      </c>
      <c r="E16823" s="38" t="s">
        <v>109</v>
      </c>
      <c r="F16823" s="38" t="s">
        <v>86</v>
      </c>
      <c r="G16823" s="49" t="str">
        <f t="shared" si="1"/>
        <v>62126</v>
      </c>
      <c r="H16823" s="49">
        <f t="shared" si="2"/>
        <v>62658</v>
      </c>
    </row>
    <row r="16824">
      <c r="A16824" s="48" t="s">
        <v>6515</v>
      </c>
      <c r="B16824" s="38">
        <v>62752.0</v>
      </c>
      <c r="C16824" s="38" t="s">
        <v>21224</v>
      </c>
      <c r="D16824" s="38" t="str">
        <f>IFERROR(__xludf.DUMMYFUNCTION("REGEXREPLACE(C16824,""-\d+(.*)|--\d+(.*)"","""")"),"SAINT-JOSSE")</f>
        <v>SAINT-JOSSE</v>
      </c>
      <c r="E16824" s="38" t="s">
        <v>109</v>
      </c>
      <c r="F16824" s="38" t="s">
        <v>86</v>
      </c>
      <c r="G16824" s="49" t="str">
        <f t="shared" si="1"/>
        <v>62170</v>
      </c>
      <c r="H16824" s="49">
        <f t="shared" si="2"/>
        <v>62752</v>
      </c>
    </row>
    <row r="16825">
      <c r="A16825" s="48" t="s">
        <v>4596</v>
      </c>
      <c r="B16825" s="38">
        <v>2585.0</v>
      </c>
      <c r="C16825" s="38" t="s">
        <v>21225</v>
      </c>
      <c r="D16825" s="38" t="str">
        <f>IFERROR(__xludf.DUMMYFUNCTION("REGEXREPLACE(C16825,""-\d+(.*)|--\d+(.*)"","""")"),"PARCY-ET-TIGNY")</f>
        <v>PARCY-ET-TIGNY</v>
      </c>
      <c r="E16825" s="38" t="s">
        <v>191</v>
      </c>
      <c r="F16825" s="38" t="s">
        <v>113</v>
      </c>
      <c r="G16825" s="49" t="str">
        <f t="shared" si="1"/>
        <v>02210</v>
      </c>
      <c r="H16825" s="49" t="str">
        <f t="shared" si="2"/>
        <v>02585</v>
      </c>
    </row>
    <row r="16826">
      <c r="A16826" s="48" t="s">
        <v>21226</v>
      </c>
      <c r="B16826" s="38">
        <v>69204.0</v>
      </c>
      <c r="C16826" s="38" t="s">
        <v>21227</v>
      </c>
      <c r="D16826" s="38" t="str">
        <f>IFERROR(__xludf.DUMMYFUNCTION("REGEXREPLACE(C16826,""-\d+(.*)|--\d+(.*)"","""")"),"SAINT-GENIS-LAVAL")</f>
        <v>SAINT-GENIS-LAVAL</v>
      </c>
      <c r="E16826" s="38" t="s">
        <v>350</v>
      </c>
      <c r="F16826" s="38" t="s">
        <v>102</v>
      </c>
      <c r="G16826" s="49" t="str">
        <f t="shared" si="1"/>
        <v>69230</v>
      </c>
      <c r="H16826" s="49">
        <f t="shared" si="2"/>
        <v>69204</v>
      </c>
    </row>
    <row r="16827">
      <c r="A16827" s="48" t="s">
        <v>10882</v>
      </c>
      <c r="B16827" s="38">
        <v>76728.0</v>
      </c>
      <c r="C16827" s="38" t="s">
        <v>21228</v>
      </c>
      <c r="D16827" s="38" t="str">
        <f>IFERROR(__xludf.DUMMYFUNCTION("REGEXREPLACE(C16827,""-\d+(.*)|--\d+(.*)"","""")"),"LA VAUPALIERE")</f>
        <v>LA VAUPALIERE</v>
      </c>
      <c r="E16827" s="38" t="s">
        <v>133</v>
      </c>
      <c r="F16827" s="38" t="s">
        <v>134</v>
      </c>
      <c r="G16827" s="49" t="str">
        <f t="shared" si="1"/>
        <v>76150</v>
      </c>
      <c r="H16827" s="49">
        <f t="shared" si="2"/>
        <v>76728</v>
      </c>
    </row>
    <row r="16828">
      <c r="A16828" s="48" t="s">
        <v>6258</v>
      </c>
      <c r="B16828" s="38">
        <v>95651.0</v>
      </c>
      <c r="C16828" s="38" t="s">
        <v>21229</v>
      </c>
      <c r="D16828" s="38" t="str">
        <f>IFERROR(__xludf.DUMMYFUNCTION("REGEXREPLACE(C16828,""-\d+(.*)|--\d+(.*)"","""")"),"VETHEUIL")</f>
        <v>VETHEUIL</v>
      </c>
      <c r="E16828" s="38" t="s">
        <v>541</v>
      </c>
      <c r="F16828" s="38" t="s">
        <v>245</v>
      </c>
      <c r="G16828" s="49" t="str">
        <f t="shared" si="1"/>
        <v>95510</v>
      </c>
      <c r="H16828" s="49">
        <f t="shared" si="2"/>
        <v>95651</v>
      </c>
    </row>
    <row r="16829">
      <c r="A16829" s="48" t="s">
        <v>715</v>
      </c>
      <c r="B16829" s="38">
        <v>88281.0</v>
      </c>
      <c r="C16829" s="38" t="s">
        <v>21230</v>
      </c>
      <c r="D16829" s="38" t="str">
        <f>IFERROR(__xludf.DUMMYFUNCTION("REGEXREPLACE(C16829,""-\d+(.*)|--\d+(.*)"","""")"),"MADONNE-ET-LAMEREY")</f>
        <v>MADONNE-ET-LAMEREY</v>
      </c>
      <c r="E16829" s="38" t="s">
        <v>194</v>
      </c>
      <c r="F16829" s="38" t="s">
        <v>195</v>
      </c>
      <c r="G16829" s="49" t="str">
        <f t="shared" si="1"/>
        <v>88270</v>
      </c>
      <c r="H16829" s="49">
        <f t="shared" si="2"/>
        <v>88281</v>
      </c>
    </row>
    <row r="16830">
      <c r="A16830" s="48" t="s">
        <v>6965</v>
      </c>
      <c r="B16830" s="38">
        <v>2768.0</v>
      </c>
      <c r="C16830" s="38" t="s">
        <v>21231</v>
      </c>
      <c r="D16830" s="38" t="str">
        <f>IFERROR(__xludf.DUMMYFUNCTION("REGEXREPLACE(C16830,""-\d+(.*)|--\d+(.*)"","""")"),"VAUXAILLON")</f>
        <v>VAUXAILLON</v>
      </c>
      <c r="E16830" s="38" t="s">
        <v>191</v>
      </c>
      <c r="F16830" s="38" t="s">
        <v>113</v>
      </c>
      <c r="G16830" s="49" t="str">
        <f t="shared" si="1"/>
        <v>02320</v>
      </c>
      <c r="H16830" s="49" t="str">
        <f t="shared" si="2"/>
        <v>02768</v>
      </c>
    </row>
    <row r="16831">
      <c r="A16831" s="48" t="s">
        <v>1157</v>
      </c>
      <c r="B16831" s="38">
        <v>16030.0</v>
      </c>
      <c r="C16831" s="38" t="s">
        <v>21232</v>
      </c>
      <c r="D16831" s="38" t="str">
        <f>IFERROR(__xludf.DUMMYFUNCTION("REGEXREPLACE(C16831,""-\d+(.*)|--\d+(.*)"","""")"),"BARRET")</f>
        <v>BARRET</v>
      </c>
      <c r="E16831" s="38" t="s">
        <v>429</v>
      </c>
      <c r="F16831" s="38" t="s">
        <v>338</v>
      </c>
      <c r="G16831" s="49" t="str">
        <f t="shared" si="1"/>
        <v>16300</v>
      </c>
      <c r="H16831" s="49">
        <f t="shared" si="2"/>
        <v>16030</v>
      </c>
    </row>
    <row r="16832">
      <c r="A16832" s="48" t="s">
        <v>7799</v>
      </c>
      <c r="B16832" s="38">
        <v>7072.0</v>
      </c>
      <c r="C16832" s="38" t="s">
        <v>21233</v>
      </c>
      <c r="D16832" s="38" t="str">
        <f>IFERROR(__xludf.DUMMYFUNCTION("REGEXREPLACE(C16832,""-\d+(.*)|--\d+(.*)"","""")"),"COUX")</f>
        <v>COUX</v>
      </c>
      <c r="E16832" s="38" t="s">
        <v>144</v>
      </c>
      <c r="F16832" s="38" t="s">
        <v>102</v>
      </c>
      <c r="G16832" s="49" t="str">
        <f t="shared" si="1"/>
        <v>07000</v>
      </c>
      <c r="H16832" s="49" t="str">
        <f t="shared" si="2"/>
        <v>07072</v>
      </c>
    </row>
    <row r="16833">
      <c r="A16833" s="48" t="s">
        <v>3182</v>
      </c>
      <c r="B16833" s="38">
        <v>80434.0</v>
      </c>
      <c r="C16833" s="38" t="s">
        <v>21234</v>
      </c>
      <c r="D16833" s="38" t="str">
        <f>IFERROR(__xludf.DUMMYFUNCTION("REGEXREPLACE(C16833,""-\d+(.*)|--\d+(.*)"","""")"),"HERVILLY")</f>
        <v>HERVILLY</v>
      </c>
      <c r="E16833" s="38" t="s">
        <v>224</v>
      </c>
      <c r="F16833" s="38" t="s">
        <v>113</v>
      </c>
      <c r="G16833" s="49" t="str">
        <f t="shared" si="1"/>
        <v>80240</v>
      </c>
      <c r="H16833" s="49">
        <f t="shared" si="2"/>
        <v>80434</v>
      </c>
    </row>
    <row r="16834">
      <c r="A16834" s="48" t="s">
        <v>544</v>
      </c>
      <c r="B16834" s="38">
        <v>57703.0</v>
      </c>
      <c r="C16834" s="38" t="s">
        <v>21235</v>
      </c>
      <c r="D16834" s="38" t="str">
        <f>IFERROR(__xludf.DUMMYFUNCTION("REGEXREPLACE(C16834,""-\d+(.*)|--\d+(.*)"","""")"),"VECKERSVILLER")</f>
        <v>VECKERSVILLER</v>
      </c>
      <c r="E16834" s="38" t="s">
        <v>303</v>
      </c>
      <c r="F16834" s="38" t="s">
        <v>195</v>
      </c>
      <c r="G16834" s="49" t="str">
        <f t="shared" si="1"/>
        <v>57370</v>
      </c>
      <c r="H16834" s="49">
        <f t="shared" si="2"/>
        <v>57703</v>
      </c>
    </row>
    <row r="16835">
      <c r="A16835" s="48" t="s">
        <v>13583</v>
      </c>
      <c r="B16835" s="38">
        <v>90029.0</v>
      </c>
      <c r="C16835" s="38" t="s">
        <v>21236</v>
      </c>
      <c r="D16835" s="38" t="str">
        <f>IFERROR(__xludf.DUMMYFUNCTION("REGEXREPLACE(C16835,""-\d+(.*)|--\d+(.*)"","""")"),"CRAVANCHE")</f>
        <v>CRAVANCHE</v>
      </c>
      <c r="E16835" s="38" t="s">
        <v>1283</v>
      </c>
      <c r="F16835" s="38" t="s">
        <v>214</v>
      </c>
      <c r="G16835" s="49" t="str">
        <f t="shared" si="1"/>
        <v>90300</v>
      </c>
      <c r="H16835" s="49">
        <f t="shared" si="2"/>
        <v>90029</v>
      </c>
    </row>
    <row r="16836">
      <c r="A16836" s="48" t="s">
        <v>1568</v>
      </c>
      <c r="B16836" s="38">
        <v>36083.0</v>
      </c>
      <c r="C16836" s="38" t="s">
        <v>21237</v>
      </c>
      <c r="D16836" s="38" t="str">
        <f>IFERROR(__xludf.DUMMYFUNCTION("REGEXREPLACE(C16836,""-\d+(.*)|--\d+(.*)"","""")"),"GIROUX")</f>
        <v>GIROUX</v>
      </c>
      <c r="E16836" s="38" t="s">
        <v>258</v>
      </c>
      <c r="F16836" s="38" t="s">
        <v>123</v>
      </c>
      <c r="G16836" s="49" t="str">
        <f t="shared" si="1"/>
        <v>36150</v>
      </c>
      <c r="H16836" s="49">
        <f t="shared" si="2"/>
        <v>36083</v>
      </c>
    </row>
    <row r="16837">
      <c r="A16837" s="48" t="s">
        <v>4907</v>
      </c>
      <c r="B16837" s="38">
        <v>73014.0</v>
      </c>
      <c r="C16837" s="38" t="s">
        <v>21238</v>
      </c>
      <c r="D16837" s="38" t="str">
        <f>IFERROR(__xludf.DUMMYFUNCTION("REGEXREPLACE(C16837,""-\d+(.*)|--\d+(.*)"","""")"),"ALLONDAZ")</f>
        <v>ALLONDAZ</v>
      </c>
      <c r="E16837" s="38" t="s">
        <v>306</v>
      </c>
      <c r="F16837" s="38" t="s">
        <v>102</v>
      </c>
      <c r="G16837" s="49" t="str">
        <f t="shared" si="1"/>
        <v>73200</v>
      </c>
      <c r="H16837" s="49">
        <f t="shared" si="2"/>
        <v>73014</v>
      </c>
    </row>
    <row r="16838">
      <c r="A16838" s="48" t="s">
        <v>7590</v>
      </c>
      <c r="B16838" s="38">
        <v>85156.0</v>
      </c>
      <c r="C16838" s="38" t="s">
        <v>21239</v>
      </c>
      <c r="D16838" s="38" t="str">
        <f>IFERROR(__xludf.DUMMYFUNCTION("REGEXREPLACE(C16838,""-\d+(.*)|--\d+(.*)"","""")"),"MOUTIERS-LES-MAUXFAITS")</f>
        <v>MOUTIERS-LES-MAUXFAITS</v>
      </c>
      <c r="E16838" s="38" t="s">
        <v>179</v>
      </c>
      <c r="F16838" s="38" t="s">
        <v>180</v>
      </c>
      <c r="G16838" s="49" t="str">
        <f t="shared" si="1"/>
        <v>85540</v>
      </c>
      <c r="H16838" s="49">
        <f t="shared" si="2"/>
        <v>85156</v>
      </c>
    </row>
    <row r="16839">
      <c r="A16839" s="48" t="s">
        <v>1195</v>
      </c>
      <c r="B16839" s="38">
        <v>80338.0</v>
      </c>
      <c r="C16839" s="38" t="s">
        <v>21240</v>
      </c>
      <c r="D16839" s="38" t="str">
        <f>IFERROR(__xludf.DUMMYFUNCTION("REGEXREPLACE(C16839,""-\d+(.*)|--\d+(.*)"","""")"),"FOUILLOY")</f>
        <v>FOUILLOY</v>
      </c>
      <c r="E16839" s="38" t="s">
        <v>224</v>
      </c>
      <c r="F16839" s="38" t="s">
        <v>113</v>
      </c>
      <c r="G16839" s="49" t="str">
        <f t="shared" si="1"/>
        <v>80800</v>
      </c>
      <c r="H16839" s="49">
        <f t="shared" si="2"/>
        <v>80338</v>
      </c>
    </row>
    <row r="16840">
      <c r="A16840" s="48" t="s">
        <v>1592</v>
      </c>
      <c r="B16840" s="38">
        <v>40208.0</v>
      </c>
      <c r="C16840" s="38" t="s">
        <v>21241</v>
      </c>
      <c r="D16840" s="38" t="str">
        <f>IFERROR(__xludf.DUMMYFUNCTION("REGEXREPLACE(C16840,""-\d+(.*)|--\d+(.*)"","""")"),"ONARD")</f>
        <v>ONARD</v>
      </c>
      <c r="E16840" s="38" t="s">
        <v>281</v>
      </c>
      <c r="F16840" s="38" t="s">
        <v>252</v>
      </c>
      <c r="G16840" s="49" t="str">
        <f t="shared" si="1"/>
        <v>40380</v>
      </c>
      <c r="H16840" s="49">
        <f t="shared" si="2"/>
        <v>40208</v>
      </c>
    </row>
    <row r="16841">
      <c r="A16841" s="48" t="s">
        <v>12043</v>
      </c>
      <c r="B16841" s="38">
        <v>12013.0</v>
      </c>
      <c r="C16841" s="38" t="s">
        <v>4767</v>
      </c>
      <c r="D16841" s="38" t="str">
        <f>IFERROR(__xludf.DUMMYFUNCTION("REGEXREPLACE(C16841,""-\d+(.*)|--\d+(.*)"","""")"),"AUBIN")</f>
        <v>AUBIN</v>
      </c>
      <c r="E16841" s="38" t="s">
        <v>465</v>
      </c>
      <c r="F16841" s="38" t="s">
        <v>94</v>
      </c>
      <c r="G16841" s="49" t="str">
        <f t="shared" si="1"/>
        <v>12110</v>
      </c>
      <c r="H16841" s="49">
        <f t="shared" si="2"/>
        <v>12013</v>
      </c>
    </row>
    <row r="16842">
      <c r="A16842" s="48" t="s">
        <v>3624</v>
      </c>
      <c r="B16842" s="38">
        <v>39273.0</v>
      </c>
      <c r="C16842" s="38" t="s">
        <v>21242</v>
      </c>
      <c r="D16842" s="38" t="str">
        <f>IFERROR(__xludf.DUMMYFUNCTION("REGEXREPLACE(C16842,""-\d+(.*)|--\d+(.*)"","""")"),"LAINS")</f>
        <v>LAINS</v>
      </c>
      <c r="E16842" s="38" t="s">
        <v>400</v>
      </c>
      <c r="F16842" s="38" t="s">
        <v>214</v>
      </c>
      <c r="G16842" s="49" t="str">
        <f t="shared" si="1"/>
        <v>39320</v>
      </c>
      <c r="H16842" s="49">
        <f t="shared" si="2"/>
        <v>39273</v>
      </c>
    </row>
    <row r="16843">
      <c r="A16843" s="48" t="s">
        <v>9430</v>
      </c>
      <c r="B16843" s="38">
        <v>24443.0</v>
      </c>
      <c r="C16843" s="38" t="s">
        <v>21243</v>
      </c>
      <c r="D16843" s="38" t="str">
        <f>IFERROR(__xludf.DUMMYFUNCTION("REGEXREPLACE(C16843,""-\d+(.*)|--\d+(.*)"","""")"),"SAINT-LEON-SUR-VEZERE")</f>
        <v>SAINT-LEON-SUR-VEZERE</v>
      </c>
      <c r="E16843" s="38" t="s">
        <v>261</v>
      </c>
      <c r="F16843" s="38" t="s">
        <v>252</v>
      </c>
      <c r="G16843" s="49" t="str">
        <f t="shared" si="1"/>
        <v>24290</v>
      </c>
      <c r="H16843" s="49">
        <f t="shared" si="2"/>
        <v>24443</v>
      </c>
    </row>
    <row r="16844">
      <c r="A16844" s="48" t="s">
        <v>1137</v>
      </c>
      <c r="B16844" s="38">
        <v>60567.0</v>
      </c>
      <c r="C16844" s="38" t="s">
        <v>21244</v>
      </c>
      <c r="D16844" s="38" t="str">
        <f>IFERROR(__xludf.DUMMYFUNCTION("REGEXREPLACE(C16844,""-\d+(.*)|--\d+(.*)"","""")"),"SAINT-AUBIN-EN-BRAY")</f>
        <v>SAINT-AUBIN-EN-BRAY</v>
      </c>
      <c r="E16844" s="38" t="s">
        <v>112</v>
      </c>
      <c r="F16844" s="38" t="s">
        <v>113</v>
      </c>
      <c r="G16844" s="49" t="str">
        <f t="shared" si="1"/>
        <v>60650</v>
      </c>
      <c r="H16844" s="49">
        <f t="shared" si="2"/>
        <v>60567</v>
      </c>
    </row>
    <row r="16845">
      <c r="A16845" s="48" t="s">
        <v>8892</v>
      </c>
      <c r="B16845" s="38">
        <v>60222.0</v>
      </c>
      <c r="C16845" s="38" t="s">
        <v>21245</v>
      </c>
      <c r="D16845" s="38" t="str">
        <f>IFERROR(__xludf.DUMMYFUNCTION("REGEXREPLACE(C16845,""-\d+(.*)|--\d+(.*)"","""")"),"ESSUILES")</f>
        <v>ESSUILES</v>
      </c>
      <c r="E16845" s="38" t="s">
        <v>112</v>
      </c>
      <c r="F16845" s="38" t="s">
        <v>113</v>
      </c>
      <c r="G16845" s="49" t="str">
        <f t="shared" si="1"/>
        <v>60510</v>
      </c>
      <c r="H16845" s="49">
        <f t="shared" si="2"/>
        <v>60222</v>
      </c>
    </row>
    <row r="16846">
      <c r="A16846" s="48" t="s">
        <v>2075</v>
      </c>
      <c r="B16846" s="38">
        <v>46036.0</v>
      </c>
      <c r="C16846" s="38" t="s">
        <v>21246</v>
      </c>
      <c r="D16846" s="38" t="str">
        <f>IFERROR(__xludf.DUMMYFUNCTION("REGEXREPLACE(C16846,""-\d+(.*)|--\d+(.*)"","""")"),"LE BOUYSSOU")</f>
        <v>LE BOUYSSOU</v>
      </c>
      <c r="E16846" s="38" t="s">
        <v>185</v>
      </c>
      <c r="F16846" s="38" t="s">
        <v>94</v>
      </c>
      <c r="G16846" s="49" t="str">
        <f t="shared" si="1"/>
        <v>46120</v>
      </c>
      <c r="H16846" s="49">
        <f t="shared" si="2"/>
        <v>46036</v>
      </c>
    </row>
    <row r="16847">
      <c r="A16847" s="48" t="s">
        <v>1806</v>
      </c>
      <c r="B16847" s="38">
        <v>90097.0</v>
      </c>
      <c r="C16847" s="38" t="s">
        <v>21247</v>
      </c>
      <c r="D16847" s="38" t="str">
        <f>IFERROR(__xludf.DUMMYFUNCTION("REGEXREPLACE(C16847,""-\d+(.*)|--\d+(.*)"","""")"),"TREVENANS")</f>
        <v>TREVENANS</v>
      </c>
      <c r="E16847" s="38" t="s">
        <v>1283</v>
      </c>
      <c r="F16847" s="38" t="s">
        <v>214</v>
      </c>
      <c r="G16847" s="49" t="str">
        <f t="shared" si="1"/>
        <v>90400</v>
      </c>
      <c r="H16847" s="49">
        <f t="shared" si="2"/>
        <v>90097</v>
      </c>
    </row>
    <row r="16848">
      <c r="A16848" s="48" t="s">
        <v>21248</v>
      </c>
      <c r="B16848" s="38">
        <v>44162.0</v>
      </c>
      <c r="C16848" s="38" t="s">
        <v>21249</v>
      </c>
      <c r="D16848" s="38" t="str">
        <f>IFERROR(__xludf.DUMMYFUNCTION("REGEXREPLACE(C16848,""-\d+(.*)|--\d+(.*)"","""")"),"SAINT-HERBLAIN")</f>
        <v>SAINT-HERBLAIN</v>
      </c>
      <c r="E16848" s="38" t="s">
        <v>759</v>
      </c>
      <c r="F16848" s="38" t="s">
        <v>180</v>
      </c>
      <c r="G16848" s="49" t="str">
        <f t="shared" si="1"/>
        <v>44800</v>
      </c>
      <c r="H16848" s="49">
        <f t="shared" si="2"/>
        <v>44162</v>
      </c>
    </row>
    <row r="16849">
      <c r="A16849" s="48" t="s">
        <v>4521</v>
      </c>
      <c r="B16849" s="38">
        <v>5156.0</v>
      </c>
      <c r="C16849" s="38" t="s">
        <v>4403</v>
      </c>
      <c r="D16849" s="38" t="str">
        <f>IFERROR(__xludf.DUMMYFUNCTION("REGEXREPLACE(C16849,""-\d+(.*)|--\d+(.*)"","""")"),"SAINT-SAUVEUR")</f>
        <v>SAINT-SAUVEUR</v>
      </c>
      <c r="E16849" s="38" t="s">
        <v>706</v>
      </c>
      <c r="F16849" s="38" t="s">
        <v>228</v>
      </c>
      <c r="G16849" s="49" t="str">
        <f t="shared" si="1"/>
        <v>05200</v>
      </c>
      <c r="H16849" s="49" t="str">
        <f t="shared" si="2"/>
        <v>05156</v>
      </c>
    </row>
    <row r="16850">
      <c r="A16850" s="48" t="s">
        <v>3662</v>
      </c>
      <c r="B16850" s="38">
        <v>80586.0</v>
      </c>
      <c r="C16850" s="38" t="s">
        <v>21250</v>
      </c>
      <c r="D16850" s="38" t="str">
        <f>IFERROR(__xludf.DUMMYFUNCTION("REGEXREPLACE(C16850,""-\d+(.*)|--\d+(.*)"","""")"),"NESLE-L'HOPITAL")</f>
        <v>NESLE-L'HOPITAL</v>
      </c>
      <c r="E16850" s="38" t="s">
        <v>224</v>
      </c>
      <c r="F16850" s="38" t="s">
        <v>113</v>
      </c>
      <c r="G16850" s="49" t="str">
        <f t="shared" si="1"/>
        <v>80140</v>
      </c>
      <c r="H16850" s="49">
        <f t="shared" si="2"/>
        <v>80586</v>
      </c>
    </row>
    <row r="16851">
      <c r="A16851" s="48" t="s">
        <v>1000</v>
      </c>
      <c r="B16851" s="38">
        <v>70093.0</v>
      </c>
      <c r="C16851" s="38" t="s">
        <v>21251</v>
      </c>
      <c r="D16851" s="38" t="str">
        <f>IFERROR(__xludf.DUMMYFUNCTION("REGEXREPLACE(C16851,""-\d+(.*)|--\d+(.*)"","""")"),"BREUCHES")</f>
        <v>BREUCHES</v>
      </c>
      <c r="E16851" s="38" t="s">
        <v>956</v>
      </c>
      <c r="F16851" s="38" t="s">
        <v>214</v>
      </c>
      <c r="G16851" s="49" t="str">
        <f t="shared" si="1"/>
        <v>70300</v>
      </c>
      <c r="H16851" s="49">
        <f t="shared" si="2"/>
        <v>70093</v>
      </c>
    </row>
    <row r="16852">
      <c r="A16852" s="48" t="s">
        <v>13902</v>
      </c>
      <c r="B16852" s="38">
        <v>49145.0</v>
      </c>
      <c r="C16852" s="38" t="s">
        <v>21252</v>
      </c>
      <c r="D16852" s="38" t="str">
        <f>IFERROR(__xludf.DUMMYFUNCTION("REGEXREPLACE(C16852,""-\d+(.*)|--\d+(.*)"","""")"),"LE FUILET")</f>
        <v>LE FUILET</v>
      </c>
      <c r="E16852" s="38" t="s">
        <v>653</v>
      </c>
      <c r="F16852" s="38" t="s">
        <v>180</v>
      </c>
      <c r="G16852" s="49" t="str">
        <f t="shared" si="1"/>
        <v>49270</v>
      </c>
      <c r="H16852" s="49">
        <f t="shared" si="2"/>
        <v>49145</v>
      </c>
    </row>
    <row r="16853">
      <c r="A16853" s="48" t="s">
        <v>1033</v>
      </c>
      <c r="B16853" s="38">
        <v>67034.0</v>
      </c>
      <c r="C16853" s="38" t="s">
        <v>21253</v>
      </c>
      <c r="D16853" s="38" t="str">
        <f>IFERROR(__xludf.DUMMYFUNCTION("REGEXREPLACE(C16853,""-\d+(.*)|--\d+(.*)"","""")"),"BERSTETT")</f>
        <v>BERSTETT</v>
      </c>
      <c r="E16853" s="38" t="s">
        <v>210</v>
      </c>
      <c r="F16853" s="38" t="s">
        <v>151</v>
      </c>
      <c r="G16853" s="49" t="str">
        <f t="shared" si="1"/>
        <v>67370</v>
      </c>
      <c r="H16853" s="49">
        <f t="shared" si="2"/>
        <v>67034</v>
      </c>
    </row>
    <row r="16854">
      <c r="A16854" s="48" t="s">
        <v>11310</v>
      </c>
      <c r="B16854" s="38">
        <v>50022.0</v>
      </c>
      <c r="C16854" s="38" t="s">
        <v>21254</v>
      </c>
      <c r="D16854" s="38" t="str">
        <f>IFERROR(__xludf.DUMMYFUNCTION("REGEXREPLACE(C16854,""-\d+(.*)|--\d+(.*)"","""")"),"AUMEVILLE-LESTRE")</f>
        <v>AUMEVILLE-LESTRE</v>
      </c>
      <c r="E16854" s="38" t="s">
        <v>157</v>
      </c>
      <c r="F16854" s="38" t="s">
        <v>138</v>
      </c>
      <c r="G16854" s="49" t="str">
        <f t="shared" si="1"/>
        <v>50630</v>
      </c>
      <c r="H16854" s="49">
        <f t="shared" si="2"/>
        <v>50022</v>
      </c>
    </row>
    <row r="16855">
      <c r="A16855" s="48" t="s">
        <v>3311</v>
      </c>
      <c r="B16855" s="38">
        <v>19116.0</v>
      </c>
      <c r="C16855" s="38" t="s">
        <v>21255</v>
      </c>
      <c r="D16855" s="38" t="str">
        <f>IFERROR(__xludf.DUMMYFUNCTION("REGEXREPLACE(C16855,""-\d+(.*)|--\d+(.*)"","""")"),"LIOURDRES")</f>
        <v>LIOURDRES</v>
      </c>
      <c r="E16855" s="38" t="s">
        <v>271</v>
      </c>
      <c r="F16855" s="38" t="s">
        <v>98</v>
      </c>
      <c r="G16855" s="49" t="str">
        <f t="shared" si="1"/>
        <v>19120</v>
      </c>
      <c r="H16855" s="49">
        <f t="shared" si="2"/>
        <v>19116</v>
      </c>
    </row>
    <row r="16856">
      <c r="A16856" s="48" t="s">
        <v>21256</v>
      </c>
      <c r="B16856" s="38">
        <v>97218.0</v>
      </c>
      <c r="C16856" s="38" t="s">
        <v>21257</v>
      </c>
      <c r="D16856" s="38" t="str">
        <f>IFERROR(__xludf.DUMMYFUNCTION("REGEXREPLACE(C16856,""-\d+(.*)|--\d+(.*)"","""")"),"LE MORNE-ROUGE")</f>
        <v>LE MORNE-ROUGE</v>
      </c>
      <c r="E16856" s="38" t="s">
        <v>2282</v>
      </c>
      <c r="F16856" s="38" t="s">
        <v>2282</v>
      </c>
      <c r="G16856" s="49" t="str">
        <f t="shared" si="1"/>
        <v>97260</v>
      </c>
      <c r="H16856" s="49">
        <f t="shared" si="2"/>
        <v>97218</v>
      </c>
    </row>
    <row r="16857">
      <c r="A16857" s="48" t="s">
        <v>1493</v>
      </c>
      <c r="B16857" s="38">
        <v>58239.0</v>
      </c>
      <c r="C16857" s="38" t="s">
        <v>3456</v>
      </c>
      <c r="D16857" s="38" t="str">
        <f>IFERROR(__xludf.DUMMYFUNCTION("REGEXREPLACE(C16857,""-\d+(.*)|--\d+(.*)"","""")"),"SAINT-FIRMIN")</f>
        <v>SAINT-FIRMIN</v>
      </c>
      <c r="E16857" s="38" t="s">
        <v>219</v>
      </c>
      <c r="F16857" s="38" t="s">
        <v>106</v>
      </c>
      <c r="G16857" s="49" t="str">
        <f t="shared" si="1"/>
        <v>58270</v>
      </c>
      <c r="H16857" s="49">
        <f t="shared" si="2"/>
        <v>58239</v>
      </c>
    </row>
    <row r="16858">
      <c r="A16858" s="48" t="s">
        <v>6321</v>
      </c>
      <c r="B16858" s="38">
        <v>62331.0</v>
      </c>
      <c r="C16858" s="38" t="s">
        <v>21258</v>
      </c>
      <c r="D16858" s="38" t="str">
        <f>IFERROR(__xludf.DUMMYFUNCTION("REGEXREPLACE(C16858,""-\d+(.*)|--\d+(.*)"","""")"),"FEUCHY")</f>
        <v>FEUCHY</v>
      </c>
      <c r="E16858" s="38" t="s">
        <v>109</v>
      </c>
      <c r="F16858" s="38" t="s">
        <v>86</v>
      </c>
      <c r="G16858" s="49" t="str">
        <f t="shared" si="1"/>
        <v>62223</v>
      </c>
      <c r="H16858" s="49">
        <f t="shared" si="2"/>
        <v>62331</v>
      </c>
    </row>
    <row r="16859">
      <c r="A16859" s="48" t="s">
        <v>566</v>
      </c>
      <c r="B16859" s="38">
        <v>23082.0</v>
      </c>
      <c r="C16859" s="38" t="s">
        <v>21259</v>
      </c>
      <c r="D16859" s="38" t="str">
        <f>IFERROR(__xludf.DUMMYFUNCTION("REGEXREPLACE(C16859,""-\d+(.*)|--\d+(.*)"","""")"),"FLEURAT")</f>
        <v>FLEURAT</v>
      </c>
      <c r="E16859" s="38" t="s">
        <v>97</v>
      </c>
      <c r="F16859" s="38" t="s">
        <v>98</v>
      </c>
      <c r="G16859" s="49" t="str">
        <f t="shared" si="1"/>
        <v>23320</v>
      </c>
      <c r="H16859" s="49">
        <f t="shared" si="2"/>
        <v>23082</v>
      </c>
    </row>
    <row r="16860">
      <c r="A16860" s="48" t="s">
        <v>21260</v>
      </c>
      <c r="B16860" s="38">
        <v>14488.0</v>
      </c>
      <c r="C16860" s="38" t="s">
        <v>21261</v>
      </c>
      <c r="D16860" s="38" t="str">
        <f>IFERROR(__xludf.DUMMYFUNCTION("REGEXREPLACE(C16860,""-\d+(.*)|--\d+(.*)"","""")"),"OUISTREHAM")</f>
        <v>OUISTREHAM</v>
      </c>
      <c r="E16860" s="38" t="s">
        <v>137</v>
      </c>
      <c r="F16860" s="38" t="s">
        <v>138</v>
      </c>
      <c r="G16860" s="49" t="str">
        <f t="shared" si="1"/>
        <v>14150</v>
      </c>
      <c r="H16860" s="49">
        <f t="shared" si="2"/>
        <v>14488</v>
      </c>
    </row>
    <row r="16861">
      <c r="A16861" s="48" t="s">
        <v>2067</v>
      </c>
      <c r="B16861" s="38">
        <v>18254.0</v>
      </c>
      <c r="C16861" s="38" t="s">
        <v>21262</v>
      </c>
      <c r="D16861" s="38" t="str">
        <f>IFERROR(__xludf.DUMMYFUNCTION("REGEXREPLACE(C16861,""-\d+(.*)|--\d+(.*)"","""")"),"SOYE-EN-SEPTAINE")</f>
        <v>SOYE-EN-SEPTAINE</v>
      </c>
      <c r="E16861" s="38" t="s">
        <v>504</v>
      </c>
      <c r="F16861" s="38" t="s">
        <v>123</v>
      </c>
      <c r="G16861" s="49" t="str">
        <f t="shared" si="1"/>
        <v>18340</v>
      </c>
      <c r="H16861" s="49">
        <f t="shared" si="2"/>
        <v>18254</v>
      </c>
    </row>
    <row r="16862">
      <c r="A16862" s="48" t="s">
        <v>3992</v>
      </c>
      <c r="B16862" s="38">
        <v>46002.0</v>
      </c>
      <c r="C16862" s="38" t="s">
        <v>15355</v>
      </c>
      <c r="D16862" s="38" t="str">
        <f>IFERROR(__xludf.DUMMYFUNCTION("REGEXREPLACE(C16862,""-\d+(.*)|--\d+(.*)"","""")"),"ALBIAC")</f>
        <v>ALBIAC</v>
      </c>
      <c r="E16862" s="38" t="s">
        <v>185</v>
      </c>
      <c r="F16862" s="38" t="s">
        <v>94</v>
      </c>
      <c r="G16862" s="49" t="str">
        <f t="shared" si="1"/>
        <v>46500</v>
      </c>
      <c r="H16862" s="49">
        <f t="shared" si="2"/>
        <v>46002</v>
      </c>
    </row>
    <row r="16863">
      <c r="A16863" s="48" t="s">
        <v>20867</v>
      </c>
      <c r="B16863" s="38" t="s">
        <v>21263</v>
      </c>
      <c r="C16863" s="38" t="s">
        <v>21264</v>
      </c>
      <c r="D16863" s="38" t="str">
        <f>IFERROR(__xludf.DUMMYFUNCTION("REGEXREPLACE(C16863,""-\d+(.*)|--\d+(.*)"","""")"),"PIAZZALI")</f>
        <v>PIAZZALI</v>
      </c>
      <c r="E16863" s="38" t="s">
        <v>743</v>
      </c>
      <c r="F16863" s="38" t="s">
        <v>607</v>
      </c>
      <c r="G16863" s="49" t="str">
        <f t="shared" si="1"/>
        <v>20234</v>
      </c>
      <c r="H16863" s="49" t="str">
        <f t="shared" si="2"/>
        <v>2B216</v>
      </c>
    </row>
    <row r="16864">
      <c r="A16864" s="48" t="s">
        <v>4283</v>
      </c>
      <c r="B16864" s="38">
        <v>7344.0</v>
      </c>
      <c r="C16864" s="38" t="s">
        <v>21265</v>
      </c>
      <c r="D16864" s="38" t="str">
        <f>IFERROR(__xludf.DUMMYFUNCTION("REGEXREPLACE(C16864,""-\d+(.*)|--\d+(.*)"","""")"),"VINZIEUX")</f>
        <v>VINZIEUX</v>
      </c>
      <c r="E16864" s="38" t="s">
        <v>144</v>
      </c>
      <c r="F16864" s="38" t="s">
        <v>102</v>
      </c>
      <c r="G16864" s="49" t="str">
        <f t="shared" si="1"/>
        <v>07340</v>
      </c>
      <c r="H16864" s="49" t="str">
        <f t="shared" si="2"/>
        <v>07344</v>
      </c>
    </row>
    <row r="16865">
      <c r="A16865" s="48" t="s">
        <v>2462</v>
      </c>
      <c r="B16865" s="38">
        <v>1213.0</v>
      </c>
      <c r="C16865" s="38" t="s">
        <v>21266</v>
      </c>
      <c r="D16865" s="38" t="str">
        <f>IFERROR(__xludf.DUMMYFUNCTION("REGEXREPLACE(C16865,""-\d+(.*)|--\d+(.*)"","""")"),"LEYMENT")</f>
        <v>LEYMENT</v>
      </c>
      <c r="E16865" s="38" t="s">
        <v>255</v>
      </c>
      <c r="F16865" s="38" t="s">
        <v>102</v>
      </c>
      <c r="G16865" s="49" t="str">
        <f t="shared" si="1"/>
        <v>01150</v>
      </c>
      <c r="H16865" s="49" t="str">
        <f t="shared" si="2"/>
        <v>01213</v>
      </c>
    </row>
    <row r="16866">
      <c r="A16866" s="48" t="s">
        <v>5081</v>
      </c>
      <c r="B16866" s="38">
        <v>54048.0</v>
      </c>
      <c r="C16866" s="38" t="s">
        <v>21267</v>
      </c>
      <c r="D16866" s="38" t="str">
        <f>IFERROR(__xludf.DUMMYFUNCTION("REGEXREPLACE(C16866,""-\d+(.*)|--\d+(.*)"","""")"),"LES BAROCHES")</f>
        <v>LES BAROCHES</v>
      </c>
      <c r="E16866" s="38" t="s">
        <v>548</v>
      </c>
      <c r="F16866" s="38" t="s">
        <v>195</v>
      </c>
      <c r="G16866" s="49" t="str">
        <f t="shared" si="1"/>
        <v>54150</v>
      </c>
      <c r="H16866" s="49">
        <f t="shared" si="2"/>
        <v>54048</v>
      </c>
    </row>
    <row r="16867">
      <c r="A16867" s="48" t="s">
        <v>328</v>
      </c>
      <c r="B16867" s="38">
        <v>2551.0</v>
      </c>
      <c r="C16867" s="38" t="s">
        <v>21268</v>
      </c>
      <c r="D16867" s="38" t="str">
        <f>IFERROR(__xludf.DUMMYFUNCTION("REGEXREPLACE(C16867,""-\d+(.*)|--\d+(.*)"","""")"),"NEUVILLE-SUR-MARGIVAL")</f>
        <v>NEUVILLE-SUR-MARGIVAL</v>
      </c>
      <c r="E16867" s="38" t="s">
        <v>191</v>
      </c>
      <c r="F16867" s="38" t="s">
        <v>113</v>
      </c>
      <c r="G16867" s="49" t="str">
        <f t="shared" si="1"/>
        <v>02880</v>
      </c>
      <c r="H16867" s="49" t="str">
        <f t="shared" si="2"/>
        <v>02551</v>
      </c>
    </row>
    <row r="16868">
      <c r="A16868" s="48" t="s">
        <v>1188</v>
      </c>
      <c r="B16868" s="38">
        <v>45146.0</v>
      </c>
      <c r="C16868" s="38" t="s">
        <v>21269</v>
      </c>
      <c r="D16868" s="38" t="str">
        <f>IFERROR(__xludf.DUMMYFUNCTION("REGEXREPLACE(C16868,""-\d+(.*)|--\d+(.*)"","""")"),"LA FERTE-SAINT-AUBIN")</f>
        <v>LA FERTE-SAINT-AUBIN</v>
      </c>
      <c r="E16868" s="38" t="s">
        <v>122</v>
      </c>
      <c r="F16868" s="38" t="s">
        <v>123</v>
      </c>
      <c r="G16868" s="49" t="str">
        <f t="shared" si="1"/>
        <v>45240</v>
      </c>
      <c r="H16868" s="49">
        <f t="shared" si="2"/>
        <v>45146</v>
      </c>
    </row>
    <row r="16869">
      <c r="A16869" s="48" t="s">
        <v>6278</v>
      </c>
      <c r="B16869" s="38">
        <v>3174.0</v>
      </c>
      <c r="C16869" s="38" t="s">
        <v>21270</v>
      </c>
      <c r="D16869" s="38" t="str">
        <f>IFERROR(__xludf.DUMMYFUNCTION("REGEXREPLACE(C16869,""-\d+(.*)|--\d+(.*)"","""")"),"MOLLES")</f>
        <v>MOLLES</v>
      </c>
      <c r="E16869" s="38" t="s">
        <v>160</v>
      </c>
      <c r="F16869" s="38" t="s">
        <v>161</v>
      </c>
      <c r="G16869" s="49" t="str">
        <f t="shared" si="1"/>
        <v>03300</v>
      </c>
      <c r="H16869" s="49" t="str">
        <f t="shared" si="2"/>
        <v>03174</v>
      </c>
    </row>
    <row r="16870">
      <c r="A16870" s="48" t="s">
        <v>11699</v>
      </c>
      <c r="B16870" s="38">
        <v>38092.0</v>
      </c>
      <c r="C16870" s="38" t="s">
        <v>769</v>
      </c>
      <c r="D16870" s="38" t="str">
        <f>IFERROR(__xludf.DUMMYFUNCTION("REGEXREPLACE(C16870,""-\d+(.*)|--\d+(.*)"","""")"),"CHATELUS")</f>
        <v>CHATELUS</v>
      </c>
      <c r="E16870" s="38" t="s">
        <v>101</v>
      </c>
      <c r="F16870" s="38" t="s">
        <v>102</v>
      </c>
      <c r="G16870" s="49" t="str">
        <f t="shared" si="1"/>
        <v>38680</v>
      </c>
      <c r="H16870" s="49">
        <f t="shared" si="2"/>
        <v>38092</v>
      </c>
    </row>
    <row r="16871">
      <c r="A16871" s="48" t="s">
        <v>4832</v>
      </c>
      <c r="B16871" s="38">
        <v>18138.0</v>
      </c>
      <c r="C16871" s="38" t="s">
        <v>18222</v>
      </c>
      <c r="D16871" s="38" t="str">
        <f>IFERROR(__xludf.DUMMYFUNCTION("REGEXREPLACE(C16871,""-\d+(.*)|--\d+(.*)"","""")"),"MARMAGNE")</f>
        <v>MARMAGNE</v>
      </c>
      <c r="E16871" s="38" t="s">
        <v>504</v>
      </c>
      <c r="F16871" s="38" t="s">
        <v>123</v>
      </c>
      <c r="G16871" s="49" t="str">
        <f t="shared" si="1"/>
        <v>18500</v>
      </c>
      <c r="H16871" s="49">
        <f t="shared" si="2"/>
        <v>18138</v>
      </c>
    </row>
    <row r="16872">
      <c r="A16872" s="48" t="s">
        <v>3077</v>
      </c>
      <c r="B16872" s="38">
        <v>32269.0</v>
      </c>
      <c r="C16872" s="38" t="s">
        <v>21271</v>
      </c>
      <c r="D16872" s="38" t="str">
        <f>IFERROR(__xludf.DUMMYFUNCTION("REGEXREPLACE(C16872,""-\d+(.*)|--\d+(.*)"","""")"),"MONFORT")</f>
        <v>MONFORT</v>
      </c>
      <c r="E16872" s="38" t="s">
        <v>440</v>
      </c>
      <c r="F16872" s="38" t="s">
        <v>94</v>
      </c>
      <c r="G16872" s="49" t="str">
        <f t="shared" si="1"/>
        <v>32120</v>
      </c>
      <c r="H16872" s="49">
        <f t="shared" si="2"/>
        <v>32269</v>
      </c>
    </row>
    <row r="16873">
      <c r="A16873" s="48" t="s">
        <v>21272</v>
      </c>
      <c r="B16873" s="38">
        <v>67326.0</v>
      </c>
      <c r="C16873" s="38" t="s">
        <v>21273</v>
      </c>
      <c r="D16873" s="38" t="str">
        <f>IFERROR(__xludf.DUMMYFUNCTION("REGEXREPLACE(C16873,""-\d+(.*)|--\d+(.*)"","""")"),"NIEDERHAUSBERGEN")</f>
        <v>NIEDERHAUSBERGEN</v>
      </c>
      <c r="E16873" s="38" t="s">
        <v>210</v>
      </c>
      <c r="F16873" s="38" t="s">
        <v>151</v>
      </c>
      <c r="G16873" s="49" t="str">
        <f t="shared" si="1"/>
        <v>67207</v>
      </c>
      <c r="H16873" s="49">
        <f t="shared" si="2"/>
        <v>67326</v>
      </c>
    </row>
    <row r="16874">
      <c r="A16874" s="48" t="s">
        <v>1695</v>
      </c>
      <c r="B16874" s="38">
        <v>80175.0</v>
      </c>
      <c r="C16874" s="38" t="s">
        <v>21274</v>
      </c>
      <c r="D16874" s="38" t="str">
        <f>IFERROR(__xludf.DUMMYFUNCTION("REGEXREPLACE(C16874,""-\d+(.*)|--\d+(.*)"","""")"),"CARNOY")</f>
        <v>CARNOY</v>
      </c>
      <c r="E16874" s="38" t="s">
        <v>224</v>
      </c>
      <c r="F16874" s="38" t="s">
        <v>113</v>
      </c>
      <c r="G16874" s="49" t="str">
        <f t="shared" si="1"/>
        <v>80300</v>
      </c>
      <c r="H16874" s="49">
        <f t="shared" si="2"/>
        <v>80175</v>
      </c>
    </row>
    <row r="16875">
      <c r="A16875" s="48" t="s">
        <v>3190</v>
      </c>
      <c r="B16875" s="38">
        <v>70342.0</v>
      </c>
      <c r="C16875" s="38" t="s">
        <v>21275</v>
      </c>
      <c r="D16875" s="38" t="str">
        <f>IFERROR(__xludf.DUMMYFUNCTION("REGEXREPLACE(C16875,""-\d+(.*)|--\d+(.*)"","""")"),"MERCEY-SUR-SAONE")</f>
        <v>MERCEY-SUR-SAONE</v>
      </c>
      <c r="E16875" s="38" t="s">
        <v>956</v>
      </c>
      <c r="F16875" s="38" t="s">
        <v>214</v>
      </c>
      <c r="G16875" s="49" t="str">
        <f t="shared" si="1"/>
        <v>70130</v>
      </c>
      <c r="H16875" s="49">
        <f t="shared" si="2"/>
        <v>70342</v>
      </c>
    </row>
    <row r="16876">
      <c r="A16876" s="48" t="s">
        <v>3050</v>
      </c>
      <c r="B16876" s="38">
        <v>11341.0</v>
      </c>
      <c r="C16876" s="38" t="s">
        <v>21276</v>
      </c>
      <c r="D16876" s="38" t="str">
        <f>IFERROR(__xludf.DUMMYFUNCTION("REGEXREPLACE(C16876,""-\d+(.*)|--\d+(.*)"","""")"),"SAINT-FERRIOL")</f>
        <v>SAINT-FERRIOL</v>
      </c>
      <c r="E16876" s="38" t="s">
        <v>278</v>
      </c>
      <c r="F16876" s="38" t="s">
        <v>119</v>
      </c>
      <c r="G16876" s="49" t="str">
        <f t="shared" si="1"/>
        <v>11500</v>
      </c>
      <c r="H16876" s="49">
        <f t="shared" si="2"/>
        <v>11341</v>
      </c>
    </row>
    <row r="16877">
      <c r="A16877" s="48" t="s">
        <v>441</v>
      </c>
      <c r="B16877" s="38">
        <v>42248.0</v>
      </c>
      <c r="C16877" s="38" t="s">
        <v>21277</v>
      </c>
      <c r="D16877" s="38" t="str">
        <f>IFERROR(__xludf.DUMMYFUNCTION("REGEXREPLACE(C16877,""-\d+(.*)|--\d+(.*)"","""")"),"SAINT-JUST-EN-CHEVALET")</f>
        <v>SAINT-JUST-EN-CHEVALET</v>
      </c>
      <c r="E16877" s="38" t="s">
        <v>166</v>
      </c>
      <c r="F16877" s="38" t="s">
        <v>102</v>
      </c>
      <c r="G16877" s="49" t="str">
        <f t="shared" si="1"/>
        <v>42430</v>
      </c>
      <c r="H16877" s="49">
        <f t="shared" si="2"/>
        <v>42248</v>
      </c>
    </row>
    <row r="16878">
      <c r="A16878" s="48" t="s">
        <v>3735</v>
      </c>
      <c r="B16878" s="38">
        <v>28061.0</v>
      </c>
      <c r="C16878" s="38" t="s">
        <v>21278</v>
      </c>
      <c r="D16878" s="38" t="str">
        <f>IFERROR(__xludf.DUMMYFUNCTION("REGEXREPLACE(C16878,""-\d+(.*)|--\d+(.*)"","""")"),"BROU")</f>
        <v>BROU</v>
      </c>
      <c r="E16878" s="38" t="s">
        <v>300</v>
      </c>
      <c r="F16878" s="38" t="s">
        <v>123</v>
      </c>
      <c r="G16878" s="49" t="str">
        <f t="shared" si="1"/>
        <v>28160</v>
      </c>
      <c r="H16878" s="49">
        <f t="shared" si="2"/>
        <v>28061</v>
      </c>
    </row>
    <row r="16879">
      <c r="A16879" s="48" t="s">
        <v>21119</v>
      </c>
      <c r="B16879" s="38">
        <v>81220.0</v>
      </c>
      <c r="C16879" s="38" t="s">
        <v>21279</v>
      </c>
      <c r="D16879" s="38" t="str">
        <f>IFERROR(__xludf.DUMMYFUNCTION("REGEXREPLACE(C16879,""-\d+(.*)|--\d+(.*)"","""")"),"RABASTENS")</f>
        <v>RABASTENS</v>
      </c>
      <c r="E16879" s="38" t="s">
        <v>231</v>
      </c>
      <c r="F16879" s="38" t="s">
        <v>94</v>
      </c>
      <c r="G16879" s="49" t="str">
        <f t="shared" si="1"/>
        <v>81800</v>
      </c>
      <c r="H16879" s="49">
        <f t="shared" si="2"/>
        <v>81220</v>
      </c>
    </row>
    <row r="16880">
      <c r="A16880" s="48" t="s">
        <v>732</v>
      </c>
      <c r="B16880" s="38">
        <v>10006.0</v>
      </c>
      <c r="C16880" s="38" t="s">
        <v>21280</v>
      </c>
      <c r="D16880" s="38" t="str">
        <f>IFERROR(__xludf.DUMMYFUNCTION("REGEXREPLACE(C16880,""-\d+(.*)|--\d+(.*)"","""")"),"ARCIS-SUR-AUBE")</f>
        <v>ARCIS-SUR-AUBE</v>
      </c>
      <c r="E16880" s="38" t="s">
        <v>147</v>
      </c>
      <c r="F16880" s="38" t="s">
        <v>130</v>
      </c>
      <c r="G16880" s="49" t="str">
        <f t="shared" si="1"/>
        <v>10700</v>
      </c>
      <c r="H16880" s="49">
        <f t="shared" si="2"/>
        <v>10006</v>
      </c>
    </row>
    <row r="16881">
      <c r="A16881" s="48" t="s">
        <v>10039</v>
      </c>
      <c r="B16881" s="38">
        <v>47228.0</v>
      </c>
      <c r="C16881" s="38" t="s">
        <v>21281</v>
      </c>
      <c r="D16881" s="38" t="str">
        <f>IFERROR(__xludf.DUMMYFUNCTION("REGEXREPLACE(C16881,""-\d+(.*)|--\d+(.*)"","""")"),"SAINT-ANTOINE-DE-FICALBA")</f>
        <v>SAINT-ANTOINE-DE-FICALBA</v>
      </c>
      <c r="E16881" s="38" t="s">
        <v>251</v>
      </c>
      <c r="F16881" s="38" t="s">
        <v>252</v>
      </c>
      <c r="G16881" s="49" t="str">
        <f t="shared" si="1"/>
        <v>47340</v>
      </c>
      <c r="H16881" s="49">
        <f t="shared" si="2"/>
        <v>47228</v>
      </c>
    </row>
    <row r="16882">
      <c r="A16882" s="48" t="s">
        <v>335</v>
      </c>
      <c r="B16882" s="38">
        <v>79347.0</v>
      </c>
      <c r="C16882" s="38" t="s">
        <v>21282</v>
      </c>
      <c r="D16882" s="38" t="str">
        <f>IFERROR(__xludf.DUMMYFUNCTION("REGEXREPLACE(C16882,""-\d+(.*)|--\d+(.*)"","""")"),"VIENNAY")</f>
        <v>VIENNAY</v>
      </c>
      <c r="E16882" s="38" t="s">
        <v>337</v>
      </c>
      <c r="F16882" s="38" t="s">
        <v>338</v>
      </c>
      <c r="G16882" s="49" t="str">
        <f t="shared" si="1"/>
        <v>79200</v>
      </c>
      <c r="H16882" s="49">
        <f t="shared" si="2"/>
        <v>79347</v>
      </c>
    </row>
    <row r="16883">
      <c r="A16883" s="48" t="s">
        <v>222</v>
      </c>
      <c r="B16883" s="38">
        <v>80043.0</v>
      </c>
      <c r="C16883" s="38" t="s">
        <v>6983</v>
      </c>
      <c r="D16883" s="38" t="str">
        <f>IFERROR(__xludf.DUMMYFUNCTION("REGEXREPLACE(C16883,""-\d+(.*)|--\d+(.*)"","""")"),"AUTHIE")</f>
        <v>AUTHIE</v>
      </c>
      <c r="E16883" s="38" t="s">
        <v>224</v>
      </c>
      <c r="F16883" s="38" t="s">
        <v>113</v>
      </c>
      <c r="G16883" s="49" t="str">
        <f t="shared" si="1"/>
        <v>80560</v>
      </c>
      <c r="H16883" s="49">
        <f t="shared" si="2"/>
        <v>80043</v>
      </c>
    </row>
    <row r="16884">
      <c r="A16884" s="48" t="s">
        <v>7265</v>
      </c>
      <c r="B16884" s="38">
        <v>68121.0</v>
      </c>
      <c r="C16884" s="38" t="s">
        <v>21283</v>
      </c>
      <c r="D16884" s="38" t="str">
        <f>IFERROR(__xludf.DUMMYFUNCTION("REGEXREPLACE(C16884,""-\d+(.*)|--\d+(.*)"","""")"),"HAGENTHAL-LE-HAUT")</f>
        <v>HAGENTHAL-LE-HAUT</v>
      </c>
      <c r="E16884" s="38" t="s">
        <v>150</v>
      </c>
      <c r="F16884" s="38" t="s">
        <v>151</v>
      </c>
      <c r="G16884" s="49" t="str">
        <f t="shared" si="1"/>
        <v>68220</v>
      </c>
      <c r="H16884" s="49">
        <f t="shared" si="2"/>
        <v>68121</v>
      </c>
    </row>
    <row r="16885">
      <c r="A16885" s="48" t="s">
        <v>1272</v>
      </c>
      <c r="B16885" s="38">
        <v>51409.0</v>
      </c>
      <c r="C16885" s="38" t="s">
        <v>21284</v>
      </c>
      <c r="D16885" s="38" t="str">
        <f>IFERROR(__xludf.DUMMYFUNCTION("REGEXREPLACE(C16885,""-\d+(.*)|--\d+(.*)"","""")"),"NUISEMENT-SUR-COOLE")</f>
        <v>NUISEMENT-SUR-COOLE</v>
      </c>
      <c r="E16885" s="38" t="s">
        <v>129</v>
      </c>
      <c r="F16885" s="38" t="s">
        <v>130</v>
      </c>
      <c r="G16885" s="49" t="str">
        <f t="shared" si="1"/>
        <v>51240</v>
      </c>
      <c r="H16885" s="49">
        <f t="shared" si="2"/>
        <v>51409</v>
      </c>
    </row>
    <row r="16886">
      <c r="A16886" s="48" t="s">
        <v>5237</v>
      </c>
      <c r="B16886" s="38">
        <v>69188.0</v>
      </c>
      <c r="C16886" s="38" t="s">
        <v>21285</v>
      </c>
      <c r="D16886" s="38" t="str">
        <f>IFERROR(__xludf.DUMMYFUNCTION("REGEXREPLACE(C16886,""-\d+(.*)|--\d+(.*)"","""")"),"SAINT-CLEMENT-SUR-VALSONNE")</f>
        <v>SAINT-CLEMENT-SUR-VALSONNE</v>
      </c>
      <c r="E16886" s="38" t="s">
        <v>350</v>
      </c>
      <c r="F16886" s="38" t="s">
        <v>102</v>
      </c>
      <c r="G16886" s="49" t="str">
        <f t="shared" si="1"/>
        <v>69170</v>
      </c>
      <c r="H16886" s="49">
        <f t="shared" si="2"/>
        <v>69188</v>
      </c>
    </row>
    <row r="16887">
      <c r="A16887" s="48" t="s">
        <v>958</v>
      </c>
      <c r="B16887" s="38">
        <v>71434.0</v>
      </c>
      <c r="C16887" s="38" t="s">
        <v>21286</v>
      </c>
      <c r="D16887" s="38" t="str">
        <f>IFERROR(__xludf.DUMMYFUNCTION("REGEXREPLACE(C16887,""-\d+(.*)|--\d+(.*)"","""")"),"SAINT-JULIEN-DE-JONZY")</f>
        <v>SAINT-JULIEN-DE-JONZY</v>
      </c>
      <c r="E16887" s="38" t="s">
        <v>344</v>
      </c>
      <c r="F16887" s="38" t="s">
        <v>106</v>
      </c>
      <c r="G16887" s="49" t="str">
        <f t="shared" si="1"/>
        <v>71110</v>
      </c>
      <c r="H16887" s="49">
        <f t="shared" si="2"/>
        <v>71434</v>
      </c>
    </row>
    <row r="16888">
      <c r="A16888" s="48" t="s">
        <v>2710</v>
      </c>
      <c r="B16888" s="38">
        <v>68067.0</v>
      </c>
      <c r="C16888" s="38" t="s">
        <v>21287</v>
      </c>
      <c r="D16888" s="38" t="str">
        <f>IFERROR(__xludf.DUMMYFUNCTION("REGEXREPLACE(C16888,""-\d+(.*)|--\d+(.*)"","""")"),"COURTAVON")</f>
        <v>COURTAVON</v>
      </c>
      <c r="E16888" s="38" t="s">
        <v>150</v>
      </c>
      <c r="F16888" s="38" t="s">
        <v>151</v>
      </c>
      <c r="G16888" s="49" t="str">
        <f t="shared" si="1"/>
        <v>68480</v>
      </c>
      <c r="H16888" s="49">
        <f t="shared" si="2"/>
        <v>68067</v>
      </c>
    </row>
    <row r="16889">
      <c r="A16889" s="48" t="s">
        <v>21288</v>
      </c>
      <c r="B16889" s="38">
        <v>7103.0</v>
      </c>
      <c r="C16889" s="38" t="s">
        <v>21289</v>
      </c>
      <c r="D16889" s="38" t="str">
        <f>IFERROR(__xludf.DUMMYFUNCTION("REGEXREPLACE(C16889,""-\d+(.*)|--\d+(.*)"","""")"),"INTRES")</f>
        <v>INTRES</v>
      </c>
      <c r="E16889" s="38" t="s">
        <v>144</v>
      </c>
      <c r="F16889" s="38" t="s">
        <v>102</v>
      </c>
      <c r="G16889" s="49" t="str">
        <f t="shared" si="1"/>
        <v>07310/07320</v>
      </c>
      <c r="H16889" s="49" t="str">
        <f t="shared" si="2"/>
        <v>07103</v>
      </c>
    </row>
    <row r="16890">
      <c r="A16890" s="48" t="s">
        <v>21290</v>
      </c>
      <c r="B16890" s="38">
        <v>75105.0</v>
      </c>
      <c r="C16890" s="38" t="s">
        <v>21291</v>
      </c>
      <c r="D16890" s="38" t="str">
        <f>IFERROR(__xludf.DUMMYFUNCTION("REGEXREPLACE(C16890,""-\d+(.*)|--\d+(.*)"","""")"),"PARIS")</f>
        <v>PARIS</v>
      </c>
      <c r="E16890" s="38" t="s">
        <v>823</v>
      </c>
      <c r="F16890" s="38" t="s">
        <v>245</v>
      </c>
      <c r="G16890" s="49" t="str">
        <f t="shared" si="1"/>
        <v>75005</v>
      </c>
      <c r="H16890" s="49">
        <f t="shared" si="2"/>
        <v>75105</v>
      </c>
    </row>
    <row r="16891">
      <c r="A16891" s="48" t="s">
        <v>9914</v>
      </c>
      <c r="B16891" s="38">
        <v>29008.0</v>
      </c>
      <c r="C16891" s="38" t="s">
        <v>21292</v>
      </c>
      <c r="D16891" s="38" t="str">
        <f>IFERROR(__xludf.DUMMYFUNCTION("REGEXREPLACE(C16891,""-\d+(.*)|--\d+(.*)"","""")"),"BEUZEC-CAP-SIZUN")</f>
        <v>BEUZEC-CAP-SIZUN</v>
      </c>
      <c r="E16891" s="38" t="s">
        <v>176</v>
      </c>
      <c r="F16891" s="38" t="s">
        <v>90</v>
      </c>
      <c r="G16891" s="49" t="str">
        <f t="shared" si="1"/>
        <v>29790</v>
      </c>
      <c r="H16891" s="49">
        <f t="shared" si="2"/>
        <v>29008</v>
      </c>
    </row>
    <row r="16892">
      <c r="A16892" s="48" t="s">
        <v>2075</v>
      </c>
      <c r="B16892" s="38">
        <v>46004.0</v>
      </c>
      <c r="C16892" s="38" t="s">
        <v>21293</v>
      </c>
      <c r="D16892" s="38" t="str">
        <f>IFERROR(__xludf.DUMMYFUNCTION("REGEXREPLACE(C16892,""-\d+(.*)|--\d+(.*)"","""")"),"ANGLARS")</f>
        <v>ANGLARS</v>
      </c>
      <c r="E16892" s="38" t="s">
        <v>185</v>
      </c>
      <c r="F16892" s="38" t="s">
        <v>94</v>
      </c>
      <c r="G16892" s="49" t="str">
        <f t="shared" si="1"/>
        <v>46120</v>
      </c>
      <c r="H16892" s="49">
        <f t="shared" si="2"/>
        <v>46004</v>
      </c>
    </row>
    <row r="16893">
      <c r="A16893" s="48" t="s">
        <v>2408</v>
      </c>
      <c r="B16893" s="38">
        <v>30095.0</v>
      </c>
      <c r="C16893" s="38" t="s">
        <v>21294</v>
      </c>
      <c r="D16893" s="38" t="str">
        <f>IFERROR(__xludf.DUMMYFUNCTION("REGEXREPLACE(C16893,""-\d+(.*)|--\d+(.*)"","""")"),"CORCONNE")</f>
        <v>CORCONNE</v>
      </c>
      <c r="E16893" s="38" t="s">
        <v>526</v>
      </c>
      <c r="F16893" s="38" t="s">
        <v>119</v>
      </c>
      <c r="G16893" s="49" t="str">
        <f t="shared" si="1"/>
        <v>30260</v>
      </c>
      <c r="H16893" s="49">
        <f t="shared" si="2"/>
        <v>30095</v>
      </c>
    </row>
    <row r="16894">
      <c r="A16894" s="48" t="s">
        <v>15605</v>
      </c>
      <c r="B16894" s="38">
        <v>35256.0</v>
      </c>
      <c r="C16894" s="38" t="s">
        <v>21295</v>
      </c>
      <c r="D16894" s="38" t="str">
        <f>IFERROR(__xludf.DUMMYFUNCTION("REGEXREPLACE(C16894,""-\d+(.*)|--\d+(.*)"","""")"),"SAINT-BRIAC-SUR-MER")</f>
        <v>SAINT-BRIAC-SUR-MER</v>
      </c>
      <c r="E16894" s="38" t="s">
        <v>347</v>
      </c>
      <c r="F16894" s="38" t="s">
        <v>90</v>
      </c>
      <c r="G16894" s="49" t="str">
        <f t="shared" si="1"/>
        <v>35800</v>
      </c>
      <c r="H16894" s="49">
        <f t="shared" si="2"/>
        <v>35256</v>
      </c>
    </row>
    <row r="16895">
      <c r="A16895" s="48" t="s">
        <v>18025</v>
      </c>
      <c r="B16895" s="38">
        <v>82057.0</v>
      </c>
      <c r="C16895" s="38" t="s">
        <v>17576</v>
      </c>
      <c r="D16895" s="38" t="str">
        <f>IFERROR(__xludf.DUMMYFUNCTION("REGEXREPLACE(C16895,""-\d+(.*)|--\d+(.*)"","""")"),"FABAS")</f>
        <v>FABAS</v>
      </c>
      <c r="E16895" s="38" t="s">
        <v>570</v>
      </c>
      <c r="F16895" s="38" t="s">
        <v>94</v>
      </c>
      <c r="G16895" s="49" t="str">
        <f t="shared" si="1"/>
        <v>82170</v>
      </c>
      <c r="H16895" s="49">
        <f t="shared" si="2"/>
        <v>82057</v>
      </c>
    </row>
    <row r="16896">
      <c r="A16896" s="48" t="s">
        <v>438</v>
      </c>
      <c r="B16896" s="38">
        <v>32433.0</v>
      </c>
      <c r="C16896" s="38" t="s">
        <v>21296</v>
      </c>
      <c r="D16896" s="38" t="str">
        <f>IFERROR(__xludf.DUMMYFUNCTION("REGEXREPLACE(C16896,""-\d+(.*)|--\d+(.*)"","""")"),"SIMORRE")</f>
        <v>SIMORRE</v>
      </c>
      <c r="E16896" s="38" t="s">
        <v>440</v>
      </c>
      <c r="F16896" s="38" t="s">
        <v>94</v>
      </c>
      <c r="G16896" s="49" t="str">
        <f t="shared" si="1"/>
        <v>32420</v>
      </c>
      <c r="H16896" s="49">
        <f t="shared" si="2"/>
        <v>32433</v>
      </c>
    </row>
    <row r="16897">
      <c r="A16897" s="48" t="s">
        <v>1116</v>
      </c>
      <c r="B16897" s="38">
        <v>60505.0</v>
      </c>
      <c r="C16897" s="38" t="s">
        <v>21297</v>
      </c>
      <c r="D16897" s="38" t="str">
        <f>IFERROR(__xludf.DUMMYFUNCTION("REGEXREPLACE(C16897,""-\d+(.*)|--\d+(.*)"","""")"),"PONTARME")</f>
        <v>PONTARME</v>
      </c>
      <c r="E16897" s="38" t="s">
        <v>112</v>
      </c>
      <c r="F16897" s="38" t="s">
        <v>113</v>
      </c>
      <c r="G16897" s="49" t="str">
        <f t="shared" si="1"/>
        <v>60520</v>
      </c>
      <c r="H16897" s="49">
        <f t="shared" si="2"/>
        <v>60505</v>
      </c>
    </row>
    <row r="16898">
      <c r="A16898" s="48" t="s">
        <v>656</v>
      </c>
      <c r="B16898" s="38">
        <v>61405.0</v>
      </c>
      <c r="C16898" s="38" t="s">
        <v>21298</v>
      </c>
      <c r="D16898" s="38" t="str">
        <f>IFERROR(__xludf.DUMMYFUNCTION("REGEXREPLACE(C16898,""-\d+(.*)|--\d+(.*)"","""")"),"SAINT-HILAIRE-SUR-ERRE")</f>
        <v>SAINT-HILAIRE-SUR-ERRE</v>
      </c>
      <c r="E16898" s="38" t="s">
        <v>141</v>
      </c>
      <c r="F16898" s="38" t="s">
        <v>138</v>
      </c>
      <c r="G16898" s="49" t="str">
        <f t="shared" si="1"/>
        <v>61340</v>
      </c>
      <c r="H16898" s="49">
        <f t="shared" si="2"/>
        <v>61405</v>
      </c>
    </row>
    <row r="16899">
      <c r="A16899" s="48" t="s">
        <v>879</v>
      </c>
      <c r="B16899" s="38">
        <v>24186.0</v>
      </c>
      <c r="C16899" s="38" t="s">
        <v>21299</v>
      </c>
      <c r="D16899" s="38" t="str">
        <f>IFERROR(__xludf.DUMMYFUNCTION("REGEXREPLACE(C16899,""-\d+(.*)|--\d+(.*)"","""")"),"FONROQUE")</f>
        <v>FONROQUE</v>
      </c>
      <c r="E16899" s="38" t="s">
        <v>261</v>
      </c>
      <c r="F16899" s="38" t="s">
        <v>252</v>
      </c>
      <c r="G16899" s="49" t="str">
        <f t="shared" si="1"/>
        <v>24500</v>
      </c>
      <c r="H16899" s="49">
        <f t="shared" si="2"/>
        <v>24186</v>
      </c>
    </row>
    <row r="16900">
      <c r="A16900" s="48" t="s">
        <v>2770</v>
      </c>
      <c r="B16900" s="38">
        <v>25414.0</v>
      </c>
      <c r="C16900" s="38" t="s">
        <v>21300</v>
      </c>
      <c r="D16900" s="38" t="str">
        <f>IFERROR(__xludf.DUMMYFUNCTION("REGEXREPLACE(C16900,""-\d+(.*)|--\d+(.*)"","""")"),"LE MOUTHEROT")</f>
        <v>LE MOUTHEROT</v>
      </c>
      <c r="E16900" s="38" t="s">
        <v>213</v>
      </c>
      <c r="F16900" s="38" t="s">
        <v>214</v>
      </c>
      <c r="G16900" s="49" t="str">
        <f t="shared" si="1"/>
        <v>25170</v>
      </c>
      <c r="H16900" s="49">
        <f t="shared" si="2"/>
        <v>25414</v>
      </c>
    </row>
    <row r="16901">
      <c r="A16901" s="48" t="s">
        <v>10063</v>
      </c>
      <c r="B16901" s="38">
        <v>18034.0</v>
      </c>
      <c r="C16901" s="38" t="s">
        <v>21301</v>
      </c>
      <c r="D16901" s="38" t="str">
        <f>IFERROR(__xludf.DUMMYFUNCTION("REGEXREPLACE(C16901,""-\d+(.*)|--\d+(.*)"","""")"),"BOUZAIS")</f>
        <v>BOUZAIS</v>
      </c>
      <c r="E16901" s="38" t="s">
        <v>504</v>
      </c>
      <c r="F16901" s="38" t="s">
        <v>123</v>
      </c>
      <c r="G16901" s="49" t="str">
        <f t="shared" si="1"/>
        <v>18200</v>
      </c>
      <c r="H16901" s="49">
        <f t="shared" si="2"/>
        <v>18034</v>
      </c>
    </row>
    <row r="16902">
      <c r="A16902" s="48" t="s">
        <v>626</v>
      </c>
      <c r="B16902" s="38">
        <v>31228.0</v>
      </c>
      <c r="C16902" s="38" t="s">
        <v>21302</v>
      </c>
      <c r="D16902" s="38" t="str">
        <f>IFERROR(__xludf.DUMMYFUNCTION("REGEXREPLACE(C16902,""-\d+(.*)|--\d+(.*)"","""")"),"GRAGNAGUE")</f>
        <v>GRAGNAGUE</v>
      </c>
      <c r="E16902" s="38" t="s">
        <v>93</v>
      </c>
      <c r="F16902" s="38" t="s">
        <v>94</v>
      </c>
      <c r="G16902" s="49" t="str">
        <f t="shared" si="1"/>
        <v>31380</v>
      </c>
      <c r="H16902" s="49">
        <f t="shared" si="2"/>
        <v>31228</v>
      </c>
    </row>
    <row r="16903">
      <c r="A16903" s="48" t="s">
        <v>1058</v>
      </c>
      <c r="B16903" s="38">
        <v>21424.0</v>
      </c>
      <c r="C16903" s="38" t="s">
        <v>21303</v>
      </c>
      <c r="D16903" s="38" t="str">
        <f>IFERROR(__xludf.DUMMYFUNCTION("REGEXREPLACE(C16903,""-\d+(.*)|--\d+(.*)"","""")"),"MONTAGNY-LES-SEURRE")</f>
        <v>MONTAGNY-LES-SEURRE</v>
      </c>
      <c r="E16903" s="38" t="s">
        <v>105</v>
      </c>
      <c r="F16903" s="38" t="s">
        <v>106</v>
      </c>
      <c r="G16903" s="49" t="str">
        <f t="shared" si="1"/>
        <v>21250</v>
      </c>
      <c r="H16903" s="49">
        <f t="shared" si="2"/>
        <v>21424</v>
      </c>
    </row>
    <row r="16904">
      <c r="A16904" s="48" t="s">
        <v>12977</v>
      </c>
      <c r="B16904" s="38">
        <v>59537.0</v>
      </c>
      <c r="C16904" s="38" t="s">
        <v>21304</v>
      </c>
      <c r="D16904" s="38" t="str">
        <f>IFERROR(__xludf.DUMMYFUNCTION("REGEXREPLACE(C16904,""-\d+(.*)|--\d+(.*)"","""")"),"SAINT-MARTIN-SUR-ECAILLON")</f>
        <v>SAINT-MARTIN-SUR-ECAILLON</v>
      </c>
      <c r="E16904" s="38" t="s">
        <v>85</v>
      </c>
      <c r="F16904" s="38" t="s">
        <v>86</v>
      </c>
      <c r="G16904" s="49" t="str">
        <f t="shared" si="1"/>
        <v>59213</v>
      </c>
      <c r="H16904" s="49">
        <f t="shared" si="2"/>
        <v>59537</v>
      </c>
    </row>
    <row r="16905">
      <c r="A16905" s="48" t="s">
        <v>846</v>
      </c>
      <c r="B16905" s="38">
        <v>44142.0</v>
      </c>
      <c r="C16905" s="38" t="s">
        <v>21305</v>
      </c>
      <c r="D16905" s="38" t="str">
        <f>IFERROR(__xludf.DUMMYFUNCTION("REGEXREPLACE(C16905,""-\d+(.*)|--\d+(.*)"","""")"),"REMOUILLE")</f>
        <v>REMOUILLE</v>
      </c>
      <c r="E16905" s="38" t="s">
        <v>759</v>
      </c>
      <c r="F16905" s="38" t="s">
        <v>180</v>
      </c>
      <c r="G16905" s="49" t="str">
        <f t="shared" si="1"/>
        <v>44140</v>
      </c>
      <c r="H16905" s="49">
        <f t="shared" si="2"/>
        <v>44142</v>
      </c>
    </row>
    <row r="16906">
      <c r="A16906" s="48" t="s">
        <v>13763</v>
      </c>
      <c r="B16906" s="38">
        <v>1240.0</v>
      </c>
      <c r="C16906" s="38" t="s">
        <v>21306</v>
      </c>
      <c r="D16906" s="38" t="str">
        <f>IFERROR(__xludf.DUMMYFUNCTION("REGEXREPLACE(C16906,""-\d+(.*)|--\d+(.*)"","""")"),"MATAFELON-GRANGES")</f>
        <v>MATAFELON-GRANGES</v>
      </c>
      <c r="E16906" s="38" t="s">
        <v>255</v>
      </c>
      <c r="F16906" s="38" t="s">
        <v>102</v>
      </c>
      <c r="G16906" s="49" t="str">
        <f t="shared" si="1"/>
        <v>01580</v>
      </c>
      <c r="H16906" s="49" t="str">
        <f t="shared" si="2"/>
        <v>01240</v>
      </c>
    </row>
    <row r="16907">
      <c r="A16907" s="48" t="s">
        <v>1947</v>
      </c>
      <c r="B16907" s="38">
        <v>52064.0</v>
      </c>
      <c r="C16907" s="38" t="s">
        <v>21307</v>
      </c>
      <c r="D16907" s="38" t="str">
        <f>IFERROR(__xludf.DUMMYFUNCTION("REGEXREPLACE(C16907,""-\d+(.*)|--\d+(.*)"","""")"),"BOURMONT")</f>
        <v>BOURMONT</v>
      </c>
      <c r="E16907" s="38" t="s">
        <v>234</v>
      </c>
      <c r="F16907" s="38" t="s">
        <v>130</v>
      </c>
      <c r="G16907" s="49" t="str">
        <f t="shared" si="1"/>
        <v>52150</v>
      </c>
      <c r="H16907" s="49">
        <f t="shared" si="2"/>
        <v>52064</v>
      </c>
    </row>
    <row r="16908">
      <c r="A16908" s="48" t="s">
        <v>8404</v>
      </c>
      <c r="B16908" s="38" t="s">
        <v>21308</v>
      </c>
      <c r="C16908" s="38" t="s">
        <v>21309</v>
      </c>
      <c r="D16908" s="38" t="str">
        <f>IFERROR(__xludf.DUMMYFUNCTION("REGEXREPLACE(C16908,""-\d+(.*)|--\d+(.*)"","""")"),"LUCCIANA")</f>
        <v>LUCCIANA</v>
      </c>
      <c r="E16908" s="38" t="s">
        <v>743</v>
      </c>
      <c r="F16908" s="38" t="s">
        <v>607</v>
      </c>
      <c r="G16908" s="49" t="str">
        <f t="shared" si="1"/>
        <v>20290</v>
      </c>
      <c r="H16908" s="49" t="str">
        <f t="shared" si="2"/>
        <v>2B148</v>
      </c>
    </row>
    <row r="16909">
      <c r="A16909" s="48" t="s">
        <v>2368</v>
      </c>
      <c r="B16909" s="38">
        <v>65209.0</v>
      </c>
      <c r="C16909" s="38" t="s">
        <v>21310</v>
      </c>
      <c r="D16909" s="38" t="str">
        <f>IFERROR(__xludf.DUMMYFUNCTION("REGEXREPLACE(C16909,""-\d+(.*)|--\d+(.*)"","""")"),"GREZIAN")</f>
        <v>GREZIAN</v>
      </c>
      <c r="E16909" s="38" t="s">
        <v>200</v>
      </c>
      <c r="F16909" s="38" t="s">
        <v>94</v>
      </c>
      <c r="G16909" s="49" t="str">
        <f t="shared" si="1"/>
        <v>65240</v>
      </c>
      <c r="H16909" s="49">
        <f t="shared" si="2"/>
        <v>65209</v>
      </c>
    </row>
    <row r="16910">
      <c r="A16910" s="48" t="s">
        <v>8365</v>
      </c>
      <c r="B16910" s="38">
        <v>39037.0</v>
      </c>
      <c r="C16910" s="38" t="s">
        <v>21311</v>
      </c>
      <c r="D16910" s="38" t="str">
        <f>IFERROR(__xludf.DUMMYFUNCTION("REGEXREPLACE(C16910,""-\d+(.*)|--\d+(.*)"","""")"),"BANS")</f>
        <v>BANS</v>
      </c>
      <c r="E16910" s="38" t="s">
        <v>400</v>
      </c>
      <c r="F16910" s="38" t="s">
        <v>214</v>
      </c>
      <c r="G16910" s="49" t="str">
        <f t="shared" si="1"/>
        <v>39380</v>
      </c>
      <c r="H16910" s="49">
        <f t="shared" si="2"/>
        <v>39037</v>
      </c>
    </row>
    <row r="16911">
      <c r="A16911" s="48" t="s">
        <v>13501</v>
      </c>
      <c r="B16911" s="38">
        <v>31206.0</v>
      </c>
      <c r="C16911" s="38" t="s">
        <v>21312</v>
      </c>
      <c r="D16911" s="38" t="str">
        <f>IFERROR(__xludf.DUMMYFUNCTION("REGEXREPLACE(C16911,""-\d+(.*)|--\d+(.*)"","""")"),"GAILLAC-TOULZA")</f>
        <v>GAILLAC-TOULZA</v>
      </c>
      <c r="E16911" s="38" t="s">
        <v>93</v>
      </c>
      <c r="F16911" s="38" t="s">
        <v>94</v>
      </c>
      <c r="G16911" s="49" t="str">
        <f t="shared" si="1"/>
        <v>31550</v>
      </c>
      <c r="H16911" s="49">
        <f t="shared" si="2"/>
        <v>31206</v>
      </c>
    </row>
    <row r="16912">
      <c r="A16912" s="48" t="s">
        <v>18932</v>
      </c>
      <c r="B16912" s="38">
        <v>44161.0</v>
      </c>
      <c r="C16912" s="38" t="s">
        <v>21313</v>
      </c>
      <c r="D16912" s="38" t="str">
        <f>IFERROR(__xludf.DUMMYFUNCTION("REGEXREPLACE(C16912,""-\d+(.*)|--\d+(.*)"","""")"),"SAINT-GILDAS-DES-BOIS")</f>
        <v>SAINT-GILDAS-DES-BOIS</v>
      </c>
      <c r="E16912" s="38" t="s">
        <v>759</v>
      </c>
      <c r="F16912" s="38" t="s">
        <v>180</v>
      </c>
      <c r="G16912" s="49" t="str">
        <f t="shared" si="1"/>
        <v>44530</v>
      </c>
      <c r="H16912" s="49">
        <f t="shared" si="2"/>
        <v>44161</v>
      </c>
    </row>
    <row r="16913">
      <c r="A16913" s="48" t="s">
        <v>5525</v>
      </c>
      <c r="B16913" s="38">
        <v>10055.0</v>
      </c>
      <c r="C16913" s="38" t="s">
        <v>21314</v>
      </c>
      <c r="D16913" s="38" t="str">
        <f>IFERROR(__xludf.DUMMYFUNCTION("REGEXREPLACE(C16913,""-\d+(.*)|--\d+(.*)"","""")"),"BOURGUIGNONS")</f>
        <v>BOURGUIGNONS</v>
      </c>
      <c r="E16913" s="38" t="s">
        <v>147</v>
      </c>
      <c r="F16913" s="38" t="s">
        <v>130</v>
      </c>
      <c r="G16913" s="49" t="str">
        <f t="shared" si="1"/>
        <v>10110</v>
      </c>
      <c r="H16913" s="49">
        <f t="shared" si="2"/>
        <v>10055</v>
      </c>
    </row>
    <row r="16914">
      <c r="A16914" s="48" t="s">
        <v>423</v>
      </c>
      <c r="B16914" s="38">
        <v>2687.0</v>
      </c>
      <c r="C16914" s="38" t="s">
        <v>21315</v>
      </c>
      <c r="D16914" s="38" t="str">
        <f>IFERROR(__xludf.DUMMYFUNCTION("REGEXREPLACE(C16914,""-\d+(.*)|--\d+(.*)"","""")"),"SAINT-PIERRE-AIGLE")</f>
        <v>SAINT-PIERRE-AIGLE</v>
      </c>
      <c r="E16914" s="38" t="s">
        <v>191</v>
      </c>
      <c r="F16914" s="38" t="s">
        <v>113</v>
      </c>
      <c r="G16914" s="49" t="str">
        <f t="shared" si="1"/>
        <v>02600</v>
      </c>
      <c r="H16914" s="49" t="str">
        <f t="shared" si="2"/>
        <v>02687</v>
      </c>
    </row>
    <row r="16915">
      <c r="A16915" s="48" t="s">
        <v>21316</v>
      </c>
      <c r="B16915" s="38">
        <v>54596.0</v>
      </c>
      <c r="C16915" s="38" t="s">
        <v>21317</v>
      </c>
      <c r="D16915" s="38" t="str">
        <f>IFERROR(__xludf.DUMMYFUNCTION("REGEXREPLACE(C16915,""-\d+(.*)|--\d+(.*)"","""")"),"XEUILLEY")</f>
        <v>XEUILLEY</v>
      </c>
      <c r="E16915" s="38" t="s">
        <v>548</v>
      </c>
      <c r="F16915" s="38" t="s">
        <v>195</v>
      </c>
      <c r="G16915" s="49" t="str">
        <f t="shared" si="1"/>
        <v>54990</v>
      </c>
      <c r="H16915" s="49">
        <f t="shared" si="2"/>
        <v>54596</v>
      </c>
    </row>
    <row r="16916">
      <c r="A16916" s="48" t="s">
        <v>7153</v>
      </c>
      <c r="B16916" s="38">
        <v>30285.0</v>
      </c>
      <c r="C16916" s="38" t="s">
        <v>21318</v>
      </c>
      <c r="D16916" s="38" t="str">
        <f>IFERROR(__xludf.DUMMYFUNCTION("REGEXREPLACE(C16916,""-\d+(.*)|--\d+(.*)"","""")"),"SAINT-MAURICE-DE-CAZEVIEILLE")</f>
        <v>SAINT-MAURICE-DE-CAZEVIEILLE</v>
      </c>
      <c r="E16916" s="38" t="s">
        <v>526</v>
      </c>
      <c r="F16916" s="38" t="s">
        <v>119</v>
      </c>
      <c r="G16916" s="49" t="str">
        <f t="shared" si="1"/>
        <v>30360</v>
      </c>
      <c r="H16916" s="49">
        <f t="shared" si="2"/>
        <v>30285</v>
      </c>
    </row>
    <row r="16917">
      <c r="A16917" s="48" t="s">
        <v>21319</v>
      </c>
      <c r="B16917" s="38">
        <v>12265.0</v>
      </c>
      <c r="C16917" s="38" t="s">
        <v>21320</v>
      </c>
      <c r="D16917" s="38" t="str">
        <f>IFERROR(__xludf.DUMMYFUNCTION("REGEXREPLACE(C16917,""-\d+(.*)|--\d+(.*)"","""")"),"SEBRAZAC")</f>
        <v>SEBRAZAC</v>
      </c>
      <c r="E16917" s="38" t="s">
        <v>465</v>
      </c>
      <c r="F16917" s="38" t="s">
        <v>94</v>
      </c>
      <c r="G16917" s="49" t="str">
        <f t="shared" si="1"/>
        <v>12190</v>
      </c>
      <c r="H16917" s="49">
        <f t="shared" si="2"/>
        <v>12265</v>
      </c>
    </row>
    <row r="16918">
      <c r="A16918" s="48" t="s">
        <v>15833</v>
      </c>
      <c r="B16918" s="38">
        <v>87153.0</v>
      </c>
      <c r="C16918" s="38" t="s">
        <v>21321</v>
      </c>
      <c r="D16918" s="38" t="str">
        <f>IFERROR(__xludf.DUMMYFUNCTION("REGEXREPLACE(C16918,""-\d+(.*)|--\d+(.*)"","""")"),"SAINT-JULIEN-LE-PETIT")</f>
        <v>SAINT-JULIEN-LE-PETIT</v>
      </c>
      <c r="E16918" s="38" t="s">
        <v>897</v>
      </c>
      <c r="F16918" s="38" t="s">
        <v>98</v>
      </c>
      <c r="G16918" s="49" t="str">
        <f t="shared" si="1"/>
        <v>87460</v>
      </c>
      <c r="H16918" s="49">
        <f t="shared" si="2"/>
        <v>87153</v>
      </c>
    </row>
    <row r="16919">
      <c r="A16919" s="48" t="s">
        <v>8695</v>
      </c>
      <c r="B16919" s="38">
        <v>62009.0</v>
      </c>
      <c r="C16919" s="38" t="s">
        <v>21322</v>
      </c>
      <c r="D16919" s="38" t="str">
        <f>IFERROR(__xludf.DUMMYFUNCTION("REGEXREPLACE(C16919,""-\d+(.*)|--\d+(.*)"","""")"),"ADINFER")</f>
        <v>ADINFER</v>
      </c>
      <c r="E16919" s="38" t="s">
        <v>109</v>
      </c>
      <c r="F16919" s="38" t="s">
        <v>86</v>
      </c>
      <c r="G16919" s="49" t="str">
        <f t="shared" si="1"/>
        <v>62116</v>
      </c>
      <c r="H16919" s="49">
        <f t="shared" si="2"/>
        <v>62009</v>
      </c>
    </row>
    <row r="16920">
      <c r="A16920" s="48" t="s">
        <v>15759</v>
      </c>
      <c r="B16920" s="38">
        <v>43123.0</v>
      </c>
      <c r="C16920" s="38" t="s">
        <v>21323</v>
      </c>
      <c r="D16920" s="38" t="str">
        <f>IFERROR(__xludf.DUMMYFUNCTION("REGEXREPLACE(C16920,""-\d+(.*)|--\d+(.*)"","""")"),"LORLANGES")</f>
        <v>LORLANGES</v>
      </c>
      <c r="E16920" s="38" t="s">
        <v>332</v>
      </c>
      <c r="F16920" s="38" t="s">
        <v>161</v>
      </c>
      <c r="G16920" s="49" t="str">
        <f t="shared" si="1"/>
        <v>43360</v>
      </c>
      <c r="H16920" s="49">
        <f t="shared" si="2"/>
        <v>43123</v>
      </c>
    </row>
    <row r="16921">
      <c r="A16921" s="48" t="s">
        <v>15207</v>
      </c>
      <c r="B16921" s="38">
        <v>74157.0</v>
      </c>
      <c r="C16921" s="38" t="s">
        <v>21324</v>
      </c>
      <c r="D16921" s="38" t="str">
        <f>IFERROR(__xludf.DUMMYFUNCTION("REGEXREPLACE(C16921,""-\d+(.*)|--\d+(.*)"","""")"),"LYAUD")</f>
        <v>LYAUD</v>
      </c>
      <c r="E16921" s="38" t="s">
        <v>319</v>
      </c>
      <c r="F16921" s="38" t="s">
        <v>102</v>
      </c>
      <c r="G16921" s="49" t="str">
        <f t="shared" si="1"/>
        <v>74200</v>
      </c>
      <c r="H16921" s="49">
        <f t="shared" si="2"/>
        <v>74157</v>
      </c>
    </row>
    <row r="16922">
      <c r="A16922" s="48" t="s">
        <v>16775</v>
      </c>
      <c r="B16922" s="38">
        <v>2383.0</v>
      </c>
      <c r="C16922" s="38" t="s">
        <v>21325</v>
      </c>
      <c r="D16922" s="38" t="str">
        <f>IFERROR(__xludf.DUMMYFUNCTION("REGEXREPLACE(C16922,""-\d+(.*)|--\d+(.*)"","""")"),"HOMBLIERES")</f>
        <v>HOMBLIERES</v>
      </c>
      <c r="E16922" s="38" t="s">
        <v>191</v>
      </c>
      <c r="F16922" s="38" t="s">
        <v>113</v>
      </c>
      <c r="G16922" s="49" t="str">
        <f t="shared" si="1"/>
        <v>02720</v>
      </c>
      <c r="H16922" s="49" t="str">
        <f t="shared" si="2"/>
        <v>02383</v>
      </c>
    </row>
    <row r="16923">
      <c r="A16923" s="48" t="s">
        <v>17834</v>
      </c>
      <c r="B16923" s="38">
        <v>83040.0</v>
      </c>
      <c r="C16923" s="38" t="s">
        <v>21326</v>
      </c>
      <c r="D16923" s="38" t="str">
        <f>IFERROR(__xludf.DUMMYFUNCTION("REGEXREPLACE(C16923,""-\d+(.*)|--\d+(.*)"","""")"),"CHATEAUVIEUX")</f>
        <v>CHATEAUVIEUX</v>
      </c>
      <c r="E16923" s="38" t="s">
        <v>813</v>
      </c>
      <c r="F16923" s="38" t="s">
        <v>228</v>
      </c>
      <c r="G16923" s="49" t="str">
        <f t="shared" si="1"/>
        <v>83840</v>
      </c>
      <c r="H16923" s="49">
        <f t="shared" si="2"/>
        <v>83040</v>
      </c>
    </row>
    <row r="16924">
      <c r="A16924" s="48" t="s">
        <v>2600</v>
      </c>
      <c r="B16924" s="38">
        <v>60278.0</v>
      </c>
      <c r="C16924" s="38" t="s">
        <v>21327</v>
      </c>
      <c r="D16924" s="38" t="str">
        <f>IFERROR(__xludf.DUMMYFUNCTION("REGEXREPLACE(C16924,""-\d+(.*)|--\d+(.*)"","""")"),"GOLANCOURT")</f>
        <v>GOLANCOURT</v>
      </c>
      <c r="E16924" s="38" t="s">
        <v>112</v>
      </c>
      <c r="F16924" s="38" t="s">
        <v>113</v>
      </c>
      <c r="G16924" s="49" t="str">
        <f t="shared" si="1"/>
        <v>60640</v>
      </c>
      <c r="H16924" s="49">
        <f t="shared" si="2"/>
        <v>60278</v>
      </c>
    </row>
    <row r="16925">
      <c r="A16925" s="48" t="s">
        <v>4873</v>
      </c>
      <c r="B16925" s="38">
        <v>67535.0</v>
      </c>
      <c r="C16925" s="38" t="s">
        <v>21328</v>
      </c>
      <c r="D16925" s="38" t="str">
        <f>IFERROR(__xludf.DUMMYFUNCTION("REGEXREPLACE(C16925,""-\d+(.*)|--\d+(.*)"","""")"),"WIMMENAU")</f>
        <v>WIMMENAU</v>
      </c>
      <c r="E16925" s="38" t="s">
        <v>210</v>
      </c>
      <c r="F16925" s="38" t="s">
        <v>151</v>
      </c>
      <c r="G16925" s="49" t="str">
        <f t="shared" si="1"/>
        <v>67290</v>
      </c>
      <c r="H16925" s="49">
        <f t="shared" si="2"/>
        <v>67535</v>
      </c>
    </row>
    <row r="16926">
      <c r="A16926" s="48" t="s">
        <v>1758</v>
      </c>
      <c r="B16926" s="38">
        <v>65188.0</v>
      </c>
      <c r="C16926" s="38" t="s">
        <v>21329</v>
      </c>
      <c r="D16926" s="38" t="str">
        <f>IFERROR(__xludf.DUMMYFUNCTION("REGEXREPLACE(C16926,""-\d+(.*)|--\d+(.*)"","""")"),"GAVARNIE")</f>
        <v>GAVARNIE</v>
      </c>
      <c r="E16926" s="38" t="s">
        <v>200</v>
      </c>
      <c r="F16926" s="38" t="s">
        <v>94</v>
      </c>
      <c r="G16926" s="49" t="str">
        <f t="shared" si="1"/>
        <v>65120</v>
      </c>
      <c r="H16926" s="49">
        <f t="shared" si="2"/>
        <v>65188</v>
      </c>
    </row>
    <row r="16927">
      <c r="A16927" s="48" t="s">
        <v>4709</v>
      </c>
      <c r="B16927" s="38">
        <v>95379.0</v>
      </c>
      <c r="C16927" s="38" t="s">
        <v>21330</v>
      </c>
      <c r="D16927" s="38" t="str">
        <f>IFERROR(__xludf.DUMMYFUNCTION("REGEXREPLACE(C16927,""-\d+(.*)|--\d+(.*)"","""")"),"MAUDETOUR-EN-VEXIN")</f>
        <v>MAUDETOUR-EN-VEXIN</v>
      </c>
      <c r="E16927" s="38" t="s">
        <v>541</v>
      </c>
      <c r="F16927" s="38" t="s">
        <v>245</v>
      </c>
      <c r="G16927" s="49" t="str">
        <f t="shared" si="1"/>
        <v>95420</v>
      </c>
      <c r="H16927" s="49">
        <f t="shared" si="2"/>
        <v>95379</v>
      </c>
    </row>
    <row r="16928">
      <c r="A16928" s="48" t="s">
        <v>21331</v>
      </c>
      <c r="B16928" s="38">
        <v>77312.0</v>
      </c>
      <c r="C16928" s="38" t="s">
        <v>21332</v>
      </c>
      <c r="D16928" s="38" t="str">
        <f>IFERROR(__xludf.DUMMYFUNCTION("REGEXREPLACE(C16928,""-\d+(.*)|--\d+(.*)"","""")"),"MONTIGNY-SUR-LOING")</f>
        <v>MONTIGNY-SUR-LOING</v>
      </c>
      <c r="E16928" s="38" t="s">
        <v>244</v>
      </c>
      <c r="F16928" s="38" t="s">
        <v>245</v>
      </c>
      <c r="G16928" s="49" t="str">
        <f t="shared" si="1"/>
        <v>77690</v>
      </c>
      <c r="H16928" s="49">
        <f t="shared" si="2"/>
        <v>77312</v>
      </c>
    </row>
    <row r="16929">
      <c r="A16929" s="48" t="s">
        <v>6825</v>
      </c>
      <c r="B16929" s="38">
        <v>14521.0</v>
      </c>
      <c r="C16929" s="38" t="s">
        <v>11393</v>
      </c>
      <c r="D16929" s="38" t="str">
        <f>IFERROR(__xludf.DUMMYFUNCTION("REGEXREPLACE(C16929,""-\d+(.*)|--\d+(.*)"","""")"),"PRESLES")</f>
        <v>PRESLES</v>
      </c>
      <c r="E16929" s="38" t="s">
        <v>137</v>
      </c>
      <c r="F16929" s="38" t="s">
        <v>138</v>
      </c>
      <c r="G16929" s="49" t="str">
        <f t="shared" si="1"/>
        <v>14410</v>
      </c>
      <c r="H16929" s="49">
        <f t="shared" si="2"/>
        <v>14521</v>
      </c>
    </row>
    <row r="16930">
      <c r="A16930" s="48" t="s">
        <v>10189</v>
      </c>
      <c r="B16930" s="38">
        <v>59141.0</v>
      </c>
      <c r="C16930" s="38" t="s">
        <v>21333</v>
      </c>
      <c r="D16930" s="38" t="str">
        <f>IFERROR(__xludf.DUMMYFUNCTION("REGEXREPLACE(C16930,""-\d+(.*)|--\d+(.*)"","""")"),"CAUROIR")</f>
        <v>CAUROIR</v>
      </c>
      <c r="E16930" s="38" t="s">
        <v>85</v>
      </c>
      <c r="F16930" s="38" t="s">
        <v>86</v>
      </c>
      <c r="G16930" s="49" t="str">
        <f t="shared" si="1"/>
        <v>59400</v>
      </c>
      <c r="H16930" s="49">
        <f t="shared" si="2"/>
        <v>59141</v>
      </c>
    </row>
    <row r="16931">
      <c r="A16931" s="48" t="s">
        <v>1731</v>
      </c>
      <c r="B16931" s="38">
        <v>38146.0</v>
      </c>
      <c r="C16931" s="38" t="s">
        <v>21334</v>
      </c>
      <c r="D16931" s="38" t="str">
        <f>IFERROR(__xludf.DUMMYFUNCTION("REGEXREPLACE(C16931,""-\d+(.*)|--\d+(.*)"","""")"),"DIZIMIEU")</f>
        <v>DIZIMIEU</v>
      </c>
      <c r="E16931" s="38" t="s">
        <v>101</v>
      </c>
      <c r="F16931" s="38" t="s">
        <v>102</v>
      </c>
      <c r="G16931" s="49" t="str">
        <f t="shared" si="1"/>
        <v>38460</v>
      </c>
      <c r="H16931" s="49">
        <f t="shared" si="2"/>
        <v>38146</v>
      </c>
    </row>
    <row r="16932">
      <c r="A16932" s="48" t="s">
        <v>2699</v>
      </c>
      <c r="B16932" s="38">
        <v>79072.0</v>
      </c>
      <c r="C16932" s="38" t="s">
        <v>21335</v>
      </c>
      <c r="D16932" s="38" t="str">
        <f>IFERROR(__xludf.DUMMYFUNCTION("REGEXREPLACE(C16932,""-\d+(.*)|--\d+(.*)"","""")"),"LA CHAPELLE-GAUDIN")</f>
        <v>LA CHAPELLE-GAUDIN</v>
      </c>
      <c r="E16932" s="38" t="s">
        <v>337</v>
      </c>
      <c r="F16932" s="38" t="s">
        <v>338</v>
      </c>
      <c r="G16932" s="49" t="str">
        <f t="shared" si="1"/>
        <v>79300</v>
      </c>
      <c r="H16932" s="49">
        <f t="shared" si="2"/>
        <v>79072</v>
      </c>
    </row>
    <row r="16933">
      <c r="A16933" s="48" t="s">
        <v>4504</v>
      </c>
      <c r="B16933" s="38">
        <v>40149.0</v>
      </c>
      <c r="C16933" s="38" t="s">
        <v>21336</v>
      </c>
      <c r="D16933" s="38" t="str">
        <f>IFERROR(__xludf.DUMMYFUNCTION("REGEXREPLACE(C16933,""-\d+(.*)|--\d+(.*)"","""")"),"LENCOUACQ")</f>
        <v>LENCOUACQ</v>
      </c>
      <c r="E16933" s="38" t="s">
        <v>281</v>
      </c>
      <c r="F16933" s="38" t="s">
        <v>252</v>
      </c>
      <c r="G16933" s="49" t="str">
        <f t="shared" si="1"/>
        <v>40120</v>
      </c>
      <c r="H16933" s="49">
        <f t="shared" si="2"/>
        <v>40149</v>
      </c>
    </row>
    <row r="16934">
      <c r="A16934" s="48" t="s">
        <v>1878</v>
      </c>
      <c r="B16934" s="38">
        <v>14430.0</v>
      </c>
      <c r="C16934" s="38" t="s">
        <v>21337</v>
      </c>
      <c r="D16934" s="38" t="str">
        <f>IFERROR(__xludf.DUMMYFUNCTION("REGEXREPLACE(C16934,""-\d+(.*)|--\d+(.*)"","""")"),"MEUVAINES")</f>
        <v>MEUVAINES</v>
      </c>
      <c r="E16934" s="38" t="s">
        <v>137</v>
      </c>
      <c r="F16934" s="38" t="s">
        <v>138</v>
      </c>
      <c r="G16934" s="49" t="str">
        <f t="shared" si="1"/>
        <v>14960</v>
      </c>
      <c r="H16934" s="49">
        <f t="shared" si="2"/>
        <v>14430</v>
      </c>
    </row>
    <row r="16935">
      <c r="A16935" s="48" t="s">
        <v>15028</v>
      </c>
      <c r="B16935" s="38">
        <v>79167.0</v>
      </c>
      <c r="C16935" s="38" t="s">
        <v>21338</v>
      </c>
      <c r="D16935" s="38" t="str">
        <f>IFERROR(__xludf.DUMMYFUNCTION("REGEXREPLACE(C16935,""-\d+(.*)|--\d+(.*)"","""")"),"MARNES")</f>
        <v>MARNES</v>
      </c>
      <c r="E16935" s="38" t="s">
        <v>337</v>
      </c>
      <c r="F16935" s="38" t="s">
        <v>338</v>
      </c>
      <c r="G16935" s="49" t="str">
        <f t="shared" si="1"/>
        <v>79600</v>
      </c>
      <c r="H16935" s="49">
        <f t="shared" si="2"/>
        <v>79167</v>
      </c>
    </row>
    <row r="16936">
      <c r="A16936" s="48" t="s">
        <v>2176</v>
      </c>
      <c r="B16936" s="38">
        <v>62258.0</v>
      </c>
      <c r="C16936" s="38" t="s">
        <v>21339</v>
      </c>
      <c r="D16936" s="38" t="str">
        <f>IFERROR(__xludf.DUMMYFUNCTION("REGEXREPLACE(C16936,""-\d+(.*)|--\d+(.*)"","""")"),"CROISETTE")</f>
        <v>CROISETTE</v>
      </c>
      <c r="E16936" s="38" t="s">
        <v>109</v>
      </c>
      <c r="F16936" s="38" t="s">
        <v>86</v>
      </c>
      <c r="G16936" s="49" t="str">
        <f t="shared" si="1"/>
        <v>62130</v>
      </c>
      <c r="H16936" s="49">
        <f t="shared" si="2"/>
        <v>62258</v>
      </c>
    </row>
    <row r="16937">
      <c r="A16937" s="48" t="s">
        <v>1598</v>
      </c>
      <c r="B16937" s="38">
        <v>77012.0</v>
      </c>
      <c r="C16937" s="38" t="s">
        <v>21340</v>
      </c>
      <c r="D16937" s="38" t="str">
        <f>IFERROR(__xludf.DUMMYFUNCTION("REGEXREPLACE(C16937,""-\d+(.*)|--\d+(.*)"","""")"),"AUGERS-EN-BRIE")</f>
        <v>AUGERS-EN-BRIE</v>
      </c>
      <c r="E16937" s="38" t="s">
        <v>244</v>
      </c>
      <c r="F16937" s="38" t="s">
        <v>245</v>
      </c>
      <c r="G16937" s="49" t="str">
        <f t="shared" si="1"/>
        <v>77560</v>
      </c>
      <c r="H16937" s="49">
        <f t="shared" si="2"/>
        <v>77012</v>
      </c>
    </row>
    <row r="16938">
      <c r="A16938" s="48" t="s">
        <v>11498</v>
      </c>
      <c r="B16938" s="38">
        <v>26077.0</v>
      </c>
      <c r="C16938" s="38" t="s">
        <v>21341</v>
      </c>
      <c r="D16938" s="38" t="str">
        <f>IFERROR(__xludf.DUMMYFUNCTION("REGEXREPLACE(C16938,""-\d+(.*)|--\d+(.*)"","""")"),"CHARMES-SUR-L'HERBASSE")</f>
        <v>CHARMES-SUR-L'HERBASSE</v>
      </c>
      <c r="E16938" s="38" t="s">
        <v>126</v>
      </c>
      <c r="F16938" s="38" t="s">
        <v>102</v>
      </c>
      <c r="G16938" s="49" t="str">
        <f t="shared" si="1"/>
        <v>26260</v>
      </c>
      <c r="H16938" s="49">
        <f t="shared" si="2"/>
        <v>26077</v>
      </c>
    </row>
    <row r="16939">
      <c r="A16939" s="48" t="s">
        <v>2617</v>
      </c>
      <c r="B16939" s="38">
        <v>89179.0</v>
      </c>
      <c r="C16939" s="38" t="s">
        <v>3710</v>
      </c>
      <c r="D16939" s="38" t="str">
        <f>IFERROR(__xludf.DUMMYFUNCTION("REGEXREPLACE(C16939,""-\d+(.*)|--\d+(.*)"","""")"),"FONTENOY")</f>
        <v>FONTENOY</v>
      </c>
      <c r="E16939" s="38" t="s">
        <v>275</v>
      </c>
      <c r="F16939" s="38" t="s">
        <v>106</v>
      </c>
      <c r="G16939" s="49" t="str">
        <f t="shared" si="1"/>
        <v>89520</v>
      </c>
      <c r="H16939" s="49">
        <f t="shared" si="2"/>
        <v>89179</v>
      </c>
    </row>
    <row r="16940">
      <c r="A16940" s="48" t="s">
        <v>91</v>
      </c>
      <c r="B16940" s="38">
        <v>31455.0</v>
      </c>
      <c r="C16940" s="38" t="s">
        <v>21342</v>
      </c>
      <c r="D16940" s="38" t="str">
        <f>IFERROR(__xludf.DUMMYFUNCTION("REGEXREPLACE(C16940,""-\d+(.*)|--\d+(.*)"","""")"),"RIEUX-VOLVESTRE")</f>
        <v>RIEUX-VOLVESTRE</v>
      </c>
      <c r="E16940" s="38" t="s">
        <v>93</v>
      </c>
      <c r="F16940" s="38" t="s">
        <v>94</v>
      </c>
      <c r="G16940" s="49" t="str">
        <f t="shared" si="1"/>
        <v>31310</v>
      </c>
      <c r="H16940" s="49">
        <f t="shared" si="2"/>
        <v>31455</v>
      </c>
    </row>
    <row r="16941">
      <c r="A16941" s="48" t="s">
        <v>8059</v>
      </c>
      <c r="B16941" s="38">
        <v>70478.0</v>
      </c>
      <c r="C16941" s="38" t="s">
        <v>21343</v>
      </c>
      <c r="D16941" s="38" t="str">
        <f>IFERROR(__xludf.DUMMYFUNCTION("REGEXREPLACE(C16941,""-\d+(.*)|--\d+(.*)"","""")"),"SAULX")</f>
        <v>SAULX</v>
      </c>
      <c r="E16941" s="38" t="s">
        <v>956</v>
      </c>
      <c r="F16941" s="38" t="s">
        <v>214</v>
      </c>
      <c r="G16941" s="49" t="str">
        <f t="shared" si="1"/>
        <v>70240</v>
      </c>
      <c r="H16941" s="49">
        <f t="shared" si="2"/>
        <v>70478</v>
      </c>
    </row>
    <row r="16942">
      <c r="A16942" s="48" t="s">
        <v>1518</v>
      </c>
      <c r="B16942" s="38">
        <v>88389.0</v>
      </c>
      <c r="C16942" s="38" t="s">
        <v>21344</v>
      </c>
      <c r="D16942" s="38" t="str">
        <f>IFERROR(__xludf.DUMMYFUNCTION("REGEXREPLACE(C16942,""-\d+(.*)|--\d+(.*)"","""")"),"REPEL")</f>
        <v>REPEL</v>
      </c>
      <c r="E16942" s="38" t="s">
        <v>194</v>
      </c>
      <c r="F16942" s="38" t="s">
        <v>195</v>
      </c>
      <c r="G16942" s="49" t="str">
        <f t="shared" si="1"/>
        <v>88500</v>
      </c>
      <c r="H16942" s="49">
        <f t="shared" si="2"/>
        <v>88389</v>
      </c>
    </row>
    <row r="16943">
      <c r="A16943" s="48" t="s">
        <v>6775</v>
      </c>
      <c r="B16943" s="38">
        <v>79003.0</v>
      </c>
      <c r="C16943" s="38" t="s">
        <v>21345</v>
      </c>
      <c r="D16943" s="38" t="str">
        <f>IFERROR(__xludf.DUMMYFUNCTION("REGEXREPLACE(C16943,""-\d+(.*)|--\d+(.*)"","""")"),"AIFFRES")</f>
        <v>AIFFRES</v>
      </c>
      <c r="E16943" s="38" t="s">
        <v>337</v>
      </c>
      <c r="F16943" s="38" t="s">
        <v>338</v>
      </c>
      <c r="G16943" s="49" t="str">
        <f t="shared" si="1"/>
        <v>79230</v>
      </c>
      <c r="H16943" s="49">
        <f t="shared" si="2"/>
        <v>79003</v>
      </c>
    </row>
    <row r="16944">
      <c r="A16944" s="48" t="s">
        <v>580</v>
      </c>
      <c r="B16944" s="38">
        <v>31549.0</v>
      </c>
      <c r="C16944" s="38" t="s">
        <v>21346</v>
      </c>
      <c r="D16944" s="38" t="str">
        <f>IFERROR(__xludf.DUMMYFUNCTION("REGEXREPLACE(C16944,""-\d+(.*)|--\d+(.*)"","""")"),"SODE")</f>
        <v>SODE</v>
      </c>
      <c r="E16944" s="38" t="s">
        <v>93</v>
      </c>
      <c r="F16944" s="38" t="s">
        <v>94</v>
      </c>
      <c r="G16944" s="49" t="str">
        <f t="shared" si="1"/>
        <v>31110</v>
      </c>
      <c r="H16944" s="49">
        <f t="shared" si="2"/>
        <v>31549</v>
      </c>
    </row>
    <row r="16945">
      <c r="A16945" s="48" t="s">
        <v>3798</v>
      </c>
      <c r="B16945" s="38">
        <v>85220.0</v>
      </c>
      <c r="C16945" s="38" t="s">
        <v>21347</v>
      </c>
      <c r="D16945" s="38" t="str">
        <f>IFERROR(__xludf.DUMMYFUNCTION("REGEXREPLACE(C16945,""-\d+(.*)|--\d+(.*)"","""")"),"SAINT-GERMAIN-DE-PRINCAY")</f>
        <v>SAINT-GERMAIN-DE-PRINCAY</v>
      </c>
      <c r="E16945" s="38" t="s">
        <v>179</v>
      </c>
      <c r="F16945" s="38" t="s">
        <v>180</v>
      </c>
      <c r="G16945" s="49" t="str">
        <f t="shared" si="1"/>
        <v>85110</v>
      </c>
      <c r="H16945" s="49">
        <f t="shared" si="2"/>
        <v>85220</v>
      </c>
    </row>
    <row r="16946">
      <c r="A16946" s="48" t="s">
        <v>3135</v>
      </c>
      <c r="B16946" s="38">
        <v>12015.0</v>
      </c>
      <c r="C16946" s="38" t="s">
        <v>21348</v>
      </c>
      <c r="D16946" s="38" t="str">
        <f>IFERROR(__xludf.DUMMYFUNCTION("REGEXREPLACE(C16946,""-\d+(.*)|--\d+(.*)"","""")"),"AURIAC-LAGAST")</f>
        <v>AURIAC-LAGAST</v>
      </c>
      <c r="E16946" s="38" t="s">
        <v>465</v>
      </c>
      <c r="F16946" s="38" t="s">
        <v>94</v>
      </c>
      <c r="G16946" s="49" t="str">
        <f t="shared" si="1"/>
        <v>12120</v>
      </c>
      <c r="H16946" s="49">
        <f t="shared" si="2"/>
        <v>12015</v>
      </c>
    </row>
    <row r="16947">
      <c r="A16947" s="48" t="s">
        <v>5578</v>
      </c>
      <c r="B16947" s="38">
        <v>57219.0</v>
      </c>
      <c r="C16947" s="38" t="s">
        <v>21349</v>
      </c>
      <c r="D16947" s="38" t="str">
        <f>IFERROR(__xludf.DUMMYFUNCTION("REGEXREPLACE(C16947,""-\d+(.*)|--\d+(.*)"","""")"),"FLEVY")</f>
        <v>FLEVY</v>
      </c>
      <c r="E16947" s="38" t="s">
        <v>303</v>
      </c>
      <c r="F16947" s="38" t="s">
        <v>195</v>
      </c>
      <c r="G16947" s="49" t="str">
        <f t="shared" si="1"/>
        <v>57365</v>
      </c>
      <c r="H16947" s="49">
        <f t="shared" si="2"/>
        <v>57219</v>
      </c>
    </row>
    <row r="16948">
      <c r="A16948" s="48" t="s">
        <v>2008</v>
      </c>
      <c r="B16948" s="38">
        <v>46052.0</v>
      </c>
      <c r="C16948" s="38" t="s">
        <v>21350</v>
      </c>
      <c r="D16948" s="38" t="str">
        <f>IFERROR(__xludf.DUMMYFUNCTION("REGEXREPLACE(C16948,""-\d+(.*)|--\d+(.*)"","""")"),"CAMBOULIT")</f>
        <v>CAMBOULIT</v>
      </c>
      <c r="E16948" s="38" t="s">
        <v>185</v>
      </c>
      <c r="F16948" s="38" t="s">
        <v>94</v>
      </c>
      <c r="G16948" s="49" t="str">
        <f t="shared" si="1"/>
        <v>46100</v>
      </c>
      <c r="H16948" s="49">
        <f t="shared" si="2"/>
        <v>46052</v>
      </c>
    </row>
    <row r="16949">
      <c r="A16949" s="48" t="s">
        <v>4784</v>
      </c>
      <c r="B16949" s="38">
        <v>24090.0</v>
      </c>
      <c r="C16949" s="38" t="s">
        <v>21351</v>
      </c>
      <c r="D16949" s="38" t="str">
        <f>IFERROR(__xludf.DUMMYFUNCTION("REGEXREPLACE(C16949,""-\d+(.*)|--\d+(.*)"","""")"),"CELLES")</f>
        <v>CELLES</v>
      </c>
      <c r="E16949" s="38" t="s">
        <v>261</v>
      </c>
      <c r="F16949" s="38" t="s">
        <v>252</v>
      </c>
      <c r="G16949" s="49" t="str">
        <f t="shared" si="1"/>
        <v>24600</v>
      </c>
      <c r="H16949" s="49">
        <f t="shared" si="2"/>
        <v>24090</v>
      </c>
    </row>
    <row r="16950">
      <c r="A16950" s="48" t="s">
        <v>3036</v>
      </c>
      <c r="B16950" s="38">
        <v>61152.0</v>
      </c>
      <c r="C16950" s="38" t="s">
        <v>21352</v>
      </c>
      <c r="D16950" s="38" t="str">
        <f>IFERROR(__xludf.DUMMYFUNCTION("REGEXREPLACE(C16950,""-\d+(.*)|--\d+(.*)"","""")"),"ECORCHES")</f>
        <v>ECORCHES</v>
      </c>
      <c r="E16950" s="38" t="s">
        <v>141</v>
      </c>
      <c r="F16950" s="38" t="s">
        <v>138</v>
      </c>
      <c r="G16950" s="49" t="str">
        <f t="shared" si="1"/>
        <v>61160</v>
      </c>
      <c r="H16950" s="49">
        <f t="shared" si="2"/>
        <v>61152</v>
      </c>
    </row>
    <row r="16951">
      <c r="A16951" s="48" t="s">
        <v>549</v>
      </c>
      <c r="B16951" s="38">
        <v>55573.0</v>
      </c>
      <c r="C16951" s="38" t="s">
        <v>21353</v>
      </c>
      <c r="D16951" s="38" t="str">
        <f>IFERROR(__xludf.DUMMYFUNCTION("REGEXREPLACE(C16951,""-\d+(.*)|--\d+(.*)"","""")"),"VOID-VACON")</f>
        <v>VOID-VACON</v>
      </c>
      <c r="E16951" s="38" t="s">
        <v>322</v>
      </c>
      <c r="F16951" s="38" t="s">
        <v>195</v>
      </c>
      <c r="G16951" s="49" t="str">
        <f t="shared" si="1"/>
        <v>55190</v>
      </c>
      <c r="H16951" s="49">
        <f t="shared" si="2"/>
        <v>55573</v>
      </c>
    </row>
    <row r="16952">
      <c r="A16952" s="48" t="s">
        <v>2479</v>
      </c>
      <c r="B16952" s="38">
        <v>45256.0</v>
      </c>
      <c r="C16952" s="38" t="s">
        <v>21354</v>
      </c>
      <c r="D16952" s="38" t="str">
        <f>IFERROR(__xludf.DUMMYFUNCTION("REGEXREPLACE(C16952,""-\d+(.*)|--\d+(.*)"","""")"),"PRESNOY")</f>
        <v>PRESNOY</v>
      </c>
      <c r="E16952" s="38" t="s">
        <v>122</v>
      </c>
      <c r="F16952" s="38" t="s">
        <v>123</v>
      </c>
      <c r="G16952" s="49" t="str">
        <f t="shared" si="1"/>
        <v>45260</v>
      </c>
      <c r="H16952" s="49">
        <f t="shared" si="2"/>
        <v>45256</v>
      </c>
    </row>
    <row r="16953">
      <c r="A16953" s="48" t="s">
        <v>9214</v>
      </c>
      <c r="B16953" s="38">
        <v>29017.0</v>
      </c>
      <c r="C16953" s="38" t="s">
        <v>21355</v>
      </c>
      <c r="D16953" s="38" t="str">
        <f>IFERROR(__xludf.DUMMYFUNCTION("REGEXREPLACE(C16953,""-\d+(.*)|--\d+(.*)"","""")"),"BRELES")</f>
        <v>BRELES</v>
      </c>
      <c r="E16953" s="38" t="s">
        <v>176</v>
      </c>
      <c r="F16953" s="38" t="s">
        <v>90</v>
      </c>
      <c r="G16953" s="49" t="str">
        <f t="shared" si="1"/>
        <v>29810</v>
      </c>
      <c r="H16953" s="49">
        <f t="shared" si="2"/>
        <v>29017</v>
      </c>
    </row>
    <row r="16954">
      <c r="A16954" s="48" t="s">
        <v>13906</v>
      </c>
      <c r="B16954" s="38">
        <v>3107.0</v>
      </c>
      <c r="C16954" s="38" t="s">
        <v>21356</v>
      </c>
      <c r="D16954" s="38" t="str">
        <f>IFERROR(__xludf.DUMMYFUNCTION("REGEXREPLACE(C16954,""-\d+(.*)|--\d+(.*)"","""")"),"EBREUIL")</f>
        <v>EBREUIL</v>
      </c>
      <c r="E16954" s="38" t="s">
        <v>160</v>
      </c>
      <c r="F16954" s="38" t="s">
        <v>161</v>
      </c>
      <c r="G16954" s="49" t="str">
        <f t="shared" si="1"/>
        <v>03450</v>
      </c>
      <c r="H16954" s="49" t="str">
        <f t="shared" si="2"/>
        <v>03107</v>
      </c>
    </row>
    <row r="16955">
      <c r="A16955" s="48" t="s">
        <v>1889</v>
      </c>
      <c r="B16955" s="38">
        <v>25563.0</v>
      </c>
      <c r="C16955" s="38" t="s">
        <v>21357</v>
      </c>
      <c r="D16955" s="38" t="str">
        <f>IFERROR(__xludf.DUMMYFUNCTION("REGEXREPLACE(C16955,""-\d+(.*)|--\d+(.*)"","""")"),"THUREY-LE-MONT")</f>
        <v>THUREY-LE-MONT</v>
      </c>
      <c r="E16955" s="38" t="s">
        <v>213</v>
      </c>
      <c r="F16955" s="38" t="s">
        <v>214</v>
      </c>
      <c r="G16955" s="49" t="str">
        <f t="shared" si="1"/>
        <v>25870</v>
      </c>
      <c r="H16955" s="49">
        <f t="shared" si="2"/>
        <v>25563</v>
      </c>
    </row>
    <row r="16956">
      <c r="A16956" s="48" t="s">
        <v>21358</v>
      </c>
      <c r="B16956" s="38">
        <v>77199.0</v>
      </c>
      <c r="C16956" s="38" t="s">
        <v>21359</v>
      </c>
      <c r="D16956" s="38" t="str">
        <f>IFERROR(__xludf.DUMMYFUNCTION("REGEXREPLACE(C16956,""-\d+(.*)|--\d+(.*)"","""")"),"FUBLAINES")</f>
        <v>FUBLAINES</v>
      </c>
      <c r="E16956" s="38" t="s">
        <v>244</v>
      </c>
      <c r="F16956" s="38" t="s">
        <v>245</v>
      </c>
      <c r="G16956" s="49" t="str">
        <f t="shared" si="1"/>
        <v>77470</v>
      </c>
      <c r="H16956" s="49">
        <f t="shared" si="2"/>
        <v>77199</v>
      </c>
    </row>
    <row r="16957">
      <c r="A16957" s="48" t="s">
        <v>1555</v>
      </c>
      <c r="B16957" s="38">
        <v>52045.0</v>
      </c>
      <c r="C16957" s="38" t="s">
        <v>21360</v>
      </c>
      <c r="D16957" s="38" t="str">
        <f>IFERROR(__xludf.DUMMYFUNCTION("REGEXREPLACE(C16957,""-\d+(.*)|--\d+(.*)"","""")"),"BETTANCOURT-LA-FERREE")</f>
        <v>BETTANCOURT-LA-FERREE</v>
      </c>
      <c r="E16957" s="38" t="s">
        <v>234</v>
      </c>
      <c r="F16957" s="38" t="s">
        <v>130</v>
      </c>
      <c r="G16957" s="49" t="str">
        <f t="shared" si="1"/>
        <v>52100</v>
      </c>
      <c r="H16957" s="49">
        <f t="shared" si="2"/>
        <v>52045</v>
      </c>
    </row>
    <row r="16958">
      <c r="A16958" s="48" t="s">
        <v>9536</v>
      </c>
      <c r="B16958" s="38">
        <v>8223.0</v>
      </c>
      <c r="C16958" s="38" t="s">
        <v>21361</v>
      </c>
      <c r="D16958" s="38" t="str">
        <f>IFERROR(__xludf.DUMMYFUNCTION("REGEXREPLACE(C16958,""-\d+(.*)|--\d+(.*)"","""")"),"HERBEUVAL")</f>
        <v>HERBEUVAL</v>
      </c>
      <c r="E16958" s="38" t="s">
        <v>327</v>
      </c>
      <c r="F16958" s="38" t="s">
        <v>130</v>
      </c>
      <c r="G16958" s="49" t="str">
        <f t="shared" si="1"/>
        <v>08370</v>
      </c>
      <c r="H16958" s="49" t="str">
        <f t="shared" si="2"/>
        <v>08223</v>
      </c>
    </row>
    <row r="16959">
      <c r="A16959" s="48" t="s">
        <v>18533</v>
      </c>
      <c r="B16959" s="38">
        <v>77158.0</v>
      </c>
      <c r="C16959" s="38" t="s">
        <v>21362</v>
      </c>
      <c r="D16959" s="38" t="str">
        <f>IFERROR(__xludf.DUMMYFUNCTION("REGEXREPLACE(C16959,""-\d+(.*)|--\d+(.*)"","""")"),"DIANT")</f>
        <v>DIANT</v>
      </c>
      <c r="E16959" s="38" t="s">
        <v>244</v>
      </c>
      <c r="F16959" s="38" t="s">
        <v>245</v>
      </c>
      <c r="G16959" s="49" t="str">
        <f t="shared" si="1"/>
        <v>77940</v>
      </c>
      <c r="H16959" s="49">
        <f t="shared" si="2"/>
        <v>77158</v>
      </c>
    </row>
    <row r="16960">
      <c r="A16960" s="48" t="s">
        <v>13080</v>
      </c>
      <c r="B16960" s="38">
        <v>71151.0</v>
      </c>
      <c r="C16960" s="38" t="s">
        <v>21363</v>
      </c>
      <c r="D16960" s="38" t="str">
        <f>IFERROR(__xludf.DUMMYFUNCTION("REGEXREPLACE(C16960,""-\d+(.*)|--\d+(.*)"","""")"),"CREOT")</f>
        <v>CREOT</v>
      </c>
      <c r="E16960" s="38" t="s">
        <v>344</v>
      </c>
      <c r="F16960" s="38" t="s">
        <v>106</v>
      </c>
      <c r="G16960" s="49" t="str">
        <f t="shared" si="1"/>
        <v>71490</v>
      </c>
      <c r="H16960" s="49">
        <f t="shared" si="2"/>
        <v>71151</v>
      </c>
    </row>
    <row r="16961">
      <c r="A16961" s="48" t="s">
        <v>21364</v>
      </c>
      <c r="B16961" s="38">
        <v>62603.0</v>
      </c>
      <c r="C16961" s="38" t="s">
        <v>21365</v>
      </c>
      <c r="D16961" s="38" t="str">
        <f>IFERROR(__xludf.DUMMYFUNCTION("REGEXREPLACE(C16961,""-\d+(.*)|--\d+(.*)"","""")"),"NESLES")</f>
        <v>NESLES</v>
      </c>
      <c r="E16961" s="38" t="s">
        <v>109</v>
      </c>
      <c r="F16961" s="38" t="s">
        <v>86</v>
      </c>
      <c r="G16961" s="49" t="str">
        <f t="shared" si="1"/>
        <v>62152</v>
      </c>
      <c r="H16961" s="49">
        <f t="shared" si="2"/>
        <v>62603</v>
      </c>
    </row>
    <row r="16962">
      <c r="A16962" s="48" t="s">
        <v>616</v>
      </c>
      <c r="B16962" s="38">
        <v>89146.0</v>
      </c>
      <c r="C16962" s="38" t="s">
        <v>21366</v>
      </c>
      <c r="D16962" s="38" t="str">
        <f>IFERROR(__xludf.DUMMYFUNCTION("REGEXREPLACE(C16962,""-\d+(.*)|--\d+(.*)"","""")"),"DOMECY-SUR-LE-VAULT")</f>
        <v>DOMECY-SUR-LE-VAULT</v>
      </c>
      <c r="E16962" s="38" t="s">
        <v>275</v>
      </c>
      <c r="F16962" s="38" t="s">
        <v>106</v>
      </c>
      <c r="G16962" s="49" t="str">
        <f t="shared" si="1"/>
        <v>89200</v>
      </c>
      <c r="H16962" s="49">
        <f t="shared" si="2"/>
        <v>89146</v>
      </c>
    </row>
    <row r="16963">
      <c r="A16963" s="48" t="s">
        <v>5622</v>
      </c>
      <c r="B16963" s="38">
        <v>45218.0</v>
      </c>
      <c r="C16963" s="38" t="s">
        <v>21367</v>
      </c>
      <c r="D16963" s="38" t="str">
        <f>IFERROR(__xludf.DUMMYFUNCTION("REGEXREPLACE(C16963,""-\d+(.*)|--\d+(.*)"","""")"),"LE MOULINET-SUR-SOLIN")</f>
        <v>LE MOULINET-SUR-SOLIN</v>
      </c>
      <c r="E16963" s="38" t="s">
        <v>122</v>
      </c>
      <c r="F16963" s="38" t="s">
        <v>123</v>
      </c>
      <c r="G16963" s="49" t="str">
        <f t="shared" si="1"/>
        <v>45290</v>
      </c>
      <c r="H16963" s="49">
        <f t="shared" si="2"/>
        <v>45218</v>
      </c>
    </row>
    <row r="16964">
      <c r="A16964" s="48" t="s">
        <v>21368</v>
      </c>
      <c r="B16964" s="38">
        <v>7285.0</v>
      </c>
      <c r="C16964" s="38" t="s">
        <v>21369</v>
      </c>
      <c r="D16964" s="38" t="str">
        <f>IFERROR(__xludf.DUMMYFUNCTION("REGEXREPLACE(C16964,""-\d+(.*)|--\d+(.*)"","""")"),"SAINT-PIERRE-SUR-DOUX")</f>
        <v>SAINT-PIERRE-SUR-DOUX</v>
      </c>
      <c r="E16964" s="38" t="s">
        <v>144</v>
      </c>
      <c r="F16964" s="38" t="s">
        <v>102</v>
      </c>
      <c r="G16964" s="49" t="str">
        <f t="shared" si="1"/>
        <v>07520</v>
      </c>
      <c r="H16964" s="49" t="str">
        <f t="shared" si="2"/>
        <v>07285</v>
      </c>
    </row>
    <row r="16965">
      <c r="A16965" s="48" t="s">
        <v>18834</v>
      </c>
      <c r="B16965" s="38">
        <v>88468.0</v>
      </c>
      <c r="C16965" s="38" t="s">
        <v>21370</v>
      </c>
      <c r="D16965" s="38" t="str">
        <f>IFERROR(__xludf.DUMMYFUNCTION("REGEXREPLACE(C16965,""-\d+(.*)|--\d+(.*)"","""")"),"LE THILLOT")</f>
        <v>LE THILLOT</v>
      </c>
      <c r="E16965" s="38" t="s">
        <v>194</v>
      </c>
      <c r="F16965" s="38" t="s">
        <v>195</v>
      </c>
      <c r="G16965" s="49" t="str">
        <f t="shared" si="1"/>
        <v>88160</v>
      </c>
      <c r="H16965" s="49">
        <f t="shared" si="2"/>
        <v>88468</v>
      </c>
    </row>
    <row r="16966">
      <c r="A16966" s="48" t="s">
        <v>15080</v>
      </c>
      <c r="B16966" s="38">
        <v>19131.0</v>
      </c>
      <c r="C16966" s="38" t="s">
        <v>21371</v>
      </c>
      <c r="D16966" s="38" t="str">
        <f>IFERROR(__xludf.DUMMYFUNCTION("REGEXREPLACE(C16966,""-\d+(.*)|--\d+(.*)"","""")"),"MEILHARDS")</f>
        <v>MEILHARDS</v>
      </c>
      <c r="E16966" s="38" t="s">
        <v>271</v>
      </c>
      <c r="F16966" s="38" t="s">
        <v>98</v>
      </c>
      <c r="G16966" s="49" t="str">
        <f t="shared" si="1"/>
        <v>19510</v>
      </c>
      <c r="H16966" s="49">
        <f t="shared" si="2"/>
        <v>19131</v>
      </c>
    </row>
    <row r="16967">
      <c r="A16967" s="48" t="s">
        <v>6586</v>
      </c>
      <c r="B16967" s="38">
        <v>82022.0</v>
      </c>
      <c r="C16967" s="38" t="s">
        <v>21372</v>
      </c>
      <c r="D16967" s="38" t="str">
        <f>IFERROR(__xludf.DUMMYFUNCTION("REGEXREPLACE(C16967,""-\d+(.*)|--\d+(.*)"","""")"),"BOURG-DE-VISA")</f>
        <v>BOURG-DE-VISA</v>
      </c>
      <c r="E16967" s="38" t="s">
        <v>570</v>
      </c>
      <c r="F16967" s="38" t="s">
        <v>94</v>
      </c>
      <c r="G16967" s="49" t="str">
        <f t="shared" si="1"/>
        <v>82190</v>
      </c>
      <c r="H16967" s="49">
        <f t="shared" si="2"/>
        <v>82022</v>
      </c>
    </row>
    <row r="16968">
      <c r="A16968" s="48" t="s">
        <v>15058</v>
      </c>
      <c r="B16968" s="38">
        <v>42217.0</v>
      </c>
      <c r="C16968" s="38" t="s">
        <v>21373</v>
      </c>
      <c r="D16968" s="38" t="str">
        <f>IFERROR(__xludf.DUMMYFUNCTION("REGEXREPLACE(C16968,""-\d+(.*)|--\d+(.*)"","""")"),"SAINT-DIDIER-SUR-ROCHEFORT")</f>
        <v>SAINT-DIDIER-SUR-ROCHEFORT</v>
      </c>
      <c r="E16968" s="38" t="s">
        <v>166</v>
      </c>
      <c r="F16968" s="38" t="s">
        <v>102</v>
      </c>
      <c r="G16968" s="49" t="str">
        <f t="shared" si="1"/>
        <v>42111</v>
      </c>
      <c r="H16968" s="49">
        <f t="shared" si="2"/>
        <v>42217</v>
      </c>
    </row>
    <row r="16969">
      <c r="A16969" s="48" t="s">
        <v>20041</v>
      </c>
      <c r="B16969" s="38">
        <v>69066.0</v>
      </c>
      <c r="C16969" s="38" t="s">
        <v>21374</v>
      </c>
      <c r="D16969" s="38" t="str">
        <f>IFERROR(__xludf.DUMMYFUNCTION("REGEXREPLACE(C16969,""-\d+(.*)|--\d+(.*)"","""")"),"COURS-LA-VILLE")</f>
        <v>COURS-LA-VILLE</v>
      </c>
      <c r="E16969" s="38" t="s">
        <v>350</v>
      </c>
      <c r="F16969" s="38" t="s">
        <v>102</v>
      </c>
      <c r="G16969" s="49" t="str">
        <f t="shared" si="1"/>
        <v>69470</v>
      </c>
      <c r="H16969" s="49">
        <f t="shared" si="2"/>
        <v>69066</v>
      </c>
    </row>
    <row r="16970">
      <c r="A16970" s="48" t="s">
        <v>183</v>
      </c>
      <c r="B16970" s="38">
        <v>46258.0</v>
      </c>
      <c r="C16970" s="38" t="s">
        <v>21375</v>
      </c>
      <c r="D16970" s="38" t="str">
        <f>IFERROR(__xludf.DUMMYFUNCTION("REGEXREPLACE(C16970,""-\d+(.*)|--\d+(.*)"","""")"),"SAINT-CIRQ-SOUILLAGUET")</f>
        <v>SAINT-CIRQ-SOUILLAGUET</v>
      </c>
      <c r="E16970" s="38" t="s">
        <v>185</v>
      </c>
      <c r="F16970" s="38" t="s">
        <v>94</v>
      </c>
      <c r="G16970" s="49" t="str">
        <f t="shared" si="1"/>
        <v>46300</v>
      </c>
      <c r="H16970" s="49">
        <f t="shared" si="2"/>
        <v>46258</v>
      </c>
    </row>
    <row r="16971">
      <c r="A16971" s="48" t="s">
        <v>2093</v>
      </c>
      <c r="B16971" s="38">
        <v>69265.0</v>
      </c>
      <c r="C16971" s="38" t="s">
        <v>21376</v>
      </c>
      <c r="D16971" s="38" t="str">
        <f>IFERROR(__xludf.DUMMYFUNCTION("REGEXREPLACE(C16971,""-\d+(.*)|--\d+(.*)"","""")"),"VILLE-SUR-JARNIOUX")</f>
        <v>VILLE-SUR-JARNIOUX</v>
      </c>
      <c r="E16971" s="38" t="s">
        <v>350</v>
      </c>
      <c r="F16971" s="38" t="s">
        <v>102</v>
      </c>
      <c r="G16971" s="49" t="str">
        <f t="shared" si="1"/>
        <v>69640</v>
      </c>
      <c r="H16971" s="49">
        <f t="shared" si="2"/>
        <v>69265</v>
      </c>
    </row>
    <row r="16972">
      <c r="A16972" s="48" t="s">
        <v>7659</v>
      </c>
      <c r="B16972" s="38">
        <v>53266.0</v>
      </c>
      <c r="C16972" s="38" t="s">
        <v>21377</v>
      </c>
      <c r="D16972" s="38" t="str">
        <f>IFERROR(__xludf.DUMMYFUNCTION("REGEXREPLACE(C16972,""-\d+(.*)|--\d+(.*)"","""")"),"TRANS")</f>
        <v>TRANS</v>
      </c>
      <c r="E16972" s="38" t="s">
        <v>518</v>
      </c>
      <c r="F16972" s="38" t="s">
        <v>180</v>
      </c>
      <c r="G16972" s="49" t="str">
        <f t="shared" si="1"/>
        <v>53160</v>
      </c>
      <c r="H16972" s="49">
        <f t="shared" si="2"/>
        <v>53266</v>
      </c>
    </row>
    <row r="16973">
      <c r="A16973" s="48" t="s">
        <v>17548</v>
      </c>
      <c r="B16973" s="38">
        <v>12264.0</v>
      </c>
      <c r="C16973" s="38" t="s">
        <v>21378</v>
      </c>
      <c r="D16973" s="38" t="str">
        <f>IFERROR(__xludf.DUMMYFUNCTION("REGEXREPLACE(C16973,""-\d+(.*)|--\d+(.*)"","""")"),"SEBAZAC-CONCOURES")</f>
        <v>SEBAZAC-CONCOURES</v>
      </c>
      <c r="E16973" s="38" t="s">
        <v>465</v>
      </c>
      <c r="F16973" s="38" t="s">
        <v>94</v>
      </c>
      <c r="G16973" s="49" t="str">
        <f t="shared" si="1"/>
        <v>12740</v>
      </c>
      <c r="H16973" s="49">
        <f t="shared" si="2"/>
        <v>12264</v>
      </c>
    </row>
    <row r="16974">
      <c r="A16974" s="48" t="s">
        <v>7155</v>
      </c>
      <c r="B16974" s="38">
        <v>30106.0</v>
      </c>
      <c r="C16974" s="38" t="s">
        <v>21379</v>
      </c>
      <c r="D16974" s="38" t="str">
        <f>IFERROR(__xludf.DUMMYFUNCTION("REGEXREPLACE(C16974,""-\d+(.*)|--\d+(.*)"","""")"),"DURFORT-ET-SAINT-MARTIN-DE-SOSSENAC")</f>
        <v>DURFORT-ET-SAINT-MARTIN-DE-SOSSENAC</v>
      </c>
      <c r="E16974" s="38" t="s">
        <v>526</v>
      </c>
      <c r="F16974" s="38" t="s">
        <v>119</v>
      </c>
      <c r="G16974" s="49" t="str">
        <f t="shared" si="1"/>
        <v>30170</v>
      </c>
      <c r="H16974" s="49">
        <f t="shared" si="2"/>
        <v>30106</v>
      </c>
    </row>
    <row r="16975">
      <c r="A16975" s="48" t="s">
        <v>4637</v>
      </c>
      <c r="B16975" s="38">
        <v>34324.0</v>
      </c>
      <c r="C16975" s="38" t="s">
        <v>21380</v>
      </c>
      <c r="D16975" s="38" t="str">
        <f>IFERROR(__xludf.DUMMYFUNCTION("REGEXREPLACE(C16975,""-\d+(.*)|--\d+(.*)"","""")"),"VALRAS-PLAGE")</f>
        <v>VALRAS-PLAGE</v>
      </c>
      <c r="E16975" s="38" t="s">
        <v>118</v>
      </c>
      <c r="F16975" s="38" t="s">
        <v>119</v>
      </c>
      <c r="G16975" s="49" t="str">
        <f t="shared" si="1"/>
        <v>34350</v>
      </c>
      <c r="H16975" s="49">
        <f t="shared" si="2"/>
        <v>34324</v>
      </c>
    </row>
    <row r="16976">
      <c r="A16976" s="48" t="s">
        <v>3291</v>
      </c>
      <c r="B16976" s="38">
        <v>3111.0</v>
      </c>
      <c r="C16976" s="38" t="s">
        <v>21381</v>
      </c>
      <c r="D16976" s="38" t="str">
        <f>IFERROR(__xludf.DUMMYFUNCTION("REGEXREPLACE(C16976,""-\d+(.*)|--\d+(.*)"","""")"),"ESTIVAREILLES")</f>
        <v>ESTIVAREILLES</v>
      </c>
      <c r="E16976" s="38" t="s">
        <v>160</v>
      </c>
      <c r="F16976" s="38" t="s">
        <v>161</v>
      </c>
      <c r="G16976" s="49" t="str">
        <f t="shared" si="1"/>
        <v>03190</v>
      </c>
      <c r="H16976" s="49" t="str">
        <f t="shared" si="2"/>
        <v>03111</v>
      </c>
    </row>
    <row r="16977">
      <c r="A16977" s="48" t="s">
        <v>665</v>
      </c>
      <c r="B16977" s="38">
        <v>76742.0</v>
      </c>
      <c r="C16977" s="38" t="s">
        <v>21382</v>
      </c>
      <c r="D16977" s="38" t="str">
        <f>IFERROR(__xludf.DUMMYFUNCTION("REGEXREPLACE(C16977,""-\d+(.*)|--\d+(.*)"","""")"),"VILLEQUIER")</f>
        <v>VILLEQUIER</v>
      </c>
      <c r="E16977" s="38" t="s">
        <v>133</v>
      </c>
      <c r="F16977" s="38" t="s">
        <v>134</v>
      </c>
      <c r="G16977" s="49" t="str">
        <f t="shared" si="1"/>
        <v>76490</v>
      </c>
      <c r="H16977" s="49">
        <f t="shared" si="2"/>
        <v>76742</v>
      </c>
    </row>
    <row r="16978">
      <c r="A16978" s="48" t="s">
        <v>11853</v>
      </c>
      <c r="B16978" s="38">
        <v>38183.0</v>
      </c>
      <c r="C16978" s="38" t="s">
        <v>21383</v>
      </c>
      <c r="D16978" s="38" t="str">
        <f>IFERROR(__xludf.DUMMYFUNCTION("REGEXREPLACE(C16978,""-\d+(.*)|--\d+(.*)"","""")"),"GRANIEU")</f>
        <v>GRANIEU</v>
      </c>
      <c r="E16978" s="38" t="s">
        <v>101</v>
      </c>
      <c r="F16978" s="38" t="s">
        <v>102</v>
      </c>
      <c r="G16978" s="49" t="str">
        <f t="shared" si="1"/>
        <v>38490</v>
      </c>
      <c r="H16978" s="49">
        <f t="shared" si="2"/>
        <v>38183</v>
      </c>
    </row>
    <row r="16979">
      <c r="A16979" s="48" t="s">
        <v>2249</v>
      </c>
      <c r="B16979" s="38">
        <v>14385.0</v>
      </c>
      <c r="C16979" s="38" t="s">
        <v>21384</v>
      </c>
      <c r="D16979" s="38" t="str">
        <f>IFERROR(__xludf.DUMMYFUNCTION("REGEXREPLACE(C16979,""-\d+(.*)|--\d+(.*)"","""")"),"MAGNY-EN-BESSIN")</f>
        <v>MAGNY-EN-BESSIN</v>
      </c>
      <c r="E16979" s="38" t="s">
        <v>137</v>
      </c>
      <c r="F16979" s="38" t="s">
        <v>138</v>
      </c>
      <c r="G16979" s="49" t="str">
        <f t="shared" si="1"/>
        <v>14400</v>
      </c>
      <c r="H16979" s="49">
        <f t="shared" si="2"/>
        <v>14385</v>
      </c>
    </row>
    <row r="16980">
      <c r="A16980" s="48" t="s">
        <v>2332</v>
      </c>
      <c r="B16980" s="38">
        <v>81044.0</v>
      </c>
      <c r="C16980" s="38" t="s">
        <v>8257</v>
      </c>
      <c r="D16980" s="38" t="str">
        <f>IFERROR(__xludf.DUMMYFUNCTION("REGEXREPLACE(C16980,""-\d+(.*)|--\d+(.*)"","""")"),"CABANES")</f>
        <v>CABANES</v>
      </c>
      <c r="E16980" s="38" t="s">
        <v>231</v>
      </c>
      <c r="F16980" s="38" t="s">
        <v>94</v>
      </c>
      <c r="G16980" s="49" t="str">
        <f t="shared" si="1"/>
        <v>81500</v>
      </c>
      <c r="H16980" s="49">
        <f t="shared" si="2"/>
        <v>81044</v>
      </c>
    </row>
    <row r="16981">
      <c r="A16981" s="48" t="s">
        <v>1841</v>
      </c>
      <c r="B16981" s="38">
        <v>27446.0</v>
      </c>
      <c r="C16981" s="38" t="s">
        <v>21385</v>
      </c>
      <c r="D16981" s="38" t="str">
        <f>IFERROR(__xludf.DUMMYFUNCTION("REGEXREPLACE(C16981,""-\d+(.*)|--\d+(.*)"","""")"),"ORMES")</f>
        <v>ORMES</v>
      </c>
      <c r="E16981" s="38" t="s">
        <v>241</v>
      </c>
      <c r="F16981" s="38" t="s">
        <v>134</v>
      </c>
      <c r="G16981" s="49" t="str">
        <f t="shared" si="1"/>
        <v>27190</v>
      </c>
      <c r="H16981" s="49">
        <f t="shared" si="2"/>
        <v>27446</v>
      </c>
    </row>
    <row r="16982">
      <c r="A16982" s="48" t="s">
        <v>15067</v>
      </c>
      <c r="B16982" s="38">
        <v>81117.0</v>
      </c>
      <c r="C16982" s="38" t="s">
        <v>21386</v>
      </c>
      <c r="D16982" s="38" t="str">
        <f>IFERROR(__xludf.DUMMYFUNCTION("REGEXREPLACE(C16982,""-\d+(.*)|--\d+(.*)"","""")"),"LABESSIERE-CANDEIL")</f>
        <v>LABESSIERE-CANDEIL</v>
      </c>
      <c r="E16982" s="38" t="s">
        <v>231</v>
      </c>
      <c r="F16982" s="38" t="s">
        <v>94</v>
      </c>
      <c r="G16982" s="49" t="str">
        <f t="shared" si="1"/>
        <v>81300</v>
      </c>
      <c r="H16982" s="49">
        <f t="shared" si="2"/>
        <v>81117</v>
      </c>
    </row>
    <row r="16983">
      <c r="A16983" s="48" t="s">
        <v>5596</v>
      </c>
      <c r="B16983" s="38">
        <v>25244.0</v>
      </c>
      <c r="C16983" s="38" t="s">
        <v>21387</v>
      </c>
      <c r="D16983" s="38" t="str">
        <f>IFERROR(__xludf.DUMMYFUNCTION("REGEXREPLACE(C16983,""-\d+(.*)|--\d+(.*)"","""")"),"FLEUREY")</f>
        <v>FLEUREY</v>
      </c>
      <c r="E16983" s="38" t="s">
        <v>213</v>
      </c>
      <c r="F16983" s="38" t="s">
        <v>214</v>
      </c>
      <c r="G16983" s="49" t="str">
        <f t="shared" si="1"/>
        <v>25190</v>
      </c>
      <c r="H16983" s="49">
        <f t="shared" si="2"/>
        <v>25244</v>
      </c>
    </row>
    <row r="16984">
      <c r="A16984" s="48" t="s">
        <v>1754</v>
      </c>
      <c r="B16984" s="38">
        <v>14420.0</v>
      </c>
      <c r="C16984" s="38" t="s">
        <v>21388</v>
      </c>
      <c r="D16984" s="38" t="str">
        <f>IFERROR(__xludf.DUMMYFUNCTION("REGEXREPLACE(C16984,""-\d+(.*)|--\d+(.*)"","""")"),"LE MESNIL-GERMAIN")</f>
        <v>LE MESNIL-GERMAIN</v>
      </c>
      <c r="E16984" s="38" t="s">
        <v>137</v>
      </c>
      <c r="F16984" s="38" t="s">
        <v>138</v>
      </c>
      <c r="G16984" s="49" t="str">
        <f t="shared" si="1"/>
        <v>14140</v>
      </c>
      <c r="H16984" s="49">
        <f t="shared" si="2"/>
        <v>14420</v>
      </c>
    </row>
    <row r="16985">
      <c r="A16985" s="48" t="s">
        <v>6622</v>
      </c>
      <c r="B16985" s="38">
        <v>33389.0</v>
      </c>
      <c r="C16985" s="38" t="s">
        <v>21389</v>
      </c>
      <c r="D16985" s="38" t="str">
        <f>IFERROR(__xludf.DUMMYFUNCTION("REGEXREPLACE(C16985,""-\d+(.*)|--\d+(.*)"","""")"),"SAINT-CIERS-SUR-GIRONDE")</f>
        <v>SAINT-CIERS-SUR-GIRONDE</v>
      </c>
      <c r="E16985" s="38" t="s">
        <v>462</v>
      </c>
      <c r="F16985" s="38" t="s">
        <v>252</v>
      </c>
      <c r="G16985" s="49" t="str">
        <f t="shared" si="1"/>
        <v>33820</v>
      </c>
      <c r="H16985" s="49">
        <f t="shared" si="2"/>
        <v>33389</v>
      </c>
    </row>
    <row r="16986">
      <c r="A16986" s="48" t="s">
        <v>1128</v>
      </c>
      <c r="B16986" s="38">
        <v>2448.0</v>
      </c>
      <c r="C16986" s="38" t="s">
        <v>21390</v>
      </c>
      <c r="D16986" s="38" t="str">
        <f>IFERROR(__xludf.DUMMYFUNCTION("REGEXREPLACE(C16986,""-\d+(.*)|--\d+(.*)"","""")"),"MACHECOURT")</f>
        <v>MACHECOURT</v>
      </c>
      <c r="E16986" s="38" t="s">
        <v>191</v>
      </c>
      <c r="F16986" s="38" t="s">
        <v>113</v>
      </c>
      <c r="G16986" s="49" t="str">
        <f t="shared" si="1"/>
        <v>02350</v>
      </c>
      <c r="H16986" s="49" t="str">
        <f t="shared" si="2"/>
        <v>02448</v>
      </c>
    </row>
    <row r="16987">
      <c r="A16987" s="48" t="s">
        <v>6736</v>
      </c>
      <c r="B16987" s="38">
        <v>31402.0</v>
      </c>
      <c r="C16987" s="38" t="s">
        <v>21391</v>
      </c>
      <c r="D16987" s="38" t="str">
        <f>IFERROR(__xludf.DUMMYFUNCTION("REGEXREPLACE(C16987,""-\d+(.*)|--\d+(.*)"","""")"),"ODARS")</f>
        <v>ODARS</v>
      </c>
      <c r="E16987" s="38" t="s">
        <v>93</v>
      </c>
      <c r="F16987" s="38" t="s">
        <v>94</v>
      </c>
      <c r="G16987" s="49" t="str">
        <f t="shared" si="1"/>
        <v>31450</v>
      </c>
      <c r="H16987" s="49">
        <f t="shared" si="2"/>
        <v>31402</v>
      </c>
    </row>
    <row r="16988">
      <c r="A16988" s="48" t="s">
        <v>4543</v>
      </c>
      <c r="B16988" s="38">
        <v>64018.0</v>
      </c>
      <c r="C16988" s="38" t="s">
        <v>21392</v>
      </c>
      <c r="D16988" s="38" t="str">
        <f>IFERROR(__xludf.DUMMYFUNCTION("REGEXREPLACE(C16988,""-\d+(.*)|--\d+(.*)"","""")"),"AMENDEUIX-ONEIX")</f>
        <v>AMENDEUIX-ONEIX</v>
      </c>
      <c r="E16988" s="38" t="s">
        <v>268</v>
      </c>
      <c r="F16988" s="38" t="s">
        <v>252</v>
      </c>
      <c r="G16988" s="49" t="str">
        <f t="shared" si="1"/>
        <v>64120</v>
      </c>
      <c r="H16988" s="49">
        <f t="shared" si="2"/>
        <v>64018</v>
      </c>
    </row>
    <row r="16989">
      <c r="A16989" s="48" t="s">
        <v>2712</v>
      </c>
      <c r="B16989" s="38">
        <v>72359.0</v>
      </c>
      <c r="C16989" s="38" t="s">
        <v>21393</v>
      </c>
      <c r="D16989" s="38" t="str">
        <f>IFERROR(__xludf.DUMMYFUNCTION("REGEXREPLACE(C16989,""-\d+(.*)|--\d+(.*)"","""")"),"TORCE-EN-VALLEE")</f>
        <v>TORCE-EN-VALLEE</v>
      </c>
      <c r="E16989" s="38" t="s">
        <v>521</v>
      </c>
      <c r="F16989" s="38" t="s">
        <v>180</v>
      </c>
      <c r="G16989" s="49" t="str">
        <f t="shared" si="1"/>
        <v>72110</v>
      </c>
      <c r="H16989" s="49">
        <f t="shared" si="2"/>
        <v>72359</v>
      </c>
    </row>
    <row r="16990">
      <c r="A16990" s="48" t="s">
        <v>7657</v>
      </c>
      <c r="B16990" s="38">
        <v>80140.0</v>
      </c>
      <c r="C16990" s="38" t="s">
        <v>2921</v>
      </c>
      <c r="D16990" s="38" t="str">
        <f>IFERROR(__xludf.DUMMYFUNCTION("REGEXREPLACE(C16990,""-\d+(.*)|--\d+(.*)"","""")"),"BREVILLERS")</f>
        <v>BREVILLERS</v>
      </c>
      <c r="E16990" s="38" t="s">
        <v>224</v>
      </c>
      <c r="F16990" s="38" t="s">
        <v>113</v>
      </c>
      <c r="G16990" s="49" t="str">
        <f t="shared" si="1"/>
        <v>80600</v>
      </c>
      <c r="H16990" s="49">
        <f t="shared" si="2"/>
        <v>80140</v>
      </c>
    </row>
    <row r="16991">
      <c r="A16991" s="48" t="s">
        <v>21394</v>
      </c>
      <c r="B16991" s="38">
        <v>68102.0</v>
      </c>
      <c r="C16991" s="38" t="s">
        <v>21395</v>
      </c>
      <c r="D16991" s="38" t="str">
        <f>IFERROR(__xludf.DUMMYFUNCTION("REGEXREPLACE(C16991,""-\d+(.*)|--\d+(.*)"","""")"),"GEISHOUSE")</f>
        <v>GEISHOUSE</v>
      </c>
      <c r="E16991" s="38" t="s">
        <v>150</v>
      </c>
      <c r="F16991" s="38" t="s">
        <v>151</v>
      </c>
      <c r="G16991" s="49" t="str">
        <f t="shared" si="1"/>
        <v>68690</v>
      </c>
      <c r="H16991" s="49">
        <f t="shared" si="2"/>
        <v>68102</v>
      </c>
    </row>
    <row r="16992">
      <c r="A16992" s="48" t="s">
        <v>3831</v>
      </c>
      <c r="B16992" s="38">
        <v>63457.0</v>
      </c>
      <c r="C16992" s="38" t="s">
        <v>21396</v>
      </c>
      <c r="D16992" s="38" t="str">
        <f>IFERROR(__xludf.DUMMYFUNCTION("REGEXREPLACE(C16992,""-\d+(.*)|--\d+(.*)"","""")"),"VIC-LE-COMTE")</f>
        <v>VIC-LE-COMTE</v>
      </c>
      <c r="E16992" s="38" t="s">
        <v>353</v>
      </c>
      <c r="F16992" s="38" t="s">
        <v>161</v>
      </c>
      <c r="G16992" s="49" t="str">
        <f t="shared" si="1"/>
        <v>63270</v>
      </c>
      <c r="H16992" s="49">
        <f t="shared" si="2"/>
        <v>63457</v>
      </c>
    </row>
    <row r="16993">
      <c r="A16993" s="48" t="s">
        <v>6633</v>
      </c>
      <c r="B16993" s="38">
        <v>64510.0</v>
      </c>
      <c r="C16993" s="38" t="s">
        <v>21397</v>
      </c>
      <c r="D16993" s="38" t="str">
        <f>IFERROR(__xludf.DUMMYFUNCTION("REGEXREPLACE(C16993,""-\d+(.*)|--\d+(.*)"","""")"),"SAULT-DE-NAVAILLES")</f>
        <v>SAULT-DE-NAVAILLES</v>
      </c>
      <c r="E16993" s="38" t="s">
        <v>268</v>
      </c>
      <c r="F16993" s="38" t="s">
        <v>252</v>
      </c>
      <c r="G16993" s="49" t="str">
        <f t="shared" si="1"/>
        <v>64300</v>
      </c>
      <c r="H16993" s="49">
        <f t="shared" si="2"/>
        <v>64510</v>
      </c>
    </row>
    <row r="16994">
      <c r="A16994" s="48" t="s">
        <v>6761</v>
      </c>
      <c r="B16994" s="38">
        <v>1157.0</v>
      </c>
      <c r="C16994" s="38" t="s">
        <v>21398</v>
      </c>
      <c r="D16994" s="38" t="str">
        <f>IFERROR(__xludf.DUMMYFUNCTION("REGEXREPLACE(C16994,""-\d+(.*)|--\d+(.*)"","""")"),"FAREINS")</f>
        <v>FAREINS</v>
      </c>
      <c r="E16994" s="38" t="s">
        <v>255</v>
      </c>
      <c r="F16994" s="38" t="s">
        <v>102</v>
      </c>
      <c r="G16994" s="49" t="str">
        <f t="shared" si="1"/>
        <v>01480</v>
      </c>
      <c r="H16994" s="49" t="str">
        <f t="shared" si="2"/>
        <v>01157</v>
      </c>
    </row>
    <row r="16995">
      <c r="A16995" s="48" t="s">
        <v>9021</v>
      </c>
      <c r="B16995" s="38">
        <v>88283.0</v>
      </c>
      <c r="C16995" s="38" t="s">
        <v>21399</v>
      </c>
      <c r="D16995" s="38" t="str">
        <f>IFERROR(__xludf.DUMMYFUNCTION("REGEXREPLACE(C16995,""-\d+(.*)|--\d+(.*)"","""")"),"MALAINCOURT")</f>
        <v>MALAINCOURT</v>
      </c>
      <c r="E16995" s="38" t="s">
        <v>194</v>
      </c>
      <c r="F16995" s="38" t="s">
        <v>195</v>
      </c>
      <c r="G16995" s="49" t="str">
        <f t="shared" si="1"/>
        <v>88140</v>
      </c>
      <c r="H16995" s="49">
        <f t="shared" si="2"/>
        <v>88283</v>
      </c>
    </row>
    <row r="16996">
      <c r="A16996" s="48" t="s">
        <v>7807</v>
      </c>
      <c r="B16996" s="38">
        <v>57176.0</v>
      </c>
      <c r="C16996" s="38" t="s">
        <v>21400</v>
      </c>
      <c r="D16996" s="38" t="str">
        <f>IFERROR(__xludf.DUMMYFUNCTION("REGEXREPLACE(C16996,""-\d+(.*)|--\d+(.*)"","""")"),"DIEBLING")</f>
        <v>DIEBLING</v>
      </c>
      <c r="E16996" s="38" t="s">
        <v>303</v>
      </c>
      <c r="F16996" s="38" t="s">
        <v>195</v>
      </c>
      <c r="G16996" s="49" t="str">
        <f t="shared" si="1"/>
        <v>57980</v>
      </c>
      <c r="H16996" s="49">
        <f t="shared" si="2"/>
        <v>57176</v>
      </c>
    </row>
    <row r="16997">
      <c r="A16997" s="48" t="s">
        <v>4596</v>
      </c>
      <c r="B16997" s="38">
        <v>2665.0</v>
      </c>
      <c r="C16997" s="38" t="s">
        <v>21401</v>
      </c>
      <c r="D16997" s="38" t="str">
        <f>IFERROR(__xludf.DUMMYFUNCTION("REGEXREPLACE(C16997,""-\d+(.*)|--\d+(.*)"","""")"),"GRAND-ROZOY")</f>
        <v>GRAND-ROZOY</v>
      </c>
      <c r="E16997" s="38" t="s">
        <v>191</v>
      </c>
      <c r="F16997" s="38" t="s">
        <v>113</v>
      </c>
      <c r="G16997" s="49" t="str">
        <f t="shared" si="1"/>
        <v>02210</v>
      </c>
      <c r="H16997" s="49" t="str">
        <f t="shared" si="2"/>
        <v>02665</v>
      </c>
    </row>
    <row r="16998">
      <c r="A16998" s="48" t="s">
        <v>5831</v>
      </c>
      <c r="B16998" s="38">
        <v>5005.0</v>
      </c>
      <c r="C16998" s="38" t="s">
        <v>21402</v>
      </c>
      <c r="D16998" s="38" t="str">
        <f>IFERROR(__xludf.DUMMYFUNCTION("REGEXREPLACE(C16998,""-\d+(.*)|--\d+(.*)"","""")"),"ANTONAVES")</f>
        <v>ANTONAVES</v>
      </c>
      <c r="E16998" s="38" t="s">
        <v>706</v>
      </c>
      <c r="F16998" s="38" t="s">
        <v>228</v>
      </c>
      <c r="G16998" s="49" t="str">
        <f t="shared" si="1"/>
        <v>05300</v>
      </c>
      <c r="H16998" s="49" t="str">
        <f t="shared" si="2"/>
        <v>05005</v>
      </c>
    </row>
    <row r="16999">
      <c r="A16999" s="48" t="s">
        <v>13605</v>
      </c>
      <c r="B16999" s="38">
        <v>49094.0</v>
      </c>
      <c r="C16999" s="38" t="s">
        <v>21403</v>
      </c>
      <c r="D16999" s="38" t="str">
        <f>IFERROR(__xludf.DUMMYFUNCTION("REGEXREPLACE(C16999,""-\d+(.*)|--\d+(.*)"","""")"),"CHENEHUTTE-TREVES-CUNAULT")</f>
        <v>CHENEHUTTE-TREVES-CUNAULT</v>
      </c>
      <c r="E16999" s="38" t="s">
        <v>653</v>
      </c>
      <c r="F16999" s="38" t="s">
        <v>180</v>
      </c>
      <c r="G16999" s="49" t="str">
        <f t="shared" si="1"/>
        <v>49350</v>
      </c>
      <c r="H16999" s="49">
        <f t="shared" si="2"/>
        <v>49094</v>
      </c>
    </row>
    <row r="17000">
      <c r="A17000" s="48" t="s">
        <v>920</v>
      </c>
      <c r="B17000" s="38">
        <v>31536.0</v>
      </c>
      <c r="C17000" s="38" t="s">
        <v>21404</v>
      </c>
      <c r="D17000" s="38" t="str">
        <f>IFERROR(__xludf.DUMMYFUNCTION("REGEXREPLACE(C17000,""-\d+(.*)|--\d+(.*)"","""")"),"SAUX-ET-POMAREDE")</f>
        <v>SAUX-ET-POMAREDE</v>
      </c>
      <c r="E17000" s="38" t="s">
        <v>93</v>
      </c>
      <c r="F17000" s="38" t="s">
        <v>94</v>
      </c>
      <c r="G17000" s="49" t="str">
        <f t="shared" si="1"/>
        <v>31800</v>
      </c>
      <c r="H17000" s="49">
        <f t="shared" si="2"/>
        <v>31536</v>
      </c>
    </row>
    <row r="17001">
      <c r="A17001" s="48" t="s">
        <v>1174</v>
      </c>
      <c r="B17001" s="38">
        <v>51557.0</v>
      </c>
      <c r="C17001" s="38" t="s">
        <v>21405</v>
      </c>
      <c r="D17001" s="38" t="str">
        <f>IFERROR(__xludf.DUMMYFUNCTION("REGEXREPLACE(C17001,""-\d+(.*)|--\d+(.*)"","""")"),"SOULANGES")</f>
        <v>SOULANGES</v>
      </c>
      <c r="E17001" s="38" t="s">
        <v>129</v>
      </c>
      <c r="F17001" s="38" t="s">
        <v>130</v>
      </c>
      <c r="G17001" s="49" t="str">
        <f t="shared" si="1"/>
        <v>51300</v>
      </c>
      <c r="H17001" s="49">
        <f t="shared" si="2"/>
        <v>51557</v>
      </c>
    </row>
    <row r="17002">
      <c r="A17002" s="48" t="s">
        <v>4445</v>
      </c>
      <c r="B17002" s="38">
        <v>30223.0</v>
      </c>
      <c r="C17002" s="38" t="s">
        <v>21406</v>
      </c>
      <c r="D17002" s="38" t="str">
        <f>IFERROR(__xludf.DUMMYFUNCTION("REGEXREPLACE(C17002,""-\d+(.*)|--\d+(.*)"","""")"),"ROUSSON")</f>
        <v>ROUSSON</v>
      </c>
      <c r="E17002" s="38" t="s">
        <v>526</v>
      </c>
      <c r="F17002" s="38" t="s">
        <v>119</v>
      </c>
      <c r="G17002" s="49" t="str">
        <f t="shared" si="1"/>
        <v>30340</v>
      </c>
      <c r="H17002" s="49">
        <f t="shared" si="2"/>
        <v>30223</v>
      </c>
    </row>
    <row r="17003">
      <c r="A17003" s="48" t="s">
        <v>10337</v>
      </c>
      <c r="B17003" s="38">
        <v>10203.0</v>
      </c>
      <c r="C17003" s="38" t="s">
        <v>21407</v>
      </c>
      <c r="D17003" s="38" t="str">
        <f>IFERROR(__xludf.DUMMYFUNCTION("REGEXREPLACE(C17003,""-\d+(.*)|--\d+(.*)"","""")"),"LONGCHAMP-SUR-AUJON")</f>
        <v>LONGCHAMP-SUR-AUJON</v>
      </c>
      <c r="E17003" s="38" t="s">
        <v>147</v>
      </c>
      <c r="F17003" s="38" t="s">
        <v>130</v>
      </c>
      <c r="G17003" s="49" t="str">
        <f t="shared" si="1"/>
        <v>10310</v>
      </c>
      <c r="H17003" s="49">
        <f t="shared" si="2"/>
        <v>10203</v>
      </c>
    </row>
    <row r="17004">
      <c r="A17004" s="48" t="s">
        <v>10908</v>
      </c>
      <c r="B17004" s="38">
        <v>11278.0</v>
      </c>
      <c r="C17004" s="38" t="s">
        <v>21408</v>
      </c>
      <c r="D17004" s="38" t="str">
        <f>IFERROR(__xludf.DUMMYFUNCTION("REGEXREPLACE(C17004,""-\d+(.*)|--\d+(.*)"","""")"),"PECH-LUNA")</f>
        <v>PECH-LUNA</v>
      </c>
      <c r="E17004" s="38" t="s">
        <v>278</v>
      </c>
      <c r="F17004" s="38" t="s">
        <v>119</v>
      </c>
      <c r="G17004" s="49" t="str">
        <f t="shared" si="1"/>
        <v>11420</v>
      </c>
      <c r="H17004" s="49">
        <f t="shared" si="2"/>
        <v>11278</v>
      </c>
    </row>
    <row r="17005">
      <c r="A17005" s="48" t="s">
        <v>15412</v>
      </c>
      <c r="B17005" s="38">
        <v>59258.0</v>
      </c>
      <c r="C17005" s="38" t="s">
        <v>21409</v>
      </c>
      <c r="D17005" s="38" t="str">
        <f>IFERROR(__xludf.DUMMYFUNCTION("REGEXREPLACE(C17005,""-\d+(.*)|--\d+(.*)"","""")"),"GENECH")</f>
        <v>GENECH</v>
      </c>
      <c r="E17005" s="38" t="s">
        <v>85</v>
      </c>
      <c r="F17005" s="38" t="s">
        <v>86</v>
      </c>
      <c r="G17005" s="49" t="str">
        <f t="shared" si="1"/>
        <v>59242</v>
      </c>
      <c r="H17005" s="49">
        <f t="shared" si="2"/>
        <v>59258</v>
      </c>
    </row>
    <row r="17006">
      <c r="A17006" s="48" t="s">
        <v>7954</v>
      </c>
      <c r="B17006" s="38">
        <v>40294.0</v>
      </c>
      <c r="C17006" s="38" t="s">
        <v>21410</v>
      </c>
      <c r="D17006" s="38" t="str">
        <f>IFERROR(__xludf.DUMMYFUNCTION("REGEXREPLACE(C17006,""-\d+(.*)|--\d+(.*)"","""")"),"SAUGNAC-ET-CAMBRAN")</f>
        <v>SAUGNAC-ET-CAMBRAN</v>
      </c>
      <c r="E17006" s="38" t="s">
        <v>281</v>
      </c>
      <c r="F17006" s="38" t="s">
        <v>252</v>
      </c>
      <c r="G17006" s="49" t="str">
        <f t="shared" si="1"/>
        <v>40180</v>
      </c>
      <c r="H17006" s="49">
        <f t="shared" si="2"/>
        <v>40294</v>
      </c>
    </row>
    <row r="17007">
      <c r="A17007" s="48" t="s">
        <v>1188</v>
      </c>
      <c r="B17007" s="38">
        <v>45182.0</v>
      </c>
      <c r="C17007" s="38" t="s">
        <v>21411</v>
      </c>
      <c r="D17007" s="38" t="str">
        <f>IFERROR(__xludf.DUMMYFUNCTION("REGEXREPLACE(C17007,""-\d+(.*)|--\d+(.*)"","""")"),"LIGNY-LE-RIBAULT")</f>
        <v>LIGNY-LE-RIBAULT</v>
      </c>
      <c r="E17007" s="38" t="s">
        <v>122</v>
      </c>
      <c r="F17007" s="38" t="s">
        <v>123</v>
      </c>
      <c r="G17007" s="49" t="str">
        <f t="shared" si="1"/>
        <v>45240</v>
      </c>
      <c r="H17007" s="49">
        <f t="shared" si="2"/>
        <v>45182</v>
      </c>
    </row>
    <row r="17008">
      <c r="A17008" s="48" t="s">
        <v>407</v>
      </c>
      <c r="B17008" s="38">
        <v>71216.0</v>
      </c>
      <c r="C17008" s="38" t="s">
        <v>21412</v>
      </c>
      <c r="D17008" s="38" t="str">
        <f>IFERROR(__xludf.DUMMYFUNCTION("REGEXREPLACE(C17008,""-\d+(.*)|--\d+(.*)"","""")"),"GERMAGNY")</f>
        <v>GERMAGNY</v>
      </c>
      <c r="E17008" s="38" t="s">
        <v>344</v>
      </c>
      <c r="F17008" s="38" t="s">
        <v>106</v>
      </c>
      <c r="G17008" s="49" t="str">
        <f t="shared" si="1"/>
        <v>71460</v>
      </c>
      <c r="H17008" s="49">
        <f t="shared" si="2"/>
        <v>71216</v>
      </c>
    </row>
    <row r="17009">
      <c r="A17009" s="48" t="s">
        <v>507</v>
      </c>
      <c r="B17009" s="38">
        <v>8387.0</v>
      </c>
      <c r="C17009" s="38" t="s">
        <v>21413</v>
      </c>
      <c r="D17009" s="38" t="str">
        <f>IFERROR(__xludf.DUMMYFUNCTION("REGEXREPLACE(C17009,""-\d+(.*)|--\d+(.*)"","""")"),"SAINT-LOUP-TERRIER")</f>
        <v>SAINT-LOUP-TERRIER</v>
      </c>
      <c r="E17009" s="38" t="s">
        <v>327</v>
      </c>
      <c r="F17009" s="38" t="s">
        <v>130</v>
      </c>
      <c r="G17009" s="49" t="str">
        <f t="shared" si="1"/>
        <v>08130</v>
      </c>
      <c r="H17009" s="49" t="str">
        <f t="shared" si="2"/>
        <v>08387</v>
      </c>
    </row>
    <row r="17010">
      <c r="A17010" s="48" t="s">
        <v>17356</v>
      </c>
      <c r="B17010" s="38">
        <v>29207.0</v>
      </c>
      <c r="C17010" s="38" t="s">
        <v>21414</v>
      </c>
      <c r="D17010" s="38" t="str">
        <f>IFERROR(__xludf.DUMMYFUNCTION("REGEXREPLACE(C17010,""-\d+(.*)|--\d+(.*)"","""")"),"PLOURIN-LES-MORLAIX")</f>
        <v>PLOURIN-LES-MORLAIX</v>
      </c>
      <c r="E17010" s="38" t="s">
        <v>176</v>
      </c>
      <c r="F17010" s="38" t="s">
        <v>90</v>
      </c>
      <c r="G17010" s="49" t="str">
        <f t="shared" si="1"/>
        <v>29600</v>
      </c>
      <c r="H17010" s="49">
        <f t="shared" si="2"/>
        <v>29207</v>
      </c>
    </row>
    <row r="17011">
      <c r="A17011" s="48" t="s">
        <v>522</v>
      </c>
      <c r="B17011" s="38">
        <v>39481.0</v>
      </c>
      <c r="C17011" s="38" t="s">
        <v>21415</v>
      </c>
      <c r="D17011" s="38" t="str">
        <f>IFERROR(__xludf.DUMMYFUNCTION("REGEXREPLACE(C17011,""-\d+(.*)|--\d+(.*)"","""")"),"SAINT-GERMAIN-EN-MONTAGNE")</f>
        <v>SAINT-GERMAIN-EN-MONTAGNE</v>
      </c>
      <c r="E17011" s="38" t="s">
        <v>400</v>
      </c>
      <c r="F17011" s="38" t="s">
        <v>214</v>
      </c>
      <c r="G17011" s="49" t="str">
        <f t="shared" si="1"/>
        <v>39300</v>
      </c>
      <c r="H17011" s="49">
        <f t="shared" si="2"/>
        <v>39481</v>
      </c>
    </row>
    <row r="17012">
      <c r="A17012" s="48" t="s">
        <v>9660</v>
      </c>
      <c r="B17012" s="38">
        <v>89022.0</v>
      </c>
      <c r="C17012" s="38" t="s">
        <v>21416</v>
      </c>
      <c r="D17012" s="38" t="str">
        <f>IFERROR(__xludf.DUMMYFUNCTION("REGEXREPLACE(C17012,""-\d+(.*)|--\d+(.*)"","""")"),"ATHIE")</f>
        <v>ATHIE</v>
      </c>
      <c r="E17012" s="38" t="s">
        <v>275</v>
      </c>
      <c r="F17012" s="38" t="s">
        <v>106</v>
      </c>
      <c r="G17012" s="49" t="str">
        <f t="shared" si="1"/>
        <v>89440</v>
      </c>
      <c r="H17012" s="49">
        <f t="shared" si="2"/>
        <v>89022</v>
      </c>
    </row>
    <row r="17013">
      <c r="A17013" s="48" t="s">
        <v>7662</v>
      </c>
      <c r="B17013" s="38">
        <v>72327.0</v>
      </c>
      <c r="C17013" s="38" t="s">
        <v>21417</v>
      </c>
      <c r="D17013" s="38" t="str">
        <f>IFERROR(__xludf.DUMMYFUNCTION("REGEXREPLACE(C17013,""-\d+(.*)|--\d+(.*)"","""")"),"SARCE")</f>
        <v>SARCE</v>
      </c>
      <c r="E17013" s="38" t="s">
        <v>521</v>
      </c>
      <c r="F17013" s="38" t="s">
        <v>180</v>
      </c>
      <c r="G17013" s="49" t="str">
        <f t="shared" si="1"/>
        <v>72360</v>
      </c>
      <c r="H17013" s="49">
        <f t="shared" si="2"/>
        <v>72327</v>
      </c>
    </row>
    <row r="17014">
      <c r="A17014" s="48" t="s">
        <v>1327</v>
      </c>
      <c r="B17014" s="38">
        <v>51187.0</v>
      </c>
      <c r="C17014" s="38" t="s">
        <v>21418</v>
      </c>
      <c r="D17014" s="38" t="str">
        <f>IFERROR(__xludf.DUMMYFUNCTION("REGEXREPLACE(C17014,""-\d+(.*)|--\d+(.*)"","""")"),"COURLANDON")</f>
        <v>COURLANDON</v>
      </c>
      <c r="E17014" s="38" t="s">
        <v>129</v>
      </c>
      <c r="F17014" s="38" t="s">
        <v>130</v>
      </c>
      <c r="G17014" s="49" t="str">
        <f t="shared" si="1"/>
        <v>51170</v>
      </c>
      <c r="H17014" s="49">
        <f t="shared" si="2"/>
        <v>51187</v>
      </c>
    </row>
    <row r="17015">
      <c r="A17015" s="48" t="s">
        <v>484</v>
      </c>
      <c r="B17015" s="38">
        <v>16167.0</v>
      </c>
      <c r="C17015" s="38" t="s">
        <v>21419</v>
      </c>
      <c r="D17015" s="38" t="str">
        <f>IFERROR(__xludf.DUMMYFUNCTION("REGEXREPLACE(C17015,""-\d+(.*)|--\d+(.*)"","""")"),"JARNAC")</f>
        <v>JARNAC</v>
      </c>
      <c r="E17015" s="38" t="s">
        <v>429</v>
      </c>
      <c r="F17015" s="38" t="s">
        <v>338</v>
      </c>
      <c r="G17015" s="49" t="str">
        <f t="shared" si="1"/>
        <v>16200</v>
      </c>
      <c r="H17015" s="49">
        <f t="shared" si="2"/>
        <v>16167</v>
      </c>
    </row>
    <row r="17016">
      <c r="A17016" s="48" t="s">
        <v>6586</v>
      </c>
      <c r="B17016" s="38">
        <v>82168.0</v>
      </c>
      <c r="C17016" s="38" t="s">
        <v>21420</v>
      </c>
      <c r="D17016" s="38" t="str">
        <f>IFERROR(__xludf.DUMMYFUNCTION("REGEXREPLACE(C17016,""-\d+(.*)|--\d+(.*)"","""")"),"SAINT-NAZAIRE-DE-VALENTANE")</f>
        <v>SAINT-NAZAIRE-DE-VALENTANE</v>
      </c>
      <c r="E17016" s="38" t="s">
        <v>570</v>
      </c>
      <c r="F17016" s="38" t="s">
        <v>94</v>
      </c>
      <c r="G17016" s="49" t="str">
        <f t="shared" si="1"/>
        <v>82190</v>
      </c>
      <c r="H17016" s="49">
        <f t="shared" si="2"/>
        <v>82168</v>
      </c>
    </row>
    <row r="17017">
      <c r="A17017" s="48" t="s">
        <v>4779</v>
      </c>
      <c r="B17017" s="38">
        <v>28371.0</v>
      </c>
      <c r="C17017" s="38" t="s">
        <v>17110</v>
      </c>
      <c r="D17017" s="38" t="str">
        <f>IFERROR(__xludf.DUMMYFUNCTION("REGEXREPLACE(C17017,""-\d+(.*)|--\d+(.*)"","""")"),"SAUSSAY")</f>
        <v>SAUSSAY</v>
      </c>
      <c r="E17017" s="38" t="s">
        <v>300</v>
      </c>
      <c r="F17017" s="38" t="s">
        <v>123</v>
      </c>
      <c r="G17017" s="49" t="str">
        <f t="shared" si="1"/>
        <v>28260</v>
      </c>
      <c r="H17017" s="49">
        <f t="shared" si="2"/>
        <v>28371</v>
      </c>
    </row>
    <row r="17018">
      <c r="A17018" s="48" t="s">
        <v>562</v>
      </c>
      <c r="B17018" s="38">
        <v>54128.0</v>
      </c>
      <c r="C17018" s="38" t="s">
        <v>21421</v>
      </c>
      <c r="D17018" s="38" t="str">
        <f>IFERROR(__xludf.DUMMYFUNCTION("REGEXREPLACE(C17018,""-\d+(.*)|--\d+(.*)"","""")"),"CHOLOY-MENILLOT")</f>
        <v>CHOLOY-MENILLOT</v>
      </c>
      <c r="E17018" s="38" t="s">
        <v>548</v>
      </c>
      <c r="F17018" s="38" t="s">
        <v>195</v>
      </c>
      <c r="G17018" s="49" t="str">
        <f t="shared" si="1"/>
        <v>54200</v>
      </c>
      <c r="H17018" s="49">
        <f t="shared" si="2"/>
        <v>54128</v>
      </c>
    </row>
    <row r="17019">
      <c r="A17019" s="48" t="s">
        <v>4661</v>
      </c>
      <c r="B17019" s="38">
        <v>62478.0</v>
      </c>
      <c r="C17019" s="38" t="s">
        <v>21422</v>
      </c>
      <c r="D17019" s="38" t="str">
        <f>IFERROR(__xludf.DUMMYFUNCTION("REGEXREPLACE(C17019,""-\d+(.*)|--\d+(.*)"","""")"),"JOURNY")</f>
        <v>JOURNY</v>
      </c>
      <c r="E17019" s="38" t="s">
        <v>109</v>
      </c>
      <c r="F17019" s="38" t="s">
        <v>86</v>
      </c>
      <c r="G17019" s="49" t="str">
        <f t="shared" si="1"/>
        <v>62850</v>
      </c>
      <c r="H17019" s="49">
        <f t="shared" si="2"/>
        <v>62478</v>
      </c>
    </row>
    <row r="17020">
      <c r="A17020" s="48" t="s">
        <v>1742</v>
      </c>
      <c r="B17020" s="38">
        <v>21230.0</v>
      </c>
      <c r="C17020" s="38" t="s">
        <v>21423</v>
      </c>
      <c r="D17020" s="38" t="str">
        <f>IFERROR(__xludf.DUMMYFUNCTION("REGEXREPLACE(C17020,""-\d+(.*)|--\d+(.*)"","""")"),"DIENAY")</f>
        <v>DIENAY</v>
      </c>
      <c r="E17020" s="38" t="s">
        <v>105</v>
      </c>
      <c r="F17020" s="38" t="s">
        <v>106</v>
      </c>
      <c r="G17020" s="49" t="str">
        <f t="shared" si="1"/>
        <v>21120</v>
      </c>
      <c r="H17020" s="49">
        <f t="shared" si="2"/>
        <v>21230</v>
      </c>
    </row>
    <row r="17021">
      <c r="A17021" s="48" t="s">
        <v>5612</v>
      </c>
      <c r="B17021" s="38">
        <v>52269.0</v>
      </c>
      <c r="C17021" s="38" t="s">
        <v>21424</v>
      </c>
      <c r="D17021" s="38" t="str">
        <f>IFERROR(__xludf.DUMMYFUNCTION("REGEXREPLACE(C17021,""-\d+(.*)|--\d+(.*)"","""")"),"LANGRES")</f>
        <v>LANGRES</v>
      </c>
      <c r="E17021" s="38" t="s">
        <v>234</v>
      </c>
      <c r="F17021" s="38" t="s">
        <v>130</v>
      </c>
      <c r="G17021" s="49" t="str">
        <f t="shared" si="1"/>
        <v>52200</v>
      </c>
      <c r="H17021" s="49">
        <f t="shared" si="2"/>
        <v>52269</v>
      </c>
    </row>
    <row r="17022">
      <c r="A17022" s="48" t="s">
        <v>8821</v>
      </c>
      <c r="B17022" s="38">
        <v>26345.0</v>
      </c>
      <c r="C17022" s="38" t="s">
        <v>21425</v>
      </c>
      <c r="D17022" s="38" t="str">
        <f>IFERROR(__xludf.DUMMYFUNCTION("REGEXREPLACE(C17022,""-\d+(.*)|--\d+(.*)"","""")"),"SUZE-LA-ROUSSE")</f>
        <v>SUZE-LA-ROUSSE</v>
      </c>
      <c r="E17022" s="38" t="s">
        <v>126</v>
      </c>
      <c r="F17022" s="38" t="s">
        <v>102</v>
      </c>
      <c r="G17022" s="49" t="str">
        <f t="shared" si="1"/>
        <v>26790</v>
      </c>
      <c r="H17022" s="49">
        <f t="shared" si="2"/>
        <v>26345</v>
      </c>
    </row>
    <row r="17023">
      <c r="A17023" s="48" t="s">
        <v>748</v>
      </c>
      <c r="B17023" s="38">
        <v>60323.0</v>
      </c>
      <c r="C17023" s="38" t="s">
        <v>2717</v>
      </c>
      <c r="D17023" s="38" t="str">
        <f>IFERROR(__xludf.DUMMYFUNCTION("REGEXREPLACE(C17023,""-\d+(.*)|--\d+(.*)"","""")"),"JANVILLE")</f>
        <v>JANVILLE</v>
      </c>
      <c r="E17023" s="38" t="s">
        <v>112</v>
      </c>
      <c r="F17023" s="38" t="s">
        <v>113</v>
      </c>
      <c r="G17023" s="49" t="str">
        <f t="shared" si="1"/>
        <v>60150</v>
      </c>
      <c r="H17023" s="49">
        <f t="shared" si="2"/>
        <v>60323</v>
      </c>
    </row>
    <row r="17024">
      <c r="A17024" s="48" t="s">
        <v>5325</v>
      </c>
      <c r="B17024" s="38">
        <v>60439.0</v>
      </c>
      <c r="C17024" s="38" t="s">
        <v>21426</v>
      </c>
      <c r="D17024" s="38" t="str">
        <f>IFERROR(__xludf.DUMMYFUNCTION("REGEXREPLACE(C17024,""-\d+(.*)|--\d+(.*)"","""")"),"MOUY")</f>
        <v>MOUY</v>
      </c>
      <c r="E17024" s="38" t="s">
        <v>112</v>
      </c>
      <c r="F17024" s="38" t="s">
        <v>113</v>
      </c>
      <c r="G17024" s="49" t="str">
        <f t="shared" si="1"/>
        <v>60250</v>
      </c>
      <c r="H17024" s="49">
        <f t="shared" si="2"/>
        <v>60439</v>
      </c>
    </row>
    <row r="17025">
      <c r="A17025" s="48" t="s">
        <v>3344</v>
      </c>
      <c r="B17025" s="38">
        <v>76182.0</v>
      </c>
      <c r="C17025" s="38" t="s">
        <v>21427</v>
      </c>
      <c r="D17025" s="38" t="str">
        <f>IFERROR(__xludf.DUMMYFUNCTION("REGEXREPLACE(C17025,""-\d+(.*)|--\d+(.*)"","""")"),"CLIPONVILLE")</f>
        <v>CLIPONVILLE</v>
      </c>
      <c r="E17025" s="38" t="s">
        <v>133</v>
      </c>
      <c r="F17025" s="38" t="s">
        <v>134</v>
      </c>
      <c r="G17025" s="49" t="str">
        <f t="shared" si="1"/>
        <v>76640</v>
      </c>
      <c r="H17025" s="49">
        <f t="shared" si="2"/>
        <v>76182</v>
      </c>
    </row>
    <row r="17026">
      <c r="A17026" s="48" t="s">
        <v>5587</v>
      </c>
      <c r="B17026" s="38">
        <v>3228.0</v>
      </c>
      <c r="C17026" s="38" t="s">
        <v>21428</v>
      </c>
      <c r="D17026" s="38" t="str">
        <f>IFERROR(__xludf.DUMMYFUNCTION("REGEXREPLACE(C17026,""-\d+(.*)|--\d+(.*)"","""")"),"SAINT-ELOY-D'ALLIER")</f>
        <v>SAINT-ELOY-D'ALLIER</v>
      </c>
      <c r="E17026" s="38" t="s">
        <v>160</v>
      </c>
      <c r="F17026" s="38" t="s">
        <v>161</v>
      </c>
      <c r="G17026" s="49" t="str">
        <f t="shared" si="1"/>
        <v>03370</v>
      </c>
      <c r="H17026" s="49" t="str">
        <f t="shared" si="2"/>
        <v>03228</v>
      </c>
    </row>
    <row r="17027">
      <c r="A17027" s="48" t="s">
        <v>6555</v>
      </c>
      <c r="B17027" s="38">
        <v>67014.0</v>
      </c>
      <c r="C17027" s="38" t="s">
        <v>21429</v>
      </c>
      <c r="D17027" s="38" t="str">
        <f>IFERROR(__xludf.DUMMYFUNCTION("REGEXREPLACE(C17027,""-\d+(.*)|--\d+(.*)"","""")"),"AUENHEIM")</f>
        <v>AUENHEIM</v>
      </c>
      <c r="E17027" s="38" t="s">
        <v>210</v>
      </c>
      <c r="F17027" s="38" t="s">
        <v>151</v>
      </c>
      <c r="G17027" s="49" t="str">
        <f t="shared" si="1"/>
        <v>67480</v>
      </c>
      <c r="H17027" s="49">
        <f t="shared" si="2"/>
        <v>67014</v>
      </c>
    </row>
    <row r="17028">
      <c r="A17028" s="48" t="s">
        <v>425</v>
      </c>
      <c r="B17028" s="38">
        <v>88315.0</v>
      </c>
      <c r="C17028" s="38" t="s">
        <v>21430</v>
      </c>
      <c r="D17028" s="38" t="str">
        <f>IFERROR(__xludf.DUMMYFUNCTION("REGEXREPLACE(C17028,""-\d+(.*)|--\d+(.*)"","""")"),"MORTAGNE")</f>
        <v>MORTAGNE</v>
      </c>
      <c r="E17028" s="38" t="s">
        <v>194</v>
      </c>
      <c r="F17028" s="38" t="s">
        <v>195</v>
      </c>
      <c r="G17028" s="49" t="str">
        <f t="shared" si="1"/>
        <v>88600</v>
      </c>
      <c r="H17028" s="49">
        <f t="shared" si="2"/>
        <v>88315</v>
      </c>
    </row>
    <row r="17029">
      <c r="A17029" s="48" t="s">
        <v>5982</v>
      </c>
      <c r="B17029" s="38">
        <v>63433.0</v>
      </c>
      <c r="C17029" s="38" t="s">
        <v>21431</v>
      </c>
      <c r="D17029" s="38" t="str">
        <f>IFERROR(__xludf.DUMMYFUNCTION("REGEXREPLACE(C17029,""-\d+(.*)|--\d+(.*)"","""")"),"TORTEBESSE")</f>
        <v>TORTEBESSE</v>
      </c>
      <c r="E17029" s="38" t="s">
        <v>353</v>
      </c>
      <c r="F17029" s="38" t="s">
        <v>161</v>
      </c>
      <c r="G17029" s="49" t="str">
        <f t="shared" si="1"/>
        <v>63470</v>
      </c>
      <c r="H17029" s="49">
        <f t="shared" si="2"/>
        <v>63433</v>
      </c>
    </row>
    <row r="17030">
      <c r="A17030" s="48" t="s">
        <v>21432</v>
      </c>
      <c r="B17030" s="38">
        <v>44046.0</v>
      </c>
      <c r="C17030" s="38" t="s">
        <v>21433</v>
      </c>
      <c r="D17030" s="38" t="str">
        <f>IFERROR(__xludf.DUMMYFUNCTION("REGEXREPLACE(C17030,""-\d+(.*)|--\d+(.*)"","""")"),"CORSEPT")</f>
        <v>CORSEPT</v>
      </c>
      <c r="E17030" s="38" t="s">
        <v>759</v>
      </c>
      <c r="F17030" s="38" t="s">
        <v>180</v>
      </c>
      <c r="G17030" s="49" t="str">
        <f t="shared" si="1"/>
        <v>44560</v>
      </c>
      <c r="H17030" s="49">
        <f t="shared" si="2"/>
        <v>44046</v>
      </c>
    </row>
    <row r="17031">
      <c r="A17031" s="48" t="s">
        <v>5322</v>
      </c>
      <c r="B17031" s="38">
        <v>32288.0</v>
      </c>
      <c r="C17031" s="38" t="s">
        <v>21434</v>
      </c>
      <c r="D17031" s="38" t="str">
        <f>IFERROR(__xludf.DUMMYFUNCTION("REGEXREPLACE(C17031,""-\d+(.*)|--\d+(.*)"","""")"),"MONTIRON")</f>
        <v>MONTIRON</v>
      </c>
      <c r="E17031" s="38" t="s">
        <v>440</v>
      </c>
      <c r="F17031" s="38" t="s">
        <v>94</v>
      </c>
      <c r="G17031" s="49" t="str">
        <f t="shared" si="1"/>
        <v>32200</v>
      </c>
      <c r="H17031" s="49">
        <f t="shared" si="2"/>
        <v>32288</v>
      </c>
    </row>
    <row r="17032">
      <c r="A17032" s="48" t="s">
        <v>10177</v>
      </c>
      <c r="B17032" s="38">
        <v>80688.0</v>
      </c>
      <c r="C17032" s="38" t="s">
        <v>21435</v>
      </c>
      <c r="D17032" s="38" t="str">
        <f>IFERROR(__xludf.DUMMYFUNCTION("REGEXREPLACE(C17032,""-\d+(.*)|--\d+(.*)"","""")"),"RUE")</f>
        <v>RUE</v>
      </c>
      <c r="E17032" s="38" t="s">
        <v>224</v>
      </c>
      <c r="F17032" s="38" t="s">
        <v>113</v>
      </c>
      <c r="G17032" s="49" t="str">
        <f t="shared" si="1"/>
        <v>80120</v>
      </c>
      <c r="H17032" s="49">
        <f t="shared" si="2"/>
        <v>80688</v>
      </c>
    </row>
    <row r="17033">
      <c r="A17033" s="48" t="s">
        <v>11592</v>
      </c>
      <c r="B17033" s="38">
        <v>68235.0</v>
      </c>
      <c r="C17033" s="38" t="s">
        <v>21436</v>
      </c>
      <c r="D17033" s="38" t="str">
        <f>IFERROR(__xludf.DUMMYFUNCTION("REGEXREPLACE(C17033,""-\d+(.*)|--\d+(.*)"","""")"),"NIEDERHERGHEIM")</f>
        <v>NIEDERHERGHEIM</v>
      </c>
      <c r="E17033" s="38" t="s">
        <v>150</v>
      </c>
      <c r="F17033" s="38" t="s">
        <v>151</v>
      </c>
      <c r="G17033" s="49" t="str">
        <f t="shared" si="1"/>
        <v>68127</v>
      </c>
      <c r="H17033" s="49">
        <f t="shared" si="2"/>
        <v>68235</v>
      </c>
    </row>
    <row r="17034">
      <c r="A17034" s="48" t="s">
        <v>19050</v>
      </c>
      <c r="B17034" s="38">
        <v>19035.0</v>
      </c>
      <c r="C17034" s="38" t="s">
        <v>21437</v>
      </c>
      <c r="D17034" s="38" t="str">
        <f>IFERROR(__xludf.DUMMYFUNCTION("REGEXREPLACE(C17034,""-\d+(.*)|--\d+(.*)"","""")"),"CHABRIGNAC")</f>
        <v>CHABRIGNAC</v>
      </c>
      <c r="E17034" s="38" t="s">
        <v>271</v>
      </c>
      <c r="F17034" s="38" t="s">
        <v>98</v>
      </c>
      <c r="G17034" s="49" t="str">
        <f t="shared" si="1"/>
        <v>19350</v>
      </c>
      <c r="H17034" s="49">
        <f t="shared" si="2"/>
        <v>19035</v>
      </c>
    </row>
    <row r="17035">
      <c r="A17035" s="48" t="s">
        <v>6474</v>
      </c>
      <c r="B17035" s="38">
        <v>61348.0</v>
      </c>
      <c r="C17035" s="38" t="s">
        <v>21438</v>
      </c>
      <c r="D17035" s="38" t="str">
        <f>IFERROR(__xludf.DUMMYFUNCTION("REGEXREPLACE(C17035,""-\d+(.*)|--\d+(.*)"","""")"),"REVEILLON")</f>
        <v>REVEILLON</v>
      </c>
      <c r="E17035" s="38" t="s">
        <v>141</v>
      </c>
      <c r="F17035" s="38" t="s">
        <v>138</v>
      </c>
      <c r="G17035" s="49" t="str">
        <f t="shared" si="1"/>
        <v>61400</v>
      </c>
      <c r="H17035" s="49">
        <f t="shared" si="2"/>
        <v>61348</v>
      </c>
    </row>
    <row r="17036">
      <c r="A17036" s="48" t="s">
        <v>8632</v>
      </c>
      <c r="B17036" s="38">
        <v>50412.0</v>
      </c>
      <c r="C17036" s="38" t="s">
        <v>21439</v>
      </c>
      <c r="D17036" s="38" t="str">
        <f>IFERROR(__xludf.DUMMYFUNCTION("REGEXREPLACE(C17036,""-\d+(.*)|--\d+(.*)"","""")"),"PORTBAIL")</f>
        <v>PORTBAIL</v>
      </c>
      <c r="E17036" s="38" t="s">
        <v>157</v>
      </c>
      <c r="F17036" s="38" t="s">
        <v>138</v>
      </c>
      <c r="G17036" s="49" t="str">
        <f t="shared" si="1"/>
        <v>50580</v>
      </c>
      <c r="H17036" s="49">
        <f t="shared" si="2"/>
        <v>50412</v>
      </c>
    </row>
    <row r="17037">
      <c r="A17037" s="48" t="s">
        <v>1321</v>
      </c>
      <c r="B17037" s="38">
        <v>67338.0</v>
      </c>
      <c r="C17037" s="38" t="s">
        <v>21440</v>
      </c>
      <c r="D17037" s="38" t="str">
        <f>IFERROR(__xludf.DUMMYFUNCTION("REGEXREPLACE(C17037,""-\d+(.*)|--\d+(.*)"","""")"),"OBENHEIM")</f>
        <v>OBENHEIM</v>
      </c>
      <c r="E17037" s="38" t="s">
        <v>210</v>
      </c>
      <c r="F17037" s="38" t="s">
        <v>151</v>
      </c>
      <c r="G17037" s="49" t="str">
        <f t="shared" si="1"/>
        <v>67230</v>
      </c>
      <c r="H17037" s="49">
        <f t="shared" si="2"/>
        <v>67338</v>
      </c>
    </row>
    <row r="17038">
      <c r="A17038" s="48" t="s">
        <v>298</v>
      </c>
      <c r="B17038" s="38">
        <v>28385.0</v>
      </c>
      <c r="C17038" s="38" t="s">
        <v>21441</v>
      </c>
      <c r="D17038" s="38" t="str">
        <f>IFERROR(__xludf.DUMMYFUNCTION("REGEXREPLACE(C17038,""-\d+(.*)|--\d+(.*)"","""")"),"LE THIEULIN")</f>
        <v>LE THIEULIN</v>
      </c>
      <c r="E17038" s="38" t="s">
        <v>300</v>
      </c>
      <c r="F17038" s="38" t="s">
        <v>123</v>
      </c>
      <c r="G17038" s="49" t="str">
        <f t="shared" si="1"/>
        <v>28240</v>
      </c>
      <c r="H17038" s="49">
        <f t="shared" si="2"/>
        <v>28385</v>
      </c>
    </row>
    <row r="17039">
      <c r="A17039" s="48" t="s">
        <v>614</v>
      </c>
      <c r="B17039" s="38">
        <v>24490.0</v>
      </c>
      <c r="C17039" s="38" t="s">
        <v>21442</v>
      </c>
      <c r="D17039" s="38" t="str">
        <f>IFERROR(__xludf.DUMMYFUNCTION("REGEXREPLACE(C17039,""-\d+(.*)|--\d+(.*)"","""")"),"SAINT-PRIVAT-DES-PRES")</f>
        <v>SAINT-PRIVAT-DES-PRES</v>
      </c>
      <c r="E17039" s="38" t="s">
        <v>261</v>
      </c>
      <c r="F17039" s="38" t="s">
        <v>252</v>
      </c>
      <c r="G17039" s="49" t="str">
        <f t="shared" si="1"/>
        <v>24410</v>
      </c>
      <c r="H17039" s="49">
        <f t="shared" si="2"/>
        <v>24490</v>
      </c>
    </row>
    <row r="17040">
      <c r="A17040" s="48" t="s">
        <v>691</v>
      </c>
      <c r="B17040" s="38">
        <v>64168.0</v>
      </c>
      <c r="C17040" s="38" t="s">
        <v>21443</v>
      </c>
      <c r="D17040" s="38" t="str">
        <f>IFERROR(__xludf.DUMMYFUNCTION("REGEXREPLACE(C17040,""-\d+(.*)|--\d+(.*)"","""")"),"CARRESSE-CASSABER")</f>
        <v>CARRESSE-CASSABER</v>
      </c>
      <c r="E17040" s="38" t="s">
        <v>268</v>
      </c>
      <c r="F17040" s="38" t="s">
        <v>252</v>
      </c>
      <c r="G17040" s="49" t="str">
        <f t="shared" si="1"/>
        <v>64270</v>
      </c>
      <c r="H17040" s="49">
        <f t="shared" si="2"/>
        <v>64168</v>
      </c>
    </row>
    <row r="17041">
      <c r="A17041" s="48" t="s">
        <v>4553</v>
      </c>
      <c r="B17041" s="38">
        <v>56141.0</v>
      </c>
      <c r="C17041" s="38" t="s">
        <v>21444</v>
      </c>
      <c r="D17041" s="38" t="str">
        <f>IFERROR(__xludf.DUMMYFUNCTION("REGEXREPLACE(C17041,""-\d+(.*)|--\d+(.*)"","""")"),"MOUSTOIR-AC")</f>
        <v>MOUSTOIR-AC</v>
      </c>
      <c r="E17041" s="38" t="s">
        <v>173</v>
      </c>
      <c r="F17041" s="38" t="s">
        <v>90</v>
      </c>
      <c r="G17041" s="49" t="str">
        <f t="shared" si="1"/>
        <v>56500</v>
      </c>
      <c r="H17041" s="49">
        <f t="shared" si="2"/>
        <v>56141</v>
      </c>
    </row>
    <row r="17042">
      <c r="A17042" s="48" t="s">
        <v>12589</v>
      </c>
      <c r="B17042" s="38">
        <v>1175.0</v>
      </c>
      <c r="C17042" s="38" t="s">
        <v>21445</v>
      </c>
      <c r="D17042" s="38" t="str">
        <f>IFERROR(__xludf.DUMMYFUNCTION("REGEXREPLACE(C17042,""-\d+(.*)|--\d+(.*)"","""")"),"GORREVOD")</f>
        <v>GORREVOD</v>
      </c>
      <c r="E17042" s="38" t="s">
        <v>255</v>
      </c>
      <c r="F17042" s="38" t="s">
        <v>102</v>
      </c>
      <c r="G17042" s="49" t="str">
        <f t="shared" si="1"/>
        <v>01190</v>
      </c>
      <c r="H17042" s="49" t="str">
        <f t="shared" si="2"/>
        <v>01175</v>
      </c>
    </row>
    <row r="17043">
      <c r="A17043" s="48" t="s">
        <v>3763</v>
      </c>
      <c r="B17043" s="38">
        <v>76654.0</v>
      </c>
      <c r="C17043" s="38" t="s">
        <v>21446</v>
      </c>
      <c r="D17043" s="38" t="str">
        <f>IFERROR(__xludf.DUMMYFUNCTION("REGEXREPLACE(C17043,""-\d+(.*)|--\d+(.*)"","""")"),"SAINT-VAAST-DU-VAL")</f>
        <v>SAINT-VAAST-DU-VAL</v>
      </c>
      <c r="E17043" s="38" t="s">
        <v>133</v>
      </c>
      <c r="F17043" s="38" t="s">
        <v>134</v>
      </c>
      <c r="G17043" s="49" t="str">
        <f t="shared" si="1"/>
        <v>76890</v>
      </c>
      <c r="H17043" s="49">
        <f t="shared" si="2"/>
        <v>76654</v>
      </c>
    </row>
    <row r="17044">
      <c r="A17044" s="48" t="s">
        <v>1970</v>
      </c>
      <c r="B17044" s="38">
        <v>74192.0</v>
      </c>
      <c r="C17044" s="38" t="s">
        <v>21447</v>
      </c>
      <c r="D17044" s="38" t="str">
        <f>IFERROR(__xludf.DUMMYFUNCTION("REGEXREPLACE(C17044,""-\d+(.*)|--\d+(.*)"","""")"),"MOYE")</f>
        <v>MOYE</v>
      </c>
      <c r="E17044" s="38" t="s">
        <v>319</v>
      </c>
      <c r="F17044" s="38" t="s">
        <v>102</v>
      </c>
      <c r="G17044" s="49" t="str">
        <f t="shared" si="1"/>
        <v>74150</v>
      </c>
      <c r="H17044" s="49">
        <f t="shared" si="2"/>
        <v>74192</v>
      </c>
    </row>
    <row r="17045">
      <c r="A17045" s="48" t="s">
        <v>3321</v>
      </c>
      <c r="B17045" s="38">
        <v>47219.0</v>
      </c>
      <c r="C17045" s="38" t="s">
        <v>21448</v>
      </c>
      <c r="D17045" s="38" t="str">
        <f>IFERROR(__xludf.DUMMYFUNCTION("REGEXREPLACE(C17045,""-\d+(.*)|--\d+(.*)"","""")"),"RAYET")</f>
        <v>RAYET</v>
      </c>
      <c r="E17045" s="38" t="s">
        <v>251</v>
      </c>
      <c r="F17045" s="38" t="s">
        <v>252</v>
      </c>
      <c r="G17045" s="49" t="str">
        <f t="shared" si="1"/>
        <v>47210</v>
      </c>
      <c r="H17045" s="49">
        <f t="shared" si="2"/>
        <v>47219</v>
      </c>
    </row>
    <row r="17046">
      <c r="A17046" s="48" t="s">
        <v>1040</v>
      </c>
      <c r="B17046" s="38">
        <v>62740.0</v>
      </c>
      <c r="C17046" s="38" t="s">
        <v>21449</v>
      </c>
      <c r="D17046" s="38" t="str">
        <f>IFERROR(__xludf.DUMMYFUNCTION("REGEXREPLACE(C17046,""-\d+(.*)|--\d+(.*)"","""")"),"SAINS-LES-PERNES")</f>
        <v>SAINS-LES-PERNES</v>
      </c>
      <c r="E17046" s="38" t="s">
        <v>109</v>
      </c>
      <c r="F17046" s="38" t="s">
        <v>86</v>
      </c>
      <c r="G17046" s="49" t="str">
        <f t="shared" si="1"/>
        <v>62550</v>
      </c>
      <c r="H17046" s="49">
        <f t="shared" si="2"/>
        <v>62740</v>
      </c>
    </row>
    <row r="17047">
      <c r="A17047" s="48" t="s">
        <v>6519</v>
      </c>
      <c r="B17047" s="38">
        <v>81012.0</v>
      </c>
      <c r="C17047" s="38" t="s">
        <v>21450</v>
      </c>
      <c r="D17047" s="38" t="str">
        <f>IFERROR(__xludf.DUMMYFUNCTION("REGEXREPLACE(C17047,""-\d+(.*)|--\d+(.*)"","""")"),"ANDILLAC")</f>
        <v>ANDILLAC</v>
      </c>
      <c r="E17047" s="38" t="s">
        <v>231</v>
      </c>
      <c r="F17047" s="38" t="s">
        <v>94</v>
      </c>
      <c r="G17047" s="49" t="str">
        <f t="shared" si="1"/>
        <v>81140</v>
      </c>
      <c r="H17047" s="49">
        <f t="shared" si="2"/>
        <v>81012</v>
      </c>
    </row>
    <row r="17048">
      <c r="A17048" s="48" t="s">
        <v>21451</v>
      </c>
      <c r="B17048" s="38">
        <v>18027.0</v>
      </c>
      <c r="C17048" s="38" t="s">
        <v>21452</v>
      </c>
      <c r="D17048" s="38" t="str">
        <f>IFERROR(__xludf.DUMMYFUNCTION("REGEXREPLACE(C17048,""-\d+(.*)|--\d+(.*)"","""")"),"BENGY-SUR-CRAON")</f>
        <v>BENGY-SUR-CRAON</v>
      </c>
      <c r="E17048" s="38" t="s">
        <v>504</v>
      </c>
      <c r="F17048" s="38" t="s">
        <v>123</v>
      </c>
      <c r="G17048" s="49" t="str">
        <f t="shared" si="1"/>
        <v>18520</v>
      </c>
      <c r="H17048" s="49">
        <f t="shared" si="2"/>
        <v>18027</v>
      </c>
    </row>
    <row r="17049">
      <c r="A17049" s="48" t="s">
        <v>1087</v>
      </c>
      <c r="B17049" s="38">
        <v>3271.0</v>
      </c>
      <c r="C17049" s="38" t="s">
        <v>21453</v>
      </c>
      <c r="D17049" s="38" t="str">
        <f>IFERROR(__xludf.DUMMYFUNCTION("REGEXREPLACE(C17049,""-\d+(.*)|--\d+(.*)"","""")"),"SERBANNES")</f>
        <v>SERBANNES</v>
      </c>
      <c r="E17049" s="38" t="s">
        <v>160</v>
      </c>
      <c r="F17049" s="38" t="s">
        <v>161</v>
      </c>
      <c r="G17049" s="49" t="str">
        <f t="shared" si="1"/>
        <v>03700</v>
      </c>
      <c r="H17049" s="49" t="str">
        <f t="shared" si="2"/>
        <v>03271</v>
      </c>
    </row>
    <row r="17050">
      <c r="A17050" s="48" t="s">
        <v>16765</v>
      </c>
      <c r="B17050" s="38">
        <v>76128.0</v>
      </c>
      <c r="C17050" s="38" t="s">
        <v>21454</v>
      </c>
      <c r="D17050" s="38" t="str">
        <f>IFERROR(__xludf.DUMMYFUNCTION("REGEXREPLACE(C17050,""-\d+(.*)|--\d+(.*)"","""")"),"BOSVILLE")</f>
        <v>BOSVILLE</v>
      </c>
      <c r="E17050" s="38" t="s">
        <v>133</v>
      </c>
      <c r="F17050" s="38" t="s">
        <v>134</v>
      </c>
      <c r="G17050" s="49" t="str">
        <f t="shared" si="1"/>
        <v>76450</v>
      </c>
      <c r="H17050" s="49">
        <f t="shared" si="2"/>
        <v>76128</v>
      </c>
    </row>
    <row r="17051">
      <c r="A17051" s="48" t="s">
        <v>683</v>
      </c>
      <c r="B17051" s="38">
        <v>64022.0</v>
      </c>
      <c r="C17051" s="38" t="s">
        <v>21455</v>
      </c>
      <c r="D17051" s="38" t="str">
        <f>IFERROR(__xludf.DUMMYFUNCTION("REGEXREPLACE(C17051,""-\d+(.*)|--\d+(.*)"","""")"),"ANDREIN")</f>
        <v>ANDREIN</v>
      </c>
      <c r="E17051" s="38" t="s">
        <v>268</v>
      </c>
      <c r="F17051" s="38" t="s">
        <v>252</v>
      </c>
      <c r="G17051" s="49" t="str">
        <f t="shared" si="1"/>
        <v>64390</v>
      </c>
      <c r="H17051" s="49">
        <f t="shared" si="2"/>
        <v>64022</v>
      </c>
    </row>
    <row r="17052">
      <c r="A17052" s="48" t="s">
        <v>586</v>
      </c>
      <c r="B17052" s="38">
        <v>67305.0</v>
      </c>
      <c r="C17052" s="38" t="s">
        <v>21456</v>
      </c>
      <c r="D17052" s="38" t="str">
        <f>IFERROR(__xludf.DUMMYFUNCTION("REGEXREPLACE(C17052,""-\d+(.*)|--\d+(.*)"","""")"),"MOTHERN")</f>
        <v>MOTHERN</v>
      </c>
      <c r="E17052" s="38" t="s">
        <v>210</v>
      </c>
      <c r="F17052" s="38" t="s">
        <v>151</v>
      </c>
      <c r="G17052" s="49" t="str">
        <f t="shared" si="1"/>
        <v>67470</v>
      </c>
      <c r="H17052" s="49">
        <f t="shared" si="2"/>
        <v>67305</v>
      </c>
    </row>
    <row r="17053">
      <c r="A17053" s="48" t="s">
        <v>1174</v>
      </c>
      <c r="B17053" s="38">
        <v>51328.0</v>
      </c>
      <c r="C17053" s="38" t="s">
        <v>21457</v>
      </c>
      <c r="D17053" s="38" t="str">
        <f>IFERROR(__xludf.DUMMYFUNCTION("REGEXREPLACE(C17053,""-\d+(.*)|--\d+(.*)"","""")"),"LOISY-SUR-MARNE")</f>
        <v>LOISY-SUR-MARNE</v>
      </c>
      <c r="E17053" s="38" t="s">
        <v>129</v>
      </c>
      <c r="F17053" s="38" t="s">
        <v>130</v>
      </c>
      <c r="G17053" s="49" t="str">
        <f t="shared" si="1"/>
        <v>51300</v>
      </c>
      <c r="H17053" s="49">
        <f t="shared" si="2"/>
        <v>51328</v>
      </c>
    </row>
    <row r="17054">
      <c r="A17054" s="48" t="s">
        <v>3731</v>
      </c>
      <c r="B17054" s="38">
        <v>4175.0</v>
      </c>
      <c r="C17054" s="38" t="s">
        <v>21458</v>
      </c>
      <c r="D17054" s="38" t="str">
        <f>IFERROR(__xludf.DUMMYFUNCTION("REGEXREPLACE(C17054,""-\d+(.*)|--\d+(.*)"","""")"),"SAINTE-CROIX-A-LAUZE")</f>
        <v>SAINTE-CROIX-A-LAUZE</v>
      </c>
      <c r="E17054" s="38" t="s">
        <v>662</v>
      </c>
      <c r="F17054" s="38" t="s">
        <v>228</v>
      </c>
      <c r="G17054" s="49" t="str">
        <f t="shared" si="1"/>
        <v>04110</v>
      </c>
      <c r="H17054" s="49" t="str">
        <f t="shared" si="2"/>
        <v>04175</v>
      </c>
    </row>
    <row r="17055">
      <c r="A17055" s="48" t="s">
        <v>2217</v>
      </c>
      <c r="B17055" s="38">
        <v>24300.0</v>
      </c>
      <c r="C17055" s="38" t="s">
        <v>21459</v>
      </c>
      <c r="D17055" s="38" t="str">
        <f>IFERROR(__xludf.DUMMYFUNCTION("REGEXREPLACE(C17055,""-\d+(.*)|--\d+(.*)"","""")"),"NABIRAT")</f>
        <v>NABIRAT</v>
      </c>
      <c r="E17055" s="38" t="s">
        <v>261</v>
      </c>
      <c r="F17055" s="38" t="s">
        <v>252</v>
      </c>
      <c r="G17055" s="49" t="str">
        <f t="shared" si="1"/>
        <v>24250</v>
      </c>
      <c r="H17055" s="49">
        <f t="shared" si="2"/>
        <v>24300</v>
      </c>
    </row>
    <row r="17056">
      <c r="A17056" s="48" t="s">
        <v>1693</v>
      </c>
      <c r="B17056" s="38">
        <v>24304.0</v>
      </c>
      <c r="C17056" s="38" t="s">
        <v>21460</v>
      </c>
      <c r="D17056" s="38" t="str">
        <f>IFERROR(__xludf.DUMMYFUNCTION("REGEXREPLACE(C17056,""-\d+(.*)|--\d+(.*)"","""")"),"NANTHEUIL")</f>
        <v>NANTHEUIL</v>
      </c>
      <c r="E17056" s="38" t="s">
        <v>261</v>
      </c>
      <c r="F17056" s="38" t="s">
        <v>252</v>
      </c>
      <c r="G17056" s="49" t="str">
        <f t="shared" si="1"/>
        <v>24800</v>
      </c>
      <c r="H17056" s="49">
        <f t="shared" si="2"/>
        <v>24304</v>
      </c>
    </row>
    <row r="17057">
      <c r="A17057" s="48" t="s">
        <v>2374</v>
      </c>
      <c r="B17057" s="38">
        <v>58026.0</v>
      </c>
      <c r="C17057" s="38" t="s">
        <v>867</v>
      </c>
      <c r="D17057" s="38" t="str">
        <f>IFERROR(__xludf.DUMMYFUNCTION("REGEXREPLACE(C17057,""-\d+(.*)|--\d+(.*)"","""")"),"BEAULIEU")</f>
        <v>BEAULIEU</v>
      </c>
      <c r="E17057" s="38" t="s">
        <v>219</v>
      </c>
      <c r="F17057" s="38" t="s">
        <v>106</v>
      </c>
      <c r="G17057" s="49" t="str">
        <f t="shared" si="1"/>
        <v>58420</v>
      </c>
      <c r="H17057" s="49">
        <f t="shared" si="2"/>
        <v>58026</v>
      </c>
    </row>
    <row r="17058">
      <c r="A17058" s="48" t="s">
        <v>6694</v>
      </c>
      <c r="B17058" s="38">
        <v>16246.0</v>
      </c>
      <c r="C17058" s="38" t="s">
        <v>21461</v>
      </c>
      <c r="D17058" s="38" t="str">
        <f>IFERROR(__xludf.DUMMYFUNCTION("REGEXREPLACE(C17058,""-\d+(.*)|--\d+(.*)"","""")"),"NONAC")</f>
        <v>NONAC</v>
      </c>
      <c r="E17058" s="38" t="s">
        <v>429</v>
      </c>
      <c r="F17058" s="38" t="s">
        <v>338</v>
      </c>
      <c r="G17058" s="49" t="str">
        <f t="shared" si="1"/>
        <v>16190</v>
      </c>
      <c r="H17058" s="49">
        <f t="shared" si="2"/>
        <v>16246</v>
      </c>
    </row>
    <row r="17059">
      <c r="A17059" s="48" t="s">
        <v>21462</v>
      </c>
      <c r="B17059" s="38">
        <v>95607.0</v>
      </c>
      <c r="C17059" s="38" t="s">
        <v>21463</v>
      </c>
      <c r="D17059" s="38" t="str">
        <f>IFERROR(__xludf.DUMMYFUNCTION("REGEXREPLACE(C17059,""-\d+(.*)|--\d+(.*)"","""")"),"TAVERNY")</f>
        <v>TAVERNY</v>
      </c>
      <c r="E17059" s="38" t="s">
        <v>541</v>
      </c>
      <c r="F17059" s="38" t="s">
        <v>245</v>
      </c>
      <c r="G17059" s="49" t="str">
        <f t="shared" si="1"/>
        <v>95150</v>
      </c>
      <c r="H17059" s="49">
        <f t="shared" si="2"/>
        <v>95607</v>
      </c>
    </row>
    <row r="17060">
      <c r="A17060" s="48" t="s">
        <v>683</v>
      </c>
      <c r="B17060" s="38">
        <v>64287.0</v>
      </c>
      <c r="C17060" s="38" t="s">
        <v>9130</v>
      </c>
      <c r="D17060" s="38" t="str">
        <f>IFERROR(__xludf.DUMMYFUNCTION("REGEXREPLACE(C17060,""-\d+(.*)|--\d+(.*)"","""")"),"LAAS")</f>
        <v>LAAS</v>
      </c>
      <c r="E17060" s="38" t="s">
        <v>268</v>
      </c>
      <c r="F17060" s="38" t="s">
        <v>252</v>
      </c>
      <c r="G17060" s="49" t="str">
        <f t="shared" si="1"/>
        <v>64390</v>
      </c>
      <c r="H17060" s="49">
        <f t="shared" si="2"/>
        <v>64287</v>
      </c>
    </row>
    <row r="17061">
      <c r="A17061" s="48" t="s">
        <v>1389</v>
      </c>
      <c r="B17061" s="38">
        <v>5068.0</v>
      </c>
      <c r="C17061" s="38" t="s">
        <v>21464</v>
      </c>
      <c r="D17061" s="38" t="str">
        <f>IFERROR(__xludf.DUMMYFUNCTION("REGEXREPLACE(C17061,""-\d+(.*)|--\d+(.*)"","""")"),"JARJAYES")</f>
        <v>JARJAYES</v>
      </c>
      <c r="E17061" s="38" t="s">
        <v>706</v>
      </c>
      <c r="F17061" s="38" t="s">
        <v>228</v>
      </c>
      <c r="G17061" s="49" t="str">
        <f t="shared" si="1"/>
        <v>05130</v>
      </c>
      <c r="H17061" s="49" t="str">
        <f t="shared" si="2"/>
        <v>05068</v>
      </c>
    </row>
    <row r="17062">
      <c r="A17062" s="48" t="s">
        <v>6566</v>
      </c>
      <c r="B17062" s="38">
        <v>49076.0</v>
      </c>
      <c r="C17062" s="38" t="s">
        <v>21465</v>
      </c>
      <c r="D17062" s="38" t="str">
        <f>IFERROR(__xludf.DUMMYFUNCTION("REGEXREPLACE(C17062,""-\d+(.*)|--\d+(.*)"","""")"),"LA CHAPELLE-SAINT-LAUD")</f>
        <v>LA CHAPELLE-SAINT-LAUD</v>
      </c>
      <c r="E17062" s="38" t="s">
        <v>653</v>
      </c>
      <c r="F17062" s="38" t="s">
        <v>180</v>
      </c>
      <c r="G17062" s="49" t="str">
        <f t="shared" si="1"/>
        <v>49140</v>
      </c>
      <c r="H17062" s="49">
        <f t="shared" si="2"/>
        <v>49076</v>
      </c>
    </row>
    <row r="17063">
      <c r="A17063" s="48" t="s">
        <v>8453</v>
      </c>
      <c r="B17063" s="38">
        <v>8016.0</v>
      </c>
      <c r="C17063" s="38" t="s">
        <v>21466</v>
      </c>
      <c r="D17063" s="38" t="str">
        <f>IFERROR(__xludf.DUMMYFUNCTION("REGEXREPLACE(C17063,""-\d+(.*)|--\d+(.*)"","""")"),"AOUSTE")</f>
        <v>AOUSTE</v>
      </c>
      <c r="E17063" s="38" t="s">
        <v>327</v>
      </c>
      <c r="F17063" s="38" t="s">
        <v>130</v>
      </c>
      <c r="G17063" s="49" t="str">
        <f t="shared" si="1"/>
        <v>08290</v>
      </c>
      <c r="H17063" s="49" t="str">
        <f t="shared" si="2"/>
        <v>08016</v>
      </c>
    </row>
    <row r="17064">
      <c r="A17064" s="48" t="s">
        <v>4088</v>
      </c>
      <c r="B17064" s="38">
        <v>39201.0</v>
      </c>
      <c r="C17064" s="38" t="s">
        <v>21467</v>
      </c>
      <c r="D17064" s="38" t="str">
        <f>IFERROR(__xludf.DUMMYFUNCTION("REGEXREPLACE(C17064,""-\d+(.*)|--\d+(.*)"","""")"),"DOUCIER")</f>
        <v>DOUCIER</v>
      </c>
      <c r="E17064" s="38" t="s">
        <v>400</v>
      </c>
      <c r="F17064" s="38" t="s">
        <v>214</v>
      </c>
      <c r="G17064" s="49" t="str">
        <f t="shared" si="1"/>
        <v>39130</v>
      </c>
      <c r="H17064" s="49">
        <f t="shared" si="2"/>
        <v>39201</v>
      </c>
    </row>
    <row r="17065">
      <c r="A17065" s="48" t="s">
        <v>1579</v>
      </c>
      <c r="B17065" s="38">
        <v>63363.0</v>
      </c>
      <c r="C17065" s="38" t="s">
        <v>21468</v>
      </c>
      <c r="D17065" s="38" t="str">
        <f>IFERROR(__xludf.DUMMYFUNCTION("REGEXREPLACE(C17065,""-\d+(.*)|--\d+(.*)"","""")"),"SAINT-JACQUES-D'AMBUR")</f>
        <v>SAINT-JACQUES-D'AMBUR</v>
      </c>
      <c r="E17065" s="38" t="s">
        <v>353</v>
      </c>
      <c r="F17065" s="38" t="s">
        <v>161</v>
      </c>
      <c r="G17065" s="49" t="str">
        <f t="shared" si="1"/>
        <v>63230</v>
      </c>
      <c r="H17065" s="49">
        <f t="shared" si="2"/>
        <v>63363</v>
      </c>
    </row>
    <row r="17066">
      <c r="A17066" s="48" t="s">
        <v>4332</v>
      </c>
      <c r="B17066" s="38">
        <v>24487.0</v>
      </c>
      <c r="C17066" s="38" t="s">
        <v>21469</v>
      </c>
      <c r="D17066" s="38" t="str">
        <f>IFERROR(__xludf.DUMMYFUNCTION("REGEXREPLACE(C17066,""-\d+(.*)|--\d+(.*)"","""")"),"SAINT-PIERRE-D'EYRAUD")</f>
        <v>SAINT-PIERRE-D'EYRAUD</v>
      </c>
      <c r="E17066" s="38" t="s">
        <v>261</v>
      </c>
      <c r="F17066" s="38" t="s">
        <v>252</v>
      </c>
      <c r="G17066" s="49" t="str">
        <f t="shared" si="1"/>
        <v>24130</v>
      </c>
      <c r="H17066" s="49">
        <f t="shared" si="2"/>
        <v>24487</v>
      </c>
    </row>
    <row r="17067">
      <c r="A17067" s="48" t="s">
        <v>2681</v>
      </c>
      <c r="B17067" s="38">
        <v>67208.0</v>
      </c>
      <c r="C17067" s="38" t="s">
        <v>21470</v>
      </c>
      <c r="D17067" s="38" t="str">
        <f>IFERROR(__xludf.DUMMYFUNCTION("REGEXREPLACE(C17067,""-\d+(.*)|--\d+(.*)"","""")"),"HOHENGOEFT")</f>
        <v>HOHENGOEFT</v>
      </c>
      <c r="E17067" s="38" t="s">
        <v>210</v>
      </c>
      <c r="F17067" s="38" t="s">
        <v>151</v>
      </c>
      <c r="G17067" s="49" t="str">
        <f t="shared" si="1"/>
        <v>67310</v>
      </c>
      <c r="H17067" s="49">
        <f t="shared" si="2"/>
        <v>67208</v>
      </c>
    </row>
    <row r="17068">
      <c r="A17068" s="48" t="s">
        <v>9004</v>
      </c>
      <c r="B17068" s="38">
        <v>48157.0</v>
      </c>
      <c r="C17068" s="38" t="s">
        <v>14695</v>
      </c>
      <c r="D17068" s="38" t="str">
        <f>IFERROR(__xludf.DUMMYFUNCTION("REGEXREPLACE(C17068,""-\d+(.*)|--\d+(.*)"","""")"),"SAINTE-HELENE")</f>
        <v>SAINTE-HELENE</v>
      </c>
      <c r="E17068" s="38" t="s">
        <v>154</v>
      </c>
      <c r="F17068" s="38" t="s">
        <v>119</v>
      </c>
      <c r="G17068" s="49" t="str">
        <f t="shared" si="1"/>
        <v>48190</v>
      </c>
      <c r="H17068" s="49">
        <f t="shared" si="2"/>
        <v>48157</v>
      </c>
    </row>
    <row r="17069">
      <c r="A17069" s="48" t="s">
        <v>6785</v>
      </c>
      <c r="B17069" s="38">
        <v>27255.0</v>
      </c>
      <c r="C17069" s="38" t="s">
        <v>21471</v>
      </c>
      <c r="D17069" s="38" t="str">
        <f>IFERROR(__xludf.DUMMYFUNCTION("REGEXREPLACE(C17069,""-\d+(.*)|--\d+(.*)"","""")"),"FONTENAY")</f>
        <v>FONTENAY</v>
      </c>
      <c r="E17069" s="38" t="s">
        <v>241</v>
      </c>
      <c r="F17069" s="38" t="s">
        <v>134</v>
      </c>
      <c r="G17069" s="49" t="str">
        <f t="shared" si="1"/>
        <v>27510</v>
      </c>
      <c r="H17069" s="49">
        <f t="shared" si="2"/>
        <v>27255</v>
      </c>
    </row>
    <row r="17070">
      <c r="A17070" s="48" t="s">
        <v>1031</v>
      </c>
      <c r="B17070" s="38">
        <v>2157.0</v>
      </c>
      <c r="C17070" s="38" t="s">
        <v>21472</v>
      </c>
      <c r="D17070" s="38" t="str">
        <f>IFERROR(__xludf.DUMMYFUNCTION("REGEXREPLACE(C17070,""-\d+(.*)|--\d+(.*)"","""")"),"CHAMBRY")</f>
        <v>CHAMBRY</v>
      </c>
      <c r="E17070" s="38" t="s">
        <v>191</v>
      </c>
      <c r="F17070" s="38" t="s">
        <v>113</v>
      </c>
      <c r="G17070" s="49" t="str">
        <f t="shared" si="1"/>
        <v>02000</v>
      </c>
      <c r="H17070" s="49" t="str">
        <f t="shared" si="2"/>
        <v>02157</v>
      </c>
    </row>
    <row r="17071">
      <c r="A17071" s="48" t="s">
        <v>15098</v>
      </c>
      <c r="B17071" s="38">
        <v>63094.0</v>
      </c>
      <c r="C17071" s="38" t="s">
        <v>21473</v>
      </c>
      <c r="D17071" s="38" t="str">
        <f>IFERROR(__xludf.DUMMYFUNCTION("REGEXREPLACE(C17071,""-\d+(.*)|--\d+(.*)"","""")"),"CHARENSAT")</f>
        <v>CHARENSAT</v>
      </c>
      <c r="E17071" s="38" t="s">
        <v>353</v>
      </c>
      <c r="F17071" s="38" t="s">
        <v>161</v>
      </c>
      <c r="G17071" s="49" t="str">
        <f t="shared" si="1"/>
        <v>63640</v>
      </c>
      <c r="H17071" s="49">
        <f t="shared" si="2"/>
        <v>63094</v>
      </c>
    </row>
    <row r="17072">
      <c r="A17072" s="48" t="s">
        <v>656</v>
      </c>
      <c r="B17072" s="38">
        <v>61359.0</v>
      </c>
      <c r="C17072" s="38" t="s">
        <v>21474</v>
      </c>
      <c r="D17072" s="38" t="str">
        <f>IFERROR(__xludf.DUMMYFUNCTION("REGEXREPLACE(C17072,""-\d+(.*)|--\d+(.*)"","""")"),"SAINT-AGNAN-SUR-ERRE")</f>
        <v>SAINT-AGNAN-SUR-ERRE</v>
      </c>
      <c r="E17072" s="38" t="s">
        <v>141</v>
      </c>
      <c r="F17072" s="38" t="s">
        <v>138</v>
      </c>
      <c r="G17072" s="49" t="str">
        <f t="shared" si="1"/>
        <v>61340</v>
      </c>
      <c r="H17072" s="49">
        <f t="shared" si="2"/>
        <v>61359</v>
      </c>
    </row>
    <row r="17073">
      <c r="A17073" s="48" t="s">
        <v>591</v>
      </c>
      <c r="B17073" s="38">
        <v>85148.0</v>
      </c>
      <c r="C17073" s="38" t="s">
        <v>2054</v>
      </c>
      <c r="D17073" s="38" t="str">
        <f>IFERROR(__xludf.DUMMYFUNCTION("REGEXREPLACE(C17073,""-\d+(.*)|--\d+(.*)"","""")"),"MONTREUIL")</f>
        <v>MONTREUIL</v>
      </c>
      <c r="E17073" s="38" t="s">
        <v>179</v>
      </c>
      <c r="F17073" s="38" t="s">
        <v>180</v>
      </c>
      <c r="G17073" s="49" t="str">
        <f t="shared" si="1"/>
        <v>85200</v>
      </c>
      <c r="H17073" s="49">
        <f t="shared" si="2"/>
        <v>85148</v>
      </c>
    </row>
    <row r="17074">
      <c r="A17074" s="48" t="s">
        <v>9028</v>
      </c>
      <c r="B17074" s="38">
        <v>65151.0</v>
      </c>
      <c r="C17074" s="38" t="s">
        <v>21475</v>
      </c>
      <c r="D17074" s="38" t="str">
        <f>IFERROR(__xludf.DUMMYFUNCTION("REGEXREPLACE(C17074,""-\d+(.*)|--\d+(.*)"","""")"),"COLLONGUES")</f>
        <v>COLLONGUES</v>
      </c>
      <c r="E17074" s="38" t="s">
        <v>200</v>
      </c>
      <c r="F17074" s="38" t="s">
        <v>94</v>
      </c>
      <c r="G17074" s="49" t="str">
        <f t="shared" si="1"/>
        <v>65350</v>
      </c>
      <c r="H17074" s="49">
        <f t="shared" si="2"/>
        <v>65151</v>
      </c>
    </row>
    <row r="17075">
      <c r="A17075" s="48" t="s">
        <v>3932</v>
      </c>
      <c r="B17075" s="38">
        <v>61298.0</v>
      </c>
      <c r="C17075" s="38" t="s">
        <v>21476</v>
      </c>
      <c r="D17075" s="38" t="str">
        <f>IFERROR(__xludf.DUMMYFUNCTION("REGEXREPLACE(C17075,""-\d+(.*)|--\d+(.*)"","""")"),"MOULINS-SUR-ORNE")</f>
        <v>MOULINS-SUR-ORNE</v>
      </c>
      <c r="E17075" s="38" t="s">
        <v>141</v>
      </c>
      <c r="F17075" s="38" t="s">
        <v>138</v>
      </c>
      <c r="G17075" s="49" t="str">
        <f t="shared" si="1"/>
        <v>61200</v>
      </c>
      <c r="H17075" s="49">
        <f t="shared" si="2"/>
        <v>61298</v>
      </c>
    </row>
    <row r="17076">
      <c r="A17076" s="48" t="s">
        <v>6736</v>
      </c>
      <c r="B17076" s="38">
        <v>31057.0</v>
      </c>
      <c r="C17076" s="38" t="s">
        <v>21477</v>
      </c>
      <c r="D17076" s="38" t="str">
        <f>IFERROR(__xludf.DUMMYFUNCTION("REGEXREPLACE(C17076,""-\d+(.*)|--\d+(.*)"","""")"),"BELBERAUD")</f>
        <v>BELBERAUD</v>
      </c>
      <c r="E17076" s="38" t="s">
        <v>93</v>
      </c>
      <c r="F17076" s="38" t="s">
        <v>94</v>
      </c>
      <c r="G17076" s="49" t="str">
        <f t="shared" si="1"/>
        <v>31450</v>
      </c>
      <c r="H17076" s="49">
        <f t="shared" si="2"/>
        <v>31057</v>
      </c>
    </row>
    <row r="17077">
      <c r="A17077" s="48" t="s">
        <v>748</v>
      </c>
      <c r="B17077" s="38">
        <v>60392.0</v>
      </c>
      <c r="C17077" s="38" t="s">
        <v>21478</v>
      </c>
      <c r="D17077" s="38" t="str">
        <f>IFERROR(__xludf.DUMMYFUNCTION("REGEXREPLACE(C17077,""-\d+(.*)|--\d+(.*)"","""")"),"MELICOCQ")</f>
        <v>MELICOCQ</v>
      </c>
      <c r="E17077" s="38" t="s">
        <v>112</v>
      </c>
      <c r="F17077" s="38" t="s">
        <v>113</v>
      </c>
      <c r="G17077" s="49" t="str">
        <f t="shared" si="1"/>
        <v>60150</v>
      </c>
      <c r="H17077" s="49">
        <f t="shared" si="2"/>
        <v>60392</v>
      </c>
    </row>
    <row r="17078">
      <c r="A17078" s="48" t="s">
        <v>19732</v>
      </c>
      <c r="B17078" s="38">
        <v>16287.0</v>
      </c>
      <c r="C17078" s="38" t="s">
        <v>21479</v>
      </c>
      <c r="D17078" s="38" t="str">
        <f>IFERROR(__xludf.DUMMYFUNCTION("REGEXREPLACE(C17078,""-\d+(.*)|--\d+(.*)"","""")"),"ROULLET-SAINT-ESTEPHE")</f>
        <v>ROULLET-SAINT-ESTEPHE</v>
      </c>
      <c r="E17078" s="38" t="s">
        <v>429</v>
      </c>
      <c r="F17078" s="38" t="s">
        <v>338</v>
      </c>
      <c r="G17078" s="49" t="str">
        <f t="shared" si="1"/>
        <v>16440</v>
      </c>
      <c r="H17078" s="49">
        <f t="shared" si="2"/>
        <v>16287</v>
      </c>
    </row>
    <row r="17079">
      <c r="A17079" s="48" t="s">
        <v>2332</v>
      </c>
      <c r="B17079" s="38">
        <v>81011.0</v>
      </c>
      <c r="C17079" s="38" t="s">
        <v>21480</v>
      </c>
      <c r="D17079" s="38" t="str">
        <f>IFERROR(__xludf.DUMMYFUNCTION("REGEXREPLACE(C17079,""-\d+(.*)|--\d+(.*)"","""")"),"AMBRES")</f>
        <v>AMBRES</v>
      </c>
      <c r="E17079" s="38" t="s">
        <v>231</v>
      </c>
      <c r="F17079" s="38" t="s">
        <v>94</v>
      </c>
      <c r="G17079" s="49" t="str">
        <f t="shared" si="1"/>
        <v>81500</v>
      </c>
      <c r="H17079" s="49">
        <f t="shared" si="2"/>
        <v>81011</v>
      </c>
    </row>
    <row r="17080">
      <c r="A17080" s="48" t="s">
        <v>4805</v>
      </c>
      <c r="B17080" s="38">
        <v>31430.0</v>
      </c>
      <c r="C17080" s="38" t="s">
        <v>21481</v>
      </c>
      <c r="D17080" s="38" t="str">
        <f>IFERROR(__xludf.DUMMYFUNCTION("REGEXREPLACE(C17080,""-\d+(.*)|--\d+(.*)"","""")"),"PONLAT-TAILLEBOURG")</f>
        <v>PONLAT-TAILLEBOURG</v>
      </c>
      <c r="E17080" s="38" t="s">
        <v>93</v>
      </c>
      <c r="F17080" s="38" t="s">
        <v>94</v>
      </c>
      <c r="G17080" s="49" t="str">
        <f t="shared" si="1"/>
        <v>31210</v>
      </c>
      <c r="H17080" s="49">
        <f t="shared" si="2"/>
        <v>31430</v>
      </c>
    </row>
    <row r="17081">
      <c r="A17081" s="48" t="s">
        <v>9376</v>
      </c>
      <c r="B17081" s="38">
        <v>14259.0</v>
      </c>
      <c r="C17081" s="38" t="s">
        <v>21482</v>
      </c>
      <c r="D17081" s="38" t="str">
        <f>IFERROR(__xludf.DUMMYFUNCTION("REGEXREPLACE(C17081,""-\d+(.*)|--\d+(.*)"","""")"),"FAMILLY")</f>
        <v>FAMILLY</v>
      </c>
      <c r="E17081" s="38" t="s">
        <v>137</v>
      </c>
      <c r="F17081" s="38" t="s">
        <v>138</v>
      </c>
      <c r="G17081" s="49" t="str">
        <f t="shared" si="1"/>
        <v>14290</v>
      </c>
      <c r="H17081" s="49">
        <f t="shared" si="2"/>
        <v>14259</v>
      </c>
    </row>
    <row r="17082">
      <c r="A17082" s="48" t="s">
        <v>4886</v>
      </c>
      <c r="B17082" s="38">
        <v>3171.0</v>
      </c>
      <c r="C17082" s="38" t="s">
        <v>21483</v>
      </c>
      <c r="D17082" s="38" t="str">
        <f>IFERROR(__xludf.DUMMYFUNCTION("REGEXREPLACE(C17082,""-\d+(.*)|--\d+(.*)"","""")"),"MERCY")</f>
        <v>MERCY</v>
      </c>
      <c r="E17082" s="38" t="s">
        <v>160</v>
      </c>
      <c r="F17082" s="38" t="s">
        <v>161</v>
      </c>
      <c r="G17082" s="49" t="str">
        <f t="shared" si="1"/>
        <v>03340</v>
      </c>
      <c r="H17082" s="49" t="str">
        <f t="shared" si="2"/>
        <v>03171</v>
      </c>
    </row>
    <row r="17083">
      <c r="A17083" s="48" t="s">
        <v>21484</v>
      </c>
      <c r="B17083" s="38">
        <v>31066.0</v>
      </c>
      <c r="C17083" s="38" t="s">
        <v>21485</v>
      </c>
      <c r="D17083" s="38" t="str">
        <f>IFERROR(__xludf.DUMMYFUNCTION("REGEXREPLACE(C17083,""-\d+(.*)|--\d+(.*)"","""")"),"BESSIERES")</f>
        <v>BESSIERES</v>
      </c>
      <c r="E17083" s="38" t="s">
        <v>93</v>
      </c>
      <c r="F17083" s="38" t="s">
        <v>94</v>
      </c>
      <c r="G17083" s="49" t="str">
        <f t="shared" si="1"/>
        <v>31660</v>
      </c>
      <c r="H17083" s="49">
        <f t="shared" si="2"/>
        <v>31066</v>
      </c>
    </row>
    <row r="17084">
      <c r="A17084" s="48" t="s">
        <v>1641</v>
      </c>
      <c r="B17084" s="38">
        <v>18155.0</v>
      </c>
      <c r="C17084" s="38" t="s">
        <v>21486</v>
      </c>
      <c r="D17084" s="38" t="str">
        <f>IFERROR(__xludf.DUMMYFUNCTION("REGEXREPLACE(C17084,""-\d+(.*)|--\d+(.*)"","""")"),"MORNAY-SUR-ALLIER")</f>
        <v>MORNAY-SUR-ALLIER</v>
      </c>
      <c r="E17084" s="38" t="s">
        <v>504</v>
      </c>
      <c r="F17084" s="38" t="s">
        <v>123</v>
      </c>
      <c r="G17084" s="49" t="str">
        <f t="shared" si="1"/>
        <v>18600</v>
      </c>
      <c r="H17084" s="49">
        <f t="shared" si="2"/>
        <v>18155</v>
      </c>
    </row>
    <row r="17085">
      <c r="A17085" s="48" t="s">
        <v>5661</v>
      </c>
      <c r="B17085" s="38">
        <v>63148.0</v>
      </c>
      <c r="C17085" s="38" t="s">
        <v>21487</v>
      </c>
      <c r="D17085" s="38" t="str">
        <f>IFERROR(__xludf.DUMMYFUNCTION("REGEXREPLACE(C17085,""-\d+(.*)|--\d+(.*)"","""")"),"ENNEZAT")</f>
        <v>ENNEZAT</v>
      </c>
      <c r="E17085" s="38" t="s">
        <v>353</v>
      </c>
      <c r="F17085" s="38" t="s">
        <v>161</v>
      </c>
      <c r="G17085" s="49" t="str">
        <f t="shared" si="1"/>
        <v>63720</v>
      </c>
      <c r="H17085" s="49">
        <f t="shared" si="2"/>
        <v>63148</v>
      </c>
    </row>
    <row r="17086">
      <c r="A17086" s="48" t="s">
        <v>1077</v>
      </c>
      <c r="B17086" s="38">
        <v>25140.0</v>
      </c>
      <c r="C17086" s="38" t="s">
        <v>21488</v>
      </c>
      <c r="D17086" s="38" t="str">
        <f>IFERROR(__xludf.DUMMYFUNCTION("REGEXREPLACE(C17086,""-\d+(.*)|--\d+(.*)"","""")"),"CHAUX-LES-CLERVAL")</f>
        <v>CHAUX-LES-CLERVAL</v>
      </c>
      <c r="E17086" s="38" t="s">
        <v>213</v>
      </c>
      <c r="F17086" s="38" t="s">
        <v>214</v>
      </c>
      <c r="G17086" s="49" t="str">
        <f t="shared" si="1"/>
        <v>25340</v>
      </c>
      <c r="H17086" s="49">
        <f t="shared" si="2"/>
        <v>25140</v>
      </c>
    </row>
    <row r="17087">
      <c r="A17087" s="48" t="s">
        <v>5235</v>
      </c>
      <c r="B17087" s="38">
        <v>61193.0</v>
      </c>
      <c r="C17087" s="38" t="s">
        <v>21489</v>
      </c>
      <c r="D17087" s="38" t="str">
        <f>IFERROR(__xludf.DUMMYFUNCTION("REGEXREPLACE(C17087,""-\d+(.*)|--\d+(.*)"","""")"),"LA GONFRIERE")</f>
        <v>LA GONFRIERE</v>
      </c>
      <c r="E17087" s="38" t="s">
        <v>141</v>
      </c>
      <c r="F17087" s="38" t="s">
        <v>138</v>
      </c>
      <c r="G17087" s="49" t="str">
        <f t="shared" si="1"/>
        <v>61550</v>
      </c>
      <c r="H17087" s="49">
        <f t="shared" si="2"/>
        <v>61193</v>
      </c>
    </row>
    <row r="17088">
      <c r="A17088" s="48" t="s">
        <v>2817</v>
      </c>
      <c r="B17088" s="38">
        <v>64444.0</v>
      </c>
      <c r="C17088" s="38" t="s">
        <v>21490</v>
      </c>
      <c r="D17088" s="38" t="str">
        <f>IFERROR(__xludf.DUMMYFUNCTION("REGEXREPLACE(C17088,""-\d+(.*)|--\d+(.*)"","""")"),"PARDIES-PIETAT")</f>
        <v>PARDIES-PIETAT</v>
      </c>
      <c r="E17088" s="38" t="s">
        <v>268</v>
      </c>
      <c r="F17088" s="38" t="s">
        <v>252</v>
      </c>
      <c r="G17088" s="49" t="str">
        <f t="shared" si="1"/>
        <v>64800</v>
      </c>
      <c r="H17088" s="49">
        <f t="shared" si="2"/>
        <v>64444</v>
      </c>
    </row>
    <row r="17089">
      <c r="A17089" s="48" t="s">
        <v>2156</v>
      </c>
      <c r="B17089" s="38">
        <v>26269.0</v>
      </c>
      <c r="C17089" s="38" t="s">
        <v>21491</v>
      </c>
      <c r="D17089" s="38" t="str">
        <f>IFERROR(__xludf.DUMMYFUNCTION("REGEXREPLACE(C17089,""-\d+(.*)|--\d+(.*)"","""")"),"ROCHEBRUNE")</f>
        <v>ROCHEBRUNE</v>
      </c>
      <c r="E17089" s="38" t="s">
        <v>126</v>
      </c>
      <c r="F17089" s="38" t="s">
        <v>102</v>
      </c>
      <c r="G17089" s="49" t="str">
        <f t="shared" si="1"/>
        <v>26110</v>
      </c>
      <c r="H17089" s="49">
        <f t="shared" si="2"/>
        <v>26269</v>
      </c>
    </row>
    <row r="17090">
      <c r="A17090" s="48" t="s">
        <v>2130</v>
      </c>
      <c r="B17090" s="38">
        <v>62903.0</v>
      </c>
      <c r="C17090" s="38" t="s">
        <v>21492</v>
      </c>
      <c r="D17090" s="38" t="str">
        <f>IFERROR(__xludf.DUMMYFUNCTION("REGEXREPLACE(C17090,""-\d+(.*)|--\d+(.*)"","""")"),"ZOTEUX")</f>
        <v>ZOTEUX</v>
      </c>
      <c r="E17090" s="38" t="s">
        <v>109</v>
      </c>
      <c r="F17090" s="38" t="s">
        <v>86</v>
      </c>
      <c r="G17090" s="49" t="str">
        <f t="shared" si="1"/>
        <v>62650</v>
      </c>
      <c r="H17090" s="49">
        <f t="shared" si="2"/>
        <v>62903</v>
      </c>
    </row>
    <row r="17091">
      <c r="A17091" s="48" t="s">
        <v>10433</v>
      </c>
      <c r="B17091" s="38">
        <v>46261.0</v>
      </c>
      <c r="C17091" s="38" t="s">
        <v>1715</v>
      </c>
      <c r="D17091" s="38" t="str">
        <f>IFERROR(__xludf.DUMMYFUNCTION("REGEXREPLACE(C17091,""-\d+(.*)|--\d+(.*)"","""")"),"SAINTE-CROIX")</f>
        <v>SAINTE-CROIX</v>
      </c>
      <c r="E17091" s="38" t="s">
        <v>185</v>
      </c>
      <c r="F17091" s="38" t="s">
        <v>94</v>
      </c>
      <c r="G17091" s="49" t="str">
        <f t="shared" si="1"/>
        <v>46800</v>
      </c>
      <c r="H17091" s="49">
        <f t="shared" si="2"/>
        <v>46261</v>
      </c>
    </row>
    <row r="17092">
      <c r="A17092" s="48" t="s">
        <v>1883</v>
      </c>
      <c r="B17092" s="38">
        <v>39008.0</v>
      </c>
      <c r="C17092" s="38" t="s">
        <v>21493</v>
      </c>
      <c r="D17092" s="38" t="str">
        <f>IFERROR(__xludf.DUMMYFUNCTION("REGEXREPLACE(C17092,""-\d+(.*)|--\d+(.*)"","""")"),"AMANGE")</f>
        <v>AMANGE</v>
      </c>
      <c r="E17092" s="38" t="s">
        <v>400</v>
      </c>
      <c r="F17092" s="38" t="s">
        <v>214</v>
      </c>
      <c r="G17092" s="49" t="str">
        <f t="shared" si="1"/>
        <v>39700</v>
      </c>
      <c r="H17092" s="49">
        <f t="shared" si="2"/>
        <v>39008</v>
      </c>
    </row>
    <row r="17093">
      <c r="A17093" s="48" t="s">
        <v>2316</v>
      </c>
      <c r="B17093" s="38">
        <v>25032.0</v>
      </c>
      <c r="C17093" s="38" t="s">
        <v>21494</v>
      </c>
      <c r="D17093" s="38" t="str">
        <f>IFERROR(__xludf.DUMMYFUNCTION("REGEXREPLACE(C17093,""-\d+(.*)|--\d+(.*)"","""")"),"AUTECHAUX")</f>
        <v>AUTECHAUX</v>
      </c>
      <c r="E17093" s="38" t="s">
        <v>213</v>
      </c>
      <c r="F17093" s="38" t="s">
        <v>214</v>
      </c>
      <c r="G17093" s="49" t="str">
        <f t="shared" si="1"/>
        <v>25110</v>
      </c>
      <c r="H17093" s="49">
        <f t="shared" si="2"/>
        <v>25032</v>
      </c>
    </row>
    <row r="17094">
      <c r="A17094" s="48" t="s">
        <v>4676</v>
      </c>
      <c r="B17094" s="38">
        <v>48031.0</v>
      </c>
      <c r="C17094" s="38" t="s">
        <v>17120</v>
      </c>
      <c r="D17094" s="38" t="str">
        <f>IFERROR(__xludf.DUMMYFUNCTION("REGEXREPLACE(C17094,""-\d+(.*)|--\d+(.*)"","""")"),"BRION")</f>
        <v>BRION</v>
      </c>
      <c r="E17094" s="38" t="s">
        <v>154</v>
      </c>
      <c r="F17094" s="38" t="s">
        <v>119</v>
      </c>
      <c r="G17094" s="49" t="str">
        <f t="shared" si="1"/>
        <v>48310</v>
      </c>
      <c r="H17094" s="49">
        <f t="shared" si="2"/>
        <v>48031</v>
      </c>
    </row>
    <row r="17095">
      <c r="A17095" s="48" t="s">
        <v>7895</v>
      </c>
      <c r="B17095" s="38">
        <v>57680.0</v>
      </c>
      <c r="C17095" s="38" t="s">
        <v>21495</v>
      </c>
      <c r="D17095" s="38" t="str">
        <f>IFERROR(__xludf.DUMMYFUNCTION("REGEXREPLACE(C17095,""-\d+(.*)|--\d+(.*)"","""")"),"TROISFONTAINES")</f>
        <v>TROISFONTAINES</v>
      </c>
      <c r="E17095" s="38" t="s">
        <v>303</v>
      </c>
      <c r="F17095" s="38" t="s">
        <v>195</v>
      </c>
      <c r="G17095" s="49" t="str">
        <f t="shared" si="1"/>
        <v>57870</v>
      </c>
      <c r="H17095" s="49">
        <f t="shared" si="2"/>
        <v>57680</v>
      </c>
    </row>
    <row r="17096">
      <c r="A17096" s="48" t="s">
        <v>667</v>
      </c>
      <c r="B17096" s="38">
        <v>64155.0</v>
      </c>
      <c r="C17096" s="38" t="s">
        <v>21496</v>
      </c>
      <c r="D17096" s="38" t="str">
        <f>IFERROR(__xludf.DUMMYFUNCTION("REGEXREPLACE(C17096,""-\d+(.*)|--\d+(.*)"","""")"),"BUSTINCE-IRIBERRY")</f>
        <v>BUSTINCE-IRIBERRY</v>
      </c>
      <c r="E17096" s="38" t="s">
        <v>268</v>
      </c>
      <c r="F17096" s="38" t="s">
        <v>252</v>
      </c>
      <c r="G17096" s="49" t="str">
        <f t="shared" si="1"/>
        <v>64220</v>
      </c>
      <c r="H17096" s="49">
        <f t="shared" si="2"/>
        <v>64155</v>
      </c>
    </row>
    <row r="17097">
      <c r="A17097" s="48" t="s">
        <v>1632</v>
      </c>
      <c r="B17097" s="38">
        <v>63255.0</v>
      </c>
      <c r="C17097" s="38" t="s">
        <v>21497</v>
      </c>
      <c r="D17097" s="38" t="str">
        <f>IFERROR(__xludf.DUMMYFUNCTION("REGEXREPLACE(C17097,""-\d+(.*)|--\d+(.*)"","""")"),"NONETTE")</f>
        <v>NONETTE</v>
      </c>
      <c r="E17097" s="38" t="s">
        <v>353</v>
      </c>
      <c r="F17097" s="38" t="s">
        <v>161</v>
      </c>
      <c r="G17097" s="49" t="str">
        <f t="shared" si="1"/>
        <v>63340</v>
      </c>
      <c r="H17097" s="49">
        <f t="shared" si="2"/>
        <v>63255</v>
      </c>
    </row>
    <row r="17098">
      <c r="A17098" s="48" t="s">
        <v>5779</v>
      </c>
      <c r="B17098" s="38">
        <v>86277.0</v>
      </c>
      <c r="C17098" s="38" t="s">
        <v>13130</v>
      </c>
      <c r="D17098" s="38" t="str">
        <f>IFERROR(__xludf.DUMMYFUNCTION("REGEXREPLACE(C17098,""-\d+(.*)|--\d+(.*)"","""")"),"VARENNES")</f>
        <v>VARENNES</v>
      </c>
      <c r="E17098" s="38" t="s">
        <v>529</v>
      </c>
      <c r="F17098" s="38" t="s">
        <v>338</v>
      </c>
      <c r="G17098" s="49" t="str">
        <f t="shared" si="1"/>
        <v>86110</v>
      </c>
      <c r="H17098" s="49">
        <f t="shared" si="2"/>
        <v>86277</v>
      </c>
    </row>
    <row r="17099">
      <c r="A17099" s="48" t="s">
        <v>1323</v>
      </c>
      <c r="B17099" s="38">
        <v>21675.0</v>
      </c>
      <c r="C17099" s="38" t="s">
        <v>21498</v>
      </c>
      <c r="D17099" s="38" t="str">
        <f>IFERROR(__xludf.DUMMYFUNCTION("REGEXREPLACE(C17099,""-\d+(.*)|--\d+(.*)"","""")"),"VIANGES")</f>
        <v>VIANGES</v>
      </c>
      <c r="E17099" s="38" t="s">
        <v>105</v>
      </c>
      <c r="F17099" s="38" t="s">
        <v>106</v>
      </c>
      <c r="G17099" s="49" t="str">
        <f t="shared" si="1"/>
        <v>21430</v>
      </c>
      <c r="H17099" s="49">
        <f t="shared" si="2"/>
        <v>21675</v>
      </c>
    </row>
    <row r="17100">
      <c r="A17100" s="48" t="s">
        <v>942</v>
      </c>
      <c r="B17100" s="38">
        <v>2610.0</v>
      </c>
      <c r="C17100" s="38" t="s">
        <v>18105</v>
      </c>
      <c r="D17100" s="38" t="str">
        <f>IFERROR(__xludf.DUMMYFUNCTION("REGEXREPLACE(C17100,""-\d+(.*)|--\d+(.*)"","""")"),"POMMIERS")</f>
        <v>POMMIERS</v>
      </c>
      <c r="E17100" s="38" t="s">
        <v>191</v>
      </c>
      <c r="F17100" s="38" t="s">
        <v>113</v>
      </c>
      <c r="G17100" s="49" t="str">
        <f t="shared" si="1"/>
        <v>02200</v>
      </c>
      <c r="H17100" s="49" t="str">
        <f t="shared" si="2"/>
        <v>02610</v>
      </c>
    </row>
    <row r="17101">
      <c r="A17101" s="48" t="s">
        <v>18040</v>
      </c>
      <c r="B17101" s="38">
        <v>68254.0</v>
      </c>
      <c r="C17101" s="38" t="s">
        <v>21499</v>
      </c>
      <c r="D17101" s="38" t="str">
        <f>IFERROR(__xludf.DUMMYFUNCTION("REGEXREPLACE(C17101,""-\d+(.*)|--\d+(.*)"","""")"),"PETIT-LANDAU")</f>
        <v>PETIT-LANDAU</v>
      </c>
      <c r="E17101" s="38" t="s">
        <v>150</v>
      </c>
      <c r="F17101" s="38" t="s">
        <v>151</v>
      </c>
      <c r="G17101" s="49" t="str">
        <f t="shared" si="1"/>
        <v>68490</v>
      </c>
      <c r="H17101" s="49">
        <f t="shared" si="2"/>
        <v>68254</v>
      </c>
    </row>
    <row r="17102">
      <c r="A17102" s="48" t="s">
        <v>674</v>
      </c>
      <c r="B17102" s="38">
        <v>49021.0</v>
      </c>
      <c r="C17102" s="38" t="s">
        <v>21500</v>
      </c>
      <c r="D17102" s="38" t="str">
        <f>IFERROR(__xludf.DUMMYFUNCTION("REGEXREPLACE(C17102,""-\d+(.*)|--\d+(.*)"","""")"),"BEAUFORT-EN-VALLEE")</f>
        <v>BEAUFORT-EN-VALLEE</v>
      </c>
      <c r="E17102" s="38" t="s">
        <v>653</v>
      </c>
      <c r="F17102" s="38" t="s">
        <v>180</v>
      </c>
      <c r="G17102" s="49" t="str">
        <f t="shared" si="1"/>
        <v>49250</v>
      </c>
      <c r="H17102" s="49">
        <f t="shared" si="2"/>
        <v>49021</v>
      </c>
    </row>
    <row r="17103">
      <c r="A17103" s="48" t="s">
        <v>1118</v>
      </c>
      <c r="B17103" s="38">
        <v>50153.0</v>
      </c>
      <c r="C17103" s="38" t="s">
        <v>21501</v>
      </c>
      <c r="D17103" s="38" t="str">
        <f>IFERROR(__xludf.DUMMYFUNCTION("REGEXREPLACE(C17103,""-\d+(.*)|--\d+(.*)"","""")"),"CRETTEVILLE")</f>
        <v>CRETTEVILLE</v>
      </c>
      <c r="E17103" s="38" t="s">
        <v>157</v>
      </c>
      <c r="F17103" s="38" t="s">
        <v>138</v>
      </c>
      <c r="G17103" s="49" t="str">
        <f t="shared" si="1"/>
        <v>50250</v>
      </c>
      <c r="H17103" s="49">
        <f t="shared" si="2"/>
        <v>50153</v>
      </c>
    </row>
    <row r="17104">
      <c r="A17104" s="48" t="s">
        <v>1932</v>
      </c>
      <c r="B17104" s="38">
        <v>70250.0</v>
      </c>
      <c r="C17104" s="38" t="s">
        <v>21502</v>
      </c>
      <c r="D17104" s="38" t="str">
        <f>IFERROR(__xludf.DUMMYFUNCTION("REGEXREPLACE(C17104,""-\d+(.*)|--\d+(.*)"","""")"),"FRANCHEVELLE")</f>
        <v>FRANCHEVELLE</v>
      </c>
      <c r="E17104" s="38" t="s">
        <v>956</v>
      </c>
      <c r="F17104" s="38" t="s">
        <v>214</v>
      </c>
      <c r="G17104" s="49" t="str">
        <f t="shared" si="1"/>
        <v>70200</v>
      </c>
      <c r="H17104" s="49">
        <f t="shared" si="2"/>
        <v>70250</v>
      </c>
    </row>
    <row r="17105">
      <c r="A17105" s="48" t="s">
        <v>6651</v>
      </c>
      <c r="B17105" s="38">
        <v>31392.0</v>
      </c>
      <c r="C17105" s="38" t="s">
        <v>21503</v>
      </c>
      <c r="D17105" s="38" t="str">
        <f>IFERROR(__xludf.DUMMYFUNCTION("REGEXREPLACE(C17105,""-\d+(.*)|--\d+(.*)"","""")"),"MOURVILLES-BASSES")</f>
        <v>MOURVILLES-BASSES</v>
      </c>
      <c r="E17105" s="38" t="s">
        <v>93</v>
      </c>
      <c r="F17105" s="38" t="s">
        <v>94</v>
      </c>
      <c r="G17105" s="49" t="str">
        <f t="shared" si="1"/>
        <v>31460</v>
      </c>
      <c r="H17105" s="49">
        <f t="shared" si="2"/>
        <v>31392</v>
      </c>
    </row>
    <row r="17106">
      <c r="A17106" s="48" t="s">
        <v>1208</v>
      </c>
      <c r="B17106" s="38">
        <v>32108.0</v>
      </c>
      <c r="C17106" s="38" t="s">
        <v>21504</v>
      </c>
      <c r="D17106" s="38" t="str">
        <f>IFERROR(__xludf.DUMMYFUNCTION("REGEXREPLACE(C17106,""-\d+(.*)|--\d+(.*)"","""")"),"CORNEILLAN")</f>
        <v>CORNEILLAN</v>
      </c>
      <c r="E17106" s="38" t="s">
        <v>440</v>
      </c>
      <c r="F17106" s="38" t="s">
        <v>94</v>
      </c>
      <c r="G17106" s="49" t="str">
        <f t="shared" si="1"/>
        <v>32400</v>
      </c>
      <c r="H17106" s="49">
        <f t="shared" si="2"/>
        <v>32108</v>
      </c>
    </row>
    <row r="17107">
      <c r="A17107" s="48" t="s">
        <v>17399</v>
      </c>
      <c r="B17107" s="38">
        <v>41104.0</v>
      </c>
      <c r="C17107" s="38" t="s">
        <v>21505</v>
      </c>
      <c r="D17107" s="38" t="str">
        <f>IFERROR(__xludf.DUMMYFUNCTION("REGEXREPLACE(C17107,""-\d+(.*)|--\d+(.*)"","""")"),"HUISSEAU-SUR-COSSON")</f>
        <v>HUISSEAU-SUR-COSSON</v>
      </c>
      <c r="E17107" s="38" t="s">
        <v>188</v>
      </c>
      <c r="F17107" s="38" t="s">
        <v>123</v>
      </c>
      <c r="G17107" s="49" t="str">
        <f t="shared" si="1"/>
        <v>41350</v>
      </c>
      <c r="H17107" s="49">
        <f t="shared" si="2"/>
        <v>41104</v>
      </c>
    </row>
    <row r="17108">
      <c r="A17108" s="48" t="s">
        <v>15222</v>
      </c>
      <c r="B17108" s="38">
        <v>56077.0</v>
      </c>
      <c r="C17108" s="38" t="s">
        <v>21506</v>
      </c>
      <c r="D17108" s="38" t="str">
        <f>IFERROR(__xludf.DUMMYFUNCTION("REGEXREPLACE(C17108,""-\d+(.*)|--\d+(.*)"","""")"),"LE GUERNO")</f>
        <v>LE GUERNO</v>
      </c>
      <c r="E17108" s="38" t="s">
        <v>173</v>
      </c>
      <c r="F17108" s="38" t="s">
        <v>90</v>
      </c>
      <c r="G17108" s="49" t="str">
        <f t="shared" si="1"/>
        <v>56190</v>
      </c>
      <c r="H17108" s="49">
        <f t="shared" si="2"/>
        <v>56077</v>
      </c>
    </row>
    <row r="17109">
      <c r="A17109" s="48" t="s">
        <v>11926</v>
      </c>
      <c r="B17109" s="38">
        <v>72280.0</v>
      </c>
      <c r="C17109" s="38" t="s">
        <v>12244</v>
      </c>
      <c r="D17109" s="38" t="str">
        <f>IFERROR(__xludf.DUMMYFUNCTION("REGEXREPLACE(C17109,""-\d+(.*)|--\d+(.*)"","""")"),"SAINT-GEORGES-DU-BOIS")</f>
        <v>SAINT-GEORGES-DU-BOIS</v>
      </c>
      <c r="E17109" s="38" t="s">
        <v>521</v>
      </c>
      <c r="F17109" s="38" t="s">
        <v>180</v>
      </c>
      <c r="G17109" s="49" t="str">
        <f t="shared" si="1"/>
        <v>72700</v>
      </c>
      <c r="H17109" s="49">
        <f t="shared" si="2"/>
        <v>72280</v>
      </c>
    </row>
    <row r="17110">
      <c r="A17110" s="48" t="s">
        <v>2888</v>
      </c>
      <c r="B17110" s="38">
        <v>2257.0</v>
      </c>
      <c r="C17110" s="38" t="s">
        <v>21507</v>
      </c>
      <c r="D17110" s="38" t="str">
        <f>IFERROR(__xludf.DUMMYFUNCTION("REGEXREPLACE(C17110,""-\d+(.*)|--\d+(.*)"","""")"),"DALLON")</f>
        <v>DALLON</v>
      </c>
      <c r="E17110" s="38" t="s">
        <v>191</v>
      </c>
      <c r="F17110" s="38" t="s">
        <v>113</v>
      </c>
      <c r="G17110" s="49" t="str">
        <f t="shared" si="1"/>
        <v>02680</v>
      </c>
      <c r="H17110" s="49" t="str">
        <f t="shared" si="2"/>
        <v>02257</v>
      </c>
    </row>
    <row r="17111">
      <c r="A17111" s="48" t="s">
        <v>2268</v>
      </c>
      <c r="B17111" s="38">
        <v>55549.0</v>
      </c>
      <c r="C17111" s="38" t="s">
        <v>21508</v>
      </c>
      <c r="D17111" s="38" t="str">
        <f>IFERROR(__xludf.DUMMYFUNCTION("REGEXREPLACE(C17111,""-\d+(.*)|--\d+(.*)"","""")"),"VERY")</f>
        <v>VERY</v>
      </c>
      <c r="E17111" s="38" t="s">
        <v>322</v>
      </c>
      <c r="F17111" s="38" t="s">
        <v>195</v>
      </c>
      <c r="G17111" s="49" t="str">
        <f t="shared" si="1"/>
        <v>55270</v>
      </c>
      <c r="H17111" s="49">
        <f t="shared" si="2"/>
        <v>55549</v>
      </c>
    </row>
    <row r="17112">
      <c r="A17112" s="48" t="s">
        <v>9028</v>
      </c>
      <c r="B17112" s="38">
        <v>65115.0</v>
      </c>
      <c r="C17112" s="38" t="s">
        <v>21509</v>
      </c>
      <c r="D17112" s="38" t="str">
        <f>IFERROR(__xludf.DUMMYFUNCTION("REGEXREPLACE(C17112,""-\d+(.*)|--\d+(.*)"","""")"),"CABANAC")</f>
        <v>CABANAC</v>
      </c>
      <c r="E17112" s="38" t="s">
        <v>200</v>
      </c>
      <c r="F17112" s="38" t="s">
        <v>94</v>
      </c>
      <c r="G17112" s="49" t="str">
        <f t="shared" si="1"/>
        <v>65350</v>
      </c>
      <c r="H17112" s="49">
        <f t="shared" si="2"/>
        <v>65115</v>
      </c>
    </row>
    <row r="17113">
      <c r="A17113" s="48" t="s">
        <v>1317</v>
      </c>
      <c r="B17113" s="38">
        <v>8428.0</v>
      </c>
      <c r="C17113" s="38" t="s">
        <v>21510</v>
      </c>
      <c r="D17113" s="38" t="str">
        <f>IFERROR(__xludf.DUMMYFUNCTION("REGEXREPLACE(C17113,""-\d+(.*)|--\d+(.*)"","""")"),"SORCY-BAUTHEMONT")</f>
        <v>SORCY-BAUTHEMONT</v>
      </c>
      <c r="E17113" s="38" t="s">
        <v>327</v>
      </c>
      <c r="F17113" s="38" t="s">
        <v>130</v>
      </c>
      <c r="G17113" s="49" t="str">
        <f t="shared" si="1"/>
        <v>08270</v>
      </c>
      <c r="H17113" s="49" t="str">
        <f t="shared" si="2"/>
        <v>08428</v>
      </c>
    </row>
    <row r="17114">
      <c r="A17114" s="48" t="s">
        <v>3333</v>
      </c>
      <c r="B17114" s="38">
        <v>44076.0</v>
      </c>
      <c r="C17114" s="38" t="s">
        <v>21511</v>
      </c>
      <c r="D17114" s="38" t="str">
        <f>IFERROR(__xludf.DUMMYFUNCTION("REGEXREPLACE(C17114,""-\d+(.*)|--\d+(.*)"","""")"),"JANS")</f>
        <v>JANS</v>
      </c>
      <c r="E17114" s="38" t="s">
        <v>759</v>
      </c>
      <c r="F17114" s="38" t="s">
        <v>180</v>
      </c>
      <c r="G17114" s="49" t="str">
        <f t="shared" si="1"/>
        <v>44170</v>
      </c>
      <c r="H17114" s="49">
        <f t="shared" si="2"/>
        <v>44076</v>
      </c>
    </row>
    <row r="17115">
      <c r="A17115" s="48" t="s">
        <v>8076</v>
      </c>
      <c r="B17115" s="38">
        <v>60332.0</v>
      </c>
      <c r="C17115" s="38" t="s">
        <v>9898</v>
      </c>
      <c r="D17115" s="38" t="str">
        <f>IFERROR(__xludf.DUMMYFUNCTION("REGEXREPLACE(C17115,""-\d+(.*)|--\d+(.*)"","""")"),"LABRUYERE")</f>
        <v>LABRUYERE</v>
      </c>
      <c r="E17115" s="38" t="s">
        <v>112</v>
      </c>
      <c r="F17115" s="38" t="s">
        <v>113</v>
      </c>
      <c r="G17115" s="49" t="str">
        <f t="shared" si="1"/>
        <v>60140</v>
      </c>
      <c r="H17115" s="49">
        <f t="shared" si="2"/>
        <v>60332</v>
      </c>
    </row>
    <row r="17116">
      <c r="A17116" s="48" t="s">
        <v>21512</v>
      </c>
      <c r="B17116" s="38">
        <v>30083.0</v>
      </c>
      <c r="C17116" s="38" t="s">
        <v>21513</v>
      </c>
      <c r="D17116" s="38" t="str">
        <f>IFERROR(__xludf.DUMMYFUNCTION("REGEXREPLACE(C17116,""-\d+(.*)|--\d+(.*)"","""")"),"CODOGNAN")</f>
        <v>CODOGNAN</v>
      </c>
      <c r="E17116" s="38" t="s">
        <v>526</v>
      </c>
      <c r="F17116" s="38" t="s">
        <v>119</v>
      </c>
      <c r="G17116" s="49" t="str">
        <f t="shared" si="1"/>
        <v>30920</v>
      </c>
      <c r="H17116" s="49">
        <f t="shared" si="2"/>
        <v>30083</v>
      </c>
    </row>
    <row r="17117">
      <c r="A17117" s="48" t="s">
        <v>10063</v>
      </c>
      <c r="B17117" s="38">
        <v>18009.0</v>
      </c>
      <c r="C17117" s="38" t="s">
        <v>21514</v>
      </c>
      <c r="D17117" s="38" t="str">
        <f>IFERROR(__xludf.DUMMYFUNCTION("REGEXREPLACE(C17117,""-\d+(.*)|--\d+(.*)"","""")"),"ARCOMPS")</f>
        <v>ARCOMPS</v>
      </c>
      <c r="E17117" s="38" t="s">
        <v>504</v>
      </c>
      <c r="F17117" s="38" t="s">
        <v>123</v>
      </c>
      <c r="G17117" s="49" t="str">
        <f t="shared" si="1"/>
        <v>18200</v>
      </c>
      <c r="H17117" s="49">
        <f t="shared" si="2"/>
        <v>18009</v>
      </c>
    </row>
    <row r="17118">
      <c r="A17118" s="48" t="s">
        <v>3242</v>
      </c>
      <c r="B17118" s="38">
        <v>2025.0</v>
      </c>
      <c r="C17118" s="38" t="s">
        <v>21515</v>
      </c>
      <c r="D17118" s="38" t="str">
        <f>IFERROR(__xludf.DUMMYFUNCTION("REGEXREPLACE(C17118,""-\d+(.*)|--\d+(.*)"","""")"),"ARTEMPS")</f>
        <v>ARTEMPS</v>
      </c>
      <c r="E17118" s="38" t="s">
        <v>191</v>
      </c>
      <c r="F17118" s="38" t="s">
        <v>113</v>
      </c>
      <c r="G17118" s="49" t="str">
        <f t="shared" si="1"/>
        <v>02480</v>
      </c>
      <c r="H17118" s="49" t="str">
        <f t="shared" si="2"/>
        <v>02025</v>
      </c>
    </row>
    <row r="17119">
      <c r="A17119" s="48" t="s">
        <v>14540</v>
      </c>
      <c r="B17119" s="38">
        <v>34234.0</v>
      </c>
      <c r="C17119" s="38" t="s">
        <v>21516</v>
      </c>
      <c r="D17119" s="38" t="str">
        <f>IFERROR(__xludf.DUMMYFUNCTION("REGEXREPLACE(C17119,""-\d+(.*)|--\d+(.*)"","""")"),"ROQUESSELS")</f>
        <v>ROQUESSELS</v>
      </c>
      <c r="E17119" s="38" t="s">
        <v>118</v>
      </c>
      <c r="F17119" s="38" t="s">
        <v>119</v>
      </c>
      <c r="G17119" s="49" t="str">
        <f t="shared" si="1"/>
        <v>34320</v>
      </c>
      <c r="H17119" s="49">
        <f t="shared" si="2"/>
        <v>34234</v>
      </c>
    </row>
    <row r="17120">
      <c r="A17120" s="48" t="s">
        <v>21517</v>
      </c>
      <c r="B17120" s="38">
        <v>27493.0</v>
      </c>
      <c r="C17120" s="38" t="s">
        <v>21518</v>
      </c>
      <c r="D17120" s="38" t="str">
        <f>IFERROR(__xludf.DUMMYFUNCTION("REGEXREPLACE(C17120,""-\d+(.*)|--\d+(.*)"","""")"),"ROMILLY-SUR-ANDELLE")</f>
        <v>ROMILLY-SUR-ANDELLE</v>
      </c>
      <c r="E17120" s="38" t="s">
        <v>241</v>
      </c>
      <c r="F17120" s="38" t="s">
        <v>134</v>
      </c>
      <c r="G17120" s="49" t="str">
        <f t="shared" si="1"/>
        <v>27610</v>
      </c>
      <c r="H17120" s="49">
        <f t="shared" si="2"/>
        <v>27493</v>
      </c>
    </row>
    <row r="17121">
      <c r="A17121" s="48" t="s">
        <v>5743</v>
      </c>
      <c r="B17121" s="38">
        <v>52132.0</v>
      </c>
      <c r="C17121" s="38" t="s">
        <v>21519</v>
      </c>
      <c r="D17121" s="38" t="str">
        <f>IFERROR(__xludf.DUMMYFUNCTION("REGEXREPLACE(C17121,""-\d+(.*)|--\d+(.*)"","""")"),"CLEFMONT")</f>
        <v>CLEFMONT</v>
      </c>
      <c r="E17121" s="38" t="s">
        <v>234</v>
      </c>
      <c r="F17121" s="38" t="s">
        <v>130</v>
      </c>
      <c r="G17121" s="49" t="str">
        <f t="shared" si="1"/>
        <v>52240</v>
      </c>
      <c r="H17121" s="49">
        <f t="shared" si="2"/>
        <v>52132</v>
      </c>
    </row>
    <row r="17122">
      <c r="A17122" s="48" t="s">
        <v>16879</v>
      </c>
      <c r="B17122" s="38">
        <v>77509.0</v>
      </c>
      <c r="C17122" s="38" t="s">
        <v>21520</v>
      </c>
      <c r="D17122" s="38" t="str">
        <f>IFERROR(__xludf.DUMMYFUNCTION("REGEXREPLACE(C17122,""-\d+(.*)|--\d+(.*)"","""")"),"VILLENEUVE-LES-BORDES")</f>
        <v>VILLENEUVE-LES-BORDES</v>
      </c>
      <c r="E17122" s="38" t="s">
        <v>244</v>
      </c>
      <c r="F17122" s="38" t="s">
        <v>245</v>
      </c>
      <c r="G17122" s="49" t="str">
        <f t="shared" si="1"/>
        <v>77154</v>
      </c>
      <c r="H17122" s="49">
        <f t="shared" si="2"/>
        <v>77509</v>
      </c>
    </row>
    <row r="17123">
      <c r="A17123" s="48" t="s">
        <v>21521</v>
      </c>
      <c r="B17123" s="38">
        <v>63455.0</v>
      </c>
      <c r="C17123" s="38" t="s">
        <v>21522</v>
      </c>
      <c r="D17123" s="38" t="str">
        <f>IFERROR(__xludf.DUMMYFUNCTION("REGEXREPLACE(C17123,""-\d+(.*)|--\d+(.*)"","""")"),"VEYRE-MONTON")</f>
        <v>VEYRE-MONTON</v>
      </c>
      <c r="E17123" s="38" t="s">
        <v>353</v>
      </c>
      <c r="F17123" s="38" t="s">
        <v>161</v>
      </c>
      <c r="G17123" s="49" t="str">
        <f t="shared" si="1"/>
        <v>63960</v>
      </c>
      <c r="H17123" s="49">
        <f t="shared" si="2"/>
        <v>63455</v>
      </c>
    </row>
    <row r="17124">
      <c r="A17124" s="48" t="s">
        <v>11428</v>
      </c>
      <c r="B17124" s="38">
        <v>42104.0</v>
      </c>
      <c r="C17124" s="38" t="s">
        <v>21523</v>
      </c>
      <c r="D17124" s="38" t="str">
        <f>IFERROR(__xludf.DUMMYFUNCTION("REGEXREPLACE(C17124,""-\d+(.*)|--\d+(.*)"","""")"),"LA GRESLE")</f>
        <v>LA GRESLE</v>
      </c>
      <c r="E17124" s="38" t="s">
        <v>166</v>
      </c>
      <c r="F17124" s="38" t="s">
        <v>102</v>
      </c>
      <c r="G17124" s="49" t="str">
        <f t="shared" si="1"/>
        <v>42460</v>
      </c>
      <c r="H17124" s="49">
        <f t="shared" si="2"/>
        <v>42104</v>
      </c>
    </row>
    <row r="17125">
      <c r="A17125" s="48" t="s">
        <v>2389</v>
      </c>
      <c r="B17125" s="38">
        <v>64326.0</v>
      </c>
      <c r="C17125" s="38" t="s">
        <v>21524</v>
      </c>
      <c r="D17125" s="38" t="str">
        <f>IFERROR(__xludf.DUMMYFUNCTION("REGEXREPLACE(C17125,""-\d+(.*)|--\d+(.*)"","""")"),"LAY-LAMIDOU")</f>
        <v>LAY-LAMIDOU</v>
      </c>
      <c r="E17125" s="38" t="s">
        <v>268</v>
      </c>
      <c r="F17125" s="38" t="s">
        <v>252</v>
      </c>
      <c r="G17125" s="49" t="str">
        <f t="shared" si="1"/>
        <v>64190</v>
      </c>
      <c r="H17125" s="49">
        <f t="shared" si="2"/>
        <v>64326</v>
      </c>
    </row>
    <row r="17126">
      <c r="A17126" s="48" t="s">
        <v>683</v>
      </c>
      <c r="B17126" s="38">
        <v>64071.0</v>
      </c>
      <c r="C17126" s="38" t="s">
        <v>21525</v>
      </c>
      <c r="D17126" s="38" t="str">
        <f>IFERROR(__xludf.DUMMYFUNCTION("REGEXREPLACE(C17126,""-\d+(.*)|--\d+(.*)"","""")"),"ATHOS-ASPIS")</f>
        <v>ATHOS-ASPIS</v>
      </c>
      <c r="E17126" s="38" t="s">
        <v>268</v>
      </c>
      <c r="F17126" s="38" t="s">
        <v>252</v>
      </c>
      <c r="G17126" s="49" t="str">
        <f t="shared" si="1"/>
        <v>64390</v>
      </c>
      <c r="H17126" s="49">
        <f t="shared" si="2"/>
        <v>64071</v>
      </c>
    </row>
    <row r="17127">
      <c r="A17127" s="48" t="s">
        <v>2411</v>
      </c>
      <c r="B17127" s="38">
        <v>37088.0</v>
      </c>
      <c r="C17127" s="38" t="s">
        <v>21526</v>
      </c>
      <c r="D17127" s="38" t="str">
        <f>IFERROR(__xludf.DUMMYFUNCTION("REGEXREPLACE(C17127,""-\d+(.*)|--\d+(.*)"","""")"),"COUZIERS")</f>
        <v>COUZIERS</v>
      </c>
      <c r="E17127" s="38" t="s">
        <v>205</v>
      </c>
      <c r="F17127" s="38" t="s">
        <v>123</v>
      </c>
      <c r="G17127" s="49" t="str">
        <f t="shared" si="1"/>
        <v>37500</v>
      </c>
      <c r="H17127" s="49">
        <f t="shared" si="2"/>
        <v>37088</v>
      </c>
    </row>
    <row r="17128">
      <c r="A17128" s="48" t="s">
        <v>158</v>
      </c>
      <c r="B17128" s="38">
        <v>3006.0</v>
      </c>
      <c r="C17128" s="38" t="s">
        <v>21527</v>
      </c>
      <c r="D17128" s="38" t="str">
        <f>IFERROR(__xludf.DUMMYFUNCTION("REGEXREPLACE(C17128,""-\d+(.*)|--\d+(.*)"","""")"),"ARFEUILLES")</f>
        <v>ARFEUILLES</v>
      </c>
      <c r="E17128" s="38" t="s">
        <v>160</v>
      </c>
      <c r="F17128" s="38" t="s">
        <v>161</v>
      </c>
      <c r="G17128" s="49" t="str">
        <f t="shared" si="1"/>
        <v>03120</v>
      </c>
      <c r="H17128" s="49" t="str">
        <f t="shared" si="2"/>
        <v>03006</v>
      </c>
    </row>
    <row r="17129">
      <c r="A17129" s="48" t="s">
        <v>6916</v>
      </c>
      <c r="B17129" s="38">
        <v>82148.0</v>
      </c>
      <c r="C17129" s="38" t="s">
        <v>21528</v>
      </c>
      <c r="D17129" s="38" t="str">
        <f>IFERROR(__xludf.DUMMYFUNCTION("REGEXREPLACE(C17129,""-\d+(.*)|--\d+(.*)"","""")"),"PUYLAROQUE")</f>
        <v>PUYLAROQUE</v>
      </c>
      <c r="E17129" s="38" t="s">
        <v>570</v>
      </c>
      <c r="F17129" s="38" t="s">
        <v>94</v>
      </c>
      <c r="G17129" s="49" t="str">
        <f t="shared" si="1"/>
        <v>82240</v>
      </c>
      <c r="H17129" s="49">
        <f t="shared" si="2"/>
        <v>82148</v>
      </c>
    </row>
    <row r="17130">
      <c r="A17130" s="48" t="s">
        <v>12221</v>
      </c>
      <c r="B17130" s="38">
        <v>41292.0</v>
      </c>
      <c r="C17130" s="38" t="s">
        <v>21529</v>
      </c>
      <c r="D17130" s="38" t="str">
        <f>IFERROR(__xludf.DUMMYFUNCTION("REGEXREPLACE(C17130,""-\d+(.*)|--\d+(.*)"","""")"),"VILLEXANTON")</f>
        <v>VILLEXANTON</v>
      </c>
      <c r="E17130" s="38" t="s">
        <v>188</v>
      </c>
      <c r="F17130" s="38" t="s">
        <v>123</v>
      </c>
      <c r="G17130" s="49" t="str">
        <f t="shared" si="1"/>
        <v>41500</v>
      </c>
      <c r="H17130" s="49">
        <f t="shared" si="2"/>
        <v>41292</v>
      </c>
    </row>
    <row r="17131">
      <c r="A17131" s="48" t="s">
        <v>5584</v>
      </c>
      <c r="B17131" s="38">
        <v>41056.0</v>
      </c>
      <c r="C17131" s="38" t="s">
        <v>21530</v>
      </c>
      <c r="D17131" s="38" t="str">
        <f>IFERROR(__xludf.DUMMYFUNCTION("REGEXREPLACE(C17131,""-\d+(.*)|--\d+(.*)"","""")"),"LA COLOMBE")</f>
        <v>LA COLOMBE</v>
      </c>
      <c r="E17131" s="38" t="s">
        <v>188</v>
      </c>
      <c r="F17131" s="38" t="s">
        <v>123</v>
      </c>
      <c r="G17131" s="49" t="str">
        <f t="shared" si="1"/>
        <v>41160</v>
      </c>
      <c r="H17131" s="49">
        <f t="shared" si="2"/>
        <v>41056</v>
      </c>
    </row>
    <row r="17132">
      <c r="A17132" s="48" t="s">
        <v>1332</v>
      </c>
      <c r="B17132" s="38">
        <v>51370.0</v>
      </c>
      <c r="C17132" s="38" t="s">
        <v>21531</v>
      </c>
      <c r="D17132" s="38" t="str">
        <f>IFERROR(__xludf.DUMMYFUNCTION("REGEXREPLACE(C17132,""-\d+(.*)|--\d+(.*)"","""")"),"MOIREMONT")</f>
        <v>MOIREMONT</v>
      </c>
      <c r="E17132" s="38" t="s">
        <v>129</v>
      </c>
      <c r="F17132" s="38" t="s">
        <v>130</v>
      </c>
      <c r="G17132" s="49" t="str">
        <f t="shared" si="1"/>
        <v>51800</v>
      </c>
      <c r="H17132" s="49">
        <f t="shared" si="2"/>
        <v>51370</v>
      </c>
    </row>
    <row r="17133">
      <c r="A17133" s="48" t="s">
        <v>8199</v>
      </c>
      <c r="B17133" s="38">
        <v>63232.0</v>
      </c>
      <c r="C17133" s="38" t="s">
        <v>2405</v>
      </c>
      <c r="D17133" s="38" t="str">
        <f>IFERROR(__xludf.DUMMYFUNCTION("REGEXREPLACE(C17133,""-\d+(.*)|--\d+(.*)"","""")"),"MONS")</f>
        <v>MONS</v>
      </c>
      <c r="E17133" s="38" t="s">
        <v>353</v>
      </c>
      <c r="F17133" s="38" t="s">
        <v>161</v>
      </c>
      <c r="G17133" s="49" t="str">
        <f t="shared" si="1"/>
        <v>63310</v>
      </c>
      <c r="H17133" s="49">
        <f t="shared" si="2"/>
        <v>63232</v>
      </c>
    </row>
    <row r="17134">
      <c r="A17134" s="48" t="s">
        <v>11437</v>
      </c>
      <c r="B17134" s="38">
        <v>71088.0</v>
      </c>
      <c r="C17134" s="38" t="s">
        <v>21532</v>
      </c>
      <c r="D17134" s="38" t="str">
        <f>IFERROR(__xludf.DUMMYFUNCTION("REGEXREPLACE(C17134,""-\d+(.*)|--\d+(.*)"","""")"),"LA CHAPELLE-AU-MANS")</f>
        <v>LA CHAPELLE-AU-MANS</v>
      </c>
      <c r="E17134" s="38" t="s">
        <v>344</v>
      </c>
      <c r="F17134" s="38" t="s">
        <v>106</v>
      </c>
      <c r="G17134" s="49" t="str">
        <f t="shared" si="1"/>
        <v>71130</v>
      </c>
      <c r="H17134" s="49">
        <f t="shared" si="2"/>
        <v>71088</v>
      </c>
    </row>
    <row r="17135">
      <c r="A17135" s="48" t="s">
        <v>3725</v>
      </c>
      <c r="B17135" s="38">
        <v>50338.0</v>
      </c>
      <c r="C17135" s="38" t="s">
        <v>21533</v>
      </c>
      <c r="D17135" s="38" t="str">
        <f>IFERROR(__xludf.DUMMYFUNCTION("REGEXREPLACE(C17135,""-\d+(.*)|--\d+(.*)"","""")"),"MONTBRAY")</f>
        <v>MONTBRAY</v>
      </c>
      <c r="E17135" s="38" t="s">
        <v>157</v>
      </c>
      <c r="F17135" s="38" t="s">
        <v>138</v>
      </c>
      <c r="G17135" s="49" t="str">
        <f t="shared" si="1"/>
        <v>50410</v>
      </c>
      <c r="H17135" s="49">
        <f t="shared" si="2"/>
        <v>50338</v>
      </c>
    </row>
    <row r="17136">
      <c r="A17136" s="48" t="s">
        <v>3163</v>
      </c>
      <c r="B17136" s="38">
        <v>28296.0</v>
      </c>
      <c r="C17136" s="38" t="s">
        <v>21534</v>
      </c>
      <c r="D17136" s="38" t="str">
        <f>IFERROR(__xludf.DUMMYFUNCTION("REGEXREPLACE(C17136,""-\d+(.*)|--\d+(.*)"","""")"),"PERONVILLE")</f>
        <v>PERONVILLE</v>
      </c>
      <c r="E17136" s="38" t="s">
        <v>300</v>
      </c>
      <c r="F17136" s="38" t="s">
        <v>123</v>
      </c>
      <c r="G17136" s="49" t="str">
        <f t="shared" si="1"/>
        <v>28140</v>
      </c>
      <c r="H17136" s="49">
        <f t="shared" si="2"/>
        <v>28296</v>
      </c>
    </row>
    <row r="17137">
      <c r="A17137" s="48" t="s">
        <v>18025</v>
      </c>
      <c r="B17137" s="38">
        <v>82075.0</v>
      </c>
      <c r="C17137" s="38" t="s">
        <v>21535</v>
      </c>
      <c r="D17137" s="38" t="str">
        <f>IFERROR(__xludf.DUMMYFUNCTION("REGEXREPLACE(C17137,""-\d+(.*)|--\d+(.*)"","""")"),"GRISOLLES")</f>
        <v>GRISOLLES</v>
      </c>
      <c r="E17137" s="38" t="s">
        <v>570</v>
      </c>
      <c r="F17137" s="38" t="s">
        <v>94</v>
      </c>
      <c r="G17137" s="49" t="str">
        <f t="shared" si="1"/>
        <v>82170</v>
      </c>
      <c r="H17137" s="49">
        <f t="shared" si="2"/>
        <v>82075</v>
      </c>
    </row>
    <row r="17138">
      <c r="A17138" s="48" t="s">
        <v>1810</v>
      </c>
      <c r="B17138" s="38">
        <v>23138.0</v>
      </c>
      <c r="C17138" s="38" t="s">
        <v>21536</v>
      </c>
      <c r="D17138" s="38" t="str">
        <f>IFERROR(__xludf.DUMMYFUNCTION("REGEXREPLACE(C17138,""-\d+(.*)|--\d+(.*)"","""")"),"MOUTIER-D'AHUN")</f>
        <v>MOUTIER-D'AHUN</v>
      </c>
      <c r="E17138" s="38" t="s">
        <v>97</v>
      </c>
      <c r="F17138" s="38" t="s">
        <v>98</v>
      </c>
      <c r="G17138" s="49" t="str">
        <f t="shared" si="1"/>
        <v>23150</v>
      </c>
      <c r="H17138" s="49">
        <f t="shared" si="2"/>
        <v>23138</v>
      </c>
    </row>
    <row r="17139">
      <c r="A17139" s="48" t="s">
        <v>794</v>
      </c>
      <c r="B17139" s="38">
        <v>60353.0</v>
      </c>
      <c r="C17139" s="38" t="s">
        <v>21537</v>
      </c>
      <c r="D17139" s="38" t="str">
        <f>IFERROR(__xludf.DUMMYFUNCTION("REGEXREPLACE(C17139,""-\d+(.*)|--\d+(.*)"","""")"),"LAVACQUERIE")</f>
        <v>LAVACQUERIE</v>
      </c>
      <c r="E17139" s="38" t="s">
        <v>112</v>
      </c>
      <c r="F17139" s="38" t="s">
        <v>113</v>
      </c>
      <c r="G17139" s="49" t="str">
        <f t="shared" si="1"/>
        <v>60120</v>
      </c>
      <c r="H17139" s="49">
        <f t="shared" si="2"/>
        <v>60353</v>
      </c>
    </row>
    <row r="17140">
      <c r="A17140" s="48" t="s">
        <v>19257</v>
      </c>
      <c r="B17140" s="38">
        <v>69143.0</v>
      </c>
      <c r="C17140" s="38" t="s">
        <v>21538</v>
      </c>
      <c r="D17140" s="38" t="str">
        <f>IFERROR(__xludf.DUMMYFUNCTION("REGEXREPLACE(C17140,""-\d+(.*)|--\d+(.*)"","""")"),"NEUVILLE-SUR-SAONE")</f>
        <v>NEUVILLE-SUR-SAONE</v>
      </c>
      <c r="E17140" s="38" t="s">
        <v>350</v>
      </c>
      <c r="F17140" s="38" t="s">
        <v>102</v>
      </c>
      <c r="G17140" s="49" t="str">
        <f t="shared" si="1"/>
        <v>69250</v>
      </c>
      <c r="H17140" s="49">
        <f t="shared" si="2"/>
        <v>69143</v>
      </c>
    </row>
    <row r="17141">
      <c r="A17141" s="48" t="s">
        <v>5958</v>
      </c>
      <c r="B17141" s="38">
        <v>68340.0</v>
      </c>
      <c r="C17141" s="38" t="s">
        <v>21539</v>
      </c>
      <c r="D17141" s="38" t="str">
        <f>IFERROR(__xludf.DUMMYFUNCTION("REGEXREPLACE(C17141,""-\d+(.*)|--\d+(.*)"","""")"),"UEBERSTRASS")</f>
        <v>UEBERSTRASS</v>
      </c>
      <c r="E17141" s="38" t="s">
        <v>150</v>
      </c>
      <c r="F17141" s="38" t="s">
        <v>151</v>
      </c>
      <c r="G17141" s="49" t="str">
        <f t="shared" si="1"/>
        <v>68580</v>
      </c>
      <c r="H17141" s="49">
        <f t="shared" si="2"/>
        <v>68340</v>
      </c>
    </row>
    <row r="17142">
      <c r="A17142" s="48" t="s">
        <v>3244</v>
      </c>
      <c r="B17142" s="38">
        <v>27158.0</v>
      </c>
      <c r="C17142" s="38" t="s">
        <v>21540</v>
      </c>
      <c r="D17142" s="38" t="str">
        <f>IFERROR(__xludf.DUMMYFUNCTION("REGEXREPLACE(C17142,""-\d+(.*)|--\d+(.*)"","""")"),"CIERREY")</f>
        <v>CIERREY</v>
      </c>
      <c r="E17142" s="38" t="s">
        <v>241</v>
      </c>
      <c r="F17142" s="38" t="s">
        <v>134</v>
      </c>
      <c r="G17142" s="49" t="str">
        <f t="shared" si="1"/>
        <v>27930</v>
      </c>
      <c r="H17142" s="49">
        <f t="shared" si="2"/>
        <v>27158</v>
      </c>
    </row>
    <row r="17143">
      <c r="A17143" s="48" t="s">
        <v>489</v>
      </c>
      <c r="B17143" s="38">
        <v>9271.0</v>
      </c>
      <c r="C17143" s="38" t="s">
        <v>4389</v>
      </c>
      <c r="D17143" s="38" t="str">
        <f>IFERROR(__xludf.DUMMYFUNCTION("REGEXREPLACE(C17143,""-\d+(.*)|--\d+(.*)"","""")"),"SAINT-MICHEL")</f>
        <v>SAINT-MICHEL</v>
      </c>
      <c r="E17143" s="38" t="s">
        <v>238</v>
      </c>
      <c r="F17143" s="38" t="s">
        <v>94</v>
      </c>
      <c r="G17143" s="49" t="str">
        <f t="shared" si="1"/>
        <v>09100</v>
      </c>
      <c r="H17143" s="49" t="str">
        <f t="shared" si="2"/>
        <v>09271</v>
      </c>
    </row>
    <row r="17144">
      <c r="A17144" s="48" t="s">
        <v>6052</v>
      </c>
      <c r="B17144" s="38">
        <v>4066.0</v>
      </c>
      <c r="C17144" s="38" t="s">
        <v>21541</v>
      </c>
      <c r="D17144" s="38" t="str">
        <f>IFERROR(__xludf.DUMMYFUNCTION("REGEXREPLACE(C17144,""-\d+(.*)|--\d+(.*)"","""")"),"CURBANS")</f>
        <v>CURBANS</v>
      </c>
      <c r="E17144" s="38" t="s">
        <v>662</v>
      </c>
      <c r="F17144" s="38" t="s">
        <v>228</v>
      </c>
      <c r="G17144" s="49" t="str">
        <f t="shared" si="1"/>
        <v>05110</v>
      </c>
      <c r="H17144" s="49" t="str">
        <f t="shared" si="2"/>
        <v>04066</v>
      </c>
    </row>
    <row r="17145">
      <c r="A17145" s="48" t="s">
        <v>21542</v>
      </c>
      <c r="B17145" s="38">
        <v>60206.0</v>
      </c>
      <c r="C17145" s="38" t="s">
        <v>21543</v>
      </c>
      <c r="D17145" s="38" t="str">
        <f>IFERROR(__xludf.DUMMYFUNCTION("REGEXREPLACE(C17145,""-\d+(.*)|--\d+(.*)"","""")"),"ELINCOURT-SAINTE-MARGUERITE")</f>
        <v>ELINCOURT-SAINTE-MARGUERITE</v>
      </c>
      <c r="E17145" s="38" t="s">
        <v>112</v>
      </c>
      <c r="F17145" s="38" t="s">
        <v>113</v>
      </c>
      <c r="G17145" s="49" t="str">
        <f t="shared" si="1"/>
        <v>60157</v>
      </c>
      <c r="H17145" s="49">
        <f t="shared" si="2"/>
        <v>60206</v>
      </c>
    </row>
    <row r="17146">
      <c r="A17146" s="48" t="s">
        <v>1195</v>
      </c>
      <c r="B17146" s="38">
        <v>80784.0</v>
      </c>
      <c r="C17146" s="38" t="s">
        <v>21544</v>
      </c>
      <c r="D17146" s="38" t="str">
        <f>IFERROR(__xludf.DUMMYFUNCTION("REGEXREPLACE(C17146,""-\d+(.*)|--\d+(.*)"","""")"),"VAUX-SUR-SOMME")</f>
        <v>VAUX-SUR-SOMME</v>
      </c>
      <c r="E17146" s="38" t="s">
        <v>224</v>
      </c>
      <c r="F17146" s="38" t="s">
        <v>113</v>
      </c>
      <c r="G17146" s="49" t="str">
        <f t="shared" si="1"/>
        <v>80800</v>
      </c>
      <c r="H17146" s="49">
        <f t="shared" si="2"/>
        <v>80784</v>
      </c>
    </row>
    <row r="17147">
      <c r="A17147" s="48" t="s">
        <v>1481</v>
      </c>
      <c r="B17147" s="38">
        <v>2147.0</v>
      </c>
      <c r="C17147" s="38" t="s">
        <v>21545</v>
      </c>
      <c r="D17147" s="38" t="str">
        <f>IFERROR(__xludf.DUMMYFUNCTION("REGEXREPLACE(C17147,""-\d+(.*)|--\d+(.*)"","""")"),"LA CELLE-SOUS-MONTMIRAIL")</f>
        <v>LA CELLE-SOUS-MONTMIRAIL</v>
      </c>
      <c r="E17147" s="38" t="s">
        <v>191</v>
      </c>
      <c r="F17147" s="38" t="s">
        <v>113</v>
      </c>
      <c r="G17147" s="49" t="str">
        <f t="shared" si="1"/>
        <v>02540</v>
      </c>
      <c r="H17147" s="49" t="str">
        <f t="shared" si="2"/>
        <v>02147</v>
      </c>
    </row>
    <row r="17148">
      <c r="A17148" s="48" t="s">
        <v>11565</v>
      </c>
      <c r="B17148" s="38">
        <v>62423.0</v>
      </c>
      <c r="C17148" s="38" t="s">
        <v>21546</v>
      </c>
      <c r="D17148" s="38" t="str">
        <f>IFERROR(__xludf.DUMMYFUNCTION("REGEXREPLACE(C17148,""-\d+(.*)|--\d+(.*)"","""")"),"HELFAUT")</f>
        <v>HELFAUT</v>
      </c>
      <c r="E17148" s="38" t="s">
        <v>109</v>
      </c>
      <c r="F17148" s="38" t="s">
        <v>86</v>
      </c>
      <c r="G17148" s="49" t="str">
        <f t="shared" si="1"/>
        <v>62570</v>
      </c>
      <c r="H17148" s="49">
        <f t="shared" si="2"/>
        <v>62423</v>
      </c>
    </row>
    <row r="17149">
      <c r="A17149" s="48" t="s">
        <v>9293</v>
      </c>
      <c r="B17149" s="38">
        <v>9102.0</v>
      </c>
      <c r="C17149" s="38" t="s">
        <v>21547</v>
      </c>
      <c r="D17149" s="38" t="str">
        <f>IFERROR(__xludf.DUMMYFUNCTION("REGEXREPLACE(C17149,""-\d+(.*)|--\d+(.*)"","""")"),"COUTENS")</f>
        <v>COUTENS</v>
      </c>
      <c r="E17149" s="38" t="s">
        <v>238</v>
      </c>
      <c r="F17149" s="38" t="s">
        <v>94</v>
      </c>
      <c r="G17149" s="49" t="str">
        <f t="shared" si="1"/>
        <v>09500</v>
      </c>
      <c r="H17149" s="49" t="str">
        <f t="shared" si="2"/>
        <v>09102</v>
      </c>
    </row>
    <row r="17150">
      <c r="A17150" s="48" t="s">
        <v>6948</v>
      </c>
      <c r="B17150" s="38">
        <v>17106.0</v>
      </c>
      <c r="C17150" s="38" t="s">
        <v>21548</v>
      </c>
      <c r="D17150" s="38" t="str">
        <f>IFERROR(__xludf.DUMMYFUNCTION("REGEXREPLACE(C17150,""-\d+(.*)|--\d+(.*)"","""")"),"CIERZAC")</f>
        <v>CIERZAC</v>
      </c>
      <c r="E17150" s="38" t="s">
        <v>488</v>
      </c>
      <c r="F17150" s="38" t="s">
        <v>338</v>
      </c>
      <c r="G17150" s="49" t="str">
        <f t="shared" si="1"/>
        <v>17520</v>
      </c>
      <c r="H17150" s="49">
        <f t="shared" si="2"/>
        <v>17106</v>
      </c>
    </row>
    <row r="17151">
      <c r="A17151" s="48" t="s">
        <v>2176</v>
      </c>
      <c r="B17151" s="38">
        <v>62260.0</v>
      </c>
      <c r="C17151" s="38" t="s">
        <v>21549</v>
      </c>
      <c r="D17151" s="38" t="str">
        <f>IFERROR(__xludf.DUMMYFUNCTION("REGEXREPLACE(C17151,""-\d+(.*)|--\d+(.*)"","""")"),"CROIX-EN-TERNOIS")</f>
        <v>CROIX-EN-TERNOIS</v>
      </c>
      <c r="E17151" s="38" t="s">
        <v>109</v>
      </c>
      <c r="F17151" s="38" t="s">
        <v>86</v>
      </c>
      <c r="G17151" s="49" t="str">
        <f t="shared" si="1"/>
        <v>62130</v>
      </c>
      <c r="H17151" s="49">
        <f t="shared" si="2"/>
        <v>62260</v>
      </c>
    </row>
    <row r="17152">
      <c r="A17152" s="48" t="s">
        <v>9946</v>
      </c>
      <c r="B17152" s="38">
        <v>15056.0</v>
      </c>
      <c r="C17152" s="38" t="s">
        <v>21550</v>
      </c>
      <c r="D17152" s="38" t="str">
        <f>IFERROR(__xludf.DUMMYFUNCTION("REGEXREPLACE(C17152,""-\d+(.*)|--\d+(.*)"","""")"),"CRANDELLES")</f>
        <v>CRANDELLES</v>
      </c>
      <c r="E17152" s="38" t="s">
        <v>632</v>
      </c>
      <c r="F17152" s="38" t="s">
        <v>161</v>
      </c>
      <c r="G17152" s="49" t="str">
        <f t="shared" si="1"/>
        <v>15250</v>
      </c>
      <c r="H17152" s="49">
        <f t="shared" si="2"/>
        <v>15056</v>
      </c>
    </row>
    <row r="17153">
      <c r="A17153" s="48" t="s">
        <v>7813</v>
      </c>
      <c r="B17153" s="38">
        <v>35083.0</v>
      </c>
      <c r="C17153" s="38" t="s">
        <v>21551</v>
      </c>
      <c r="D17153" s="38" t="str">
        <f>IFERROR(__xludf.DUMMYFUNCTION("REGEXREPLACE(C17153,""-\d+(.*)|--\d+(.*)"","""")"),"COGLES")</f>
        <v>COGLES</v>
      </c>
      <c r="E17153" s="38" t="s">
        <v>347</v>
      </c>
      <c r="F17153" s="38" t="s">
        <v>90</v>
      </c>
      <c r="G17153" s="49" t="str">
        <f t="shared" si="1"/>
        <v>35460</v>
      </c>
      <c r="H17153" s="49">
        <f t="shared" si="2"/>
        <v>35083</v>
      </c>
    </row>
    <row r="17154">
      <c r="A17154" s="48" t="s">
        <v>2558</v>
      </c>
      <c r="B17154" s="38">
        <v>16233.0</v>
      </c>
      <c r="C17154" s="38" t="s">
        <v>21552</v>
      </c>
      <c r="D17154" s="38" t="str">
        <f>IFERROR(__xludf.DUMMYFUNCTION("REGEXREPLACE(C17154,""-\d+(.*)|--\d+(.*)"","""")"),"MOSNAC")</f>
        <v>MOSNAC</v>
      </c>
      <c r="E17154" s="38" t="s">
        <v>429</v>
      </c>
      <c r="F17154" s="38" t="s">
        <v>338</v>
      </c>
      <c r="G17154" s="49" t="str">
        <f t="shared" si="1"/>
        <v>16120</v>
      </c>
      <c r="H17154" s="49">
        <f t="shared" si="2"/>
        <v>16233</v>
      </c>
    </row>
    <row r="17155">
      <c r="A17155" s="48" t="s">
        <v>21553</v>
      </c>
      <c r="B17155" s="38">
        <v>31169.0</v>
      </c>
      <c r="C17155" s="38" t="s">
        <v>21554</v>
      </c>
      <c r="D17155" s="38" t="str">
        <f>IFERROR(__xludf.DUMMYFUNCTION("REGEXREPLACE(C17155,""-\d+(.*)|--\d+(.*)"","""")"),"ESCALQUENS")</f>
        <v>ESCALQUENS</v>
      </c>
      <c r="E17155" s="38" t="s">
        <v>93</v>
      </c>
      <c r="F17155" s="38" t="s">
        <v>94</v>
      </c>
      <c r="G17155" s="49" t="str">
        <f t="shared" si="1"/>
        <v>31750</v>
      </c>
      <c r="H17155" s="49">
        <f t="shared" si="2"/>
        <v>31169</v>
      </c>
    </row>
    <row r="17156">
      <c r="A17156" s="48" t="s">
        <v>2549</v>
      </c>
      <c r="B17156" s="38">
        <v>55333.0</v>
      </c>
      <c r="C17156" s="38" t="s">
        <v>21555</v>
      </c>
      <c r="D17156" s="38" t="str">
        <f>IFERROR(__xludf.DUMMYFUNCTION("REGEXREPLACE(C17156,""-\d+(.*)|--\d+(.*)"","""")"),"MENIL-AUX-BOIS")</f>
        <v>MENIL-AUX-BOIS</v>
      </c>
      <c r="E17156" s="38" t="s">
        <v>322</v>
      </c>
      <c r="F17156" s="38" t="s">
        <v>195</v>
      </c>
      <c r="G17156" s="49" t="str">
        <f t="shared" si="1"/>
        <v>55260</v>
      </c>
      <c r="H17156" s="49">
        <f t="shared" si="2"/>
        <v>55333</v>
      </c>
    </row>
    <row r="17157">
      <c r="A17157" s="48" t="s">
        <v>5292</v>
      </c>
      <c r="B17157" s="38">
        <v>1046.0</v>
      </c>
      <c r="C17157" s="38" t="s">
        <v>21556</v>
      </c>
      <c r="D17157" s="38" t="str">
        <f>IFERROR(__xludf.DUMMYFUNCTION("REGEXREPLACE(C17157,""-\d+(.*)|--\d+(.*)"","""")"),"BIZIAT")</f>
        <v>BIZIAT</v>
      </c>
      <c r="E17157" s="38" t="s">
        <v>255</v>
      </c>
      <c r="F17157" s="38" t="s">
        <v>102</v>
      </c>
      <c r="G17157" s="49" t="str">
        <f t="shared" si="1"/>
        <v>01290</v>
      </c>
      <c r="H17157" s="49" t="str">
        <f t="shared" si="2"/>
        <v>01046</v>
      </c>
    </row>
    <row r="17158">
      <c r="A17158" s="48" t="s">
        <v>7192</v>
      </c>
      <c r="B17158" s="38">
        <v>61429.0</v>
      </c>
      <c r="C17158" s="38" t="s">
        <v>21557</v>
      </c>
      <c r="D17158" s="38" t="str">
        <f>IFERROR(__xludf.DUMMYFUNCTION("REGEXREPLACE(C17158,""-\d+(.*)|--\d+(.*)"","""")"),"SAINT-MAURICE-LES-CHARENCEY")</f>
        <v>SAINT-MAURICE-LES-CHARENCEY</v>
      </c>
      <c r="E17158" s="38" t="s">
        <v>141</v>
      </c>
      <c r="F17158" s="38" t="s">
        <v>138</v>
      </c>
      <c r="G17158" s="49" t="str">
        <f t="shared" si="1"/>
        <v>61190</v>
      </c>
      <c r="H17158" s="49">
        <f t="shared" si="2"/>
        <v>61429</v>
      </c>
    </row>
    <row r="17159">
      <c r="A17159" s="48" t="s">
        <v>4354</v>
      </c>
      <c r="B17159" s="38">
        <v>72353.0</v>
      </c>
      <c r="C17159" s="38" t="s">
        <v>21558</v>
      </c>
      <c r="D17159" s="38" t="str">
        <f>IFERROR(__xludf.DUMMYFUNCTION("REGEXREPLACE(C17159,""-\d+(.*)|--\d+(.*)"","""")"),"THELIGNY")</f>
        <v>THELIGNY</v>
      </c>
      <c r="E17159" s="38" t="s">
        <v>521</v>
      </c>
      <c r="F17159" s="38" t="s">
        <v>180</v>
      </c>
      <c r="G17159" s="49" t="str">
        <f t="shared" si="1"/>
        <v>72320</v>
      </c>
      <c r="H17159" s="49">
        <f t="shared" si="2"/>
        <v>72353</v>
      </c>
    </row>
    <row r="17160">
      <c r="A17160" s="48" t="s">
        <v>21559</v>
      </c>
      <c r="B17160" s="38">
        <v>59037.0</v>
      </c>
      <c r="C17160" s="38" t="s">
        <v>21560</v>
      </c>
      <c r="D17160" s="38" t="str">
        <f>IFERROR(__xludf.DUMMYFUNCTION("REGEXREPLACE(C17160,""-\d+(.*)|--\d+(.*)"","""")"),"AVESNES-LES-AUBERT")</f>
        <v>AVESNES-LES-AUBERT</v>
      </c>
      <c r="E17160" s="38" t="s">
        <v>85</v>
      </c>
      <c r="F17160" s="38" t="s">
        <v>86</v>
      </c>
      <c r="G17160" s="49" t="str">
        <f t="shared" si="1"/>
        <v>59129</v>
      </c>
      <c r="H17160" s="49">
        <f t="shared" si="2"/>
        <v>59037</v>
      </c>
    </row>
    <row r="17161">
      <c r="A17161" s="48" t="s">
        <v>1825</v>
      </c>
      <c r="B17161" s="38">
        <v>64167.0</v>
      </c>
      <c r="C17161" s="38" t="s">
        <v>21561</v>
      </c>
      <c r="D17161" s="38" t="str">
        <f>IFERROR(__xludf.DUMMYFUNCTION("REGEXREPLACE(C17161,""-\d+(.*)|--\d+(.*)"","""")"),"CARRERE")</f>
        <v>CARRERE</v>
      </c>
      <c r="E17161" s="38" t="s">
        <v>268</v>
      </c>
      <c r="F17161" s="38" t="s">
        <v>252</v>
      </c>
      <c r="G17161" s="49" t="str">
        <f t="shared" si="1"/>
        <v>64160</v>
      </c>
      <c r="H17161" s="49">
        <f t="shared" si="2"/>
        <v>64167</v>
      </c>
    </row>
    <row r="17162">
      <c r="A17162" s="48" t="s">
        <v>3448</v>
      </c>
      <c r="B17162" s="38">
        <v>65426.0</v>
      </c>
      <c r="C17162" s="38" t="s">
        <v>21562</v>
      </c>
      <c r="D17162" s="38" t="str">
        <f>IFERROR(__xludf.DUMMYFUNCTION("REGEXREPLACE(C17162,""-\d+(.*)|--\d+(.*)"","""")"),"SINZOS")</f>
        <v>SINZOS</v>
      </c>
      <c r="E17162" s="38" t="s">
        <v>200</v>
      </c>
      <c r="F17162" s="38" t="s">
        <v>94</v>
      </c>
      <c r="G17162" s="49" t="str">
        <f t="shared" si="1"/>
        <v>65190</v>
      </c>
      <c r="H17162" s="49">
        <f t="shared" si="2"/>
        <v>65426</v>
      </c>
    </row>
    <row r="17163">
      <c r="A17163" s="48" t="s">
        <v>603</v>
      </c>
      <c r="B17163" s="38" t="s">
        <v>21563</v>
      </c>
      <c r="C17163" s="38" t="s">
        <v>21564</v>
      </c>
      <c r="D17163" s="38" t="str">
        <f>IFERROR(__xludf.DUMMYFUNCTION("REGEXREPLACE(C17163,""-\d+(.*)|--\d+(.*)"","""")"),"SERRA-DI-FERRO")</f>
        <v>SERRA-DI-FERRO</v>
      </c>
      <c r="E17163" s="38" t="s">
        <v>606</v>
      </c>
      <c r="F17163" s="38" t="s">
        <v>607</v>
      </c>
      <c r="G17163" s="49" t="str">
        <f t="shared" si="1"/>
        <v>20140</v>
      </c>
      <c r="H17163" s="49" t="str">
        <f t="shared" si="2"/>
        <v>2A276</v>
      </c>
    </row>
    <row r="17164">
      <c r="A17164" s="48" t="s">
        <v>9778</v>
      </c>
      <c r="B17164" s="38">
        <v>23141.0</v>
      </c>
      <c r="C17164" s="38" t="s">
        <v>21565</v>
      </c>
      <c r="D17164" s="38" t="str">
        <f>IFERROR(__xludf.DUMMYFUNCTION("REGEXREPLACE(C17164,""-\d+(.*)|--\d+(.*)"","""")"),"NAILLAT")</f>
        <v>NAILLAT</v>
      </c>
      <c r="E17164" s="38" t="s">
        <v>97</v>
      </c>
      <c r="F17164" s="38" t="s">
        <v>98</v>
      </c>
      <c r="G17164" s="49" t="str">
        <f t="shared" si="1"/>
        <v>23800</v>
      </c>
      <c r="H17164" s="49">
        <f t="shared" si="2"/>
        <v>23141</v>
      </c>
    </row>
    <row r="17165">
      <c r="A17165" s="48" t="s">
        <v>5525</v>
      </c>
      <c r="B17165" s="38">
        <v>10136.0</v>
      </c>
      <c r="C17165" s="38" t="s">
        <v>21566</v>
      </c>
      <c r="D17165" s="38" t="str">
        <f>IFERROR(__xludf.DUMMYFUNCTION("REGEXREPLACE(C17165,""-\d+(.*)|--\d+(.*)"","""")"),"EGUILLY-SOUS-BOIS")</f>
        <v>EGUILLY-SOUS-BOIS</v>
      </c>
      <c r="E17165" s="38" t="s">
        <v>147</v>
      </c>
      <c r="F17165" s="38" t="s">
        <v>130</v>
      </c>
      <c r="G17165" s="49" t="str">
        <f t="shared" si="1"/>
        <v>10110</v>
      </c>
      <c r="H17165" s="49">
        <f t="shared" si="2"/>
        <v>10136</v>
      </c>
    </row>
    <row r="17166">
      <c r="A17166" s="48" t="s">
        <v>7431</v>
      </c>
      <c r="B17166" s="38">
        <v>77433.0</v>
      </c>
      <c r="C17166" s="38" t="s">
        <v>21567</v>
      </c>
      <c r="D17166" s="38" t="str">
        <f>IFERROR(__xludf.DUMMYFUNCTION("REGEXREPLACE(C17166,""-\d+(.*)|--\d+(.*)"","""")"),"SAINTS")</f>
        <v>SAINTS</v>
      </c>
      <c r="E17166" s="38" t="s">
        <v>244</v>
      </c>
      <c r="F17166" s="38" t="s">
        <v>245</v>
      </c>
      <c r="G17166" s="49" t="str">
        <f t="shared" si="1"/>
        <v>77120</v>
      </c>
      <c r="H17166" s="49">
        <f t="shared" si="2"/>
        <v>77433</v>
      </c>
    </row>
    <row r="17167">
      <c r="A17167" s="48" t="s">
        <v>2184</v>
      </c>
      <c r="B17167" s="38">
        <v>45153.0</v>
      </c>
      <c r="C17167" s="38" t="s">
        <v>21568</v>
      </c>
      <c r="D17167" s="38" t="str">
        <f>IFERROR(__xludf.DUMMYFUNCTION("REGEXREPLACE(C17167,""-\d+(.*)|--\d+(.*)"","""")"),"GERMIGNY-DES-PRES")</f>
        <v>GERMIGNY-DES-PRES</v>
      </c>
      <c r="E17167" s="38" t="s">
        <v>122</v>
      </c>
      <c r="F17167" s="38" t="s">
        <v>123</v>
      </c>
      <c r="G17167" s="49" t="str">
        <f t="shared" si="1"/>
        <v>45110</v>
      </c>
      <c r="H17167" s="49">
        <f t="shared" si="2"/>
        <v>45153</v>
      </c>
    </row>
    <row r="17168">
      <c r="A17168" s="48" t="s">
        <v>21569</v>
      </c>
      <c r="B17168" s="38">
        <v>91275.0</v>
      </c>
      <c r="C17168" s="38" t="s">
        <v>21570</v>
      </c>
      <c r="D17168" s="38" t="str">
        <f>IFERROR(__xludf.DUMMYFUNCTION("REGEXREPLACE(C17168,""-\d+(.*)|--\d+(.*)"","""")"),"GOMETZ-LE-CHATEL")</f>
        <v>GOMETZ-LE-CHATEL</v>
      </c>
      <c r="E17168" s="38" t="s">
        <v>756</v>
      </c>
      <c r="F17168" s="38" t="s">
        <v>245</v>
      </c>
      <c r="G17168" s="49" t="str">
        <f t="shared" si="1"/>
        <v>91940</v>
      </c>
      <c r="H17168" s="49">
        <f t="shared" si="2"/>
        <v>91275</v>
      </c>
    </row>
    <row r="17169">
      <c r="A17169" s="48" t="s">
        <v>3706</v>
      </c>
      <c r="B17169" s="38">
        <v>77356.0</v>
      </c>
      <c r="C17169" s="38" t="s">
        <v>21571</v>
      </c>
      <c r="D17169" s="38" t="str">
        <f>IFERROR(__xludf.DUMMYFUNCTION("REGEXREPLACE(C17169,""-\d+(.*)|--\d+(.*)"","""")"),"PASSY-SUR-SEINE")</f>
        <v>PASSY-SUR-SEINE</v>
      </c>
      <c r="E17169" s="38" t="s">
        <v>244</v>
      </c>
      <c r="F17169" s="38" t="s">
        <v>245</v>
      </c>
      <c r="G17169" s="49" t="str">
        <f t="shared" si="1"/>
        <v>77480</v>
      </c>
      <c r="H17169" s="49">
        <f t="shared" si="2"/>
        <v>77356</v>
      </c>
    </row>
    <row r="17170">
      <c r="A17170" s="48" t="s">
        <v>18847</v>
      </c>
      <c r="B17170" s="38">
        <v>56126.0</v>
      </c>
      <c r="C17170" s="38" t="s">
        <v>21572</v>
      </c>
      <c r="D17170" s="38" t="str">
        <f>IFERROR(__xludf.DUMMYFUNCTION("REGEXREPLACE(C17170,""-\d+(.*)|--\d+(.*)"","""")"),"MARZAN")</f>
        <v>MARZAN</v>
      </c>
      <c r="E17170" s="38" t="s">
        <v>173</v>
      </c>
      <c r="F17170" s="38" t="s">
        <v>90</v>
      </c>
      <c r="G17170" s="49" t="str">
        <f t="shared" si="1"/>
        <v>56130</v>
      </c>
      <c r="H17170" s="49">
        <f t="shared" si="2"/>
        <v>56126</v>
      </c>
    </row>
    <row r="17171">
      <c r="A17171" s="48" t="s">
        <v>1638</v>
      </c>
      <c r="B17171" s="38">
        <v>70467.0</v>
      </c>
      <c r="C17171" s="38" t="s">
        <v>21573</v>
      </c>
      <c r="D17171" s="38" t="str">
        <f>IFERROR(__xludf.DUMMYFUNCTION("REGEXREPLACE(C17171,""-\d+(.*)|--\d+(.*)"","""")"),"SAINT-LOUP-SUR-SEMOUSE")</f>
        <v>SAINT-LOUP-SUR-SEMOUSE</v>
      </c>
      <c r="E17171" s="38" t="s">
        <v>956</v>
      </c>
      <c r="F17171" s="38" t="s">
        <v>214</v>
      </c>
      <c r="G17171" s="49" t="str">
        <f t="shared" si="1"/>
        <v>70800</v>
      </c>
      <c r="H17171" s="49">
        <f t="shared" si="2"/>
        <v>70467</v>
      </c>
    </row>
    <row r="17172">
      <c r="A17172" s="48" t="s">
        <v>5789</v>
      </c>
      <c r="B17172" s="38">
        <v>30070.0</v>
      </c>
      <c r="C17172" s="38" t="s">
        <v>21574</v>
      </c>
      <c r="D17172" s="38" t="str">
        <f>IFERROR(__xludf.DUMMYFUNCTION("REGEXREPLACE(C17172,""-\d+(.*)|--\d+(.*)"","""")"),"CARSAN")</f>
        <v>CARSAN</v>
      </c>
      <c r="E17172" s="38" t="s">
        <v>526</v>
      </c>
      <c r="F17172" s="38" t="s">
        <v>119</v>
      </c>
      <c r="G17172" s="49" t="str">
        <f t="shared" si="1"/>
        <v>30130</v>
      </c>
      <c r="H17172" s="49">
        <f t="shared" si="2"/>
        <v>30070</v>
      </c>
    </row>
    <row r="17173">
      <c r="A17173" s="48" t="s">
        <v>3109</v>
      </c>
      <c r="B17173" s="38">
        <v>9315.0</v>
      </c>
      <c r="C17173" s="38" t="s">
        <v>21575</v>
      </c>
      <c r="D17173" s="38" t="str">
        <f>IFERROR(__xludf.DUMMYFUNCTION("REGEXREPLACE(C17173,""-\d+(.*)|--\d+(.*)"","""")"),"TREMOULET")</f>
        <v>TREMOULET</v>
      </c>
      <c r="E17173" s="38" t="s">
        <v>238</v>
      </c>
      <c r="F17173" s="38" t="s">
        <v>94</v>
      </c>
      <c r="G17173" s="49" t="str">
        <f t="shared" si="1"/>
        <v>09700</v>
      </c>
      <c r="H17173" s="49" t="str">
        <f t="shared" si="2"/>
        <v>09315</v>
      </c>
    </row>
    <row r="17174">
      <c r="A17174" s="48" t="s">
        <v>883</v>
      </c>
      <c r="B17174" s="38">
        <v>71517.0</v>
      </c>
      <c r="C17174" s="38" t="s">
        <v>21576</v>
      </c>
      <c r="D17174" s="38" t="str">
        <f>IFERROR(__xludf.DUMMYFUNCTION("REGEXREPLACE(C17174,""-\d+(.*)|--\d+(.*)"","""")"),"SERMESSE")</f>
        <v>SERMESSE</v>
      </c>
      <c r="E17174" s="38" t="s">
        <v>344</v>
      </c>
      <c r="F17174" s="38" t="s">
        <v>106</v>
      </c>
      <c r="G17174" s="49" t="str">
        <f t="shared" si="1"/>
        <v>71350</v>
      </c>
      <c r="H17174" s="49">
        <f t="shared" si="2"/>
        <v>71517</v>
      </c>
    </row>
    <row r="17175">
      <c r="A17175" s="48" t="s">
        <v>21577</v>
      </c>
      <c r="B17175" s="38">
        <v>67267.0</v>
      </c>
      <c r="C17175" s="38" t="s">
        <v>21578</v>
      </c>
      <c r="D17175" s="38" t="str">
        <f>IFERROR(__xludf.DUMMYFUNCTION("REGEXREPLACE(C17175,""-\d+(.*)|--\d+(.*)"","""")"),"LINGOLSHEIM")</f>
        <v>LINGOLSHEIM</v>
      </c>
      <c r="E17175" s="38" t="s">
        <v>210</v>
      </c>
      <c r="F17175" s="38" t="s">
        <v>151</v>
      </c>
      <c r="G17175" s="49" t="str">
        <f t="shared" si="1"/>
        <v>67380</v>
      </c>
      <c r="H17175" s="49">
        <f t="shared" si="2"/>
        <v>67267</v>
      </c>
    </row>
    <row r="17176">
      <c r="A17176" s="48" t="s">
        <v>6247</v>
      </c>
      <c r="B17176" s="38">
        <v>26295.0</v>
      </c>
      <c r="C17176" s="38" t="s">
        <v>21579</v>
      </c>
      <c r="D17176" s="38" t="str">
        <f>IFERROR(__xludf.DUMMYFUNCTION("REGEXREPLACE(C17176,""-\d+(.*)|--\d+(.*)"","""")"),"SAINT-BARTHELEMY-DE-VALS")</f>
        <v>SAINT-BARTHELEMY-DE-VALS</v>
      </c>
      <c r="E17176" s="38" t="s">
        <v>126</v>
      </c>
      <c r="F17176" s="38" t="s">
        <v>102</v>
      </c>
      <c r="G17176" s="49" t="str">
        <f t="shared" si="1"/>
        <v>26240</v>
      </c>
      <c r="H17176" s="49">
        <f t="shared" si="2"/>
        <v>26295</v>
      </c>
    </row>
    <row r="17177">
      <c r="A17177" s="48" t="s">
        <v>3356</v>
      </c>
      <c r="B17177" s="38">
        <v>85252.0</v>
      </c>
      <c r="C17177" s="38" t="s">
        <v>21580</v>
      </c>
      <c r="D17177" s="38" t="str">
        <f>IFERROR(__xludf.DUMMYFUNCTION("REGEXREPLACE(C17177,""-\d+(.*)|--\d+(.*)"","""")"),"SAINT-MAURICE-LE-GIRARD")</f>
        <v>SAINT-MAURICE-LE-GIRARD</v>
      </c>
      <c r="E17177" s="38" t="s">
        <v>179</v>
      </c>
      <c r="F17177" s="38" t="s">
        <v>180</v>
      </c>
      <c r="G17177" s="49" t="str">
        <f t="shared" si="1"/>
        <v>85390</v>
      </c>
      <c r="H17177" s="49">
        <f t="shared" si="2"/>
        <v>85252</v>
      </c>
    </row>
    <row r="17178">
      <c r="A17178" s="48" t="s">
        <v>1938</v>
      </c>
      <c r="B17178" s="38">
        <v>55453.0</v>
      </c>
      <c r="C17178" s="38" t="s">
        <v>21581</v>
      </c>
      <c r="D17178" s="38" t="str">
        <f>IFERROR(__xludf.DUMMYFUNCTION("REGEXREPLACE(C17178,""-\d+(.*)|--\d+(.*)"","""")"),"SAINT-ANDRE-EN-BARROIS")</f>
        <v>SAINT-ANDRE-EN-BARROIS</v>
      </c>
      <c r="E17178" s="38" t="s">
        <v>322</v>
      </c>
      <c r="F17178" s="38" t="s">
        <v>195</v>
      </c>
      <c r="G17178" s="49" t="str">
        <f t="shared" si="1"/>
        <v>55220</v>
      </c>
      <c r="H17178" s="49">
        <f t="shared" si="2"/>
        <v>55453</v>
      </c>
    </row>
    <row r="17179">
      <c r="A17179" s="48" t="s">
        <v>21582</v>
      </c>
      <c r="B17179" s="38">
        <v>97615.0</v>
      </c>
      <c r="C17179" s="38" t="s">
        <v>21583</v>
      </c>
      <c r="D17179" s="38" t="str">
        <f>IFERROR(__xludf.DUMMYFUNCTION("REGEXREPLACE(C17179,""-\d+(.*)|--\d+(.*)"","""")"),"PAMANDZI")</f>
        <v>PAMANDZI</v>
      </c>
      <c r="E17179" s="38" t="s">
        <v>2865</v>
      </c>
      <c r="F17179" s="38" t="s">
        <v>2865</v>
      </c>
      <c r="G17179" s="49" t="str">
        <f t="shared" si="1"/>
        <v>97610</v>
      </c>
      <c r="H17179" s="49">
        <f t="shared" si="2"/>
        <v>97615</v>
      </c>
    </row>
    <row r="17180">
      <c r="A17180" s="48" t="s">
        <v>2703</v>
      </c>
      <c r="B17180" s="38">
        <v>69098.0</v>
      </c>
      <c r="C17180" s="38" t="s">
        <v>21584</v>
      </c>
      <c r="D17180" s="38" t="str">
        <f>IFERROR(__xludf.DUMMYFUNCTION("REGEXREPLACE(C17180,""-\d+(.*)|--\d+(.*)"","""")"),"LES HALLES")</f>
        <v>LES HALLES</v>
      </c>
      <c r="E17180" s="38" t="s">
        <v>350</v>
      </c>
      <c r="F17180" s="38" t="s">
        <v>102</v>
      </c>
      <c r="G17180" s="49" t="str">
        <f t="shared" si="1"/>
        <v>69610</v>
      </c>
      <c r="H17180" s="49">
        <f t="shared" si="2"/>
        <v>69098</v>
      </c>
    </row>
    <row r="17181">
      <c r="A17181" s="48" t="s">
        <v>2673</v>
      </c>
      <c r="B17181" s="38">
        <v>3119.0</v>
      </c>
      <c r="C17181" s="38" t="s">
        <v>21585</v>
      </c>
      <c r="D17181" s="38" t="str">
        <f>IFERROR(__xludf.DUMMYFUNCTION("REGEXREPLACE(C17181,""-\d+(.*)|--\d+(.*)"","""")"),"GANNAY-SUR-LOIRE")</f>
        <v>GANNAY-SUR-LOIRE</v>
      </c>
      <c r="E17181" s="38" t="s">
        <v>160</v>
      </c>
      <c r="F17181" s="38" t="s">
        <v>161</v>
      </c>
      <c r="G17181" s="49" t="str">
        <f t="shared" si="1"/>
        <v>03230</v>
      </c>
      <c r="H17181" s="49" t="str">
        <f t="shared" si="2"/>
        <v>03119</v>
      </c>
    </row>
    <row r="17182">
      <c r="A17182" s="48" t="s">
        <v>6521</v>
      </c>
      <c r="B17182" s="38">
        <v>34141.0</v>
      </c>
      <c r="C17182" s="38" t="s">
        <v>21586</v>
      </c>
      <c r="D17182" s="38" t="str">
        <f>IFERROR(__xludf.DUMMYFUNCTION("REGEXREPLACE(C17182,""-\d+(.*)|--\d+(.*)"","""")"),"LA LIVINIERE")</f>
        <v>LA LIVINIERE</v>
      </c>
      <c r="E17182" s="38" t="s">
        <v>118</v>
      </c>
      <c r="F17182" s="38" t="s">
        <v>119</v>
      </c>
      <c r="G17182" s="49" t="str">
        <f t="shared" si="1"/>
        <v>34210</v>
      </c>
      <c r="H17182" s="49">
        <f t="shared" si="2"/>
        <v>34141</v>
      </c>
    </row>
    <row r="17183">
      <c r="A17183" s="48" t="s">
        <v>10202</v>
      </c>
      <c r="B17183" s="38">
        <v>33007.0</v>
      </c>
      <c r="C17183" s="38" t="s">
        <v>21587</v>
      </c>
      <c r="D17183" s="38" t="str">
        <f>IFERROR(__xludf.DUMMYFUNCTION("REGEXREPLACE(C17183,""-\d+(.*)|--\d+(.*)"","""")"),"ARBANATS")</f>
        <v>ARBANATS</v>
      </c>
      <c r="E17183" s="38" t="s">
        <v>462</v>
      </c>
      <c r="F17183" s="38" t="s">
        <v>252</v>
      </c>
      <c r="G17183" s="49" t="str">
        <f t="shared" si="1"/>
        <v>33640</v>
      </c>
      <c r="H17183" s="49">
        <f t="shared" si="2"/>
        <v>33007</v>
      </c>
    </row>
    <row r="17184">
      <c r="A17184" s="48" t="s">
        <v>7012</v>
      </c>
      <c r="B17184" s="38">
        <v>68084.0</v>
      </c>
      <c r="C17184" s="38" t="s">
        <v>21588</v>
      </c>
      <c r="D17184" s="38" t="str">
        <f>IFERROR(__xludf.DUMMYFUNCTION("REGEXREPLACE(C17184,""-\d+(.*)|--\d+(.*)"","""")"),"ESCHENTZWILLER")</f>
        <v>ESCHENTZWILLER</v>
      </c>
      <c r="E17184" s="38" t="s">
        <v>150</v>
      </c>
      <c r="F17184" s="38" t="s">
        <v>151</v>
      </c>
      <c r="G17184" s="49" t="str">
        <f t="shared" si="1"/>
        <v>68440</v>
      </c>
      <c r="H17184" s="49">
        <f t="shared" si="2"/>
        <v>68084</v>
      </c>
    </row>
    <row r="17185">
      <c r="A17185" s="48" t="s">
        <v>2234</v>
      </c>
      <c r="B17185" s="38">
        <v>30282.0</v>
      </c>
      <c r="C17185" s="38" t="s">
        <v>21589</v>
      </c>
      <c r="D17185" s="38" t="str">
        <f>IFERROR(__xludf.DUMMYFUNCTION("REGEXREPLACE(C17185,""-\d+(.*)|--\d+(.*)"","""")"),"SAINT-MARCEL-DE-CAREIRET")</f>
        <v>SAINT-MARCEL-DE-CAREIRET</v>
      </c>
      <c r="E17185" s="38" t="s">
        <v>526</v>
      </c>
      <c r="F17185" s="38" t="s">
        <v>119</v>
      </c>
      <c r="G17185" s="49" t="str">
        <f t="shared" si="1"/>
        <v>30330</v>
      </c>
      <c r="H17185" s="49">
        <f t="shared" si="2"/>
        <v>30282</v>
      </c>
    </row>
    <row r="17186">
      <c r="A17186" s="48" t="s">
        <v>18076</v>
      </c>
      <c r="B17186" s="38">
        <v>49231.0</v>
      </c>
      <c r="C17186" s="38" t="s">
        <v>21590</v>
      </c>
      <c r="D17186" s="38" t="str">
        <f>IFERROR(__xludf.DUMMYFUNCTION("REGEXREPLACE(C17186,""-\d+(.*)|--\d+(.*)"","""")"),"NUAILLE")</f>
        <v>NUAILLE</v>
      </c>
      <c r="E17186" s="38" t="s">
        <v>653</v>
      </c>
      <c r="F17186" s="38" t="s">
        <v>180</v>
      </c>
      <c r="G17186" s="49" t="str">
        <f t="shared" si="1"/>
        <v>49340</v>
      </c>
      <c r="H17186" s="49">
        <f t="shared" si="2"/>
        <v>49231</v>
      </c>
    </row>
    <row r="17187">
      <c r="A17187" s="48" t="s">
        <v>1033</v>
      </c>
      <c r="B17187" s="38">
        <v>67452.0</v>
      </c>
      <c r="C17187" s="38" t="s">
        <v>21591</v>
      </c>
      <c r="D17187" s="38" t="str">
        <f>IFERROR(__xludf.DUMMYFUNCTION("REGEXREPLACE(C17187,""-\d+(.*)|--\d+(.*)"","""")"),"SCHNERSHEIM")</f>
        <v>SCHNERSHEIM</v>
      </c>
      <c r="E17187" s="38" t="s">
        <v>210</v>
      </c>
      <c r="F17187" s="38" t="s">
        <v>151</v>
      </c>
      <c r="G17187" s="49" t="str">
        <f t="shared" si="1"/>
        <v>67370</v>
      </c>
      <c r="H17187" s="49">
        <f t="shared" si="2"/>
        <v>67452</v>
      </c>
    </row>
    <row r="17188">
      <c r="A17188" s="48" t="s">
        <v>8393</v>
      </c>
      <c r="B17188" s="38">
        <v>80062.0</v>
      </c>
      <c r="C17188" s="38" t="s">
        <v>21592</v>
      </c>
      <c r="D17188" s="38" t="str">
        <f>IFERROR(__xludf.DUMMYFUNCTION("REGEXREPLACE(C17188,""-\d+(.*)|--\d+(.*)"","""")"),"BEAUCAMPS-LE-VIEUX")</f>
        <v>BEAUCAMPS-LE-VIEUX</v>
      </c>
      <c r="E17188" s="38" t="s">
        <v>224</v>
      </c>
      <c r="F17188" s="38" t="s">
        <v>113</v>
      </c>
      <c r="G17188" s="49" t="str">
        <f t="shared" si="1"/>
        <v>80430</v>
      </c>
      <c r="H17188" s="49">
        <f t="shared" si="2"/>
        <v>80062</v>
      </c>
    </row>
    <row r="17189">
      <c r="A17189" s="48" t="s">
        <v>11792</v>
      </c>
      <c r="B17189" s="38">
        <v>86005.0</v>
      </c>
      <c r="C17189" s="38" t="s">
        <v>9466</v>
      </c>
      <c r="D17189" s="38" t="str">
        <f>IFERROR(__xludf.DUMMYFUNCTION("REGEXREPLACE(C17189,""-\d+(.*)|--\d+(.*)"","""")"),"ANGLIERS")</f>
        <v>ANGLIERS</v>
      </c>
      <c r="E17189" s="38" t="s">
        <v>529</v>
      </c>
      <c r="F17189" s="38" t="s">
        <v>338</v>
      </c>
      <c r="G17189" s="49" t="str">
        <f t="shared" si="1"/>
        <v>86330</v>
      </c>
      <c r="H17189" s="49">
        <f t="shared" si="2"/>
        <v>86005</v>
      </c>
    </row>
    <row r="17190">
      <c r="A17190" s="48" t="s">
        <v>4077</v>
      </c>
      <c r="B17190" s="38">
        <v>90089.0</v>
      </c>
      <c r="C17190" s="38" t="s">
        <v>21593</v>
      </c>
      <c r="D17190" s="38" t="str">
        <f>IFERROR(__xludf.DUMMYFUNCTION("REGEXREPLACE(C17190,""-\d+(.*)|--\d+(.*)"","""")"),"ROUGEMONT-LE-CHATEAU")</f>
        <v>ROUGEMONT-LE-CHATEAU</v>
      </c>
      <c r="E17190" s="38" t="s">
        <v>1283</v>
      </c>
      <c r="F17190" s="38" t="s">
        <v>214</v>
      </c>
      <c r="G17190" s="49" t="str">
        <f t="shared" si="1"/>
        <v>90110</v>
      </c>
      <c r="H17190" s="49">
        <f t="shared" si="2"/>
        <v>90089</v>
      </c>
    </row>
    <row r="17191">
      <c r="A17191" s="48" t="s">
        <v>932</v>
      </c>
      <c r="B17191" s="38">
        <v>17224.0</v>
      </c>
      <c r="C17191" s="38" t="s">
        <v>21594</v>
      </c>
      <c r="D17191" s="38" t="str">
        <f>IFERROR(__xludf.DUMMYFUNCTION("REGEXREPLACE(C17191,""-\d+(.*)|--\d+(.*)"","""")"),"MATHA")</f>
        <v>MATHA</v>
      </c>
      <c r="E17191" s="38" t="s">
        <v>488</v>
      </c>
      <c r="F17191" s="38" t="s">
        <v>338</v>
      </c>
      <c r="G17191" s="49" t="str">
        <f t="shared" si="1"/>
        <v>17160</v>
      </c>
      <c r="H17191" s="49">
        <f t="shared" si="2"/>
        <v>17224</v>
      </c>
    </row>
    <row r="17192">
      <c r="A17192" s="48" t="s">
        <v>1825</v>
      </c>
      <c r="B17192" s="38">
        <v>64114.0</v>
      </c>
      <c r="C17192" s="38" t="s">
        <v>21595</v>
      </c>
      <c r="D17192" s="38" t="str">
        <f>IFERROR(__xludf.DUMMYFUNCTION("REGEXREPLACE(C17192,""-\d+(.*)|--\d+(.*)"","""")"),"BERNADETS")</f>
        <v>BERNADETS</v>
      </c>
      <c r="E17192" s="38" t="s">
        <v>268</v>
      </c>
      <c r="F17192" s="38" t="s">
        <v>252</v>
      </c>
      <c r="G17192" s="49" t="str">
        <f t="shared" si="1"/>
        <v>64160</v>
      </c>
      <c r="H17192" s="49">
        <f t="shared" si="2"/>
        <v>64114</v>
      </c>
    </row>
    <row r="17193">
      <c r="A17193" s="48" t="s">
        <v>9127</v>
      </c>
      <c r="B17193" s="38">
        <v>43145.0</v>
      </c>
      <c r="C17193" s="38" t="s">
        <v>21596</v>
      </c>
      <c r="D17193" s="38" t="str">
        <f>IFERROR(__xludf.DUMMYFUNCTION("REGEXREPLACE(C17193,""-\d+(.*)|--\d+(.*)"","""")"),"OUIDES")</f>
        <v>OUIDES</v>
      </c>
      <c r="E17193" s="38" t="s">
        <v>332</v>
      </c>
      <c r="F17193" s="38" t="s">
        <v>161</v>
      </c>
      <c r="G17193" s="49" t="str">
        <f t="shared" si="1"/>
        <v>43510</v>
      </c>
      <c r="H17193" s="49">
        <f t="shared" si="2"/>
        <v>43145</v>
      </c>
    </row>
    <row r="17194">
      <c r="A17194" s="48" t="s">
        <v>1646</v>
      </c>
      <c r="B17194" s="38">
        <v>24459.0</v>
      </c>
      <c r="C17194" s="38" t="s">
        <v>21597</v>
      </c>
      <c r="D17194" s="38" t="str">
        <f>IFERROR(__xludf.DUMMYFUNCTION("REGEXREPLACE(C17194,""-\d+(.*)|--\d+(.*)"","""")"),"SAINT-MAIME-DE-PEREYROL")</f>
        <v>SAINT-MAIME-DE-PEREYROL</v>
      </c>
      <c r="E17194" s="38" t="s">
        <v>261</v>
      </c>
      <c r="F17194" s="38" t="s">
        <v>252</v>
      </c>
      <c r="G17194" s="49" t="str">
        <f t="shared" si="1"/>
        <v>24380</v>
      </c>
      <c r="H17194" s="49">
        <f t="shared" si="2"/>
        <v>24459</v>
      </c>
    </row>
    <row r="17195">
      <c r="A17195" s="48" t="s">
        <v>2332</v>
      </c>
      <c r="B17195" s="38">
        <v>81157.0</v>
      </c>
      <c r="C17195" s="38" t="s">
        <v>21598</v>
      </c>
      <c r="D17195" s="38" t="str">
        <f>IFERROR(__xludf.DUMMYFUNCTION("REGEXREPLACE(C17195,""-\d+(.*)|--\d+(.*)"","""")"),"MARZENS")</f>
        <v>MARZENS</v>
      </c>
      <c r="E17195" s="38" t="s">
        <v>231</v>
      </c>
      <c r="F17195" s="38" t="s">
        <v>94</v>
      </c>
      <c r="G17195" s="49" t="str">
        <f t="shared" si="1"/>
        <v>81500</v>
      </c>
      <c r="H17195" s="49">
        <f t="shared" si="2"/>
        <v>81157</v>
      </c>
    </row>
    <row r="17196">
      <c r="A17196" s="48" t="s">
        <v>18577</v>
      </c>
      <c r="B17196" s="38">
        <v>27539.0</v>
      </c>
      <c r="C17196" s="38" t="s">
        <v>21599</v>
      </c>
      <c r="D17196" s="38" t="str">
        <f>IFERROR(__xludf.DUMMYFUNCTION("REGEXREPLACE(C17196,""-\d+(.*)|--\d+(.*)"","""")"),"SAINT-ETIENNE-SOUS-BAILLEUL")</f>
        <v>SAINT-ETIENNE-SOUS-BAILLEUL</v>
      </c>
      <c r="E17196" s="38" t="s">
        <v>241</v>
      </c>
      <c r="F17196" s="38" t="s">
        <v>134</v>
      </c>
      <c r="G17196" s="49" t="str">
        <f t="shared" si="1"/>
        <v>27920</v>
      </c>
      <c r="H17196" s="49">
        <f t="shared" si="2"/>
        <v>27539</v>
      </c>
    </row>
    <row r="17197">
      <c r="A17197" s="48" t="s">
        <v>6626</v>
      </c>
      <c r="B17197" s="38">
        <v>58118.0</v>
      </c>
      <c r="C17197" s="38" t="s">
        <v>21600</v>
      </c>
      <c r="D17197" s="38" t="str">
        <f>IFERROR(__xludf.DUMMYFUNCTION("REGEXREPLACE(C17197,""-\d+(.*)|--\d+(.*)"","""")"),"FOURS")</f>
        <v>FOURS</v>
      </c>
      <c r="E17197" s="38" t="s">
        <v>219</v>
      </c>
      <c r="F17197" s="38" t="s">
        <v>106</v>
      </c>
      <c r="G17197" s="49" t="str">
        <f t="shared" si="1"/>
        <v>58250</v>
      </c>
      <c r="H17197" s="49">
        <f t="shared" si="2"/>
        <v>58118</v>
      </c>
    </row>
    <row r="17198">
      <c r="A17198" s="48" t="s">
        <v>2130</v>
      </c>
      <c r="B17198" s="38">
        <v>62227.0</v>
      </c>
      <c r="C17198" s="38" t="s">
        <v>21601</v>
      </c>
      <c r="D17198" s="38" t="str">
        <f>IFERROR(__xludf.DUMMYFUNCTION("REGEXREPLACE(C17198,""-\d+(.*)|--\d+(.*)"","""")"),"CLENLEU")</f>
        <v>CLENLEU</v>
      </c>
      <c r="E17198" s="38" t="s">
        <v>109</v>
      </c>
      <c r="F17198" s="38" t="s">
        <v>86</v>
      </c>
      <c r="G17198" s="49" t="str">
        <f t="shared" si="1"/>
        <v>62650</v>
      </c>
      <c r="H17198" s="49">
        <f t="shared" si="2"/>
        <v>62227</v>
      </c>
    </row>
    <row r="17199">
      <c r="A17199" s="48" t="s">
        <v>15544</v>
      </c>
      <c r="B17199" s="38">
        <v>88519.0</v>
      </c>
      <c r="C17199" s="38" t="s">
        <v>21602</v>
      </c>
      <c r="D17199" s="38" t="str">
        <f>IFERROR(__xludf.DUMMYFUNCTION("REGEXREPLACE(C17199,""-\d+(.*)|--\d+(.*)"","""")"),"LA VOIVRE")</f>
        <v>LA VOIVRE</v>
      </c>
      <c r="E17199" s="38" t="s">
        <v>194</v>
      </c>
      <c r="F17199" s="38" t="s">
        <v>195</v>
      </c>
      <c r="G17199" s="49" t="str">
        <f t="shared" si="1"/>
        <v>88470</v>
      </c>
      <c r="H17199" s="49">
        <f t="shared" si="2"/>
        <v>88519</v>
      </c>
    </row>
    <row r="17200">
      <c r="A17200" s="48" t="s">
        <v>12159</v>
      </c>
      <c r="B17200" s="38" t="s">
        <v>21603</v>
      </c>
      <c r="C17200" s="38" t="s">
        <v>21604</v>
      </c>
      <c r="D17200" s="38" t="str">
        <f>IFERROR(__xludf.DUMMYFUNCTION("REGEXREPLACE(C17200,""-\d+(.*)|--\d+(.*)"","""")"),"TRALONCA")</f>
        <v>TRALONCA</v>
      </c>
      <c r="E17200" s="38" t="s">
        <v>743</v>
      </c>
      <c r="F17200" s="38" t="s">
        <v>607</v>
      </c>
      <c r="G17200" s="49" t="str">
        <f t="shared" si="1"/>
        <v>20250</v>
      </c>
      <c r="H17200" s="49" t="str">
        <f t="shared" si="2"/>
        <v>2B329</v>
      </c>
    </row>
    <row r="17201">
      <c r="A17201" s="48" t="s">
        <v>18494</v>
      </c>
      <c r="B17201" s="38">
        <v>82099.0</v>
      </c>
      <c r="C17201" s="38" t="s">
        <v>21605</v>
      </c>
      <c r="D17201" s="38" t="str">
        <f>IFERROR(__xludf.DUMMYFUNCTION("REGEXREPLACE(C17201,""-\d+(.*)|--\d+(.*)"","""")"),"LIZAC")</f>
        <v>LIZAC</v>
      </c>
      <c r="E17201" s="38" t="s">
        <v>570</v>
      </c>
      <c r="F17201" s="38" t="s">
        <v>94</v>
      </c>
      <c r="G17201" s="49" t="str">
        <f t="shared" si="1"/>
        <v>82200</v>
      </c>
      <c r="H17201" s="49">
        <f t="shared" si="2"/>
        <v>82099</v>
      </c>
    </row>
    <row r="17202">
      <c r="A17202" s="48" t="s">
        <v>997</v>
      </c>
      <c r="B17202" s="38">
        <v>55503.0</v>
      </c>
      <c r="C17202" s="38" t="s">
        <v>21606</v>
      </c>
      <c r="D17202" s="38" t="str">
        <f>IFERROR(__xludf.DUMMYFUNCTION("REGEXREPLACE(C17202,""-\d+(.*)|--\d+(.*)"","""")"),"TAILLANCOURT")</f>
        <v>TAILLANCOURT</v>
      </c>
      <c r="E17202" s="38" t="s">
        <v>322</v>
      </c>
      <c r="F17202" s="38" t="s">
        <v>195</v>
      </c>
      <c r="G17202" s="49" t="str">
        <f t="shared" si="1"/>
        <v>55140</v>
      </c>
      <c r="H17202" s="49">
        <f t="shared" si="2"/>
        <v>55503</v>
      </c>
    </row>
    <row r="17203">
      <c r="A17203" s="48" t="s">
        <v>15360</v>
      </c>
      <c r="B17203" s="38">
        <v>25381.0</v>
      </c>
      <c r="C17203" s="38" t="s">
        <v>21607</v>
      </c>
      <c r="D17203" s="38" t="str">
        <f>IFERROR(__xludf.DUMMYFUNCTION("REGEXREPLACE(C17203,""-\d+(.*)|--\d+(.*)"","""")"),"MISEREY-SALINES")</f>
        <v>MISEREY-SALINES</v>
      </c>
      <c r="E17203" s="38" t="s">
        <v>213</v>
      </c>
      <c r="F17203" s="38" t="s">
        <v>214</v>
      </c>
      <c r="G17203" s="49" t="str">
        <f t="shared" si="1"/>
        <v>25480</v>
      </c>
      <c r="H17203" s="49">
        <f t="shared" si="2"/>
        <v>25381</v>
      </c>
    </row>
    <row r="17204">
      <c r="A17204" s="48" t="s">
        <v>2710</v>
      </c>
      <c r="B17204" s="38">
        <v>68186.0</v>
      </c>
      <c r="C17204" s="38" t="s">
        <v>21608</v>
      </c>
      <c r="D17204" s="38" t="str">
        <f>IFERROR(__xludf.DUMMYFUNCTION("REGEXREPLACE(C17204,""-\d+(.*)|--\d+(.*)"","""")"),"LIGSDORF")</f>
        <v>LIGSDORF</v>
      </c>
      <c r="E17204" s="38" t="s">
        <v>150</v>
      </c>
      <c r="F17204" s="38" t="s">
        <v>151</v>
      </c>
      <c r="G17204" s="49" t="str">
        <f t="shared" si="1"/>
        <v>68480</v>
      </c>
      <c r="H17204" s="49">
        <f t="shared" si="2"/>
        <v>68186</v>
      </c>
    </row>
    <row r="17205">
      <c r="A17205" s="48" t="s">
        <v>9223</v>
      </c>
      <c r="B17205" s="38">
        <v>66093.0</v>
      </c>
      <c r="C17205" s="38" t="s">
        <v>21609</v>
      </c>
      <c r="D17205" s="38" t="str">
        <f>IFERROR(__xludf.DUMMYFUNCTION("REGEXREPLACE(C17205,""-\d+(.*)|--\d+(.*)"","""")"),"LAROQUE-DES-ALBERES")</f>
        <v>LAROQUE-DES-ALBERES</v>
      </c>
      <c r="E17205" s="38" t="s">
        <v>248</v>
      </c>
      <c r="F17205" s="38" t="s">
        <v>119</v>
      </c>
      <c r="G17205" s="49" t="str">
        <f t="shared" si="1"/>
        <v>66740</v>
      </c>
      <c r="H17205" s="49">
        <f t="shared" si="2"/>
        <v>66093</v>
      </c>
    </row>
    <row r="17206">
      <c r="A17206" s="48" t="s">
        <v>2540</v>
      </c>
      <c r="B17206" s="38">
        <v>2540.0</v>
      </c>
      <c r="C17206" s="38" t="s">
        <v>21610</v>
      </c>
      <c r="D17206" s="38" t="str">
        <f>IFERROR(__xludf.DUMMYFUNCTION("REGEXREPLACE(C17206,""-\d+(.*)|--\d+(.*)"","""")"),"NESLES-LA-MONTAGNE")</f>
        <v>NESLES-LA-MONTAGNE</v>
      </c>
      <c r="E17206" s="38" t="s">
        <v>191</v>
      </c>
      <c r="F17206" s="38" t="s">
        <v>113</v>
      </c>
      <c r="G17206" s="49" t="str">
        <f t="shared" si="1"/>
        <v>02400</v>
      </c>
      <c r="H17206" s="49" t="str">
        <f t="shared" si="2"/>
        <v>02540</v>
      </c>
    </row>
    <row r="17207">
      <c r="A17207" s="48" t="s">
        <v>1018</v>
      </c>
      <c r="B17207" s="38">
        <v>60256.0</v>
      </c>
      <c r="C17207" s="38" t="s">
        <v>21611</v>
      </c>
      <c r="D17207" s="38" t="str">
        <f>IFERROR(__xludf.DUMMYFUNCTION("REGEXREPLACE(C17207,""-\d+(.*)|--\d+(.*)"","""")"),"FRESNEAUX-MONTCHEVREUIL")</f>
        <v>FRESNEAUX-MONTCHEVREUIL</v>
      </c>
      <c r="E17207" s="38" t="s">
        <v>112</v>
      </c>
      <c r="F17207" s="38" t="s">
        <v>113</v>
      </c>
      <c r="G17207" s="49" t="str">
        <f t="shared" si="1"/>
        <v>60240</v>
      </c>
      <c r="H17207" s="49">
        <f t="shared" si="2"/>
        <v>60256</v>
      </c>
    </row>
    <row r="17208">
      <c r="A17208" s="48" t="s">
        <v>1174</v>
      </c>
      <c r="B17208" s="38">
        <v>51122.0</v>
      </c>
      <c r="C17208" s="38" t="s">
        <v>12371</v>
      </c>
      <c r="D17208" s="38" t="str">
        <f>IFERROR(__xludf.DUMMYFUNCTION("REGEXREPLACE(C17208,""-\d+(.*)|--\d+(.*)"","""")"),"CHANGY")</f>
        <v>CHANGY</v>
      </c>
      <c r="E17208" s="38" t="s">
        <v>129</v>
      </c>
      <c r="F17208" s="38" t="s">
        <v>130</v>
      </c>
      <c r="G17208" s="49" t="str">
        <f t="shared" si="1"/>
        <v>51300</v>
      </c>
      <c r="H17208" s="49">
        <f t="shared" si="2"/>
        <v>51122</v>
      </c>
    </row>
    <row r="17209">
      <c r="A17209" s="48" t="s">
        <v>1632</v>
      </c>
      <c r="B17209" s="38">
        <v>63046.0</v>
      </c>
      <c r="C17209" s="38" t="s">
        <v>21612</v>
      </c>
      <c r="D17209" s="38" t="str">
        <f>IFERROR(__xludf.DUMMYFUNCTION("REGEXREPLACE(C17209,""-\d+(.*)|--\d+(.*)"","""")"),"BOUDES")</f>
        <v>BOUDES</v>
      </c>
      <c r="E17209" s="38" t="s">
        <v>353</v>
      </c>
      <c r="F17209" s="38" t="s">
        <v>161</v>
      </c>
      <c r="G17209" s="49" t="str">
        <f t="shared" si="1"/>
        <v>63340</v>
      </c>
      <c r="H17209" s="49">
        <f t="shared" si="2"/>
        <v>63046</v>
      </c>
    </row>
    <row r="17210">
      <c r="A17210" s="48" t="s">
        <v>2128</v>
      </c>
      <c r="B17210" s="38">
        <v>2364.0</v>
      </c>
      <c r="C17210" s="38" t="s">
        <v>21613</v>
      </c>
      <c r="D17210" s="38" t="str">
        <f>IFERROR(__xludf.DUMMYFUNCTION("REGEXREPLACE(C17210,""-\d+(.*)|--\d+(.*)"","""")"),"GUYENCOURT")</f>
        <v>GUYENCOURT</v>
      </c>
      <c r="E17210" s="38" t="s">
        <v>191</v>
      </c>
      <c r="F17210" s="38" t="s">
        <v>113</v>
      </c>
      <c r="G17210" s="49" t="str">
        <f t="shared" si="1"/>
        <v>02160</v>
      </c>
      <c r="H17210" s="49" t="str">
        <f t="shared" si="2"/>
        <v>02364</v>
      </c>
    </row>
    <row r="17211">
      <c r="A17211" s="48" t="s">
        <v>1570</v>
      </c>
      <c r="B17211" s="38">
        <v>16346.0</v>
      </c>
      <c r="C17211" s="38" t="s">
        <v>21614</v>
      </c>
      <c r="D17211" s="38" t="str">
        <f>IFERROR(__xludf.DUMMYFUNCTION("REGEXREPLACE(C17211,""-\d+(.*)|--\d+(.*)"","""")"),"SAINT-QUENTIN-DE-CHALAIS")</f>
        <v>SAINT-QUENTIN-DE-CHALAIS</v>
      </c>
      <c r="E17211" s="38" t="s">
        <v>429</v>
      </c>
      <c r="F17211" s="38" t="s">
        <v>338</v>
      </c>
      <c r="G17211" s="49" t="str">
        <f t="shared" si="1"/>
        <v>16210</v>
      </c>
      <c r="H17211" s="49">
        <f t="shared" si="2"/>
        <v>16346</v>
      </c>
    </row>
    <row r="17212">
      <c r="A17212" s="48" t="s">
        <v>5281</v>
      </c>
      <c r="B17212" s="38">
        <v>25166.0</v>
      </c>
      <c r="C17212" s="38" t="s">
        <v>21615</v>
      </c>
      <c r="D17212" s="38" t="str">
        <f>IFERROR(__xludf.DUMMYFUNCTION("REGEXREPLACE(C17212,""-\d+(.*)|--\d+(.*)"","""")"),"COTEBRUNE")</f>
        <v>COTEBRUNE</v>
      </c>
      <c r="E17212" s="38" t="s">
        <v>213</v>
      </c>
      <c r="F17212" s="38" t="s">
        <v>214</v>
      </c>
      <c r="G17212" s="49" t="str">
        <f t="shared" si="1"/>
        <v>25360</v>
      </c>
      <c r="H17212" s="49">
        <f t="shared" si="2"/>
        <v>25166</v>
      </c>
    </row>
    <row r="17213">
      <c r="A17213" s="48" t="s">
        <v>557</v>
      </c>
      <c r="B17213" s="38">
        <v>16249.0</v>
      </c>
      <c r="C17213" s="38" t="s">
        <v>21616</v>
      </c>
      <c r="D17213" s="38" t="str">
        <f>IFERROR(__xludf.DUMMYFUNCTION("REGEXREPLACE(C17213,""-\d+(.*)|--\d+(.*)"","""")"),"ORADOUR-FANAIS")</f>
        <v>ORADOUR-FANAIS</v>
      </c>
      <c r="E17213" s="38" t="s">
        <v>429</v>
      </c>
      <c r="F17213" s="38" t="s">
        <v>338</v>
      </c>
      <c r="G17213" s="49" t="str">
        <f t="shared" si="1"/>
        <v>16500</v>
      </c>
      <c r="H17213" s="49">
        <f t="shared" si="2"/>
        <v>16249</v>
      </c>
    </row>
    <row r="17214">
      <c r="A17214" s="48" t="s">
        <v>960</v>
      </c>
      <c r="B17214" s="38">
        <v>28117.0</v>
      </c>
      <c r="C17214" s="38" t="s">
        <v>21617</v>
      </c>
      <c r="D17214" s="38" t="str">
        <f>IFERROR(__xludf.DUMMYFUNCTION("REGEXREPLACE(C17214,""-\d+(.*)|--\d+(.*)"","""")"),"CRECY-COUVE")</f>
        <v>CRECY-COUVE</v>
      </c>
      <c r="E17214" s="38" t="s">
        <v>300</v>
      </c>
      <c r="F17214" s="38" t="s">
        <v>123</v>
      </c>
      <c r="G17214" s="49" t="str">
        <f t="shared" si="1"/>
        <v>28500</v>
      </c>
      <c r="H17214" s="49">
        <f t="shared" si="2"/>
        <v>28117</v>
      </c>
    </row>
    <row r="17215">
      <c r="A17215" s="48" t="s">
        <v>1713</v>
      </c>
      <c r="B17215" s="38">
        <v>36011.0</v>
      </c>
      <c r="C17215" s="38" t="s">
        <v>7131</v>
      </c>
      <c r="D17215" s="38" t="str">
        <f>IFERROR(__xludf.DUMMYFUNCTION("REGEXREPLACE(C17215,""-\d+(.*)|--\d+(.*)"","""")"),"BAGNEUX")</f>
        <v>BAGNEUX</v>
      </c>
      <c r="E17215" s="38" t="s">
        <v>258</v>
      </c>
      <c r="F17215" s="38" t="s">
        <v>123</v>
      </c>
      <c r="G17215" s="49" t="str">
        <f t="shared" si="1"/>
        <v>36210</v>
      </c>
      <c r="H17215" s="49">
        <f t="shared" si="2"/>
        <v>36011</v>
      </c>
    </row>
    <row r="17216">
      <c r="A17216" s="48" t="s">
        <v>5203</v>
      </c>
      <c r="B17216" s="38">
        <v>88133.0</v>
      </c>
      <c r="C17216" s="38" t="s">
        <v>21618</v>
      </c>
      <c r="D17216" s="38" t="str">
        <f>IFERROR(__xludf.DUMMYFUNCTION("REGEXREPLACE(C17216,""-\d+(.*)|--\d+(.*)"","""")"),"DIGNONVILLE")</f>
        <v>DIGNONVILLE</v>
      </c>
      <c r="E17216" s="38" t="s">
        <v>194</v>
      </c>
      <c r="F17216" s="38" t="s">
        <v>195</v>
      </c>
      <c r="G17216" s="49" t="str">
        <f t="shared" si="1"/>
        <v>88000</v>
      </c>
      <c r="H17216" s="49">
        <f t="shared" si="2"/>
        <v>88133</v>
      </c>
    </row>
    <row r="17217">
      <c r="A17217" s="48" t="s">
        <v>1953</v>
      </c>
      <c r="B17217" s="38">
        <v>36018.0</v>
      </c>
      <c r="C17217" s="38" t="s">
        <v>21619</v>
      </c>
      <c r="D17217" s="38" t="str">
        <f>IFERROR(__xludf.DUMMYFUNCTION("REGEXREPLACE(C17217,""-\d+(.*)|--\d+(.*)"","""")"),"LE BLANC")</f>
        <v>LE BLANC</v>
      </c>
      <c r="E17217" s="38" t="s">
        <v>258</v>
      </c>
      <c r="F17217" s="38" t="s">
        <v>123</v>
      </c>
      <c r="G17217" s="49" t="str">
        <f t="shared" si="1"/>
        <v>36300</v>
      </c>
      <c r="H17217" s="49">
        <f t="shared" si="2"/>
        <v>36018</v>
      </c>
    </row>
    <row r="17218">
      <c r="A17218" s="48" t="s">
        <v>425</v>
      </c>
      <c r="B17218" s="38">
        <v>88297.0</v>
      </c>
      <c r="C17218" s="38" t="s">
        <v>21620</v>
      </c>
      <c r="D17218" s="38" t="str">
        <f>IFERROR(__xludf.DUMMYFUNCTION("REGEXREPLACE(C17218,""-\d+(.*)|--\d+(.*)"","""")"),"MEMENIL")</f>
        <v>MEMENIL</v>
      </c>
      <c r="E17218" s="38" t="s">
        <v>194</v>
      </c>
      <c r="F17218" s="38" t="s">
        <v>195</v>
      </c>
      <c r="G17218" s="49" t="str">
        <f t="shared" si="1"/>
        <v>88600</v>
      </c>
      <c r="H17218" s="49">
        <f t="shared" si="2"/>
        <v>88297</v>
      </c>
    </row>
    <row r="17219">
      <c r="A17219" s="48" t="s">
        <v>19967</v>
      </c>
      <c r="B17219" s="38">
        <v>4097.0</v>
      </c>
      <c r="C17219" s="38" t="s">
        <v>21621</v>
      </c>
      <c r="D17219" s="38" t="str">
        <f>IFERROR(__xludf.DUMMYFUNCTION("REGEXREPLACE(C17219,""-\d+(.*)|--\d+(.*)"","""")"),"LA JAVIE")</f>
        <v>LA JAVIE</v>
      </c>
      <c r="E17219" s="38" t="s">
        <v>662</v>
      </c>
      <c r="F17219" s="38" t="s">
        <v>228</v>
      </c>
      <c r="G17219" s="49" t="str">
        <f t="shared" si="1"/>
        <v>04420</v>
      </c>
      <c r="H17219" s="49" t="str">
        <f t="shared" si="2"/>
        <v>04097</v>
      </c>
    </row>
    <row r="17220">
      <c r="A17220" s="48" t="s">
        <v>14093</v>
      </c>
      <c r="B17220" s="38">
        <v>1418.0</v>
      </c>
      <c r="C17220" s="38" t="s">
        <v>5366</v>
      </c>
      <c r="D17220" s="38" t="str">
        <f>IFERROR(__xludf.DUMMYFUNCTION("REGEXREPLACE(C17220,""-\d+(.*)|--\d+(.*)"","""")"),"THIL")</f>
        <v>THIL</v>
      </c>
      <c r="E17220" s="38" t="s">
        <v>255</v>
      </c>
      <c r="F17220" s="38" t="s">
        <v>102</v>
      </c>
      <c r="G17220" s="49" t="str">
        <f t="shared" si="1"/>
        <v>01120</v>
      </c>
      <c r="H17220" s="49" t="str">
        <f t="shared" si="2"/>
        <v>01418</v>
      </c>
    </row>
    <row r="17221">
      <c r="A17221" s="48" t="s">
        <v>3853</v>
      </c>
      <c r="B17221" s="38">
        <v>71389.0</v>
      </c>
      <c r="C17221" s="38" t="s">
        <v>21622</v>
      </c>
      <c r="D17221" s="38" t="str">
        <f>IFERROR(__xludf.DUMMYFUNCTION("REGEXREPLACE(C17221,""-\d+(.*)|--\d+(.*)"","""")"),"SAINT-AUBIN-SUR-LOIRE")</f>
        <v>SAINT-AUBIN-SUR-LOIRE</v>
      </c>
      <c r="E17221" s="38" t="s">
        <v>344</v>
      </c>
      <c r="F17221" s="38" t="s">
        <v>106</v>
      </c>
      <c r="G17221" s="49" t="str">
        <f t="shared" si="1"/>
        <v>71140</v>
      </c>
      <c r="H17221" s="49">
        <f t="shared" si="2"/>
        <v>71389</v>
      </c>
    </row>
    <row r="17222">
      <c r="A17222" s="48" t="s">
        <v>17233</v>
      </c>
      <c r="B17222" s="38">
        <v>73253.0</v>
      </c>
      <c r="C17222" s="38" t="s">
        <v>7456</v>
      </c>
      <c r="D17222" s="38" t="str">
        <f>IFERROR(__xludf.DUMMYFUNCTION("REGEXREPLACE(C17222,""-\d+(.*)|--\d+(.*)"","""")"),"SAINT-MARCEL")</f>
        <v>SAINT-MARCEL</v>
      </c>
      <c r="E17222" s="38" t="s">
        <v>306</v>
      </c>
      <c r="F17222" s="38" t="s">
        <v>102</v>
      </c>
      <c r="G17222" s="49" t="str">
        <f t="shared" si="1"/>
        <v>73600</v>
      </c>
      <c r="H17222" s="49">
        <f t="shared" si="2"/>
        <v>73253</v>
      </c>
    </row>
    <row r="17223">
      <c r="A17223" s="48" t="s">
        <v>9131</v>
      </c>
      <c r="B17223" s="38">
        <v>49311.0</v>
      </c>
      <c r="C17223" s="38" t="s">
        <v>21623</v>
      </c>
      <c r="D17223" s="38" t="str">
        <f>IFERROR(__xludf.DUMMYFUNCTION("REGEXREPLACE(C17223,""-\d+(.*)|--\d+(.*)"","""")"),"SAINT-PHILBERT-DU-PEUPLE")</f>
        <v>SAINT-PHILBERT-DU-PEUPLE</v>
      </c>
      <c r="E17223" s="38" t="s">
        <v>653</v>
      </c>
      <c r="F17223" s="38" t="s">
        <v>180</v>
      </c>
      <c r="G17223" s="49" t="str">
        <f t="shared" si="1"/>
        <v>49160</v>
      </c>
      <c r="H17223" s="49">
        <f t="shared" si="2"/>
        <v>49311</v>
      </c>
    </row>
    <row r="17224">
      <c r="A17224" s="48" t="s">
        <v>4158</v>
      </c>
      <c r="B17224" s="38">
        <v>38083.0</v>
      </c>
      <c r="C17224" s="38" t="s">
        <v>21624</v>
      </c>
      <c r="D17224" s="38" t="str">
        <f>IFERROR(__xludf.DUMMYFUNCTION("REGEXREPLACE(C17224,""-\d+(.*)|--\d+(.*)"","""")"),"CHARETTE")</f>
        <v>CHARETTE</v>
      </c>
      <c r="E17224" s="38" t="s">
        <v>101</v>
      </c>
      <c r="F17224" s="38" t="s">
        <v>102</v>
      </c>
      <c r="G17224" s="49" t="str">
        <f t="shared" si="1"/>
        <v>38390</v>
      </c>
      <c r="H17224" s="49">
        <f t="shared" si="2"/>
        <v>38083</v>
      </c>
    </row>
    <row r="17225">
      <c r="A17225" s="48" t="s">
        <v>2788</v>
      </c>
      <c r="B17225" s="38">
        <v>35021.0</v>
      </c>
      <c r="C17225" s="38" t="s">
        <v>21625</v>
      </c>
      <c r="D17225" s="38" t="str">
        <f>IFERROR(__xludf.DUMMYFUNCTION("REGEXREPLACE(C17225,""-\d+(.*)|--\d+(.*)"","""")"),"BEAUCE")</f>
        <v>BEAUCE</v>
      </c>
      <c r="E17225" s="38" t="s">
        <v>347</v>
      </c>
      <c r="F17225" s="38" t="s">
        <v>90</v>
      </c>
      <c r="G17225" s="49" t="str">
        <f t="shared" si="1"/>
        <v>35133</v>
      </c>
      <c r="H17225" s="49">
        <f t="shared" si="2"/>
        <v>35021</v>
      </c>
    </row>
    <row r="17226">
      <c r="A17226" s="48" t="s">
        <v>1686</v>
      </c>
      <c r="B17226" s="38">
        <v>51585.0</v>
      </c>
      <c r="C17226" s="38" t="s">
        <v>21626</v>
      </c>
      <c r="D17226" s="38" t="str">
        <f>IFERROR(__xludf.DUMMYFUNCTION("REGEXREPLACE(C17226,""-\d+(.*)|--\d+(.*)"","""")"),"TROISSY")</f>
        <v>TROISSY</v>
      </c>
      <c r="E17226" s="38" t="s">
        <v>129</v>
      </c>
      <c r="F17226" s="38" t="s">
        <v>130</v>
      </c>
      <c r="G17226" s="49" t="str">
        <f t="shared" si="1"/>
        <v>51700</v>
      </c>
      <c r="H17226" s="49">
        <f t="shared" si="2"/>
        <v>51585</v>
      </c>
    </row>
    <row r="17227">
      <c r="A17227" s="48" t="s">
        <v>8504</v>
      </c>
      <c r="B17227" s="38">
        <v>34065.0</v>
      </c>
      <c r="C17227" s="38" t="s">
        <v>21627</v>
      </c>
      <c r="D17227" s="38" t="str">
        <f>IFERROR(__xludf.DUMMYFUNCTION("REGEXREPLACE(C17227,""-\d+(.*)|--\d+(.*)"","""")"),"CAZEDARNES")</f>
        <v>CAZEDARNES</v>
      </c>
      <c r="E17227" s="38" t="s">
        <v>118</v>
      </c>
      <c r="F17227" s="38" t="s">
        <v>119</v>
      </c>
      <c r="G17227" s="49" t="str">
        <f t="shared" si="1"/>
        <v>34460</v>
      </c>
      <c r="H17227" s="49">
        <f t="shared" si="2"/>
        <v>34065</v>
      </c>
    </row>
    <row r="17228">
      <c r="A17228" s="48" t="s">
        <v>7514</v>
      </c>
      <c r="B17228" s="38">
        <v>88058.0</v>
      </c>
      <c r="C17228" s="38" t="s">
        <v>21628</v>
      </c>
      <c r="D17228" s="38" t="str">
        <f>IFERROR(__xludf.DUMMYFUNCTION("REGEXREPLACE(C17228,""-\d+(.*)|--\d+(.*)"","""")"),"BIECOURT")</f>
        <v>BIECOURT</v>
      </c>
      <c r="E17228" s="38" t="s">
        <v>194</v>
      </c>
      <c r="F17228" s="38" t="s">
        <v>195</v>
      </c>
      <c r="G17228" s="49" t="str">
        <f t="shared" si="1"/>
        <v>88170</v>
      </c>
      <c r="H17228" s="49">
        <f t="shared" si="2"/>
        <v>88058</v>
      </c>
    </row>
    <row r="17229">
      <c r="A17229" s="48" t="s">
        <v>8267</v>
      </c>
      <c r="B17229" s="38">
        <v>22293.0</v>
      </c>
      <c r="C17229" s="38" t="s">
        <v>21629</v>
      </c>
      <c r="D17229" s="38" t="str">
        <f>IFERROR(__xludf.DUMMYFUNCTION("REGEXREPLACE(C17229,""-\d+(.*)|--\d+(.*)"","""")"),"SAINT-GILLES-LES-BOIS")</f>
        <v>SAINT-GILLES-LES-BOIS</v>
      </c>
      <c r="E17229" s="38" t="s">
        <v>89</v>
      </c>
      <c r="F17229" s="38" t="s">
        <v>90</v>
      </c>
      <c r="G17229" s="49" t="str">
        <f t="shared" si="1"/>
        <v>22290</v>
      </c>
      <c r="H17229" s="49">
        <f t="shared" si="2"/>
        <v>22293</v>
      </c>
    </row>
    <row r="17230">
      <c r="A17230" s="48" t="s">
        <v>20103</v>
      </c>
      <c r="B17230" s="38">
        <v>59448.0</v>
      </c>
      <c r="C17230" s="38" t="s">
        <v>21630</v>
      </c>
      <c r="D17230" s="38" t="str">
        <f>IFERROR(__xludf.DUMMYFUNCTION("REGEXREPLACE(C17230,""-\d+(.*)|--\d+(.*)"","""")"),"OOST-CAPPEL")</f>
        <v>OOST-CAPPEL</v>
      </c>
      <c r="E17230" s="38" t="s">
        <v>85</v>
      </c>
      <c r="F17230" s="38" t="s">
        <v>86</v>
      </c>
      <c r="G17230" s="49" t="str">
        <f t="shared" si="1"/>
        <v>59122</v>
      </c>
      <c r="H17230" s="49">
        <f t="shared" si="2"/>
        <v>59448</v>
      </c>
    </row>
    <row r="17231">
      <c r="A17231" s="48" t="s">
        <v>2563</v>
      </c>
      <c r="B17231" s="38">
        <v>76107.0</v>
      </c>
      <c r="C17231" s="38" t="s">
        <v>21631</v>
      </c>
      <c r="D17231" s="38" t="str">
        <f>IFERROR(__xludf.DUMMYFUNCTION("REGEXREPLACE(C17231,""-\d+(.*)|--\d+(.*)"","""")"),"BOIS-GUILBERT")</f>
        <v>BOIS-GUILBERT</v>
      </c>
      <c r="E17231" s="38" t="s">
        <v>133</v>
      </c>
      <c r="F17231" s="38" t="s">
        <v>134</v>
      </c>
      <c r="G17231" s="49" t="str">
        <f t="shared" si="1"/>
        <v>76750</v>
      </c>
      <c r="H17231" s="49">
        <f t="shared" si="2"/>
        <v>76107</v>
      </c>
    </row>
    <row r="17232">
      <c r="A17232" s="48" t="s">
        <v>792</v>
      </c>
      <c r="B17232" s="38">
        <v>2227.0</v>
      </c>
      <c r="C17232" s="38" t="s">
        <v>21632</v>
      </c>
      <c r="D17232" s="38" t="str">
        <f>IFERROR(__xludf.DUMMYFUNCTION("REGEXREPLACE(C17232,""-\d+(.*)|--\d+(.*)"","""")"),"COURMONT")</f>
        <v>COURMONT</v>
      </c>
      <c r="E17232" s="38" t="s">
        <v>191</v>
      </c>
      <c r="F17232" s="38" t="s">
        <v>113</v>
      </c>
      <c r="G17232" s="49" t="str">
        <f t="shared" si="1"/>
        <v>02130</v>
      </c>
      <c r="H17232" s="49" t="str">
        <f t="shared" si="2"/>
        <v>02227</v>
      </c>
    </row>
    <row r="17233">
      <c r="A17233" s="48" t="s">
        <v>21633</v>
      </c>
      <c r="B17233" s="38">
        <v>34344.0</v>
      </c>
      <c r="C17233" s="38" t="s">
        <v>21634</v>
      </c>
      <c r="D17233" s="38" t="str">
        <f>IFERROR(__xludf.DUMMYFUNCTION("REGEXREPLACE(C17233,""-\d+(.*)|--\d+(.*)"","""")"),"LA GRANDE-MOTTE")</f>
        <v>LA GRANDE-MOTTE</v>
      </c>
      <c r="E17233" s="38" t="s">
        <v>118</v>
      </c>
      <c r="F17233" s="38" t="s">
        <v>119</v>
      </c>
      <c r="G17233" s="49" t="str">
        <f t="shared" si="1"/>
        <v>34280</v>
      </c>
      <c r="H17233" s="49">
        <f t="shared" si="2"/>
        <v>34344</v>
      </c>
    </row>
    <row r="17234">
      <c r="A17234" s="48" t="s">
        <v>868</v>
      </c>
      <c r="B17234" s="38">
        <v>33191.0</v>
      </c>
      <c r="C17234" s="38" t="s">
        <v>21635</v>
      </c>
      <c r="D17234" s="38" t="str">
        <f>IFERROR(__xludf.DUMMYFUNCTION("REGEXREPLACE(C17234,""-\d+(.*)|--\d+(.*)"","""")"),"GOURS")</f>
        <v>GOURS</v>
      </c>
      <c r="E17234" s="38" t="s">
        <v>462</v>
      </c>
      <c r="F17234" s="38" t="s">
        <v>252</v>
      </c>
      <c r="G17234" s="49" t="str">
        <f t="shared" si="1"/>
        <v>33660</v>
      </c>
      <c r="H17234" s="49">
        <f t="shared" si="2"/>
        <v>33191</v>
      </c>
    </row>
    <row r="17235">
      <c r="A17235" s="48" t="s">
        <v>236</v>
      </c>
      <c r="B17235" s="38">
        <v>9229.0</v>
      </c>
      <c r="C17235" s="38" t="s">
        <v>21636</v>
      </c>
      <c r="D17235" s="38" t="str">
        <f>IFERROR(__xludf.DUMMYFUNCTION("REGEXREPLACE(C17235,""-\d+(.*)|--\d+(.*)"","""")"),"LE PEYRAT")</f>
        <v>LE PEYRAT</v>
      </c>
      <c r="E17235" s="38" t="s">
        <v>238</v>
      </c>
      <c r="F17235" s="38" t="s">
        <v>94</v>
      </c>
      <c r="G17235" s="49" t="str">
        <f t="shared" si="1"/>
        <v>09600</v>
      </c>
      <c r="H17235" s="49" t="str">
        <f t="shared" si="2"/>
        <v>09229</v>
      </c>
    </row>
    <row r="17236">
      <c r="A17236" s="48" t="s">
        <v>7744</v>
      </c>
      <c r="B17236" s="38">
        <v>54033.0</v>
      </c>
      <c r="C17236" s="38" t="s">
        <v>21637</v>
      </c>
      <c r="D17236" s="38" t="str">
        <f>IFERROR(__xludf.DUMMYFUNCTION("REGEXREPLACE(C17236,""-\d+(.*)|--\d+(.*)"","""")"),"AVILLERS")</f>
        <v>AVILLERS</v>
      </c>
      <c r="E17236" s="38" t="s">
        <v>548</v>
      </c>
      <c r="F17236" s="38" t="s">
        <v>195</v>
      </c>
      <c r="G17236" s="49" t="str">
        <f t="shared" si="1"/>
        <v>54490</v>
      </c>
      <c r="H17236" s="49">
        <f t="shared" si="2"/>
        <v>54033</v>
      </c>
    </row>
    <row r="17237">
      <c r="A17237" s="48" t="s">
        <v>1864</v>
      </c>
      <c r="B17237" s="38">
        <v>70273.0</v>
      </c>
      <c r="C17237" s="38" t="s">
        <v>21638</v>
      </c>
      <c r="D17237" s="38" t="str">
        <f>IFERROR(__xludf.DUMMYFUNCTION("REGEXREPLACE(C17237,""-\d+(.*)|--\d+(.*)"","""")"),"GRAMMONT")</f>
        <v>GRAMMONT</v>
      </c>
      <c r="E17237" s="38" t="s">
        <v>956</v>
      </c>
      <c r="F17237" s="38" t="s">
        <v>214</v>
      </c>
      <c r="G17237" s="49" t="str">
        <f t="shared" si="1"/>
        <v>70110</v>
      </c>
      <c r="H17237" s="49">
        <f t="shared" si="2"/>
        <v>70273</v>
      </c>
    </row>
    <row r="17238">
      <c r="A17238" s="48" t="s">
        <v>21639</v>
      </c>
      <c r="B17238" s="38">
        <v>23016.0</v>
      </c>
      <c r="C17238" s="38" t="s">
        <v>21640</v>
      </c>
      <c r="D17238" s="38" t="str">
        <f>IFERROR(__xludf.DUMMYFUNCTION("REGEXREPLACE(C17238,""-\d+(.*)|--\d+(.*)"","""")"),"BANIZE")</f>
        <v>BANIZE</v>
      </c>
      <c r="E17238" s="38" t="s">
        <v>97</v>
      </c>
      <c r="F17238" s="38" t="s">
        <v>98</v>
      </c>
      <c r="G17238" s="49" t="str">
        <f t="shared" si="1"/>
        <v>23120</v>
      </c>
      <c r="H17238" s="49">
        <f t="shared" si="2"/>
        <v>23016</v>
      </c>
    </row>
    <row r="17239">
      <c r="A17239" s="48" t="s">
        <v>1327</v>
      </c>
      <c r="B17239" s="38">
        <v>51069.0</v>
      </c>
      <c r="C17239" s="38" t="s">
        <v>20310</v>
      </c>
      <c r="D17239" s="38" t="str">
        <f>IFERROR(__xludf.DUMMYFUNCTION("REGEXREPLACE(C17239,""-\d+(.*)|--\d+(.*)"","""")"),"BLIGNY")</f>
        <v>BLIGNY</v>
      </c>
      <c r="E17239" s="38" t="s">
        <v>129</v>
      </c>
      <c r="F17239" s="38" t="s">
        <v>130</v>
      </c>
      <c r="G17239" s="49" t="str">
        <f t="shared" si="1"/>
        <v>51170</v>
      </c>
      <c r="H17239" s="49">
        <f t="shared" si="2"/>
        <v>51069</v>
      </c>
    </row>
    <row r="17240">
      <c r="A17240" s="48" t="s">
        <v>8892</v>
      </c>
      <c r="B17240" s="38">
        <v>60355.0</v>
      </c>
      <c r="C17240" s="38" t="s">
        <v>21641</v>
      </c>
      <c r="D17240" s="38" t="str">
        <f>IFERROR(__xludf.DUMMYFUNCTION("REGEXREPLACE(C17240,""-\d+(.*)|--\d+(.*)"","""")"),"LAVERSINES")</f>
        <v>LAVERSINES</v>
      </c>
      <c r="E17240" s="38" t="s">
        <v>112</v>
      </c>
      <c r="F17240" s="38" t="s">
        <v>113</v>
      </c>
      <c r="G17240" s="49" t="str">
        <f t="shared" si="1"/>
        <v>60510</v>
      </c>
      <c r="H17240" s="49">
        <f t="shared" si="2"/>
        <v>60355</v>
      </c>
    </row>
    <row r="17241">
      <c r="A17241" s="48" t="s">
        <v>21642</v>
      </c>
      <c r="B17241" s="38">
        <v>27470.0</v>
      </c>
      <c r="C17241" s="38" t="s">
        <v>21643</v>
      </c>
      <c r="D17241" s="38" t="str">
        <f>IFERROR(__xludf.DUMMYFUNCTION("REGEXREPLACE(C17241,""-\d+(.*)|--\d+(.*)"","""")"),"PONT-SAINT-PIERRE")</f>
        <v>PONT-SAINT-PIERRE</v>
      </c>
      <c r="E17241" s="38" t="s">
        <v>241</v>
      </c>
      <c r="F17241" s="38" t="s">
        <v>134</v>
      </c>
      <c r="G17241" s="49" t="str">
        <f t="shared" si="1"/>
        <v>27360</v>
      </c>
      <c r="H17241" s="49">
        <f t="shared" si="2"/>
        <v>27470</v>
      </c>
    </row>
    <row r="17242">
      <c r="A17242" s="48" t="s">
        <v>21644</v>
      </c>
      <c r="B17242" s="38">
        <v>54298.0</v>
      </c>
      <c r="C17242" s="38" t="s">
        <v>21645</v>
      </c>
      <c r="D17242" s="38" t="str">
        <f>IFERROR(__xludf.DUMMYFUNCTION("REGEXREPLACE(C17242,""-\d+(.*)|--\d+(.*)"","""")"),"LANEUVEVILLE-DERRIERE-FOUG")</f>
        <v>LANEUVEVILLE-DERRIERE-FOUG</v>
      </c>
      <c r="E17242" s="38" t="s">
        <v>548</v>
      </c>
      <c r="F17242" s="38" t="s">
        <v>195</v>
      </c>
      <c r="G17242" s="49" t="str">
        <f t="shared" si="1"/>
        <v>54570</v>
      </c>
      <c r="H17242" s="49">
        <f t="shared" si="2"/>
        <v>54298</v>
      </c>
    </row>
    <row r="17243">
      <c r="A17243" s="48" t="s">
        <v>2592</v>
      </c>
      <c r="B17243" s="38">
        <v>34208.0</v>
      </c>
      <c r="C17243" s="38" t="s">
        <v>21646</v>
      </c>
      <c r="D17243" s="38" t="str">
        <f>IFERROR(__xludf.DUMMYFUNCTION("REGEXREPLACE(C17243,""-\d+(.*)|--\d+(.*)"","""")"),"POPIAN")</f>
        <v>POPIAN</v>
      </c>
      <c r="E17243" s="38" t="s">
        <v>118</v>
      </c>
      <c r="F17243" s="38" t="s">
        <v>119</v>
      </c>
      <c r="G17243" s="49" t="str">
        <f t="shared" si="1"/>
        <v>34230</v>
      </c>
      <c r="H17243" s="49">
        <f t="shared" si="2"/>
        <v>34208</v>
      </c>
    </row>
    <row r="17244">
      <c r="A17244" s="48" t="s">
        <v>14148</v>
      </c>
      <c r="B17244" s="38">
        <v>31330.0</v>
      </c>
      <c r="C17244" s="38" t="s">
        <v>21647</v>
      </c>
      <c r="D17244" s="38" t="str">
        <f>IFERROR(__xludf.DUMMYFUNCTION("REGEXREPLACE(C17244,""-\d+(.*)|--\d+(.*)"","""")"),"MAURESSAC")</f>
        <v>MAURESSAC</v>
      </c>
      <c r="E17244" s="38" t="s">
        <v>93</v>
      </c>
      <c r="F17244" s="38" t="s">
        <v>94</v>
      </c>
      <c r="G17244" s="49" t="str">
        <f t="shared" si="1"/>
        <v>31190</v>
      </c>
      <c r="H17244" s="49">
        <f t="shared" si="2"/>
        <v>31330</v>
      </c>
    </row>
    <row r="17245">
      <c r="A17245" s="48" t="s">
        <v>7712</v>
      </c>
      <c r="B17245" s="38">
        <v>9044.0</v>
      </c>
      <c r="C17245" s="38" t="s">
        <v>21648</v>
      </c>
      <c r="D17245" s="38" t="str">
        <f>IFERROR(__xludf.DUMMYFUNCTION("REGEXREPLACE(C17245,""-\d+(.*)|--\d+(.*)"","""")"),"BAULOU")</f>
        <v>BAULOU</v>
      </c>
      <c r="E17245" s="38" t="s">
        <v>238</v>
      </c>
      <c r="F17245" s="38" t="s">
        <v>94</v>
      </c>
      <c r="G17245" s="49" t="str">
        <f t="shared" si="1"/>
        <v>09000</v>
      </c>
      <c r="H17245" s="49" t="str">
        <f t="shared" si="2"/>
        <v>09044</v>
      </c>
    </row>
    <row r="17246">
      <c r="A17246" s="48" t="s">
        <v>17233</v>
      </c>
      <c r="B17246" s="38">
        <v>73321.0</v>
      </c>
      <c r="C17246" s="38" t="s">
        <v>21649</v>
      </c>
      <c r="D17246" s="38" t="str">
        <f>IFERROR(__xludf.DUMMYFUNCTION("REGEXREPLACE(C17246,""-\d+(.*)|--\d+(.*)"","""")"),"VILLARLURIN")</f>
        <v>VILLARLURIN</v>
      </c>
      <c r="E17246" s="38" t="s">
        <v>306</v>
      </c>
      <c r="F17246" s="38" t="s">
        <v>102</v>
      </c>
      <c r="G17246" s="49" t="str">
        <f t="shared" si="1"/>
        <v>73600</v>
      </c>
      <c r="H17246" s="49">
        <f t="shared" si="2"/>
        <v>73321</v>
      </c>
    </row>
    <row r="17247">
      <c r="A17247" s="48" t="s">
        <v>21650</v>
      </c>
      <c r="B17247" s="38">
        <v>83068.0</v>
      </c>
      <c r="C17247" s="38" t="s">
        <v>21651</v>
      </c>
      <c r="D17247" s="38" t="str">
        <f>IFERROR(__xludf.DUMMYFUNCTION("REGEXREPLACE(C17247,""-\d+(.*)|--\d+(.*)"","""")"),"GRIMAUD")</f>
        <v>GRIMAUD</v>
      </c>
      <c r="E17247" s="38" t="s">
        <v>813</v>
      </c>
      <c r="F17247" s="38" t="s">
        <v>228</v>
      </c>
      <c r="G17247" s="49" t="str">
        <f t="shared" si="1"/>
        <v>83310</v>
      </c>
      <c r="H17247" s="49">
        <f t="shared" si="2"/>
        <v>83068</v>
      </c>
    </row>
    <row r="17248">
      <c r="A17248" s="48" t="s">
        <v>7514</v>
      </c>
      <c r="B17248" s="38">
        <v>88095.0</v>
      </c>
      <c r="C17248" s="38" t="s">
        <v>8060</v>
      </c>
      <c r="D17248" s="38" t="str">
        <f>IFERROR(__xludf.DUMMYFUNCTION("REGEXREPLACE(C17248,""-\d+(.*)|--\d+(.*)"","""")"),"CHATENOIS")</f>
        <v>CHATENOIS</v>
      </c>
      <c r="E17248" s="38" t="s">
        <v>194</v>
      </c>
      <c r="F17248" s="38" t="s">
        <v>195</v>
      </c>
      <c r="G17248" s="49" t="str">
        <f t="shared" si="1"/>
        <v>88170</v>
      </c>
      <c r="H17248" s="49">
        <f t="shared" si="2"/>
        <v>88095</v>
      </c>
    </row>
    <row r="17249">
      <c r="A17249" s="48" t="s">
        <v>2710</v>
      </c>
      <c r="B17249" s="38">
        <v>68092.0</v>
      </c>
      <c r="C17249" s="38" t="s">
        <v>21652</v>
      </c>
      <c r="D17249" s="38" t="str">
        <f>IFERROR(__xludf.DUMMYFUNCTION("REGEXREPLACE(C17249,""-\d+(.*)|--\d+(.*)"","""")"),"FISLIS")</f>
        <v>FISLIS</v>
      </c>
      <c r="E17249" s="38" t="s">
        <v>150</v>
      </c>
      <c r="F17249" s="38" t="s">
        <v>151</v>
      </c>
      <c r="G17249" s="49" t="str">
        <f t="shared" si="1"/>
        <v>68480</v>
      </c>
      <c r="H17249" s="49">
        <f t="shared" si="2"/>
        <v>68092</v>
      </c>
    </row>
    <row r="17250">
      <c r="A17250" s="48" t="s">
        <v>1659</v>
      </c>
      <c r="B17250" s="38">
        <v>45254.0</v>
      </c>
      <c r="C17250" s="38" t="s">
        <v>21653</v>
      </c>
      <c r="D17250" s="38" t="str">
        <f>IFERROR(__xludf.DUMMYFUNCTION("REGEXREPLACE(C17250,""-\d+(.*)|--\d+(.*)"","""")"),"POILLY-LEZ-GIEN")</f>
        <v>POILLY-LEZ-GIEN</v>
      </c>
      <c r="E17250" s="38" t="s">
        <v>122</v>
      </c>
      <c r="F17250" s="38" t="s">
        <v>123</v>
      </c>
      <c r="G17250" s="49" t="str">
        <f t="shared" si="1"/>
        <v>45500</v>
      </c>
      <c r="H17250" s="49">
        <f t="shared" si="2"/>
        <v>45254</v>
      </c>
    </row>
    <row r="17251">
      <c r="A17251" s="48" t="s">
        <v>171</v>
      </c>
      <c r="B17251" s="38">
        <v>56191.0</v>
      </c>
      <c r="C17251" s="38" t="s">
        <v>21654</v>
      </c>
      <c r="D17251" s="38" t="str">
        <f>IFERROR(__xludf.DUMMYFUNCTION("REGEXREPLACE(C17251,""-\d+(.*)|--\d+(.*)"","""")"),"REMINIAC")</f>
        <v>REMINIAC</v>
      </c>
      <c r="E17251" s="38" t="s">
        <v>173</v>
      </c>
      <c r="F17251" s="38" t="s">
        <v>90</v>
      </c>
      <c r="G17251" s="49" t="str">
        <f t="shared" si="1"/>
        <v>56140</v>
      </c>
      <c r="H17251" s="49">
        <f t="shared" si="2"/>
        <v>56191</v>
      </c>
    </row>
    <row r="17252">
      <c r="A17252" s="48" t="s">
        <v>1022</v>
      </c>
      <c r="B17252" s="38">
        <v>2450.0</v>
      </c>
      <c r="C17252" s="38" t="s">
        <v>21655</v>
      </c>
      <c r="D17252" s="38" t="str">
        <f>IFERROR(__xludf.DUMMYFUNCTION("REGEXREPLACE(C17252,""-\d+(.*)|--\d+(.*)"","""")"),"MACQUIGNY")</f>
        <v>MACQUIGNY</v>
      </c>
      <c r="E17252" s="38" t="s">
        <v>191</v>
      </c>
      <c r="F17252" s="38" t="s">
        <v>113</v>
      </c>
      <c r="G17252" s="49" t="str">
        <f t="shared" si="1"/>
        <v>02120</v>
      </c>
      <c r="H17252" s="49" t="str">
        <f t="shared" si="2"/>
        <v>02450</v>
      </c>
    </row>
    <row r="17253">
      <c r="A17253" s="48" t="s">
        <v>5587</v>
      </c>
      <c r="B17253" s="38">
        <v>3225.0</v>
      </c>
      <c r="C17253" s="38" t="s">
        <v>21656</v>
      </c>
      <c r="D17253" s="38" t="str">
        <f>IFERROR(__xludf.DUMMYFUNCTION("REGEXREPLACE(C17253,""-\d+(.*)|--\d+(.*)"","""")"),"SAINT-DESIRE")</f>
        <v>SAINT-DESIRE</v>
      </c>
      <c r="E17253" s="38" t="s">
        <v>160</v>
      </c>
      <c r="F17253" s="38" t="s">
        <v>161</v>
      </c>
      <c r="G17253" s="49" t="str">
        <f t="shared" si="1"/>
        <v>03370</v>
      </c>
      <c r="H17253" s="49" t="str">
        <f t="shared" si="2"/>
        <v>03225</v>
      </c>
    </row>
    <row r="17254">
      <c r="A17254" s="48" t="s">
        <v>239</v>
      </c>
      <c r="B17254" s="38">
        <v>27524.0</v>
      </c>
      <c r="C17254" s="38" t="s">
        <v>21657</v>
      </c>
      <c r="D17254" s="38" t="str">
        <f>IFERROR(__xludf.DUMMYFUNCTION("REGEXREPLACE(C17254,""-\d+(.*)|--\d+(.*)"","""")"),"SAINTE-COLOMBE-LA-COMMANDERIE")</f>
        <v>SAINTE-COLOMBE-LA-COMMANDERIE</v>
      </c>
      <c r="E17254" s="38" t="s">
        <v>241</v>
      </c>
      <c r="F17254" s="38" t="s">
        <v>134</v>
      </c>
      <c r="G17254" s="49" t="str">
        <f t="shared" si="1"/>
        <v>27110</v>
      </c>
      <c r="H17254" s="49">
        <f t="shared" si="2"/>
        <v>27524</v>
      </c>
    </row>
    <row r="17255">
      <c r="A17255" s="48" t="s">
        <v>2340</v>
      </c>
      <c r="B17255" s="38">
        <v>21310.0</v>
      </c>
      <c r="C17255" s="38" t="s">
        <v>21658</v>
      </c>
      <c r="D17255" s="38" t="str">
        <f>IFERROR(__xludf.DUMMYFUNCTION("REGEXREPLACE(C17255,""-\d+(.*)|--\d+(.*)"","""")"),"GROSBOIS-EN-MONTAGNE")</f>
        <v>GROSBOIS-EN-MONTAGNE</v>
      </c>
      <c r="E17255" s="38" t="s">
        <v>105</v>
      </c>
      <c r="F17255" s="38" t="s">
        <v>106</v>
      </c>
      <c r="G17255" s="49" t="str">
        <f t="shared" si="1"/>
        <v>21540</v>
      </c>
      <c r="H17255" s="49">
        <f t="shared" si="2"/>
        <v>21310</v>
      </c>
    </row>
    <row r="17256">
      <c r="A17256" s="48" t="s">
        <v>201</v>
      </c>
      <c r="B17256" s="38">
        <v>2299.0</v>
      </c>
      <c r="C17256" s="38" t="s">
        <v>21659</v>
      </c>
      <c r="D17256" s="38" t="str">
        <f>IFERROR(__xludf.DUMMYFUNCTION("REGEXREPLACE(C17256,""-\d+(.*)|--\d+(.*)"","""")"),"EVERGNICOURT")</f>
        <v>EVERGNICOURT</v>
      </c>
      <c r="E17256" s="38" t="s">
        <v>191</v>
      </c>
      <c r="F17256" s="38" t="s">
        <v>113</v>
      </c>
      <c r="G17256" s="49" t="str">
        <f t="shared" si="1"/>
        <v>02190</v>
      </c>
      <c r="H17256" s="49" t="str">
        <f t="shared" si="2"/>
        <v>02299</v>
      </c>
    </row>
    <row r="17257">
      <c r="A17257" s="48" t="s">
        <v>6664</v>
      </c>
      <c r="B17257" s="38">
        <v>33133.0</v>
      </c>
      <c r="C17257" s="38" t="s">
        <v>21660</v>
      </c>
      <c r="D17257" s="38" t="str">
        <f>IFERROR(__xludf.DUMMYFUNCTION("REGEXREPLACE(C17257,""-\d+(.*)|--\d+(.*)"","""")"),"COUBEYRAC")</f>
        <v>COUBEYRAC</v>
      </c>
      <c r="E17257" s="38" t="s">
        <v>462</v>
      </c>
      <c r="F17257" s="38" t="s">
        <v>252</v>
      </c>
      <c r="G17257" s="49" t="str">
        <f t="shared" si="1"/>
        <v>33890</v>
      </c>
      <c r="H17257" s="49">
        <f t="shared" si="2"/>
        <v>33133</v>
      </c>
    </row>
    <row r="17258">
      <c r="A17258" s="48" t="s">
        <v>6292</v>
      </c>
      <c r="B17258" s="38">
        <v>63087.0</v>
      </c>
      <c r="C17258" s="38" t="s">
        <v>21661</v>
      </c>
      <c r="D17258" s="38" t="str">
        <f>IFERROR(__xludf.DUMMYFUNCTION("REGEXREPLACE(C17258,""-\d+(.*)|--\d+(.*)"","""")"),"LA CHAPELLE-MARCOUSSE")</f>
        <v>LA CHAPELLE-MARCOUSSE</v>
      </c>
      <c r="E17258" s="38" t="s">
        <v>353</v>
      </c>
      <c r="F17258" s="38" t="s">
        <v>161</v>
      </c>
      <c r="G17258" s="49" t="str">
        <f t="shared" si="1"/>
        <v>63420</v>
      </c>
      <c r="H17258" s="49">
        <f t="shared" si="2"/>
        <v>63087</v>
      </c>
    </row>
    <row r="17259">
      <c r="A17259" s="48" t="s">
        <v>6690</v>
      </c>
      <c r="B17259" s="38">
        <v>38397.0</v>
      </c>
      <c r="C17259" s="38" t="s">
        <v>21662</v>
      </c>
      <c r="D17259" s="38" t="str">
        <f>IFERROR(__xludf.DUMMYFUNCTION("REGEXREPLACE(C17259,""-\d+(.*)|--\d+(.*)"","""")"),"SAINT-ISMIER")</f>
        <v>SAINT-ISMIER</v>
      </c>
      <c r="E17259" s="38" t="s">
        <v>101</v>
      </c>
      <c r="F17259" s="38" t="s">
        <v>102</v>
      </c>
      <c r="G17259" s="49" t="str">
        <f t="shared" si="1"/>
        <v>38330</v>
      </c>
      <c r="H17259" s="49">
        <f t="shared" si="2"/>
        <v>38397</v>
      </c>
    </row>
    <row r="17260">
      <c r="A17260" s="48" t="s">
        <v>3127</v>
      </c>
      <c r="B17260" s="38">
        <v>70170.0</v>
      </c>
      <c r="C17260" s="38" t="s">
        <v>21663</v>
      </c>
      <c r="D17260" s="38" t="str">
        <f>IFERROR(__xludf.DUMMYFUNCTION("REGEXREPLACE(C17260,""-\d+(.*)|--\d+(.*)"","""")"),"CONTREGLISE")</f>
        <v>CONTREGLISE</v>
      </c>
      <c r="E17260" s="38" t="s">
        <v>956</v>
      </c>
      <c r="F17260" s="38" t="s">
        <v>214</v>
      </c>
      <c r="G17260" s="49" t="str">
        <f t="shared" si="1"/>
        <v>70160</v>
      </c>
      <c r="H17260" s="49">
        <f t="shared" si="2"/>
        <v>70170</v>
      </c>
    </row>
    <row r="17261">
      <c r="A17261" s="48" t="s">
        <v>2149</v>
      </c>
      <c r="B17261" s="38">
        <v>83014.0</v>
      </c>
      <c r="C17261" s="38" t="s">
        <v>21664</v>
      </c>
      <c r="D17261" s="38" t="str">
        <f>IFERROR(__xludf.DUMMYFUNCTION("REGEXREPLACE(C17261,""-\d+(.*)|--\d+(.*)"","""")"),"BAUDINARD-SUR-VERDON")</f>
        <v>BAUDINARD-SUR-VERDON</v>
      </c>
      <c r="E17261" s="38" t="s">
        <v>813</v>
      </c>
      <c r="F17261" s="38" t="s">
        <v>228</v>
      </c>
      <c r="G17261" s="49" t="str">
        <f t="shared" si="1"/>
        <v>83630</v>
      </c>
      <c r="H17261" s="49">
        <f t="shared" si="2"/>
        <v>83014</v>
      </c>
    </row>
    <row r="17262">
      <c r="A17262" s="48" t="s">
        <v>12454</v>
      </c>
      <c r="B17262" s="38">
        <v>3140.0</v>
      </c>
      <c r="C17262" s="38" t="s">
        <v>21665</v>
      </c>
      <c r="D17262" s="38" t="str">
        <f>IFERROR(__xludf.DUMMYFUNCTION("REGEXREPLACE(C17262,""-\d+(.*)|--\d+(.*)"","""")"),"LAVAULT-SAINTE-ANNE")</f>
        <v>LAVAULT-SAINTE-ANNE</v>
      </c>
      <c r="E17262" s="38" t="s">
        <v>160</v>
      </c>
      <c r="F17262" s="38" t="s">
        <v>161</v>
      </c>
      <c r="G17262" s="49" t="str">
        <f t="shared" si="1"/>
        <v>03100</v>
      </c>
      <c r="H17262" s="49" t="str">
        <f t="shared" si="2"/>
        <v>03140</v>
      </c>
    </row>
    <row r="17263">
      <c r="A17263" s="48" t="s">
        <v>5648</v>
      </c>
      <c r="B17263" s="38">
        <v>76344.0</v>
      </c>
      <c r="C17263" s="38" t="s">
        <v>21666</v>
      </c>
      <c r="D17263" s="38" t="str">
        <f>IFERROR(__xludf.DUMMYFUNCTION("REGEXREPLACE(C17263,""-\d+(.*)|--\d+(.*)"","""")"),"HAUDRICOURT")</f>
        <v>HAUDRICOURT</v>
      </c>
      <c r="E17263" s="38" t="s">
        <v>133</v>
      </c>
      <c r="F17263" s="38" t="s">
        <v>134</v>
      </c>
      <c r="G17263" s="49" t="str">
        <f t="shared" si="1"/>
        <v>76390</v>
      </c>
      <c r="H17263" s="49">
        <f t="shared" si="2"/>
        <v>76344</v>
      </c>
    </row>
    <row r="17264">
      <c r="A17264" s="48" t="s">
        <v>1270</v>
      </c>
      <c r="B17264" s="38">
        <v>57571.0</v>
      </c>
      <c r="C17264" s="38" t="s">
        <v>21667</v>
      </c>
      <c r="D17264" s="38" t="str">
        <f>IFERROR(__xludf.DUMMYFUNCTION("REGEXREPLACE(C17264,""-\d+(.*)|--\d+(.*)"","""")"),"REMERING-LES-PUTTELANGE")</f>
        <v>REMERING-LES-PUTTELANGE</v>
      </c>
      <c r="E17264" s="38" t="s">
        <v>303</v>
      </c>
      <c r="F17264" s="38" t="s">
        <v>195</v>
      </c>
      <c r="G17264" s="49" t="str">
        <f t="shared" si="1"/>
        <v>57510</v>
      </c>
      <c r="H17264" s="49">
        <f t="shared" si="2"/>
        <v>57571</v>
      </c>
    </row>
    <row r="17265">
      <c r="A17265" s="48" t="s">
        <v>11061</v>
      </c>
      <c r="B17265" s="38">
        <v>16158.0</v>
      </c>
      <c r="C17265" s="38" t="s">
        <v>21668</v>
      </c>
      <c r="D17265" s="38" t="str">
        <f>IFERROR(__xludf.DUMMYFUNCTION("REGEXREPLACE(C17265,""-\d+(.*)|--\d+(.*)"","""")"),"GRASSAC")</f>
        <v>GRASSAC</v>
      </c>
      <c r="E17265" s="38" t="s">
        <v>429</v>
      </c>
      <c r="F17265" s="38" t="s">
        <v>338</v>
      </c>
      <c r="G17265" s="49" t="str">
        <f t="shared" si="1"/>
        <v>16380</v>
      </c>
      <c r="H17265" s="49">
        <f t="shared" si="2"/>
        <v>16158</v>
      </c>
    </row>
    <row r="17266">
      <c r="A17266" s="48" t="s">
        <v>15846</v>
      </c>
      <c r="B17266" s="38">
        <v>79048.0</v>
      </c>
      <c r="C17266" s="38" t="s">
        <v>21669</v>
      </c>
      <c r="D17266" s="38" t="str">
        <f>IFERROR(__xludf.DUMMYFUNCTION("REGEXREPLACE(C17266,""-\d+(.*)|--\d+(.*)"","""")"),"LA CRECHE")</f>
        <v>LA CRECHE</v>
      </c>
      <c r="E17266" s="38" t="s">
        <v>337</v>
      </c>
      <c r="F17266" s="38" t="s">
        <v>338</v>
      </c>
      <c r="G17266" s="49" t="str">
        <f t="shared" si="1"/>
        <v>79260</v>
      </c>
      <c r="H17266" s="49">
        <f t="shared" si="2"/>
        <v>79048</v>
      </c>
    </row>
    <row r="17267">
      <c r="A17267" s="48" t="s">
        <v>8847</v>
      </c>
      <c r="B17267" s="38">
        <v>42208.0</v>
      </c>
      <c r="C17267" s="38" t="s">
        <v>21670</v>
      </c>
      <c r="D17267" s="38" t="str">
        <f>IFERROR(__xludf.DUMMYFUNCTION("REGEXREPLACE(C17267,""-\d+(.*)|--\d+(.*)"","""")"),"SAINT-CHRISTO-EN-JAREZ")</f>
        <v>SAINT-CHRISTO-EN-JAREZ</v>
      </c>
      <c r="E17267" s="38" t="s">
        <v>166</v>
      </c>
      <c r="F17267" s="38" t="s">
        <v>102</v>
      </c>
      <c r="G17267" s="49" t="str">
        <f t="shared" si="1"/>
        <v>42320</v>
      </c>
      <c r="H17267" s="49">
        <f t="shared" si="2"/>
        <v>42208</v>
      </c>
    </row>
    <row r="17268">
      <c r="A17268" s="48" t="s">
        <v>2208</v>
      </c>
      <c r="B17268" s="38">
        <v>55055.0</v>
      </c>
      <c r="C17268" s="38" t="s">
        <v>21671</v>
      </c>
      <c r="D17268" s="38" t="str">
        <f>IFERROR(__xludf.DUMMYFUNCTION("REGEXREPLACE(C17268,""-\d+(.*)|--\d+(.*)"","""")"),"BLANZEE")</f>
        <v>BLANZEE</v>
      </c>
      <c r="E17268" s="38" t="s">
        <v>322</v>
      </c>
      <c r="F17268" s="38" t="s">
        <v>195</v>
      </c>
      <c r="G17268" s="49" t="str">
        <f t="shared" si="1"/>
        <v>55400</v>
      </c>
      <c r="H17268" s="49">
        <f t="shared" si="2"/>
        <v>55055</v>
      </c>
    </row>
    <row r="17269">
      <c r="A17269" s="48" t="s">
        <v>519</v>
      </c>
      <c r="B17269" s="38">
        <v>72096.0</v>
      </c>
      <c r="C17269" s="38" t="s">
        <v>21672</v>
      </c>
      <c r="D17269" s="38" t="str">
        <f>IFERROR(__xludf.DUMMYFUNCTION("REGEXREPLACE(C17269,""-\d+(.*)|--\d+(.*)"","""")"),"COULANS-SUR-GEE")</f>
        <v>COULANS-SUR-GEE</v>
      </c>
      <c r="E17269" s="38" t="s">
        <v>521</v>
      </c>
      <c r="F17269" s="38" t="s">
        <v>180</v>
      </c>
      <c r="G17269" s="49" t="str">
        <f t="shared" si="1"/>
        <v>72550</v>
      </c>
      <c r="H17269" s="49">
        <f t="shared" si="2"/>
        <v>72096</v>
      </c>
    </row>
    <row r="17270">
      <c r="A17270" s="48" t="s">
        <v>17165</v>
      </c>
      <c r="B17270" s="38">
        <v>68171.0</v>
      </c>
      <c r="C17270" s="38" t="s">
        <v>21673</v>
      </c>
      <c r="D17270" s="38" t="str">
        <f>IFERROR(__xludf.DUMMYFUNCTION("REGEXREPLACE(C17270,""-\d+(.*)|--\d+(.*)"","""")"),"KRUTH")</f>
        <v>KRUTH</v>
      </c>
      <c r="E17270" s="38" t="s">
        <v>150</v>
      </c>
      <c r="F17270" s="38" t="s">
        <v>151</v>
      </c>
      <c r="G17270" s="49" t="str">
        <f t="shared" si="1"/>
        <v>68820</v>
      </c>
      <c r="H17270" s="49">
        <f t="shared" si="2"/>
        <v>68171</v>
      </c>
    </row>
    <row r="17271">
      <c r="A17271" s="48" t="s">
        <v>2251</v>
      </c>
      <c r="B17271" s="38">
        <v>2451.0</v>
      </c>
      <c r="C17271" s="38" t="s">
        <v>21674</v>
      </c>
      <c r="D17271" s="38" t="str">
        <f>IFERROR(__xludf.DUMMYFUNCTION("REGEXREPLACE(C17271,""-\d+(.*)|--\d+(.*)"","""")"),"MAGNY-LA-FOSSE")</f>
        <v>MAGNY-LA-FOSSE</v>
      </c>
      <c r="E17271" s="38" t="s">
        <v>191</v>
      </c>
      <c r="F17271" s="38" t="s">
        <v>113</v>
      </c>
      <c r="G17271" s="49" t="str">
        <f t="shared" si="1"/>
        <v>02420</v>
      </c>
      <c r="H17271" s="49" t="str">
        <f t="shared" si="2"/>
        <v>02451</v>
      </c>
    </row>
    <row r="17272">
      <c r="A17272" s="48" t="s">
        <v>3344</v>
      </c>
      <c r="B17272" s="38">
        <v>76078.0</v>
      </c>
      <c r="C17272" s="38" t="s">
        <v>21675</v>
      </c>
      <c r="D17272" s="38" t="str">
        <f>IFERROR(__xludf.DUMMYFUNCTION("REGEXREPLACE(C17272,""-\d+(.*)|--\d+(.*)"","""")"),"BENNETOT")</f>
        <v>BENNETOT</v>
      </c>
      <c r="E17272" s="38" t="s">
        <v>133</v>
      </c>
      <c r="F17272" s="38" t="s">
        <v>134</v>
      </c>
      <c r="G17272" s="49" t="str">
        <f t="shared" si="1"/>
        <v>76640</v>
      </c>
      <c r="H17272" s="49">
        <f t="shared" si="2"/>
        <v>76078</v>
      </c>
    </row>
    <row r="17273">
      <c r="A17273" s="48" t="s">
        <v>5553</v>
      </c>
      <c r="B17273" s="38">
        <v>34268.0</v>
      </c>
      <c r="C17273" s="38" t="s">
        <v>21676</v>
      </c>
      <c r="D17273" s="38" t="str">
        <f>IFERROR(__xludf.DUMMYFUNCTION("REGEXREPLACE(C17273,""-\d+(.*)|--\d+(.*)"","""")"),"SAINT-JEAN-DE-LA-BLAQUIERE")</f>
        <v>SAINT-JEAN-DE-LA-BLAQUIERE</v>
      </c>
      <c r="E17273" s="38" t="s">
        <v>118</v>
      </c>
      <c r="F17273" s="38" t="s">
        <v>119</v>
      </c>
      <c r="G17273" s="49" t="str">
        <f t="shared" si="1"/>
        <v>34700</v>
      </c>
      <c r="H17273" s="49">
        <f t="shared" si="2"/>
        <v>34268</v>
      </c>
    </row>
    <row r="17274">
      <c r="A17274" s="48" t="s">
        <v>9181</v>
      </c>
      <c r="B17274" s="38">
        <v>41251.0</v>
      </c>
      <c r="C17274" s="38" t="s">
        <v>21677</v>
      </c>
      <c r="D17274" s="38" t="str">
        <f>IFERROR(__xludf.DUMMYFUNCTION("REGEXREPLACE(C17274,""-\d+(.*)|--\d+(.*)"","""")"),"SOUVIGNY-EN-SOLOGNE")</f>
        <v>SOUVIGNY-EN-SOLOGNE</v>
      </c>
      <c r="E17274" s="38" t="s">
        <v>188</v>
      </c>
      <c r="F17274" s="38" t="s">
        <v>123</v>
      </c>
      <c r="G17274" s="49" t="str">
        <f t="shared" si="1"/>
        <v>41600</v>
      </c>
      <c r="H17274" s="49">
        <f t="shared" si="2"/>
        <v>41251</v>
      </c>
    </row>
    <row r="17275">
      <c r="A17275" s="48" t="s">
        <v>21678</v>
      </c>
      <c r="B17275" s="38">
        <v>44204.0</v>
      </c>
      <c r="C17275" s="38" t="s">
        <v>21679</v>
      </c>
      <c r="D17275" s="38" t="str">
        <f>IFERROR(__xludf.DUMMYFUNCTION("REGEXREPLACE(C17275,""-\d+(.*)|--\d+(.*)"","""")"),"THOUARE-SUR-LOIRE")</f>
        <v>THOUARE-SUR-LOIRE</v>
      </c>
      <c r="E17275" s="38" t="s">
        <v>759</v>
      </c>
      <c r="F17275" s="38" t="s">
        <v>180</v>
      </c>
      <c r="G17275" s="49" t="str">
        <f t="shared" si="1"/>
        <v>44470</v>
      </c>
      <c r="H17275" s="49">
        <f t="shared" si="2"/>
        <v>44204</v>
      </c>
    </row>
    <row r="17276">
      <c r="A17276" s="48" t="s">
        <v>8398</v>
      </c>
      <c r="B17276" s="38">
        <v>21536.0</v>
      </c>
      <c r="C17276" s="38" t="s">
        <v>21680</v>
      </c>
      <c r="D17276" s="38" t="str">
        <f>IFERROR(__xludf.DUMMYFUNCTION("REGEXREPLACE(C17276,""-\d+(.*)|--\d+(.*)"","""")"),"SACQUENAY")</f>
        <v>SACQUENAY</v>
      </c>
      <c r="E17276" s="38" t="s">
        <v>105</v>
      </c>
      <c r="F17276" s="38" t="s">
        <v>106</v>
      </c>
      <c r="G17276" s="49" t="str">
        <f t="shared" si="1"/>
        <v>21260</v>
      </c>
      <c r="H17276" s="49">
        <f t="shared" si="2"/>
        <v>21536</v>
      </c>
    </row>
    <row r="17277">
      <c r="A17277" s="48" t="s">
        <v>3163</v>
      </c>
      <c r="B17277" s="38">
        <v>28303.0</v>
      </c>
      <c r="C17277" s="38" t="s">
        <v>21681</v>
      </c>
      <c r="D17277" s="38" t="str">
        <f>IFERROR(__xludf.DUMMYFUNCTION("REGEXREPLACE(C17277,""-\d+(.*)|--\d+(.*)"","""")"),"POUPRY")</f>
        <v>POUPRY</v>
      </c>
      <c r="E17277" s="38" t="s">
        <v>300</v>
      </c>
      <c r="F17277" s="38" t="s">
        <v>123</v>
      </c>
      <c r="G17277" s="49" t="str">
        <f t="shared" si="1"/>
        <v>28140</v>
      </c>
      <c r="H17277" s="49">
        <f t="shared" si="2"/>
        <v>28303</v>
      </c>
    </row>
    <row r="17278">
      <c r="A17278" s="48" t="s">
        <v>3570</v>
      </c>
      <c r="B17278" s="38">
        <v>76612.0</v>
      </c>
      <c r="C17278" s="38" t="s">
        <v>21682</v>
      </c>
      <c r="D17278" s="38" t="str">
        <f>IFERROR(__xludf.DUMMYFUNCTION("REGEXREPLACE(C17278,""-\d+(.*)|--\d+(.*)"","""")"),"SAINT-MARTIN-AU-BOSC")</f>
        <v>SAINT-MARTIN-AU-BOSC</v>
      </c>
      <c r="E17278" s="38" t="s">
        <v>133</v>
      </c>
      <c r="F17278" s="38" t="s">
        <v>134</v>
      </c>
      <c r="G17278" s="49" t="str">
        <f t="shared" si="1"/>
        <v>76340</v>
      </c>
      <c r="H17278" s="49">
        <f t="shared" si="2"/>
        <v>76612</v>
      </c>
    </row>
    <row r="17279">
      <c r="A17279" s="48" t="s">
        <v>5648</v>
      </c>
      <c r="B17279" s="38">
        <v>76186.0</v>
      </c>
      <c r="C17279" s="38" t="s">
        <v>6030</v>
      </c>
      <c r="D17279" s="38" t="str">
        <f>IFERROR(__xludf.DUMMYFUNCTION("REGEXREPLACE(C17279,""-\d+(.*)|--\d+(.*)"","""")"),"CONTEVILLE")</f>
        <v>CONTEVILLE</v>
      </c>
      <c r="E17279" s="38" t="s">
        <v>133</v>
      </c>
      <c r="F17279" s="38" t="s">
        <v>134</v>
      </c>
      <c r="G17279" s="49" t="str">
        <f t="shared" si="1"/>
        <v>76390</v>
      </c>
      <c r="H17279" s="49">
        <f t="shared" si="2"/>
        <v>76186</v>
      </c>
    </row>
    <row r="17280">
      <c r="A17280" s="48" t="s">
        <v>21683</v>
      </c>
      <c r="B17280" s="38">
        <v>97353.0</v>
      </c>
      <c r="C17280" s="38" t="s">
        <v>21684</v>
      </c>
      <c r="D17280" s="38" t="str">
        <f>IFERROR(__xludf.DUMMYFUNCTION("REGEXREPLACE(C17280,""-\d+(.*)|--\d+(.*)"","""")"),"MARIPASOULA")</f>
        <v>MARIPASOULA</v>
      </c>
      <c r="E17280" s="38" t="s">
        <v>1737</v>
      </c>
      <c r="F17280" s="38" t="s">
        <v>1737</v>
      </c>
      <c r="G17280" s="49" t="str">
        <f t="shared" si="1"/>
        <v>97370</v>
      </c>
      <c r="H17280" s="49">
        <f t="shared" si="2"/>
        <v>97353</v>
      </c>
    </row>
    <row r="17281">
      <c r="A17281" s="48" t="s">
        <v>9141</v>
      </c>
      <c r="B17281" s="38">
        <v>1339.0</v>
      </c>
      <c r="C17281" s="38" t="s">
        <v>21685</v>
      </c>
      <c r="D17281" s="38" t="str">
        <f>IFERROR(__xludf.DUMMYFUNCTION("REGEXREPLACE(C17281,""-\d+(.*)|--\d+(.*)"","""")"),"SAINT-BERNARD")</f>
        <v>SAINT-BERNARD</v>
      </c>
      <c r="E17281" s="38" t="s">
        <v>255</v>
      </c>
      <c r="F17281" s="38" t="s">
        <v>102</v>
      </c>
      <c r="G17281" s="49" t="str">
        <f t="shared" si="1"/>
        <v>01600</v>
      </c>
      <c r="H17281" s="49" t="str">
        <f t="shared" si="2"/>
        <v>01339</v>
      </c>
    </row>
    <row r="17282">
      <c r="A17282" s="48" t="s">
        <v>17282</v>
      </c>
      <c r="B17282" s="38">
        <v>74190.0</v>
      </c>
      <c r="C17282" s="38" t="s">
        <v>21686</v>
      </c>
      <c r="D17282" s="38" t="str">
        <f>IFERROR(__xludf.DUMMYFUNCTION("REGEXREPLACE(C17282,""-\d+(.*)|--\d+(.*)"","""")"),"MORILLON")</f>
        <v>MORILLON</v>
      </c>
      <c r="E17282" s="38" t="s">
        <v>319</v>
      </c>
      <c r="F17282" s="38" t="s">
        <v>102</v>
      </c>
      <c r="G17282" s="49" t="str">
        <f t="shared" si="1"/>
        <v>74440</v>
      </c>
      <c r="H17282" s="49">
        <f t="shared" si="2"/>
        <v>74190</v>
      </c>
    </row>
    <row r="17283">
      <c r="A17283" s="48" t="s">
        <v>6555</v>
      </c>
      <c r="B17283" s="38">
        <v>67142.0</v>
      </c>
      <c r="C17283" s="38" t="s">
        <v>21687</v>
      </c>
      <c r="D17283" s="38" t="str">
        <f>IFERROR(__xludf.DUMMYFUNCTION("REGEXREPLACE(C17283,""-\d+(.*)|--\d+(.*)"","""")"),"FORT-LOUIS")</f>
        <v>FORT-LOUIS</v>
      </c>
      <c r="E17283" s="38" t="s">
        <v>210</v>
      </c>
      <c r="F17283" s="38" t="s">
        <v>151</v>
      </c>
      <c r="G17283" s="49" t="str">
        <f t="shared" si="1"/>
        <v>67480</v>
      </c>
      <c r="H17283" s="49">
        <f t="shared" si="2"/>
        <v>67142</v>
      </c>
    </row>
    <row r="17284">
      <c r="A17284" s="48" t="s">
        <v>10778</v>
      </c>
      <c r="B17284" s="38">
        <v>21556.0</v>
      </c>
      <c r="C17284" s="38" t="s">
        <v>21688</v>
      </c>
      <c r="D17284" s="38" t="str">
        <f>IFERROR(__xludf.DUMMYFUNCTION("REGEXREPLACE(C17284,""-\d+(.*)|--\d+(.*)"","""")"),"SAINT-LEGER-TRIEY")</f>
        <v>SAINT-LEGER-TRIEY</v>
      </c>
      <c r="E17284" s="38" t="s">
        <v>105</v>
      </c>
      <c r="F17284" s="38" t="s">
        <v>106</v>
      </c>
      <c r="G17284" s="49" t="str">
        <f t="shared" si="1"/>
        <v>21270</v>
      </c>
      <c r="H17284" s="49">
        <f t="shared" si="2"/>
        <v>21556</v>
      </c>
    </row>
    <row r="17285">
      <c r="A17285" s="48" t="s">
        <v>13942</v>
      </c>
      <c r="B17285" s="38">
        <v>62139.0</v>
      </c>
      <c r="C17285" s="38" t="s">
        <v>21689</v>
      </c>
      <c r="D17285" s="38" t="str">
        <f>IFERROR(__xludf.DUMMYFUNCTION("REGEXREPLACE(C17285,""-\d+(.*)|--\d+(.*)"","""")"),"BLENDECQUES")</f>
        <v>BLENDECQUES</v>
      </c>
      <c r="E17285" s="38" t="s">
        <v>109</v>
      </c>
      <c r="F17285" s="38" t="s">
        <v>86</v>
      </c>
      <c r="G17285" s="49" t="str">
        <f t="shared" si="1"/>
        <v>62575</v>
      </c>
      <c r="H17285" s="49">
        <f t="shared" si="2"/>
        <v>62139</v>
      </c>
    </row>
    <row r="17286">
      <c r="A17286" s="48" t="s">
        <v>21690</v>
      </c>
      <c r="B17286" s="38">
        <v>64189.0</v>
      </c>
      <c r="C17286" s="38" t="s">
        <v>21691</v>
      </c>
      <c r="D17286" s="38" t="str">
        <f>IFERROR(__xludf.DUMMYFUNCTION("REGEXREPLACE(C17286,""-\d+(.*)|--\d+(.*)"","""")"),"CIBOURE")</f>
        <v>CIBOURE</v>
      </c>
      <c r="E17286" s="38" t="s">
        <v>268</v>
      </c>
      <c r="F17286" s="38" t="s">
        <v>252</v>
      </c>
      <c r="G17286" s="49" t="str">
        <f t="shared" si="1"/>
        <v>64500</v>
      </c>
      <c r="H17286" s="49">
        <f t="shared" si="2"/>
        <v>64189</v>
      </c>
    </row>
    <row r="17287">
      <c r="A17287" s="48" t="s">
        <v>3321</v>
      </c>
      <c r="B17287" s="38">
        <v>47256.0</v>
      </c>
      <c r="C17287" s="38" t="s">
        <v>21692</v>
      </c>
      <c r="D17287" s="38" t="str">
        <f>IFERROR(__xludf.DUMMYFUNCTION("REGEXREPLACE(C17287,""-\d+(.*)|--\d+(.*)"","""")"),"SAINT-MARTIN-DE-VILLEREAL")</f>
        <v>SAINT-MARTIN-DE-VILLEREAL</v>
      </c>
      <c r="E17287" s="38" t="s">
        <v>251</v>
      </c>
      <c r="F17287" s="38" t="s">
        <v>252</v>
      </c>
      <c r="G17287" s="49" t="str">
        <f t="shared" si="1"/>
        <v>47210</v>
      </c>
      <c r="H17287" s="49">
        <f t="shared" si="2"/>
        <v>47256</v>
      </c>
    </row>
    <row r="17288">
      <c r="A17288" s="48" t="s">
        <v>21693</v>
      </c>
      <c r="B17288" s="38">
        <v>2315.0</v>
      </c>
      <c r="C17288" s="38" t="s">
        <v>21694</v>
      </c>
      <c r="D17288" s="38" t="str">
        <f>IFERROR(__xludf.DUMMYFUNCTION("REGEXREPLACE(C17288,""-\d+(.*)|--\d+(.*)"","""")"),"FLAVY-LE-MARTEL")</f>
        <v>FLAVY-LE-MARTEL</v>
      </c>
      <c r="E17288" s="38" t="s">
        <v>191</v>
      </c>
      <c r="F17288" s="38" t="s">
        <v>113</v>
      </c>
      <c r="G17288" s="49" t="str">
        <f t="shared" si="1"/>
        <v>02520</v>
      </c>
      <c r="H17288" s="49" t="str">
        <f t="shared" si="2"/>
        <v>02315</v>
      </c>
    </row>
    <row r="17289">
      <c r="A17289" s="48" t="s">
        <v>14540</v>
      </c>
      <c r="B17289" s="38">
        <v>34168.0</v>
      </c>
      <c r="C17289" s="38" t="s">
        <v>21695</v>
      </c>
      <c r="D17289" s="38" t="str">
        <f>IFERROR(__xludf.DUMMYFUNCTION("REGEXREPLACE(C17289,""-\d+(.*)|--\d+(.*)"","""")"),"MONTESQUIEU")</f>
        <v>MONTESQUIEU</v>
      </c>
      <c r="E17289" s="38" t="s">
        <v>118</v>
      </c>
      <c r="F17289" s="38" t="s">
        <v>119</v>
      </c>
      <c r="G17289" s="49" t="str">
        <f t="shared" si="1"/>
        <v>34320</v>
      </c>
      <c r="H17289" s="49">
        <f t="shared" si="2"/>
        <v>34168</v>
      </c>
    </row>
    <row r="17290">
      <c r="A17290" s="48" t="s">
        <v>6660</v>
      </c>
      <c r="B17290" s="38">
        <v>66126.0</v>
      </c>
      <c r="C17290" s="38" t="s">
        <v>21696</v>
      </c>
      <c r="D17290" s="38" t="str">
        <f>IFERROR(__xludf.DUMMYFUNCTION("REGEXREPLACE(C17290,""-\d+(.*)|--\d+(.*)"","""")"),"OMS")</f>
        <v>OMS</v>
      </c>
      <c r="E17290" s="38" t="s">
        <v>248</v>
      </c>
      <c r="F17290" s="38" t="s">
        <v>119</v>
      </c>
      <c r="G17290" s="49" t="str">
        <f t="shared" si="1"/>
        <v>66400</v>
      </c>
      <c r="H17290" s="49">
        <f t="shared" si="2"/>
        <v>66126</v>
      </c>
    </row>
    <row r="17291">
      <c r="A17291" s="48" t="s">
        <v>21697</v>
      </c>
      <c r="B17291" s="38">
        <v>29259.0</v>
      </c>
      <c r="C17291" s="38" t="s">
        <v>21698</v>
      </c>
      <c r="D17291" s="38" t="str">
        <f>IFERROR(__xludf.DUMMYFUNCTION("REGEXREPLACE(C17291,""-\d+(.*)|--\d+(.*)"","""")"),"SAINT-POL-DE-LEON")</f>
        <v>SAINT-POL-DE-LEON</v>
      </c>
      <c r="E17291" s="38" t="s">
        <v>176</v>
      </c>
      <c r="F17291" s="38" t="s">
        <v>90</v>
      </c>
      <c r="G17291" s="49" t="str">
        <f t="shared" si="1"/>
        <v>29250</v>
      </c>
      <c r="H17291" s="49">
        <f t="shared" si="2"/>
        <v>29259</v>
      </c>
    </row>
    <row r="17292">
      <c r="A17292" s="48" t="s">
        <v>5014</v>
      </c>
      <c r="B17292" s="38">
        <v>57077.0</v>
      </c>
      <c r="C17292" s="38" t="s">
        <v>21699</v>
      </c>
      <c r="D17292" s="38" t="str">
        <f>IFERROR(__xludf.DUMMYFUNCTION("REGEXREPLACE(C17292,""-\d+(.*)|--\d+(.*)"","""")"),"BEZANGE-LA-PETITE")</f>
        <v>BEZANGE-LA-PETITE</v>
      </c>
      <c r="E17292" s="38" t="s">
        <v>303</v>
      </c>
      <c r="F17292" s="38" t="s">
        <v>195</v>
      </c>
      <c r="G17292" s="49" t="str">
        <f t="shared" si="1"/>
        <v>57630</v>
      </c>
      <c r="H17292" s="49">
        <f t="shared" si="2"/>
        <v>57077</v>
      </c>
    </row>
    <row r="17293">
      <c r="A17293" s="48" t="s">
        <v>12639</v>
      </c>
      <c r="B17293" s="38">
        <v>81148.0</v>
      </c>
      <c r="C17293" s="38" t="s">
        <v>21700</v>
      </c>
      <c r="D17293" s="38" t="str">
        <f>IFERROR(__xludf.DUMMYFUNCTION("REGEXREPLACE(C17293,""-\d+(.*)|--\d+(.*)"","""")"),"LOUBERS")</f>
        <v>LOUBERS</v>
      </c>
      <c r="E17293" s="38" t="s">
        <v>231</v>
      </c>
      <c r="F17293" s="38" t="s">
        <v>94</v>
      </c>
      <c r="G17293" s="49" t="str">
        <f t="shared" si="1"/>
        <v>81170</v>
      </c>
      <c r="H17293" s="49">
        <f t="shared" si="2"/>
        <v>81148</v>
      </c>
    </row>
    <row r="17294">
      <c r="A17294" s="48" t="s">
        <v>1056</v>
      </c>
      <c r="B17294" s="38">
        <v>11105.0</v>
      </c>
      <c r="C17294" s="38" t="s">
        <v>21701</v>
      </c>
      <c r="D17294" s="38" t="str">
        <f>IFERROR(__xludf.DUMMYFUNCTION("REGEXREPLACE(C17294,""-\d+(.*)|--\d+(.*)"","""")"),"COURNANEL")</f>
        <v>COURNANEL</v>
      </c>
      <c r="E17294" s="38" t="s">
        <v>278</v>
      </c>
      <c r="F17294" s="38" t="s">
        <v>119</v>
      </c>
      <c r="G17294" s="49" t="str">
        <f t="shared" si="1"/>
        <v>11300</v>
      </c>
      <c r="H17294" s="49">
        <f t="shared" si="2"/>
        <v>11105</v>
      </c>
    </row>
    <row r="17295">
      <c r="A17295" s="48" t="s">
        <v>1170</v>
      </c>
      <c r="B17295" s="38">
        <v>14216.0</v>
      </c>
      <c r="C17295" s="38" t="s">
        <v>21702</v>
      </c>
      <c r="D17295" s="38" t="str">
        <f>IFERROR(__xludf.DUMMYFUNCTION("REGEXREPLACE(C17295,""-\d+(.*)|--\d+(.*)"","""")"),"DAMBLAINVILLE")</f>
        <v>DAMBLAINVILLE</v>
      </c>
      <c r="E17295" s="38" t="s">
        <v>137</v>
      </c>
      <c r="F17295" s="38" t="s">
        <v>138</v>
      </c>
      <c r="G17295" s="49" t="str">
        <f t="shared" si="1"/>
        <v>14620</v>
      </c>
      <c r="H17295" s="49">
        <f t="shared" si="2"/>
        <v>14216</v>
      </c>
    </row>
    <row r="17296">
      <c r="A17296" s="48" t="s">
        <v>11319</v>
      </c>
      <c r="B17296" s="38">
        <v>51204.0</v>
      </c>
      <c r="C17296" s="38" t="s">
        <v>7792</v>
      </c>
      <c r="D17296" s="38" t="str">
        <f>IFERROR(__xludf.DUMMYFUNCTION("REGEXREPLACE(C17296,""-\d+(.*)|--\d+(.*)"","""")"),"DAMERY")</f>
        <v>DAMERY</v>
      </c>
      <c r="E17296" s="38" t="s">
        <v>129</v>
      </c>
      <c r="F17296" s="38" t="s">
        <v>130</v>
      </c>
      <c r="G17296" s="49" t="str">
        <f t="shared" si="1"/>
        <v>51480</v>
      </c>
      <c r="H17296" s="49">
        <f t="shared" si="2"/>
        <v>51204</v>
      </c>
    </row>
    <row r="17297">
      <c r="A17297" s="48" t="s">
        <v>2519</v>
      </c>
      <c r="B17297" s="38">
        <v>80010.0</v>
      </c>
      <c r="C17297" s="38" t="s">
        <v>21703</v>
      </c>
      <c r="D17297" s="38" t="str">
        <f>IFERROR(__xludf.DUMMYFUNCTION("REGEXREPLACE(C17297,""-\d+(.*)|--\d+(.*)"","""")"),"AILLY-SUR-NOYE")</f>
        <v>AILLY-SUR-NOYE</v>
      </c>
      <c r="E17297" s="38" t="s">
        <v>224</v>
      </c>
      <c r="F17297" s="38" t="s">
        <v>113</v>
      </c>
      <c r="G17297" s="49" t="str">
        <f t="shared" si="1"/>
        <v>80250</v>
      </c>
      <c r="H17297" s="49">
        <f t="shared" si="2"/>
        <v>80010</v>
      </c>
    </row>
    <row r="17298">
      <c r="A17298" s="48" t="s">
        <v>1616</v>
      </c>
      <c r="B17298" s="38">
        <v>10197.0</v>
      </c>
      <c r="C17298" s="38" t="s">
        <v>21704</v>
      </c>
      <c r="D17298" s="38" t="str">
        <f>IFERROR(__xludf.DUMMYFUNCTION("REGEXREPLACE(C17298,""-\d+(.*)|--\d+(.*)"","""")"),"LIGNOL-LE-CHATEAU")</f>
        <v>LIGNOL-LE-CHATEAU</v>
      </c>
      <c r="E17298" s="38" t="s">
        <v>147</v>
      </c>
      <c r="F17298" s="38" t="s">
        <v>130</v>
      </c>
      <c r="G17298" s="49" t="str">
        <f t="shared" si="1"/>
        <v>10200</v>
      </c>
      <c r="H17298" s="49">
        <f t="shared" si="2"/>
        <v>10197</v>
      </c>
    </row>
    <row r="17299">
      <c r="A17299" s="48" t="s">
        <v>18556</v>
      </c>
      <c r="B17299" s="38">
        <v>62858.0</v>
      </c>
      <c r="C17299" s="38" t="s">
        <v>21705</v>
      </c>
      <c r="D17299" s="38" t="str">
        <f>IFERROR(__xludf.DUMMYFUNCTION("REGEXREPLACE(C17299,""-\d+(.*)|--\d+(.*)"","""")"),"VILLERS-LES-CAGNICOURT")</f>
        <v>VILLERS-LES-CAGNICOURT</v>
      </c>
      <c r="E17299" s="38" t="s">
        <v>109</v>
      </c>
      <c r="F17299" s="38" t="s">
        <v>86</v>
      </c>
      <c r="G17299" s="49" t="str">
        <f t="shared" si="1"/>
        <v>62182</v>
      </c>
      <c r="H17299" s="49">
        <f t="shared" si="2"/>
        <v>62858</v>
      </c>
    </row>
    <row r="17300">
      <c r="A17300" s="48" t="s">
        <v>21706</v>
      </c>
      <c r="B17300" s="38">
        <v>67151.0</v>
      </c>
      <c r="C17300" s="38" t="s">
        <v>21707</v>
      </c>
      <c r="D17300" s="38" t="str">
        <f>IFERROR(__xludf.DUMMYFUNCTION("REGEXREPLACE(C17300,""-\d+(.*)|--\d+(.*)"","""")"),"GAMBSHEIM")</f>
        <v>GAMBSHEIM</v>
      </c>
      <c r="E17300" s="38" t="s">
        <v>210</v>
      </c>
      <c r="F17300" s="38" t="s">
        <v>151</v>
      </c>
      <c r="G17300" s="49" t="str">
        <f t="shared" si="1"/>
        <v>67760</v>
      </c>
      <c r="H17300" s="49">
        <f t="shared" si="2"/>
        <v>67151</v>
      </c>
    </row>
    <row r="17301">
      <c r="A17301" s="48" t="s">
        <v>5753</v>
      </c>
      <c r="B17301" s="38">
        <v>72116.0</v>
      </c>
      <c r="C17301" s="38" t="s">
        <v>21708</v>
      </c>
      <c r="D17301" s="38" t="str">
        <f>IFERROR(__xludf.DUMMYFUNCTION("REGEXREPLACE(C17301,""-\d+(.*)|--\d+(.*)"","""")"),"DISSE-SOUS-BALLON")</f>
        <v>DISSE-SOUS-BALLON</v>
      </c>
      <c r="E17301" s="38" t="s">
        <v>521</v>
      </c>
      <c r="F17301" s="38" t="s">
        <v>180</v>
      </c>
      <c r="G17301" s="49" t="str">
        <f t="shared" si="1"/>
        <v>72260</v>
      </c>
      <c r="H17301" s="49">
        <f t="shared" si="2"/>
        <v>72116</v>
      </c>
    </row>
    <row r="17302">
      <c r="A17302" s="48" t="s">
        <v>21709</v>
      </c>
      <c r="B17302" s="38">
        <v>35064.0</v>
      </c>
      <c r="C17302" s="38" t="s">
        <v>21710</v>
      </c>
      <c r="D17302" s="38" t="str">
        <f>IFERROR(__xludf.DUMMYFUNCTION("REGEXREPLACE(C17302,""-\d+(.*)|--\d+(.*)"","""")"),"LA CHAPELLE-DE-BRAIN")</f>
        <v>LA CHAPELLE-DE-BRAIN</v>
      </c>
      <c r="E17302" s="38" t="s">
        <v>347</v>
      </c>
      <c r="F17302" s="38" t="s">
        <v>90</v>
      </c>
      <c r="G17302" s="49" t="str">
        <f t="shared" si="1"/>
        <v>35660</v>
      </c>
      <c r="H17302" s="49">
        <f t="shared" si="2"/>
        <v>35064</v>
      </c>
    </row>
    <row r="17303">
      <c r="A17303" s="48" t="s">
        <v>9901</v>
      </c>
      <c r="B17303" s="38">
        <v>59173.0</v>
      </c>
      <c r="C17303" s="38" t="s">
        <v>21711</v>
      </c>
      <c r="D17303" s="38" t="str">
        <f>IFERROR(__xludf.DUMMYFUNCTION("REGEXREPLACE(C17303,""-\d+(.*)|--\d+(.*)"","""")"),"DEULEMONT")</f>
        <v>DEULEMONT</v>
      </c>
      <c r="E17303" s="38" t="s">
        <v>85</v>
      </c>
      <c r="F17303" s="38" t="s">
        <v>86</v>
      </c>
      <c r="G17303" s="49" t="str">
        <f t="shared" si="1"/>
        <v>59890</v>
      </c>
      <c r="H17303" s="49">
        <f t="shared" si="2"/>
        <v>59173</v>
      </c>
    </row>
    <row r="17304">
      <c r="A17304" s="48" t="s">
        <v>8293</v>
      </c>
      <c r="B17304" s="38">
        <v>62034.0</v>
      </c>
      <c r="C17304" s="38" t="s">
        <v>21712</v>
      </c>
      <c r="D17304" s="38" t="str">
        <f>IFERROR(__xludf.DUMMYFUNCTION("REGEXREPLACE(C17304,""-\d+(.*)|--\d+(.*)"","""")"),"ANNEQUIN")</f>
        <v>ANNEQUIN</v>
      </c>
      <c r="E17304" s="38" t="s">
        <v>109</v>
      </c>
      <c r="F17304" s="38" t="s">
        <v>86</v>
      </c>
      <c r="G17304" s="49" t="str">
        <f t="shared" si="1"/>
        <v>62149</v>
      </c>
      <c r="H17304" s="49">
        <f t="shared" si="2"/>
        <v>62034</v>
      </c>
    </row>
    <row r="17305">
      <c r="A17305" s="48" t="s">
        <v>5913</v>
      </c>
      <c r="B17305" s="38">
        <v>7170.0</v>
      </c>
      <c r="C17305" s="38" t="s">
        <v>21713</v>
      </c>
      <c r="D17305" s="38" t="str">
        <f>IFERROR(__xludf.DUMMYFUNCTION("REGEXREPLACE(C17305,""-\d+(.*)|--\d+(.*)"","""")"),"PAILHARES")</f>
        <v>PAILHARES</v>
      </c>
      <c r="E17305" s="38" t="s">
        <v>144</v>
      </c>
      <c r="F17305" s="38" t="s">
        <v>102</v>
      </c>
      <c r="G17305" s="49" t="str">
        <f t="shared" si="1"/>
        <v>07410</v>
      </c>
      <c r="H17305" s="49" t="str">
        <f t="shared" si="2"/>
        <v>07170</v>
      </c>
    </row>
    <row r="17306">
      <c r="A17306" s="48" t="s">
        <v>2393</v>
      </c>
      <c r="B17306" s="38">
        <v>38390.0</v>
      </c>
      <c r="C17306" s="38" t="s">
        <v>20940</v>
      </c>
      <c r="D17306" s="38" t="str">
        <f>IFERROR(__xludf.DUMMYFUNCTION("REGEXREPLACE(C17306,""-\d+(.*)|--\d+(.*)"","""")"),"SAINT-GERVAIS")</f>
        <v>SAINT-GERVAIS</v>
      </c>
      <c r="E17306" s="38" t="s">
        <v>101</v>
      </c>
      <c r="F17306" s="38" t="s">
        <v>102</v>
      </c>
      <c r="G17306" s="49" t="str">
        <f t="shared" si="1"/>
        <v>38470</v>
      </c>
      <c r="H17306" s="49">
        <f t="shared" si="2"/>
        <v>38390</v>
      </c>
    </row>
    <row r="17307">
      <c r="A17307" s="48" t="s">
        <v>21714</v>
      </c>
      <c r="B17307" s="38">
        <v>67472.0</v>
      </c>
      <c r="C17307" s="38" t="s">
        <v>21715</v>
      </c>
      <c r="D17307" s="38" t="str">
        <f>IFERROR(__xludf.DUMMYFUNCTION("REGEXREPLACE(C17307,""-\d+(.*)|--\d+(.*)"","""")"),"SOUFFLENHEIM")</f>
        <v>SOUFFLENHEIM</v>
      </c>
      <c r="E17307" s="38" t="s">
        <v>210</v>
      </c>
      <c r="F17307" s="38" t="s">
        <v>151</v>
      </c>
      <c r="G17307" s="49" t="str">
        <f t="shared" si="1"/>
        <v>67620</v>
      </c>
      <c r="H17307" s="49">
        <f t="shared" si="2"/>
        <v>67472</v>
      </c>
    </row>
    <row r="17308">
      <c r="A17308" s="48" t="s">
        <v>3319</v>
      </c>
      <c r="B17308" s="38">
        <v>95088.0</v>
      </c>
      <c r="C17308" s="38" t="s">
        <v>21716</v>
      </c>
      <c r="D17308" s="38" t="str">
        <f>IFERROR(__xludf.DUMMYFUNCTION("REGEXREPLACE(C17308,""-\d+(.*)|--\d+(.*)"","""")"),"BONNEUIL-EN-FRANCE")</f>
        <v>BONNEUIL-EN-FRANCE</v>
      </c>
      <c r="E17308" s="38" t="s">
        <v>541</v>
      </c>
      <c r="F17308" s="38" t="s">
        <v>245</v>
      </c>
      <c r="G17308" s="49" t="str">
        <f t="shared" si="1"/>
        <v>95500</v>
      </c>
      <c r="H17308" s="49">
        <f t="shared" si="2"/>
        <v>95088</v>
      </c>
    </row>
    <row r="17309">
      <c r="A17309" s="48" t="s">
        <v>21717</v>
      </c>
      <c r="B17309" s="38">
        <v>49303.0</v>
      </c>
      <c r="C17309" s="38" t="s">
        <v>21718</v>
      </c>
      <c r="D17309" s="38" t="str">
        <f>IFERROR(__xludf.DUMMYFUNCTION("REGEXREPLACE(C17309,""-\d+(.*)|--\d+(.*)"","""")"),"SAINT-MARTIN-D'ARCE")</f>
        <v>SAINT-MARTIN-D'ARCE</v>
      </c>
      <c r="E17309" s="38" t="s">
        <v>653</v>
      </c>
      <c r="F17309" s="38" t="s">
        <v>180</v>
      </c>
      <c r="G17309" s="49" t="str">
        <f t="shared" si="1"/>
        <v>49303</v>
      </c>
      <c r="H17309" s="49">
        <f t="shared" si="2"/>
        <v>49303</v>
      </c>
    </row>
    <row r="17310">
      <c r="A17310" s="48" t="s">
        <v>8134</v>
      </c>
      <c r="B17310" s="38">
        <v>47185.0</v>
      </c>
      <c r="C17310" s="38" t="s">
        <v>21719</v>
      </c>
      <c r="D17310" s="38" t="str">
        <f>IFERROR(__xludf.DUMMYFUNCTION("REGEXREPLACE(C17310,""-\d+(.*)|--\d+(.*)"","""")"),"MONTAYRAL")</f>
        <v>MONTAYRAL</v>
      </c>
      <c r="E17310" s="38" t="s">
        <v>251</v>
      </c>
      <c r="F17310" s="38" t="s">
        <v>252</v>
      </c>
      <c r="G17310" s="49" t="str">
        <f t="shared" si="1"/>
        <v>47500</v>
      </c>
      <c r="H17310" s="49">
        <f t="shared" si="2"/>
        <v>47185</v>
      </c>
    </row>
    <row r="17311">
      <c r="A17311" s="48" t="s">
        <v>5150</v>
      </c>
      <c r="B17311" s="38">
        <v>50647.0</v>
      </c>
      <c r="C17311" s="38" t="s">
        <v>21720</v>
      </c>
      <c r="D17311" s="38" t="str">
        <f>IFERROR(__xludf.DUMMYFUNCTION("REGEXREPLACE(C17311,""-\d+(.*)|--\d+(.*)"","""")"),"YQUELON")</f>
        <v>YQUELON</v>
      </c>
      <c r="E17311" s="38" t="s">
        <v>157</v>
      </c>
      <c r="F17311" s="38" t="s">
        <v>138</v>
      </c>
      <c r="G17311" s="49" t="str">
        <f t="shared" si="1"/>
        <v>50400</v>
      </c>
      <c r="H17311" s="49">
        <f t="shared" si="2"/>
        <v>50647</v>
      </c>
    </row>
    <row r="17312">
      <c r="A17312" s="48" t="s">
        <v>582</v>
      </c>
      <c r="B17312" s="38">
        <v>39100.0</v>
      </c>
      <c r="C17312" s="38" t="s">
        <v>21721</v>
      </c>
      <c r="D17312" s="38" t="str">
        <f>IFERROR(__xludf.DUMMYFUNCTION("REGEXREPLACE(C17312,""-\d+(.*)|--\d+(.*)"","""")"),"CHAMPROUGIER")</f>
        <v>CHAMPROUGIER</v>
      </c>
      <c r="E17312" s="38" t="s">
        <v>400</v>
      </c>
      <c r="F17312" s="38" t="s">
        <v>214</v>
      </c>
      <c r="G17312" s="49" t="str">
        <f t="shared" si="1"/>
        <v>39230</v>
      </c>
      <c r="H17312" s="49">
        <f t="shared" si="2"/>
        <v>39100</v>
      </c>
    </row>
    <row r="17313">
      <c r="A17313" s="48" t="s">
        <v>7140</v>
      </c>
      <c r="B17313" s="38">
        <v>3018.0</v>
      </c>
      <c r="C17313" s="38" t="s">
        <v>21722</v>
      </c>
      <c r="D17313" s="38" t="str">
        <f>IFERROR(__xludf.DUMMYFUNCTION("REGEXREPLACE(C17313,""-\d+(.*)|--\d+(.*)"","""")"),"BAYET")</f>
        <v>BAYET</v>
      </c>
      <c r="E17313" s="38" t="s">
        <v>160</v>
      </c>
      <c r="F17313" s="38" t="s">
        <v>161</v>
      </c>
      <c r="G17313" s="49" t="str">
        <f t="shared" si="1"/>
        <v>03500</v>
      </c>
      <c r="H17313" s="49" t="str">
        <f t="shared" si="2"/>
        <v>03018</v>
      </c>
    </row>
    <row r="17314">
      <c r="A17314" s="48" t="s">
        <v>816</v>
      </c>
      <c r="B17314" s="38">
        <v>11109.0</v>
      </c>
      <c r="C17314" s="38" t="s">
        <v>21723</v>
      </c>
      <c r="D17314" s="38" t="str">
        <f>IFERROR(__xludf.DUMMYFUNCTION("REGEXREPLACE(C17314,""-\d+(.*)|--\d+(.*)"","""")"),"COUSTAUSSA")</f>
        <v>COUSTAUSSA</v>
      </c>
      <c r="E17314" s="38" t="s">
        <v>278</v>
      </c>
      <c r="F17314" s="38" t="s">
        <v>119</v>
      </c>
      <c r="G17314" s="49" t="str">
        <f t="shared" si="1"/>
        <v>11190</v>
      </c>
      <c r="H17314" s="49">
        <f t="shared" si="2"/>
        <v>11109</v>
      </c>
    </row>
    <row r="17315">
      <c r="A17315" s="48" t="s">
        <v>4898</v>
      </c>
      <c r="B17315" s="38">
        <v>27307.0</v>
      </c>
      <c r="C17315" s="38" t="s">
        <v>21724</v>
      </c>
      <c r="D17315" s="38" t="str">
        <f>IFERROR(__xludf.DUMMYFUNCTION("REGEXREPLACE(C17315,""-\d+(.*)|--\d+(.*)"","""")"),"GUISENIERS")</f>
        <v>GUISENIERS</v>
      </c>
      <c r="E17315" s="38" t="s">
        <v>241</v>
      </c>
      <c r="F17315" s="38" t="s">
        <v>134</v>
      </c>
      <c r="G17315" s="49" t="str">
        <f t="shared" si="1"/>
        <v>27700</v>
      </c>
      <c r="H17315" s="49">
        <f t="shared" si="2"/>
        <v>27307</v>
      </c>
    </row>
    <row r="17316">
      <c r="A17316" s="48" t="s">
        <v>15556</v>
      </c>
      <c r="B17316" s="38">
        <v>86146.0</v>
      </c>
      <c r="C17316" s="38" t="s">
        <v>21725</v>
      </c>
      <c r="D17316" s="38" t="str">
        <f>IFERROR(__xludf.DUMMYFUNCTION("REGEXREPLACE(C17316,""-\d+(.*)|--\d+(.*)"","""")"),"MARIGNY-BRIZAY")</f>
        <v>MARIGNY-BRIZAY</v>
      </c>
      <c r="E17316" s="38" t="s">
        <v>529</v>
      </c>
      <c r="F17316" s="38" t="s">
        <v>338</v>
      </c>
      <c r="G17316" s="49" t="str">
        <f t="shared" si="1"/>
        <v>86380</v>
      </c>
      <c r="H17316" s="49">
        <f t="shared" si="2"/>
        <v>86146</v>
      </c>
    </row>
    <row r="17317">
      <c r="A17317" s="48" t="s">
        <v>1978</v>
      </c>
      <c r="B17317" s="38">
        <v>88105.0</v>
      </c>
      <c r="C17317" s="38" t="s">
        <v>21726</v>
      </c>
      <c r="D17317" s="38" t="str">
        <f>IFERROR(__xludf.DUMMYFUNCTION("REGEXREPLACE(C17317,""-\d+(.*)|--\d+(.*)"","""")"),"CLAUDON")</f>
        <v>CLAUDON</v>
      </c>
      <c r="E17317" s="38" t="s">
        <v>194</v>
      </c>
      <c r="F17317" s="38" t="s">
        <v>195</v>
      </c>
      <c r="G17317" s="49" t="str">
        <f t="shared" si="1"/>
        <v>88410</v>
      </c>
      <c r="H17317" s="49">
        <f t="shared" si="2"/>
        <v>88105</v>
      </c>
    </row>
    <row r="17318">
      <c r="A17318" s="48" t="s">
        <v>493</v>
      </c>
      <c r="B17318" s="38">
        <v>28198.0</v>
      </c>
      <c r="C17318" s="38" t="s">
        <v>21727</v>
      </c>
      <c r="D17318" s="38" t="str">
        <f>IFERROR(__xludf.DUMMYFUNCTION("REGEXREPLACE(C17318,""-\d+(.*)|--\d+(.*)"","""")"),"JALLANS")</f>
        <v>JALLANS</v>
      </c>
      <c r="E17318" s="38" t="s">
        <v>300</v>
      </c>
      <c r="F17318" s="38" t="s">
        <v>123</v>
      </c>
      <c r="G17318" s="49" t="str">
        <f t="shared" si="1"/>
        <v>28200</v>
      </c>
      <c r="H17318" s="49">
        <f t="shared" si="2"/>
        <v>28198</v>
      </c>
    </row>
    <row r="17319">
      <c r="A17319" s="48" t="s">
        <v>5805</v>
      </c>
      <c r="B17319" s="38">
        <v>21118.0</v>
      </c>
      <c r="C17319" s="38" t="s">
        <v>21728</v>
      </c>
      <c r="D17319" s="38" t="str">
        <f>IFERROR(__xludf.DUMMYFUNCTION("REGEXREPLACE(C17319,""-\d+(.*)|--\d+(.*)"","""")"),"BUSSEROTTE-ET-MONTENAILLE")</f>
        <v>BUSSEROTTE-ET-MONTENAILLE</v>
      </c>
      <c r="E17319" s="38" t="s">
        <v>105</v>
      </c>
      <c r="F17319" s="38" t="s">
        <v>106</v>
      </c>
      <c r="G17319" s="49" t="str">
        <f t="shared" si="1"/>
        <v>21580</v>
      </c>
      <c r="H17319" s="49">
        <f t="shared" si="2"/>
        <v>21118</v>
      </c>
    </row>
    <row r="17320">
      <c r="A17320" s="48" t="s">
        <v>3840</v>
      </c>
      <c r="B17320" s="38">
        <v>72211.0</v>
      </c>
      <c r="C17320" s="38" t="s">
        <v>10563</v>
      </c>
      <c r="D17320" s="38" t="str">
        <f>IFERROR(__xludf.DUMMYFUNCTION("REGEXREPLACE(C17320,""-\d+(.*)|--\d+(.*)"","""")"),"MONT-SAINT-JEAN")</f>
        <v>MONT-SAINT-JEAN</v>
      </c>
      <c r="E17320" s="38" t="s">
        <v>521</v>
      </c>
      <c r="F17320" s="38" t="s">
        <v>180</v>
      </c>
      <c r="G17320" s="49" t="str">
        <f t="shared" si="1"/>
        <v>72140</v>
      </c>
      <c r="H17320" s="49">
        <f t="shared" si="2"/>
        <v>72211</v>
      </c>
    </row>
    <row r="17321">
      <c r="A17321" s="48" t="s">
        <v>2047</v>
      </c>
      <c r="B17321" s="38">
        <v>62064.0</v>
      </c>
      <c r="C17321" s="38" t="s">
        <v>21729</v>
      </c>
      <c r="D17321" s="38" t="str">
        <f>IFERROR(__xludf.DUMMYFUNCTION("REGEXREPLACE(C17321,""-\d+(.*)|--\d+(.*)"","""")"),"AVESNES-LES-BAPAUME")</f>
        <v>AVESNES-LES-BAPAUME</v>
      </c>
      <c r="E17321" s="38" t="s">
        <v>109</v>
      </c>
      <c r="F17321" s="38" t="s">
        <v>86</v>
      </c>
      <c r="G17321" s="49" t="str">
        <f t="shared" si="1"/>
        <v>62450</v>
      </c>
      <c r="H17321" s="49">
        <f t="shared" si="2"/>
        <v>62064</v>
      </c>
    </row>
    <row r="17322">
      <c r="A17322" s="48" t="s">
        <v>1208</v>
      </c>
      <c r="B17322" s="38">
        <v>32070.0</v>
      </c>
      <c r="C17322" s="38" t="s">
        <v>21730</v>
      </c>
      <c r="D17322" s="38" t="str">
        <f>IFERROR(__xludf.DUMMYFUNCTION("REGEXREPLACE(C17322,""-\d+(.*)|--\d+(.*)"","""")"),"CAHUZAC-SUR-ADOUR")</f>
        <v>CAHUZAC-SUR-ADOUR</v>
      </c>
      <c r="E17322" s="38" t="s">
        <v>440</v>
      </c>
      <c r="F17322" s="38" t="s">
        <v>94</v>
      </c>
      <c r="G17322" s="49" t="str">
        <f t="shared" si="1"/>
        <v>32400</v>
      </c>
      <c r="H17322" s="49">
        <f t="shared" si="2"/>
        <v>32070</v>
      </c>
    </row>
    <row r="17323">
      <c r="A17323" s="48" t="s">
        <v>2783</v>
      </c>
      <c r="B17323" s="38">
        <v>31140.0</v>
      </c>
      <c r="C17323" s="38" t="s">
        <v>21731</v>
      </c>
      <c r="D17323" s="38" t="str">
        <f>IFERROR(__xludf.DUMMYFUNCTION("REGEXREPLACE(C17323,""-\d+(.*)|--\d+(.*)"","""")"),"CHEIN-DESSUS")</f>
        <v>CHEIN-DESSUS</v>
      </c>
      <c r="E17323" s="38" t="s">
        <v>93</v>
      </c>
      <c r="F17323" s="38" t="s">
        <v>94</v>
      </c>
      <c r="G17323" s="49" t="str">
        <f t="shared" si="1"/>
        <v>31160</v>
      </c>
      <c r="H17323" s="49">
        <f t="shared" si="2"/>
        <v>31140</v>
      </c>
    </row>
    <row r="17324">
      <c r="A17324" s="48" t="s">
        <v>1068</v>
      </c>
      <c r="B17324" s="38">
        <v>27285.0</v>
      </c>
      <c r="C17324" s="38" t="s">
        <v>21732</v>
      </c>
      <c r="D17324" s="38" t="str">
        <f>IFERROR(__xludf.DUMMYFUNCTION("REGEXREPLACE(C17324,""-\d+(.*)|--\d+(.*)"","""")"),"GIVERNY")</f>
        <v>GIVERNY</v>
      </c>
      <c r="E17324" s="38" t="s">
        <v>241</v>
      </c>
      <c r="F17324" s="38" t="s">
        <v>134</v>
      </c>
      <c r="G17324" s="49" t="str">
        <f t="shared" si="1"/>
        <v>27620</v>
      </c>
      <c r="H17324" s="49">
        <f t="shared" si="2"/>
        <v>27285</v>
      </c>
    </row>
    <row r="17325">
      <c r="A17325" s="48" t="s">
        <v>12166</v>
      </c>
      <c r="B17325" s="38">
        <v>22281.0</v>
      </c>
      <c r="C17325" s="38" t="s">
        <v>21733</v>
      </c>
      <c r="D17325" s="38" t="str">
        <f>IFERROR(__xludf.DUMMYFUNCTION("REGEXREPLACE(C17325,""-\d+(.*)|--\d+(.*)"","""")"),"SAINT-CARREUC")</f>
        <v>SAINT-CARREUC</v>
      </c>
      <c r="E17325" s="38" t="s">
        <v>89</v>
      </c>
      <c r="F17325" s="38" t="s">
        <v>90</v>
      </c>
      <c r="G17325" s="49" t="str">
        <f t="shared" si="1"/>
        <v>22150</v>
      </c>
      <c r="H17325" s="49">
        <f t="shared" si="2"/>
        <v>22281</v>
      </c>
    </row>
    <row r="17326">
      <c r="A17326" s="48" t="s">
        <v>8084</v>
      </c>
      <c r="B17326" s="38">
        <v>16024.0</v>
      </c>
      <c r="C17326" s="38" t="s">
        <v>21734</v>
      </c>
      <c r="D17326" s="38" t="str">
        <f>IFERROR(__xludf.DUMMYFUNCTION("REGEXREPLACE(C17326,""-\d+(.*)|--\d+(.*)"","""")"),"AUSSAC-VADALLE")</f>
        <v>AUSSAC-VADALLE</v>
      </c>
      <c r="E17326" s="38" t="s">
        <v>429</v>
      </c>
      <c r="F17326" s="38" t="s">
        <v>338</v>
      </c>
      <c r="G17326" s="49" t="str">
        <f t="shared" si="1"/>
        <v>16560</v>
      </c>
      <c r="H17326" s="49">
        <f t="shared" si="2"/>
        <v>16024</v>
      </c>
    </row>
    <row r="17327">
      <c r="A17327" s="48" t="s">
        <v>1467</v>
      </c>
      <c r="B17327" s="38">
        <v>7093.0</v>
      </c>
      <c r="C17327" s="38" t="s">
        <v>21735</v>
      </c>
      <c r="D17327" s="38" t="str">
        <f>IFERROR(__xludf.DUMMYFUNCTION("REGEXREPLACE(C17327,""-\d+(.*)|--\d+(.*)"","""")"),"GENESTELLE")</f>
        <v>GENESTELLE</v>
      </c>
      <c r="E17327" s="38" t="s">
        <v>144</v>
      </c>
      <c r="F17327" s="38" t="s">
        <v>102</v>
      </c>
      <c r="G17327" s="49" t="str">
        <f t="shared" si="1"/>
        <v>07530</v>
      </c>
      <c r="H17327" s="49" t="str">
        <f t="shared" si="2"/>
        <v>07093</v>
      </c>
    </row>
    <row r="17328">
      <c r="A17328" s="48" t="s">
        <v>3504</v>
      </c>
      <c r="B17328" s="38">
        <v>42019.0</v>
      </c>
      <c r="C17328" s="38" t="s">
        <v>21736</v>
      </c>
      <c r="D17328" s="38" t="str">
        <f>IFERROR(__xludf.DUMMYFUNCTION("REGEXREPLACE(C17328,""-\d+(.*)|--\d+(.*)"","""")"),"BOEN-SUR-LIGNON")</f>
        <v>BOEN-SUR-LIGNON</v>
      </c>
      <c r="E17328" s="38" t="s">
        <v>166</v>
      </c>
      <c r="F17328" s="38" t="s">
        <v>102</v>
      </c>
      <c r="G17328" s="49" t="str">
        <f t="shared" si="1"/>
        <v>42130</v>
      </c>
      <c r="H17328" s="49">
        <f t="shared" si="2"/>
        <v>42019</v>
      </c>
    </row>
    <row r="17329">
      <c r="A17329" s="48" t="s">
        <v>9636</v>
      </c>
      <c r="B17329" s="38">
        <v>42131.0</v>
      </c>
      <c r="C17329" s="38" t="s">
        <v>21737</v>
      </c>
      <c r="D17329" s="38" t="str">
        <f>IFERROR(__xludf.DUMMYFUNCTION("REGEXREPLACE(C17329,""-\d+(.*)|--\d+(.*)"","""")"),"MAIZILLY")</f>
        <v>MAIZILLY</v>
      </c>
      <c r="E17329" s="38" t="s">
        <v>166</v>
      </c>
      <c r="F17329" s="38" t="s">
        <v>102</v>
      </c>
      <c r="G17329" s="49" t="str">
        <f t="shared" si="1"/>
        <v>42750</v>
      </c>
      <c r="H17329" s="49">
        <f t="shared" si="2"/>
        <v>42131</v>
      </c>
    </row>
    <row r="17330">
      <c r="A17330" s="48" t="s">
        <v>1252</v>
      </c>
      <c r="B17330" s="38">
        <v>72125.0</v>
      </c>
      <c r="C17330" s="38" t="s">
        <v>21738</v>
      </c>
      <c r="D17330" s="38" t="str">
        <f>IFERROR(__xludf.DUMMYFUNCTION("REGEXREPLACE(C17330,""-\d+(.*)|--\d+(.*)"","""")"),"ECORPAIN")</f>
        <v>ECORPAIN</v>
      </c>
      <c r="E17330" s="38" t="s">
        <v>521</v>
      </c>
      <c r="F17330" s="38" t="s">
        <v>180</v>
      </c>
      <c r="G17330" s="49" t="str">
        <f t="shared" si="1"/>
        <v>72120</v>
      </c>
      <c r="H17330" s="49">
        <f t="shared" si="2"/>
        <v>72125</v>
      </c>
    </row>
    <row r="17331">
      <c r="A17331" s="48" t="s">
        <v>6651</v>
      </c>
      <c r="B17331" s="38">
        <v>31102.0</v>
      </c>
      <c r="C17331" s="38" t="s">
        <v>21739</v>
      </c>
      <c r="D17331" s="38" t="str">
        <f>IFERROR(__xludf.DUMMYFUNCTION("REGEXREPLACE(C17331,""-\d+(.*)|--\d+(.*)"","""")"),"CAMBIAC")</f>
        <v>CAMBIAC</v>
      </c>
      <c r="E17331" s="38" t="s">
        <v>93</v>
      </c>
      <c r="F17331" s="38" t="s">
        <v>94</v>
      </c>
      <c r="G17331" s="49" t="str">
        <f t="shared" si="1"/>
        <v>31460</v>
      </c>
      <c r="H17331" s="49">
        <f t="shared" si="2"/>
        <v>31102</v>
      </c>
    </row>
    <row r="17332">
      <c r="A17332" s="48" t="s">
        <v>6002</v>
      </c>
      <c r="B17332" s="38">
        <v>18094.0</v>
      </c>
      <c r="C17332" s="38" t="s">
        <v>21740</v>
      </c>
      <c r="D17332" s="38" t="str">
        <f>IFERROR(__xludf.DUMMYFUNCTION("REGEXREPLACE(C17332,""-\d+(.*)|--\d+(.*)"","""")"),"FEUX")</f>
        <v>FEUX</v>
      </c>
      <c r="E17332" s="38" t="s">
        <v>504</v>
      </c>
      <c r="F17332" s="38" t="s">
        <v>123</v>
      </c>
      <c r="G17332" s="49" t="str">
        <f t="shared" si="1"/>
        <v>18300</v>
      </c>
      <c r="H17332" s="49">
        <f t="shared" si="2"/>
        <v>18094</v>
      </c>
    </row>
    <row r="17333">
      <c r="A17333" s="48" t="s">
        <v>5045</v>
      </c>
      <c r="B17333" s="38">
        <v>24357.0</v>
      </c>
      <c r="C17333" s="38" t="s">
        <v>21741</v>
      </c>
      <c r="D17333" s="38" t="str">
        <f>IFERROR(__xludf.DUMMYFUNCTION("REGEXREPLACE(C17333,""-\d+(.*)|--\d+(.*)"","""")"),"ROUFFIGNAC-DE-SIGOULES")</f>
        <v>ROUFFIGNAC-DE-SIGOULES</v>
      </c>
      <c r="E17333" s="38" t="s">
        <v>261</v>
      </c>
      <c r="F17333" s="38" t="s">
        <v>252</v>
      </c>
      <c r="G17333" s="49" t="str">
        <f t="shared" si="1"/>
        <v>24240</v>
      </c>
      <c r="H17333" s="49">
        <f t="shared" si="2"/>
        <v>24357</v>
      </c>
    </row>
    <row r="17334">
      <c r="A17334" s="48" t="s">
        <v>18596</v>
      </c>
      <c r="B17334" s="38">
        <v>15261.0</v>
      </c>
      <c r="C17334" s="38" t="s">
        <v>21742</v>
      </c>
      <c r="D17334" s="38" t="str">
        <f>IFERROR(__xludf.DUMMYFUNCTION("REGEXREPLACE(C17334,""-\d+(.*)|--\d+(.*)"","""")"),"LE VIGEAN")</f>
        <v>LE VIGEAN</v>
      </c>
      <c r="E17334" s="38" t="s">
        <v>632</v>
      </c>
      <c r="F17334" s="38" t="s">
        <v>161</v>
      </c>
      <c r="G17334" s="49" t="str">
        <f t="shared" si="1"/>
        <v>15200</v>
      </c>
      <c r="H17334" s="49">
        <f t="shared" si="2"/>
        <v>15261</v>
      </c>
    </row>
    <row r="17335">
      <c r="A17335" s="48" t="s">
        <v>2170</v>
      </c>
      <c r="B17335" s="38">
        <v>80430.0</v>
      </c>
      <c r="C17335" s="38" t="s">
        <v>21743</v>
      </c>
      <c r="D17335" s="38" t="str">
        <f>IFERROR(__xludf.DUMMYFUNCTION("REGEXREPLACE(C17335,""-\d+(.*)|--\d+(.*)"","""")"),"HERBECOURT")</f>
        <v>HERBECOURT</v>
      </c>
      <c r="E17335" s="38" t="s">
        <v>224</v>
      </c>
      <c r="F17335" s="38" t="s">
        <v>113</v>
      </c>
      <c r="G17335" s="49" t="str">
        <f t="shared" si="1"/>
        <v>80200</v>
      </c>
      <c r="H17335" s="49">
        <f t="shared" si="2"/>
        <v>80430</v>
      </c>
    </row>
    <row r="17336">
      <c r="A17336" s="48" t="s">
        <v>3080</v>
      </c>
      <c r="B17336" s="38">
        <v>71335.0</v>
      </c>
      <c r="C17336" s="38" t="s">
        <v>21744</v>
      </c>
      <c r="D17336" s="38" t="str">
        <f>IFERROR(__xludf.DUMMYFUNCTION("REGEXREPLACE(C17336,""-\d+(.*)|--\d+(.*)"","""")"),"OUROUX-SOUS-LE-BOIS-SAINTE-MARIE")</f>
        <v>OUROUX-SOUS-LE-BOIS-SAINTE-MARIE</v>
      </c>
      <c r="E17336" s="38" t="s">
        <v>344</v>
      </c>
      <c r="F17336" s="38" t="s">
        <v>106</v>
      </c>
      <c r="G17336" s="49" t="str">
        <f t="shared" si="1"/>
        <v>71800</v>
      </c>
      <c r="H17336" s="49">
        <f t="shared" si="2"/>
        <v>71335</v>
      </c>
    </row>
    <row r="17337">
      <c r="A17337" s="48" t="s">
        <v>9850</v>
      </c>
      <c r="B17337" s="38">
        <v>67229.0</v>
      </c>
      <c r="C17337" s="38" t="s">
        <v>21745</v>
      </c>
      <c r="D17337" s="38" t="str">
        <f>IFERROR(__xludf.DUMMYFUNCTION("REGEXREPLACE(C17337,""-\d+(.*)|--\d+(.*)"","""")"),"JETTERSWILLER")</f>
        <v>JETTERSWILLER</v>
      </c>
      <c r="E17337" s="38" t="s">
        <v>210</v>
      </c>
      <c r="F17337" s="38" t="s">
        <v>151</v>
      </c>
      <c r="G17337" s="49" t="str">
        <f t="shared" si="1"/>
        <v>67440</v>
      </c>
      <c r="H17337" s="49">
        <f t="shared" si="2"/>
        <v>67229</v>
      </c>
    </row>
    <row r="17338">
      <c r="A17338" s="48" t="s">
        <v>3900</v>
      </c>
      <c r="B17338" s="38">
        <v>2561.0</v>
      </c>
      <c r="C17338" s="38" t="s">
        <v>21746</v>
      </c>
      <c r="D17338" s="38" t="str">
        <f>IFERROR(__xludf.DUMMYFUNCTION("REGEXREPLACE(C17338,""-\d+(.*)|--\d+(.*)"","""")"),"NOUVION-LE-VINEUX")</f>
        <v>NOUVION-LE-VINEUX</v>
      </c>
      <c r="E17338" s="38" t="s">
        <v>191</v>
      </c>
      <c r="F17338" s="38" t="s">
        <v>113</v>
      </c>
      <c r="G17338" s="49" t="str">
        <f t="shared" si="1"/>
        <v>02860</v>
      </c>
      <c r="H17338" s="49" t="str">
        <f t="shared" si="2"/>
        <v>02561</v>
      </c>
    </row>
    <row r="17339">
      <c r="A17339" s="48" t="s">
        <v>1293</v>
      </c>
      <c r="B17339" s="38">
        <v>25436.0</v>
      </c>
      <c r="C17339" s="38" t="s">
        <v>21747</v>
      </c>
      <c r="D17339" s="38" t="str">
        <f>IFERROR(__xludf.DUMMYFUNCTION("REGEXREPLACE(C17339,""-\d+(.*)|--\d+(.*)"","""")"),"ORVE")</f>
        <v>ORVE</v>
      </c>
      <c r="E17339" s="38" t="s">
        <v>213</v>
      </c>
      <c r="F17339" s="38" t="s">
        <v>214</v>
      </c>
      <c r="G17339" s="49" t="str">
        <f t="shared" si="1"/>
        <v>25430</v>
      </c>
      <c r="H17339" s="49">
        <f t="shared" si="2"/>
        <v>25436</v>
      </c>
    </row>
    <row r="17340">
      <c r="A17340" s="48" t="s">
        <v>83</v>
      </c>
      <c r="B17340" s="38">
        <v>59091.0</v>
      </c>
      <c r="C17340" s="38" t="s">
        <v>21748</v>
      </c>
      <c r="D17340" s="38" t="str">
        <f>IFERROR(__xludf.DUMMYFUNCTION("REGEXREPLACE(C17340,""-\d+(.*)|--\d+(.*)"","""")"),"BORRE")</f>
        <v>BORRE</v>
      </c>
      <c r="E17340" s="38" t="s">
        <v>85</v>
      </c>
      <c r="F17340" s="38" t="s">
        <v>86</v>
      </c>
      <c r="G17340" s="49" t="str">
        <f t="shared" si="1"/>
        <v>59190</v>
      </c>
      <c r="H17340" s="49">
        <f t="shared" si="2"/>
        <v>59091</v>
      </c>
    </row>
    <row r="17341">
      <c r="A17341" s="48" t="s">
        <v>3212</v>
      </c>
      <c r="B17341" s="38">
        <v>64126.0</v>
      </c>
      <c r="C17341" s="38" t="s">
        <v>21749</v>
      </c>
      <c r="D17341" s="38" t="str">
        <f>IFERROR(__xludf.DUMMYFUNCTION("REGEXREPLACE(C17341,""-\d+(.*)|--\d+(.*)"","""")"),"BIDOS")</f>
        <v>BIDOS</v>
      </c>
      <c r="E17341" s="38" t="s">
        <v>268</v>
      </c>
      <c r="F17341" s="38" t="s">
        <v>252</v>
      </c>
      <c r="G17341" s="49" t="str">
        <f t="shared" si="1"/>
        <v>64400</v>
      </c>
      <c r="H17341" s="49">
        <f t="shared" si="2"/>
        <v>64126</v>
      </c>
    </row>
    <row r="17342">
      <c r="A17342" s="48" t="s">
        <v>7245</v>
      </c>
      <c r="B17342" s="38">
        <v>53064.0</v>
      </c>
      <c r="C17342" s="38" t="s">
        <v>21750</v>
      </c>
      <c r="D17342" s="38" t="str">
        <f>IFERROR(__xludf.DUMMYFUNCTION("REGEXREPLACE(C17342,""-\d+(.*)|--\d+(.*)"","""")"),"CHATILLON-SUR-COLMONT")</f>
        <v>CHATILLON-SUR-COLMONT</v>
      </c>
      <c r="E17342" s="38" t="s">
        <v>518</v>
      </c>
      <c r="F17342" s="38" t="s">
        <v>180</v>
      </c>
      <c r="G17342" s="49" t="str">
        <f t="shared" si="1"/>
        <v>53100</v>
      </c>
      <c r="H17342" s="49">
        <f t="shared" si="2"/>
        <v>53064</v>
      </c>
    </row>
    <row r="17343">
      <c r="A17343" s="48" t="s">
        <v>4238</v>
      </c>
      <c r="B17343" s="38">
        <v>54372.0</v>
      </c>
      <c r="C17343" s="38" t="s">
        <v>21751</v>
      </c>
      <c r="D17343" s="38" t="str">
        <f>IFERROR(__xludf.DUMMYFUNCTION("REGEXREPLACE(C17343,""-\d+(.*)|--\d+(.*)"","""")"),"MOIVRONS")</f>
        <v>MOIVRONS</v>
      </c>
      <c r="E17343" s="38" t="s">
        <v>548</v>
      </c>
      <c r="F17343" s="38" t="s">
        <v>195</v>
      </c>
      <c r="G17343" s="49" t="str">
        <f t="shared" si="1"/>
        <v>54760</v>
      </c>
      <c r="H17343" s="49">
        <f t="shared" si="2"/>
        <v>54372</v>
      </c>
    </row>
    <row r="17344">
      <c r="A17344" s="48" t="s">
        <v>2312</v>
      </c>
      <c r="B17344" s="38">
        <v>67057.0</v>
      </c>
      <c r="C17344" s="38" t="s">
        <v>21752</v>
      </c>
      <c r="D17344" s="38" t="str">
        <f>IFERROR(__xludf.DUMMYFUNCTION("REGEXREPLACE(C17344,""-\d+(.*)|--\d+(.*)"","""")"),"BOSSELSHAUSEN")</f>
        <v>BOSSELSHAUSEN</v>
      </c>
      <c r="E17344" s="38" t="s">
        <v>210</v>
      </c>
      <c r="F17344" s="38" t="s">
        <v>151</v>
      </c>
      <c r="G17344" s="49" t="str">
        <f t="shared" si="1"/>
        <v>67330</v>
      </c>
      <c r="H17344" s="49">
        <f t="shared" si="2"/>
        <v>67057</v>
      </c>
    </row>
    <row r="17345">
      <c r="A17345" s="48" t="s">
        <v>597</v>
      </c>
      <c r="B17345" s="38">
        <v>31152.0</v>
      </c>
      <c r="C17345" s="38" t="s">
        <v>21753</v>
      </c>
      <c r="D17345" s="38" t="str">
        <f>IFERROR(__xludf.DUMMYFUNCTION("REGEXREPLACE(C17345,""-\d+(.*)|--\d+(.*)"","""")"),"COUEILLES")</f>
        <v>COUEILLES</v>
      </c>
      <c r="E17345" s="38" t="s">
        <v>93</v>
      </c>
      <c r="F17345" s="38" t="s">
        <v>94</v>
      </c>
      <c r="G17345" s="49" t="str">
        <f t="shared" si="1"/>
        <v>31230</v>
      </c>
      <c r="H17345" s="49">
        <f t="shared" si="2"/>
        <v>31152</v>
      </c>
    </row>
    <row r="17346">
      <c r="A17346" s="48" t="s">
        <v>5214</v>
      </c>
      <c r="B17346" s="38">
        <v>9149.0</v>
      </c>
      <c r="C17346" s="38" t="s">
        <v>21754</v>
      </c>
      <c r="D17346" s="38" t="str">
        <f>IFERROR(__xludf.DUMMYFUNCTION("REGEXREPLACE(C17346,""-\d+(.*)|--\d+(.*)"","""")"),"LACOURT")</f>
        <v>LACOURT</v>
      </c>
      <c r="E17346" s="38" t="s">
        <v>238</v>
      </c>
      <c r="F17346" s="38" t="s">
        <v>94</v>
      </c>
      <c r="G17346" s="49" t="str">
        <f t="shared" si="1"/>
        <v>09200</v>
      </c>
      <c r="H17346" s="49" t="str">
        <f t="shared" si="2"/>
        <v>09149</v>
      </c>
    </row>
    <row r="17347">
      <c r="A17347" s="48" t="s">
        <v>17340</v>
      </c>
      <c r="B17347" s="38">
        <v>62611.0</v>
      </c>
      <c r="C17347" s="38" t="s">
        <v>21755</v>
      </c>
      <c r="D17347" s="38" t="str">
        <f>IFERROR(__xludf.DUMMYFUNCTION("REGEXREPLACE(C17347,""-\d+(.*)|--\d+(.*)"","""")"),"NEUVILLE-VITASSE")</f>
        <v>NEUVILLE-VITASSE</v>
      </c>
      <c r="E17347" s="38" t="s">
        <v>109</v>
      </c>
      <c r="F17347" s="38" t="s">
        <v>86</v>
      </c>
      <c r="G17347" s="49" t="str">
        <f t="shared" si="1"/>
        <v>62217</v>
      </c>
      <c r="H17347" s="49">
        <f t="shared" si="2"/>
        <v>62611</v>
      </c>
    </row>
    <row r="17348">
      <c r="A17348" s="48" t="s">
        <v>16012</v>
      </c>
      <c r="B17348" s="38">
        <v>89167.0</v>
      </c>
      <c r="C17348" s="38" t="s">
        <v>21756</v>
      </c>
      <c r="D17348" s="38" t="str">
        <f>IFERROR(__xludf.DUMMYFUNCTION("REGEXREPLACE(C17348,""-\d+(.*)|--\d+(.*)"","""")"),"FLEURY-LA-VALLEE")</f>
        <v>FLEURY-LA-VALLEE</v>
      </c>
      <c r="E17348" s="38" t="s">
        <v>275</v>
      </c>
      <c r="F17348" s="38" t="s">
        <v>106</v>
      </c>
      <c r="G17348" s="49" t="str">
        <f t="shared" si="1"/>
        <v>89113</v>
      </c>
      <c r="H17348" s="49">
        <f t="shared" si="2"/>
        <v>89167</v>
      </c>
    </row>
    <row r="17349">
      <c r="A17349" s="48" t="s">
        <v>3892</v>
      </c>
      <c r="B17349" s="38">
        <v>42138.0</v>
      </c>
      <c r="C17349" s="38" t="s">
        <v>21757</v>
      </c>
      <c r="D17349" s="38" t="str">
        <f>IFERROR(__xludf.DUMMYFUNCTION("REGEXREPLACE(C17349,""-\d+(.*)|--\d+(.*)"","""")"),"MARINGES")</f>
        <v>MARINGES</v>
      </c>
      <c r="E17349" s="38" t="s">
        <v>166</v>
      </c>
      <c r="F17349" s="38" t="s">
        <v>102</v>
      </c>
      <c r="G17349" s="49" t="str">
        <f t="shared" si="1"/>
        <v>42140</v>
      </c>
      <c r="H17349" s="49">
        <f t="shared" si="2"/>
        <v>42138</v>
      </c>
    </row>
    <row r="17350">
      <c r="A17350" s="48" t="s">
        <v>3196</v>
      </c>
      <c r="B17350" s="38">
        <v>1184.0</v>
      </c>
      <c r="C17350" s="38" t="s">
        <v>21758</v>
      </c>
      <c r="D17350" s="38" t="str">
        <f>IFERROR(__xludf.DUMMYFUNCTION("REGEXREPLACE(C17350,""-\d+(.*)|--\d+(.*)"","""")"),"HAUTECOURT-ROMANECHE")</f>
        <v>HAUTECOURT-ROMANECHE</v>
      </c>
      <c r="E17350" s="38" t="s">
        <v>255</v>
      </c>
      <c r="F17350" s="38" t="s">
        <v>102</v>
      </c>
      <c r="G17350" s="49" t="str">
        <f t="shared" si="1"/>
        <v>01250</v>
      </c>
      <c r="H17350" s="49" t="str">
        <f t="shared" si="2"/>
        <v>01184</v>
      </c>
    </row>
    <row r="17351">
      <c r="A17351" s="48" t="s">
        <v>934</v>
      </c>
      <c r="B17351" s="38">
        <v>49257.0</v>
      </c>
      <c r="C17351" s="38" t="s">
        <v>21759</v>
      </c>
      <c r="D17351" s="38" t="str">
        <f>IFERROR(__xludf.DUMMYFUNCTION("REGEXREPLACE(C17351,""-\d+(.*)|--\d+(.*)"","""")"),"LES RAIRIES")</f>
        <v>LES RAIRIES</v>
      </c>
      <c r="E17351" s="38" t="s">
        <v>653</v>
      </c>
      <c r="F17351" s="38" t="s">
        <v>180</v>
      </c>
      <c r="G17351" s="49" t="str">
        <f t="shared" si="1"/>
        <v>49430</v>
      </c>
      <c r="H17351" s="49">
        <f t="shared" si="2"/>
        <v>49257</v>
      </c>
    </row>
    <row r="17352">
      <c r="A17352" s="48" t="s">
        <v>12433</v>
      </c>
      <c r="B17352" s="38">
        <v>18050.0</v>
      </c>
      <c r="C17352" s="38" t="s">
        <v>21760</v>
      </c>
      <c r="D17352" s="38" t="str">
        <f>IFERROR(__xludf.DUMMYFUNCTION("REGEXREPLACE(C17352,""-\d+(.*)|--\d+(.*)"","""")"),"LA CHAPELLE-SAINT-URSIN")</f>
        <v>LA CHAPELLE-SAINT-URSIN</v>
      </c>
      <c r="E17352" s="38" t="s">
        <v>504</v>
      </c>
      <c r="F17352" s="38" t="s">
        <v>123</v>
      </c>
      <c r="G17352" s="49" t="str">
        <f t="shared" si="1"/>
        <v>18570</v>
      </c>
      <c r="H17352" s="49">
        <f t="shared" si="2"/>
        <v>18050</v>
      </c>
    </row>
    <row r="17353">
      <c r="A17353" s="48" t="s">
        <v>7263</v>
      </c>
      <c r="B17353" s="38">
        <v>88027.0</v>
      </c>
      <c r="C17353" s="38" t="s">
        <v>21761</v>
      </c>
      <c r="D17353" s="38" t="str">
        <f>IFERROR(__xludf.DUMMYFUNCTION("REGEXREPLACE(C17353,""-\d+(.*)|--\d+(.*)"","""")"),"BADMENIL-AUX-BOIS")</f>
        <v>BADMENIL-AUX-BOIS</v>
      </c>
      <c r="E17353" s="38" t="s">
        <v>194</v>
      </c>
      <c r="F17353" s="38" t="s">
        <v>195</v>
      </c>
      <c r="G17353" s="49" t="str">
        <f t="shared" si="1"/>
        <v>88330</v>
      </c>
      <c r="H17353" s="49">
        <f t="shared" si="2"/>
        <v>88027</v>
      </c>
    </row>
    <row r="17354">
      <c r="A17354" s="48" t="s">
        <v>1180</v>
      </c>
      <c r="B17354" s="38">
        <v>60535.0</v>
      </c>
      <c r="C17354" s="38" t="s">
        <v>21762</v>
      </c>
      <c r="D17354" s="38" t="str">
        <f>IFERROR(__xludf.DUMMYFUNCTION("REGEXREPLACE(C17354,""-\d+(.*)|--\d+(.*)"","""")"),"REUIL-SUR-BRECHE")</f>
        <v>REUIL-SUR-BRECHE</v>
      </c>
      <c r="E17354" s="38" t="s">
        <v>112</v>
      </c>
      <c r="F17354" s="38" t="s">
        <v>113</v>
      </c>
      <c r="G17354" s="49" t="str">
        <f t="shared" si="1"/>
        <v>60480</v>
      </c>
      <c r="H17354" s="49">
        <f t="shared" si="2"/>
        <v>60535</v>
      </c>
    </row>
    <row r="17355">
      <c r="A17355" s="48" t="s">
        <v>1993</v>
      </c>
      <c r="B17355" s="38">
        <v>2737.0</v>
      </c>
      <c r="C17355" s="38" t="s">
        <v>21763</v>
      </c>
      <c r="D17355" s="38" t="str">
        <f>IFERROR(__xludf.DUMMYFUNCTION("REGEXREPLACE(C17355,""-\d+(.*)|--\d+(.*)"","""")"),"TAVAUX-ET-PONTSERICOURT")</f>
        <v>TAVAUX-ET-PONTSERICOURT</v>
      </c>
      <c r="E17355" s="38" t="s">
        <v>191</v>
      </c>
      <c r="F17355" s="38" t="s">
        <v>113</v>
      </c>
      <c r="G17355" s="49" t="str">
        <f t="shared" si="1"/>
        <v>02250</v>
      </c>
      <c r="H17355" s="49" t="str">
        <f t="shared" si="2"/>
        <v>02737</v>
      </c>
    </row>
    <row r="17356">
      <c r="A17356" s="48" t="s">
        <v>5683</v>
      </c>
      <c r="B17356" s="38">
        <v>4202.0</v>
      </c>
      <c r="C17356" s="38" t="s">
        <v>21764</v>
      </c>
      <c r="D17356" s="38" t="str">
        <f>IFERROR(__xludf.DUMMYFUNCTION("REGEXREPLACE(C17356,""-\d+(.*)|--\d+(.*)"","""")"),"SAUSSES")</f>
        <v>SAUSSES</v>
      </c>
      <c r="E17356" s="38" t="s">
        <v>662</v>
      </c>
      <c r="F17356" s="38" t="s">
        <v>228</v>
      </c>
      <c r="G17356" s="49" t="str">
        <f t="shared" si="1"/>
        <v>04320</v>
      </c>
      <c r="H17356" s="49" t="str">
        <f t="shared" si="2"/>
        <v>04202</v>
      </c>
    </row>
    <row r="17357">
      <c r="A17357" s="48" t="s">
        <v>12281</v>
      </c>
      <c r="B17357" s="38">
        <v>54462.0</v>
      </c>
      <c r="C17357" s="38" t="s">
        <v>21765</v>
      </c>
      <c r="D17357" s="38" t="str">
        <f>IFERROR(__xludf.DUMMYFUNCTION("REGEXREPLACE(C17357,""-\d+(.*)|--\d+(.*)"","""")"),"ROSIERES-AUX-SALINES")</f>
        <v>ROSIERES-AUX-SALINES</v>
      </c>
      <c r="E17357" s="38" t="s">
        <v>548</v>
      </c>
      <c r="F17357" s="38" t="s">
        <v>195</v>
      </c>
      <c r="G17357" s="49" t="str">
        <f t="shared" si="1"/>
        <v>54110</v>
      </c>
      <c r="H17357" s="49">
        <f t="shared" si="2"/>
        <v>54462</v>
      </c>
    </row>
    <row r="17358">
      <c r="A17358" s="48" t="s">
        <v>1104</v>
      </c>
      <c r="B17358" s="38">
        <v>52149.0</v>
      </c>
      <c r="C17358" s="38" t="s">
        <v>21766</v>
      </c>
      <c r="D17358" s="38" t="str">
        <f>IFERROR(__xludf.DUMMYFUNCTION("REGEXREPLACE(C17358,""-\d+(.*)|--\d+(.*)"","""")"),"COURCELLES-SUR-BLAISE")</f>
        <v>COURCELLES-SUR-BLAISE</v>
      </c>
      <c r="E17358" s="38" t="s">
        <v>234</v>
      </c>
      <c r="F17358" s="38" t="s">
        <v>130</v>
      </c>
      <c r="G17358" s="49" t="str">
        <f t="shared" si="1"/>
        <v>52110</v>
      </c>
      <c r="H17358" s="49">
        <f t="shared" si="2"/>
        <v>52149</v>
      </c>
    </row>
    <row r="17359">
      <c r="A17359" s="48" t="s">
        <v>21767</v>
      </c>
      <c r="B17359" s="38">
        <v>44190.0</v>
      </c>
      <c r="C17359" s="38" t="s">
        <v>21768</v>
      </c>
      <c r="D17359" s="38" t="str">
        <f>IFERROR(__xludf.DUMMYFUNCTION("REGEXREPLACE(C17359,""-\d+(.*)|--\d+(.*)"","""")"),"SAINT-SEBASTIEN-SUR-LOIRE")</f>
        <v>SAINT-SEBASTIEN-SUR-LOIRE</v>
      </c>
      <c r="E17359" s="38" t="s">
        <v>759</v>
      </c>
      <c r="F17359" s="38" t="s">
        <v>180</v>
      </c>
      <c r="G17359" s="49" t="str">
        <f t="shared" si="1"/>
        <v>44230</v>
      </c>
      <c r="H17359" s="49">
        <f t="shared" si="2"/>
        <v>44190</v>
      </c>
    </row>
    <row r="17360">
      <c r="A17360" s="48" t="s">
        <v>1817</v>
      </c>
      <c r="B17360" s="38">
        <v>31310.0</v>
      </c>
      <c r="C17360" s="38" t="s">
        <v>21769</v>
      </c>
      <c r="D17360" s="38" t="str">
        <f>IFERROR(__xludf.DUMMYFUNCTION("REGEXREPLACE(C17360,""-\d+(.*)|--\d+(.*)"","""")"),"LUX")</f>
        <v>LUX</v>
      </c>
      <c r="E17360" s="38" t="s">
        <v>93</v>
      </c>
      <c r="F17360" s="38" t="s">
        <v>94</v>
      </c>
      <c r="G17360" s="49" t="str">
        <f t="shared" si="1"/>
        <v>31290</v>
      </c>
      <c r="H17360" s="49">
        <f t="shared" si="2"/>
        <v>31310</v>
      </c>
    </row>
    <row r="17361">
      <c r="A17361" s="48" t="s">
        <v>987</v>
      </c>
      <c r="B17361" s="38">
        <v>40057.0</v>
      </c>
      <c r="C17361" s="38" t="s">
        <v>21770</v>
      </c>
      <c r="D17361" s="38" t="str">
        <f>IFERROR(__xludf.DUMMYFUNCTION("REGEXREPLACE(C17361,""-\d+(.*)|--\d+(.*)"","""")"),"BUANES")</f>
        <v>BUANES</v>
      </c>
      <c r="E17361" s="38" t="s">
        <v>281</v>
      </c>
      <c r="F17361" s="38" t="s">
        <v>252</v>
      </c>
      <c r="G17361" s="49" t="str">
        <f t="shared" si="1"/>
        <v>40320</v>
      </c>
      <c r="H17361" s="49">
        <f t="shared" si="2"/>
        <v>40057</v>
      </c>
    </row>
    <row r="17362">
      <c r="A17362" s="48" t="s">
        <v>5777</v>
      </c>
      <c r="B17362" s="38">
        <v>74054.0</v>
      </c>
      <c r="C17362" s="38" t="s">
        <v>21771</v>
      </c>
      <c r="D17362" s="38" t="str">
        <f>IFERROR(__xludf.DUMMYFUNCTION("REGEXREPLACE(C17362,""-\d+(.*)|--\d+(.*)"","""")"),"CHAINAZ-LES-FRASSES")</f>
        <v>CHAINAZ-LES-FRASSES</v>
      </c>
      <c r="E17362" s="38" t="s">
        <v>319</v>
      </c>
      <c r="F17362" s="38" t="s">
        <v>102</v>
      </c>
      <c r="G17362" s="49" t="str">
        <f t="shared" si="1"/>
        <v>74540</v>
      </c>
      <c r="H17362" s="49">
        <f t="shared" si="2"/>
        <v>74054</v>
      </c>
    </row>
    <row r="17363">
      <c r="A17363" s="48" t="s">
        <v>2781</v>
      </c>
      <c r="B17363" s="38">
        <v>6098.0</v>
      </c>
      <c r="C17363" s="38" t="s">
        <v>21772</v>
      </c>
      <c r="D17363" s="38" t="str">
        <f>IFERROR(__xludf.DUMMYFUNCTION("REGEXREPLACE(C17363,""-\d+(.*)|--\d+(.*)"","""")"),"PUGET-ROSTANG")</f>
        <v>PUGET-ROSTANG</v>
      </c>
      <c r="E17363" s="38" t="s">
        <v>227</v>
      </c>
      <c r="F17363" s="38" t="s">
        <v>228</v>
      </c>
      <c r="G17363" s="49" t="str">
        <f t="shared" si="1"/>
        <v>06260</v>
      </c>
      <c r="H17363" s="49" t="str">
        <f t="shared" si="2"/>
        <v>06098</v>
      </c>
    </row>
    <row r="17364">
      <c r="A17364" s="48" t="s">
        <v>3973</v>
      </c>
      <c r="B17364" s="38">
        <v>33500.0</v>
      </c>
      <c r="C17364" s="38" t="s">
        <v>21773</v>
      </c>
      <c r="D17364" s="38" t="str">
        <f>IFERROR(__xludf.DUMMYFUNCTION("REGEXREPLACE(C17364,""-\d+(.*)|--\d+(.*)"","""")"),"SAMONAC")</f>
        <v>SAMONAC</v>
      </c>
      <c r="E17364" s="38" t="s">
        <v>462</v>
      </c>
      <c r="F17364" s="38" t="s">
        <v>252</v>
      </c>
      <c r="G17364" s="49" t="str">
        <f t="shared" si="1"/>
        <v>33710</v>
      </c>
      <c r="H17364" s="49">
        <f t="shared" si="2"/>
        <v>33500</v>
      </c>
    </row>
    <row r="17365">
      <c r="A17365" s="48" t="s">
        <v>1056</v>
      </c>
      <c r="B17365" s="38">
        <v>11158.0</v>
      </c>
      <c r="C17365" s="38" t="s">
        <v>21774</v>
      </c>
      <c r="D17365" s="38" t="str">
        <f>IFERROR(__xludf.DUMMYFUNCTION("REGEXREPLACE(C17365,""-\d+(.*)|--\d+(.*)"","""")"),"GAJA-ET-VILLEDIEU")</f>
        <v>GAJA-ET-VILLEDIEU</v>
      </c>
      <c r="E17365" s="38" t="s">
        <v>278</v>
      </c>
      <c r="F17365" s="38" t="s">
        <v>119</v>
      </c>
      <c r="G17365" s="49" t="str">
        <f t="shared" si="1"/>
        <v>11300</v>
      </c>
      <c r="H17365" s="49">
        <f t="shared" si="2"/>
        <v>11158</v>
      </c>
    </row>
    <row r="17366">
      <c r="A17366" s="48" t="s">
        <v>1272</v>
      </c>
      <c r="B17366" s="38">
        <v>51436.0</v>
      </c>
      <c r="C17366" s="38" t="s">
        <v>21775</v>
      </c>
      <c r="D17366" s="38" t="str">
        <f>IFERROR(__xludf.DUMMYFUNCTION("REGEXREPLACE(C17366,""-\d+(.*)|--\d+(.*)"","""")"),"POGNY")</f>
        <v>POGNY</v>
      </c>
      <c r="E17366" s="38" t="s">
        <v>129</v>
      </c>
      <c r="F17366" s="38" t="s">
        <v>130</v>
      </c>
      <c r="G17366" s="49" t="str">
        <f t="shared" si="1"/>
        <v>51240</v>
      </c>
      <c r="H17366" s="49">
        <f t="shared" si="2"/>
        <v>51436</v>
      </c>
    </row>
    <row r="17367">
      <c r="A17367" s="48" t="s">
        <v>3370</v>
      </c>
      <c r="B17367" s="38">
        <v>72132.0</v>
      </c>
      <c r="C17367" s="38" t="s">
        <v>21776</v>
      </c>
      <c r="D17367" s="38" t="str">
        <f>IFERROR(__xludf.DUMMYFUNCTION("REGEXREPLACE(C17367,""-\d+(.*)|--\d+(.*)"","""")"),"LA FERTE-BERNARD")</f>
        <v>LA FERTE-BERNARD</v>
      </c>
      <c r="E17367" s="38" t="s">
        <v>521</v>
      </c>
      <c r="F17367" s="38" t="s">
        <v>180</v>
      </c>
      <c r="G17367" s="49" t="str">
        <f t="shared" si="1"/>
        <v>72400</v>
      </c>
      <c r="H17367" s="49">
        <f t="shared" si="2"/>
        <v>72132</v>
      </c>
    </row>
    <row r="17368">
      <c r="A17368" s="48" t="s">
        <v>6945</v>
      </c>
      <c r="B17368" s="38">
        <v>80568.0</v>
      </c>
      <c r="C17368" s="38" t="s">
        <v>21777</v>
      </c>
      <c r="D17368" s="38" t="str">
        <f>IFERROR(__xludf.DUMMYFUNCTION("REGEXREPLACE(C17368,""-\d+(.*)|--\d+(.*)"","""")"),"MORCHAIN")</f>
        <v>MORCHAIN</v>
      </c>
      <c r="E17368" s="38" t="s">
        <v>224</v>
      </c>
      <c r="F17368" s="38" t="s">
        <v>113</v>
      </c>
      <c r="G17368" s="49" t="str">
        <f t="shared" si="1"/>
        <v>80190</v>
      </c>
      <c r="H17368" s="49">
        <f t="shared" si="2"/>
        <v>80568</v>
      </c>
    </row>
    <row r="17369">
      <c r="A17369" s="48" t="s">
        <v>3747</v>
      </c>
      <c r="B17369" s="38">
        <v>52290.0</v>
      </c>
      <c r="C17369" s="38" t="s">
        <v>21778</v>
      </c>
      <c r="D17369" s="38" t="str">
        <f>IFERROR(__xludf.DUMMYFUNCTION("REGEXREPLACE(C17369,""-\d+(.*)|--\d+(.*)"","""")"),"LES LOGES")</f>
        <v>LES LOGES</v>
      </c>
      <c r="E17369" s="38" t="s">
        <v>234</v>
      </c>
      <c r="F17369" s="38" t="s">
        <v>130</v>
      </c>
      <c r="G17369" s="49" t="str">
        <f t="shared" si="1"/>
        <v>52500</v>
      </c>
      <c r="H17369" s="49">
        <f t="shared" si="2"/>
        <v>52290</v>
      </c>
    </row>
    <row r="17370">
      <c r="A17370" s="48" t="s">
        <v>8738</v>
      </c>
      <c r="B17370" s="38">
        <v>56205.0</v>
      </c>
      <c r="C17370" s="38" t="s">
        <v>21779</v>
      </c>
      <c r="D17370" s="38" t="str">
        <f>IFERROR(__xludf.DUMMYFUNCTION("REGEXREPLACE(C17370,""-\d+(.*)|--\d+(.*)"","""")"),"SAINT-ARMEL")</f>
        <v>SAINT-ARMEL</v>
      </c>
      <c r="E17370" s="38" t="s">
        <v>173</v>
      </c>
      <c r="F17370" s="38" t="s">
        <v>90</v>
      </c>
      <c r="G17370" s="49" t="str">
        <f t="shared" si="1"/>
        <v>56450</v>
      </c>
      <c r="H17370" s="49">
        <f t="shared" si="2"/>
        <v>56205</v>
      </c>
    </row>
    <row r="17371">
      <c r="A17371" s="48" t="s">
        <v>1874</v>
      </c>
      <c r="B17371" s="38">
        <v>73159.0</v>
      </c>
      <c r="C17371" s="38" t="s">
        <v>21780</v>
      </c>
      <c r="D17371" s="38" t="str">
        <f>IFERROR(__xludf.DUMMYFUNCTION("REGEXREPLACE(C17371,""-\d+(.*)|--\d+(.*)"","""")"),"LES MOLLETTES")</f>
        <v>LES MOLLETTES</v>
      </c>
      <c r="E17371" s="38" t="s">
        <v>306</v>
      </c>
      <c r="F17371" s="38" t="s">
        <v>102</v>
      </c>
      <c r="G17371" s="49" t="str">
        <f t="shared" si="1"/>
        <v>73800</v>
      </c>
      <c r="H17371" s="49">
        <f t="shared" si="2"/>
        <v>73159</v>
      </c>
    </row>
    <row r="17372">
      <c r="A17372" s="48" t="s">
        <v>21781</v>
      </c>
      <c r="B17372" s="38">
        <v>66124.0</v>
      </c>
      <c r="C17372" s="38" t="s">
        <v>21782</v>
      </c>
      <c r="D17372" s="38" t="str">
        <f>IFERROR(__xludf.DUMMYFUNCTION("REGEXREPLACE(C17372,""-\d+(.*)|--\d+(.*)"","""")"),"FONT-ROMEU-ODEILLO-VIA")</f>
        <v>FONT-ROMEU-ODEILLO-VIA</v>
      </c>
      <c r="E17372" s="38" t="s">
        <v>248</v>
      </c>
      <c r="F17372" s="38" t="s">
        <v>119</v>
      </c>
      <c r="G17372" s="49" t="str">
        <f t="shared" si="1"/>
        <v>66120</v>
      </c>
      <c r="H17372" s="49">
        <f t="shared" si="2"/>
        <v>66124</v>
      </c>
    </row>
    <row r="17373">
      <c r="A17373" s="48" t="s">
        <v>21783</v>
      </c>
      <c r="B17373" s="38">
        <v>6065.0</v>
      </c>
      <c r="C17373" s="38" t="s">
        <v>21784</v>
      </c>
      <c r="D17373" s="38" t="str">
        <f>IFERROR(__xludf.DUMMYFUNCTION("REGEXREPLACE(C17373,""-\d+(.*)|--\d+(.*)"","""")"),"LA GAUDE")</f>
        <v>LA GAUDE</v>
      </c>
      <c r="E17373" s="38" t="s">
        <v>227</v>
      </c>
      <c r="F17373" s="38" t="s">
        <v>228</v>
      </c>
      <c r="G17373" s="49" t="str">
        <f t="shared" si="1"/>
        <v>06610</v>
      </c>
      <c r="H17373" s="49" t="str">
        <f t="shared" si="2"/>
        <v>06065</v>
      </c>
    </row>
    <row r="17374">
      <c r="A17374" s="48" t="s">
        <v>11422</v>
      </c>
      <c r="B17374" s="38">
        <v>95422.0</v>
      </c>
      <c r="C17374" s="38" t="s">
        <v>21785</v>
      </c>
      <c r="D17374" s="38" t="str">
        <f>IFERROR(__xludf.DUMMYFUNCTION("REGEXREPLACE(C17374,""-\d+(.*)|--\d+(.*)"","""")"),"MONTGEROULT")</f>
        <v>MONTGEROULT</v>
      </c>
      <c r="E17374" s="38" t="s">
        <v>541</v>
      </c>
      <c r="F17374" s="38" t="s">
        <v>245</v>
      </c>
      <c r="G17374" s="49" t="str">
        <f t="shared" si="1"/>
        <v>95650</v>
      </c>
      <c r="H17374" s="49">
        <f t="shared" si="2"/>
        <v>95422</v>
      </c>
    </row>
    <row r="17375">
      <c r="A17375" s="48" t="s">
        <v>6945</v>
      </c>
      <c r="B17375" s="38">
        <v>80616.0</v>
      </c>
      <c r="C17375" s="38" t="s">
        <v>21786</v>
      </c>
      <c r="D17375" s="38" t="str">
        <f>IFERROR(__xludf.DUMMYFUNCTION("REGEXREPLACE(C17375,""-\d+(.*)|--\d+(.*)"","""")"),"PARGNY")</f>
        <v>PARGNY</v>
      </c>
      <c r="E17375" s="38" t="s">
        <v>224</v>
      </c>
      <c r="F17375" s="38" t="s">
        <v>113</v>
      </c>
      <c r="G17375" s="49" t="str">
        <f t="shared" si="1"/>
        <v>80190</v>
      </c>
      <c r="H17375" s="49">
        <f t="shared" si="2"/>
        <v>80616</v>
      </c>
    </row>
    <row r="17376">
      <c r="A17376" s="48" t="s">
        <v>14118</v>
      </c>
      <c r="B17376" s="38">
        <v>87185.0</v>
      </c>
      <c r="C17376" s="38" t="s">
        <v>21787</v>
      </c>
      <c r="D17376" s="38" t="str">
        <f>IFERROR(__xludf.DUMMYFUNCTION("REGEXREPLACE(C17376,""-\d+(.*)|--\d+(.*)"","""")"),"SAINT-VICTURNIEN")</f>
        <v>SAINT-VICTURNIEN</v>
      </c>
      <c r="E17376" s="38" t="s">
        <v>897</v>
      </c>
      <c r="F17376" s="38" t="s">
        <v>98</v>
      </c>
      <c r="G17376" s="49" t="str">
        <f t="shared" si="1"/>
        <v>87420</v>
      </c>
      <c r="H17376" s="49">
        <f t="shared" si="2"/>
        <v>87185</v>
      </c>
    </row>
    <row r="17377">
      <c r="A17377" s="48" t="s">
        <v>5065</v>
      </c>
      <c r="B17377" s="38">
        <v>50431.0</v>
      </c>
      <c r="C17377" s="38" t="s">
        <v>21788</v>
      </c>
      <c r="D17377" s="38" t="str">
        <f>IFERROR(__xludf.DUMMYFUNCTION("REGEXREPLACE(C17377,""-\d+(.*)|--\d+(.*)"","""")"),"REMILLY-SUR-LOZON")</f>
        <v>REMILLY-SUR-LOZON</v>
      </c>
      <c r="E17377" s="38" t="s">
        <v>157</v>
      </c>
      <c r="F17377" s="38" t="s">
        <v>138</v>
      </c>
      <c r="G17377" s="49" t="str">
        <f t="shared" si="1"/>
        <v>50570</v>
      </c>
      <c r="H17377" s="49">
        <f t="shared" si="2"/>
        <v>50431</v>
      </c>
    </row>
    <row r="17378">
      <c r="A17378" s="48" t="s">
        <v>3506</v>
      </c>
      <c r="B17378" s="38">
        <v>16258.0</v>
      </c>
      <c r="C17378" s="38" t="s">
        <v>21789</v>
      </c>
      <c r="D17378" s="38" t="str">
        <f>IFERROR(__xludf.DUMMYFUNCTION("REGEXREPLACE(C17378,""-\d+(.*)|--\d+(.*)"","""")"),"PERIGNAC")</f>
        <v>PERIGNAC</v>
      </c>
      <c r="E17378" s="38" t="s">
        <v>429</v>
      </c>
      <c r="F17378" s="38" t="s">
        <v>338</v>
      </c>
      <c r="G17378" s="49" t="str">
        <f t="shared" si="1"/>
        <v>16250</v>
      </c>
      <c r="H17378" s="49">
        <f t="shared" si="2"/>
        <v>16258</v>
      </c>
    </row>
    <row r="17379">
      <c r="A17379" s="48" t="s">
        <v>2387</v>
      </c>
      <c r="B17379" s="38">
        <v>42299.0</v>
      </c>
      <c r="C17379" s="38" t="s">
        <v>21790</v>
      </c>
      <c r="D17379" s="38" t="str">
        <f>IFERROR(__xludf.DUMMYFUNCTION("REGEXREPLACE(C17379,""-\d+(.*)|--\d+(.*)"","""")"),"SAVIGNEUX")</f>
        <v>SAVIGNEUX</v>
      </c>
      <c r="E17379" s="38" t="s">
        <v>166</v>
      </c>
      <c r="F17379" s="38" t="s">
        <v>102</v>
      </c>
      <c r="G17379" s="49" t="str">
        <f t="shared" si="1"/>
        <v>42600</v>
      </c>
      <c r="H17379" s="49">
        <f t="shared" si="2"/>
        <v>42299</v>
      </c>
    </row>
    <row r="17380">
      <c r="A17380" s="48" t="s">
        <v>21791</v>
      </c>
      <c r="B17380" s="38">
        <v>97130.0</v>
      </c>
      <c r="C17380" s="38" t="s">
        <v>21792</v>
      </c>
      <c r="D17380" s="38" t="str">
        <f>IFERROR(__xludf.DUMMYFUNCTION("REGEXREPLACE(C17380,""-\d+(.*)|--\d+(.*)"","""")"),"TERRE-DE-BAS")</f>
        <v>TERRE-DE-BAS</v>
      </c>
      <c r="E17380" s="38" t="s">
        <v>2023</v>
      </c>
      <c r="F17380" s="38" t="s">
        <v>2023</v>
      </c>
      <c r="G17380" s="49" t="str">
        <f t="shared" si="1"/>
        <v>97136</v>
      </c>
      <c r="H17380" s="49">
        <f t="shared" si="2"/>
        <v>97130</v>
      </c>
    </row>
    <row r="17381">
      <c r="A17381" s="48" t="s">
        <v>1210</v>
      </c>
      <c r="B17381" s="38">
        <v>50621.0</v>
      </c>
      <c r="C17381" s="38" t="s">
        <v>21793</v>
      </c>
      <c r="D17381" s="38" t="str">
        <f>IFERROR(__xludf.DUMMYFUNCTION("REGEXREPLACE(C17381,""-\d+(.*)|--\d+(.*)"","""")"),"VAUDREVILLE")</f>
        <v>VAUDREVILLE</v>
      </c>
      <c r="E17381" s="38" t="s">
        <v>157</v>
      </c>
      <c r="F17381" s="38" t="s">
        <v>138</v>
      </c>
      <c r="G17381" s="49" t="str">
        <f t="shared" si="1"/>
        <v>50310</v>
      </c>
      <c r="H17381" s="49">
        <f t="shared" si="2"/>
        <v>50621</v>
      </c>
    </row>
    <row r="17382">
      <c r="A17382" s="48" t="s">
        <v>434</v>
      </c>
      <c r="B17382" s="38">
        <v>55262.0</v>
      </c>
      <c r="C17382" s="38" t="s">
        <v>21794</v>
      </c>
      <c r="D17382" s="38" t="str">
        <f>IFERROR(__xludf.DUMMYFUNCTION("REGEXREPLACE(C17382,""-\d+(.*)|--\d+(.*)"","""")"),"JUVIGNY-SUR-LOISON")</f>
        <v>JUVIGNY-SUR-LOISON</v>
      </c>
      <c r="E17382" s="38" t="s">
        <v>322</v>
      </c>
      <c r="F17382" s="38" t="s">
        <v>195</v>
      </c>
      <c r="G17382" s="49" t="str">
        <f t="shared" si="1"/>
        <v>55600</v>
      </c>
      <c r="H17382" s="49">
        <f t="shared" si="2"/>
        <v>55262</v>
      </c>
    </row>
    <row r="17383">
      <c r="A17383" s="48" t="s">
        <v>5612</v>
      </c>
      <c r="B17383" s="38">
        <v>52070.0</v>
      </c>
      <c r="C17383" s="38" t="s">
        <v>21795</v>
      </c>
      <c r="D17383" s="38" t="str">
        <f>IFERROR(__xludf.DUMMYFUNCTION("REGEXREPLACE(C17383,""-\d+(.*)|--\d+(.*)"","""")"),"BRENNES")</f>
        <v>BRENNES</v>
      </c>
      <c r="E17383" s="38" t="s">
        <v>234</v>
      </c>
      <c r="F17383" s="38" t="s">
        <v>130</v>
      </c>
      <c r="G17383" s="49" t="str">
        <f t="shared" si="1"/>
        <v>52200</v>
      </c>
      <c r="H17383" s="49">
        <f t="shared" si="2"/>
        <v>52070</v>
      </c>
    </row>
    <row r="17384">
      <c r="A17384" s="48" t="s">
        <v>4086</v>
      </c>
      <c r="B17384" s="38">
        <v>79168.0</v>
      </c>
      <c r="C17384" s="38" t="s">
        <v>21796</v>
      </c>
      <c r="D17384" s="38" t="str">
        <f>IFERROR(__xludf.DUMMYFUNCTION("REGEXREPLACE(C17384,""-\d+(.*)|--\d+(.*)"","""")"),"MASSAIS")</f>
        <v>MASSAIS</v>
      </c>
      <c r="E17384" s="38" t="s">
        <v>337</v>
      </c>
      <c r="F17384" s="38" t="s">
        <v>338</v>
      </c>
      <c r="G17384" s="49" t="str">
        <f t="shared" si="1"/>
        <v>79150</v>
      </c>
      <c r="H17384" s="49">
        <f t="shared" si="2"/>
        <v>79168</v>
      </c>
    </row>
    <row r="17385">
      <c r="A17385" s="48" t="s">
        <v>103</v>
      </c>
      <c r="B17385" s="38">
        <v>21356.0</v>
      </c>
      <c r="C17385" s="38" t="s">
        <v>21797</v>
      </c>
      <c r="D17385" s="38" t="str">
        <f>IFERROR(__xludf.DUMMYFUNCTION("REGEXREPLACE(C17385,""-\d+(.*)|--\d+(.*)"","""")"),"LOSNE")</f>
        <v>LOSNE</v>
      </c>
      <c r="E17385" s="38" t="s">
        <v>105</v>
      </c>
      <c r="F17385" s="38" t="s">
        <v>106</v>
      </c>
      <c r="G17385" s="49" t="str">
        <f t="shared" si="1"/>
        <v>21170</v>
      </c>
      <c r="H17385" s="49">
        <f t="shared" si="2"/>
        <v>21356</v>
      </c>
    </row>
    <row r="17386">
      <c r="A17386" s="48" t="s">
        <v>5142</v>
      </c>
      <c r="B17386" s="38">
        <v>58060.0</v>
      </c>
      <c r="C17386" s="38" t="s">
        <v>21798</v>
      </c>
      <c r="D17386" s="38" t="str">
        <f>IFERROR(__xludf.DUMMYFUNCTION("REGEXREPLACE(C17386,""-\d+(.*)|--\d+(.*)"","""")"),"CHARRIN")</f>
        <v>CHARRIN</v>
      </c>
      <c r="E17386" s="38" t="s">
        <v>219</v>
      </c>
      <c r="F17386" s="38" t="s">
        <v>106</v>
      </c>
      <c r="G17386" s="49" t="str">
        <f t="shared" si="1"/>
        <v>58300</v>
      </c>
      <c r="H17386" s="49">
        <f t="shared" si="2"/>
        <v>58060</v>
      </c>
    </row>
    <row r="17387">
      <c r="A17387" s="48" t="s">
        <v>4907</v>
      </c>
      <c r="B17387" s="38">
        <v>73170.0</v>
      </c>
      <c r="C17387" s="38" t="s">
        <v>21799</v>
      </c>
      <c r="D17387" s="38" t="str">
        <f>IFERROR(__xludf.DUMMYFUNCTION("REGEXREPLACE(C17387,""-\d+(.*)|--\d+(.*)"","""")"),"MONTHION")</f>
        <v>MONTHION</v>
      </c>
      <c r="E17387" s="38" t="s">
        <v>306</v>
      </c>
      <c r="F17387" s="38" t="s">
        <v>102</v>
      </c>
      <c r="G17387" s="49" t="str">
        <f t="shared" si="1"/>
        <v>73200</v>
      </c>
      <c r="H17387" s="49">
        <f t="shared" si="2"/>
        <v>73170</v>
      </c>
    </row>
    <row r="17388">
      <c r="A17388" s="48" t="s">
        <v>13285</v>
      </c>
      <c r="B17388" s="38">
        <v>73063.0</v>
      </c>
      <c r="C17388" s="38" t="s">
        <v>21800</v>
      </c>
      <c r="D17388" s="38" t="str">
        <f>IFERROR(__xludf.DUMMYFUNCTION("REGEXREPLACE(C17388,""-\d+(.*)|--\d+(.*)"","""")"),"CEVINS")</f>
        <v>CEVINS</v>
      </c>
      <c r="E17388" s="38" t="s">
        <v>306</v>
      </c>
      <c r="F17388" s="38" t="s">
        <v>102</v>
      </c>
      <c r="G17388" s="49" t="str">
        <f t="shared" si="1"/>
        <v>73730</v>
      </c>
      <c r="H17388" s="49">
        <f t="shared" si="2"/>
        <v>73063</v>
      </c>
    </row>
    <row r="17389">
      <c r="A17389" s="48" t="s">
        <v>21801</v>
      </c>
      <c r="B17389" s="38">
        <v>81060.0</v>
      </c>
      <c r="C17389" s="38" t="s">
        <v>21802</v>
      </c>
      <c r="D17389" s="38" t="str">
        <f>IFERROR(__xludf.DUMMYFUNCTION("REGEXREPLACE(C17389,""-\d+(.*)|--\d+(.*)"","""")"),"CARMAUX")</f>
        <v>CARMAUX</v>
      </c>
      <c r="E17389" s="38" t="s">
        <v>231</v>
      </c>
      <c r="F17389" s="38" t="s">
        <v>94</v>
      </c>
      <c r="G17389" s="49" t="str">
        <f t="shared" si="1"/>
        <v>81400</v>
      </c>
      <c r="H17389" s="49">
        <f t="shared" si="2"/>
        <v>81060</v>
      </c>
    </row>
    <row r="17390">
      <c r="A17390" s="48" t="s">
        <v>21803</v>
      </c>
      <c r="B17390" s="38">
        <v>45270.0</v>
      </c>
      <c r="C17390" s="38" t="s">
        <v>21804</v>
      </c>
      <c r="D17390" s="38" t="str">
        <f>IFERROR(__xludf.DUMMYFUNCTION("REGEXREPLACE(C17390,""-\d+(.*)|--\d+(.*)"","""")"),"SAINT-BENOIT-SUR-LOIRE")</f>
        <v>SAINT-BENOIT-SUR-LOIRE</v>
      </c>
      <c r="E17390" s="38" t="s">
        <v>122</v>
      </c>
      <c r="F17390" s="38" t="s">
        <v>123</v>
      </c>
      <c r="G17390" s="49" t="str">
        <f t="shared" si="1"/>
        <v>45730</v>
      </c>
      <c r="H17390" s="49">
        <f t="shared" si="2"/>
        <v>45270</v>
      </c>
    </row>
    <row r="17391">
      <c r="A17391" s="48" t="s">
        <v>2069</v>
      </c>
      <c r="B17391" s="38">
        <v>47295.0</v>
      </c>
      <c r="C17391" s="38" t="s">
        <v>21805</v>
      </c>
      <c r="D17391" s="38" t="str">
        <f>IFERROR(__xludf.DUMMYFUNCTION("REGEXREPLACE(C17391,""-\d+(.*)|--\d+(.*)"","""")"),"SAVIGNAC-SUR-LEYZE")</f>
        <v>SAVIGNAC-SUR-LEYZE</v>
      </c>
      <c r="E17391" s="38" t="s">
        <v>251</v>
      </c>
      <c r="F17391" s="38" t="s">
        <v>252</v>
      </c>
      <c r="G17391" s="49" t="str">
        <f t="shared" si="1"/>
        <v>47150</v>
      </c>
      <c r="H17391" s="49">
        <f t="shared" si="2"/>
        <v>47295</v>
      </c>
    </row>
    <row r="17392">
      <c r="A17392" s="48" t="s">
        <v>10013</v>
      </c>
      <c r="B17392" s="38">
        <v>81003.0</v>
      </c>
      <c r="C17392" s="38" t="s">
        <v>21806</v>
      </c>
      <c r="D17392" s="38" t="str">
        <f>IFERROR(__xludf.DUMMYFUNCTION("REGEXREPLACE(C17392,""-\d+(.*)|--\d+(.*)"","""")"),"ALBAN")</f>
        <v>ALBAN</v>
      </c>
      <c r="E17392" s="38" t="s">
        <v>231</v>
      </c>
      <c r="F17392" s="38" t="s">
        <v>94</v>
      </c>
      <c r="G17392" s="49" t="str">
        <f t="shared" si="1"/>
        <v>81250</v>
      </c>
      <c r="H17392" s="49">
        <f t="shared" si="2"/>
        <v>81003</v>
      </c>
    </row>
    <row r="17393">
      <c r="A17393" s="48" t="s">
        <v>2487</v>
      </c>
      <c r="B17393" s="38">
        <v>70583.0</v>
      </c>
      <c r="C17393" s="38" t="s">
        <v>21807</v>
      </c>
      <c r="D17393" s="38" t="str">
        <f>IFERROR(__xludf.DUMMYFUNCTION("REGEXREPLACE(C17393,""-\d+(.*)|--\d+(.*)"","""")"),"VY-LES-FILAIN")</f>
        <v>VY-LES-FILAIN</v>
      </c>
      <c r="E17393" s="38" t="s">
        <v>956</v>
      </c>
      <c r="F17393" s="38" t="s">
        <v>214</v>
      </c>
      <c r="G17393" s="49" t="str">
        <f t="shared" si="1"/>
        <v>70230</v>
      </c>
      <c r="H17393" s="49">
        <f t="shared" si="2"/>
        <v>70583</v>
      </c>
    </row>
    <row r="17394">
      <c r="A17394" s="48" t="s">
        <v>21808</v>
      </c>
      <c r="B17394" s="38">
        <v>14162.0</v>
      </c>
      <c r="C17394" s="38" t="s">
        <v>21809</v>
      </c>
      <c r="D17394" s="38" t="str">
        <f>IFERROR(__xludf.DUMMYFUNCTION("REGEXREPLACE(C17394,""-\d+(.*)|--\d+(.*)"","""")"),"CLECY")</f>
        <v>CLECY</v>
      </c>
      <c r="E17394" s="38" t="s">
        <v>137</v>
      </c>
      <c r="F17394" s="38" t="s">
        <v>138</v>
      </c>
      <c r="G17394" s="49" t="str">
        <f t="shared" si="1"/>
        <v>14570</v>
      </c>
      <c r="H17394" s="49">
        <f t="shared" si="2"/>
        <v>14162</v>
      </c>
    </row>
    <row r="17395">
      <c r="A17395" s="48" t="s">
        <v>21810</v>
      </c>
      <c r="B17395" s="38">
        <v>89076.0</v>
      </c>
      <c r="C17395" s="38" t="s">
        <v>21811</v>
      </c>
      <c r="D17395" s="38" t="str">
        <f>IFERROR(__xludf.DUMMYFUNCTION("REGEXREPLACE(C17395,""-\d+(.*)|--\d+(.*)"","""")"),"CHAMPLOST")</f>
        <v>CHAMPLOST</v>
      </c>
      <c r="E17395" s="38" t="s">
        <v>275</v>
      </c>
      <c r="F17395" s="38" t="s">
        <v>106</v>
      </c>
      <c r="G17395" s="49" t="str">
        <f t="shared" si="1"/>
        <v>89210</v>
      </c>
      <c r="H17395" s="49">
        <f t="shared" si="2"/>
        <v>89076</v>
      </c>
    </row>
    <row r="17396">
      <c r="A17396" s="48" t="s">
        <v>10568</v>
      </c>
      <c r="B17396" s="38">
        <v>33364.0</v>
      </c>
      <c r="C17396" s="38" t="s">
        <v>4757</v>
      </c>
      <c r="D17396" s="38" t="str">
        <f>IFERROR(__xludf.DUMMYFUNCTION("REGEXREPLACE(C17396,""-\d+(.*)|--\d+(.*)"","""")"),"SAILLANS")</f>
        <v>SAILLANS</v>
      </c>
      <c r="E17396" s="38" t="s">
        <v>462</v>
      </c>
      <c r="F17396" s="38" t="s">
        <v>252</v>
      </c>
      <c r="G17396" s="49" t="str">
        <f t="shared" si="1"/>
        <v>33141</v>
      </c>
      <c r="H17396" s="49">
        <f t="shared" si="2"/>
        <v>33364</v>
      </c>
    </row>
    <row r="17397">
      <c r="A17397" s="48" t="s">
        <v>8600</v>
      </c>
      <c r="B17397" s="38">
        <v>68322.0</v>
      </c>
      <c r="C17397" s="38" t="s">
        <v>21812</v>
      </c>
      <c r="D17397" s="38" t="str">
        <f>IFERROR(__xludf.DUMMYFUNCTION("REGEXREPLACE(C17397,""-\d+(.*)|--\d+(.*)"","""")"),"STEINBACH")</f>
        <v>STEINBACH</v>
      </c>
      <c r="E17397" s="38" t="s">
        <v>150</v>
      </c>
      <c r="F17397" s="38" t="s">
        <v>151</v>
      </c>
      <c r="G17397" s="49" t="str">
        <f t="shared" si="1"/>
        <v>68700</v>
      </c>
      <c r="H17397" s="49">
        <f t="shared" si="2"/>
        <v>68322</v>
      </c>
    </row>
    <row r="17398">
      <c r="A17398" s="48" t="s">
        <v>7986</v>
      </c>
      <c r="B17398" s="38">
        <v>69026.0</v>
      </c>
      <c r="C17398" s="38" t="s">
        <v>21813</v>
      </c>
      <c r="D17398" s="38" t="str">
        <f>IFERROR(__xludf.DUMMYFUNCTION("REGEXREPLACE(C17398,""-\d+(.*)|--\d+(.*)"","""")"),"LE BREUIL")</f>
        <v>LE BREUIL</v>
      </c>
      <c r="E17398" s="38" t="s">
        <v>350</v>
      </c>
      <c r="F17398" s="38" t="s">
        <v>102</v>
      </c>
      <c r="G17398" s="49" t="str">
        <f t="shared" si="1"/>
        <v>69620</v>
      </c>
      <c r="H17398" s="49">
        <f t="shared" si="2"/>
        <v>69026</v>
      </c>
    </row>
    <row r="17399">
      <c r="A17399" s="48" t="s">
        <v>8492</v>
      </c>
      <c r="B17399" s="38">
        <v>80155.0</v>
      </c>
      <c r="C17399" s="38" t="s">
        <v>21814</v>
      </c>
      <c r="D17399" s="38" t="str">
        <f>IFERROR(__xludf.DUMMYFUNCTION("REGEXREPLACE(C17399,""-\d+(.*)|--\d+(.*)"","""")"),"BUSSUS-BUSSUEL")</f>
        <v>BUSSUS-BUSSUEL</v>
      </c>
      <c r="E17399" s="38" t="s">
        <v>224</v>
      </c>
      <c r="F17399" s="38" t="s">
        <v>113</v>
      </c>
      <c r="G17399" s="49" t="str">
        <f t="shared" si="1"/>
        <v>80135</v>
      </c>
      <c r="H17399" s="49">
        <f t="shared" si="2"/>
        <v>80155</v>
      </c>
    </row>
    <row r="17400">
      <c r="A17400" s="48" t="s">
        <v>1332</v>
      </c>
      <c r="B17400" s="38">
        <v>51283.0</v>
      </c>
      <c r="C17400" s="38" t="s">
        <v>21815</v>
      </c>
      <c r="D17400" s="38" t="str">
        <f>IFERROR(__xludf.DUMMYFUNCTION("REGEXREPLACE(C17400,""-\d+(.*)|--\d+(.*)"","""")"),"HANS")</f>
        <v>HANS</v>
      </c>
      <c r="E17400" s="38" t="s">
        <v>129</v>
      </c>
      <c r="F17400" s="38" t="s">
        <v>130</v>
      </c>
      <c r="G17400" s="49" t="str">
        <f t="shared" si="1"/>
        <v>51800</v>
      </c>
      <c r="H17400" s="49">
        <f t="shared" si="2"/>
        <v>51283</v>
      </c>
    </row>
    <row r="17401">
      <c r="A17401" s="48" t="s">
        <v>3377</v>
      </c>
      <c r="B17401" s="38">
        <v>62660.0</v>
      </c>
      <c r="C17401" s="38" t="s">
        <v>21816</v>
      </c>
      <c r="D17401" s="38" t="str">
        <f>IFERROR(__xludf.DUMMYFUNCTION("REGEXREPLACE(C17401,""-\d+(.*)|--\d+(.*)"","""")"),"PLOUVAIN")</f>
        <v>PLOUVAIN</v>
      </c>
      <c r="E17401" s="38" t="s">
        <v>109</v>
      </c>
      <c r="F17401" s="38" t="s">
        <v>86</v>
      </c>
      <c r="G17401" s="49" t="str">
        <f t="shared" si="1"/>
        <v>62118</v>
      </c>
      <c r="H17401" s="49">
        <f t="shared" si="2"/>
        <v>62660</v>
      </c>
    </row>
    <row r="17402">
      <c r="A17402" s="48" t="s">
        <v>21817</v>
      </c>
      <c r="B17402" s="38">
        <v>35334.0</v>
      </c>
      <c r="C17402" s="38" t="s">
        <v>21818</v>
      </c>
      <c r="D17402" s="38" t="str">
        <f>IFERROR(__xludf.DUMMYFUNCTION("REGEXREPLACE(C17402,""-\d+(.*)|--\d+(.*)"","""")"),"THORIGNE-FOUILLARD")</f>
        <v>THORIGNE-FOUILLARD</v>
      </c>
      <c r="E17402" s="38" t="s">
        <v>347</v>
      </c>
      <c r="F17402" s="38" t="s">
        <v>90</v>
      </c>
      <c r="G17402" s="49" t="str">
        <f t="shared" si="1"/>
        <v>35235</v>
      </c>
      <c r="H17402" s="49">
        <f t="shared" si="2"/>
        <v>35334</v>
      </c>
    </row>
    <row r="17403">
      <c r="A17403" s="48" t="s">
        <v>21819</v>
      </c>
      <c r="B17403" s="38">
        <v>56069.0</v>
      </c>
      <c r="C17403" s="38" t="s">
        <v>21820</v>
      </c>
      <c r="D17403" s="38" t="str">
        <f>IFERROR(__xludf.DUMMYFUNCTION("REGEXREPLACE(C17403,""-\d+(.*)|--\d+(.*)"","""")"),"GROIX")</f>
        <v>GROIX</v>
      </c>
      <c r="E17403" s="38" t="s">
        <v>173</v>
      </c>
      <c r="F17403" s="38" t="s">
        <v>90</v>
      </c>
      <c r="G17403" s="49" t="str">
        <f t="shared" si="1"/>
        <v>56590</v>
      </c>
      <c r="H17403" s="49">
        <f t="shared" si="2"/>
        <v>56069</v>
      </c>
    </row>
    <row r="17404">
      <c r="A17404" s="48" t="s">
        <v>21821</v>
      </c>
      <c r="B17404" s="38">
        <v>6152.0</v>
      </c>
      <c r="C17404" s="38" t="s">
        <v>21822</v>
      </c>
      <c r="D17404" s="38" t="str">
        <f>IFERROR(__xludf.DUMMYFUNCTION("REGEXREPLACE(C17404,""-\d+(.*)|--\d+(.*)"","""")"),"VALBONNE")</f>
        <v>VALBONNE</v>
      </c>
      <c r="E17404" s="38" t="s">
        <v>227</v>
      </c>
      <c r="F17404" s="38" t="s">
        <v>228</v>
      </c>
      <c r="G17404" s="49" t="str">
        <f t="shared" si="1"/>
        <v>06560</v>
      </c>
      <c r="H17404" s="49" t="str">
        <f t="shared" si="2"/>
        <v>06152</v>
      </c>
    </row>
    <row r="17405">
      <c r="A17405" s="48" t="s">
        <v>1806</v>
      </c>
      <c r="B17405" s="38">
        <v>90073.0</v>
      </c>
      <c r="C17405" s="38" t="s">
        <v>21823</v>
      </c>
      <c r="D17405" s="38" t="str">
        <f>IFERROR(__xludf.DUMMYFUNCTION("REGEXREPLACE(C17405,""-\d+(.*)|--\d+(.*)"","""")"),"MOVAL")</f>
        <v>MOVAL</v>
      </c>
      <c r="E17405" s="38" t="s">
        <v>1283</v>
      </c>
      <c r="F17405" s="38" t="s">
        <v>214</v>
      </c>
      <c r="G17405" s="49" t="str">
        <f t="shared" si="1"/>
        <v>90400</v>
      </c>
      <c r="H17405" s="49">
        <f t="shared" si="2"/>
        <v>90073</v>
      </c>
    </row>
    <row r="17406">
      <c r="A17406" s="48" t="s">
        <v>20573</v>
      </c>
      <c r="B17406" s="38">
        <v>59203.0</v>
      </c>
      <c r="C17406" s="38" t="s">
        <v>21824</v>
      </c>
      <c r="D17406" s="38" t="str">
        <f>IFERROR(__xludf.DUMMYFUNCTION("REGEXREPLACE(C17406,""-\d+(.*)|--\d+(.*)"","""")"),"ERRE")</f>
        <v>ERRE</v>
      </c>
      <c r="E17406" s="38" t="s">
        <v>85</v>
      </c>
      <c r="F17406" s="38" t="s">
        <v>86</v>
      </c>
      <c r="G17406" s="49" t="str">
        <f t="shared" si="1"/>
        <v>59171</v>
      </c>
      <c r="H17406" s="49">
        <f t="shared" si="2"/>
        <v>59203</v>
      </c>
    </row>
    <row r="17407">
      <c r="A17407" s="48" t="s">
        <v>7192</v>
      </c>
      <c r="B17407" s="38">
        <v>61299.0</v>
      </c>
      <c r="C17407" s="38" t="s">
        <v>21825</v>
      </c>
      <c r="D17407" s="38" t="str">
        <f>IFERROR(__xludf.DUMMYFUNCTION("REGEXREPLACE(C17407,""-\d+(.*)|--\d+(.*)"","""")"),"MOUSSONVILLIERS")</f>
        <v>MOUSSONVILLIERS</v>
      </c>
      <c r="E17407" s="38" t="s">
        <v>141</v>
      </c>
      <c r="F17407" s="38" t="s">
        <v>138</v>
      </c>
      <c r="G17407" s="49" t="str">
        <f t="shared" si="1"/>
        <v>61190</v>
      </c>
      <c r="H17407" s="49">
        <f t="shared" si="2"/>
        <v>61299</v>
      </c>
    </row>
    <row r="17408">
      <c r="A17408" s="48" t="s">
        <v>1004</v>
      </c>
      <c r="B17408" s="38">
        <v>71338.0</v>
      </c>
      <c r="C17408" s="38" t="s">
        <v>21826</v>
      </c>
      <c r="D17408" s="38" t="str">
        <f>IFERROR(__xludf.DUMMYFUNCTION("REGEXREPLACE(C17408,""-\d+(.*)|--\d+(.*)"","""")"),"OZENAY")</f>
        <v>OZENAY</v>
      </c>
      <c r="E17408" s="38" t="s">
        <v>344</v>
      </c>
      <c r="F17408" s="38" t="s">
        <v>106</v>
      </c>
      <c r="G17408" s="49" t="str">
        <f t="shared" si="1"/>
        <v>71700</v>
      </c>
      <c r="H17408" s="49">
        <f t="shared" si="2"/>
        <v>71338</v>
      </c>
    </row>
    <row r="17409">
      <c r="A17409" s="48" t="s">
        <v>17847</v>
      </c>
      <c r="B17409" s="38" t="s">
        <v>21827</v>
      </c>
      <c r="C17409" s="38" t="s">
        <v>21828</v>
      </c>
      <c r="D17409" s="38" t="str">
        <f>IFERROR(__xludf.DUMMYFUNCTION("REGEXREPLACE(C17409,""-\d+(.*)|--\d+(.*)"","""")"),"VILLANOVA")</f>
        <v>VILLANOVA</v>
      </c>
      <c r="E17409" s="38" t="s">
        <v>606</v>
      </c>
      <c r="F17409" s="38" t="s">
        <v>607</v>
      </c>
      <c r="G17409" s="49" t="str">
        <f t="shared" si="1"/>
        <v>20167</v>
      </c>
      <c r="H17409" s="49" t="str">
        <f t="shared" si="2"/>
        <v>2A351</v>
      </c>
    </row>
    <row r="17410">
      <c r="A17410" s="48" t="s">
        <v>21829</v>
      </c>
      <c r="B17410" s="38">
        <v>11266.0</v>
      </c>
      <c r="C17410" s="38" t="s">
        <v>21830</v>
      </c>
      <c r="D17410" s="38" t="str">
        <f>IFERROR(__xludf.DUMMYFUNCTION("REGEXREPLACE(C17410,""-\d+(.*)|--\d+(.*)"","""")"),"PORT-LA-NOUVELLE")</f>
        <v>PORT-LA-NOUVELLE</v>
      </c>
      <c r="E17410" s="38" t="s">
        <v>278</v>
      </c>
      <c r="F17410" s="38" t="s">
        <v>119</v>
      </c>
      <c r="G17410" s="49" t="str">
        <f t="shared" si="1"/>
        <v>11210</v>
      </c>
      <c r="H17410" s="49">
        <f t="shared" si="2"/>
        <v>11266</v>
      </c>
    </row>
    <row r="17411">
      <c r="A17411" s="48" t="s">
        <v>11498</v>
      </c>
      <c r="B17411" s="38">
        <v>26294.0</v>
      </c>
      <c r="C17411" s="38" t="s">
        <v>21831</v>
      </c>
      <c r="D17411" s="38" t="str">
        <f>IFERROR(__xludf.DUMMYFUNCTION("REGEXREPLACE(C17411,""-\d+(.*)|--\d+(.*)"","""")"),"SAINT-BARDOUX")</f>
        <v>SAINT-BARDOUX</v>
      </c>
      <c r="E17411" s="38" t="s">
        <v>126</v>
      </c>
      <c r="F17411" s="38" t="s">
        <v>102</v>
      </c>
      <c r="G17411" s="49" t="str">
        <f t="shared" si="1"/>
        <v>26260</v>
      </c>
      <c r="H17411" s="49">
        <f t="shared" si="2"/>
        <v>26294</v>
      </c>
    </row>
    <row r="17412">
      <c r="A17412" s="48" t="s">
        <v>6073</v>
      </c>
      <c r="B17412" s="38">
        <v>40191.0</v>
      </c>
      <c r="C17412" s="38" t="s">
        <v>2818</v>
      </c>
      <c r="D17412" s="38" t="str">
        <f>IFERROR(__xludf.DUMMYFUNCTION("REGEXREPLACE(C17412,""-\d+(.*)|--\d+(.*)"","""")"),"MONTAUT")</f>
        <v>MONTAUT</v>
      </c>
      <c r="E17412" s="38" t="s">
        <v>281</v>
      </c>
      <c r="F17412" s="38" t="s">
        <v>252</v>
      </c>
      <c r="G17412" s="49" t="str">
        <f t="shared" si="1"/>
        <v>40500</v>
      </c>
      <c r="H17412" s="49">
        <f t="shared" si="2"/>
        <v>40191</v>
      </c>
    </row>
    <row r="17413">
      <c r="A17413" s="48" t="s">
        <v>2029</v>
      </c>
      <c r="B17413" s="38">
        <v>50127.0</v>
      </c>
      <c r="C17413" s="38" t="s">
        <v>21832</v>
      </c>
      <c r="D17413" s="38" t="str">
        <f>IFERROR(__xludf.DUMMYFUNCTION("REGEXREPLACE(C17413,""-\d+(.*)|--\d+(.*)"","""")"),"CHEF-DU-PONT")</f>
        <v>CHEF-DU-PONT</v>
      </c>
      <c r="E17413" s="38" t="s">
        <v>157</v>
      </c>
      <c r="F17413" s="38" t="s">
        <v>138</v>
      </c>
      <c r="G17413" s="49" t="str">
        <f t="shared" si="1"/>
        <v>50480</v>
      </c>
      <c r="H17413" s="49">
        <f t="shared" si="2"/>
        <v>50127</v>
      </c>
    </row>
    <row r="17414">
      <c r="A17414" s="48" t="s">
        <v>9965</v>
      </c>
      <c r="B17414" s="38">
        <v>19027.0</v>
      </c>
      <c r="C17414" s="38" t="s">
        <v>21833</v>
      </c>
      <c r="D17414" s="38" t="str">
        <f>IFERROR(__xludf.DUMMYFUNCTION("REGEXREPLACE(C17414,""-\d+(.*)|--\d+(.*)"","""")"),"BONNEFOND")</f>
        <v>BONNEFOND</v>
      </c>
      <c r="E17414" s="38" t="s">
        <v>271</v>
      </c>
      <c r="F17414" s="38" t="s">
        <v>98</v>
      </c>
      <c r="G17414" s="49" t="str">
        <f t="shared" si="1"/>
        <v>19170</v>
      </c>
      <c r="H17414" s="49">
        <f t="shared" si="2"/>
        <v>19027</v>
      </c>
    </row>
    <row r="17415">
      <c r="A17415" s="48" t="s">
        <v>6858</v>
      </c>
      <c r="B17415" s="38">
        <v>71495.0</v>
      </c>
      <c r="C17415" s="38" t="s">
        <v>21834</v>
      </c>
      <c r="D17415" s="38" t="str">
        <f>IFERROR(__xludf.DUMMYFUNCTION("REGEXREPLACE(C17415,""-\d+(.*)|--\d+(.*)"","""")"),"SALORNAY-SUR-GUYE")</f>
        <v>SALORNAY-SUR-GUYE</v>
      </c>
      <c r="E17415" s="38" t="s">
        <v>344</v>
      </c>
      <c r="F17415" s="38" t="s">
        <v>106</v>
      </c>
      <c r="G17415" s="49" t="str">
        <f t="shared" si="1"/>
        <v>71250</v>
      </c>
      <c r="H17415" s="49">
        <f t="shared" si="2"/>
        <v>71495</v>
      </c>
    </row>
    <row r="17416">
      <c r="A17416" s="48" t="s">
        <v>21835</v>
      </c>
      <c r="B17416" s="38">
        <v>59114.0</v>
      </c>
      <c r="C17416" s="38" t="s">
        <v>21836</v>
      </c>
      <c r="D17416" s="38" t="str">
        <f>IFERROR(__xludf.DUMMYFUNCTION("REGEXREPLACE(C17416,""-\d+(.*)|--\d+(.*)"","""")"),"BRUILLE-SAINT-AMAND")</f>
        <v>BRUILLE-SAINT-AMAND</v>
      </c>
      <c r="E17416" s="38" t="s">
        <v>85</v>
      </c>
      <c r="F17416" s="38" t="s">
        <v>86</v>
      </c>
      <c r="G17416" s="49" t="str">
        <f t="shared" si="1"/>
        <v>59199</v>
      </c>
      <c r="H17416" s="49">
        <f t="shared" si="2"/>
        <v>59114</v>
      </c>
    </row>
    <row r="17417">
      <c r="A17417" s="48" t="s">
        <v>18327</v>
      </c>
      <c r="B17417" s="38">
        <v>91630.0</v>
      </c>
      <c r="C17417" s="38" t="s">
        <v>21837</v>
      </c>
      <c r="D17417" s="38" t="str">
        <f>IFERROR(__xludf.DUMMYFUNCTION("REGEXREPLACE(C17417,""-\d+(.*)|--\d+(.*)"","""")"),"LE VAL-SAINT-GERMAIN")</f>
        <v>LE VAL-SAINT-GERMAIN</v>
      </c>
      <c r="E17417" s="38" t="s">
        <v>756</v>
      </c>
      <c r="F17417" s="38" t="s">
        <v>245</v>
      </c>
      <c r="G17417" s="49" t="str">
        <f t="shared" si="1"/>
        <v>91530</v>
      </c>
      <c r="H17417" s="49">
        <f t="shared" si="2"/>
        <v>91630</v>
      </c>
    </row>
    <row r="17418">
      <c r="A17418" s="48" t="s">
        <v>785</v>
      </c>
      <c r="B17418" s="38">
        <v>33139.0</v>
      </c>
      <c r="C17418" s="38" t="s">
        <v>1067</v>
      </c>
      <c r="D17418" s="38" t="str">
        <f>IFERROR(__xludf.DUMMYFUNCTION("REGEXREPLACE(C17418,""-\d+(.*)|--\d+(.*)"","""")"),"COUTURES")</f>
        <v>COUTURES</v>
      </c>
      <c r="E17418" s="38" t="s">
        <v>462</v>
      </c>
      <c r="F17418" s="38" t="s">
        <v>252</v>
      </c>
      <c r="G17418" s="49" t="str">
        <f t="shared" si="1"/>
        <v>33580</v>
      </c>
      <c r="H17418" s="49">
        <f t="shared" si="2"/>
        <v>33139</v>
      </c>
    </row>
    <row r="17419">
      <c r="A17419" s="48" t="s">
        <v>10126</v>
      </c>
      <c r="B17419" s="38">
        <v>1014.0</v>
      </c>
      <c r="C17419" s="38" t="s">
        <v>21838</v>
      </c>
      <c r="D17419" s="38" t="str">
        <f>IFERROR(__xludf.DUMMYFUNCTION("REGEXREPLACE(C17419,""-\d+(.*)|--\d+(.*)"","""")"),"ARBENT")</f>
        <v>ARBENT</v>
      </c>
      <c r="E17419" s="38" t="s">
        <v>255</v>
      </c>
      <c r="F17419" s="38" t="s">
        <v>102</v>
      </c>
      <c r="G17419" s="49" t="str">
        <f t="shared" si="1"/>
        <v>01100</v>
      </c>
      <c r="H17419" s="49" t="str">
        <f t="shared" si="2"/>
        <v>01014</v>
      </c>
    </row>
    <row r="17420">
      <c r="A17420" s="48" t="s">
        <v>5334</v>
      </c>
      <c r="B17420" s="38" t="s">
        <v>21839</v>
      </c>
      <c r="C17420" s="38" t="s">
        <v>21840</v>
      </c>
      <c r="D17420" s="38" t="str">
        <f>IFERROR(__xludf.DUMMYFUNCTION("REGEXREPLACE(C17420,""-\d+(.*)|--\d+(.*)"","""")"),"MOLTIFAO")</f>
        <v>MOLTIFAO</v>
      </c>
      <c r="E17420" s="38" t="s">
        <v>743</v>
      </c>
      <c r="F17420" s="38" t="s">
        <v>607</v>
      </c>
      <c r="G17420" s="49" t="str">
        <f t="shared" si="1"/>
        <v>20218</v>
      </c>
      <c r="H17420" s="49" t="str">
        <f t="shared" si="2"/>
        <v>2B162</v>
      </c>
    </row>
    <row r="17421">
      <c r="A17421" s="48" t="s">
        <v>1485</v>
      </c>
      <c r="B17421" s="38">
        <v>21384.0</v>
      </c>
      <c r="C17421" s="38" t="s">
        <v>21841</v>
      </c>
      <c r="D17421" s="38" t="str">
        <f>IFERROR(__xludf.DUMMYFUNCTION("REGEXREPLACE(C17421,""-\d+(.*)|--\d+(.*)"","""")"),"MAREY-LES-FUSSEY")</f>
        <v>MAREY-LES-FUSSEY</v>
      </c>
      <c r="E17421" s="38" t="s">
        <v>105</v>
      </c>
      <c r="F17421" s="38" t="s">
        <v>106</v>
      </c>
      <c r="G17421" s="49" t="str">
        <f t="shared" si="1"/>
        <v>21700</v>
      </c>
      <c r="H17421" s="49">
        <f t="shared" si="2"/>
        <v>21384</v>
      </c>
    </row>
    <row r="17422">
      <c r="A17422" s="48" t="s">
        <v>645</v>
      </c>
      <c r="B17422" s="38">
        <v>57372.0</v>
      </c>
      <c r="C17422" s="38" t="s">
        <v>21842</v>
      </c>
      <c r="D17422" s="38" t="str">
        <f>IFERROR(__xludf.DUMMYFUNCTION("REGEXREPLACE(C17422,""-\d+(.*)|--\d+(.*)"","""")"),"KUNTZIG")</f>
        <v>KUNTZIG</v>
      </c>
      <c r="E17422" s="38" t="s">
        <v>303</v>
      </c>
      <c r="F17422" s="38" t="s">
        <v>195</v>
      </c>
      <c r="G17422" s="49" t="str">
        <f t="shared" si="1"/>
        <v>57970</v>
      </c>
      <c r="H17422" s="49">
        <f t="shared" si="2"/>
        <v>57372</v>
      </c>
    </row>
    <row r="17423">
      <c r="A17423" s="48" t="s">
        <v>7059</v>
      </c>
      <c r="B17423" s="38">
        <v>35277.0</v>
      </c>
      <c r="C17423" s="38" t="s">
        <v>21843</v>
      </c>
      <c r="D17423" s="38" t="str">
        <f>IFERROR(__xludf.DUMMYFUNCTION("REGEXREPLACE(C17423,""-\d+(.*)|--\d+(.*)"","""")"),"SAINT-GONLAY")</f>
        <v>SAINT-GONLAY</v>
      </c>
      <c r="E17423" s="38" t="s">
        <v>347</v>
      </c>
      <c r="F17423" s="38" t="s">
        <v>90</v>
      </c>
      <c r="G17423" s="49" t="str">
        <f t="shared" si="1"/>
        <v>35750</v>
      </c>
      <c r="H17423" s="49">
        <f t="shared" si="2"/>
        <v>35277</v>
      </c>
    </row>
    <row r="17424">
      <c r="A17424" s="48" t="s">
        <v>6338</v>
      </c>
      <c r="B17424" s="38">
        <v>79295.0</v>
      </c>
      <c r="C17424" s="38" t="s">
        <v>21844</v>
      </c>
      <c r="D17424" s="38" t="str">
        <f>IFERROR(__xludf.DUMMYFUNCTION("REGEXREPLACE(C17424,""-\d+(.*)|--\d+(.*)"","""")"),"SAINT-ROMANS-LES-MELLE")</f>
        <v>SAINT-ROMANS-LES-MELLE</v>
      </c>
      <c r="E17424" s="38" t="s">
        <v>337</v>
      </c>
      <c r="F17424" s="38" t="s">
        <v>338</v>
      </c>
      <c r="G17424" s="49" t="str">
        <f t="shared" si="1"/>
        <v>79500</v>
      </c>
      <c r="H17424" s="49">
        <f t="shared" si="2"/>
        <v>79295</v>
      </c>
    </row>
    <row r="17425">
      <c r="A17425" s="48" t="s">
        <v>9585</v>
      </c>
      <c r="B17425" s="38">
        <v>25086.0</v>
      </c>
      <c r="C17425" s="38" t="s">
        <v>21845</v>
      </c>
      <c r="D17425" s="38" t="str">
        <f>IFERROR(__xludf.DUMMYFUNCTION("REGEXREPLACE(C17425,""-\d+(.*)|--\d+(.*)"","""")"),"BRAILLANS")</f>
        <v>BRAILLANS</v>
      </c>
      <c r="E17425" s="38" t="s">
        <v>213</v>
      </c>
      <c r="F17425" s="38" t="s">
        <v>214</v>
      </c>
      <c r="G17425" s="49" t="str">
        <f t="shared" si="1"/>
        <v>25640</v>
      </c>
      <c r="H17425" s="49">
        <f t="shared" si="2"/>
        <v>25086</v>
      </c>
    </row>
    <row r="17426">
      <c r="A17426" s="48" t="s">
        <v>4605</v>
      </c>
      <c r="B17426" s="38">
        <v>39182.0</v>
      </c>
      <c r="C17426" s="38" t="s">
        <v>15246</v>
      </c>
      <c r="D17426" s="38" t="str">
        <f>IFERROR(__xludf.DUMMYFUNCTION("REGEXREPLACE(C17426,""-\d+(.*)|--\d+(.*)"","""")"),"CRISSEY")</f>
        <v>CRISSEY</v>
      </c>
      <c r="E17426" s="38" t="s">
        <v>400</v>
      </c>
      <c r="F17426" s="38" t="s">
        <v>214</v>
      </c>
      <c r="G17426" s="49" t="str">
        <f t="shared" si="1"/>
        <v>39100</v>
      </c>
      <c r="H17426" s="49">
        <f t="shared" si="2"/>
        <v>39182</v>
      </c>
    </row>
    <row r="17427">
      <c r="A17427" s="48" t="s">
        <v>8711</v>
      </c>
      <c r="B17427" s="38">
        <v>33141.0</v>
      </c>
      <c r="C17427" s="38" t="s">
        <v>21846</v>
      </c>
      <c r="D17427" s="38" t="str">
        <f>IFERROR(__xludf.DUMMYFUNCTION("REGEXREPLACE(C17427,""-\d+(.*)|--\d+(.*)"","""")"),"CROIGNON")</f>
        <v>CROIGNON</v>
      </c>
      <c r="E17427" s="38" t="s">
        <v>462</v>
      </c>
      <c r="F17427" s="38" t="s">
        <v>252</v>
      </c>
      <c r="G17427" s="49" t="str">
        <f t="shared" si="1"/>
        <v>33750</v>
      </c>
      <c r="H17427" s="49">
        <f t="shared" si="2"/>
        <v>33141</v>
      </c>
    </row>
    <row r="17428">
      <c r="A17428" s="48" t="s">
        <v>4044</v>
      </c>
      <c r="B17428" s="38">
        <v>52266.0</v>
      </c>
      <c r="C17428" s="38" t="s">
        <v>21847</v>
      </c>
      <c r="D17428" s="38" t="str">
        <f>IFERROR(__xludf.DUMMYFUNCTION("REGEXREPLACE(C17428,""-\d+(.*)|--\d+(.*)"","""")"),"LANEUVILLE-A-REMY")</f>
        <v>LANEUVILLE-A-REMY</v>
      </c>
      <c r="E17428" s="38" t="s">
        <v>234</v>
      </c>
      <c r="F17428" s="38" t="s">
        <v>130</v>
      </c>
      <c r="G17428" s="49" t="str">
        <f t="shared" si="1"/>
        <v>52220</v>
      </c>
      <c r="H17428" s="49">
        <f t="shared" si="2"/>
        <v>52266</v>
      </c>
    </row>
    <row r="17429">
      <c r="A17429" s="48" t="s">
        <v>966</v>
      </c>
      <c r="B17429" s="38">
        <v>70151.0</v>
      </c>
      <c r="C17429" s="38" t="s">
        <v>21848</v>
      </c>
      <c r="D17429" s="38" t="str">
        <f>IFERROR(__xludf.DUMMYFUNCTION("REGEXREPLACE(C17429,""-\d+(.*)|--\d+(.*)"","""")"),"CHEVIGNEY")</f>
        <v>CHEVIGNEY</v>
      </c>
      <c r="E17429" s="38" t="s">
        <v>956</v>
      </c>
      <c r="F17429" s="38" t="s">
        <v>214</v>
      </c>
      <c r="G17429" s="49" t="str">
        <f t="shared" si="1"/>
        <v>70140</v>
      </c>
      <c r="H17429" s="49">
        <f t="shared" si="2"/>
        <v>70151</v>
      </c>
    </row>
    <row r="17430">
      <c r="A17430" s="48" t="s">
        <v>12407</v>
      </c>
      <c r="B17430" s="38">
        <v>38402.0</v>
      </c>
      <c r="C17430" s="38" t="s">
        <v>21849</v>
      </c>
      <c r="D17430" s="38" t="str">
        <f>IFERROR(__xludf.DUMMYFUNCTION("REGEXREPLACE(C17430,""-\d+(.*)|--\d+(.*)"","""")"),"SAINT-JEAN-DE-VAULX")</f>
        <v>SAINT-JEAN-DE-VAULX</v>
      </c>
      <c r="E17430" s="38" t="s">
        <v>101</v>
      </c>
      <c r="F17430" s="38" t="s">
        <v>102</v>
      </c>
      <c r="G17430" s="49" t="str">
        <f t="shared" si="1"/>
        <v>38220</v>
      </c>
      <c r="H17430" s="49">
        <f t="shared" si="2"/>
        <v>38402</v>
      </c>
    </row>
    <row r="17431">
      <c r="A17431" s="48" t="s">
        <v>5390</v>
      </c>
      <c r="B17431" s="38">
        <v>27670.0</v>
      </c>
      <c r="C17431" s="38" t="s">
        <v>21850</v>
      </c>
      <c r="D17431" s="38" t="str">
        <f>IFERROR(__xludf.DUMMYFUNCTION("REGEXREPLACE(C17431,""-\d+(.*)|--\d+(.*)"","""")"),"VANDRIMARE")</f>
        <v>VANDRIMARE</v>
      </c>
      <c r="E17431" s="38" t="s">
        <v>241</v>
      </c>
      <c r="F17431" s="38" t="s">
        <v>134</v>
      </c>
      <c r="G17431" s="49" t="str">
        <f t="shared" si="1"/>
        <v>27380</v>
      </c>
      <c r="H17431" s="49">
        <f t="shared" si="2"/>
        <v>27670</v>
      </c>
    </row>
    <row r="17432">
      <c r="A17432" s="48" t="s">
        <v>1203</v>
      </c>
      <c r="B17432" s="38">
        <v>17112.0</v>
      </c>
      <c r="C17432" s="38" t="s">
        <v>21851</v>
      </c>
      <c r="D17432" s="38" t="str">
        <f>IFERROR(__xludf.DUMMYFUNCTION("REGEXREPLACE(C17432,""-\d+(.*)|--\d+(.*)"","""")"),"LA CLISSE")</f>
        <v>LA CLISSE</v>
      </c>
      <c r="E17432" s="38" t="s">
        <v>488</v>
      </c>
      <c r="F17432" s="38" t="s">
        <v>338</v>
      </c>
      <c r="G17432" s="49" t="str">
        <f t="shared" si="1"/>
        <v>17600</v>
      </c>
      <c r="H17432" s="49">
        <f t="shared" si="2"/>
        <v>17112</v>
      </c>
    </row>
    <row r="17433">
      <c r="A17433" s="48" t="s">
        <v>2254</v>
      </c>
      <c r="B17433" s="38">
        <v>62259.0</v>
      </c>
      <c r="C17433" s="38" t="s">
        <v>1440</v>
      </c>
      <c r="D17433" s="38" t="str">
        <f>IFERROR(__xludf.DUMMYFUNCTION("REGEXREPLACE(C17433,""-\d+(.*)|--\d+(.*)"","""")"),"CROISILLES")</f>
        <v>CROISILLES</v>
      </c>
      <c r="E17433" s="38" t="s">
        <v>109</v>
      </c>
      <c r="F17433" s="38" t="s">
        <v>86</v>
      </c>
      <c r="G17433" s="49" t="str">
        <f t="shared" si="1"/>
        <v>62128</v>
      </c>
      <c r="H17433" s="49">
        <f t="shared" si="2"/>
        <v>62259</v>
      </c>
    </row>
    <row r="17434">
      <c r="A17434" s="48" t="s">
        <v>7659</v>
      </c>
      <c r="B17434" s="38">
        <v>53256.0</v>
      </c>
      <c r="C17434" s="38" t="s">
        <v>21852</v>
      </c>
      <c r="D17434" s="38" t="str">
        <f>IFERROR(__xludf.DUMMYFUNCTION("REGEXREPLACE(C17434,""-\d+(.*)|--\d+(.*)"","""")"),"SAINT-THOMAS-DE-COURCERIERS")</f>
        <v>SAINT-THOMAS-DE-COURCERIERS</v>
      </c>
      <c r="E17434" s="38" t="s">
        <v>518</v>
      </c>
      <c r="F17434" s="38" t="s">
        <v>180</v>
      </c>
      <c r="G17434" s="49" t="str">
        <f t="shared" si="1"/>
        <v>53160</v>
      </c>
      <c r="H17434" s="49">
        <f t="shared" si="2"/>
        <v>53256</v>
      </c>
    </row>
    <row r="17435">
      <c r="A17435" s="48" t="s">
        <v>4044</v>
      </c>
      <c r="B17435" s="38">
        <v>52293.0</v>
      </c>
      <c r="C17435" s="38" t="s">
        <v>21853</v>
      </c>
      <c r="D17435" s="38" t="str">
        <f>IFERROR(__xludf.DUMMYFUNCTION("REGEXREPLACE(C17435,""-\d+(.*)|--\d+(.*)"","""")"),"LONGEVILLE-SUR-LA-LAINES")</f>
        <v>LONGEVILLE-SUR-LA-LAINES</v>
      </c>
      <c r="E17435" s="38" t="s">
        <v>234</v>
      </c>
      <c r="F17435" s="38" t="s">
        <v>130</v>
      </c>
      <c r="G17435" s="49" t="str">
        <f t="shared" si="1"/>
        <v>52220</v>
      </c>
      <c r="H17435" s="49">
        <f t="shared" si="2"/>
        <v>52293</v>
      </c>
    </row>
    <row r="17436">
      <c r="A17436" s="48" t="s">
        <v>2097</v>
      </c>
      <c r="B17436" s="38">
        <v>42066.0</v>
      </c>
      <c r="C17436" s="38" t="s">
        <v>21854</v>
      </c>
      <c r="D17436" s="38" t="str">
        <f>IFERROR(__xludf.DUMMYFUNCTION("REGEXREPLACE(C17436,""-\d+(.*)|--\d+(.*)"","""")"),"CLEPPE")</f>
        <v>CLEPPE</v>
      </c>
      <c r="E17436" s="38" t="s">
        <v>166</v>
      </c>
      <c r="F17436" s="38" t="s">
        <v>102</v>
      </c>
      <c r="G17436" s="49" t="str">
        <f t="shared" si="1"/>
        <v>42110</v>
      </c>
      <c r="H17436" s="49">
        <f t="shared" si="2"/>
        <v>42066</v>
      </c>
    </row>
    <row r="17437">
      <c r="A17437" s="48" t="s">
        <v>4926</v>
      </c>
      <c r="B17437" s="38">
        <v>14643.0</v>
      </c>
      <c r="C17437" s="38" t="s">
        <v>21855</v>
      </c>
      <c r="D17437" s="38" t="str">
        <f>IFERROR(__xludf.DUMMYFUNCTION("REGEXREPLACE(C17437,""-\d+(.*)|--\d+(.*)"","""")"),"SAINT-PAUL-DU-VERNAY")</f>
        <v>SAINT-PAUL-DU-VERNAY</v>
      </c>
      <c r="E17437" s="38" t="s">
        <v>137</v>
      </c>
      <c r="F17437" s="38" t="s">
        <v>138</v>
      </c>
      <c r="G17437" s="49" t="str">
        <f t="shared" si="1"/>
        <v>14490</v>
      </c>
      <c r="H17437" s="49">
        <f t="shared" si="2"/>
        <v>14643</v>
      </c>
    </row>
    <row r="17438">
      <c r="A17438" s="48" t="s">
        <v>12475</v>
      </c>
      <c r="B17438" s="38">
        <v>2728.0</v>
      </c>
      <c r="C17438" s="38" t="s">
        <v>21856</v>
      </c>
      <c r="D17438" s="38" t="str">
        <f>IFERROR(__xludf.DUMMYFUNCTION("REGEXREPLACE(C17438,""-\d+(.*)|--\d+(.*)"","""")"),"SORBAIS")</f>
        <v>SORBAIS</v>
      </c>
      <c r="E17438" s="38" t="s">
        <v>191</v>
      </c>
      <c r="F17438" s="38" t="s">
        <v>113</v>
      </c>
      <c r="G17438" s="49" t="str">
        <f t="shared" si="1"/>
        <v>02580</v>
      </c>
      <c r="H17438" s="49" t="str">
        <f t="shared" si="2"/>
        <v>02728</v>
      </c>
    </row>
    <row r="17439">
      <c r="A17439" s="48" t="s">
        <v>4745</v>
      </c>
      <c r="B17439" s="38">
        <v>1073.0</v>
      </c>
      <c r="C17439" s="38" t="s">
        <v>21857</v>
      </c>
      <c r="D17439" s="38" t="str">
        <f>IFERROR(__xludf.DUMMYFUNCTION("REGEXREPLACE(C17439,""-\d+(.*)|--\d+(.*)"","""")"),"CEYZERIEU")</f>
        <v>CEYZERIEU</v>
      </c>
      <c r="E17439" s="38" t="s">
        <v>255</v>
      </c>
      <c r="F17439" s="38" t="s">
        <v>102</v>
      </c>
      <c r="G17439" s="49" t="str">
        <f t="shared" si="1"/>
        <v>01350</v>
      </c>
      <c r="H17439" s="49" t="str">
        <f t="shared" si="2"/>
        <v>01073</v>
      </c>
    </row>
    <row r="17440">
      <c r="A17440" s="48" t="s">
        <v>16366</v>
      </c>
      <c r="B17440" s="38">
        <v>21627.0</v>
      </c>
      <c r="C17440" s="38" t="s">
        <v>21858</v>
      </c>
      <c r="D17440" s="38" t="str">
        <f>IFERROR(__xludf.DUMMYFUNCTION("REGEXREPLACE(C17440,""-\d+(.*)|--\d+(.*)"","""")"),"THENISSEY")</f>
        <v>THENISSEY</v>
      </c>
      <c r="E17440" s="38" t="s">
        <v>105</v>
      </c>
      <c r="F17440" s="38" t="s">
        <v>106</v>
      </c>
      <c r="G17440" s="49" t="str">
        <f t="shared" si="1"/>
        <v>21150</v>
      </c>
      <c r="H17440" s="49">
        <f t="shared" si="2"/>
        <v>21627</v>
      </c>
    </row>
    <row r="17441">
      <c r="A17441" s="48" t="s">
        <v>2149</v>
      </c>
      <c r="B17441" s="38">
        <v>83122.0</v>
      </c>
      <c r="C17441" s="38" t="s">
        <v>21859</v>
      </c>
      <c r="D17441" s="38" t="str">
        <f>IFERROR(__xludf.DUMMYFUNCTION("REGEXREPLACE(C17441,""-\d+(.*)|--\d+(.*)"","""")"),"LES SALLES-SUR-VERDON")</f>
        <v>LES SALLES-SUR-VERDON</v>
      </c>
      <c r="E17441" s="38" t="s">
        <v>813</v>
      </c>
      <c r="F17441" s="38" t="s">
        <v>228</v>
      </c>
      <c r="G17441" s="49" t="str">
        <f t="shared" si="1"/>
        <v>83630</v>
      </c>
      <c r="H17441" s="49">
        <f t="shared" si="2"/>
        <v>83122</v>
      </c>
    </row>
    <row r="17442">
      <c r="A17442" s="48" t="s">
        <v>8459</v>
      </c>
      <c r="B17442" s="38">
        <v>89073.0</v>
      </c>
      <c r="C17442" s="38" t="s">
        <v>21860</v>
      </c>
      <c r="D17442" s="38" t="str">
        <f>IFERROR(__xludf.DUMMYFUNCTION("REGEXREPLACE(C17442,""-\d+(.*)|--\d+(.*)"","""")"),"CHAMPIGNELLES")</f>
        <v>CHAMPIGNELLES</v>
      </c>
      <c r="E17442" s="38" t="s">
        <v>275</v>
      </c>
      <c r="F17442" s="38" t="s">
        <v>106</v>
      </c>
      <c r="G17442" s="49" t="str">
        <f t="shared" si="1"/>
        <v>89350</v>
      </c>
      <c r="H17442" s="49">
        <f t="shared" si="2"/>
        <v>89073</v>
      </c>
    </row>
    <row r="17443">
      <c r="A17443" s="48" t="s">
        <v>3718</v>
      </c>
      <c r="B17443" s="38">
        <v>62097.0</v>
      </c>
      <c r="C17443" s="38" t="s">
        <v>21861</v>
      </c>
      <c r="D17443" s="38" t="str">
        <f>IFERROR(__xludf.DUMMYFUNCTION("REGEXREPLACE(C17443,""-\d+(.*)|--\d+(.*)"","""")"),"BEAUMETZ-LES-LOGES")</f>
        <v>BEAUMETZ-LES-LOGES</v>
      </c>
      <c r="E17443" s="38" t="s">
        <v>109</v>
      </c>
      <c r="F17443" s="38" t="s">
        <v>86</v>
      </c>
      <c r="G17443" s="49" t="str">
        <f t="shared" si="1"/>
        <v>62123</v>
      </c>
      <c r="H17443" s="49">
        <f t="shared" si="2"/>
        <v>62097</v>
      </c>
    </row>
    <row r="17444">
      <c r="A17444" s="48" t="s">
        <v>4939</v>
      </c>
      <c r="B17444" s="38">
        <v>23060.0</v>
      </c>
      <c r="C17444" s="38" t="s">
        <v>21862</v>
      </c>
      <c r="D17444" s="38" t="str">
        <f>IFERROR(__xludf.DUMMYFUNCTION("REGEXREPLACE(C17444,""-\d+(.*)|--\d+(.*)"","""")"),"CHAVANAT")</f>
        <v>CHAVANAT</v>
      </c>
      <c r="E17444" s="38" t="s">
        <v>97</v>
      </c>
      <c r="F17444" s="38" t="s">
        <v>98</v>
      </c>
      <c r="G17444" s="49" t="str">
        <f t="shared" si="1"/>
        <v>23250</v>
      </c>
      <c r="H17444" s="49">
        <f t="shared" si="2"/>
        <v>23060</v>
      </c>
    </row>
    <row r="17445">
      <c r="A17445" s="48" t="s">
        <v>4969</v>
      </c>
      <c r="B17445" s="38">
        <v>14707.0</v>
      </c>
      <c r="C17445" s="38" t="s">
        <v>21863</v>
      </c>
      <c r="D17445" s="38" t="str">
        <f>IFERROR(__xludf.DUMMYFUNCTION("REGEXREPLACE(C17445,""-\d+(.*)|--\d+(.*)"","""")"),"TOURVILLE-SUR-ODON")</f>
        <v>TOURVILLE-SUR-ODON</v>
      </c>
      <c r="E17445" s="38" t="s">
        <v>137</v>
      </c>
      <c r="F17445" s="38" t="s">
        <v>138</v>
      </c>
      <c r="G17445" s="49" t="str">
        <f t="shared" si="1"/>
        <v>14210</v>
      </c>
      <c r="H17445" s="49">
        <f t="shared" si="2"/>
        <v>14707</v>
      </c>
    </row>
    <row r="17446">
      <c r="A17446" s="48" t="s">
        <v>1861</v>
      </c>
      <c r="B17446" s="38">
        <v>46137.0</v>
      </c>
      <c r="C17446" s="38" t="s">
        <v>21864</v>
      </c>
      <c r="D17446" s="38" t="str">
        <f>IFERROR(__xludf.DUMMYFUNCTION("REGEXREPLACE(C17446,""-\d+(.*)|--\d+(.*)"","""")"),"LABASTIDE-MARNHAC")</f>
        <v>LABASTIDE-MARNHAC</v>
      </c>
      <c r="E17446" s="38" t="s">
        <v>185</v>
      </c>
      <c r="F17446" s="38" t="s">
        <v>94</v>
      </c>
      <c r="G17446" s="49" t="str">
        <f t="shared" si="1"/>
        <v>46090</v>
      </c>
      <c r="H17446" s="49">
        <f t="shared" si="2"/>
        <v>46137</v>
      </c>
    </row>
    <row r="17447">
      <c r="A17447" s="48" t="s">
        <v>7736</v>
      </c>
      <c r="B17447" s="38">
        <v>11257.0</v>
      </c>
      <c r="C17447" s="38" t="s">
        <v>21865</v>
      </c>
      <c r="D17447" s="38" t="str">
        <f>IFERROR(__xludf.DUMMYFUNCTION("REGEXREPLACE(C17447,""-\d+(.*)|--\d+(.*)"","""")"),"MONZE")</f>
        <v>MONZE</v>
      </c>
      <c r="E17447" s="38" t="s">
        <v>278</v>
      </c>
      <c r="F17447" s="38" t="s">
        <v>119</v>
      </c>
      <c r="G17447" s="49" t="str">
        <f t="shared" si="1"/>
        <v>11800</v>
      </c>
      <c r="H17447" s="49">
        <f t="shared" si="2"/>
        <v>11257</v>
      </c>
    </row>
    <row r="17448">
      <c r="A17448" s="48" t="s">
        <v>14759</v>
      </c>
      <c r="B17448" s="38">
        <v>19144.0</v>
      </c>
      <c r="C17448" s="38" t="s">
        <v>21866</v>
      </c>
      <c r="D17448" s="38" t="str">
        <f>IFERROR(__xludf.DUMMYFUNCTION("REGEXREPLACE(C17448,""-\d+(.*)|--\d+(.*)"","""")"),"MONTGIBAUD")</f>
        <v>MONTGIBAUD</v>
      </c>
      <c r="E17448" s="38" t="s">
        <v>271</v>
      </c>
      <c r="F17448" s="38" t="s">
        <v>98</v>
      </c>
      <c r="G17448" s="49" t="str">
        <f t="shared" si="1"/>
        <v>19210</v>
      </c>
      <c r="H17448" s="49">
        <f t="shared" si="2"/>
        <v>19144</v>
      </c>
    </row>
    <row r="17449">
      <c r="A17449" s="48" t="s">
        <v>3780</v>
      </c>
      <c r="B17449" s="38">
        <v>50311.0</v>
      </c>
      <c r="C17449" s="38" t="s">
        <v>21867</v>
      </c>
      <c r="D17449" s="38" t="str">
        <f>IFERROR(__xludf.DUMMYFUNCTION("REGEXREPLACE(C17449,""-\d+(.*)|--\d+(.*)"","""")"),"LE MESNIL-GARNIER")</f>
        <v>LE MESNIL-GARNIER</v>
      </c>
      <c r="E17449" s="38" t="s">
        <v>157</v>
      </c>
      <c r="F17449" s="38" t="s">
        <v>138</v>
      </c>
      <c r="G17449" s="49" t="str">
        <f t="shared" si="1"/>
        <v>50450</v>
      </c>
      <c r="H17449" s="49">
        <f t="shared" si="2"/>
        <v>50311</v>
      </c>
    </row>
    <row r="17450">
      <c r="A17450" s="48" t="s">
        <v>10761</v>
      </c>
      <c r="B17450" s="38">
        <v>90003.0</v>
      </c>
      <c r="C17450" s="38" t="s">
        <v>21868</v>
      </c>
      <c r="D17450" s="38" t="str">
        <f>IFERROR(__xludf.DUMMYFUNCTION("REGEXREPLACE(C17450,""-\d+(.*)|--\d+(.*)"","""")"),"ANJOUTEY")</f>
        <v>ANJOUTEY</v>
      </c>
      <c r="E17450" s="38" t="s">
        <v>1283</v>
      </c>
      <c r="F17450" s="38" t="s">
        <v>214</v>
      </c>
      <c r="G17450" s="49" t="str">
        <f t="shared" si="1"/>
        <v>90170</v>
      </c>
      <c r="H17450" s="49">
        <f t="shared" si="2"/>
        <v>90003</v>
      </c>
    </row>
    <row r="17451">
      <c r="A17451" s="48" t="s">
        <v>9311</v>
      </c>
      <c r="B17451" s="38">
        <v>24055.0</v>
      </c>
      <c r="C17451" s="38" t="s">
        <v>21869</v>
      </c>
      <c r="D17451" s="38" t="str">
        <f>IFERROR(__xludf.DUMMYFUNCTION("REGEXREPLACE(C17451,""-\d+(.*)|--\d+(.*)"","""")"),"BOURDEILLES")</f>
        <v>BOURDEILLES</v>
      </c>
      <c r="E17451" s="38" t="s">
        <v>261</v>
      </c>
      <c r="F17451" s="38" t="s">
        <v>252</v>
      </c>
      <c r="G17451" s="49" t="str">
        <f t="shared" si="1"/>
        <v>24310</v>
      </c>
      <c r="H17451" s="49">
        <f t="shared" si="2"/>
        <v>24055</v>
      </c>
    </row>
    <row r="17452">
      <c r="A17452" s="48" t="s">
        <v>386</v>
      </c>
      <c r="B17452" s="38">
        <v>21632.0</v>
      </c>
      <c r="C17452" s="38" t="s">
        <v>21870</v>
      </c>
      <c r="D17452" s="38" t="str">
        <f>IFERROR(__xludf.DUMMYFUNCTION("REGEXREPLACE(C17452,""-\d+(.*)|--\d+(.*)"","""")"),"THOREY-EN-PLAINE")</f>
        <v>THOREY-EN-PLAINE</v>
      </c>
      <c r="E17452" s="38" t="s">
        <v>105</v>
      </c>
      <c r="F17452" s="38" t="s">
        <v>106</v>
      </c>
      <c r="G17452" s="49" t="str">
        <f t="shared" si="1"/>
        <v>21110</v>
      </c>
      <c r="H17452" s="49">
        <f t="shared" si="2"/>
        <v>21632</v>
      </c>
    </row>
    <row r="17453">
      <c r="A17453" s="48" t="s">
        <v>1978</v>
      </c>
      <c r="B17453" s="38">
        <v>88171.0</v>
      </c>
      <c r="C17453" s="38" t="s">
        <v>21871</v>
      </c>
      <c r="D17453" s="38" t="str">
        <f>IFERROR(__xludf.DUMMYFUNCTION("REGEXREPLACE(C17453,""-\d+(.*)|--\d+(.*)"","""")"),"FIGNEVELLE")</f>
        <v>FIGNEVELLE</v>
      </c>
      <c r="E17453" s="38" t="s">
        <v>194</v>
      </c>
      <c r="F17453" s="38" t="s">
        <v>195</v>
      </c>
      <c r="G17453" s="49" t="str">
        <f t="shared" si="1"/>
        <v>88410</v>
      </c>
      <c r="H17453" s="49">
        <f t="shared" si="2"/>
        <v>88171</v>
      </c>
    </row>
    <row r="17454">
      <c r="A17454" s="48" t="s">
        <v>4596</v>
      </c>
      <c r="B17454" s="38">
        <v>2538.0</v>
      </c>
      <c r="C17454" s="38" t="s">
        <v>21872</v>
      </c>
      <c r="D17454" s="38" t="str">
        <f>IFERROR(__xludf.DUMMYFUNCTION("REGEXREPLACE(C17454,""-\d+(.*)|--\d+(.*)"","""")"),"NANTEUIL-NOTRE-DAME")</f>
        <v>NANTEUIL-NOTRE-DAME</v>
      </c>
      <c r="E17454" s="38" t="s">
        <v>191</v>
      </c>
      <c r="F17454" s="38" t="s">
        <v>113</v>
      </c>
      <c r="G17454" s="49" t="str">
        <f t="shared" si="1"/>
        <v>02210</v>
      </c>
      <c r="H17454" s="49" t="str">
        <f t="shared" si="2"/>
        <v>02538</v>
      </c>
    </row>
    <row r="17455">
      <c r="A17455" s="48" t="s">
        <v>15194</v>
      </c>
      <c r="B17455" s="38">
        <v>24192.0</v>
      </c>
      <c r="C17455" s="38" t="s">
        <v>21873</v>
      </c>
      <c r="D17455" s="38" t="str">
        <f>IFERROR(__xludf.DUMMYFUNCTION("REGEXREPLACE(C17455,""-\d+(.*)|--\d+(.*)"","""")"),"GABILLOU")</f>
        <v>GABILLOU</v>
      </c>
      <c r="E17455" s="38" t="s">
        <v>261</v>
      </c>
      <c r="F17455" s="38" t="s">
        <v>252</v>
      </c>
      <c r="G17455" s="49" t="str">
        <f t="shared" si="1"/>
        <v>24210</v>
      </c>
      <c r="H17455" s="49">
        <f t="shared" si="2"/>
        <v>24192</v>
      </c>
    </row>
    <row r="17456">
      <c r="A17456" s="48" t="s">
        <v>2268</v>
      </c>
      <c r="B17456" s="38">
        <v>55484.0</v>
      </c>
      <c r="C17456" s="38" t="s">
        <v>21874</v>
      </c>
      <c r="D17456" s="38" t="str">
        <f>IFERROR(__xludf.DUMMYFUNCTION("REGEXREPLACE(C17456,""-\d+(.*)|--\d+(.*)"","""")"),"SEPTSARGES")</f>
        <v>SEPTSARGES</v>
      </c>
      <c r="E17456" s="38" t="s">
        <v>322</v>
      </c>
      <c r="F17456" s="38" t="s">
        <v>195</v>
      </c>
      <c r="G17456" s="49" t="str">
        <f t="shared" si="1"/>
        <v>55270</v>
      </c>
      <c r="H17456" s="49">
        <f t="shared" si="2"/>
        <v>55484</v>
      </c>
    </row>
    <row r="17457">
      <c r="A17457" s="48" t="s">
        <v>3666</v>
      </c>
      <c r="B17457" s="38">
        <v>21426.0</v>
      </c>
      <c r="C17457" s="38" t="s">
        <v>21875</v>
      </c>
      <c r="D17457" s="38" t="str">
        <f>IFERROR(__xludf.DUMMYFUNCTION("REGEXREPLACE(C17457,""-\d+(.*)|--\d+(.*)"","""")"),"MONTBERTHAULT")</f>
        <v>MONTBERTHAULT</v>
      </c>
      <c r="E17457" s="38" t="s">
        <v>105</v>
      </c>
      <c r="F17457" s="38" t="s">
        <v>106</v>
      </c>
      <c r="G17457" s="49" t="str">
        <f t="shared" si="1"/>
        <v>21460</v>
      </c>
      <c r="H17457" s="49">
        <f t="shared" si="2"/>
        <v>21426</v>
      </c>
    </row>
    <row r="17458">
      <c r="A17458" s="48" t="s">
        <v>7749</v>
      </c>
      <c r="B17458" s="38">
        <v>85175.0</v>
      </c>
      <c r="C17458" s="38" t="s">
        <v>21876</v>
      </c>
      <c r="D17458" s="38" t="str">
        <f>IFERROR(__xludf.DUMMYFUNCTION("REGEXREPLACE(C17458,""-\d+(.*)|--\d+(.*)"","""")"),"LES PINEAUX")</f>
        <v>LES PINEAUX</v>
      </c>
      <c r="E17458" s="38" t="s">
        <v>179</v>
      </c>
      <c r="F17458" s="38" t="s">
        <v>180</v>
      </c>
      <c r="G17458" s="49" t="str">
        <f t="shared" si="1"/>
        <v>85320</v>
      </c>
      <c r="H17458" s="49">
        <f t="shared" si="2"/>
        <v>85175</v>
      </c>
    </row>
    <row r="17459">
      <c r="A17459" s="48" t="s">
        <v>7192</v>
      </c>
      <c r="B17459" s="38">
        <v>61491.0</v>
      </c>
      <c r="C17459" s="38" t="s">
        <v>21877</v>
      </c>
      <c r="D17459" s="38" t="str">
        <f>IFERROR(__xludf.DUMMYFUNCTION("REGEXREPLACE(C17459,""-\d+(.*)|--\d+(.*)"","""")"),"TOUROUVRE")</f>
        <v>TOUROUVRE</v>
      </c>
      <c r="E17459" s="38" t="s">
        <v>141</v>
      </c>
      <c r="F17459" s="38" t="s">
        <v>138</v>
      </c>
      <c r="G17459" s="49" t="str">
        <f t="shared" si="1"/>
        <v>61190</v>
      </c>
      <c r="H17459" s="49">
        <f t="shared" si="2"/>
        <v>61491</v>
      </c>
    </row>
    <row r="17460">
      <c r="A17460" s="48" t="s">
        <v>14214</v>
      </c>
      <c r="B17460" s="38">
        <v>40217.0</v>
      </c>
      <c r="C17460" s="38" t="s">
        <v>21878</v>
      </c>
      <c r="D17460" s="38" t="str">
        <f>IFERROR(__xludf.DUMMYFUNCTION("REGEXREPLACE(C17460,""-\d+(.*)|--\d+(.*)"","""")"),"PARENTIS-EN-BORN")</f>
        <v>PARENTIS-EN-BORN</v>
      </c>
      <c r="E17460" s="38" t="s">
        <v>281</v>
      </c>
      <c r="F17460" s="38" t="s">
        <v>252</v>
      </c>
      <c r="G17460" s="49" t="str">
        <f t="shared" si="1"/>
        <v>40160</v>
      </c>
      <c r="H17460" s="49">
        <f t="shared" si="2"/>
        <v>40217</v>
      </c>
    </row>
    <row r="17461">
      <c r="A17461" s="48" t="s">
        <v>3264</v>
      </c>
      <c r="B17461" s="38">
        <v>69109.0</v>
      </c>
      <c r="C17461" s="38" t="s">
        <v>21879</v>
      </c>
      <c r="D17461" s="38" t="str">
        <f>IFERROR(__xludf.DUMMYFUNCTION("REGEXREPLACE(C17461,""-\d+(.*)|--\d+(.*)"","""")"),"LANTIGNIE")</f>
        <v>LANTIGNIE</v>
      </c>
      <c r="E17461" s="38" t="s">
        <v>350</v>
      </c>
      <c r="F17461" s="38" t="s">
        <v>102</v>
      </c>
      <c r="G17461" s="49" t="str">
        <f t="shared" si="1"/>
        <v>69430</v>
      </c>
      <c r="H17461" s="49">
        <f t="shared" si="2"/>
        <v>69109</v>
      </c>
    </row>
    <row r="17462">
      <c r="A17462" s="48" t="s">
        <v>926</v>
      </c>
      <c r="B17462" s="38">
        <v>43111.0</v>
      </c>
      <c r="C17462" s="38" t="s">
        <v>21880</v>
      </c>
      <c r="D17462" s="38" t="str">
        <f>IFERROR(__xludf.DUMMYFUNCTION("REGEXREPLACE(C17462,""-\d+(.*)|--\d+(.*)"","""")"),"LANDOS")</f>
        <v>LANDOS</v>
      </c>
      <c r="E17462" s="38" t="s">
        <v>332</v>
      </c>
      <c r="F17462" s="38" t="s">
        <v>161</v>
      </c>
      <c r="G17462" s="49" t="str">
        <f t="shared" si="1"/>
        <v>43340</v>
      </c>
      <c r="H17462" s="49">
        <f t="shared" si="2"/>
        <v>43111</v>
      </c>
    </row>
    <row r="17463">
      <c r="A17463" s="48" t="s">
        <v>12742</v>
      </c>
      <c r="B17463" s="38">
        <v>56238.0</v>
      </c>
      <c r="C17463" s="38" t="s">
        <v>21881</v>
      </c>
      <c r="D17463" s="38" t="str">
        <f>IFERROR(__xludf.DUMMYFUNCTION("REGEXREPLACE(C17463,""-\d+(.*)|--\d+(.*)"","""")"),"SAINT-TUGDUAL")</f>
        <v>SAINT-TUGDUAL</v>
      </c>
      <c r="E17463" s="38" t="s">
        <v>173</v>
      </c>
      <c r="F17463" s="38" t="s">
        <v>90</v>
      </c>
      <c r="G17463" s="49" t="str">
        <f t="shared" si="1"/>
        <v>56540</v>
      </c>
      <c r="H17463" s="49">
        <f t="shared" si="2"/>
        <v>56238</v>
      </c>
    </row>
    <row r="17464">
      <c r="A17464" s="48" t="s">
        <v>8788</v>
      </c>
      <c r="B17464" s="38">
        <v>59595.0</v>
      </c>
      <c r="C17464" s="38" t="s">
        <v>21882</v>
      </c>
      <c r="D17464" s="38" t="str">
        <f>IFERROR(__xludf.DUMMYFUNCTION("REGEXREPLACE(C17464,""-\d+(.*)|--\d+(.*)"","""")"),"THUN-SAINT-MARTIN")</f>
        <v>THUN-SAINT-MARTIN</v>
      </c>
      <c r="E17464" s="38" t="s">
        <v>85</v>
      </c>
      <c r="F17464" s="38" t="s">
        <v>86</v>
      </c>
      <c r="G17464" s="49" t="str">
        <f t="shared" si="1"/>
        <v>59141</v>
      </c>
      <c r="H17464" s="49">
        <f t="shared" si="2"/>
        <v>59595</v>
      </c>
    </row>
    <row r="17465">
      <c r="A17465" s="48" t="s">
        <v>21883</v>
      </c>
      <c r="B17465" s="38">
        <v>62383.0</v>
      </c>
      <c r="C17465" s="38" t="s">
        <v>21884</v>
      </c>
      <c r="D17465" s="38" t="str">
        <f>IFERROR(__xludf.DUMMYFUNCTION("REGEXREPLACE(C17465,""-\d+(.*)|--\d+(.*)"","""")"),"GOUY-SOUS-BELLONNE")</f>
        <v>GOUY-SOUS-BELLONNE</v>
      </c>
      <c r="E17465" s="38" t="s">
        <v>109</v>
      </c>
      <c r="F17465" s="38" t="s">
        <v>86</v>
      </c>
      <c r="G17465" s="49" t="str">
        <f t="shared" si="1"/>
        <v>62112</v>
      </c>
      <c r="H17465" s="49">
        <f t="shared" si="2"/>
        <v>62383</v>
      </c>
    </row>
    <row r="17466">
      <c r="A17466" s="48" t="s">
        <v>21885</v>
      </c>
      <c r="B17466" s="38">
        <v>94081.0</v>
      </c>
      <c r="C17466" s="38" t="s">
        <v>21886</v>
      </c>
      <c r="D17466" s="38" t="str">
        <f>IFERROR(__xludf.DUMMYFUNCTION("REGEXREPLACE(C17466,""-\d+(.*)|--\d+(.*)"","""")"),"VITRY-SUR-SEINE")</f>
        <v>VITRY-SUR-SEINE</v>
      </c>
      <c r="E17466" s="38" t="s">
        <v>561</v>
      </c>
      <c r="F17466" s="38" t="s">
        <v>245</v>
      </c>
      <c r="G17466" s="49" t="str">
        <f t="shared" si="1"/>
        <v>94400</v>
      </c>
      <c r="H17466" s="49">
        <f t="shared" si="2"/>
        <v>94081</v>
      </c>
    </row>
    <row r="17467">
      <c r="A17467" s="48" t="s">
        <v>127</v>
      </c>
      <c r="B17467" s="38">
        <v>51166.0</v>
      </c>
      <c r="C17467" s="38" t="s">
        <v>21887</v>
      </c>
      <c r="D17467" s="38" t="str">
        <f>IFERROR(__xludf.DUMMYFUNCTION("REGEXREPLACE(C17467,""-\d+(.*)|--\d+(.*)"","""")"),"CONTAULT")</f>
        <v>CONTAULT</v>
      </c>
      <c r="E17467" s="38" t="s">
        <v>129</v>
      </c>
      <c r="F17467" s="38" t="s">
        <v>130</v>
      </c>
      <c r="G17467" s="49" t="str">
        <f t="shared" si="1"/>
        <v>51330</v>
      </c>
      <c r="H17467" s="49">
        <f t="shared" si="2"/>
        <v>51166</v>
      </c>
    </row>
    <row r="17468">
      <c r="A17468" s="48" t="s">
        <v>3488</v>
      </c>
      <c r="B17468" s="38">
        <v>67058.0</v>
      </c>
      <c r="C17468" s="38" t="s">
        <v>21888</v>
      </c>
      <c r="D17468" s="38" t="str">
        <f>IFERROR(__xludf.DUMMYFUNCTION("REGEXREPLACE(C17468,""-\d+(.*)|--\d+(.*)"","""")"),"BOSSENDORF")</f>
        <v>BOSSENDORF</v>
      </c>
      <c r="E17468" s="38" t="s">
        <v>210</v>
      </c>
      <c r="F17468" s="38" t="s">
        <v>151</v>
      </c>
      <c r="G17468" s="49" t="str">
        <f t="shared" si="1"/>
        <v>67270</v>
      </c>
      <c r="H17468" s="49">
        <f t="shared" si="2"/>
        <v>67058</v>
      </c>
    </row>
    <row r="17469">
      <c r="A17469" s="48" t="s">
        <v>8025</v>
      </c>
      <c r="B17469" s="38">
        <v>18228.0</v>
      </c>
      <c r="C17469" s="38" t="s">
        <v>21889</v>
      </c>
      <c r="D17469" s="38" t="str">
        <f>IFERROR(__xludf.DUMMYFUNCTION("REGEXREPLACE(C17469,""-\d+(.*)|--\d+(.*)"","""")"),"SAINT-OUTRILLE")</f>
        <v>SAINT-OUTRILLE</v>
      </c>
      <c r="E17469" s="38" t="s">
        <v>504</v>
      </c>
      <c r="F17469" s="38" t="s">
        <v>123</v>
      </c>
      <c r="G17469" s="49" t="str">
        <f t="shared" si="1"/>
        <v>18310</v>
      </c>
      <c r="H17469" s="49">
        <f t="shared" si="2"/>
        <v>18228</v>
      </c>
    </row>
    <row r="17470">
      <c r="A17470" s="48" t="s">
        <v>15662</v>
      </c>
      <c r="B17470" s="38">
        <v>43122.0</v>
      </c>
      <c r="C17470" s="38" t="s">
        <v>21890</v>
      </c>
      <c r="D17470" s="38" t="str">
        <f>IFERROR(__xludf.DUMMYFUNCTION("REGEXREPLACE(C17470,""-\d+(.*)|--\d+(.*)"","""")"),"LISSAC")</f>
        <v>LISSAC</v>
      </c>
      <c r="E17470" s="38" t="s">
        <v>332</v>
      </c>
      <c r="F17470" s="38" t="s">
        <v>161</v>
      </c>
      <c r="G17470" s="49" t="str">
        <f t="shared" si="1"/>
        <v>43350</v>
      </c>
      <c r="H17470" s="49">
        <f t="shared" si="2"/>
        <v>43122</v>
      </c>
    </row>
    <row r="17471">
      <c r="A17471" s="48" t="s">
        <v>8302</v>
      </c>
      <c r="B17471" s="38">
        <v>66169.0</v>
      </c>
      <c r="C17471" s="38" t="s">
        <v>21891</v>
      </c>
      <c r="D17471" s="38" t="str">
        <f>IFERROR(__xludf.DUMMYFUNCTION("REGEXREPLACE(C17471,""-\d+(.*)|--\d+(.*)"","""")"),"SAINT-ARNAC")</f>
        <v>SAINT-ARNAC</v>
      </c>
      <c r="E17471" s="38" t="s">
        <v>248</v>
      </c>
      <c r="F17471" s="38" t="s">
        <v>119</v>
      </c>
      <c r="G17471" s="49" t="str">
        <f t="shared" si="1"/>
        <v>66220</v>
      </c>
      <c r="H17471" s="49">
        <f t="shared" si="2"/>
        <v>66169</v>
      </c>
    </row>
    <row r="17472">
      <c r="A17472" s="48" t="s">
        <v>7702</v>
      </c>
      <c r="B17472" s="38">
        <v>57310.0</v>
      </c>
      <c r="C17472" s="38" t="s">
        <v>21892</v>
      </c>
      <c r="D17472" s="38" t="str">
        <f>IFERROR(__xludf.DUMMYFUNCTION("REGEXREPLACE(C17472,""-\d+(.*)|--\d+(.*)"","""")"),"HELLERING-LES-FENETRANGE")</f>
        <v>HELLERING-LES-FENETRANGE</v>
      </c>
      <c r="E17472" s="38" t="s">
        <v>303</v>
      </c>
      <c r="F17472" s="38" t="s">
        <v>195</v>
      </c>
      <c r="G17472" s="49" t="str">
        <f t="shared" si="1"/>
        <v>57930</v>
      </c>
      <c r="H17472" s="49">
        <f t="shared" si="2"/>
        <v>57310</v>
      </c>
    </row>
    <row r="17473">
      <c r="A17473" s="48" t="s">
        <v>12639</v>
      </c>
      <c r="B17473" s="38">
        <v>81045.0</v>
      </c>
      <c r="C17473" s="38" t="s">
        <v>19109</v>
      </c>
      <c r="D17473" s="38" t="str">
        <f>IFERROR(__xludf.DUMMYFUNCTION("REGEXREPLACE(C17473,""-\d+(.*)|--\d+(.*)"","""")"),"LES CABANNES")</f>
        <v>LES CABANNES</v>
      </c>
      <c r="E17473" s="38" t="s">
        <v>231</v>
      </c>
      <c r="F17473" s="38" t="s">
        <v>94</v>
      </c>
      <c r="G17473" s="49" t="str">
        <f t="shared" si="1"/>
        <v>81170</v>
      </c>
      <c r="H17473" s="49">
        <f t="shared" si="2"/>
        <v>81045</v>
      </c>
    </row>
    <row r="17474">
      <c r="A17474" s="48" t="s">
        <v>610</v>
      </c>
      <c r="B17474" s="38">
        <v>26166.0</v>
      </c>
      <c r="C17474" s="38" t="s">
        <v>21893</v>
      </c>
      <c r="D17474" s="38" t="str">
        <f>IFERROR(__xludf.DUMMYFUNCTION("REGEXREPLACE(C17474,""-\d+(.*)|--\d+(.*)"","""")"),"LORIOL-SUR-DROME")</f>
        <v>LORIOL-SUR-DROME</v>
      </c>
      <c r="E17474" s="38" t="s">
        <v>126</v>
      </c>
      <c r="F17474" s="38" t="s">
        <v>102</v>
      </c>
      <c r="G17474" s="49" t="str">
        <f t="shared" si="1"/>
        <v>26270</v>
      </c>
      <c r="H17474" s="49">
        <f t="shared" si="2"/>
        <v>26166</v>
      </c>
    </row>
    <row r="17475">
      <c r="A17475" s="48" t="s">
        <v>8845</v>
      </c>
      <c r="B17475" s="38">
        <v>8368.0</v>
      </c>
      <c r="C17475" s="38" t="s">
        <v>21894</v>
      </c>
      <c r="D17475" s="38" t="str">
        <f>IFERROR(__xludf.DUMMYFUNCTION("REGEXREPLACE(C17475,""-\d+(.*)|--\d+(.*)"","""")"),"ROIZY")</f>
        <v>ROIZY</v>
      </c>
      <c r="E17475" s="38" t="s">
        <v>327</v>
      </c>
      <c r="F17475" s="38" t="s">
        <v>130</v>
      </c>
      <c r="G17475" s="49" t="str">
        <f t="shared" si="1"/>
        <v>08190</v>
      </c>
      <c r="H17475" s="49" t="str">
        <f t="shared" si="2"/>
        <v>08368</v>
      </c>
    </row>
    <row r="17476">
      <c r="A17476" s="48" t="s">
        <v>934</v>
      </c>
      <c r="B17476" s="38">
        <v>49017.0</v>
      </c>
      <c r="C17476" s="38" t="s">
        <v>21895</v>
      </c>
      <c r="D17476" s="38" t="str">
        <f>IFERROR(__xludf.DUMMYFUNCTION("REGEXREPLACE(C17476,""-\d+(.*)|--\d+(.*)"","""")"),"BARACE")</f>
        <v>BARACE</v>
      </c>
      <c r="E17476" s="38" t="s">
        <v>653</v>
      </c>
      <c r="F17476" s="38" t="s">
        <v>180</v>
      </c>
      <c r="G17476" s="49" t="str">
        <f t="shared" si="1"/>
        <v>49430</v>
      </c>
      <c r="H17476" s="49">
        <f t="shared" si="2"/>
        <v>49017</v>
      </c>
    </row>
    <row r="17477">
      <c r="A17477" s="48" t="s">
        <v>3906</v>
      </c>
      <c r="B17477" s="38">
        <v>24371.0</v>
      </c>
      <c r="C17477" s="38" t="s">
        <v>21896</v>
      </c>
      <c r="D17477" s="38" t="str">
        <f>IFERROR(__xludf.DUMMYFUNCTION("REGEXREPLACE(C17477,""-\d+(.*)|--\d+(.*)"","""")"),"SAINT-AQUILIN")</f>
        <v>SAINT-AQUILIN</v>
      </c>
      <c r="E17477" s="38" t="s">
        <v>261</v>
      </c>
      <c r="F17477" s="38" t="s">
        <v>252</v>
      </c>
      <c r="G17477" s="49" t="str">
        <f t="shared" si="1"/>
        <v>24110</v>
      </c>
      <c r="H17477" s="49">
        <f t="shared" si="2"/>
        <v>24371</v>
      </c>
    </row>
    <row r="17478">
      <c r="A17478" s="48" t="s">
        <v>3980</v>
      </c>
      <c r="B17478" s="38">
        <v>71514.0</v>
      </c>
      <c r="C17478" s="38" t="s">
        <v>21897</v>
      </c>
      <c r="D17478" s="38" t="str">
        <f>IFERROR(__xludf.DUMMYFUNCTION("REGEXREPLACE(C17478,""-\d+(.*)|--\d+(.*)"","""")"),"SENS-SUR-SEILLE")</f>
        <v>SENS-SUR-SEILLE</v>
      </c>
      <c r="E17478" s="38" t="s">
        <v>344</v>
      </c>
      <c r="F17478" s="38" t="s">
        <v>106</v>
      </c>
      <c r="G17478" s="49" t="str">
        <f t="shared" si="1"/>
        <v>71330</v>
      </c>
      <c r="H17478" s="49">
        <f t="shared" si="2"/>
        <v>71514</v>
      </c>
    </row>
    <row r="17479">
      <c r="A17479" s="48" t="s">
        <v>18048</v>
      </c>
      <c r="B17479" s="38">
        <v>86219.0</v>
      </c>
      <c r="C17479" s="38" t="s">
        <v>2665</v>
      </c>
      <c r="D17479" s="38" t="str">
        <f>IFERROR(__xludf.DUMMYFUNCTION("REGEXREPLACE(C17479,""-\d+(.*)|--\d+(.*)"","""")"),"SAINT-CYR")</f>
        <v>SAINT-CYR</v>
      </c>
      <c r="E17479" s="38" t="s">
        <v>529</v>
      </c>
      <c r="F17479" s="38" t="s">
        <v>338</v>
      </c>
      <c r="G17479" s="49" t="str">
        <f t="shared" si="1"/>
        <v>86130</v>
      </c>
      <c r="H17479" s="49">
        <f t="shared" si="2"/>
        <v>86219</v>
      </c>
    </row>
    <row r="17480">
      <c r="A17480" s="48" t="s">
        <v>9928</v>
      </c>
      <c r="B17480" s="38">
        <v>32039.0</v>
      </c>
      <c r="C17480" s="38" t="s">
        <v>21898</v>
      </c>
      <c r="D17480" s="38" t="str">
        <f>IFERROR(__xludf.DUMMYFUNCTION("REGEXREPLACE(C17480,""-\d+(.*)|--\d+(.*)"","""")"),"BECCAS")</f>
        <v>BECCAS</v>
      </c>
      <c r="E17480" s="38" t="s">
        <v>440</v>
      </c>
      <c r="F17480" s="38" t="s">
        <v>94</v>
      </c>
      <c r="G17480" s="49" t="str">
        <f t="shared" si="1"/>
        <v>32730</v>
      </c>
      <c r="H17480" s="49">
        <f t="shared" si="2"/>
        <v>32039</v>
      </c>
    </row>
    <row r="17481">
      <c r="A17481" s="48" t="s">
        <v>1408</v>
      </c>
      <c r="B17481" s="38">
        <v>88093.0</v>
      </c>
      <c r="C17481" s="38" t="s">
        <v>21899</v>
      </c>
      <c r="D17481" s="38" t="str">
        <f>IFERROR(__xludf.DUMMYFUNCTION("REGEXREPLACE(C17481,""-\d+(.*)|--\d+(.*)"","""")"),"CHATAS")</f>
        <v>CHATAS</v>
      </c>
      <c r="E17481" s="38" t="s">
        <v>194</v>
      </c>
      <c r="F17481" s="38" t="s">
        <v>195</v>
      </c>
      <c r="G17481" s="49" t="str">
        <f t="shared" si="1"/>
        <v>88210</v>
      </c>
      <c r="H17481" s="49">
        <f t="shared" si="2"/>
        <v>88093</v>
      </c>
    </row>
    <row r="17482">
      <c r="A17482" s="48" t="s">
        <v>5894</v>
      </c>
      <c r="B17482" s="38">
        <v>69055.0</v>
      </c>
      <c r="C17482" s="38" t="s">
        <v>21900</v>
      </c>
      <c r="D17482" s="38" t="str">
        <f>IFERROR(__xludf.DUMMYFUNCTION("REGEXREPLACE(C17482,""-\d+(.*)|--\d+(.*)"","""")"),"LES CHERES")</f>
        <v>LES CHERES</v>
      </c>
      <c r="E17482" s="38" t="s">
        <v>350</v>
      </c>
      <c r="F17482" s="38" t="s">
        <v>102</v>
      </c>
      <c r="G17482" s="49" t="str">
        <f t="shared" si="1"/>
        <v>69380</v>
      </c>
      <c r="H17482" s="49">
        <f t="shared" si="2"/>
        <v>69055</v>
      </c>
    </row>
    <row r="17483">
      <c r="A17483" s="48" t="s">
        <v>635</v>
      </c>
      <c r="B17483" s="38">
        <v>15043.0</v>
      </c>
      <c r="C17483" s="38" t="s">
        <v>21901</v>
      </c>
      <c r="D17483" s="38" t="str">
        <f>IFERROR(__xludf.DUMMYFUNCTION("REGEXREPLACE(C17483,""-\d+(.*)|--\d+(.*)"","""")"),"CHARMENSAC")</f>
        <v>CHARMENSAC</v>
      </c>
      <c r="E17483" s="38" t="s">
        <v>632</v>
      </c>
      <c r="F17483" s="38" t="s">
        <v>161</v>
      </c>
      <c r="G17483" s="49" t="str">
        <f t="shared" si="1"/>
        <v>15500</v>
      </c>
      <c r="H17483" s="49">
        <f t="shared" si="2"/>
        <v>15043</v>
      </c>
    </row>
    <row r="17484">
      <c r="A17484" s="48" t="s">
        <v>2008</v>
      </c>
      <c r="B17484" s="38">
        <v>46102.0</v>
      </c>
      <c r="C17484" s="38" t="s">
        <v>21902</v>
      </c>
      <c r="D17484" s="38" t="str">
        <f>IFERROR(__xludf.DUMMYFUNCTION("REGEXREPLACE(C17484,""-\d+(.*)|--\d+(.*)"","""")"),"FIGEAC")</f>
        <v>FIGEAC</v>
      </c>
      <c r="E17484" s="38" t="s">
        <v>185</v>
      </c>
      <c r="F17484" s="38" t="s">
        <v>94</v>
      </c>
      <c r="G17484" s="49" t="str">
        <f t="shared" si="1"/>
        <v>46100</v>
      </c>
      <c r="H17484" s="49">
        <f t="shared" si="2"/>
        <v>46102</v>
      </c>
    </row>
    <row r="17485">
      <c r="A17485" s="48" t="s">
        <v>2820</v>
      </c>
      <c r="B17485" s="38">
        <v>2643.0</v>
      </c>
      <c r="C17485" s="38" t="s">
        <v>21903</v>
      </c>
      <c r="D17485" s="38" t="str">
        <f>IFERROR(__xludf.DUMMYFUNCTION("REGEXREPLACE(C17485,""-\d+(.*)|--\d+(.*)"","""")"),"RESSONS-LE-LONG")</f>
        <v>RESSONS-LE-LONG</v>
      </c>
      <c r="E17485" s="38" t="s">
        <v>191</v>
      </c>
      <c r="F17485" s="38" t="s">
        <v>113</v>
      </c>
      <c r="G17485" s="49" t="str">
        <f t="shared" si="1"/>
        <v>02290</v>
      </c>
      <c r="H17485" s="49" t="str">
        <f t="shared" si="2"/>
        <v>02643</v>
      </c>
    </row>
    <row r="17486">
      <c r="A17486" s="48" t="s">
        <v>83</v>
      </c>
      <c r="B17486" s="38">
        <v>59295.0</v>
      </c>
      <c r="C17486" s="38" t="s">
        <v>21904</v>
      </c>
      <c r="D17486" s="38" t="str">
        <f>IFERROR(__xludf.DUMMYFUNCTION("REGEXREPLACE(C17486,""-\d+(.*)|--\d+(.*)"","""")"),"HAZEBROUCK")</f>
        <v>HAZEBROUCK</v>
      </c>
      <c r="E17486" s="38" t="s">
        <v>85</v>
      </c>
      <c r="F17486" s="38" t="s">
        <v>86</v>
      </c>
      <c r="G17486" s="49" t="str">
        <f t="shared" si="1"/>
        <v>59190</v>
      </c>
      <c r="H17486" s="49">
        <f t="shared" si="2"/>
        <v>59295</v>
      </c>
    </row>
    <row r="17487">
      <c r="A17487" s="48" t="s">
        <v>21905</v>
      </c>
      <c r="B17487" s="38">
        <v>68195.0</v>
      </c>
      <c r="C17487" s="38" t="s">
        <v>21906</v>
      </c>
      <c r="D17487" s="38" t="str">
        <f>IFERROR(__xludf.DUMMYFUNCTION("REGEXREPLACE(C17487,""-\d+(.*)|--\d+(.*)"","""")"),"LUTTERBACH")</f>
        <v>LUTTERBACH</v>
      </c>
      <c r="E17487" s="38" t="s">
        <v>150</v>
      </c>
      <c r="F17487" s="38" t="s">
        <v>151</v>
      </c>
      <c r="G17487" s="49" t="str">
        <f t="shared" si="1"/>
        <v>68460</v>
      </c>
      <c r="H17487" s="49">
        <f t="shared" si="2"/>
        <v>68195</v>
      </c>
    </row>
    <row r="17488">
      <c r="A17488" s="48" t="s">
        <v>13097</v>
      </c>
      <c r="B17488" s="38">
        <v>40008.0</v>
      </c>
      <c r="C17488" s="38" t="s">
        <v>21907</v>
      </c>
      <c r="D17488" s="38" t="str">
        <f>IFERROR(__xludf.DUMMYFUNCTION("REGEXREPLACE(C17488,""-\d+(.*)|--\d+(.*)"","""")"),"ARGELOUSE")</f>
        <v>ARGELOUSE</v>
      </c>
      <c r="E17488" s="38" t="s">
        <v>281</v>
      </c>
      <c r="F17488" s="38" t="s">
        <v>252</v>
      </c>
      <c r="G17488" s="49" t="str">
        <f t="shared" si="1"/>
        <v>40430</v>
      </c>
      <c r="H17488" s="49">
        <f t="shared" si="2"/>
        <v>40008</v>
      </c>
    </row>
    <row r="17489">
      <c r="A17489" s="48" t="s">
        <v>3165</v>
      </c>
      <c r="B17489" s="38">
        <v>11075.0</v>
      </c>
      <c r="C17489" s="38" t="s">
        <v>21908</v>
      </c>
      <c r="D17489" s="38" t="str">
        <f>IFERROR(__xludf.DUMMYFUNCTION("REGEXREPLACE(C17489,""-\d+(.*)|--\d+(.*)"","""")"),"CASTANS")</f>
        <v>CASTANS</v>
      </c>
      <c r="E17489" s="38" t="s">
        <v>278</v>
      </c>
      <c r="F17489" s="38" t="s">
        <v>119</v>
      </c>
      <c r="G17489" s="49" t="str">
        <f t="shared" si="1"/>
        <v>11160</v>
      </c>
      <c r="H17489" s="49">
        <f t="shared" si="2"/>
        <v>11075</v>
      </c>
    </row>
    <row r="17490">
      <c r="A17490" s="48" t="s">
        <v>3293</v>
      </c>
      <c r="B17490" s="38">
        <v>73031.0</v>
      </c>
      <c r="C17490" s="38" t="s">
        <v>21909</v>
      </c>
      <c r="D17490" s="38" t="str">
        <f>IFERROR(__xludf.DUMMYFUNCTION("REGEXREPLACE(C17490,""-\d+(.*)|--\d+(.*)"","""")"),"BASSENS")</f>
        <v>BASSENS</v>
      </c>
      <c r="E17490" s="38" t="s">
        <v>306</v>
      </c>
      <c r="F17490" s="38" t="s">
        <v>102</v>
      </c>
      <c r="G17490" s="49" t="str">
        <f t="shared" si="1"/>
        <v>73000</v>
      </c>
      <c r="H17490" s="49">
        <f t="shared" si="2"/>
        <v>73031</v>
      </c>
    </row>
    <row r="17491">
      <c r="A17491" s="48" t="s">
        <v>10564</v>
      </c>
      <c r="B17491" s="38">
        <v>56176.0</v>
      </c>
      <c r="C17491" s="38" t="s">
        <v>21910</v>
      </c>
      <c r="D17491" s="38" t="str">
        <f>IFERROR(__xludf.DUMMYFUNCTION("REGEXREPLACE(C17491,""-\d+(.*)|--\d+(.*)"","""")"),"PLUNERET")</f>
        <v>PLUNERET</v>
      </c>
      <c r="E17491" s="38" t="s">
        <v>173</v>
      </c>
      <c r="F17491" s="38" t="s">
        <v>90</v>
      </c>
      <c r="G17491" s="49" t="str">
        <f t="shared" si="1"/>
        <v>56400</v>
      </c>
      <c r="H17491" s="49">
        <f t="shared" si="2"/>
        <v>56176</v>
      </c>
    </row>
    <row r="17492">
      <c r="A17492" s="48" t="s">
        <v>2893</v>
      </c>
      <c r="B17492" s="38">
        <v>27507.0</v>
      </c>
      <c r="C17492" s="38" t="s">
        <v>21911</v>
      </c>
      <c r="D17492" s="38" t="str">
        <f>IFERROR(__xludf.DUMMYFUNCTION("REGEXREPLACE(C17492,""-\d+(.*)|--\d+(.*)"","""")"),"SAINT-ANDRE-DE-L'EURE")</f>
        <v>SAINT-ANDRE-DE-L'EURE</v>
      </c>
      <c r="E17492" s="38" t="s">
        <v>241</v>
      </c>
      <c r="F17492" s="38" t="s">
        <v>134</v>
      </c>
      <c r="G17492" s="49" t="str">
        <f t="shared" si="1"/>
        <v>27220</v>
      </c>
      <c r="H17492" s="49">
        <f t="shared" si="2"/>
        <v>27507</v>
      </c>
    </row>
    <row r="17493">
      <c r="A17493" s="48" t="s">
        <v>7012</v>
      </c>
      <c r="B17493" s="38">
        <v>68323.0</v>
      </c>
      <c r="C17493" s="38" t="s">
        <v>21912</v>
      </c>
      <c r="D17493" s="38" t="str">
        <f>IFERROR(__xludf.DUMMYFUNCTION("REGEXREPLACE(C17493,""-\d+(.*)|--\d+(.*)"","""")"),"STEINBRUNN-LE-BAS")</f>
        <v>STEINBRUNN-LE-BAS</v>
      </c>
      <c r="E17493" s="38" t="s">
        <v>150</v>
      </c>
      <c r="F17493" s="38" t="s">
        <v>151</v>
      </c>
      <c r="G17493" s="49" t="str">
        <f t="shared" si="1"/>
        <v>68440</v>
      </c>
      <c r="H17493" s="49">
        <f t="shared" si="2"/>
        <v>68323</v>
      </c>
    </row>
    <row r="17494">
      <c r="A17494" s="48" t="s">
        <v>1178</v>
      </c>
      <c r="B17494" s="38">
        <v>1259.0</v>
      </c>
      <c r="C17494" s="38" t="s">
        <v>21913</v>
      </c>
      <c r="D17494" s="38" t="str">
        <f>IFERROR(__xludf.DUMMYFUNCTION("REGEXREPLACE(C17494,""-\d+(.*)|--\d+(.*)"","""")"),"MONTCET")</f>
        <v>MONTCET</v>
      </c>
      <c r="E17494" s="38" t="s">
        <v>255</v>
      </c>
      <c r="F17494" s="38" t="s">
        <v>102</v>
      </c>
      <c r="G17494" s="49" t="str">
        <f t="shared" si="1"/>
        <v>01310</v>
      </c>
      <c r="H17494" s="49" t="str">
        <f t="shared" si="2"/>
        <v>01259</v>
      </c>
    </row>
    <row r="17495">
      <c r="A17495" s="48" t="s">
        <v>3137</v>
      </c>
      <c r="B17495" s="38">
        <v>67116.0</v>
      </c>
      <c r="C17495" s="38" t="s">
        <v>21914</v>
      </c>
      <c r="D17495" s="38" t="str">
        <f>IFERROR(__xludf.DUMMYFUNCTION("REGEXREPLACE(C17495,""-\d+(.*)|--\d+(.*)"","""")"),"EBERSMUNSTER")</f>
        <v>EBERSMUNSTER</v>
      </c>
      <c r="E17495" s="38" t="s">
        <v>210</v>
      </c>
      <c r="F17495" s="38" t="s">
        <v>151</v>
      </c>
      <c r="G17495" s="49" t="str">
        <f t="shared" si="1"/>
        <v>67600</v>
      </c>
      <c r="H17495" s="49">
        <f t="shared" si="2"/>
        <v>67116</v>
      </c>
    </row>
    <row r="17496">
      <c r="A17496" s="48" t="s">
        <v>18533</v>
      </c>
      <c r="B17496" s="38">
        <v>77465.0</v>
      </c>
      <c r="C17496" s="38" t="s">
        <v>21915</v>
      </c>
      <c r="D17496" s="38" t="str">
        <f>IFERROR(__xludf.DUMMYFUNCTION("REGEXREPLACE(C17496,""-\d+(.*)|--\d+(.*)"","""")"),"THOURY-FEROTTES")</f>
        <v>THOURY-FEROTTES</v>
      </c>
      <c r="E17496" s="38" t="s">
        <v>244</v>
      </c>
      <c r="F17496" s="38" t="s">
        <v>245</v>
      </c>
      <c r="G17496" s="49" t="str">
        <f t="shared" si="1"/>
        <v>77940</v>
      </c>
      <c r="H17496" s="49">
        <f t="shared" si="2"/>
        <v>77465</v>
      </c>
    </row>
    <row r="17497">
      <c r="A17497" s="48" t="s">
        <v>8424</v>
      </c>
      <c r="B17497" s="38">
        <v>47071.0</v>
      </c>
      <c r="C17497" s="38" t="s">
        <v>21916</v>
      </c>
      <c r="D17497" s="38" t="str">
        <f>IFERROR(__xludf.DUMMYFUNCTION("REGEXREPLACE(C17497,""-\d+(.*)|--\d+(.*)"","""")"),"COULX")</f>
        <v>COULX</v>
      </c>
      <c r="E17497" s="38" t="s">
        <v>251</v>
      </c>
      <c r="F17497" s="38" t="s">
        <v>252</v>
      </c>
      <c r="G17497" s="49" t="str">
        <f t="shared" si="1"/>
        <v>47260</v>
      </c>
      <c r="H17497" s="49">
        <f t="shared" si="2"/>
        <v>47071</v>
      </c>
    </row>
    <row r="17498">
      <c r="A17498" s="48" t="s">
        <v>3311</v>
      </c>
      <c r="B17498" s="38">
        <v>19007.0</v>
      </c>
      <c r="C17498" s="38" t="s">
        <v>21917</v>
      </c>
      <c r="D17498" s="38" t="str">
        <f>IFERROR(__xludf.DUMMYFUNCTION("REGEXREPLACE(C17498,""-\d+(.*)|--\d+(.*)"","""")"),"ALTILLAC")</f>
        <v>ALTILLAC</v>
      </c>
      <c r="E17498" s="38" t="s">
        <v>271</v>
      </c>
      <c r="F17498" s="38" t="s">
        <v>98</v>
      </c>
      <c r="G17498" s="49" t="str">
        <f t="shared" si="1"/>
        <v>19120</v>
      </c>
      <c r="H17498" s="49">
        <f t="shared" si="2"/>
        <v>19007</v>
      </c>
    </row>
    <row r="17499">
      <c r="A17499" s="48" t="s">
        <v>7736</v>
      </c>
      <c r="B17499" s="38">
        <v>11146.0</v>
      </c>
      <c r="C17499" s="38" t="s">
        <v>21918</v>
      </c>
      <c r="D17499" s="38" t="str">
        <f>IFERROR(__xludf.DUMMYFUNCTION("REGEXREPLACE(C17499,""-\d+(.*)|--\d+(.*)"","""")"),"FLOURE")</f>
        <v>FLOURE</v>
      </c>
      <c r="E17499" s="38" t="s">
        <v>278</v>
      </c>
      <c r="F17499" s="38" t="s">
        <v>119</v>
      </c>
      <c r="G17499" s="49" t="str">
        <f t="shared" si="1"/>
        <v>11800</v>
      </c>
      <c r="H17499" s="49">
        <f t="shared" si="2"/>
        <v>11146</v>
      </c>
    </row>
    <row r="17500">
      <c r="A17500" s="48" t="s">
        <v>21919</v>
      </c>
      <c r="B17500" s="38">
        <v>78224.0</v>
      </c>
      <c r="C17500" s="38" t="s">
        <v>21920</v>
      </c>
      <c r="D17500" s="38" t="str">
        <f>IFERROR(__xludf.DUMMYFUNCTION("REGEXREPLACE(C17500,""-\d+(.*)|--\d+(.*)"","""")"),"L'ETANG-LA-VILLE")</f>
        <v>L'ETANG-LA-VILLE</v>
      </c>
      <c r="E17500" s="38" t="s">
        <v>362</v>
      </c>
      <c r="F17500" s="38" t="s">
        <v>245</v>
      </c>
      <c r="G17500" s="49" t="str">
        <f t="shared" si="1"/>
        <v>78620</v>
      </c>
      <c r="H17500" s="49">
        <f t="shared" si="2"/>
        <v>78224</v>
      </c>
    </row>
    <row r="17501">
      <c r="A17501" s="48" t="s">
        <v>1428</v>
      </c>
      <c r="B17501" s="38">
        <v>31378.0</v>
      </c>
      <c r="C17501" s="38" t="s">
        <v>21921</v>
      </c>
      <c r="D17501" s="38" t="str">
        <f>IFERROR(__xludf.DUMMYFUNCTION("REGEXREPLACE(C17501,""-\d+(.*)|--\d+(.*)"","""")"),"MONTGAILLARD-SUR-SAVE")</f>
        <v>MONTGAILLARD-SUR-SAVE</v>
      </c>
      <c r="E17501" s="38" t="s">
        <v>93</v>
      </c>
      <c r="F17501" s="38" t="s">
        <v>94</v>
      </c>
      <c r="G17501" s="49" t="str">
        <f t="shared" si="1"/>
        <v>31350</v>
      </c>
      <c r="H17501" s="49">
        <f t="shared" si="2"/>
        <v>31378</v>
      </c>
    </row>
    <row r="17502">
      <c r="A17502" s="48" t="s">
        <v>394</v>
      </c>
      <c r="B17502" s="38">
        <v>41081.0</v>
      </c>
      <c r="C17502" s="38" t="s">
        <v>21922</v>
      </c>
      <c r="D17502" s="38" t="str">
        <f>IFERROR(__xludf.DUMMYFUNCTION("REGEXREPLACE(C17502,""-\d+(.*)|--\d+(.*)"","""")"),"FAYE")</f>
        <v>FAYE</v>
      </c>
      <c r="E17502" s="38" t="s">
        <v>188</v>
      </c>
      <c r="F17502" s="38" t="s">
        <v>123</v>
      </c>
      <c r="G17502" s="49" t="str">
        <f t="shared" si="1"/>
        <v>41100</v>
      </c>
      <c r="H17502" s="49">
        <f t="shared" si="2"/>
        <v>41081</v>
      </c>
    </row>
    <row r="17503">
      <c r="A17503" s="48" t="s">
        <v>201</v>
      </c>
      <c r="B17503" s="38">
        <v>2399.0</v>
      </c>
      <c r="C17503" s="38" t="s">
        <v>21923</v>
      </c>
      <c r="D17503" s="38" t="str">
        <f>IFERROR(__xludf.DUMMYFUNCTION("REGEXREPLACE(C17503,""-\d+(.*)|--\d+(.*)"","""")"),"JUVINCOURT-ET-DAMARY")</f>
        <v>JUVINCOURT-ET-DAMARY</v>
      </c>
      <c r="E17503" s="38" t="s">
        <v>191</v>
      </c>
      <c r="F17503" s="38" t="s">
        <v>113</v>
      </c>
      <c r="G17503" s="49" t="str">
        <f t="shared" si="1"/>
        <v>02190</v>
      </c>
      <c r="H17503" s="49" t="str">
        <f t="shared" si="2"/>
        <v>02399</v>
      </c>
    </row>
    <row r="17504">
      <c r="A17504" s="48" t="s">
        <v>1186</v>
      </c>
      <c r="B17504" s="38">
        <v>16344.0</v>
      </c>
      <c r="C17504" s="38" t="s">
        <v>21924</v>
      </c>
      <c r="D17504" s="38" t="str">
        <f>IFERROR(__xludf.DUMMYFUNCTION("REGEXREPLACE(C17504,""-\d+(.*)|--\d+(.*)"","""")"),"SAINT-PROJET-SAINT-CONSTANT")</f>
        <v>SAINT-PROJET-SAINT-CONSTANT</v>
      </c>
      <c r="E17504" s="38" t="s">
        <v>429</v>
      </c>
      <c r="F17504" s="38" t="s">
        <v>338</v>
      </c>
      <c r="G17504" s="49" t="str">
        <f t="shared" si="1"/>
        <v>16110</v>
      </c>
      <c r="H17504" s="49">
        <f t="shared" si="2"/>
        <v>16344</v>
      </c>
    </row>
    <row r="17505">
      <c r="A17505" s="48" t="s">
        <v>16125</v>
      </c>
      <c r="B17505" s="38">
        <v>35195.0</v>
      </c>
      <c r="C17505" s="38" t="s">
        <v>21925</v>
      </c>
      <c r="D17505" s="38" t="str">
        <f>IFERROR(__xludf.DUMMYFUNCTION("REGEXREPLACE(C17505,""-\d+(.*)|--\d+(.*)"","""")"),"MONTREUIL-SUR-ILLE")</f>
        <v>MONTREUIL-SUR-ILLE</v>
      </c>
      <c r="E17505" s="38" t="s">
        <v>347</v>
      </c>
      <c r="F17505" s="38" t="s">
        <v>90</v>
      </c>
      <c r="G17505" s="49" t="str">
        <f t="shared" si="1"/>
        <v>35440</v>
      </c>
      <c r="H17505" s="49">
        <f t="shared" si="2"/>
        <v>35195</v>
      </c>
    </row>
    <row r="17506">
      <c r="A17506" s="48" t="s">
        <v>4880</v>
      </c>
      <c r="B17506" s="38">
        <v>89279.0</v>
      </c>
      <c r="C17506" s="38" t="s">
        <v>21926</v>
      </c>
      <c r="D17506" s="38" t="str">
        <f>IFERROR(__xludf.DUMMYFUNCTION("REGEXREPLACE(C17506,""-\d+(.*)|--\d+(.*)"","""")"),"NOYERS")</f>
        <v>NOYERS</v>
      </c>
      <c r="E17506" s="38" t="s">
        <v>275</v>
      </c>
      <c r="F17506" s="38" t="s">
        <v>106</v>
      </c>
      <c r="G17506" s="49" t="str">
        <f t="shared" si="1"/>
        <v>89310</v>
      </c>
      <c r="H17506" s="49">
        <f t="shared" si="2"/>
        <v>89279</v>
      </c>
    </row>
    <row r="17507">
      <c r="A17507" s="48" t="s">
        <v>4596</v>
      </c>
      <c r="B17507" s="38">
        <v>2119.0</v>
      </c>
      <c r="C17507" s="38" t="s">
        <v>21927</v>
      </c>
      <c r="D17507" s="38" t="str">
        <f>IFERROR(__xludf.DUMMYFUNCTION("REGEXREPLACE(C17507,""-\d+(.*)|--\d+(.*)"","""")"),"BRECY")</f>
        <v>BRECY</v>
      </c>
      <c r="E17507" s="38" t="s">
        <v>191</v>
      </c>
      <c r="F17507" s="38" t="s">
        <v>113</v>
      </c>
      <c r="G17507" s="49" t="str">
        <f t="shared" si="1"/>
        <v>02210</v>
      </c>
      <c r="H17507" s="49" t="str">
        <f t="shared" si="2"/>
        <v>02119</v>
      </c>
    </row>
    <row r="17508">
      <c r="A17508" s="48" t="s">
        <v>10552</v>
      </c>
      <c r="B17508" s="38">
        <v>22167.0</v>
      </c>
      <c r="C17508" s="38" t="s">
        <v>21928</v>
      </c>
      <c r="D17508" s="38" t="str">
        <f>IFERROR(__xludf.DUMMYFUNCTION("REGEXREPLACE(C17508,""-\d+(.*)|--\d+(.*)"","""")"),"PERRET")</f>
        <v>PERRET</v>
      </c>
      <c r="E17508" s="38" t="s">
        <v>89</v>
      </c>
      <c r="F17508" s="38" t="s">
        <v>90</v>
      </c>
      <c r="G17508" s="49" t="str">
        <f t="shared" si="1"/>
        <v>22570</v>
      </c>
      <c r="H17508" s="49">
        <f t="shared" si="2"/>
        <v>22167</v>
      </c>
    </row>
    <row r="17509">
      <c r="A17509" s="48" t="s">
        <v>7435</v>
      </c>
      <c r="B17509" s="38">
        <v>52121.0</v>
      </c>
      <c r="C17509" s="38" t="s">
        <v>3369</v>
      </c>
      <c r="D17509" s="38" t="str">
        <f>IFERROR(__xludf.DUMMYFUNCTION("REGEXREPLACE(C17509,""-\d+(.*)|--\d+(.*)"","""")"),"CHAUMONT")</f>
        <v>CHAUMONT</v>
      </c>
      <c r="E17509" s="38" t="s">
        <v>234</v>
      </c>
      <c r="F17509" s="38" t="s">
        <v>130</v>
      </c>
      <c r="G17509" s="49" t="str">
        <f t="shared" si="1"/>
        <v>52000</v>
      </c>
      <c r="H17509" s="49">
        <f t="shared" si="2"/>
        <v>52121</v>
      </c>
    </row>
    <row r="17510">
      <c r="A17510" s="48" t="s">
        <v>21929</v>
      </c>
      <c r="B17510" s="38">
        <v>4045.0</v>
      </c>
      <c r="C17510" s="38" t="s">
        <v>21930</v>
      </c>
      <c r="D17510" s="38" t="str">
        <f>IFERROR(__xludf.DUMMYFUNCTION("REGEXREPLACE(C17510,""-\d+(.*)|--\d+(.*)"","""")"),"CERESTE")</f>
        <v>CERESTE</v>
      </c>
      <c r="E17510" s="38" t="s">
        <v>662</v>
      </c>
      <c r="F17510" s="38" t="s">
        <v>228</v>
      </c>
      <c r="G17510" s="49" t="str">
        <f t="shared" si="1"/>
        <v>04280</v>
      </c>
      <c r="H17510" s="49" t="str">
        <f t="shared" si="2"/>
        <v>04045</v>
      </c>
    </row>
    <row r="17511">
      <c r="A17511" s="48" t="s">
        <v>3925</v>
      </c>
      <c r="B17511" s="38">
        <v>41094.0</v>
      </c>
      <c r="C17511" s="38" t="s">
        <v>1767</v>
      </c>
      <c r="D17511" s="38" t="str">
        <f>IFERROR(__xludf.DUMMYFUNCTION("REGEXREPLACE(C17511,""-\d+(.*)|--\d+(.*)"","""")"),"FRESNES")</f>
        <v>FRESNES</v>
      </c>
      <c r="E17511" s="38" t="s">
        <v>188</v>
      </c>
      <c r="F17511" s="38" t="s">
        <v>123</v>
      </c>
      <c r="G17511" s="49" t="str">
        <f t="shared" si="1"/>
        <v>41700</v>
      </c>
      <c r="H17511" s="49">
        <f t="shared" si="2"/>
        <v>41094</v>
      </c>
    </row>
    <row r="17512">
      <c r="A17512" s="48" t="s">
        <v>447</v>
      </c>
      <c r="B17512" s="38">
        <v>88174.0</v>
      </c>
      <c r="C17512" s="38" t="s">
        <v>21931</v>
      </c>
      <c r="D17512" s="38" t="str">
        <f>IFERROR(__xludf.DUMMYFUNCTION("REGEXREPLACE(C17512,""-\d+(.*)|--\d+(.*)"","""")"),"FOMEREY")</f>
        <v>FOMEREY</v>
      </c>
      <c r="E17512" s="38" t="s">
        <v>194</v>
      </c>
      <c r="F17512" s="38" t="s">
        <v>195</v>
      </c>
      <c r="G17512" s="49" t="str">
        <f t="shared" si="1"/>
        <v>88390</v>
      </c>
      <c r="H17512" s="49">
        <f t="shared" si="2"/>
        <v>88174</v>
      </c>
    </row>
    <row r="17513">
      <c r="A17513" s="48" t="s">
        <v>1574</v>
      </c>
      <c r="B17513" s="38">
        <v>10383.0</v>
      </c>
      <c r="C17513" s="38" t="s">
        <v>21932</v>
      </c>
      <c r="D17513" s="38" t="str">
        <f>IFERROR(__xludf.DUMMYFUNCTION("REGEXREPLACE(C17513,""-\d+(.*)|--\d+(.*)"","""")"),"TRANCAULT")</f>
        <v>TRANCAULT</v>
      </c>
      <c r="E17513" s="38" t="s">
        <v>147</v>
      </c>
      <c r="F17513" s="38" t="s">
        <v>130</v>
      </c>
      <c r="G17513" s="49" t="str">
        <f t="shared" si="1"/>
        <v>10290</v>
      </c>
      <c r="H17513" s="49">
        <f t="shared" si="2"/>
        <v>10383</v>
      </c>
    </row>
    <row r="17514">
      <c r="A17514" s="48" t="s">
        <v>7804</v>
      </c>
      <c r="B17514" s="38">
        <v>51376.0</v>
      </c>
      <c r="C17514" s="38" t="s">
        <v>21933</v>
      </c>
      <c r="D17514" s="38" t="str">
        <f>IFERROR(__xludf.DUMMYFUNCTION("REGEXREPLACE(C17514,""-\d+(.*)|--\d+(.*)"","""")"),"MONTGENOST")</f>
        <v>MONTGENOST</v>
      </c>
      <c r="E17514" s="38" t="s">
        <v>129</v>
      </c>
      <c r="F17514" s="38" t="s">
        <v>130</v>
      </c>
      <c r="G17514" s="49" t="str">
        <f t="shared" si="1"/>
        <v>51260</v>
      </c>
      <c r="H17514" s="49">
        <f t="shared" si="2"/>
        <v>51376</v>
      </c>
    </row>
    <row r="17515">
      <c r="A17515" s="48" t="s">
        <v>1415</v>
      </c>
      <c r="B17515" s="38">
        <v>5130.0</v>
      </c>
      <c r="C17515" s="38" t="s">
        <v>14429</v>
      </c>
      <c r="D17515" s="38" t="str">
        <f>IFERROR(__xludf.DUMMYFUNCTION("REGEXREPLACE(C17515,""-\d+(.*)|--\d+(.*)"","""")"),"SAINT-APOLLINAIRE")</f>
        <v>SAINT-APOLLINAIRE</v>
      </c>
      <c r="E17515" s="38" t="s">
        <v>706</v>
      </c>
      <c r="F17515" s="38" t="s">
        <v>228</v>
      </c>
      <c r="G17515" s="49" t="str">
        <f t="shared" si="1"/>
        <v>05160</v>
      </c>
      <c r="H17515" s="49" t="str">
        <f t="shared" si="2"/>
        <v>05130</v>
      </c>
    </row>
    <row r="17516">
      <c r="A17516" s="48" t="s">
        <v>10327</v>
      </c>
      <c r="B17516" s="38">
        <v>57751.0</v>
      </c>
      <c r="C17516" s="38" t="s">
        <v>21934</v>
      </c>
      <c r="D17516" s="38" t="str">
        <f>IFERROR(__xludf.DUMMYFUNCTION("REGEXREPLACE(C17516,""-\d+(.*)|--\d+(.*)"","""")"),"WOIPPY")</f>
        <v>WOIPPY</v>
      </c>
      <c r="E17516" s="38" t="s">
        <v>303</v>
      </c>
      <c r="F17516" s="38" t="s">
        <v>195</v>
      </c>
      <c r="G17516" s="49" t="str">
        <f t="shared" si="1"/>
        <v>57140</v>
      </c>
      <c r="H17516" s="49">
        <f t="shared" si="2"/>
        <v>57751</v>
      </c>
    </row>
    <row r="17517">
      <c r="A17517" s="48" t="s">
        <v>2274</v>
      </c>
      <c r="B17517" s="38">
        <v>48151.0</v>
      </c>
      <c r="C17517" s="38" t="s">
        <v>21935</v>
      </c>
      <c r="D17517" s="38" t="str">
        <f>IFERROR(__xludf.DUMMYFUNCTION("REGEXREPLACE(C17517,""-\d+(.*)|--\d+(.*)"","""")"),"SAINT-FREZAL-D'ALBUGES")</f>
        <v>SAINT-FREZAL-D'ALBUGES</v>
      </c>
      <c r="E17517" s="38" t="s">
        <v>154</v>
      </c>
      <c r="F17517" s="38" t="s">
        <v>119</v>
      </c>
      <c r="G17517" s="49" t="str">
        <f t="shared" si="1"/>
        <v>48170</v>
      </c>
      <c r="H17517" s="49">
        <f t="shared" si="2"/>
        <v>48151</v>
      </c>
    </row>
    <row r="17518">
      <c r="A17518" s="48" t="s">
        <v>1027</v>
      </c>
      <c r="B17518" s="38">
        <v>1239.0</v>
      </c>
      <c r="C17518" s="38" t="s">
        <v>21936</v>
      </c>
      <c r="D17518" s="38" t="str">
        <f>IFERROR(__xludf.DUMMYFUNCTION("REGEXREPLACE(C17518,""-\d+(.*)|--\d+(.*)"","""")"),"MASSIGNIEU-DE-RIVES")</f>
        <v>MASSIGNIEU-DE-RIVES</v>
      </c>
      <c r="E17518" s="38" t="s">
        <v>255</v>
      </c>
      <c r="F17518" s="38" t="s">
        <v>102</v>
      </c>
      <c r="G17518" s="49" t="str">
        <f t="shared" si="1"/>
        <v>01300</v>
      </c>
      <c r="H17518" s="49" t="str">
        <f t="shared" si="2"/>
        <v>01239</v>
      </c>
    </row>
    <row r="17519">
      <c r="A17519" s="48" t="s">
        <v>1552</v>
      </c>
      <c r="B17519" s="38">
        <v>53075.0</v>
      </c>
      <c r="C17519" s="38" t="s">
        <v>21937</v>
      </c>
      <c r="D17519" s="38" t="str">
        <f>IFERROR(__xludf.DUMMYFUNCTION("REGEXREPLACE(C17519,""-\d+(.*)|--\d+(.*)"","""")"),"COSMES")</f>
        <v>COSMES</v>
      </c>
      <c r="E17519" s="38" t="s">
        <v>518</v>
      </c>
      <c r="F17519" s="38" t="s">
        <v>180</v>
      </c>
      <c r="G17519" s="49" t="str">
        <f t="shared" si="1"/>
        <v>53230</v>
      </c>
      <c r="H17519" s="49">
        <f t="shared" si="2"/>
        <v>53075</v>
      </c>
    </row>
    <row r="17520">
      <c r="A17520" s="48" t="s">
        <v>6261</v>
      </c>
      <c r="B17520" s="38">
        <v>76716.0</v>
      </c>
      <c r="C17520" s="38" t="s">
        <v>21938</v>
      </c>
      <c r="D17520" s="38" t="str">
        <f>IFERROR(__xludf.DUMMYFUNCTION("REGEXREPLACE(C17520,""-\d+(.*)|--\d+(.*)"","""")"),"TURRETOT")</f>
        <v>TURRETOT</v>
      </c>
      <c r="E17520" s="38" t="s">
        <v>133</v>
      </c>
      <c r="F17520" s="38" t="s">
        <v>134</v>
      </c>
      <c r="G17520" s="49" t="str">
        <f t="shared" si="1"/>
        <v>76280</v>
      </c>
      <c r="H17520" s="49">
        <f t="shared" si="2"/>
        <v>76716</v>
      </c>
    </row>
    <row r="17521">
      <c r="A17521" s="48" t="s">
        <v>3702</v>
      </c>
      <c r="B17521" s="38">
        <v>77534.0</v>
      </c>
      <c r="C17521" s="38" t="s">
        <v>21939</v>
      </c>
      <c r="D17521" s="38" t="str">
        <f>IFERROR(__xludf.DUMMYFUNCTION("REGEXREPLACE(C17521,""-\d+(.*)|--\d+(.*)"","""")"),"YEBLES")</f>
        <v>YEBLES</v>
      </c>
      <c r="E17521" s="38" t="s">
        <v>244</v>
      </c>
      <c r="F17521" s="38" t="s">
        <v>245</v>
      </c>
      <c r="G17521" s="49" t="str">
        <f t="shared" si="1"/>
        <v>77390</v>
      </c>
      <c r="H17521" s="49">
        <f t="shared" si="2"/>
        <v>77534</v>
      </c>
    </row>
    <row r="17522">
      <c r="A17522" s="48" t="s">
        <v>2455</v>
      </c>
      <c r="B17522" s="38">
        <v>73054.0</v>
      </c>
      <c r="C17522" s="38" t="s">
        <v>21940</v>
      </c>
      <c r="D17522" s="38" t="str">
        <f>IFERROR(__xludf.DUMMYFUNCTION("REGEXREPLACE(C17522,""-\d+(.*)|--\d+(.*)"","""")"),"BOURG-SAINT-MAURICE")</f>
        <v>BOURG-SAINT-MAURICE</v>
      </c>
      <c r="E17522" s="38" t="s">
        <v>306</v>
      </c>
      <c r="F17522" s="38" t="s">
        <v>102</v>
      </c>
      <c r="G17522" s="49" t="str">
        <f t="shared" si="1"/>
        <v>73700</v>
      </c>
      <c r="H17522" s="49">
        <f t="shared" si="2"/>
        <v>73054</v>
      </c>
    </row>
    <row r="17523">
      <c r="A17523" s="48" t="s">
        <v>3675</v>
      </c>
      <c r="B17523" s="38">
        <v>58237.0</v>
      </c>
      <c r="C17523" s="38" t="s">
        <v>3049</v>
      </c>
      <c r="D17523" s="38" t="str">
        <f>IFERROR(__xludf.DUMMYFUNCTION("REGEXREPLACE(C17523,""-\d+(.*)|--\d+(.*)"","""")"),"SAINT-DIDIER")</f>
        <v>SAINT-DIDIER</v>
      </c>
      <c r="E17523" s="38" t="s">
        <v>219</v>
      </c>
      <c r="F17523" s="38" t="s">
        <v>106</v>
      </c>
      <c r="G17523" s="49" t="str">
        <f t="shared" si="1"/>
        <v>58190</v>
      </c>
      <c r="H17523" s="49">
        <f t="shared" si="2"/>
        <v>58237</v>
      </c>
    </row>
    <row r="17524">
      <c r="A17524" s="48" t="s">
        <v>476</v>
      </c>
      <c r="B17524" s="38">
        <v>35095.0</v>
      </c>
      <c r="C17524" s="38" t="s">
        <v>21941</v>
      </c>
      <c r="D17524" s="38" t="str">
        <f>IFERROR(__xludf.DUMMYFUNCTION("REGEXREPLACE(C17524,""-\d+(.*)|--\d+(.*)"","""")"),"DOL-DE-BRETAGNE")</f>
        <v>DOL-DE-BRETAGNE</v>
      </c>
      <c r="E17524" s="38" t="s">
        <v>347</v>
      </c>
      <c r="F17524" s="38" t="s">
        <v>90</v>
      </c>
      <c r="G17524" s="49" t="str">
        <f t="shared" si="1"/>
        <v>35120</v>
      </c>
      <c r="H17524" s="49">
        <f t="shared" si="2"/>
        <v>35095</v>
      </c>
    </row>
    <row r="17525">
      <c r="A17525" s="48" t="s">
        <v>5944</v>
      </c>
      <c r="B17525" s="38">
        <v>62356.0</v>
      </c>
      <c r="C17525" s="38" t="s">
        <v>21942</v>
      </c>
      <c r="D17525" s="38" t="str">
        <f>IFERROR(__xludf.DUMMYFUNCTION("REGEXREPLACE(C17525,""-\d+(.*)|--\d+(.*)"","""")"),"FRESNICOURT-LE-DOLMEN")</f>
        <v>FRESNICOURT-LE-DOLMEN</v>
      </c>
      <c r="E17525" s="38" t="s">
        <v>109</v>
      </c>
      <c r="F17525" s="38" t="s">
        <v>86</v>
      </c>
      <c r="G17525" s="49" t="str">
        <f t="shared" si="1"/>
        <v>62150</v>
      </c>
      <c r="H17525" s="49">
        <f t="shared" si="2"/>
        <v>62356</v>
      </c>
    </row>
    <row r="17526">
      <c r="A17526" s="48" t="s">
        <v>5163</v>
      </c>
      <c r="B17526" s="38">
        <v>76546.0</v>
      </c>
      <c r="C17526" s="38" t="s">
        <v>21943</v>
      </c>
      <c r="D17526" s="38" t="str">
        <f>IFERROR(__xludf.DUMMYFUNCTION("REGEXREPLACE(C17526,""-\d+(.*)|--\d+(.*)"","""")"),"ROYVILLE")</f>
        <v>ROYVILLE</v>
      </c>
      <c r="E17526" s="38" t="s">
        <v>133</v>
      </c>
      <c r="F17526" s="38" t="s">
        <v>134</v>
      </c>
      <c r="G17526" s="49" t="str">
        <f t="shared" si="1"/>
        <v>76730</v>
      </c>
      <c r="H17526" s="49">
        <f t="shared" si="2"/>
        <v>76546</v>
      </c>
    </row>
    <row r="17527">
      <c r="A17527" s="48" t="s">
        <v>4445</v>
      </c>
      <c r="B17527" s="38">
        <v>30294.0</v>
      </c>
      <c r="C17527" s="38" t="s">
        <v>21944</v>
      </c>
      <c r="D17527" s="38" t="str">
        <f>IFERROR(__xludf.DUMMYFUNCTION("REGEXREPLACE(C17527,""-\d+(.*)|--\d+(.*)"","""")"),"SAINT-PRIVAT-DES-VIEUX")</f>
        <v>SAINT-PRIVAT-DES-VIEUX</v>
      </c>
      <c r="E17527" s="38" t="s">
        <v>526</v>
      </c>
      <c r="F17527" s="38" t="s">
        <v>119</v>
      </c>
      <c r="G17527" s="49" t="str">
        <f t="shared" si="1"/>
        <v>30340</v>
      </c>
      <c r="H17527" s="49">
        <f t="shared" si="2"/>
        <v>30294</v>
      </c>
    </row>
    <row r="17528">
      <c r="A17528" s="48" t="s">
        <v>1505</v>
      </c>
      <c r="B17528" s="38">
        <v>81299.0</v>
      </c>
      <c r="C17528" s="38" t="s">
        <v>21945</v>
      </c>
      <c r="D17528" s="38" t="str">
        <f>IFERROR(__xludf.DUMMYFUNCTION("REGEXREPLACE(C17528,""-\d+(.*)|--\d+(.*)"","""")"),"TEYSSODE")</f>
        <v>TEYSSODE</v>
      </c>
      <c r="E17528" s="38" t="s">
        <v>231</v>
      </c>
      <c r="F17528" s="38" t="s">
        <v>94</v>
      </c>
      <c r="G17528" s="49" t="str">
        <f t="shared" si="1"/>
        <v>81220</v>
      </c>
      <c r="H17528" s="49">
        <f t="shared" si="2"/>
        <v>81299</v>
      </c>
    </row>
    <row r="17529">
      <c r="A17529" s="48" t="s">
        <v>9536</v>
      </c>
      <c r="B17529" s="38">
        <v>8029.0</v>
      </c>
      <c r="C17529" s="38" t="s">
        <v>21946</v>
      </c>
      <c r="D17529" s="38" t="str">
        <f>IFERROR(__xludf.DUMMYFUNCTION("REGEXREPLACE(C17529,""-\d+(.*)|--\d+(.*)"","""")"),"AUFLANCE")</f>
        <v>AUFLANCE</v>
      </c>
      <c r="E17529" s="38" t="s">
        <v>327</v>
      </c>
      <c r="F17529" s="38" t="s">
        <v>130</v>
      </c>
      <c r="G17529" s="49" t="str">
        <f t="shared" si="1"/>
        <v>08370</v>
      </c>
      <c r="H17529" s="49" t="str">
        <f t="shared" si="2"/>
        <v>08029</v>
      </c>
    </row>
    <row r="17530">
      <c r="A17530" s="48" t="s">
        <v>5325</v>
      </c>
      <c r="B17530" s="38">
        <v>60015.0</v>
      </c>
      <c r="C17530" s="38" t="s">
        <v>21947</v>
      </c>
      <c r="D17530" s="38" t="str">
        <f>IFERROR(__xludf.DUMMYFUNCTION("REGEXREPLACE(C17530,""-\d+(.*)|--\d+(.*)"","""")"),"ANGY")</f>
        <v>ANGY</v>
      </c>
      <c r="E17530" s="38" t="s">
        <v>112</v>
      </c>
      <c r="F17530" s="38" t="s">
        <v>113</v>
      </c>
      <c r="G17530" s="49" t="str">
        <f t="shared" si="1"/>
        <v>60250</v>
      </c>
      <c r="H17530" s="49">
        <f t="shared" si="2"/>
        <v>60015</v>
      </c>
    </row>
    <row r="17531">
      <c r="A17531" s="48" t="s">
        <v>21948</v>
      </c>
      <c r="B17531" s="38">
        <v>94079.0</v>
      </c>
      <c r="C17531" s="38" t="s">
        <v>21949</v>
      </c>
      <c r="D17531" s="38" t="str">
        <f>IFERROR(__xludf.DUMMYFUNCTION("REGEXREPLACE(C17531,""-\d+(.*)|--\d+(.*)"","""")"),"VILLIERS-SUR-MARNE")</f>
        <v>VILLIERS-SUR-MARNE</v>
      </c>
      <c r="E17531" s="38" t="s">
        <v>561</v>
      </c>
      <c r="F17531" s="38" t="s">
        <v>245</v>
      </c>
      <c r="G17531" s="49" t="str">
        <f t="shared" si="1"/>
        <v>94350</v>
      </c>
      <c r="H17531" s="49">
        <f t="shared" si="2"/>
        <v>94079</v>
      </c>
    </row>
    <row r="17532">
      <c r="A17532" s="48" t="s">
        <v>11481</v>
      </c>
      <c r="B17532" s="38">
        <v>33517.0</v>
      </c>
      <c r="C17532" s="38" t="s">
        <v>21950</v>
      </c>
      <c r="D17532" s="38" t="str">
        <f>IFERROR(__xludf.DUMMYFUNCTION("REGEXREPLACE(C17532,""-\d+(.*)|--\d+(.*)"","""")"),"SOUSSANS")</f>
        <v>SOUSSANS</v>
      </c>
      <c r="E17532" s="38" t="s">
        <v>462</v>
      </c>
      <c r="F17532" s="38" t="s">
        <v>252</v>
      </c>
      <c r="G17532" s="49" t="str">
        <f t="shared" si="1"/>
        <v>33460</v>
      </c>
      <c r="H17532" s="49">
        <f t="shared" si="2"/>
        <v>33517</v>
      </c>
    </row>
    <row r="17533">
      <c r="A17533" s="48" t="s">
        <v>9625</v>
      </c>
      <c r="B17533" s="38">
        <v>11088.0</v>
      </c>
      <c r="C17533" s="38" t="s">
        <v>21951</v>
      </c>
      <c r="D17533" s="38" t="str">
        <f>IFERROR(__xludf.DUMMYFUNCTION("REGEXREPLACE(C17533,""-\d+(.*)|--\d+(.*)"","""")"),"CAZILHAC")</f>
        <v>CAZILHAC</v>
      </c>
      <c r="E17533" s="38" t="s">
        <v>278</v>
      </c>
      <c r="F17533" s="38" t="s">
        <v>119</v>
      </c>
      <c r="G17533" s="49" t="str">
        <f t="shared" si="1"/>
        <v>11570</v>
      </c>
      <c r="H17533" s="49">
        <f t="shared" si="2"/>
        <v>11088</v>
      </c>
    </row>
    <row r="17534">
      <c r="A17534" s="48" t="s">
        <v>14076</v>
      </c>
      <c r="B17534" s="38">
        <v>7086.0</v>
      </c>
      <c r="C17534" s="38" t="s">
        <v>21952</v>
      </c>
      <c r="D17534" s="38" t="str">
        <f>IFERROR(__xludf.DUMMYFUNCTION("REGEXREPLACE(C17534,""-\d+(.*)|--\d+(.*)"","""")"),"ETABLES")</f>
        <v>ETABLES</v>
      </c>
      <c r="E17534" s="38" t="s">
        <v>144</v>
      </c>
      <c r="F17534" s="38" t="s">
        <v>102</v>
      </c>
      <c r="G17534" s="49" t="str">
        <f t="shared" si="1"/>
        <v>07300</v>
      </c>
      <c r="H17534" s="49" t="str">
        <f t="shared" si="2"/>
        <v>07086</v>
      </c>
    </row>
    <row r="17535">
      <c r="A17535" s="48" t="s">
        <v>6174</v>
      </c>
      <c r="B17535" s="38">
        <v>25284.0</v>
      </c>
      <c r="C17535" s="38" t="s">
        <v>21953</v>
      </c>
      <c r="D17535" s="38" t="str">
        <f>IFERROR(__xludf.DUMMYFUNCTION("REGEXREPLACE(C17535,""-\d+(.*)|--\d+(.*)"","""")"),"GRAND-CHARMONT")</f>
        <v>GRAND-CHARMONT</v>
      </c>
      <c r="E17535" s="38" t="s">
        <v>213</v>
      </c>
      <c r="F17535" s="38" t="s">
        <v>214</v>
      </c>
      <c r="G17535" s="49" t="str">
        <f t="shared" si="1"/>
        <v>25200</v>
      </c>
      <c r="H17535" s="49">
        <f t="shared" si="2"/>
        <v>25284</v>
      </c>
    </row>
    <row r="17536">
      <c r="A17536" s="48" t="s">
        <v>21954</v>
      </c>
      <c r="B17536" s="38">
        <v>29133.0</v>
      </c>
      <c r="C17536" s="38" t="s">
        <v>21955</v>
      </c>
      <c r="D17536" s="38" t="str">
        <f>IFERROR(__xludf.DUMMYFUNCTION("REGEXREPLACE(C17536,""-\d+(.*)|--\d+(.*)"","""")"),"LOCQUIREC")</f>
        <v>LOCQUIREC</v>
      </c>
      <c r="E17536" s="38" t="s">
        <v>176</v>
      </c>
      <c r="F17536" s="38" t="s">
        <v>90</v>
      </c>
      <c r="G17536" s="49" t="str">
        <f t="shared" si="1"/>
        <v>29241</v>
      </c>
      <c r="H17536" s="49">
        <f t="shared" si="2"/>
        <v>29133</v>
      </c>
    </row>
    <row r="17537">
      <c r="A17537" s="48" t="s">
        <v>1522</v>
      </c>
      <c r="B17537" s="38">
        <v>32068.0</v>
      </c>
      <c r="C17537" s="38" t="s">
        <v>21956</v>
      </c>
      <c r="D17537" s="38" t="str">
        <f>IFERROR(__xludf.DUMMYFUNCTION("REGEXREPLACE(C17537,""-\d+(.*)|--\d+(.*)"","""")"),"CADEILHAN")</f>
        <v>CADEILHAN</v>
      </c>
      <c r="E17537" s="38" t="s">
        <v>440</v>
      </c>
      <c r="F17537" s="38" t="s">
        <v>94</v>
      </c>
      <c r="G17537" s="49" t="str">
        <f t="shared" si="1"/>
        <v>32380</v>
      </c>
      <c r="H17537" s="49">
        <f t="shared" si="2"/>
        <v>32068</v>
      </c>
    </row>
    <row r="17538">
      <c r="A17538" s="48" t="s">
        <v>2170</v>
      </c>
      <c r="B17538" s="38">
        <v>80154.0</v>
      </c>
      <c r="C17538" s="38" t="s">
        <v>21957</v>
      </c>
      <c r="D17538" s="38" t="str">
        <f>IFERROR(__xludf.DUMMYFUNCTION("REGEXREPLACE(C17538,""-\d+(.*)|--\d+(.*)"","""")"),"BUSSU")</f>
        <v>BUSSU</v>
      </c>
      <c r="E17538" s="38" t="s">
        <v>224</v>
      </c>
      <c r="F17538" s="38" t="s">
        <v>113</v>
      </c>
      <c r="G17538" s="49" t="str">
        <f t="shared" si="1"/>
        <v>80200</v>
      </c>
      <c r="H17538" s="49">
        <f t="shared" si="2"/>
        <v>80154</v>
      </c>
    </row>
    <row r="17539">
      <c r="A17539" s="48" t="s">
        <v>1072</v>
      </c>
      <c r="B17539" s="38">
        <v>86078.0</v>
      </c>
      <c r="C17539" s="38" t="s">
        <v>21958</v>
      </c>
      <c r="D17539" s="38" t="str">
        <f>IFERROR(__xludf.DUMMYFUNCTION("REGEXREPLACE(C17539,""-\d+(.*)|--\d+(.*)"","""")"),"CIVRAY")</f>
        <v>CIVRAY</v>
      </c>
      <c r="E17539" s="38" t="s">
        <v>529</v>
      </c>
      <c r="F17539" s="38" t="s">
        <v>338</v>
      </c>
      <c r="G17539" s="49" t="str">
        <f t="shared" si="1"/>
        <v>86400</v>
      </c>
      <c r="H17539" s="49">
        <f t="shared" si="2"/>
        <v>86078</v>
      </c>
    </row>
    <row r="17540">
      <c r="A17540" s="48" t="s">
        <v>266</v>
      </c>
      <c r="B17540" s="38">
        <v>64028.0</v>
      </c>
      <c r="C17540" s="38" t="s">
        <v>21959</v>
      </c>
      <c r="D17540" s="38" t="str">
        <f>IFERROR(__xludf.DUMMYFUNCTION("REGEXREPLACE(C17540,""-\d+(.*)|--\d+(.*)"","""")"),"ANOYE")</f>
        <v>ANOYE</v>
      </c>
      <c r="E17540" s="38" t="s">
        <v>268</v>
      </c>
      <c r="F17540" s="38" t="s">
        <v>252</v>
      </c>
      <c r="G17540" s="49" t="str">
        <f t="shared" si="1"/>
        <v>64350</v>
      </c>
      <c r="H17540" s="49">
        <f t="shared" si="2"/>
        <v>64028</v>
      </c>
    </row>
    <row r="17541">
      <c r="A17541" s="48" t="s">
        <v>21960</v>
      </c>
      <c r="B17541" s="38">
        <v>67551.0</v>
      </c>
      <c r="C17541" s="38" t="s">
        <v>21961</v>
      </c>
      <c r="D17541" s="38" t="str">
        <f>IFERROR(__xludf.DUMMYFUNCTION("REGEXREPLACE(C17541,""-\d+(.*)|--\d+(.*)"","""")"),"WOLFISHEIM")</f>
        <v>WOLFISHEIM</v>
      </c>
      <c r="E17541" s="38" t="s">
        <v>210</v>
      </c>
      <c r="F17541" s="38" t="s">
        <v>151</v>
      </c>
      <c r="G17541" s="49" t="str">
        <f t="shared" si="1"/>
        <v>67202</v>
      </c>
      <c r="H17541" s="49">
        <f t="shared" si="2"/>
        <v>67551</v>
      </c>
    </row>
    <row r="17542">
      <c r="A17542" s="48" t="s">
        <v>1514</v>
      </c>
      <c r="B17542" s="38">
        <v>70277.0</v>
      </c>
      <c r="C17542" s="38" t="s">
        <v>21962</v>
      </c>
      <c r="D17542" s="38" t="str">
        <f>IFERROR(__xludf.DUMMYFUNCTION("REGEXREPLACE(C17542,""-\d+(.*)|--\d+(.*)"","""")"),"GRANGES-LE-BOURG")</f>
        <v>GRANGES-LE-BOURG</v>
      </c>
      <c r="E17542" s="38" t="s">
        <v>956</v>
      </c>
      <c r="F17542" s="38" t="s">
        <v>214</v>
      </c>
      <c r="G17542" s="49" t="str">
        <f t="shared" si="1"/>
        <v>70400</v>
      </c>
      <c r="H17542" s="49">
        <f t="shared" si="2"/>
        <v>70277</v>
      </c>
    </row>
    <row r="17543">
      <c r="A17543" s="48" t="s">
        <v>3313</v>
      </c>
      <c r="B17543" s="38">
        <v>2162.0</v>
      </c>
      <c r="C17543" s="38" t="s">
        <v>21963</v>
      </c>
      <c r="D17543" s="38" t="str">
        <f>IFERROR(__xludf.DUMMYFUNCTION("REGEXREPLACE(C17543,""-\d+(.*)|--\d+(.*)"","""")"),"LA CHAPELLE-SUR-CHEZY")</f>
        <v>LA CHAPELLE-SUR-CHEZY</v>
      </c>
      <c r="E17543" s="38" t="s">
        <v>191</v>
      </c>
      <c r="F17543" s="38" t="s">
        <v>113</v>
      </c>
      <c r="G17543" s="49" t="str">
        <f t="shared" si="1"/>
        <v>02570</v>
      </c>
      <c r="H17543" s="49" t="str">
        <f t="shared" si="2"/>
        <v>02162</v>
      </c>
    </row>
    <row r="17544">
      <c r="A17544" s="48" t="s">
        <v>1212</v>
      </c>
      <c r="B17544" s="38">
        <v>11203.0</v>
      </c>
      <c r="C17544" s="38" t="s">
        <v>21964</v>
      </c>
      <c r="D17544" s="38" t="str">
        <f>IFERROR(__xludf.DUMMYFUNCTION("REGEXREPLACE(C17544,""-\d+(.*)|--\d+(.*)"","""")"),"LEZIGNAN-CORBIERES")</f>
        <v>LEZIGNAN-CORBIERES</v>
      </c>
      <c r="E17544" s="38" t="s">
        <v>278</v>
      </c>
      <c r="F17544" s="38" t="s">
        <v>119</v>
      </c>
      <c r="G17544" s="49" t="str">
        <f t="shared" si="1"/>
        <v>11200</v>
      </c>
      <c r="H17544" s="49">
        <f t="shared" si="2"/>
        <v>11203</v>
      </c>
    </row>
    <row r="17545">
      <c r="A17545" s="48" t="s">
        <v>576</v>
      </c>
      <c r="B17545" s="38">
        <v>54163.0</v>
      </c>
      <c r="C17545" s="38" t="s">
        <v>21965</v>
      </c>
      <c r="D17545" s="38" t="str">
        <f>IFERROR(__xludf.DUMMYFUNCTION("REGEXREPLACE(C17545,""-\d+(.*)|--\d+(.*)"","""")"),"DOMJEVIN")</f>
        <v>DOMJEVIN</v>
      </c>
      <c r="E17545" s="38" t="s">
        <v>548</v>
      </c>
      <c r="F17545" s="38" t="s">
        <v>195</v>
      </c>
      <c r="G17545" s="49" t="str">
        <f t="shared" si="1"/>
        <v>54450</v>
      </c>
      <c r="H17545" s="49">
        <f t="shared" si="2"/>
        <v>54163</v>
      </c>
    </row>
    <row r="17546">
      <c r="A17546" s="48" t="s">
        <v>3009</v>
      </c>
      <c r="B17546" s="38">
        <v>11020.0</v>
      </c>
      <c r="C17546" s="38" t="s">
        <v>16984</v>
      </c>
      <c r="D17546" s="38" t="str">
        <f>IFERROR(__xludf.DUMMYFUNCTION("REGEXREPLACE(C17546,""-\d+(.*)|--\d+(.*)"","""")"),"AURIAC")</f>
        <v>AURIAC</v>
      </c>
      <c r="E17546" s="38" t="s">
        <v>278</v>
      </c>
      <c r="F17546" s="38" t="s">
        <v>119</v>
      </c>
      <c r="G17546" s="49" t="str">
        <f t="shared" si="1"/>
        <v>11330</v>
      </c>
      <c r="H17546" s="49">
        <f t="shared" si="2"/>
        <v>11020</v>
      </c>
    </row>
    <row r="17547">
      <c r="A17547" s="48" t="s">
        <v>3583</v>
      </c>
      <c r="B17547" s="38">
        <v>7108.0</v>
      </c>
      <c r="C17547" s="38" t="s">
        <v>21966</v>
      </c>
      <c r="D17547" s="38" t="str">
        <f>IFERROR(__xludf.DUMMYFUNCTION("REGEXREPLACE(C17547,""-\d+(.*)|--\d+(.*)"","""")"),"JAUNAC")</f>
        <v>JAUNAC</v>
      </c>
      <c r="E17547" s="38" t="s">
        <v>144</v>
      </c>
      <c r="F17547" s="38" t="s">
        <v>102</v>
      </c>
      <c r="G17547" s="49" t="str">
        <f t="shared" si="1"/>
        <v>07160</v>
      </c>
      <c r="H17547" s="49" t="str">
        <f t="shared" si="2"/>
        <v>07108</v>
      </c>
    </row>
    <row r="17548">
      <c r="A17548" s="48" t="s">
        <v>4270</v>
      </c>
      <c r="B17548" s="38">
        <v>76297.0</v>
      </c>
      <c r="C17548" s="38" t="s">
        <v>21967</v>
      </c>
      <c r="D17548" s="38" t="str">
        <f>IFERROR(__xludf.DUMMYFUNCTION("REGEXREPLACE(C17548,""-\d+(.*)|--\d+(.*)"","""")"),"GANCOURT-SAINT-ETIENNE")</f>
        <v>GANCOURT-SAINT-ETIENNE</v>
      </c>
      <c r="E17548" s="38" t="s">
        <v>133</v>
      </c>
      <c r="F17548" s="38" t="s">
        <v>134</v>
      </c>
      <c r="G17548" s="49" t="str">
        <f t="shared" si="1"/>
        <v>76220</v>
      </c>
      <c r="H17548" s="49">
        <f t="shared" si="2"/>
        <v>76297</v>
      </c>
    </row>
    <row r="17549">
      <c r="A17549" s="48" t="s">
        <v>12208</v>
      </c>
      <c r="B17549" s="38" t="s">
        <v>21968</v>
      </c>
      <c r="C17549" s="38" t="s">
        <v>21969</v>
      </c>
      <c r="D17549" s="38" t="str">
        <f>IFERROR(__xludf.DUMMYFUNCTION("REGEXREPLACE(C17549,""-\d+(.*)|--\d+(.*)"","""")"),"LEVIE")</f>
        <v>LEVIE</v>
      </c>
      <c r="E17549" s="38" t="s">
        <v>606</v>
      </c>
      <c r="F17549" s="38" t="s">
        <v>607</v>
      </c>
      <c r="G17549" s="49" t="str">
        <f t="shared" si="1"/>
        <v>20170</v>
      </c>
      <c r="H17549" s="49" t="str">
        <f t="shared" si="2"/>
        <v>2A142</v>
      </c>
    </row>
    <row r="17550">
      <c r="A17550" s="48" t="s">
        <v>4898</v>
      </c>
      <c r="B17550" s="38">
        <v>27647.0</v>
      </c>
      <c r="C17550" s="38" t="s">
        <v>21970</v>
      </c>
      <c r="D17550" s="38" t="str">
        <f>IFERROR(__xludf.DUMMYFUNCTION("REGEXREPLACE(C17550,""-\d+(.*)|--\d+(.*)"","""")"),"TOSNY")</f>
        <v>TOSNY</v>
      </c>
      <c r="E17550" s="38" t="s">
        <v>241</v>
      </c>
      <c r="F17550" s="38" t="s">
        <v>134</v>
      </c>
      <c r="G17550" s="49" t="str">
        <f t="shared" si="1"/>
        <v>27700</v>
      </c>
      <c r="H17550" s="49">
        <f t="shared" si="2"/>
        <v>27647</v>
      </c>
    </row>
    <row r="17551">
      <c r="A17551" s="48" t="s">
        <v>11007</v>
      </c>
      <c r="B17551" s="38">
        <v>17196.0</v>
      </c>
      <c r="C17551" s="38" t="s">
        <v>21971</v>
      </c>
      <c r="D17551" s="38" t="str">
        <f>IFERROR(__xludf.DUMMYFUNCTION("REGEXREPLACE(C17551,""-\d+(.*)|--\d+(.*)"","""")"),"JAZENNES")</f>
        <v>JAZENNES</v>
      </c>
      <c r="E17551" s="38" t="s">
        <v>488</v>
      </c>
      <c r="F17551" s="38" t="s">
        <v>338</v>
      </c>
      <c r="G17551" s="49" t="str">
        <f t="shared" si="1"/>
        <v>17260</v>
      </c>
      <c r="H17551" s="49">
        <f t="shared" si="2"/>
        <v>17196</v>
      </c>
    </row>
    <row r="17552">
      <c r="A17552" s="48" t="s">
        <v>21972</v>
      </c>
      <c r="B17552" s="38">
        <v>80461.0</v>
      </c>
      <c r="C17552" s="38" t="s">
        <v>21973</v>
      </c>
      <c r="D17552" s="38" t="str">
        <f>IFERROR(__xludf.DUMMYFUNCTION("REGEXREPLACE(C17552,""-\d+(.*)|--\d+(.*)"","""")"),"LAMOTTE-BREBIERE")</f>
        <v>LAMOTTE-BREBIERE</v>
      </c>
      <c r="E17552" s="38" t="s">
        <v>224</v>
      </c>
      <c r="F17552" s="38" t="s">
        <v>113</v>
      </c>
      <c r="G17552" s="49" t="str">
        <f t="shared" si="1"/>
        <v>80450</v>
      </c>
      <c r="H17552" s="49">
        <f t="shared" si="2"/>
        <v>80461</v>
      </c>
    </row>
    <row r="17553">
      <c r="A17553" s="48" t="s">
        <v>1544</v>
      </c>
      <c r="B17553" s="38">
        <v>2284.0</v>
      </c>
      <c r="C17553" s="38" t="s">
        <v>21974</v>
      </c>
      <c r="D17553" s="38" t="str">
        <f>IFERROR(__xludf.DUMMYFUNCTION("REGEXREPLACE(C17553,""-\d+(.*)|--\d+(.*)"","""")"),"ERLOY")</f>
        <v>ERLOY</v>
      </c>
      <c r="E17553" s="38" t="s">
        <v>191</v>
      </c>
      <c r="F17553" s="38" t="s">
        <v>113</v>
      </c>
      <c r="G17553" s="49" t="str">
        <f t="shared" si="1"/>
        <v>02260</v>
      </c>
      <c r="H17553" s="49" t="str">
        <f t="shared" si="2"/>
        <v>02284</v>
      </c>
    </row>
    <row r="17554">
      <c r="A17554" s="48" t="s">
        <v>4388</v>
      </c>
      <c r="B17554" s="38">
        <v>31327.0</v>
      </c>
      <c r="C17554" s="38" t="s">
        <v>21975</v>
      </c>
      <c r="D17554" s="38" t="str">
        <f>IFERROR(__xludf.DUMMYFUNCTION("REGEXREPLACE(C17554,""-\d+(.*)|--\d+(.*)"","""")"),"MAURAN")</f>
        <v>MAURAN</v>
      </c>
      <c r="E17554" s="38" t="s">
        <v>93</v>
      </c>
      <c r="F17554" s="38" t="s">
        <v>94</v>
      </c>
      <c r="G17554" s="49" t="str">
        <f t="shared" si="1"/>
        <v>31220</v>
      </c>
      <c r="H17554" s="49">
        <f t="shared" si="2"/>
        <v>31327</v>
      </c>
    </row>
    <row r="17555">
      <c r="A17555" s="48" t="s">
        <v>21976</v>
      </c>
      <c r="B17555" s="38">
        <v>85004.0</v>
      </c>
      <c r="C17555" s="38" t="s">
        <v>21977</v>
      </c>
      <c r="D17555" s="38" t="str">
        <f>IFERROR(__xludf.DUMMYFUNCTION("REGEXREPLACE(C17555,""-\d+(.*)|--\d+(.*)"","""")"),"ANGLES")</f>
        <v>ANGLES</v>
      </c>
      <c r="E17555" s="38" t="s">
        <v>179</v>
      </c>
      <c r="F17555" s="38" t="s">
        <v>180</v>
      </c>
      <c r="G17555" s="49" t="str">
        <f t="shared" si="1"/>
        <v>85750</v>
      </c>
      <c r="H17555" s="49">
        <f t="shared" si="2"/>
        <v>85004</v>
      </c>
    </row>
    <row r="17556">
      <c r="A17556" s="48" t="s">
        <v>9016</v>
      </c>
      <c r="B17556" s="38">
        <v>76138.0</v>
      </c>
      <c r="C17556" s="38" t="s">
        <v>21978</v>
      </c>
      <c r="D17556" s="38" t="str">
        <f>IFERROR(__xludf.DUMMYFUNCTION("REGEXREPLACE(C17556,""-\d+(.*)|--\d+(.*)"","""")"),"BRACQUETUIT")</f>
        <v>BRACQUETUIT</v>
      </c>
      <c r="E17556" s="38" t="s">
        <v>133</v>
      </c>
      <c r="F17556" s="38" t="s">
        <v>134</v>
      </c>
      <c r="G17556" s="49" t="str">
        <f t="shared" si="1"/>
        <v>76850</v>
      </c>
      <c r="H17556" s="49">
        <f t="shared" si="2"/>
        <v>76138</v>
      </c>
    </row>
    <row r="17557">
      <c r="A17557" s="48" t="s">
        <v>5761</v>
      </c>
      <c r="B17557" s="38">
        <v>17343.0</v>
      </c>
      <c r="C17557" s="38" t="s">
        <v>21979</v>
      </c>
      <c r="D17557" s="38" t="str">
        <f>IFERROR(__xludf.DUMMYFUNCTION("REGEXREPLACE(C17557,""-\d+(.*)|--\d+(.*)"","""")"),"SAINT-GREGOIRE-D'ARDENNES")</f>
        <v>SAINT-GREGOIRE-D'ARDENNES</v>
      </c>
      <c r="E17557" s="38" t="s">
        <v>488</v>
      </c>
      <c r="F17557" s="38" t="s">
        <v>338</v>
      </c>
      <c r="G17557" s="49" t="str">
        <f t="shared" si="1"/>
        <v>17240</v>
      </c>
      <c r="H17557" s="49">
        <f t="shared" si="2"/>
        <v>17343</v>
      </c>
    </row>
    <row r="17558">
      <c r="A17558" s="48" t="s">
        <v>5302</v>
      </c>
      <c r="B17558" s="38">
        <v>14511.0</v>
      </c>
      <c r="C17558" s="38" t="s">
        <v>21980</v>
      </c>
      <c r="D17558" s="38" t="str">
        <f>IFERROR(__xludf.DUMMYFUNCTION("REGEXREPLACE(C17558,""-\d+(.*)|--\d+(.*)"","""")"),"PONT-BELLANGER")</f>
        <v>PONT-BELLANGER</v>
      </c>
      <c r="E17558" s="38" t="s">
        <v>137</v>
      </c>
      <c r="F17558" s="38" t="s">
        <v>138</v>
      </c>
      <c r="G17558" s="49" t="str">
        <f t="shared" si="1"/>
        <v>14380</v>
      </c>
      <c r="H17558" s="49">
        <f t="shared" si="2"/>
        <v>14511</v>
      </c>
    </row>
    <row r="17559">
      <c r="A17559" s="48" t="s">
        <v>597</v>
      </c>
      <c r="B17559" s="38">
        <v>31007.0</v>
      </c>
      <c r="C17559" s="38" t="s">
        <v>21981</v>
      </c>
      <c r="D17559" s="38" t="str">
        <f>IFERROR(__xludf.DUMMYFUNCTION("REGEXREPLACE(C17559,""-\d+(.*)|--\d+(.*)"","""")"),"AMBAX")</f>
        <v>AMBAX</v>
      </c>
      <c r="E17559" s="38" t="s">
        <v>93</v>
      </c>
      <c r="F17559" s="38" t="s">
        <v>94</v>
      </c>
      <c r="G17559" s="49" t="str">
        <f t="shared" si="1"/>
        <v>31230</v>
      </c>
      <c r="H17559" s="49">
        <f t="shared" si="2"/>
        <v>31007</v>
      </c>
    </row>
    <row r="17560">
      <c r="A17560" s="48" t="s">
        <v>1728</v>
      </c>
      <c r="B17560" s="38">
        <v>45347.0</v>
      </c>
      <c r="C17560" s="38" t="s">
        <v>2199</v>
      </c>
      <c r="D17560" s="38" t="str">
        <f>IFERROR(__xludf.DUMMYFUNCTION("REGEXREPLACE(C17560,""-\d+(.*)|--\d+(.*)"","""")"),"VRIGNY")</f>
        <v>VRIGNY</v>
      </c>
      <c r="E17560" s="38" t="s">
        <v>122</v>
      </c>
      <c r="F17560" s="38" t="s">
        <v>123</v>
      </c>
      <c r="G17560" s="49" t="str">
        <f t="shared" si="1"/>
        <v>45300</v>
      </c>
      <c r="H17560" s="49">
        <f t="shared" si="2"/>
        <v>45347</v>
      </c>
    </row>
    <row r="17561">
      <c r="A17561" s="48" t="s">
        <v>3147</v>
      </c>
      <c r="B17561" s="38">
        <v>68112.0</v>
      </c>
      <c r="C17561" s="38" t="s">
        <v>21982</v>
      </c>
      <c r="D17561" s="38" t="str">
        <f>IFERROR(__xludf.DUMMYFUNCTION("REGEXREPLACE(C17561,""-\d+(.*)|--\d+(.*)"","""")"),"GUEBWILLER")</f>
        <v>GUEBWILLER</v>
      </c>
      <c r="E17561" s="38" t="s">
        <v>150</v>
      </c>
      <c r="F17561" s="38" t="s">
        <v>151</v>
      </c>
      <c r="G17561" s="49" t="str">
        <f t="shared" si="1"/>
        <v>68500</v>
      </c>
      <c r="H17561" s="49">
        <f t="shared" si="2"/>
        <v>68112</v>
      </c>
    </row>
    <row r="17562">
      <c r="A17562" s="48" t="s">
        <v>1524</v>
      </c>
      <c r="B17562" s="38">
        <v>25290.0</v>
      </c>
      <c r="C17562" s="38" t="s">
        <v>21983</v>
      </c>
      <c r="D17562" s="38" t="str">
        <f>IFERROR(__xludf.DUMMYFUNCTION("REGEXREPLACE(C17562,""-\d+(.*)|--\d+(.*)"","""")"),"LA GRANGE")</f>
        <v>LA GRANGE</v>
      </c>
      <c r="E17562" s="38" t="s">
        <v>213</v>
      </c>
      <c r="F17562" s="38" t="s">
        <v>214</v>
      </c>
      <c r="G17562" s="49" t="str">
        <f t="shared" si="1"/>
        <v>25380</v>
      </c>
      <c r="H17562" s="49">
        <f t="shared" si="2"/>
        <v>25290</v>
      </c>
    </row>
    <row r="17563">
      <c r="A17563" s="48" t="s">
        <v>18909</v>
      </c>
      <c r="B17563" s="38">
        <v>35039.0</v>
      </c>
      <c r="C17563" s="38" t="s">
        <v>21984</v>
      </c>
      <c r="D17563" s="38" t="str">
        <f>IFERROR(__xludf.DUMMYFUNCTION("REGEXREPLACE(C17563,""-\d+(.*)|--\d+(.*)"","""")"),"BRECE")</f>
        <v>BRECE</v>
      </c>
      <c r="E17563" s="38" t="s">
        <v>347</v>
      </c>
      <c r="F17563" s="38" t="s">
        <v>90</v>
      </c>
      <c r="G17563" s="49" t="str">
        <f t="shared" si="1"/>
        <v>35530</v>
      </c>
      <c r="H17563" s="49">
        <f t="shared" si="2"/>
        <v>35039</v>
      </c>
    </row>
    <row r="17564">
      <c r="A17564" s="48" t="s">
        <v>1079</v>
      </c>
      <c r="B17564" s="38">
        <v>24580.0</v>
      </c>
      <c r="C17564" s="38" t="s">
        <v>21985</v>
      </c>
      <c r="D17564" s="38" t="str">
        <f>IFERROR(__xludf.DUMMYFUNCTION("REGEXREPLACE(C17564,""-\d+(.*)|--\d+(.*)"","""")"),"VILLAC")</f>
        <v>VILLAC</v>
      </c>
      <c r="E17564" s="38" t="s">
        <v>261</v>
      </c>
      <c r="F17564" s="38" t="s">
        <v>252</v>
      </c>
      <c r="G17564" s="49" t="str">
        <f t="shared" si="1"/>
        <v>24120</v>
      </c>
      <c r="H17564" s="49">
        <f t="shared" si="2"/>
        <v>24580</v>
      </c>
    </row>
    <row r="17565">
      <c r="A17565" s="48" t="s">
        <v>3194</v>
      </c>
      <c r="B17565" s="38">
        <v>89031.0</v>
      </c>
      <c r="C17565" s="38" t="s">
        <v>2319</v>
      </c>
      <c r="D17565" s="38" t="str">
        <f>IFERROR(__xludf.DUMMYFUNCTION("REGEXREPLACE(C17565,""-\d+(.*)|--\d+(.*)"","""")"),"BEAUMONT")</f>
        <v>BEAUMONT</v>
      </c>
      <c r="E17565" s="38" t="s">
        <v>275</v>
      </c>
      <c r="F17565" s="38" t="s">
        <v>106</v>
      </c>
      <c r="G17565" s="49" t="str">
        <f t="shared" si="1"/>
        <v>89250</v>
      </c>
      <c r="H17565" s="49">
        <f t="shared" si="2"/>
        <v>89031</v>
      </c>
    </row>
    <row r="17566">
      <c r="A17566" s="48" t="s">
        <v>3281</v>
      </c>
      <c r="B17566" s="38">
        <v>40315.0</v>
      </c>
      <c r="C17566" s="38" t="s">
        <v>21986</v>
      </c>
      <c r="D17566" s="38" t="str">
        <f>IFERROR(__xludf.DUMMYFUNCTION("REGEXREPLACE(C17566,""-\d+(.*)|--\d+(.*)"","""")"),"TETHIEU")</f>
        <v>TETHIEU</v>
      </c>
      <c r="E17566" s="38" t="s">
        <v>281</v>
      </c>
      <c r="F17566" s="38" t="s">
        <v>252</v>
      </c>
      <c r="G17566" s="49" t="str">
        <f t="shared" si="1"/>
        <v>40990</v>
      </c>
      <c r="H17566" s="49">
        <f t="shared" si="2"/>
        <v>40315</v>
      </c>
    </row>
    <row r="17567">
      <c r="A17567" s="48" t="s">
        <v>2712</v>
      </c>
      <c r="B17567" s="38">
        <v>72246.0</v>
      </c>
      <c r="C17567" s="38" t="s">
        <v>21987</v>
      </c>
      <c r="D17567" s="38" t="str">
        <f>IFERROR(__xludf.DUMMYFUNCTION("REGEXREPLACE(C17567,""-\d+(.*)|--\d+(.*)"","""")"),"PREVELLES")</f>
        <v>PREVELLES</v>
      </c>
      <c r="E17567" s="38" t="s">
        <v>521</v>
      </c>
      <c r="F17567" s="38" t="s">
        <v>180</v>
      </c>
      <c r="G17567" s="49" t="str">
        <f t="shared" si="1"/>
        <v>72110</v>
      </c>
      <c r="H17567" s="49">
        <f t="shared" si="2"/>
        <v>72246</v>
      </c>
    </row>
    <row r="17568">
      <c r="A17568" s="48" t="s">
        <v>3821</v>
      </c>
      <c r="B17568" s="38">
        <v>57719.0</v>
      </c>
      <c r="C17568" s="38" t="s">
        <v>21988</v>
      </c>
      <c r="D17568" s="38" t="str">
        <f>IFERROR(__xludf.DUMMYFUNCTION("REGEXREPLACE(C17568,""-\d+(.*)|--\d+(.*)"","""")"),"VILLERS-SUR-NIED")</f>
        <v>VILLERS-SUR-NIED</v>
      </c>
      <c r="E17568" s="38" t="s">
        <v>303</v>
      </c>
      <c r="F17568" s="38" t="s">
        <v>195</v>
      </c>
      <c r="G17568" s="49" t="str">
        <f t="shared" si="1"/>
        <v>57340</v>
      </c>
      <c r="H17568" s="49">
        <f t="shared" si="2"/>
        <v>57719</v>
      </c>
    </row>
    <row r="17569">
      <c r="A17569" s="48" t="s">
        <v>15678</v>
      </c>
      <c r="B17569" s="38">
        <v>77006.0</v>
      </c>
      <c r="C17569" s="38" t="s">
        <v>21989</v>
      </c>
      <c r="D17569" s="38" t="str">
        <f>IFERROR(__xludf.DUMMYFUNCTION("REGEXREPLACE(C17569,""-\d+(.*)|--\d+(.*)"","""")"),"ARBONNE-LA-FORET")</f>
        <v>ARBONNE-LA-FORET</v>
      </c>
      <c r="E17569" s="38" t="s">
        <v>244</v>
      </c>
      <c r="F17569" s="38" t="s">
        <v>245</v>
      </c>
      <c r="G17569" s="49" t="str">
        <f t="shared" si="1"/>
        <v>77630</v>
      </c>
      <c r="H17569" s="49">
        <f t="shared" si="2"/>
        <v>77006</v>
      </c>
    </row>
    <row r="17570">
      <c r="A17570" s="48" t="s">
        <v>5791</v>
      </c>
      <c r="B17570" s="38">
        <v>85218.0</v>
      </c>
      <c r="C17570" s="38" t="s">
        <v>21990</v>
      </c>
      <c r="D17570" s="38" t="str">
        <f>IFERROR(__xludf.DUMMYFUNCTION("REGEXREPLACE(C17570,""-\d+(.*)|--\d+(.*)"","""")"),"SAINT-GEORGES-DE-POINTINDOUX")</f>
        <v>SAINT-GEORGES-DE-POINTINDOUX</v>
      </c>
      <c r="E17570" s="38" t="s">
        <v>179</v>
      </c>
      <c r="F17570" s="38" t="s">
        <v>180</v>
      </c>
      <c r="G17570" s="49" t="str">
        <f t="shared" si="1"/>
        <v>85150</v>
      </c>
      <c r="H17570" s="49">
        <f t="shared" si="2"/>
        <v>85218</v>
      </c>
    </row>
    <row r="17571">
      <c r="A17571" s="48" t="s">
        <v>2290</v>
      </c>
      <c r="B17571" s="38">
        <v>38009.0</v>
      </c>
      <c r="C17571" s="38" t="s">
        <v>21991</v>
      </c>
      <c r="D17571" s="38" t="str">
        <f>IFERROR(__xludf.DUMMYFUNCTION("REGEXREPLACE(C17571,""-\d+(.*)|--\d+(.*)"","""")"),"ANJOU")</f>
        <v>ANJOU</v>
      </c>
      <c r="E17571" s="38" t="s">
        <v>101</v>
      </c>
      <c r="F17571" s="38" t="s">
        <v>102</v>
      </c>
      <c r="G17571" s="49" t="str">
        <f t="shared" si="1"/>
        <v>38150</v>
      </c>
      <c r="H17571" s="49">
        <f t="shared" si="2"/>
        <v>38009</v>
      </c>
    </row>
    <row r="17572">
      <c r="A17572" s="48" t="s">
        <v>3009</v>
      </c>
      <c r="B17572" s="38">
        <v>11409.0</v>
      </c>
      <c r="C17572" s="38" t="s">
        <v>21992</v>
      </c>
      <c r="D17572" s="38" t="str">
        <f>IFERROR(__xludf.DUMMYFUNCTION("REGEXREPLACE(C17572,""-\d+(.*)|--\d+(.*)"","""")"),"VIGNEVIEILLE")</f>
        <v>VIGNEVIEILLE</v>
      </c>
      <c r="E17572" s="38" t="s">
        <v>278</v>
      </c>
      <c r="F17572" s="38" t="s">
        <v>119</v>
      </c>
      <c r="G17572" s="49" t="str">
        <f t="shared" si="1"/>
        <v>11330</v>
      </c>
      <c r="H17572" s="49">
        <f t="shared" si="2"/>
        <v>11409</v>
      </c>
    </row>
    <row r="17573">
      <c r="A17573" s="48" t="s">
        <v>6521</v>
      </c>
      <c r="B17573" s="38">
        <v>34026.0</v>
      </c>
      <c r="C17573" s="38" t="s">
        <v>17567</v>
      </c>
      <c r="D17573" s="38" t="str">
        <f>IFERROR(__xludf.DUMMYFUNCTION("REGEXREPLACE(C17573,""-\d+(.*)|--\d+(.*)"","""")"),"BEAUFORT")</f>
        <v>BEAUFORT</v>
      </c>
      <c r="E17573" s="38" t="s">
        <v>118</v>
      </c>
      <c r="F17573" s="38" t="s">
        <v>119</v>
      </c>
      <c r="G17573" s="49" t="str">
        <f t="shared" si="1"/>
        <v>34210</v>
      </c>
      <c r="H17573" s="49">
        <f t="shared" si="2"/>
        <v>34026</v>
      </c>
    </row>
    <row r="17574">
      <c r="A17574" s="48" t="s">
        <v>3158</v>
      </c>
      <c r="B17574" s="38">
        <v>50595.0</v>
      </c>
      <c r="C17574" s="38" t="s">
        <v>21993</v>
      </c>
      <c r="D17574" s="38" t="str">
        <f>IFERROR(__xludf.DUMMYFUNCTION("REGEXREPLACE(C17574,""-\d+(.*)|--\d+(.*)"","""")"),"LE THEIL")</f>
        <v>LE THEIL</v>
      </c>
      <c r="E17574" s="38" t="s">
        <v>157</v>
      </c>
      <c r="F17574" s="38" t="s">
        <v>138</v>
      </c>
      <c r="G17574" s="49" t="str">
        <f t="shared" si="1"/>
        <v>50330</v>
      </c>
      <c r="H17574" s="49">
        <f t="shared" si="2"/>
        <v>50595</v>
      </c>
    </row>
    <row r="17575">
      <c r="A17575" s="48" t="s">
        <v>21994</v>
      </c>
      <c r="B17575" s="38" t="s">
        <v>21995</v>
      </c>
      <c r="C17575" s="38" t="s">
        <v>21996</v>
      </c>
      <c r="D17575" s="38" t="str">
        <f>IFERROR(__xludf.DUMMYFUNCTION("REGEXREPLACE(C17575,""-\d+(.*)|--\d+(.*)"","""")"),"VILLE-DI-PARASO")</f>
        <v>VILLE-DI-PARASO</v>
      </c>
      <c r="E17575" s="38" t="s">
        <v>743</v>
      </c>
      <c r="F17575" s="38" t="s">
        <v>607</v>
      </c>
      <c r="G17575" s="49" t="str">
        <f t="shared" si="1"/>
        <v>20279</v>
      </c>
      <c r="H17575" s="49" t="str">
        <f t="shared" si="2"/>
        <v>2B352</v>
      </c>
    </row>
    <row r="17576">
      <c r="A17576" s="48" t="s">
        <v>1446</v>
      </c>
      <c r="B17576" s="38">
        <v>76670.0</v>
      </c>
      <c r="C17576" s="38" t="s">
        <v>21997</v>
      </c>
      <c r="D17576" s="38" t="str">
        <f>IFERROR(__xludf.DUMMYFUNCTION("REGEXREPLACE(C17576,""-\d+(.*)|--\d+(.*)"","""")"),"SENNEVILLE-SUR-FECAMP")</f>
        <v>SENNEVILLE-SUR-FECAMP</v>
      </c>
      <c r="E17576" s="38" t="s">
        <v>133</v>
      </c>
      <c r="F17576" s="38" t="s">
        <v>134</v>
      </c>
      <c r="G17576" s="49" t="str">
        <f t="shared" si="1"/>
        <v>76400</v>
      </c>
      <c r="H17576" s="49">
        <f t="shared" si="2"/>
        <v>76670</v>
      </c>
    </row>
    <row r="17577">
      <c r="A17577" s="48" t="s">
        <v>10965</v>
      </c>
      <c r="B17577" s="38">
        <v>80673.0</v>
      </c>
      <c r="C17577" s="38" t="s">
        <v>21998</v>
      </c>
      <c r="D17577" s="38" t="str">
        <f>IFERROR(__xludf.DUMMYFUNCTION("REGEXREPLACE(C17577,""-\d+(.*)|--\d+(.*)"","""")"),"RIENCOURT")</f>
        <v>RIENCOURT</v>
      </c>
      <c r="E17577" s="38" t="s">
        <v>224</v>
      </c>
      <c r="F17577" s="38" t="s">
        <v>113</v>
      </c>
      <c r="G17577" s="49" t="str">
        <f t="shared" si="1"/>
        <v>80310</v>
      </c>
      <c r="H17577" s="49">
        <f t="shared" si="2"/>
        <v>80673</v>
      </c>
    </row>
    <row r="17578">
      <c r="A17578" s="48" t="s">
        <v>12681</v>
      </c>
      <c r="B17578" s="38">
        <v>2066.0</v>
      </c>
      <c r="C17578" s="38" t="s">
        <v>21999</v>
      </c>
      <c r="D17578" s="38" t="str">
        <f>IFERROR(__xludf.DUMMYFUNCTION("REGEXREPLACE(C17578,""-\d+(.*)|--\d+(.*)"","""")"),"BENAY")</f>
        <v>BENAY</v>
      </c>
      <c r="E17578" s="38" t="s">
        <v>191</v>
      </c>
      <c r="F17578" s="38" t="s">
        <v>113</v>
      </c>
      <c r="G17578" s="49" t="str">
        <f t="shared" si="1"/>
        <v>02440</v>
      </c>
      <c r="H17578" s="49" t="str">
        <f t="shared" si="2"/>
        <v>02066</v>
      </c>
    </row>
    <row r="17579">
      <c r="A17579" s="48" t="s">
        <v>17367</v>
      </c>
      <c r="B17579" s="38">
        <v>71479.0</v>
      </c>
      <c r="C17579" s="38" t="s">
        <v>22000</v>
      </c>
      <c r="D17579" s="38" t="str">
        <f>IFERROR(__xludf.DUMMYFUNCTION("REGEXREPLACE(C17579,""-\d+(.*)|--\d+(.*)"","""")"),"SAINT-SERNIN-DU-BOIS")</f>
        <v>SAINT-SERNIN-DU-BOIS</v>
      </c>
      <c r="E17579" s="38" t="s">
        <v>344</v>
      </c>
      <c r="F17579" s="38" t="s">
        <v>106</v>
      </c>
      <c r="G17579" s="49" t="str">
        <f t="shared" si="1"/>
        <v>71200</v>
      </c>
      <c r="H17579" s="49">
        <f t="shared" si="2"/>
        <v>71479</v>
      </c>
    </row>
    <row r="17580">
      <c r="A17580" s="48" t="s">
        <v>3867</v>
      </c>
      <c r="B17580" s="38">
        <v>35023.0</v>
      </c>
      <c r="C17580" s="38" t="s">
        <v>22001</v>
      </c>
      <c r="D17580" s="38" t="str">
        <f>IFERROR(__xludf.DUMMYFUNCTION("REGEXREPLACE(C17580,""-\d+(.*)|--\d+(.*)"","""")"),"BEDEE")</f>
        <v>BEDEE</v>
      </c>
      <c r="E17580" s="38" t="s">
        <v>347</v>
      </c>
      <c r="F17580" s="38" t="s">
        <v>90</v>
      </c>
      <c r="G17580" s="49" t="str">
        <f t="shared" si="1"/>
        <v>35137</v>
      </c>
      <c r="H17580" s="49">
        <f t="shared" si="2"/>
        <v>35023</v>
      </c>
    </row>
    <row r="17581">
      <c r="A17581" s="48" t="s">
        <v>1772</v>
      </c>
      <c r="B17581" s="38">
        <v>53129.0</v>
      </c>
      <c r="C17581" s="38" t="s">
        <v>22002</v>
      </c>
      <c r="D17581" s="38" t="str">
        <f>IFERROR(__xludf.DUMMYFUNCTION("REGEXREPLACE(C17581,""-\d+(.*)|--\d+(.*)"","""")"),"LAUNAY-VILLIERS")</f>
        <v>LAUNAY-VILLIERS</v>
      </c>
      <c r="E17581" s="38" t="s">
        <v>518</v>
      </c>
      <c r="F17581" s="38" t="s">
        <v>180</v>
      </c>
      <c r="G17581" s="49" t="str">
        <f t="shared" si="1"/>
        <v>53410</v>
      </c>
      <c r="H17581" s="49">
        <f t="shared" si="2"/>
        <v>53129</v>
      </c>
    </row>
    <row r="17582">
      <c r="A17582" s="48" t="s">
        <v>11007</v>
      </c>
      <c r="B17582" s="38">
        <v>17133.0</v>
      </c>
      <c r="C17582" s="38" t="s">
        <v>22003</v>
      </c>
      <c r="D17582" s="38" t="str">
        <f>IFERROR(__xludf.DUMMYFUNCTION("REGEXREPLACE(C17582,""-\d+(.*)|--\d+(.*)"","""")"),"CRAVANS")</f>
        <v>CRAVANS</v>
      </c>
      <c r="E17582" s="38" t="s">
        <v>488</v>
      </c>
      <c r="F17582" s="38" t="s">
        <v>338</v>
      </c>
      <c r="G17582" s="49" t="str">
        <f t="shared" si="1"/>
        <v>17260</v>
      </c>
      <c r="H17582" s="49">
        <f t="shared" si="2"/>
        <v>17133</v>
      </c>
    </row>
    <row r="17583">
      <c r="A17583" s="48" t="s">
        <v>4929</v>
      </c>
      <c r="B17583" s="38">
        <v>12025.0</v>
      </c>
      <c r="C17583" s="38" t="s">
        <v>22004</v>
      </c>
      <c r="D17583" s="38" t="str">
        <f>IFERROR(__xludf.DUMMYFUNCTION("REGEXREPLACE(C17583,""-\d+(.*)|--\d+(.*)"","""")"),"BELMONT-SUR-RANCE")</f>
        <v>BELMONT-SUR-RANCE</v>
      </c>
      <c r="E17583" s="38" t="s">
        <v>465</v>
      </c>
      <c r="F17583" s="38" t="s">
        <v>94</v>
      </c>
      <c r="G17583" s="49" t="str">
        <f t="shared" si="1"/>
        <v>12370</v>
      </c>
      <c r="H17583" s="49">
        <f t="shared" si="2"/>
        <v>12025</v>
      </c>
    </row>
    <row r="17584">
      <c r="A17584" s="48" t="s">
        <v>879</v>
      </c>
      <c r="B17584" s="38">
        <v>24373.0</v>
      </c>
      <c r="C17584" s="38" t="s">
        <v>22005</v>
      </c>
      <c r="D17584" s="38" t="str">
        <f>IFERROR(__xludf.DUMMYFUNCTION("REGEXREPLACE(C17584,""-\d+(.*)|--\d+(.*)"","""")"),"SAINT-AUBIN-DE-CADELECH")</f>
        <v>SAINT-AUBIN-DE-CADELECH</v>
      </c>
      <c r="E17584" s="38" t="s">
        <v>261</v>
      </c>
      <c r="F17584" s="38" t="s">
        <v>252</v>
      </c>
      <c r="G17584" s="49" t="str">
        <f t="shared" si="1"/>
        <v>24500</v>
      </c>
      <c r="H17584" s="49">
        <f t="shared" si="2"/>
        <v>24373</v>
      </c>
    </row>
    <row r="17585">
      <c r="A17585" s="48" t="s">
        <v>7954</v>
      </c>
      <c r="B17585" s="38">
        <v>40308.0</v>
      </c>
      <c r="C17585" s="38" t="s">
        <v>22006</v>
      </c>
      <c r="D17585" s="38" t="str">
        <f>IFERROR(__xludf.DUMMYFUNCTION("REGEXREPLACE(C17585,""-\d+(.*)|--\d+(.*)"","""")"),"SORT-EN-CHALOSSE")</f>
        <v>SORT-EN-CHALOSSE</v>
      </c>
      <c r="E17585" s="38" t="s">
        <v>281</v>
      </c>
      <c r="F17585" s="38" t="s">
        <v>252</v>
      </c>
      <c r="G17585" s="49" t="str">
        <f t="shared" si="1"/>
        <v>40180</v>
      </c>
      <c r="H17585" s="49">
        <f t="shared" si="2"/>
        <v>40308</v>
      </c>
    </row>
    <row r="17586">
      <c r="A17586" s="48" t="s">
        <v>6266</v>
      </c>
      <c r="B17586" s="38">
        <v>76631.0</v>
      </c>
      <c r="C17586" s="38" t="s">
        <v>22007</v>
      </c>
      <c r="D17586" s="38" t="str">
        <f>IFERROR(__xludf.DUMMYFUNCTION("REGEXREPLACE(C17586,""-\d+(.*)|--\d+(.*)"","""")"),"SAINT-PAER")</f>
        <v>SAINT-PAER</v>
      </c>
      <c r="E17586" s="38" t="s">
        <v>133</v>
      </c>
      <c r="F17586" s="38" t="s">
        <v>134</v>
      </c>
      <c r="G17586" s="49" t="str">
        <f t="shared" si="1"/>
        <v>76480</v>
      </c>
      <c r="H17586" s="49">
        <f t="shared" si="2"/>
        <v>76631</v>
      </c>
    </row>
    <row r="17587">
      <c r="A17587" s="48" t="s">
        <v>1272</v>
      </c>
      <c r="B17587" s="38">
        <v>51512.0</v>
      </c>
      <c r="C17587" s="38" t="s">
        <v>22008</v>
      </c>
      <c r="D17587" s="38" t="str">
        <f>IFERROR(__xludf.DUMMYFUNCTION("REGEXREPLACE(C17587,""-\d+(.*)|--\d+(.*)"","""")"),"SAINT-QUENTIN-SUR-COOLE")</f>
        <v>SAINT-QUENTIN-SUR-COOLE</v>
      </c>
      <c r="E17587" s="38" t="s">
        <v>129</v>
      </c>
      <c r="F17587" s="38" t="s">
        <v>130</v>
      </c>
      <c r="G17587" s="49" t="str">
        <f t="shared" si="1"/>
        <v>51240</v>
      </c>
      <c r="H17587" s="49">
        <f t="shared" si="2"/>
        <v>51512</v>
      </c>
    </row>
    <row r="17588">
      <c r="A17588" s="48" t="s">
        <v>1874</v>
      </c>
      <c r="B17588" s="38">
        <v>73276.0</v>
      </c>
      <c r="C17588" s="38" t="s">
        <v>22009</v>
      </c>
      <c r="D17588" s="38" t="str">
        <f>IFERROR(__xludf.DUMMYFUNCTION("REGEXREPLACE(C17588,""-\d+(.*)|--\d+(.*)"","""")"),"SAINT-PIERRE-DE-SOUCY")</f>
        <v>SAINT-PIERRE-DE-SOUCY</v>
      </c>
      <c r="E17588" s="38" t="s">
        <v>306</v>
      </c>
      <c r="F17588" s="38" t="s">
        <v>102</v>
      </c>
      <c r="G17588" s="49" t="str">
        <f t="shared" si="1"/>
        <v>73800</v>
      </c>
      <c r="H17588" s="49">
        <f t="shared" si="2"/>
        <v>73276</v>
      </c>
    </row>
    <row r="17589">
      <c r="A17589" s="48" t="s">
        <v>14237</v>
      </c>
      <c r="B17589" s="38">
        <v>41090.0</v>
      </c>
      <c r="C17589" s="38" t="s">
        <v>22010</v>
      </c>
      <c r="D17589" s="38" t="str">
        <f>IFERROR(__xludf.DUMMYFUNCTION("REGEXREPLACE(C17589,""-\d+(.*)|--\d+(.*)"","""")"),"FORTAN")</f>
        <v>FORTAN</v>
      </c>
      <c r="E17589" s="38" t="s">
        <v>188</v>
      </c>
      <c r="F17589" s="38" t="s">
        <v>123</v>
      </c>
      <c r="G17589" s="49" t="str">
        <f t="shared" si="1"/>
        <v>41360</v>
      </c>
      <c r="H17589" s="49">
        <f t="shared" si="2"/>
        <v>41090</v>
      </c>
    </row>
    <row r="17590">
      <c r="A17590" s="48" t="s">
        <v>3434</v>
      </c>
      <c r="B17590" s="38">
        <v>11359.0</v>
      </c>
      <c r="C17590" s="38" t="s">
        <v>22011</v>
      </c>
      <c r="D17590" s="38" t="str">
        <f>IFERROR(__xludf.DUMMYFUNCTION("REGEXREPLACE(C17590,""-\d+(.*)|--\d+(.*)"","""")"),"SAINT-MICHEL-DE-LANES")</f>
        <v>SAINT-MICHEL-DE-LANES</v>
      </c>
      <c r="E17590" s="38" t="s">
        <v>278</v>
      </c>
      <c r="F17590" s="38" t="s">
        <v>119</v>
      </c>
      <c r="G17590" s="49" t="str">
        <f t="shared" si="1"/>
        <v>11410</v>
      </c>
      <c r="H17590" s="49">
        <f t="shared" si="2"/>
        <v>11359</v>
      </c>
    </row>
    <row r="17591">
      <c r="A17591" s="48" t="s">
        <v>10939</v>
      </c>
      <c r="B17591" s="38">
        <v>77524.0</v>
      </c>
      <c r="C17591" s="38" t="s">
        <v>22012</v>
      </c>
      <c r="D17591" s="38" t="str">
        <f>IFERROR(__xludf.DUMMYFUNCTION("REGEXREPLACE(C17591,""-\d+(.*)|--\d+(.*)"","""")"),"VIMPELLES")</f>
        <v>VIMPELLES</v>
      </c>
      <c r="E17591" s="38" t="s">
        <v>244</v>
      </c>
      <c r="F17591" s="38" t="s">
        <v>245</v>
      </c>
      <c r="G17591" s="49" t="str">
        <f t="shared" si="1"/>
        <v>77520</v>
      </c>
      <c r="H17591" s="49">
        <f t="shared" si="2"/>
        <v>77524</v>
      </c>
    </row>
    <row r="17592">
      <c r="A17592" s="48" t="s">
        <v>15662</v>
      </c>
      <c r="B17592" s="38">
        <v>43216.0</v>
      </c>
      <c r="C17592" s="38" t="s">
        <v>22013</v>
      </c>
      <c r="D17592" s="38" t="str">
        <f>IFERROR(__xludf.DUMMYFUNCTION("REGEXREPLACE(C17592,""-\d+(.*)|--\d+(.*)"","""")"),"SAINT-PAULIEN")</f>
        <v>SAINT-PAULIEN</v>
      </c>
      <c r="E17592" s="38" t="s">
        <v>332</v>
      </c>
      <c r="F17592" s="38" t="s">
        <v>161</v>
      </c>
      <c r="G17592" s="49" t="str">
        <f t="shared" si="1"/>
        <v>43350</v>
      </c>
      <c r="H17592" s="49">
        <f t="shared" si="2"/>
        <v>43216</v>
      </c>
    </row>
    <row r="17593">
      <c r="A17593" s="48" t="s">
        <v>4766</v>
      </c>
      <c r="B17593" s="38">
        <v>64387.0</v>
      </c>
      <c r="C17593" s="38" t="s">
        <v>22014</v>
      </c>
      <c r="D17593" s="38" t="str">
        <f>IFERROR(__xludf.DUMMYFUNCTION("REGEXREPLACE(C17593,""-\d+(.*)|--\d+(.*)"","""")"),"MOMAS")</f>
        <v>MOMAS</v>
      </c>
      <c r="E17593" s="38" t="s">
        <v>268</v>
      </c>
      <c r="F17593" s="38" t="s">
        <v>252</v>
      </c>
      <c r="G17593" s="49" t="str">
        <f t="shared" si="1"/>
        <v>64230</v>
      </c>
      <c r="H17593" s="49">
        <f t="shared" si="2"/>
        <v>64387</v>
      </c>
    </row>
    <row r="17594">
      <c r="A17594" s="48" t="s">
        <v>22015</v>
      </c>
      <c r="B17594" s="38">
        <v>6090.0</v>
      </c>
      <c r="C17594" s="38" t="s">
        <v>22016</v>
      </c>
      <c r="D17594" s="38" t="str">
        <f>IFERROR(__xludf.DUMMYFUNCTION("REGEXREPLACE(C17594,""-\d+(.*)|--\d+(.*)"","""")"),"PEGOMAS")</f>
        <v>PEGOMAS</v>
      </c>
      <c r="E17594" s="38" t="s">
        <v>227</v>
      </c>
      <c r="F17594" s="38" t="s">
        <v>228</v>
      </c>
      <c r="G17594" s="49" t="str">
        <f t="shared" si="1"/>
        <v>06580</v>
      </c>
      <c r="H17594" s="49" t="str">
        <f t="shared" si="2"/>
        <v>06090</v>
      </c>
    </row>
    <row r="17595">
      <c r="A17595" s="48" t="s">
        <v>9879</v>
      </c>
      <c r="B17595" s="38">
        <v>85301.0</v>
      </c>
      <c r="C17595" s="38" t="s">
        <v>22017</v>
      </c>
      <c r="D17595" s="38" t="str">
        <f>IFERROR(__xludf.DUMMYFUNCTION("REGEXREPLACE(C17595,""-\d+(.*)|--\d+(.*)"","""")"),"VENDRENNES")</f>
        <v>VENDRENNES</v>
      </c>
      <c r="E17595" s="38" t="s">
        <v>179</v>
      </c>
      <c r="F17595" s="38" t="s">
        <v>180</v>
      </c>
      <c r="G17595" s="49" t="str">
        <f t="shared" si="1"/>
        <v>85250</v>
      </c>
      <c r="H17595" s="49">
        <f t="shared" si="2"/>
        <v>85301</v>
      </c>
    </row>
    <row r="17596">
      <c r="A17596" s="48" t="s">
        <v>2812</v>
      </c>
      <c r="B17596" s="38">
        <v>61458.0</v>
      </c>
      <c r="C17596" s="38" t="s">
        <v>22018</v>
      </c>
      <c r="D17596" s="38" t="str">
        <f>IFERROR(__xludf.DUMMYFUNCTION("REGEXREPLACE(C17596,""-\d+(.*)|--\d+(.*)"","""")"),"SAINT-VICTOR-DE-RENO")</f>
        <v>SAINT-VICTOR-DE-RENO</v>
      </c>
      <c r="E17596" s="38" t="s">
        <v>141</v>
      </c>
      <c r="F17596" s="38" t="s">
        <v>138</v>
      </c>
      <c r="G17596" s="49" t="str">
        <f t="shared" si="1"/>
        <v>61290</v>
      </c>
      <c r="H17596" s="49">
        <f t="shared" si="2"/>
        <v>61458</v>
      </c>
    </row>
    <row r="17597">
      <c r="A17597" s="48" t="s">
        <v>2744</v>
      </c>
      <c r="B17597" s="38">
        <v>17015.0</v>
      </c>
      <c r="C17597" s="38" t="s">
        <v>22019</v>
      </c>
      <c r="D17597" s="38" t="str">
        <f>IFERROR(__xludf.DUMMYFUNCTION("REGEXREPLACE(C17597,""-\d+(.*)|--\d+(.*)"","""")"),"ARCES")</f>
        <v>ARCES</v>
      </c>
      <c r="E17597" s="38" t="s">
        <v>488</v>
      </c>
      <c r="F17597" s="38" t="s">
        <v>338</v>
      </c>
      <c r="G17597" s="49" t="str">
        <f t="shared" si="1"/>
        <v>17120</v>
      </c>
      <c r="H17597" s="49">
        <f t="shared" si="2"/>
        <v>17015</v>
      </c>
    </row>
    <row r="17598">
      <c r="A17598" s="48" t="s">
        <v>2820</v>
      </c>
      <c r="B17598" s="38">
        <v>2562.0</v>
      </c>
      <c r="C17598" s="38" t="s">
        <v>22020</v>
      </c>
      <c r="D17598" s="38" t="str">
        <f>IFERROR(__xludf.DUMMYFUNCTION("REGEXREPLACE(C17598,""-\d+(.*)|--\d+(.*)"","""")"),"NOUVRON-VINGRE")</f>
        <v>NOUVRON-VINGRE</v>
      </c>
      <c r="E17598" s="38" t="s">
        <v>191</v>
      </c>
      <c r="F17598" s="38" t="s">
        <v>113</v>
      </c>
      <c r="G17598" s="49" t="str">
        <f t="shared" si="1"/>
        <v>02290</v>
      </c>
      <c r="H17598" s="49" t="str">
        <f t="shared" si="2"/>
        <v>02562</v>
      </c>
    </row>
    <row r="17599">
      <c r="A17599" s="48" t="s">
        <v>5956</v>
      </c>
      <c r="B17599" s="38">
        <v>62681.0</v>
      </c>
      <c r="C17599" s="38" t="s">
        <v>22021</v>
      </c>
      <c r="D17599" s="38" t="str">
        <f>IFERROR(__xludf.DUMMYFUNCTION("REGEXREPLACE(C17599,""-\d+(.*)|--\d+(.*)"","""")"),"QUIESTEDE")</f>
        <v>QUIESTEDE</v>
      </c>
      <c r="E17599" s="38" t="s">
        <v>109</v>
      </c>
      <c r="F17599" s="38" t="s">
        <v>86</v>
      </c>
      <c r="G17599" s="49" t="str">
        <f t="shared" si="1"/>
        <v>62120</v>
      </c>
      <c r="H17599" s="49">
        <f t="shared" si="2"/>
        <v>62681</v>
      </c>
    </row>
    <row r="17600">
      <c r="A17600" s="48" t="s">
        <v>1538</v>
      </c>
      <c r="B17600" s="38">
        <v>27530.0</v>
      </c>
      <c r="C17600" s="38" t="s">
        <v>22022</v>
      </c>
      <c r="D17600" s="38" t="str">
        <f>IFERROR(__xludf.DUMMYFUNCTION("REGEXREPLACE(C17600,""-\d+(.*)|--\d+(.*)"","""")"),"SAINT-DENIS-D'AUGERONS")</f>
        <v>SAINT-DENIS-D'AUGERONS</v>
      </c>
      <c r="E17600" s="38" t="s">
        <v>241</v>
      </c>
      <c r="F17600" s="38" t="s">
        <v>134</v>
      </c>
      <c r="G17600" s="49" t="str">
        <f t="shared" si="1"/>
        <v>27390</v>
      </c>
      <c r="H17600" s="49">
        <f t="shared" si="2"/>
        <v>27530</v>
      </c>
    </row>
    <row r="17601">
      <c r="A17601" s="48" t="s">
        <v>4605</v>
      </c>
      <c r="B17601" s="38">
        <v>39101.0</v>
      </c>
      <c r="C17601" s="38" t="s">
        <v>22023</v>
      </c>
      <c r="D17601" s="38" t="str">
        <f>IFERROR(__xludf.DUMMYFUNCTION("REGEXREPLACE(C17601,""-\d+(.*)|--\d+(.*)"","""")"),"CHAMPVANS")</f>
        <v>CHAMPVANS</v>
      </c>
      <c r="E17601" s="38" t="s">
        <v>400</v>
      </c>
      <c r="F17601" s="38" t="s">
        <v>214</v>
      </c>
      <c r="G17601" s="49" t="str">
        <f t="shared" si="1"/>
        <v>39100</v>
      </c>
      <c r="H17601" s="49">
        <f t="shared" si="2"/>
        <v>39101</v>
      </c>
    </row>
    <row r="17602">
      <c r="A17602" s="48" t="s">
        <v>9688</v>
      </c>
      <c r="B17602" s="38">
        <v>23249.0</v>
      </c>
      <c r="C17602" s="38" t="s">
        <v>22024</v>
      </c>
      <c r="D17602" s="38" t="str">
        <f>IFERROR(__xludf.DUMMYFUNCTION("REGEXREPLACE(C17602,""-\d+(.*)|--\d+(.*)"","""")"),"SAINT-YRIEIX-LA-MONTAGNE")</f>
        <v>SAINT-YRIEIX-LA-MONTAGNE</v>
      </c>
      <c r="E17602" s="38" t="s">
        <v>97</v>
      </c>
      <c r="F17602" s="38" t="s">
        <v>98</v>
      </c>
      <c r="G17602" s="49" t="str">
        <f t="shared" si="1"/>
        <v>23460</v>
      </c>
      <c r="H17602" s="49">
        <f t="shared" si="2"/>
        <v>23249</v>
      </c>
    </row>
    <row r="17603">
      <c r="A17603" s="48" t="s">
        <v>2924</v>
      </c>
      <c r="B17603" s="38">
        <v>8038.0</v>
      </c>
      <c r="C17603" s="38" t="s">
        <v>21180</v>
      </c>
      <c r="D17603" s="38" t="str">
        <f>IFERROR(__xludf.DUMMYFUNCTION("REGEXREPLACE(C17603,""-\d+(.*)|--\d+(.*)"","""")"),"AVANCON")</f>
        <v>AVANCON</v>
      </c>
      <c r="E17603" s="38" t="s">
        <v>327</v>
      </c>
      <c r="F17603" s="38" t="s">
        <v>130</v>
      </c>
      <c r="G17603" s="49" t="str">
        <f t="shared" si="1"/>
        <v>08300</v>
      </c>
      <c r="H17603" s="49" t="str">
        <f t="shared" si="2"/>
        <v>08038</v>
      </c>
    </row>
    <row r="17604">
      <c r="A17604" s="48" t="s">
        <v>5043</v>
      </c>
      <c r="B17604" s="38">
        <v>19098.0</v>
      </c>
      <c r="C17604" s="38" t="s">
        <v>22025</v>
      </c>
      <c r="D17604" s="38" t="str">
        <f>IFERROR(__xludf.DUMMYFUNCTION("REGEXREPLACE(C17604,""-\d+(.*)|--\d+(.*)"","""")"),"LAGARDE-ENVAL")</f>
        <v>LAGARDE-ENVAL</v>
      </c>
      <c r="E17604" s="38" t="s">
        <v>271</v>
      </c>
      <c r="F17604" s="38" t="s">
        <v>98</v>
      </c>
      <c r="G17604" s="49" t="str">
        <f t="shared" si="1"/>
        <v>19150</v>
      </c>
      <c r="H17604" s="49">
        <f t="shared" si="2"/>
        <v>19098</v>
      </c>
    </row>
    <row r="17605">
      <c r="A17605" s="48" t="s">
        <v>22026</v>
      </c>
      <c r="B17605" s="38" t="s">
        <v>22027</v>
      </c>
      <c r="C17605" s="38" t="s">
        <v>22028</v>
      </c>
      <c r="D17605" s="38" t="str">
        <f>IFERROR(__xludf.DUMMYFUNCTION("REGEXREPLACE(C17605,""-\d+(.*)|--\d+(.*)"","""")"),"POGGIOLO")</f>
        <v>POGGIOLO</v>
      </c>
      <c r="E17605" s="38" t="s">
        <v>606</v>
      </c>
      <c r="F17605" s="38" t="s">
        <v>607</v>
      </c>
      <c r="G17605" s="49" t="str">
        <f t="shared" si="1"/>
        <v>20125</v>
      </c>
      <c r="H17605" s="49" t="str">
        <f t="shared" si="2"/>
        <v>2A240</v>
      </c>
    </row>
    <row r="17606">
      <c r="A17606" s="48" t="s">
        <v>15947</v>
      </c>
      <c r="B17606" s="38">
        <v>2784.0</v>
      </c>
      <c r="C17606" s="38" t="s">
        <v>22029</v>
      </c>
      <c r="D17606" s="38" t="str">
        <f>IFERROR(__xludf.DUMMYFUNCTION("REGEXREPLACE(C17606,""-\d+(.*)|--\d+(.*)"","""")"),"PETIT-VERLY")</f>
        <v>PETIT-VERLY</v>
      </c>
      <c r="E17606" s="38" t="s">
        <v>191</v>
      </c>
      <c r="F17606" s="38" t="s">
        <v>113</v>
      </c>
      <c r="G17606" s="49" t="str">
        <f t="shared" si="1"/>
        <v>02630</v>
      </c>
      <c r="H17606" s="49" t="str">
        <f t="shared" si="2"/>
        <v>02784</v>
      </c>
    </row>
    <row r="17607">
      <c r="A17607" s="48" t="s">
        <v>18911</v>
      </c>
      <c r="B17607" s="38">
        <v>14152.0</v>
      </c>
      <c r="C17607" s="38" t="s">
        <v>22030</v>
      </c>
      <c r="D17607" s="38" t="str">
        <f>IFERROR(__xludf.DUMMYFUNCTION("REGEXREPLACE(C17607,""-\d+(.*)|--\d+(.*)"","""")"),"LA CHAPELLE-ENGERBOLD")</f>
        <v>LA CHAPELLE-ENGERBOLD</v>
      </c>
      <c r="E17607" s="38" t="s">
        <v>137</v>
      </c>
      <c r="F17607" s="38" t="s">
        <v>138</v>
      </c>
      <c r="G17607" s="49" t="str">
        <f t="shared" si="1"/>
        <v>14770</v>
      </c>
      <c r="H17607" s="49">
        <f t="shared" si="2"/>
        <v>14152</v>
      </c>
    </row>
    <row r="17608">
      <c r="A17608" s="48" t="s">
        <v>19921</v>
      </c>
      <c r="B17608" s="38">
        <v>57153.0</v>
      </c>
      <c r="C17608" s="38" t="s">
        <v>22031</v>
      </c>
      <c r="D17608" s="38" t="str">
        <f>IFERROR(__xludf.DUMMYFUNCTION("REGEXREPLACE(C17608,""-\d+(.*)|--\d+(.*)"","""")"),"CORNY-SUR-MOSELLE")</f>
        <v>CORNY-SUR-MOSELLE</v>
      </c>
      <c r="E17608" s="38" t="s">
        <v>303</v>
      </c>
      <c r="F17608" s="38" t="s">
        <v>195</v>
      </c>
      <c r="G17608" s="49" t="str">
        <f t="shared" si="1"/>
        <v>57680</v>
      </c>
      <c r="H17608" s="49">
        <f t="shared" si="2"/>
        <v>57153</v>
      </c>
    </row>
    <row r="17609">
      <c r="A17609" s="48" t="s">
        <v>1341</v>
      </c>
      <c r="B17609" s="38">
        <v>14169.0</v>
      </c>
      <c r="C17609" s="38" t="s">
        <v>22032</v>
      </c>
      <c r="D17609" s="38" t="str">
        <f>IFERROR(__xludf.DUMMYFUNCTION("REGEXREPLACE(C17609,""-\d+(.*)|--\d+(.*)"","""")"),"COLOMBIERS-SUR-SEULLES")</f>
        <v>COLOMBIERS-SUR-SEULLES</v>
      </c>
      <c r="E17609" s="38" t="s">
        <v>137</v>
      </c>
      <c r="F17609" s="38" t="s">
        <v>138</v>
      </c>
      <c r="G17609" s="49" t="str">
        <f t="shared" si="1"/>
        <v>14480</v>
      </c>
      <c r="H17609" s="49">
        <f t="shared" si="2"/>
        <v>14169</v>
      </c>
    </row>
    <row r="17610">
      <c r="A17610" s="48" t="s">
        <v>2526</v>
      </c>
      <c r="B17610" s="38">
        <v>70340.0</v>
      </c>
      <c r="C17610" s="38" t="s">
        <v>22033</v>
      </c>
      <c r="D17610" s="38" t="str">
        <f>IFERROR(__xludf.DUMMYFUNCTION("REGEXREPLACE(C17610,""-\d+(.*)|--\d+(.*)"","""")"),"MEMBREY")</f>
        <v>MEMBREY</v>
      </c>
      <c r="E17610" s="38" t="s">
        <v>956</v>
      </c>
      <c r="F17610" s="38" t="s">
        <v>214</v>
      </c>
      <c r="G17610" s="49" t="str">
        <f t="shared" si="1"/>
        <v>70180</v>
      </c>
      <c r="H17610" s="49">
        <f t="shared" si="2"/>
        <v>70340</v>
      </c>
    </row>
    <row r="17611">
      <c r="A17611" s="48" t="s">
        <v>7893</v>
      </c>
      <c r="B17611" s="38">
        <v>63248.0</v>
      </c>
      <c r="C17611" s="38" t="s">
        <v>22034</v>
      </c>
      <c r="D17611" s="38" t="str">
        <f>IFERROR(__xludf.DUMMYFUNCTION("REGEXREPLACE(C17611,""-\d+(.*)|--\d+(.*)"","""")"),"NEBOUZAT")</f>
        <v>NEBOUZAT</v>
      </c>
      <c r="E17611" s="38" t="s">
        <v>353</v>
      </c>
      <c r="F17611" s="38" t="s">
        <v>161</v>
      </c>
      <c r="G17611" s="49" t="str">
        <f t="shared" si="1"/>
        <v>63210</v>
      </c>
      <c r="H17611" s="49">
        <f t="shared" si="2"/>
        <v>63248</v>
      </c>
    </row>
    <row r="17612">
      <c r="A17612" s="48" t="s">
        <v>22035</v>
      </c>
      <c r="B17612" s="38">
        <v>17323.0</v>
      </c>
      <c r="C17612" s="38" t="s">
        <v>22036</v>
      </c>
      <c r="D17612" s="38" t="str">
        <f>IFERROR(__xludf.DUMMYFUNCTION("REGEXREPLACE(C17612,""-\d+(.*)|--\d+(.*)"","""")"),"SAINT-DENIS-D'OLERON")</f>
        <v>SAINT-DENIS-D'OLERON</v>
      </c>
      <c r="E17612" s="38" t="s">
        <v>488</v>
      </c>
      <c r="F17612" s="38" t="s">
        <v>338</v>
      </c>
      <c r="G17612" s="49" t="str">
        <f t="shared" si="1"/>
        <v>17650</v>
      </c>
      <c r="H17612" s="49">
        <f t="shared" si="2"/>
        <v>17323</v>
      </c>
    </row>
    <row r="17613">
      <c r="A17613" s="48" t="s">
        <v>22037</v>
      </c>
      <c r="B17613" s="38">
        <v>95256.0</v>
      </c>
      <c r="C17613" s="38" t="s">
        <v>22038</v>
      </c>
      <c r="D17613" s="38" t="str">
        <f>IFERROR(__xludf.DUMMYFUNCTION("REGEXREPLACE(C17613,""-\d+(.*)|--\d+(.*)"","""")"),"FREPILLON")</f>
        <v>FREPILLON</v>
      </c>
      <c r="E17613" s="38" t="s">
        <v>541</v>
      </c>
      <c r="F17613" s="38" t="s">
        <v>245</v>
      </c>
      <c r="G17613" s="49" t="str">
        <f t="shared" si="1"/>
        <v>95740</v>
      </c>
      <c r="H17613" s="49">
        <f t="shared" si="2"/>
        <v>95256</v>
      </c>
    </row>
    <row r="17614">
      <c r="A17614" s="48" t="s">
        <v>2826</v>
      </c>
      <c r="B17614" s="38">
        <v>60326.0</v>
      </c>
      <c r="C17614" s="38" t="s">
        <v>5881</v>
      </c>
      <c r="D17614" s="38" t="str">
        <f>IFERROR(__xludf.DUMMYFUNCTION("REGEXREPLACE(C17614,""-\d+(.*)|--\d+(.*)"","""")"),"JONQUIERES")</f>
        <v>JONQUIERES</v>
      </c>
      <c r="E17614" s="38" t="s">
        <v>112</v>
      </c>
      <c r="F17614" s="38" t="s">
        <v>113</v>
      </c>
      <c r="G17614" s="49" t="str">
        <f t="shared" si="1"/>
        <v>60680</v>
      </c>
      <c r="H17614" s="49">
        <f t="shared" si="2"/>
        <v>60326</v>
      </c>
    </row>
    <row r="17615">
      <c r="A17615" s="48" t="s">
        <v>5453</v>
      </c>
      <c r="B17615" s="38">
        <v>52353.0</v>
      </c>
      <c r="C17615" s="38" t="s">
        <v>22039</v>
      </c>
      <c r="D17615" s="38" t="str">
        <f>IFERROR(__xludf.DUMMYFUNCTION("REGEXREPLACE(C17615,""-\d+(.*)|--\d+(.*)"","""")"),"NOGENT")</f>
        <v>NOGENT</v>
      </c>
      <c r="E17615" s="38" t="s">
        <v>234</v>
      </c>
      <c r="F17615" s="38" t="s">
        <v>130</v>
      </c>
      <c r="G17615" s="49" t="str">
        <f t="shared" si="1"/>
        <v>52800</v>
      </c>
      <c r="H17615" s="49">
        <f t="shared" si="2"/>
        <v>52353</v>
      </c>
    </row>
    <row r="17616">
      <c r="A17616" s="48" t="s">
        <v>9797</v>
      </c>
      <c r="B17616" s="38">
        <v>29146.0</v>
      </c>
      <c r="C17616" s="38" t="s">
        <v>22040</v>
      </c>
      <c r="D17616" s="38" t="str">
        <f>IFERROR(__xludf.DUMMYFUNCTION("REGEXREPLACE(C17616,""-\d+(.*)|--\d+(.*)"","""")"),"MELGVEN")</f>
        <v>MELGVEN</v>
      </c>
      <c r="E17616" s="38" t="s">
        <v>176</v>
      </c>
      <c r="F17616" s="38" t="s">
        <v>90</v>
      </c>
      <c r="G17616" s="49" t="str">
        <f t="shared" si="1"/>
        <v>29140</v>
      </c>
      <c r="H17616" s="49">
        <f t="shared" si="2"/>
        <v>29146</v>
      </c>
    </row>
    <row r="17617">
      <c r="A17617" s="48" t="s">
        <v>3439</v>
      </c>
      <c r="B17617" s="38">
        <v>86097.0</v>
      </c>
      <c r="C17617" s="38" t="s">
        <v>22041</v>
      </c>
      <c r="D17617" s="38" t="str">
        <f>IFERROR(__xludf.DUMMYFUNCTION("REGEXREPLACE(C17617,""-\d+(.*)|--\d+(.*)"","""")"),"LA FERRIERE-AIROUX")</f>
        <v>LA FERRIERE-AIROUX</v>
      </c>
      <c r="E17617" s="38" t="s">
        <v>529</v>
      </c>
      <c r="F17617" s="38" t="s">
        <v>338</v>
      </c>
      <c r="G17617" s="49" t="str">
        <f t="shared" si="1"/>
        <v>86160</v>
      </c>
      <c r="H17617" s="49">
        <f t="shared" si="2"/>
        <v>86097</v>
      </c>
    </row>
    <row r="17618">
      <c r="A17618" s="48" t="s">
        <v>775</v>
      </c>
      <c r="B17618" s="38">
        <v>14695.0</v>
      </c>
      <c r="C17618" s="38" t="s">
        <v>22042</v>
      </c>
      <c r="D17618" s="38" t="str">
        <f>IFERROR(__xludf.DUMMYFUNCTION("REGEXREPLACE(C17618,""-\d+(.*)|--\d+(.*)"","""")"),"TORTEVAL-QUESNAY")</f>
        <v>TORTEVAL-QUESNAY</v>
      </c>
      <c r="E17618" s="38" t="s">
        <v>137</v>
      </c>
      <c r="F17618" s="38" t="s">
        <v>138</v>
      </c>
      <c r="G17618" s="49" t="str">
        <f t="shared" si="1"/>
        <v>14240</v>
      </c>
      <c r="H17618" s="49">
        <f t="shared" si="2"/>
        <v>14695</v>
      </c>
    </row>
    <row r="17619">
      <c r="A17619" s="48" t="s">
        <v>5743</v>
      </c>
      <c r="B17619" s="38">
        <v>52159.0</v>
      </c>
      <c r="C17619" s="38" t="s">
        <v>22043</v>
      </c>
      <c r="D17619" s="38" t="str">
        <f>IFERROR(__xludf.DUMMYFUNCTION("REGEXREPLACE(C17619,""-\d+(.*)|--\d+(.*)"","""")"),"CUVES")</f>
        <v>CUVES</v>
      </c>
      <c r="E17619" s="38" t="s">
        <v>234</v>
      </c>
      <c r="F17619" s="38" t="s">
        <v>130</v>
      </c>
      <c r="G17619" s="49" t="str">
        <f t="shared" si="1"/>
        <v>52240</v>
      </c>
      <c r="H17619" s="49">
        <f t="shared" si="2"/>
        <v>52159</v>
      </c>
    </row>
    <row r="17620">
      <c r="A17620" s="48" t="s">
        <v>4354</v>
      </c>
      <c r="B17620" s="38">
        <v>72373.0</v>
      </c>
      <c r="C17620" s="38" t="s">
        <v>22044</v>
      </c>
      <c r="D17620" s="38" t="str">
        <f>IFERROR(__xludf.DUMMYFUNCTION("REGEXREPLACE(C17620,""-\d+(.*)|--\d+(.*)"","""")"),"VIBRAYE")</f>
        <v>VIBRAYE</v>
      </c>
      <c r="E17620" s="38" t="s">
        <v>521</v>
      </c>
      <c r="F17620" s="38" t="s">
        <v>180</v>
      </c>
      <c r="G17620" s="49" t="str">
        <f t="shared" si="1"/>
        <v>72320</v>
      </c>
      <c r="H17620" s="49">
        <f t="shared" si="2"/>
        <v>72373</v>
      </c>
    </row>
    <row r="17621">
      <c r="A17621" s="48" t="s">
        <v>2033</v>
      </c>
      <c r="B17621" s="38">
        <v>18256.0</v>
      </c>
      <c r="C17621" s="38" t="s">
        <v>2737</v>
      </c>
      <c r="D17621" s="38" t="str">
        <f>IFERROR(__xludf.DUMMYFUNCTION("REGEXREPLACE(C17621,""-\d+(.*)|--\d+(.*)"","""")"),"SUBLIGNY")</f>
        <v>SUBLIGNY</v>
      </c>
      <c r="E17621" s="38" t="s">
        <v>504</v>
      </c>
      <c r="F17621" s="38" t="s">
        <v>123</v>
      </c>
      <c r="G17621" s="49" t="str">
        <f t="shared" si="1"/>
        <v>18260</v>
      </c>
      <c r="H17621" s="49">
        <f t="shared" si="2"/>
        <v>18256</v>
      </c>
    </row>
    <row r="17622">
      <c r="A17622" s="48" t="s">
        <v>3637</v>
      </c>
      <c r="B17622" s="38">
        <v>63229.0</v>
      </c>
      <c r="C17622" s="38" t="s">
        <v>22045</v>
      </c>
      <c r="D17622" s="38" t="str">
        <f>IFERROR(__xludf.DUMMYFUNCTION("REGEXREPLACE(C17622,""-\d+(.*)|--\d+(.*)"","""")"),"MOISSAT")</f>
        <v>MOISSAT</v>
      </c>
      <c r="E17622" s="38" t="s">
        <v>353</v>
      </c>
      <c r="F17622" s="38" t="s">
        <v>161</v>
      </c>
      <c r="G17622" s="49" t="str">
        <f t="shared" si="1"/>
        <v>63190</v>
      </c>
      <c r="H17622" s="49">
        <f t="shared" si="2"/>
        <v>63229</v>
      </c>
    </row>
    <row r="17623">
      <c r="A17623" s="48" t="s">
        <v>3633</v>
      </c>
      <c r="B17623" s="38">
        <v>48129.0</v>
      </c>
      <c r="C17623" s="38" t="s">
        <v>22046</v>
      </c>
      <c r="D17623" s="38" t="str">
        <f>IFERROR(__xludf.DUMMYFUNCTION("REGEXREPLACE(C17623,""-\d+(.*)|--\d+(.*)"","""")"),"ROCLES")</f>
        <v>ROCLES</v>
      </c>
      <c r="E17623" s="38" t="s">
        <v>154</v>
      </c>
      <c r="F17623" s="38" t="s">
        <v>119</v>
      </c>
      <c r="G17623" s="49" t="str">
        <f t="shared" si="1"/>
        <v>48300</v>
      </c>
      <c r="H17623" s="49">
        <f t="shared" si="2"/>
        <v>48129</v>
      </c>
    </row>
    <row r="17624">
      <c r="A17624" s="48" t="s">
        <v>1883</v>
      </c>
      <c r="B17624" s="38">
        <v>39284.0</v>
      </c>
      <c r="C17624" s="38" t="s">
        <v>22047</v>
      </c>
      <c r="D17624" s="38" t="str">
        <f>IFERROR(__xludf.DUMMYFUNCTION("REGEXREPLACE(C17624,""-\d+(.*)|--\d+(.*)"","""")"),"LAVANGEOT")</f>
        <v>LAVANGEOT</v>
      </c>
      <c r="E17624" s="38" t="s">
        <v>400</v>
      </c>
      <c r="F17624" s="38" t="s">
        <v>214</v>
      </c>
      <c r="G17624" s="49" t="str">
        <f t="shared" si="1"/>
        <v>39700</v>
      </c>
      <c r="H17624" s="49">
        <f t="shared" si="2"/>
        <v>39284</v>
      </c>
    </row>
    <row r="17625">
      <c r="A17625" s="48" t="s">
        <v>4895</v>
      </c>
      <c r="B17625" s="38">
        <v>34256.0</v>
      </c>
      <c r="C17625" s="38" t="s">
        <v>22048</v>
      </c>
      <c r="D17625" s="38" t="str">
        <f>IFERROR(__xludf.DUMMYFUNCTION("REGEXREPLACE(C17625,""-\d+(.*)|--\d+(.*)"","""")"),"SAINT-GENIES-DES-MOURGUES")</f>
        <v>SAINT-GENIES-DES-MOURGUES</v>
      </c>
      <c r="E17625" s="38" t="s">
        <v>118</v>
      </c>
      <c r="F17625" s="38" t="s">
        <v>119</v>
      </c>
      <c r="G17625" s="49" t="str">
        <f t="shared" si="1"/>
        <v>34160</v>
      </c>
      <c r="H17625" s="49">
        <f t="shared" si="2"/>
        <v>34256</v>
      </c>
    </row>
    <row r="17626">
      <c r="A17626" s="48" t="s">
        <v>639</v>
      </c>
      <c r="B17626" s="38">
        <v>16221.0</v>
      </c>
      <c r="C17626" s="38" t="s">
        <v>2405</v>
      </c>
      <c r="D17626" s="38" t="str">
        <f>IFERROR(__xludf.DUMMYFUNCTION("REGEXREPLACE(C17626,""-\d+(.*)|--\d+(.*)"","""")"),"MONS")</f>
        <v>MONS</v>
      </c>
      <c r="E17626" s="38" t="s">
        <v>429</v>
      </c>
      <c r="F17626" s="38" t="s">
        <v>338</v>
      </c>
      <c r="G17626" s="49" t="str">
        <f t="shared" si="1"/>
        <v>16140</v>
      </c>
      <c r="H17626" s="49">
        <f t="shared" si="2"/>
        <v>16221</v>
      </c>
    </row>
    <row r="17627">
      <c r="A17627" s="48" t="s">
        <v>4032</v>
      </c>
      <c r="B17627" s="38">
        <v>17147.0</v>
      </c>
      <c r="C17627" s="38" t="s">
        <v>22049</v>
      </c>
      <c r="D17627" s="38" t="str">
        <f>IFERROR(__xludf.DUMMYFUNCTION("REGEXREPLACE(C17627,""-\d+(.*)|--\d+(.*)"","""")"),"ECOYEUX")</f>
        <v>ECOYEUX</v>
      </c>
      <c r="E17627" s="38" t="s">
        <v>488</v>
      </c>
      <c r="F17627" s="38" t="s">
        <v>338</v>
      </c>
      <c r="G17627" s="49" t="str">
        <f t="shared" si="1"/>
        <v>17770</v>
      </c>
      <c r="H17627" s="49">
        <f t="shared" si="2"/>
        <v>17147</v>
      </c>
    </row>
    <row r="17628">
      <c r="A17628" s="48" t="s">
        <v>1908</v>
      </c>
      <c r="B17628" s="38">
        <v>62221.0</v>
      </c>
      <c r="C17628" s="38" t="s">
        <v>22050</v>
      </c>
      <c r="D17628" s="38" t="str">
        <f>IFERROR(__xludf.DUMMYFUNCTION("REGEXREPLACE(C17628,""-\d+(.*)|--\d+(.*)"","""")"),"CHELERS")</f>
        <v>CHELERS</v>
      </c>
      <c r="E17628" s="38" t="s">
        <v>109</v>
      </c>
      <c r="F17628" s="38" t="s">
        <v>86</v>
      </c>
      <c r="G17628" s="49" t="str">
        <f t="shared" si="1"/>
        <v>62127</v>
      </c>
      <c r="H17628" s="49">
        <f t="shared" si="2"/>
        <v>62221</v>
      </c>
    </row>
    <row r="17629">
      <c r="A17629" s="48" t="s">
        <v>22051</v>
      </c>
      <c r="B17629" s="38">
        <v>56031.0</v>
      </c>
      <c r="C17629" s="38" t="s">
        <v>22052</v>
      </c>
      <c r="D17629" s="38" t="str">
        <f>IFERROR(__xludf.DUMMYFUNCTION("REGEXREPLACE(C17629,""-\d+(.*)|--\d+(.*)"","""")"),"CAMORS")</f>
        <v>CAMORS</v>
      </c>
      <c r="E17629" s="38" t="s">
        <v>173</v>
      </c>
      <c r="F17629" s="38" t="s">
        <v>90</v>
      </c>
      <c r="G17629" s="49" t="str">
        <f t="shared" si="1"/>
        <v>56330</v>
      </c>
      <c r="H17629" s="49">
        <f t="shared" si="2"/>
        <v>56031</v>
      </c>
    </row>
    <row r="17630">
      <c r="A17630" s="48" t="s">
        <v>1572</v>
      </c>
      <c r="B17630" s="38">
        <v>32120.0</v>
      </c>
      <c r="C17630" s="38" t="s">
        <v>22053</v>
      </c>
      <c r="D17630" s="38" t="str">
        <f>IFERROR(__xludf.DUMMYFUNCTION("REGEXREPLACE(C17630,""-\d+(.*)|--\d+(.*)"","""")"),"ENCAUSSE")</f>
        <v>ENCAUSSE</v>
      </c>
      <c r="E17630" s="38" t="s">
        <v>440</v>
      </c>
      <c r="F17630" s="38" t="s">
        <v>94</v>
      </c>
      <c r="G17630" s="49" t="str">
        <f t="shared" si="1"/>
        <v>32430</v>
      </c>
      <c r="H17630" s="49">
        <f t="shared" si="2"/>
        <v>32120</v>
      </c>
    </row>
    <row r="17631">
      <c r="A17631" s="48" t="s">
        <v>22054</v>
      </c>
      <c r="B17631" s="38">
        <v>13032.0</v>
      </c>
      <c r="C17631" s="38" t="s">
        <v>22055</v>
      </c>
      <c r="D17631" s="38" t="str">
        <f>IFERROR(__xludf.DUMMYFUNCTION("REGEXREPLACE(C17631,""-\d+(.*)|--\d+(.*)"","""")"),"EGUILLES")</f>
        <v>EGUILLES</v>
      </c>
      <c r="E17631" s="38" t="s">
        <v>980</v>
      </c>
      <c r="F17631" s="38" t="s">
        <v>228</v>
      </c>
      <c r="G17631" s="49" t="str">
        <f t="shared" si="1"/>
        <v>13510</v>
      </c>
      <c r="H17631" s="49">
        <f t="shared" si="2"/>
        <v>13032</v>
      </c>
    </row>
    <row r="17632">
      <c r="A17632" s="48" t="s">
        <v>3898</v>
      </c>
      <c r="B17632" s="38">
        <v>65257.0</v>
      </c>
      <c r="C17632" s="38" t="s">
        <v>22056</v>
      </c>
      <c r="D17632" s="38" t="str">
        <f>IFERROR(__xludf.DUMMYFUNCTION("REGEXREPLACE(C17632,""-\d+(.*)|--\d+(.*)"","""")"),"LANNE")</f>
        <v>LANNE</v>
      </c>
      <c r="E17632" s="38" t="s">
        <v>200</v>
      </c>
      <c r="F17632" s="38" t="s">
        <v>94</v>
      </c>
      <c r="G17632" s="49" t="str">
        <f t="shared" si="1"/>
        <v>65380</v>
      </c>
      <c r="H17632" s="49">
        <f t="shared" si="2"/>
        <v>65257</v>
      </c>
    </row>
    <row r="17633">
      <c r="A17633" s="48" t="s">
        <v>3681</v>
      </c>
      <c r="B17633" s="38">
        <v>39164.0</v>
      </c>
      <c r="C17633" s="38" t="s">
        <v>22057</v>
      </c>
      <c r="D17633" s="38" t="str">
        <f>IFERROR(__xludf.DUMMYFUNCTION("REGEXREPLACE(C17633,""-\d+(.*)|--\d+(.*)"","""")"),"CONLIEGE")</f>
        <v>CONLIEGE</v>
      </c>
      <c r="E17633" s="38" t="s">
        <v>400</v>
      </c>
      <c r="F17633" s="38" t="s">
        <v>214</v>
      </c>
      <c r="G17633" s="49" t="str">
        <f t="shared" si="1"/>
        <v>39570</v>
      </c>
      <c r="H17633" s="49">
        <f t="shared" si="2"/>
        <v>39164</v>
      </c>
    </row>
    <row r="17634">
      <c r="A17634" s="48" t="s">
        <v>6078</v>
      </c>
      <c r="B17634" s="38">
        <v>10267.0</v>
      </c>
      <c r="C17634" s="38" t="s">
        <v>22058</v>
      </c>
      <c r="D17634" s="38" t="str">
        <f>IFERROR(__xludf.DUMMYFUNCTION("REGEXREPLACE(C17634,""-\d+(.*)|--\d+(.*)"","""")"),"NOGENT-SUR-AUBE")</f>
        <v>NOGENT-SUR-AUBE</v>
      </c>
      <c r="E17634" s="38" t="s">
        <v>147</v>
      </c>
      <c r="F17634" s="38" t="s">
        <v>130</v>
      </c>
      <c r="G17634" s="49" t="str">
        <f t="shared" si="1"/>
        <v>10240</v>
      </c>
      <c r="H17634" s="49">
        <f t="shared" si="2"/>
        <v>10267</v>
      </c>
    </row>
    <row r="17635">
      <c r="A17635" s="48" t="s">
        <v>3783</v>
      </c>
      <c r="B17635" s="38">
        <v>62791.0</v>
      </c>
      <c r="C17635" s="38" t="s">
        <v>22059</v>
      </c>
      <c r="D17635" s="38" t="str">
        <f>IFERROR(__xludf.DUMMYFUNCTION("REGEXREPLACE(C17635,""-\d+(.*)|--\d+(.*)"","""")"),"SERICOURT")</f>
        <v>SERICOURT</v>
      </c>
      <c r="E17635" s="38" t="s">
        <v>109</v>
      </c>
      <c r="F17635" s="38" t="s">
        <v>86</v>
      </c>
      <c r="G17635" s="49" t="str">
        <f t="shared" si="1"/>
        <v>62270</v>
      </c>
      <c r="H17635" s="49">
        <f t="shared" si="2"/>
        <v>62791</v>
      </c>
    </row>
    <row r="17636">
      <c r="A17636" s="48" t="s">
        <v>15015</v>
      </c>
      <c r="B17636" s="38">
        <v>9291.0</v>
      </c>
      <c r="C17636" s="38" t="s">
        <v>22060</v>
      </c>
      <c r="D17636" s="38" t="str">
        <f>IFERROR(__xludf.DUMMYFUNCTION("REGEXREPLACE(C17636,""-\d+(.*)|--\d+(.*)"","""")"),"SENTENAC-D'OUST")</f>
        <v>SENTENAC-D'OUST</v>
      </c>
      <c r="E17636" s="38" t="s">
        <v>238</v>
      </c>
      <c r="F17636" s="38" t="s">
        <v>94</v>
      </c>
      <c r="G17636" s="49" t="str">
        <f t="shared" si="1"/>
        <v>09140</v>
      </c>
      <c r="H17636" s="49" t="str">
        <f t="shared" si="2"/>
        <v>09291</v>
      </c>
    </row>
    <row r="17637">
      <c r="A17637" s="48" t="s">
        <v>7512</v>
      </c>
      <c r="B17637" s="38">
        <v>35220.0</v>
      </c>
      <c r="C17637" s="38" t="s">
        <v>22061</v>
      </c>
      <c r="D17637" s="38" t="str">
        <f>IFERROR(__xludf.DUMMYFUNCTION("REGEXREPLACE(C17637,""-\d+(.*)|--\d+(.*)"","""")"),"PIRE-SUR-SEICHE")</f>
        <v>PIRE-SUR-SEICHE</v>
      </c>
      <c r="E17637" s="38" t="s">
        <v>347</v>
      </c>
      <c r="F17637" s="38" t="s">
        <v>90</v>
      </c>
      <c r="G17637" s="49" t="str">
        <f t="shared" si="1"/>
        <v>35150</v>
      </c>
      <c r="H17637" s="49">
        <f t="shared" si="2"/>
        <v>35220</v>
      </c>
    </row>
    <row r="17638">
      <c r="A17638" s="48" t="s">
        <v>1347</v>
      </c>
      <c r="B17638" s="38">
        <v>16017.0</v>
      </c>
      <c r="C17638" s="38" t="s">
        <v>22062</v>
      </c>
      <c r="D17638" s="38" t="str">
        <f>IFERROR(__xludf.DUMMYFUNCTION("REGEXREPLACE(C17638,""-\d+(.*)|--\d+(.*)"","""")"),"ANVILLE")</f>
        <v>ANVILLE</v>
      </c>
      <c r="E17638" s="38" t="s">
        <v>429</v>
      </c>
      <c r="F17638" s="38" t="s">
        <v>338</v>
      </c>
      <c r="G17638" s="49" t="str">
        <f t="shared" si="1"/>
        <v>16170</v>
      </c>
      <c r="H17638" s="49">
        <f t="shared" si="2"/>
        <v>16017</v>
      </c>
    </row>
    <row r="17639">
      <c r="A17639" s="48" t="s">
        <v>11972</v>
      </c>
      <c r="B17639" s="38">
        <v>89469.0</v>
      </c>
      <c r="C17639" s="38" t="s">
        <v>22063</v>
      </c>
      <c r="D17639" s="38" t="str">
        <f>IFERROR(__xludf.DUMMYFUNCTION("REGEXREPLACE(C17639,""-\d+(.*)|--\d+(.*)"","""")"),"PERCENEIGE")</f>
        <v>PERCENEIGE</v>
      </c>
      <c r="E17639" s="38" t="s">
        <v>275</v>
      </c>
      <c r="F17639" s="38" t="s">
        <v>106</v>
      </c>
      <c r="G17639" s="49" t="str">
        <f t="shared" si="1"/>
        <v>89260</v>
      </c>
      <c r="H17639" s="49">
        <f t="shared" si="2"/>
        <v>89469</v>
      </c>
    </row>
    <row r="17640">
      <c r="A17640" s="48" t="s">
        <v>2120</v>
      </c>
      <c r="B17640" s="38">
        <v>50238.0</v>
      </c>
      <c r="C17640" s="38" t="s">
        <v>22064</v>
      </c>
      <c r="D17640" s="38" t="str">
        <f>IFERROR(__xludf.DUMMYFUNCTION("REGEXREPLACE(C17640,""-\d+(.*)|--\d+(.*)"","""")"),"HEAUVILLE")</f>
        <v>HEAUVILLE</v>
      </c>
      <c r="E17640" s="38" t="s">
        <v>157</v>
      </c>
      <c r="F17640" s="38" t="s">
        <v>138</v>
      </c>
      <c r="G17640" s="49" t="str">
        <f t="shared" si="1"/>
        <v>50340</v>
      </c>
      <c r="H17640" s="49">
        <f t="shared" si="2"/>
        <v>50238</v>
      </c>
    </row>
    <row r="17641">
      <c r="A17641" s="48" t="s">
        <v>7602</v>
      </c>
      <c r="B17641" s="38">
        <v>11401.0</v>
      </c>
      <c r="C17641" s="38" t="s">
        <v>22065</v>
      </c>
      <c r="D17641" s="38" t="str">
        <f>IFERROR(__xludf.DUMMYFUNCTION("REGEXREPLACE(C17641,""-\d+(.*)|--\d+(.*)"","""")"),"TUCHAN")</f>
        <v>TUCHAN</v>
      </c>
      <c r="E17641" s="38" t="s">
        <v>278</v>
      </c>
      <c r="F17641" s="38" t="s">
        <v>119</v>
      </c>
      <c r="G17641" s="49" t="str">
        <f t="shared" si="1"/>
        <v>11350</v>
      </c>
      <c r="H17641" s="49">
        <f t="shared" si="2"/>
        <v>11401</v>
      </c>
    </row>
    <row r="17642">
      <c r="A17642" s="48" t="s">
        <v>22066</v>
      </c>
      <c r="B17642" s="38">
        <v>59068.0</v>
      </c>
      <c r="C17642" s="38" t="s">
        <v>22067</v>
      </c>
      <c r="D17642" s="38" t="str">
        <f>IFERROR(__xludf.DUMMYFUNCTION("REGEXREPLACE(C17642,""-\d+(.*)|--\d+(.*)"","""")"),"BERLAIMONT")</f>
        <v>BERLAIMONT</v>
      </c>
      <c r="E17642" s="38" t="s">
        <v>85</v>
      </c>
      <c r="F17642" s="38" t="s">
        <v>86</v>
      </c>
      <c r="G17642" s="49" t="str">
        <f t="shared" si="1"/>
        <v>59145</v>
      </c>
      <c r="H17642" s="49">
        <f t="shared" si="2"/>
        <v>59068</v>
      </c>
    </row>
    <row r="17643">
      <c r="A17643" s="48" t="s">
        <v>4941</v>
      </c>
      <c r="B17643" s="38">
        <v>89243.0</v>
      </c>
      <c r="C17643" s="38" t="s">
        <v>22068</v>
      </c>
      <c r="D17643" s="38" t="str">
        <f>IFERROR(__xludf.DUMMYFUNCTION("REGEXREPLACE(C17643,""-\d+(.*)|--\d+(.*)"","""")"),"MARCHAIS-BETON")</f>
        <v>MARCHAIS-BETON</v>
      </c>
      <c r="E17643" s="38" t="s">
        <v>275</v>
      </c>
      <c r="F17643" s="38" t="s">
        <v>106</v>
      </c>
      <c r="G17643" s="49" t="str">
        <f t="shared" si="1"/>
        <v>89120</v>
      </c>
      <c r="H17643" s="49">
        <f t="shared" si="2"/>
        <v>89243</v>
      </c>
    </row>
    <row r="17644">
      <c r="A17644" s="48" t="s">
        <v>4923</v>
      </c>
      <c r="B17644" s="38">
        <v>61320.0</v>
      </c>
      <c r="C17644" s="38" t="s">
        <v>11088</v>
      </c>
      <c r="D17644" s="38" t="str">
        <f>IFERROR(__xludf.DUMMYFUNCTION("REGEXREPLACE(C17644,""-\d+(.*)|--\d+(.*)"","""")"),"ORVILLE")</f>
        <v>ORVILLE</v>
      </c>
      <c r="E17644" s="38" t="s">
        <v>141</v>
      </c>
      <c r="F17644" s="38" t="s">
        <v>138</v>
      </c>
      <c r="G17644" s="49" t="str">
        <f t="shared" si="1"/>
        <v>61120</v>
      </c>
      <c r="H17644" s="49">
        <f t="shared" si="2"/>
        <v>61320</v>
      </c>
    </row>
    <row r="17645">
      <c r="A17645" s="48" t="s">
        <v>1014</v>
      </c>
      <c r="B17645" s="38">
        <v>11241.0</v>
      </c>
      <c r="C17645" s="38" t="s">
        <v>22069</v>
      </c>
      <c r="D17645" s="38" t="str">
        <f>IFERROR(__xludf.DUMMYFUNCTION("REGEXREPLACE(C17645,""-\d+(.*)|--\d+(.*)"","""")"),"MONTBRUN-DES-CORBIERES")</f>
        <v>MONTBRUN-DES-CORBIERES</v>
      </c>
      <c r="E17645" s="38" t="s">
        <v>278</v>
      </c>
      <c r="F17645" s="38" t="s">
        <v>119</v>
      </c>
      <c r="G17645" s="49" t="str">
        <f t="shared" si="1"/>
        <v>11700</v>
      </c>
      <c r="H17645" s="49">
        <f t="shared" si="2"/>
        <v>11241</v>
      </c>
    </row>
    <row r="17646">
      <c r="A17646" s="48" t="s">
        <v>5702</v>
      </c>
      <c r="B17646" s="38">
        <v>26215.0</v>
      </c>
      <c r="C17646" s="38" t="s">
        <v>22070</v>
      </c>
      <c r="D17646" s="38" t="str">
        <f>IFERROR(__xludf.DUMMYFUNCTION("REGEXREPLACE(C17646,""-\d+(.*)|--\d+(.*)"","""")"),"LA MOTTE-CHALANCON")</f>
        <v>LA MOTTE-CHALANCON</v>
      </c>
      <c r="E17646" s="38" t="s">
        <v>126</v>
      </c>
      <c r="F17646" s="38" t="s">
        <v>102</v>
      </c>
      <c r="G17646" s="49" t="str">
        <f t="shared" si="1"/>
        <v>26470</v>
      </c>
      <c r="H17646" s="49">
        <f t="shared" si="2"/>
        <v>26215</v>
      </c>
    </row>
    <row r="17647">
      <c r="A17647" s="48" t="s">
        <v>7107</v>
      </c>
      <c r="B17647" s="38">
        <v>10045.0</v>
      </c>
      <c r="C17647" s="38" t="s">
        <v>22071</v>
      </c>
      <c r="D17647" s="38" t="str">
        <f>IFERROR(__xludf.DUMMYFUNCTION("REGEXREPLACE(C17647,""-\d+(.*)|--\d+(.*)"","""")"),"BEUREY")</f>
        <v>BEUREY</v>
      </c>
      <c r="E17647" s="38" t="s">
        <v>147</v>
      </c>
      <c r="F17647" s="38" t="s">
        <v>130</v>
      </c>
      <c r="G17647" s="49" t="str">
        <f t="shared" si="1"/>
        <v>10140</v>
      </c>
      <c r="H17647" s="49">
        <f t="shared" si="2"/>
        <v>10045</v>
      </c>
    </row>
    <row r="17648">
      <c r="A17648" s="48" t="s">
        <v>9965</v>
      </c>
      <c r="B17648" s="38">
        <v>19087.0</v>
      </c>
      <c r="C17648" s="38" t="s">
        <v>22072</v>
      </c>
      <c r="D17648" s="38" t="str">
        <f>IFERROR(__xludf.DUMMYFUNCTION("REGEXREPLACE(C17648,""-\d+(.*)|--\d+(.*)"","""")"),"GOURDON-MURAT")</f>
        <v>GOURDON-MURAT</v>
      </c>
      <c r="E17648" s="38" t="s">
        <v>271</v>
      </c>
      <c r="F17648" s="38" t="s">
        <v>98</v>
      </c>
      <c r="G17648" s="49" t="str">
        <f t="shared" si="1"/>
        <v>19170</v>
      </c>
      <c r="H17648" s="49">
        <f t="shared" si="2"/>
        <v>19087</v>
      </c>
    </row>
    <row r="17649">
      <c r="A17649" s="48" t="s">
        <v>1750</v>
      </c>
      <c r="B17649" s="38">
        <v>37152.0</v>
      </c>
      <c r="C17649" s="38" t="s">
        <v>22073</v>
      </c>
      <c r="D17649" s="38" t="str">
        <f>IFERROR(__xludf.DUMMYFUNCTION("REGEXREPLACE(C17649,""-\d+(.*)|--\d+(.*)"","""")"),"METTRAY")</f>
        <v>METTRAY</v>
      </c>
      <c r="E17649" s="38" t="s">
        <v>205</v>
      </c>
      <c r="F17649" s="38" t="s">
        <v>123</v>
      </c>
      <c r="G17649" s="49" t="str">
        <f t="shared" si="1"/>
        <v>37390</v>
      </c>
      <c r="H17649" s="49">
        <f t="shared" si="2"/>
        <v>37152</v>
      </c>
    </row>
    <row r="17650">
      <c r="A17650" s="48" t="s">
        <v>2234</v>
      </c>
      <c r="B17650" s="38">
        <v>30355.0</v>
      </c>
      <c r="C17650" s="38" t="s">
        <v>22074</v>
      </c>
      <c r="D17650" s="38" t="str">
        <f>IFERROR(__xludf.DUMMYFUNCTION("REGEXREPLACE(C17650,""-\d+(.*)|--\d+(.*)"","""")"),"SAINT-PAUL-LES-FONTS")</f>
        <v>SAINT-PAUL-LES-FONTS</v>
      </c>
      <c r="E17650" s="38" t="s">
        <v>526</v>
      </c>
      <c r="F17650" s="38" t="s">
        <v>119</v>
      </c>
      <c r="G17650" s="49" t="str">
        <f t="shared" si="1"/>
        <v>30330</v>
      </c>
      <c r="H17650" s="49">
        <f t="shared" si="2"/>
        <v>30355</v>
      </c>
    </row>
    <row r="17651">
      <c r="A17651" s="48" t="s">
        <v>1713</v>
      </c>
      <c r="B17651" s="38">
        <v>36217.0</v>
      </c>
      <c r="C17651" s="38" t="s">
        <v>22075</v>
      </c>
      <c r="D17651" s="38" t="str">
        <f>IFERROR(__xludf.DUMMYFUNCTION("REGEXREPLACE(C17651,""-\d+(.*)|--\d+(.*)"","""")"),"SEMBLECAY")</f>
        <v>SEMBLECAY</v>
      </c>
      <c r="E17651" s="38" t="s">
        <v>258</v>
      </c>
      <c r="F17651" s="38" t="s">
        <v>123</v>
      </c>
      <c r="G17651" s="49" t="str">
        <f t="shared" si="1"/>
        <v>36210</v>
      </c>
      <c r="H17651" s="49">
        <f t="shared" si="2"/>
        <v>36217</v>
      </c>
    </row>
    <row r="17652">
      <c r="A17652" s="48" t="s">
        <v>18903</v>
      </c>
      <c r="B17652" s="38">
        <v>14660.0</v>
      </c>
      <c r="C17652" s="38" t="s">
        <v>22076</v>
      </c>
      <c r="D17652" s="38" t="str">
        <f>IFERROR(__xludf.DUMMYFUNCTION("REGEXREPLACE(C17652,""-\d+(.*)|--\d+(.*)"","""")"),"SAINT-VAAST-EN-AUGE")</f>
        <v>SAINT-VAAST-EN-AUGE</v>
      </c>
      <c r="E17652" s="38" t="s">
        <v>137</v>
      </c>
      <c r="F17652" s="38" t="s">
        <v>138</v>
      </c>
      <c r="G17652" s="49" t="str">
        <f t="shared" si="1"/>
        <v>14640</v>
      </c>
      <c r="H17652" s="49">
        <f t="shared" si="2"/>
        <v>14660</v>
      </c>
    </row>
    <row r="17653">
      <c r="A17653" s="48" t="s">
        <v>9345</v>
      </c>
      <c r="B17653" s="38">
        <v>22073.0</v>
      </c>
      <c r="C17653" s="38" t="s">
        <v>22077</v>
      </c>
      <c r="D17653" s="38" t="str">
        <f>IFERROR(__xludf.DUMMYFUNCTION("REGEXREPLACE(C17653,""-\d+(.*)|--\d+(.*)"","""")"),"LA HARMOYE")</f>
        <v>LA HARMOYE</v>
      </c>
      <c r="E17653" s="38" t="s">
        <v>89</v>
      </c>
      <c r="F17653" s="38" t="s">
        <v>90</v>
      </c>
      <c r="G17653" s="49" t="str">
        <f t="shared" si="1"/>
        <v>22320</v>
      </c>
      <c r="H17653" s="49">
        <f t="shared" si="2"/>
        <v>22073</v>
      </c>
    </row>
    <row r="17654">
      <c r="A17654" s="48" t="s">
        <v>5358</v>
      </c>
      <c r="B17654" s="38">
        <v>23024.0</v>
      </c>
      <c r="C17654" s="38" t="s">
        <v>22078</v>
      </c>
      <c r="D17654" s="38" t="str">
        <f>IFERROR(__xludf.DUMMYFUNCTION("REGEXREPLACE(C17654,""-\d+(.*)|--\d+(.*)"","""")"),"BLESSAC")</f>
        <v>BLESSAC</v>
      </c>
      <c r="E17654" s="38" t="s">
        <v>97</v>
      </c>
      <c r="F17654" s="38" t="s">
        <v>98</v>
      </c>
      <c r="G17654" s="49" t="str">
        <f t="shared" si="1"/>
        <v>23200</v>
      </c>
      <c r="H17654" s="49">
        <f t="shared" si="2"/>
        <v>23024</v>
      </c>
    </row>
    <row r="17655">
      <c r="A17655" s="48" t="s">
        <v>22079</v>
      </c>
      <c r="B17655" s="38">
        <v>62023.0</v>
      </c>
      <c r="C17655" s="38" t="s">
        <v>22080</v>
      </c>
      <c r="D17655" s="38" t="str">
        <f>IFERROR(__xludf.DUMMYFUNCTION("REGEXREPLACE(C17655,""-\d+(.*)|--\d+(.*)"","""")"),"ALLOUAGNE")</f>
        <v>ALLOUAGNE</v>
      </c>
      <c r="E17655" s="38" t="s">
        <v>109</v>
      </c>
      <c r="F17655" s="38" t="s">
        <v>86</v>
      </c>
      <c r="G17655" s="49" t="str">
        <f t="shared" si="1"/>
        <v>62157</v>
      </c>
      <c r="H17655" s="49">
        <f t="shared" si="2"/>
        <v>62023</v>
      </c>
    </row>
    <row r="17656">
      <c r="A17656" s="48" t="s">
        <v>1435</v>
      </c>
      <c r="B17656" s="38">
        <v>14593.0</v>
      </c>
      <c r="C17656" s="38" t="s">
        <v>22081</v>
      </c>
      <c r="D17656" s="38" t="str">
        <f>IFERROR(__xludf.DUMMYFUNCTION("REGEXREPLACE(C17656,""-\d+(.*)|--\d+(.*)"","""")"),"SAINT-HYMER")</f>
        <v>SAINT-HYMER</v>
      </c>
      <c r="E17656" s="38" t="s">
        <v>137</v>
      </c>
      <c r="F17656" s="38" t="s">
        <v>138</v>
      </c>
      <c r="G17656" s="49" t="str">
        <f t="shared" si="1"/>
        <v>14130</v>
      </c>
      <c r="H17656" s="49">
        <f t="shared" si="2"/>
        <v>14593</v>
      </c>
    </row>
    <row r="17657">
      <c r="A17657" s="48" t="s">
        <v>10970</v>
      </c>
      <c r="B17657" s="38">
        <v>59665.0</v>
      </c>
      <c r="C17657" s="38" t="s">
        <v>22082</v>
      </c>
      <c r="D17657" s="38" t="str">
        <f>IFERROR(__xludf.DUMMYFUNCTION("REGEXREPLACE(C17657,""-\d+(.*)|--\d+(.*)"","""")"),"WYLDER")</f>
        <v>WYLDER</v>
      </c>
      <c r="E17657" s="38" t="s">
        <v>85</v>
      </c>
      <c r="F17657" s="38" t="s">
        <v>86</v>
      </c>
      <c r="G17657" s="49" t="str">
        <f t="shared" si="1"/>
        <v>59380</v>
      </c>
      <c r="H17657" s="49">
        <f t="shared" si="2"/>
        <v>59665</v>
      </c>
    </row>
    <row r="17658">
      <c r="A17658" s="48" t="s">
        <v>6414</v>
      </c>
      <c r="B17658" s="38">
        <v>34312.0</v>
      </c>
      <c r="C17658" s="38" t="s">
        <v>22083</v>
      </c>
      <c r="D17658" s="38" t="str">
        <f>IFERROR(__xludf.DUMMYFUNCTION("REGEXREPLACE(C17658,""-\d+(.*)|--\d+(.*)"","""")"),"LA TOUR-SUR-ORB")</f>
        <v>LA TOUR-SUR-ORB</v>
      </c>
      <c r="E17658" s="38" t="s">
        <v>118</v>
      </c>
      <c r="F17658" s="38" t="s">
        <v>119</v>
      </c>
      <c r="G17658" s="49" t="str">
        <f t="shared" si="1"/>
        <v>34260</v>
      </c>
      <c r="H17658" s="49">
        <f t="shared" si="2"/>
        <v>34312</v>
      </c>
    </row>
    <row r="17659">
      <c r="A17659" s="48" t="s">
        <v>2368</v>
      </c>
      <c r="B17659" s="38">
        <v>65255.0</v>
      </c>
      <c r="C17659" s="38" t="s">
        <v>14228</v>
      </c>
      <c r="D17659" s="38" t="str">
        <f>IFERROR(__xludf.DUMMYFUNCTION("REGEXREPLACE(C17659,""-\d+(.*)|--\d+(.*)"","""")"),"LANCON")</f>
        <v>LANCON</v>
      </c>
      <c r="E17659" s="38" t="s">
        <v>200</v>
      </c>
      <c r="F17659" s="38" t="s">
        <v>94</v>
      </c>
      <c r="G17659" s="49" t="str">
        <f t="shared" si="1"/>
        <v>65240</v>
      </c>
      <c r="H17659" s="49">
        <f t="shared" si="2"/>
        <v>65255</v>
      </c>
    </row>
    <row r="17660">
      <c r="A17660" s="48" t="s">
        <v>4697</v>
      </c>
      <c r="B17660" s="38">
        <v>67203.0</v>
      </c>
      <c r="C17660" s="38" t="s">
        <v>22084</v>
      </c>
      <c r="D17660" s="38" t="str">
        <f>IFERROR(__xludf.DUMMYFUNCTION("REGEXREPLACE(C17660,""-\d+(.*)|--\d+(.*)"","""")"),"HOCHSTETT")</f>
        <v>HOCHSTETT</v>
      </c>
      <c r="E17660" s="38" t="s">
        <v>210</v>
      </c>
      <c r="F17660" s="38" t="s">
        <v>151</v>
      </c>
      <c r="G17660" s="49" t="str">
        <f t="shared" si="1"/>
        <v>67170</v>
      </c>
      <c r="H17660" s="49">
        <f t="shared" si="2"/>
        <v>67203</v>
      </c>
    </row>
    <row r="17661">
      <c r="A17661" s="48" t="s">
        <v>3819</v>
      </c>
      <c r="B17661" s="38">
        <v>38041.0</v>
      </c>
      <c r="C17661" s="38" t="s">
        <v>22085</v>
      </c>
      <c r="D17661" s="38" t="str">
        <f>IFERROR(__xludf.DUMMYFUNCTION("REGEXREPLACE(C17661,""-\d+(.*)|--\d+(.*)"","""")"),"BESSINS")</f>
        <v>BESSINS</v>
      </c>
      <c r="E17661" s="38" t="s">
        <v>101</v>
      </c>
      <c r="F17661" s="38" t="s">
        <v>102</v>
      </c>
      <c r="G17661" s="49" t="str">
        <f t="shared" si="1"/>
        <v>38160</v>
      </c>
      <c r="H17661" s="49">
        <f t="shared" si="2"/>
        <v>38041</v>
      </c>
    </row>
    <row r="17662">
      <c r="A17662" s="48" t="s">
        <v>6207</v>
      </c>
      <c r="B17662" s="38">
        <v>23222.0</v>
      </c>
      <c r="C17662" s="38" t="s">
        <v>22086</v>
      </c>
      <c r="D17662" s="38" t="str">
        <f>IFERROR(__xludf.DUMMYFUNCTION("REGEXREPLACE(C17662,""-\d+(.*)|--\d+(.*)"","""")"),"SAINT-MICHEL-DE-VEISSE")</f>
        <v>SAINT-MICHEL-DE-VEISSE</v>
      </c>
      <c r="E17662" s="38" t="s">
        <v>97</v>
      </c>
      <c r="F17662" s="38" t="s">
        <v>98</v>
      </c>
      <c r="G17662" s="49" t="str">
        <f t="shared" si="1"/>
        <v>23480</v>
      </c>
      <c r="H17662" s="49">
        <f t="shared" si="2"/>
        <v>23222</v>
      </c>
    </row>
    <row r="17663">
      <c r="A17663" s="48" t="s">
        <v>9905</v>
      </c>
      <c r="B17663" s="38">
        <v>65427.0</v>
      </c>
      <c r="C17663" s="38" t="s">
        <v>22087</v>
      </c>
      <c r="D17663" s="38" t="str">
        <f>IFERROR(__xludf.DUMMYFUNCTION("REGEXREPLACE(C17663,""-\d+(.*)|--\d+(.*)"","""")"),"SIRADAN")</f>
        <v>SIRADAN</v>
      </c>
      <c r="E17663" s="38" t="s">
        <v>200</v>
      </c>
      <c r="F17663" s="38" t="s">
        <v>94</v>
      </c>
      <c r="G17663" s="49" t="str">
        <f t="shared" si="1"/>
        <v>65370</v>
      </c>
      <c r="H17663" s="49">
        <f t="shared" si="2"/>
        <v>65427</v>
      </c>
    </row>
    <row r="17664">
      <c r="A17664" s="48" t="s">
        <v>844</v>
      </c>
      <c r="B17664" s="38">
        <v>72037.0</v>
      </c>
      <c r="C17664" s="38" t="s">
        <v>22088</v>
      </c>
      <c r="D17664" s="38" t="str">
        <f>IFERROR(__xludf.DUMMYFUNCTION("REGEXREPLACE(C17664,""-\d+(.*)|--\d+(.*)"","""")"),"BLEVES")</f>
        <v>BLEVES</v>
      </c>
      <c r="E17664" s="38" t="s">
        <v>521</v>
      </c>
      <c r="F17664" s="38" t="s">
        <v>180</v>
      </c>
      <c r="G17664" s="49" t="str">
        <f t="shared" si="1"/>
        <v>72600</v>
      </c>
      <c r="H17664" s="49">
        <f t="shared" si="2"/>
        <v>72037</v>
      </c>
    </row>
    <row r="17665">
      <c r="A17665" s="48" t="s">
        <v>22089</v>
      </c>
      <c r="B17665" s="38">
        <v>2135.0</v>
      </c>
      <c r="C17665" s="38" t="s">
        <v>22090</v>
      </c>
      <c r="D17665" s="38" t="str">
        <f>IFERROR(__xludf.DUMMYFUNCTION("REGEXREPLACE(C17665,""-\d+(.*)|--\d+(.*)"","""")"),"BUIRONFOSSE")</f>
        <v>BUIRONFOSSE</v>
      </c>
      <c r="E17665" s="38" t="s">
        <v>191</v>
      </c>
      <c r="F17665" s="38" t="s">
        <v>113</v>
      </c>
      <c r="G17665" s="49" t="str">
        <f t="shared" si="1"/>
        <v>02620</v>
      </c>
      <c r="H17665" s="49" t="str">
        <f t="shared" si="2"/>
        <v>02135</v>
      </c>
    </row>
    <row r="17666">
      <c r="A17666" s="48" t="s">
        <v>19642</v>
      </c>
      <c r="B17666" s="38">
        <v>76456.0</v>
      </c>
      <c r="C17666" s="38" t="s">
        <v>22091</v>
      </c>
      <c r="D17666" s="38" t="str">
        <f>IFERROR(__xludf.DUMMYFUNCTION("REGEXREPLACE(C17666,""-\d+(.*)|--\d+(.*)"","""")"),"MOTTEVILLE")</f>
        <v>MOTTEVILLE</v>
      </c>
      <c r="E17666" s="38" t="s">
        <v>133</v>
      </c>
      <c r="F17666" s="38" t="s">
        <v>134</v>
      </c>
      <c r="G17666" s="49" t="str">
        <f t="shared" si="1"/>
        <v>76970</v>
      </c>
      <c r="H17666" s="49">
        <f t="shared" si="2"/>
        <v>76456</v>
      </c>
    </row>
    <row r="17667">
      <c r="A17667" s="48" t="s">
        <v>649</v>
      </c>
      <c r="B17667" s="38">
        <v>24101.0</v>
      </c>
      <c r="C17667" s="38" t="s">
        <v>22092</v>
      </c>
      <c r="D17667" s="38" t="str">
        <f>IFERROR(__xludf.DUMMYFUNCTION("REGEXREPLACE(C17667,""-\d+(.*)|--\d+(.*)"","""")"),"CHAMPS-ROMAIN")</f>
        <v>CHAMPS-ROMAIN</v>
      </c>
      <c r="E17667" s="38" t="s">
        <v>261</v>
      </c>
      <c r="F17667" s="38" t="s">
        <v>252</v>
      </c>
      <c r="G17667" s="49" t="str">
        <f t="shared" si="1"/>
        <v>24470</v>
      </c>
      <c r="H17667" s="49">
        <f t="shared" si="2"/>
        <v>24101</v>
      </c>
    </row>
    <row r="17668">
      <c r="A17668" s="48" t="s">
        <v>942</v>
      </c>
      <c r="B17668" s="38">
        <v>2012.0</v>
      </c>
      <c r="C17668" s="38" t="s">
        <v>22093</v>
      </c>
      <c r="D17668" s="38" t="str">
        <f>IFERROR(__xludf.DUMMYFUNCTION("REGEXREPLACE(C17668,""-\d+(.*)|--\d+(.*)"","""")"),"AMBRIEF")</f>
        <v>AMBRIEF</v>
      </c>
      <c r="E17668" s="38" t="s">
        <v>191</v>
      </c>
      <c r="F17668" s="38" t="s">
        <v>113</v>
      </c>
      <c r="G17668" s="49" t="str">
        <f t="shared" si="1"/>
        <v>02200</v>
      </c>
      <c r="H17668" s="49" t="str">
        <f t="shared" si="2"/>
        <v>02012</v>
      </c>
    </row>
    <row r="17669">
      <c r="A17669" s="48" t="s">
        <v>2781</v>
      </c>
      <c r="B17669" s="38">
        <v>6076.0</v>
      </c>
      <c r="C17669" s="38" t="s">
        <v>22094</v>
      </c>
      <c r="D17669" s="38" t="str">
        <f>IFERROR(__xludf.DUMMYFUNCTION("REGEXREPLACE(C17669,""-\d+(.*)|--\d+(.*)"","""")"),"LIEUCHE")</f>
        <v>LIEUCHE</v>
      </c>
      <c r="E17669" s="38" t="s">
        <v>227</v>
      </c>
      <c r="F17669" s="38" t="s">
        <v>228</v>
      </c>
      <c r="G17669" s="49" t="str">
        <f t="shared" si="1"/>
        <v>06260</v>
      </c>
      <c r="H17669" s="49" t="str">
        <f t="shared" si="2"/>
        <v>06076</v>
      </c>
    </row>
    <row r="17670">
      <c r="A17670" s="48" t="s">
        <v>8414</v>
      </c>
      <c r="B17670" s="38">
        <v>60186.0</v>
      </c>
      <c r="C17670" s="38" t="s">
        <v>22095</v>
      </c>
      <c r="D17670" s="38" t="str">
        <f>IFERROR(__xludf.DUMMYFUNCTION("REGEXREPLACE(C17670,""-\d+(.*)|--\d+(.*)"","""")"),"CUIGNIERES")</f>
        <v>CUIGNIERES</v>
      </c>
      <c r="E17670" s="38" t="s">
        <v>112</v>
      </c>
      <c r="F17670" s="38" t="s">
        <v>113</v>
      </c>
      <c r="G17670" s="49" t="str">
        <f t="shared" si="1"/>
        <v>60130</v>
      </c>
      <c r="H17670" s="49">
        <f t="shared" si="2"/>
        <v>60186</v>
      </c>
    </row>
    <row r="17671">
      <c r="A17671" s="48" t="s">
        <v>22026</v>
      </c>
      <c r="B17671" s="38" t="s">
        <v>22096</v>
      </c>
      <c r="C17671" s="38" t="s">
        <v>22097</v>
      </c>
      <c r="D17671" s="38" t="str">
        <f>IFERROR(__xludf.DUMMYFUNCTION("REGEXREPLACE(C17671,""-\d+(.*)|--\d+(.*)"","""")"),"ORTO")</f>
        <v>ORTO</v>
      </c>
      <c r="E17671" s="38" t="s">
        <v>606</v>
      </c>
      <c r="F17671" s="38" t="s">
        <v>607</v>
      </c>
      <c r="G17671" s="49" t="str">
        <f t="shared" si="1"/>
        <v>20125</v>
      </c>
      <c r="H17671" s="49" t="str">
        <f t="shared" si="2"/>
        <v>2A196</v>
      </c>
    </row>
    <row r="17672">
      <c r="A17672" s="48" t="s">
        <v>3718</v>
      </c>
      <c r="B17672" s="38">
        <v>62072.0</v>
      </c>
      <c r="C17672" s="38" t="s">
        <v>22098</v>
      </c>
      <c r="D17672" s="38" t="str">
        <f>IFERROR(__xludf.DUMMYFUNCTION("REGEXREPLACE(C17672,""-\d+(.*)|--\d+(.*)"","""")"),"BAILLEULMONT")</f>
        <v>BAILLEULMONT</v>
      </c>
      <c r="E17672" s="38" t="s">
        <v>109</v>
      </c>
      <c r="F17672" s="38" t="s">
        <v>86</v>
      </c>
      <c r="G17672" s="49" t="str">
        <f t="shared" si="1"/>
        <v>62123</v>
      </c>
      <c r="H17672" s="49">
        <f t="shared" si="2"/>
        <v>62072</v>
      </c>
    </row>
    <row r="17673">
      <c r="A17673" s="48" t="s">
        <v>22099</v>
      </c>
      <c r="B17673" s="38">
        <v>94019.0</v>
      </c>
      <c r="C17673" s="38" t="s">
        <v>22100</v>
      </c>
      <c r="D17673" s="38" t="str">
        <f>IFERROR(__xludf.DUMMYFUNCTION("REGEXREPLACE(C17673,""-\d+(.*)|--\d+(.*)"","""")"),"CHENNEVIERES-SUR-MARNE")</f>
        <v>CHENNEVIERES-SUR-MARNE</v>
      </c>
      <c r="E17673" s="38" t="s">
        <v>561</v>
      </c>
      <c r="F17673" s="38" t="s">
        <v>245</v>
      </c>
      <c r="G17673" s="49" t="str">
        <f t="shared" si="1"/>
        <v>94430</v>
      </c>
      <c r="H17673" s="49">
        <f t="shared" si="2"/>
        <v>94019</v>
      </c>
    </row>
    <row r="17674">
      <c r="A17674" s="48" t="s">
        <v>1493</v>
      </c>
      <c r="B17674" s="38">
        <v>58078.0</v>
      </c>
      <c r="C17674" s="38" t="s">
        <v>22101</v>
      </c>
      <c r="D17674" s="38" t="str">
        <f>IFERROR(__xludf.DUMMYFUNCTION("REGEXREPLACE(C17674,""-\d+(.*)|--\d+(.*)"","""")"),"CIZELY")</f>
        <v>CIZELY</v>
      </c>
      <c r="E17674" s="38" t="s">
        <v>219</v>
      </c>
      <c r="F17674" s="38" t="s">
        <v>106</v>
      </c>
      <c r="G17674" s="49" t="str">
        <f t="shared" si="1"/>
        <v>58270</v>
      </c>
      <c r="H17674" s="49">
        <f t="shared" si="2"/>
        <v>58078</v>
      </c>
    </row>
    <row r="17675">
      <c r="A17675" s="48" t="s">
        <v>9368</v>
      </c>
      <c r="B17675" s="38">
        <v>12160.0</v>
      </c>
      <c r="C17675" s="38" t="s">
        <v>22102</v>
      </c>
      <c r="D17675" s="38" t="str">
        <f>IFERROR(__xludf.DUMMYFUNCTION("REGEXREPLACE(C17675,""-\d+(.*)|--\d+(.*)"","""")"),"MOSTUEJOULS")</f>
        <v>MOSTUEJOULS</v>
      </c>
      <c r="E17675" s="38" t="s">
        <v>465</v>
      </c>
      <c r="F17675" s="38" t="s">
        <v>94</v>
      </c>
      <c r="G17675" s="49" t="str">
        <f t="shared" si="1"/>
        <v>12720</v>
      </c>
      <c r="H17675" s="49">
        <f t="shared" si="2"/>
        <v>12160</v>
      </c>
    </row>
    <row r="17676">
      <c r="A17676" s="48" t="s">
        <v>2128</v>
      </c>
      <c r="B17676" s="38">
        <v>2091.0</v>
      </c>
      <c r="C17676" s="38" t="s">
        <v>22103</v>
      </c>
      <c r="D17676" s="38" t="str">
        <f>IFERROR(__xludf.DUMMYFUNCTION("REGEXREPLACE(C17676,""-\d+(.*)|--\d+(.*)"","""")"),"BLANZY-LES-FISMES")</f>
        <v>BLANZY-LES-FISMES</v>
      </c>
      <c r="E17676" s="38" t="s">
        <v>191</v>
      </c>
      <c r="F17676" s="38" t="s">
        <v>113</v>
      </c>
      <c r="G17676" s="49" t="str">
        <f t="shared" si="1"/>
        <v>02160</v>
      </c>
      <c r="H17676" s="49" t="str">
        <f t="shared" si="2"/>
        <v>02091</v>
      </c>
    </row>
    <row r="17677">
      <c r="A17677" s="48" t="s">
        <v>5056</v>
      </c>
      <c r="B17677" s="38">
        <v>85025.0</v>
      </c>
      <c r="C17677" s="38" t="s">
        <v>22104</v>
      </c>
      <c r="D17677" s="38" t="str">
        <f>IFERROR(__xludf.DUMMYFUNCTION("REGEXREPLACE(C17677,""-\d+(.*)|--\d+(.*)"","""")"),"LA BOISSIERE-DE-MONTAIGU")</f>
        <v>LA BOISSIERE-DE-MONTAIGU</v>
      </c>
      <c r="E17677" s="38" t="s">
        <v>179</v>
      </c>
      <c r="F17677" s="38" t="s">
        <v>180</v>
      </c>
      <c r="G17677" s="49" t="str">
        <f t="shared" si="1"/>
        <v>85600</v>
      </c>
      <c r="H17677" s="49">
        <f t="shared" si="2"/>
        <v>85025</v>
      </c>
    </row>
    <row r="17678">
      <c r="A17678" s="48" t="s">
        <v>16821</v>
      </c>
      <c r="B17678" s="38">
        <v>77164.0</v>
      </c>
      <c r="C17678" s="38" t="s">
        <v>22105</v>
      </c>
      <c r="D17678" s="38" t="str">
        <f>IFERROR(__xludf.DUMMYFUNCTION("REGEXREPLACE(C17678,""-\d+(.*)|--\d+(.*)"","""")"),"ECHOUBOULAINS")</f>
        <v>ECHOUBOULAINS</v>
      </c>
      <c r="E17678" s="38" t="s">
        <v>244</v>
      </c>
      <c r="F17678" s="38" t="s">
        <v>245</v>
      </c>
      <c r="G17678" s="49" t="str">
        <f t="shared" si="1"/>
        <v>77830</v>
      </c>
      <c r="H17678" s="49">
        <f t="shared" si="2"/>
        <v>77164</v>
      </c>
    </row>
    <row r="17679">
      <c r="A17679" s="48" t="s">
        <v>5207</v>
      </c>
      <c r="B17679" s="38">
        <v>85147.0</v>
      </c>
      <c r="C17679" s="38" t="s">
        <v>22106</v>
      </c>
      <c r="D17679" s="38" t="str">
        <f>IFERROR(__xludf.DUMMYFUNCTION("REGEXREPLACE(C17679,""-\d+(.*)|--\d+(.*)"","""")"),"MONTOURNAIS")</f>
        <v>MONTOURNAIS</v>
      </c>
      <c r="E17679" s="38" t="s">
        <v>179</v>
      </c>
      <c r="F17679" s="38" t="s">
        <v>180</v>
      </c>
      <c r="G17679" s="49" t="str">
        <f t="shared" si="1"/>
        <v>85700</v>
      </c>
      <c r="H17679" s="49">
        <f t="shared" si="2"/>
        <v>85147</v>
      </c>
    </row>
    <row r="17680">
      <c r="A17680" s="48" t="s">
        <v>3196</v>
      </c>
      <c r="B17680" s="38">
        <v>1245.0</v>
      </c>
      <c r="C17680" s="38" t="s">
        <v>22107</v>
      </c>
      <c r="D17680" s="38" t="str">
        <f>IFERROR(__xludf.DUMMYFUNCTION("REGEXREPLACE(C17680,""-\d+(.*)|--\d+(.*)"","""")"),"BOHAS-MEYRIAT-RIGNAT")</f>
        <v>BOHAS-MEYRIAT-RIGNAT</v>
      </c>
      <c r="E17680" s="38" t="s">
        <v>255</v>
      </c>
      <c r="F17680" s="38" t="s">
        <v>102</v>
      </c>
      <c r="G17680" s="49" t="str">
        <f t="shared" si="1"/>
        <v>01250</v>
      </c>
      <c r="H17680" s="49" t="str">
        <f t="shared" si="2"/>
        <v>01245</v>
      </c>
    </row>
    <row r="17681">
      <c r="A17681" s="48" t="s">
        <v>2920</v>
      </c>
      <c r="B17681" s="38">
        <v>62824.0</v>
      </c>
      <c r="C17681" s="38" t="s">
        <v>22108</v>
      </c>
      <c r="D17681" s="38" t="str">
        <f>IFERROR(__xludf.DUMMYFUNCTION("REGEXREPLACE(C17681,""-\d+(.*)|--\d+(.*)"","""")"),"TORTEFONTAINE")</f>
        <v>TORTEFONTAINE</v>
      </c>
      <c r="E17681" s="38" t="s">
        <v>109</v>
      </c>
      <c r="F17681" s="38" t="s">
        <v>86</v>
      </c>
      <c r="G17681" s="49" t="str">
        <f t="shared" si="1"/>
        <v>62140</v>
      </c>
      <c r="H17681" s="49">
        <f t="shared" si="2"/>
        <v>62824</v>
      </c>
    </row>
    <row r="17682">
      <c r="A17682" s="48" t="s">
        <v>10919</v>
      </c>
      <c r="B17682" s="38">
        <v>24489.0</v>
      </c>
      <c r="C17682" s="38" t="s">
        <v>22109</v>
      </c>
      <c r="D17682" s="38" t="str">
        <f>IFERROR(__xludf.DUMMYFUNCTION("REGEXREPLACE(C17682,""-\d+(.*)|--\d+(.*)"","""")"),"SAINT-PRIEST-LES-FOUGERES")</f>
        <v>SAINT-PRIEST-LES-FOUGERES</v>
      </c>
      <c r="E17682" s="38" t="s">
        <v>261</v>
      </c>
      <c r="F17682" s="38" t="s">
        <v>252</v>
      </c>
      <c r="G17682" s="49" t="str">
        <f t="shared" si="1"/>
        <v>24450</v>
      </c>
      <c r="H17682" s="49">
        <f t="shared" si="2"/>
        <v>24489</v>
      </c>
    </row>
    <row r="17683">
      <c r="A17683" s="48" t="s">
        <v>2920</v>
      </c>
      <c r="B17683" s="38">
        <v>62834.0</v>
      </c>
      <c r="C17683" s="38" t="s">
        <v>22110</v>
      </c>
      <c r="D17683" s="38" t="str">
        <f>IFERROR(__xludf.DUMMYFUNCTION("REGEXREPLACE(C17683,""-\d+(.*)|--\d+(.*)"","""")"),"VACQUERIETTE-ERQUIERES")</f>
        <v>VACQUERIETTE-ERQUIERES</v>
      </c>
      <c r="E17683" s="38" t="s">
        <v>109</v>
      </c>
      <c r="F17683" s="38" t="s">
        <v>86</v>
      </c>
      <c r="G17683" s="49" t="str">
        <f t="shared" si="1"/>
        <v>62140</v>
      </c>
      <c r="H17683" s="49">
        <f t="shared" si="2"/>
        <v>62834</v>
      </c>
    </row>
    <row r="17684">
      <c r="A17684" s="48" t="s">
        <v>2316</v>
      </c>
      <c r="B17684" s="38">
        <v>25047.0</v>
      </c>
      <c r="C17684" s="38" t="s">
        <v>22111</v>
      </c>
      <c r="D17684" s="38" t="str">
        <f>IFERROR(__xludf.DUMMYFUNCTION("REGEXREPLACE(C17684,""-\d+(.*)|--\d+(.*)"","""")"),"BAUME-LES-DAMES")</f>
        <v>BAUME-LES-DAMES</v>
      </c>
      <c r="E17684" s="38" t="s">
        <v>213</v>
      </c>
      <c r="F17684" s="38" t="s">
        <v>214</v>
      </c>
      <c r="G17684" s="49" t="str">
        <f t="shared" si="1"/>
        <v>25110</v>
      </c>
      <c r="H17684" s="49">
        <f t="shared" si="2"/>
        <v>25047</v>
      </c>
    </row>
    <row r="17685">
      <c r="A17685" s="48" t="s">
        <v>2534</v>
      </c>
      <c r="B17685" s="38">
        <v>27638.0</v>
      </c>
      <c r="C17685" s="38" t="s">
        <v>22112</v>
      </c>
      <c r="D17685" s="38" t="str">
        <f>IFERROR(__xludf.DUMMYFUNCTION("REGEXREPLACE(C17685,""-\d+(.*)|--\d+(.*)"","""")"),"LE THUIT-SIGNOL")</f>
        <v>LE THUIT-SIGNOL</v>
      </c>
      <c r="E17685" s="38" t="s">
        <v>241</v>
      </c>
      <c r="F17685" s="38" t="s">
        <v>134</v>
      </c>
      <c r="G17685" s="49" t="str">
        <f t="shared" si="1"/>
        <v>27370</v>
      </c>
      <c r="H17685" s="49">
        <f t="shared" si="2"/>
        <v>27638</v>
      </c>
    </row>
    <row r="17686">
      <c r="A17686" s="48" t="s">
        <v>4088</v>
      </c>
      <c r="B17686" s="38">
        <v>39240.0</v>
      </c>
      <c r="C17686" s="38" t="s">
        <v>22113</v>
      </c>
      <c r="D17686" s="38" t="str">
        <f>IFERROR(__xludf.DUMMYFUNCTION("REGEXREPLACE(C17686,""-\d+(.*)|--\d+(.*)"","""")"),"LE FRASNOIS")</f>
        <v>LE FRASNOIS</v>
      </c>
      <c r="E17686" s="38" t="s">
        <v>400</v>
      </c>
      <c r="F17686" s="38" t="s">
        <v>214</v>
      </c>
      <c r="G17686" s="49" t="str">
        <f t="shared" si="1"/>
        <v>39130</v>
      </c>
      <c r="H17686" s="49">
        <f t="shared" si="2"/>
        <v>39240</v>
      </c>
    </row>
    <row r="17687">
      <c r="A17687" s="48" t="s">
        <v>4898</v>
      </c>
      <c r="B17687" s="38">
        <v>27495.0</v>
      </c>
      <c r="C17687" s="38" t="s">
        <v>22114</v>
      </c>
      <c r="D17687" s="38" t="str">
        <f>IFERROR(__xludf.DUMMYFUNCTION("REGEXREPLACE(C17687,""-\d+(.*)|--\d+(.*)"","""")"),"LA ROQUETTE")</f>
        <v>LA ROQUETTE</v>
      </c>
      <c r="E17687" s="38" t="s">
        <v>241</v>
      </c>
      <c r="F17687" s="38" t="s">
        <v>134</v>
      </c>
      <c r="G17687" s="49" t="str">
        <f t="shared" si="1"/>
        <v>27700</v>
      </c>
      <c r="H17687" s="49">
        <f t="shared" si="2"/>
        <v>27495</v>
      </c>
    </row>
    <row r="17688">
      <c r="A17688" s="48" t="s">
        <v>16073</v>
      </c>
      <c r="B17688" s="38">
        <v>25453.0</v>
      </c>
      <c r="C17688" s="38" t="s">
        <v>22115</v>
      </c>
      <c r="D17688" s="38" t="str">
        <f>IFERROR(__xludf.DUMMYFUNCTION("REGEXREPLACE(C17688,""-\d+(.*)|--\d+(.*)"","""")"),"PIERREFONTAINE-LES-VARANS")</f>
        <v>PIERREFONTAINE-LES-VARANS</v>
      </c>
      <c r="E17688" s="38" t="s">
        <v>213</v>
      </c>
      <c r="F17688" s="38" t="s">
        <v>214</v>
      </c>
      <c r="G17688" s="49" t="str">
        <f t="shared" si="1"/>
        <v>25510</v>
      </c>
      <c r="H17688" s="49">
        <f t="shared" si="2"/>
        <v>25453</v>
      </c>
    </row>
    <row r="17689">
      <c r="A17689" s="48" t="s">
        <v>1336</v>
      </c>
      <c r="B17689" s="38">
        <v>33230.0</v>
      </c>
      <c r="C17689" s="38" t="s">
        <v>22116</v>
      </c>
      <c r="D17689" s="38" t="str">
        <f>IFERROR(__xludf.DUMMYFUNCTION("REGEXREPLACE(C17689,""-\d+(.*)|--\d+(.*)"","""")"),"LAPOUYADE")</f>
        <v>LAPOUYADE</v>
      </c>
      <c r="E17689" s="38" t="s">
        <v>462</v>
      </c>
      <c r="F17689" s="38" t="s">
        <v>252</v>
      </c>
      <c r="G17689" s="49" t="str">
        <f t="shared" si="1"/>
        <v>33620</v>
      </c>
      <c r="H17689" s="49">
        <f t="shared" si="2"/>
        <v>33230</v>
      </c>
    </row>
    <row r="17690">
      <c r="A17690" s="48" t="s">
        <v>1688</v>
      </c>
      <c r="B17690" s="38">
        <v>76747.0</v>
      </c>
      <c r="C17690" s="38" t="s">
        <v>22117</v>
      </c>
      <c r="D17690" s="38" t="str">
        <f>IFERROR(__xludf.DUMMYFUNCTION("REGEXREPLACE(C17690,""-\d+(.*)|--\d+(.*)"","""")"),"VIRVILLE")</f>
        <v>VIRVILLE</v>
      </c>
      <c r="E17690" s="38" t="s">
        <v>133</v>
      </c>
      <c r="F17690" s="38" t="s">
        <v>134</v>
      </c>
      <c r="G17690" s="49" t="str">
        <f t="shared" si="1"/>
        <v>76110</v>
      </c>
      <c r="H17690" s="49">
        <f t="shared" si="2"/>
        <v>76747</v>
      </c>
    </row>
    <row r="17691">
      <c r="A17691" s="48" t="s">
        <v>5982</v>
      </c>
      <c r="B17691" s="38">
        <v>63351.0</v>
      </c>
      <c r="C17691" s="38" t="s">
        <v>22118</v>
      </c>
      <c r="D17691" s="38" t="str">
        <f>IFERROR(__xludf.DUMMYFUNCTION("REGEXREPLACE(C17691,""-\d+(.*)|--\d+(.*)"","""")"),"SAINT-GERMAIN-PRES-HERMENT")</f>
        <v>SAINT-GERMAIN-PRES-HERMENT</v>
      </c>
      <c r="E17691" s="38" t="s">
        <v>353</v>
      </c>
      <c r="F17691" s="38" t="s">
        <v>161</v>
      </c>
      <c r="G17691" s="49" t="str">
        <f t="shared" si="1"/>
        <v>63470</v>
      </c>
      <c r="H17691" s="49">
        <f t="shared" si="2"/>
        <v>63351</v>
      </c>
    </row>
    <row r="17692">
      <c r="A17692" s="48" t="s">
        <v>12281</v>
      </c>
      <c r="B17692" s="38">
        <v>54219.0</v>
      </c>
      <c r="C17692" s="38" t="s">
        <v>22119</v>
      </c>
      <c r="D17692" s="38" t="str">
        <f>IFERROR(__xludf.DUMMYFUNCTION("REGEXREPLACE(C17692,""-\d+(.*)|--\d+(.*)"","""")"),"GELLENONCOURT")</f>
        <v>GELLENONCOURT</v>
      </c>
      <c r="E17692" s="38" t="s">
        <v>548</v>
      </c>
      <c r="F17692" s="38" t="s">
        <v>195</v>
      </c>
      <c r="G17692" s="49" t="str">
        <f t="shared" si="1"/>
        <v>54110</v>
      </c>
      <c r="H17692" s="49">
        <f t="shared" si="2"/>
        <v>54219</v>
      </c>
    </row>
    <row r="17693">
      <c r="A17693" s="48" t="s">
        <v>3339</v>
      </c>
      <c r="B17693" s="38">
        <v>67210.0</v>
      </c>
      <c r="C17693" s="38" t="s">
        <v>22120</v>
      </c>
      <c r="D17693" s="38" t="str">
        <f>IFERROR(__xludf.DUMMYFUNCTION("REGEXREPLACE(C17693,""-\d+(.*)|--\d+(.*)"","""")"),"LE HOHWALD")</f>
        <v>LE HOHWALD</v>
      </c>
      <c r="E17693" s="38" t="s">
        <v>210</v>
      </c>
      <c r="F17693" s="38" t="s">
        <v>151</v>
      </c>
      <c r="G17693" s="49" t="str">
        <f t="shared" si="1"/>
        <v>67140</v>
      </c>
      <c r="H17693" s="49">
        <f t="shared" si="2"/>
        <v>67210</v>
      </c>
    </row>
    <row r="17694">
      <c r="A17694" s="48" t="s">
        <v>5614</v>
      </c>
      <c r="B17694" s="38">
        <v>36166.0</v>
      </c>
      <c r="C17694" s="38" t="s">
        <v>3487</v>
      </c>
      <c r="D17694" s="38" t="str">
        <f>IFERROR(__xludf.DUMMYFUNCTION("REGEXREPLACE(C17694,""-\d+(.*)|--\d+(.*)"","""")"),"PREAUX")</f>
        <v>PREAUX</v>
      </c>
      <c r="E17694" s="38" t="s">
        <v>258</v>
      </c>
      <c r="F17694" s="38" t="s">
        <v>123</v>
      </c>
      <c r="G17694" s="49" t="str">
        <f t="shared" si="1"/>
        <v>36240</v>
      </c>
      <c r="H17694" s="49">
        <f t="shared" si="2"/>
        <v>36166</v>
      </c>
    </row>
    <row r="17695">
      <c r="A17695" s="48" t="s">
        <v>1514</v>
      </c>
      <c r="B17695" s="38">
        <v>70567.0</v>
      </c>
      <c r="C17695" s="38" t="s">
        <v>22121</v>
      </c>
      <c r="D17695" s="38" t="str">
        <f>IFERROR(__xludf.DUMMYFUNCTION("REGEXREPLACE(C17695,""-\d+(.*)|--\d+(.*)"","""")"),"VILLERS-SUR-SAULNOT")</f>
        <v>VILLERS-SUR-SAULNOT</v>
      </c>
      <c r="E17695" s="38" t="s">
        <v>956</v>
      </c>
      <c r="F17695" s="38" t="s">
        <v>214</v>
      </c>
      <c r="G17695" s="49" t="str">
        <f t="shared" si="1"/>
        <v>70400</v>
      </c>
      <c r="H17695" s="49">
        <f t="shared" si="2"/>
        <v>70567</v>
      </c>
    </row>
    <row r="17696">
      <c r="A17696" s="48" t="s">
        <v>8510</v>
      </c>
      <c r="B17696" s="38">
        <v>39057.0</v>
      </c>
      <c r="C17696" s="38" t="s">
        <v>22122</v>
      </c>
      <c r="D17696" s="38" t="str">
        <f>IFERROR(__xludf.DUMMYFUNCTION("REGEXREPLACE(C17696,""-\d+(.*)|--\d+(.*)"","""")"),"BLOIS-SUR-SEILLE")</f>
        <v>BLOIS-SUR-SEILLE</v>
      </c>
      <c r="E17696" s="38" t="s">
        <v>400</v>
      </c>
      <c r="F17696" s="38" t="s">
        <v>214</v>
      </c>
      <c r="G17696" s="49" t="str">
        <f t="shared" si="1"/>
        <v>39210</v>
      </c>
      <c r="H17696" s="49">
        <f t="shared" si="2"/>
        <v>39057</v>
      </c>
    </row>
    <row r="17697">
      <c r="A17697" s="48" t="s">
        <v>3283</v>
      </c>
      <c r="B17697" s="38">
        <v>52407.0</v>
      </c>
      <c r="C17697" s="38" t="s">
        <v>22123</v>
      </c>
      <c r="D17697" s="38" t="str">
        <f>IFERROR(__xludf.DUMMYFUNCTION("REGEXREPLACE(C17697,""-\d+(.*)|--\d+(.*)"","""")"),"PREZ-SOUS-LAFAUCHE")</f>
        <v>PREZ-SOUS-LAFAUCHE</v>
      </c>
      <c r="E17697" s="38" t="s">
        <v>234</v>
      </c>
      <c r="F17697" s="38" t="s">
        <v>130</v>
      </c>
      <c r="G17697" s="49" t="str">
        <f t="shared" si="1"/>
        <v>52700</v>
      </c>
      <c r="H17697" s="49">
        <f t="shared" si="2"/>
        <v>52407</v>
      </c>
    </row>
    <row r="17698">
      <c r="A17698" s="48" t="s">
        <v>10374</v>
      </c>
      <c r="B17698" s="38">
        <v>83032.0</v>
      </c>
      <c r="C17698" s="38" t="s">
        <v>22124</v>
      </c>
      <c r="D17698" s="38" t="str">
        <f>IFERROR(__xludf.DUMMYFUNCTION("REGEXREPLACE(C17698,""-\d+(.*)|--\d+(.*)"","""")"),"CARCES")</f>
        <v>CARCES</v>
      </c>
      <c r="E17698" s="38" t="s">
        <v>813</v>
      </c>
      <c r="F17698" s="38" t="s">
        <v>228</v>
      </c>
      <c r="G17698" s="49" t="str">
        <f t="shared" si="1"/>
        <v>83570</v>
      </c>
      <c r="H17698" s="49">
        <f t="shared" si="2"/>
        <v>83032</v>
      </c>
    </row>
    <row r="17699">
      <c r="A17699" s="48" t="s">
        <v>396</v>
      </c>
      <c r="B17699" s="38">
        <v>71148.0</v>
      </c>
      <c r="C17699" s="38" t="s">
        <v>8582</v>
      </c>
      <c r="D17699" s="38" t="str">
        <f>IFERROR(__xludf.DUMMYFUNCTION("REGEXREPLACE(C17699,""-\d+(.*)|--\d+(.*)"","""")"),"COUBLANC")</f>
        <v>COUBLANC</v>
      </c>
      <c r="E17699" s="38" t="s">
        <v>344</v>
      </c>
      <c r="F17699" s="38" t="s">
        <v>106</v>
      </c>
      <c r="G17699" s="49" t="str">
        <f t="shared" si="1"/>
        <v>71170</v>
      </c>
      <c r="H17699" s="49">
        <f t="shared" si="2"/>
        <v>71148</v>
      </c>
    </row>
    <row r="17700">
      <c r="A17700" s="48" t="s">
        <v>5268</v>
      </c>
      <c r="B17700" s="38">
        <v>49187.0</v>
      </c>
      <c r="C17700" s="38" t="s">
        <v>22125</v>
      </c>
      <c r="D17700" s="38" t="str">
        <f>IFERROR(__xludf.DUMMYFUNCTION("REGEXREPLACE(C17700,""-\d+(.*)|--\d+(.*)"","""")"),"MARANS")</f>
        <v>MARANS</v>
      </c>
      <c r="E17700" s="38" t="s">
        <v>653</v>
      </c>
      <c r="F17700" s="38" t="s">
        <v>180</v>
      </c>
      <c r="G17700" s="49" t="str">
        <f t="shared" si="1"/>
        <v>49500</v>
      </c>
      <c r="H17700" s="49">
        <f t="shared" si="2"/>
        <v>49187</v>
      </c>
    </row>
    <row r="17701">
      <c r="A17701" s="48" t="s">
        <v>3156</v>
      </c>
      <c r="B17701" s="38">
        <v>77398.0</v>
      </c>
      <c r="C17701" s="38" t="s">
        <v>22126</v>
      </c>
      <c r="D17701" s="38" t="str">
        <f>IFERROR(__xludf.DUMMYFUNCTION("REGEXREPLACE(C17701,""-\d+(.*)|--\d+(.*)"","""")"),"SABLONNIERES")</f>
        <v>SABLONNIERES</v>
      </c>
      <c r="E17701" s="38" t="s">
        <v>244</v>
      </c>
      <c r="F17701" s="38" t="s">
        <v>245</v>
      </c>
      <c r="G17701" s="49" t="str">
        <f t="shared" si="1"/>
        <v>77510</v>
      </c>
      <c r="H17701" s="49">
        <f t="shared" si="2"/>
        <v>77398</v>
      </c>
    </row>
    <row r="17702">
      <c r="A17702" s="48" t="s">
        <v>9006</v>
      </c>
      <c r="B17702" s="38">
        <v>67102.0</v>
      </c>
      <c r="C17702" s="38" t="s">
        <v>22127</v>
      </c>
      <c r="D17702" s="38" t="str">
        <f>IFERROR(__xludf.DUMMYFUNCTION("REGEXREPLACE(C17702,""-\d+(.*)|--\d+(.*)"","""")"),"DOSSENHEIM-KOCHERSBERG")</f>
        <v>DOSSENHEIM-KOCHERSBERG</v>
      </c>
      <c r="E17702" s="38" t="s">
        <v>210</v>
      </c>
      <c r="F17702" s="38" t="s">
        <v>151</v>
      </c>
      <c r="G17702" s="49" t="str">
        <f t="shared" si="1"/>
        <v>67117</v>
      </c>
      <c r="H17702" s="49">
        <f t="shared" si="2"/>
        <v>67102</v>
      </c>
    </row>
    <row r="17703">
      <c r="A17703" s="48" t="s">
        <v>1441</v>
      </c>
      <c r="B17703" s="38">
        <v>52059.0</v>
      </c>
      <c r="C17703" s="38" t="s">
        <v>22128</v>
      </c>
      <c r="D17703" s="38" t="str">
        <f>IFERROR(__xludf.DUMMYFUNCTION("REGEXREPLACE(C17703,""-\d+(.*)|--\d+(.*)"","""")"),"BONNECOURT")</f>
        <v>BONNECOURT</v>
      </c>
      <c r="E17703" s="38" t="s">
        <v>234</v>
      </c>
      <c r="F17703" s="38" t="s">
        <v>130</v>
      </c>
      <c r="G17703" s="49" t="str">
        <f t="shared" si="1"/>
        <v>52360</v>
      </c>
      <c r="H17703" s="49">
        <f t="shared" si="2"/>
        <v>52059</v>
      </c>
    </row>
    <row r="17704">
      <c r="A17704" s="48" t="s">
        <v>12753</v>
      </c>
      <c r="B17704" s="38">
        <v>49222.0</v>
      </c>
      <c r="C17704" s="38" t="s">
        <v>22129</v>
      </c>
      <c r="D17704" s="38" t="str">
        <f>IFERROR(__xludf.DUMMYFUNCTION("REGEXREPLACE(C17704,""-\d+(.*)|--\d+(.*)"","""")"),"MOZE-SUR-LOUET")</f>
        <v>MOZE-SUR-LOUET</v>
      </c>
      <c r="E17704" s="38" t="s">
        <v>653</v>
      </c>
      <c r="F17704" s="38" t="s">
        <v>180</v>
      </c>
      <c r="G17704" s="49" t="str">
        <f t="shared" si="1"/>
        <v>49610</v>
      </c>
      <c r="H17704" s="49">
        <f t="shared" si="2"/>
        <v>49222</v>
      </c>
    </row>
    <row r="17705">
      <c r="A17705" s="48" t="s">
        <v>6767</v>
      </c>
      <c r="B17705" s="38">
        <v>15055.0</v>
      </c>
      <c r="C17705" s="38" t="s">
        <v>22130</v>
      </c>
      <c r="D17705" s="38" t="str">
        <f>IFERROR(__xludf.DUMMYFUNCTION("REGEXREPLACE(C17705,""-\d+(.*)|--\d+(.*)"","""")"),"COREN")</f>
        <v>COREN</v>
      </c>
      <c r="E17705" s="38" t="s">
        <v>632</v>
      </c>
      <c r="F17705" s="38" t="s">
        <v>161</v>
      </c>
      <c r="G17705" s="49" t="str">
        <f t="shared" si="1"/>
        <v>15100</v>
      </c>
      <c r="H17705" s="49">
        <f t="shared" si="2"/>
        <v>15055</v>
      </c>
    </row>
    <row r="17706">
      <c r="A17706" s="48" t="s">
        <v>736</v>
      </c>
      <c r="B17706" s="38">
        <v>57218.0</v>
      </c>
      <c r="C17706" s="38" t="s">
        <v>1076</v>
      </c>
      <c r="D17706" s="38" t="str">
        <f>IFERROR(__xludf.DUMMYFUNCTION("REGEXREPLACE(C17706,""-\d+(.*)|--\d+(.*)"","""")"),"FLEURY")</f>
        <v>FLEURY</v>
      </c>
      <c r="E17706" s="38" t="s">
        <v>303</v>
      </c>
      <c r="F17706" s="38" t="s">
        <v>195</v>
      </c>
      <c r="G17706" s="49" t="str">
        <f t="shared" si="1"/>
        <v>57420</v>
      </c>
      <c r="H17706" s="49">
        <f t="shared" si="2"/>
        <v>57218</v>
      </c>
    </row>
    <row r="17707">
      <c r="A17707" s="48" t="s">
        <v>22131</v>
      </c>
      <c r="B17707" s="38">
        <v>86272.0</v>
      </c>
      <c r="C17707" s="38" t="s">
        <v>22132</v>
      </c>
      <c r="D17707" s="38" t="str">
        <f>IFERROR(__xludf.DUMMYFUNCTION("REGEXREPLACE(C17707,""-\d+(.*)|--\d+(.*)"","""")"),"THURE")</f>
        <v>THURE</v>
      </c>
      <c r="E17707" s="38" t="s">
        <v>529</v>
      </c>
      <c r="F17707" s="38" t="s">
        <v>338</v>
      </c>
      <c r="G17707" s="49" t="str">
        <f t="shared" si="1"/>
        <v>86540</v>
      </c>
      <c r="H17707" s="49">
        <f t="shared" si="2"/>
        <v>86272</v>
      </c>
    </row>
    <row r="17708">
      <c r="A17708" s="48" t="s">
        <v>16647</v>
      </c>
      <c r="B17708" s="38">
        <v>62338.0</v>
      </c>
      <c r="C17708" s="38" t="s">
        <v>22133</v>
      </c>
      <c r="D17708" s="38" t="str">
        <f>IFERROR(__xludf.DUMMYFUNCTION("REGEXREPLACE(C17708,""-\d+(.*)|--\d+(.*)"","""")"),"FLEURBAIX")</f>
        <v>FLEURBAIX</v>
      </c>
      <c r="E17708" s="38" t="s">
        <v>109</v>
      </c>
      <c r="F17708" s="38" t="s">
        <v>86</v>
      </c>
      <c r="G17708" s="49" t="str">
        <f t="shared" si="1"/>
        <v>62840</v>
      </c>
      <c r="H17708" s="49">
        <f t="shared" si="2"/>
        <v>62338</v>
      </c>
    </row>
    <row r="17709">
      <c r="A17709" s="48" t="s">
        <v>2077</v>
      </c>
      <c r="B17709" s="38">
        <v>8206.0</v>
      </c>
      <c r="C17709" s="38" t="s">
        <v>22134</v>
      </c>
      <c r="D17709" s="38" t="str">
        <f>IFERROR(__xludf.DUMMYFUNCTION("REGEXREPLACE(C17709,""-\d+(.*)|--\d+(.*)"","""")"),"HAM-LES-MOINES")</f>
        <v>HAM-LES-MOINES</v>
      </c>
      <c r="E17709" s="38" t="s">
        <v>327</v>
      </c>
      <c r="F17709" s="38" t="s">
        <v>130</v>
      </c>
      <c r="G17709" s="49" t="str">
        <f t="shared" si="1"/>
        <v>08090</v>
      </c>
      <c r="H17709" s="49" t="str">
        <f t="shared" si="2"/>
        <v>08206</v>
      </c>
    </row>
    <row r="17710">
      <c r="A17710" s="48" t="s">
        <v>1693</v>
      </c>
      <c r="B17710" s="38">
        <v>24453.0</v>
      </c>
      <c r="C17710" s="38" t="s">
        <v>22135</v>
      </c>
      <c r="D17710" s="38" t="str">
        <f>IFERROR(__xludf.DUMMYFUNCTION("REGEXREPLACE(C17710,""-\d+(.*)|--\d+(.*)"","""")"),"SAINT-MARTIN-DE-FRESSENGEAS")</f>
        <v>SAINT-MARTIN-DE-FRESSENGEAS</v>
      </c>
      <c r="E17710" s="38" t="s">
        <v>261</v>
      </c>
      <c r="F17710" s="38" t="s">
        <v>252</v>
      </c>
      <c r="G17710" s="49" t="str">
        <f t="shared" si="1"/>
        <v>24800</v>
      </c>
      <c r="H17710" s="49">
        <f t="shared" si="2"/>
        <v>24453</v>
      </c>
    </row>
    <row r="17711">
      <c r="A17711" s="48" t="s">
        <v>10772</v>
      </c>
      <c r="B17711" s="38">
        <v>16232.0</v>
      </c>
      <c r="C17711" s="38" t="s">
        <v>22136</v>
      </c>
      <c r="D17711" s="38" t="str">
        <f>IFERROR(__xludf.DUMMYFUNCTION("REGEXREPLACE(C17711,""-\d+(.*)|--\d+(.*)"","""")"),"MORNAC")</f>
        <v>MORNAC</v>
      </c>
      <c r="E17711" s="38" t="s">
        <v>429</v>
      </c>
      <c r="F17711" s="38" t="s">
        <v>338</v>
      </c>
      <c r="G17711" s="49" t="str">
        <f t="shared" si="1"/>
        <v>16600</v>
      </c>
      <c r="H17711" s="49">
        <f t="shared" si="2"/>
        <v>16232</v>
      </c>
    </row>
    <row r="17712">
      <c r="A17712" s="48" t="s">
        <v>1598</v>
      </c>
      <c r="B17712" s="38">
        <v>77026.0</v>
      </c>
      <c r="C17712" s="38" t="s">
        <v>22137</v>
      </c>
      <c r="D17712" s="38" t="str">
        <f>IFERROR(__xludf.DUMMYFUNCTION("REGEXREPLACE(C17712,""-\d+(.*)|--\d+(.*)"","""")"),"BEAUCHERY-SAINT-MARTIN")</f>
        <v>BEAUCHERY-SAINT-MARTIN</v>
      </c>
      <c r="E17712" s="38" t="s">
        <v>244</v>
      </c>
      <c r="F17712" s="38" t="s">
        <v>245</v>
      </c>
      <c r="G17712" s="49" t="str">
        <f t="shared" si="1"/>
        <v>77560</v>
      </c>
      <c r="H17712" s="49">
        <f t="shared" si="2"/>
        <v>77026</v>
      </c>
    </row>
    <row r="17713">
      <c r="A17713" s="48" t="s">
        <v>12163</v>
      </c>
      <c r="B17713" s="38">
        <v>2318.0</v>
      </c>
      <c r="C17713" s="38" t="s">
        <v>22138</v>
      </c>
      <c r="D17713" s="38" t="str">
        <f>IFERROR(__xludf.DUMMYFUNCTION("REGEXREPLACE(C17713,""-\d+(.*)|--\d+(.*)"","""")"),"FOLEMBRAY")</f>
        <v>FOLEMBRAY</v>
      </c>
      <c r="E17713" s="38" t="s">
        <v>191</v>
      </c>
      <c r="F17713" s="38" t="s">
        <v>113</v>
      </c>
      <c r="G17713" s="49" t="str">
        <f t="shared" si="1"/>
        <v>02670</v>
      </c>
      <c r="H17713" s="49" t="str">
        <f t="shared" si="2"/>
        <v>02318</v>
      </c>
    </row>
    <row r="17714">
      <c r="A17714" s="48" t="s">
        <v>1636</v>
      </c>
      <c r="B17714" s="38">
        <v>14524.0</v>
      </c>
      <c r="C17714" s="38" t="s">
        <v>22139</v>
      </c>
      <c r="D17714" s="38" t="str">
        <f>IFERROR(__xludf.DUMMYFUNCTION("REGEXREPLACE(C17714,""-\d+(.*)|--\d+(.*)"","""")"),"PUTOT-EN-AUGE")</f>
        <v>PUTOT-EN-AUGE</v>
      </c>
      <c r="E17714" s="38" t="s">
        <v>137</v>
      </c>
      <c r="F17714" s="38" t="s">
        <v>138</v>
      </c>
      <c r="G17714" s="49" t="str">
        <f t="shared" si="1"/>
        <v>14430</v>
      </c>
      <c r="H17714" s="49">
        <f t="shared" si="2"/>
        <v>14524</v>
      </c>
    </row>
    <row r="17715">
      <c r="A17715" s="48" t="s">
        <v>9585</v>
      </c>
      <c r="B17715" s="38">
        <v>25468.0</v>
      </c>
      <c r="C17715" s="38" t="s">
        <v>22140</v>
      </c>
      <c r="D17715" s="38" t="str">
        <f>IFERROR(__xludf.DUMMYFUNCTION("REGEXREPLACE(C17715,""-\d+(.*)|--\d+(.*)"","""")"),"POULIGNEY-LUSANS")</f>
        <v>POULIGNEY-LUSANS</v>
      </c>
      <c r="E17715" s="38" t="s">
        <v>213</v>
      </c>
      <c r="F17715" s="38" t="s">
        <v>214</v>
      </c>
      <c r="G17715" s="49" t="str">
        <f t="shared" si="1"/>
        <v>25640</v>
      </c>
      <c r="H17715" s="49">
        <f t="shared" si="2"/>
        <v>25468</v>
      </c>
    </row>
    <row r="17716">
      <c r="A17716" s="48" t="s">
        <v>454</v>
      </c>
      <c r="B17716" s="38">
        <v>71351.0</v>
      </c>
      <c r="C17716" s="38" t="s">
        <v>22141</v>
      </c>
      <c r="D17716" s="38" t="str">
        <f>IFERROR(__xludf.DUMMYFUNCTION("REGEXREPLACE(C17716,""-\d+(.*)|--\d+(.*)"","""")"),"PIERRE-DE-BRESSE")</f>
        <v>PIERRE-DE-BRESSE</v>
      </c>
      <c r="E17716" s="38" t="s">
        <v>344</v>
      </c>
      <c r="F17716" s="38" t="s">
        <v>106</v>
      </c>
      <c r="G17716" s="49" t="str">
        <f t="shared" si="1"/>
        <v>71270</v>
      </c>
      <c r="H17716" s="49">
        <f t="shared" si="2"/>
        <v>71351</v>
      </c>
    </row>
    <row r="17717">
      <c r="A17717" s="48" t="s">
        <v>1205</v>
      </c>
      <c r="B17717" s="38">
        <v>54242.0</v>
      </c>
      <c r="C17717" s="38" t="s">
        <v>22142</v>
      </c>
      <c r="D17717" s="38" t="str">
        <f>IFERROR(__xludf.DUMMYFUNCTION("REGEXREPLACE(C17717,""-\d+(.*)|--\d+(.*)"","""")"),"GYE")</f>
        <v>GYE</v>
      </c>
      <c r="E17717" s="38" t="s">
        <v>548</v>
      </c>
      <c r="F17717" s="38" t="s">
        <v>195</v>
      </c>
      <c r="G17717" s="49" t="str">
        <f t="shared" si="1"/>
        <v>54113</v>
      </c>
      <c r="H17717" s="49">
        <f t="shared" si="2"/>
        <v>54242</v>
      </c>
    </row>
    <row r="17718">
      <c r="A17718" s="48" t="s">
        <v>10999</v>
      </c>
      <c r="B17718" s="38">
        <v>66106.0</v>
      </c>
      <c r="C17718" s="38" t="s">
        <v>22143</v>
      </c>
      <c r="D17718" s="38" t="str">
        <f>IFERROR(__xludf.DUMMYFUNCTION("REGEXREPLACE(C17718,""-\d+(.*)|--\d+(.*)"","""")"),"MAUREILLAS-LAS-ILLAS")</f>
        <v>MAUREILLAS-LAS-ILLAS</v>
      </c>
      <c r="E17718" s="38" t="s">
        <v>248</v>
      </c>
      <c r="F17718" s="38" t="s">
        <v>119</v>
      </c>
      <c r="G17718" s="49" t="str">
        <f t="shared" si="1"/>
        <v>66480</v>
      </c>
      <c r="H17718" s="49">
        <f t="shared" si="2"/>
        <v>66106</v>
      </c>
    </row>
    <row r="17719">
      <c r="A17719" s="48" t="s">
        <v>11910</v>
      </c>
      <c r="B17719" s="38">
        <v>46223.0</v>
      </c>
      <c r="C17719" s="38" t="s">
        <v>22144</v>
      </c>
      <c r="D17719" s="38" t="str">
        <f>IFERROR(__xludf.DUMMYFUNCTION("REGEXREPLACE(C17719,""-\d+(.*)|--\d+(.*)"","""")"),"PONTCIRQ")</f>
        <v>PONTCIRQ</v>
      </c>
      <c r="E17719" s="38" t="s">
        <v>185</v>
      </c>
      <c r="F17719" s="38" t="s">
        <v>94</v>
      </c>
      <c r="G17719" s="49" t="str">
        <f t="shared" si="1"/>
        <v>46150</v>
      </c>
      <c r="H17719" s="49">
        <f t="shared" si="2"/>
        <v>46223</v>
      </c>
    </row>
    <row r="17720">
      <c r="A17720" s="48" t="s">
        <v>4697</v>
      </c>
      <c r="B17720" s="38">
        <v>67510.0</v>
      </c>
      <c r="C17720" s="38" t="s">
        <v>22145</v>
      </c>
      <c r="D17720" s="38" t="str">
        <f>IFERROR(__xludf.DUMMYFUNCTION("REGEXREPLACE(C17720,""-\d+(.*)|--\d+(.*)"","""")"),"WAHLENHEIM")</f>
        <v>WAHLENHEIM</v>
      </c>
      <c r="E17720" s="38" t="s">
        <v>210</v>
      </c>
      <c r="F17720" s="38" t="s">
        <v>151</v>
      </c>
      <c r="G17720" s="49" t="str">
        <f t="shared" si="1"/>
        <v>67170</v>
      </c>
      <c r="H17720" s="49">
        <f t="shared" si="2"/>
        <v>67510</v>
      </c>
    </row>
    <row r="17721">
      <c r="A17721" s="48" t="s">
        <v>384</v>
      </c>
      <c r="B17721" s="38">
        <v>55041.0</v>
      </c>
      <c r="C17721" s="38" t="s">
        <v>22146</v>
      </c>
      <c r="D17721" s="38" t="str">
        <f>IFERROR(__xludf.DUMMYFUNCTION("REGEXREPLACE(C17721,""-\d+(.*)|--\d+(.*)"","""")"),"BEHONNE")</f>
        <v>BEHONNE</v>
      </c>
      <c r="E17721" s="38" t="s">
        <v>322</v>
      </c>
      <c r="F17721" s="38" t="s">
        <v>195</v>
      </c>
      <c r="G17721" s="49" t="str">
        <f t="shared" si="1"/>
        <v>55000</v>
      </c>
      <c r="H17721" s="49">
        <f t="shared" si="2"/>
        <v>55041</v>
      </c>
    </row>
    <row r="17722">
      <c r="A17722" s="48" t="s">
        <v>2141</v>
      </c>
      <c r="B17722" s="38">
        <v>80515.0</v>
      </c>
      <c r="C17722" s="38" t="s">
        <v>22147</v>
      </c>
      <c r="D17722" s="38" t="str">
        <f>IFERROR(__xludf.DUMMYFUNCTION("REGEXREPLACE(C17722,""-\d+(.*)|--\d+(.*)"","""")"),"MARLERS")</f>
        <v>MARLERS</v>
      </c>
      <c r="E17722" s="38" t="s">
        <v>224</v>
      </c>
      <c r="F17722" s="38" t="s">
        <v>113</v>
      </c>
      <c r="G17722" s="49" t="str">
        <f t="shared" si="1"/>
        <v>80290</v>
      </c>
      <c r="H17722" s="49">
        <f t="shared" si="2"/>
        <v>80515</v>
      </c>
    </row>
    <row r="17723">
      <c r="A17723" s="48" t="s">
        <v>22148</v>
      </c>
      <c r="B17723" s="38">
        <v>69389.0</v>
      </c>
      <c r="C17723" s="38" t="s">
        <v>22149</v>
      </c>
      <c r="D17723" s="38" t="str">
        <f>IFERROR(__xludf.DUMMYFUNCTION("REGEXREPLACE(C17723,""-\d+(.*)|--\d+(.*)"","""")"),"LYON")</f>
        <v>LYON</v>
      </c>
      <c r="E17723" s="38" t="s">
        <v>350</v>
      </c>
      <c r="F17723" s="38" t="s">
        <v>102</v>
      </c>
      <c r="G17723" s="49" t="str">
        <f t="shared" si="1"/>
        <v>69009</v>
      </c>
      <c r="H17723" s="49">
        <f t="shared" si="2"/>
        <v>69389</v>
      </c>
    </row>
    <row r="17724">
      <c r="A17724" s="48" t="s">
        <v>11670</v>
      </c>
      <c r="B17724" s="38">
        <v>31418.0</v>
      </c>
      <c r="C17724" s="38" t="s">
        <v>22150</v>
      </c>
      <c r="D17724" s="38" t="str">
        <f>IFERROR(__xludf.DUMMYFUNCTION("REGEXREPLACE(C17724,""-\d+(.*)|--\d+(.*)"","""")"),"PIN-BALMA")</f>
        <v>PIN-BALMA</v>
      </c>
      <c r="E17724" s="38" t="s">
        <v>93</v>
      </c>
      <c r="F17724" s="38" t="s">
        <v>94</v>
      </c>
      <c r="G17724" s="49" t="str">
        <f t="shared" si="1"/>
        <v>31130</v>
      </c>
      <c r="H17724" s="49">
        <f t="shared" si="2"/>
        <v>31418</v>
      </c>
    </row>
    <row r="17725">
      <c r="A17725" s="48" t="s">
        <v>8847</v>
      </c>
      <c r="B17725" s="38">
        <v>42103.0</v>
      </c>
      <c r="C17725" s="38" t="s">
        <v>22151</v>
      </c>
      <c r="D17725" s="38" t="str">
        <f>IFERROR(__xludf.DUMMYFUNCTION("REGEXREPLACE(C17725,""-\d+(.*)|--\d+(.*)"","""")"),"LA GRAND-CROIX")</f>
        <v>LA GRAND-CROIX</v>
      </c>
      <c r="E17725" s="38" t="s">
        <v>166</v>
      </c>
      <c r="F17725" s="38" t="s">
        <v>102</v>
      </c>
      <c r="G17725" s="49" t="str">
        <f t="shared" si="1"/>
        <v>42320</v>
      </c>
      <c r="H17725" s="49">
        <f t="shared" si="2"/>
        <v>42103</v>
      </c>
    </row>
    <row r="17726">
      <c r="A17726" s="48" t="s">
        <v>773</v>
      </c>
      <c r="B17726" s="38">
        <v>27273.0</v>
      </c>
      <c r="C17726" s="38" t="s">
        <v>22152</v>
      </c>
      <c r="D17726" s="38" t="str">
        <f>IFERROR(__xludf.DUMMYFUNCTION("REGEXREPLACE(C17726,""-\d+(.*)|--\d+(.*)"","""")"),"GADENCOURT")</f>
        <v>GADENCOURT</v>
      </c>
      <c r="E17726" s="38" t="s">
        <v>241</v>
      </c>
      <c r="F17726" s="38" t="s">
        <v>134</v>
      </c>
      <c r="G17726" s="49" t="str">
        <f t="shared" si="1"/>
        <v>27120</v>
      </c>
      <c r="H17726" s="49">
        <f t="shared" si="2"/>
        <v>27273</v>
      </c>
    </row>
    <row r="17727">
      <c r="A17727" s="48" t="s">
        <v>14375</v>
      </c>
      <c r="B17727" s="38">
        <v>74079.0</v>
      </c>
      <c r="C17727" s="38" t="s">
        <v>22153</v>
      </c>
      <c r="D17727" s="38" t="str">
        <f>IFERROR(__xludf.DUMMYFUNCTION("REGEXREPLACE(C17727,""-\d+(.*)|--\d+(.*)"","""")"),"LES CLEFS")</f>
        <v>LES CLEFS</v>
      </c>
      <c r="E17727" s="38" t="s">
        <v>319</v>
      </c>
      <c r="F17727" s="38" t="s">
        <v>102</v>
      </c>
      <c r="G17727" s="49" t="str">
        <f t="shared" si="1"/>
        <v>74230</v>
      </c>
      <c r="H17727" s="49">
        <f t="shared" si="2"/>
        <v>74079</v>
      </c>
    </row>
    <row r="17728">
      <c r="A17728" s="48" t="s">
        <v>1327</v>
      </c>
      <c r="B17728" s="38">
        <v>51534.0</v>
      </c>
      <c r="C17728" s="38" t="s">
        <v>22154</v>
      </c>
      <c r="D17728" s="38" t="str">
        <f>IFERROR(__xludf.DUMMYFUNCTION("REGEXREPLACE(C17728,""-\d+(.*)|--\d+(.*)"","""")"),"SERZY-ET-PRIN")</f>
        <v>SERZY-ET-PRIN</v>
      </c>
      <c r="E17728" s="38" t="s">
        <v>129</v>
      </c>
      <c r="F17728" s="38" t="s">
        <v>130</v>
      </c>
      <c r="G17728" s="49" t="str">
        <f t="shared" si="1"/>
        <v>51170</v>
      </c>
      <c r="H17728" s="49">
        <f t="shared" si="2"/>
        <v>51534</v>
      </c>
    </row>
    <row r="17729">
      <c r="A17729" s="48" t="s">
        <v>1667</v>
      </c>
      <c r="B17729" s="38">
        <v>38483.0</v>
      </c>
      <c r="C17729" s="38" t="s">
        <v>22155</v>
      </c>
      <c r="D17729" s="38" t="str">
        <f>IFERROR(__xludf.DUMMYFUNCTION("REGEXREPLACE(C17729,""-\d+(.*)|--\d+(.*)"","""")"),"SERMERIEU")</f>
        <v>SERMERIEU</v>
      </c>
      <c r="E17729" s="38" t="s">
        <v>101</v>
      </c>
      <c r="F17729" s="38" t="s">
        <v>102</v>
      </c>
      <c r="G17729" s="49" t="str">
        <f t="shared" si="1"/>
        <v>38510</v>
      </c>
      <c r="H17729" s="49">
        <f t="shared" si="2"/>
        <v>38483</v>
      </c>
    </row>
    <row r="17730">
      <c r="A17730" s="48" t="s">
        <v>6202</v>
      </c>
      <c r="B17730" s="38">
        <v>49195.0</v>
      </c>
      <c r="C17730" s="38" t="s">
        <v>22156</v>
      </c>
      <c r="D17730" s="38" t="str">
        <f>IFERROR(__xludf.DUMMYFUNCTION("REGEXREPLACE(C17730,""-\d+(.*)|--\d+(.*)"","""")"),"MAZIERES-EN-MAUGES")</f>
        <v>MAZIERES-EN-MAUGES</v>
      </c>
      <c r="E17730" s="38" t="s">
        <v>653</v>
      </c>
      <c r="F17730" s="38" t="s">
        <v>180</v>
      </c>
      <c r="G17730" s="49" t="str">
        <f t="shared" si="1"/>
        <v>49280</v>
      </c>
      <c r="H17730" s="49">
        <f t="shared" si="2"/>
        <v>49195</v>
      </c>
    </row>
    <row r="17731">
      <c r="A17731" s="48" t="s">
        <v>6555</v>
      </c>
      <c r="B17731" s="38">
        <v>67405.0</v>
      </c>
      <c r="C17731" s="38" t="s">
        <v>22157</v>
      </c>
      <c r="D17731" s="38" t="str">
        <f>IFERROR(__xludf.DUMMYFUNCTION("REGEXREPLACE(C17731,""-\d+(.*)|--\d+(.*)"","""")"),"ROESCHWOOG")</f>
        <v>ROESCHWOOG</v>
      </c>
      <c r="E17731" s="38" t="s">
        <v>210</v>
      </c>
      <c r="F17731" s="38" t="s">
        <v>151</v>
      </c>
      <c r="G17731" s="49" t="str">
        <f t="shared" si="1"/>
        <v>67480</v>
      </c>
      <c r="H17731" s="49">
        <f t="shared" si="2"/>
        <v>67405</v>
      </c>
    </row>
    <row r="17732">
      <c r="A17732" s="48" t="s">
        <v>3031</v>
      </c>
      <c r="B17732" s="38">
        <v>21695.0</v>
      </c>
      <c r="C17732" s="38" t="s">
        <v>22158</v>
      </c>
      <c r="D17732" s="38" t="str">
        <f>IFERROR(__xludf.DUMMYFUNCTION("REGEXREPLACE(C17732,""-\d+(.*)|--\d+(.*)"","""")"),"LA VILLENEUVE-LES-CONVERS")</f>
        <v>LA VILLENEUVE-LES-CONVERS</v>
      </c>
      <c r="E17732" s="38" t="s">
        <v>105</v>
      </c>
      <c r="F17732" s="38" t="s">
        <v>106</v>
      </c>
      <c r="G17732" s="49" t="str">
        <f t="shared" si="1"/>
        <v>21450</v>
      </c>
      <c r="H17732" s="49">
        <f t="shared" si="2"/>
        <v>21695</v>
      </c>
    </row>
    <row r="17733">
      <c r="A17733" s="48" t="s">
        <v>970</v>
      </c>
      <c r="B17733" s="38">
        <v>2044.0</v>
      </c>
      <c r="C17733" s="38" t="s">
        <v>22159</v>
      </c>
      <c r="D17733" s="38" t="str">
        <f>IFERROR(__xludf.DUMMYFUNCTION("REGEXREPLACE(C17733,""-\d+(.*)|--\d+(.*)"","""")"),"BANCIGNY")</f>
        <v>BANCIGNY</v>
      </c>
      <c r="E17733" s="38" t="s">
        <v>191</v>
      </c>
      <c r="F17733" s="38" t="s">
        <v>113</v>
      </c>
      <c r="G17733" s="49" t="str">
        <f t="shared" si="1"/>
        <v>02140</v>
      </c>
      <c r="H17733" s="49" t="str">
        <f t="shared" si="2"/>
        <v>02044</v>
      </c>
    </row>
    <row r="17734">
      <c r="A17734" s="48" t="s">
        <v>954</v>
      </c>
      <c r="B17734" s="38">
        <v>70127.0</v>
      </c>
      <c r="C17734" s="38" t="s">
        <v>22160</v>
      </c>
      <c r="D17734" s="38" t="str">
        <f>IFERROR(__xludf.DUMMYFUNCTION("REGEXREPLACE(C17734,""-\d+(.*)|--\d+(.*)"","""")"),"CHANTES")</f>
        <v>CHANTES</v>
      </c>
      <c r="E17734" s="38" t="s">
        <v>956</v>
      </c>
      <c r="F17734" s="38" t="s">
        <v>214</v>
      </c>
      <c r="G17734" s="49" t="str">
        <f t="shared" si="1"/>
        <v>70360</v>
      </c>
      <c r="H17734" s="49">
        <f t="shared" si="2"/>
        <v>70127</v>
      </c>
    </row>
    <row r="17735">
      <c r="A17735" s="48" t="s">
        <v>16121</v>
      </c>
      <c r="B17735" s="38">
        <v>62653.0</v>
      </c>
      <c r="C17735" s="38" t="s">
        <v>22161</v>
      </c>
      <c r="D17735" s="38" t="str">
        <f>IFERROR(__xludf.DUMMYFUNCTION("REGEXREPLACE(C17735,""-\d+(.*)|--\d+(.*)"","""")"),"PERNES-LES-BOULOGNE")</f>
        <v>PERNES-LES-BOULOGNE</v>
      </c>
      <c r="E17735" s="38" t="s">
        <v>109</v>
      </c>
      <c r="F17735" s="38" t="s">
        <v>86</v>
      </c>
      <c r="G17735" s="49" t="str">
        <f t="shared" si="1"/>
        <v>62126</v>
      </c>
      <c r="H17735" s="49">
        <f t="shared" si="2"/>
        <v>62653</v>
      </c>
    </row>
    <row r="17736">
      <c r="A17736" s="48" t="s">
        <v>502</v>
      </c>
      <c r="B17736" s="38">
        <v>18270.0</v>
      </c>
      <c r="C17736" s="38" t="s">
        <v>22162</v>
      </c>
      <c r="D17736" s="38" t="str">
        <f>IFERROR(__xludf.DUMMYFUNCTION("REGEXREPLACE(C17736,""-\d+(.*)|--\d+(.*)"","""")"),"VALLENAY")</f>
        <v>VALLENAY</v>
      </c>
      <c r="E17736" s="38" t="s">
        <v>504</v>
      </c>
      <c r="F17736" s="38" t="s">
        <v>123</v>
      </c>
      <c r="G17736" s="49" t="str">
        <f t="shared" si="1"/>
        <v>18190</v>
      </c>
      <c r="H17736" s="49">
        <f t="shared" si="2"/>
        <v>18270</v>
      </c>
    </row>
    <row r="17737">
      <c r="A17737" s="48" t="s">
        <v>22163</v>
      </c>
      <c r="B17737" s="38">
        <v>13066.0</v>
      </c>
      <c r="C17737" s="38" t="s">
        <v>22164</v>
      </c>
      <c r="D17737" s="38" t="str">
        <f>IFERROR(__xludf.DUMMYFUNCTION("REGEXREPLACE(C17737,""-\d+(.*)|--\d+(.*)"","""")"),"NOVES")</f>
        <v>NOVES</v>
      </c>
      <c r="E17737" s="38" t="s">
        <v>980</v>
      </c>
      <c r="F17737" s="38" t="s">
        <v>228</v>
      </c>
      <c r="G17737" s="49" t="str">
        <f t="shared" si="1"/>
        <v>13550</v>
      </c>
      <c r="H17737" s="49">
        <f t="shared" si="2"/>
        <v>13066</v>
      </c>
    </row>
    <row r="17738">
      <c r="A17738" s="48" t="s">
        <v>622</v>
      </c>
      <c r="B17738" s="38">
        <v>14284.0</v>
      </c>
      <c r="C17738" s="38" t="s">
        <v>22165</v>
      </c>
      <c r="D17738" s="38" t="str">
        <f>IFERROR(__xludf.DUMMYFUNCTION("REGEXREPLACE(C17738,""-\d+(.*)|--\d+(.*)"","""")"),"FOURNEAUX-LE-VAL")</f>
        <v>FOURNEAUX-LE-VAL</v>
      </c>
      <c r="E17738" s="38" t="s">
        <v>137</v>
      </c>
      <c r="F17738" s="38" t="s">
        <v>138</v>
      </c>
      <c r="G17738" s="49" t="str">
        <f t="shared" si="1"/>
        <v>14700</v>
      </c>
      <c r="H17738" s="49">
        <f t="shared" si="2"/>
        <v>14284</v>
      </c>
    </row>
    <row r="17739">
      <c r="A17739" s="48" t="s">
        <v>2554</v>
      </c>
      <c r="B17739" s="38">
        <v>95040.0</v>
      </c>
      <c r="C17739" s="38" t="s">
        <v>22166</v>
      </c>
      <c r="D17739" s="38" t="str">
        <f>IFERROR(__xludf.DUMMYFUNCTION("REGEXREPLACE(C17739,""-\d+(.*)|--\d+(.*)"","""")"),"AVERNES")</f>
        <v>AVERNES</v>
      </c>
      <c r="E17739" s="38" t="s">
        <v>541</v>
      </c>
      <c r="F17739" s="38" t="s">
        <v>245</v>
      </c>
      <c r="G17739" s="49" t="str">
        <f t="shared" si="1"/>
        <v>95450</v>
      </c>
      <c r="H17739" s="49">
        <f t="shared" si="2"/>
        <v>95040</v>
      </c>
    </row>
    <row r="17740">
      <c r="A17740" s="48" t="s">
        <v>4873</v>
      </c>
      <c r="B17740" s="38">
        <v>67370.0</v>
      </c>
      <c r="C17740" s="38" t="s">
        <v>22167</v>
      </c>
      <c r="D17740" s="38" t="str">
        <f>IFERROR(__xludf.DUMMYFUNCTION("REGEXREPLACE(C17740,""-\d+(.*)|--\d+(.*)"","""")"),"PETERSBACH")</f>
        <v>PETERSBACH</v>
      </c>
      <c r="E17740" s="38" t="s">
        <v>210</v>
      </c>
      <c r="F17740" s="38" t="s">
        <v>151</v>
      </c>
      <c r="G17740" s="49" t="str">
        <f t="shared" si="1"/>
        <v>67290</v>
      </c>
      <c r="H17740" s="49">
        <f t="shared" si="2"/>
        <v>67370</v>
      </c>
    </row>
    <row r="17741">
      <c r="A17741" s="48" t="s">
        <v>3502</v>
      </c>
      <c r="B17741" s="38">
        <v>22310.0</v>
      </c>
      <c r="C17741" s="38" t="s">
        <v>13532</v>
      </c>
      <c r="D17741" s="38" t="str">
        <f>IFERROR(__xludf.DUMMYFUNCTION("REGEXREPLACE(C17741,""-\d+(.*)|--\d+(.*)"","""")"),"SAINT-LAURENT")</f>
        <v>SAINT-LAURENT</v>
      </c>
      <c r="E17741" s="38" t="s">
        <v>89</v>
      </c>
      <c r="F17741" s="38" t="s">
        <v>90</v>
      </c>
      <c r="G17741" s="49" t="str">
        <f t="shared" si="1"/>
        <v>22140</v>
      </c>
      <c r="H17741" s="49">
        <f t="shared" si="2"/>
        <v>22310</v>
      </c>
    </row>
    <row r="17742">
      <c r="A17742" s="48" t="s">
        <v>8669</v>
      </c>
      <c r="B17742" s="38">
        <v>50148.0</v>
      </c>
      <c r="C17742" s="38" t="s">
        <v>22168</v>
      </c>
      <c r="D17742" s="38" t="str">
        <f>IFERROR(__xludf.DUMMYFUNCTION("REGEXREPLACE(C17742,""-\d+(.*)|--\d+(.*)"","""")"),"COUVAINS")</f>
        <v>COUVAINS</v>
      </c>
      <c r="E17742" s="38" t="s">
        <v>157</v>
      </c>
      <c r="F17742" s="38" t="s">
        <v>138</v>
      </c>
      <c r="G17742" s="49" t="str">
        <f t="shared" si="1"/>
        <v>50680</v>
      </c>
      <c r="H17742" s="49">
        <f t="shared" si="2"/>
        <v>50148</v>
      </c>
    </row>
    <row r="17743">
      <c r="A17743" s="48" t="s">
        <v>691</v>
      </c>
      <c r="B17743" s="38">
        <v>64113.0</v>
      </c>
      <c r="C17743" s="38" t="s">
        <v>22169</v>
      </c>
      <c r="D17743" s="38" t="str">
        <f>IFERROR(__xludf.DUMMYFUNCTION("REGEXREPLACE(C17743,""-\d+(.*)|--\d+(.*)"","""")"),"BERGOUEY-VIELLENAVE")</f>
        <v>BERGOUEY-VIELLENAVE</v>
      </c>
      <c r="E17743" s="38" t="s">
        <v>268</v>
      </c>
      <c r="F17743" s="38" t="s">
        <v>252</v>
      </c>
      <c r="G17743" s="49" t="str">
        <f t="shared" si="1"/>
        <v>64270</v>
      </c>
      <c r="H17743" s="49">
        <f t="shared" si="2"/>
        <v>64113</v>
      </c>
    </row>
    <row r="17744">
      <c r="A17744" s="48" t="s">
        <v>8111</v>
      </c>
      <c r="B17744" s="38">
        <v>40255.0</v>
      </c>
      <c r="C17744" s="38" t="s">
        <v>22170</v>
      </c>
      <c r="D17744" s="38" t="str">
        <f>IFERROR(__xludf.DUMMYFUNCTION("REGEXREPLACE(C17744,""-\d+(.*)|--\d+(.*)"","""")"),"SAINT-CRICQ-VILLENEUVE")</f>
        <v>SAINT-CRICQ-VILLENEUVE</v>
      </c>
      <c r="E17744" s="38" t="s">
        <v>281</v>
      </c>
      <c r="F17744" s="38" t="s">
        <v>252</v>
      </c>
      <c r="G17744" s="49" t="str">
        <f t="shared" si="1"/>
        <v>40190</v>
      </c>
      <c r="H17744" s="49">
        <f t="shared" si="2"/>
        <v>40255</v>
      </c>
    </row>
    <row r="17745">
      <c r="A17745" s="48" t="s">
        <v>2573</v>
      </c>
      <c r="B17745" s="38">
        <v>31118.0</v>
      </c>
      <c r="C17745" s="38" t="s">
        <v>22171</v>
      </c>
      <c r="D17745" s="38" t="str">
        <f>IFERROR(__xludf.DUMMYFUNCTION("REGEXREPLACE(C17745,""-\d+(.*)|--\d+(.*)"","""")"),"CASTELNAU-D'ESTRETEFONDS")</f>
        <v>CASTELNAU-D'ESTRETEFONDS</v>
      </c>
      <c r="E17745" s="38" t="s">
        <v>93</v>
      </c>
      <c r="F17745" s="38" t="s">
        <v>94</v>
      </c>
      <c r="G17745" s="49" t="str">
        <f t="shared" si="1"/>
        <v>31620</v>
      </c>
      <c r="H17745" s="49">
        <f t="shared" si="2"/>
        <v>31118</v>
      </c>
    </row>
    <row r="17746">
      <c r="A17746" s="48" t="s">
        <v>15015</v>
      </c>
      <c r="B17746" s="38">
        <v>9285.0</v>
      </c>
      <c r="C17746" s="38" t="s">
        <v>22172</v>
      </c>
      <c r="D17746" s="38" t="str">
        <f>IFERROR(__xludf.DUMMYFUNCTION("REGEXREPLACE(C17746,""-\d+(.*)|--\d+(.*)"","""")"),"SEIX")</f>
        <v>SEIX</v>
      </c>
      <c r="E17746" s="38" t="s">
        <v>238</v>
      </c>
      <c r="F17746" s="38" t="s">
        <v>94</v>
      </c>
      <c r="G17746" s="49" t="str">
        <f t="shared" si="1"/>
        <v>09140</v>
      </c>
      <c r="H17746" s="49" t="str">
        <f t="shared" si="2"/>
        <v>09285</v>
      </c>
    </row>
    <row r="17747">
      <c r="A17747" s="48" t="s">
        <v>14093</v>
      </c>
      <c r="B17747" s="38">
        <v>1342.0</v>
      </c>
      <c r="C17747" s="38" t="s">
        <v>1715</v>
      </c>
      <c r="D17747" s="38" t="str">
        <f>IFERROR(__xludf.DUMMYFUNCTION("REGEXREPLACE(C17747,""-\d+(.*)|--\d+(.*)"","""")"),"SAINTE-CROIX")</f>
        <v>SAINTE-CROIX</v>
      </c>
      <c r="E17747" s="38" t="s">
        <v>255</v>
      </c>
      <c r="F17747" s="38" t="s">
        <v>102</v>
      </c>
      <c r="G17747" s="49" t="str">
        <f t="shared" si="1"/>
        <v>01120</v>
      </c>
      <c r="H17747" s="49" t="str">
        <f t="shared" si="2"/>
        <v>01342</v>
      </c>
    </row>
    <row r="17748">
      <c r="A17748" s="48" t="s">
        <v>22173</v>
      </c>
      <c r="B17748" s="38">
        <v>59243.0</v>
      </c>
      <c r="C17748" s="38" t="s">
        <v>22174</v>
      </c>
      <c r="D17748" s="38" t="str">
        <f>IFERROR(__xludf.DUMMYFUNCTION("REGEXREPLACE(C17748,""-\d+(.*)|--\d+(.*)"","""")"),"FONTAINE-AU-PIRE")</f>
        <v>FONTAINE-AU-PIRE</v>
      </c>
      <c r="E17748" s="38" t="s">
        <v>85</v>
      </c>
      <c r="F17748" s="38" t="s">
        <v>86</v>
      </c>
      <c r="G17748" s="49" t="str">
        <f t="shared" si="1"/>
        <v>59157</v>
      </c>
      <c r="H17748" s="49">
        <f t="shared" si="2"/>
        <v>59243</v>
      </c>
    </row>
    <row r="17749">
      <c r="A17749" s="48" t="s">
        <v>12929</v>
      </c>
      <c r="B17749" s="38">
        <v>73086.0</v>
      </c>
      <c r="C17749" s="38" t="s">
        <v>22175</v>
      </c>
      <c r="D17749" s="38" t="str">
        <f>IFERROR(__xludf.DUMMYFUNCTION("REGEXREPLACE(C17749,""-\d+(.*)|--\d+(.*)"","""")"),"CLERY")</f>
        <v>CLERY</v>
      </c>
      <c r="E17749" s="38" t="s">
        <v>306</v>
      </c>
      <c r="F17749" s="38" t="s">
        <v>102</v>
      </c>
      <c r="G17749" s="49" t="str">
        <f t="shared" si="1"/>
        <v>73460</v>
      </c>
      <c r="H17749" s="49">
        <f t="shared" si="2"/>
        <v>73086</v>
      </c>
    </row>
    <row r="17750">
      <c r="A17750" s="48" t="s">
        <v>5020</v>
      </c>
      <c r="B17750" s="38">
        <v>51570.0</v>
      </c>
      <c r="C17750" s="38" t="s">
        <v>22176</v>
      </c>
      <c r="D17750" s="38" t="str">
        <f>IFERROR(__xludf.DUMMYFUNCTION("REGEXREPLACE(C17750,""-\d+(.*)|--\d+(.*)"","""")"),"LE THOULT-TROSNAY")</f>
        <v>LE THOULT-TROSNAY</v>
      </c>
      <c r="E17750" s="38" t="s">
        <v>129</v>
      </c>
      <c r="F17750" s="38" t="s">
        <v>130</v>
      </c>
      <c r="G17750" s="49" t="str">
        <f t="shared" si="1"/>
        <v>51210</v>
      </c>
      <c r="H17750" s="49">
        <f t="shared" si="2"/>
        <v>51570</v>
      </c>
    </row>
    <row r="17751">
      <c r="A17751" s="48" t="s">
        <v>1104</v>
      </c>
      <c r="B17751" s="38">
        <v>52129.0</v>
      </c>
      <c r="C17751" s="38" t="s">
        <v>22177</v>
      </c>
      <c r="D17751" s="38" t="str">
        <f>IFERROR(__xludf.DUMMYFUNCTION("REGEXREPLACE(C17751,""-\d+(.*)|--\d+(.*)"","""")"),"CIREY-SUR-BLAISE")</f>
        <v>CIREY-SUR-BLAISE</v>
      </c>
      <c r="E17751" s="38" t="s">
        <v>234</v>
      </c>
      <c r="F17751" s="38" t="s">
        <v>130</v>
      </c>
      <c r="G17751" s="49" t="str">
        <f t="shared" si="1"/>
        <v>52110</v>
      </c>
      <c r="H17751" s="49">
        <f t="shared" si="2"/>
        <v>52129</v>
      </c>
    </row>
    <row r="17752">
      <c r="A17752" s="48" t="s">
        <v>6047</v>
      </c>
      <c r="B17752" s="38">
        <v>38290.0</v>
      </c>
      <c r="C17752" s="38" t="s">
        <v>22178</v>
      </c>
      <c r="D17752" s="38" t="str">
        <f>IFERROR(__xludf.DUMMYFUNCTION("REGEXREPLACE(C17752,""-\d+(.*)|--\d+(.*)"","""")"),"PACT")</f>
        <v>PACT</v>
      </c>
      <c r="E17752" s="38" t="s">
        <v>101</v>
      </c>
      <c r="F17752" s="38" t="s">
        <v>102</v>
      </c>
      <c r="G17752" s="49" t="str">
        <f t="shared" si="1"/>
        <v>38270</v>
      </c>
      <c r="H17752" s="49">
        <f t="shared" si="2"/>
        <v>38290</v>
      </c>
    </row>
    <row r="17753">
      <c r="A17753" s="48" t="s">
        <v>22179</v>
      </c>
      <c r="B17753" s="38">
        <v>83153.0</v>
      </c>
      <c r="C17753" s="38" t="s">
        <v>22180</v>
      </c>
      <c r="D17753" s="38" t="str">
        <f>IFERROR(__xludf.DUMMYFUNCTION("REGEXREPLACE(C17753,""-\d+(.*)|--\d+(.*)"","""")"),"SAINT-MANDRIER-SUR-MER")</f>
        <v>SAINT-MANDRIER-SUR-MER</v>
      </c>
      <c r="E17753" s="38" t="s">
        <v>813</v>
      </c>
      <c r="F17753" s="38" t="s">
        <v>228</v>
      </c>
      <c r="G17753" s="49" t="str">
        <f t="shared" si="1"/>
        <v>83430</v>
      </c>
      <c r="H17753" s="49">
        <f t="shared" si="2"/>
        <v>83153</v>
      </c>
    </row>
    <row r="17754">
      <c r="A17754" s="48" t="s">
        <v>2010</v>
      </c>
      <c r="B17754" s="38">
        <v>49314.0</v>
      </c>
      <c r="C17754" s="38" t="s">
        <v>22181</v>
      </c>
      <c r="D17754" s="38" t="str">
        <f>IFERROR(__xludf.DUMMYFUNCTION("REGEXREPLACE(C17754,""-\d+(.*)|--\d+(.*)"","""")"),"SAINT-QUENTIN-EN-MAUGES")</f>
        <v>SAINT-QUENTIN-EN-MAUGES</v>
      </c>
      <c r="E17754" s="38" t="s">
        <v>653</v>
      </c>
      <c r="F17754" s="38" t="s">
        <v>180</v>
      </c>
      <c r="G17754" s="49" t="str">
        <f t="shared" si="1"/>
        <v>49110</v>
      </c>
      <c r="H17754" s="49">
        <f t="shared" si="2"/>
        <v>49314</v>
      </c>
    </row>
    <row r="17755">
      <c r="A17755" s="48" t="s">
        <v>7643</v>
      </c>
      <c r="B17755" s="38">
        <v>30193.0</v>
      </c>
      <c r="C17755" s="38" t="s">
        <v>22182</v>
      </c>
      <c r="D17755" s="38" t="str">
        <f>IFERROR(__xludf.DUMMYFUNCTION("REGEXREPLACE(C17755,""-\d+(.*)|--\d+(.*)"","""")"),"PARIGNARGUES")</f>
        <v>PARIGNARGUES</v>
      </c>
      <c r="E17755" s="38" t="s">
        <v>526</v>
      </c>
      <c r="F17755" s="38" t="s">
        <v>119</v>
      </c>
      <c r="G17755" s="49" t="str">
        <f t="shared" si="1"/>
        <v>30730</v>
      </c>
      <c r="H17755" s="49">
        <f t="shared" si="2"/>
        <v>30193</v>
      </c>
    </row>
    <row r="17756">
      <c r="A17756" s="48" t="s">
        <v>4561</v>
      </c>
      <c r="B17756" s="38">
        <v>79158.0</v>
      </c>
      <c r="C17756" s="38" t="s">
        <v>22183</v>
      </c>
      <c r="D17756" s="38" t="str">
        <f>IFERROR(__xludf.DUMMYFUNCTION("REGEXREPLACE(C17756,""-\d+(.*)|--\d+(.*)"","""")"),"LUCHE-SUR-BRIOUX")</f>
        <v>LUCHE-SUR-BRIOUX</v>
      </c>
      <c r="E17756" s="38" t="s">
        <v>337</v>
      </c>
      <c r="F17756" s="38" t="s">
        <v>338</v>
      </c>
      <c r="G17756" s="49" t="str">
        <f t="shared" si="1"/>
        <v>79170</v>
      </c>
      <c r="H17756" s="49">
        <f t="shared" si="2"/>
        <v>79158</v>
      </c>
    </row>
    <row r="17757">
      <c r="A17757" s="48" t="s">
        <v>6785</v>
      </c>
      <c r="B17757" s="38">
        <v>27449.0</v>
      </c>
      <c r="C17757" s="38" t="s">
        <v>22184</v>
      </c>
      <c r="D17757" s="38" t="str">
        <f>IFERROR(__xludf.DUMMYFUNCTION("REGEXREPLACE(C17757,""-\d+(.*)|--\d+(.*)"","""")"),"PANILLEUSE")</f>
        <v>PANILLEUSE</v>
      </c>
      <c r="E17757" s="38" t="s">
        <v>241</v>
      </c>
      <c r="F17757" s="38" t="s">
        <v>134</v>
      </c>
      <c r="G17757" s="49" t="str">
        <f t="shared" si="1"/>
        <v>27510</v>
      </c>
      <c r="H17757" s="49">
        <f t="shared" si="2"/>
        <v>27449</v>
      </c>
    </row>
    <row r="17758">
      <c r="A17758" s="48" t="s">
        <v>4116</v>
      </c>
      <c r="B17758" s="38">
        <v>18010.0</v>
      </c>
      <c r="C17758" s="38" t="s">
        <v>22185</v>
      </c>
      <c r="D17758" s="38" t="str">
        <f>IFERROR(__xludf.DUMMYFUNCTION("REGEXREPLACE(C17758,""-\d+(.*)|--\d+(.*)"","""")"),"ARDENAIS")</f>
        <v>ARDENAIS</v>
      </c>
      <c r="E17758" s="38" t="s">
        <v>504</v>
      </c>
      <c r="F17758" s="38" t="s">
        <v>123</v>
      </c>
      <c r="G17758" s="49" t="str">
        <f t="shared" si="1"/>
        <v>18170</v>
      </c>
      <c r="H17758" s="49">
        <f t="shared" si="2"/>
        <v>18010</v>
      </c>
    </row>
    <row r="17759">
      <c r="A17759" s="48" t="s">
        <v>2924</v>
      </c>
      <c r="B17759" s="38">
        <v>8339.0</v>
      </c>
      <c r="C17759" s="38" t="s">
        <v>21080</v>
      </c>
      <c r="D17759" s="38" t="str">
        <f>IFERROR(__xludf.DUMMYFUNCTION("REGEXREPLACE(C17759,""-\d+(.*)|--\d+(.*)"","""")"),"PERTHES")</f>
        <v>PERTHES</v>
      </c>
      <c r="E17759" s="38" t="s">
        <v>327</v>
      </c>
      <c r="F17759" s="38" t="s">
        <v>130</v>
      </c>
      <c r="G17759" s="49" t="str">
        <f t="shared" si="1"/>
        <v>08300</v>
      </c>
      <c r="H17759" s="49" t="str">
        <f t="shared" si="2"/>
        <v>08339</v>
      </c>
    </row>
    <row r="17760">
      <c r="A17760" s="48" t="s">
        <v>22186</v>
      </c>
      <c r="B17760" s="38">
        <v>59324.0</v>
      </c>
      <c r="C17760" s="38" t="s">
        <v>22187</v>
      </c>
      <c r="D17760" s="38" t="str">
        <f>IFERROR(__xludf.DUMMYFUNCTION("REGEXREPLACE(C17760,""-\d+(.*)|--\d+(.*)"","""")"),"JEUMONT")</f>
        <v>JEUMONT</v>
      </c>
      <c r="E17760" s="38" t="s">
        <v>85</v>
      </c>
      <c r="F17760" s="38" t="s">
        <v>86</v>
      </c>
      <c r="G17760" s="49" t="str">
        <f t="shared" si="1"/>
        <v>59460</v>
      </c>
      <c r="H17760" s="49">
        <f t="shared" si="2"/>
        <v>59324</v>
      </c>
    </row>
    <row r="17761">
      <c r="A17761" s="48" t="s">
        <v>22188</v>
      </c>
      <c r="B17761" s="38">
        <v>14100.0</v>
      </c>
      <c r="C17761" s="38" t="s">
        <v>22189</v>
      </c>
      <c r="D17761" s="38" t="str">
        <f>IFERROR(__xludf.DUMMYFUNCTION("REGEXREPLACE(C17761,""-\d+(.*)|--\d+(.*)"","""")"),"BRETTEVILLE-SUR-LAIZE")</f>
        <v>BRETTEVILLE-SUR-LAIZE</v>
      </c>
      <c r="E17761" s="38" t="s">
        <v>137</v>
      </c>
      <c r="F17761" s="38" t="s">
        <v>138</v>
      </c>
      <c r="G17761" s="49" t="str">
        <f t="shared" si="1"/>
        <v>14680</v>
      </c>
      <c r="H17761" s="49">
        <f t="shared" si="2"/>
        <v>14100</v>
      </c>
    </row>
    <row r="17762">
      <c r="A17762" s="48" t="s">
        <v>9890</v>
      </c>
      <c r="B17762" s="38">
        <v>21058.0</v>
      </c>
      <c r="C17762" s="38" t="s">
        <v>22190</v>
      </c>
      <c r="D17762" s="38" t="str">
        <f>IFERROR(__xludf.DUMMYFUNCTION("REGEXREPLACE(C17762,""-\d+(.*)|--\d+(.*)"","""")"),"BELAN-SUR-OURCE")</f>
        <v>BELAN-SUR-OURCE</v>
      </c>
      <c r="E17762" s="38" t="s">
        <v>105</v>
      </c>
      <c r="F17762" s="38" t="s">
        <v>106</v>
      </c>
      <c r="G17762" s="49" t="str">
        <f t="shared" si="1"/>
        <v>21570</v>
      </c>
      <c r="H17762" s="49">
        <f t="shared" si="2"/>
        <v>21058</v>
      </c>
    </row>
    <row r="17763">
      <c r="A17763" s="48" t="s">
        <v>10772</v>
      </c>
      <c r="B17763" s="38">
        <v>16199.0</v>
      </c>
      <c r="C17763" s="38" t="s">
        <v>22191</v>
      </c>
      <c r="D17763" s="38" t="str">
        <f>IFERROR(__xludf.DUMMYFUNCTION("REGEXREPLACE(C17763,""-\d+(.*)|--\d+(.*)"","""")"),"MAGNAC-SUR-TOUVRE")</f>
        <v>MAGNAC-SUR-TOUVRE</v>
      </c>
      <c r="E17763" s="38" t="s">
        <v>429</v>
      </c>
      <c r="F17763" s="38" t="s">
        <v>338</v>
      </c>
      <c r="G17763" s="49" t="str">
        <f t="shared" si="1"/>
        <v>16600</v>
      </c>
      <c r="H17763" s="49">
        <f t="shared" si="2"/>
        <v>16199</v>
      </c>
    </row>
    <row r="17764">
      <c r="A17764" s="48" t="s">
        <v>15358</v>
      </c>
      <c r="B17764" s="38">
        <v>78171.0</v>
      </c>
      <c r="C17764" s="38" t="s">
        <v>22192</v>
      </c>
      <c r="D17764" s="38" t="str">
        <f>IFERROR(__xludf.DUMMYFUNCTION("REGEXREPLACE(C17764,""-\d+(.*)|--\d+(.*)"","""")"),"CONDE-SUR-VESGRE")</f>
        <v>CONDE-SUR-VESGRE</v>
      </c>
      <c r="E17764" s="38" t="s">
        <v>362</v>
      </c>
      <c r="F17764" s="38" t="s">
        <v>245</v>
      </c>
      <c r="G17764" s="49" t="str">
        <f t="shared" si="1"/>
        <v>78113</v>
      </c>
      <c r="H17764" s="49">
        <f t="shared" si="2"/>
        <v>78171</v>
      </c>
    </row>
    <row r="17765">
      <c r="A17765" s="48" t="s">
        <v>7566</v>
      </c>
      <c r="B17765" s="38">
        <v>45317.0</v>
      </c>
      <c r="C17765" s="38" t="s">
        <v>22193</v>
      </c>
      <c r="D17765" s="38" t="str">
        <f>IFERROR(__xludf.DUMMYFUNCTION("REGEXREPLACE(C17765,""-\d+(.*)|--\d+(.*)"","""")"),"TAVERS")</f>
        <v>TAVERS</v>
      </c>
      <c r="E17765" s="38" t="s">
        <v>122</v>
      </c>
      <c r="F17765" s="38" t="s">
        <v>123</v>
      </c>
      <c r="G17765" s="49" t="str">
        <f t="shared" si="1"/>
        <v>45190</v>
      </c>
      <c r="H17765" s="49">
        <f t="shared" si="2"/>
        <v>45317</v>
      </c>
    </row>
    <row r="17766">
      <c r="A17766" s="48" t="s">
        <v>6844</v>
      </c>
      <c r="B17766" s="38">
        <v>12050.0</v>
      </c>
      <c r="C17766" s="38" t="s">
        <v>22194</v>
      </c>
      <c r="D17766" s="38" t="str">
        <f>IFERROR(__xludf.DUMMYFUNCTION("REGEXREPLACE(C17766,""-\d+(.*)|--\d+(.*)"","""")"),"CANET-DE-SALARS")</f>
        <v>CANET-DE-SALARS</v>
      </c>
      <c r="E17766" s="38" t="s">
        <v>465</v>
      </c>
      <c r="F17766" s="38" t="s">
        <v>94</v>
      </c>
      <c r="G17766" s="49" t="str">
        <f t="shared" si="1"/>
        <v>12290</v>
      </c>
      <c r="H17766" s="49">
        <f t="shared" si="2"/>
        <v>12050</v>
      </c>
    </row>
    <row r="17767">
      <c r="A17767" s="48" t="s">
        <v>1066</v>
      </c>
      <c r="B17767" s="38">
        <v>49078.0</v>
      </c>
      <c r="C17767" s="38" t="s">
        <v>22195</v>
      </c>
      <c r="D17767" s="38" t="str">
        <f>IFERROR(__xludf.DUMMYFUNCTION("REGEXREPLACE(C17767,""-\d+(.*)|--\d+(.*)"","""")"),"CHARCE-SAINT-ELLIER-SUR-AUBANCE")</f>
        <v>CHARCE-SAINT-ELLIER-SUR-AUBANCE</v>
      </c>
      <c r="E17767" s="38" t="s">
        <v>653</v>
      </c>
      <c r="F17767" s="38" t="s">
        <v>180</v>
      </c>
      <c r="G17767" s="49" t="str">
        <f t="shared" si="1"/>
        <v>49320</v>
      </c>
      <c r="H17767" s="49">
        <f t="shared" si="2"/>
        <v>49078</v>
      </c>
    </row>
    <row r="17768">
      <c r="A17768" s="48" t="s">
        <v>1130</v>
      </c>
      <c r="B17768" s="38">
        <v>71014.0</v>
      </c>
      <c r="C17768" s="38" t="s">
        <v>22196</v>
      </c>
      <c r="D17768" s="38" t="str">
        <f>IFERROR(__xludf.DUMMYFUNCTION("REGEXREPLACE(C17768,""-\d+(.*)|--\d+(.*)"","""")"),"AUTUN")</f>
        <v>AUTUN</v>
      </c>
      <c r="E17768" s="38" t="s">
        <v>344</v>
      </c>
      <c r="F17768" s="38" t="s">
        <v>106</v>
      </c>
      <c r="G17768" s="49" t="str">
        <f t="shared" si="1"/>
        <v>71400</v>
      </c>
      <c r="H17768" s="49">
        <f t="shared" si="2"/>
        <v>71014</v>
      </c>
    </row>
    <row r="17769">
      <c r="A17769" s="48" t="s">
        <v>5612</v>
      </c>
      <c r="B17769" s="38">
        <v>52457.0</v>
      </c>
      <c r="C17769" s="38" t="s">
        <v>22197</v>
      </c>
      <c r="D17769" s="38" t="str">
        <f>IFERROR(__xludf.DUMMYFUNCTION("REGEXREPLACE(C17769,""-\d+(.*)|--\d+(.*)"","""")"),"SAINT-VALLIER-SUR-MARNE")</f>
        <v>SAINT-VALLIER-SUR-MARNE</v>
      </c>
      <c r="E17769" s="38" t="s">
        <v>234</v>
      </c>
      <c r="F17769" s="38" t="s">
        <v>130</v>
      </c>
      <c r="G17769" s="49" t="str">
        <f t="shared" si="1"/>
        <v>52200</v>
      </c>
      <c r="H17769" s="49">
        <f t="shared" si="2"/>
        <v>52457</v>
      </c>
    </row>
    <row r="17770">
      <c r="A17770" s="48" t="s">
        <v>5137</v>
      </c>
      <c r="B17770" s="38">
        <v>53237.0</v>
      </c>
      <c r="C17770" s="38" t="s">
        <v>22198</v>
      </c>
      <c r="D17770" s="38" t="str">
        <f>IFERROR(__xludf.DUMMYFUNCTION("REGEXREPLACE(C17770,""-\d+(.*)|--\d+(.*)"","""")"),"SAINT-MARS-SUR-COLMONT")</f>
        <v>SAINT-MARS-SUR-COLMONT</v>
      </c>
      <c r="E17770" s="38" t="s">
        <v>518</v>
      </c>
      <c r="F17770" s="38" t="s">
        <v>180</v>
      </c>
      <c r="G17770" s="49" t="str">
        <f t="shared" si="1"/>
        <v>53300</v>
      </c>
      <c r="H17770" s="49">
        <f t="shared" si="2"/>
        <v>53237</v>
      </c>
    </row>
    <row r="17771">
      <c r="A17771" s="48" t="s">
        <v>4784</v>
      </c>
      <c r="B17771" s="38">
        <v>24564.0</v>
      </c>
      <c r="C17771" s="38" t="s">
        <v>22199</v>
      </c>
      <c r="D17771" s="38" t="str">
        <f>IFERROR(__xludf.DUMMYFUNCTION("REGEXREPLACE(C17771,""-\d+(.*)|--\d+(.*)"","""")"),"VANXAINS")</f>
        <v>VANXAINS</v>
      </c>
      <c r="E17771" s="38" t="s">
        <v>261</v>
      </c>
      <c r="F17771" s="38" t="s">
        <v>252</v>
      </c>
      <c r="G17771" s="49" t="str">
        <f t="shared" si="1"/>
        <v>24600</v>
      </c>
      <c r="H17771" s="49">
        <f t="shared" si="2"/>
        <v>24564</v>
      </c>
    </row>
    <row r="17772">
      <c r="A17772" s="48" t="s">
        <v>7312</v>
      </c>
      <c r="B17772" s="38">
        <v>95252.0</v>
      </c>
      <c r="C17772" s="38" t="s">
        <v>15466</v>
      </c>
      <c r="D17772" s="38" t="str">
        <f>IFERROR(__xludf.DUMMYFUNCTION("REGEXREPLACE(C17772,""-\d+(.*)|--\d+(.*)"","""")"),"FRANCONVILLE")</f>
        <v>FRANCONVILLE</v>
      </c>
      <c r="E17772" s="38" t="s">
        <v>541</v>
      </c>
      <c r="F17772" s="38" t="s">
        <v>245</v>
      </c>
      <c r="G17772" s="49" t="str">
        <f t="shared" si="1"/>
        <v>95130</v>
      </c>
      <c r="H17772" s="49">
        <f t="shared" si="2"/>
        <v>95252</v>
      </c>
    </row>
    <row r="17773">
      <c r="A17773" s="48" t="s">
        <v>5487</v>
      </c>
      <c r="B17773" s="38">
        <v>27303.0</v>
      </c>
      <c r="C17773" s="38" t="s">
        <v>22200</v>
      </c>
      <c r="D17773" s="38" t="str">
        <f>IFERROR(__xludf.DUMMYFUNCTION("REGEXREPLACE(C17773,""-\d+(.*)|--\d+(.*)"","""")"),"GUERNANVILLE")</f>
        <v>GUERNANVILLE</v>
      </c>
      <c r="E17773" s="38" t="s">
        <v>241</v>
      </c>
      <c r="F17773" s="38" t="s">
        <v>134</v>
      </c>
      <c r="G17773" s="49" t="str">
        <f t="shared" si="1"/>
        <v>27160</v>
      </c>
      <c r="H17773" s="49">
        <f t="shared" si="2"/>
        <v>27303</v>
      </c>
    </row>
    <row r="17774">
      <c r="A17774" s="48" t="s">
        <v>1258</v>
      </c>
      <c r="B17774" s="38">
        <v>35117.0</v>
      </c>
      <c r="C17774" s="38" t="s">
        <v>22201</v>
      </c>
      <c r="D17774" s="38" t="str">
        <f>IFERROR(__xludf.DUMMYFUNCTION("REGEXREPLACE(C17774,""-\d+(.*)|--\d+(.*)"","""")"),"GAEL")</f>
        <v>GAEL</v>
      </c>
      <c r="E17774" s="38" t="s">
        <v>347</v>
      </c>
      <c r="F17774" s="38" t="s">
        <v>90</v>
      </c>
      <c r="G17774" s="49" t="str">
        <f t="shared" si="1"/>
        <v>35290</v>
      </c>
      <c r="H17774" s="49">
        <f t="shared" si="2"/>
        <v>35117</v>
      </c>
    </row>
    <row r="17775">
      <c r="A17775" s="48" t="s">
        <v>1892</v>
      </c>
      <c r="B17775" s="38">
        <v>67160.0</v>
      </c>
      <c r="C17775" s="38" t="s">
        <v>22202</v>
      </c>
      <c r="D17775" s="38" t="str">
        <f>IFERROR(__xludf.DUMMYFUNCTION("REGEXREPLACE(C17775,""-\d+(.*)|--\d+(.*)"","""")"),"GOERSDORF")</f>
        <v>GOERSDORF</v>
      </c>
      <c r="E17775" s="38" t="s">
        <v>210</v>
      </c>
      <c r="F17775" s="38" t="s">
        <v>151</v>
      </c>
      <c r="G17775" s="49" t="str">
        <f t="shared" si="1"/>
        <v>67360</v>
      </c>
      <c r="H17775" s="49">
        <f t="shared" si="2"/>
        <v>67160</v>
      </c>
    </row>
    <row r="17776">
      <c r="A17776" s="48" t="s">
        <v>5043</v>
      </c>
      <c r="B17776" s="38">
        <v>19185.0</v>
      </c>
      <c r="C17776" s="38" t="s">
        <v>22203</v>
      </c>
      <c r="D17776" s="38" t="str">
        <f>IFERROR(__xludf.DUMMYFUNCTION("REGEXREPLACE(C17776,""-\d+(.*)|--\d+(.*)"","""")"),"SAINT-BONNET-AVALOUZE")</f>
        <v>SAINT-BONNET-AVALOUZE</v>
      </c>
      <c r="E17776" s="38" t="s">
        <v>271</v>
      </c>
      <c r="F17776" s="38" t="s">
        <v>98</v>
      </c>
      <c r="G17776" s="49" t="str">
        <f t="shared" si="1"/>
        <v>19150</v>
      </c>
      <c r="H17776" s="49">
        <f t="shared" si="2"/>
        <v>19185</v>
      </c>
    </row>
    <row r="17777">
      <c r="A17777" s="48" t="s">
        <v>15578</v>
      </c>
      <c r="B17777" s="38">
        <v>64304.0</v>
      </c>
      <c r="C17777" s="38" t="s">
        <v>22204</v>
      </c>
      <c r="D17777" s="38" t="str">
        <f>IFERROR(__xludf.DUMMYFUNCTION("REGEXREPLACE(C17777,""-\d+(.*)|--\d+(.*)"","""")"),"LAHONCE")</f>
        <v>LAHONCE</v>
      </c>
      <c r="E17777" s="38" t="s">
        <v>268</v>
      </c>
      <c r="F17777" s="38" t="s">
        <v>252</v>
      </c>
      <c r="G17777" s="49" t="str">
        <f t="shared" si="1"/>
        <v>64990</v>
      </c>
      <c r="H17777" s="49">
        <f t="shared" si="2"/>
        <v>64304</v>
      </c>
    </row>
    <row r="17778">
      <c r="A17778" s="48" t="s">
        <v>10008</v>
      </c>
      <c r="B17778" s="38">
        <v>36219.0</v>
      </c>
      <c r="C17778" s="38" t="s">
        <v>22205</v>
      </c>
      <c r="D17778" s="38" t="str">
        <f>IFERROR(__xludf.DUMMYFUNCTION("REGEXREPLACE(C17778,""-\d+(.*)|--\d+(.*)"","""")"),"TENDU")</f>
        <v>TENDU</v>
      </c>
      <c r="E17778" s="38" t="s">
        <v>258</v>
      </c>
      <c r="F17778" s="38" t="s">
        <v>123</v>
      </c>
      <c r="G17778" s="49" t="str">
        <f t="shared" si="1"/>
        <v>36200</v>
      </c>
      <c r="H17778" s="49">
        <f t="shared" si="2"/>
        <v>36219</v>
      </c>
    </row>
    <row r="17779">
      <c r="A17779" s="48" t="s">
        <v>1959</v>
      </c>
      <c r="B17779" s="38">
        <v>82175.0</v>
      </c>
      <c r="C17779" s="38" t="s">
        <v>22206</v>
      </c>
      <c r="D17779" s="38" t="str">
        <f>IFERROR(__xludf.DUMMYFUNCTION("REGEXREPLACE(C17779,""-\d+(.*)|--\d+(.*)"","""")"),"SAINT-VINCENT-LESPINASSE")</f>
        <v>SAINT-VINCENT-LESPINASSE</v>
      </c>
      <c r="E17779" s="38" t="s">
        <v>570</v>
      </c>
      <c r="F17779" s="38" t="s">
        <v>94</v>
      </c>
      <c r="G17779" s="49" t="str">
        <f t="shared" si="1"/>
        <v>82400</v>
      </c>
      <c r="H17779" s="49">
        <f t="shared" si="2"/>
        <v>82175</v>
      </c>
    </row>
    <row r="17780">
      <c r="A17780" s="48" t="s">
        <v>7678</v>
      </c>
      <c r="B17780" s="38">
        <v>10412.0</v>
      </c>
      <c r="C17780" s="38" t="s">
        <v>22207</v>
      </c>
      <c r="D17780" s="38" t="str">
        <f>IFERROR(__xludf.DUMMYFUNCTION("REGEXREPLACE(C17780,""-\d+(.*)|--\d+(.*)"","""")"),"VILLECHETIF")</f>
        <v>VILLECHETIF</v>
      </c>
      <c r="E17780" s="38" t="s">
        <v>147</v>
      </c>
      <c r="F17780" s="38" t="s">
        <v>130</v>
      </c>
      <c r="G17780" s="49" t="str">
        <f t="shared" si="1"/>
        <v>10410</v>
      </c>
      <c r="H17780" s="49">
        <f t="shared" si="2"/>
        <v>10412</v>
      </c>
    </row>
    <row r="17781">
      <c r="A17781" s="48" t="s">
        <v>3878</v>
      </c>
      <c r="B17781" s="38">
        <v>80096.0</v>
      </c>
      <c r="C17781" s="38" t="s">
        <v>22208</v>
      </c>
      <c r="D17781" s="38" t="str">
        <f>IFERROR(__xludf.DUMMYFUNCTION("REGEXREPLACE(C17781,""-\d+(.*)|--\d+(.*)"","""")"),"BETHENCOURT-SUR-MER")</f>
        <v>BETHENCOURT-SUR-MER</v>
      </c>
      <c r="E17781" s="38" t="s">
        <v>224</v>
      </c>
      <c r="F17781" s="38" t="s">
        <v>113</v>
      </c>
      <c r="G17781" s="49" t="str">
        <f t="shared" si="1"/>
        <v>80130</v>
      </c>
      <c r="H17781" s="49">
        <f t="shared" si="2"/>
        <v>80096</v>
      </c>
    </row>
    <row r="17782">
      <c r="A17782" s="48" t="s">
        <v>468</v>
      </c>
      <c r="B17782" s="38">
        <v>26001.0</v>
      </c>
      <c r="C17782" s="38" t="s">
        <v>22209</v>
      </c>
      <c r="D17782" s="38" t="str">
        <f>IFERROR(__xludf.DUMMYFUNCTION("REGEXREPLACE(C17782,""-\d+(.*)|--\d+(.*)"","""")"),"AIX-EN-DIOIS")</f>
        <v>AIX-EN-DIOIS</v>
      </c>
      <c r="E17782" s="38" t="s">
        <v>126</v>
      </c>
      <c r="F17782" s="38" t="s">
        <v>102</v>
      </c>
      <c r="G17782" s="49" t="str">
        <f t="shared" si="1"/>
        <v>26150</v>
      </c>
      <c r="H17782" s="49">
        <f t="shared" si="2"/>
        <v>26001</v>
      </c>
    </row>
    <row r="17783">
      <c r="A17783" s="48" t="s">
        <v>13409</v>
      </c>
      <c r="B17783" s="38">
        <v>35156.0</v>
      </c>
      <c r="C17783" s="38" t="s">
        <v>22210</v>
      </c>
      <c r="D17783" s="38" t="str">
        <f>IFERROR(__xludf.DUMMYFUNCTION("REGEXREPLACE(C17783,""-\d+(.*)|--\d+(.*)"","""")"),"LONGAULNAY")</f>
        <v>LONGAULNAY</v>
      </c>
      <c r="E17783" s="38" t="s">
        <v>347</v>
      </c>
      <c r="F17783" s="38" t="s">
        <v>90</v>
      </c>
      <c r="G17783" s="49" t="str">
        <f t="shared" si="1"/>
        <v>35190</v>
      </c>
      <c r="H17783" s="49">
        <f t="shared" si="2"/>
        <v>35156</v>
      </c>
    </row>
    <row r="17784">
      <c r="A17784" s="48" t="s">
        <v>5227</v>
      </c>
      <c r="B17784" s="38">
        <v>34177.0</v>
      </c>
      <c r="C17784" s="38" t="s">
        <v>22211</v>
      </c>
      <c r="D17784" s="38" t="str">
        <f>IFERROR(__xludf.DUMMYFUNCTION("REGEXREPLACE(C17784,""-\d+(.*)|--\d+(.*)"","""")"),"MURLES")</f>
        <v>MURLES</v>
      </c>
      <c r="E17784" s="38" t="s">
        <v>118</v>
      </c>
      <c r="F17784" s="38" t="s">
        <v>119</v>
      </c>
      <c r="G17784" s="49" t="str">
        <f t="shared" si="1"/>
        <v>34980</v>
      </c>
      <c r="H17784" s="49">
        <f t="shared" si="2"/>
        <v>34177</v>
      </c>
    </row>
    <row r="17785">
      <c r="A17785" s="48" t="s">
        <v>781</v>
      </c>
      <c r="B17785" s="38">
        <v>65470.0</v>
      </c>
      <c r="C17785" s="38" t="s">
        <v>22212</v>
      </c>
      <c r="D17785" s="38" t="str">
        <f>IFERROR(__xludf.DUMMYFUNCTION("REGEXREPLACE(C17785,""-\d+(.*)|--\d+(.*)"","""")"),"VIGER")</f>
        <v>VIGER</v>
      </c>
      <c r="E17785" s="38" t="s">
        <v>200</v>
      </c>
      <c r="F17785" s="38" t="s">
        <v>94</v>
      </c>
      <c r="G17785" s="49" t="str">
        <f t="shared" si="1"/>
        <v>65100</v>
      </c>
      <c r="H17785" s="49">
        <f t="shared" si="2"/>
        <v>65470</v>
      </c>
    </row>
    <row r="17786">
      <c r="A17786" s="48" t="s">
        <v>2326</v>
      </c>
      <c r="B17786" s="38">
        <v>54106.0</v>
      </c>
      <c r="C17786" s="38" t="s">
        <v>20953</v>
      </c>
      <c r="D17786" s="38" t="str">
        <f>IFERROR(__xludf.DUMMYFUNCTION("REGEXREPLACE(C17786,""-\d+(.*)|--\d+(.*)"","""")"),"BURES")</f>
        <v>BURES</v>
      </c>
      <c r="E17786" s="38" t="s">
        <v>548</v>
      </c>
      <c r="F17786" s="38" t="s">
        <v>195</v>
      </c>
      <c r="G17786" s="49" t="str">
        <f t="shared" si="1"/>
        <v>54370</v>
      </c>
      <c r="H17786" s="49">
        <f t="shared" si="2"/>
        <v>54106</v>
      </c>
    </row>
    <row r="17787">
      <c r="A17787" s="48" t="s">
        <v>7245</v>
      </c>
      <c r="B17787" s="38">
        <v>53174.0</v>
      </c>
      <c r="C17787" s="38" t="s">
        <v>22213</v>
      </c>
      <c r="D17787" s="38" t="str">
        <f>IFERROR(__xludf.DUMMYFUNCTION("REGEXREPLACE(C17787,""-\d+(.*)|--\d+(.*)"","""")"),"PARIGNE-SUR-BRAYE")</f>
        <v>PARIGNE-SUR-BRAYE</v>
      </c>
      <c r="E17787" s="38" t="s">
        <v>518</v>
      </c>
      <c r="F17787" s="38" t="s">
        <v>180</v>
      </c>
      <c r="G17787" s="49" t="str">
        <f t="shared" si="1"/>
        <v>53100</v>
      </c>
      <c r="H17787" s="49">
        <f t="shared" si="2"/>
        <v>53174</v>
      </c>
    </row>
    <row r="17788">
      <c r="A17788" s="48" t="s">
        <v>3154</v>
      </c>
      <c r="B17788" s="38">
        <v>15076.0</v>
      </c>
      <c r="C17788" s="38" t="s">
        <v>22214</v>
      </c>
      <c r="D17788" s="38" t="str">
        <f>IFERROR(__xludf.DUMMYFUNCTION("REGEXREPLACE(C17788,""-\d+(.*)|--\d+(.*)"","""")"),"GLENAT")</f>
        <v>GLENAT</v>
      </c>
      <c r="E17788" s="38" t="s">
        <v>632</v>
      </c>
      <c r="F17788" s="38" t="s">
        <v>161</v>
      </c>
      <c r="G17788" s="49" t="str">
        <f t="shared" si="1"/>
        <v>15150</v>
      </c>
      <c r="H17788" s="49">
        <f t="shared" si="2"/>
        <v>15076</v>
      </c>
    </row>
    <row r="17789">
      <c r="A17789" s="48" t="s">
        <v>3628</v>
      </c>
      <c r="B17789" s="38">
        <v>16040.0</v>
      </c>
      <c r="C17789" s="38" t="s">
        <v>8509</v>
      </c>
      <c r="D17789" s="38" t="str">
        <f>IFERROR(__xludf.DUMMYFUNCTION("REGEXREPLACE(C17789,""-\d+(.*)|--\d+(.*)"","""")"),"BERNEUIL")</f>
        <v>BERNEUIL</v>
      </c>
      <c r="E17789" s="38" t="s">
        <v>429</v>
      </c>
      <c r="F17789" s="38" t="s">
        <v>338</v>
      </c>
      <c r="G17789" s="49" t="str">
        <f t="shared" si="1"/>
        <v>16480</v>
      </c>
      <c r="H17789" s="49">
        <f t="shared" si="2"/>
        <v>16040</v>
      </c>
    </row>
    <row r="17790">
      <c r="A17790" s="48" t="s">
        <v>1031</v>
      </c>
      <c r="B17790" s="38">
        <v>2787.0</v>
      </c>
      <c r="C17790" s="38" t="s">
        <v>22215</v>
      </c>
      <c r="D17790" s="38" t="str">
        <f>IFERROR(__xludf.DUMMYFUNCTION("REGEXREPLACE(C17790,""-\d+(.*)|--\d+(.*)"","""")"),"VERNEUIL-SUR-SERRE")</f>
        <v>VERNEUIL-SUR-SERRE</v>
      </c>
      <c r="E17790" s="38" t="s">
        <v>191</v>
      </c>
      <c r="F17790" s="38" t="s">
        <v>113</v>
      </c>
      <c r="G17790" s="49" t="str">
        <f t="shared" si="1"/>
        <v>02000</v>
      </c>
      <c r="H17790" s="49" t="str">
        <f t="shared" si="2"/>
        <v>02787</v>
      </c>
    </row>
    <row r="17791">
      <c r="A17791" s="48" t="s">
        <v>3339</v>
      </c>
      <c r="B17791" s="38">
        <v>67155.0</v>
      </c>
      <c r="C17791" s="38" t="s">
        <v>22216</v>
      </c>
      <c r="D17791" s="38" t="str">
        <f>IFERROR(__xludf.DUMMYFUNCTION("REGEXREPLACE(C17791,""-\d+(.*)|--\d+(.*)"","""")"),"GERTWILLER")</f>
        <v>GERTWILLER</v>
      </c>
      <c r="E17791" s="38" t="s">
        <v>210</v>
      </c>
      <c r="F17791" s="38" t="s">
        <v>151</v>
      </c>
      <c r="G17791" s="49" t="str">
        <f t="shared" si="1"/>
        <v>67140</v>
      </c>
      <c r="H17791" s="49">
        <f t="shared" si="2"/>
        <v>67155</v>
      </c>
    </row>
    <row r="17792">
      <c r="A17792" s="48" t="s">
        <v>8446</v>
      </c>
      <c r="B17792" s="38">
        <v>22384.0</v>
      </c>
      <c r="C17792" s="38" t="s">
        <v>22217</v>
      </c>
      <c r="D17792" s="38" t="str">
        <f>IFERROR(__xludf.DUMMYFUNCTION("REGEXREPLACE(C17792,""-\d+(.*)|--\d+(.*)"","""")"),"UZEL")</f>
        <v>UZEL</v>
      </c>
      <c r="E17792" s="38" t="s">
        <v>89</v>
      </c>
      <c r="F17792" s="38" t="s">
        <v>90</v>
      </c>
      <c r="G17792" s="49" t="str">
        <f t="shared" si="1"/>
        <v>22460</v>
      </c>
      <c r="H17792" s="49">
        <f t="shared" si="2"/>
        <v>22384</v>
      </c>
    </row>
    <row r="17793">
      <c r="A17793" s="48" t="s">
        <v>9264</v>
      </c>
      <c r="B17793" s="38">
        <v>32073.0</v>
      </c>
      <c r="C17793" s="38" t="s">
        <v>22218</v>
      </c>
      <c r="D17793" s="38" t="str">
        <f>IFERROR(__xludf.DUMMYFUNCTION("REGEXREPLACE(C17793,""-\d+(.*)|--\d+(.*)"","""")"),"CAMPAGNE-D'ARMAGNAC")</f>
        <v>CAMPAGNE-D'ARMAGNAC</v>
      </c>
      <c r="E17793" s="38" t="s">
        <v>440</v>
      </c>
      <c r="F17793" s="38" t="s">
        <v>94</v>
      </c>
      <c r="G17793" s="49" t="str">
        <f t="shared" si="1"/>
        <v>32800</v>
      </c>
      <c r="H17793" s="49">
        <f t="shared" si="2"/>
        <v>32073</v>
      </c>
    </row>
    <row r="17794">
      <c r="A17794" s="48" t="s">
        <v>18646</v>
      </c>
      <c r="B17794" s="38">
        <v>3113.0</v>
      </c>
      <c r="C17794" s="38" t="s">
        <v>22219</v>
      </c>
      <c r="D17794" s="38" t="str">
        <f>IFERROR(__xludf.DUMMYFUNCTION("REGEXREPLACE(C17794,""-\d+(.*)|--\d+(.*)"","""")"),"FERRIERES-SUR-SICHON")</f>
        <v>FERRIERES-SUR-SICHON</v>
      </c>
      <c r="E17794" s="38" t="s">
        <v>160</v>
      </c>
      <c r="F17794" s="38" t="s">
        <v>161</v>
      </c>
      <c r="G17794" s="49" t="str">
        <f t="shared" si="1"/>
        <v>03250</v>
      </c>
      <c r="H17794" s="49" t="str">
        <f t="shared" si="2"/>
        <v>03113</v>
      </c>
    </row>
    <row r="17795">
      <c r="A17795" s="48" t="s">
        <v>22220</v>
      </c>
      <c r="B17795" s="38">
        <v>35189.0</v>
      </c>
      <c r="C17795" s="38" t="s">
        <v>22221</v>
      </c>
      <c r="D17795" s="38" t="str">
        <f>IFERROR(__xludf.DUMMYFUNCTION("REGEXREPLACE(C17795,""-\d+(.*)|--\d+(.*)"","""")"),"MONTGERMONT")</f>
        <v>MONTGERMONT</v>
      </c>
      <c r="E17795" s="38" t="s">
        <v>347</v>
      </c>
      <c r="F17795" s="38" t="s">
        <v>90</v>
      </c>
      <c r="G17795" s="49" t="str">
        <f t="shared" si="1"/>
        <v>35760</v>
      </c>
      <c r="H17795" s="49">
        <f t="shared" si="2"/>
        <v>35189</v>
      </c>
    </row>
    <row r="17796">
      <c r="A17796" s="48" t="s">
        <v>2942</v>
      </c>
      <c r="B17796" s="38">
        <v>14596.0</v>
      </c>
      <c r="C17796" s="38" t="s">
        <v>22222</v>
      </c>
      <c r="D17796" s="38" t="str">
        <f>IFERROR(__xludf.DUMMYFUNCTION("REGEXREPLACE(C17796,""-\d+(.*)|--\d+(.*)"","""")"),"SAINT-JEAN-DES-ESSARTIERS")</f>
        <v>SAINT-JEAN-DES-ESSARTIERS</v>
      </c>
      <c r="E17796" s="38" t="s">
        <v>137</v>
      </c>
      <c r="F17796" s="38" t="s">
        <v>138</v>
      </c>
      <c r="G17796" s="49" t="str">
        <f t="shared" si="1"/>
        <v>14350</v>
      </c>
      <c r="H17796" s="49">
        <f t="shared" si="2"/>
        <v>14596</v>
      </c>
    </row>
    <row r="17797">
      <c r="A17797" s="48" t="s">
        <v>932</v>
      </c>
      <c r="B17797" s="38">
        <v>17177.0</v>
      </c>
      <c r="C17797" s="38" t="s">
        <v>22223</v>
      </c>
      <c r="D17797" s="38" t="str">
        <f>IFERROR(__xludf.DUMMYFUNCTION("REGEXREPLACE(C17797,""-\d+(.*)|--\d+(.*)"","""")"),"LE GICQ")</f>
        <v>LE GICQ</v>
      </c>
      <c r="E17797" s="38" t="s">
        <v>488</v>
      </c>
      <c r="F17797" s="38" t="s">
        <v>338</v>
      </c>
      <c r="G17797" s="49" t="str">
        <f t="shared" si="1"/>
        <v>17160</v>
      </c>
      <c r="H17797" s="49">
        <f t="shared" si="2"/>
        <v>17177</v>
      </c>
    </row>
    <row r="17798">
      <c r="A17798" s="48" t="s">
        <v>948</v>
      </c>
      <c r="B17798" s="38">
        <v>68268.0</v>
      </c>
      <c r="C17798" s="38" t="s">
        <v>22224</v>
      </c>
      <c r="D17798" s="38" t="str">
        <f>IFERROR(__xludf.DUMMYFUNCTION("REGEXREPLACE(C17798,""-\d+(.*)|--\d+(.*)"","""")"),"RETZWILLER")</f>
        <v>RETZWILLER</v>
      </c>
      <c r="E17798" s="38" t="s">
        <v>150</v>
      </c>
      <c r="F17798" s="38" t="s">
        <v>151</v>
      </c>
      <c r="G17798" s="49" t="str">
        <f t="shared" si="1"/>
        <v>68210</v>
      </c>
      <c r="H17798" s="49">
        <f t="shared" si="2"/>
        <v>68268</v>
      </c>
    </row>
    <row r="17799">
      <c r="A17799" s="48" t="s">
        <v>1100</v>
      </c>
      <c r="B17799" s="38">
        <v>8005.0</v>
      </c>
      <c r="C17799" s="38" t="s">
        <v>22225</v>
      </c>
      <c r="D17799" s="38" t="str">
        <f>IFERROR(__xludf.DUMMYFUNCTION("REGEXREPLACE(C17799,""-\d+(.*)|--\d+(.*)"","""")"),"ALINCOURT")</f>
        <v>ALINCOURT</v>
      </c>
      <c r="E17799" s="38" t="s">
        <v>327</v>
      </c>
      <c r="F17799" s="38" t="s">
        <v>130</v>
      </c>
      <c r="G17799" s="49" t="str">
        <f t="shared" si="1"/>
        <v>08310</v>
      </c>
      <c r="H17799" s="49" t="str">
        <f t="shared" si="2"/>
        <v>08005</v>
      </c>
    </row>
    <row r="17800">
      <c r="A17800" s="48" t="s">
        <v>1594</v>
      </c>
      <c r="B17800" s="38">
        <v>45204.0</v>
      </c>
      <c r="C17800" s="38" t="s">
        <v>22226</v>
      </c>
      <c r="D17800" s="38" t="str">
        <f>IFERROR(__xludf.DUMMYFUNCTION("REGEXREPLACE(C17800,""-\d+(.*)|--\d+(.*)"","""")"),"MEZIERES-LEZ-CLERY")</f>
        <v>MEZIERES-LEZ-CLERY</v>
      </c>
      <c r="E17800" s="38" t="s">
        <v>122</v>
      </c>
      <c r="F17800" s="38" t="s">
        <v>123</v>
      </c>
      <c r="G17800" s="49" t="str">
        <f t="shared" si="1"/>
        <v>45370</v>
      </c>
      <c r="H17800" s="49">
        <f t="shared" si="2"/>
        <v>45204</v>
      </c>
    </row>
    <row r="17801">
      <c r="A17801" s="48" t="s">
        <v>2742</v>
      </c>
      <c r="B17801" s="38">
        <v>57382.0</v>
      </c>
      <c r="C17801" s="38" t="s">
        <v>22227</v>
      </c>
      <c r="D17801" s="38" t="str">
        <f>IFERROR(__xludf.DUMMYFUNCTION("REGEXREPLACE(C17801,""-\d+(.*)|--\d+(.*)"","""")"),"LANGATTE")</f>
        <v>LANGATTE</v>
      </c>
      <c r="E17801" s="38" t="s">
        <v>303</v>
      </c>
      <c r="F17801" s="38" t="s">
        <v>195</v>
      </c>
      <c r="G17801" s="49" t="str">
        <f t="shared" si="1"/>
        <v>57400</v>
      </c>
      <c r="H17801" s="49">
        <f t="shared" si="2"/>
        <v>57382</v>
      </c>
    </row>
    <row r="17802">
      <c r="A17802" s="48" t="s">
        <v>2316</v>
      </c>
      <c r="B17802" s="38">
        <v>25492.0</v>
      </c>
      <c r="C17802" s="38" t="s">
        <v>22228</v>
      </c>
      <c r="D17802" s="38" t="str">
        <f>IFERROR(__xludf.DUMMYFUNCTION("REGEXREPLACE(C17802,""-\d+(.*)|--\d+(.*)"","""")"),"RILLANS")</f>
        <v>RILLANS</v>
      </c>
      <c r="E17802" s="38" t="s">
        <v>213</v>
      </c>
      <c r="F17802" s="38" t="s">
        <v>214</v>
      </c>
      <c r="G17802" s="49" t="str">
        <f t="shared" si="1"/>
        <v>25110</v>
      </c>
      <c r="H17802" s="49">
        <f t="shared" si="2"/>
        <v>25492</v>
      </c>
    </row>
    <row r="17803">
      <c r="A17803" s="48" t="s">
        <v>5163</v>
      </c>
      <c r="B17803" s="38">
        <v>76047.0</v>
      </c>
      <c r="C17803" s="38" t="s">
        <v>22229</v>
      </c>
      <c r="D17803" s="38" t="str">
        <f>IFERROR(__xludf.DUMMYFUNCTION("REGEXREPLACE(C17803,""-\d+(.*)|--\d+(.*)"","""")"),"AUZOUVILLE-SUR-SAANE")</f>
        <v>AUZOUVILLE-SUR-SAANE</v>
      </c>
      <c r="E17803" s="38" t="s">
        <v>133</v>
      </c>
      <c r="F17803" s="38" t="s">
        <v>134</v>
      </c>
      <c r="G17803" s="49" t="str">
        <f t="shared" si="1"/>
        <v>76730</v>
      </c>
      <c r="H17803" s="49">
        <f t="shared" si="2"/>
        <v>76047</v>
      </c>
    </row>
    <row r="17804">
      <c r="A17804" s="48" t="s">
        <v>6158</v>
      </c>
      <c r="B17804" s="38">
        <v>14204.0</v>
      </c>
      <c r="C17804" s="38" t="s">
        <v>22230</v>
      </c>
      <c r="D17804" s="38" t="str">
        <f>IFERROR(__xludf.DUMMYFUNCTION("REGEXREPLACE(C17804,""-\d+(.*)|--\d+(.*)"","""")"),"CRICQUEVILLE-EN-BESSIN")</f>
        <v>CRICQUEVILLE-EN-BESSIN</v>
      </c>
      <c r="E17804" s="38" t="s">
        <v>137</v>
      </c>
      <c r="F17804" s="38" t="s">
        <v>138</v>
      </c>
      <c r="G17804" s="49" t="str">
        <f t="shared" si="1"/>
        <v>14450</v>
      </c>
      <c r="H17804" s="49">
        <f t="shared" si="2"/>
        <v>14204</v>
      </c>
    </row>
    <row r="17805">
      <c r="A17805" s="48" t="s">
        <v>4054</v>
      </c>
      <c r="B17805" s="38">
        <v>88361.0</v>
      </c>
      <c r="C17805" s="38" t="s">
        <v>22231</v>
      </c>
      <c r="D17805" s="38" t="str">
        <f>IFERROR(__xludf.DUMMYFUNCTION("REGEXREPLACE(C17805,""-\d+(.*)|--\d+(.*)"","""")"),"PROVENCHERES-SUR-FAVE")</f>
        <v>PROVENCHERES-SUR-FAVE</v>
      </c>
      <c r="E17805" s="38" t="s">
        <v>194</v>
      </c>
      <c r="F17805" s="38" t="s">
        <v>195</v>
      </c>
      <c r="G17805" s="49" t="str">
        <f t="shared" si="1"/>
        <v>88490</v>
      </c>
      <c r="H17805" s="49">
        <f t="shared" si="2"/>
        <v>88361</v>
      </c>
    </row>
    <row r="17806">
      <c r="A17806" s="48" t="s">
        <v>21319</v>
      </c>
      <c r="B17806" s="38">
        <v>12098.0</v>
      </c>
      <c r="C17806" s="38" t="s">
        <v>22232</v>
      </c>
      <c r="D17806" s="38" t="str">
        <f>IFERROR(__xludf.DUMMYFUNCTION("REGEXREPLACE(C17806,""-\d+(.*)|--\d+(.*)"","""")"),"ESTAING")</f>
        <v>ESTAING</v>
      </c>
      <c r="E17806" s="38" t="s">
        <v>465</v>
      </c>
      <c r="F17806" s="38" t="s">
        <v>94</v>
      </c>
      <c r="G17806" s="49" t="str">
        <f t="shared" si="1"/>
        <v>12190</v>
      </c>
      <c r="H17806" s="49">
        <f t="shared" si="2"/>
        <v>12098</v>
      </c>
    </row>
    <row r="17807">
      <c r="A17807" s="48" t="s">
        <v>22233</v>
      </c>
      <c r="B17807" s="38">
        <v>59588.0</v>
      </c>
      <c r="C17807" s="38" t="s">
        <v>22234</v>
      </c>
      <c r="D17807" s="38" t="str">
        <f>IFERROR(__xludf.DUMMYFUNCTION("REGEXREPLACE(C17807,""-\d+(.*)|--\d+(.*)"","""")"),"TETEGHEM")</f>
        <v>TETEGHEM</v>
      </c>
      <c r="E17807" s="38" t="s">
        <v>85</v>
      </c>
      <c r="F17807" s="38" t="s">
        <v>86</v>
      </c>
      <c r="G17807" s="49" t="str">
        <f t="shared" si="1"/>
        <v>59229</v>
      </c>
      <c r="H17807" s="49">
        <f t="shared" si="2"/>
        <v>59588</v>
      </c>
    </row>
    <row r="17808">
      <c r="A17808" s="48" t="s">
        <v>13409</v>
      </c>
      <c r="B17808" s="38">
        <v>35180.0</v>
      </c>
      <c r="C17808" s="38" t="s">
        <v>22235</v>
      </c>
      <c r="D17808" s="38" t="str">
        <f>IFERROR(__xludf.DUMMYFUNCTION("REGEXREPLACE(C17808,""-\d+(.*)|--\d+(.*)"","""")"),"MINIAC-SOUS-BECHEREL")</f>
        <v>MINIAC-SOUS-BECHEREL</v>
      </c>
      <c r="E17808" s="38" t="s">
        <v>347</v>
      </c>
      <c r="F17808" s="38" t="s">
        <v>90</v>
      </c>
      <c r="G17808" s="49" t="str">
        <f t="shared" si="1"/>
        <v>35190</v>
      </c>
      <c r="H17808" s="49">
        <f t="shared" si="2"/>
        <v>35180</v>
      </c>
    </row>
    <row r="17809">
      <c r="A17809" s="48" t="s">
        <v>436</v>
      </c>
      <c r="B17809" s="38">
        <v>51223.0</v>
      </c>
      <c r="C17809" s="38" t="s">
        <v>22236</v>
      </c>
      <c r="D17809" s="38" t="str">
        <f>IFERROR(__xludf.DUMMYFUNCTION("REGEXREPLACE(C17809,""-\d+(.*)|--\d+(.*)"","""")"),"ECOLLEMONT")</f>
        <v>ECOLLEMONT</v>
      </c>
      <c r="E17809" s="38" t="s">
        <v>129</v>
      </c>
      <c r="F17809" s="38" t="s">
        <v>130</v>
      </c>
      <c r="G17809" s="49" t="str">
        <f t="shared" si="1"/>
        <v>51290</v>
      </c>
      <c r="H17809" s="49">
        <f t="shared" si="2"/>
        <v>51223</v>
      </c>
    </row>
    <row r="17810">
      <c r="A17810" s="48" t="s">
        <v>2837</v>
      </c>
      <c r="B17810" s="38">
        <v>17372.0</v>
      </c>
      <c r="C17810" s="38" t="s">
        <v>9699</v>
      </c>
      <c r="D17810" s="38" t="str">
        <f>IFERROR(__xludf.DUMMYFUNCTION("REGEXREPLACE(C17810,""-\d+(.*)|--\d+(.*)"","""")"),"SAINT-MEDARD")</f>
        <v>SAINT-MEDARD</v>
      </c>
      <c r="E17810" s="38" t="s">
        <v>488</v>
      </c>
      <c r="F17810" s="38" t="s">
        <v>338</v>
      </c>
      <c r="G17810" s="49" t="str">
        <f t="shared" si="1"/>
        <v>17500</v>
      </c>
      <c r="H17810" s="49">
        <f t="shared" si="2"/>
        <v>17372</v>
      </c>
    </row>
    <row r="17811">
      <c r="A17811" s="48" t="s">
        <v>970</v>
      </c>
      <c r="B17811" s="38">
        <v>2823.0</v>
      </c>
      <c r="C17811" s="38" t="s">
        <v>22237</v>
      </c>
      <c r="D17811" s="38" t="str">
        <f>IFERROR(__xludf.DUMMYFUNCTION("REGEXREPLACE(C17811,""-\d+(.*)|--\d+(.*)"","""")"),"VOHARIES")</f>
        <v>VOHARIES</v>
      </c>
      <c r="E17811" s="38" t="s">
        <v>191</v>
      </c>
      <c r="F17811" s="38" t="s">
        <v>113</v>
      </c>
      <c r="G17811" s="49" t="str">
        <f t="shared" si="1"/>
        <v>02140</v>
      </c>
      <c r="H17811" s="49" t="str">
        <f t="shared" si="2"/>
        <v>02823</v>
      </c>
    </row>
    <row r="17812">
      <c r="A17812" s="48" t="s">
        <v>5453</v>
      </c>
      <c r="B17812" s="38">
        <v>52205.0</v>
      </c>
      <c r="C17812" s="38" t="s">
        <v>22238</v>
      </c>
      <c r="D17812" s="38" t="str">
        <f>IFERROR(__xludf.DUMMYFUNCTION("REGEXREPLACE(C17812,""-\d+(.*)|--\d+(.*)"","""")"),"FOULAIN")</f>
        <v>FOULAIN</v>
      </c>
      <c r="E17812" s="38" t="s">
        <v>234</v>
      </c>
      <c r="F17812" s="38" t="s">
        <v>130</v>
      </c>
      <c r="G17812" s="49" t="str">
        <f t="shared" si="1"/>
        <v>52800</v>
      </c>
      <c r="H17812" s="49">
        <f t="shared" si="2"/>
        <v>52205</v>
      </c>
    </row>
    <row r="17813">
      <c r="A17813" s="48" t="s">
        <v>10954</v>
      </c>
      <c r="B17813" s="38">
        <v>87115.0</v>
      </c>
      <c r="C17813" s="38" t="s">
        <v>22239</v>
      </c>
      <c r="D17813" s="38" t="str">
        <f>IFERROR(__xludf.DUMMYFUNCTION("REGEXREPLACE(C17813,""-\d+(.*)|--\d+(.*)"","""")"),"PENSOL")</f>
        <v>PENSOL</v>
      </c>
      <c r="E17813" s="38" t="s">
        <v>897</v>
      </c>
      <c r="F17813" s="38" t="s">
        <v>98</v>
      </c>
      <c r="G17813" s="49" t="str">
        <f t="shared" si="1"/>
        <v>87440</v>
      </c>
      <c r="H17813" s="49">
        <f t="shared" si="2"/>
        <v>87115</v>
      </c>
    </row>
    <row r="17814">
      <c r="A17814" s="48" t="s">
        <v>1120</v>
      </c>
      <c r="B17814" s="38">
        <v>64548.0</v>
      </c>
      <c r="C17814" s="38" t="s">
        <v>22240</v>
      </c>
      <c r="D17814" s="38" t="str">
        <f>IFERROR(__xludf.DUMMYFUNCTION("REGEXREPLACE(C17814,""-\d+(.*)|--\d+(.*)"","""")"),"UZAN")</f>
        <v>UZAN</v>
      </c>
      <c r="E17814" s="38" t="s">
        <v>268</v>
      </c>
      <c r="F17814" s="38" t="s">
        <v>252</v>
      </c>
      <c r="G17814" s="49" t="str">
        <f t="shared" si="1"/>
        <v>64370</v>
      </c>
      <c r="H17814" s="49">
        <f t="shared" si="2"/>
        <v>64548</v>
      </c>
    </row>
    <row r="17815">
      <c r="A17815" s="48" t="s">
        <v>3846</v>
      </c>
      <c r="B17815" s="38">
        <v>19090.0</v>
      </c>
      <c r="C17815" s="38" t="s">
        <v>22241</v>
      </c>
      <c r="D17815" s="38" t="str">
        <f>IFERROR(__xludf.DUMMYFUNCTION("REGEXREPLACE(C17815,""-\d+(.*)|--\d+(.*)"","""")"),"GUMOND")</f>
        <v>GUMOND</v>
      </c>
      <c r="E17815" s="38" t="s">
        <v>271</v>
      </c>
      <c r="F17815" s="38" t="s">
        <v>98</v>
      </c>
      <c r="G17815" s="49" t="str">
        <f t="shared" si="1"/>
        <v>19320</v>
      </c>
      <c r="H17815" s="49">
        <f t="shared" si="2"/>
        <v>19090</v>
      </c>
    </row>
    <row r="17816">
      <c r="A17816" s="48" t="s">
        <v>22242</v>
      </c>
      <c r="B17816" s="38">
        <v>63240.0</v>
      </c>
      <c r="C17816" s="38" t="s">
        <v>22243</v>
      </c>
      <c r="D17816" s="38" t="str">
        <f>IFERROR(__xludf.DUMMYFUNCTION("REGEXREPLACE(C17816,""-\d+(.*)|--\d+(.*)"","""")"),"MONTPENSIER")</f>
        <v>MONTPENSIER</v>
      </c>
      <c r="E17816" s="38" t="s">
        <v>353</v>
      </c>
      <c r="F17816" s="38" t="s">
        <v>161</v>
      </c>
      <c r="G17816" s="49" t="str">
        <f t="shared" si="1"/>
        <v>63260</v>
      </c>
      <c r="H17816" s="49">
        <f t="shared" si="2"/>
        <v>63240</v>
      </c>
    </row>
    <row r="17817">
      <c r="A17817" s="48" t="s">
        <v>12972</v>
      </c>
      <c r="B17817" s="38" t="s">
        <v>22244</v>
      </c>
      <c r="C17817" s="38" t="s">
        <v>22245</v>
      </c>
      <c r="D17817" s="38" t="str">
        <f>IFERROR(__xludf.DUMMYFUNCTION("REGEXREPLACE(C17817,""-\d+(.*)|--\d+(.*)"","""")"),"CALACUCCIA")</f>
        <v>CALACUCCIA</v>
      </c>
      <c r="E17817" s="38" t="s">
        <v>743</v>
      </c>
      <c r="F17817" s="38" t="s">
        <v>607</v>
      </c>
      <c r="G17817" s="49" t="str">
        <f t="shared" si="1"/>
        <v>20224</v>
      </c>
      <c r="H17817" s="49" t="str">
        <f t="shared" si="2"/>
        <v>2B047</v>
      </c>
    </row>
    <row r="17818">
      <c r="A17818" s="48" t="s">
        <v>958</v>
      </c>
      <c r="B17818" s="38">
        <v>71024.0</v>
      </c>
      <c r="C17818" s="38" t="s">
        <v>1084</v>
      </c>
      <c r="D17818" s="38" t="str">
        <f>IFERROR(__xludf.DUMMYFUNCTION("REGEXREPLACE(C17818,""-\d+(.*)|--\d+(.*)"","""")"),"BAUGY")</f>
        <v>BAUGY</v>
      </c>
      <c r="E17818" s="38" t="s">
        <v>344</v>
      </c>
      <c r="F17818" s="38" t="s">
        <v>106</v>
      </c>
      <c r="G17818" s="49" t="str">
        <f t="shared" si="1"/>
        <v>71110</v>
      </c>
      <c r="H17818" s="49">
        <f t="shared" si="2"/>
        <v>71024</v>
      </c>
    </row>
    <row r="17819">
      <c r="A17819" s="48" t="s">
        <v>7889</v>
      </c>
      <c r="B17819" s="38">
        <v>56257.0</v>
      </c>
      <c r="C17819" s="38" t="s">
        <v>22246</v>
      </c>
      <c r="D17819" s="38" t="str">
        <f>IFERROR(__xludf.DUMMYFUNCTION("REGEXREPLACE(C17819,""-\d+(.*)|--\d+(.*)"","""")"),"LA TRINITE-PORHOET")</f>
        <v>LA TRINITE-PORHOET</v>
      </c>
      <c r="E17819" s="38" t="s">
        <v>173</v>
      </c>
      <c r="F17819" s="38" t="s">
        <v>90</v>
      </c>
      <c r="G17819" s="49" t="str">
        <f t="shared" si="1"/>
        <v>56490</v>
      </c>
      <c r="H17819" s="49">
        <f t="shared" si="2"/>
        <v>56257</v>
      </c>
    </row>
    <row r="17820">
      <c r="A17820" s="48" t="s">
        <v>358</v>
      </c>
      <c r="B17820" s="38">
        <v>10165.0</v>
      </c>
      <c r="C17820" s="38" t="s">
        <v>22247</v>
      </c>
      <c r="D17820" s="38" t="str">
        <f>IFERROR(__xludf.DUMMYFUNCTION("REGEXREPLACE(C17820,""-\d+(.*)|--\d+(.*)"","""")"),"GERAUDOT")</f>
        <v>GERAUDOT</v>
      </c>
      <c r="E17820" s="38" t="s">
        <v>147</v>
      </c>
      <c r="F17820" s="38" t="s">
        <v>130</v>
      </c>
      <c r="G17820" s="49" t="str">
        <f t="shared" si="1"/>
        <v>10220</v>
      </c>
      <c r="H17820" s="49">
        <f t="shared" si="2"/>
        <v>10165</v>
      </c>
    </row>
    <row r="17821">
      <c r="A17821" s="48" t="s">
        <v>2681</v>
      </c>
      <c r="B17821" s="38">
        <v>67139.0</v>
      </c>
      <c r="C17821" s="38" t="s">
        <v>22248</v>
      </c>
      <c r="D17821" s="38" t="str">
        <f>IFERROR(__xludf.DUMMYFUNCTION("REGEXREPLACE(C17821,""-\d+(.*)|--\d+(.*)"","""")"),"FLEXBOURG")</f>
        <v>FLEXBOURG</v>
      </c>
      <c r="E17821" s="38" t="s">
        <v>210</v>
      </c>
      <c r="F17821" s="38" t="s">
        <v>151</v>
      </c>
      <c r="G17821" s="49" t="str">
        <f t="shared" si="1"/>
        <v>67310</v>
      </c>
      <c r="H17821" s="49">
        <f t="shared" si="2"/>
        <v>67139</v>
      </c>
    </row>
    <row r="17822">
      <c r="A17822" s="48" t="s">
        <v>5063</v>
      </c>
      <c r="B17822" s="38">
        <v>24157.0</v>
      </c>
      <c r="C17822" s="38" t="s">
        <v>22249</v>
      </c>
      <c r="D17822" s="38" t="str">
        <f>IFERROR(__xludf.DUMMYFUNCTION("REGEXREPLACE(C17822,""-\d+(.*)|--\d+(.*)"","""")"),"DOUZILLAC")</f>
        <v>DOUZILLAC</v>
      </c>
      <c r="E17822" s="38" t="s">
        <v>261</v>
      </c>
      <c r="F17822" s="38" t="s">
        <v>252</v>
      </c>
      <c r="G17822" s="49" t="str">
        <f t="shared" si="1"/>
        <v>24190</v>
      </c>
      <c r="H17822" s="49">
        <f t="shared" si="2"/>
        <v>24157</v>
      </c>
    </row>
    <row r="17823">
      <c r="A17823" s="48" t="s">
        <v>1758</v>
      </c>
      <c r="B17823" s="38">
        <v>65469.0</v>
      </c>
      <c r="C17823" s="38" t="s">
        <v>22250</v>
      </c>
      <c r="D17823" s="38" t="str">
        <f>IFERROR(__xludf.DUMMYFUNCTION("REGEXREPLACE(C17823,""-\d+(.*)|--\d+(.*)"","""")"),"VIEY")</f>
        <v>VIEY</v>
      </c>
      <c r="E17823" s="38" t="s">
        <v>200</v>
      </c>
      <c r="F17823" s="38" t="s">
        <v>94</v>
      </c>
      <c r="G17823" s="49" t="str">
        <f t="shared" si="1"/>
        <v>65120</v>
      </c>
      <c r="H17823" s="49">
        <f t="shared" si="2"/>
        <v>65469</v>
      </c>
    </row>
    <row r="17824">
      <c r="A17824" s="48" t="s">
        <v>3050</v>
      </c>
      <c r="B17824" s="38">
        <v>11358.0</v>
      </c>
      <c r="C17824" s="38" t="s">
        <v>22251</v>
      </c>
      <c r="D17824" s="38" t="str">
        <f>IFERROR(__xludf.DUMMYFUNCTION("REGEXREPLACE(C17824,""-\d+(.*)|--\d+(.*)"","""")"),"SAINT-MARTIN-LYS")</f>
        <v>SAINT-MARTIN-LYS</v>
      </c>
      <c r="E17824" s="38" t="s">
        <v>278</v>
      </c>
      <c r="F17824" s="38" t="s">
        <v>119</v>
      </c>
      <c r="G17824" s="49" t="str">
        <f t="shared" si="1"/>
        <v>11500</v>
      </c>
      <c r="H17824" s="49">
        <f t="shared" si="2"/>
        <v>11358</v>
      </c>
    </row>
    <row r="17825">
      <c r="A17825" s="48" t="s">
        <v>1588</v>
      </c>
      <c r="B17825" s="38">
        <v>9219.0</v>
      </c>
      <c r="C17825" s="38" t="s">
        <v>22252</v>
      </c>
      <c r="D17825" s="38" t="str">
        <f>IFERROR(__xludf.DUMMYFUNCTION("REGEXREPLACE(C17825,""-\d+(.*)|--\d+(.*)"","""")"),"ORGIBET")</f>
        <v>ORGIBET</v>
      </c>
      <c r="E17825" s="38" t="s">
        <v>238</v>
      </c>
      <c r="F17825" s="38" t="s">
        <v>94</v>
      </c>
      <c r="G17825" s="49" t="str">
        <f t="shared" si="1"/>
        <v>09800</v>
      </c>
      <c r="H17825" s="49" t="str">
        <f t="shared" si="2"/>
        <v>09219</v>
      </c>
    </row>
    <row r="17826">
      <c r="A17826" s="48" t="s">
        <v>4022</v>
      </c>
      <c r="B17826" s="38">
        <v>62204.0</v>
      </c>
      <c r="C17826" s="38" t="s">
        <v>22253</v>
      </c>
      <c r="D17826" s="38" t="str">
        <f>IFERROR(__xludf.DUMMYFUNCTION("REGEXREPLACE(C17826,""-\d+(.*)|--\d+(.*)"","""")"),"CAMPAGNE-LES-HESDIN")</f>
        <v>CAMPAGNE-LES-HESDIN</v>
      </c>
      <c r="E17826" s="38" t="s">
        <v>109</v>
      </c>
      <c r="F17826" s="38" t="s">
        <v>86</v>
      </c>
      <c r="G17826" s="49" t="str">
        <f t="shared" si="1"/>
        <v>62870</v>
      </c>
      <c r="H17826" s="49">
        <f t="shared" si="2"/>
        <v>62204</v>
      </c>
    </row>
    <row r="17827">
      <c r="A17827" s="48" t="s">
        <v>2848</v>
      </c>
      <c r="B17827" s="38">
        <v>51381.0</v>
      </c>
      <c r="C17827" s="38" t="s">
        <v>22254</v>
      </c>
      <c r="D17827" s="38" t="str">
        <f>IFERROR(__xludf.DUMMYFUNCTION("REGEXREPLACE(C17827,""-\d+(.*)|--\d+(.*)"","""")"),"MONTMORT-LUCY")</f>
        <v>MONTMORT-LUCY</v>
      </c>
      <c r="E17827" s="38" t="s">
        <v>129</v>
      </c>
      <c r="F17827" s="38" t="s">
        <v>130</v>
      </c>
      <c r="G17827" s="49" t="str">
        <f t="shared" si="1"/>
        <v>51270</v>
      </c>
      <c r="H17827" s="49">
        <f t="shared" si="2"/>
        <v>51381</v>
      </c>
    </row>
    <row r="17828">
      <c r="A17828" s="48" t="s">
        <v>13265</v>
      </c>
      <c r="B17828" s="38">
        <v>77517.0</v>
      </c>
      <c r="C17828" s="38" t="s">
        <v>22255</v>
      </c>
      <c r="D17828" s="38" t="str">
        <f>IFERROR(__xludf.DUMMYFUNCTION("REGEXREPLACE(C17828,""-\d+(.*)|--\d+(.*)"","""")"),"VILLEVAUDE")</f>
        <v>VILLEVAUDE</v>
      </c>
      <c r="E17828" s="38" t="s">
        <v>244</v>
      </c>
      <c r="F17828" s="38" t="s">
        <v>245</v>
      </c>
      <c r="G17828" s="49" t="str">
        <f t="shared" si="1"/>
        <v>77410</v>
      </c>
      <c r="H17828" s="49">
        <f t="shared" si="2"/>
        <v>77517</v>
      </c>
    </row>
    <row r="17829">
      <c r="A17829" s="48" t="s">
        <v>1724</v>
      </c>
      <c r="B17829" s="38">
        <v>26110.0</v>
      </c>
      <c r="C17829" s="38" t="s">
        <v>22256</v>
      </c>
      <c r="D17829" s="38" t="str">
        <f>IFERROR(__xludf.DUMMYFUNCTION("REGEXREPLACE(C17829,""-\d+(.*)|--\d+(.*)"","""")"),"CROZES-HERMITAGE")</f>
        <v>CROZES-HERMITAGE</v>
      </c>
      <c r="E17829" s="38" t="s">
        <v>126</v>
      </c>
      <c r="F17829" s="38" t="s">
        <v>102</v>
      </c>
      <c r="G17829" s="49" t="str">
        <f t="shared" si="1"/>
        <v>26600</v>
      </c>
      <c r="H17829" s="49">
        <f t="shared" si="2"/>
        <v>26110</v>
      </c>
    </row>
    <row r="17830">
      <c r="A17830" s="48" t="s">
        <v>315</v>
      </c>
      <c r="B17830" s="38">
        <v>27127.0</v>
      </c>
      <c r="C17830" s="38" t="s">
        <v>22257</v>
      </c>
      <c r="D17830" s="38" t="str">
        <f>IFERROR(__xludf.DUMMYFUNCTION("REGEXREPLACE(C17830,""-\d+(.*)|--\d+(.*)"","""")"),"CANAPPEVILLE")</f>
        <v>CANAPPEVILLE</v>
      </c>
      <c r="E17830" s="38" t="s">
        <v>241</v>
      </c>
      <c r="F17830" s="38" t="s">
        <v>134</v>
      </c>
      <c r="G17830" s="49" t="str">
        <f t="shared" si="1"/>
        <v>27400</v>
      </c>
      <c r="H17830" s="49">
        <f t="shared" si="2"/>
        <v>27127</v>
      </c>
    </row>
    <row r="17831">
      <c r="A17831" s="48" t="s">
        <v>1531</v>
      </c>
      <c r="B17831" s="38">
        <v>65455.0</v>
      </c>
      <c r="C17831" s="38" t="s">
        <v>22258</v>
      </c>
      <c r="D17831" s="38" t="str">
        <f>IFERROR(__xludf.DUMMYFUNCTION("REGEXREPLACE(C17831,""-\d+(.*)|--\d+(.*)"","""")"),"TUZAGUET")</f>
        <v>TUZAGUET</v>
      </c>
      <c r="E17831" s="38" t="s">
        <v>200</v>
      </c>
      <c r="F17831" s="38" t="s">
        <v>94</v>
      </c>
      <c r="G17831" s="49" t="str">
        <f t="shared" si="1"/>
        <v>65150</v>
      </c>
      <c r="H17831" s="49">
        <f t="shared" si="2"/>
        <v>65455</v>
      </c>
    </row>
    <row r="17832">
      <c r="A17832" s="48" t="s">
        <v>499</v>
      </c>
      <c r="B17832" s="38">
        <v>57623.0</v>
      </c>
      <c r="C17832" s="38" t="s">
        <v>22259</v>
      </c>
      <c r="D17832" s="38" t="str">
        <f>IFERROR(__xludf.DUMMYFUNCTION("REGEXREPLACE(C17832,""-\d+(.*)|--\d+(.*)"","""")"),"SAINT-QUIRIN")</f>
        <v>SAINT-QUIRIN</v>
      </c>
      <c r="E17832" s="38" t="s">
        <v>303</v>
      </c>
      <c r="F17832" s="38" t="s">
        <v>195</v>
      </c>
      <c r="G17832" s="49" t="str">
        <f t="shared" si="1"/>
        <v>57560</v>
      </c>
      <c r="H17832" s="49">
        <f t="shared" si="2"/>
        <v>57623</v>
      </c>
    </row>
    <row r="17833">
      <c r="A17833" s="48" t="s">
        <v>4679</v>
      </c>
      <c r="B17833" s="38">
        <v>17467.0</v>
      </c>
      <c r="C17833" s="38" t="s">
        <v>969</v>
      </c>
      <c r="D17833" s="38" t="str">
        <f>IFERROR(__xludf.DUMMYFUNCTION("REGEXREPLACE(C17833,""-\d+(.*)|--\d+(.*)"","""")"),"VERVANT")</f>
        <v>VERVANT</v>
      </c>
      <c r="E17833" s="38" t="s">
        <v>488</v>
      </c>
      <c r="F17833" s="38" t="s">
        <v>338</v>
      </c>
      <c r="G17833" s="49" t="str">
        <f t="shared" si="1"/>
        <v>17400</v>
      </c>
      <c r="H17833" s="49">
        <f t="shared" si="2"/>
        <v>17467</v>
      </c>
    </row>
    <row r="17834">
      <c r="A17834" s="48" t="s">
        <v>384</v>
      </c>
      <c r="B17834" s="38">
        <v>55296.0</v>
      </c>
      <c r="C17834" s="38" t="s">
        <v>22260</v>
      </c>
      <c r="D17834" s="38" t="str">
        <f>IFERROR(__xludf.DUMMYFUNCTION("REGEXREPLACE(C17834,""-\d+(.*)|--\d+(.*)"","""")"),"LISLE-EN-RIGAULT")</f>
        <v>LISLE-EN-RIGAULT</v>
      </c>
      <c r="E17834" s="38" t="s">
        <v>322</v>
      </c>
      <c r="F17834" s="38" t="s">
        <v>195</v>
      </c>
      <c r="G17834" s="49" t="str">
        <f t="shared" si="1"/>
        <v>55000</v>
      </c>
      <c r="H17834" s="49">
        <f t="shared" si="2"/>
        <v>55296</v>
      </c>
    </row>
    <row r="17835">
      <c r="A17835" s="48" t="s">
        <v>14837</v>
      </c>
      <c r="B17835" s="38">
        <v>43263.0</v>
      </c>
      <c r="C17835" s="38" t="s">
        <v>22261</v>
      </c>
      <c r="D17835" s="38" t="str">
        <f>IFERROR(__xludf.DUMMYFUNCTION("REGEXREPLACE(C17835,""-\d+(.*)|--\d+(.*)"","""")"),"VIELPRAT")</f>
        <v>VIELPRAT</v>
      </c>
      <c r="E17835" s="38" t="s">
        <v>332</v>
      </c>
      <c r="F17835" s="38" t="s">
        <v>161</v>
      </c>
      <c r="G17835" s="49" t="str">
        <f t="shared" si="1"/>
        <v>43490</v>
      </c>
      <c r="H17835" s="49">
        <f t="shared" si="2"/>
        <v>43263</v>
      </c>
    </row>
    <row r="17836">
      <c r="A17836" s="48" t="s">
        <v>5304</v>
      </c>
      <c r="B17836" s="38">
        <v>27196.0</v>
      </c>
      <c r="C17836" s="38" t="s">
        <v>22262</v>
      </c>
      <c r="D17836" s="38" t="str">
        <f>IFERROR(__xludf.DUMMYFUNCTION("REGEXREPLACE(C17836,""-\d+(.*)|--\d+(.*)"","""")"),"LES DAMPS")</f>
        <v>LES DAMPS</v>
      </c>
      <c r="E17836" s="38" t="s">
        <v>241</v>
      </c>
      <c r="F17836" s="38" t="s">
        <v>134</v>
      </c>
      <c r="G17836" s="49" t="str">
        <f t="shared" si="1"/>
        <v>27340</v>
      </c>
      <c r="H17836" s="49">
        <f t="shared" si="2"/>
        <v>27196</v>
      </c>
    </row>
    <row r="17837">
      <c r="A17837" s="48" t="s">
        <v>10025</v>
      </c>
      <c r="B17837" s="38">
        <v>66096.0</v>
      </c>
      <c r="C17837" s="38" t="s">
        <v>22263</v>
      </c>
      <c r="D17837" s="38" t="str">
        <f>IFERROR(__xludf.DUMMYFUNCTION("REGEXREPLACE(C17837,""-\d+(.*)|--\d+(.*)"","""")"),"LATOUR-DE-FRANCE")</f>
        <v>LATOUR-DE-FRANCE</v>
      </c>
      <c r="E17837" s="38" t="s">
        <v>248</v>
      </c>
      <c r="F17837" s="38" t="s">
        <v>119</v>
      </c>
      <c r="G17837" s="49" t="str">
        <f t="shared" si="1"/>
        <v>66720</v>
      </c>
      <c r="H17837" s="49">
        <f t="shared" si="2"/>
        <v>66096</v>
      </c>
    </row>
    <row r="17838">
      <c r="A17838" s="48" t="s">
        <v>4784</v>
      </c>
      <c r="B17838" s="38">
        <v>24128.0</v>
      </c>
      <c r="C17838" s="38" t="s">
        <v>22264</v>
      </c>
      <c r="D17838" s="38" t="str">
        <f>IFERROR(__xludf.DUMMYFUNCTION("REGEXREPLACE(C17838,""-\d+(.*)|--\d+(.*)"","""")"),"COMBERANCHE-ET-EPELUCHE")</f>
        <v>COMBERANCHE-ET-EPELUCHE</v>
      </c>
      <c r="E17838" s="38" t="s">
        <v>261</v>
      </c>
      <c r="F17838" s="38" t="s">
        <v>252</v>
      </c>
      <c r="G17838" s="49" t="str">
        <f t="shared" si="1"/>
        <v>24600</v>
      </c>
      <c r="H17838" s="49">
        <f t="shared" si="2"/>
        <v>24128</v>
      </c>
    </row>
    <row r="17839">
      <c r="A17839" s="48" t="s">
        <v>22265</v>
      </c>
      <c r="B17839" s="38">
        <v>58225.0</v>
      </c>
      <c r="C17839" s="38" t="s">
        <v>22266</v>
      </c>
      <c r="D17839" s="38" t="str">
        <f>IFERROR(__xludf.DUMMYFUNCTION("REGEXREPLACE(C17839,""-\d+(.*)|--\d+(.*)"","""")"),"SAINCAIZE-MEAUCE")</f>
        <v>SAINCAIZE-MEAUCE</v>
      </c>
      <c r="E17839" s="38" t="s">
        <v>219</v>
      </c>
      <c r="F17839" s="38" t="s">
        <v>106</v>
      </c>
      <c r="G17839" s="49" t="str">
        <f t="shared" si="1"/>
        <v>58470</v>
      </c>
      <c r="H17839" s="49">
        <f t="shared" si="2"/>
        <v>58225</v>
      </c>
    </row>
    <row r="17840">
      <c r="A17840" s="48" t="s">
        <v>2734</v>
      </c>
      <c r="B17840" s="38">
        <v>89264.0</v>
      </c>
      <c r="C17840" s="38" t="s">
        <v>22267</v>
      </c>
      <c r="D17840" s="38" t="str">
        <f>IFERROR(__xludf.DUMMYFUNCTION("REGEXREPLACE(C17840,""-\d+(.*)|--\d+(.*)"","""")"),"MONTACHER-VILLEGARDIN")</f>
        <v>MONTACHER-VILLEGARDIN</v>
      </c>
      <c r="E17840" s="38" t="s">
        <v>275</v>
      </c>
      <c r="F17840" s="38" t="s">
        <v>106</v>
      </c>
      <c r="G17840" s="49" t="str">
        <f t="shared" si="1"/>
        <v>89150</v>
      </c>
      <c r="H17840" s="49">
        <f t="shared" si="2"/>
        <v>89264</v>
      </c>
    </row>
    <row r="17841">
      <c r="A17841" s="48" t="s">
        <v>325</v>
      </c>
      <c r="B17841" s="38">
        <v>8369.0</v>
      </c>
      <c r="C17841" s="38" t="s">
        <v>2585</v>
      </c>
      <c r="D17841" s="38" t="str">
        <f>IFERROR(__xludf.DUMMYFUNCTION("REGEXREPLACE(C17841,""-\d+(.*)|--\d+(.*)"","""")"),"LA ROMAGNE")</f>
        <v>LA ROMAGNE</v>
      </c>
      <c r="E17841" s="38" t="s">
        <v>327</v>
      </c>
      <c r="F17841" s="38" t="s">
        <v>130</v>
      </c>
      <c r="G17841" s="49" t="str">
        <f t="shared" si="1"/>
        <v>08220</v>
      </c>
      <c r="H17841" s="49" t="str">
        <f t="shared" si="2"/>
        <v>08369</v>
      </c>
    </row>
    <row r="17842">
      <c r="A17842" s="48" t="s">
        <v>874</v>
      </c>
      <c r="B17842" s="38" t="s">
        <v>22268</v>
      </c>
      <c r="C17842" s="38" t="s">
        <v>22269</v>
      </c>
      <c r="D17842" s="38" t="str">
        <f>IFERROR(__xludf.DUMMYFUNCTION("REGEXREPLACE(C17842,""-\d+(.*)|--\d+(.*)"","""")"),"MONACIA-D'OREZZA")</f>
        <v>MONACIA-D'OREZZA</v>
      </c>
      <c r="E17842" s="38" t="s">
        <v>743</v>
      </c>
      <c r="F17842" s="38" t="s">
        <v>607</v>
      </c>
      <c r="G17842" s="49" t="str">
        <f t="shared" si="1"/>
        <v>20229</v>
      </c>
      <c r="H17842" s="49" t="str">
        <f t="shared" si="2"/>
        <v>2B164</v>
      </c>
    </row>
    <row r="17843">
      <c r="A17843" s="48" t="s">
        <v>5958</v>
      </c>
      <c r="B17843" s="38">
        <v>68176.0</v>
      </c>
      <c r="C17843" s="38" t="s">
        <v>22270</v>
      </c>
      <c r="D17843" s="38" t="str">
        <f>IFERROR(__xludf.DUMMYFUNCTION("REGEXREPLACE(C17843,""-\d+(.*)|--\d+(.*)"","""")"),"LARGITZEN")</f>
        <v>LARGITZEN</v>
      </c>
      <c r="E17843" s="38" t="s">
        <v>150</v>
      </c>
      <c r="F17843" s="38" t="s">
        <v>151</v>
      </c>
      <c r="G17843" s="49" t="str">
        <f t="shared" si="1"/>
        <v>68580</v>
      </c>
      <c r="H17843" s="49">
        <f t="shared" si="2"/>
        <v>68176</v>
      </c>
    </row>
    <row r="17844">
      <c r="A17844" s="48" t="s">
        <v>2773</v>
      </c>
      <c r="B17844" s="38">
        <v>21465.0</v>
      </c>
      <c r="C17844" s="38" t="s">
        <v>22271</v>
      </c>
      <c r="D17844" s="38" t="str">
        <f>IFERROR(__xludf.DUMMYFUNCTION("REGEXREPLACE(C17844,""-\d+(.*)|--\d+(.*)"","""")"),"OBTREE")</f>
        <v>OBTREE</v>
      </c>
      <c r="E17844" s="38" t="s">
        <v>105</v>
      </c>
      <c r="F17844" s="38" t="s">
        <v>106</v>
      </c>
      <c r="G17844" s="49" t="str">
        <f t="shared" si="1"/>
        <v>21400</v>
      </c>
      <c r="H17844" s="49">
        <f t="shared" si="2"/>
        <v>21465</v>
      </c>
    </row>
    <row r="17845">
      <c r="A17845" s="48" t="s">
        <v>12157</v>
      </c>
      <c r="B17845" s="38">
        <v>80305.0</v>
      </c>
      <c r="C17845" s="38" t="s">
        <v>9893</v>
      </c>
      <c r="D17845" s="38" t="str">
        <f>IFERROR(__xludf.DUMMYFUNCTION("REGEXREPLACE(C17845,""-\d+(.*)|--\d+(.*)"","""")"),"FERRIERES")</f>
        <v>FERRIERES</v>
      </c>
      <c r="E17845" s="38" t="s">
        <v>224</v>
      </c>
      <c r="F17845" s="38" t="s">
        <v>113</v>
      </c>
      <c r="G17845" s="49" t="str">
        <f t="shared" si="1"/>
        <v>80470</v>
      </c>
      <c r="H17845" s="49">
        <f t="shared" si="2"/>
        <v>80305</v>
      </c>
    </row>
    <row r="17846">
      <c r="A17846" s="48" t="s">
        <v>2655</v>
      </c>
      <c r="B17846" s="38">
        <v>52446.0</v>
      </c>
      <c r="C17846" s="38" t="s">
        <v>22272</v>
      </c>
      <c r="D17846" s="38" t="str">
        <f>IFERROR(__xludf.DUMMYFUNCTION("REGEXREPLACE(C17846,""-\d+(.*)|--\d+(.*)"","""")"),"SAINT-BROINGT-LES-FOSSES")</f>
        <v>SAINT-BROINGT-LES-FOSSES</v>
      </c>
      <c r="E17846" s="38" t="s">
        <v>234</v>
      </c>
      <c r="F17846" s="38" t="s">
        <v>130</v>
      </c>
      <c r="G17846" s="49" t="str">
        <f t="shared" si="1"/>
        <v>52190</v>
      </c>
      <c r="H17846" s="49">
        <f t="shared" si="2"/>
        <v>52446</v>
      </c>
    </row>
    <row r="17847">
      <c r="A17847" s="48" t="s">
        <v>11498</v>
      </c>
      <c r="B17847" s="38">
        <v>26014.0</v>
      </c>
      <c r="C17847" s="38" t="s">
        <v>22273</v>
      </c>
      <c r="D17847" s="38" t="str">
        <f>IFERROR(__xludf.DUMMYFUNCTION("REGEXREPLACE(C17847,""-\d+(.*)|--\d+(.*)"","""")"),"ARTHEMONAY")</f>
        <v>ARTHEMONAY</v>
      </c>
      <c r="E17847" s="38" t="s">
        <v>126</v>
      </c>
      <c r="F17847" s="38" t="s">
        <v>102</v>
      </c>
      <c r="G17847" s="49" t="str">
        <f t="shared" si="1"/>
        <v>26260</v>
      </c>
      <c r="H17847" s="49">
        <f t="shared" si="2"/>
        <v>26014</v>
      </c>
    </row>
    <row r="17848">
      <c r="A17848" s="48" t="s">
        <v>7659</v>
      </c>
      <c r="B17848" s="38">
        <v>53122.0</v>
      </c>
      <c r="C17848" s="38" t="s">
        <v>22274</v>
      </c>
      <c r="D17848" s="38" t="str">
        <f>IFERROR(__xludf.DUMMYFUNCTION("REGEXREPLACE(C17848,""-\d+(.*)|--\d+(.*)"","""")"),"JUBLAINS")</f>
        <v>JUBLAINS</v>
      </c>
      <c r="E17848" s="38" t="s">
        <v>518</v>
      </c>
      <c r="F17848" s="38" t="s">
        <v>180</v>
      </c>
      <c r="G17848" s="49" t="str">
        <f t="shared" si="1"/>
        <v>53160</v>
      </c>
      <c r="H17848" s="49">
        <f t="shared" si="2"/>
        <v>53122</v>
      </c>
    </row>
    <row r="17849">
      <c r="A17849" s="48" t="s">
        <v>1514</v>
      </c>
      <c r="B17849" s="38">
        <v>70121.0</v>
      </c>
      <c r="C17849" s="38" t="s">
        <v>22275</v>
      </c>
      <c r="D17849" s="38" t="str">
        <f>IFERROR(__xludf.DUMMYFUNCTION("REGEXREPLACE(C17849,""-\d+(.*)|--\d+(.*)"","""")"),"CHAMPEY")</f>
        <v>CHAMPEY</v>
      </c>
      <c r="E17849" s="38" t="s">
        <v>956</v>
      </c>
      <c r="F17849" s="38" t="s">
        <v>214</v>
      </c>
      <c r="G17849" s="49" t="str">
        <f t="shared" si="1"/>
        <v>70400</v>
      </c>
      <c r="H17849" s="49">
        <f t="shared" si="2"/>
        <v>70121</v>
      </c>
    </row>
    <row r="17850">
      <c r="A17850" s="48" t="s">
        <v>6107</v>
      </c>
      <c r="B17850" s="38">
        <v>61379.0</v>
      </c>
      <c r="C17850" s="38" t="s">
        <v>22276</v>
      </c>
      <c r="D17850" s="38" t="str">
        <f>IFERROR(__xludf.DUMMYFUNCTION("REGEXREPLACE(C17850,""-\d+(.*)|--\d+(.*)"","""")"),"SAINT-CYR-LA-ROSIERE")</f>
        <v>SAINT-CYR-LA-ROSIERE</v>
      </c>
      <c r="E17850" s="38" t="s">
        <v>141</v>
      </c>
      <c r="F17850" s="38" t="s">
        <v>138</v>
      </c>
      <c r="G17850" s="49" t="str">
        <f t="shared" si="1"/>
        <v>61130</v>
      </c>
      <c r="H17850" s="49">
        <f t="shared" si="2"/>
        <v>61379</v>
      </c>
    </row>
    <row r="17851">
      <c r="A17851" s="48" t="s">
        <v>4853</v>
      </c>
      <c r="B17851" s="38">
        <v>32417.0</v>
      </c>
      <c r="C17851" s="38" t="s">
        <v>22277</v>
      </c>
      <c r="D17851" s="38" t="str">
        <f>IFERROR(__xludf.DUMMYFUNCTION("REGEXREPLACE(C17851,""-\d+(.*)|--\d+(.*)"","""")"),"LA SAUVETAT")</f>
        <v>LA SAUVETAT</v>
      </c>
      <c r="E17851" s="38" t="s">
        <v>440</v>
      </c>
      <c r="F17851" s="38" t="s">
        <v>94</v>
      </c>
      <c r="G17851" s="49" t="str">
        <f t="shared" si="1"/>
        <v>32500</v>
      </c>
      <c r="H17851" s="49">
        <f t="shared" si="2"/>
        <v>32417</v>
      </c>
    </row>
    <row r="17852">
      <c r="A17852" s="48" t="s">
        <v>922</v>
      </c>
      <c r="B17852" s="38">
        <v>76261.0</v>
      </c>
      <c r="C17852" s="38" t="s">
        <v>22278</v>
      </c>
      <c r="D17852" s="38" t="str">
        <f>IFERROR(__xludf.DUMMYFUNCTION("REGEXREPLACE(C17852,""-\d+(.*)|--\d+(.*)"","""")"),"LA FERTE-SAINT-SAMSON")</f>
        <v>LA FERTE-SAINT-SAMSON</v>
      </c>
      <c r="E17852" s="38" t="s">
        <v>133</v>
      </c>
      <c r="F17852" s="38" t="s">
        <v>134</v>
      </c>
      <c r="G17852" s="49" t="str">
        <f t="shared" si="1"/>
        <v>76440</v>
      </c>
      <c r="H17852" s="49">
        <f t="shared" si="2"/>
        <v>76261</v>
      </c>
    </row>
    <row r="17853">
      <c r="A17853" s="48" t="s">
        <v>3677</v>
      </c>
      <c r="B17853" s="38">
        <v>89060.0</v>
      </c>
      <c r="C17853" s="38" t="s">
        <v>19475</v>
      </c>
      <c r="D17853" s="38" t="str">
        <f>IFERROR(__xludf.DUMMYFUNCTION("REGEXREPLACE(C17853,""-\d+(.*)|--\d+(.*)"","""")"),"BUSSY-LE-REPOS")</f>
        <v>BUSSY-LE-REPOS</v>
      </c>
      <c r="E17853" s="38" t="s">
        <v>275</v>
      </c>
      <c r="F17853" s="38" t="s">
        <v>106</v>
      </c>
      <c r="G17853" s="49" t="str">
        <f t="shared" si="1"/>
        <v>89500</v>
      </c>
      <c r="H17853" s="49">
        <f t="shared" si="2"/>
        <v>89060</v>
      </c>
    </row>
    <row r="17854">
      <c r="A17854" s="48" t="s">
        <v>1531</v>
      </c>
      <c r="B17854" s="38">
        <v>65194.0</v>
      </c>
      <c r="C17854" s="38" t="s">
        <v>22279</v>
      </c>
      <c r="D17854" s="38" t="str">
        <f>IFERROR(__xludf.DUMMYFUNCTION("REGEXREPLACE(C17854,""-\d+(.*)|--\d+(.*)"","""")"),"GENEREST")</f>
        <v>GENEREST</v>
      </c>
      <c r="E17854" s="38" t="s">
        <v>200</v>
      </c>
      <c r="F17854" s="38" t="s">
        <v>94</v>
      </c>
      <c r="G17854" s="49" t="str">
        <f t="shared" si="1"/>
        <v>65150</v>
      </c>
      <c r="H17854" s="49">
        <f t="shared" si="2"/>
        <v>65194</v>
      </c>
    </row>
    <row r="17855">
      <c r="A17855" s="48" t="s">
        <v>6261</v>
      </c>
      <c r="B17855" s="38">
        <v>76206.0</v>
      </c>
      <c r="C17855" s="38" t="s">
        <v>22280</v>
      </c>
      <c r="D17855" s="38" t="str">
        <f>IFERROR(__xludf.DUMMYFUNCTION("REGEXREPLACE(C17855,""-\d+(.*)|--\d+(.*)"","""")"),"CUVERVILLE")</f>
        <v>CUVERVILLE</v>
      </c>
      <c r="E17855" s="38" t="s">
        <v>133</v>
      </c>
      <c r="F17855" s="38" t="s">
        <v>134</v>
      </c>
      <c r="G17855" s="49" t="str">
        <f t="shared" si="1"/>
        <v>76280</v>
      </c>
      <c r="H17855" s="49">
        <f t="shared" si="2"/>
        <v>76206</v>
      </c>
    </row>
    <row r="17856">
      <c r="A17856" s="48" t="s">
        <v>22281</v>
      </c>
      <c r="B17856" s="38">
        <v>80031.0</v>
      </c>
      <c r="C17856" s="38" t="s">
        <v>22282</v>
      </c>
      <c r="D17856" s="38" t="str">
        <f>IFERROR(__xludf.DUMMYFUNCTION("REGEXREPLACE(C17856,""-\d+(.*)|--\d+(.*)"","""")"),"ARVILLERS")</f>
        <v>ARVILLERS</v>
      </c>
      <c r="E17856" s="38" t="s">
        <v>224</v>
      </c>
      <c r="F17856" s="38" t="s">
        <v>113</v>
      </c>
      <c r="G17856" s="49" t="str">
        <f t="shared" si="1"/>
        <v>80910</v>
      </c>
      <c r="H17856" s="49">
        <f t="shared" si="2"/>
        <v>80031</v>
      </c>
    </row>
    <row r="17857">
      <c r="A17857" s="48" t="s">
        <v>970</v>
      </c>
      <c r="B17857" s="38">
        <v>2826.0</v>
      </c>
      <c r="C17857" s="38" t="s">
        <v>22283</v>
      </c>
      <c r="D17857" s="38" t="str">
        <f>IFERROR(__xludf.DUMMYFUNCTION("REGEXREPLACE(C17857,""-\d+(.*)|--\d+(.*)"","""")"),"VOULPAIX")</f>
        <v>VOULPAIX</v>
      </c>
      <c r="E17857" s="38" t="s">
        <v>191</v>
      </c>
      <c r="F17857" s="38" t="s">
        <v>113</v>
      </c>
      <c r="G17857" s="49" t="str">
        <f t="shared" si="1"/>
        <v>02140</v>
      </c>
      <c r="H17857" s="49" t="str">
        <f t="shared" si="2"/>
        <v>02826</v>
      </c>
    </row>
    <row r="17858">
      <c r="A17858" s="48" t="s">
        <v>1713</v>
      </c>
      <c r="B17858" s="38">
        <v>36183.0</v>
      </c>
      <c r="C17858" s="38" t="s">
        <v>16261</v>
      </c>
      <c r="D17858" s="38" t="str">
        <f>IFERROR(__xludf.DUMMYFUNCTION("REGEXREPLACE(C17858,""-\d+(.*)|--\d+(.*)"","""")"),"SAINTE-CECILE")</f>
        <v>SAINTE-CECILE</v>
      </c>
      <c r="E17858" s="38" t="s">
        <v>258</v>
      </c>
      <c r="F17858" s="38" t="s">
        <v>123</v>
      </c>
      <c r="G17858" s="49" t="str">
        <f t="shared" si="1"/>
        <v>36210</v>
      </c>
      <c r="H17858" s="49">
        <f t="shared" si="2"/>
        <v>36183</v>
      </c>
    </row>
    <row r="17859">
      <c r="A17859" s="48" t="s">
        <v>22284</v>
      </c>
      <c r="B17859" s="38">
        <v>21617.0</v>
      </c>
      <c r="C17859" s="38" t="s">
        <v>22285</v>
      </c>
      <c r="D17859" s="38" t="str">
        <f>IFERROR(__xludf.DUMMYFUNCTION("REGEXREPLACE(C17859,""-\d+(.*)|--\d+(.*)"","""")"),"TALANT")</f>
        <v>TALANT</v>
      </c>
      <c r="E17859" s="38" t="s">
        <v>105</v>
      </c>
      <c r="F17859" s="38" t="s">
        <v>106</v>
      </c>
      <c r="G17859" s="49" t="str">
        <f t="shared" si="1"/>
        <v>21240</v>
      </c>
      <c r="H17859" s="49">
        <f t="shared" si="2"/>
        <v>21617</v>
      </c>
    </row>
    <row r="17860">
      <c r="A17860" s="48" t="s">
        <v>110</v>
      </c>
      <c r="B17860" s="38">
        <v>60208.0</v>
      </c>
      <c r="C17860" s="38" t="s">
        <v>22286</v>
      </c>
      <c r="D17860" s="38" t="str">
        <f>IFERROR(__xludf.DUMMYFUNCTION("REGEXREPLACE(C17860,""-\d+(.*)|--\d+(.*)"","""")"),"ENENCOURT-LEAGE")</f>
        <v>ENENCOURT-LEAGE</v>
      </c>
      <c r="E17860" s="38" t="s">
        <v>112</v>
      </c>
      <c r="F17860" s="38" t="s">
        <v>113</v>
      </c>
      <c r="G17860" s="49" t="str">
        <f t="shared" si="1"/>
        <v>60590</v>
      </c>
      <c r="H17860" s="49">
        <f t="shared" si="2"/>
        <v>60208</v>
      </c>
    </row>
    <row r="17861">
      <c r="A17861" s="48" t="s">
        <v>11199</v>
      </c>
      <c r="B17861" s="38">
        <v>31410.0</v>
      </c>
      <c r="C17861" s="38" t="s">
        <v>22287</v>
      </c>
      <c r="D17861" s="38" t="str">
        <f>IFERROR(__xludf.DUMMYFUNCTION("REGEXREPLACE(C17861,""-\d+(.*)|--\d+(.*)"","""")"),"PECHBONNIEU")</f>
        <v>PECHBONNIEU</v>
      </c>
      <c r="E17861" s="38" t="s">
        <v>93</v>
      </c>
      <c r="F17861" s="38" t="s">
        <v>94</v>
      </c>
      <c r="G17861" s="49" t="str">
        <f t="shared" si="1"/>
        <v>31140</v>
      </c>
      <c r="H17861" s="49">
        <f t="shared" si="2"/>
        <v>31410</v>
      </c>
    </row>
    <row r="17862">
      <c r="A17862" s="48" t="s">
        <v>2100</v>
      </c>
      <c r="B17862" s="38">
        <v>14109.0</v>
      </c>
      <c r="C17862" s="38" t="s">
        <v>22288</v>
      </c>
      <c r="D17862" s="38" t="str">
        <f>IFERROR(__xludf.DUMMYFUNCTION("REGEXREPLACE(C17862,""-\d+(.*)|--\d+(.*)"","""")"),"BROUAY")</f>
        <v>BROUAY</v>
      </c>
      <c r="E17862" s="38" t="s">
        <v>137</v>
      </c>
      <c r="F17862" s="38" t="s">
        <v>138</v>
      </c>
      <c r="G17862" s="49" t="str">
        <f t="shared" si="1"/>
        <v>14250</v>
      </c>
      <c r="H17862" s="49">
        <f t="shared" si="2"/>
        <v>14109</v>
      </c>
    </row>
    <row r="17863">
      <c r="A17863" s="48" t="s">
        <v>12001</v>
      </c>
      <c r="B17863" s="38">
        <v>7091.0</v>
      </c>
      <c r="C17863" s="38" t="s">
        <v>2009</v>
      </c>
      <c r="D17863" s="38" t="str">
        <f>IFERROR(__xludf.DUMMYFUNCTION("REGEXREPLACE(C17863,""-\d+(.*)|--\d+(.*)"","""")"),"FONS")</f>
        <v>FONS</v>
      </c>
      <c r="E17863" s="38" t="s">
        <v>144</v>
      </c>
      <c r="F17863" s="38" t="s">
        <v>102</v>
      </c>
      <c r="G17863" s="49" t="str">
        <f t="shared" si="1"/>
        <v>07200</v>
      </c>
      <c r="H17863" s="49" t="str">
        <f t="shared" si="2"/>
        <v>07091</v>
      </c>
    </row>
    <row r="17864">
      <c r="A17864" s="48" t="s">
        <v>262</v>
      </c>
      <c r="B17864" s="38">
        <v>9338.0</v>
      </c>
      <c r="C17864" s="38" t="s">
        <v>22289</v>
      </c>
      <c r="D17864" s="38" t="str">
        <f>IFERROR(__xludf.DUMMYFUNCTION("REGEXREPLACE(C17864,""-\d+(.*)|--\d+(.*)"","""")"),"VILLENEUVE-DU-LATOU")</f>
        <v>VILLENEUVE-DU-LATOU</v>
      </c>
      <c r="E17864" s="38" t="s">
        <v>238</v>
      </c>
      <c r="F17864" s="38" t="s">
        <v>94</v>
      </c>
      <c r="G17864" s="49" t="str">
        <f t="shared" si="1"/>
        <v>09130</v>
      </c>
      <c r="H17864" s="49" t="str">
        <f t="shared" si="2"/>
        <v>09338</v>
      </c>
    </row>
    <row r="17865">
      <c r="A17865" s="48" t="s">
        <v>4779</v>
      </c>
      <c r="B17865" s="38">
        <v>28050.0</v>
      </c>
      <c r="C17865" s="38" t="s">
        <v>3326</v>
      </c>
      <c r="D17865" s="38" t="str">
        <f>IFERROR(__xludf.DUMMYFUNCTION("REGEXREPLACE(C17865,""-\d+(.*)|--\d+(.*)"","""")"),"BONCOURT")</f>
        <v>BONCOURT</v>
      </c>
      <c r="E17865" s="38" t="s">
        <v>300</v>
      </c>
      <c r="F17865" s="38" t="s">
        <v>123</v>
      </c>
      <c r="G17865" s="49" t="str">
        <f t="shared" si="1"/>
        <v>28260</v>
      </c>
      <c r="H17865" s="49">
        <f t="shared" si="2"/>
        <v>28050</v>
      </c>
    </row>
    <row r="17866">
      <c r="A17866" s="48" t="s">
        <v>1381</v>
      </c>
      <c r="B17866" s="38">
        <v>62475.0</v>
      </c>
      <c r="C17866" s="38" t="s">
        <v>22290</v>
      </c>
      <c r="D17866" s="38" t="str">
        <f>IFERROR(__xludf.DUMMYFUNCTION("REGEXREPLACE(C17866,""-\d+(.*)|--\d+(.*)"","""")"),"IVERGNY")</f>
        <v>IVERGNY</v>
      </c>
      <c r="E17866" s="38" t="s">
        <v>109</v>
      </c>
      <c r="F17866" s="38" t="s">
        <v>86</v>
      </c>
      <c r="G17866" s="49" t="str">
        <f t="shared" si="1"/>
        <v>62810</v>
      </c>
      <c r="H17866" s="49">
        <f t="shared" si="2"/>
        <v>62475</v>
      </c>
    </row>
    <row r="17867">
      <c r="A17867" s="48" t="s">
        <v>158</v>
      </c>
      <c r="B17867" s="38">
        <v>3205.0</v>
      </c>
      <c r="C17867" s="38" t="s">
        <v>10494</v>
      </c>
      <c r="D17867" s="38" t="str">
        <f>IFERROR(__xludf.DUMMYFUNCTION("REGEXREPLACE(C17867,""-\d+(.*)|--\d+(.*)"","""")"),"PERIGNY")</f>
        <v>PERIGNY</v>
      </c>
      <c r="E17867" s="38" t="s">
        <v>160</v>
      </c>
      <c r="F17867" s="38" t="s">
        <v>161</v>
      </c>
      <c r="G17867" s="49" t="str">
        <f t="shared" si="1"/>
        <v>03120</v>
      </c>
      <c r="H17867" s="49" t="str">
        <f t="shared" si="2"/>
        <v>03205</v>
      </c>
    </row>
    <row r="17868">
      <c r="A17868" s="48" t="s">
        <v>1182</v>
      </c>
      <c r="B17868" s="38">
        <v>67112.0</v>
      </c>
      <c r="C17868" s="38" t="s">
        <v>22291</v>
      </c>
      <c r="D17868" s="38" t="str">
        <f>IFERROR(__xludf.DUMMYFUNCTION("REGEXREPLACE(C17868,""-\d+(.*)|--\d+(.*)"","""")"),"DUTTLENHEIM")</f>
        <v>DUTTLENHEIM</v>
      </c>
      <c r="E17868" s="38" t="s">
        <v>210</v>
      </c>
      <c r="F17868" s="38" t="s">
        <v>151</v>
      </c>
      <c r="G17868" s="49" t="str">
        <f t="shared" si="1"/>
        <v>67120</v>
      </c>
      <c r="H17868" s="49">
        <f t="shared" si="2"/>
        <v>67112</v>
      </c>
    </row>
    <row r="17869">
      <c r="A17869" s="48" t="s">
        <v>22292</v>
      </c>
      <c r="B17869" s="38">
        <v>29041.0</v>
      </c>
      <c r="C17869" s="38" t="s">
        <v>22293</v>
      </c>
      <c r="D17869" s="38" t="str">
        <f>IFERROR(__xludf.DUMMYFUNCTION("REGEXREPLACE(C17869,""-\d+(.*)|--\d+(.*)"","""")"),"CORAY")</f>
        <v>CORAY</v>
      </c>
      <c r="E17869" s="38" t="s">
        <v>176</v>
      </c>
      <c r="F17869" s="38" t="s">
        <v>90</v>
      </c>
      <c r="G17869" s="49" t="str">
        <f t="shared" si="1"/>
        <v>29370</v>
      </c>
      <c r="H17869" s="49">
        <f t="shared" si="2"/>
        <v>29041</v>
      </c>
    </row>
    <row r="17870">
      <c r="A17870" s="48" t="s">
        <v>1819</v>
      </c>
      <c r="B17870" s="38">
        <v>16035.0</v>
      </c>
      <c r="C17870" s="38" t="s">
        <v>22294</v>
      </c>
      <c r="D17870" s="38" t="str">
        <f>IFERROR(__xludf.DUMMYFUNCTION("REGEXREPLACE(C17870,""-\d+(.*)|--\d+(.*)"","""")"),"BEAULIEU-SUR-SONNETTE")</f>
        <v>BEAULIEU-SUR-SONNETTE</v>
      </c>
      <c r="E17870" s="38" t="s">
        <v>429</v>
      </c>
      <c r="F17870" s="38" t="s">
        <v>338</v>
      </c>
      <c r="G17870" s="49" t="str">
        <f t="shared" si="1"/>
        <v>16450</v>
      </c>
      <c r="H17870" s="49">
        <f t="shared" si="2"/>
        <v>16035</v>
      </c>
    </row>
    <row r="17871">
      <c r="A17871" s="48" t="s">
        <v>12589</v>
      </c>
      <c r="B17871" s="38">
        <v>1337.0</v>
      </c>
      <c r="C17871" s="38" t="s">
        <v>22295</v>
      </c>
      <c r="D17871" s="38" t="str">
        <f>IFERROR(__xludf.DUMMYFUNCTION("REGEXREPLACE(C17871,""-\d+(.*)|--\d+(.*)"","""")"),"SAINT-BENIGNE")</f>
        <v>SAINT-BENIGNE</v>
      </c>
      <c r="E17871" s="38" t="s">
        <v>255</v>
      </c>
      <c r="F17871" s="38" t="s">
        <v>102</v>
      </c>
      <c r="G17871" s="49" t="str">
        <f t="shared" si="1"/>
        <v>01190</v>
      </c>
      <c r="H17871" s="49" t="str">
        <f t="shared" si="2"/>
        <v>01337</v>
      </c>
    </row>
    <row r="17872">
      <c r="A17872" s="48" t="s">
        <v>1352</v>
      </c>
      <c r="B17872" s="38">
        <v>79201.0</v>
      </c>
      <c r="C17872" s="38" t="s">
        <v>22296</v>
      </c>
      <c r="D17872" s="38" t="str">
        <f>IFERROR(__xludf.DUMMYFUNCTION("REGEXREPLACE(C17872,""-\d+(.*)|--\d+(.*)"","""")"),"PAMPROUX")</f>
        <v>PAMPROUX</v>
      </c>
      <c r="E17872" s="38" t="s">
        <v>337</v>
      </c>
      <c r="F17872" s="38" t="s">
        <v>338</v>
      </c>
      <c r="G17872" s="49" t="str">
        <f t="shared" si="1"/>
        <v>79800</v>
      </c>
      <c r="H17872" s="49">
        <f t="shared" si="2"/>
        <v>79201</v>
      </c>
    </row>
    <row r="17873">
      <c r="A17873" s="48" t="s">
        <v>2047</v>
      </c>
      <c r="B17873" s="38">
        <v>62515.0</v>
      </c>
      <c r="C17873" s="38" t="s">
        <v>22297</v>
      </c>
      <c r="D17873" s="38" t="str">
        <f>IFERROR(__xludf.DUMMYFUNCTION("REGEXREPLACE(C17873,""-\d+(.*)|--\d+(.*)"","""")"),"LIGNY-THILLOY")</f>
        <v>LIGNY-THILLOY</v>
      </c>
      <c r="E17873" s="38" t="s">
        <v>109</v>
      </c>
      <c r="F17873" s="38" t="s">
        <v>86</v>
      </c>
      <c r="G17873" s="49" t="str">
        <f t="shared" si="1"/>
        <v>62450</v>
      </c>
      <c r="H17873" s="49">
        <f t="shared" si="2"/>
        <v>62515</v>
      </c>
    </row>
    <row r="17874">
      <c r="A17874" s="48" t="s">
        <v>7319</v>
      </c>
      <c r="B17874" s="38">
        <v>97219.0</v>
      </c>
      <c r="C17874" s="38" t="s">
        <v>22298</v>
      </c>
      <c r="D17874" s="38" t="str">
        <f>IFERROR(__xludf.DUMMYFUNCTION("REGEXREPLACE(C17874,""-\d+(.*)|--\d+(.*)"","""")"),"LE PRECHEUR")</f>
        <v>LE PRECHEUR</v>
      </c>
      <c r="E17874" s="38" t="s">
        <v>2282</v>
      </c>
      <c r="F17874" s="38" t="s">
        <v>2282</v>
      </c>
      <c r="G17874" s="49" t="str">
        <f t="shared" si="1"/>
        <v>97250</v>
      </c>
      <c r="H17874" s="49">
        <f t="shared" si="2"/>
        <v>97219</v>
      </c>
    </row>
    <row r="17875">
      <c r="A17875" s="48" t="s">
        <v>736</v>
      </c>
      <c r="B17875" s="38">
        <v>57605.0</v>
      </c>
      <c r="C17875" s="38" t="s">
        <v>22299</v>
      </c>
      <c r="D17875" s="38" t="str">
        <f>IFERROR(__xludf.DUMMYFUNCTION("REGEXREPLACE(C17875,""-\d+(.*)|--\d+(.*)"","""")"),"SAILLY-ACHATEL")</f>
        <v>SAILLY-ACHATEL</v>
      </c>
      <c r="E17875" s="38" t="s">
        <v>303</v>
      </c>
      <c r="F17875" s="38" t="s">
        <v>195</v>
      </c>
      <c r="G17875" s="49" t="str">
        <f t="shared" si="1"/>
        <v>57420</v>
      </c>
      <c r="H17875" s="49">
        <f t="shared" si="2"/>
        <v>57605</v>
      </c>
    </row>
    <row r="17876">
      <c r="A17876" s="48" t="s">
        <v>928</v>
      </c>
      <c r="B17876" s="38">
        <v>38560.0</v>
      </c>
      <c r="C17876" s="38" t="s">
        <v>22300</v>
      </c>
      <c r="D17876" s="38" t="str">
        <f>IFERROR(__xludf.DUMMYFUNCTION("REGEXREPLACE(C17876,""-\d+(.*)|--\d+(.*)"","""")"),"VIRIEU")</f>
        <v>VIRIEU</v>
      </c>
      <c r="E17876" s="38" t="s">
        <v>101</v>
      </c>
      <c r="F17876" s="38" t="s">
        <v>102</v>
      </c>
      <c r="G17876" s="49" t="str">
        <f t="shared" si="1"/>
        <v>38730</v>
      </c>
      <c r="H17876" s="49">
        <f t="shared" si="2"/>
        <v>38560</v>
      </c>
    </row>
    <row r="17877">
      <c r="A17877" s="48" t="s">
        <v>2710</v>
      </c>
      <c r="B17877" s="38">
        <v>68212.0</v>
      </c>
      <c r="C17877" s="38" t="s">
        <v>22301</v>
      </c>
      <c r="D17877" s="38" t="str">
        <f>IFERROR(__xludf.DUMMYFUNCTION("REGEXREPLACE(C17877,""-\d+(.*)|--\d+(.*)"","""")"),"MOERNACH")</f>
        <v>MOERNACH</v>
      </c>
      <c r="E17877" s="38" t="s">
        <v>150</v>
      </c>
      <c r="F17877" s="38" t="s">
        <v>151</v>
      </c>
      <c r="G17877" s="49" t="str">
        <f t="shared" si="1"/>
        <v>68480</v>
      </c>
      <c r="H17877" s="49">
        <f t="shared" si="2"/>
        <v>68212</v>
      </c>
    </row>
    <row r="17878">
      <c r="A17878" s="48" t="s">
        <v>8414</v>
      </c>
      <c r="B17878" s="38">
        <v>60034.0</v>
      </c>
      <c r="C17878" s="38" t="s">
        <v>22302</v>
      </c>
      <c r="D17878" s="38" t="str">
        <f>IFERROR(__xludf.DUMMYFUNCTION("REGEXREPLACE(C17878,""-\d+(.*)|--\d+(.*)"","""")"),"AVRECHY")</f>
        <v>AVRECHY</v>
      </c>
      <c r="E17878" s="38" t="s">
        <v>112</v>
      </c>
      <c r="F17878" s="38" t="s">
        <v>113</v>
      </c>
      <c r="G17878" s="49" t="str">
        <f t="shared" si="1"/>
        <v>60130</v>
      </c>
      <c r="H17878" s="49">
        <f t="shared" si="2"/>
        <v>60034</v>
      </c>
    </row>
    <row r="17879">
      <c r="A17879" s="48" t="s">
        <v>1056</v>
      </c>
      <c r="B17879" s="38">
        <v>11120.0</v>
      </c>
      <c r="C17879" s="38" t="s">
        <v>22303</v>
      </c>
      <c r="D17879" s="38" t="str">
        <f>IFERROR(__xludf.DUMMYFUNCTION("REGEXREPLACE(C17879,""-\d+(.*)|--\d+(.*)"","""")"),"LA DIGNE-D'AVAL")</f>
        <v>LA DIGNE-D'AVAL</v>
      </c>
      <c r="E17879" s="38" t="s">
        <v>278</v>
      </c>
      <c r="F17879" s="38" t="s">
        <v>119</v>
      </c>
      <c r="G17879" s="49" t="str">
        <f t="shared" si="1"/>
        <v>11300</v>
      </c>
      <c r="H17879" s="49">
        <f t="shared" si="2"/>
        <v>11120</v>
      </c>
    </row>
    <row r="17880">
      <c r="A17880" s="48" t="s">
        <v>9026</v>
      </c>
      <c r="B17880" s="38">
        <v>21367.0</v>
      </c>
      <c r="C17880" s="38" t="s">
        <v>22304</v>
      </c>
      <c r="D17880" s="38" t="str">
        <f>IFERROR(__xludf.DUMMYFUNCTION("REGEXREPLACE(C17880,""-\d+(.*)|--\d+(.*)"","""")"),"MAGNY-MONTARLOT")</f>
        <v>MAGNY-MONTARLOT</v>
      </c>
      <c r="E17880" s="38" t="s">
        <v>105</v>
      </c>
      <c r="F17880" s="38" t="s">
        <v>106</v>
      </c>
      <c r="G17880" s="49" t="str">
        <f t="shared" si="1"/>
        <v>21130</v>
      </c>
      <c r="H17880" s="49">
        <f t="shared" si="2"/>
        <v>21367</v>
      </c>
    </row>
    <row r="17881">
      <c r="A17881" s="48" t="s">
        <v>3967</v>
      </c>
      <c r="B17881" s="38">
        <v>50171.0</v>
      </c>
      <c r="C17881" s="38" t="s">
        <v>22305</v>
      </c>
      <c r="D17881" s="38" t="str">
        <f>IFERROR(__xludf.DUMMYFUNCTION("REGEXREPLACE(C17881,""-\d+(.*)|--\d+(.*)"","""")"),"ECULLEVILLE")</f>
        <v>ECULLEVILLE</v>
      </c>
      <c r="E17881" s="38" t="s">
        <v>157</v>
      </c>
      <c r="F17881" s="38" t="s">
        <v>138</v>
      </c>
      <c r="G17881" s="49" t="str">
        <f t="shared" si="1"/>
        <v>50440</v>
      </c>
      <c r="H17881" s="49">
        <f t="shared" si="2"/>
        <v>50171</v>
      </c>
    </row>
    <row r="17882">
      <c r="A17882" s="48" t="s">
        <v>6025</v>
      </c>
      <c r="B17882" s="38">
        <v>31183.0</v>
      </c>
      <c r="C17882" s="38" t="s">
        <v>22306</v>
      </c>
      <c r="D17882" s="38" t="str">
        <f>IFERROR(__xludf.DUMMYFUNCTION("REGEXREPLACE(C17882,""-\d+(.*)|--\d+(.*)"","""")"),"FIGAROL")</f>
        <v>FIGAROL</v>
      </c>
      <c r="E17882" s="38" t="s">
        <v>93</v>
      </c>
      <c r="F17882" s="38" t="s">
        <v>94</v>
      </c>
      <c r="G17882" s="49" t="str">
        <f t="shared" si="1"/>
        <v>31260</v>
      </c>
      <c r="H17882" s="49">
        <f t="shared" si="2"/>
        <v>31183</v>
      </c>
    </row>
    <row r="17883">
      <c r="A17883" s="48" t="s">
        <v>14600</v>
      </c>
      <c r="B17883" s="38">
        <v>12036.0</v>
      </c>
      <c r="C17883" s="38" t="s">
        <v>22307</v>
      </c>
      <c r="D17883" s="38" t="str">
        <f>IFERROR(__xludf.DUMMYFUNCTION("REGEXREPLACE(C17883,""-\d+(.*)|--\d+(.*)"","""")"),"BROMMAT")</f>
        <v>BROMMAT</v>
      </c>
      <c r="E17883" s="38" t="s">
        <v>465</v>
      </c>
      <c r="F17883" s="38" t="s">
        <v>94</v>
      </c>
      <c r="G17883" s="49" t="str">
        <f t="shared" si="1"/>
        <v>12600</v>
      </c>
      <c r="H17883" s="49">
        <f t="shared" si="2"/>
        <v>12036</v>
      </c>
    </row>
    <row r="17884">
      <c r="A17884" s="48" t="s">
        <v>2247</v>
      </c>
      <c r="B17884" s="38">
        <v>59145.0</v>
      </c>
      <c r="C17884" s="38" t="s">
        <v>22308</v>
      </c>
      <c r="D17884" s="38" t="str">
        <f>IFERROR(__xludf.DUMMYFUNCTION("REGEXREPLACE(C17884,""-\d+(.*)|--\d+(.*)"","""")"),"CHEMY")</f>
        <v>CHEMY</v>
      </c>
      <c r="E17884" s="38" t="s">
        <v>85</v>
      </c>
      <c r="F17884" s="38" t="s">
        <v>86</v>
      </c>
      <c r="G17884" s="49" t="str">
        <f t="shared" si="1"/>
        <v>59147</v>
      </c>
      <c r="H17884" s="49">
        <f t="shared" si="2"/>
        <v>59145</v>
      </c>
    </row>
    <row r="17885">
      <c r="A17885" s="48" t="s">
        <v>1422</v>
      </c>
      <c r="B17885" s="38">
        <v>14639.0</v>
      </c>
      <c r="C17885" s="38" t="s">
        <v>22309</v>
      </c>
      <c r="D17885" s="38" t="str">
        <f>IFERROR(__xludf.DUMMYFUNCTION("REGEXREPLACE(C17885,""-\d+(.*)|--\d+(.*)"","""")"),"SAINT-OUEN-LE-PIN")</f>
        <v>SAINT-OUEN-LE-PIN</v>
      </c>
      <c r="E17885" s="38" t="s">
        <v>137</v>
      </c>
      <c r="F17885" s="38" t="s">
        <v>138</v>
      </c>
      <c r="G17885" s="49" t="str">
        <f t="shared" si="1"/>
        <v>14340</v>
      </c>
      <c r="H17885" s="49">
        <f t="shared" si="2"/>
        <v>14639</v>
      </c>
    </row>
    <row r="17886">
      <c r="A17886" s="48" t="s">
        <v>1843</v>
      </c>
      <c r="B17886" s="38">
        <v>71179.0</v>
      </c>
      <c r="C17886" s="38" t="s">
        <v>22310</v>
      </c>
      <c r="D17886" s="38" t="str">
        <f>IFERROR(__xludf.DUMMYFUNCTION("REGEXREPLACE(C17886,""-\d+(.*)|--\d+(.*)"","""")"),"DOMPIERRE-SOUS-SANVIGNES")</f>
        <v>DOMPIERRE-SOUS-SANVIGNES</v>
      </c>
      <c r="E17886" s="38" t="s">
        <v>344</v>
      </c>
      <c r="F17886" s="38" t="s">
        <v>106</v>
      </c>
      <c r="G17886" s="49" t="str">
        <f t="shared" si="1"/>
        <v>71420</v>
      </c>
      <c r="H17886" s="49">
        <f t="shared" si="2"/>
        <v>71179</v>
      </c>
    </row>
    <row r="17887">
      <c r="A17887" s="48" t="s">
        <v>3831</v>
      </c>
      <c r="B17887" s="38">
        <v>63472.0</v>
      </c>
      <c r="C17887" s="38" t="s">
        <v>22311</v>
      </c>
      <c r="D17887" s="38" t="str">
        <f>IFERROR(__xludf.DUMMYFUNCTION("REGEXREPLACE(C17887,""-\d+(.*)|--\d+(.*)"","""")"),"YRONDE-ET-BURON")</f>
        <v>YRONDE-ET-BURON</v>
      </c>
      <c r="E17887" s="38" t="s">
        <v>353</v>
      </c>
      <c r="F17887" s="38" t="s">
        <v>161</v>
      </c>
      <c r="G17887" s="49" t="str">
        <f t="shared" si="1"/>
        <v>63270</v>
      </c>
      <c r="H17887" s="49">
        <f t="shared" si="2"/>
        <v>63472</v>
      </c>
    </row>
    <row r="17888">
      <c r="A17888" s="48" t="s">
        <v>5805</v>
      </c>
      <c r="B17888" s="38">
        <v>21049.0</v>
      </c>
      <c r="C17888" s="38" t="s">
        <v>22312</v>
      </c>
      <c r="D17888" s="38" t="str">
        <f>IFERROR(__xludf.DUMMYFUNCTION("REGEXREPLACE(C17888,""-\d+(.*)|--\d+(.*)"","""")"),"BARJON")</f>
        <v>BARJON</v>
      </c>
      <c r="E17888" s="38" t="s">
        <v>105</v>
      </c>
      <c r="F17888" s="38" t="s">
        <v>106</v>
      </c>
      <c r="G17888" s="49" t="str">
        <f t="shared" si="1"/>
        <v>21580</v>
      </c>
      <c r="H17888" s="49">
        <f t="shared" si="2"/>
        <v>21049</v>
      </c>
    </row>
    <row r="17889">
      <c r="A17889" s="48" t="s">
        <v>5103</v>
      </c>
      <c r="B17889" s="38">
        <v>37010.0</v>
      </c>
      <c r="C17889" s="38" t="s">
        <v>22313</v>
      </c>
      <c r="D17889" s="38" t="str">
        <f>IFERROR(__xludf.DUMMYFUNCTION("REGEXREPLACE(C17889,""-\d+(.*)|--\d+(.*)"","""")"),"AUZOUER-EN-TOURAINE")</f>
        <v>AUZOUER-EN-TOURAINE</v>
      </c>
      <c r="E17889" s="38" t="s">
        <v>205</v>
      </c>
      <c r="F17889" s="38" t="s">
        <v>123</v>
      </c>
      <c r="G17889" s="49" t="str">
        <f t="shared" si="1"/>
        <v>37110</v>
      </c>
      <c r="H17889" s="49">
        <f t="shared" si="2"/>
        <v>37010</v>
      </c>
    </row>
    <row r="17890">
      <c r="A17890" s="48" t="s">
        <v>1402</v>
      </c>
      <c r="B17890" s="38">
        <v>44108.0</v>
      </c>
      <c r="C17890" s="38" t="s">
        <v>22314</v>
      </c>
      <c r="D17890" s="38" t="str">
        <f>IFERROR(__xludf.DUMMYFUNCTION("REGEXREPLACE(C17890,""-\d+(.*)|--\d+(.*)"","""")"),"MOUZILLON")</f>
        <v>MOUZILLON</v>
      </c>
      <c r="E17890" s="38" t="s">
        <v>759</v>
      </c>
      <c r="F17890" s="38" t="s">
        <v>180</v>
      </c>
      <c r="G17890" s="49" t="str">
        <f t="shared" si="1"/>
        <v>44330</v>
      </c>
      <c r="H17890" s="49">
        <f t="shared" si="2"/>
        <v>44108</v>
      </c>
    </row>
    <row r="17891">
      <c r="A17891" s="48" t="s">
        <v>8579</v>
      </c>
      <c r="B17891" s="38">
        <v>32094.0</v>
      </c>
      <c r="C17891" s="38" t="s">
        <v>22315</v>
      </c>
      <c r="D17891" s="38" t="str">
        <f>IFERROR(__xludf.DUMMYFUNCTION("REGEXREPLACE(C17891,""-\d+(.*)|--\d+(.*)"","""")"),"CAUPENNE-D'ARMAGNAC")</f>
        <v>CAUPENNE-D'ARMAGNAC</v>
      </c>
      <c r="E17891" s="38" t="s">
        <v>440</v>
      </c>
      <c r="F17891" s="38" t="s">
        <v>94</v>
      </c>
      <c r="G17891" s="49" t="str">
        <f t="shared" si="1"/>
        <v>32110</v>
      </c>
      <c r="H17891" s="49">
        <f t="shared" si="2"/>
        <v>32094</v>
      </c>
    </row>
    <row r="17892">
      <c r="A17892" s="48" t="s">
        <v>22316</v>
      </c>
      <c r="B17892" s="38">
        <v>92014.0</v>
      </c>
      <c r="C17892" s="38" t="s">
        <v>22317</v>
      </c>
      <c r="D17892" s="38" t="str">
        <f>IFERROR(__xludf.DUMMYFUNCTION("REGEXREPLACE(C17892,""-\d+(.*)|--\d+(.*)"","""")"),"BOURG-LA-REINE")</f>
        <v>BOURG-LA-REINE</v>
      </c>
      <c r="E17892" s="38" t="s">
        <v>838</v>
      </c>
      <c r="F17892" s="38" t="s">
        <v>245</v>
      </c>
      <c r="G17892" s="49" t="str">
        <f t="shared" si="1"/>
        <v>92340</v>
      </c>
      <c r="H17892" s="49">
        <f t="shared" si="2"/>
        <v>92014</v>
      </c>
    </row>
    <row r="17893">
      <c r="A17893" s="48" t="s">
        <v>1102</v>
      </c>
      <c r="B17893" s="38">
        <v>35003.0</v>
      </c>
      <c r="C17893" s="38" t="s">
        <v>22318</v>
      </c>
      <c r="D17893" s="38" t="str">
        <f>IFERROR(__xludf.DUMMYFUNCTION("REGEXREPLACE(C17893,""-\d+(.*)|--\d+(.*)"","""")"),"ANDOUILLE-NEUVILLE")</f>
        <v>ANDOUILLE-NEUVILLE</v>
      </c>
      <c r="E17893" s="38" t="s">
        <v>347</v>
      </c>
      <c r="F17893" s="38" t="s">
        <v>90</v>
      </c>
      <c r="G17893" s="49" t="str">
        <f t="shared" si="1"/>
        <v>35250</v>
      </c>
      <c r="H17893" s="49">
        <f t="shared" si="2"/>
        <v>35003</v>
      </c>
    </row>
    <row r="17894">
      <c r="A17894" s="48" t="s">
        <v>8665</v>
      </c>
      <c r="B17894" s="38">
        <v>83145.0</v>
      </c>
      <c r="C17894" s="38" t="s">
        <v>22319</v>
      </c>
      <c r="D17894" s="38" t="str">
        <f>IFERROR(__xludf.DUMMYFUNCTION("REGEXREPLACE(C17894,""-\d+(.*)|--\d+(.*)"","""")"),"VARAGES")</f>
        <v>VARAGES</v>
      </c>
      <c r="E17894" s="38" t="s">
        <v>813</v>
      </c>
      <c r="F17894" s="38" t="s">
        <v>228</v>
      </c>
      <c r="G17894" s="49" t="str">
        <f t="shared" si="1"/>
        <v>83670</v>
      </c>
      <c r="H17894" s="49">
        <f t="shared" si="2"/>
        <v>83145</v>
      </c>
    </row>
    <row r="17895">
      <c r="A17895" s="48" t="s">
        <v>4586</v>
      </c>
      <c r="B17895" s="38">
        <v>40089.0</v>
      </c>
      <c r="C17895" s="38" t="s">
        <v>22320</v>
      </c>
      <c r="D17895" s="38" t="str">
        <f>IFERROR(__xludf.DUMMYFUNCTION("REGEXREPLACE(C17895,""-\d+(.*)|--\d+(.*)"","""")"),"DOAZIT")</f>
        <v>DOAZIT</v>
      </c>
      <c r="E17895" s="38" t="s">
        <v>281</v>
      </c>
      <c r="F17895" s="38" t="s">
        <v>252</v>
      </c>
      <c r="G17895" s="49" t="str">
        <f t="shared" si="1"/>
        <v>40700</v>
      </c>
      <c r="H17895" s="49">
        <f t="shared" si="2"/>
        <v>40089</v>
      </c>
    </row>
    <row r="17896">
      <c r="A17896" s="48" t="s">
        <v>8595</v>
      </c>
      <c r="B17896" s="38">
        <v>42225.0</v>
      </c>
      <c r="C17896" s="38" t="s">
        <v>22321</v>
      </c>
      <c r="D17896" s="38" t="str">
        <f>IFERROR(__xludf.DUMMYFUNCTION("REGEXREPLACE(C17896,""-\d+(.*)|--\d+(.*)"","""")"),"GENILAC")</f>
        <v>GENILAC</v>
      </c>
      <c r="E17896" s="38" t="s">
        <v>166</v>
      </c>
      <c r="F17896" s="38" t="s">
        <v>102</v>
      </c>
      <c r="G17896" s="49" t="str">
        <f t="shared" si="1"/>
        <v>42800</v>
      </c>
      <c r="H17896" s="49">
        <f t="shared" si="2"/>
        <v>42225</v>
      </c>
    </row>
    <row r="17897">
      <c r="A17897" s="48" t="s">
        <v>22322</v>
      </c>
      <c r="B17897" s="38">
        <v>13054.0</v>
      </c>
      <c r="C17897" s="38" t="s">
        <v>22323</v>
      </c>
      <c r="D17897" s="38" t="str">
        <f>IFERROR(__xludf.DUMMYFUNCTION("REGEXREPLACE(C17897,""-\d+(.*)|--\d+(.*)"","""")"),"MARIGNANE")</f>
        <v>MARIGNANE</v>
      </c>
      <c r="E17897" s="38" t="s">
        <v>980</v>
      </c>
      <c r="F17897" s="38" t="s">
        <v>228</v>
      </c>
      <c r="G17897" s="49" t="str">
        <f t="shared" si="1"/>
        <v>13700</v>
      </c>
      <c r="H17897" s="49">
        <f t="shared" si="2"/>
        <v>13054</v>
      </c>
    </row>
    <row r="17898">
      <c r="A17898" s="48" t="s">
        <v>3783</v>
      </c>
      <c r="B17898" s="38">
        <v>62631.0</v>
      </c>
      <c r="C17898" s="38" t="s">
        <v>22324</v>
      </c>
      <c r="D17898" s="38" t="str">
        <f>IFERROR(__xludf.DUMMYFUNCTION("REGEXREPLACE(C17898,""-\d+(.*)|--\d+(.*)"","""")"),"NUNCQ-HAUTECOTE")</f>
        <v>NUNCQ-HAUTECOTE</v>
      </c>
      <c r="E17898" s="38" t="s">
        <v>109</v>
      </c>
      <c r="F17898" s="38" t="s">
        <v>86</v>
      </c>
      <c r="G17898" s="49" t="str">
        <f t="shared" si="1"/>
        <v>62270</v>
      </c>
      <c r="H17898" s="49">
        <f t="shared" si="2"/>
        <v>62631</v>
      </c>
    </row>
    <row r="17899">
      <c r="A17899" s="48" t="s">
        <v>2482</v>
      </c>
      <c r="B17899" s="38">
        <v>28342.0</v>
      </c>
      <c r="C17899" s="38" t="s">
        <v>22325</v>
      </c>
      <c r="D17899" s="38" t="str">
        <f>IFERROR(__xludf.DUMMYFUNCTION("REGEXREPLACE(C17899,""-\d+(.*)|--\d+(.*)"","""")"),"SAINT-JEAN-PIERRE-FIXTE")</f>
        <v>SAINT-JEAN-PIERRE-FIXTE</v>
      </c>
      <c r="E17899" s="38" t="s">
        <v>300</v>
      </c>
      <c r="F17899" s="38" t="s">
        <v>123</v>
      </c>
      <c r="G17899" s="49" t="str">
        <f t="shared" si="1"/>
        <v>28400</v>
      </c>
      <c r="H17899" s="49">
        <f t="shared" si="2"/>
        <v>28342</v>
      </c>
    </row>
    <row r="17900">
      <c r="A17900" s="48" t="s">
        <v>5534</v>
      </c>
      <c r="B17900" s="38">
        <v>54318.0</v>
      </c>
      <c r="C17900" s="38" t="s">
        <v>22326</v>
      </c>
      <c r="D17900" s="38" t="str">
        <f>IFERROR(__xludf.DUMMYFUNCTION("REGEXREPLACE(C17900,""-\d+(.*)|--\d+(.*)"","""")"),"LIVERDUN")</f>
        <v>LIVERDUN</v>
      </c>
      <c r="E17900" s="38" t="s">
        <v>548</v>
      </c>
      <c r="F17900" s="38" t="s">
        <v>195</v>
      </c>
      <c r="G17900" s="49" t="str">
        <f t="shared" si="1"/>
        <v>54460</v>
      </c>
      <c r="H17900" s="49">
        <f t="shared" si="2"/>
        <v>54318</v>
      </c>
    </row>
    <row r="17901">
      <c r="A17901" s="48" t="s">
        <v>5905</v>
      </c>
      <c r="B17901" s="38">
        <v>7293.0</v>
      </c>
      <c r="C17901" s="38" t="s">
        <v>22327</v>
      </c>
      <c r="D17901" s="38" t="str">
        <f>IFERROR(__xludf.DUMMYFUNCTION("REGEXREPLACE(C17901,""-\d+(.*)|--\d+(.*)"","""")"),"SAINT-ROMAIN-DE-LERPS")</f>
        <v>SAINT-ROMAIN-DE-LERPS</v>
      </c>
      <c r="E17901" s="38" t="s">
        <v>144</v>
      </c>
      <c r="F17901" s="38" t="s">
        <v>102</v>
      </c>
      <c r="G17901" s="49" t="str">
        <f t="shared" si="1"/>
        <v>07130</v>
      </c>
      <c r="H17901" s="49" t="str">
        <f t="shared" si="2"/>
        <v>07293</v>
      </c>
    </row>
    <row r="17902">
      <c r="A17902" s="48" t="s">
        <v>22328</v>
      </c>
      <c r="B17902" s="38">
        <v>59086.0</v>
      </c>
      <c r="C17902" s="38" t="s">
        <v>22329</v>
      </c>
      <c r="D17902" s="38" t="str">
        <f>IFERROR(__xludf.DUMMYFUNCTION("REGEXREPLACE(C17902,""-\d+(.*)|--\d+(.*)"","""")"),"BOESCHEPE")</f>
        <v>BOESCHEPE</v>
      </c>
      <c r="E17902" s="38" t="s">
        <v>85</v>
      </c>
      <c r="F17902" s="38" t="s">
        <v>86</v>
      </c>
      <c r="G17902" s="49" t="str">
        <f t="shared" si="1"/>
        <v>59299</v>
      </c>
      <c r="H17902" s="49">
        <f t="shared" si="2"/>
        <v>59086</v>
      </c>
    </row>
    <row r="17903">
      <c r="A17903" s="48" t="s">
        <v>1768</v>
      </c>
      <c r="B17903" s="38">
        <v>53221.0</v>
      </c>
      <c r="C17903" s="38" t="s">
        <v>22330</v>
      </c>
      <c r="D17903" s="38" t="str">
        <f>IFERROR(__xludf.DUMMYFUNCTION("REGEXREPLACE(C17903,""-\d+(.*)|--\d+(.*)"","""")"),"SAINT-GEORGES-SUR-ERVE")</f>
        <v>SAINT-GEORGES-SUR-ERVE</v>
      </c>
      <c r="E17903" s="38" t="s">
        <v>518</v>
      </c>
      <c r="F17903" s="38" t="s">
        <v>180</v>
      </c>
      <c r="G17903" s="49" t="str">
        <f t="shared" si="1"/>
        <v>53600</v>
      </c>
      <c r="H17903" s="49">
        <f t="shared" si="2"/>
        <v>53221</v>
      </c>
    </row>
    <row r="17904">
      <c r="A17904" s="48" t="s">
        <v>2893</v>
      </c>
      <c r="B17904" s="38">
        <v>27154.0</v>
      </c>
      <c r="C17904" s="38" t="s">
        <v>22331</v>
      </c>
      <c r="D17904" s="38" t="str">
        <f>IFERROR(__xludf.DUMMYFUNCTION("REGEXREPLACE(C17904,""-\d+(.*)|--\d+(.*)"","""")"),"CHAVIGNY-BAILLEUL")</f>
        <v>CHAVIGNY-BAILLEUL</v>
      </c>
      <c r="E17904" s="38" t="s">
        <v>241</v>
      </c>
      <c r="F17904" s="38" t="s">
        <v>134</v>
      </c>
      <c r="G17904" s="49" t="str">
        <f t="shared" si="1"/>
        <v>27220</v>
      </c>
      <c r="H17904" s="49">
        <f t="shared" si="2"/>
        <v>27154</v>
      </c>
    </row>
    <row r="17905">
      <c r="A17905" s="48" t="s">
        <v>1932</v>
      </c>
      <c r="B17905" s="38">
        <v>70021.0</v>
      </c>
      <c r="C17905" s="38" t="s">
        <v>22332</v>
      </c>
      <c r="D17905" s="38" t="str">
        <f>IFERROR(__xludf.DUMMYFUNCTION("REGEXREPLACE(C17905,""-\d+(.*)|--\d+(.*)"","""")"),"ANDORNAY")</f>
        <v>ANDORNAY</v>
      </c>
      <c r="E17905" s="38" t="s">
        <v>956</v>
      </c>
      <c r="F17905" s="38" t="s">
        <v>214</v>
      </c>
      <c r="G17905" s="49" t="str">
        <f t="shared" si="1"/>
        <v>70200</v>
      </c>
      <c r="H17905" s="49">
        <f t="shared" si="2"/>
        <v>70021</v>
      </c>
    </row>
    <row r="17906">
      <c r="A17906" s="48" t="s">
        <v>2128</v>
      </c>
      <c r="B17906" s="38">
        <v>2482.0</v>
      </c>
      <c r="C17906" s="38" t="s">
        <v>22333</v>
      </c>
      <c r="D17906" s="38" t="str">
        <f>IFERROR(__xludf.DUMMYFUNCTION("REGEXREPLACE(C17906,""-\d+(.*)|--\d+(.*)"","""")"),"MEURIVAL")</f>
        <v>MEURIVAL</v>
      </c>
      <c r="E17906" s="38" t="s">
        <v>191</v>
      </c>
      <c r="F17906" s="38" t="s">
        <v>113</v>
      </c>
      <c r="G17906" s="49" t="str">
        <f t="shared" si="1"/>
        <v>02160</v>
      </c>
      <c r="H17906" s="49" t="str">
        <f t="shared" si="2"/>
        <v>02482</v>
      </c>
    </row>
    <row r="17907">
      <c r="A17907" s="48" t="s">
        <v>22334</v>
      </c>
      <c r="B17907" s="38">
        <v>91027.0</v>
      </c>
      <c r="C17907" s="38" t="s">
        <v>22335</v>
      </c>
      <c r="D17907" s="38" t="str">
        <f>IFERROR(__xludf.DUMMYFUNCTION("REGEXREPLACE(C17907,""-\d+(.*)|--\d+(.*)"","""")"),"ATHIS-MONS")</f>
        <v>ATHIS-MONS</v>
      </c>
      <c r="E17907" s="38" t="s">
        <v>756</v>
      </c>
      <c r="F17907" s="38" t="s">
        <v>245</v>
      </c>
      <c r="G17907" s="49" t="str">
        <f t="shared" si="1"/>
        <v>91200</v>
      </c>
      <c r="H17907" s="49">
        <f t="shared" si="2"/>
        <v>91027</v>
      </c>
    </row>
    <row r="17908">
      <c r="A17908" s="48" t="s">
        <v>1400</v>
      </c>
      <c r="B17908" s="38">
        <v>21600.0</v>
      </c>
      <c r="C17908" s="38" t="s">
        <v>22336</v>
      </c>
      <c r="D17908" s="38" t="str">
        <f>IFERROR(__xludf.DUMMYFUNCTION("REGEXREPLACE(C17908,""-\d+(.*)|--\d+(.*)"","""")"),"SEMAREY")</f>
        <v>SEMAREY</v>
      </c>
      <c r="E17908" s="38" t="s">
        <v>105</v>
      </c>
      <c r="F17908" s="38" t="s">
        <v>106</v>
      </c>
      <c r="G17908" s="49" t="str">
        <f t="shared" si="1"/>
        <v>21320</v>
      </c>
      <c r="H17908" s="49">
        <f t="shared" si="2"/>
        <v>21600</v>
      </c>
    </row>
    <row r="17909">
      <c r="A17909" s="48" t="s">
        <v>1130</v>
      </c>
      <c r="B17909" s="38">
        <v>71349.0</v>
      </c>
      <c r="C17909" s="38" t="s">
        <v>22337</v>
      </c>
      <c r="D17909" s="38" t="str">
        <f>IFERROR(__xludf.DUMMYFUNCTION("REGEXREPLACE(C17909,""-\d+(.*)|--\d+(.*)"","""")"),"LA PETITE-VERRIERE")</f>
        <v>LA PETITE-VERRIERE</v>
      </c>
      <c r="E17909" s="38" t="s">
        <v>344</v>
      </c>
      <c r="F17909" s="38" t="s">
        <v>106</v>
      </c>
      <c r="G17909" s="49" t="str">
        <f t="shared" si="1"/>
        <v>71400</v>
      </c>
      <c r="H17909" s="49">
        <f t="shared" si="2"/>
        <v>71349</v>
      </c>
    </row>
    <row r="17910">
      <c r="A17910" s="48" t="s">
        <v>9026</v>
      </c>
      <c r="B17910" s="38">
        <v>21371.0</v>
      </c>
      <c r="C17910" s="38" t="s">
        <v>22338</v>
      </c>
      <c r="D17910" s="38" t="str">
        <f>IFERROR(__xludf.DUMMYFUNCTION("REGEXREPLACE(C17910,""-\d+(.*)|--\d+(.*)"","""")"),"LES MAILLYS")</f>
        <v>LES MAILLYS</v>
      </c>
      <c r="E17910" s="38" t="s">
        <v>105</v>
      </c>
      <c r="F17910" s="38" t="s">
        <v>106</v>
      </c>
      <c r="G17910" s="49" t="str">
        <f t="shared" si="1"/>
        <v>21130</v>
      </c>
      <c r="H17910" s="49">
        <f t="shared" si="2"/>
        <v>21371</v>
      </c>
    </row>
    <row r="17911">
      <c r="A17911" s="48" t="s">
        <v>2116</v>
      </c>
      <c r="B17911" s="38">
        <v>26256.0</v>
      </c>
      <c r="C17911" s="38" t="s">
        <v>22339</v>
      </c>
      <c r="D17911" s="38" t="str">
        <f>IFERROR(__xludf.DUMMYFUNCTION("REGEXREPLACE(C17911,""-\d+(.*)|--\d+(.*)"","""")"),"PROPIAC")</f>
        <v>PROPIAC</v>
      </c>
      <c r="E17911" s="38" t="s">
        <v>126</v>
      </c>
      <c r="F17911" s="38" t="s">
        <v>102</v>
      </c>
      <c r="G17911" s="49" t="str">
        <f t="shared" si="1"/>
        <v>26170</v>
      </c>
      <c r="H17911" s="49">
        <f t="shared" si="2"/>
        <v>26256</v>
      </c>
    </row>
    <row r="17912">
      <c r="A17912" s="48" t="s">
        <v>12575</v>
      </c>
      <c r="B17912" s="38">
        <v>73256.0</v>
      </c>
      <c r="C17912" s="38" t="s">
        <v>22340</v>
      </c>
      <c r="D17912" s="38" t="str">
        <f>IFERROR(__xludf.DUMMYFUNCTION("REGEXREPLACE(C17912,""-\d+(.*)|--\d+(.*)"","""")"),"SAINT-MARTIN-D'ARC")</f>
        <v>SAINT-MARTIN-D'ARC</v>
      </c>
      <c r="E17912" s="38" t="s">
        <v>306</v>
      </c>
      <c r="F17912" s="38" t="s">
        <v>102</v>
      </c>
      <c r="G17912" s="49" t="str">
        <f t="shared" si="1"/>
        <v>73140</v>
      </c>
      <c r="H17912" s="49">
        <f t="shared" si="2"/>
        <v>73256</v>
      </c>
    </row>
    <row r="17913">
      <c r="A17913" s="48" t="s">
        <v>5170</v>
      </c>
      <c r="B17913" s="38">
        <v>47062.0</v>
      </c>
      <c r="C17913" s="38" t="s">
        <v>22341</v>
      </c>
      <c r="D17913" s="38" t="str">
        <f>IFERROR(__xludf.DUMMYFUNCTION("REGEXREPLACE(C17913,""-\d+(.*)|--\d+(.*)"","""")"),"CAUZAC")</f>
        <v>CAUZAC</v>
      </c>
      <c r="E17913" s="38" t="s">
        <v>251</v>
      </c>
      <c r="F17913" s="38" t="s">
        <v>252</v>
      </c>
      <c r="G17913" s="49" t="str">
        <f t="shared" si="1"/>
        <v>47470</v>
      </c>
      <c r="H17913" s="49">
        <f t="shared" si="2"/>
        <v>47062</v>
      </c>
    </row>
    <row r="17914">
      <c r="A17914" s="48" t="s">
        <v>4844</v>
      </c>
      <c r="B17914" s="38">
        <v>14394.0</v>
      </c>
      <c r="C17914" s="38" t="s">
        <v>10573</v>
      </c>
      <c r="D17914" s="38" t="str">
        <f>IFERROR(__xludf.DUMMYFUNCTION("REGEXREPLACE(C17914,""-\d+(.*)|--\d+(.*)"","""")"),"MAIZIERES")</f>
        <v>MAIZIERES</v>
      </c>
      <c r="E17914" s="38" t="s">
        <v>137</v>
      </c>
      <c r="F17914" s="38" t="s">
        <v>138</v>
      </c>
      <c r="G17914" s="49" t="str">
        <f t="shared" si="1"/>
        <v>14190</v>
      </c>
      <c r="H17914" s="49">
        <f t="shared" si="2"/>
        <v>14394</v>
      </c>
    </row>
    <row r="17915">
      <c r="A17915" s="48" t="s">
        <v>1534</v>
      </c>
      <c r="B17915" s="38">
        <v>19283.0</v>
      </c>
      <c r="C17915" s="38" t="s">
        <v>3777</v>
      </c>
      <c r="D17915" s="38" t="str">
        <f>IFERROR(__xludf.DUMMYFUNCTION("REGEXREPLACE(C17915,""-\d+(.*)|--\d+(.*)"","""")"),"VEYRIERES")</f>
        <v>VEYRIERES</v>
      </c>
      <c r="E17915" s="38" t="s">
        <v>271</v>
      </c>
      <c r="F17915" s="38" t="s">
        <v>98</v>
      </c>
      <c r="G17915" s="49" t="str">
        <f t="shared" si="1"/>
        <v>19200</v>
      </c>
      <c r="H17915" s="49">
        <f t="shared" si="2"/>
        <v>19283</v>
      </c>
    </row>
    <row r="17916">
      <c r="A17916" s="48" t="s">
        <v>3080</v>
      </c>
      <c r="B17916" s="38">
        <v>71337.0</v>
      </c>
      <c r="C17916" s="38" t="s">
        <v>22342</v>
      </c>
      <c r="D17916" s="38" t="str">
        <f>IFERROR(__xludf.DUMMYFUNCTION("REGEXREPLACE(C17916,""-\d+(.*)|--\d+(.*)"","""")"),"OYE")</f>
        <v>OYE</v>
      </c>
      <c r="E17916" s="38" t="s">
        <v>344</v>
      </c>
      <c r="F17916" s="38" t="s">
        <v>106</v>
      </c>
      <c r="G17916" s="49" t="str">
        <f t="shared" si="1"/>
        <v>71800</v>
      </c>
      <c r="H17916" s="49">
        <f t="shared" si="2"/>
        <v>71337</v>
      </c>
    </row>
    <row r="17917">
      <c r="A17917" s="48" t="s">
        <v>5070</v>
      </c>
      <c r="B17917" s="38">
        <v>79314.0</v>
      </c>
      <c r="C17917" s="38" t="s">
        <v>22343</v>
      </c>
      <c r="D17917" s="38" t="str">
        <f>IFERROR(__xludf.DUMMYFUNCTION("REGEXREPLACE(C17917,""-\d+(.*)|--\d+(.*)"","""")"),"SOMPT")</f>
        <v>SOMPT</v>
      </c>
      <c r="E17917" s="38" t="s">
        <v>337</v>
      </c>
      <c r="F17917" s="38" t="s">
        <v>338</v>
      </c>
      <c r="G17917" s="49" t="str">
        <f t="shared" si="1"/>
        <v>79110</v>
      </c>
      <c r="H17917" s="49">
        <f t="shared" si="2"/>
        <v>79314</v>
      </c>
    </row>
    <row r="17918">
      <c r="A17918" s="48" t="s">
        <v>131</v>
      </c>
      <c r="B17918" s="38">
        <v>76627.0</v>
      </c>
      <c r="C17918" s="38" t="s">
        <v>22344</v>
      </c>
      <c r="D17918" s="38" t="str">
        <f>IFERROR(__xludf.DUMMYFUNCTION("REGEXREPLACE(C17918,""-\d+(.*)|--\d+(.*)"","""")"),"SAINT-NICOLAS-DE-LA-TAILLE")</f>
        <v>SAINT-NICOLAS-DE-LA-TAILLE</v>
      </c>
      <c r="E17918" s="38" t="s">
        <v>133</v>
      </c>
      <c r="F17918" s="38" t="s">
        <v>134</v>
      </c>
      <c r="G17918" s="49" t="str">
        <f t="shared" si="1"/>
        <v>76170</v>
      </c>
      <c r="H17918" s="49">
        <f t="shared" si="2"/>
        <v>76627</v>
      </c>
    </row>
    <row r="17919">
      <c r="A17919" s="48" t="s">
        <v>10084</v>
      </c>
      <c r="B17919" s="38">
        <v>35363.0</v>
      </c>
      <c r="C17919" s="38" t="s">
        <v>22345</v>
      </c>
      <c r="D17919" s="38" t="str">
        <f>IFERROR(__xludf.DUMMYFUNCTION("REGEXREPLACE(C17919,""-\d+(.*)|--\d+(.*)"","""")"),"PONT-PEAN")</f>
        <v>PONT-PEAN</v>
      </c>
      <c r="E17919" s="38" t="s">
        <v>347</v>
      </c>
      <c r="F17919" s="38" t="s">
        <v>90</v>
      </c>
      <c r="G17919" s="49" t="str">
        <f t="shared" si="1"/>
        <v>35131</v>
      </c>
      <c r="H17919" s="49">
        <f t="shared" si="2"/>
        <v>35363</v>
      </c>
    </row>
    <row r="17920">
      <c r="A17920" s="48" t="s">
        <v>21112</v>
      </c>
      <c r="B17920" s="38">
        <v>67141.0</v>
      </c>
      <c r="C17920" s="38" t="s">
        <v>22346</v>
      </c>
      <c r="D17920" s="38" t="str">
        <f>IFERROR(__xludf.DUMMYFUNCTION("REGEXREPLACE(C17920,""-\d+(.*)|--\d+(.*)"","""")"),"FORSTHEIM")</f>
        <v>FORSTHEIM</v>
      </c>
      <c r="E17920" s="38" t="s">
        <v>210</v>
      </c>
      <c r="F17920" s="38" t="s">
        <v>151</v>
      </c>
      <c r="G17920" s="49" t="str">
        <f t="shared" si="1"/>
        <v>67580</v>
      </c>
      <c r="H17920" s="49">
        <f t="shared" si="2"/>
        <v>67141</v>
      </c>
    </row>
    <row r="17921">
      <c r="A17921" s="48" t="s">
        <v>1452</v>
      </c>
      <c r="B17921" s="38">
        <v>55106.0</v>
      </c>
      <c r="C17921" s="38" t="s">
        <v>22347</v>
      </c>
      <c r="D17921" s="38" t="str">
        <f>IFERROR(__xludf.DUMMYFUNCTION("REGEXREPLACE(C17921,""-\d+(.*)|--\d+(.*)"","""")"),"CHATTANCOURT")</f>
        <v>CHATTANCOURT</v>
      </c>
      <c r="E17921" s="38" t="s">
        <v>322</v>
      </c>
      <c r="F17921" s="38" t="s">
        <v>195</v>
      </c>
      <c r="G17921" s="49" t="str">
        <f t="shared" si="1"/>
        <v>55100</v>
      </c>
      <c r="H17921" s="49">
        <f t="shared" si="2"/>
        <v>55106</v>
      </c>
    </row>
    <row r="17922">
      <c r="A17922" s="48" t="s">
        <v>12834</v>
      </c>
      <c r="B17922" s="38">
        <v>73214.0</v>
      </c>
      <c r="C17922" s="38" t="s">
        <v>22348</v>
      </c>
      <c r="D17922" s="38" t="str">
        <f>IFERROR(__xludf.DUMMYFUNCTION("REGEXREPLACE(C17922,""-\d+(.*)|--\d+(.*)"","""")"),"ROCHEFORT")</f>
        <v>ROCHEFORT</v>
      </c>
      <c r="E17922" s="38" t="s">
        <v>306</v>
      </c>
      <c r="F17922" s="38" t="s">
        <v>102</v>
      </c>
      <c r="G17922" s="49" t="str">
        <f t="shared" si="1"/>
        <v>73240</v>
      </c>
      <c r="H17922" s="49">
        <f t="shared" si="2"/>
        <v>73214</v>
      </c>
    </row>
    <row r="17923">
      <c r="A17923" s="48" t="s">
        <v>1959</v>
      </c>
      <c r="B17923" s="38">
        <v>82170.0</v>
      </c>
      <c r="C17923" s="38" t="s">
        <v>22349</v>
      </c>
      <c r="D17923" s="38" t="str">
        <f>IFERROR(__xludf.DUMMYFUNCTION("REGEXREPLACE(C17923,""-\d+(.*)|--\d+(.*)"","""")"),"SAINT-PAUL-D'ESPIS")</f>
        <v>SAINT-PAUL-D'ESPIS</v>
      </c>
      <c r="E17923" s="38" t="s">
        <v>570</v>
      </c>
      <c r="F17923" s="38" t="s">
        <v>94</v>
      </c>
      <c r="G17923" s="49" t="str">
        <f t="shared" si="1"/>
        <v>82400</v>
      </c>
      <c r="H17923" s="49">
        <f t="shared" si="2"/>
        <v>82170</v>
      </c>
    </row>
    <row r="17924">
      <c r="A17924" s="48" t="s">
        <v>1027</v>
      </c>
      <c r="B17924" s="38">
        <v>1340.0</v>
      </c>
      <c r="C17924" s="38" t="s">
        <v>22350</v>
      </c>
      <c r="D17924" s="38" t="str">
        <f>IFERROR(__xludf.DUMMYFUNCTION("REGEXREPLACE(C17924,""-\d+(.*)|--\d+(.*)"","""")"),"SAINT-BOIS")</f>
        <v>SAINT-BOIS</v>
      </c>
      <c r="E17924" s="38" t="s">
        <v>255</v>
      </c>
      <c r="F17924" s="38" t="s">
        <v>102</v>
      </c>
      <c r="G17924" s="49" t="str">
        <f t="shared" si="1"/>
        <v>01300</v>
      </c>
      <c r="H17924" s="49" t="str">
        <f t="shared" si="2"/>
        <v>01340</v>
      </c>
    </row>
    <row r="17925">
      <c r="A17925" s="48" t="s">
        <v>9436</v>
      </c>
      <c r="B17925" s="38">
        <v>63452.0</v>
      </c>
      <c r="C17925" s="38" t="s">
        <v>3348</v>
      </c>
      <c r="D17925" s="38" t="str">
        <f>IFERROR(__xludf.DUMMYFUNCTION("REGEXREPLACE(C17925,""-\d+(.*)|--\d+(.*)"","""")"),"VERRIERES")</f>
        <v>VERRIERES</v>
      </c>
      <c r="E17925" s="38" t="s">
        <v>353</v>
      </c>
      <c r="F17925" s="38" t="s">
        <v>161</v>
      </c>
      <c r="G17925" s="49" t="str">
        <f t="shared" si="1"/>
        <v>63320</v>
      </c>
      <c r="H17925" s="49">
        <f t="shared" si="2"/>
        <v>63452</v>
      </c>
    </row>
    <row r="17926">
      <c r="A17926" s="48" t="s">
        <v>1841</v>
      </c>
      <c r="B17926" s="38">
        <v>27268.0</v>
      </c>
      <c r="C17926" s="38" t="s">
        <v>2013</v>
      </c>
      <c r="D17926" s="38" t="str">
        <f>IFERROR(__xludf.DUMMYFUNCTION("REGEXREPLACE(C17926,""-\d+(.*)|--\d+(.*)"","""")"),"LE FRESNE")</f>
        <v>LE FRESNE</v>
      </c>
      <c r="E17926" s="38" t="s">
        <v>241</v>
      </c>
      <c r="F17926" s="38" t="s">
        <v>134</v>
      </c>
      <c r="G17926" s="49" t="str">
        <f t="shared" si="1"/>
        <v>27190</v>
      </c>
      <c r="H17926" s="49">
        <f t="shared" si="2"/>
        <v>27268</v>
      </c>
    </row>
    <row r="17927">
      <c r="A17927" s="48" t="s">
        <v>8204</v>
      </c>
      <c r="B17927" s="38">
        <v>78291.0</v>
      </c>
      <c r="C17927" s="38" t="s">
        <v>4869</v>
      </c>
      <c r="D17927" s="38" t="str">
        <f>IFERROR(__xludf.DUMMYFUNCTION("REGEXREPLACE(C17927,""-\d+(.*)|--\d+(.*)"","""")"),"GUERVILLE")</f>
        <v>GUERVILLE</v>
      </c>
      <c r="E17927" s="38" t="s">
        <v>362</v>
      </c>
      <c r="F17927" s="38" t="s">
        <v>245</v>
      </c>
      <c r="G17927" s="49" t="str">
        <f t="shared" si="1"/>
        <v>78930</v>
      </c>
      <c r="H17927" s="49">
        <f t="shared" si="2"/>
        <v>78291</v>
      </c>
    </row>
    <row r="17928">
      <c r="A17928" s="48" t="s">
        <v>1864</v>
      </c>
      <c r="B17928" s="38">
        <v>70077.0</v>
      </c>
      <c r="C17928" s="38" t="s">
        <v>22351</v>
      </c>
      <c r="D17928" s="38" t="str">
        <f>IFERROR(__xludf.DUMMYFUNCTION("REGEXREPLACE(C17928,""-\d+(.*)|--\d+(.*)"","""")"),"BOREY")</f>
        <v>BOREY</v>
      </c>
      <c r="E17928" s="38" t="s">
        <v>956</v>
      </c>
      <c r="F17928" s="38" t="s">
        <v>214</v>
      </c>
      <c r="G17928" s="49" t="str">
        <f t="shared" si="1"/>
        <v>70110</v>
      </c>
      <c r="H17928" s="49">
        <f t="shared" si="2"/>
        <v>70077</v>
      </c>
    </row>
    <row r="17929">
      <c r="A17929" s="48" t="s">
        <v>10107</v>
      </c>
      <c r="B17929" s="38" t="s">
        <v>22352</v>
      </c>
      <c r="C17929" s="38" t="s">
        <v>22353</v>
      </c>
      <c r="D17929" s="38" t="str">
        <f>IFERROR(__xludf.DUMMYFUNCTION("REGEXREPLACE(C17929,""-\d+(.*)|--\d+(.*)"","""")"),"CASALTA")</f>
        <v>CASALTA</v>
      </c>
      <c r="E17929" s="38" t="s">
        <v>743</v>
      </c>
      <c r="F17929" s="38" t="s">
        <v>607</v>
      </c>
      <c r="G17929" s="49" t="str">
        <f t="shared" si="1"/>
        <v>20215</v>
      </c>
      <c r="H17929" s="49" t="str">
        <f t="shared" si="2"/>
        <v>2B072</v>
      </c>
    </row>
    <row r="17930">
      <c r="A17930" s="48" t="s">
        <v>2059</v>
      </c>
      <c r="B17930" s="38">
        <v>37260.0</v>
      </c>
      <c r="C17930" s="38" t="s">
        <v>22354</v>
      </c>
      <c r="D17930" s="38" t="str">
        <f>IFERROR(__xludf.DUMMYFUNCTION("REGEXREPLACE(C17930,""-\d+(.*)|--\d+(.*)"","""")"),"LA TOUR-SAINT-GELIN")</f>
        <v>LA TOUR-SAINT-GELIN</v>
      </c>
      <c r="E17930" s="38" t="s">
        <v>205</v>
      </c>
      <c r="F17930" s="38" t="s">
        <v>123</v>
      </c>
      <c r="G17930" s="49" t="str">
        <f t="shared" si="1"/>
        <v>37120</v>
      </c>
      <c r="H17930" s="49">
        <f t="shared" si="2"/>
        <v>37260</v>
      </c>
    </row>
    <row r="17931">
      <c r="A17931" s="48" t="s">
        <v>1278</v>
      </c>
      <c r="B17931" s="38">
        <v>83088.0</v>
      </c>
      <c r="C17931" s="38" t="s">
        <v>22355</v>
      </c>
      <c r="D17931" s="38" t="str">
        <f>IFERROR(__xludf.DUMMYFUNCTION("REGEXREPLACE(C17931,""-\d+(.*)|--\d+(.*)"","""")"),"NEOULES")</f>
        <v>NEOULES</v>
      </c>
      <c r="E17931" s="38" t="s">
        <v>813</v>
      </c>
      <c r="F17931" s="38" t="s">
        <v>228</v>
      </c>
      <c r="G17931" s="49" t="str">
        <f t="shared" si="1"/>
        <v>83136</v>
      </c>
      <c r="H17931" s="49">
        <f t="shared" si="2"/>
        <v>83088</v>
      </c>
    </row>
    <row r="17932">
      <c r="A17932" s="48" t="s">
        <v>22356</v>
      </c>
      <c r="B17932" s="38" t="s">
        <v>22357</v>
      </c>
      <c r="C17932" s="38" t="s">
        <v>22358</v>
      </c>
      <c r="D17932" s="38" t="str">
        <f>IFERROR(__xludf.DUMMYFUNCTION("REGEXREPLACE(C17932,""-\d+(.*)|--\d+(.*)"","""")"),"PIANOTTOLI-CALDARELLO")</f>
        <v>PIANOTTOLI-CALDARELLO</v>
      </c>
      <c r="E17932" s="38" t="s">
        <v>606</v>
      </c>
      <c r="F17932" s="38" t="s">
        <v>607</v>
      </c>
      <c r="G17932" s="49" t="str">
        <f t="shared" si="1"/>
        <v>20131</v>
      </c>
      <c r="H17932" s="49" t="str">
        <f t="shared" si="2"/>
        <v>2A215</v>
      </c>
    </row>
    <row r="17933">
      <c r="A17933" s="48" t="s">
        <v>4270</v>
      </c>
      <c r="B17933" s="38">
        <v>76209.0</v>
      </c>
      <c r="C17933" s="38" t="s">
        <v>22359</v>
      </c>
      <c r="D17933" s="38" t="str">
        <f>IFERROR(__xludf.DUMMYFUNCTION("REGEXREPLACE(C17933,""-\d+(.*)|--\d+(.*)"","""")"),"DAMPIERRE-EN-BRAY")</f>
        <v>DAMPIERRE-EN-BRAY</v>
      </c>
      <c r="E17933" s="38" t="s">
        <v>133</v>
      </c>
      <c r="F17933" s="38" t="s">
        <v>134</v>
      </c>
      <c r="G17933" s="49" t="str">
        <f t="shared" si="1"/>
        <v>76220</v>
      </c>
      <c r="H17933" s="49">
        <f t="shared" si="2"/>
        <v>76209</v>
      </c>
    </row>
    <row r="17934">
      <c r="A17934" s="48" t="s">
        <v>1518</v>
      </c>
      <c r="B17934" s="38">
        <v>88023.0</v>
      </c>
      <c r="C17934" s="38" t="s">
        <v>21637</v>
      </c>
      <c r="D17934" s="38" t="str">
        <f>IFERROR(__xludf.DUMMYFUNCTION("REGEXREPLACE(C17934,""-\d+(.*)|--\d+(.*)"","""")"),"AVILLERS")</f>
        <v>AVILLERS</v>
      </c>
      <c r="E17934" s="38" t="s">
        <v>194</v>
      </c>
      <c r="F17934" s="38" t="s">
        <v>195</v>
      </c>
      <c r="G17934" s="49" t="str">
        <f t="shared" si="1"/>
        <v>88500</v>
      </c>
      <c r="H17934" s="49">
        <f t="shared" si="2"/>
        <v>88023</v>
      </c>
    </row>
    <row r="17935">
      <c r="A17935" s="48" t="s">
        <v>7598</v>
      </c>
      <c r="B17935" s="38">
        <v>32391.0</v>
      </c>
      <c r="C17935" s="38" t="s">
        <v>22360</v>
      </c>
      <c r="D17935" s="38" t="str">
        <f>IFERROR(__xludf.DUMMYFUNCTION("REGEXREPLACE(C17935,""-\d+(.*)|--\d+(.*)"","""")"),"SAINT-MARTIN-DE-GOYNE")</f>
        <v>SAINT-MARTIN-DE-GOYNE</v>
      </c>
      <c r="E17935" s="38" t="s">
        <v>440</v>
      </c>
      <c r="F17935" s="38" t="s">
        <v>94</v>
      </c>
      <c r="G17935" s="49" t="str">
        <f t="shared" si="1"/>
        <v>32480</v>
      </c>
      <c r="H17935" s="49">
        <f t="shared" si="2"/>
        <v>32391</v>
      </c>
    </row>
    <row r="17936">
      <c r="A17936" s="48" t="s">
        <v>15028</v>
      </c>
      <c r="B17936" s="38">
        <v>79005.0</v>
      </c>
      <c r="C17936" s="38" t="s">
        <v>22361</v>
      </c>
      <c r="D17936" s="38" t="str">
        <f>IFERROR(__xludf.DUMMYFUNCTION("REGEXREPLACE(C17936,""-\d+(.*)|--\d+(.*)"","""")"),"AIRVAULT")</f>
        <v>AIRVAULT</v>
      </c>
      <c r="E17936" s="38" t="s">
        <v>337</v>
      </c>
      <c r="F17936" s="38" t="s">
        <v>338</v>
      </c>
      <c r="G17936" s="49" t="str">
        <f t="shared" si="1"/>
        <v>79600</v>
      </c>
      <c r="H17936" s="49">
        <f t="shared" si="2"/>
        <v>79005</v>
      </c>
    </row>
    <row r="17937">
      <c r="A17937" s="48" t="s">
        <v>8684</v>
      </c>
      <c r="B17937" s="38">
        <v>37037.0</v>
      </c>
      <c r="C17937" s="38" t="s">
        <v>22362</v>
      </c>
      <c r="D17937" s="38" t="str">
        <f>IFERROR(__xludf.DUMMYFUNCTION("REGEXREPLACE(C17937,""-\d+(.*)|--\d+(.*)"","""")"),"BRECHES")</f>
        <v>BRECHES</v>
      </c>
      <c r="E17937" s="38" t="s">
        <v>205</v>
      </c>
      <c r="F17937" s="38" t="s">
        <v>123</v>
      </c>
      <c r="G17937" s="49" t="str">
        <f t="shared" si="1"/>
        <v>37330</v>
      </c>
      <c r="H17937" s="49">
        <f t="shared" si="2"/>
        <v>37037</v>
      </c>
    </row>
    <row r="17938">
      <c r="A17938" s="48" t="s">
        <v>1654</v>
      </c>
      <c r="B17938" s="38">
        <v>72363.0</v>
      </c>
      <c r="C17938" s="38" t="s">
        <v>22363</v>
      </c>
      <c r="D17938" s="38" t="str">
        <f>IFERROR(__xludf.DUMMYFUNCTION("REGEXREPLACE(C17938,""-\d+(.*)|--\d+(.*)"","""")"),"TUFFE")</f>
        <v>TUFFE</v>
      </c>
      <c r="E17938" s="38" t="s">
        <v>521</v>
      </c>
      <c r="F17938" s="38" t="s">
        <v>180</v>
      </c>
      <c r="G17938" s="49" t="str">
        <f t="shared" si="1"/>
        <v>72160</v>
      </c>
      <c r="H17938" s="49">
        <f t="shared" si="2"/>
        <v>72363</v>
      </c>
    </row>
    <row r="17939">
      <c r="A17939" s="48" t="s">
        <v>2592</v>
      </c>
      <c r="B17939" s="38">
        <v>34210.0</v>
      </c>
      <c r="C17939" s="38" t="s">
        <v>22364</v>
      </c>
      <c r="D17939" s="38" t="str">
        <f>IFERROR(__xludf.DUMMYFUNCTION("REGEXREPLACE(C17939,""-\d+(.*)|--\d+(.*)"","""")"),"LE POUGET")</f>
        <v>LE POUGET</v>
      </c>
      <c r="E17939" s="38" t="s">
        <v>118</v>
      </c>
      <c r="F17939" s="38" t="s">
        <v>119</v>
      </c>
      <c r="G17939" s="49" t="str">
        <f t="shared" si="1"/>
        <v>34230</v>
      </c>
      <c r="H17939" s="49">
        <f t="shared" si="2"/>
        <v>34210</v>
      </c>
    </row>
    <row r="17940">
      <c r="A17940" s="48" t="s">
        <v>2993</v>
      </c>
      <c r="B17940" s="38">
        <v>66217.0</v>
      </c>
      <c r="C17940" s="38" t="s">
        <v>22365</v>
      </c>
      <c r="D17940" s="38" t="str">
        <f>IFERROR(__xludf.DUMMYFUNCTION("REGEXREPLACE(C17940,""-\d+(.*)|--\d+(.*)"","""")"),"TROUILLAS")</f>
        <v>TROUILLAS</v>
      </c>
      <c r="E17940" s="38" t="s">
        <v>248</v>
      </c>
      <c r="F17940" s="38" t="s">
        <v>119</v>
      </c>
      <c r="G17940" s="49" t="str">
        <f t="shared" si="1"/>
        <v>66300</v>
      </c>
      <c r="H17940" s="49">
        <f t="shared" si="2"/>
        <v>66217</v>
      </c>
    </row>
    <row r="17941">
      <c r="A17941" s="48" t="s">
        <v>470</v>
      </c>
      <c r="B17941" s="38">
        <v>8114.0</v>
      </c>
      <c r="C17941" s="38" t="s">
        <v>22366</v>
      </c>
      <c r="D17941" s="38" t="str">
        <f>IFERROR(__xludf.DUMMYFUNCTION("REGEXREPLACE(C17941,""-\d+(.*)|--\d+(.*)"","""")"),"CHEHERY")</f>
        <v>CHEHERY</v>
      </c>
      <c r="E17941" s="38" t="s">
        <v>327</v>
      </c>
      <c r="F17941" s="38" t="s">
        <v>130</v>
      </c>
      <c r="G17941" s="49" t="str">
        <f t="shared" si="1"/>
        <v>08350</v>
      </c>
      <c r="H17941" s="49" t="str">
        <f t="shared" si="2"/>
        <v>08114</v>
      </c>
    </row>
    <row r="17942">
      <c r="A17942" s="48" t="s">
        <v>21781</v>
      </c>
      <c r="B17942" s="38">
        <v>66064.0</v>
      </c>
      <c r="C17942" s="38" t="s">
        <v>22367</v>
      </c>
      <c r="D17942" s="38" t="str">
        <f>IFERROR(__xludf.DUMMYFUNCTION("REGEXREPLACE(C17942,""-\d+(.*)|--\d+(.*)"","""")"),"EGAT")</f>
        <v>EGAT</v>
      </c>
      <c r="E17942" s="38" t="s">
        <v>248</v>
      </c>
      <c r="F17942" s="38" t="s">
        <v>119</v>
      </c>
      <c r="G17942" s="49" t="str">
        <f t="shared" si="1"/>
        <v>66120</v>
      </c>
      <c r="H17942" s="49">
        <f t="shared" si="2"/>
        <v>66064</v>
      </c>
    </row>
    <row r="17943">
      <c r="A17943" s="48" t="s">
        <v>3806</v>
      </c>
      <c r="B17943" s="38">
        <v>7175.0</v>
      </c>
      <c r="C17943" s="38" t="s">
        <v>22368</v>
      </c>
      <c r="D17943" s="38" t="str">
        <f>IFERROR(__xludf.DUMMYFUNCTION("REGEXREPLACE(C17943,""-\d+(.*)|--\d+(.*)"","""")"),"LE PLAGNAL")</f>
        <v>LE PLAGNAL</v>
      </c>
      <c r="E17943" s="38" t="s">
        <v>144</v>
      </c>
      <c r="F17943" s="38" t="s">
        <v>102</v>
      </c>
      <c r="G17943" s="49" t="str">
        <f t="shared" si="1"/>
        <v>07590</v>
      </c>
      <c r="H17943" s="49" t="str">
        <f t="shared" si="2"/>
        <v>07175</v>
      </c>
    </row>
    <row r="17944">
      <c r="A17944" s="48" t="s">
        <v>1174</v>
      </c>
      <c r="B17944" s="38">
        <v>51647.0</v>
      </c>
      <c r="C17944" s="38" t="s">
        <v>22369</v>
      </c>
      <c r="D17944" s="38" t="str">
        <f>IFERROR(__xludf.DUMMYFUNCTION("REGEXREPLACE(C17944,""-\d+(.*)|--\d+(.*)"","""")"),"VITRY-EN-PERTHOIS")</f>
        <v>VITRY-EN-PERTHOIS</v>
      </c>
      <c r="E17944" s="38" t="s">
        <v>129</v>
      </c>
      <c r="F17944" s="38" t="s">
        <v>130</v>
      </c>
      <c r="G17944" s="49" t="str">
        <f t="shared" si="1"/>
        <v>51300</v>
      </c>
      <c r="H17944" s="49">
        <f t="shared" si="2"/>
        <v>51647</v>
      </c>
    </row>
    <row r="17945">
      <c r="A17945" s="48" t="s">
        <v>9587</v>
      </c>
      <c r="B17945" s="38">
        <v>67453.0</v>
      </c>
      <c r="C17945" s="38" t="s">
        <v>22370</v>
      </c>
      <c r="D17945" s="38" t="str">
        <f>IFERROR(__xludf.DUMMYFUNCTION("REGEXREPLACE(C17945,""-\d+(.*)|--\d+(.*)"","""")"),"SCHOENAU")</f>
        <v>SCHOENAU</v>
      </c>
      <c r="E17945" s="38" t="s">
        <v>210</v>
      </c>
      <c r="F17945" s="38" t="s">
        <v>151</v>
      </c>
      <c r="G17945" s="49" t="str">
        <f t="shared" si="1"/>
        <v>67390</v>
      </c>
      <c r="H17945" s="49">
        <f t="shared" si="2"/>
        <v>67453</v>
      </c>
    </row>
    <row r="17946">
      <c r="A17946" s="48" t="s">
        <v>635</v>
      </c>
      <c r="B17946" s="38">
        <v>15127.0</v>
      </c>
      <c r="C17946" s="38" t="s">
        <v>22371</v>
      </c>
      <c r="D17946" s="38" t="str">
        <f>IFERROR(__xludf.DUMMYFUNCTION("REGEXREPLACE(C17946,""-\d+(.*)|--\d+(.*)"","""")"),"MOLOMPIZE")</f>
        <v>MOLOMPIZE</v>
      </c>
      <c r="E17946" s="38" t="s">
        <v>632</v>
      </c>
      <c r="F17946" s="38" t="s">
        <v>161</v>
      </c>
      <c r="G17946" s="49" t="str">
        <f t="shared" si="1"/>
        <v>15500</v>
      </c>
      <c r="H17946" s="49">
        <f t="shared" si="2"/>
        <v>15127</v>
      </c>
    </row>
    <row r="17947">
      <c r="A17947" s="48" t="s">
        <v>8173</v>
      </c>
      <c r="B17947" s="38">
        <v>43014.0</v>
      </c>
      <c r="C17947" s="38" t="s">
        <v>22372</v>
      </c>
      <c r="D17947" s="38" t="str">
        <f>IFERROR(__xludf.DUMMYFUNCTION("REGEXREPLACE(C17947,""-\d+(.*)|--\d+(.*)"","""")"),"AUTRAC")</f>
        <v>AUTRAC</v>
      </c>
      <c r="E17947" s="38" t="s">
        <v>332</v>
      </c>
      <c r="F17947" s="38" t="s">
        <v>161</v>
      </c>
      <c r="G17947" s="49" t="str">
        <f t="shared" si="1"/>
        <v>43450</v>
      </c>
      <c r="H17947" s="49">
        <f t="shared" si="2"/>
        <v>43014</v>
      </c>
    </row>
    <row r="17948">
      <c r="A17948" s="48" t="s">
        <v>1518</v>
      </c>
      <c r="B17948" s="38">
        <v>88056.0</v>
      </c>
      <c r="C17948" s="38" t="s">
        <v>22373</v>
      </c>
      <c r="D17948" s="38" t="str">
        <f>IFERROR(__xludf.DUMMYFUNCTION("REGEXREPLACE(C17948,""-\d+(.*)|--\d+(.*)"","""")"),"BETTONCOURT")</f>
        <v>BETTONCOURT</v>
      </c>
      <c r="E17948" s="38" t="s">
        <v>194</v>
      </c>
      <c r="F17948" s="38" t="s">
        <v>195</v>
      </c>
      <c r="G17948" s="49" t="str">
        <f t="shared" si="1"/>
        <v>88500</v>
      </c>
      <c r="H17948" s="49">
        <f t="shared" si="2"/>
        <v>88056</v>
      </c>
    </row>
    <row r="17949">
      <c r="A17949" s="48" t="s">
        <v>22374</v>
      </c>
      <c r="B17949" s="38">
        <v>38021.0</v>
      </c>
      <c r="C17949" s="38" t="s">
        <v>22375</v>
      </c>
      <c r="D17949" s="38" t="str">
        <f>IFERROR(__xludf.DUMMYFUNCTION("REGEXREPLACE(C17949,""-\d+(.*)|--\d+(.*)"","""")"),"AUTRANS")</f>
        <v>AUTRANS</v>
      </c>
      <c r="E17949" s="38" t="s">
        <v>101</v>
      </c>
      <c r="F17949" s="38" t="s">
        <v>102</v>
      </c>
      <c r="G17949" s="49" t="str">
        <f t="shared" si="1"/>
        <v>38880</v>
      </c>
      <c r="H17949" s="49">
        <f t="shared" si="2"/>
        <v>38021</v>
      </c>
    </row>
    <row r="17950">
      <c r="A17950" s="48" t="s">
        <v>1235</v>
      </c>
      <c r="B17950" s="38">
        <v>80529.0</v>
      </c>
      <c r="C17950" s="38" t="s">
        <v>22376</v>
      </c>
      <c r="D17950" s="38" t="str">
        <f>IFERROR(__xludf.DUMMYFUNCTION("REGEXREPLACE(C17950,""-\d+(.*)|--\d+(.*)"","""")"),"MERELESSART")</f>
        <v>MERELESSART</v>
      </c>
      <c r="E17950" s="38" t="s">
        <v>224</v>
      </c>
      <c r="F17950" s="38" t="s">
        <v>113</v>
      </c>
      <c r="G17950" s="49" t="str">
        <f t="shared" si="1"/>
        <v>80490</v>
      </c>
      <c r="H17950" s="49">
        <f t="shared" si="2"/>
        <v>80529</v>
      </c>
    </row>
    <row r="17951">
      <c r="A17951" s="48" t="s">
        <v>2993</v>
      </c>
      <c r="B17951" s="38">
        <v>66145.0</v>
      </c>
      <c r="C17951" s="38" t="s">
        <v>22377</v>
      </c>
      <c r="D17951" s="38" t="str">
        <f>IFERROR(__xludf.DUMMYFUNCTION("REGEXREPLACE(C17951,""-\d+(.*)|--\d+(.*)"","""")"),"PONTEILLA")</f>
        <v>PONTEILLA</v>
      </c>
      <c r="E17951" s="38" t="s">
        <v>248</v>
      </c>
      <c r="F17951" s="38" t="s">
        <v>119</v>
      </c>
      <c r="G17951" s="49" t="str">
        <f t="shared" si="1"/>
        <v>66300</v>
      </c>
      <c r="H17951" s="49">
        <f t="shared" si="2"/>
        <v>66145</v>
      </c>
    </row>
    <row r="17952">
      <c r="A17952" s="48" t="s">
        <v>5938</v>
      </c>
      <c r="B17952" s="38">
        <v>58131.0</v>
      </c>
      <c r="C17952" s="38" t="s">
        <v>22378</v>
      </c>
      <c r="D17952" s="38" t="str">
        <f>IFERROR(__xludf.DUMMYFUNCTION("REGEXREPLACE(C17952,""-\d+(.*)|--\d+(.*)"","""")"),"GUERIGNY")</f>
        <v>GUERIGNY</v>
      </c>
      <c r="E17952" s="38" t="s">
        <v>219</v>
      </c>
      <c r="F17952" s="38" t="s">
        <v>106</v>
      </c>
      <c r="G17952" s="49" t="str">
        <f t="shared" si="1"/>
        <v>58130</v>
      </c>
      <c r="H17952" s="49">
        <f t="shared" si="2"/>
        <v>58131</v>
      </c>
    </row>
    <row r="17953">
      <c r="A17953" s="48" t="s">
        <v>2229</v>
      </c>
      <c r="B17953" s="38">
        <v>64044.0</v>
      </c>
      <c r="C17953" s="38" t="s">
        <v>22379</v>
      </c>
      <c r="D17953" s="38" t="str">
        <f>IFERROR(__xludf.DUMMYFUNCTION("REGEXREPLACE(C17953,""-\d+(.*)|--\d+(.*)"","""")"),"ARGET")</f>
        <v>ARGET</v>
      </c>
      <c r="E17953" s="38" t="s">
        <v>268</v>
      </c>
      <c r="F17953" s="38" t="s">
        <v>252</v>
      </c>
      <c r="G17953" s="49" t="str">
        <f t="shared" si="1"/>
        <v>64410</v>
      </c>
      <c r="H17953" s="49">
        <f t="shared" si="2"/>
        <v>64044</v>
      </c>
    </row>
    <row r="17954">
      <c r="A17954" s="48" t="s">
        <v>3147</v>
      </c>
      <c r="B17954" s="38">
        <v>68381.0</v>
      </c>
      <c r="C17954" s="38" t="s">
        <v>22380</v>
      </c>
      <c r="D17954" s="38" t="str">
        <f>IFERROR(__xludf.DUMMYFUNCTION("REGEXREPLACE(C17954,""-\d+(.*)|--\d+(.*)"","""")"),"WUENHEIM")</f>
        <v>WUENHEIM</v>
      </c>
      <c r="E17954" s="38" t="s">
        <v>150</v>
      </c>
      <c r="F17954" s="38" t="s">
        <v>151</v>
      </c>
      <c r="G17954" s="49" t="str">
        <f t="shared" si="1"/>
        <v>68500</v>
      </c>
      <c r="H17954" s="49">
        <f t="shared" si="2"/>
        <v>68381</v>
      </c>
    </row>
    <row r="17955">
      <c r="A17955" s="48" t="s">
        <v>1038</v>
      </c>
      <c r="B17955" s="38">
        <v>50132.0</v>
      </c>
      <c r="C17955" s="38" t="s">
        <v>22381</v>
      </c>
      <c r="D17955" s="38" t="str">
        <f>IFERROR(__xludf.DUMMYFUNCTION("REGEXREPLACE(C17955,""-\d+(.*)|--\d+(.*)"","""")"),"LES CHERIS")</f>
        <v>LES CHERIS</v>
      </c>
      <c r="E17955" s="38" t="s">
        <v>157</v>
      </c>
      <c r="F17955" s="38" t="s">
        <v>138</v>
      </c>
      <c r="G17955" s="49" t="str">
        <f t="shared" si="1"/>
        <v>50220</v>
      </c>
      <c r="H17955" s="49">
        <f t="shared" si="2"/>
        <v>50132</v>
      </c>
    </row>
    <row r="17956">
      <c r="A17956" s="48" t="s">
        <v>2692</v>
      </c>
      <c r="B17956" s="38">
        <v>67536.0</v>
      </c>
      <c r="C17956" s="38" t="s">
        <v>22382</v>
      </c>
      <c r="D17956" s="38" t="str">
        <f>IFERROR(__xludf.DUMMYFUNCTION("REGEXREPLACE(C17956,""-\d+(.*)|--\d+(.*)"","""")"),"WINDSTEIN")</f>
        <v>WINDSTEIN</v>
      </c>
      <c r="E17956" s="38" t="s">
        <v>210</v>
      </c>
      <c r="F17956" s="38" t="s">
        <v>151</v>
      </c>
      <c r="G17956" s="49" t="str">
        <f t="shared" si="1"/>
        <v>67110</v>
      </c>
      <c r="H17956" s="49">
        <f t="shared" si="2"/>
        <v>67536</v>
      </c>
    </row>
    <row r="17957">
      <c r="A17957" s="48" t="s">
        <v>1385</v>
      </c>
      <c r="B17957" s="38">
        <v>17032.0</v>
      </c>
      <c r="C17957" s="38" t="s">
        <v>22383</v>
      </c>
      <c r="D17957" s="38" t="str">
        <f>IFERROR(__xludf.DUMMYFUNCTION("REGEXREPLACE(C17957,""-\d+(.*)|--\d+(.*)"","""")"),"BALLON")</f>
        <v>BALLON</v>
      </c>
      <c r="E17957" s="38" t="s">
        <v>488</v>
      </c>
      <c r="F17957" s="38" t="s">
        <v>338</v>
      </c>
      <c r="G17957" s="49" t="str">
        <f t="shared" si="1"/>
        <v>17290</v>
      </c>
      <c r="H17957" s="49">
        <f t="shared" si="2"/>
        <v>17032</v>
      </c>
    </row>
    <row r="17958">
      <c r="A17958" s="48" t="s">
        <v>9002</v>
      </c>
      <c r="B17958" s="38">
        <v>78090.0</v>
      </c>
      <c r="C17958" s="38" t="s">
        <v>22384</v>
      </c>
      <c r="D17958" s="38" t="str">
        <f>IFERROR(__xludf.DUMMYFUNCTION("REGEXREPLACE(C17958,""-\d+(.*)|--\d+(.*)"","""")"),"BOUAFLE")</f>
        <v>BOUAFLE</v>
      </c>
      <c r="E17958" s="38" t="s">
        <v>362</v>
      </c>
      <c r="F17958" s="38" t="s">
        <v>245</v>
      </c>
      <c r="G17958" s="49" t="str">
        <f t="shared" si="1"/>
        <v>78410</v>
      </c>
      <c r="H17958" s="49">
        <f t="shared" si="2"/>
        <v>78090</v>
      </c>
    </row>
    <row r="17959">
      <c r="A17959" s="48" t="s">
        <v>1036</v>
      </c>
      <c r="B17959" s="38">
        <v>57171.0</v>
      </c>
      <c r="C17959" s="38" t="s">
        <v>22385</v>
      </c>
      <c r="D17959" s="38" t="str">
        <f>IFERROR(__xludf.DUMMYFUNCTION("REGEXREPLACE(C17959,""-\d+(.*)|--\d+(.*)"","""")"),"DELME")</f>
        <v>DELME</v>
      </c>
      <c r="E17959" s="38" t="s">
        <v>303</v>
      </c>
      <c r="F17959" s="38" t="s">
        <v>195</v>
      </c>
      <c r="G17959" s="49" t="str">
        <f t="shared" si="1"/>
        <v>57590</v>
      </c>
      <c r="H17959" s="49">
        <f t="shared" si="2"/>
        <v>57171</v>
      </c>
    </row>
    <row r="17960">
      <c r="A17960" s="48" t="s">
        <v>9262</v>
      </c>
      <c r="B17960" s="38">
        <v>16100.0</v>
      </c>
      <c r="C17960" s="38" t="s">
        <v>22386</v>
      </c>
      <c r="D17960" s="38" t="str">
        <f>IFERROR(__xludf.DUMMYFUNCTION("REGEXREPLACE(C17960,""-\d+(.*)|--\d+(.*)"","""")"),"CHIRAC")</f>
        <v>CHIRAC</v>
      </c>
      <c r="E17960" s="38" t="s">
        <v>429</v>
      </c>
      <c r="F17960" s="38" t="s">
        <v>338</v>
      </c>
      <c r="G17960" s="49" t="str">
        <f t="shared" si="1"/>
        <v>16150</v>
      </c>
      <c r="H17960" s="49">
        <f t="shared" si="2"/>
        <v>16100</v>
      </c>
    </row>
    <row r="17961">
      <c r="A17961" s="48" t="s">
        <v>9692</v>
      </c>
      <c r="B17961" s="38">
        <v>18181.0</v>
      </c>
      <c r="C17961" s="38" t="s">
        <v>22387</v>
      </c>
      <c r="D17961" s="38" t="str">
        <f>IFERROR(__xludf.DUMMYFUNCTION("REGEXREPLACE(C17961,""-\d+(.*)|--\d+(.*)"","""")"),"PLOU")</f>
        <v>PLOU</v>
      </c>
      <c r="E17961" s="38" t="s">
        <v>504</v>
      </c>
      <c r="F17961" s="38" t="s">
        <v>123</v>
      </c>
      <c r="G17961" s="49" t="str">
        <f t="shared" si="1"/>
        <v>18290</v>
      </c>
      <c r="H17961" s="49">
        <f t="shared" si="2"/>
        <v>18181</v>
      </c>
    </row>
    <row r="17962">
      <c r="A17962" s="48" t="s">
        <v>7084</v>
      </c>
      <c r="B17962" s="38">
        <v>45001.0</v>
      </c>
      <c r="C17962" s="38" t="s">
        <v>22388</v>
      </c>
      <c r="D17962" s="38" t="str">
        <f>IFERROR(__xludf.DUMMYFUNCTION("REGEXREPLACE(C17962,""-\d+(.*)|--\d+(.*)"","""")"),"ADON")</f>
        <v>ADON</v>
      </c>
      <c r="E17962" s="38" t="s">
        <v>122</v>
      </c>
      <c r="F17962" s="38" t="s">
        <v>123</v>
      </c>
      <c r="G17962" s="49" t="str">
        <f t="shared" si="1"/>
        <v>45230</v>
      </c>
      <c r="H17962" s="49">
        <f t="shared" si="2"/>
        <v>45001</v>
      </c>
    </row>
    <row r="17963">
      <c r="A17963" s="48" t="s">
        <v>20867</v>
      </c>
      <c r="B17963" s="38" t="s">
        <v>22389</v>
      </c>
      <c r="C17963" s="38" t="s">
        <v>22390</v>
      </c>
      <c r="D17963" s="38" t="str">
        <f>IFERROR(__xludf.DUMMYFUNCTION("REGEXREPLACE(C17963,""-\d+(.*)|--\d+(.*)"","""")"),"VALLE-D'ALESANI")</f>
        <v>VALLE-D'ALESANI</v>
      </c>
      <c r="E17963" s="38" t="s">
        <v>743</v>
      </c>
      <c r="F17963" s="38" t="s">
        <v>607</v>
      </c>
      <c r="G17963" s="49" t="str">
        <f t="shared" si="1"/>
        <v>20234</v>
      </c>
      <c r="H17963" s="49" t="str">
        <f t="shared" si="2"/>
        <v>2B334</v>
      </c>
    </row>
    <row r="17964">
      <c r="A17964" s="48" t="s">
        <v>9587</v>
      </c>
      <c r="B17964" s="38">
        <v>67121.0</v>
      </c>
      <c r="C17964" s="38" t="s">
        <v>22391</v>
      </c>
      <c r="D17964" s="38" t="str">
        <f>IFERROR(__xludf.DUMMYFUNCTION("REGEXREPLACE(C17964,""-\d+(.*)|--\d+(.*)"","""")"),"ELSENHEIM")</f>
        <v>ELSENHEIM</v>
      </c>
      <c r="E17964" s="38" t="s">
        <v>210</v>
      </c>
      <c r="F17964" s="38" t="s">
        <v>151</v>
      </c>
      <c r="G17964" s="49" t="str">
        <f t="shared" si="1"/>
        <v>67390</v>
      </c>
      <c r="H17964" s="49">
        <f t="shared" si="2"/>
        <v>67121</v>
      </c>
    </row>
    <row r="17965">
      <c r="A17965" s="48" t="s">
        <v>5846</v>
      </c>
      <c r="B17965" s="38">
        <v>60224.0</v>
      </c>
      <c r="C17965" s="38" t="s">
        <v>22392</v>
      </c>
      <c r="D17965" s="38" t="str">
        <f>IFERROR(__xludf.DUMMYFUNCTION("REGEXREPLACE(C17965,""-\d+(.*)|--\d+(.*)"","""")"),"ETAVIGNY")</f>
        <v>ETAVIGNY</v>
      </c>
      <c r="E17965" s="38" t="s">
        <v>112</v>
      </c>
      <c r="F17965" s="38" t="s">
        <v>113</v>
      </c>
      <c r="G17965" s="49" t="str">
        <f t="shared" si="1"/>
        <v>60620</v>
      </c>
      <c r="H17965" s="49">
        <f t="shared" si="2"/>
        <v>60224</v>
      </c>
    </row>
    <row r="17966">
      <c r="A17966" s="48" t="s">
        <v>1074</v>
      </c>
      <c r="B17966" s="38">
        <v>27491.0</v>
      </c>
      <c r="C17966" s="38" t="s">
        <v>22393</v>
      </c>
      <c r="D17966" s="38" t="str">
        <f>IFERROR(__xludf.DUMMYFUNCTION("REGEXREPLACE(C17966,""-\d+(.*)|--\d+(.*)"","""")"),"ROMAN")</f>
        <v>ROMAN</v>
      </c>
      <c r="E17966" s="38" t="s">
        <v>241</v>
      </c>
      <c r="F17966" s="38" t="s">
        <v>134</v>
      </c>
      <c r="G17966" s="49" t="str">
        <f t="shared" si="1"/>
        <v>27240</v>
      </c>
      <c r="H17966" s="49">
        <f t="shared" si="2"/>
        <v>27491</v>
      </c>
    </row>
    <row r="17967">
      <c r="A17967" s="48" t="s">
        <v>22394</v>
      </c>
      <c r="B17967" s="38">
        <v>70451.0</v>
      </c>
      <c r="C17967" s="38" t="s">
        <v>22395</v>
      </c>
      <c r="D17967" s="38" t="str">
        <f>IFERROR(__xludf.DUMMYFUNCTION("REGEXREPLACE(C17967,""-\d+(.*)|--\d+(.*)"","""")"),"RONCHAMP")</f>
        <v>RONCHAMP</v>
      </c>
      <c r="E17967" s="38" t="s">
        <v>956</v>
      </c>
      <c r="F17967" s="38" t="s">
        <v>214</v>
      </c>
      <c r="G17967" s="49" t="str">
        <f t="shared" si="1"/>
        <v>70250</v>
      </c>
      <c r="H17967" s="49">
        <f t="shared" si="2"/>
        <v>70451</v>
      </c>
    </row>
    <row r="17968">
      <c r="A17968" s="48" t="s">
        <v>2219</v>
      </c>
      <c r="B17968" s="38">
        <v>2237.0</v>
      </c>
      <c r="C17968" s="38" t="s">
        <v>22396</v>
      </c>
      <c r="D17968" s="38" t="str">
        <f>IFERROR(__xludf.DUMMYFUNCTION("REGEXREPLACE(C17968,""-\d+(.*)|--\d+(.*)"","""")"),"CRECY-SUR-SERRE")</f>
        <v>CRECY-SUR-SERRE</v>
      </c>
      <c r="E17968" s="38" t="s">
        <v>191</v>
      </c>
      <c r="F17968" s="38" t="s">
        <v>113</v>
      </c>
      <c r="G17968" s="49" t="str">
        <f t="shared" si="1"/>
        <v>02270</v>
      </c>
      <c r="H17968" s="49" t="str">
        <f t="shared" si="2"/>
        <v>02237</v>
      </c>
    </row>
    <row r="17969">
      <c r="A17969" s="48" t="s">
        <v>4173</v>
      </c>
      <c r="B17969" s="38">
        <v>25628.0</v>
      </c>
      <c r="C17969" s="38" t="s">
        <v>22397</v>
      </c>
      <c r="D17969" s="38" t="str">
        <f>IFERROR(__xludf.DUMMYFUNCTION("REGEXREPLACE(C17969,""-\d+(.*)|--\d+(.*)"","""")"),"VILLERS-SOUS-MONTROND")</f>
        <v>VILLERS-SOUS-MONTROND</v>
      </c>
      <c r="E17969" s="38" t="s">
        <v>213</v>
      </c>
      <c r="F17969" s="38" t="s">
        <v>214</v>
      </c>
      <c r="G17969" s="49" t="str">
        <f t="shared" si="1"/>
        <v>25620</v>
      </c>
      <c r="H17969" s="49">
        <f t="shared" si="2"/>
        <v>25628</v>
      </c>
    </row>
    <row r="17970">
      <c r="A17970" s="48" t="s">
        <v>5235</v>
      </c>
      <c r="B17970" s="38">
        <v>61167.0</v>
      </c>
      <c r="C17970" s="38" t="s">
        <v>22398</v>
      </c>
      <c r="D17970" s="38" t="str">
        <f>IFERROR(__xludf.DUMMYFUNCTION("REGEXREPLACE(C17970,""-\d+(.*)|--\d+(.*)"","""")"),"LA FERTE-FRENEL")</f>
        <v>LA FERTE-FRENEL</v>
      </c>
      <c r="E17970" s="38" t="s">
        <v>141</v>
      </c>
      <c r="F17970" s="38" t="s">
        <v>138</v>
      </c>
      <c r="G17970" s="49" t="str">
        <f t="shared" si="1"/>
        <v>61550</v>
      </c>
      <c r="H17970" s="49">
        <f t="shared" si="2"/>
        <v>61167</v>
      </c>
    </row>
    <row r="17971">
      <c r="A17971" s="48" t="s">
        <v>1823</v>
      </c>
      <c r="B17971" s="38">
        <v>48095.0</v>
      </c>
      <c r="C17971" s="38" t="s">
        <v>22399</v>
      </c>
      <c r="D17971" s="38" t="str">
        <f>IFERROR(__xludf.DUMMYFUNCTION("REGEXREPLACE(C17971,""-\d+(.*)|--\d+(.*)"","""")"),"MENDE")</f>
        <v>MENDE</v>
      </c>
      <c r="E17971" s="38" t="s">
        <v>154</v>
      </c>
      <c r="F17971" s="38" t="s">
        <v>119</v>
      </c>
      <c r="G17971" s="49" t="str">
        <f t="shared" si="1"/>
        <v>48000</v>
      </c>
      <c r="H17971" s="49">
        <f t="shared" si="2"/>
        <v>48095</v>
      </c>
    </row>
    <row r="17972">
      <c r="A17972" s="48" t="s">
        <v>6107</v>
      </c>
      <c r="B17972" s="38">
        <v>61041.0</v>
      </c>
      <c r="C17972" s="38" t="s">
        <v>22400</v>
      </c>
      <c r="D17972" s="38" t="str">
        <f>IFERROR(__xludf.DUMMYFUNCTION("REGEXREPLACE(C17972,""-\d+(.*)|--\d+(.*)"","""")"),"BELLOU-LE-TRICHARD")</f>
        <v>BELLOU-LE-TRICHARD</v>
      </c>
      <c r="E17972" s="38" t="s">
        <v>141</v>
      </c>
      <c r="F17972" s="38" t="s">
        <v>138</v>
      </c>
      <c r="G17972" s="49" t="str">
        <f t="shared" si="1"/>
        <v>61130</v>
      </c>
      <c r="H17972" s="49">
        <f t="shared" si="2"/>
        <v>61041</v>
      </c>
    </row>
    <row r="17973">
      <c r="A17973" s="48" t="s">
        <v>1036</v>
      </c>
      <c r="B17973" s="38">
        <v>57559.0</v>
      </c>
      <c r="C17973" s="38" t="s">
        <v>9079</v>
      </c>
      <c r="D17973" s="38" t="str">
        <f>IFERROR(__xludf.DUMMYFUNCTION("REGEXREPLACE(C17973,""-\d+(.*)|--\d+(.*)"","""")"),"PUZIEUX")</f>
        <v>PUZIEUX</v>
      </c>
      <c r="E17973" s="38" t="s">
        <v>303</v>
      </c>
      <c r="F17973" s="38" t="s">
        <v>195</v>
      </c>
      <c r="G17973" s="49" t="str">
        <f t="shared" si="1"/>
        <v>57590</v>
      </c>
      <c r="H17973" s="49">
        <f t="shared" si="2"/>
        <v>57559</v>
      </c>
    </row>
    <row r="17974">
      <c r="A17974" s="48" t="s">
        <v>4238</v>
      </c>
      <c r="B17974" s="38">
        <v>54188.0</v>
      </c>
      <c r="C17974" s="38" t="s">
        <v>22401</v>
      </c>
      <c r="D17974" s="38" t="str">
        <f>IFERROR(__xludf.DUMMYFUNCTION("REGEXREPLACE(C17974,""-\d+(.*)|--\d+(.*)"","""")"),"FAULX")</f>
        <v>FAULX</v>
      </c>
      <c r="E17974" s="38" t="s">
        <v>548</v>
      </c>
      <c r="F17974" s="38" t="s">
        <v>195</v>
      </c>
      <c r="G17974" s="49" t="str">
        <f t="shared" si="1"/>
        <v>54760</v>
      </c>
      <c r="H17974" s="49">
        <f t="shared" si="2"/>
        <v>54188</v>
      </c>
    </row>
    <row r="17975">
      <c r="A17975" s="48" t="s">
        <v>1616</v>
      </c>
      <c r="B17975" s="38">
        <v>10103.0</v>
      </c>
      <c r="C17975" s="38" t="s">
        <v>22402</v>
      </c>
      <c r="D17975" s="38" t="str">
        <f>IFERROR(__xludf.DUMMYFUNCTION("REGEXREPLACE(C17975,""-\d+(.*)|--\d+(.*)"","""")"),"COLOMBE-LE-SEC")</f>
        <v>COLOMBE-LE-SEC</v>
      </c>
      <c r="E17975" s="38" t="s">
        <v>147</v>
      </c>
      <c r="F17975" s="38" t="s">
        <v>130</v>
      </c>
      <c r="G17975" s="49" t="str">
        <f t="shared" si="1"/>
        <v>10200</v>
      </c>
      <c r="H17975" s="49">
        <f t="shared" si="2"/>
        <v>10103</v>
      </c>
    </row>
    <row r="17976">
      <c r="A17976" s="48" t="s">
        <v>10358</v>
      </c>
      <c r="B17976" s="38">
        <v>42040.0</v>
      </c>
      <c r="C17976" s="38" t="s">
        <v>22403</v>
      </c>
      <c r="D17976" s="38" t="str">
        <f>IFERROR(__xludf.DUMMYFUNCTION("REGEXREPLACE(C17976,""-\d+(.*)|--\d+(.*)"","""")"),"LA CHAMBA")</f>
        <v>LA CHAMBA</v>
      </c>
      <c r="E17976" s="38" t="s">
        <v>166</v>
      </c>
      <c r="F17976" s="38" t="s">
        <v>102</v>
      </c>
      <c r="G17976" s="49" t="str">
        <f t="shared" si="1"/>
        <v>42440</v>
      </c>
      <c r="H17976" s="49">
        <f t="shared" si="2"/>
        <v>42040</v>
      </c>
    </row>
    <row r="17977">
      <c r="A17977" s="48" t="s">
        <v>1100</v>
      </c>
      <c r="B17977" s="38">
        <v>8264.0</v>
      </c>
      <c r="C17977" s="38" t="s">
        <v>22404</v>
      </c>
      <c r="D17977" s="38" t="str">
        <f>IFERROR(__xludf.DUMMYFUNCTION("REGEXREPLACE(C17977,""-\d+(.*)|--\d+(.*)"","""")"),"MACHAULT")</f>
        <v>MACHAULT</v>
      </c>
      <c r="E17977" s="38" t="s">
        <v>327</v>
      </c>
      <c r="F17977" s="38" t="s">
        <v>130</v>
      </c>
      <c r="G17977" s="49" t="str">
        <f t="shared" si="1"/>
        <v>08310</v>
      </c>
      <c r="H17977" s="49" t="str">
        <f t="shared" si="2"/>
        <v>08264</v>
      </c>
    </row>
    <row r="17978">
      <c r="A17978" s="48" t="s">
        <v>2479</v>
      </c>
      <c r="B17978" s="38">
        <v>45230.0</v>
      </c>
      <c r="C17978" s="38" t="s">
        <v>21926</v>
      </c>
      <c r="D17978" s="38" t="str">
        <f>IFERROR(__xludf.DUMMYFUNCTION("REGEXREPLACE(C17978,""-\d+(.*)|--\d+(.*)"","""")"),"NOYERS")</f>
        <v>NOYERS</v>
      </c>
      <c r="E17978" s="38" t="s">
        <v>122</v>
      </c>
      <c r="F17978" s="38" t="s">
        <v>123</v>
      </c>
      <c r="G17978" s="49" t="str">
        <f t="shared" si="1"/>
        <v>45260</v>
      </c>
      <c r="H17978" s="49">
        <f t="shared" si="2"/>
        <v>45230</v>
      </c>
    </row>
    <row r="17979">
      <c r="A17979" s="48" t="s">
        <v>4129</v>
      </c>
      <c r="B17979" s="38">
        <v>3069.0</v>
      </c>
      <c r="C17979" s="38" t="s">
        <v>2752</v>
      </c>
      <c r="D17979" s="38" t="str">
        <f>IFERROR(__xludf.DUMMYFUNCTION("REGEXREPLACE(C17979,""-\d+(.*)|--\d+(.*)"","""")"),"CHATILLON")</f>
        <v>CHATILLON</v>
      </c>
      <c r="E17979" s="38" t="s">
        <v>160</v>
      </c>
      <c r="F17979" s="38" t="s">
        <v>161</v>
      </c>
      <c r="G17979" s="49" t="str">
        <f t="shared" si="1"/>
        <v>03210</v>
      </c>
      <c r="H17979" s="49" t="str">
        <f t="shared" si="2"/>
        <v>03069</v>
      </c>
    </row>
    <row r="17980">
      <c r="A17980" s="48" t="s">
        <v>9621</v>
      </c>
      <c r="B17980" s="38">
        <v>43239.0</v>
      </c>
      <c r="C17980" s="38" t="s">
        <v>22405</v>
      </c>
      <c r="D17980" s="38" t="str">
        <f>IFERROR(__xludf.DUMMYFUNCTION("REGEXREPLACE(C17980,""-\d+(.*)|--\d+(.*)"","""")"),"SIAUGUES-SAINTE-MARIE")</f>
        <v>SIAUGUES-SAINTE-MARIE</v>
      </c>
      <c r="E17980" s="38" t="s">
        <v>332</v>
      </c>
      <c r="F17980" s="38" t="s">
        <v>161</v>
      </c>
      <c r="G17980" s="49" t="str">
        <f t="shared" si="1"/>
        <v>43300</v>
      </c>
      <c r="H17980" s="49">
        <f t="shared" si="2"/>
        <v>43239</v>
      </c>
    </row>
    <row r="17981">
      <c r="A17981" s="48" t="s">
        <v>3465</v>
      </c>
      <c r="B17981" s="38">
        <v>11141.0</v>
      </c>
      <c r="C17981" s="38" t="s">
        <v>22406</v>
      </c>
      <c r="D17981" s="38" t="str">
        <f>IFERROR(__xludf.DUMMYFUNCTION("REGEXREPLACE(C17981,""-\d+(.*)|--\d+(.*)"","""")"),"FERRAN")</f>
        <v>FERRAN</v>
      </c>
      <c r="E17981" s="38" t="s">
        <v>278</v>
      </c>
      <c r="F17981" s="38" t="s">
        <v>119</v>
      </c>
      <c r="G17981" s="49" t="str">
        <f t="shared" si="1"/>
        <v>11240</v>
      </c>
      <c r="H17981" s="49">
        <f t="shared" si="2"/>
        <v>11141</v>
      </c>
    </row>
    <row r="17982">
      <c r="A17982" s="48" t="s">
        <v>5594</v>
      </c>
      <c r="B17982" s="38">
        <v>60395.0</v>
      </c>
      <c r="C17982" s="38" t="s">
        <v>22407</v>
      </c>
      <c r="D17982" s="38" t="str">
        <f>IFERROR(__xludf.DUMMYFUNCTION("REGEXREPLACE(C17982,""-\d+(.*)|--\d+(.*)"","""")"),"MERU")</f>
        <v>MERU</v>
      </c>
      <c r="E17982" s="38" t="s">
        <v>112</v>
      </c>
      <c r="F17982" s="38" t="s">
        <v>113</v>
      </c>
      <c r="G17982" s="49" t="str">
        <f t="shared" si="1"/>
        <v>60110</v>
      </c>
      <c r="H17982" s="49">
        <f t="shared" si="2"/>
        <v>60395</v>
      </c>
    </row>
    <row r="17983">
      <c r="A17983" s="48" t="s">
        <v>1675</v>
      </c>
      <c r="B17983" s="38">
        <v>45064.0</v>
      </c>
      <c r="C17983" s="38" t="s">
        <v>22408</v>
      </c>
      <c r="D17983" s="38" t="str">
        <f>IFERROR(__xludf.DUMMYFUNCTION("REGEXREPLACE(C17983,""-\d+(.*)|--\d+(.*)"","""")"),"CERNOY-EN-BERRY")</f>
        <v>CERNOY-EN-BERRY</v>
      </c>
      <c r="E17983" s="38" t="s">
        <v>122</v>
      </c>
      <c r="F17983" s="38" t="s">
        <v>123</v>
      </c>
      <c r="G17983" s="49" t="str">
        <f t="shared" si="1"/>
        <v>45360</v>
      </c>
      <c r="H17983" s="49">
        <f t="shared" si="2"/>
        <v>45064</v>
      </c>
    </row>
    <row r="17984">
      <c r="A17984" s="48" t="s">
        <v>5313</v>
      </c>
      <c r="B17984" s="38">
        <v>60650.0</v>
      </c>
      <c r="C17984" s="38" t="s">
        <v>22409</v>
      </c>
      <c r="D17984" s="38" t="str">
        <f>IFERROR(__xludf.DUMMYFUNCTION("REGEXREPLACE(C17984,""-\d+(.*)|--\d+(.*)"","""")"),"TRUMILLY")</f>
        <v>TRUMILLY</v>
      </c>
      <c r="E17984" s="38" t="s">
        <v>112</v>
      </c>
      <c r="F17984" s="38" t="s">
        <v>113</v>
      </c>
      <c r="G17984" s="49" t="str">
        <f t="shared" si="1"/>
        <v>60800</v>
      </c>
      <c r="H17984" s="49">
        <f t="shared" si="2"/>
        <v>60650</v>
      </c>
    </row>
    <row r="17985">
      <c r="A17985" s="48" t="s">
        <v>22410</v>
      </c>
      <c r="B17985" s="38">
        <v>58010.0</v>
      </c>
      <c r="C17985" s="38" t="s">
        <v>22411</v>
      </c>
      <c r="D17985" s="38" t="str">
        <f>IFERROR(__xludf.DUMMYFUNCTION("REGEXREPLACE(C17985,""-\d+(.*)|--\d+(.*)"","""")"),"ARLEUF")</f>
        <v>ARLEUF</v>
      </c>
      <c r="E17985" s="38" t="s">
        <v>219</v>
      </c>
      <c r="F17985" s="38" t="s">
        <v>106</v>
      </c>
      <c r="G17985" s="49" t="str">
        <f t="shared" si="1"/>
        <v>58430</v>
      </c>
      <c r="H17985" s="49">
        <f t="shared" si="2"/>
        <v>58010</v>
      </c>
    </row>
    <row r="17986">
      <c r="A17986" s="48" t="s">
        <v>4586</v>
      </c>
      <c r="B17986" s="38">
        <v>40299.0</v>
      </c>
      <c r="C17986" s="38" t="s">
        <v>22412</v>
      </c>
      <c r="D17986" s="38" t="str">
        <f>IFERROR(__xludf.DUMMYFUNCTION("REGEXREPLACE(C17986,""-\d+(.*)|--\d+(.*)"","""")"),"SERRESLOUS-ET-ARRIBANS")</f>
        <v>SERRESLOUS-ET-ARRIBANS</v>
      </c>
      <c r="E17986" s="38" t="s">
        <v>281</v>
      </c>
      <c r="F17986" s="38" t="s">
        <v>252</v>
      </c>
      <c r="G17986" s="49" t="str">
        <f t="shared" si="1"/>
        <v>40700</v>
      </c>
      <c r="H17986" s="49">
        <f t="shared" si="2"/>
        <v>40299</v>
      </c>
    </row>
    <row r="17987">
      <c r="A17987" s="48" t="s">
        <v>1302</v>
      </c>
      <c r="B17987" s="38">
        <v>38217.0</v>
      </c>
      <c r="C17987" s="38" t="s">
        <v>22413</v>
      </c>
      <c r="D17987" s="38" t="str">
        <f>IFERROR(__xludf.DUMMYFUNCTION("REGEXREPLACE(C17987,""-\d+(.*)|--\d+(.*)"","""")"),"MARCIEU")</f>
        <v>MARCIEU</v>
      </c>
      <c r="E17987" s="38" t="s">
        <v>101</v>
      </c>
      <c r="F17987" s="38" t="s">
        <v>102</v>
      </c>
      <c r="G17987" s="49" t="str">
        <f t="shared" si="1"/>
        <v>38350</v>
      </c>
      <c r="H17987" s="49">
        <f t="shared" si="2"/>
        <v>38217</v>
      </c>
    </row>
    <row r="17988">
      <c r="A17988" s="48" t="s">
        <v>14721</v>
      </c>
      <c r="B17988" s="38">
        <v>27580.0</v>
      </c>
      <c r="C17988" s="38" t="s">
        <v>22414</v>
      </c>
      <c r="D17988" s="38" t="str">
        <f>IFERROR(__xludf.DUMMYFUNCTION("REGEXREPLACE(C17988,""-\d+(.*)|--\d+(.*)"","""")"),"SAINT-OUEN-DE-THOUBERVILLE")</f>
        <v>SAINT-OUEN-DE-THOUBERVILLE</v>
      </c>
      <c r="E17988" s="38" t="s">
        <v>241</v>
      </c>
      <c r="F17988" s="38" t="s">
        <v>134</v>
      </c>
      <c r="G17988" s="49" t="str">
        <f t="shared" si="1"/>
        <v>27310</v>
      </c>
      <c r="H17988" s="49">
        <f t="shared" si="2"/>
        <v>27580</v>
      </c>
    </row>
    <row r="17989">
      <c r="A17989" s="48" t="s">
        <v>2243</v>
      </c>
      <c r="B17989" s="38">
        <v>17268.0</v>
      </c>
      <c r="C17989" s="38" t="s">
        <v>22415</v>
      </c>
      <c r="D17989" s="38" t="str">
        <f>IFERROR(__xludf.DUMMYFUNCTION("REGEXREPLACE(C17989,""-\d+(.*)|--\d+(.*)"","""")"),"NUAILLE-SUR-BOUTONNE")</f>
        <v>NUAILLE-SUR-BOUTONNE</v>
      </c>
      <c r="E17989" s="38" t="s">
        <v>488</v>
      </c>
      <c r="F17989" s="38" t="s">
        <v>338</v>
      </c>
      <c r="G17989" s="49" t="str">
        <f t="shared" si="1"/>
        <v>17470</v>
      </c>
      <c r="H17989" s="49">
        <f t="shared" si="2"/>
        <v>17268</v>
      </c>
    </row>
    <row r="17990">
      <c r="A17990" s="48" t="s">
        <v>9844</v>
      </c>
      <c r="B17990" s="38">
        <v>17052.0</v>
      </c>
      <c r="C17990" s="38" t="s">
        <v>22416</v>
      </c>
      <c r="D17990" s="38" t="str">
        <f>IFERROR(__xludf.DUMMYFUNCTION("REGEXREPLACE(C17990,""-\d+(.*)|--\d+(.*)"","""")"),"BOISREDON")</f>
        <v>BOISREDON</v>
      </c>
      <c r="E17990" s="38" t="s">
        <v>488</v>
      </c>
      <c r="F17990" s="38" t="s">
        <v>338</v>
      </c>
      <c r="G17990" s="49" t="str">
        <f t="shared" si="1"/>
        <v>17150</v>
      </c>
      <c r="H17990" s="49">
        <f t="shared" si="2"/>
        <v>17052</v>
      </c>
    </row>
    <row r="17991">
      <c r="A17991" s="48" t="s">
        <v>22417</v>
      </c>
      <c r="B17991" s="38">
        <v>59509.0</v>
      </c>
      <c r="C17991" s="38" t="s">
        <v>22418</v>
      </c>
      <c r="D17991" s="38" t="str">
        <f>IFERROR(__xludf.DUMMYFUNCTION("REGEXREPLACE(C17991,""-\d+(.*)|--\d+(.*)"","""")"),"ROOST-WARENDIN")</f>
        <v>ROOST-WARENDIN</v>
      </c>
      <c r="E17991" s="38" t="s">
        <v>85</v>
      </c>
      <c r="F17991" s="38" t="s">
        <v>86</v>
      </c>
      <c r="G17991" s="49" t="str">
        <f t="shared" si="1"/>
        <v>59286</v>
      </c>
      <c r="H17991" s="49">
        <f t="shared" si="2"/>
        <v>59509</v>
      </c>
    </row>
    <row r="17992">
      <c r="A17992" s="48" t="s">
        <v>3699</v>
      </c>
      <c r="B17992" s="38">
        <v>18125.0</v>
      </c>
      <c r="C17992" s="38" t="s">
        <v>22419</v>
      </c>
      <c r="D17992" s="38" t="str">
        <f>IFERROR(__xludf.DUMMYFUNCTION("REGEXREPLACE(C17992,""-\d+(.*)|--\d+(.*)"","""")"),"LERE")</f>
        <v>LERE</v>
      </c>
      <c r="E17992" s="38" t="s">
        <v>504</v>
      </c>
      <c r="F17992" s="38" t="s">
        <v>123</v>
      </c>
      <c r="G17992" s="49" t="str">
        <f t="shared" si="1"/>
        <v>18240</v>
      </c>
      <c r="H17992" s="49">
        <f t="shared" si="2"/>
        <v>18125</v>
      </c>
    </row>
    <row r="17993">
      <c r="A17993" s="48" t="s">
        <v>22420</v>
      </c>
      <c r="B17993" s="38">
        <v>13084.0</v>
      </c>
      <c r="C17993" s="38" t="s">
        <v>22421</v>
      </c>
      <c r="D17993" s="38" t="str">
        <f>IFERROR(__xludf.DUMMYFUNCTION("REGEXREPLACE(C17993,""-\d+(.*)|--\d+(.*)"","""")"),"LA ROQUE-D'ANTHERON")</f>
        <v>LA ROQUE-D'ANTHERON</v>
      </c>
      <c r="E17993" s="38" t="s">
        <v>980</v>
      </c>
      <c r="F17993" s="38" t="s">
        <v>228</v>
      </c>
      <c r="G17993" s="49" t="str">
        <f t="shared" si="1"/>
        <v>13640</v>
      </c>
      <c r="H17993" s="49">
        <f t="shared" si="2"/>
        <v>13084</v>
      </c>
    </row>
    <row r="17994">
      <c r="A17994" s="48" t="s">
        <v>5239</v>
      </c>
      <c r="B17994" s="38">
        <v>65456.0</v>
      </c>
      <c r="C17994" s="38" t="s">
        <v>22422</v>
      </c>
      <c r="D17994" s="38" t="str">
        <f>IFERROR(__xludf.DUMMYFUNCTION("REGEXREPLACE(C17994,""-\d+(.*)|--\d+(.*)"","""")"),"UGLAS")</f>
        <v>UGLAS</v>
      </c>
      <c r="E17994" s="38" t="s">
        <v>200</v>
      </c>
      <c r="F17994" s="38" t="s">
        <v>94</v>
      </c>
      <c r="G17994" s="49" t="str">
        <f t="shared" si="1"/>
        <v>65300</v>
      </c>
      <c r="H17994" s="49">
        <f t="shared" si="2"/>
        <v>65456</v>
      </c>
    </row>
    <row r="17995">
      <c r="A17995" s="48" t="s">
        <v>22423</v>
      </c>
      <c r="B17995" s="38">
        <v>54357.0</v>
      </c>
      <c r="C17995" s="38" t="s">
        <v>22424</v>
      </c>
      <c r="D17995" s="38" t="str">
        <f>IFERROR(__xludf.DUMMYFUNCTION("REGEXREPLACE(C17995,""-\d+(.*)|--\d+(.*)"","""")"),"MAXEVILLE")</f>
        <v>MAXEVILLE</v>
      </c>
      <c r="E17995" s="38" t="s">
        <v>548</v>
      </c>
      <c r="F17995" s="38" t="s">
        <v>195</v>
      </c>
      <c r="G17995" s="49" t="str">
        <f t="shared" si="1"/>
        <v>54320</v>
      </c>
      <c r="H17995" s="49">
        <f t="shared" si="2"/>
        <v>54357</v>
      </c>
    </row>
    <row r="17996">
      <c r="A17996" s="48" t="s">
        <v>1918</v>
      </c>
      <c r="B17996" s="38">
        <v>10290.0</v>
      </c>
      <c r="C17996" s="38" t="s">
        <v>22425</v>
      </c>
      <c r="D17996" s="38" t="str">
        <f>IFERROR(__xludf.DUMMYFUNCTION("REGEXREPLACE(C17996,""-\d+(.*)|--\d+(.*)"","""")"),"PLANTY")</f>
        <v>PLANTY</v>
      </c>
      <c r="E17996" s="38" t="s">
        <v>147</v>
      </c>
      <c r="F17996" s="38" t="s">
        <v>130</v>
      </c>
      <c r="G17996" s="49" t="str">
        <f t="shared" si="1"/>
        <v>10160</v>
      </c>
      <c r="H17996" s="49">
        <f t="shared" si="2"/>
        <v>10290</v>
      </c>
    </row>
    <row r="17997">
      <c r="A17997" s="48" t="s">
        <v>7107</v>
      </c>
      <c r="B17997" s="38">
        <v>10178.0</v>
      </c>
      <c r="C17997" s="38" t="s">
        <v>22426</v>
      </c>
      <c r="D17997" s="38" t="str">
        <f>IFERROR(__xludf.DUMMYFUNCTION("REGEXREPLACE(C17997,""-\d+(.*)|--\d+(.*)"","""")"),"JESSAINS")</f>
        <v>JESSAINS</v>
      </c>
      <c r="E17997" s="38" t="s">
        <v>147</v>
      </c>
      <c r="F17997" s="38" t="s">
        <v>130</v>
      </c>
      <c r="G17997" s="49" t="str">
        <f t="shared" si="1"/>
        <v>10140</v>
      </c>
      <c r="H17997" s="49">
        <f t="shared" si="2"/>
        <v>10178</v>
      </c>
    </row>
    <row r="17998">
      <c r="A17998" s="48" t="s">
        <v>6038</v>
      </c>
      <c r="B17998" s="38">
        <v>88016.0</v>
      </c>
      <c r="C17998" s="38" t="s">
        <v>22427</v>
      </c>
      <c r="D17998" s="38" t="str">
        <f>IFERROR(__xludf.DUMMYFUNCTION("REGEXREPLACE(C17998,""-\d+(.*)|--\d+(.*)"","""")"),"ATTIGNY")</f>
        <v>ATTIGNY</v>
      </c>
      <c r="E17998" s="38" t="s">
        <v>194</v>
      </c>
      <c r="F17998" s="38" t="s">
        <v>195</v>
      </c>
      <c r="G17998" s="49" t="str">
        <f t="shared" si="1"/>
        <v>88260</v>
      </c>
      <c r="H17998" s="49">
        <f t="shared" si="2"/>
        <v>88016</v>
      </c>
    </row>
    <row r="17999">
      <c r="A17999" s="48" t="s">
        <v>8889</v>
      </c>
      <c r="B17999" s="38">
        <v>32075.0</v>
      </c>
      <c r="C17999" s="38" t="s">
        <v>22428</v>
      </c>
      <c r="D17999" s="38" t="str">
        <f>IFERROR(__xludf.DUMMYFUNCTION("REGEXREPLACE(C17999,""-\d+(.*)|--\d+(.*)"","""")"),"CASSAIGNE")</f>
        <v>CASSAIGNE</v>
      </c>
      <c r="E17999" s="38" t="s">
        <v>440</v>
      </c>
      <c r="F17999" s="38" t="s">
        <v>94</v>
      </c>
      <c r="G17999" s="49" t="str">
        <f t="shared" si="1"/>
        <v>32100</v>
      </c>
      <c r="H17999" s="49">
        <f t="shared" si="2"/>
        <v>32075</v>
      </c>
    </row>
    <row r="18000">
      <c r="A18000" s="48" t="s">
        <v>2521</v>
      </c>
      <c r="B18000" s="38">
        <v>28268.0</v>
      </c>
      <c r="C18000" s="38" t="s">
        <v>22429</v>
      </c>
      <c r="D18000" s="38" t="str">
        <f>IFERROR(__xludf.DUMMYFUNCTION("REGEXREPLACE(C18000,""-\d+(.*)|--\d+(.*)"","""")"),"MORAINVILLE")</f>
        <v>MORAINVILLE</v>
      </c>
      <c r="E18000" s="38" t="s">
        <v>300</v>
      </c>
      <c r="F18000" s="38" t="s">
        <v>123</v>
      </c>
      <c r="G18000" s="49" t="str">
        <f t="shared" si="1"/>
        <v>28700</v>
      </c>
      <c r="H18000" s="49">
        <f t="shared" si="2"/>
        <v>28268</v>
      </c>
    </row>
    <row r="18001">
      <c r="A18001" s="48" t="s">
        <v>4290</v>
      </c>
      <c r="B18001" s="38">
        <v>69126.0</v>
      </c>
      <c r="C18001" s="38" t="s">
        <v>11924</v>
      </c>
      <c r="D18001" s="38" t="str">
        <f>IFERROR(__xludf.DUMMYFUNCTION("REGEXREPLACE(C18001,""-\d+(.*)|--\d+(.*)"","""")"),"MARCY")</f>
        <v>MARCY</v>
      </c>
      <c r="E18001" s="38" t="s">
        <v>350</v>
      </c>
      <c r="F18001" s="38" t="s">
        <v>102</v>
      </c>
      <c r="G18001" s="49" t="str">
        <f t="shared" si="1"/>
        <v>69480</v>
      </c>
      <c r="H18001" s="49">
        <f t="shared" si="2"/>
        <v>69126</v>
      </c>
    </row>
    <row r="18002">
      <c r="A18002" s="48" t="s">
        <v>19293</v>
      </c>
      <c r="B18002" s="38">
        <v>18056.0</v>
      </c>
      <c r="C18002" s="38" t="s">
        <v>22430</v>
      </c>
      <c r="D18002" s="38" t="str">
        <f>IFERROR(__xludf.DUMMYFUNCTION("REGEXREPLACE(C18002,""-\d+(.*)|--\d+(.*)"","""")"),"CHASSY")</f>
        <v>CHASSY</v>
      </c>
      <c r="E18002" s="38" t="s">
        <v>504</v>
      </c>
      <c r="F18002" s="38" t="s">
        <v>123</v>
      </c>
      <c r="G18002" s="49" t="str">
        <f t="shared" si="1"/>
        <v>18800</v>
      </c>
      <c r="H18002" s="49">
        <f t="shared" si="2"/>
        <v>18056</v>
      </c>
    </row>
    <row r="18003">
      <c r="A18003" s="48" t="s">
        <v>1544</v>
      </c>
      <c r="B18003" s="38">
        <v>2725.0</v>
      </c>
      <c r="C18003" s="38" t="s">
        <v>22431</v>
      </c>
      <c r="D18003" s="38" t="str">
        <f>IFERROR(__xludf.DUMMYFUNCTION("REGEXREPLACE(C18003,""-\d+(.*)|--\d+(.*)"","""")"),"SOMMERON")</f>
        <v>SOMMERON</v>
      </c>
      <c r="E18003" s="38" t="s">
        <v>191</v>
      </c>
      <c r="F18003" s="38" t="s">
        <v>113</v>
      </c>
      <c r="G18003" s="49" t="str">
        <f t="shared" si="1"/>
        <v>02260</v>
      </c>
      <c r="H18003" s="49" t="str">
        <f t="shared" si="2"/>
        <v>02725</v>
      </c>
    </row>
    <row r="18004">
      <c r="A18004" s="48" t="s">
        <v>910</v>
      </c>
      <c r="B18004" s="38">
        <v>32297.0</v>
      </c>
      <c r="C18004" s="38" t="s">
        <v>22432</v>
      </c>
      <c r="D18004" s="38" t="str">
        <f>IFERROR(__xludf.DUMMYFUNCTION("REGEXREPLACE(C18004,""-\d+(.*)|--\d+(.*)"","""")"),"NOILHAN")</f>
        <v>NOILHAN</v>
      </c>
      <c r="E18004" s="38" t="s">
        <v>440</v>
      </c>
      <c r="F18004" s="38" t="s">
        <v>94</v>
      </c>
      <c r="G18004" s="49" t="str">
        <f t="shared" si="1"/>
        <v>32130</v>
      </c>
      <c r="H18004" s="49">
        <f t="shared" si="2"/>
        <v>32297</v>
      </c>
    </row>
    <row r="18005">
      <c r="A18005" s="48" t="s">
        <v>1605</v>
      </c>
      <c r="B18005" s="38">
        <v>17322.0</v>
      </c>
      <c r="C18005" s="38" t="s">
        <v>22433</v>
      </c>
      <c r="D18005" s="38" t="str">
        <f>IFERROR(__xludf.DUMMYFUNCTION("REGEXREPLACE(C18005,""-\d+(.*)|--\d+(.*)"","""")"),"SAINT-CYR-DU-DORET")</f>
        <v>SAINT-CYR-DU-DORET</v>
      </c>
      <c r="E18005" s="38" t="s">
        <v>488</v>
      </c>
      <c r="F18005" s="38" t="s">
        <v>338</v>
      </c>
      <c r="G18005" s="49" t="str">
        <f t="shared" si="1"/>
        <v>17170</v>
      </c>
      <c r="H18005" s="49">
        <f t="shared" si="2"/>
        <v>17322</v>
      </c>
    </row>
    <row r="18006">
      <c r="A18006" s="48" t="s">
        <v>7804</v>
      </c>
      <c r="B18006" s="38">
        <v>51103.0</v>
      </c>
      <c r="C18006" s="38" t="s">
        <v>22434</v>
      </c>
      <c r="D18006" s="38" t="str">
        <f>IFERROR(__xludf.DUMMYFUNCTION("REGEXREPLACE(C18006,""-\d+(.*)|--\d+(.*)"","""")"),"LA CELLE-SOUS-CHANTEMERLE")</f>
        <v>LA CELLE-SOUS-CHANTEMERLE</v>
      </c>
      <c r="E18006" s="38" t="s">
        <v>129</v>
      </c>
      <c r="F18006" s="38" t="s">
        <v>130</v>
      </c>
      <c r="G18006" s="49" t="str">
        <f t="shared" si="1"/>
        <v>51260</v>
      </c>
      <c r="H18006" s="49">
        <f t="shared" si="2"/>
        <v>51103</v>
      </c>
    </row>
    <row r="18007">
      <c r="A18007" s="48" t="s">
        <v>13077</v>
      </c>
      <c r="B18007" s="38">
        <v>3055.0</v>
      </c>
      <c r="C18007" s="38" t="s">
        <v>22435</v>
      </c>
      <c r="D18007" s="38" t="str">
        <f>IFERROR(__xludf.DUMMYFUNCTION("REGEXREPLACE(C18007,""-\d+(.*)|--\d+(.*)"","""")"),"LA CHAPELAUDE")</f>
        <v>LA CHAPELAUDE</v>
      </c>
      <c r="E18007" s="38" t="s">
        <v>160</v>
      </c>
      <c r="F18007" s="38" t="s">
        <v>161</v>
      </c>
      <c r="G18007" s="49" t="str">
        <f t="shared" si="1"/>
        <v>03380</v>
      </c>
      <c r="H18007" s="49" t="str">
        <f t="shared" si="2"/>
        <v>03055</v>
      </c>
    </row>
    <row r="18008">
      <c r="A18008" s="48" t="s">
        <v>3900</v>
      </c>
      <c r="B18008" s="38">
        <v>2550.0</v>
      </c>
      <c r="C18008" s="38" t="s">
        <v>22436</v>
      </c>
      <c r="D18008" s="38" t="str">
        <f>IFERROR(__xludf.DUMMYFUNCTION("REGEXREPLACE(C18008,""-\d+(.*)|--\d+(.*)"","""")"),"NEUVILLE-SUR-AILETTE")</f>
        <v>NEUVILLE-SUR-AILETTE</v>
      </c>
      <c r="E18008" s="38" t="s">
        <v>191</v>
      </c>
      <c r="F18008" s="38" t="s">
        <v>113</v>
      </c>
      <c r="G18008" s="49" t="str">
        <f t="shared" si="1"/>
        <v>02860</v>
      </c>
      <c r="H18008" s="49" t="str">
        <f t="shared" si="2"/>
        <v>02550</v>
      </c>
    </row>
    <row r="18009">
      <c r="A18009" s="48" t="s">
        <v>1108</v>
      </c>
      <c r="B18009" s="38">
        <v>27276.0</v>
      </c>
      <c r="C18009" s="38" t="s">
        <v>22437</v>
      </c>
      <c r="D18009" s="38" t="str">
        <f>IFERROR(__xludf.DUMMYFUNCTION("REGEXREPLACE(C18009,""-\d+(.*)|--\d+(.*)"","""")"),"GAMACHES-EN-VEXIN")</f>
        <v>GAMACHES-EN-VEXIN</v>
      </c>
      <c r="E18009" s="38" t="s">
        <v>241</v>
      </c>
      <c r="F18009" s="38" t="s">
        <v>134</v>
      </c>
      <c r="G18009" s="49" t="str">
        <f t="shared" si="1"/>
        <v>27150</v>
      </c>
      <c r="H18009" s="49">
        <f t="shared" si="2"/>
        <v>27276</v>
      </c>
    </row>
    <row r="18010">
      <c r="A18010" s="48" t="s">
        <v>1389</v>
      </c>
      <c r="B18010" s="38">
        <v>4150.0</v>
      </c>
      <c r="C18010" s="38" t="s">
        <v>22438</v>
      </c>
      <c r="D18010" s="38" t="str">
        <f>IFERROR(__xludf.DUMMYFUNCTION("REGEXREPLACE(C18010,""-\d+(.*)|--\d+(.*)"","""")"),"PIEGUT")</f>
        <v>PIEGUT</v>
      </c>
      <c r="E18010" s="38" t="s">
        <v>662</v>
      </c>
      <c r="F18010" s="38" t="s">
        <v>228</v>
      </c>
      <c r="G18010" s="49" t="str">
        <f t="shared" si="1"/>
        <v>05130</v>
      </c>
      <c r="H18010" s="49" t="str">
        <f t="shared" si="2"/>
        <v>04150</v>
      </c>
    </row>
    <row r="18011">
      <c r="A18011" s="48" t="s">
        <v>2650</v>
      </c>
      <c r="B18011" s="38">
        <v>65358.0</v>
      </c>
      <c r="C18011" s="38" t="s">
        <v>22439</v>
      </c>
      <c r="D18011" s="38" t="str">
        <f>IFERROR(__xludf.DUMMYFUNCTION("REGEXREPLACE(C18011,""-\d+(.*)|--\d+(.*)"","""")"),"PEYRET-SAINT-ANDRE")</f>
        <v>PEYRET-SAINT-ANDRE</v>
      </c>
      <c r="E18011" s="38" t="s">
        <v>200</v>
      </c>
      <c r="F18011" s="38" t="s">
        <v>94</v>
      </c>
      <c r="G18011" s="49" t="str">
        <f t="shared" si="1"/>
        <v>65230</v>
      </c>
      <c r="H18011" s="49">
        <f t="shared" si="2"/>
        <v>65358</v>
      </c>
    </row>
    <row r="18012">
      <c r="A18012" s="48" t="s">
        <v>1995</v>
      </c>
      <c r="B18012" s="38">
        <v>77393.0</v>
      </c>
      <c r="C18012" s="38" t="s">
        <v>22440</v>
      </c>
      <c r="D18012" s="38" t="str">
        <f>IFERROR(__xludf.DUMMYFUNCTION("REGEXREPLACE(C18012,""-\d+(.*)|--\d+(.*)"","""")"),"ROZAY-EN-BRIE")</f>
        <v>ROZAY-EN-BRIE</v>
      </c>
      <c r="E18012" s="38" t="s">
        <v>244</v>
      </c>
      <c r="F18012" s="38" t="s">
        <v>245</v>
      </c>
      <c r="G18012" s="49" t="str">
        <f t="shared" si="1"/>
        <v>77540</v>
      </c>
      <c r="H18012" s="49">
        <f t="shared" si="2"/>
        <v>77393</v>
      </c>
    </row>
    <row r="18013">
      <c r="A18013" s="48" t="s">
        <v>4473</v>
      </c>
      <c r="B18013" s="38">
        <v>5037.0</v>
      </c>
      <c r="C18013" s="38" t="s">
        <v>21326</v>
      </c>
      <c r="D18013" s="38" t="str">
        <f>IFERROR(__xludf.DUMMYFUNCTION("REGEXREPLACE(C18013,""-\d+(.*)|--\d+(.*)"","""")"),"CHATEAUVIEUX")</f>
        <v>CHATEAUVIEUX</v>
      </c>
      <c r="E18013" s="38" t="s">
        <v>706</v>
      </c>
      <c r="F18013" s="38" t="s">
        <v>228</v>
      </c>
      <c r="G18013" s="49" t="str">
        <f t="shared" si="1"/>
        <v>05000</v>
      </c>
      <c r="H18013" s="49" t="str">
        <f t="shared" si="2"/>
        <v>05037</v>
      </c>
    </row>
    <row r="18014">
      <c r="A18014" s="48" t="s">
        <v>3102</v>
      </c>
      <c r="B18014" s="38">
        <v>55460.0</v>
      </c>
      <c r="C18014" s="38" t="s">
        <v>22441</v>
      </c>
      <c r="D18014" s="38" t="str">
        <f>IFERROR(__xludf.DUMMYFUNCTION("REGEXREPLACE(C18014,""-\d+(.*)|--\d+(.*)"","""")"),"SAINT-JULIEN-SOUS-LES-COTES")</f>
        <v>SAINT-JULIEN-SOUS-LES-COTES</v>
      </c>
      <c r="E18014" s="38" t="s">
        <v>322</v>
      </c>
      <c r="F18014" s="38" t="s">
        <v>195</v>
      </c>
      <c r="G18014" s="49" t="str">
        <f t="shared" si="1"/>
        <v>55200</v>
      </c>
      <c r="H18014" s="49">
        <f t="shared" si="2"/>
        <v>55460</v>
      </c>
    </row>
    <row r="18015">
      <c r="A18015" s="48" t="s">
        <v>1949</v>
      </c>
      <c r="B18015" s="38">
        <v>32406.0</v>
      </c>
      <c r="C18015" s="38" t="s">
        <v>22442</v>
      </c>
      <c r="D18015" s="38" t="str">
        <f>IFERROR(__xludf.DUMMYFUNCTION("REGEXREPLACE(C18015,""-\d+(.*)|--\d+(.*)"","""")"),"SAINT-SAUVY")</f>
        <v>SAINT-SAUVY</v>
      </c>
      <c r="E18015" s="38" t="s">
        <v>440</v>
      </c>
      <c r="F18015" s="38" t="s">
        <v>94</v>
      </c>
      <c r="G18015" s="49" t="str">
        <f t="shared" si="1"/>
        <v>32270</v>
      </c>
      <c r="H18015" s="49">
        <f t="shared" si="2"/>
        <v>32406</v>
      </c>
    </row>
    <row r="18016">
      <c r="A18016" s="48" t="s">
        <v>211</v>
      </c>
      <c r="B18016" s="38">
        <v>25070.0</v>
      </c>
      <c r="C18016" s="38" t="s">
        <v>22443</v>
      </c>
      <c r="D18016" s="38" t="str">
        <f>IFERROR(__xludf.DUMMYFUNCTION("REGEXREPLACE(C18016,""-\d+(.*)|--\d+(.*)"","""")"),"BOLANDOZ")</f>
        <v>BOLANDOZ</v>
      </c>
      <c r="E18016" s="38" t="s">
        <v>213</v>
      </c>
      <c r="F18016" s="38" t="s">
        <v>214</v>
      </c>
      <c r="G18016" s="49" t="str">
        <f t="shared" si="1"/>
        <v>25330</v>
      </c>
      <c r="H18016" s="49">
        <f t="shared" si="2"/>
        <v>25070</v>
      </c>
    </row>
    <row r="18017">
      <c r="A18017" s="48" t="s">
        <v>3666</v>
      </c>
      <c r="B18017" s="38">
        <v>21203.0</v>
      </c>
      <c r="C18017" s="38" t="s">
        <v>22444</v>
      </c>
      <c r="D18017" s="38" t="str">
        <f>IFERROR(__xludf.DUMMYFUNCTION("REGEXREPLACE(C18017,""-\d+(.*)|--\d+(.*)"","""")"),"COURCELLES-FREMOY")</f>
        <v>COURCELLES-FREMOY</v>
      </c>
      <c r="E18017" s="38" t="s">
        <v>105</v>
      </c>
      <c r="F18017" s="38" t="s">
        <v>106</v>
      </c>
      <c r="G18017" s="49" t="str">
        <f t="shared" si="1"/>
        <v>21460</v>
      </c>
      <c r="H18017" s="49">
        <f t="shared" si="2"/>
        <v>21203</v>
      </c>
    </row>
    <row r="18018">
      <c r="A18018" s="48" t="s">
        <v>16193</v>
      </c>
      <c r="B18018" s="38">
        <v>73062.0</v>
      </c>
      <c r="C18018" s="38" t="s">
        <v>22445</v>
      </c>
      <c r="D18018" s="38" t="str">
        <f>IFERROR(__xludf.DUMMYFUNCTION("REGEXREPLACE(C18018,""-\d+(.*)|--\d+(.*)"","""")"),"CESSENS")</f>
        <v>CESSENS</v>
      </c>
      <c r="E18018" s="38" t="s">
        <v>306</v>
      </c>
      <c r="F18018" s="38" t="s">
        <v>102</v>
      </c>
      <c r="G18018" s="49" t="str">
        <f t="shared" si="1"/>
        <v>73410</v>
      </c>
      <c r="H18018" s="49">
        <f t="shared" si="2"/>
        <v>73062</v>
      </c>
    </row>
    <row r="18019">
      <c r="A18019" s="48" t="s">
        <v>8502</v>
      </c>
      <c r="B18019" s="38">
        <v>67468.0</v>
      </c>
      <c r="C18019" s="38" t="s">
        <v>22446</v>
      </c>
      <c r="D18019" s="38" t="str">
        <f>IFERROR(__xludf.DUMMYFUNCTION("REGEXREPLACE(C18019,""-\d+(.*)|--\d+(.*)"","""")"),"SILTZHEIM")</f>
        <v>SILTZHEIM</v>
      </c>
      <c r="E18019" s="38" t="s">
        <v>210</v>
      </c>
      <c r="F18019" s="38" t="s">
        <v>151</v>
      </c>
      <c r="G18019" s="49" t="str">
        <f t="shared" si="1"/>
        <v>67260</v>
      </c>
      <c r="H18019" s="49">
        <f t="shared" si="2"/>
        <v>67468</v>
      </c>
    </row>
    <row r="18020">
      <c r="A18020" s="48" t="s">
        <v>9297</v>
      </c>
      <c r="B18020" s="38">
        <v>41007.0</v>
      </c>
      <c r="C18020" s="38" t="s">
        <v>2948</v>
      </c>
      <c r="D18020" s="38" t="str">
        <f>IFERROR(__xludf.DUMMYFUNCTION("REGEXREPLACE(C18020,""-\d+(.*)|--\d+(.*)"","""")"),"AUTHON")</f>
        <v>AUTHON</v>
      </c>
      <c r="E18020" s="38" t="s">
        <v>188</v>
      </c>
      <c r="F18020" s="38" t="s">
        <v>123</v>
      </c>
      <c r="G18020" s="49" t="str">
        <f t="shared" si="1"/>
        <v>41310</v>
      </c>
      <c r="H18020" s="49">
        <f t="shared" si="2"/>
        <v>41007</v>
      </c>
    </row>
    <row r="18021">
      <c r="A18021" s="48" t="s">
        <v>5913</v>
      </c>
      <c r="B18021" s="38">
        <v>7069.0</v>
      </c>
      <c r="C18021" s="38" t="s">
        <v>22447</v>
      </c>
      <c r="D18021" s="38" t="str">
        <f>IFERROR(__xludf.DUMMYFUNCTION("REGEXREPLACE(C18021,""-\d+(.*)|--\d+(.*)"","""")"),"COLOMBIER-LE-VIEUX")</f>
        <v>COLOMBIER-LE-VIEUX</v>
      </c>
      <c r="E18021" s="38" t="s">
        <v>144</v>
      </c>
      <c r="F18021" s="38" t="s">
        <v>102</v>
      </c>
      <c r="G18021" s="49" t="str">
        <f t="shared" si="1"/>
        <v>07410</v>
      </c>
      <c r="H18021" s="49" t="str">
        <f t="shared" si="2"/>
        <v>07069</v>
      </c>
    </row>
    <row r="18022">
      <c r="A18022" s="48" t="s">
        <v>114</v>
      </c>
      <c r="B18022" s="38">
        <v>62872.0</v>
      </c>
      <c r="C18022" s="38" t="s">
        <v>22448</v>
      </c>
      <c r="D18022" s="38" t="str">
        <f>IFERROR(__xludf.DUMMYFUNCTION("REGEXREPLACE(C18022,""-\d+(.*)|--\d+(.*)"","""")"),"WAMIN")</f>
        <v>WAMIN</v>
      </c>
      <c r="E18022" s="38" t="s">
        <v>109</v>
      </c>
      <c r="F18022" s="38" t="s">
        <v>86</v>
      </c>
      <c r="G18022" s="49" t="str">
        <f t="shared" si="1"/>
        <v>62770</v>
      </c>
      <c r="H18022" s="49">
        <f t="shared" si="2"/>
        <v>62872</v>
      </c>
    </row>
    <row r="18023">
      <c r="A18023" s="48" t="s">
        <v>3783</v>
      </c>
      <c r="B18023" s="38">
        <v>62158.0</v>
      </c>
      <c r="C18023" s="38" t="s">
        <v>22449</v>
      </c>
      <c r="D18023" s="38" t="str">
        <f>IFERROR(__xludf.DUMMYFUNCTION("REGEXREPLACE(C18023,""-\d+(.*)|--\d+(.*)"","""")"),"BOUBERS-SUR-CANCHE")</f>
        <v>BOUBERS-SUR-CANCHE</v>
      </c>
      <c r="E18023" s="38" t="s">
        <v>109</v>
      </c>
      <c r="F18023" s="38" t="s">
        <v>86</v>
      </c>
      <c r="G18023" s="49" t="str">
        <f t="shared" si="1"/>
        <v>62270</v>
      </c>
      <c r="H18023" s="49">
        <f t="shared" si="2"/>
        <v>62158</v>
      </c>
    </row>
    <row r="18024">
      <c r="A18024" s="48" t="s">
        <v>5461</v>
      </c>
      <c r="B18024" s="38">
        <v>86150.0</v>
      </c>
      <c r="C18024" s="38" t="s">
        <v>22450</v>
      </c>
      <c r="D18024" s="38" t="str">
        <f>IFERROR(__xludf.DUMMYFUNCTION("REGEXREPLACE(C18024,""-\d+(.*)|--\d+(.*)"","""")"),"MASSOGNES")</f>
        <v>MASSOGNES</v>
      </c>
      <c r="E18024" s="38" t="s">
        <v>529</v>
      </c>
      <c r="F18024" s="38" t="s">
        <v>338</v>
      </c>
      <c r="G18024" s="49" t="str">
        <f t="shared" si="1"/>
        <v>86170</v>
      </c>
      <c r="H18024" s="49">
        <f t="shared" si="2"/>
        <v>86150</v>
      </c>
    </row>
    <row r="18025">
      <c r="A18025" s="48" t="s">
        <v>11059</v>
      </c>
      <c r="B18025" s="38">
        <v>48026.0</v>
      </c>
      <c r="C18025" s="38" t="s">
        <v>22451</v>
      </c>
      <c r="D18025" s="38" t="str">
        <f>IFERROR(__xludf.DUMMYFUNCTION("REGEXREPLACE(C18025,""-\d+(.*)|--\d+(.*)"","""")"),"BLAVIGNAC")</f>
        <v>BLAVIGNAC</v>
      </c>
      <c r="E18025" s="38" t="s">
        <v>154</v>
      </c>
      <c r="F18025" s="38" t="s">
        <v>119</v>
      </c>
      <c r="G18025" s="49" t="str">
        <f t="shared" si="1"/>
        <v>48200</v>
      </c>
      <c r="H18025" s="49">
        <f t="shared" si="2"/>
        <v>48026</v>
      </c>
    </row>
    <row r="18026">
      <c r="A18026" s="48" t="s">
        <v>5608</v>
      </c>
      <c r="B18026" s="38">
        <v>57430.0</v>
      </c>
      <c r="C18026" s="38" t="s">
        <v>22452</v>
      </c>
      <c r="D18026" s="38" t="str">
        <f>IFERROR(__xludf.DUMMYFUNCTION("REGEXREPLACE(C18026,""-\d+(.*)|--\d+(.*)"","""")"),"MAINVILLERS")</f>
        <v>MAINVILLERS</v>
      </c>
      <c r="E18026" s="38" t="s">
        <v>303</v>
      </c>
      <c r="F18026" s="38" t="s">
        <v>195</v>
      </c>
      <c r="G18026" s="49" t="str">
        <f t="shared" si="1"/>
        <v>57380</v>
      </c>
      <c r="H18026" s="49">
        <f t="shared" si="2"/>
        <v>57430</v>
      </c>
    </row>
    <row r="18027">
      <c r="A18027" s="48" t="s">
        <v>8979</v>
      </c>
      <c r="B18027" s="38">
        <v>17136.0</v>
      </c>
      <c r="C18027" s="38" t="s">
        <v>22453</v>
      </c>
      <c r="D18027" s="38" t="str">
        <f>IFERROR(__xludf.DUMMYFUNCTION("REGEXREPLACE(C18027,""-\d+(.*)|--\d+(.*)"","""")"),"CROIX-CHAPEAU")</f>
        <v>CROIX-CHAPEAU</v>
      </c>
      <c r="E18027" s="38" t="s">
        <v>488</v>
      </c>
      <c r="F18027" s="38" t="s">
        <v>338</v>
      </c>
      <c r="G18027" s="49" t="str">
        <f t="shared" si="1"/>
        <v>17220</v>
      </c>
      <c r="H18027" s="49">
        <f t="shared" si="2"/>
        <v>17136</v>
      </c>
    </row>
    <row r="18028">
      <c r="A18028" s="48" t="s">
        <v>3244</v>
      </c>
      <c r="B18028" s="38">
        <v>27234.0</v>
      </c>
      <c r="C18028" s="38" t="s">
        <v>22454</v>
      </c>
      <c r="D18028" s="38" t="str">
        <f>IFERROR(__xludf.DUMMYFUNCTION("REGEXREPLACE(C18028,""-\d+(.*)|--\d+(.*)"","""")"),"FAUVILLE")</f>
        <v>FAUVILLE</v>
      </c>
      <c r="E18028" s="38" t="s">
        <v>241</v>
      </c>
      <c r="F18028" s="38" t="s">
        <v>134</v>
      </c>
      <c r="G18028" s="49" t="str">
        <f t="shared" si="1"/>
        <v>27930</v>
      </c>
      <c r="H18028" s="49">
        <f t="shared" si="2"/>
        <v>27234</v>
      </c>
    </row>
    <row r="18029">
      <c r="A18029" s="48" t="s">
        <v>18194</v>
      </c>
      <c r="B18029" s="38">
        <v>36159.0</v>
      </c>
      <c r="C18029" s="38" t="s">
        <v>22455</v>
      </c>
      <c r="D18029" s="38" t="str">
        <f>IFERROR(__xludf.DUMMYFUNCTION("REGEXREPLACE(C18029,""-\d+(.*)|--\d+(.*)"","""")"),"LE POINCONNET")</f>
        <v>LE POINCONNET</v>
      </c>
      <c r="E18029" s="38" t="s">
        <v>258</v>
      </c>
      <c r="F18029" s="38" t="s">
        <v>123</v>
      </c>
      <c r="G18029" s="49" t="str">
        <f t="shared" si="1"/>
        <v>36330</v>
      </c>
      <c r="H18029" s="49">
        <f t="shared" si="2"/>
        <v>36159</v>
      </c>
    </row>
    <row r="18030">
      <c r="A18030" s="48" t="s">
        <v>22456</v>
      </c>
      <c r="B18030" s="38">
        <v>88351.0</v>
      </c>
      <c r="C18030" s="38" t="s">
        <v>22457</v>
      </c>
      <c r="D18030" s="38" t="str">
        <f>IFERROR(__xludf.DUMMYFUNCTION("REGEXREPLACE(C18030,""-\d+(.*)|--\d+(.*)"","""")"),"PLOMBIERES-LES-BAINS")</f>
        <v>PLOMBIERES-LES-BAINS</v>
      </c>
      <c r="E18030" s="38" t="s">
        <v>194</v>
      </c>
      <c r="F18030" s="38" t="s">
        <v>195</v>
      </c>
      <c r="G18030" s="49" t="str">
        <f t="shared" si="1"/>
        <v>88370</v>
      </c>
      <c r="H18030" s="49">
        <f t="shared" si="2"/>
        <v>88351</v>
      </c>
    </row>
    <row r="18031">
      <c r="A18031" s="48" t="s">
        <v>1889</v>
      </c>
      <c r="B18031" s="38">
        <v>25382.0</v>
      </c>
      <c r="C18031" s="38" t="s">
        <v>22458</v>
      </c>
      <c r="D18031" s="38" t="str">
        <f>IFERROR(__xludf.DUMMYFUNCTION("REGEXREPLACE(C18031,""-\d+(.*)|--\d+(.*)"","""")"),"MONCEY")</f>
        <v>MONCEY</v>
      </c>
      <c r="E18031" s="38" t="s">
        <v>213</v>
      </c>
      <c r="F18031" s="38" t="s">
        <v>214</v>
      </c>
      <c r="G18031" s="49" t="str">
        <f t="shared" si="1"/>
        <v>25870</v>
      </c>
      <c r="H18031" s="49">
        <f t="shared" si="2"/>
        <v>25382</v>
      </c>
    </row>
    <row r="18032">
      <c r="A18032" s="48" t="s">
        <v>10786</v>
      </c>
      <c r="B18032" s="38">
        <v>32029.0</v>
      </c>
      <c r="C18032" s="38" t="s">
        <v>22459</v>
      </c>
      <c r="D18032" s="38" t="str">
        <f>IFERROR(__xludf.DUMMYFUNCTION("REGEXREPLACE(C18032,""-\d+(.*)|--\d+(.*)"","""")"),"BARRAN")</f>
        <v>BARRAN</v>
      </c>
      <c r="E18032" s="38" t="s">
        <v>440</v>
      </c>
      <c r="F18032" s="38" t="s">
        <v>94</v>
      </c>
      <c r="G18032" s="49" t="str">
        <f t="shared" si="1"/>
        <v>32350</v>
      </c>
      <c r="H18032" s="49">
        <f t="shared" si="2"/>
        <v>32029</v>
      </c>
    </row>
    <row r="18033">
      <c r="A18033" s="48" t="s">
        <v>5779</v>
      </c>
      <c r="B18033" s="38">
        <v>86160.0</v>
      </c>
      <c r="C18033" s="38" t="s">
        <v>22460</v>
      </c>
      <c r="D18033" s="38" t="str">
        <f>IFERROR(__xludf.DUMMYFUNCTION("REGEXREPLACE(C18033,""-\d+(.*)|--\d+(.*)"","""")"),"MIREBEAU")</f>
        <v>MIREBEAU</v>
      </c>
      <c r="E18033" s="38" t="s">
        <v>529</v>
      </c>
      <c r="F18033" s="38" t="s">
        <v>338</v>
      </c>
      <c r="G18033" s="49" t="str">
        <f t="shared" si="1"/>
        <v>86110</v>
      </c>
      <c r="H18033" s="49">
        <f t="shared" si="2"/>
        <v>86160</v>
      </c>
    </row>
    <row r="18034">
      <c r="A18034" s="48" t="s">
        <v>8424</v>
      </c>
      <c r="B18034" s="38">
        <v>47042.0</v>
      </c>
      <c r="C18034" s="38" t="s">
        <v>22461</v>
      </c>
      <c r="D18034" s="38" t="str">
        <f>IFERROR(__xludf.DUMMYFUNCTION("REGEXREPLACE(C18034,""-\d+(.*)|--\d+(.*)"","""")"),"BRUGNAC")</f>
        <v>BRUGNAC</v>
      </c>
      <c r="E18034" s="38" t="s">
        <v>251</v>
      </c>
      <c r="F18034" s="38" t="s">
        <v>252</v>
      </c>
      <c r="G18034" s="49" t="str">
        <f t="shared" si="1"/>
        <v>47260</v>
      </c>
      <c r="H18034" s="49">
        <f t="shared" si="2"/>
        <v>47042</v>
      </c>
    </row>
    <row r="18035">
      <c r="A18035" s="48" t="s">
        <v>1864</v>
      </c>
      <c r="B18035" s="38">
        <v>70462.0</v>
      </c>
      <c r="C18035" s="38" t="s">
        <v>22462</v>
      </c>
      <c r="D18035" s="38" t="str">
        <f>IFERROR(__xludf.DUMMYFUNCTION("REGEXREPLACE(C18035,""-\d+(.*)|--\d+(.*)"","""")"),"SAINT-FERJEUX")</f>
        <v>SAINT-FERJEUX</v>
      </c>
      <c r="E18035" s="38" t="s">
        <v>956</v>
      </c>
      <c r="F18035" s="38" t="s">
        <v>214</v>
      </c>
      <c r="G18035" s="49" t="str">
        <f t="shared" si="1"/>
        <v>70110</v>
      </c>
      <c r="H18035" s="49">
        <f t="shared" si="2"/>
        <v>70462</v>
      </c>
    </row>
    <row r="18036">
      <c r="A18036" s="48" t="s">
        <v>22463</v>
      </c>
      <c r="B18036" s="38">
        <v>78545.0</v>
      </c>
      <c r="C18036" s="38" t="s">
        <v>22464</v>
      </c>
      <c r="D18036" s="38" t="str">
        <f>IFERROR(__xludf.DUMMYFUNCTION("REGEXREPLACE(C18036,""-\d+(.*)|--\d+(.*)"","""")"),"SAINT-CYR-L'ECOLE")</f>
        <v>SAINT-CYR-L'ECOLE</v>
      </c>
      <c r="E18036" s="38" t="s">
        <v>362</v>
      </c>
      <c r="F18036" s="38" t="s">
        <v>245</v>
      </c>
      <c r="G18036" s="49" t="str">
        <f t="shared" si="1"/>
        <v>78210</v>
      </c>
      <c r="H18036" s="49">
        <f t="shared" si="2"/>
        <v>78545</v>
      </c>
    </row>
    <row r="18037">
      <c r="A18037" s="48" t="s">
        <v>14779</v>
      </c>
      <c r="B18037" s="38">
        <v>19091.0</v>
      </c>
      <c r="C18037" s="38" t="s">
        <v>22465</v>
      </c>
      <c r="D18037" s="38" t="str">
        <f>IFERROR(__xludf.DUMMYFUNCTION("REGEXREPLACE(C18037,""-\d+(.*)|--\d+(.*)"","""")"),"HAUTEFAGE")</f>
        <v>HAUTEFAGE</v>
      </c>
      <c r="E18037" s="38" t="s">
        <v>271</v>
      </c>
      <c r="F18037" s="38" t="s">
        <v>98</v>
      </c>
      <c r="G18037" s="49" t="str">
        <f t="shared" si="1"/>
        <v>19400</v>
      </c>
      <c r="H18037" s="49">
        <f t="shared" si="2"/>
        <v>19091</v>
      </c>
    </row>
    <row r="18038">
      <c r="A18038" s="48" t="s">
        <v>651</v>
      </c>
      <c r="B18038" s="38">
        <v>49047.0</v>
      </c>
      <c r="C18038" s="38" t="s">
        <v>22466</v>
      </c>
      <c r="D18038" s="38" t="str">
        <f>IFERROR(__xludf.DUMMYFUNCTION("REGEXREPLACE(C18038,""-\d+(.*)|--\d+(.*)"","""")"),"BRIGNE")</f>
        <v>BRIGNE</v>
      </c>
      <c r="E18038" s="38" t="s">
        <v>653</v>
      </c>
      <c r="F18038" s="38" t="s">
        <v>180</v>
      </c>
      <c r="G18038" s="49" t="str">
        <f t="shared" si="1"/>
        <v>49700</v>
      </c>
      <c r="H18038" s="49">
        <f t="shared" si="2"/>
        <v>49047</v>
      </c>
    </row>
    <row r="18039">
      <c r="A18039" s="48" t="s">
        <v>1883</v>
      </c>
      <c r="B18039" s="38">
        <v>39076.0</v>
      </c>
      <c r="C18039" s="38" t="s">
        <v>22467</v>
      </c>
      <c r="D18039" s="38" t="str">
        <f>IFERROR(__xludf.DUMMYFUNCTION("REGEXREPLACE(C18039,""-\d+(.*)|--\d+(.*)"","""")"),"LA BRETENIERE")</f>
        <v>LA BRETENIERE</v>
      </c>
      <c r="E18039" s="38" t="s">
        <v>400</v>
      </c>
      <c r="F18039" s="38" t="s">
        <v>214</v>
      </c>
      <c r="G18039" s="49" t="str">
        <f t="shared" si="1"/>
        <v>39700</v>
      </c>
      <c r="H18039" s="49">
        <f t="shared" si="2"/>
        <v>39076</v>
      </c>
    </row>
    <row r="18040">
      <c r="A18040" s="48" t="s">
        <v>11699</v>
      </c>
      <c r="B18040" s="38">
        <v>38108.0</v>
      </c>
      <c r="C18040" s="38" t="s">
        <v>22468</v>
      </c>
      <c r="D18040" s="38" t="str">
        <f>IFERROR(__xludf.DUMMYFUNCTION("REGEXREPLACE(C18040,""-\d+(.*)|--\d+(.*)"","""")"),"CHORANCHE")</f>
        <v>CHORANCHE</v>
      </c>
      <c r="E18040" s="38" t="s">
        <v>101</v>
      </c>
      <c r="F18040" s="38" t="s">
        <v>102</v>
      </c>
      <c r="G18040" s="49" t="str">
        <f t="shared" si="1"/>
        <v>38680</v>
      </c>
      <c r="H18040" s="49">
        <f t="shared" si="2"/>
        <v>38108</v>
      </c>
    </row>
    <row r="18041">
      <c r="A18041" s="48" t="s">
        <v>3266</v>
      </c>
      <c r="B18041" s="38">
        <v>55144.0</v>
      </c>
      <c r="C18041" s="38" t="s">
        <v>22469</v>
      </c>
      <c r="D18041" s="38" t="str">
        <f>IFERROR(__xludf.DUMMYFUNCTION("REGEXREPLACE(C18041,""-\d+(.*)|--\d+(.*)"","""")"),"DAMMARIE-SUR-SAULX")</f>
        <v>DAMMARIE-SUR-SAULX</v>
      </c>
      <c r="E18041" s="38" t="s">
        <v>322</v>
      </c>
      <c r="F18041" s="38" t="s">
        <v>195</v>
      </c>
      <c r="G18041" s="49" t="str">
        <f t="shared" si="1"/>
        <v>55500</v>
      </c>
      <c r="H18041" s="49">
        <f t="shared" si="2"/>
        <v>55144</v>
      </c>
    </row>
    <row r="18042">
      <c r="A18042" s="48" t="s">
        <v>8374</v>
      </c>
      <c r="B18042" s="38">
        <v>85199.0</v>
      </c>
      <c r="C18042" s="38" t="s">
        <v>22470</v>
      </c>
      <c r="D18042" s="38" t="str">
        <f>IFERROR(__xludf.DUMMYFUNCTION("REGEXREPLACE(C18042,""-\d+(.*)|--\d+(.*)"","""")"),"SAINT-AUBIN-LA-PLAINE")</f>
        <v>SAINT-AUBIN-LA-PLAINE</v>
      </c>
      <c r="E18042" s="38" t="s">
        <v>179</v>
      </c>
      <c r="F18042" s="38" t="s">
        <v>180</v>
      </c>
      <c r="G18042" s="49" t="str">
        <f t="shared" si="1"/>
        <v>85210</v>
      </c>
      <c r="H18042" s="49">
        <f t="shared" si="2"/>
        <v>85199</v>
      </c>
    </row>
    <row r="18043">
      <c r="A18043" s="48" t="s">
        <v>1829</v>
      </c>
      <c r="B18043" s="38">
        <v>59397.0</v>
      </c>
      <c r="C18043" s="38" t="s">
        <v>22471</v>
      </c>
      <c r="D18043" s="38" t="str">
        <f>IFERROR(__xludf.DUMMYFUNCTION("REGEXREPLACE(C18043,""-\d+(.*)|--\d+(.*)"","""")"),"MERCKEGHEM")</f>
        <v>MERCKEGHEM</v>
      </c>
      <c r="E18043" s="38" t="s">
        <v>85</v>
      </c>
      <c r="F18043" s="38" t="s">
        <v>86</v>
      </c>
      <c r="G18043" s="49" t="str">
        <f t="shared" si="1"/>
        <v>59470</v>
      </c>
      <c r="H18043" s="49">
        <f t="shared" si="2"/>
        <v>59397</v>
      </c>
    </row>
    <row r="18044">
      <c r="A18044" s="48" t="s">
        <v>22472</v>
      </c>
      <c r="B18044" s="38">
        <v>29042.0</v>
      </c>
      <c r="C18044" s="38" t="s">
        <v>22473</v>
      </c>
      <c r="D18044" s="38" t="str">
        <f>IFERROR(__xludf.DUMMYFUNCTION("REGEXREPLACE(C18044,""-\d+(.*)|--\d+(.*)"","""")"),"CROZON")</f>
        <v>CROZON</v>
      </c>
      <c r="E18044" s="38" t="s">
        <v>176</v>
      </c>
      <c r="F18044" s="38" t="s">
        <v>90</v>
      </c>
      <c r="G18044" s="49" t="str">
        <f t="shared" si="1"/>
        <v>29160</v>
      </c>
      <c r="H18044" s="49">
        <f t="shared" si="2"/>
        <v>29042</v>
      </c>
    </row>
    <row r="18045">
      <c r="A18045" s="48" t="s">
        <v>7375</v>
      </c>
      <c r="B18045" s="38">
        <v>91129.0</v>
      </c>
      <c r="C18045" s="38" t="s">
        <v>22474</v>
      </c>
      <c r="D18045" s="38" t="str">
        <f>IFERROR(__xludf.DUMMYFUNCTION("REGEXREPLACE(C18045,""-\d+(.*)|--\d+(.*)"","""")"),"CERNY")</f>
        <v>CERNY</v>
      </c>
      <c r="E18045" s="38" t="s">
        <v>756</v>
      </c>
      <c r="F18045" s="38" t="s">
        <v>245</v>
      </c>
      <c r="G18045" s="49" t="str">
        <f t="shared" si="1"/>
        <v>91590</v>
      </c>
      <c r="H18045" s="49">
        <f t="shared" si="2"/>
        <v>91129</v>
      </c>
    </row>
    <row r="18046">
      <c r="A18046" s="48" t="s">
        <v>6492</v>
      </c>
      <c r="B18046" s="38">
        <v>5033.0</v>
      </c>
      <c r="C18046" s="38" t="s">
        <v>22475</v>
      </c>
      <c r="D18046" s="38" t="str">
        <f>IFERROR(__xludf.DUMMYFUNCTION("REGEXREPLACE(C18046,""-\d+(.*)|--\d+(.*)"","""")"),"CHANOUSSE")</f>
        <v>CHANOUSSE</v>
      </c>
      <c r="E18046" s="38" t="s">
        <v>706</v>
      </c>
      <c r="F18046" s="38" t="s">
        <v>228</v>
      </c>
      <c r="G18046" s="49" t="str">
        <f t="shared" si="1"/>
        <v>05700</v>
      </c>
      <c r="H18046" s="49" t="str">
        <f t="shared" si="2"/>
        <v>05033</v>
      </c>
    </row>
    <row r="18047">
      <c r="A18047" s="48" t="s">
        <v>2569</v>
      </c>
      <c r="B18047" s="38">
        <v>49002.0</v>
      </c>
      <c r="C18047" s="38" t="s">
        <v>22476</v>
      </c>
      <c r="D18047" s="38" t="str">
        <f>IFERROR(__xludf.DUMMYFUNCTION("REGEXREPLACE(C18047,""-\d+(.*)|--\d+(.*)"","""")"),"ALLONNES")</f>
        <v>ALLONNES</v>
      </c>
      <c r="E18047" s="38" t="s">
        <v>653</v>
      </c>
      <c r="F18047" s="38" t="s">
        <v>180</v>
      </c>
      <c r="G18047" s="49" t="str">
        <f t="shared" si="1"/>
        <v>49650</v>
      </c>
      <c r="H18047" s="49">
        <f t="shared" si="2"/>
        <v>49002</v>
      </c>
    </row>
    <row r="18048">
      <c r="A18048" s="48" t="s">
        <v>2278</v>
      </c>
      <c r="B18048" s="38">
        <v>80249.0</v>
      </c>
      <c r="C18048" s="38" t="s">
        <v>22477</v>
      </c>
      <c r="D18048" s="38" t="str">
        <f>IFERROR(__xludf.DUMMYFUNCTION("REGEXREPLACE(C18048,""-\d+(.*)|--\d+(.*)"","""")"),"DOMQUEUR")</f>
        <v>DOMQUEUR</v>
      </c>
      <c r="E18048" s="38" t="s">
        <v>224</v>
      </c>
      <c r="F18048" s="38" t="s">
        <v>113</v>
      </c>
      <c r="G18048" s="49" t="str">
        <f t="shared" si="1"/>
        <v>80620</v>
      </c>
      <c r="H18048" s="49">
        <f t="shared" si="2"/>
        <v>80249</v>
      </c>
    </row>
    <row r="18049">
      <c r="A18049" s="48" t="s">
        <v>4497</v>
      </c>
      <c r="B18049" s="38">
        <v>25099.0</v>
      </c>
      <c r="C18049" s="38" t="s">
        <v>22478</v>
      </c>
      <c r="D18049" s="38" t="str">
        <f>IFERROR(__xludf.DUMMYFUNCTION("REGEXREPLACE(C18049,""-\d+(.*)|--\d+(.*)"","""")"),"BUGNY")</f>
        <v>BUGNY</v>
      </c>
      <c r="E18049" s="38" t="s">
        <v>213</v>
      </c>
      <c r="F18049" s="38" t="s">
        <v>214</v>
      </c>
      <c r="G18049" s="49" t="str">
        <f t="shared" si="1"/>
        <v>25520</v>
      </c>
      <c r="H18049" s="49">
        <f t="shared" si="2"/>
        <v>25099</v>
      </c>
    </row>
    <row r="18050">
      <c r="A18050" s="48" t="s">
        <v>6945</v>
      </c>
      <c r="B18050" s="38">
        <v>80829.0</v>
      </c>
      <c r="C18050" s="38" t="s">
        <v>22479</v>
      </c>
      <c r="D18050" s="38" t="str">
        <f>IFERROR(__xludf.DUMMYFUNCTION("REGEXREPLACE(C18050,""-\d+(.*)|--\d+(.*)"","""")"),"Y")</f>
        <v>Y</v>
      </c>
      <c r="E18050" s="38" t="s">
        <v>224</v>
      </c>
      <c r="F18050" s="38" t="s">
        <v>113</v>
      </c>
      <c r="G18050" s="49" t="str">
        <f t="shared" si="1"/>
        <v>80190</v>
      </c>
      <c r="H18050" s="49">
        <f t="shared" si="2"/>
        <v>80829</v>
      </c>
    </row>
    <row r="18051">
      <c r="A18051" s="48" t="s">
        <v>3662</v>
      </c>
      <c r="B18051" s="38">
        <v>80518.0</v>
      </c>
      <c r="C18051" s="38" t="s">
        <v>22480</v>
      </c>
      <c r="D18051" s="38" t="str">
        <f>IFERROR(__xludf.DUMMYFUNCTION("REGEXREPLACE(C18051,""-\d+(.*)|--\d+(.*)"","""")"),"MARTAINNEVILLE")</f>
        <v>MARTAINNEVILLE</v>
      </c>
      <c r="E18051" s="38" t="s">
        <v>224</v>
      </c>
      <c r="F18051" s="38" t="s">
        <v>113</v>
      </c>
      <c r="G18051" s="49" t="str">
        <f t="shared" si="1"/>
        <v>80140</v>
      </c>
      <c r="H18051" s="49">
        <f t="shared" si="2"/>
        <v>80518</v>
      </c>
    </row>
    <row r="18052">
      <c r="A18052" s="48" t="s">
        <v>3932</v>
      </c>
      <c r="B18052" s="38">
        <v>61212.0</v>
      </c>
      <c r="C18052" s="38" t="s">
        <v>22481</v>
      </c>
      <c r="D18052" s="38" t="str">
        <f>IFERROR(__xludf.DUMMYFUNCTION("REGEXREPLACE(C18052,""-\d+(.*)|--\d+(.*)"","""")"),"JUVIGNY-SUR-ORNE")</f>
        <v>JUVIGNY-SUR-ORNE</v>
      </c>
      <c r="E18052" s="38" t="s">
        <v>141</v>
      </c>
      <c r="F18052" s="38" t="s">
        <v>138</v>
      </c>
      <c r="G18052" s="49" t="str">
        <f t="shared" si="1"/>
        <v>61200</v>
      </c>
      <c r="H18052" s="49">
        <f t="shared" si="2"/>
        <v>61212</v>
      </c>
    </row>
    <row r="18053">
      <c r="A18053" s="48" t="s">
        <v>9118</v>
      </c>
      <c r="B18053" s="38">
        <v>60274.0</v>
      </c>
      <c r="C18053" s="38" t="s">
        <v>22482</v>
      </c>
      <c r="D18053" s="38" t="str">
        <f>IFERROR(__xludf.DUMMYFUNCTION("REGEXREPLACE(C18053,""-\d+(.*)|--\d+(.*)"","""")"),"GLAIGNES")</f>
        <v>GLAIGNES</v>
      </c>
      <c r="E18053" s="38" t="s">
        <v>112</v>
      </c>
      <c r="F18053" s="38" t="s">
        <v>113</v>
      </c>
      <c r="G18053" s="49" t="str">
        <f t="shared" si="1"/>
        <v>60129</v>
      </c>
      <c r="H18053" s="49">
        <f t="shared" si="2"/>
        <v>60274</v>
      </c>
    </row>
    <row r="18054">
      <c r="A18054" s="48" t="s">
        <v>19162</v>
      </c>
      <c r="B18054" s="38">
        <v>30195.0</v>
      </c>
      <c r="C18054" s="38" t="s">
        <v>9333</v>
      </c>
      <c r="D18054" s="38" t="str">
        <f>IFERROR(__xludf.DUMMYFUNCTION("REGEXREPLACE(C18054,""-\d+(.*)|--\d+(.*)"","""")"),"PEYROLLES")</f>
        <v>PEYROLLES</v>
      </c>
      <c r="E18054" s="38" t="s">
        <v>526</v>
      </c>
      <c r="F18054" s="38" t="s">
        <v>119</v>
      </c>
      <c r="G18054" s="49" t="str">
        <f t="shared" si="1"/>
        <v>30124</v>
      </c>
      <c r="H18054" s="49">
        <f t="shared" si="2"/>
        <v>30195</v>
      </c>
    </row>
    <row r="18055">
      <c r="A18055" s="48" t="s">
        <v>1345</v>
      </c>
      <c r="B18055" s="38">
        <v>46155.0</v>
      </c>
      <c r="C18055" s="38" t="s">
        <v>22483</v>
      </c>
      <c r="D18055" s="38" t="str">
        <f>IFERROR(__xludf.DUMMYFUNCTION("REGEXREPLACE(C18055,""-\d+(.*)|--\d+(.*)"","""")"),"LARNAGOL")</f>
        <v>LARNAGOL</v>
      </c>
      <c r="E18055" s="38" t="s">
        <v>185</v>
      </c>
      <c r="F18055" s="38" t="s">
        <v>94</v>
      </c>
      <c r="G18055" s="49" t="str">
        <f t="shared" si="1"/>
        <v>46160</v>
      </c>
      <c r="H18055" s="49">
        <f t="shared" si="2"/>
        <v>46155</v>
      </c>
    </row>
    <row r="18056">
      <c r="A18056" s="48" t="s">
        <v>972</v>
      </c>
      <c r="B18056" s="38">
        <v>37247.0</v>
      </c>
      <c r="C18056" s="38" t="s">
        <v>22484</v>
      </c>
      <c r="D18056" s="38" t="str">
        <f>IFERROR(__xludf.DUMMYFUNCTION("REGEXREPLACE(C18056,""-\d+(.*)|--\d+(.*)"","""")"),"SEPMES")</f>
        <v>SEPMES</v>
      </c>
      <c r="E18056" s="38" t="s">
        <v>205</v>
      </c>
      <c r="F18056" s="38" t="s">
        <v>123</v>
      </c>
      <c r="G18056" s="49" t="str">
        <f t="shared" si="1"/>
        <v>37800</v>
      </c>
      <c r="H18056" s="49">
        <f t="shared" si="2"/>
        <v>37247</v>
      </c>
    </row>
    <row r="18057">
      <c r="A18057" s="48" t="s">
        <v>22281</v>
      </c>
      <c r="B18057" s="38">
        <v>80116.0</v>
      </c>
      <c r="C18057" s="38" t="s">
        <v>22485</v>
      </c>
      <c r="D18057" s="38" t="str">
        <f>IFERROR(__xludf.DUMMYFUNCTION("REGEXREPLACE(C18057,""-\d+(.*)|--\d+(.*)"","""")"),"BOUCHOIR")</f>
        <v>BOUCHOIR</v>
      </c>
      <c r="E18057" s="38" t="s">
        <v>224</v>
      </c>
      <c r="F18057" s="38" t="s">
        <v>113</v>
      </c>
      <c r="G18057" s="49" t="str">
        <f t="shared" si="1"/>
        <v>80910</v>
      </c>
      <c r="H18057" s="49">
        <f t="shared" si="2"/>
        <v>80116</v>
      </c>
    </row>
    <row r="18058">
      <c r="A18058" s="48" t="s">
        <v>2917</v>
      </c>
      <c r="B18058" s="38">
        <v>49366.0</v>
      </c>
      <c r="C18058" s="38" t="s">
        <v>22486</v>
      </c>
      <c r="D18058" s="38" t="str">
        <f>IFERROR(__xludf.DUMMYFUNCTION("REGEXREPLACE(C18058,""-\d+(.*)|--\d+(.*)"","""")"),"VERGONNES")</f>
        <v>VERGONNES</v>
      </c>
      <c r="E18058" s="38" t="s">
        <v>653</v>
      </c>
      <c r="F18058" s="38" t="s">
        <v>180</v>
      </c>
      <c r="G18058" s="49" t="str">
        <f t="shared" si="1"/>
        <v>49420</v>
      </c>
      <c r="H18058" s="49">
        <f t="shared" si="2"/>
        <v>49366</v>
      </c>
    </row>
    <row r="18059">
      <c r="A18059" s="48" t="s">
        <v>5451</v>
      </c>
      <c r="B18059" s="38">
        <v>19070.0</v>
      </c>
      <c r="C18059" s="38" t="s">
        <v>22487</v>
      </c>
      <c r="D18059" s="38" t="str">
        <f>IFERROR(__xludf.DUMMYFUNCTION("REGEXREPLACE(C18059,""-\d+(.*)|--\d+(.*)"","""")"),"DARNETS")</f>
        <v>DARNETS</v>
      </c>
      <c r="E18059" s="38" t="s">
        <v>271</v>
      </c>
      <c r="F18059" s="38" t="s">
        <v>98</v>
      </c>
      <c r="G18059" s="49" t="str">
        <f t="shared" si="1"/>
        <v>19300</v>
      </c>
      <c r="H18059" s="49">
        <f t="shared" si="2"/>
        <v>19070</v>
      </c>
    </row>
    <row r="18060">
      <c r="A18060" s="48" t="s">
        <v>2770</v>
      </c>
      <c r="B18060" s="38">
        <v>25332.0</v>
      </c>
      <c r="C18060" s="38" t="s">
        <v>22488</v>
      </c>
      <c r="D18060" s="38" t="str">
        <f>IFERROR(__xludf.DUMMYFUNCTION("REGEXREPLACE(C18060,""-\d+(.*)|--\d+(.*)"","""")"),"LAVERNAY")</f>
        <v>LAVERNAY</v>
      </c>
      <c r="E18060" s="38" t="s">
        <v>213</v>
      </c>
      <c r="F18060" s="38" t="s">
        <v>214</v>
      </c>
      <c r="G18060" s="49" t="str">
        <f t="shared" si="1"/>
        <v>25170</v>
      </c>
      <c r="H18060" s="49">
        <f t="shared" si="2"/>
        <v>25332</v>
      </c>
    </row>
    <row r="18061">
      <c r="A18061" s="48" t="s">
        <v>12642</v>
      </c>
      <c r="B18061" s="38">
        <v>50449.0</v>
      </c>
      <c r="C18061" s="38" t="s">
        <v>22489</v>
      </c>
      <c r="D18061" s="38" t="str">
        <f>IFERROR(__xludf.DUMMYFUNCTION("REGEXREPLACE(C18061,""-\d+(.*)|--\d+(.*)"","""")"),"SAINT-AUBIN-DU-PERRON")</f>
        <v>SAINT-AUBIN-DU-PERRON</v>
      </c>
      <c r="E18061" s="38" t="s">
        <v>157</v>
      </c>
      <c r="F18061" s="38" t="s">
        <v>138</v>
      </c>
      <c r="G18061" s="49" t="str">
        <f t="shared" si="1"/>
        <v>50490</v>
      </c>
      <c r="H18061" s="49">
        <f t="shared" si="2"/>
        <v>50449</v>
      </c>
    </row>
    <row r="18062">
      <c r="A18062" s="48" t="s">
        <v>22490</v>
      </c>
      <c r="B18062" s="38">
        <v>67001.0</v>
      </c>
      <c r="C18062" s="38" t="s">
        <v>22491</v>
      </c>
      <c r="D18062" s="38" t="str">
        <f>IFERROR(__xludf.DUMMYFUNCTION("REGEXREPLACE(C18062,""-\d+(.*)|--\d+(.*)"","""")"),"ACHENHEIM")</f>
        <v>ACHENHEIM</v>
      </c>
      <c r="E18062" s="38" t="s">
        <v>210</v>
      </c>
      <c r="F18062" s="38" t="s">
        <v>151</v>
      </c>
      <c r="G18062" s="49" t="str">
        <f t="shared" si="1"/>
        <v>67204</v>
      </c>
      <c r="H18062" s="49">
        <f t="shared" si="2"/>
        <v>67001</v>
      </c>
    </row>
    <row r="18063">
      <c r="A18063" s="48" t="s">
        <v>7926</v>
      </c>
      <c r="B18063" s="38">
        <v>71546.0</v>
      </c>
      <c r="C18063" s="38" t="s">
        <v>22492</v>
      </c>
      <c r="D18063" s="38" t="str">
        <f>IFERROR(__xludf.DUMMYFUNCTION("REGEXREPLACE(C18063,""-\d+(.*)|--\d+(.*)"","""")"),"TRAMBLY")</f>
        <v>TRAMBLY</v>
      </c>
      <c r="E18063" s="38" t="s">
        <v>344</v>
      </c>
      <c r="F18063" s="38" t="s">
        <v>106</v>
      </c>
      <c r="G18063" s="49" t="str">
        <f t="shared" si="1"/>
        <v>71520</v>
      </c>
      <c r="H18063" s="49">
        <f t="shared" si="2"/>
        <v>71546</v>
      </c>
    </row>
    <row r="18064">
      <c r="A18064" s="48" t="s">
        <v>12913</v>
      </c>
      <c r="B18064" s="38">
        <v>59198.0</v>
      </c>
      <c r="C18064" s="38" t="s">
        <v>22493</v>
      </c>
      <c r="D18064" s="38" t="str">
        <f>IFERROR(__xludf.DUMMYFUNCTION("REGEXREPLACE(C18064,""-\d+(.*)|--\d+(.*)"","""")"),"EPPE-SAUVAGE")</f>
        <v>EPPE-SAUVAGE</v>
      </c>
      <c r="E18064" s="38" t="s">
        <v>85</v>
      </c>
      <c r="F18064" s="38" t="s">
        <v>86</v>
      </c>
      <c r="G18064" s="49" t="str">
        <f t="shared" si="1"/>
        <v>59132</v>
      </c>
      <c r="H18064" s="49">
        <f t="shared" si="2"/>
        <v>59198</v>
      </c>
    </row>
    <row r="18065">
      <c r="A18065" s="48" t="s">
        <v>4561</v>
      </c>
      <c r="B18065" s="38">
        <v>79055.0</v>
      </c>
      <c r="C18065" s="38" t="s">
        <v>22494</v>
      </c>
      <c r="D18065" s="38" t="str">
        <f>IFERROR(__xludf.DUMMYFUNCTION("REGEXREPLACE(C18065,""-\d+(.*)|--\d+(.*)"","""")"),"BRIEUIL-SUR-CHIZE")</f>
        <v>BRIEUIL-SUR-CHIZE</v>
      </c>
      <c r="E18065" s="38" t="s">
        <v>337</v>
      </c>
      <c r="F18065" s="38" t="s">
        <v>338</v>
      </c>
      <c r="G18065" s="49" t="str">
        <f t="shared" si="1"/>
        <v>79170</v>
      </c>
      <c r="H18065" s="49">
        <f t="shared" si="2"/>
        <v>79055</v>
      </c>
    </row>
    <row r="18066">
      <c r="A18066" s="48" t="s">
        <v>1859</v>
      </c>
      <c r="B18066" s="38">
        <v>88516.0</v>
      </c>
      <c r="C18066" s="38" t="s">
        <v>22495</v>
      </c>
      <c r="D18066" s="38" t="str">
        <f>IFERROR(__xludf.DUMMYFUNCTION("REGEXREPLACE(C18066,""-\d+(.*)|--\d+(.*)"","""")"),"VITTEL")</f>
        <v>VITTEL</v>
      </c>
      <c r="E18066" s="38" t="s">
        <v>194</v>
      </c>
      <c r="F18066" s="38" t="s">
        <v>195</v>
      </c>
      <c r="G18066" s="49" t="str">
        <f t="shared" si="1"/>
        <v>88800</v>
      </c>
      <c r="H18066" s="49">
        <f t="shared" si="2"/>
        <v>88516</v>
      </c>
    </row>
    <row r="18067">
      <c r="A18067" s="48" t="s">
        <v>9621</v>
      </c>
      <c r="B18067" s="38">
        <v>43149.0</v>
      </c>
      <c r="C18067" s="38" t="s">
        <v>22496</v>
      </c>
      <c r="D18067" s="38" t="str">
        <f>IFERROR(__xludf.DUMMYFUNCTION("REGEXREPLACE(C18067,""-\d+(.*)|--\d+(.*)"","""")"),"PEBRAC")</f>
        <v>PEBRAC</v>
      </c>
      <c r="E18067" s="38" t="s">
        <v>332</v>
      </c>
      <c r="F18067" s="38" t="s">
        <v>161</v>
      </c>
      <c r="G18067" s="49" t="str">
        <f t="shared" si="1"/>
        <v>43300</v>
      </c>
      <c r="H18067" s="49">
        <f t="shared" si="2"/>
        <v>43149</v>
      </c>
    </row>
    <row r="18068">
      <c r="A18068" s="48" t="s">
        <v>2613</v>
      </c>
      <c r="B18068" s="38">
        <v>47095.0</v>
      </c>
      <c r="C18068" s="38" t="s">
        <v>22497</v>
      </c>
      <c r="D18068" s="38" t="str">
        <f>IFERROR(__xludf.DUMMYFUNCTION("REGEXREPLACE(C18068,""-\d+(.*)|--\d+(.*)"","""")"),"FAUILLET")</f>
        <v>FAUILLET</v>
      </c>
      <c r="E18068" s="38" t="s">
        <v>251</v>
      </c>
      <c r="F18068" s="38" t="s">
        <v>252</v>
      </c>
      <c r="G18068" s="49" t="str">
        <f t="shared" si="1"/>
        <v>47400</v>
      </c>
      <c r="H18068" s="49">
        <f t="shared" si="2"/>
        <v>47095</v>
      </c>
    </row>
    <row r="18069">
      <c r="A18069" s="48" t="s">
        <v>273</v>
      </c>
      <c r="B18069" s="38">
        <v>89251.0</v>
      </c>
      <c r="C18069" s="38" t="s">
        <v>22498</v>
      </c>
      <c r="D18069" s="38" t="str">
        <f>IFERROR(__xludf.DUMMYFUNCTION("REGEXREPLACE(C18069,""-\d+(.*)|--\d+(.*)"","""")"),"MERRY-LA-VALLEE")</f>
        <v>MERRY-LA-VALLEE</v>
      </c>
      <c r="E18069" s="38" t="s">
        <v>275</v>
      </c>
      <c r="F18069" s="38" t="s">
        <v>106</v>
      </c>
      <c r="G18069" s="49" t="str">
        <f t="shared" si="1"/>
        <v>89110</v>
      </c>
      <c r="H18069" s="49">
        <f t="shared" si="2"/>
        <v>89251</v>
      </c>
    </row>
    <row r="18070">
      <c r="A18070" s="48" t="s">
        <v>22499</v>
      </c>
      <c r="B18070" s="38">
        <v>13047.0</v>
      </c>
      <c r="C18070" s="38" t="s">
        <v>22500</v>
      </c>
      <c r="D18070" s="38" t="str">
        <f>IFERROR(__xludf.DUMMYFUNCTION("REGEXREPLACE(C18070,""-\d+(.*)|--\d+(.*)"","""")"),"ISTRES")</f>
        <v>ISTRES</v>
      </c>
      <c r="E18070" s="38" t="s">
        <v>980</v>
      </c>
      <c r="F18070" s="38" t="s">
        <v>228</v>
      </c>
      <c r="G18070" s="49" t="str">
        <f t="shared" si="1"/>
        <v>13800</v>
      </c>
      <c r="H18070" s="49">
        <f t="shared" si="2"/>
        <v>13047</v>
      </c>
    </row>
    <row r="18071">
      <c r="A18071" s="48" t="s">
        <v>4328</v>
      </c>
      <c r="B18071" s="38">
        <v>70538.0</v>
      </c>
      <c r="C18071" s="38" t="s">
        <v>22501</v>
      </c>
      <c r="D18071" s="38" t="str">
        <f>IFERROR(__xludf.DUMMYFUNCTION("REGEXREPLACE(C18071,""-\d+(.*)|--\d+(.*)"","""")"),"VELLEMOZ")</f>
        <v>VELLEMOZ</v>
      </c>
      <c r="E18071" s="38" t="s">
        <v>956</v>
      </c>
      <c r="F18071" s="38" t="s">
        <v>214</v>
      </c>
      <c r="G18071" s="49" t="str">
        <f t="shared" si="1"/>
        <v>70700</v>
      </c>
      <c r="H18071" s="49">
        <f t="shared" si="2"/>
        <v>70538</v>
      </c>
    </row>
    <row r="18072">
      <c r="A18072" s="48" t="s">
        <v>22502</v>
      </c>
      <c r="B18072" s="38">
        <v>13010.0</v>
      </c>
      <c r="C18072" s="38" t="s">
        <v>22503</v>
      </c>
      <c r="D18072" s="38" t="str">
        <f>IFERROR(__xludf.DUMMYFUNCTION("REGEXREPLACE(C18072,""-\d+(.*)|--\d+(.*)"","""")"),"BARBENTANE")</f>
        <v>BARBENTANE</v>
      </c>
      <c r="E18072" s="38" t="s">
        <v>980</v>
      </c>
      <c r="F18072" s="38" t="s">
        <v>228</v>
      </c>
      <c r="G18072" s="49" t="str">
        <f t="shared" si="1"/>
        <v>13570</v>
      </c>
      <c r="H18072" s="49">
        <f t="shared" si="2"/>
        <v>13010</v>
      </c>
    </row>
    <row r="18073">
      <c r="A18073" s="48" t="s">
        <v>18941</v>
      </c>
      <c r="B18073" s="38">
        <v>74099.0</v>
      </c>
      <c r="C18073" s="38" t="s">
        <v>22504</v>
      </c>
      <c r="D18073" s="38" t="str">
        <f>IFERROR(__xludf.DUMMYFUNCTION("REGEXREPLACE(C18073,""-\d+(.*)|--\d+(.*)"","""")"),"DEMI-QUARTIER")</f>
        <v>DEMI-QUARTIER</v>
      </c>
      <c r="E18073" s="38" t="s">
        <v>319</v>
      </c>
      <c r="F18073" s="38" t="s">
        <v>102</v>
      </c>
      <c r="G18073" s="49" t="str">
        <f t="shared" si="1"/>
        <v>74120</v>
      </c>
      <c r="H18073" s="49">
        <f t="shared" si="2"/>
        <v>74099</v>
      </c>
    </row>
    <row r="18074">
      <c r="A18074" s="48" t="s">
        <v>2268</v>
      </c>
      <c r="B18074" s="38">
        <v>55023.0</v>
      </c>
      <c r="C18074" s="38" t="s">
        <v>22505</v>
      </c>
      <c r="D18074" s="38" t="str">
        <f>IFERROR(__xludf.DUMMYFUNCTION("REGEXREPLACE(C18074,""-\d+(.*)|--\d+(.*)"","""")"),"AVOCOURT")</f>
        <v>AVOCOURT</v>
      </c>
      <c r="E18074" s="38" t="s">
        <v>322</v>
      </c>
      <c r="F18074" s="38" t="s">
        <v>195</v>
      </c>
      <c r="G18074" s="49" t="str">
        <f t="shared" si="1"/>
        <v>55270</v>
      </c>
      <c r="H18074" s="49">
        <f t="shared" si="2"/>
        <v>55023</v>
      </c>
    </row>
    <row r="18075">
      <c r="A18075" s="48" t="s">
        <v>11071</v>
      </c>
      <c r="B18075" s="38">
        <v>29257.0</v>
      </c>
      <c r="C18075" s="38" t="s">
        <v>22506</v>
      </c>
      <c r="D18075" s="38" t="str">
        <f>IFERROR(__xludf.DUMMYFUNCTION("REGEXREPLACE(C18075,""-\d+(.*)|--\d+(.*)"","""")"),"SAINT-PABU")</f>
        <v>SAINT-PABU</v>
      </c>
      <c r="E18075" s="38" t="s">
        <v>176</v>
      </c>
      <c r="F18075" s="38" t="s">
        <v>90</v>
      </c>
      <c r="G18075" s="49" t="str">
        <f t="shared" si="1"/>
        <v>29830</v>
      </c>
      <c r="H18075" s="49">
        <f t="shared" si="2"/>
        <v>29257</v>
      </c>
    </row>
    <row r="18076">
      <c r="A18076" s="48" t="s">
        <v>155</v>
      </c>
      <c r="B18076" s="38">
        <v>50506.0</v>
      </c>
      <c r="C18076" s="38" t="s">
        <v>22507</v>
      </c>
      <c r="D18076" s="38" t="str">
        <f>IFERROR(__xludf.DUMMYFUNCTION("REGEXREPLACE(C18076,""-\d+(.*)|--\d+(.*)"","""")"),"SAINT-MALO-DE-LA-LANDE")</f>
        <v>SAINT-MALO-DE-LA-LANDE</v>
      </c>
      <c r="E18076" s="38" t="s">
        <v>157</v>
      </c>
      <c r="F18076" s="38" t="s">
        <v>138</v>
      </c>
      <c r="G18076" s="49" t="str">
        <f t="shared" si="1"/>
        <v>50200</v>
      </c>
      <c r="H18076" s="49">
        <f t="shared" si="2"/>
        <v>50506</v>
      </c>
    </row>
    <row r="18077">
      <c r="A18077" s="48" t="s">
        <v>398</v>
      </c>
      <c r="B18077" s="38">
        <v>39161.0</v>
      </c>
      <c r="C18077" s="38" t="s">
        <v>22508</v>
      </c>
      <c r="D18077" s="38" t="str">
        <f>IFERROR(__xludf.DUMMYFUNCTION("REGEXREPLACE(C18077,""-\d+(.*)|--\d+(.*)"","""")"),"COMMUNAILLES-EN-MONTAGNE")</f>
        <v>COMMUNAILLES-EN-MONTAGNE</v>
      </c>
      <c r="E18077" s="38" t="s">
        <v>400</v>
      </c>
      <c r="F18077" s="38" t="s">
        <v>214</v>
      </c>
      <c r="G18077" s="49" t="str">
        <f t="shared" si="1"/>
        <v>39250</v>
      </c>
      <c r="H18077" s="49">
        <f t="shared" si="2"/>
        <v>39161</v>
      </c>
    </row>
    <row r="18078">
      <c r="A18078" s="48" t="s">
        <v>11129</v>
      </c>
      <c r="B18078" s="38">
        <v>43126.0</v>
      </c>
      <c r="C18078" s="38" t="s">
        <v>22509</v>
      </c>
      <c r="D18078" s="38" t="str">
        <f>IFERROR(__xludf.DUMMYFUNCTION("REGEXREPLACE(C18078,""-\d+(.*)|--\d+(.*)"","""")"),"MALREVERS")</f>
        <v>MALREVERS</v>
      </c>
      <c r="E18078" s="38" t="s">
        <v>332</v>
      </c>
      <c r="F18078" s="38" t="s">
        <v>161</v>
      </c>
      <c r="G18078" s="49" t="str">
        <f t="shared" si="1"/>
        <v>43800</v>
      </c>
      <c r="H18078" s="49">
        <f t="shared" si="2"/>
        <v>43126</v>
      </c>
    </row>
    <row r="18079">
      <c r="A18079" s="48" t="s">
        <v>2623</v>
      </c>
      <c r="B18079" s="38">
        <v>86121.0</v>
      </c>
      <c r="C18079" s="38" t="s">
        <v>22510</v>
      </c>
      <c r="D18079" s="38" t="str">
        <f>IFERROR(__xludf.DUMMYFUNCTION("REGEXREPLACE(C18079,""-\d+(.*)|--\d+(.*)"","""")"),"LATILLE")</f>
        <v>LATILLE</v>
      </c>
      <c r="E18079" s="38" t="s">
        <v>529</v>
      </c>
      <c r="F18079" s="38" t="s">
        <v>338</v>
      </c>
      <c r="G18079" s="49" t="str">
        <f t="shared" si="1"/>
        <v>86190</v>
      </c>
      <c r="H18079" s="49">
        <f t="shared" si="2"/>
        <v>86121</v>
      </c>
    </row>
    <row r="18080">
      <c r="A18080" s="48" t="s">
        <v>3992</v>
      </c>
      <c r="B18080" s="38">
        <v>46189.0</v>
      </c>
      <c r="C18080" s="38" t="s">
        <v>22511</v>
      </c>
      <c r="D18080" s="38" t="str">
        <f>IFERROR(__xludf.DUMMYFUNCTION("REGEXREPLACE(C18080,""-\d+(.*)|--\d+(.*)"","""")"),"MAYRINHAC-LENTOUR")</f>
        <v>MAYRINHAC-LENTOUR</v>
      </c>
      <c r="E18080" s="38" t="s">
        <v>185</v>
      </c>
      <c r="F18080" s="38" t="s">
        <v>94</v>
      </c>
      <c r="G18080" s="49" t="str">
        <f t="shared" si="1"/>
        <v>46500</v>
      </c>
      <c r="H18080" s="49">
        <f t="shared" si="2"/>
        <v>46189</v>
      </c>
    </row>
    <row r="18081">
      <c r="A18081" s="48" t="s">
        <v>443</v>
      </c>
      <c r="B18081" s="38">
        <v>24141.0</v>
      </c>
      <c r="C18081" s="38" t="s">
        <v>1067</v>
      </c>
      <c r="D18081" s="38" t="str">
        <f>IFERROR(__xludf.DUMMYFUNCTION("REGEXREPLACE(C18081,""-\d+(.*)|--\d+(.*)"","""")"),"COUTURES")</f>
        <v>COUTURES</v>
      </c>
      <c r="E18081" s="38" t="s">
        <v>261</v>
      </c>
      <c r="F18081" s="38" t="s">
        <v>252</v>
      </c>
      <c r="G18081" s="49" t="str">
        <f t="shared" si="1"/>
        <v>24320</v>
      </c>
      <c r="H18081" s="49">
        <f t="shared" si="2"/>
        <v>24141</v>
      </c>
    </row>
    <row r="18082">
      <c r="A18082" s="48" t="s">
        <v>434</v>
      </c>
      <c r="B18082" s="38">
        <v>55188.0</v>
      </c>
      <c r="C18082" s="38" t="s">
        <v>22512</v>
      </c>
      <c r="D18082" s="38" t="str">
        <f>IFERROR(__xludf.DUMMYFUNCTION("REGEXREPLACE(C18082,""-\d+(.*)|--\d+(.*)"","""")"),"FLASSIGNY")</f>
        <v>FLASSIGNY</v>
      </c>
      <c r="E18082" s="38" t="s">
        <v>322</v>
      </c>
      <c r="F18082" s="38" t="s">
        <v>195</v>
      </c>
      <c r="G18082" s="49" t="str">
        <f t="shared" si="1"/>
        <v>55600</v>
      </c>
      <c r="H18082" s="49">
        <f t="shared" si="2"/>
        <v>55188</v>
      </c>
    </row>
    <row r="18083">
      <c r="A18083" s="48" t="s">
        <v>2103</v>
      </c>
      <c r="B18083" s="38">
        <v>54520.0</v>
      </c>
      <c r="C18083" s="38" t="s">
        <v>22513</v>
      </c>
      <c r="D18083" s="38" t="str">
        <f>IFERROR(__xludf.DUMMYFUNCTION("REGEXREPLACE(C18083,""-\d+(.*)|--\d+(.*)"","""")"),"THIEBAUMENIL")</f>
        <v>THIEBAUMENIL</v>
      </c>
      <c r="E18083" s="38" t="s">
        <v>548</v>
      </c>
      <c r="F18083" s="38" t="s">
        <v>195</v>
      </c>
      <c r="G18083" s="49" t="str">
        <f t="shared" si="1"/>
        <v>54300</v>
      </c>
      <c r="H18083" s="49">
        <f t="shared" si="2"/>
        <v>54520</v>
      </c>
    </row>
    <row r="18084">
      <c r="A18084" s="48" t="s">
        <v>5104</v>
      </c>
      <c r="B18084" s="38">
        <v>29255.0</v>
      </c>
      <c r="C18084" s="38" t="s">
        <v>22514</v>
      </c>
      <c r="D18084" s="38" t="str">
        <f>IFERROR(__xludf.DUMMYFUNCTION("REGEXREPLACE(C18084,""-\d+(.*)|--\d+(.*)"","""")"),"SAINT-MEEN")</f>
        <v>SAINT-MEEN</v>
      </c>
      <c r="E18084" s="38" t="s">
        <v>176</v>
      </c>
      <c r="F18084" s="38" t="s">
        <v>90</v>
      </c>
      <c r="G18084" s="49" t="str">
        <f t="shared" si="1"/>
        <v>29260</v>
      </c>
      <c r="H18084" s="49">
        <f t="shared" si="2"/>
        <v>29255</v>
      </c>
    </row>
    <row r="18085">
      <c r="A18085" s="48" t="s">
        <v>1135</v>
      </c>
      <c r="B18085" s="38">
        <v>79203.0</v>
      </c>
      <c r="C18085" s="38" t="s">
        <v>22515</v>
      </c>
      <c r="D18085" s="38" t="str">
        <f>IFERROR(__xludf.DUMMYFUNCTION("REGEXREPLACE(C18085,""-\d+(.*)|--\d+(.*)"","""")"),"PAS-DE-JEU")</f>
        <v>PAS-DE-JEU</v>
      </c>
      <c r="E18085" s="38" t="s">
        <v>337</v>
      </c>
      <c r="F18085" s="38" t="s">
        <v>338</v>
      </c>
      <c r="G18085" s="49" t="str">
        <f t="shared" si="1"/>
        <v>79100</v>
      </c>
      <c r="H18085" s="49">
        <f t="shared" si="2"/>
        <v>79203</v>
      </c>
    </row>
    <row r="18086">
      <c r="A18086" s="48" t="s">
        <v>934</v>
      </c>
      <c r="B18086" s="38">
        <v>49159.0</v>
      </c>
      <c r="C18086" s="38" t="s">
        <v>22516</v>
      </c>
      <c r="D18086" s="38" t="str">
        <f>IFERROR(__xludf.DUMMYFUNCTION("REGEXREPLACE(C18086,""-\d+(.*)|--\d+(.*)"","""")"),"HUILLE")</f>
        <v>HUILLE</v>
      </c>
      <c r="E18086" s="38" t="s">
        <v>653</v>
      </c>
      <c r="F18086" s="38" t="s">
        <v>180</v>
      </c>
      <c r="G18086" s="49" t="str">
        <f t="shared" si="1"/>
        <v>49430</v>
      </c>
      <c r="H18086" s="49">
        <f t="shared" si="2"/>
        <v>49159</v>
      </c>
    </row>
    <row r="18087">
      <c r="A18087" s="48" t="s">
        <v>3311</v>
      </c>
      <c r="B18087" s="38">
        <v>19280.0</v>
      </c>
      <c r="C18087" s="38" t="s">
        <v>22517</v>
      </c>
      <c r="D18087" s="38" t="str">
        <f>IFERROR(__xludf.DUMMYFUNCTION("REGEXREPLACE(C18087,""-\d+(.*)|--\d+(.*)"","""")"),"VEGENNES")</f>
        <v>VEGENNES</v>
      </c>
      <c r="E18087" s="38" t="s">
        <v>271</v>
      </c>
      <c r="F18087" s="38" t="s">
        <v>98</v>
      </c>
      <c r="G18087" s="49" t="str">
        <f t="shared" si="1"/>
        <v>19120</v>
      </c>
      <c r="H18087" s="49">
        <f t="shared" si="2"/>
        <v>19280</v>
      </c>
    </row>
    <row r="18088">
      <c r="A18088" s="48" t="s">
        <v>5081</v>
      </c>
      <c r="B18088" s="38">
        <v>54302.0</v>
      </c>
      <c r="C18088" s="38" t="s">
        <v>22518</v>
      </c>
      <c r="D18088" s="38" t="str">
        <f>IFERROR(__xludf.DUMMYFUNCTION("REGEXREPLACE(C18088,""-\d+(.*)|--\d+(.*)"","""")"),"LANTEFONTAINE")</f>
        <v>LANTEFONTAINE</v>
      </c>
      <c r="E18088" s="38" t="s">
        <v>548</v>
      </c>
      <c r="F18088" s="38" t="s">
        <v>195</v>
      </c>
      <c r="G18088" s="49" t="str">
        <f t="shared" si="1"/>
        <v>54150</v>
      </c>
      <c r="H18088" s="49">
        <f t="shared" si="2"/>
        <v>54302</v>
      </c>
    </row>
    <row r="18089">
      <c r="A18089" s="48" t="s">
        <v>22519</v>
      </c>
      <c r="B18089" s="38">
        <v>56066.0</v>
      </c>
      <c r="C18089" s="38" t="s">
        <v>22520</v>
      </c>
      <c r="D18089" s="38" t="str">
        <f>IFERROR(__xludf.DUMMYFUNCTION("REGEXREPLACE(C18089,""-\d+(.*)|--\d+(.*)"","""")"),"GOURIN")</f>
        <v>GOURIN</v>
      </c>
      <c r="E18089" s="38" t="s">
        <v>173</v>
      </c>
      <c r="F18089" s="38" t="s">
        <v>90</v>
      </c>
      <c r="G18089" s="49" t="str">
        <f t="shared" si="1"/>
        <v>56110</v>
      </c>
      <c r="H18089" s="49">
        <f t="shared" si="2"/>
        <v>56066</v>
      </c>
    </row>
    <row r="18090">
      <c r="A18090" s="48" t="s">
        <v>22521</v>
      </c>
      <c r="B18090" s="38">
        <v>33096.0</v>
      </c>
      <c r="C18090" s="38" t="s">
        <v>22522</v>
      </c>
      <c r="D18090" s="38" t="str">
        <f>IFERROR(__xludf.DUMMYFUNCTION("REGEXREPLACE(C18090,""-\d+(.*)|--\d+(.*)"","""")"),"CARBON-BLANC")</f>
        <v>CARBON-BLANC</v>
      </c>
      <c r="E18090" s="38" t="s">
        <v>462</v>
      </c>
      <c r="F18090" s="38" t="s">
        <v>252</v>
      </c>
      <c r="G18090" s="49" t="str">
        <f t="shared" si="1"/>
        <v>33560</v>
      </c>
      <c r="H18090" s="49">
        <f t="shared" si="2"/>
        <v>33096</v>
      </c>
    </row>
    <row r="18091">
      <c r="A18091" s="48" t="s">
        <v>5787</v>
      </c>
      <c r="B18091" s="38">
        <v>19239.0</v>
      </c>
      <c r="C18091" s="38" t="s">
        <v>22523</v>
      </c>
      <c r="D18091" s="38" t="str">
        <f>IFERROR(__xludf.DUMMYFUNCTION("REGEXREPLACE(C18091,""-\d+(.*)|--\d+(.*)"","""")"),"SAINT-ROBERT")</f>
        <v>SAINT-ROBERT</v>
      </c>
      <c r="E18091" s="38" t="s">
        <v>271</v>
      </c>
      <c r="F18091" s="38" t="s">
        <v>98</v>
      </c>
      <c r="G18091" s="49" t="str">
        <f t="shared" si="1"/>
        <v>19310</v>
      </c>
      <c r="H18091" s="49">
        <f t="shared" si="2"/>
        <v>19239</v>
      </c>
    </row>
    <row r="18092">
      <c r="A18092" s="48" t="s">
        <v>2176</v>
      </c>
      <c r="B18092" s="38">
        <v>62436.0</v>
      </c>
      <c r="C18092" s="38" t="s">
        <v>22524</v>
      </c>
      <c r="D18092" s="38" t="str">
        <f>IFERROR(__xludf.DUMMYFUNCTION("REGEXREPLACE(C18092,""-\d+(.*)|--\d+(.*)"","""")"),"HERLIN-LE-SEC")</f>
        <v>HERLIN-LE-SEC</v>
      </c>
      <c r="E18092" s="38" t="s">
        <v>109</v>
      </c>
      <c r="F18092" s="38" t="s">
        <v>86</v>
      </c>
      <c r="G18092" s="49" t="str">
        <f t="shared" si="1"/>
        <v>62130</v>
      </c>
      <c r="H18092" s="49">
        <f t="shared" si="2"/>
        <v>62436</v>
      </c>
    </row>
    <row r="18093">
      <c r="A18093" s="48" t="s">
        <v>22525</v>
      </c>
      <c r="B18093" s="38">
        <v>4198.0</v>
      </c>
      <c r="C18093" s="38" t="s">
        <v>22526</v>
      </c>
      <c r="D18093" s="38" t="str">
        <f>IFERROR(__xludf.DUMMYFUNCTION("REGEXREPLACE(C18093,""-\d+(.*)|--\d+(.*)"","""")"),"SAINT-VINCENT-LES-FORTS")</f>
        <v>SAINT-VINCENT-LES-FORTS</v>
      </c>
      <c r="E18093" s="38" t="s">
        <v>662</v>
      </c>
      <c r="F18093" s="38" t="s">
        <v>228</v>
      </c>
      <c r="G18093" s="49" t="str">
        <f t="shared" si="1"/>
        <v>04340</v>
      </c>
      <c r="H18093" s="49" t="str">
        <f t="shared" si="2"/>
        <v>04198</v>
      </c>
    </row>
    <row r="18094">
      <c r="A18094" s="48" t="s">
        <v>562</v>
      </c>
      <c r="B18094" s="38">
        <v>54167.0</v>
      </c>
      <c r="C18094" s="38" t="s">
        <v>22527</v>
      </c>
      <c r="D18094" s="38" t="str">
        <f>IFERROR(__xludf.DUMMYFUNCTION("REGEXREPLACE(C18094,""-\d+(.*)|--\d+(.*)"","""")"),"DOMMARTIN-LES-TOUL")</f>
        <v>DOMMARTIN-LES-TOUL</v>
      </c>
      <c r="E18094" s="38" t="s">
        <v>548</v>
      </c>
      <c r="F18094" s="38" t="s">
        <v>195</v>
      </c>
      <c r="G18094" s="49" t="str">
        <f t="shared" si="1"/>
        <v>54200</v>
      </c>
      <c r="H18094" s="49">
        <f t="shared" si="2"/>
        <v>54167</v>
      </c>
    </row>
    <row r="18095">
      <c r="A18095" s="48" t="s">
        <v>781</v>
      </c>
      <c r="B18095" s="38">
        <v>65355.0</v>
      </c>
      <c r="C18095" s="38" t="s">
        <v>22528</v>
      </c>
      <c r="D18095" s="38" t="str">
        <f>IFERROR(__xludf.DUMMYFUNCTION("REGEXREPLACE(C18095,""-\d+(.*)|--\d+(.*)"","""")"),"PAREAC")</f>
        <v>PAREAC</v>
      </c>
      <c r="E18095" s="38" t="s">
        <v>200</v>
      </c>
      <c r="F18095" s="38" t="s">
        <v>94</v>
      </c>
      <c r="G18095" s="49" t="str">
        <f t="shared" si="1"/>
        <v>65100</v>
      </c>
      <c r="H18095" s="49">
        <f t="shared" si="2"/>
        <v>65355</v>
      </c>
    </row>
    <row r="18096">
      <c r="A18096" s="48" t="s">
        <v>7799</v>
      </c>
      <c r="B18096" s="38">
        <v>7074.0</v>
      </c>
      <c r="C18096" s="38" t="s">
        <v>22529</v>
      </c>
      <c r="D18096" s="38" t="str">
        <f>IFERROR(__xludf.DUMMYFUNCTION("REGEXREPLACE(C18096,""-\d+(.*)|--\d+(.*)"","""")"),"CREYSSEILLES")</f>
        <v>CREYSSEILLES</v>
      </c>
      <c r="E18096" s="38" t="s">
        <v>144</v>
      </c>
      <c r="F18096" s="38" t="s">
        <v>102</v>
      </c>
      <c r="G18096" s="49" t="str">
        <f t="shared" si="1"/>
        <v>07000</v>
      </c>
      <c r="H18096" s="49" t="str">
        <f t="shared" si="2"/>
        <v>07074</v>
      </c>
    </row>
    <row r="18097">
      <c r="A18097" s="48" t="s">
        <v>22530</v>
      </c>
      <c r="B18097" s="38">
        <v>59386.0</v>
      </c>
      <c r="C18097" s="38" t="s">
        <v>22531</v>
      </c>
      <c r="D18097" s="38" t="str">
        <f>IFERROR(__xludf.DUMMYFUNCTION("REGEXREPLACE(C18097,""-\d+(.*)|--\d+(.*)"","""")"),"MARQUETTE-LEZ-LILLE")</f>
        <v>MARQUETTE-LEZ-LILLE</v>
      </c>
      <c r="E18097" s="38" t="s">
        <v>85</v>
      </c>
      <c r="F18097" s="38" t="s">
        <v>86</v>
      </c>
      <c r="G18097" s="49" t="str">
        <f t="shared" si="1"/>
        <v>59520</v>
      </c>
      <c r="H18097" s="49">
        <f t="shared" si="2"/>
        <v>59386</v>
      </c>
    </row>
    <row r="18098">
      <c r="A18098" s="48" t="s">
        <v>4596</v>
      </c>
      <c r="B18098" s="38">
        <v>2372.0</v>
      </c>
      <c r="C18098" s="38" t="s">
        <v>22532</v>
      </c>
      <c r="D18098" s="38" t="str">
        <f>IFERROR(__xludf.DUMMYFUNCTION("REGEXREPLACE(C18098,""-\d+(.*)|--\d+(.*)"","""")"),"HARTENNES-ET-TAUX")</f>
        <v>HARTENNES-ET-TAUX</v>
      </c>
      <c r="E18098" s="38" t="s">
        <v>191</v>
      </c>
      <c r="F18098" s="38" t="s">
        <v>113</v>
      </c>
      <c r="G18098" s="49" t="str">
        <f t="shared" si="1"/>
        <v>02210</v>
      </c>
      <c r="H18098" s="49" t="str">
        <f t="shared" si="2"/>
        <v>02372</v>
      </c>
    </row>
    <row r="18099">
      <c r="A18099" s="48" t="s">
        <v>3920</v>
      </c>
      <c r="B18099" s="38">
        <v>50631.0</v>
      </c>
      <c r="C18099" s="38" t="s">
        <v>22533</v>
      </c>
      <c r="D18099" s="38" t="str">
        <f>IFERROR(__xludf.DUMMYFUNCTION("REGEXREPLACE(C18099,""-\d+(.*)|--\d+(.*)"","""")"),"LES VEYS")</f>
        <v>LES VEYS</v>
      </c>
      <c r="E18099" s="38" t="s">
        <v>157</v>
      </c>
      <c r="F18099" s="38" t="s">
        <v>138</v>
      </c>
      <c r="G18099" s="49" t="str">
        <f t="shared" si="1"/>
        <v>50500</v>
      </c>
      <c r="H18099" s="49">
        <f t="shared" si="2"/>
        <v>50631</v>
      </c>
    </row>
    <row r="18100">
      <c r="A18100" s="48" t="s">
        <v>3955</v>
      </c>
      <c r="B18100" s="38">
        <v>62838.0</v>
      </c>
      <c r="C18100" s="38" t="s">
        <v>22534</v>
      </c>
      <c r="D18100" s="38" t="str">
        <f>IFERROR(__xludf.DUMMYFUNCTION("REGEXREPLACE(C18100,""-\d+(.*)|--\d+(.*)"","""")"),"VAULX")</f>
        <v>VAULX</v>
      </c>
      <c r="E18100" s="38" t="s">
        <v>109</v>
      </c>
      <c r="F18100" s="38" t="s">
        <v>86</v>
      </c>
      <c r="G18100" s="49" t="str">
        <f t="shared" si="1"/>
        <v>62390</v>
      </c>
      <c r="H18100" s="49">
        <f t="shared" si="2"/>
        <v>62838</v>
      </c>
    </row>
    <row r="18101">
      <c r="A18101" s="48" t="s">
        <v>11129</v>
      </c>
      <c r="B18101" s="38">
        <v>43119.0</v>
      </c>
      <c r="C18101" s="38" t="s">
        <v>22535</v>
      </c>
      <c r="D18101" s="38" t="str">
        <f>IFERROR(__xludf.DUMMYFUNCTION("REGEXREPLACE(C18101,""-\d+(.*)|--\d+(.*)"","""")"),"LAVOUTE-SUR-LOIRE")</f>
        <v>LAVOUTE-SUR-LOIRE</v>
      </c>
      <c r="E18101" s="38" t="s">
        <v>332</v>
      </c>
      <c r="F18101" s="38" t="s">
        <v>161</v>
      </c>
      <c r="G18101" s="49" t="str">
        <f t="shared" si="1"/>
        <v>43800</v>
      </c>
      <c r="H18101" s="49">
        <f t="shared" si="2"/>
        <v>43119</v>
      </c>
    </row>
    <row r="18102">
      <c r="A18102" s="48" t="s">
        <v>6019</v>
      </c>
      <c r="B18102" s="38">
        <v>39074.0</v>
      </c>
      <c r="C18102" s="38" t="s">
        <v>22536</v>
      </c>
      <c r="D18102" s="38" t="str">
        <f>IFERROR(__xludf.DUMMYFUNCTION("REGEXREPLACE(C18102,""-\d+(.*)|--\d+(.*)"","""")"),"BRANS")</f>
        <v>BRANS</v>
      </c>
      <c r="E18102" s="38" t="s">
        <v>400</v>
      </c>
      <c r="F18102" s="38" t="s">
        <v>214</v>
      </c>
      <c r="G18102" s="49" t="str">
        <f t="shared" si="1"/>
        <v>39290</v>
      </c>
      <c r="H18102" s="49">
        <f t="shared" si="2"/>
        <v>39074</v>
      </c>
    </row>
    <row r="18103">
      <c r="A18103" s="48" t="s">
        <v>3789</v>
      </c>
      <c r="B18103" s="38">
        <v>51079.0</v>
      </c>
      <c r="C18103" s="38" t="s">
        <v>22537</v>
      </c>
      <c r="D18103" s="38" t="str">
        <f>IFERROR(__xludf.DUMMYFUNCTION("REGEXREPLACE(C18103,""-\d+(.*)|--\d+(.*)"","""")"),"BOUZY")</f>
        <v>BOUZY</v>
      </c>
      <c r="E18103" s="38" t="s">
        <v>129</v>
      </c>
      <c r="F18103" s="38" t="s">
        <v>130</v>
      </c>
      <c r="G18103" s="49" t="str">
        <f t="shared" si="1"/>
        <v>51150</v>
      </c>
      <c r="H18103" s="49">
        <f t="shared" si="2"/>
        <v>51079</v>
      </c>
    </row>
    <row r="18104">
      <c r="A18104" s="48" t="s">
        <v>654</v>
      </c>
      <c r="B18104" s="38">
        <v>8477.0</v>
      </c>
      <c r="C18104" s="38" t="s">
        <v>22538</v>
      </c>
      <c r="D18104" s="38" t="str">
        <f>IFERROR(__xludf.DUMMYFUNCTION("REGEXREPLACE(C18104,""-\d+(.*)|--\d+(.*)"","""")"),"VILLERS-DEVANT-MOUZON")</f>
        <v>VILLERS-DEVANT-MOUZON</v>
      </c>
      <c r="E18104" s="38" t="s">
        <v>327</v>
      </c>
      <c r="F18104" s="38" t="s">
        <v>130</v>
      </c>
      <c r="G18104" s="49" t="str">
        <f t="shared" si="1"/>
        <v>08210</v>
      </c>
      <c r="H18104" s="49" t="str">
        <f t="shared" si="2"/>
        <v>08477</v>
      </c>
    </row>
    <row r="18105">
      <c r="A18105" s="48" t="s">
        <v>9315</v>
      </c>
      <c r="B18105" s="38">
        <v>68110.0</v>
      </c>
      <c r="C18105" s="38" t="s">
        <v>22539</v>
      </c>
      <c r="D18105" s="38" t="str">
        <f>IFERROR(__xludf.DUMMYFUNCTION("REGEXREPLACE(C18105,""-\d+(.*)|--\d+(.*)"","""")"),"GRUSSENHEIM")</f>
        <v>GRUSSENHEIM</v>
      </c>
      <c r="E18105" s="38" t="s">
        <v>150</v>
      </c>
      <c r="F18105" s="38" t="s">
        <v>151</v>
      </c>
      <c r="G18105" s="49" t="str">
        <f t="shared" si="1"/>
        <v>68320</v>
      </c>
      <c r="H18105" s="49">
        <f t="shared" si="2"/>
        <v>68110</v>
      </c>
    </row>
    <row r="18106">
      <c r="A18106" s="48" t="s">
        <v>1688</v>
      </c>
      <c r="B18106" s="38">
        <v>76408.0</v>
      </c>
      <c r="C18106" s="38" t="s">
        <v>22540</v>
      </c>
      <c r="D18106" s="38" t="str">
        <f>IFERROR(__xludf.DUMMYFUNCTION("REGEXREPLACE(C18106,""-\d+(.*)|--\d+(.*)"","""")"),"MANNEVILLE-LA-GOUPIL")</f>
        <v>MANNEVILLE-LA-GOUPIL</v>
      </c>
      <c r="E18106" s="38" t="s">
        <v>133</v>
      </c>
      <c r="F18106" s="38" t="s">
        <v>134</v>
      </c>
      <c r="G18106" s="49" t="str">
        <f t="shared" si="1"/>
        <v>76110</v>
      </c>
      <c r="H18106" s="49">
        <f t="shared" si="2"/>
        <v>76408</v>
      </c>
    </row>
    <row r="18107">
      <c r="A18107" s="48" t="s">
        <v>3626</v>
      </c>
      <c r="B18107" s="38">
        <v>57736.0</v>
      </c>
      <c r="C18107" s="38" t="s">
        <v>22541</v>
      </c>
      <c r="D18107" s="38" t="str">
        <f>IFERROR(__xludf.DUMMYFUNCTION("REGEXREPLACE(C18107,""-\d+(.*)|--\d+(.*)"","""")"),"VRY")</f>
        <v>VRY</v>
      </c>
      <c r="E18107" s="38" t="s">
        <v>303</v>
      </c>
      <c r="F18107" s="38" t="s">
        <v>195</v>
      </c>
      <c r="G18107" s="49" t="str">
        <f t="shared" si="1"/>
        <v>57640</v>
      </c>
      <c r="H18107" s="49">
        <f t="shared" si="2"/>
        <v>57736</v>
      </c>
    </row>
    <row r="18108">
      <c r="A18108" s="48" t="s">
        <v>8779</v>
      </c>
      <c r="B18108" s="38">
        <v>45299.0</v>
      </c>
      <c r="C18108" s="38" t="s">
        <v>18090</v>
      </c>
      <c r="D18108" s="38" t="str">
        <f>IFERROR(__xludf.DUMMYFUNCTION("REGEXREPLACE(C18108,""-\d+(.*)|--\d+(.*)"","""")"),"SAINT-SIGISMOND")</f>
        <v>SAINT-SIGISMOND</v>
      </c>
      <c r="E18108" s="38" t="s">
        <v>122</v>
      </c>
      <c r="F18108" s="38" t="s">
        <v>123</v>
      </c>
      <c r="G18108" s="49" t="str">
        <f t="shared" si="1"/>
        <v>45310</v>
      </c>
      <c r="H18108" s="49">
        <f t="shared" si="2"/>
        <v>45299</v>
      </c>
    </row>
    <row r="18109">
      <c r="A18109" s="48" t="s">
        <v>5873</v>
      </c>
      <c r="B18109" s="38">
        <v>23042.0</v>
      </c>
      <c r="C18109" s="38" t="s">
        <v>22542</v>
      </c>
      <c r="D18109" s="38" t="str">
        <f>IFERROR(__xludf.DUMMYFUNCTION("REGEXREPLACE(C18109,""-\d+(.*)|--\d+(.*)"","""")"),"CEYROUX")</f>
        <v>CEYROUX</v>
      </c>
      <c r="E18109" s="38" t="s">
        <v>97</v>
      </c>
      <c r="F18109" s="38" t="s">
        <v>98</v>
      </c>
      <c r="G18109" s="49" t="str">
        <f t="shared" si="1"/>
        <v>23210</v>
      </c>
      <c r="H18109" s="49">
        <f t="shared" si="2"/>
        <v>23042</v>
      </c>
    </row>
    <row r="18110">
      <c r="A18110" s="48" t="s">
        <v>17847</v>
      </c>
      <c r="B18110" s="38" t="s">
        <v>22543</v>
      </c>
      <c r="C18110" s="38" t="s">
        <v>22544</v>
      </c>
      <c r="D18110" s="38" t="str">
        <f>IFERROR(__xludf.DUMMYFUNCTION("REGEXREPLACE(C18110,""-\d+(.*)|--\d+(.*)"","""")"),"PERI")</f>
        <v>PERI</v>
      </c>
      <c r="E18110" s="38" t="s">
        <v>606</v>
      </c>
      <c r="F18110" s="38" t="s">
        <v>607</v>
      </c>
      <c r="G18110" s="49" t="str">
        <f t="shared" si="1"/>
        <v>20167</v>
      </c>
      <c r="H18110" s="49" t="str">
        <f t="shared" si="2"/>
        <v>2A209</v>
      </c>
    </row>
    <row r="18111">
      <c r="A18111" s="48" t="s">
        <v>3791</v>
      </c>
      <c r="B18111" s="38">
        <v>59321.0</v>
      </c>
      <c r="C18111" s="38" t="s">
        <v>22545</v>
      </c>
      <c r="D18111" s="38" t="str">
        <f>IFERROR(__xludf.DUMMYFUNCTION("REGEXREPLACE(C18111,""-\d+(.*)|--\d+(.*)"","""")"),"INCHY")</f>
        <v>INCHY</v>
      </c>
      <c r="E18111" s="38" t="s">
        <v>85</v>
      </c>
      <c r="F18111" s="38" t="s">
        <v>86</v>
      </c>
      <c r="G18111" s="49" t="str">
        <f t="shared" si="1"/>
        <v>59540</v>
      </c>
      <c r="H18111" s="49">
        <f t="shared" si="2"/>
        <v>59321</v>
      </c>
    </row>
    <row r="18112">
      <c r="A18112" s="48" t="s">
        <v>5761</v>
      </c>
      <c r="B18112" s="38">
        <v>17325.0</v>
      </c>
      <c r="C18112" s="38" t="s">
        <v>22546</v>
      </c>
      <c r="D18112" s="38" t="str">
        <f>IFERROR(__xludf.DUMMYFUNCTION("REGEXREPLACE(C18112,""-\d+(.*)|--\d+(.*)"","""")"),"SAINT-DIZANT-DU-GUA")</f>
        <v>SAINT-DIZANT-DU-GUA</v>
      </c>
      <c r="E18112" s="38" t="s">
        <v>488</v>
      </c>
      <c r="F18112" s="38" t="s">
        <v>338</v>
      </c>
      <c r="G18112" s="49" t="str">
        <f t="shared" si="1"/>
        <v>17240</v>
      </c>
      <c r="H18112" s="49">
        <f t="shared" si="2"/>
        <v>17325</v>
      </c>
    </row>
    <row r="18113">
      <c r="A18113" s="48" t="s">
        <v>17322</v>
      </c>
      <c r="B18113" s="38">
        <v>33327.0</v>
      </c>
      <c r="C18113" s="38" t="s">
        <v>22547</v>
      </c>
      <c r="D18113" s="38" t="str">
        <f>IFERROR(__xludf.DUMMYFUNCTION("REGEXREPLACE(C18113,""-\d+(.*)|--\d+(.*)"","""")"),"PODENSAC")</f>
        <v>PODENSAC</v>
      </c>
      <c r="E18113" s="38" t="s">
        <v>462</v>
      </c>
      <c r="F18113" s="38" t="s">
        <v>252</v>
      </c>
      <c r="G18113" s="49" t="str">
        <f t="shared" si="1"/>
        <v>33720</v>
      </c>
      <c r="H18113" s="49">
        <f t="shared" si="2"/>
        <v>33327</v>
      </c>
    </row>
    <row r="18114">
      <c r="A18114" s="48" t="s">
        <v>8320</v>
      </c>
      <c r="B18114" s="38">
        <v>1214.0</v>
      </c>
      <c r="C18114" s="38" t="s">
        <v>22548</v>
      </c>
      <c r="D18114" s="38" t="str">
        <f>IFERROR(__xludf.DUMMYFUNCTION("REGEXREPLACE(C18114,""-\d+(.*)|--\d+(.*)"","""")"),"LEYSSARD")</f>
        <v>LEYSSARD</v>
      </c>
      <c r="E18114" s="38" t="s">
        <v>255</v>
      </c>
      <c r="F18114" s="38" t="s">
        <v>102</v>
      </c>
      <c r="G18114" s="49" t="str">
        <f t="shared" si="1"/>
        <v>01450</v>
      </c>
      <c r="H18114" s="49" t="str">
        <f t="shared" si="2"/>
        <v>01214</v>
      </c>
    </row>
    <row r="18115">
      <c r="A18115" s="48" t="s">
        <v>497</v>
      </c>
      <c r="B18115" s="38">
        <v>62552.0</v>
      </c>
      <c r="C18115" s="38" t="s">
        <v>22549</v>
      </c>
      <c r="D18115" s="38" t="str">
        <f>IFERROR(__xludf.DUMMYFUNCTION("REGEXREPLACE(C18115,""-\d+(.*)|--\d+(.*)"","""")"),"MARESQUEL-ECQUEMICOURT")</f>
        <v>MARESQUEL-ECQUEMICOURT</v>
      </c>
      <c r="E18115" s="38" t="s">
        <v>109</v>
      </c>
      <c r="F18115" s="38" t="s">
        <v>86</v>
      </c>
      <c r="G18115" s="49" t="str">
        <f t="shared" si="1"/>
        <v>62990</v>
      </c>
      <c r="H18115" s="49">
        <f t="shared" si="2"/>
        <v>62552</v>
      </c>
    </row>
    <row r="18116">
      <c r="A18116" s="48" t="s">
        <v>18526</v>
      </c>
      <c r="B18116" s="38">
        <v>16068.0</v>
      </c>
      <c r="C18116" s="38" t="s">
        <v>22550</v>
      </c>
      <c r="D18116" s="38" t="str">
        <f>IFERROR(__xludf.DUMMYFUNCTION("REGEXREPLACE(C18116,""-\d+(.*)|--\d+(.*)"","""")"),"CELLEFROUIN")</f>
        <v>CELLEFROUIN</v>
      </c>
      <c r="E18116" s="38" t="s">
        <v>429</v>
      </c>
      <c r="F18116" s="38" t="s">
        <v>338</v>
      </c>
      <c r="G18116" s="49" t="str">
        <f t="shared" si="1"/>
        <v>16260</v>
      </c>
      <c r="H18116" s="49">
        <f t="shared" si="2"/>
        <v>16068</v>
      </c>
    </row>
    <row r="18117">
      <c r="A18117" s="48" t="s">
        <v>116</v>
      </c>
      <c r="B18117" s="38">
        <v>34283.0</v>
      </c>
      <c r="C18117" s="38" t="s">
        <v>22551</v>
      </c>
      <c r="D18117" s="38" t="str">
        <f>IFERROR(__xludf.DUMMYFUNCTION("REGEXREPLACE(C18117,""-\d+(.*)|--\d+(.*)"","""")"),"SAINT-PIERRE-DE-LA-FAGE")</f>
        <v>SAINT-PIERRE-DE-LA-FAGE</v>
      </c>
      <c r="E18117" s="38" t="s">
        <v>118</v>
      </c>
      <c r="F18117" s="38" t="s">
        <v>119</v>
      </c>
      <c r="G18117" s="49" t="str">
        <f t="shared" si="1"/>
        <v>34520</v>
      </c>
      <c r="H18117" s="49">
        <f t="shared" si="2"/>
        <v>34283</v>
      </c>
    </row>
    <row r="18118">
      <c r="A18118" s="48" t="s">
        <v>18094</v>
      </c>
      <c r="B18118" s="38">
        <v>59371.0</v>
      </c>
      <c r="C18118" s="38" t="s">
        <v>22552</v>
      </c>
      <c r="D18118" s="38" t="str">
        <f>IFERROR(__xludf.DUMMYFUNCTION("REGEXREPLACE(C18118,""-\d+(.*)|--\d+(.*)"","""")"),"LE MAISNIL")</f>
        <v>LE MAISNIL</v>
      </c>
      <c r="E18118" s="38" t="s">
        <v>85</v>
      </c>
      <c r="F18118" s="38" t="s">
        <v>86</v>
      </c>
      <c r="G18118" s="49" t="str">
        <f t="shared" si="1"/>
        <v>59134</v>
      </c>
      <c r="H18118" s="49">
        <f t="shared" si="2"/>
        <v>59371</v>
      </c>
    </row>
    <row r="18119">
      <c r="A18119" s="48" t="s">
        <v>7722</v>
      </c>
      <c r="B18119" s="38">
        <v>25020.0</v>
      </c>
      <c r="C18119" s="38" t="s">
        <v>22553</v>
      </c>
      <c r="D18119" s="38" t="str">
        <f>IFERROR(__xludf.DUMMYFUNCTION("REGEXREPLACE(C18119,""-\d+(.*)|--\d+(.*)"","""")"),"ARBOUANS")</f>
        <v>ARBOUANS</v>
      </c>
      <c r="E18119" s="38" t="s">
        <v>213</v>
      </c>
      <c r="F18119" s="38" t="s">
        <v>214</v>
      </c>
      <c r="G18119" s="49" t="str">
        <f t="shared" si="1"/>
        <v>25400</v>
      </c>
      <c r="H18119" s="49">
        <f t="shared" si="2"/>
        <v>25020</v>
      </c>
    </row>
    <row r="18120">
      <c r="A18120" s="48" t="s">
        <v>2462</v>
      </c>
      <c r="B18120" s="38">
        <v>1366.0</v>
      </c>
      <c r="C18120" s="38" t="s">
        <v>22554</v>
      </c>
      <c r="D18120" s="38" t="str">
        <f>IFERROR(__xludf.DUMMYFUNCTION("REGEXREPLACE(C18120,""-\d+(.*)|--\d+(.*)"","""")"),"SAINTE-JULIE")</f>
        <v>SAINTE-JULIE</v>
      </c>
      <c r="E18120" s="38" t="s">
        <v>255</v>
      </c>
      <c r="F18120" s="38" t="s">
        <v>102</v>
      </c>
      <c r="G18120" s="49" t="str">
        <f t="shared" si="1"/>
        <v>01150</v>
      </c>
      <c r="H18120" s="49" t="str">
        <f t="shared" si="2"/>
        <v>01366</v>
      </c>
    </row>
    <row r="18121">
      <c r="A18121" s="48" t="s">
        <v>5078</v>
      </c>
      <c r="B18121" s="38">
        <v>47286.0</v>
      </c>
      <c r="C18121" s="38" t="s">
        <v>22555</v>
      </c>
      <c r="D18121" s="38" t="str">
        <f>IFERROR(__xludf.DUMMYFUNCTION("REGEXREPLACE(C18121,""-\d+(.*)|--\d+(.*)"","""")"),"SAUMEJAN")</f>
        <v>SAUMEJAN</v>
      </c>
      <c r="E18121" s="38" t="s">
        <v>251</v>
      </c>
      <c r="F18121" s="38" t="s">
        <v>252</v>
      </c>
      <c r="G18121" s="49" t="str">
        <f t="shared" si="1"/>
        <v>47420</v>
      </c>
      <c r="H18121" s="49">
        <f t="shared" si="2"/>
        <v>47286</v>
      </c>
    </row>
    <row r="18122">
      <c r="A18122" s="48" t="s">
        <v>5608</v>
      </c>
      <c r="B18122" s="38">
        <v>57670.0</v>
      </c>
      <c r="C18122" s="38" t="s">
        <v>22556</v>
      </c>
      <c r="D18122" s="38" t="str">
        <f>IFERROR(__xludf.DUMMYFUNCTION("REGEXREPLACE(C18122,""-\d+(.*)|--\d+(.*)"","""")"),"THICOURT")</f>
        <v>THICOURT</v>
      </c>
      <c r="E18122" s="38" t="s">
        <v>303</v>
      </c>
      <c r="F18122" s="38" t="s">
        <v>195</v>
      </c>
      <c r="G18122" s="49" t="str">
        <f t="shared" si="1"/>
        <v>57380</v>
      </c>
      <c r="H18122" s="49">
        <f t="shared" si="2"/>
        <v>57670</v>
      </c>
    </row>
    <row r="18123">
      <c r="A18123" s="48" t="s">
        <v>1370</v>
      </c>
      <c r="B18123" s="38">
        <v>10347.0</v>
      </c>
      <c r="C18123" s="38" t="s">
        <v>22557</v>
      </c>
      <c r="D18123" s="38" t="str">
        <f>IFERROR(__xludf.DUMMYFUNCTION("REGEXREPLACE(C18123,""-\d+(.*)|--\d+(.*)"","""")"),"SAINT-LOUP-DE-BUFFIGNY")</f>
        <v>SAINT-LOUP-DE-BUFFIGNY</v>
      </c>
      <c r="E18123" s="38" t="s">
        <v>147</v>
      </c>
      <c r="F18123" s="38" t="s">
        <v>130</v>
      </c>
      <c r="G18123" s="49" t="str">
        <f t="shared" si="1"/>
        <v>10100</v>
      </c>
      <c r="H18123" s="49">
        <f t="shared" si="2"/>
        <v>10347</v>
      </c>
    </row>
    <row r="18124">
      <c r="A18124" s="48" t="s">
        <v>7164</v>
      </c>
      <c r="B18124" s="38">
        <v>15258.0</v>
      </c>
      <c r="C18124" s="38" t="s">
        <v>22558</v>
      </c>
      <c r="D18124" s="38" t="str">
        <f>IFERROR(__xludf.DUMMYFUNCTION("REGEXREPLACE(C18124,""-\d+(.*)|--\d+(.*)"","""")"),"VIC-SUR-CERE")</f>
        <v>VIC-SUR-CERE</v>
      </c>
      <c r="E18124" s="38" t="s">
        <v>632</v>
      </c>
      <c r="F18124" s="38" t="s">
        <v>161</v>
      </c>
      <c r="G18124" s="49" t="str">
        <f t="shared" si="1"/>
        <v>15800</v>
      </c>
      <c r="H18124" s="49">
        <f t="shared" si="2"/>
        <v>15258</v>
      </c>
    </row>
    <row r="18125">
      <c r="A18125" s="48" t="s">
        <v>1518</v>
      </c>
      <c r="B18125" s="38">
        <v>88299.0</v>
      </c>
      <c r="C18125" s="38" t="s">
        <v>22559</v>
      </c>
      <c r="D18125" s="38" t="str">
        <f>IFERROR(__xludf.DUMMYFUNCTION("REGEXREPLACE(C18125,""-\d+(.*)|--\d+(.*)"","""")"),"MENIL-EN-XAINTOIS")</f>
        <v>MENIL-EN-XAINTOIS</v>
      </c>
      <c r="E18125" s="38" t="s">
        <v>194</v>
      </c>
      <c r="F18125" s="38" t="s">
        <v>195</v>
      </c>
      <c r="G18125" s="49" t="str">
        <f t="shared" si="1"/>
        <v>88500</v>
      </c>
      <c r="H18125" s="49">
        <f t="shared" si="2"/>
        <v>88299</v>
      </c>
    </row>
    <row r="18126">
      <c r="A18126" s="48" t="s">
        <v>5688</v>
      </c>
      <c r="B18126" s="38">
        <v>27019.0</v>
      </c>
      <c r="C18126" s="38" t="s">
        <v>22560</v>
      </c>
      <c r="D18126" s="38" t="str">
        <f>IFERROR(__xludf.DUMMYFUNCTION("REGEXREPLACE(C18126,""-\d+(.*)|--\d+(.*)"","""")"),"ARMENTIERES-SUR-AVRE")</f>
        <v>ARMENTIERES-SUR-AVRE</v>
      </c>
      <c r="E18126" s="38" t="s">
        <v>241</v>
      </c>
      <c r="F18126" s="38" t="s">
        <v>134</v>
      </c>
      <c r="G18126" s="49" t="str">
        <f t="shared" si="1"/>
        <v>27820</v>
      </c>
      <c r="H18126" s="49">
        <f t="shared" si="2"/>
        <v>27019</v>
      </c>
    </row>
    <row r="18127">
      <c r="A18127" s="48" t="s">
        <v>2328</v>
      </c>
      <c r="B18127" s="38">
        <v>57098.0</v>
      </c>
      <c r="C18127" s="38" t="s">
        <v>22561</v>
      </c>
      <c r="D18127" s="38" t="str">
        <f>IFERROR(__xludf.DUMMYFUNCTION("REGEXREPLACE(C18127,""-\d+(.*)|--\d+(.*)"","""")"),"BOURGALTROFF")</f>
        <v>BOURGALTROFF</v>
      </c>
      <c r="E18127" s="38" t="s">
        <v>303</v>
      </c>
      <c r="F18127" s="38" t="s">
        <v>195</v>
      </c>
      <c r="G18127" s="49" t="str">
        <f t="shared" si="1"/>
        <v>57260</v>
      </c>
      <c r="H18127" s="49">
        <f t="shared" si="2"/>
        <v>57098</v>
      </c>
    </row>
    <row r="18128">
      <c r="A18128" s="48" t="s">
        <v>10919</v>
      </c>
      <c r="B18128" s="38">
        <v>24486.0</v>
      </c>
      <c r="C18128" s="38" t="s">
        <v>22562</v>
      </c>
      <c r="D18128" s="38" t="str">
        <f>IFERROR(__xludf.DUMMYFUNCTION("REGEXREPLACE(C18128,""-\d+(.*)|--\d+(.*)"","""")"),"SAINT-PIERRE-DE-FRUGIE")</f>
        <v>SAINT-PIERRE-DE-FRUGIE</v>
      </c>
      <c r="E18128" s="38" t="s">
        <v>261</v>
      </c>
      <c r="F18128" s="38" t="s">
        <v>252</v>
      </c>
      <c r="G18128" s="49" t="str">
        <f t="shared" si="1"/>
        <v>24450</v>
      </c>
      <c r="H18128" s="49">
        <f t="shared" si="2"/>
        <v>24486</v>
      </c>
    </row>
    <row r="18129">
      <c r="A18129" s="48" t="s">
        <v>5599</v>
      </c>
      <c r="B18129" s="38">
        <v>74298.0</v>
      </c>
      <c r="C18129" s="38" t="s">
        <v>22563</v>
      </c>
      <c r="D18129" s="38" t="str">
        <f>IFERROR(__xludf.DUMMYFUNCTION("REGEXREPLACE(C18129,""-\d+(.*)|--\d+(.*)"","""")"),"VETRAZ-MONTHOUX")</f>
        <v>VETRAZ-MONTHOUX</v>
      </c>
      <c r="E18129" s="38" t="s">
        <v>319</v>
      </c>
      <c r="F18129" s="38" t="s">
        <v>102</v>
      </c>
      <c r="G18129" s="49" t="str">
        <f t="shared" si="1"/>
        <v>74100</v>
      </c>
      <c r="H18129" s="49">
        <f t="shared" si="2"/>
        <v>74298</v>
      </c>
    </row>
    <row r="18130">
      <c r="A18130" s="48" t="s">
        <v>3506</v>
      </c>
      <c r="B18130" s="38">
        <v>16420.0</v>
      </c>
      <c r="C18130" s="38" t="s">
        <v>22564</v>
      </c>
      <c r="D18130" s="38" t="str">
        <f>IFERROR(__xludf.DUMMYFUNCTION("REGEXREPLACE(C18130,""-\d+(.*)|--\d+(.*)"","""")"),"VOULGEZAC")</f>
        <v>VOULGEZAC</v>
      </c>
      <c r="E18130" s="38" t="s">
        <v>429</v>
      </c>
      <c r="F18130" s="38" t="s">
        <v>338</v>
      </c>
      <c r="G18130" s="49" t="str">
        <f t="shared" si="1"/>
        <v>16250</v>
      </c>
      <c r="H18130" s="49">
        <f t="shared" si="2"/>
        <v>16420</v>
      </c>
    </row>
    <row r="18131">
      <c r="A18131" s="48" t="s">
        <v>2008</v>
      </c>
      <c r="B18131" s="38">
        <v>46100.0</v>
      </c>
      <c r="C18131" s="38" t="s">
        <v>22565</v>
      </c>
      <c r="D18131" s="38" t="str">
        <f>IFERROR(__xludf.DUMMYFUNCTION("REGEXREPLACE(C18131,""-\d+(.*)|--\d+(.*)"","""")"),"FAYCELLES")</f>
        <v>FAYCELLES</v>
      </c>
      <c r="E18131" s="38" t="s">
        <v>185</v>
      </c>
      <c r="F18131" s="38" t="s">
        <v>94</v>
      </c>
      <c r="G18131" s="49" t="str">
        <f t="shared" si="1"/>
        <v>46100</v>
      </c>
      <c r="H18131" s="49">
        <f t="shared" si="2"/>
        <v>46100</v>
      </c>
    </row>
    <row r="18132">
      <c r="A18132" s="48" t="s">
        <v>22566</v>
      </c>
      <c r="B18132" s="38">
        <v>91016.0</v>
      </c>
      <c r="C18132" s="38" t="s">
        <v>1637</v>
      </c>
      <c r="D18132" s="38" t="str">
        <f>IFERROR(__xludf.DUMMYFUNCTION("REGEXREPLACE(C18132,""-\d+(.*)|--\d+(.*)"","""")"),"ANGERVILLE")</f>
        <v>ANGERVILLE</v>
      </c>
      <c r="E18132" s="38" t="s">
        <v>756</v>
      </c>
      <c r="F18132" s="38" t="s">
        <v>245</v>
      </c>
      <c r="G18132" s="49" t="str">
        <f t="shared" si="1"/>
        <v>91670</v>
      </c>
      <c r="H18132" s="49">
        <f t="shared" si="2"/>
        <v>91016</v>
      </c>
    </row>
    <row r="18133">
      <c r="A18133" s="48" t="s">
        <v>1993</v>
      </c>
      <c r="B18133" s="38">
        <v>2745.0</v>
      </c>
      <c r="C18133" s="38" t="s">
        <v>22567</v>
      </c>
      <c r="D18133" s="38" t="str">
        <f>IFERROR(__xludf.DUMMYFUNCTION("REGEXREPLACE(C18133,""-\d+(.*)|--\d+(.*)"","""")"),"TOULIS-ET-ATTENCOURT")</f>
        <v>TOULIS-ET-ATTENCOURT</v>
      </c>
      <c r="E18133" s="38" t="s">
        <v>191</v>
      </c>
      <c r="F18133" s="38" t="s">
        <v>113</v>
      </c>
      <c r="G18133" s="49" t="str">
        <f t="shared" si="1"/>
        <v>02250</v>
      </c>
      <c r="H18133" s="49" t="str">
        <f t="shared" si="2"/>
        <v>02745</v>
      </c>
    </row>
    <row r="18134">
      <c r="A18134" s="48" t="s">
        <v>3281</v>
      </c>
      <c r="B18134" s="38">
        <v>40283.0</v>
      </c>
      <c r="C18134" s="38" t="s">
        <v>6550</v>
      </c>
      <c r="D18134" s="38" t="str">
        <f>IFERROR(__xludf.DUMMYFUNCTION("REGEXREPLACE(C18134,""-\d+(.*)|--\d+(.*)"","""")"),"SAINT-VINCENT-DE-PAUL")</f>
        <v>SAINT-VINCENT-DE-PAUL</v>
      </c>
      <c r="E18134" s="38" t="s">
        <v>281</v>
      </c>
      <c r="F18134" s="38" t="s">
        <v>252</v>
      </c>
      <c r="G18134" s="49" t="str">
        <f t="shared" si="1"/>
        <v>40990</v>
      </c>
      <c r="H18134" s="49">
        <f t="shared" si="2"/>
        <v>40283</v>
      </c>
    </row>
    <row r="18135">
      <c r="A18135" s="48" t="s">
        <v>12221</v>
      </c>
      <c r="B18135" s="38">
        <v>41069.0</v>
      </c>
      <c r="C18135" s="38" t="s">
        <v>22568</v>
      </c>
      <c r="D18135" s="38" t="str">
        <f>IFERROR(__xludf.DUMMYFUNCTION("REGEXREPLACE(C18135,""-\d+(.*)|--\d+(.*)"","""")"),"COUR-SUR-LOIRE")</f>
        <v>COUR-SUR-LOIRE</v>
      </c>
      <c r="E18135" s="38" t="s">
        <v>188</v>
      </c>
      <c r="F18135" s="38" t="s">
        <v>123</v>
      </c>
      <c r="G18135" s="49" t="str">
        <f t="shared" si="1"/>
        <v>41500</v>
      </c>
      <c r="H18135" s="49">
        <f t="shared" si="2"/>
        <v>41069</v>
      </c>
    </row>
    <row r="18136">
      <c r="A18136" s="48" t="s">
        <v>3965</v>
      </c>
      <c r="B18136" s="38">
        <v>33232.0</v>
      </c>
      <c r="C18136" s="38" t="s">
        <v>22569</v>
      </c>
      <c r="D18136" s="38" t="str">
        <f>IFERROR(__xludf.DUMMYFUNCTION("REGEXREPLACE(C18136,""-\d+(.*)|--\d+(.*)"","""")"),"LARTIGUE")</f>
        <v>LARTIGUE</v>
      </c>
      <c r="E18136" s="38" t="s">
        <v>462</v>
      </c>
      <c r="F18136" s="38" t="s">
        <v>252</v>
      </c>
      <c r="G18136" s="49" t="str">
        <f t="shared" si="1"/>
        <v>33840</v>
      </c>
      <c r="H18136" s="49">
        <f t="shared" si="2"/>
        <v>33232</v>
      </c>
    </row>
    <row r="18137">
      <c r="A18137" s="48" t="s">
        <v>1518</v>
      </c>
      <c r="B18137" s="38">
        <v>88433.0</v>
      </c>
      <c r="C18137" s="38" t="s">
        <v>22570</v>
      </c>
      <c r="D18137" s="38" t="str">
        <f>IFERROR(__xludf.DUMMYFUNCTION("REGEXREPLACE(C18137,""-\d+(.*)|--\d+(.*)"","""")"),"SAINT-PRANCHER")</f>
        <v>SAINT-PRANCHER</v>
      </c>
      <c r="E18137" s="38" t="s">
        <v>194</v>
      </c>
      <c r="F18137" s="38" t="s">
        <v>195</v>
      </c>
      <c r="G18137" s="49" t="str">
        <f t="shared" si="1"/>
        <v>88500</v>
      </c>
      <c r="H18137" s="49">
        <f t="shared" si="2"/>
        <v>88433</v>
      </c>
    </row>
    <row r="18138">
      <c r="A18138" s="48" t="s">
        <v>2625</v>
      </c>
      <c r="B18138" s="38">
        <v>30320.0</v>
      </c>
      <c r="C18138" s="38" t="s">
        <v>22571</v>
      </c>
      <c r="D18138" s="38" t="str">
        <f>IFERROR(__xludf.DUMMYFUNCTION("REGEXREPLACE(C18138,""-\d+(.*)|--\d+(.*)"","""")"),"SEYNES")</f>
        <v>SEYNES</v>
      </c>
      <c r="E18138" s="38" t="s">
        <v>526</v>
      </c>
      <c r="F18138" s="38" t="s">
        <v>119</v>
      </c>
      <c r="G18138" s="49" t="str">
        <f t="shared" si="1"/>
        <v>30580</v>
      </c>
      <c r="H18138" s="49">
        <f t="shared" si="2"/>
        <v>30320</v>
      </c>
    </row>
    <row r="18139">
      <c r="A18139" s="48" t="s">
        <v>2368</v>
      </c>
      <c r="B18139" s="38">
        <v>65205.0</v>
      </c>
      <c r="C18139" s="38" t="s">
        <v>22572</v>
      </c>
      <c r="D18139" s="38" t="str">
        <f>IFERROR(__xludf.DUMMYFUNCTION("REGEXREPLACE(C18139,""-\d+(.*)|--\d+(.*)"","""")"),"GOUAUX")</f>
        <v>GOUAUX</v>
      </c>
      <c r="E18139" s="38" t="s">
        <v>200</v>
      </c>
      <c r="F18139" s="38" t="s">
        <v>94</v>
      </c>
      <c r="G18139" s="49" t="str">
        <f t="shared" si="1"/>
        <v>65240</v>
      </c>
      <c r="H18139" s="49">
        <f t="shared" si="2"/>
        <v>65205</v>
      </c>
    </row>
    <row r="18140">
      <c r="A18140" s="48" t="s">
        <v>22573</v>
      </c>
      <c r="B18140" s="38">
        <v>18216.0</v>
      </c>
      <c r="C18140" s="38" t="s">
        <v>22574</v>
      </c>
      <c r="D18140" s="38" t="str">
        <f>IFERROR(__xludf.DUMMYFUNCTION("REGEXREPLACE(C18140,""-\d+(.*)|--\d+(.*)"","""")"),"SAINT-HILAIRE-EN-LIGNIERES")</f>
        <v>SAINT-HILAIRE-EN-LIGNIERES</v>
      </c>
      <c r="E18140" s="38" t="s">
        <v>504</v>
      </c>
      <c r="F18140" s="38" t="s">
        <v>123</v>
      </c>
      <c r="G18140" s="49" t="str">
        <f t="shared" si="1"/>
        <v>18160</v>
      </c>
      <c r="H18140" s="49">
        <f t="shared" si="2"/>
        <v>18216</v>
      </c>
    </row>
    <row r="18141">
      <c r="A18141" s="48" t="s">
        <v>2427</v>
      </c>
      <c r="B18141" s="38">
        <v>47280.0</v>
      </c>
      <c r="C18141" s="38" t="s">
        <v>22575</v>
      </c>
      <c r="D18141" s="38" t="str">
        <f>IFERROR(__xludf.DUMMYFUNCTION("REGEXREPLACE(C18141,""-\d+(.*)|--\d+(.*)"","""")"),"SAINT-SYLVESTRE-SUR-LOT")</f>
        <v>SAINT-SYLVESTRE-SUR-LOT</v>
      </c>
      <c r="E18141" s="38" t="s">
        <v>251</v>
      </c>
      <c r="F18141" s="38" t="s">
        <v>252</v>
      </c>
      <c r="G18141" s="49" t="str">
        <f t="shared" si="1"/>
        <v>47140</v>
      </c>
      <c r="H18141" s="49">
        <f t="shared" si="2"/>
        <v>47280</v>
      </c>
    </row>
    <row r="18142">
      <c r="A18142" s="48" t="s">
        <v>7218</v>
      </c>
      <c r="B18142" s="38">
        <v>71348.0</v>
      </c>
      <c r="C18142" s="38" t="s">
        <v>22576</v>
      </c>
      <c r="D18142" s="38" t="str">
        <f>IFERROR(__xludf.DUMMYFUNCTION("REGEXREPLACE(C18142,""-\d+(.*)|--\d+(.*)"","""")"),"PERRIGNY-SUR-LOIRE")</f>
        <v>PERRIGNY-SUR-LOIRE</v>
      </c>
      <c r="E18142" s="38" t="s">
        <v>344</v>
      </c>
      <c r="F18142" s="38" t="s">
        <v>106</v>
      </c>
      <c r="G18142" s="49" t="str">
        <f t="shared" si="1"/>
        <v>71160</v>
      </c>
      <c r="H18142" s="49">
        <f t="shared" si="2"/>
        <v>71348</v>
      </c>
    </row>
    <row r="18143">
      <c r="A18143" s="48" t="s">
        <v>22577</v>
      </c>
      <c r="B18143" s="38">
        <v>50600.0</v>
      </c>
      <c r="C18143" s="38" t="s">
        <v>22578</v>
      </c>
      <c r="D18143" s="38" t="str">
        <f>IFERROR(__xludf.DUMMYFUNCTION("REGEXREPLACE(C18143,""-\d+(.*)|--\d+(.*)"","""")"),"TONNEVILLE")</f>
        <v>TONNEVILLE</v>
      </c>
      <c r="E18143" s="38" t="s">
        <v>157</v>
      </c>
      <c r="F18143" s="38" t="s">
        <v>138</v>
      </c>
      <c r="G18143" s="49" t="str">
        <f t="shared" si="1"/>
        <v>50460</v>
      </c>
      <c r="H18143" s="49">
        <f t="shared" si="2"/>
        <v>50600</v>
      </c>
    </row>
    <row r="18144">
      <c r="A18144" s="48" t="s">
        <v>196</v>
      </c>
      <c r="B18144" s="38">
        <v>2275.0</v>
      </c>
      <c r="C18144" s="38" t="s">
        <v>22579</v>
      </c>
      <c r="D18144" s="38" t="str">
        <f>IFERROR(__xludf.DUMMYFUNCTION("REGEXREPLACE(C18144,""-\d+(.*)|--\d+(.*)"","""")"),"EFFRY")</f>
        <v>EFFRY</v>
      </c>
      <c r="E18144" s="38" t="s">
        <v>191</v>
      </c>
      <c r="F18144" s="38" t="s">
        <v>113</v>
      </c>
      <c r="G18144" s="49" t="str">
        <f t="shared" si="1"/>
        <v>02500</v>
      </c>
      <c r="H18144" s="49" t="str">
        <f t="shared" si="2"/>
        <v>02275</v>
      </c>
    </row>
    <row r="18145">
      <c r="A18145" s="48" t="s">
        <v>3812</v>
      </c>
      <c r="B18145" s="38">
        <v>71591.0</v>
      </c>
      <c r="C18145" s="38" t="s">
        <v>22580</v>
      </c>
      <c r="D18145" s="38" t="str">
        <f>IFERROR(__xludf.DUMMYFUNCTION("REGEXREPLACE(C18145,""-\d+(.*)|--\d+(.*)"","""")"),"FLEURVILLE")</f>
        <v>FLEURVILLE</v>
      </c>
      <c r="E18145" s="38" t="s">
        <v>344</v>
      </c>
      <c r="F18145" s="38" t="s">
        <v>106</v>
      </c>
      <c r="G18145" s="49" t="str">
        <f t="shared" si="1"/>
        <v>71260</v>
      </c>
      <c r="H18145" s="49">
        <f t="shared" si="2"/>
        <v>71591</v>
      </c>
    </row>
    <row r="18146">
      <c r="A18146" s="48" t="s">
        <v>6073</v>
      </c>
      <c r="B18146" s="38">
        <v>40282.0</v>
      </c>
      <c r="C18146" s="38" t="s">
        <v>22581</v>
      </c>
      <c r="D18146" s="38" t="str">
        <f>IFERROR(__xludf.DUMMYFUNCTION("REGEXREPLACE(C18146,""-\d+(.*)|--\d+(.*)"","""")"),"SAINT-SEVER")</f>
        <v>SAINT-SEVER</v>
      </c>
      <c r="E18146" s="38" t="s">
        <v>281</v>
      </c>
      <c r="F18146" s="38" t="s">
        <v>252</v>
      </c>
      <c r="G18146" s="49" t="str">
        <f t="shared" si="1"/>
        <v>40500</v>
      </c>
      <c r="H18146" s="49">
        <f t="shared" si="2"/>
        <v>40282</v>
      </c>
    </row>
    <row r="18147">
      <c r="A18147" s="48" t="s">
        <v>386</v>
      </c>
      <c r="B18147" s="38">
        <v>21532.0</v>
      </c>
      <c r="C18147" s="38" t="s">
        <v>22582</v>
      </c>
      <c r="D18147" s="38" t="str">
        <f>IFERROR(__xludf.DUMMYFUNCTION("REGEXREPLACE(C18147,""-\d+(.*)|--\d+(.*)"","""")"),"ROUVRES-EN-PLAINE")</f>
        <v>ROUVRES-EN-PLAINE</v>
      </c>
      <c r="E18147" s="38" t="s">
        <v>105</v>
      </c>
      <c r="F18147" s="38" t="s">
        <v>106</v>
      </c>
      <c r="G18147" s="49" t="str">
        <f t="shared" si="1"/>
        <v>21110</v>
      </c>
      <c r="H18147" s="49">
        <f t="shared" si="2"/>
        <v>21532</v>
      </c>
    </row>
    <row r="18148">
      <c r="A18148" s="48" t="s">
        <v>2989</v>
      </c>
      <c r="B18148" s="38">
        <v>70084.0</v>
      </c>
      <c r="C18148" s="38" t="s">
        <v>22583</v>
      </c>
      <c r="D18148" s="38" t="str">
        <f>IFERROR(__xludf.DUMMYFUNCTION("REGEXREPLACE(C18148,""-\d+(.*)|--\d+(.*)"","""")"),"BOULOT")</f>
        <v>BOULOT</v>
      </c>
      <c r="E18148" s="38" t="s">
        <v>956</v>
      </c>
      <c r="F18148" s="38" t="s">
        <v>214</v>
      </c>
      <c r="G18148" s="49" t="str">
        <f t="shared" si="1"/>
        <v>70190</v>
      </c>
      <c r="H18148" s="49">
        <f t="shared" si="2"/>
        <v>70084</v>
      </c>
    </row>
    <row r="18149">
      <c r="A18149" s="48" t="s">
        <v>3633</v>
      </c>
      <c r="B18149" s="38">
        <v>48150.0</v>
      </c>
      <c r="C18149" s="38" t="s">
        <v>22584</v>
      </c>
      <c r="D18149" s="38" t="str">
        <f>IFERROR(__xludf.DUMMYFUNCTION("REGEXREPLACE(C18149,""-\d+(.*)|--\d+(.*)"","""")"),"SAINT-FLOUR-DE-MERCOIRE")</f>
        <v>SAINT-FLOUR-DE-MERCOIRE</v>
      </c>
      <c r="E18149" s="38" t="s">
        <v>154</v>
      </c>
      <c r="F18149" s="38" t="s">
        <v>119</v>
      </c>
      <c r="G18149" s="49" t="str">
        <f t="shared" si="1"/>
        <v>48300</v>
      </c>
      <c r="H18149" s="49">
        <f t="shared" si="2"/>
        <v>48150</v>
      </c>
    </row>
    <row r="18150">
      <c r="A18150" s="48" t="s">
        <v>2229</v>
      </c>
      <c r="B18150" s="38">
        <v>64347.0</v>
      </c>
      <c r="C18150" s="38" t="s">
        <v>22585</v>
      </c>
      <c r="D18150" s="38" t="str">
        <f>IFERROR(__xludf.DUMMYFUNCTION("REGEXREPLACE(C18150,""-\d+(.*)|--\d+(.*)"","""")"),"LONCON")</f>
        <v>LONCON</v>
      </c>
      <c r="E18150" s="38" t="s">
        <v>268</v>
      </c>
      <c r="F18150" s="38" t="s">
        <v>252</v>
      </c>
      <c r="G18150" s="49" t="str">
        <f t="shared" si="1"/>
        <v>64410</v>
      </c>
      <c r="H18150" s="49">
        <f t="shared" si="2"/>
        <v>64347</v>
      </c>
    </row>
    <row r="18151">
      <c r="A18151" s="48" t="s">
        <v>2421</v>
      </c>
      <c r="B18151" s="38">
        <v>4134.0</v>
      </c>
      <c r="C18151" s="38" t="s">
        <v>22586</v>
      </c>
      <c r="D18151" s="38" t="str">
        <f>IFERROR(__xludf.DUMMYFUNCTION("REGEXREPLACE(C18151,""-\d+(.*)|--\d+(.*)"","""")"),"LA MOTTE-DU-CAIRE")</f>
        <v>LA MOTTE-DU-CAIRE</v>
      </c>
      <c r="E18151" s="38" t="s">
        <v>662</v>
      </c>
      <c r="F18151" s="38" t="s">
        <v>228</v>
      </c>
      <c r="G18151" s="49" t="str">
        <f t="shared" si="1"/>
        <v>04250</v>
      </c>
      <c r="H18151" s="49" t="str">
        <f t="shared" si="2"/>
        <v>04134</v>
      </c>
    </row>
    <row r="18152">
      <c r="A18152" s="48" t="s">
        <v>11261</v>
      </c>
      <c r="B18152" s="38">
        <v>38555.0</v>
      </c>
      <c r="C18152" s="38" t="s">
        <v>22587</v>
      </c>
      <c r="D18152" s="38" t="str">
        <f>IFERROR(__xludf.DUMMYFUNCTION("REGEXREPLACE(C18152,""-\d+(.*)|--\d+(.*)"","""")"),"VILLENEUVE-DE-MARC")</f>
        <v>VILLENEUVE-DE-MARC</v>
      </c>
      <c r="E18152" s="38" t="s">
        <v>101</v>
      </c>
      <c r="F18152" s="38" t="s">
        <v>102</v>
      </c>
      <c r="G18152" s="49" t="str">
        <f t="shared" si="1"/>
        <v>38440</v>
      </c>
      <c r="H18152" s="49">
        <f t="shared" si="2"/>
        <v>38555</v>
      </c>
    </row>
    <row r="18153">
      <c r="A18153" s="48" t="s">
        <v>3450</v>
      </c>
      <c r="B18153" s="38">
        <v>60657.0</v>
      </c>
      <c r="C18153" s="38" t="s">
        <v>22588</v>
      </c>
      <c r="D18153" s="38" t="str">
        <f>IFERROR(__xludf.DUMMYFUNCTION("REGEXREPLACE(C18153,""-\d+(.*)|--\d+(.*)"","""")"),"VAUCHELLES")</f>
        <v>VAUCHELLES</v>
      </c>
      <c r="E18153" s="38" t="s">
        <v>112</v>
      </c>
      <c r="F18153" s="38" t="s">
        <v>113</v>
      </c>
      <c r="G18153" s="49" t="str">
        <f t="shared" si="1"/>
        <v>60400</v>
      </c>
      <c r="H18153" s="49">
        <f t="shared" si="2"/>
        <v>60657</v>
      </c>
    </row>
    <row r="18154">
      <c r="A18154" s="48" t="s">
        <v>2336</v>
      </c>
      <c r="B18154" s="38">
        <v>58188.0</v>
      </c>
      <c r="C18154" s="38" t="s">
        <v>22589</v>
      </c>
      <c r="D18154" s="38" t="str">
        <f>IFERROR(__xludf.DUMMYFUNCTION("REGEXREPLACE(C18154,""-\d+(.*)|--\d+(.*)"","""")"),"NANNAY")</f>
        <v>NANNAY</v>
      </c>
      <c r="E18154" s="38" t="s">
        <v>219</v>
      </c>
      <c r="F18154" s="38" t="s">
        <v>106</v>
      </c>
      <c r="G18154" s="49" t="str">
        <f t="shared" si="1"/>
        <v>58350</v>
      </c>
      <c r="H18154" s="49">
        <f t="shared" si="2"/>
        <v>58188</v>
      </c>
    </row>
    <row r="18155">
      <c r="A18155" s="48" t="s">
        <v>2097</v>
      </c>
      <c r="B18155" s="38">
        <v>42261.0</v>
      </c>
      <c r="C18155" s="38" t="s">
        <v>22590</v>
      </c>
      <c r="D18155" s="38" t="str">
        <f>IFERROR(__xludf.DUMMYFUNCTION("REGEXREPLACE(C18155,""-\d+(.*)|--\d+(.*)"","""")"),"SAINT-MARTIN-LESTRA")</f>
        <v>SAINT-MARTIN-LESTRA</v>
      </c>
      <c r="E18155" s="38" t="s">
        <v>166</v>
      </c>
      <c r="F18155" s="38" t="s">
        <v>102</v>
      </c>
      <c r="G18155" s="49" t="str">
        <f t="shared" si="1"/>
        <v>42110</v>
      </c>
      <c r="H18155" s="49">
        <f t="shared" si="2"/>
        <v>42261</v>
      </c>
    </row>
    <row r="18156">
      <c r="A18156" s="48" t="s">
        <v>14097</v>
      </c>
      <c r="B18156" s="38">
        <v>10027.0</v>
      </c>
      <c r="C18156" s="38" t="s">
        <v>22591</v>
      </c>
      <c r="D18156" s="38" t="str">
        <f>IFERROR(__xludf.DUMMYFUNCTION("REGEXREPLACE(C18156,""-\d+(.*)|--\d+(.*)"","""")"),"BALIGNICOURT")</f>
        <v>BALIGNICOURT</v>
      </c>
      <c r="E18156" s="38" t="s">
        <v>147</v>
      </c>
      <c r="F18156" s="38" t="s">
        <v>130</v>
      </c>
      <c r="G18156" s="49" t="str">
        <f t="shared" si="1"/>
        <v>10330</v>
      </c>
      <c r="H18156" s="49">
        <f t="shared" si="2"/>
        <v>10027</v>
      </c>
    </row>
    <row r="18157">
      <c r="A18157" s="48" t="s">
        <v>1462</v>
      </c>
      <c r="B18157" s="38">
        <v>11196.0</v>
      </c>
      <c r="C18157" s="38" t="s">
        <v>22592</v>
      </c>
      <c r="D18157" s="38" t="str">
        <f>IFERROR(__xludf.DUMMYFUNCTION("REGEXREPLACE(C18157,""-\d+(.*)|--\d+(.*)"","""")"),"LAURAC")</f>
        <v>LAURAC</v>
      </c>
      <c r="E18157" s="38" t="s">
        <v>278</v>
      </c>
      <c r="F18157" s="38" t="s">
        <v>119</v>
      </c>
      <c r="G18157" s="49" t="str">
        <f t="shared" si="1"/>
        <v>11270</v>
      </c>
      <c r="H18157" s="49">
        <f t="shared" si="2"/>
        <v>11196</v>
      </c>
    </row>
    <row r="18158">
      <c r="A18158" s="48" t="s">
        <v>15929</v>
      </c>
      <c r="B18158" s="38">
        <v>57647.0</v>
      </c>
      <c r="C18158" s="38" t="s">
        <v>22593</v>
      </c>
      <c r="D18158" s="38" t="str">
        <f>IFERROR(__xludf.DUMMYFUNCTION("REGEXREPLACE(C18158,""-\d+(.*)|--\d+(.*)"","""")"),"SEREMANGE-ERZANGE")</f>
        <v>SEREMANGE-ERZANGE</v>
      </c>
      <c r="E18158" s="38" t="s">
        <v>303</v>
      </c>
      <c r="F18158" s="38" t="s">
        <v>195</v>
      </c>
      <c r="G18158" s="49" t="str">
        <f t="shared" si="1"/>
        <v>57290</v>
      </c>
      <c r="H18158" s="49">
        <f t="shared" si="2"/>
        <v>57647</v>
      </c>
    </row>
    <row r="18159">
      <c r="A18159" s="48" t="s">
        <v>2421</v>
      </c>
      <c r="B18159" s="38">
        <v>4118.0</v>
      </c>
      <c r="C18159" s="38" t="s">
        <v>22594</v>
      </c>
      <c r="D18159" s="38" t="str">
        <f>IFERROR(__xludf.DUMMYFUNCTION("REGEXREPLACE(C18159,""-\d+(.*)|--\d+(.*)"","""")"),"MELVE")</f>
        <v>MELVE</v>
      </c>
      <c r="E18159" s="38" t="s">
        <v>662</v>
      </c>
      <c r="F18159" s="38" t="s">
        <v>228</v>
      </c>
      <c r="G18159" s="49" t="str">
        <f t="shared" si="1"/>
        <v>04250</v>
      </c>
      <c r="H18159" s="49" t="str">
        <f t="shared" si="2"/>
        <v>04118</v>
      </c>
    </row>
    <row r="18160">
      <c r="A18160" s="48" t="s">
        <v>1951</v>
      </c>
      <c r="B18160" s="38">
        <v>66196.0</v>
      </c>
      <c r="C18160" s="38" t="s">
        <v>22595</v>
      </c>
      <c r="D18160" s="38" t="str">
        <f>IFERROR(__xludf.DUMMYFUNCTION("REGEXREPLACE(C18160,""-\d+(.*)|--\d+(.*)"","""")"),"SOREDE")</f>
        <v>SOREDE</v>
      </c>
      <c r="E18160" s="38" t="s">
        <v>248</v>
      </c>
      <c r="F18160" s="38" t="s">
        <v>119</v>
      </c>
      <c r="G18160" s="49" t="str">
        <f t="shared" si="1"/>
        <v>66690</v>
      </c>
      <c r="H18160" s="49">
        <f t="shared" si="2"/>
        <v>66196</v>
      </c>
    </row>
    <row r="18161">
      <c r="A18161" s="48" t="s">
        <v>5743</v>
      </c>
      <c r="B18161" s="38">
        <v>52489.0</v>
      </c>
      <c r="C18161" s="38" t="s">
        <v>22596</v>
      </c>
      <c r="D18161" s="38" t="str">
        <f>IFERROR(__xludf.DUMMYFUNCTION("REGEXREPLACE(C18161,""-\d+(.*)|--\d+(.*)"","""")"),"THOL-LES-MILLIERES")</f>
        <v>THOL-LES-MILLIERES</v>
      </c>
      <c r="E18161" s="38" t="s">
        <v>234</v>
      </c>
      <c r="F18161" s="38" t="s">
        <v>130</v>
      </c>
      <c r="G18161" s="49" t="str">
        <f t="shared" si="1"/>
        <v>52240</v>
      </c>
      <c r="H18161" s="49">
        <f t="shared" si="2"/>
        <v>52489</v>
      </c>
    </row>
    <row r="18162">
      <c r="A18162" s="48" t="s">
        <v>3702</v>
      </c>
      <c r="B18162" s="38">
        <v>77029.0</v>
      </c>
      <c r="C18162" s="38" t="s">
        <v>14081</v>
      </c>
      <c r="D18162" s="38" t="str">
        <f>IFERROR(__xludf.DUMMYFUNCTION("REGEXREPLACE(C18162,""-\d+(.*)|--\d+(.*)"","""")"),"BEAUVOIR")</f>
        <v>BEAUVOIR</v>
      </c>
      <c r="E18162" s="38" t="s">
        <v>244</v>
      </c>
      <c r="F18162" s="38" t="s">
        <v>245</v>
      </c>
      <c r="G18162" s="49" t="str">
        <f t="shared" si="1"/>
        <v>77390</v>
      </c>
      <c r="H18162" s="49">
        <f t="shared" si="2"/>
        <v>77029</v>
      </c>
    </row>
    <row r="18163">
      <c r="A18163" s="48" t="s">
        <v>9100</v>
      </c>
      <c r="B18163" s="38">
        <v>42081.0</v>
      </c>
      <c r="C18163" s="38" t="s">
        <v>22597</v>
      </c>
      <c r="D18163" s="38" t="str">
        <f>IFERROR(__xludf.DUMMYFUNCTION("REGEXREPLACE(C18163,""-\d+(.*)|--\d+(.*)"","""")"),"CUZIEU")</f>
        <v>CUZIEU</v>
      </c>
      <c r="E18163" s="38" t="s">
        <v>166</v>
      </c>
      <c r="F18163" s="38" t="s">
        <v>102</v>
      </c>
      <c r="G18163" s="49" t="str">
        <f t="shared" si="1"/>
        <v>42330</v>
      </c>
      <c r="H18163" s="49">
        <f t="shared" si="2"/>
        <v>42081</v>
      </c>
    </row>
    <row r="18164">
      <c r="A18164" s="48" t="s">
        <v>3789</v>
      </c>
      <c r="B18164" s="38">
        <v>51656.0</v>
      </c>
      <c r="C18164" s="38" t="s">
        <v>22598</v>
      </c>
      <c r="D18164" s="38" t="str">
        <f>IFERROR(__xludf.DUMMYFUNCTION("REGEXREPLACE(C18164,""-\d+(.*)|--\d+(.*)"","""")"),"VRAUX")</f>
        <v>VRAUX</v>
      </c>
      <c r="E18164" s="38" t="s">
        <v>129</v>
      </c>
      <c r="F18164" s="38" t="s">
        <v>130</v>
      </c>
      <c r="G18164" s="49" t="str">
        <f t="shared" si="1"/>
        <v>51150</v>
      </c>
      <c r="H18164" s="49">
        <f t="shared" si="2"/>
        <v>51656</v>
      </c>
    </row>
    <row r="18165">
      <c r="A18165" s="48" t="s">
        <v>6406</v>
      </c>
      <c r="B18165" s="38">
        <v>41075.0</v>
      </c>
      <c r="C18165" s="38" t="s">
        <v>22599</v>
      </c>
      <c r="D18165" s="38" t="str">
        <f>IFERROR(__xludf.DUMMYFUNCTION("REGEXREPLACE(C18165,""-\d+(.*)|--\d+(.*)"","""")"),"DROUE")</f>
        <v>DROUE</v>
      </c>
      <c r="E18165" s="38" t="s">
        <v>188</v>
      </c>
      <c r="F18165" s="38" t="s">
        <v>123</v>
      </c>
      <c r="G18165" s="49" t="str">
        <f t="shared" si="1"/>
        <v>41270</v>
      </c>
      <c r="H18165" s="49">
        <f t="shared" si="2"/>
        <v>41075</v>
      </c>
    </row>
    <row r="18166">
      <c r="A18166" s="48" t="s">
        <v>22600</v>
      </c>
      <c r="B18166" s="38">
        <v>68256.0</v>
      </c>
      <c r="C18166" s="38" t="s">
        <v>22601</v>
      </c>
      <c r="D18166" s="38" t="str">
        <f>IFERROR(__xludf.DUMMYFUNCTION("REGEXREPLACE(C18166,""-\d+(.*)|--\d+(.*)"","""")"),"PFASTATT")</f>
        <v>PFASTATT</v>
      </c>
      <c r="E18166" s="38" t="s">
        <v>150</v>
      </c>
      <c r="F18166" s="38" t="s">
        <v>151</v>
      </c>
      <c r="G18166" s="49" t="str">
        <f t="shared" si="1"/>
        <v>68120</v>
      </c>
      <c r="H18166" s="49">
        <f t="shared" si="2"/>
        <v>68256</v>
      </c>
    </row>
    <row r="18167">
      <c r="A18167" s="48" t="s">
        <v>2469</v>
      </c>
      <c r="B18167" s="38">
        <v>8312.0</v>
      </c>
      <c r="C18167" s="38" t="s">
        <v>22602</v>
      </c>
      <c r="D18167" s="38" t="str">
        <f>IFERROR(__xludf.DUMMYFUNCTION("REGEXREPLACE(C18167,""-\d+(.*)|--\d+(.*)"","""")"),"MURTIN-ET-BOGNY")</f>
        <v>MURTIN-ET-BOGNY</v>
      </c>
      <c r="E18167" s="38" t="s">
        <v>327</v>
      </c>
      <c r="F18167" s="38" t="s">
        <v>130</v>
      </c>
      <c r="G18167" s="49" t="str">
        <f t="shared" si="1"/>
        <v>08150</v>
      </c>
      <c r="H18167" s="49" t="str">
        <f t="shared" si="2"/>
        <v>08312</v>
      </c>
    </row>
    <row r="18168">
      <c r="A18168" s="48" t="s">
        <v>5545</v>
      </c>
      <c r="B18168" s="38">
        <v>22273.0</v>
      </c>
      <c r="C18168" s="38" t="s">
        <v>11200</v>
      </c>
      <c r="D18168" s="38" t="str">
        <f>IFERROR(__xludf.DUMMYFUNCTION("REGEXREPLACE(C18168,""-\d+(.*)|--\d+(.*)"","""")"),"SAINT-ALBAN")</f>
        <v>SAINT-ALBAN</v>
      </c>
      <c r="E18168" s="38" t="s">
        <v>89</v>
      </c>
      <c r="F18168" s="38" t="s">
        <v>90</v>
      </c>
      <c r="G18168" s="49" t="str">
        <f t="shared" si="1"/>
        <v>22400</v>
      </c>
      <c r="H18168" s="49">
        <f t="shared" si="2"/>
        <v>22273</v>
      </c>
    </row>
    <row r="18169">
      <c r="A18169" s="48" t="s">
        <v>9888</v>
      </c>
      <c r="B18169" s="38">
        <v>64350.0</v>
      </c>
      <c r="C18169" s="38" t="s">
        <v>22603</v>
      </c>
      <c r="D18169" s="38" t="str">
        <f>IFERROR(__xludf.DUMMYFUNCTION("REGEXREPLACE(C18169,""-\d+(.*)|--\d+(.*)"","""")"),"LOUHOSSOA")</f>
        <v>LOUHOSSOA</v>
      </c>
      <c r="E18169" s="38" t="s">
        <v>268</v>
      </c>
      <c r="F18169" s="38" t="s">
        <v>252</v>
      </c>
      <c r="G18169" s="49" t="str">
        <f t="shared" si="1"/>
        <v>64250</v>
      </c>
      <c r="H18169" s="49">
        <f t="shared" si="2"/>
        <v>64350</v>
      </c>
    </row>
    <row r="18170">
      <c r="A18170" s="48" t="s">
        <v>3626</v>
      </c>
      <c r="B18170" s="38">
        <v>57204.0</v>
      </c>
      <c r="C18170" s="38" t="s">
        <v>22604</v>
      </c>
      <c r="D18170" s="38" t="str">
        <f>IFERROR(__xludf.DUMMYFUNCTION("REGEXREPLACE(C18170,""-\d+(.*)|--\d+(.*)"","""")"),"FAILLY")</f>
        <v>FAILLY</v>
      </c>
      <c r="E18170" s="38" t="s">
        <v>303</v>
      </c>
      <c r="F18170" s="38" t="s">
        <v>195</v>
      </c>
      <c r="G18170" s="49" t="str">
        <f t="shared" si="1"/>
        <v>57640</v>
      </c>
      <c r="H18170" s="49">
        <f t="shared" si="2"/>
        <v>57204</v>
      </c>
    </row>
    <row r="18171">
      <c r="A18171" s="48" t="s">
        <v>667</v>
      </c>
      <c r="B18171" s="38">
        <v>64283.0</v>
      </c>
      <c r="C18171" s="38" t="s">
        <v>22605</v>
      </c>
      <c r="D18171" s="38" t="str">
        <f>IFERROR(__xludf.DUMMYFUNCTION("REGEXREPLACE(C18171,""-\d+(.*)|--\d+(.*)"","""")"),"JAXU")</f>
        <v>JAXU</v>
      </c>
      <c r="E18171" s="38" t="s">
        <v>268</v>
      </c>
      <c r="F18171" s="38" t="s">
        <v>252</v>
      </c>
      <c r="G18171" s="49" t="str">
        <f t="shared" si="1"/>
        <v>64220</v>
      </c>
      <c r="H18171" s="49">
        <f t="shared" si="2"/>
        <v>64283</v>
      </c>
    </row>
    <row r="18172">
      <c r="A18172" s="48" t="s">
        <v>183</v>
      </c>
      <c r="B18172" s="38">
        <v>46216.0</v>
      </c>
      <c r="C18172" s="38" t="s">
        <v>22606</v>
      </c>
      <c r="D18172" s="38" t="str">
        <f>IFERROR(__xludf.DUMMYFUNCTION("REGEXREPLACE(C18172,""-\d+(.*)|--\d+(.*)"","""")"),"PAYRIGNAC")</f>
        <v>PAYRIGNAC</v>
      </c>
      <c r="E18172" s="38" t="s">
        <v>185</v>
      </c>
      <c r="F18172" s="38" t="s">
        <v>94</v>
      </c>
      <c r="G18172" s="49" t="str">
        <f t="shared" si="1"/>
        <v>46300</v>
      </c>
      <c r="H18172" s="49">
        <f t="shared" si="2"/>
        <v>46216</v>
      </c>
    </row>
    <row r="18173">
      <c r="A18173" s="48" t="s">
        <v>4626</v>
      </c>
      <c r="B18173" s="38">
        <v>16373.0</v>
      </c>
      <c r="C18173" s="38" t="s">
        <v>8685</v>
      </c>
      <c r="D18173" s="38" t="str">
        <f>IFERROR(__xludf.DUMMYFUNCTION("REGEXREPLACE(C18173,""-\d+(.*)|--\d+(.*)"","""")"),"SOUVIGNE")</f>
        <v>SOUVIGNE</v>
      </c>
      <c r="E18173" s="38" t="s">
        <v>429</v>
      </c>
      <c r="F18173" s="38" t="s">
        <v>338</v>
      </c>
      <c r="G18173" s="49" t="str">
        <f t="shared" si="1"/>
        <v>16240</v>
      </c>
      <c r="H18173" s="49">
        <f t="shared" si="2"/>
        <v>16373</v>
      </c>
    </row>
    <row r="18174">
      <c r="A18174" s="48" t="s">
        <v>15237</v>
      </c>
      <c r="B18174" s="38">
        <v>4031.0</v>
      </c>
      <c r="C18174" s="38" t="s">
        <v>22607</v>
      </c>
      <c r="D18174" s="38" t="str">
        <f>IFERROR(__xludf.DUMMYFUNCTION("REGEXREPLACE(C18174,""-\d+(.*)|--\d+(.*)"","""")"),"BRAS-D'ASSE")</f>
        <v>BRAS-D'ASSE</v>
      </c>
      <c r="E18174" s="38" t="s">
        <v>662</v>
      </c>
      <c r="F18174" s="38" t="s">
        <v>228</v>
      </c>
      <c r="G18174" s="49" t="str">
        <f t="shared" si="1"/>
        <v>04270</v>
      </c>
      <c r="H18174" s="49" t="str">
        <f t="shared" si="2"/>
        <v>04031</v>
      </c>
    </row>
    <row r="18175">
      <c r="A18175" s="48" t="s">
        <v>9621</v>
      </c>
      <c r="B18175" s="38">
        <v>43094.0</v>
      </c>
      <c r="C18175" s="38" t="s">
        <v>22608</v>
      </c>
      <c r="D18175" s="38" t="str">
        <f>IFERROR(__xludf.DUMMYFUNCTION("REGEXREPLACE(C18175,""-\d+(.*)|--\d+(.*)"","""")"),"FERRUSSAC")</f>
        <v>FERRUSSAC</v>
      </c>
      <c r="E18175" s="38" t="s">
        <v>332</v>
      </c>
      <c r="F18175" s="38" t="s">
        <v>161</v>
      </c>
      <c r="G18175" s="49" t="str">
        <f t="shared" si="1"/>
        <v>43300</v>
      </c>
      <c r="H18175" s="49">
        <f t="shared" si="2"/>
        <v>43094</v>
      </c>
    </row>
    <row r="18176">
      <c r="A18176" s="48" t="s">
        <v>7689</v>
      </c>
      <c r="B18176" s="38">
        <v>61096.0</v>
      </c>
      <c r="C18176" s="38" t="s">
        <v>22609</v>
      </c>
      <c r="D18176" s="38" t="str">
        <f>IFERROR(__xludf.DUMMYFUNCTION("REGEXREPLACE(C18176,""-\d+(.*)|--\d+(.*)"","""")"),"LA CHAPELLE-D'ANDAINE")</f>
        <v>LA CHAPELLE-D'ANDAINE</v>
      </c>
      <c r="E18176" s="38" t="s">
        <v>141</v>
      </c>
      <c r="F18176" s="38" t="s">
        <v>138</v>
      </c>
      <c r="G18176" s="49" t="str">
        <f t="shared" si="1"/>
        <v>61140</v>
      </c>
      <c r="H18176" s="49">
        <f t="shared" si="2"/>
        <v>61096</v>
      </c>
    </row>
    <row r="18177">
      <c r="A18177" s="48" t="s">
        <v>22610</v>
      </c>
      <c r="B18177" s="38">
        <v>17010.0</v>
      </c>
      <c r="C18177" s="38" t="s">
        <v>22611</v>
      </c>
      <c r="D18177" s="38" t="str">
        <f>IFERROR(__xludf.DUMMYFUNCTION("REGEXREPLACE(C18177,""-\d+(.*)|--\d+(.*)"","""")"),"ANGOULINS")</f>
        <v>ANGOULINS</v>
      </c>
      <c r="E18177" s="38" t="s">
        <v>488</v>
      </c>
      <c r="F18177" s="38" t="s">
        <v>338</v>
      </c>
      <c r="G18177" s="49" t="str">
        <f t="shared" si="1"/>
        <v>17690</v>
      </c>
      <c r="H18177" s="49">
        <f t="shared" si="2"/>
        <v>17010</v>
      </c>
    </row>
    <row r="18178">
      <c r="A18178" s="48" t="s">
        <v>22612</v>
      </c>
      <c r="B18178" s="38">
        <v>59334.0</v>
      </c>
      <c r="C18178" s="38" t="s">
        <v>22613</v>
      </c>
      <c r="D18178" s="38" t="str">
        <f>IFERROR(__xludf.DUMMYFUNCTION("REGEXREPLACE(C18178,""-\d+(.*)|--\d+(.*)"","""")"),"LAUWIN-PLANQUE")</f>
        <v>LAUWIN-PLANQUE</v>
      </c>
      <c r="E18178" s="38" t="s">
        <v>85</v>
      </c>
      <c r="F18178" s="38" t="s">
        <v>86</v>
      </c>
      <c r="G18178" s="49" t="str">
        <f t="shared" si="1"/>
        <v>59553</v>
      </c>
      <c r="H18178" s="49">
        <f t="shared" si="2"/>
        <v>59334</v>
      </c>
    </row>
    <row r="18179">
      <c r="A18179" s="48" t="s">
        <v>622</v>
      </c>
      <c r="B18179" s="38">
        <v>14025.0</v>
      </c>
      <c r="C18179" s="38" t="s">
        <v>8395</v>
      </c>
      <c r="D18179" s="38" t="str">
        <f>IFERROR(__xludf.DUMMYFUNCTION("REGEXREPLACE(C18179,""-\d+(.*)|--\d+(.*)"","""")"),"AUBIGNY")</f>
        <v>AUBIGNY</v>
      </c>
      <c r="E18179" s="38" t="s">
        <v>137</v>
      </c>
      <c r="F18179" s="38" t="s">
        <v>138</v>
      </c>
      <c r="G18179" s="49" t="str">
        <f t="shared" si="1"/>
        <v>14700</v>
      </c>
      <c r="H18179" s="49">
        <f t="shared" si="2"/>
        <v>14025</v>
      </c>
    </row>
    <row r="18180">
      <c r="A18180" s="48" t="s">
        <v>3293</v>
      </c>
      <c r="B18180" s="38">
        <v>73065.0</v>
      </c>
      <c r="C18180" s="38" t="s">
        <v>22614</v>
      </c>
      <c r="D18180" s="38" t="str">
        <f>IFERROR(__xludf.DUMMYFUNCTION("REGEXREPLACE(C18180,""-\d+(.*)|--\d+(.*)"","""")"),"CHAMBERY")</f>
        <v>CHAMBERY</v>
      </c>
      <c r="E18180" s="38" t="s">
        <v>306</v>
      </c>
      <c r="F18180" s="38" t="s">
        <v>102</v>
      </c>
      <c r="G18180" s="49" t="str">
        <f t="shared" si="1"/>
        <v>73000</v>
      </c>
      <c r="H18180" s="49">
        <f t="shared" si="2"/>
        <v>73065</v>
      </c>
    </row>
    <row r="18181">
      <c r="A18181" s="48" t="s">
        <v>2547</v>
      </c>
      <c r="B18181" s="38">
        <v>8075.0</v>
      </c>
      <c r="C18181" s="38" t="s">
        <v>22615</v>
      </c>
      <c r="D18181" s="38" t="str">
        <f>IFERROR(__xludf.DUMMYFUNCTION("REGEXREPLACE(C18181,""-\d+(.*)|--\d+(.*)"","""")"),"BOULT-AUX-BOIS")</f>
        <v>BOULT-AUX-BOIS</v>
      </c>
      <c r="E18181" s="38" t="s">
        <v>327</v>
      </c>
      <c r="F18181" s="38" t="s">
        <v>130</v>
      </c>
      <c r="G18181" s="49" t="str">
        <f t="shared" si="1"/>
        <v>08240</v>
      </c>
      <c r="H18181" s="49" t="str">
        <f t="shared" si="2"/>
        <v>08075</v>
      </c>
    </row>
    <row r="18182">
      <c r="A18182" s="48" t="s">
        <v>7263</v>
      </c>
      <c r="B18182" s="38">
        <v>88313.0</v>
      </c>
      <c r="C18182" s="38" t="s">
        <v>22616</v>
      </c>
      <c r="D18182" s="38" t="str">
        <f>IFERROR(__xludf.DUMMYFUNCTION("REGEXREPLACE(C18182,""-\d+(.*)|--\d+(.*)"","""")"),"MORIVILLE")</f>
        <v>MORIVILLE</v>
      </c>
      <c r="E18182" s="38" t="s">
        <v>194</v>
      </c>
      <c r="F18182" s="38" t="s">
        <v>195</v>
      </c>
      <c r="G18182" s="49" t="str">
        <f t="shared" si="1"/>
        <v>88330</v>
      </c>
      <c r="H18182" s="49">
        <f t="shared" si="2"/>
        <v>88313</v>
      </c>
    </row>
    <row r="18183">
      <c r="A18183" s="48" t="s">
        <v>2728</v>
      </c>
      <c r="B18183" s="38">
        <v>38387.0</v>
      </c>
      <c r="C18183" s="38" t="s">
        <v>22617</v>
      </c>
      <c r="D18183" s="38" t="str">
        <f>IFERROR(__xludf.DUMMYFUNCTION("REGEXREPLACE(C18183,""-\d+(.*)|--\d+(.*)"","""")"),"SAINT-GEOIRS")</f>
        <v>SAINT-GEOIRS</v>
      </c>
      <c r="E18183" s="38" t="s">
        <v>101</v>
      </c>
      <c r="F18183" s="38" t="s">
        <v>102</v>
      </c>
      <c r="G18183" s="49" t="str">
        <f t="shared" si="1"/>
        <v>38590</v>
      </c>
      <c r="H18183" s="49">
        <f t="shared" si="2"/>
        <v>38387</v>
      </c>
    </row>
    <row r="18184">
      <c r="A18184" s="48" t="s">
        <v>3158</v>
      </c>
      <c r="B18184" s="38">
        <v>50135.0</v>
      </c>
      <c r="C18184" s="38" t="s">
        <v>22618</v>
      </c>
      <c r="D18184" s="38" t="str">
        <f>IFERROR(__xludf.DUMMYFUNCTION("REGEXREPLACE(C18184,""-\d+(.*)|--\d+(.*)"","""")"),"CLITOURPS")</f>
        <v>CLITOURPS</v>
      </c>
      <c r="E18184" s="38" t="s">
        <v>157</v>
      </c>
      <c r="F18184" s="38" t="s">
        <v>138</v>
      </c>
      <c r="G18184" s="49" t="str">
        <f t="shared" si="1"/>
        <v>50330</v>
      </c>
      <c r="H18184" s="49">
        <f t="shared" si="2"/>
        <v>50135</v>
      </c>
    </row>
    <row r="18185">
      <c r="A18185" s="48" t="s">
        <v>15822</v>
      </c>
      <c r="B18185" s="38">
        <v>59293.0</v>
      </c>
      <c r="C18185" s="38" t="s">
        <v>22619</v>
      </c>
      <c r="D18185" s="38" t="str">
        <f>IFERROR(__xludf.DUMMYFUNCTION("REGEXREPLACE(C18185,""-\d+(.*)|--\d+(.*)"","""")"),"HAVERSKERQUE")</f>
        <v>HAVERSKERQUE</v>
      </c>
      <c r="E18185" s="38" t="s">
        <v>85</v>
      </c>
      <c r="F18185" s="38" t="s">
        <v>86</v>
      </c>
      <c r="G18185" s="49" t="str">
        <f t="shared" si="1"/>
        <v>59660</v>
      </c>
      <c r="H18185" s="49">
        <f t="shared" si="2"/>
        <v>59293</v>
      </c>
    </row>
    <row r="18186">
      <c r="A18186" s="48" t="s">
        <v>1327</v>
      </c>
      <c r="B18186" s="38">
        <v>51624.0</v>
      </c>
      <c r="C18186" s="38" t="s">
        <v>22620</v>
      </c>
      <c r="D18186" s="38" t="str">
        <f>IFERROR(__xludf.DUMMYFUNCTION("REGEXREPLACE(C18186,""-\d+(.*)|--\d+(.*)"","""")"),"VILLE-EN-TARDENOIS")</f>
        <v>VILLE-EN-TARDENOIS</v>
      </c>
      <c r="E18186" s="38" t="s">
        <v>129</v>
      </c>
      <c r="F18186" s="38" t="s">
        <v>130</v>
      </c>
      <c r="G18186" s="49" t="str">
        <f t="shared" si="1"/>
        <v>51170</v>
      </c>
      <c r="H18186" s="49">
        <f t="shared" si="2"/>
        <v>51624</v>
      </c>
    </row>
    <row r="18187">
      <c r="A18187" s="48" t="s">
        <v>1096</v>
      </c>
      <c r="B18187" s="38">
        <v>63253.0</v>
      </c>
      <c r="C18187" s="38" t="s">
        <v>22621</v>
      </c>
      <c r="D18187" s="38" t="str">
        <f>IFERROR(__xludf.DUMMYFUNCTION("REGEXREPLACE(C18187,""-\d+(.*)|--\d+(.*)"","""")"),"NOALHAT")</f>
        <v>NOALHAT</v>
      </c>
      <c r="E18187" s="38" t="s">
        <v>353</v>
      </c>
      <c r="F18187" s="38" t="s">
        <v>161</v>
      </c>
      <c r="G18187" s="49" t="str">
        <f t="shared" si="1"/>
        <v>63290</v>
      </c>
      <c r="H18187" s="49">
        <f t="shared" si="2"/>
        <v>63253</v>
      </c>
    </row>
    <row r="18188">
      <c r="A18188" s="48" t="s">
        <v>22622</v>
      </c>
      <c r="B18188" s="38">
        <v>42228.0</v>
      </c>
      <c r="C18188" s="38" t="s">
        <v>22623</v>
      </c>
      <c r="D18188" s="38" t="str">
        <f>IFERROR(__xludf.DUMMYFUNCTION("REGEXREPLACE(C18188,""-\d+(.*)|--\d+(.*)"","""")"),"SAINT-GEORGES-HAUTE-VILLE")</f>
        <v>SAINT-GEORGES-HAUTE-VILLE</v>
      </c>
      <c r="E18188" s="38" t="s">
        <v>166</v>
      </c>
      <c r="F18188" s="38" t="s">
        <v>102</v>
      </c>
      <c r="G18188" s="49" t="str">
        <f t="shared" si="1"/>
        <v>42610</v>
      </c>
      <c r="H18188" s="49">
        <f t="shared" si="2"/>
        <v>42228</v>
      </c>
    </row>
    <row r="18189">
      <c r="A18189" s="48" t="s">
        <v>6097</v>
      </c>
      <c r="B18189" s="38">
        <v>33020.0</v>
      </c>
      <c r="C18189" s="38" t="s">
        <v>22624</v>
      </c>
      <c r="D18189" s="38" t="str">
        <f>IFERROR(__xludf.DUMMYFUNCTION("REGEXREPLACE(C18189,""-\d+(.*)|--\d+(.*)"","""")"),"AURIOLLES")</f>
        <v>AURIOLLES</v>
      </c>
      <c r="E18189" s="38" t="s">
        <v>462</v>
      </c>
      <c r="F18189" s="38" t="s">
        <v>252</v>
      </c>
      <c r="G18189" s="49" t="str">
        <f t="shared" si="1"/>
        <v>33790</v>
      </c>
      <c r="H18189" s="49">
        <f t="shared" si="2"/>
        <v>33020</v>
      </c>
    </row>
    <row r="18190">
      <c r="A18190" s="48" t="s">
        <v>3104</v>
      </c>
      <c r="B18190" s="38">
        <v>14287.0</v>
      </c>
      <c r="C18190" s="38" t="s">
        <v>22625</v>
      </c>
      <c r="D18190" s="38" t="str">
        <f>IFERROR(__xludf.DUMMYFUNCTION("REGEXREPLACE(C18190,""-\d+(.*)|--\d+(.*)"","""")"),"FRENOUVILLE")</f>
        <v>FRENOUVILLE</v>
      </c>
      <c r="E18190" s="38" t="s">
        <v>137</v>
      </c>
      <c r="F18190" s="38" t="s">
        <v>138</v>
      </c>
      <c r="G18190" s="49" t="str">
        <f t="shared" si="1"/>
        <v>14630</v>
      </c>
      <c r="H18190" s="49">
        <f t="shared" si="2"/>
        <v>14287</v>
      </c>
    </row>
    <row r="18191">
      <c r="A18191" s="48" t="s">
        <v>6021</v>
      </c>
      <c r="B18191" s="38">
        <v>30222.0</v>
      </c>
      <c r="C18191" s="38" t="s">
        <v>22626</v>
      </c>
      <c r="D18191" s="38" t="str">
        <f>IFERROR(__xludf.DUMMYFUNCTION("REGEXREPLACE(C18191,""-\d+(.*)|--\d+(.*)"","""")"),"LA ROQUE-SUR-CEZE")</f>
        <v>LA ROQUE-SUR-CEZE</v>
      </c>
      <c r="E18191" s="38" t="s">
        <v>526</v>
      </c>
      <c r="F18191" s="38" t="s">
        <v>119</v>
      </c>
      <c r="G18191" s="49" t="str">
        <f t="shared" si="1"/>
        <v>30200</v>
      </c>
      <c r="H18191" s="49">
        <f t="shared" si="2"/>
        <v>30222</v>
      </c>
    </row>
    <row r="18192">
      <c r="A18192" s="48" t="s">
        <v>19905</v>
      </c>
      <c r="B18192" s="38">
        <v>67052.0</v>
      </c>
      <c r="C18192" s="38" t="s">
        <v>22627</v>
      </c>
      <c r="D18192" s="38" t="str">
        <f>IFERROR(__xludf.DUMMYFUNCTION("REGEXREPLACE(C18192,""-\d+(.*)|--\d+(.*)"","""")"),"BOERSCH")</f>
        <v>BOERSCH</v>
      </c>
      <c r="E18192" s="38" t="s">
        <v>210</v>
      </c>
      <c r="F18192" s="38" t="s">
        <v>151</v>
      </c>
      <c r="G18192" s="49" t="str">
        <f t="shared" si="1"/>
        <v>67530</v>
      </c>
      <c r="H18192" s="49">
        <f t="shared" si="2"/>
        <v>67052</v>
      </c>
    </row>
    <row r="18193">
      <c r="A18193" s="48" t="s">
        <v>1817</v>
      </c>
      <c r="B18193" s="38">
        <v>31576.0</v>
      </c>
      <c r="C18193" s="38" t="s">
        <v>22628</v>
      </c>
      <c r="D18193" s="38" t="str">
        <f>IFERROR(__xludf.DUMMYFUNCTION("REGEXREPLACE(C18193,""-\d+(.*)|--\d+(.*)"","""")"),"VIEILLEVIGNE")</f>
        <v>VIEILLEVIGNE</v>
      </c>
      <c r="E18193" s="38" t="s">
        <v>93</v>
      </c>
      <c r="F18193" s="38" t="s">
        <v>94</v>
      </c>
      <c r="G18193" s="49" t="str">
        <f t="shared" si="1"/>
        <v>31290</v>
      </c>
      <c r="H18193" s="49">
        <f t="shared" si="2"/>
        <v>31576</v>
      </c>
    </row>
    <row r="18194">
      <c r="A18194" s="48" t="s">
        <v>21644</v>
      </c>
      <c r="B18194" s="38">
        <v>54306.0</v>
      </c>
      <c r="C18194" s="38" t="s">
        <v>22629</v>
      </c>
      <c r="D18194" s="38" t="str">
        <f>IFERROR(__xludf.DUMMYFUNCTION("REGEXREPLACE(C18194,""-\d+(.*)|--\d+(.*)"","""")"),"LAY-SAINT-REMY")</f>
        <v>LAY-SAINT-REMY</v>
      </c>
      <c r="E18194" s="38" t="s">
        <v>548</v>
      </c>
      <c r="F18194" s="38" t="s">
        <v>195</v>
      </c>
      <c r="G18194" s="49" t="str">
        <f t="shared" si="1"/>
        <v>54570</v>
      </c>
      <c r="H18194" s="49">
        <f t="shared" si="2"/>
        <v>54306</v>
      </c>
    </row>
    <row r="18195">
      <c r="A18195" s="48" t="s">
        <v>2608</v>
      </c>
      <c r="B18195" s="38">
        <v>24474.0</v>
      </c>
      <c r="C18195" s="38" t="s">
        <v>22630</v>
      </c>
      <c r="D18195" s="38" t="str">
        <f>IFERROR(__xludf.DUMMYFUNCTION("REGEXREPLACE(C18195,""-\d+(.*)|--\d+(.*)"","""")"),"SAINT-PANCRACE")</f>
        <v>SAINT-PANCRACE</v>
      </c>
      <c r="E18195" s="38" t="s">
        <v>261</v>
      </c>
      <c r="F18195" s="38" t="s">
        <v>252</v>
      </c>
      <c r="G18195" s="49" t="str">
        <f t="shared" si="1"/>
        <v>24530</v>
      </c>
      <c r="H18195" s="49">
        <f t="shared" si="2"/>
        <v>24474</v>
      </c>
    </row>
    <row r="18196">
      <c r="A18196" s="48" t="s">
        <v>9457</v>
      </c>
      <c r="B18196" s="38">
        <v>5050.0</v>
      </c>
      <c r="C18196" s="38" t="s">
        <v>22631</v>
      </c>
      <c r="D18196" s="38" t="str">
        <f>IFERROR(__xludf.DUMMYFUNCTION("REGEXREPLACE(C18196,""-\d+(.*)|--\d+(.*)"","""")"),"ESPINASSES")</f>
        <v>ESPINASSES</v>
      </c>
      <c r="E18196" s="38" t="s">
        <v>706</v>
      </c>
      <c r="F18196" s="38" t="s">
        <v>228</v>
      </c>
      <c r="G18196" s="49" t="str">
        <f t="shared" si="1"/>
        <v>05190</v>
      </c>
      <c r="H18196" s="49" t="str">
        <f t="shared" si="2"/>
        <v>05050</v>
      </c>
    </row>
    <row r="18197">
      <c r="A18197" s="48" t="s">
        <v>9905</v>
      </c>
      <c r="B18197" s="38">
        <v>65453.0</v>
      </c>
      <c r="C18197" s="38" t="s">
        <v>22632</v>
      </c>
      <c r="D18197" s="38" t="str">
        <f>IFERROR(__xludf.DUMMYFUNCTION("REGEXREPLACE(C18197,""-\d+(.*)|--\d+(.*)"","""")"),"TROUBAT")</f>
        <v>TROUBAT</v>
      </c>
      <c r="E18197" s="38" t="s">
        <v>200</v>
      </c>
      <c r="F18197" s="38" t="s">
        <v>94</v>
      </c>
      <c r="G18197" s="49" t="str">
        <f t="shared" si="1"/>
        <v>65370</v>
      </c>
      <c r="H18197" s="49">
        <f t="shared" si="2"/>
        <v>65453</v>
      </c>
    </row>
    <row r="18198">
      <c r="A18198" s="48" t="s">
        <v>14082</v>
      </c>
      <c r="B18198" s="38">
        <v>64477.0</v>
      </c>
      <c r="C18198" s="38" t="s">
        <v>22633</v>
      </c>
      <c r="D18198" s="38" t="str">
        <f>IFERROR(__xludf.DUMMYFUNCTION("REGEXREPLACE(C18198,""-\d+(.*)|--\d+(.*)"","""")"),"SAINT-ETIENNE-DE-BAIGORRY")</f>
        <v>SAINT-ETIENNE-DE-BAIGORRY</v>
      </c>
      <c r="E18198" s="38" t="s">
        <v>268</v>
      </c>
      <c r="F18198" s="38" t="s">
        <v>252</v>
      </c>
      <c r="G18198" s="49" t="str">
        <f t="shared" si="1"/>
        <v>64430</v>
      </c>
      <c r="H18198" s="49">
        <f t="shared" si="2"/>
        <v>64477</v>
      </c>
    </row>
    <row r="18199">
      <c r="A18199" s="48" t="s">
        <v>2506</v>
      </c>
      <c r="B18199" s="38">
        <v>80064.0</v>
      </c>
      <c r="C18199" s="38" t="s">
        <v>22634</v>
      </c>
      <c r="D18199" s="38" t="str">
        <f>IFERROR(__xludf.DUMMYFUNCTION("REGEXREPLACE(C18199,""-\d+(.*)|--\d+(.*)"","""")"),"BEAUCOURT-EN-SANTERRE")</f>
        <v>BEAUCOURT-EN-SANTERRE</v>
      </c>
      <c r="E18199" s="38" t="s">
        <v>224</v>
      </c>
      <c r="F18199" s="38" t="s">
        <v>113</v>
      </c>
      <c r="G18199" s="49" t="str">
        <f t="shared" si="1"/>
        <v>80110</v>
      </c>
      <c r="H18199" s="49">
        <f t="shared" si="2"/>
        <v>80064</v>
      </c>
    </row>
    <row r="18200">
      <c r="A18200" s="48" t="s">
        <v>22635</v>
      </c>
      <c r="B18200" s="38">
        <v>56025.0</v>
      </c>
      <c r="C18200" s="38" t="s">
        <v>22636</v>
      </c>
      <c r="D18200" s="38" t="str">
        <f>IFERROR(__xludf.DUMMYFUNCTION("REGEXREPLACE(C18200,""-\d+(.*)|--\d+(.*)"","""")"),"BRIGNAC")</f>
        <v>BRIGNAC</v>
      </c>
      <c r="E18200" s="38" t="s">
        <v>173</v>
      </c>
      <c r="F18200" s="38" t="s">
        <v>90</v>
      </c>
      <c r="G18200" s="49" t="str">
        <f t="shared" si="1"/>
        <v>56430</v>
      </c>
      <c r="H18200" s="49">
        <f t="shared" si="2"/>
        <v>56025</v>
      </c>
    </row>
    <row r="18201">
      <c r="A18201" s="48" t="s">
        <v>22637</v>
      </c>
      <c r="B18201" s="38">
        <v>97305.0</v>
      </c>
      <c r="C18201" s="38" t="s">
        <v>22638</v>
      </c>
      <c r="D18201" s="38" t="str">
        <f>IFERROR(__xludf.DUMMYFUNCTION("REGEXREPLACE(C18201,""-\d+(.*)|--\d+(.*)"","""")"),"MACOURIA")</f>
        <v>MACOURIA</v>
      </c>
      <c r="E18201" s="38" t="s">
        <v>1737</v>
      </c>
      <c r="F18201" s="38" t="s">
        <v>1737</v>
      </c>
      <c r="G18201" s="49" t="str">
        <f t="shared" si="1"/>
        <v>97355</v>
      </c>
      <c r="H18201" s="49">
        <f t="shared" si="2"/>
        <v>97305</v>
      </c>
    </row>
    <row r="18202">
      <c r="A18202" s="48" t="s">
        <v>13379</v>
      </c>
      <c r="B18202" s="38">
        <v>77252.0</v>
      </c>
      <c r="C18202" s="38" t="s">
        <v>22639</v>
      </c>
      <c r="D18202" s="38" t="str">
        <f>IFERROR(__xludf.DUMMYFUNCTION("REGEXREPLACE(C18202,""-\d+(.*)|--\d+(.*)"","""")"),"LIMOGES-FOURCHES")</f>
        <v>LIMOGES-FOURCHES</v>
      </c>
      <c r="E18202" s="38" t="s">
        <v>244</v>
      </c>
      <c r="F18202" s="38" t="s">
        <v>245</v>
      </c>
      <c r="G18202" s="49" t="str">
        <f t="shared" si="1"/>
        <v>77550</v>
      </c>
      <c r="H18202" s="49">
        <f t="shared" si="2"/>
        <v>77252</v>
      </c>
    </row>
    <row r="18203">
      <c r="A18203" s="48" t="s">
        <v>2261</v>
      </c>
      <c r="B18203" s="38">
        <v>9192.0</v>
      </c>
      <c r="C18203" s="38" t="s">
        <v>22640</v>
      </c>
      <c r="D18203" s="38" t="str">
        <f>IFERROR(__xludf.DUMMYFUNCTION("REGEXREPLACE(C18203,""-\d+(.*)|--\d+(.*)"","""")"),"MIGLOS")</f>
        <v>MIGLOS</v>
      </c>
      <c r="E18203" s="38" t="s">
        <v>238</v>
      </c>
      <c r="F18203" s="38" t="s">
        <v>94</v>
      </c>
      <c r="G18203" s="49" t="str">
        <f t="shared" si="1"/>
        <v>09400</v>
      </c>
      <c r="H18203" s="49" t="str">
        <f t="shared" si="2"/>
        <v>09192</v>
      </c>
    </row>
    <row r="18204">
      <c r="A18204" s="48" t="s">
        <v>3450</v>
      </c>
      <c r="B18204" s="38">
        <v>60617.0</v>
      </c>
      <c r="C18204" s="38" t="s">
        <v>22641</v>
      </c>
      <c r="D18204" s="38" t="str">
        <f>IFERROR(__xludf.DUMMYFUNCTION("REGEXREPLACE(C18204,""-\d+(.*)|--\d+(.*)"","""")"),"SERMAIZE")</f>
        <v>SERMAIZE</v>
      </c>
      <c r="E18204" s="38" t="s">
        <v>112</v>
      </c>
      <c r="F18204" s="38" t="s">
        <v>113</v>
      </c>
      <c r="G18204" s="49" t="str">
        <f t="shared" si="1"/>
        <v>60400</v>
      </c>
      <c r="H18204" s="49">
        <f t="shared" si="2"/>
        <v>60617</v>
      </c>
    </row>
    <row r="18205">
      <c r="A18205" s="48" t="s">
        <v>22642</v>
      </c>
      <c r="B18205" s="38">
        <v>38191.0</v>
      </c>
      <c r="C18205" s="38" t="s">
        <v>22643</v>
      </c>
      <c r="D18205" s="38" t="str">
        <f>IFERROR(__xludf.DUMMYFUNCTION("REGEXREPLACE(C18205,""-\d+(.*)|--\d+(.*)"","""")"),"HUEZ")</f>
        <v>HUEZ</v>
      </c>
      <c r="E18205" s="38" t="s">
        <v>101</v>
      </c>
      <c r="F18205" s="38" t="s">
        <v>102</v>
      </c>
      <c r="G18205" s="49" t="str">
        <f t="shared" si="1"/>
        <v>38750</v>
      </c>
      <c r="H18205" s="49">
        <f t="shared" si="2"/>
        <v>38191</v>
      </c>
    </row>
    <row r="18206">
      <c r="A18206" s="48" t="s">
        <v>2384</v>
      </c>
      <c r="B18206" s="38">
        <v>21494.0</v>
      </c>
      <c r="C18206" s="38" t="s">
        <v>22644</v>
      </c>
      <c r="D18206" s="38" t="str">
        <f>IFERROR(__xludf.DUMMYFUNCTION("REGEXREPLACE(C18206,""-\d+(.*)|--\d+(.*)"","""")"),"PONCEY-SUR-L'IGNON")</f>
        <v>PONCEY-SUR-L'IGNON</v>
      </c>
      <c r="E18206" s="38" t="s">
        <v>105</v>
      </c>
      <c r="F18206" s="38" t="s">
        <v>106</v>
      </c>
      <c r="G18206" s="49" t="str">
        <f t="shared" si="1"/>
        <v>21440</v>
      </c>
      <c r="H18206" s="49">
        <f t="shared" si="2"/>
        <v>21494</v>
      </c>
    </row>
    <row r="18207">
      <c r="A18207" s="48" t="s">
        <v>10253</v>
      </c>
      <c r="B18207" s="38">
        <v>48070.0</v>
      </c>
      <c r="C18207" s="38" t="s">
        <v>22645</v>
      </c>
      <c r="D18207" s="38" t="str">
        <f>IFERROR(__xludf.DUMMYFUNCTION("REGEXREPLACE(C18207,""-\d+(.*)|--\d+(.*)"","""")"),"GRANDRIEU")</f>
        <v>GRANDRIEU</v>
      </c>
      <c r="E18207" s="38" t="s">
        <v>154</v>
      </c>
      <c r="F18207" s="38" t="s">
        <v>119</v>
      </c>
      <c r="G18207" s="49" t="str">
        <f t="shared" si="1"/>
        <v>48600</v>
      </c>
      <c r="H18207" s="49">
        <f t="shared" si="2"/>
        <v>48070</v>
      </c>
    </row>
    <row r="18208">
      <c r="A18208" s="48" t="s">
        <v>6738</v>
      </c>
      <c r="B18208" s="38">
        <v>65360.0</v>
      </c>
      <c r="C18208" s="38" t="s">
        <v>22646</v>
      </c>
      <c r="D18208" s="38" t="str">
        <f>IFERROR(__xludf.DUMMYFUNCTION("REGEXREPLACE(C18208,""-\d+(.*)|--\d+(.*)"","""")"),"PEYROUSE")</f>
        <v>PEYROUSE</v>
      </c>
      <c r="E18208" s="38" t="s">
        <v>200</v>
      </c>
      <c r="F18208" s="38" t="s">
        <v>94</v>
      </c>
      <c r="G18208" s="49" t="str">
        <f t="shared" si="1"/>
        <v>65270</v>
      </c>
      <c r="H18208" s="49">
        <f t="shared" si="2"/>
        <v>65360</v>
      </c>
    </row>
    <row r="18209">
      <c r="A18209" s="48" t="s">
        <v>7861</v>
      </c>
      <c r="B18209" s="38">
        <v>78644.0</v>
      </c>
      <c r="C18209" s="38" t="s">
        <v>22647</v>
      </c>
      <c r="D18209" s="38" t="str">
        <f>IFERROR(__xludf.DUMMYFUNCTION("REGEXREPLACE(C18209,""-\d+(.*)|--\d+(.*)"","""")"),"LA VERRIERE")</f>
        <v>LA VERRIERE</v>
      </c>
      <c r="E18209" s="38" t="s">
        <v>362</v>
      </c>
      <c r="F18209" s="38" t="s">
        <v>245</v>
      </c>
      <c r="G18209" s="49" t="str">
        <f t="shared" si="1"/>
        <v>78320</v>
      </c>
      <c r="H18209" s="49">
        <f t="shared" si="2"/>
        <v>78644</v>
      </c>
    </row>
    <row r="18210">
      <c r="A18210" s="48" t="s">
        <v>6613</v>
      </c>
      <c r="B18210" s="38">
        <v>61459.0</v>
      </c>
      <c r="C18210" s="38" t="s">
        <v>22648</v>
      </c>
      <c r="D18210" s="38" t="str">
        <f>IFERROR(__xludf.DUMMYFUNCTION("REGEXREPLACE(C18210,""-\d+(.*)|--\d+(.*)"","""")"),"SAIRES-LA-VERRERIE")</f>
        <v>SAIRES-LA-VERRERIE</v>
      </c>
      <c r="E18210" s="38" t="s">
        <v>141</v>
      </c>
      <c r="F18210" s="38" t="s">
        <v>138</v>
      </c>
      <c r="G18210" s="49" t="str">
        <f t="shared" si="1"/>
        <v>61220</v>
      </c>
      <c r="H18210" s="49">
        <f t="shared" si="2"/>
        <v>61459</v>
      </c>
    </row>
    <row r="18211">
      <c r="A18211" s="48" t="s">
        <v>304</v>
      </c>
      <c r="B18211" s="38">
        <v>73073.0</v>
      </c>
      <c r="C18211" s="38" t="s">
        <v>22649</v>
      </c>
      <c r="D18211" s="38" t="str">
        <f>IFERROR(__xludf.DUMMYFUNCTION("REGEXREPLACE(C18211,""-\d+(.*)|--\d+(.*)"","""")"),"CHANAZ")</f>
        <v>CHANAZ</v>
      </c>
      <c r="E18211" s="38" t="s">
        <v>306</v>
      </c>
      <c r="F18211" s="38" t="s">
        <v>102</v>
      </c>
      <c r="G18211" s="49" t="str">
        <f t="shared" si="1"/>
        <v>73310</v>
      </c>
      <c r="H18211" s="49">
        <f t="shared" si="2"/>
        <v>73073</v>
      </c>
    </row>
    <row r="18212">
      <c r="A18212" s="48" t="s">
        <v>3206</v>
      </c>
      <c r="B18212" s="38">
        <v>40096.0</v>
      </c>
      <c r="C18212" s="38" t="s">
        <v>22650</v>
      </c>
      <c r="D18212" s="38" t="str">
        <f>IFERROR(__xludf.DUMMYFUNCTION("REGEXREPLACE(C18212,""-\d+(.*)|--\d+(.*)"","""")"),"ESTIGARDE")</f>
        <v>ESTIGARDE</v>
      </c>
      <c r="E18212" s="38" t="s">
        <v>281</v>
      </c>
      <c r="F18212" s="38" t="s">
        <v>252</v>
      </c>
      <c r="G18212" s="49" t="str">
        <f t="shared" si="1"/>
        <v>40240</v>
      </c>
      <c r="H18212" s="49">
        <f t="shared" si="2"/>
        <v>40096</v>
      </c>
    </row>
    <row r="18213">
      <c r="A18213" s="48" t="s">
        <v>626</v>
      </c>
      <c r="B18213" s="38">
        <v>31407.0</v>
      </c>
      <c r="C18213" s="38" t="s">
        <v>14144</v>
      </c>
      <c r="D18213" s="38" t="str">
        <f>IFERROR(__xludf.DUMMYFUNCTION("REGEXREPLACE(C18213,""-\d+(.*)|--\d+(.*)"","""")"),"PAULHAC")</f>
        <v>PAULHAC</v>
      </c>
      <c r="E18213" s="38" t="s">
        <v>93</v>
      </c>
      <c r="F18213" s="38" t="s">
        <v>94</v>
      </c>
      <c r="G18213" s="49" t="str">
        <f t="shared" si="1"/>
        <v>31380</v>
      </c>
      <c r="H18213" s="49">
        <f t="shared" si="2"/>
        <v>31407</v>
      </c>
    </row>
    <row r="18214">
      <c r="A18214" s="48" t="s">
        <v>4706</v>
      </c>
      <c r="B18214" s="38">
        <v>74057.0</v>
      </c>
      <c r="C18214" s="38" t="s">
        <v>22651</v>
      </c>
      <c r="D18214" s="38" t="str">
        <f>IFERROR(__xludf.DUMMYFUNCTION("REGEXREPLACE(C18214,""-\d+(.*)|--\d+(.*)"","""")"),"CHAMPANGES")</f>
        <v>CHAMPANGES</v>
      </c>
      <c r="E18214" s="38" t="s">
        <v>319</v>
      </c>
      <c r="F18214" s="38" t="s">
        <v>102</v>
      </c>
      <c r="G18214" s="49" t="str">
        <f t="shared" si="1"/>
        <v>74500</v>
      </c>
      <c r="H18214" s="49">
        <f t="shared" si="2"/>
        <v>74057</v>
      </c>
    </row>
    <row r="18215">
      <c r="A18215" s="48" t="s">
        <v>6858</v>
      </c>
      <c r="B18215" s="38">
        <v>71488.0</v>
      </c>
      <c r="C18215" s="38" t="s">
        <v>22652</v>
      </c>
      <c r="D18215" s="38" t="str">
        <f>IFERROR(__xludf.DUMMYFUNCTION("REGEXREPLACE(C18215,""-\d+(.*)|--\d+(.*)"","""")"),"SAINT-VINCENT-DES-PRES")</f>
        <v>SAINT-VINCENT-DES-PRES</v>
      </c>
      <c r="E18215" s="38" t="s">
        <v>344</v>
      </c>
      <c r="F18215" s="38" t="s">
        <v>106</v>
      </c>
      <c r="G18215" s="49" t="str">
        <f t="shared" si="1"/>
        <v>71250</v>
      </c>
      <c r="H18215" s="49">
        <f t="shared" si="2"/>
        <v>71488</v>
      </c>
    </row>
    <row r="18216">
      <c r="A18216" s="48" t="s">
        <v>1040</v>
      </c>
      <c r="B18216" s="38">
        <v>62071.0</v>
      </c>
      <c r="C18216" s="38" t="s">
        <v>22653</v>
      </c>
      <c r="D18216" s="38" t="str">
        <f>IFERROR(__xludf.DUMMYFUNCTION("REGEXREPLACE(C18216,""-\d+(.*)|--\d+(.*)"","""")"),"BAILLEUL-LES-PERNES")</f>
        <v>BAILLEUL-LES-PERNES</v>
      </c>
      <c r="E18216" s="38" t="s">
        <v>109</v>
      </c>
      <c r="F18216" s="38" t="s">
        <v>86</v>
      </c>
      <c r="G18216" s="49" t="str">
        <f t="shared" si="1"/>
        <v>62550</v>
      </c>
      <c r="H18216" s="49">
        <f t="shared" si="2"/>
        <v>62071</v>
      </c>
    </row>
    <row r="18217">
      <c r="A18217" s="48" t="s">
        <v>2033</v>
      </c>
      <c r="B18217" s="38">
        <v>18264.0</v>
      </c>
      <c r="C18217" s="38" t="s">
        <v>22654</v>
      </c>
      <c r="D18217" s="38" t="str">
        <f>IFERROR(__xludf.DUMMYFUNCTION("REGEXREPLACE(C18217,""-\d+(.*)|--\d+(.*)"","""")"),"THOU")</f>
        <v>THOU</v>
      </c>
      <c r="E18217" s="38" t="s">
        <v>504</v>
      </c>
      <c r="F18217" s="38" t="s">
        <v>123</v>
      </c>
      <c r="G18217" s="49" t="str">
        <f t="shared" si="1"/>
        <v>18260</v>
      </c>
      <c r="H18217" s="49">
        <f t="shared" si="2"/>
        <v>18264</v>
      </c>
    </row>
    <row r="18218">
      <c r="A18218" s="48" t="s">
        <v>1978</v>
      </c>
      <c r="B18218" s="38">
        <v>88310.0</v>
      </c>
      <c r="C18218" s="38" t="s">
        <v>22655</v>
      </c>
      <c r="D18218" s="38" t="str">
        <f>IFERROR(__xludf.DUMMYFUNCTION("REGEXREPLACE(C18218,""-\d+(.*)|--\d+(.*)"","""")"),"MONTHUREUX-SUR-SAONE")</f>
        <v>MONTHUREUX-SUR-SAONE</v>
      </c>
      <c r="E18218" s="38" t="s">
        <v>194</v>
      </c>
      <c r="F18218" s="38" t="s">
        <v>195</v>
      </c>
      <c r="G18218" s="49" t="str">
        <f t="shared" si="1"/>
        <v>88410</v>
      </c>
      <c r="H18218" s="49">
        <f t="shared" si="2"/>
        <v>88310</v>
      </c>
    </row>
    <row r="18219">
      <c r="A18219" s="48" t="s">
        <v>7813</v>
      </c>
      <c r="B18219" s="38">
        <v>35191.0</v>
      </c>
      <c r="C18219" s="38" t="s">
        <v>22656</v>
      </c>
      <c r="D18219" s="38" t="str">
        <f>IFERROR(__xludf.DUMMYFUNCTION("REGEXREPLACE(C18219,""-\d+(.*)|--\d+(.*)"","""")"),"MONTOURS")</f>
        <v>MONTOURS</v>
      </c>
      <c r="E18219" s="38" t="s">
        <v>347</v>
      </c>
      <c r="F18219" s="38" t="s">
        <v>90</v>
      </c>
      <c r="G18219" s="49" t="str">
        <f t="shared" si="1"/>
        <v>35460</v>
      </c>
      <c r="H18219" s="49">
        <f t="shared" si="2"/>
        <v>35191</v>
      </c>
    </row>
    <row r="18220">
      <c r="A18220" s="48" t="s">
        <v>1201</v>
      </c>
      <c r="B18220" s="38">
        <v>78317.0</v>
      </c>
      <c r="C18220" s="38" t="s">
        <v>22657</v>
      </c>
      <c r="D18220" s="38" t="str">
        <f>IFERROR(__xludf.DUMMYFUNCTION("REGEXREPLACE(C18220,""-\d+(.*)|--\d+(.*)"","""")"),"JAMBVILLE")</f>
        <v>JAMBVILLE</v>
      </c>
      <c r="E18220" s="38" t="s">
        <v>362</v>
      </c>
      <c r="F18220" s="38" t="s">
        <v>245</v>
      </c>
      <c r="G18220" s="49" t="str">
        <f t="shared" si="1"/>
        <v>78440</v>
      </c>
      <c r="H18220" s="49">
        <f t="shared" si="2"/>
        <v>78317</v>
      </c>
    </row>
    <row r="18221">
      <c r="A18221" s="48" t="s">
        <v>10786</v>
      </c>
      <c r="B18221" s="38">
        <v>32257.0</v>
      </c>
      <c r="C18221" s="38" t="s">
        <v>22658</v>
      </c>
      <c r="D18221" s="38" t="str">
        <f>IFERROR(__xludf.DUMMYFUNCTION("REGEXREPLACE(C18221,""-\d+(.*)|--\d+(.*)"","""")"),"MIRANNES")</f>
        <v>MIRANNES</v>
      </c>
      <c r="E18221" s="38" t="s">
        <v>440</v>
      </c>
      <c r="F18221" s="38" t="s">
        <v>94</v>
      </c>
      <c r="G18221" s="49" t="str">
        <f t="shared" si="1"/>
        <v>32350</v>
      </c>
      <c r="H18221" s="49">
        <f t="shared" si="2"/>
        <v>32257</v>
      </c>
    </row>
    <row r="18222">
      <c r="A18222" s="48" t="s">
        <v>282</v>
      </c>
      <c r="B18222" s="38">
        <v>46083.0</v>
      </c>
      <c r="C18222" s="38" t="s">
        <v>22659</v>
      </c>
      <c r="D18222" s="38" t="str">
        <f>IFERROR(__xludf.DUMMYFUNCTION("REGEXREPLACE(C18222,""-\d+(.*)|--\d+(.*)"","""")"),"CRESSENSAC")</f>
        <v>CRESSENSAC</v>
      </c>
      <c r="E18222" s="38" t="s">
        <v>185</v>
      </c>
      <c r="F18222" s="38" t="s">
        <v>94</v>
      </c>
      <c r="G18222" s="49" t="str">
        <f t="shared" si="1"/>
        <v>46600</v>
      </c>
      <c r="H18222" s="49">
        <f t="shared" si="2"/>
        <v>46083</v>
      </c>
    </row>
    <row r="18223">
      <c r="A18223" s="48" t="s">
        <v>14379</v>
      </c>
      <c r="B18223" s="38">
        <v>35105.0</v>
      </c>
      <c r="C18223" s="38" t="s">
        <v>22660</v>
      </c>
      <c r="D18223" s="38" t="str">
        <f>IFERROR(__xludf.DUMMYFUNCTION("REGEXREPLACE(C18223,""-\d+(.*)|--\d+(.*)"","""")"),"ERBREE")</f>
        <v>ERBREE</v>
      </c>
      <c r="E18223" s="38" t="s">
        <v>347</v>
      </c>
      <c r="F18223" s="38" t="s">
        <v>90</v>
      </c>
      <c r="G18223" s="49" t="str">
        <f t="shared" si="1"/>
        <v>35500</v>
      </c>
      <c r="H18223" s="49">
        <f t="shared" si="2"/>
        <v>35105</v>
      </c>
    </row>
    <row r="18224">
      <c r="A18224" s="48" t="s">
        <v>21123</v>
      </c>
      <c r="B18224" s="38">
        <v>81158.0</v>
      </c>
      <c r="C18224" s="38" t="s">
        <v>22661</v>
      </c>
      <c r="D18224" s="38" t="str">
        <f>IFERROR(__xludf.DUMMYFUNCTION("REGEXREPLACE(C18224,""-\d+(.*)|--\d+(.*)"","""")"),"LE MASNAU-MASSUGUIES")</f>
        <v>LE MASNAU-MASSUGUIES</v>
      </c>
      <c r="E18224" s="38" t="s">
        <v>231</v>
      </c>
      <c r="F18224" s="38" t="s">
        <v>94</v>
      </c>
      <c r="G18224" s="49" t="str">
        <f t="shared" si="1"/>
        <v>81530</v>
      </c>
      <c r="H18224" s="49">
        <f t="shared" si="2"/>
        <v>81158</v>
      </c>
    </row>
    <row r="18225">
      <c r="A18225" s="48" t="s">
        <v>8883</v>
      </c>
      <c r="B18225" s="38">
        <v>39011.0</v>
      </c>
      <c r="C18225" s="38" t="s">
        <v>22662</v>
      </c>
      <c r="D18225" s="38" t="str">
        <f>IFERROR(__xludf.DUMMYFUNCTION("REGEXREPLACE(C18225,""-\d+(.*)|--\d+(.*)"","""")"),"ANNOIRE")</f>
        <v>ANNOIRE</v>
      </c>
      <c r="E18225" s="38" t="s">
        <v>400</v>
      </c>
      <c r="F18225" s="38" t="s">
        <v>214</v>
      </c>
      <c r="G18225" s="49" t="str">
        <f t="shared" si="1"/>
        <v>39120</v>
      </c>
      <c r="H18225" s="49">
        <f t="shared" si="2"/>
        <v>39011</v>
      </c>
    </row>
    <row r="18226">
      <c r="A18226" s="48" t="s">
        <v>4642</v>
      </c>
      <c r="B18226" s="38">
        <v>21133.0</v>
      </c>
      <c r="C18226" s="38" t="s">
        <v>22663</v>
      </c>
      <c r="D18226" s="38" t="str">
        <f>IFERROR(__xludf.DUMMYFUNCTION("REGEXREPLACE(C18226,""-\d+(.*)|--\d+(.*)"","""")"),"CHAMBOLLE-MUSIGNY")</f>
        <v>CHAMBOLLE-MUSIGNY</v>
      </c>
      <c r="E18226" s="38" t="s">
        <v>105</v>
      </c>
      <c r="F18226" s="38" t="s">
        <v>106</v>
      </c>
      <c r="G18226" s="49" t="str">
        <f t="shared" si="1"/>
        <v>21220</v>
      </c>
      <c r="H18226" s="49">
        <f t="shared" si="2"/>
        <v>21133</v>
      </c>
    </row>
    <row r="18227">
      <c r="A18227" s="48" t="s">
        <v>2370</v>
      </c>
      <c r="B18227" s="38">
        <v>33103.0</v>
      </c>
      <c r="C18227" s="38" t="s">
        <v>22664</v>
      </c>
      <c r="D18227" s="38" t="str">
        <f>IFERROR(__xludf.DUMMYFUNCTION("REGEXREPLACE(C18227,""-\d+(.*)|--\d+(.*)"","""")"),"CASTELMORON-D'ALBRET")</f>
        <v>CASTELMORON-D'ALBRET</v>
      </c>
      <c r="E18227" s="38" t="s">
        <v>462</v>
      </c>
      <c r="F18227" s="38" t="s">
        <v>252</v>
      </c>
      <c r="G18227" s="49" t="str">
        <f t="shared" si="1"/>
        <v>33540</v>
      </c>
      <c r="H18227" s="49">
        <f t="shared" si="2"/>
        <v>33103</v>
      </c>
    </row>
    <row r="18228">
      <c r="A18228" s="48" t="s">
        <v>22665</v>
      </c>
      <c r="B18228" s="38">
        <v>13009.0</v>
      </c>
      <c r="C18228" s="38" t="s">
        <v>22666</v>
      </c>
      <c r="D18228" s="38" t="str">
        <f>IFERROR(__xludf.DUMMYFUNCTION("REGEXREPLACE(C18228,""-\d+(.*)|--\d+(.*)"","""")"),"LA BARBEN")</f>
        <v>LA BARBEN</v>
      </c>
      <c r="E18228" s="38" t="s">
        <v>980</v>
      </c>
      <c r="F18228" s="38" t="s">
        <v>228</v>
      </c>
      <c r="G18228" s="49" t="str">
        <f t="shared" si="1"/>
        <v>13330</v>
      </c>
      <c r="H18228" s="49">
        <f t="shared" si="2"/>
        <v>13009</v>
      </c>
    </row>
    <row r="18229">
      <c r="A18229" s="48" t="s">
        <v>22667</v>
      </c>
      <c r="B18229" s="38">
        <v>90012.0</v>
      </c>
      <c r="C18229" s="38" t="s">
        <v>22668</v>
      </c>
      <c r="D18229" s="38" t="str">
        <f>IFERROR(__xludf.DUMMYFUNCTION("REGEXREPLACE(C18229,""-\d+(.*)|--\d+(.*)"","""")"),"BESSONCOURT")</f>
        <v>BESSONCOURT</v>
      </c>
      <c r="E18229" s="38" t="s">
        <v>1283</v>
      </c>
      <c r="F18229" s="38" t="s">
        <v>214</v>
      </c>
      <c r="G18229" s="49" t="str">
        <f t="shared" si="1"/>
        <v>90160</v>
      </c>
      <c r="H18229" s="49">
        <f t="shared" si="2"/>
        <v>90012</v>
      </c>
    </row>
    <row r="18230">
      <c r="A18230" s="48" t="s">
        <v>2141</v>
      </c>
      <c r="B18230" s="38">
        <v>80755.0</v>
      </c>
      <c r="C18230" s="38" t="s">
        <v>22669</v>
      </c>
      <c r="D18230" s="38" t="str">
        <f>IFERROR(__xludf.DUMMYFUNCTION("REGEXREPLACE(C18230,""-\d+(.*)|--\d+(.*)"","""")"),"THIEULLOY-LA-VILLE")</f>
        <v>THIEULLOY-LA-VILLE</v>
      </c>
      <c r="E18230" s="38" t="s">
        <v>224</v>
      </c>
      <c r="F18230" s="38" t="s">
        <v>113</v>
      </c>
      <c r="G18230" s="49" t="str">
        <f t="shared" si="1"/>
        <v>80290</v>
      </c>
      <c r="H18230" s="49">
        <f t="shared" si="2"/>
        <v>80755</v>
      </c>
    </row>
    <row r="18231">
      <c r="A18231" s="48" t="s">
        <v>5894</v>
      </c>
      <c r="B18231" s="38">
        <v>69047.0</v>
      </c>
      <c r="C18231" s="38" t="s">
        <v>12053</v>
      </c>
      <c r="D18231" s="38" t="str">
        <f>IFERROR(__xludf.DUMMYFUNCTION("REGEXREPLACE(C18231,""-\d+(.*)|--\d+(.*)"","""")"),"CHARNAY")</f>
        <v>CHARNAY</v>
      </c>
      <c r="E18231" s="38" t="s">
        <v>350</v>
      </c>
      <c r="F18231" s="38" t="s">
        <v>102</v>
      </c>
      <c r="G18231" s="49" t="str">
        <f t="shared" si="1"/>
        <v>69380</v>
      </c>
      <c r="H18231" s="49">
        <f t="shared" si="2"/>
        <v>69047</v>
      </c>
    </row>
    <row r="18232">
      <c r="A18232" s="48" t="s">
        <v>181</v>
      </c>
      <c r="B18232" s="38">
        <v>51468.0</v>
      </c>
      <c r="C18232" s="38" t="s">
        <v>1954</v>
      </c>
      <c r="D18232" s="38" t="str">
        <f>IFERROR(__xludf.DUMMYFUNCTION("REGEXREPLACE(C18232,""-\d+(.*)|--\d+(.*)"","""")"),"ROSNAY")</f>
        <v>ROSNAY</v>
      </c>
      <c r="E18232" s="38" t="s">
        <v>129</v>
      </c>
      <c r="F18232" s="38" t="s">
        <v>130</v>
      </c>
      <c r="G18232" s="49" t="str">
        <f t="shared" si="1"/>
        <v>51390</v>
      </c>
      <c r="H18232" s="49">
        <f t="shared" si="2"/>
        <v>51468</v>
      </c>
    </row>
    <row r="18233">
      <c r="A18233" s="48" t="s">
        <v>1341</v>
      </c>
      <c r="B18233" s="38">
        <v>14355.0</v>
      </c>
      <c r="C18233" s="38" t="s">
        <v>22670</v>
      </c>
      <c r="D18233" s="38" t="str">
        <f>IFERROR(__xludf.DUMMYFUNCTION("REGEXREPLACE(C18233,""-\d+(.*)|--\d+(.*)"","""")"),"LANTHEUIL")</f>
        <v>LANTHEUIL</v>
      </c>
      <c r="E18233" s="38" t="s">
        <v>137</v>
      </c>
      <c r="F18233" s="38" t="s">
        <v>138</v>
      </c>
      <c r="G18233" s="49" t="str">
        <f t="shared" si="1"/>
        <v>14480</v>
      </c>
      <c r="H18233" s="49">
        <f t="shared" si="2"/>
        <v>14355</v>
      </c>
    </row>
    <row r="18234">
      <c r="A18234" s="48" t="s">
        <v>9772</v>
      </c>
      <c r="B18234" s="38">
        <v>25421.0</v>
      </c>
      <c r="C18234" s="38" t="s">
        <v>22671</v>
      </c>
      <c r="D18234" s="38" t="str">
        <f>IFERROR(__xludf.DUMMYFUNCTION("REGEXREPLACE(C18234,""-\d+(.*)|--\d+(.*)"","""")"),"NARBIEF")</f>
        <v>NARBIEF</v>
      </c>
      <c r="E18234" s="38" t="s">
        <v>213</v>
      </c>
      <c r="F18234" s="38" t="s">
        <v>214</v>
      </c>
      <c r="G18234" s="49" t="str">
        <f t="shared" si="1"/>
        <v>25210</v>
      </c>
      <c r="H18234" s="49">
        <f t="shared" si="2"/>
        <v>25421</v>
      </c>
    </row>
    <row r="18235">
      <c r="A18235" s="48" t="s">
        <v>639</v>
      </c>
      <c r="B18235" s="38">
        <v>16042.0</v>
      </c>
      <c r="C18235" s="38" t="s">
        <v>22672</v>
      </c>
      <c r="D18235" s="38" t="str">
        <f>IFERROR(__xludf.DUMMYFUNCTION("REGEXREPLACE(C18235,""-\d+(.*)|--\d+(.*)"","""")"),"BESSE")</f>
        <v>BESSE</v>
      </c>
      <c r="E18235" s="38" t="s">
        <v>429</v>
      </c>
      <c r="F18235" s="38" t="s">
        <v>338</v>
      </c>
      <c r="G18235" s="49" t="str">
        <f t="shared" si="1"/>
        <v>16140</v>
      </c>
      <c r="H18235" s="49">
        <f t="shared" si="2"/>
        <v>16042</v>
      </c>
    </row>
    <row r="18236">
      <c r="A18236" s="48" t="s">
        <v>3965</v>
      </c>
      <c r="B18236" s="38">
        <v>33095.0</v>
      </c>
      <c r="C18236" s="38" t="s">
        <v>22673</v>
      </c>
      <c r="D18236" s="38" t="str">
        <f>IFERROR(__xludf.DUMMYFUNCTION("REGEXREPLACE(C18236,""-\d+(.*)|--\d+(.*)"","""")"),"CAPTIEUX")</f>
        <v>CAPTIEUX</v>
      </c>
      <c r="E18236" s="38" t="s">
        <v>462</v>
      </c>
      <c r="F18236" s="38" t="s">
        <v>252</v>
      </c>
      <c r="G18236" s="49" t="str">
        <f t="shared" si="1"/>
        <v>33840</v>
      </c>
      <c r="H18236" s="49">
        <f t="shared" si="2"/>
        <v>33095</v>
      </c>
    </row>
    <row r="18237">
      <c r="A18237" s="48" t="s">
        <v>22674</v>
      </c>
      <c r="B18237" s="38">
        <v>40251.0</v>
      </c>
      <c r="C18237" s="38" t="s">
        <v>10322</v>
      </c>
      <c r="D18237" s="38" t="str">
        <f>IFERROR(__xludf.DUMMYFUNCTION("REGEXREPLACE(C18237,""-\d+(.*)|--\d+(.*)"","""")"),"SAINT-BARTHELEMY")</f>
        <v>SAINT-BARTHELEMY</v>
      </c>
      <c r="E18237" s="38" t="s">
        <v>281</v>
      </c>
      <c r="F18237" s="38" t="s">
        <v>252</v>
      </c>
      <c r="G18237" s="49" t="str">
        <f t="shared" si="1"/>
        <v>40390</v>
      </c>
      <c r="H18237" s="49">
        <f t="shared" si="2"/>
        <v>40251</v>
      </c>
    </row>
    <row r="18238">
      <c r="A18238" s="48" t="s">
        <v>1748</v>
      </c>
      <c r="B18238" s="38">
        <v>30039.0</v>
      </c>
      <c r="C18238" s="38" t="s">
        <v>22675</v>
      </c>
      <c r="D18238" s="38" t="str">
        <f>IFERROR(__xludf.DUMMYFUNCTION("REGEXREPLACE(C18238,""-\d+(.*)|--\d+(.*)"","""")"),"BEZOUCE")</f>
        <v>BEZOUCE</v>
      </c>
      <c r="E18238" s="38" t="s">
        <v>526</v>
      </c>
      <c r="F18238" s="38" t="s">
        <v>119</v>
      </c>
      <c r="G18238" s="49" t="str">
        <f t="shared" si="1"/>
        <v>30320</v>
      </c>
      <c r="H18238" s="49">
        <f t="shared" si="2"/>
        <v>30039</v>
      </c>
    </row>
    <row r="18239">
      <c r="A18239" s="48" t="s">
        <v>18092</v>
      </c>
      <c r="B18239" s="38">
        <v>87200.0</v>
      </c>
      <c r="C18239" s="38" t="s">
        <v>22676</v>
      </c>
      <c r="D18239" s="38" t="str">
        <f>IFERROR(__xludf.DUMMYFUNCTION("REGEXREPLACE(C18239,""-\d+(.*)|--\d+(.*)"","""")"),"VERNEUIL-MOUSTIERS")</f>
        <v>VERNEUIL-MOUSTIERS</v>
      </c>
      <c r="E18239" s="38" t="s">
        <v>897</v>
      </c>
      <c r="F18239" s="38" t="s">
        <v>98</v>
      </c>
      <c r="G18239" s="49" t="str">
        <f t="shared" si="1"/>
        <v>87360</v>
      </c>
      <c r="H18239" s="49">
        <f t="shared" si="2"/>
        <v>87200</v>
      </c>
    </row>
    <row r="18240">
      <c r="A18240" s="48" t="s">
        <v>9402</v>
      </c>
      <c r="B18240" s="38">
        <v>14516.0</v>
      </c>
      <c r="C18240" s="38" t="s">
        <v>22677</v>
      </c>
      <c r="D18240" s="38" t="str">
        <f>IFERROR(__xludf.DUMMYFUNCTION("REGEXREPLACE(C18240,""-\d+(.*)|--\d+(.*)"","""")"),"POTIGNY")</f>
        <v>POTIGNY</v>
      </c>
      <c r="E18240" s="38" t="s">
        <v>137</v>
      </c>
      <c r="F18240" s="38" t="s">
        <v>138</v>
      </c>
      <c r="G18240" s="49" t="str">
        <f t="shared" si="1"/>
        <v>14420</v>
      </c>
      <c r="H18240" s="49">
        <f t="shared" si="2"/>
        <v>14516</v>
      </c>
    </row>
    <row r="18241">
      <c r="A18241" s="48" t="s">
        <v>3814</v>
      </c>
      <c r="B18241" s="38">
        <v>71524.0</v>
      </c>
      <c r="C18241" s="38" t="s">
        <v>22678</v>
      </c>
      <c r="D18241" s="38" t="str">
        <f>IFERROR(__xludf.DUMMYFUNCTION("REGEXREPLACE(C18241,""-\d+(.*)|--\d+(.*)"","""")"),"SIVIGNON")</f>
        <v>SIVIGNON</v>
      </c>
      <c r="E18241" s="38" t="s">
        <v>344</v>
      </c>
      <c r="F18241" s="38" t="s">
        <v>106</v>
      </c>
      <c r="G18241" s="49" t="str">
        <f t="shared" si="1"/>
        <v>71220</v>
      </c>
      <c r="H18241" s="49">
        <f t="shared" si="2"/>
        <v>71524</v>
      </c>
    </row>
    <row r="18242">
      <c r="A18242" s="48" t="s">
        <v>454</v>
      </c>
      <c r="B18242" s="38">
        <v>71541.0</v>
      </c>
      <c r="C18242" s="38" t="s">
        <v>14923</v>
      </c>
      <c r="D18242" s="38" t="str">
        <f>IFERROR(__xludf.DUMMYFUNCTION("REGEXREPLACE(C18242,""-\d+(.*)|--\d+(.*)"","""")"),"TORPES")</f>
        <v>TORPES</v>
      </c>
      <c r="E18242" s="38" t="s">
        <v>344</v>
      </c>
      <c r="F18242" s="38" t="s">
        <v>106</v>
      </c>
      <c r="G18242" s="49" t="str">
        <f t="shared" si="1"/>
        <v>71270</v>
      </c>
      <c r="H18242" s="49">
        <f t="shared" si="2"/>
        <v>71541</v>
      </c>
    </row>
    <row r="18243">
      <c r="A18243" s="48" t="s">
        <v>4679</v>
      </c>
      <c r="B18243" s="38">
        <v>17277.0</v>
      </c>
      <c r="C18243" s="38" t="s">
        <v>22679</v>
      </c>
      <c r="D18243" s="38" t="str">
        <f>IFERROR(__xludf.DUMMYFUNCTION("REGEXREPLACE(C18243,""-\d+(.*)|--\d+(.*)"","""")"),"SAINT-DENIS-DU-PIN")</f>
        <v>SAINT-DENIS-DU-PIN</v>
      </c>
      <c r="E18243" s="38" t="s">
        <v>488</v>
      </c>
      <c r="F18243" s="38" t="s">
        <v>338</v>
      </c>
      <c r="G18243" s="49" t="str">
        <f t="shared" si="1"/>
        <v>17400</v>
      </c>
      <c r="H18243" s="49">
        <f t="shared" si="2"/>
        <v>17277</v>
      </c>
    </row>
    <row r="18244">
      <c r="A18244" s="48" t="s">
        <v>360</v>
      </c>
      <c r="B18244" s="38">
        <v>78605.0</v>
      </c>
      <c r="C18244" s="38" t="s">
        <v>22680</v>
      </c>
      <c r="D18244" s="38" t="str">
        <f>IFERROR(__xludf.DUMMYFUNCTION("REGEXREPLACE(C18244,""-\d+(.*)|--\d+(.*)"","""")"),"TACOIGNIERES")</f>
        <v>TACOIGNIERES</v>
      </c>
      <c r="E18244" s="38" t="s">
        <v>362</v>
      </c>
      <c r="F18244" s="38" t="s">
        <v>245</v>
      </c>
      <c r="G18244" s="49" t="str">
        <f t="shared" si="1"/>
        <v>78910</v>
      </c>
      <c r="H18244" s="49">
        <f t="shared" si="2"/>
        <v>78605</v>
      </c>
    </row>
    <row r="18245">
      <c r="A18245" s="48" t="s">
        <v>1731</v>
      </c>
      <c r="B18245" s="38">
        <v>38067.0</v>
      </c>
      <c r="C18245" s="38" t="s">
        <v>22681</v>
      </c>
      <c r="D18245" s="38" t="str">
        <f>IFERROR(__xludf.DUMMYFUNCTION("REGEXREPLACE(C18245,""-\d+(.*)|--\d+(.*)"","""")"),"CHAMAGNIEU")</f>
        <v>CHAMAGNIEU</v>
      </c>
      <c r="E18245" s="38" t="s">
        <v>101</v>
      </c>
      <c r="F18245" s="38" t="s">
        <v>102</v>
      </c>
      <c r="G18245" s="49" t="str">
        <f t="shared" si="1"/>
        <v>38460</v>
      </c>
      <c r="H18245" s="49">
        <f t="shared" si="2"/>
        <v>38067</v>
      </c>
    </row>
    <row r="18246">
      <c r="A18246" s="48" t="s">
        <v>2170</v>
      </c>
      <c r="B18246" s="38">
        <v>80801.0</v>
      </c>
      <c r="C18246" s="38" t="s">
        <v>22682</v>
      </c>
      <c r="D18246" s="38" t="str">
        <f>IFERROR(__xludf.DUMMYFUNCTION("REGEXREPLACE(C18246,""-\d+(.*)|--\d+(.*)"","""")"),"VILLERS-CARBONNEL")</f>
        <v>VILLERS-CARBONNEL</v>
      </c>
      <c r="E18246" s="38" t="s">
        <v>224</v>
      </c>
      <c r="F18246" s="38" t="s">
        <v>113</v>
      </c>
      <c r="G18246" s="49" t="str">
        <f t="shared" si="1"/>
        <v>80200</v>
      </c>
      <c r="H18246" s="49">
        <f t="shared" si="2"/>
        <v>80801</v>
      </c>
    </row>
    <row r="18247">
      <c r="A18247" s="48" t="s">
        <v>11792</v>
      </c>
      <c r="B18247" s="38">
        <v>86108.0</v>
      </c>
      <c r="C18247" s="38" t="s">
        <v>22683</v>
      </c>
      <c r="D18247" s="38" t="str">
        <f>IFERROR(__xludf.DUMMYFUNCTION("REGEXREPLACE(C18247,""-\d+(.*)|--\d+(.*)"","""")"),"LA GRIMAUDIERE")</f>
        <v>LA GRIMAUDIERE</v>
      </c>
      <c r="E18247" s="38" t="s">
        <v>529</v>
      </c>
      <c r="F18247" s="38" t="s">
        <v>338</v>
      </c>
      <c r="G18247" s="49" t="str">
        <f t="shared" si="1"/>
        <v>86330</v>
      </c>
      <c r="H18247" s="49">
        <f t="shared" si="2"/>
        <v>86108</v>
      </c>
    </row>
    <row r="18248">
      <c r="A18248" s="48" t="s">
        <v>4738</v>
      </c>
      <c r="B18248" s="38">
        <v>53190.0</v>
      </c>
      <c r="C18248" s="38" t="s">
        <v>22684</v>
      </c>
      <c r="D18248" s="38" t="str">
        <f>IFERROR(__xludf.DUMMYFUNCTION("REGEXREPLACE(C18248,""-\d+(.*)|--\d+(.*)"","""")"),"LE RIBAY")</f>
        <v>LE RIBAY</v>
      </c>
      <c r="E18248" s="38" t="s">
        <v>518</v>
      </c>
      <c r="F18248" s="38" t="s">
        <v>180</v>
      </c>
      <c r="G18248" s="49" t="str">
        <f t="shared" si="1"/>
        <v>53640</v>
      </c>
      <c r="H18248" s="49">
        <f t="shared" si="2"/>
        <v>53190</v>
      </c>
    </row>
    <row r="18249">
      <c r="A18249" s="48" t="s">
        <v>11152</v>
      </c>
      <c r="B18249" s="38">
        <v>61410.0</v>
      </c>
      <c r="C18249" s="38" t="s">
        <v>22685</v>
      </c>
      <c r="D18249" s="38" t="str">
        <f>IFERROR(__xludf.DUMMYFUNCTION("REGEXREPLACE(C18249,""-\d+(.*)|--\d+(.*)"","""")"),"SAINT-JEAN-DES-BOIS")</f>
        <v>SAINT-JEAN-DES-BOIS</v>
      </c>
      <c r="E18249" s="38" t="s">
        <v>141</v>
      </c>
      <c r="F18249" s="38" t="s">
        <v>138</v>
      </c>
      <c r="G18249" s="49" t="str">
        <f t="shared" si="1"/>
        <v>61800</v>
      </c>
      <c r="H18249" s="49">
        <f t="shared" si="2"/>
        <v>61410</v>
      </c>
    </row>
    <row r="18250">
      <c r="A18250" s="48" t="s">
        <v>5555</v>
      </c>
      <c r="B18250" s="38">
        <v>82180.0</v>
      </c>
      <c r="C18250" s="38" t="s">
        <v>8875</v>
      </c>
      <c r="D18250" s="38" t="str">
        <f>IFERROR(__xludf.DUMMYFUNCTION("REGEXREPLACE(C18250,""-\d+(.*)|--\d+(.*)"","""")"),"SERIGNAC")</f>
        <v>SERIGNAC</v>
      </c>
      <c r="E18250" s="38" t="s">
        <v>570</v>
      </c>
      <c r="F18250" s="38" t="s">
        <v>94</v>
      </c>
      <c r="G18250" s="49" t="str">
        <f t="shared" si="1"/>
        <v>82500</v>
      </c>
      <c r="H18250" s="49">
        <f t="shared" si="2"/>
        <v>82180</v>
      </c>
    </row>
    <row r="18251">
      <c r="A18251" s="48" t="s">
        <v>6945</v>
      </c>
      <c r="B18251" s="38">
        <v>80684.0</v>
      </c>
      <c r="C18251" s="38" t="s">
        <v>22686</v>
      </c>
      <c r="D18251" s="38" t="str">
        <f>IFERROR(__xludf.DUMMYFUNCTION("REGEXREPLACE(C18251,""-\d+(.*)|--\d+(.*)"","""")"),"ROUY-LE-PETIT")</f>
        <v>ROUY-LE-PETIT</v>
      </c>
      <c r="E18251" s="38" t="s">
        <v>224</v>
      </c>
      <c r="F18251" s="38" t="s">
        <v>113</v>
      </c>
      <c r="G18251" s="49" t="str">
        <f t="shared" si="1"/>
        <v>80190</v>
      </c>
      <c r="H18251" s="49">
        <f t="shared" si="2"/>
        <v>80684</v>
      </c>
    </row>
    <row r="18252">
      <c r="A18252" s="48" t="s">
        <v>748</v>
      </c>
      <c r="B18252" s="38">
        <v>60423.0</v>
      </c>
      <c r="C18252" s="38" t="s">
        <v>22687</v>
      </c>
      <c r="D18252" s="38" t="str">
        <f>IFERROR(__xludf.DUMMYFUNCTION("REGEXREPLACE(C18252,""-\d+(.*)|--\d+(.*)"","""")"),"MONTMACQ")</f>
        <v>MONTMACQ</v>
      </c>
      <c r="E18252" s="38" t="s">
        <v>112</v>
      </c>
      <c r="F18252" s="38" t="s">
        <v>113</v>
      </c>
      <c r="G18252" s="49" t="str">
        <f t="shared" si="1"/>
        <v>60150</v>
      </c>
      <c r="H18252" s="49">
        <f t="shared" si="2"/>
        <v>60423</v>
      </c>
    </row>
    <row r="18253">
      <c r="A18253" s="48" t="s">
        <v>16536</v>
      </c>
      <c r="B18253" s="38">
        <v>68070.0</v>
      </c>
      <c r="C18253" s="38" t="s">
        <v>22688</v>
      </c>
      <c r="D18253" s="38" t="str">
        <f>IFERROR(__xludf.DUMMYFUNCTION("REGEXREPLACE(C18253,""-\d+(.*)|--\d+(.*)"","""")"),"DIDENHEIM")</f>
        <v>DIDENHEIM</v>
      </c>
      <c r="E18253" s="38" t="s">
        <v>150</v>
      </c>
      <c r="F18253" s="38" t="s">
        <v>151</v>
      </c>
      <c r="G18253" s="49" t="str">
        <f t="shared" si="1"/>
        <v>68350</v>
      </c>
      <c r="H18253" s="49">
        <f t="shared" si="2"/>
        <v>68070</v>
      </c>
    </row>
    <row r="18254">
      <c r="A18254" s="48" t="s">
        <v>3375</v>
      </c>
      <c r="B18254" s="38">
        <v>24513.0</v>
      </c>
      <c r="C18254" s="38" t="s">
        <v>22689</v>
      </c>
      <c r="D18254" s="38" t="str">
        <f>IFERROR(__xludf.DUMMYFUNCTION("REGEXREPLACE(C18254,""-\d+(.*)|--\d+(.*)"","""")"),"SAINT-VINCENT-SUR-L'ISLE")</f>
        <v>SAINT-VINCENT-SUR-L'ISLE</v>
      </c>
      <c r="E18254" s="38" t="s">
        <v>261</v>
      </c>
      <c r="F18254" s="38" t="s">
        <v>252</v>
      </c>
      <c r="G18254" s="49" t="str">
        <f t="shared" si="1"/>
        <v>24420</v>
      </c>
      <c r="H18254" s="49">
        <f t="shared" si="2"/>
        <v>24513</v>
      </c>
    </row>
    <row r="18255">
      <c r="A18255" s="48" t="s">
        <v>273</v>
      </c>
      <c r="B18255" s="38">
        <v>89360.0</v>
      </c>
      <c r="C18255" s="38" t="s">
        <v>22690</v>
      </c>
      <c r="D18255" s="38" t="str">
        <f>IFERROR(__xludf.DUMMYFUNCTION("REGEXREPLACE(C18255,""-\d+(.*)|--\d+(.*)"","""")"),"SAINT-MAURICE-LE-VIEIL")</f>
        <v>SAINT-MAURICE-LE-VIEIL</v>
      </c>
      <c r="E18255" s="38" t="s">
        <v>275</v>
      </c>
      <c r="F18255" s="38" t="s">
        <v>106</v>
      </c>
      <c r="G18255" s="49" t="str">
        <f t="shared" si="1"/>
        <v>89110</v>
      </c>
      <c r="H18255" s="49">
        <f t="shared" si="2"/>
        <v>89360</v>
      </c>
    </row>
    <row r="18256">
      <c r="A18256" s="48" t="s">
        <v>4543</v>
      </c>
      <c r="B18256" s="38">
        <v>64150.0</v>
      </c>
      <c r="C18256" s="38" t="s">
        <v>22691</v>
      </c>
      <c r="D18256" s="38" t="str">
        <f>IFERROR(__xludf.DUMMYFUNCTION("REGEXREPLACE(C18256,""-\d+(.*)|--\d+(.*)"","""")"),"BUNUS")</f>
        <v>BUNUS</v>
      </c>
      <c r="E18256" s="38" t="s">
        <v>268</v>
      </c>
      <c r="F18256" s="38" t="s">
        <v>252</v>
      </c>
      <c r="G18256" s="49" t="str">
        <f t="shared" si="1"/>
        <v>64120</v>
      </c>
      <c r="H18256" s="49">
        <f t="shared" si="2"/>
        <v>64150</v>
      </c>
    </row>
    <row r="18257">
      <c r="A18257" s="48" t="s">
        <v>1991</v>
      </c>
      <c r="B18257" s="38">
        <v>54453.0</v>
      </c>
      <c r="C18257" s="38" t="s">
        <v>22692</v>
      </c>
      <c r="D18257" s="38" t="str">
        <f>IFERROR(__xludf.DUMMYFUNCTION("REGEXREPLACE(C18257,""-\d+(.*)|--\d+(.*)"","""")"),"REMBERCOURT-SUR-MAD")</f>
        <v>REMBERCOURT-SUR-MAD</v>
      </c>
      <c r="E18257" s="38" t="s">
        <v>548</v>
      </c>
      <c r="F18257" s="38" t="s">
        <v>195</v>
      </c>
      <c r="G18257" s="49" t="str">
        <f t="shared" si="1"/>
        <v>54470</v>
      </c>
      <c r="H18257" s="49">
        <f t="shared" si="2"/>
        <v>54453</v>
      </c>
    </row>
    <row r="18258">
      <c r="A18258" s="48" t="s">
        <v>4519</v>
      </c>
      <c r="B18258" s="38">
        <v>26105.0</v>
      </c>
      <c r="C18258" s="38" t="s">
        <v>22693</v>
      </c>
      <c r="D18258" s="38" t="str">
        <f>IFERROR(__xludf.DUMMYFUNCTION("REGEXREPLACE(C18258,""-\d+(.*)|--\d+(.*)"","""")"),"CORNILLON-SUR-L'OULE")</f>
        <v>CORNILLON-SUR-L'OULE</v>
      </c>
      <c r="E18258" s="38" t="s">
        <v>126</v>
      </c>
      <c r="F18258" s="38" t="s">
        <v>102</v>
      </c>
      <c r="G18258" s="49" t="str">
        <f t="shared" si="1"/>
        <v>26510</v>
      </c>
      <c r="H18258" s="49">
        <f t="shared" si="2"/>
        <v>26105</v>
      </c>
    </row>
    <row r="18259">
      <c r="A18259" s="48" t="s">
        <v>16000</v>
      </c>
      <c r="B18259" s="38">
        <v>78674.0</v>
      </c>
      <c r="C18259" s="38" t="s">
        <v>22694</v>
      </c>
      <c r="D18259" s="38" t="str">
        <f>IFERROR(__xludf.DUMMYFUNCTION("REGEXREPLACE(C18259,""-\d+(.*)|--\d+(.*)"","""")"),"VILLEPREUX")</f>
        <v>VILLEPREUX</v>
      </c>
      <c r="E18259" s="38" t="s">
        <v>362</v>
      </c>
      <c r="F18259" s="38" t="s">
        <v>245</v>
      </c>
      <c r="G18259" s="49" t="str">
        <f t="shared" si="1"/>
        <v>78450</v>
      </c>
      <c r="H18259" s="49">
        <f t="shared" si="2"/>
        <v>78674</v>
      </c>
    </row>
    <row r="18260">
      <c r="A18260" s="48" t="s">
        <v>127</v>
      </c>
      <c r="B18260" s="38">
        <v>51489.0</v>
      </c>
      <c r="C18260" s="38" t="s">
        <v>22695</v>
      </c>
      <c r="D18260" s="38" t="str">
        <f>IFERROR(__xludf.DUMMYFUNCTION("REGEXREPLACE(C18260,""-\d+(.*)|--\d+(.*)"","""")"),"SAINT-JEAN-DEVANT-POSSESSE")</f>
        <v>SAINT-JEAN-DEVANT-POSSESSE</v>
      </c>
      <c r="E18260" s="38" t="s">
        <v>129</v>
      </c>
      <c r="F18260" s="38" t="s">
        <v>130</v>
      </c>
      <c r="G18260" s="49" t="str">
        <f t="shared" si="1"/>
        <v>51330</v>
      </c>
      <c r="H18260" s="49">
        <f t="shared" si="2"/>
        <v>51489</v>
      </c>
    </row>
    <row r="18261">
      <c r="A18261" s="48" t="s">
        <v>2156</v>
      </c>
      <c r="B18261" s="38">
        <v>26367.0</v>
      </c>
      <c r="C18261" s="38" t="s">
        <v>12493</v>
      </c>
      <c r="D18261" s="38" t="str">
        <f>IFERROR(__xludf.DUMMYFUNCTION("REGEXREPLACE(C18261,""-\d+(.*)|--\d+(.*)"","""")"),"VENTEROL")</f>
        <v>VENTEROL</v>
      </c>
      <c r="E18261" s="38" t="s">
        <v>126</v>
      </c>
      <c r="F18261" s="38" t="s">
        <v>102</v>
      </c>
      <c r="G18261" s="49" t="str">
        <f t="shared" si="1"/>
        <v>26110</v>
      </c>
      <c r="H18261" s="49">
        <f t="shared" si="2"/>
        <v>26367</v>
      </c>
    </row>
    <row r="18262">
      <c r="A18262" s="48" t="s">
        <v>11884</v>
      </c>
      <c r="B18262" s="38">
        <v>37046.0</v>
      </c>
      <c r="C18262" s="38" t="s">
        <v>22696</v>
      </c>
      <c r="D18262" s="38" t="str">
        <f>IFERROR(__xludf.DUMMYFUNCTION("REGEXREPLACE(C18262,""-\d+(.*)|--\d+(.*)"","""")"),"CERE-LA-RONDE")</f>
        <v>CERE-LA-RONDE</v>
      </c>
      <c r="E18262" s="38" t="s">
        <v>205</v>
      </c>
      <c r="F18262" s="38" t="s">
        <v>123</v>
      </c>
      <c r="G18262" s="49" t="str">
        <f t="shared" si="1"/>
        <v>37460</v>
      </c>
      <c r="H18262" s="49">
        <f t="shared" si="2"/>
        <v>37046</v>
      </c>
    </row>
    <row r="18263">
      <c r="A18263" s="48" t="s">
        <v>22697</v>
      </c>
      <c r="B18263" s="38">
        <v>45123.0</v>
      </c>
      <c r="C18263" s="38" t="s">
        <v>22698</v>
      </c>
      <c r="D18263" s="38" t="str">
        <f>IFERROR(__xludf.DUMMYFUNCTION("REGEXREPLACE(C18263,""-\d+(.*)|--\d+(.*)"","""")"),"DARVOY")</f>
        <v>DARVOY</v>
      </c>
      <c r="E18263" s="38" t="s">
        <v>122</v>
      </c>
      <c r="F18263" s="38" t="s">
        <v>123</v>
      </c>
      <c r="G18263" s="49" t="str">
        <f t="shared" si="1"/>
        <v>45150</v>
      </c>
      <c r="H18263" s="49">
        <f t="shared" si="2"/>
        <v>45123</v>
      </c>
    </row>
    <row r="18264">
      <c r="A18264" s="48" t="s">
        <v>15148</v>
      </c>
      <c r="B18264" s="38">
        <v>57250.0</v>
      </c>
      <c r="C18264" s="38" t="s">
        <v>22699</v>
      </c>
      <c r="D18264" s="38" t="str">
        <f>IFERROR(__xludf.DUMMYFUNCTION("REGEXREPLACE(C18264,""-\d+(.*)|--\d+(.*)"","""")"),"GOETZENBRUCK")</f>
        <v>GOETZENBRUCK</v>
      </c>
      <c r="E18264" s="38" t="s">
        <v>303</v>
      </c>
      <c r="F18264" s="38" t="s">
        <v>195</v>
      </c>
      <c r="G18264" s="49" t="str">
        <f t="shared" si="1"/>
        <v>57620</v>
      </c>
      <c r="H18264" s="49">
        <f t="shared" si="2"/>
        <v>57250</v>
      </c>
    </row>
    <row r="18265">
      <c r="A18265" s="48" t="s">
        <v>10857</v>
      </c>
      <c r="B18265" s="38">
        <v>22235.0</v>
      </c>
      <c r="C18265" s="38" t="s">
        <v>22700</v>
      </c>
      <c r="D18265" s="38" t="str">
        <f>IFERROR(__xludf.DUMMYFUNCTION("REGEXREPLACE(C18265,""-\d+(.*)|--\d+(.*)"","""")"),"PLOUZELAMBRE")</f>
        <v>PLOUZELAMBRE</v>
      </c>
      <c r="E18265" s="38" t="s">
        <v>89</v>
      </c>
      <c r="F18265" s="38" t="s">
        <v>90</v>
      </c>
      <c r="G18265" s="49" t="str">
        <f t="shared" si="1"/>
        <v>22420</v>
      </c>
      <c r="H18265" s="49">
        <f t="shared" si="2"/>
        <v>22235</v>
      </c>
    </row>
    <row r="18266">
      <c r="A18266" s="48" t="s">
        <v>4447</v>
      </c>
      <c r="B18266" s="38">
        <v>39103.0</v>
      </c>
      <c r="C18266" s="38" t="s">
        <v>22701</v>
      </c>
      <c r="D18266" s="38" t="str">
        <f>IFERROR(__xludf.DUMMYFUNCTION("REGEXREPLACE(C18266,""-\d+(.*)|--\d+(.*)"","""")"),"LA CHAPELLE-SUR-FURIEUSE")</f>
        <v>LA CHAPELLE-SUR-FURIEUSE</v>
      </c>
      <c r="E18266" s="38" t="s">
        <v>400</v>
      </c>
      <c r="F18266" s="38" t="s">
        <v>214</v>
      </c>
      <c r="G18266" s="49" t="str">
        <f t="shared" si="1"/>
        <v>39110</v>
      </c>
      <c r="H18266" s="49">
        <f t="shared" si="2"/>
        <v>39103</v>
      </c>
    </row>
    <row r="18267">
      <c r="A18267" s="48" t="s">
        <v>22702</v>
      </c>
      <c r="B18267" s="38">
        <v>22164.0</v>
      </c>
      <c r="C18267" s="38" t="s">
        <v>22703</v>
      </c>
      <c r="D18267" s="38" t="str">
        <f>IFERROR(__xludf.DUMMYFUNCTION("REGEXREPLACE(C18267,""-\d+(.*)|--\d+(.*)"","""")"),"PEDERNEC")</f>
        <v>PEDERNEC</v>
      </c>
      <c r="E18267" s="38" t="s">
        <v>89</v>
      </c>
      <c r="F18267" s="38" t="s">
        <v>90</v>
      </c>
      <c r="G18267" s="49" t="str">
        <f t="shared" si="1"/>
        <v>22540</v>
      </c>
      <c r="H18267" s="49">
        <f t="shared" si="2"/>
        <v>22164</v>
      </c>
    </row>
    <row r="18268">
      <c r="A18268" s="48" t="s">
        <v>3943</v>
      </c>
      <c r="B18268" s="38">
        <v>15212.0</v>
      </c>
      <c r="C18268" s="38" t="s">
        <v>22704</v>
      </c>
      <c r="D18268" s="38" t="str">
        <f>IFERROR(__xludf.DUMMYFUNCTION("REGEXREPLACE(C18268,""-\d+(.*)|--\d+(.*)"","""")"),"SAINT-SANTIN-DE-MAURS")</f>
        <v>SAINT-SANTIN-DE-MAURS</v>
      </c>
      <c r="E18268" s="38" t="s">
        <v>632</v>
      </c>
      <c r="F18268" s="38" t="s">
        <v>161</v>
      </c>
      <c r="G18268" s="49" t="str">
        <f t="shared" si="1"/>
        <v>15600</v>
      </c>
      <c r="H18268" s="49">
        <f t="shared" si="2"/>
        <v>15212</v>
      </c>
    </row>
    <row r="18269">
      <c r="A18269" s="48" t="s">
        <v>1268</v>
      </c>
      <c r="B18269" s="38">
        <v>8067.0</v>
      </c>
      <c r="C18269" s="38" t="s">
        <v>22705</v>
      </c>
      <c r="D18269" s="38" t="str">
        <f>IFERROR(__xludf.DUMMYFUNCTION("REGEXREPLACE(C18269,""-\d+(.*)|--\d+(.*)"","""")"),"BLAGNY")</f>
        <v>BLAGNY</v>
      </c>
      <c r="E18269" s="38" t="s">
        <v>327</v>
      </c>
      <c r="F18269" s="38" t="s">
        <v>130</v>
      </c>
      <c r="G18269" s="49" t="str">
        <f t="shared" si="1"/>
        <v>08110</v>
      </c>
      <c r="H18269" s="49" t="str">
        <f t="shared" si="2"/>
        <v>08067</v>
      </c>
    </row>
    <row r="18270">
      <c r="A18270" s="48" t="s">
        <v>3046</v>
      </c>
      <c r="B18270" s="38">
        <v>70479.0</v>
      </c>
      <c r="C18270" s="38" t="s">
        <v>22706</v>
      </c>
      <c r="D18270" s="38" t="str">
        <f>IFERROR(__xludf.DUMMYFUNCTION("REGEXREPLACE(C18270,""-\d+(.*)|--\d+(.*)"","""")"),"SAUVIGNEY-LES-GRAY")</f>
        <v>SAUVIGNEY-LES-GRAY</v>
      </c>
      <c r="E18270" s="38" t="s">
        <v>956</v>
      </c>
      <c r="F18270" s="38" t="s">
        <v>214</v>
      </c>
      <c r="G18270" s="49" t="str">
        <f t="shared" si="1"/>
        <v>70100</v>
      </c>
      <c r="H18270" s="49">
        <f t="shared" si="2"/>
        <v>70479</v>
      </c>
    </row>
    <row r="18271">
      <c r="A18271" s="48" t="s">
        <v>13993</v>
      </c>
      <c r="B18271" s="38">
        <v>87063.0</v>
      </c>
      <c r="C18271" s="38" t="s">
        <v>22707</v>
      </c>
      <c r="D18271" s="38" t="str">
        <f>IFERROR(__xludf.DUMMYFUNCTION("REGEXREPLACE(C18271,""-\d+(.*)|--\d+(.*)"","""")"),"EYJEAUX")</f>
        <v>EYJEAUX</v>
      </c>
      <c r="E18271" s="38" t="s">
        <v>897</v>
      </c>
      <c r="F18271" s="38" t="s">
        <v>98</v>
      </c>
      <c r="G18271" s="49" t="str">
        <f t="shared" si="1"/>
        <v>87220</v>
      </c>
      <c r="H18271" s="49">
        <f t="shared" si="2"/>
        <v>87063</v>
      </c>
    </row>
    <row r="18272">
      <c r="A18272" s="48" t="s">
        <v>1768</v>
      </c>
      <c r="B18272" s="38">
        <v>53153.0</v>
      </c>
      <c r="C18272" s="38" t="s">
        <v>22708</v>
      </c>
      <c r="D18272" s="38" t="str">
        <f>IFERROR(__xludf.DUMMYFUNCTION("REGEXREPLACE(C18272,""-\d+(.*)|--\d+(.*)"","""")"),"MEZANGERS")</f>
        <v>MEZANGERS</v>
      </c>
      <c r="E18272" s="38" t="s">
        <v>518</v>
      </c>
      <c r="F18272" s="38" t="s">
        <v>180</v>
      </c>
      <c r="G18272" s="49" t="str">
        <f t="shared" si="1"/>
        <v>53600</v>
      </c>
      <c r="H18272" s="49">
        <f t="shared" si="2"/>
        <v>53153</v>
      </c>
    </row>
    <row r="18273">
      <c r="A18273" s="48" t="s">
        <v>22709</v>
      </c>
      <c r="B18273" s="38">
        <v>33546.0</v>
      </c>
      <c r="C18273" s="38" t="s">
        <v>22710</v>
      </c>
      <c r="D18273" s="38" t="str">
        <f>IFERROR(__xludf.DUMMYFUNCTION("REGEXREPLACE(C18273,""-\d+(.*)|--\d+(.*)"","""")"),"VIGNONET")</f>
        <v>VIGNONET</v>
      </c>
      <c r="E18273" s="38" t="s">
        <v>462</v>
      </c>
      <c r="F18273" s="38" t="s">
        <v>252</v>
      </c>
      <c r="G18273" s="49" t="str">
        <f t="shared" si="1"/>
        <v>33330</v>
      </c>
      <c r="H18273" s="49">
        <f t="shared" si="2"/>
        <v>33546</v>
      </c>
    </row>
    <row r="18274">
      <c r="A18274" s="48" t="s">
        <v>2899</v>
      </c>
      <c r="B18274" s="38">
        <v>15257.0</v>
      </c>
      <c r="C18274" s="38" t="s">
        <v>22711</v>
      </c>
      <c r="D18274" s="38" t="str">
        <f>IFERROR(__xludf.DUMMYFUNCTION("REGEXREPLACE(C18274,""-\d+(.*)|--\d+(.*)"","""")"),"VEZELS-ROUSSY")</f>
        <v>VEZELS-ROUSSY</v>
      </c>
      <c r="E18274" s="38" t="s">
        <v>632</v>
      </c>
      <c r="F18274" s="38" t="s">
        <v>161</v>
      </c>
      <c r="G18274" s="49" t="str">
        <f t="shared" si="1"/>
        <v>15130</v>
      </c>
      <c r="H18274" s="49">
        <f t="shared" si="2"/>
        <v>15257</v>
      </c>
    </row>
    <row r="18275">
      <c r="A18275" s="48" t="s">
        <v>22712</v>
      </c>
      <c r="B18275" s="38">
        <v>69256.0</v>
      </c>
      <c r="C18275" s="38" t="s">
        <v>22713</v>
      </c>
      <c r="D18275" s="38" t="str">
        <f>IFERROR(__xludf.DUMMYFUNCTION("REGEXREPLACE(C18275,""-\d+(.*)|--\d+(.*)"","""")"),"VAULX-EN-VELIN")</f>
        <v>VAULX-EN-VELIN</v>
      </c>
      <c r="E18275" s="38" t="s">
        <v>350</v>
      </c>
      <c r="F18275" s="38" t="s">
        <v>102</v>
      </c>
      <c r="G18275" s="49" t="str">
        <f t="shared" si="1"/>
        <v>69120</v>
      </c>
      <c r="H18275" s="49">
        <f t="shared" si="2"/>
        <v>69256</v>
      </c>
    </row>
    <row r="18276">
      <c r="A18276" s="48" t="s">
        <v>2833</v>
      </c>
      <c r="B18276" s="38">
        <v>77082.0</v>
      </c>
      <c r="C18276" s="38" t="s">
        <v>20535</v>
      </c>
      <c r="D18276" s="38" t="str">
        <f>IFERROR(__xludf.DUMMYFUNCTION("REGEXREPLACE(C18276,""-\d+(.*)|--\d+(.*)"","""")"),"CHAMPEAUX")</f>
        <v>CHAMPEAUX</v>
      </c>
      <c r="E18276" s="38" t="s">
        <v>244</v>
      </c>
      <c r="F18276" s="38" t="s">
        <v>245</v>
      </c>
      <c r="G18276" s="49" t="str">
        <f t="shared" si="1"/>
        <v>77720</v>
      </c>
      <c r="H18276" s="49">
        <f t="shared" si="2"/>
        <v>77082</v>
      </c>
    </row>
    <row r="18277">
      <c r="A18277" s="48" t="s">
        <v>1770</v>
      </c>
      <c r="B18277" s="38">
        <v>57578.0</v>
      </c>
      <c r="C18277" s="38" t="s">
        <v>22714</v>
      </c>
      <c r="D18277" s="38" t="str">
        <f>IFERROR(__xludf.DUMMYFUNCTION("REGEXREPLACE(C18277,""-\d+(.*)|--\d+(.*)"","""")"),"REZONVILLE")</f>
        <v>REZONVILLE</v>
      </c>
      <c r="E18277" s="38" t="s">
        <v>303</v>
      </c>
      <c r="F18277" s="38" t="s">
        <v>195</v>
      </c>
      <c r="G18277" s="49" t="str">
        <f t="shared" si="1"/>
        <v>57130</v>
      </c>
      <c r="H18277" s="49">
        <f t="shared" si="2"/>
        <v>57578</v>
      </c>
    </row>
    <row r="18278">
      <c r="A18278" s="48" t="s">
        <v>3624</v>
      </c>
      <c r="B18278" s="38">
        <v>39226.0</v>
      </c>
      <c r="C18278" s="38" t="s">
        <v>22715</v>
      </c>
      <c r="D18278" s="38" t="str">
        <f>IFERROR(__xludf.DUMMYFUNCTION("REGEXREPLACE(C18278,""-\d+(.*)|--\d+(.*)"","""")"),"FLORENTIA")</f>
        <v>FLORENTIA</v>
      </c>
      <c r="E18278" s="38" t="s">
        <v>400</v>
      </c>
      <c r="F18278" s="38" t="s">
        <v>214</v>
      </c>
      <c r="G18278" s="49" t="str">
        <f t="shared" si="1"/>
        <v>39320</v>
      </c>
      <c r="H18278" s="49">
        <f t="shared" si="2"/>
        <v>39226</v>
      </c>
    </row>
    <row r="18279">
      <c r="A18279" s="48" t="s">
        <v>411</v>
      </c>
      <c r="B18279" s="38">
        <v>57642.0</v>
      </c>
      <c r="C18279" s="38" t="s">
        <v>22716</v>
      </c>
      <c r="D18279" s="38" t="str">
        <f>IFERROR(__xludf.DUMMYFUNCTION("REGEXREPLACE(C18279,""-\d+(.*)|--\d+(.*)"","""")"),"SCY-CHAZELLES")</f>
        <v>SCY-CHAZELLES</v>
      </c>
      <c r="E18279" s="38" t="s">
        <v>303</v>
      </c>
      <c r="F18279" s="38" t="s">
        <v>195</v>
      </c>
      <c r="G18279" s="49" t="str">
        <f t="shared" si="1"/>
        <v>57160</v>
      </c>
      <c r="H18279" s="49">
        <f t="shared" si="2"/>
        <v>57642</v>
      </c>
    </row>
    <row r="18280">
      <c r="A18280" s="48" t="s">
        <v>8218</v>
      </c>
      <c r="B18280" s="38">
        <v>80531.0</v>
      </c>
      <c r="C18280" s="38" t="s">
        <v>22717</v>
      </c>
      <c r="D18280" s="38" t="str">
        <f>IFERROR(__xludf.DUMMYFUNCTION("REGEXREPLACE(C18280,""-\d+(.*)|--\d+(.*)"","""")"),"MERICOURT-EN-VIMEU")</f>
        <v>MERICOURT-EN-VIMEU</v>
      </c>
      <c r="E18280" s="38" t="s">
        <v>224</v>
      </c>
      <c r="F18280" s="38" t="s">
        <v>113</v>
      </c>
      <c r="G18280" s="49" t="str">
        <f t="shared" si="1"/>
        <v>80640</v>
      </c>
      <c r="H18280" s="49">
        <f t="shared" si="2"/>
        <v>80531</v>
      </c>
    </row>
    <row r="18281">
      <c r="A18281" s="48" t="s">
        <v>2817</v>
      </c>
      <c r="B18281" s="38">
        <v>64058.0</v>
      </c>
      <c r="C18281" s="38" t="s">
        <v>22718</v>
      </c>
      <c r="D18281" s="38" t="str">
        <f>IFERROR(__xludf.DUMMYFUNCTION("REGEXREPLACE(C18281,""-\d+(.*)|--\d+(.*)"","""")"),"ARTHEZ-D'ASSON")</f>
        <v>ARTHEZ-D'ASSON</v>
      </c>
      <c r="E18281" s="38" t="s">
        <v>268</v>
      </c>
      <c r="F18281" s="38" t="s">
        <v>252</v>
      </c>
      <c r="G18281" s="49" t="str">
        <f t="shared" si="1"/>
        <v>64800</v>
      </c>
      <c r="H18281" s="49">
        <f t="shared" si="2"/>
        <v>64058</v>
      </c>
    </row>
    <row r="18282">
      <c r="A18282" s="48" t="s">
        <v>5101</v>
      </c>
      <c r="B18282" s="38">
        <v>54098.0</v>
      </c>
      <c r="C18282" s="38" t="s">
        <v>22719</v>
      </c>
      <c r="D18282" s="38" t="str">
        <f>IFERROR(__xludf.DUMMYFUNCTION("REGEXREPLACE(C18282,""-\d+(.*)|--\d+(.*)"","""")"),"BREMONCOURT")</f>
        <v>BREMONCOURT</v>
      </c>
      <c r="E18282" s="38" t="s">
        <v>548</v>
      </c>
      <c r="F18282" s="38" t="s">
        <v>195</v>
      </c>
      <c r="G18282" s="49" t="str">
        <f t="shared" si="1"/>
        <v>54290</v>
      </c>
      <c r="H18282" s="49">
        <f t="shared" si="2"/>
        <v>54098</v>
      </c>
    </row>
    <row r="18283">
      <c r="A18283" s="48" t="s">
        <v>12887</v>
      </c>
      <c r="B18283" s="38">
        <v>21458.0</v>
      </c>
      <c r="C18283" s="38" t="s">
        <v>22720</v>
      </c>
      <c r="D18283" s="38" t="str">
        <f>IFERROR(__xludf.DUMMYFUNCTION("REGEXREPLACE(C18283,""-\d+(.*)|--\d+(.*)"","""")"),"NOIRON-SOUS-GEVREY")</f>
        <v>NOIRON-SOUS-GEVREY</v>
      </c>
      <c r="E18283" s="38" t="s">
        <v>105</v>
      </c>
      <c r="F18283" s="38" t="s">
        <v>106</v>
      </c>
      <c r="G18283" s="49" t="str">
        <f t="shared" si="1"/>
        <v>21910</v>
      </c>
      <c r="H18283" s="49">
        <f t="shared" si="2"/>
        <v>21458</v>
      </c>
    </row>
    <row r="18284">
      <c r="A18284" s="48" t="s">
        <v>6075</v>
      </c>
      <c r="B18284" s="38">
        <v>63277.0</v>
      </c>
      <c r="C18284" s="38" t="s">
        <v>22721</v>
      </c>
      <c r="D18284" s="38" t="str">
        <f>IFERROR(__xludf.DUMMYFUNCTION("REGEXREPLACE(C18284,""-\d+(.*)|--\d+(.*)"","""")"),"PESLIERES")</f>
        <v>PESLIERES</v>
      </c>
      <c r="E18284" s="38" t="s">
        <v>353</v>
      </c>
      <c r="F18284" s="38" t="s">
        <v>161</v>
      </c>
      <c r="G18284" s="49" t="str">
        <f t="shared" si="1"/>
        <v>63580</v>
      </c>
      <c r="H18284" s="49">
        <f t="shared" si="2"/>
        <v>63277</v>
      </c>
    </row>
    <row r="18285">
      <c r="A18285" s="48" t="s">
        <v>794</v>
      </c>
      <c r="B18285" s="38">
        <v>60085.0</v>
      </c>
      <c r="C18285" s="38" t="s">
        <v>22722</v>
      </c>
      <c r="D18285" s="38" t="str">
        <f>IFERROR(__xludf.DUMMYFUNCTION("REGEXREPLACE(C18285,""-\d+(.*)|--\d+(.*)"","""")"),"BONVILLERS")</f>
        <v>BONVILLERS</v>
      </c>
      <c r="E18285" s="38" t="s">
        <v>112</v>
      </c>
      <c r="F18285" s="38" t="s">
        <v>113</v>
      </c>
      <c r="G18285" s="49" t="str">
        <f t="shared" si="1"/>
        <v>60120</v>
      </c>
      <c r="H18285" s="49">
        <f t="shared" si="2"/>
        <v>60085</v>
      </c>
    </row>
    <row r="18286">
      <c r="A18286" s="48" t="s">
        <v>8338</v>
      </c>
      <c r="B18286" s="38">
        <v>47302.0</v>
      </c>
      <c r="C18286" s="38" t="s">
        <v>22723</v>
      </c>
      <c r="D18286" s="38" t="str">
        <f>IFERROR(__xludf.DUMMYFUNCTION("REGEXREPLACE(C18286,""-\d+(.*)|--\d+(.*)"","""")"),"SOS")</f>
        <v>SOS</v>
      </c>
      <c r="E18286" s="38" t="s">
        <v>251</v>
      </c>
      <c r="F18286" s="38" t="s">
        <v>252</v>
      </c>
      <c r="G18286" s="49" t="str">
        <f t="shared" si="1"/>
        <v>47170</v>
      </c>
      <c r="H18286" s="49">
        <f t="shared" si="2"/>
        <v>47302</v>
      </c>
    </row>
    <row r="18287">
      <c r="A18287" s="48" t="s">
        <v>5634</v>
      </c>
      <c r="B18287" s="38">
        <v>72364.0</v>
      </c>
      <c r="C18287" s="38" t="s">
        <v>22724</v>
      </c>
      <c r="D18287" s="38" t="str">
        <f>IFERROR(__xludf.DUMMYFUNCTION("REGEXREPLACE(C18287,""-\d+(.*)|--\d+(.*)"","""")"),"VAAS")</f>
        <v>VAAS</v>
      </c>
      <c r="E18287" s="38" t="s">
        <v>521</v>
      </c>
      <c r="F18287" s="38" t="s">
        <v>180</v>
      </c>
      <c r="G18287" s="49" t="str">
        <f t="shared" si="1"/>
        <v>72500</v>
      </c>
      <c r="H18287" s="49">
        <f t="shared" si="2"/>
        <v>72364</v>
      </c>
    </row>
    <row r="18288">
      <c r="A18288" s="48" t="s">
        <v>12221</v>
      </c>
      <c r="B18288" s="38">
        <v>41156.0</v>
      </c>
      <c r="C18288" s="38" t="s">
        <v>22725</v>
      </c>
      <c r="D18288" s="38" t="str">
        <f>IFERROR(__xludf.DUMMYFUNCTION("REGEXREPLACE(C18288,""-\d+(.*)|--\d+(.*)"","""")"),"MULSANS")</f>
        <v>MULSANS</v>
      </c>
      <c r="E18288" s="38" t="s">
        <v>188</v>
      </c>
      <c r="F18288" s="38" t="s">
        <v>123</v>
      </c>
      <c r="G18288" s="49" t="str">
        <f t="shared" si="1"/>
        <v>41500</v>
      </c>
      <c r="H18288" s="49">
        <f t="shared" si="2"/>
        <v>41156</v>
      </c>
    </row>
    <row r="18289">
      <c r="A18289" s="48" t="s">
        <v>1993</v>
      </c>
      <c r="B18289" s="38">
        <v>2516.0</v>
      </c>
      <c r="C18289" s="38" t="s">
        <v>22726</v>
      </c>
      <c r="D18289" s="38" t="str">
        <f>IFERROR(__xludf.DUMMYFUNCTION("REGEXREPLACE(C18289,""-\d+(.*)|--\d+(.*)"","""")"),"MONTIGNY-SOUS-MARLE")</f>
        <v>MONTIGNY-SOUS-MARLE</v>
      </c>
      <c r="E18289" s="38" t="s">
        <v>191</v>
      </c>
      <c r="F18289" s="38" t="s">
        <v>113</v>
      </c>
      <c r="G18289" s="49" t="str">
        <f t="shared" si="1"/>
        <v>02250</v>
      </c>
      <c r="H18289" s="49" t="str">
        <f t="shared" si="2"/>
        <v>02516</v>
      </c>
    </row>
    <row r="18290">
      <c r="A18290" s="48" t="s">
        <v>5603</v>
      </c>
      <c r="B18290" s="38">
        <v>41033.0</v>
      </c>
      <c r="C18290" s="38" t="s">
        <v>22727</v>
      </c>
      <c r="D18290" s="38" t="str">
        <f>IFERROR(__xludf.DUMMYFUNCTION("REGEXREPLACE(C18290,""-\d+(.*)|--\d+(.*)"","""")"),"CHAMBON-SUR-CISSE")</f>
        <v>CHAMBON-SUR-CISSE</v>
      </c>
      <c r="E18290" s="38" t="s">
        <v>188</v>
      </c>
      <c r="F18290" s="38" t="s">
        <v>123</v>
      </c>
      <c r="G18290" s="49" t="str">
        <f t="shared" si="1"/>
        <v>41190</v>
      </c>
      <c r="H18290" s="49">
        <f t="shared" si="2"/>
        <v>41033</v>
      </c>
    </row>
    <row r="18291">
      <c r="A18291" s="48" t="s">
        <v>22728</v>
      </c>
      <c r="B18291" s="38">
        <v>97422.0</v>
      </c>
      <c r="C18291" s="38" t="s">
        <v>22729</v>
      </c>
      <c r="D18291" s="38" t="str">
        <f>IFERROR(__xludf.DUMMYFUNCTION("REGEXREPLACE(C18291,""-\d+(.*)|--\d+(.*)"","""")"),"LE TAMPON")</f>
        <v>LE TAMPON</v>
      </c>
      <c r="E18291" s="38" t="s">
        <v>7739</v>
      </c>
      <c r="F18291" s="38" t="s">
        <v>7739</v>
      </c>
      <c r="G18291" s="49" t="str">
        <f t="shared" si="1"/>
        <v>97430</v>
      </c>
      <c r="H18291" s="49">
        <f t="shared" si="2"/>
        <v>97422</v>
      </c>
    </row>
    <row r="18292">
      <c r="A18292" s="48" t="s">
        <v>22709</v>
      </c>
      <c r="B18292" s="38">
        <v>33394.0</v>
      </c>
      <c r="C18292" s="38" t="s">
        <v>22730</v>
      </c>
      <c r="D18292" s="38" t="str">
        <f>IFERROR(__xludf.DUMMYFUNCTION("REGEXREPLACE(C18292,""-\d+(.*)|--\d+(.*)"","""")"),"SAINT-EMILION")</f>
        <v>SAINT-EMILION</v>
      </c>
      <c r="E18292" s="38" t="s">
        <v>462</v>
      </c>
      <c r="F18292" s="38" t="s">
        <v>252</v>
      </c>
      <c r="G18292" s="49" t="str">
        <f t="shared" si="1"/>
        <v>33330</v>
      </c>
      <c r="H18292" s="49">
        <f t="shared" si="2"/>
        <v>33394</v>
      </c>
    </row>
    <row r="18293">
      <c r="A18293" s="48" t="s">
        <v>4905</v>
      </c>
      <c r="B18293" s="38">
        <v>64310.0</v>
      </c>
      <c r="C18293" s="38" t="s">
        <v>22731</v>
      </c>
      <c r="D18293" s="38" t="str">
        <f>IFERROR(__xludf.DUMMYFUNCTION("REGEXREPLACE(C18293,""-\d+(.*)|--\d+(.*)"","""")"),"LANNE-EN-BARETOUS")</f>
        <v>LANNE-EN-BARETOUS</v>
      </c>
      <c r="E18293" s="38" t="s">
        <v>268</v>
      </c>
      <c r="F18293" s="38" t="s">
        <v>252</v>
      </c>
      <c r="G18293" s="49" t="str">
        <f t="shared" si="1"/>
        <v>64570</v>
      </c>
      <c r="H18293" s="49">
        <f t="shared" si="2"/>
        <v>64310</v>
      </c>
    </row>
    <row r="18294">
      <c r="A18294" s="48" t="s">
        <v>4856</v>
      </c>
      <c r="B18294" s="38">
        <v>21200.0</v>
      </c>
      <c r="C18294" s="38" t="s">
        <v>22732</v>
      </c>
      <c r="D18294" s="38" t="str">
        <f>IFERROR(__xludf.DUMMYFUNCTION("REGEXREPLACE(C18294,""-\d+(.*)|--\d+(.*)"","""")"),"COUCHEY")</f>
        <v>COUCHEY</v>
      </c>
      <c r="E18294" s="38" t="s">
        <v>105</v>
      </c>
      <c r="F18294" s="38" t="s">
        <v>106</v>
      </c>
      <c r="G18294" s="49" t="str">
        <f t="shared" si="1"/>
        <v>21160</v>
      </c>
      <c r="H18294" s="49">
        <f t="shared" si="2"/>
        <v>21200</v>
      </c>
    </row>
    <row r="18295">
      <c r="A18295" s="48" t="s">
        <v>21033</v>
      </c>
      <c r="B18295" s="38">
        <v>59515.0</v>
      </c>
      <c r="C18295" s="38" t="s">
        <v>22733</v>
      </c>
      <c r="D18295" s="38" t="str">
        <f>IFERROR(__xludf.DUMMYFUNCTION("REGEXREPLACE(C18295,""-\d+(.*)|--\d+(.*)"","""")"),"ROUVIGNIES")</f>
        <v>ROUVIGNIES</v>
      </c>
      <c r="E18295" s="38" t="s">
        <v>85</v>
      </c>
      <c r="F18295" s="38" t="s">
        <v>86</v>
      </c>
      <c r="G18295" s="49" t="str">
        <f t="shared" si="1"/>
        <v>59220</v>
      </c>
      <c r="H18295" s="49">
        <f t="shared" si="2"/>
        <v>59515</v>
      </c>
    </row>
    <row r="18296">
      <c r="A18296" s="48" t="s">
        <v>3892</v>
      </c>
      <c r="B18296" s="38">
        <v>42062.0</v>
      </c>
      <c r="C18296" s="38" t="s">
        <v>801</v>
      </c>
      <c r="D18296" s="38" t="str">
        <f>IFERROR(__xludf.DUMMYFUNCTION("REGEXREPLACE(C18296,""-\d+(.*)|--\d+(.*)"","""")"),"CHEVRIERES")</f>
        <v>CHEVRIERES</v>
      </c>
      <c r="E18296" s="38" t="s">
        <v>166</v>
      </c>
      <c r="F18296" s="38" t="s">
        <v>102</v>
      </c>
      <c r="G18296" s="49" t="str">
        <f t="shared" si="1"/>
        <v>42140</v>
      </c>
      <c r="H18296" s="49">
        <f t="shared" si="2"/>
        <v>42062</v>
      </c>
    </row>
    <row r="18297">
      <c r="A18297" s="48" t="s">
        <v>4388</v>
      </c>
      <c r="B18297" s="38">
        <v>31362.0</v>
      </c>
      <c r="C18297" s="38" t="s">
        <v>22734</v>
      </c>
      <c r="D18297" s="38" t="str">
        <f>IFERROR(__xludf.DUMMYFUNCTION("REGEXREPLACE(C18297,""-\d+(.*)|--\d+(.*)"","""")"),"MONTBERAUD")</f>
        <v>MONTBERAUD</v>
      </c>
      <c r="E18297" s="38" t="s">
        <v>93</v>
      </c>
      <c r="F18297" s="38" t="s">
        <v>94</v>
      </c>
      <c r="G18297" s="49" t="str">
        <f t="shared" si="1"/>
        <v>31220</v>
      </c>
      <c r="H18297" s="49">
        <f t="shared" si="2"/>
        <v>31362</v>
      </c>
    </row>
    <row r="18298">
      <c r="A18298" s="48" t="s">
        <v>5575</v>
      </c>
      <c r="B18298" s="38">
        <v>62404.0</v>
      </c>
      <c r="C18298" s="38" t="s">
        <v>22735</v>
      </c>
      <c r="D18298" s="38" t="str">
        <f>IFERROR(__xludf.DUMMYFUNCTION("REGEXREPLACE(C18298,""-\d+(.*)|--\d+(.*)"","""")"),"HALLOY")</f>
        <v>HALLOY</v>
      </c>
      <c r="E18298" s="38" t="s">
        <v>109</v>
      </c>
      <c r="F18298" s="38" t="s">
        <v>86</v>
      </c>
      <c r="G18298" s="49" t="str">
        <f t="shared" si="1"/>
        <v>62760</v>
      </c>
      <c r="H18298" s="49">
        <f t="shared" si="2"/>
        <v>62404</v>
      </c>
    </row>
    <row r="18299">
      <c r="A18299" s="48" t="s">
        <v>9018</v>
      </c>
      <c r="B18299" s="38">
        <v>27249.0</v>
      </c>
      <c r="C18299" s="38" t="s">
        <v>22736</v>
      </c>
      <c r="D18299" s="38" t="str">
        <f>IFERROR(__xludf.DUMMYFUNCTION("REGEXREPLACE(C18299,""-\d+(.*)|--\d+(.*)"","""")"),"FONTAINE-BELLENGER")</f>
        <v>FONTAINE-BELLENGER</v>
      </c>
      <c r="E18299" s="38" t="s">
        <v>241</v>
      </c>
      <c r="F18299" s="38" t="s">
        <v>134</v>
      </c>
      <c r="G18299" s="49" t="str">
        <f t="shared" si="1"/>
        <v>27600</v>
      </c>
      <c r="H18299" s="49">
        <f t="shared" si="2"/>
        <v>27249</v>
      </c>
    </row>
    <row r="18300">
      <c r="A18300" s="48" t="s">
        <v>3458</v>
      </c>
      <c r="B18300" s="38">
        <v>52365.0</v>
      </c>
      <c r="C18300" s="38" t="s">
        <v>22737</v>
      </c>
      <c r="D18300" s="38" t="str">
        <f>IFERROR(__xludf.DUMMYFUNCTION("REGEXREPLACE(C18300,""-\d+(.*)|--\d+(.*)"","""")"),"ORGES")</f>
        <v>ORGES</v>
      </c>
      <c r="E18300" s="38" t="s">
        <v>234</v>
      </c>
      <c r="F18300" s="38" t="s">
        <v>130</v>
      </c>
      <c r="G18300" s="49" t="str">
        <f t="shared" si="1"/>
        <v>52120</v>
      </c>
      <c r="H18300" s="49">
        <f t="shared" si="2"/>
        <v>52365</v>
      </c>
    </row>
    <row r="18301">
      <c r="A18301" s="48" t="s">
        <v>4701</v>
      </c>
      <c r="B18301" s="38">
        <v>62130.0</v>
      </c>
      <c r="C18301" s="38" t="s">
        <v>22738</v>
      </c>
      <c r="D18301" s="38" t="str">
        <f>IFERROR(__xludf.DUMMYFUNCTION("REGEXREPLACE(C18301,""-\d+(.*)|--\d+(.*)"","""")"),"BIENVILLERS-AU-BOIS")</f>
        <v>BIENVILLERS-AU-BOIS</v>
      </c>
      <c r="E18301" s="38" t="s">
        <v>109</v>
      </c>
      <c r="F18301" s="38" t="s">
        <v>86</v>
      </c>
      <c r="G18301" s="49" t="str">
        <f t="shared" si="1"/>
        <v>62111</v>
      </c>
      <c r="H18301" s="49">
        <f t="shared" si="2"/>
        <v>62130</v>
      </c>
    </row>
    <row r="18302">
      <c r="A18302" s="48" t="s">
        <v>7514</v>
      </c>
      <c r="B18302" s="38">
        <v>88336.0</v>
      </c>
      <c r="C18302" s="38" t="s">
        <v>2979</v>
      </c>
      <c r="D18302" s="38" t="str">
        <f>IFERROR(__xludf.DUMMYFUNCTION("REGEXREPLACE(C18302,""-\d+(.*)|--\d+(.*)"","""")"),"OLLAINVILLE")</f>
        <v>OLLAINVILLE</v>
      </c>
      <c r="E18302" s="38" t="s">
        <v>194</v>
      </c>
      <c r="F18302" s="38" t="s">
        <v>195</v>
      </c>
      <c r="G18302" s="49" t="str">
        <f t="shared" si="1"/>
        <v>88170</v>
      </c>
      <c r="H18302" s="49">
        <f t="shared" si="2"/>
        <v>88336</v>
      </c>
    </row>
    <row r="18303">
      <c r="A18303" s="48" t="s">
        <v>3061</v>
      </c>
      <c r="B18303" s="38">
        <v>71331.0</v>
      </c>
      <c r="C18303" s="38" t="s">
        <v>22739</v>
      </c>
      <c r="D18303" s="38" t="str">
        <f>IFERROR(__xludf.DUMMYFUNCTION("REGEXREPLACE(C18303,""-\d+(.*)|--\d+(.*)"","""")"),"NOCHIZE")</f>
        <v>NOCHIZE</v>
      </c>
      <c r="E18303" s="38" t="s">
        <v>344</v>
      </c>
      <c r="F18303" s="38" t="s">
        <v>106</v>
      </c>
      <c r="G18303" s="49" t="str">
        <f t="shared" si="1"/>
        <v>71600</v>
      </c>
      <c r="H18303" s="49">
        <f t="shared" si="2"/>
        <v>71331</v>
      </c>
    </row>
    <row r="18304">
      <c r="A18304" s="48" t="s">
        <v>22740</v>
      </c>
      <c r="B18304" s="38">
        <v>59024.0</v>
      </c>
      <c r="C18304" s="38" t="s">
        <v>22741</v>
      </c>
      <c r="D18304" s="38" t="str">
        <f>IFERROR(__xludf.DUMMYFUNCTION("REGEXREPLACE(C18304,""-\d+(.*)|--\d+(.*)"","""")"),"AUBERCHICOURT")</f>
        <v>AUBERCHICOURT</v>
      </c>
      <c r="E18304" s="38" t="s">
        <v>85</v>
      </c>
      <c r="F18304" s="38" t="s">
        <v>86</v>
      </c>
      <c r="G18304" s="49" t="str">
        <f t="shared" si="1"/>
        <v>59165</v>
      </c>
      <c r="H18304" s="49">
        <f t="shared" si="2"/>
        <v>59024</v>
      </c>
    </row>
    <row r="18305">
      <c r="A18305" s="48" t="s">
        <v>3315</v>
      </c>
      <c r="B18305" s="38">
        <v>12275.0</v>
      </c>
      <c r="C18305" s="38" t="s">
        <v>22742</v>
      </c>
      <c r="D18305" s="38" t="str">
        <f>IFERROR(__xludf.DUMMYFUNCTION("REGEXREPLACE(C18305,""-\d+(.*)|--\d+(.*)"","""")"),"TAURIAC-DE-CAMARES")</f>
        <v>TAURIAC-DE-CAMARES</v>
      </c>
      <c r="E18305" s="38" t="s">
        <v>465</v>
      </c>
      <c r="F18305" s="38" t="s">
        <v>94</v>
      </c>
      <c r="G18305" s="49" t="str">
        <f t="shared" si="1"/>
        <v>12360</v>
      </c>
      <c r="H18305" s="49">
        <f t="shared" si="2"/>
        <v>12275</v>
      </c>
    </row>
    <row r="18306">
      <c r="A18306" s="48" t="s">
        <v>3364</v>
      </c>
      <c r="B18306" s="38">
        <v>62794.0</v>
      </c>
      <c r="C18306" s="38" t="s">
        <v>22743</v>
      </c>
      <c r="D18306" s="38" t="str">
        <f>IFERROR(__xludf.DUMMYFUNCTION("REGEXREPLACE(C18306,""-\d+(.*)|--\d+(.*)"","""")"),"SETQUES")</f>
        <v>SETQUES</v>
      </c>
      <c r="E18306" s="38" t="s">
        <v>109</v>
      </c>
      <c r="F18306" s="38" t="s">
        <v>86</v>
      </c>
      <c r="G18306" s="49" t="str">
        <f t="shared" si="1"/>
        <v>62380</v>
      </c>
      <c r="H18306" s="49">
        <f t="shared" si="2"/>
        <v>62794</v>
      </c>
    </row>
    <row r="18307">
      <c r="A18307" s="48" t="s">
        <v>384</v>
      </c>
      <c r="B18307" s="38">
        <v>55466.0</v>
      </c>
      <c r="C18307" s="38" t="s">
        <v>22744</v>
      </c>
      <c r="D18307" s="38" t="str">
        <f>IFERROR(__xludf.DUMMYFUNCTION("REGEXREPLACE(C18307,""-\d+(.*)|--\d+(.*)"","""")"),"SALMAGNE")</f>
        <v>SALMAGNE</v>
      </c>
      <c r="E18307" s="38" t="s">
        <v>322</v>
      </c>
      <c r="F18307" s="38" t="s">
        <v>195</v>
      </c>
      <c r="G18307" s="49" t="str">
        <f t="shared" si="1"/>
        <v>55000</v>
      </c>
      <c r="H18307" s="49">
        <f t="shared" si="2"/>
        <v>55466</v>
      </c>
    </row>
    <row r="18308">
      <c r="A18308" s="48" t="s">
        <v>15517</v>
      </c>
      <c r="B18308" s="38">
        <v>41194.0</v>
      </c>
      <c r="C18308" s="38" t="s">
        <v>22745</v>
      </c>
      <c r="D18308" s="38" t="str">
        <f>IFERROR(__xludf.DUMMYFUNCTION("REGEXREPLACE(C18308,""-\d+(.*)|--\d+(.*)"","""")"),"ROMORANTIN-LANTHENAY")</f>
        <v>ROMORANTIN-LANTHENAY</v>
      </c>
      <c r="E18308" s="38" t="s">
        <v>188</v>
      </c>
      <c r="F18308" s="38" t="s">
        <v>123</v>
      </c>
      <c r="G18308" s="49" t="str">
        <f t="shared" si="1"/>
        <v>41200</v>
      </c>
      <c r="H18308" s="49">
        <f t="shared" si="2"/>
        <v>41194</v>
      </c>
    </row>
    <row r="18309">
      <c r="A18309" s="48" t="s">
        <v>8523</v>
      </c>
      <c r="B18309" s="38">
        <v>9230.0</v>
      </c>
      <c r="C18309" s="38" t="s">
        <v>22746</v>
      </c>
      <c r="D18309" s="38" t="str">
        <f>IFERROR(__xludf.DUMMYFUNCTION("REGEXREPLACE(C18309,""-\d+(.*)|--\d+(.*)"","""")"),"LE PLA")</f>
        <v>LE PLA</v>
      </c>
      <c r="E18309" s="38" t="s">
        <v>238</v>
      </c>
      <c r="F18309" s="38" t="s">
        <v>94</v>
      </c>
      <c r="G18309" s="49" t="str">
        <f t="shared" si="1"/>
        <v>09460</v>
      </c>
      <c r="H18309" s="49" t="str">
        <f t="shared" si="2"/>
        <v>09230</v>
      </c>
    </row>
    <row r="18310">
      <c r="A18310" s="48" t="s">
        <v>14093</v>
      </c>
      <c r="B18310" s="38">
        <v>1297.0</v>
      </c>
      <c r="C18310" s="38" t="s">
        <v>22747</v>
      </c>
      <c r="D18310" s="38" t="str">
        <f>IFERROR(__xludf.DUMMYFUNCTION("REGEXREPLACE(C18310,""-\d+(.*)|--\d+(.*)"","""")"),"PIZAY")</f>
        <v>PIZAY</v>
      </c>
      <c r="E18310" s="38" t="s">
        <v>255</v>
      </c>
      <c r="F18310" s="38" t="s">
        <v>102</v>
      </c>
      <c r="G18310" s="49" t="str">
        <f t="shared" si="1"/>
        <v>01120</v>
      </c>
      <c r="H18310" s="49" t="str">
        <f t="shared" si="2"/>
        <v>01297</v>
      </c>
    </row>
    <row r="18311">
      <c r="A18311" s="48" t="s">
        <v>2666</v>
      </c>
      <c r="B18311" s="38">
        <v>34153.0</v>
      </c>
      <c r="C18311" s="38" t="s">
        <v>22748</v>
      </c>
      <c r="D18311" s="38" t="str">
        <f>IFERROR(__xludf.DUMMYFUNCTION("REGEXREPLACE(C18311,""-\d+(.*)|--\d+(.*)"","""")"),"LES MATELLES")</f>
        <v>LES MATELLES</v>
      </c>
      <c r="E18311" s="38" t="s">
        <v>118</v>
      </c>
      <c r="F18311" s="38" t="s">
        <v>119</v>
      </c>
      <c r="G18311" s="49" t="str">
        <f t="shared" si="1"/>
        <v>34270</v>
      </c>
      <c r="H18311" s="49">
        <f t="shared" si="2"/>
        <v>34153</v>
      </c>
    </row>
    <row r="18312">
      <c r="A18312" s="48" t="s">
        <v>11199</v>
      </c>
      <c r="B18312" s="38">
        <v>31282.0</v>
      </c>
      <c r="C18312" s="38" t="s">
        <v>22749</v>
      </c>
      <c r="D18312" s="38" t="str">
        <f>IFERROR(__xludf.DUMMYFUNCTION("REGEXREPLACE(C18312,""-\d+(.*)|--\d+(.*)"","""")"),"LAUNAGUET")</f>
        <v>LAUNAGUET</v>
      </c>
      <c r="E18312" s="38" t="s">
        <v>93</v>
      </c>
      <c r="F18312" s="38" t="s">
        <v>94</v>
      </c>
      <c r="G18312" s="49" t="str">
        <f t="shared" si="1"/>
        <v>31140</v>
      </c>
      <c r="H18312" s="49">
        <f t="shared" si="2"/>
        <v>31282</v>
      </c>
    </row>
    <row r="18313">
      <c r="A18313" s="48" t="s">
        <v>22750</v>
      </c>
      <c r="B18313" s="38">
        <v>60513.0</v>
      </c>
      <c r="C18313" s="38" t="s">
        <v>22751</v>
      </c>
      <c r="D18313" s="38" t="str">
        <f>IFERROR(__xludf.DUMMYFUNCTION("REGEXREPLACE(C18313,""-\d+(.*)|--\d+(.*)"","""")"),"PRECY-SUR-OISE")</f>
        <v>PRECY-SUR-OISE</v>
      </c>
      <c r="E18313" s="38" t="s">
        <v>112</v>
      </c>
      <c r="F18313" s="38" t="s">
        <v>113</v>
      </c>
      <c r="G18313" s="49" t="str">
        <f t="shared" si="1"/>
        <v>60460</v>
      </c>
      <c r="H18313" s="49">
        <f t="shared" si="2"/>
        <v>60513</v>
      </c>
    </row>
    <row r="18314">
      <c r="A18314" s="48" t="s">
        <v>2668</v>
      </c>
      <c r="B18314" s="38">
        <v>55469.0</v>
      </c>
      <c r="C18314" s="38" t="s">
        <v>22752</v>
      </c>
      <c r="D18314" s="38" t="str">
        <f>IFERROR(__xludf.DUMMYFUNCTION("REGEXREPLACE(C18314,""-\d+(.*)|--\d+(.*)"","""")"),"SASSEY-SUR-MEUSE")</f>
        <v>SASSEY-SUR-MEUSE</v>
      </c>
      <c r="E18314" s="38" t="s">
        <v>322</v>
      </c>
      <c r="F18314" s="38" t="s">
        <v>195</v>
      </c>
      <c r="G18314" s="49" t="str">
        <f t="shared" si="1"/>
        <v>55110</v>
      </c>
      <c r="H18314" s="49">
        <f t="shared" si="2"/>
        <v>55469</v>
      </c>
    </row>
    <row r="18315">
      <c r="A18315" s="48" t="s">
        <v>665</v>
      </c>
      <c r="B18315" s="38">
        <v>76557.0</v>
      </c>
      <c r="C18315" s="38" t="s">
        <v>4913</v>
      </c>
      <c r="D18315" s="38" t="str">
        <f>IFERROR(__xludf.DUMMYFUNCTION("REGEXREPLACE(C18315,""-\d+(.*)|--\d+(.*)"","""")"),"SAINT-ARNOULT")</f>
        <v>SAINT-ARNOULT</v>
      </c>
      <c r="E18315" s="38" t="s">
        <v>133</v>
      </c>
      <c r="F18315" s="38" t="s">
        <v>134</v>
      </c>
      <c r="G18315" s="49" t="str">
        <f t="shared" si="1"/>
        <v>76490</v>
      </c>
      <c r="H18315" s="49">
        <f t="shared" si="2"/>
        <v>76557</v>
      </c>
    </row>
    <row r="18316">
      <c r="A18316" s="48" t="s">
        <v>2126</v>
      </c>
      <c r="B18316" s="38">
        <v>59265.0</v>
      </c>
      <c r="C18316" s="38" t="s">
        <v>22753</v>
      </c>
      <c r="D18316" s="38" t="str">
        <f>IFERROR(__xludf.DUMMYFUNCTION("REGEXREPLACE(C18316,""-\d+(.*)|--\d+(.*)"","""")"),"GOMMEGNIES")</f>
        <v>GOMMEGNIES</v>
      </c>
      <c r="E18316" s="38" t="s">
        <v>85</v>
      </c>
      <c r="F18316" s="38" t="s">
        <v>86</v>
      </c>
      <c r="G18316" s="49" t="str">
        <f t="shared" si="1"/>
        <v>59144</v>
      </c>
      <c r="H18316" s="49">
        <f t="shared" si="2"/>
        <v>59265</v>
      </c>
    </row>
    <row r="18317">
      <c r="A18317" s="48" t="s">
        <v>7926</v>
      </c>
      <c r="B18317" s="38">
        <v>71304.0</v>
      </c>
      <c r="C18317" s="38" t="s">
        <v>22754</v>
      </c>
      <c r="D18317" s="38" t="str">
        <f>IFERROR(__xludf.DUMMYFUNCTION("REGEXREPLACE(C18317,""-\d+(.*)|--\d+(.*)"","""")"),"MONTAGNY-SUR-GROSNE")</f>
        <v>MONTAGNY-SUR-GROSNE</v>
      </c>
      <c r="E18317" s="38" t="s">
        <v>344</v>
      </c>
      <c r="F18317" s="38" t="s">
        <v>106</v>
      </c>
      <c r="G18317" s="49" t="str">
        <f t="shared" si="1"/>
        <v>71520</v>
      </c>
      <c r="H18317" s="49">
        <f t="shared" si="2"/>
        <v>71304</v>
      </c>
    </row>
    <row r="18318">
      <c r="A18318" s="48" t="s">
        <v>628</v>
      </c>
      <c r="B18318" s="38">
        <v>45068.0</v>
      </c>
      <c r="C18318" s="38" t="s">
        <v>22755</v>
      </c>
      <c r="D18318" s="38" t="str">
        <f>IFERROR(__xludf.DUMMYFUNCTION("REGEXREPLACE(C18318,""-\d+(.*)|--\d+(.*)"","""")"),"CHALETTE-SUR-LOING")</f>
        <v>CHALETTE-SUR-LOING</v>
      </c>
      <c r="E18318" s="38" t="s">
        <v>122</v>
      </c>
      <c r="F18318" s="38" t="s">
        <v>123</v>
      </c>
      <c r="G18318" s="49" t="str">
        <f t="shared" si="1"/>
        <v>45120</v>
      </c>
      <c r="H18318" s="49">
        <f t="shared" si="2"/>
        <v>45068</v>
      </c>
    </row>
    <row r="18319">
      <c r="A18319" s="48" t="s">
        <v>13197</v>
      </c>
      <c r="B18319" s="38">
        <v>91132.0</v>
      </c>
      <c r="C18319" s="38" t="s">
        <v>22756</v>
      </c>
      <c r="D18319" s="38" t="str">
        <f>IFERROR(__xludf.DUMMYFUNCTION("REGEXREPLACE(C18319,""-\d+(.*)|--\d+(.*)"","""")"),"CHAMARANDE")</f>
        <v>CHAMARANDE</v>
      </c>
      <c r="E18319" s="38" t="s">
        <v>756</v>
      </c>
      <c r="F18319" s="38" t="s">
        <v>245</v>
      </c>
      <c r="G18319" s="49" t="str">
        <f t="shared" si="1"/>
        <v>91730</v>
      </c>
      <c r="H18319" s="49">
        <f t="shared" si="2"/>
        <v>91132</v>
      </c>
    </row>
    <row r="18320">
      <c r="A18320" s="48" t="s">
        <v>14381</v>
      </c>
      <c r="B18320" s="38">
        <v>57351.0</v>
      </c>
      <c r="C18320" s="38" t="s">
        <v>22757</v>
      </c>
      <c r="D18320" s="38" t="str">
        <f>IFERROR(__xludf.DUMMYFUNCTION("REGEXREPLACE(C18320,""-\d+(.*)|--\d+(.*)"","""")"),"JURY")</f>
        <v>JURY</v>
      </c>
      <c r="E18320" s="38" t="s">
        <v>303</v>
      </c>
      <c r="F18320" s="38" t="s">
        <v>195</v>
      </c>
      <c r="G18320" s="49" t="str">
        <f t="shared" si="1"/>
        <v>57245</v>
      </c>
      <c r="H18320" s="49">
        <f t="shared" si="2"/>
        <v>57351</v>
      </c>
    </row>
    <row r="18321">
      <c r="A18321" s="48" t="s">
        <v>1124</v>
      </c>
      <c r="B18321" s="38">
        <v>61378.0</v>
      </c>
      <c r="C18321" s="38" t="s">
        <v>22758</v>
      </c>
      <c r="D18321" s="38" t="str">
        <f>IFERROR(__xludf.DUMMYFUNCTION("REGEXREPLACE(C18321,""-\d+(.*)|--\d+(.*)"","""")"),"SAINTE-CROIX-SUR-ORNE")</f>
        <v>SAINTE-CROIX-SUR-ORNE</v>
      </c>
      <c r="E18321" s="38" t="s">
        <v>141</v>
      </c>
      <c r="F18321" s="38" t="s">
        <v>138</v>
      </c>
      <c r="G18321" s="49" t="str">
        <f t="shared" si="1"/>
        <v>61210</v>
      </c>
      <c r="H18321" s="49">
        <f t="shared" si="2"/>
        <v>61378</v>
      </c>
    </row>
    <row r="18322">
      <c r="A18322" s="48" t="s">
        <v>4895</v>
      </c>
      <c r="B18322" s="38">
        <v>34027.0</v>
      </c>
      <c r="C18322" s="38" t="s">
        <v>867</v>
      </c>
      <c r="D18322" s="38" t="str">
        <f>IFERROR(__xludf.DUMMYFUNCTION("REGEXREPLACE(C18322,""-\d+(.*)|--\d+(.*)"","""")"),"BEAULIEU")</f>
        <v>BEAULIEU</v>
      </c>
      <c r="E18322" s="38" t="s">
        <v>118</v>
      </c>
      <c r="F18322" s="38" t="s">
        <v>119</v>
      </c>
      <c r="G18322" s="49" t="str">
        <f t="shared" si="1"/>
        <v>34160</v>
      </c>
      <c r="H18322" s="49">
        <f t="shared" si="2"/>
        <v>34027</v>
      </c>
    </row>
    <row r="18323">
      <c r="A18323" s="48" t="s">
        <v>8698</v>
      </c>
      <c r="B18323" s="38">
        <v>11080.0</v>
      </c>
      <c r="C18323" s="38" t="s">
        <v>22759</v>
      </c>
      <c r="D18323" s="38" t="str">
        <f>IFERROR(__xludf.DUMMYFUNCTION("REGEXREPLACE(C18323,""-\d+(.*)|--\d+(.*)"","""")"),"CAUDEVAL")</f>
        <v>CAUDEVAL</v>
      </c>
      <c r="E18323" s="38" t="s">
        <v>278</v>
      </c>
      <c r="F18323" s="38" t="s">
        <v>119</v>
      </c>
      <c r="G18323" s="49" t="str">
        <f t="shared" si="1"/>
        <v>11230</v>
      </c>
      <c r="H18323" s="49">
        <f t="shared" si="2"/>
        <v>11080</v>
      </c>
    </row>
    <row r="18324">
      <c r="A18324" s="48" t="s">
        <v>4665</v>
      </c>
      <c r="B18324" s="38">
        <v>16163.0</v>
      </c>
      <c r="C18324" s="38" t="s">
        <v>22760</v>
      </c>
      <c r="D18324" s="38" t="str">
        <f>IFERROR(__xludf.DUMMYFUNCTION("REGEXREPLACE(C18324,""-\d+(.*)|--\d+(.*)"","""")"),"HIERSAC")</f>
        <v>HIERSAC</v>
      </c>
      <c r="E18324" s="38" t="s">
        <v>429</v>
      </c>
      <c r="F18324" s="38" t="s">
        <v>338</v>
      </c>
      <c r="G18324" s="49" t="str">
        <f t="shared" si="1"/>
        <v>16290</v>
      </c>
      <c r="H18324" s="49">
        <f t="shared" si="2"/>
        <v>16163</v>
      </c>
    </row>
    <row r="18325">
      <c r="A18325" s="48" t="s">
        <v>12258</v>
      </c>
      <c r="B18325" s="38">
        <v>69173.0</v>
      </c>
      <c r="C18325" s="38" t="s">
        <v>22761</v>
      </c>
      <c r="D18325" s="38" t="str">
        <f>IFERROR(__xludf.DUMMYFUNCTION("REGEXREPLACE(C18325,""-\d+(.*)|--\d+(.*)"","""")"),"SARCEY")</f>
        <v>SARCEY</v>
      </c>
      <c r="E18325" s="38" t="s">
        <v>350</v>
      </c>
      <c r="F18325" s="38" t="s">
        <v>102</v>
      </c>
      <c r="G18325" s="49" t="str">
        <f t="shared" si="1"/>
        <v>69490</v>
      </c>
      <c r="H18325" s="49">
        <f t="shared" si="2"/>
        <v>69173</v>
      </c>
    </row>
    <row r="18326">
      <c r="A18326" s="48" t="s">
        <v>9018</v>
      </c>
      <c r="B18326" s="38">
        <v>27517.0</v>
      </c>
      <c r="C18326" s="38" t="s">
        <v>22762</v>
      </c>
      <c r="D18326" s="38" t="str">
        <f>IFERROR(__xludf.DUMMYFUNCTION("REGEXREPLACE(C18326,""-\d+(.*)|--\d+(.*)"","""")"),"SAINT-AUBIN-SUR-GAILLON")</f>
        <v>SAINT-AUBIN-SUR-GAILLON</v>
      </c>
      <c r="E18326" s="38" t="s">
        <v>241</v>
      </c>
      <c r="F18326" s="38" t="s">
        <v>134</v>
      </c>
      <c r="G18326" s="49" t="str">
        <f t="shared" si="1"/>
        <v>27600</v>
      </c>
      <c r="H18326" s="49">
        <f t="shared" si="2"/>
        <v>27517</v>
      </c>
    </row>
    <row r="18327">
      <c r="A18327" s="48" t="s">
        <v>912</v>
      </c>
      <c r="B18327" s="38">
        <v>82120.0</v>
      </c>
      <c r="C18327" s="38" t="s">
        <v>22763</v>
      </c>
      <c r="D18327" s="38" t="str">
        <f>IFERROR(__xludf.DUMMYFUNCTION("REGEXREPLACE(C18327,""-\d+(.*)|--\d+(.*)"","""")"),"MONTASTRUC")</f>
        <v>MONTASTRUC</v>
      </c>
      <c r="E18327" s="38" t="s">
        <v>570</v>
      </c>
      <c r="F18327" s="38" t="s">
        <v>94</v>
      </c>
      <c r="G18327" s="49" t="str">
        <f t="shared" si="1"/>
        <v>82130</v>
      </c>
      <c r="H18327" s="49">
        <f t="shared" si="2"/>
        <v>82120</v>
      </c>
    </row>
    <row r="18328">
      <c r="A18328" s="48" t="s">
        <v>6023</v>
      </c>
      <c r="B18328" s="38">
        <v>63150.0</v>
      </c>
      <c r="C18328" s="38" t="s">
        <v>22764</v>
      </c>
      <c r="D18328" s="38" t="str">
        <f>IFERROR(__xludf.DUMMYFUNCTION("REGEXREPLACE(C18328,""-\d+(.*)|--\d+(.*)"","""")"),"ENVAL")</f>
        <v>ENVAL</v>
      </c>
      <c r="E18328" s="38" t="s">
        <v>353</v>
      </c>
      <c r="F18328" s="38" t="s">
        <v>161</v>
      </c>
      <c r="G18328" s="49" t="str">
        <f t="shared" si="1"/>
        <v>63530</v>
      </c>
      <c r="H18328" s="49">
        <f t="shared" si="2"/>
        <v>63150</v>
      </c>
    </row>
    <row r="18329">
      <c r="A18329" s="48" t="s">
        <v>8945</v>
      </c>
      <c r="B18329" s="38">
        <v>72278.0</v>
      </c>
      <c r="C18329" s="38" t="s">
        <v>22765</v>
      </c>
      <c r="D18329" s="38" t="str">
        <f>IFERROR(__xludf.DUMMYFUNCTION("REGEXREPLACE(C18329,""-\d+(.*)|--\d+(.*)"","""")"),"SAINT-DENIS-D'ORQUES")</f>
        <v>SAINT-DENIS-D'ORQUES</v>
      </c>
      <c r="E18329" s="38" t="s">
        <v>521</v>
      </c>
      <c r="F18329" s="38" t="s">
        <v>180</v>
      </c>
      <c r="G18329" s="49" t="str">
        <f t="shared" si="1"/>
        <v>72350</v>
      </c>
      <c r="H18329" s="49">
        <f t="shared" si="2"/>
        <v>72278</v>
      </c>
    </row>
    <row r="18330">
      <c r="A18330" s="48" t="s">
        <v>22766</v>
      </c>
      <c r="B18330" s="38">
        <v>29022.0</v>
      </c>
      <c r="C18330" s="38" t="s">
        <v>22767</v>
      </c>
      <c r="D18330" s="38" t="str">
        <f>IFERROR(__xludf.DUMMYFUNCTION("REGEXREPLACE(C18330,""-\d+(.*)|--\d+(.*)"","""")"),"CAMARET-SUR-MER")</f>
        <v>CAMARET-SUR-MER</v>
      </c>
      <c r="E18330" s="38" t="s">
        <v>176</v>
      </c>
      <c r="F18330" s="38" t="s">
        <v>90</v>
      </c>
      <c r="G18330" s="49" t="str">
        <f t="shared" si="1"/>
        <v>29570</v>
      </c>
      <c r="H18330" s="49">
        <f t="shared" si="2"/>
        <v>29022</v>
      </c>
    </row>
    <row r="18331">
      <c r="A18331" s="48" t="s">
        <v>8510</v>
      </c>
      <c r="B18331" s="38">
        <v>39260.0</v>
      </c>
      <c r="C18331" s="38" t="s">
        <v>22768</v>
      </c>
      <c r="D18331" s="38" t="str">
        <f>IFERROR(__xludf.DUMMYFUNCTION("REGEXREPLACE(C18331,""-\d+(.*)|--\d+(.*)"","""")"),"GRANGES-SUR-BAUME")</f>
        <v>GRANGES-SUR-BAUME</v>
      </c>
      <c r="E18331" s="38" t="s">
        <v>400</v>
      </c>
      <c r="F18331" s="38" t="s">
        <v>214</v>
      </c>
      <c r="G18331" s="49" t="str">
        <f t="shared" si="1"/>
        <v>39210</v>
      </c>
      <c r="H18331" s="49">
        <f t="shared" si="2"/>
        <v>39260</v>
      </c>
    </row>
    <row r="18332">
      <c r="A18332" s="48" t="s">
        <v>9118</v>
      </c>
      <c r="B18332" s="38">
        <v>60066.0</v>
      </c>
      <c r="C18332" s="38" t="s">
        <v>22769</v>
      </c>
      <c r="D18332" s="38" t="str">
        <f>IFERROR(__xludf.DUMMYFUNCTION("REGEXREPLACE(C18332,""-\d+(.*)|--\d+(.*)"","""")"),"BETHANCOURT-EN-VALOIS")</f>
        <v>BETHANCOURT-EN-VALOIS</v>
      </c>
      <c r="E18332" s="38" t="s">
        <v>112</v>
      </c>
      <c r="F18332" s="38" t="s">
        <v>113</v>
      </c>
      <c r="G18332" s="49" t="str">
        <f t="shared" si="1"/>
        <v>60129</v>
      </c>
      <c r="H18332" s="49">
        <f t="shared" si="2"/>
        <v>60066</v>
      </c>
    </row>
    <row r="18333">
      <c r="A18333" s="48" t="s">
        <v>2788</v>
      </c>
      <c r="B18333" s="38">
        <v>35243.0</v>
      </c>
      <c r="C18333" s="38" t="s">
        <v>22770</v>
      </c>
      <c r="D18333" s="38" t="str">
        <f>IFERROR(__xludf.DUMMYFUNCTION("REGEXREPLACE(C18333,""-\d+(.*)|--\d+(.*)"","""")"),"ROMAGNE")</f>
        <v>ROMAGNE</v>
      </c>
      <c r="E18333" s="38" t="s">
        <v>347</v>
      </c>
      <c r="F18333" s="38" t="s">
        <v>90</v>
      </c>
      <c r="G18333" s="49" t="str">
        <f t="shared" si="1"/>
        <v>35133</v>
      </c>
      <c r="H18333" s="49">
        <f t="shared" si="2"/>
        <v>35243</v>
      </c>
    </row>
    <row r="18334">
      <c r="A18334" s="48" t="s">
        <v>1110</v>
      </c>
      <c r="B18334" s="38">
        <v>50034.0</v>
      </c>
      <c r="C18334" s="38" t="s">
        <v>22771</v>
      </c>
      <c r="D18334" s="38" t="str">
        <f>IFERROR(__xludf.DUMMYFUNCTION("REGEXREPLACE(C18334,""-\d+(.*)|--\d+(.*)"","""")"),"BAUDRE")</f>
        <v>BAUDRE</v>
      </c>
      <c r="E18334" s="38" t="s">
        <v>157</v>
      </c>
      <c r="F18334" s="38" t="s">
        <v>138</v>
      </c>
      <c r="G18334" s="49" t="str">
        <f t="shared" si="1"/>
        <v>50000</v>
      </c>
      <c r="H18334" s="49">
        <f t="shared" si="2"/>
        <v>50034</v>
      </c>
    </row>
    <row r="18335">
      <c r="A18335" s="48" t="s">
        <v>736</v>
      </c>
      <c r="B18335" s="38">
        <v>57655.0</v>
      </c>
      <c r="C18335" s="38" t="s">
        <v>22772</v>
      </c>
      <c r="D18335" s="38" t="str">
        <f>IFERROR(__xludf.DUMMYFUNCTION("REGEXREPLACE(C18335,""-\d+(.*)|--\d+(.*)"","""")"),"SOLGNE")</f>
        <v>SOLGNE</v>
      </c>
      <c r="E18335" s="38" t="s">
        <v>303</v>
      </c>
      <c r="F18335" s="38" t="s">
        <v>195</v>
      </c>
      <c r="G18335" s="49" t="str">
        <f t="shared" si="1"/>
        <v>57420</v>
      </c>
      <c r="H18335" s="49">
        <f t="shared" si="2"/>
        <v>57655</v>
      </c>
    </row>
    <row r="18336">
      <c r="A18336" s="48" t="s">
        <v>2694</v>
      </c>
      <c r="B18336" s="38" t="s">
        <v>22773</v>
      </c>
      <c r="C18336" s="38" t="s">
        <v>22774</v>
      </c>
      <c r="D18336" s="38" t="str">
        <f>IFERROR(__xludf.DUMMYFUNCTION("REGEXREPLACE(C18336,""-\d+(.*)|--\d+(.*)"","""")"),"SOLARO")</f>
        <v>SOLARO</v>
      </c>
      <c r="E18336" s="38" t="s">
        <v>743</v>
      </c>
      <c r="F18336" s="38" t="s">
        <v>607</v>
      </c>
      <c r="G18336" s="49" t="str">
        <f t="shared" si="1"/>
        <v>20240</v>
      </c>
      <c r="H18336" s="49" t="str">
        <f t="shared" si="2"/>
        <v>2B283</v>
      </c>
    </row>
    <row r="18337">
      <c r="A18337" s="48" t="s">
        <v>6728</v>
      </c>
      <c r="B18337" s="38">
        <v>89184.0</v>
      </c>
      <c r="C18337" s="38" t="s">
        <v>22775</v>
      </c>
      <c r="D18337" s="38" t="str">
        <f>IFERROR(__xludf.DUMMYFUNCTION("REGEXREPLACE(C18337,""-\d+(.*)|--\d+(.*)"","""")"),"FULVY")</f>
        <v>FULVY</v>
      </c>
      <c r="E18337" s="38" t="s">
        <v>275</v>
      </c>
      <c r="F18337" s="38" t="s">
        <v>106</v>
      </c>
      <c r="G18337" s="49" t="str">
        <f t="shared" si="1"/>
        <v>89160</v>
      </c>
      <c r="H18337" s="49">
        <f t="shared" si="2"/>
        <v>89184</v>
      </c>
    </row>
    <row r="18338">
      <c r="A18338" s="48" t="s">
        <v>6019</v>
      </c>
      <c r="B18338" s="38">
        <v>39361.0</v>
      </c>
      <c r="C18338" s="38" t="s">
        <v>22776</v>
      </c>
      <c r="D18338" s="38" t="str">
        <f>IFERROR(__xludf.DUMMYFUNCTION("REGEXREPLACE(C18338,""-\d+(.*)|--\d+(.*)"","""")"),"MONTMIREY-LE-CHATEAU")</f>
        <v>MONTMIREY-LE-CHATEAU</v>
      </c>
      <c r="E18338" s="38" t="s">
        <v>400</v>
      </c>
      <c r="F18338" s="38" t="s">
        <v>214</v>
      </c>
      <c r="G18338" s="49" t="str">
        <f t="shared" si="1"/>
        <v>39290</v>
      </c>
      <c r="H18338" s="49">
        <f t="shared" si="2"/>
        <v>39361</v>
      </c>
    </row>
    <row r="18339">
      <c r="A18339" s="48" t="s">
        <v>1630</v>
      </c>
      <c r="B18339" s="38">
        <v>57311.0</v>
      </c>
      <c r="C18339" s="38" t="s">
        <v>22777</v>
      </c>
      <c r="D18339" s="38" t="str">
        <f>IFERROR(__xludf.DUMMYFUNCTION("REGEXREPLACE(C18339,""-\d+(.*)|--\d+(.*)"","""")"),"HELLIMER")</f>
        <v>HELLIMER</v>
      </c>
      <c r="E18339" s="38" t="s">
        <v>303</v>
      </c>
      <c r="F18339" s="38" t="s">
        <v>195</v>
      </c>
      <c r="G18339" s="49" t="str">
        <f t="shared" si="1"/>
        <v>57660</v>
      </c>
      <c r="H18339" s="49">
        <f t="shared" si="2"/>
        <v>57311</v>
      </c>
    </row>
    <row r="18340">
      <c r="A18340" s="48" t="s">
        <v>1821</v>
      </c>
      <c r="B18340" s="38">
        <v>3166.0</v>
      </c>
      <c r="C18340" s="38" t="s">
        <v>22778</v>
      </c>
      <c r="D18340" s="38" t="str">
        <f>IFERROR(__xludf.DUMMYFUNCTION("REGEXREPLACE(C18340,""-\d+(.*)|--\d+(.*)"","""")"),"MAZERIER")</f>
        <v>MAZERIER</v>
      </c>
      <c r="E18340" s="38" t="s">
        <v>160</v>
      </c>
      <c r="F18340" s="38" t="s">
        <v>161</v>
      </c>
      <c r="G18340" s="49" t="str">
        <f t="shared" si="1"/>
        <v>03800</v>
      </c>
      <c r="H18340" s="49" t="str">
        <f t="shared" si="2"/>
        <v>03166</v>
      </c>
    </row>
    <row r="18341">
      <c r="A18341" s="48" t="s">
        <v>5483</v>
      </c>
      <c r="B18341" s="38">
        <v>58120.0</v>
      </c>
      <c r="C18341" s="38" t="s">
        <v>22779</v>
      </c>
      <c r="D18341" s="38" t="str">
        <f>IFERROR(__xludf.DUMMYFUNCTION("REGEXREPLACE(C18341,""-\d+(.*)|--\d+(.*)"","""")"),"GACOGNE")</f>
        <v>GACOGNE</v>
      </c>
      <c r="E18341" s="38" t="s">
        <v>219</v>
      </c>
      <c r="F18341" s="38" t="s">
        <v>106</v>
      </c>
      <c r="G18341" s="49" t="str">
        <f t="shared" si="1"/>
        <v>58140</v>
      </c>
      <c r="H18341" s="49">
        <f t="shared" si="2"/>
        <v>58120</v>
      </c>
    </row>
    <row r="18342">
      <c r="A18342" s="48" t="s">
        <v>8808</v>
      </c>
      <c r="B18342" s="38">
        <v>44061.0</v>
      </c>
      <c r="C18342" s="38" t="s">
        <v>22780</v>
      </c>
      <c r="D18342" s="38" t="str">
        <f>IFERROR(__xludf.DUMMYFUNCTION("REGEXREPLACE(C18342,""-\d+(.*)|--\d+(.*)"","""")"),"FROSSAY")</f>
        <v>FROSSAY</v>
      </c>
      <c r="E18342" s="38" t="s">
        <v>759</v>
      </c>
      <c r="F18342" s="38" t="s">
        <v>180</v>
      </c>
      <c r="G18342" s="49" t="str">
        <f t="shared" si="1"/>
        <v>44320</v>
      </c>
      <c r="H18342" s="49">
        <f t="shared" si="2"/>
        <v>44061</v>
      </c>
    </row>
    <row r="18343">
      <c r="A18343" s="48" t="s">
        <v>5250</v>
      </c>
      <c r="B18343" s="38">
        <v>27657.0</v>
      </c>
      <c r="C18343" s="38" t="s">
        <v>22781</v>
      </c>
      <c r="D18343" s="38" t="str">
        <f>IFERROR(__xludf.DUMMYFUNCTION("REGEXREPLACE(C18343,""-\d+(.*)|--\d+(.*)"","""")"),"TOUVILLE")</f>
        <v>TOUVILLE</v>
      </c>
      <c r="E18343" s="38" t="s">
        <v>241</v>
      </c>
      <c r="F18343" s="38" t="s">
        <v>134</v>
      </c>
      <c r="G18343" s="49" t="str">
        <f t="shared" si="1"/>
        <v>27290</v>
      </c>
      <c r="H18343" s="49">
        <f t="shared" si="2"/>
        <v>27657</v>
      </c>
    </row>
    <row r="18344">
      <c r="A18344" s="48" t="s">
        <v>771</v>
      </c>
      <c r="B18344" s="38">
        <v>60499.0</v>
      </c>
      <c r="C18344" s="38" t="s">
        <v>22782</v>
      </c>
      <c r="D18344" s="38" t="str">
        <f>IFERROR(__xludf.DUMMYFUNCTION("REGEXREPLACE(C18344,""-\d+(.*)|--\d+(.*)"","""")"),"PLESSIS-DE-ROYE")</f>
        <v>PLESSIS-DE-ROYE</v>
      </c>
      <c r="E18344" s="38" t="s">
        <v>112</v>
      </c>
      <c r="F18344" s="38" t="s">
        <v>113</v>
      </c>
      <c r="G18344" s="49" t="str">
        <f t="shared" si="1"/>
        <v>60310</v>
      </c>
      <c r="H18344" s="49">
        <f t="shared" si="2"/>
        <v>60499</v>
      </c>
    </row>
    <row r="18345">
      <c r="A18345" s="48" t="s">
        <v>5806</v>
      </c>
      <c r="B18345" s="38">
        <v>39013.0</v>
      </c>
      <c r="C18345" s="38" t="s">
        <v>22783</v>
      </c>
      <c r="D18345" s="38" t="str">
        <f>IFERROR(__xludf.DUMMYFUNCTION("REGEXREPLACE(C18345,""-\d+(.*)|--\d+(.*)"","""")"),"ARBOIS")</f>
        <v>ARBOIS</v>
      </c>
      <c r="E18345" s="38" t="s">
        <v>400</v>
      </c>
      <c r="F18345" s="38" t="s">
        <v>214</v>
      </c>
      <c r="G18345" s="49" t="str">
        <f t="shared" si="1"/>
        <v>39600</v>
      </c>
      <c r="H18345" s="49">
        <f t="shared" si="2"/>
        <v>39013</v>
      </c>
    </row>
    <row r="18346">
      <c r="A18346" s="48" t="s">
        <v>217</v>
      </c>
      <c r="B18346" s="38">
        <v>58203.0</v>
      </c>
      <c r="C18346" s="38" t="s">
        <v>22784</v>
      </c>
      <c r="D18346" s="38" t="str">
        <f>IFERROR(__xludf.DUMMYFUNCTION("REGEXREPLACE(C18346,""-\d+(.*)|--\d+(.*)"","""")"),"OULON")</f>
        <v>OULON</v>
      </c>
      <c r="E18346" s="38" t="s">
        <v>219</v>
      </c>
      <c r="F18346" s="38" t="s">
        <v>106</v>
      </c>
      <c r="G18346" s="49" t="str">
        <f t="shared" si="1"/>
        <v>58700</v>
      </c>
      <c r="H18346" s="49">
        <f t="shared" si="2"/>
        <v>58203</v>
      </c>
    </row>
    <row r="18347">
      <c r="A18347" s="48" t="s">
        <v>9602</v>
      </c>
      <c r="B18347" s="38">
        <v>72314.0</v>
      </c>
      <c r="C18347" s="38" t="s">
        <v>22785</v>
      </c>
      <c r="D18347" s="38" t="str">
        <f>IFERROR(__xludf.DUMMYFUNCTION("REGEXREPLACE(C18347,""-\d+(.*)|--\d+(.*)"","""")"),"SAINT-PIERRE-DU-LOROUER")</f>
        <v>SAINT-PIERRE-DU-LOROUER</v>
      </c>
      <c r="E18347" s="38" t="s">
        <v>521</v>
      </c>
      <c r="F18347" s="38" t="s">
        <v>180</v>
      </c>
      <c r="G18347" s="49" t="str">
        <f t="shared" si="1"/>
        <v>72150</v>
      </c>
      <c r="H18347" s="49">
        <f t="shared" si="2"/>
        <v>72314</v>
      </c>
    </row>
    <row r="18348">
      <c r="A18348" s="48" t="s">
        <v>6951</v>
      </c>
      <c r="B18348" s="38">
        <v>58262.0</v>
      </c>
      <c r="C18348" s="38" t="s">
        <v>22786</v>
      </c>
      <c r="D18348" s="38" t="str">
        <f>IFERROR(__xludf.DUMMYFUNCTION("REGEXREPLACE(C18348,""-\d+(.*)|--\d+(.*)"","""")"),"SAINT-PEREUSE")</f>
        <v>SAINT-PEREUSE</v>
      </c>
      <c r="E18348" s="38" t="s">
        <v>219</v>
      </c>
      <c r="F18348" s="38" t="s">
        <v>106</v>
      </c>
      <c r="G18348" s="49" t="str">
        <f t="shared" si="1"/>
        <v>58110</v>
      </c>
      <c r="H18348" s="49">
        <f t="shared" si="2"/>
        <v>58262</v>
      </c>
    </row>
    <row r="18349">
      <c r="A18349" s="48" t="s">
        <v>1408</v>
      </c>
      <c r="B18349" s="38">
        <v>88033.0</v>
      </c>
      <c r="C18349" s="38" t="s">
        <v>22787</v>
      </c>
      <c r="D18349" s="38" t="str">
        <f>IFERROR(__xludf.DUMMYFUNCTION("REGEXREPLACE(C18349,""-\d+(.*)|--\d+(.*)"","""")"),"BAN-DE-SAPT")</f>
        <v>BAN-DE-SAPT</v>
      </c>
      <c r="E18349" s="38" t="s">
        <v>194</v>
      </c>
      <c r="F18349" s="38" t="s">
        <v>195</v>
      </c>
      <c r="G18349" s="49" t="str">
        <f t="shared" si="1"/>
        <v>88210</v>
      </c>
      <c r="H18349" s="49">
        <f t="shared" si="2"/>
        <v>88033</v>
      </c>
    </row>
    <row r="18350">
      <c r="A18350" s="48" t="s">
        <v>6075</v>
      </c>
      <c r="B18350" s="38">
        <v>63376.0</v>
      </c>
      <c r="C18350" s="38" t="s">
        <v>22788</v>
      </c>
      <c r="D18350" s="38" t="str">
        <f>IFERROR(__xludf.DUMMYFUNCTION("REGEXREPLACE(C18350,""-\d+(.*)|--\d+(.*)"","""")"),"SAINT-MARTIN-D'OLLIERES")</f>
        <v>SAINT-MARTIN-D'OLLIERES</v>
      </c>
      <c r="E18350" s="38" t="s">
        <v>353</v>
      </c>
      <c r="F18350" s="38" t="s">
        <v>161</v>
      </c>
      <c r="G18350" s="49" t="str">
        <f t="shared" si="1"/>
        <v>63580</v>
      </c>
      <c r="H18350" s="49">
        <f t="shared" si="2"/>
        <v>63376</v>
      </c>
    </row>
    <row r="18351">
      <c r="A18351" s="48" t="s">
        <v>6781</v>
      </c>
      <c r="B18351" s="38">
        <v>56125.0</v>
      </c>
      <c r="C18351" s="38" t="s">
        <v>22789</v>
      </c>
      <c r="D18351" s="38" t="str">
        <f>IFERROR(__xludf.DUMMYFUNCTION("REGEXREPLACE(C18351,""-\d+(.*)|--\d+(.*)"","""")"),"MALGUENAC")</f>
        <v>MALGUENAC</v>
      </c>
      <c r="E18351" s="38" t="s">
        <v>173</v>
      </c>
      <c r="F18351" s="38" t="s">
        <v>90</v>
      </c>
      <c r="G18351" s="49" t="str">
        <f t="shared" si="1"/>
        <v>56300</v>
      </c>
      <c r="H18351" s="49">
        <f t="shared" si="2"/>
        <v>56125</v>
      </c>
    </row>
    <row r="18352">
      <c r="A18352" s="48" t="s">
        <v>22790</v>
      </c>
      <c r="B18352" s="38">
        <v>64255.0</v>
      </c>
      <c r="C18352" s="38" t="s">
        <v>22791</v>
      </c>
      <c r="D18352" s="38" t="str">
        <f>IFERROR(__xludf.DUMMYFUNCTION("REGEXREPLACE(C18352,""-\d+(.*)|--\d+(.*)"","""")"),"HALSOU")</f>
        <v>HALSOU</v>
      </c>
      <c r="E18352" s="38" t="s">
        <v>268</v>
      </c>
      <c r="F18352" s="38" t="s">
        <v>252</v>
      </c>
      <c r="G18352" s="49" t="str">
        <f t="shared" si="1"/>
        <v>64480</v>
      </c>
      <c r="H18352" s="49">
        <f t="shared" si="2"/>
        <v>64255</v>
      </c>
    </row>
    <row r="18353">
      <c r="A18353" s="48" t="s">
        <v>4557</v>
      </c>
      <c r="B18353" s="38">
        <v>46277.0</v>
      </c>
      <c r="C18353" s="38" t="s">
        <v>22792</v>
      </c>
      <c r="D18353" s="38" t="str">
        <f>IFERROR(__xludf.DUMMYFUNCTION("REGEXREPLACE(C18353,""-\d+(.*)|--\d+(.*)"","""")"),"SAINT-MARTIN-LE-REDON")</f>
        <v>SAINT-MARTIN-LE-REDON</v>
      </c>
      <c r="E18353" s="38" t="s">
        <v>185</v>
      </c>
      <c r="F18353" s="38" t="s">
        <v>94</v>
      </c>
      <c r="G18353" s="49" t="str">
        <f t="shared" si="1"/>
        <v>46700</v>
      </c>
      <c r="H18353" s="49">
        <f t="shared" si="2"/>
        <v>46277</v>
      </c>
    </row>
    <row r="18354">
      <c r="A18354" s="48" t="s">
        <v>1012</v>
      </c>
      <c r="B18354" s="38">
        <v>21280.0</v>
      </c>
      <c r="C18354" s="38" t="s">
        <v>22793</v>
      </c>
      <c r="D18354" s="38" t="str">
        <f>IFERROR(__xludf.DUMMYFUNCTION("REGEXREPLACE(C18354,""-\d+(.*)|--\d+(.*)"","""")"),"FONTANGY")</f>
        <v>FONTANGY</v>
      </c>
      <c r="E18354" s="38" t="s">
        <v>105</v>
      </c>
      <c r="F18354" s="38" t="s">
        <v>106</v>
      </c>
      <c r="G18354" s="49" t="str">
        <f t="shared" si="1"/>
        <v>21390</v>
      </c>
      <c r="H18354" s="49">
        <f t="shared" si="2"/>
        <v>21280</v>
      </c>
    </row>
    <row r="18355">
      <c r="A18355" s="48" t="s">
        <v>13126</v>
      </c>
      <c r="B18355" s="38">
        <v>62525.0</v>
      </c>
      <c r="C18355" s="38" t="s">
        <v>22794</v>
      </c>
      <c r="D18355" s="38" t="str">
        <f>IFERROR(__xludf.DUMMYFUNCTION("REGEXREPLACE(C18355,""-\d+(.*)|--\d+(.*)"","""")"),"LONGUENESSE")</f>
        <v>LONGUENESSE</v>
      </c>
      <c r="E18355" s="38" t="s">
        <v>109</v>
      </c>
      <c r="F18355" s="38" t="s">
        <v>86</v>
      </c>
      <c r="G18355" s="49" t="str">
        <f t="shared" si="1"/>
        <v>62219</v>
      </c>
      <c r="H18355" s="49">
        <f t="shared" si="2"/>
        <v>62525</v>
      </c>
    </row>
    <row r="18356">
      <c r="A18356" s="48" t="s">
        <v>7904</v>
      </c>
      <c r="B18356" s="38">
        <v>62162.0</v>
      </c>
      <c r="C18356" s="38" t="s">
        <v>22795</v>
      </c>
      <c r="D18356" s="38" t="str">
        <f>IFERROR(__xludf.DUMMYFUNCTION("REGEXREPLACE(C18356,""-\d+(.*)|--\d+(.*)"","""")"),"BOURECQ")</f>
        <v>BOURECQ</v>
      </c>
      <c r="E18356" s="38" t="s">
        <v>109</v>
      </c>
      <c r="F18356" s="38" t="s">
        <v>86</v>
      </c>
      <c r="G18356" s="49" t="str">
        <f t="shared" si="1"/>
        <v>62190</v>
      </c>
      <c r="H18356" s="49">
        <f t="shared" si="2"/>
        <v>62162</v>
      </c>
    </row>
    <row r="18357">
      <c r="A18357" s="48" t="s">
        <v>3022</v>
      </c>
      <c r="B18357" s="38">
        <v>14476.0</v>
      </c>
      <c r="C18357" s="38" t="s">
        <v>22796</v>
      </c>
      <c r="D18357" s="38" t="str">
        <f>IFERROR(__xludf.DUMMYFUNCTION("REGEXREPLACE(C18357,""-\d+(.*)|--\d+(.*)"","""")"),"OLENDON")</f>
        <v>OLENDON</v>
      </c>
      <c r="E18357" s="38" t="s">
        <v>137</v>
      </c>
      <c r="F18357" s="38" t="s">
        <v>138</v>
      </c>
      <c r="G18357" s="49" t="str">
        <f t="shared" si="1"/>
        <v>14170</v>
      </c>
      <c r="H18357" s="49">
        <f t="shared" si="2"/>
        <v>14476</v>
      </c>
    </row>
    <row r="18358">
      <c r="A18358" s="48" t="s">
        <v>7274</v>
      </c>
      <c r="B18358" s="38">
        <v>11028.0</v>
      </c>
      <c r="C18358" s="38" t="s">
        <v>22797</v>
      </c>
      <c r="D18358" s="38" t="str">
        <f>IFERROR(__xludf.DUMMYFUNCTION("REGEXREPLACE(C18358,""-\d+(.*)|--\d+(.*)"","""")"),"BELCAIRE")</f>
        <v>BELCAIRE</v>
      </c>
      <c r="E18358" s="38" t="s">
        <v>278</v>
      </c>
      <c r="F18358" s="38" t="s">
        <v>119</v>
      </c>
      <c r="G18358" s="49" t="str">
        <f t="shared" si="1"/>
        <v>11340</v>
      </c>
      <c r="H18358" s="49">
        <f t="shared" si="2"/>
        <v>11028</v>
      </c>
    </row>
    <row r="18359">
      <c r="A18359" s="48" t="s">
        <v>2766</v>
      </c>
      <c r="B18359" s="38">
        <v>2028.0</v>
      </c>
      <c r="C18359" s="38" t="s">
        <v>22798</v>
      </c>
      <c r="D18359" s="38" t="str">
        <f>IFERROR(__xludf.DUMMYFUNCTION("REGEXREPLACE(C18359,""-\d+(.*)|--\d+(.*)"","""")"),"ATHIES-SOUS-LAON")</f>
        <v>ATHIES-SOUS-LAON</v>
      </c>
      <c r="E18359" s="38" t="s">
        <v>191</v>
      </c>
      <c r="F18359" s="38" t="s">
        <v>113</v>
      </c>
      <c r="G18359" s="49" t="str">
        <f t="shared" si="1"/>
        <v>02840</v>
      </c>
      <c r="H18359" s="49" t="str">
        <f t="shared" si="2"/>
        <v>02028</v>
      </c>
    </row>
    <row r="18360">
      <c r="A18360" s="48" t="s">
        <v>9905</v>
      </c>
      <c r="B18360" s="38">
        <v>65154.0</v>
      </c>
      <c r="C18360" s="38" t="s">
        <v>22799</v>
      </c>
      <c r="D18360" s="38" t="str">
        <f>IFERROR(__xludf.DUMMYFUNCTION("REGEXREPLACE(C18360,""-\d+(.*)|--\d+(.*)"","""")"),"CRECHETS")</f>
        <v>CRECHETS</v>
      </c>
      <c r="E18360" s="38" t="s">
        <v>200</v>
      </c>
      <c r="F18360" s="38" t="s">
        <v>94</v>
      </c>
      <c r="G18360" s="49" t="str">
        <f t="shared" si="1"/>
        <v>65370</v>
      </c>
      <c r="H18360" s="49">
        <f t="shared" si="2"/>
        <v>65154</v>
      </c>
    </row>
    <row r="18361">
      <c r="A18361" s="48" t="s">
        <v>5648</v>
      </c>
      <c r="B18361" s="38">
        <v>76166.0</v>
      </c>
      <c r="C18361" s="38" t="s">
        <v>22800</v>
      </c>
      <c r="D18361" s="38" t="str">
        <f>IFERROR(__xludf.DUMMYFUNCTION("REGEXREPLACE(C18361,""-\d+(.*)|--\d+(.*)"","""")"),"LE CAULE-SAINTE-BEUVE")</f>
        <v>LE CAULE-SAINTE-BEUVE</v>
      </c>
      <c r="E18361" s="38" t="s">
        <v>133</v>
      </c>
      <c r="F18361" s="38" t="s">
        <v>134</v>
      </c>
      <c r="G18361" s="49" t="str">
        <f t="shared" si="1"/>
        <v>76390</v>
      </c>
      <c r="H18361" s="49">
        <f t="shared" si="2"/>
        <v>76166</v>
      </c>
    </row>
    <row r="18362">
      <c r="A18362" s="48" t="s">
        <v>2389</v>
      </c>
      <c r="B18362" s="38">
        <v>64242.0</v>
      </c>
      <c r="C18362" s="38" t="s">
        <v>22801</v>
      </c>
      <c r="D18362" s="38" t="str">
        <f>IFERROR(__xludf.DUMMYFUNCTION("REGEXREPLACE(C18362,""-\d+(.*)|--\d+(.*)"","""")"),"GESTAS")</f>
        <v>GESTAS</v>
      </c>
      <c r="E18362" s="38" t="s">
        <v>268</v>
      </c>
      <c r="F18362" s="38" t="s">
        <v>252</v>
      </c>
      <c r="G18362" s="49" t="str">
        <f t="shared" si="1"/>
        <v>64190</v>
      </c>
      <c r="H18362" s="49">
        <f t="shared" si="2"/>
        <v>64242</v>
      </c>
    </row>
    <row r="18363">
      <c r="A18363" s="48" t="s">
        <v>4728</v>
      </c>
      <c r="B18363" s="38">
        <v>37002.0</v>
      </c>
      <c r="C18363" s="38" t="s">
        <v>22802</v>
      </c>
      <c r="D18363" s="38" t="str">
        <f>IFERROR(__xludf.DUMMYFUNCTION("REGEXREPLACE(C18363,""-\d+(.*)|--\d+(.*)"","""")"),"AMBILLOU")</f>
        <v>AMBILLOU</v>
      </c>
      <c r="E18363" s="38" t="s">
        <v>205</v>
      </c>
      <c r="F18363" s="38" t="s">
        <v>123</v>
      </c>
      <c r="G18363" s="49" t="str">
        <f t="shared" si="1"/>
        <v>37340</v>
      </c>
      <c r="H18363" s="49">
        <f t="shared" si="2"/>
        <v>37002</v>
      </c>
    </row>
    <row r="18364">
      <c r="A18364" s="48" t="s">
        <v>576</v>
      </c>
      <c r="B18364" s="38">
        <v>54078.0</v>
      </c>
      <c r="C18364" s="38" t="s">
        <v>15131</v>
      </c>
      <c r="D18364" s="38" t="str">
        <f>IFERROR(__xludf.DUMMYFUNCTION("REGEXREPLACE(C18364,""-\d+(.*)|--\d+(.*)"","""")"),"BLEMEREY")</f>
        <v>BLEMEREY</v>
      </c>
      <c r="E18364" s="38" t="s">
        <v>548</v>
      </c>
      <c r="F18364" s="38" t="s">
        <v>195</v>
      </c>
      <c r="G18364" s="49" t="str">
        <f t="shared" si="1"/>
        <v>54450</v>
      </c>
      <c r="H18364" s="49">
        <f t="shared" si="2"/>
        <v>54078</v>
      </c>
    </row>
    <row r="18365">
      <c r="A18365" s="48" t="s">
        <v>15194</v>
      </c>
      <c r="B18365" s="38">
        <v>24019.0</v>
      </c>
      <c r="C18365" s="38" t="s">
        <v>22803</v>
      </c>
      <c r="D18365" s="38" t="str">
        <f>IFERROR(__xludf.DUMMYFUNCTION("REGEXREPLACE(C18365,""-\d+(.*)|--\d+(.*)"","""")"),"AZERAT")</f>
        <v>AZERAT</v>
      </c>
      <c r="E18365" s="38" t="s">
        <v>261</v>
      </c>
      <c r="F18365" s="38" t="s">
        <v>252</v>
      </c>
      <c r="G18365" s="49" t="str">
        <f t="shared" si="1"/>
        <v>24210</v>
      </c>
      <c r="H18365" s="49">
        <f t="shared" si="2"/>
        <v>24019</v>
      </c>
    </row>
    <row r="18366">
      <c r="A18366" s="48" t="s">
        <v>6721</v>
      </c>
      <c r="B18366" s="38">
        <v>44200.0</v>
      </c>
      <c r="C18366" s="38" t="s">
        <v>22804</v>
      </c>
      <c r="D18366" s="38" t="str">
        <f>IFERROR(__xludf.DUMMYFUNCTION("REGEXREPLACE(C18366,""-\d+(.*)|--\d+(.*)"","""")"),"SOULVACHE")</f>
        <v>SOULVACHE</v>
      </c>
      <c r="E18366" s="38" t="s">
        <v>759</v>
      </c>
      <c r="F18366" s="38" t="s">
        <v>180</v>
      </c>
      <c r="G18366" s="49" t="str">
        <f t="shared" si="1"/>
        <v>44660</v>
      </c>
      <c r="H18366" s="49">
        <f t="shared" si="2"/>
        <v>44200</v>
      </c>
    </row>
    <row r="18367">
      <c r="A18367" s="48" t="s">
        <v>4992</v>
      </c>
      <c r="B18367" s="38">
        <v>80345.0</v>
      </c>
      <c r="C18367" s="38" t="s">
        <v>22805</v>
      </c>
      <c r="D18367" s="38" t="str">
        <f>IFERROR(__xludf.DUMMYFUNCTION("REGEXREPLACE(C18367,""-\d+(.*)|--\d+(.*)"","""")"),"FRANLEU")</f>
        <v>FRANLEU</v>
      </c>
      <c r="E18367" s="38" t="s">
        <v>224</v>
      </c>
      <c r="F18367" s="38" t="s">
        <v>113</v>
      </c>
      <c r="G18367" s="49" t="str">
        <f t="shared" si="1"/>
        <v>80210</v>
      </c>
      <c r="H18367" s="49">
        <f t="shared" si="2"/>
        <v>80345</v>
      </c>
    </row>
    <row r="18368">
      <c r="A18368" s="48" t="s">
        <v>13687</v>
      </c>
      <c r="B18368" s="38">
        <v>13092.0</v>
      </c>
      <c r="C18368" s="38" t="s">
        <v>22806</v>
      </c>
      <c r="D18368" s="38" t="str">
        <f>IFERROR(__xludf.DUMMYFUNCTION("REGEXREPLACE(C18368,""-\d+(.*)|--\d+(.*)"","""")"),"SAINT-CHAMAS")</f>
        <v>SAINT-CHAMAS</v>
      </c>
      <c r="E18368" s="38" t="s">
        <v>980</v>
      </c>
      <c r="F18368" s="38" t="s">
        <v>228</v>
      </c>
      <c r="G18368" s="49" t="str">
        <f t="shared" si="1"/>
        <v>13250</v>
      </c>
      <c r="H18368" s="49">
        <f t="shared" si="2"/>
        <v>13092</v>
      </c>
    </row>
    <row r="18369">
      <c r="A18369" s="48" t="s">
        <v>22807</v>
      </c>
      <c r="B18369" s="38">
        <v>68285.0</v>
      </c>
      <c r="C18369" s="38" t="s">
        <v>22808</v>
      </c>
      <c r="D18369" s="38" t="str">
        <f>IFERROR(__xludf.DUMMYFUNCTION("REGEXREPLACE(C18369,""-\d+(.*)|--\d+(.*)"","""")"),"RORSCHWIHR")</f>
        <v>RORSCHWIHR</v>
      </c>
      <c r="E18369" s="38" t="s">
        <v>150</v>
      </c>
      <c r="F18369" s="38" t="s">
        <v>151</v>
      </c>
      <c r="G18369" s="49" t="str">
        <f t="shared" si="1"/>
        <v>68590</v>
      </c>
      <c r="H18369" s="49">
        <f t="shared" si="2"/>
        <v>68285</v>
      </c>
    </row>
    <row r="18370">
      <c r="A18370" s="48" t="s">
        <v>436</v>
      </c>
      <c r="B18370" s="38">
        <v>51419.0</v>
      </c>
      <c r="C18370" s="38" t="s">
        <v>22809</v>
      </c>
      <c r="D18370" s="38" t="str">
        <f>IFERROR(__xludf.DUMMYFUNCTION("REGEXREPLACE(C18370,""-\d+(.*)|--\d+(.*)"","""")"),"OUTINES")</f>
        <v>OUTINES</v>
      </c>
      <c r="E18370" s="38" t="s">
        <v>129</v>
      </c>
      <c r="F18370" s="38" t="s">
        <v>130</v>
      </c>
      <c r="G18370" s="49" t="str">
        <f t="shared" si="1"/>
        <v>51290</v>
      </c>
      <c r="H18370" s="49">
        <f t="shared" si="2"/>
        <v>51419</v>
      </c>
    </row>
    <row r="18371">
      <c r="A18371" s="48" t="s">
        <v>4644</v>
      </c>
      <c r="B18371" s="38">
        <v>46050.0</v>
      </c>
      <c r="C18371" s="38" t="s">
        <v>22810</v>
      </c>
      <c r="D18371" s="38" t="str">
        <f>IFERROR(__xludf.DUMMYFUNCTION("REGEXREPLACE(C18371,""-\d+(.*)|--\d+(.*)"","""")"),"CAMBAYRAC")</f>
        <v>CAMBAYRAC</v>
      </c>
      <c r="E18371" s="38" t="s">
        <v>185</v>
      </c>
      <c r="F18371" s="38" t="s">
        <v>94</v>
      </c>
      <c r="G18371" s="49" t="str">
        <f t="shared" si="1"/>
        <v>46140</v>
      </c>
      <c r="H18371" s="49">
        <f t="shared" si="2"/>
        <v>46050</v>
      </c>
    </row>
    <row r="18372">
      <c r="A18372" s="48" t="s">
        <v>3945</v>
      </c>
      <c r="B18372" s="38">
        <v>34271.0</v>
      </c>
      <c r="C18372" s="38" t="s">
        <v>812</v>
      </c>
      <c r="D18372" s="38" t="str">
        <f>IFERROR(__xludf.DUMMYFUNCTION("REGEXREPLACE(C18372,""-\d+(.*)|--\d+(.*)"","""")"),"SAINT-JULIEN")</f>
        <v>SAINT-JULIEN</v>
      </c>
      <c r="E18372" s="38" t="s">
        <v>118</v>
      </c>
      <c r="F18372" s="38" t="s">
        <v>119</v>
      </c>
      <c r="G18372" s="49" t="str">
        <f t="shared" si="1"/>
        <v>34390</v>
      </c>
      <c r="H18372" s="49">
        <f t="shared" si="2"/>
        <v>34271</v>
      </c>
    </row>
    <row r="18373">
      <c r="A18373" s="48" t="s">
        <v>8446</v>
      </c>
      <c r="B18373" s="38">
        <v>22260.0</v>
      </c>
      <c r="C18373" s="38" t="s">
        <v>22811</v>
      </c>
      <c r="D18373" s="38" t="str">
        <f>IFERROR(__xludf.DUMMYFUNCTION("REGEXREPLACE(C18373,""-\d+(.*)|--\d+(.*)"","""")"),"LE QUILLIO")</f>
        <v>LE QUILLIO</v>
      </c>
      <c r="E18373" s="38" t="s">
        <v>89</v>
      </c>
      <c r="F18373" s="38" t="s">
        <v>90</v>
      </c>
      <c r="G18373" s="49" t="str">
        <f t="shared" si="1"/>
        <v>22460</v>
      </c>
      <c r="H18373" s="49">
        <f t="shared" si="2"/>
        <v>22260</v>
      </c>
    </row>
    <row r="18374">
      <c r="A18374" s="48" t="s">
        <v>4252</v>
      </c>
      <c r="B18374" s="38">
        <v>77449.0</v>
      </c>
      <c r="C18374" s="38" t="s">
        <v>22812</v>
      </c>
      <c r="D18374" s="38" t="str">
        <f>IFERROR(__xludf.DUMMYFUNCTION("REGEXREPLACE(C18374,""-\d+(.*)|--\d+(.*)"","""")"),"SERRIS")</f>
        <v>SERRIS</v>
      </c>
      <c r="E18374" s="38" t="s">
        <v>244</v>
      </c>
      <c r="F18374" s="38" t="s">
        <v>245</v>
      </c>
      <c r="G18374" s="49" t="str">
        <f t="shared" si="1"/>
        <v>77700</v>
      </c>
      <c r="H18374" s="49">
        <f t="shared" si="2"/>
        <v>77449</v>
      </c>
    </row>
    <row r="18375">
      <c r="A18375" s="48" t="s">
        <v>22813</v>
      </c>
      <c r="B18375" s="38" t="s">
        <v>22814</v>
      </c>
      <c r="C18375" s="38" t="s">
        <v>22815</v>
      </c>
      <c r="D18375" s="38" t="str">
        <f>IFERROR(__xludf.DUMMYFUNCTION("REGEXREPLACE(C18375,""-\d+(.*)|--\d+(.*)"","""")"),"PIETROSELLA")</f>
        <v>PIETROSELLA</v>
      </c>
      <c r="E18375" s="38" t="s">
        <v>606</v>
      </c>
      <c r="F18375" s="38" t="s">
        <v>607</v>
      </c>
      <c r="G18375" s="49" t="str">
        <f t="shared" si="1"/>
        <v>20166</v>
      </c>
      <c r="H18375" s="49" t="str">
        <f t="shared" si="2"/>
        <v>2A228</v>
      </c>
    </row>
    <row r="18376">
      <c r="A18376" s="48" t="s">
        <v>2406</v>
      </c>
      <c r="B18376" s="38">
        <v>55274.0</v>
      </c>
      <c r="C18376" s="38" t="s">
        <v>22816</v>
      </c>
      <c r="D18376" s="38" t="str">
        <f>IFERROR(__xludf.DUMMYFUNCTION("REGEXREPLACE(C18376,""-\d+(.*)|--\d+(.*)"","""")"),"LAMORVILLE")</f>
        <v>LAMORVILLE</v>
      </c>
      <c r="E18376" s="38" t="s">
        <v>322</v>
      </c>
      <c r="F18376" s="38" t="s">
        <v>195</v>
      </c>
      <c r="G18376" s="49" t="str">
        <f t="shared" si="1"/>
        <v>55300</v>
      </c>
      <c r="H18376" s="49">
        <f t="shared" si="2"/>
        <v>55274</v>
      </c>
    </row>
    <row r="18377">
      <c r="A18377" s="48" t="s">
        <v>9365</v>
      </c>
      <c r="B18377" s="38">
        <v>90031.0</v>
      </c>
      <c r="C18377" s="38" t="s">
        <v>22817</v>
      </c>
      <c r="D18377" s="38" t="str">
        <f>IFERROR(__xludf.DUMMYFUNCTION("REGEXREPLACE(C18377,""-\d+(.*)|--\d+(.*)"","""")"),"CUNELIERES")</f>
        <v>CUNELIERES</v>
      </c>
      <c r="E18377" s="38" t="s">
        <v>1283</v>
      </c>
      <c r="F18377" s="38" t="s">
        <v>214</v>
      </c>
      <c r="G18377" s="49" t="str">
        <f t="shared" si="1"/>
        <v>90150</v>
      </c>
      <c r="H18377" s="49">
        <f t="shared" si="2"/>
        <v>90031</v>
      </c>
    </row>
    <row r="18378">
      <c r="A18378" s="48" t="s">
        <v>10520</v>
      </c>
      <c r="B18378" s="38">
        <v>69038.0</v>
      </c>
      <c r="C18378" s="38" t="s">
        <v>22818</v>
      </c>
      <c r="D18378" s="38" t="str">
        <f>IFERROR(__xludf.DUMMYFUNCTION("REGEXREPLACE(C18378,""-\d+(.*)|--\d+(.*)"","""")"),"CHAMBOST-LONGESSAIGNE")</f>
        <v>CHAMBOST-LONGESSAIGNE</v>
      </c>
      <c r="E18378" s="38" t="s">
        <v>350</v>
      </c>
      <c r="F18378" s="38" t="s">
        <v>102</v>
      </c>
      <c r="G18378" s="49" t="str">
        <f t="shared" si="1"/>
        <v>69770</v>
      </c>
      <c r="H18378" s="49">
        <f t="shared" si="2"/>
        <v>69038</v>
      </c>
    </row>
    <row r="18379">
      <c r="A18379" s="48" t="s">
        <v>3426</v>
      </c>
      <c r="B18379" s="38">
        <v>57746.0</v>
      </c>
      <c r="C18379" s="38" t="s">
        <v>22819</v>
      </c>
      <c r="D18379" s="38" t="str">
        <f>IFERROR(__xludf.DUMMYFUNCTION("REGEXREPLACE(C18379,""-\d+(.*)|--\d+(.*)"","""")"),"WILLERWALD")</f>
        <v>WILLERWALD</v>
      </c>
      <c r="E18379" s="38" t="s">
        <v>303</v>
      </c>
      <c r="F18379" s="38" t="s">
        <v>195</v>
      </c>
      <c r="G18379" s="49" t="str">
        <f t="shared" si="1"/>
        <v>57430</v>
      </c>
      <c r="H18379" s="49">
        <f t="shared" si="2"/>
        <v>57746</v>
      </c>
    </row>
    <row r="18380">
      <c r="A18380" s="48" t="s">
        <v>1368</v>
      </c>
      <c r="B18380" s="38">
        <v>8077.0</v>
      </c>
      <c r="C18380" s="38" t="s">
        <v>22820</v>
      </c>
      <c r="D18380" s="38" t="str">
        <f>IFERROR(__xludf.DUMMYFUNCTION("REGEXREPLACE(C18380,""-\d+(.*)|--\d+(.*)"","""")"),"BOURCQ")</f>
        <v>BOURCQ</v>
      </c>
      <c r="E18380" s="38" t="s">
        <v>327</v>
      </c>
      <c r="F18380" s="38" t="s">
        <v>130</v>
      </c>
      <c r="G18380" s="49" t="str">
        <f t="shared" si="1"/>
        <v>08400</v>
      </c>
      <c r="H18380" s="49" t="str">
        <f t="shared" si="2"/>
        <v>08077</v>
      </c>
    </row>
    <row r="18381">
      <c r="A18381" s="48" t="s">
        <v>11712</v>
      </c>
      <c r="B18381" s="38">
        <v>58011.0</v>
      </c>
      <c r="C18381" s="38" t="s">
        <v>22821</v>
      </c>
      <c r="D18381" s="38" t="str">
        <f>IFERROR(__xludf.DUMMYFUNCTION("REGEXREPLACE(C18381,""-\d+(.*)|--\d+(.*)"","""")"),"ARMES")</f>
        <v>ARMES</v>
      </c>
      <c r="E18381" s="38" t="s">
        <v>219</v>
      </c>
      <c r="F18381" s="38" t="s">
        <v>106</v>
      </c>
      <c r="G18381" s="49" t="str">
        <f t="shared" si="1"/>
        <v>58500</v>
      </c>
      <c r="H18381" s="49">
        <f t="shared" si="2"/>
        <v>58011</v>
      </c>
    </row>
    <row r="18382">
      <c r="A18382" s="48" t="s">
        <v>2730</v>
      </c>
      <c r="B18382" s="38">
        <v>22351.0</v>
      </c>
      <c r="C18382" s="38" t="s">
        <v>22822</v>
      </c>
      <c r="D18382" s="38" t="str">
        <f>IFERROR(__xludf.DUMMYFUNCTION("REGEXREPLACE(C18382,""-\d+(.*)|--\d+(.*)"","""")"),"TREFFRIN")</f>
        <v>TREFFRIN</v>
      </c>
      <c r="E18382" s="38" t="s">
        <v>89</v>
      </c>
      <c r="F18382" s="38" t="s">
        <v>90</v>
      </c>
      <c r="G18382" s="49" t="str">
        <f t="shared" si="1"/>
        <v>22340</v>
      </c>
      <c r="H18382" s="49">
        <f t="shared" si="2"/>
        <v>22351</v>
      </c>
    </row>
    <row r="18383">
      <c r="A18383" s="48" t="s">
        <v>22823</v>
      </c>
      <c r="B18383" s="38">
        <v>53140.0</v>
      </c>
      <c r="C18383" s="38" t="s">
        <v>22824</v>
      </c>
      <c r="D18383" s="38" t="str">
        <f>IFERROR(__xludf.DUMMYFUNCTION("REGEXREPLACE(C18383,""-\d+(.*)|--\d+(.*)"","""")"),"LOUVERNE")</f>
        <v>LOUVERNE</v>
      </c>
      <c r="E18383" s="38" t="s">
        <v>518</v>
      </c>
      <c r="F18383" s="38" t="s">
        <v>180</v>
      </c>
      <c r="G18383" s="49" t="str">
        <f t="shared" si="1"/>
        <v>53950</v>
      </c>
      <c r="H18383" s="49">
        <f t="shared" si="2"/>
        <v>53140</v>
      </c>
    </row>
    <row r="18384">
      <c r="A18384" s="48" t="s">
        <v>9028</v>
      </c>
      <c r="B18384" s="38">
        <v>65298.0</v>
      </c>
      <c r="C18384" s="38" t="s">
        <v>22825</v>
      </c>
      <c r="D18384" s="38" t="str">
        <f>IFERROR(__xludf.DUMMYFUNCTION("REGEXREPLACE(C18384,""-\d+(.*)|--\d+(.*)"","""")"),"MARQUERIE")</f>
        <v>MARQUERIE</v>
      </c>
      <c r="E18384" s="38" t="s">
        <v>200</v>
      </c>
      <c r="F18384" s="38" t="s">
        <v>94</v>
      </c>
      <c r="G18384" s="49" t="str">
        <f t="shared" si="1"/>
        <v>65350</v>
      </c>
      <c r="H18384" s="49">
        <f t="shared" si="2"/>
        <v>65298</v>
      </c>
    </row>
    <row r="18385">
      <c r="A18385" s="48" t="s">
        <v>1077</v>
      </c>
      <c r="B18385" s="38">
        <v>25177.0</v>
      </c>
      <c r="C18385" s="38" t="s">
        <v>22826</v>
      </c>
      <c r="D18385" s="38" t="str">
        <f>IFERROR(__xludf.DUMMYFUNCTION("REGEXREPLACE(C18385,""-\d+(.*)|--\d+(.*)"","""")"),"CROSEY-LE-GRAND")</f>
        <v>CROSEY-LE-GRAND</v>
      </c>
      <c r="E18385" s="38" t="s">
        <v>213</v>
      </c>
      <c r="F18385" s="38" t="s">
        <v>214</v>
      </c>
      <c r="G18385" s="49" t="str">
        <f t="shared" si="1"/>
        <v>25340</v>
      </c>
      <c r="H18385" s="49">
        <f t="shared" si="2"/>
        <v>25177</v>
      </c>
    </row>
    <row r="18386">
      <c r="A18386" s="48" t="s">
        <v>22827</v>
      </c>
      <c r="B18386" s="38">
        <v>93046.0</v>
      </c>
      <c r="C18386" s="38" t="s">
        <v>22828</v>
      </c>
      <c r="D18386" s="38" t="str">
        <f>IFERROR(__xludf.DUMMYFUNCTION("REGEXREPLACE(C18386,""-\d+(.*)|--\d+(.*)"","""")"),"LIVRY-GARGAN")</f>
        <v>LIVRY-GARGAN</v>
      </c>
      <c r="E18386" s="38" t="s">
        <v>341</v>
      </c>
      <c r="F18386" s="38" t="s">
        <v>245</v>
      </c>
      <c r="G18386" s="49" t="str">
        <f t="shared" si="1"/>
        <v>93190</v>
      </c>
      <c r="H18386" s="49">
        <f t="shared" si="2"/>
        <v>93046</v>
      </c>
    </row>
    <row r="18387">
      <c r="A18387" s="48" t="s">
        <v>588</v>
      </c>
      <c r="B18387" s="38">
        <v>14482.0</v>
      </c>
      <c r="C18387" s="38" t="s">
        <v>22829</v>
      </c>
      <c r="D18387" s="38" t="str">
        <f>IFERROR(__xludf.DUMMYFUNCTION("REGEXREPLACE(C18387,""-\d+(.*)|--\d+(.*)"","""")"),"OUEZY")</f>
        <v>OUEZY</v>
      </c>
      <c r="E18387" s="38" t="s">
        <v>137</v>
      </c>
      <c r="F18387" s="38" t="s">
        <v>138</v>
      </c>
      <c r="G18387" s="49" t="str">
        <f t="shared" si="1"/>
        <v>14270</v>
      </c>
      <c r="H18387" s="49">
        <f t="shared" si="2"/>
        <v>14482</v>
      </c>
    </row>
    <row r="18388">
      <c r="A18388" s="48" t="s">
        <v>7643</v>
      </c>
      <c r="B18388" s="38">
        <v>30281.0</v>
      </c>
      <c r="C18388" s="38" t="s">
        <v>22830</v>
      </c>
      <c r="D18388" s="38" t="str">
        <f>IFERROR(__xludf.DUMMYFUNCTION("REGEXREPLACE(C18388,""-\d+(.*)|--\d+(.*)"","""")"),"SAINT-MAMERT-DU-GARD")</f>
        <v>SAINT-MAMERT-DU-GARD</v>
      </c>
      <c r="E18388" s="38" t="s">
        <v>526</v>
      </c>
      <c r="F18388" s="38" t="s">
        <v>119</v>
      </c>
      <c r="G18388" s="49" t="str">
        <f t="shared" si="1"/>
        <v>30730</v>
      </c>
      <c r="H18388" s="49">
        <f t="shared" si="2"/>
        <v>30281</v>
      </c>
    </row>
    <row r="18389">
      <c r="A18389" s="48" t="s">
        <v>3855</v>
      </c>
      <c r="B18389" s="38">
        <v>12176.0</v>
      </c>
      <c r="C18389" s="38" t="s">
        <v>22831</v>
      </c>
      <c r="D18389" s="38" t="str">
        <f>IFERROR(__xludf.DUMMYFUNCTION("REGEXREPLACE(C18389,""-\d+(.*)|--\d+(.*)"","""")"),"ONET-LE-CHATEAU")</f>
        <v>ONET-LE-CHATEAU</v>
      </c>
      <c r="E18389" s="38" t="s">
        <v>465</v>
      </c>
      <c r="F18389" s="38" t="s">
        <v>94</v>
      </c>
      <c r="G18389" s="49" t="str">
        <f t="shared" si="1"/>
        <v>12850</v>
      </c>
      <c r="H18389" s="49">
        <f t="shared" si="2"/>
        <v>12176</v>
      </c>
    </row>
    <row r="18390">
      <c r="A18390" s="48" t="s">
        <v>10209</v>
      </c>
      <c r="B18390" s="38">
        <v>3194.0</v>
      </c>
      <c r="C18390" s="38" t="s">
        <v>2214</v>
      </c>
      <c r="D18390" s="38" t="str">
        <f>IFERROR(__xludf.DUMMYFUNCTION("REGEXREPLACE(C18390,""-\d+(.*)|--\d+(.*)"","""")"),"NAVES")</f>
        <v>NAVES</v>
      </c>
      <c r="E18390" s="38" t="s">
        <v>160</v>
      </c>
      <c r="F18390" s="38" t="s">
        <v>161</v>
      </c>
      <c r="G18390" s="49" t="str">
        <f t="shared" si="1"/>
        <v>03330</v>
      </c>
      <c r="H18390" s="49" t="str">
        <f t="shared" si="2"/>
        <v>03194</v>
      </c>
    </row>
    <row r="18391">
      <c r="A18391" s="48" t="s">
        <v>6997</v>
      </c>
      <c r="B18391" s="38">
        <v>62273.0</v>
      </c>
      <c r="C18391" s="38" t="s">
        <v>18199</v>
      </c>
      <c r="D18391" s="38" t="str">
        <f>IFERROR(__xludf.DUMMYFUNCTION("REGEXREPLACE(C18391,""-\d+(.*)|--\d+(.*)"","""")"),"DOUDEAUVILLE")</f>
        <v>DOUDEAUVILLE</v>
      </c>
      <c r="E18391" s="38" t="s">
        <v>109</v>
      </c>
      <c r="F18391" s="38" t="s">
        <v>86</v>
      </c>
      <c r="G18391" s="49" t="str">
        <f t="shared" si="1"/>
        <v>62830</v>
      </c>
      <c r="H18391" s="49">
        <f t="shared" si="2"/>
        <v>62273</v>
      </c>
    </row>
    <row r="18392">
      <c r="A18392" s="48" t="s">
        <v>3120</v>
      </c>
      <c r="B18392" s="38">
        <v>10207.0</v>
      </c>
      <c r="C18392" s="38" t="s">
        <v>22832</v>
      </c>
      <c r="D18392" s="38" t="str">
        <f>IFERROR(__xludf.DUMMYFUNCTION("REGEXREPLACE(C18392,""-\d+(.*)|--\d+(.*)"","""")"),"LONGUEVILLE-SUR-AUBE")</f>
        <v>LONGUEVILLE-SUR-AUBE</v>
      </c>
      <c r="E18392" s="38" t="s">
        <v>147</v>
      </c>
      <c r="F18392" s="38" t="s">
        <v>130</v>
      </c>
      <c r="G18392" s="49" t="str">
        <f t="shared" si="1"/>
        <v>10170</v>
      </c>
      <c r="H18392" s="49">
        <f t="shared" si="2"/>
        <v>10207</v>
      </c>
    </row>
    <row r="18393">
      <c r="A18393" s="48" t="s">
        <v>2701</v>
      </c>
      <c r="B18393" s="38">
        <v>17292.0</v>
      </c>
      <c r="C18393" s="38" t="s">
        <v>22833</v>
      </c>
      <c r="D18393" s="38" t="str">
        <f>IFERROR(__xludf.DUMMYFUNCTION("REGEXREPLACE(C18393,""-\d+(.*)|--\d+(.*)"","""")"),"PUY-DU-LAC")</f>
        <v>PUY-DU-LAC</v>
      </c>
      <c r="E18393" s="38" t="s">
        <v>488</v>
      </c>
      <c r="F18393" s="38" t="s">
        <v>338</v>
      </c>
      <c r="G18393" s="49" t="str">
        <f t="shared" si="1"/>
        <v>17380</v>
      </c>
      <c r="H18393" s="49">
        <f t="shared" si="2"/>
        <v>17292</v>
      </c>
    </row>
    <row r="18394">
      <c r="A18394" s="48" t="s">
        <v>622</v>
      </c>
      <c r="B18394" s="38">
        <v>14646.0</v>
      </c>
      <c r="C18394" s="38" t="s">
        <v>22834</v>
      </c>
      <c r="D18394" s="38" t="str">
        <f>IFERROR(__xludf.DUMMYFUNCTION("REGEXREPLACE(C18394,""-\d+(.*)|--\d+(.*)"","""")"),"SAINT-PIERRE-CANIVET")</f>
        <v>SAINT-PIERRE-CANIVET</v>
      </c>
      <c r="E18394" s="38" t="s">
        <v>137</v>
      </c>
      <c r="F18394" s="38" t="s">
        <v>138</v>
      </c>
      <c r="G18394" s="49" t="str">
        <f t="shared" si="1"/>
        <v>14700</v>
      </c>
      <c r="H18394" s="49">
        <f t="shared" si="2"/>
        <v>14646</v>
      </c>
    </row>
    <row r="18395">
      <c r="A18395" s="48" t="s">
        <v>1354</v>
      </c>
      <c r="B18395" s="38">
        <v>28301.0</v>
      </c>
      <c r="C18395" s="38" t="s">
        <v>22835</v>
      </c>
      <c r="D18395" s="38" t="str">
        <f>IFERROR(__xludf.DUMMYFUNCTION("REGEXREPLACE(C18395,""-\d+(.*)|--\d+(.*)"","""")"),"POISVILLIERS")</f>
        <v>POISVILLIERS</v>
      </c>
      <c r="E18395" s="38" t="s">
        <v>300</v>
      </c>
      <c r="F18395" s="38" t="s">
        <v>123</v>
      </c>
      <c r="G18395" s="49" t="str">
        <f t="shared" si="1"/>
        <v>28300</v>
      </c>
      <c r="H18395" s="49">
        <f t="shared" si="2"/>
        <v>28301</v>
      </c>
    </row>
    <row r="18396">
      <c r="A18396" s="48" t="s">
        <v>4579</v>
      </c>
      <c r="B18396" s="38">
        <v>81172.0</v>
      </c>
      <c r="C18396" s="38" t="s">
        <v>19084</v>
      </c>
      <c r="D18396" s="38" t="str">
        <f>IFERROR(__xludf.DUMMYFUNCTION("REGEXREPLACE(C18396,""-\d+(.*)|--\d+(.*)"","""")"),"MONTAURIOL")</f>
        <v>MONTAURIOL</v>
      </c>
      <c r="E18396" s="38" t="s">
        <v>231</v>
      </c>
      <c r="F18396" s="38" t="s">
        <v>94</v>
      </c>
      <c r="G18396" s="49" t="str">
        <f t="shared" si="1"/>
        <v>81190</v>
      </c>
      <c r="H18396" s="49">
        <f t="shared" si="2"/>
        <v>81172</v>
      </c>
    </row>
    <row r="18397">
      <c r="A18397" s="48" t="s">
        <v>7602</v>
      </c>
      <c r="B18397" s="38">
        <v>11123.0</v>
      </c>
      <c r="C18397" s="38" t="s">
        <v>22836</v>
      </c>
      <c r="D18397" s="38" t="str">
        <f>IFERROR(__xludf.DUMMYFUNCTION("REGEXREPLACE(C18397,""-\d+(.*)|--\d+(.*)"","""")"),"DUILHAC-SOUS-PEYREPERTUSE")</f>
        <v>DUILHAC-SOUS-PEYREPERTUSE</v>
      </c>
      <c r="E18397" s="38" t="s">
        <v>278</v>
      </c>
      <c r="F18397" s="38" t="s">
        <v>119</v>
      </c>
      <c r="G18397" s="49" t="str">
        <f t="shared" si="1"/>
        <v>11350</v>
      </c>
      <c r="H18397" s="49">
        <f t="shared" si="2"/>
        <v>11123</v>
      </c>
    </row>
    <row r="18398">
      <c r="A18398" s="48" t="s">
        <v>588</v>
      </c>
      <c r="B18398" s="38">
        <v>14444.0</v>
      </c>
      <c r="C18398" s="38" t="s">
        <v>22837</v>
      </c>
      <c r="D18398" s="38" t="str">
        <f>IFERROR(__xludf.DUMMYFUNCTION("REGEXREPLACE(C18398,""-\d+(.*)|--\d+(.*)"","""")"),"MONTEILLE")</f>
        <v>MONTEILLE</v>
      </c>
      <c r="E18398" s="38" t="s">
        <v>137</v>
      </c>
      <c r="F18398" s="38" t="s">
        <v>138</v>
      </c>
      <c r="G18398" s="49" t="str">
        <f t="shared" si="1"/>
        <v>14270</v>
      </c>
      <c r="H18398" s="49">
        <f t="shared" si="2"/>
        <v>14444</v>
      </c>
    </row>
    <row r="18399">
      <c r="A18399" s="48" t="s">
        <v>22838</v>
      </c>
      <c r="B18399" s="38">
        <v>25370.0</v>
      </c>
      <c r="C18399" s="38" t="s">
        <v>22839</v>
      </c>
      <c r="D18399" s="38" t="str">
        <f>IFERROR(__xludf.DUMMYFUNCTION("REGEXREPLACE(C18399,""-\d+(.*)|--\d+(.*)"","""")"),"MATHAY")</f>
        <v>MATHAY</v>
      </c>
      <c r="E18399" s="38" t="s">
        <v>213</v>
      </c>
      <c r="F18399" s="38" t="s">
        <v>214</v>
      </c>
      <c r="G18399" s="49" t="str">
        <f t="shared" si="1"/>
        <v>25700</v>
      </c>
      <c r="H18399" s="49">
        <f t="shared" si="2"/>
        <v>25370</v>
      </c>
    </row>
    <row r="18400">
      <c r="A18400" s="48" t="s">
        <v>5081</v>
      </c>
      <c r="B18400" s="38">
        <v>54402.0</v>
      </c>
      <c r="C18400" s="38" t="s">
        <v>22840</v>
      </c>
      <c r="D18400" s="38" t="str">
        <f>IFERROR(__xludf.DUMMYFUNCTION("REGEXREPLACE(C18400,""-\d+(.*)|--\d+(.*)"","""")"),"NORROY-LE-SEC")</f>
        <v>NORROY-LE-SEC</v>
      </c>
      <c r="E18400" s="38" t="s">
        <v>548</v>
      </c>
      <c r="F18400" s="38" t="s">
        <v>195</v>
      </c>
      <c r="G18400" s="49" t="str">
        <f t="shared" si="1"/>
        <v>54150</v>
      </c>
      <c r="H18400" s="49">
        <f t="shared" si="2"/>
        <v>54402</v>
      </c>
    </row>
    <row r="18401">
      <c r="A18401" s="48" t="s">
        <v>1464</v>
      </c>
      <c r="B18401" s="38">
        <v>33042.0</v>
      </c>
      <c r="C18401" s="38" t="s">
        <v>22841</v>
      </c>
      <c r="D18401" s="38" t="str">
        <f>IFERROR(__xludf.DUMMYFUNCTION("REGEXREPLACE(C18401,""-\d+(.*)|--\d+(.*)"","""")"),"BELIN-BELIET")</f>
        <v>BELIN-BELIET</v>
      </c>
      <c r="E18401" s="38" t="s">
        <v>462</v>
      </c>
      <c r="F18401" s="38" t="s">
        <v>252</v>
      </c>
      <c r="G18401" s="49" t="str">
        <f t="shared" si="1"/>
        <v>33830</v>
      </c>
      <c r="H18401" s="49">
        <f t="shared" si="2"/>
        <v>33042</v>
      </c>
    </row>
    <row r="18402">
      <c r="A18402" s="48" t="s">
        <v>222</v>
      </c>
      <c r="B18402" s="38">
        <v>80425.0</v>
      </c>
      <c r="C18402" s="38" t="s">
        <v>22842</v>
      </c>
      <c r="D18402" s="38" t="str">
        <f>IFERROR(__xludf.DUMMYFUNCTION("REGEXREPLACE(C18402,""-\d+(.*)|--\d+(.*)"","""")"),"HEDAUVILLE")</f>
        <v>HEDAUVILLE</v>
      </c>
      <c r="E18402" s="38" t="s">
        <v>224</v>
      </c>
      <c r="F18402" s="38" t="s">
        <v>113</v>
      </c>
      <c r="G18402" s="49" t="str">
        <f t="shared" si="1"/>
        <v>80560</v>
      </c>
      <c r="H18402" s="49">
        <f t="shared" si="2"/>
        <v>80425</v>
      </c>
    </row>
    <row r="18403">
      <c r="A18403" s="48" t="s">
        <v>22843</v>
      </c>
      <c r="B18403" s="38">
        <v>43129.0</v>
      </c>
      <c r="C18403" s="38" t="s">
        <v>22844</v>
      </c>
      <c r="D18403" s="38" t="str">
        <f>IFERROR(__xludf.DUMMYFUNCTION("REGEXREPLACE(C18403,""-\d+(.*)|--\d+(.*)"","""")"),"LE MAS-DE-TENCE")</f>
        <v>LE MAS-DE-TENCE</v>
      </c>
      <c r="E18403" s="38" t="s">
        <v>332</v>
      </c>
      <c r="F18403" s="38" t="s">
        <v>161</v>
      </c>
      <c r="G18403" s="49" t="str">
        <f t="shared" si="1"/>
        <v>43190</v>
      </c>
      <c r="H18403" s="49">
        <f t="shared" si="2"/>
        <v>43129</v>
      </c>
    </row>
    <row r="18404">
      <c r="A18404" s="48" t="s">
        <v>622</v>
      </c>
      <c r="B18404" s="38">
        <v>14360.0</v>
      </c>
      <c r="C18404" s="38" t="s">
        <v>22845</v>
      </c>
      <c r="D18404" s="38" t="str">
        <f>IFERROR(__xludf.DUMMYFUNCTION("REGEXREPLACE(C18404,""-\d+(.*)|--\d+(.*)"","""")"),"LEFFARD")</f>
        <v>LEFFARD</v>
      </c>
      <c r="E18404" s="38" t="s">
        <v>137</v>
      </c>
      <c r="F18404" s="38" t="s">
        <v>138</v>
      </c>
      <c r="G18404" s="49" t="str">
        <f t="shared" si="1"/>
        <v>14700</v>
      </c>
      <c r="H18404" s="49">
        <f t="shared" si="2"/>
        <v>14360</v>
      </c>
    </row>
    <row r="18405">
      <c r="A18405" s="48" t="s">
        <v>6504</v>
      </c>
      <c r="B18405" s="38">
        <v>24210.0</v>
      </c>
      <c r="C18405" s="38" t="s">
        <v>22846</v>
      </c>
      <c r="D18405" s="38" t="str">
        <f>IFERROR(__xludf.DUMMYFUNCTION("REGEXREPLACE(C18405,""-\d+(.*)|--\d+(.*)"","""")"),"HAUTEFORT")</f>
        <v>HAUTEFORT</v>
      </c>
      <c r="E18405" s="38" t="s">
        <v>261</v>
      </c>
      <c r="F18405" s="38" t="s">
        <v>252</v>
      </c>
      <c r="G18405" s="49" t="str">
        <f t="shared" si="1"/>
        <v>24390</v>
      </c>
      <c r="H18405" s="49">
        <f t="shared" si="2"/>
        <v>24210</v>
      </c>
    </row>
    <row r="18406">
      <c r="A18406" s="48" t="s">
        <v>1212</v>
      </c>
      <c r="B18406" s="38">
        <v>11273.0</v>
      </c>
      <c r="C18406" s="38" t="s">
        <v>22847</v>
      </c>
      <c r="D18406" s="38" t="str">
        <f>IFERROR(__xludf.DUMMYFUNCTION("REGEXREPLACE(C18406,""-\d+(.*)|--\d+(.*)"","""")"),"PARAZA")</f>
        <v>PARAZA</v>
      </c>
      <c r="E18406" s="38" t="s">
        <v>278</v>
      </c>
      <c r="F18406" s="38" t="s">
        <v>119</v>
      </c>
      <c r="G18406" s="49" t="str">
        <f t="shared" si="1"/>
        <v>11200</v>
      </c>
      <c r="H18406" s="49">
        <f t="shared" si="2"/>
        <v>11273</v>
      </c>
    </row>
    <row r="18407">
      <c r="A18407" s="48" t="s">
        <v>15432</v>
      </c>
      <c r="B18407" s="38">
        <v>59493.0</v>
      </c>
      <c r="C18407" s="38" t="s">
        <v>22848</v>
      </c>
      <c r="D18407" s="38" t="str">
        <f>IFERROR(__xludf.DUMMYFUNCTION("REGEXREPLACE(C18407,""-\d+(.*)|--\d+(.*)"","""")"),"RAMOUSIES")</f>
        <v>RAMOUSIES</v>
      </c>
      <c r="E18407" s="38" t="s">
        <v>85</v>
      </c>
      <c r="F18407" s="38" t="s">
        <v>86</v>
      </c>
      <c r="G18407" s="49" t="str">
        <f t="shared" si="1"/>
        <v>59177</v>
      </c>
      <c r="H18407" s="49">
        <f t="shared" si="2"/>
        <v>59493</v>
      </c>
    </row>
    <row r="18408">
      <c r="A18408" s="48" t="s">
        <v>1518</v>
      </c>
      <c r="B18408" s="38">
        <v>88368.0</v>
      </c>
      <c r="C18408" s="38" t="s">
        <v>22849</v>
      </c>
      <c r="D18408" s="38" t="str">
        <f>IFERROR(__xludf.DUMMYFUNCTION("REGEXREPLACE(C18408,""-\d+(.*)|--\d+(.*)"","""")"),"RAMECOURT")</f>
        <v>RAMECOURT</v>
      </c>
      <c r="E18408" s="38" t="s">
        <v>194</v>
      </c>
      <c r="F18408" s="38" t="s">
        <v>195</v>
      </c>
      <c r="G18408" s="49" t="str">
        <f t="shared" si="1"/>
        <v>88500</v>
      </c>
      <c r="H18408" s="49">
        <f t="shared" si="2"/>
        <v>88368</v>
      </c>
    </row>
    <row r="18409">
      <c r="A18409" s="48" t="s">
        <v>8120</v>
      </c>
      <c r="B18409" s="38">
        <v>61020.0</v>
      </c>
      <c r="C18409" s="38" t="s">
        <v>22850</v>
      </c>
      <c r="D18409" s="38" t="str">
        <f>IFERROR(__xludf.DUMMYFUNCTION("REGEXREPLACE(C18409,""-\d+(.*)|--\d+(.*)"","""")"),"AVOINE")</f>
        <v>AVOINE</v>
      </c>
      <c r="E18409" s="38" t="s">
        <v>141</v>
      </c>
      <c r="F18409" s="38" t="s">
        <v>138</v>
      </c>
      <c r="G18409" s="49" t="str">
        <f t="shared" si="1"/>
        <v>61150</v>
      </c>
      <c r="H18409" s="49">
        <f t="shared" si="2"/>
        <v>61020</v>
      </c>
    </row>
    <row r="18410">
      <c r="A18410" s="48" t="s">
        <v>9340</v>
      </c>
      <c r="B18410" s="38">
        <v>4034.0</v>
      </c>
      <c r="C18410" s="38" t="s">
        <v>22851</v>
      </c>
      <c r="D18410" s="38" t="str">
        <f>IFERROR(__xludf.DUMMYFUNCTION("REGEXREPLACE(C18410,""-\d+(.*)|--\d+(.*)"","""")"),"LA BRILLANNE")</f>
        <v>LA BRILLANNE</v>
      </c>
      <c r="E18410" s="38" t="s">
        <v>662</v>
      </c>
      <c r="F18410" s="38" t="s">
        <v>228</v>
      </c>
      <c r="G18410" s="49" t="str">
        <f t="shared" si="1"/>
        <v>04700</v>
      </c>
      <c r="H18410" s="49" t="str">
        <f t="shared" si="2"/>
        <v>04034</v>
      </c>
    </row>
    <row r="18411">
      <c r="A18411" s="48" t="s">
        <v>4450</v>
      </c>
      <c r="B18411" s="38">
        <v>34206.0</v>
      </c>
      <c r="C18411" s="38" t="s">
        <v>22852</v>
      </c>
      <c r="D18411" s="38" t="str">
        <f>IFERROR(__xludf.DUMMYFUNCTION("REGEXREPLACE(C18411,""-\d+(.*)|--\d+(.*)"","""")"),"POILHES")</f>
        <v>POILHES</v>
      </c>
      <c r="E18411" s="38" t="s">
        <v>118</v>
      </c>
      <c r="F18411" s="38" t="s">
        <v>119</v>
      </c>
      <c r="G18411" s="49" t="str">
        <f t="shared" si="1"/>
        <v>34310</v>
      </c>
      <c r="H18411" s="49">
        <f t="shared" si="2"/>
        <v>34206</v>
      </c>
    </row>
    <row r="18412">
      <c r="A18412" s="48" t="s">
        <v>1201</v>
      </c>
      <c r="B18412" s="38">
        <v>78267.0</v>
      </c>
      <c r="C18412" s="38" t="s">
        <v>22853</v>
      </c>
      <c r="D18412" s="38" t="str">
        <f>IFERROR(__xludf.DUMMYFUNCTION("REGEXREPLACE(C18412,""-\d+(.*)|--\d+(.*)"","""")"),"GARGENVILLE")</f>
        <v>GARGENVILLE</v>
      </c>
      <c r="E18412" s="38" t="s">
        <v>362</v>
      </c>
      <c r="F18412" s="38" t="s">
        <v>245</v>
      </c>
      <c r="G18412" s="49" t="str">
        <f t="shared" si="1"/>
        <v>78440</v>
      </c>
      <c r="H18412" s="49">
        <f t="shared" si="2"/>
        <v>78267</v>
      </c>
    </row>
    <row r="18413">
      <c r="A18413" s="48" t="s">
        <v>6709</v>
      </c>
      <c r="B18413" s="38">
        <v>29068.0</v>
      </c>
      <c r="C18413" s="38" t="s">
        <v>22854</v>
      </c>
      <c r="D18413" s="38" t="str">
        <f>IFERROR(__xludf.DUMMYFUNCTION("REGEXREPLACE(C18413,""-\d+(.*)|--\d+(.*)"","""")"),"GUICLAN")</f>
        <v>GUICLAN</v>
      </c>
      <c r="E18413" s="38" t="s">
        <v>176</v>
      </c>
      <c r="F18413" s="38" t="s">
        <v>90</v>
      </c>
      <c r="G18413" s="49" t="str">
        <f t="shared" si="1"/>
        <v>29410</v>
      </c>
      <c r="H18413" s="49">
        <f t="shared" si="2"/>
        <v>29068</v>
      </c>
    </row>
    <row r="18414">
      <c r="A18414" s="48" t="s">
        <v>22855</v>
      </c>
      <c r="B18414" s="38">
        <v>2328.0</v>
      </c>
      <c r="C18414" s="38" t="s">
        <v>22856</v>
      </c>
      <c r="D18414" s="38" t="str">
        <f>IFERROR(__xludf.DUMMYFUNCTION("REGEXREPLACE(C18414,""-\d+(.*)|--\d+(.*)"","""")"),"FOSSOY")</f>
        <v>FOSSOY</v>
      </c>
      <c r="E18414" s="38" t="s">
        <v>191</v>
      </c>
      <c r="F18414" s="38" t="s">
        <v>113</v>
      </c>
      <c r="G18414" s="49" t="str">
        <f t="shared" si="1"/>
        <v>02650</v>
      </c>
      <c r="H18414" s="49" t="str">
        <f t="shared" si="2"/>
        <v>02328</v>
      </c>
    </row>
    <row r="18415">
      <c r="A18415" s="48" t="s">
        <v>2506</v>
      </c>
      <c r="B18415" s="38">
        <v>80414.0</v>
      </c>
      <c r="C18415" s="38" t="s">
        <v>22857</v>
      </c>
      <c r="D18415" s="38" t="str">
        <f>IFERROR(__xludf.DUMMYFUNCTION("REGEXREPLACE(C18415,""-\d+(.*)|--\d+(.*)"","""")"),"HANGARD")</f>
        <v>HANGARD</v>
      </c>
      <c r="E18415" s="38" t="s">
        <v>224</v>
      </c>
      <c r="F18415" s="38" t="s">
        <v>113</v>
      </c>
      <c r="G18415" s="49" t="str">
        <f t="shared" si="1"/>
        <v>80110</v>
      </c>
      <c r="H18415" s="49">
        <f t="shared" si="2"/>
        <v>80414</v>
      </c>
    </row>
    <row r="18416">
      <c r="A18416" s="48" t="s">
        <v>411</v>
      </c>
      <c r="B18416" s="38">
        <v>57601.0</v>
      </c>
      <c r="C18416" s="38" t="s">
        <v>22858</v>
      </c>
      <c r="D18416" s="38" t="str">
        <f>IFERROR(__xludf.DUMMYFUNCTION("REGEXREPLACE(C18416,""-\d+(.*)|--\d+(.*)"","""")"),"ROZERIEULLES")</f>
        <v>ROZERIEULLES</v>
      </c>
      <c r="E18416" s="38" t="s">
        <v>303</v>
      </c>
      <c r="F18416" s="38" t="s">
        <v>195</v>
      </c>
      <c r="G18416" s="49" t="str">
        <f t="shared" si="1"/>
        <v>57160</v>
      </c>
      <c r="H18416" s="49">
        <f t="shared" si="2"/>
        <v>57601</v>
      </c>
    </row>
    <row r="18417">
      <c r="A18417" s="48" t="s">
        <v>3052</v>
      </c>
      <c r="B18417" s="38">
        <v>44029.0</v>
      </c>
      <c r="C18417" s="38" t="s">
        <v>22859</v>
      </c>
      <c r="D18417" s="38" t="str">
        <f>IFERROR(__xludf.DUMMYFUNCTION("REGEXREPLACE(C18417,""-\d+(.*)|--\d+(.*)"","""")"),"LA CHAPELLE-BASSE-MER")</f>
        <v>LA CHAPELLE-BASSE-MER</v>
      </c>
      <c r="E18417" s="38" t="s">
        <v>759</v>
      </c>
      <c r="F18417" s="38" t="s">
        <v>180</v>
      </c>
      <c r="G18417" s="49" t="str">
        <f t="shared" si="1"/>
        <v>44450</v>
      </c>
      <c r="H18417" s="49">
        <f t="shared" si="2"/>
        <v>44029</v>
      </c>
    </row>
    <row r="18418">
      <c r="A18418" s="48" t="s">
        <v>10383</v>
      </c>
      <c r="B18418" s="38">
        <v>38242.0</v>
      </c>
      <c r="C18418" s="38" t="s">
        <v>22860</v>
      </c>
      <c r="D18418" s="38" t="str">
        <f>IFERROR(__xludf.DUMMYFUNCTION("REGEXREPLACE(C18418,""-\d+(.*)|--\d+(.*)"","""")"),"MONESTIER-DE-CLERMONT")</f>
        <v>MONESTIER-DE-CLERMONT</v>
      </c>
      <c r="E18418" s="38" t="s">
        <v>101</v>
      </c>
      <c r="F18418" s="38" t="s">
        <v>102</v>
      </c>
      <c r="G18418" s="49" t="str">
        <f t="shared" si="1"/>
        <v>38650</v>
      </c>
      <c r="H18418" s="49">
        <f t="shared" si="2"/>
        <v>38242</v>
      </c>
    </row>
    <row r="18419">
      <c r="A18419" s="48" t="s">
        <v>4784</v>
      </c>
      <c r="B18419" s="38">
        <v>24529.0</v>
      </c>
      <c r="C18419" s="38" t="s">
        <v>22861</v>
      </c>
      <c r="D18419" s="38" t="str">
        <f>IFERROR(__xludf.DUMMYFUNCTION("REGEXREPLACE(C18419,""-\d+(.*)|--\d+(.*)"","""")"),"SEGONZAC")</f>
        <v>SEGONZAC</v>
      </c>
      <c r="E18419" s="38" t="s">
        <v>261</v>
      </c>
      <c r="F18419" s="38" t="s">
        <v>252</v>
      </c>
      <c r="G18419" s="49" t="str">
        <f t="shared" si="1"/>
        <v>24600</v>
      </c>
      <c r="H18419" s="49">
        <f t="shared" si="2"/>
        <v>24529</v>
      </c>
    </row>
    <row r="18420">
      <c r="A18420" s="48" t="s">
        <v>8702</v>
      </c>
      <c r="B18420" s="38" t="s">
        <v>22862</v>
      </c>
      <c r="C18420" s="38" t="s">
        <v>22863</v>
      </c>
      <c r="D18420" s="38" t="str">
        <f>IFERROR(__xludf.DUMMYFUNCTION("REGEXREPLACE(C18420,""-\d+(.*)|--\d+(.*)"","""")"),"VIGGIANELLO")</f>
        <v>VIGGIANELLO</v>
      </c>
      <c r="E18420" s="38" t="s">
        <v>606</v>
      </c>
      <c r="F18420" s="38" t="s">
        <v>607</v>
      </c>
      <c r="G18420" s="49" t="str">
        <f t="shared" si="1"/>
        <v>20110</v>
      </c>
      <c r="H18420" s="49" t="str">
        <f t="shared" si="2"/>
        <v>2A349</v>
      </c>
    </row>
    <row r="18421">
      <c r="A18421" s="48" t="s">
        <v>4877</v>
      </c>
      <c r="B18421" s="38">
        <v>61110.0</v>
      </c>
      <c r="C18421" s="38" t="s">
        <v>22864</v>
      </c>
      <c r="D18421" s="38" t="str">
        <f>IFERROR(__xludf.DUMMYFUNCTION("REGEXREPLACE(C18421,""-\d+(.*)|--\d+(.*)"","""")"),"LA COCHERE")</f>
        <v>LA COCHERE</v>
      </c>
      <c r="E18421" s="38" t="s">
        <v>141</v>
      </c>
      <c r="F18421" s="38" t="s">
        <v>138</v>
      </c>
      <c r="G18421" s="49" t="str">
        <f t="shared" si="1"/>
        <v>61310</v>
      </c>
      <c r="H18421" s="49">
        <f t="shared" si="2"/>
        <v>61110</v>
      </c>
    </row>
    <row r="18422">
      <c r="A18422" s="48" t="s">
        <v>1008</v>
      </c>
      <c r="B18422" s="38">
        <v>2319.0</v>
      </c>
      <c r="C18422" s="38" t="s">
        <v>22865</v>
      </c>
      <c r="D18422" s="38" t="str">
        <f>IFERROR(__xludf.DUMMYFUNCTION("REGEXREPLACE(C18422,""-\d+(.*)|--\d+(.*)"","""")"),"FONSOMME")</f>
        <v>FONSOMME</v>
      </c>
      <c r="E18422" s="38" t="s">
        <v>191</v>
      </c>
      <c r="F18422" s="38" t="s">
        <v>113</v>
      </c>
      <c r="G18422" s="49" t="str">
        <f t="shared" si="1"/>
        <v>02110</v>
      </c>
      <c r="H18422" s="49" t="str">
        <f t="shared" si="2"/>
        <v>02319</v>
      </c>
    </row>
    <row r="18423">
      <c r="A18423" s="48" t="s">
        <v>3821</v>
      </c>
      <c r="B18423" s="38">
        <v>57174.0</v>
      </c>
      <c r="C18423" s="38" t="s">
        <v>22866</v>
      </c>
      <c r="D18423" s="38" t="str">
        <f>IFERROR(__xludf.DUMMYFUNCTION("REGEXREPLACE(C18423,""-\d+(.*)|--\d+(.*)"","""")"),"DESTRY")</f>
        <v>DESTRY</v>
      </c>
      <c r="E18423" s="38" t="s">
        <v>303</v>
      </c>
      <c r="F18423" s="38" t="s">
        <v>195</v>
      </c>
      <c r="G18423" s="49" t="str">
        <f t="shared" si="1"/>
        <v>57340</v>
      </c>
      <c r="H18423" s="49">
        <f t="shared" si="2"/>
        <v>57174</v>
      </c>
    </row>
    <row r="18424">
      <c r="A18424" s="48" t="s">
        <v>3651</v>
      </c>
      <c r="B18424" s="38">
        <v>19018.0</v>
      </c>
      <c r="C18424" s="38" t="s">
        <v>22867</v>
      </c>
      <c r="D18424" s="38" t="str">
        <f>IFERROR(__xludf.DUMMYFUNCTION("REGEXREPLACE(C18424,""-\d+(.*)|--\d+(.*)"","""")"),"BASSIGNAC-LE-HAUT")</f>
        <v>BASSIGNAC-LE-HAUT</v>
      </c>
      <c r="E18424" s="38" t="s">
        <v>271</v>
      </c>
      <c r="F18424" s="38" t="s">
        <v>98</v>
      </c>
      <c r="G18424" s="49" t="str">
        <f t="shared" si="1"/>
        <v>19220</v>
      </c>
      <c r="H18424" s="49">
        <f t="shared" si="2"/>
        <v>19018</v>
      </c>
    </row>
    <row r="18425">
      <c r="A18425" s="48" t="s">
        <v>17859</v>
      </c>
      <c r="B18425" s="38">
        <v>40199.0</v>
      </c>
      <c r="C18425" s="38" t="s">
        <v>22868</v>
      </c>
      <c r="D18425" s="38" t="str">
        <f>IFERROR(__xludf.DUMMYFUNCTION("REGEXREPLACE(C18425,""-\d+(.*)|--\d+(.*)"","""")"),"MOUSCARDES")</f>
        <v>MOUSCARDES</v>
      </c>
      <c r="E18425" s="38" t="s">
        <v>281</v>
      </c>
      <c r="F18425" s="38" t="s">
        <v>252</v>
      </c>
      <c r="G18425" s="49" t="str">
        <f t="shared" si="1"/>
        <v>40290</v>
      </c>
      <c r="H18425" s="49">
        <f t="shared" si="2"/>
        <v>40199</v>
      </c>
    </row>
    <row r="18426">
      <c r="A18426" s="48" t="s">
        <v>7210</v>
      </c>
      <c r="B18426" s="38">
        <v>57067.0</v>
      </c>
      <c r="C18426" s="38" t="s">
        <v>22869</v>
      </c>
      <c r="D18426" s="38" t="str">
        <f>IFERROR(__xludf.DUMMYFUNCTION("REGEXREPLACE(C18426,""-\d+(.*)|--\d+(.*)"","""")"),"BERTRANGE")</f>
        <v>BERTRANGE</v>
      </c>
      <c r="E18426" s="38" t="s">
        <v>303</v>
      </c>
      <c r="F18426" s="38" t="s">
        <v>195</v>
      </c>
      <c r="G18426" s="49" t="str">
        <f t="shared" si="1"/>
        <v>57310</v>
      </c>
      <c r="H18426" s="49">
        <f t="shared" si="2"/>
        <v>57067</v>
      </c>
    </row>
    <row r="18427">
      <c r="A18427" s="48" t="s">
        <v>22870</v>
      </c>
      <c r="B18427" s="38">
        <v>91377.0</v>
      </c>
      <c r="C18427" s="38" t="s">
        <v>9375</v>
      </c>
      <c r="D18427" s="38" t="str">
        <f>IFERROR(__xludf.DUMMYFUNCTION("REGEXREPLACE(C18427,""-\d+(.*)|--\d+(.*)"","""")"),"MASSY")</f>
        <v>MASSY</v>
      </c>
      <c r="E18427" s="38" t="s">
        <v>756</v>
      </c>
      <c r="F18427" s="38" t="s">
        <v>245</v>
      </c>
      <c r="G18427" s="49" t="str">
        <f t="shared" si="1"/>
        <v>91300</v>
      </c>
      <c r="H18427" s="49">
        <f t="shared" si="2"/>
        <v>91377</v>
      </c>
    </row>
    <row r="18428">
      <c r="A18428" s="48" t="s">
        <v>5094</v>
      </c>
      <c r="B18428" s="38">
        <v>32460.0</v>
      </c>
      <c r="C18428" s="38" t="s">
        <v>22871</v>
      </c>
      <c r="D18428" s="38" t="str">
        <f>IFERROR(__xludf.DUMMYFUNCTION("REGEXREPLACE(C18428,""-\d+(.*)|--\d+(.*)"","""")"),"VERGOIGNAN")</f>
        <v>VERGOIGNAN</v>
      </c>
      <c r="E18428" s="38" t="s">
        <v>440</v>
      </c>
      <c r="F18428" s="38" t="s">
        <v>94</v>
      </c>
      <c r="G18428" s="49" t="str">
        <f t="shared" si="1"/>
        <v>32720</v>
      </c>
      <c r="H18428" s="49">
        <f t="shared" si="2"/>
        <v>32460</v>
      </c>
    </row>
    <row r="18429">
      <c r="A18429" s="48" t="s">
        <v>22872</v>
      </c>
      <c r="B18429" s="38">
        <v>13020.0</v>
      </c>
      <c r="C18429" s="38" t="s">
        <v>22873</v>
      </c>
      <c r="D18429" s="38" t="str">
        <f>IFERROR(__xludf.DUMMYFUNCTION("REGEXREPLACE(C18429,""-\d+(.*)|--\d+(.*)"","""")"),"CADOLIVE")</f>
        <v>CADOLIVE</v>
      </c>
      <c r="E18429" s="38" t="s">
        <v>980</v>
      </c>
      <c r="F18429" s="38" t="s">
        <v>228</v>
      </c>
      <c r="G18429" s="49" t="str">
        <f t="shared" si="1"/>
        <v>13950</v>
      </c>
      <c r="H18429" s="49">
        <f t="shared" si="2"/>
        <v>13020</v>
      </c>
    </row>
    <row r="18430">
      <c r="A18430" s="48" t="s">
        <v>4082</v>
      </c>
      <c r="B18430" s="38">
        <v>95370.0</v>
      </c>
      <c r="C18430" s="38" t="s">
        <v>22874</v>
      </c>
      <c r="D18430" s="38" t="str">
        <f>IFERROR(__xludf.DUMMYFUNCTION("REGEXREPLACE(C18430,""-\d+(.*)|--\d+(.*)"","""")"),"MARINES")</f>
        <v>MARINES</v>
      </c>
      <c r="E18430" s="38" t="s">
        <v>541</v>
      </c>
      <c r="F18430" s="38" t="s">
        <v>245</v>
      </c>
      <c r="G18430" s="49" t="str">
        <f t="shared" si="1"/>
        <v>95640</v>
      </c>
      <c r="H18430" s="49">
        <f t="shared" si="2"/>
        <v>95370</v>
      </c>
    </row>
    <row r="18431">
      <c r="A18431" s="48" t="s">
        <v>17602</v>
      </c>
      <c r="B18431" s="38">
        <v>22190.0</v>
      </c>
      <c r="C18431" s="38" t="s">
        <v>22875</v>
      </c>
      <c r="D18431" s="38" t="str">
        <f>IFERROR(__xludf.DUMMYFUNCTION("REGEXREPLACE(C18431,""-\d+(.*)|--\d+(.*)"","""")"),"PLESLIN-TRIGAVOU")</f>
        <v>PLESLIN-TRIGAVOU</v>
      </c>
      <c r="E18431" s="38" t="s">
        <v>89</v>
      </c>
      <c r="F18431" s="38" t="s">
        <v>90</v>
      </c>
      <c r="G18431" s="49" t="str">
        <f t="shared" si="1"/>
        <v>22490</v>
      </c>
      <c r="H18431" s="49">
        <f t="shared" si="2"/>
        <v>22190</v>
      </c>
    </row>
    <row r="18432">
      <c r="A18432" s="48" t="s">
        <v>1590</v>
      </c>
      <c r="B18432" s="38">
        <v>33358.0</v>
      </c>
      <c r="C18432" s="38" t="s">
        <v>22770</v>
      </c>
      <c r="D18432" s="38" t="str">
        <f>IFERROR(__xludf.DUMMYFUNCTION("REGEXREPLACE(C18432,""-\d+(.*)|--\d+(.*)"","""")"),"ROMAGNE")</f>
        <v>ROMAGNE</v>
      </c>
      <c r="E18432" s="38" t="s">
        <v>462</v>
      </c>
      <c r="F18432" s="38" t="s">
        <v>252</v>
      </c>
      <c r="G18432" s="49" t="str">
        <f t="shared" si="1"/>
        <v>33760</v>
      </c>
      <c r="H18432" s="49">
        <f t="shared" si="2"/>
        <v>33358</v>
      </c>
    </row>
    <row r="18433">
      <c r="A18433" s="48" t="s">
        <v>1970</v>
      </c>
      <c r="B18433" s="38">
        <v>74274.0</v>
      </c>
      <c r="C18433" s="38" t="s">
        <v>22876</v>
      </c>
      <c r="D18433" s="38" t="str">
        <f>IFERROR(__xludf.DUMMYFUNCTION("REGEXREPLACE(C18433,""-\d+(.*)|--\d+(.*)"","""")"),"VAL-DE-FIER")</f>
        <v>VAL-DE-FIER</v>
      </c>
      <c r="E18433" s="38" t="s">
        <v>319</v>
      </c>
      <c r="F18433" s="38" t="s">
        <v>102</v>
      </c>
      <c r="G18433" s="49" t="str">
        <f t="shared" si="1"/>
        <v>74150</v>
      </c>
      <c r="H18433" s="49">
        <f t="shared" si="2"/>
        <v>74274</v>
      </c>
    </row>
    <row r="18434">
      <c r="A18434" s="48" t="s">
        <v>719</v>
      </c>
      <c r="B18434" s="38">
        <v>8335.0</v>
      </c>
      <c r="C18434" s="38" t="s">
        <v>22877</v>
      </c>
      <c r="D18434" s="38" t="str">
        <f>IFERROR(__xludf.DUMMYFUNCTION("REGEXREPLACE(C18434,""-\d+(.*)|--\d+(.*)"","""")"),"OMONT")</f>
        <v>OMONT</v>
      </c>
      <c r="E18434" s="38" t="s">
        <v>327</v>
      </c>
      <c r="F18434" s="38" t="s">
        <v>130</v>
      </c>
      <c r="G18434" s="49" t="str">
        <f t="shared" si="1"/>
        <v>08430</v>
      </c>
      <c r="H18434" s="49" t="str">
        <f t="shared" si="2"/>
        <v>08335</v>
      </c>
    </row>
    <row r="18435">
      <c r="A18435" s="48" t="s">
        <v>2469</v>
      </c>
      <c r="B18435" s="38">
        <v>8149.0</v>
      </c>
      <c r="C18435" s="38" t="s">
        <v>22878</v>
      </c>
      <c r="D18435" s="38" t="str">
        <f>IFERROR(__xludf.DUMMYFUNCTION("REGEXREPLACE(C18435,""-\d+(.*)|--\d+(.*)"","""")"),"L'ECHELLE")</f>
        <v>L'ECHELLE</v>
      </c>
      <c r="E18435" s="38" t="s">
        <v>327</v>
      </c>
      <c r="F18435" s="38" t="s">
        <v>130</v>
      </c>
      <c r="G18435" s="49" t="str">
        <f t="shared" si="1"/>
        <v>08150</v>
      </c>
      <c r="H18435" s="49" t="str">
        <f t="shared" si="2"/>
        <v>08149</v>
      </c>
    </row>
    <row r="18436">
      <c r="A18436" s="48" t="s">
        <v>15628</v>
      </c>
      <c r="B18436" s="38">
        <v>77437.0</v>
      </c>
      <c r="C18436" s="38" t="s">
        <v>22879</v>
      </c>
      <c r="D18436" s="38" t="str">
        <f>IFERROR(__xludf.DUMMYFUNCTION("REGEXREPLACE(C18436,""-\d+(.*)|--\d+(.*)"","""")"),"SAINT-SOUPPLETS")</f>
        <v>SAINT-SOUPPLETS</v>
      </c>
      <c r="E18436" s="38" t="s">
        <v>244</v>
      </c>
      <c r="F18436" s="38" t="s">
        <v>245</v>
      </c>
      <c r="G18436" s="49" t="str">
        <f t="shared" si="1"/>
        <v>77165</v>
      </c>
      <c r="H18436" s="49">
        <f t="shared" si="2"/>
        <v>77437</v>
      </c>
    </row>
    <row r="18437">
      <c r="A18437" s="48" t="s">
        <v>6818</v>
      </c>
      <c r="B18437" s="38">
        <v>40054.0</v>
      </c>
      <c r="C18437" s="38" t="s">
        <v>22880</v>
      </c>
      <c r="D18437" s="38" t="str">
        <f>IFERROR(__xludf.DUMMYFUNCTION("REGEXREPLACE(C18437,""-\d+(.*)|--\d+(.*)"","""")"),"BRASSEMPOUY")</f>
        <v>BRASSEMPOUY</v>
      </c>
      <c r="E18437" s="38" t="s">
        <v>281</v>
      </c>
      <c r="F18437" s="38" t="s">
        <v>252</v>
      </c>
      <c r="G18437" s="49" t="str">
        <f t="shared" si="1"/>
        <v>40330</v>
      </c>
      <c r="H18437" s="49">
        <f t="shared" si="2"/>
        <v>40054</v>
      </c>
    </row>
    <row r="18438">
      <c r="A18438" s="48" t="s">
        <v>1570</v>
      </c>
      <c r="B18438" s="38">
        <v>16073.0</v>
      </c>
      <c r="C18438" s="38" t="s">
        <v>19225</v>
      </c>
      <c r="D18438" s="38" t="str">
        <f>IFERROR(__xludf.DUMMYFUNCTION("REGEXREPLACE(C18438,""-\d+(.*)|--\d+(.*)"","""")"),"CHALAIS")</f>
        <v>CHALAIS</v>
      </c>
      <c r="E18438" s="38" t="s">
        <v>429</v>
      </c>
      <c r="F18438" s="38" t="s">
        <v>338</v>
      </c>
      <c r="G18438" s="49" t="str">
        <f t="shared" si="1"/>
        <v>16210</v>
      </c>
      <c r="H18438" s="49">
        <f t="shared" si="2"/>
        <v>16073</v>
      </c>
    </row>
    <row r="18439">
      <c r="A18439" s="48" t="s">
        <v>13053</v>
      </c>
      <c r="B18439" s="38">
        <v>38193.0</v>
      </c>
      <c r="C18439" s="38" t="s">
        <v>22881</v>
      </c>
      <c r="D18439" s="38" t="str">
        <f>IFERROR(__xludf.DUMMYFUNCTION("REGEXREPLACE(C18439,""-\d+(.*)|--\d+(.*)"","""")"),"L'ISLE-D'ABEAU")</f>
        <v>L'ISLE-D'ABEAU</v>
      </c>
      <c r="E18439" s="38" t="s">
        <v>101</v>
      </c>
      <c r="F18439" s="38" t="s">
        <v>102</v>
      </c>
      <c r="G18439" s="49" t="str">
        <f t="shared" si="1"/>
        <v>38080</v>
      </c>
      <c r="H18439" s="49">
        <f t="shared" si="2"/>
        <v>38193</v>
      </c>
    </row>
    <row r="18440">
      <c r="A18440" s="48" t="s">
        <v>3107</v>
      </c>
      <c r="B18440" s="38">
        <v>45275.0</v>
      </c>
      <c r="C18440" s="38" t="s">
        <v>22882</v>
      </c>
      <c r="D18440" s="38" t="str">
        <f>IFERROR(__xludf.DUMMYFUNCTION("REGEXREPLACE(C18440,""-\d+(.*)|--\d+(.*)"","""")"),"SAINT-FIRMIN-DES-BOIS")</f>
        <v>SAINT-FIRMIN-DES-BOIS</v>
      </c>
      <c r="E18440" s="38" t="s">
        <v>122</v>
      </c>
      <c r="F18440" s="38" t="s">
        <v>123</v>
      </c>
      <c r="G18440" s="49" t="str">
        <f t="shared" si="1"/>
        <v>45220</v>
      </c>
      <c r="H18440" s="49">
        <f t="shared" si="2"/>
        <v>45275</v>
      </c>
    </row>
    <row r="18441">
      <c r="A18441" s="48" t="s">
        <v>1829</v>
      </c>
      <c r="B18441" s="38">
        <v>59305.0</v>
      </c>
      <c r="C18441" s="38" t="s">
        <v>22883</v>
      </c>
      <c r="D18441" s="38" t="str">
        <f>IFERROR(__xludf.DUMMYFUNCTION("REGEXREPLACE(C18441,""-\d+(.*)|--\d+(.*)"","""")"),"HERZEELE")</f>
        <v>HERZEELE</v>
      </c>
      <c r="E18441" s="38" t="s">
        <v>85</v>
      </c>
      <c r="F18441" s="38" t="s">
        <v>86</v>
      </c>
      <c r="G18441" s="49" t="str">
        <f t="shared" si="1"/>
        <v>59470</v>
      </c>
      <c r="H18441" s="49">
        <f t="shared" si="2"/>
        <v>59305</v>
      </c>
    </row>
    <row r="18442">
      <c r="A18442" s="48" t="s">
        <v>3065</v>
      </c>
      <c r="B18442" s="38">
        <v>7226.0</v>
      </c>
      <c r="C18442" s="38" t="s">
        <v>6198</v>
      </c>
      <c r="D18442" s="38" t="str">
        <f>IFERROR(__xludf.DUMMYFUNCTION("REGEXREPLACE(C18442,""-\d+(.*)|--\d+(.*)"","""")"),"SAINT-CLEMENT")</f>
        <v>SAINT-CLEMENT</v>
      </c>
      <c r="E18442" s="38" t="s">
        <v>144</v>
      </c>
      <c r="F18442" s="38" t="s">
        <v>102</v>
      </c>
      <c r="G18442" s="49" t="str">
        <f t="shared" si="1"/>
        <v>07310</v>
      </c>
      <c r="H18442" s="49" t="str">
        <f t="shared" si="2"/>
        <v>07226</v>
      </c>
    </row>
    <row r="18443">
      <c r="A18443" s="48" t="s">
        <v>15329</v>
      </c>
      <c r="B18443" s="38">
        <v>54314.0</v>
      </c>
      <c r="C18443" s="38" t="s">
        <v>22884</v>
      </c>
      <c r="D18443" s="38" t="str">
        <f>IFERROR(__xludf.DUMMYFUNCTION("REGEXREPLACE(C18443,""-\d+(.*)|--\d+(.*)"","""")"),"LEXY")</f>
        <v>LEXY</v>
      </c>
      <c r="E18443" s="38" t="s">
        <v>548</v>
      </c>
      <c r="F18443" s="38" t="s">
        <v>195</v>
      </c>
      <c r="G18443" s="49" t="str">
        <f t="shared" si="1"/>
        <v>54720</v>
      </c>
      <c r="H18443" s="49">
        <f t="shared" si="2"/>
        <v>54314</v>
      </c>
    </row>
    <row r="18444">
      <c r="A18444" s="48" t="s">
        <v>1590</v>
      </c>
      <c r="B18444" s="38">
        <v>33523.0</v>
      </c>
      <c r="C18444" s="38" t="s">
        <v>22885</v>
      </c>
      <c r="D18444" s="38" t="str">
        <f>IFERROR(__xludf.DUMMYFUNCTION("REGEXREPLACE(C18444,""-\d+(.*)|--\d+(.*)"","""")"),"TARGON")</f>
        <v>TARGON</v>
      </c>
      <c r="E18444" s="38" t="s">
        <v>462</v>
      </c>
      <c r="F18444" s="38" t="s">
        <v>252</v>
      </c>
      <c r="G18444" s="49" t="str">
        <f t="shared" si="1"/>
        <v>33760</v>
      </c>
      <c r="H18444" s="49">
        <f t="shared" si="2"/>
        <v>33523</v>
      </c>
    </row>
    <row r="18445">
      <c r="A18445" s="48" t="s">
        <v>266</v>
      </c>
      <c r="B18445" s="38">
        <v>64118.0</v>
      </c>
      <c r="C18445" s="38" t="s">
        <v>22886</v>
      </c>
      <c r="D18445" s="38" t="str">
        <f>IFERROR(__xludf.DUMMYFUNCTION("REGEXREPLACE(C18445,""-\d+(.*)|--\d+(.*)"","""")"),"BETRACQ")</f>
        <v>BETRACQ</v>
      </c>
      <c r="E18445" s="38" t="s">
        <v>268</v>
      </c>
      <c r="F18445" s="38" t="s">
        <v>252</v>
      </c>
      <c r="G18445" s="49" t="str">
        <f t="shared" si="1"/>
        <v>64350</v>
      </c>
      <c r="H18445" s="49">
        <f t="shared" si="2"/>
        <v>64118</v>
      </c>
    </row>
    <row r="18446">
      <c r="A18446" s="48" t="s">
        <v>2567</v>
      </c>
      <c r="B18446" s="38">
        <v>6146.0</v>
      </c>
      <c r="C18446" s="38" t="s">
        <v>22887</v>
      </c>
      <c r="D18446" s="38" t="str">
        <f>IFERROR(__xludf.DUMMYFUNCTION("REGEXREPLACE(C18446,""-\d+(.*)|--\d+(.*)"","""")"),"TOURNEFORT")</f>
        <v>TOURNEFORT</v>
      </c>
      <c r="E18446" s="38" t="s">
        <v>227</v>
      </c>
      <c r="F18446" s="38" t="s">
        <v>228</v>
      </c>
      <c r="G18446" s="49" t="str">
        <f t="shared" si="1"/>
        <v>06420</v>
      </c>
      <c r="H18446" s="49" t="str">
        <f t="shared" si="2"/>
        <v>06146</v>
      </c>
    </row>
    <row r="18447">
      <c r="A18447" s="48" t="s">
        <v>14167</v>
      </c>
      <c r="B18447" s="38">
        <v>30208.0</v>
      </c>
      <c r="C18447" s="38" t="s">
        <v>22888</v>
      </c>
      <c r="D18447" s="38" t="str">
        <f>IFERROR(__xludf.DUMMYFUNCTION("REGEXREPLACE(C18447,""-\d+(.*)|--\d+(.*)"","""")"),"PUECHREDON")</f>
        <v>PUECHREDON</v>
      </c>
      <c r="E18447" s="38" t="s">
        <v>526</v>
      </c>
      <c r="F18447" s="38" t="s">
        <v>119</v>
      </c>
      <c r="G18447" s="49" t="str">
        <f t="shared" si="1"/>
        <v>30610</v>
      </c>
      <c r="H18447" s="49">
        <f t="shared" si="2"/>
        <v>30208</v>
      </c>
    </row>
    <row r="18448">
      <c r="A18448" s="48" t="s">
        <v>22889</v>
      </c>
      <c r="B18448" s="38">
        <v>13016.0</v>
      </c>
      <c r="C18448" s="38" t="s">
        <v>22890</v>
      </c>
      <c r="D18448" s="38" t="str">
        <f>IFERROR(__xludf.DUMMYFUNCTION("REGEXREPLACE(C18448,""-\d+(.*)|--\d+(.*)"","""")"),"LA BOUILLADISSE")</f>
        <v>LA BOUILLADISSE</v>
      </c>
      <c r="E18448" s="38" t="s">
        <v>980</v>
      </c>
      <c r="F18448" s="38" t="s">
        <v>228</v>
      </c>
      <c r="G18448" s="49" t="str">
        <f t="shared" si="1"/>
        <v>13720</v>
      </c>
      <c r="H18448" s="49">
        <f t="shared" si="2"/>
        <v>13016</v>
      </c>
    </row>
    <row r="18449">
      <c r="A18449" s="48" t="s">
        <v>10760</v>
      </c>
      <c r="B18449" s="38">
        <v>25194.0</v>
      </c>
      <c r="C18449" s="38" t="s">
        <v>19183</v>
      </c>
      <c r="D18449" s="38" t="str">
        <f>IFERROR(__xludf.DUMMYFUNCTION("REGEXREPLACE(C18449,""-\d+(.*)|--\d+(.*)"","""")"),"DANNEMARIE")</f>
        <v>DANNEMARIE</v>
      </c>
      <c r="E18449" s="38" t="s">
        <v>213</v>
      </c>
      <c r="F18449" s="38" t="s">
        <v>214</v>
      </c>
      <c r="G18449" s="49" t="str">
        <f t="shared" si="1"/>
        <v>25310</v>
      </c>
      <c r="H18449" s="49">
        <f t="shared" si="2"/>
        <v>25194</v>
      </c>
    </row>
    <row r="18450">
      <c r="A18450" s="48" t="s">
        <v>22891</v>
      </c>
      <c r="B18450" s="38">
        <v>39370.0</v>
      </c>
      <c r="C18450" s="38" t="s">
        <v>22892</v>
      </c>
      <c r="D18450" s="38" t="str">
        <f>IFERROR(__xludf.DUMMYFUNCTION("REGEXREPLACE(C18450,""-\d+(.*)|--\d+(.*)"","""")"),"MOUCHARD")</f>
        <v>MOUCHARD</v>
      </c>
      <c r="E18450" s="38" t="s">
        <v>400</v>
      </c>
      <c r="F18450" s="38" t="s">
        <v>214</v>
      </c>
      <c r="G18450" s="49" t="str">
        <f t="shared" si="1"/>
        <v>39330</v>
      </c>
      <c r="H18450" s="49">
        <f t="shared" si="2"/>
        <v>39370</v>
      </c>
    </row>
    <row r="18451">
      <c r="A18451" s="48" t="s">
        <v>13370</v>
      </c>
      <c r="B18451" s="38">
        <v>22275.0</v>
      </c>
      <c r="C18451" s="38" t="s">
        <v>22893</v>
      </c>
      <c r="D18451" s="38" t="str">
        <f>IFERROR(__xludf.DUMMYFUNCTION("REGEXREPLACE(C18451,""-\d+(.*)|--\d+(.*)"","""")"),"SAINT-BARNABE")</f>
        <v>SAINT-BARNABE</v>
      </c>
      <c r="E18451" s="38" t="s">
        <v>89</v>
      </c>
      <c r="F18451" s="38" t="s">
        <v>90</v>
      </c>
      <c r="G18451" s="49" t="str">
        <f t="shared" si="1"/>
        <v>22600</v>
      </c>
      <c r="H18451" s="49">
        <f t="shared" si="2"/>
        <v>22275</v>
      </c>
    </row>
    <row r="18452">
      <c r="A18452" s="48" t="s">
        <v>1817</v>
      </c>
      <c r="B18452" s="38">
        <v>31560.0</v>
      </c>
      <c r="C18452" s="38" t="s">
        <v>22894</v>
      </c>
      <c r="D18452" s="38" t="str">
        <f>IFERROR(__xludf.DUMMYFUNCTION("REGEXREPLACE(C18452,""-\d+(.*)|--\d+(.*)"","""")"),"TREBONS-SUR-LA-GRASSE")</f>
        <v>TREBONS-SUR-LA-GRASSE</v>
      </c>
      <c r="E18452" s="38" t="s">
        <v>93</v>
      </c>
      <c r="F18452" s="38" t="s">
        <v>94</v>
      </c>
      <c r="G18452" s="49" t="str">
        <f t="shared" si="1"/>
        <v>31290</v>
      </c>
      <c r="H18452" s="49">
        <f t="shared" si="2"/>
        <v>31560</v>
      </c>
    </row>
    <row r="18453">
      <c r="A18453" s="48" t="s">
        <v>6668</v>
      </c>
      <c r="B18453" s="38">
        <v>89072.0</v>
      </c>
      <c r="C18453" s="38" t="s">
        <v>22895</v>
      </c>
      <c r="D18453" s="38" t="str">
        <f>IFERROR(__xludf.DUMMYFUNCTION("REGEXREPLACE(C18453,""-\d+(.*)|--\d+(.*)"","""")"),"CHAMPCEVRAIS")</f>
        <v>CHAMPCEVRAIS</v>
      </c>
      <c r="E18453" s="38" t="s">
        <v>275</v>
      </c>
      <c r="F18453" s="38" t="s">
        <v>106</v>
      </c>
      <c r="G18453" s="49" t="str">
        <f t="shared" si="1"/>
        <v>89220</v>
      </c>
      <c r="H18453" s="49">
        <f t="shared" si="2"/>
        <v>89072</v>
      </c>
    </row>
    <row r="18454">
      <c r="A18454" s="48" t="s">
        <v>1022</v>
      </c>
      <c r="B18454" s="38">
        <v>2469.0</v>
      </c>
      <c r="C18454" s="38" t="s">
        <v>22896</v>
      </c>
      <c r="D18454" s="38" t="str">
        <f>IFERROR(__xludf.DUMMYFUNCTION("REGEXREPLACE(C18454,""-\d+(.*)|--\d+(.*)"","""")"),"MARLY-GOMONT")</f>
        <v>MARLY-GOMONT</v>
      </c>
      <c r="E18454" s="38" t="s">
        <v>191</v>
      </c>
      <c r="F18454" s="38" t="s">
        <v>113</v>
      </c>
      <c r="G18454" s="49" t="str">
        <f t="shared" si="1"/>
        <v>02120</v>
      </c>
      <c r="H18454" s="49" t="str">
        <f t="shared" si="2"/>
        <v>02469</v>
      </c>
    </row>
    <row r="18455">
      <c r="A18455" s="48" t="s">
        <v>10177</v>
      </c>
      <c r="B18455" s="38">
        <v>80815.0</v>
      </c>
      <c r="C18455" s="38" t="s">
        <v>22897</v>
      </c>
      <c r="D18455" s="38" t="str">
        <f>IFERROR(__xludf.DUMMYFUNCTION("REGEXREPLACE(C18455,""-\d+(.*)|--\d+(.*)"","""")"),"VRON")</f>
        <v>VRON</v>
      </c>
      <c r="E18455" s="38" t="s">
        <v>224</v>
      </c>
      <c r="F18455" s="38" t="s">
        <v>113</v>
      </c>
      <c r="G18455" s="49" t="str">
        <f t="shared" si="1"/>
        <v>80120</v>
      </c>
      <c r="H18455" s="49">
        <f t="shared" si="2"/>
        <v>80815</v>
      </c>
    </row>
    <row r="18456">
      <c r="A18456" s="48" t="s">
        <v>1195</v>
      </c>
      <c r="B18456" s="38">
        <v>80412.0</v>
      </c>
      <c r="C18456" s="38" t="s">
        <v>22898</v>
      </c>
      <c r="D18456" s="38" t="str">
        <f>IFERROR(__xludf.DUMMYFUNCTION("REGEXREPLACE(C18456,""-\d+(.*)|--\d+(.*)"","""")"),"HAMELET")</f>
        <v>HAMELET</v>
      </c>
      <c r="E18456" s="38" t="s">
        <v>224</v>
      </c>
      <c r="F18456" s="38" t="s">
        <v>113</v>
      </c>
      <c r="G18456" s="49" t="str">
        <f t="shared" si="1"/>
        <v>80800</v>
      </c>
      <c r="H18456" s="49">
        <f t="shared" si="2"/>
        <v>80412</v>
      </c>
    </row>
    <row r="18457">
      <c r="A18457" s="48" t="s">
        <v>3277</v>
      </c>
      <c r="B18457" s="38">
        <v>29029.0</v>
      </c>
      <c r="C18457" s="38" t="s">
        <v>22899</v>
      </c>
      <c r="D18457" s="38" t="str">
        <f>IFERROR(__xludf.DUMMYFUNCTION("REGEXREPLACE(C18457,""-\d+(.*)|--\d+(.*)"","""")"),"CLEDEN-POHER")</f>
        <v>CLEDEN-POHER</v>
      </c>
      <c r="E18457" s="38" t="s">
        <v>176</v>
      </c>
      <c r="F18457" s="38" t="s">
        <v>90</v>
      </c>
      <c r="G18457" s="49" t="str">
        <f t="shared" si="1"/>
        <v>29270</v>
      </c>
      <c r="H18457" s="49">
        <f t="shared" si="2"/>
        <v>29029</v>
      </c>
    </row>
    <row r="18458">
      <c r="A18458" s="48" t="s">
        <v>3242</v>
      </c>
      <c r="B18458" s="38">
        <v>2726.0</v>
      </c>
      <c r="C18458" s="38" t="s">
        <v>22900</v>
      </c>
      <c r="D18458" s="38" t="str">
        <f>IFERROR(__xludf.DUMMYFUNCTION("REGEXREPLACE(C18458,""-\d+(.*)|--\d+(.*)"","""")"),"SOMMETTE-EAUCOURT")</f>
        <v>SOMMETTE-EAUCOURT</v>
      </c>
      <c r="E18458" s="38" t="s">
        <v>191</v>
      </c>
      <c r="F18458" s="38" t="s">
        <v>113</v>
      </c>
      <c r="G18458" s="49" t="str">
        <f t="shared" si="1"/>
        <v>02480</v>
      </c>
      <c r="H18458" s="49" t="str">
        <f t="shared" si="2"/>
        <v>02726</v>
      </c>
    </row>
    <row r="18459">
      <c r="A18459" s="48" t="s">
        <v>12952</v>
      </c>
      <c r="B18459" s="38" t="s">
        <v>22901</v>
      </c>
      <c r="C18459" s="38" t="s">
        <v>22902</v>
      </c>
      <c r="D18459" s="38" t="str">
        <f>IFERROR(__xludf.DUMMYFUNCTION("REGEXREPLACE(C18459,""-\d+(.*)|--\d+(.*)"","""")"),"MATRA")</f>
        <v>MATRA</v>
      </c>
      <c r="E18459" s="38" t="s">
        <v>743</v>
      </c>
      <c r="F18459" s="38" t="s">
        <v>607</v>
      </c>
      <c r="G18459" s="49" t="str">
        <f t="shared" si="1"/>
        <v>20270</v>
      </c>
      <c r="H18459" s="49" t="str">
        <f t="shared" si="2"/>
        <v>2B155</v>
      </c>
    </row>
    <row r="18460">
      <c r="A18460" s="48" t="s">
        <v>1332</v>
      </c>
      <c r="B18460" s="38">
        <v>51632.0</v>
      </c>
      <c r="C18460" s="38" t="s">
        <v>22903</v>
      </c>
      <c r="D18460" s="38" t="str">
        <f>IFERROR(__xludf.DUMMYFUNCTION("REGEXREPLACE(C18460,""-\d+(.*)|--\d+(.*)"","""")"),"VILLERS-EN-ARGONNE")</f>
        <v>VILLERS-EN-ARGONNE</v>
      </c>
      <c r="E18460" s="38" t="s">
        <v>129</v>
      </c>
      <c r="F18460" s="38" t="s">
        <v>130</v>
      </c>
      <c r="G18460" s="49" t="str">
        <f t="shared" si="1"/>
        <v>51800</v>
      </c>
      <c r="H18460" s="49">
        <f t="shared" si="2"/>
        <v>51632</v>
      </c>
    </row>
    <row r="18461">
      <c r="A18461" s="48" t="s">
        <v>5563</v>
      </c>
      <c r="B18461" s="38">
        <v>32453.0</v>
      </c>
      <c r="C18461" s="38" t="s">
        <v>22904</v>
      </c>
      <c r="D18461" s="38" t="str">
        <f>IFERROR(__xludf.DUMMYFUNCTION("REGEXREPLACE(C18461,""-\d+(.*)|--\d+(.*)"","""")"),"TOURRENQUETS")</f>
        <v>TOURRENQUETS</v>
      </c>
      <c r="E18461" s="38" t="s">
        <v>440</v>
      </c>
      <c r="F18461" s="38" t="s">
        <v>94</v>
      </c>
      <c r="G18461" s="49" t="str">
        <f t="shared" si="1"/>
        <v>32390</v>
      </c>
      <c r="H18461" s="49">
        <f t="shared" si="2"/>
        <v>32453</v>
      </c>
    </row>
    <row r="18462">
      <c r="A18462" s="48" t="s">
        <v>1621</v>
      </c>
      <c r="B18462" s="38">
        <v>64280.0</v>
      </c>
      <c r="C18462" s="38" t="s">
        <v>22905</v>
      </c>
      <c r="D18462" s="38" t="str">
        <f>IFERROR(__xludf.DUMMYFUNCTION("REGEXREPLACE(C18462,""-\d+(.*)|--\d+(.*)"","""")"),"IZESTE")</f>
        <v>IZESTE</v>
      </c>
      <c r="E18462" s="38" t="s">
        <v>268</v>
      </c>
      <c r="F18462" s="38" t="s">
        <v>252</v>
      </c>
      <c r="G18462" s="49" t="str">
        <f t="shared" si="1"/>
        <v>64260</v>
      </c>
      <c r="H18462" s="49">
        <f t="shared" si="2"/>
        <v>64280</v>
      </c>
    </row>
    <row r="18463">
      <c r="A18463" s="48" t="s">
        <v>22906</v>
      </c>
      <c r="B18463" s="38">
        <v>56118.0</v>
      </c>
      <c r="C18463" s="38" t="s">
        <v>22907</v>
      </c>
      <c r="D18463" s="38" t="str">
        <f>IFERROR(__xludf.DUMMYFUNCTION("REGEXREPLACE(C18463,""-\d+(.*)|--\d+(.*)"","""")"),"LOCMIQUELIC")</f>
        <v>LOCMIQUELIC</v>
      </c>
      <c r="E18463" s="38" t="s">
        <v>173</v>
      </c>
      <c r="F18463" s="38" t="s">
        <v>90</v>
      </c>
      <c r="G18463" s="49" t="str">
        <f t="shared" si="1"/>
        <v>56570</v>
      </c>
      <c r="H18463" s="49">
        <f t="shared" si="2"/>
        <v>56118</v>
      </c>
    </row>
    <row r="18464">
      <c r="A18464" s="48" t="s">
        <v>4612</v>
      </c>
      <c r="B18464" s="38">
        <v>3190.0</v>
      </c>
      <c r="C18464" s="38" t="s">
        <v>22908</v>
      </c>
      <c r="D18464" s="38" t="str">
        <f>IFERROR(__xludf.DUMMYFUNCTION("REGEXREPLACE(C18464,""-\d+(.*)|--\d+(.*)"","""")"),"MOULINS")</f>
        <v>MOULINS</v>
      </c>
      <c r="E18464" s="38" t="s">
        <v>160</v>
      </c>
      <c r="F18464" s="38" t="s">
        <v>161</v>
      </c>
      <c r="G18464" s="49" t="str">
        <f t="shared" si="1"/>
        <v>03000</v>
      </c>
      <c r="H18464" s="49" t="str">
        <f t="shared" si="2"/>
        <v>03190</v>
      </c>
    </row>
    <row r="18465">
      <c r="A18465" s="48" t="s">
        <v>9293</v>
      </c>
      <c r="B18465" s="38">
        <v>9150.0</v>
      </c>
      <c r="C18465" s="38" t="s">
        <v>20007</v>
      </c>
      <c r="D18465" s="38" t="str">
        <f>IFERROR(__xludf.DUMMYFUNCTION("REGEXREPLACE(C18465,""-\d+(.*)|--\d+(.*)"","""")"),"LAGARDE")</f>
        <v>LAGARDE</v>
      </c>
      <c r="E18465" s="38" t="s">
        <v>238</v>
      </c>
      <c r="F18465" s="38" t="s">
        <v>94</v>
      </c>
      <c r="G18465" s="49" t="str">
        <f t="shared" si="1"/>
        <v>09500</v>
      </c>
      <c r="H18465" s="49" t="str">
        <f t="shared" si="2"/>
        <v>09150</v>
      </c>
    </row>
    <row r="18466">
      <c r="A18466" s="48" t="s">
        <v>2033</v>
      </c>
      <c r="B18466" s="38">
        <v>18070.0</v>
      </c>
      <c r="C18466" s="38" t="s">
        <v>22909</v>
      </c>
      <c r="D18466" s="38" t="str">
        <f>IFERROR(__xludf.DUMMYFUNCTION("REGEXREPLACE(C18466,""-\d+(.*)|--\d+(.*)"","""")"),"CONCRESSAULT")</f>
        <v>CONCRESSAULT</v>
      </c>
      <c r="E18466" s="38" t="s">
        <v>504</v>
      </c>
      <c r="F18466" s="38" t="s">
        <v>123</v>
      </c>
      <c r="G18466" s="49" t="str">
        <f t="shared" si="1"/>
        <v>18260</v>
      </c>
      <c r="H18466" s="49">
        <f t="shared" si="2"/>
        <v>18070</v>
      </c>
    </row>
    <row r="18467">
      <c r="A18467" s="48" t="s">
        <v>460</v>
      </c>
      <c r="B18467" s="38">
        <v>33137.0</v>
      </c>
      <c r="C18467" s="38" t="s">
        <v>22910</v>
      </c>
      <c r="D18467" s="38" t="str">
        <f>IFERROR(__xludf.DUMMYFUNCTION("REGEXREPLACE(C18467,""-\d+(.*)|--\d+(.*)"","""")"),"COURS-LES-BAINS")</f>
        <v>COURS-LES-BAINS</v>
      </c>
      <c r="E18467" s="38" t="s">
        <v>462</v>
      </c>
      <c r="F18467" s="38" t="s">
        <v>252</v>
      </c>
      <c r="G18467" s="49" t="str">
        <f t="shared" si="1"/>
        <v>33690</v>
      </c>
      <c r="H18467" s="49">
        <f t="shared" si="2"/>
        <v>33137</v>
      </c>
    </row>
    <row r="18468">
      <c r="A18468" s="48" t="s">
        <v>2534</v>
      </c>
      <c r="B18468" s="38">
        <v>27636.0</v>
      </c>
      <c r="C18468" s="38" t="s">
        <v>22911</v>
      </c>
      <c r="D18468" s="38" t="str">
        <f>IFERROR(__xludf.DUMMYFUNCTION("REGEXREPLACE(C18468,""-\d+(.*)|--\d+(.*)"","""")"),"LE THUIT-ANGER")</f>
        <v>LE THUIT-ANGER</v>
      </c>
      <c r="E18468" s="38" t="s">
        <v>241</v>
      </c>
      <c r="F18468" s="38" t="s">
        <v>134</v>
      </c>
      <c r="G18468" s="49" t="str">
        <f t="shared" si="1"/>
        <v>27370</v>
      </c>
      <c r="H18468" s="49">
        <f t="shared" si="2"/>
        <v>27636</v>
      </c>
    </row>
    <row r="18469">
      <c r="A18469" s="48" t="s">
        <v>1669</v>
      </c>
      <c r="B18469" s="38">
        <v>21072.0</v>
      </c>
      <c r="C18469" s="38" t="s">
        <v>22912</v>
      </c>
      <c r="D18469" s="38" t="str">
        <f>IFERROR(__xludf.DUMMYFUNCTION("REGEXREPLACE(C18469,""-\d+(.*)|--\d+(.*)"","""")"),"BEZOUOTTE")</f>
        <v>BEZOUOTTE</v>
      </c>
      <c r="E18469" s="38" t="s">
        <v>105</v>
      </c>
      <c r="F18469" s="38" t="s">
        <v>106</v>
      </c>
      <c r="G18469" s="49" t="str">
        <f t="shared" si="1"/>
        <v>21310</v>
      </c>
      <c r="H18469" s="49">
        <f t="shared" si="2"/>
        <v>21072</v>
      </c>
    </row>
    <row r="18470">
      <c r="A18470" s="48" t="s">
        <v>4416</v>
      </c>
      <c r="B18470" s="38">
        <v>56154.0</v>
      </c>
      <c r="C18470" s="38" t="s">
        <v>22913</v>
      </c>
      <c r="D18470" s="38" t="str">
        <f>IFERROR(__xludf.DUMMYFUNCTION("REGEXREPLACE(C18470,""-\d+(.*)|--\d+(.*)"","""")"),"PEILLAC")</f>
        <v>PEILLAC</v>
      </c>
      <c r="E18470" s="38" t="s">
        <v>173</v>
      </c>
      <c r="F18470" s="38" t="s">
        <v>90</v>
      </c>
      <c r="G18470" s="49" t="str">
        <f t="shared" si="1"/>
        <v>56220</v>
      </c>
      <c r="H18470" s="49">
        <f t="shared" si="2"/>
        <v>56154</v>
      </c>
    </row>
    <row r="18471">
      <c r="A18471" s="48" t="s">
        <v>1143</v>
      </c>
      <c r="B18471" s="38">
        <v>52211.0</v>
      </c>
      <c r="C18471" s="38" t="s">
        <v>22914</v>
      </c>
      <c r="D18471" s="38" t="str">
        <f>IFERROR(__xludf.DUMMYFUNCTION("REGEXREPLACE(C18471,""-\d+(.*)|--\d+(.*)"","""")"),"FRONCLES")</f>
        <v>FRONCLES</v>
      </c>
      <c r="E18471" s="38" t="s">
        <v>234</v>
      </c>
      <c r="F18471" s="38" t="s">
        <v>130</v>
      </c>
      <c r="G18471" s="49" t="str">
        <f t="shared" si="1"/>
        <v>52320</v>
      </c>
      <c r="H18471" s="49">
        <f t="shared" si="2"/>
        <v>52211</v>
      </c>
    </row>
    <row r="18472">
      <c r="A18472" s="48" t="s">
        <v>1618</v>
      </c>
      <c r="B18472" s="38">
        <v>11154.0</v>
      </c>
      <c r="C18472" s="38" t="s">
        <v>22915</v>
      </c>
      <c r="D18472" s="38" t="str">
        <f>IFERROR(__xludf.DUMMYFUNCTION("REGEXREPLACE(C18472,""-\d+(.*)|--\d+(.*)"","""")"),"FOURNES-CABARDES")</f>
        <v>FOURNES-CABARDES</v>
      </c>
      <c r="E18472" s="38" t="s">
        <v>278</v>
      </c>
      <c r="F18472" s="38" t="s">
        <v>119</v>
      </c>
      <c r="G18472" s="49" t="str">
        <f t="shared" si="1"/>
        <v>11600</v>
      </c>
      <c r="H18472" s="49">
        <f t="shared" si="2"/>
        <v>11154</v>
      </c>
    </row>
    <row r="18473">
      <c r="A18473" s="48" t="s">
        <v>7845</v>
      </c>
      <c r="B18473" s="38">
        <v>12100.0</v>
      </c>
      <c r="C18473" s="38" t="s">
        <v>22916</v>
      </c>
      <c r="D18473" s="38" t="str">
        <f>IFERROR(__xludf.DUMMYFUNCTION("REGEXREPLACE(C18473,""-\d+(.*)|--\d+(.*)"","""")"),"FIRMI")</f>
        <v>FIRMI</v>
      </c>
      <c r="E18473" s="38" t="s">
        <v>465</v>
      </c>
      <c r="F18473" s="38" t="s">
        <v>94</v>
      </c>
      <c r="G18473" s="49" t="str">
        <f t="shared" si="1"/>
        <v>12300</v>
      </c>
      <c r="H18473" s="49">
        <f t="shared" si="2"/>
        <v>12100</v>
      </c>
    </row>
    <row r="18474">
      <c r="A18474" s="48" t="s">
        <v>8626</v>
      </c>
      <c r="B18474" s="38">
        <v>7280.0</v>
      </c>
      <c r="C18474" s="38" t="s">
        <v>22917</v>
      </c>
      <c r="D18474" s="38" t="str">
        <f>IFERROR(__xludf.DUMMYFUNCTION("REGEXREPLACE(C18474,""-\d+(.*)|--\d+(.*)"","""")"),"SAINT-PAUL-LE-JEUNE")</f>
        <v>SAINT-PAUL-LE-JEUNE</v>
      </c>
      <c r="E18474" s="38" t="s">
        <v>144</v>
      </c>
      <c r="F18474" s="38" t="s">
        <v>102</v>
      </c>
      <c r="G18474" s="49" t="str">
        <f t="shared" si="1"/>
        <v>07460</v>
      </c>
      <c r="H18474" s="49" t="str">
        <f t="shared" si="2"/>
        <v>07280</v>
      </c>
    </row>
    <row r="18475">
      <c r="A18475" s="48" t="s">
        <v>9675</v>
      </c>
      <c r="B18475" s="38">
        <v>24237.0</v>
      </c>
      <c r="C18475" s="38" t="s">
        <v>22918</v>
      </c>
      <c r="D18475" s="38" t="str">
        <f>IFERROR(__xludf.DUMMYFUNCTION("REGEXREPLACE(C18475,""-\d+(.*)|--\d+(.*)"","""")"),"LEMBRAS")</f>
        <v>LEMBRAS</v>
      </c>
      <c r="E18475" s="38" t="s">
        <v>261</v>
      </c>
      <c r="F18475" s="38" t="s">
        <v>252</v>
      </c>
      <c r="G18475" s="49" t="str">
        <f t="shared" si="1"/>
        <v>24100</v>
      </c>
      <c r="H18475" s="49">
        <f t="shared" si="2"/>
        <v>24237</v>
      </c>
    </row>
    <row r="18476">
      <c r="A18476" s="48" t="s">
        <v>1066</v>
      </c>
      <c r="B18476" s="38">
        <v>49322.0</v>
      </c>
      <c r="C18476" s="38" t="s">
        <v>1346</v>
      </c>
      <c r="D18476" s="38" t="str">
        <f>IFERROR(__xludf.DUMMYFUNCTION("REGEXREPLACE(C18476,""-\d+(.*)|--\d+(.*)"","""")"),"SAINT-SULPICE")</f>
        <v>SAINT-SULPICE</v>
      </c>
      <c r="E18476" s="38" t="s">
        <v>653</v>
      </c>
      <c r="F18476" s="38" t="s">
        <v>180</v>
      </c>
      <c r="G18476" s="49" t="str">
        <f t="shared" si="1"/>
        <v>49320</v>
      </c>
      <c r="H18476" s="49">
        <f t="shared" si="2"/>
        <v>49322</v>
      </c>
    </row>
    <row r="18477">
      <c r="A18477" s="48" t="s">
        <v>14628</v>
      </c>
      <c r="B18477" s="38">
        <v>76174.0</v>
      </c>
      <c r="C18477" s="38" t="s">
        <v>22919</v>
      </c>
      <c r="D18477" s="38" t="str">
        <f>IFERROR(__xludf.DUMMYFUNCTION("REGEXREPLACE(C18477,""-\d+(.*)|--\d+(.*)"","""")"),"CIDEVILLE")</f>
        <v>CIDEVILLE</v>
      </c>
      <c r="E18477" s="38" t="s">
        <v>133</v>
      </c>
      <c r="F18477" s="38" t="s">
        <v>134</v>
      </c>
      <c r="G18477" s="49" t="str">
        <f t="shared" si="1"/>
        <v>76570</v>
      </c>
      <c r="H18477" s="49">
        <f t="shared" si="2"/>
        <v>76174</v>
      </c>
    </row>
    <row r="18478">
      <c r="A18478" s="48" t="s">
        <v>1594</v>
      </c>
      <c r="B18478" s="38">
        <v>45098.0</v>
      </c>
      <c r="C18478" s="38" t="s">
        <v>22920</v>
      </c>
      <c r="D18478" s="38" t="str">
        <f>IFERROR(__xludf.DUMMYFUNCTION("REGEXREPLACE(C18478,""-\d+(.*)|--\d+(.*)"","""")"),"CLERY-SAINT-ANDRE")</f>
        <v>CLERY-SAINT-ANDRE</v>
      </c>
      <c r="E18478" s="38" t="s">
        <v>122</v>
      </c>
      <c r="F18478" s="38" t="s">
        <v>123</v>
      </c>
      <c r="G18478" s="49" t="str">
        <f t="shared" si="1"/>
        <v>45370</v>
      </c>
      <c r="H18478" s="49">
        <f t="shared" si="2"/>
        <v>45098</v>
      </c>
    </row>
    <row r="18479">
      <c r="A18479" s="48" t="s">
        <v>458</v>
      </c>
      <c r="B18479" s="38">
        <v>34185.0</v>
      </c>
      <c r="C18479" s="38" t="s">
        <v>22921</v>
      </c>
      <c r="D18479" s="38" t="str">
        <f>IFERROR(__xludf.DUMMYFUNCTION("REGEXREPLACE(C18479,""-\d+(.*)|--\d+(.*)"","""")"),"NOTRE-DAME-DE-LONDRES")</f>
        <v>NOTRE-DAME-DE-LONDRES</v>
      </c>
      <c r="E18479" s="38" t="s">
        <v>118</v>
      </c>
      <c r="F18479" s="38" t="s">
        <v>119</v>
      </c>
      <c r="G18479" s="49" t="str">
        <f t="shared" si="1"/>
        <v>34380</v>
      </c>
      <c r="H18479" s="49">
        <f t="shared" si="2"/>
        <v>34185</v>
      </c>
    </row>
    <row r="18480">
      <c r="A18480" s="48" t="s">
        <v>9585</v>
      </c>
      <c r="B18480" s="38">
        <v>25474.0</v>
      </c>
      <c r="C18480" s="38" t="s">
        <v>786</v>
      </c>
      <c r="D18480" s="38" t="str">
        <f>IFERROR(__xludf.DUMMYFUNCTION("REGEXREPLACE(C18480,""-\d+(.*)|--\d+(.*)"","""")"),"LE PUY")</f>
        <v>LE PUY</v>
      </c>
      <c r="E18480" s="38" t="s">
        <v>213</v>
      </c>
      <c r="F18480" s="38" t="s">
        <v>214</v>
      </c>
      <c r="G18480" s="49" t="str">
        <f t="shared" si="1"/>
        <v>25640</v>
      </c>
      <c r="H18480" s="49">
        <f t="shared" si="2"/>
        <v>25474</v>
      </c>
    </row>
    <row r="18481">
      <c r="A18481" s="48" t="s">
        <v>3109</v>
      </c>
      <c r="B18481" s="38">
        <v>9076.0</v>
      </c>
      <c r="C18481" s="38" t="s">
        <v>22922</v>
      </c>
      <c r="D18481" s="38" t="str">
        <f>IFERROR(__xludf.DUMMYFUNCTION("REGEXREPLACE(C18481,""-\d+(.*)|--\d+(.*)"","""")"),"CANTE")</f>
        <v>CANTE</v>
      </c>
      <c r="E18481" s="38" t="s">
        <v>238</v>
      </c>
      <c r="F18481" s="38" t="s">
        <v>94</v>
      </c>
      <c r="G18481" s="49" t="str">
        <f t="shared" si="1"/>
        <v>09700</v>
      </c>
      <c r="H18481" s="49" t="str">
        <f t="shared" si="2"/>
        <v>09076</v>
      </c>
    </row>
    <row r="18482">
      <c r="A18482" s="48" t="s">
        <v>6460</v>
      </c>
      <c r="B18482" s="38">
        <v>85109.0</v>
      </c>
      <c r="C18482" s="38" t="s">
        <v>22923</v>
      </c>
      <c r="D18482" s="38" t="str">
        <f>IFERROR(__xludf.DUMMYFUNCTION("REGEXREPLACE(C18482,""-\d+(.*)|--\d+(.*)"","""")"),"LES HERBIERS")</f>
        <v>LES HERBIERS</v>
      </c>
      <c r="E18482" s="38" t="s">
        <v>179</v>
      </c>
      <c r="F18482" s="38" t="s">
        <v>180</v>
      </c>
      <c r="G18482" s="49" t="str">
        <f t="shared" si="1"/>
        <v>85500</v>
      </c>
      <c r="H18482" s="49">
        <f t="shared" si="2"/>
        <v>85109</v>
      </c>
    </row>
    <row r="18483">
      <c r="A18483" s="48" t="s">
        <v>22924</v>
      </c>
      <c r="B18483" s="38">
        <v>29158.0</v>
      </c>
      <c r="C18483" s="38" t="s">
        <v>22925</v>
      </c>
      <c r="D18483" s="38" t="str">
        <f>IFERROR(__xludf.DUMMYFUNCTION("REGEXREPLACE(C18483,""-\d+(.*)|--\d+(.*)"","""")"),"PENMARCH")</f>
        <v>PENMARCH</v>
      </c>
      <c r="E18483" s="38" t="s">
        <v>176</v>
      </c>
      <c r="F18483" s="38" t="s">
        <v>90</v>
      </c>
      <c r="G18483" s="49" t="str">
        <f t="shared" si="1"/>
        <v>29760</v>
      </c>
      <c r="H18483" s="49">
        <f t="shared" si="2"/>
        <v>29158</v>
      </c>
    </row>
    <row r="18484">
      <c r="A18484" s="48" t="s">
        <v>1070</v>
      </c>
      <c r="B18484" s="38">
        <v>39378.0</v>
      </c>
      <c r="C18484" s="38" t="s">
        <v>22926</v>
      </c>
      <c r="D18484" s="38" t="str">
        <f>IFERROR(__xludf.DUMMYFUNCTION("REGEXREPLACE(C18484,""-\d+(.*)|--\d+(.*)"","""")"),"NANC-LES-SAINT-AMOUR")</f>
        <v>NANC-LES-SAINT-AMOUR</v>
      </c>
      <c r="E18484" s="38" t="s">
        <v>400</v>
      </c>
      <c r="F18484" s="38" t="s">
        <v>214</v>
      </c>
      <c r="G18484" s="49" t="str">
        <f t="shared" si="1"/>
        <v>39160</v>
      </c>
      <c r="H18484" s="49">
        <f t="shared" si="2"/>
        <v>39378</v>
      </c>
    </row>
    <row r="18485">
      <c r="A18485" s="48" t="s">
        <v>16724</v>
      </c>
      <c r="B18485" s="38">
        <v>10066.0</v>
      </c>
      <c r="C18485" s="38" t="s">
        <v>22927</v>
      </c>
      <c r="D18485" s="38" t="str">
        <f>IFERROR(__xludf.DUMMYFUNCTION("REGEXREPLACE(C18485,""-\d+(.*)|--\d+(.*)"","""")"),"BUCEY-EN-OTHE")</f>
        <v>BUCEY-EN-OTHE</v>
      </c>
      <c r="E18485" s="38" t="s">
        <v>147</v>
      </c>
      <c r="F18485" s="38" t="s">
        <v>130</v>
      </c>
      <c r="G18485" s="49" t="str">
        <f t="shared" si="1"/>
        <v>10190</v>
      </c>
      <c r="H18485" s="49">
        <f t="shared" si="2"/>
        <v>10066</v>
      </c>
    </row>
    <row r="18486">
      <c r="A18486" s="48" t="s">
        <v>22928</v>
      </c>
      <c r="B18486" s="38">
        <v>11429.0</v>
      </c>
      <c r="C18486" s="38" t="s">
        <v>22929</v>
      </c>
      <c r="D18486" s="38" t="str">
        <f>IFERROR(__xludf.DUMMYFUNCTION("REGEXREPLACE(C18486,""-\d+(.*)|--\d+(.*)"","""")"),"VILLEMOUSTAUSSOU")</f>
        <v>VILLEMOUSTAUSSOU</v>
      </c>
      <c r="E18486" s="38" t="s">
        <v>278</v>
      </c>
      <c r="F18486" s="38" t="s">
        <v>119</v>
      </c>
      <c r="G18486" s="49" t="str">
        <f t="shared" si="1"/>
        <v>11620</v>
      </c>
      <c r="H18486" s="49">
        <f t="shared" si="2"/>
        <v>11429</v>
      </c>
    </row>
    <row r="18487">
      <c r="A18487" s="48" t="s">
        <v>423</v>
      </c>
      <c r="B18487" s="38">
        <v>2259.0</v>
      </c>
      <c r="C18487" s="38" t="s">
        <v>22930</v>
      </c>
      <c r="D18487" s="38" t="str">
        <f>IFERROR(__xludf.DUMMYFUNCTION("REGEXREPLACE(C18487,""-\d+(.*)|--\d+(.*)"","""")"),"DAMPLEUX")</f>
        <v>DAMPLEUX</v>
      </c>
      <c r="E18487" s="38" t="s">
        <v>191</v>
      </c>
      <c r="F18487" s="38" t="s">
        <v>113</v>
      </c>
      <c r="G18487" s="49" t="str">
        <f t="shared" si="1"/>
        <v>02600</v>
      </c>
      <c r="H18487" s="49" t="str">
        <f t="shared" si="2"/>
        <v>02259</v>
      </c>
    </row>
    <row r="18488">
      <c r="A18488" s="48" t="s">
        <v>14521</v>
      </c>
      <c r="B18488" s="38">
        <v>91514.0</v>
      </c>
      <c r="C18488" s="38" t="s">
        <v>22931</v>
      </c>
      <c r="D18488" s="38" t="str">
        <f>IFERROR(__xludf.DUMMYFUNCTION("REGEXREPLACE(C18488,""-\d+(.*)|--\d+(.*)"","""")"),"QUINCY-SOUS-SENART")</f>
        <v>QUINCY-SOUS-SENART</v>
      </c>
      <c r="E18488" s="38" t="s">
        <v>756</v>
      </c>
      <c r="F18488" s="38" t="s">
        <v>245</v>
      </c>
      <c r="G18488" s="49" t="str">
        <f t="shared" si="1"/>
        <v>91480</v>
      </c>
      <c r="H18488" s="49">
        <f t="shared" si="2"/>
        <v>91514</v>
      </c>
    </row>
    <row r="18489">
      <c r="A18489" s="48" t="s">
        <v>8120</v>
      </c>
      <c r="B18489" s="38">
        <v>61153.0</v>
      </c>
      <c r="C18489" s="38" t="s">
        <v>22932</v>
      </c>
      <c r="D18489" s="38" t="str">
        <f>IFERROR(__xludf.DUMMYFUNCTION("REGEXREPLACE(C18489,""-\d+(.*)|--\d+(.*)"","""")"),"ECOUCHE")</f>
        <v>ECOUCHE</v>
      </c>
      <c r="E18489" s="38" t="s">
        <v>141</v>
      </c>
      <c r="F18489" s="38" t="s">
        <v>138</v>
      </c>
      <c r="G18489" s="49" t="str">
        <f t="shared" si="1"/>
        <v>61150</v>
      </c>
      <c r="H18489" s="49">
        <f t="shared" si="2"/>
        <v>61153</v>
      </c>
    </row>
    <row r="18490">
      <c r="A18490" s="48" t="s">
        <v>407</v>
      </c>
      <c r="B18490" s="38">
        <v>71458.0</v>
      </c>
      <c r="C18490" s="38" t="s">
        <v>22933</v>
      </c>
      <c r="D18490" s="38" t="str">
        <f>IFERROR(__xludf.DUMMYFUNCTION("REGEXREPLACE(C18490,""-\d+(.*)|--\d+(.*)"","""")"),"SAINT-MARTIN-LA-PATROUILLE")</f>
        <v>SAINT-MARTIN-LA-PATROUILLE</v>
      </c>
      <c r="E18490" s="38" t="s">
        <v>344</v>
      </c>
      <c r="F18490" s="38" t="s">
        <v>106</v>
      </c>
      <c r="G18490" s="49" t="str">
        <f t="shared" si="1"/>
        <v>71460</v>
      </c>
      <c r="H18490" s="49">
        <f t="shared" si="2"/>
        <v>71458</v>
      </c>
    </row>
    <row r="18491">
      <c r="A18491" s="48" t="s">
        <v>5081</v>
      </c>
      <c r="B18491" s="38">
        <v>54326.0</v>
      </c>
      <c r="C18491" s="38" t="s">
        <v>22934</v>
      </c>
      <c r="D18491" s="38" t="str">
        <f>IFERROR(__xludf.DUMMYFUNCTION("REGEXREPLACE(C18491,""-\d+(.*)|--\d+(.*)"","""")"),"LUBEY")</f>
        <v>LUBEY</v>
      </c>
      <c r="E18491" s="38" t="s">
        <v>548</v>
      </c>
      <c r="F18491" s="38" t="s">
        <v>195</v>
      </c>
      <c r="G18491" s="49" t="str">
        <f t="shared" si="1"/>
        <v>54150</v>
      </c>
      <c r="H18491" s="49">
        <f t="shared" si="2"/>
        <v>54326</v>
      </c>
    </row>
    <row r="18492">
      <c r="A18492" s="48" t="s">
        <v>8221</v>
      </c>
      <c r="B18492" s="38">
        <v>32354.0</v>
      </c>
      <c r="C18492" s="38" t="s">
        <v>22935</v>
      </c>
      <c r="D18492" s="38" t="str">
        <f>IFERROR(__xludf.DUMMYFUNCTION("REGEXREPLACE(C18492,""-\d+(.*)|--\d+(.*)"","""")"),"SABAZAN")</f>
        <v>SABAZAN</v>
      </c>
      <c r="E18492" s="38" t="s">
        <v>440</v>
      </c>
      <c r="F18492" s="38" t="s">
        <v>94</v>
      </c>
      <c r="G18492" s="49" t="str">
        <f t="shared" si="1"/>
        <v>32290</v>
      </c>
      <c r="H18492" s="49">
        <f t="shared" si="2"/>
        <v>32354</v>
      </c>
    </row>
    <row r="18493">
      <c r="A18493" s="48" t="s">
        <v>22936</v>
      </c>
      <c r="B18493" s="38">
        <v>59495.0</v>
      </c>
      <c r="C18493" s="38" t="s">
        <v>22937</v>
      </c>
      <c r="D18493" s="38" t="str">
        <f>IFERROR(__xludf.DUMMYFUNCTION("REGEXREPLACE(C18493,""-\d+(.*)|--\d+(.*)"","""")"),"RECQUIGNIES")</f>
        <v>RECQUIGNIES</v>
      </c>
      <c r="E18493" s="38" t="s">
        <v>85</v>
      </c>
      <c r="F18493" s="38" t="s">
        <v>86</v>
      </c>
      <c r="G18493" s="49" t="str">
        <f t="shared" si="1"/>
        <v>59245</v>
      </c>
      <c r="H18493" s="49">
        <f t="shared" si="2"/>
        <v>59495</v>
      </c>
    </row>
    <row r="18494">
      <c r="A18494" s="48" t="s">
        <v>920</v>
      </c>
      <c r="B18494" s="38">
        <v>31246.0</v>
      </c>
      <c r="C18494" s="38" t="s">
        <v>22938</v>
      </c>
      <c r="D18494" s="38" t="str">
        <f>IFERROR(__xludf.DUMMYFUNCTION("REGEXREPLACE(C18494,""-\d+(.*)|--\d+(.*)"","""")"),"LABARTHE-INARD")</f>
        <v>LABARTHE-INARD</v>
      </c>
      <c r="E18494" s="38" t="s">
        <v>93</v>
      </c>
      <c r="F18494" s="38" t="s">
        <v>94</v>
      </c>
      <c r="G18494" s="49" t="str">
        <f t="shared" si="1"/>
        <v>31800</v>
      </c>
      <c r="H18494" s="49">
        <f t="shared" si="2"/>
        <v>31246</v>
      </c>
    </row>
    <row r="18495">
      <c r="A18495" s="48" t="s">
        <v>14628</v>
      </c>
      <c r="B18495" s="38">
        <v>76287.0</v>
      </c>
      <c r="C18495" s="38" t="s">
        <v>22939</v>
      </c>
      <c r="D18495" s="38" t="str">
        <f>IFERROR(__xludf.DUMMYFUNCTION("REGEXREPLACE(C18495,""-\d+(.*)|--\d+(.*)"","""")"),"FRESQUIENNES")</f>
        <v>FRESQUIENNES</v>
      </c>
      <c r="E18495" s="38" t="s">
        <v>133</v>
      </c>
      <c r="F18495" s="38" t="s">
        <v>134</v>
      </c>
      <c r="G18495" s="49" t="str">
        <f t="shared" si="1"/>
        <v>76570</v>
      </c>
      <c r="H18495" s="49">
        <f t="shared" si="2"/>
        <v>76287</v>
      </c>
    </row>
    <row r="18496">
      <c r="A18496" s="48" t="s">
        <v>12845</v>
      </c>
      <c r="B18496" s="38">
        <v>85221.0</v>
      </c>
      <c r="C18496" s="38" t="s">
        <v>20940</v>
      </c>
      <c r="D18496" s="38" t="str">
        <f>IFERROR(__xludf.DUMMYFUNCTION("REGEXREPLACE(C18496,""-\d+(.*)|--\d+(.*)"","""")"),"SAINT-GERVAIS")</f>
        <v>SAINT-GERVAIS</v>
      </c>
      <c r="E18496" s="38" t="s">
        <v>179</v>
      </c>
      <c r="F18496" s="38" t="s">
        <v>180</v>
      </c>
      <c r="G18496" s="49" t="str">
        <f t="shared" si="1"/>
        <v>85230</v>
      </c>
      <c r="H18496" s="49">
        <f t="shared" si="2"/>
        <v>85221</v>
      </c>
    </row>
    <row r="18497">
      <c r="A18497" s="48" t="s">
        <v>4481</v>
      </c>
      <c r="B18497" s="38">
        <v>66062.0</v>
      </c>
      <c r="C18497" s="38" t="s">
        <v>22940</v>
      </c>
      <c r="D18497" s="38" t="str">
        <f>IFERROR(__xludf.DUMMYFUNCTION("REGEXREPLACE(C18497,""-\d+(.*)|--\d+(.*)"","""")"),"DORRES")</f>
        <v>DORRES</v>
      </c>
      <c r="E18497" s="38" t="s">
        <v>248</v>
      </c>
      <c r="F18497" s="38" t="s">
        <v>119</v>
      </c>
      <c r="G18497" s="49" t="str">
        <f t="shared" si="1"/>
        <v>66760</v>
      </c>
      <c r="H18497" s="49">
        <f t="shared" si="2"/>
        <v>66062</v>
      </c>
    </row>
    <row r="18498">
      <c r="A18498" s="48" t="s">
        <v>11856</v>
      </c>
      <c r="B18498" s="38">
        <v>88284.0</v>
      </c>
      <c r="C18498" s="38" t="s">
        <v>22941</v>
      </c>
      <c r="D18498" s="38" t="str">
        <f>IFERROR(__xludf.DUMMYFUNCTION("REGEXREPLACE(C18498,""-\d+(.*)|--\d+(.*)"","""")"),"MANDRAY")</f>
        <v>MANDRAY</v>
      </c>
      <c r="E18498" s="38" t="s">
        <v>194</v>
      </c>
      <c r="F18498" s="38" t="s">
        <v>195</v>
      </c>
      <c r="G18498" s="49" t="str">
        <f t="shared" si="1"/>
        <v>88650</v>
      </c>
      <c r="H18498" s="49">
        <f t="shared" si="2"/>
        <v>88284</v>
      </c>
    </row>
    <row r="18499">
      <c r="A18499" s="48" t="s">
        <v>7622</v>
      </c>
      <c r="B18499" s="38">
        <v>10173.0</v>
      </c>
      <c r="C18499" s="38" t="s">
        <v>22942</v>
      </c>
      <c r="D18499" s="38" t="str">
        <f>IFERROR(__xludf.DUMMYFUNCTION("REGEXREPLACE(C18499,""-\d+(.*)|--\d+(.*)"","""")"),"ISLE-AUMONT")</f>
        <v>ISLE-AUMONT</v>
      </c>
      <c r="E18499" s="38" t="s">
        <v>147</v>
      </c>
      <c r="F18499" s="38" t="s">
        <v>130</v>
      </c>
      <c r="G18499" s="49" t="str">
        <f t="shared" si="1"/>
        <v>10800</v>
      </c>
      <c r="H18499" s="49">
        <f t="shared" si="2"/>
        <v>10173</v>
      </c>
    </row>
    <row r="18500">
      <c r="A18500" s="48" t="s">
        <v>4243</v>
      </c>
      <c r="B18500" s="38">
        <v>22158.0</v>
      </c>
      <c r="C18500" s="38" t="s">
        <v>22943</v>
      </c>
      <c r="D18500" s="38" t="str">
        <f>IFERROR(__xludf.DUMMYFUNCTION("REGEXREPLACE(C18500,""-\d+(.*)|--\d+(.*)"","""")"),"MUR-DE-BRETAGNE")</f>
        <v>MUR-DE-BRETAGNE</v>
      </c>
      <c r="E18500" s="38" t="s">
        <v>89</v>
      </c>
      <c r="F18500" s="38" t="s">
        <v>90</v>
      </c>
      <c r="G18500" s="49" t="str">
        <f t="shared" si="1"/>
        <v>22530</v>
      </c>
      <c r="H18500" s="49">
        <f t="shared" si="2"/>
        <v>22158</v>
      </c>
    </row>
    <row r="18501">
      <c r="A18501" s="48" t="s">
        <v>15508</v>
      </c>
      <c r="B18501" s="38">
        <v>38179.0</v>
      </c>
      <c r="C18501" s="38" t="s">
        <v>22944</v>
      </c>
      <c r="D18501" s="38" t="str">
        <f>IFERROR(__xludf.DUMMYFUNCTION("REGEXREPLACE(C18501,""-\d+(.*)|--\d+(.*)"","""")"),"GIERES")</f>
        <v>GIERES</v>
      </c>
      <c r="E18501" s="38" t="s">
        <v>101</v>
      </c>
      <c r="F18501" s="38" t="s">
        <v>102</v>
      </c>
      <c r="G18501" s="49" t="str">
        <f t="shared" si="1"/>
        <v>38610</v>
      </c>
      <c r="H18501" s="49">
        <f t="shared" si="2"/>
        <v>38179</v>
      </c>
    </row>
    <row r="18502">
      <c r="A18502" s="48" t="s">
        <v>2106</v>
      </c>
      <c r="B18502" s="38">
        <v>18025.0</v>
      </c>
      <c r="C18502" s="38" t="s">
        <v>22945</v>
      </c>
      <c r="D18502" s="38" t="str">
        <f>IFERROR(__xludf.DUMMYFUNCTION("REGEXREPLACE(C18502,""-\d+(.*)|--\d+(.*)"","""")"),"BEFFES")</f>
        <v>BEFFES</v>
      </c>
      <c r="E18502" s="38" t="s">
        <v>504</v>
      </c>
      <c r="F18502" s="38" t="s">
        <v>123</v>
      </c>
      <c r="G18502" s="49" t="str">
        <f t="shared" si="1"/>
        <v>18320</v>
      </c>
      <c r="H18502" s="49">
        <f t="shared" si="2"/>
        <v>18025</v>
      </c>
    </row>
    <row r="18503">
      <c r="A18503" s="48" t="s">
        <v>5642</v>
      </c>
      <c r="B18503" s="38">
        <v>73234.0</v>
      </c>
      <c r="C18503" s="38" t="s">
        <v>22946</v>
      </c>
      <c r="D18503" s="38" t="str">
        <f>IFERROR(__xludf.DUMMYFUNCTION("REGEXREPLACE(C18503,""-\d+(.*)|--\d+(.*)"","""")"),"SAINT-FRANCOIS-DE-SALES")</f>
        <v>SAINT-FRANCOIS-DE-SALES</v>
      </c>
      <c r="E18503" s="38" t="s">
        <v>306</v>
      </c>
      <c r="F18503" s="38" t="s">
        <v>102</v>
      </c>
      <c r="G18503" s="49" t="str">
        <f t="shared" si="1"/>
        <v>73340</v>
      </c>
      <c r="H18503" s="49">
        <f t="shared" si="2"/>
        <v>73234</v>
      </c>
    </row>
    <row r="18504">
      <c r="A18504" s="48" t="s">
        <v>2582</v>
      </c>
      <c r="B18504" s="38">
        <v>14005.0</v>
      </c>
      <c r="C18504" s="38" t="s">
        <v>22947</v>
      </c>
      <c r="D18504" s="38" t="str">
        <f>IFERROR(__xludf.DUMMYFUNCTION("REGEXREPLACE(C18504,""-\d+(.*)|--\d+(.*)"","""")"),"AIRAN")</f>
        <v>AIRAN</v>
      </c>
      <c r="E18504" s="38" t="s">
        <v>137</v>
      </c>
      <c r="F18504" s="38" t="s">
        <v>138</v>
      </c>
      <c r="G18504" s="49" t="str">
        <f t="shared" si="1"/>
        <v>14370</v>
      </c>
      <c r="H18504" s="49">
        <f t="shared" si="2"/>
        <v>14005</v>
      </c>
    </row>
    <row r="18505">
      <c r="A18505" s="48" t="s">
        <v>4036</v>
      </c>
      <c r="B18505" s="38">
        <v>49043.0</v>
      </c>
      <c r="C18505" s="38" t="s">
        <v>22948</v>
      </c>
      <c r="D18505" s="38" t="str">
        <f>IFERROR(__xludf.DUMMYFUNCTION("REGEXREPLACE(C18505,""-\d+(.*)|--\d+(.*)"","""")"),"BRAIN-SUR-LONGUENEE")</f>
        <v>BRAIN-SUR-LONGUENEE</v>
      </c>
      <c r="E18505" s="38" t="s">
        <v>653</v>
      </c>
      <c r="F18505" s="38" t="s">
        <v>180</v>
      </c>
      <c r="G18505" s="49" t="str">
        <f t="shared" si="1"/>
        <v>49220</v>
      </c>
      <c r="H18505" s="49">
        <f t="shared" si="2"/>
        <v>49043</v>
      </c>
    </row>
    <row r="18506">
      <c r="A18506" s="48" t="s">
        <v>6311</v>
      </c>
      <c r="B18506" s="38">
        <v>89394.0</v>
      </c>
      <c r="C18506" s="38" t="s">
        <v>17856</v>
      </c>
      <c r="D18506" s="38" t="str">
        <f>IFERROR(__xludf.DUMMYFUNCTION("REGEXREPLACE(C18506,""-\d+(.*)|--\d+(.*)"","""")"),"SERY")</f>
        <v>SERY</v>
      </c>
      <c r="E18506" s="38" t="s">
        <v>275</v>
      </c>
      <c r="F18506" s="38" t="s">
        <v>106</v>
      </c>
      <c r="G18506" s="49" t="str">
        <f t="shared" si="1"/>
        <v>89270</v>
      </c>
      <c r="H18506" s="49">
        <f t="shared" si="2"/>
        <v>89394</v>
      </c>
    </row>
    <row r="18507">
      <c r="A18507" s="48" t="s">
        <v>6409</v>
      </c>
      <c r="B18507" s="38">
        <v>79040.0</v>
      </c>
      <c r="C18507" s="38" t="s">
        <v>22949</v>
      </c>
      <c r="D18507" s="38" t="str">
        <f>IFERROR(__xludf.DUMMYFUNCTION("REGEXREPLACE(C18507,""-\d+(.*)|--\d+(.*)"","""")"),"LA BOISSIERE-EN-GATINE")</f>
        <v>LA BOISSIERE-EN-GATINE</v>
      </c>
      <c r="E18507" s="38" t="s">
        <v>337</v>
      </c>
      <c r="F18507" s="38" t="s">
        <v>338</v>
      </c>
      <c r="G18507" s="49" t="str">
        <f t="shared" si="1"/>
        <v>79310</v>
      </c>
      <c r="H18507" s="49">
        <f t="shared" si="2"/>
        <v>79040</v>
      </c>
    </row>
    <row r="18508">
      <c r="A18508" s="48" t="s">
        <v>6271</v>
      </c>
      <c r="B18508" s="38">
        <v>66215.0</v>
      </c>
      <c r="C18508" s="38" t="s">
        <v>22950</v>
      </c>
      <c r="D18508" s="38" t="str">
        <f>IFERROR(__xludf.DUMMYFUNCTION("REGEXREPLACE(C18508,""-\d+(.*)|--\d+(.*)"","""")"),"TREVILLACH")</f>
        <v>TREVILLACH</v>
      </c>
      <c r="E18508" s="38" t="s">
        <v>248</v>
      </c>
      <c r="F18508" s="38" t="s">
        <v>119</v>
      </c>
      <c r="G18508" s="49" t="str">
        <f t="shared" si="1"/>
        <v>66130</v>
      </c>
      <c r="H18508" s="49">
        <f t="shared" si="2"/>
        <v>66215</v>
      </c>
    </row>
    <row r="18509">
      <c r="A18509" s="48" t="s">
        <v>3729</v>
      </c>
      <c r="B18509" s="38">
        <v>32348.0</v>
      </c>
      <c r="C18509" s="38" t="s">
        <v>22951</v>
      </c>
      <c r="D18509" s="38" t="str">
        <f>IFERROR(__xludf.DUMMYFUNCTION("REGEXREPLACE(C18509,""-\d+(.*)|--\d+(.*)"","""")"),"ROQUELAURE")</f>
        <v>ROQUELAURE</v>
      </c>
      <c r="E18509" s="38" t="s">
        <v>440</v>
      </c>
      <c r="F18509" s="38" t="s">
        <v>94</v>
      </c>
      <c r="G18509" s="49" t="str">
        <f t="shared" si="1"/>
        <v>32810</v>
      </c>
      <c r="H18509" s="49">
        <f t="shared" si="2"/>
        <v>32348</v>
      </c>
    </row>
    <row r="18510">
      <c r="A18510" s="48" t="s">
        <v>5587</v>
      </c>
      <c r="B18510" s="38">
        <v>3072.0</v>
      </c>
      <c r="C18510" s="38" t="s">
        <v>22952</v>
      </c>
      <c r="D18510" s="38" t="str">
        <f>IFERROR(__xludf.DUMMYFUNCTION("REGEXREPLACE(C18510,""-\d+(.*)|--\d+(.*)"","""")"),"CHAZEMAIS")</f>
        <v>CHAZEMAIS</v>
      </c>
      <c r="E18510" s="38" t="s">
        <v>160</v>
      </c>
      <c r="F18510" s="38" t="s">
        <v>161</v>
      </c>
      <c r="G18510" s="49" t="str">
        <f t="shared" si="1"/>
        <v>03370</v>
      </c>
      <c r="H18510" s="49" t="str">
        <f t="shared" si="2"/>
        <v>03072</v>
      </c>
    </row>
    <row r="18511">
      <c r="A18511" s="48" t="s">
        <v>1638</v>
      </c>
      <c r="B18511" s="38">
        <v>70008.0</v>
      </c>
      <c r="C18511" s="38" t="s">
        <v>19164</v>
      </c>
      <c r="D18511" s="38" t="str">
        <f>IFERROR(__xludf.DUMMYFUNCTION("REGEXREPLACE(C18511,""-\d+(.*)|--\d+(.*)"","""")"),"AINVELLE")</f>
        <v>AINVELLE</v>
      </c>
      <c r="E18511" s="38" t="s">
        <v>956</v>
      </c>
      <c r="F18511" s="38" t="s">
        <v>214</v>
      </c>
      <c r="G18511" s="49" t="str">
        <f t="shared" si="1"/>
        <v>70800</v>
      </c>
      <c r="H18511" s="49">
        <f t="shared" si="2"/>
        <v>70008</v>
      </c>
    </row>
    <row r="18512">
      <c r="A18512" s="48" t="s">
        <v>1330</v>
      </c>
      <c r="B18512" s="38">
        <v>6077.0</v>
      </c>
      <c r="C18512" s="38" t="s">
        <v>22953</v>
      </c>
      <c r="D18512" s="38" t="str">
        <f>IFERROR(__xludf.DUMMYFUNCTION("REGEXREPLACE(C18512,""-\d+(.*)|--\d+(.*)"","""")"),"LUCERAM")</f>
        <v>LUCERAM</v>
      </c>
      <c r="E18512" s="38" t="s">
        <v>227</v>
      </c>
      <c r="F18512" s="38" t="s">
        <v>228</v>
      </c>
      <c r="G18512" s="49" t="str">
        <f t="shared" si="1"/>
        <v>06440</v>
      </c>
      <c r="H18512" s="49" t="str">
        <f t="shared" si="2"/>
        <v>06077</v>
      </c>
    </row>
    <row r="18513">
      <c r="A18513" s="48" t="s">
        <v>1746</v>
      </c>
      <c r="B18513" s="38">
        <v>62152.0</v>
      </c>
      <c r="C18513" s="38" t="s">
        <v>22954</v>
      </c>
      <c r="D18513" s="38" t="str">
        <f>IFERROR(__xludf.DUMMYFUNCTION("REGEXREPLACE(C18513,""-\d+(.*)|--\d+(.*)"","""")"),"BOISLEUX-SAINT-MARC")</f>
        <v>BOISLEUX-SAINT-MARC</v>
      </c>
      <c r="E18513" s="38" t="s">
        <v>109</v>
      </c>
      <c r="F18513" s="38" t="s">
        <v>86</v>
      </c>
      <c r="G18513" s="49" t="str">
        <f t="shared" si="1"/>
        <v>62175</v>
      </c>
      <c r="H18513" s="49">
        <f t="shared" si="2"/>
        <v>62152</v>
      </c>
    </row>
    <row r="18514">
      <c r="A18514" s="48" t="s">
        <v>7986</v>
      </c>
      <c r="B18514" s="38">
        <v>69090.0</v>
      </c>
      <c r="C18514" s="38" t="s">
        <v>22955</v>
      </c>
      <c r="D18514" s="38" t="str">
        <f>IFERROR(__xludf.DUMMYFUNCTION("REGEXREPLACE(C18514,""-\d+(.*)|--\d+(.*)"","""")"),"FRONTENAS")</f>
        <v>FRONTENAS</v>
      </c>
      <c r="E18514" s="38" t="s">
        <v>350</v>
      </c>
      <c r="F18514" s="38" t="s">
        <v>102</v>
      </c>
      <c r="G18514" s="49" t="str">
        <f t="shared" si="1"/>
        <v>69620</v>
      </c>
      <c r="H18514" s="49">
        <f t="shared" si="2"/>
        <v>69090</v>
      </c>
    </row>
    <row r="18515">
      <c r="A18515" s="48" t="s">
        <v>1220</v>
      </c>
      <c r="B18515" s="38">
        <v>76129.0</v>
      </c>
      <c r="C18515" s="38" t="s">
        <v>22956</v>
      </c>
      <c r="D18515" s="38" t="str">
        <f>IFERROR(__xludf.DUMMYFUNCTION("REGEXREPLACE(C18515,""-\d+(.*)|--\d+(.*)"","""")"),"BOUDEVILLE")</f>
        <v>BOUDEVILLE</v>
      </c>
      <c r="E18515" s="38" t="s">
        <v>133</v>
      </c>
      <c r="F18515" s="38" t="s">
        <v>134</v>
      </c>
      <c r="G18515" s="49" t="str">
        <f t="shared" si="1"/>
        <v>76560</v>
      </c>
      <c r="H18515" s="49">
        <f t="shared" si="2"/>
        <v>76129</v>
      </c>
    </row>
    <row r="18516">
      <c r="A18516" s="48" t="s">
        <v>1800</v>
      </c>
      <c r="B18516" s="38">
        <v>88110.0</v>
      </c>
      <c r="C18516" s="38" t="s">
        <v>22957</v>
      </c>
      <c r="D18516" s="38" t="str">
        <f>IFERROR(__xludf.DUMMYFUNCTION("REGEXREPLACE(C18516,""-\d+(.*)|--\d+(.*)"","""")"),"CLEZENTAINE")</f>
        <v>CLEZENTAINE</v>
      </c>
      <c r="E18516" s="38" t="s">
        <v>194</v>
      </c>
      <c r="F18516" s="38" t="s">
        <v>195</v>
      </c>
      <c r="G18516" s="49" t="str">
        <f t="shared" si="1"/>
        <v>88700</v>
      </c>
      <c r="H18516" s="49">
        <f t="shared" si="2"/>
        <v>88110</v>
      </c>
    </row>
    <row r="18517">
      <c r="A18517" s="48" t="s">
        <v>9621</v>
      </c>
      <c r="B18517" s="38">
        <v>43112.0</v>
      </c>
      <c r="C18517" s="38" t="s">
        <v>22958</v>
      </c>
      <c r="D18517" s="38" t="str">
        <f>IFERROR(__xludf.DUMMYFUNCTION("REGEXREPLACE(C18517,""-\d+(.*)|--\d+(.*)"","""")"),"LANGEAC")</f>
        <v>LANGEAC</v>
      </c>
      <c r="E18517" s="38" t="s">
        <v>332</v>
      </c>
      <c r="F18517" s="38" t="s">
        <v>161</v>
      </c>
      <c r="G18517" s="49" t="str">
        <f t="shared" si="1"/>
        <v>43300</v>
      </c>
      <c r="H18517" s="49">
        <f t="shared" si="2"/>
        <v>43112</v>
      </c>
    </row>
    <row r="18518">
      <c r="A18518" s="48" t="s">
        <v>1896</v>
      </c>
      <c r="B18518" s="38">
        <v>51471.0</v>
      </c>
      <c r="C18518" s="38" t="s">
        <v>16727</v>
      </c>
      <c r="D18518" s="38" t="str">
        <f>IFERROR(__xludf.DUMMYFUNCTION("REGEXREPLACE(C18518,""-\d+(.*)|--\d+(.*)"","""")"),"SACY")</f>
        <v>SACY</v>
      </c>
      <c r="E18518" s="38" t="s">
        <v>129</v>
      </c>
      <c r="F18518" s="38" t="s">
        <v>130</v>
      </c>
      <c r="G18518" s="49" t="str">
        <f t="shared" si="1"/>
        <v>51500</v>
      </c>
      <c r="H18518" s="49">
        <f t="shared" si="2"/>
        <v>51471</v>
      </c>
    </row>
    <row r="18519">
      <c r="A18519" s="48" t="s">
        <v>2447</v>
      </c>
      <c r="B18519" s="38">
        <v>42030.0</v>
      </c>
      <c r="C18519" s="38" t="s">
        <v>22959</v>
      </c>
      <c r="D18519" s="38" t="str">
        <f>IFERROR(__xludf.DUMMYFUNCTION("REGEXREPLACE(C18519,""-\d+(.*)|--\d+(.*)"","""")"),"BUSSY-ALBIEUX")</f>
        <v>BUSSY-ALBIEUX</v>
      </c>
      <c r="E18519" s="38" t="s">
        <v>166</v>
      </c>
      <c r="F18519" s="38" t="s">
        <v>102</v>
      </c>
      <c r="G18519" s="49" t="str">
        <f t="shared" si="1"/>
        <v>42260</v>
      </c>
      <c r="H18519" s="49">
        <f t="shared" si="2"/>
        <v>42030</v>
      </c>
    </row>
    <row r="18520">
      <c r="A18520" s="48" t="s">
        <v>2487</v>
      </c>
      <c r="B18520" s="38">
        <v>70449.0</v>
      </c>
      <c r="C18520" s="38" t="s">
        <v>22960</v>
      </c>
      <c r="D18520" s="38" t="str">
        <f>IFERROR(__xludf.DUMMYFUNCTION("REGEXREPLACE(C18520,""-\d+(.*)|--\d+(.*)"","""")"),"ROCHE-SUR-LINOTTE-ET-SORANS-LES-CORDIERS")</f>
        <v>ROCHE-SUR-LINOTTE-ET-SORANS-LES-CORDIERS</v>
      </c>
      <c r="E18520" s="38" t="s">
        <v>956</v>
      </c>
      <c r="F18520" s="38" t="s">
        <v>214</v>
      </c>
      <c r="G18520" s="49" t="str">
        <f t="shared" si="1"/>
        <v>70230</v>
      </c>
      <c r="H18520" s="49">
        <f t="shared" si="2"/>
        <v>70449</v>
      </c>
    </row>
    <row r="18521">
      <c r="A18521" s="48" t="s">
        <v>10550</v>
      </c>
      <c r="B18521" s="38">
        <v>45101.0</v>
      </c>
      <c r="C18521" s="38" t="s">
        <v>22961</v>
      </c>
      <c r="D18521" s="38" t="str">
        <f>IFERROR(__xludf.DUMMYFUNCTION("REGEXREPLACE(C18521,""-\d+(.*)|--\d+(.*)"","""")"),"COMBREUX")</f>
        <v>COMBREUX</v>
      </c>
      <c r="E18521" s="38" t="s">
        <v>122</v>
      </c>
      <c r="F18521" s="38" t="s">
        <v>123</v>
      </c>
      <c r="G18521" s="49" t="str">
        <f t="shared" si="1"/>
        <v>45530</v>
      </c>
      <c r="H18521" s="49">
        <f t="shared" si="2"/>
        <v>45101</v>
      </c>
    </row>
    <row r="18522">
      <c r="A18522" s="48" t="s">
        <v>3706</v>
      </c>
      <c r="B18522" s="38">
        <v>77187.0</v>
      </c>
      <c r="C18522" s="38" t="s">
        <v>22962</v>
      </c>
      <c r="D18522" s="38" t="str">
        <f>IFERROR(__xludf.DUMMYFUNCTION("REGEXREPLACE(C18522,""-\d+(.*)|--\d+(.*)"","""")"),"FONTAINE-FOURCHES")</f>
        <v>FONTAINE-FOURCHES</v>
      </c>
      <c r="E18522" s="38" t="s">
        <v>244</v>
      </c>
      <c r="F18522" s="38" t="s">
        <v>245</v>
      </c>
      <c r="G18522" s="49" t="str">
        <f t="shared" si="1"/>
        <v>77480</v>
      </c>
      <c r="H18522" s="49">
        <f t="shared" si="2"/>
        <v>77187</v>
      </c>
    </row>
    <row r="18523">
      <c r="A18523" s="48" t="s">
        <v>6266</v>
      </c>
      <c r="B18523" s="38">
        <v>76750.0</v>
      </c>
      <c r="C18523" s="38" t="s">
        <v>22963</v>
      </c>
      <c r="D18523" s="38" t="str">
        <f>IFERROR(__xludf.DUMMYFUNCTION("REGEXREPLACE(C18523,""-\d+(.*)|--\d+(.*)"","""")"),"YAINVILLE")</f>
        <v>YAINVILLE</v>
      </c>
      <c r="E18523" s="38" t="s">
        <v>133</v>
      </c>
      <c r="F18523" s="38" t="s">
        <v>134</v>
      </c>
      <c r="G18523" s="49" t="str">
        <f t="shared" si="1"/>
        <v>76480</v>
      </c>
      <c r="H18523" s="49">
        <f t="shared" si="2"/>
        <v>76750</v>
      </c>
    </row>
    <row r="18524">
      <c r="A18524" s="48" t="s">
        <v>2176</v>
      </c>
      <c r="B18524" s="38">
        <v>62607.0</v>
      </c>
      <c r="C18524" s="38" t="s">
        <v>22964</v>
      </c>
      <c r="D18524" s="38" t="str">
        <f>IFERROR(__xludf.DUMMYFUNCTION("REGEXREPLACE(C18524,""-\d+(.*)|--\d+(.*)"","""")"),"NEUVILLE-AU-CORNET")</f>
        <v>NEUVILLE-AU-CORNET</v>
      </c>
      <c r="E18524" s="38" t="s">
        <v>109</v>
      </c>
      <c r="F18524" s="38" t="s">
        <v>86</v>
      </c>
      <c r="G18524" s="49" t="str">
        <f t="shared" si="1"/>
        <v>62130</v>
      </c>
      <c r="H18524" s="49">
        <f t="shared" si="2"/>
        <v>62607</v>
      </c>
    </row>
    <row r="18525">
      <c r="A18525" s="48" t="s">
        <v>499</v>
      </c>
      <c r="B18525" s="38">
        <v>57504.0</v>
      </c>
      <c r="C18525" s="38" t="s">
        <v>22965</v>
      </c>
      <c r="D18525" s="38" t="str">
        <f>IFERROR(__xludf.DUMMYFUNCTION("REGEXREPLACE(C18525,""-\d+(.*)|--\d+(.*)"","""")"),"NIDERHOFF")</f>
        <v>NIDERHOFF</v>
      </c>
      <c r="E18525" s="38" t="s">
        <v>303</v>
      </c>
      <c r="F18525" s="38" t="s">
        <v>195</v>
      </c>
      <c r="G18525" s="49" t="str">
        <f t="shared" si="1"/>
        <v>57560</v>
      </c>
      <c r="H18525" s="49">
        <f t="shared" si="2"/>
        <v>57504</v>
      </c>
    </row>
    <row r="18526">
      <c r="A18526" s="48" t="s">
        <v>1180</v>
      </c>
      <c r="B18526" s="38">
        <v>60470.0</v>
      </c>
      <c r="C18526" s="38" t="s">
        <v>22966</v>
      </c>
      <c r="D18526" s="38" t="str">
        <f>IFERROR(__xludf.DUMMYFUNCTION("REGEXREPLACE(C18526,""-\d+(.*)|--\d+(.*)"","""")"),"NOYERS-SAINT-MARTIN")</f>
        <v>NOYERS-SAINT-MARTIN</v>
      </c>
      <c r="E18526" s="38" t="s">
        <v>112</v>
      </c>
      <c r="F18526" s="38" t="s">
        <v>113</v>
      </c>
      <c r="G18526" s="49" t="str">
        <f t="shared" si="1"/>
        <v>60480</v>
      </c>
      <c r="H18526" s="49">
        <f t="shared" si="2"/>
        <v>60470</v>
      </c>
    </row>
    <row r="18527">
      <c r="A18527" s="48" t="s">
        <v>1132</v>
      </c>
      <c r="B18527" s="38">
        <v>2523.0</v>
      </c>
      <c r="C18527" s="38" t="s">
        <v>7976</v>
      </c>
      <c r="D18527" s="38" t="str">
        <f>IFERROR(__xludf.DUMMYFUNCTION("REGEXREPLACE(C18527,""-\d+(.*)|--\d+(.*)"","""")"),"MONT-SAINT-MARTIN")</f>
        <v>MONT-SAINT-MARTIN</v>
      </c>
      <c r="E18527" s="38" t="s">
        <v>191</v>
      </c>
      <c r="F18527" s="38" t="s">
        <v>113</v>
      </c>
      <c r="G18527" s="49" t="str">
        <f t="shared" si="1"/>
        <v>02220</v>
      </c>
      <c r="H18527" s="49" t="str">
        <f t="shared" si="2"/>
        <v>02523</v>
      </c>
    </row>
    <row r="18528">
      <c r="A18528" s="48" t="s">
        <v>2100</v>
      </c>
      <c r="B18528" s="38">
        <v>14336.0</v>
      </c>
      <c r="C18528" s="38" t="s">
        <v>22967</v>
      </c>
      <c r="D18528" s="38" t="str">
        <f>IFERROR(__xludf.DUMMYFUNCTION("REGEXREPLACE(C18528,""-\d+(.*)|--\d+(.*)"","""")"),"HOTTOT-LES-BAGUES")</f>
        <v>HOTTOT-LES-BAGUES</v>
      </c>
      <c r="E18528" s="38" t="s">
        <v>137</v>
      </c>
      <c r="F18528" s="38" t="s">
        <v>138</v>
      </c>
      <c r="G18528" s="49" t="str">
        <f t="shared" si="1"/>
        <v>14250</v>
      </c>
      <c r="H18528" s="49">
        <f t="shared" si="2"/>
        <v>14336</v>
      </c>
    </row>
    <row r="18529">
      <c r="A18529" s="48" t="s">
        <v>3050</v>
      </c>
      <c r="B18529" s="38">
        <v>11101.0</v>
      </c>
      <c r="C18529" s="38" t="s">
        <v>22968</v>
      </c>
      <c r="D18529" s="38" t="str">
        <f>IFERROR(__xludf.DUMMYFUNCTION("REGEXREPLACE(C18529,""-\d+(.*)|--\d+(.*)"","""")"),"COUDONS")</f>
        <v>COUDONS</v>
      </c>
      <c r="E18529" s="38" t="s">
        <v>278</v>
      </c>
      <c r="F18529" s="38" t="s">
        <v>119</v>
      </c>
      <c r="G18529" s="49" t="str">
        <f t="shared" si="1"/>
        <v>11500</v>
      </c>
      <c r="H18529" s="49">
        <f t="shared" si="2"/>
        <v>11101</v>
      </c>
    </row>
    <row r="18530">
      <c r="A18530" s="48" t="s">
        <v>5461</v>
      </c>
      <c r="B18530" s="38">
        <v>86053.0</v>
      </c>
      <c r="C18530" s="38" t="s">
        <v>22969</v>
      </c>
      <c r="D18530" s="38" t="str">
        <f>IFERROR(__xludf.DUMMYFUNCTION("REGEXREPLACE(C18530,""-\d+(.*)|--\d+(.*)"","""")"),"CHAMPIGNY-LE-SEC")</f>
        <v>CHAMPIGNY-LE-SEC</v>
      </c>
      <c r="E18530" s="38" t="s">
        <v>529</v>
      </c>
      <c r="F18530" s="38" t="s">
        <v>338</v>
      </c>
      <c r="G18530" s="49" t="str">
        <f t="shared" si="1"/>
        <v>86170</v>
      </c>
      <c r="H18530" s="49">
        <f t="shared" si="2"/>
        <v>86053</v>
      </c>
    </row>
    <row r="18531">
      <c r="A18531" s="48" t="s">
        <v>3889</v>
      </c>
      <c r="B18531" s="38">
        <v>87026.0</v>
      </c>
      <c r="C18531" s="38" t="s">
        <v>22970</v>
      </c>
      <c r="D18531" s="38" t="str">
        <f>IFERROR(__xludf.DUMMYFUNCTION("REGEXREPLACE(C18531,""-\d+(.*)|--\d+(.*)"","""")"),"BUSSIERE-BOFFY")</f>
        <v>BUSSIERE-BOFFY</v>
      </c>
      <c r="E18531" s="38" t="s">
        <v>897</v>
      </c>
      <c r="F18531" s="38" t="s">
        <v>98</v>
      </c>
      <c r="G18531" s="49" t="str">
        <f t="shared" si="1"/>
        <v>87330</v>
      </c>
      <c r="H18531" s="49">
        <f t="shared" si="2"/>
        <v>87026</v>
      </c>
    </row>
    <row r="18532">
      <c r="A18532" s="48" t="s">
        <v>3368</v>
      </c>
      <c r="B18532" s="38">
        <v>61122.0</v>
      </c>
      <c r="C18532" s="38" t="s">
        <v>22971</v>
      </c>
      <c r="D18532" s="38" t="str">
        <f>IFERROR(__xludf.DUMMYFUNCTION("REGEXREPLACE(C18532,""-\d+(.*)|--\d+(.*)"","""")"),"COULMER")</f>
        <v>COULMER</v>
      </c>
      <c r="E18532" s="38" t="s">
        <v>141</v>
      </c>
      <c r="F18532" s="38" t="s">
        <v>138</v>
      </c>
      <c r="G18532" s="49" t="str">
        <f t="shared" si="1"/>
        <v>61230</v>
      </c>
      <c r="H18532" s="49">
        <f t="shared" si="2"/>
        <v>61122</v>
      </c>
    </row>
    <row r="18533">
      <c r="A18533" s="48" t="s">
        <v>22972</v>
      </c>
      <c r="B18533" s="38">
        <v>81291.0</v>
      </c>
      <c r="C18533" s="38" t="s">
        <v>22973</v>
      </c>
      <c r="D18533" s="38" t="str">
        <f>IFERROR(__xludf.DUMMYFUNCTION("REGEXREPLACE(C18533,""-\d+(.*)|--\d+(.*)"","""")"),"TAIX")</f>
        <v>TAIX</v>
      </c>
      <c r="E18533" s="38" t="s">
        <v>231</v>
      </c>
      <c r="F18533" s="38" t="s">
        <v>94</v>
      </c>
      <c r="G18533" s="49" t="str">
        <f t="shared" si="1"/>
        <v>81130</v>
      </c>
      <c r="H18533" s="49">
        <f t="shared" si="2"/>
        <v>81291</v>
      </c>
    </row>
    <row r="18534">
      <c r="A18534" s="48" t="s">
        <v>22974</v>
      </c>
      <c r="B18534" s="38">
        <v>6044.0</v>
      </c>
      <c r="C18534" s="38" t="s">
        <v>22975</v>
      </c>
      <c r="D18534" s="38" t="str">
        <f>IFERROR(__xludf.DUMMYFUNCTION("REGEXREPLACE(C18534,""-\d+(.*)|--\d+(.*)"","""")"),"LA COLLE-SUR-LOUP")</f>
        <v>LA COLLE-SUR-LOUP</v>
      </c>
      <c r="E18534" s="38" t="s">
        <v>227</v>
      </c>
      <c r="F18534" s="38" t="s">
        <v>228</v>
      </c>
      <c r="G18534" s="49" t="str">
        <f t="shared" si="1"/>
        <v>06480</v>
      </c>
      <c r="H18534" s="49" t="str">
        <f t="shared" si="2"/>
        <v>06044</v>
      </c>
    </row>
    <row r="18535">
      <c r="A18535" s="48" t="s">
        <v>22976</v>
      </c>
      <c r="B18535" s="38">
        <v>97601.0</v>
      </c>
      <c r="C18535" s="38" t="s">
        <v>22977</v>
      </c>
      <c r="D18535" s="38" t="str">
        <f>IFERROR(__xludf.DUMMYFUNCTION("REGEXREPLACE(C18535,""-\d+(.*)|--\d+(.*)"","""")"),"ACOUA")</f>
        <v>ACOUA</v>
      </c>
      <c r="E18535" s="38" t="s">
        <v>2865</v>
      </c>
      <c r="F18535" s="38" t="s">
        <v>2865</v>
      </c>
      <c r="G18535" s="49" t="str">
        <f t="shared" si="1"/>
        <v>97630</v>
      </c>
      <c r="H18535" s="49">
        <f t="shared" si="2"/>
        <v>97601</v>
      </c>
    </row>
    <row r="18536">
      <c r="A18536" s="48" t="s">
        <v>12264</v>
      </c>
      <c r="B18536" s="38">
        <v>16187.0</v>
      </c>
      <c r="C18536" s="38" t="s">
        <v>22978</v>
      </c>
      <c r="D18536" s="38" t="str">
        <f>IFERROR(__xludf.DUMMYFUNCTION("REGEXREPLACE(C18536,""-\d+(.*)|--\d+(.*)"","""")"),"LINARS")</f>
        <v>LINARS</v>
      </c>
      <c r="E18536" s="38" t="s">
        <v>429</v>
      </c>
      <c r="F18536" s="38" t="s">
        <v>338</v>
      </c>
      <c r="G18536" s="49" t="str">
        <f t="shared" si="1"/>
        <v>16730</v>
      </c>
      <c r="H18536" s="49">
        <f t="shared" si="2"/>
        <v>16187</v>
      </c>
    </row>
    <row r="18537">
      <c r="A18537" s="48" t="s">
        <v>775</v>
      </c>
      <c r="B18537" s="38">
        <v>14350.0</v>
      </c>
      <c r="C18537" s="38" t="s">
        <v>22979</v>
      </c>
      <c r="D18537" s="38" t="str">
        <f>IFERROR(__xludf.DUMMYFUNCTION("REGEXREPLACE(C18537,""-\d+(.*)|--\d+(.*)"","""")"),"LA LANDE-SUR-DROME")</f>
        <v>LA LANDE-SUR-DROME</v>
      </c>
      <c r="E18537" s="38" t="s">
        <v>137</v>
      </c>
      <c r="F18537" s="38" t="s">
        <v>138</v>
      </c>
      <c r="G18537" s="49" t="str">
        <f t="shared" si="1"/>
        <v>14240</v>
      </c>
      <c r="H18537" s="49">
        <f t="shared" si="2"/>
        <v>14350</v>
      </c>
    </row>
    <row r="18538">
      <c r="A18538" s="48" t="s">
        <v>5227</v>
      </c>
      <c r="B18538" s="38">
        <v>34082.0</v>
      </c>
      <c r="C18538" s="38" t="s">
        <v>22980</v>
      </c>
      <c r="D18538" s="38" t="str">
        <f>IFERROR(__xludf.DUMMYFUNCTION("REGEXREPLACE(C18538,""-\d+(.*)|--\d+(.*)"","""")"),"COMBAILLAUX")</f>
        <v>COMBAILLAUX</v>
      </c>
      <c r="E18538" s="38" t="s">
        <v>118</v>
      </c>
      <c r="F18538" s="38" t="s">
        <v>119</v>
      </c>
      <c r="G18538" s="49" t="str">
        <f t="shared" si="1"/>
        <v>34980</v>
      </c>
      <c r="H18538" s="49">
        <f t="shared" si="2"/>
        <v>34082</v>
      </c>
    </row>
    <row r="18539">
      <c r="A18539" s="48" t="s">
        <v>2668</v>
      </c>
      <c r="B18539" s="38">
        <v>55004.0</v>
      </c>
      <c r="C18539" s="38" t="s">
        <v>22981</v>
      </c>
      <c r="D18539" s="38" t="str">
        <f>IFERROR(__xludf.DUMMYFUNCTION("REGEXREPLACE(C18539,""-\d+(.*)|--\d+(.*)"","""")"),"AINCREVILLE")</f>
        <v>AINCREVILLE</v>
      </c>
      <c r="E18539" s="38" t="s">
        <v>322</v>
      </c>
      <c r="F18539" s="38" t="s">
        <v>195</v>
      </c>
      <c r="G18539" s="49" t="str">
        <f t="shared" si="1"/>
        <v>55110</v>
      </c>
      <c r="H18539" s="49">
        <f t="shared" si="2"/>
        <v>55004</v>
      </c>
    </row>
    <row r="18540">
      <c r="A18540" s="48" t="s">
        <v>22982</v>
      </c>
      <c r="B18540" s="38">
        <v>87045.0</v>
      </c>
      <c r="C18540" s="38" t="s">
        <v>22983</v>
      </c>
      <c r="D18540" s="38" t="str">
        <f>IFERROR(__xludf.DUMMYFUNCTION("REGEXREPLACE(C18540,""-\d+(.*)|--\d+(.*)"","""")"),"CIEUX")</f>
        <v>CIEUX</v>
      </c>
      <c r="E18540" s="38" t="s">
        <v>897</v>
      </c>
      <c r="F18540" s="38" t="s">
        <v>98</v>
      </c>
      <c r="G18540" s="49" t="str">
        <f t="shared" si="1"/>
        <v>87520</v>
      </c>
      <c r="H18540" s="49">
        <f t="shared" si="2"/>
        <v>87045</v>
      </c>
    </row>
    <row r="18541">
      <c r="A18541" s="48" t="s">
        <v>259</v>
      </c>
      <c r="B18541" s="38">
        <v>24290.0</v>
      </c>
      <c r="C18541" s="38" t="s">
        <v>22984</v>
      </c>
      <c r="D18541" s="38" t="str">
        <f>IFERROR(__xludf.DUMMYFUNCTION("REGEXREPLACE(C18541,""-\d+(.*)|--\d+(.*)"","""")"),"MONTFERRAND-DU-PERIGORD")</f>
        <v>MONTFERRAND-DU-PERIGORD</v>
      </c>
      <c r="E18541" s="38" t="s">
        <v>261</v>
      </c>
      <c r="F18541" s="38" t="s">
        <v>252</v>
      </c>
      <c r="G18541" s="49" t="str">
        <f t="shared" si="1"/>
        <v>24440</v>
      </c>
      <c r="H18541" s="49">
        <f t="shared" si="2"/>
        <v>24290</v>
      </c>
    </row>
    <row r="18542">
      <c r="A18542" s="48" t="s">
        <v>14348</v>
      </c>
      <c r="B18542" s="38">
        <v>12076.0</v>
      </c>
      <c r="C18542" s="38" t="s">
        <v>22985</v>
      </c>
      <c r="D18542" s="38" t="str">
        <f>IFERROR(__xludf.DUMMYFUNCTION("REGEXREPLACE(C18542,""-\d+(.*)|--\d+(.*)"","""")"),"CONQUES")</f>
        <v>CONQUES</v>
      </c>
      <c r="E18542" s="38" t="s">
        <v>465</v>
      </c>
      <c r="F18542" s="38" t="s">
        <v>94</v>
      </c>
      <c r="G18542" s="49" t="str">
        <f t="shared" si="1"/>
        <v>12320</v>
      </c>
      <c r="H18542" s="49">
        <f t="shared" si="2"/>
        <v>12076</v>
      </c>
    </row>
    <row r="18543">
      <c r="A18543" s="48" t="s">
        <v>7643</v>
      </c>
      <c r="B18543" s="38">
        <v>30182.0</v>
      </c>
      <c r="C18543" s="38" t="s">
        <v>13653</v>
      </c>
      <c r="D18543" s="38" t="str">
        <f>IFERROR(__xludf.DUMMYFUNCTION("REGEXREPLACE(C18543,""-\d+(.*)|--\d+(.*)"","""")"),"MONTPEZAT")</f>
        <v>MONTPEZAT</v>
      </c>
      <c r="E18543" s="38" t="s">
        <v>526</v>
      </c>
      <c r="F18543" s="38" t="s">
        <v>119</v>
      </c>
      <c r="G18543" s="49" t="str">
        <f t="shared" si="1"/>
        <v>30730</v>
      </c>
      <c r="H18543" s="49">
        <f t="shared" si="2"/>
        <v>30182</v>
      </c>
    </row>
    <row r="18544">
      <c r="A18544" s="48" t="s">
        <v>16075</v>
      </c>
      <c r="B18544" s="38">
        <v>67500.0</v>
      </c>
      <c r="C18544" s="38" t="s">
        <v>22986</v>
      </c>
      <c r="D18544" s="38" t="str">
        <f>IFERROR(__xludf.DUMMYFUNCTION("REGEXREPLACE(C18544,""-\d+(.*)|--\d+(.*)"","""")"),"URMATT")</f>
        <v>URMATT</v>
      </c>
      <c r="E18544" s="38" t="s">
        <v>210</v>
      </c>
      <c r="F18544" s="38" t="s">
        <v>151</v>
      </c>
      <c r="G18544" s="49" t="str">
        <f t="shared" si="1"/>
        <v>67280</v>
      </c>
      <c r="H18544" s="49">
        <f t="shared" si="2"/>
        <v>67500</v>
      </c>
    </row>
    <row r="18545">
      <c r="A18545" s="48" t="s">
        <v>22987</v>
      </c>
      <c r="B18545" s="38">
        <v>91085.0</v>
      </c>
      <c r="C18545" s="38" t="s">
        <v>22988</v>
      </c>
      <c r="D18545" s="38" t="str">
        <f>IFERROR(__xludf.DUMMYFUNCTION("REGEXREPLACE(C18545,""-\d+(.*)|--\d+(.*)"","""")"),"BOISSY-SOUS-SAINT-YON")</f>
        <v>BOISSY-SOUS-SAINT-YON</v>
      </c>
      <c r="E18545" s="38" t="s">
        <v>756</v>
      </c>
      <c r="F18545" s="38" t="s">
        <v>245</v>
      </c>
      <c r="G18545" s="49" t="str">
        <f t="shared" si="1"/>
        <v>91790</v>
      </c>
      <c r="H18545" s="49">
        <f t="shared" si="2"/>
        <v>91085</v>
      </c>
    </row>
    <row r="18546">
      <c r="A18546" s="48" t="s">
        <v>3545</v>
      </c>
      <c r="B18546" s="38">
        <v>17433.0</v>
      </c>
      <c r="C18546" s="38" t="s">
        <v>22989</v>
      </c>
      <c r="D18546" s="38" t="str">
        <f>IFERROR(__xludf.DUMMYFUNCTION("REGEXREPLACE(C18546,""-\d+(.*)|--\d+(.*)"","""")"),"SOUSMOULINS")</f>
        <v>SOUSMOULINS</v>
      </c>
      <c r="E18546" s="38" t="s">
        <v>488</v>
      </c>
      <c r="F18546" s="38" t="s">
        <v>338</v>
      </c>
      <c r="G18546" s="49" t="str">
        <f t="shared" si="1"/>
        <v>17130</v>
      </c>
      <c r="H18546" s="49">
        <f t="shared" si="2"/>
        <v>17433</v>
      </c>
    </row>
    <row r="18547">
      <c r="A18547" s="48" t="s">
        <v>2042</v>
      </c>
      <c r="B18547" s="38">
        <v>80002.0</v>
      </c>
      <c r="C18547" s="38" t="s">
        <v>22990</v>
      </c>
      <c r="D18547" s="38" t="str">
        <f>IFERROR(__xludf.DUMMYFUNCTION("REGEXREPLACE(C18547,""-\d+(.*)|--\d+(.*)"","""")"),"ABLAINCOURT-PRESSOIR")</f>
        <v>ABLAINCOURT-PRESSOIR</v>
      </c>
      <c r="E18547" s="38" t="s">
        <v>224</v>
      </c>
      <c r="F18547" s="38" t="s">
        <v>113</v>
      </c>
      <c r="G18547" s="49" t="str">
        <f t="shared" si="1"/>
        <v>80320</v>
      </c>
      <c r="H18547" s="49">
        <f t="shared" si="2"/>
        <v>80002</v>
      </c>
    </row>
    <row r="18548">
      <c r="A18548" s="48" t="s">
        <v>365</v>
      </c>
      <c r="B18548" s="38">
        <v>50304.0</v>
      </c>
      <c r="C18548" s="38" t="s">
        <v>22991</v>
      </c>
      <c r="D18548" s="38" t="str">
        <f>IFERROR(__xludf.DUMMYFUNCTION("REGEXREPLACE(C18548,""-\d+(.*)|--\d+(.*)"","""")"),"LE MESNIL-AUBERT")</f>
        <v>LE MESNIL-AUBERT</v>
      </c>
      <c r="E18548" s="38" t="s">
        <v>157</v>
      </c>
      <c r="F18548" s="38" t="s">
        <v>138</v>
      </c>
      <c r="G18548" s="49" t="str">
        <f t="shared" si="1"/>
        <v>50510</v>
      </c>
      <c r="H18548" s="49">
        <f t="shared" si="2"/>
        <v>50304</v>
      </c>
    </row>
    <row r="18549">
      <c r="A18549" s="48" t="s">
        <v>15350</v>
      </c>
      <c r="B18549" s="38">
        <v>49310.0</v>
      </c>
      <c r="C18549" s="38" t="s">
        <v>22992</v>
      </c>
      <c r="D18549" s="38" t="str">
        <f>IFERROR(__xludf.DUMMYFUNCTION("REGEXREPLACE(C18549,""-\d+(.*)|--\d+(.*)"","""")"),"SAINT-PAUL-DU-BOIS")</f>
        <v>SAINT-PAUL-DU-BOIS</v>
      </c>
      <c r="E18549" s="38" t="s">
        <v>653</v>
      </c>
      <c r="F18549" s="38" t="s">
        <v>180</v>
      </c>
      <c r="G18549" s="49" t="str">
        <f t="shared" si="1"/>
        <v>49310</v>
      </c>
      <c r="H18549" s="49">
        <f t="shared" si="2"/>
        <v>49310</v>
      </c>
    </row>
    <row r="18550">
      <c r="A18550" s="48" t="s">
        <v>1949</v>
      </c>
      <c r="B18550" s="38">
        <v>32157.0</v>
      </c>
      <c r="C18550" s="38" t="s">
        <v>22993</v>
      </c>
      <c r="D18550" s="38" t="str">
        <f>IFERROR(__xludf.DUMMYFUNCTION("REGEXREPLACE(C18550,""-\d+(.*)|--\d+(.*)"","""")"),"L'ISLE-ARNE")</f>
        <v>L'ISLE-ARNE</v>
      </c>
      <c r="E18550" s="38" t="s">
        <v>440</v>
      </c>
      <c r="F18550" s="38" t="s">
        <v>94</v>
      </c>
      <c r="G18550" s="49" t="str">
        <f t="shared" si="1"/>
        <v>32270</v>
      </c>
      <c r="H18550" s="49">
        <f t="shared" si="2"/>
        <v>32157</v>
      </c>
    </row>
    <row r="18551">
      <c r="A18551" s="48" t="s">
        <v>5763</v>
      </c>
      <c r="B18551" s="38">
        <v>63118.0</v>
      </c>
      <c r="C18551" s="38" t="s">
        <v>22994</v>
      </c>
      <c r="D18551" s="38" t="str">
        <f>IFERROR(__xludf.DUMMYFUNCTION("REGEXREPLACE(C18551,""-\d+(.*)|--\d+(.*)"","""")"),"CONDAT-EN-COMBRAILLE")</f>
        <v>CONDAT-EN-COMBRAILLE</v>
      </c>
      <c r="E18551" s="38" t="s">
        <v>353</v>
      </c>
      <c r="F18551" s="38" t="s">
        <v>161</v>
      </c>
      <c r="G18551" s="49" t="str">
        <f t="shared" si="1"/>
        <v>63380</v>
      </c>
      <c r="H18551" s="49">
        <f t="shared" si="2"/>
        <v>63118</v>
      </c>
    </row>
    <row r="18552">
      <c r="A18552" s="48" t="s">
        <v>533</v>
      </c>
      <c r="B18552" s="38">
        <v>50351.0</v>
      </c>
      <c r="C18552" s="38" t="s">
        <v>22995</v>
      </c>
      <c r="D18552" s="38" t="str">
        <f>IFERROR(__xludf.DUMMYFUNCTION("REGEXREPLACE(C18552,""-\d+(.*)|--\d+(.*)"","""")"),"MONTRABOT")</f>
        <v>MONTRABOT</v>
      </c>
      <c r="E18552" s="38" t="s">
        <v>157</v>
      </c>
      <c r="F18552" s="38" t="s">
        <v>138</v>
      </c>
      <c r="G18552" s="49" t="str">
        <f t="shared" si="1"/>
        <v>50810</v>
      </c>
      <c r="H18552" s="49">
        <f t="shared" si="2"/>
        <v>50351</v>
      </c>
    </row>
    <row r="18553">
      <c r="A18553" s="48" t="s">
        <v>6202</v>
      </c>
      <c r="B18553" s="38">
        <v>49343.0</v>
      </c>
      <c r="C18553" s="38" t="s">
        <v>22996</v>
      </c>
      <c r="D18553" s="38" t="str">
        <f>IFERROR(__xludf.DUMMYFUNCTION("REGEXREPLACE(C18553,""-\d+(.*)|--\d+(.*)"","""")"),"LA TESSOUALLE")</f>
        <v>LA TESSOUALLE</v>
      </c>
      <c r="E18553" s="38" t="s">
        <v>653</v>
      </c>
      <c r="F18553" s="38" t="s">
        <v>180</v>
      </c>
      <c r="G18553" s="49" t="str">
        <f t="shared" si="1"/>
        <v>49280</v>
      </c>
      <c r="H18553" s="49">
        <f t="shared" si="2"/>
        <v>49343</v>
      </c>
    </row>
    <row r="18554">
      <c r="A18554" s="48" t="s">
        <v>10202</v>
      </c>
      <c r="B18554" s="38">
        <v>33023.0</v>
      </c>
      <c r="C18554" s="38" t="s">
        <v>22997</v>
      </c>
      <c r="D18554" s="38" t="str">
        <f>IFERROR(__xludf.DUMMYFUNCTION("REGEXREPLACE(C18554,""-\d+(.*)|--\d+(.*)"","""")"),"AYGUEMORTE-LES-GRAVES")</f>
        <v>AYGUEMORTE-LES-GRAVES</v>
      </c>
      <c r="E18554" s="38" t="s">
        <v>462</v>
      </c>
      <c r="F18554" s="38" t="s">
        <v>252</v>
      </c>
      <c r="G18554" s="49" t="str">
        <f t="shared" si="1"/>
        <v>33640</v>
      </c>
      <c r="H18554" s="49">
        <f t="shared" si="2"/>
        <v>33023</v>
      </c>
    </row>
    <row r="18555">
      <c r="A18555" s="48" t="s">
        <v>792</v>
      </c>
      <c r="B18555" s="38">
        <v>2305.0</v>
      </c>
      <c r="C18555" s="38" t="s">
        <v>22998</v>
      </c>
      <c r="D18555" s="38" t="str">
        <f>IFERROR(__xludf.DUMMYFUNCTION("REGEXREPLACE(C18555,""-\d+(.*)|--\d+(.*)"","""")"),"FERE-EN-TARDENOIS")</f>
        <v>FERE-EN-TARDENOIS</v>
      </c>
      <c r="E18555" s="38" t="s">
        <v>191</v>
      </c>
      <c r="F18555" s="38" t="s">
        <v>113</v>
      </c>
      <c r="G18555" s="49" t="str">
        <f t="shared" si="1"/>
        <v>02130</v>
      </c>
      <c r="H18555" s="49" t="str">
        <f t="shared" si="2"/>
        <v>02305</v>
      </c>
    </row>
    <row r="18556">
      <c r="A18556" s="48" t="s">
        <v>21451</v>
      </c>
      <c r="B18556" s="38">
        <v>18018.0</v>
      </c>
      <c r="C18556" s="38" t="s">
        <v>22999</v>
      </c>
      <c r="D18556" s="38" t="str">
        <f>IFERROR(__xludf.DUMMYFUNCTION("REGEXREPLACE(C18556,""-\d+(.*)|--\d+(.*)"","""")"),"AVORD")</f>
        <v>AVORD</v>
      </c>
      <c r="E18556" s="38" t="s">
        <v>504</v>
      </c>
      <c r="F18556" s="38" t="s">
        <v>123</v>
      </c>
      <c r="G18556" s="49" t="str">
        <f t="shared" si="1"/>
        <v>18520</v>
      </c>
      <c r="H18556" s="49">
        <f t="shared" si="2"/>
        <v>18018</v>
      </c>
    </row>
    <row r="18557">
      <c r="A18557" s="48" t="s">
        <v>3450</v>
      </c>
      <c r="B18557" s="38">
        <v>60181.0</v>
      </c>
      <c r="C18557" s="38" t="s">
        <v>23000</v>
      </c>
      <c r="D18557" s="38" t="str">
        <f>IFERROR(__xludf.DUMMYFUNCTION("REGEXREPLACE(C18557,""-\d+(.*)|--\d+(.*)"","""")"),"CRISOLLES")</f>
        <v>CRISOLLES</v>
      </c>
      <c r="E18557" s="38" t="s">
        <v>112</v>
      </c>
      <c r="F18557" s="38" t="s">
        <v>113</v>
      </c>
      <c r="G18557" s="49" t="str">
        <f t="shared" si="1"/>
        <v>60400</v>
      </c>
      <c r="H18557" s="49">
        <f t="shared" si="2"/>
        <v>60181</v>
      </c>
    </row>
    <row r="18558">
      <c r="A18558" s="48" t="s">
        <v>16706</v>
      </c>
      <c r="B18558" s="38">
        <v>82172.0</v>
      </c>
      <c r="C18558" s="38" t="s">
        <v>16214</v>
      </c>
      <c r="D18558" s="38" t="str">
        <f>IFERROR(__xludf.DUMMYFUNCTION("REGEXREPLACE(C18558,""-\d+(.*)|--\d+(.*)"","""")"),"SAINT-PROJET")</f>
        <v>SAINT-PROJET</v>
      </c>
      <c r="E18558" s="38" t="s">
        <v>570</v>
      </c>
      <c r="F18558" s="38" t="s">
        <v>94</v>
      </c>
      <c r="G18558" s="49" t="str">
        <f t="shared" si="1"/>
        <v>82160</v>
      </c>
      <c r="H18558" s="49">
        <f t="shared" si="2"/>
        <v>82172</v>
      </c>
    </row>
    <row r="18559">
      <c r="A18559" s="48" t="s">
        <v>18027</v>
      </c>
      <c r="B18559" s="38">
        <v>87079.0</v>
      </c>
      <c r="C18559" s="38" t="s">
        <v>23001</v>
      </c>
      <c r="D18559" s="38" t="str">
        <f>IFERROR(__xludf.DUMMYFUNCTION("REGEXREPLACE(C18559,""-\d+(.*)|--\d+(.*)"","""")"),"LA JONCHERE-SAINT-MAURICE")</f>
        <v>LA JONCHERE-SAINT-MAURICE</v>
      </c>
      <c r="E18559" s="38" t="s">
        <v>897</v>
      </c>
      <c r="F18559" s="38" t="s">
        <v>98</v>
      </c>
      <c r="G18559" s="49" t="str">
        <f t="shared" si="1"/>
        <v>87340</v>
      </c>
      <c r="H18559" s="49">
        <f t="shared" si="2"/>
        <v>87079</v>
      </c>
    </row>
    <row r="18560">
      <c r="A18560" s="48" t="s">
        <v>5257</v>
      </c>
      <c r="B18560" s="38">
        <v>15112.0</v>
      </c>
      <c r="C18560" s="38" t="s">
        <v>23002</v>
      </c>
      <c r="D18560" s="38" t="str">
        <f>IFERROR(__xludf.DUMMYFUNCTION("REGEXREPLACE(C18560,""-\d+(.*)|--\d+(.*)"","""")"),"MALBO")</f>
        <v>MALBO</v>
      </c>
      <c r="E18560" s="38" t="s">
        <v>632</v>
      </c>
      <c r="F18560" s="38" t="s">
        <v>161</v>
      </c>
      <c r="G18560" s="49" t="str">
        <f t="shared" si="1"/>
        <v>15230</v>
      </c>
      <c r="H18560" s="49">
        <f t="shared" si="2"/>
        <v>15112</v>
      </c>
    </row>
    <row r="18561">
      <c r="A18561" s="48" t="s">
        <v>4605</v>
      </c>
      <c r="B18561" s="38">
        <v>39252.0</v>
      </c>
      <c r="C18561" s="38" t="s">
        <v>23003</v>
      </c>
      <c r="D18561" s="38" t="str">
        <f>IFERROR(__xludf.DUMMYFUNCTION("REGEXREPLACE(C18561,""-\d+(.*)|--\d+(.*)"","""")"),"GEVRY")</f>
        <v>GEVRY</v>
      </c>
      <c r="E18561" s="38" t="s">
        <v>400</v>
      </c>
      <c r="F18561" s="38" t="s">
        <v>214</v>
      </c>
      <c r="G18561" s="49" t="str">
        <f t="shared" si="1"/>
        <v>39100</v>
      </c>
      <c r="H18561" s="49">
        <f t="shared" si="2"/>
        <v>39252</v>
      </c>
    </row>
    <row r="18562">
      <c r="A18562" s="48" t="s">
        <v>4642</v>
      </c>
      <c r="B18562" s="38">
        <v>21132.0</v>
      </c>
      <c r="C18562" s="38" t="s">
        <v>23004</v>
      </c>
      <c r="D18562" s="38" t="str">
        <f>IFERROR(__xludf.DUMMYFUNCTION("REGEXREPLACE(C18562,""-\d+(.*)|--\d+(.*)"","""")"),"CHAMBOEUF")</f>
        <v>CHAMBOEUF</v>
      </c>
      <c r="E18562" s="38" t="s">
        <v>105</v>
      </c>
      <c r="F18562" s="38" t="s">
        <v>106</v>
      </c>
      <c r="G18562" s="49" t="str">
        <f t="shared" si="1"/>
        <v>21220</v>
      </c>
      <c r="H18562" s="49">
        <f t="shared" si="2"/>
        <v>21132</v>
      </c>
    </row>
    <row r="18563">
      <c r="A18563" s="48" t="s">
        <v>3346</v>
      </c>
      <c r="B18563" s="38">
        <v>65273.0</v>
      </c>
      <c r="C18563" s="38" t="s">
        <v>23005</v>
      </c>
      <c r="D18563" s="38" t="str">
        <f>IFERROR(__xludf.DUMMYFUNCTION("REGEXREPLACE(C18563,""-\d+(.*)|--\d+(.*)"","""")"),"LIAC")</f>
        <v>LIAC</v>
      </c>
      <c r="E18563" s="38" t="s">
        <v>200</v>
      </c>
      <c r="F18563" s="38" t="s">
        <v>94</v>
      </c>
      <c r="G18563" s="49" t="str">
        <f t="shared" si="1"/>
        <v>65140</v>
      </c>
      <c r="H18563" s="49">
        <f t="shared" si="2"/>
        <v>65273</v>
      </c>
    </row>
    <row r="18564">
      <c r="A18564" s="48" t="s">
        <v>3857</v>
      </c>
      <c r="B18564" s="38">
        <v>12122.0</v>
      </c>
      <c r="C18564" s="38" t="s">
        <v>23006</v>
      </c>
      <c r="D18564" s="38" t="str">
        <f>IFERROR(__xludf.DUMMYFUNCTION("REGEXREPLACE(C18564,""-\d+(.*)|--\d+(.*)"","""")"),"LAPANOUSE-DE-CERNON")</f>
        <v>LAPANOUSE-DE-CERNON</v>
      </c>
      <c r="E18564" s="38" t="s">
        <v>465</v>
      </c>
      <c r="F18564" s="38" t="s">
        <v>94</v>
      </c>
      <c r="G18564" s="49" t="str">
        <f t="shared" si="1"/>
        <v>12230</v>
      </c>
      <c r="H18564" s="49">
        <f t="shared" si="2"/>
        <v>12122</v>
      </c>
    </row>
    <row r="18565">
      <c r="A18565" s="48" t="s">
        <v>3059</v>
      </c>
      <c r="B18565" s="38">
        <v>89409.0</v>
      </c>
      <c r="C18565" s="38" t="s">
        <v>23007</v>
      </c>
      <c r="D18565" s="38" t="str">
        <f>IFERROR(__xludf.DUMMYFUNCTION("REGEXREPLACE(C18565,""-\d+(.*)|--\d+(.*)"","""")"),"THAROISEAU")</f>
        <v>THAROISEAU</v>
      </c>
      <c r="E18565" s="38" t="s">
        <v>275</v>
      </c>
      <c r="F18565" s="38" t="s">
        <v>106</v>
      </c>
      <c r="G18565" s="49" t="str">
        <f t="shared" si="1"/>
        <v>89450</v>
      </c>
      <c r="H18565" s="49">
        <f t="shared" si="2"/>
        <v>89409</v>
      </c>
    </row>
    <row r="18566">
      <c r="A18566" s="48" t="s">
        <v>5490</v>
      </c>
      <c r="B18566" s="38">
        <v>22308.0</v>
      </c>
      <c r="C18566" s="38" t="s">
        <v>23008</v>
      </c>
      <c r="D18566" s="38" t="str">
        <f>IFERROR(__xludf.DUMMYFUNCTION("REGEXREPLACE(C18566,""-\d+(.*)|--\d+(.*)"","""")"),"SAINT-JUVAT")</f>
        <v>SAINT-JUVAT</v>
      </c>
      <c r="E18566" s="38" t="s">
        <v>89</v>
      </c>
      <c r="F18566" s="38" t="s">
        <v>90</v>
      </c>
      <c r="G18566" s="49" t="str">
        <f t="shared" si="1"/>
        <v>22630</v>
      </c>
      <c r="H18566" s="49">
        <f t="shared" si="2"/>
        <v>22308</v>
      </c>
    </row>
    <row r="18567">
      <c r="A18567" s="48" t="s">
        <v>1334</v>
      </c>
      <c r="B18567" s="38">
        <v>7319.0</v>
      </c>
      <c r="C18567" s="38" t="s">
        <v>23009</v>
      </c>
      <c r="D18567" s="38" t="str">
        <f>IFERROR(__xludf.DUMMYFUNCTION("REGEXREPLACE(C18567,""-\d+(.*)|--\d+(.*)"","""")"),"LE TEIL")</f>
        <v>LE TEIL</v>
      </c>
      <c r="E18567" s="38" t="s">
        <v>144</v>
      </c>
      <c r="F18567" s="38" t="s">
        <v>102</v>
      </c>
      <c r="G18567" s="49" t="str">
        <f t="shared" si="1"/>
        <v>07400</v>
      </c>
      <c r="H18567" s="49" t="str">
        <f t="shared" si="2"/>
        <v>07319</v>
      </c>
    </row>
    <row r="18568">
      <c r="A18568" s="48" t="s">
        <v>2781</v>
      </c>
      <c r="B18568" s="38">
        <v>6096.0</v>
      </c>
      <c r="C18568" s="38" t="s">
        <v>23010</v>
      </c>
      <c r="D18568" s="38" t="str">
        <f>IFERROR(__xludf.DUMMYFUNCTION("REGEXREPLACE(C18568,""-\d+(.*)|--\d+(.*)"","""")"),"PIERLAS")</f>
        <v>PIERLAS</v>
      </c>
      <c r="E18568" s="38" t="s">
        <v>227</v>
      </c>
      <c r="F18568" s="38" t="s">
        <v>228</v>
      </c>
      <c r="G18568" s="49" t="str">
        <f t="shared" si="1"/>
        <v>06260</v>
      </c>
      <c r="H18568" s="49" t="str">
        <f t="shared" si="2"/>
        <v>06096</v>
      </c>
    </row>
    <row r="18569">
      <c r="A18569" s="48" t="s">
        <v>4561</v>
      </c>
      <c r="B18569" s="38">
        <v>79312.0</v>
      </c>
      <c r="C18569" s="38" t="s">
        <v>23011</v>
      </c>
      <c r="D18569" s="38" t="str">
        <f>IFERROR(__xludf.DUMMYFUNCTION("REGEXREPLACE(C18569,""-\d+(.*)|--\d+(.*)"","""")"),"SELIGNE")</f>
        <v>SELIGNE</v>
      </c>
      <c r="E18569" s="38" t="s">
        <v>337</v>
      </c>
      <c r="F18569" s="38" t="s">
        <v>338</v>
      </c>
      <c r="G18569" s="49" t="str">
        <f t="shared" si="1"/>
        <v>79170</v>
      </c>
      <c r="H18569" s="49">
        <f t="shared" si="2"/>
        <v>79312</v>
      </c>
    </row>
    <row r="18570">
      <c r="A18570" s="48" t="s">
        <v>23012</v>
      </c>
      <c r="B18570" s="38">
        <v>26008.0</v>
      </c>
      <c r="C18570" s="38" t="s">
        <v>23013</v>
      </c>
      <c r="D18570" s="38" t="str">
        <f>IFERROR(__xludf.DUMMYFUNCTION("REGEXREPLACE(C18570,""-\d+(.*)|--\d+(.*)"","""")"),"ANCONE")</f>
        <v>ANCONE</v>
      </c>
      <c r="E18570" s="38" t="s">
        <v>126</v>
      </c>
      <c r="F18570" s="38" t="s">
        <v>102</v>
      </c>
      <c r="G18570" s="49" t="str">
        <f t="shared" si="1"/>
        <v>26200</v>
      </c>
      <c r="H18570" s="49">
        <f t="shared" si="2"/>
        <v>26008</v>
      </c>
    </row>
    <row r="18571">
      <c r="A18571" s="48" t="s">
        <v>16889</v>
      </c>
      <c r="B18571" s="38">
        <v>66150.0</v>
      </c>
      <c r="C18571" s="38" t="s">
        <v>23014</v>
      </c>
      <c r="D18571" s="38" t="str">
        <f>IFERROR(__xludf.DUMMYFUNCTION("REGEXREPLACE(C18571,""-\d+(.*)|--\d+(.*)"","""")"),"PRATS-DE-MOLLO-LA-PRESTE")</f>
        <v>PRATS-DE-MOLLO-LA-PRESTE</v>
      </c>
      <c r="E18571" s="38" t="s">
        <v>248</v>
      </c>
      <c r="F18571" s="38" t="s">
        <v>119</v>
      </c>
      <c r="G18571" s="49" t="str">
        <f t="shared" si="1"/>
        <v>66230</v>
      </c>
      <c r="H18571" s="49">
        <f t="shared" si="2"/>
        <v>66150</v>
      </c>
    </row>
    <row r="18572">
      <c r="A18572" s="48" t="s">
        <v>9451</v>
      </c>
      <c r="B18572" s="38">
        <v>22172.0</v>
      </c>
      <c r="C18572" s="38" t="s">
        <v>23015</v>
      </c>
      <c r="D18572" s="38" t="str">
        <f>IFERROR(__xludf.DUMMYFUNCTION("REGEXREPLACE(C18572,""-\d+(.*)|--\d+(.*)"","""")"),"PLANCOET")</f>
        <v>PLANCOET</v>
      </c>
      <c r="E18572" s="38" t="s">
        <v>89</v>
      </c>
      <c r="F18572" s="38" t="s">
        <v>90</v>
      </c>
      <c r="G18572" s="49" t="str">
        <f t="shared" si="1"/>
        <v>22130</v>
      </c>
      <c r="H18572" s="49">
        <f t="shared" si="2"/>
        <v>22172</v>
      </c>
    </row>
    <row r="18573">
      <c r="A18573" s="48" t="s">
        <v>1603</v>
      </c>
      <c r="B18573" s="38">
        <v>25631.0</v>
      </c>
      <c r="C18573" s="38" t="s">
        <v>23016</v>
      </c>
      <c r="D18573" s="38" t="str">
        <f>IFERROR(__xludf.DUMMYFUNCTION("REGEXREPLACE(C18573,""-\d+(.*)|--\d+(.*)"","""")"),"VORGES-LES-PINS")</f>
        <v>VORGES-LES-PINS</v>
      </c>
      <c r="E18573" s="38" t="s">
        <v>213</v>
      </c>
      <c r="F18573" s="38" t="s">
        <v>214</v>
      </c>
      <c r="G18573" s="49" t="str">
        <f t="shared" si="1"/>
        <v>25320</v>
      </c>
      <c r="H18573" s="49">
        <f t="shared" si="2"/>
        <v>25631</v>
      </c>
    </row>
    <row r="18574">
      <c r="A18574" s="48" t="s">
        <v>3346</v>
      </c>
      <c r="B18574" s="38">
        <v>65311.0</v>
      </c>
      <c r="C18574" s="38" t="s">
        <v>23017</v>
      </c>
      <c r="D18574" s="38" t="str">
        <f>IFERROR(__xludf.DUMMYFUNCTION("REGEXREPLACE(C18574,""-\d+(.*)|--\d+(.*)"","""")"),"MINGOT")</f>
        <v>MINGOT</v>
      </c>
      <c r="E18574" s="38" t="s">
        <v>200</v>
      </c>
      <c r="F18574" s="38" t="s">
        <v>94</v>
      </c>
      <c r="G18574" s="49" t="str">
        <f t="shared" si="1"/>
        <v>65140</v>
      </c>
      <c r="H18574" s="49">
        <f t="shared" si="2"/>
        <v>65311</v>
      </c>
    </row>
    <row r="18575">
      <c r="A18575" s="48" t="s">
        <v>4644</v>
      </c>
      <c r="B18575" s="38">
        <v>46001.0</v>
      </c>
      <c r="C18575" s="38" t="s">
        <v>23018</v>
      </c>
      <c r="D18575" s="38" t="str">
        <f>IFERROR(__xludf.DUMMYFUNCTION("REGEXREPLACE(C18575,""-\d+(.*)|--\d+(.*)"","""")"),"ALBAS")</f>
        <v>ALBAS</v>
      </c>
      <c r="E18575" s="38" t="s">
        <v>185</v>
      </c>
      <c r="F18575" s="38" t="s">
        <v>94</v>
      </c>
      <c r="G18575" s="49" t="str">
        <f t="shared" si="1"/>
        <v>46140</v>
      </c>
      <c r="H18575" s="49">
        <f t="shared" si="2"/>
        <v>46001</v>
      </c>
    </row>
    <row r="18576">
      <c r="A18576" s="48" t="s">
        <v>591</v>
      </c>
      <c r="B18576" s="38">
        <v>85091.0</v>
      </c>
      <c r="C18576" s="38" t="s">
        <v>1470</v>
      </c>
      <c r="D18576" s="38" t="str">
        <f>IFERROR(__xludf.DUMMYFUNCTION("REGEXREPLACE(C18576,""-\d+(.*)|--\d+(.*)"","""")"),"FONTAINES")</f>
        <v>FONTAINES</v>
      </c>
      <c r="E18576" s="38" t="s">
        <v>179</v>
      </c>
      <c r="F18576" s="38" t="s">
        <v>180</v>
      </c>
      <c r="G18576" s="49" t="str">
        <f t="shared" si="1"/>
        <v>85200</v>
      </c>
      <c r="H18576" s="49">
        <f t="shared" si="2"/>
        <v>85091</v>
      </c>
    </row>
    <row r="18577">
      <c r="A18577" s="48" t="s">
        <v>2521</v>
      </c>
      <c r="B18577" s="38">
        <v>28074.0</v>
      </c>
      <c r="C18577" s="38" t="s">
        <v>23019</v>
      </c>
      <c r="D18577" s="38" t="str">
        <f>IFERROR(__xludf.DUMMYFUNCTION("REGEXREPLACE(C18577,""-\d+(.*)|--\d+(.*)"","""")"),"LA CHAPELLE-D'AUNAINVILLE")</f>
        <v>LA CHAPELLE-D'AUNAINVILLE</v>
      </c>
      <c r="E18577" s="38" t="s">
        <v>300</v>
      </c>
      <c r="F18577" s="38" t="s">
        <v>123</v>
      </c>
      <c r="G18577" s="49" t="str">
        <f t="shared" si="1"/>
        <v>28700</v>
      </c>
      <c r="H18577" s="49">
        <f t="shared" si="2"/>
        <v>28074</v>
      </c>
    </row>
    <row r="18578">
      <c r="A18578" s="48" t="s">
        <v>23020</v>
      </c>
      <c r="B18578" s="38">
        <v>59580.0</v>
      </c>
      <c r="C18578" s="38" t="s">
        <v>23021</v>
      </c>
      <c r="D18578" s="38" t="str">
        <f>IFERROR(__xludf.DUMMYFUNCTION("REGEXREPLACE(C18578,""-\d+(.*)|--\d+(.*)"","""")"),"STEENVOORDE")</f>
        <v>STEENVOORDE</v>
      </c>
      <c r="E18578" s="38" t="s">
        <v>85</v>
      </c>
      <c r="F18578" s="38" t="s">
        <v>86</v>
      </c>
      <c r="G18578" s="49" t="str">
        <f t="shared" si="1"/>
        <v>59114</v>
      </c>
      <c r="H18578" s="49">
        <f t="shared" si="2"/>
        <v>59580</v>
      </c>
    </row>
    <row r="18579">
      <c r="A18579" s="48" t="s">
        <v>719</v>
      </c>
      <c r="B18579" s="38">
        <v>8422.0</v>
      </c>
      <c r="C18579" s="38" t="s">
        <v>23022</v>
      </c>
      <c r="D18579" s="38" t="str">
        <f>IFERROR(__xludf.DUMMYFUNCTION("REGEXREPLACE(C18579,""-\d+(.*)|--\d+(.*)"","""")"),"SINGLY")</f>
        <v>SINGLY</v>
      </c>
      <c r="E18579" s="38" t="s">
        <v>327</v>
      </c>
      <c r="F18579" s="38" t="s">
        <v>130</v>
      </c>
      <c r="G18579" s="49" t="str">
        <f t="shared" si="1"/>
        <v>08430</v>
      </c>
      <c r="H18579" s="49" t="str">
        <f t="shared" si="2"/>
        <v>08422</v>
      </c>
    </row>
    <row r="18580">
      <c r="A18580" s="48" t="s">
        <v>781</v>
      </c>
      <c r="B18580" s="38">
        <v>65144.0</v>
      </c>
      <c r="C18580" s="38" t="s">
        <v>23023</v>
      </c>
      <c r="D18580" s="38" t="str">
        <f>IFERROR(__xludf.DUMMYFUNCTION("REGEXREPLACE(C18580,""-\d+(.*)|--\d+(.*)"","""")"),"CHEUST")</f>
        <v>CHEUST</v>
      </c>
      <c r="E18580" s="38" t="s">
        <v>200</v>
      </c>
      <c r="F18580" s="38" t="s">
        <v>94</v>
      </c>
      <c r="G18580" s="49" t="str">
        <f t="shared" si="1"/>
        <v>65100</v>
      </c>
      <c r="H18580" s="49">
        <f t="shared" si="2"/>
        <v>65144</v>
      </c>
    </row>
    <row r="18581">
      <c r="A18581" s="48" t="s">
        <v>3093</v>
      </c>
      <c r="B18581" s="38">
        <v>57579.0</v>
      </c>
      <c r="C18581" s="38" t="s">
        <v>23024</v>
      </c>
      <c r="D18581" s="38" t="str">
        <f>IFERROR(__xludf.DUMMYFUNCTION("REGEXREPLACE(C18581,""-\d+(.*)|--\d+(.*)"","""")"),"RHODES")</f>
        <v>RHODES</v>
      </c>
      <c r="E18581" s="38" t="s">
        <v>303</v>
      </c>
      <c r="F18581" s="38" t="s">
        <v>195</v>
      </c>
      <c r="G18581" s="49" t="str">
        <f t="shared" si="1"/>
        <v>57810</v>
      </c>
      <c r="H18581" s="49">
        <f t="shared" si="2"/>
        <v>57579</v>
      </c>
    </row>
    <row r="18582">
      <c r="A18582" s="48" t="s">
        <v>23025</v>
      </c>
      <c r="B18582" s="38">
        <v>62269.0</v>
      </c>
      <c r="C18582" s="38" t="s">
        <v>23026</v>
      </c>
      <c r="D18582" s="38" t="str">
        <f>IFERROR(__xludf.DUMMYFUNCTION("REGEXREPLACE(C18582,""-\d+(.*)|--\d+(.*)"","""")"),"DIEVAL")</f>
        <v>DIEVAL</v>
      </c>
      <c r="E18582" s="38" t="s">
        <v>109</v>
      </c>
      <c r="F18582" s="38" t="s">
        <v>86</v>
      </c>
      <c r="G18582" s="49" t="str">
        <f t="shared" si="1"/>
        <v>62460</v>
      </c>
      <c r="H18582" s="49">
        <f t="shared" si="2"/>
        <v>62269</v>
      </c>
    </row>
    <row r="18583">
      <c r="A18583" s="48" t="s">
        <v>14518</v>
      </c>
      <c r="B18583" s="38">
        <v>7250.0</v>
      </c>
      <c r="C18583" s="38" t="s">
        <v>23027</v>
      </c>
      <c r="D18583" s="38" t="str">
        <f>IFERROR(__xludf.DUMMYFUNCTION("REGEXREPLACE(C18583,""-\d+(.*)|--\d+(.*)"","""")"),"SAINT-JEURE-D'AY")</f>
        <v>SAINT-JEURE-D'AY</v>
      </c>
      <c r="E18583" s="38" t="s">
        <v>144</v>
      </c>
      <c r="F18583" s="38" t="s">
        <v>102</v>
      </c>
      <c r="G18583" s="49" t="str">
        <f t="shared" si="1"/>
        <v>07290</v>
      </c>
      <c r="H18583" s="49" t="str">
        <f t="shared" si="2"/>
        <v>07250</v>
      </c>
    </row>
    <row r="18584">
      <c r="A18584" s="48" t="s">
        <v>8039</v>
      </c>
      <c r="B18584" s="38">
        <v>6143.0</v>
      </c>
      <c r="C18584" s="38" t="s">
        <v>23028</v>
      </c>
      <c r="D18584" s="38" t="str">
        <f>IFERROR(__xludf.DUMMYFUNCTION("REGEXREPLACE(C18584,""-\d+(.*)|--\d+(.*)"","""")"),"TOUET-SUR-VAR")</f>
        <v>TOUET-SUR-VAR</v>
      </c>
      <c r="E18584" s="38" t="s">
        <v>227</v>
      </c>
      <c r="F18584" s="38" t="s">
        <v>228</v>
      </c>
      <c r="G18584" s="49" t="str">
        <f t="shared" si="1"/>
        <v>06710</v>
      </c>
      <c r="H18584" s="49" t="str">
        <f t="shared" si="2"/>
        <v>06143</v>
      </c>
    </row>
    <row r="18585">
      <c r="A18585" s="48" t="s">
        <v>639</v>
      </c>
      <c r="B18585" s="38">
        <v>16275.0</v>
      </c>
      <c r="C18585" s="38" t="s">
        <v>23029</v>
      </c>
      <c r="D18585" s="38" t="str">
        <f>IFERROR(__xludf.DUMMYFUNCTION("REGEXREPLACE(C18585,""-\d+(.*)|--\d+(.*)"","""")"),"RANVILLE-BREUILLAUD")</f>
        <v>RANVILLE-BREUILLAUD</v>
      </c>
      <c r="E18585" s="38" t="s">
        <v>429</v>
      </c>
      <c r="F18585" s="38" t="s">
        <v>338</v>
      </c>
      <c r="G18585" s="49" t="str">
        <f t="shared" si="1"/>
        <v>16140</v>
      </c>
      <c r="H18585" s="49">
        <f t="shared" si="2"/>
        <v>16275</v>
      </c>
    </row>
    <row r="18586">
      <c r="A18586" s="48" t="s">
        <v>5200</v>
      </c>
      <c r="B18586" s="38">
        <v>45019.0</v>
      </c>
      <c r="C18586" s="38" t="s">
        <v>23030</v>
      </c>
      <c r="D18586" s="38" t="str">
        <f>IFERROR(__xludf.DUMMYFUNCTION("REGEXREPLACE(C18586,""-\d+(.*)|--\d+(.*)"","""")"),"BACCON")</f>
        <v>BACCON</v>
      </c>
      <c r="E18586" s="38" t="s">
        <v>122</v>
      </c>
      <c r="F18586" s="38" t="s">
        <v>123</v>
      </c>
      <c r="G18586" s="49" t="str">
        <f t="shared" si="1"/>
        <v>45130</v>
      </c>
      <c r="H18586" s="49">
        <f t="shared" si="2"/>
        <v>45019</v>
      </c>
    </row>
    <row r="18587">
      <c r="A18587" s="48" t="s">
        <v>21208</v>
      </c>
      <c r="B18587" s="38">
        <v>38082.0</v>
      </c>
      <c r="C18587" s="38" t="s">
        <v>23031</v>
      </c>
      <c r="D18587" s="38" t="str">
        <f>IFERROR(__xludf.DUMMYFUNCTION("REGEXREPLACE(C18587,""-\d+(.*)|--\d+(.*)"","""")"),"CHARAVINES")</f>
        <v>CHARAVINES</v>
      </c>
      <c r="E18587" s="38" t="s">
        <v>101</v>
      </c>
      <c r="F18587" s="38" t="s">
        <v>102</v>
      </c>
      <c r="G18587" s="49" t="str">
        <f t="shared" si="1"/>
        <v>38850</v>
      </c>
      <c r="H18587" s="49">
        <f t="shared" si="2"/>
        <v>38082</v>
      </c>
    </row>
    <row r="18588">
      <c r="A18588" s="48" t="s">
        <v>7818</v>
      </c>
      <c r="B18588" s="38">
        <v>90005.0</v>
      </c>
      <c r="C18588" s="38" t="s">
        <v>23032</v>
      </c>
      <c r="D18588" s="38" t="str">
        <f>IFERROR(__xludf.DUMMYFUNCTION("REGEXREPLACE(C18588,""-\d+(.*)|--\d+(.*)"","""")"),"AUXELLES-BAS")</f>
        <v>AUXELLES-BAS</v>
      </c>
      <c r="E18588" s="38" t="s">
        <v>1283</v>
      </c>
      <c r="F18588" s="38" t="s">
        <v>214</v>
      </c>
      <c r="G18588" s="49" t="str">
        <f t="shared" si="1"/>
        <v>90200</v>
      </c>
      <c r="H18588" s="49">
        <f t="shared" si="2"/>
        <v>90005</v>
      </c>
    </row>
    <row r="18589">
      <c r="A18589" s="48" t="s">
        <v>23033</v>
      </c>
      <c r="B18589" s="38">
        <v>97132.0</v>
      </c>
      <c r="C18589" s="38" t="s">
        <v>23034</v>
      </c>
      <c r="D18589" s="38" t="str">
        <f>IFERROR(__xludf.DUMMYFUNCTION("REGEXREPLACE(C18589,""-\d+(.*)|--\d+(.*)"","""")"),"TROIS-RIVIERES")</f>
        <v>TROIS-RIVIERES</v>
      </c>
      <c r="E18589" s="38" t="s">
        <v>2023</v>
      </c>
      <c r="F18589" s="38" t="s">
        <v>2023</v>
      </c>
      <c r="G18589" s="49" t="str">
        <f t="shared" si="1"/>
        <v>97114</v>
      </c>
      <c r="H18589" s="49">
        <f t="shared" si="2"/>
        <v>97132</v>
      </c>
    </row>
    <row r="18590">
      <c r="A18590" s="48" t="s">
        <v>474</v>
      </c>
      <c r="B18590" s="38">
        <v>76388.0</v>
      </c>
      <c r="C18590" s="38" t="s">
        <v>23035</v>
      </c>
      <c r="D18590" s="38" t="str">
        <f>IFERROR(__xludf.DUMMYFUNCTION("REGEXREPLACE(C18590,""-\d+(.*)|--\d+(.*)"","""")"),"LINTOT")</f>
        <v>LINTOT</v>
      </c>
      <c r="E18590" s="38" t="s">
        <v>133</v>
      </c>
      <c r="F18590" s="38" t="s">
        <v>134</v>
      </c>
      <c r="G18590" s="49" t="str">
        <f t="shared" si="1"/>
        <v>76210</v>
      </c>
      <c r="H18590" s="49">
        <f t="shared" si="2"/>
        <v>76388</v>
      </c>
    </row>
    <row r="18591">
      <c r="A18591" s="48" t="s">
        <v>8587</v>
      </c>
      <c r="B18591" s="38">
        <v>66080.0</v>
      </c>
      <c r="C18591" s="38" t="s">
        <v>23036</v>
      </c>
      <c r="D18591" s="38" t="str">
        <f>IFERROR(__xludf.DUMMYFUNCTION("REGEXREPLACE(C18591,""-\d+(.*)|--\d+(.*)"","""")"),"FONTPEDROUSE")</f>
        <v>FONTPEDROUSE</v>
      </c>
      <c r="E18591" s="38" t="s">
        <v>248</v>
      </c>
      <c r="F18591" s="38" t="s">
        <v>119</v>
      </c>
      <c r="G18591" s="49" t="str">
        <f t="shared" si="1"/>
        <v>66360</v>
      </c>
      <c r="H18591" s="49">
        <f t="shared" si="2"/>
        <v>66080</v>
      </c>
    </row>
    <row r="18592">
      <c r="A18592" s="48" t="s">
        <v>2960</v>
      </c>
      <c r="B18592" s="38">
        <v>86079.0</v>
      </c>
      <c r="C18592" s="38" t="s">
        <v>23037</v>
      </c>
      <c r="D18592" s="38" t="str">
        <f>IFERROR(__xludf.DUMMYFUNCTION("REGEXREPLACE(C18592,""-\d+(.*)|--\d+(.*)"","""")"),"LA ROCHE-RIGAULT")</f>
        <v>LA ROCHE-RIGAULT</v>
      </c>
      <c r="E18592" s="38" t="s">
        <v>529</v>
      </c>
      <c r="F18592" s="38" t="s">
        <v>338</v>
      </c>
      <c r="G18592" s="49" t="str">
        <f t="shared" si="1"/>
        <v>86200</v>
      </c>
      <c r="H18592" s="49">
        <f t="shared" si="2"/>
        <v>86079</v>
      </c>
    </row>
    <row r="18593">
      <c r="A18593" s="48" t="s">
        <v>5812</v>
      </c>
      <c r="B18593" s="38">
        <v>77230.0</v>
      </c>
      <c r="C18593" s="38" t="s">
        <v>23038</v>
      </c>
      <c r="D18593" s="38" t="str">
        <f>IFERROR(__xludf.DUMMYFUNCTION("REGEXREPLACE(C18593,""-\d+(.*)|--\d+(.*)"","""")"),"ICHY")</f>
        <v>ICHY</v>
      </c>
      <c r="E18593" s="38" t="s">
        <v>244</v>
      </c>
      <c r="F18593" s="38" t="s">
        <v>245</v>
      </c>
      <c r="G18593" s="49" t="str">
        <f t="shared" si="1"/>
        <v>77890</v>
      </c>
      <c r="H18593" s="49">
        <f t="shared" si="2"/>
        <v>77230</v>
      </c>
    </row>
    <row r="18594">
      <c r="A18594" s="48" t="s">
        <v>7676</v>
      </c>
      <c r="B18594" s="38">
        <v>63300.0</v>
      </c>
      <c r="C18594" s="38" t="s">
        <v>23039</v>
      </c>
      <c r="D18594" s="38" t="str">
        <f>IFERROR(__xludf.DUMMYFUNCTION("REGEXREPLACE(C18594,""-\d+(.*)|--\d+(.*)"","""")"),"RIOM")</f>
        <v>RIOM</v>
      </c>
      <c r="E18594" s="38" t="s">
        <v>353</v>
      </c>
      <c r="F18594" s="38" t="s">
        <v>161</v>
      </c>
      <c r="G18594" s="49" t="str">
        <f t="shared" si="1"/>
        <v>63200</v>
      </c>
      <c r="H18594" s="49">
        <f t="shared" si="2"/>
        <v>63300</v>
      </c>
    </row>
    <row r="18595">
      <c r="A18595" s="48" t="s">
        <v>18798</v>
      </c>
      <c r="B18595" s="38">
        <v>10111.0</v>
      </c>
      <c r="C18595" s="38" t="s">
        <v>23040</v>
      </c>
      <c r="D18595" s="38" t="str">
        <f>IFERROR(__xludf.DUMMYFUNCTION("REGEXREPLACE(C18595,""-\d+(.*)|--\d+(.*)"","""")"),"COURTERON")</f>
        <v>COURTERON</v>
      </c>
      <c r="E18595" s="38" t="s">
        <v>147</v>
      </c>
      <c r="F18595" s="38" t="s">
        <v>130</v>
      </c>
      <c r="G18595" s="49" t="str">
        <f t="shared" si="1"/>
        <v>10250</v>
      </c>
      <c r="H18595" s="49">
        <f t="shared" si="2"/>
        <v>10111</v>
      </c>
    </row>
    <row r="18596">
      <c r="A18596" s="48" t="s">
        <v>6606</v>
      </c>
      <c r="B18596" s="38">
        <v>25425.0</v>
      </c>
      <c r="C18596" s="38" t="s">
        <v>23041</v>
      </c>
      <c r="D18596" s="38" t="str">
        <f>IFERROR(__xludf.DUMMYFUNCTION("REGEXREPLACE(C18596,""-\d+(.*)|--\d+(.*)"","""")"),"NOEL-CERNEUX")</f>
        <v>NOEL-CERNEUX</v>
      </c>
      <c r="E18596" s="38" t="s">
        <v>213</v>
      </c>
      <c r="F18596" s="38" t="s">
        <v>214</v>
      </c>
      <c r="G18596" s="49" t="str">
        <f t="shared" si="1"/>
        <v>25500</v>
      </c>
      <c r="H18596" s="49">
        <f t="shared" si="2"/>
        <v>25425</v>
      </c>
    </row>
    <row r="18597">
      <c r="A18597" s="48" t="s">
        <v>8698</v>
      </c>
      <c r="B18597" s="38">
        <v>11091.0</v>
      </c>
      <c r="C18597" s="38" t="s">
        <v>23042</v>
      </c>
      <c r="D18597" s="38" t="str">
        <f>IFERROR(__xludf.DUMMYFUNCTION("REGEXREPLACE(C18597,""-\d+(.*)|--\d+(.*)"","""")"),"CHALABRE")</f>
        <v>CHALABRE</v>
      </c>
      <c r="E18597" s="38" t="s">
        <v>278</v>
      </c>
      <c r="F18597" s="38" t="s">
        <v>119</v>
      </c>
      <c r="G18597" s="49" t="str">
        <f t="shared" si="1"/>
        <v>11230</v>
      </c>
      <c r="H18597" s="49">
        <f t="shared" si="2"/>
        <v>11091</v>
      </c>
    </row>
    <row r="18598">
      <c r="A18598" s="48" t="s">
        <v>2100</v>
      </c>
      <c r="B18598" s="38">
        <v>14684.0</v>
      </c>
      <c r="C18598" s="38" t="s">
        <v>23043</v>
      </c>
      <c r="D18598" s="38" t="str">
        <f>IFERROR(__xludf.DUMMYFUNCTION("REGEXREPLACE(C18598,""-\d+(.*)|--\d+(.*)"","""")"),"TESSEL")</f>
        <v>TESSEL</v>
      </c>
      <c r="E18598" s="38" t="s">
        <v>137</v>
      </c>
      <c r="F18598" s="38" t="s">
        <v>138</v>
      </c>
      <c r="G18598" s="49" t="str">
        <f t="shared" si="1"/>
        <v>14250</v>
      </c>
      <c r="H18598" s="49">
        <f t="shared" si="2"/>
        <v>14684</v>
      </c>
    </row>
    <row r="18599">
      <c r="A18599" s="48" t="s">
        <v>3448</v>
      </c>
      <c r="B18599" s="38">
        <v>65333.0</v>
      </c>
      <c r="C18599" s="38" t="s">
        <v>23044</v>
      </c>
      <c r="D18599" s="38" t="str">
        <f>IFERROR(__xludf.DUMMYFUNCTION("REGEXREPLACE(C18599,""-\d+(.*)|--\d+(.*)"","""")"),"OLEAC-DESSUS")</f>
        <v>OLEAC-DESSUS</v>
      </c>
      <c r="E18599" s="38" t="s">
        <v>200</v>
      </c>
      <c r="F18599" s="38" t="s">
        <v>94</v>
      </c>
      <c r="G18599" s="49" t="str">
        <f t="shared" si="1"/>
        <v>65190</v>
      </c>
      <c r="H18599" s="49">
        <f t="shared" si="2"/>
        <v>65333</v>
      </c>
    </row>
    <row r="18600">
      <c r="A18600" s="48" t="s">
        <v>3226</v>
      </c>
      <c r="B18600" s="38">
        <v>61465.0</v>
      </c>
      <c r="C18600" s="38" t="s">
        <v>23045</v>
      </c>
      <c r="D18600" s="38" t="str">
        <f>IFERROR(__xludf.DUMMYFUNCTION("REGEXREPLACE(C18600,""-\d+(.*)|--\d+(.*)"","""")"),"SEGRIE-FONTAINE")</f>
        <v>SEGRIE-FONTAINE</v>
      </c>
      <c r="E18600" s="38" t="s">
        <v>141</v>
      </c>
      <c r="F18600" s="38" t="s">
        <v>138</v>
      </c>
      <c r="G18600" s="49" t="str">
        <f t="shared" si="1"/>
        <v>61100</v>
      </c>
      <c r="H18600" s="49">
        <f t="shared" si="2"/>
        <v>61465</v>
      </c>
    </row>
    <row r="18601">
      <c r="A18601" s="48" t="s">
        <v>13443</v>
      </c>
      <c r="B18601" s="38">
        <v>84068.0</v>
      </c>
      <c r="C18601" s="38" t="s">
        <v>23046</v>
      </c>
      <c r="D18601" s="38" t="str">
        <f>IFERROR(__xludf.DUMMYFUNCTION("REGEXREPLACE(C18601,""-\d+(.*)|--\d+(.*)"","""")"),"LOURMARIN")</f>
        <v>LOURMARIN</v>
      </c>
      <c r="E18601" s="38" t="s">
        <v>1026</v>
      </c>
      <c r="F18601" s="38" t="s">
        <v>228</v>
      </c>
      <c r="G18601" s="49" t="str">
        <f t="shared" si="1"/>
        <v>84160</v>
      </c>
      <c r="H18601" s="49">
        <f t="shared" si="2"/>
        <v>84068</v>
      </c>
    </row>
    <row r="18602">
      <c r="A18602" s="48" t="s">
        <v>4969</v>
      </c>
      <c r="B18602" s="38">
        <v>14713.0</v>
      </c>
      <c r="C18602" s="38" t="s">
        <v>23047</v>
      </c>
      <c r="D18602" s="38" t="str">
        <f>IFERROR(__xludf.DUMMYFUNCTION("REGEXREPLACE(C18602,""-\d+(.*)|--\d+(.*)"","""")"),"TROIS-MONTS")</f>
        <v>TROIS-MONTS</v>
      </c>
      <c r="E18602" s="38" t="s">
        <v>137</v>
      </c>
      <c r="F18602" s="38" t="s">
        <v>138</v>
      </c>
      <c r="G18602" s="49" t="str">
        <f t="shared" si="1"/>
        <v>14210</v>
      </c>
      <c r="H18602" s="49">
        <f t="shared" si="2"/>
        <v>14713</v>
      </c>
    </row>
    <row r="18603">
      <c r="A18603" s="48" t="s">
        <v>4941</v>
      </c>
      <c r="B18603" s="38">
        <v>89178.0</v>
      </c>
      <c r="C18603" s="38" t="s">
        <v>23048</v>
      </c>
      <c r="D18603" s="38" t="str">
        <f>IFERROR(__xludf.DUMMYFUNCTION("REGEXREPLACE(C18603,""-\d+(.*)|--\d+(.*)"","""")"),"FONTENOUILLES")</f>
        <v>FONTENOUILLES</v>
      </c>
      <c r="E18603" s="38" t="s">
        <v>275</v>
      </c>
      <c r="F18603" s="38" t="s">
        <v>106</v>
      </c>
      <c r="G18603" s="49" t="str">
        <f t="shared" si="1"/>
        <v>89120</v>
      </c>
      <c r="H18603" s="49">
        <f t="shared" si="2"/>
        <v>89178</v>
      </c>
    </row>
    <row r="18604">
      <c r="A18604" s="48" t="s">
        <v>8404</v>
      </c>
      <c r="B18604" s="38" t="s">
        <v>23049</v>
      </c>
      <c r="C18604" s="38" t="s">
        <v>23050</v>
      </c>
      <c r="D18604" s="38" t="str">
        <f>IFERROR(__xludf.DUMMYFUNCTION("REGEXREPLACE(C18604,""-\d+(.*)|--\d+(.*)"","""")"),"CROCICCHIA")</f>
        <v>CROCICCHIA</v>
      </c>
      <c r="E18604" s="38" t="s">
        <v>743</v>
      </c>
      <c r="F18604" s="38" t="s">
        <v>607</v>
      </c>
      <c r="G18604" s="49" t="str">
        <f t="shared" si="1"/>
        <v>20290</v>
      </c>
      <c r="H18604" s="49" t="str">
        <f t="shared" si="2"/>
        <v>2B102</v>
      </c>
    </row>
    <row r="18605">
      <c r="A18605" s="48" t="s">
        <v>15419</v>
      </c>
      <c r="B18605" s="38">
        <v>65140.0</v>
      </c>
      <c r="C18605" s="38" t="s">
        <v>23051</v>
      </c>
      <c r="D18605" s="38" t="str">
        <f>IFERROR(__xludf.DUMMYFUNCTION("REGEXREPLACE(C18605,""-\d+(.*)|--\d+(.*)"","""")"),"CAZAUX-DEBAT")</f>
        <v>CAZAUX-DEBAT</v>
      </c>
      <c r="E18605" s="38" t="s">
        <v>200</v>
      </c>
      <c r="F18605" s="38" t="s">
        <v>94</v>
      </c>
      <c r="G18605" s="49" t="str">
        <f t="shared" si="1"/>
        <v>65590</v>
      </c>
      <c r="H18605" s="49">
        <f t="shared" si="2"/>
        <v>65140</v>
      </c>
    </row>
    <row r="18606">
      <c r="A18606" s="48" t="s">
        <v>21331</v>
      </c>
      <c r="B18606" s="38">
        <v>77202.0</v>
      </c>
      <c r="C18606" s="38" t="s">
        <v>23052</v>
      </c>
      <c r="D18606" s="38" t="str">
        <f>IFERROR(__xludf.DUMMYFUNCTION("REGEXREPLACE(C18606,""-\d+(.*)|--\d+(.*)"","""")"),"LA GENEVRAYE")</f>
        <v>LA GENEVRAYE</v>
      </c>
      <c r="E18606" s="38" t="s">
        <v>244</v>
      </c>
      <c r="F18606" s="38" t="s">
        <v>245</v>
      </c>
      <c r="G18606" s="49" t="str">
        <f t="shared" si="1"/>
        <v>77690</v>
      </c>
      <c r="H18606" s="49">
        <f t="shared" si="2"/>
        <v>77202</v>
      </c>
    </row>
    <row r="18607">
      <c r="A18607" s="48" t="s">
        <v>23053</v>
      </c>
      <c r="B18607" s="38">
        <v>94060.0</v>
      </c>
      <c r="C18607" s="38" t="s">
        <v>23054</v>
      </c>
      <c r="D18607" s="38" t="str">
        <f>IFERROR(__xludf.DUMMYFUNCTION("REGEXREPLACE(C18607,""-\d+(.*)|--\d+(.*)"","""")"),"LA QUEUE-EN-BRIE")</f>
        <v>LA QUEUE-EN-BRIE</v>
      </c>
      <c r="E18607" s="38" t="s">
        <v>561</v>
      </c>
      <c r="F18607" s="38" t="s">
        <v>245</v>
      </c>
      <c r="G18607" s="49" t="str">
        <f t="shared" si="1"/>
        <v>94510</v>
      </c>
      <c r="H18607" s="49">
        <f t="shared" si="2"/>
        <v>94060</v>
      </c>
    </row>
    <row r="18608">
      <c r="A18608" s="48" t="s">
        <v>6179</v>
      </c>
      <c r="B18608" s="38">
        <v>8226.0</v>
      </c>
      <c r="C18608" s="38" t="s">
        <v>23055</v>
      </c>
      <c r="D18608" s="38" t="str">
        <f>IFERROR(__xludf.DUMMYFUNCTION("REGEXREPLACE(C18608,""-\d+(.*)|--\d+(.*)"","""")"),"HIERGES")</f>
        <v>HIERGES</v>
      </c>
      <c r="E18608" s="38" t="s">
        <v>327</v>
      </c>
      <c r="F18608" s="38" t="s">
        <v>130</v>
      </c>
      <c r="G18608" s="49" t="str">
        <f t="shared" si="1"/>
        <v>08320</v>
      </c>
      <c r="H18608" s="49" t="str">
        <f t="shared" si="2"/>
        <v>08226</v>
      </c>
    </row>
    <row r="18609">
      <c r="A18609" s="48" t="s">
        <v>5137</v>
      </c>
      <c r="B18609" s="38">
        <v>53003.0</v>
      </c>
      <c r="C18609" s="38" t="s">
        <v>23056</v>
      </c>
      <c r="D18609" s="38" t="str">
        <f>IFERROR(__xludf.DUMMYFUNCTION("REGEXREPLACE(C18609,""-\d+(.*)|--\d+(.*)"","""")"),"AMBRIERES-LES-VALLEES")</f>
        <v>AMBRIERES-LES-VALLEES</v>
      </c>
      <c r="E18609" s="38" t="s">
        <v>518</v>
      </c>
      <c r="F18609" s="38" t="s">
        <v>180</v>
      </c>
      <c r="G18609" s="49" t="str">
        <f t="shared" si="1"/>
        <v>53300</v>
      </c>
      <c r="H18609" s="49">
        <f t="shared" si="2"/>
        <v>53003</v>
      </c>
    </row>
    <row r="18610">
      <c r="A18610" s="48" t="s">
        <v>273</v>
      </c>
      <c r="B18610" s="38">
        <v>89473.0</v>
      </c>
      <c r="C18610" s="38" t="s">
        <v>23057</v>
      </c>
      <c r="D18610" s="38" t="str">
        <f>IFERROR(__xludf.DUMMYFUNCTION("REGEXREPLACE(C18610,""-\d+(.*)|--\d+(.*)"","""")"),"VILLIERS-SUR-THOLON")</f>
        <v>VILLIERS-SUR-THOLON</v>
      </c>
      <c r="E18610" s="38" t="s">
        <v>275</v>
      </c>
      <c r="F18610" s="38" t="s">
        <v>106</v>
      </c>
      <c r="G18610" s="49" t="str">
        <f t="shared" si="1"/>
        <v>89110</v>
      </c>
      <c r="H18610" s="49">
        <f t="shared" si="2"/>
        <v>89473</v>
      </c>
    </row>
    <row r="18611">
      <c r="A18611" s="48" t="s">
        <v>5330</v>
      </c>
      <c r="B18611" s="38">
        <v>30162.0</v>
      </c>
      <c r="C18611" s="38" t="s">
        <v>23058</v>
      </c>
      <c r="D18611" s="38" t="str">
        <f>IFERROR(__xludf.DUMMYFUNCTION("REGEXREPLACE(C18611,""-\d+(.*)|--\d+(.*)"","""")"),"MASSILLARGUES-ATTUECH")</f>
        <v>MASSILLARGUES-ATTUECH</v>
      </c>
      <c r="E18611" s="38" t="s">
        <v>526</v>
      </c>
      <c r="F18611" s="38" t="s">
        <v>119</v>
      </c>
      <c r="G18611" s="49" t="str">
        <f t="shared" si="1"/>
        <v>30140</v>
      </c>
      <c r="H18611" s="49">
        <f t="shared" si="2"/>
        <v>30162</v>
      </c>
    </row>
    <row r="18612">
      <c r="A18612" s="48" t="s">
        <v>3210</v>
      </c>
      <c r="B18612" s="38">
        <v>74120.0</v>
      </c>
      <c r="C18612" s="38" t="s">
        <v>23059</v>
      </c>
      <c r="D18612" s="38" t="str">
        <f>IFERROR(__xludf.DUMMYFUNCTION("REGEXREPLACE(C18612,""-\d+(.*)|--\d+(.*)"","""")"),"EVIRES")</f>
        <v>EVIRES</v>
      </c>
      <c r="E18612" s="38" t="s">
        <v>319</v>
      </c>
      <c r="F18612" s="38" t="s">
        <v>102</v>
      </c>
      <c r="G18612" s="49" t="str">
        <f t="shared" si="1"/>
        <v>74570</v>
      </c>
      <c r="H18612" s="49">
        <f t="shared" si="2"/>
        <v>74120</v>
      </c>
    </row>
    <row r="18613">
      <c r="A18613" s="48" t="s">
        <v>10392</v>
      </c>
      <c r="B18613" s="38">
        <v>64086.0</v>
      </c>
      <c r="C18613" s="38" t="s">
        <v>23060</v>
      </c>
      <c r="D18613" s="38" t="str">
        <f>IFERROR(__xludf.DUMMYFUNCTION("REGEXREPLACE(C18613,""-\d+(.*)|--\d+(.*)"","""")"),"AYHERRE")</f>
        <v>AYHERRE</v>
      </c>
      <c r="E18613" s="38" t="s">
        <v>268</v>
      </c>
      <c r="F18613" s="38" t="s">
        <v>252</v>
      </c>
      <c r="G18613" s="49" t="str">
        <f t="shared" si="1"/>
        <v>64240</v>
      </c>
      <c r="H18613" s="49">
        <f t="shared" si="2"/>
        <v>64086</v>
      </c>
    </row>
    <row r="18614">
      <c r="A18614" s="48" t="s">
        <v>6728</v>
      </c>
      <c r="B18614" s="38">
        <v>89403.0</v>
      </c>
      <c r="C18614" s="38" t="s">
        <v>23061</v>
      </c>
      <c r="D18614" s="38" t="str">
        <f>IFERROR(__xludf.DUMMYFUNCTION("REGEXREPLACE(C18614,""-\d+(.*)|--\d+(.*)"","""")"),"STIGNY")</f>
        <v>STIGNY</v>
      </c>
      <c r="E18614" s="38" t="s">
        <v>275</v>
      </c>
      <c r="F18614" s="38" t="s">
        <v>106</v>
      </c>
      <c r="G18614" s="49" t="str">
        <f t="shared" si="1"/>
        <v>89160</v>
      </c>
      <c r="H18614" s="49">
        <f t="shared" si="2"/>
        <v>89403</v>
      </c>
    </row>
    <row r="18615">
      <c r="A18615" s="48" t="s">
        <v>2640</v>
      </c>
      <c r="B18615" s="38">
        <v>58099.0</v>
      </c>
      <c r="C18615" s="38" t="s">
        <v>23062</v>
      </c>
      <c r="D18615" s="38" t="str">
        <f>IFERROR(__xludf.DUMMYFUNCTION("REGEXREPLACE(C18615,""-\d+(.*)|--\d+(.*)"","""")"),"DOMMARTIN")</f>
        <v>DOMMARTIN</v>
      </c>
      <c r="E18615" s="38" t="s">
        <v>219</v>
      </c>
      <c r="F18615" s="38" t="s">
        <v>106</v>
      </c>
      <c r="G18615" s="49" t="str">
        <f t="shared" si="1"/>
        <v>58120</v>
      </c>
      <c r="H18615" s="49">
        <f t="shared" si="2"/>
        <v>58099</v>
      </c>
    </row>
    <row r="18616">
      <c r="A18616" s="48" t="s">
        <v>22976</v>
      </c>
      <c r="B18616" s="38">
        <v>97612.0</v>
      </c>
      <c r="C18616" s="38" t="s">
        <v>23063</v>
      </c>
      <c r="D18616" s="38" t="str">
        <f>IFERROR(__xludf.DUMMYFUNCTION("REGEXREPLACE(C18616,""-\d+(.*)|--\d+(.*)"","""")"),"MTSAMBORO")</f>
        <v>MTSAMBORO</v>
      </c>
      <c r="E18616" s="38" t="s">
        <v>2865</v>
      </c>
      <c r="F18616" s="38" t="s">
        <v>2865</v>
      </c>
      <c r="G18616" s="49" t="str">
        <f t="shared" si="1"/>
        <v>97630</v>
      </c>
      <c r="H18616" s="49">
        <f t="shared" si="2"/>
        <v>97612</v>
      </c>
    </row>
    <row r="18617">
      <c r="A18617" s="48" t="s">
        <v>958</v>
      </c>
      <c r="B18617" s="38">
        <v>71012.0</v>
      </c>
      <c r="C18617" s="38" t="s">
        <v>23064</v>
      </c>
      <c r="D18617" s="38" t="str">
        <f>IFERROR(__xludf.DUMMYFUNCTION("REGEXREPLACE(C18617,""-\d+(.*)|--\d+(.*)"","""")"),"ARTAIX")</f>
        <v>ARTAIX</v>
      </c>
      <c r="E18617" s="38" t="s">
        <v>344</v>
      </c>
      <c r="F18617" s="38" t="s">
        <v>106</v>
      </c>
      <c r="G18617" s="49" t="str">
        <f t="shared" si="1"/>
        <v>71110</v>
      </c>
      <c r="H18617" s="49">
        <f t="shared" si="2"/>
        <v>71012</v>
      </c>
    </row>
    <row r="18618">
      <c r="A18618" s="48" t="s">
        <v>2534</v>
      </c>
      <c r="B18618" s="38">
        <v>27302.0</v>
      </c>
      <c r="C18618" s="38" t="s">
        <v>23065</v>
      </c>
      <c r="D18618" s="38" t="str">
        <f>IFERROR(__xludf.DUMMYFUNCTION("REGEXREPLACE(C18618,""-\d+(.*)|--\d+(.*)"","""")"),"LE GROS-THEIL")</f>
        <v>LE GROS-THEIL</v>
      </c>
      <c r="E18618" s="38" t="s">
        <v>241</v>
      </c>
      <c r="F18618" s="38" t="s">
        <v>134</v>
      </c>
      <c r="G18618" s="49" t="str">
        <f t="shared" si="1"/>
        <v>27370</v>
      </c>
      <c r="H18618" s="49">
        <f t="shared" si="2"/>
        <v>27302</v>
      </c>
    </row>
    <row r="18619">
      <c r="A18619" s="48" t="s">
        <v>4119</v>
      </c>
      <c r="B18619" s="38">
        <v>36192.0</v>
      </c>
      <c r="C18619" s="38" t="s">
        <v>23066</v>
      </c>
      <c r="D18619" s="38" t="str">
        <f>IFERROR(__xludf.DUMMYFUNCTION("REGEXREPLACE(C18619,""-\d+(.*)|--\d+(.*)"","""")"),"SAINT-GAULTIER")</f>
        <v>SAINT-GAULTIER</v>
      </c>
      <c r="E18619" s="38" t="s">
        <v>258</v>
      </c>
      <c r="F18619" s="38" t="s">
        <v>123</v>
      </c>
      <c r="G18619" s="49" t="str">
        <f t="shared" si="1"/>
        <v>36800</v>
      </c>
      <c r="H18619" s="49">
        <f t="shared" si="2"/>
        <v>36192</v>
      </c>
    </row>
    <row r="18620">
      <c r="A18620" s="48" t="s">
        <v>19967</v>
      </c>
      <c r="B18620" s="38">
        <v>4009.0</v>
      </c>
      <c r="C18620" s="38" t="s">
        <v>23067</v>
      </c>
      <c r="D18620" s="38" t="str">
        <f>IFERROR(__xludf.DUMMYFUNCTION("REGEXREPLACE(C18620,""-\d+(.*)|--\d+(.*)"","""")"),"ARCHAIL")</f>
        <v>ARCHAIL</v>
      </c>
      <c r="E18620" s="38" t="s">
        <v>662</v>
      </c>
      <c r="F18620" s="38" t="s">
        <v>228</v>
      </c>
      <c r="G18620" s="49" t="str">
        <f t="shared" si="1"/>
        <v>04420</v>
      </c>
      <c r="H18620" s="49" t="str">
        <f t="shared" si="2"/>
        <v>04009</v>
      </c>
    </row>
    <row r="18621">
      <c r="A18621" s="48" t="s">
        <v>612</v>
      </c>
      <c r="B18621" s="38">
        <v>69268.0</v>
      </c>
      <c r="C18621" s="38" t="s">
        <v>23068</v>
      </c>
      <c r="D18621" s="38" t="str">
        <f>IFERROR(__xludf.DUMMYFUNCTION("REGEXREPLACE(C18621,""-\d+(.*)|--\d+(.*)"","""")"),"VOURLES")</f>
        <v>VOURLES</v>
      </c>
      <c r="E18621" s="38" t="s">
        <v>350</v>
      </c>
      <c r="F18621" s="38" t="s">
        <v>102</v>
      </c>
      <c r="G18621" s="49" t="str">
        <f t="shared" si="1"/>
        <v>69390</v>
      </c>
      <c r="H18621" s="49">
        <f t="shared" si="2"/>
        <v>69268</v>
      </c>
    </row>
    <row r="18622">
      <c r="A18622" s="48" t="s">
        <v>23069</v>
      </c>
      <c r="B18622" s="38">
        <v>19077.0</v>
      </c>
      <c r="C18622" s="38" t="s">
        <v>23070</v>
      </c>
      <c r="D18622" s="38" t="str">
        <f>IFERROR(__xludf.DUMMYFUNCTION("REGEXREPLACE(C18622,""-\d+(.*)|--\d+(.*)"","""")"),"ESTIVALS")</f>
        <v>ESTIVALS</v>
      </c>
      <c r="E18622" s="38" t="s">
        <v>271</v>
      </c>
      <c r="F18622" s="38" t="s">
        <v>98</v>
      </c>
      <c r="G18622" s="49" t="str">
        <f t="shared" si="1"/>
        <v>19600</v>
      </c>
      <c r="H18622" s="49">
        <f t="shared" si="2"/>
        <v>19077</v>
      </c>
    </row>
    <row r="18623">
      <c r="A18623" s="48" t="s">
        <v>2503</v>
      </c>
      <c r="B18623" s="38">
        <v>33172.0</v>
      </c>
      <c r="C18623" s="38" t="s">
        <v>21600</v>
      </c>
      <c r="D18623" s="38" t="str">
        <f>IFERROR(__xludf.DUMMYFUNCTION("REGEXREPLACE(C18623,""-\d+(.*)|--\d+(.*)"","""")"),"FOURS")</f>
        <v>FOURS</v>
      </c>
      <c r="E18623" s="38" t="s">
        <v>462</v>
      </c>
      <c r="F18623" s="38" t="s">
        <v>252</v>
      </c>
      <c r="G18623" s="49" t="str">
        <f t="shared" si="1"/>
        <v>33390</v>
      </c>
      <c r="H18623" s="49">
        <f t="shared" si="2"/>
        <v>33172</v>
      </c>
    </row>
    <row r="18624">
      <c r="A18624" s="48" t="s">
        <v>23071</v>
      </c>
      <c r="B18624" s="38" t="s">
        <v>23072</v>
      </c>
      <c r="C18624" s="38" t="s">
        <v>23073</v>
      </c>
      <c r="D18624" s="38" t="str">
        <f>IFERROR(__xludf.DUMMYFUNCTION("REGEXREPLACE(C18624,""-\d+(.*)|--\d+(.*)"","""")"),"BONIFACIO")</f>
        <v>BONIFACIO</v>
      </c>
      <c r="E18624" s="38" t="s">
        <v>606</v>
      </c>
      <c r="F18624" s="38" t="s">
        <v>607</v>
      </c>
      <c r="G18624" s="49" t="str">
        <f t="shared" si="1"/>
        <v>20169</v>
      </c>
      <c r="H18624" s="49" t="str">
        <f t="shared" si="2"/>
        <v>2A041</v>
      </c>
    </row>
    <row r="18625">
      <c r="A18625" s="48" t="s">
        <v>8779</v>
      </c>
      <c r="B18625" s="38">
        <v>45337.0</v>
      </c>
      <c r="C18625" s="38" t="s">
        <v>23074</v>
      </c>
      <c r="D18625" s="38" t="str">
        <f>IFERROR(__xludf.DUMMYFUNCTION("REGEXREPLACE(C18625,""-\d+(.*)|--\d+(.*)"","""")"),"VILLAMBLAIN")</f>
        <v>VILLAMBLAIN</v>
      </c>
      <c r="E18625" s="38" t="s">
        <v>122</v>
      </c>
      <c r="F18625" s="38" t="s">
        <v>123</v>
      </c>
      <c r="G18625" s="49" t="str">
        <f t="shared" si="1"/>
        <v>45310</v>
      </c>
      <c r="H18625" s="49">
        <f t="shared" si="2"/>
        <v>45337</v>
      </c>
    </row>
    <row r="18626">
      <c r="A18626" s="48" t="s">
        <v>5581</v>
      </c>
      <c r="B18626" s="38">
        <v>62033.0</v>
      </c>
      <c r="C18626" s="38" t="s">
        <v>23075</v>
      </c>
      <c r="D18626" s="38" t="str">
        <f>IFERROR(__xludf.DUMMYFUNCTION("REGEXREPLACE(C18626,""-\d+(.*)|--\d+(.*)"","""")"),"ANNAY")</f>
        <v>ANNAY</v>
      </c>
      <c r="E18626" s="38" t="s">
        <v>109</v>
      </c>
      <c r="F18626" s="38" t="s">
        <v>86</v>
      </c>
      <c r="G18626" s="49" t="str">
        <f t="shared" si="1"/>
        <v>62880</v>
      </c>
      <c r="H18626" s="49">
        <f t="shared" si="2"/>
        <v>62033</v>
      </c>
    </row>
    <row r="18627">
      <c r="A18627" s="48" t="s">
        <v>5292</v>
      </c>
      <c r="B18627" s="38">
        <v>1334.0</v>
      </c>
      <c r="C18627" s="38" t="s">
        <v>23076</v>
      </c>
      <c r="D18627" s="38" t="str">
        <f>IFERROR(__xludf.DUMMYFUNCTION("REGEXREPLACE(C18627,""-\d+(.*)|--\d+(.*)"","""")"),"SAINT-ANDRE-D'HUIRIAT")</f>
        <v>SAINT-ANDRE-D'HUIRIAT</v>
      </c>
      <c r="E18627" s="38" t="s">
        <v>255</v>
      </c>
      <c r="F18627" s="38" t="s">
        <v>102</v>
      </c>
      <c r="G18627" s="49" t="str">
        <f t="shared" si="1"/>
        <v>01290</v>
      </c>
      <c r="H18627" s="49" t="str">
        <f t="shared" si="2"/>
        <v>01334</v>
      </c>
    </row>
    <row r="18628">
      <c r="A18628" s="48" t="s">
        <v>962</v>
      </c>
      <c r="B18628" s="38">
        <v>24031.0</v>
      </c>
      <c r="C18628" s="38" t="s">
        <v>23077</v>
      </c>
      <c r="D18628" s="38" t="str">
        <f>IFERROR(__xludf.DUMMYFUNCTION("REGEXREPLACE(C18628,""-\d+(.*)|--\d+(.*)"","""")"),"BEAUREGARD-ET-BASSAC")</f>
        <v>BEAUREGARD-ET-BASSAC</v>
      </c>
      <c r="E18628" s="38" t="s">
        <v>261</v>
      </c>
      <c r="F18628" s="38" t="s">
        <v>252</v>
      </c>
      <c r="G18628" s="49" t="str">
        <f t="shared" si="1"/>
        <v>24140</v>
      </c>
      <c r="H18628" s="49">
        <f t="shared" si="2"/>
        <v>24031</v>
      </c>
    </row>
    <row r="18629">
      <c r="A18629" s="48" t="s">
        <v>1663</v>
      </c>
      <c r="B18629" s="38">
        <v>88247.0</v>
      </c>
      <c r="C18629" s="38" t="s">
        <v>8269</v>
      </c>
      <c r="D18629" s="38" t="str">
        <f>IFERROR(__xludf.DUMMYFUNCTION("REGEXREPLACE(C18629,""-\d+(.*)|--\d+(.*)"","""")"),"IGNEY")</f>
        <v>IGNEY</v>
      </c>
      <c r="E18629" s="38" t="s">
        <v>194</v>
      </c>
      <c r="F18629" s="38" t="s">
        <v>195</v>
      </c>
      <c r="G18629" s="49" t="str">
        <f t="shared" si="1"/>
        <v>88150</v>
      </c>
      <c r="H18629" s="49">
        <f t="shared" si="2"/>
        <v>88247</v>
      </c>
    </row>
    <row r="18630">
      <c r="A18630" s="48" t="s">
        <v>5483</v>
      </c>
      <c r="B18630" s="38">
        <v>58216.0</v>
      </c>
      <c r="C18630" s="38" t="s">
        <v>23078</v>
      </c>
      <c r="D18630" s="38" t="str">
        <f>IFERROR(__xludf.DUMMYFUNCTION("REGEXREPLACE(C18630,""-\d+(.*)|--\d+(.*)"","""")"),"POUQUES-LORMES")</f>
        <v>POUQUES-LORMES</v>
      </c>
      <c r="E18630" s="38" t="s">
        <v>219</v>
      </c>
      <c r="F18630" s="38" t="s">
        <v>106</v>
      </c>
      <c r="G18630" s="49" t="str">
        <f t="shared" si="1"/>
        <v>58140</v>
      </c>
      <c r="H18630" s="49">
        <f t="shared" si="2"/>
        <v>58216</v>
      </c>
    </row>
    <row r="18631">
      <c r="A18631" s="48" t="s">
        <v>5065</v>
      </c>
      <c r="B18631" s="38">
        <v>50302.0</v>
      </c>
      <c r="C18631" s="38" t="s">
        <v>23079</v>
      </c>
      <c r="D18631" s="38" t="str">
        <f>IFERROR(__xludf.DUMMYFUNCTION("REGEXREPLACE(C18631,""-\d+(.*)|--\d+(.*)"","""")"),"LE MESNIL-AMEY")</f>
        <v>LE MESNIL-AMEY</v>
      </c>
      <c r="E18631" s="38" t="s">
        <v>157</v>
      </c>
      <c r="F18631" s="38" t="s">
        <v>138</v>
      </c>
      <c r="G18631" s="49" t="str">
        <f t="shared" si="1"/>
        <v>50570</v>
      </c>
      <c r="H18631" s="49">
        <f t="shared" si="2"/>
        <v>50302</v>
      </c>
    </row>
    <row r="18632">
      <c r="A18632" s="48" t="s">
        <v>23080</v>
      </c>
      <c r="B18632" s="38">
        <v>95199.0</v>
      </c>
      <c r="C18632" s="38" t="s">
        <v>23081</v>
      </c>
      <c r="D18632" s="38" t="str">
        <f>IFERROR(__xludf.DUMMYFUNCTION("REGEXREPLACE(C18632,""-\d+(.*)|--\d+(.*)"","""")"),"DOMONT")</f>
        <v>DOMONT</v>
      </c>
      <c r="E18632" s="38" t="s">
        <v>541</v>
      </c>
      <c r="F18632" s="38" t="s">
        <v>245</v>
      </c>
      <c r="G18632" s="49" t="str">
        <f t="shared" si="1"/>
        <v>95330</v>
      </c>
      <c r="H18632" s="49">
        <f t="shared" si="2"/>
        <v>95199</v>
      </c>
    </row>
    <row r="18633">
      <c r="A18633" s="48" t="s">
        <v>3226</v>
      </c>
      <c r="B18633" s="38">
        <v>61169.0</v>
      </c>
      <c r="C18633" s="38" t="s">
        <v>3784</v>
      </c>
      <c r="D18633" s="38" t="str">
        <f>IFERROR(__xludf.DUMMYFUNCTION("REGEXREPLACE(C18633,""-\d+(.*)|--\d+(.*)"","""")"),"FLERS")</f>
        <v>FLERS</v>
      </c>
      <c r="E18633" s="38" t="s">
        <v>141</v>
      </c>
      <c r="F18633" s="38" t="s">
        <v>138</v>
      </c>
      <c r="G18633" s="49" t="str">
        <f t="shared" si="1"/>
        <v>61100</v>
      </c>
      <c r="H18633" s="49">
        <f t="shared" si="2"/>
        <v>61169</v>
      </c>
    </row>
    <row r="18634">
      <c r="A18634" s="48" t="s">
        <v>4210</v>
      </c>
      <c r="B18634" s="38">
        <v>71227.0</v>
      </c>
      <c r="C18634" s="38" t="s">
        <v>23082</v>
      </c>
      <c r="D18634" s="38" t="str">
        <f>IFERROR(__xludf.DUMMYFUNCTION("REGEXREPLACE(C18634,""-\d+(.*)|--\d+(.*)"","""")"),"GRURY")</f>
        <v>GRURY</v>
      </c>
      <c r="E18634" s="38" t="s">
        <v>344</v>
      </c>
      <c r="F18634" s="38" t="s">
        <v>106</v>
      </c>
      <c r="G18634" s="49" t="str">
        <f t="shared" si="1"/>
        <v>71760</v>
      </c>
      <c r="H18634" s="49">
        <f t="shared" si="2"/>
        <v>71227</v>
      </c>
    </row>
    <row r="18635">
      <c r="A18635" s="48" t="s">
        <v>23083</v>
      </c>
      <c r="B18635" s="38">
        <v>7205.0</v>
      </c>
      <c r="C18635" s="38" t="s">
        <v>23084</v>
      </c>
      <c r="D18635" s="38" t="str">
        <f>IFERROR(__xludf.DUMMYFUNCTION("REGEXREPLACE(C18635,""-\d+(.*)|--\d+(.*)"","""")"),"SAINT-ALBAN-D'AY")</f>
        <v>SAINT-ALBAN-D'AY</v>
      </c>
      <c r="E18635" s="38" t="s">
        <v>144</v>
      </c>
      <c r="F18635" s="38" t="s">
        <v>102</v>
      </c>
      <c r="G18635" s="49" t="str">
        <f t="shared" si="1"/>
        <v>07790</v>
      </c>
      <c r="H18635" s="49" t="str">
        <f t="shared" si="2"/>
        <v>07205</v>
      </c>
    </row>
    <row r="18636">
      <c r="A18636" s="48" t="s">
        <v>746</v>
      </c>
      <c r="B18636" s="38">
        <v>76100.0</v>
      </c>
      <c r="C18636" s="38" t="s">
        <v>23085</v>
      </c>
      <c r="D18636" s="38" t="str">
        <f>IFERROR(__xludf.DUMMYFUNCTION("REGEXREPLACE(C18636,""-\d+(.*)|--\d+(.*)"","""")"),"BLAINVILLE-CREVON")</f>
        <v>BLAINVILLE-CREVON</v>
      </c>
      <c r="E18636" s="38" t="s">
        <v>133</v>
      </c>
      <c r="F18636" s="38" t="s">
        <v>134</v>
      </c>
      <c r="G18636" s="49" t="str">
        <f t="shared" si="1"/>
        <v>76116</v>
      </c>
      <c r="H18636" s="49">
        <f t="shared" si="2"/>
        <v>76100</v>
      </c>
    </row>
    <row r="18637">
      <c r="A18637" s="48" t="s">
        <v>23086</v>
      </c>
      <c r="B18637" s="38">
        <v>25285.0</v>
      </c>
      <c r="C18637" s="38" t="s">
        <v>23087</v>
      </c>
      <c r="D18637" s="38" t="str">
        <f>IFERROR(__xludf.DUMMYFUNCTION("REGEXREPLACE(C18637,""-\d+(.*)|--\d+(.*)"","""")"),"GRAND'COMBE-CHATELEU")</f>
        <v>GRAND'COMBE-CHATELEU</v>
      </c>
      <c r="E18637" s="38" t="s">
        <v>213</v>
      </c>
      <c r="F18637" s="38" t="s">
        <v>214</v>
      </c>
      <c r="G18637" s="49" t="str">
        <f t="shared" si="1"/>
        <v>25570</v>
      </c>
      <c r="H18637" s="49">
        <f t="shared" si="2"/>
        <v>25285</v>
      </c>
    </row>
    <row r="18638">
      <c r="A18638" s="48" t="s">
        <v>1174</v>
      </c>
      <c r="B18638" s="38">
        <v>51356.0</v>
      </c>
      <c r="C18638" s="38" t="s">
        <v>23088</v>
      </c>
      <c r="D18638" s="38" t="str">
        <f>IFERROR(__xludf.DUMMYFUNCTION("REGEXREPLACE(C18638,""-\d+(.*)|--\d+(.*)"","""")"),"MATIGNICOURT-GONCOURT")</f>
        <v>MATIGNICOURT-GONCOURT</v>
      </c>
      <c r="E18638" s="38" t="s">
        <v>129</v>
      </c>
      <c r="F18638" s="38" t="s">
        <v>130</v>
      </c>
      <c r="G18638" s="49" t="str">
        <f t="shared" si="1"/>
        <v>51300</v>
      </c>
      <c r="H18638" s="49">
        <f t="shared" si="2"/>
        <v>51356</v>
      </c>
    </row>
    <row r="18639">
      <c r="A18639" s="48" t="s">
        <v>4238</v>
      </c>
      <c r="B18639" s="38">
        <v>54376.0</v>
      </c>
      <c r="C18639" s="38" t="s">
        <v>23089</v>
      </c>
      <c r="D18639" s="38" t="str">
        <f>IFERROR(__xludf.DUMMYFUNCTION("REGEXREPLACE(C18639,""-\d+(.*)|--\d+(.*)"","""")"),"MONTENOY")</f>
        <v>MONTENOY</v>
      </c>
      <c r="E18639" s="38" t="s">
        <v>548</v>
      </c>
      <c r="F18639" s="38" t="s">
        <v>195</v>
      </c>
      <c r="G18639" s="49" t="str">
        <f t="shared" si="1"/>
        <v>54760</v>
      </c>
      <c r="H18639" s="49">
        <f t="shared" si="2"/>
        <v>54376</v>
      </c>
    </row>
    <row r="18640">
      <c r="A18640" s="48" t="s">
        <v>2779</v>
      </c>
      <c r="B18640" s="38">
        <v>80642.0</v>
      </c>
      <c r="C18640" s="38" t="s">
        <v>23090</v>
      </c>
      <c r="D18640" s="38" t="str">
        <f>IFERROR(__xludf.DUMMYFUNCTION("REGEXREPLACE(C18640,""-\d+(.*)|--\d+(.*)"","""")"),"PROUVILLE")</f>
        <v>PROUVILLE</v>
      </c>
      <c r="E18640" s="38" t="s">
        <v>224</v>
      </c>
      <c r="F18640" s="38" t="s">
        <v>113</v>
      </c>
      <c r="G18640" s="49" t="str">
        <f t="shared" si="1"/>
        <v>80370</v>
      </c>
      <c r="H18640" s="49">
        <f t="shared" si="2"/>
        <v>80642</v>
      </c>
    </row>
    <row r="18641">
      <c r="A18641" s="48" t="s">
        <v>7843</v>
      </c>
      <c r="B18641" s="38">
        <v>49117.0</v>
      </c>
      <c r="C18641" s="38" t="s">
        <v>23091</v>
      </c>
      <c r="D18641" s="38" t="str">
        <f>IFERROR(__xludf.DUMMYFUNCTION("REGEXREPLACE(C18641,""-\d+(.*)|--\d+(.*)"","""")"),"LA DAGUENIERE")</f>
        <v>LA DAGUENIERE</v>
      </c>
      <c r="E18641" s="38" t="s">
        <v>653</v>
      </c>
      <c r="F18641" s="38" t="s">
        <v>180</v>
      </c>
      <c r="G18641" s="49" t="str">
        <f t="shared" si="1"/>
        <v>49800</v>
      </c>
      <c r="H18641" s="49">
        <f t="shared" si="2"/>
        <v>49117</v>
      </c>
    </row>
    <row r="18642">
      <c r="A18642" s="48" t="s">
        <v>1547</v>
      </c>
      <c r="B18642" s="38">
        <v>24203.0</v>
      </c>
      <c r="C18642" s="38" t="s">
        <v>23092</v>
      </c>
      <c r="D18642" s="38" t="str">
        <f>IFERROR(__xludf.DUMMYFUNCTION("REGEXREPLACE(C18642,""-\d+(.*)|--\d+(.*)"","""")"),"LES GRAULGES")</f>
        <v>LES GRAULGES</v>
      </c>
      <c r="E18642" s="38" t="s">
        <v>261</v>
      </c>
      <c r="F18642" s="38" t="s">
        <v>252</v>
      </c>
      <c r="G18642" s="49" t="str">
        <f t="shared" si="1"/>
        <v>24340</v>
      </c>
      <c r="H18642" s="49">
        <f t="shared" si="2"/>
        <v>24203</v>
      </c>
    </row>
    <row r="18643">
      <c r="A18643" s="48" t="s">
        <v>2770</v>
      </c>
      <c r="B18643" s="38">
        <v>25257.0</v>
      </c>
      <c r="C18643" s="38" t="s">
        <v>23093</v>
      </c>
      <c r="D18643" s="38" t="str">
        <f>IFERROR(__xludf.DUMMYFUNCTION("REGEXREPLACE(C18643,""-\d+(.*)|--\d+(.*)"","""")"),"FRANEY")</f>
        <v>FRANEY</v>
      </c>
      <c r="E18643" s="38" t="s">
        <v>213</v>
      </c>
      <c r="F18643" s="38" t="s">
        <v>214</v>
      </c>
      <c r="G18643" s="49" t="str">
        <f t="shared" si="1"/>
        <v>25170</v>
      </c>
      <c r="H18643" s="49">
        <f t="shared" si="2"/>
        <v>25257</v>
      </c>
    </row>
    <row r="18644">
      <c r="A18644" s="48" t="s">
        <v>734</v>
      </c>
      <c r="B18644" s="38">
        <v>54283.0</v>
      </c>
      <c r="C18644" s="38" t="s">
        <v>23094</v>
      </c>
      <c r="D18644" s="38" t="str">
        <f>IFERROR(__xludf.DUMMYFUNCTION("REGEXREPLACE(C18644,""-\d+(.*)|--\d+(.*)"","""")"),"JOUAVILLE")</f>
        <v>JOUAVILLE</v>
      </c>
      <c r="E18644" s="38" t="s">
        <v>548</v>
      </c>
      <c r="F18644" s="38" t="s">
        <v>195</v>
      </c>
      <c r="G18644" s="49" t="str">
        <f t="shared" si="1"/>
        <v>54800</v>
      </c>
      <c r="H18644" s="49">
        <f t="shared" si="2"/>
        <v>54283</v>
      </c>
    </row>
    <row r="18645">
      <c r="A18645" s="48" t="s">
        <v>23095</v>
      </c>
      <c r="B18645" s="38">
        <v>81115.0</v>
      </c>
      <c r="C18645" s="38" t="s">
        <v>23096</v>
      </c>
      <c r="D18645" s="38" t="str">
        <f>IFERROR(__xludf.DUMMYFUNCTION("REGEXREPLACE(C18645,""-\d+(.*)|--\d+(.*)"","""")"),"LABASTIDE-ROUAIROUX")</f>
        <v>LABASTIDE-ROUAIROUX</v>
      </c>
      <c r="E18645" s="38" t="s">
        <v>231</v>
      </c>
      <c r="F18645" s="38" t="s">
        <v>94</v>
      </c>
      <c r="G18645" s="49" t="str">
        <f t="shared" si="1"/>
        <v>81270</v>
      </c>
      <c r="H18645" s="49">
        <f t="shared" si="2"/>
        <v>81115</v>
      </c>
    </row>
    <row r="18646">
      <c r="A18646" s="48" t="s">
        <v>7811</v>
      </c>
      <c r="B18646" s="38">
        <v>59351.0</v>
      </c>
      <c r="C18646" s="38" t="s">
        <v>23097</v>
      </c>
      <c r="D18646" s="38" t="str">
        <f>IFERROR(__xludf.DUMMYFUNCTION("REGEXREPLACE(C18646,""-\d+(.*)|--\d+(.*)"","""")"),"LIMONT-FONTAINE")</f>
        <v>LIMONT-FONTAINE</v>
      </c>
      <c r="E18646" s="38" t="s">
        <v>85</v>
      </c>
      <c r="F18646" s="38" t="s">
        <v>86</v>
      </c>
      <c r="G18646" s="49" t="str">
        <f t="shared" si="1"/>
        <v>59330</v>
      </c>
      <c r="H18646" s="49">
        <f t="shared" si="2"/>
        <v>59351</v>
      </c>
    </row>
    <row r="18647">
      <c r="A18647" s="48" t="s">
        <v>6367</v>
      </c>
      <c r="B18647" s="38" t="s">
        <v>23098</v>
      </c>
      <c r="C18647" s="38" t="s">
        <v>23099</v>
      </c>
      <c r="D18647" s="38" t="str">
        <f>IFERROR(__xludf.DUMMYFUNCTION("REGEXREPLACE(C18647,""-\d+(.*)|--\d+(.*)"","""")"),"BISINCHI")</f>
        <v>BISINCHI</v>
      </c>
      <c r="E18647" s="38" t="s">
        <v>743</v>
      </c>
      <c r="F18647" s="38" t="s">
        <v>607</v>
      </c>
      <c r="G18647" s="49" t="str">
        <f t="shared" si="1"/>
        <v>20235</v>
      </c>
      <c r="H18647" s="49" t="str">
        <f t="shared" si="2"/>
        <v>2B039</v>
      </c>
    </row>
    <row r="18648">
      <c r="A18648" s="48" t="s">
        <v>13395</v>
      </c>
      <c r="B18648" s="38">
        <v>57731.0</v>
      </c>
      <c r="C18648" s="38" t="s">
        <v>23100</v>
      </c>
      <c r="D18648" s="38" t="str">
        <f>IFERROR(__xludf.DUMMYFUNCTION("REGEXREPLACE(C18648,""-\d+(.*)|--\d+(.*)"","""")"),"VOLMERANGE-LES-MINES")</f>
        <v>VOLMERANGE-LES-MINES</v>
      </c>
      <c r="E18648" s="38" t="s">
        <v>303</v>
      </c>
      <c r="F18648" s="38" t="s">
        <v>195</v>
      </c>
      <c r="G18648" s="49" t="str">
        <f t="shared" si="1"/>
        <v>57330</v>
      </c>
      <c r="H18648" s="49">
        <f t="shared" si="2"/>
        <v>57731</v>
      </c>
    </row>
    <row r="18649">
      <c r="A18649" s="48" t="s">
        <v>9257</v>
      </c>
      <c r="B18649" s="38">
        <v>11063.0</v>
      </c>
      <c r="C18649" s="38" t="s">
        <v>23101</v>
      </c>
      <c r="D18649" s="38" t="str">
        <f>IFERROR(__xludf.DUMMYFUNCTION("REGEXREPLACE(C18649,""-\d+(.*)|--\d+(.*)"","""")"),"CAMPAGNE-SUR-AUDE")</f>
        <v>CAMPAGNE-SUR-AUDE</v>
      </c>
      <c r="E18649" s="38" t="s">
        <v>278</v>
      </c>
      <c r="F18649" s="38" t="s">
        <v>119</v>
      </c>
      <c r="G18649" s="49" t="str">
        <f t="shared" si="1"/>
        <v>11260</v>
      </c>
      <c r="H18649" s="49">
        <f t="shared" si="2"/>
        <v>11063</v>
      </c>
    </row>
    <row r="18650">
      <c r="A18650" s="48" t="s">
        <v>573</v>
      </c>
      <c r="B18650" s="38">
        <v>65278.0</v>
      </c>
      <c r="C18650" s="38" t="s">
        <v>23102</v>
      </c>
      <c r="D18650" s="38" t="str">
        <f>IFERROR(__xludf.DUMMYFUNCTION("REGEXREPLACE(C18650,""-\d+(.*)|--\d+(.*)"","""")"),"LOMNE")</f>
        <v>LOMNE</v>
      </c>
      <c r="E18650" s="38" t="s">
        <v>200</v>
      </c>
      <c r="F18650" s="38" t="s">
        <v>94</v>
      </c>
      <c r="G18650" s="49" t="str">
        <f t="shared" si="1"/>
        <v>65130</v>
      </c>
      <c r="H18650" s="49">
        <f t="shared" si="2"/>
        <v>65278</v>
      </c>
    </row>
    <row r="18651">
      <c r="A18651" s="48" t="s">
        <v>6389</v>
      </c>
      <c r="B18651" s="38">
        <v>14423.0</v>
      </c>
      <c r="C18651" s="38" t="s">
        <v>23103</v>
      </c>
      <c r="D18651" s="38" t="str">
        <f>IFERROR(__xludf.DUMMYFUNCTION("REGEXREPLACE(C18651,""-\d+(.*)|--\d+(.*)"","""")"),"LE MESNIL-PATRY")</f>
        <v>LE MESNIL-PATRY</v>
      </c>
      <c r="E18651" s="38" t="s">
        <v>137</v>
      </c>
      <c r="F18651" s="38" t="s">
        <v>138</v>
      </c>
      <c r="G18651" s="49" t="str">
        <f t="shared" si="1"/>
        <v>14740</v>
      </c>
      <c r="H18651" s="49">
        <f t="shared" si="2"/>
        <v>14423</v>
      </c>
    </row>
    <row r="18652">
      <c r="A18652" s="48" t="s">
        <v>8821</v>
      </c>
      <c r="B18652" s="38">
        <v>26033.0</v>
      </c>
      <c r="C18652" s="38" t="s">
        <v>23104</v>
      </c>
      <c r="D18652" s="38" t="str">
        <f>IFERROR(__xludf.DUMMYFUNCTION("REGEXREPLACE(C18652,""-\d+(.*)|--\d+(.*)"","""")"),"LA BAUME-DE-TRANSIT")</f>
        <v>LA BAUME-DE-TRANSIT</v>
      </c>
      <c r="E18652" s="38" t="s">
        <v>126</v>
      </c>
      <c r="F18652" s="38" t="s">
        <v>102</v>
      </c>
      <c r="G18652" s="49" t="str">
        <f t="shared" si="1"/>
        <v>26790</v>
      </c>
      <c r="H18652" s="49">
        <f t="shared" si="2"/>
        <v>26033</v>
      </c>
    </row>
    <row r="18653">
      <c r="A18653" s="48" t="s">
        <v>948</v>
      </c>
      <c r="B18653" s="38">
        <v>68002.0</v>
      </c>
      <c r="C18653" s="38" t="s">
        <v>23105</v>
      </c>
      <c r="D18653" s="38" t="str">
        <f>IFERROR(__xludf.DUMMYFUNCTION("REGEXREPLACE(C18653,""-\d+(.*)|--\d+(.*)"","""")"),"ALTENACH")</f>
        <v>ALTENACH</v>
      </c>
      <c r="E18653" s="38" t="s">
        <v>150</v>
      </c>
      <c r="F18653" s="38" t="s">
        <v>151</v>
      </c>
      <c r="G18653" s="49" t="str">
        <f t="shared" si="1"/>
        <v>68210</v>
      </c>
      <c r="H18653" s="49">
        <f t="shared" si="2"/>
        <v>68002</v>
      </c>
    </row>
    <row r="18654">
      <c r="A18654" s="48" t="s">
        <v>3422</v>
      </c>
      <c r="B18654" s="38">
        <v>32124.0</v>
      </c>
      <c r="C18654" s="38" t="s">
        <v>23106</v>
      </c>
      <c r="D18654" s="38" t="str">
        <f>IFERROR(__xludf.DUMMYFUNCTION("REGEXREPLACE(C18654,""-\d+(.*)|--\d+(.*)"","""")"),"ESPAON")</f>
        <v>ESPAON</v>
      </c>
      <c r="E18654" s="38" t="s">
        <v>440</v>
      </c>
      <c r="F18654" s="38" t="s">
        <v>94</v>
      </c>
      <c r="G18654" s="49" t="str">
        <f t="shared" si="1"/>
        <v>32220</v>
      </c>
      <c r="H18654" s="49">
        <f t="shared" si="2"/>
        <v>32124</v>
      </c>
    </row>
    <row r="18655">
      <c r="A18655" s="48" t="s">
        <v>6800</v>
      </c>
      <c r="B18655" s="38">
        <v>77021.0</v>
      </c>
      <c r="C18655" s="38" t="s">
        <v>23107</v>
      </c>
      <c r="D18655" s="38" t="str">
        <f>IFERROR(__xludf.DUMMYFUNCTION("REGEXREPLACE(C18655,""-\d+(.*)|--\d+(.*)"","""")"),"BARBEY")</f>
        <v>BARBEY</v>
      </c>
      <c r="E18655" s="38" t="s">
        <v>244</v>
      </c>
      <c r="F18655" s="38" t="s">
        <v>245</v>
      </c>
      <c r="G18655" s="49" t="str">
        <f t="shared" si="1"/>
        <v>77130</v>
      </c>
      <c r="H18655" s="49">
        <f t="shared" si="2"/>
        <v>77021</v>
      </c>
    </row>
    <row r="18656">
      <c r="A18656" s="48" t="s">
        <v>23108</v>
      </c>
      <c r="B18656" s="38">
        <v>67546.0</v>
      </c>
      <c r="C18656" s="38" t="s">
        <v>23109</v>
      </c>
      <c r="D18656" s="38" t="str">
        <f>IFERROR(__xludf.DUMMYFUNCTION("REGEXREPLACE(C18656,""-\d+(.*)|--\d+(.*)"","""")"),"WITTERSHEIM")</f>
        <v>WITTERSHEIM</v>
      </c>
      <c r="E18656" s="38" t="s">
        <v>210</v>
      </c>
      <c r="F18656" s="38" t="s">
        <v>151</v>
      </c>
      <c r="G18656" s="49" t="str">
        <f t="shared" si="1"/>
        <v>67670</v>
      </c>
      <c r="H18656" s="49">
        <f t="shared" si="2"/>
        <v>67546</v>
      </c>
    </row>
    <row r="18657">
      <c r="A18657" s="48" t="s">
        <v>950</v>
      </c>
      <c r="B18657" s="38">
        <v>95019.0</v>
      </c>
      <c r="C18657" s="38" t="s">
        <v>23110</v>
      </c>
      <c r="D18657" s="38" t="str">
        <f>IFERROR(__xludf.DUMMYFUNCTION("REGEXREPLACE(C18657,""-\d+(.*)|--\d+(.*)"","""")"),"ARNOUVILLE")</f>
        <v>ARNOUVILLE</v>
      </c>
      <c r="E18657" s="38" t="s">
        <v>541</v>
      </c>
      <c r="F18657" s="38" t="s">
        <v>245</v>
      </c>
      <c r="G18657" s="49" t="str">
        <f t="shared" si="1"/>
        <v>95400</v>
      </c>
      <c r="H18657" s="49">
        <f t="shared" si="2"/>
        <v>95019</v>
      </c>
    </row>
    <row r="18658">
      <c r="A18658" s="48" t="s">
        <v>4145</v>
      </c>
      <c r="B18658" s="38">
        <v>46058.0</v>
      </c>
      <c r="C18658" s="38" t="s">
        <v>23111</v>
      </c>
      <c r="D18658" s="38" t="str">
        <f>IFERROR(__xludf.DUMMYFUNCTION("REGEXREPLACE(C18658,""-\d+(.*)|--\d+(.*)"","""")"),"CARENNAC")</f>
        <v>CARENNAC</v>
      </c>
      <c r="E18658" s="38" t="s">
        <v>185</v>
      </c>
      <c r="F18658" s="38" t="s">
        <v>94</v>
      </c>
      <c r="G18658" s="49" t="str">
        <f t="shared" si="1"/>
        <v>46110</v>
      </c>
      <c r="H18658" s="49">
        <f t="shared" si="2"/>
        <v>46058</v>
      </c>
    </row>
    <row r="18659">
      <c r="A18659" s="48" t="s">
        <v>2839</v>
      </c>
      <c r="B18659" s="38">
        <v>60517.0</v>
      </c>
      <c r="C18659" s="38" t="s">
        <v>23112</v>
      </c>
      <c r="D18659" s="38" t="str">
        <f>IFERROR(__xludf.DUMMYFUNCTION("REGEXREPLACE(C18659,""-\d+(.*)|--\d+(.*)"","""")"),"PUISEUX-LE-HAUBERGER")</f>
        <v>PUISEUX-LE-HAUBERGER</v>
      </c>
      <c r="E18659" s="38" t="s">
        <v>112</v>
      </c>
      <c r="F18659" s="38" t="s">
        <v>113</v>
      </c>
      <c r="G18659" s="49" t="str">
        <f t="shared" si="1"/>
        <v>60540</v>
      </c>
      <c r="H18659" s="49">
        <f t="shared" si="2"/>
        <v>60517</v>
      </c>
    </row>
    <row r="18660">
      <c r="A18660" s="48" t="s">
        <v>20867</v>
      </c>
      <c r="B18660" s="38" t="s">
        <v>23113</v>
      </c>
      <c r="C18660" s="38" t="s">
        <v>23114</v>
      </c>
      <c r="D18660" s="38" t="str">
        <f>IFERROR(__xludf.DUMMYFUNCTION("REGEXREPLACE(C18660,""-\d+(.*)|--\d+(.*)"","""")"),"PIOBETTA")</f>
        <v>PIOBETTA</v>
      </c>
      <c r="E18660" s="38" t="s">
        <v>743</v>
      </c>
      <c r="F18660" s="38" t="s">
        <v>607</v>
      </c>
      <c r="G18660" s="49" t="str">
        <f t="shared" si="1"/>
        <v>20234</v>
      </c>
      <c r="H18660" s="49" t="str">
        <f t="shared" si="2"/>
        <v>2B234</v>
      </c>
    </row>
    <row r="18661">
      <c r="A18661" s="48" t="s">
        <v>2761</v>
      </c>
      <c r="B18661" s="38">
        <v>7284.0</v>
      </c>
      <c r="C18661" s="38" t="s">
        <v>23115</v>
      </c>
      <c r="D18661" s="38" t="str">
        <f>IFERROR(__xludf.DUMMYFUNCTION("REGEXREPLACE(C18661,""-\d+(.*)|--\d+(.*)"","""")"),"SAINT-PIERRE-SAINT-JEAN")</f>
        <v>SAINT-PIERRE-SAINT-JEAN</v>
      </c>
      <c r="E18661" s="38" t="s">
        <v>144</v>
      </c>
      <c r="F18661" s="38" t="s">
        <v>102</v>
      </c>
      <c r="G18661" s="49" t="str">
        <f t="shared" si="1"/>
        <v>07140</v>
      </c>
      <c r="H18661" s="49" t="str">
        <f t="shared" si="2"/>
        <v>07284</v>
      </c>
    </row>
    <row r="18662">
      <c r="A18662" s="48" t="s">
        <v>8587</v>
      </c>
      <c r="B18662" s="38">
        <v>66047.0</v>
      </c>
      <c r="C18662" s="38" t="s">
        <v>23116</v>
      </c>
      <c r="D18662" s="38" t="str">
        <f>IFERROR(__xludf.DUMMYFUNCTION("REGEXREPLACE(C18662,""-\d+(.*)|--\d+(.*)"","""")"),"CAUDIES-DE-CONFLENT")</f>
        <v>CAUDIES-DE-CONFLENT</v>
      </c>
      <c r="E18662" s="38" t="s">
        <v>248</v>
      </c>
      <c r="F18662" s="38" t="s">
        <v>119</v>
      </c>
      <c r="G18662" s="49" t="str">
        <f t="shared" si="1"/>
        <v>66360</v>
      </c>
      <c r="H18662" s="49">
        <f t="shared" si="2"/>
        <v>66047</v>
      </c>
    </row>
    <row r="18663">
      <c r="A18663" s="48" t="s">
        <v>19788</v>
      </c>
      <c r="B18663" s="38">
        <v>17257.0</v>
      </c>
      <c r="C18663" s="38" t="s">
        <v>23117</v>
      </c>
      <c r="D18663" s="38" t="str">
        <f>IFERROR(__xludf.DUMMYFUNCTION("REGEXREPLACE(C18663,""-\d+(.*)|--\d+(.*)"","""")"),"NERE")</f>
        <v>NERE</v>
      </c>
      <c r="E18663" s="38" t="s">
        <v>488</v>
      </c>
      <c r="F18663" s="38" t="s">
        <v>338</v>
      </c>
      <c r="G18663" s="49" t="str">
        <f t="shared" si="1"/>
        <v>17510</v>
      </c>
      <c r="H18663" s="49">
        <f t="shared" si="2"/>
        <v>17257</v>
      </c>
    </row>
    <row r="18664">
      <c r="A18664" s="48" t="s">
        <v>12575</v>
      </c>
      <c r="B18664" s="38">
        <v>73261.0</v>
      </c>
      <c r="C18664" s="38" t="s">
        <v>23118</v>
      </c>
      <c r="D18664" s="38" t="str">
        <f>IFERROR(__xludf.DUMMYFUNCTION("REGEXREPLACE(C18664,""-\d+(.*)|--\d+(.*)"","""")"),"SAINT-MICHEL-DE-MAURIENNE")</f>
        <v>SAINT-MICHEL-DE-MAURIENNE</v>
      </c>
      <c r="E18664" s="38" t="s">
        <v>306</v>
      </c>
      <c r="F18664" s="38" t="s">
        <v>102</v>
      </c>
      <c r="G18664" s="49" t="str">
        <f t="shared" si="1"/>
        <v>73140</v>
      </c>
      <c r="H18664" s="49">
        <f t="shared" si="2"/>
        <v>73261</v>
      </c>
    </row>
    <row r="18665">
      <c r="A18665" s="48" t="s">
        <v>23119</v>
      </c>
      <c r="B18665" s="38">
        <v>59502.0</v>
      </c>
      <c r="C18665" s="38" t="s">
        <v>23120</v>
      </c>
      <c r="D18665" s="38" t="str">
        <f>IFERROR(__xludf.DUMMYFUNCTION("REGEXREPLACE(C18665,""-\d+(.*)|--\d+(.*)"","""")"),"RIEUX-EN-CAMBRESIS")</f>
        <v>RIEUX-EN-CAMBRESIS</v>
      </c>
      <c r="E18665" s="38" t="s">
        <v>85</v>
      </c>
      <c r="F18665" s="38" t="s">
        <v>86</v>
      </c>
      <c r="G18665" s="49" t="str">
        <f t="shared" si="1"/>
        <v>59277</v>
      </c>
      <c r="H18665" s="49">
        <f t="shared" si="2"/>
        <v>59502</v>
      </c>
    </row>
    <row r="18666">
      <c r="A18666" s="48" t="s">
        <v>2379</v>
      </c>
      <c r="B18666" s="38">
        <v>65106.0</v>
      </c>
      <c r="C18666" s="38" t="s">
        <v>23121</v>
      </c>
      <c r="D18666" s="38" t="str">
        <f>IFERROR(__xludf.DUMMYFUNCTION("REGEXREPLACE(C18666,""-\d+(.*)|--\d+(.*)"","""")"),"BOURISP")</f>
        <v>BOURISP</v>
      </c>
      <c r="E18666" s="38" t="s">
        <v>200</v>
      </c>
      <c r="F18666" s="38" t="s">
        <v>94</v>
      </c>
      <c r="G18666" s="49" t="str">
        <f t="shared" si="1"/>
        <v>65170</v>
      </c>
      <c r="H18666" s="49">
        <f t="shared" si="2"/>
        <v>65106</v>
      </c>
    </row>
    <row r="18667">
      <c r="A18667" s="48" t="s">
        <v>3780</v>
      </c>
      <c r="B18667" s="38">
        <v>50326.0</v>
      </c>
      <c r="C18667" s="38" t="s">
        <v>23122</v>
      </c>
      <c r="D18667" s="38" t="str">
        <f>IFERROR(__xludf.DUMMYFUNCTION("REGEXREPLACE(C18667,""-\d+(.*)|--\d+(.*)"","""")"),"LE MESNIL-VILLEMAN")</f>
        <v>LE MESNIL-VILLEMAN</v>
      </c>
      <c r="E18667" s="38" t="s">
        <v>157</v>
      </c>
      <c r="F18667" s="38" t="s">
        <v>138</v>
      </c>
      <c r="G18667" s="49" t="str">
        <f t="shared" si="1"/>
        <v>50450</v>
      </c>
      <c r="H18667" s="49">
        <f t="shared" si="2"/>
        <v>50326</v>
      </c>
    </row>
    <row r="18668">
      <c r="A18668" s="48" t="s">
        <v>23123</v>
      </c>
      <c r="B18668" s="38">
        <v>76726.0</v>
      </c>
      <c r="C18668" s="38" t="s">
        <v>23124</v>
      </c>
      <c r="D18668" s="38" t="str">
        <f>IFERROR(__xludf.DUMMYFUNCTION("REGEXREPLACE(C18668,""-\d+(.*)|--\d+(.*)"","""")"),"VATTETOT-SUR-MER")</f>
        <v>VATTETOT-SUR-MER</v>
      </c>
      <c r="E18668" s="38" t="s">
        <v>133</v>
      </c>
      <c r="F18668" s="38" t="s">
        <v>134</v>
      </c>
      <c r="G18668" s="49" t="str">
        <f t="shared" si="1"/>
        <v>76111</v>
      </c>
      <c r="H18668" s="49">
        <f t="shared" si="2"/>
        <v>76726</v>
      </c>
    </row>
    <row r="18669">
      <c r="A18669" s="48" t="s">
        <v>3804</v>
      </c>
      <c r="B18669" s="38">
        <v>80335.0</v>
      </c>
      <c r="C18669" s="38" t="s">
        <v>23125</v>
      </c>
      <c r="D18669" s="38" t="str">
        <f>IFERROR(__xludf.DUMMYFUNCTION("REGEXREPLACE(C18669,""-\d+(.*)|--\d+(.*)"","""")"),"FOUCAUCOURT-EN-SANTERRE")</f>
        <v>FOUCAUCOURT-EN-SANTERRE</v>
      </c>
      <c r="E18669" s="38" t="s">
        <v>224</v>
      </c>
      <c r="F18669" s="38" t="s">
        <v>113</v>
      </c>
      <c r="G18669" s="49" t="str">
        <f t="shared" si="1"/>
        <v>80340</v>
      </c>
      <c r="H18669" s="49">
        <f t="shared" si="2"/>
        <v>80335</v>
      </c>
    </row>
    <row r="18670">
      <c r="A18670" s="48" t="s">
        <v>6502</v>
      </c>
      <c r="B18670" s="38">
        <v>85043.0</v>
      </c>
      <c r="C18670" s="38" t="s">
        <v>23126</v>
      </c>
      <c r="D18670" s="38" t="str">
        <f>IFERROR(__xludf.DUMMYFUNCTION("REGEXREPLACE(C18670,""-\d+(.*)|--\d+(.*)"","""")"),"CHAILLE-SOUS-LES-ORMEAUX")</f>
        <v>CHAILLE-SOUS-LES-ORMEAUX</v>
      </c>
      <c r="E18670" s="38" t="s">
        <v>179</v>
      </c>
      <c r="F18670" s="38" t="s">
        <v>180</v>
      </c>
      <c r="G18670" s="49" t="str">
        <f t="shared" si="1"/>
        <v>85310</v>
      </c>
      <c r="H18670" s="49">
        <f t="shared" si="2"/>
        <v>85043</v>
      </c>
    </row>
    <row r="18671">
      <c r="A18671" s="48" t="s">
        <v>1857</v>
      </c>
      <c r="B18671" s="38">
        <v>4216.0</v>
      </c>
      <c r="C18671" s="38" t="s">
        <v>11547</v>
      </c>
      <c r="D18671" s="38" t="str">
        <f>IFERROR(__xludf.DUMMYFUNCTION("REGEXREPLACE(C18671,""-\d+(.*)|--\d+(.*)"","""")"),"THEZE")</f>
        <v>THEZE</v>
      </c>
      <c r="E18671" s="38" t="s">
        <v>662</v>
      </c>
      <c r="F18671" s="38" t="s">
        <v>228</v>
      </c>
      <c r="G18671" s="49" t="str">
        <f t="shared" si="1"/>
        <v>04200</v>
      </c>
      <c r="H18671" s="49" t="str">
        <f t="shared" si="2"/>
        <v>04216</v>
      </c>
    </row>
    <row r="18672">
      <c r="A18672" s="48" t="s">
        <v>807</v>
      </c>
      <c r="B18672" s="38">
        <v>68332.0</v>
      </c>
      <c r="C18672" s="38" t="s">
        <v>23127</v>
      </c>
      <c r="D18672" s="38" t="str">
        <f>IFERROR(__xludf.DUMMYFUNCTION("REGEXREPLACE(C18672,""-\d+(.*)|--\d+(.*)"","""")"),"TAGOLSHEIM")</f>
        <v>TAGOLSHEIM</v>
      </c>
      <c r="E18672" s="38" t="s">
        <v>150</v>
      </c>
      <c r="F18672" s="38" t="s">
        <v>151</v>
      </c>
      <c r="G18672" s="49" t="str">
        <f t="shared" si="1"/>
        <v>68720</v>
      </c>
      <c r="H18672" s="49">
        <f t="shared" si="2"/>
        <v>68332</v>
      </c>
    </row>
    <row r="18673">
      <c r="A18673" s="48" t="s">
        <v>1485</v>
      </c>
      <c r="B18673" s="38">
        <v>21022.0</v>
      </c>
      <c r="C18673" s="38" t="s">
        <v>23128</v>
      </c>
      <c r="D18673" s="38" t="str">
        <f>IFERROR(__xludf.DUMMYFUNCTION("REGEXREPLACE(C18673,""-\d+(.*)|--\d+(.*)"","""")"),"ARGILLY")</f>
        <v>ARGILLY</v>
      </c>
      <c r="E18673" s="38" t="s">
        <v>105</v>
      </c>
      <c r="F18673" s="38" t="s">
        <v>106</v>
      </c>
      <c r="G18673" s="49" t="str">
        <f t="shared" si="1"/>
        <v>21700</v>
      </c>
      <c r="H18673" s="49">
        <f t="shared" si="2"/>
        <v>21022</v>
      </c>
    </row>
    <row r="18674">
      <c r="A18674" s="48" t="s">
        <v>9536</v>
      </c>
      <c r="B18674" s="38">
        <v>8399.0</v>
      </c>
      <c r="C18674" s="38" t="s">
        <v>23129</v>
      </c>
      <c r="D18674" s="38" t="str">
        <f>IFERROR(__xludf.DUMMYFUNCTION("REGEXREPLACE(C18674,""-\d+(.*)|--\d+(.*)"","""")"),"SAPOGNE-SUR-MARCHE")</f>
        <v>SAPOGNE-SUR-MARCHE</v>
      </c>
      <c r="E18674" s="38" t="s">
        <v>327</v>
      </c>
      <c r="F18674" s="38" t="s">
        <v>130</v>
      </c>
      <c r="G18674" s="49" t="str">
        <f t="shared" si="1"/>
        <v>08370</v>
      </c>
      <c r="H18674" s="49" t="str">
        <f t="shared" si="2"/>
        <v>08399</v>
      </c>
    </row>
    <row r="18675">
      <c r="A18675" s="48" t="s">
        <v>16185</v>
      </c>
      <c r="B18675" s="38">
        <v>18285.0</v>
      </c>
      <c r="C18675" s="38" t="s">
        <v>23130</v>
      </c>
      <c r="D18675" s="38" t="str">
        <f>IFERROR(__xludf.DUMMYFUNCTION("REGEXREPLACE(C18675,""-\d+(.*)|--\d+(.*)"","""")"),"VILLENEUVE-SUR-CHER")</f>
        <v>VILLENEUVE-SUR-CHER</v>
      </c>
      <c r="E18675" s="38" t="s">
        <v>504</v>
      </c>
      <c r="F18675" s="38" t="s">
        <v>123</v>
      </c>
      <c r="G18675" s="49" t="str">
        <f t="shared" si="1"/>
        <v>18400</v>
      </c>
      <c r="H18675" s="49">
        <f t="shared" si="2"/>
        <v>18285</v>
      </c>
    </row>
    <row r="18676">
      <c r="A18676" s="48" t="s">
        <v>2116</v>
      </c>
      <c r="B18676" s="38">
        <v>26201.0</v>
      </c>
      <c r="C18676" s="38" t="s">
        <v>23131</v>
      </c>
      <c r="D18676" s="38" t="str">
        <f>IFERROR(__xludf.DUMMYFUNCTION("REGEXREPLACE(C18676,""-\d+(.*)|--\d+(.*)"","""")"),"MONTGUERS")</f>
        <v>MONTGUERS</v>
      </c>
      <c r="E18676" s="38" t="s">
        <v>126</v>
      </c>
      <c r="F18676" s="38" t="s">
        <v>102</v>
      </c>
      <c r="G18676" s="49" t="str">
        <f t="shared" si="1"/>
        <v>26170</v>
      </c>
      <c r="H18676" s="49">
        <f t="shared" si="2"/>
        <v>26201</v>
      </c>
    </row>
    <row r="18677">
      <c r="A18677" s="48" t="s">
        <v>1688</v>
      </c>
      <c r="B18677" s="38">
        <v>76012.0</v>
      </c>
      <c r="C18677" s="38" t="s">
        <v>23132</v>
      </c>
      <c r="D18677" s="38" t="str">
        <f>IFERROR(__xludf.DUMMYFUNCTION("REGEXREPLACE(C18677,""-\d+(.*)|--\d+(.*)"","""")"),"ANGERVILLE-BAILLEUL")</f>
        <v>ANGERVILLE-BAILLEUL</v>
      </c>
      <c r="E18677" s="38" t="s">
        <v>133</v>
      </c>
      <c r="F18677" s="38" t="s">
        <v>134</v>
      </c>
      <c r="G18677" s="49" t="str">
        <f t="shared" si="1"/>
        <v>76110</v>
      </c>
      <c r="H18677" s="49">
        <f t="shared" si="2"/>
        <v>76012</v>
      </c>
    </row>
    <row r="18678">
      <c r="A18678" s="48" t="s">
        <v>549</v>
      </c>
      <c r="B18678" s="38">
        <v>55559.0</v>
      </c>
      <c r="C18678" s="38" t="s">
        <v>23133</v>
      </c>
      <c r="D18678" s="38" t="str">
        <f>IFERROR(__xludf.DUMMYFUNCTION("REGEXREPLACE(C18678,""-\d+(.*)|--\d+(.*)"","""")"),"VILLEROY-SUR-MEHOLLE")</f>
        <v>VILLEROY-SUR-MEHOLLE</v>
      </c>
      <c r="E18678" s="38" t="s">
        <v>322</v>
      </c>
      <c r="F18678" s="38" t="s">
        <v>195</v>
      </c>
      <c r="G18678" s="49" t="str">
        <f t="shared" si="1"/>
        <v>55190</v>
      </c>
      <c r="H18678" s="49">
        <f t="shared" si="2"/>
        <v>55559</v>
      </c>
    </row>
    <row r="18679">
      <c r="A18679" s="48" t="s">
        <v>5846</v>
      </c>
      <c r="B18679" s="38">
        <v>60683.0</v>
      </c>
      <c r="C18679" s="38" t="s">
        <v>23134</v>
      </c>
      <c r="D18679" s="38" t="str">
        <f>IFERROR(__xludf.DUMMYFUNCTION("REGEXREPLACE(C18679,""-\d+(.*)|--\d+(.*)"","""")"),"VILLERS-SAINT-GENEST")</f>
        <v>VILLERS-SAINT-GENEST</v>
      </c>
      <c r="E18679" s="38" t="s">
        <v>112</v>
      </c>
      <c r="F18679" s="38" t="s">
        <v>113</v>
      </c>
      <c r="G18679" s="49" t="str">
        <f t="shared" si="1"/>
        <v>60620</v>
      </c>
      <c r="H18679" s="49">
        <f t="shared" si="2"/>
        <v>60683</v>
      </c>
    </row>
    <row r="18680">
      <c r="A18680" s="48" t="s">
        <v>1542</v>
      </c>
      <c r="B18680" s="38">
        <v>24389.0</v>
      </c>
      <c r="C18680" s="38" t="s">
        <v>23135</v>
      </c>
      <c r="D18680" s="38" t="str">
        <f>IFERROR(__xludf.DUMMYFUNCTION("REGEXREPLACE(C18680,""-\d+(.*)|--\d+(.*)"","""")"),"SAINT-CIRQ")</f>
        <v>SAINT-CIRQ</v>
      </c>
      <c r="E18680" s="38" t="s">
        <v>261</v>
      </c>
      <c r="F18680" s="38" t="s">
        <v>252</v>
      </c>
      <c r="G18680" s="49" t="str">
        <f t="shared" si="1"/>
        <v>24260</v>
      </c>
      <c r="H18680" s="49">
        <f t="shared" si="2"/>
        <v>24389</v>
      </c>
    </row>
    <row r="18681">
      <c r="A18681" s="48" t="s">
        <v>3681</v>
      </c>
      <c r="B18681" s="38">
        <v>39480.0</v>
      </c>
      <c r="C18681" s="38" t="s">
        <v>3049</v>
      </c>
      <c r="D18681" s="38" t="str">
        <f>IFERROR(__xludf.DUMMYFUNCTION("REGEXREPLACE(C18681,""-\d+(.*)|--\d+(.*)"","""")"),"SAINT-DIDIER")</f>
        <v>SAINT-DIDIER</v>
      </c>
      <c r="E18681" s="38" t="s">
        <v>400</v>
      </c>
      <c r="F18681" s="38" t="s">
        <v>214</v>
      </c>
      <c r="G18681" s="49" t="str">
        <f t="shared" si="1"/>
        <v>39570</v>
      </c>
      <c r="H18681" s="49">
        <f t="shared" si="2"/>
        <v>39480</v>
      </c>
    </row>
    <row r="18682">
      <c r="A18682" s="48" t="s">
        <v>1827</v>
      </c>
      <c r="B18682" s="38">
        <v>77240.0</v>
      </c>
      <c r="C18682" s="38" t="s">
        <v>23136</v>
      </c>
      <c r="D18682" s="38" t="str">
        <f>IFERROR(__xludf.DUMMYFUNCTION("REGEXREPLACE(C18682,""-\d+(.*)|--\d+(.*)"","""")"),"JOUY-SUR-MORIN")</f>
        <v>JOUY-SUR-MORIN</v>
      </c>
      <c r="E18682" s="38" t="s">
        <v>244</v>
      </c>
      <c r="F18682" s="38" t="s">
        <v>245</v>
      </c>
      <c r="G18682" s="49" t="str">
        <f t="shared" si="1"/>
        <v>77320</v>
      </c>
      <c r="H18682" s="49">
        <f t="shared" si="2"/>
        <v>77240</v>
      </c>
    </row>
    <row r="18683">
      <c r="A18683" s="48" t="s">
        <v>358</v>
      </c>
      <c r="B18683" s="38">
        <v>10287.0</v>
      </c>
      <c r="C18683" s="38" t="s">
        <v>23137</v>
      </c>
      <c r="D18683" s="38" t="str">
        <f>IFERROR(__xludf.DUMMYFUNCTION("REGEXREPLACE(C18683,""-\d+(.*)|--\d+(.*)"","""")"),"PINEY")</f>
        <v>PINEY</v>
      </c>
      <c r="E18683" s="38" t="s">
        <v>147</v>
      </c>
      <c r="F18683" s="38" t="s">
        <v>130</v>
      </c>
      <c r="G18683" s="49" t="str">
        <f t="shared" si="1"/>
        <v>10220</v>
      </c>
      <c r="H18683" s="49">
        <f t="shared" si="2"/>
        <v>10287</v>
      </c>
    </row>
    <row r="18684">
      <c r="A18684" s="48" t="s">
        <v>21690</v>
      </c>
      <c r="B18684" s="38">
        <v>64483.0</v>
      </c>
      <c r="C18684" s="38" t="s">
        <v>23138</v>
      </c>
      <c r="D18684" s="38" t="str">
        <f>IFERROR(__xludf.DUMMYFUNCTION("REGEXREPLACE(C18684,""-\d+(.*)|--\d+(.*)"","""")"),"SAINT-JEAN-DE-LUZ")</f>
        <v>SAINT-JEAN-DE-LUZ</v>
      </c>
      <c r="E18684" s="38" t="s">
        <v>268</v>
      </c>
      <c r="F18684" s="38" t="s">
        <v>252</v>
      </c>
      <c r="G18684" s="49" t="str">
        <f t="shared" si="1"/>
        <v>64500</v>
      </c>
      <c r="H18684" s="49">
        <f t="shared" si="2"/>
        <v>64483</v>
      </c>
    </row>
    <row r="18685">
      <c r="A18685" s="48" t="s">
        <v>23139</v>
      </c>
      <c r="B18685" s="38" t="s">
        <v>23140</v>
      </c>
      <c r="C18685" s="38" t="s">
        <v>23141</v>
      </c>
      <c r="D18685" s="38" t="str">
        <f>IFERROR(__xludf.DUMMYFUNCTION("REGEXREPLACE(C18685,""-\d+(.*)|--\d+(.*)"","""")"),"CANNELLE")</f>
        <v>CANNELLE</v>
      </c>
      <c r="E18685" s="38" t="s">
        <v>606</v>
      </c>
      <c r="F18685" s="38" t="s">
        <v>607</v>
      </c>
      <c r="G18685" s="49" t="str">
        <f t="shared" si="1"/>
        <v>20151</v>
      </c>
      <c r="H18685" s="49" t="str">
        <f t="shared" si="2"/>
        <v>2A060</v>
      </c>
    </row>
    <row r="18686">
      <c r="A18686" s="48" t="s">
        <v>549</v>
      </c>
      <c r="B18686" s="38">
        <v>55327.0</v>
      </c>
      <c r="C18686" s="38" t="s">
        <v>23142</v>
      </c>
      <c r="D18686" s="38" t="str">
        <f>IFERROR(__xludf.DUMMYFUNCTION("REGEXREPLACE(C18686,""-\d+(.*)|--\d+(.*)"","""")"),"MAUVAGES")</f>
        <v>MAUVAGES</v>
      </c>
      <c r="E18686" s="38" t="s">
        <v>322</v>
      </c>
      <c r="F18686" s="38" t="s">
        <v>195</v>
      </c>
      <c r="G18686" s="49" t="str">
        <f t="shared" si="1"/>
        <v>55190</v>
      </c>
      <c r="H18686" s="49">
        <f t="shared" si="2"/>
        <v>55327</v>
      </c>
    </row>
    <row r="18687">
      <c r="A18687" s="48" t="s">
        <v>4054</v>
      </c>
      <c r="B18687" s="38">
        <v>88113.0</v>
      </c>
      <c r="C18687" s="38" t="s">
        <v>23143</v>
      </c>
      <c r="D18687" s="38" t="str">
        <f>IFERROR(__xludf.DUMMYFUNCTION("REGEXREPLACE(C18687,""-\d+(.*)|--\d+(.*)"","""")"),"COMBRIMONT")</f>
        <v>COMBRIMONT</v>
      </c>
      <c r="E18687" s="38" t="s">
        <v>194</v>
      </c>
      <c r="F18687" s="38" t="s">
        <v>195</v>
      </c>
      <c r="G18687" s="49" t="str">
        <f t="shared" si="1"/>
        <v>88490</v>
      </c>
      <c r="H18687" s="49">
        <f t="shared" si="2"/>
        <v>88113</v>
      </c>
    </row>
    <row r="18688">
      <c r="A18688" s="48" t="s">
        <v>1964</v>
      </c>
      <c r="B18688" s="38">
        <v>26368.0</v>
      </c>
      <c r="C18688" s="38" t="s">
        <v>23144</v>
      </c>
      <c r="D18688" s="38" t="str">
        <f>IFERROR(__xludf.DUMMYFUNCTION("REGEXREPLACE(C18688,""-\d+(.*)|--\d+(.*)"","""")"),"VERCHENY")</f>
        <v>VERCHENY</v>
      </c>
      <c r="E18688" s="38" t="s">
        <v>126</v>
      </c>
      <c r="F18688" s="38" t="s">
        <v>102</v>
      </c>
      <c r="G18688" s="49" t="str">
        <f t="shared" si="1"/>
        <v>26340</v>
      </c>
      <c r="H18688" s="49">
        <f t="shared" si="2"/>
        <v>26368</v>
      </c>
    </row>
    <row r="18689">
      <c r="A18689" s="48" t="s">
        <v>6487</v>
      </c>
      <c r="B18689" s="38">
        <v>1282.0</v>
      </c>
      <c r="C18689" s="38" t="s">
        <v>23145</v>
      </c>
      <c r="D18689" s="38" t="str">
        <f>IFERROR(__xludf.DUMMYFUNCTION("REGEXREPLACE(C18689,""-\d+(.*)|--\d+(.*)"","""")"),"OUTRIAZ")</f>
        <v>OUTRIAZ</v>
      </c>
      <c r="E18689" s="38" t="s">
        <v>255</v>
      </c>
      <c r="F18689" s="38" t="s">
        <v>102</v>
      </c>
      <c r="G18689" s="49" t="str">
        <f t="shared" si="1"/>
        <v>01430</v>
      </c>
      <c r="H18689" s="49" t="str">
        <f t="shared" si="2"/>
        <v>01282</v>
      </c>
    </row>
    <row r="18690">
      <c r="A18690" s="48" t="s">
        <v>910</v>
      </c>
      <c r="B18690" s="38">
        <v>32051.0</v>
      </c>
      <c r="C18690" s="38" t="s">
        <v>23146</v>
      </c>
      <c r="D18690" s="38" t="str">
        <f>IFERROR(__xludf.DUMMYFUNCTION("REGEXREPLACE(C18690,""-\d+(.*)|--\d+(.*)"","""")"),"BEZERIL")</f>
        <v>BEZERIL</v>
      </c>
      <c r="E18690" s="38" t="s">
        <v>440</v>
      </c>
      <c r="F18690" s="38" t="s">
        <v>94</v>
      </c>
      <c r="G18690" s="49" t="str">
        <f t="shared" si="1"/>
        <v>32130</v>
      </c>
      <c r="H18690" s="49">
        <f t="shared" si="2"/>
        <v>32051</v>
      </c>
    </row>
    <row r="18691">
      <c r="A18691" s="48" t="s">
        <v>9850</v>
      </c>
      <c r="B18691" s="38">
        <v>67244.0</v>
      </c>
      <c r="C18691" s="38" t="s">
        <v>23147</v>
      </c>
      <c r="D18691" s="38" t="str">
        <f>IFERROR(__xludf.DUMMYFUNCTION("REGEXREPLACE(C18691,""-\d+(.*)|--\d+(.*)"","""")"),"KLEINGOEFT")</f>
        <v>KLEINGOEFT</v>
      </c>
      <c r="E18691" s="38" t="s">
        <v>210</v>
      </c>
      <c r="F18691" s="38" t="s">
        <v>151</v>
      </c>
      <c r="G18691" s="49" t="str">
        <f t="shared" si="1"/>
        <v>67440</v>
      </c>
      <c r="H18691" s="49">
        <f t="shared" si="2"/>
        <v>67244</v>
      </c>
    </row>
    <row r="18692">
      <c r="A18692" s="48" t="s">
        <v>1833</v>
      </c>
      <c r="B18692" s="38">
        <v>31082.0</v>
      </c>
      <c r="C18692" s="38" t="s">
        <v>23148</v>
      </c>
      <c r="D18692" s="38" t="str">
        <f>IFERROR(__xludf.DUMMYFUNCTION("REGEXREPLACE(C18692,""-\d+(.*)|--\d+(.*)"","""")"),"BOURG-SAINT-BERNARD")</f>
        <v>BOURG-SAINT-BERNARD</v>
      </c>
      <c r="E18692" s="38" t="s">
        <v>93</v>
      </c>
      <c r="F18692" s="38" t="s">
        <v>94</v>
      </c>
      <c r="G18692" s="49" t="str">
        <f t="shared" si="1"/>
        <v>31570</v>
      </c>
      <c r="H18692" s="49">
        <f t="shared" si="2"/>
        <v>31082</v>
      </c>
    </row>
    <row r="18693">
      <c r="A18693" s="48" t="s">
        <v>6734</v>
      </c>
      <c r="B18693" s="38">
        <v>28193.0</v>
      </c>
      <c r="C18693" s="38" t="s">
        <v>23149</v>
      </c>
      <c r="D18693" s="38" t="str">
        <f>IFERROR(__xludf.DUMMYFUNCTION("REGEXREPLACE(C18693,""-\d+(.*)|--\d+(.*)"","""")"),"HAVELU")</f>
        <v>HAVELU</v>
      </c>
      <c r="E18693" s="38" t="s">
        <v>300</v>
      </c>
      <c r="F18693" s="38" t="s">
        <v>123</v>
      </c>
      <c r="G18693" s="49" t="str">
        <f t="shared" si="1"/>
        <v>28410</v>
      </c>
      <c r="H18693" s="49">
        <f t="shared" si="2"/>
        <v>28193</v>
      </c>
    </row>
    <row r="18694">
      <c r="A18694" s="48" t="s">
        <v>6025</v>
      </c>
      <c r="B18694" s="38">
        <v>31112.0</v>
      </c>
      <c r="C18694" s="38" t="s">
        <v>23150</v>
      </c>
      <c r="D18694" s="38" t="str">
        <f>IFERROR(__xludf.DUMMYFUNCTION("REGEXREPLACE(C18694,""-\d+(.*)|--\d+(.*)"","""")"),"CASTAGNEDE")</f>
        <v>CASTAGNEDE</v>
      </c>
      <c r="E18694" s="38" t="s">
        <v>93</v>
      </c>
      <c r="F18694" s="38" t="s">
        <v>94</v>
      </c>
      <c r="G18694" s="49" t="str">
        <f t="shared" si="1"/>
        <v>31260</v>
      </c>
      <c r="H18694" s="49">
        <f t="shared" si="2"/>
        <v>31112</v>
      </c>
    </row>
    <row r="18695">
      <c r="A18695" s="48" t="s">
        <v>1940</v>
      </c>
      <c r="B18695" s="38">
        <v>51035.0</v>
      </c>
      <c r="C18695" s="38" t="s">
        <v>14152</v>
      </c>
      <c r="D18695" s="38" t="str">
        <f>IFERROR(__xludf.DUMMYFUNCTION("REGEXREPLACE(C18695,""-\d+(.*)|--\d+(.*)"","""")"),"BANNES")</f>
        <v>BANNES</v>
      </c>
      <c r="E18695" s="38" t="s">
        <v>129</v>
      </c>
      <c r="F18695" s="38" t="s">
        <v>130</v>
      </c>
      <c r="G18695" s="49" t="str">
        <f t="shared" si="1"/>
        <v>51230</v>
      </c>
      <c r="H18695" s="49">
        <f t="shared" si="2"/>
        <v>51035</v>
      </c>
    </row>
    <row r="18696">
      <c r="A18696" s="48" t="s">
        <v>9077</v>
      </c>
      <c r="B18696" s="38">
        <v>19227.0</v>
      </c>
      <c r="C18696" s="38" t="s">
        <v>23151</v>
      </c>
      <c r="D18696" s="38" t="str">
        <f>IFERROR(__xludf.DUMMYFUNCTION("REGEXREPLACE(C18696,""-\d+(.*)|--\d+(.*)"","""")"),"SAINT-MEXANT")</f>
        <v>SAINT-MEXANT</v>
      </c>
      <c r="E18696" s="38" t="s">
        <v>271</v>
      </c>
      <c r="F18696" s="38" t="s">
        <v>98</v>
      </c>
      <c r="G18696" s="49" t="str">
        <f t="shared" si="1"/>
        <v>19330</v>
      </c>
      <c r="H18696" s="49">
        <f t="shared" si="2"/>
        <v>19227</v>
      </c>
    </row>
    <row r="18697">
      <c r="A18697" s="48" t="s">
        <v>18253</v>
      </c>
      <c r="B18697" s="38">
        <v>81023.0</v>
      </c>
      <c r="C18697" s="38" t="s">
        <v>23152</v>
      </c>
      <c r="D18697" s="38" t="str">
        <f>IFERROR(__xludf.DUMMYFUNCTION("REGEXREPLACE(C18697,""-\d+(.*)|--\d+(.*)"","""")"),"BARRE")</f>
        <v>BARRE</v>
      </c>
      <c r="E18697" s="38" t="s">
        <v>231</v>
      </c>
      <c r="F18697" s="38" t="s">
        <v>94</v>
      </c>
      <c r="G18697" s="49" t="str">
        <f t="shared" si="1"/>
        <v>81320</v>
      </c>
      <c r="H18697" s="49">
        <f t="shared" si="2"/>
        <v>81023</v>
      </c>
    </row>
    <row r="18698">
      <c r="A18698" s="48" t="s">
        <v>1332</v>
      </c>
      <c r="B18698" s="38">
        <v>51082.0</v>
      </c>
      <c r="C18698" s="38" t="s">
        <v>23153</v>
      </c>
      <c r="D18698" s="38" t="str">
        <f>IFERROR(__xludf.DUMMYFUNCTION("REGEXREPLACE(C18698,""-\d+(.*)|--\d+(.*)"","""")"),"BRAUX-SAINTE-COHIERE")</f>
        <v>BRAUX-SAINTE-COHIERE</v>
      </c>
      <c r="E18698" s="38" t="s">
        <v>129</v>
      </c>
      <c r="F18698" s="38" t="s">
        <v>130</v>
      </c>
      <c r="G18698" s="49" t="str">
        <f t="shared" si="1"/>
        <v>51800</v>
      </c>
      <c r="H18698" s="49">
        <f t="shared" si="2"/>
        <v>51082</v>
      </c>
    </row>
    <row r="18699">
      <c r="A18699" s="48" t="s">
        <v>2917</v>
      </c>
      <c r="B18699" s="38">
        <v>49250.0</v>
      </c>
      <c r="C18699" s="38" t="s">
        <v>23154</v>
      </c>
      <c r="D18699" s="38" t="str">
        <f>IFERROR(__xludf.DUMMYFUNCTION("REGEXREPLACE(C18699,""-\d+(.*)|--\d+(.*)"","""")"),"LA PREVIERE")</f>
        <v>LA PREVIERE</v>
      </c>
      <c r="E18699" s="38" t="s">
        <v>653</v>
      </c>
      <c r="F18699" s="38" t="s">
        <v>180</v>
      </c>
      <c r="G18699" s="49" t="str">
        <f t="shared" si="1"/>
        <v>49420</v>
      </c>
      <c r="H18699" s="49">
        <f t="shared" si="2"/>
        <v>49250</v>
      </c>
    </row>
    <row r="18700">
      <c r="A18700" s="48" t="s">
        <v>5008</v>
      </c>
      <c r="B18700" s="38">
        <v>76529.0</v>
      </c>
      <c r="C18700" s="38" t="s">
        <v>23155</v>
      </c>
      <c r="D18700" s="38" t="str">
        <f>IFERROR(__xludf.DUMMYFUNCTION("REGEXREPLACE(C18700,""-\d+(.*)|--\d+(.*)"","""")"),"RIVILLE")</f>
        <v>RIVILLE</v>
      </c>
      <c r="E18700" s="38" t="s">
        <v>133</v>
      </c>
      <c r="F18700" s="38" t="s">
        <v>134</v>
      </c>
      <c r="G18700" s="49" t="str">
        <f t="shared" si="1"/>
        <v>76540</v>
      </c>
      <c r="H18700" s="49">
        <f t="shared" si="2"/>
        <v>76529</v>
      </c>
    </row>
    <row r="18701">
      <c r="A18701" s="48" t="s">
        <v>6347</v>
      </c>
      <c r="B18701" s="38">
        <v>73305.0</v>
      </c>
      <c r="C18701" s="38" t="s">
        <v>23156</v>
      </c>
      <c r="D18701" s="38" t="str">
        <f>IFERROR(__xludf.DUMMYFUNCTION("REGEXREPLACE(C18701,""-\d+(.*)|--\d+(.*)"","""")"),"VALEZAN")</f>
        <v>VALEZAN</v>
      </c>
      <c r="E18701" s="38" t="s">
        <v>306</v>
      </c>
      <c r="F18701" s="38" t="s">
        <v>102</v>
      </c>
      <c r="G18701" s="49" t="str">
        <f t="shared" si="1"/>
        <v>73210</v>
      </c>
      <c r="H18701" s="49">
        <f t="shared" si="2"/>
        <v>73305</v>
      </c>
    </row>
    <row r="18702">
      <c r="A18702" s="48" t="s">
        <v>15022</v>
      </c>
      <c r="B18702" s="38">
        <v>8317.0</v>
      </c>
      <c r="C18702" s="38" t="s">
        <v>23157</v>
      </c>
      <c r="D18702" s="38" t="str">
        <f>IFERROR(__xludf.DUMMYFUNCTION("REGEXREPLACE(C18702,""-\d+(.*)|--\d+(.*)"","""")"),"LA NEUVILLE-A-MAIRE")</f>
        <v>LA NEUVILLE-A-MAIRE</v>
      </c>
      <c r="E18702" s="38" t="s">
        <v>327</v>
      </c>
      <c r="F18702" s="38" t="s">
        <v>130</v>
      </c>
      <c r="G18702" s="49" t="str">
        <f t="shared" si="1"/>
        <v>08450</v>
      </c>
      <c r="H18702" s="49" t="str">
        <f t="shared" si="2"/>
        <v>08317</v>
      </c>
    </row>
    <row r="18703">
      <c r="A18703" s="48" t="s">
        <v>1473</v>
      </c>
      <c r="B18703" s="38">
        <v>50048.0</v>
      </c>
      <c r="C18703" s="38" t="s">
        <v>23158</v>
      </c>
      <c r="D18703" s="38" t="str">
        <f>IFERROR(__xludf.DUMMYFUNCTION("REGEXREPLACE(C18703,""-\d+(.*)|--\d+(.*)"","""")"),"BESLON")</f>
        <v>BESLON</v>
      </c>
      <c r="E18703" s="38" t="s">
        <v>157</v>
      </c>
      <c r="F18703" s="38" t="s">
        <v>138</v>
      </c>
      <c r="G18703" s="49" t="str">
        <f t="shared" si="1"/>
        <v>50800</v>
      </c>
      <c r="H18703" s="49">
        <f t="shared" si="2"/>
        <v>50048</v>
      </c>
    </row>
    <row r="18704">
      <c r="A18704" s="48" t="s">
        <v>4973</v>
      </c>
      <c r="B18704" s="38">
        <v>58209.0</v>
      </c>
      <c r="C18704" s="38" t="s">
        <v>23159</v>
      </c>
      <c r="D18704" s="38" t="str">
        <f>IFERROR(__xludf.DUMMYFUNCTION("REGEXREPLACE(C18704,""-\d+(.*)|--\d+(.*)"","""")"),"PERROY")</f>
        <v>PERROY</v>
      </c>
      <c r="E18704" s="38" t="s">
        <v>219</v>
      </c>
      <c r="F18704" s="38" t="s">
        <v>106</v>
      </c>
      <c r="G18704" s="49" t="str">
        <f t="shared" si="1"/>
        <v>58220</v>
      </c>
      <c r="H18704" s="49">
        <f t="shared" si="2"/>
        <v>58209</v>
      </c>
    </row>
    <row r="18705">
      <c r="A18705" s="48" t="s">
        <v>2868</v>
      </c>
      <c r="B18705" s="38">
        <v>80669.0</v>
      </c>
      <c r="C18705" s="38" t="s">
        <v>23160</v>
      </c>
      <c r="D18705" s="38" t="str">
        <f>IFERROR(__xludf.DUMMYFUNCTION("REGEXREPLACE(C18705,""-\d+(.*)|--\d+(.*)"","""")"),"RETHONVILLERS")</f>
        <v>RETHONVILLERS</v>
      </c>
      <c r="E18705" s="38" t="s">
        <v>224</v>
      </c>
      <c r="F18705" s="38" t="s">
        <v>113</v>
      </c>
      <c r="G18705" s="49" t="str">
        <f t="shared" si="1"/>
        <v>80700</v>
      </c>
      <c r="H18705" s="49">
        <f t="shared" si="2"/>
        <v>80669</v>
      </c>
    </row>
    <row r="18706">
      <c r="A18706" s="48" t="s">
        <v>7845</v>
      </c>
      <c r="B18706" s="38">
        <v>12089.0</v>
      </c>
      <c r="C18706" s="38" t="s">
        <v>23161</v>
      </c>
      <c r="D18706" s="38" t="str">
        <f>IFERROR(__xludf.DUMMYFUNCTION("REGEXREPLACE(C18706,""-\d+(.*)|--\d+(.*)"","""")"),"DECAZEVILLE")</f>
        <v>DECAZEVILLE</v>
      </c>
      <c r="E18706" s="38" t="s">
        <v>465</v>
      </c>
      <c r="F18706" s="38" t="s">
        <v>94</v>
      </c>
      <c r="G18706" s="49" t="str">
        <f t="shared" si="1"/>
        <v>12300</v>
      </c>
      <c r="H18706" s="49">
        <f t="shared" si="2"/>
        <v>12089</v>
      </c>
    </row>
    <row r="18707">
      <c r="A18707" s="48" t="s">
        <v>6269</v>
      </c>
      <c r="B18707" s="38">
        <v>24147.0</v>
      </c>
      <c r="C18707" s="38" t="s">
        <v>23162</v>
      </c>
      <c r="D18707" s="38" t="str">
        <f>IFERROR(__xludf.DUMMYFUNCTION("REGEXREPLACE(C18707,""-\d+(.*)|--\d+(.*)"","""")"),"CUBJAC")</f>
        <v>CUBJAC</v>
      </c>
      <c r="E18707" s="38" t="s">
        <v>261</v>
      </c>
      <c r="F18707" s="38" t="s">
        <v>252</v>
      </c>
      <c r="G18707" s="49" t="str">
        <f t="shared" si="1"/>
        <v>24640</v>
      </c>
      <c r="H18707" s="49">
        <f t="shared" si="2"/>
        <v>24147</v>
      </c>
    </row>
    <row r="18708">
      <c r="A18708" s="48" t="s">
        <v>502</v>
      </c>
      <c r="B18708" s="38">
        <v>18058.0</v>
      </c>
      <c r="C18708" s="38" t="s">
        <v>23163</v>
      </c>
      <c r="D18708" s="38" t="str">
        <f>IFERROR(__xludf.DUMMYFUNCTION("REGEXREPLACE(C18708,""-\d+(.*)|--\d+(.*)"","""")"),"CHATEAUNEUF-SUR-CHER")</f>
        <v>CHATEAUNEUF-SUR-CHER</v>
      </c>
      <c r="E18708" s="38" t="s">
        <v>504</v>
      </c>
      <c r="F18708" s="38" t="s">
        <v>123</v>
      </c>
      <c r="G18708" s="49" t="str">
        <f t="shared" si="1"/>
        <v>18190</v>
      </c>
      <c r="H18708" s="49">
        <f t="shared" si="2"/>
        <v>18058</v>
      </c>
    </row>
    <row r="18709">
      <c r="A18709" s="48" t="s">
        <v>4873</v>
      </c>
      <c r="B18709" s="38">
        <v>67148.0</v>
      </c>
      <c r="C18709" s="38" t="s">
        <v>23164</v>
      </c>
      <c r="D18709" s="38" t="str">
        <f>IFERROR(__xludf.DUMMYFUNCTION("REGEXREPLACE(C18709,""-\d+(.*)|--\d+(.*)"","""")"),"FROHMUHL")</f>
        <v>FROHMUHL</v>
      </c>
      <c r="E18709" s="38" t="s">
        <v>210</v>
      </c>
      <c r="F18709" s="38" t="s">
        <v>151</v>
      </c>
      <c r="G18709" s="49" t="str">
        <f t="shared" si="1"/>
        <v>67290</v>
      </c>
      <c r="H18709" s="49">
        <f t="shared" si="2"/>
        <v>67148</v>
      </c>
    </row>
    <row r="18710">
      <c r="A18710" s="48" t="s">
        <v>11131</v>
      </c>
      <c r="B18710" s="38">
        <v>53164.0</v>
      </c>
      <c r="C18710" s="38" t="s">
        <v>23165</v>
      </c>
      <c r="D18710" s="38" t="str">
        <f>IFERROR(__xludf.DUMMYFUNCTION("REGEXREPLACE(C18710,""-\d+(.*)|--\d+(.*)"","""")"),"NEUILLY-LE-VENDIN")</f>
        <v>NEUILLY-LE-VENDIN</v>
      </c>
      <c r="E18710" s="38" t="s">
        <v>518</v>
      </c>
      <c r="F18710" s="38" t="s">
        <v>180</v>
      </c>
      <c r="G18710" s="49" t="str">
        <f t="shared" si="1"/>
        <v>53250</v>
      </c>
      <c r="H18710" s="49">
        <f t="shared" si="2"/>
        <v>53164</v>
      </c>
    </row>
    <row r="18711">
      <c r="A18711" s="48" t="s">
        <v>22982</v>
      </c>
      <c r="B18711" s="38">
        <v>87078.0</v>
      </c>
      <c r="C18711" s="38" t="s">
        <v>23166</v>
      </c>
      <c r="D18711" s="38" t="str">
        <f>IFERROR(__xludf.DUMMYFUNCTION("REGEXREPLACE(C18711,""-\d+(.*)|--\d+(.*)"","""")"),"JAVERDAT")</f>
        <v>JAVERDAT</v>
      </c>
      <c r="E18711" s="38" t="s">
        <v>897</v>
      </c>
      <c r="F18711" s="38" t="s">
        <v>98</v>
      </c>
      <c r="G18711" s="49" t="str">
        <f t="shared" si="1"/>
        <v>87520</v>
      </c>
      <c r="H18711" s="49">
        <f t="shared" si="2"/>
        <v>87078</v>
      </c>
    </row>
    <row r="18712">
      <c r="A18712" s="48" t="s">
        <v>10392</v>
      </c>
      <c r="B18712" s="38">
        <v>64289.0</v>
      </c>
      <c r="C18712" s="38" t="s">
        <v>23167</v>
      </c>
      <c r="D18712" s="38" t="str">
        <f>IFERROR(__xludf.DUMMYFUNCTION("REGEXREPLACE(C18712,""-\d+(.*)|--\d+(.*)"","""")"),"LA BASTIDE-CLAIRENCE")</f>
        <v>LA BASTIDE-CLAIRENCE</v>
      </c>
      <c r="E18712" s="38" t="s">
        <v>268</v>
      </c>
      <c r="F18712" s="38" t="s">
        <v>252</v>
      </c>
      <c r="G18712" s="49" t="str">
        <f t="shared" si="1"/>
        <v>64240</v>
      </c>
      <c r="H18712" s="49">
        <f t="shared" si="2"/>
        <v>64289</v>
      </c>
    </row>
    <row r="18713">
      <c r="A18713" s="48" t="s">
        <v>4311</v>
      </c>
      <c r="B18713" s="38">
        <v>47168.0</v>
      </c>
      <c r="C18713" s="38" t="s">
        <v>23168</v>
      </c>
      <c r="D18713" s="38" t="str">
        <f>IFERROR(__xludf.DUMMYFUNCTION("REGEXREPLACE(C18713,""-\d+(.*)|--\d+(.*)"","""")"),"MIRAMONT-DE-GUYENNE")</f>
        <v>MIRAMONT-DE-GUYENNE</v>
      </c>
      <c r="E18713" s="38" t="s">
        <v>251</v>
      </c>
      <c r="F18713" s="38" t="s">
        <v>252</v>
      </c>
      <c r="G18713" s="49" t="str">
        <f t="shared" si="1"/>
        <v>47800</v>
      </c>
      <c r="H18713" s="49">
        <f t="shared" si="2"/>
        <v>47168</v>
      </c>
    </row>
    <row r="18714">
      <c r="A18714" s="48" t="s">
        <v>3887</v>
      </c>
      <c r="B18714" s="38">
        <v>84013.0</v>
      </c>
      <c r="C18714" s="38" t="s">
        <v>23169</v>
      </c>
      <c r="D18714" s="38" t="str">
        <f>IFERROR(__xludf.DUMMYFUNCTION("REGEXREPLACE(C18714,""-\d+(.*)|--\d+(.*)"","""")"),"BEAUMETTES")</f>
        <v>BEAUMETTES</v>
      </c>
      <c r="E18714" s="38" t="s">
        <v>1026</v>
      </c>
      <c r="F18714" s="38" t="s">
        <v>228</v>
      </c>
      <c r="G18714" s="49" t="str">
        <f t="shared" si="1"/>
        <v>84220</v>
      </c>
      <c r="H18714" s="49">
        <f t="shared" si="2"/>
        <v>84013</v>
      </c>
    </row>
    <row r="18715">
      <c r="A18715" s="48" t="s">
        <v>1195</v>
      </c>
      <c r="B18715" s="38">
        <v>80785.0</v>
      </c>
      <c r="C18715" s="38" t="s">
        <v>23170</v>
      </c>
      <c r="D18715" s="38" t="str">
        <f>IFERROR(__xludf.DUMMYFUNCTION("REGEXREPLACE(C18715,""-\d+(.*)|--\d+(.*)"","""")"),"VECQUEMONT")</f>
        <v>VECQUEMONT</v>
      </c>
      <c r="E18715" s="38" t="s">
        <v>224</v>
      </c>
      <c r="F18715" s="38" t="s">
        <v>113</v>
      </c>
      <c r="G18715" s="49" t="str">
        <f t="shared" si="1"/>
        <v>80800</v>
      </c>
      <c r="H18715" s="49">
        <f t="shared" si="2"/>
        <v>80785</v>
      </c>
    </row>
    <row r="18716">
      <c r="A18716" s="48" t="s">
        <v>794</v>
      </c>
      <c r="B18716" s="38">
        <v>60486.0</v>
      </c>
      <c r="C18716" s="38" t="s">
        <v>23171</v>
      </c>
      <c r="D18716" s="38" t="str">
        <f>IFERROR(__xludf.DUMMYFUNCTION("REGEXREPLACE(C18716,""-\d+(.*)|--\d+(.*)"","""")"),"PAILLART")</f>
        <v>PAILLART</v>
      </c>
      <c r="E18716" s="38" t="s">
        <v>112</v>
      </c>
      <c r="F18716" s="38" t="s">
        <v>113</v>
      </c>
      <c r="G18716" s="49" t="str">
        <f t="shared" si="1"/>
        <v>60120</v>
      </c>
      <c r="H18716" s="49">
        <f t="shared" si="2"/>
        <v>60486</v>
      </c>
    </row>
    <row r="18717">
      <c r="A18717" s="48" t="s">
        <v>5460</v>
      </c>
      <c r="B18717" s="38">
        <v>60334.0</v>
      </c>
      <c r="C18717" s="38" t="s">
        <v>23172</v>
      </c>
      <c r="D18717" s="38" t="str">
        <f>IFERROR(__xludf.DUMMYFUNCTION("REGEXREPLACE(C18717,""-\d+(.*)|--\d+(.*)"","""")"),"LACHAPELLE-SAINT-PIERRE")</f>
        <v>LACHAPELLE-SAINT-PIERRE</v>
      </c>
      <c r="E18717" s="38" t="s">
        <v>112</v>
      </c>
      <c r="F18717" s="38" t="s">
        <v>113</v>
      </c>
      <c r="G18717" s="49" t="str">
        <f t="shared" si="1"/>
        <v>60730</v>
      </c>
      <c r="H18717" s="49">
        <f t="shared" si="2"/>
        <v>60334</v>
      </c>
    </row>
    <row r="18718">
      <c r="A18718" s="48" t="s">
        <v>1352</v>
      </c>
      <c r="B18718" s="38">
        <v>79115.0</v>
      </c>
      <c r="C18718" s="38" t="s">
        <v>23173</v>
      </c>
      <c r="D18718" s="38" t="str">
        <f>IFERROR(__xludf.DUMMYFUNCTION("REGEXREPLACE(C18718,""-\d+(.*)|--\d+(.*)"","""")"),"EXOUDUN")</f>
        <v>EXOUDUN</v>
      </c>
      <c r="E18718" s="38" t="s">
        <v>337</v>
      </c>
      <c r="F18718" s="38" t="s">
        <v>338</v>
      </c>
      <c r="G18718" s="49" t="str">
        <f t="shared" si="1"/>
        <v>79800</v>
      </c>
      <c r="H18718" s="49">
        <f t="shared" si="2"/>
        <v>79115</v>
      </c>
    </row>
    <row r="18719">
      <c r="A18719" s="48" t="s">
        <v>8620</v>
      </c>
      <c r="B18719" s="38">
        <v>45277.0</v>
      </c>
      <c r="C18719" s="38" t="s">
        <v>23174</v>
      </c>
      <c r="D18719" s="38" t="str">
        <f>IFERROR(__xludf.DUMMYFUNCTION("REGEXREPLACE(C18719,""-\d+(.*)|--\d+(.*)"","""")"),"SAINT-FLORENT")</f>
        <v>SAINT-FLORENT</v>
      </c>
      <c r="E18719" s="38" t="s">
        <v>122</v>
      </c>
      <c r="F18719" s="38" t="s">
        <v>123</v>
      </c>
      <c r="G18719" s="49" t="str">
        <f t="shared" si="1"/>
        <v>45600</v>
      </c>
      <c r="H18719" s="49">
        <f t="shared" si="2"/>
        <v>45277</v>
      </c>
    </row>
    <row r="18720">
      <c r="A18720" s="48" t="s">
        <v>15069</v>
      </c>
      <c r="B18720" s="38">
        <v>22076.0</v>
      </c>
      <c r="C18720" s="38" t="s">
        <v>23175</v>
      </c>
      <c r="D18720" s="38" t="str">
        <f>IFERROR(__xludf.DUMMYFUNCTION("REGEXREPLACE(C18720,""-\d+(.*)|--\d+(.*)"","""")"),"HENANBIHEN")</f>
        <v>HENANBIHEN</v>
      </c>
      <c r="E18720" s="38" t="s">
        <v>89</v>
      </c>
      <c r="F18720" s="38" t="s">
        <v>90</v>
      </c>
      <c r="G18720" s="49" t="str">
        <f t="shared" si="1"/>
        <v>22550</v>
      </c>
      <c r="H18720" s="49">
        <f t="shared" si="2"/>
        <v>22076</v>
      </c>
    </row>
    <row r="18721">
      <c r="A18721" s="48" t="s">
        <v>21319</v>
      </c>
      <c r="B18721" s="38">
        <v>12172.0</v>
      </c>
      <c r="C18721" s="38" t="s">
        <v>23176</v>
      </c>
      <c r="D18721" s="38" t="str">
        <f>IFERROR(__xludf.DUMMYFUNCTION("REGEXREPLACE(C18721,""-\d+(.*)|--\d+(.*)"","""")"),"LE NAYRAC")</f>
        <v>LE NAYRAC</v>
      </c>
      <c r="E18721" s="38" t="s">
        <v>465</v>
      </c>
      <c r="F18721" s="38" t="s">
        <v>94</v>
      </c>
      <c r="G18721" s="49" t="str">
        <f t="shared" si="1"/>
        <v>12190</v>
      </c>
      <c r="H18721" s="49">
        <f t="shared" si="2"/>
        <v>12172</v>
      </c>
    </row>
    <row r="18722">
      <c r="A18722" s="48" t="s">
        <v>2128</v>
      </c>
      <c r="B18722" s="38">
        <v>2534.0</v>
      </c>
      <c r="C18722" s="38" t="s">
        <v>23177</v>
      </c>
      <c r="D18722" s="38" t="str">
        <f>IFERROR(__xludf.DUMMYFUNCTION("REGEXREPLACE(C18722,""-\d+(.*)|--\d+(.*)"","""")"),"MUSCOURT")</f>
        <v>MUSCOURT</v>
      </c>
      <c r="E18722" s="38" t="s">
        <v>191</v>
      </c>
      <c r="F18722" s="38" t="s">
        <v>113</v>
      </c>
      <c r="G18722" s="49" t="str">
        <f t="shared" si="1"/>
        <v>02160</v>
      </c>
      <c r="H18722" s="49" t="str">
        <f t="shared" si="2"/>
        <v>02534</v>
      </c>
    </row>
    <row r="18723">
      <c r="A18723" s="48" t="s">
        <v>23178</v>
      </c>
      <c r="B18723" s="38">
        <v>67025.0</v>
      </c>
      <c r="C18723" s="38" t="s">
        <v>23179</v>
      </c>
      <c r="D18723" s="38" t="str">
        <f>IFERROR(__xludf.DUMMYFUNCTION("REGEXREPLACE(C18723,""-\d+(.*)|--\d+(.*)"","""")"),"BEINHEIM")</f>
        <v>BEINHEIM</v>
      </c>
      <c r="E18723" s="38" t="s">
        <v>210</v>
      </c>
      <c r="F18723" s="38" t="s">
        <v>151</v>
      </c>
      <c r="G18723" s="49" t="str">
        <f t="shared" si="1"/>
        <v>67930</v>
      </c>
      <c r="H18723" s="49">
        <f t="shared" si="2"/>
        <v>67025</v>
      </c>
    </row>
    <row r="18724">
      <c r="A18724" s="48" t="s">
        <v>3653</v>
      </c>
      <c r="B18724" s="38">
        <v>61282.0</v>
      </c>
      <c r="C18724" s="38" t="s">
        <v>23180</v>
      </c>
      <c r="D18724" s="38" t="str">
        <f>IFERROR(__xludf.DUMMYFUNCTION("REGEXREPLACE(C18724,""-\d+(.*)|--\d+(.*)"","""")"),"MONNAI")</f>
        <v>MONNAI</v>
      </c>
      <c r="E18724" s="38" t="s">
        <v>141</v>
      </c>
      <c r="F18724" s="38" t="s">
        <v>138</v>
      </c>
      <c r="G18724" s="49" t="str">
        <f t="shared" si="1"/>
        <v>61470</v>
      </c>
      <c r="H18724" s="49">
        <f t="shared" si="2"/>
        <v>61282</v>
      </c>
    </row>
    <row r="18725">
      <c r="A18725" s="48" t="s">
        <v>5214</v>
      </c>
      <c r="B18725" s="38">
        <v>9119.0</v>
      </c>
      <c r="C18725" s="38" t="s">
        <v>23181</v>
      </c>
      <c r="D18725" s="38" t="str">
        <f>IFERROR(__xludf.DUMMYFUNCTION("REGEXREPLACE(C18725,""-\d+(.*)|--\d+(.*)"","""")"),"EYCHEIL")</f>
        <v>EYCHEIL</v>
      </c>
      <c r="E18725" s="38" t="s">
        <v>238</v>
      </c>
      <c r="F18725" s="38" t="s">
        <v>94</v>
      </c>
      <c r="G18725" s="49" t="str">
        <f t="shared" si="1"/>
        <v>09200</v>
      </c>
      <c r="H18725" s="49" t="str">
        <f t="shared" si="2"/>
        <v>09119</v>
      </c>
    </row>
    <row r="18726">
      <c r="A18726" s="48" t="s">
        <v>23182</v>
      </c>
      <c r="B18726" s="38" t="s">
        <v>23183</v>
      </c>
      <c r="C18726" s="38" t="s">
        <v>23184</v>
      </c>
      <c r="D18726" s="38" t="str">
        <f>IFERROR(__xludf.DUMMYFUNCTION("REGEXREPLACE(C18726,""-\d+(.*)|--\d+(.*)"","""")"),"CORBARA")</f>
        <v>CORBARA</v>
      </c>
      <c r="E18726" s="38" t="s">
        <v>743</v>
      </c>
      <c r="F18726" s="38" t="s">
        <v>607</v>
      </c>
      <c r="G18726" s="49" t="str">
        <f t="shared" si="1"/>
        <v>20256</v>
      </c>
      <c r="H18726" s="49" t="str">
        <f t="shared" si="2"/>
        <v>2B093</v>
      </c>
    </row>
    <row r="18727">
      <c r="A18727" s="48" t="s">
        <v>4706</v>
      </c>
      <c r="B18727" s="38">
        <v>74279.0</v>
      </c>
      <c r="C18727" s="38" t="s">
        <v>23185</v>
      </c>
      <c r="D18727" s="38" t="str">
        <f>IFERROR(__xludf.DUMMYFUNCTION("REGEXREPLACE(C18727,""-\d+(.*)|--\d+(.*)"","""")"),"THOLLON-LES-MEMISES")</f>
        <v>THOLLON-LES-MEMISES</v>
      </c>
      <c r="E18727" s="38" t="s">
        <v>319</v>
      </c>
      <c r="F18727" s="38" t="s">
        <v>102</v>
      </c>
      <c r="G18727" s="49" t="str">
        <f t="shared" si="1"/>
        <v>74500</v>
      </c>
      <c r="H18727" s="49">
        <f t="shared" si="2"/>
        <v>74279</v>
      </c>
    </row>
    <row r="18728">
      <c r="A18728" s="48" t="s">
        <v>916</v>
      </c>
      <c r="B18728" s="38">
        <v>76387.0</v>
      </c>
      <c r="C18728" s="38" t="s">
        <v>23186</v>
      </c>
      <c r="D18728" s="38" t="str">
        <f>IFERROR(__xludf.DUMMYFUNCTION("REGEXREPLACE(C18728,""-\d+(.*)|--\d+(.*)"","""")"),"LINDEBEUF")</f>
        <v>LINDEBEUF</v>
      </c>
      <c r="E18728" s="38" t="s">
        <v>133</v>
      </c>
      <c r="F18728" s="38" t="s">
        <v>134</v>
      </c>
      <c r="G18728" s="49" t="str">
        <f t="shared" si="1"/>
        <v>76760</v>
      </c>
      <c r="H18728" s="49">
        <f t="shared" si="2"/>
        <v>76387</v>
      </c>
    </row>
    <row r="18729">
      <c r="A18729" s="48" t="s">
        <v>5712</v>
      </c>
      <c r="B18729" s="38">
        <v>89230.0</v>
      </c>
      <c r="C18729" s="38" t="s">
        <v>23187</v>
      </c>
      <c r="D18729" s="38" t="str">
        <f>IFERROR(__xludf.DUMMYFUNCTION("REGEXREPLACE(C18729,""-\d+(.*)|--\d+(.*)"","""")"),"LOOZE")</f>
        <v>LOOZE</v>
      </c>
      <c r="E18729" s="38" t="s">
        <v>275</v>
      </c>
      <c r="F18729" s="38" t="s">
        <v>106</v>
      </c>
      <c r="G18729" s="49" t="str">
        <f t="shared" si="1"/>
        <v>89300</v>
      </c>
      <c r="H18729" s="49">
        <f t="shared" si="2"/>
        <v>89230</v>
      </c>
    </row>
    <row r="18730">
      <c r="A18730" s="48" t="s">
        <v>715</v>
      </c>
      <c r="B18730" s="38">
        <v>88499.0</v>
      </c>
      <c r="C18730" s="38" t="s">
        <v>23188</v>
      </c>
      <c r="D18730" s="38" t="str">
        <f>IFERROR(__xludf.DUMMYFUNCTION("REGEXREPLACE(C18730,""-\d+(.*)|--\d+(.*)"","""")"),"VELOTTE-ET-TATIGNECOURT")</f>
        <v>VELOTTE-ET-TATIGNECOURT</v>
      </c>
      <c r="E18730" s="38" t="s">
        <v>194</v>
      </c>
      <c r="F18730" s="38" t="s">
        <v>195</v>
      </c>
      <c r="G18730" s="49" t="str">
        <f t="shared" si="1"/>
        <v>88270</v>
      </c>
      <c r="H18730" s="49">
        <f t="shared" si="2"/>
        <v>88499</v>
      </c>
    </row>
    <row r="18731">
      <c r="A18731" s="48" t="s">
        <v>3448</v>
      </c>
      <c r="B18731" s="38">
        <v>65086.0</v>
      </c>
      <c r="C18731" s="38" t="s">
        <v>23189</v>
      </c>
      <c r="D18731" s="38" t="str">
        <f>IFERROR(__xludf.DUMMYFUNCTION("REGEXREPLACE(C18731,""-\d+(.*)|--\d+(.*)"","""")"),"BERNADETS-DESSUS")</f>
        <v>BERNADETS-DESSUS</v>
      </c>
      <c r="E18731" s="38" t="s">
        <v>200</v>
      </c>
      <c r="F18731" s="38" t="s">
        <v>94</v>
      </c>
      <c r="G18731" s="49" t="str">
        <f t="shared" si="1"/>
        <v>65190</v>
      </c>
      <c r="H18731" s="49">
        <f t="shared" si="2"/>
        <v>65086</v>
      </c>
    </row>
    <row r="18732">
      <c r="A18732" s="48" t="s">
        <v>15404</v>
      </c>
      <c r="B18732" s="38">
        <v>63223.0</v>
      </c>
      <c r="C18732" s="38" t="s">
        <v>23190</v>
      </c>
      <c r="D18732" s="38" t="str">
        <f>IFERROR(__xludf.DUMMYFUNCTION("REGEXREPLACE(C18732,""-\d+(.*)|--\d+(.*)"","""")"),"MENAT")</f>
        <v>MENAT</v>
      </c>
      <c r="E18732" s="38" t="s">
        <v>353</v>
      </c>
      <c r="F18732" s="38" t="s">
        <v>161</v>
      </c>
      <c r="G18732" s="49" t="str">
        <f t="shared" si="1"/>
        <v>63560</v>
      </c>
      <c r="H18732" s="49">
        <f t="shared" si="2"/>
        <v>63223</v>
      </c>
    </row>
    <row r="18733">
      <c r="A18733" s="48" t="s">
        <v>1118</v>
      </c>
      <c r="B18733" s="38">
        <v>50497.0</v>
      </c>
      <c r="C18733" s="38" t="s">
        <v>23191</v>
      </c>
      <c r="D18733" s="38" t="str">
        <f>IFERROR(__xludf.DUMMYFUNCTION("REGEXREPLACE(C18733,""-\d+(.*)|--\d+(.*)"","""")"),"SAINT-JORES")</f>
        <v>SAINT-JORES</v>
      </c>
      <c r="E18733" s="38" t="s">
        <v>157</v>
      </c>
      <c r="F18733" s="38" t="s">
        <v>138</v>
      </c>
      <c r="G18733" s="49" t="str">
        <f t="shared" si="1"/>
        <v>50250</v>
      </c>
      <c r="H18733" s="49">
        <f t="shared" si="2"/>
        <v>50497</v>
      </c>
    </row>
    <row r="18734">
      <c r="A18734" s="48" t="s">
        <v>7595</v>
      </c>
      <c r="B18734" s="38">
        <v>81027.0</v>
      </c>
      <c r="C18734" s="38" t="s">
        <v>23192</v>
      </c>
      <c r="D18734" s="38" t="str">
        <f>IFERROR(__xludf.DUMMYFUNCTION("REGEXREPLACE(C18734,""-\d+(.*)|--\d+(.*)"","""")"),"BELLESERRE")</f>
        <v>BELLESERRE</v>
      </c>
      <c r="E18734" s="38" t="s">
        <v>231</v>
      </c>
      <c r="F18734" s="38" t="s">
        <v>94</v>
      </c>
      <c r="G18734" s="49" t="str">
        <f t="shared" si="1"/>
        <v>81540</v>
      </c>
      <c r="H18734" s="49">
        <f t="shared" si="2"/>
        <v>81027</v>
      </c>
    </row>
    <row r="18735">
      <c r="A18735" s="48" t="s">
        <v>5483</v>
      </c>
      <c r="B18735" s="38">
        <v>58145.0</v>
      </c>
      <c r="C18735" s="38" t="s">
        <v>23193</v>
      </c>
      <c r="D18735" s="38" t="str">
        <f>IFERROR(__xludf.DUMMYFUNCTION("REGEXREPLACE(C18735,""-\d+(.*)|--\d+(.*)"","""")"),"LORMES")</f>
        <v>LORMES</v>
      </c>
      <c r="E18735" s="38" t="s">
        <v>219</v>
      </c>
      <c r="F18735" s="38" t="s">
        <v>106</v>
      </c>
      <c r="G18735" s="49" t="str">
        <f t="shared" si="1"/>
        <v>58140</v>
      </c>
      <c r="H18735" s="49">
        <f t="shared" si="2"/>
        <v>58145</v>
      </c>
    </row>
    <row r="18736">
      <c r="A18736" s="48" t="s">
        <v>23194</v>
      </c>
      <c r="B18736" s="38">
        <v>59360.0</v>
      </c>
      <c r="C18736" s="38" t="s">
        <v>23195</v>
      </c>
      <c r="D18736" s="38" t="str">
        <f>IFERROR(__xludf.DUMMYFUNCTION("REGEXREPLACE(C18736,""-\d+(.*)|--\d+(.*)"","""")"),"LOOS")</f>
        <v>LOOS</v>
      </c>
      <c r="E18736" s="38" t="s">
        <v>85</v>
      </c>
      <c r="F18736" s="38" t="s">
        <v>86</v>
      </c>
      <c r="G18736" s="49" t="str">
        <f t="shared" si="1"/>
        <v>59120</v>
      </c>
      <c r="H18736" s="49">
        <f t="shared" si="2"/>
        <v>59360</v>
      </c>
    </row>
    <row r="18737">
      <c r="A18737" s="48" t="s">
        <v>4036</v>
      </c>
      <c r="B18737" s="38">
        <v>49148.0</v>
      </c>
      <c r="C18737" s="38" t="s">
        <v>23196</v>
      </c>
      <c r="D18737" s="38" t="str">
        <f>IFERROR(__xludf.DUMMYFUNCTION("REGEXREPLACE(C18737,""-\d+(.*)|--\d+(.*)"","""")"),"GENE")</f>
        <v>GENE</v>
      </c>
      <c r="E18737" s="38" t="s">
        <v>653</v>
      </c>
      <c r="F18737" s="38" t="s">
        <v>180</v>
      </c>
      <c r="G18737" s="49" t="str">
        <f t="shared" si="1"/>
        <v>49220</v>
      </c>
      <c r="H18737" s="49">
        <f t="shared" si="2"/>
        <v>49148</v>
      </c>
    </row>
    <row r="18738">
      <c r="A18738" s="48" t="s">
        <v>23197</v>
      </c>
      <c r="B18738" s="38">
        <v>18033.0</v>
      </c>
      <c r="C18738" s="38" t="s">
        <v>23198</v>
      </c>
      <c r="D18738" s="38" t="str">
        <f>IFERROR(__xludf.DUMMYFUNCTION("REGEXREPLACE(C18738,""-\d+(.*)|--\d+(.*)"","""")"),"BOURGES")</f>
        <v>BOURGES</v>
      </c>
      <c r="E18738" s="38" t="s">
        <v>504</v>
      </c>
      <c r="F18738" s="38" t="s">
        <v>123</v>
      </c>
      <c r="G18738" s="49" t="str">
        <f t="shared" si="1"/>
        <v>18000</v>
      </c>
      <c r="H18738" s="49">
        <f t="shared" si="2"/>
        <v>18033</v>
      </c>
    </row>
    <row r="18739">
      <c r="A18739" s="48" t="s">
        <v>6129</v>
      </c>
      <c r="B18739" s="38">
        <v>67257.0</v>
      </c>
      <c r="C18739" s="38" t="s">
        <v>23199</v>
      </c>
      <c r="D18739" s="38" t="str">
        <f>IFERROR(__xludf.DUMMYFUNCTION("REGEXREPLACE(C18739,""-\d+(.*)|--\d+(.*)"","""")"),"LAMPERTSLOCH")</f>
        <v>LAMPERTSLOCH</v>
      </c>
      <c r="E18739" s="38" t="s">
        <v>210</v>
      </c>
      <c r="F18739" s="38" t="s">
        <v>151</v>
      </c>
      <c r="G18739" s="49" t="str">
        <f t="shared" si="1"/>
        <v>67250</v>
      </c>
      <c r="H18739" s="49">
        <f t="shared" si="2"/>
        <v>67257</v>
      </c>
    </row>
    <row r="18740">
      <c r="A18740" s="48" t="s">
        <v>2109</v>
      </c>
      <c r="B18740" s="38">
        <v>29109.0</v>
      </c>
      <c r="C18740" s="38" t="s">
        <v>23200</v>
      </c>
      <c r="D18740" s="38" t="str">
        <f>IFERROR(__xludf.DUMMYFUNCTION("REGEXREPLACE(C18740,""-\d+(.*)|--\d+(.*)"","""")"),"LANDUNVEZ")</f>
        <v>LANDUNVEZ</v>
      </c>
      <c r="E18740" s="38" t="s">
        <v>176</v>
      </c>
      <c r="F18740" s="38" t="s">
        <v>90</v>
      </c>
      <c r="G18740" s="49" t="str">
        <f t="shared" si="1"/>
        <v>29840</v>
      </c>
      <c r="H18740" s="49">
        <f t="shared" si="2"/>
        <v>29109</v>
      </c>
    </row>
    <row r="18741">
      <c r="A18741" s="48" t="s">
        <v>4178</v>
      </c>
      <c r="B18741" s="38">
        <v>25571.0</v>
      </c>
      <c r="C18741" s="38" t="s">
        <v>23201</v>
      </c>
      <c r="D18741" s="38" t="str">
        <f>IFERROR(__xludf.DUMMYFUNCTION("REGEXREPLACE(C18741,""-\d+(.*)|--\d+(.*)"","""")"),"TREVILLERS")</f>
        <v>TREVILLERS</v>
      </c>
      <c r="E18741" s="38" t="s">
        <v>213</v>
      </c>
      <c r="F18741" s="38" t="s">
        <v>214</v>
      </c>
      <c r="G18741" s="49" t="str">
        <f t="shared" si="1"/>
        <v>25470</v>
      </c>
      <c r="H18741" s="49">
        <f t="shared" si="2"/>
        <v>25571</v>
      </c>
    </row>
    <row r="18742">
      <c r="A18742" s="48" t="s">
        <v>8465</v>
      </c>
      <c r="B18742" s="38">
        <v>33273.0</v>
      </c>
      <c r="C18742" s="38" t="s">
        <v>23202</v>
      </c>
      <c r="D18742" s="38" t="str">
        <f>IFERROR(__xludf.DUMMYFUNCTION("REGEXREPLACE(C18742,""-\d+(.*)|--\d+(.*)"","""")"),"MARTIGNAS-SUR-JALLE")</f>
        <v>MARTIGNAS-SUR-JALLE</v>
      </c>
      <c r="E18742" s="38" t="s">
        <v>462</v>
      </c>
      <c r="F18742" s="38" t="s">
        <v>252</v>
      </c>
      <c r="G18742" s="49" t="str">
        <f t="shared" si="1"/>
        <v>33127</v>
      </c>
      <c r="H18742" s="49">
        <f t="shared" si="2"/>
        <v>33273</v>
      </c>
    </row>
    <row r="18743">
      <c r="A18743" s="48" t="s">
        <v>7061</v>
      </c>
      <c r="B18743" s="38">
        <v>60484.0</v>
      </c>
      <c r="C18743" s="38" t="s">
        <v>23203</v>
      </c>
      <c r="D18743" s="38" t="str">
        <f>IFERROR(__xludf.DUMMYFUNCTION("REGEXREPLACE(C18743,""-\d+(.*)|--\d+(.*)"","""")"),"OUDEUIL")</f>
        <v>OUDEUIL</v>
      </c>
      <c r="E18743" s="38" t="s">
        <v>112</v>
      </c>
      <c r="F18743" s="38" t="s">
        <v>113</v>
      </c>
      <c r="G18743" s="49" t="str">
        <f t="shared" si="1"/>
        <v>60860</v>
      </c>
      <c r="H18743" s="49">
        <f t="shared" si="2"/>
        <v>60484</v>
      </c>
    </row>
    <row r="18744">
      <c r="A18744" s="48" t="s">
        <v>23204</v>
      </c>
      <c r="B18744" s="38">
        <v>95628.0</v>
      </c>
      <c r="C18744" s="38" t="s">
        <v>23205</v>
      </c>
      <c r="D18744" s="38" t="str">
        <f>IFERROR(__xludf.DUMMYFUNCTION("REGEXREPLACE(C18744,""-\d+(.*)|--\d+(.*)"","""")"),"VALMONDOIS")</f>
        <v>VALMONDOIS</v>
      </c>
      <c r="E18744" s="38" t="s">
        <v>541</v>
      </c>
      <c r="F18744" s="38" t="s">
        <v>245</v>
      </c>
      <c r="G18744" s="49" t="str">
        <f t="shared" si="1"/>
        <v>95760</v>
      </c>
      <c r="H18744" s="49">
        <f t="shared" si="2"/>
        <v>95628</v>
      </c>
    </row>
    <row r="18745">
      <c r="A18745" s="48" t="s">
        <v>7532</v>
      </c>
      <c r="B18745" s="38">
        <v>37041.0</v>
      </c>
      <c r="C18745" s="38" t="s">
        <v>23206</v>
      </c>
      <c r="D18745" s="38" t="str">
        <f>IFERROR(__xludf.DUMMYFUNCTION("REGEXREPLACE(C18745,""-\d+(.*)|--\d+(.*)"","""")"),"BUEIL-EN-TOURAINE")</f>
        <v>BUEIL-EN-TOURAINE</v>
      </c>
      <c r="E18745" s="38" t="s">
        <v>205</v>
      </c>
      <c r="F18745" s="38" t="s">
        <v>123</v>
      </c>
      <c r="G18745" s="49" t="str">
        <f t="shared" si="1"/>
        <v>37370</v>
      </c>
      <c r="H18745" s="49">
        <f t="shared" si="2"/>
        <v>37041</v>
      </c>
    </row>
    <row r="18746">
      <c r="A18746" s="48" t="s">
        <v>987</v>
      </c>
      <c r="B18746" s="38">
        <v>40286.0</v>
      </c>
      <c r="C18746" s="38" t="s">
        <v>23207</v>
      </c>
      <c r="D18746" s="38" t="str">
        <f>IFERROR(__xludf.DUMMYFUNCTION("REGEXREPLACE(C18746,""-\d+(.*)|--\d+(.*)"","""")"),"SAMADET")</f>
        <v>SAMADET</v>
      </c>
      <c r="E18746" s="38" t="s">
        <v>281</v>
      </c>
      <c r="F18746" s="38" t="s">
        <v>252</v>
      </c>
      <c r="G18746" s="49" t="str">
        <f t="shared" si="1"/>
        <v>40320</v>
      </c>
      <c r="H18746" s="49">
        <f t="shared" si="2"/>
        <v>40286</v>
      </c>
    </row>
    <row r="18747">
      <c r="A18747" s="48" t="s">
        <v>325</v>
      </c>
      <c r="B18747" s="38">
        <v>8396.0</v>
      </c>
      <c r="C18747" s="38" t="s">
        <v>23208</v>
      </c>
      <c r="D18747" s="38" t="str">
        <f>IFERROR(__xludf.DUMMYFUNCTION("REGEXREPLACE(C18747,""-\d+(.*)|--\d+(.*)"","""")"),"SAINT-QUENTIN-LE-PETIT")</f>
        <v>SAINT-QUENTIN-LE-PETIT</v>
      </c>
      <c r="E18747" s="38" t="s">
        <v>327</v>
      </c>
      <c r="F18747" s="38" t="s">
        <v>130</v>
      </c>
      <c r="G18747" s="49" t="str">
        <f t="shared" si="1"/>
        <v>08220</v>
      </c>
      <c r="H18747" s="49" t="str">
        <f t="shared" si="2"/>
        <v>08396</v>
      </c>
    </row>
    <row r="18748">
      <c r="A18748" s="48" t="s">
        <v>1402</v>
      </c>
      <c r="B18748" s="38">
        <v>44117.0</v>
      </c>
      <c r="C18748" s="38" t="s">
        <v>23209</v>
      </c>
      <c r="D18748" s="38" t="str">
        <f>IFERROR(__xludf.DUMMYFUNCTION("REGEXREPLACE(C18748,""-\d+(.*)|--\d+(.*)"","""")"),"LE PALLET")</f>
        <v>LE PALLET</v>
      </c>
      <c r="E18748" s="38" t="s">
        <v>759</v>
      </c>
      <c r="F18748" s="38" t="s">
        <v>180</v>
      </c>
      <c r="G18748" s="49" t="str">
        <f t="shared" si="1"/>
        <v>44330</v>
      </c>
      <c r="H18748" s="49">
        <f t="shared" si="2"/>
        <v>44117</v>
      </c>
    </row>
    <row r="18749">
      <c r="A18749" s="48" t="s">
        <v>13650</v>
      </c>
      <c r="B18749" s="38">
        <v>40311.0</v>
      </c>
      <c r="C18749" s="38" t="s">
        <v>23210</v>
      </c>
      <c r="D18749" s="38" t="str">
        <f>IFERROR(__xludf.DUMMYFUNCTION("REGEXREPLACE(C18749,""-\d+(.*)|--\d+(.*)"","""")"),"TALLER")</f>
        <v>TALLER</v>
      </c>
      <c r="E18749" s="38" t="s">
        <v>281</v>
      </c>
      <c r="F18749" s="38" t="s">
        <v>252</v>
      </c>
      <c r="G18749" s="49" t="str">
        <f t="shared" si="1"/>
        <v>40260</v>
      </c>
      <c r="H18749" s="49">
        <f t="shared" si="2"/>
        <v>40311</v>
      </c>
    </row>
    <row r="18750">
      <c r="A18750" s="48" t="s">
        <v>4969</v>
      </c>
      <c r="B18750" s="38">
        <v>14157.0</v>
      </c>
      <c r="C18750" s="38" t="s">
        <v>23211</v>
      </c>
      <c r="D18750" s="38" t="str">
        <f>IFERROR(__xludf.DUMMYFUNCTION("REGEXREPLACE(C18750,""-\d+(.*)|--\d+(.*)"","""")"),"CHEUX")</f>
        <v>CHEUX</v>
      </c>
      <c r="E18750" s="38" t="s">
        <v>137</v>
      </c>
      <c r="F18750" s="38" t="s">
        <v>138</v>
      </c>
      <c r="G18750" s="49" t="str">
        <f t="shared" si="1"/>
        <v>14210</v>
      </c>
      <c r="H18750" s="49">
        <f t="shared" si="2"/>
        <v>14157</v>
      </c>
    </row>
    <row r="18751">
      <c r="A18751" s="48" t="s">
        <v>192</v>
      </c>
      <c r="B18751" s="38">
        <v>88166.0</v>
      </c>
      <c r="C18751" s="38" t="s">
        <v>23212</v>
      </c>
      <c r="D18751" s="38" t="str">
        <f>IFERROR(__xludf.DUMMYFUNCTION("REGEXREPLACE(C18751,""-\d+(.*)|--\d+(.*)"","""")"),"EVAUX-ET-MENIL")</f>
        <v>EVAUX-ET-MENIL</v>
      </c>
      <c r="E18751" s="38" t="s">
        <v>194</v>
      </c>
      <c r="F18751" s="38" t="s">
        <v>195</v>
      </c>
      <c r="G18751" s="49" t="str">
        <f t="shared" si="1"/>
        <v>88450</v>
      </c>
      <c r="H18751" s="49">
        <f t="shared" si="2"/>
        <v>88166</v>
      </c>
    </row>
    <row r="18752">
      <c r="A18752" s="48" t="s">
        <v>14940</v>
      </c>
      <c r="B18752" s="38">
        <v>17298.0</v>
      </c>
      <c r="C18752" s="38" t="s">
        <v>23213</v>
      </c>
      <c r="D18752" s="38" t="str">
        <f>IFERROR(__xludf.DUMMYFUNCTION("REGEXREPLACE(C18752,""-\d+(.*)|--\d+(.*)"","""")"),"RIOUX")</f>
        <v>RIOUX</v>
      </c>
      <c r="E18752" s="38" t="s">
        <v>488</v>
      </c>
      <c r="F18752" s="38" t="s">
        <v>338</v>
      </c>
      <c r="G18752" s="49" t="str">
        <f t="shared" si="1"/>
        <v>17460</v>
      </c>
      <c r="H18752" s="49">
        <f t="shared" si="2"/>
        <v>17298</v>
      </c>
    </row>
    <row r="18753">
      <c r="A18753" s="48" t="s">
        <v>3252</v>
      </c>
      <c r="B18753" s="38">
        <v>63081.0</v>
      </c>
      <c r="C18753" s="38" t="s">
        <v>23214</v>
      </c>
      <c r="D18753" s="38" t="str">
        <f>IFERROR(__xludf.DUMMYFUNCTION("REGEXREPLACE(C18753,""-\d+(.*)|--\d+(.*)"","""")"),"CHAMPETIERES")</f>
        <v>CHAMPETIERES</v>
      </c>
      <c r="E18753" s="38" t="s">
        <v>353</v>
      </c>
      <c r="F18753" s="38" t="s">
        <v>161</v>
      </c>
      <c r="G18753" s="49" t="str">
        <f t="shared" si="1"/>
        <v>63600</v>
      </c>
      <c r="H18753" s="49">
        <f t="shared" si="2"/>
        <v>63081</v>
      </c>
    </row>
    <row r="18754">
      <c r="A18754" s="48" t="s">
        <v>1004</v>
      </c>
      <c r="B18754" s="38">
        <v>71094.0</v>
      </c>
      <c r="C18754" s="38" t="s">
        <v>23215</v>
      </c>
      <c r="D18754" s="38" t="str">
        <f>IFERROR(__xludf.DUMMYFUNCTION("REGEXREPLACE(C18754,""-\d+(.*)|--\d+(.*)"","""")"),"LA CHAPELLE-SOUS-BRANCION")</f>
        <v>LA CHAPELLE-SOUS-BRANCION</v>
      </c>
      <c r="E18754" s="38" t="s">
        <v>344</v>
      </c>
      <c r="F18754" s="38" t="s">
        <v>106</v>
      </c>
      <c r="G18754" s="49" t="str">
        <f t="shared" si="1"/>
        <v>71700</v>
      </c>
      <c r="H18754" s="49">
        <f t="shared" si="2"/>
        <v>71094</v>
      </c>
    </row>
    <row r="18755">
      <c r="A18755" s="48" t="s">
        <v>2532</v>
      </c>
      <c r="B18755" s="38">
        <v>51369.0</v>
      </c>
      <c r="C18755" s="38" t="s">
        <v>23216</v>
      </c>
      <c r="D18755" s="38" t="str">
        <f>IFERROR(__xludf.DUMMYFUNCTION("REGEXREPLACE(C18755,""-\d+(.*)|--\d+(.*)"","""")"),"MOEURS-VERDEY")</f>
        <v>MOEURS-VERDEY</v>
      </c>
      <c r="E18755" s="38" t="s">
        <v>129</v>
      </c>
      <c r="F18755" s="38" t="s">
        <v>130</v>
      </c>
      <c r="G18755" s="49" t="str">
        <f t="shared" si="1"/>
        <v>51120</v>
      </c>
      <c r="H18755" s="49">
        <f t="shared" si="2"/>
        <v>51369</v>
      </c>
    </row>
    <row r="18756">
      <c r="A18756" s="48" t="s">
        <v>4314</v>
      </c>
      <c r="B18756" s="38">
        <v>7268.0</v>
      </c>
      <c r="C18756" s="38" t="s">
        <v>23217</v>
      </c>
      <c r="D18756" s="38" t="str">
        <f>IFERROR(__xludf.DUMMYFUNCTION("REGEXREPLACE(C18756,""-\d+(.*)|--\d+(.*)"","""")"),"SAINT-MARTIN-D'ARDECHE")</f>
        <v>SAINT-MARTIN-D'ARDECHE</v>
      </c>
      <c r="E18756" s="38" t="s">
        <v>144</v>
      </c>
      <c r="F18756" s="38" t="s">
        <v>102</v>
      </c>
      <c r="G18756" s="49" t="str">
        <f t="shared" si="1"/>
        <v>07700</v>
      </c>
      <c r="H18756" s="49" t="str">
        <f t="shared" si="2"/>
        <v>07268</v>
      </c>
    </row>
    <row r="18757">
      <c r="A18757" s="48" t="s">
        <v>1354</v>
      </c>
      <c r="B18757" s="38">
        <v>28104.0</v>
      </c>
      <c r="C18757" s="38" t="s">
        <v>23218</v>
      </c>
      <c r="D18757" s="38" t="str">
        <f>IFERROR(__xludf.DUMMYFUNCTION("REGEXREPLACE(C18757,""-\d+(.*)|--\d+(.*)"","""")"),"COLTAINVILLE")</f>
        <v>COLTAINVILLE</v>
      </c>
      <c r="E18757" s="38" t="s">
        <v>300</v>
      </c>
      <c r="F18757" s="38" t="s">
        <v>123</v>
      </c>
      <c r="G18757" s="49" t="str">
        <f t="shared" si="1"/>
        <v>28300</v>
      </c>
      <c r="H18757" s="49">
        <f t="shared" si="2"/>
        <v>28104</v>
      </c>
    </row>
    <row r="18758">
      <c r="A18758" s="48" t="s">
        <v>1531</v>
      </c>
      <c r="B18758" s="38">
        <v>65323.0</v>
      </c>
      <c r="C18758" s="38" t="s">
        <v>23219</v>
      </c>
      <c r="D18758" s="38" t="str">
        <f>IFERROR(__xludf.DUMMYFUNCTION("REGEXREPLACE(C18758,""-\d+(.*)|--\d+(.*)"","""")"),"MONTSERIE")</f>
        <v>MONTSERIE</v>
      </c>
      <c r="E18758" s="38" t="s">
        <v>200</v>
      </c>
      <c r="F18758" s="38" t="s">
        <v>94</v>
      </c>
      <c r="G18758" s="49" t="str">
        <f t="shared" si="1"/>
        <v>65150</v>
      </c>
      <c r="H18758" s="49">
        <f t="shared" si="2"/>
        <v>65323</v>
      </c>
    </row>
    <row r="18759">
      <c r="A18759" s="48" t="s">
        <v>6261</v>
      </c>
      <c r="B18759" s="38">
        <v>76501.0</v>
      </c>
      <c r="C18759" s="38" t="s">
        <v>23220</v>
      </c>
      <c r="D18759" s="38" t="str">
        <f>IFERROR(__xludf.DUMMYFUNCTION("REGEXREPLACE(C18759,""-\d+(.*)|--\d+(.*)"","""")"),"PIERREFIQUES")</f>
        <v>PIERREFIQUES</v>
      </c>
      <c r="E18759" s="38" t="s">
        <v>133</v>
      </c>
      <c r="F18759" s="38" t="s">
        <v>134</v>
      </c>
      <c r="G18759" s="49" t="str">
        <f t="shared" si="1"/>
        <v>76280</v>
      </c>
      <c r="H18759" s="49">
        <f t="shared" si="2"/>
        <v>76501</v>
      </c>
    </row>
    <row r="18760">
      <c r="A18760" s="48" t="s">
        <v>13752</v>
      </c>
      <c r="B18760" s="38">
        <v>72320.0</v>
      </c>
      <c r="C18760" s="38" t="s">
        <v>1113</v>
      </c>
      <c r="D18760" s="38" t="str">
        <f>IFERROR(__xludf.DUMMYFUNCTION("REGEXREPLACE(C18760,""-\d+(.*)|--\d+(.*)"","""")"),"SAINT-SATURNIN")</f>
        <v>SAINT-SATURNIN</v>
      </c>
      <c r="E18760" s="38" t="s">
        <v>521</v>
      </c>
      <c r="F18760" s="38" t="s">
        <v>180</v>
      </c>
      <c r="G18760" s="49" t="str">
        <f t="shared" si="1"/>
        <v>72650</v>
      </c>
      <c r="H18760" s="49">
        <f t="shared" si="2"/>
        <v>72320</v>
      </c>
    </row>
    <row r="18761">
      <c r="A18761" s="48" t="s">
        <v>6858</v>
      </c>
      <c r="B18761" s="38">
        <v>71288.0</v>
      </c>
      <c r="C18761" s="38" t="s">
        <v>9375</v>
      </c>
      <c r="D18761" s="38" t="str">
        <f>IFERROR(__xludf.DUMMYFUNCTION("REGEXREPLACE(C18761,""-\d+(.*)|--\d+(.*)"","""")"),"MASSY")</f>
        <v>MASSY</v>
      </c>
      <c r="E18761" s="38" t="s">
        <v>344</v>
      </c>
      <c r="F18761" s="38" t="s">
        <v>106</v>
      </c>
      <c r="G18761" s="49" t="str">
        <f t="shared" si="1"/>
        <v>71250</v>
      </c>
      <c r="H18761" s="49">
        <f t="shared" si="2"/>
        <v>71288</v>
      </c>
    </row>
    <row r="18762">
      <c r="A18762" s="48" t="s">
        <v>663</v>
      </c>
      <c r="B18762" s="38">
        <v>86242.0</v>
      </c>
      <c r="C18762" s="38" t="s">
        <v>11348</v>
      </c>
      <c r="D18762" s="38" t="str">
        <f>IFERROR(__xludf.DUMMYFUNCTION("REGEXREPLACE(C18762,""-\d+(.*)|--\d+(.*)"","""")"),"SAINT-ROMAIN")</f>
        <v>SAINT-ROMAIN</v>
      </c>
      <c r="E18762" s="38" t="s">
        <v>529</v>
      </c>
      <c r="F18762" s="38" t="s">
        <v>338</v>
      </c>
      <c r="G18762" s="49" t="str">
        <f t="shared" si="1"/>
        <v>86250</v>
      </c>
      <c r="H18762" s="49">
        <f t="shared" si="2"/>
        <v>86242</v>
      </c>
    </row>
    <row r="18763">
      <c r="A18763" s="48" t="s">
        <v>6598</v>
      </c>
      <c r="B18763" s="38">
        <v>80424.0</v>
      </c>
      <c r="C18763" s="38" t="s">
        <v>23221</v>
      </c>
      <c r="D18763" s="38" t="str">
        <f>IFERROR(__xludf.DUMMYFUNCTION("REGEXREPLACE(C18763,""-\d+(.*)|--\d+(.*)"","""")"),"HEBECOURT")</f>
        <v>HEBECOURT</v>
      </c>
      <c r="E18763" s="38" t="s">
        <v>224</v>
      </c>
      <c r="F18763" s="38" t="s">
        <v>113</v>
      </c>
      <c r="G18763" s="49" t="str">
        <f t="shared" si="1"/>
        <v>80680</v>
      </c>
      <c r="H18763" s="49">
        <f t="shared" si="2"/>
        <v>80424</v>
      </c>
    </row>
    <row r="18764">
      <c r="A18764" s="48" t="s">
        <v>9594</v>
      </c>
      <c r="B18764" s="38">
        <v>44054.0</v>
      </c>
      <c r="C18764" s="38" t="s">
        <v>23222</v>
      </c>
      <c r="D18764" s="38" t="str">
        <f>IFERROR(__xludf.DUMMYFUNCTION("REGEXREPLACE(C18764,""-\d+(.*)|--\d+(.*)"","""")"),"ERBRAY")</f>
        <v>ERBRAY</v>
      </c>
      <c r="E18764" s="38" t="s">
        <v>759</v>
      </c>
      <c r="F18764" s="38" t="s">
        <v>180</v>
      </c>
      <c r="G18764" s="49" t="str">
        <f t="shared" si="1"/>
        <v>44110</v>
      </c>
      <c r="H18764" s="49">
        <f t="shared" si="2"/>
        <v>44054</v>
      </c>
    </row>
    <row r="18765">
      <c r="A18765" s="48" t="s">
        <v>13625</v>
      </c>
      <c r="B18765" s="38">
        <v>38027.0</v>
      </c>
      <c r="C18765" s="38" t="s">
        <v>23223</v>
      </c>
      <c r="D18765" s="38" t="str">
        <f>IFERROR(__xludf.DUMMYFUNCTION("REGEXREPLACE(C18765,""-\d+(.*)|--\d+(.*)"","""")"),"BARRAUX")</f>
        <v>BARRAUX</v>
      </c>
      <c r="E18765" s="38" t="s">
        <v>101</v>
      </c>
      <c r="F18765" s="38" t="s">
        <v>102</v>
      </c>
      <c r="G18765" s="49" t="str">
        <f t="shared" si="1"/>
        <v>38530</v>
      </c>
      <c r="H18765" s="49">
        <f t="shared" si="2"/>
        <v>38027</v>
      </c>
    </row>
    <row r="18766">
      <c r="A18766" s="48" t="s">
        <v>3256</v>
      </c>
      <c r="B18766" s="38">
        <v>36028.0</v>
      </c>
      <c r="C18766" s="38" t="s">
        <v>23224</v>
      </c>
      <c r="D18766" s="38" t="str">
        <f>IFERROR(__xludf.DUMMYFUNCTION("REGEXREPLACE(C18766,""-\d+(.*)|--\d+(.*)"","""")"),"LA BUXERETTE")</f>
        <v>LA BUXERETTE</v>
      </c>
      <c r="E18766" s="38" t="s">
        <v>258</v>
      </c>
      <c r="F18766" s="38" t="s">
        <v>123</v>
      </c>
      <c r="G18766" s="49" t="str">
        <f t="shared" si="1"/>
        <v>36140</v>
      </c>
      <c r="H18766" s="49">
        <f t="shared" si="2"/>
        <v>36028</v>
      </c>
    </row>
    <row r="18767">
      <c r="A18767" s="48" t="s">
        <v>23225</v>
      </c>
      <c r="B18767" s="38">
        <v>29230.0</v>
      </c>
      <c r="C18767" s="38" t="s">
        <v>23226</v>
      </c>
      <c r="D18767" s="38" t="str">
        <f>IFERROR(__xludf.DUMMYFUNCTION("REGEXREPLACE(C18767,""-\d+(.*)|--\d+(.*)"","""")"),"QUERRIEN")</f>
        <v>QUERRIEN</v>
      </c>
      <c r="E18767" s="38" t="s">
        <v>176</v>
      </c>
      <c r="F18767" s="38" t="s">
        <v>90</v>
      </c>
      <c r="G18767" s="49" t="str">
        <f t="shared" si="1"/>
        <v>29310</v>
      </c>
      <c r="H18767" s="49">
        <f t="shared" si="2"/>
        <v>29230</v>
      </c>
    </row>
    <row r="18768">
      <c r="A18768" s="48" t="s">
        <v>3821</v>
      </c>
      <c r="B18768" s="38">
        <v>57759.0</v>
      </c>
      <c r="C18768" s="38" t="s">
        <v>23227</v>
      </c>
      <c r="D18768" s="38" t="str">
        <f>IFERROR(__xludf.DUMMYFUNCTION("REGEXREPLACE(C18768,""-\d+(.*)|--\d+(.*)"","""")"),"ZARBELING")</f>
        <v>ZARBELING</v>
      </c>
      <c r="E18768" s="38" t="s">
        <v>303</v>
      </c>
      <c r="F18768" s="38" t="s">
        <v>195</v>
      </c>
      <c r="G18768" s="49" t="str">
        <f t="shared" si="1"/>
        <v>57340</v>
      </c>
      <c r="H18768" s="49">
        <f t="shared" si="2"/>
        <v>57759</v>
      </c>
    </row>
    <row r="18769">
      <c r="A18769" s="48" t="s">
        <v>10392</v>
      </c>
      <c r="B18769" s="38">
        <v>64546.0</v>
      </c>
      <c r="C18769" s="38" t="s">
        <v>23228</v>
      </c>
      <c r="D18769" s="38" t="str">
        <f>IFERROR(__xludf.DUMMYFUNCTION("REGEXREPLACE(C18769,""-\d+(.*)|--\d+(.*)"","""")"),"URT")</f>
        <v>URT</v>
      </c>
      <c r="E18769" s="38" t="s">
        <v>268</v>
      </c>
      <c r="F18769" s="38" t="s">
        <v>252</v>
      </c>
      <c r="G18769" s="49" t="str">
        <f t="shared" si="1"/>
        <v>64240</v>
      </c>
      <c r="H18769" s="49">
        <f t="shared" si="2"/>
        <v>64546</v>
      </c>
    </row>
    <row r="18770">
      <c r="A18770" s="48" t="s">
        <v>2503</v>
      </c>
      <c r="B18770" s="38">
        <v>33089.0</v>
      </c>
      <c r="C18770" s="38" t="s">
        <v>23229</v>
      </c>
      <c r="D18770" s="38" t="str">
        <f>IFERROR(__xludf.DUMMYFUNCTION("REGEXREPLACE(C18770,""-\d+(.*)|--\d+(.*)"","""")"),"CAMPUGNAN")</f>
        <v>CAMPUGNAN</v>
      </c>
      <c r="E18770" s="38" t="s">
        <v>462</v>
      </c>
      <c r="F18770" s="38" t="s">
        <v>252</v>
      </c>
      <c r="G18770" s="49" t="str">
        <f t="shared" si="1"/>
        <v>33390</v>
      </c>
      <c r="H18770" s="49">
        <f t="shared" si="2"/>
        <v>33089</v>
      </c>
    </row>
    <row r="18771">
      <c r="A18771" s="48" t="s">
        <v>6825</v>
      </c>
      <c r="B18771" s="38">
        <v>14726.0</v>
      </c>
      <c r="C18771" s="38" t="s">
        <v>23230</v>
      </c>
      <c r="D18771" s="38" t="str">
        <f>IFERROR(__xludf.DUMMYFUNCTION("REGEXREPLACE(C18771,""-\d+(.*)|--\d+(.*)"","""")"),"VASSY")</f>
        <v>VASSY</v>
      </c>
      <c r="E18771" s="38" t="s">
        <v>137</v>
      </c>
      <c r="F18771" s="38" t="s">
        <v>138</v>
      </c>
      <c r="G18771" s="49" t="str">
        <f t="shared" si="1"/>
        <v>14410</v>
      </c>
      <c r="H18771" s="49">
        <f t="shared" si="2"/>
        <v>14726</v>
      </c>
    </row>
    <row r="18772">
      <c r="A18772" s="48" t="s">
        <v>23231</v>
      </c>
      <c r="B18772" s="38">
        <v>63399.0</v>
      </c>
      <c r="C18772" s="38" t="s">
        <v>1346</v>
      </c>
      <c r="D18772" s="38" t="str">
        <f>IFERROR(__xludf.DUMMYFUNCTION("REGEXREPLACE(C18772,""-\d+(.*)|--\d+(.*)"","""")"),"SAINT-SULPICE")</f>
        <v>SAINT-SULPICE</v>
      </c>
      <c r="E18772" s="38" t="s">
        <v>353</v>
      </c>
      <c r="F18772" s="38" t="s">
        <v>161</v>
      </c>
      <c r="G18772" s="49" t="str">
        <f t="shared" si="1"/>
        <v>63760</v>
      </c>
      <c r="H18772" s="49">
        <f t="shared" si="2"/>
        <v>63399</v>
      </c>
    </row>
    <row r="18773">
      <c r="A18773" s="48" t="s">
        <v>1256</v>
      </c>
      <c r="B18773" s="38">
        <v>87052.0</v>
      </c>
      <c r="C18773" s="38" t="s">
        <v>23232</v>
      </c>
      <c r="D18773" s="38" t="str">
        <f>IFERROR(__xludf.DUMMYFUNCTION("REGEXREPLACE(C18773,""-\d+(.*)|--\d+(.*)"","""")"),"LA CROIX-SUR-GARTEMPE")</f>
        <v>LA CROIX-SUR-GARTEMPE</v>
      </c>
      <c r="E18773" s="38" t="s">
        <v>897</v>
      </c>
      <c r="F18773" s="38" t="s">
        <v>98</v>
      </c>
      <c r="G18773" s="49" t="str">
        <f t="shared" si="1"/>
        <v>87210</v>
      </c>
      <c r="H18773" s="49">
        <f t="shared" si="2"/>
        <v>87052</v>
      </c>
    </row>
    <row r="18774">
      <c r="A18774" s="48" t="s">
        <v>19006</v>
      </c>
      <c r="B18774" s="38">
        <v>51105.0</v>
      </c>
      <c r="C18774" s="38" t="s">
        <v>23233</v>
      </c>
      <c r="D18774" s="38" t="str">
        <f>IFERROR(__xludf.DUMMYFUNCTION("REGEXREPLACE(C18774,""-\d+(.*)|--\d+(.*)"","""")"),"CERNAY-LES-REIMS")</f>
        <v>CERNAY-LES-REIMS</v>
      </c>
      <c r="E18774" s="38" t="s">
        <v>129</v>
      </c>
      <c r="F18774" s="38" t="s">
        <v>130</v>
      </c>
      <c r="G18774" s="49" t="str">
        <f t="shared" si="1"/>
        <v>51420</v>
      </c>
      <c r="H18774" s="49">
        <f t="shared" si="2"/>
        <v>51105</v>
      </c>
    </row>
    <row r="18775">
      <c r="A18775" s="48" t="s">
        <v>23225</v>
      </c>
      <c r="B18775" s="38">
        <v>29136.0</v>
      </c>
      <c r="C18775" s="38" t="s">
        <v>23234</v>
      </c>
      <c r="D18775" s="38" t="str">
        <f>IFERROR(__xludf.DUMMYFUNCTION("REGEXREPLACE(C18775,""-\d+(.*)|--\d+(.*)"","""")"),"LOCUNOLE")</f>
        <v>LOCUNOLE</v>
      </c>
      <c r="E18775" s="38" t="s">
        <v>176</v>
      </c>
      <c r="F18775" s="38" t="s">
        <v>90</v>
      </c>
      <c r="G18775" s="49" t="str">
        <f t="shared" si="1"/>
        <v>29310</v>
      </c>
      <c r="H18775" s="49">
        <f t="shared" si="2"/>
        <v>29136</v>
      </c>
    </row>
    <row r="18776">
      <c r="A18776" s="48" t="s">
        <v>1151</v>
      </c>
      <c r="B18776" s="38">
        <v>58307.0</v>
      </c>
      <c r="C18776" s="38" t="s">
        <v>23235</v>
      </c>
      <c r="D18776" s="38" t="str">
        <f>IFERROR(__xludf.DUMMYFUNCTION("REGEXREPLACE(C18776,""-\d+(.*)|--\d+(.*)"","""")"),"VIELMANAY")</f>
        <v>VIELMANAY</v>
      </c>
      <c r="E18776" s="38" t="s">
        <v>219</v>
      </c>
      <c r="F18776" s="38" t="s">
        <v>106</v>
      </c>
      <c r="G18776" s="49" t="str">
        <f t="shared" si="1"/>
        <v>58150</v>
      </c>
      <c r="H18776" s="49">
        <f t="shared" si="2"/>
        <v>58307</v>
      </c>
    </row>
    <row r="18777">
      <c r="A18777" s="48" t="s">
        <v>4834</v>
      </c>
      <c r="B18777" s="38">
        <v>27021.0</v>
      </c>
      <c r="C18777" s="38" t="s">
        <v>23236</v>
      </c>
      <c r="D18777" s="38" t="str">
        <f>IFERROR(__xludf.DUMMYFUNCTION("REGEXREPLACE(C18777,""-\d+(.*)|--\d+(.*)"","""")"),"ASNIERES")</f>
        <v>ASNIERES</v>
      </c>
      <c r="E18777" s="38" t="s">
        <v>241</v>
      </c>
      <c r="F18777" s="38" t="s">
        <v>134</v>
      </c>
      <c r="G18777" s="49" t="str">
        <f t="shared" si="1"/>
        <v>27260</v>
      </c>
      <c r="H18777" s="49">
        <f t="shared" si="2"/>
        <v>27021</v>
      </c>
    </row>
    <row r="18778">
      <c r="A18778" s="48" t="s">
        <v>7048</v>
      </c>
      <c r="B18778" s="38">
        <v>71482.0</v>
      </c>
      <c r="C18778" s="38" t="s">
        <v>23237</v>
      </c>
      <c r="D18778" s="38" t="str">
        <f>IFERROR(__xludf.DUMMYFUNCTION("REGEXREPLACE(C18778,""-\d+(.*)|--\d+(.*)"","""")"),"SAINT-SYMPHORIEN-DE-MARMAGNE")</f>
        <v>SAINT-SYMPHORIEN-DE-MARMAGNE</v>
      </c>
      <c r="E18778" s="38" t="s">
        <v>344</v>
      </c>
      <c r="F18778" s="38" t="s">
        <v>106</v>
      </c>
      <c r="G18778" s="49" t="str">
        <f t="shared" si="1"/>
        <v>71710</v>
      </c>
      <c r="H18778" s="49">
        <f t="shared" si="2"/>
        <v>71482</v>
      </c>
    </row>
    <row r="18779">
      <c r="A18779" s="48" t="s">
        <v>6060</v>
      </c>
      <c r="B18779" s="38">
        <v>37271.0</v>
      </c>
      <c r="C18779" s="38" t="s">
        <v>23238</v>
      </c>
      <c r="D18779" s="38" t="str">
        <f>IFERROR(__xludf.DUMMYFUNCTION("REGEXREPLACE(C18779,""-\d+(.*)|--\d+(.*)"","""")"),"VILLAINES-LES-ROCHERS")</f>
        <v>VILLAINES-LES-ROCHERS</v>
      </c>
      <c r="E18779" s="38" t="s">
        <v>205</v>
      </c>
      <c r="F18779" s="38" t="s">
        <v>123</v>
      </c>
      <c r="G18779" s="49" t="str">
        <f t="shared" si="1"/>
        <v>37190</v>
      </c>
      <c r="H18779" s="49">
        <f t="shared" si="2"/>
        <v>37271</v>
      </c>
    </row>
    <row r="18780">
      <c r="A18780" s="48" t="s">
        <v>1132</v>
      </c>
      <c r="B18780" s="38">
        <v>2695.0</v>
      </c>
      <c r="C18780" s="38" t="s">
        <v>23239</v>
      </c>
      <c r="D18780" s="38" t="str">
        <f>IFERROR(__xludf.DUMMYFUNCTION("REGEXREPLACE(C18780,""-\d+(.*)|--\d+(.*)"","""")"),"SAINT-THIBAUT")</f>
        <v>SAINT-THIBAUT</v>
      </c>
      <c r="E18780" s="38" t="s">
        <v>191</v>
      </c>
      <c r="F18780" s="38" t="s">
        <v>113</v>
      </c>
      <c r="G18780" s="49" t="str">
        <f t="shared" si="1"/>
        <v>02220</v>
      </c>
      <c r="H18780" s="49" t="str">
        <f t="shared" si="2"/>
        <v>02695</v>
      </c>
    </row>
    <row r="18781">
      <c r="A18781" s="48" t="s">
        <v>13180</v>
      </c>
      <c r="B18781" s="38">
        <v>77101.0</v>
      </c>
      <c r="C18781" s="38" t="s">
        <v>23240</v>
      </c>
      <c r="D18781" s="38" t="str">
        <f>IFERROR(__xludf.DUMMYFUNCTION("REGEXREPLACE(C18781,""-\d+(.*)|--\d+(.*)"","""")"),"CHATENAY-SUR-SEINE")</f>
        <v>CHATENAY-SUR-SEINE</v>
      </c>
      <c r="E18781" s="38" t="s">
        <v>244</v>
      </c>
      <c r="F18781" s="38" t="s">
        <v>245</v>
      </c>
      <c r="G18781" s="49" t="str">
        <f t="shared" si="1"/>
        <v>77126</v>
      </c>
      <c r="H18781" s="49">
        <f t="shared" si="2"/>
        <v>77101</v>
      </c>
    </row>
    <row r="18782">
      <c r="A18782" s="48" t="s">
        <v>9262</v>
      </c>
      <c r="B18782" s="38">
        <v>16071.0</v>
      </c>
      <c r="C18782" s="38" t="s">
        <v>23241</v>
      </c>
      <c r="D18782" s="38" t="str">
        <f>IFERROR(__xludf.DUMMYFUNCTION("REGEXREPLACE(C18782,""-\d+(.*)|--\d+(.*)"","""")"),"CHABRAC")</f>
        <v>CHABRAC</v>
      </c>
      <c r="E18782" s="38" t="s">
        <v>429</v>
      </c>
      <c r="F18782" s="38" t="s">
        <v>338</v>
      </c>
      <c r="G18782" s="49" t="str">
        <f t="shared" si="1"/>
        <v>16150</v>
      </c>
      <c r="H18782" s="49">
        <f t="shared" si="2"/>
        <v>16071</v>
      </c>
    </row>
    <row r="18783">
      <c r="A18783" s="48" t="s">
        <v>6535</v>
      </c>
      <c r="B18783" s="38">
        <v>58021.0</v>
      </c>
      <c r="C18783" s="38" t="s">
        <v>23242</v>
      </c>
      <c r="D18783" s="38" t="str">
        <f>IFERROR(__xludf.DUMMYFUNCTION("REGEXREPLACE(C18783,""-\d+(.*)|--\d+(.*)"","""")"),"AZY-LE-VIF")</f>
        <v>AZY-LE-VIF</v>
      </c>
      <c r="E18783" s="38" t="s">
        <v>219</v>
      </c>
      <c r="F18783" s="38" t="s">
        <v>106</v>
      </c>
      <c r="G18783" s="49" t="str">
        <f t="shared" si="1"/>
        <v>58240</v>
      </c>
      <c r="H18783" s="49">
        <f t="shared" si="2"/>
        <v>58021</v>
      </c>
    </row>
    <row r="18784">
      <c r="A18784" s="48" t="s">
        <v>2387</v>
      </c>
      <c r="B18784" s="38">
        <v>42179.0</v>
      </c>
      <c r="C18784" s="38" t="s">
        <v>23243</v>
      </c>
      <c r="D18784" s="38" t="str">
        <f>IFERROR(__xludf.DUMMYFUNCTION("REGEXREPLACE(C18784,""-\d+(.*)|--\d+(.*)"","""")"),"PRALONG")</f>
        <v>PRALONG</v>
      </c>
      <c r="E18784" s="38" t="s">
        <v>166</v>
      </c>
      <c r="F18784" s="38" t="s">
        <v>102</v>
      </c>
      <c r="G18784" s="49" t="str">
        <f t="shared" si="1"/>
        <v>42600</v>
      </c>
      <c r="H18784" s="49">
        <f t="shared" si="2"/>
        <v>42179</v>
      </c>
    </row>
    <row r="18785">
      <c r="A18785" s="48" t="s">
        <v>1058</v>
      </c>
      <c r="B18785" s="38">
        <v>21474.0</v>
      </c>
      <c r="C18785" s="38" t="s">
        <v>23244</v>
      </c>
      <c r="D18785" s="38" t="str">
        <f>IFERROR(__xludf.DUMMYFUNCTION("REGEXREPLACE(C18785,""-\d+(.*)|--\d+(.*)"","""")"),"PAGNY-LA-VILLE")</f>
        <v>PAGNY-LA-VILLE</v>
      </c>
      <c r="E18785" s="38" t="s">
        <v>105</v>
      </c>
      <c r="F18785" s="38" t="s">
        <v>106</v>
      </c>
      <c r="G18785" s="49" t="str">
        <f t="shared" si="1"/>
        <v>21250</v>
      </c>
      <c r="H18785" s="49">
        <f t="shared" si="2"/>
        <v>21474</v>
      </c>
    </row>
    <row r="18786">
      <c r="A18786" s="48" t="s">
        <v>16765</v>
      </c>
      <c r="B18786" s="38">
        <v>76403.0</v>
      </c>
      <c r="C18786" s="38" t="s">
        <v>23245</v>
      </c>
      <c r="D18786" s="38" t="str">
        <f>IFERROR(__xludf.DUMMYFUNCTION("REGEXREPLACE(C18786,""-\d+(.*)|--\d+(.*)"","""")"),"MALLEVILLE-LES-GRES")</f>
        <v>MALLEVILLE-LES-GRES</v>
      </c>
      <c r="E18786" s="38" t="s">
        <v>133</v>
      </c>
      <c r="F18786" s="38" t="s">
        <v>134</v>
      </c>
      <c r="G18786" s="49" t="str">
        <f t="shared" si="1"/>
        <v>76450</v>
      </c>
      <c r="H18786" s="49">
        <f t="shared" si="2"/>
        <v>76403</v>
      </c>
    </row>
    <row r="18787">
      <c r="A18787" s="48" t="s">
        <v>1601</v>
      </c>
      <c r="B18787" s="38">
        <v>72235.0</v>
      </c>
      <c r="C18787" s="38" t="s">
        <v>23246</v>
      </c>
      <c r="D18787" s="38" t="str">
        <f>IFERROR(__xludf.DUMMYFUNCTION("REGEXREPLACE(C18787,""-\d+(.*)|--\d+(.*)"","""")"),"PIACE")</f>
        <v>PIACE</v>
      </c>
      <c r="E18787" s="38" t="s">
        <v>521</v>
      </c>
      <c r="F18787" s="38" t="s">
        <v>180</v>
      </c>
      <c r="G18787" s="49" t="str">
        <f t="shared" si="1"/>
        <v>72170</v>
      </c>
      <c r="H18787" s="49">
        <f t="shared" si="2"/>
        <v>72235</v>
      </c>
    </row>
    <row r="18788">
      <c r="A18788" s="48" t="s">
        <v>5364</v>
      </c>
      <c r="B18788" s="38">
        <v>35069.0</v>
      </c>
      <c r="C18788" s="38" t="s">
        <v>23247</v>
      </c>
      <c r="D18788" s="38" t="str">
        <f>IFERROR(__xludf.DUMMYFUNCTION("REGEXREPLACE(C18788,""-\d+(.*)|--\d+(.*)"","""")"),"CHATEAUGIRON")</f>
        <v>CHATEAUGIRON</v>
      </c>
      <c r="E18788" s="38" t="s">
        <v>347</v>
      </c>
      <c r="F18788" s="38" t="s">
        <v>90</v>
      </c>
      <c r="G18788" s="49" t="str">
        <f t="shared" si="1"/>
        <v>35410</v>
      </c>
      <c r="H18788" s="49">
        <f t="shared" si="2"/>
        <v>35069</v>
      </c>
    </row>
    <row r="18789">
      <c r="A18789" s="48" t="s">
        <v>6800</v>
      </c>
      <c r="B18789" s="38">
        <v>77482.0</v>
      </c>
      <c r="C18789" s="38" t="s">
        <v>23248</v>
      </c>
      <c r="D18789" s="38" t="str">
        <f>IFERROR(__xludf.DUMMYFUNCTION("REGEXREPLACE(C18789,""-\d+(.*)|--\d+(.*)"","""")"),"VARENNES-SUR-SEINE")</f>
        <v>VARENNES-SUR-SEINE</v>
      </c>
      <c r="E18789" s="38" t="s">
        <v>244</v>
      </c>
      <c r="F18789" s="38" t="s">
        <v>245</v>
      </c>
      <c r="G18789" s="49" t="str">
        <f t="shared" si="1"/>
        <v>77130</v>
      </c>
      <c r="H18789" s="49">
        <f t="shared" si="2"/>
        <v>77482</v>
      </c>
    </row>
    <row r="18790">
      <c r="A18790" s="48" t="s">
        <v>23108</v>
      </c>
      <c r="B18790" s="38">
        <v>67301.0</v>
      </c>
      <c r="C18790" s="38" t="s">
        <v>23249</v>
      </c>
      <c r="D18790" s="38" t="str">
        <f>IFERROR(__xludf.DUMMYFUNCTION("REGEXREPLACE(C18790,""-\d+(.*)|--\d+(.*)"","""")"),"MOMMENHEIM")</f>
        <v>MOMMENHEIM</v>
      </c>
      <c r="E18790" s="38" t="s">
        <v>210</v>
      </c>
      <c r="F18790" s="38" t="s">
        <v>151</v>
      </c>
      <c r="G18790" s="49" t="str">
        <f t="shared" si="1"/>
        <v>67670</v>
      </c>
      <c r="H18790" s="49">
        <f t="shared" si="2"/>
        <v>67301</v>
      </c>
    </row>
    <row r="18791">
      <c r="A18791" s="48" t="s">
        <v>1646</v>
      </c>
      <c r="B18791" s="38">
        <v>24094.0</v>
      </c>
      <c r="C18791" s="38" t="s">
        <v>23250</v>
      </c>
      <c r="D18791" s="38" t="str">
        <f>IFERROR(__xludf.DUMMYFUNCTION("REGEXREPLACE(C18791,""-\d+(.*)|--\d+(.*)"","""")"),"CHALAGNAC")</f>
        <v>CHALAGNAC</v>
      </c>
      <c r="E18791" s="38" t="s">
        <v>261</v>
      </c>
      <c r="F18791" s="38" t="s">
        <v>252</v>
      </c>
      <c r="G18791" s="49" t="str">
        <f t="shared" si="1"/>
        <v>24380</v>
      </c>
      <c r="H18791" s="49">
        <f t="shared" si="2"/>
        <v>24094</v>
      </c>
    </row>
    <row r="18792">
      <c r="A18792" s="48" t="s">
        <v>2042</v>
      </c>
      <c r="B18792" s="38">
        <v>80647.0</v>
      </c>
      <c r="C18792" s="38" t="s">
        <v>23251</v>
      </c>
      <c r="D18792" s="38" t="str">
        <f>IFERROR(__xludf.DUMMYFUNCTION("REGEXREPLACE(C18792,""-\d+(.*)|--\d+(.*)"","""")"),"PUZEAUX")</f>
        <v>PUZEAUX</v>
      </c>
      <c r="E18792" s="38" t="s">
        <v>224</v>
      </c>
      <c r="F18792" s="38" t="s">
        <v>113</v>
      </c>
      <c r="G18792" s="49" t="str">
        <f t="shared" si="1"/>
        <v>80320</v>
      </c>
      <c r="H18792" s="49">
        <f t="shared" si="2"/>
        <v>80647</v>
      </c>
    </row>
    <row r="18793">
      <c r="A18793" s="48" t="s">
        <v>2519</v>
      </c>
      <c r="B18793" s="38">
        <v>80403.0</v>
      </c>
      <c r="C18793" s="38" t="s">
        <v>23252</v>
      </c>
      <c r="D18793" s="38" t="str">
        <f>IFERROR(__xludf.DUMMYFUNCTION("REGEXREPLACE(C18793,""-\d+(.*)|--\d+(.*)"","""")"),"GUYENCOURT-SUR-NOYE")</f>
        <v>GUYENCOURT-SUR-NOYE</v>
      </c>
      <c r="E18793" s="38" t="s">
        <v>224</v>
      </c>
      <c r="F18793" s="38" t="s">
        <v>113</v>
      </c>
      <c r="G18793" s="49" t="str">
        <f t="shared" si="1"/>
        <v>80250</v>
      </c>
      <c r="H18793" s="49">
        <f t="shared" si="2"/>
        <v>80403</v>
      </c>
    </row>
    <row r="18794">
      <c r="A18794" s="48" t="s">
        <v>23253</v>
      </c>
      <c r="B18794" s="38">
        <v>68146.0</v>
      </c>
      <c r="C18794" s="38" t="s">
        <v>23254</v>
      </c>
      <c r="D18794" s="38" t="str">
        <f>IFERROR(__xludf.DUMMYFUNCTION("REGEXREPLACE(C18794,""-\d+(.*)|--\d+(.*)"","""")"),"HOUSSEN")</f>
        <v>HOUSSEN</v>
      </c>
      <c r="E18794" s="38" t="s">
        <v>150</v>
      </c>
      <c r="F18794" s="38" t="s">
        <v>151</v>
      </c>
      <c r="G18794" s="49" t="str">
        <f t="shared" si="1"/>
        <v>68125</v>
      </c>
      <c r="H18794" s="49">
        <f t="shared" si="2"/>
        <v>68146</v>
      </c>
    </row>
    <row r="18795">
      <c r="A18795" s="48" t="s">
        <v>1540</v>
      </c>
      <c r="B18795" s="38">
        <v>70516.0</v>
      </c>
      <c r="C18795" s="38" t="s">
        <v>23255</v>
      </c>
      <c r="D18795" s="38" t="str">
        <f>IFERROR(__xludf.DUMMYFUNCTION("REGEXREPLACE(C18795,""-\d+(.*)|--\d+(.*)"","""")"),"VALLEROIS-LE-BOIS")</f>
        <v>VALLEROIS-LE-BOIS</v>
      </c>
      <c r="E18795" s="38" t="s">
        <v>956</v>
      </c>
      <c r="F18795" s="38" t="s">
        <v>214</v>
      </c>
      <c r="G18795" s="49" t="str">
        <f t="shared" si="1"/>
        <v>70000</v>
      </c>
      <c r="H18795" s="49">
        <f t="shared" si="2"/>
        <v>70516</v>
      </c>
    </row>
    <row r="18796">
      <c r="A18796" s="48" t="s">
        <v>3759</v>
      </c>
      <c r="B18796" s="38">
        <v>17157.0</v>
      </c>
      <c r="C18796" s="38" t="s">
        <v>23256</v>
      </c>
      <c r="D18796" s="38" t="str">
        <f>IFERROR(__xludf.DUMMYFUNCTION("REGEXREPLACE(C18796,""-\d+(.*)|--\d+(.*)"","""")"),"FENIOUX")</f>
        <v>FENIOUX</v>
      </c>
      <c r="E18796" s="38" t="s">
        <v>488</v>
      </c>
      <c r="F18796" s="38" t="s">
        <v>338</v>
      </c>
      <c r="G18796" s="49" t="str">
        <f t="shared" si="1"/>
        <v>17350</v>
      </c>
      <c r="H18796" s="49">
        <f t="shared" si="2"/>
        <v>17157</v>
      </c>
    </row>
    <row r="18797">
      <c r="A18797" s="48" t="s">
        <v>167</v>
      </c>
      <c r="B18797" s="38">
        <v>34180.0</v>
      </c>
      <c r="C18797" s="38" t="s">
        <v>23257</v>
      </c>
      <c r="D18797" s="38" t="str">
        <f>IFERROR(__xludf.DUMMYFUNCTION("REGEXREPLACE(C18797,""-\d+(.*)|--\d+(.*)"","""")"),"NEBIAN")</f>
        <v>NEBIAN</v>
      </c>
      <c r="E18797" s="38" t="s">
        <v>118</v>
      </c>
      <c r="F18797" s="38" t="s">
        <v>119</v>
      </c>
      <c r="G18797" s="49" t="str">
        <f t="shared" si="1"/>
        <v>34800</v>
      </c>
      <c r="H18797" s="49">
        <f t="shared" si="2"/>
        <v>34180</v>
      </c>
    </row>
    <row r="18798">
      <c r="A18798" s="48" t="s">
        <v>10908</v>
      </c>
      <c r="B18798" s="38">
        <v>11277.0</v>
      </c>
      <c r="C18798" s="38" t="s">
        <v>23258</v>
      </c>
      <c r="D18798" s="38" t="str">
        <f>IFERROR(__xludf.DUMMYFUNCTION("REGEXREPLACE(C18798,""-\d+(.*)|--\d+(.*)"","""")"),"PECHARIC-ET-LE-PY")</f>
        <v>PECHARIC-ET-LE-PY</v>
      </c>
      <c r="E18798" s="38" t="s">
        <v>278</v>
      </c>
      <c r="F18798" s="38" t="s">
        <v>119</v>
      </c>
      <c r="G18798" s="49" t="str">
        <f t="shared" si="1"/>
        <v>11420</v>
      </c>
      <c r="H18798" s="49">
        <f t="shared" si="2"/>
        <v>11277</v>
      </c>
    </row>
    <row r="18799">
      <c r="A18799" s="48" t="s">
        <v>7161</v>
      </c>
      <c r="B18799" s="38">
        <v>17143.0</v>
      </c>
      <c r="C18799" s="38" t="s">
        <v>23259</v>
      </c>
      <c r="D18799" s="38" t="str">
        <f>IFERROR(__xludf.DUMMYFUNCTION("REGEXREPLACE(C18799,""-\d+(.*)|--\d+(.*)"","""")"),"LE DOUHET")</f>
        <v>LE DOUHET</v>
      </c>
      <c r="E18799" s="38" t="s">
        <v>488</v>
      </c>
      <c r="F18799" s="38" t="s">
        <v>338</v>
      </c>
      <c r="G18799" s="49" t="str">
        <f t="shared" si="1"/>
        <v>17100</v>
      </c>
      <c r="H18799" s="49">
        <f t="shared" si="2"/>
        <v>17143</v>
      </c>
    </row>
    <row r="18800">
      <c r="A18800" s="48" t="s">
        <v>4844</v>
      </c>
      <c r="B18800" s="38">
        <v>14268.0</v>
      </c>
      <c r="C18800" s="38" t="s">
        <v>23260</v>
      </c>
      <c r="D18800" s="38" t="str">
        <f>IFERROR(__xludf.DUMMYFUNCTION("REGEXREPLACE(C18800,""-\d+(.*)|--\d+(.*)"","""")"),"FIERVILLE-BRAY")</f>
        <v>FIERVILLE-BRAY</v>
      </c>
      <c r="E18800" s="38" t="s">
        <v>137</v>
      </c>
      <c r="F18800" s="38" t="s">
        <v>138</v>
      </c>
      <c r="G18800" s="49" t="str">
        <f t="shared" si="1"/>
        <v>14190</v>
      </c>
      <c r="H18800" s="49">
        <f t="shared" si="2"/>
        <v>14268</v>
      </c>
    </row>
    <row r="18801">
      <c r="A18801" s="48" t="s">
        <v>3539</v>
      </c>
      <c r="B18801" s="38">
        <v>54423.0</v>
      </c>
      <c r="C18801" s="38" t="s">
        <v>23261</v>
      </c>
      <c r="D18801" s="38" t="str">
        <f>IFERROR(__xludf.DUMMYFUNCTION("REGEXREPLACE(C18801,""-\d+(.*)|--\d+(.*)"","""")"),"PEXONNE")</f>
        <v>PEXONNE</v>
      </c>
      <c r="E18801" s="38" t="s">
        <v>548</v>
      </c>
      <c r="F18801" s="38" t="s">
        <v>195</v>
      </c>
      <c r="G18801" s="49" t="str">
        <f t="shared" si="1"/>
        <v>54540</v>
      </c>
      <c r="H18801" s="49">
        <f t="shared" si="2"/>
        <v>54423</v>
      </c>
    </row>
    <row r="18802">
      <c r="A18802" s="48" t="s">
        <v>23262</v>
      </c>
      <c r="B18802" s="38">
        <v>57593.0</v>
      </c>
      <c r="C18802" s="38" t="s">
        <v>23263</v>
      </c>
      <c r="D18802" s="38" t="str">
        <f>IFERROR(__xludf.DUMMYFUNCTION("REGEXREPLACE(C18802,""-\d+(.*)|--\d+(.*)"","""")"),"RONCOURT")</f>
        <v>RONCOURT</v>
      </c>
      <c r="E18802" s="38" t="s">
        <v>303</v>
      </c>
      <c r="F18802" s="38" t="s">
        <v>195</v>
      </c>
      <c r="G18802" s="49" t="str">
        <f t="shared" si="1"/>
        <v>57860</v>
      </c>
      <c r="H18802" s="49">
        <f t="shared" si="2"/>
        <v>57593</v>
      </c>
    </row>
    <row r="18803">
      <c r="A18803" s="48" t="s">
        <v>8616</v>
      </c>
      <c r="B18803" s="38">
        <v>2419.0</v>
      </c>
      <c r="C18803" s="38" t="s">
        <v>23264</v>
      </c>
      <c r="D18803" s="38" t="str">
        <f>IFERROR(__xludf.DUMMYFUNCTION("REGEXREPLACE(C18803,""-\d+(.*)|--\d+(.*)"","""")"),"LESCHELLE")</f>
        <v>LESCHELLE</v>
      </c>
      <c r="E18803" s="38" t="s">
        <v>191</v>
      </c>
      <c r="F18803" s="38" t="s">
        <v>113</v>
      </c>
      <c r="G18803" s="49" t="str">
        <f t="shared" si="1"/>
        <v>02170</v>
      </c>
      <c r="H18803" s="49" t="str">
        <f t="shared" si="2"/>
        <v>02419</v>
      </c>
    </row>
    <row r="18804">
      <c r="A18804" s="48" t="s">
        <v>7228</v>
      </c>
      <c r="B18804" s="38">
        <v>50064.0</v>
      </c>
      <c r="C18804" s="38" t="s">
        <v>23265</v>
      </c>
      <c r="D18804" s="38" t="str">
        <f>IFERROR(__xludf.DUMMYFUNCTION("REGEXREPLACE(C18804,""-\d+(.*)|--\d+(.*)"","""")"),"LA BONNEVILLE")</f>
        <v>LA BONNEVILLE</v>
      </c>
      <c r="E18804" s="38" t="s">
        <v>157</v>
      </c>
      <c r="F18804" s="38" t="s">
        <v>138</v>
      </c>
      <c r="G18804" s="49" t="str">
        <f t="shared" si="1"/>
        <v>50360</v>
      </c>
      <c r="H18804" s="49">
        <f t="shared" si="2"/>
        <v>50064</v>
      </c>
    </row>
    <row r="18805">
      <c r="A18805" s="48" t="s">
        <v>22790</v>
      </c>
      <c r="B18805" s="38">
        <v>64547.0</v>
      </c>
      <c r="C18805" s="38" t="s">
        <v>23266</v>
      </c>
      <c r="D18805" s="38" t="str">
        <f>IFERROR(__xludf.DUMMYFUNCTION("REGEXREPLACE(C18805,""-\d+(.*)|--\d+(.*)"","""")"),"USTARITZ")</f>
        <v>USTARITZ</v>
      </c>
      <c r="E18805" s="38" t="s">
        <v>268</v>
      </c>
      <c r="F18805" s="38" t="s">
        <v>252</v>
      </c>
      <c r="G18805" s="49" t="str">
        <f t="shared" si="1"/>
        <v>64480</v>
      </c>
      <c r="H18805" s="49">
        <f t="shared" si="2"/>
        <v>64547</v>
      </c>
    </row>
    <row r="18806">
      <c r="A18806" s="48" t="s">
        <v>2920</v>
      </c>
      <c r="B18806" s="38">
        <v>62220.0</v>
      </c>
      <c r="C18806" s="38" t="s">
        <v>23267</v>
      </c>
      <c r="D18806" s="38" t="str">
        <f>IFERROR(__xludf.DUMMYFUNCTION("REGEXREPLACE(C18806,""-\d+(.*)|--\d+(.*)"","""")"),"CAVRON-SAINT-MARTIN")</f>
        <v>CAVRON-SAINT-MARTIN</v>
      </c>
      <c r="E18806" s="38" t="s">
        <v>109</v>
      </c>
      <c r="F18806" s="38" t="s">
        <v>86</v>
      </c>
      <c r="G18806" s="49" t="str">
        <f t="shared" si="1"/>
        <v>62140</v>
      </c>
      <c r="H18806" s="49">
        <f t="shared" si="2"/>
        <v>62220</v>
      </c>
    </row>
    <row r="18807">
      <c r="A18807" s="48" t="s">
        <v>895</v>
      </c>
      <c r="B18807" s="38">
        <v>87193.0</v>
      </c>
      <c r="C18807" s="38" t="s">
        <v>23268</v>
      </c>
      <c r="D18807" s="38" t="str">
        <f>IFERROR(__xludf.DUMMYFUNCTION("REGEXREPLACE(C18807,""-\d+(.*)|--\d+(.*)"","""")"),"SURDOUX")</f>
        <v>SURDOUX</v>
      </c>
      <c r="E18807" s="38" t="s">
        <v>897</v>
      </c>
      <c r="F18807" s="38" t="s">
        <v>98</v>
      </c>
      <c r="G18807" s="49" t="str">
        <f t="shared" si="1"/>
        <v>87130</v>
      </c>
      <c r="H18807" s="49">
        <f t="shared" si="2"/>
        <v>87193</v>
      </c>
    </row>
    <row r="18808">
      <c r="A18808" s="48" t="s">
        <v>7487</v>
      </c>
      <c r="B18808" s="38">
        <v>62041.0</v>
      </c>
      <c r="C18808" s="38" t="s">
        <v>23269</v>
      </c>
      <c r="D18808" s="38" t="str">
        <f>IFERROR(__xludf.DUMMYFUNCTION("REGEXREPLACE(C18808,""-\d+(.*)|--\d+(.*)"","""")"),"ARRAS")</f>
        <v>ARRAS</v>
      </c>
      <c r="E18808" s="38" t="s">
        <v>109</v>
      </c>
      <c r="F18808" s="38" t="s">
        <v>86</v>
      </c>
      <c r="G18808" s="49" t="str">
        <f t="shared" si="1"/>
        <v>62000</v>
      </c>
      <c r="H18808" s="49">
        <f t="shared" si="2"/>
        <v>62041</v>
      </c>
    </row>
    <row r="18809">
      <c r="A18809" s="48" t="s">
        <v>1800</v>
      </c>
      <c r="B18809" s="38">
        <v>88077.0</v>
      </c>
      <c r="C18809" s="38" t="s">
        <v>23270</v>
      </c>
      <c r="D18809" s="38" t="str">
        <f>IFERROR(__xludf.DUMMYFUNCTION("REGEXREPLACE(C18809,""-\d+(.*)|--\d+(.*)"","""")"),"BRU")</f>
        <v>BRU</v>
      </c>
      <c r="E18809" s="38" t="s">
        <v>194</v>
      </c>
      <c r="F18809" s="38" t="s">
        <v>195</v>
      </c>
      <c r="G18809" s="49" t="str">
        <f t="shared" si="1"/>
        <v>88700</v>
      </c>
      <c r="H18809" s="49">
        <f t="shared" si="2"/>
        <v>88077</v>
      </c>
    </row>
    <row r="18810">
      <c r="A18810" s="48" t="s">
        <v>6743</v>
      </c>
      <c r="B18810" s="38">
        <v>53102.0</v>
      </c>
      <c r="C18810" s="38" t="s">
        <v>23271</v>
      </c>
      <c r="D18810" s="38" t="str">
        <f>IFERROR(__xludf.DUMMYFUNCTION("REGEXREPLACE(C18810,""-\d+(.*)|--\d+(.*)"","""")"),"GASTINES")</f>
        <v>GASTINES</v>
      </c>
      <c r="E18810" s="38" t="s">
        <v>518</v>
      </c>
      <c r="F18810" s="38" t="s">
        <v>180</v>
      </c>
      <c r="G18810" s="49" t="str">
        <f t="shared" si="1"/>
        <v>53540</v>
      </c>
      <c r="H18810" s="49">
        <f t="shared" si="2"/>
        <v>53102</v>
      </c>
    </row>
    <row r="18811">
      <c r="A18811" s="48" t="s">
        <v>3932</v>
      </c>
      <c r="B18811" s="38">
        <v>61462.0</v>
      </c>
      <c r="C18811" s="38" t="s">
        <v>23272</v>
      </c>
      <c r="D18811" s="38" t="str">
        <f>IFERROR(__xludf.DUMMYFUNCTION("REGEXREPLACE(C18811,""-\d+(.*)|--\d+(.*)"","""")"),"SARCEAUX")</f>
        <v>SARCEAUX</v>
      </c>
      <c r="E18811" s="38" t="s">
        <v>141</v>
      </c>
      <c r="F18811" s="38" t="s">
        <v>138</v>
      </c>
      <c r="G18811" s="49" t="str">
        <f t="shared" si="1"/>
        <v>61200</v>
      </c>
      <c r="H18811" s="49">
        <f t="shared" si="2"/>
        <v>61462</v>
      </c>
    </row>
    <row r="18812">
      <c r="A18812" s="48" t="s">
        <v>2213</v>
      </c>
      <c r="B18812" s="38">
        <v>59206.0</v>
      </c>
      <c r="C18812" s="38" t="s">
        <v>23273</v>
      </c>
      <c r="D18812" s="38" t="str">
        <f>IFERROR(__xludf.DUMMYFUNCTION("REGEXREPLACE(C18812,""-\d+(.*)|--\d+(.*)"","""")"),"ESCAUDOEUVRES")</f>
        <v>ESCAUDOEUVRES</v>
      </c>
      <c r="E18812" s="38" t="s">
        <v>85</v>
      </c>
      <c r="F18812" s="38" t="s">
        <v>86</v>
      </c>
      <c r="G18812" s="49" t="str">
        <f t="shared" si="1"/>
        <v>59161</v>
      </c>
      <c r="H18812" s="49">
        <f t="shared" si="2"/>
        <v>59206</v>
      </c>
    </row>
    <row r="18813">
      <c r="A18813" s="48" t="s">
        <v>2989</v>
      </c>
      <c r="B18813" s="38">
        <v>70326.0</v>
      </c>
      <c r="C18813" s="38" t="s">
        <v>23274</v>
      </c>
      <c r="D18813" s="38" t="str">
        <f>IFERROR(__xludf.DUMMYFUNCTION("REGEXREPLACE(C18813,""-\d+(.*)|--\d+(.*)"","""")"),"LA MALACHERE")</f>
        <v>LA MALACHERE</v>
      </c>
      <c r="E18813" s="38" t="s">
        <v>956</v>
      </c>
      <c r="F18813" s="38" t="s">
        <v>214</v>
      </c>
      <c r="G18813" s="49" t="str">
        <f t="shared" si="1"/>
        <v>70190</v>
      </c>
      <c r="H18813" s="49">
        <f t="shared" si="2"/>
        <v>70326</v>
      </c>
    </row>
    <row r="18814">
      <c r="A18814" s="48" t="s">
        <v>5503</v>
      </c>
      <c r="B18814" s="38">
        <v>78565.0</v>
      </c>
      <c r="C18814" s="38" t="s">
        <v>11682</v>
      </c>
      <c r="D18814" s="38" t="str">
        <f>IFERROR(__xludf.DUMMYFUNCTION("REGEXREPLACE(C18814,""-\d+(.*)|--\d+(.*)"","""")"),"SAINT-MARTIN-DES-CHAMPS")</f>
        <v>SAINT-MARTIN-DES-CHAMPS</v>
      </c>
      <c r="E18814" s="38" t="s">
        <v>362</v>
      </c>
      <c r="F18814" s="38" t="s">
        <v>245</v>
      </c>
      <c r="G18814" s="49" t="str">
        <f t="shared" si="1"/>
        <v>78790</v>
      </c>
      <c r="H18814" s="49">
        <f t="shared" si="2"/>
        <v>78565</v>
      </c>
    </row>
    <row r="18815">
      <c r="A18815" s="48" t="s">
        <v>3382</v>
      </c>
      <c r="B18815" s="38">
        <v>41009.0</v>
      </c>
      <c r="C18815" s="38" t="s">
        <v>23275</v>
      </c>
      <c r="D18815" s="38" t="str">
        <f>IFERROR(__xludf.DUMMYFUNCTION("REGEXREPLACE(C18815,""-\d+(.*)|--\d+(.*)"","""")"),"AVERDON")</f>
        <v>AVERDON</v>
      </c>
      <c r="E18815" s="38" t="s">
        <v>188</v>
      </c>
      <c r="F18815" s="38" t="s">
        <v>123</v>
      </c>
      <c r="G18815" s="49" t="str">
        <f t="shared" si="1"/>
        <v>41330</v>
      </c>
      <c r="H18815" s="49">
        <f t="shared" si="2"/>
        <v>41009</v>
      </c>
    </row>
    <row r="18816">
      <c r="A18816" s="48" t="s">
        <v>3404</v>
      </c>
      <c r="B18816" s="38">
        <v>39395.0</v>
      </c>
      <c r="C18816" s="38" t="s">
        <v>23276</v>
      </c>
      <c r="D18816" s="38" t="str">
        <f>IFERROR(__xludf.DUMMYFUNCTION("REGEXREPLACE(C18816,""-\d+(.*)|--\d+(.*)"","""")"),"ORBAGNA")</f>
        <v>ORBAGNA</v>
      </c>
      <c r="E18816" s="38" t="s">
        <v>400</v>
      </c>
      <c r="F18816" s="38" t="s">
        <v>214</v>
      </c>
      <c r="G18816" s="49" t="str">
        <f t="shared" si="1"/>
        <v>39190</v>
      </c>
      <c r="H18816" s="49">
        <f t="shared" si="2"/>
        <v>39395</v>
      </c>
    </row>
    <row r="18817">
      <c r="A18817" s="48" t="s">
        <v>23277</v>
      </c>
      <c r="B18817" s="38">
        <v>7075.0</v>
      </c>
      <c r="C18817" s="38" t="s">
        <v>23278</v>
      </c>
      <c r="D18817" s="38" t="str">
        <f>IFERROR(__xludf.DUMMYFUNCTION("REGEXREPLACE(C18817,""-\d+(.*)|--\d+(.*)"","""")"),"CROS-DE-GEORAND")</f>
        <v>CROS-DE-GEORAND</v>
      </c>
      <c r="E18817" s="38" t="s">
        <v>144</v>
      </c>
      <c r="F18817" s="38" t="s">
        <v>102</v>
      </c>
      <c r="G18817" s="49" t="str">
        <f t="shared" si="1"/>
        <v>07630</v>
      </c>
      <c r="H18817" s="49" t="str">
        <f t="shared" si="2"/>
        <v>07075</v>
      </c>
    </row>
    <row r="18818">
      <c r="A18818" s="48" t="s">
        <v>3198</v>
      </c>
      <c r="B18818" s="38">
        <v>32332.0</v>
      </c>
      <c r="C18818" s="38" t="s">
        <v>23279</v>
      </c>
      <c r="D18818" s="38" t="str">
        <f>IFERROR(__xludf.DUMMYFUNCTION("REGEXREPLACE(C18818,""-\d+(.*)|--\d+(.*)"","""")"),"PRENERON")</f>
        <v>PRENERON</v>
      </c>
      <c r="E18818" s="38" t="s">
        <v>440</v>
      </c>
      <c r="F18818" s="38" t="s">
        <v>94</v>
      </c>
      <c r="G18818" s="49" t="str">
        <f t="shared" si="1"/>
        <v>32190</v>
      </c>
      <c r="H18818" s="49">
        <f t="shared" si="2"/>
        <v>32332</v>
      </c>
    </row>
    <row r="18819">
      <c r="A18819" s="48" t="s">
        <v>4650</v>
      </c>
      <c r="B18819" s="38">
        <v>47096.0</v>
      </c>
      <c r="C18819" s="38" t="s">
        <v>23280</v>
      </c>
      <c r="D18819" s="38" t="str">
        <f>IFERROR(__xludf.DUMMYFUNCTION("REGEXREPLACE(C18819,""-\d+(.*)|--\d+(.*)"","""")"),"FERRENSAC")</f>
        <v>FERRENSAC</v>
      </c>
      <c r="E18819" s="38" t="s">
        <v>251</v>
      </c>
      <c r="F18819" s="38" t="s">
        <v>252</v>
      </c>
      <c r="G18819" s="49" t="str">
        <f t="shared" si="1"/>
        <v>47330</v>
      </c>
      <c r="H18819" s="49">
        <f t="shared" si="2"/>
        <v>47096</v>
      </c>
    </row>
    <row r="18820">
      <c r="A18820" s="48" t="s">
        <v>14017</v>
      </c>
      <c r="B18820" s="38">
        <v>23089.0</v>
      </c>
      <c r="C18820" s="38" t="s">
        <v>7613</v>
      </c>
      <c r="D18820" s="38" t="str">
        <f>IFERROR(__xludf.DUMMYFUNCTION("REGEXREPLACE(C18820,""-\d+(.*)|--\d+(.*)"","""")"),"GENOUILLAC")</f>
        <v>GENOUILLAC</v>
      </c>
      <c r="E18820" s="38" t="s">
        <v>97</v>
      </c>
      <c r="F18820" s="38" t="s">
        <v>98</v>
      </c>
      <c r="G18820" s="49" t="str">
        <f t="shared" si="1"/>
        <v>23350</v>
      </c>
      <c r="H18820" s="49">
        <f t="shared" si="2"/>
        <v>23089</v>
      </c>
    </row>
    <row r="18821">
      <c r="A18821" s="48" t="s">
        <v>5262</v>
      </c>
      <c r="B18821" s="38">
        <v>15007.0</v>
      </c>
      <c r="C18821" s="38" t="s">
        <v>23281</v>
      </c>
      <c r="D18821" s="38" t="str">
        <f>IFERROR(__xludf.DUMMYFUNCTION("REGEXREPLACE(C18821,""-\d+(.*)|--\d+(.*)"","""")"),"ANTERRIEUX")</f>
        <v>ANTERRIEUX</v>
      </c>
      <c r="E18821" s="38" t="s">
        <v>632</v>
      </c>
      <c r="F18821" s="38" t="s">
        <v>161</v>
      </c>
      <c r="G18821" s="49" t="str">
        <f t="shared" si="1"/>
        <v>15110</v>
      </c>
      <c r="H18821" s="49">
        <f t="shared" si="2"/>
        <v>15007</v>
      </c>
    </row>
    <row r="18822">
      <c r="A18822" s="48" t="s">
        <v>8865</v>
      </c>
      <c r="B18822" s="38">
        <v>42306.0</v>
      </c>
      <c r="C18822" s="38" t="s">
        <v>23282</v>
      </c>
      <c r="D18822" s="38" t="str">
        <f>IFERROR(__xludf.DUMMYFUNCTION("REGEXREPLACE(C18822,""-\d+(.*)|--\d+(.*)"","""")"),"TARENTAISE")</f>
        <v>TARENTAISE</v>
      </c>
      <c r="E18822" s="38" t="s">
        <v>166</v>
      </c>
      <c r="F18822" s="38" t="s">
        <v>102</v>
      </c>
      <c r="G18822" s="49" t="str">
        <f t="shared" si="1"/>
        <v>42660</v>
      </c>
      <c r="H18822" s="49">
        <f t="shared" si="2"/>
        <v>42306</v>
      </c>
    </row>
    <row r="18823">
      <c r="A18823" s="48" t="s">
        <v>23283</v>
      </c>
      <c r="B18823" s="38">
        <v>42123.0</v>
      </c>
      <c r="C18823" s="38" t="s">
        <v>23284</v>
      </c>
      <c r="D18823" s="38" t="str">
        <f>IFERROR(__xludf.DUMMYFUNCTION("REGEXREPLACE(C18823,""-\d+(.*)|--\d+(.*)"","""")"),"LORETTE")</f>
        <v>LORETTE</v>
      </c>
      <c r="E18823" s="38" t="s">
        <v>166</v>
      </c>
      <c r="F18823" s="38" t="s">
        <v>102</v>
      </c>
      <c r="G18823" s="49" t="str">
        <f t="shared" si="1"/>
        <v>42420</v>
      </c>
      <c r="H18823" s="49">
        <f t="shared" si="2"/>
        <v>42123</v>
      </c>
    </row>
    <row r="18824">
      <c r="A18824" s="48" t="s">
        <v>2668</v>
      </c>
      <c r="B18824" s="38">
        <v>55365.0</v>
      </c>
      <c r="C18824" s="38" t="s">
        <v>23285</v>
      </c>
      <c r="D18824" s="38" t="str">
        <f>IFERROR(__xludf.DUMMYFUNCTION("REGEXREPLACE(C18824,""-\d+(.*)|--\d+(.*)"","""")"),"MURVAUX")</f>
        <v>MURVAUX</v>
      </c>
      <c r="E18824" s="38" t="s">
        <v>322</v>
      </c>
      <c r="F18824" s="38" t="s">
        <v>195</v>
      </c>
      <c r="G18824" s="49" t="str">
        <f t="shared" si="1"/>
        <v>55110</v>
      </c>
      <c r="H18824" s="49">
        <f t="shared" si="2"/>
        <v>55365</v>
      </c>
    </row>
    <row r="18825">
      <c r="A18825" s="48" t="s">
        <v>8059</v>
      </c>
      <c r="B18825" s="38">
        <v>70522.0</v>
      </c>
      <c r="C18825" s="38" t="s">
        <v>23286</v>
      </c>
      <c r="D18825" s="38" t="str">
        <f>IFERROR(__xludf.DUMMYFUNCTION("REGEXREPLACE(C18825,""-\d+(.*)|--\d+(.*)"","""")"),"VAROGNE")</f>
        <v>VAROGNE</v>
      </c>
      <c r="E18825" s="38" t="s">
        <v>956</v>
      </c>
      <c r="F18825" s="38" t="s">
        <v>214</v>
      </c>
      <c r="G18825" s="49" t="str">
        <f t="shared" si="1"/>
        <v>70240</v>
      </c>
      <c r="H18825" s="49">
        <f t="shared" si="2"/>
        <v>70522</v>
      </c>
    </row>
    <row r="18826">
      <c r="A18826" s="48" t="s">
        <v>721</v>
      </c>
      <c r="B18826" s="38">
        <v>14063.0</v>
      </c>
      <c r="C18826" s="38" t="s">
        <v>23287</v>
      </c>
      <c r="D18826" s="38" t="str">
        <f>IFERROR(__xludf.DUMMYFUNCTION("REGEXREPLACE(C18826,""-\d+(.*)|--\d+(.*)"","""")"),"BERNESQ")</f>
        <v>BERNESQ</v>
      </c>
      <c r="E18826" s="38" t="s">
        <v>137</v>
      </c>
      <c r="F18826" s="38" t="s">
        <v>138</v>
      </c>
      <c r="G18826" s="49" t="str">
        <f t="shared" si="1"/>
        <v>14710</v>
      </c>
      <c r="H18826" s="49">
        <f t="shared" si="2"/>
        <v>14063</v>
      </c>
    </row>
    <row r="18827">
      <c r="A18827" s="48" t="s">
        <v>954</v>
      </c>
      <c r="B18827" s="38">
        <v>70105.0</v>
      </c>
      <c r="C18827" s="38" t="s">
        <v>23288</v>
      </c>
      <c r="D18827" s="38" t="str">
        <f>IFERROR(__xludf.DUMMYFUNCTION("REGEXREPLACE(C18827,""-\d+(.*)|--\d+(.*)"","""")"),"BUCEY-LES-TRAVES")</f>
        <v>BUCEY-LES-TRAVES</v>
      </c>
      <c r="E18827" s="38" t="s">
        <v>956</v>
      </c>
      <c r="F18827" s="38" t="s">
        <v>214</v>
      </c>
      <c r="G18827" s="49" t="str">
        <f t="shared" si="1"/>
        <v>70360</v>
      </c>
      <c r="H18827" s="49">
        <f t="shared" si="2"/>
        <v>70105</v>
      </c>
    </row>
    <row r="18828">
      <c r="A18828" s="48" t="s">
        <v>8080</v>
      </c>
      <c r="B18828" s="38" t="s">
        <v>23289</v>
      </c>
      <c r="C18828" s="38" t="s">
        <v>23174</v>
      </c>
      <c r="D18828" s="38" t="str">
        <f>IFERROR(__xludf.DUMMYFUNCTION("REGEXREPLACE(C18828,""-\d+(.*)|--\d+(.*)"","""")"),"SAINT-FLORENT")</f>
        <v>SAINT-FLORENT</v>
      </c>
      <c r="E18828" s="38" t="s">
        <v>743</v>
      </c>
      <c r="F18828" s="38" t="s">
        <v>607</v>
      </c>
      <c r="G18828" s="49" t="str">
        <f t="shared" si="1"/>
        <v>20217</v>
      </c>
      <c r="H18828" s="49" t="str">
        <f t="shared" si="2"/>
        <v>2B298</v>
      </c>
    </row>
    <row r="18829">
      <c r="A18829" s="48" t="s">
        <v>3506</v>
      </c>
      <c r="B18829" s="38">
        <v>16263.0</v>
      </c>
      <c r="C18829" s="38" t="s">
        <v>23290</v>
      </c>
      <c r="D18829" s="38" t="str">
        <f>IFERROR(__xludf.DUMMYFUNCTION("REGEXREPLACE(C18829,""-\d+(.*)|--\d+(.*)"","""")"),"PLASSAC-ROUFFIAC")</f>
        <v>PLASSAC-ROUFFIAC</v>
      </c>
      <c r="E18829" s="38" t="s">
        <v>429</v>
      </c>
      <c r="F18829" s="38" t="s">
        <v>338</v>
      </c>
      <c r="G18829" s="49" t="str">
        <f t="shared" si="1"/>
        <v>16250</v>
      </c>
      <c r="H18829" s="49">
        <f t="shared" si="2"/>
        <v>16263</v>
      </c>
    </row>
    <row r="18830">
      <c r="A18830" s="48" t="s">
        <v>13077</v>
      </c>
      <c r="B18830" s="38">
        <v>3246.0</v>
      </c>
      <c r="C18830" s="38" t="s">
        <v>23291</v>
      </c>
      <c r="D18830" s="38" t="str">
        <f>IFERROR(__xludf.DUMMYFUNCTION("REGEXREPLACE(C18830,""-\d+(.*)|--\d+(.*)"","""")"),"SAINT-MARTINIEN")</f>
        <v>SAINT-MARTINIEN</v>
      </c>
      <c r="E18830" s="38" t="s">
        <v>160</v>
      </c>
      <c r="F18830" s="38" t="s">
        <v>161</v>
      </c>
      <c r="G18830" s="49" t="str">
        <f t="shared" si="1"/>
        <v>03380</v>
      </c>
      <c r="H18830" s="49" t="str">
        <f t="shared" si="2"/>
        <v>03246</v>
      </c>
    </row>
    <row r="18831">
      <c r="A18831" s="48" t="s">
        <v>1475</v>
      </c>
      <c r="B18831" s="38">
        <v>50056.0</v>
      </c>
      <c r="C18831" s="38" t="s">
        <v>23292</v>
      </c>
      <c r="D18831" s="38" t="str">
        <f>IFERROR(__xludf.DUMMYFUNCTION("REGEXREPLACE(C18831,""-\d+(.*)|--\d+(.*)"","""")"),"BION")</f>
        <v>BION</v>
      </c>
      <c r="E18831" s="38" t="s">
        <v>157</v>
      </c>
      <c r="F18831" s="38" t="s">
        <v>138</v>
      </c>
      <c r="G18831" s="49" t="str">
        <f t="shared" si="1"/>
        <v>50140</v>
      </c>
      <c r="H18831" s="49">
        <f t="shared" si="2"/>
        <v>50056</v>
      </c>
    </row>
    <row r="18832">
      <c r="A18832" s="48" t="s">
        <v>9028</v>
      </c>
      <c r="B18832" s="38">
        <v>65142.0</v>
      </c>
      <c r="C18832" s="38" t="s">
        <v>23293</v>
      </c>
      <c r="D18832" s="38" t="str">
        <f>IFERROR(__xludf.DUMMYFUNCTION("REGEXREPLACE(C18832,""-\d+(.*)|--\d+(.*)"","""")"),"CHELLE-DEBAT")</f>
        <v>CHELLE-DEBAT</v>
      </c>
      <c r="E18832" s="38" t="s">
        <v>200</v>
      </c>
      <c r="F18832" s="38" t="s">
        <v>94</v>
      </c>
      <c r="G18832" s="49" t="str">
        <f t="shared" si="1"/>
        <v>65350</v>
      </c>
      <c r="H18832" s="49">
        <f t="shared" si="2"/>
        <v>65142</v>
      </c>
    </row>
    <row r="18833">
      <c r="A18833" s="48" t="s">
        <v>22573</v>
      </c>
      <c r="B18833" s="38">
        <v>18114.0</v>
      </c>
      <c r="C18833" s="38" t="s">
        <v>23294</v>
      </c>
      <c r="D18833" s="38" t="str">
        <f>IFERROR(__xludf.DUMMYFUNCTION("REGEXREPLACE(C18833,""-\d+(.*)|--\d+(.*)"","""")"),"INEUIL")</f>
        <v>INEUIL</v>
      </c>
      <c r="E18833" s="38" t="s">
        <v>504</v>
      </c>
      <c r="F18833" s="38" t="s">
        <v>123</v>
      </c>
      <c r="G18833" s="49" t="str">
        <f t="shared" si="1"/>
        <v>18160</v>
      </c>
      <c r="H18833" s="49">
        <f t="shared" si="2"/>
        <v>18114</v>
      </c>
    </row>
    <row r="18834">
      <c r="A18834" s="48" t="s">
        <v>1779</v>
      </c>
      <c r="B18834" s="38">
        <v>90083.0</v>
      </c>
      <c r="C18834" s="38" t="s">
        <v>23295</v>
      </c>
      <c r="D18834" s="38" t="str">
        <f>IFERROR(__xludf.DUMMYFUNCTION("REGEXREPLACE(C18834,""-\d+(.*)|--\d+(.*)"","""")"),"RECOUVRANCE")</f>
        <v>RECOUVRANCE</v>
      </c>
      <c r="E18834" s="38" t="s">
        <v>1283</v>
      </c>
      <c r="F18834" s="38" t="s">
        <v>214</v>
      </c>
      <c r="G18834" s="49" t="str">
        <f t="shared" si="1"/>
        <v>90140</v>
      </c>
      <c r="H18834" s="49">
        <f t="shared" si="2"/>
        <v>90083</v>
      </c>
    </row>
    <row r="18835">
      <c r="A18835" s="48" t="s">
        <v>6736</v>
      </c>
      <c r="B18835" s="38">
        <v>31437.0</v>
      </c>
      <c r="C18835" s="38" t="s">
        <v>23296</v>
      </c>
      <c r="D18835" s="38" t="str">
        <f>IFERROR(__xludf.DUMMYFUNCTION("REGEXREPLACE(C18835,""-\d+(.*)|--\d+(.*)"","""")"),"POUZE")</f>
        <v>POUZE</v>
      </c>
      <c r="E18835" s="38" t="s">
        <v>93</v>
      </c>
      <c r="F18835" s="38" t="s">
        <v>94</v>
      </c>
      <c r="G18835" s="49" t="str">
        <f t="shared" si="1"/>
        <v>31450</v>
      </c>
      <c r="H18835" s="49">
        <f t="shared" si="2"/>
        <v>31437</v>
      </c>
    </row>
    <row r="18836">
      <c r="A18836" s="48" t="s">
        <v>2103</v>
      </c>
      <c r="B18836" s="38">
        <v>54116.0</v>
      </c>
      <c r="C18836" s="38" t="s">
        <v>23297</v>
      </c>
      <c r="D18836" s="38" t="str">
        <f>IFERROR(__xludf.DUMMYFUNCTION("REGEXREPLACE(C18836,""-\d+(.*)|--\d+(.*)"","""")"),"CHANTEHEUX")</f>
        <v>CHANTEHEUX</v>
      </c>
      <c r="E18836" s="38" t="s">
        <v>548</v>
      </c>
      <c r="F18836" s="38" t="s">
        <v>195</v>
      </c>
      <c r="G18836" s="49" t="str">
        <f t="shared" si="1"/>
        <v>54300</v>
      </c>
      <c r="H18836" s="49">
        <f t="shared" si="2"/>
        <v>54116</v>
      </c>
    </row>
    <row r="18837">
      <c r="A18837" s="48" t="s">
        <v>23298</v>
      </c>
      <c r="B18837" s="38">
        <v>87076.0</v>
      </c>
      <c r="C18837" s="38" t="s">
        <v>23299</v>
      </c>
      <c r="D18837" s="38" t="str">
        <f>IFERROR(__xludf.DUMMYFUNCTION("REGEXREPLACE(C18837,""-\d+(.*)|--\d+(.*)"","""")"),"JABREILLES-LES-BORDES")</f>
        <v>JABREILLES-LES-BORDES</v>
      </c>
      <c r="E18837" s="38" t="s">
        <v>897</v>
      </c>
      <c r="F18837" s="38" t="s">
        <v>98</v>
      </c>
      <c r="G18837" s="49" t="str">
        <f t="shared" si="1"/>
        <v>87370</v>
      </c>
      <c r="H18837" s="49">
        <f t="shared" si="2"/>
        <v>87076</v>
      </c>
    </row>
    <row r="18838">
      <c r="A18838" s="48" t="s">
        <v>2893</v>
      </c>
      <c r="B18838" s="38">
        <v>27271.0</v>
      </c>
      <c r="C18838" s="38" t="s">
        <v>23300</v>
      </c>
      <c r="D18838" s="38" t="str">
        <f>IFERROR(__xludf.DUMMYFUNCTION("REGEXREPLACE(C18838,""-\d+(.*)|--\d+(.*)"","""")"),"FRESNEY")</f>
        <v>FRESNEY</v>
      </c>
      <c r="E18838" s="38" t="s">
        <v>241</v>
      </c>
      <c r="F18838" s="38" t="s">
        <v>134</v>
      </c>
      <c r="G18838" s="49" t="str">
        <f t="shared" si="1"/>
        <v>27220</v>
      </c>
      <c r="H18838" s="49">
        <f t="shared" si="2"/>
        <v>27271</v>
      </c>
    </row>
    <row r="18839">
      <c r="A18839" s="48" t="s">
        <v>3335</v>
      </c>
      <c r="B18839" s="38">
        <v>53115.0</v>
      </c>
      <c r="C18839" s="38" t="s">
        <v>23301</v>
      </c>
      <c r="D18839" s="38" t="str">
        <f>IFERROR(__xludf.DUMMYFUNCTION("REGEXREPLACE(C18839,""-\d+(.*)|--\d+(.*)"","""")"),"HERCE")</f>
        <v>HERCE</v>
      </c>
      <c r="E18839" s="38" t="s">
        <v>518</v>
      </c>
      <c r="F18839" s="38" t="s">
        <v>180</v>
      </c>
      <c r="G18839" s="49" t="str">
        <f t="shared" si="1"/>
        <v>53120</v>
      </c>
      <c r="H18839" s="49">
        <f t="shared" si="2"/>
        <v>53115</v>
      </c>
    </row>
    <row r="18840">
      <c r="A18840" s="48" t="s">
        <v>1060</v>
      </c>
      <c r="B18840" s="38">
        <v>57154.0</v>
      </c>
      <c r="C18840" s="38" t="s">
        <v>23302</v>
      </c>
      <c r="D18840" s="38" t="str">
        <f>IFERROR(__xludf.DUMMYFUNCTION("REGEXREPLACE(C18840,""-\d+(.*)|--\d+(.*)"","""")"),"COUME")</f>
        <v>COUME</v>
      </c>
      <c r="E18840" s="38" t="s">
        <v>303</v>
      </c>
      <c r="F18840" s="38" t="s">
        <v>195</v>
      </c>
      <c r="G18840" s="49" t="str">
        <f t="shared" si="1"/>
        <v>57220</v>
      </c>
      <c r="H18840" s="49">
        <f t="shared" si="2"/>
        <v>57154</v>
      </c>
    </row>
    <row r="18841">
      <c r="A18841" s="48" t="s">
        <v>849</v>
      </c>
      <c r="B18841" s="38">
        <v>51144.0</v>
      </c>
      <c r="C18841" s="38" t="s">
        <v>23303</v>
      </c>
      <c r="D18841" s="38" t="str">
        <f>IFERROR(__xludf.DUMMYFUNCTION("REGEXREPLACE(C18841,""-\d+(.*)|--\d+(.*)"","""")"),"CHEMINON")</f>
        <v>CHEMINON</v>
      </c>
      <c r="E18841" s="38" t="s">
        <v>129</v>
      </c>
      <c r="F18841" s="38" t="s">
        <v>130</v>
      </c>
      <c r="G18841" s="49" t="str">
        <f t="shared" si="1"/>
        <v>51250</v>
      </c>
      <c r="H18841" s="49">
        <f t="shared" si="2"/>
        <v>51144</v>
      </c>
    </row>
    <row r="18842">
      <c r="A18842" s="48" t="s">
        <v>553</v>
      </c>
      <c r="B18842" s="38">
        <v>85172.0</v>
      </c>
      <c r="C18842" s="38" t="s">
        <v>23304</v>
      </c>
      <c r="D18842" s="38" t="str">
        <f>IFERROR(__xludf.DUMMYFUNCTION("REGEXREPLACE(C18842,""-\d+(.*)|--\d+(.*)"","""")"),"LE PERRIER")</f>
        <v>LE PERRIER</v>
      </c>
      <c r="E18842" s="38" t="s">
        <v>179</v>
      </c>
      <c r="F18842" s="38" t="s">
        <v>180</v>
      </c>
      <c r="G18842" s="49" t="str">
        <f t="shared" si="1"/>
        <v>85300</v>
      </c>
      <c r="H18842" s="49">
        <f t="shared" si="2"/>
        <v>85172</v>
      </c>
    </row>
    <row r="18843">
      <c r="A18843" s="48" t="s">
        <v>454</v>
      </c>
      <c r="B18843" s="38">
        <v>71028.0</v>
      </c>
      <c r="C18843" s="38" t="s">
        <v>23305</v>
      </c>
      <c r="D18843" s="38" t="str">
        <f>IFERROR(__xludf.DUMMYFUNCTION("REGEXREPLACE(C18843,""-\d+(.*)|--\d+(.*)"","""")"),"BEAUVERNOIS")</f>
        <v>BEAUVERNOIS</v>
      </c>
      <c r="E18843" s="38" t="s">
        <v>344</v>
      </c>
      <c r="F18843" s="38" t="s">
        <v>106</v>
      </c>
      <c r="G18843" s="49" t="str">
        <f t="shared" si="1"/>
        <v>71270</v>
      </c>
      <c r="H18843" s="49">
        <f t="shared" si="2"/>
        <v>71028</v>
      </c>
    </row>
    <row r="18844">
      <c r="A18844" s="48" t="s">
        <v>12589</v>
      </c>
      <c r="B18844" s="38">
        <v>1057.0</v>
      </c>
      <c r="C18844" s="38" t="s">
        <v>23306</v>
      </c>
      <c r="D18844" s="38" t="str">
        <f>IFERROR(__xludf.DUMMYFUNCTION("REGEXREPLACE(C18844,""-\d+(.*)|--\d+(.*)"","""")"),"BOZ")</f>
        <v>BOZ</v>
      </c>
      <c r="E18844" s="38" t="s">
        <v>255</v>
      </c>
      <c r="F18844" s="38" t="s">
        <v>102</v>
      </c>
      <c r="G18844" s="49" t="str">
        <f t="shared" si="1"/>
        <v>01190</v>
      </c>
      <c r="H18844" s="49" t="str">
        <f t="shared" si="2"/>
        <v>01057</v>
      </c>
    </row>
    <row r="18845">
      <c r="A18845" s="48" t="s">
        <v>7512</v>
      </c>
      <c r="B18845" s="38">
        <v>35002.0</v>
      </c>
      <c r="C18845" s="38" t="s">
        <v>23307</v>
      </c>
      <c r="D18845" s="38" t="str">
        <f>IFERROR(__xludf.DUMMYFUNCTION("REGEXREPLACE(C18845,""-\d+(.*)|--\d+(.*)"","""")"),"AMANLIS")</f>
        <v>AMANLIS</v>
      </c>
      <c r="E18845" s="38" t="s">
        <v>347</v>
      </c>
      <c r="F18845" s="38" t="s">
        <v>90</v>
      </c>
      <c r="G18845" s="49" t="str">
        <f t="shared" si="1"/>
        <v>35150</v>
      </c>
      <c r="H18845" s="49">
        <f t="shared" si="2"/>
        <v>35002</v>
      </c>
    </row>
    <row r="18846">
      <c r="A18846" s="48" t="s">
        <v>1274</v>
      </c>
      <c r="B18846" s="38">
        <v>33169.0</v>
      </c>
      <c r="C18846" s="38" t="s">
        <v>23308</v>
      </c>
      <c r="D18846" s="38" t="str">
        <f>IFERROR(__xludf.DUMMYFUNCTION("REGEXREPLACE(C18846,""-\d+(.*)|--\d+(.*)"","""")"),"FLOUDES")</f>
        <v>FLOUDES</v>
      </c>
      <c r="E18846" s="38" t="s">
        <v>462</v>
      </c>
      <c r="F18846" s="38" t="s">
        <v>252</v>
      </c>
      <c r="G18846" s="49" t="str">
        <f t="shared" si="1"/>
        <v>33190</v>
      </c>
      <c r="H18846" s="49">
        <f t="shared" si="2"/>
        <v>33169</v>
      </c>
    </row>
    <row r="18847">
      <c r="A18847" s="48" t="s">
        <v>5743</v>
      </c>
      <c r="B18847" s="38">
        <v>52074.0</v>
      </c>
      <c r="C18847" s="38" t="s">
        <v>23309</v>
      </c>
      <c r="D18847" s="38" t="str">
        <f>IFERROR(__xludf.DUMMYFUNCTION("REGEXREPLACE(C18847,""-\d+(.*)|--\d+(.*)"","""")"),"BREUVANNES-EN-BASSIGNY")</f>
        <v>BREUVANNES-EN-BASSIGNY</v>
      </c>
      <c r="E18847" s="38" t="s">
        <v>234</v>
      </c>
      <c r="F18847" s="38" t="s">
        <v>130</v>
      </c>
      <c r="G18847" s="49" t="str">
        <f t="shared" si="1"/>
        <v>52240</v>
      </c>
      <c r="H18847" s="49">
        <f t="shared" si="2"/>
        <v>52074</v>
      </c>
    </row>
    <row r="18848">
      <c r="A18848" s="48" t="s">
        <v>12642</v>
      </c>
      <c r="B18848" s="38">
        <v>50524.0</v>
      </c>
      <c r="C18848" s="38" t="s">
        <v>23310</v>
      </c>
      <c r="D18848" s="38" t="str">
        <f>IFERROR(__xludf.DUMMYFUNCTION("REGEXREPLACE(C18848,""-\d+(.*)|--\d+(.*)"","""")"),"SAINT-MICHEL-DE-LA-PIERRE")</f>
        <v>SAINT-MICHEL-DE-LA-PIERRE</v>
      </c>
      <c r="E18848" s="38" t="s">
        <v>157</v>
      </c>
      <c r="F18848" s="38" t="s">
        <v>138</v>
      </c>
      <c r="G18848" s="49" t="str">
        <f t="shared" si="1"/>
        <v>50490</v>
      </c>
      <c r="H18848" s="49">
        <f t="shared" si="2"/>
        <v>50524</v>
      </c>
    </row>
    <row r="18849">
      <c r="A18849" s="48" t="s">
        <v>5332</v>
      </c>
      <c r="B18849" s="38">
        <v>1187.0</v>
      </c>
      <c r="C18849" s="38" t="s">
        <v>23311</v>
      </c>
      <c r="D18849" s="38" t="str">
        <f>IFERROR(__xludf.DUMMYFUNCTION("REGEXREPLACE(C18849,""-\d+(.*)|--\d+(.*)"","""")"),"HOTONNES")</f>
        <v>HOTONNES</v>
      </c>
      <c r="E18849" s="38" t="s">
        <v>255</v>
      </c>
      <c r="F18849" s="38" t="s">
        <v>102</v>
      </c>
      <c r="G18849" s="49" t="str">
        <f t="shared" si="1"/>
        <v>01260</v>
      </c>
      <c r="H18849" s="49" t="str">
        <f t="shared" si="2"/>
        <v>01187</v>
      </c>
    </row>
    <row r="18850">
      <c r="A18850" s="48" t="s">
        <v>4605</v>
      </c>
      <c r="B18850" s="38">
        <v>39573.0</v>
      </c>
      <c r="C18850" s="38" t="s">
        <v>23312</v>
      </c>
      <c r="D18850" s="38" t="str">
        <f>IFERROR(__xludf.DUMMYFUNCTION("REGEXREPLACE(C18850,""-\d+(.*)|--\d+(.*)"","""")"),"VILLETTE-LES-DOLE")</f>
        <v>VILLETTE-LES-DOLE</v>
      </c>
      <c r="E18850" s="38" t="s">
        <v>400</v>
      </c>
      <c r="F18850" s="38" t="s">
        <v>214</v>
      </c>
      <c r="G18850" s="49" t="str">
        <f t="shared" si="1"/>
        <v>39100</v>
      </c>
      <c r="H18850" s="49">
        <f t="shared" si="2"/>
        <v>39573</v>
      </c>
    </row>
    <row r="18851">
      <c r="A18851" s="48" t="s">
        <v>12887</v>
      </c>
      <c r="B18851" s="38">
        <v>21585.0</v>
      </c>
      <c r="C18851" s="38" t="s">
        <v>23313</v>
      </c>
      <c r="D18851" s="38" t="str">
        <f>IFERROR(__xludf.DUMMYFUNCTION("REGEXREPLACE(C18851,""-\d+(.*)|--\d+(.*)"","""")"),"SAULON-LA-CHAPELLE")</f>
        <v>SAULON-LA-CHAPELLE</v>
      </c>
      <c r="E18851" s="38" t="s">
        <v>105</v>
      </c>
      <c r="F18851" s="38" t="s">
        <v>106</v>
      </c>
      <c r="G18851" s="49" t="str">
        <f t="shared" si="1"/>
        <v>21910</v>
      </c>
      <c r="H18851" s="49">
        <f t="shared" si="2"/>
        <v>21585</v>
      </c>
    </row>
    <row r="18852">
      <c r="A18852" s="48" t="s">
        <v>23314</v>
      </c>
      <c r="B18852" s="38">
        <v>97224.0</v>
      </c>
      <c r="C18852" s="38" t="s">
        <v>19485</v>
      </c>
      <c r="D18852" s="38" t="str">
        <f>IFERROR(__xludf.DUMMYFUNCTION("REGEXREPLACE(C18852,""-\d+(.*)|--\d+(.*)"","""")"),"SAINT-JOSEPH")</f>
        <v>SAINT-JOSEPH</v>
      </c>
      <c r="E18852" s="38" t="s">
        <v>2282</v>
      </c>
      <c r="F18852" s="38" t="s">
        <v>2282</v>
      </c>
      <c r="G18852" s="49" t="str">
        <f t="shared" si="1"/>
        <v>97212</v>
      </c>
      <c r="H18852" s="49">
        <f t="shared" si="2"/>
        <v>97224</v>
      </c>
    </row>
    <row r="18853">
      <c r="A18853" s="48" t="s">
        <v>6858</v>
      </c>
      <c r="B18853" s="38">
        <v>71287.0</v>
      </c>
      <c r="C18853" s="38" t="s">
        <v>23315</v>
      </c>
      <c r="D18853" s="38" t="str">
        <f>IFERROR(__xludf.DUMMYFUNCTION("REGEXREPLACE(C18853,""-\d+(.*)|--\d+(.*)"","""")"),"MASSILLY")</f>
        <v>MASSILLY</v>
      </c>
      <c r="E18853" s="38" t="s">
        <v>344</v>
      </c>
      <c r="F18853" s="38" t="s">
        <v>106</v>
      </c>
      <c r="G18853" s="49" t="str">
        <f t="shared" si="1"/>
        <v>71250</v>
      </c>
      <c r="H18853" s="49">
        <f t="shared" si="2"/>
        <v>71287</v>
      </c>
    </row>
    <row r="18854">
      <c r="A18854" s="48" t="s">
        <v>17621</v>
      </c>
      <c r="B18854" s="38">
        <v>7221.0</v>
      </c>
      <c r="C18854" s="38" t="s">
        <v>23316</v>
      </c>
      <c r="D18854" s="38" t="str">
        <f>IFERROR(__xludf.DUMMYFUNCTION("REGEXREPLACE(C18854,""-\d+(.*)|--\d+(.*)"","""")"),"SAINT-CIERGE-LA-SERRE")</f>
        <v>SAINT-CIERGE-LA-SERRE</v>
      </c>
      <c r="E18854" s="38" t="s">
        <v>144</v>
      </c>
      <c r="F18854" s="38" t="s">
        <v>102</v>
      </c>
      <c r="G18854" s="49" t="str">
        <f t="shared" si="1"/>
        <v>07800</v>
      </c>
      <c r="H18854" s="49" t="str">
        <f t="shared" si="2"/>
        <v>07221</v>
      </c>
    </row>
    <row r="18855">
      <c r="A18855" s="48" t="s">
        <v>10445</v>
      </c>
      <c r="B18855" s="38">
        <v>52106.0</v>
      </c>
      <c r="C18855" s="38" t="s">
        <v>23317</v>
      </c>
      <c r="D18855" s="38" t="str">
        <f>IFERROR(__xludf.DUMMYFUNCTION("REGEXREPLACE(C18855,""-\d+(.*)|--\d+(.*)"","""")"),"CHANOY")</f>
        <v>CHANOY</v>
      </c>
      <c r="E18855" s="38" t="s">
        <v>234</v>
      </c>
      <c r="F18855" s="38" t="s">
        <v>130</v>
      </c>
      <c r="G18855" s="49" t="str">
        <f t="shared" si="1"/>
        <v>52260</v>
      </c>
      <c r="H18855" s="49">
        <f t="shared" si="2"/>
        <v>52106</v>
      </c>
    </row>
    <row r="18856">
      <c r="A18856" s="48" t="s">
        <v>3937</v>
      </c>
      <c r="B18856" s="38">
        <v>18158.0</v>
      </c>
      <c r="C18856" s="38" t="s">
        <v>23318</v>
      </c>
      <c r="D18856" s="38" t="str">
        <f>IFERROR(__xludf.DUMMYFUNCTION("REGEXREPLACE(C18856,""-\d+(.*)|--\d+(.*)"","""")"),"MOULINS-SUR-YEVRE")</f>
        <v>MOULINS-SUR-YEVRE</v>
      </c>
      <c r="E18856" s="38" t="s">
        <v>504</v>
      </c>
      <c r="F18856" s="38" t="s">
        <v>123</v>
      </c>
      <c r="G18856" s="49" t="str">
        <f t="shared" si="1"/>
        <v>18390</v>
      </c>
      <c r="H18856" s="49">
        <f t="shared" si="2"/>
        <v>18158</v>
      </c>
    </row>
    <row r="18857">
      <c r="A18857" s="48" t="s">
        <v>20041</v>
      </c>
      <c r="B18857" s="38">
        <v>69164.0</v>
      </c>
      <c r="C18857" s="38" t="s">
        <v>23319</v>
      </c>
      <c r="D18857" s="38" t="str">
        <f>IFERROR(__xludf.DUMMYFUNCTION("REGEXREPLACE(C18857,""-\d+(.*)|--\d+(.*)"","""")"),"RANCHAL")</f>
        <v>RANCHAL</v>
      </c>
      <c r="E18857" s="38" t="s">
        <v>350</v>
      </c>
      <c r="F18857" s="38" t="s">
        <v>102</v>
      </c>
      <c r="G18857" s="49" t="str">
        <f t="shared" si="1"/>
        <v>69470</v>
      </c>
      <c r="H18857" s="49">
        <f t="shared" si="2"/>
        <v>69164</v>
      </c>
    </row>
    <row r="18858">
      <c r="A18858" s="48" t="s">
        <v>1667</v>
      </c>
      <c r="B18858" s="38">
        <v>38055.0</v>
      </c>
      <c r="C18858" s="38" t="s">
        <v>23320</v>
      </c>
      <c r="D18858" s="38" t="str">
        <f>IFERROR(__xludf.DUMMYFUNCTION("REGEXREPLACE(C18858,""-\d+(.*)|--\d+(.*)"","""")"),"BRANGUES")</f>
        <v>BRANGUES</v>
      </c>
      <c r="E18858" s="38" t="s">
        <v>101</v>
      </c>
      <c r="F18858" s="38" t="s">
        <v>102</v>
      </c>
      <c r="G18858" s="49" t="str">
        <f t="shared" si="1"/>
        <v>38510</v>
      </c>
      <c r="H18858" s="49">
        <f t="shared" si="2"/>
        <v>38055</v>
      </c>
    </row>
    <row r="18859">
      <c r="A18859" s="48" t="s">
        <v>3853</v>
      </c>
      <c r="B18859" s="38">
        <v>71075.0</v>
      </c>
      <c r="C18859" s="38" t="s">
        <v>23321</v>
      </c>
      <c r="D18859" s="38" t="str">
        <f>IFERROR(__xludf.DUMMYFUNCTION("REGEXREPLACE(C18859,""-\d+(.*)|--\d+(.*)"","""")"),"CHALMOUX")</f>
        <v>CHALMOUX</v>
      </c>
      <c r="E18859" s="38" t="s">
        <v>344</v>
      </c>
      <c r="F18859" s="38" t="s">
        <v>106</v>
      </c>
      <c r="G18859" s="49" t="str">
        <f t="shared" si="1"/>
        <v>71140</v>
      </c>
      <c r="H18859" s="49">
        <f t="shared" si="2"/>
        <v>71075</v>
      </c>
    </row>
    <row r="18860">
      <c r="A18860" s="48" t="s">
        <v>1781</v>
      </c>
      <c r="B18860" s="38">
        <v>27173.0</v>
      </c>
      <c r="C18860" s="38" t="s">
        <v>23322</v>
      </c>
      <c r="D18860" s="38" t="str">
        <f>IFERROR(__xludf.DUMMYFUNCTION("REGEXREPLACE(C18860,""-\d+(.*)|--\d+(.*)"","""")"),"CORNEVILLE-LA-FOUQUETIERE")</f>
        <v>CORNEVILLE-LA-FOUQUETIERE</v>
      </c>
      <c r="E18860" s="38" t="s">
        <v>241</v>
      </c>
      <c r="F18860" s="38" t="s">
        <v>134</v>
      </c>
      <c r="G18860" s="49" t="str">
        <f t="shared" si="1"/>
        <v>27300</v>
      </c>
      <c r="H18860" s="49">
        <f t="shared" si="2"/>
        <v>27173</v>
      </c>
    </row>
    <row r="18861">
      <c r="A18861" s="48" t="s">
        <v>2368</v>
      </c>
      <c r="B18861" s="38">
        <v>65466.0</v>
      </c>
      <c r="C18861" s="38" t="s">
        <v>23323</v>
      </c>
      <c r="D18861" s="38" t="str">
        <f>IFERROR(__xludf.DUMMYFUNCTION("REGEXREPLACE(C18861,""-\d+(.*)|--\d+(.*)"","""")"),"VIELLE-LOURON")</f>
        <v>VIELLE-LOURON</v>
      </c>
      <c r="E18861" s="38" t="s">
        <v>200</v>
      </c>
      <c r="F18861" s="38" t="s">
        <v>94</v>
      </c>
      <c r="G18861" s="49" t="str">
        <f t="shared" si="1"/>
        <v>65240</v>
      </c>
      <c r="H18861" s="49">
        <f t="shared" si="2"/>
        <v>65466</v>
      </c>
    </row>
    <row r="18862">
      <c r="A18862" s="48" t="s">
        <v>23324</v>
      </c>
      <c r="B18862" s="38" t="s">
        <v>23325</v>
      </c>
      <c r="C18862" s="38" t="s">
        <v>23326</v>
      </c>
      <c r="D18862" s="38" t="str">
        <f>IFERROR(__xludf.DUMMYFUNCTION("REGEXREPLACE(C18862,""-\d+(.*)|--\d+(.*)"","""")"),"SARI-SOLENZARA")</f>
        <v>SARI-SOLENZARA</v>
      </c>
      <c r="E18862" s="38" t="s">
        <v>606</v>
      </c>
      <c r="F18862" s="38" t="s">
        <v>607</v>
      </c>
      <c r="G18862" s="49" t="str">
        <f t="shared" si="1"/>
        <v>20145</v>
      </c>
      <c r="H18862" s="49" t="str">
        <f t="shared" si="2"/>
        <v>2A269</v>
      </c>
    </row>
    <row r="18863">
      <c r="A18863" s="48" t="s">
        <v>23327</v>
      </c>
      <c r="B18863" s="38">
        <v>59359.0</v>
      </c>
      <c r="C18863" s="38" t="s">
        <v>23328</v>
      </c>
      <c r="D18863" s="38" t="str">
        <f>IFERROR(__xludf.DUMMYFUNCTION("REGEXREPLACE(C18863,""-\d+(.*)|--\d+(.*)"","""")"),"LOON-PLAGE")</f>
        <v>LOON-PLAGE</v>
      </c>
      <c r="E18863" s="38" t="s">
        <v>85</v>
      </c>
      <c r="F18863" s="38" t="s">
        <v>86</v>
      </c>
      <c r="G18863" s="49" t="str">
        <f t="shared" si="1"/>
        <v>59279</v>
      </c>
      <c r="H18863" s="49">
        <f t="shared" si="2"/>
        <v>59359</v>
      </c>
    </row>
    <row r="18864">
      <c r="A18864" s="48" t="s">
        <v>1276</v>
      </c>
      <c r="B18864" s="38">
        <v>64084.0</v>
      </c>
      <c r="C18864" s="38" t="s">
        <v>23329</v>
      </c>
      <c r="D18864" s="38" t="str">
        <f>IFERROR(__xludf.DUMMYFUNCTION("REGEXREPLACE(C18864,""-\d+(.*)|--\d+(.*)"","""")"),"AYDIE")</f>
        <v>AYDIE</v>
      </c>
      <c r="E18864" s="38" t="s">
        <v>268</v>
      </c>
      <c r="F18864" s="38" t="s">
        <v>252</v>
      </c>
      <c r="G18864" s="49" t="str">
        <f t="shared" si="1"/>
        <v>64330</v>
      </c>
      <c r="H18864" s="49">
        <f t="shared" si="2"/>
        <v>64084</v>
      </c>
    </row>
    <row r="18865">
      <c r="A18865" s="48" t="s">
        <v>2139</v>
      </c>
      <c r="B18865" s="38">
        <v>72022.0</v>
      </c>
      <c r="C18865" s="38" t="s">
        <v>23330</v>
      </c>
      <c r="D18865" s="38" t="str">
        <f>IFERROR(__xludf.DUMMYFUNCTION("REGEXREPLACE(C18865,""-\d+(.*)|--\d+(.*)"","""")"),"LE BAILLEUL")</f>
        <v>LE BAILLEUL</v>
      </c>
      <c r="E18865" s="38" t="s">
        <v>521</v>
      </c>
      <c r="F18865" s="38" t="s">
        <v>180</v>
      </c>
      <c r="G18865" s="49" t="str">
        <f t="shared" si="1"/>
        <v>72200</v>
      </c>
      <c r="H18865" s="49">
        <f t="shared" si="2"/>
        <v>72022</v>
      </c>
    </row>
    <row r="18866">
      <c r="A18866" s="48" t="s">
        <v>962</v>
      </c>
      <c r="B18866" s="38">
        <v>24456.0</v>
      </c>
      <c r="C18866" s="38" t="s">
        <v>23331</v>
      </c>
      <c r="D18866" s="38" t="str">
        <f>IFERROR(__xludf.DUMMYFUNCTION("REGEXREPLACE(C18866,""-\d+(.*)|--\d+(.*)"","""")"),"SAINT-MARTIN-DES-COMBES")</f>
        <v>SAINT-MARTIN-DES-COMBES</v>
      </c>
      <c r="E18866" s="38" t="s">
        <v>261</v>
      </c>
      <c r="F18866" s="38" t="s">
        <v>252</v>
      </c>
      <c r="G18866" s="49" t="str">
        <f t="shared" si="1"/>
        <v>24140</v>
      </c>
      <c r="H18866" s="49">
        <f t="shared" si="2"/>
        <v>24456</v>
      </c>
    </row>
    <row r="18867">
      <c r="A18867" s="48" t="s">
        <v>6080</v>
      </c>
      <c r="B18867" s="38">
        <v>76390.0</v>
      </c>
      <c r="C18867" s="38" t="s">
        <v>21778</v>
      </c>
      <c r="D18867" s="38" t="str">
        <f>IFERROR(__xludf.DUMMYFUNCTION("REGEXREPLACE(C18867,""-\d+(.*)|--\d+(.*)"","""")"),"LES LOGES")</f>
        <v>LES LOGES</v>
      </c>
      <c r="E18867" s="38" t="s">
        <v>133</v>
      </c>
      <c r="F18867" s="38" t="s">
        <v>134</v>
      </c>
      <c r="G18867" s="49" t="str">
        <f t="shared" si="1"/>
        <v>76790</v>
      </c>
      <c r="H18867" s="49">
        <f t="shared" si="2"/>
        <v>76390</v>
      </c>
    </row>
    <row r="18868">
      <c r="A18868" s="48" t="s">
        <v>1435</v>
      </c>
      <c r="B18868" s="38">
        <v>14077.0</v>
      </c>
      <c r="C18868" s="38" t="s">
        <v>23332</v>
      </c>
      <c r="D18868" s="38" t="str">
        <f>IFERROR(__xludf.DUMMYFUNCTION("REGEXREPLACE(C18868,""-\d+(.*)|--\d+(.*)"","""")"),"BLANGY-LE-CHATEAU")</f>
        <v>BLANGY-LE-CHATEAU</v>
      </c>
      <c r="E18868" s="38" t="s">
        <v>137</v>
      </c>
      <c r="F18868" s="38" t="s">
        <v>138</v>
      </c>
      <c r="G18868" s="49" t="str">
        <f t="shared" si="1"/>
        <v>14130</v>
      </c>
      <c r="H18868" s="49">
        <f t="shared" si="2"/>
        <v>14077</v>
      </c>
    </row>
    <row r="18869">
      <c r="A18869" s="48" t="s">
        <v>13600</v>
      </c>
      <c r="B18869" s="38">
        <v>74210.0</v>
      </c>
      <c r="C18869" s="38" t="s">
        <v>23333</v>
      </c>
      <c r="D18869" s="38" t="str">
        <f>IFERROR(__xludf.DUMMYFUNCTION("REGEXREPLACE(C18869,""-\d+(.*)|--\d+(.*)"","""")"),"PERRIGNIER")</f>
        <v>PERRIGNIER</v>
      </c>
      <c r="E18869" s="38" t="s">
        <v>319</v>
      </c>
      <c r="F18869" s="38" t="s">
        <v>102</v>
      </c>
      <c r="G18869" s="49" t="str">
        <f t="shared" si="1"/>
        <v>74550</v>
      </c>
      <c r="H18869" s="49">
        <f t="shared" si="2"/>
        <v>74210</v>
      </c>
    </row>
    <row r="18870">
      <c r="A18870" s="48" t="s">
        <v>4283</v>
      </c>
      <c r="B18870" s="38">
        <v>7044.0</v>
      </c>
      <c r="C18870" s="38" t="s">
        <v>23334</v>
      </c>
      <c r="D18870" s="38" t="str">
        <f>IFERROR(__xludf.DUMMYFUNCTION("REGEXREPLACE(C18870,""-\d+(.*)|--\d+(.*)"","""")"),"BROSSAINC")</f>
        <v>BROSSAINC</v>
      </c>
      <c r="E18870" s="38" t="s">
        <v>144</v>
      </c>
      <c r="F18870" s="38" t="s">
        <v>102</v>
      </c>
      <c r="G18870" s="49" t="str">
        <f t="shared" si="1"/>
        <v>07340</v>
      </c>
      <c r="H18870" s="49" t="str">
        <f t="shared" si="2"/>
        <v>07044</v>
      </c>
    </row>
    <row r="18871">
      <c r="A18871" s="48" t="s">
        <v>9556</v>
      </c>
      <c r="B18871" s="38">
        <v>60295.0</v>
      </c>
      <c r="C18871" s="38" t="s">
        <v>22735</v>
      </c>
      <c r="D18871" s="38" t="str">
        <f>IFERROR(__xludf.DUMMYFUNCTION("REGEXREPLACE(C18871,""-\d+(.*)|--\d+(.*)"","""")"),"HALLOY")</f>
        <v>HALLOY</v>
      </c>
      <c r="E18871" s="38" t="s">
        <v>112</v>
      </c>
      <c r="F18871" s="38" t="s">
        <v>113</v>
      </c>
      <c r="G18871" s="49" t="str">
        <f t="shared" si="1"/>
        <v>60210</v>
      </c>
      <c r="H18871" s="49">
        <f t="shared" si="2"/>
        <v>60295</v>
      </c>
    </row>
    <row r="18872">
      <c r="A18872" s="48" t="s">
        <v>16548</v>
      </c>
      <c r="B18872" s="38" t="s">
        <v>23335</v>
      </c>
      <c r="C18872" s="38" t="s">
        <v>23336</v>
      </c>
      <c r="D18872" s="38" t="str">
        <f>IFERROR(__xludf.DUMMYFUNCTION("REGEXREPLACE(C18872,""-\d+(.*)|--\d+(.*)"","""")"),"SANTA-MARIA-SICHE")</f>
        <v>SANTA-MARIA-SICHE</v>
      </c>
      <c r="E18872" s="38" t="s">
        <v>606</v>
      </c>
      <c r="F18872" s="38" t="s">
        <v>607</v>
      </c>
      <c r="G18872" s="49" t="str">
        <f t="shared" si="1"/>
        <v>20190</v>
      </c>
      <c r="H18872" s="49" t="str">
        <f t="shared" si="2"/>
        <v>2A312</v>
      </c>
    </row>
    <row r="18873">
      <c r="A18873" s="48" t="s">
        <v>7546</v>
      </c>
      <c r="B18873" s="38">
        <v>35306.0</v>
      </c>
      <c r="C18873" s="38" t="s">
        <v>20531</v>
      </c>
      <c r="D18873" s="38" t="str">
        <f>IFERROR(__xludf.DUMMYFUNCTION("REGEXREPLACE(C18873,""-\d+(.*)|--\d+(.*)"","""")"),"SAINT-PERE")</f>
        <v>SAINT-PERE</v>
      </c>
      <c r="E18873" s="38" t="s">
        <v>347</v>
      </c>
      <c r="F18873" s="38" t="s">
        <v>90</v>
      </c>
      <c r="G18873" s="49" t="str">
        <f t="shared" si="1"/>
        <v>35430</v>
      </c>
      <c r="H18873" s="49">
        <f t="shared" si="2"/>
        <v>35306</v>
      </c>
    </row>
    <row r="18874">
      <c r="A18874" s="48" t="s">
        <v>2217</v>
      </c>
      <c r="B18874" s="38">
        <v>24063.0</v>
      </c>
      <c r="C18874" s="38" t="s">
        <v>23337</v>
      </c>
      <c r="D18874" s="38" t="str">
        <f>IFERROR(__xludf.DUMMYFUNCTION("REGEXREPLACE(C18874,""-\d+(.*)|--\d+(.*)"","""")"),"BOUZIC")</f>
        <v>BOUZIC</v>
      </c>
      <c r="E18874" s="38" t="s">
        <v>261</v>
      </c>
      <c r="F18874" s="38" t="s">
        <v>252</v>
      </c>
      <c r="G18874" s="49" t="str">
        <f t="shared" si="1"/>
        <v>24250</v>
      </c>
      <c r="H18874" s="49">
        <f t="shared" si="2"/>
        <v>24063</v>
      </c>
    </row>
    <row r="18875">
      <c r="A18875" s="48" t="s">
        <v>4095</v>
      </c>
      <c r="B18875" s="38">
        <v>23144.0</v>
      </c>
      <c r="C18875" s="38" t="s">
        <v>23338</v>
      </c>
      <c r="D18875" s="38" t="str">
        <f>IFERROR(__xludf.DUMMYFUNCTION("REGEXREPLACE(C18875,""-\d+(.*)|--\d+(.*)"","""")"),"LA NOUAILLE")</f>
        <v>LA NOUAILLE</v>
      </c>
      <c r="E18875" s="38" t="s">
        <v>97</v>
      </c>
      <c r="F18875" s="38" t="s">
        <v>98</v>
      </c>
      <c r="G18875" s="49" t="str">
        <f t="shared" si="1"/>
        <v>23500</v>
      </c>
      <c r="H18875" s="49">
        <f t="shared" si="2"/>
        <v>23144</v>
      </c>
    </row>
    <row r="18876">
      <c r="A18876" s="48" t="s">
        <v>1018</v>
      </c>
      <c r="B18876" s="38">
        <v>60095.0</v>
      </c>
      <c r="C18876" s="38" t="s">
        <v>23339</v>
      </c>
      <c r="D18876" s="38" t="str">
        <f>IFERROR(__xludf.DUMMYFUNCTION("REGEXREPLACE(C18876,""-\d+(.*)|--\d+(.*)"","""")"),"BOURY-EN-VEXIN")</f>
        <v>BOURY-EN-VEXIN</v>
      </c>
      <c r="E18876" s="38" t="s">
        <v>112</v>
      </c>
      <c r="F18876" s="38" t="s">
        <v>113</v>
      </c>
      <c r="G18876" s="49" t="str">
        <f t="shared" si="1"/>
        <v>60240</v>
      </c>
      <c r="H18876" s="49">
        <f t="shared" si="2"/>
        <v>60095</v>
      </c>
    </row>
    <row r="18877">
      <c r="A18877" s="48" t="s">
        <v>2519</v>
      </c>
      <c r="B18877" s="38">
        <v>80469.0</v>
      </c>
      <c r="C18877" s="38" t="s">
        <v>23340</v>
      </c>
      <c r="D18877" s="38" t="str">
        <f>IFERROR(__xludf.DUMMYFUNCTION("REGEXREPLACE(C18877,""-\d+(.*)|--\d+(.*)"","""")"),"LAWARDE-MAUGER-L'HORTOY")</f>
        <v>LAWARDE-MAUGER-L'HORTOY</v>
      </c>
      <c r="E18877" s="38" t="s">
        <v>224</v>
      </c>
      <c r="F18877" s="38" t="s">
        <v>113</v>
      </c>
      <c r="G18877" s="49" t="str">
        <f t="shared" si="1"/>
        <v>80250</v>
      </c>
      <c r="H18877" s="49">
        <f t="shared" si="2"/>
        <v>80469</v>
      </c>
    </row>
    <row r="18878">
      <c r="A18878" s="48" t="s">
        <v>7657</v>
      </c>
      <c r="B18878" s="38">
        <v>80377.0</v>
      </c>
      <c r="C18878" s="38" t="s">
        <v>23341</v>
      </c>
      <c r="D18878" s="38" t="str">
        <f>IFERROR(__xludf.DUMMYFUNCTION("REGEXREPLACE(C18878,""-\d+(.*)|--\d+(.*)"","""")"),"GEZAINCOURT")</f>
        <v>GEZAINCOURT</v>
      </c>
      <c r="E18878" s="38" t="s">
        <v>224</v>
      </c>
      <c r="F18878" s="38" t="s">
        <v>113</v>
      </c>
      <c r="G18878" s="49" t="str">
        <f t="shared" si="1"/>
        <v>80600</v>
      </c>
      <c r="H18878" s="49">
        <f t="shared" si="2"/>
        <v>80377</v>
      </c>
    </row>
    <row r="18879">
      <c r="A18879" s="48" t="s">
        <v>2619</v>
      </c>
      <c r="B18879" s="38">
        <v>71244.0</v>
      </c>
      <c r="C18879" s="38" t="s">
        <v>23342</v>
      </c>
      <c r="D18879" s="38" t="str">
        <f>IFERROR(__xludf.DUMMYFUNCTION("REGEXREPLACE(C18879,""-\d+(.*)|--\d+(.*)"","""")"),"JOUVENCON")</f>
        <v>JOUVENCON</v>
      </c>
      <c r="E18879" s="38" t="s">
        <v>344</v>
      </c>
      <c r="F18879" s="38" t="s">
        <v>106</v>
      </c>
      <c r="G18879" s="49" t="str">
        <f t="shared" si="1"/>
        <v>71290</v>
      </c>
      <c r="H18879" s="49">
        <f t="shared" si="2"/>
        <v>71244</v>
      </c>
    </row>
    <row r="18880">
      <c r="A18880" s="48" t="s">
        <v>6184</v>
      </c>
      <c r="B18880" s="38">
        <v>7336.0</v>
      </c>
      <c r="C18880" s="38" t="s">
        <v>19320</v>
      </c>
      <c r="D18880" s="38" t="str">
        <f>IFERROR(__xludf.DUMMYFUNCTION("REGEXREPLACE(C18880,""-\d+(.*)|--\d+(.*)"","""")"),"VERNON")</f>
        <v>VERNON</v>
      </c>
      <c r="E18880" s="38" t="s">
        <v>144</v>
      </c>
      <c r="F18880" s="38" t="s">
        <v>102</v>
      </c>
      <c r="G18880" s="49" t="str">
        <f t="shared" si="1"/>
        <v>07260</v>
      </c>
      <c r="H18880" s="49" t="str">
        <f t="shared" si="2"/>
        <v>07336</v>
      </c>
    </row>
    <row r="18881">
      <c r="A18881" s="48" t="s">
        <v>3317</v>
      </c>
      <c r="B18881" s="38">
        <v>1387.0</v>
      </c>
      <c r="C18881" s="38" t="s">
        <v>1346</v>
      </c>
      <c r="D18881" s="38" t="str">
        <f>IFERROR(__xludf.DUMMYFUNCTION("REGEXREPLACE(C18881,""-\d+(.*)|--\d+(.*)"","""")"),"SAINT-SULPICE")</f>
        <v>SAINT-SULPICE</v>
      </c>
      <c r="E18881" s="38" t="s">
        <v>255</v>
      </c>
      <c r="F18881" s="38" t="s">
        <v>102</v>
      </c>
      <c r="G18881" s="49" t="str">
        <f t="shared" si="1"/>
        <v>01340</v>
      </c>
      <c r="H18881" s="49" t="str">
        <f t="shared" si="2"/>
        <v>01387</v>
      </c>
    </row>
    <row r="18882">
      <c r="A18882" s="48" t="s">
        <v>23343</v>
      </c>
      <c r="B18882" s="38">
        <v>97204.0</v>
      </c>
      <c r="C18882" s="38" t="s">
        <v>23344</v>
      </c>
      <c r="D18882" s="38" t="str">
        <f>IFERROR(__xludf.DUMMYFUNCTION("REGEXREPLACE(C18882,""-\d+(.*)|--\d+(.*)"","""")"),"LE CARBET")</f>
        <v>LE CARBET</v>
      </c>
      <c r="E18882" s="38" t="s">
        <v>2282</v>
      </c>
      <c r="F18882" s="38" t="s">
        <v>2282</v>
      </c>
      <c r="G18882" s="49" t="str">
        <f t="shared" si="1"/>
        <v>97221</v>
      </c>
      <c r="H18882" s="49">
        <f t="shared" si="2"/>
        <v>97204</v>
      </c>
    </row>
    <row r="18883">
      <c r="A18883" s="48" t="s">
        <v>266</v>
      </c>
      <c r="B18883" s="38">
        <v>64182.0</v>
      </c>
      <c r="C18883" s="38" t="s">
        <v>23345</v>
      </c>
      <c r="D18883" s="38" t="str">
        <f>IFERROR(__xludf.DUMMYFUNCTION("REGEXREPLACE(C18883,""-\d+(.*)|--\d+(.*)"","""")"),"CASTILLON (CANTON DE LEMBEYE)")</f>
        <v>CASTILLON (CANTON DE LEMBEYE)</v>
      </c>
      <c r="E18883" s="38" t="s">
        <v>268</v>
      </c>
      <c r="F18883" s="38" t="s">
        <v>252</v>
      </c>
      <c r="G18883" s="49" t="str">
        <f t="shared" si="1"/>
        <v>64350</v>
      </c>
      <c r="H18883" s="49">
        <f t="shared" si="2"/>
        <v>64182</v>
      </c>
    </row>
    <row r="18884">
      <c r="A18884" s="48" t="s">
        <v>2300</v>
      </c>
      <c r="B18884" s="38">
        <v>28084.0</v>
      </c>
      <c r="C18884" s="38" t="s">
        <v>23346</v>
      </c>
      <c r="D18884" s="38" t="str">
        <f>IFERROR(__xludf.DUMMYFUNCTION("REGEXREPLACE(C18884,""-\d+(.*)|--\d+(.*)"","""")"),"CHARTAINVILLIERS")</f>
        <v>CHARTAINVILLIERS</v>
      </c>
      <c r="E18884" s="38" t="s">
        <v>300</v>
      </c>
      <c r="F18884" s="38" t="s">
        <v>123</v>
      </c>
      <c r="G18884" s="49" t="str">
        <f t="shared" si="1"/>
        <v>28130</v>
      </c>
      <c r="H18884" s="49">
        <f t="shared" si="2"/>
        <v>28084</v>
      </c>
    </row>
    <row r="18885">
      <c r="A18885" s="48" t="s">
        <v>3224</v>
      </c>
      <c r="B18885" s="38">
        <v>54062.0</v>
      </c>
      <c r="C18885" s="38" t="s">
        <v>23347</v>
      </c>
      <c r="D18885" s="38" t="str">
        <f>IFERROR(__xludf.DUMMYFUNCTION("REGEXREPLACE(C18885,""-\d+(.*)|--\d+(.*)"","""")"),"BENNEY")</f>
        <v>BENNEY</v>
      </c>
      <c r="E18885" s="38" t="s">
        <v>548</v>
      </c>
      <c r="F18885" s="38" t="s">
        <v>195</v>
      </c>
      <c r="G18885" s="49" t="str">
        <f t="shared" si="1"/>
        <v>54740</v>
      </c>
      <c r="H18885" s="49">
        <f t="shared" si="2"/>
        <v>54062</v>
      </c>
    </row>
    <row r="18886">
      <c r="A18886" s="48" t="s">
        <v>23348</v>
      </c>
      <c r="B18886" s="38" t="s">
        <v>23349</v>
      </c>
      <c r="C18886" s="38" t="s">
        <v>23350</v>
      </c>
      <c r="D18886" s="38" t="str">
        <f>IFERROR(__xludf.DUMMYFUNCTION("REGEXREPLACE(C18886,""-\d+(.*)|--\d+(.*)"","""")"),"PINO")</f>
        <v>PINO</v>
      </c>
      <c r="E18886" s="38" t="s">
        <v>743</v>
      </c>
      <c r="F18886" s="38" t="s">
        <v>607</v>
      </c>
      <c r="G18886" s="49" t="str">
        <f t="shared" si="1"/>
        <v>20228</v>
      </c>
      <c r="H18886" s="49" t="str">
        <f t="shared" si="2"/>
        <v>2B233</v>
      </c>
    </row>
    <row r="18887">
      <c r="A18887" s="48" t="s">
        <v>4015</v>
      </c>
      <c r="B18887" s="38">
        <v>68225.0</v>
      </c>
      <c r="C18887" s="38" t="s">
        <v>23351</v>
      </c>
      <c r="D18887" s="38" t="str">
        <f>IFERROR(__xludf.DUMMYFUNCTION("REGEXREPLACE(C18887,""-\d+(.*)|--\d+(.*)"","""")"),"MUNCHHOUSE")</f>
        <v>MUNCHHOUSE</v>
      </c>
      <c r="E18887" s="38" t="s">
        <v>150</v>
      </c>
      <c r="F18887" s="38" t="s">
        <v>151</v>
      </c>
      <c r="G18887" s="49" t="str">
        <f t="shared" si="1"/>
        <v>68740</v>
      </c>
      <c r="H18887" s="49">
        <f t="shared" si="2"/>
        <v>68225</v>
      </c>
    </row>
    <row r="18888">
      <c r="A18888" s="48" t="s">
        <v>11285</v>
      </c>
      <c r="B18888" s="38" t="s">
        <v>23352</v>
      </c>
      <c r="C18888" s="38" t="s">
        <v>23353</v>
      </c>
      <c r="D18888" s="38" t="str">
        <f>IFERROR(__xludf.DUMMYFUNCTION("REGEXREPLACE(C18888,""-\d+(.*)|--\d+(.*)"","""")"),"SAN-LORENZO")</f>
        <v>SAN-LORENZO</v>
      </c>
      <c r="E18888" s="38" t="s">
        <v>743</v>
      </c>
      <c r="F18888" s="38" t="s">
        <v>607</v>
      </c>
      <c r="G18888" s="49" t="str">
        <f t="shared" si="1"/>
        <v>20244</v>
      </c>
      <c r="H18888" s="49" t="str">
        <f t="shared" si="2"/>
        <v>2B304</v>
      </c>
    </row>
    <row r="18889">
      <c r="A18889" s="48" t="s">
        <v>2103</v>
      </c>
      <c r="B18889" s="38">
        <v>54074.0</v>
      </c>
      <c r="C18889" s="38" t="s">
        <v>23354</v>
      </c>
      <c r="D18889" s="38" t="str">
        <f>IFERROR(__xludf.DUMMYFUNCTION("REGEXREPLACE(C18889,""-\d+(.*)|--\d+(.*)"","""")"),"BIENVILLE-LA-PETITE")</f>
        <v>BIENVILLE-LA-PETITE</v>
      </c>
      <c r="E18889" s="38" t="s">
        <v>548</v>
      </c>
      <c r="F18889" s="38" t="s">
        <v>195</v>
      </c>
      <c r="G18889" s="49" t="str">
        <f t="shared" si="1"/>
        <v>54300</v>
      </c>
      <c r="H18889" s="49">
        <f t="shared" si="2"/>
        <v>54074</v>
      </c>
    </row>
    <row r="18890">
      <c r="A18890" s="48" t="s">
        <v>3853</v>
      </c>
      <c r="B18890" s="38">
        <v>71255.0</v>
      </c>
      <c r="C18890" s="38" t="s">
        <v>23355</v>
      </c>
      <c r="D18890" s="38" t="str">
        <f>IFERROR(__xludf.DUMMYFUNCTION("REGEXREPLACE(C18890,""-\d+(.*)|--\d+(.*)"","""")"),"LESME")</f>
        <v>LESME</v>
      </c>
      <c r="E18890" s="38" t="s">
        <v>344</v>
      </c>
      <c r="F18890" s="38" t="s">
        <v>106</v>
      </c>
      <c r="G18890" s="49" t="str">
        <f t="shared" si="1"/>
        <v>71140</v>
      </c>
      <c r="H18890" s="49">
        <f t="shared" si="2"/>
        <v>71255</v>
      </c>
    </row>
    <row r="18891">
      <c r="A18891" s="48" t="s">
        <v>665</v>
      </c>
      <c r="B18891" s="38">
        <v>76626.0</v>
      </c>
      <c r="C18891" s="38" t="s">
        <v>23356</v>
      </c>
      <c r="D18891" s="38" t="str">
        <f>IFERROR(__xludf.DUMMYFUNCTION("REGEXREPLACE(C18891,""-\d+(.*)|--\d+(.*)"","""")"),"SAINT-NICOLAS-DE-LA-HAIE")</f>
        <v>SAINT-NICOLAS-DE-LA-HAIE</v>
      </c>
      <c r="E18891" s="38" t="s">
        <v>133</v>
      </c>
      <c r="F18891" s="38" t="s">
        <v>134</v>
      </c>
      <c r="G18891" s="49" t="str">
        <f t="shared" si="1"/>
        <v>76490</v>
      </c>
      <c r="H18891" s="49">
        <f t="shared" si="2"/>
        <v>76626</v>
      </c>
    </row>
    <row r="18892">
      <c r="A18892" s="48" t="s">
        <v>2497</v>
      </c>
      <c r="B18892" s="38">
        <v>56172.0</v>
      </c>
      <c r="C18892" s="38" t="s">
        <v>23357</v>
      </c>
      <c r="D18892" s="38" t="str">
        <f>IFERROR(__xludf.DUMMYFUNCTION("REGEXREPLACE(C18892,""-\d+(.*)|--\d+(.*)"","""")"),"PLUMELEC")</f>
        <v>PLUMELEC</v>
      </c>
      <c r="E18892" s="38" t="s">
        <v>173</v>
      </c>
      <c r="F18892" s="38" t="s">
        <v>90</v>
      </c>
      <c r="G18892" s="49" t="str">
        <f t="shared" si="1"/>
        <v>56420</v>
      </c>
      <c r="H18892" s="49">
        <f t="shared" si="2"/>
        <v>56172</v>
      </c>
    </row>
    <row r="18893">
      <c r="A18893" s="48" t="s">
        <v>152</v>
      </c>
      <c r="B18893" s="38">
        <v>48047.0</v>
      </c>
      <c r="C18893" s="38" t="s">
        <v>23358</v>
      </c>
      <c r="D18893" s="38" t="str">
        <f>IFERROR(__xludf.DUMMYFUNCTION("REGEXREPLACE(C18893,""-\d+(.*)|--\d+(.*)"","""")"),"LA CHAZE-DE-PEYRE")</f>
        <v>LA CHAZE-DE-PEYRE</v>
      </c>
      <c r="E18893" s="38" t="s">
        <v>154</v>
      </c>
      <c r="F18893" s="38" t="s">
        <v>119</v>
      </c>
      <c r="G18893" s="49" t="str">
        <f t="shared" si="1"/>
        <v>48130</v>
      </c>
      <c r="H18893" s="49">
        <f t="shared" si="2"/>
        <v>48047</v>
      </c>
    </row>
    <row r="18894">
      <c r="A18894" s="48" t="s">
        <v>2340</v>
      </c>
      <c r="B18894" s="38">
        <v>21080.0</v>
      </c>
      <c r="C18894" s="38" t="s">
        <v>23359</v>
      </c>
      <c r="D18894" s="38" t="str">
        <f>IFERROR(__xludf.DUMMYFUNCTION("REGEXREPLACE(C18894,""-\d+(.*)|--\d+(.*)"","""")"),"BLAISY-BAS")</f>
        <v>BLAISY-BAS</v>
      </c>
      <c r="E18894" s="38" t="s">
        <v>105</v>
      </c>
      <c r="F18894" s="38" t="s">
        <v>106</v>
      </c>
      <c r="G18894" s="49" t="str">
        <f t="shared" si="1"/>
        <v>21540</v>
      </c>
      <c r="H18894" s="49">
        <f t="shared" si="2"/>
        <v>21080</v>
      </c>
    </row>
    <row r="18895">
      <c r="A18895" s="48" t="s">
        <v>2438</v>
      </c>
      <c r="B18895" s="38">
        <v>64298.0</v>
      </c>
      <c r="C18895" s="38" t="s">
        <v>23360</v>
      </c>
      <c r="D18895" s="38" t="str">
        <f>IFERROR(__xludf.DUMMYFUNCTION("REGEXREPLACE(C18895,""-\d+(.*)|--\d+(.*)"","""")"),"LACARRY-ARHAN-CHARRITTE-DE-HAUT")</f>
        <v>LACARRY-ARHAN-CHARRITTE-DE-HAUT</v>
      </c>
      <c r="E18895" s="38" t="s">
        <v>268</v>
      </c>
      <c r="F18895" s="38" t="s">
        <v>252</v>
      </c>
      <c r="G18895" s="49" t="str">
        <f t="shared" si="1"/>
        <v>64470</v>
      </c>
      <c r="H18895" s="49">
        <f t="shared" si="2"/>
        <v>64298</v>
      </c>
    </row>
    <row r="18896">
      <c r="A18896" s="48" t="s">
        <v>20596</v>
      </c>
      <c r="B18896" s="38">
        <v>59476.0</v>
      </c>
      <c r="C18896" s="38" t="s">
        <v>23361</v>
      </c>
      <c r="D18896" s="38" t="str">
        <f>IFERROR(__xludf.DUMMYFUNCTION("REGEXREPLACE(C18896,""-\d+(.*)|--\d+(.*)"","""")"),"PROVILLE")</f>
        <v>PROVILLE</v>
      </c>
      <c r="E18896" s="38" t="s">
        <v>85</v>
      </c>
      <c r="F18896" s="38" t="s">
        <v>86</v>
      </c>
      <c r="G18896" s="49" t="str">
        <f t="shared" si="1"/>
        <v>59267</v>
      </c>
      <c r="H18896" s="49">
        <f t="shared" si="2"/>
        <v>59476</v>
      </c>
    </row>
    <row r="18897">
      <c r="A18897" s="48" t="s">
        <v>12127</v>
      </c>
      <c r="B18897" s="38">
        <v>7318.0</v>
      </c>
      <c r="C18897" s="38" t="s">
        <v>23362</v>
      </c>
      <c r="D18897" s="38" t="str">
        <f>IFERROR(__xludf.DUMMYFUNCTION("REGEXREPLACE(C18897,""-\d+(.*)|--\d+(.*)"","""")"),"TAURIERS")</f>
        <v>TAURIERS</v>
      </c>
      <c r="E18897" s="38" t="s">
        <v>144</v>
      </c>
      <c r="F18897" s="38" t="s">
        <v>102</v>
      </c>
      <c r="G18897" s="49" t="str">
        <f t="shared" si="1"/>
        <v>07110</v>
      </c>
      <c r="H18897" s="49" t="str">
        <f t="shared" si="2"/>
        <v>07318</v>
      </c>
    </row>
    <row r="18898">
      <c r="A18898" s="48" t="s">
        <v>546</v>
      </c>
      <c r="B18898" s="38">
        <v>54390.0</v>
      </c>
      <c r="C18898" s="38" t="s">
        <v>23363</v>
      </c>
      <c r="D18898" s="38" t="str">
        <f>IFERROR(__xludf.DUMMYFUNCTION("REGEXREPLACE(C18898,""-\d+(.*)|--\d+(.*)"","""")"),"MOUSSON")</f>
        <v>MOUSSON</v>
      </c>
      <c r="E18898" s="38" t="s">
        <v>548</v>
      </c>
      <c r="F18898" s="38" t="s">
        <v>195</v>
      </c>
      <c r="G18898" s="49" t="str">
        <f t="shared" si="1"/>
        <v>54700</v>
      </c>
      <c r="H18898" s="49">
        <f t="shared" si="2"/>
        <v>54390</v>
      </c>
    </row>
    <row r="18899">
      <c r="A18899" s="48" t="s">
        <v>698</v>
      </c>
      <c r="B18899" s="38">
        <v>11298.0</v>
      </c>
      <c r="C18899" s="38" t="s">
        <v>23364</v>
      </c>
      <c r="D18899" s="38" t="str">
        <f>IFERROR(__xludf.DUMMYFUNCTION("REGEXREPLACE(C18899,""-\d+(.*)|--\d+(.*)"","""")"),"PRADELLES-EN-VAL")</f>
        <v>PRADELLES-EN-VAL</v>
      </c>
      <c r="E18899" s="38" t="s">
        <v>278</v>
      </c>
      <c r="F18899" s="38" t="s">
        <v>119</v>
      </c>
      <c r="G18899" s="49" t="str">
        <f t="shared" si="1"/>
        <v>11220</v>
      </c>
      <c r="H18899" s="49">
        <f t="shared" si="2"/>
        <v>11298</v>
      </c>
    </row>
    <row r="18900">
      <c r="A18900" s="48" t="s">
        <v>2308</v>
      </c>
      <c r="B18900" s="38">
        <v>33408.0</v>
      </c>
      <c r="C18900" s="38" t="s">
        <v>23365</v>
      </c>
      <c r="D18900" s="38" t="str">
        <f>IFERROR(__xludf.DUMMYFUNCTION("REGEXREPLACE(C18900,""-\d+(.*)|--\d+(.*)"","""")"),"SAINT-GENES-DE-LOMBAUD")</f>
        <v>SAINT-GENES-DE-LOMBAUD</v>
      </c>
      <c r="E18900" s="38" t="s">
        <v>462</v>
      </c>
      <c r="F18900" s="38" t="s">
        <v>252</v>
      </c>
      <c r="G18900" s="49" t="str">
        <f t="shared" si="1"/>
        <v>33670</v>
      </c>
      <c r="H18900" s="49">
        <f t="shared" si="2"/>
        <v>33408</v>
      </c>
    </row>
    <row r="18901">
      <c r="A18901" s="48" t="s">
        <v>198</v>
      </c>
      <c r="B18901" s="38">
        <v>65262.0</v>
      </c>
      <c r="C18901" s="38" t="s">
        <v>23366</v>
      </c>
      <c r="D18901" s="38" t="str">
        <f>IFERROR(__xludf.DUMMYFUNCTION("REGEXREPLACE(C18901,""-\d+(.*)|--\d+(.*)"","""")"),"LARREULE")</f>
        <v>LARREULE</v>
      </c>
      <c r="E18901" s="38" t="s">
        <v>200</v>
      </c>
      <c r="F18901" s="38" t="s">
        <v>94</v>
      </c>
      <c r="G18901" s="49" t="str">
        <f t="shared" si="1"/>
        <v>65700</v>
      </c>
      <c r="H18901" s="49">
        <f t="shared" si="2"/>
        <v>65262</v>
      </c>
    </row>
    <row r="18902">
      <c r="A18902" s="48" t="s">
        <v>7893</v>
      </c>
      <c r="B18902" s="38">
        <v>63257.0</v>
      </c>
      <c r="C18902" s="38" t="s">
        <v>23367</v>
      </c>
      <c r="D18902" s="38" t="str">
        <f>IFERROR(__xludf.DUMMYFUNCTION("REGEXREPLACE(C18902,""-\d+(.*)|--\d+(.*)"","""")"),"OLBY")</f>
        <v>OLBY</v>
      </c>
      <c r="E18902" s="38" t="s">
        <v>353</v>
      </c>
      <c r="F18902" s="38" t="s">
        <v>161</v>
      </c>
      <c r="G18902" s="49" t="str">
        <f t="shared" si="1"/>
        <v>63210</v>
      </c>
      <c r="H18902" s="49">
        <f t="shared" si="2"/>
        <v>63257</v>
      </c>
    </row>
    <row r="18903">
      <c r="A18903" s="48" t="s">
        <v>2208</v>
      </c>
      <c r="B18903" s="38">
        <v>55191.0</v>
      </c>
      <c r="C18903" s="38" t="s">
        <v>23368</v>
      </c>
      <c r="D18903" s="38" t="str">
        <f>IFERROR(__xludf.DUMMYFUNCTION("REGEXREPLACE(C18903,""-\d+(.*)|--\d+(.*)"","""")"),"FOAMEIX-ORNEL")</f>
        <v>FOAMEIX-ORNEL</v>
      </c>
      <c r="E18903" s="38" t="s">
        <v>322</v>
      </c>
      <c r="F18903" s="38" t="s">
        <v>195</v>
      </c>
      <c r="G18903" s="49" t="str">
        <f t="shared" si="1"/>
        <v>55400</v>
      </c>
      <c r="H18903" s="49">
        <f t="shared" si="2"/>
        <v>55191</v>
      </c>
    </row>
    <row r="18904">
      <c r="A18904" s="48" t="s">
        <v>856</v>
      </c>
      <c r="B18904" s="38">
        <v>43228.0</v>
      </c>
      <c r="C18904" s="38" t="s">
        <v>23369</v>
      </c>
      <c r="D18904" s="38" t="str">
        <f>IFERROR(__xludf.DUMMYFUNCTION("REGEXREPLACE(C18904,""-\d+(.*)|--\d+(.*)"","""")"),"SAINT-VICTOR-SUR-ARLANC")</f>
        <v>SAINT-VICTOR-SUR-ARLANC</v>
      </c>
      <c r="E18904" s="38" t="s">
        <v>332</v>
      </c>
      <c r="F18904" s="38" t="s">
        <v>161</v>
      </c>
      <c r="G18904" s="49" t="str">
        <f t="shared" si="1"/>
        <v>43500</v>
      </c>
      <c r="H18904" s="49">
        <f t="shared" si="2"/>
        <v>43228</v>
      </c>
    </row>
    <row r="18905">
      <c r="A18905" s="48" t="s">
        <v>2349</v>
      </c>
      <c r="B18905" s="38">
        <v>62880.0</v>
      </c>
      <c r="C18905" s="38" t="s">
        <v>23370</v>
      </c>
      <c r="D18905" s="38" t="str">
        <f>IFERROR(__xludf.DUMMYFUNCTION("REGEXREPLACE(C18905,""-\d+(.*)|--\d+(.*)"","""")"),"LE WAST")</f>
        <v>LE WAST</v>
      </c>
      <c r="E18905" s="38" t="s">
        <v>109</v>
      </c>
      <c r="F18905" s="38" t="s">
        <v>86</v>
      </c>
      <c r="G18905" s="49" t="str">
        <f t="shared" si="1"/>
        <v>62142</v>
      </c>
      <c r="H18905" s="49">
        <f t="shared" si="2"/>
        <v>62880</v>
      </c>
    </row>
    <row r="18906">
      <c r="A18906" s="48" t="s">
        <v>6943</v>
      </c>
      <c r="B18906" s="38">
        <v>64091.0</v>
      </c>
      <c r="C18906" s="38" t="s">
        <v>23371</v>
      </c>
      <c r="D18906" s="38" t="str">
        <f>IFERROR(__xludf.DUMMYFUNCTION("REGEXREPLACE(C18906,""-\d+(.*)|--\d+(.*)"","""")"),"BALIROS")</f>
        <v>BALIROS</v>
      </c>
      <c r="E18906" s="38" t="s">
        <v>268</v>
      </c>
      <c r="F18906" s="38" t="s">
        <v>252</v>
      </c>
      <c r="G18906" s="49" t="str">
        <f t="shared" si="1"/>
        <v>64510</v>
      </c>
      <c r="H18906" s="49">
        <f t="shared" si="2"/>
        <v>64091</v>
      </c>
    </row>
    <row r="18907">
      <c r="A18907" s="48" t="s">
        <v>4830</v>
      </c>
      <c r="B18907" s="38">
        <v>61431.0</v>
      </c>
      <c r="C18907" s="38" t="s">
        <v>23372</v>
      </c>
      <c r="D18907" s="38" t="str">
        <f>IFERROR(__xludf.DUMMYFUNCTION("REGEXREPLACE(C18907,""-\d+(.*)|--\d+(.*)"","""")"),"SAINT-MICHEL-DES-ANDAINES")</f>
        <v>SAINT-MICHEL-DES-ANDAINES</v>
      </c>
      <c r="E18907" s="38" t="s">
        <v>141</v>
      </c>
      <c r="F18907" s="38" t="s">
        <v>138</v>
      </c>
      <c r="G18907" s="49" t="str">
        <f t="shared" si="1"/>
        <v>61600</v>
      </c>
      <c r="H18907" s="49">
        <f t="shared" si="2"/>
        <v>61431</v>
      </c>
    </row>
    <row r="18908">
      <c r="A18908" s="48" t="s">
        <v>16541</v>
      </c>
      <c r="B18908" s="38">
        <v>71319.0</v>
      </c>
      <c r="C18908" s="38" t="s">
        <v>23373</v>
      </c>
      <c r="D18908" s="38" t="str">
        <f>IFERROR(__xludf.DUMMYFUNCTION("REGEXREPLACE(C18908,""-\d+(.*)|--\d+(.*)"","""")"),"MONTRET")</f>
        <v>MONTRET</v>
      </c>
      <c r="E18908" s="38" t="s">
        <v>344</v>
      </c>
      <c r="F18908" s="38" t="s">
        <v>106</v>
      </c>
      <c r="G18908" s="49" t="str">
        <f t="shared" si="1"/>
        <v>71440</v>
      </c>
      <c r="H18908" s="49">
        <f t="shared" si="2"/>
        <v>71319</v>
      </c>
    </row>
    <row r="18909">
      <c r="A18909" s="48" t="s">
        <v>23374</v>
      </c>
      <c r="B18909" s="38">
        <v>54439.0</v>
      </c>
      <c r="C18909" s="38" t="s">
        <v>23375</v>
      </c>
      <c r="D18909" s="38" t="str">
        <f>IFERROR(__xludf.DUMMYFUNCTION("REGEXREPLACE(C18909,""-\d+(.*)|--\d+(.*)"","""")"),"PULNOY")</f>
        <v>PULNOY</v>
      </c>
      <c r="E18909" s="38" t="s">
        <v>548</v>
      </c>
      <c r="F18909" s="38" t="s">
        <v>195</v>
      </c>
      <c r="G18909" s="49" t="str">
        <f t="shared" si="1"/>
        <v>54425</v>
      </c>
      <c r="H18909" s="49">
        <f t="shared" si="2"/>
        <v>54439</v>
      </c>
    </row>
    <row r="18910">
      <c r="A18910" s="48" t="s">
        <v>13129</v>
      </c>
      <c r="B18910" s="38">
        <v>24382.0</v>
      </c>
      <c r="C18910" s="38" t="s">
        <v>23376</v>
      </c>
      <c r="D18910" s="38" t="str">
        <f>IFERROR(__xludf.DUMMYFUNCTION("REGEXREPLACE(C18910,""-\d+(.*)|--\d+(.*)"","""")"),"SAINT-CAPRAISE-DE-LALINDE")</f>
        <v>SAINT-CAPRAISE-DE-LALINDE</v>
      </c>
      <c r="E18910" s="38" t="s">
        <v>261</v>
      </c>
      <c r="F18910" s="38" t="s">
        <v>252</v>
      </c>
      <c r="G18910" s="49" t="str">
        <f t="shared" si="1"/>
        <v>24150</v>
      </c>
      <c r="H18910" s="49">
        <f t="shared" si="2"/>
        <v>24382</v>
      </c>
    </row>
    <row r="18911">
      <c r="A18911" s="48" t="s">
        <v>2069</v>
      </c>
      <c r="B18911" s="38">
        <v>47175.0</v>
      </c>
      <c r="C18911" s="38" t="s">
        <v>23377</v>
      </c>
      <c r="D18911" s="38" t="str">
        <f>IFERROR(__xludf.DUMMYFUNCTION("REGEXREPLACE(C18911,""-\d+(.*)|--\d+(.*)"","""")"),"MONFLANQUIN")</f>
        <v>MONFLANQUIN</v>
      </c>
      <c r="E18911" s="38" t="s">
        <v>251</v>
      </c>
      <c r="F18911" s="38" t="s">
        <v>252</v>
      </c>
      <c r="G18911" s="49" t="str">
        <f t="shared" si="1"/>
        <v>47150</v>
      </c>
      <c r="H18911" s="49">
        <f t="shared" si="2"/>
        <v>47175</v>
      </c>
    </row>
    <row r="18912">
      <c r="A18912" s="48" t="s">
        <v>17049</v>
      </c>
      <c r="B18912" s="38">
        <v>60600.0</v>
      </c>
      <c r="C18912" s="38" t="s">
        <v>23378</v>
      </c>
      <c r="D18912" s="38" t="str">
        <f>IFERROR(__xludf.DUMMYFUNCTION("REGEXREPLACE(C18912,""-\d+(.*)|--\d+(.*)"","""")"),"SAINT-VAAST-DE-LONGMONT")</f>
        <v>SAINT-VAAST-DE-LONGMONT</v>
      </c>
      <c r="E18912" s="38" t="s">
        <v>112</v>
      </c>
      <c r="F18912" s="38" t="s">
        <v>113</v>
      </c>
      <c r="G18912" s="49" t="str">
        <f t="shared" si="1"/>
        <v>60410</v>
      </c>
      <c r="H18912" s="49">
        <f t="shared" si="2"/>
        <v>60600</v>
      </c>
    </row>
    <row r="18913">
      <c r="A18913" s="48" t="s">
        <v>23379</v>
      </c>
      <c r="B18913" s="38">
        <v>28356.0</v>
      </c>
      <c r="C18913" s="38" t="s">
        <v>23380</v>
      </c>
      <c r="D18913" s="38" t="str">
        <f>IFERROR(__xludf.DUMMYFUNCTION("REGEXREPLACE(C18913,""-\d+(.*)|--\d+(.*)"","""")"),"SAINT-PELLERIN")</f>
        <v>SAINT-PELLERIN</v>
      </c>
      <c r="E18913" s="38" t="s">
        <v>300</v>
      </c>
      <c r="F18913" s="38" t="s">
        <v>123</v>
      </c>
      <c r="G18913" s="49" t="str">
        <f t="shared" si="1"/>
        <v>28290</v>
      </c>
      <c r="H18913" s="49">
        <f t="shared" si="2"/>
        <v>28356</v>
      </c>
    </row>
    <row r="18914">
      <c r="A18914" s="48" t="s">
        <v>1056</v>
      </c>
      <c r="B18914" s="38">
        <v>11197.0</v>
      </c>
      <c r="C18914" s="38" t="s">
        <v>23381</v>
      </c>
      <c r="D18914" s="38" t="str">
        <f>IFERROR(__xludf.DUMMYFUNCTION("REGEXREPLACE(C18914,""-\d+(.*)|--\d+(.*)"","""")"),"LAURAGUEL")</f>
        <v>LAURAGUEL</v>
      </c>
      <c r="E18914" s="38" t="s">
        <v>278</v>
      </c>
      <c r="F18914" s="38" t="s">
        <v>119</v>
      </c>
      <c r="G18914" s="49" t="str">
        <f t="shared" si="1"/>
        <v>11300</v>
      </c>
      <c r="H18914" s="49">
        <f t="shared" si="2"/>
        <v>11197</v>
      </c>
    </row>
    <row r="18915">
      <c r="A18915" s="48" t="s">
        <v>19050</v>
      </c>
      <c r="B18915" s="38">
        <v>19094.0</v>
      </c>
      <c r="C18915" s="38" t="s">
        <v>7429</v>
      </c>
      <c r="D18915" s="38" t="str">
        <f>IFERROR(__xludf.DUMMYFUNCTION("REGEXREPLACE(C18915,""-\d+(.*)|--\d+(.*)"","""")"),"JUILLAC")</f>
        <v>JUILLAC</v>
      </c>
      <c r="E18915" s="38" t="s">
        <v>271</v>
      </c>
      <c r="F18915" s="38" t="s">
        <v>98</v>
      </c>
      <c r="G18915" s="49" t="str">
        <f t="shared" si="1"/>
        <v>19350</v>
      </c>
      <c r="H18915" s="49">
        <f t="shared" si="2"/>
        <v>19094</v>
      </c>
    </row>
    <row r="18916">
      <c r="A18916" s="48" t="s">
        <v>23382</v>
      </c>
      <c r="B18916" s="38">
        <v>43224.0</v>
      </c>
      <c r="C18916" s="38" t="s">
        <v>23383</v>
      </c>
      <c r="D18916" s="38" t="str">
        <f>IFERROR(__xludf.DUMMYFUNCTION("REGEXREPLACE(C18916,""-\d+(.*)|--\d+(.*)"","""")"),"SAINTE-SIGOLENE")</f>
        <v>SAINTE-SIGOLENE</v>
      </c>
      <c r="E18916" s="38" t="s">
        <v>332</v>
      </c>
      <c r="F18916" s="38" t="s">
        <v>161</v>
      </c>
      <c r="G18916" s="49" t="str">
        <f t="shared" si="1"/>
        <v>43600</v>
      </c>
      <c r="H18916" s="49">
        <f t="shared" si="2"/>
        <v>43224</v>
      </c>
    </row>
    <row r="18917">
      <c r="A18917" s="48" t="s">
        <v>3165</v>
      </c>
      <c r="B18917" s="38">
        <v>11286.0</v>
      </c>
      <c r="C18917" s="38" t="s">
        <v>23384</v>
      </c>
      <c r="D18917" s="38" t="str">
        <f>IFERROR(__xludf.DUMMYFUNCTION("REGEXREPLACE(C18917,""-\d+(.*)|--\d+(.*)"","""")"),"PEYRIAC-MINERVOIS")</f>
        <v>PEYRIAC-MINERVOIS</v>
      </c>
      <c r="E18917" s="38" t="s">
        <v>278</v>
      </c>
      <c r="F18917" s="38" t="s">
        <v>119</v>
      </c>
      <c r="G18917" s="49" t="str">
        <f t="shared" si="1"/>
        <v>11160</v>
      </c>
      <c r="H18917" s="49">
        <f t="shared" si="2"/>
        <v>11286</v>
      </c>
    </row>
    <row r="18918">
      <c r="A18918" s="48" t="s">
        <v>6474</v>
      </c>
      <c r="B18918" s="38">
        <v>61404.0</v>
      </c>
      <c r="C18918" s="38" t="s">
        <v>23385</v>
      </c>
      <c r="D18918" s="38" t="str">
        <f>IFERROR(__xludf.DUMMYFUNCTION("REGEXREPLACE(C18918,""-\d+(.*)|--\d+(.*)"","""")"),"SAINT-HILAIRE-LE-CHATEL")</f>
        <v>SAINT-HILAIRE-LE-CHATEL</v>
      </c>
      <c r="E18918" s="38" t="s">
        <v>141</v>
      </c>
      <c r="F18918" s="38" t="s">
        <v>138</v>
      </c>
      <c r="G18918" s="49" t="str">
        <f t="shared" si="1"/>
        <v>61400</v>
      </c>
      <c r="H18918" s="49">
        <f t="shared" si="2"/>
        <v>61404</v>
      </c>
    </row>
    <row r="18919">
      <c r="A18919" s="48" t="s">
        <v>2100</v>
      </c>
      <c r="B18919" s="38">
        <v>14364.0</v>
      </c>
      <c r="C18919" s="38" t="s">
        <v>23386</v>
      </c>
      <c r="D18919" s="38" t="str">
        <f>IFERROR(__xludf.DUMMYFUNCTION("REGEXREPLACE(C18919,""-\d+(.*)|--\d+(.*)"","""")"),"LINGEVRES")</f>
        <v>LINGEVRES</v>
      </c>
      <c r="E18919" s="38" t="s">
        <v>137</v>
      </c>
      <c r="F18919" s="38" t="s">
        <v>138</v>
      </c>
      <c r="G18919" s="49" t="str">
        <f t="shared" si="1"/>
        <v>14250</v>
      </c>
      <c r="H18919" s="49">
        <f t="shared" si="2"/>
        <v>14364</v>
      </c>
    </row>
    <row r="18920">
      <c r="A18920" s="48" t="s">
        <v>3791</v>
      </c>
      <c r="B18920" s="38">
        <v>59139.0</v>
      </c>
      <c r="C18920" s="38" t="s">
        <v>23387</v>
      </c>
      <c r="D18920" s="38" t="str">
        <f>IFERROR(__xludf.DUMMYFUNCTION("REGEXREPLACE(C18920,""-\d+(.*)|--\d+(.*)"","""")"),"CAUDRY")</f>
        <v>CAUDRY</v>
      </c>
      <c r="E18920" s="38" t="s">
        <v>85</v>
      </c>
      <c r="F18920" s="38" t="s">
        <v>86</v>
      </c>
      <c r="G18920" s="49" t="str">
        <f t="shared" si="1"/>
        <v>59540</v>
      </c>
      <c r="H18920" s="49">
        <f t="shared" si="2"/>
        <v>59139</v>
      </c>
    </row>
    <row r="18921">
      <c r="A18921" s="48" t="s">
        <v>7514</v>
      </c>
      <c r="B18921" s="38">
        <v>88117.0</v>
      </c>
      <c r="C18921" s="38" t="s">
        <v>23388</v>
      </c>
      <c r="D18921" s="38" t="str">
        <f>IFERROR(__xludf.DUMMYFUNCTION("REGEXREPLACE(C18921,""-\d+(.*)|--\d+(.*)"","""")"),"COURCELLES-SOUS-CHATENOIS")</f>
        <v>COURCELLES-SOUS-CHATENOIS</v>
      </c>
      <c r="E18921" s="38" t="s">
        <v>194</v>
      </c>
      <c r="F18921" s="38" t="s">
        <v>195</v>
      </c>
      <c r="G18921" s="49" t="str">
        <f t="shared" si="1"/>
        <v>88170</v>
      </c>
      <c r="H18921" s="49">
        <f t="shared" si="2"/>
        <v>88117</v>
      </c>
    </row>
    <row r="18922">
      <c r="A18922" s="48" t="s">
        <v>6210</v>
      </c>
      <c r="B18922" s="38">
        <v>54491.0</v>
      </c>
      <c r="C18922" s="38" t="s">
        <v>23389</v>
      </c>
      <c r="D18922" s="38" t="str">
        <f>IFERROR(__xludf.DUMMYFUNCTION("REGEXREPLACE(C18922,""-\d+(.*)|--\d+(.*)"","""")"),"SANCY")</f>
        <v>SANCY</v>
      </c>
      <c r="E18922" s="38" t="s">
        <v>548</v>
      </c>
      <c r="F18922" s="38" t="s">
        <v>195</v>
      </c>
      <c r="G18922" s="49" t="str">
        <f t="shared" si="1"/>
        <v>54560</v>
      </c>
      <c r="H18922" s="49">
        <f t="shared" si="2"/>
        <v>54491</v>
      </c>
    </row>
    <row r="18923">
      <c r="A18923" s="48" t="s">
        <v>8595</v>
      </c>
      <c r="B18923" s="38">
        <v>42210.0</v>
      </c>
      <c r="C18923" s="38" t="s">
        <v>23390</v>
      </c>
      <c r="D18923" s="38" t="str">
        <f>IFERROR(__xludf.DUMMYFUNCTION("REGEXREPLACE(C18923,""-\d+(.*)|--\d+(.*)"","""")"),"SAINTE-CROIX-EN-JAREZ")</f>
        <v>SAINTE-CROIX-EN-JAREZ</v>
      </c>
      <c r="E18923" s="38" t="s">
        <v>166</v>
      </c>
      <c r="F18923" s="38" t="s">
        <v>102</v>
      </c>
      <c r="G18923" s="49" t="str">
        <f t="shared" si="1"/>
        <v>42800</v>
      </c>
      <c r="H18923" s="49">
        <f t="shared" si="2"/>
        <v>42210</v>
      </c>
    </row>
    <row r="18924">
      <c r="A18924" s="48" t="s">
        <v>1254</v>
      </c>
      <c r="B18924" s="38">
        <v>72219.0</v>
      </c>
      <c r="C18924" s="38" t="s">
        <v>23391</v>
      </c>
      <c r="D18924" s="38" t="str">
        <f>IFERROR(__xludf.DUMMYFUNCTION("REGEXREPLACE(C18924,""-\d+(.*)|--\d+(.*)"","""")"),"NEUVY-EN-CHAMPAGNE")</f>
        <v>NEUVY-EN-CHAMPAGNE</v>
      </c>
      <c r="E18924" s="38" t="s">
        <v>521</v>
      </c>
      <c r="F18924" s="38" t="s">
        <v>180</v>
      </c>
      <c r="G18924" s="49" t="str">
        <f t="shared" si="1"/>
        <v>72240</v>
      </c>
      <c r="H18924" s="49">
        <f t="shared" si="2"/>
        <v>72219</v>
      </c>
    </row>
    <row r="18925">
      <c r="A18925" s="48" t="s">
        <v>1295</v>
      </c>
      <c r="B18925" s="38">
        <v>57513.0</v>
      </c>
      <c r="C18925" s="38" t="s">
        <v>23392</v>
      </c>
      <c r="D18925" s="38" t="str">
        <f>IFERROR(__xludf.DUMMYFUNCTION("REGEXREPLACE(C18925,""-\d+(.*)|--\d+(.*)"","""")"),"NOUSSEVILLER-LES-BITCHE")</f>
        <v>NOUSSEVILLER-LES-BITCHE</v>
      </c>
      <c r="E18925" s="38" t="s">
        <v>303</v>
      </c>
      <c r="F18925" s="38" t="s">
        <v>195</v>
      </c>
      <c r="G18925" s="49" t="str">
        <f t="shared" si="1"/>
        <v>57720</v>
      </c>
      <c r="H18925" s="49">
        <f t="shared" si="2"/>
        <v>57513</v>
      </c>
    </row>
    <row r="18926">
      <c r="A18926" s="48" t="s">
        <v>1777</v>
      </c>
      <c r="B18926" s="38">
        <v>10179.0</v>
      </c>
      <c r="C18926" s="38" t="s">
        <v>23393</v>
      </c>
      <c r="D18926" s="38" t="str">
        <f>IFERROR(__xludf.DUMMYFUNCTION("REGEXREPLACE(C18926,""-\d+(.*)|--\d+(.*)"","""")"),"JEUGNY")</f>
        <v>JEUGNY</v>
      </c>
      <c r="E18926" s="38" t="s">
        <v>147</v>
      </c>
      <c r="F18926" s="38" t="s">
        <v>130</v>
      </c>
      <c r="G18926" s="49" t="str">
        <f t="shared" si="1"/>
        <v>10320</v>
      </c>
      <c r="H18926" s="49">
        <f t="shared" si="2"/>
        <v>10179</v>
      </c>
    </row>
    <row r="18927">
      <c r="A18927" s="48" t="s">
        <v>7166</v>
      </c>
      <c r="B18927" s="38">
        <v>52165.0</v>
      </c>
      <c r="C18927" s="38" t="s">
        <v>23394</v>
      </c>
      <c r="D18927" s="38" t="str">
        <f>IFERROR(__xludf.DUMMYFUNCTION("REGEXREPLACE(C18927,""-\d+(.*)|--\d+(.*)"","""")"),"DANCEVOIR")</f>
        <v>DANCEVOIR</v>
      </c>
      <c r="E18927" s="38" t="s">
        <v>234</v>
      </c>
      <c r="F18927" s="38" t="s">
        <v>130</v>
      </c>
      <c r="G18927" s="49" t="str">
        <f t="shared" si="1"/>
        <v>52210</v>
      </c>
      <c r="H18927" s="49">
        <f t="shared" si="2"/>
        <v>52165</v>
      </c>
    </row>
    <row r="18928">
      <c r="A18928" s="48" t="s">
        <v>3444</v>
      </c>
      <c r="B18928" s="38">
        <v>38243.0</v>
      </c>
      <c r="C18928" s="38" t="s">
        <v>23395</v>
      </c>
      <c r="D18928" s="38" t="str">
        <f>IFERROR(__xludf.DUMMYFUNCTION("REGEXREPLACE(C18928,""-\d+(.*)|--\d+(.*)"","""")"),"LE MONESTIER-DU-PERCY")</f>
        <v>LE MONESTIER-DU-PERCY</v>
      </c>
      <c r="E18928" s="38" t="s">
        <v>101</v>
      </c>
      <c r="F18928" s="38" t="s">
        <v>102</v>
      </c>
      <c r="G18928" s="49" t="str">
        <f t="shared" si="1"/>
        <v>38930</v>
      </c>
      <c r="H18928" s="49">
        <f t="shared" si="2"/>
        <v>38243</v>
      </c>
    </row>
    <row r="18929">
      <c r="A18929" s="48" t="s">
        <v>23396</v>
      </c>
      <c r="B18929" s="38">
        <v>67471.0</v>
      </c>
      <c r="C18929" s="38" t="s">
        <v>23397</v>
      </c>
      <c r="D18929" s="38" t="str">
        <f>IFERROR(__xludf.DUMMYFUNCTION("REGEXREPLACE(C18929,""-\d+(.*)|--\d+(.*)"","""")"),"SOUFFELWEYERSHEIM")</f>
        <v>SOUFFELWEYERSHEIM</v>
      </c>
      <c r="E18929" s="38" t="s">
        <v>210</v>
      </c>
      <c r="F18929" s="38" t="s">
        <v>151</v>
      </c>
      <c r="G18929" s="49" t="str">
        <f t="shared" si="1"/>
        <v>67460</v>
      </c>
      <c r="H18929" s="49">
        <f t="shared" si="2"/>
        <v>67471</v>
      </c>
    </row>
    <row r="18930">
      <c r="A18930" s="48" t="s">
        <v>5924</v>
      </c>
      <c r="B18930" s="38">
        <v>87134.0</v>
      </c>
      <c r="C18930" s="38" t="s">
        <v>23398</v>
      </c>
      <c r="D18930" s="38" t="str">
        <f>IFERROR(__xludf.DUMMYFUNCTION("REGEXREPLACE(C18930,""-\d+(.*)|--\d+(.*)"","""")"),"SAINTE-ANNE-SAINT-PRIEST")</f>
        <v>SAINTE-ANNE-SAINT-PRIEST</v>
      </c>
      <c r="E18930" s="38" t="s">
        <v>897</v>
      </c>
      <c r="F18930" s="38" t="s">
        <v>98</v>
      </c>
      <c r="G18930" s="49" t="str">
        <f t="shared" si="1"/>
        <v>87120</v>
      </c>
      <c r="H18930" s="49">
        <f t="shared" si="2"/>
        <v>87134</v>
      </c>
    </row>
    <row r="18931">
      <c r="A18931" s="48" t="s">
        <v>23399</v>
      </c>
      <c r="B18931" s="38">
        <v>13056.0</v>
      </c>
      <c r="C18931" s="38" t="s">
        <v>23400</v>
      </c>
      <c r="D18931" s="38" t="str">
        <f>IFERROR(__xludf.DUMMYFUNCTION("REGEXREPLACE(C18931,""-\d+(.*)|--\d+(.*)"","""")"),"MARTIGUES")</f>
        <v>MARTIGUES</v>
      </c>
      <c r="E18931" s="38" t="s">
        <v>980</v>
      </c>
      <c r="F18931" s="38" t="s">
        <v>228</v>
      </c>
      <c r="G18931" s="49" t="str">
        <f t="shared" si="1"/>
        <v>13500</v>
      </c>
      <c r="H18931" s="49">
        <f t="shared" si="2"/>
        <v>13056</v>
      </c>
    </row>
    <row r="18932">
      <c r="A18932" s="48" t="s">
        <v>9498</v>
      </c>
      <c r="B18932" s="38">
        <v>79012.0</v>
      </c>
      <c r="C18932" s="38" t="s">
        <v>23401</v>
      </c>
      <c r="D18932" s="38" t="str">
        <f>IFERROR(__xludf.DUMMYFUNCTION("REGEXREPLACE(C18932,""-\d+(.*)|--\d+(.*)"","""")"),"ARDIN")</f>
        <v>ARDIN</v>
      </c>
      <c r="E18932" s="38" t="s">
        <v>337</v>
      </c>
      <c r="F18932" s="38" t="s">
        <v>338</v>
      </c>
      <c r="G18932" s="49" t="str">
        <f t="shared" si="1"/>
        <v>79160</v>
      </c>
      <c r="H18932" s="49">
        <f t="shared" si="2"/>
        <v>79012</v>
      </c>
    </row>
    <row r="18933">
      <c r="A18933" s="48" t="s">
        <v>10880</v>
      </c>
      <c r="B18933" s="38">
        <v>72350.0</v>
      </c>
      <c r="C18933" s="38" t="s">
        <v>23402</v>
      </c>
      <c r="D18933" s="38" t="str">
        <f>IFERROR(__xludf.DUMMYFUNCTION("REGEXREPLACE(C18933,""-\d+(.*)|--\d+(.*)"","""")"),"TELOCHE")</f>
        <v>TELOCHE</v>
      </c>
      <c r="E18933" s="38" t="s">
        <v>521</v>
      </c>
      <c r="F18933" s="38" t="s">
        <v>180</v>
      </c>
      <c r="G18933" s="49" t="str">
        <f t="shared" si="1"/>
        <v>72220</v>
      </c>
      <c r="H18933" s="49">
        <f t="shared" si="2"/>
        <v>72350</v>
      </c>
    </row>
    <row r="18934">
      <c r="A18934" s="48" t="s">
        <v>637</v>
      </c>
      <c r="B18934" s="38">
        <v>1345.0</v>
      </c>
      <c r="C18934" s="38" t="s">
        <v>23403</v>
      </c>
      <c r="D18934" s="38" t="str">
        <f>IFERROR(__xludf.DUMMYFUNCTION("REGEXREPLACE(C18934,""-\d+(.*)|--\d+(.*)"","""")"),"SAINT-DENIS-EN-BUGEY")</f>
        <v>SAINT-DENIS-EN-BUGEY</v>
      </c>
      <c r="E18934" s="38" t="s">
        <v>255</v>
      </c>
      <c r="F18934" s="38" t="s">
        <v>102</v>
      </c>
      <c r="G18934" s="49" t="str">
        <f t="shared" si="1"/>
        <v>01500</v>
      </c>
      <c r="H18934" s="49" t="str">
        <f t="shared" si="2"/>
        <v>01345</v>
      </c>
    </row>
    <row r="18935">
      <c r="A18935" s="48" t="s">
        <v>5866</v>
      </c>
      <c r="B18935" s="38">
        <v>33257.0</v>
      </c>
      <c r="C18935" s="38" t="s">
        <v>23404</v>
      </c>
      <c r="D18935" s="38" t="str">
        <f>IFERROR(__xludf.DUMMYFUNCTION("REGEXREPLACE(C18935,""-\d+(.*)|--\d+(.*)"","""")"),"LUGAIGNAC")</f>
        <v>LUGAIGNAC</v>
      </c>
      <c r="E18935" s="38" t="s">
        <v>462</v>
      </c>
      <c r="F18935" s="38" t="s">
        <v>252</v>
      </c>
      <c r="G18935" s="49" t="str">
        <f t="shared" si="1"/>
        <v>33420</v>
      </c>
      <c r="H18935" s="49">
        <f t="shared" si="2"/>
        <v>33257</v>
      </c>
    </row>
    <row r="18936">
      <c r="A18936" s="48" t="s">
        <v>4834</v>
      </c>
      <c r="B18936" s="38">
        <v>27071.0</v>
      </c>
      <c r="C18936" s="38" t="s">
        <v>23405</v>
      </c>
      <c r="D18936" s="38" t="str">
        <f>IFERROR(__xludf.DUMMYFUNCTION("REGEXREPLACE(C18936,""-\d+(.*)|--\d+(.*)"","""")"),"LE BOIS-HELLAIN")</f>
        <v>LE BOIS-HELLAIN</v>
      </c>
      <c r="E18936" s="38" t="s">
        <v>241</v>
      </c>
      <c r="F18936" s="38" t="s">
        <v>134</v>
      </c>
      <c r="G18936" s="49" t="str">
        <f t="shared" si="1"/>
        <v>27260</v>
      </c>
      <c r="H18936" s="49">
        <f t="shared" si="2"/>
        <v>27071</v>
      </c>
    </row>
    <row r="18937">
      <c r="A18937" s="48" t="s">
        <v>4566</v>
      </c>
      <c r="B18937" s="38">
        <v>24177.0</v>
      </c>
      <c r="C18937" s="38" t="s">
        <v>17262</v>
      </c>
      <c r="D18937" s="38" t="str">
        <f>IFERROR(__xludf.DUMMYFUNCTION("REGEXREPLACE(C18937,""-\d+(.*)|--\d+(.*)"","""")"),"FAUX")</f>
        <v>FAUX</v>
      </c>
      <c r="E18937" s="38" t="s">
        <v>261</v>
      </c>
      <c r="F18937" s="38" t="s">
        <v>252</v>
      </c>
      <c r="G18937" s="49" t="str">
        <f t="shared" si="1"/>
        <v>24560</v>
      </c>
      <c r="H18937" s="49">
        <f t="shared" si="2"/>
        <v>24177</v>
      </c>
    </row>
    <row r="18938">
      <c r="A18938" s="48" t="s">
        <v>3244</v>
      </c>
      <c r="B18938" s="38">
        <v>27611.0</v>
      </c>
      <c r="C18938" s="38" t="s">
        <v>23406</v>
      </c>
      <c r="D18938" s="38" t="str">
        <f>IFERROR(__xludf.DUMMYFUNCTION("REGEXREPLACE(C18938,""-\d+(.*)|--\d+(.*)"","""")"),"SAINT-VIGOR")</f>
        <v>SAINT-VIGOR</v>
      </c>
      <c r="E18938" s="38" t="s">
        <v>241</v>
      </c>
      <c r="F18938" s="38" t="s">
        <v>134</v>
      </c>
      <c r="G18938" s="49" t="str">
        <f t="shared" si="1"/>
        <v>27930</v>
      </c>
      <c r="H18938" s="49">
        <f t="shared" si="2"/>
        <v>27611</v>
      </c>
    </row>
    <row r="18939">
      <c r="A18939" s="48" t="s">
        <v>198</v>
      </c>
      <c r="B18939" s="38">
        <v>65137.0</v>
      </c>
      <c r="C18939" s="38" t="s">
        <v>23407</v>
      </c>
      <c r="D18939" s="38" t="str">
        <f>IFERROR(__xludf.DUMMYFUNCTION("REGEXREPLACE(C18939,""-\d+(.*)|--\d+(.*)"","""")"),"CAUSSADE-RIVIERE")</f>
        <v>CAUSSADE-RIVIERE</v>
      </c>
      <c r="E18939" s="38" t="s">
        <v>200</v>
      </c>
      <c r="F18939" s="38" t="s">
        <v>94</v>
      </c>
      <c r="G18939" s="49" t="str">
        <f t="shared" si="1"/>
        <v>65700</v>
      </c>
      <c r="H18939" s="49">
        <f t="shared" si="2"/>
        <v>65137</v>
      </c>
    </row>
    <row r="18940">
      <c r="A18940" s="48" t="s">
        <v>3283</v>
      </c>
      <c r="B18940" s="38">
        <v>52373.0</v>
      </c>
      <c r="C18940" s="38" t="s">
        <v>23408</v>
      </c>
      <c r="D18940" s="38" t="str">
        <f>IFERROR(__xludf.DUMMYFUNCTION("REGEXREPLACE(C18940,""-\d+(.*)|--\d+(.*)"","""")"),"OZIERES")</f>
        <v>OZIERES</v>
      </c>
      <c r="E18940" s="38" t="s">
        <v>234</v>
      </c>
      <c r="F18940" s="38" t="s">
        <v>130</v>
      </c>
      <c r="G18940" s="49" t="str">
        <f t="shared" si="1"/>
        <v>52700</v>
      </c>
      <c r="H18940" s="49">
        <f t="shared" si="2"/>
        <v>52373</v>
      </c>
    </row>
    <row r="18941">
      <c r="A18941" s="48" t="s">
        <v>4344</v>
      </c>
      <c r="B18941" s="38">
        <v>14138.0</v>
      </c>
      <c r="C18941" s="38" t="s">
        <v>23409</v>
      </c>
      <c r="D18941" s="38" t="str">
        <f>IFERROR(__xludf.DUMMYFUNCTION("REGEXREPLACE(C18941,""-\d+(.*)|--\d+(.*)"","""")"),"CARTIGNY-L'EPINAY")</f>
        <v>CARTIGNY-L'EPINAY</v>
      </c>
      <c r="E18941" s="38" t="s">
        <v>137</v>
      </c>
      <c r="F18941" s="38" t="s">
        <v>138</v>
      </c>
      <c r="G18941" s="49" t="str">
        <f t="shared" si="1"/>
        <v>14330</v>
      </c>
      <c r="H18941" s="49">
        <f t="shared" si="2"/>
        <v>14138</v>
      </c>
    </row>
    <row r="18942">
      <c r="A18942" s="48" t="s">
        <v>3675</v>
      </c>
      <c r="B18942" s="38">
        <v>58098.0</v>
      </c>
      <c r="C18942" s="38" t="s">
        <v>23410</v>
      </c>
      <c r="D18942" s="38" t="str">
        <f>IFERROR(__xludf.DUMMYFUNCTION("REGEXREPLACE(C18942,""-\d+(.*)|--\d+(.*)"","""")"),"DIROL")</f>
        <v>DIROL</v>
      </c>
      <c r="E18942" s="38" t="s">
        <v>219</v>
      </c>
      <c r="F18942" s="38" t="s">
        <v>106</v>
      </c>
      <c r="G18942" s="49" t="str">
        <f t="shared" si="1"/>
        <v>58190</v>
      </c>
      <c r="H18942" s="49">
        <f t="shared" si="2"/>
        <v>58098</v>
      </c>
    </row>
    <row r="18943">
      <c r="A18943" s="48" t="s">
        <v>284</v>
      </c>
      <c r="B18943" s="38">
        <v>60351.0</v>
      </c>
      <c r="C18943" s="38" t="s">
        <v>23411</v>
      </c>
      <c r="D18943" s="38" t="str">
        <f>IFERROR(__xludf.DUMMYFUNCTION("REGEXREPLACE(C18943,""-\d+(.*)|--\d+(.*)"","""")"),"LATAULE")</f>
        <v>LATAULE</v>
      </c>
      <c r="E18943" s="38" t="s">
        <v>112</v>
      </c>
      <c r="F18943" s="38" t="s">
        <v>113</v>
      </c>
      <c r="G18943" s="49" t="str">
        <f t="shared" si="1"/>
        <v>60490</v>
      </c>
      <c r="H18943" s="49">
        <f t="shared" si="2"/>
        <v>60351</v>
      </c>
    </row>
    <row r="18944">
      <c r="A18944" s="48" t="s">
        <v>2868</v>
      </c>
      <c r="B18944" s="38">
        <v>80617.0</v>
      </c>
      <c r="C18944" s="38" t="s">
        <v>23412</v>
      </c>
      <c r="D18944" s="38" t="str">
        <f>IFERROR(__xludf.DUMMYFUNCTION("REGEXREPLACE(C18944,""-\d+(.*)|--\d+(.*)"","""")"),"PARVILLERS-LE-QUESNOY")</f>
        <v>PARVILLERS-LE-QUESNOY</v>
      </c>
      <c r="E18944" s="38" t="s">
        <v>224</v>
      </c>
      <c r="F18944" s="38" t="s">
        <v>113</v>
      </c>
      <c r="G18944" s="49" t="str">
        <f t="shared" si="1"/>
        <v>80700</v>
      </c>
      <c r="H18944" s="49">
        <f t="shared" si="2"/>
        <v>80617</v>
      </c>
    </row>
    <row r="18945">
      <c r="A18945" s="48" t="s">
        <v>8510</v>
      </c>
      <c r="B18945" s="38">
        <v>39482.0</v>
      </c>
      <c r="C18945" s="38" t="s">
        <v>23413</v>
      </c>
      <c r="D18945" s="38" t="str">
        <f>IFERROR(__xludf.DUMMYFUNCTION("REGEXREPLACE(C18945,""-\d+(.*)|--\d+(.*)"","""")"),"SAINT-GERMAIN-LES-ARLAY")</f>
        <v>SAINT-GERMAIN-LES-ARLAY</v>
      </c>
      <c r="E18945" s="38" t="s">
        <v>400</v>
      </c>
      <c r="F18945" s="38" t="s">
        <v>214</v>
      </c>
      <c r="G18945" s="49" t="str">
        <f t="shared" si="1"/>
        <v>39210</v>
      </c>
      <c r="H18945" s="49">
        <f t="shared" si="2"/>
        <v>39482</v>
      </c>
    </row>
    <row r="18946">
      <c r="A18946" s="48" t="s">
        <v>23414</v>
      </c>
      <c r="B18946" s="38">
        <v>83025.0</v>
      </c>
      <c r="C18946" s="38" t="s">
        <v>23415</v>
      </c>
      <c r="D18946" s="38" t="str">
        <f>IFERROR(__xludf.DUMMYFUNCTION("REGEXREPLACE(C18946,""-\d+(.*)|--\d+(.*)"","""")"),"BRUE-AURIAC")</f>
        <v>BRUE-AURIAC</v>
      </c>
      <c r="E18946" s="38" t="s">
        <v>813</v>
      </c>
      <c r="F18946" s="38" t="s">
        <v>228</v>
      </c>
      <c r="G18946" s="49" t="str">
        <f t="shared" si="1"/>
        <v>83119</v>
      </c>
      <c r="H18946" s="49">
        <f t="shared" si="2"/>
        <v>83025</v>
      </c>
    </row>
    <row r="18947">
      <c r="A18947" s="48" t="s">
        <v>23416</v>
      </c>
      <c r="B18947" s="38">
        <v>17300.0</v>
      </c>
      <c r="C18947" s="38" t="s">
        <v>23417</v>
      </c>
      <c r="D18947" s="38" t="str">
        <f>IFERROR(__xludf.DUMMYFUNCTION("REGEXREPLACE(C18947,""-\d+(.*)|--\d+(.*)"","""")"),"LA ROCHELLE")</f>
        <v>LA ROCHELLE</v>
      </c>
      <c r="E18947" s="38" t="s">
        <v>488</v>
      </c>
      <c r="F18947" s="38" t="s">
        <v>338</v>
      </c>
      <c r="G18947" s="49" t="str">
        <f t="shared" si="1"/>
        <v>17000</v>
      </c>
      <c r="H18947" s="49">
        <f t="shared" si="2"/>
        <v>17300</v>
      </c>
    </row>
    <row r="18948">
      <c r="A18948" s="48" t="s">
        <v>8302</v>
      </c>
      <c r="B18948" s="38">
        <v>66152.0</v>
      </c>
      <c r="C18948" s="38" t="s">
        <v>23418</v>
      </c>
      <c r="D18948" s="38" t="str">
        <f>IFERROR(__xludf.DUMMYFUNCTION("REGEXREPLACE(C18948,""-\d+(.*)|--\d+(.*)"","""")"),"PRUGNANES")</f>
        <v>PRUGNANES</v>
      </c>
      <c r="E18948" s="38" t="s">
        <v>248</v>
      </c>
      <c r="F18948" s="38" t="s">
        <v>119</v>
      </c>
      <c r="G18948" s="49" t="str">
        <f t="shared" si="1"/>
        <v>66220</v>
      </c>
      <c r="H18948" s="49">
        <f t="shared" si="2"/>
        <v>66152</v>
      </c>
    </row>
    <row r="18949">
      <c r="A18949" s="48" t="s">
        <v>18499</v>
      </c>
      <c r="B18949" s="38">
        <v>37181.0</v>
      </c>
      <c r="C18949" s="38" t="s">
        <v>23419</v>
      </c>
      <c r="D18949" s="38" t="str">
        <f>IFERROR(__xludf.DUMMYFUNCTION("REGEXREPLACE(C18949,""-\d+(.*)|--\d+(.*)"","""")"),"PAULMY")</f>
        <v>PAULMY</v>
      </c>
      <c r="E18949" s="38" t="s">
        <v>205</v>
      </c>
      <c r="F18949" s="38" t="s">
        <v>123</v>
      </c>
      <c r="G18949" s="49" t="str">
        <f t="shared" si="1"/>
        <v>37350</v>
      </c>
      <c r="H18949" s="49">
        <f t="shared" si="2"/>
        <v>37181</v>
      </c>
    </row>
    <row r="18950">
      <c r="A18950" s="48" t="s">
        <v>4992</v>
      </c>
      <c r="B18950" s="38">
        <v>80008.0</v>
      </c>
      <c r="C18950" s="38" t="s">
        <v>23420</v>
      </c>
      <c r="D18950" s="38" t="str">
        <f>IFERROR(__xludf.DUMMYFUNCTION("REGEXREPLACE(C18950,""-\d+(.*)|--\d+(.*)"","""")"),"AIGNEVILLE")</f>
        <v>AIGNEVILLE</v>
      </c>
      <c r="E18950" s="38" t="s">
        <v>224</v>
      </c>
      <c r="F18950" s="38" t="s">
        <v>113</v>
      </c>
      <c r="G18950" s="49" t="str">
        <f t="shared" si="1"/>
        <v>80210</v>
      </c>
      <c r="H18950" s="49">
        <f t="shared" si="2"/>
        <v>80008</v>
      </c>
    </row>
    <row r="18951">
      <c r="A18951" s="48" t="s">
        <v>1697</v>
      </c>
      <c r="B18951" s="38">
        <v>39180.0</v>
      </c>
      <c r="C18951" s="38" t="s">
        <v>23421</v>
      </c>
      <c r="D18951" s="38" t="str">
        <f>IFERROR(__xludf.DUMMYFUNCTION("REGEXREPLACE(C18951,""-\d+(.*)|--\d+(.*)"","""")"),"CRESSIA")</f>
        <v>CRESSIA</v>
      </c>
      <c r="E18951" s="38" t="s">
        <v>400</v>
      </c>
      <c r="F18951" s="38" t="s">
        <v>214</v>
      </c>
      <c r="G18951" s="49" t="str">
        <f t="shared" si="1"/>
        <v>39270</v>
      </c>
      <c r="H18951" s="49">
        <f t="shared" si="2"/>
        <v>39180</v>
      </c>
    </row>
    <row r="18952">
      <c r="A18952" s="48" t="s">
        <v>5950</v>
      </c>
      <c r="B18952" s="38">
        <v>53073.0</v>
      </c>
      <c r="C18952" s="38" t="s">
        <v>23422</v>
      </c>
      <c r="D18952" s="38" t="str">
        <f>IFERROR(__xludf.DUMMYFUNCTION("REGEXREPLACE(C18952,""-\d+(.*)|--\d+(.*)"","""")"),"CONGRIER")</f>
        <v>CONGRIER</v>
      </c>
      <c r="E18952" s="38" t="s">
        <v>518</v>
      </c>
      <c r="F18952" s="38" t="s">
        <v>180</v>
      </c>
      <c r="G18952" s="49" t="str">
        <f t="shared" si="1"/>
        <v>53800</v>
      </c>
      <c r="H18952" s="49">
        <f t="shared" si="2"/>
        <v>53073</v>
      </c>
    </row>
    <row r="18953">
      <c r="A18953" s="48" t="s">
        <v>23423</v>
      </c>
      <c r="B18953" s="38">
        <v>83018.0</v>
      </c>
      <c r="C18953" s="38" t="s">
        <v>23424</v>
      </c>
      <c r="D18953" s="38" t="str">
        <f>IFERROR(__xludf.DUMMYFUNCTION("REGEXREPLACE(C18953,""-\d+(.*)|--\d+(.*)"","""")"),"BESSE-SUR-ISSOLE")</f>
        <v>BESSE-SUR-ISSOLE</v>
      </c>
      <c r="E18953" s="38" t="s">
        <v>813</v>
      </c>
      <c r="F18953" s="38" t="s">
        <v>228</v>
      </c>
      <c r="G18953" s="49" t="str">
        <f t="shared" si="1"/>
        <v>83890</v>
      </c>
      <c r="H18953" s="49">
        <f t="shared" si="2"/>
        <v>83018</v>
      </c>
    </row>
    <row r="18954">
      <c r="A18954" s="48" t="s">
        <v>1195</v>
      </c>
      <c r="B18954" s="38">
        <v>80694.0</v>
      </c>
      <c r="C18954" s="38" t="s">
        <v>23425</v>
      </c>
      <c r="D18954" s="38" t="str">
        <f>IFERROR(__xludf.DUMMYFUNCTION("REGEXREPLACE(C18954,""-\d+(.*)|--\d+(.*)"","""")"),"SAILLY-LE-SEC")</f>
        <v>SAILLY-LE-SEC</v>
      </c>
      <c r="E18954" s="38" t="s">
        <v>224</v>
      </c>
      <c r="F18954" s="38" t="s">
        <v>113</v>
      </c>
      <c r="G18954" s="49" t="str">
        <f t="shared" si="1"/>
        <v>80800</v>
      </c>
      <c r="H18954" s="49">
        <f t="shared" si="2"/>
        <v>80694</v>
      </c>
    </row>
    <row r="18955">
      <c r="A18955" s="48" t="s">
        <v>19271</v>
      </c>
      <c r="B18955" s="38">
        <v>8166.0</v>
      </c>
      <c r="C18955" s="38" t="s">
        <v>23426</v>
      </c>
      <c r="D18955" s="38" t="str">
        <f>IFERROR(__xludf.DUMMYFUNCTION("REGEXREPLACE(C18955,""-\d+(.*)|--\d+(.*)"","""")"),"FEPIN")</f>
        <v>FEPIN</v>
      </c>
      <c r="E18955" s="38" t="s">
        <v>327</v>
      </c>
      <c r="F18955" s="38" t="s">
        <v>130</v>
      </c>
      <c r="G18955" s="49" t="str">
        <f t="shared" si="1"/>
        <v>08170</v>
      </c>
      <c r="H18955" s="49" t="str">
        <f t="shared" si="2"/>
        <v>08166</v>
      </c>
    </row>
    <row r="18956">
      <c r="A18956" s="48" t="s">
        <v>1887</v>
      </c>
      <c r="B18956" s="38">
        <v>88199.0</v>
      </c>
      <c r="C18956" s="38" t="s">
        <v>23427</v>
      </c>
      <c r="D18956" s="38" t="str">
        <f>IFERROR(__xludf.DUMMYFUNCTION("REGEXREPLACE(C18956,""-\d+(.*)|--\d+(.*)"","""")"),"GIGNEVILLE")</f>
        <v>GIGNEVILLE</v>
      </c>
      <c r="E18956" s="38" t="s">
        <v>194</v>
      </c>
      <c r="F18956" s="38" t="s">
        <v>195</v>
      </c>
      <c r="G18956" s="49" t="str">
        <f t="shared" si="1"/>
        <v>88320</v>
      </c>
      <c r="H18956" s="49">
        <f t="shared" si="2"/>
        <v>88199</v>
      </c>
    </row>
    <row r="18957">
      <c r="A18957" s="48" t="s">
        <v>2995</v>
      </c>
      <c r="B18957" s="38">
        <v>28091.0</v>
      </c>
      <c r="C18957" s="38" t="s">
        <v>23428</v>
      </c>
      <c r="D18957" s="38" t="str">
        <f>IFERROR(__xludf.DUMMYFUNCTION("REGEXREPLACE(C18957,""-\d+(.*)|--\d+(.*)"","""")"),"LES CHATELLIERS-NOTRE-DAME")</f>
        <v>LES CHATELLIERS-NOTRE-DAME</v>
      </c>
      <c r="E18957" s="38" t="s">
        <v>300</v>
      </c>
      <c r="F18957" s="38" t="s">
        <v>123</v>
      </c>
      <c r="G18957" s="49" t="str">
        <f t="shared" si="1"/>
        <v>28120</v>
      </c>
      <c r="H18957" s="49">
        <f t="shared" si="2"/>
        <v>28091</v>
      </c>
    </row>
    <row r="18958">
      <c r="A18958" s="48" t="s">
        <v>7305</v>
      </c>
      <c r="B18958" s="38">
        <v>49086.0</v>
      </c>
      <c r="C18958" s="38" t="s">
        <v>23429</v>
      </c>
      <c r="D18958" s="38" t="str">
        <f>IFERROR(__xludf.DUMMYFUNCTION("REGEXREPLACE(C18958,""-\d+(.*)|--\d+(.*)"","""")"),"CHAVAGNES")</f>
        <v>CHAVAGNES</v>
      </c>
      <c r="E18958" s="38" t="s">
        <v>653</v>
      </c>
      <c r="F18958" s="38" t="s">
        <v>180</v>
      </c>
      <c r="G18958" s="49" t="str">
        <f t="shared" si="1"/>
        <v>49380</v>
      </c>
      <c r="H18958" s="49">
        <f t="shared" si="2"/>
        <v>49086</v>
      </c>
    </row>
    <row r="18959">
      <c r="A18959" s="48" t="s">
        <v>6606</v>
      </c>
      <c r="B18959" s="38">
        <v>25411.0</v>
      </c>
      <c r="C18959" s="38" t="s">
        <v>23430</v>
      </c>
      <c r="D18959" s="38" t="str">
        <f>IFERROR(__xludf.DUMMYFUNCTION("REGEXREPLACE(C18959,""-\d+(.*)|--\d+(.*)"","""")"),"MORTEAU")</f>
        <v>MORTEAU</v>
      </c>
      <c r="E18959" s="38" t="s">
        <v>213</v>
      </c>
      <c r="F18959" s="38" t="s">
        <v>214</v>
      </c>
      <c r="G18959" s="49" t="str">
        <f t="shared" si="1"/>
        <v>25500</v>
      </c>
      <c r="H18959" s="49">
        <f t="shared" si="2"/>
        <v>25411</v>
      </c>
    </row>
    <row r="18960">
      <c r="A18960" s="48" t="s">
        <v>1611</v>
      </c>
      <c r="B18960" s="38">
        <v>51231.0</v>
      </c>
      <c r="C18960" s="38" t="s">
        <v>15046</v>
      </c>
      <c r="D18960" s="38" t="str">
        <f>IFERROR(__xludf.DUMMYFUNCTION("REGEXREPLACE(C18960,""-\d+(.*)|--\d+(.*)"","""")"),"L'EPINE")</f>
        <v>L'EPINE</v>
      </c>
      <c r="E18960" s="38" t="s">
        <v>129</v>
      </c>
      <c r="F18960" s="38" t="s">
        <v>130</v>
      </c>
      <c r="G18960" s="49" t="str">
        <f t="shared" si="1"/>
        <v>51460</v>
      </c>
      <c r="H18960" s="49">
        <f t="shared" si="2"/>
        <v>51231</v>
      </c>
    </row>
    <row r="18961">
      <c r="A18961" s="48" t="s">
        <v>1212</v>
      </c>
      <c r="B18961" s="38">
        <v>11307.0</v>
      </c>
      <c r="C18961" s="38" t="s">
        <v>23431</v>
      </c>
      <c r="D18961" s="38" t="str">
        <f>IFERROR(__xludf.DUMMYFUNCTION("REGEXREPLACE(C18961,""-\d+(.*)|--\d+(.*)"","""")"),"RAISSAC-D'AUDE")</f>
        <v>RAISSAC-D'AUDE</v>
      </c>
      <c r="E18961" s="38" t="s">
        <v>278</v>
      </c>
      <c r="F18961" s="38" t="s">
        <v>119</v>
      </c>
      <c r="G18961" s="49" t="str">
        <f t="shared" si="1"/>
        <v>11200</v>
      </c>
      <c r="H18961" s="49">
        <f t="shared" si="2"/>
        <v>11307</v>
      </c>
    </row>
    <row r="18962">
      <c r="A18962" s="48" t="s">
        <v>2274</v>
      </c>
      <c r="B18962" s="38">
        <v>48160.0</v>
      </c>
      <c r="C18962" s="38" t="s">
        <v>23432</v>
      </c>
      <c r="D18962" s="38" t="str">
        <f>IFERROR(__xludf.DUMMYFUNCTION("REGEXREPLACE(C18962,""-\d+(.*)|--\d+(.*)"","""")"),"SAINT-JEAN-LA-FOUILLOUSE")</f>
        <v>SAINT-JEAN-LA-FOUILLOUSE</v>
      </c>
      <c r="E18962" s="38" t="s">
        <v>154</v>
      </c>
      <c r="F18962" s="38" t="s">
        <v>119</v>
      </c>
      <c r="G18962" s="49" t="str">
        <f t="shared" si="1"/>
        <v>48170</v>
      </c>
      <c r="H18962" s="49">
        <f t="shared" si="2"/>
        <v>48160</v>
      </c>
    </row>
    <row r="18963">
      <c r="A18963" s="48" t="s">
        <v>1422</v>
      </c>
      <c r="B18963" s="38">
        <v>14280.0</v>
      </c>
      <c r="C18963" s="38" t="s">
        <v>23433</v>
      </c>
      <c r="D18963" s="38" t="str">
        <f>IFERROR(__xludf.DUMMYFUNCTION("REGEXREPLACE(C18963,""-\d+(.*)|--\d+(.*)"","""")"),"FORMENTIN")</f>
        <v>FORMENTIN</v>
      </c>
      <c r="E18963" s="38" t="s">
        <v>137</v>
      </c>
      <c r="F18963" s="38" t="s">
        <v>138</v>
      </c>
      <c r="G18963" s="49" t="str">
        <f t="shared" si="1"/>
        <v>14340</v>
      </c>
      <c r="H18963" s="49">
        <f t="shared" si="2"/>
        <v>14280</v>
      </c>
    </row>
    <row r="18964">
      <c r="A18964" s="48" t="s">
        <v>3295</v>
      </c>
      <c r="B18964" s="38">
        <v>76073.0</v>
      </c>
      <c r="C18964" s="38" t="s">
        <v>23434</v>
      </c>
      <c r="D18964" s="38" t="str">
        <f>IFERROR(__xludf.DUMMYFUNCTION("REGEXREPLACE(C18964,""-\d+(.*)|--\d+(.*)"","""")"),"BELLEVILLE-SUR-MER")</f>
        <v>BELLEVILLE-SUR-MER</v>
      </c>
      <c r="E18964" s="38" t="s">
        <v>133</v>
      </c>
      <c r="F18964" s="38" t="s">
        <v>134</v>
      </c>
      <c r="G18964" s="49" t="str">
        <f t="shared" si="1"/>
        <v>76370</v>
      </c>
      <c r="H18964" s="49">
        <f t="shared" si="2"/>
        <v>76073</v>
      </c>
    </row>
    <row r="18965">
      <c r="A18965" s="48" t="s">
        <v>9044</v>
      </c>
      <c r="B18965" s="38">
        <v>32082.0</v>
      </c>
      <c r="C18965" s="38" t="s">
        <v>23435</v>
      </c>
      <c r="D18965" s="38" t="str">
        <f>IFERROR(__xludf.DUMMYFUNCTION("REGEXREPLACE(C18965,""-\d+(.*)|--\d+(.*)"","""")"),"CASTERA-LECTOUROIS")</f>
        <v>CASTERA-LECTOUROIS</v>
      </c>
      <c r="E18965" s="38" t="s">
        <v>440</v>
      </c>
      <c r="F18965" s="38" t="s">
        <v>94</v>
      </c>
      <c r="G18965" s="49" t="str">
        <f t="shared" si="1"/>
        <v>32700</v>
      </c>
      <c r="H18965" s="49">
        <f t="shared" si="2"/>
        <v>32082</v>
      </c>
    </row>
    <row r="18966">
      <c r="A18966" s="48" t="s">
        <v>5650</v>
      </c>
      <c r="B18966" s="38">
        <v>1035.0</v>
      </c>
      <c r="C18966" s="38" t="s">
        <v>23436</v>
      </c>
      <c r="D18966" s="38" t="str">
        <f>IFERROR(__xludf.DUMMYFUNCTION("REGEXREPLACE(C18966,""-\d+(.*)|--\d+(.*)"","""")"),"BELLEYDOUX")</f>
        <v>BELLEYDOUX</v>
      </c>
      <c r="E18966" s="38" t="s">
        <v>255</v>
      </c>
      <c r="F18966" s="38" t="s">
        <v>102</v>
      </c>
      <c r="G18966" s="49" t="str">
        <f t="shared" si="1"/>
        <v>01130</v>
      </c>
      <c r="H18966" s="49" t="str">
        <f t="shared" si="2"/>
        <v>01035</v>
      </c>
    </row>
    <row r="18967">
      <c r="A18967" s="48" t="s">
        <v>1364</v>
      </c>
      <c r="B18967" s="38">
        <v>64043.0</v>
      </c>
      <c r="C18967" s="38" t="s">
        <v>10361</v>
      </c>
      <c r="D18967" s="38" t="str">
        <f>IFERROR(__xludf.DUMMYFUNCTION("REGEXREPLACE(C18967,""-\d+(.*)|--\d+(.*)"","""")"),"ARGELOS")</f>
        <v>ARGELOS</v>
      </c>
      <c r="E18967" s="38" t="s">
        <v>268</v>
      </c>
      <c r="F18967" s="38" t="s">
        <v>252</v>
      </c>
      <c r="G18967" s="49" t="str">
        <f t="shared" si="1"/>
        <v>64450</v>
      </c>
      <c r="H18967" s="49">
        <f t="shared" si="2"/>
        <v>64043</v>
      </c>
    </row>
    <row r="18968">
      <c r="A18968" s="48" t="s">
        <v>21188</v>
      </c>
      <c r="B18968" s="38">
        <v>4035.0</v>
      </c>
      <c r="C18968" s="38" t="s">
        <v>23437</v>
      </c>
      <c r="D18968" s="38" t="str">
        <f>IFERROR(__xludf.DUMMYFUNCTION("REGEXREPLACE(C18968,""-\d+(.*)|--\d+(.*)"","""")"),"BRUNET")</f>
        <v>BRUNET</v>
      </c>
      <c r="E18968" s="38" t="s">
        <v>662</v>
      </c>
      <c r="F18968" s="38" t="s">
        <v>228</v>
      </c>
      <c r="G18968" s="49" t="str">
        <f t="shared" si="1"/>
        <v>04210</v>
      </c>
      <c r="H18968" s="49" t="str">
        <f t="shared" si="2"/>
        <v>04035</v>
      </c>
    </row>
    <row r="18969">
      <c r="A18969" s="48" t="s">
        <v>1628</v>
      </c>
      <c r="B18969" s="38">
        <v>70009.0</v>
      </c>
      <c r="C18969" s="38" t="s">
        <v>23438</v>
      </c>
      <c r="D18969" s="38" t="str">
        <f>IFERROR(__xludf.DUMMYFUNCTION("REGEXREPLACE(C18969,""-\d+(.*)|--\d+(.*)"","""")"),"AISEY-ET-RICHECOURT")</f>
        <v>AISEY-ET-RICHECOURT</v>
      </c>
      <c r="E18969" s="38" t="s">
        <v>956</v>
      </c>
      <c r="F18969" s="38" t="s">
        <v>214</v>
      </c>
      <c r="G18969" s="49" t="str">
        <f t="shared" si="1"/>
        <v>70500</v>
      </c>
      <c r="H18969" s="49">
        <f t="shared" si="2"/>
        <v>70009</v>
      </c>
    </row>
    <row r="18970">
      <c r="A18970" s="48" t="s">
        <v>5281</v>
      </c>
      <c r="B18970" s="38">
        <v>25590.0</v>
      </c>
      <c r="C18970" s="38" t="s">
        <v>23439</v>
      </c>
      <c r="D18970" s="38" t="str">
        <f>IFERROR(__xludf.DUMMYFUNCTION("REGEXREPLACE(C18970,""-\d+(.*)|--\d+(.*)"","""")"),"VAUDRIVILLERS")</f>
        <v>VAUDRIVILLERS</v>
      </c>
      <c r="E18970" s="38" t="s">
        <v>213</v>
      </c>
      <c r="F18970" s="38" t="s">
        <v>214</v>
      </c>
      <c r="G18970" s="49" t="str">
        <f t="shared" si="1"/>
        <v>25360</v>
      </c>
      <c r="H18970" s="49">
        <f t="shared" si="2"/>
        <v>25590</v>
      </c>
    </row>
    <row r="18971">
      <c r="A18971" s="48" t="s">
        <v>139</v>
      </c>
      <c r="B18971" s="38">
        <v>61476.0</v>
      </c>
      <c r="C18971" s="38" t="s">
        <v>23440</v>
      </c>
      <c r="D18971" s="38" t="str">
        <f>IFERROR(__xludf.DUMMYFUNCTION("REGEXREPLACE(C18971,""-\d+(.*)|--\d+(.*)"","""")"),"SURE")</f>
        <v>SURE</v>
      </c>
      <c r="E18971" s="38" t="s">
        <v>141</v>
      </c>
      <c r="F18971" s="38" t="s">
        <v>138</v>
      </c>
      <c r="G18971" s="49" t="str">
        <f t="shared" si="1"/>
        <v>61360</v>
      </c>
      <c r="H18971" s="49">
        <f t="shared" si="2"/>
        <v>61476</v>
      </c>
    </row>
    <row r="18972">
      <c r="A18972" s="48" t="s">
        <v>16014</v>
      </c>
      <c r="B18972" s="38">
        <v>33062.0</v>
      </c>
      <c r="C18972" s="38" t="s">
        <v>23441</v>
      </c>
      <c r="D18972" s="38" t="str">
        <f>IFERROR(__xludf.DUMMYFUNCTION("REGEXREPLACE(C18972,""-\d+(.*)|--\d+(.*)"","""")"),"BONZAC")</f>
        <v>BONZAC</v>
      </c>
      <c r="E18972" s="38" t="s">
        <v>462</v>
      </c>
      <c r="F18972" s="38" t="s">
        <v>252</v>
      </c>
      <c r="G18972" s="49" t="str">
        <f t="shared" si="1"/>
        <v>33910</v>
      </c>
      <c r="H18972" s="49">
        <f t="shared" si="2"/>
        <v>33062</v>
      </c>
    </row>
    <row r="18973">
      <c r="A18973" s="48" t="s">
        <v>468</v>
      </c>
      <c r="B18973" s="38">
        <v>26246.0</v>
      </c>
      <c r="C18973" s="38" t="s">
        <v>23442</v>
      </c>
      <c r="D18973" s="38" t="str">
        <f>IFERROR(__xludf.DUMMYFUNCTION("REGEXREPLACE(C18973,""-\d+(.*)|--\d+(.*)"","""")"),"PONET-ET-SAINT-AUBAN")</f>
        <v>PONET-ET-SAINT-AUBAN</v>
      </c>
      <c r="E18973" s="38" t="s">
        <v>126</v>
      </c>
      <c r="F18973" s="38" t="s">
        <v>102</v>
      </c>
      <c r="G18973" s="49" t="str">
        <f t="shared" si="1"/>
        <v>26150</v>
      </c>
      <c r="H18973" s="49">
        <f t="shared" si="2"/>
        <v>26246</v>
      </c>
    </row>
    <row r="18974">
      <c r="A18974" s="48" t="s">
        <v>3783</v>
      </c>
      <c r="B18974" s="38">
        <v>62210.0</v>
      </c>
      <c r="C18974" s="38" t="s">
        <v>23443</v>
      </c>
      <c r="D18974" s="38" t="str">
        <f>IFERROR(__xludf.DUMMYFUNCTION("REGEXREPLACE(C18974,""-\d+(.*)|--\d+(.*)"","""")"),"CANTELEUX")</f>
        <v>CANTELEUX</v>
      </c>
      <c r="E18974" s="38" t="s">
        <v>109</v>
      </c>
      <c r="F18974" s="38" t="s">
        <v>86</v>
      </c>
      <c r="G18974" s="49" t="str">
        <f t="shared" si="1"/>
        <v>62270</v>
      </c>
      <c r="H18974" s="49">
        <f t="shared" si="2"/>
        <v>62210</v>
      </c>
    </row>
    <row r="18975">
      <c r="A18975" s="48" t="s">
        <v>3120</v>
      </c>
      <c r="B18975" s="38">
        <v>10043.0</v>
      </c>
      <c r="C18975" s="38" t="s">
        <v>23444</v>
      </c>
      <c r="D18975" s="38" t="str">
        <f>IFERROR(__xludf.DUMMYFUNCTION("REGEXREPLACE(C18975,""-\d+(.*)|--\d+(.*)"","""")"),"BESSY")</f>
        <v>BESSY</v>
      </c>
      <c r="E18975" s="38" t="s">
        <v>147</v>
      </c>
      <c r="F18975" s="38" t="s">
        <v>130</v>
      </c>
      <c r="G18975" s="49" t="str">
        <f t="shared" si="1"/>
        <v>10170</v>
      </c>
      <c r="H18975" s="49">
        <f t="shared" si="2"/>
        <v>10043</v>
      </c>
    </row>
    <row r="18976">
      <c r="A18976" s="48" t="s">
        <v>4165</v>
      </c>
      <c r="B18976" s="38">
        <v>46196.0</v>
      </c>
      <c r="C18976" s="38" t="s">
        <v>23445</v>
      </c>
      <c r="D18976" s="38" t="str">
        <f>IFERROR(__xludf.DUMMYFUNCTION("REGEXREPLACE(C18976,""-\d+(.*)|--\d+(.*)"","""")"),"MONTAMEL")</f>
        <v>MONTAMEL</v>
      </c>
      <c r="E18976" s="38" t="s">
        <v>185</v>
      </c>
      <c r="F18976" s="38" t="s">
        <v>94</v>
      </c>
      <c r="G18976" s="49" t="str">
        <f t="shared" si="1"/>
        <v>46310</v>
      </c>
      <c r="H18976" s="49">
        <f t="shared" si="2"/>
        <v>46196</v>
      </c>
    </row>
    <row r="18977">
      <c r="A18977" s="48" t="s">
        <v>13469</v>
      </c>
      <c r="B18977" s="38" t="s">
        <v>23446</v>
      </c>
      <c r="C18977" s="38" t="s">
        <v>23447</v>
      </c>
      <c r="D18977" s="38" t="str">
        <f>IFERROR(__xludf.DUMMYFUNCTION("REGEXREPLACE(C18977,""-\d+(.*)|--\d+(.*)"","""")"),"CALCATOGGIO")</f>
        <v>CALCATOGGIO</v>
      </c>
      <c r="E18977" s="38" t="s">
        <v>606</v>
      </c>
      <c r="F18977" s="38" t="s">
        <v>607</v>
      </c>
      <c r="G18977" s="49" t="str">
        <f t="shared" si="1"/>
        <v>20111</v>
      </c>
      <c r="H18977" s="49" t="str">
        <f t="shared" si="2"/>
        <v>2A048</v>
      </c>
    </row>
    <row r="18978">
      <c r="A18978" s="48" t="s">
        <v>6694</v>
      </c>
      <c r="B18978" s="38">
        <v>16267.0</v>
      </c>
      <c r="C18978" s="38" t="s">
        <v>23448</v>
      </c>
      <c r="D18978" s="38" t="str">
        <f>IFERROR(__xludf.DUMMYFUNCTION("REGEXREPLACE(C18978,""-\d+(.*)|--\d+(.*)"","""")"),"POULLIGNAC")</f>
        <v>POULLIGNAC</v>
      </c>
      <c r="E18978" s="38" t="s">
        <v>429</v>
      </c>
      <c r="F18978" s="38" t="s">
        <v>338</v>
      </c>
      <c r="G18978" s="49" t="str">
        <f t="shared" si="1"/>
        <v>16190</v>
      </c>
      <c r="H18978" s="49">
        <f t="shared" si="2"/>
        <v>16267</v>
      </c>
    </row>
    <row r="18979">
      <c r="A18979" s="48" t="s">
        <v>1046</v>
      </c>
      <c r="B18979" s="38">
        <v>26277.0</v>
      </c>
      <c r="C18979" s="38" t="s">
        <v>23449</v>
      </c>
      <c r="D18979" s="38" t="str">
        <f>IFERROR(__xludf.DUMMYFUNCTION("REGEXREPLACE(C18979,""-\d+(.*)|--\d+(.*)"","""")"),"LA ROCHE-SUR-GRANE")</f>
        <v>LA ROCHE-SUR-GRANE</v>
      </c>
      <c r="E18979" s="38" t="s">
        <v>126</v>
      </c>
      <c r="F18979" s="38" t="s">
        <v>102</v>
      </c>
      <c r="G18979" s="49" t="str">
        <f t="shared" si="1"/>
        <v>26400</v>
      </c>
      <c r="H18979" s="49">
        <f t="shared" si="2"/>
        <v>26277</v>
      </c>
    </row>
    <row r="18980">
      <c r="A18980" s="48" t="s">
        <v>21059</v>
      </c>
      <c r="B18980" s="38">
        <v>62380.0</v>
      </c>
      <c r="C18980" s="38" t="s">
        <v>23450</v>
      </c>
      <c r="D18980" s="38" t="str">
        <f>IFERROR(__xludf.DUMMYFUNCTION("REGEXREPLACE(C18980,""-\d+(.*)|--\d+(.*)"","""")"),"GOUY-SERVINS")</f>
        <v>GOUY-SERVINS</v>
      </c>
      <c r="E18980" s="38" t="s">
        <v>109</v>
      </c>
      <c r="F18980" s="38" t="s">
        <v>86</v>
      </c>
      <c r="G18980" s="49" t="str">
        <f t="shared" si="1"/>
        <v>62530</v>
      </c>
      <c r="H18980" s="49">
        <f t="shared" si="2"/>
        <v>62380</v>
      </c>
    </row>
    <row r="18981">
      <c r="A18981" s="48" t="s">
        <v>2316</v>
      </c>
      <c r="B18981" s="38">
        <v>25354.0</v>
      </c>
      <c r="C18981" s="38" t="s">
        <v>23451</v>
      </c>
      <c r="D18981" s="38" t="str">
        <f>IFERROR(__xludf.DUMMYFUNCTION("REGEXREPLACE(C18981,""-\d+(.*)|--\d+(.*)"","""")"),"LUXIOL")</f>
        <v>LUXIOL</v>
      </c>
      <c r="E18981" s="38" t="s">
        <v>213</v>
      </c>
      <c r="F18981" s="38" t="s">
        <v>214</v>
      </c>
      <c r="G18981" s="49" t="str">
        <f t="shared" si="1"/>
        <v>25110</v>
      </c>
      <c r="H18981" s="49">
        <f t="shared" si="2"/>
        <v>25354</v>
      </c>
    </row>
    <row r="18982">
      <c r="A18982" s="48" t="s">
        <v>17030</v>
      </c>
      <c r="B18982" s="38">
        <v>81273.0</v>
      </c>
      <c r="C18982" s="38" t="s">
        <v>23452</v>
      </c>
      <c r="D18982" s="38" t="str">
        <f>IFERROR(__xludf.DUMMYFUNCTION("REGEXREPLACE(C18982,""-\d+(.*)|--\d+(.*)"","""")"),"SAIX")</f>
        <v>SAIX</v>
      </c>
      <c r="E18982" s="38" t="s">
        <v>231</v>
      </c>
      <c r="F18982" s="38" t="s">
        <v>94</v>
      </c>
      <c r="G18982" s="49" t="str">
        <f t="shared" si="1"/>
        <v>81710</v>
      </c>
      <c r="H18982" s="49">
        <f t="shared" si="2"/>
        <v>81273</v>
      </c>
    </row>
    <row r="18983">
      <c r="A18983" s="48" t="s">
        <v>2141</v>
      </c>
      <c r="B18983" s="38">
        <v>80098.0</v>
      </c>
      <c r="C18983" s="38" t="s">
        <v>23453</v>
      </c>
      <c r="D18983" s="38" t="str">
        <f>IFERROR(__xludf.DUMMYFUNCTION("REGEXREPLACE(C18983,""-\d+(.*)|--\d+(.*)"","""")"),"BETTEMBOS")</f>
        <v>BETTEMBOS</v>
      </c>
      <c r="E18983" s="38" t="s">
        <v>224</v>
      </c>
      <c r="F18983" s="38" t="s">
        <v>113</v>
      </c>
      <c r="G18983" s="49" t="str">
        <f t="shared" si="1"/>
        <v>80290</v>
      </c>
      <c r="H18983" s="49">
        <f t="shared" si="2"/>
        <v>80098</v>
      </c>
    </row>
    <row r="18984">
      <c r="A18984" s="48" t="s">
        <v>900</v>
      </c>
      <c r="B18984" s="38">
        <v>12224.0</v>
      </c>
      <c r="C18984" s="38" t="s">
        <v>23454</v>
      </c>
      <c r="D18984" s="38" t="str">
        <f>IFERROR(__xludf.DUMMYFUNCTION("REGEXREPLACE(C18984,""-\d+(.*)|--\d+(.*)"","""")"),"SAINT-GENIEZ-D'OLT")</f>
        <v>SAINT-GENIEZ-D'OLT</v>
      </c>
      <c r="E18984" s="38" t="s">
        <v>465</v>
      </c>
      <c r="F18984" s="38" t="s">
        <v>94</v>
      </c>
      <c r="G18984" s="49" t="str">
        <f t="shared" si="1"/>
        <v>12130</v>
      </c>
      <c r="H18984" s="49">
        <f t="shared" si="2"/>
        <v>12224</v>
      </c>
    </row>
    <row r="18985">
      <c r="A18985" s="48" t="s">
        <v>2292</v>
      </c>
      <c r="B18985" s="38">
        <v>76580.0</v>
      </c>
      <c r="C18985" s="38" t="s">
        <v>23455</v>
      </c>
      <c r="D18985" s="38" t="str">
        <f>IFERROR(__xludf.DUMMYFUNCTION("REGEXREPLACE(C18985,""-\d+(.*)|--\d+(.*)"","""")"),"SAINT-GEORGES-SUR-FONTAINE")</f>
        <v>SAINT-GEORGES-SUR-FONTAINE</v>
      </c>
      <c r="E18985" s="38" t="s">
        <v>133</v>
      </c>
      <c r="F18985" s="38" t="s">
        <v>134</v>
      </c>
      <c r="G18985" s="49" t="str">
        <f t="shared" si="1"/>
        <v>76690</v>
      </c>
      <c r="H18985" s="49">
        <f t="shared" si="2"/>
        <v>76580</v>
      </c>
    </row>
    <row r="18986">
      <c r="A18986" s="48" t="s">
        <v>4668</v>
      </c>
      <c r="B18986" s="38">
        <v>88399.0</v>
      </c>
      <c r="C18986" s="38" t="s">
        <v>23456</v>
      </c>
      <c r="D18986" s="38" t="str">
        <f>IFERROR(__xludf.DUMMYFUNCTION("REGEXREPLACE(C18986,""-\d+(.*)|--\d+(.*)"","""")"),"LE ROULIER")</f>
        <v>LE ROULIER</v>
      </c>
      <c r="E18986" s="38" t="s">
        <v>194</v>
      </c>
      <c r="F18986" s="38" t="s">
        <v>195</v>
      </c>
      <c r="G18986" s="49" t="str">
        <f t="shared" si="1"/>
        <v>88460</v>
      </c>
      <c r="H18986" s="49">
        <f t="shared" si="2"/>
        <v>88399</v>
      </c>
    </row>
    <row r="18987">
      <c r="A18987" s="48" t="s">
        <v>3488</v>
      </c>
      <c r="B18987" s="38">
        <v>67153.0</v>
      </c>
      <c r="C18987" s="38" t="s">
        <v>23457</v>
      </c>
      <c r="D18987" s="38" t="str">
        <f>IFERROR(__xludf.DUMMYFUNCTION("REGEXREPLACE(C18987,""-\d+(.*)|--\d+(.*)"","""")"),"GEISWILLER")</f>
        <v>GEISWILLER</v>
      </c>
      <c r="E18987" s="38" t="s">
        <v>210</v>
      </c>
      <c r="F18987" s="38" t="s">
        <v>151</v>
      </c>
      <c r="G18987" s="49" t="str">
        <f t="shared" si="1"/>
        <v>67270</v>
      </c>
      <c r="H18987" s="49">
        <f t="shared" si="2"/>
        <v>67153</v>
      </c>
    </row>
    <row r="18988">
      <c r="A18988" s="48" t="s">
        <v>1347</v>
      </c>
      <c r="B18988" s="38">
        <v>16051.0</v>
      </c>
      <c r="C18988" s="38" t="s">
        <v>23458</v>
      </c>
      <c r="D18988" s="38" t="str">
        <f>IFERROR(__xludf.DUMMYFUNCTION("REGEXREPLACE(C18988,""-\d+(.*)|--\d+(.*)"","""")"),"BONNEVILLE")</f>
        <v>BONNEVILLE</v>
      </c>
      <c r="E18988" s="38" t="s">
        <v>429</v>
      </c>
      <c r="F18988" s="38" t="s">
        <v>338</v>
      </c>
      <c r="G18988" s="49" t="str">
        <f t="shared" si="1"/>
        <v>16170</v>
      </c>
      <c r="H18988" s="49">
        <f t="shared" si="2"/>
        <v>16051</v>
      </c>
    </row>
    <row r="18989">
      <c r="A18989" s="48" t="s">
        <v>970</v>
      </c>
      <c r="B18989" s="38">
        <v>2377.0</v>
      </c>
      <c r="C18989" s="38" t="s">
        <v>23459</v>
      </c>
      <c r="D18989" s="38" t="str">
        <f>IFERROR(__xludf.DUMMYFUNCTION("REGEXREPLACE(C18989,""-\d+(.*)|--\d+(.*)"","""")"),"HAUTION")</f>
        <v>HAUTION</v>
      </c>
      <c r="E18989" s="38" t="s">
        <v>191</v>
      </c>
      <c r="F18989" s="38" t="s">
        <v>113</v>
      </c>
      <c r="G18989" s="49" t="str">
        <f t="shared" si="1"/>
        <v>02140</v>
      </c>
      <c r="H18989" s="49" t="str">
        <f t="shared" si="2"/>
        <v>02377</v>
      </c>
    </row>
    <row r="18990">
      <c r="A18990" s="48" t="s">
        <v>2740</v>
      </c>
      <c r="B18990" s="38">
        <v>46179.0</v>
      </c>
      <c r="C18990" s="38" t="s">
        <v>23460</v>
      </c>
      <c r="D18990" s="38" t="str">
        <f>IFERROR(__xludf.DUMMYFUNCTION("REGEXREPLACE(C18990,""-\d+(.*)|--\d+(.*)"","""")"),"LUGAGNAC")</f>
        <v>LUGAGNAC</v>
      </c>
      <c r="E18990" s="38" t="s">
        <v>185</v>
      </c>
      <c r="F18990" s="38" t="s">
        <v>94</v>
      </c>
      <c r="G18990" s="49" t="str">
        <f t="shared" si="1"/>
        <v>46260</v>
      </c>
      <c r="H18990" s="49">
        <f t="shared" si="2"/>
        <v>46179</v>
      </c>
    </row>
    <row r="18991">
      <c r="A18991" s="48" t="s">
        <v>1800</v>
      </c>
      <c r="B18991" s="38">
        <v>88156.0</v>
      </c>
      <c r="C18991" s="38" t="s">
        <v>23461</v>
      </c>
      <c r="D18991" s="38" t="str">
        <f>IFERROR(__xludf.DUMMYFUNCTION("REGEXREPLACE(C18991,""-\d+(.*)|--\d+(.*)"","""")"),"DONCIERES")</f>
        <v>DONCIERES</v>
      </c>
      <c r="E18991" s="38" t="s">
        <v>194</v>
      </c>
      <c r="F18991" s="38" t="s">
        <v>195</v>
      </c>
      <c r="G18991" s="49" t="str">
        <f t="shared" si="1"/>
        <v>88700</v>
      </c>
      <c r="H18991" s="49">
        <f t="shared" si="2"/>
        <v>88156</v>
      </c>
    </row>
    <row r="18992">
      <c r="A18992" s="48" t="s">
        <v>6602</v>
      </c>
      <c r="B18992" s="38">
        <v>68358.0</v>
      </c>
      <c r="C18992" s="38" t="s">
        <v>23462</v>
      </c>
      <c r="D18992" s="38" t="str">
        <f>IFERROR(__xludf.DUMMYFUNCTION("REGEXREPLACE(C18992,""-\d+(.*)|--\d+(.*)"","""")"),"WASSERBOURG")</f>
        <v>WASSERBOURG</v>
      </c>
      <c r="E18992" s="38" t="s">
        <v>150</v>
      </c>
      <c r="F18992" s="38" t="s">
        <v>151</v>
      </c>
      <c r="G18992" s="49" t="str">
        <f t="shared" si="1"/>
        <v>68230</v>
      </c>
      <c r="H18992" s="49">
        <f t="shared" si="2"/>
        <v>68358</v>
      </c>
    </row>
    <row r="18993">
      <c r="A18993" s="48" t="s">
        <v>1848</v>
      </c>
      <c r="B18993" s="38">
        <v>15084.0</v>
      </c>
      <c r="C18993" s="38" t="s">
        <v>23463</v>
      </c>
      <c r="D18993" s="38" t="str">
        <f>IFERROR(__xludf.DUMMYFUNCTION("REGEXREPLACE(C18993,""-\d+(.*)|--\d+(.*)"","""")"),"LABESSERETTE")</f>
        <v>LABESSERETTE</v>
      </c>
      <c r="E18993" s="38" t="s">
        <v>632</v>
      </c>
      <c r="F18993" s="38" t="s">
        <v>161</v>
      </c>
      <c r="G18993" s="49" t="str">
        <f t="shared" si="1"/>
        <v>15120</v>
      </c>
      <c r="H18993" s="49">
        <f t="shared" si="2"/>
        <v>15084</v>
      </c>
    </row>
    <row r="18994">
      <c r="A18994" s="48" t="s">
        <v>23464</v>
      </c>
      <c r="B18994" s="38">
        <v>58219.0</v>
      </c>
      <c r="C18994" s="38" t="s">
        <v>23465</v>
      </c>
      <c r="D18994" s="38" t="str">
        <f>IFERROR(__xludf.DUMMYFUNCTION("REGEXREPLACE(C18994,""-\d+(.*)|--\d+(.*)"","""")"),"PREPORCHE")</f>
        <v>PREPORCHE</v>
      </c>
      <c r="E18994" s="38" t="s">
        <v>219</v>
      </c>
      <c r="F18994" s="38" t="s">
        <v>106</v>
      </c>
      <c r="G18994" s="49" t="str">
        <f t="shared" si="1"/>
        <v>58360</v>
      </c>
      <c r="H18994" s="49">
        <f t="shared" si="2"/>
        <v>58219</v>
      </c>
    </row>
    <row r="18995">
      <c r="A18995" s="48" t="s">
        <v>380</v>
      </c>
      <c r="B18995" s="38">
        <v>80126.0</v>
      </c>
      <c r="C18995" s="38" t="s">
        <v>23466</v>
      </c>
      <c r="D18995" s="38" t="str">
        <f>IFERROR(__xludf.DUMMYFUNCTION("REGEXREPLACE(C18995,""-\d+(.*)|--\d+(.*)"","""")"),"BOUTTENCOURT")</f>
        <v>BOUTTENCOURT</v>
      </c>
      <c r="E18995" s="38" t="s">
        <v>224</v>
      </c>
      <c r="F18995" s="38" t="s">
        <v>113</v>
      </c>
      <c r="G18995" s="49" t="str">
        <f t="shared" si="1"/>
        <v>80220</v>
      </c>
      <c r="H18995" s="49">
        <f t="shared" si="2"/>
        <v>80126</v>
      </c>
    </row>
    <row r="18996">
      <c r="A18996" s="48" t="s">
        <v>5370</v>
      </c>
      <c r="B18996" s="38">
        <v>15173.0</v>
      </c>
      <c r="C18996" s="38" t="s">
        <v>23467</v>
      </c>
      <c r="D18996" s="38" t="str">
        <f>IFERROR(__xludf.DUMMYFUNCTION("REGEXREPLACE(C18996,""-\d+(.*)|--\d+(.*)"","""")"),"SAINT-BONNET-DE-CONDAT")</f>
        <v>SAINT-BONNET-DE-CONDAT</v>
      </c>
      <c r="E18996" s="38" t="s">
        <v>632</v>
      </c>
      <c r="F18996" s="38" t="s">
        <v>161</v>
      </c>
      <c r="G18996" s="49" t="str">
        <f t="shared" si="1"/>
        <v>15190</v>
      </c>
      <c r="H18996" s="49">
        <f t="shared" si="2"/>
        <v>15173</v>
      </c>
    </row>
    <row r="18997">
      <c r="A18997" s="48" t="s">
        <v>2920</v>
      </c>
      <c r="B18997" s="38">
        <v>62871.0</v>
      </c>
      <c r="C18997" s="38" t="s">
        <v>23468</v>
      </c>
      <c r="D18997" s="38" t="str">
        <f>IFERROR(__xludf.DUMMYFUNCTION("REGEXREPLACE(C18997,""-\d+(.*)|--\d+(.*)"","""")"),"WAMBERCOURT")</f>
        <v>WAMBERCOURT</v>
      </c>
      <c r="E18997" s="38" t="s">
        <v>109</v>
      </c>
      <c r="F18997" s="38" t="s">
        <v>86</v>
      </c>
      <c r="G18997" s="49" t="str">
        <f t="shared" si="1"/>
        <v>62140</v>
      </c>
      <c r="H18997" s="49">
        <f t="shared" si="2"/>
        <v>62871</v>
      </c>
    </row>
    <row r="18998">
      <c r="A18998" s="48" t="s">
        <v>6258</v>
      </c>
      <c r="B18998" s="38">
        <v>95656.0</v>
      </c>
      <c r="C18998" s="38" t="s">
        <v>23469</v>
      </c>
      <c r="D18998" s="38" t="str">
        <f>IFERROR(__xludf.DUMMYFUNCTION("REGEXREPLACE(C18998,""-\d+(.*)|--\d+(.*)"","""")"),"VIENNE-EN-ARTHIES")</f>
        <v>VIENNE-EN-ARTHIES</v>
      </c>
      <c r="E18998" s="38" t="s">
        <v>541</v>
      </c>
      <c r="F18998" s="38" t="s">
        <v>245</v>
      </c>
      <c r="G18998" s="49" t="str">
        <f t="shared" si="1"/>
        <v>95510</v>
      </c>
      <c r="H18998" s="49">
        <f t="shared" si="2"/>
        <v>95656</v>
      </c>
    </row>
    <row r="18999">
      <c r="A18999" s="48" t="s">
        <v>9995</v>
      </c>
      <c r="B18999" s="38">
        <v>49283.0</v>
      </c>
      <c r="C18999" s="38" t="s">
        <v>23470</v>
      </c>
      <c r="D18999" s="38" t="str">
        <f>IFERROR(__xludf.DUMMYFUNCTION("REGEXREPLACE(C18999,""-\d+(.*)|--\d+(.*)"","""")"),"SAINT-GEORGES-SUR-LOIRE")</f>
        <v>SAINT-GEORGES-SUR-LOIRE</v>
      </c>
      <c r="E18999" s="38" t="s">
        <v>653</v>
      </c>
      <c r="F18999" s="38" t="s">
        <v>180</v>
      </c>
      <c r="G18999" s="49" t="str">
        <f t="shared" si="1"/>
        <v>49170</v>
      </c>
      <c r="H18999" s="49">
        <f t="shared" si="2"/>
        <v>49283</v>
      </c>
    </row>
    <row r="19000">
      <c r="A19000" s="48" t="s">
        <v>1861</v>
      </c>
      <c r="B19000" s="38">
        <v>46105.0</v>
      </c>
      <c r="C19000" s="38" t="s">
        <v>23471</v>
      </c>
      <c r="D19000" s="38" t="str">
        <f>IFERROR(__xludf.DUMMYFUNCTION("REGEXREPLACE(C19000,""-\d+(.*)|--\d+(.*)"","""")"),"FLAUJAC-POUJOLS")</f>
        <v>FLAUJAC-POUJOLS</v>
      </c>
      <c r="E19000" s="38" t="s">
        <v>185</v>
      </c>
      <c r="F19000" s="38" t="s">
        <v>94</v>
      </c>
      <c r="G19000" s="49" t="str">
        <f t="shared" si="1"/>
        <v>46090</v>
      </c>
      <c r="H19000" s="49">
        <f t="shared" si="2"/>
        <v>46105</v>
      </c>
    </row>
    <row r="19001">
      <c r="A19001" s="48" t="s">
        <v>2526</v>
      </c>
      <c r="B19001" s="38">
        <v>70037.0</v>
      </c>
      <c r="C19001" s="38" t="s">
        <v>23472</v>
      </c>
      <c r="D19001" s="38" t="str">
        <f>IFERROR(__xludf.DUMMYFUNCTION("REGEXREPLACE(C19001,""-\d+(.*)|--\d+(.*)"","""")"),"AUTET")</f>
        <v>AUTET</v>
      </c>
      <c r="E19001" s="38" t="s">
        <v>956</v>
      </c>
      <c r="F19001" s="38" t="s">
        <v>214</v>
      </c>
      <c r="G19001" s="49" t="str">
        <f t="shared" si="1"/>
        <v>70180</v>
      </c>
      <c r="H19001" s="49">
        <f t="shared" si="2"/>
        <v>70037</v>
      </c>
    </row>
    <row r="19002">
      <c r="A19002" s="48" t="s">
        <v>23473</v>
      </c>
      <c r="B19002" s="38">
        <v>79162.0</v>
      </c>
      <c r="C19002" s="38" t="s">
        <v>7132</v>
      </c>
      <c r="D19002" s="38" t="str">
        <f>IFERROR(__xludf.DUMMYFUNCTION("REGEXREPLACE(C19002,""-\d+(.*)|--\d+(.*)"","""")"),"MAGNE")</f>
        <v>MAGNE</v>
      </c>
      <c r="E19002" s="38" t="s">
        <v>337</v>
      </c>
      <c r="F19002" s="38" t="s">
        <v>338</v>
      </c>
      <c r="G19002" s="49" t="str">
        <f t="shared" si="1"/>
        <v>79460</v>
      </c>
      <c r="H19002" s="49">
        <f t="shared" si="2"/>
        <v>79162</v>
      </c>
    </row>
    <row r="19003">
      <c r="A19003" s="48" t="s">
        <v>1116</v>
      </c>
      <c r="B19003" s="38">
        <v>60142.0</v>
      </c>
      <c r="C19003" s="38" t="s">
        <v>23474</v>
      </c>
      <c r="D19003" s="38" t="str">
        <f>IFERROR(__xludf.DUMMYFUNCTION("REGEXREPLACE(C19003,""-\d+(.*)|--\d+(.*)"","""")"),"LA CHAPELLE-EN-SERVAL")</f>
        <v>LA CHAPELLE-EN-SERVAL</v>
      </c>
      <c r="E19003" s="38" t="s">
        <v>112</v>
      </c>
      <c r="F19003" s="38" t="s">
        <v>113</v>
      </c>
      <c r="G19003" s="49" t="str">
        <f t="shared" si="1"/>
        <v>60520</v>
      </c>
      <c r="H19003" s="49">
        <f t="shared" si="2"/>
        <v>60142</v>
      </c>
    </row>
    <row r="19004">
      <c r="A19004" s="48" t="s">
        <v>1066</v>
      </c>
      <c r="B19004" s="38">
        <v>49327.0</v>
      </c>
      <c r="C19004" s="38" t="s">
        <v>23475</v>
      </c>
      <c r="D19004" s="38" t="str">
        <f>IFERROR(__xludf.DUMMYFUNCTION("REGEXREPLACE(C19004,""-\d+(.*)|--\d+(.*)"","""")"),"SAULGE-L'HOPITAL")</f>
        <v>SAULGE-L'HOPITAL</v>
      </c>
      <c r="E19004" s="38" t="s">
        <v>653</v>
      </c>
      <c r="F19004" s="38" t="s">
        <v>180</v>
      </c>
      <c r="G19004" s="49" t="str">
        <f t="shared" si="1"/>
        <v>49320</v>
      </c>
      <c r="H19004" s="49">
        <f t="shared" si="2"/>
        <v>49327</v>
      </c>
    </row>
    <row r="19005">
      <c r="A19005" s="48" t="s">
        <v>3129</v>
      </c>
      <c r="B19005" s="38">
        <v>18029.0</v>
      </c>
      <c r="C19005" s="38" t="s">
        <v>23476</v>
      </c>
      <c r="D19005" s="38" t="str">
        <f>IFERROR(__xludf.DUMMYFUNCTION("REGEXREPLACE(C19005,""-\d+(.*)|--\d+(.*)"","""")"),"BESSAIS-LE-FROMENTAL")</f>
        <v>BESSAIS-LE-FROMENTAL</v>
      </c>
      <c r="E19005" s="38" t="s">
        <v>504</v>
      </c>
      <c r="F19005" s="38" t="s">
        <v>123</v>
      </c>
      <c r="G19005" s="49" t="str">
        <f t="shared" si="1"/>
        <v>18210</v>
      </c>
      <c r="H19005" s="49">
        <f t="shared" si="2"/>
        <v>18029</v>
      </c>
    </row>
    <row r="19006">
      <c r="A19006" s="48" t="s">
        <v>3161</v>
      </c>
      <c r="B19006" s="38">
        <v>70525.0</v>
      </c>
      <c r="C19006" s="38" t="s">
        <v>23477</v>
      </c>
      <c r="D19006" s="38" t="str">
        <f>IFERROR(__xludf.DUMMYFUNCTION("REGEXREPLACE(C19006,""-\d+(.*)|--\d+(.*)"","""")"),"VAUCONCOURT-NERVEZAIN")</f>
        <v>VAUCONCOURT-NERVEZAIN</v>
      </c>
      <c r="E19006" s="38" t="s">
        <v>956</v>
      </c>
      <c r="F19006" s="38" t="s">
        <v>214</v>
      </c>
      <c r="G19006" s="49" t="str">
        <f t="shared" si="1"/>
        <v>70120</v>
      </c>
      <c r="H19006" s="49">
        <f t="shared" si="2"/>
        <v>70525</v>
      </c>
    </row>
    <row r="19007">
      <c r="A19007" s="48" t="s">
        <v>8945</v>
      </c>
      <c r="B19007" s="38">
        <v>72239.0</v>
      </c>
      <c r="C19007" s="38" t="s">
        <v>23478</v>
      </c>
      <c r="D19007" s="38" t="str">
        <f>IFERROR(__xludf.DUMMYFUNCTION("REGEXREPLACE(C19007,""-\d+(.*)|--\d+(.*)"","""")"),"POILLE-SUR-VEGRE")</f>
        <v>POILLE-SUR-VEGRE</v>
      </c>
      <c r="E19007" s="38" t="s">
        <v>521</v>
      </c>
      <c r="F19007" s="38" t="s">
        <v>180</v>
      </c>
      <c r="G19007" s="49" t="str">
        <f t="shared" si="1"/>
        <v>72350</v>
      </c>
      <c r="H19007" s="49">
        <f t="shared" si="2"/>
        <v>72239</v>
      </c>
    </row>
    <row r="19008">
      <c r="A19008" s="48" t="s">
        <v>23479</v>
      </c>
      <c r="B19008" s="38">
        <v>12133.0</v>
      </c>
      <c r="C19008" s="38" t="s">
        <v>23480</v>
      </c>
      <c r="D19008" s="38" t="str">
        <f>IFERROR(__xludf.DUMMYFUNCTION("REGEXREPLACE(C19008,""-\d+(.*)|--\d+(.*)"","""")"),"LUC-LA-PRIMAUBE")</f>
        <v>LUC-LA-PRIMAUBE</v>
      </c>
      <c r="E19008" s="38" t="s">
        <v>465</v>
      </c>
      <c r="F19008" s="38" t="s">
        <v>94</v>
      </c>
      <c r="G19008" s="49" t="str">
        <f t="shared" si="1"/>
        <v>12450</v>
      </c>
      <c r="H19008" s="49">
        <f t="shared" si="2"/>
        <v>12133</v>
      </c>
    </row>
    <row r="19009">
      <c r="A19009" s="48" t="s">
        <v>23481</v>
      </c>
      <c r="B19009" s="38">
        <v>77181.0</v>
      </c>
      <c r="C19009" s="38" t="s">
        <v>23482</v>
      </c>
      <c r="D19009" s="38" t="str">
        <f>IFERROR(__xludf.DUMMYFUNCTION("REGEXREPLACE(C19009,""-\d+(.*)|--\d+(.*)"","""")"),"FERRIERES-EN-BRIE")</f>
        <v>FERRIERES-EN-BRIE</v>
      </c>
      <c r="E19009" s="38" t="s">
        <v>244</v>
      </c>
      <c r="F19009" s="38" t="s">
        <v>245</v>
      </c>
      <c r="G19009" s="49" t="str">
        <f t="shared" si="1"/>
        <v>77164</v>
      </c>
      <c r="H19009" s="49">
        <f t="shared" si="2"/>
        <v>77181</v>
      </c>
    </row>
    <row r="19010">
      <c r="A19010" s="48" t="s">
        <v>8116</v>
      </c>
      <c r="B19010" s="38">
        <v>64550.0</v>
      </c>
      <c r="C19010" s="38" t="s">
        <v>23483</v>
      </c>
      <c r="D19010" s="38" t="str">
        <f>IFERROR(__xludf.DUMMYFUNCTION("REGEXREPLACE(C19010,""-\d+(.*)|--\d+(.*)"","""")"),"UZOS")</f>
        <v>UZOS</v>
      </c>
      <c r="E19010" s="38" t="s">
        <v>268</v>
      </c>
      <c r="F19010" s="38" t="s">
        <v>252</v>
      </c>
      <c r="G19010" s="49" t="str">
        <f t="shared" si="1"/>
        <v>64110</v>
      </c>
      <c r="H19010" s="49">
        <f t="shared" si="2"/>
        <v>64550</v>
      </c>
    </row>
    <row r="19011">
      <c r="A19011" s="48" t="s">
        <v>4140</v>
      </c>
      <c r="B19011" s="38">
        <v>54141.0</v>
      </c>
      <c r="C19011" s="38" t="s">
        <v>23484</v>
      </c>
      <c r="D19011" s="38" t="str">
        <f>IFERROR(__xludf.DUMMYFUNCTION("REGEXREPLACE(C19011,""-\d+(.*)|--\d+(.*)"","""")"),"COYVILLER")</f>
        <v>COYVILLER</v>
      </c>
      <c r="E19011" s="38" t="s">
        <v>548</v>
      </c>
      <c r="F19011" s="38" t="s">
        <v>195</v>
      </c>
      <c r="G19011" s="49" t="str">
        <f t="shared" si="1"/>
        <v>54210</v>
      </c>
      <c r="H19011" s="49">
        <f t="shared" si="2"/>
        <v>54141</v>
      </c>
    </row>
    <row r="19012">
      <c r="A19012" s="48" t="s">
        <v>1624</v>
      </c>
      <c r="B19012" s="38">
        <v>34325.0</v>
      </c>
      <c r="C19012" s="38" t="s">
        <v>23485</v>
      </c>
      <c r="D19012" s="38" t="str">
        <f>IFERROR(__xludf.DUMMYFUNCTION("REGEXREPLACE(C19012,""-\d+(.*)|--\d+(.*)"","""")"),"VALROS")</f>
        <v>VALROS</v>
      </c>
      <c r="E19012" s="38" t="s">
        <v>118</v>
      </c>
      <c r="F19012" s="38" t="s">
        <v>119</v>
      </c>
      <c r="G19012" s="49" t="str">
        <f t="shared" si="1"/>
        <v>34290</v>
      </c>
      <c r="H19012" s="49">
        <f t="shared" si="2"/>
        <v>34325</v>
      </c>
    </row>
    <row r="19013">
      <c r="A19013" s="48" t="s">
        <v>23486</v>
      </c>
      <c r="B19013" s="38">
        <v>63331.0</v>
      </c>
      <c r="C19013" s="38" t="s">
        <v>23487</v>
      </c>
      <c r="D19013" s="38" t="str">
        <f>IFERROR(__xludf.DUMMYFUNCTION("REGEXREPLACE(C19013,""-\d+(.*)|--\d+(.*)"","""")"),"SAINT-CLEMENT-DE-VALORGUE")</f>
        <v>SAINT-CLEMENT-DE-VALORGUE</v>
      </c>
      <c r="E19013" s="38" t="s">
        <v>353</v>
      </c>
      <c r="F19013" s="38" t="s">
        <v>161</v>
      </c>
      <c r="G19013" s="49" t="str">
        <f t="shared" si="1"/>
        <v>63660</v>
      </c>
      <c r="H19013" s="49">
        <f t="shared" si="2"/>
        <v>63331</v>
      </c>
    </row>
    <row r="19014">
      <c r="A19014" s="48" t="s">
        <v>1473</v>
      </c>
      <c r="B19014" s="38">
        <v>50521.0</v>
      </c>
      <c r="C19014" s="38" t="s">
        <v>23488</v>
      </c>
      <c r="D19014" s="38" t="str">
        <f>IFERROR(__xludf.DUMMYFUNCTION("REGEXREPLACE(C19014,""-\d+(.*)|--\d+(.*)"","""")"),"SAINT-MAUR-DES-BOIS")</f>
        <v>SAINT-MAUR-DES-BOIS</v>
      </c>
      <c r="E19014" s="38" t="s">
        <v>157</v>
      </c>
      <c r="F19014" s="38" t="s">
        <v>138</v>
      </c>
      <c r="G19014" s="49" t="str">
        <f t="shared" si="1"/>
        <v>50800</v>
      </c>
      <c r="H19014" s="49">
        <f t="shared" si="2"/>
        <v>50521</v>
      </c>
    </row>
    <row r="19015">
      <c r="A19015" s="48" t="s">
        <v>12001</v>
      </c>
      <c r="B19015" s="38">
        <v>7190.0</v>
      </c>
      <c r="C19015" s="38" t="s">
        <v>23489</v>
      </c>
      <c r="D19015" s="38" t="str">
        <f>IFERROR(__xludf.DUMMYFUNCTION("REGEXREPLACE(C19015,""-\d+(.*)|--\d+(.*)"","""")"),"ROCHECOLOMBE")</f>
        <v>ROCHECOLOMBE</v>
      </c>
      <c r="E19015" s="38" t="s">
        <v>144</v>
      </c>
      <c r="F19015" s="38" t="s">
        <v>102</v>
      </c>
      <c r="G19015" s="49" t="str">
        <f t="shared" si="1"/>
        <v>07200</v>
      </c>
      <c r="H19015" s="49" t="str">
        <f t="shared" si="2"/>
        <v>07190</v>
      </c>
    </row>
    <row r="19016">
      <c r="A19016" s="48" t="s">
        <v>2712</v>
      </c>
      <c r="B19016" s="38">
        <v>72276.0</v>
      </c>
      <c r="C19016" s="38" t="s">
        <v>23490</v>
      </c>
      <c r="D19016" s="38" t="str">
        <f>IFERROR(__xludf.DUMMYFUNCTION("REGEXREPLACE(C19016,""-\d+(.*)|--\d+(.*)"","""")"),"SAINT-COSME-EN-VAIRAIS")</f>
        <v>SAINT-COSME-EN-VAIRAIS</v>
      </c>
      <c r="E19016" s="38" t="s">
        <v>521</v>
      </c>
      <c r="F19016" s="38" t="s">
        <v>180</v>
      </c>
      <c r="G19016" s="49" t="str">
        <f t="shared" si="1"/>
        <v>72110</v>
      </c>
      <c r="H19016" s="49">
        <f t="shared" si="2"/>
        <v>72276</v>
      </c>
    </row>
    <row r="19017">
      <c r="A19017" s="48" t="s">
        <v>9621</v>
      </c>
      <c r="B19017" s="38">
        <v>43167.0</v>
      </c>
      <c r="C19017" s="38" t="s">
        <v>23491</v>
      </c>
      <c r="D19017" s="38" t="str">
        <f>IFERROR(__xludf.DUMMYFUNCTION("REGEXREPLACE(C19017,""-\d+(.*)|--\d+(.*)"","""")"),"SAINT-ARCONS-D'ALLIER")</f>
        <v>SAINT-ARCONS-D'ALLIER</v>
      </c>
      <c r="E19017" s="38" t="s">
        <v>332</v>
      </c>
      <c r="F19017" s="38" t="s">
        <v>161</v>
      </c>
      <c r="G19017" s="49" t="str">
        <f t="shared" si="1"/>
        <v>43300</v>
      </c>
      <c r="H19017" s="49">
        <f t="shared" si="2"/>
        <v>43167</v>
      </c>
    </row>
    <row r="19018">
      <c r="A19018" s="48" t="s">
        <v>4270</v>
      </c>
      <c r="B19018" s="38">
        <v>76423.0</v>
      </c>
      <c r="C19018" s="38" t="s">
        <v>23492</v>
      </c>
      <c r="D19018" s="38" t="str">
        <f>IFERROR(__xludf.DUMMYFUNCTION("REGEXREPLACE(C19018,""-\d+(.*)|--\d+(.*)"","""")"),"MENERVAL")</f>
        <v>MENERVAL</v>
      </c>
      <c r="E19018" s="38" t="s">
        <v>133</v>
      </c>
      <c r="F19018" s="38" t="s">
        <v>134</v>
      </c>
      <c r="G19018" s="49" t="str">
        <f t="shared" si="1"/>
        <v>76220</v>
      </c>
      <c r="H19018" s="49">
        <f t="shared" si="2"/>
        <v>76423</v>
      </c>
    </row>
    <row r="19019">
      <c r="A19019" s="48" t="s">
        <v>9801</v>
      </c>
      <c r="B19019" s="38">
        <v>2594.0</v>
      </c>
      <c r="C19019" s="38" t="s">
        <v>23493</v>
      </c>
      <c r="D19019" s="38" t="str">
        <f>IFERROR(__xludf.DUMMYFUNCTION("REGEXREPLACE(C19019,""-\d+(.*)|--\d+(.*)"","""")"),"PASSY-EN-VALOIS")</f>
        <v>PASSY-EN-VALOIS</v>
      </c>
      <c r="E19019" s="38" t="s">
        <v>191</v>
      </c>
      <c r="F19019" s="38" t="s">
        <v>113</v>
      </c>
      <c r="G19019" s="49" t="str">
        <f t="shared" si="1"/>
        <v>02470</v>
      </c>
      <c r="H19019" s="49" t="str">
        <f t="shared" si="2"/>
        <v>02594</v>
      </c>
    </row>
    <row r="19020">
      <c r="A19020" s="48" t="s">
        <v>2788</v>
      </c>
      <c r="B19020" s="38">
        <v>35025.0</v>
      </c>
      <c r="C19020" s="38" t="s">
        <v>23494</v>
      </c>
      <c r="D19020" s="38" t="str">
        <f>IFERROR(__xludf.DUMMYFUNCTION("REGEXREPLACE(C19020,""-\d+(.*)|--\d+(.*)"","""")"),"BILLE")</f>
        <v>BILLE</v>
      </c>
      <c r="E19020" s="38" t="s">
        <v>347</v>
      </c>
      <c r="F19020" s="38" t="s">
        <v>90</v>
      </c>
      <c r="G19020" s="49" t="str">
        <f t="shared" si="1"/>
        <v>35133</v>
      </c>
      <c r="H19020" s="49">
        <f t="shared" si="2"/>
        <v>35025</v>
      </c>
    </row>
    <row r="19021">
      <c r="A19021" s="48" t="s">
        <v>7059</v>
      </c>
      <c r="B19021" s="38">
        <v>35290.0</v>
      </c>
      <c r="C19021" s="38" t="s">
        <v>23495</v>
      </c>
      <c r="D19021" s="38" t="str">
        <f>IFERROR(__xludf.DUMMYFUNCTION("REGEXREPLACE(C19021,""-\d+(.*)|--\d+(.*)"","""")"),"SAINT-MALON-SUR-MEL")</f>
        <v>SAINT-MALON-SUR-MEL</v>
      </c>
      <c r="E19021" s="38" t="s">
        <v>347</v>
      </c>
      <c r="F19021" s="38" t="s">
        <v>90</v>
      </c>
      <c r="G19021" s="49" t="str">
        <f t="shared" si="1"/>
        <v>35750</v>
      </c>
      <c r="H19021" s="49">
        <f t="shared" si="2"/>
        <v>35290</v>
      </c>
    </row>
    <row r="19022">
      <c r="A19022" s="48" t="s">
        <v>18706</v>
      </c>
      <c r="B19022" s="38">
        <v>54397.0</v>
      </c>
      <c r="C19022" s="38" t="s">
        <v>23496</v>
      </c>
      <c r="D19022" s="38" t="str">
        <f>IFERROR(__xludf.DUMMYFUNCTION("REGEXREPLACE(C19022,""-\d+(.*)|--\d+(.*)"","""")"),"NEUVES-MAISONS")</f>
        <v>NEUVES-MAISONS</v>
      </c>
      <c r="E19022" s="38" t="s">
        <v>548</v>
      </c>
      <c r="F19022" s="38" t="s">
        <v>195</v>
      </c>
      <c r="G19022" s="49" t="str">
        <f t="shared" si="1"/>
        <v>54230</v>
      </c>
      <c r="H19022" s="49">
        <f t="shared" si="2"/>
        <v>54397</v>
      </c>
    </row>
    <row r="19023">
      <c r="A19023" s="48" t="s">
        <v>2794</v>
      </c>
      <c r="B19023" s="38">
        <v>39159.0</v>
      </c>
      <c r="C19023" s="38" t="s">
        <v>23497</v>
      </c>
      <c r="D19023" s="38" t="str">
        <f>IFERROR(__xludf.DUMMYFUNCTION("REGEXREPLACE(C19023,""-\d+(.*)|--\d+(.*)"","""")"),"COLONNE")</f>
        <v>COLONNE</v>
      </c>
      <c r="E19023" s="38" t="s">
        <v>400</v>
      </c>
      <c r="F19023" s="38" t="s">
        <v>214</v>
      </c>
      <c r="G19023" s="49" t="str">
        <f t="shared" si="1"/>
        <v>39800</v>
      </c>
      <c r="H19023" s="49">
        <f t="shared" si="2"/>
        <v>39159</v>
      </c>
    </row>
    <row r="19024">
      <c r="A19024" s="48" t="s">
        <v>5608</v>
      </c>
      <c r="B19024" s="38">
        <v>57673.0</v>
      </c>
      <c r="C19024" s="38" t="s">
        <v>23498</v>
      </c>
      <c r="D19024" s="38" t="str">
        <f>IFERROR(__xludf.DUMMYFUNCTION("REGEXREPLACE(C19024,""-\d+(.*)|--\d+(.*)"","""")"),"THONVILLE")</f>
        <v>THONVILLE</v>
      </c>
      <c r="E19024" s="38" t="s">
        <v>303</v>
      </c>
      <c r="F19024" s="38" t="s">
        <v>195</v>
      </c>
      <c r="G19024" s="49" t="str">
        <f t="shared" si="1"/>
        <v>57380</v>
      </c>
      <c r="H19024" s="49">
        <f t="shared" si="2"/>
        <v>57673</v>
      </c>
    </row>
    <row r="19025">
      <c r="A19025" s="48" t="s">
        <v>4679</v>
      </c>
      <c r="B19025" s="38">
        <v>17381.0</v>
      </c>
      <c r="C19025" s="38" t="s">
        <v>23499</v>
      </c>
      <c r="D19025" s="38" t="str">
        <f>IFERROR(__xludf.DUMMYFUNCTION("REGEXREPLACE(C19025,""-\d+(.*)|--\d+(.*)"","""")"),"SAINT-PARDOULT")</f>
        <v>SAINT-PARDOULT</v>
      </c>
      <c r="E19025" s="38" t="s">
        <v>488</v>
      </c>
      <c r="F19025" s="38" t="s">
        <v>338</v>
      </c>
      <c r="G19025" s="49" t="str">
        <f t="shared" si="1"/>
        <v>17400</v>
      </c>
      <c r="H19025" s="49">
        <f t="shared" si="2"/>
        <v>17381</v>
      </c>
    </row>
    <row r="19026">
      <c r="A19026" s="48" t="s">
        <v>9828</v>
      </c>
      <c r="B19026" s="38">
        <v>89024.0</v>
      </c>
      <c r="C19026" s="38" t="s">
        <v>23500</v>
      </c>
      <c r="D19026" s="38" t="str">
        <f>IFERROR(__xludf.DUMMYFUNCTION("REGEXREPLACE(C19026,""-\d+(.*)|--\d+(.*)"","""")"),"AUXERRE")</f>
        <v>AUXERRE</v>
      </c>
      <c r="E19026" s="38" t="s">
        <v>275</v>
      </c>
      <c r="F19026" s="38" t="s">
        <v>106</v>
      </c>
      <c r="G19026" s="49" t="str">
        <f t="shared" si="1"/>
        <v>89000</v>
      </c>
      <c r="H19026" s="49">
        <f t="shared" si="2"/>
        <v>89024</v>
      </c>
    </row>
    <row r="19027">
      <c r="A19027" s="48" t="s">
        <v>1182</v>
      </c>
      <c r="B19027" s="38">
        <v>67080.0</v>
      </c>
      <c r="C19027" s="38" t="s">
        <v>23501</v>
      </c>
      <c r="D19027" s="38" t="str">
        <f>IFERROR(__xludf.DUMMYFUNCTION("REGEXREPLACE(C19027,""-\d+(.*)|--\d+(.*)"","""")"),"DACHSTEIN")</f>
        <v>DACHSTEIN</v>
      </c>
      <c r="E19027" s="38" t="s">
        <v>210</v>
      </c>
      <c r="F19027" s="38" t="s">
        <v>151</v>
      </c>
      <c r="G19027" s="49" t="str">
        <f t="shared" si="1"/>
        <v>67120</v>
      </c>
      <c r="H19027" s="49">
        <f t="shared" si="2"/>
        <v>67080</v>
      </c>
    </row>
    <row r="19028">
      <c r="A19028" s="48" t="s">
        <v>6174</v>
      </c>
      <c r="B19028" s="38">
        <v>25057.0</v>
      </c>
      <c r="C19028" s="38" t="s">
        <v>23502</v>
      </c>
      <c r="D19028" s="38" t="str">
        <f>IFERROR(__xludf.DUMMYFUNCTION("REGEXREPLACE(C19028,""-\d+(.*)|--\d+(.*)"","""")"),"BETHONCOURT")</f>
        <v>BETHONCOURT</v>
      </c>
      <c r="E19028" s="38" t="s">
        <v>213</v>
      </c>
      <c r="F19028" s="38" t="s">
        <v>214</v>
      </c>
      <c r="G19028" s="49" t="str">
        <f t="shared" si="1"/>
        <v>25200</v>
      </c>
      <c r="H19028" s="49">
        <f t="shared" si="2"/>
        <v>25057</v>
      </c>
    </row>
    <row r="19029">
      <c r="A19029" s="48" t="s">
        <v>1982</v>
      </c>
      <c r="B19029" s="38">
        <v>60094.0</v>
      </c>
      <c r="C19029" s="38" t="s">
        <v>23503</v>
      </c>
      <c r="D19029" s="38" t="str">
        <f>IFERROR(__xludf.DUMMYFUNCTION("REGEXREPLACE(C19029,""-\d+(.*)|--\d+(.*)"","""")"),"BOURSONNE")</f>
        <v>BOURSONNE</v>
      </c>
      <c r="E19029" s="38" t="s">
        <v>112</v>
      </c>
      <c r="F19029" s="38" t="s">
        <v>113</v>
      </c>
      <c r="G19029" s="49" t="str">
        <f t="shared" si="1"/>
        <v>60141</v>
      </c>
      <c r="H19029" s="49">
        <f t="shared" si="2"/>
        <v>60094</v>
      </c>
    </row>
    <row r="19030">
      <c r="A19030" s="48" t="s">
        <v>2920</v>
      </c>
      <c r="B19030" s="38">
        <v>62521.0</v>
      </c>
      <c r="C19030" s="38" t="s">
        <v>23504</v>
      </c>
      <c r="D19030" s="38" t="str">
        <f>IFERROR(__xludf.DUMMYFUNCTION("REGEXREPLACE(C19030,""-\d+(.*)|--\d+(.*)"","""")"),"LA LOGE")</f>
        <v>LA LOGE</v>
      </c>
      <c r="E19030" s="38" t="s">
        <v>109</v>
      </c>
      <c r="F19030" s="38" t="s">
        <v>86</v>
      </c>
      <c r="G19030" s="49" t="str">
        <f t="shared" si="1"/>
        <v>62140</v>
      </c>
      <c r="H19030" s="49">
        <f t="shared" si="2"/>
        <v>62521</v>
      </c>
    </row>
    <row r="19031">
      <c r="A19031" s="48" t="s">
        <v>2308</v>
      </c>
      <c r="B19031" s="38">
        <v>33059.0</v>
      </c>
      <c r="C19031" s="38" t="s">
        <v>23505</v>
      </c>
      <c r="D19031" s="38" t="str">
        <f>IFERROR(__xludf.DUMMYFUNCTION("REGEXREPLACE(C19031,""-\d+(.*)|--\d+(.*)"","""")"),"BLESIGNAC")</f>
        <v>BLESIGNAC</v>
      </c>
      <c r="E19031" s="38" t="s">
        <v>462</v>
      </c>
      <c r="F19031" s="38" t="s">
        <v>252</v>
      </c>
      <c r="G19031" s="49" t="str">
        <f t="shared" si="1"/>
        <v>33670</v>
      </c>
      <c r="H19031" s="49">
        <f t="shared" si="2"/>
        <v>33059</v>
      </c>
    </row>
    <row r="19032">
      <c r="A19032" s="48" t="s">
        <v>10445</v>
      </c>
      <c r="B19032" s="38">
        <v>52432.0</v>
      </c>
      <c r="C19032" s="38" t="s">
        <v>23506</v>
      </c>
      <c r="D19032" s="38" t="str">
        <f>IFERROR(__xludf.DUMMYFUNCTION("REGEXREPLACE(C19032,""-\d+(.*)|--\d+(.*)"","""")"),"ROLAMPONT")</f>
        <v>ROLAMPONT</v>
      </c>
      <c r="E19032" s="38" t="s">
        <v>234</v>
      </c>
      <c r="F19032" s="38" t="s">
        <v>130</v>
      </c>
      <c r="G19032" s="49" t="str">
        <f t="shared" si="1"/>
        <v>52260</v>
      </c>
      <c r="H19032" s="49">
        <f t="shared" si="2"/>
        <v>52432</v>
      </c>
    </row>
    <row r="19033">
      <c r="A19033" s="48" t="s">
        <v>2734</v>
      </c>
      <c r="B19033" s="38">
        <v>89450.0</v>
      </c>
      <c r="C19033" s="38" t="s">
        <v>23507</v>
      </c>
      <c r="D19033" s="38" t="str">
        <f>IFERROR(__xludf.DUMMYFUNCTION("REGEXREPLACE(C19033,""-\d+(.*)|--\d+(.*)"","""")"),"VILLEBOUGIS")</f>
        <v>VILLEBOUGIS</v>
      </c>
      <c r="E19033" s="38" t="s">
        <v>275</v>
      </c>
      <c r="F19033" s="38" t="s">
        <v>106</v>
      </c>
      <c r="G19033" s="49" t="str">
        <f t="shared" si="1"/>
        <v>89150</v>
      </c>
      <c r="H19033" s="49">
        <f t="shared" si="2"/>
        <v>89450</v>
      </c>
    </row>
    <row r="19034">
      <c r="A19034" s="48" t="s">
        <v>259</v>
      </c>
      <c r="B19034" s="38">
        <v>24310.0</v>
      </c>
      <c r="C19034" s="38" t="s">
        <v>23508</v>
      </c>
      <c r="D19034" s="38" t="str">
        <f>IFERROR(__xludf.DUMMYFUNCTION("REGEXREPLACE(C19034,""-\d+(.*)|--\d+(.*)"","""")"),"NOJALS-ET-CLOTTE")</f>
        <v>NOJALS-ET-CLOTTE</v>
      </c>
      <c r="E19034" s="38" t="s">
        <v>261</v>
      </c>
      <c r="F19034" s="38" t="s">
        <v>252</v>
      </c>
      <c r="G19034" s="49" t="str">
        <f t="shared" si="1"/>
        <v>24440</v>
      </c>
      <c r="H19034" s="49">
        <f t="shared" si="2"/>
        <v>24310</v>
      </c>
    </row>
    <row r="19035">
      <c r="A19035" s="48" t="s">
        <v>9632</v>
      </c>
      <c r="B19035" s="38">
        <v>28083.0</v>
      </c>
      <c r="C19035" s="38" t="s">
        <v>23509</v>
      </c>
      <c r="D19035" s="38" t="str">
        <f>IFERROR(__xludf.DUMMYFUNCTION("REGEXREPLACE(C19035,""-\d+(.*)|--\d+(.*)"","""")"),"CHARRAY")</f>
        <v>CHARRAY</v>
      </c>
      <c r="E19035" s="38" t="s">
        <v>300</v>
      </c>
      <c r="F19035" s="38" t="s">
        <v>123</v>
      </c>
      <c r="G19035" s="49" t="str">
        <f t="shared" si="1"/>
        <v>28220</v>
      </c>
      <c r="H19035" s="49">
        <f t="shared" si="2"/>
        <v>28083</v>
      </c>
    </row>
    <row r="19036">
      <c r="A19036" s="48" t="s">
        <v>11673</v>
      </c>
      <c r="B19036" s="38">
        <v>84028.0</v>
      </c>
      <c r="C19036" s="38" t="s">
        <v>23510</v>
      </c>
      <c r="D19036" s="38" t="str">
        <f>IFERROR(__xludf.DUMMYFUNCTION("REGEXREPLACE(C19036,""-\d+(.*)|--\d+(.*)"","""")"),"CAIRANNE")</f>
        <v>CAIRANNE</v>
      </c>
      <c r="E19036" s="38" t="s">
        <v>1026</v>
      </c>
      <c r="F19036" s="38" t="s">
        <v>228</v>
      </c>
      <c r="G19036" s="49" t="str">
        <f t="shared" si="1"/>
        <v>84290</v>
      </c>
      <c r="H19036" s="49">
        <f t="shared" si="2"/>
        <v>84028</v>
      </c>
    </row>
    <row r="19037">
      <c r="A19037" s="48" t="s">
        <v>13993</v>
      </c>
      <c r="B19037" s="38">
        <v>87005.0</v>
      </c>
      <c r="C19037" s="38" t="s">
        <v>23511</v>
      </c>
      <c r="D19037" s="38" t="str">
        <f>IFERROR(__xludf.DUMMYFUNCTION("REGEXREPLACE(C19037,""-\d+(.*)|--\d+(.*)"","""")"),"AUREIL")</f>
        <v>AUREIL</v>
      </c>
      <c r="E19037" s="38" t="s">
        <v>897</v>
      </c>
      <c r="F19037" s="38" t="s">
        <v>98</v>
      </c>
      <c r="G19037" s="49" t="str">
        <f t="shared" si="1"/>
        <v>87220</v>
      </c>
      <c r="H19037" s="49">
        <f t="shared" si="2"/>
        <v>87005</v>
      </c>
    </row>
    <row r="19038">
      <c r="A19038" s="48" t="s">
        <v>22242</v>
      </c>
      <c r="B19038" s="38">
        <v>63090.0</v>
      </c>
      <c r="C19038" s="38" t="s">
        <v>23512</v>
      </c>
      <c r="D19038" s="38" t="str">
        <f>IFERROR(__xludf.DUMMYFUNCTION("REGEXREPLACE(C19038,""-\d+(.*)|--\d+(.*)"","""")"),"CHAPTUZAT")</f>
        <v>CHAPTUZAT</v>
      </c>
      <c r="E19038" s="38" t="s">
        <v>353</v>
      </c>
      <c r="F19038" s="38" t="s">
        <v>161</v>
      </c>
      <c r="G19038" s="49" t="str">
        <f t="shared" si="1"/>
        <v>63260</v>
      </c>
      <c r="H19038" s="49">
        <f t="shared" si="2"/>
        <v>63090</v>
      </c>
    </row>
    <row r="19039">
      <c r="A19039" s="48" t="s">
        <v>13750</v>
      </c>
      <c r="B19039" s="38">
        <v>79311.0</v>
      </c>
      <c r="C19039" s="38" t="s">
        <v>23513</v>
      </c>
      <c r="D19039" s="38" t="str">
        <f>IFERROR(__xludf.DUMMYFUNCTION("REGEXREPLACE(C19039,""-\d+(.*)|--\d+(.*)"","""")"),"SECONDIGNY")</f>
        <v>SECONDIGNY</v>
      </c>
      <c r="E19039" s="38" t="s">
        <v>337</v>
      </c>
      <c r="F19039" s="38" t="s">
        <v>338</v>
      </c>
      <c r="G19039" s="49" t="str">
        <f t="shared" si="1"/>
        <v>79130</v>
      </c>
      <c r="H19039" s="49">
        <f t="shared" si="2"/>
        <v>79311</v>
      </c>
    </row>
    <row r="19040">
      <c r="A19040" s="48" t="s">
        <v>777</v>
      </c>
      <c r="B19040" s="38">
        <v>74155.0</v>
      </c>
      <c r="C19040" s="38" t="s">
        <v>23514</v>
      </c>
      <c r="D19040" s="38" t="str">
        <f>IFERROR(__xludf.DUMMYFUNCTION("REGEXREPLACE(C19040,""-\d+(.*)|--\d+(.*)"","""")"),"LULLIN")</f>
        <v>LULLIN</v>
      </c>
      <c r="E19040" s="38" t="s">
        <v>319</v>
      </c>
      <c r="F19040" s="38" t="s">
        <v>102</v>
      </c>
      <c r="G19040" s="49" t="str">
        <f t="shared" si="1"/>
        <v>74470</v>
      </c>
      <c r="H19040" s="49">
        <f t="shared" si="2"/>
        <v>74155</v>
      </c>
    </row>
    <row r="19041">
      <c r="A19041" s="48" t="s">
        <v>452</v>
      </c>
      <c r="B19041" s="38">
        <v>21514.0</v>
      </c>
      <c r="C19041" s="38" t="s">
        <v>23515</v>
      </c>
      <c r="D19041" s="38" t="str">
        <f>IFERROR(__xludf.DUMMYFUNCTION("REGEXREPLACE(C19041,""-\d+(.*)|--\d+(.*)"","""")"),"QUEMIGNY-SUR-SEINE")</f>
        <v>QUEMIGNY-SUR-SEINE</v>
      </c>
      <c r="E19041" s="38" t="s">
        <v>105</v>
      </c>
      <c r="F19041" s="38" t="s">
        <v>106</v>
      </c>
      <c r="G19041" s="49" t="str">
        <f t="shared" si="1"/>
        <v>21510</v>
      </c>
      <c r="H19041" s="49">
        <f t="shared" si="2"/>
        <v>21514</v>
      </c>
    </row>
    <row r="19042">
      <c r="A19042" s="48" t="s">
        <v>2320</v>
      </c>
      <c r="B19042" s="38">
        <v>74029.0</v>
      </c>
      <c r="C19042" s="38" t="s">
        <v>23516</v>
      </c>
      <c r="D19042" s="38" t="str">
        <f>IFERROR(__xludf.DUMMYFUNCTION("REGEXREPLACE(C19042,""-\d+(.*)|--\d+(.*)"","""")"),"BASSY")</f>
        <v>BASSY</v>
      </c>
      <c r="E19042" s="38" t="s">
        <v>319</v>
      </c>
      <c r="F19042" s="38" t="s">
        <v>102</v>
      </c>
      <c r="G19042" s="49" t="str">
        <f t="shared" si="1"/>
        <v>74910</v>
      </c>
      <c r="H19042" s="49">
        <f t="shared" si="2"/>
        <v>74029</v>
      </c>
    </row>
    <row r="19043">
      <c r="A19043" s="48" t="s">
        <v>1883</v>
      </c>
      <c r="B19043" s="38">
        <v>39121.0</v>
      </c>
      <c r="C19043" s="38" t="s">
        <v>8060</v>
      </c>
      <c r="D19043" s="38" t="str">
        <f>IFERROR(__xludf.DUMMYFUNCTION("REGEXREPLACE(C19043,""-\d+(.*)|--\d+(.*)"","""")"),"CHATENOIS")</f>
        <v>CHATENOIS</v>
      </c>
      <c r="E19043" s="38" t="s">
        <v>400</v>
      </c>
      <c r="F19043" s="38" t="s">
        <v>214</v>
      </c>
      <c r="G19043" s="49" t="str">
        <f t="shared" si="1"/>
        <v>39700</v>
      </c>
      <c r="H19043" s="49">
        <f t="shared" si="2"/>
        <v>39121</v>
      </c>
    </row>
    <row r="19044">
      <c r="A19044" s="48" t="s">
        <v>5631</v>
      </c>
      <c r="B19044" s="38">
        <v>76389.0</v>
      </c>
      <c r="C19044" s="38" t="s">
        <v>23517</v>
      </c>
      <c r="D19044" s="38" t="str">
        <f>IFERROR(__xludf.DUMMYFUNCTION("REGEXREPLACE(C19044,""-\d+(.*)|--\d+(.*)"","""")"),"LINTOT-LES-BOIS")</f>
        <v>LINTOT-LES-BOIS</v>
      </c>
      <c r="E19044" s="38" t="s">
        <v>133</v>
      </c>
      <c r="F19044" s="38" t="s">
        <v>134</v>
      </c>
      <c r="G19044" s="49" t="str">
        <f t="shared" si="1"/>
        <v>76590</v>
      </c>
      <c r="H19044" s="49">
        <f t="shared" si="2"/>
        <v>76389</v>
      </c>
    </row>
    <row r="19045">
      <c r="A19045" s="48" t="s">
        <v>1106</v>
      </c>
      <c r="B19045" s="38">
        <v>14291.0</v>
      </c>
      <c r="C19045" s="38" t="s">
        <v>23518</v>
      </c>
      <c r="D19045" s="38" t="str">
        <f>IFERROR(__xludf.DUMMYFUNCTION("REGEXREPLACE(C19045,""-\d+(.*)|--\d+(.*)"","""")"),"FRESNEY-LE-VIEUX")</f>
        <v>FRESNEY-LE-VIEUX</v>
      </c>
      <c r="E19045" s="38" t="s">
        <v>137</v>
      </c>
      <c r="F19045" s="38" t="s">
        <v>138</v>
      </c>
      <c r="G19045" s="49" t="str">
        <f t="shared" si="1"/>
        <v>14220</v>
      </c>
      <c r="H19045" s="49">
        <f t="shared" si="2"/>
        <v>14291</v>
      </c>
    </row>
    <row r="19046">
      <c r="A19046" s="48" t="s">
        <v>15222</v>
      </c>
      <c r="B19046" s="38">
        <v>56149.0</v>
      </c>
      <c r="C19046" s="38" t="s">
        <v>23519</v>
      </c>
      <c r="D19046" s="38" t="str">
        <f>IFERROR(__xludf.DUMMYFUNCTION("REGEXREPLACE(C19046,""-\d+(.*)|--\d+(.*)"","""")"),"NOYAL-MUZILLAC")</f>
        <v>NOYAL-MUZILLAC</v>
      </c>
      <c r="E19046" s="38" t="s">
        <v>173</v>
      </c>
      <c r="F19046" s="38" t="s">
        <v>90</v>
      </c>
      <c r="G19046" s="49" t="str">
        <f t="shared" si="1"/>
        <v>56190</v>
      </c>
      <c r="H19046" s="49">
        <f t="shared" si="2"/>
        <v>56149</v>
      </c>
    </row>
    <row r="19047">
      <c r="A19047" s="48" t="s">
        <v>3346</v>
      </c>
      <c r="B19047" s="38">
        <v>65013.0</v>
      </c>
      <c r="C19047" s="38" t="s">
        <v>23520</v>
      </c>
      <c r="D19047" s="38" t="str">
        <f>IFERROR(__xludf.DUMMYFUNCTION("REGEXREPLACE(C19047,""-\d+(.*)|--\d+(.*)"","""")"),"ANSOST")</f>
        <v>ANSOST</v>
      </c>
      <c r="E19047" s="38" t="s">
        <v>200</v>
      </c>
      <c r="F19047" s="38" t="s">
        <v>94</v>
      </c>
      <c r="G19047" s="49" t="str">
        <f t="shared" si="1"/>
        <v>65140</v>
      </c>
      <c r="H19047" s="49">
        <f t="shared" si="2"/>
        <v>65013</v>
      </c>
    </row>
    <row r="19048">
      <c r="A19048" s="48" t="s">
        <v>2903</v>
      </c>
      <c r="B19048" s="38">
        <v>85239.0</v>
      </c>
      <c r="C19048" s="38" t="s">
        <v>23521</v>
      </c>
      <c r="D19048" s="38" t="str">
        <f>IFERROR(__xludf.DUMMYFUNCTION("REGEXREPLACE(C19048,""-\d+(.*)|--\d+(.*)"","""")"),"SAINT-MAIXENT-SUR-VIE")</f>
        <v>SAINT-MAIXENT-SUR-VIE</v>
      </c>
      <c r="E19048" s="38" t="s">
        <v>179</v>
      </c>
      <c r="F19048" s="38" t="s">
        <v>180</v>
      </c>
      <c r="G19048" s="49" t="str">
        <f t="shared" si="1"/>
        <v>85220</v>
      </c>
      <c r="H19048" s="49">
        <f t="shared" si="2"/>
        <v>85239</v>
      </c>
    </row>
    <row r="19049">
      <c r="A19049" s="48" t="s">
        <v>8508</v>
      </c>
      <c r="B19049" s="38">
        <v>87172.0</v>
      </c>
      <c r="C19049" s="38" t="s">
        <v>23522</v>
      </c>
      <c r="D19049" s="38" t="str">
        <f>IFERROR(__xludf.DUMMYFUNCTION("REGEXREPLACE(C19049,""-\d+(.*)|--\d+(.*)"","""")"),"SAINT-OUEN-SUR-GARTEMPE")</f>
        <v>SAINT-OUEN-SUR-GARTEMPE</v>
      </c>
      <c r="E19049" s="38" t="s">
        <v>897</v>
      </c>
      <c r="F19049" s="38" t="s">
        <v>98</v>
      </c>
      <c r="G19049" s="49" t="str">
        <f t="shared" si="1"/>
        <v>87300</v>
      </c>
      <c r="H19049" s="49">
        <f t="shared" si="2"/>
        <v>87172</v>
      </c>
    </row>
    <row r="19050">
      <c r="A19050" s="48" t="s">
        <v>8883</v>
      </c>
      <c r="B19050" s="38">
        <v>39139.0</v>
      </c>
      <c r="C19050" s="38" t="s">
        <v>23523</v>
      </c>
      <c r="D19050" s="38" t="str">
        <f>IFERROR(__xludf.DUMMYFUNCTION("REGEXREPLACE(C19050,""-\d+(.*)|--\d+(.*)"","""")"),"CHENE-BERNARD")</f>
        <v>CHENE-BERNARD</v>
      </c>
      <c r="E19050" s="38" t="s">
        <v>400</v>
      </c>
      <c r="F19050" s="38" t="s">
        <v>214</v>
      </c>
      <c r="G19050" s="49" t="str">
        <f t="shared" si="1"/>
        <v>39120</v>
      </c>
      <c r="H19050" s="49">
        <f t="shared" si="2"/>
        <v>39139</v>
      </c>
    </row>
    <row r="19051">
      <c r="A19051" s="48" t="s">
        <v>23524</v>
      </c>
      <c r="B19051" s="38">
        <v>57658.0</v>
      </c>
      <c r="C19051" s="38" t="s">
        <v>23525</v>
      </c>
      <c r="D19051" s="38" t="str">
        <f>IFERROR(__xludf.DUMMYFUNCTION("REGEXREPLACE(C19051,""-\d+(.*)|--\d+(.*)"","""")"),"SOUCHT")</f>
        <v>SOUCHT</v>
      </c>
      <c r="E19051" s="38" t="s">
        <v>303</v>
      </c>
      <c r="F19051" s="38" t="s">
        <v>195</v>
      </c>
      <c r="G19051" s="49" t="str">
        <f t="shared" si="1"/>
        <v>57960</v>
      </c>
      <c r="H19051" s="49">
        <f t="shared" si="2"/>
        <v>57658</v>
      </c>
    </row>
    <row r="19052">
      <c r="A19052" s="48" t="s">
        <v>3017</v>
      </c>
      <c r="B19052" s="38">
        <v>1255.0</v>
      </c>
      <c r="C19052" s="38" t="s">
        <v>23526</v>
      </c>
      <c r="D19052" s="38" t="str">
        <f>IFERROR(__xludf.DUMMYFUNCTION("REGEXREPLACE(C19052,""-\d+(.*)|--\d+(.*)"","""")"),"MONTAGNIEU")</f>
        <v>MONTAGNIEU</v>
      </c>
      <c r="E19052" s="38" t="s">
        <v>255</v>
      </c>
      <c r="F19052" s="38" t="s">
        <v>102</v>
      </c>
      <c r="G19052" s="49" t="str">
        <f t="shared" si="1"/>
        <v>01470</v>
      </c>
      <c r="H19052" s="49" t="str">
        <f t="shared" si="2"/>
        <v>01255</v>
      </c>
    </row>
    <row r="19053">
      <c r="A19053" s="48" t="s">
        <v>3955</v>
      </c>
      <c r="B19053" s="38">
        <v>62881.0</v>
      </c>
      <c r="C19053" s="38" t="s">
        <v>23527</v>
      </c>
      <c r="D19053" s="38" t="str">
        <f>IFERROR(__xludf.DUMMYFUNCTION("REGEXREPLACE(C19053,""-\d+(.*)|--\d+(.*)"","""")"),"BEAUVOIR-WAVANS")</f>
        <v>BEAUVOIR-WAVANS</v>
      </c>
      <c r="E19053" s="38" t="s">
        <v>109</v>
      </c>
      <c r="F19053" s="38" t="s">
        <v>86</v>
      </c>
      <c r="G19053" s="49" t="str">
        <f t="shared" si="1"/>
        <v>62390</v>
      </c>
      <c r="H19053" s="49">
        <f t="shared" si="2"/>
        <v>62881</v>
      </c>
    </row>
    <row r="19054">
      <c r="A19054" s="48" t="s">
        <v>18533</v>
      </c>
      <c r="B19054" s="38">
        <v>77184.0</v>
      </c>
      <c r="C19054" s="38" t="s">
        <v>23528</v>
      </c>
      <c r="D19054" s="38" t="str">
        <f>IFERROR(__xludf.DUMMYFUNCTION("REGEXREPLACE(C19054,""-\d+(.*)|--\d+(.*)"","""")"),"FLAGY")</f>
        <v>FLAGY</v>
      </c>
      <c r="E19054" s="38" t="s">
        <v>244</v>
      </c>
      <c r="F19054" s="38" t="s">
        <v>245</v>
      </c>
      <c r="G19054" s="49" t="str">
        <f t="shared" si="1"/>
        <v>77940</v>
      </c>
      <c r="H19054" s="49">
        <f t="shared" si="2"/>
        <v>77184</v>
      </c>
    </row>
    <row r="19055">
      <c r="A19055" s="48" t="s">
        <v>1114</v>
      </c>
      <c r="B19055" s="38">
        <v>2086.0</v>
      </c>
      <c r="C19055" s="38" t="s">
        <v>23529</v>
      </c>
      <c r="D19055" s="38" t="str">
        <f>IFERROR(__xludf.DUMMYFUNCTION("REGEXREPLACE(C19055,""-\d+(.*)|--\d+(.*)"","""")"),"BICHANCOURT")</f>
        <v>BICHANCOURT</v>
      </c>
      <c r="E19055" s="38" t="s">
        <v>191</v>
      </c>
      <c r="F19055" s="38" t="s">
        <v>113</v>
      </c>
      <c r="G19055" s="49" t="str">
        <f t="shared" si="1"/>
        <v>02300</v>
      </c>
      <c r="H19055" s="49" t="str">
        <f t="shared" si="2"/>
        <v>02086</v>
      </c>
    </row>
    <row r="19056">
      <c r="A19056" s="48" t="s">
        <v>15574</v>
      </c>
      <c r="B19056" s="38">
        <v>95341.0</v>
      </c>
      <c r="C19056" s="38" t="s">
        <v>23530</v>
      </c>
      <c r="D19056" s="38" t="str">
        <f>IFERROR(__xludf.DUMMYFUNCTION("REGEXREPLACE(C19056,""-\d+(.*)|--\d+(.*)"","""")"),"LIVILLIERS")</f>
        <v>LIVILLIERS</v>
      </c>
      <c r="E19056" s="38" t="s">
        <v>541</v>
      </c>
      <c r="F19056" s="38" t="s">
        <v>245</v>
      </c>
      <c r="G19056" s="49" t="str">
        <f t="shared" si="1"/>
        <v>95300</v>
      </c>
      <c r="H19056" s="49">
        <f t="shared" si="2"/>
        <v>95341</v>
      </c>
    </row>
    <row r="19057">
      <c r="A19057" s="48" t="s">
        <v>430</v>
      </c>
      <c r="B19057" s="38">
        <v>2744.0</v>
      </c>
      <c r="C19057" s="38" t="s">
        <v>23531</v>
      </c>
      <c r="D19057" s="38" t="str">
        <f>IFERROR(__xludf.DUMMYFUNCTION("REGEXREPLACE(C19057,""-\d+(.*)|--\d+(.*)"","""")"),"TORCY-EN-VALOIS")</f>
        <v>TORCY-EN-VALOIS</v>
      </c>
      <c r="E19057" s="38" t="s">
        <v>191</v>
      </c>
      <c r="F19057" s="38" t="s">
        <v>113</v>
      </c>
      <c r="G19057" s="49" t="str">
        <f t="shared" si="1"/>
        <v>02810</v>
      </c>
      <c r="H19057" s="49" t="str">
        <f t="shared" si="2"/>
        <v>02744</v>
      </c>
    </row>
    <row r="19058">
      <c r="A19058" s="48" t="s">
        <v>4499</v>
      </c>
      <c r="B19058" s="38">
        <v>25154.0</v>
      </c>
      <c r="C19058" s="38" t="s">
        <v>23532</v>
      </c>
      <c r="D19058" s="38" t="str">
        <f>IFERROR(__xludf.DUMMYFUNCTION("REGEXREPLACE(C19058,""-\d+(.*)|--\d+(.*)"","""")"),"CHOUZELOT")</f>
        <v>CHOUZELOT</v>
      </c>
      <c r="E19058" s="38" t="s">
        <v>213</v>
      </c>
      <c r="F19058" s="38" t="s">
        <v>214</v>
      </c>
      <c r="G19058" s="49" t="str">
        <f t="shared" si="1"/>
        <v>25440</v>
      </c>
      <c r="H19058" s="49">
        <f t="shared" si="2"/>
        <v>25154</v>
      </c>
    </row>
    <row r="19059">
      <c r="A19059" s="48" t="s">
        <v>2783</v>
      </c>
      <c r="B19059" s="38">
        <v>31131.0</v>
      </c>
      <c r="C19059" s="38" t="s">
        <v>23533</v>
      </c>
      <c r="D19059" s="38" t="str">
        <f>IFERROR(__xludf.DUMMYFUNCTION("REGEXREPLACE(C19059,""-\d+(.*)|--\d+(.*)"","""")"),"CAZAUNOUS")</f>
        <v>CAZAUNOUS</v>
      </c>
      <c r="E19059" s="38" t="s">
        <v>93</v>
      </c>
      <c r="F19059" s="38" t="s">
        <v>94</v>
      </c>
      <c r="G19059" s="49" t="str">
        <f t="shared" si="1"/>
        <v>31160</v>
      </c>
      <c r="H19059" s="49">
        <f t="shared" si="2"/>
        <v>31131</v>
      </c>
    </row>
    <row r="19060">
      <c r="A19060" s="48" t="s">
        <v>425</v>
      </c>
      <c r="B19060" s="38">
        <v>88454.0</v>
      </c>
      <c r="C19060" s="38" t="s">
        <v>23534</v>
      </c>
      <c r="D19060" s="38" t="str">
        <f>IFERROR(__xludf.DUMMYFUNCTION("REGEXREPLACE(C19060,""-\d+(.*)|--\d+(.*)"","""")"),"SERCOEUR")</f>
        <v>SERCOEUR</v>
      </c>
      <c r="E19060" s="38" t="s">
        <v>194</v>
      </c>
      <c r="F19060" s="38" t="s">
        <v>195</v>
      </c>
      <c r="G19060" s="49" t="str">
        <f t="shared" si="1"/>
        <v>88600</v>
      </c>
      <c r="H19060" s="49">
        <f t="shared" si="2"/>
        <v>88454</v>
      </c>
    </row>
    <row r="19061">
      <c r="A19061" s="48" t="s">
        <v>10107</v>
      </c>
      <c r="B19061" s="38" t="s">
        <v>23535</v>
      </c>
      <c r="C19061" s="38" t="s">
        <v>23536</v>
      </c>
      <c r="D19061" s="38" t="str">
        <f>IFERROR(__xludf.DUMMYFUNCTION("REGEXREPLACE(C19061,""-\d+(.*)|--\d+(.*)"","""")"),"LORETO-DI-CASINCA")</f>
        <v>LORETO-DI-CASINCA</v>
      </c>
      <c r="E19061" s="38" t="s">
        <v>743</v>
      </c>
      <c r="F19061" s="38" t="s">
        <v>607</v>
      </c>
      <c r="G19061" s="49" t="str">
        <f t="shared" si="1"/>
        <v>20215</v>
      </c>
      <c r="H19061" s="49" t="str">
        <f t="shared" si="2"/>
        <v>2B145</v>
      </c>
    </row>
    <row r="19062">
      <c r="A19062" s="48" t="s">
        <v>13267</v>
      </c>
      <c r="B19062" s="38">
        <v>19058.0</v>
      </c>
      <c r="C19062" s="38" t="s">
        <v>23537</v>
      </c>
      <c r="D19062" s="38" t="str">
        <f>IFERROR(__xludf.DUMMYFUNCTION("REGEXREPLACE(C19062,""-\d+(.*)|--\d+(.*)"","""")"),"COMBRESSOL")</f>
        <v>COMBRESSOL</v>
      </c>
      <c r="E19062" s="38" t="s">
        <v>271</v>
      </c>
      <c r="F19062" s="38" t="s">
        <v>98</v>
      </c>
      <c r="G19062" s="49" t="str">
        <f t="shared" si="1"/>
        <v>19250</v>
      </c>
      <c r="H19062" s="49">
        <f t="shared" si="2"/>
        <v>19058</v>
      </c>
    </row>
    <row r="19063">
      <c r="A19063" s="48" t="s">
        <v>11009</v>
      </c>
      <c r="B19063" s="38">
        <v>33538.0</v>
      </c>
      <c r="C19063" s="38" t="s">
        <v>23538</v>
      </c>
      <c r="D19063" s="38" t="str">
        <f>IFERROR(__xludf.DUMMYFUNCTION("REGEXREPLACE(C19063,""-\d+(.*)|--\d+(.*)"","""")"),"VALEYRAC")</f>
        <v>VALEYRAC</v>
      </c>
      <c r="E19063" s="38" t="s">
        <v>462</v>
      </c>
      <c r="F19063" s="38" t="s">
        <v>252</v>
      </c>
      <c r="G19063" s="49" t="str">
        <f t="shared" si="1"/>
        <v>33340</v>
      </c>
      <c r="H19063" s="49">
        <f t="shared" si="2"/>
        <v>33538</v>
      </c>
    </row>
    <row r="19064">
      <c r="A19064" s="48" t="s">
        <v>571</v>
      </c>
      <c r="B19064" s="38">
        <v>55408.0</v>
      </c>
      <c r="C19064" s="38" t="s">
        <v>23539</v>
      </c>
      <c r="D19064" s="38" t="str">
        <f>IFERROR(__xludf.DUMMYFUNCTION("REGEXREPLACE(C19064,""-\d+(.*)|--\d+(.*)"","""")"),"POUILLY-SUR-MEUSE")</f>
        <v>POUILLY-SUR-MEUSE</v>
      </c>
      <c r="E19064" s="38" t="s">
        <v>322</v>
      </c>
      <c r="F19064" s="38" t="s">
        <v>195</v>
      </c>
      <c r="G19064" s="49" t="str">
        <f t="shared" si="1"/>
        <v>55700</v>
      </c>
      <c r="H19064" s="49">
        <f t="shared" si="2"/>
        <v>55408</v>
      </c>
    </row>
    <row r="19065">
      <c r="A19065" s="48" t="s">
        <v>16913</v>
      </c>
      <c r="B19065" s="38">
        <v>24010.0</v>
      </c>
      <c r="C19065" s="38" t="s">
        <v>23540</v>
      </c>
      <c r="D19065" s="38" t="str">
        <f>IFERROR(__xludf.DUMMYFUNCTION("REGEXREPLACE(C19065,""-\d+(.*)|--\d+(.*)"","""")"),"ANNESSE-ET-BEAULIEU")</f>
        <v>ANNESSE-ET-BEAULIEU</v>
      </c>
      <c r="E19065" s="38" t="s">
        <v>261</v>
      </c>
      <c r="F19065" s="38" t="s">
        <v>252</v>
      </c>
      <c r="G19065" s="49" t="str">
        <f t="shared" si="1"/>
        <v>24430</v>
      </c>
      <c r="H19065" s="49">
        <f t="shared" si="2"/>
        <v>24010</v>
      </c>
    </row>
    <row r="19066">
      <c r="A19066" s="48" t="s">
        <v>2730</v>
      </c>
      <c r="B19066" s="38">
        <v>22344.0</v>
      </c>
      <c r="C19066" s="38" t="s">
        <v>23541</v>
      </c>
      <c r="D19066" s="38" t="str">
        <f>IFERROR(__xludf.DUMMYFUNCTION("REGEXREPLACE(C19066,""-\d+(.*)|--\d+(.*)"","""")"),"TREBRIVAN")</f>
        <v>TREBRIVAN</v>
      </c>
      <c r="E19066" s="38" t="s">
        <v>89</v>
      </c>
      <c r="F19066" s="38" t="s">
        <v>90</v>
      </c>
      <c r="G19066" s="49" t="str">
        <f t="shared" si="1"/>
        <v>22340</v>
      </c>
      <c r="H19066" s="49">
        <f t="shared" si="2"/>
        <v>22344</v>
      </c>
    </row>
    <row r="19067">
      <c r="A19067" s="48" t="s">
        <v>4679</v>
      </c>
      <c r="B19067" s="38">
        <v>17481.0</v>
      </c>
      <c r="C19067" s="38" t="s">
        <v>23542</v>
      </c>
      <c r="D19067" s="38" t="str">
        <f>IFERROR(__xludf.DUMMYFUNCTION("REGEXREPLACE(C19067,""-\d+(.*)|--\d+(.*)"","""")"),"VOISSAY")</f>
        <v>VOISSAY</v>
      </c>
      <c r="E19067" s="38" t="s">
        <v>488</v>
      </c>
      <c r="F19067" s="38" t="s">
        <v>338</v>
      </c>
      <c r="G19067" s="49" t="str">
        <f t="shared" si="1"/>
        <v>17400</v>
      </c>
      <c r="H19067" s="49">
        <f t="shared" si="2"/>
        <v>17481</v>
      </c>
    </row>
    <row r="19068">
      <c r="A19068" s="48" t="s">
        <v>4077</v>
      </c>
      <c r="B19068" s="38">
        <v>90066.0</v>
      </c>
      <c r="C19068" s="38" t="s">
        <v>19612</v>
      </c>
      <c r="D19068" s="38" t="str">
        <f>IFERROR(__xludf.DUMMYFUNCTION("REGEXREPLACE(C19068,""-\d+(.*)|--\d+(.*)"","""")"),"LEVAL")</f>
        <v>LEVAL</v>
      </c>
      <c r="E19068" s="38" t="s">
        <v>1283</v>
      </c>
      <c r="F19068" s="38" t="s">
        <v>214</v>
      </c>
      <c r="G19068" s="49" t="str">
        <f t="shared" si="1"/>
        <v>90110</v>
      </c>
      <c r="H19068" s="49">
        <f t="shared" si="2"/>
        <v>90066</v>
      </c>
    </row>
    <row r="19069">
      <c r="A19069" s="48" t="s">
        <v>2937</v>
      </c>
      <c r="B19069" s="38">
        <v>73311.0</v>
      </c>
      <c r="C19069" s="38" t="s">
        <v>23543</v>
      </c>
      <c r="D19069" s="38" t="str">
        <f>IFERROR(__xludf.DUMMYFUNCTION("REGEXREPLACE(C19069,""-\d+(.*)|--\d+(.*)"","""")"),"LE VERNEIL")</f>
        <v>LE VERNEIL</v>
      </c>
      <c r="E19069" s="38" t="s">
        <v>306</v>
      </c>
      <c r="F19069" s="38" t="s">
        <v>102</v>
      </c>
      <c r="G19069" s="49" t="str">
        <f t="shared" si="1"/>
        <v>73110</v>
      </c>
      <c r="H19069" s="49">
        <f t="shared" si="2"/>
        <v>73311</v>
      </c>
    </row>
    <row r="19070">
      <c r="A19070" s="48" t="s">
        <v>8105</v>
      </c>
      <c r="B19070" s="38">
        <v>25082.0</v>
      </c>
      <c r="C19070" s="38" t="s">
        <v>23544</v>
      </c>
      <c r="D19070" s="38" t="str">
        <f>IFERROR(__xludf.DUMMYFUNCTION("REGEXREPLACE(C19070,""-\d+(.*)|--\d+(.*)"","""")"),"BOURGUIGNON")</f>
        <v>BOURGUIGNON</v>
      </c>
      <c r="E19070" s="38" t="s">
        <v>213</v>
      </c>
      <c r="F19070" s="38" t="s">
        <v>214</v>
      </c>
      <c r="G19070" s="49" t="str">
        <f t="shared" si="1"/>
        <v>25150</v>
      </c>
      <c r="H19070" s="49">
        <f t="shared" si="2"/>
        <v>25082</v>
      </c>
    </row>
    <row r="19071">
      <c r="A19071" s="48" t="s">
        <v>3266</v>
      </c>
      <c r="B19071" s="38">
        <v>55067.0</v>
      </c>
      <c r="C19071" s="38" t="s">
        <v>23545</v>
      </c>
      <c r="D19071" s="38" t="str">
        <f>IFERROR(__xludf.DUMMYFUNCTION("REGEXREPLACE(C19071,""-\d+(.*)|--\d+(.*)"","""")"),"BOVIOLLES")</f>
        <v>BOVIOLLES</v>
      </c>
      <c r="E19071" s="38" t="s">
        <v>322</v>
      </c>
      <c r="F19071" s="38" t="s">
        <v>195</v>
      </c>
      <c r="G19071" s="49" t="str">
        <f t="shared" si="1"/>
        <v>55500</v>
      </c>
      <c r="H19071" s="49">
        <f t="shared" si="2"/>
        <v>55067</v>
      </c>
    </row>
    <row r="19072">
      <c r="A19072" s="48" t="s">
        <v>13232</v>
      </c>
      <c r="B19072" s="38">
        <v>8172.0</v>
      </c>
      <c r="C19072" s="38" t="s">
        <v>23546</v>
      </c>
      <c r="D19072" s="38" t="str">
        <f>IFERROR(__xludf.DUMMYFUNCTION("REGEXREPLACE(C19072,""-\d+(.*)|--\d+(.*)"","""")"),"FLIGNY")</f>
        <v>FLIGNY</v>
      </c>
      <c r="E19072" s="38" t="s">
        <v>327</v>
      </c>
      <c r="F19072" s="38" t="s">
        <v>130</v>
      </c>
      <c r="G19072" s="49" t="str">
        <f t="shared" si="1"/>
        <v>08380</v>
      </c>
      <c r="H19072" s="49" t="str">
        <f t="shared" si="2"/>
        <v>08172</v>
      </c>
    </row>
    <row r="19073">
      <c r="A19073" s="48" t="s">
        <v>9028</v>
      </c>
      <c r="B19073" s="38">
        <v>65369.0</v>
      </c>
      <c r="C19073" s="38" t="s">
        <v>23547</v>
      </c>
      <c r="D19073" s="38" t="str">
        <f>IFERROR(__xludf.DUMMYFUNCTION("REGEXREPLACE(C19073,""-\d+(.*)|--\d+(.*)"","""")"),"POUYASTRUC")</f>
        <v>POUYASTRUC</v>
      </c>
      <c r="E19073" s="38" t="s">
        <v>200</v>
      </c>
      <c r="F19073" s="38" t="s">
        <v>94</v>
      </c>
      <c r="G19073" s="49" t="str">
        <f t="shared" si="1"/>
        <v>65350</v>
      </c>
      <c r="H19073" s="49">
        <f t="shared" si="2"/>
        <v>65369</v>
      </c>
    </row>
    <row r="19074">
      <c r="A19074" s="48" t="s">
        <v>1991</v>
      </c>
      <c r="B19074" s="38">
        <v>54477.0</v>
      </c>
      <c r="C19074" s="38" t="s">
        <v>23548</v>
      </c>
      <c r="D19074" s="38" t="str">
        <f>IFERROR(__xludf.DUMMYFUNCTION("REGEXREPLACE(C19074,""-\d+(.*)|--\d+(.*)"","""")"),"SAINT-JULIEN-LES-GORZE")</f>
        <v>SAINT-JULIEN-LES-GORZE</v>
      </c>
      <c r="E19074" s="38" t="s">
        <v>548</v>
      </c>
      <c r="F19074" s="38" t="s">
        <v>195</v>
      </c>
      <c r="G19074" s="49" t="str">
        <f t="shared" si="1"/>
        <v>54470</v>
      </c>
      <c r="H19074" s="49">
        <f t="shared" si="2"/>
        <v>54477</v>
      </c>
    </row>
    <row r="19075">
      <c r="A19075" s="48" t="s">
        <v>3036</v>
      </c>
      <c r="B19075" s="38">
        <v>61120.0</v>
      </c>
      <c r="C19075" s="38" t="s">
        <v>23549</v>
      </c>
      <c r="D19075" s="38" t="str">
        <f>IFERROR(__xludf.DUMMYFUNCTION("REGEXREPLACE(C19075,""-\d+(.*)|--\d+(.*)"","""")"),"COUDEHARD")</f>
        <v>COUDEHARD</v>
      </c>
      <c r="E19075" s="38" t="s">
        <v>141</v>
      </c>
      <c r="F19075" s="38" t="s">
        <v>138</v>
      </c>
      <c r="G19075" s="49" t="str">
        <f t="shared" si="1"/>
        <v>61160</v>
      </c>
      <c r="H19075" s="49">
        <f t="shared" si="2"/>
        <v>61120</v>
      </c>
    </row>
    <row r="19076">
      <c r="A19076" s="48" t="s">
        <v>12639</v>
      </c>
      <c r="B19076" s="38">
        <v>81009.0</v>
      </c>
      <c r="C19076" s="38" t="s">
        <v>23550</v>
      </c>
      <c r="D19076" s="38" t="str">
        <f>IFERROR(__xludf.DUMMYFUNCTION("REGEXREPLACE(C19076,""-\d+(.*)|--\d+(.*)"","""")"),"AMARENS")</f>
        <v>AMARENS</v>
      </c>
      <c r="E19076" s="38" t="s">
        <v>231</v>
      </c>
      <c r="F19076" s="38" t="s">
        <v>94</v>
      </c>
      <c r="G19076" s="49" t="str">
        <f t="shared" si="1"/>
        <v>81170</v>
      </c>
      <c r="H19076" s="49">
        <f t="shared" si="2"/>
        <v>81009</v>
      </c>
    </row>
    <row r="19077">
      <c r="A19077" s="48" t="s">
        <v>2567</v>
      </c>
      <c r="B19077" s="38">
        <v>6073.0</v>
      </c>
      <c r="C19077" s="38" t="s">
        <v>23551</v>
      </c>
      <c r="D19077" s="38" t="str">
        <f>IFERROR(__xludf.DUMMYFUNCTION("REGEXREPLACE(C19077,""-\d+(.*)|--\d+(.*)"","""")"),"ISOLA")</f>
        <v>ISOLA</v>
      </c>
      <c r="E19077" s="38" t="s">
        <v>227</v>
      </c>
      <c r="F19077" s="38" t="s">
        <v>228</v>
      </c>
      <c r="G19077" s="49" t="str">
        <f t="shared" si="1"/>
        <v>06420</v>
      </c>
      <c r="H19077" s="49" t="str">
        <f t="shared" si="2"/>
        <v>06073</v>
      </c>
    </row>
    <row r="19078">
      <c r="A19078" s="48" t="s">
        <v>3924</v>
      </c>
      <c r="B19078" s="38">
        <v>81100.0</v>
      </c>
      <c r="C19078" s="38" t="s">
        <v>23552</v>
      </c>
      <c r="D19078" s="38" t="str">
        <f>IFERROR(__xludf.DUMMYFUNCTION("REGEXREPLACE(C19078,""-\d+(.*)|--\d+(.*)"","""")"),"GARREVAQUES")</f>
        <v>GARREVAQUES</v>
      </c>
      <c r="E19078" s="38" t="s">
        <v>231</v>
      </c>
      <c r="F19078" s="38" t="s">
        <v>94</v>
      </c>
      <c r="G19078" s="49" t="str">
        <f t="shared" si="1"/>
        <v>81700</v>
      </c>
      <c r="H19078" s="49">
        <f t="shared" si="2"/>
        <v>81100</v>
      </c>
    </row>
    <row r="19079">
      <c r="A19079" s="48" t="s">
        <v>4830</v>
      </c>
      <c r="B19079" s="38">
        <v>61295.0</v>
      </c>
      <c r="C19079" s="38" t="s">
        <v>23553</v>
      </c>
      <c r="D19079" s="38" t="str">
        <f>IFERROR(__xludf.DUMMYFUNCTION("REGEXREPLACE(C19079,""-\d+(.*)|--\d+(.*)"","""")"),"LA MOTTE-FOUQUET")</f>
        <v>LA MOTTE-FOUQUET</v>
      </c>
      <c r="E19079" s="38" t="s">
        <v>141</v>
      </c>
      <c r="F19079" s="38" t="s">
        <v>138</v>
      </c>
      <c r="G19079" s="49" t="str">
        <f t="shared" si="1"/>
        <v>61600</v>
      </c>
      <c r="H19079" s="49">
        <f t="shared" si="2"/>
        <v>61295</v>
      </c>
    </row>
    <row r="19080">
      <c r="A19080" s="48" t="s">
        <v>12977</v>
      </c>
      <c r="B19080" s="38">
        <v>59608.0</v>
      </c>
      <c r="C19080" s="38" t="s">
        <v>23554</v>
      </c>
      <c r="D19080" s="38" t="str">
        <f>IFERROR(__xludf.DUMMYFUNCTION("REGEXREPLACE(C19080,""-\d+(.*)|--\d+(.*)"","""")"),"VENDEGIES-SUR-ECAILLON")</f>
        <v>VENDEGIES-SUR-ECAILLON</v>
      </c>
      <c r="E19080" s="38" t="s">
        <v>85</v>
      </c>
      <c r="F19080" s="38" t="s">
        <v>86</v>
      </c>
      <c r="G19080" s="49" t="str">
        <f t="shared" si="1"/>
        <v>59213</v>
      </c>
      <c r="H19080" s="49">
        <f t="shared" si="2"/>
        <v>59608</v>
      </c>
    </row>
    <row r="19081">
      <c r="A19081" s="48" t="s">
        <v>12906</v>
      </c>
      <c r="B19081" s="38">
        <v>80360.0</v>
      </c>
      <c r="C19081" s="38" t="s">
        <v>23555</v>
      </c>
      <c r="D19081" s="38" t="str">
        <f>IFERROR(__xludf.DUMMYFUNCTION("REGEXREPLACE(C19081,""-\d+(.*)|--\d+(.*)"","""")"),"FRESSENNEVILLE")</f>
        <v>FRESSENNEVILLE</v>
      </c>
      <c r="E19081" s="38" t="s">
        <v>224</v>
      </c>
      <c r="F19081" s="38" t="s">
        <v>113</v>
      </c>
      <c r="G19081" s="49" t="str">
        <f t="shared" si="1"/>
        <v>80390</v>
      </c>
      <c r="H19081" s="49">
        <f t="shared" si="2"/>
        <v>80360</v>
      </c>
    </row>
    <row r="19082">
      <c r="A19082" s="48" t="s">
        <v>23556</v>
      </c>
      <c r="B19082" s="38">
        <v>44130.0</v>
      </c>
      <c r="C19082" s="38" t="s">
        <v>23557</v>
      </c>
      <c r="D19082" s="38" t="str">
        <f>IFERROR(__xludf.DUMMYFUNCTION("REGEXREPLACE(C19082,""-\d+(.*)|--\d+(.*)"","""")"),"PONT-SAINT-MARTIN")</f>
        <v>PONT-SAINT-MARTIN</v>
      </c>
      <c r="E19082" s="38" t="s">
        <v>759</v>
      </c>
      <c r="F19082" s="38" t="s">
        <v>180</v>
      </c>
      <c r="G19082" s="49" t="str">
        <f t="shared" si="1"/>
        <v>44860</v>
      </c>
      <c r="H19082" s="49">
        <f t="shared" si="2"/>
        <v>44130</v>
      </c>
    </row>
    <row r="19083">
      <c r="A19083" s="48" t="s">
        <v>608</v>
      </c>
      <c r="B19083" s="38">
        <v>74139.0</v>
      </c>
      <c r="C19083" s="38" t="s">
        <v>23558</v>
      </c>
      <c r="D19083" s="38" t="str">
        <f>IFERROR(__xludf.DUMMYFUNCTION("REGEXREPLACE(C19083,""-\d+(.*)|--\d+(.*)"","""")"),"HABERE-LULLIN")</f>
        <v>HABERE-LULLIN</v>
      </c>
      <c r="E19083" s="38" t="s">
        <v>319</v>
      </c>
      <c r="F19083" s="38" t="s">
        <v>102</v>
      </c>
      <c r="G19083" s="49" t="str">
        <f t="shared" si="1"/>
        <v>74420</v>
      </c>
      <c r="H19083" s="49">
        <f t="shared" si="2"/>
        <v>74139</v>
      </c>
    </row>
    <row r="19084">
      <c r="A19084" s="48" t="s">
        <v>2681</v>
      </c>
      <c r="B19084" s="38">
        <v>67030.0</v>
      </c>
      <c r="C19084" s="38" t="s">
        <v>23559</v>
      </c>
      <c r="D19084" s="38" t="str">
        <f>IFERROR(__xludf.DUMMYFUNCTION("REGEXREPLACE(C19084,""-\d+(.*)|--\d+(.*)"","""")"),"BERGBIETEN")</f>
        <v>BERGBIETEN</v>
      </c>
      <c r="E19084" s="38" t="s">
        <v>210</v>
      </c>
      <c r="F19084" s="38" t="s">
        <v>151</v>
      </c>
      <c r="G19084" s="49" t="str">
        <f t="shared" si="1"/>
        <v>67310</v>
      </c>
      <c r="H19084" s="49">
        <f t="shared" si="2"/>
        <v>67030</v>
      </c>
    </row>
    <row r="19085">
      <c r="A19085" s="48" t="s">
        <v>181</v>
      </c>
      <c r="B19085" s="38">
        <v>51267.0</v>
      </c>
      <c r="C19085" s="38" t="s">
        <v>6732</v>
      </c>
      <c r="D19085" s="38" t="str">
        <f>IFERROR(__xludf.DUMMYFUNCTION("REGEXREPLACE(C19085,""-\d+(.*)|--\d+(.*)"","""")"),"GERMIGNY")</f>
        <v>GERMIGNY</v>
      </c>
      <c r="E19085" s="38" t="s">
        <v>129</v>
      </c>
      <c r="F19085" s="38" t="s">
        <v>130</v>
      </c>
      <c r="G19085" s="49" t="str">
        <f t="shared" si="1"/>
        <v>51390</v>
      </c>
      <c r="H19085" s="49">
        <f t="shared" si="2"/>
        <v>51267</v>
      </c>
    </row>
    <row r="19086">
      <c r="A19086" s="48" t="s">
        <v>2251</v>
      </c>
      <c r="B19086" s="38">
        <v>2352.0</v>
      </c>
      <c r="C19086" s="38" t="s">
        <v>19627</v>
      </c>
      <c r="D19086" s="38" t="str">
        <f>IFERROR(__xludf.DUMMYFUNCTION("REGEXREPLACE(C19086,""-\d+(.*)|--\d+(.*)"","""")"),"GOUY")</f>
        <v>GOUY</v>
      </c>
      <c r="E19086" s="38" t="s">
        <v>191</v>
      </c>
      <c r="F19086" s="38" t="s">
        <v>113</v>
      </c>
      <c r="G19086" s="49" t="str">
        <f t="shared" si="1"/>
        <v>02420</v>
      </c>
      <c r="H19086" s="49" t="str">
        <f t="shared" si="2"/>
        <v>02352</v>
      </c>
    </row>
    <row r="19087">
      <c r="A19087" s="48" t="s">
        <v>4924</v>
      </c>
      <c r="B19087" s="38">
        <v>56139.0</v>
      </c>
      <c r="C19087" s="38" t="s">
        <v>23560</v>
      </c>
      <c r="D19087" s="38" t="str">
        <f>IFERROR(__xludf.DUMMYFUNCTION("REGEXREPLACE(C19087,""-\d+(.*)|--\d+(.*)"","""")"),"MONTERTELOT")</f>
        <v>MONTERTELOT</v>
      </c>
      <c r="E19087" s="38" t="s">
        <v>173</v>
      </c>
      <c r="F19087" s="38" t="s">
        <v>90</v>
      </c>
      <c r="G19087" s="49" t="str">
        <f t="shared" si="1"/>
        <v>56800</v>
      </c>
      <c r="H19087" s="49">
        <f t="shared" si="2"/>
        <v>56139</v>
      </c>
    </row>
    <row r="19088">
      <c r="A19088" s="48" t="s">
        <v>9752</v>
      </c>
      <c r="B19088" s="38">
        <v>45188.0</v>
      </c>
      <c r="C19088" s="38" t="s">
        <v>23561</v>
      </c>
      <c r="D19088" s="38" t="str">
        <f>IFERROR(__xludf.DUMMYFUNCTION("REGEXREPLACE(C19088,""-\d+(.*)|--\d+(.*)"","""")"),"LOURY")</f>
        <v>LOURY</v>
      </c>
      <c r="E19088" s="38" t="s">
        <v>122</v>
      </c>
      <c r="F19088" s="38" t="s">
        <v>123</v>
      </c>
      <c r="G19088" s="49" t="str">
        <f t="shared" si="1"/>
        <v>45470</v>
      </c>
      <c r="H19088" s="49">
        <f t="shared" si="2"/>
        <v>45188</v>
      </c>
    </row>
    <row r="19089">
      <c r="A19089" s="48" t="s">
        <v>2638</v>
      </c>
      <c r="B19089" s="38">
        <v>56197.0</v>
      </c>
      <c r="C19089" s="38" t="s">
        <v>23562</v>
      </c>
      <c r="D19089" s="38" t="str">
        <f>IFERROR(__xludf.DUMMYFUNCTION("REGEXREPLACE(C19089,""-\d+(.*)|--\d+(.*)"","""")"),"LE ROC-SAINT-ANDRE")</f>
        <v>LE ROC-SAINT-ANDRE</v>
      </c>
      <c r="E19089" s="38" t="s">
        <v>173</v>
      </c>
      <c r="F19089" s="38" t="s">
        <v>90</v>
      </c>
      <c r="G19089" s="49" t="str">
        <f t="shared" si="1"/>
        <v>56460</v>
      </c>
      <c r="H19089" s="49">
        <f t="shared" si="2"/>
        <v>56197</v>
      </c>
    </row>
    <row r="19090">
      <c r="A19090" s="48" t="s">
        <v>18646</v>
      </c>
      <c r="B19090" s="38">
        <v>3201.0</v>
      </c>
      <c r="C19090" s="38" t="s">
        <v>23563</v>
      </c>
      <c r="D19090" s="38" t="str">
        <f>IFERROR(__xludf.DUMMYFUNCTION("REGEXREPLACE(C19090,""-\d+(.*)|--\d+(.*)"","""")"),"NIZEROLLES")</f>
        <v>NIZEROLLES</v>
      </c>
      <c r="E19090" s="38" t="s">
        <v>160</v>
      </c>
      <c r="F19090" s="38" t="s">
        <v>161</v>
      </c>
      <c r="G19090" s="49" t="str">
        <f t="shared" si="1"/>
        <v>03250</v>
      </c>
      <c r="H19090" s="49" t="str">
        <f t="shared" si="2"/>
        <v>03201</v>
      </c>
    </row>
    <row r="19091">
      <c r="A19091" s="48" t="s">
        <v>7390</v>
      </c>
      <c r="B19091" s="38">
        <v>7212.0</v>
      </c>
      <c r="C19091" s="38" t="s">
        <v>23564</v>
      </c>
      <c r="D19091" s="38" t="str">
        <f>IFERROR(__xludf.DUMMYFUNCTION("REGEXREPLACE(C19091,""-\d+(.*)|--\d+(.*)"","""")"),"SAINT-ANDRE-EN-VIVARAIS")</f>
        <v>SAINT-ANDRE-EN-VIVARAIS</v>
      </c>
      <c r="E19091" s="38" t="s">
        <v>144</v>
      </c>
      <c r="F19091" s="38" t="s">
        <v>102</v>
      </c>
      <c r="G19091" s="49" t="str">
        <f t="shared" si="1"/>
        <v>07690</v>
      </c>
      <c r="H19091" s="49" t="str">
        <f t="shared" si="2"/>
        <v>07212</v>
      </c>
    </row>
    <row r="19092">
      <c r="A19092" s="48" t="s">
        <v>5490</v>
      </c>
      <c r="B19092" s="38">
        <v>22352.0</v>
      </c>
      <c r="C19092" s="38" t="s">
        <v>23565</v>
      </c>
      <c r="D19092" s="38" t="str">
        <f>IFERROR(__xludf.DUMMYFUNCTION("REGEXREPLACE(C19092,""-\d+(.*)|--\d+(.*)"","""")"),"TREFUMEL")</f>
        <v>TREFUMEL</v>
      </c>
      <c r="E19092" s="38" t="s">
        <v>89</v>
      </c>
      <c r="F19092" s="38" t="s">
        <v>90</v>
      </c>
      <c r="G19092" s="49" t="str">
        <f t="shared" si="1"/>
        <v>22630</v>
      </c>
      <c r="H19092" s="49">
        <f t="shared" si="2"/>
        <v>22352</v>
      </c>
    </row>
    <row r="19093">
      <c r="A19093" s="48" t="s">
        <v>970</v>
      </c>
      <c r="B19093" s="38">
        <v>2341.0</v>
      </c>
      <c r="C19093" s="38" t="s">
        <v>23566</v>
      </c>
      <c r="D19093" s="38" t="str">
        <f>IFERROR(__xludf.DUMMYFUNCTION("REGEXREPLACE(C19093,""-\d+(.*)|--\d+(.*)"","""")"),"GERCY")</f>
        <v>GERCY</v>
      </c>
      <c r="E19093" s="38" t="s">
        <v>191</v>
      </c>
      <c r="F19093" s="38" t="s">
        <v>113</v>
      </c>
      <c r="G19093" s="49" t="str">
        <f t="shared" si="1"/>
        <v>02140</v>
      </c>
      <c r="H19093" s="49" t="str">
        <f t="shared" si="2"/>
        <v>02341</v>
      </c>
    </row>
    <row r="19094">
      <c r="A19094" s="48" t="s">
        <v>620</v>
      </c>
      <c r="B19094" s="38">
        <v>86128.0</v>
      </c>
      <c r="C19094" s="38" t="s">
        <v>23567</v>
      </c>
      <c r="D19094" s="38" t="str">
        <f>IFERROR(__xludf.DUMMYFUNCTION("REGEXREPLACE(C19094,""-\d+(.*)|--\d+(.*)"","""")"),"LENCLOITRE")</f>
        <v>LENCLOITRE</v>
      </c>
      <c r="E19094" s="38" t="s">
        <v>529</v>
      </c>
      <c r="F19094" s="38" t="s">
        <v>338</v>
      </c>
      <c r="G19094" s="49" t="str">
        <f t="shared" si="1"/>
        <v>86140</v>
      </c>
      <c r="H19094" s="49">
        <f t="shared" si="2"/>
        <v>86128</v>
      </c>
    </row>
    <row r="19095">
      <c r="A19095" s="48" t="s">
        <v>1798</v>
      </c>
      <c r="B19095" s="38">
        <v>28149.0</v>
      </c>
      <c r="C19095" s="38" t="s">
        <v>23568</v>
      </c>
      <c r="D19095" s="38" t="str">
        <f>IFERROR(__xludf.DUMMYFUNCTION("REGEXREPLACE(C19095,""-\d+(.*)|--\d+(.*)"","""")"),"LA FERTE-VIDAME")</f>
        <v>LA FERTE-VIDAME</v>
      </c>
      <c r="E19095" s="38" t="s">
        <v>300</v>
      </c>
      <c r="F19095" s="38" t="s">
        <v>123</v>
      </c>
      <c r="G19095" s="49" t="str">
        <f t="shared" si="1"/>
        <v>28340</v>
      </c>
      <c r="H19095" s="49">
        <f t="shared" si="2"/>
        <v>28149</v>
      </c>
    </row>
    <row r="19096">
      <c r="A19096" s="48" t="s">
        <v>7078</v>
      </c>
      <c r="B19096" s="38">
        <v>7105.0</v>
      </c>
      <c r="C19096" s="38" t="s">
        <v>23569</v>
      </c>
      <c r="D19096" s="38" t="str">
        <f>IFERROR(__xludf.DUMMYFUNCTION("REGEXREPLACE(C19096,""-\d+(.*)|--\d+(.*)"","""")"),"ISSANLAS")</f>
        <v>ISSANLAS</v>
      </c>
      <c r="E19096" s="38" t="s">
        <v>144</v>
      </c>
      <c r="F19096" s="38" t="s">
        <v>102</v>
      </c>
      <c r="G19096" s="49" t="str">
        <f t="shared" si="1"/>
        <v>07510</v>
      </c>
      <c r="H19096" s="49" t="str">
        <f t="shared" si="2"/>
        <v>07105</v>
      </c>
    </row>
    <row r="19097">
      <c r="A19097" s="48" t="s">
        <v>10880</v>
      </c>
      <c r="B19097" s="38">
        <v>72124.0</v>
      </c>
      <c r="C19097" s="38" t="s">
        <v>23570</v>
      </c>
      <c r="D19097" s="38" t="str">
        <f>IFERROR(__xludf.DUMMYFUNCTION("REGEXREPLACE(C19097,""-\d+(.*)|--\d+(.*)"","""")"),"ECOMMOY")</f>
        <v>ECOMMOY</v>
      </c>
      <c r="E19097" s="38" t="s">
        <v>521</v>
      </c>
      <c r="F19097" s="38" t="s">
        <v>180</v>
      </c>
      <c r="G19097" s="49" t="str">
        <f t="shared" si="1"/>
        <v>72220</v>
      </c>
      <c r="H19097" s="49">
        <f t="shared" si="2"/>
        <v>72124</v>
      </c>
    </row>
    <row r="19098">
      <c r="A19098" s="48" t="s">
        <v>1012</v>
      </c>
      <c r="B19098" s="38">
        <v>21529.0</v>
      </c>
      <c r="C19098" s="38" t="s">
        <v>23571</v>
      </c>
      <c r="D19098" s="38" t="str">
        <f>IFERROR(__xludf.DUMMYFUNCTION("REGEXREPLACE(C19098,""-\d+(.*)|--\d+(.*)"","""")"),"ROILLY")</f>
        <v>ROILLY</v>
      </c>
      <c r="E19098" s="38" t="s">
        <v>105</v>
      </c>
      <c r="F19098" s="38" t="s">
        <v>106</v>
      </c>
      <c r="G19098" s="49" t="str">
        <f t="shared" si="1"/>
        <v>21390</v>
      </c>
      <c r="H19098" s="49">
        <f t="shared" si="2"/>
        <v>21529</v>
      </c>
    </row>
    <row r="19099">
      <c r="A19099" s="48" t="s">
        <v>3317</v>
      </c>
      <c r="B19099" s="38">
        <v>1346.0</v>
      </c>
      <c r="C19099" s="38" t="s">
        <v>23572</v>
      </c>
      <c r="D19099" s="38" t="str">
        <f>IFERROR(__xludf.DUMMYFUNCTION("REGEXREPLACE(C19099,""-\d+(.*)|--\d+(.*)"","""")"),"SAINT-DIDIER-D'AUSSIAT")</f>
        <v>SAINT-DIDIER-D'AUSSIAT</v>
      </c>
      <c r="E19099" s="38" t="s">
        <v>255</v>
      </c>
      <c r="F19099" s="38" t="s">
        <v>102</v>
      </c>
      <c r="G19099" s="49" t="str">
        <f t="shared" si="1"/>
        <v>01340</v>
      </c>
      <c r="H19099" s="49" t="str">
        <f t="shared" si="2"/>
        <v>01346</v>
      </c>
    </row>
    <row r="19100">
      <c r="A19100" s="48" t="s">
        <v>898</v>
      </c>
      <c r="B19100" s="38">
        <v>54476.0</v>
      </c>
      <c r="C19100" s="38" t="s">
        <v>23573</v>
      </c>
      <c r="D19100" s="38" t="str">
        <f>IFERROR(__xludf.DUMMYFUNCTION("REGEXREPLACE(C19100,""-\d+(.*)|--\d+(.*)"","""")"),"SAINT-JEAN-LES-LONGUYON")</f>
        <v>SAINT-JEAN-LES-LONGUYON</v>
      </c>
      <c r="E19100" s="38" t="s">
        <v>548</v>
      </c>
      <c r="F19100" s="38" t="s">
        <v>195</v>
      </c>
      <c r="G19100" s="49" t="str">
        <f t="shared" si="1"/>
        <v>54260</v>
      </c>
      <c r="H19100" s="49">
        <f t="shared" si="2"/>
        <v>54476</v>
      </c>
    </row>
    <row r="19101">
      <c r="A19101" s="48" t="s">
        <v>9649</v>
      </c>
      <c r="B19101" s="38">
        <v>43142.0</v>
      </c>
      <c r="C19101" s="38" t="s">
        <v>23574</v>
      </c>
      <c r="D19101" s="38" t="str">
        <f>IFERROR(__xludf.DUMMYFUNCTION("REGEXREPLACE(C19101,""-\d+(.*)|--\d+(.*)"","""")"),"MONTREGARD")</f>
        <v>MONTREGARD</v>
      </c>
      <c r="E19101" s="38" t="s">
        <v>332</v>
      </c>
      <c r="F19101" s="38" t="s">
        <v>161</v>
      </c>
      <c r="G19101" s="49" t="str">
        <f t="shared" si="1"/>
        <v>43290</v>
      </c>
      <c r="H19101" s="49">
        <f t="shared" si="2"/>
        <v>43142</v>
      </c>
    </row>
    <row r="19102">
      <c r="A19102" s="48" t="s">
        <v>23575</v>
      </c>
      <c r="B19102" s="38">
        <v>91589.0</v>
      </c>
      <c r="C19102" s="38" t="s">
        <v>23576</v>
      </c>
      <c r="D19102" s="38" t="str">
        <f>IFERROR(__xludf.DUMMYFUNCTION("REGEXREPLACE(C19102,""-\d+(.*)|--\d+(.*)"","""")"),"SAVIGNY-SUR-ORGE")</f>
        <v>SAVIGNY-SUR-ORGE</v>
      </c>
      <c r="E19102" s="38" t="s">
        <v>756</v>
      </c>
      <c r="F19102" s="38" t="s">
        <v>245</v>
      </c>
      <c r="G19102" s="49" t="str">
        <f t="shared" si="1"/>
        <v>91600</v>
      </c>
      <c r="H19102" s="49">
        <f t="shared" si="2"/>
        <v>91589</v>
      </c>
    </row>
    <row r="19103">
      <c r="A19103" s="48" t="s">
        <v>2506</v>
      </c>
      <c r="B19103" s="38">
        <v>80035.0</v>
      </c>
      <c r="C19103" s="38" t="s">
        <v>23577</v>
      </c>
      <c r="D19103" s="38" t="str">
        <f>IFERROR(__xludf.DUMMYFUNCTION("REGEXREPLACE(C19103,""-\d+(.*)|--\d+(.*)"","""")"),"AUBERCOURT")</f>
        <v>AUBERCOURT</v>
      </c>
      <c r="E19103" s="38" t="s">
        <v>224</v>
      </c>
      <c r="F19103" s="38" t="s">
        <v>113</v>
      </c>
      <c r="G19103" s="49" t="str">
        <f t="shared" si="1"/>
        <v>80110</v>
      </c>
      <c r="H19103" s="49">
        <f t="shared" si="2"/>
        <v>80035</v>
      </c>
    </row>
    <row r="19104">
      <c r="A19104" s="48" t="s">
        <v>2326</v>
      </c>
      <c r="B19104" s="38">
        <v>54071.0</v>
      </c>
      <c r="C19104" s="38" t="s">
        <v>23578</v>
      </c>
      <c r="D19104" s="38" t="str">
        <f>IFERROR(__xludf.DUMMYFUNCTION("REGEXREPLACE(C19104,""-\d+(.*)|--\d+(.*)"","""")"),"BEZANGE-LA-GRANDE")</f>
        <v>BEZANGE-LA-GRANDE</v>
      </c>
      <c r="E19104" s="38" t="s">
        <v>548</v>
      </c>
      <c r="F19104" s="38" t="s">
        <v>195</v>
      </c>
      <c r="G19104" s="49" t="str">
        <f t="shared" si="1"/>
        <v>54370</v>
      </c>
      <c r="H19104" s="49">
        <f t="shared" si="2"/>
        <v>54071</v>
      </c>
    </row>
    <row r="19105">
      <c r="A19105" s="48" t="s">
        <v>3716</v>
      </c>
      <c r="B19105" s="38">
        <v>57309.0</v>
      </c>
      <c r="C19105" s="38" t="s">
        <v>23579</v>
      </c>
      <c r="D19105" s="38" t="str">
        <f>IFERROR(__xludf.DUMMYFUNCTION("REGEXREPLACE(C19105,""-\d+(.*)|--\d+(.*)"","""")"),"HEINING-LES-BOUZONVILLE")</f>
        <v>HEINING-LES-BOUZONVILLE</v>
      </c>
      <c r="E19105" s="38" t="s">
        <v>303</v>
      </c>
      <c r="F19105" s="38" t="s">
        <v>195</v>
      </c>
      <c r="G19105" s="49" t="str">
        <f t="shared" si="1"/>
        <v>57320</v>
      </c>
      <c r="H19105" s="49">
        <f t="shared" si="2"/>
        <v>57309</v>
      </c>
    </row>
    <row r="19106">
      <c r="A19106" s="48" t="s">
        <v>23580</v>
      </c>
      <c r="B19106" s="38">
        <v>87173.0</v>
      </c>
      <c r="C19106" s="38" t="s">
        <v>19728</v>
      </c>
      <c r="D19106" s="38" t="str">
        <f>IFERROR(__xludf.DUMMYFUNCTION("REGEXREPLACE(C19106,""-\d+(.*)|--\d+(.*)"","""")"),"SAINT-PARDOUX")</f>
        <v>SAINT-PARDOUX</v>
      </c>
      <c r="E19106" s="38" t="s">
        <v>897</v>
      </c>
      <c r="F19106" s="38" t="s">
        <v>98</v>
      </c>
      <c r="G19106" s="49" t="str">
        <f t="shared" si="1"/>
        <v>87250</v>
      </c>
      <c r="H19106" s="49">
        <f t="shared" si="2"/>
        <v>87173</v>
      </c>
    </row>
    <row r="19107">
      <c r="A19107" s="48" t="s">
        <v>3137</v>
      </c>
      <c r="B19107" s="38">
        <v>67115.0</v>
      </c>
      <c r="C19107" s="38" t="s">
        <v>23581</v>
      </c>
      <c r="D19107" s="38" t="str">
        <f>IFERROR(__xludf.DUMMYFUNCTION("REGEXREPLACE(C19107,""-\d+(.*)|--\d+(.*)"","""")"),"EBERSHEIM")</f>
        <v>EBERSHEIM</v>
      </c>
      <c r="E19107" s="38" t="s">
        <v>210</v>
      </c>
      <c r="F19107" s="38" t="s">
        <v>151</v>
      </c>
      <c r="G19107" s="49" t="str">
        <f t="shared" si="1"/>
        <v>67600</v>
      </c>
      <c r="H19107" s="49">
        <f t="shared" si="2"/>
        <v>67115</v>
      </c>
    </row>
    <row r="19108">
      <c r="A19108" s="48" t="s">
        <v>3988</v>
      </c>
      <c r="B19108" s="38">
        <v>51256.0</v>
      </c>
      <c r="C19108" s="38" t="s">
        <v>23582</v>
      </c>
      <c r="D19108" s="38" t="str">
        <f>IFERROR(__xludf.DUMMYFUNCTION("REGEXREPLACE(C19108,""-\d+(.*)|--\d+(.*)"","""")"),"FONTAINE-SUR-AY")</f>
        <v>FONTAINE-SUR-AY</v>
      </c>
      <c r="E19108" s="38" t="s">
        <v>129</v>
      </c>
      <c r="F19108" s="38" t="s">
        <v>130</v>
      </c>
      <c r="G19108" s="49" t="str">
        <f t="shared" si="1"/>
        <v>51160</v>
      </c>
      <c r="H19108" s="49">
        <f t="shared" si="2"/>
        <v>51256</v>
      </c>
    </row>
    <row r="19109">
      <c r="A19109" s="48" t="s">
        <v>386</v>
      </c>
      <c r="B19109" s="38">
        <v>21067.0</v>
      </c>
      <c r="C19109" s="38" t="s">
        <v>23583</v>
      </c>
      <c r="D19109" s="38" t="str">
        <f>IFERROR(__xludf.DUMMYFUNCTION("REGEXREPLACE(C19109,""-\d+(.*)|--\d+(.*)"","""")"),"BESSEY-LES-CITEAUX")</f>
        <v>BESSEY-LES-CITEAUX</v>
      </c>
      <c r="E19109" s="38" t="s">
        <v>105</v>
      </c>
      <c r="F19109" s="38" t="s">
        <v>106</v>
      </c>
      <c r="G19109" s="49" t="str">
        <f t="shared" si="1"/>
        <v>21110</v>
      </c>
      <c r="H19109" s="49">
        <f t="shared" si="2"/>
        <v>21067</v>
      </c>
    </row>
    <row r="19110">
      <c r="A19110" s="48" t="s">
        <v>23584</v>
      </c>
      <c r="B19110" s="38">
        <v>7282.0</v>
      </c>
      <c r="C19110" s="38" t="s">
        <v>23585</v>
      </c>
      <c r="D19110" s="38" t="str">
        <f>IFERROR(__xludf.DUMMYFUNCTION("REGEXREPLACE(C19110,""-\d+(.*)|--\d+(.*)"","""")"),"SAINT-PIERRE-DE-COLOMBIER")</f>
        <v>SAINT-PIERRE-DE-COLOMBIER</v>
      </c>
      <c r="E19110" s="38" t="s">
        <v>144</v>
      </c>
      <c r="F19110" s="38" t="s">
        <v>102</v>
      </c>
      <c r="G19110" s="49" t="str">
        <f t="shared" si="1"/>
        <v>07450</v>
      </c>
      <c r="H19110" s="49" t="str">
        <f t="shared" si="2"/>
        <v>07282</v>
      </c>
    </row>
    <row r="19111">
      <c r="A19111" s="48" t="s">
        <v>333</v>
      </c>
      <c r="B19111" s="38">
        <v>43079.0</v>
      </c>
      <c r="C19111" s="38" t="s">
        <v>23586</v>
      </c>
      <c r="D19111" s="38" t="str">
        <f>IFERROR(__xludf.DUMMYFUNCTION("REGEXREPLACE(C19111,""-\d+(.*)|--\d+(.*)"","""")"),"COUTEUGES")</f>
        <v>COUTEUGES</v>
      </c>
      <c r="E19111" s="38" t="s">
        <v>332</v>
      </c>
      <c r="F19111" s="38" t="s">
        <v>161</v>
      </c>
      <c r="G19111" s="49" t="str">
        <f t="shared" si="1"/>
        <v>43230</v>
      </c>
      <c r="H19111" s="49">
        <f t="shared" si="2"/>
        <v>43079</v>
      </c>
    </row>
    <row r="19112">
      <c r="A19112" s="48" t="s">
        <v>7804</v>
      </c>
      <c r="B19112" s="38">
        <v>51041.0</v>
      </c>
      <c r="C19112" s="38" t="s">
        <v>23587</v>
      </c>
      <c r="D19112" s="38" t="str">
        <f>IFERROR(__xludf.DUMMYFUNCTION("REGEXREPLACE(C19112,""-\d+(.*)|--\d+(.*)"","""")"),"BAUDEMENT")</f>
        <v>BAUDEMENT</v>
      </c>
      <c r="E19112" s="38" t="s">
        <v>129</v>
      </c>
      <c r="F19112" s="38" t="s">
        <v>130</v>
      </c>
      <c r="G19112" s="49" t="str">
        <f t="shared" si="1"/>
        <v>51260</v>
      </c>
      <c r="H19112" s="49">
        <f t="shared" si="2"/>
        <v>51041</v>
      </c>
    </row>
    <row r="19113">
      <c r="A19113" s="48" t="s">
        <v>2899</v>
      </c>
      <c r="B19113" s="38">
        <v>15234.0</v>
      </c>
      <c r="C19113" s="38" t="s">
        <v>23588</v>
      </c>
      <c r="D19113" s="38" t="str">
        <f>IFERROR(__xludf.DUMMYFUNCTION("REGEXREPLACE(C19113,""-\d+(.*)|--\d+(.*)"","""")"),"TEISSIERES-LES-BOULIES")</f>
        <v>TEISSIERES-LES-BOULIES</v>
      </c>
      <c r="E19113" s="38" t="s">
        <v>632</v>
      </c>
      <c r="F19113" s="38" t="s">
        <v>161</v>
      </c>
      <c r="G19113" s="49" t="str">
        <f t="shared" si="1"/>
        <v>15130</v>
      </c>
      <c r="H19113" s="49">
        <f t="shared" si="2"/>
        <v>15234</v>
      </c>
    </row>
    <row r="19114">
      <c r="A19114" s="48" t="s">
        <v>1829</v>
      </c>
      <c r="B19114" s="38">
        <v>59046.0</v>
      </c>
      <c r="C19114" s="38" t="s">
        <v>23589</v>
      </c>
      <c r="D19114" s="38" t="str">
        <f>IFERROR(__xludf.DUMMYFUNCTION("REGEXREPLACE(C19114,""-\d+(.*)|--\d+(.*)"","""")"),"BAMBECQUE")</f>
        <v>BAMBECQUE</v>
      </c>
      <c r="E19114" s="38" t="s">
        <v>85</v>
      </c>
      <c r="F19114" s="38" t="s">
        <v>86</v>
      </c>
      <c r="G19114" s="49" t="str">
        <f t="shared" si="1"/>
        <v>59470</v>
      </c>
      <c r="H19114" s="49">
        <f t="shared" si="2"/>
        <v>59046</v>
      </c>
    </row>
    <row r="19115">
      <c r="A19115" s="48" t="s">
        <v>6292</v>
      </c>
      <c r="B19115" s="38">
        <v>63006.0</v>
      </c>
      <c r="C19115" s="38" t="s">
        <v>23590</v>
      </c>
      <c r="D19115" s="38" t="str">
        <f>IFERROR(__xludf.DUMMYFUNCTION("REGEXREPLACE(C19115,""-\d+(.*)|--\d+(.*)"","""")"),"ANZAT-LE-LUGUET")</f>
        <v>ANZAT-LE-LUGUET</v>
      </c>
      <c r="E19115" s="38" t="s">
        <v>353</v>
      </c>
      <c r="F19115" s="38" t="s">
        <v>161</v>
      </c>
      <c r="G19115" s="49" t="str">
        <f t="shared" si="1"/>
        <v>63420</v>
      </c>
      <c r="H19115" s="49">
        <f t="shared" si="2"/>
        <v>63006</v>
      </c>
    </row>
    <row r="19116">
      <c r="A19116" s="48" t="s">
        <v>124</v>
      </c>
      <c r="B19116" s="38">
        <v>26339.0</v>
      </c>
      <c r="C19116" s="38" t="s">
        <v>23591</v>
      </c>
      <c r="D19116" s="38" t="str">
        <f>IFERROR(__xludf.DUMMYFUNCTION("REGEXREPLACE(C19116,""-\d+(.*)|--\d+(.*)"","""")"),"SAVASSE")</f>
        <v>SAVASSE</v>
      </c>
      <c r="E19116" s="38" t="s">
        <v>126</v>
      </c>
      <c r="F19116" s="38" t="s">
        <v>102</v>
      </c>
      <c r="G19116" s="49" t="str">
        <f t="shared" si="1"/>
        <v>26740</v>
      </c>
      <c r="H19116" s="49">
        <f t="shared" si="2"/>
        <v>26339</v>
      </c>
    </row>
    <row r="19117">
      <c r="A19117" s="48" t="s">
        <v>18155</v>
      </c>
      <c r="B19117" s="38">
        <v>47021.0</v>
      </c>
      <c r="C19117" s="38" t="s">
        <v>23592</v>
      </c>
      <c r="D19117" s="38" t="str">
        <f>IFERROR(__xludf.DUMMYFUNCTION("REGEXREPLACE(C19117,""-\d+(.*)|--\d+(.*)"","""")"),"BARBASTE")</f>
        <v>BARBASTE</v>
      </c>
      <c r="E19117" s="38" t="s">
        <v>251</v>
      </c>
      <c r="F19117" s="38" t="s">
        <v>252</v>
      </c>
      <c r="G19117" s="49" t="str">
        <f t="shared" si="1"/>
        <v>47230</v>
      </c>
      <c r="H19117" s="49">
        <f t="shared" si="2"/>
        <v>47021</v>
      </c>
    </row>
    <row r="19118">
      <c r="A19118" s="48" t="s">
        <v>23593</v>
      </c>
      <c r="B19118" s="38">
        <v>93061.0</v>
      </c>
      <c r="C19118" s="38" t="s">
        <v>23594</v>
      </c>
      <c r="D19118" s="38" t="str">
        <f>IFERROR(__xludf.DUMMYFUNCTION("REGEXREPLACE(C19118,""-\d+(.*)|--\d+(.*)"","""")"),"LE PRE-SAINT-GERVAIS")</f>
        <v>LE PRE-SAINT-GERVAIS</v>
      </c>
      <c r="E19118" s="38" t="s">
        <v>341</v>
      </c>
      <c r="F19118" s="38" t="s">
        <v>245</v>
      </c>
      <c r="G19118" s="49" t="str">
        <f t="shared" si="1"/>
        <v>93310</v>
      </c>
      <c r="H19118" s="49">
        <f t="shared" si="2"/>
        <v>93061</v>
      </c>
    </row>
    <row r="19119">
      <c r="A19119" s="48" t="s">
        <v>3152</v>
      </c>
      <c r="B19119" s="38">
        <v>7073.0</v>
      </c>
      <c r="C19119" s="38" t="s">
        <v>23595</v>
      </c>
      <c r="D19119" s="38" t="str">
        <f>IFERROR(__xludf.DUMMYFUNCTION("REGEXREPLACE(C19119,""-\d+(.*)|--\d+(.*)"","""")"),"LE CRESTET")</f>
        <v>LE CRESTET</v>
      </c>
      <c r="E19119" s="38" t="s">
        <v>144</v>
      </c>
      <c r="F19119" s="38" t="s">
        <v>102</v>
      </c>
      <c r="G19119" s="49" t="str">
        <f t="shared" si="1"/>
        <v>07270</v>
      </c>
      <c r="H19119" s="49" t="str">
        <f t="shared" si="2"/>
        <v>07073</v>
      </c>
    </row>
    <row r="19120">
      <c r="A19120" s="48" t="s">
        <v>1896</v>
      </c>
      <c r="B19120" s="38">
        <v>51629.0</v>
      </c>
      <c r="C19120" s="38" t="s">
        <v>23596</v>
      </c>
      <c r="D19120" s="38" t="str">
        <f>IFERROR(__xludf.DUMMYFUNCTION("REGEXREPLACE(C19120,""-\d+(.*)|--\d+(.*)"","""")"),"VILLERS-ALLERAND")</f>
        <v>VILLERS-ALLERAND</v>
      </c>
      <c r="E19120" s="38" t="s">
        <v>129</v>
      </c>
      <c r="F19120" s="38" t="s">
        <v>130</v>
      </c>
      <c r="G19120" s="49" t="str">
        <f t="shared" si="1"/>
        <v>51500</v>
      </c>
      <c r="H19120" s="49">
        <f t="shared" si="2"/>
        <v>51629</v>
      </c>
    </row>
    <row r="19121">
      <c r="A19121" s="48" t="s">
        <v>6021</v>
      </c>
      <c r="B19121" s="38">
        <v>30287.0</v>
      </c>
      <c r="C19121" s="38" t="s">
        <v>23597</v>
      </c>
      <c r="D19121" s="38" t="str">
        <f>IFERROR(__xludf.DUMMYFUNCTION("REGEXREPLACE(C19121,""-\d+(.*)|--\d+(.*)"","""")"),"SAINT-MICHEL-D'EUZET")</f>
        <v>SAINT-MICHEL-D'EUZET</v>
      </c>
      <c r="E19121" s="38" t="s">
        <v>526</v>
      </c>
      <c r="F19121" s="38" t="s">
        <v>119</v>
      </c>
      <c r="G19121" s="49" t="str">
        <f t="shared" si="1"/>
        <v>30200</v>
      </c>
      <c r="H19121" s="49">
        <f t="shared" si="2"/>
        <v>30287</v>
      </c>
    </row>
    <row r="19122">
      <c r="A19122" s="48" t="s">
        <v>1754</v>
      </c>
      <c r="B19122" s="38">
        <v>14414.0</v>
      </c>
      <c r="C19122" s="38" t="s">
        <v>23598</v>
      </c>
      <c r="D19122" s="38" t="str">
        <f>IFERROR(__xludf.DUMMYFUNCTION("REGEXREPLACE(C19122,""-\d+(.*)|--\d+(.*)"","""")"),"LE MESNIL-BACLEY")</f>
        <v>LE MESNIL-BACLEY</v>
      </c>
      <c r="E19122" s="38" t="s">
        <v>137</v>
      </c>
      <c r="F19122" s="38" t="s">
        <v>138</v>
      </c>
      <c r="G19122" s="49" t="str">
        <f t="shared" si="1"/>
        <v>14140</v>
      </c>
      <c r="H19122" s="49">
        <f t="shared" si="2"/>
        <v>14414</v>
      </c>
    </row>
    <row r="19123">
      <c r="A19123" s="48" t="s">
        <v>3920</v>
      </c>
      <c r="B19123" s="38">
        <v>50023.0</v>
      </c>
      <c r="C19123" s="38" t="s">
        <v>18949</v>
      </c>
      <c r="D19123" s="38" t="str">
        <f>IFERROR(__xludf.DUMMYFUNCTION("REGEXREPLACE(C19123,""-\d+(.*)|--\d+(.*)"","""")"),"AUVERS")</f>
        <v>AUVERS</v>
      </c>
      <c r="E19123" s="38" t="s">
        <v>157</v>
      </c>
      <c r="F19123" s="38" t="s">
        <v>138</v>
      </c>
      <c r="G19123" s="49" t="str">
        <f t="shared" si="1"/>
        <v>50500</v>
      </c>
      <c r="H19123" s="49">
        <f t="shared" si="2"/>
        <v>50023</v>
      </c>
    </row>
    <row r="19124">
      <c r="A19124" s="48" t="s">
        <v>3721</v>
      </c>
      <c r="B19124" s="38">
        <v>71318.0</v>
      </c>
      <c r="C19124" s="38" t="s">
        <v>23599</v>
      </c>
      <c r="D19124" s="38" t="str">
        <f>IFERROR(__xludf.DUMMYFUNCTION("REGEXREPLACE(C19124,""-\d+(.*)|--\d+(.*)"","""")"),"MONTPONT-EN-BRESSE")</f>
        <v>MONTPONT-EN-BRESSE</v>
      </c>
      <c r="E19124" s="38" t="s">
        <v>344</v>
      </c>
      <c r="F19124" s="38" t="s">
        <v>106</v>
      </c>
      <c r="G19124" s="49" t="str">
        <f t="shared" si="1"/>
        <v>71470</v>
      </c>
      <c r="H19124" s="49">
        <f t="shared" si="2"/>
        <v>71318</v>
      </c>
    </row>
    <row r="19125">
      <c r="A19125" s="48" t="s">
        <v>1237</v>
      </c>
      <c r="B19125" s="38">
        <v>54469.0</v>
      </c>
      <c r="C19125" s="38" t="s">
        <v>23600</v>
      </c>
      <c r="D19125" s="38" t="str">
        <f>IFERROR(__xludf.DUMMYFUNCTION("REGEXREPLACE(C19125,""-\d+(.*)|--\d+(.*)"","""")"),"SAINT-AIL")</f>
        <v>SAINT-AIL</v>
      </c>
      <c r="E19125" s="38" t="s">
        <v>548</v>
      </c>
      <c r="F19125" s="38" t="s">
        <v>195</v>
      </c>
      <c r="G19125" s="49" t="str">
        <f t="shared" si="1"/>
        <v>54580</v>
      </c>
      <c r="H19125" s="49">
        <f t="shared" si="2"/>
        <v>54469</v>
      </c>
    </row>
    <row r="19126">
      <c r="A19126" s="48" t="s">
        <v>276</v>
      </c>
      <c r="B19126" s="38">
        <v>11062.0</v>
      </c>
      <c r="C19126" s="38" t="s">
        <v>23601</v>
      </c>
      <c r="D19126" s="38" t="str">
        <f>IFERROR(__xludf.DUMMYFUNCTION("REGEXREPLACE(C19126,""-\d+(.*)|--\d+(.*)"","""")"),"CAMPAGNA-DE-SAULT")</f>
        <v>CAMPAGNA-DE-SAULT</v>
      </c>
      <c r="E19126" s="38" t="s">
        <v>278</v>
      </c>
      <c r="F19126" s="38" t="s">
        <v>119</v>
      </c>
      <c r="G19126" s="49" t="str">
        <f t="shared" si="1"/>
        <v>11140</v>
      </c>
      <c r="H19126" s="49">
        <f t="shared" si="2"/>
        <v>11062</v>
      </c>
    </row>
    <row r="19127">
      <c r="A19127" s="48" t="s">
        <v>15207</v>
      </c>
      <c r="B19127" s="38">
        <v>74129.0</v>
      </c>
      <c r="C19127" s="38" t="s">
        <v>23602</v>
      </c>
      <c r="D19127" s="38" t="str">
        <f>IFERROR(__xludf.DUMMYFUNCTION("REGEXREPLACE(C19127,""-\d+(.*)|--\d+(.*)"","""")"),"LA FORCLAZ")</f>
        <v>LA FORCLAZ</v>
      </c>
      <c r="E19127" s="38" t="s">
        <v>319</v>
      </c>
      <c r="F19127" s="38" t="s">
        <v>102</v>
      </c>
      <c r="G19127" s="49" t="str">
        <f t="shared" si="1"/>
        <v>74200</v>
      </c>
      <c r="H19127" s="49">
        <f t="shared" si="2"/>
        <v>74129</v>
      </c>
    </row>
    <row r="19128">
      <c r="A19128" s="48" t="s">
        <v>1870</v>
      </c>
      <c r="B19128" s="38">
        <v>37230.0</v>
      </c>
      <c r="C19128" s="38" t="s">
        <v>23603</v>
      </c>
      <c r="D19128" s="38" t="str">
        <f>IFERROR(__xludf.DUMMYFUNCTION("REGEXREPLACE(C19128,""-\d+(.*)|--\d+(.*)"","""")"),"SAINT-OUEN-LES-VIGNES")</f>
        <v>SAINT-OUEN-LES-VIGNES</v>
      </c>
      <c r="E19128" s="38" t="s">
        <v>205</v>
      </c>
      <c r="F19128" s="38" t="s">
        <v>123</v>
      </c>
      <c r="G19128" s="49" t="str">
        <f t="shared" si="1"/>
        <v>37530</v>
      </c>
      <c r="H19128" s="49">
        <f t="shared" si="2"/>
        <v>37230</v>
      </c>
    </row>
    <row r="19129">
      <c r="A19129" s="48" t="s">
        <v>6275</v>
      </c>
      <c r="B19129" s="38">
        <v>8327.0</v>
      </c>
      <c r="C19129" s="38" t="s">
        <v>23604</v>
      </c>
      <c r="D19129" s="38" t="str">
        <f>IFERROR(__xludf.DUMMYFUNCTION("REGEXREPLACE(C19129,""-\d+(.*)|--\d+(.*)"","""")"),"NOUVION-SUR-MEUSE")</f>
        <v>NOUVION-SUR-MEUSE</v>
      </c>
      <c r="E19129" s="38" t="s">
        <v>327</v>
      </c>
      <c r="F19129" s="38" t="s">
        <v>130</v>
      </c>
      <c r="G19129" s="49" t="str">
        <f t="shared" si="1"/>
        <v>08160</v>
      </c>
      <c r="H19129" s="49" t="str">
        <f t="shared" si="2"/>
        <v>08327</v>
      </c>
    </row>
    <row r="19130">
      <c r="A19130" s="48" t="s">
        <v>1422</v>
      </c>
      <c r="B19130" s="38">
        <v>14033.0</v>
      </c>
      <c r="C19130" s="38" t="s">
        <v>23605</v>
      </c>
      <c r="D19130" s="38" t="str">
        <f>IFERROR(__xludf.DUMMYFUNCTION("REGEXREPLACE(C19130,""-\d+(.*)|--\d+(.*)"","""")"),"AUVILLARS")</f>
        <v>AUVILLARS</v>
      </c>
      <c r="E19130" s="38" t="s">
        <v>137</v>
      </c>
      <c r="F19130" s="38" t="s">
        <v>138</v>
      </c>
      <c r="G19130" s="49" t="str">
        <f t="shared" si="1"/>
        <v>14340</v>
      </c>
      <c r="H19130" s="49">
        <f t="shared" si="2"/>
        <v>14033</v>
      </c>
    </row>
    <row r="19131">
      <c r="A19131" s="48" t="s">
        <v>9602</v>
      </c>
      <c r="B19131" s="38">
        <v>72376.0</v>
      </c>
      <c r="C19131" s="38" t="s">
        <v>23606</v>
      </c>
      <c r="D19131" s="38" t="str">
        <f>IFERROR(__xludf.DUMMYFUNCTION("REGEXREPLACE(C19131,""-\d+(.*)|--\d+(.*)"","""")"),"VILLAINES-SOUS-LUCE")</f>
        <v>VILLAINES-SOUS-LUCE</v>
      </c>
      <c r="E19131" s="38" t="s">
        <v>521</v>
      </c>
      <c r="F19131" s="38" t="s">
        <v>180</v>
      </c>
      <c r="G19131" s="49" t="str">
        <f t="shared" si="1"/>
        <v>72150</v>
      </c>
      <c r="H19131" s="49">
        <f t="shared" si="2"/>
        <v>72376</v>
      </c>
    </row>
    <row r="19132">
      <c r="A19132" s="48" t="s">
        <v>4142</v>
      </c>
      <c r="B19132" s="38">
        <v>16162.0</v>
      </c>
      <c r="C19132" s="38" t="s">
        <v>23607</v>
      </c>
      <c r="D19132" s="38" t="str">
        <f>IFERROR(__xludf.DUMMYFUNCTION("REGEXREPLACE(C19132,""-\d+(.*)|--\d+(.*)"","""")"),"GURAT")</f>
        <v>GURAT</v>
      </c>
      <c r="E19132" s="38" t="s">
        <v>429</v>
      </c>
      <c r="F19132" s="38" t="s">
        <v>338</v>
      </c>
      <c r="G19132" s="49" t="str">
        <f t="shared" si="1"/>
        <v>16320</v>
      </c>
      <c r="H19132" s="49">
        <f t="shared" si="2"/>
        <v>16162</v>
      </c>
    </row>
    <row r="19133">
      <c r="A19133" s="48" t="s">
        <v>13730</v>
      </c>
      <c r="B19133" s="38">
        <v>95023.0</v>
      </c>
      <c r="C19133" s="38" t="s">
        <v>23608</v>
      </c>
      <c r="D19133" s="38" t="str">
        <f>IFERROR(__xludf.DUMMYFUNCTION("REGEXREPLACE(C19133,""-\d+(.*)|--\d+(.*)"","""")"),"ARRONVILLE")</f>
        <v>ARRONVILLE</v>
      </c>
      <c r="E19133" s="38" t="s">
        <v>541</v>
      </c>
      <c r="F19133" s="38" t="s">
        <v>245</v>
      </c>
      <c r="G19133" s="49" t="str">
        <f t="shared" si="1"/>
        <v>95810</v>
      </c>
      <c r="H19133" s="49">
        <f t="shared" si="2"/>
        <v>95023</v>
      </c>
    </row>
    <row r="19134">
      <c r="A19134" s="48" t="s">
        <v>3631</v>
      </c>
      <c r="B19134" s="38">
        <v>38332.0</v>
      </c>
      <c r="C19134" s="38" t="s">
        <v>23609</v>
      </c>
      <c r="D19134" s="38" t="str">
        <f>IFERROR(__xludf.DUMMYFUNCTION("REGEXREPLACE(C19134,""-\d+(.*)|--\d+(.*)"","""")"),"RENAGE")</f>
        <v>RENAGE</v>
      </c>
      <c r="E19134" s="38" t="s">
        <v>101</v>
      </c>
      <c r="F19134" s="38" t="s">
        <v>102</v>
      </c>
      <c r="G19134" s="49" t="str">
        <f t="shared" si="1"/>
        <v>38140</v>
      </c>
      <c r="H19134" s="49">
        <f t="shared" si="2"/>
        <v>38332</v>
      </c>
    </row>
    <row r="19135">
      <c r="A19135" s="48" t="s">
        <v>5174</v>
      </c>
      <c r="B19135" s="38">
        <v>82080.0</v>
      </c>
      <c r="C19135" s="38" t="s">
        <v>23610</v>
      </c>
      <c r="D19135" s="38" t="str">
        <f>IFERROR(__xludf.DUMMYFUNCTION("REGEXREPLACE(C19135,""-\d+(.*)|--\d+(.*)"","""")"),"LABASTIDE-DU-TEMPLE")</f>
        <v>LABASTIDE-DU-TEMPLE</v>
      </c>
      <c r="E19135" s="38" t="s">
        <v>570</v>
      </c>
      <c r="F19135" s="38" t="s">
        <v>94</v>
      </c>
      <c r="G19135" s="49" t="str">
        <f t="shared" si="1"/>
        <v>82100</v>
      </c>
      <c r="H19135" s="49">
        <f t="shared" si="2"/>
        <v>82080</v>
      </c>
    </row>
    <row r="19136">
      <c r="A19136" s="48" t="s">
        <v>8967</v>
      </c>
      <c r="B19136" s="38">
        <v>80804.0</v>
      </c>
      <c r="C19136" s="38" t="s">
        <v>23611</v>
      </c>
      <c r="D19136" s="38" t="str">
        <f>IFERROR(__xludf.DUMMYFUNCTION("REGEXREPLACE(C19136,""-\d+(.*)|--\d+(.*)"","""")"),"VILLERS-SOUS-AILLY")</f>
        <v>VILLERS-SOUS-AILLY</v>
      </c>
      <c r="E19136" s="38" t="s">
        <v>224</v>
      </c>
      <c r="F19136" s="38" t="s">
        <v>113</v>
      </c>
      <c r="G19136" s="49" t="str">
        <f t="shared" si="1"/>
        <v>80690</v>
      </c>
      <c r="H19136" s="49">
        <f t="shared" si="2"/>
        <v>80804</v>
      </c>
    </row>
    <row r="19137">
      <c r="A19137" s="48" t="s">
        <v>6055</v>
      </c>
      <c r="B19137" s="38">
        <v>25039.0</v>
      </c>
      <c r="C19137" s="38" t="s">
        <v>23612</v>
      </c>
      <c r="D19137" s="38" t="str">
        <f>IFERROR(__xludf.DUMMYFUNCTION("REGEXREPLACE(C19137,""-\d+(.*)|--\d+(.*)"","""")"),"AVOUDREY")</f>
        <v>AVOUDREY</v>
      </c>
      <c r="E19137" s="38" t="s">
        <v>213</v>
      </c>
      <c r="F19137" s="38" t="s">
        <v>214</v>
      </c>
      <c r="G19137" s="49" t="str">
        <f t="shared" si="1"/>
        <v>25690</v>
      </c>
      <c r="H19137" s="49">
        <f t="shared" si="2"/>
        <v>25039</v>
      </c>
    </row>
    <row r="19138">
      <c r="A19138" s="48" t="s">
        <v>4779</v>
      </c>
      <c r="B19138" s="38">
        <v>28247.0</v>
      </c>
      <c r="C19138" s="38" t="s">
        <v>23613</v>
      </c>
      <c r="D19138" s="38" t="str">
        <f>IFERROR(__xludf.DUMMYFUNCTION("REGEXREPLACE(C19138,""-\d+(.*)|--\d+(.*)"","""")"),"LE MESNIL-SIMON")</f>
        <v>LE MESNIL-SIMON</v>
      </c>
      <c r="E19138" s="38" t="s">
        <v>300</v>
      </c>
      <c r="F19138" s="38" t="s">
        <v>123</v>
      </c>
      <c r="G19138" s="49" t="str">
        <f t="shared" si="1"/>
        <v>28260</v>
      </c>
      <c r="H19138" s="49">
        <f t="shared" si="2"/>
        <v>28247</v>
      </c>
    </row>
    <row r="19139">
      <c r="A19139" s="48" t="s">
        <v>6474</v>
      </c>
      <c r="B19139" s="38">
        <v>61322.0</v>
      </c>
      <c r="C19139" s="38" t="s">
        <v>23614</v>
      </c>
      <c r="D19139" s="38" t="str">
        <f>IFERROR(__xludf.DUMMYFUNCTION("REGEXREPLACE(C19139,""-\d+(.*)|--\d+(.*)"","""")"),"PARFONDEVAL")</f>
        <v>PARFONDEVAL</v>
      </c>
      <c r="E19139" s="38" t="s">
        <v>141</v>
      </c>
      <c r="F19139" s="38" t="s">
        <v>138</v>
      </c>
      <c r="G19139" s="49" t="str">
        <f t="shared" si="1"/>
        <v>61400</v>
      </c>
      <c r="H19139" s="49">
        <f t="shared" si="2"/>
        <v>61322</v>
      </c>
    </row>
    <row r="19140">
      <c r="A19140" s="48" t="s">
        <v>1518</v>
      </c>
      <c r="B19140" s="38">
        <v>88043.0</v>
      </c>
      <c r="C19140" s="38" t="s">
        <v>23615</v>
      </c>
      <c r="D19140" s="38" t="str">
        <f>IFERROR(__xludf.DUMMYFUNCTION("REGEXREPLACE(C19140,""-\d+(.*)|--\d+(.*)"","""")"),"BAZOILLES-ET-MENIL")</f>
        <v>BAZOILLES-ET-MENIL</v>
      </c>
      <c r="E19140" s="38" t="s">
        <v>194</v>
      </c>
      <c r="F19140" s="38" t="s">
        <v>195</v>
      </c>
      <c r="G19140" s="49" t="str">
        <f t="shared" si="1"/>
        <v>88500</v>
      </c>
      <c r="H19140" s="49">
        <f t="shared" si="2"/>
        <v>88043</v>
      </c>
    </row>
    <row r="19141">
      <c r="A19141" s="48" t="s">
        <v>3439</v>
      </c>
      <c r="B19141" s="38">
        <v>86103.0</v>
      </c>
      <c r="C19141" s="38" t="s">
        <v>23616</v>
      </c>
      <c r="D19141" s="38" t="str">
        <f>IFERROR(__xludf.DUMMYFUNCTION("REGEXREPLACE(C19141,""-\d+(.*)|--\d+(.*)"","""")"),"GENCAY")</f>
        <v>GENCAY</v>
      </c>
      <c r="E19141" s="38" t="s">
        <v>529</v>
      </c>
      <c r="F19141" s="38" t="s">
        <v>338</v>
      </c>
      <c r="G19141" s="49" t="str">
        <f t="shared" si="1"/>
        <v>86160</v>
      </c>
      <c r="H19141" s="49">
        <f t="shared" si="2"/>
        <v>86103</v>
      </c>
    </row>
    <row r="19142">
      <c r="A19142" s="48" t="s">
        <v>23617</v>
      </c>
      <c r="B19142" s="38">
        <v>97312.0</v>
      </c>
      <c r="C19142" s="38" t="s">
        <v>23618</v>
      </c>
      <c r="D19142" s="38" t="str">
        <f>IFERROR(__xludf.DUMMYFUNCTION("REGEXREPLACE(C19142,""-\d+(.*)|--\d+(.*)"","""")"),"SINNAMARY")</f>
        <v>SINNAMARY</v>
      </c>
      <c r="E19142" s="38" t="s">
        <v>1737</v>
      </c>
      <c r="F19142" s="38" t="s">
        <v>1737</v>
      </c>
      <c r="G19142" s="49" t="str">
        <f t="shared" si="1"/>
        <v>97315</v>
      </c>
      <c r="H19142" s="49">
        <f t="shared" si="2"/>
        <v>97312</v>
      </c>
    </row>
    <row r="19143">
      <c r="A19143" s="48" t="s">
        <v>294</v>
      </c>
      <c r="B19143" s="38">
        <v>40049.0</v>
      </c>
      <c r="C19143" s="38" t="s">
        <v>23619</v>
      </c>
      <c r="D19143" s="38" t="str">
        <f>IFERROR(__xludf.DUMMYFUNCTION("REGEXREPLACE(C19143,""-\d+(.*)|--\d+(.*)"","""")"),"BORDERES-ET-LAMENSANS")</f>
        <v>BORDERES-ET-LAMENSANS</v>
      </c>
      <c r="E19143" s="38" t="s">
        <v>281</v>
      </c>
      <c r="F19143" s="38" t="s">
        <v>252</v>
      </c>
      <c r="G19143" s="49" t="str">
        <f t="shared" si="1"/>
        <v>40270</v>
      </c>
      <c r="H19143" s="49">
        <f t="shared" si="2"/>
        <v>40049</v>
      </c>
    </row>
    <row r="19144">
      <c r="A19144" s="48" t="s">
        <v>3869</v>
      </c>
      <c r="B19144" s="38">
        <v>21569.0</v>
      </c>
      <c r="C19144" s="38" t="s">
        <v>11348</v>
      </c>
      <c r="D19144" s="38" t="str">
        <f>IFERROR(__xludf.DUMMYFUNCTION("REGEXREPLACE(C19144,""-\d+(.*)|--\d+(.*)"","""")"),"SAINT-ROMAIN")</f>
        <v>SAINT-ROMAIN</v>
      </c>
      <c r="E19144" s="38" t="s">
        <v>105</v>
      </c>
      <c r="F19144" s="38" t="s">
        <v>106</v>
      </c>
      <c r="G19144" s="49" t="str">
        <f t="shared" si="1"/>
        <v>21190</v>
      </c>
      <c r="H19144" s="49">
        <f t="shared" si="2"/>
        <v>21569</v>
      </c>
    </row>
    <row r="19145">
      <c r="A19145" s="48" t="s">
        <v>5783</v>
      </c>
      <c r="B19145" s="38">
        <v>37102.0</v>
      </c>
      <c r="C19145" s="38" t="s">
        <v>23620</v>
      </c>
      <c r="D19145" s="38" t="str">
        <f>IFERROR(__xludf.DUMMYFUNCTION("REGEXREPLACE(C19145,""-\d+(.*)|--\d+(.*)"","""")"),"LES ESSARDS")</f>
        <v>LES ESSARDS</v>
      </c>
      <c r="E19145" s="38" t="s">
        <v>205</v>
      </c>
      <c r="F19145" s="38" t="s">
        <v>123</v>
      </c>
      <c r="G19145" s="49" t="str">
        <f t="shared" si="1"/>
        <v>37130</v>
      </c>
      <c r="H19145" s="49">
        <f t="shared" si="2"/>
        <v>37102</v>
      </c>
    </row>
    <row r="19146">
      <c r="A19146" s="48" t="s">
        <v>6080</v>
      </c>
      <c r="B19146" s="38">
        <v>76117.0</v>
      </c>
      <c r="C19146" s="38" t="s">
        <v>23621</v>
      </c>
      <c r="D19146" s="38" t="str">
        <f>IFERROR(__xludf.DUMMYFUNCTION("REGEXREPLACE(C19146,""-\d+(.*)|--\d+(.*)"","""")"),"BORDEAUX-SAINT-CLAIR")</f>
        <v>BORDEAUX-SAINT-CLAIR</v>
      </c>
      <c r="E19146" s="38" t="s">
        <v>133</v>
      </c>
      <c r="F19146" s="38" t="s">
        <v>134</v>
      </c>
      <c r="G19146" s="49" t="str">
        <f t="shared" si="1"/>
        <v>76790</v>
      </c>
      <c r="H19146" s="49">
        <f t="shared" si="2"/>
        <v>76117</v>
      </c>
    </row>
    <row r="19147">
      <c r="A19147" s="48" t="s">
        <v>23622</v>
      </c>
      <c r="B19147" s="38">
        <v>83001.0</v>
      </c>
      <c r="C19147" s="38" t="s">
        <v>23623</v>
      </c>
      <c r="D19147" s="38" t="str">
        <f>IFERROR(__xludf.DUMMYFUNCTION("REGEXREPLACE(C19147,""-\d+(.*)|--\d+(.*)"","""")"),"LES ADRETS-DE-L'ESTEREL")</f>
        <v>LES ADRETS-DE-L'ESTEREL</v>
      </c>
      <c r="E19147" s="38" t="s">
        <v>813</v>
      </c>
      <c r="F19147" s="38" t="s">
        <v>228</v>
      </c>
      <c r="G19147" s="49" t="str">
        <f t="shared" si="1"/>
        <v>83600</v>
      </c>
      <c r="H19147" s="49">
        <f t="shared" si="2"/>
        <v>83001</v>
      </c>
    </row>
    <row r="19148">
      <c r="A19148" s="48" t="s">
        <v>6168</v>
      </c>
      <c r="B19148" s="38">
        <v>16380.0</v>
      </c>
      <c r="C19148" s="38" t="s">
        <v>23624</v>
      </c>
      <c r="D19148" s="38" t="str">
        <f>IFERROR(__xludf.DUMMYFUNCTION("REGEXREPLACE(C19148,""-\d+(.*)|--\d+(.*)"","""")"),"LE TATRE")</f>
        <v>LE TATRE</v>
      </c>
      <c r="E19148" s="38" t="s">
        <v>429</v>
      </c>
      <c r="F19148" s="38" t="s">
        <v>338</v>
      </c>
      <c r="G19148" s="49" t="str">
        <f t="shared" si="1"/>
        <v>16360</v>
      </c>
      <c r="H19148" s="49">
        <f t="shared" si="2"/>
        <v>16380</v>
      </c>
    </row>
    <row r="19149">
      <c r="A19149" s="48" t="s">
        <v>1540</v>
      </c>
      <c r="B19149" s="38">
        <v>70316.0</v>
      </c>
      <c r="C19149" s="38" t="s">
        <v>23625</v>
      </c>
      <c r="D19149" s="38" t="str">
        <f>IFERROR(__xludf.DUMMYFUNCTION("REGEXREPLACE(C19149,""-\d+(.*)|--\d+(.*)"","""")"),"LE MAGNORAY")</f>
        <v>LE MAGNORAY</v>
      </c>
      <c r="E19149" s="38" t="s">
        <v>956</v>
      </c>
      <c r="F19149" s="38" t="s">
        <v>214</v>
      </c>
      <c r="G19149" s="49" t="str">
        <f t="shared" si="1"/>
        <v>70000</v>
      </c>
      <c r="H19149" s="49">
        <f t="shared" si="2"/>
        <v>70316</v>
      </c>
    </row>
    <row r="19150">
      <c r="A19150" s="48" t="s">
        <v>167</v>
      </c>
      <c r="B19150" s="38">
        <v>34156.0</v>
      </c>
      <c r="C19150" s="38" t="s">
        <v>23626</v>
      </c>
      <c r="D19150" s="38" t="str">
        <f>IFERROR(__xludf.DUMMYFUNCTION("REGEXREPLACE(C19150,""-\d+(.*)|--\d+(.*)"","""")"),"MERIFONS")</f>
        <v>MERIFONS</v>
      </c>
      <c r="E19150" s="38" t="s">
        <v>118</v>
      </c>
      <c r="F19150" s="38" t="s">
        <v>119</v>
      </c>
      <c r="G19150" s="49" t="str">
        <f t="shared" si="1"/>
        <v>34800</v>
      </c>
      <c r="H19150" s="49">
        <f t="shared" si="2"/>
        <v>34156</v>
      </c>
    </row>
    <row r="19151">
      <c r="A19151" s="48" t="s">
        <v>12157</v>
      </c>
      <c r="B19151" s="38">
        <v>80730.0</v>
      </c>
      <c r="C19151" s="38" t="s">
        <v>23627</v>
      </c>
      <c r="D19151" s="38" t="str">
        <f>IFERROR(__xludf.DUMMYFUNCTION("REGEXREPLACE(C19151,""-\d+(.*)|--\d+(.*)"","""")"),"SAVEUSE")</f>
        <v>SAVEUSE</v>
      </c>
      <c r="E19151" s="38" t="s">
        <v>224</v>
      </c>
      <c r="F19151" s="38" t="s">
        <v>113</v>
      </c>
      <c r="G19151" s="49" t="str">
        <f t="shared" si="1"/>
        <v>80470</v>
      </c>
      <c r="H19151" s="49">
        <f t="shared" si="2"/>
        <v>80730</v>
      </c>
    </row>
    <row r="19152">
      <c r="A19152" s="48" t="s">
        <v>10312</v>
      </c>
      <c r="B19152" s="38">
        <v>32131.0</v>
      </c>
      <c r="C19152" s="38" t="s">
        <v>23628</v>
      </c>
      <c r="D19152" s="38" t="str">
        <f>IFERROR(__xludf.DUMMYFUNCTION("REGEXREPLACE(C19152,""-\d+(.*)|--\d+(.*)"","""")"),"FLAMARENS")</f>
        <v>FLAMARENS</v>
      </c>
      <c r="E19152" s="38" t="s">
        <v>440</v>
      </c>
      <c r="F19152" s="38" t="s">
        <v>94</v>
      </c>
      <c r="G19152" s="49" t="str">
        <f t="shared" si="1"/>
        <v>32340</v>
      </c>
      <c r="H19152" s="49">
        <f t="shared" si="2"/>
        <v>32131</v>
      </c>
    </row>
    <row r="19153">
      <c r="A19153" s="48" t="s">
        <v>15383</v>
      </c>
      <c r="B19153" s="38">
        <v>53096.0</v>
      </c>
      <c r="C19153" s="38" t="s">
        <v>23629</v>
      </c>
      <c r="D19153" s="38" t="str">
        <f>IFERROR(__xludf.DUMMYFUNCTION("REGEXREPLACE(C19153,""-\d+(.*)|--\d+(.*)"","""")"),"ERNEE")</f>
        <v>ERNEE</v>
      </c>
      <c r="E19153" s="38" t="s">
        <v>518</v>
      </c>
      <c r="F19153" s="38" t="s">
        <v>180</v>
      </c>
      <c r="G19153" s="49" t="str">
        <f t="shared" si="1"/>
        <v>53500</v>
      </c>
      <c r="H19153" s="49">
        <f t="shared" si="2"/>
        <v>53096</v>
      </c>
    </row>
    <row r="19154">
      <c r="A19154" s="48" t="s">
        <v>6649</v>
      </c>
      <c r="B19154" s="38">
        <v>18113.0</v>
      </c>
      <c r="C19154" s="38" t="s">
        <v>23630</v>
      </c>
      <c r="D19154" s="38" t="str">
        <f>IFERROR(__xludf.DUMMYFUNCTION("REGEXREPLACE(C19154,""-\d+(.*)|--\d+(.*)"","""")"),"IGNOL")</f>
        <v>IGNOL</v>
      </c>
      <c r="E19154" s="38" t="s">
        <v>504</v>
      </c>
      <c r="F19154" s="38" t="s">
        <v>123</v>
      </c>
      <c r="G19154" s="49" t="str">
        <f t="shared" si="1"/>
        <v>18350</v>
      </c>
      <c r="H19154" s="49">
        <f t="shared" si="2"/>
        <v>18113</v>
      </c>
    </row>
    <row r="19155">
      <c r="A19155" s="48" t="s">
        <v>1864</v>
      </c>
      <c r="B19155" s="38">
        <v>70553.0</v>
      </c>
      <c r="C19155" s="38" t="s">
        <v>23631</v>
      </c>
      <c r="D19155" s="38" t="str">
        <f>IFERROR(__xludf.DUMMYFUNCTION("REGEXREPLACE(C19155,""-\d+(.*)|--\d+(.*)"","""")"),"VILLARGENT")</f>
        <v>VILLARGENT</v>
      </c>
      <c r="E19155" s="38" t="s">
        <v>956</v>
      </c>
      <c r="F19155" s="38" t="s">
        <v>214</v>
      </c>
      <c r="G19155" s="49" t="str">
        <f t="shared" si="1"/>
        <v>70110</v>
      </c>
      <c r="H19155" s="49">
        <f t="shared" si="2"/>
        <v>70553</v>
      </c>
    </row>
    <row r="19156">
      <c r="A19156" s="48" t="s">
        <v>5181</v>
      </c>
      <c r="B19156" s="38">
        <v>24229.0</v>
      </c>
      <c r="C19156" s="38" t="s">
        <v>23632</v>
      </c>
      <c r="D19156" s="38" t="str">
        <f>IFERROR(__xludf.DUMMYFUNCTION("REGEXREPLACE(C19156,""-\d+(.*)|--\d+(.*)"","""")"),"LE LARDIN-SAINT-LAZARE")</f>
        <v>LE LARDIN-SAINT-LAZARE</v>
      </c>
      <c r="E19156" s="38" t="s">
        <v>261</v>
      </c>
      <c r="F19156" s="38" t="s">
        <v>252</v>
      </c>
      <c r="G19156" s="49" t="str">
        <f t="shared" si="1"/>
        <v>24570</v>
      </c>
      <c r="H19156" s="49">
        <f t="shared" si="2"/>
        <v>24229</v>
      </c>
    </row>
    <row r="19157">
      <c r="A19157" s="48" t="s">
        <v>6069</v>
      </c>
      <c r="B19157" s="38">
        <v>50318.0</v>
      </c>
      <c r="C19157" s="38" t="s">
        <v>23633</v>
      </c>
      <c r="D19157" s="38" t="str">
        <f>IFERROR(__xludf.DUMMYFUNCTION("REGEXREPLACE(C19157,""-\d+(.*)|--\d+(.*)"","""")"),"LE MESNIL-RAINFRAY")</f>
        <v>LE MESNIL-RAINFRAY</v>
      </c>
      <c r="E19157" s="38" t="s">
        <v>157</v>
      </c>
      <c r="F19157" s="38" t="s">
        <v>138</v>
      </c>
      <c r="G19157" s="49" t="str">
        <f t="shared" si="1"/>
        <v>50520</v>
      </c>
      <c r="H19157" s="49">
        <f t="shared" si="2"/>
        <v>50318</v>
      </c>
    </row>
    <row r="19158">
      <c r="A19158" s="48" t="s">
        <v>1383</v>
      </c>
      <c r="B19158" s="38">
        <v>72179.0</v>
      </c>
      <c r="C19158" s="38" t="s">
        <v>23634</v>
      </c>
      <c r="D19158" s="38" t="str">
        <f>IFERROR(__xludf.DUMMYFUNCTION("REGEXREPLACE(C19158,""-\d+(.*)|--\d+(.*)"","""")"),"MALICORNE-SUR-SARTHE")</f>
        <v>MALICORNE-SUR-SARTHE</v>
      </c>
      <c r="E19158" s="38" t="s">
        <v>521</v>
      </c>
      <c r="F19158" s="38" t="s">
        <v>180</v>
      </c>
      <c r="G19158" s="49" t="str">
        <f t="shared" si="1"/>
        <v>72270</v>
      </c>
      <c r="H19158" s="49">
        <f t="shared" si="2"/>
        <v>72179</v>
      </c>
    </row>
    <row r="19159">
      <c r="A19159" s="48" t="s">
        <v>4617</v>
      </c>
      <c r="B19159" s="38">
        <v>15246.0</v>
      </c>
      <c r="C19159" s="38" t="s">
        <v>23635</v>
      </c>
      <c r="D19159" s="38" t="str">
        <f>IFERROR(__xludf.DUMMYFUNCTION("REGEXREPLACE(C19159,""-\d+(.*)|--\d+(.*)"","""")"),"VALETTE")</f>
        <v>VALETTE</v>
      </c>
      <c r="E19159" s="38" t="s">
        <v>632</v>
      </c>
      <c r="F19159" s="38" t="s">
        <v>161</v>
      </c>
      <c r="G19159" s="49" t="str">
        <f t="shared" si="1"/>
        <v>15400</v>
      </c>
      <c r="H19159" s="49">
        <f t="shared" si="2"/>
        <v>15246</v>
      </c>
    </row>
    <row r="19160">
      <c r="A19160" s="48" t="s">
        <v>16986</v>
      </c>
      <c r="B19160" s="38">
        <v>49246.0</v>
      </c>
      <c r="C19160" s="38" t="s">
        <v>23636</v>
      </c>
      <c r="D19160" s="38" t="str">
        <f>IFERROR(__xludf.DUMMYFUNCTION("REGEXREPLACE(C19160,""-\d+(.*)|--\d+(.*)"","""")"),"LES PONTS-DE-CE")</f>
        <v>LES PONTS-DE-CE</v>
      </c>
      <c r="E19160" s="38" t="s">
        <v>653</v>
      </c>
      <c r="F19160" s="38" t="s">
        <v>180</v>
      </c>
      <c r="G19160" s="49" t="str">
        <f t="shared" si="1"/>
        <v>49130</v>
      </c>
      <c r="H19160" s="49">
        <f t="shared" si="2"/>
        <v>49246</v>
      </c>
    </row>
    <row r="19161">
      <c r="A19161" s="48" t="s">
        <v>1522</v>
      </c>
      <c r="B19161" s="38">
        <v>32139.0</v>
      </c>
      <c r="C19161" s="38" t="s">
        <v>23637</v>
      </c>
      <c r="D19161" s="38" t="str">
        <f>IFERROR(__xludf.DUMMYFUNCTION("REGEXREPLACE(C19161,""-\d+(.*)|--\d+(.*)"","""")"),"GAUDONVILLE")</f>
        <v>GAUDONVILLE</v>
      </c>
      <c r="E19161" s="38" t="s">
        <v>440</v>
      </c>
      <c r="F19161" s="38" t="s">
        <v>94</v>
      </c>
      <c r="G19161" s="49" t="str">
        <f t="shared" si="1"/>
        <v>32380</v>
      </c>
      <c r="H19161" s="49">
        <f t="shared" si="2"/>
        <v>32139</v>
      </c>
    </row>
    <row r="19162">
      <c r="A19162" s="48" t="s">
        <v>23638</v>
      </c>
      <c r="B19162" s="38">
        <v>59160.0</v>
      </c>
      <c r="C19162" s="38" t="s">
        <v>23639</v>
      </c>
      <c r="D19162" s="38" t="str">
        <f>IFERROR(__xludf.DUMMYFUNCTION("REGEXREPLACE(C19162,""-\d+(.*)|--\d+(.*)"","""")"),"CRESPIN")</f>
        <v>CRESPIN</v>
      </c>
      <c r="E19162" s="38" t="s">
        <v>85</v>
      </c>
      <c r="F19162" s="38" t="s">
        <v>86</v>
      </c>
      <c r="G19162" s="49" t="str">
        <f t="shared" si="1"/>
        <v>59154</v>
      </c>
      <c r="H19162" s="49">
        <f t="shared" si="2"/>
        <v>59160</v>
      </c>
    </row>
    <row r="19163">
      <c r="A19163" s="48" t="s">
        <v>10463</v>
      </c>
      <c r="B19163" s="38">
        <v>50350.0</v>
      </c>
      <c r="C19163" s="38" t="s">
        <v>23640</v>
      </c>
      <c r="D19163" s="38" t="str">
        <f>IFERROR(__xludf.DUMMYFUNCTION("REGEXREPLACE(C19163,""-\d+(.*)|--\d+(.*)"","""")"),"MONTPINCHON")</f>
        <v>MONTPINCHON</v>
      </c>
      <c r="E19163" s="38" t="s">
        <v>157</v>
      </c>
      <c r="F19163" s="38" t="s">
        <v>138</v>
      </c>
      <c r="G19163" s="49" t="str">
        <f t="shared" si="1"/>
        <v>50210</v>
      </c>
      <c r="H19163" s="49">
        <f t="shared" si="2"/>
        <v>50350</v>
      </c>
    </row>
    <row r="19164">
      <c r="A19164" s="48" t="s">
        <v>5873</v>
      </c>
      <c r="B19164" s="38">
        <v>23014.0</v>
      </c>
      <c r="C19164" s="38" t="s">
        <v>23641</v>
      </c>
      <c r="D19164" s="38" t="str">
        <f>IFERROR(__xludf.DUMMYFUNCTION("REGEXREPLACE(C19164,""-\d+(.*)|--\d+(.*)"","""")"),"AZAT-CHATENET")</f>
        <v>AZAT-CHATENET</v>
      </c>
      <c r="E19164" s="38" t="s">
        <v>97</v>
      </c>
      <c r="F19164" s="38" t="s">
        <v>98</v>
      </c>
      <c r="G19164" s="49" t="str">
        <f t="shared" si="1"/>
        <v>23210</v>
      </c>
      <c r="H19164" s="49">
        <f t="shared" si="2"/>
        <v>23014</v>
      </c>
    </row>
    <row r="19165">
      <c r="A19165" s="48" t="s">
        <v>1777</v>
      </c>
      <c r="B19165" s="38">
        <v>10212.0</v>
      </c>
      <c r="C19165" s="38" t="s">
        <v>23642</v>
      </c>
      <c r="D19165" s="38" t="str">
        <f>IFERROR(__xludf.DUMMYFUNCTION("REGEXREPLACE(C19165,""-\d+(.*)|--\d+(.*)"","""")"),"MACHY")</f>
        <v>MACHY</v>
      </c>
      <c r="E19165" s="38" t="s">
        <v>147</v>
      </c>
      <c r="F19165" s="38" t="s">
        <v>130</v>
      </c>
      <c r="G19165" s="49" t="str">
        <f t="shared" si="1"/>
        <v>10320</v>
      </c>
      <c r="H19165" s="49">
        <f t="shared" si="2"/>
        <v>10212</v>
      </c>
    </row>
    <row r="19166">
      <c r="A19166" s="48" t="s">
        <v>23643</v>
      </c>
      <c r="B19166" s="38">
        <v>83099.0</v>
      </c>
      <c r="C19166" s="38" t="s">
        <v>23644</v>
      </c>
      <c r="D19166" s="38" t="str">
        <f>IFERROR(__xludf.DUMMYFUNCTION("REGEXREPLACE(C19166,""-\d+(.*)|--\d+(.*)"","""")"),"PUGET-SUR-ARGENS")</f>
        <v>PUGET-SUR-ARGENS</v>
      </c>
      <c r="E19166" s="38" t="s">
        <v>813</v>
      </c>
      <c r="F19166" s="38" t="s">
        <v>228</v>
      </c>
      <c r="G19166" s="49" t="str">
        <f t="shared" si="1"/>
        <v>83480</v>
      </c>
      <c r="H19166" s="49">
        <f t="shared" si="2"/>
        <v>83099</v>
      </c>
    </row>
    <row r="19167">
      <c r="A19167" s="48" t="s">
        <v>15395</v>
      </c>
      <c r="B19167" s="38">
        <v>54096.0</v>
      </c>
      <c r="C19167" s="38" t="s">
        <v>23645</v>
      </c>
      <c r="D19167" s="38" t="str">
        <f>IFERROR(__xludf.DUMMYFUNCTION("REGEXREPLACE(C19167,""-\d+(.*)|--\d+(.*)"","""")"),"BREHAIN-LA-VILLE")</f>
        <v>BREHAIN-LA-VILLE</v>
      </c>
      <c r="E19167" s="38" t="s">
        <v>548</v>
      </c>
      <c r="F19167" s="38" t="s">
        <v>195</v>
      </c>
      <c r="G19167" s="49" t="str">
        <f t="shared" si="1"/>
        <v>54190</v>
      </c>
      <c r="H19167" s="49">
        <f t="shared" si="2"/>
        <v>54096</v>
      </c>
    </row>
    <row r="19168">
      <c r="A19168" s="48" t="s">
        <v>1991</v>
      </c>
      <c r="B19168" s="38">
        <v>54182.0</v>
      </c>
      <c r="C19168" s="38" t="s">
        <v>23646</v>
      </c>
      <c r="D19168" s="38" t="str">
        <f>IFERROR(__xludf.DUMMYFUNCTION("REGEXREPLACE(C19168,""-\d+(.*)|--\d+(.*)"","""")"),"ESSEY-ET-MAIZERAIS")</f>
        <v>ESSEY-ET-MAIZERAIS</v>
      </c>
      <c r="E19168" s="38" t="s">
        <v>548</v>
      </c>
      <c r="F19168" s="38" t="s">
        <v>195</v>
      </c>
      <c r="G19168" s="49" t="str">
        <f t="shared" si="1"/>
        <v>54470</v>
      </c>
      <c r="H19168" s="49">
        <f t="shared" si="2"/>
        <v>54182</v>
      </c>
    </row>
    <row r="19169">
      <c r="A19169" s="48" t="s">
        <v>23647</v>
      </c>
      <c r="B19169" s="38">
        <v>62264.0</v>
      </c>
      <c r="C19169" s="38" t="s">
        <v>23648</v>
      </c>
      <c r="D19169" s="38" t="str">
        <f>IFERROR(__xludf.DUMMYFUNCTION("REGEXREPLACE(C19169,""-\d+(.*)|--\d+(.*)"","""")"),"DANNES")</f>
        <v>DANNES</v>
      </c>
      <c r="E19169" s="38" t="s">
        <v>109</v>
      </c>
      <c r="F19169" s="38" t="s">
        <v>86</v>
      </c>
      <c r="G19169" s="49" t="str">
        <f t="shared" si="1"/>
        <v>62187</v>
      </c>
      <c r="H19169" s="49">
        <f t="shared" si="2"/>
        <v>62264</v>
      </c>
    </row>
    <row r="19170">
      <c r="A19170" s="48" t="s">
        <v>23649</v>
      </c>
      <c r="B19170" s="38">
        <v>11295.0</v>
      </c>
      <c r="C19170" s="38" t="s">
        <v>23650</v>
      </c>
      <c r="D19170" s="38" t="str">
        <f>IFERROR(__xludf.DUMMYFUNCTION("REGEXREPLACE(C19170,""-\d+(.*)|--\d+(.*)"","""")"),"PORTEL-DES-CORBIERES")</f>
        <v>PORTEL-DES-CORBIERES</v>
      </c>
      <c r="E19170" s="38" t="s">
        <v>278</v>
      </c>
      <c r="F19170" s="38" t="s">
        <v>119</v>
      </c>
      <c r="G19170" s="49" t="str">
        <f t="shared" si="1"/>
        <v>11490</v>
      </c>
      <c r="H19170" s="49">
        <f t="shared" si="2"/>
        <v>11295</v>
      </c>
    </row>
    <row r="19171">
      <c r="A19171" s="48" t="s">
        <v>482</v>
      </c>
      <c r="B19171" s="38">
        <v>26314.0</v>
      </c>
      <c r="C19171" s="38" t="s">
        <v>23651</v>
      </c>
      <c r="D19171" s="38" t="str">
        <f>IFERROR(__xludf.DUMMYFUNCTION("REGEXREPLACE(C19171,""-\d+(.*)|--\d+(.*)"","""")"),"SAINT-MARTIN-D'AOUT")</f>
        <v>SAINT-MARTIN-D'AOUT</v>
      </c>
      <c r="E19171" s="38" t="s">
        <v>126</v>
      </c>
      <c r="F19171" s="38" t="s">
        <v>102</v>
      </c>
      <c r="G19171" s="49" t="str">
        <f t="shared" si="1"/>
        <v>26330</v>
      </c>
      <c r="H19171" s="49">
        <f t="shared" si="2"/>
        <v>26314</v>
      </c>
    </row>
    <row r="19172">
      <c r="A19172" s="48" t="s">
        <v>908</v>
      </c>
      <c r="B19172" s="38">
        <v>41198.0</v>
      </c>
      <c r="C19172" s="38" t="s">
        <v>7967</v>
      </c>
      <c r="D19172" s="38" t="str">
        <f>IFERROR(__xludf.DUMMYFUNCTION("REGEXREPLACE(C19172,""-\d+(.*)|--\d+(.*)"","""")"),"SAINT-AIGNAN")</f>
        <v>SAINT-AIGNAN</v>
      </c>
      <c r="E19172" s="38" t="s">
        <v>188</v>
      </c>
      <c r="F19172" s="38" t="s">
        <v>123</v>
      </c>
      <c r="G19172" s="49" t="str">
        <f t="shared" si="1"/>
        <v>41110</v>
      </c>
      <c r="H19172" s="49">
        <f t="shared" si="2"/>
        <v>41198</v>
      </c>
    </row>
    <row r="19173">
      <c r="A19173" s="48" t="s">
        <v>1841</v>
      </c>
      <c r="B19173" s="38">
        <v>27189.0</v>
      </c>
      <c r="C19173" s="38" t="s">
        <v>23652</v>
      </c>
      <c r="D19173" s="38" t="str">
        <f>IFERROR(__xludf.DUMMYFUNCTION("REGEXREPLACE(C19173,""-\d+(.*)|--\d+(.*)"","""")"),"LA CROISILLE")</f>
        <v>LA CROISILLE</v>
      </c>
      <c r="E19173" s="38" t="s">
        <v>241</v>
      </c>
      <c r="F19173" s="38" t="s">
        <v>134</v>
      </c>
      <c r="G19173" s="49" t="str">
        <f t="shared" si="1"/>
        <v>27190</v>
      </c>
      <c r="H19173" s="49">
        <f t="shared" si="2"/>
        <v>27189</v>
      </c>
    </row>
    <row r="19174">
      <c r="A19174" s="48" t="s">
        <v>23653</v>
      </c>
      <c r="B19174" s="38">
        <v>59272.0</v>
      </c>
      <c r="C19174" s="38" t="s">
        <v>23654</v>
      </c>
      <c r="D19174" s="38" t="str">
        <f>IFERROR(__xludf.DUMMYFUNCTION("REGEXREPLACE(C19174,""-\d+(.*)|--\d+(.*)"","""")"),"GRAND-FORT-PHILIPPE")</f>
        <v>GRAND-FORT-PHILIPPE</v>
      </c>
      <c r="E19174" s="38" t="s">
        <v>85</v>
      </c>
      <c r="F19174" s="38" t="s">
        <v>86</v>
      </c>
      <c r="G19174" s="49" t="str">
        <f t="shared" si="1"/>
        <v>59153</v>
      </c>
      <c r="H19174" s="49">
        <f t="shared" si="2"/>
        <v>59272</v>
      </c>
    </row>
    <row r="19175">
      <c r="A19175" s="48" t="s">
        <v>1630</v>
      </c>
      <c r="B19175" s="38">
        <v>57398.0</v>
      </c>
      <c r="C19175" s="38" t="s">
        <v>23655</v>
      </c>
      <c r="D19175" s="38" t="str">
        <f>IFERROR(__xludf.DUMMYFUNCTION("REGEXREPLACE(C19175,""-\d+(.*)|--\d+(.*)"","""")"),"LEYVILLER")</f>
        <v>LEYVILLER</v>
      </c>
      <c r="E19175" s="38" t="s">
        <v>303</v>
      </c>
      <c r="F19175" s="38" t="s">
        <v>195</v>
      </c>
      <c r="G19175" s="49" t="str">
        <f t="shared" si="1"/>
        <v>57660</v>
      </c>
      <c r="H19175" s="49">
        <f t="shared" si="2"/>
        <v>57398</v>
      </c>
    </row>
    <row r="19176">
      <c r="A19176" s="48" t="s">
        <v>4375</v>
      </c>
      <c r="B19176" s="38">
        <v>27286.0</v>
      </c>
      <c r="C19176" s="38" t="s">
        <v>23656</v>
      </c>
      <c r="D19176" s="38" t="str">
        <f>IFERROR(__xludf.DUMMYFUNCTION("REGEXREPLACE(C19176,""-\d+(.*)|--\d+(.*)"","""")"),"GIVERVILLE")</f>
        <v>GIVERVILLE</v>
      </c>
      <c r="E19176" s="38" t="s">
        <v>241</v>
      </c>
      <c r="F19176" s="38" t="s">
        <v>134</v>
      </c>
      <c r="G19176" s="49" t="str">
        <f t="shared" si="1"/>
        <v>27560</v>
      </c>
      <c r="H19176" s="49">
        <f t="shared" si="2"/>
        <v>27286</v>
      </c>
    </row>
    <row r="19177">
      <c r="A19177" s="48" t="s">
        <v>2740</v>
      </c>
      <c r="B19177" s="38">
        <v>46247.0</v>
      </c>
      <c r="C19177" s="38" t="s">
        <v>6703</v>
      </c>
      <c r="D19177" s="38" t="str">
        <f>IFERROR(__xludf.DUMMYFUNCTION("REGEXREPLACE(C19177,""-\d+(.*)|--\d+(.*)"","""")"),"SAILLAC")</f>
        <v>SAILLAC</v>
      </c>
      <c r="E19177" s="38" t="s">
        <v>185</v>
      </c>
      <c r="F19177" s="38" t="s">
        <v>94</v>
      </c>
      <c r="G19177" s="49" t="str">
        <f t="shared" si="1"/>
        <v>46260</v>
      </c>
      <c r="H19177" s="49">
        <f t="shared" si="2"/>
        <v>46247</v>
      </c>
    </row>
    <row r="19178">
      <c r="A19178" s="48" t="s">
        <v>14727</v>
      </c>
      <c r="B19178" s="38">
        <v>87001.0</v>
      </c>
      <c r="C19178" s="38" t="s">
        <v>23657</v>
      </c>
      <c r="D19178" s="38" t="str">
        <f>IFERROR(__xludf.DUMMYFUNCTION("REGEXREPLACE(C19178,""-\d+(.*)|--\d+(.*)"","""")"),"AIXE-SUR-VIENNE")</f>
        <v>AIXE-SUR-VIENNE</v>
      </c>
      <c r="E19178" s="38" t="s">
        <v>897</v>
      </c>
      <c r="F19178" s="38" t="s">
        <v>98</v>
      </c>
      <c r="G19178" s="49" t="str">
        <f t="shared" si="1"/>
        <v>87700</v>
      </c>
      <c r="H19178" s="49">
        <f t="shared" si="2"/>
        <v>87001</v>
      </c>
    </row>
    <row r="19179">
      <c r="A19179" s="48" t="s">
        <v>3102</v>
      </c>
      <c r="B19179" s="38">
        <v>55196.0</v>
      </c>
      <c r="C19179" s="38" t="s">
        <v>23658</v>
      </c>
      <c r="D19179" s="38" t="str">
        <f>IFERROR(__xludf.DUMMYFUNCTION("REGEXREPLACE(C19179,""-\d+(.*)|--\d+(.*)"","""")"),"FREMEREVILLE-SOUS-LES-COTES")</f>
        <v>FREMEREVILLE-SOUS-LES-COTES</v>
      </c>
      <c r="E19179" s="38" t="s">
        <v>322</v>
      </c>
      <c r="F19179" s="38" t="s">
        <v>195</v>
      </c>
      <c r="G19179" s="49" t="str">
        <f t="shared" si="1"/>
        <v>55200</v>
      </c>
      <c r="H19179" s="49">
        <f t="shared" si="2"/>
        <v>55196</v>
      </c>
    </row>
    <row r="19180">
      <c r="A19180" s="48" t="s">
        <v>8994</v>
      </c>
      <c r="B19180" s="38">
        <v>67506.0</v>
      </c>
      <c r="C19180" s="38" t="s">
        <v>23659</v>
      </c>
      <c r="D19180" s="38" t="str">
        <f>IFERROR(__xludf.DUMMYFUNCTION("REGEXREPLACE(C19180,""-\d+(.*)|--\d+(.*)"","""")"),"VENDENHEIM")</f>
        <v>VENDENHEIM</v>
      </c>
      <c r="E19180" s="38" t="s">
        <v>210</v>
      </c>
      <c r="F19180" s="38" t="s">
        <v>151</v>
      </c>
      <c r="G19180" s="49" t="str">
        <f t="shared" si="1"/>
        <v>67550</v>
      </c>
      <c r="H19180" s="49">
        <f t="shared" si="2"/>
        <v>67506</v>
      </c>
    </row>
    <row r="19181">
      <c r="A19181" s="48" t="s">
        <v>423</v>
      </c>
      <c r="B19181" s="38">
        <v>2729.0</v>
      </c>
      <c r="C19181" s="38" t="s">
        <v>23660</v>
      </c>
      <c r="D19181" s="38" t="str">
        <f>IFERROR(__xludf.DUMMYFUNCTION("REGEXREPLACE(C19181,""-\d+(.*)|--\d+(.*)"","""")"),"SOUCY")</f>
        <v>SOUCY</v>
      </c>
      <c r="E19181" s="38" t="s">
        <v>191</v>
      </c>
      <c r="F19181" s="38" t="s">
        <v>113</v>
      </c>
      <c r="G19181" s="49" t="str">
        <f t="shared" si="1"/>
        <v>02600</v>
      </c>
      <c r="H19181" s="49" t="str">
        <f t="shared" si="2"/>
        <v>02729</v>
      </c>
    </row>
    <row r="19182">
      <c r="A19182" s="48" t="s">
        <v>6542</v>
      </c>
      <c r="B19182" s="38">
        <v>40121.0</v>
      </c>
      <c r="C19182" s="38" t="s">
        <v>23661</v>
      </c>
      <c r="D19182" s="38" t="str">
        <f>IFERROR(__xludf.DUMMYFUNCTION("REGEXREPLACE(C19182,""-\d+(.*)|--\d+(.*)"","""")"),"HAURIET")</f>
        <v>HAURIET</v>
      </c>
      <c r="E19182" s="38" t="s">
        <v>281</v>
      </c>
      <c r="F19182" s="38" t="s">
        <v>252</v>
      </c>
      <c r="G19182" s="49" t="str">
        <f t="shared" si="1"/>
        <v>40250</v>
      </c>
      <c r="H19182" s="49">
        <f t="shared" si="2"/>
        <v>40121</v>
      </c>
    </row>
    <row r="19183">
      <c r="A19183" s="48" t="s">
        <v>1827</v>
      </c>
      <c r="B19183" s="38">
        <v>77444.0</v>
      </c>
      <c r="C19183" s="38" t="s">
        <v>23662</v>
      </c>
      <c r="D19183" s="38" t="str">
        <f>IFERROR(__xludf.DUMMYFUNCTION("REGEXREPLACE(C19183,""-\d+(.*)|--\d+(.*)"","""")"),"SANCY-LES-PROVINS")</f>
        <v>SANCY-LES-PROVINS</v>
      </c>
      <c r="E19183" s="38" t="s">
        <v>244</v>
      </c>
      <c r="F19183" s="38" t="s">
        <v>245</v>
      </c>
      <c r="G19183" s="49" t="str">
        <f t="shared" si="1"/>
        <v>77320</v>
      </c>
      <c r="H19183" s="49">
        <f t="shared" si="2"/>
        <v>77444</v>
      </c>
    </row>
    <row r="19184">
      <c r="A19184" s="48" t="s">
        <v>9991</v>
      </c>
      <c r="B19184" s="38">
        <v>9053.0</v>
      </c>
      <c r="C19184" s="38" t="s">
        <v>23663</v>
      </c>
      <c r="D19184" s="38" t="str">
        <f>IFERROR(__xludf.DUMMYFUNCTION("REGEXREPLACE(C19184,""-\d+(.*)|--\d+(.*)"","""")"),"BESTIAC")</f>
        <v>BESTIAC</v>
      </c>
      <c r="E19184" s="38" t="s">
        <v>238</v>
      </c>
      <c r="F19184" s="38" t="s">
        <v>94</v>
      </c>
      <c r="G19184" s="49" t="str">
        <f t="shared" si="1"/>
        <v>09250</v>
      </c>
      <c r="H19184" s="49" t="str">
        <f t="shared" si="2"/>
        <v>09053</v>
      </c>
    </row>
    <row r="19185">
      <c r="A19185" s="48" t="s">
        <v>1197</v>
      </c>
      <c r="B19185" s="38">
        <v>73083.0</v>
      </c>
      <c r="C19185" s="38" t="s">
        <v>23664</v>
      </c>
      <c r="D19185" s="38" t="str">
        <f>IFERROR(__xludf.DUMMYFUNCTION("REGEXREPLACE(C19185,""-\d+(.*)|--\d+(.*)"","""")"),"LES CHAVANNES-EN-MAURIENNE")</f>
        <v>LES CHAVANNES-EN-MAURIENNE</v>
      </c>
      <c r="E19185" s="38" t="s">
        <v>306</v>
      </c>
      <c r="F19185" s="38" t="s">
        <v>102</v>
      </c>
      <c r="G19185" s="49" t="str">
        <f t="shared" si="1"/>
        <v>73660</v>
      </c>
      <c r="H19185" s="49">
        <f t="shared" si="2"/>
        <v>73083</v>
      </c>
    </row>
    <row r="19186">
      <c r="A19186" s="48" t="s">
        <v>23665</v>
      </c>
      <c r="B19186" s="38">
        <v>65350.0</v>
      </c>
      <c r="C19186" s="38" t="s">
        <v>23666</v>
      </c>
      <c r="D19186" s="38" t="str">
        <f>IFERROR(__xludf.DUMMYFUNCTION("REGEXREPLACE(C19186,""-\d+(.*)|--\d+(.*)"","""")"),"OURSBELILLE")</f>
        <v>OURSBELILLE</v>
      </c>
      <c r="E19186" s="38" t="s">
        <v>200</v>
      </c>
      <c r="F19186" s="38" t="s">
        <v>94</v>
      </c>
      <c r="G19186" s="49" t="str">
        <f t="shared" si="1"/>
        <v>65490</v>
      </c>
      <c r="H19186" s="49">
        <f t="shared" si="2"/>
        <v>65350</v>
      </c>
    </row>
    <row r="19187">
      <c r="A19187" s="48" t="s">
        <v>3550</v>
      </c>
      <c r="B19187" s="38">
        <v>79137.0</v>
      </c>
      <c r="C19187" s="38" t="s">
        <v>23667</v>
      </c>
      <c r="D19187" s="38" t="str">
        <f>IFERROR(__xludf.DUMMYFUNCTION("REGEXREPLACE(C19187,""-\d+(.*)|--\d+(.*)"","""")"),"GRANZAY-GRIPT")</f>
        <v>GRANZAY-GRIPT</v>
      </c>
      <c r="E19187" s="38" t="s">
        <v>337</v>
      </c>
      <c r="F19187" s="38" t="s">
        <v>338</v>
      </c>
      <c r="G19187" s="49" t="str">
        <f t="shared" si="1"/>
        <v>79360</v>
      </c>
      <c r="H19187" s="49">
        <f t="shared" si="2"/>
        <v>79137</v>
      </c>
    </row>
    <row r="19188">
      <c r="A19188" s="48" t="s">
        <v>593</v>
      </c>
      <c r="B19188" s="38">
        <v>29033.0</v>
      </c>
      <c r="C19188" s="38" t="s">
        <v>23668</v>
      </c>
      <c r="D19188" s="38" t="str">
        <f>IFERROR(__xludf.DUMMYFUNCTION("REGEXREPLACE(C19188,""-\d+(.*)|--\d+(.*)"","""")"),"LE CLOITRE-PLEYBEN")</f>
        <v>LE CLOITRE-PLEYBEN</v>
      </c>
      <c r="E19188" s="38" t="s">
        <v>176</v>
      </c>
      <c r="F19188" s="38" t="s">
        <v>90</v>
      </c>
      <c r="G19188" s="49" t="str">
        <f t="shared" si="1"/>
        <v>29190</v>
      </c>
      <c r="H19188" s="49">
        <f t="shared" si="2"/>
        <v>29033</v>
      </c>
    </row>
    <row r="19189">
      <c r="A19189" s="48" t="s">
        <v>4929</v>
      </c>
      <c r="B19189" s="38">
        <v>12069.0</v>
      </c>
      <c r="C19189" s="38" t="s">
        <v>23669</v>
      </c>
      <c r="D19189" s="38" t="str">
        <f>IFERROR(__xludf.DUMMYFUNCTION("REGEXREPLACE(C19189,""-\d+(.*)|--\d+(.*)"","""")"),"COMBRET")</f>
        <v>COMBRET</v>
      </c>
      <c r="E19189" s="38" t="s">
        <v>465</v>
      </c>
      <c r="F19189" s="38" t="s">
        <v>94</v>
      </c>
      <c r="G19189" s="49" t="str">
        <f t="shared" si="1"/>
        <v>12370</v>
      </c>
      <c r="H19189" s="49">
        <f t="shared" si="2"/>
        <v>12069</v>
      </c>
    </row>
    <row r="19190">
      <c r="A19190" s="48" t="s">
        <v>2338</v>
      </c>
      <c r="B19190" s="38">
        <v>8171.0</v>
      </c>
      <c r="C19190" s="38" t="s">
        <v>23670</v>
      </c>
      <c r="D19190" s="38" t="str">
        <f>IFERROR(__xludf.DUMMYFUNCTION("REGEXREPLACE(C19190,""-\d+(.*)|--\d+(.*)"","""")"),"FLEVILLE")</f>
        <v>FLEVILLE</v>
      </c>
      <c r="E19190" s="38" t="s">
        <v>327</v>
      </c>
      <c r="F19190" s="38" t="s">
        <v>130</v>
      </c>
      <c r="G19190" s="49" t="str">
        <f t="shared" si="1"/>
        <v>08250</v>
      </c>
      <c r="H19190" s="49" t="str">
        <f t="shared" si="2"/>
        <v>08171</v>
      </c>
    </row>
    <row r="19191">
      <c r="A19191" s="48" t="s">
        <v>3208</v>
      </c>
      <c r="B19191" s="38">
        <v>80144.0</v>
      </c>
      <c r="C19191" s="38" t="s">
        <v>23671</v>
      </c>
      <c r="D19191" s="38" t="str">
        <f>IFERROR(__xludf.DUMMYFUNCTION("REGEXREPLACE(C19191,""-\d+(.*)|--\d+(.*)"","""")"),"BROUCHY")</f>
        <v>BROUCHY</v>
      </c>
      <c r="E19191" s="38" t="s">
        <v>224</v>
      </c>
      <c r="F19191" s="38" t="s">
        <v>113</v>
      </c>
      <c r="G19191" s="49" t="str">
        <f t="shared" si="1"/>
        <v>80400</v>
      </c>
      <c r="H19191" s="49">
        <f t="shared" si="2"/>
        <v>80144</v>
      </c>
    </row>
    <row r="19192">
      <c r="A19192" s="48" t="s">
        <v>21709</v>
      </c>
      <c r="B19192" s="38">
        <v>35145.0</v>
      </c>
      <c r="C19192" s="38" t="s">
        <v>12708</v>
      </c>
      <c r="D19192" s="38" t="str">
        <f>IFERROR(__xludf.DUMMYFUNCTION("REGEXREPLACE(C19192,""-\d+(.*)|--\d+(.*)"","""")"),"LANGON")</f>
        <v>LANGON</v>
      </c>
      <c r="E19192" s="38" t="s">
        <v>347</v>
      </c>
      <c r="F19192" s="38" t="s">
        <v>90</v>
      </c>
      <c r="G19192" s="49" t="str">
        <f t="shared" si="1"/>
        <v>35660</v>
      </c>
      <c r="H19192" s="49">
        <f t="shared" si="2"/>
        <v>35145</v>
      </c>
    </row>
    <row r="19193">
      <c r="A19193" s="48" t="s">
        <v>9091</v>
      </c>
      <c r="B19193" s="38">
        <v>46178.0</v>
      </c>
      <c r="C19193" s="38" t="s">
        <v>23672</v>
      </c>
      <c r="D19193" s="38" t="str">
        <f>IFERROR(__xludf.DUMMYFUNCTION("REGEXREPLACE(C19193,""-\d+(.*)|--\d+(.*)"","""")"),"LOUPIAC")</f>
        <v>LOUPIAC</v>
      </c>
      <c r="E19193" s="38" t="s">
        <v>185</v>
      </c>
      <c r="F19193" s="38" t="s">
        <v>94</v>
      </c>
      <c r="G19193" s="49" t="str">
        <f t="shared" si="1"/>
        <v>46350</v>
      </c>
      <c r="H19193" s="49">
        <f t="shared" si="2"/>
        <v>46178</v>
      </c>
    </row>
    <row r="19194">
      <c r="A19194" s="48" t="s">
        <v>2937</v>
      </c>
      <c r="B19194" s="38">
        <v>73215.0</v>
      </c>
      <c r="C19194" s="38" t="s">
        <v>4674</v>
      </c>
      <c r="D19194" s="38" t="str">
        <f>IFERROR(__xludf.DUMMYFUNCTION("REGEXREPLACE(C19194,""-\d+(.*)|--\d+(.*)"","""")"),"LA ROCHETTE")</f>
        <v>LA ROCHETTE</v>
      </c>
      <c r="E19194" s="38" t="s">
        <v>306</v>
      </c>
      <c r="F19194" s="38" t="s">
        <v>102</v>
      </c>
      <c r="G19194" s="49" t="str">
        <f t="shared" si="1"/>
        <v>73110</v>
      </c>
      <c r="H19194" s="49">
        <f t="shared" si="2"/>
        <v>73215</v>
      </c>
    </row>
    <row r="19195">
      <c r="A19195" s="48" t="s">
        <v>9028</v>
      </c>
      <c r="B19195" s="38">
        <v>65104.0</v>
      </c>
      <c r="C19195" s="38" t="s">
        <v>23673</v>
      </c>
      <c r="D19195" s="38" t="str">
        <f>IFERROR(__xludf.DUMMYFUNCTION("REGEXREPLACE(C19195,""-\d+(.*)|--\d+(.*)"","""")"),"BOULIN")</f>
        <v>BOULIN</v>
      </c>
      <c r="E19195" s="38" t="s">
        <v>200</v>
      </c>
      <c r="F19195" s="38" t="s">
        <v>94</v>
      </c>
      <c r="G19195" s="49" t="str">
        <f t="shared" si="1"/>
        <v>65350</v>
      </c>
      <c r="H19195" s="49">
        <f t="shared" si="2"/>
        <v>65104</v>
      </c>
    </row>
    <row r="19196">
      <c r="A19196" s="48" t="s">
        <v>476</v>
      </c>
      <c r="B19196" s="38">
        <v>35078.0</v>
      </c>
      <c r="C19196" s="38" t="s">
        <v>23674</v>
      </c>
      <c r="D19196" s="38" t="str">
        <f>IFERROR(__xludf.DUMMYFUNCTION("REGEXREPLACE(C19196,""-\d+(.*)|--\d+(.*)"","""")"),"CHERRUEIX")</f>
        <v>CHERRUEIX</v>
      </c>
      <c r="E19196" s="38" t="s">
        <v>347</v>
      </c>
      <c r="F19196" s="38" t="s">
        <v>90</v>
      </c>
      <c r="G19196" s="49" t="str">
        <f t="shared" si="1"/>
        <v>35120</v>
      </c>
      <c r="H19196" s="49">
        <f t="shared" si="2"/>
        <v>35078</v>
      </c>
    </row>
    <row r="19197">
      <c r="A19197" s="48" t="s">
        <v>13129</v>
      </c>
      <c r="B19197" s="38">
        <v>24338.0</v>
      </c>
      <c r="C19197" s="38" t="s">
        <v>23675</v>
      </c>
      <c r="D19197" s="38" t="str">
        <f>IFERROR(__xludf.DUMMYFUNCTION("REGEXREPLACE(C19197,""-\d+(.*)|--\d+(.*)"","""")"),"PRESSIGNAC-VICQ")</f>
        <v>PRESSIGNAC-VICQ</v>
      </c>
      <c r="E19197" s="38" t="s">
        <v>261</v>
      </c>
      <c r="F19197" s="38" t="s">
        <v>252</v>
      </c>
      <c r="G19197" s="49" t="str">
        <f t="shared" si="1"/>
        <v>24150</v>
      </c>
      <c r="H19197" s="49">
        <f t="shared" si="2"/>
        <v>24338</v>
      </c>
    </row>
    <row r="19198">
      <c r="A19198" s="48" t="s">
        <v>23676</v>
      </c>
      <c r="B19198" s="38">
        <v>13212.0</v>
      </c>
      <c r="C19198" s="38" t="s">
        <v>23677</v>
      </c>
      <c r="D19198" s="38" t="str">
        <f>IFERROR(__xludf.DUMMYFUNCTION("REGEXREPLACE(C19198,""-\d+(.*)|--\d+(.*)"","""")"),"MARSEILLE")</f>
        <v>MARSEILLE</v>
      </c>
      <c r="E19198" s="38" t="s">
        <v>980</v>
      </c>
      <c r="F19198" s="38" t="s">
        <v>228</v>
      </c>
      <c r="G19198" s="49" t="str">
        <f t="shared" si="1"/>
        <v>13012</v>
      </c>
      <c r="H19198" s="49">
        <f t="shared" si="2"/>
        <v>13212</v>
      </c>
    </row>
    <row r="19199">
      <c r="A19199" s="48" t="s">
        <v>19737</v>
      </c>
      <c r="B19199" s="38">
        <v>24135.0</v>
      </c>
      <c r="C19199" s="38" t="s">
        <v>23678</v>
      </c>
      <c r="D19199" s="38" t="str">
        <f>IFERROR(__xludf.DUMMYFUNCTION("REGEXREPLACE(C19199,""-\d+(.*)|--\d+(.*)"","""")"),"CORNILLE")</f>
        <v>CORNILLE</v>
      </c>
      <c r="E19199" s="38" t="s">
        <v>261</v>
      </c>
      <c r="F19199" s="38" t="s">
        <v>252</v>
      </c>
      <c r="G19199" s="49" t="str">
        <f t="shared" si="1"/>
        <v>24750</v>
      </c>
      <c r="H19199" s="49">
        <f t="shared" si="2"/>
        <v>24135</v>
      </c>
    </row>
    <row r="19200">
      <c r="A19200" s="48" t="s">
        <v>1422</v>
      </c>
      <c r="B19200" s="38">
        <v>14608.0</v>
      </c>
      <c r="C19200" s="38" t="s">
        <v>23679</v>
      </c>
      <c r="D19200" s="38" t="str">
        <f>IFERROR(__xludf.DUMMYFUNCTION("REGEXREPLACE(C19200,""-\d+(.*)|--\d+(.*)"","""")"),"SAINT-LOUP-DE-FRIBOIS")</f>
        <v>SAINT-LOUP-DE-FRIBOIS</v>
      </c>
      <c r="E19200" s="38" t="s">
        <v>137</v>
      </c>
      <c r="F19200" s="38" t="s">
        <v>138</v>
      </c>
      <c r="G19200" s="49" t="str">
        <f t="shared" si="1"/>
        <v>14340</v>
      </c>
      <c r="H19200" s="49">
        <f t="shared" si="2"/>
        <v>14608</v>
      </c>
    </row>
    <row r="19201">
      <c r="A19201" s="48" t="s">
        <v>7052</v>
      </c>
      <c r="B19201" s="38">
        <v>10348.0</v>
      </c>
      <c r="C19201" s="38" t="s">
        <v>23680</v>
      </c>
      <c r="D19201" s="38" t="str">
        <f>IFERROR(__xludf.DUMMYFUNCTION("REGEXREPLACE(C19201,""-\d+(.*)|--\d+(.*)"","""")"),"SAINT-LUPIEN")</f>
        <v>SAINT-LUPIEN</v>
      </c>
      <c r="E19201" s="38" t="s">
        <v>147</v>
      </c>
      <c r="F19201" s="38" t="s">
        <v>130</v>
      </c>
      <c r="G19201" s="49" t="str">
        <f t="shared" si="1"/>
        <v>10350</v>
      </c>
      <c r="H19201" s="49">
        <f t="shared" si="2"/>
        <v>10348</v>
      </c>
    </row>
    <row r="19202">
      <c r="A19202" s="48" t="s">
        <v>9026</v>
      </c>
      <c r="B19202" s="38">
        <v>21074.0</v>
      </c>
      <c r="C19202" s="38" t="s">
        <v>23681</v>
      </c>
      <c r="D19202" s="38" t="str">
        <f>IFERROR(__xludf.DUMMYFUNCTION("REGEXREPLACE(C19202,""-\d+(.*)|--\d+(.*)"","""")"),"BILLEY")</f>
        <v>BILLEY</v>
      </c>
      <c r="E19202" s="38" t="s">
        <v>105</v>
      </c>
      <c r="F19202" s="38" t="s">
        <v>106</v>
      </c>
      <c r="G19202" s="49" t="str">
        <f t="shared" si="1"/>
        <v>21130</v>
      </c>
      <c r="H19202" s="49">
        <f t="shared" si="2"/>
        <v>21074</v>
      </c>
    </row>
    <row r="19203">
      <c r="A19203" s="48" t="s">
        <v>1787</v>
      </c>
      <c r="B19203" s="38">
        <v>62760.0</v>
      </c>
      <c r="C19203" s="38" t="s">
        <v>23682</v>
      </c>
      <c r="D19203" s="38" t="str">
        <f>IFERROR(__xludf.DUMMYFUNCTION("REGEXREPLACE(C19203,""-\d+(.*)|--\d+(.*)"","""")"),"SAINT-MARTIN-D'HARDINGHEM")</f>
        <v>SAINT-MARTIN-D'HARDINGHEM</v>
      </c>
      <c r="E19203" s="38" t="s">
        <v>109</v>
      </c>
      <c r="F19203" s="38" t="s">
        <v>86</v>
      </c>
      <c r="G19203" s="49" t="str">
        <f t="shared" si="1"/>
        <v>62560</v>
      </c>
      <c r="H19203" s="49">
        <f t="shared" si="2"/>
        <v>62760</v>
      </c>
    </row>
    <row r="19204">
      <c r="A19204" s="48" t="s">
        <v>2324</v>
      </c>
      <c r="B19204" s="38">
        <v>27067.0</v>
      </c>
      <c r="C19204" s="38" t="s">
        <v>23683</v>
      </c>
      <c r="D19204" s="38" t="str">
        <f>IFERROR(__xludf.DUMMYFUNCTION("REGEXREPLACE(C19204,""-\d+(.*)|--\d+(.*)"","""")"),"BEZU-SAINT-ELOI")</f>
        <v>BEZU-SAINT-ELOI</v>
      </c>
      <c r="E19204" s="38" t="s">
        <v>241</v>
      </c>
      <c r="F19204" s="38" t="s">
        <v>134</v>
      </c>
      <c r="G19204" s="49" t="str">
        <f t="shared" si="1"/>
        <v>27660</v>
      </c>
      <c r="H19204" s="49">
        <f t="shared" si="2"/>
        <v>27067</v>
      </c>
    </row>
    <row r="19205">
      <c r="A19205" s="48" t="s">
        <v>480</v>
      </c>
      <c r="B19205" s="38">
        <v>3181.0</v>
      </c>
      <c r="C19205" s="38" t="s">
        <v>23684</v>
      </c>
      <c r="D19205" s="38" t="str">
        <f>IFERROR(__xludf.DUMMYFUNCTION("REGEXREPLACE(C19205,""-\d+(.*)|--\d+(.*)"","""")"),"MONTCOMBROUX-LES-MINES")</f>
        <v>MONTCOMBROUX-LES-MINES</v>
      </c>
      <c r="E19205" s="38" t="s">
        <v>160</v>
      </c>
      <c r="F19205" s="38" t="s">
        <v>161</v>
      </c>
      <c r="G19205" s="49" t="str">
        <f t="shared" si="1"/>
        <v>03130</v>
      </c>
      <c r="H19205" s="49" t="str">
        <f t="shared" si="2"/>
        <v>03181</v>
      </c>
    </row>
    <row r="19206">
      <c r="A19206" s="48" t="s">
        <v>1938</v>
      </c>
      <c r="B19206" s="38">
        <v>55498.0</v>
      </c>
      <c r="C19206" s="38" t="s">
        <v>23685</v>
      </c>
      <c r="D19206" s="38" t="str">
        <f>IFERROR(__xludf.DUMMYFUNCTION("REGEXREPLACE(C19206,""-\d+(.*)|--\d+(.*)"","""")"),"SOUILLY")</f>
        <v>SOUILLY</v>
      </c>
      <c r="E19206" s="38" t="s">
        <v>322</v>
      </c>
      <c r="F19206" s="38" t="s">
        <v>195</v>
      </c>
      <c r="G19206" s="49" t="str">
        <f t="shared" si="1"/>
        <v>55220</v>
      </c>
      <c r="H19206" s="49">
        <f t="shared" si="2"/>
        <v>55498</v>
      </c>
    </row>
    <row r="19207">
      <c r="A19207" s="48" t="s">
        <v>19664</v>
      </c>
      <c r="B19207" s="38">
        <v>57713.0</v>
      </c>
      <c r="C19207" s="38" t="s">
        <v>23686</v>
      </c>
      <c r="D19207" s="38" t="str">
        <f>IFERROR(__xludf.DUMMYFUNCTION("REGEXREPLACE(C19207,""-\d+(.*)|--\d+(.*)"","""")"),"VIEUX-LIXHEIM")</f>
        <v>VIEUX-LIXHEIM</v>
      </c>
      <c r="E19207" s="38" t="s">
        <v>303</v>
      </c>
      <c r="F19207" s="38" t="s">
        <v>195</v>
      </c>
      <c r="G19207" s="49" t="str">
        <f t="shared" si="1"/>
        <v>57635</v>
      </c>
      <c r="H19207" s="49">
        <f t="shared" si="2"/>
        <v>57713</v>
      </c>
    </row>
    <row r="19208">
      <c r="A19208" s="48" t="s">
        <v>4422</v>
      </c>
      <c r="B19208" s="38">
        <v>59201.0</v>
      </c>
      <c r="C19208" s="38" t="s">
        <v>23687</v>
      </c>
      <c r="D19208" s="38" t="str">
        <f>IFERROR(__xludf.DUMMYFUNCTION("REGEXREPLACE(C19208,""-\d+(.*)|--\d+(.*)"","""")"),"ERQUINGHEM-LE-SEC")</f>
        <v>ERQUINGHEM-LE-SEC</v>
      </c>
      <c r="E19208" s="38" t="s">
        <v>85</v>
      </c>
      <c r="F19208" s="38" t="s">
        <v>86</v>
      </c>
      <c r="G19208" s="49" t="str">
        <f t="shared" si="1"/>
        <v>59320</v>
      </c>
      <c r="H19208" s="49">
        <f t="shared" si="2"/>
        <v>59201</v>
      </c>
    </row>
    <row r="19209">
      <c r="A19209" s="48" t="s">
        <v>23688</v>
      </c>
      <c r="B19209" s="38">
        <v>94001.0</v>
      </c>
      <c r="C19209" s="38" t="s">
        <v>23689</v>
      </c>
      <c r="D19209" s="38" t="str">
        <f>IFERROR(__xludf.DUMMYFUNCTION("REGEXREPLACE(C19209,""-\d+(.*)|--\d+(.*)"","""")"),"ABLON-SUR-SEINE")</f>
        <v>ABLON-SUR-SEINE</v>
      </c>
      <c r="E19209" s="38" t="s">
        <v>561</v>
      </c>
      <c r="F19209" s="38" t="s">
        <v>245</v>
      </c>
      <c r="G19209" s="49" t="str">
        <f t="shared" si="1"/>
        <v>94480</v>
      </c>
      <c r="H19209" s="49">
        <f t="shared" si="2"/>
        <v>94001</v>
      </c>
    </row>
    <row r="19210">
      <c r="A19210" s="48" t="s">
        <v>7639</v>
      </c>
      <c r="B19210" s="38">
        <v>11002.0</v>
      </c>
      <c r="C19210" s="38" t="s">
        <v>23690</v>
      </c>
      <c r="D19210" s="38" t="str">
        <f>IFERROR(__xludf.DUMMYFUNCTION("REGEXREPLACE(C19210,""-\d+(.*)|--\d+(.*)"","""")"),"AIROUX")</f>
        <v>AIROUX</v>
      </c>
      <c r="E19210" s="38" t="s">
        <v>278</v>
      </c>
      <c r="F19210" s="38" t="s">
        <v>119</v>
      </c>
      <c r="G19210" s="49" t="str">
        <f t="shared" si="1"/>
        <v>11320</v>
      </c>
      <c r="H19210" s="49">
        <f t="shared" si="2"/>
        <v>11002</v>
      </c>
    </row>
    <row r="19211">
      <c r="A19211" s="48" t="s">
        <v>7080</v>
      </c>
      <c r="B19211" s="38">
        <v>86083.0</v>
      </c>
      <c r="C19211" s="38" t="s">
        <v>23691</v>
      </c>
      <c r="D19211" s="38" t="str">
        <f>IFERROR(__xludf.DUMMYFUNCTION("REGEXREPLACE(C19211,""-\d+(.*)|--\d+(.*)"","""")"),"COULOMBIERS")</f>
        <v>COULOMBIERS</v>
      </c>
      <c r="E19211" s="38" t="s">
        <v>529</v>
      </c>
      <c r="F19211" s="38" t="s">
        <v>338</v>
      </c>
      <c r="G19211" s="49" t="str">
        <f t="shared" si="1"/>
        <v>86600</v>
      </c>
      <c r="H19211" s="49">
        <f t="shared" si="2"/>
        <v>86083</v>
      </c>
    </row>
    <row r="19212">
      <c r="A19212" s="48" t="s">
        <v>3747</v>
      </c>
      <c r="B19212" s="38">
        <v>52546.0</v>
      </c>
      <c r="C19212" s="38" t="s">
        <v>23692</v>
      </c>
      <c r="D19212" s="38" t="str">
        <f>IFERROR(__xludf.DUMMYFUNCTION("REGEXREPLACE(C19212,""-\d+(.*)|--\d+(.*)"","""")"),"VONCOURT")</f>
        <v>VONCOURT</v>
      </c>
      <c r="E19212" s="38" t="s">
        <v>234</v>
      </c>
      <c r="F19212" s="38" t="s">
        <v>130</v>
      </c>
      <c r="G19212" s="49" t="str">
        <f t="shared" si="1"/>
        <v>52500</v>
      </c>
      <c r="H19212" s="49">
        <f t="shared" si="2"/>
        <v>52546</v>
      </c>
    </row>
    <row r="19213">
      <c r="A19213" s="48" t="s">
        <v>2292</v>
      </c>
      <c r="B19213" s="38">
        <v>76547.0</v>
      </c>
      <c r="C19213" s="38" t="s">
        <v>23693</v>
      </c>
      <c r="D19213" s="38" t="str">
        <f>IFERROR(__xludf.DUMMYFUNCTION("REGEXREPLACE(C19213,""-\d+(.*)|--\d+(.*)"","""")"),"LA RUE-SAINT-PIERRE")</f>
        <v>LA RUE-SAINT-PIERRE</v>
      </c>
      <c r="E19213" s="38" t="s">
        <v>133</v>
      </c>
      <c r="F19213" s="38" t="s">
        <v>134</v>
      </c>
      <c r="G19213" s="49" t="str">
        <f t="shared" si="1"/>
        <v>76690</v>
      </c>
      <c r="H19213" s="49">
        <f t="shared" si="2"/>
        <v>76547</v>
      </c>
    </row>
    <row r="19214">
      <c r="A19214" s="48" t="s">
        <v>2156</v>
      </c>
      <c r="B19214" s="38">
        <v>26220.0</v>
      </c>
      <c r="C19214" s="38" t="s">
        <v>23694</v>
      </c>
      <c r="D19214" s="38" t="str">
        <f>IFERROR(__xludf.DUMMYFUNCTION("REGEXREPLACE(C19214,""-\d+(.*)|--\d+(.*)"","""")"),"NYONS")</f>
        <v>NYONS</v>
      </c>
      <c r="E19214" s="38" t="s">
        <v>126</v>
      </c>
      <c r="F19214" s="38" t="s">
        <v>102</v>
      </c>
      <c r="G19214" s="49" t="str">
        <f t="shared" si="1"/>
        <v>26110</v>
      </c>
      <c r="H19214" s="49">
        <f t="shared" si="2"/>
        <v>26220</v>
      </c>
    </row>
    <row r="19215">
      <c r="A19215" s="48" t="s">
        <v>5195</v>
      </c>
      <c r="B19215" s="38">
        <v>47217.0</v>
      </c>
      <c r="C19215" s="38" t="s">
        <v>23695</v>
      </c>
      <c r="D19215" s="38" t="str">
        <f>IFERROR(__xludf.DUMMYFUNCTION("REGEXREPLACE(C19215,""-\d+(.*)|--\d+(.*)"","""")"),"PUYMIROL")</f>
        <v>PUYMIROL</v>
      </c>
      <c r="E19215" s="38" t="s">
        <v>251</v>
      </c>
      <c r="F19215" s="38" t="s">
        <v>252</v>
      </c>
      <c r="G19215" s="49" t="str">
        <f t="shared" si="1"/>
        <v>47270</v>
      </c>
      <c r="H19215" s="49">
        <f t="shared" si="2"/>
        <v>47217</v>
      </c>
    </row>
    <row r="19216">
      <c r="A19216" s="48" t="s">
        <v>6572</v>
      </c>
      <c r="B19216" s="38">
        <v>31538.0</v>
      </c>
      <c r="C19216" s="38" t="s">
        <v>23696</v>
      </c>
      <c r="D19216" s="38" t="str">
        <f>IFERROR(__xludf.DUMMYFUNCTION("REGEXREPLACE(C19216,""-\d+(.*)|--\d+(.*)"","""")"),"SAVERES")</f>
        <v>SAVERES</v>
      </c>
      <c r="E19216" s="38" t="s">
        <v>93</v>
      </c>
      <c r="F19216" s="38" t="s">
        <v>94</v>
      </c>
      <c r="G19216" s="49" t="str">
        <f t="shared" si="1"/>
        <v>31370</v>
      </c>
      <c r="H19216" s="49">
        <f t="shared" si="2"/>
        <v>31538</v>
      </c>
    </row>
    <row r="19217">
      <c r="A19217" s="48" t="s">
        <v>5743</v>
      </c>
      <c r="B19217" s="38">
        <v>52025.0</v>
      </c>
      <c r="C19217" s="38" t="s">
        <v>23697</v>
      </c>
      <c r="D19217" s="38" t="str">
        <f>IFERROR(__xludf.DUMMYFUNCTION("REGEXREPLACE(C19217,""-\d+(.*)|--\d+(.*)"","""")"),"AUDELONCOURT")</f>
        <v>AUDELONCOURT</v>
      </c>
      <c r="E19217" s="38" t="s">
        <v>234</v>
      </c>
      <c r="F19217" s="38" t="s">
        <v>130</v>
      </c>
      <c r="G19217" s="49" t="str">
        <f t="shared" si="1"/>
        <v>52240</v>
      </c>
      <c r="H19217" s="49">
        <f t="shared" si="2"/>
        <v>52025</v>
      </c>
    </row>
    <row r="19218">
      <c r="A19218" s="48" t="s">
        <v>3161</v>
      </c>
      <c r="B19218" s="38">
        <v>70272.0</v>
      </c>
      <c r="C19218" s="38" t="s">
        <v>23698</v>
      </c>
      <c r="D19218" s="38" t="str">
        <f>IFERROR(__xludf.DUMMYFUNCTION("REGEXREPLACE(C19218,""-\d+(.*)|--\d+(.*)"","""")"),"GOURGEON")</f>
        <v>GOURGEON</v>
      </c>
      <c r="E19218" s="38" t="s">
        <v>956</v>
      </c>
      <c r="F19218" s="38" t="s">
        <v>214</v>
      </c>
      <c r="G19218" s="49" t="str">
        <f t="shared" si="1"/>
        <v>70120</v>
      </c>
      <c r="H19218" s="49">
        <f t="shared" si="2"/>
        <v>70272</v>
      </c>
    </row>
    <row r="19219">
      <c r="A19219" s="48" t="s">
        <v>4840</v>
      </c>
      <c r="B19219" s="38">
        <v>16296.0</v>
      </c>
      <c r="C19219" s="38" t="s">
        <v>23699</v>
      </c>
      <c r="D19219" s="38" t="str">
        <f>IFERROR(__xludf.DUMMYFUNCTION("REGEXREPLACE(C19219,""-\d+(.*)|--\d+(.*)"","""")"),"SAINT-AMANT-DE-BONNIEURE")</f>
        <v>SAINT-AMANT-DE-BONNIEURE</v>
      </c>
      <c r="E19219" s="38" t="s">
        <v>429</v>
      </c>
      <c r="F19219" s="38" t="s">
        <v>338</v>
      </c>
      <c r="G19219" s="49" t="str">
        <f t="shared" si="1"/>
        <v>16230</v>
      </c>
      <c r="H19219" s="49">
        <f t="shared" si="2"/>
        <v>16296</v>
      </c>
    </row>
    <row r="19220">
      <c r="A19220" s="48" t="s">
        <v>3718</v>
      </c>
      <c r="B19220" s="38">
        <v>62379.0</v>
      </c>
      <c r="C19220" s="38" t="s">
        <v>23700</v>
      </c>
      <c r="D19220" s="38" t="str">
        <f>IFERROR(__xludf.DUMMYFUNCTION("REGEXREPLACE(C19220,""-\d+(.*)|--\d+(.*)"","""")"),"GOUY-EN-ARTOIS")</f>
        <v>GOUY-EN-ARTOIS</v>
      </c>
      <c r="E19220" s="38" t="s">
        <v>109</v>
      </c>
      <c r="F19220" s="38" t="s">
        <v>86</v>
      </c>
      <c r="G19220" s="49" t="str">
        <f t="shared" si="1"/>
        <v>62123</v>
      </c>
      <c r="H19220" s="49">
        <f t="shared" si="2"/>
        <v>62379</v>
      </c>
    </row>
    <row r="19221">
      <c r="A19221" s="48" t="s">
        <v>4594</v>
      </c>
      <c r="B19221" s="38">
        <v>62503.0</v>
      </c>
      <c r="C19221" s="38" t="s">
        <v>23701</v>
      </c>
      <c r="D19221" s="38" t="str">
        <f>IFERROR(__xludf.DUMMYFUNCTION("REGEXREPLACE(C19221,""-\d+(.*)|--\d+(.*)"","""")"),"LEUBRINGHEN")</f>
        <v>LEUBRINGHEN</v>
      </c>
      <c r="E19221" s="38" t="s">
        <v>109</v>
      </c>
      <c r="F19221" s="38" t="s">
        <v>86</v>
      </c>
      <c r="G19221" s="49" t="str">
        <f t="shared" si="1"/>
        <v>62250</v>
      </c>
      <c r="H19221" s="49">
        <f t="shared" si="2"/>
        <v>62503</v>
      </c>
    </row>
    <row r="19222">
      <c r="A19222" s="48" t="s">
        <v>5273</v>
      </c>
      <c r="B19222" s="38">
        <v>53145.0</v>
      </c>
      <c r="C19222" s="38" t="s">
        <v>23702</v>
      </c>
      <c r="D19222" s="38" t="str">
        <f>IFERROR(__xludf.DUMMYFUNCTION("REGEXREPLACE(C19222,""-\d+(.*)|--\d+(.*)"","""")"),"MARIGNE-PEUTON")</f>
        <v>MARIGNE-PEUTON</v>
      </c>
      <c r="E19222" s="38" t="s">
        <v>518</v>
      </c>
      <c r="F19222" s="38" t="s">
        <v>180</v>
      </c>
      <c r="G19222" s="49" t="str">
        <f t="shared" si="1"/>
        <v>53200</v>
      </c>
      <c r="H19222" s="49">
        <f t="shared" si="2"/>
        <v>53145</v>
      </c>
    </row>
    <row r="19223">
      <c r="A19223" s="48" t="s">
        <v>23703</v>
      </c>
      <c r="B19223" s="38" t="s">
        <v>23704</v>
      </c>
      <c r="C19223" s="38" t="s">
        <v>23705</v>
      </c>
      <c r="D19223" s="38" t="str">
        <f>IFERROR(__xludf.DUMMYFUNCTION("REGEXREPLACE(C19223,""-\d+(.*)|--\d+(.*)"","""")"),"QUASQUARA")</f>
        <v>QUASQUARA</v>
      </c>
      <c r="E19223" s="38" t="s">
        <v>606</v>
      </c>
      <c r="F19223" s="38" t="s">
        <v>607</v>
      </c>
      <c r="G19223" s="49" t="str">
        <f t="shared" si="1"/>
        <v>20142</v>
      </c>
      <c r="H19223" s="49" t="str">
        <f t="shared" si="2"/>
        <v>2A253</v>
      </c>
    </row>
    <row r="19224">
      <c r="A19224" s="48" t="s">
        <v>114</v>
      </c>
      <c r="B19224" s="38">
        <v>62605.0</v>
      </c>
      <c r="C19224" s="38" t="s">
        <v>23706</v>
      </c>
      <c r="D19224" s="38" t="str">
        <f>IFERROR(__xludf.DUMMYFUNCTION("REGEXREPLACE(C19224,""-\d+(.*)|--\d+(.*)"","""")"),"NEULETTE")</f>
        <v>NEULETTE</v>
      </c>
      <c r="E19224" s="38" t="s">
        <v>109</v>
      </c>
      <c r="F19224" s="38" t="s">
        <v>86</v>
      </c>
      <c r="G19224" s="49" t="str">
        <f t="shared" si="1"/>
        <v>62770</v>
      </c>
      <c r="H19224" s="49">
        <f t="shared" si="2"/>
        <v>62605</v>
      </c>
    </row>
    <row r="19225">
      <c r="A19225" s="48" t="s">
        <v>10535</v>
      </c>
      <c r="B19225" s="38">
        <v>81252.0</v>
      </c>
      <c r="C19225" s="38" t="s">
        <v>6500</v>
      </c>
      <c r="D19225" s="38" t="str">
        <f>IFERROR(__xludf.DUMMYFUNCTION("REGEXREPLACE(C19225,""-\d+(.*)|--\d+(.*)"","""")"),"SAINT-GERMIER")</f>
        <v>SAINT-GERMIER</v>
      </c>
      <c r="E19225" s="38" t="s">
        <v>231</v>
      </c>
      <c r="F19225" s="38" t="s">
        <v>94</v>
      </c>
      <c r="G19225" s="49" t="str">
        <f t="shared" si="1"/>
        <v>81210</v>
      </c>
      <c r="H19225" s="49">
        <f t="shared" si="2"/>
        <v>81252</v>
      </c>
    </row>
    <row r="19226">
      <c r="A19226" s="48" t="s">
        <v>5284</v>
      </c>
      <c r="B19226" s="38">
        <v>19068.0</v>
      </c>
      <c r="C19226" s="38" t="s">
        <v>23707</v>
      </c>
      <c r="D19226" s="38" t="str">
        <f>IFERROR(__xludf.DUMMYFUNCTION("REGEXREPLACE(C19226,""-\d+(.*)|--\d+(.*)"","""")"),"DAMPNIAT")</f>
        <v>DAMPNIAT</v>
      </c>
      <c r="E19226" s="38" t="s">
        <v>271</v>
      </c>
      <c r="F19226" s="38" t="s">
        <v>98</v>
      </c>
      <c r="G19226" s="49" t="str">
        <f t="shared" si="1"/>
        <v>19360</v>
      </c>
      <c r="H19226" s="49">
        <f t="shared" si="2"/>
        <v>19068</v>
      </c>
    </row>
    <row r="19227">
      <c r="A19227" s="48" t="s">
        <v>6264</v>
      </c>
      <c r="B19227" s="38">
        <v>77403.0</v>
      </c>
      <c r="C19227" s="38" t="s">
        <v>6811</v>
      </c>
      <c r="D19227" s="38" t="str">
        <f>IFERROR(__xludf.DUMMYFUNCTION("REGEXREPLACE(C19227,""-\d+(.*)|--\d+(.*)"","""")"),"SAINT-BRICE")</f>
        <v>SAINT-BRICE</v>
      </c>
      <c r="E19227" s="38" t="s">
        <v>244</v>
      </c>
      <c r="F19227" s="38" t="s">
        <v>245</v>
      </c>
      <c r="G19227" s="49" t="str">
        <f t="shared" si="1"/>
        <v>77160</v>
      </c>
      <c r="H19227" s="49">
        <f t="shared" si="2"/>
        <v>77403</v>
      </c>
    </row>
    <row r="19228">
      <c r="A19228" s="48" t="s">
        <v>3206</v>
      </c>
      <c r="B19228" s="38">
        <v>40161.0</v>
      </c>
      <c r="C19228" s="38" t="s">
        <v>23708</v>
      </c>
      <c r="D19228" s="38" t="str">
        <f>IFERROR(__xludf.DUMMYFUNCTION("REGEXREPLACE(C19228,""-\d+(.*)|--\d+(.*)"","""")"),"LUBBON")</f>
        <v>LUBBON</v>
      </c>
      <c r="E19228" s="38" t="s">
        <v>281</v>
      </c>
      <c r="F19228" s="38" t="s">
        <v>252</v>
      </c>
      <c r="G19228" s="49" t="str">
        <f t="shared" si="1"/>
        <v>40240</v>
      </c>
      <c r="H19228" s="49">
        <f t="shared" si="2"/>
        <v>40161</v>
      </c>
    </row>
    <row r="19229">
      <c r="A19229" s="48" t="s">
        <v>16366</v>
      </c>
      <c r="B19229" s="38">
        <v>21288.0</v>
      </c>
      <c r="C19229" s="38" t="s">
        <v>23709</v>
      </c>
      <c r="D19229" s="38" t="str">
        <f>IFERROR(__xludf.DUMMYFUNCTION("REGEXREPLACE(C19229,""-\d+(.*)|--\d+(.*)"","""")"),"FROLOIS")</f>
        <v>FROLOIS</v>
      </c>
      <c r="E19229" s="38" t="s">
        <v>105</v>
      </c>
      <c r="F19229" s="38" t="s">
        <v>106</v>
      </c>
      <c r="G19229" s="49" t="str">
        <f t="shared" si="1"/>
        <v>21150</v>
      </c>
      <c r="H19229" s="49">
        <f t="shared" si="2"/>
        <v>21288</v>
      </c>
    </row>
    <row r="19230">
      <c r="A19230" s="48" t="s">
        <v>5322</v>
      </c>
      <c r="B19230" s="38">
        <v>32388.0</v>
      </c>
      <c r="C19230" s="38" t="s">
        <v>7412</v>
      </c>
      <c r="D19230" s="38" t="str">
        <f>IFERROR(__xludf.DUMMYFUNCTION("REGEXREPLACE(C19230,""-\d+(.*)|--\d+(.*)"","""")"),"SAINTE-MARIE")</f>
        <v>SAINTE-MARIE</v>
      </c>
      <c r="E19230" s="38" t="s">
        <v>440</v>
      </c>
      <c r="F19230" s="38" t="s">
        <v>94</v>
      </c>
      <c r="G19230" s="49" t="str">
        <f t="shared" si="1"/>
        <v>32200</v>
      </c>
      <c r="H19230" s="49">
        <f t="shared" si="2"/>
        <v>32388</v>
      </c>
    </row>
    <row r="19231">
      <c r="A19231" s="48" t="s">
        <v>23710</v>
      </c>
      <c r="B19231" s="38">
        <v>6150.0</v>
      </c>
      <c r="C19231" s="38" t="s">
        <v>23711</v>
      </c>
      <c r="D19231" s="38" t="str">
        <f>IFERROR(__xludf.DUMMYFUNCTION("REGEXREPLACE(C19231,""-\d+(.*)|--\d+(.*)"","""")"),"LA TURBIE")</f>
        <v>LA TURBIE</v>
      </c>
      <c r="E19231" s="38" t="s">
        <v>227</v>
      </c>
      <c r="F19231" s="38" t="s">
        <v>228</v>
      </c>
      <c r="G19231" s="49" t="str">
        <f t="shared" si="1"/>
        <v>06320</v>
      </c>
      <c r="H19231" s="49" t="str">
        <f t="shared" si="2"/>
        <v>06150</v>
      </c>
    </row>
    <row r="19232">
      <c r="A19232" s="48" t="s">
        <v>22573</v>
      </c>
      <c r="B19232" s="38">
        <v>18199.0</v>
      </c>
      <c r="C19232" s="38" t="s">
        <v>23712</v>
      </c>
      <c r="D19232" s="38" t="str">
        <f>IFERROR(__xludf.DUMMYFUNCTION("REGEXREPLACE(C19232,""-\d+(.*)|--\d+(.*)"","""")"),"SAINT-BAUDEL")</f>
        <v>SAINT-BAUDEL</v>
      </c>
      <c r="E19232" s="38" t="s">
        <v>504</v>
      </c>
      <c r="F19232" s="38" t="s">
        <v>123</v>
      </c>
      <c r="G19232" s="49" t="str">
        <f t="shared" si="1"/>
        <v>18160</v>
      </c>
      <c r="H19232" s="49">
        <f t="shared" si="2"/>
        <v>18199</v>
      </c>
    </row>
    <row r="19233">
      <c r="A19233" s="48" t="s">
        <v>12364</v>
      </c>
      <c r="B19233" s="38">
        <v>89133.0</v>
      </c>
      <c r="C19233" s="38" t="s">
        <v>23713</v>
      </c>
      <c r="D19233" s="38" t="str">
        <f>IFERROR(__xludf.DUMMYFUNCTION("REGEXREPLACE(C19233,""-\d+(.*)|--\d+(.*)"","""")"),"CUDOT")</f>
        <v>CUDOT</v>
      </c>
      <c r="E19233" s="38" t="s">
        <v>275</v>
      </c>
      <c r="F19233" s="38" t="s">
        <v>106</v>
      </c>
      <c r="G19233" s="49" t="str">
        <f t="shared" si="1"/>
        <v>89116</v>
      </c>
      <c r="H19233" s="49">
        <f t="shared" si="2"/>
        <v>89133</v>
      </c>
    </row>
    <row r="19234">
      <c r="A19234" s="48" t="s">
        <v>3704</v>
      </c>
      <c r="B19234" s="38">
        <v>2620.0</v>
      </c>
      <c r="C19234" s="38" t="s">
        <v>23714</v>
      </c>
      <c r="D19234" s="38" t="str">
        <f>IFERROR(__xludf.DUMMYFUNCTION("REGEXREPLACE(C19234,""-\d+(.*)|--\d+(.*)"","""")"),"PRESLES-ET-BOVES")</f>
        <v>PRESLES-ET-BOVES</v>
      </c>
      <c r="E19234" s="38" t="s">
        <v>191</v>
      </c>
      <c r="F19234" s="38" t="s">
        <v>113</v>
      </c>
      <c r="G19234" s="49" t="str">
        <f t="shared" si="1"/>
        <v>02370</v>
      </c>
      <c r="H19234" s="49" t="str">
        <f t="shared" si="2"/>
        <v>02620</v>
      </c>
    </row>
    <row r="19235">
      <c r="A19235" s="48" t="s">
        <v>3733</v>
      </c>
      <c r="B19235" s="38">
        <v>78068.0</v>
      </c>
      <c r="C19235" s="38" t="s">
        <v>23715</v>
      </c>
      <c r="D19235" s="38" t="str">
        <f>IFERROR(__xludf.DUMMYFUNCTION("REGEXREPLACE(C19235,""-\d+(.*)|--\d+(.*)"","""")"),"BLARU")</f>
        <v>BLARU</v>
      </c>
      <c r="E19235" s="38" t="s">
        <v>362</v>
      </c>
      <c r="F19235" s="38" t="s">
        <v>245</v>
      </c>
      <c r="G19235" s="49" t="str">
        <f t="shared" si="1"/>
        <v>78270</v>
      </c>
      <c r="H19235" s="49">
        <f t="shared" si="2"/>
        <v>78068</v>
      </c>
    </row>
    <row r="19236">
      <c r="A19236" s="48" t="s">
        <v>4238</v>
      </c>
      <c r="B19236" s="38">
        <v>54301.0</v>
      </c>
      <c r="C19236" s="38" t="s">
        <v>23716</v>
      </c>
      <c r="D19236" s="38" t="str">
        <f>IFERROR(__xludf.DUMMYFUNCTION("REGEXREPLACE(C19236,""-\d+(.*)|--\d+(.*)"","""")"),"LANFROICOURT")</f>
        <v>LANFROICOURT</v>
      </c>
      <c r="E19236" s="38" t="s">
        <v>548</v>
      </c>
      <c r="F19236" s="38" t="s">
        <v>195</v>
      </c>
      <c r="G19236" s="49" t="str">
        <f t="shared" si="1"/>
        <v>54760</v>
      </c>
      <c r="H19236" s="49">
        <f t="shared" si="2"/>
        <v>54301</v>
      </c>
    </row>
    <row r="19237">
      <c r="A19237" s="48" t="s">
        <v>5894</v>
      </c>
      <c r="B19237" s="38">
        <v>69212.0</v>
      </c>
      <c r="C19237" s="38" t="s">
        <v>23717</v>
      </c>
      <c r="D19237" s="38" t="str">
        <f>IFERROR(__xludf.DUMMYFUNCTION("REGEXREPLACE(C19237,""-\d+(.*)|--\d+(.*)"","""")"),"SAINT-JEAN-DES-VIGNES")</f>
        <v>SAINT-JEAN-DES-VIGNES</v>
      </c>
      <c r="E19237" s="38" t="s">
        <v>350</v>
      </c>
      <c r="F19237" s="38" t="s">
        <v>102</v>
      </c>
      <c r="G19237" s="49" t="str">
        <f t="shared" si="1"/>
        <v>69380</v>
      </c>
      <c r="H19237" s="49">
        <f t="shared" si="2"/>
        <v>69212</v>
      </c>
    </row>
    <row r="19238">
      <c r="A19238" s="48" t="s">
        <v>2905</v>
      </c>
      <c r="B19238" s="38">
        <v>21476.0</v>
      </c>
      <c r="C19238" s="38" t="s">
        <v>23718</v>
      </c>
      <c r="D19238" s="38" t="str">
        <f>IFERROR(__xludf.DUMMYFUNCTION("REGEXREPLACE(C19238,""-\d+(.*)|--\d+(.*)"","""")"),"PAINBLANC")</f>
        <v>PAINBLANC</v>
      </c>
      <c r="E19238" s="38" t="s">
        <v>105</v>
      </c>
      <c r="F19238" s="38" t="s">
        <v>106</v>
      </c>
      <c r="G19238" s="49" t="str">
        <f t="shared" si="1"/>
        <v>21360</v>
      </c>
      <c r="H19238" s="49">
        <f t="shared" si="2"/>
        <v>21476</v>
      </c>
    </row>
    <row r="19239">
      <c r="A19239" s="48" t="s">
        <v>958</v>
      </c>
      <c r="B19239" s="38">
        <v>71453.0</v>
      </c>
      <c r="C19239" s="38" t="s">
        <v>23719</v>
      </c>
      <c r="D19239" s="38" t="str">
        <f>IFERROR(__xludf.DUMMYFUNCTION("REGEXREPLACE(C19239,""-\d+(.*)|--\d+(.*)"","""")"),"SAINT-MARTIN-DU-LAC")</f>
        <v>SAINT-MARTIN-DU-LAC</v>
      </c>
      <c r="E19239" s="38" t="s">
        <v>344</v>
      </c>
      <c r="F19239" s="38" t="s">
        <v>106</v>
      </c>
      <c r="G19239" s="49" t="str">
        <f t="shared" si="1"/>
        <v>71110</v>
      </c>
      <c r="H19239" s="49">
        <f t="shared" si="2"/>
        <v>71453</v>
      </c>
    </row>
    <row r="19240">
      <c r="A19240" s="48" t="s">
        <v>15977</v>
      </c>
      <c r="B19240" s="38">
        <v>17190.0</v>
      </c>
      <c r="C19240" s="38" t="s">
        <v>23720</v>
      </c>
      <c r="D19240" s="38" t="str">
        <f>IFERROR(__xludf.DUMMYFUNCTION("REGEXREPLACE(C19240,""-\d+(.*)|--\d+(.*)"","""")"),"L'HOUMEAU")</f>
        <v>L'HOUMEAU</v>
      </c>
      <c r="E19240" s="38" t="s">
        <v>488</v>
      </c>
      <c r="F19240" s="38" t="s">
        <v>338</v>
      </c>
      <c r="G19240" s="49" t="str">
        <f t="shared" si="1"/>
        <v>17137</v>
      </c>
      <c r="H19240" s="49">
        <f t="shared" si="2"/>
        <v>17190</v>
      </c>
    </row>
    <row r="19241">
      <c r="A19241" s="48" t="s">
        <v>19788</v>
      </c>
      <c r="B19241" s="38">
        <v>17105.0</v>
      </c>
      <c r="C19241" s="38" t="s">
        <v>23721</v>
      </c>
      <c r="D19241" s="38" t="str">
        <f>IFERROR(__xludf.DUMMYFUNCTION("REGEXREPLACE(C19241,""-\d+(.*)|--\d+(.*)"","""")"),"CHIVES")</f>
        <v>CHIVES</v>
      </c>
      <c r="E19241" s="38" t="s">
        <v>488</v>
      </c>
      <c r="F19241" s="38" t="s">
        <v>338</v>
      </c>
      <c r="G19241" s="49" t="str">
        <f t="shared" si="1"/>
        <v>17510</v>
      </c>
      <c r="H19241" s="49">
        <f t="shared" si="2"/>
        <v>17105</v>
      </c>
    </row>
    <row r="19242">
      <c r="A19242" s="48" t="s">
        <v>1298</v>
      </c>
      <c r="B19242" s="38">
        <v>38241.0</v>
      </c>
      <c r="C19242" s="38" t="s">
        <v>23722</v>
      </c>
      <c r="D19242" s="38" t="str">
        <f>IFERROR(__xludf.DUMMYFUNCTION("REGEXREPLACE(C19242,""-\d+(.*)|--\d+(.*)"","""")"),"MONESTIER-D'AMBEL")</f>
        <v>MONESTIER-D'AMBEL</v>
      </c>
      <c r="E19242" s="38" t="s">
        <v>101</v>
      </c>
      <c r="F19242" s="38" t="s">
        <v>102</v>
      </c>
      <c r="G19242" s="49" t="str">
        <f t="shared" si="1"/>
        <v>38970</v>
      </c>
      <c r="H19242" s="49">
        <f t="shared" si="2"/>
        <v>38241</v>
      </c>
    </row>
    <row r="19243">
      <c r="A19243" s="48" t="s">
        <v>8393</v>
      </c>
      <c r="B19243" s="38">
        <v>80703.0</v>
      </c>
      <c r="C19243" s="38" t="s">
        <v>23723</v>
      </c>
      <c r="D19243" s="38" t="str">
        <f>IFERROR(__xludf.DUMMYFUNCTION("REGEXREPLACE(C19243,""-\d+(.*)|--\d+(.*)"","""")"),"SAINT-GERMAIN-SUR-BRESLE")</f>
        <v>SAINT-GERMAIN-SUR-BRESLE</v>
      </c>
      <c r="E19243" s="38" t="s">
        <v>224</v>
      </c>
      <c r="F19243" s="38" t="s">
        <v>113</v>
      </c>
      <c r="G19243" s="49" t="str">
        <f t="shared" si="1"/>
        <v>80430</v>
      </c>
      <c r="H19243" s="49">
        <f t="shared" si="2"/>
        <v>80703</v>
      </c>
    </row>
    <row r="19244">
      <c r="A19244" s="48" t="s">
        <v>5732</v>
      </c>
      <c r="B19244" s="38">
        <v>12154.0</v>
      </c>
      <c r="C19244" s="38" t="s">
        <v>7962</v>
      </c>
      <c r="D19244" s="38" t="str">
        <f>IFERROR(__xludf.DUMMYFUNCTION("REGEXREPLACE(C19244,""-\d+(.*)|--\d+(.*)"","""")"),"MONTLAUR")</f>
        <v>MONTLAUR</v>
      </c>
      <c r="E19244" s="38" t="s">
        <v>465</v>
      </c>
      <c r="F19244" s="38" t="s">
        <v>94</v>
      </c>
      <c r="G19244" s="49" t="str">
        <f t="shared" si="1"/>
        <v>12400</v>
      </c>
      <c r="H19244" s="49">
        <f t="shared" si="2"/>
        <v>12154</v>
      </c>
    </row>
    <row r="19245">
      <c r="A19245" s="48" t="s">
        <v>466</v>
      </c>
      <c r="B19245" s="38">
        <v>52370.0</v>
      </c>
      <c r="C19245" s="38" t="s">
        <v>23724</v>
      </c>
      <c r="D19245" s="38" t="str">
        <f>IFERROR(__xludf.DUMMYFUNCTION("REGEXREPLACE(C19245,""-\d+(.*)|--\d+(.*)"","""")"),"OSNE-LE-VAL")</f>
        <v>OSNE-LE-VAL</v>
      </c>
      <c r="E19245" s="38" t="s">
        <v>234</v>
      </c>
      <c r="F19245" s="38" t="s">
        <v>130</v>
      </c>
      <c r="G19245" s="49" t="str">
        <f t="shared" si="1"/>
        <v>52300</v>
      </c>
      <c r="H19245" s="49">
        <f t="shared" si="2"/>
        <v>52370</v>
      </c>
    </row>
    <row r="19246">
      <c r="A19246" s="48" t="s">
        <v>2340</v>
      </c>
      <c r="B19246" s="38">
        <v>21477.0</v>
      </c>
      <c r="C19246" s="38" t="s">
        <v>23725</v>
      </c>
      <c r="D19246" s="38" t="str">
        <f>IFERROR(__xludf.DUMMYFUNCTION("REGEXREPLACE(C19246,""-\d+(.*)|--\d+(.*)"","""")"),"PANGES")</f>
        <v>PANGES</v>
      </c>
      <c r="E19246" s="38" t="s">
        <v>105</v>
      </c>
      <c r="F19246" s="38" t="s">
        <v>106</v>
      </c>
      <c r="G19246" s="49" t="str">
        <f t="shared" si="1"/>
        <v>21540</v>
      </c>
      <c r="H19246" s="49">
        <f t="shared" si="2"/>
        <v>21477</v>
      </c>
    </row>
    <row r="19247">
      <c r="A19247" s="48" t="s">
        <v>626</v>
      </c>
      <c r="B19247" s="38">
        <v>31038.0</v>
      </c>
      <c r="C19247" s="38" t="s">
        <v>23726</v>
      </c>
      <c r="D19247" s="38" t="str">
        <f>IFERROR(__xludf.DUMMYFUNCTION("REGEXREPLACE(C19247,""-\d+(.*)|--\d+(.*)"","""")"),"AZAS")</f>
        <v>AZAS</v>
      </c>
      <c r="E19247" s="38" t="s">
        <v>93</v>
      </c>
      <c r="F19247" s="38" t="s">
        <v>94</v>
      </c>
      <c r="G19247" s="49" t="str">
        <f t="shared" si="1"/>
        <v>31380</v>
      </c>
      <c r="H19247" s="49">
        <f t="shared" si="2"/>
        <v>31038</v>
      </c>
    </row>
    <row r="19248">
      <c r="A19248" s="48" t="s">
        <v>1874</v>
      </c>
      <c r="B19248" s="38">
        <v>73089.0</v>
      </c>
      <c r="C19248" s="38" t="s">
        <v>23727</v>
      </c>
      <c r="D19248" s="38" t="str">
        <f>IFERROR(__xludf.DUMMYFUNCTION("REGEXREPLACE(C19248,""-\d+(.*)|--\d+(.*)"","""")"),"COISE-SAINT-JEAN-PIED-GAUTHIER")</f>
        <v>COISE-SAINT-JEAN-PIED-GAUTHIER</v>
      </c>
      <c r="E19248" s="38" t="s">
        <v>306</v>
      </c>
      <c r="F19248" s="38" t="s">
        <v>102</v>
      </c>
      <c r="G19248" s="49" t="str">
        <f t="shared" si="1"/>
        <v>73800</v>
      </c>
      <c r="H19248" s="49">
        <f t="shared" si="2"/>
        <v>73089</v>
      </c>
    </row>
    <row r="19249">
      <c r="A19249" s="48" t="s">
        <v>3052</v>
      </c>
      <c r="B19249" s="38">
        <v>44008.0</v>
      </c>
      <c r="C19249" s="38" t="s">
        <v>23728</v>
      </c>
      <c r="D19249" s="38" t="str">
        <f>IFERROR(__xludf.DUMMYFUNCTION("REGEXREPLACE(C19249,""-\d+(.*)|--\d+(.*)"","""")"),"BARBECHAT")</f>
        <v>BARBECHAT</v>
      </c>
      <c r="E19249" s="38" t="s">
        <v>759</v>
      </c>
      <c r="F19249" s="38" t="s">
        <v>180</v>
      </c>
      <c r="G19249" s="49" t="str">
        <f t="shared" si="1"/>
        <v>44450</v>
      </c>
      <c r="H19249" s="49">
        <f t="shared" si="2"/>
        <v>44008</v>
      </c>
    </row>
    <row r="19250">
      <c r="A19250" s="48" t="s">
        <v>4002</v>
      </c>
      <c r="B19250" s="38">
        <v>51075.0</v>
      </c>
      <c r="C19250" s="38" t="s">
        <v>23729</v>
      </c>
      <c r="D19250" s="38" t="str">
        <f>IFERROR(__xludf.DUMMYFUNCTION("REGEXREPLACE(C19250,""-\d+(.*)|--\d+(.*)"","""")"),"BOURGOGNE")</f>
        <v>BOURGOGNE</v>
      </c>
      <c r="E19250" s="38" t="s">
        <v>129</v>
      </c>
      <c r="F19250" s="38" t="s">
        <v>130</v>
      </c>
      <c r="G19250" s="49" t="str">
        <f t="shared" si="1"/>
        <v>51110</v>
      </c>
      <c r="H19250" s="49">
        <f t="shared" si="2"/>
        <v>51075</v>
      </c>
    </row>
    <row r="19251">
      <c r="A19251" s="48" t="s">
        <v>23123</v>
      </c>
      <c r="B19251" s="38">
        <v>76194.0</v>
      </c>
      <c r="C19251" s="38" t="s">
        <v>23730</v>
      </c>
      <c r="D19251" s="38" t="str">
        <f>IFERROR(__xludf.DUMMYFUNCTION("REGEXREPLACE(C19251,""-\d+(.*)|--\d+(.*)"","""")"),"CRIQUEBEUF-EN-CAUX")</f>
        <v>CRIQUEBEUF-EN-CAUX</v>
      </c>
      <c r="E19251" s="38" t="s">
        <v>133</v>
      </c>
      <c r="F19251" s="38" t="s">
        <v>134</v>
      </c>
      <c r="G19251" s="49" t="str">
        <f t="shared" si="1"/>
        <v>76111</v>
      </c>
      <c r="H19251" s="49">
        <f t="shared" si="2"/>
        <v>76194</v>
      </c>
    </row>
    <row r="19252">
      <c r="A19252" s="48" t="s">
        <v>2783</v>
      </c>
      <c r="B19252" s="38">
        <v>31461.0</v>
      </c>
      <c r="C19252" s="38" t="s">
        <v>23731</v>
      </c>
      <c r="D19252" s="38" t="str">
        <f>IFERROR(__xludf.DUMMYFUNCTION("REGEXREPLACE(C19252,""-\d+(.*)|--\d+(.*)"","""")"),"ROUEDE")</f>
        <v>ROUEDE</v>
      </c>
      <c r="E19252" s="38" t="s">
        <v>93</v>
      </c>
      <c r="F19252" s="38" t="s">
        <v>94</v>
      </c>
      <c r="G19252" s="49" t="str">
        <f t="shared" si="1"/>
        <v>31160</v>
      </c>
      <c r="H19252" s="49">
        <f t="shared" si="2"/>
        <v>31461</v>
      </c>
    </row>
    <row r="19253">
      <c r="A19253" s="48" t="s">
        <v>1724</v>
      </c>
      <c r="B19253" s="38">
        <v>26038.0</v>
      </c>
      <c r="C19253" s="38" t="s">
        <v>23732</v>
      </c>
      <c r="D19253" s="38" t="str">
        <f>IFERROR(__xludf.DUMMYFUNCTION("REGEXREPLACE(C19253,""-\d+(.*)|--\d+(.*)"","""")"),"BEAUMONT-MONTEUX")</f>
        <v>BEAUMONT-MONTEUX</v>
      </c>
      <c r="E19253" s="38" t="s">
        <v>126</v>
      </c>
      <c r="F19253" s="38" t="s">
        <v>102</v>
      </c>
      <c r="G19253" s="49" t="str">
        <f t="shared" si="1"/>
        <v>26600</v>
      </c>
      <c r="H19253" s="49">
        <f t="shared" si="2"/>
        <v>26038</v>
      </c>
    </row>
    <row r="19254">
      <c r="A19254" s="48" t="s">
        <v>601</v>
      </c>
      <c r="B19254" s="38">
        <v>51590.0</v>
      </c>
      <c r="C19254" s="38" t="s">
        <v>23733</v>
      </c>
      <c r="D19254" s="38" t="str">
        <f>IFERROR(__xludf.DUMMYFUNCTION("REGEXREPLACE(C19254,""-\d+(.*)|--\d+(.*)"","""")"),"VANAULT-LES-DAMES")</f>
        <v>VANAULT-LES-DAMES</v>
      </c>
      <c r="E19254" s="38" t="s">
        <v>129</v>
      </c>
      <c r="F19254" s="38" t="s">
        <v>130</v>
      </c>
      <c r="G19254" s="49" t="str">
        <f t="shared" si="1"/>
        <v>51340</v>
      </c>
      <c r="H19254" s="49">
        <f t="shared" si="2"/>
        <v>51590</v>
      </c>
    </row>
    <row r="19255">
      <c r="A19255" s="48" t="s">
        <v>16724</v>
      </c>
      <c r="B19255" s="38">
        <v>10124.0</v>
      </c>
      <c r="C19255" s="38" t="s">
        <v>23734</v>
      </c>
      <c r="D19255" s="38" t="str">
        <f>IFERROR(__xludf.DUMMYFUNCTION("REGEXREPLACE(C19255,""-\d+(.*)|--\d+(.*)"","""")"),"DIERREY-SAINT-JULIEN")</f>
        <v>DIERREY-SAINT-JULIEN</v>
      </c>
      <c r="E19255" s="38" t="s">
        <v>147</v>
      </c>
      <c r="F19255" s="38" t="s">
        <v>130</v>
      </c>
      <c r="G19255" s="49" t="str">
        <f t="shared" si="1"/>
        <v>10190</v>
      </c>
      <c r="H19255" s="49">
        <f t="shared" si="2"/>
        <v>10124</v>
      </c>
    </row>
    <row r="19256">
      <c r="A19256" s="48" t="s">
        <v>3892</v>
      </c>
      <c r="B19256" s="38">
        <v>42055.0</v>
      </c>
      <c r="C19256" s="38" t="s">
        <v>769</v>
      </c>
      <c r="D19256" s="38" t="str">
        <f>IFERROR(__xludf.DUMMYFUNCTION("REGEXREPLACE(C19256,""-\d+(.*)|--\d+(.*)"","""")"),"CHATELUS")</f>
        <v>CHATELUS</v>
      </c>
      <c r="E19256" s="38" t="s">
        <v>166</v>
      </c>
      <c r="F19256" s="38" t="s">
        <v>102</v>
      </c>
      <c r="G19256" s="49" t="str">
        <f t="shared" si="1"/>
        <v>42140</v>
      </c>
      <c r="H19256" s="49">
        <f t="shared" si="2"/>
        <v>42055</v>
      </c>
    </row>
    <row r="19257">
      <c r="A19257" s="48" t="s">
        <v>11261</v>
      </c>
      <c r="B19257" s="38">
        <v>38358.0</v>
      </c>
      <c r="C19257" s="38" t="s">
        <v>23735</v>
      </c>
      <c r="D19257" s="38" t="str">
        <f>IFERROR(__xludf.DUMMYFUNCTION("REGEXREPLACE(C19257,""-\d+(.*)|--\d+(.*)"","""")"),"SAINTE-ANNE-SUR-GERVONDE")</f>
        <v>SAINTE-ANNE-SUR-GERVONDE</v>
      </c>
      <c r="E19257" s="38" t="s">
        <v>101</v>
      </c>
      <c r="F19257" s="38" t="s">
        <v>102</v>
      </c>
      <c r="G19257" s="49" t="str">
        <f t="shared" si="1"/>
        <v>38440</v>
      </c>
      <c r="H19257" s="49">
        <f t="shared" si="2"/>
        <v>38358</v>
      </c>
    </row>
    <row r="19258">
      <c r="A19258" s="48" t="s">
        <v>19492</v>
      </c>
      <c r="B19258" s="38">
        <v>71410.0</v>
      </c>
      <c r="C19258" s="38" t="s">
        <v>23736</v>
      </c>
      <c r="D19258" s="38" t="str">
        <f>IFERROR(__xludf.DUMMYFUNCTION("REGEXREPLACE(C19258,""-\d+(.*)|--\d+(.*)"","""")"),"SAINT-ETIENNE-EN-BRESSE")</f>
        <v>SAINT-ETIENNE-EN-BRESSE</v>
      </c>
      <c r="E19258" s="38" t="s">
        <v>344</v>
      </c>
      <c r="F19258" s="38" t="s">
        <v>106</v>
      </c>
      <c r="G19258" s="49" t="str">
        <f t="shared" si="1"/>
        <v>71370</v>
      </c>
      <c r="H19258" s="49">
        <f t="shared" si="2"/>
        <v>71410</v>
      </c>
    </row>
    <row r="19259">
      <c r="A19259" s="48" t="s">
        <v>5273</v>
      </c>
      <c r="B19259" s="38">
        <v>53089.0</v>
      </c>
      <c r="C19259" s="38" t="s">
        <v>23737</v>
      </c>
      <c r="D19259" s="38" t="str">
        <f>IFERROR(__xludf.DUMMYFUNCTION("REGEXREPLACE(C19259,""-\d+(.*)|--\d+(.*)"","""")"),"DAON")</f>
        <v>DAON</v>
      </c>
      <c r="E19259" s="38" t="s">
        <v>518</v>
      </c>
      <c r="F19259" s="38" t="s">
        <v>180</v>
      </c>
      <c r="G19259" s="49" t="str">
        <f t="shared" si="1"/>
        <v>53200</v>
      </c>
      <c r="H19259" s="49">
        <f t="shared" si="2"/>
        <v>53089</v>
      </c>
    </row>
    <row r="19260">
      <c r="A19260" s="48" t="s">
        <v>2650</v>
      </c>
      <c r="B19260" s="38">
        <v>65155.0</v>
      </c>
      <c r="C19260" s="38" t="s">
        <v>23738</v>
      </c>
      <c r="D19260" s="38" t="str">
        <f>IFERROR(__xludf.DUMMYFUNCTION("REGEXREPLACE(C19260,""-\d+(.*)|--\d+(.*)"","""")"),"DEVEZE")</f>
        <v>DEVEZE</v>
      </c>
      <c r="E19260" s="38" t="s">
        <v>200</v>
      </c>
      <c r="F19260" s="38" t="s">
        <v>94</v>
      </c>
      <c r="G19260" s="49" t="str">
        <f t="shared" si="1"/>
        <v>65230</v>
      </c>
      <c r="H19260" s="49">
        <f t="shared" si="2"/>
        <v>65155</v>
      </c>
    </row>
    <row r="19261">
      <c r="A19261" s="48" t="s">
        <v>23739</v>
      </c>
      <c r="B19261" s="38">
        <v>80021.0</v>
      </c>
      <c r="C19261" s="38" t="s">
        <v>23740</v>
      </c>
      <c r="D19261" s="38" t="str">
        <f>IFERROR(__xludf.DUMMYFUNCTION("REGEXREPLACE(C19261,""-\d+(.*)|--\d+(.*)"","""")"),"AMIENS")</f>
        <v>AMIENS</v>
      </c>
      <c r="E19261" s="38" t="s">
        <v>224</v>
      </c>
      <c r="F19261" s="38" t="s">
        <v>113</v>
      </c>
      <c r="G19261" s="49" t="str">
        <f t="shared" si="1"/>
        <v>80000</v>
      </c>
      <c r="H19261" s="49">
        <f t="shared" si="2"/>
        <v>80021</v>
      </c>
    </row>
    <row r="19262">
      <c r="A19262" s="48" t="s">
        <v>948</v>
      </c>
      <c r="B19262" s="38">
        <v>68065.0</v>
      </c>
      <c r="C19262" s="38" t="s">
        <v>23741</v>
      </c>
      <c r="D19262" s="38" t="str">
        <f>IFERROR(__xludf.DUMMYFUNCTION("REGEXREPLACE(C19262,""-\d+(.*)|--\d+(.*)"","""")"),"CHAVANNES-SUR-L'ETANG")</f>
        <v>CHAVANNES-SUR-L'ETANG</v>
      </c>
      <c r="E19262" s="38" t="s">
        <v>150</v>
      </c>
      <c r="F19262" s="38" t="s">
        <v>151</v>
      </c>
      <c r="G19262" s="49" t="str">
        <f t="shared" si="1"/>
        <v>68210</v>
      </c>
      <c r="H19262" s="49">
        <f t="shared" si="2"/>
        <v>68065</v>
      </c>
    </row>
    <row r="19263">
      <c r="A19263" s="48" t="s">
        <v>1841</v>
      </c>
      <c r="B19263" s="38">
        <v>27436.0</v>
      </c>
      <c r="C19263" s="38" t="s">
        <v>23742</v>
      </c>
      <c r="D19263" s="38" t="str">
        <f>IFERROR(__xludf.DUMMYFUNCTION("REGEXREPLACE(C19263,""-\d+(.*)|--\d+(.*)"","""")"),"NOGENT-LE-SEC")</f>
        <v>NOGENT-LE-SEC</v>
      </c>
      <c r="E19263" s="38" t="s">
        <v>241</v>
      </c>
      <c r="F19263" s="38" t="s">
        <v>134</v>
      </c>
      <c r="G19263" s="49" t="str">
        <f t="shared" si="1"/>
        <v>27190</v>
      </c>
      <c r="H19263" s="49">
        <f t="shared" si="2"/>
        <v>27436</v>
      </c>
    </row>
    <row r="19264">
      <c r="A19264" s="48" t="s">
        <v>9905</v>
      </c>
      <c r="B19264" s="38">
        <v>65382.0</v>
      </c>
      <c r="C19264" s="38" t="s">
        <v>23743</v>
      </c>
      <c r="D19264" s="38" t="str">
        <f>IFERROR(__xludf.DUMMYFUNCTION("REGEXREPLACE(C19264,""-\d+(.*)|--\d+(.*)"","""")"),"SACOUE")</f>
        <v>SACOUE</v>
      </c>
      <c r="E19264" s="38" t="s">
        <v>200</v>
      </c>
      <c r="F19264" s="38" t="s">
        <v>94</v>
      </c>
      <c r="G19264" s="49" t="str">
        <f t="shared" si="1"/>
        <v>65370</v>
      </c>
      <c r="H19264" s="49">
        <f t="shared" si="2"/>
        <v>65382</v>
      </c>
    </row>
    <row r="19265">
      <c r="A19265" s="48" t="s">
        <v>6142</v>
      </c>
      <c r="B19265" s="38">
        <v>44045.0</v>
      </c>
      <c r="C19265" s="38" t="s">
        <v>23744</v>
      </c>
      <c r="D19265" s="38" t="str">
        <f>IFERROR(__xludf.DUMMYFUNCTION("REGEXREPLACE(C19265,""-\d+(.*)|--\d+(.*)"","""")"),"CORDEMAIS")</f>
        <v>CORDEMAIS</v>
      </c>
      <c r="E19265" s="38" t="s">
        <v>759</v>
      </c>
      <c r="F19265" s="38" t="s">
        <v>180</v>
      </c>
      <c r="G19265" s="49" t="str">
        <f t="shared" si="1"/>
        <v>44360</v>
      </c>
      <c r="H19265" s="49">
        <f t="shared" si="2"/>
        <v>44045</v>
      </c>
    </row>
    <row r="19266">
      <c r="A19266" s="48" t="s">
        <v>4923</v>
      </c>
      <c r="B19266" s="38">
        <v>61010.0</v>
      </c>
      <c r="C19266" s="38" t="s">
        <v>23745</v>
      </c>
      <c r="D19266" s="38" t="str">
        <f>IFERROR(__xludf.DUMMYFUNCTION("REGEXREPLACE(C19266,""-\d+(.*)|--\d+(.*)"","""")"),"AUBRY-LE-PANTHOU")</f>
        <v>AUBRY-LE-PANTHOU</v>
      </c>
      <c r="E19266" s="38" t="s">
        <v>141</v>
      </c>
      <c r="F19266" s="38" t="s">
        <v>138</v>
      </c>
      <c r="G19266" s="49" t="str">
        <f t="shared" si="1"/>
        <v>61120</v>
      </c>
      <c r="H19266" s="49">
        <f t="shared" si="2"/>
        <v>61010</v>
      </c>
    </row>
    <row r="19267">
      <c r="A19267" s="48" t="s">
        <v>5555</v>
      </c>
      <c r="B19267" s="38">
        <v>82064.0</v>
      </c>
      <c r="C19267" s="38" t="s">
        <v>23746</v>
      </c>
      <c r="D19267" s="38" t="str">
        <f>IFERROR(__xludf.DUMMYFUNCTION("REGEXREPLACE(C19267,""-\d+(.*)|--\d+(.*)"","""")"),"GARIES")</f>
        <v>GARIES</v>
      </c>
      <c r="E19267" s="38" t="s">
        <v>570</v>
      </c>
      <c r="F19267" s="38" t="s">
        <v>94</v>
      </c>
      <c r="G19267" s="49" t="str">
        <f t="shared" si="1"/>
        <v>82500</v>
      </c>
      <c r="H19267" s="49">
        <f t="shared" si="2"/>
        <v>82064</v>
      </c>
    </row>
    <row r="19268">
      <c r="A19268" s="48" t="s">
        <v>2326</v>
      </c>
      <c r="B19268" s="38">
        <v>54026.0</v>
      </c>
      <c r="C19268" s="38" t="s">
        <v>23747</v>
      </c>
      <c r="D19268" s="38" t="str">
        <f>IFERROR(__xludf.DUMMYFUNCTION("REGEXREPLACE(C19268,""-\d+(.*)|--\d+(.*)"","""")"),"ATHIENVILLE")</f>
        <v>ATHIENVILLE</v>
      </c>
      <c r="E19268" s="38" t="s">
        <v>548</v>
      </c>
      <c r="F19268" s="38" t="s">
        <v>195</v>
      </c>
      <c r="G19268" s="49" t="str">
        <f t="shared" si="1"/>
        <v>54370</v>
      </c>
      <c r="H19268" s="49">
        <f t="shared" si="2"/>
        <v>54026</v>
      </c>
    </row>
    <row r="19269">
      <c r="A19269" s="48" t="s">
        <v>2678</v>
      </c>
      <c r="B19269" s="38">
        <v>8078.0</v>
      </c>
      <c r="C19269" s="38" t="s">
        <v>23748</v>
      </c>
      <c r="D19269" s="38" t="str">
        <f>IFERROR(__xludf.DUMMYFUNCTION("REGEXREPLACE(C19269,""-\d+(.*)|--\d+(.*)"","""")"),"BOURG-FIDELE")</f>
        <v>BOURG-FIDELE</v>
      </c>
      <c r="E19269" s="38" t="s">
        <v>327</v>
      </c>
      <c r="F19269" s="38" t="s">
        <v>130</v>
      </c>
      <c r="G19269" s="49" t="str">
        <f t="shared" si="1"/>
        <v>08230</v>
      </c>
      <c r="H19269" s="49" t="str">
        <f t="shared" si="2"/>
        <v>08078</v>
      </c>
    </row>
    <row r="19270">
      <c r="A19270" s="48" t="s">
        <v>16541</v>
      </c>
      <c r="B19270" s="38">
        <v>71538.0</v>
      </c>
      <c r="C19270" s="38" t="s">
        <v>23749</v>
      </c>
      <c r="D19270" s="38" t="str">
        <f>IFERROR(__xludf.DUMMYFUNCTION("REGEXREPLACE(C19270,""-\d+(.*)|--\d+(.*)"","""")"),"THUREY")</f>
        <v>THUREY</v>
      </c>
      <c r="E19270" s="38" t="s">
        <v>344</v>
      </c>
      <c r="F19270" s="38" t="s">
        <v>106</v>
      </c>
      <c r="G19270" s="49" t="str">
        <f t="shared" si="1"/>
        <v>71440</v>
      </c>
      <c r="H19270" s="49">
        <f t="shared" si="2"/>
        <v>71538</v>
      </c>
    </row>
    <row r="19271">
      <c r="A19271" s="48" t="s">
        <v>4392</v>
      </c>
      <c r="B19271" s="38">
        <v>59221.0</v>
      </c>
      <c r="C19271" s="38" t="s">
        <v>23750</v>
      </c>
      <c r="D19271" s="38" t="str">
        <f>IFERROR(__xludf.DUMMYFUNCTION("REGEXREPLACE(C19271,""-\d+(.*)|--\d+(.*)"","""")"),"FAMARS")</f>
        <v>FAMARS</v>
      </c>
      <c r="E19271" s="38" t="s">
        <v>85</v>
      </c>
      <c r="F19271" s="38" t="s">
        <v>86</v>
      </c>
      <c r="G19271" s="49" t="str">
        <f t="shared" si="1"/>
        <v>59300</v>
      </c>
      <c r="H19271" s="49">
        <f t="shared" si="2"/>
        <v>59221</v>
      </c>
    </row>
    <row r="19272">
      <c r="A19272" s="48" t="s">
        <v>15250</v>
      </c>
      <c r="B19272" s="38">
        <v>86196.0</v>
      </c>
      <c r="C19272" s="38" t="s">
        <v>23751</v>
      </c>
      <c r="D19272" s="38" t="str">
        <f>IFERROR(__xludf.DUMMYFUNCTION("REGEXREPLACE(C19272,""-\d+(.*)|--\d+(.*)"","""")"),"POUANCAY")</f>
        <v>POUANCAY</v>
      </c>
      <c r="E19272" s="38" t="s">
        <v>529</v>
      </c>
      <c r="F19272" s="38" t="s">
        <v>338</v>
      </c>
      <c r="G19272" s="49" t="str">
        <f t="shared" si="1"/>
        <v>86120</v>
      </c>
      <c r="H19272" s="49">
        <f t="shared" si="2"/>
        <v>86196</v>
      </c>
    </row>
    <row r="19273">
      <c r="A19273" s="48" t="s">
        <v>1605</v>
      </c>
      <c r="B19273" s="38">
        <v>17349.0</v>
      </c>
      <c r="C19273" s="38" t="s">
        <v>23752</v>
      </c>
      <c r="D19273" s="38" t="str">
        <f>IFERROR(__xludf.DUMMYFUNCTION("REGEXREPLACE(C19273,""-\d+(.*)|--\d+(.*)"","""")"),"SAINT-JEAN-DE-LIVERSAY")</f>
        <v>SAINT-JEAN-DE-LIVERSAY</v>
      </c>
      <c r="E19273" s="38" t="s">
        <v>488</v>
      </c>
      <c r="F19273" s="38" t="s">
        <v>338</v>
      </c>
      <c r="G19273" s="49" t="str">
        <f t="shared" si="1"/>
        <v>17170</v>
      </c>
      <c r="H19273" s="49">
        <f t="shared" si="2"/>
        <v>17349</v>
      </c>
    </row>
    <row r="19274">
      <c r="A19274" s="48" t="s">
        <v>582</v>
      </c>
      <c r="B19274" s="38">
        <v>39342.0</v>
      </c>
      <c r="C19274" s="38" t="s">
        <v>23753</v>
      </c>
      <c r="D19274" s="38" t="str">
        <f>IFERROR(__xludf.DUMMYFUNCTION("REGEXREPLACE(C19274,""-\d+(.*)|--\d+(.*)"","""")"),"MONAY")</f>
        <v>MONAY</v>
      </c>
      <c r="E19274" s="38" t="s">
        <v>400</v>
      </c>
      <c r="F19274" s="38" t="s">
        <v>214</v>
      </c>
      <c r="G19274" s="49" t="str">
        <f t="shared" si="1"/>
        <v>39230</v>
      </c>
      <c r="H19274" s="49">
        <f t="shared" si="2"/>
        <v>39342</v>
      </c>
    </row>
    <row r="19275">
      <c r="A19275" s="48" t="s">
        <v>10209</v>
      </c>
      <c r="B19275" s="38">
        <v>3089.0</v>
      </c>
      <c r="C19275" s="38" t="s">
        <v>23754</v>
      </c>
      <c r="D19275" s="38" t="str">
        <f>IFERROR(__xludf.DUMMYFUNCTION("REGEXREPLACE(C19275,""-\d+(.*)|--\d+(.*)"","""")"),"COUTANSOUZE")</f>
        <v>COUTANSOUZE</v>
      </c>
      <c r="E19275" s="38" t="s">
        <v>160</v>
      </c>
      <c r="F19275" s="38" t="s">
        <v>161</v>
      </c>
      <c r="G19275" s="49" t="str">
        <f t="shared" si="1"/>
        <v>03330</v>
      </c>
      <c r="H19275" s="49" t="str">
        <f t="shared" si="2"/>
        <v>03089</v>
      </c>
    </row>
    <row r="19276">
      <c r="A19276" s="48" t="s">
        <v>5521</v>
      </c>
      <c r="B19276" s="38">
        <v>85255.0</v>
      </c>
      <c r="C19276" s="38" t="s">
        <v>23755</v>
      </c>
      <c r="D19276" s="38" t="str">
        <f>IFERROR(__xludf.DUMMYFUNCTION("REGEXREPLACE(C19276,""-\d+(.*)|--\d+(.*)"","""")"),"SAINT-MICHEL-EN-L'HERM")</f>
        <v>SAINT-MICHEL-EN-L'HERM</v>
      </c>
      <c r="E19276" s="38" t="s">
        <v>179</v>
      </c>
      <c r="F19276" s="38" t="s">
        <v>180</v>
      </c>
      <c r="G19276" s="49" t="str">
        <f t="shared" si="1"/>
        <v>85580</v>
      </c>
      <c r="H19276" s="49">
        <f t="shared" si="2"/>
        <v>85255</v>
      </c>
    </row>
    <row r="19277">
      <c r="A19277" s="48" t="s">
        <v>5104</v>
      </c>
      <c r="B19277" s="38">
        <v>29126.0</v>
      </c>
      <c r="C19277" s="38" t="s">
        <v>23756</v>
      </c>
      <c r="D19277" s="38" t="str">
        <f>IFERROR(__xludf.DUMMYFUNCTION("REGEXREPLACE(C19277,""-\d+(.*)|--\d+(.*)"","""")"),"LOC-BREVALAIRE")</f>
        <v>LOC-BREVALAIRE</v>
      </c>
      <c r="E19277" s="38" t="s">
        <v>176</v>
      </c>
      <c r="F19277" s="38" t="s">
        <v>90</v>
      </c>
      <c r="G19277" s="49" t="str">
        <f t="shared" si="1"/>
        <v>29260</v>
      </c>
      <c r="H19277" s="49">
        <f t="shared" si="2"/>
        <v>29126</v>
      </c>
    </row>
    <row r="19278">
      <c r="A19278" s="48" t="s">
        <v>2521</v>
      </c>
      <c r="B19278" s="38">
        <v>28344.0</v>
      </c>
      <c r="C19278" s="38" t="s">
        <v>23757</v>
      </c>
      <c r="D19278" s="38" t="str">
        <f>IFERROR(__xludf.DUMMYFUNCTION("REGEXREPLACE(C19278,""-\d+(.*)|--\d+(.*)"","""")"),"SAINT-LEGER-DES-AUBEES")</f>
        <v>SAINT-LEGER-DES-AUBEES</v>
      </c>
      <c r="E19278" s="38" t="s">
        <v>300</v>
      </c>
      <c r="F19278" s="38" t="s">
        <v>123</v>
      </c>
      <c r="G19278" s="49" t="str">
        <f t="shared" si="1"/>
        <v>28700</v>
      </c>
      <c r="H19278" s="49">
        <f t="shared" si="2"/>
        <v>28344</v>
      </c>
    </row>
    <row r="19279">
      <c r="A19279" s="48" t="s">
        <v>5364</v>
      </c>
      <c r="B19279" s="38">
        <v>35254.0</v>
      </c>
      <c r="C19279" s="38" t="s">
        <v>23758</v>
      </c>
      <c r="D19279" s="38" t="str">
        <f>IFERROR(__xludf.DUMMYFUNCTION("REGEXREPLACE(C19279,""-\d+(.*)|--\d+(.*)"","""")"),"SAINT-AUBIN-DU-PAVAIL")</f>
        <v>SAINT-AUBIN-DU-PAVAIL</v>
      </c>
      <c r="E19279" s="38" t="s">
        <v>347</v>
      </c>
      <c r="F19279" s="38" t="s">
        <v>90</v>
      </c>
      <c r="G19279" s="49" t="str">
        <f t="shared" si="1"/>
        <v>35410</v>
      </c>
      <c r="H19279" s="49">
        <f t="shared" si="2"/>
        <v>35254</v>
      </c>
    </row>
    <row r="19280">
      <c r="A19280" s="48" t="s">
        <v>7368</v>
      </c>
      <c r="B19280" s="38">
        <v>37008.0</v>
      </c>
      <c r="C19280" s="38" t="s">
        <v>23759</v>
      </c>
      <c r="D19280" s="38" t="str">
        <f>IFERROR(__xludf.DUMMYFUNCTION("REGEXREPLACE(C19280,""-\d+(.*)|--\d+(.*)"","""")"),"ATHEE-SUR-CHER")</f>
        <v>ATHEE-SUR-CHER</v>
      </c>
      <c r="E19280" s="38" t="s">
        <v>205</v>
      </c>
      <c r="F19280" s="38" t="s">
        <v>123</v>
      </c>
      <c r="G19280" s="49" t="str">
        <f t="shared" si="1"/>
        <v>37270</v>
      </c>
      <c r="H19280" s="49">
        <f t="shared" si="2"/>
        <v>37008</v>
      </c>
    </row>
    <row r="19281">
      <c r="A19281" s="48" t="s">
        <v>1222</v>
      </c>
      <c r="B19281" s="38">
        <v>47220.0</v>
      </c>
      <c r="C19281" s="38" t="s">
        <v>23760</v>
      </c>
      <c r="D19281" s="38" t="str">
        <f>IFERROR(__xludf.DUMMYFUNCTION("REGEXREPLACE(C19281,""-\d+(.*)|--\d+(.*)"","""")"),"RAZIMET")</f>
        <v>RAZIMET</v>
      </c>
      <c r="E19281" s="38" t="s">
        <v>251</v>
      </c>
      <c r="F19281" s="38" t="s">
        <v>252</v>
      </c>
      <c r="G19281" s="49" t="str">
        <f t="shared" si="1"/>
        <v>47160</v>
      </c>
      <c r="H19281" s="49">
        <f t="shared" si="2"/>
        <v>47220</v>
      </c>
    </row>
    <row r="19282">
      <c r="A19282" s="48" t="s">
        <v>3339</v>
      </c>
      <c r="B19282" s="38">
        <v>67120.0</v>
      </c>
      <c r="C19282" s="38" t="s">
        <v>23761</v>
      </c>
      <c r="D19282" s="38" t="str">
        <f>IFERROR(__xludf.DUMMYFUNCTION("REGEXREPLACE(C19282,""-\d+(.*)|--\d+(.*)"","""")"),"EICHHOFFEN")</f>
        <v>EICHHOFFEN</v>
      </c>
      <c r="E19282" s="38" t="s">
        <v>210</v>
      </c>
      <c r="F19282" s="38" t="s">
        <v>151</v>
      </c>
      <c r="G19282" s="49" t="str">
        <f t="shared" si="1"/>
        <v>67140</v>
      </c>
      <c r="H19282" s="49">
        <f t="shared" si="2"/>
        <v>67120</v>
      </c>
    </row>
    <row r="19283">
      <c r="A19283" s="48" t="s">
        <v>15833</v>
      </c>
      <c r="B19283" s="38">
        <v>87024.0</v>
      </c>
      <c r="C19283" s="38" t="s">
        <v>23762</v>
      </c>
      <c r="D19283" s="38" t="str">
        <f>IFERROR(__xludf.DUMMYFUNCTION("REGEXREPLACE(C19283,""-\d+(.*)|--\d+(.*)"","""")"),"BUJALEUF")</f>
        <v>BUJALEUF</v>
      </c>
      <c r="E19283" s="38" t="s">
        <v>897</v>
      </c>
      <c r="F19283" s="38" t="s">
        <v>98</v>
      </c>
      <c r="G19283" s="49" t="str">
        <f t="shared" si="1"/>
        <v>87460</v>
      </c>
      <c r="H19283" s="49">
        <f t="shared" si="2"/>
        <v>87024</v>
      </c>
    </row>
    <row r="19284">
      <c r="A19284" s="48" t="s">
        <v>2983</v>
      </c>
      <c r="B19284" s="38">
        <v>86058.0</v>
      </c>
      <c r="C19284" s="38" t="s">
        <v>23763</v>
      </c>
      <c r="D19284" s="38" t="str">
        <f>IFERROR(__xludf.DUMMYFUNCTION("REGEXREPLACE(C19284,""-\d+(.*)|--\d+(.*)"","""")"),"LA CHAPELLE-MOULIERE")</f>
        <v>LA CHAPELLE-MOULIERE</v>
      </c>
      <c r="E19284" s="38" t="s">
        <v>529</v>
      </c>
      <c r="F19284" s="38" t="s">
        <v>338</v>
      </c>
      <c r="G19284" s="49" t="str">
        <f t="shared" si="1"/>
        <v>86210</v>
      </c>
      <c r="H19284" s="49">
        <f t="shared" si="2"/>
        <v>86058</v>
      </c>
    </row>
    <row r="19285">
      <c r="A19285" s="48" t="s">
        <v>19898</v>
      </c>
      <c r="B19285" s="38">
        <v>69068.0</v>
      </c>
      <c r="C19285" s="38" t="s">
        <v>23764</v>
      </c>
      <c r="D19285" s="38" t="str">
        <f>IFERROR(__xludf.DUMMYFUNCTION("REGEXREPLACE(C19285,""-\d+(.*)|--\d+(.*)"","""")"),"COUZON-AU-MONT-D'OR")</f>
        <v>COUZON-AU-MONT-D'OR</v>
      </c>
      <c r="E19285" s="38" t="s">
        <v>350</v>
      </c>
      <c r="F19285" s="38" t="s">
        <v>102</v>
      </c>
      <c r="G19285" s="49" t="str">
        <f t="shared" si="1"/>
        <v>69270</v>
      </c>
      <c r="H19285" s="49">
        <f t="shared" si="2"/>
        <v>69068</v>
      </c>
    </row>
    <row r="19286">
      <c r="A19286" s="48" t="s">
        <v>630</v>
      </c>
      <c r="B19286" s="38">
        <v>15047.0</v>
      </c>
      <c r="C19286" s="38" t="s">
        <v>23765</v>
      </c>
      <c r="D19286" s="38" t="str">
        <f>IFERROR(__xludf.DUMMYFUNCTION("REGEXREPLACE(C19286,""-\d+(.*)|--\d+(.*)"","""")"),"CHAVAGNAC")</f>
        <v>CHAVAGNAC</v>
      </c>
      <c r="E19286" s="38" t="s">
        <v>632</v>
      </c>
      <c r="F19286" s="38" t="s">
        <v>161</v>
      </c>
      <c r="G19286" s="49" t="str">
        <f t="shared" si="1"/>
        <v>15300</v>
      </c>
      <c r="H19286" s="49">
        <f t="shared" si="2"/>
        <v>15047</v>
      </c>
    </row>
    <row r="19287">
      <c r="A19287" s="48" t="s">
        <v>2748</v>
      </c>
      <c r="B19287" s="38">
        <v>32144.0</v>
      </c>
      <c r="C19287" s="38" t="s">
        <v>23766</v>
      </c>
      <c r="D19287" s="38" t="str">
        <f>IFERROR(__xludf.DUMMYFUNCTION("REGEXREPLACE(C19287,""-\d+(.*)|--\d+(.*)"","""")"),"GAZAX-ET-BACCARISSE")</f>
        <v>GAZAX-ET-BACCARISSE</v>
      </c>
      <c r="E19287" s="38" t="s">
        <v>440</v>
      </c>
      <c r="F19287" s="38" t="s">
        <v>94</v>
      </c>
      <c r="G19287" s="49" t="str">
        <f t="shared" si="1"/>
        <v>32230</v>
      </c>
      <c r="H19287" s="49">
        <f t="shared" si="2"/>
        <v>32144</v>
      </c>
    </row>
    <row r="19288">
      <c r="A19288" s="48" t="s">
        <v>15274</v>
      </c>
      <c r="B19288" s="38">
        <v>79116.0</v>
      </c>
      <c r="C19288" s="38" t="s">
        <v>23767</v>
      </c>
      <c r="D19288" s="38" t="str">
        <f>IFERROR(__xludf.DUMMYFUNCTION("REGEXREPLACE(C19288,""-\d+(.*)|--\d+(.*)"","""")"),"FAYE-L'ABBESSE")</f>
        <v>FAYE-L'ABBESSE</v>
      </c>
      <c r="E19288" s="38" t="s">
        <v>337</v>
      </c>
      <c r="F19288" s="38" t="s">
        <v>338</v>
      </c>
      <c r="G19288" s="49" t="str">
        <f t="shared" si="1"/>
        <v>79350</v>
      </c>
      <c r="H19288" s="49">
        <f t="shared" si="2"/>
        <v>79116</v>
      </c>
    </row>
    <row r="19289">
      <c r="A19289" s="48" t="s">
        <v>18830</v>
      </c>
      <c r="B19289" s="38">
        <v>22199.0</v>
      </c>
      <c r="C19289" s="38" t="s">
        <v>23768</v>
      </c>
      <c r="D19289" s="38" t="str">
        <f>IFERROR(__xludf.DUMMYFUNCTION("REGEXREPLACE(C19289,""-\d+(.*)|--\d+(.*)"","""")"),"PLEUMEUR-GAUTIER")</f>
        <v>PLEUMEUR-GAUTIER</v>
      </c>
      <c r="E19289" s="38" t="s">
        <v>89</v>
      </c>
      <c r="F19289" s="38" t="s">
        <v>90</v>
      </c>
      <c r="G19289" s="49" t="str">
        <f t="shared" si="1"/>
        <v>22740</v>
      </c>
      <c r="H19289" s="49">
        <f t="shared" si="2"/>
        <v>22199</v>
      </c>
    </row>
    <row r="19290">
      <c r="A19290" s="48" t="s">
        <v>3651</v>
      </c>
      <c r="B19290" s="38">
        <v>19258.0</v>
      </c>
      <c r="C19290" s="38" t="s">
        <v>23769</v>
      </c>
      <c r="D19290" s="38" t="str">
        <f>IFERROR(__xludf.DUMMYFUNCTION("REGEXREPLACE(C19290,""-\d+(.*)|--\d+(.*)"","""")"),"SERVIERES-LE-CHATEAU")</f>
        <v>SERVIERES-LE-CHATEAU</v>
      </c>
      <c r="E19290" s="38" t="s">
        <v>271</v>
      </c>
      <c r="F19290" s="38" t="s">
        <v>98</v>
      </c>
      <c r="G19290" s="49" t="str">
        <f t="shared" si="1"/>
        <v>19220</v>
      </c>
      <c r="H19290" s="49">
        <f t="shared" si="2"/>
        <v>19258</v>
      </c>
    </row>
    <row r="19291">
      <c r="A19291" s="48" t="s">
        <v>2475</v>
      </c>
      <c r="B19291" s="38">
        <v>25091.0</v>
      </c>
      <c r="C19291" s="38" t="s">
        <v>23770</v>
      </c>
      <c r="D19291" s="38" t="str">
        <f>IFERROR(__xludf.DUMMYFUNCTION("REGEXREPLACE(C19291,""-\d+(.*)|--\d+(.*)"","""")"),"LES BRESEUX")</f>
        <v>LES BRESEUX</v>
      </c>
      <c r="E19291" s="38" t="s">
        <v>213</v>
      </c>
      <c r="F19291" s="38" t="s">
        <v>214</v>
      </c>
      <c r="G19291" s="49" t="str">
        <f t="shared" si="1"/>
        <v>25120</v>
      </c>
      <c r="H19291" s="49">
        <f t="shared" si="2"/>
        <v>25091</v>
      </c>
    </row>
    <row r="19292">
      <c r="A19292" s="48" t="s">
        <v>23771</v>
      </c>
      <c r="B19292" s="38">
        <v>61077.0</v>
      </c>
      <c r="C19292" s="38" t="s">
        <v>23772</v>
      </c>
      <c r="D19292" s="38" t="str">
        <f>IFERROR(__xludf.DUMMYFUNCTION("REGEXREPLACE(C19292,""-\d+(.*)|--\d+(.*)"","""")"),"CERISE")</f>
        <v>CERISE</v>
      </c>
      <c r="E19292" s="38" t="s">
        <v>141</v>
      </c>
      <c r="F19292" s="38" t="s">
        <v>138</v>
      </c>
      <c r="G19292" s="49" t="str">
        <f t="shared" si="1"/>
        <v>61000</v>
      </c>
      <c r="H19292" s="49">
        <f t="shared" si="2"/>
        <v>61077</v>
      </c>
    </row>
    <row r="19293">
      <c r="A19293" s="48" t="s">
        <v>938</v>
      </c>
      <c r="B19293" s="38">
        <v>9084.0</v>
      </c>
      <c r="C19293" s="38" t="s">
        <v>21145</v>
      </c>
      <c r="D19293" s="38" t="str">
        <f>IFERROR(__xludf.DUMMYFUNCTION("REGEXREPLACE(C19293,""-\d+(.*)|--\d+(.*)"","""")"),"CASTEX")</f>
        <v>CASTEX</v>
      </c>
      <c r="E19293" s="38" t="s">
        <v>238</v>
      </c>
      <c r="F19293" s="38" t="s">
        <v>94</v>
      </c>
      <c r="G19293" s="49" t="str">
        <f t="shared" si="1"/>
        <v>09350</v>
      </c>
      <c r="H19293" s="49" t="str">
        <f t="shared" si="2"/>
        <v>09084</v>
      </c>
    </row>
    <row r="19294">
      <c r="A19294" s="48" t="s">
        <v>2047</v>
      </c>
      <c r="B19294" s="38">
        <v>62121.0</v>
      </c>
      <c r="C19294" s="38" t="s">
        <v>23773</v>
      </c>
      <c r="D19294" s="38" t="str">
        <f>IFERROR(__xludf.DUMMYFUNCTION("REGEXREPLACE(C19294,""-\d+(.*)|--\d+(.*)"","""")"),"BEUGNATRE")</f>
        <v>BEUGNATRE</v>
      </c>
      <c r="E19294" s="38" t="s">
        <v>109</v>
      </c>
      <c r="F19294" s="38" t="s">
        <v>86</v>
      </c>
      <c r="G19294" s="49" t="str">
        <f t="shared" si="1"/>
        <v>62450</v>
      </c>
      <c r="H19294" s="49">
        <f t="shared" si="2"/>
        <v>62121</v>
      </c>
    </row>
    <row r="19295">
      <c r="A19295" s="48" t="s">
        <v>8579</v>
      </c>
      <c r="B19295" s="38">
        <v>32296.0</v>
      </c>
      <c r="C19295" s="38" t="s">
        <v>23774</v>
      </c>
      <c r="D19295" s="38" t="str">
        <f>IFERROR(__xludf.DUMMYFUNCTION("REGEXREPLACE(C19295,""-\d+(.*)|--\d+(.*)"","""")"),"NOGARO")</f>
        <v>NOGARO</v>
      </c>
      <c r="E19295" s="38" t="s">
        <v>440</v>
      </c>
      <c r="F19295" s="38" t="s">
        <v>94</v>
      </c>
      <c r="G19295" s="49" t="str">
        <f t="shared" si="1"/>
        <v>32110</v>
      </c>
      <c r="H19295" s="49">
        <f t="shared" si="2"/>
        <v>32296</v>
      </c>
    </row>
    <row r="19296">
      <c r="A19296" s="48" t="s">
        <v>18533</v>
      </c>
      <c r="B19296" s="38">
        <v>77035.0</v>
      </c>
      <c r="C19296" s="38" t="s">
        <v>23775</v>
      </c>
      <c r="D19296" s="38" t="str">
        <f>IFERROR(__xludf.DUMMYFUNCTION("REGEXREPLACE(C19296,""-\d+(.*)|--\d+(.*)"","""")"),"BLENNES")</f>
        <v>BLENNES</v>
      </c>
      <c r="E19296" s="38" t="s">
        <v>244</v>
      </c>
      <c r="F19296" s="38" t="s">
        <v>245</v>
      </c>
      <c r="G19296" s="49" t="str">
        <f t="shared" si="1"/>
        <v>77940</v>
      </c>
      <c r="H19296" s="49">
        <f t="shared" si="2"/>
        <v>77035</v>
      </c>
    </row>
    <row r="19297">
      <c r="A19297" s="48" t="s">
        <v>7393</v>
      </c>
      <c r="B19297" s="38">
        <v>42129.0</v>
      </c>
      <c r="C19297" s="38" t="s">
        <v>23776</v>
      </c>
      <c r="D19297" s="38" t="str">
        <f>IFERROR(__xludf.DUMMYFUNCTION("REGEXREPLACE(C19297,""-\d+(.*)|--\d+(.*)"","""")"),"MACLAS")</f>
        <v>MACLAS</v>
      </c>
      <c r="E19297" s="38" t="s">
        <v>166</v>
      </c>
      <c r="F19297" s="38" t="s">
        <v>102</v>
      </c>
      <c r="G19297" s="49" t="str">
        <f t="shared" si="1"/>
        <v>42520</v>
      </c>
      <c r="H19297" s="49">
        <f t="shared" si="2"/>
        <v>42129</v>
      </c>
    </row>
    <row r="19298">
      <c r="A19298" s="48" t="s">
        <v>6570</v>
      </c>
      <c r="B19298" s="38">
        <v>33051.0</v>
      </c>
      <c r="C19298" s="38" t="s">
        <v>23777</v>
      </c>
      <c r="D19298" s="38" t="str">
        <f>IFERROR(__xludf.DUMMYFUNCTION("REGEXREPLACE(C19298,""-\d+(.*)|--\d+(.*)"","""")"),"BIGANOS")</f>
        <v>BIGANOS</v>
      </c>
      <c r="E19298" s="38" t="s">
        <v>462</v>
      </c>
      <c r="F19298" s="38" t="s">
        <v>252</v>
      </c>
      <c r="G19298" s="49" t="str">
        <f t="shared" si="1"/>
        <v>33380</v>
      </c>
      <c r="H19298" s="49">
        <f t="shared" si="2"/>
        <v>33051</v>
      </c>
    </row>
    <row r="19299">
      <c r="A19299" s="48" t="s">
        <v>5179</v>
      </c>
      <c r="B19299" s="38">
        <v>10297.0</v>
      </c>
      <c r="C19299" s="38" t="s">
        <v>23778</v>
      </c>
      <c r="D19299" s="38" t="str">
        <f>IFERROR(__xludf.DUMMYFUNCTION("REGEXREPLACE(C19299,""-\d+(.*)|--\d+(.*)"","""")"),"PONT-SAINTE-MARIE")</f>
        <v>PONT-SAINTE-MARIE</v>
      </c>
      <c r="E19299" s="38" t="s">
        <v>147</v>
      </c>
      <c r="F19299" s="38" t="s">
        <v>130</v>
      </c>
      <c r="G19299" s="49" t="str">
        <f t="shared" si="1"/>
        <v>10150</v>
      </c>
      <c r="H19299" s="49">
        <f t="shared" si="2"/>
        <v>10297</v>
      </c>
    </row>
    <row r="19300">
      <c r="A19300" s="48" t="s">
        <v>6586</v>
      </c>
      <c r="B19300" s="38">
        <v>82182.0</v>
      </c>
      <c r="C19300" s="38" t="s">
        <v>23779</v>
      </c>
      <c r="D19300" s="38" t="str">
        <f>IFERROR(__xludf.DUMMYFUNCTION("REGEXREPLACE(C19300,""-\d+(.*)|--\d+(.*)"","""")"),"TOUFFAILLES")</f>
        <v>TOUFFAILLES</v>
      </c>
      <c r="E19300" s="38" t="s">
        <v>570</v>
      </c>
      <c r="F19300" s="38" t="s">
        <v>94</v>
      </c>
      <c r="G19300" s="49" t="str">
        <f t="shared" si="1"/>
        <v>82190</v>
      </c>
      <c r="H19300" s="49">
        <f t="shared" si="2"/>
        <v>82182</v>
      </c>
    </row>
    <row r="19301">
      <c r="A19301" s="48" t="s">
        <v>8922</v>
      </c>
      <c r="B19301" s="38">
        <v>27453.0</v>
      </c>
      <c r="C19301" s="38" t="s">
        <v>23780</v>
      </c>
      <c r="D19301" s="38" t="str">
        <f>IFERROR(__xludf.DUMMYFUNCTION("REGEXREPLACE(C19301,""-\d+(.*)|--\d+(.*)"","""")"),"PERRIERS-SUR-ANDELLE")</f>
        <v>PERRIERS-SUR-ANDELLE</v>
      </c>
      <c r="E19301" s="38" t="s">
        <v>241</v>
      </c>
      <c r="F19301" s="38" t="s">
        <v>134</v>
      </c>
      <c r="G19301" s="49" t="str">
        <f t="shared" si="1"/>
        <v>27910</v>
      </c>
      <c r="H19301" s="49">
        <f t="shared" si="2"/>
        <v>27453</v>
      </c>
    </row>
    <row r="19302">
      <c r="A19302" s="48" t="s">
        <v>11573</v>
      </c>
      <c r="B19302" s="38">
        <v>73097.0</v>
      </c>
      <c r="C19302" s="38" t="s">
        <v>23781</v>
      </c>
      <c r="D19302" s="38" t="str">
        <f>IFERROR(__xludf.DUMMYFUNCTION("REGEXREPLACE(C19302,""-\d+(.*)|--\d+(.*)"","""")"),"CURIENNE")</f>
        <v>CURIENNE</v>
      </c>
      <c r="E19302" s="38" t="s">
        <v>306</v>
      </c>
      <c r="F19302" s="38" t="s">
        <v>102</v>
      </c>
      <c r="G19302" s="49" t="str">
        <f t="shared" si="1"/>
        <v>73190</v>
      </c>
      <c r="H19302" s="49">
        <f t="shared" si="2"/>
        <v>73097</v>
      </c>
    </row>
    <row r="19303">
      <c r="A19303" s="48" t="s">
        <v>3994</v>
      </c>
      <c r="B19303" s="38">
        <v>38258.0</v>
      </c>
      <c r="C19303" s="38" t="s">
        <v>7976</v>
      </c>
      <c r="D19303" s="38" t="str">
        <f>IFERROR(__xludf.DUMMYFUNCTION("REGEXREPLACE(C19303,""-\d+(.*)|--\d+(.*)"","""")"),"MONT-SAINT-MARTIN")</f>
        <v>MONT-SAINT-MARTIN</v>
      </c>
      <c r="E19303" s="38" t="s">
        <v>101</v>
      </c>
      <c r="F19303" s="38" t="s">
        <v>102</v>
      </c>
      <c r="G19303" s="49" t="str">
        <f t="shared" si="1"/>
        <v>38120</v>
      </c>
      <c r="H19303" s="49">
        <f t="shared" si="2"/>
        <v>38258</v>
      </c>
    </row>
    <row r="19304">
      <c r="A19304" s="48" t="s">
        <v>16366</v>
      </c>
      <c r="B19304" s="38">
        <v>21197.0</v>
      </c>
      <c r="C19304" s="38" t="s">
        <v>23782</v>
      </c>
      <c r="D19304" s="38" t="str">
        <f>IFERROR(__xludf.DUMMYFUNCTION("REGEXREPLACE(C19304,""-\d+(.*)|--\d+(.*)"","""")"),"CORPOYER-LA-CHAPELLE")</f>
        <v>CORPOYER-LA-CHAPELLE</v>
      </c>
      <c r="E19304" s="38" t="s">
        <v>105</v>
      </c>
      <c r="F19304" s="38" t="s">
        <v>106</v>
      </c>
      <c r="G19304" s="49" t="str">
        <f t="shared" si="1"/>
        <v>21150</v>
      </c>
      <c r="H19304" s="49">
        <f t="shared" si="2"/>
        <v>21197</v>
      </c>
    </row>
    <row r="19305">
      <c r="A19305" s="48" t="s">
        <v>16813</v>
      </c>
      <c r="B19305" s="38">
        <v>36245.0</v>
      </c>
      <c r="C19305" s="38" t="s">
        <v>23783</v>
      </c>
      <c r="D19305" s="38" t="str">
        <f>IFERROR(__xludf.DUMMYFUNCTION("REGEXREPLACE(C19305,""-\d+(.*)|--\d+(.*)"","""")"),"VILLERS-LES-ORMES")</f>
        <v>VILLERS-LES-ORMES</v>
      </c>
      <c r="E19305" s="38" t="s">
        <v>258</v>
      </c>
      <c r="F19305" s="38" t="s">
        <v>123</v>
      </c>
      <c r="G19305" s="49" t="str">
        <f t="shared" si="1"/>
        <v>36250</v>
      </c>
      <c r="H19305" s="49">
        <f t="shared" si="2"/>
        <v>36245</v>
      </c>
    </row>
    <row r="19306">
      <c r="A19306" s="48" t="s">
        <v>23784</v>
      </c>
      <c r="B19306" s="38">
        <v>60083.0</v>
      </c>
      <c r="C19306" s="38" t="s">
        <v>23785</v>
      </c>
      <c r="D19306" s="38" t="str">
        <f>IFERROR(__xludf.DUMMYFUNCTION("REGEXREPLACE(C19306,""-\d+(.*)|--\d+(.*)"","""")"),"BONNEUIL-EN-VALOIS")</f>
        <v>BONNEUIL-EN-VALOIS</v>
      </c>
      <c r="E19306" s="38" t="s">
        <v>112</v>
      </c>
      <c r="F19306" s="38" t="s">
        <v>113</v>
      </c>
      <c r="G19306" s="49" t="str">
        <f t="shared" si="1"/>
        <v>60123</v>
      </c>
      <c r="H19306" s="49">
        <f t="shared" si="2"/>
        <v>60083</v>
      </c>
    </row>
    <row r="19307">
      <c r="A19307" s="48" t="s">
        <v>23786</v>
      </c>
      <c r="B19307" s="38">
        <v>97111.0</v>
      </c>
      <c r="C19307" s="38" t="s">
        <v>23787</v>
      </c>
      <c r="D19307" s="38" t="str">
        <f>IFERROR(__xludf.DUMMYFUNCTION("REGEXREPLACE(C19307,""-\d+(.*)|--\d+(.*)"","""")"),"DESHAIES")</f>
        <v>DESHAIES</v>
      </c>
      <c r="E19307" s="38" t="s">
        <v>2023</v>
      </c>
      <c r="F19307" s="38" t="s">
        <v>2023</v>
      </c>
      <c r="G19307" s="49" t="str">
        <f t="shared" si="1"/>
        <v>97126</v>
      </c>
      <c r="H19307" s="49">
        <f t="shared" si="2"/>
        <v>97111</v>
      </c>
    </row>
    <row r="19308">
      <c r="A19308" s="48" t="s">
        <v>1422</v>
      </c>
      <c r="B19308" s="38">
        <v>14201.0</v>
      </c>
      <c r="C19308" s="38" t="s">
        <v>23788</v>
      </c>
      <c r="D19308" s="38" t="str">
        <f>IFERROR(__xludf.DUMMYFUNCTION("REGEXREPLACE(C19308,""-\d+(.*)|--\d+(.*)"","""")"),"CREVECOEUR-EN-AUGE")</f>
        <v>CREVECOEUR-EN-AUGE</v>
      </c>
      <c r="E19308" s="38" t="s">
        <v>137</v>
      </c>
      <c r="F19308" s="38" t="s">
        <v>138</v>
      </c>
      <c r="G19308" s="49" t="str">
        <f t="shared" si="1"/>
        <v>14340</v>
      </c>
      <c r="H19308" s="49">
        <f t="shared" si="2"/>
        <v>14201</v>
      </c>
    </row>
    <row r="19309">
      <c r="A19309" s="48" t="s">
        <v>4231</v>
      </c>
      <c r="B19309" s="38">
        <v>68188.0</v>
      </c>
      <c r="C19309" s="38" t="s">
        <v>23789</v>
      </c>
      <c r="D19309" s="38" t="str">
        <f>IFERROR(__xludf.DUMMYFUNCTION("REGEXREPLACE(C19309,""-\d+(.*)|--\d+(.*)"","""")"),"LINTHAL")</f>
        <v>LINTHAL</v>
      </c>
      <c r="E19309" s="38" t="s">
        <v>150</v>
      </c>
      <c r="F19309" s="38" t="s">
        <v>151</v>
      </c>
      <c r="G19309" s="49" t="str">
        <f t="shared" si="1"/>
        <v>68610</v>
      </c>
      <c r="H19309" s="49">
        <f t="shared" si="2"/>
        <v>68188</v>
      </c>
    </row>
    <row r="19310">
      <c r="A19310" s="48" t="s">
        <v>23790</v>
      </c>
      <c r="B19310" s="38">
        <v>54395.0</v>
      </c>
      <c r="C19310" s="38" t="s">
        <v>23791</v>
      </c>
      <c r="D19310" s="38" t="str">
        <f>IFERROR(__xludf.DUMMYFUNCTION("REGEXREPLACE(C19310,""-\d+(.*)|--\d+(.*)"","""")"),"NANCY")</f>
        <v>NANCY</v>
      </c>
      <c r="E19310" s="38" t="s">
        <v>548</v>
      </c>
      <c r="F19310" s="38" t="s">
        <v>195</v>
      </c>
      <c r="G19310" s="49" t="str">
        <f t="shared" si="1"/>
        <v>54000</v>
      </c>
      <c r="H19310" s="49">
        <f t="shared" si="2"/>
        <v>54395</v>
      </c>
    </row>
    <row r="19311">
      <c r="A19311" s="48" t="s">
        <v>23792</v>
      </c>
      <c r="B19311" s="38">
        <v>3211.0</v>
      </c>
      <c r="C19311" s="38" t="s">
        <v>23793</v>
      </c>
      <c r="D19311" s="38" t="str">
        <f>IFERROR(__xludf.DUMMYFUNCTION("REGEXREPLACE(C19311,""-\d+(.*)|--\d+(.*)"","""")"),"PREMILHAT")</f>
        <v>PREMILHAT</v>
      </c>
      <c r="E19311" s="38" t="s">
        <v>160</v>
      </c>
      <c r="F19311" s="38" t="s">
        <v>161</v>
      </c>
      <c r="G19311" s="49" t="str">
        <f t="shared" si="1"/>
        <v>03410</v>
      </c>
      <c r="H19311" s="49" t="str">
        <f t="shared" si="2"/>
        <v>03211</v>
      </c>
    </row>
    <row r="19312">
      <c r="A19312" s="48" t="s">
        <v>4036</v>
      </c>
      <c r="B19312" s="38">
        <v>49155.0</v>
      </c>
      <c r="C19312" s="38" t="s">
        <v>23794</v>
      </c>
      <c r="D19312" s="38" t="str">
        <f>IFERROR(__xludf.DUMMYFUNCTION("REGEXREPLACE(C19312,""-\d+(.*)|--\d+(.*)"","""")"),"GREZ-NEUVILLE")</f>
        <v>GREZ-NEUVILLE</v>
      </c>
      <c r="E19312" s="38" t="s">
        <v>653</v>
      </c>
      <c r="F19312" s="38" t="s">
        <v>180</v>
      </c>
      <c r="G19312" s="49" t="str">
        <f t="shared" si="1"/>
        <v>49220</v>
      </c>
      <c r="H19312" s="49">
        <f t="shared" si="2"/>
        <v>49155</v>
      </c>
    </row>
    <row r="19313">
      <c r="A19313" s="48" t="s">
        <v>2219</v>
      </c>
      <c r="B19313" s="38">
        <v>2156.0</v>
      </c>
      <c r="C19313" s="38" t="s">
        <v>23795</v>
      </c>
      <c r="D19313" s="38" t="str">
        <f>IFERROR(__xludf.DUMMYFUNCTION("REGEXREPLACE(C19313,""-\d+(.*)|--\d+(.*)"","""")"),"CHALANDRY")</f>
        <v>CHALANDRY</v>
      </c>
      <c r="E19313" s="38" t="s">
        <v>191</v>
      </c>
      <c r="F19313" s="38" t="s">
        <v>113</v>
      </c>
      <c r="G19313" s="49" t="str">
        <f t="shared" si="1"/>
        <v>02270</v>
      </c>
      <c r="H19313" s="49" t="str">
        <f t="shared" si="2"/>
        <v>02156</v>
      </c>
    </row>
    <row r="19314">
      <c r="A19314" s="48" t="s">
        <v>4097</v>
      </c>
      <c r="B19314" s="38">
        <v>50133.0</v>
      </c>
      <c r="C19314" s="38" t="s">
        <v>14104</v>
      </c>
      <c r="D19314" s="38" t="str">
        <f>IFERROR(__xludf.DUMMYFUNCTION("REGEXREPLACE(C19314,""-\d+(.*)|--\d+(.*)"","""")"),"CHEVREVILLE")</f>
        <v>CHEVREVILLE</v>
      </c>
      <c r="E19314" s="38" t="s">
        <v>157</v>
      </c>
      <c r="F19314" s="38" t="s">
        <v>138</v>
      </c>
      <c r="G19314" s="49" t="str">
        <f t="shared" si="1"/>
        <v>50600</v>
      </c>
      <c r="H19314" s="49">
        <f t="shared" si="2"/>
        <v>50133</v>
      </c>
    </row>
    <row r="19315">
      <c r="A19315" s="48" t="s">
        <v>4665</v>
      </c>
      <c r="B19315" s="38">
        <v>16019.0</v>
      </c>
      <c r="C19315" s="38" t="s">
        <v>23796</v>
      </c>
      <c r="D19315" s="38" t="str">
        <f>IFERROR(__xludf.DUMMYFUNCTION("REGEXREPLACE(C19315,""-\d+(.*)|--\d+(.*)"","""")"),"ASNIERES-SUR-NOUERE")</f>
        <v>ASNIERES-SUR-NOUERE</v>
      </c>
      <c r="E19315" s="38" t="s">
        <v>429</v>
      </c>
      <c r="F19315" s="38" t="s">
        <v>338</v>
      </c>
      <c r="G19315" s="49" t="str">
        <f t="shared" si="1"/>
        <v>16290</v>
      </c>
      <c r="H19315" s="49">
        <f t="shared" si="2"/>
        <v>16019</v>
      </c>
    </row>
    <row r="19316">
      <c r="A19316" s="48" t="s">
        <v>23797</v>
      </c>
      <c r="B19316" s="38">
        <v>57566.0</v>
      </c>
      <c r="C19316" s="38" t="s">
        <v>23798</v>
      </c>
      <c r="D19316" s="38" t="str">
        <f>IFERROR(__xludf.DUMMYFUNCTION("REGEXREPLACE(C19316,""-\d+(.*)|--\d+(.*)"","""")"),"REDING")</f>
        <v>REDING</v>
      </c>
      <c r="E19316" s="38" t="s">
        <v>303</v>
      </c>
      <c r="F19316" s="38" t="s">
        <v>195</v>
      </c>
      <c r="G19316" s="49" t="str">
        <f t="shared" si="1"/>
        <v>57445</v>
      </c>
      <c r="H19316" s="49">
        <f t="shared" si="2"/>
        <v>57566</v>
      </c>
    </row>
    <row r="19317">
      <c r="A19317" s="48" t="s">
        <v>23799</v>
      </c>
      <c r="B19317" s="38">
        <v>59514.0</v>
      </c>
      <c r="C19317" s="38" t="s">
        <v>23800</v>
      </c>
      <c r="D19317" s="38" t="str">
        <f>IFERROR(__xludf.DUMMYFUNCTION("REGEXREPLACE(C19317,""-\d+(.*)|--\d+(.*)"","""")"),"ROUSIES")</f>
        <v>ROUSIES</v>
      </c>
      <c r="E19317" s="38" t="s">
        <v>85</v>
      </c>
      <c r="F19317" s="38" t="s">
        <v>86</v>
      </c>
      <c r="G19317" s="49" t="str">
        <f t="shared" si="1"/>
        <v>59131</v>
      </c>
      <c r="H19317" s="49">
        <f t="shared" si="2"/>
        <v>59514</v>
      </c>
    </row>
    <row r="19318">
      <c r="A19318" s="48" t="s">
        <v>1507</v>
      </c>
      <c r="B19318" s="38">
        <v>63314.0</v>
      </c>
      <c r="C19318" s="38" t="s">
        <v>23801</v>
      </c>
      <c r="D19318" s="38" t="str">
        <f>IFERROR(__xludf.DUMMYFUNCTION("REGEXREPLACE(C19318,""-\d+(.*)|--\d+(.*)"","""")"),"SAINT-AMANT-ROCHE-SAVINE")</f>
        <v>SAINT-AMANT-ROCHE-SAVINE</v>
      </c>
      <c r="E19318" s="38" t="s">
        <v>353</v>
      </c>
      <c r="F19318" s="38" t="s">
        <v>161</v>
      </c>
      <c r="G19318" s="49" t="str">
        <f t="shared" si="1"/>
        <v>63890</v>
      </c>
      <c r="H19318" s="49">
        <f t="shared" si="2"/>
        <v>63314</v>
      </c>
    </row>
    <row r="19319">
      <c r="A19319" s="48" t="s">
        <v>1750</v>
      </c>
      <c r="B19319" s="38">
        <v>37172.0</v>
      </c>
      <c r="C19319" s="38" t="s">
        <v>23802</v>
      </c>
      <c r="D19319" s="38" t="str">
        <f>IFERROR(__xludf.DUMMYFUNCTION("REGEXREPLACE(C19319,""-\d+(.*)|--\d+(.*)"","""")"),"NOTRE-DAME-D'OE")</f>
        <v>NOTRE-DAME-D'OE</v>
      </c>
      <c r="E19319" s="38" t="s">
        <v>205</v>
      </c>
      <c r="F19319" s="38" t="s">
        <v>123</v>
      </c>
      <c r="G19319" s="49" t="str">
        <f t="shared" si="1"/>
        <v>37390</v>
      </c>
      <c r="H19319" s="49">
        <f t="shared" si="2"/>
        <v>37172</v>
      </c>
    </row>
    <row r="19320">
      <c r="A19320" s="48" t="s">
        <v>3346</v>
      </c>
      <c r="B19320" s="38">
        <v>65361.0</v>
      </c>
      <c r="C19320" s="38" t="s">
        <v>23803</v>
      </c>
      <c r="D19320" s="38" t="str">
        <f>IFERROR(__xludf.DUMMYFUNCTION("REGEXREPLACE(C19320,""-\d+(.*)|--\d+(.*)"","""")"),"PEYRUN")</f>
        <v>PEYRUN</v>
      </c>
      <c r="E19320" s="38" t="s">
        <v>200</v>
      </c>
      <c r="F19320" s="38" t="s">
        <v>94</v>
      </c>
      <c r="G19320" s="49" t="str">
        <f t="shared" si="1"/>
        <v>65140</v>
      </c>
      <c r="H19320" s="49">
        <f t="shared" si="2"/>
        <v>65361</v>
      </c>
    </row>
    <row r="19321">
      <c r="A19321" s="48" t="s">
        <v>4939</v>
      </c>
      <c r="B19321" s="38">
        <v>23099.0</v>
      </c>
      <c r="C19321" s="38" t="s">
        <v>23804</v>
      </c>
      <c r="D19321" s="38" t="str">
        <f>IFERROR(__xludf.DUMMYFUNCTION("REGEXREPLACE(C19321,""-\d+(.*)|--\d+(.*)"","""")"),"JANAILLAT")</f>
        <v>JANAILLAT</v>
      </c>
      <c r="E19321" s="38" t="s">
        <v>97</v>
      </c>
      <c r="F19321" s="38" t="s">
        <v>98</v>
      </c>
      <c r="G19321" s="49" t="str">
        <f t="shared" si="1"/>
        <v>23250</v>
      </c>
      <c r="H19321" s="49">
        <f t="shared" si="2"/>
        <v>23099</v>
      </c>
    </row>
    <row r="19322">
      <c r="A19322" s="48" t="s">
        <v>4886</v>
      </c>
      <c r="B19322" s="38">
        <v>3025.0</v>
      </c>
      <c r="C19322" s="38" t="s">
        <v>23805</v>
      </c>
      <c r="D19322" s="38" t="str">
        <f>IFERROR(__xludf.DUMMYFUNCTION("REGEXREPLACE(C19322,""-\d+(.*)|--\d+(.*)"","""")"),"BESSAY-SUR-ALLIER")</f>
        <v>BESSAY-SUR-ALLIER</v>
      </c>
      <c r="E19322" s="38" t="s">
        <v>160</v>
      </c>
      <c r="F19322" s="38" t="s">
        <v>161</v>
      </c>
      <c r="G19322" s="49" t="str">
        <f t="shared" si="1"/>
        <v>03340</v>
      </c>
      <c r="H19322" s="49" t="str">
        <f t="shared" si="2"/>
        <v>03025</v>
      </c>
    </row>
    <row r="19323">
      <c r="A19323" s="48" t="s">
        <v>13193</v>
      </c>
      <c r="B19323" s="38">
        <v>50474.0</v>
      </c>
      <c r="C19323" s="38" t="s">
        <v>23806</v>
      </c>
      <c r="D19323" s="38" t="str">
        <f>IFERROR(__xludf.DUMMYFUNCTION("REGEXREPLACE(C19323,""-\d+(.*)|--\d+(.*)"","""")"),"SAINT-GEORGES-DE-ROUELLEY")</f>
        <v>SAINT-GEORGES-DE-ROUELLEY</v>
      </c>
      <c r="E19323" s="38" t="s">
        <v>157</v>
      </c>
      <c r="F19323" s="38" t="s">
        <v>138</v>
      </c>
      <c r="G19323" s="49" t="str">
        <f t="shared" si="1"/>
        <v>50720</v>
      </c>
      <c r="H19323" s="49">
        <f t="shared" si="2"/>
        <v>50474</v>
      </c>
    </row>
    <row r="19324">
      <c r="A19324" s="48" t="s">
        <v>2370</v>
      </c>
      <c r="B19324" s="38">
        <v>33283.0</v>
      </c>
      <c r="C19324" s="38" t="s">
        <v>23807</v>
      </c>
      <c r="D19324" s="38" t="str">
        <f>IFERROR(__xludf.DUMMYFUNCTION("REGEXREPLACE(C19324,""-\d+(.*)|--\d+(.*)"","""")"),"MESTERRIEUX")</f>
        <v>MESTERRIEUX</v>
      </c>
      <c r="E19324" s="38" t="s">
        <v>462</v>
      </c>
      <c r="F19324" s="38" t="s">
        <v>252</v>
      </c>
      <c r="G19324" s="49" t="str">
        <f t="shared" si="1"/>
        <v>33540</v>
      </c>
      <c r="H19324" s="49">
        <f t="shared" si="2"/>
        <v>33283</v>
      </c>
    </row>
    <row r="19325">
      <c r="A19325" s="48" t="s">
        <v>9262</v>
      </c>
      <c r="B19325" s="38">
        <v>16070.0</v>
      </c>
      <c r="C19325" s="38" t="s">
        <v>23808</v>
      </c>
      <c r="D19325" s="38" t="str">
        <f>IFERROR(__xludf.DUMMYFUNCTION("REGEXREPLACE(C19325,""-\d+(.*)|--\d+(.*)"","""")"),"CHABANAIS")</f>
        <v>CHABANAIS</v>
      </c>
      <c r="E19325" s="38" t="s">
        <v>429</v>
      </c>
      <c r="F19325" s="38" t="s">
        <v>338</v>
      </c>
      <c r="G19325" s="49" t="str">
        <f t="shared" si="1"/>
        <v>16150</v>
      </c>
      <c r="H19325" s="49">
        <f t="shared" si="2"/>
        <v>16070</v>
      </c>
    </row>
    <row r="19326">
      <c r="A19326" s="48" t="s">
        <v>15700</v>
      </c>
      <c r="B19326" s="38">
        <v>53126.0</v>
      </c>
      <c r="C19326" s="38" t="s">
        <v>23809</v>
      </c>
      <c r="D19326" s="38" t="str">
        <f>IFERROR(__xludf.DUMMYFUNCTION("REGEXREPLACE(C19326,""-\d+(.*)|--\d+(.*)"","""")"),"LARCHAMP")</f>
        <v>LARCHAMP</v>
      </c>
      <c r="E19326" s="38" t="s">
        <v>518</v>
      </c>
      <c r="F19326" s="38" t="s">
        <v>180</v>
      </c>
      <c r="G19326" s="49" t="str">
        <f t="shared" si="1"/>
        <v>53220</v>
      </c>
      <c r="H19326" s="49">
        <f t="shared" si="2"/>
        <v>53126</v>
      </c>
    </row>
    <row r="19327">
      <c r="A19327" s="48" t="s">
        <v>6728</v>
      </c>
      <c r="B19327" s="38">
        <v>89374.0</v>
      </c>
      <c r="C19327" s="38" t="s">
        <v>23810</v>
      </c>
      <c r="D19327" s="38" t="str">
        <f>IFERROR(__xludf.DUMMYFUNCTION("REGEXREPLACE(C19327,""-\d+(.*)|--\d+(.*)"","""")"),"SAMBOURG")</f>
        <v>SAMBOURG</v>
      </c>
      <c r="E19327" s="38" t="s">
        <v>275</v>
      </c>
      <c r="F19327" s="38" t="s">
        <v>106</v>
      </c>
      <c r="G19327" s="49" t="str">
        <f t="shared" si="1"/>
        <v>89160</v>
      </c>
      <c r="H19327" s="49">
        <f t="shared" si="2"/>
        <v>89374</v>
      </c>
    </row>
    <row r="19328">
      <c r="A19328" s="48" t="s">
        <v>15250</v>
      </c>
      <c r="B19328" s="38">
        <v>86287.0</v>
      </c>
      <c r="C19328" s="38" t="s">
        <v>23811</v>
      </c>
      <c r="D19328" s="38" t="str">
        <f>IFERROR(__xludf.DUMMYFUNCTION("REGEXREPLACE(C19328,""-\d+(.*)|--\d+(.*)"","""")"),"VEZIERES")</f>
        <v>VEZIERES</v>
      </c>
      <c r="E19328" s="38" t="s">
        <v>529</v>
      </c>
      <c r="F19328" s="38" t="s">
        <v>338</v>
      </c>
      <c r="G19328" s="49" t="str">
        <f t="shared" si="1"/>
        <v>86120</v>
      </c>
      <c r="H19328" s="49">
        <f t="shared" si="2"/>
        <v>86287</v>
      </c>
    </row>
    <row r="19329">
      <c r="A19329" s="48" t="s">
        <v>7758</v>
      </c>
      <c r="B19329" s="38">
        <v>63471.0</v>
      </c>
      <c r="C19329" s="38" t="s">
        <v>23812</v>
      </c>
      <c r="D19329" s="38" t="str">
        <f>IFERROR(__xludf.DUMMYFUNCTION("REGEXREPLACE(C19329,""-\d+(.*)|--\d+(.*)"","""")"),"YOUX")</f>
        <v>YOUX</v>
      </c>
      <c r="E19329" s="38" t="s">
        <v>353</v>
      </c>
      <c r="F19329" s="38" t="s">
        <v>161</v>
      </c>
      <c r="G19329" s="49" t="str">
        <f t="shared" si="1"/>
        <v>63700</v>
      </c>
      <c r="H19329" s="49">
        <f t="shared" si="2"/>
        <v>63471</v>
      </c>
    </row>
    <row r="19330">
      <c r="A19330" s="48" t="s">
        <v>4499</v>
      </c>
      <c r="B19330" s="38">
        <v>25002.0</v>
      </c>
      <c r="C19330" s="38" t="s">
        <v>23813</v>
      </c>
      <c r="D19330" s="38" t="str">
        <f>IFERROR(__xludf.DUMMYFUNCTION("REGEXREPLACE(C19330,""-\d+(.*)|--\d+(.*)"","""")"),"ABBANS-DESSUS")</f>
        <v>ABBANS-DESSUS</v>
      </c>
      <c r="E19330" s="38" t="s">
        <v>213</v>
      </c>
      <c r="F19330" s="38" t="s">
        <v>214</v>
      </c>
      <c r="G19330" s="49" t="str">
        <f t="shared" si="1"/>
        <v>25440</v>
      </c>
      <c r="H19330" s="49">
        <f t="shared" si="2"/>
        <v>25002</v>
      </c>
    </row>
    <row r="19331">
      <c r="A19331" s="48" t="s">
        <v>17340</v>
      </c>
      <c r="B19331" s="38">
        <v>62817.0</v>
      </c>
      <c r="C19331" s="38" t="s">
        <v>23814</v>
      </c>
      <c r="D19331" s="38" t="str">
        <f>IFERROR(__xludf.DUMMYFUNCTION("REGEXREPLACE(C19331,""-\d+(.*)|--\d+(.*)"","""")"),"TILLOY-LES-MOFFLAINES")</f>
        <v>TILLOY-LES-MOFFLAINES</v>
      </c>
      <c r="E19331" s="38" t="s">
        <v>109</v>
      </c>
      <c r="F19331" s="38" t="s">
        <v>86</v>
      </c>
      <c r="G19331" s="49" t="str">
        <f t="shared" si="1"/>
        <v>62217</v>
      </c>
      <c r="H19331" s="49">
        <f t="shared" si="2"/>
        <v>62817</v>
      </c>
    </row>
    <row r="19332">
      <c r="A19332" s="48" t="s">
        <v>1170</v>
      </c>
      <c r="B19332" s="38">
        <v>14402.0</v>
      </c>
      <c r="C19332" s="38" t="s">
        <v>23815</v>
      </c>
      <c r="D19332" s="38" t="str">
        <f>IFERROR(__xludf.DUMMYFUNCTION("REGEXREPLACE(C19332,""-\d+(.*)|--\d+(.*)"","""")"),"LE MARAIS-LA-CHAPELLE")</f>
        <v>LE MARAIS-LA-CHAPELLE</v>
      </c>
      <c r="E19332" s="38" t="s">
        <v>137</v>
      </c>
      <c r="F19332" s="38" t="s">
        <v>138</v>
      </c>
      <c r="G19332" s="49" t="str">
        <f t="shared" si="1"/>
        <v>14620</v>
      </c>
      <c r="H19332" s="49">
        <f t="shared" si="2"/>
        <v>14402</v>
      </c>
    </row>
    <row r="19333">
      <c r="A19333" s="48" t="s">
        <v>5041</v>
      </c>
      <c r="B19333" s="38">
        <v>3281.0</v>
      </c>
      <c r="C19333" s="38" t="s">
        <v>21993</v>
      </c>
      <c r="D19333" s="38" t="str">
        <f>IFERROR(__xludf.DUMMYFUNCTION("REGEXREPLACE(C19333,""-\d+(.*)|--\d+(.*)"","""")"),"LE THEIL")</f>
        <v>LE THEIL</v>
      </c>
      <c r="E19333" s="38" t="s">
        <v>160</v>
      </c>
      <c r="F19333" s="38" t="s">
        <v>161</v>
      </c>
      <c r="G19333" s="49" t="str">
        <f t="shared" si="1"/>
        <v>03240</v>
      </c>
      <c r="H19333" s="49" t="str">
        <f t="shared" si="2"/>
        <v>03281</v>
      </c>
    </row>
    <row r="19334">
      <c r="A19334" s="48" t="s">
        <v>1002</v>
      </c>
      <c r="B19334" s="38">
        <v>46226.0</v>
      </c>
      <c r="C19334" s="38" t="s">
        <v>23816</v>
      </c>
      <c r="D19334" s="38" t="str">
        <f>IFERROR(__xludf.DUMMYFUNCTION("REGEXREPLACE(C19334,""-\d+(.*)|--\d+(.*)"","""")"),"PRENDEIGNES")</f>
        <v>PRENDEIGNES</v>
      </c>
      <c r="E19334" s="38" t="s">
        <v>185</v>
      </c>
      <c r="F19334" s="38" t="s">
        <v>94</v>
      </c>
      <c r="G19334" s="49" t="str">
        <f t="shared" si="1"/>
        <v>46270</v>
      </c>
      <c r="H19334" s="49">
        <f t="shared" si="2"/>
        <v>46226</v>
      </c>
    </row>
    <row r="19335">
      <c r="A19335" s="48" t="s">
        <v>6977</v>
      </c>
      <c r="B19335" s="38">
        <v>22134.0</v>
      </c>
      <c r="C19335" s="38" t="s">
        <v>23817</v>
      </c>
      <c r="D19335" s="38" t="str">
        <f>IFERROR(__xludf.DUMMYFUNCTION("REGEXREPLACE(C19335,""-\d+(.*)|--\d+(.*)"","""")"),"LOUANNEC")</f>
        <v>LOUANNEC</v>
      </c>
      <c r="E19335" s="38" t="s">
        <v>89</v>
      </c>
      <c r="F19335" s="38" t="s">
        <v>90</v>
      </c>
      <c r="G19335" s="49" t="str">
        <f t="shared" si="1"/>
        <v>22700</v>
      </c>
      <c r="H19335" s="49">
        <f t="shared" si="2"/>
        <v>22134</v>
      </c>
    </row>
    <row r="19336">
      <c r="A19336" s="48" t="s">
        <v>7462</v>
      </c>
      <c r="B19336" s="38">
        <v>25357.0</v>
      </c>
      <c r="C19336" s="38" t="s">
        <v>23818</v>
      </c>
      <c r="D19336" s="38" t="str">
        <f>IFERROR(__xludf.DUMMYFUNCTION("REGEXREPLACE(C19336,""-\d+(.*)|--\d+(.*)"","""")"),"MAISONS-DU-BOIS-LIEVREMONT")</f>
        <v>MAISONS-DU-BOIS-LIEVREMONT</v>
      </c>
      <c r="E19336" s="38" t="s">
        <v>213</v>
      </c>
      <c r="F19336" s="38" t="s">
        <v>214</v>
      </c>
      <c r="G19336" s="49" t="str">
        <f t="shared" si="1"/>
        <v>25650</v>
      </c>
      <c r="H19336" s="49">
        <f t="shared" si="2"/>
        <v>25357</v>
      </c>
    </row>
    <row r="19337">
      <c r="A19337" s="48" t="s">
        <v>13871</v>
      </c>
      <c r="B19337" s="38">
        <v>73184.0</v>
      </c>
      <c r="C19337" s="38" t="s">
        <v>23819</v>
      </c>
      <c r="D19337" s="38" t="str">
        <f>IFERROR(__xludf.DUMMYFUNCTION("REGEXREPLACE(C19337,""-\d+(.*)|--\d+(.*)"","""")"),"NANCES")</f>
        <v>NANCES</v>
      </c>
      <c r="E19337" s="38" t="s">
        <v>306</v>
      </c>
      <c r="F19337" s="38" t="s">
        <v>102</v>
      </c>
      <c r="G19337" s="49" t="str">
        <f t="shared" si="1"/>
        <v>73470</v>
      </c>
      <c r="H19337" s="49">
        <f t="shared" si="2"/>
        <v>73184</v>
      </c>
    </row>
    <row r="19338">
      <c r="A19338" s="48" t="s">
        <v>3543</v>
      </c>
      <c r="B19338" s="38">
        <v>81235.0</v>
      </c>
      <c r="C19338" s="38" t="s">
        <v>23820</v>
      </c>
      <c r="D19338" s="38" t="str">
        <f>IFERROR(__xludf.DUMMYFUNCTION("REGEXREPLACE(C19338,""-\d+(.*)|--\d+(.*)"","""")"),"SAINT-AFFRIQUE-LES-MONTAGNES")</f>
        <v>SAINT-AFFRIQUE-LES-MONTAGNES</v>
      </c>
      <c r="E19338" s="38" t="s">
        <v>231</v>
      </c>
      <c r="F19338" s="38" t="s">
        <v>94</v>
      </c>
      <c r="G19338" s="49" t="str">
        <f t="shared" si="1"/>
        <v>81290</v>
      </c>
      <c r="H19338" s="49">
        <f t="shared" si="2"/>
        <v>81235</v>
      </c>
    </row>
    <row r="19339">
      <c r="A19339" s="48" t="s">
        <v>3266</v>
      </c>
      <c r="B19339" s="38">
        <v>55543.0</v>
      </c>
      <c r="C19339" s="38" t="s">
        <v>23821</v>
      </c>
      <c r="D19339" s="38" t="str">
        <f>IFERROR(__xludf.DUMMYFUNCTION("REGEXREPLACE(C19339,""-\d+(.*)|--\d+(.*)"","""")"),"VELAINES")</f>
        <v>VELAINES</v>
      </c>
      <c r="E19339" s="38" t="s">
        <v>322</v>
      </c>
      <c r="F19339" s="38" t="s">
        <v>195</v>
      </c>
      <c r="G19339" s="49" t="str">
        <f t="shared" si="1"/>
        <v>55500</v>
      </c>
      <c r="H19339" s="49">
        <f t="shared" si="2"/>
        <v>55543</v>
      </c>
    </row>
    <row r="19340">
      <c r="A19340" s="48" t="s">
        <v>19047</v>
      </c>
      <c r="B19340" s="38">
        <v>69190.0</v>
      </c>
      <c r="C19340" s="38" t="s">
        <v>23822</v>
      </c>
      <c r="D19340" s="38" t="str">
        <f>IFERROR(__xludf.DUMMYFUNCTION("REGEXREPLACE(C19340,""-\d+(.*)|--\d+(.*)"","""")"),"SAINTE-CONSORCE")</f>
        <v>SAINTE-CONSORCE</v>
      </c>
      <c r="E19340" s="38" t="s">
        <v>350</v>
      </c>
      <c r="F19340" s="38" t="s">
        <v>102</v>
      </c>
      <c r="G19340" s="49" t="str">
        <f t="shared" si="1"/>
        <v>69280</v>
      </c>
      <c r="H19340" s="49">
        <f t="shared" si="2"/>
        <v>69190</v>
      </c>
    </row>
    <row r="19341">
      <c r="A19341" s="48" t="s">
        <v>2433</v>
      </c>
      <c r="B19341" s="38">
        <v>70297.0</v>
      </c>
      <c r="C19341" s="38" t="s">
        <v>23823</v>
      </c>
      <c r="D19341" s="38" t="str">
        <f>IFERROR(__xludf.DUMMYFUNCTION("REGEXREPLACE(C19341,""-\d+(.*)|--\d+(.*)"","""")"),"LARRET")</f>
        <v>LARRET</v>
      </c>
      <c r="E19341" s="38" t="s">
        <v>956</v>
      </c>
      <c r="F19341" s="38" t="s">
        <v>214</v>
      </c>
      <c r="G19341" s="49" t="str">
        <f t="shared" si="1"/>
        <v>70600</v>
      </c>
      <c r="H19341" s="49">
        <f t="shared" si="2"/>
        <v>70297</v>
      </c>
    </row>
    <row r="19342">
      <c r="A19342" s="48" t="s">
        <v>7317</v>
      </c>
      <c r="B19342" s="38">
        <v>91671.0</v>
      </c>
      <c r="C19342" s="38" t="s">
        <v>23824</v>
      </c>
      <c r="D19342" s="38" t="str">
        <f>IFERROR(__xludf.DUMMYFUNCTION("REGEXREPLACE(C19342,""-\d+(.*)|--\d+(.*)"","""")"),"VILLENEUVE-SUR-AUVERS")</f>
        <v>VILLENEUVE-SUR-AUVERS</v>
      </c>
      <c r="E19342" s="38" t="s">
        <v>756</v>
      </c>
      <c r="F19342" s="38" t="s">
        <v>245</v>
      </c>
      <c r="G19342" s="49" t="str">
        <f t="shared" si="1"/>
        <v>91580</v>
      </c>
      <c r="H19342" s="49">
        <f t="shared" si="2"/>
        <v>91671</v>
      </c>
    </row>
    <row r="19343">
      <c r="A19343" s="48" t="s">
        <v>5499</v>
      </c>
      <c r="B19343" s="38">
        <v>47104.0</v>
      </c>
      <c r="C19343" s="38" t="s">
        <v>23825</v>
      </c>
      <c r="D19343" s="38" t="str">
        <f>IFERROR(__xludf.DUMMYFUNCTION("REGEXREPLACE(C19343,""-\d+(.*)|--\d+(.*)"","""")"),"FREGIMONT")</f>
        <v>FREGIMONT</v>
      </c>
      <c r="E19343" s="38" t="s">
        <v>251</v>
      </c>
      <c r="F19343" s="38" t="s">
        <v>252</v>
      </c>
      <c r="G19343" s="49" t="str">
        <f t="shared" si="1"/>
        <v>47360</v>
      </c>
      <c r="H19343" s="49">
        <f t="shared" si="2"/>
        <v>47104</v>
      </c>
    </row>
    <row r="19344">
      <c r="A19344" s="48" t="s">
        <v>23826</v>
      </c>
      <c r="B19344" s="38">
        <v>30036.0</v>
      </c>
      <c r="C19344" s="38" t="s">
        <v>23827</v>
      </c>
      <c r="D19344" s="38" t="str">
        <f>IFERROR(__xludf.DUMMYFUNCTION("REGEXREPLACE(C19344,""-\d+(.*)|--\d+(.*)"","""")"),"BERNIS")</f>
        <v>BERNIS</v>
      </c>
      <c r="E19344" s="38" t="s">
        <v>526</v>
      </c>
      <c r="F19344" s="38" t="s">
        <v>119</v>
      </c>
      <c r="G19344" s="49" t="str">
        <f t="shared" si="1"/>
        <v>30620</v>
      </c>
      <c r="H19344" s="49">
        <f t="shared" si="2"/>
        <v>30036</v>
      </c>
    </row>
    <row r="19345">
      <c r="A19345" s="48" t="s">
        <v>3000</v>
      </c>
      <c r="B19345" s="38">
        <v>23130.0</v>
      </c>
      <c r="C19345" s="38" t="s">
        <v>23828</v>
      </c>
      <c r="D19345" s="38" t="str">
        <f>IFERROR(__xludf.DUMMYFUNCTION("REGEXREPLACE(C19345,""-\d+(.*)|--\d+(.*)"","""")"),"MEASNES")</f>
        <v>MEASNES</v>
      </c>
      <c r="E19345" s="38" t="s">
        <v>97</v>
      </c>
      <c r="F19345" s="38" t="s">
        <v>98</v>
      </c>
      <c r="G19345" s="49" t="str">
        <f t="shared" si="1"/>
        <v>23360</v>
      </c>
      <c r="H19345" s="49">
        <f t="shared" si="2"/>
        <v>23130</v>
      </c>
    </row>
    <row r="19346">
      <c r="A19346" s="48" t="s">
        <v>4838</v>
      </c>
      <c r="B19346" s="38">
        <v>17241.0</v>
      </c>
      <c r="C19346" s="38" t="s">
        <v>23829</v>
      </c>
      <c r="D19346" s="38" t="str">
        <f>IFERROR(__xludf.DUMMYFUNCTION("REGEXREPLACE(C19346,""-\d+(.*)|--\d+(.*)"","""")"),"MONTGUYON")</f>
        <v>MONTGUYON</v>
      </c>
      <c r="E19346" s="38" t="s">
        <v>488</v>
      </c>
      <c r="F19346" s="38" t="s">
        <v>338</v>
      </c>
      <c r="G19346" s="49" t="str">
        <f t="shared" si="1"/>
        <v>17270</v>
      </c>
      <c r="H19346" s="49">
        <f t="shared" si="2"/>
        <v>17241</v>
      </c>
    </row>
    <row r="19347">
      <c r="A19347" s="48" t="s">
        <v>2993</v>
      </c>
      <c r="B19347" s="38">
        <v>66210.0</v>
      </c>
      <c r="C19347" s="38" t="s">
        <v>23830</v>
      </c>
      <c r="D19347" s="38" t="str">
        <f>IFERROR(__xludf.DUMMYFUNCTION("REGEXREPLACE(C19347,""-\d+(.*)|--\d+(.*)"","""")"),"THUIR")</f>
        <v>THUIR</v>
      </c>
      <c r="E19347" s="38" t="s">
        <v>248</v>
      </c>
      <c r="F19347" s="38" t="s">
        <v>119</v>
      </c>
      <c r="G19347" s="49" t="str">
        <f t="shared" si="1"/>
        <v>66300</v>
      </c>
      <c r="H19347" s="49">
        <f t="shared" si="2"/>
        <v>66210</v>
      </c>
    </row>
    <row r="19348">
      <c r="A19348" s="48" t="s">
        <v>10970</v>
      </c>
      <c r="B19348" s="38">
        <v>59579.0</v>
      </c>
      <c r="C19348" s="38" t="s">
        <v>23831</v>
      </c>
      <c r="D19348" s="38" t="str">
        <f>IFERROR(__xludf.DUMMYFUNCTION("REGEXREPLACE(C19348,""-\d+(.*)|--\d+(.*)"","""")"),"STEENE")</f>
        <v>STEENE</v>
      </c>
      <c r="E19348" s="38" t="s">
        <v>85</v>
      </c>
      <c r="F19348" s="38" t="s">
        <v>86</v>
      </c>
      <c r="G19348" s="49" t="str">
        <f t="shared" si="1"/>
        <v>59380</v>
      </c>
      <c r="H19348" s="49">
        <f t="shared" si="2"/>
        <v>59579</v>
      </c>
    </row>
    <row r="19349">
      <c r="A19349" s="48" t="s">
        <v>23832</v>
      </c>
      <c r="B19349" s="38">
        <v>49048.0</v>
      </c>
      <c r="C19349" s="38" t="s">
        <v>23833</v>
      </c>
      <c r="D19349" s="38" t="str">
        <f>IFERROR(__xludf.DUMMYFUNCTION("REGEXREPLACE(C19349,""-\d+(.*)|--\d+(.*)"","""")"),"BRIOLLAY")</f>
        <v>BRIOLLAY</v>
      </c>
      <c r="E19349" s="38" t="s">
        <v>653</v>
      </c>
      <c r="F19349" s="38" t="s">
        <v>180</v>
      </c>
      <c r="G19349" s="49" t="str">
        <f t="shared" si="1"/>
        <v>49125</v>
      </c>
      <c r="H19349" s="49">
        <f t="shared" si="2"/>
        <v>49048</v>
      </c>
    </row>
    <row r="19350">
      <c r="A19350" s="48" t="s">
        <v>2186</v>
      </c>
      <c r="B19350" s="38">
        <v>26023.0</v>
      </c>
      <c r="C19350" s="38" t="s">
        <v>23834</v>
      </c>
      <c r="D19350" s="38" t="str">
        <f>IFERROR(__xludf.DUMMYFUNCTION("REGEXREPLACE(C19350,""-\d+(.*)|--\d+(.*)"","""")"),"BARBIERES")</f>
        <v>BARBIERES</v>
      </c>
      <c r="E19350" s="38" t="s">
        <v>126</v>
      </c>
      <c r="F19350" s="38" t="s">
        <v>102</v>
      </c>
      <c r="G19350" s="49" t="str">
        <f t="shared" si="1"/>
        <v>26300</v>
      </c>
      <c r="H19350" s="49">
        <f t="shared" si="2"/>
        <v>26023</v>
      </c>
    </row>
    <row r="19351">
      <c r="A19351" s="48" t="s">
        <v>1016</v>
      </c>
      <c r="B19351" s="38">
        <v>28414.0</v>
      </c>
      <c r="C19351" s="38" t="s">
        <v>23835</v>
      </c>
      <c r="D19351" s="38" t="str">
        <f>IFERROR(__xludf.DUMMYFUNCTION("REGEXREPLACE(C19351,""-\d+(.*)|--\d+(.*)"","""")"),"VILLEBON")</f>
        <v>VILLEBON</v>
      </c>
      <c r="E19351" s="38" t="s">
        <v>300</v>
      </c>
      <c r="F19351" s="38" t="s">
        <v>123</v>
      </c>
      <c r="G19351" s="49" t="str">
        <f t="shared" si="1"/>
        <v>28190</v>
      </c>
      <c r="H19351" s="49">
        <f t="shared" si="2"/>
        <v>28414</v>
      </c>
    </row>
    <row r="19352">
      <c r="A19352" s="48" t="s">
        <v>5823</v>
      </c>
      <c r="B19352" s="38">
        <v>49156.0</v>
      </c>
      <c r="C19352" s="38" t="s">
        <v>23836</v>
      </c>
      <c r="D19352" s="38" t="str">
        <f>IFERROR(__xludf.DUMMYFUNCTION("REGEXREPLACE(C19352,""-\d+(.*)|--\d+(.*)"","""")"),"GRUGE-L'HOPITAL")</f>
        <v>GRUGE-L'HOPITAL</v>
      </c>
      <c r="E19352" s="38" t="s">
        <v>653</v>
      </c>
      <c r="F19352" s="38" t="s">
        <v>180</v>
      </c>
      <c r="G19352" s="49" t="str">
        <f t="shared" si="1"/>
        <v>49520</v>
      </c>
      <c r="H19352" s="49">
        <f t="shared" si="2"/>
        <v>49156</v>
      </c>
    </row>
    <row r="19353">
      <c r="A19353" s="48" t="s">
        <v>23837</v>
      </c>
      <c r="B19353" s="38">
        <v>17483.0</v>
      </c>
      <c r="C19353" s="38" t="s">
        <v>23838</v>
      </c>
      <c r="D19353" s="38" t="str">
        <f>IFERROR(__xludf.DUMMYFUNCTION("REGEXREPLACE(C19353,""-\d+(.*)|--\d+(.*)"","""")"),"YVES")</f>
        <v>YVES</v>
      </c>
      <c r="E19353" s="38" t="s">
        <v>488</v>
      </c>
      <c r="F19353" s="38" t="s">
        <v>338</v>
      </c>
      <c r="G19353" s="49" t="str">
        <f t="shared" si="1"/>
        <v>17340</v>
      </c>
      <c r="H19353" s="49">
        <f t="shared" si="2"/>
        <v>17483</v>
      </c>
    </row>
    <row r="19354">
      <c r="A19354" s="48" t="s">
        <v>2563</v>
      </c>
      <c r="B19354" s="38">
        <v>76521.0</v>
      </c>
      <c r="C19354" s="38" t="s">
        <v>23839</v>
      </c>
      <c r="D19354" s="38" t="str">
        <f>IFERROR(__xludf.DUMMYFUNCTION("REGEXREPLACE(C19354,""-\d+(.*)|--\d+(.*)"","""")"),"REBETS")</f>
        <v>REBETS</v>
      </c>
      <c r="E19354" s="38" t="s">
        <v>133</v>
      </c>
      <c r="F19354" s="38" t="s">
        <v>134</v>
      </c>
      <c r="G19354" s="49" t="str">
        <f t="shared" si="1"/>
        <v>76750</v>
      </c>
      <c r="H19354" s="49">
        <f t="shared" si="2"/>
        <v>76521</v>
      </c>
    </row>
    <row r="19355">
      <c r="A19355" s="48" t="s">
        <v>1918</v>
      </c>
      <c r="B19355" s="38">
        <v>10417.0</v>
      </c>
      <c r="C19355" s="38" t="s">
        <v>23840</v>
      </c>
      <c r="D19355" s="38" t="str">
        <f>IFERROR(__xludf.DUMMYFUNCTION("REGEXREPLACE(C19355,""-\d+(.*)|--\d+(.*)"","""")"),"VILLEMOIRON-EN-OTHE")</f>
        <v>VILLEMOIRON-EN-OTHE</v>
      </c>
      <c r="E19355" s="38" t="s">
        <v>147</v>
      </c>
      <c r="F19355" s="38" t="s">
        <v>130</v>
      </c>
      <c r="G19355" s="49" t="str">
        <f t="shared" si="1"/>
        <v>10160</v>
      </c>
      <c r="H19355" s="49">
        <f t="shared" si="2"/>
        <v>10417</v>
      </c>
    </row>
    <row r="19356">
      <c r="A19356" s="48" t="s">
        <v>6825</v>
      </c>
      <c r="B19356" s="38">
        <v>14503.0</v>
      </c>
      <c r="C19356" s="38" t="s">
        <v>2301</v>
      </c>
      <c r="D19356" s="38" t="str">
        <f>IFERROR(__xludf.DUMMYFUNCTION("REGEXREPLACE(C19356,""-\d+(.*)|--\d+(.*)"","""")"),"PIERRES")</f>
        <v>PIERRES</v>
      </c>
      <c r="E19356" s="38" t="s">
        <v>137</v>
      </c>
      <c r="F19356" s="38" t="s">
        <v>138</v>
      </c>
      <c r="G19356" s="49" t="str">
        <f t="shared" si="1"/>
        <v>14410</v>
      </c>
      <c r="H19356" s="49">
        <f t="shared" si="2"/>
        <v>14503</v>
      </c>
    </row>
    <row r="19357">
      <c r="A19357" s="48" t="s">
        <v>516</v>
      </c>
      <c r="B19357" s="38">
        <v>53236.0</v>
      </c>
      <c r="C19357" s="38" t="s">
        <v>3531</v>
      </c>
      <c r="D19357" s="38" t="str">
        <f>IFERROR(__xludf.DUMMYFUNCTION("REGEXREPLACE(C19357,""-\d+(.*)|--\d+(.*)"","""")"),"SAINT-MARS-DU-DESERT")</f>
        <v>SAINT-MARS-DU-DESERT</v>
      </c>
      <c r="E19357" s="38" t="s">
        <v>518</v>
      </c>
      <c r="F19357" s="38" t="s">
        <v>180</v>
      </c>
      <c r="G19357" s="49" t="str">
        <f t="shared" si="1"/>
        <v>53700</v>
      </c>
      <c r="H19357" s="49">
        <f t="shared" si="2"/>
        <v>53236</v>
      </c>
    </row>
    <row r="19358">
      <c r="A19358" s="48" t="s">
        <v>23841</v>
      </c>
      <c r="B19358" s="38">
        <v>84069.0</v>
      </c>
      <c r="C19358" s="38" t="s">
        <v>23842</v>
      </c>
      <c r="D19358" s="38" t="str">
        <f>IFERROR(__xludf.DUMMYFUNCTION("REGEXREPLACE(C19358,""-\d+(.*)|--\d+(.*)"","""")"),"MALAUCENE")</f>
        <v>MALAUCENE</v>
      </c>
      <c r="E19358" s="38" t="s">
        <v>1026</v>
      </c>
      <c r="F19358" s="38" t="s">
        <v>228</v>
      </c>
      <c r="G19358" s="49" t="str">
        <f t="shared" si="1"/>
        <v>84340</v>
      </c>
      <c r="H19358" s="49">
        <f t="shared" si="2"/>
        <v>84069</v>
      </c>
    </row>
    <row r="19359">
      <c r="A19359" s="48" t="s">
        <v>5357</v>
      </c>
      <c r="B19359" s="38">
        <v>19051.0</v>
      </c>
      <c r="C19359" s="38" t="s">
        <v>23843</v>
      </c>
      <c r="D19359" s="38" t="str">
        <f>IFERROR(__xludf.DUMMYFUNCTION("REGEXREPLACE(C19359,""-\d+(.*)|--\d+(.*)"","""")"),"CHAUMEIL")</f>
        <v>CHAUMEIL</v>
      </c>
      <c r="E19359" s="38" t="s">
        <v>271</v>
      </c>
      <c r="F19359" s="38" t="s">
        <v>98</v>
      </c>
      <c r="G19359" s="49" t="str">
        <f t="shared" si="1"/>
        <v>19390</v>
      </c>
      <c r="H19359" s="49">
        <f t="shared" si="2"/>
        <v>19051</v>
      </c>
    </row>
    <row r="19360">
      <c r="A19360" s="48" t="s">
        <v>3898</v>
      </c>
      <c r="B19360" s="38">
        <v>65052.0</v>
      </c>
      <c r="C19360" s="38" t="s">
        <v>23844</v>
      </c>
      <c r="D19360" s="38" t="str">
        <f>IFERROR(__xludf.DUMMYFUNCTION("REGEXREPLACE(C19360,""-\d+(.*)|--\d+(.*)"","""")"),"AVERAN")</f>
        <v>AVERAN</v>
      </c>
      <c r="E19360" s="38" t="s">
        <v>200</v>
      </c>
      <c r="F19360" s="38" t="s">
        <v>94</v>
      </c>
      <c r="G19360" s="49" t="str">
        <f t="shared" si="1"/>
        <v>65380</v>
      </c>
      <c r="H19360" s="49">
        <f t="shared" si="2"/>
        <v>65052</v>
      </c>
    </row>
    <row r="19361">
      <c r="A19361" s="48" t="s">
        <v>4907</v>
      </c>
      <c r="B19361" s="38">
        <v>73061.0</v>
      </c>
      <c r="C19361" s="38" t="s">
        <v>23845</v>
      </c>
      <c r="D19361" s="38" t="str">
        <f>IFERROR(__xludf.DUMMYFUNCTION("REGEXREPLACE(C19361,""-\d+(.*)|--\d+(.*)"","""")"),"CESARCHES")</f>
        <v>CESARCHES</v>
      </c>
      <c r="E19361" s="38" t="s">
        <v>306</v>
      </c>
      <c r="F19361" s="38" t="s">
        <v>102</v>
      </c>
      <c r="G19361" s="49" t="str">
        <f t="shared" si="1"/>
        <v>73200</v>
      </c>
      <c r="H19361" s="49">
        <f t="shared" si="2"/>
        <v>73061</v>
      </c>
    </row>
    <row r="19362">
      <c r="A19362" s="48" t="s">
        <v>23846</v>
      </c>
      <c r="B19362" s="38">
        <v>66048.0</v>
      </c>
      <c r="C19362" s="38" t="s">
        <v>23847</v>
      </c>
      <c r="D19362" s="38" t="str">
        <f>IFERROR(__xludf.DUMMYFUNCTION("REGEXREPLACE(C19362,""-\d+(.*)|--\d+(.*)"","""")"),"CERBERE")</f>
        <v>CERBERE</v>
      </c>
      <c r="E19362" s="38" t="s">
        <v>248</v>
      </c>
      <c r="F19362" s="38" t="s">
        <v>119</v>
      </c>
      <c r="G19362" s="49" t="str">
        <f t="shared" si="1"/>
        <v>66290</v>
      </c>
      <c r="H19362" s="49">
        <f t="shared" si="2"/>
        <v>66048</v>
      </c>
    </row>
    <row r="19363">
      <c r="A19363" s="48" t="s">
        <v>3291</v>
      </c>
      <c r="B19363" s="38">
        <v>3123.0</v>
      </c>
      <c r="C19363" s="38" t="s">
        <v>23848</v>
      </c>
      <c r="D19363" s="38" t="str">
        <f>IFERROR(__xludf.DUMMYFUNCTION("REGEXREPLACE(C19363,""-\d+(.*)|--\d+(.*)"","""")"),"GIVARLAIS")</f>
        <v>GIVARLAIS</v>
      </c>
      <c r="E19363" s="38" t="s">
        <v>160</v>
      </c>
      <c r="F19363" s="38" t="s">
        <v>161</v>
      </c>
      <c r="G19363" s="49" t="str">
        <f t="shared" si="1"/>
        <v>03190</v>
      </c>
      <c r="H19363" s="49" t="str">
        <f t="shared" si="2"/>
        <v>03123</v>
      </c>
    </row>
    <row r="19364">
      <c r="A19364" s="48" t="s">
        <v>983</v>
      </c>
      <c r="B19364" s="38">
        <v>52219.0</v>
      </c>
      <c r="C19364" s="38" t="s">
        <v>23849</v>
      </c>
      <c r="D19364" s="38" t="str">
        <f>IFERROR(__xludf.DUMMYFUNCTION("REGEXREPLACE(C19364,""-\d+(.*)|--\d+(.*)"","""")"),"GERMISAY")</f>
        <v>GERMISAY</v>
      </c>
      <c r="E19364" s="38" t="s">
        <v>234</v>
      </c>
      <c r="F19364" s="38" t="s">
        <v>130</v>
      </c>
      <c r="G19364" s="49" t="str">
        <f t="shared" si="1"/>
        <v>52230</v>
      </c>
      <c r="H19364" s="49">
        <f t="shared" si="2"/>
        <v>52219</v>
      </c>
    </row>
    <row r="19365">
      <c r="A19365" s="48" t="s">
        <v>23850</v>
      </c>
      <c r="B19365" s="38">
        <v>91222.0</v>
      </c>
      <c r="C19365" s="38" t="s">
        <v>23851</v>
      </c>
      <c r="D19365" s="38" t="str">
        <f>IFERROR(__xludf.DUMMYFUNCTION("REGEXREPLACE(C19365,""-\d+(.*)|--\d+(.*)"","""")"),"ESTOUCHES")</f>
        <v>ESTOUCHES</v>
      </c>
      <c r="E19365" s="38" t="s">
        <v>756</v>
      </c>
      <c r="F19365" s="38" t="s">
        <v>245</v>
      </c>
      <c r="G19365" s="49" t="str">
        <f t="shared" si="1"/>
        <v>91660</v>
      </c>
      <c r="H19365" s="49">
        <f t="shared" si="2"/>
        <v>91222</v>
      </c>
    </row>
    <row r="19366">
      <c r="A19366" s="48" t="s">
        <v>23852</v>
      </c>
      <c r="B19366" s="38">
        <v>97201.0</v>
      </c>
      <c r="C19366" s="38" t="s">
        <v>23853</v>
      </c>
      <c r="D19366" s="38" t="str">
        <f>IFERROR(__xludf.DUMMYFUNCTION("REGEXREPLACE(C19366,""-\d+(.*)|--\d+(.*)"","""")"),"L'AJOUPA-BOUILLON")</f>
        <v>L'AJOUPA-BOUILLON</v>
      </c>
      <c r="E19366" s="38" t="s">
        <v>2282</v>
      </c>
      <c r="F19366" s="38" t="s">
        <v>2282</v>
      </c>
      <c r="G19366" s="49" t="str">
        <f t="shared" si="1"/>
        <v>97216</v>
      </c>
      <c r="H19366" s="49">
        <f t="shared" si="2"/>
        <v>97201</v>
      </c>
    </row>
    <row r="19367">
      <c r="A19367" s="48" t="s">
        <v>1106</v>
      </c>
      <c r="B19367" s="38">
        <v>14703.0</v>
      </c>
      <c r="C19367" s="38" t="s">
        <v>23854</v>
      </c>
      <c r="D19367" s="38" t="str">
        <f>IFERROR(__xludf.DUMMYFUNCTION("REGEXREPLACE(C19367,""-\d+(.*)|--\d+(.*)"","""")"),"TOURNEBU")</f>
        <v>TOURNEBU</v>
      </c>
      <c r="E19367" s="38" t="s">
        <v>137</v>
      </c>
      <c r="F19367" s="38" t="s">
        <v>138</v>
      </c>
      <c r="G19367" s="49" t="str">
        <f t="shared" si="1"/>
        <v>14220</v>
      </c>
      <c r="H19367" s="49">
        <f t="shared" si="2"/>
        <v>14703</v>
      </c>
    </row>
    <row r="19368">
      <c r="A19368" s="48" t="s">
        <v>1544</v>
      </c>
      <c r="B19368" s="38">
        <v>2141.0</v>
      </c>
      <c r="C19368" s="38" t="s">
        <v>23855</v>
      </c>
      <c r="D19368" s="38" t="str">
        <f>IFERROR(__xludf.DUMMYFUNCTION("REGEXREPLACE(C19368,""-\d+(.*)|--\d+(.*)"","""")"),"LA CAPELLE")</f>
        <v>LA CAPELLE</v>
      </c>
      <c r="E19368" s="38" t="s">
        <v>191</v>
      </c>
      <c r="F19368" s="38" t="s">
        <v>113</v>
      </c>
      <c r="G19368" s="49" t="str">
        <f t="shared" si="1"/>
        <v>02260</v>
      </c>
      <c r="H19368" s="49" t="str">
        <f t="shared" si="2"/>
        <v>02141</v>
      </c>
    </row>
    <row r="19369">
      <c r="A19369" s="48" t="s">
        <v>3370</v>
      </c>
      <c r="B19369" s="38">
        <v>72080.0</v>
      </c>
      <c r="C19369" s="38" t="s">
        <v>1753</v>
      </c>
      <c r="D19369" s="38" t="str">
        <f>IFERROR(__xludf.DUMMYFUNCTION("REGEXREPLACE(C19369,""-\d+(.*)|--\d+(.*)"","""")"),"CHERRE")</f>
        <v>CHERRE</v>
      </c>
      <c r="E19369" s="38" t="s">
        <v>521</v>
      </c>
      <c r="F19369" s="38" t="s">
        <v>180</v>
      </c>
      <c r="G19369" s="49" t="str">
        <f t="shared" si="1"/>
        <v>72400</v>
      </c>
      <c r="H19369" s="49">
        <f t="shared" si="2"/>
        <v>72080</v>
      </c>
    </row>
    <row r="19370">
      <c r="A19370" s="48" t="s">
        <v>7923</v>
      </c>
      <c r="B19370" s="38">
        <v>32193.0</v>
      </c>
      <c r="C19370" s="38" t="s">
        <v>23856</v>
      </c>
      <c r="D19370" s="38" t="str">
        <f>IFERROR(__xludf.DUMMYFUNCTION("REGEXREPLACE(C19370,""-\d+(.*)|--\d+(.*)"","""")"),"LAREE")</f>
        <v>LAREE</v>
      </c>
      <c r="E19370" s="38" t="s">
        <v>440</v>
      </c>
      <c r="F19370" s="38" t="s">
        <v>94</v>
      </c>
      <c r="G19370" s="49" t="str">
        <f t="shared" si="1"/>
        <v>32150</v>
      </c>
      <c r="H19370" s="49">
        <f t="shared" si="2"/>
        <v>32193</v>
      </c>
    </row>
    <row r="19371">
      <c r="A19371" s="48" t="s">
        <v>8603</v>
      </c>
      <c r="B19371" s="38">
        <v>68287.0</v>
      </c>
      <c r="C19371" s="38" t="s">
        <v>23857</v>
      </c>
      <c r="D19371" s="38" t="str">
        <f>IFERROR(__xludf.DUMMYFUNCTION("REGEXREPLACE(C19371,""-\d+(.*)|--\d+(.*)"","""")"),"ROUFFACH")</f>
        <v>ROUFFACH</v>
      </c>
      <c r="E19371" s="38" t="s">
        <v>150</v>
      </c>
      <c r="F19371" s="38" t="s">
        <v>151</v>
      </c>
      <c r="G19371" s="49" t="str">
        <f t="shared" si="1"/>
        <v>68250</v>
      </c>
      <c r="H19371" s="49">
        <f t="shared" si="2"/>
        <v>68287</v>
      </c>
    </row>
    <row r="19372">
      <c r="A19372" s="48" t="s">
        <v>1364</v>
      </c>
      <c r="B19372" s="38">
        <v>64146.0</v>
      </c>
      <c r="C19372" s="38" t="s">
        <v>23858</v>
      </c>
      <c r="D19372" s="38" t="str">
        <f>IFERROR(__xludf.DUMMYFUNCTION("REGEXREPLACE(C19372,""-\d+(.*)|--\d+(.*)"","""")"),"BOURNOS")</f>
        <v>BOURNOS</v>
      </c>
      <c r="E19372" s="38" t="s">
        <v>268</v>
      </c>
      <c r="F19372" s="38" t="s">
        <v>252</v>
      </c>
      <c r="G19372" s="49" t="str">
        <f t="shared" si="1"/>
        <v>64450</v>
      </c>
      <c r="H19372" s="49">
        <f t="shared" si="2"/>
        <v>64146</v>
      </c>
    </row>
    <row r="19373">
      <c r="A19373" s="48" t="s">
        <v>13932</v>
      </c>
      <c r="B19373" s="38">
        <v>19287.0</v>
      </c>
      <c r="C19373" s="38" t="s">
        <v>23859</v>
      </c>
      <c r="D19373" s="38" t="str">
        <f>IFERROR(__xludf.DUMMYFUNCTION("REGEXREPLACE(C19373,""-\d+(.*)|--\d+(.*)"","""")"),"VITRAC-SUR-MONTANE")</f>
        <v>VITRAC-SUR-MONTANE</v>
      </c>
      <c r="E19373" s="38" t="s">
        <v>271</v>
      </c>
      <c r="F19373" s="38" t="s">
        <v>98</v>
      </c>
      <c r="G19373" s="49" t="str">
        <f t="shared" si="1"/>
        <v>19800</v>
      </c>
      <c r="H19373" s="49">
        <f t="shared" si="2"/>
        <v>19287</v>
      </c>
    </row>
    <row r="19374">
      <c r="A19374" s="48" t="s">
        <v>7423</v>
      </c>
      <c r="B19374" s="38">
        <v>22067.0</v>
      </c>
      <c r="C19374" s="38" t="s">
        <v>23860</v>
      </c>
      <c r="D19374" s="38" t="str">
        <f>IFERROR(__xludf.DUMMYFUNCTION("REGEXREPLACE(C19374,""-\d+(.*)|--\d+(.*)"","""")"),"GRACES")</f>
        <v>GRACES</v>
      </c>
      <c r="E19374" s="38" t="s">
        <v>89</v>
      </c>
      <c r="F19374" s="38" t="s">
        <v>90</v>
      </c>
      <c r="G19374" s="49" t="str">
        <f t="shared" si="1"/>
        <v>22200</v>
      </c>
      <c r="H19374" s="49">
        <f t="shared" si="2"/>
        <v>22067</v>
      </c>
    </row>
    <row r="19375">
      <c r="A19375" s="48" t="s">
        <v>6308</v>
      </c>
      <c r="B19375" s="38">
        <v>62190.0</v>
      </c>
      <c r="C19375" s="38" t="s">
        <v>23861</v>
      </c>
      <c r="D19375" s="38" t="str">
        <f>IFERROR(__xludf.DUMMYFUNCTION("REGEXREPLACE(C19375,""-\d+(.*)|--\d+(.*)"","""")"),"BUSNES")</f>
        <v>BUSNES</v>
      </c>
      <c r="E19375" s="38" t="s">
        <v>109</v>
      </c>
      <c r="F19375" s="38" t="s">
        <v>86</v>
      </c>
      <c r="G19375" s="49" t="str">
        <f t="shared" si="1"/>
        <v>62350</v>
      </c>
      <c r="H19375" s="49">
        <f t="shared" si="2"/>
        <v>62190</v>
      </c>
    </row>
    <row r="19376">
      <c r="A19376" s="48" t="s">
        <v>1673</v>
      </c>
      <c r="B19376" s="38">
        <v>5087.0</v>
      </c>
      <c r="C19376" s="38" t="s">
        <v>11220</v>
      </c>
      <c r="D19376" s="38" t="str">
        <f>IFERROR(__xludf.DUMMYFUNCTION("REGEXREPLACE(C19376,""-\d+(.*)|--\d+(.*)"","""")"),"MONTMAUR")</f>
        <v>MONTMAUR</v>
      </c>
      <c r="E19376" s="38" t="s">
        <v>706</v>
      </c>
      <c r="F19376" s="38" t="s">
        <v>228</v>
      </c>
      <c r="G19376" s="49" t="str">
        <f t="shared" si="1"/>
        <v>05400</v>
      </c>
      <c r="H19376" s="49" t="str">
        <f t="shared" si="2"/>
        <v>05087</v>
      </c>
    </row>
    <row r="19377">
      <c r="A19377" s="48" t="s">
        <v>1341</v>
      </c>
      <c r="B19377" s="38">
        <v>14690.0</v>
      </c>
      <c r="C19377" s="38" t="s">
        <v>23862</v>
      </c>
      <c r="D19377" s="38" t="str">
        <f>IFERROR(__xludf.DUMMYFUNCTION("REGEXREPLACE(C19377,""-\d+(.*)|--\d+(.*)"","""")"),"TIERCEVILLE")</f>
        <v>TIERCEVILLE</v>
      </c>
      <c r="E19377" s="38" t="s">
        <v>137</v>
      </c>
      <c r="F19377" s="38" t="s">
        <v>138</v>
      </c>
      <c r="G19377" s="49" t="str">
        <f t="shared" si="1"/>
        <v>14480</v>
      </c>
      <c r="H19377" s="49">
        <f t="shared" si="2"/>
        <v>14690</v>
      </c>
    </row>
    <row r="19378">
      <c r="A19378" s="48" t="s">
        <v>11867</v>
      </c>
      <c r="B19378" s="38">
        <v>34287.0</v>
      </c>
      <c r="C19378" s="38" t="s">
        <v>23863</v>
      </c>
      <c r="D19378" s="38" t="str">
        <f>IFERROR(__xludf.DUMMYFUNCTION("REGEXREPLACE(C19378,""-\d+(.*)|--\d+(.*)"","""")"),"SAINT-SATURNIN-DE-LUCIAN")</f>
        <v>SAINT-SATURNIN-DE-LUCIAN</v>
      </c>
      <c r="E19378" s="38" t="s">
        <v>118</v>
      </c>
      <c r="F19378" s="38" t="s">
        <v>119</v>
      </c>
      <c r="G19378" s="49" t="str">
        <f t="shared" si="1"/>
        <v>34725</v>
      </c>
      <c r="H19378" s="49">
        <f t="shared" si="2"/>
        <v>34287</v>
      </c>
    </row>
    <row r="19379">
      <c r="A19379" s="48" t="s">
        <v>1137</v>
      </c>
      <c r="B19379" s="38">
        <v>60220.0</v>
      </c>
      <c r="C19379" s="38" t="s">
        <v>23864</v>
      </c>
      <c r="D19379" s="38" t="str">
        <f>IFERROR(__xludf.DUMMYFUNCTION("REGEXREPLACE(C19379,""-\d+(.*)|--\d+(.*)"","""")"),"ESPAUBOURG")</f>
        <v>ESPAUBOURG</v>
      </c>
      <c r="E19379" s="38" t="s">
        <v>112</v>
      </c>
      <c r="F19379" s="38" t="s">
        <v>113</v>
      </c>
      <c r="G19379" s="49" t="str">
        <f t="shared" si="1"/>
        <v>60650</v>
      </c>
      <c r="H19379" s="49">
        <f t="shared" si="2"/>
        <v>60220</v>
      </c>
    </row>
    <row r="19380">
      <c r="A19380" s="48" t="s">
        <v>3821</v>
      </c>
      <c r="B19380" s="38">
        <v>57723.0</v>
      </c>
      <c r="C19380" s="38" t="s">
        <v>23865</v>
      </c>
      <c r="D19380" s="38" t="str">
        <f>IFERROR(__xludf.DUMMYFUNCTION("REGEXREPLACE(C19380,""-\d+(.*)|--\d+(.*)"","""")"),"VIRMING")</f>
        <v>VIRMING</v>
      </c>
      <c r="E19380" s="38" t="s">
        <v>303</v>
      </c>
      <c r="F19380" s="38" t="s">
        <v>195</v>
      </c>
      <c r="G19380" s="49" t="str">
        <f t="shared" si="1"/>
        <v>57340</v>
      </c>
      <c r="H19380" s="49">
        <f t="shared" si="2"/>
        <v>57723</v>
      </c>
    </row>
    <row r="19381">
      <c r="A19381" s="48" t="s">
        <v>1552</v>
      </c>
      <c r="B19381" s="38">
        <v>53077.0</v>
      </c>
      <c r="C19381" s="38" t="s">
        <v>23866</v>
      </c>
      <c r="D19381" s="38" t="str">
        <f>IFERROR(__xludf.DUMMYFUNCTION("REGEXREPLACE(C19381,""-\d+(.*)|--\d+(.*)"","""")"),"COSSE-LE-VIVIEN")</f>
        <v>COSSE-LE-VIVIEN</v>
      </c>
      <c r="E19381" s="38" t="s">
        <v>518</v>
      </c>
      <c r="F19381" s="38" t="s">
        <v>180</v>
      </c>
      <c r="G19381" s="49" t="str">
        <f t="shared" si="1"/>
        <v>53230</v>
      </c>
      <c r="H19381" s="49">
        <f t="shared" si="2"/>
        <v>53077</v>
      </c>
    </row>
    <row r="19382">
      <c r="A19382" s="48" t="s">
        <v>5101</v>
      </c>
      <c r="B19382" s="38">
        <v>54256.0</v>
      </c>
      <c r="C19382" s="38" t="s">
        <v>23867</v>
      </c>
      <c r="D19382" s="38" t="str">
        <f>IFERROR(__xludf.DUMMYFUNCTION("REGEXREPLACE(C19382,""-\d+(.*)|--\d+(.*)"","""")"),"HAUSSONVILLE")</f>
        <v>HAUSSONVILLE</v>
      </c>
      <c r="E19382" s="38" t="s">
        <v>548</v>
      </c>
      <c r="F19382" s="38" t="s">
        <v>195</v>
      </c>
      <c r="G19382" s="49" t="str">
        <f t="shared" si="1"/>
        <v>54290</v>
      </c>
      <c r="H19382" s="49">
        <f t="shared" si="2"/>
        <v>54256</v>
      </c>
    </row>
    <row r="19383">
      <c r="A19383" s="48" t="s">
        <v>2232</v>
      </c>
      <c r="B19383" s="38">
        <v>77248.0</v>
      </c>
      <c r="C19383" s="38" t="s">
        <v>23868</v>
      </c>
      <c r="D19383" s="38" t="str">
        <f>IFERROR(__xludf.DUMMYFUNCTION("REGEXREPLACE(C19383,""-\d+(.*)|--\d+(.*)"","""")"),"LESCHES")</f>
        <v>LESCHES</v>
      </c>
      <c r="E19383" s="38" t="s">
        <v>244</v>
      </c>
      <c r="F19383" s="38" t="s">
        <v>245</v>
      </c>
      <c r="G19383" s="49" t="str">
        <f t="shared" si="1"/>
        <v>77450</v>
      </c>
      <c r="H19383" s="49">
        <f t="shared" si="2"/>
        <v>77248</v>
      </c>
    </row>
    <row r="19384">
      <c r="A19384" s="48" t="s">
        <v>866</v>
      </c>
      <c r="B19384" s="38">
        <v>63375.0</v>
      </c>
      <c r="C19384" s="38" t="s">
        <v>23869</v>
      </c>
      <c r="D19384" s="38" t="str">
        <f>IFERROR(__xludf.DUMMYFUNCTION("REGEXREPLACE(C19384,""-\d+(.*)|--\d+(.*)"","""")"),"SAINT-MARTIN-DES-PLAINS")</f>
        <v>SAINT-MARTIN-DES-PLAINS</v>
      </c>
      <c r="E19384" s="38" t="s">
        <v>353</v>
      </c>
      <c r="F19384" s="38" t="s">
        <v>161</v>
      </c>
      <c r="G19384" s="49" t="str">
        <f t="shared" si="1"/>
        <v>63570</v>
      </c>
      <c r="H19384" s="49">
        <f t="shared" si="2"/>
        <v>63375</v>
      </c>
    </row>
    <row r="19385">
      <c r="A19385" s="48" t="s">
        <v>8032</v>
      </c>
      <c r="B19385" s="38">
        <v>46011.0</v>
      </c>
      <c r="C19385" s="38" t="s">
        <v>23870</v>
      </c>
      <c r="D19385" s="38" t="str">
        <f>IFERROR(__xludf.DUMMYFUNCTION("REGEXREPLACE(C19385,""-\d+(.*)|--\d+(.*)"","""")"),"AUTOIRE")</f>
        <v>AUTOIRE</v>
      </c>
      <c r="E19385" s="38" t="s">
        <v>185</v>
      </c>
      <c r="F19385" s="38" t="s">
        <v>94</v>
      </c>
      <c r="G19385" s="49" t="str">
        <f t="shared" si="1"/>
        <v>46400</v>
      </c>
      <c r="H19385" s="49">
        <f t="shared" si="2"/>
        <v>46011</v>
      </c>
    </row>
    <row r="19386">
      <c r="A19386" s="48" t="s">
        <v>6709</v>
      </c>
      <c r="B19386" s="38">
        <v>29034.0</v>
      </c>
      <c r="C19386" s="38" t="s">
        <v>23871</v>
      </c>
      <c r="D19386" s="38" t="str">
        <f>IFERROR(__xludf.DUMMYFUNCTION("REGEXREPLACE(C19386,""-\d+(.*)|--\d+(.*)"","""")"),"LE CLOITRE-SAINT-THEGONNEC")</f>
        <v>LE CLOITRE-SAINT-THEGONNEC</v>
      </c>
      <c r="E19386" s="38" t="s">
        <v>176</v>
      </c>
      <c r="F19386" s="38" t="s">
        <v>90</v>
      </c>
      <c r="G19386" s="49" t="str">
        <f t="shared" si="1"/>
        <v>29410</v>
      </c>
      <c r="H19386" s="49">
        <f t="shared" si="2"/>
        <v>29034</v>
      </c>
    </row>
    <row r="19387">
      <c r="A19387" s="48" t="s">
        <v>425</v>
      </c>
      <c r="B19387" s="38">
        <v>88130.0</v>
      </c>
      <c r="C19387" s="38" t="s">
        <v>23872</v>
      </c>
      <c r="D19387" s="38" t="str">
        <f>IFERROR(__xludf.DUMMYFUNCTION("REGEXREPLACE(C19387,""-\d+(.*)|--\d+(.*)"","""")"),"DESTORD")</f>
        <v>DESTORD</v>
      </c>
      <c r="E19387" s="38" t="s">
        <v>194</v>
      </c>
      <c r="F19387" s="38" t="s">
        <v>195</v>
      </c>
      <c r="G19387" s="49" t="str">
        <f t="shared" si="1"/>
        <v>88600</v>
      </c>
      <c r="H19387" s="49">
        <f t="shared" si="2"/>
        <v>88130</v>
      </c>
    </row>
    <row r="19388">
      <c r="A19388" s="48" t="s">
        <v>839</v>
      </c>
      <c r="B19388" s="38">
        <v>62818.0</v>
      </c>
      <c r="C19388" s="38" t="s">
        <v>23873</v>
      </c>
      <c r="D19388" s="38" t="str">
        <f>IFERROR(__xludf.DUMMYFUNCTION("REGEXREPLACE(C19388,""-\d+(.*)|--\d+(.*)"","""")"),"TILLY-CAPELLE")</f>
        <v>TILLY-CAPELLE</v>
      </c>
      <c r="E19388" s="38" t="s">
        <v>109</v>
      </c>
      <c r="F19388" s="38" t="s">
        <v>86</v>
      </c>
      <c r="G19388" s="49" t="str">
        <f t="shared" si="1"/>
        <v>62134</v>
      </c>
      <c r="H19388" s="49">
        <f t="shared" si="2"/>
        <v>62818</v>
      </c>
    </row>
    <row r="19389">
      <c r="A19389" s="48" t="s">
        <v>4095</v>
      </c>
      <c r="B19389" s="38">
        <v>23198.0</v>
      </c>
      <c r="C19389" s="38" t="s">
        <v>23874</v>
      </c>
      <c r="D19389" s="38" t="str">
        <f>IFERROR(__xludf.DUMMYFUNCTION("REGEXREPLACE(C19389,""-\d+(.*)|--\d+(.*)"","""")"),"SAINT-GEORGES-NIGREMONT")</f>
        <v>SAINT-GEORGES-NIGREMONT</v>
      </c>
      <c r="E19389" s="38" t="s">
        <v>97</v>
      </c>
      <c r="F19389" s="38" t="s">
        <v>98</v>
      </c>
      <c r="G19389" s="49" t="str">
        <f t="shared" si="1"/>
        <v>23500</v>
      </c>
      <c r="H19389" s="49">
        <f t="shared" si="2"/>
        <v>23198</v>
      </c>
    </row>
    <row r="19390">
      <c r="A19390" s="48" t="s">
        <v>3675</v>
      </c>
      <c r="B19390" s="38">
        <v>58190.0</v>
      </c>
      <c r="C19390" s="38" t="s">
        <v>23875</v>
      </c>
      <c r="D19390" s="38" t="str">
        <f>IFERROR(__xludf.DUMMYFUNCTION("REGEXREPLACE(C19390,""-\d+(.*)|--\d+(.*)"","""")"),"NEUFFONTAINES")</f>
        <v>NEUFFONTAINES</v>
      </c>
      <c r="E19390" s="38" t="s">
        <v>219</v>
      </c>
      <c r="F19390" s="38" t="s">
        <v>106</v>
      </c>
      <c r="G19390" s="49" t="str">
        <f t="shared" si="1"/>
        <v>58190</v>
      </c>
      <c r="H19390" s="49">
        <f t="shared" si="2"/>
        <v>58190</v>
      </c>
    </row>
    <row r="19391">
      <c r="A19391" s="48" t="s">
        <v>12547</v>
      </c>
      <c r="B19391" s="38">
        <v>60700.0</v>
      </c>
      <c r="C19391" s="38" t="s">
        <v>23876</v>
      </c>
      <c r="D19391" s="38" t="str">
        <f>IFERROR(__xludf.DUMMYFUNCTION("REGEXREPLACE(C19391,""-\d+(.*)|--\d+(.*)"","""")"),"WARLUIS")</f>
        <v>WARLUIS</v>
      </c>
      <c r="E19391" s="38" t="s">
        <v>112</v>
      </c>
      <c r="F19391" s="38" t="s">
        <v>113</v>
      </c>
      <c r="G19391" s="49" t="str">
        <f t="shared" si="1"/>
        <v>60430</v>
      </c>
      <c r="H19391" s="49">
        <f t="shared" si="2"/>
        <v>60700</v>
      </c>
    </row>
    <row r="19392">
      <c r="A19392" s="48" t="s">
        <v>6592</v>
      </c>
      <c r="B19392" s="38">
        <v>5019.0</v>
      </c>
      <c r="C19392" s="38" t="s">
        <v>23877</v>
      </c>
      <c r="D19392" s="38" t="str">
        <f>IFERROR(__xludf.DUMMYFUNCTION("REGEXREPLACE(C19392,""-\d+(.*)|--\d+(.*)"","""")"),"LA BEAUME")</f>
        <v>LA BEAUME</v>
      </c>
      <c r="E19392" s="38" t="s">
        <v>706</v>
      </c>
      <c r="F19392" s="38" t="s">
        <v>228</v>
      </c>
      <c r="G19392" s="49" t="str">
        <f t="shared" si="1"/>
        <v>05140</v>
      </c>
      <c r="H19392" s="49" t="str">
        <f t="shared" si="2"/>
        <v>05019</v>
      </c>
    </row>
    <row r="19393">
      <c r="A19393" s="48" t="s">
        <v>9632</v>
      </c>
      <c r="B19393" s="38">
        <v>28017.0</v>
      </c>
      <c r="C19393" s="38" t="s">
        <v>23878</v>
      </c>
      <c r="D19393" s="38" t="str">
        <f>IFERROR(__xludf.DUMMYFUNCTION("REGEXREPLACE(C19393,""-\d+(.*)|--\d+(.*)"","""")"),"AUTHEUIL")</f>
        <v>AUTHEUIL</v>
      </c>
      <c r="E19393" s="38" t="s">
        <v>300</v>
      </c>
      <c r="F19393" s="38" t="s">
        <v>123</v>
      </c>
      <c r="G19393" s="49" t="str">
        <f t="shared" si="1"/>
        <v>28220</v>
      </c>
      <c r="H19393" s="49">
        <f t="shared" si="2"/>
        <v>28017</v>
      </c>
    </row>
    <row r="19394">
      <c r="A19394" s="48" t="s">
        <v>1555</v>
      </c>
      <c r="B19394" s="38">
        <v>51522.0</v>
      </c>
      <c r="C19394" s="38" t="s">
        <v>23879</v>
      </c>
      <c r="D19394" s="38" t="str">
        <f>IFERROR(__xludf.DUMMYFUNCTION("REGEXREPLACE(C19394,""-\d+(.*)|--\d+(.*)"","""")"),"SAPIGNICOURT")</f>
        <v>SAPIGNICOURT</v>
      </c>
      <c r="E19394" s="38" t="s">
        <v>129</v>
      </c>
      <c r="F19394" s="38" t="s">
        <v>130</v>
      </c>
      <c r="G19394" s="49" t="str">
        <f t="shared" si="1"/>
        <v>52100</v>
      </c>
      <c r="H19394" s="49">
        <f t="shared" si="2"/>
        <v>51522</v>
      </c>
    </row>
    <row r="19395">
      <c r="A19395" s="48" t="s">
        <v>2845</v>
      </c>
      <c r="B19395" s="38" t="s">
        <v>23880</v>
      </c>
      <c r="C19395" s="38" t="s">
        <v>23881</v>
      </c>
      <c r="D19395" s="38" t="str">
        <f>IFERROR(__xludf.DUMMYFUNCTION("REGEXREPLACE(C19395,""-\d+(.*)|--\d+(.*)"","""")"),"SANTA-LUCIA-DI-MORIANI")</f>
        <v>SANTA-LUCIA-DI-MORIANI</v>
      </c>
      <c r="E19395" s="38" t="s">
        <v>743</v>
      </c>
      <c r="F19395" s="38" t="s">
        <v>607</v>
      </c>
      <c r="G19395" s="49" t="str">
        <f t="shared" si="1"/>
        <v>20230</v>
      </c>
      <c r="H19395" s="49" t="str">
        <f t="shared" si="2"/>
        <v>2B307</v>
      </c>
    </row>
    <row r="19396">
      <c r="A19396" s="48" t="s">
        <v>10008</v>
      </c>
      <c r="B19396" s="38">
        <v>36032.0</v>
      </c>
      <c r="C19396" s="38" t="s">
        <v>23882</v>
      </c>
      <c r="D19396" s="38" t="str">
        <f>IFERROR(__xludf.DUMMYFUNCTION("REGEXREPLACE(C19396,""-\d+(.*)|--\d+(.*)"","""")"),"CEAULMONT")</f>
        <v>CEAULMONT</v>
      </c>
      <c r="E19396" s="38" t="s">
        <v>258</v>
      </c>
      <c r="F19396" s="38" t="s">
        <v>123</v>
      </c>
      <c r="G19396" s="49" t="str">
        <f t="shared" si="1"/>
        <v>36200</v>
      </c>
      <c r="H19396" s="49">
        <f t="shared" si="2"/>
        <v>36032</v>
      </c>
    </row>
    <row r="19397">
      <c r="A19397" s="48" t="s">
        <v>578</v>
      </c>
      <c r="B19397" s="38">
        <v>52120.0</v>
      </c>
      <c r="C19397" s="38" t="s">
        <v>23883</v>
      </c>
      <c r="D19397" s="38" t="str">
        <f>IFERROR(__xludf.DUMMYFUNCTION("REGEXREPLACE(C19397,""-\d+(.*)|--\d+(.*)"","""")"),"CHAUFFOURT")</f>
        <v>CHAUFFOURT</v>
      </c>
      <c r="E19397" s="38" t="s">
        <v>234</v>
      </c>
      <c r="F19397" s="38" t="s">
        <v>130</v>
      </c>
      <c r="G19397" s="49" t="str">
        <f t="shared" si="1"/>
        <v>52140</v>
      </c>
      <c r="H19397" s="49">
        <f t="shared" si="2"/>
        <v>52120</v>
      </c>
    </row>
    <row r="19398">
      <c r="A19398" s="48" t="s">
        <v>8111</v>
      </c>
      <c r="B19398" s="38">
        <v>40127.0</v>
      </c>
      <c r="C19398" s="38" t="s">
        <v>23884</v>
      </c>
      <c r="D19398" s="38" t="str">
        <f>IFERROR(__xludf.DUMMYFUNCTION("REGEXREPLACE(C19398,""-\d+(.*)|--\d+(.*)"","""")"),"HONTANX")</f>
        <v>HONTANX</v>
      </c>
      <c r="E19398" s="38" t="s">
        <v>281</v>
      </c>
      <c r="F19398" s="38" t="s">
        <v>252</v>
      </c>
      <c r="G19398" s="49" t="str">
        <f t="shared" si="1"/>
        <v>40190</v>
      </c>
      <c r="H19398" s="49">
        <f t="shared" si="2"/>
        <v>40127</v>
      </c>
    </row>
    <row r="19399">
      <c r="A19399" s="48" t="s">
        <v>8502</v>
      </c>
      <c r="B19399" s="38">
        <v>67234.0</v>
      </c>
      <c r="C19399" s="38" t="s">
        <v>23885</v>
      </c>
      <c r="D19399" s="38" t="str">
        <f>IFERROR(__xludf.DUMMYFUNCTION("REGEXREPLACE(C19399,""-\d+(.*)|--\d+(.*)"","""")"),"KESKASTEL")</f>
        <v>KESKASTEL</v>
      </c>
      <c r="E19399" s="38" t="s">
        <v>210</v>
      </c>
      <c r="F19399" s="38" t="s">
        <v>151</v>
      </c>
      <c r="G19399" s="49" t="str">
        <f t="shared" si="1"/>
        <v>67260</v>
      </c>
      <c r="H19399" s="49">
        <f t="shared" si="2"/>
        <v>67234</v>
      </c>
    </row>
    <row r="19400">
      <c r="A19400" s="48" t="s">
        <v>1193</v>
      </c>
      <c r="B19400" s="38">
        <v>54386.0</v>
      </c>
      <c r="C19400" s="38" t="s">
        <v>23886</v>
      </c>
      <c r="D19400" s="38" t="str">
        <f>IFERROR(__xludf.DUMMYFUNCTION("REGEXREPLACE(C19400,""-\d+(.*)|--\d+(.*)"","""")"),"MORIVILLER")</f>
        <v>MORIVILLER</v>
      </c>
      <c r="E19400" s="38" t="s">
        <v>548</v>
      </c>
      <c r="F19400" s="38" t="s">
        <v>195</v>
      </c>
      <c r="G19400" s="49" t="str">
        <f t="shared" si="1"/>
        <v>54830</v>
      </c>
      <c r="H19400" s="49">
        <f t="shared" si="2"/>
        <v>54386</v>
      </c>
    </row>
    <row r="19401">
      <c r="A19401" s="48" t="s">
        <v>2530</v>
      </c>
      <c r="B19401" s="38">
        <v>79217.0</v>
      </c>
      <c r="C19401" s="38" t="s">
        <v>23887</v>
      </c>
      <c r="D19401" s="38" t="str">
        <f>IFERROR(__xludf.DUMMYFUNCTION("REGEXREPLACE(C19401,""-\d+(.*)|--\d+(.*)"","""")"),"PRAILLES")</f>
        <v>PRAILLES</v>
      </c>
      <c r="E19401" s="38" t="s">
        <v>337</v>
      </c>
      <c r="F19401" s="38" t="s">
        <v>338</v>
      </c>
      <c r="G19401" s="49" t="str">
        <f t="shared" si="1"/>
        <v>79370</v>
      </c>
      <c r="H19401" s="49">
        <f t="shared" si="2"/>
        <v>79217</v>
      </c>
    </row>
    <row r="19402">
      <c r="A19402" s="48" t="s">
        <v>11853</v>
      </c>
      <c r="B19402" s="38">
        <v>38012.0</v>
      </c>
      <c r="C19402" s="38" t="s">
        <v>23888</v>
      </c>
      <c r="D19402" s="38" t="str">
        <f>IFERROR(__xludf.DUMMYFUNCTION("REGEXREPLACE(C19402,""-\d+(.*)|--\d+(.*)"","""")"),"AOSTE")</f>
        <v>AOSTE</v>
      </c>
      <c r="E19402" s="38" t="s">
        <v>101</v>
      </c>
      <c r="F19402" s="38" t="s">
        <v>102</v>
      </c>
      <c r="G19402" s="49" t="str">
        <f t="shared" si="1"/>
        <v>38490</v>
      </c>
      <c r="H19402" s="49">
        <f t="shared" si="2"/>
        <v>38012</v>
      </c>
    </row>
    <row r="19403">
      <c r="A19403" s="48" t="s">
        <v>342</v>
      </c>
      <c r="B19403" s="38">
        <v>71567.0</v>
      </c>
      <c r="C19403" s="38" t="s">
        <v>23889</v>
      </c>
      <c r="D19403" s="38" t="str">
        <f>IFERROR(__xludf.DUMMYFUNCTION("REGEXREPLACE(C19403,""-\d+(.*)|--\d+(.*)"","""")"),"VERGISSON")</f>
        <v>VERGISSON</v>
      </c>
      <c r="E19403" s="38" t="s">
        <v>344</v>
      </c>
      <c r="F19403" s="38" t="s">
        <v>106</v>
      </c>
      <c r="G19403" s="49" t="str">
        <f t="shared" si="1"/>
        <v>71960</v>
      </c>
      <c r="H19403" s="49">
        <f t="shared" si="2"/>
        <v>71567</v>
      </c>
    </row>
    <row r="19404">
      <c r="A19404" s="48" t="s">
        <v>23890</v>
      </c>
      <c r="B19404" s="38">
        <v>5079.0</v>
      </c>
      <c r="C19404" s="38" t="s">
        <v>23891</v>
      </c>
      <c r="D19404" s="38" t="str">
        <f>IFERROR(__xludf.DUMMYFUNCTION("REGEXREPLACE(C19404,""-\d+(.*)|--\d+(.*)"","""")"),"LE MONETIER-LES-BAINS")</f>
        <v>LE MONETIER-LES-BAINS</v>
      </c>
      <c r="E19404" s="38" t="s">
        <v>706</v>
      </c>
      <c r="F19404" s="38" t="s">
        <v>228</v>
      </c>
      <c r="G19404" s="49" t="str">
        <f t="shared" si="1"/>
        <v>05220</v>
      </c>
      <c r="H19404" s="49" t="str">
        <f t="shared" si="2"/>
        <v>05079</v>
      </c>
    </row>
    <row r="19405">
      <c r="A19405" s="48" t="s">
        <v>1594</v>
      </c>
      <c r="B19405" s="38">
        <v>45175.0</v>
      </c>
      <c r="C19405" s="38" t="s">
        <v>23892</v>
      </c>
      <c r="D19405" s="38" t="str">
        <f>IFERROR(__xludf.DUMMYFUNCTION("REGEXREPLACE(C19405,""-\d+(.*)|--\d+(.*)"","""")"),"JOUY-LE-POTIER")</f>
        <v>JOUY-LE-POTIER</v>
      </c>
      <c r="E19405" s="38" t="s">
        <v>122</v>
      </c>
      <c r="F19405" s="38" t="s">
        <v>123</v>
      </c>
      <c r="G19405" s="49" t="str">
        <f t="shared" si="1"/>
        <v>45370</v>
      </c>
      <c r="H19405" s="49">
        <f t="shared" si="2"/>
        <v>45175</v>
      </c>
    </row>
    <row r="19406">
      <c r="A19406" s="48" t="s">
        <v>3889</v>
      </c>
      <c r="B19406" s="38">
        <v>87108.0</v>
      </c>
      <c r="C19406" s="38" t="s">
        <v>23893</v>
      </c>
      <c r="D19406" s="38" t="str">
        <f>IFERROR(__xludf.DUMMYFUNCTION("REGEXREPLACE(C19406,""-\d+(.*)|--\d+(.*)"","""")"),"NOUIC")</f>
        <v>NOUIC</v>
      </c>
      <c r="E19406" s="38" t="s">
        <v>897</v>
      </c>
      <c r="F19406" s="38" t="s">
        <v>98</v>
      </c>
      <c r="G19406" s="49" t="str">
        <f t="shared" si="1"/>
        <v>87330</v>
      </c>
      <c r="H19406" s="49">
        <f t="shared" si="2"/>
        <v>87108</v>
      </c>
    </row>
    <row r="19407">
      <c r="A19407" s="48" t="s">
        <v>23894</v>
      </c>
      <c r="B19407" s="38">
        <v>69022.0</v>
      </c>
      <c r="C19407" s="38" t="s">
        <v>23895</v>
      </c>
      <c r="D19407" s="38" t="str">
        <f>IFERROR(__xludf.DUMMYFUNCTION("REGEXREPLACE(C19407,""-\d+(.*)|--\d+(.*)"","""")"),"BIBOST")</f>
        <v>BIBOST</v>
      </c>
      <c r="E19407" s="38" t="s">
        <v>350</v>
      </c>
      <c r="F19407" s="38" t="s">
        <v>102</v>
      </c>
      <c r="G19407" s="49" t="str">
        <f t="shared" si="1"/>
        <v>69690</v>
      </c>
      <c r="H19407" s="49">
        <f t="shared" si="2"/>
        <v>69022</v>
      </c>
    </row>
    <row r="19408">
      <c r="A19408" s="48" t="s">
        <v>5195</v>
      </c>
      <c r="B19408" s="38">
        <v>47255.0</v>
      </c>
      <c r="C19408" s="38" t="s">
        <v>23896</v>
      </c>
      <c r="D19408" s="38" t="str">
        <f>IFERROR(__xludf.DUMMYFUNCTION("REGEXREPLACE(C19408,""-\d+(.*)|--\d+(.*)"","""")"),"SAINT-MARTIN-DE-BEAUVILLE")</f>
        <v>SAINT-MARTIN-DE-BEAUVILLE</v>
      </c>
      <c r="E19408" s="38" t="s">
        <v>251</v>
      </c>
      <c r="F19408" s="38" t="s">
        <v>252</v>
      </c>
      <c r="G19408" s="49" t="str">
        <f t="shared" si="1"/>
        <v>47270</v>
      </c>
      <c r="H19408" s="49">
        <f t="shared" si="2"/>
        <v>47255</v>
      </c>
    </row>
    <row r="19409">
      <c r="A19409" s="48" t="s">
        <v>5965</v>
      </c>
      <c r="B19409" s="38">
        <v>62811.0</v>
      </c>
      <c r="C19409" s="38" t="s">
        <v>23897</v>
      </c>
      <c r="D19409" s="38" t="str">
        <f>IFERROR(__xludf.DUMMYFUNCTION("REGEXREPLACE(C19409,""-\d+(.*)|--\d+(.*)"","""")"),"THEROUANNE")</f>
        <v>THEROUANNE</v>
      </c>
      <c r="E19409" s="38" t="s">
        <v>109</v>
      </c>
      <c r="F19409" s="38" t="s">
        <v>86</v>
      </c>
      <c r="G19409" s="49" t="str">
        <f t="shared" si="1"/>
        <v>62129</v>
      </c>
      <c r="H19409" s="49">
        <f t="shared" si="2"/>
        <v>62811</v>
      </c>
    </row>
    <row r="19410">
      <c r="A19410" s="48" t="s">
        <v>6078</v>
      </c>
      <c r="B19410" s="38">
        <v>10300.0</v>
      </c>
      <c r="C19410" s="38" t="s">
        <v>23898</v>
      </c>
      <c r="D19410" s="38" t="str">
        <f>IFERROR(__xludf.DUMMYFUNCTION("REGEXREPLACE(C19410,""-\d+(.*)|--\d+(.*)"","""")"),"POUGY")</f>
        <v>POUGY</v>
      </c>
      <c r="E19410" s="38" t="s">
        <v>147</v>
      </c>
      <c r="F19410" s="38" t="s">
        <v>130</v>
      </c>
      <c r="G19410" s="49" t="str">
        <f t="shared" si="1"/>
        <v>10240</v>
      </c>
      <c r="H19410" s="49">
        <f t="shared" si="2"/>
        <v>10300</v>
      </c>
    </row>
    <row r="19411">
      <c r="A19411" s="48" t="s">
        <v>3031</v>
      </c>
      <c r="B19411" s="38">
        <v>21276.0</v>
      </c>
      <c r="C19411" s="38" t="s">
        <v>23899</v>
      </c>
      <c r="D19411" s="38" t="str">
        <f>IFERROR(__xludf.DUMMYFUNCTION("REGEXREPLACE(C19411,""-\d+(.*)|--\d+(.*)"","""")"),"FONTAINES-EN-DUESMOIS")</f>
        <v>FONTAINES-EN-DUESMOIS</v>
      </c>
      <c r="E19411" s="38" t="s">
        <v>105</v>
      </c>
      <c r="F19411" s="38" t="s">
        <v>106</v>
      </c>
      <c r="G19411" s="49" t="str">
        <f t="shared" si="1"/>
        <v>21450</v>
      </c>
      <c r="H19411" s="49">
        <f t="shared" si="2"/>
        <v>21276</v>
      </c>
    </row>
    <row r="19412">
      <c r="A19412" s="48" t="s">
        <v>16634</v>
      </c>
      <c r="B19412" s="38">
        <v>17308.0</v>
      </c>
      <c r="C19412" s="38" t="s">
        <v>23900</v>
      </c>
      <c r="D19412" s="38" t="str">
        <f>IFERROR(__xludf.DUMMYFUNCTION("REGEXREPLACE(C19412,""-\d+(.*)|--\d+(.*)"","""")"),"SAINT-AGNANT")</f>
        <v>SAINT-AGNANT</v>
      </c>
      <c r="E19412" s="38" t="s">
        <v>488</v>
      </c>
      <c r="F19412" s="38" t="s">
        <v>338</v>
      </c>
      <c r="G19412" s="49" t="str">
        <f t="shared" si="1"/>
        <v>17620</v>
      </c>
      <c r="H19412" s="49">
        <f t="shared" si="2"/>
        <v>17308</v>
      </c>
    </row>
    <row r="19413">
      <c r="A19413" s="48" t="s">
        <v>1008</v>
      </c>
      <c r="B19413" s="38">
        <v>2358.0</v>
      </c>
      <c r="C19413" s="38" t="s">
        <v>23901</v>
      </c>
      <c r="D19413" s="38" t="str">
        <f>IFERROR(__xludf.DUMMYFUNCTION("REGEXREPLACE(C19413,""-\d+(.*)|--\d+(.*)"","""")"),"GROUGIS")</f>
        <v>GROUGIS</v>
      </c>
      <c r="E19413" s="38" t="s">
        <v>191</v>
      </c>
      <c r="F19413" s="38" t="s">
        <v>113</v>
      </c>
      <c r="G19413" s="49" t="str">
        <f t="shared" si="1"/>
        <v>02110</v>
      </c>
      <c r="H19413" s="49" t="str">
        <f t="shared" si="2"/>
        <v>02358</v>
      </c>
    </row>
    <row r="19414">
      <c r="A19414" s="48" t="s">
        <v>8642</v>
      </c>
      <c r="B19414" s="38" t="s">
        <v>23902</v>
      </c>
      <c r="C19414" s="38" t="s">
        <v>23903</v>
      </c>
      <c r="D19414" s="38" t="str">
        <f>IFERROR(__xludf.DUMMYFUNCTION("REGEXREPLACE(C19414,""-\d+(.*)|--\d+(.*)"","""")"),"QUERCITELLO")</f>
        <v>QUERCITELLO</v>
      </c>
      <c r="E19414" s="38" t="s">
        <v>743</v>
      </c>
      <c r="F19414" s="38" t="s">
        <v>607</v>
      </c>
      <c r="G19414" s="49" t="str">
        <f t="shared" si="1"/>
        <v>20237</v>
      </c>
      <c r="H19414" s="49" t="str">
        <f t="shared" si="2"/>
        <v>2B255</v>
      </c>
    </row>
    <row r="19415">
      <c r="A19415" s="48" t="s">
        <v>2116</v>
      </c>
      <c r="B19415" s="38">
        <v>26180.0</v>
      </c>
      <c r="C19415" s="38" t="s">
        <v>23904</v>
      </c>
      <c r="D19415" s="38" t="str">
        <f>IFERROR(__xludf.DUMMYFUNCTION("REGEXREPLACE(C19415,""-\d+(.*)|--\d+(.*)"","""")"),"MERINDOL-LES-OLIVIERS")</f>
        <v>MERINDOL-LES-OLIVIERS</v>
      </c>
      <c r="E19415" s="38" t="s">
        <v>126</v>
      </c>
      <c r="F19415" s="38" t="s">
        <v>102</v>
      </c>
      <c r="G19415" s="49" t="str">
        <f t="shared" si="1"/>
        <v>26170</v>
      </c>
      <c r="H19415" s="49">
        <f t="shared" si="2"/>
        <v>26180</v>
      </c>
    </row>
    <row r="19416">
      <c r="A19416" s="48" t="s">
        <v>9311</v>
      </c>
      <c r="B19416" s="38">
        <v>24430.0</v>
      </c>
      <c r="C19416" s="38" t="s">
        <v>23905</v>
      </c>
      <c r="D19416" s="38" t="str">
        <f>IFERROR(__xludf.DUMMYFUNCTION("REGEXREPLACE(C19416,""-\d+(.*)|--\d+(.*)"","""")"),"SAINT-JULIEN-DE-BOURDEILLES")</f>
        <v>SAINT-JULIEN-DE-BOURDEILLES</v>
      </c>
      <c r="E19416" s="38" t="s">
        <v>261</v>
      </c>
      <c r="F19416" s="38" t="s">
        <v>252</v>
      </c>
      <c r="G19416" s="49" t="str">
        <f t="shared" si="1"/>
        <v>24310</v>
      </c>
      <c r="H19416" s="49">
        <f t="shared" si="2"/>
        <v>24430</v>
      </c>
    </row>
    <row r="19417">
      <c r="A19417" s="48" t="s">
        <v>9636</v>
      </c>
      <c r="B19417" s="38">
        <v>42215.0</v>
      </c>
      <c r="C19417" s="38" t="s">
        <v>23906</v>
      </c>
      <c r="D19417" s="38" t="str">
        <f>IFERROR(__xludf.DUMMYFUNCTION("REGEXREPLACE(C19417,""-\d+(.*)|--\d+(.*)"","""")"),"SAINT-DENIS-DE-CABANNE")</f>
        <v>SAINT-DENIS-DE-CABANNE</v>
      </c>
      <c r="E19417" s="38" t="s">
        <v>166</v>
      </c>
      <c r="F19417" s="38" t="s">
        <v>102</v>
      </c>
      <c r="G19417" s="49" t="str">
        <f t="shared" si="1"/>
        <v>42750</v>
      </c>
      <c r="H19417" s="49">
        <f t="shared" si="2"/>
        <v>42215</v>
      </c>
    </row>
    <row r="19418">
      <c r="A19418" s="48" t="s">
        <v>3706</v>
      </c>
      <c r="B19418" s="38">
        <v>77507.0</v>
      </c>
      <c r="C19418" s="38" t="s">
        <v>23907</v>
      </c>
      <c r="D19418" s="38" t="str">
        <f>IFERROR(__xludf.DUMMYFUNCTION("REGEXREPLACE(C19418,""-\d+(.*)|--\d+(.*)"","""")"),"VILLENAUXE-LA-PETITE")</f>
        <v>VILLENAUXE-LA-PETITE</v>
      </c>
      <c r="E19418" s="38" t="s">
        <v>244</v>
      </c>
      <c r="F19418" s="38" t="s">
        <v>245</v>
      </c>
      <c r="G19418" s="49" t="str">
        <f t="shared" si="1"/>
        <v>77480</v>
      </c>
      <c r="H19418" s="49">
        <f t="shared" si="2"/>
        <v>77507</v>
      </c>
    </row>
    <row r="19419">
      <c r="A19419" s="48" t="s">
        <v>12692</v>
      </c>
      <c r="B19419" s="38">
        <v>47093.0</v>
      </c>
      <c r="C19419" s="38" t="s">
        <v>23908</v>
      </c>
      <c r="D19419" s="38" t="str">
        <f>IFERROR(__xludf.DUMMYFUNCTION("REGEXREPLACE(C19419,""-\d+(.*)|--\d+(.*)"","""")"),"FARGUES-SUR-OURBISE")</f>
        <v>FARGUES-SUR-OURBISE</v>
      </c>
      <c r="E19419" s="38" t="s">
        <v>251</v>
      </c>
      <c r="F19419" s="38" t="s">
        <v>252</v>
      </c>
      <c r="G19419" s="49" t="str">
        <f t="shared" si="1"/>
        <v>47700</v>
      </c>
      <c r="H19419" s="49">
        <f t="shared" si="2"/>
        <v>47093</v>
      </c>
    </row>
    <row r="19420">
      <c r="A19420" s="48" t="s">
        <v>7758</v>
      </c>
      <c r="B19420" s="38">
        <v>63062.0</v>
      </c>
      <c r="C19420" s="38" t="s">
        <v>23909</v>
      </c>
      <c r="D19420" s="38" t="str">
        <f>IFERROR(__xludf.DUMMYFUNCTION("REGEXREPLACE(C19420,""-\d+(.*)|--\d+(.*)"","""")"),"BUXIERES-SOUS-MONTAIGUT")</f>
        <v>BUXIERES-SOUS-MONTAIGUT</v>
      </c>
      <c r="E19420" s="38" t="s">
        <v>353</v>
      </c>
      <c r="F19420" s="38" t="s">
        <v>161</v>
      </c>
      <c r="G19420" s="49" t="str">
        <f t="shared" si="1"/>
        <v>63700</v>
      </c>
      <c r="H19420" s="49">
        <f t="shared" si="2"/>
        <v>63062</v>
      </c>
    </row>
    <row r="19421">
      <c r="A19421" s="48" t="s">
        <v>3346</v>
      </c>
      <c r="B19421" s="38">
        <v>65325.0</v>
      </c>
      <c r="C19421" s="38" t="s">
        <v>23910</v>
      </c>
      <c r="D19421" s="38" t="str">
        <f>IFERROR(__xludf.DUMMYFUNCTION("REGEXREPLACE(C19421,""-\d+(.*)|--\d+(.*)"","""")"),"MOUMOULOUS")</f>
        <v>MOUMOULOUS</v>
      </c>
      <c r="E19421" s="38" t="s">
        <v>200</v>
      </c>
      <c r="F19421" s="38" t="s">
        <v>94</v>
      </c>
      <c r="G19421" s="49" t="str">
        <f t="shared" si="1"/>
        <v>65140</v>
      </c>
      <c r="H19421" s="49">
        <f t="shared" si="2"/>
        <v>65325</v>
      </c>
    </row>
    <row r="19422">
      <c r="A19422" s="48" t="s">
        <v>7399</v>
      </c>
      <c r="B19422" s="38">
        <v>28219.0</v>
      </c>
      <c r="C19422" s="38" t="s">
        <v>23911</v>
      </c>
      <c r="D19422" s="38" t="str">
        <f>IFERROR(__xludf.DUMMYFUNCTION("REGEXREPLACE(C19422,""-\d+(.*)|--\d+(.*)"","""")"),"LUIGNY")</f>
        <v>LUIGNY</v>
      </c>
      <c r="E19422" s="38" t="s">
        <v>300</v>
      </c>
      <c r="F19422" s="38" t="s">
        <v>123</v>
      </c>
      <c r="G19422" s="49" t="str">
        <f t="shared" si="1"/>
        <v>28480</v>
      </c>
      <c r="H19422" s="49">
        <f t="shared" si="2"/>
        <v>28219</v>
      </c>
    </row>
    <row r="19423">
      <c r="A19423" s="48" t="s">
        <v>8317</v>
      </c>
      <c r="B19423" s="38">
        <v>77077.0</v>
      </c>
      <c r="C19423" s="38" t="s">
        <v>21472</v>
      </c>
      <c r="D19423" s="38" t="str">
        <f>IFERROR(__xludf.DUMMYFUNCTION("REGEXREPLACE(C19423,""-\d+(.*)|--\d+(.*)"","""")"),"CHAMBRY")</f>
        <v>CHAMBRY</v>
      </c>
      <c r="E19423" s="38" t="s">
        <v>244</v>
      </c>
      <c r="F19423" s="38" t="s">
        <v>245</v>
      </c>
      <c r="G19423" s="49" t="str">
        <f t="shared" si="1"/>
        <v>77910</v>
      </c>
      <c r="H19423" s="49">
        <f t="shared" si="2"/>
        <v>77077</v>
      </c>
    </row>
    <row r="19424">
      <c r="A19424" s="48" t="s">
        <v>3184</v>
      </c>
      <c r="B19424" s="38">
        <v>36226.0</v>
      </c>
      <c r="C19424" s="38" t="s">
        <v>23912</v>
      </c>
      <c r="D19424" s="38" t="str">
        <f>IFERROR(__xludf.DUMMYFUNCTION("REGEXREPLACE(C19424,""-\d+(.*)|--\d+(.*)"","""")"),"TRANZAULT")</f>
        <v>TRANZAULT</v>
      </c>
      <c r="E19424" s="38" t="s">
        <v>258</v>
      </c>
      <c r="F19424" s="38" t="s">
        <v>123</v>
      </c>
      <c r="G19424" s="49" t="str">
        <f t="shared" si="1"/>
        <v>36230</v>
      </c>
      <c r="H19424" s="49">
        <f t="shared" si="2"/>
        <v>36226</v>
      </c>
    </row>
    <row r="19425">
      <c r="A19425" s="48" t="s">
        <v>1638</v>
      </c>
      <c r="B19425" s="38">
        <v>70411.0</v>
      </c>
      <c r="C19425" s="38" t="s">
        <v>23913</v>
      </c>
      <c r="D19425" s="38" t="str">
        <f>IFERROR(__xludf.DUMMYFUNCTION("REGEXREPLACE(C19425,""-\d+(.*)|--\d+(.*)"","""")"),"LA PISSEURE")</f>
        <v>LA PISSEURE</v>
      </c>
      <c r="E19425" s="38" t="s">
        <v>956</v>
      </c>
      <c r="F19425" s="38" t="s">
        <v>214</v>
      </c>
      <c r="G19425" s="49" t="str">
        <f t="shared" si="1"/>
        <v>70800</v>
      </c>
      <c r="H19425" s="49">
        <f t="shared" si="2"/>
        <v>70411</v>
      </c>
    </row>
    <row r="19426">
      <c r="A19426" s="48" t="s">
        <v>1027</v>
      </c>
      <c r="B19426" s="38">
        <v>1193.0</v>
      </c>
      <c r="C19426" s="38" t="s">
        <v>23914</v>
      </c>
      <c r="D19426" s="38" t="str">
        <f>IFERROR(__xludf.DUMMYFUNCTION("REGEXREPLACE(C19426,""-\d+(.*)|--\d+(.*)"","""")"),"IZIEU")</f>
        <v>IZIEU</v>
      </c>
      <c r="E19426" s="38" t="s">
        <v>255</v>
      </c>
      <c r="F19426" s="38" t="s">
        <v>102</v>
      </c>
      <c r="G19426" s="49" t="str">
        <f t="shared" si="1"/>
        <v>01300</v>
      </c>
      <c r="H19426" s="49" t="str">
        <f t="shared" si="2"/>
        <v>01193</v>
      </c>
    </row>
    <row r="19427">
      <c r="A19427" s="48" t="s">
        <v>3731</v>
      </c>
      <c r="B19427" s="38">
        <v>4241.0</v>
      </c>
      <c r="C19427" s="38" t="s">
        <v>23915</v>
      </c>
      <c r="D19427" s="38" t="str">
        <f>IFERROR(__xludf.DUMMYFUNCTION("REGEXREPLACE(C19427,""-\d+(.*)|--\d+(.*)"","""")"),"VILLEMUS")</f>
        <v>VILLEMUS</v>
      </c>
      <c r="E19427" s="38" t="s">
        <v>662</v>
      </c>
      <c r="F19427" s="38" t="s">
        <v>228</v>
      </c>
      <c r="G19427" s="49" t="str">
        <f t="shared" si="1"/>
        <v>04110</v>
      </c>
      <c r="H19427" s="49" t="str">
        <f t="shared" si="2"/>
        <v>04241</v>
      </c>
    </row>
    <row r="19428">
      <c r="A19428" s="48" t="s">
        <v>9168</v>
      </c>
      <c r="B19428" s="38">
        <v>71586.0</v>
      </c>
      <c r="C19428" s="38" t="s">
        <v>23916</v>
      </c>
      <c r="D19428" s="38" t="str">
        <f>IFERROR(__xludf.DUMMYFUNCTION("REGEXREPLACE(C19428,""-\d+(.*)|--\d+(.*)"","""")"),"VIRY")</f>
        <v>VIRY</v>
      </c>
      <c r="E19428" s="38" t="s">
        <v>344</v>
      </c>
      <c r="F19428" s="38" t="s">
        <v>106</v>
      </c>
      <c r="G19428" s="49" t="str">
        <f t="shared" si="1"/>
        <v>71120</v>
      </c>
      <c r="H19428" s="49">
        <f t="shared" si="2"/>
        <v>71586</v>
      </c>
    </row>
    <row r="19429">
      <c r="A19429" s="48" t="s">
        <v>1077</v>
      </c>
      <c r="B19429" s="38">
        <v>25306.0</v>
      </c>
      <c r="C19429" s="38" t="s">
        <v>23917</v>
      </c>
      <c r="D19429" s="38" t="str">
        <f>IFERROR(__xludf.DUMMYFUNCTION("REGEXREPLACE(C19429,""-\d+(.*)|--\d+(.*)"","""")"),"L'HOPITAL-SAINT-LIEFFROY")</f>
        <v>L'HOPITAL-SAINT-LIEFFROY</v>
      </c>
      <c r="E19429" s="38" t="s">
        <v>213</v>
      </c>
      <c r="F19429" s="38" t="s">
        <v>214</v>
      </c>
      <c r="G19429" s="49" t="str">
        <f t="shared" si="1"/>
        <v>25340</v>
      </c>
      <c r="H19429" s="49">
        <f t="shared" si="2"/>
        <v>25306</v>
      </c>
    </row>
    <row r="19430">
      <c r="A19430" s="48" t="s">
        <v>3118</v>
      </c>
      <c r="B19430" s="38">
        <v>46252.0</v>
      </c>
      <c r="C19430" s="38" t="s">
        <v>9482</v>
      </c>
      <c r="D19430" s="38" t="str">
        <f>IFERROR(__xludf.DUMMYFUNCTION("REGEXREPLACE(C19430,""-\d+(.*)|--\d+(.*)"","""")"),"SAINT-CERNIN")</f>
        <v>SAINT-CERNIN</v>
      </c>
      <c r="E19430" s="38" t="s">
        <v>185</v>
      </c>
      <c r="F19430" s="38" t="s">
        <v>94</v>
      </c>
      <c r="G19430" s="49" t="str">
        <f t="shared" si="1"/>
        <v>46360</v>
      </c>
      <c r="H19430" s="49">
        <f t="shared" si="2"/>
        <v>46252</v>
      </c>
    </row>
    <row r="19431">
      <c r="A19431" s="48" t="s">
        <v>1903</v>
      </c>
      <c r="B19431" s="38">
        <v>10283.0</v>
      </c>
      <c r="C19431" s="38" t="s">
        <v>23918</v>
      </c>
      <c r="D19431" s="38" t="str">
        <f>IFERROR(__xludf.DUMMYFUNCTION("REGEXREPLACE(C19431,""-\d+(.*)|--\d+(.*)"","""")"),"PEL-ET-DER")</f>
        <v>PEL-ET-DER</v>
      </c>
      <c r="E19431" s="38" t="s">
        <v>147</v>
      </c>
      <c r="F19431" s="38" t="s">
        <v>130</v>
      </c>
      <c r="G19431" s="49" t="str">
        <f t="shared" si="1"/>
        <v>10500</v>
      </c>
      <c r="H19431" s="49">
        <f t="shared" si="2"/>
        <v>10283</v>
      </c>
    </row>
    <row r="19432">
      <c r="A19432" s="48" t="s">
        <v>1821</v>
      </c>
      <c r="B19432" s="38">
        <v>3030.0</v>
      </c>
      <c r="C19432" s="38" t="s">
        <v>23919</v>
      </c>
      <c r="D19432" s="38" t="str">
        <f>IFERROR(__xludf.DUMMYFUNCTION("REGEXREPLACE(C19432,""-\d+(.*)|--\d+(.*)"","""")"),"BIOZAT")</f>
        <v>BIOZAT</v>
      </c>
      <c r="E19432" s="38" t="s">
        <v>160</v>
      </c>
      <c r="F19432" s="38" t="s">
        <v>161</v>
      </c>
      <c r="G19432" s="49" t="str">
        <f t="shared" si="1"/>
        <v>03800</v>
      </c>
      <c r="H19432" s="49" t="str">
        <f t="shared" si="2"/>
        <v>03030</v>
      </c>
    </row>
    <row r="19433">
      <c r="A19433" s="48" t="s">
        <v>13269</v>
      </c>
      <c r="B19433" s="38">
        <v>4203.0</v>
      </c>
      <c r="C19433" s="38" t="s">
        <v>23920</v>
      </c>
      <c r="D19433" s="38" t="str">
        <f>IFERROR(__xludf.DUMMYFUNCTION("REGEXREPLACE(C19433,""-\d+(.*)|--\d+(.*)"","""")"),"SELONNET")</f>
        <v>SELONNET</v>
      </c>
      <c r="E19433" s="38" t="s">
        <v>662</v>
      </c>
      <c r="F19433" s="38" t="s">
        <v>228</v>
      </c>
      <c r="G19433" s="49" t="str">
        <f t="shared" si="1"/>
        <v>04140</v>
      </c>
      <c r="H19433" s="49" t="str">
        <f t="shared" si="2"/>
        <v>04203</v>
      </c>
    </row>
    <row r="19434">
      <c r="A19434" s="48" t="s">
        <v>7527</v>
      </c>
      <c r="B19434" s="38">
        <v>29025.0</v>
      </c>
      <c r="C19434" s="38" t="s">
        <v>23921</v>
      </c>
      <c r="D19434" s="38" t="str">
        <f>IFERROR(__xludf.DUMMYFUNCTION("REGEXREPLACE(C19434,""-\d+(.*)|--\d+(.*)"","""")"),"CAST")</f>
        <v>CAST</v>
      </c>
      <c r="E19434" s="38" t="s">
        <v>176</v>
      </c>
      <c r="F19434" s="38" t="s">
        <v>90</v>
      </c>
      <c r="G19434" s="49" t="str">
        <f t="shared" si="1"/>
        <v>29150</v>
      </c>
      <c r="H19434" s="49">
        <f t="shared" si="2"/>
        <v>29025</v>
      </c>
    </row>
    <row r="19435">
      <c r="A19435" s="48" t="s">
        <v>4030</v>
      </c>
      <c r="B19435" s="38">
        <v>16398.0</v>
      </c>
      <c r="C19435" s="38" t="s">
        <v>8296</v>
      </c>
      <c r="D19435" s="38" t="str">
        <f>IFERROR(__xludf.DUMMYFUNCTION("REGEXREPLACE(C19435,""-\d+(.*)|--\d+(.*)"","""")"),"VERNEUIL")</f>
        <v>VERNEUIL</v>
      </c>
      <c r="E19435" s="38" t="s">
        <v>429</v>
      </c>
      <c r="F19435" s="38" t="s">
        <v>338</v>
      </c>
      <c r="G19435" s="49" t="str">
        <f t="shared" si="1"/>
        <v>16310</v>
      </c>
      <c r="H19435" s="49">
        <f t="shared" si="2"/>
        <v>16398</v>
      </c>
    </row>
    <row r="19436">
      <c r="A19436" s="48" t="s">
        <v>11910</v>
      </c>
      <c r="B19436" s="38">
        <v>46264.0</v>
      </c>
      <c r="C19436" s="38" t="s">
        <v>23922</v>
      </c>
      <c r="D19436" s="38" t="str">
        <f>IFERROR(__xludf.DUMMYFUNCTION("REGEXREPLACE(C19436,""-\d+(.*)|--\d+(.*)"","""")"),"SAINT-DENIS-CATUS")</f>
        <v>SAINT-DENIS-CATUS</v>
      </c>
      <c r="E19436" s="38" t="s">
        <v>185</v>
      </c>
      <c r="F19436" s="38" t="s">
        <v>94</v>
      </c>
      <c r="G19436" s="49" t="str">
        <f t="shared" si="1"/>
        <v>46150</v>
      </c>
      <c r="H19436" s="49">
        <f t="shared" si="2"/>
        <v>46264</v>
      </c>
    </row>
    <row r="19437">
      <c r="A19437" s="48" t="s">
        <v>3450</v>
      </c>
      <c r="B19437" s="38">
        <v>60507.0</v>
      </c>
      <c r="C19437" s="38" t="s">
        <v>23923</v>
      </c>
      <c r="D19437" s="38" t="str">
        <f>IFERROR(__xludf.DUMMYFUNCTION("REGEXREPLACE(C19437,""-\d+(.*)|--\d+(.*)"","""")"),"PONTOISE-LES-NOYON")</f>
        <v>PONTOISE-LES-NOYON</v>
      </c>
      <c r="E19437" s="38" t="s">
        <v>112</v>
      </c>
      <c r="F19437" s="38" t="s">
        <v>113</v>
      </c>
      <c r="G19437" s="49" t="str">
        <f t="shared" si="1"/>
        <v>60400</v>
      </c>
      <c r="H19437" s="49">
        <f t="shared" si="2"/>
        <v>60507</v>
      </c>
    </row>
    <row r="19438">
      <c r="A19438" s="48" t="s">
        <v>2803</v>
      </c>
      <c r="B19438" s="38">
        <v>80428.0</v>
      </c>
      <c r="C19438" s="38" t="s">
        <v>23924</v>
      </c>
      <c r="D19438" s="38" t="str">
        <f>IFERROR(__xludf.DUMMYFUNCTION("REGEXREPLACE(C19438,""-\d+(.*)|--\d+(.*)"","""")"),"HEM-MONACU")</f>
        <v>HEM-MONACU</v>
      </c>
      <c r="E19438" s="38" t="s">
        <v>224</v>
      </c>
      <c r="F19438" s="38" t="s">
        <v>113</v>
      </c>
      <c r="G19438" s="49" t="str">
        <f t="shared" si="1"/>
        <v>80360</v>
      </c>
      <c r="H19438" s="49">
        <f t="shared" si="2"/>
        <v>80428</v>
      </c>
    </row>
    <row r="19439">
      <c r="A19439" s="48" t="s">
        <v>2792</v>
      </c>
      <c r="B19439" s="38">
        <v>58211.0</v>
      </c>
      <c r="C19439" s="38" t="s">
        <v>23925</v>
      </c>
      <c r="D19439" s="38" t="str">
        <f>IFERROR(__xludf.DUMMYFUNCTION("REGEXREPLACE(C19439,""-\d+(.*)|--\d+(.*)"","""")"),"POIL")</f>
        <v>POIL</v>
      </c>
      <c r="E19439" s="38" t="s">
        <v>219</v>
      </c>
      <c r="F19439" s="38" t="s">
        <v>106</v>
      </c>
      <c r="G19439" s="49" t="str">
        <f t="shared" si="1"/>
        <v>58170</v>
      </c>
      <c r="H19439" s="49">
        <f t="shared" si="2"/>
        <v>58211</v>
      </c>
    </row>
    <row r="19440">
      <c r="A19440" s="48" t="s">
        <v>726</v>
      </c>
      <c r="B19440" s="38">
        <v>54548.0</v>
      </c>
      <c r="C19440" s="38" t="s">
        <v>23926</v>
      </c>
      <c r="D19440" s="38" t="str">
        <f>IFERROR(__xludf.DUMMYFUNCTION("REGEXREPLACE(C19440,""-\d+(.*)|--\d+(.*)"","""")"),"VANNES-LE-CHATEL")</f>
        <v>VANNES-LE-CHATEL</v>
      </c>
      <c r="E19440" s="38" t="s">
        <v>548</v>
      </c>
      <c r="F19440" s="38" t="s">
        <v>195</v>
      </c>
      <c r="G19440" s="49" t="str">
        <f t="shared" si="1"/>
        <v>54112</v>
      </c>
      <c r="H19440" s="49">
        <f t="shared" si="2"/>
        <v>54548</v>
      </c>
    </row>
    <row r="19441">
      <c r="A19441" s="48" t="s">
        <v>4283</v>
      </c>
      <c r="B19441" s="38">
        <v>7321.0</v>
      </c>
      <c r="C19441" s="38" t="s">
        <v>23927</v>
      </c>
      <c r="D19441" s="38" t="str">
        <f>IFERROR(__xludf.DUMMYFUNCTION("REGEXREPLACE(C19441,""-\d+(.*)|--\d+(.*)"","""")"),"THORRENC")</f>
        <v>THORRENC</v>
      </c>
      <c r="E19441" s="38" t="s">
        <v>144</v>
      </c>
      <c r="F19441" s="38" t="s">
        <v>102</v>
      </c>
      <c r="G19441" s="49" t="str">
        <f t="shared" si="1"/>
        <v>07340</v>
      </c>
      <c r="H19441" s="49" t="str">
        <f t="shared" si="2"/>
        <v>07321</v>
      </c>
    </row>
    <row r="19442">
      <c r="A19442" s="48" t="s">
        <v>15678</v>
      </c>
      <c r="B19442" s="38">
        <v>77425.0</v>
      </c>
      <c r="C19442" s="38" t="s">
        <v>23928</v>
      </c>
      <c r="D19442" s="38" t="str">
        <f>IFERROR(__xludf.DUMMYFUNCTION("REGEXREPLACE(C19442,""-\d+(.*)|--\d+(.*)"","""")"),"SAINT-MARTIN-EN-BIERE")</f>
        <v>SAINT-MARTIN-EN-BIERE</v>
      </c>
      <c r="E19442" s="38" t="s">
        <v>244</v>
      </c>
      <c r="F19442" s="38" t="s">
        <v>245</v>
      </c>
      <c r="G19442" s="49" t="str">
        <f t="shared" si="1"/>
        <v>77630</v>
      </c>
      <c r="H19442" s="49">
        <f t="shared" si="2"/>
        <v>77425</v>
      </c>
    </row>
    <row r="19443">
      <c r="A19443" s="48" t="s">
        <v>964</v>
      </c>
      <c r="B19443" s="38">
        <v>71249.0</v>
      </c>
      <c r="C19443" s="38" t="s">
        <v>23929</v>
      </c>
      <c r="D19443" s="38" t="str">
        <f>IFERROR(__xludf.DUMMYFUNCTION("REGEXREPLACE(C19443,""-\d+(.*)|--\d+(.*)"","""")"),"LAIVES")</f>
        <v>LAIVES</v>
      </c>
      <c r="E19443" s="38" t="s">
        <v>344</v>
      </c>
      <c r="F19443" s="38" t="s">
        <v>106</v>
      </c>
      <c r="G19443" s="49" t="str">
        <f t="shared" si="1"/>
        <v>71240</v>
      </c>
      <c r="H19443" s="49">
        <f t="shared" si="2"/>
        <v>71249</v>
      </c>
    </row>
    <row r="19444">
      <c r="A19444" s="48" t="s">
        <v>7129</v>
      </c>
      <c r="B19444" s="38">
        <v>15214.0</v>
      </c>
      <c r="C19444" s="38" t="s">
        <v>23930</v>
      </c>
      <c r="D19444" s="38" t="str">
        <f>IFERROR(__xludf.DUMMYFUNCTION("REGEXREPLACE(C19444,""-\d+(.*)|--\d+(.*)"","""")"),"SAINT-SAURY")</f>
        <v>SAINT-SAURY</v>
      </c>
      <c r="E19444" s="38" t="s">
        <v>632</v>
      </c>
      <c r="F19444" s="38" t="s">
        <v>161</v>
      </c>
      <c r="G19444" s="49" t="str">
        <f t="shared" si="1"/>
        <v>15290</v>
      </c>
      <c r="H19444" s="49">
        <f t="shared" si="2"/>
        <v>15214</v>
      </c>
    </row>
    <row r="19445">
      <c r="A19445" s="48" t="s">
        <v>12402</v>
      </c>
      <c r="B19445" s="38" t="s">
        <v>23931</v>
      </c>
      <c r="C19445" s="38" t="s">
        <v>23932</v>
      </c>
      <c r="D19445" s="38" t="str">
        <f>IFERROR(__xludf.DUMMYFUNCTION("REGEXREPLACE(C19445,""-\d+(.*)|--\d+(.*)"","""")"),"MAUSOLEO")</f>
        <v>MAUSOLEO</v>
      </c>
      <c r="E19445" s="38" t="s">
        <v>743</v>
      </c>
      <c r="F19445" s="38" t="s">
        <v>607</v>
      </c>
      <c r="G19445" s="49" t="str">
        <f t="shared" si="1"/>
        <v>20259</v>
      </c>
      <c r="H19445" s="49" t="str">
        <f t="shared" si="2"/>
        <v>2B156</v>
      </c>
    </row>
    <row r="19446">
      <c r="A19446" s="48" t="s">
        <v>3570</v>
      </c>
      <c r="B19446" s="38">
        <v>76460.0</v>
      </c>
      <c r="C19446" s="38" t="s">
        <v>23933</v>
      </c>
      <c r="D19446" s="38" t="str">
        <f>IFERROR(__xludf.DUMMYFUNCTION("REGEXREPLACE(C19446,""-\d+(.*)|--\d+(.*)"","""")"),"NESLE-NORMANDEUSE")</f>
        <v>NESLE-NORMANDEUSE</v>
      </c>
      <c r="E19446" s="38" t="s">
        <v>133</v>
      </c>
      <c r="F19446" s="38" t="s">
        <v>134</v>
      </c>
      <c r="G19446" s="49" t="str">
        <f t="shared" si="1"/>
        <v>76340</v>
      </c>
      <c r="H19446" s="49">
        <f t="shared" si="2"/>
        <v>76460</v>
      </c>
    </row>
    <row r="19447">
      <c r="A19447" s="48" t="s">
        <v>14430</v>
      </c>
      <c r="B19447" s="38">
        <v>78672.0</v>
      </c>
      <c r="C19447" s="38" t="s">
        <v>23934</v>
      </c>
      <c r="D19447" s="38" t="str">
        <f>IFERROR(__xludf.DUMMYFUNCTION("REGEXREPLACE(C19447,""-\d+(.*)|--\d+(.*)"","""")"),"VILLENNES-SUR-SEINE")</f>
        <v>VILLENNES-SUR-SEINE</v>
      </c>
      <c r="E19447" s="38" t="s">
        <v>362</v>
      </c>
      <c r="F19447" s="38" t="s">
        <v>245</v>
      </c>
      <c r="G19447" s="49" t="str">
        <f t="shared" si="1"/>
        <v>78670</v>
      </c>
      <c r="H19447" s="49">
        <f t="shared" si="2"/>
        <v>78672</v>
      </c>
    </row>
    <row r="19448">
      <c r="A19448" s="48" t="s">
        <v>23935</v>
      </c>
      <c r="B19448" s="38">
        <v>68129.0</v>
      </c>
      <c r="C19448" s="38" t="s">
        <v>23936</v>
      </c>
      <c r="D19448" s="38" t="str">
        <f>IFERROR(__xludf.DUMMYFUNCTION("REGEXREPLACE(C19448,""-\d+(.*)|--\d+(.*)"","""")"),"HEIMSBRUNN")</f>
        <v>HEIMSBRUNN</v>
      </c>
      <c r="E19448" s="38" t="s">
        <v>150</v>
      </c>
      <c r="F19448" s="38" t="s">
        <v>151</v>
      </c>
      <c r="G19448" s="49" t="str">
        <f t="shared" si="1"/>
        <v>68990</v>
      </c>
      <c r="H19448" s="49">
        <f t="shared" si="2"/>
        <v>68129</v>
      </c>
    </row>
    <row r="19449">
      <c r="A19449" s="48" t="s">
        <v>9309</v>
      </c>
      <c r="B19449" s="38">
        <v>60447.0</v>
      </c>
      <c r="C19449" s="38" t="s">
        <v>23937</v>
      </c>
      <c r="D19449" s="38" t="str">
        <f>IFERROR(__xludf.DUMMYFUNCTION("REGEXREPLACE(C19449,""-\d+(.*)|--\d+(.*)"","""")"),"NERY")</f>
        <v>NERY</v>
      </c>
      <c r="E19449" s="38" t="s">
        <v>112</v>
      </c>
      <c r="F19449" s="38" t="s">
        <v>113</v>
      </c>
      <c r="G19449" s="49" t="str">
        <f t="shared" si="1"/>
        <v>60320</v>
      </c>
      <c r="H19449" s="49">
        <f t="shared" si="2"/>
        <v>60447</v>
      </c>
    </row>
    <row r="19450">
      <c r="A19450" s="48" t="s">
        <v>3812</v>
      </c>
      <c r="B19450" s="38">
        <v>71513.0</v>
      </c>
      <c r="C19450" s="38" t="s">
        <v>23938</v>
      </c>
      <c r="D19450" s="38" t="str">
        <f>IFERROR(__xludf.DUMMYFUNCTION("REGEXREPLACE(C19450,""-\d+(.*)|--\d+(.*)"","""")"),"SENOZAN")</f>
        <v>SENOZAN</v>
      </c>
      <c r="E19450" s="38" t="s">
        <v>344</v>
      </c>
      <c r="F19450" s="38" t="s">
        <v>106</v>
      </c>
      <c r="G19450" s="49" t="str">
        <f t="shared" si="1"/>
        <v>71260</v>
      </c>
      <c r="H19450" s="49">
        <f t="shared" si="2"/>
        <v>71513</v>
      </c>
    </row>
    <row r="19451">
      <c r="A19451" s="48" t="s">
        <v>1938</v>
      </c>
      <c r="B19451" s="38">
        <v>55482.0</v>
      </c>
      <c r="C19451" s="38" t="s">
        <v>23939</v>
      </c>
      <c r="D19451" s="38" t="str">
        <f>IFERROR(__xludf.DUMMYFUNCTION("REGEXREPLACE(C19451,""-\d+(.*)|--\d+(.*)"","""")"),"SENONCOURT-LES-MAUJOUY")</f>
        <v>SENONCOURT-LES-MAUJOUY</v>
      </c>
      <c r="E19451" s="38" t="s">
        <v>322</v>
      </c>
      <c r="F19451" s="38" t="s">
        <v>195</v>
      </c>
      <c r="G19451" s="49" t="str">
        <f t="shared" si="1"/>
        <v>55220</v>
      </c>
      <c r="H19451" s="49">
        <f t="shared" si="2"/>
        <v>55482</v>
      </c>
    </row>
    <row r="19452">
      <c r="A19452" s="48" t="s">
        <v>16576</v>
      </c>
      <c r="B19452" s="38">
        <v>30003.0</v>
      </c>
      <c r="C19452" s="38" t="s">
        <v>23940</v>
      </c>
      <c r="D19452" s="38" t="str">
        <f>IFERROR(__xludf.DUMMYFUNCTION("REGEXREPLACE(C19452,""-\d+(.*)|--\d+(.*)"","""")"),"AIGUES-MORTES")</f>
        <v>AIGUES-MORTES</v>
      </c>
      <c r="E19452" s="38" t="s">
        <v>526</v>
      </c>
      <c r="F19452" s="38" t="s">
        <v>119</v>
      </c>
      <c r="G19452" s="49" t="str">
        <f t="shared" si="1"/>
        <v>30220</v>
      </c>
      <c r="H19452" s="49">
        <f t="shared" si="2"/>
        <v>30003</v>
      </c>
    </row>
    <row r="19453">
      <c r="A19453" s="48" t="s">
        <v>1276</v>
      </c>
      <c r="B19453" s="38">
        <v>64190.0</v>
      </c>
      <c r="C19453" s="38" t="s">
        <v>23941</v>
      </c>
      <c r="D19453" s="38" t="str">
        <f>IFERROR(__xludf.DUMMYFUNCTION("REGEXREPLACE(C19453,""-\d+(.*)|--\d+(.*)"","""")"),"CLARACQ")</f>
        <v>CLARACQ</v>
      </c>
      <c r="E19453" s="38" t="s">
        <v>268</v>
      </c>
      <c r="F19453" s="38" t="s">
        <v>252</v>
      </c>
      <c r="G19453" s="49" t="str">
        <f t="shared" si="1"/>
        <v>64330</v>
      </c>
      <c r="H19453" s="49">
        <f t="shared" si="2"/>
        <v>64190</v>
      </c>
    </row>
    <row r="19454">
      <c r="A19454" s="48" t="s">
        <v>5111</v>
      </c>
      <c r="B19454" s="38">
        <v>47195.0</v>
      </c>
      <c r="C19454" s="38" t="s">
        <v>23942</v>
      </c>
      <c r="D19454" s="38" t="str">
        <f>IFERROR(__xludf.DUMMYFUNCTION("REGEXREPLACE(C19454,""-\d+(.*)|--\d+(.*)"","""")"),"NERAC")</f>
        <v>NERAC</v>
      </c>
      <c r="E19454" s="38" t="s">
        <v>251</v>
      </c>
      <c r="F19454" s="38" t="s">
        <v>252</v>
      </c>
      <c r="G19454" s="49" t="str">
        <f t="shared" si="1"/>
        <v>47600</v>
      </c>
      <c r="H19454" s="49">
        <f t="shared" si="2"/>
        <v>47195</v>
      </c>
    </row>
    <row r="19455">
      <c r="A19455" s="48" t="s">
        <v>9004</v>
      </c>
      <c r="B19455" s="38">
        <v>48037.0</v>
      </c>
      <c r="C19455" s="38" t="s">
        <v>23943</v>
      </c>
      <c r="D19455" s="38" t="str">
        <f>IFERROR(__xludf.DUMMYFUNCTION("REGEXREPLACE(C19455,""-\d+(.*)|--\d+(.*)"","""")"),"CHADENET")</f>
        <v>CHADENET</v>
      </c>
      <c r="E19455" s="38" t="s">
        <v>154</v>
      </c>
      <c r="F19455" s="38" t="s">
        <v>119</v>
      </c>
      <c r="G19455" s="49" t="str">
        <f t="shared" si="1"/>
        <v>48190</v>
      </c>
      <c r="H19455" s="49">
        <f t="shared" si="2"/>
        <v>48037</v>
      </c>
    </row>
    <row r="19456">
      <c r="A19456" s="48" t="s">
        <v>1368</v>
      </c>
      <c r="B19456" s="38">
        <v>8280.0</v>
      </c>
      <c r="C19456" s="38" t="s">
        <v>23944</v>
      </c>
      <c r="D19456" s="38" t="str">
        <f>IFERROR(__xludf.DUMMYFUNCTION("REGEXREPLACE(C19456,""-\d+(.*)|--\d+(.*)"","""")"),"MARVAUX-VIEUX")</f>
        <v>MARVAUX-VIEUX</v>
      </c>
      <c r="E19456" s="38" t="s">
        <v>327</v>
      </c>
      <c r="F19456" s="38" t="s">
        <v>130</v>
      </c>
      <c r="G19456" s="49" t="str">
        <f t="shared" si="1"/>
        <v>08400</v>
      </c>
      <c r="H19456" s="49" t="str">
        <f t="shared" si="2"/>
        <v>08280</v>
      </c>
    </row>
    <row r="19457">
      <c r="A19457" s="48" t="s">
        <v>844</v>
      </c>
      <c r="B19457" s="38">
        <v>72215.0</v>
      </c>
      <c r="C19457" s="38" t="s">
        <v>23945</v>
      </c>
      <c r="D19457" s="38" t="str">
        <f>IFERROR(__xludf.DUMMYFUNCTION("REGEXREPLACE(C19457,""-\d+(.*)|--\d+(.*)"","""")"),"NEUFCHATEL-EN-SAOSNOIS")</f>
        <v>NEUFCHATEL-EN-SAOSNOIS</v>
      </c>
      <c r="E19457" s="38" t="s">
        <v>521</v>
      </c>
      <c r="F19457" s="38" t="s">
        <v>180</v>
      </c>
      <c r="G19457" s="49" t="str">
        <f t="shared" si="1"/>
        <v>72600</v>
      </c>
      <c r="H19457" s="49">
        <f t="shared" si="2"/>
        <v>72215</v>
      </c>
    </row>
    <row r="19458">
      <c r="A19458" s="48" t="s">
        <v>1681</v>
      </c>
      <c r="B19458" s="38">
        <v>80805.0</v>
      </c>
      <c r="C19458" s="38" t="s">
        <v>23946</v>
      </c>
      <c r="D19458" s="38" t="str">
        <f>IFERROR(__xludf.DUMMYFUNCTION("REGEXREPLACE(C19458,""-\d+(.*)|--\d+(.*)"","""")"),"VILLERS-TOURNELLE")</f>
        <v>VILLERS-TOURNELLE</v>
      </c>
      <c r="E19458" s="38" t="s">
        <v>224</v>
      </c>
      <c r="F19458" s="38" t="s">
        <v>113</v>
      </c>
      <c r="G19458" s="49" t="str">
        <f t="shared" si="1"/>
        <v>80500</v>
      </c>
      <c r="H19458" s="49">
        <f t="shared" si="2"/>
        <v>80805</v>
      </c>
    </row>
    <row r="19459">
      <c r="A19459" s="48" t="s">
        <v>23947</v>
      </c>
      <c r="B19459" s="38">
        <v>80634.0</v>
      </c>
      <c r="C19459" s="38" t="s">
        <v>23948</v>
      </c>
      <c r="D19459" s="38" t="str">
        <f>IFERROR(__xludf.DUMMYFUNCTION("REGEXREPLACE(C19459,""-\d+(.*)|--\d+(.*)"","""")"),"PONT-NOYELLES")</f>
        <v>PONT-NOYELLES</v>
      </c>
      <c r="E19459" s="38" t="s">
        <v>224</v>
      </c>
      <c r="F19459" s="38" t="s">
        <v>113</v>
      </c>
      <c r="G19459" s="49" t="str">
        <f t="shared" si="1"/>
        <v>80115</v>
      </c>
      <c r="H19459" s="49">
        <f t="shared" si="2"/>
        <v>80634</v>
      </c>
    </row>
    <row r="19460">
      <c r="A19460" s="48" t="s">
        <v>23949</v>
      </c>
      <c r="B19460" s="38">
        <v>26145.0</v>
      </c>
      <c r="C19460" s="38" t="s">
        <v>23950</v>
      </c>
      <c r="D19460" s="38" t="str">
        <f>IFERROR(__xludf.DUMMYFUNCTION("REGEXREPLACE(C19460,""-\d+(.*)|--\d+(.*)"","""")"),"LES GRANGES-GONTARDES")</f>
        <v>LES GRANGES-GONTARDES</v>
      </c>
      <c r="E19460" s="38" t="s">
        <v>126</v>
      </c>
      <c r="F19460" s="38" t="s">
        <v>102</v>
      </c>
      <c r="G19460" s="49" t="str">
        <f t="shared" si="1"/>
        <v>26290</v>
      </c>
      <c r="H19460" s="49">
        <f t="shared" si="2"/>
        <v>26145</v>
      </c>
    </row>
    <row r="19461">
      <c r="A19461" s="48" t="s">
        <v>2225</v>
      </c>
      <c r="B19461" s="38">
        <v>22280.0</v>
      </c>
      <c r="C19461" s="38" t="s">
        <v>23951</v>
      </c>
      <c r="D19461" s="38" t="str">
        <f>IFERROR(__xludf.DUMMYFUNCTION("REGEXREPLACE(C19461,""-\d+(.*)|--\d+(.*)"","""")"),"SAINT-CARNE")</f>
        <v>SAINT-CARNE</v>
      </c>
      <c r="E19461" s="38" t="s">
        <v>89</v>
      </c>
      <c r="F19461" s="38" t="s">
        <v>90</v>
      </c>
      <c r="G19461" s="49" t="str">
        <f t="shared" si="1"/>
        <v>22100</v>
      </c>
      <c r="H19461" s="49">
        <f t="shared" si="2"/>
        <v>22280</v>
      </c>
    </row>
    <row r="19462">
      <c r="A19462" s="48" t="s">
        <v>19975</v>
      </c>
      <c r="B19462" s="38">
        <v>32155.0</v>
      </c>
      <c r="C19462" s="38" t="s">
        <v>23952</v>
      </c>
      <c r="D19462" s="38" t="str">
        <f>IFERROR(__xludf.DUMMYFUNCTION("REGEXREPLACE(C19462,""-\d+(.*)|--\d+(.*)"","""")"),"LE HOUGA")</f>
        <v>LE HOUGA</v>
      </c>
      <c r="E19462" s="38" t="s">
        <v>440</v>
      </c>
      <c r="F19462" s="38" t="s">
        <v>94</v>
      </c>
      <c r="G19462" s="49" t="str">
        <f t="shared" si="1"/>
        <v>32460</v>
      </c>
      <c r="H19462" s="49">
        <f t="shared" si="2"/>
        <v>32155</v>
      </c>
    </row>
    <row r="19463">
      <c r="A19463" s="48" t="s">
        <v>3662</v>
      </c>
      <c r="B19463" s="38">
        <v>80388.0</v>
      </c>
      <c r="C19463" s="38" t="s">
        <v>23953</v>
      </c>
      <c r="D19463" s="38" t="str">
        <f>IFERROR(__xludf.DUMMYFUNCTION("REGEXREPLACE(C19463,""-\d+(.*)|--\d+(.*)"","""")"),"GREBAULT-MESNIL")</f>
        <v>GREBAULT-MESNIL</v>
      </c>
      <c r="E19463" s="38" t="s">
        <v>224</v>
      </c>
      <c r="F19463" s="38" t="s">
        <v>113</v>
      </c>
      <c r="G19463" s="49" t="str">
        <f t="shared" si="1"/>
        <v>80140</v>
      </c>
      <c r="H19463" s="49">
        <f t="shared" si="2"/>
        <v>80388</v>
      </c>
    </row>
    <row r="19464">
      <c r="A19464" s="48" t="s">
        <v>6047</v>
      </c>
      <c r="B19464" s="38">
        <v>38198.0</v>
      </c>
      <c r="C19464" s="38" t="s">
        <v>23954</v>
      </c>
      <c r="D19464" s="38" t="str">
        <f>IFERROR(__xludf.DUMMYFUNCTION("REGEXREPLACE(C19464,""-\d+(.*)|--\d+(.*)"","""")"),"JARCIEU")</f>
        <v>JARCIEU</v>
      </c>
      <c r="E19464" s="38" t="s">
        <v>101</v>
      </c>
      <c r="F19464" s="38" t="s">
        <v>102</v>
      </c>
      <c r="G19464" s="49" t="str">
        <f t="shared" si="1"/>
        <v>38270</v>
      </c>
      <c r="H19464" s="49">
        <f t="shared" si="2"/>
        <v>38198</v>
      </c>
    </row>
    <row r="19465">
      <c r="A19465" s="48" t="s">
        <v>1110</v>
      </c>
      <c r="B19465" s="38">
        <v>50502.0</v>
      </c>
      <c r="C19465" s="38" t="s">
        <v>23955</v>
      </c>
      <c r="D19465" s="38" t="str">
        <f>IFERROR(__xludf.DUMMYFUNCTION("REGEXREPLACE(C19465,""-\d+(.*)|--\d+(.*)"","""")"),"SAINT-LO")</f>
        <v>SAINT-LO</v>
      </c>
      <c r="E19465" s="38" t="s">
        <v>157</v>
      </c>
      <c r="F19465" s="38" t="s">
        <v>138</v>
      </c>
      <c r="G19465" s="49" t="str">
        <f t="shared" si="1"/>
        <v>50000</v>
      </c>
      <c r="H19465" s="49">
        <f t="shared" si="2"/>
        <v>50502</v>
      </c>
    </row>
    <row r="19466">
      <c r="A19466" s="48" t="s">
        <v>1130</v>
      </c>
      <c r="B19466" s="38">
        <v>71015.0</v>
      </c>
      <c r="C19466" s="38" t="s">
        <v>23956</v>
      </c>
      <c r="D19466" s="38" t="str">
        <f>IFERROR(__xludf.DUMMYFUNCTION("REGEXREPLACE(C19466,""-\d+(.*)|--\d+(.*)"","""")"),"AUXY")</f>
        <v>AUXY</v>
      </c>
      <c r="E19466" s="38" t="s">
        <v>344</v>
      </c>
      <c r="F19466" s="38" t="s">
        <v>106</v>
      </c>
      <c r="G19466" s="49" t="str">
        <f t="shared" si="1"/>
        <v>71400</v>
      </c>
      <c r="H19466" s="49">
        <f t="shared" si="2"/>
        <v>71015</v>
      </c>
    </row>
    <row r="19467">
      <c r="A19467" s="48" t="s">
        <v>23957</v>
      </c>
      <c r="B19467" s="38">
        <v>30254.0</v>
      </c>
      <c r="C19467" s="38" t="s">
        <v>23958</v>
      </c>
      <c r="D19467" s="38" t="str">
        <f>IFERROR(__xludf.DUMMYFUNCTION("REGEXREPLACE(C19467,""-\d+(.*)|--\d+(.*)"","""")"),"SAINT-GENIES-DE-COMOLAS")</f>
        <v>SAINT-GENIES-DE-COMOLAS</v>
      </c>
      <c r="E19467" s="38" t="s">
        <v>526</v>
      </c>
      <c r="F19467" s="38" t="s">
        <v>119</v>
      </c>
      <c r="G19467" s="49" t="str">
        <f t="shared" si="1"/>
        <v>30150</v>
      </c>
      <c r="H19467" s="49">
        <f t="shared" si="2"/>
        <v>30254</v>
      </c>
    </row>
    <row r="19468">
      <c r="A19468" s="48" t="s">
        <v>9293</v>
      </c>
      <c r="B19468" s="38">
        <v>9244.0</v>
      </c>
      <c r="C19468" s="38" t="s">
        <v>23959</v>
      </c>
      <c r="D19468" s="38" t="str">
        <f>IFERROR(__xludf.DUMMYFUNCTION("REGEXREPLACE(C19468,""-\d+(.*)|--\d+(.*)"","""")"),"RIEUCROS")</f>
        <v>RIEUCROS</v>
      </c>
      <c r="E19468" s="38" t="s">
        <v>238</v>
      </c>
      <c r="F19468" s="38" t="s">
        <v>94</v>
      </c>
      <c r="G19468" s="49" t="str">
        <f t="shared" si="1"/>
        <v>09500</v>
      </c>
      <c r="H19468" s="49" t="str">
        <f t="shared" si="2"/>
        <v>09244</v>
      </c>
    </row>
    <row r="19469">
      <c r="A19469" s="48" t="s">
        <v>2540</v>
      </c>
      <c r="B19469" s="38">
        <v>2509.0</v>
      </c>
      <c r="C19469" s="38" t="s">
        <v>23960</v>
      </c>
      <c r="D19469" s="38" t="str">
        <f>IFERROR(__xludf.DUMMYFUNCTION("REGEXREPLACE(C19469,""-\d+(.*)|--\d+(.*)"","""")"),"MONTHIERS")</f>
        <v>MONTHIERS</v>
      </c>
      <c r="E19469" s="38" t="s">
        <v>191</v>
      </c>
      <c r="F19469" s="38" t="s">
        <v>113</v>
      </c>
      <c r="G19469" s="49" t="str">
        <f t="shared" si="1"/>
        <v>02400</v>
      </c>
      <c r="H19469" s="49" t="str">
        <f t="shared" si="2"/>
        <v>02509</v>
      </c>
    </row>
    <row r="19470">
      <c r="A19470" s="48" t="s">
        <v>4032</v>
      </c>
      <c r="B19470" s="38">
        <v>17023.0</v>
      </c>
      <c r="C19470" s="38" t="s">
        <v>17615</v>
      </c>
      <c r="D19470" s="38" t="str">
        <f>IFERROR(__xludf.DUMMYFUNCTION("REGEXREPLACE(C19470,""-\d+(.*)|--\d+(.*)"","""")"),"AUJAC")</f>
        <v>AUJAC</v>
      </c>
      <c r="E19470" s="38" t="s">
        <v>488</v>
      </c>
      <c r="F19470" s="38" t="s">
        <v>338</v>
      </c>
      <c r="G19470" s="49" t="str">
        <f t="shared" si="1"/>
        <v>17770</v>
      </c>
      <c r="H19470" s="49">
        <f t="shared" si="2"/>
        <v>17023</v>
      </c>
    </row>
    <row r="19471">
      <c r="A19471" s="48" t="s">
        <v>2330</v>
      </c>
      <c r="B19471" s="38">
        <v>65420.0</v>
      </c>
      <c r="C19471" s="38" t="s">
        <v>23961</v>
      </c>
      <c r="D19471" s="38" t="str">
        <f>IFERROR(__xludf.DUMMYFUNCTION("REGEXREPLACE(C19471,""-\d+(.*)|--\d+(.*)"","""")"),"SERE-EN-LAVEDAN")</f>
        <v>SERE-EN-LAVEDAN</v>
      </c>
      <c r="E19471" s="38" t="s">
        <v>200</v>
      </c>
      <c r="F19471" s="38" t="s">
        <v>94</v>
      </c>
      <c r="G19471" s="49" t="str">
        <f t="shared" si="1"/>
        <v>65400</v>
      </c>
      <c r="H19471" s="49">
        <f t="shared" si="2"/>
        <v>65420</v>
      </c>
    </row>
    <row r="19472">
      <c r="A19472" s="48" t="s">
        <v>2300</v>
      </c>
      <c r="B19472" s="38">
        <v>28195.0</v>
      </c>
      <c r="C19472" s="38" t="s">
        <v>23962</v>
      </c>
      <c r="D19472" s="38" t="str">
        <f>IFERROR(__xludf.DUMMYFUNCTION("REGEXREPLACE(C19472,""-\d+(.*)|--\d+(.*)"","""")"),"HOUX")</f>
        <v>HOUX</v>
      </c>
      <c r="E19472" s="38" t="s">
        <v>300</v>
      </c>
      <c r="F19472" s="38" t="s">
        <v>123</v>
      </c>
      <c r="G19472" s="49" t="str">
        <f t="shared" si="1"/>
        <v>28130</v>
      </c>
      <c r="H19472" s="49">
        <f t="shared" si="2"/>
        <v>28195</v>
      </c>
    </row>
    <row r="19473">
      <c r="A19473" s="48" t="s">
        <v>1991</v>
      </c>
      <c r="B19473" s="38">
        <v>54187.0</v>
      </c>
      <c r="C19473" s="38" t="s">
        <v>23963</v>
      </c>
      <c r="D19473" s="38" t="str">
        <f>IFERROR(__xludf.DUMMYFUNCTION("REGEXREPLACE(C19473,""-\d+(.*)|--\d+(.*)"","""")"),"EUVEZIN")</f>
        <v>EUVEZIN</v>
      </c>
      <c r="E19473" s="38" t="s">
        <v>548</v>
      </c>
      <c r="F19473" s="38" t="s">
        <v>195</v>
      </c>
      <c r="G19473" s="49" t="str">
        <f t="shared" si="1"/>
        <v>54470</v>
      </c>
      <c r="H19473" s="49">
        <f t="shared" si="2"/>
        <v>54187</v>
      </c>
    </row>
    <row r="19474">
      <c r="A19474" s="48" t="s">
        <v>16993</v>
      </c>
      <c r="B19474" s="38">
        <v>59331.0</v>
      </c>
      <c r="C19474" s="38" t="s">
        <v>23964</v>
      </c>
      <c r="D19474" s="38" t="str">
        <f>IFERROR(__xludf.DUMMYFUNCTION("REGEXREPLACE(C19474,""-\d+(.*)|--\d+(.*)"","""")"),"LANDRECIES")</f>
        <v>LANDRECIES</v>
      </c>
      <c r="E19474" s="38" t="s">
        <v>85</v>
      </c>
      <c r="F19474" s="38" t="s">
        <v>86</v>
      </c>
      <c r="G19474" s="49" t="str">
        <f t="shared" si="1"/>
        <v>59550</v>
      </c>
      <c r="H19474" s="49">
        <f t="shared" si="2"/>
        <v>59331</v>
      </c>
    </row>
    <row r="19475">
      <c r="A19475" s="48" t="s">
        <v>4101</v>
      </c>
      <c r="B19475" s="38">
        <v>30032.0</v>
      </c>
      <c r="C19475" s="38" t="s">
        <v>6799</v>
      </c>
      <c r="D19475" s="38" t="str">
        <f>IFERROR(__xludf.DUMMYFUNCTION("REGEXREPLACE(C19475,""-\d+(.*)|--\d+(.*)"","""")"),"BEAUCAIRE")</f>
        <v>BEAUCAIRE</v>
      </c>
      <c r="E19475" s="38" t="s">
        <v>526</v>
      </c>
      <c r="F19475" s="38" t="s">
        <v>119</v>
      </c>
      <c r="G19475" s="49" t="str">
        <f t="shared" si="1"/>
        <v>30300</v>
      </c>
      <c r="H19475" s="49">
        <f t="shared" si="2"/>
        <v>30032</v>
      </c>
    </row>
    <row r="19476">
      <c r="A19476" s="48" t="s">
        <v>23965</v>
      </c>
      <c r="B19476" s="38">
        <v>27701.0</v>
      </c>
      <c r="C19476" s="38" t="s">
        <v>23966</v>
      </c>
      <c r="D19476" s="38" t="str">
        <f>IFERROR(__xludf.DUMMYFUNCTION("REGEXREPLACE(C19476,""-\d+(.*)|--\d+(.*)"","""")"),"VAL-DE-REUIL")</f>
        <v>VAL-DE-REUIL</v>
      </c>
      <c r="E19476" s="38" t="s">
        <v>241</v>
      </c>
      <c r="F19476" s="38" t="s">
        <v>134</v>
      </c>
      <c r="G19476" s="49" t="str">
        <f t="shared" si="1"/>
        <v>27100</v>
      </c>
      <c r="H19476" s="49">
        <f t="shared" si="2"/>
        <v>27701</v>
      </c>
    </row>
    <row r="19477">
      <c r="A19477" s="48" t="s">
        <v>2406</v>
      </c>
      <c r="B19477" s="38">
        <v>55412.0</v>
      </c>
      <c r="C19477" s="38" t="s">
        <v>23967</v>
      </c>
      <c r="D19477" s="38" t="str">
        <f>IFERROR(__xludf.DUMMYFUNCTION("REGEXREPLACE(C19477,""-\d+(.*)|--\d+(.*)"","""")"),"RAMBUCOURT")</f>
        <v>RAMBUCOURT</v>
      </c>
      <c r="E19477" s="38" t="s">
        <v>322</v>
      </c>
      <c r="F19477" s="38" t="s">
        <v>195</v>
      </c>
      <c r="G19477" s="49" t="str">
        <f t="shared" si="1"/>
        <v>55300</v>
      </c>
      <c r="H19477" s="49">
        <f t="shared" si="2"/>
        <v>55412</v>
      </c>
    </row>
    <row r="19478">
      <c r="A19478" s="48" t="s">
        <v>920</v>
      </c>
      <c r="B19478" s="38">
        <v>31021.0</v>
      </c>
      <c r="C19478" s="38" t="s">
        <v>23968</v>
      </c>
      <c r="D19478" s="38" t="str">
        <f>IFERROR(__xludf.DUMMYFUNCTION("REGEXREPLACE(C19478,""-\d+(.*)|--\d+(.*)"","""")"),"ASPRET-SARRAT")</f>
        <v>ASPRET-SARRAT</v>
      </c>
      <c r="E19478" s="38" t="s">
        <v>93</v>
      </c>
      <c r="F19478" s="38" t="s">
        <v>94</v>
      </c>
      <c r="G19478" s="49" t="str">
        <f t="shared" si="1"/>
        <v>31800</v>
      </c>
      <c r="H19478" s="49">
        <f t="shared" si="2"/>
        <v>31021</v>
      </c>
    </row>
    <row r="19479">
      <c r="A19479" s="48" t="s">
        <v>5511</v>
      </c>
      <c r="B19479" s="38">
        <v>53091.0</v>
      </c>
      <c r="C19479" s="38" t="s">
        <v>23969</v>
      </c>
      <c r="D19479" s="38" t="str">
        <f>IFERROR(__xludf.DUMMYFUNCTION("REGEXREPLACE(C19479,""-\d+(.*)|--\d+(.*)"","""")"),"DESERTINES")</f>
        <v>DESERTINES</v>
      </c>
      <c r="E19479" s="38" t="s">
        <v>518</v>
      </c>
      <c r="F19479" s="38" t="s">
        <v>180</v>
      </c>
      <c r="G19479" s="49" t="str">
        <f t="shared" si="1"/>
        <v>53190</v>
      </c>
      <c r="H19479" s="49">
        <f t="shared" si="2"/>
        <v>53091</v>
      </c>
    </row>
    <row r="19480">
      <c r="A19480" s="48" t="s">
        <v>851</v>
      </c>
      <c r="B19480" s="38">
        <v>44077.0</v>
      </c>
      <c r="C19480" s="38" t="s">
        <v>23970</v>
      </c>
      <c r="D19480" s="38" t="str">
        <f>IFERROR(__xludf.DUMMYFUNCTION("REGEXREPLACE(C19480,""-\d+(.*)|--\d+(.*)"","""")"),"JOUE-SUR-ERDRE")</f>
        <v>JOUE-SUR-ERDRE</v>
      </c>
      <c r="E19480" s="38" t="s">
        <v>759</v>
      </c>
      <c r="F19480" s="38" t="s">
        <v>180</v>
      </c>
      <c r="G19480" s="49" t="str">
        <f t="shared" si="1"/>
        <v>44440</v>
      </c>
      <c r="H19480" s="49">
        <f t="shared" si="2"/>
        <v>44077</v>
      </c>
    </row>
    <row r="19481">
      <c r="A19481" s="48" t="s">
        <v>177</v>
      </c>
      <c r="B19481" s="38">
        <v>85053.0</v>
      </c>
      <c r="C19481" s="38" t="s">
        <v>23971</v>
      </c>
      <c r="D19481" s="38" t="str">
        <f>IFERROR(__xludf.DUMMYFUNCTION("REGEXREPLACE(C19481,""-\d+(.*)|--\d+(.*)"","""")"),"LA CHAPELLE-AUX-LYS")</f>
        <v>LA CHAPELLE-AUX-LYS</v>
      </c>
      <c r="E19481" s="38" t="s">
        <v>179</v>
      </c>
      <c r="F19481" s="38" t="s">
        <v>180</v>
      </c>
      <c r="G19481" s="49" t="str">
        <f t="shared" si="1"/>
        <v>85120</v>
      </c>
      <c r="H19481" s="49">
        <f t="shared" si="2"/>
        <v>85053</v>
      </c>
    </row>
    <row r="19482">
      <c r="A19482" s="48" t="s">
        <v>8302</v>
      </c>
      <c r="B19482" s="38">
        <v>66006.0</v>
      </c>
      <c r="C19482" s="38" t="s">
        <v>23972</v>
      </c>
      <c r="D19482" s="38" t="str">
        <f>IFERROR(__xludf.DUMMYFUNCTION("REGEXREPLACE(C19482,""-\d+(.*)|--\d+(.*)"","""")"),"ANSIGNAN")</f>
        <v>ANSIGNAN</v>
      </c>
      <c r="E19482" s="38" t="s">
        <v>248</v>
      </c>
      <c r="F19482" s="38" t="s">
        <v>119</v>
      </c>
      <c r="G19482" s="49" t="str">
        <f t="shared" si="1"/>
        <v>66220</v>
      </c>
      <c r="H19482" s="49">
        <f t="shared" si="2"/>
        <v>66006</v>
      </c>
    </row>
    <row r="19483">
      <c r="A19483" s="48" t="s">
        <v>164</v>
      </c>
      <c r="B19483" s="38">
        <v>42294.0</v>
      </c>
      <c r="C19483" s="38" t="s">
        <v>23973</v>
      </c>
      <c r="D19483" s="38" t="str">
        <f>IFERROR(__xludf.DUMMYFUNCTION("REGEXREPLACE(C19483,""-\d+(.*)|--\d+(.*)"","""")"),"SAINT-VINCENT-DE-BOISSET")</f>
        <v>SAINT-VINCENT-DE-BOISSET</v>
      </c>
      <c r="E19483" s="38" t="s">
        <v>166</v>
      </c>
      <c r="F19483" s="38" t="s">
        <v>102</v>
      </c>
      <c r="G19483" s="49" t="str">
        <f t="shared" si="1"/>
        <v>42120</v>
      </c>
      <c r="H19483" s="49">
        <f t="shared" si="2"/>
        <v>42294</v>
      </c>
    </row>
    <row r="19484">
      <c r="A19484" s="48" t="s">
        <v>4745</v>
      </c>
      <c r="B19484" s="38">
        <v>1010.0</v>
      </c>
      <c r="C19484" s="38" t="s">
        <v>23974</v>
      </c>
      <c r="D19484" s="38" t="str">
        <f>IFERROR(__xludf.DUMMYFUNCTION("REGEXREPLACE(C19484,""-\d+(.*)|--\d+(.*)"","""")"),"ANGLEFORT")</f>
        <v>ANGLEFORT</v>
      </c>
      <c r="E19484" s="38" t="s">
        <v>255</v>
      </c>
      <c r="F19484" s="38" t="s">
        <v>102</v>
      </c>
      <c r="G19484" s="49" t="str">
        <f t="shared" si="1"/>
        <v>01350</v>
      </c>
      <c r="H19484" s="49" t="str">
        <f t="shared" si="2"/>
        <v>01010</v>
      </c>
    </row>
    <row r="19485">
      <c r="A19485" s="48" t="s">
        <v>1903</v>
      </c>
      <c r="B19485" s="38">
        <v>10139.0</v>
      </c>
      <c r="C19485" s="38" t="s">
        <v>23975</v>
      </c>
      <c r="D19485" s="38" t="str">
        <f>IFERROR(__xludf.DUMMYFUNCTION("REGEXREPLACE(C19485,""-\d+(.*)|--\d+(.*)"","""")"),"EPOTHEMONT")</f>
        <v>EPOTHEMONT</v>
      </c>
      <c r="E19485" s="38" t="s">
        <v>147</v>
      </c>
      <c r="F19485" s="38" t="s">
        <v>130</v>
      </c>
      <c r="G19485" s="49" t="str">
        <f t="shared" si="1"/>
        <v>10500</v>
      </c>
      <c r="H19485" s="49">
        <f t="shared" si="2"/>
        <v>10139</v>
      </c>
    </row>
    <row r="19486">
      <c r="A19486" s="48" t="s">
        <v>419</v>
      </c>
      <c r="B19486" s="38">
        <v>57521.0</v>
      </c>
      <c r="C19486" s="38" t="s">
        <v>23976</v>
      </c>
      <c r="D19486" s="38" t="str">
        <f>IFERROR(__xludf.DUMMYFUNCTION("REGEXREPLACE(C19486,""-\d+(.*)|--\d+(.*)"","""")"),"OETING")</f>
        <v>OETING</v>
      </c>
      <c r="E19486" s="38" t="s">
        <v>303</v>
      </c>
      <c r="F19486" s="38" t="s">
        <v>195</v>
      </c>
      <c r="G19486" s="49" t="str">
        <f t="shared" si="1"/>
        <v>57600</v>
      </c>
      <c r="H19486" s="49">
        <f t="shared" si="2"/>
        <v>57521</v>
      </c>
    </row>
    <row r="19487">
      <c r="A19487" s="48" t="s">
        <v>3887</v>
      </c>
      <c r="B19487" s="38">
        <v>84066.0</v>
      </c>
      <c r="C19487" s="38" t="s">
        <v>23977</v>
      </c>
      <c r="D19487" s="38" t="str">
        <f>IFERROR(__xludf.DUMMYFUNCTION("REGEXREPLACE(C19487,""-\d+(.*)|--\d+(.*)"","""")"),"LIOUX")</f>
        <v>LIOUX</v>
      </c>
      <c r="E19487" s="38" t="s">
        <v>1026</v>
      </c>
      <c r="F19487" s="38" t="s">
        <v>228</v>
      </c>
      <c r="G19487" s="49" t="str">
        <f t="shared" si="1"/>
        <v>84220</v>
      </c>
      <c r="H19487" s="49">
        <f t="shared" si="2"/>
        <v>84066</v>
      </c>
    </row>
    <row r="19488">
      <c r="A19488" s="48" t="s">
        <v>3283</v>
      </c>
      <c r="B19488" s="38">
        <v>52523.0</v>
      </c>
      <c r="C19488" s="38" t="s">
        <v>23978</v>
      </c>
      <c r="D19488" s="38" t="str">
        <f>IFERROR(__xludf.DUMMYFUNCTION("REGEXREPLACE(C19488,""-\d+(.*)|--\d+(.*)"","""")"),"VIGNES-LA-COTE")</f>
        <v>VIGNES-LA-COTE</v>
      </c>
      <c r="E19488" s="38" t="s">
        <v>234</v>
      </c>
      <c r="F19488" s="38" t="s">
        <v>130</v>
      </c>
      <c r="G19488" s="49" t="str">
        <f t="shared" si="1"/>
        <v>52700</v>
      </c>
      <c r="H19488" s="49">
        <f t="shared" si="2"/>
        <v>52523</v>
      </c>
    </row>
    <row r="19489">
      <c r="A19489" s="48" t="s">
        <v>12410</v>
      </c>
      <c r="B19489" s="38">
        <v>66142.0</v>
      </c>
      <c r="C19489" s="38" t="s">
        <v>23979</v>
      </c>
      <c r="D19489" s="38" t="str">
        <f>IFERROR(__xludf.DUMMYFUNCTION("REGEXREPLACE(C19489,""-\d+(.*)|--\d+(.*)"","""")"),"PLANES")</f>
        <v>PLANES</v>
      </c>
      <c r="E19489" s="38" t="s">
        <v>248</v>
      </c>
      <c r="F19489" s="38" t="s">
        <v>119</v>
      </c>
      <c r="G19489" s="49" t="str">
        <f t="shared" si="1"/>
        <v>66210</v>
      </c>
      <c r="H19489" s="49">
        <f t="shared" si="2"/>
        <v>66142</v>
      </c>
    </row>
    <row r="19490">
      <c r="A19490" s="48" t="s">
        <v>18725</v>
      </c>
      <c r="B19490" s="38">
        <v>15038.0</v>
      </c>
      <c r="C19490" s="38" t="s">
        <v>23980</v>
      </c>
      <c r="D19490" s="38" t="str">
        <f>IFERROR(__xludf.DUMMYFUNCTION("REGEXREPLACE(C19490,""-\d+(.*)|--\d+(.*)"","""")"),"CHAMPS-SUR-TARENTAINE-MARCHAL")</f>
        <v>CHAMPS-SUR-TARENTAINE-MARCHAL</v>
      </c>
      <c r="E19490" s="38" t="s">
        <v>632</v>
      </c>
      <c r="F19490" s="38" t="s">
        <v>161</v>
      </c>
      <c r="G19490" s="49" t="str">
        <f t="shared" si="1"/>
        <v>15270</v>
      </c>
      <c r="H19490" s="49">
        <f t="shared" si="2"/>
        <v>15038</v>
      </c>
    </row>
    <row r="19491">
      <c r="A19491" s="48" t="s">
        <v>3208</v>
      </c>
      <c r="B19491" s="38">
        <v>80811.0</v>
      </c>
      <c r="C19491" s="38" t="s">
        <v>23981</v>
      </c>
      <c r="D19491" s="38" t="str">
        <f>IFERROR(__xludf.DUMMYFUNCTION("REGEXREPLACE(C19491,""-\d+(.*)|--\d+(.*)"","""")"),"VOYENNES")</f>
        <v>VOYENNES</v>
      </c>
      <c r="E19491" s="38" t="s">
        <v>224</v>
      </c>
      <c r="F19491" s="38" t="s">
        <v>113</v>
      </c>
      <c r="G19491" s="49" t="str">
        <f t="shared" si="1"/>
        <v>80400</v>
      </c>
      <c r="H19491" s="49">
        <f t="shared" si="2"/>
        <v>80811</v>
      </c>
    </row>
    <row r="19492">
      <c r="A19492" s="48" t="s">
        <v>3375</v>
      </c>
      <c r="B19492" s="38">
        <v>24540.0</v>
      </c>
      <c r="C19492" s="38" t="s">
        <v>23982</v>
      </c>
      <c r="D19492" s="38" t="str">
        <f>IFERROR(__xludf.DUMMYFUNCTION("REGEXREPLACE(C19492,""-\d+(.*)|--\d+(.*)"","""")"),"SORGES")</f>
        <v>SORGES</v>
      </c>
      <c r="E19492" s="38" t="s">
        <v>261</v>
      </c>
      <c r="F19492" s="38" t="s">
        <v>252</v>
      </c>
      <c r="G19492" s="49" t="str">
        <f t="shared" si="1"/>
        <v>24420</v>
      </c>
      <c r="H19492" s="49">
        <f t="shared" si="2"/>
        <v>24540</v>
      </c>
    </row>
    <row r="19493">
      <c r="A19493" s="48" t="s">
        <v>4311</v>
      </c>
      <c r="B19493" s="38">
        <v>47136.0</v>
      </c>
      <c r="C19493" s="38" t="s">
        <v>23983</v>
      </c>
      <c r="D19493" s="38" t="str">
        <f>IFERROR(__xludf.DUMMYFUNCTION("REGEXREPLACE(C19493,""-\d+(.*)|--\d+(.*)"","""")"),"LAPERCHE")</f>
        <v>LAPERCHE</v>
      </c>
      <c r="E19493" s="38" t="s">
        <v>251</v>
      </c>
      <c r="F19493" s="38" t="s">
        <v>252</v>
      </c>
      <c r="G19493" s="49" t="str">
        <f t="shared" si="1"/>
        <v>47800</v>
      </c>
      <c r="H19493" s="49">
        <f t="shared" si="2"/>
        <v>47136</v>
      </c>
    </row>
    <row r="19494">
      <c r="A19494" s="48" t="s">
        <v>4274</v>
      </c>
      <c r="B19494" s="38">
        <v>52273.0</v>
      </c>
      <c r="C19494" s="38" t="s">
        <v>23984</v>
      </c>
      <c r="D19494" s="38" t="str">
        <f>IFERROR(__xludf.DUMMYFUNCTION("REGEXREPLACE(C19494,""-\d+(.*)|--\d+(.*)"","""")"),"LARIVIERE-ARNONCOURT")</f>
        <v>LARIVIERE-ARNONCOURT</v>
      </c>
      <c r="E19494" s="38" t="s">
        <v>234</v>
      </c>
      <c r="F19494" s="38" t="s">
        <v>130</v>
      </c>
      <c r="G19494" s="49" t="str">
        <f t="shared" si="1"/>
        <v>52400</v>
      </c>
      <c r="H19494" s="49">
        <f t="shared" si="2"/>
        <v>52273</v>
      </c>
    </row>
    <row r="19495">
      <c r="A19495" s="48" t="s">
        <v>4196</v>
      </c>
      <c r="B19495" s="38">
        <v>8409.0</v>
      </c>
      <c r="C19495" s="38" t="s">
        <v>23985</v>
      </c>
      <c r="D19495" s="38" t="str">
        <f>IFERROR(__xludf.DUMMYFUNCTION("REGEXREPLACE(C19495,""-\d+(.*)|--\d+(.*)"","""")"),"SEDAN")</f>
        <v>SEDAN</v>
      </c>
      <c r="E19495" s="38" t="s">
        <v>327</v>
      </c>
      <c r="F19495" s="38" t="s">
        <v>130</v>
      </c>
      <c r="G19495" s="49" t="str">
        <f t="shared" si="1"/>
        <v>08200</v>
      </c>
      <c r="H19495" s="49" t="str">
        <f t="shared" si="2"/>
        <v>08409</v>
      </c>
    </row>
    <row r="19496">
      <c r="A19496" s="48" t="s">
        <v>2530</v>
      </c>
      <c r="B19496" s="38">
        <v>79129.0</v>
      </c>
      <c r="C19496" s="38" t="s">
        <v>23986</v>
      </c>
      <c r="D19496" s="38" t="str">
        <f>IFERROR(__xludf.DUMMYFUNCTION("REGEXREPLACE(C19496,""-\d+(.*)|--\d+(.*)"","""")"),"FRESSINES")</f>
        <v>FRESSINES</v>
      </c>
      <c r="E19496" s="38" t="s">
        <v>337</v>
      </c>
      <c r="F19496" s="38" t="s">
        <v>338</v>
      </c>
      <c r="G19496" s="49" t="str">
        <f t="shared" si="1"/>
        <v>79370</v>
      </c>
      <c r="H19496" s="49">
        <f t="shared" si="2"/>
        <v>79129</v>
      </c>
    </row>
    <row r="19497">
      <c r="A19497" s="48" t="s">
        <v>8999</v>
      </c>
      <c r="B19497" s="38">
        <v>49301.0</v>
      </c>
      <c r="C19497" s="38" t="s">
        <v>23987</v>
      </c>
      <c r="D19497" s="38" t="str">
        <f>IFERROR(__xludf.DUMMYFUNCTION("REGEXREPLACE(C19497,""-\d+(.*)|--\d+(.*)"","""")"),"SAINT-MACAIRE-EN-MAUGES")</f>
        <v>SAINT-MACAIRE-EN-MAUGES</v>
      </c>
      <c r="E19497" s="38" t="s">
        <v>653</v>
      </c>
      <c r="F19497" s="38" t="s">
        <v>180</v>
      </c>
      <c r="G19497" s="49" t="str">
        <f t="shared" si="1"/>
        <v>49450</v>
      </c>
      <c r="H19497" s="49">
        <f t="shared" si="2"/>
        <v>49301</v>
      </c>
    </row>
    <row r="19498">
      <c r="A19498" s="48" t="s">
        <v>4125</v>
      </c>
      <c r="B19498" s="38">
        <v>19273.0</v>
      </c>
      <c r="C19498" s="38" t="s">
        <v>23988</v>
      </c>
      <c r="D19498" s="38" t="str">
        <f>IFERROR(__xludf.DUMMYFUNCTION("REGEXREPLACE(C19498,""-\d+(.*)|--\d+(.*)"","""")"),"TURENNE")</f>
        <v>TURENNE</v>
      </c>
      <c r="E19498" s="38" t="s">
        <v>271</v>
      </c>
      <c r="F19498" s="38" t="s">
        <v>98</v>
      </c>
      <c r="G19498" s="49" t="str">
        <f t="shared" si="1"/>
        <v>19500</v>
      </c>
      <c r="H19498" s="49">
        <f t="shared" si="2"/>
        <v>19273</v>
      </c>
    </row>
    <row r="19499">
      <c r="A19499" s="48" t="s">
        <v>9587</v>
      </c>
      <c r="B19499" s="38">
        <v>67195.0</v>
      </c>
      <c r="C19499" s="38" t="s">
        <v>23989</v>
      </c>
      <c r="D19499" s="38" t="str">
        <f>IFERROR(__xludf.DUMMYFUNCTION("REGEXREPLACE(C19499,""-\d+(.*)|--\d+(.*)"","""")"),"HESSENHEIM")</f>
        <v>HESSENHEIM</v>
      </c>
      <c r="E19499" s="38" t="s">
        <v>210</v>
      </c>
      <c r="F19499" s="38" t="s">
        <v>151</v>
      </c>
      <c r="G19499" s="49" t="str">
        <f t="shared" si="1"/>
        <v>67390</v>
      </c>
      <c r="H19499" s="49">
        <f t="shared" si="2"/>
        <v>67195</v>
      </c>
    </row>
    <row r="19500">
      <c r="A19500" s="48" t="s">
        <v>16262</v>
      </c>
      <c r="B19500" s="38">
        <v>36146.0</v>
      </c>
      <c r="C19500" s="38" t="s">
        <v>23990</v>
      </c>
      <c r="D19500" s="38" t="str">
        <f>IFERROR(__xludf.DUMMYFUNCTION("REGEXREPLACE(C19500,""-\d+(.*)|--\d+(.*)"","""")"),"ORSENNES")</f>
        <v>ORSENNES</v>
      </c>
      <c r="E19500" s="38" t="s">
        <v>258</v>
      </c>
      <c r="F19500" s="38" t="s">
        <v>123</v>
      </c>
      <c r="G19500" s="49" t="str">
        <f t="shared" si="1"/>
        <v>36190</v>
      </c>
      <c r="H19500" s="49">
        <f t="shared" si="2"/>
        <v>36146</v>
      </c>
    </row>
    <row r="19501">
      <c r="A19501" s="48" t="s">
        <v>1132</v>
      </c>
      <c r="B19501" s="38">
        <v>2520.0</v>
      </c>
      <c r="C19501" s="38" t="s">
        <v>23991</v>
      </c>
      <c r="D19501" s="38" t="str">
        <f>IFERROR(__xludf.DUMMYFUNCTION("REGEXREPLACE(C19501,""-\d+(.*)|--\d+(.*)"","""")"),"MONT-NOTRE-DAME")</f>
        <v>MONT-NOTRE-DAME</v>
      </c>
      <c r="E19501" s="38" t="s">
        <v>191</v>
      </c>
      <c r="F19501" s="38" t="s">
        <v>113</v>
      </c>
      <c r="G19501" s="49" t="str">
        <f t="shared" si="1"/>
        <v>02220</v>
      </c>
      <c r="H19501" s="49" t="str">
        <f t="shared" si="2"/>
        <v>02520</v>
      </c>
    </row>
    <row r="19502">
      <c r="A19502" s="48" t="s">
        <v>1070</v>
      </c>
      <c r="B19502" s="38">
        <v>39023.0</v>
      </c>
      <c r="C19502" s="38" t="s">
        <v>23992</v>
      </c>
      <c r="D19502" s="38" t="str">
        <f>IFERROR(__xludf.DUMMYFUNCTION("REGEXREPLACE(C19502,""-\d+(.*)|--\d+(.*)"","""")"),"L'AUBEPIN")</f>
        <v>L'AUBEPIN</v>
      </c>
      <c r="E19502" s="38" t="s">
        <v>400</v>
      </c>
      <c r="F19502" s="38" t="s">
        <v>214</v>
      </c>
      <c r="G19502" s="49" t="str">
        <f t="shared" si="1"/>
        <v>39160</v>
      </c>
      <c r="H19502" s="49">
        <f t="shared" si="2"/>
        <v>39023</v>
      </c>
    </row>
    <row r="19503">
      <c r="A19503" s="48" t="s">
        <v>3295</v>
      </c>
      <c r="B19503" s="38">
        <v>76618.0</v>
      </c>
      <c r="C19503" s="38" t="s">
        <v>23993</v>
      </c>
      <c r="D19503" s="38" t="str">
        <f>IFERROR(__xludf.DUMMYFUNCTION("REGEXREPLACE(C19503,""-\d+(.*)|--\d+(.*)"","""")"),"SAINT-MARTIN-EN-CAMPAGNE")</f>
        <v>SAINT-MARTIN-EN-CAMPAGNE</v>
      </c>
      <c r="E19503" s="38" t="s">
        <v>133</v>
      </c>
      <c r="F19503" s="38" t="s">
        <v>134</v>
      </c>
      <c r="G19503" s="49" t="str">
        <f t="shared" si="1"/>
        <v>76370</v>
      </c>
      <c r="H19503" s="49">
        <f t="shared" si="2"/>
        <v>76618</v>
      </c>
    </row>
    <row r="19504">
      <c r="A19504" s="48" t="s">
        <v>724</v>
      </c>
      <c r="B19504" s="38">
        <v>32419.0</v>
      </c>
      <c r="C19504" s="38" t="s">
        <v>14166</v>
      </c>
      <c r="D19504" s="38" t="str">
        <f>IFERROR(__xludf.DUMMYFUNCTION("REGEXREPLACE(C19504,""-\d+(.*)|--\d+(.*)"","""")"),"SAUVIAC")</f>
        <v>SAUVIAC</v>
      </c>
      <c r="E19504" s="38" t="s">
        <v>440</v>
      </c>
      <c r="F19504" s="38" t="s">
        <v>94</v>
      </c>
      <c r="G19504" s="49" t="str">
        <f t="shared" si="1"/>
        <v>32300</v>
      </c>
      <c r="H19504" s="49">
        <f t="shared" si="2"/>
        <v>32419</v>
      </c>
    </row>
    <row r="19505">
      <c r="A19505" s="48" t="s">
        <v>12166</v>
      </c>
      <c r="B19505" s="38">
        <v>22100.0</v>
      </c>
      <c r="C19505" s="38" t="s">
        <v>23994</v>
      </c>
      <c r="D19505" s="38" t="str">
        <f>IFERROR(__xludf.DUMMYFUNCTION("REGEXREPLACE(C19505,""-\d+(.*)|--\d+(.*)"","""")"),"LANGAST")</f>
        <v>LANGAST</v>
      </c>
      <c r="E19505" s="38" t="s">
        <v>89</v>
      </c>
      <c r="F19505" s="38" t="s">
        <v>90</v>
      </c>
      <c r="G19505" s="49" t="str">
        <f t="shared" si="1"/>
        <v>22150</v>
      </c>
      <c r="H19505" s="49">
        <f t="shared" si="2"/>
        <v>22100</v>
      </c>
    </row>
    <row r="19506">
      <c r="A19506" s="48" t="s">
        <v>5398</v>
      </c>
      <c r="B19506" s="38">
        <v>64111.0</v>
      </c>
      <c r="C19506" s="38" t="s">
        <v>23995</v>
      </c>
      <c r="D19506" s="38" t="str">
        <f>IFERROR(__xludf.DUMMYFUNCTION("REGEXREPLACE(C19506,""-\d+(.*)|--\d+(.*)"","""")"),"BENTAYOU-SEREE")</f>
        <v>BENTAYOU-SEREE</v>
      </c>
      <c r="E19506" s="38" t="s">
        <v>268</v>
      </c>
      <c r="F19506" s="38" t="s">
        <v>252</v>
      </c>
      <c r="G19506" s="49" t="str">
        <f t="shared" si="1"/>
        <v>64460</v>
      </c>
      <c r="H19506" s="49">
        <f t="shared" si="2"/>
        <v>64111</v>
      </c>
    </row>
    <row r="19507">
      <c r="A19507" s="48" t="s">
        <v>582</v>
      </c>
      <c r="B19507" s="38">
        <v>39486.0</v>
      </c>
      <c r="C19507" s="38" t="s">
        <v>23996</v>
      </c>
      <c r="D19507" s="38" t="str">
        <f>IFERROR(__xludf.DUMMYFUNCTION("REGEXREPLACE(C19507,""-\d+(.*)|--\d+(.*)"","""")"),"SAINT-LAMAIN")</f>
        <v>SAINT-LAMAIN</v>
      </c>
      <c r="E19507" s="38" t="s">
        <v>400</v>
      </c>
      <c r="F19507" s="38" t="s">
        <v>214</v>
      </c>
      <c r="G19507" s="49" t="str">
        <f t="shared" si="1"/>
        <v>39230</v>
      </c>
      <c r="H19507" s="49">
        <f t="shared" si="2"/>
        <v>39486</v>
      </c>
    </row>
    <row r="19508">
      <c r="A19508" s="48" t="s">
        <v>11792</v>
      </c>
      <c r="B19508" s="38">
        <v>86013.0</v>
      </c>
      <c r="C19508" s="38" t="s">
        <v>20484</v>
      </c>
      <c r="D19508" s="38" t="str">
        <f>IFERROR(__xludf.DUMMYFUNCTION("REGEXREPLACE(C19508,""-\d+(.*)|--\d+(.*)"","""")"),"AULNAY")</f>
        <v>AULNAY</v>
      </c>
      <c r="E19508" s="38" t="s">
        <v>529</v>
      </c>
      <c r="F19508" s="38" t="s">
        <v>338</v>
      </c>
      <c r="G19508" s="49" t="str">
        <f t="shared" si="1"/>
        <v>86330</v>
      </c>
      <c r="H19508" s="49">
        <f t="shared" si="2"/>
        <v>86013</v>
      </c>
    </row>
    <row r="19509">
      <c r="A19509" s="48" t="s">
        <v>15058</v>
      </c>
      <c r="B19509" s="38">
        <v>42072.0</v>
      </c>
      <c r="C19509" s="38" t="s">
        <v>23997</v>
      </c>
      <c r="D19509" s="38" t="str">
        <f>IFERROR(__xludf.DUMMYFUNCTION("REGEXREPLACE(C19509,""-\d+(.*)|--\d+(.*)"","""")"),"LA COTE-EN-COUZAN")</f>
        <v>LA COTE-EN-COUZAN</v>
      </c>
      <c r="E19509" s="38" t="s">
        <v>166</v>
      </c>
      <c r="F19509" s="38" t="s">
        <v>102</v>
      </c>
      <c r="G19509" s="49" t="str">
        <f t="shared" si="1"/>
        <v>42111</v>
      </c>
      <c r="H19509" s="49">
        <f t="shared" si="2"/>
        <v>42072</v>
      </c>
    </row>
    <row r="19510">
      <c r="A19510" s="48" t="s">
        <v>1564</v>
      </c>
      <c r="B19510" s="38">
        <v>45131.0</v>
      </c>
      <c r="C19510" s="38" t="s">
        <v>23998</v>
      </c>
      <c r="D19510" s="38" t="str">
        <f>IFERROR(__xludf.DUMMYFUNCTION("REGEXREPLACE(C19510,""-\d+(.*)|--\d+(.*)"","""")"),"ECHILLEUSES")</f>
        <v>ECHILLEUSES</v>
      </c>
      <c r="E19510" s="38" t="s">
        <v>122</v>
      </c>
      <c r="F19510" s="38" t="s">
        <v>123</v>
      </c>
      <c r="G19510" s="49" t="str">
        <f t="shared" si="1"/>
        <v>45390</v>
      </c>
      <c r="H19510" s="49">
        <f t="shared" si="2"/>
        <v>45131</v>
      </c>
    </row>
    <row r="19511">
      <c r="A19511" s="48" t="s">
        <v>3508</v>
      </c>
      <c r="B19511" s="38">
        <v>51611.0</v>
      </c>
      <c r="C19511" s="38" t="s">
        <v>23999</v>
      </c>
      <c r="D19511" s="38" t="str">
        <f>IFERROR(__xludf.DUMMYFUNCTION("REGEXREPLACE(C19511,""-\d+(.*)|--\d+(.*)"","""")"),"VERT-TOULON")</f>
        <v>VERT-TOULON</v>
      </c>
      <c r="E19511" s="38" t="s">
        <v>129</v>
      </c>
      <c r="F19511" s="38" t="s">
        <v>130</v>
      </c>
      <c r="G19511" s="49" t="str">
        <f t="shared" si="1"/>
        <v>51130</v>
      </c>
      <c r="H19511" s="49">
        <f t="shared" si="2"/>
        <v>51611</v>
      </c>
    </row>
    <row r="19512">
      <c r="A19512" s="48" t="s">
        <v>1437</v>
      </c>
      <c r="B19512" s="38">
        <v>39160.0</v>
      </c>
      <c r="C19512" s="38" t="s">
        <v>24000</v>
      </c>
      <c r="D19512" s="38" t="str">
        <f>IFERROR(__xludf.DUMMYFUNCTION("REGEXREPLACE(C19512,""-\d+(.*)|--\d+(.*)"","""")"),"COMMENAILLES")</f>
        <v>COMMENAILLES</v>
      </c>
      <c r="E19512" s="38" t="s">
        <v>400</v>
      </c>
      <c r="F19512" s="38" t="s">
        <v>214</v>
      </c>
      <c r="G19512" s="49" t="str">
        <f t="shared" si="1"/>
        <v>39140</v>
      </c>
      <c r="H19512" s="49">
        <f t="shared" si="2"/>
        <v>39160</v>
      </c>
    </row>
    <row r="19513">
      <c r="A19513" s="48" t="s">
        <v>2712</v>
      </c>
      <c r="B19513" s="38">
        <v>72352.0</v>
      </c>
      <c r="C19513" s="38" t="s">
        <v>24001</v>
      </c>
      <c r="D19513" s="38" t="str">
        <f>IFERROR(__xludf.DUMMYFUNCTION("REGEXREPLACE(C19513,""-\d+(.*)|--\d+(.*)"","""")"),"TERREHAULT")</f>
        <v>TERREHAULT</v>
      </c>
      <c r="E19513" s="38" t="s">
        <v>521</v>
      </c>
      <c r="F19513" s="38" t="s">
        <v>180</v>
      </c>
      <c r="G19513" s="49" t="str">
        <f t="shared" si="1"/>
        <v>72110</v>
      </c>
      <c r="H19513" s="49">
        <f t="shared" si="2"/>
        <v>72352</v>
      </c>
    </row>
    <row r="19514">
      <c r="A19514" s="48" t="s">
        <v>1883</v>
      </c>
      <c r="B19514" s="38">
        <v>39220.0</v>
      </c>
      <c r="C19514" s="38" t="s">
        <v>24002</v>
      </c>
      <c r="D19514" s="38" t="str">
        <f>IFERROR(__xludf.DUMMYFUNCTION("REGEXREPLACE(C19514,""-\d+(.*)|--\d+(.*)"","""")"),"FALLETANS")</f>
        <v>FALLETANS</v>
      </c>
      <c r="E19514" s="38" t="s">
        <v>400</v>
      </c>
      <c r="F19514" s="38" t="s">
        <v>214</v>
      </c>
      <c r="G19514" s="49" t="str">
        <f t="shared" si="1"/>
        <v>39700</v>
      </c>
      <c r="H19514" s="49">
        <f t="shared" si="2"/>
        <v>39220</v>
      </c>
    </row>
    <row r="19515">
      <c r="A19515" s="48" t="s">
        <v>1850</v>
      </c>
      <c r="B19515" s="38">
        <v>48032.0</v>
      </c>
      <c r="C19515" s="38" t="s">
        <v>6095</v>
      </c>
      <c r="D19515" s="38" t="str">
        <f>IFERROR(__xludf.DUMMYFUNCTION("REGEXREPLACE(C19515,""-\d+(.*)|--\d+(.*)"","""")"),"LE BUISSON")</f>
        <v>LE BUISSON</v>
      </c>
      <c r="E19515" s="38" t="s">
        <v>154</v>
      </c>
      <c r="F19515" s="38" t="s">
        <v>119</v>
      </c>
      <c r="G19515" s="49" t="str">
        <f t="shared" si="1"/>
        <v>48100</v>
      </c>
      <c r="H19515" s="49">
        <f t="shared" si="2"/>
        <v>48032</v>
      </c>
    </row>
    <row r="19516">
      <c r="A19516" s="48" t="s">
        <v>3681</v>
      </c>
      <c r="B19516" s="38">
        <v>39146.0</v>
      </c>
      <c r="C19516" s="38" t="s">
        <v>24003</v>
      </c>
      <c r="D19516" s="38" t="str">
        <f>IFERROR(__xludf.DUMMYFUNCTION("REGEXREPLACE(C19516,""-\d+(.*)|--\d+(.*)"","""")"),"CHILLY-LE-VIGNOBLE")</f>
        <v>CHILLY-LE-VIGNOBLE</v>
      </c>
      <c r="E19516" s="38" t="s">
        <v>400</v>
      </c>
      <c r="F19516" s="38" t="s">
        <v>214</v>
      </c>
      <c r="G19516" s="49" t="str">
        <f t="shared" si="1"/>
        <v>39570</v>
      </c>
      <c r="H19516" s="49">
        <f t="shared" si="2"/>
        <v>39146</v>
      </c>
    </row>
    <row r="19517">
      <c r="A19517" s="48" t="s">
        <v>643</v>
      </c>
      <c r="B19517" s="38">
        <v>88449.0</v>
      </c>
      <c r="C19517" s="38" t="s">
        <v>12147</v>
      </c>
      <c r="D19517" s="38" t="str">
        <f>IFERROR(__xludf.DUMMYFUNCTION("REGEXREPLACE(C19517,""-\d+(.*)|--\d+(.*)"","""")"),"SAVIGNY")</f>
        <v>SAVIGNY</v>
      </c>
      <c r="E19517" s="38" t="s">
        <v>194</v>
      </c>
      <c r="F19517" s="38" t="s">
        <v>195</v>
      </c>
      <c r="G19517" s="49" t="str">
        <f t="shared" si="1"/>
        <v>88130</v>
      </c>
      <c r="H19517" s="49">
        <f t="shared" si="2"/>
        <v>88449</v>
      </c>
    </row>
    <row r="19518">
      <c r="A19518" s="48" t="s">
        <v>1564</v>
      </c>
      <c r="B19518" s="38">
        <v>45258.0</v>
      </c>
      <c r="C19518" s="38" t="s">
        <v>24004</v>
      </c>
      <c r="D19518" s="38" t="str">
        <f>IFERROR(__xludf.DUMMYFUNCTION("REGEXREPLACE(C19518,""-\d+(.*)|--\d+(.*)"","""")"),"PUISEAUX")</f>
        <v>PUISEAUX</v>
      </c>
      <c r="E19518" s="38" t="s">
        <v>122</v>
      </c>
      <c r="F19518" s="38" t="s">
        <v>123</v>
      </c>
      <c r="G19518" s="49" t="str">
        <f t="shared" si="1"/>
        <v>45390</v>
      </c>
      <c r="H19518" s="49">
        <f t="shared" si="2"/>
        <v>45258</v>
      </c>
    </row>
    <row r="19519">
      <c r="A19519" s="48" t="s">
        <v>15977</v>
      </c>
      <c r="B19519" s="38">
        <v>17264.0</v>
      </c>
      <c r="C19519" s="38" t="s">
        <v>24005</v>
      </c>
      <c r="D19519" s="38" t="str">
        <f>IFERROR(__xludf.DUMMYFUNCTION("REGEXREPLACE(C19519,""-\d+(.*)|--\d+(.*)"","""")"),"NIEUL-SUR-MER")</f>
        <v>NIEUL-SUR-MER</v>
      </c>
      <c r="E19519" s="38" t="s">
        <v>488</v>
      </c>
      <c r="F19519" s="38" t="s">
        <v>338</v>
      </c>
      <c r="G19519" s="49" t="str">
        <f t="shared" si="1"/>
        <v>17137</v>
      </c>
      <c r="H19519" s="49">
        <f t="shared" si="2"/>
        <v>17264</v>
      </c>
    </row>
    <row r="19520">
      <c r="A19520" s="48" t="s">
        <v>4969</v>
      </c>
      <c r="B19520" s="38">
        <v>14297.0</v>
      </c>
      <c r="C19520" s="38" t="s">
        <v>24006</v>
      </c>
      <c r="D19520" s="38" t="str">
        <f>IFERROR(__xludf.DUMMYFUNCTION("REGEXREPLACE(C19520,""-\d+(.*)|--\d+(.*)"","""")"),"GAVRUS")</f>
        <v>GAVRUS</v>
      </c>
      <c r="E19520" s="38" t="s">
        <v>137</v>
      </c>
      <c r="F19520" s="38" t="s">
        <v>138</v>
      </c>
      <c r="G19520" s="49" t="str">
        <f t="shared" si="1"/>
        <v>14210</v>
      </c>
      <c r="H19520" s="49">
        <f t="shared" si="2"/>
        <v>14297</v>
      </c>
    </row>
    <row r="19521">
      <c r="A19521" s="48" t="s">
        <v>3696</v>
      </c>
      <c r="B19521" s="38">
        <v>78616.0</v>
      </c>
      <c r="C19521" s="38" t="s">
        <v>24007</v>
      </c>
      <c r="D19521" s="38" t="str">
        <f>IFERROR(__xludf.DUMMYFUNCTION("REGEXREPLACE(C19521,""-\d+(.*)|--\d+(.*)"","""")"),"THOIRY")</f>
        <v>THOIRY</v>
      </c>
      <c r="E19521" s="38" t="s">
        <v>362</v>
      </c>
      <c r="F19521" s="38" t="s">
        <v>245</v>
      </c>
      <c r="G19521" s="49" t="str">
        <f t="shared" si="1"/>
        <v>78770</v>
      </c>
      <c r="H19521" s="49">
        <f t="shared" si="2"/>
        <v>78616</v>
      </c>
    </row>
    <row r="19522">
      <c r="A19522" s="48" t="s">
        <v>1835</v>
      </c>
      <c r="B19522" s="38">
        <v>76210.0</v>
      </c>
      <c r="C19522" s="38" t="s">
        <v>24008</v>
      </c>
      <c r="D19522" s="38" t="str">
        <f>IFERROR(__xludf.DUMMYFUNCTION("REGEXREPLACE(C19522,""-\d+(.*)|--\d+(.*)"","""")"),"DAMPIERRE-SAINT-NICOLAS")</f>
        <v>DAMPIERRE-SAINT-NICOLAS</v>
      </c>
      <c r="E19522" s="38" t="s">
        <v>133</v>
      </c>
      <c r="F19522" s="38" t="s">
        <v>134</v>
      </c>
      <c r="G19522" s="49" t="str">
        <f t="shared" si="1"/>
        <v>76510</v>
      </c>
      <c r="H19522" s="49">
        <f t="shared" si="2"/>
        <v>76210</v>
      </c>
    </row>
    <row r="19523">
      <c r="A19523" s="48" t="s">
        <v>5259</v>
      </c>
      <c r="B19523" s="38">
        <v>97603.0</v>
      </c>
      <c r="C19523" s="38" t="s">
        <v>24009</v>
      </c>
      <c r="D19523" s="38" t="str">
        <f>IFERROR(__xludf.DUMMYFUNCTION("REGEXREPLACE(C19523,""-\d+(.*)|--\d+(.*)"","""")"),"BANDRELE")</f>
        <v>BANDRELE</v>
      </c>
      <c r="E19523" s="38" t="s">
        <v>2865</v>
      </c>
      <c r="F19523" s="38" t="s">
        <v>2865</v>
      </c>
      <c r="G19523" s="49" t="str">
        <f t="shared" si="1"/>
        <v>97620</v>
      </c>
      <c r="H19523" s="49">
        <f t="shared" si="2"/>
        <v>97603</v>
      </c>
    </row>
    <row r="19524">
      <c r="A19524" s="48" t="s">
        <v>384</v>
      </c>
      <c r="B19524" s="38">
        <v>55049.0</v>
      </c>
      <c r="C19524" s="38" t="s">
        <v>24010</v>
      </c>
      <c r="D19524" s="38" t="str">
        <f>IFERROR(__xludf.DUMMYFUNCTION("REGEXREPLACE(C19524,""-\d+(.*)|--\d+(.*)"","""")"),"BEUREY-SUR-SAULX")</f>
        <v>BEUREY-SUR-SAULX</v>
      </c>
      <c r="E19524" s="38" t="s">
        <v>322</v>
      </c>
      <c r="F19524" s="38" t="s">
        <v>195</v>
      </c>
      <c r="G19524" s="49" t="str">
        <f t="shared" si="1"/>
        <v>55000</v>
      </c>
      <c r="H19524" s="49">
        <f t="shared" si="2"/>
        <v>55049</v>
      </c>
    </row>
    <row r="19525">
      <c r="A19525" s="48" t="s">
        <v>3887</v>
      </c>
      <c r="B19525" s="38">
        <v>84102.0</v>
      </c>
      <c r="C19525" s="38" t="s">
        <v>24011</v>
      </c>
      <c r="D19525" s="38" t="str">
        <f>IFERROR(__xludf.DUMMYFUNCTION("REGEXREPLACE(C19525,""-\d+(.*)|--\d+(.*)"","""")"),"ROUSSILLON")</f>
        <v>ROUSSILLON</v>
      </c>
      <c r="E19525" s="38" t="s">
        <v>1026</v>
      </c>
      <c r="F19525" s="38" t="s">
        <v>228</v>
      </c>
      <c r="G19525" s="49" t="str">
        <f t="shared" si="1"/>
        <v>84220</v>
      </c>
      <c r="H19525" s="49">
        <f t="shared" si="2"/>
        <v>84102</v>
      </c>
    </row>
    <row r="19526">
      <c r="A19526" s="48" t="s">
        <v>4267</v>
      </c>
      <c r="B19526" s="38">
        <v>62828.0</v>
      </c>
      <c r="C19526" s="38" t="s">
        <v>24012</v>
      </c>
      <c r="D19526" s="38" t="str">
        <f>IFERROR(__xludf.DUMMYFUNCTION("REGEXREPLACE(C19526,""-\d+(.*)|--\d+(.*)"","""")"),"TRAMECOURT")</f>
        <v>TRAMECOURT</v>
      </c>
      <c r="E19526" s="38" t="s">
        <v>109</v>
      </c>
      <c r="F19526" s="38" t="s">
        <v>86</v>
      </c>
      <c r="G19526" s="49" t="str">
        <f t="shared" si="1"/>
        <v>62310</v>
      </c>
      <c r="H19526" s="49">
        <f t="shared" si="2"/>
        <v>62828</v>
      </c>
    </row>
    <row r="19527">
      <c r="A19527" s="48" t="s">
        <v>2057</v>
      </c>
      <c r="B19527" s="38">
        <v>89228.0</v>
      </c>
      <c r="C19527" s="38" t="s">
        <v>24013</v>
      </c>
      <c r="D19527" s="38" t="str">
        <f>IFERROR(__xludf.DUMMYFUNCTION("REGEXREPLACE(C19527,""-\d+(.*)|--\d+(.*)"","""")"),"LINDRY")</f>
        <v>LINDRY</v>
      </c>
      <c r="E19527" s="38" t="s">
        <v>275</v>
      </c>
      <c r="F19527" s="38" t="s">
        <v>106</v>
      </c>
      <c r="G19527" s="49" t="str">
        <f t="shared" si="1"/>
        <v>89240</v>
      </c>
      <c r="H19527" s="49">
        <f t="shared" si="2"/>
        <v>89228</v>
      </c>
    </row>
    <row r="19528">
      <c r="A19528" s="48" t="s">
        <v>844</v>
      </c>
      <c r="B19528" s="38">
        <v>72069.0</v>
      </c>
      <c r="C19528" s="38" t="s">
        <v>24014</v>
      </c>
      <c r="D19528" s="38" t="str">
        <f>IFERROR(__xludf.DUMMYFUNCTION("REGEXREPLACE(C19528,""-\d+(.*)|--\d+(.*)"","""")"),"CHASSE")</f>
        <v>CHASSE</v>
      </c>
      <c r="E19528" s="38" t="s">
        <v>521</v>
      </c>
      <c r="F19528" s="38" t="s">
        <v>180</v>
      </c>
      <c r="G19528" s="49" t="str">
        <f t="shared" si="1"/>
        <v>72600</v>
      </c>
      <c r="H19528" s="49">
        <f t="shared" si="2"/>
        <v>72069</v>
      </c>
    </row>
    <row r="19529">
      <c r="A19529" s="48" t="s">
        <v>17439</v>
      </c>
      <c r="B19529" s="38">
        <v>3081.0</v>
      </c>
      <c r="C19529" s="38" t="s">
        <v>4732</v>
      </c>
      <c r="D19529" s="38" t="str">
        <f>IFERROR(__xludf.DUMMYFUNCTION("REGEXREPLACE(C19529,""-\d+(.*)|--\d+(.*)"","""")"),"COLOMBIER")</f>
        <v>COLOMBIER</v>
      </c>
      <c r="E19529" s="38" t="s">
        <v>160</v>
      </c>
      <c r="F19529" s="38" t="s">
        <v>161</v>
      </c>
      <c r="G19529" s="49" t="str">
        <f t="shared" si="1"/>
        <v>03600</v>
      </c>
      <c r="H19529" s="49" t="str">
        <f t="shared" si="2"/>
        <v>03081</v>
      </c>
    </row>
    <row r="19530">
      <c r="A19530" s="48" t="s">
        <v>9293</v>
      </c>
      <c r="B19530" s="38">
        <v>9323.0</v>
      </c>
      <c r="C19530" s="38" t="s">
        <v>24015</v>
      </c>
      <c r="D19530" s="38" t="str">
        <f>IFERROR(__xludf.DUMMYFUNCTION("REGEXREPLACE(C19530,""-\d+(.*)|--\d+(.*)"","""")"),"VALS")</f>
        <v>VALS</v>
      </c>
      <c r="E19530" s="38" t="s">
        <v>238</v>
      </c>
      <c r="F19530" s="38" t="s">
        <v>94</v>
      </c>
      <c r="G19530" s="49" t="str">
        <f t="shared" si="1"/>
        <v>09500</v>
      </c>
      <c r="H19530" s="49" t="str">
        <f t="shared" si="2"/>
        <v>09323</v>
      </c>
    </row>
    <row r="19531">
      <c r="A19531" s="48" t="s">
        <v>407</v>
      </c>
      <c r="B19531" s="38">
        <v>71042.0</v>
      </c>
      <c r="C19531" s="38" t="s">
        <v>1890</v>
      </c>
      <c r="D19531" s="38" t="str">
        <f>IFERROR(__xludf.DUMMYFUNCTION("REGEXREPLACE(C19531,""-\d+(.*)|--\d+(.*)"","""")"),"BONNAY")</f>
        <v>BONNAY</v>
      </c>
      <c r="E19531" s="38" t="s">
        <v>344</v>
      </c>
      <c r="F19531" s="38" t="s">
        <v>106</v>
      </c>
      <c r="G19531" s="49" t="str">
        <f t="shared" si="1"/>
        <v>71460</v>
      </c>
      <c r="H19531" s="49">
        <f t="shared" si="2"/>
        <v>71042</v>
      </c>
    </row>
    <row r="19532">
      <c r="A19532" s="48" t="s">
        <v>5806</v>
      </c>
      <c r="B19532" s="38">
        <v>39355.0</v>
      </c>
      <c r="C19532" s="38" t="s">
        <v>24016</v>
      </c>
      <c r="D19532" s="38" t="str">
        <f>IFERROR(__xludf.DUMMYFUNCTION("REGEXREPLACE(C19532,""-\d+(.*)|--\d+(.*)"","""")"),"MONTIGNY-LES-ARSURES")</f>
        <v>MONTIGNY-LES-ARSURES</v>
      </c>
      <c r="E19532" s="38" t="s">
        <v>400</v>
      </c>
      <c r="F19532" s="38" t="s">
        <v>214</v>
      </c>
      <c r="G19532" s="49" t="str">
        <f t="shared" si="1"/>
        <v>39600</v>
      </c>
      <c r="H19532" s="49">
        <f t="shared" si="2"/>
        <v>39355</v>
      </c>
    </row>
    <row r="19533">
      <c r="A19533" s="48" t="s">
        <v>2775</v>
      </c>
      <c r="B19533" s="38">
        <v>59137.0</v>
      </c>
      <c r="C19533" s="38" t="s">
        <v>24017</v>
      </c>
      <c r="D19533" s="38" t="str">
        <f>IFERROR(__xludf.DUMMYFUNCTION("REGEXREPLACE(C19533,""-\d+(.*)|--\d+(.*)"","""")"),"CATILLON-SUR-SAMBRE")</f>
        <v>CATILLON-SUR-SAMBRE</v>
      </c>
      <c r="E19533" s="38" t="s">
        <v>85</v>
      </c>
      <c r="F19533" s="38" t="s">
        <v>86</v>
      </c>
      <c r="G19533" s="49" t="str">
        <f t="shared" si="1"/>
        <v>59360</v>
      </c>
      <c r="H19533" s="49">
        <f t="shared" si="2"/>
        <v>59137</v>
      </c>
    </row>
    <row r="19534">
      <c r="A19534" s="48" t="s">
        <v>1713</v>
      </c>
      <c r="B19534" s="38">
        <v>36034.0</v>
      </c>
      <c r="C19534" s="38" t="s">
        <v>24018</v>
      </c>
      <c r="D19534" s="38" t="str">
        <f>IFERROR(__xludf.DUMMYFUNCTION("REGEXREPLACE(C19534,""-\d+(.*)|--\d+(.*)"","""")"),"CHABRIS")</f>
        <v>CHABRIS</v>
      </c>
      <c r="E19534" s="38" t="s">
        <v>258</v>
      </c>
      <c r="F19534" s="38" t="s">
        <v>123</v>
      </c>
      <c r="G19534" s="49" t="str">
        <f t="shared" si="1"/>
        <v>36210</v>
      </c>
      <c r="H19534" s="49">
        <f t="shared" si="2"/>
        <v>36034</v>
      </c>
    </row>
    <row r="19535">
      <c r="A19535" s="48" t="s">
        <v>6191</v>
      </c>
      <c r="B19535" s="38">
        <v>50397.0</v>
      </c>
      <c r="C19535" s="38" t="s">
        <v>24019</v>
      </c>
      <c r="D19535" s="38" t="str">
        <f>IFERROR(__xludf.DUMMYFUNCTION("REGEXREPLACE(C19535,""-\d+(.*)|--\d+(.*)"","""")"),"PERRIERS-EN-BEAUFICEL")</f>
        <v>PERRIERS-EN-BEAUFICEL</v>
      </c>
      <c r="E19535" s="38" t="s">
        <v>157</v>
      </c>
      <c r="F19535" s="38" t="s">
        <v>138</v>
      </c>
      <c r="G19535" s="49" t="str">
        <f t="shared" si="1"/>
        <v>50150</v>
      </c>
      <c r="H19535" s="49">
        <f t="shared" si="2"/>
        <v>50397</v>
      </c>
    </row>
    <row r="19536">
      <c r="A19536" s="48" t="s">
        <v>1147</v>
      </c>
      <c r="B19536" s="38">
        <v>37143.0</v>
      </c>
      <c r="C19536" s="38" t="s">
        <v>24020</v>
      </c>
      <c r="D19536" s="38" t="str">
        <f>IFERROR(__xludf.DUMMYFUNCTION("REGEXREPLACE(C19536,""-\d+(.*)|--\d+(.*)"","""")"),"MANTHELAN")</f>
        <v>MANTHELAN</v>
      </c>
      <c r="E19536" s="38" t="s">
        <v>205</v>
      </c>
      <c r="F19536" s="38" t="s">
        <v>123</v>
      </c>
      <c r="G19536" s="49" t="str">
        <f t="shared" si="1"/>
        <v>37240</v>
      </c>
      <c r="H19536" s="49">
        <f t="shared" si="2"/>
        <v>37143</v>
      </c>
    </row>
    <row r="19537">
      <c r="A19537" s="48" t="s">
        <v>8782</v>
      </c>
      <c r="B19537" s="38">
        <v>44201.0</v>
      </c>
      <c r="C19537" s="38" t="s">
        <v>24021</v>
      </c>
      <c r="D19537" s="38" t="str">
        <f>IFERROR(__xludf.DUMMYFUNCTION("REGEXREPLACE(C19537,""-\d+(.*)|--\d+(.*)"","""")"),"SUCE-SUR-ERDRE")</f>
        <v>SUCE-SUR-ERDRE</v>
      </c>
      <c r="E19537" s="38" t="s">
        <v>759</v>
      </c>
      <c r="F19537" s="38" t="s">
        <v>180</v>
      </c>
      <c r="G19537" s="49" t="str">
        <f t="shared" si="1"/>
        <v>44240</v>
      </c>
      <c r="H19537" s="49">
        <f t="shared" si="2"/>
        <v>44201</v>
      </c>
    </row>
    <row r="19538">
      <c r="A19538" s="48" t="s">
        <v>5542</v>
      </c>
      <c r="B19538" s="38">
        <v>89260.0</v>
      </c>
      <c r="C19538" s="38" t="s">
        <v>24022</v>
      </c>
      <c r="D19538" s="38" t="str">
        <f>IFERROR(__xludf.DUMMYFUNCTION("REGEXREPLACE(C19538,""-\d+(.*)|--\d+(.*)"","""")"),"MOLESMES")</f>
        <v>MOLESMES</v>
      </c>
      <c r="E19538" s="38" t="s">
        <v>275</v>
      </c>
      <c r="F19538" s="38" t="s">
        <v>106</v>
      </c>
      <c r="G19538" s="49" t="str">
        <f t="shared" si="1"/>
        <v>89560</v>
      </c>
      <c r="H19538" s="49">
        <f t="shared" si="2"/>
        <v>89260</v>
      </c>
    </row>
    <row r="19539">
      <c r="A19539" s="48" t="s">
        <v>2261</v>
      </c>
      <c r="B19539" s="38">
        <v>9133.0</v>
      </c>
      <c r="C19539" s="38" t="s">
        <v>24023</v>
      </c>
      <c r="D19539" s="38" t="str">
        <f>IFERROR(__xludf.DUMMYFUNCTION("REGEXREPLACE(C19539,""-\d+(.*)|--\d+(.*)"","""")"),"GENAT")</f>
        <v>GENAT</v>
      </c>
      <c r="E19539" s="38" t="s">
        <v>238</v>
      </c>
      <c r="F19539" s="38" t="s">
        <v>94</v>
      </c>
      <c r="G19539" s="49" t="str">
        <f t="shared" si="1"/>
        <v>09400</v>
      </c>
      <c r="H19539" s="49" t="str">
        <f t="shared" si="2"/>
        <v>09133</v>
      </c>
    </row>
    <row r="19540">
      <c r="A19540" s="48" t="s">
        <v>1174</v>
      </c>
      <c r="B19540" s="38">
        <v>51433.0</v>
      </c>
      <c r="C19540" s="38" t="s">
        <v>24024</v>
      </c>
      <c r="D19540" s="38" t="str">
        <f>IFERROR(__xludf.DUMMYFUNCTION("REGEXREPLACE(C19540,""-\d+(.*)|--\d+(.*)"","""")"),"PLICHANCOURT")</f>
        <v>PLICHANCOURT</v>
      </c>
      <c r="E19540" s="38" t="s">
        <v>129</v>
      </c>
      <c r="F19540" s="38" t="s">
        <v>130</v>
      </c>
      <c r="G19540" s="49" t="str">
        <f t="shared" si="1"/>
        <v>51300</v>
      </c>
      <c r="H19540" s="49">
        <f t="shared" si="2"/>
        <v>51433</v>
      </c>
    </row>
    <row r="19541">
      <c r="A19541" s="48" t="s">
        <v>1300</v>
      </c>
      <c r="B19541" s="38">
        <v>60040.0</v>
      </c>
      <c r="C19541" s="38" t="s">
        <v>24025</v>
      </c>
      <c r="D19541" s="38" t="str">
        <f>IFERROR(__xludf.DUMMYFUNCTION("REGEXREPLACE(C19541,""-\d+(.*)|--\d+(.*)"","""")"),"BAILLEUL-LE-SOC")</f>
        <v>BAILLEUL-LE-SOC</v>
      </c>
      <c r="E19541" s="38" t="s">
        <v>112</v>
      </c>
      <c r="F19541" s="38" t="s">
        <v>113</v>
      </c>
      <c r="G19541" s="49" t="str">
        <f t="shared" si="1"/>
        <v>60190</v>
      </c>
      <c r="H19541" s="49">
        <f t="shared" si="2"/>
        <v>60040</v>
      </c>
    </row>
    <row r="19542">
      <c r="A19542" s="48" t="s">
        <v>4497</v>
      </c>
      <c r="B19542" s="38">
        <v>25025.0</v>
      </c>
      <c r="C19542" s="38" t="s">
        <v>24026</v>
      </c>
      <c r="D19542" s="38" t="str">
        <f>IFERROR(__xludf.DUMMYFUNCTION("REGEXREPLACE(C19542,""-\d+(.*)|--\d+(.*)"","""")"),"ARC-SOUS-CICON")</f>
        <v>ARC-SOUS-CICON</v>
      </c>
      <c r="E19542" s="38" t="s">
        <v>213</v>
      </c>
      <c r="F19542" s="38" t="s">
        <v>214</v>
      </c>
      <c r="G19542" s="49" t="str">
        <f t="shared" si="1"/>
        <v>25520</v>
      </c>
      <c r="H19542" s="49">
        <f t="shared" si="2"/>
        <v>25025</v>
      </c>
    </row>
    <row r="19543">
      <c r="A19543" s="48" t="s">
        <v>10916</v>
      </c>
      <c r="B19543" s="38">
        <v>40059.0</v>
      </c>
      <c r="C19543" s="38" t="s">
        <v>24027</v>
      </c>
      <c r="D19543" s="38" t="str">
        <f>IFERROR(__xludf.DUMMYFUNCTION("REGEXREPLACE(C19543,""-\d+(.*)|--\d+(.*)"","""")"),"CAGNOTTE")</f>
        <v>CAGNOTTE</v>
      </c>
      <c r="E19543" s="38" t="s">
        <v>281</v>
      </c>
      <c r="F19543" s="38" t="s">
        <v>252</v>
      </c>
      <c r="G19543" s="49" t="str">
        <f t="shared" si="1"/>
        <v>40300</v>
      </c>
      <c r="H19543" s="49">
        <f t="shared" si="2"/>
        <v>40059</v>
      </c>
    </row>
    <row r="19544">
      <c r="A19544" s="48" t="s">
        <v>807</v>
      </c>
      <c r="B19544" s="38">
        <v>68081.0</v>
      </c>
      <c r="C19544" s="38" t="s">
        <v>21685</v>
      </c>
      <c r="D19544" s="38" t="str">
        <f>IFERROR(__xludf.DUMMYFUNCTION("REGEXREPLACE(C19544,""-\d+(.*)|--\d+(.*)"","""")"),"SAINT-BERNARD")</f>
        <v>SAINT-BERNARD</v>
      </c>
      <c r="E19544" s="38" t="s">
        <v>150</v>
      </c>
      <c r="F19544" s="38" t="s">
        <v>151</v>
      </c>
      <c r="G19544" s="49" t="str">
        <f t="shared" si="1"/>
        <v>68720</v>
      </c>
      <c r="H19544" s="49">
        <f t="shared" si="2"/>
        <v>68081</v>
      </c>
    </row>
    <row r="19545">
      <c r="A19545" s="48" t="s">
        <v>6285</v>
      </c>
      <c r="B19545" s="38">
        <v>16009.0</v>
      </c>
      <c r="C19545" s="38" t="s">
        <v>24028</v>
      </c>
      <c r="D19545" s="38" t="str">
        <f>IFERROR(__xludf.DUMMYFUNCTION("REGEXREPLACE(C19545,""-\d+(.*)|--\d+(.*)"","""")"),"AMBERNAC")</f>
        <v>AMBERNAC</v>
      </c>
      <c r="E19545" s="38" t="s">
        <v>429</v>
      </c>
      <c r="F19545" s="38" t="s">
        <v>338</v>
      </c>
      <c r="G19545" s="49" t="str">
        <f t="shared" si="1"/>
        <v>16490</v>
      </c>
      <c r="H19545" s="49">
        <f t="shared" si="2"/>
        <v>16009</v>
      </c>
    </row>
    <row r="19546">
      <c r="A19546" s="48" t="s">
        <v>9225</v>
      </c>
      <c r="B19546" s="38">
        <v>23045.0</v>
      </c>
      <c r="C19546" s="38" t="s">
        <v>24029</v>
      </c>
      <c r="D19546" s="38" t="str">
        <f>IFERROR(__xludf.DUMMYFUNCTION("REGEXREPLACE(C19546,""-\d+(.*)|--\d+(.*)"","""")"),"CHAMBON-SUR-VOUEIZE")</f>
        <v>CHAMBON-SUR-VOUEIZE</v>
      </c>
      <c r="E19546" s="38" t="s">
        <v>97</v>
      </c>
      <c r="F19546" s="38" t="s">
        <v>98</v>
      </c>
      <c r="G19546" s="49" t="str">
        <f t="shared" si="1"/>
        <v>23170</v>
      </c>
      <c r="H19546" s="49">
        <f t="shared" si="2"/>
        <v>23045</v>
      </c>
    </row>
    <row r="19547">
      <c r="A19547" s="48" t="s">
        <v>24030</v>
      </c>
      <c r="B19547" s="38">
        <v>28348.0</v>
      </c>
      <c r="C19547" s="38" t="s">
        <v>24031</v>
      </c>
      <c r="D19547" s="38" t="str">
        <f>IFERROR(__xludf.DUMMYFUNCTION("REGEXREPLACE(C19547,""-\d+(.*)|--\d+(.*)"","""")"),"SAINT-LUBIN-DES-JONCHERETS")</f>
        <v>SAINT-LUBIN-DES-JONCHERETS</v>
      </c>
      <c r="E19547" s="38" t="s">
        <v>300</v>
      </c>
      <c r="F19547" s="38" t="s">
        <v>123</v>
      </c>
      <c r="G19547" s="49" t="str">
        <f t="shared" si="1"/>
        <v>28350</v>
      </c>
      <c r="H19547" s="49">
        <f t="shared" si="2"/>
        <v>28348</v>
      </c>
    </row>
    <row r="19548">
      <c r="A19548" s="48" t="s">
        <v>3056</v>
      </c>
      <c r="B19548" s="38">
        <v>24286.0</v>
      </c>
      <c r="C19548" s="38" t="s">
        <v>24032</v>
      </c>
      <c r="D19548" s="38" t="str">
        <f>IFERROR(__xludf.DUMMYFUNCTION("REGEXREPLACE(C19548,""-\d+(.*)|--\d+(.*)"","""")"),"MONTAGRIER")</f>
        <v>MONTAGRIER</v>
      </c>
      <c r="E19548" s="38" t="s">
        <v>261</v>
      </c>
      <c r="F19548" s="38" t="s">
        <v>252</v>
      </c>
      <c r="G19548" s="49" t="str">
        <f t="shared" si="1"/>
        <v>24350</v>
      </c>
      <c r="H19548" s="49">
        <f t="shared" si="2"/>
        <v>24286</v>
      </c>
    </row>
    <row r="19549">
      <c r="A19549" s="48" t="s">
        <v>2605</v>
      </c>
      <c r="B19549" s="38">
        <v>39566.0</v>
      </c>
      <c r="C19549" s="38" t="s">
        <v>24033</v>
      </c>
      <c r="D19549" s="38" t="str">
        <f>IFERROR(__xludf.DUMMYFUNCTION("REGEXREPLACE(C19549,""-\d+(.*)|--\d+(.*)"","""")"),"VILLENEUVE-LES-CHARNOD")</f>
        <v>VILLENEUVE-LES-CHARNOD</v>
      </c>
      <c r="E19549" s="38" t="s">
        <v>400</v>
      </c>
      <c r="F19549" s="38" t="s">
        <v>214</v>
      </c>
      <c r="G19549" s="49" t="str">
        <f t="shared" si="1"/>
        <v>39240</v>
      </c>
      <c r="H19549" s="49">
        <f t="shared" si="2"/>
        <v>39566</v>
      </c>
    </row>
    <row r="19550">
      <c r="A19550" s="48" t="s">
        <v>3224</v>
      </c>
      <c r="B19550" s="38">
        <v>54309.0</v>
      </c>
      <c r="C19550" s="38" t="s">
        <v>24034</v>
      </c>
      <c r="D19550" s="38" t="str">
        <f>IFERROR(__xludf.DUMMYFUNCTION("REGEXREPLACE(C19550,""-\d+(.*)|--\d+(.*)"","""")"),"LEMAINVILLE")</f>
        <v>LEMAINVILLE</v>
      </c>
      <c r="E19550" s="38" t="s">
        <v>548</v>
      </c>
      <c r="F19550" s="38" t="s">
        <v>195</v>
      </c>
      <c r="G19550" s="49" t="str">
        <f t="shared" si="1"/>
        <v>54740</v>
      </c>
      <c r="H19550" s="49">
        <f t="shared" si="2"/>
        <v>54309</v>
      </c>
    </row>
    <row r="19551">
      <c r="A19551" s="48" t="s">
        <v>6504</v>
      </c>
      <c r="B19551" s="38">
        <v>24302.0</v>
      </c>
      <c r="C19551" s="38" t="s">
        <v>24035</v>
      </c>
      <c r="D19551" s="38" t="str">
        <f>IFERROR(__xludf.DUMMYFUNCTION("REGEXREPLACE(C19551,""-\d+(.*)|--\d+(.*)"","""")"),"NAILHAC")</f>
        <v>NAILHAC</v>
      </c>
      <c r="E19551" s="38" t="s">
        <v>261</v>
      </c>
      <c r="F19551" s="38" t="s">
        <v>252</v>
      </c>
      <c r="G19551" s="49" t="str">
        <f t="shared" si="1"/>
        <v>24390</v>
      </c>
      <c r="H19551" s="49">
        <f t="shared" si="2"/>
        <v>24302</v>
      </c>
    </row>
    <row r="19552">
      <c r="A19552" s="48" t="s">
        <v>24036</v>
      </c>
      <c r="B19552" s="38">
        <v>59610.0</v>
      </c>
      <c r="C19552" s="38" t="s">
        <v>24037</v>
      </c>
      <c r="D19552" s="38" t="str">
        <f>IFERROR(__xludf.DUMMYFUNCTION("REGEXREPLACE(C19552,""-\d+(.*)|--\d+(.*)"","""")"),"VERCHAIN-MAUGRE")</f>
        <v>VERCHAIN-MAUGRE</v>
      </c>
      <c r="E19552" s="38" t="s">
        <v>85</v>
      </c>
      <c r="F19552" s="38" t="s">
        <v>86</v>
      </c>
      <c r="G19552" s="49" t="str">
        <f t="shared" si="1"/>
        <v>59227</v>
      </c>
      <c r="H19552" s="49">
        <f t="shared" si="2"/>
        <v>59610</v>
      </c>
    </row>
    <row r="19553">
      <c r="A19553" s="48" t="s">
        <v>9133</v>
      </c>
      <c r="B19553" s="38">
        <v>34055.0</v>
      </c>
      <c r="C19553" s="38" t="s">
        <v>24038</v>
      </c>
      <c r="D19553" s="38" t="str">
        <f>IFERROR(__xludf.DUMMYFUNCTION("REGEXREPLACE(C19553,""-\d+(.*)|--\d+(.*)"","""")"),"CASTANET-LE-HAUT")</f>
        <v>CASTANET-LE-HAUT</v>
      </c>
      <c r="E19553" s="38" t="s">
        <v>118</v>
      </c>
      <c r="F19553" s="38" t="s">
        <v>119</v>
      </c>
      <c r="G19553" s="49" t="str">
        <f t="shared" si="1"/>
        <v>34610</v>
      </c>
      <c r="H19553" s="49">
        <f t="shared" si="2"/>
        <v>34055</v>
      </c>
    </row>
    <row r="19554">
      <c r="A19554" s="48" t="s">
        <v>5866</v>
      </c>
      <c r="B19554" s="38">
        <v>33301.0</v>
      </c>
      <c r="C19554" s="38" t="s">
        <v>24039</v>
      </c>
      <c r="D19554" s="38" t="str">
        <f>IFERROR(__xludf.DUMMYFUNCTION("REGEXREPLACE(C19554,""-\d+(.*)|--\d+(.*)"","""")"),"NAUJAN-ET-POSTIAC")</f>
        <v>NAUJAN-ET-POSTIAC</v>
      </c>
      <c r="E19554" s="38" t="s">
        <v>462</v>
      </c>
      <c r="F19554" s="38" t="s">
        <v>252</v>
      </c>
      <c r="G19554" s="49" t="str">
        <f t="shared" si="1"/>
        <v>33420</v>
      </c>
      <c r="H19554" s="49">
        <f t="shared" si="2"/>
        <v>33301</v>
      </c>
    </row>
    <row r="19555">
      <c r="A19555" s="48" t="s">
        <v>17322</v>
      </c>
      <c r="B19555" s="38">
        <v>33552.0</v>
      </c>
      <c r="C19555" s="38" t="s">
        <v>24040</v>
      </c>
      <c r="D19555" s="38" t="str">
        <f>IFERROR(__xludf.DUMMYFUNCTION("REGEXREPLACE(C19555,""-\d+(.*)|--\d+(.*)"","""")"),"VIRELADE")</f>
        <v>VIRELADE</v>
      </c>
      <c r="E19555" s="38" t="s">
        <v>462</v>
      </c>
      <c r="F19555" s="38" t="s">
        <v>252</v>
      </c>
      <c r="G19555" s="49" t="str">
        <f t="shared" si="1"/>
        <v>33720</v>
      </c>
      <c r="H19555" s="49">
        <f t="shared" si="2"/>
        <v>33552</v>
      </c>
    </row>
    <row r="19556">
      <c r="A19556" s="48" t="s">
        <v>12799</v>
      </c>
      <c r="B19556" s="38">
        <v>11258.0</v>
      </c>
      <c r="C19556" s="38" t="s">
        <v>24041</v>
      </c>
      <c r="D19556" s="38" t="str">
        <f>IFERROR(__xludf.DUMMYFUNCTION("REGEXREPLACE(C19556,""-\d+(.*)|--\d+(.*)"","""")"),"MOUSSAN")</f>
        <v>MOUSSAN</v>
      </c>
      <c r="E19556" s="38" t="s">
        <v>278</v>
      </c>
      <c r="F19556" s="38" t="s">
        <v>119</v>
      </c>
      <c r="G19556" s="49" t="str">
        <f t="shared" si="1"/>
        <v>11120</v>
      </c>
      <c r="H19556" s="49">
        <f t="shared" si="2"/>
        <v>11258</v>
      </c>
    </row>
    <row r="19557">
      <c r="A19557" s="48" t="s">
        <v>3502</v>
      </c>
      <c r="B19557" s="38">
        <v>22004.0</v>
      </c>
      <c r="C19557" s="38" t="s">
        <v>24042</v>
      </c>
      <c r="D19557" s="38" t="str">
        <f>IFERROR(__xludf.DUMMYFUNCTION("REGEXREPLACE(C19557,""-\d+(.*)|--\d+(.*)"","""")"),"BEGARD")</f>
        <v>BEGARD</v>
      </c>
      <c r="E19557" s="38" t="s">
        <v>89</v>
      </c>
      <c r="F19557" s="38" t="s">
        <v>90</v>
      </c>
      <c r="G19557" s="49" t="str">
        <f t="shared" si="1"/>
        <v>22140</v>
      </c>
      <c r="H19557" s="49">
        <f t="shared" si="2"/>
        <v>22004</v>
      </c>
    </row>
    <row r="19558">
      <c r="A19558" s="48" t="s">
        <v>171</v>
      </c>
      <c r="B19558" s="38">
        <v>56159.0</v>
      </c>
      <c r="C19558" s="38" t="s">
        <v>24043</v>
      </c>
      <c r="D19558" s="38" t="str">
        <f>IFERROR(__xludf.DUMMYFUNCTION("REGEXREPLACE(C19558,""-\d+(.*)|--\d+(.*)"","""")"),"PLEUCADEUC")</f>
        <v>PLEUCADEUC</v>
      </c>
      <c r="E19558" s="38" t="s">
        <v>173</v>
      </c>
      <c r="F19558" s="38" t="s">
        <v>90</v>
      </c>
      <c r="G19558" s="49" t="str">
        <f t="shared" si="1"/>
        <v>56140</v>
      </c>
      <c r="H19558" s="49">
        <f t="shared" si="2"/>
        <v>56159</v>
      </c>
    </row>
    <row r="19559">
      <c r="A19559" s="48" t="s">
        <v>4088</v>
      </c>
      <c r="B19559" s="38">
        <v>39408.0</v>
      </c>
      <c r="C19559" s="38" t="s">
        <v>24044</v>
      </c>
      <c r="D19559" s="38" t="str">
        <f>IFERROR(__xludf.DUMMYFUNCTION("REGEXREPLACE(C19559,""-\d+(.*)|--\d+(.*)"","""")"),"PATORNAY")</f>
        <v>PATORNAY</v>
      </c>
      <c r="E19559" s="38" t="s">
        <v>400</v>
      </c>
      <c r="F19559" s="38" t="s">
        <v>214</v>
      </c>
      <c r="G19559" s="49" t="str">
        <f t="shared" si="1"/>
        <v>39130</v>
      </c>
      <c r="H19559" s="49">
        <f t="shared" si="2"/>
        <v>39408</v>
      </c>
    </row>
    <row r="19560">
      <c r="A19560" s="48" t="s">
        <v>13060</v>
      </c>
      <c r="B19560" s="38">
        <v>45238.0</v>
      </c>
      <c r="C19560" s="38" t="s">
        <v>24045</v>
      </c>
      <c r="D19560" s="38" t="str">
        <f>IFERROR(__xludf.DUMMYFUNCTION("REGEXREPLACE(C19560,""-\d+(.*)|--\d+(.*)"","""")"),"OUSSON-SUR-LOIRE")</f>
        <v>OUSSON-SUR-LOIRE</v>
      </c>
      <c r="E19560" s="38" t="s">
        <v>122</v>
      </c>
      <c r="F19560" s="38" t="s">
        <v>123</v>
      </c>
      <c r="G19560" s="49" t="str">
        <f t="shared" si="1"/>
        <v>45250</v>
      </c>
      <c r="H19560" s="49">
        <f t="shared" si="2"/>
        <v>45238</v>
      </c>
    </row>
    <row r="19561">
      <c r="A19561" s="48" t="s">
        <v>2575</v>
      </c>
      <c r="B19561" s="38">
        <v>91526.0</v>
      </c>
      <c r="C19561" s="38" t="s">
        <v>24046</v>
      </c>
      <c r="D19561" s="38" t="str">
        <f>IFERROR(__xludf.DUMMYFUNCTION("REGEXREPLACE(C19561,""-\d+(.*)|--\d+(.*)"","""")"),"ROINVILLIERS")</f>
        <v>ROINVILLIERS</v>
      </c>
      <c r="E19561" s="38" t="s">
        <v>756</v>
      </c>
      <c r="F19561" s="38" t="s">
        <v>245</v>
      </c>
      <c r="G19561" s="49" t="str">
        <f t="shared" si="1"/>
        <v>91150</v>
      </c>
      <c r="H19561" s="49">
        <f t="shared" si="2"/>
        <v>91526</v>
      </c>
    </row>
    <row r="19562">
      <c r="A19562" s="48" t="s">
        <v>5417</v>
      </c>
      <c r="B19562" s="38">
        <v>24471.0</v>
      </c>
      <c r="C19562" s="38" t="s">
        <v>24047</v>
      </c>
      <c r="D19562" s="38" t="str">
        <f>IFERROR(__xludf.DUMMYFUNCTION("REGEXREPLACE(C19562,""-\d+(.*)|--\d+(.*)"","""")"),"SAINTE-NATHALENE")</f>
        <v>SAINTE-NATHALENE</v>
      </c>
      <c r="E19562" s="38" t="s">
        <v>261</v>
      </c>
      <c r="F19562" s="38" t="s">
        <v>252</v>
      </c>
      <c r="G19562" s="49" t="str">
        <f t="shared" si="1"/>
        <v>24200</v>
      </c>
      <c r="H19562" s="49">
        <f t="shared" si="2"/>
        <v>24471</v>
      </c>
    </row>
    <row r="19563">
      <c r="A19563" s="48" t="s">
        <v>1203</v>
      </c>
      <c r="B19563" s="38">
        <v>17120.0</v>
      </c>
      <c r="C19563" s="38" t="s">
        <v>24048</v>
      </c>
      <c r="D19563" s="38" t="str">
        <f>IFERROR(__xludf.DUMMYFUNCTION("REGEXREPLACE(C19563,""-\d+(.*)|--\d+(.*)"","""")"),"CORME-ROYAL")</f>
        <v>CORME-ROYAL</v>
      </c>
      <c r="E19563" s="38" t="s">
        <v>488</v>
      </c>
      <c r="F19563" s="38" t="s">
        <v>338</v>
      </c>
      <c r="G19563" s="49" t="str">
        <f t="shared" si="1"/>
        <v>17600</v>
      </c>
      <c r="H19563" s="49">
        <f t="shared" si="2"/>
        <v>17120</v>
      </c>
    </row>
    <row r="19564">
      <c r="A19564" s="48" t="s">
        <v>6875</v>
      </c>
      <c r="B19564" s="38">
        <v>2522.0</v>
      </c>
      <c r="C19564" s="38" t="s">
        <v>10563</v>
      </c>
      <c r="D19564" s="38" t="str">
        <f>IFERROR(__xludf.DUMMYFUNCTION("REGEXREPLACE(C19564,""-\d+(.*)|--\d+(.*)"","""")"),"MONT-SAINT-JEAN")</f>
        <v>MONT-SAINT-JEAN</v>
      </c>
      <c r="E19564" s="38" t="s">
        <v>191</v>
      </c>
      <c r="F19564" s="38" t="s">
        <v>113</v>
      </c>
      <c r="G19564" s="49" t="str">
        <f t="shared" si="1"/>
        <v>02360</v>
      </c>
      <c r="H19564" s="49" t="str">
        <f t="shared" si="2"/>
        <v>02522</v>
      </c>
    </row>
    <row r="19565">
      <c r="A19565" s="48" t="s">
        <v>1991</v>
      </c>
      <c r="B19565" s="38">
        <v>54343.0</v>
      </c>
      <c r="C19565" s="38" t="s">
        <v>24049</v>
      </c>
      <c r="D19565" s="38" t="str">
        <f>IFERROR(__xludf.DUMMYFUNCTION("REGEXREPLACE(C19565,""-\d+(.*)|--\d+(.*)"","""")"),"MANDRES-AUX-QUATRE-TOURS")</f>
        <v>MANDRES-AUX-QUATRE-TOURS</v>
      </c>
      <c r="E19565" s="38" t="s">
        <v>548</v>
      </c>
      <c r="F19565" s="38" t="s">
        <v>195</v>
      </c>
      <c r="G19565" s="49" t="str">
        <f t="shared" si="1"/>
        <v>54470</v>
      </c>
      <c r="H19565" s="49">
        <f t="shared" si="2"/>
        <v>54343</v>
      </c>
    </row>
    <row r="19566">
      <c r="A19566" s="48" t="s">
        <v>1697</v>
      </c>
      <c r="B19566" s="38">
        <v>39215.0</v>
      </c>
      <c r="C19566" s="38" t="s">
        <v>24050</v>
      </c>
      <c r="D19566" s="38" t="str">
        <f>IFERROR(__xludf.DUMMYFUNCTION("REGEXREPLACE(C19566,""-\d+(.*)|--\d+(.*)"","""")"),"ESSIA")</f>
        <v>ESSIA</v>
      </c>
      <c r="E19566" s="38" t="s">
        <v>400</v>
      </c>
      <c r="F19566" s="38" t="s">
        <v>214</v>
      </c>
      <c r="G19566" s="49" t="str">
        <f t="shared" si="1"/>
        <v>39270</v>
      </c>
      <c r="H19566" s="49">
        <f t="shared" si="2"/>
        <v>39215</v>
      </c>
    </row>
    <row r="19567">
      <c r="A19567" s="48" t="s">
        <v>1036</v>
      </c>
      <c r="B19567" s="38">
        <v>57228.0</v>
      </c>
      <c r="C19567" s="38" t="s">
        <v>24051</v>
      </c>
      <c r="D19567" s="38" t="str">
        <f>IFERROR(__xludf.DUMMYFUNCTION("REGEXREPLACE(C19567,""-\d+(.*)|--\d+(.*)"","""")"),"FOSSIEUX")</f>
        <v>FOSSIEUX</v>
      </c>
      <c r="E19567" s="38" t="s">
        <v>303</v>
      </c>
      <c r="F19567" s="38" t="s">
        <v>195</v>
      </c>
      <c r="G19567" s="49" t="str">
        <f t="shared" si="1"/>
        <v>57590</v>
      </c>
      <c r="H19567" s="49">
        <f t="shared" si="2"/>
        <v>57228</v>
      </c>
    </row>
    <row r="19568">
      <c r="A19568" s="48" t="s">
        <v>1038</v>
      </c>
      <c r="B19568" s="38">
        <v>50543.0</v>
      </c>
      <c r="C19568" s="38" t="s">
        <v>24052</v>
      </c>
      <c r="D19568" s="38" t="str">
        <f>IFERROR(__xludf.DUMMYFUNCTION("REGEXREPLACE(C19568,""-\d+(.*)|--\d+(.*)"","""")"),"SAINT-QUENTIN-SUR-LE-HOMME")</f>
        <v>SAINT-QUENTIN-SUR-LE-HOMME</v>
      </c>
      <c r="E19568" s="38" t="s">
        <v>157</v>
      </c>
      <c r="F19568" s="38" t="s">
        <v>138</v>
      </c>
      <c r="G19568" s="49" t="str">
        <f t="shared" si="1"/>
        <v>50220</v>
      </c>
      <c r="H19568" s="49">
        <f t="shared" si="2"/>
        <v>50543</v>
      </c>
    </row>
    <row r="19569">
      <c r="A19569" s="48" t="s">
        <v>8892</v>
      </c>
      <c r="B19569" s="38">
        <v>60230.0</v>
      </c>
      <c r="C19569" s="38" t="s">
        <v>24053</v>
      </c>
      <c r="D19569" s="38" t="str">
        <f>IFERROR(__xludf.DUMMYFUNCTION("REGEXREPLACE(C19569,""-\d+(.*)|--\d+(.*)"","""")"),"LE FAY-SAINT-QUENTIN")</f>
        <v>LE FAY-SAINT-QUENTIN</v>
      </c>
      <c r="E19569" s="38" t="s">
        <v>112</v>
      </c>
      <c r="F19569" s="38" t="s">
        <v>113</v>
      </c>
      <c r="G19569" s="49" t="str">
        <f t="shared" si="1"/>
        <v>60510</v>
      </c>
      <c r="H19569" s="49">
        <f t="shared" si="2"/>
        <v>60230</v>
      </c>
    </row>
    <row r="19570">
      <c r="A19570" s="48" t="s">
        <v>2004</v>
      </c>
      <c r="B19570" s="38">
        <v>88025.0</v>
      </c>
      <c r="C19570" s="38" t="s">
        <v>24054</v>
      </c>
      <c r="D19570" s="38" t="str">
        <f>IFERROR(__xludf.DUMMYFUNCTION("REGEXREPLACE(C19570,""-\d+(.*)|--\d+(.*)"","""")"),"AVRANVILLE")</f>
        <v>AVRANVILLE</v>
      </c>
      <c r="E19570" s="38" t="s">
        <v>194</v>
      </c>
      <c r="F19570" s="38" t="s">
        <v>195</v>
      </c>
      <c r="G19570" s="49" t="str">
        <f t="shared" si="1"/>
        <v>88630</v>
      </c>
      <c r="H19570" s="49">
        <f t="shared" si="2"/>
        <v>88025</v>
      </c>
    </row>
    <row r="19571">
      <c r="A19571" s="48" t="s">
        <v>9522</v>
      </c>
      <c r="B19571" s="38">
        <v>1081.0</v>
      </c>
      <c r="C19571" s="38" t="s">
        <v>24055</v>
      </c>
      <c r="D19571" s="38" t="str">
        <f>IFERROR(__xludf.DUMMYFUNCTION("REGEXREPLACE(C19571,""-\d+(.*)|--\d+(.*)"","""")"),"CHAMPFROMIER")</f>
        <v>CHAMPFROMIER</v>
      </c>
      <c r="E19571" s="38" t="s">
        <v>255</v>
      </c>
      <c r="F19571" s="38" t="s">
        <v>102</v>
      </c>
      <c r="G19571" s="49" t="str">
        <f t="shared" si="1"/>
        <v>01410</v>
      </c>
      <c r="H19571" s="49" t="str">
        <f t="shared" si="2"/>
        <v>01081</v>
      </c>
    </row>
    <row r="19572">
      <c r="A19572" s="48" t="s">
        <v>2817</v>
      </c>
      <c r="B19572" s="38">
        <v>64109.0</v>
      </c>
      <c r="C19572" s="38" t="s">
        <v>24056</v>
      </c>
      <c r="D19572" s="38" t="str">
        <f>IFERROR(__xludf.DUMMYFUNCTION("REGEXREPLACE(C19572,""-\d+(.*)|--\d+(.*)"","""")"),"BENEJACQ")</f>
        <v>BENEJACQ</v>
      </c>
      <c r="E19572" s="38" t="s">
        <v>268</v>
      </c>
      <c r="F19572" s="38" t="s">
        <v>252</v>
      </c>
      <c r="G19572" s="49" t="str">
        <f t="shared" si="1"/>
        <v>64800</v>
      </c>
      <c r="H19572" s="49">
        <f t="shared" si="2"/>
        <v>64109</v>
      </c>
    </row>
    <row r="19573">
      <c r="A19573" s="48" t="s">
        <v>12671</v>
      </c>
      <c r="B19573" s="38">
        <v>60512.0</v>
      </c>
      <c r="C19573" s="38" t="s">
        <v>24057</v>
      </c>
      <c r="D19573" s="38" t="str">
        <f>IFERROR(__xludf.DUMMYFUNCTION("REGEXREPLACE(C19573,""-\d+(.*)|--\d+(.*)"","""")"),"POUILLY")</f>
        <v>POUILLY</v>
      </c>
      <c r="E19573" s="38" t="s">
        <v>112</v>
      </c>
      <c r="F19573" s="38" t="s">
        <v>113</v>
      </c>
      <c r="G19573" s="49" t="str">
        <f t="shared" si="1"/>
        <v>60790</v>
      </c>
      <c r="H19573" s="49">
        <f t="shared" si="2"/>
        <v>60512</v>
      </c>
    </row>
    <row r="19574">
      <c r="A19574" s="48" t="s">
        <v>4706</v>
      </c>
      <c r="B19574" s="38">
        <v>74172.0</v>
      </c>
      <c r="C19574" s="38" t="s">
        <v>24058</v>
      </c>
      <c r="D19574" s="38" t="str">
        <f>IFERROR(__xludf.DUMMYFUNCTION("REGEXREPLACE(C19574,""-\d+(.*)|--\d+(.*)"","""")"),"MAXILLY-SUR-LEMAN")</f>
        <v>MAXILLY-SUR-LEMAN</v>
      </c>
      <c r="E19574" s="38" t="s">
        <v>319</v>
      </c>
      <c r="F19574" s="38" t="s">
        <v>102</v>
      </c>
      <c r="G19574" s="49" t="str">
        <f t="shared" si="1"/>
        <v>74500</v>
      </c>
      <c r="H19574" s="49">
        <f t="shared" si="2"/>
        <v>74172</v>
      </c>
    </row>
    <row r="19575">
      <c r="A19575" s="48" t="s">
        <v>656</v>
      </c>
      <c r="B19575" s="38">
        <v>61128.0</v>
      </c>
      <c r="C19575" s="38" t="s">
        <v>24059</v>
      </c>
      <c r="D19575" s="38" t="str">
        <f>IFERROR(__xludf.DUMMYFUNCTION("REGEXREPLACE(C19575,""-\d+(.*)|--\d+(.*)"","""")"),"COURCERAULT")</f>
        <v>COURCERAULT</v>
      </c>
      <c r="E19575" s="38" t="s">
        <v>141</v>
      </c>
      <c r="F19575" s="38" t="s">
        <v>138</v>
      </c>
      <c r="G19575" s="49" t="str">
        <f t="shared" si="1"/>
        <v>61340</v>
      </c>
      <c r="H19575" s="49">
        <f t="shared" si="2"/>
        <v>61128</v>
      </c>
    </row>
    <row r="19576">
      <c r="A19576" s="48" t="s">
        <v>24060</v>
      </c>
      <c r="B19576" s="38">
        <v>73173.0</v>
      </c>
      <c r="C19576" s="38" t="s">
        <v>24061</v>
      </c>
      <c r="D19576" s="38" t="str">
        <f>IFERROR(__xludf.DUMMYFUNCTION("REGEXREPLACE(C19576,""-\d+(.*)|--\d+(.*)"","""")"),"MONTRICHER-ALBANNE")</f>
        <v>MONTRICHER-ALBANNE</v>
      </c>
      <c r="E19576" s="38" t="s">
        <v>306</v>
      </c>
      <c r="F19576" s="38" t="s">
        <v>102</v>
      </c>
      <c r="G19576" s="49" t="str">
        <f t="shared" si="1"/>
        <v>73870</v>
      </c>
      <c r="H19576" s="49">
        <f t="shared" si="2"/>
        <v>73173</v>
      </c>
    </row>
    <row r="19577">
      <c r="A19577" s="48" t="s">
        <v>1161</v>
      </c>
      <c r="B19577" s="38">
        <v>45343.0</v>
      </c>
      <c r="C19577" s="38" t="s">
        <v>24062</v>
      </c>
      <c r="D19577" s="38" t="str">
        <f>IFERROR(__xludf.DUMMYFUNCTION("REGEXREPLACE(C19577,""-\d+(.*)|--\d+(.*)"","""")"),"VILLEVOQUES")</f>
        <v>VILLEVOQUES</v>
      </c>
      <c r="E19577" s="38" t="s">
        <v>122</v>
      </c>
      <c r="F19577" s="38" t="s">
        <v>123</v>
      </c>
      <c r="G19577" s="49" t="str">
        <f t="shared" si="1"/>
        <v>45700</v>
      </c>
      <c r="H19577" s="49">
        <f t="shared" si="2"/>
        <v>45343</v>
      </c>
    </row>
    <row r="19578">
      <c r="A19578" s="48" t="s">
        <v>3478</v>
      </c>
      <c r="B19578" s="38">
        <v>76413.0</v>
      </c>
      <c r="C19578" s="38" t="s">
        <v>6220</v>
      </c>
      <c r="D19578" s="38" t="str">
        <f>IFERROR(__xludf.DUMMYFUNCTION("REGEXREPLACE(C19578,""-\d+(.*)|--\d+(.*)"","""")"),"MARTIGNY")</f>
        <v>MARTIGNY</v>
      </c>
      <c r="E19578" s="38" t="s">
        <v>133</v>
      </c>
      <c r="F19578" s="38" t="s">
        <v>134</v>
      </c>
      <c r="G19578" s="49" t="str">
        <f t="shared" si="1"/>
        <v>76880</v>
      </c>
      <c r="H19578" s="49">
        <f t="shared" si="2"/>
        <v>76413</v>
      </c>
    </row>
    <row r="19579">
      <c r="A19579" s="48" t="s">
        <v>1454</v>
      </c>
      <c r="B19579" s="38">
        <v>60550.0</v>
      </c>
      <c r="C19579" s="38" t="s">
        <v>24063</v>
      </c>
      <c r="D19579" s="38" t="str">
        <f>IFERROR(__xludf.DUMMYFUNCTION("REGEXREPLACE(C19579,""-\d+(.*)|--\d+(.*)"","""")"),"ROTHOIS")</f>
        <v>ROTHOIS</v>
      </c>
      <c r="E19579" s="38" t="s">
        <v>112</v>
      </c>
      <c r="F19579" s="38" t="s">
        <v>113</v>
      </c>
      <c r="G19579" s="49" t="str">
        <f t="shared" si="1"/>
        <v>60690</v>
      </c>
      <c r="H19579" s="49">
        <f t="shared" si="2"/>
        <v>60550</v>
      </c>
    </row>
    <row r="19580">
      <c r="A19580" s="48" t="s">
        <v>8845</v>
      </c>
      <c r="B19580" s="38">
        <v>8381.0</v>
      </c>
      <c r="C19580" s="38" t="s">
        <v>24064</v>
      </c>
      <c r="D19580" s="38" t="str">
        <f>IFERROR(__xludf.DUMMYFUNCTION("REGEXREPLACE(C19580,""-\d+(.*)|--\d+(.*)"","""")"),"SAINT-GERMAINMONT")</f>
        <v>SAINT-GERMAINMONT</v>
      </c>
      <c r="E19580" s="38" t="s">
        <v>327</v>
      </c>
      <c r="F19580" s="38" t="s">
        <v>130</v>
      </c>
      <c r="G19580" s="49" t="str">
        <f t="shared" si="1"/>
        <v>08190</v>
      </c>
      <c r="H19580" s="49" t="str">
        <f t="shared" si="2"/>
        <v>08381</v>
      </c>
    </row>
    <row r="19581">
      <c r="A19581" s="48" t="s">
        <v>3452</v>
      </c>
      <c r="B19581" s="38">
        <v>36211.0</v>
      </c>
      <c r="C19581" s="38" t="s">
        <v>24065</v>
      </c>
      <c r="D19581" s="38" t="str">
        <f>IFERROR(__xludf.DUMMYFUNCTION("REGEXREPLACE(C19581,""-\d+(.*)|--\d+(.*)"","""")"),"SASSIERGES-SAINT-GERMAIN")</f>
        <v>SASSIERGES-SAINT-GERMAIN</v>
      </c>
      <c r="E19581" s="38" t="s">
        <v>258</v>
      </c>
      <c r="F19581" s="38" t="s">
        <v>123</v>
      </c>
      <c r="G19581" s="49" t="str">
        <f t="shared" si="1"/>
        <v>36120</v>
      </c>
      <c r="H19581" s="49">
        <f t="shared" si="2"/>
        <v>36211</v>
      </c>
    </row>
    <row r="19582">
      <c r="A19582" s="48" t="s">
        <v>5065</v>
      </c>
      <c r="B19582" s="38">
        <v>50292.0</v>
      </c>
      <c r="C19582" s="38" t="s">
        <v>13668</v>
      </c>
      <c r="D19582" s="38" t="str">
        <f>IFERROR(__xludf.DUMMYFUNCTION("REGEXREPLACE(C19582,""-\d+(.*)|--\d+(.*)"","""")"),"MARIGNY")</f>
        <v>MARIGNY</v>
      </c>
      <c r="E19582" s="38" t="s">
        <v>157</v>
      </c>
      <c r="F19582" s="38" t="s">
        <v>138</v>
      </c>
      <c r="G19582" s="49" t="str">
        <f t="shared" si="1"/>
        <v>50570</v>
      </c>
      <c r="H19582" s="49">
        <f t="shared" si="2"/>
        <v>50292</v>
      </c>
    </row>
    <row r="19583">
      <c r="A19583" s="48" t="s">
        <v>1246</v>
      </c>
      <c r="B19583" s="38">
        <v>62228.0</v>
      </c>
      <c r="C19583" s="38" t="s">
        <v>24066</v>
      </c>
      <c r="D19583" s="38" t="str">
        <f>IFERROR(__xludf.DUMMYFUNCTION("REGEXREPLACE(C19583,""-\d+(.*)|--\d+(.*)"","""")"),"CLERQUES")</f>
        <v>CLERQUES</v>
      </c>
      <c r="E19583" s="38" t="s">
        <v>109</v>
      </c>
      <c r="F19583" s="38" t="s">
        <v>86</v>
      </c>
      <c r="G19583" s="49" t="str">
        <f t="shared" si="1"/>
        <v>62890</v>
      </c>
      <c r="H19583" s="49">
        <f t="shared" si="2"/>
        <v>62228</v>
      </c>
    </row>
    <row r="19584">
      <c r="A19584" s="48" t="s">
        <v>13389</v>
      </c>
      <c r="B19584" s="38">
        <v>58151.0</v>
      </c>
      <c r="C19584" s="38" t="s">
        <v>24067</v>
      </c>
      <c r="D19584" s="38" t="str">
        <f>IFERROR(__xludf.DUMMYFUNCTION("REGEXREPLACE(C19584,""-\d+(.*)|--\d+(.*)"","""")"),"LA MACHINE")</f>
        <v>LA MACHINE</v>
      </c>
      <c r="E19584" s="38" t="s">
        <v>219</v>
      </c>
      <c r="F19584" s="38" t="s">
        <v>106</v>
      </c>
      <c r="G19584" s="49" t="str">
        <f t="shared" si="1"/>
        <v>58260</v>
      </c>
      <c r="H19584" s="49">
        <f t="shared" si="2"/>
        <v>58151</v>
      </c>
    </row>
    <row r="19585">
      <c r="A19585" s="48" t="s">
        <v>9342</v>
      </c>
      <c r="B19585" s="38">
        <v>48056.0</v>
      </c>
      <c r="C19585" s="38" t="s">
        <v>24068</v>
      </c>
      <c r="D19585" s="38" t="str">
        <f>IFERROR(__xludf.DUMMYFUNCTION("REGEXREPLACE(C19585,""-\d+(.*)|--\d+(.*)"","""")"),"ESCLANEDES")</f>
        <v>ESCLANEDES</v>
      </c>
      <c r="E19585" s="38" t="s">
        <v>154</v>
      </c>
      <c r="F19585" s="38" t="s">
        <v>119</v>
      </c>
      <c r="G19585" s="49" t="str">
        <f t="shared" si="1"/>
        <v>48230</v>
      </c>
      <c r="H19585" s="49">
        <f t="shared" si="2"/>
        <v>48056</v>
      </c>
    </row>
    <row r="19586">
      <c r="A19586" s="48" t="s">
        <v>8300</v>
      </c>
      <c r="B19586" s="38">
        <v>39351.0</v>
      </c>
      <c r="C19586" s="38" t="s">
        <v>24069</v>
      </c>
      <c r="D19586" s="38" t="str">
        <f>IFERROR(__xludf.DUMMYFUNCTION("REGEXREPLACE(C19586,""-\d+(.*)|--\d+(.*)"","""")"),"MONTCUSEL")</f>
        <v>MONTCUSEL</v>
      </c>
      <c r="E19586" s="38" t="s">
        <v>400</v>
      </c>
      <c r="F19586" s="38" t="s">
        <v>214</v>
      </c>
      <c r="G19586" s="49" t="str">
        <f t="shared" si="1"/>
        <v>39260</v>
      </c>
      <c r="H19586" s="49">
        <f t="shared" si="2"/>
        <v>39351</v>
      </c>
    </row>
    <row r="19587">
      <c r="A19587" s="48" t="s">
        <v>1628</v>
      </c>
      <c r="B19587" s="38">
        <v>70496.0</v>
      </c>
      <c r="C19587" s="38" t="s">
        <v>24070</v>
      </c>
      <c r="D19587" s="38" t="str">
        <f>IFERROR(__xludf.DUMMYFUNCTION("REGEXREPLACE(C19587,""-\d+(.*)|--\d+(.*)"","""")"),"TARTECOURT")</f>
        <v>TARTECOURT</v>
      </c>
      <c r="E19587" s="38" t="s">
        <v>956</v>
      </c>
      <c r="F19587" s="38" t="s">
        <v>214</v>
      </c>
      <c r="G19587" s="49" t="str">
        <f t="shared" si="1"/>
        <v>70500</v>
      </c>
      <c r="H19587" s="49">
        <f t="shared" si="2"/>
        <v>70496</v>
      </c>
    </row>
    <row r="19588">
      <c r="A19588" s="48" t="s">
        <v>4453</v>
      </c>
      <c r="B19588" s="38">
        <v>52322.0</v>
      </c>
      <c r="C19588" s="38" t="s">
        <v>24071</v>
      </c>
      <c r="D19588" s="38" t="str">
        <f>IFERROR(__xludf.DUMMYFUNCTION("REGEXREPLACE(C19588,""-\d+(.*)|--\d+(.*)"","""")"),"MEURES")</f>
        <v>MEURES</v>
      </c>
      <c r="E19588" s="38" t="s">
        <v>234</v>
      </c>
      <c r="F19588" s="38" t="s">
        <v>130</v>
      </c>
      <c r="G19588" s="49" t="str">
        <f t="shared" si="1"/>
        <v>52310</v>
      </c>
      <c r="H19588" s="49">
        <f t="shared" si="2"/>
        <v>52322</v>
      </c>
    </row>
    <row r="19589">
      <c r="A19589" s="48" t="s">
        <v>3212</v>
      </c>
      <c r="B19589" s="38">
        <v>64426.0</v>
      </c>
      <c r="C19589" s="38" t="s">
        <v>24072</v>
      </c>
      <c r="D19589" s="38" t="str">
        <f>IFERROR(__xludf.DUMMYFUNCTION("REGEXREPLACE(C19589,""-\d+(.*)|--\d+(.*)"","""")"),"ORIN")</f>
        <v>ORIN</v>
      </c>
      <c r="E19589" s="38" t="s">
        <v>268</v>
      </c>
      <c r="F19589" s="38" t="s">
        <v>252</v>
      </c>
      <c r="G19589" s="49" t="str">
        <f t="shared" si="1"/>
        <v>64400</v>
      </c>
      <c r="H19589" s="49">
        <f t="shared" si="2"/>
        <v>64426</v>
      </c>
    </row>
    <row r="19590">
      <c r="A19590" s="48" t="s">
        <v>3955</v>
      </c>
      <c r="B19590" s="38">
        <v>62859.0</v>
      </c>
      <c r="C19590" s="38" t="s">
        <v>24073</v>
      </c>
      <c r="D19590" s="38" t="str">
        <f>IFERROR(__xludf.DUMMYFUNCTION("REGEXREPLACE(C19590,""-\d+(.*)|--\d+(.*)"","""")"),"VILLERS-L'HOPITAL")</f>
        <v>VILLERS-L'HOPITAL</v>
      </c>
      <c r="E19590" s="38" t="s">
        <v>109</v>
      </c>
      <c r="F19590" s="38" t="s">
        <v>86</v>
      </c>
      <c r="G19590" s="49" t="str">
        <f t="shared" si="1"/>
        <v>62390</v>
      </c>
      <c r="H19590" s="49">
        <f t="shared" si="2"/>
        <v>62859</v>
      </c>
    </row>
    <row r="19591">
      <c r="A19591" s="48" t="s">
        <v>21808</v>
      </c>
      <c r="B19591" s="38">
        <v>14756.0</v>
      </c>
      <c r="C19591" s="38" t="s">
        <v>24074</v>
      </c>
      <c r="D19591" s="38" t="str">
        <f>IFERROR(__xludf.DUMMYFUNCTION("REGEXREPLACE(C19591,""-\d+(.*)|--\d+(.*)"","""")"),"LA VILLETTE")</f>
        <v>LA VILLETTE</v>
      </c>
      <c r="E19591" s="38" t="s">
        <v>137</v>
      </c>
      <c r="F19591" s="38" t="s">
        <v>138</v>
      </c>
      <c r="G19591" s="49" t="str">
        <f t="shared" si="1"/>
        <v>14570</v>
      </c>
      <c r="H19591" s="49">
        <f t="shared" si="2"/>
        <v>14756</v>
      </c>
    </row>
    <row r="19592">
      <c r="A19592" s="48" t="s">
        <v>24075</v>
      </c>
      <c r="B19592" s="38">
        <v>73088.0</v>
      </c>
      <c r="C19592" s="38" t="s">
        <v>24076</v>
      </c>
      <c r="D19592" s="38" t="str">
        <f>IFERROR(__xludf.DUMMYFUNCTION("REGEXREPLACE(C19592,""-\d+(.*)|--\d+(.*)"","""")"),"COHENNOZ")</f>
        <v>COHENNOZ</v>
      </c>
      <c r="E19592" s="38" t="s">
        <v>306</v>
      </c>
      <c r="F19592" s="38" t="s">
        <v>102</v>
      </c>
      <c r="G19592" s="49" t="str">
        <f t="shared" si="1"/>
        <v>73400</v>
      </c>
      <c r="H19592" s="49">
        <f t="shared" si="2"/>
        <v>73088</v>
      </c>
    </row>
    <row r="19593">
      <c r="A19593" s="48" t="s">
        <v>2773</v>
      </c>
      <c r="B19593" s="38">
        <v>21372.0</v>
      </c>
      <c r="C19593" s="38" t="s">
        <v>24077</v>
      </c>
      <c r="D19593" s="38" t="str">
        <f>IFERROR(__xludf.DUMMYFUNCTION("REGEXREPLACE(C19593,""-\d+(.*)|--\d+(.*)"","""")"),"MAISEY-LE-DUC")</f>
        <v>MAISEY-LE-DUC</v>
      </c>
      <c r="E19593" s="38" t="s">
        <v>105</v>
      </c>
      <c r="F19593" s="38" t="s">
        <v>106</v>
      </c>
      <c r="G19593" s="49" t="str">
        <f t="shared" si="1"/>
        <v>21400</v>
      </c>
      <c r="H19593" s="49">
        <f t="shared" si="2"/>
        <v>21372</v>
      </c>
    </row>
    <row r="19594">
      <c r="A19594" s="48" t="s">
        <v>5483</v>
      </c>
      <c r="B19594" s="38">
        <v>58049.0</v>
      </c>
      <c r="C19594" s="38" t="s">
        <v>24078</v>
      </c>
      <c r="D19594" s="38" t="str">
        <f>IFERROR(__xludf.DUMMYFUNCTION("REGEXREPLACE(C19594,""-\d+(.*)|--\d+(.*)"","""")"),"CHALAUX")</f>
        <v>CHALAUX</v>
      </c>
      <c r="E19594" s="38" t="s">
        <v>219</v>
      </c>
      <c r="F19594" s="38" t="s">
        <v>106</v>
      </c>
      <c r="G19594" s="49" t="str">
        <f t="shared" si="1"/>
        <v>58140</v>
      </c>
      <c r="H19594" s="49">
        <f t="shared" si="2"/>
        <v>58049</v>
      </c>
    </row>
    <row r="19595">
      <c r="A19595" s="48" t="s">
        <v>5558</v>
      </c>
      <c r="B19595" s="38">
        <v>14132.0</v>
      </c>
      <c r="C19595" s="38" t="s">
        <v>24079</v>
      </c>
      <c r="D19595" s="38" t="str">
        <f>IFERROR(__xludf.DUMMYFUNCTION("REGEXREPLACE(C19595,""-\d+(.*)|--\d+(.*)"","""")"),"CANCHY")</f>
        <v>CANCHY</v>
      </c>
      <c r="E19595" s="38" t="s">
        <v>137</v>
      </c>
      <c r="F19595" s="38" t="s">
        <v>138</v>
      </c>
      <c r="G19595" s="49" t="str">
        <f t="shared" si="1"/>
        <v>14230</v>
      </c>
      <c r="H19595" s="49">
        <f t="shared" si="2"/>
        <v>14132</v>
      </c>
    </row>
    <row r="19596">
      <c r="A19596" s="48" t="s">
        <v>360</v>
      </c>
      <c r="B19596" s="38">
        <v>78076.0</v>
      </c>
      <c r="C19596" s="38" t="s">
        <v>24080</v>
      </c>
      <c r="D19596" s="38" t="str">
        <f>IFERROR(__xludf.DUMMYFUNCTION("REGEXREPLACE(C19596,""-\d+(.*)|--\d+(.*)"","""")"),"BOISSETS")</f>
        <v>BOISSETS</v>
      </c>
      <c r="E19596" s="38" t="s">
        <v>362</v>
      </c>
      <c r="F19596" s="38" t="s">
        <v>245</v>
      </c>
      <c r="G19596" s="49" t="str">
        <f t="shared" si="1"/>
        <v>78910</v>
      </c>
      <c r="H19596" s="49">
        <f t="shared" si="2"/>
        <v>78076</v>
      </c>
    </row>
    <row r="19597">
      <c r="A19597" s="48" t="s">
        <v>1518</v>
      </c>
      <c r="B19597" s="38">
        <v>88522.0</v>
      </c>
      <c r="C19597" s="38" t="s">
        <v>24081</v>
      </c>
      <c r="D19597" s="38" t="str">
        <f>IFERROR(__xludf.DUMMYFUNCTION("REGEXREPLACE(C19597,""-\d+(.*)|--\d+(.*)"","""")"),"VOMECOURT-SUR-MADON")</f>
        <v>VOMECOURT-SUR-MADON</v>
      </c>
      <c r="E19597" s="38" t="s">
        <v>194</v>
      </c>
      <c r="F19597" s="38" t="s">
        <v>195</v>
      </c>
      <c r="G19597" s="49" t="str">
        <f t="shared" si="1"/>
        <v>88500</v>
      </c>
      <c r="H19597" s="49">
        <f t="shared" si="2"/>
        <v>88522</v>
      </c>
    </row>
    <row r="19598">
      <c r="A19598" s="48" t="s">
        <v>1632</v>
      </c>
      <c r="B19598" s="38">
        <v>63352.0</v>
      </c>
      <c r="C19598" s="38" t="s">
        <v>24082</v>
      </c>
      <c r="D19598" s="38" t="str">
        <f>IFERROR(__xludf.DUMMYFUNCTION("REGEXREPLACE(C19598,""-\d+(.*)|--\d+(.*)"","""")"),"SAINT-GERMAIN-LEMBRON")</f>
        <v>SAINT-GERMAIN-LEMBRON</v>
      </c>
      <c r="E19598" s="38" t="s">
        <v>353</v>
      </c>
      <c r="F19598" s="38" t="s">
        <v>161</v>
      </c>
      <c r="G19598" s="49" t="str">
        <f t="shared" si="1"/>
        <v>63340</v>
      </c>
      <c r="H19598" s="49">
        <f t="shared" si="2"/>
        <v>63352</v>
      </c>
    </row>
    <row r="19599">
      <c r="A19599" s="48" t="s">
        <v>3289</v>
      </c>
      <c r="B19599" s="38">
        <v>50500.0</v>
      </c>
      <c r="C19599" s="38" t="s">
        <v>24083</v>
      </c>
      <c r="D19599" s="38" t="str">
        <f>IFERROR(__xludf.DUMMYFUNCTION("REGEXREPLACE(C19599,""-\d+(.*)|--\d+(.*)"","""")"),"SAINT-LAURENT-DE-TERREGATTE")</f>
        <v>SAINT-LAURENT-DE-TERREGATTE</v>
      </c>
      <c r="E19599" s="38" t="s">
        <v>157</v>
      </c>
      <c r="F19599" s="38" t="s">
        <v>138</v>
      </c>
      <c r="G19599" s="49" t="str">
        <f t="shared" si="1"/>
        <v>50240</v>
      </c>
      <c r="H19599" s="49">
        <f t="shared" si="2"/>
        <v>50500</v>
      </c>
    </row>
    <row r="19600">
      <c r="A19600" s="48" t="s">
        <v>1524</v>
      </c>
      <c r="B19600" s="38">
        <v>25113.0</v>
      </c>
      <c r="C19600" s="38" t="s">
        <v>24084</v>
      </c>
      <c r="D19600" s="38" t="str">
        <f>IFERROR(__xludf.DUMMYFUNCTION("REGEXREPLACE(C19600,""-\d+(.*)|--\d+(.*)"","""")"),"CHAMESEY")</f>
        <v>CHAMESEY</v>
      </c>
      <c r="E19600" s="38" t="s">
        <v>213</v>
      </c>
      <c r="F19600" s="38" t="s">
        <v>214</v>
      </c>
      <c r="G19600" s="49" t="str">
        <f t="shared" si="1"/>
        <v>25380</v>
      </c>
      <c r="H19600" s="49">
        <f t="shared" si="2"/>
        <v>25113</v>
      </c>
    </row>
    <row r="19601">
      <c r="A19601" s="48" t="s">
        <v>222</v>
      </c>
      <c r="B19601" s="38">
        <v>80705.0</v>
      </c>
      <c r="C19601" s="38" t="s">
        <v>24085</v>
      </c>
      <c r="D19601" s="38" t="str">
        <f>IFERROR(__xludf.DUMMYFUNCTION("REGEXREPLACE(C19601,""-\d+(.*)|--\d+(.*)"","""")"),"SAINT-LEGER-LES-AUTHIE")</f>
        <v>SAINT-LEGER-LES-AUTHIE</v>
      </c>
      <c r="E19601" s="38" t="s">
        <v>224</v>
      </c>
      <c r="F19601" s="38" t="s">
        <v>113</v>
      </c>
      <c r="G19601" s="49" t="str">
        <f t="shared" si="1"/>
        <v>80560</v>
      </c>
      <c r="H19601" s="49">
        <f t="shared" si="2"/>
        <v>80705</v>
      </c>
    </row>
    <row r="19602">
      <c r="A19602" s="48" t="s">
        <v>24086</v>
      </c>
      <c r="B19602" s="38">
        <v>8188.0</v>
      </c>
      <c r="C19602" s="38" t="s">
        <v>24087</v>
      </c>
      <c r="D19602" s="38" t="str">
        <f>IFERROR(__xludf.DUMMYFUNCTION("REGEXREPLACE(C19602,""-\d+(.*)|--\d+(.*)"","""")"),"GESPUNSART")</f>
        <v>GESPUNSART</v>
      </c>
      <c r="E19602" s="38" t="s">
        <v>327</v>
      </c>
      <c r="F19602" s="38" t="s">
        <v>130</v>
      </c>
      <c r="G19602" s="49" t="str">
        <f t="shared" si="1"/>
        <v>08700</v>
      </c>
      <c r="H19602" s="49" t="str">
        <f t="shared" si="2"/>
        <v>08188</v>
      </c>
    </row>
    <row r="19603">
      <c r="A19603" s="48" t="s">
        <v>1995</v>
      </c>
      <c r="B19603" s="38">
        <v>77527.0</v>
      </c>
      <c r="C19603" s="38" t="s">
        <v>24088</v>
      </c>
      <c r="D19603" s="38" t="str">
        <f>IFERROR(__xludf.DUMMYFUNCTION("REGEXREPLACE(C19603,""-\d+(.*)|--\d+(.*)"","""")"),"VOINSLES")</f>
        <v>VOINSLES</v>
      </c>
      <c r="E19603" s="38" t="s">
        <v>244</v>
      </c>
      <c r="F19603" s="38" t="s">
        <v>245</v>
      </c>
      <c r="G19603" s="49" t="str">
        <f t="shared" si="1"/>
        <v>77540</v>
      </c>
      <c r="H19603" s="49">
        <f t="shared" si="2"/>
        <v>77527</v>
      </c>
    </row>
    <row r="19604">
      <c r="A19604" s="48" t="s">
        <v>12805</v>
      </c>
      <c r="B19604" s="38">
        <v>87187.0</v>
      </c>
      <c r="C19604" s="38" t="s">
        <v>24089</v>
      </c>
      <c r="D19604" s="38" t="str">
        <f>IFERROR(__xludf.DUMMYFUNCTION("REGEXREPLACE(C19604,""-\d+(.*)|--\d+(.*)"","""")"),"SAINT-YRIEIX-LA-PERCHE")</f>
        <v>SAINT-YRIEIX-LA-PERCHE</v>
      </c>
      <c r="E19604" s="38" t="s">
        <v>897</v>
      </c>
      <c r="F19604" s="38" t="s">
        <v>98</v>
      </c>
      <c r="G19604" s="49" t="str">
        <f t="shared" si="1"/>
        <v>87500</v>
      </c>
      <c r="H19604" s="49">
        <f t="shared" si="2"/>
        <v>87187</v>
      </c>
    </row>
    <row r="19605">
      <c r="A19605" s="48" t="s">
        <v>2924</v>
      </c>
      <c r="B19605" s="38">
        <v>8330.0</v>
      </c>
      <c r="C19605" s="38" t="s">
        <v>24090</v>
      </c>
      <c r="D19605" s="38" t="str">
        <f>IFERROR(__xludf.DUMMYFUNCTION("REGEXREPLACE(C19605,""-\d+(.*)|--\d+(.*)"","""")"),"NOVY-CHEVRIERES")</f>
        <v>NOVY-CHEVRIERES</v>
      </c>
      <c r="E19605" s="38" t="s">
        <v>327</v>
      </c>
      <c r="F19605" s="38" t="s">
        <v>130</v>
      </c>
      <c r="G19605" s="49" t="str">
        <f t="shared" si="1"/>
        <v>08300</v>
      </c>
      <c r="H19605" s="49" t="str">
        <f t="shared" si="2"/>
        <v>08330</v>
      </c>
    </row>
    <row r="19606">
      <c r="A19606" s="48" t="s">
        <v>8125</v>
      </c>
      <c r="B19606" s="38">
        <v>87180.0</v>
      </c>
      <c r="C19606" s="38" t="s">
        <v>24091</v>
      </c>
      <c r="D19606" s="38" t="str">
        <f>IFERROR(__xludf.DUMMYFUNCTION("REGEXREPLACE(C19606,""-\d+(.*)|--\d+(.*)"","""")"),"SAINT-SORNIN-LEULAC")</f>
        <v>SAINT-SORNIN-LEULAC</v>
      </c>
      <c r="E19606" s="38" t="s">
        <v>897</v>
      </c>
      <c r="F19606" s="38" t="s">
        <v>98</v>
      </c>
      <c r="G19606" s="49" t="str">
        <f t="shared" si="1"/>
        <v>87290</v>
      </c>
      <c r="H19606" s="49">
        <f t="shared" si="2"/>
        <v>87180</v>
      </c>
    </row>
    <row r="19607">
      <c r="A19607" s="48" t="s">
        <v>10416</v>
      </c>
      <c r="B19607" s="38">
        <v>50591.0</v>
      </c>
      <c r="C19607" s="38" t="s">
        <v>24092</v>
      </c>
      <c r="D19607" s="38" t="str">
        <f>IFERROR(__xludf.DUMMYFUNCTION("REGEXREPLACE(C19607,""-\d+(.*)|--\d+(.*)"","""")"),"LE TEILLEUL")</f>
        <v>LE TEILLEUL</v>
      </c>
      <c r="E19607" s="38" t="s">
        <v>157</v>
      </c>
      <c r="F19607" s="38" t="s">
        <v>138</v>
      </c>
      <c r="G19607" s="49" t="str">
        <f t="shared" si="1"/>
        <v>50640</v>
      </c>
      <c r="H19607" s="49">
        <f t="shared" si="2"/>
        <v>50591</v>
      </c>
    </row>
    <row r="19608">
      <c r="A19608" s="48" t="s">
        <v>434</v>
      </c>
      <c r="B19608" s="38">
        <v>55425.0</v>
      </c>
      <c r="C19608" s="38" t="s">
        <v>24093</v>
      </c>
      <c r="D19608" s="38" t="str">
        <f>IFERROR(__xludf.DUMMYFUNCTION("REGEXREPLACE(C19608,""-\d+(.*)|--\d+(.*)"","""")"),"REMOIVILLE")</f>
        <v>REMOIVILLE</v>
      </c>
      <c r="E19608" s="38" t="s">
        <v>322</v>
      </c>
      <c r="F19608" s="38" t="s">
        <v>195</v>
      </c>
      <c r="G19608" s="49" t="str">
        <f t="shared" si="1"/>
        <v>55600</v>
      </c>
      <c r="H19608" s="49">
        <f t="shared" si="2"/>
        <v>55425</v>
      </c>
    </row>
    <row r="19609">
      <c r="A19609" s="48" t="s">
        <v>21039</v>
      </c>
      <c r="B19609" s="38">
        <v>33297.0</v>
      </c>
      <c r="C19609" s="38" t="s">
        <v>24094</v>
      </c>
      <c r="D19609" s="38" t="str">
        <f>IFERROR(__xludf.DUMMYFUNCTION("REGEXREPLACE(C19609,""-\d+(.*)|--\d+(.*)"","""")"),"MOULIS-EN-MEDOC")</f>
        <v>MOULIS-EN-MEDOC</v>
      </c>
      <c r="E19609" s="38" t="s">
        <v>462</v>
      </c>
      <c r="F19609" s="38" t="s">
        <v>252</v>
      </c>
      <c r="G19609" s="49" t="str">
        <f t="shared" si="1"/>
        <v>33480</v>
      </c>
      <c r="H19609" s="49">
        <f t="shared" si="2"/>
        <v>33297</v>
      </c>
    </row>
    <row r="19610">
      <c r="A19610" s="48" t="s">
        <v>4344</v>
      </c>
      <c r="B19610" s="38">
        <v>14367.0</v>
      </c>
      <c r="C19610" s="38" t="s">
        <v>24095</v>
      </c>
      <c r="D19610" s="38" t="str">
        <f>IFERROR(__xludf.DUMMYFUNCTION("REGEXREPLACE(C19610,""-\d+(.*)|--\d+(.*)"","""")"),"LISON")</f>
        <v>LISON</v>
      </c>
      <c r="E19610" s="38" t="s">
        <v>137</v>
      </c>
      <c r="F19610" s="38" t="s">
        <v>138</v>
      </c>
      <c r="G19610" s="49" t="str">
        <f t="shared" si="1"/>
        <v>14330</v>
      </c>
      <c r="H19610" s="49">
        <f t="shared" si="2"/>
        <v>14367</v>
      </c>
    </row>
    <row r="19611">
      <c r="A19611" s="48" t="s">
        <v>854</v>
      </c>
      <c r="B19611" s="38">
        <v>62458.0</v>
      </c>
      <c r="C19611" s="38" t="s">
        <v>24096</v>
      </c>
      <c r="D19611" s="38" t="str">
        <f>IFERROR(__xludf.DUMMYFUNCTION("REGEXREPLACE(C19611,""-\d+(.*)|--\d+(.*)"","""")"),"HOULLE")</f>
        <v>HOULLE</v>
      </c>
      <c r="E19611" s="38" t="s">
        <v>109</v>
      </c>
      <c r="F19611" s="38" t="s">
        <v>86</v>
      </c>
      <c r="G19611" s="49" t="str">
        <f t="shared" si="1"/>
        <v>62910</v>
      </c>
      <c r="H19611" s="49">
        <f t="shared" si="2"/>
        <v>62458</v>
      </c>
    </row>
    <row r="19612">
      <c r="A19612" s="48" t="s">
        <v>13460</v>
      </c>
      <c r="B19612" s="38">
        <v>68211.0</v>
      </c>
      <c r="C19612" s="38" t="s">
        <v>24097</v>
      </c>
      <c r="D19612" s="38" t="str">
        <f>IFERROR(__xludf.DUMMYFUNCTION("REGEXREPLACE(C19612,""-\d+(.*)|--\d+(.*)"","""")"),"MITZACH")</f>
        <v>MITZACH</v>
      </c>
      <c r="E19612" s="38" t="s">
        <v>150</v>
      </c>
      <c r="F19612" s="38" t="s">
        <v>151</v>
      </c>
      <c r="G19612" s="49" t="str">
        <f t="shared" si="1"/>
        <v>68470</v>
      </c>
      <c r="H19612" s="49">
        <f t="shared" si="2"/>
        <v>68211</v>
      </c>
    </row>
    <row r="19613">
      <c r="A19613" s="48" t="s">
        <v>9594</v>
      </c>
      <c r="B19613" s="38">
        <v>44199.0</v>
      </c>
      <c r="C19613" s="38" t="s">
        <v>24098</v>
      </c>
      <c r="D19613" s="38" t="str">
        <f>IFERROR(__xludf.DUMMYFUNCTION("REGEXREPLACE(C19613,""-\d+(.*)|--\d+(.*)"","""")"),"SOUDAN")</f>
        <v>SOUDAN</v>
      </c>
      <c r="E19613" s="38" t="s">
        <v>759</v>
      </c>
      <c r="F19613" s="38" t="s">
        <v>180</v>
      </c>
      <c r="G19613" s="49" t="str">
        <f t="shared" si="1"/>
        <v>44110</v>
      </c>
      <c r="H19613" s="49">
        <f t="shared" si="2"/>
        <v>44199</v>
      </c>
    </row>
    <row r="19614">
      <c r="A19614" s="48" t="s">
        <v>4142</v>
      </c>
      <c r="B19614" s="38">
        <v>16394.0</v>
      </c>
      <c r="C19614" s="38" t="s">
        <v>24099</v>
      </c>
      <c r="D19614" s="38" t="str">
        <f>IFERROR(__xludf.DUMMYFUNCTION("REGEXREPLACE(C19614,""-\d+(.*)|--\d+(.*)"","""")"),"VAUX-LAVALETTE")</f>
        <v>VAUX-LAVALETTE</v>
      </c>
      <c r="E19614" s="38" t="s">
        <v>429</v>
      </c>
      <c r="F19614" s="38" t="s">
        <v>338</v>
      </c>
      <c r="G19614" s="49" t="str">
        <f t="shared" si="1"/>
        <v>16320</v>
      </c>
      <c r="H19614" s="49">
        <f t="shared" si="2"/>
        <v>16394</v>
      </c>
    </row>
    <row r="19615">
      <c r="A19615" s="48" t="s">
        <v>2174</v>
      </c>
      <c r="B19615" s="38">
        <v>35158.0</v>
      </c>
      <c r="C19615" s="38" t="s">
        <v>24100</v>
      </c>
      <c r="D19615" s="38" t="str">
        <f>IFERROR(__xludf.DUMMYFUNCTION("REGEXREPLACE(C19615,""-\d+(.*)|--\d+(.*)"","""")"),"LE LOU-DU-LAC")</f>
        <v>LE LOU-DU-LAC</v>
      </c>
      <c r="E19615" s="38" t="s">
        <v>347</v>
      </c>
      <c r="F19615" s="38" t="s">
        <v>90</v>
      </c>
      <c r="G19615" s="49" t="str">
        <f t="shared" si="1"/>
        <v>35360</v>
      </c>
      <c r="H19615" s="49">
        <f t="shared" si="2"/>
        <v>35158</v>
      </c>
    </row>
    <row r="19616">
      <c r="A19616" s="48" t="s">
        <v>3329</v>
      </c>
      <c r="B19616" s="38">
        <v>60335.0</v>
      </c>
      <c r="C19616" s="38" t="s">
        <v>24101</v>
      </c>
      <c r="D19616" s="38" t="str">
        <f>IFERROR(__xludf.DUMMYFUNCTION("REGEXREPLACE(C19616,""-\d+(.*)|--\d+(.*)"","""")"),"LACHAPELLE-SOUS-GERBEROY")</f>
        <v>LACHAPELLE-SOUS-GERBEROY</v>
      </c>
      <c r="E19616" s="38" t="s">
        <v>112</v>
      </c>
      <c r="F19616" s="38" t="s">
        <v>113</v>
      </c>
      <c r="G19616" s="49" t="str">
        <f t="shared" si="1"/>
        <v>60380</v>
      </c>
      <c r="H19616" s="49">
        <f t="shared" si="2"/>
        <v>60335</v>
      </c>
    </row>
    <row r="19617">
      <c r="A19617" s="48" t="s">
        <v>2374</v>
      </c>
      <c r="B19617" s="38">
        <v>58043.0</v>
      </c>
      <c r="C19617" s="38" t="s">
        <v>24102</v>
      </c>
      <c r="D19617" s="38" t="str">
        <f>IFERROR(__xludf.DUMMYFUNCTION("REGEXREPLACE(C19617,""-\d+(.*)|--\d+(.*)"","""")"),"BUSSY-LA-PESLE")</f>
        <v>BUSSY-LA-PESLE</v>
      </c>
      <c r="E19617" s="38" t="s">
        <v>219</v>
      </c>
      <c r="F19617" s="38" t="s">
        <v>106</v>
      </c>
      <c r="G19617" s="49" t="str">
        <f t="shared" si="1"/>
        <v>58420</v>
      </c>
      <c r="H19617" s="49">
        <f t="shared" si="2"/>
        <v>58043</v>
      </c>
    </row>
    <row r="19618">
      <c r="A19618" s="48" t="s">
        <v>9991</v>
      </c>
      <c r="B19618" s="38">
        <v>9012.0</v>
      </c>
      <c r="C19618" s="38" t="s">
        <v>24103</v>
      </c>
      <c r="D19618" s="38" t="str">
        <f>IFERROR(__xludf.DUMMYFUNCTION("REGEXREPLACE(C19618,""-\d+(.*)|--\d+(.*)"","""")"),"APPY")</f>
        <v>APPY</v>
      </c>
      <c r="E19618" s="38" t="s">
        <v>238</v>
      </c>
      <c r="F19618" s="38" t="s">
        <v>94</v>
      </c>
      <c r="G19618" s="49" t="str">
        <f t="shared" si="1"/>
        <v>09250</v>
      </c>
      <c r="H19618" s="49" t="str">
        <f t="shared" si="2"/>
        <v>09012</v>
      </c>
    </row>
    <row r="19619">
      <c r="A19619" s="48" t="s">
        <v>14734</v>
      </c>
      <c r="B19619" s="38">
        <v>4004.0</v>
      </c>
      <c r="C19619" s="38" t="s">
        <v>24104</v>
      </c>
      <c r="D19619" s="38" t="str">
        <f>IFERROR(__xludf.DUMMYFUNCTION("REGEXREPLACE(C19619,""-\d+(.*)|--\d+(.*)"","""")"),"ALLEMAGNE-EN-PROVENCE")</f>
        <v>ALLEMAGNE-EN-PROVENCE</v>
      </c>
      <c r="E19619" s="38" t="s">
        <v>662</v>
      </c>
      <c r="F19619" s="38" t="s">
        <v>228</v>
      </c>
      <c r="G19619" s="49" t="str">
        <f t="shared" si="1"/>
        <v>04500</v>
      </c>
      <c r="H19619" s="49" t="str">
        <f t="shared" si="2"/>
        <v>04004</v>
      </c>
    </row>
    <row r="19620">
      <c r="A19620" s="48" t="s">
        <v>15987</v>
      </c>
      <c r="B19620" s="38">
        <v>38405.0</v>
      </c>
      <c r="C19620" s="38" t="s">
        <v>24105</v>
      </c>
      <c r="D19620" s="38" t="str">
        <f>IFERROR(__xludf.DUMMYFUNCTION("REGEXREPLACE(C19620,""-\d+(.*)|--\d+(.*)"","""")"),"SAINT-JOSEPH-DE-RIVIERE")</f>
        <v>SAINT-JOSEPH-DE-RIVIERE</v>
      </c>
      <c r="E19620" s="38" t="s">
        <v>101</v>
      </c>
      <c r="F19620" s="38" t="s">
        <v>102</v>
      </c>
      <c r="G19620" s="49" t="str">
        <f t="shared" si="1"/>
        <v>38134</v>
      </c>
      <c r="H19620" s="49">
        <f t="shared" si="2"/>
        <v>38405</v>
      </c>
    </row>
    <row r="19621">
      <c r="A19621" s="48" t="s">
        <v>4526</v>
      </c>
      <c r="B19621" s="38">
        <v>23115.0</v>
      </c>
      <c r="C19621" s="38" t="s">
        <v>24106</v>
      </c>
      <c r="D19621" s="38" t="str">
        <f>IFERROR(__xludf.DUMMYFUNCTION("REGEXREPLACE(C19621,""-\d+(.*)|--\d+(.*)"","""")"),"MAGNAT-L'ETRANGE")</f>
        <v>MAGNAT-L'ETRANGE</v>
      </c>
      <c r="E19621" s="38" t="s">
        <v>97</v>
      </c>
      <c r="F19621" s="38" t="s">
        <v>98</v>
      </c>
      <c r="G19621" s="49" t="str">
        <f t="shared" si="1"/>
        <v>23260</v>
      </c>
      <c r="H19621" s="49">
        <f t="shared" si="2"/>
        <v>23115</v>
      </c>
    </row>
    <row r="19622">
      <c r="A19622" s="48" t="s">
        <v>10369</v>
      </c>
      <c r="B19622" s="38">
        <v>88108.0</v>
      </c>
      <c r="C19622" s="38" t="s">
        <v>24107</v>
      </c>
      <c r="D19622" s="38" t="str">
        <f>IFERROR(__xludf.DUMMYFUNCTION("REGEXREPLACE(C19622,""-\d+(.*)|--\d+(.*)"","""")"),"LE CLERJUS")</f>
        <v>LE CLERJUS</v>
      </c>
      <c r="E19622" s="38" t="s">
        <v>194</v>
      </c>
      <c r="F19622" s="38" t="s">
        <v>195</v>
      </c>
      <c r="G19622" s="49" t="str">
        <f t="shared" si="1"/>
        <v>88240</v>
      </c>
      <c r="H19622" s="49">
        <f t="shared" si="2"/>
        <v>88108</v>
      </c>
    </row>
    <row r="19623">
      <c r="A19623" s="48" t="s">
        <v>2779</v>
      </c>
      <c r="B19623" s="38">
        <v>80369.0</v>
      </c>
      <c r="C19623" s="38" t="s">
        <v>24108</v>
      </c>
      <c r="D19623" s="38" t="str">
        <f>IFERROR(__xludf.DUMMYFUNCTION("REGEXREPLACE(C19623,""-\d+(.*)|--\d+(.*)"","""")"),"FROHEN-SUR-AUTHIE")</f>
        <v>FROHEN-SUR-AUTHIE</v>
      </c>
      <c r="E19623" s="38" t="s">
        <v>224</v>
      </c>
      <c r="F19623" s="38" t="s">
        <v>113</v>
      </c>
      <c r="G19623" s="49" t="str">
        <f t="shared" si="1"/>
        <v>80370</v>
      </c>
      <c r="H19623" s="49">
        <f t="shared" si="2"/>
        <v>80369</v>
      </c>
    </row>
    <row r="19624">
      <c r="A19624" s="48" t="s">
        <v>13583</v>
      </c>
      <c r="B19624" s="38">
        <v>90037.0</v>
      </c>
      <c r="C19624" s="38" t="s">
        <v>24109</v>
      </c>
      <c r="D19624" s="38" t="str">
        <f>IFERROR(__xludf.DUMMYFUNCTION("REGEXREPLACE(C19624,""-\d+(.*)|--\d+(.*)"","""")"),"ELOIE")</f>
        <v>ELOIE</v>
      </c>
      <c r="E19624" s="38" t="s">
        <v>1283</v>
      </c>
      <c r="F19624" s="38" t="s">
        <v>214</v>
      </c>
      <c r="G19624" s="49" t="str">
        <f t="shared" si="1"/>
        <v>90300</v>
      </c>
      <c r="H19624" s="49">
        <f t="shared" si="2"/>
        <v>90037</v>
      </c>
    </row>
    <row r="19625">
      <c r="A19625" s="48" t="s">
        <v>1802</v>
      </c>
      <c r="B19625" s="38">
        <v>53244.0</v>
      </c>
      <c r="C19625" s="38" t="s">
        <v>24110</v>
      </c>
      <c r="D19625" s="38" t="str">
        <f>IFERROR(__xludf.DUMMYFUNCTION("REGEXREPLACE(C19625,""-\d+(.*)|--\d+(.*)"","""")"),"SAINT-OUEN-DES-VALLONS")</f>
        <v>SAINT-OUEN-DES-VALLONS</v>
      </c>
      <c r="E19625" s="38" t="s">
        <v>518</v>
      </c>
      <c r="F19625" s="38" t="s">
        <v>180</v>
      </c>
      <c r="G19625" s="49" t="str">
        <f t="shared" si="1"/>
        <v>53150</v>
      </c>
      <c r="H19625" s="49">
        <f t="shared" si="2"/>
        <v>53244</v>
      </c>
    </row>
    <row r="19626">
      <c r="A19626" s="48" t="s">
        <v>24111</v>
      </c>
      <c r="B19626" s="38">
        <v>33063.0</v>
      </c>
      <c r="C19626" s="38" t="s">
        <v>24112</v>
      </c>
      <c r="D19626" s="38" t="str">
        <f>IFERROR(__xludf.DUMMYFUNCTION("REGEXREPLACE(C19626,""-\d+(.*)|--\d+(.*)"","""")"),"BORDEAUX")</f>
        <v>BORDEAUX</v>
      </c>
      <c r="E19626" s="38" t="s">
        <v>462</v>
      </c>
      <c r="F19626" s="38" t="s">
        <v>252</v>
      </c>
      <c r="G19626" s="49" t="str">
        <f t="shared" si="1"/>
        <v>33000/33100/33200/33300/33800</v>
      </c>
      <c r="H19626" s="49">
        <f t="shared" si="2"/>
        <v>33063</v>
      </c>
    </row>
    <row r="19627">
      <c r="A19627" s="48" t="s">
        <v>5162</v>
      </c>
      <c r="B19627" s="38">
        <v>47328.0</v>
      </c>
      <c r="C19627" s="38" t="s">
        <v>2856</v>
      </c>
      <c r="D19627" s="38" t="str">
        <f>IFERROR(__xludf.DUMMYFUNCTION("REGEXREPLACE(C19627,""-\d+(.*)|--\d+(.*)"","""")"),"SAINT-GEORGES")</f>
        <v>SAINT-GEORGES</v>
      </c>
      <c r="E19627" s="38" t="s">
        <v>251</v>
      </c>
      <c r="F19627" s="38" t="s">
        <v>252</v>
      </c>
      <c r="G19627" s="49" t="str">
        <f t="shared" si="1"/>
        <v>47370</v>
      </c>
      <c r="H19627" s="49">
        <f t="shared" si="2"/>
        <v>47328</v>
      </c>
    </row>
    <row r="19628">
      <c r="A19628" s="48" t="s">
        <v>5601</v>
      </c>
      <c r="B19628" s="38">
        <v>71123.0</v>
      </c>
      <c r="C19628" s="38" t="s">
        <v>24113</v>
      </c>
      <c r="D19628" s="38" t="str">
        <f>IFERROR(__xludf.DUMMYFUNCTION("REGEXREPLACE(C19628,""-\d+(.*)|--\d+(.*)"","""")"),"CHENAY-LE-CHATEL")</f>
        <v>CHENAY-LE-CHATEL</v>
      </c>
      <c r="E19628" s="38" t="s">
        <v>344</v>
      </c>
      <c r="F19628" s="38" t="s">
        <v>106</v>
      </c>
      <c r="G19628" s="49" t="str">
        <f t="shared" si="1"/>
        <v>71340</v>
      </c>
      <c r="H19628" s="49">
        <f t="shared" si="2"/>
        <v>71123</v>
      </c>
    </row>
    <row r="19629">
      <c r="A19629" s="48" t="s">
        <v>13730</v>
      </c>
      <c r="B19629" s="38">
        <v>95627.0</v>
      </c>
      <c r="C19629" s="38" t="s">
        <v>24114</v>
      </c>
      <c r="D19629" s="38" t="str">
        <f>IFERROR(__xludf.DUMMYFUNCTION("REGEXREPLACE(C19629,""-\d+(.*)|--\d+(.*)"","""")"),"VALLANGOUJARD")</f>
        <v>VALLANGOUJARD</v>
      </c>
      <c r="E19629" s="38" t="s">
        <v>541</v>
      </c>
      <c r="F19629" s="38" t="s">
        <v>245</v>
      </c>
      <c r="G19629" s="49" t="str">
        <f t="shared" si="1"/>
        <v>95810</v>
      </c>
      <c r="H19629" s="49">
        <f t="shared" si="2"/>
        <v>95627</v>
      </c>
    </row>
    <row r="19630">
      <c r="A19630" s="48" t="s">
        <v>1161</v>
      </c>
      <c r="B19630" s="38">
        <v>45338.0</v>
      </c>
      <c r="C19630" s="38" t="s">
        <v>24115</v>
      </c>
      <c r="D19630" s="38" t="str">
        <f>IFERROR(__xludf.DUMMYFUNCTION("REGEXREPLACE(C19630,""-\d+(.*)|--\d+(.*)"","""")"),"VILLEMANDEUR")</f>
        <v>VILLEMANDEUR</v>
      </c>
      <c r="E19630" s="38" t="s">
        <v>122</v>
      </c>
      <c r="F19630" s="38" t="s">
        <v>123</v>
      </c>
      <c r="G19630" s="49" t="str">
        <f t="shared" si="1"/>
        <v>45700</v>
      </c>
      <c r="H19630" s="49">
        <f t="shared" si="2"/>
        <v>45338</v>
      </c>
    </row>
    <row r="19631">
      <c r="A19631" s="48" t="s">
        <v>2338</v>
      </c>
      <c r="B19631" s="38">
        <v>8425.0</v>
      </c>
      <c r="C19631" s="38" t="s">
        <v>24116</v>
      </c>
      <c r="D19631" s="38" t="str">
        <f>IFERROR(__xludf.DUMMYFUNCTION("REGEXREPLACE(C19631,""-\d+(.*)|--\d+(.*)"","""")"),"SOMMERANCE")</f>
        <v>SOMMERANCE</v>
      </c>
      <c r="E19631" s="38" t="s">
        <v>327</v>
      </c>
      <c r="F19631" s="38" t="s">
        <v>130</v>
      </c>
      <c r="G19631" s="49" t="str">
        <f t="shared" si="1"/>
        <v>08250</v>
      </c>
      <c r="H19631" s="49" t="str">
        <f t="shared" si="2"/>
        <v>08425</v>
      </c>
    </row>
    <row r="19632">
      <c r="A19632" s="48" t="s">
        <v>3716</v>
      </c>
      <c r="B19632" s="38">
        <v>57025.0</v>
      </c>
      <c r="C19632" s="38" t="s">
        <v>24117</v>
      </c>
      <c r="D19632" s="38" t="str">
        <f>IFERROR(__xludf.DUMMYFUNCTION("REGEXREPLACE(C19632,""-\d+(.*)|--\d+(.*)"","""")"),"ANZELING")</f>
        <v>ANZELING</v>
      </c>
      <c r="E19632" s="38" t="s">
        <v>303</v>
      </c>
      <c r="F19632" s="38" t="s">
        <v>195</v>
      </c>
      <c r="G19632" s="49" t="str">
        <f t="shared" si="1"/>
        <v>57320</v>
      </c>
      <c r="H19632" s="49">
        <f t="shared" si="2"/>
        <v>57025</v>
      </c>
    </row>
    <row r="19633">
      <c r="A19633" s="48" t="s">
        <v>781</v>
      </c>
      <c r="B19633" s="38">
        <v>65271.0</v>
      </c>
      <c r="C19633" s="38" t="s">
        <v>24118</v>
      </c>
      <c r="D19633" s="38" t="str">
        <f>IFERROR(__xludf.DUMMYFUNCTION("REGEXREPLACE(C19633,""-\d+(.*)|--\d+(.*)"","""")"),"LEZIGNAN")</f>
        <v>LEZIGNAN</v>
      </c>
      <c r="E19633" s="38" t="s">
        <v>200</v>
      </c>
      <c r="F19633" s="38" t="s">
        <v>94</v>
      </c>
      <c r="G19633" s="49" t="str">
        <f t="shared" si="1"/>
        <v>65100</v>
      </c>
      <c r="H19633" s="49">
        <f t="shared" si="2"/>
        <v>65271</v>
      </c>
    </row>
    <row r="19634">
      <c r="A19634" s="48" t="s">
        <v>11437</v>
      </c>
      <c r="B19634" s="38">
        <v>71161.0</v>
      </c>
      <c r="C19634" s="38" t="s">
        <v>24119</v>
      </c>
      <c r="D19634" s="38" t="str">
        <f>IFERROR(__xludf.DUMMYFUNCTION("REGEXREPLACE(C19634,""-\d+(.*)|--\d+(.*)"","""")"),"CURDIN")</f>
        <v>CURDIN</v>
      </c>
      <c r="E19634" s="38" t="s">
        <v>344</v>
      </c>
      <c r="F19634" s="38" t="s">
        <v>106</v>
      </c>
      <c r="G19634" s="49" t="str">
        <f t="shared" si="1"/>
        <v>71130</v>
      </c>
      <c r="H19634" s="49">
        <f t="shared" si="2"/>
        <v>71161</v>
      </c>
    </row>
    <row r="19635">
      <c r="A19635" s="48" t="s">
        <v>5393</v>
      </c>
      <c r="B19635" s="38">
        <v>56148.0</v>
      </c>
      <c r="C19635" s="38" t="s">
        <v>24120</v>
      </c>
      <c r="D19635" s="38" t="str">
        <f>IFERROR(__xludf.DUMMYFUNCTION("REGEXREPLACE(C19635,""-\d+(.*)|--\d+(.*)"","""")"),"NOSTANG")</f>
        <v>NOSTANG</v>
      </c>
      <c r="E19635" s="38" t="s">
        <v>173</v>
      </c>
      <c r="F19635" s="38" t="s">
        <v>90</v>
      </c>
      <c r="G19635" s="49" t="str">
        <f t="shared" si="1"/>
        <v>56690</v>
      </c>
      <c r="H19635" s="49">
        <f t="shared" si="2"/>
        <v>56148</v>
      </c>
    </row>
    <row r="19636">
      <c r="A19636" s="48" t="s">
        <v>2861</v>
      </c>
      <c r="B19636" s="38">
        <v>62782.0</v>
      </c>
      <c r="C19636" s="38" t="s">
        <v>24121</v>
      </c>
      <c r="D19636" s="38" t="str">
        <f>IFERROR(__xludf.DUMMYFUNCTION("REGEXREPLACE(C19636,""-\d+(.*)|--\d+(.*)"","""")"),"SAUDEMONT")</f>
        <v>SAUDEMONT</v>
      </c>
      <c r="E19636" s="38" t="s">
        <v>109</v>
      </c>
      <c r="F19636" s="38" t="s">
        <v>86</v>
      </c>
      <c r="G19636" s="49" t="str">
        <f t="shared" si="1"/>
        <v>62860</v>
      </c>
      <c r="H19636" s="49">
        <f t="shared" si="2"/>
        <v>62782</v>
      </c>
    </row>
    <row r="19637">
      <c r="A19637" s="48" t="s">
        <v>24122</v>
      </c>
      <c r="B19637" s="38">
        <v>54254.0</v>
      </c>
      <c r="C19637" s="38" t="s">
        <v>24123</v>
      </c>
      <c r="D19637" s="38" t="str">
        <f>IFERROR(__xludf.DUMMYFUNCTION("REGEXREPLACE(C19637,""-\d+(.*)|--\d+(.*)"","""")"),"HAUCOURT-MOULAINE")</f>
        <v>HAUCOURT-MOULAINE</v>
      </c>
      <c r="E19637" s="38" t="s">
        <v>548</v>
      </c>
      <c r="F19637" s="38" t="s">
        <v>195</v>
      </c>
      <c r="G19637" s="49" t="str">
        <f t="shared" si="1"/>
        <v>54860</v>
      </c>
      <c r="H19637" s="49">
        <f t="shared" si="2"/>
        <v>54254</v>
      </c>
    </row>
    <row r="19638">
      <c r="A19638" s="48" t="s">
        <v>9313</v>
      </c>
      <c r="B19638" s="38">
        <v>39032.0</v>
      </c>
      <c r="C19638" s="38" t="s">
        <v>24124</v>
      </c>
      <c r="D19638" s="38" t="str">
        <f>IFERROR(__xludf.DUMMYFUNCTION("REGEXREPLACE(C19638,""-\d+(.*)|--\d+(.*)"","""")"),"AVIGNON-LES-SAINT-CLAUDE")</f>
        <v>AVIGNON-LES-SAINT-CLAUDE</v>
      </c>
      <c r="E19638" s="38" t="s">
        <v>400</v>
      </c>
      <c r="F19638" s="38" t="s">
        <v>214</v>
      </c>
      <c r="G19638" s="49" t="str">
        <f t="shared" si="1"/>
        <v>39200</v>
      </c>
      <c r="H19638" s="49">
        <f t="shared" si="2"/>
        <v>39032</v>
      </c>
    </row>
    <row r="19639">
      <c r="A19639" s="48" t="s">
        <v>954</v>
      </c>
      <c r="B19639" s="38">
        <v>70482.0</v>
      </c>
      <c r="C19639" s="38" t="s">
        <v>24125</v>
      </c>
      <c r="D19639" s="38" t="str">
        <f>IFERROR(__xludf.DUMMYFUNCTION("REGEXREPLACE(C19639,""-\d+(.*)|--\d+(.*)"","""")"),"SCEY-SUR-SAONE-ET-SAINT-ALBIN")</f>
        <v>SCEY-SUR-SAONE-ET-SAINT-ALBIN</v>
      </c>
      <c r="E19639" s="38" t="s">
        <v>956</v>
      </c>
      <c r="F19639" s="38" t="s">
        <v>214</v>
      </c>
      <c r="G19639" s="49" t="str">
        <f t="shared" si="1"/>
        <v>70360</v>
      </c>
      <c r="H19639" s="49">
        <f t="shared" si="2"/>
        <v>70482</v>
      </c>
    </row>
    <row r="19640">
      <c r="A19640" s="48" t="s">
        <v>24126</v>
      </c>
      <c r="B19640" s="38">
        <v>55505.0</v>
      </c>
      <c r="C19640" s="38" t="s">
        <v>24127</v>
      </c>
      <c r="D19640" s="38" t="str">
        <f>IFERROR(__xludf.DUMMYFUNCTION("REGEXREPLACE(C19640,""-\d+(.*)|--\d+(.*)"","""")"),"THIERVILLE-SUR-MEUSE")</f>
        <v>THIERVILLE-SUR-MEUSE</v>
      </c>
      <c r="E19640" s="38" t="s">
        <v>322</v>
      </c>
      <c r="F19640" s="38" t="s">
        <v>195</v>
      </c>
      <c r="G19640" s="49" t="str">
        <f t="shared" si="1"/>
        <v>55840</v>
      </c>
      <c r="H19640" s="49">
        <f t="shared" si="2"/>
        <v>55505</v>
      </c>
    </row>
    <row r="19641">
      <c r="A19641" s="48" t="s">
        <v>5453</v>
      </c>
      <c r="B19641" s="38">
        <v>52401.0</v>
      </c>
      <c r="C19641" s="38" t="s">
        <v>24128</v>
      </c>
      <c r="D19641" s="38" t="str">
        <f>IFERROR(__xludf.DUMMYFUNCTION("REGEXREPLACE(C19641,""-\d+(.*)|--\d+(.*)"","""")"),"POULANGY")</f>
        <v>POULANGY</v>
      </c>
      <c r="E19641" s="38" t="s">
        <v>234</v>
      </c>
      <c r="F19641" s="38" t="s">
        <v>130</v>
      </c>
      <c r="G19641" s="49" t="str">
        <f t="shared" si="1"/>
        <v>52800</v>
      </c>
      <c r="H19641" s="49">
        <f t="shared" si="2"/>
        <v>52401</v>
      </c>
    </row>
    <row r="19642">
      <c r="A19642" s="48" t="s">
        <v>6832</v>
      </c>
      <c r="B19642" s="38">
        <v>80400.0</v>
      </c>
      <c r="C19642" s="38" t="s">
        <v>24129</v>
      </c>
      <c r="D19642" s="38" t="str">
        <f>IFERROR(__xludf.DUMMYFUNCTION("REGEXREPLACE(C19642,""-\d+(.*)|--\d+(.*)"","""")"),"GUILLAUCOURT")</f>
        <v>GUILLAUCOURT</v>
      </c>
      <c r="E19642" s="38" t="s">
        <v>224</v>
      </c>
      <c r="F19642" s="38" t="s">
        <v>113</v>
      </c>
      <c r="G19642" s="49" t="str">
        <f t="shared" si="1"/>
        <v>80170</v>
      </c>
      <c r="H19642" s="49">
        <f t="shared" si="2"/>
        <v>80400</v>
      </c>
    </row>
    <row r="19643">
      <c r="A19643" s="48" t="s">
        <v>3539</v>
      </c>
      <c r="B19643" s="38">
        <v>54427.0</v>
      </c>
      <c r="C19643" s="38" t="s">
        <v>24130</v>
      </c>
      <c r="D19643" s="38" t="str">
        <f>IFERROR(__xludf.DUMMYFUNCTION("REGEXREPLACE(C19643,""-\d+(.*)|--\d+(.*)"","""")"),"PIERRE-PERCEE")</f>
        <v>PIERRE-PERCEE</v>
      </c>
      <c r="E19643" s="38" t="s">
        <v>548</v>
      </c>
      <c r="F19643" s="38" t="s">
        <v>195</v>
      </c>
      <c r="G19643" s="49" t="str">
        <f t="shared" si="1"/>
        <v>54540</v>
      </c>
      <c r="H19643" s="49">
        <f t="shared" si="2"/>
        <v>54427</v>
      </c>
    </row>
    <row r="19644">
      <c r="A19644" s="48" t="s">
        <v>1693</v>
      </c>
      <c r="B19644" s="38">
        <v>24522.0</v>
      </c>
      <c r="C19644" s="38" t="s">
        <v>24131</v>
      </c>
      <c r="D19644" s="38" t="str">
        <f>IFERROR(__xludf.DUMMYFUNCTION("REGEXREPLACE(C19644,""-\d+(.*)|--\d+(.*)"","""")"),"SARRAZAC")</f>
        <v>SARRAZAC</v>
      </c>
      <c r="E19644" s="38" t="s">
        <v>261</v>
      </c>
      <c r="F19644" s="38" t="s">
        <v>252</v>
      </c>
      <c r="G19644" s="49" t="str">
        <f t="shared" si="1"/>
        <v>24800</v>
      </c>
      <c r="H19644" s="49">
        <f t="shared" si="2"/>
        <v>24522</v>
      </c>
    </row>
    <row r="19645">
      <c r="A19645" s="48" t="s">
        <v>2477</v>
      </c>
      <c r="B19645" s="38">
        <v>76512.0</v>
      </c>
      <c r="C19645" s="38" t="s">
        <v>24132</v>
      </c>
      <c r="D19645" s="38" t="str">
        <f>IFERROR(__xludf.DUMMYFUNCTION("REGEXREPLACE(C19645,""-\d+(.*)|--\d+(.*)"","""")"),"PUISENVAL")</f>
        <v>PUISENVAL</v>
      </c>
      <c r="E19645" s="38" t="s">
        <v>133</v>
      </c>
      <c r="F19645" s="38" t="s">
        <v>134</v>
      </c>
      <c r="G19645" s="49" t="str">
        <f t="shared" si="1"/>
        <v>76660</v>
      </c>
      <c r="H19645" s="49">
        <f t="shared" si="2"/>
        <v>76512</v>
      </c>
    </row>
    <row r="19646">
      <c r="A19646" s="48" t="s">
        <v>6912</v>
      </c>
      <c r="B19646" s="38">
        <v>91600.0</v>
      </c>
      <c r="C19646" s="38" t="s">
        <v>24133</v>
      </c>
      <c r="D19646" s="38" t="str">
        <f>IFERROR(__xludf.DUMMYFUNCTION("REGEXREPLACE(C19646,""-\d+(.*)|--\d+(.*)"","""")"),"SOISY-SUR-SEINE")</f>
        <v>SOISY-SUR-SEINE</v>
      </c>
      <c r="E19646" s="38" t="s">
        <v>756</v>
      </c>
      <c r="F19646" s="38" t="s">
        <v>245</v>
      </c>
      <c r="G19646" s="49" t="str">
        <f t="shared" si="1"/>
        <v>91450</v>
      </c>
      <c r="H19646" s="49">
        <f t="shared" si="2"/>
        <v>91600</v>
      </c>
    </row>
    <row r="19647">
      <c r="A19647" s="48" t="s">
        <v>3508</v>
      </c>
      <c r="B19647" s="38">
        <v>51273.0</v>
      </c>
      <c r="C19647" s="38" t="s">
        <v>24134</v>
      </c>
      <c r="D19647" s="38" t="str">
        <f>IFERROR(__xludf.DUMMYFUNCTION("REGEXREPLACE(C19647,""-\d+(.*)|--\d+(.*)"","""")"),"GIVRY-LES-LOISY")</f>
        <v>GIVRY-LES-LOISY</v>
      </c>
      <c r="E19647" s="38" t="s">
        <v>129</v>
      </c>
      <c r="F19647" s="38" t="s">
        <v>130</v>
      </c>
      <c r="G19647" s="49" t="str">
        <f t="shared" si="1"/>
        <v>51130</v>
      </c>
      <c r="H19647" s="49">
        <f t="shared" si="2"/>
        <v>51273</v>
      </c>
    </row>
    <row r="19648">
      <c r="A19648" s="48" t="s">
        <v>5679</v>
      </c>
      <c r="B19648" s="38">
        <v>66162.0</v>
      </c>
      <c r="C19648" s="38" t="s">
        <v>24135</v>
      </c>
      <c r="D19648" s="38" t="str">
        <f>IFERROR(__xludf.DUMMYFUNCTION("REGEXREPLACE(C19648,""-\d+(.*)|--\d+(.*)"","""")"),"RIGARDA")</f>
        <v>RIGARDA</v>
      </c>
      <c r="E19648" s="38" t="s">
        <v>248</v>
      </c>
      <c r="F19648" s="38" t="s">
        <v>119</v>
      </c>
      <c r="G19648" s="49" t="str">
        <f t="shared" si="1"/>
        <v>66320</v>
      </c>
      <c r="H19648" s="49">
        <f t="shared" si="2"/>
        <v>66162</v>
      </c>
    </row>
    <row r="19649">
      <c r="A19649" s="48" t="s">
        <v>1010</v>
      </c>
      <c r="B19649" s="38">
        <v>27464.0</v>
      </c>
      <c r="C19649" s="38" t="s">
        <v>24136</v>
      </c>
      <c r="D19649" s="38" t="str">
        <f>IFERROR(__xludf.DUMMYFUNCTION("REGEXREPLACE(C19649,""-\d+(.*)|--\d+(.*)"","""")"),"LE PLESSIS-GROHAN")</f>
        <v>LE PLESSIS-GROHAN</v>
      </c>
      <c r="E19649" s="38" t="s">
        <v>241</v>
      </c>
      <c r="F19649" s="38" t="s">
        <v>134</v>
      </c>
      <c r="G19649" s="49" t="str">
        <f t="shared" si="1"/>
        <v>27180</v>
      </c>
      <c r="H19649" s="49">
        <f t="shared" si="2"/>
        <v>27464</v>
      </c>
    </row>
    <row r="19650">
      <c r="A19650" s="48" t="s">
        <v>3992</v>
      </c>
      <c r="B19650" s="38">
        <v>46213.0</v>
      </c>
      <c r="C19650" s="38" t="s">
        <v>24137</v>
      </c>
      <c r="D19650" s="38" t="str">
        <f>IFERROR(__xludf.DUMMYFUNCTION("REGEXREPLACE(C19650,""-\d+(.*)|--\d+(.*)"","""")"),"PADIRAC")</f>
        <v>PADIRAC</v>
      </c>
      <c r="E19650" s="38" t="s">
        <v>185</v>
      </c>
      <c r="F19650" s="38" t="s">
        <v>94</v>
      </c>
      <c r="G19650" s="49" t="str">
        <f t="shared" si="1"/>
        <v>46500</v>
      </c>
      <c r="H19650" s="49">
        <f t="shared" si="2"/>
        <v>46213</v>
      </c>
    </row>
    <row r="19651">
      <c r="A19651" s="48" t="s">
        <v>24138</v>
      </c>
      <c r="B19651" s="38">
        <v>71215.0</v>
      </c>
      <c r="C19651" s="38" t="s">
        <v>24139</v>
      </c>
      <c r="D19651" s="38" t="str">
        <f>IFERROR(__xludf.DUMMYFUNCTION("REGEXREPLACE(C19651,""-\d+(.*)|--\d+(.*)"","""")"),"GERGY")</f>
        <v>GERGY</v>
      </c>
      <c r="E19651" s="38" t="s">
        <v>344</v>
      </c>
      <c r="F19651" s="38" t="s">
        <v>106</v>
      </c>
      <c r="G19651" s="49" t="str">
        <f t="shared" si="1"/>
        <v>71590</v>
      </c>
      <c r="H19651" s="49">
        <f t="shared" si="2"/>
        <v>71215</v>
      </c>
    </row>
    <row r="19652">
      <c r="A19652" s="48" t="s">
        <v>24140</v>
      </c>
      <c r="B19652" s="38">
        <v>44052.0</v>
      </c>
      <c r="C19652" s="38" t="s">
        <v>24141</v>
      </c>
      <c r="D19652" s="38" t="str">
        <f>IFERROR(__xludf.DUMMYFUNCTION("REGEXREPLACE(C19652,""-\d+(.*)|--\d+(.*)"","""")"),"DONGES")</f>
        <v>DONGES</v>
      </c>
      <c r="E19652" s="38" t="s">
        <v>759</v>
      </c>
      <c r="F19652" s="38" t="s">
        <v>180</v>
      </c>
      <c r="G19652" s="49" t="str">
        <f t="shared" si="1"/>
        <v>44480</v>
      </c>
      <c r="H19652" s="49">
        <f t="shared" si="2"/>
        <v>44052</v>
      </c>
    </row>
    <row r="19653">
      <c r="A19653" s="48" t="s">
        <v>5636</v>
      </c>
      <c r="B19653" s="38">
        <v>40028.0</v>
      </c>
      <c r="C19653" s="38" t="s">
        <v>24142</v>
      </c>
      <c r="D19653" s="38" t="str">
        <f>IFERROR(__xludf.DUMMYFUNCTION("REGEXREPLACE(C19653,""-\d+(.*)|--\d+(.*)"","""")"),"BASTENNES")</f>
        <v>BASTENNES</v>
      </c>
      <c r="E19653" s="38" t="s">
        <v>281</v>
      </c>
      <c r="F19653" s="38" t="s">
        <v>252</v>
      </c>
      <c r="G19653" s="49" t="str">
        <f t="shared" si="1"/>
        <v>40360</v>
      </c>
      <c r="H19653" s="49">
        <f t="shared" si="2"/>
        <v>40028</v>
      </c>
    </row>
    <row r="19654">
      <c r="A19654" s="48" t="s">
        <v>10802</v>
      </c>
      <c r="B19654" s="38">
        <v>77316.0</v>
      </c>
      <c r="C19654" s="38" t="s">
        <v>24143</v>
      </c>
      <c r="D19654" s="38" t="str">
        <f>IFERROR(__xludf.DUMMYFUNCTION("REGEXREPLACE(C19654,""-\d+(.*)|--\d+(.*)"","""")"),"MORET-SUR-LOING")</f>
        <v>MORET-SUR-LOING</v>
      </c>
      <c r="E19654" s="38" t="s">
        <v>244</v>
      </c>
      <c r="F19654" s="38" t="s">
        <v>245</v>
      </c>
      <c r="G19654" s="49" t="str">
        <f t="shared" si="1"/>
        <v>77250</v>
      </c>
      <c r="H19654" s="49">
        <f t="shared" si="2"/>
        <v>77316</v>
      </c>
    </row>
    <row r="19655">
      <c r="A19655" s="48" t="s">
        <v>4589</v>
      </c>
      <c r="B19655" s="38">
        <v>41097.0</v>
      </c>
      <c r="C19655" s="38" t="s">
        <v>24144</v>
      </c>
      <c r="D19655" s="38" t="str">
        <f>IFERROR(__xludf.DUMMYFUNCTION("REGEXREPLACE(C19655,""-\d+(.*)|--\d+(.*)"","""")"),"GIEVRES")</f>
        <v>GIEVRES</v>
      </c>
      <c r="E19655" s="38" t="s">
        <v>188</v>
      </c>
      <c r="F19655" s="38" t="s">
        <v>123</v>
      </c>
      <c r="G19655" s="49" t="str">
        <f t="shared" si="1"/>
        <v>41130</v>
      </c>
      <c r="H19655" s="49">
        <f t="shared" si="2"/>
        <v>41097</v>
      </c>
    </row>
    <row r="19656">
      <c r="A19656" s="48" t="s">
        <v>20979</v>
      </c>
      <c r="B19656" s="38">
        <v>44165.0</v>
      </c>
      <c r="C19656" s="38" t="s">
        <v>24145</v>
      </c>
      <c r="D19656" s="38" t="str">
        <f>IFERROR(__xludf.DUMMYFUNCTION("REGEXREPLACE(C19656,""-\d+(.*)|--\d+(.*)"","""")"),"SAINT-HILAIRE-DE-CLISSON")</f>
        <v>SAINT-HILAIRE-DE-CLISSON</v>
      </c>
      <c r="E19656" s="38" t="s">
        <v>759</v>
      </c>
      <c r="F19656" s="38" t="s">
        <v>180</v>
      </c>
      <c r="G19656" s="49" t="str">
        <f t="shared" si="1"/>
        <v>44190</v>
      </c>
      <c r="H19656" s="49">
        <f t="shared" si="2"/>
        <v>44165</v>
      </c>
    </row>
    <row r="19657">
      <c r="A19657" s="48" t="s">
        <v>4566</v>
      </c>
      <c r="B19657" s="38">
        <v>24045.0</v>
      </c>
      <c r="C19657" s="38" t="s">
        <v>24146</v>
      </c>
      <c r="D19657" s="38" t="str">
        <f>IFERROR(__xludf.DUMMYFUNCTION("REGEXREPLACE(C19657,""-\d+(.*)|--\d+(.*)"","""")"),"BOISSE")</f>
        <v>BOISSE</v>
      </c>
      <c r="E19657" s="38" t="s">
        <v>261</v>
      </c>
      <c r="F19657" s="38" t="s">
        <v>252</v>
      </c>
      <c r="G19657" s="49" t="str">
        <f t="shared" si="1"/>
        <v>24560</v>
      </c>
      <c r="H19657" s="49">
        <f t="shared" si="2"/>
        <v>24045</v>
      </c>
    </row>
    <row r="19658">
      <c r="A19658" s="48" t="s">
        <v>7592</v>
      </c>
      <c r="B19658" s="38">
        <v>86198.0</v>
      </c>
      <c r="C19658" s="38" t="s">
        <v>7002</v>
      </c>
      <c r="D19658" s="38" t="str">
        <f>IFERROR(__xludf.DUMMYFUNCTION("REGEXREPLACE(C19658,""-\d+(.*)|--\d+(.*)"","""")"),"POUILLE")</f>
        <v>POUILLE</v>
      </c>
      <c r="E19658" s="38" t="s">
        <v>529</v>
      </c>
      <c r="F19658" s="38" t="s">
        <v>338</v>
      </c>
      <c r="G19658" s="49" t="str">
        <f t="shared" si="1"/>
        <v>86800</v>
      </c>
      <c r="H19658" s="49">
        <f t="shared" si="2"/>
        <v>86198</v>
      </c>
    </row>
    <row r="19659">
      <c r="A19659" s="48" t="s">
        <v>328</v>
      </c>
      <c r="B19659" s="38">
        <v>2487.0</v>
      </c>
      <c r="C19659" s="38" t="s">
        <v>24147</v>
      </c>
      <c r="D19659" s="38" t="str">
        <f>IFERROR(__xludf.DUMMYFUNCTION("REGEXREPLACE(C19659,""-\d+(.*)|--\d+(.*)"","""")"),"MISSY-SUR-AISNE")</f>
        <v>MISSY-SUR-AISNE</v>
      </c>
      <c r="E19659" s="38" t="s">
        <v>191</v>
      </c>
      <c r="F19659" s="38" t="s">
        <v>113</v>
      </c>
      <c r="G19659" s="49" t="str">
        <f t="shared" si="1"/>
        <v>02880</v>
      </c>
      <c r="H19659" s="49" t="str">
        <f t="shared" si="2"/>
        <v>02487</v>
      </c>
    </row>
    <row r="19660">
      <c r="A19660" s="48" t="s">
        <v>6292</v>
      </c>
      <c r="B19660" s="38">
        <v>63313.0</v>
      </c>
      <c r="C19660" s="38" t="s">
        <v>24148</v>
      </c>
      <c r="D19660" s="38" t="str">
        <f>IFERROR(__xludf.DUMMYFUNCTION("REGEXREPLACE(C19660,""-\d+(.*)|--\d+(.*)"","""")"),"SAINT-ALYRE-ES-MONTAGNE")</f>
        <v>SAINT-ALYRE-ES-MONTAGNE</v>
      </c>
      <c r="E19660" s="38" t="s">
        <v>353</v>
      </c>
      <c r="F19660" s="38" t="s">
        <v>161</v>
      </c>
      <c r="G19660" s="49" t="str">
        <f t="shared" si="1"/>
        <v>63420</v>
      </c>
      <c r="H19660" s="49">
        <f t="shared" si="2"/>
        <v>63313</v>
      </c>
    </row>
    <row r="19661">
      <c r="A19661" s="48" t="s">
        <v>2083</v>
      </c>
      <c r="B19661" s="38">
        <v>17398.0</v>
      </c>
      <c r="C19661" s="38" t="s">
        <v>24149</v>
      </c>
      <c r="D19661" s="38" t="str">
        <f>IFERROR(__xludf.DUMMYFUNCTION("REGEXREPLACE(C19661,""-\d+(.*)|--\d+(.*)"","""")"),"SAINT-SEURIN-DE-PALENNE")</f>
        <v>SAINT-SEURIN-DE-PALENNE</v>
      </c>
      <c r="E19661" s="38" t="s">
        <v>488</v>
      </c>
      <c r="F19661" s="38" t="s">
        <v>338</v>
      </c>
      <c r="G19661" s="49" t="str">
        <f t="shared" si="1"/>
        <v>17800</v>
      </c>
      <c r="H19661" s="49">
        <f t="shared" si="2"/>
        <v>17398</v>
      </c>
    </row>
    <row r="19662">
      <c r="A19662" s="48" t="s">
        <v>997</v>
      </c>
      <c r="B19662" s="38">
        <v>55089.0</v>
      </c>
      <c r="C19662" s="38" t="s">
        <v>24150</v>
      </c>
      <c r="D19662" s="38" t="str">
        <f>IFERROR(__xludf.DUMMYFUNCTION("REGEXREPLACE(C19662,""-\d+(.*)|--\d+(.*)"","""")"),"BUREY-LA-COTE")</f>
        <v>BUREY-LA-COTE</v>
      </c>
      <c r="E19662" s="38" t="s">
        <v>322</v>
      </c>
      <c r="F19662" s="38" t="s">
        <v>195</v>
      </c>
      <c r="G19662" s="49" t="str">
        <f t="shared" si="1"/>
        <v>55140</v>
      </c>
      <c r="H19662" s="49">
        <f t="shared" si="2"/>
        <v>55089</v>
      </c>
    </row>
    <row r="19663">
      <c r="A19663" s="48" t="s">
        <v>2714</v>
      </c>
      <c r="B19663" s="38">
        <v>61365.0</v>
      </c>
      <c r="C19663" s="38" t="s">
        <v>24151</v>
      </c>
      <c r="D19663" s="38" t="str">
        <f>IFERROR(__xludf.DUMMYFUNCTION("REGEXREPLACE(C19663,""-\d+(.*)|--\d+(.*)"","""")"),"SAINT-AUBIN-D'APPENAI")</f>
        <v>SAINT-AUBIN-D'APPENAI</v>
      </c>
      <c r="E19663" s="38" t="s">
        <v>141</v>
      </c>
      <c r="F19663" s="38" t="s">
        <v>138</v>
      </c>
      <c r="G19663" s="49" t="str">
        <f t="shared" si="1"/>
        <v>61170</v>
      </c>
      <c r="H19663" s="49">
        <f t="shared" si="2"/>
        <v>61365</v>
      </c>
    </row>
    <row r="19664">
      <c r="A19664" s="48" t="s">
        <v>24152</v>
      </c>
      <c r="B19664" s="38">
        <v>44114.0</v>
      </c>
      <c r="C19664" s="38" t="s">
        <v>24153</v>
      </c>
      <c r="D19664" s="38" t="str">
        <f>IFERROR(__xludf.DUMMYFUNCTION("REGEXREPLACE(C19664,""-\d+(.*)|--\d+(.*)"","""")"),"ORVAULT")</f>
        <v>ORVAULT</v>
      </c>
      <c r="E19664" s="38" t="s">
        <v>759</v>
      </c>
      <c r="F19664" s="38" t="s">
        <v>180</v>
      </c>
      <c r="G19664" s="49" t="str">
        <f t="shared" si="1"/>
        <v>44700</v>
      </c>
      <c r="H19664" s="49">
        <f t="shared" si="2"/>
        <v>44114</v>
      </c>
    </row>
    <row r="19665">
      <c r="A19665" s="48" t="s">
        <v>497</v>
      </c>
      <c r="B19665" s="38">
        <v>62745.0</v>
      </c>
      <c r="C19665" s="38" t="s">
        <v>24154</v>
      </c>
      <c r="D19665" s="38" t="str">
        <f>IFERROR(__xludf.DUMMYFUNCTION("REGEXREPLACE(C19665,""-\d+(.*)|--\d+(.*)"","""")"),"SAINT-DENOEUX")</f>
        <v>SAINT-DENOEUX</v>
      </c>
      <c r="E19665" s="38" t="s">
        <v>109</v>
      </c>
      <c r="F19665" s="38" t="s">
        <v>86</v>
      </c>
      <c r="G19665" s="49" t="str">
        <f t="shared" si="1"/>
        <v>62990</v>
      </c>
      <c r="H19665" s="49">
        <f t="shared" si="2"/>
        <v>62745</v>
      </c>
    </row>
    <row r="19666">
      <c r="A19666" s="48" t="s">
        <v>1609</v>
      </c>
      <c r="B19666" s="38">
        <v>30065.0</v>
      </c>
      <c r="C19666" s="38" t="s">
        <v>24155</v>
      </c>
      <c r="D19666" s="38" t="str">
        <f>IFERROR(__xludf.DUMMYFUNCTION("REGEXREPLACE(C19666,""-\d+(.*)|--\d+(.*)"","""")"),"CANAULES-ET-ARGENTIERES")</f>
        <v>CANAULES-ET-ARGENTIERES</v>
      </c>
      <c r="E19666" s="38" t="s">
        <v>526</v>
      </c>
      <c r="F19666" s="38" t="s">
        <v>119</v>
      </c>
      <c r="G19666" s="49" t="str">
        <f t="shared" si="1"/>
        <v>30350</v>
      </c>
      <c r="H19666" s="49">
        <f t="shared" si="2"/>
        <v>30065</v>
      </c>
    </row>
    <row r="19667">
      <c r="A19667" s="48" t="s">
        <v>4803</v>
      </c>
      <c r="B19667" s="38">
        <v>33528.0</v>
      </c>
      <c r="C19667" s="38" t="s">
        <v>24156</v>
      </c>
      <c r="D19667" s="38" t="str">
        <f>IFERROR(__xludf.DUMMYFUNCTION("REGEXREPLACE(C19667,""-\d+(.*)|--\d+(.*)"","""")"),"LE TEMPLE")</f>
        <v>LE TEMPLE</v>
      </c>
      <c r="E19667" s="38" t="s">
        <v>462</v>
      </c>
      <c r="F19667" s="38" t="s">
        <v>252</v>
      </c>
      <c r="G19667" s="49" t="str">
        <f t="shared" si="1"/>
        <v>33680</v>
      </c>
      <c r="H19667" s="49">
        <f t="shared" si="2"/>
        <v>33528</v>
      </c>
    </row>
    <row r="19668">
      <c r="A19668" s="48" t="s">
        <v>24157</v>
      </c>
      <c r="B19668" s="38">
        <v>84132.0</v>
      </c>
      <c r="C19668" s="38" t="s">
        <v>24158</v>
      </c>
      <c r="D19668" s="38" t="str">
        <f>IFERROR(__xludf.DUMMYFUNCTION("REGEXREPLACE(C19668,""-\d+(.*)|--\d+(.*)"","""")"),"LE THOR")</f>
        <v>LE THOR</v>
      </c>
      <c r="E19668" s="38" t="s">
        <v>1026</v>
      </c>
      <c r="F19668" s="38" t="s">
        <v>228</v>
      </c>
      <c r="G19668" s="49" t="str">
        <f t="shared" si="1"/>
        <v>84250</v>
      </c>
      <c r="H19668" s="49">
        <f t="shared" si="2"/>
        <v>84132</v>
      </c>
    </row>
    <row r="19669">
      <c r="A19669" s="48" t="s">
        <v>13906</v>
      </c>
      <c r="B19669" s="38">
        <v>3276.0</v>
      </c>
      <c r="C19669" s="38" t="s">
        <v>24159</v>
      </c>
      <c r="D19669" s="38" t="str">
        <f>IFERROR(__xludf.DUMMYFUNCTION("REGEXREPLACE(C19669,""-\d+(.*)|--\d+(.*)"","""")"),"SUSSAT")</f>
        <v>SUSSAT</v>
      </c>
      <c r="E19669" s="38" t="s">
        <v>160</v>
      </c>
      <c r="F19669" s="38" t="s">
        <v>161</v>
      </c>
      <c r="G19669" s="49" t="str">
        <f t="shared" si="1"/>
        <v>03450</v>
      </c>
      <c r="H19669" s="49" t="str">
        <f t="shared" si="2"/>
        <v>03276</v>
      </c>
    </row>
    <row r="19670">
      <c r="A19670" s="48" t="s">
        <v>6736</v>
      </c>
      <c r="B19670" s="38">
        <v>31429.0</v>
      </c>
      <c r="C19670" s="38" t="s">
        <v>24160</v>
      </c>
      <c r="D19670" s="38" t="str">
        <f>IFERROR(__xludf.DUMMYFUNCTION("REGEXREPLACE(C19670,""-\d+(.*)|--\d+(.*)"","""")"),"POMPERTUZAT")</f>
        <v>POMPERTUZAT</v>
      </c>
      <c r="E19670" s="38" t="s">
        <v>93</v>
      </c>
      <c r="F19670" s="38" t="s">
        <v>94</v>
      </c>
      <c r="G19670" s="49" t="str">
        <f t="shared" si="1"/>
        <v>31450</v>
      </c>
      <c r="H19670" s="49">
        <f t="shared" si="2"/>
        <v>31429</v>
      </c>
    </row>
    <row r="19671">
      <c r="A19671" s="48" t="s">
        <v>10327</v>
      </c>
      <c r="B19671" s="38">
        <v>57546.0</v>
      </c>
      <c r="C19671" s="38" t="s">
        <v>24161</v>
      </c>
      <c r="D19671" s="38" t="str">
        <f>IFERROR(__xludf.DUMMYFUNCTION("REGEXREPLACE(C19671,""-\d+(.*)|--\d+(.*)"","""")"),"PLESNOIS")</f>
        <v>PLESNOIS</v>
      </c>
      <c r="E19671" s="38" t="s">
        <v>303</v>
      </c>
      <c r="F19671" s="38" t="s">
        <v>195</v>
      </c>
      <c r="G19671" s="49" t="str">
        <f t="shared" si="1"/>
        <v>57140</v>
      </c>
      <c r="H19671" s="49">
        <f t="shared" si="2"/>
        <v>57546</v>
      </c>
    </row>
    <row r="19672">
      <c r="A19672" s="48" t="s">
        <v>1124</v>
      </c>
      <c r="B19672" s="38">
        <v>61273.0</v>
      </c>
      <c r="C19672" s="38" t="s">
        <v>24162</v>
      </c>
      <c r="D19672" s="38" t="str">
        <f>IFERROR(__xludf.DUMMYFUNCTION("REGEXREPLACE(C19672,""-\d+(.*)|--\d+(.*)"","""")"),"MENIL-VIN")</f>
        <v>MENIL-VIN</v>
      </c>
      <c r="E19672" s="38" t="s">
        <v>141</v>
      </c>
      <c r="F19672" s="38" t="s">
        <v>138</v>
      </c>
      <c r="G19672" s="49" t="str">
        <f t="shared" si="1"/>
        <v>61210</v>
      </c>
      <c r="H19672" s="49">
        <f t="shared" si="2"/>
        <v>61273</v>
      </c>
    </row>
    <row r="19673">
      <c r="A19673" s="48" t="s">
        <v>10107</v>
      </c>
      <c r="B19673" s="38" t="s">
        <v>24163</v>
      </c>
      <c r="C19673" s="38" t="s">
        <v>24164</v>
      </c>
      <c r="D19673" s="38" t="str">
        <f>IFERROR(__xludf.DUMMYFUNCTION("REGEXREPLACE(C19673,""-\d+(.*)|--\d+(.*)"","""")"),"PORRI")</f>
        <v>PORRI</v>
      </c>
      <c r="E19673" s="38" t="s">
        <v>743</v>
      </c>
      <c r="F19673" s="38" t="s">
        <v>607</v>
      </c>
      <c r="G19673" s="49" t="str">
        <f t="shared" si="1"/>
        <v>20215</v>
      </c>
      <c r="H19673" s="49" t="str">
        <f t="shared" si="2"/>
        <v>2B245</v>
      </c>
    </row>
    <row r="19674">
      <c r="A19674" s="48" t="s">
        <v>10943</v>
      </c>
      <c r="B19674" s="38">
        <v>14172.0</v>
      </c>
      <c r="C19674" s="38" t="s">
        <v>24165</v>
      </c>
      <c r="D19674" s="38" t="str">
        <f>IFERROR(__xludf.DUMMYFUNCTION("REGEXREPLACE(C19674,""-\d+(.*)|--\d+(.*)"","""")"),"COMMES")</f>
        <v>COMMES</v>
      </c>
      <c r="E19674" s="38" t="s">
        <v>137</v>
      </c>
      <c r="F19674" s="38" t="s">
        <v>138</v>
      </c>
      <c r="G19674" s="49" t="str">
        <f t="shared" si="1"/>
        <v>14520</v>
      </c>
      <c r="H19674" s="49">
        <f t="shared" si="2"/>
        <v>14172</v>
      </c>
    </row>
    <row r="19675">
      <c r="A19675" s="48" t="s">
        <v>2232</v>
      </c>
      <c r="B19675" s="38">
        <v>77171.0</v>
      </c>
      <c r="C19675" s="38" t="s">
        <v>24166</v>
      </c>
      <c r="D19675" s="38" t="str">
        <f>IFERROR(__xludf.DUMMYFUNCTION("REGEXREPLACE(C19675,""-\d+(.*)|--\d+(.*)"","""")"),"ESBLY")</f>
        <v>ESBLY</v>
      </c>
      <c r="E19675" s="38" t="s">
        <v>244</v>
      </c>
      <c r="F19675" s="38" t="s">
        <v>245</v>
      </c>
      <c r="G19675" s="49" t="str">
        <f t="shared" si="1"/>
        <v>77450</v>
      </c>
      <c r="H19675" s="49">
        <f t="shared" si="2"/>
        <v>77171</v>
      </c>
    </row>
    <row r="19676">
      <c r="A19676" s="48" t="s">
        <v>394</v>
      </c>
      <c r="B19676" s="38">
        <v>41243.0</v>
      </c>
      <c r="C19676" s="38" t="s">
        <v>24167</v>
      </c>
      <c r="D19676" s="38" t="str">
        <f>IFERROR(__xludf.DUMMYFUNCTION("REGEXREPLACE(C19676,""-\d+(.*)|--\d+(.*)"","""")"),"SELOMMES")</f>
        <v>SELOMMES</v>
      </c>
      <c r="E19676" s="38" t="s">
        <v>188</v>
      </c>
      <c r="F19676" s="38" t="s">
        <v>123</v>
      </c>
      <c r="G19676" s="49" t="str">
        <f t="shared" si="1"/>
        <v>41100</v>
      </c>
      <c r="H19676" s="49">
        <f t="shared" si="2"/>
        <v>41243</v>
      </c>
    </row>
    <row r="19677">
      <c r="A19677" s="48" t="s">
        <v>24168</v>
      </c>
      <c r="B19677" s="38">
        <v>93071.0</v>
      </c>
      <c r="C19677" s="38" t="s">
        <v>24169</v>
      </c>
      <c r="D19677" s="38" t="str">
        <f>IFERROR(__xludf.DUMMYFUNCTION("REGEXREPLACE(C19677,""-\d+(.*)|--\d+(.*)"","""")"),"SEVRAN")</f>
        <v>SEVRAN</v>
      </c>
      <c r="E19677" s="38" t="s">
        <v>341</v>
      </c>
      <c r="F19677" s="38" t="s">
        <v>245</v>
      </c>
      <c r="G19677" s="49" t="str">
        <f t="shared" si="1"/>
        <v>93270</v>
      </c>
      <c r="H19677" s="49">
        <f t="shared" si="2"/>
        <v>93071</v>
      </c>
    </row>
    <row r="19678">
      <c r="A19678" s="48" t="s">
        <v>2141</v>
      </c>
      <c r="B19678" s="38">
        <v>80630.0</v>
      </c>
      <c r="C19678" s="38" t="s">
        <v>24170</v>
      </c>
      <c r="D19678" s="38" t="str">
        <f>IFERROR(__xludf.DUMMYFUNCTION("REGEXREPLACE(C19678,""-\d+(.*)|--\d+(.*)"","""")"),"POIX-DE-PICARDIE")</f>
        <v>POIX-DE-PICARDIE</v>
      </c>
      <c r="E19678" s="38" t="s">
        <v>224</v>
      </c>
      <c r="F19678" s="38" t="s">
        <v>113</v>
      </c>
      <c r="G19678" s="49" t="str">
        <f t="shared" si="1"/>
        <v>80290</v>
      </c>
      <c r="H19678" s="49">
        <f t="shared" si="2"/>
        <v>80630</v>
      </c>
    </row>
    <row r="19679">
      <c r="A19679" s="48" t="s">
        <v>6598</v>
      </c>
      <c r="B19679" s="38">
        <v>80690.0</v>
      </c>
      <c r="C19679" s="38" t="s">
        <v>10653</v>
      </c>
      <c r="D19679" s="38" t="str">
        <f>IFERROR(__xludf.DUMMYFUNCTION("REGEXREPLACE(C19679,""-\d+(.*)|--\d+(.*)"","""")"),"RUMIGNY")</f>
        <v>RUMIGNY</v>
      </c>
      <c r="E19679" s="38" t="s">
        <v>224</v>
      </c>
      <c r="F19679" s="38" t="s">
        <v>113</v>
      </c>
      <c r="G19679" s="49" t="str">
        <f t="shared" si="1"/>
        <v>80680</v>
      </c>
      <c r="H19679" s="49">
        <f t="shared" si="2"/>
        <v>80690</v>
      </c>
    </row>
    <row r="19680">
      <c r="A19680" s="48" t="s">
        <v>9064</v>
      </c>
      <c r="B19680" s="38">
        <v>15264.0</v>
      </c>
      <c r="C19680" s="38" t="s">
        <v>24171</v>
      </c>
      <c r="D19680" s="38" t="str">
        <f>IFERROR(__xludf.DUMMYFUNCTION("REGEXREPLACE(C19680,""-\d+(.*)|--\d+(.*)"","""")"),"VITRAC")</f>
        <v>VITRAC</v>
      </c>
      <c r="E19680" s="38" t="s">
        <v>632</v>
      </c>
      <c r="F19680" s="38" t="s">
        <v>161</v>
      </c>
      <c r="G19680" s="49" t="str">
        <f t="shared" si="1"/>
        <v>15220</v>
      </c>
      <c r="H19680" s="49">
        <f t="shared" si="2"/>
        <v>15264</v>
      </c>
    </row>
    <row r="19681">
      <c r="A19681" s="48" t="s">
        <v>3395</v>
      </c>
      <c r="B19681" s="38">
        <v>40295.0</v>
      </c>
      <c r="C19681" s="38" t="s">
        <v>24172</v>
      </c>
      <c r="D19681" s="38" t="str">
        <f>IFERROR(__xludf.DUMMYFUNCTION("REGEXREPLACE(C19681,""-\d+(.*)|--\d+(.*)"","""")"),"SAUGNACQ-ET-MURET")</f>
        <v>SAUGNACQ-ET-MURET</v>
      </c>
      <c r="E19681" s="38" t="s">
        <v>281</v>
      </c>
      <c r="F19681" s="38" t="s">
        <v>252</v>
      </c>
      <c r="G19681" s="49" t="str">
        <f t="shared" si="1"/>
        <v>40410</v>
      </c>
      <c r="H19681" s="49">
        <f t="shared" si="2"/>
        <v>40295</v>
      </c>
    </row>
    <row r="19682">
      <c r="A19682" s="48" t="s">
        <v>24173</v>
      </c>
      <c r="B19682" s="38">
        <v>22390.0</v>
      </c>
      <c r="C19682" s="38" t="s">
        <v>24174</v>
      </c>
      <c r="D19682" s="38" t="str">
        <f>IFERROR(__xludf.DUMMYFUNCTION("REGEXREPLACE(C19682,""-\d+(.*)|--\d+(.*)"","""")"),"YVIAS")</f>
        <v>YVIAS</v>
      </c>
      <c r="E19682" s="38" t="s">
        <v>89</v>
      </c>
      <c r="F19682" s="38" t="s">
        <v>90</v>
      </c>
      <c r="G19682" s="49" t="str">
        <f t="shared" si="1"/>
        <v>22930</v>
      </c>
      <c r="H19682" s="49">
        <f t="shared" si="2"/>
        <v>22390</v>
      </c>
    </row>
    <row r="19683">
      <c r="A19683" s="48" t="s">
        <v>2937</v>
      </c>
      <c r="B19683" s="38">
        <v>73099.0</v>
      </c>
      <c r="C19683" s="38" t="s">
        <v>24175</v>
      </c>
      <c r="D19683" s="38" t="str">
        <f>IFERROR(__xludf.DUMMYFUNCTION("REGEXREPLACE(C19683,""-\d+(.*)|--\d+(.*)"","""")"),"DETRIER")</f>
        <v>DETRIER</v>
      </c>
      <c r="E19683" s="38" t="s">
        <v>306</v>
      </c>
      <c r="F19683" s="38" t="s">
        <v>102</v>
      </c>
      <c r="G19683" s="49" t="str">
        <f t="shared" si="1"/>
        <v>73110</v>
      </c>
      <c r="H19683" s="49">
        <f t="shared" si="2"/>
        <v>73099</v>
      </c>
    </row>
    <row r="19684">
      <c r="A19684" s="48" t="s">
        <v>3714</v>
      </c>
      <c r="B19684" s="38">
        <v>28162.0</v>
      </c>
      <c r="C19684" s="38" t="s">
        <v>24176</v>
      </c>
      <c r="D19684" s="38" t="str">
        <f>IFERROR(__xludf.DUMMYFUNCTION("REGEXREPLACE(C19684,""-\d+(.*)|--\d+(.*)"","""")"),"FRESNAY-LE-COMTE")</f>
        <v>FRESNAY-LE-COMTE</v>
      </c>
      <c r="E19684" s="38" t="s">
        <v>300</v>
      </c>
      <c r="F19684" s="38" t="s">
        <v>123</v>
      </c>
      <c r="G19684" s="49" t="str">
        <f t="shared" si="1"/>
        <v>28360</v>
      </c>
      <c r="H19684" s="49">
        <f t="shared" si="2"/>
        <v>28162</v>
      </c>
    </row>
    <row r="19685">
      <c r="A19685" s="48" t="s">
        <v>10066</v>
      </c>
      <c r="B19685" s="38">
        <v>1119.0</v>
      </c>
      <c r="C19685" s="38" t="s">
        <v>24177</v>
      </c>
      <c r="D19685" s="38" t="str">
        <f>IFERROR(__xludf.DUMMYFUNCTION("REGEXREPLACE(C19685,""-\d+(.*)|--\d+(.*)"","""")"),"CORCELLES")</f>
        <v>CORCELLES</v>
      </c>
      <c r="E19685" s="38" t="s">
        <v>255</v>
      </c>
      <c r="F19685" s="38" t="s">
        <v>102</v>
      </c>
      <c r="G19685" s="49" t="str">
        <f t="shared" si="1"/>
        <v>01110</v>
      </c>
      <c r="H19685" s="49" t="str">
        <f t="shared" si="2"/>
        <v>01119</v>
      </c>
    </row>
    <row r="19686">
      <c r="A19686" s="48" t="s">
        <v>2447</v>
      </c>
      <c r="B19686" s="38">
        <v>42106.0</v>
      </c>
      <c r="C19686" s="38" t="s">
        <v>24178</v>
      </c>
      <c r="D19686" s="38" t="str">
        <f>IFERROR(__xludf.DUMMYFUNCTION("REGEXREPLACE(C19686,""-\d+(.*)|--\d+(.*)"","""")"),"GREZOLLES")</f>
        <v>GREZOLLES</v>
      </c>
      <c r="E19686" s="38" t="s">
        <v>166</v>
      </c>
      <c r="F19686" s="38" t="s">
        <v>102</v>
      </c>
      <c r="G19686" s="49" t="str">
        <f t="shared" si="1"/>
        <v>42260</v>
      </c>
      <c r="H19686" s="49">
        <f t="shared" si="2"/>
        <v>42106</v>
      </c>
    </row>
    <row r="19687">
      <c r="A19687" s="48" t="s">
        <v>4384</v>
      </c>
      <c r="B19687" s="38">
        <v>41264.0</v>
      </c>
      <c r="C19687" s="38" t="s">
        <v>24179</v>
      </c>
      <c r="D19687" s="38" t="str">
        <f>IFERROR(__xludf.DUMMYFUNCTION("REGEXREPLACE(C19687,""-\d+(.*)|--\d+(.*)"","""")"),"TRIPLEVILLE")</f>
        <v>TRIPLEVILLE</v>
      </c>
      <c r="E19687" s="38" t="s">
        <v>188</v>
      </c>
      <c r="F19687" s="38" t="s">
        <v>123</v>
      </c>
      <c r="G19687" s="49" t="str">
        <f t="shared" si="1"/>
        <v>41240</v>
      </c>
      <c r="H19687" s="49">
        <f t="shared" si="2"/>
        <v>41264</v>
      </c>
    </row>
    <row r="19688">
      <c r="A19688" s="48" t="s">
        <v>1332</v>
      </c>
      <c r="B19688" s="38">
        <v>51650.0</v>
      </c>
      <c r="C19688" s="38" t="s">
        <v>24180</v>
      </c>
      <c r="D19688" s="38" t="str">
        <f>IFERROR(__xludf.DUMMYFUNCTION("REGEXREPLACE(C19688,""-\d+(.*)|--\d+(.*)"","""")"),"VOILEMONT")</f>
        <v>VOILEMONT</v>
      </c>
      <c r="E19688" s="38" t="s">
        <v>129</v>
      </c>
      <c r="F19688" s="38" t="s">
        <v>130</v>
      </c>
      <c r="G19688" s="49" t="str">
        <f t="shared" si="1"/>
        <v>51800</v>
      </c>
      <c r="H19688" s="49">
        <f t="shared" si="2"/>
        <v>51650</v>
      </c>
    </row>
    <row r="19689">
      <c r="A19689" s="48" t="s">
        <v>5094</v>
      </c>
      <c r="B19689" s="38">
        <v>32145.0</v>
      </c>
      <c r="C19689" s="38" t="s">
        <v>24181</v>
      </c>
      <c r="D19689" s="38" t="str">
        <f>IFERROR(__xludf.DUMMYFUNCTION("REGEXREPLACE(C19689,""-\d+(.*)|--\d+(.*)"","""")"),"GEE-RIVIERE")</f>
        <v>GEE-RIVIERE</v>
      </c>
      <c r="E19689" s="38" t="s">
        <v>440</v>
      </c>
      <c r="F19689" s="38" t="s">
        <v>94</v>
      </c>
      <c r="G19689" s="49" t="str">
        <f t="shared" si="1"/>
        <v>32720</v>
      </c>
      <c r="H19689" s="49">
        <f t="shared" si="2"/>
        <v>32145</v>
      </c>
    </row>
    <row r="19690">
      <c r="A19690" s="48" t="s">
        <v>14721</v>
      </c>
      <c r="B19690" s="38">
        <v>27039.0</v>
      </c>
      <c r="C19690" s="38" t="s">
        <v>24182</v>
      </c>
      <c r="D19690" s="38" t="str">
        <f>IFERROR(__xludf.DUMMYFUNCTION("REGEXREPLACE(C19690,""-\d+(.*)|--\d+(.*)"","""")"),"BARNEVILLE-SUR-SEINE")</f>
        <v>BARNEVILLE-SUR-SEINE</v>
      </c>
      <c r="E19690" s="38" t="s">
        <v>241</v>
      </c>
      <c r="F19690" s="38" t="s">
        <v>134</v>
      </c>
      <c r="G19690" s="49" t="str">
        <f t="shared" si="1"/>
        <v>27310</v>
      </c>
      <c r="H19690" s="49">
        <f t="shared" si="2"/>
        <v>27039</v>
      </c>
    </row>
    <row r="19691">
      <c r="A19691" s="48" t="s">
        <v>4561</v>
      </c>
      <c r="B19691" s="38">
        <v>79111.0</v>
      </c>
      <c r="C19691" s="38" t="s">
        <v>24183</v>
      </c>
      <c r="D19691" s="38" t="str">
        <f>IFERROR(__xludf.DUMMYFUNCTION("REGEXREPLACE(C19691,""-\d+(.*)|--\d+(.*)"","""")"),"ENSIGNE")</f>
        <v>ENSIGNE</v>
      </c>
      <c r="E19691" s="38" t="s">
        <v>337</v>
      </c>
      <c r="F19691" s="38" t="s">
        <v>338</v>
      </c>
      <c r="G19691" s="49" t="str">
        <f t="shared" si="1"/>
        <v>79170</v>
      </c>
      <c r="H19691" s="49">
        <f t="shared" si="2"/>
        <v>79111</v>
      </c>
    </row>
    <row r="19692">
      <c r="A19692" s="48" t="s">
        <v>2740</v>
      </c>
      <c r="B19692" s="38">
        <v>46227.0</v>
      </c>
      <c r="C19692" s="38" t="s">
        <v>24184</v>
      </c>
      <c r="D19692" s="38" t="str">
        <f>IFERROR(__xludf.DUMMYFUNCTION("REGEXREPLACE(C19692,""-\d+(.*)|--\d+(.*)"","""")"),"PROMILHANES")</f>
        <v>PROMILHANES</v>
      </c>
      <c r="E19692" s="38" t="s">
        <v>185</v>
      </c>
      <c r="F19692" s="38" t="s">
        <v>94</v>
      </c>
      <c r="G19692" s="49" t="str">
        <f t="shared" si="1"/>
        <v>46260</v>
      </c>
      <c r="H19692" s="49">
        <f t="shared" si="2"/>
        <v>46227</v>
      </c>
    </row>
    <row r="19693">
      <c r="A19693" s="48" t="s">
        <v>962</v>
      </c>
      <c r="B19693" s="38">
        <v>24123.0</v>
      </c>
      <c r="C19693" s="38" t="s">
        <v>24185</v>
      </c>
      <c r="D19693" s="38" t="str">
        <f>IFERROR(__xludf.DUMMYFUNCTION("REGEXREPLACE(C19693,""-\d+(.*)|--\d+(.*)"","""")"),"CLERMONT-DE-BEAUREGARD")</f>
        <v>CLERMONT-DE-BEAUREGARD</v>
      </c>
      <c r="E19693" s="38" t="s">
        <v>261</v>
      </c>
      <c r="F19693" s="38" t="s">
        <v>252</v>
      </c>
      <c r="G19693" s="49" t="str">
        <f t="shared" si="1"/>
        <v>24140</v>
      </c>
      <c r="H19693" s="49">
        <f t="shared" si="2"/>
        <v>24123</v>
      </c>
    </row>
    <row r="19694">
      <c r="A19694" s="48" t="s">
        <v>1495</v>
      </c>
      <c r="B19694" s="38">
        <v>33485.0</v>
      </c>
      <c r="C19694" s="38" t="s">
        <v>24186</v>
      </c>
      <c r="D19694" s="38" t="str">
        <f>IFERROR(__xludf.DUMMYFUNCTION("REGEXREPLACE(C19694,""-\d+(.*)|--\d+(.*)"","""")"),"SAINTE-TERRE")</f>
        <v>SAINTE-TERRE</v>
      </c>
      <c r="E19694" s="38" t="s">
        <v>462</v>
      </c>
      <c r="F19694" s="38" t="s">
        <v>252</v>
      </c>
      <c r="G19694" s="49" t="str">
        <f t="shared" si="1"/>
        <v>33350</v>
      </c>
      <c r="H19694" s="49">
        <f t="shared" si="2"/>
        <v>33485</v>
      </c>
    </row>
    <row r="19695">
      <c r="A19695" s="48" t="s">
        <v>8883</v>
      </c>
      <c r="B19695" s="38">
        <v>39022.0</v>
      </c>
      <c r="C19695" s="38" t="s">
        <v>24187</v>
      </c>
      <c r="D19695" s="38" t="str">
        <f>IFERROR(__xludf.DUMMYFUNCTION("REGEXREPLACE(C19695,""-\d+(.*)|--\d+(.*)"","""")"),"ASNANS-BEAUVOISIN")</f>
        <v>ASNANS-BEAUVOISIN</v>
      </c>
      <c r="E19695" s="38" t="s">
        <v>400</v>
      </c>
      <c r="F19695" s="38" t="s">
        <v>214</v>
      </c>
      <c r="G19695" s="49" t="str">
        <f t="shared" si="1"/>
        <v>39120</v>
      </c>
      <c r="H19695" s="49">
        <f t="shared" si="2"/>
        <v>39022</v>
      </c>
    </row>
    <row r="19696">
      <c r="A19696" s="48" t="s">
        <v>3609</v>
      </c>
      <c r="B19696" s="38">
        <v>22239.0</v>
      </c>
      <c r="C19696" s="38" t="s">
        <v>24188</v>
      </c>
      <c r="D19696" s="38" t="str">
        <f>IFERROR(__xludf.DUMMYFUNCTION("REGEXREPLACE(C19696,""-\d+(.*)|--\d+(.*)"","""")"),"PLUMAUDAN")</f>
        <v>PLUMAUDAN</v>
      </c>
      <c r="E19696" s="38" t="s">
        <v>89</v>
      </c>
      <c r="F19696" s="38" t="s">
        <v>90</v>
      </c>
      <c r="G19696" s="49" t="str">
        <f t="shared" si="1"/>
        <v>22350</v>
      </c>
      <c r="H19696" s="49">
        <f t="shared" si="2"/>
        <v>22239</v>
      </c>
    </row>
    <row r="19697">
      <c r="A19697" s="48" t="s">
        <v>18855</v>
      </c>
      <c r="B19697" s="38">
        <v>86127.0</v>
      </c>
      <c r="C19697" s="38" t="s">
        <v>24189</v>
      </c>
      <c r="D19697" s="38" t="str">
        <f>IFERROR(__xludf.DUMMYFUNCTION("REGEXREPLACE(C19697,""-\d+(.*)|--\d+(.*)"","""")"),"LEIGNE-SUR-USSEAU")</f>
        <v>LEIGNE-SUR-USSEAU</v>
      </c>
      <c r="E19697" s="38" t="s">
        <v>529</v>
      </c>
      <c r="F19697" s="38" t="s">
        <v>338</v>
      </c>
      <c r="G19697" s="49" t="str">
        <f t="shared" si="1"/>
        <v>86230</v>
      </c>
      <c r="H19697" s="49">
        <f t="shared" si="2"/>
        <v>86127</v>
      </c>
    </row>
    <row r="19698">
      <c r="A19698" s="48" t="s">
        <v>4302</v>
      </c>
      <c r="B19698" s="38">
        <v>35264.0</v>
      </c>
      <c r="C19698" s="38" t="s">
        <v>3049</v>
      </c>
      <c r="D19698" s="38" t="str">
        <f>IFERROR(__xludf.DUMMYFUNCTION("REGEXREPLACE(C19698,""-\d+(.*)|--\d+(.*)"","""")"),"SAINT-DIDIER")</f>
        <v>SAINT-DIDIER</v>
      </c>
      <c r="E19698" s="38" t="s">
        <v>347</v>
      </c>
      <c r="F19698" s="38" t="s">
        <v>90</v>
      </c>
      <c r="G19698" s="49" t="str">
        <f t="shared" si="1"/>
        <v>35220</v>
      </c>
      <c r="H19698" s="49">
        <f t="shared" si="2"/>
        <v>35264</v>
      </c>
    </row>
    <row r="19699">
      <c r="A19699" s="48" t="s">
        <v>13884</v>
      </c>
      <c r="B19699" s="38">
        <v>14492.0</v>
      </c>
      <c r="C19699" s="38" t="s">
        <v>24190</v>
      </c>
      <c r="D19699" s="38" t="str">
        <f>IFERROR(__xludf.DUMMYFUNCTION("REGEXREPLACE(C19699,""-\d+(.*)|--\d+(.*)"","""")"),"PENNEDEPIE")</f>
        <v>PENNEDEPIE</v>
      </c>
      <c r="E19699" s="38" t="s">
        <v>137</v>
      </c>
      <c r="F19699" s="38" t="s">
        <v>138</v>
      </c>
      <c r="G19699" s="49" t="str">
        <f t="shared" si="1"/>
        <v>14600</v>
      </c>
      <c r="H19699" s="49">
        <f t="shared" si="2"/>
        <v>14492</v>
      </c>
    </row>
    <row r="19700">
      <c r="A19700" s="48" t="s">
        <v>7153</v>
      </c>
      <c r="B19700" s="38">
        <v>30100.0</v>
      </c>
      <c r="C19700" s="38" t="s">
        <v>24191</v>
      </c>
      <c r="D19700" s="38" t="str">
        <f>IFERROR(__xludf.DUMMYFUNCTION("REGEXREPLACE(C19700,""-\d+(.*)|--\d+(.*)"","""")"),"CRUVIERS-LASCOURS")</f>
        <v>CRUVIERS-LASCOURS</v>
      </c>
      <c r="E19700" s="38" t="s">
        <v>526</v>
      </c>
      <c r="F19700" s="38" t="s">
        <v>119</v>
      </c>
      <c r="G19700" s="49" t="str">
        <f t="shared" si="1"/>
        <v>30360</v>
      </c>
      <c r="H19700" s="49">
        <f t="shared" si="2"/>
        <v>30100</v>
      </c>
    </row>
    <row r="19701">
      <c r="A19701" s="48" t="s">
        <v>2783</v>
      </c>
      <c r="B19701" s="38">
        <v>31357.0</v>
      </c>
      <c r="C19701" s="38" t="s">
        <v>24192</v>
      </c>
      <c r="D19701" s="38" t="str">
        <f>IFERROR(__xludf.DUMMYFUNCTION("REGEXREPLACE(C19701,""-\d+(.*)|--\d+(.*)"","""")"),"MONTASTRUC-DE-SALIES")</f>
        <v>MONTASTRUC-DE-SALIES</v>
      </c>
      <c r="E19701" s="38" t="s">
        <v>93</v>
      </c>
      <c r="F19701" s="38" t="s">
        <v>94</v>
      </c>
      <c r="G19701" s="49" t="str">
        <f t="shared" si="1"/>
        <v>31160</v>
      </c>
      <c r="H19701" s="49">
        <f t="shared" si="2"/>
        <v>31357</v>
      </c>
    </row>
    <row r="19702">
      <c r="A19702" s="48" t="s">
        <v>3071</v>
      </c>
      <c r="B19702" s="38">
        <v>59065.0</v>
      </c>
      <c r="C19702" s="38" t="s">
        <v>24193</v>
      </c>
      <c r="D19702" s="38" t="str">
        <f>IFERROR(__xludf.DUMMYFUNCTION("REGEXREPLACE(C19702,""-\d+(.*)|--\d+(.*)"","""")"),"BELLIGNIES")</f>
        <v>BELLIGNIES</v>
      </c>
      <c r="E19702" s="38" t="s">
        <v>85</v>
      </c>
      <c r="F19702" s="38" t="s">
        <v>86</v>
      </c>
      <c r="G19702" s="49" t="str">
        <f t="shared" si="1"/>
        <v>59570</v>
      </c>
      <c r="H19702" s="49">
        <f t="shared" si="2"/>
        <v>59065</v>
      </c>
    </row>
    <row r="19703">
      <c r="A19703" s="48" t="s">
        <v>7254</v>
      </c>
      <c r="B19703" s="38">
        <v>63306.0</v>
      </c>
      <c r="C19703" s="38" t="s">
        <v>24194</v>
      </c>
      <c r="D19703" s="38" t="str">
        <f>IFERROR(__xludf.DUMMYFUNCTION("REGEXREPLACE(C19703,""-\d+(.*)|--\d+(.*)"","""")"),"LA ROCHE-NOIRE")</f>
        <v>LA ROCHE-NOIRE</v>
      </c>
      <c r="E19703" s="38" t="s">
        <v>353</v>
      </c>
      <c r="F19703" s="38" t="s">
        <v>161</v>
      </c>
      <c r="G19703" s="49" t="str">
        <f t="shared" si="1"/>
        <v>63800</v>
      </c>
      <c r="H19703" s="49">
        <f t="shared" si="2"/>
        <v>63306</v>
      </c>
    </row>
    <row r="19704">
      <c r="A19704" s="48" t="s">
        <v>17322</v>
      </c>
      <c r="B19704" s="38">
        <v>33076.0</v>
      </c>
      <c r="C19704" s="38" t="s">
        <v>24195</v>
      </c>
      <c r="D19704" s="38" t="str">
        <f>IFERROR(__xludf.DUMMYFUNCTION("REGEXREPLACE(C19704,""-\d+(.*)|--\d+(.*)"","""")"),"BUDOS")</f>
        <v>BUDOS</v>
      </c>
      <c r="E19704" s="38" t="s">
        <v>462</v>
      </c>
      <c r="F19704" s="38" t="s">
        <v>252</v>
      </c>
      <c r="G19704" s="49" t="str">
        <f t="shared" si="1"/>
        <v>33720</v>
      </c>
      <c r="H19704" s="49">
        <f t="shared" si="2"/>
        <v>33076</v>
      </c>
    </row>
    <row r="19705">
      <c r="A19705" s="48" t="s">
        <v>4617</v>
      </c>
      <c r="B19705" s="38">
        <v>15050.0</v>
      </c>
      <c r="C19705" s="38" t="s">
        <v>24196</v>
      </c>
      <c r="D19705" s="38" t="str">
        <f>IFERROR(__xludf.DUMMYFUNCTION("REGEXREPLACE(C19705,""-\d+(.*)|--\d+(.*)"","""")"),"LE CLAUX")</f>
        <v>LE CLAUX</v>
      </c>
      <c r="E19705" s="38" t="s">
        <v>632</v>
      </c>
      <c r="F19705" s="38" t="s">
        <v>161</v>
      </c>
      <c r="G19705" s="49" t="str">
        <f t="shared" si="1"/>
        <v>15400</v>
      </c>
      <c r="H19705" s="49">
        <f t="shared" si="2"/>
        <v>15050</v>
      </c>
    </row>
    <row r="19706">
      <c r="A19706" s="48" t="s">
        <v>4499</v>
      </c>
      <c r="B19706" s="38">
        <v>25283.0</v>
      </c>
      <c r="C19706" s="38" t="s">
        <v>24197</v>
      </c>
      <c r="D19706" s="38" t="str">
        <f>IFERROR(__xludf.DUMMYFUNCTION("REGEXREPLACE(C19706,""-\d+(.*)|--\d+(.*)"","""")"),"GOUX-SOUS-LANDET")</f>
        <v>GOUX-SOUS-LANDET</v>
      </c>
      <c r="E19706" s="38" t="s">
        <v>213</v>
      </c>
      <c r="F19706" s="38" t="s">
        <v>214</v>
      </c>
      <c r="G19706" s="49" t="str">
        <f t="shared" si="1"/>
        <v>25440</v>
      </c>
      <c r="H19706" s="49">
        <f t="shared" si="2"/>
        <v>25283</v>
      </c>
    </row>
    <row r="19707">
      <c r="A19707" s="48" t="s">
        <v>12015</v>
      </c>
      <c r="B19707" s="38">
        <v>25111.0</v>
      </c>
      <c r="C19707" s="38" t="s">
        <v>24198</v>
      </c>
      <c r="D19707" s="38" t="str">
        <f>IFERROR(__xludf.DUMMYFUNCTION("REGEXREPLACE(C19707,""-\d+(.*)|--\d+(.*)"","""")"),"CHALEZE")</f>
        <v>CHALEZE</v>
      </c>
      <c r="E19707" s="38" t="s">
        <v>213</v>
      </c>
      <c r="F19707" s="38" t="s">
        <v>214</v>
      </c>
      <c r="G19707" s="49" t="str">
        <f t="shared" si="1"/>
        <v>25220</v>
      </c>
      <c r="H19707" s="49">
        <f t="shared" si="2"/>
        <v>25111</v>
      </c>
    </row>
    <row r="19708">
      <c r="A19708" s="48" t="s">
        <v>1081</v>
      </c>
      <c r="B19708" s="38">
        <v>14343.0</v>
      </c>
      <c r="C19708" s="38" t="s">
        <v>24199</v>
      </c>
      <c r="D19708" s="38" t="str">
        <f>IFERROR(__xludf.DUMMYFUNCTION("REGEXREPLACE(C19708,""-\d+(.*)|--\d+(.*)"","""")"),"LES ISLES-BARDEL")</f>
        <v>LES ISLES-BARDEL</v>
      </c>
      <c r="E19708" s="38" t="s">
        <v>137</v>
      </c>
      <c r="F19708" s="38" t="s">
        <v>138</v>
      </c>
      <c r="G19708" s="49" t="str">
        <f t="shared" si="1"/>
        <v>14690</v>
      </c>
      <c r="H19708" s="49">
        <f t="shared" si="2"/>
        <v>14343</v>
      </c>
    </row>
    <row r="19709">
      <c r="A19709" s="48" t="s">
        <v>816</v>
      </c>
      <c r="B19709" s="38">
        <v>11055.0</v>
      </c>
      <c r="C19709" s="38" t="s">
        <v>24200</v>
      </c>
      <c r="D19709" s="38" t="str">
        <f>IFERROR(__xludf.DUMMYFUNCTION("REGEXREPLACE(C19709,""-\d+(.*)|--\d+(.*)"","""")"),"BUGARACH")</f>
        <v>BUGARACH</v>
      </c>
      <c r="E19709" s="38" t="s">
        <v>278</v>
      </c>
      <c r="F19709" s="38" t="s">
        <v>119</v>
      </c>
      <c r="G19709" s="49" t="str">
        <f t="shared" si="1"/>
        <v>11190</v>
      </c>
      <c r="H19709" s="49">
        <f t="shared" si="2"/>
        <v>11055</v>
      </c>
    </row>
    <row r="19710">
      <c r="A19710" s="48" t="s">
        <v>139</v>
      </c>
      <c r="B19710" s="38">
        <v>61037.0</v>
      </c>
      <c r="C19710" s="38" t="s">
        <v>24201</v>
      </c>
      <c r="D19710" s="38" t="str">
        <f>IFERROR(__xludf.DUMMYFUNCTION("REGEXREPLACE(C19710,""-\d+(.*)|--\d+(.*)"","""")"),"BELLAVILLIERS")</f>
        <v>BELLAVILLIERS</v>
      </c>
      <c r="E19710" s="38" t="s">
        <v>141</v>
      </c>
      <c r="F19710" s="38" t="s">
        <v>138</v>
      </c>
      <c r="G19710" s="49" t="str">
        <f t="shared" si="1"/>
        <v>61360</v>
      </c>
      <c r="H19710" s="49">
        <f t="shared" si="2"/>
        <v>61037</v>
      </c>
    </row>
    <row r="19711">
      <c r="A19711" s="48" t="s">
        <v>2946</v>
      </c>
      <c r="B19711" s="38">
        <v>51553.0</v>
      </c>
      <c r="C19711" s="38" t="s">
        <v>24202</v>
      </c>
      <c r="D19711" s="38" t="str">
        <f>IFERROR(__xludf.DUMMYFUNCTION("REGEXREPLACE(C19711,""-\d+(.*)|--\d+(.*)"","""")"),"SOUAIN-PERTHES-LES-HURLUS")</f>
        <v>SOUAIN-PERTHES-LES-HURLUS</v>
      </c>
      <c r="E19711" s="38" t="s">
        <v>129</v>
      </c>
      <c r="F19711" s="38" t="s">
        <v>130</v>
      </c>
      <c r="G19711" s="49" t="str">
        <f t="shared" si="1"/>
        <v>51600</v>
      </c>
      <c r="H19711" s="49">
        <f t="shared" si="2"/>
        <v>51553</v>
      </c>
    </row>
    <row r="19712">
      <c r="A19712" s="48" t="s">
        <v>3562</v>
      </c>
      <c r="B19712" s="38">
        <v>2785.0</v>
      </c>
      <c r="C19712" s="38" t="s">
        <v>24203</v>
      </c>
      <c r="D19712" s="38" t="str">
        <f>IFERROR(__xludf.DUMMYFUNCTION("REGEXREPLACE(C19712,""-\d+(.*)|--\d+(.*)"","""")"),"VERMAND")</f>
        <v>VERMAND</v>
      </c>
      <c r="E19712" s="38" t="s">
        <v>191</v>
      </c>
      <c r="F19712" s="38" t="s">
        <v>113</v>
      </c>
      <c r="G19712" s="49" t="str">
        <f t="shared" si="1"/>
        <v>02490</v>
      </c>
      <c r="H19712" s="49" t="str">
        <f t="shared" si="2"/>
        <v>02785</v>
      </c>
    </row>
    <row r="19713">
      <c r="A19713" s="48" t="s">
        <v>2126</v>
      </c>
      <c r="B19713" s="38">
        <v>59639.0</v>
      </c>
      <c r="C19713" s="38" t="s">
        <v>24204</v>
      </c>
      <c r="D19713" s="38" t="str">
        <f>IFERROR(__xludf.DUMMYFUNCTION("REGEXREPLACE(C19713,""-\d+(.*)|--\d+(.*)"","""")"),"WARGNIES-LE-GRAND")</f>
        <v>WARGNIES-LE-GRAND</v>
      </c>
      <c r="E19713" s="38" t="s">
        <v>85</v>
      </c>
      <c r="F19713" s="38" t="s">
        <v>86</v>
      </c>
      <c r="G19713" s="49" t="str">
        <f t="shared" si="1"/>
        <v>59144</v>
      </c>
      <c r="H19713" s="49">
        <f t="shared" si="2"/>
        <v>59639</v>
      </c>
    </row>
    <row r="19714">
      <c r="A19714" s="48" t="s">
        <v>9571</v>
      </c>
      <c r="B19714" s="38">
        <v>78609.0</v>
      </c>
      <c r="C19714" s="38" t="s">
        <v>24205</v>
      </c>
      <c r="D19714" s="38" t="str">
        <f>IFERROR(__xludf.DUMMYFUNCTION("REGEXREPLACE(C19714,""-\d+(.*)|--\d+(.*)"","""")"),"TESSANCOURT-SUR-AUBETTE")</f>
        <v>TESSANCOURT-SUR-AUBETTE</v>
      </c>
      <c r="E19714" s="38" t="s">
        <v>362</v>
      </c>
      <c r="F19714" s="38" t="s">
        <v>245</v>
      </c>
      <c r="G19714" s="49" t="str">
        <f t="shared" si="1"/>
        <v>78250</v>
      </c>
      <c r="H19714" s="49">
        <f t="shared" si="2"/>
        <v>78609</v>
      </c>
    </row>
    <row r="19715">
      <c r="A19715" s="48" t="s">
        <v>12473</v>
      </c>
      <c r="B19715" s="38">
        <v>22117.0</v>
      </c>
      <c r="C19715" s="38" t="s">
        <v>24206</v>
      </c>
      <c r="D19715" s="38" t="str">
        <f>IFERROR(__xludf.DUMMYFUNCTION("REGEXREPLACE(C19715,""-\d+(.*)|--\d+(.*)"","""")"),"LANTIC")</f>
        <v>LANTIC</v>
      </c>
      <c r="E19715" s="38" t="s">
        <v>89</v>
      </c>
      <c r="F19715" s="38" t="s">
        <v>90</v>
      </c>
      <c r="G19715" s="49" t="str">
        <f t="shared" si="1"/>
        <v>22410</v>
      </c>
      <c r="H19715" s="49">
        <f t="shared" si="2"/>
        <v>22117</v>
      </c>
    </row>
    <row r="19716">
      <c r="A19716" s="48" t="s">
        <v>7637</v>
      </c>
      <c r="B19716" s="38">
        <v>51613.0</v>
      </c>
      <c r="C19716" s="38" t="s">
        <v>24207</v>
      </c>
      <c r="D19716" s="38" t="str">
        <f>IFERROR(__xludf.DUMMYFUNCTION("REGEXREPLACE(C19716,""-\d+(.*)|--\d+(.*)"","""")"),"VERZENAY")</f>
        <v>VERZENAY</v>
      </c>
      <c r="E19716" s="38" t="s">
        <v>129</v>
      </c>
      <c r="F19716" s="38" t="s">
        <v>130</v>
      </c>
      <c r="G19716" s="49" t="str">
        <f t="shared" si="1"/>
        <v>51360</v>
      </c>
      <c r="H19716" s="49">
        <f t="shared" si="2"/>
        <v>51613</v>
      </c>
    </row>
    <row r="19717">
      <c r="A19717" s="48" t="s">
        <v>667</v>
      </c>
      <c r="B19717" s="38">
        <v>64026.0</v>
      </c>
      <c r="C19717" s="38" t="s">
        <v>24208</v>
      </c>
      <c r="D19717" s="38" t="str">
        <f>IFERROR(__xludf.DUMMYFUNCTION("REGEXREPLACE(C19717,""-\d+(.*)|--\d+(.*)"","""")"),"ANHAUX")</f>
        <v>ANHAUX</v>
      </c>
      <c r="E19717" s="38" t="s">
        <v>268</v>
      </c>
      <c r="F19717" s="38" t="s">
        <v>252</v>
      </c>
      <c r="G19717" s="49" t="str">
        <f t="shared" si="1"/>
        <v>64220</v>
      </c>
      <c r="H19717" s="49">
        <f t="shared" si="2"/>
        <v>64026</v>
      </c>
    </row>
    <row r="19718">
      <c r="A19718" s="48" t="s">
        <v>7501</v>
      </c>
      <c r="B19718" s="38">
        <v>9258.0</v>
      </c>
      <c r="C19718" s="38" t="s">
        <v>24209</v>
      </c>
      <c r="D19718" s="38" t="str">
        <f>IFERROR(__xludf.DUMMYFUNCTION("REGEXREPLACE(C19718,""-\d+(.*)|--\d+(.*)"","""")"),"SAINT-FELIX-DE-RIEUTORD")</f>
        <v>SAINT-FELIX-DE-RIEUTORD</v>
      </c>
      <c r="E19718" s="38" t="s">
        <v>238</v>
      </c>
      <c r="F19718" s="38" t="s">
        <v>94</v>
      </c>
      <c r="G19718" s="49" t="str">
        <f t="shared" si="1"/>
        <v>09120</v>
      </c>
      <c r="H19718" s="49" t="str">
        <f t="shared" si="2"/>
        <v>09258</v>
      </c>
    </row>
    <row r="19719">
      <c r="A19719" s="48" t="s">
        <v>1829</v>
      </c>
      <c r="B19719" s="38">
        <v>59628.0</v>
      </c>
      <c r="C19719" s="38" t="s">
        <v>24210</v>
      </c>
      <c r="D19719" s="38" t="str">
        <f>IFERROR(__xludf.DUMMYFUNCTION("REGEXREPLACE(C19719,""-\d+(.*)|--\d+(.*)"","""")"),"VOLCKERINCKHOVE")</f>
        <v>VOLCKERINCKHOVE</v>
      </c>
      <c r="E19719" s="38" t="s">
        <v>85</v>
      </c>
      <c r="F19719" s="38" t="s">
        <v>86</v>
      </c>
      <c r="G19719" s="49" t="str">
        <f t="shared" si="1"/>
        <v>59470</v>
      </c>
      <c r="H19719" s="49">
        <f t="shared" si="2"/>
        <v>59628</v>
      </c>
    </row>
    <row r="19720">
      <c r="A19720" s="48" t="s">
        <v>3377</v>
      </c>
      <c r="B19720" s="38">
        <v>62718.0</v>
      </c>
      <c r="C19720" s="38" t="s">
        <v>24211</v>
      </c>
      <c r="D19720" s="38" t="str">
        <f>IFERROR(__xludf.DUMMYFUNCTION("REGEXREPLACE(C19720,""-\d+(.*)|--\d+(.*)"","""")"),"ROEUX")</f>
        <v>ROEUX</v>
      </c>
      <c r="E19720" s="38" t="s">
        <v>109</v>
      </c>
      <c r="F19720" s="38" t="s">
        <v>86</v>
      </c>
      <c r="G19720" s="49" t="str">
        <f t="shared" si="1"/>
        <v>62118</v>
      </c>
      <c r="H19720" s="49">
        <f t="shared" si="2"/>
        <v>62718</v>
      </c>
    </row>
    <row r="19721">
      <c r="A19721" s="48" t="s">
        <v>3397</v>
      </c>
      <c r="B19721" s="38">
        <v>52001.0</v>
      </c>
      <c r="C19721" s="38" t="s">
        <v>24212</v>
      </c>
      <c r="D19721" s="38" t="str">
        <f>IFERROR(__xludf.DUMMYFUNCTION("REGEXREPLACE(C19721,""-\d+(.*)|--\d+(.*)"","""")"),"AGEVILLE")</f>
        <v>AGEVILLE</v>
      </c>
      <c r="E19721" s="38" t="s">
        <v>234</v>
      </c>
      <c r="F19721" s="38" t="s">
        <v>130</v>
      </c>
      <c r="G19721" s="49" t="str">
        <f t="shared" si="1"/>
        <v>52340</v>
      </c>
      <c r="H19721" s="49">
        <f t="shared" si="2"/>
        <v>52001</v>
      </c>
    </row>
    <row r="19722">
      <c r="A19722" s="48" t="s">
        <v>4709</v>
      </c>
      <c r="B19722" s="38">
        <v>95046.0</v>
      </c>
      <c r="C19722" s="38" t="s">
        <v>24213</v>
      </c>
      <c r="D19722" s="38" t="str">
        <f>IFERROR(__xludf.DUMMYFUNCTION("REGEXREPLACE(C19722,""-\d+(.*)|--\d+(.*)"","""")"),"BANTHELU")</f>
        <v>BANTHELU</v>
      </c>
      <c r="E19722" s="38" t="s">
        <v>541</v>
      </c>
      <c r="F19722" s="38" t="s">
        <v>245</v>
      </c>
      <c r="G19722" s="49" t="str">
        <f t="shared" si="1"/>
        <v>95420</v>
      </c>
      <c r="H19722" s="49">
        <f t="shared" si="2"/>
        <v>95046</v>
      </c>
    </row>
    <row r="19723">
      <c r="A19723" s="48" t="s">
        <v>120</v>
      </c>
      <c r="B19723" s="38">
        <v>45113.0</v>
      </c>
      <c r="C19723" s="38" t="s">
        <v>24214</v>
      </c>
      <c r="D19723" s="38" t="str">
        <f>IFERROR(__xludf.DUMMYFUNCTION("REGEXREPLACE(C19723,""-\d+(.*)|--\d+(.*)"","""")"),"COURTEMAUX")</f>
        <v>COURTEMAUX</v>
      </c>
      <c r="E19723" s="38" t="s">
        <v>122</v>
      </c>
      <c r="F19723" s="38" t="s">
        <v>123</v>
      </c>
      <c r="G19723" s="49" t="str">
        <f t="shared" si="1"/>
        <v>45320</v>
      </c>
      <c r="H19723" s="49">
        <f t="shared" si="2"/>
        <v>45113</v>
      </c>
    </row>
    <row r="19724">
      <c r="A19724" s="48" t="s">
        <v>486</v>
      </c>
      <c r="B19724" s="38">
        <v>17085.0</v>
      </c>
      <c r="C19724" s="38" t="s">
        <v>24215</v>
      </c>
      <c r="D19724" s="38" t="str">
        <f>IFERROR(__xludf.DUMMYFUNCTION("REGEXREPLACE(C19724,""-\d+(.*)|--\d+(.*)"","""")"),"CHAMPDOLENT")</f>
        <v>CHAMPDOLENT</v>
      </c>
      <c r="E19724" s="38" t="s">
        <v>488</v>
      </c>
      <c r="F19724" s="38" t="s">
        <v>338</v>
      </c>
      <c r="G19724" s="49" t="str">
        <f t="shared" si="1"/>
        <v>17430</v>
      </c>
      <c r="H19724" s="49">
        <f t="shared" si="2"/>
        <v>17085</v>
      </c>
    </row>
    <row r="19725">
      <c r="A19725" s="48" t="s">
        <v>12043</v>
      </c>
      <c r="B19725" s="38">
        <v>12305.0</v>
      </c>
      <c r="C19725" s="38" t="s">
        <v>24216</v>
      </c>
      <c r="D19725" s="38" t="str">
        <f>IFERROR(__xludf.DUMMYFUNCTION("REGEXREPLACE(C19725,""-\d+(.*)|--\d+(.*)"","""")"),"VIVIEZ")</f>
        <v>VIVIEZ</v>
      </c>
      <c r="E19725" s="38" t="s">
        <v>465</v>
      </c>
      <c r="F19725" s="38" t="s">
        <v>94</v>
      </c>
      <c r="G19725" s="49" t="str">
        <f t="shared" si="1"/>
        <v>12110</v>
      </c>
      <c r="H19725" s="49">
        <f t="shared" si="2"/>
        <v>12305</v>
      </c>
    </row>
    <row r="19726">
      <c r="A19726" s="48" t="s">
        <v>2899</v>
      </c>
      <c r="B19726" s="38">
        <v>15028.0</v>
      </c>
      <c r="C19726" s="38" t="s">
        <v>24217</v>
      </c>
      <c r="D19726" s="38" t="str">
        <f>IFERROR(__xludf.DUMMYFUNCTION("REGEXREPLACE(C19726,""-\d+(.*)|--\d+(.*)"","""")"),"CARLAT")</f>
        <v>CARLAT</v>
      </c>
      <c r="E19726" s="38" t="s">
        <v>632</v>
      </c>
      <c r="F19726" s="38" t="s">
        <v>161</v>
      </c>
      <c r="G19726" s="49" t="str">
        <f t="shared" si="1"/>
        <v>15130</v>
      </c>
      <c r="H19726" s="49">
        <f t="shared" si="2"/>
        <v>15028</v>
      </c>
    </row>
    <row r="19727">
      <c r="A19727" s="48" t="s">
        <v>3100</v>
      </c>
      <c r="B19727" s="38">
        <v>7341.0</v>
      </c>
      <c r="C19727" s="38" t="s">
        <v>24218</v>
      </c>
      <c r="D19727" s="38" t="str">
        <f>IFERROR(__xludf.DUMMYFUNCTION("REGEXREPLACE(C19727,""-\d+(.*)|--\d+(.*)"","""")"),"VILLENEUVE-DE-BERG")</f>
        <v>VILLENEUVE-DE-BERG</v>
      </c>
      <c r="E19727" s="38" t="s">
        <v>144</v>
      </c>
      <c r="F19727" s="38" t="s">
        <v>102</v>
      </c>
      <c r="G19727" s="49" t="str">
        <f t="shared" si="1"/>
        <v>07170</v>
      </c>
      <c r="H19727" s="49" t="str">
        <f t="shared" si="2"/>
        <v>07341</v>
      </c>
    </row>
    <row r="19728">
      <c r="A19728" s="48" t="s">
        <v>4340</v>
      </c>
      <c r="B19728" s="38">
        <v>33111.0</v>
      </c>
      <c r="C19728" s="38" t="s">
        <v>24219</v>
      </c>
      <c r="D19728" s="38" t="str">
        <f>IFERROR(__xludf.DUMMYFUNCTION("REGEXREPLACE(C19728,""-\d+(.*)|--\d+(.*)"","""")"),"CAUDROT")</f>
        <v>CAUDROT</v>
      </c>
      <c r="E19728" s="38" t="s">
        <v>462</v>
      </c>
      <c r="F19728" s="38" t="s">
        <v>252</v>
      </c>
      <c r="G19728" s="49" t="str">
        <f t="shared" si="1"/>
        <v>33490</v>
      </c>
      <c r="H19728" s="49">
        <f t="shared" si="2"/>
        <v>33111</v>
      </c>
    </row>
    <row r="19729">
      <c r="A19729" s="48" t="s">
        <v>2182</v>
      </c>
      <c r="B19729" s="38">
        <v>89122.0</v>
      </c>
      <c r="C19729" s="38" t="s">
        <v>24220</v>
      </c>
      <c r="D19729" s="38" t="str">
        <f>IFERROR(__xludf.DUMMYFUNCTION("REGEXREPLACE(C19729,""-\d+(.*)|--\d+(.*)"","""")"),"COURGENAY")</f>
        <v>COURGENAY</v>
      </c>
      <c r="E19729" s="38" t="s">
        <v>275</v>
      </c>
      <c r="F19729" s="38" t="s">
        <v>106</v>
      </c>
      <c r="G19729" s="49" t="str">
        <f t="shared" si="1"/>
        <v>89190</v>
      </c>
      <c r="H19729" s="49">
        <f t="shared" si="2"/>
        <v>89122</v>
      </c>
    </row>
    <row r="19730">
      <c r="A19730" s="48" t="s">
        <v>2549</v>
      </c>
      <c r="B19730" s="38">
        <v>55127.0</v>
      </c>
      <c r="C19730" s="38" t="s">
        <v>24221</v>
      </c>
      <c r="D19730" s="38" t="str">
        <f>IFERROR(__xludf.DUMMYFUNCTION("REGEXREPLACE(C19730,""-\d+(.*)|--\d+(.*)"","""")"),"COURCELLES-EN-BARROIS")</f>
        <v>COURCELLES-EN-BARROIS</v>
      </c>
      <c r="E19730" s="38" t="s">
        <v>322</v>
      </c>
      <c r="F19730" s="38" t="s">
        <v>195</v>
      </c>
      <c r="G19730" s="49" t="str">
        <f t="shared" si="1"/>
        <v>55260</v>
      </c>
      <c r="H19730" s="49">
        <f t="shared" si="2"/>
        <v>55127</v>
      </c>
    </row>
    <row r="19731">
      <c r="A19731" s="48" t="s">
        <v>8019</v>
      </c>
      <c r="B19731" s="38">
        <v>53029.0</v>
      </c>
      <c r="C19731" s="38" t="s">
        <v>20458</v>
      </c>
      <c r="D19731" s="38" t="str">
        <f>IFERROR(__xludf.DUMMYFUNCTION("REGEXREPLACE(C19731,""-\d+(.*)|--\d+(.*)"","""")"),"BIERNE")</f>
        <v>BIERNE</v>
      </c>
      <c r="E19731" s="38" t="s">
        <v>518</v>
      </c>
      <c r="F19731" s="38" t="s">
        <v>180</v>
      </c>
      <c r="G19731" s="49" t="str">
        <f t="shared" si="1"/>
        <v>53290</v>
      </c>
      <c r="H19731" s="49">
        <f t="shared" si="2"/>
        <v>53029</v>
      </c>
    </row>
    <row r="19732">
      <c r="A19732" s="48" t="s">
        <v>5390</v>
      </c>
      <c r="B19732" s="38">
        <v>27012.0</v>
      </c>
      <c r="C19732" s="38" t="s">
        <v>24222</v>
      </c>
      <c r="D19732" s="38" t="str">
        <f>IFERROR(__xludf.DUMMYFUNCTION("REGEXREPLACE(C19732,""-\d+(.*)|--\d+(.*)"","""")"),"AMFREVILLE-LES-CHAMPS")</f>
        <v>AMFREVILLE-LES-CHAMPS</v>
      </c>
      <c r="E19732" s="38" t="s">
        <v>241</v>
      </c>
      <c r="F19732" s="38" t="s">
        <v>134</v>
      </c>
      <c r="G19732" s="49" t="str">
        <f t="shared" si="1"/>
        <v>27380</v>
      </c>
      <c r="H19732" s="49">
        <f t="shared" si="2"/>
        <v>27012</v>
      </c>
    </row>
    <row r="19733">
      <c r="A19733" s="48" t="s">
        <v>4969</v>
      </c>
      <c r="B19733" s="38">
        <v>14393.0</v>
      </c>
      <c r="C19733" s="38" t="s">
        <v>24223</v>
      </c>
      <c r="D19733" s="38" t="str">
        <f>IFERROR(__xludf.DUMMYFUNCTION("REGEXREPLACE(C19733,""-\d+(.*)|--\d+(.*)"","""")"),"MAIZET")</f>
        <v>MAIZET</v>
      </c>
      <c r="E19733" s="38" t="s">
        <v>137</v>
      </c>
      <c r="F19733" s="38" t="s">
        <v>138</v>
      </c>
      <c r="G19733" s="49" t="str">
        <f t="shared" si="1"/>
        <v>14210</v>
      </c>
      <c r="H19733" s="49">
        <f t="shared" si="2"/>
        <v>14393</v>
      </c>
    </row>
    <row r="19734">
      <c r="A19734" s="48" t="s">
        <v>2875</v>
      </c>
      <c r="B19734" s="38">
        <v>39001.0</v>
      </c>
      <c r="C19734" s="38" t="s">
        <v>24224</v>
      </c>
      <c r="D19734" s="38" t="str">
        <f>IFERROR(__xludf.DUMMYFUNCTION("REGEXREPLACE(C19734,""-\d+(.*)|--\d+(.*)"","""")"),"ABERGEMENT-LA-RONCE")</f>
        <v>ABERGEMENT-LA-RONCE</v>
      </c>
      <c r="E19734" s="38" t="s">
        <v>400</v>
      </c>
      <c r="F19734" s="38" t="s">
        <v>214</v>
      </c>
      <c r="G19734" s="49" t="str">
        <f t="shared" si="1"/>
        <v>39500</v>
      </c>
      <c r="H19734" s="49">
        <f t="shared" si="2"/>
        <v>39001</v>
      </c>
    </row>
    <row r="19735">
      <c r="A19735" s="48" t="s">
        <v>3190</v>
      </c>
      <c r="B19735" s="38">
        <v>70387.0</v>
      </c>
      <c r="C19735" s="38" t="s">
        <v>24225</v>
      </c>
      <c r="D19735" s="38" t="str">
        <f>IFERROR(__xludf.DUMMYFUNCTION("REGEXREPLACE(C19735,""-\d+(.*)|--\d+(.*)"","""")"),"NOIDANS-LE-FERROUX")</f>
        <v>NOIDANS-LE-FERROUX</v>
      </c>
      <c r="E19735" s="38" t="s">
        <v>956</v>
      </c>
      <c r="F19735" s="38" t="s">
        <v>214</v>
      </c>
      <c r="G19735" s="49" t="str">
        <f t="shared" si="1"/>
        <v>70130</v>
      </c>
      <c r="H19735" s="49">
        <f t="shared" si="2"/>
        <v>70387</v>
      </c>
    </row>
    <row r="19736">
      <c r="A19736" s="48" t="s">
        <v>2946</v>
      </c>
      <c r="B19736" s="38">
        <v>51544.0</v>
      </c>
      <c r="C19736" s="38" t="s">
        <v>24226</v>
      </c>
      <c r="D19736" s="38" t="str">
        <f>IFERROR(__xludf.DUMMYFUNCTION("REGEXREPLACE(C19736,""-\d+(.*)|--\d+(.*)"","""")"),"SOMMEPY-TAHURE")</f>
        <v>SOMMEPY-TAHURE</v>
      </c>
      <c r="E19736" s="38" t="s">
        <v>129</v>
      </c>
      <c r="F19736" s="38" t="s">
        <v>130</v>
      </c>
      <c r="G19736" s="49" t="str">
        <f t="shared" si="1"/>
        <v>51600</v>
      </c>
      <c r="H19736" s="49">
        <f t="shared" si="2"/>
        <v>51544</v>
      </c>
    </row>
    <row r="19737">
      <c r="A19737" s="48" t="s">
        <v>24227</v>
      </c>
      <c r="B19737" s="38">
        <v>13115.0</v>
      </c>
      <c r="C19737" s="38" t="s">
        <v>24228</v>
      </c>
      <c r="D19737" s="38" t="str">
        <f>IFERROR(__xludf.DUMMYFUNCTION("REGEXREPLACE(C19737,""-\d+(.*)|--\d+(.*)"","""")"),"VERNEGUES")</f>
        <v>VERNEGUES</v>
      </c>
      <c r="E19737" s="38" t="s">
        <v>980</v>
      </c>
      <c r="F19737" s="38" t="s">
        <v>228</v>
      </c>
      <c r="G19737" s="49" t="str">
        <f t="shared" si="1"/>
        <v>13116</v>
      </c>
      <c r="H19737" s="49">
        <f t="shared" si="2"/>
        <v>13115</v>
      </c>
    </row>
    <row r="19738">
      <c r="A19738" s="48" t="s">
        <v>6865</v>
      </c>
      <c r="B19738" s="38" t="s">
        <v>24229</v>
      </c>
      <c r="C19738" s="38" t="s">
        <v>24230</v>
      </c>
      <c r="D19738" s="38" t="str">
        <f>IFERROR(__xludf.DUMMYFUNCTION("REGEXREPLACE(C19738,""-\d+(.*)|--\d+(.*)"","""")"),"GUARGUALE")</f>
        <v>GUARGUALE</v>
      </c>
      <c r="E19738" s="38" t="s">
        <v>606</v>
      </c>
      <c r="F19738" s="38" t="s">
        <v>607</v>
      </c>
      <c r="G19738" s="49" t="str">
        <f t="shared" si="1"/>
        <v>20128</v>
      </c>
      <c r="H19738" s="49" t="str">
        <f t="shared" si="2"/>
        <v>2A132</v>
      </c>
    </row>
    <row r="19739">
      <c r="A19739" s="48" t="s">
        <v>8883</v>
      </c>
      <c r="B19739" s="38">
        <v>39507.0</v>
      </c>
      <c r="C19739" s="38" t="s">
        <v>24231</v>
      </c>
      <c r="D19739" s="38" t="str">
        <f>IFERROR(__xludf.DUMMYFUNCTION("REGEXREPLACE(C19739,""-\d+(.*)|--\d+(.*)"","""")"),"SELIGNEY")</f>
        <v>SELIGNEY</v>
      </c>
      <c r="E19739" s="38" t="s">
        <v>400</v>
      </c>
      <c r="F19739" s="38" t="s">
        <v>214</v>
      </c>
      <c r="G19739" s="49" t="str">
        <f t="shared" si="1"/>
        <v>39120</v>
      </c>
      <c r="H19739" s="49">
        <f t="shared" si="2"/>
        <v>39507</v>
      </c>
    </row>
    <row r="19740">
      <c r="A19740" s="48" t="s">
        <v>3206</v>
      </c>
      <c r="B19740" s="38">
        <v>40176.0</v>
      </c>
      <c r="C19740" s="38" t="s">
        <v>24232</v>
      </c>
      <c r="D19740" s="38" t="str">
        <f>IFERROR(__xludf.DUMMYFUNCTION("REGEXREPLACE(C19740,""-\d+(.*)|--\d+(.*)"","""")"),"MAUVEZIN-D'ARMAGNAC")</f>
        <v>MAUVEZIN-D'ARMAGNAC</v>
      </c>
      <c r="E19740" s="38" t="s">
        <v>281</v>
      </c>
      <c r="F19740" s="38" t="s">
        <v>252</v>
      </c>
      <c r="G19740" s="49" t="str">
        <f t="shared" si="1"/>
        <v>40240</v>
      </c>
      <c r="H19740" s="49">
        <f t="shared" si="2"/>
        <v>40176</v>
      </c>
    </row>
    <row r="19741">
      <c r="A19741" s="48" t="s">
        <v>24233</v>
      </c>
      <c r="B19741" s="38">
        <v>5096.0</v>
      </c>
      <c r="C19741" s="38" t="s">
        <v>24234</v>
      </c>
      <c r="D19741" s="38" t="str">
        <f>IFERROR(__xludf.DUMMYFUNCTION("REGEXREPLACE(C19741,""-\d+(.*)|--\d+(.*)"","""")"),"ORCIERES")</f>
        <v>ORCIERES</v>
      </c>
      <c r="E19741" s="38" t="s">
        <v>706</v>
      </c>
      <c r="F19741" s="38" t="s">
        <v>228</v>
      </c>
      <c r="G19741" s="49" t="str">
        <f t="shared" si="1"/>
        <v>05170</v>
      </c>
      <c r="H19741" s="49" t="str">
        <f t="shared" si="2"/>
        <v>05096</v>
      </c>
    </row>
    <row r="19742">
      <c r="A19742" s="48" t="s">
        <v>18327</v>
      </c>
      <c r="B19742" s="38">
        <v>91540.0</v>
      </c>
      <c r="C19742" s="38" t="s">
        <v>5730</v>
      </c>
      <c r="D19742" s="38" t="str">
        <f>IFERROR(__xludf.DUMMYFUNCTION("REGEXREPLACE(C19742,""-\d+(.*)|--\d+(.*)"","""")"),"SAINT-CHERON")</f>
        <v>SAINT-CHERON</v>
      </c>
      <c r="E19742" s="38" t="s">
        <v>756</v>
      </c>
      <c r="F19742" s="38" t="s">
        <v>245</v>
      </c>
      <c r="G19742" s="49" t="str">
        <f t="shared" si="1"/>
        <v>91530</v>
      </c>
      <c r="H19742" s="49">
        <f t="shared" si="2"/>
        <v>91540</v>
      </c>
    </row>
    <row r="19743">
      <c r="A19743" s="48" t="s">
        <v>13089</v>
      </c>
      <c r="B19743" s="38">
        <v>42338.0</v>
      </c>
      <c r="C19743" s="38" t="s">
        <v>14005</v>
      </c>
      <c r="D19743" s="38" t="str">
        <f>IFERROR(__xludf.DUMMYFUNCTION("REGEXREPLACE(C19743,""-\d+(.*)|--\d+(.*)"","""")"),"VOUGY")</f>
        <v>VOUGY</v>
      </c>
      <c r="E19743" s="38" t="s">
        <v>166</v>
      </c>
      <c r="F19743" s="38" t="s">
        <v>102</v>
      </c>
      <c r="G19743" s="49" t="str">
        <f t="shared" si="1"/>
        <v>42720</v>
      </c>
      <c r="H19743" s="49">
        <f t="shared" si="2"/>
        <v>42338</v>
      </c>
    </row>
    <row r="19744">
      <c r="A19744" s="48" t="s">
        <v>10987</v>
      </c>
      <c r="B19744" s="38">
        <v>31311.0</v>
      </c>
      <c r="C19744" s="38" t="s">
        <v>24235</v>
      </c>
      <c r="D19744" s="38" t="str">
        <f>IFERROR(__xludf.DUMMYFUNCTION("REGEXREPLACE(C19744,""-\d+(.*)|--\d+(.*)"","""")"),"LA MAGDELAINE-SUR-TARN")</f>
        <v>LA MAGDELAINE-SUR-TARN</v>
      </c>
      <c r="E19744" s="38" t="s">
        <v>93</v>
      </c>
      <c r="F19744" s="38" t="s">
        <v>94</v>
      </c>
      <c r="G19744" s="49" t="str">
        <f t="shared" si="1"/>
        <v>31340</v>
      </c>
      <c r="H19744" s="49">
        <f t="shared" si="2"/>
        <v>31311</v>
      </c>
    </row>
    <row r="19745">
      <c r="A19745" s="48" t="s">
        <v>24236</v>
      </c>
      <c r="B19745" s="38">
        <v>93039.0</v>
      </c>
      <c r="C19745" s="38" t="s">
        <v>24237</v>
      </c>
      <c r="D19745" s="38" t="str">
        <f>IFERROR(__xludf.DUMMYFUNCTION("REGEXREPLACE(C19745,""-\d+(.*)|--\d+(.*)"","""")"),"L'ILE-SAINT-DENIS")</f>
        <v>L'ILE-SAINT-DENIS</v>
      </c>
      <c r="E19745" s="38" t="s">
        <v>341</v>
      </c>
      <c r="F19745" s="38" t="s">
        <v>245</v>
      </c>
      <c r="G19745" s="49" t="str">
        <f t="shared" si="1"/>
        <v>93450</v>
      </c>
      <c r="H19745" s="49">
        <f t="shared" si="2"/>
        <v>93039</v>
      </c>
    </row>
    <row r="19746">
      <c r="A19746" s="48" t="s">
        <v>24238</v>
      </c>
      <c r="B19746" s="38">
        <v>83009.0</v>
      </c>
      <c r="C19746" s="38" t="s">
        <v>24239</v>
      </c>
      <c r="D19746" s="38" t="str">
        <f>IFERROR(__xludf.DUMMYFUNCTION("REGEXREPLACE(C19746,""-\d+(.*)|--\d+(.*)"","""")"),"BANDOL")</f>
        <v>BANDOL</v>
      </c>
      <c r="E19746" s="38" t="s">
        <v>813</v>
      </c>
      <c r="F19746" s="38" t="s">
        <v>228</v>
      </c>
      <c r="G19746" s="49" t="str">
        <f t="shared" si="1"/>
        <v>83150</v>
      </c>
      <c r="H19746" s="49">
        <f t="shared" si="2"/>
        <v>83009</v>
      </c>
    </row>
    <row r="19747">
      <c r="A19747" s="48" t="s">
        <v>2234</v>
      </c>
      <c r="B19747" s="38">
        <v>30279.0</v>
      </c>
      <c r="C19747" s="38" t="s">
        <v>24240</v>
      </c>
      <c r="D19747" s="38" t="str">
        <f>IFERROR(__xludf.DUMMYFUNCTION("REGEXREPLACE(C19747,""-\d+(.*)|--\d+(.*)"","""")"),"SAINT-LAURENT-LA-VERNEDE")</f>
        <v>SAINT-LAURENT-LA-VERNEDE</v>
      </c>
      <c r="E19747" s="38" t="s">
        <v>526</v>
      </c>
      <c r="F19747" s="38" t="s">
        <v>119</v>
      </c>
      <c r="G19747" s="49" t="str">
        <f t="shared" si="1"/>
        <v>30330</v>
      </c>
      <c r="H19747" s="49">
        <f t="shared" si="2"/>
        <v>30279</v>
      </c>
    </row>
    <row r="19748">
      <c r="A19748" s="48" t="s">
        <v>1483</v>
      </c>
      <c r="B19748" s="38">
        <v>80546.0</v>
      </c>
      <c r="C19748" s="38" t="s">
        <v>24241</v>
      </c>
      <c r="D19748" s="38" t="str">
        <f>IFERROR(__xludf.DUMMYFUNCTION("REGEXREPLACE(C19748,""-\d+(.*)|--\d+(.*)"","""")"),"MIANNAY")</f>
        <v>MIANNAY</v>
      </c>
      <c r="E19748" s="38" t="s">
        <v>224</v>
      </c>
      <c r="F19748" s="38" t="s">
        <v>113</v>
      </c>
      <c r="G19748" s="49" t="str">
        <f t="shared" si="1"/>
        <v>80132</v>
      </c>
      <c r="H19748" s="49">
        <f t="shared" si="2"/>
        <v>80546</v>
      </c>
    </row>
    <row r="19749">
      <c r="A19749" s="48" t="s">
        <v>568</v>
      </c>
      <c r="B19749" s="38">
        <v>82007.0</v>
      </c>
      <c r="C19749" s="38" t="s">
        <v>24242</v>
      </c>
      <c r="D19749" s="38" t="str">
        <f>IFERROR(__xludf.DUMMYFUNCTION("REGEXREPLACE(C19749,""-\d+(.*)|--\d+(.*)"","""")"),"AUTY")</f>
        <v>AUTY</v>
      </c>
      <c r="E19749" s="38" t="s">
        <v>570</v>
      </c>
      <c r="F19749" s="38" t="s">
        <v>94</v>
      </c>
      <c r="G19749" s="49" t="str">
        <f t="shared" si="1"/>
        <v>82220</v>
      </c>
      <c r="H19749" s="49">
        <f t="shared" si="2"/>
        <v>82007</v>
      </c>
    </row>
    <row r="19750">
      <c r="A19750" s="48" t="s">
        <v>4661</v>
      </c>
      <c r="B19750" s="38">
        <v>62455.0</v>
      </c>
      <c r="C19750" s="38" t="s">
        <v>24243</v>
      </c>
      <c r="D19750" s="38" t="str">
        <f>IFERROR(__xludf.DUMMYFUNCTION("REGEXREPLACE(C19750,""-\d+(.*)|--\d+(.*)"","""")"),"HOCQUINGHEN")</f>
        <v>HOCQUINGHEN</v>
      </c>
      <c r="E19750" s="38" t="s">
        <v>109</v>
      </c>
      <c r="F19750" s="38" t="s">
        <v>86</v>
      </c>
      <c r="G19750" s="49" t="str">
        <f t="shared" si="1"/>
        <v>62850</v>
      </c>
      <c r="H19750" s="49">
        <f t="shared" si="2"/>
        <v>62455</v>
      </c>
    </row>
    <row r="19751">
      <c r="A19751" s="48" t="s">
        <v>1742</v>
      </c>
      <c r="B19751" s="38">
        <v>21491.0</v>
      </c>
      <c r="C19751" s="38" t="s">
        <v>24244</v>
      </c>
      <c r="D19751" s="38" t="str">
        <f>IFERROR(__xludf.DUMMYFUNCTION("REGEXREPLACE(C19751,""-\d+(.*)|--\d+(.*)"","""")"),"POISEUL-LES-SAULX")</f>
        <v>POISEUL-LES-SAULX</v>
      </c>
      <c r="E19751" s="38" t="s">
        <v>105</v>
      </c>
      <c r="F19751" s="38" t="s">
        <v>106</v>
      </c>
      <c r="G19751" s="49" t="str">
        <f t="shared" si="1"/>
        <v>21120</v>
      </c>
      <c r="H19751" s="49">
        <f t="shared" si="2"/>
        <v>21491</v>
      </c>
    </row>
    <row r="19752">
      <c r="A19752" s="48" t="s">
        <v>9524</v>
      </c>
      <c r="B19752" s="38">
        <v>77188.0</v>
      </c>
      <c r="C19752" s="38" t="s">
        <v>24245</v>
      </c>
      <c r="D19752" s="38" t="str">
        <f>IFERROR(__xludf.DUMMYFUNCTION("REGEXREPLACE(C19752,""-\d+(.*)|--\d+(.*)"","""")"),"FONTAINE-LE-PORT")</f>
        <v>FONTAINE-LE-PORT</v>
      </c>
      <c r="E19752" s="38" t="s">
        <v>244</v>
      </c>
      <c r="F19752" s="38" t="s">
        <v>245</v>
      </c>
      <c r="G19752" s="49" t="str">
        <f t="shared" si="1"/>
        <v>77590</v>
      </c>
      <c r="H19752" s="49">
        <f t="shared" si="2"/>
        <v>77188</v>
      </c>
    </row>
    <row r="19753">
      <c r="A19753" s="48" t="s">
        <v>622</v>
      </c>
      <c r="B19753" s="38">
        <v>14627.0</v>
      </c>
      <c r="C19753" s="38" t="s">
        <v>24246</v>
      </c>
      <c r="D19753" s="38" t="str">
        <f>IFERROR(__xludf.DUMMYFUNCTION("REGEXREPLACE(C19753,""-\d+(.*)|--\d+(.*)"","""")"),"SAINT-MARTIN-DE-MIEUX")</f>
        <v>SAINT-MARTIN-DE-MIEUX</v>
      </c>
      <c r="E19753" s="38" t="s">
        <v>137</v>
      </c>
      <c r="F19753" s="38" t="s">
        <v>138</v>
      </c>
      <c r="G19753" s="49" t="str">
        <f t="shared" si="1"/>
        <v>14700</v>
      </c>
      <c r="H19753" s="49">
        <f t="shared" si="2"/>
        <v>14627</v>
      </c>
    </row>
    <row r="19754">
      <c r="A19754" s="48" t="s">
        <v>24247</v>
      </c>
      <c r="B19754" s="38">
        <v>95018.0</v>
      </c>
      <c r="C19754" s="38" t="s">
        <v>24248</v>
      </c>
      <c r="D19754" s="38" t="str">
        <f>IFERROR(__xludf.DUMMYFUNCTION("REGEXREPLACE(C19754,""-\d+(.*)|--\d+(.*)"","""")"),"ARGENTEUIL")</f>
        <v>ARGENTEUIL</v>
      </c>
      <c r="E19754" s="38" t="s">
        <v>541</v>
      </c>
      <c r="F19754" s="38" t="s">
        <v>245</v>
      </c>
      <c r="G19754" s="49" t="str">
        <f t="shared" si="1"/>
        <v>95100</v>
      </c>
      <c r="H19754" s="49">
        <f t="shared" si="2"/>
        <v>95018</v>
      </c>
    </row>
    <row r="19755">
      <c r="A19755" s="48" t="s">
        <v>5350</v>
      </c>
      <c r="B19755" s="38">
        <v>77447.0</v>
      </c>
      <c r="C19755" s="38" t="s">
        <v>24249</v>
      </c>
      <c r="D19755" s="38" t="str">
        <f>IFERROR(__xludf.DUMMYFUNCTION("REGEXREPLACE(C19755,""-\d+(.*)|--\d+(.*)"","""")"),"SEINE-PORT")</f>
        <v>SEINE-PORT</v>
      </c>
      <c r="E19755" s="38" t="s">
        <v>244</v>
      </c>
      <c r="F19755" s="38" t="s">
        <v>245</v>
      </c>
      <c r="G19755" s="49" t="str">
        <f t="shared" si="1"/>
        <v>77240</v>
      </c>
      <c r="H19755" s="49">
        <f t="shared" si="2"/>
        <v>77447</v>
      </c>
    </row>
    <row r="19756">
      <c r="A19756" s="48" t="s">
        <v>24250</v>
      </c>
      <c r="B19756" s="38">
        <v>12157.0</v>
      </c>
      <c r="C19756" s="38" t="s">
        <v>24251</v>
      </c>
      <c r="D19756" s="38" t="str">
        <f>IFERROR(__xludf.DUMMYFUNCTION("REGEXREPLACE(C19756,""-\d+(.*)|--\d+(.*)"","""")"),"MONTROZIER")</f>
        <v>MONTROZIER</v>
      </c>
      <c r="E19756" s="38" t="s">
        <v>465</v>
      </c>
      <c r="F19756" s="38" t="s">
        <v>94</v>
      </c>
      <c r="G19756" s="49" t="str">
        <f t="shared" si="1"/>
        <v>12630</v>
      </c>
      <c r="H19756" s="49">
        <f t="shared" si="2"/>
        <v>12157</v>
      </c>
    </row>
    <row r="19757">
      <c r="A19757" s="48" t="s">
        <v>6928</v>
      </c>
      <c r="B19757" s="38">
        <v>25432.0</v>
      </c>
      <c r="C19757" s="38" t="s">
        <v>24252</v>
      </c>
      <c r="D19757" s="38" t="str">
        <f>IFERROR(__xludf.DUMMYFUNCTION("REGEXREPLACE(C19757,""-\d+(.*)|--\d+(.*)"","""")"),"ORCHAMPS-VENNES")</f>
        <v>ORCHAMPS-VENNES</v>
      </c>
      <c r="E19757" s="38" t="s">
        <v>213</v>
      </c>
      <c r="F19757" s="38" t="s">
        <v>214</v>
      </c>
      <c r="G19757" s="49" t="str">
        <f t="shared" si="1"/>
        <v>25390</v>
      </c>
      <c r="H19757" s="49">
        <f t="shared" si="2"/>
        <v>25432</v>
      </c>
    </row>
    <row r="19758">
      <c r="A19758" s="48" t="s">
        <v>196</v>
      </c>
      <c r="B19758" s="38">
        <v>2381.0</v>
      </c>
      <c r="C19758" s="38" t="s">
        <v>24253</v>
      </c>
      <c r="D19758" s="38" t="str">
        <f>IFERROR(__xludf.DUMMYFUNCTION("REGEXREPLACE(C19758,""-\d+(.*)|--\d+(.*)"","""")"),"HIRSON")</f>
        <v>HIRSON</v>
      </c>
      <c r="E19758" s="38" t="s">
        <v>191</v>
      </c>
      <c r="F19758" s="38" t="s">
        <v>113</v>
      </c>
      <c r="G19758" s="49" t="str">
        <f t="shared" si="1"/>
        <v>02500</v>
      </c>
      <c r="H19758" s="49" t="str">
        <f t="shared" si="2"/>
        <v>02381</v>
      </c>
    </row>
    <row r="19759">
      <c r="A19759" s="48" t="s">
        <v>8227</v>
      </c>
      <c r="B19759" s="38">
        <v>67162.0</v>
      </c>
      <c r="C19759" s="38" t="s">
        <v>24254</v>
      </c>
      <c r="D19759" s="38" t="str">
        <f>IFERROR(__xludf.DUMMYFUNCTION("REGEXREPLACE(C19759,""-\d+(.*)|--\d+(.*)"","""")"),"GOTTESHEIM")</f>
        <v>GOTTESHEIM</v>
      </c>
      <c r="E19759" s="38" t="s">
        <v>210</v>
      </c>
      <c r="F19759" s="38" t="s">
        <v>151</v>
      </c>
      <c r="G19759" s="49" t="str">
        <f t="shared" si="1"/>
        <v>67490</v>
      </c>
      <c r="H19759" s="49">
        <f t="shared" si="2"/>
        <v>67162</v>
      </c>
    </row>
    <row r="19760">
      <c r="A19760" s="48" t="s">
        <v>3244</v>
      </c>
      <c r="B19760" s="38">
        <v>27147.0</v>
      </c>
      <c r="C19760" s="38" t="s">
        <v>24255</v>
      </c>
      <c r="D19760" s="38" t="str">
        <f>IFERROR(__xludf.DUMMYFUNCTION("REGEXREPLACE(C19760,""-\d+(.*)|--\d+(.*)"","""")"),"LA CHAPELLE-DU-BOIS-DES-FAULX")</f>
        <v>LA CHAPELLE-DU-BOIS-DES-FAULX</v>
      </c>
      <c r="E19760" s="38" t="s">
        <v>241</v>
      </c>
      <c r="F19760" s="38" t="s">
        <v>134</v>
      </c>
      <c r="G19760" s="49" t="str">
        <f t="shared" si="1"/>
        <v>27930</v>
      </c>
      <c r="H19760" s="49">
        <f t="shared" si="2"/>
        <v>27147</v>
      </c>
    </row>
    <row r="19761">
      <c r="A19761" s="48" t="s">
        <v>4140</v>
      </c>
      <c r="B19761" s="38">
        <v>54192.0</v>
      </c>
      <c r="C19761" s="38" t="s">
        <v>9893</v>
      </c>
      <c r="D19761" s="38" t="str">
        <f>IFERROR(__xludf.DUMMYFUNCTION("REGEXREPLACE(C19761,""-\d+(.*)|--\d+(.*)"","""")"),"FERRIERES")</f>
        <v>FERRIERES</v>
      </c>
      <c r="E19761" s="38" t="s">
        <v>548</v>
      </c>
      <c r="F19761" s="38" t="s">
        <v>195</v>
      </c>
      <c r="G19761" s="49" t="str">
        <f t="shared" si="1"/>
        <v>54210</v>
      </c>
      <c r="H19761" s="49">
        <f t="shared" si="2"/>
        <v>54192</v>
      </c>
    </row>
    <row r="19762">
      <c r="A19762" s="48" t="s">
        <v>3689</v>
      </c>
      <c r="B19762" s="38">
        <v>1093.0</v>
      </c>
      <c r="C19762" s="38" t="s">
        <v>24256</v>
      </c>
      <c r="D19762" s="38" t="str">
        <f>IFERROR(__xludf.DUMMYFUNCTION("REGEXREPLACE(C19762,""-\d+(.*)|--\d+(.*)"","""")"),"CHATILLON-SUR-CHALARONNE")</f>
        <v>CHATILLON-SUR-CHALARONNE</v>
      </c>
      <c r="E19762" s="38" t="s">
        <v>255</v>
      </c>
      <c r="F19762" s="38" t="s">
        <v>102</v>
      </c>
      <c r="G19762" s="49" t="str">
        <f t="shared" si="1"/>
        <v>01400</v>
      </c>
      <c r="H19762" s="49" t="str">
        <f t="shared" si="2"/>
        <v>01093</v>
      </c>
    </row>
    <row r="19763">
      <c r="A19763" s="48" t="s">
        <v>3196</v>
      </c>
      <c r="B19763" s="38">
        <v>1197.0</v>
      </c>
      <c r="C19763" s="38" t="s">
        <v>24257</v>
      </c>
      <c r="D19763" s="38" t="str">
        <f>IFERROR(__xludf.DUMMYFUNCTION("REGEXREPLACE(C19763,""-\d+(.*)|--\d+(.*)"","""")"),"JOURNANS")</f>
        <v>JOURNANS</v>
      </c>
      <c r="E19763" s="38" t="s">
        <v>255</v>
      </c>
      <c r="F19763" s="38" t="s">
        <v>102</v>
      </c>
      <c r="G19763" s="49" t="str">
        <f t="shared" si="1"/>
        <v>01250</v>
      </c>
      <c r="H19763" s="49" t="str">
        <f t="shared" si="2"/>
        <v>01197</v>
      </c>
    </row>
    <row r="19764">
      <c r="A19764" s="48" t="s">
        <v>1193</v>
      </c>
      <c r="B19764" s="38">
        <v>54561.0</v>
      </c>
      <c r="C19764" s="38" t="s">
        <v>24258</v>
      </c>
      <c r="D19764" s="38" t="str">
        <f>IFERROR(__xludf.DUMMYFUNCTION("REGEXREPLACE(C19764,""-\d+(.*)|--\d+(.*)"","""")"),"VENNEZEY")</f>
        <v>VENNEZEY</v>
      </c>
      <c r="E19764" s="38" t="s">
        <v>548</v>
      </c>
      <c r="F19764" s="38" t="s">
        <v>195</v>
      </c>
      <c r="G19764" s="49" t="str">
        <f t="shared" si="1"/>
        <v>54830</v>
      </c>
      <c r="H19764" s="49">
        <f t="shared" si="2"/>
        <v>54561</v>
      </c>
    </row>
    <row r="19765">
      <c r="A19765" s="48" t="s">
        <v>24259</v>
      </c>
      <c r="B19765" s="38" t="s">
        <v>24260</v>
      </c>
      <c r="C19765" s="38" t="s">
        <v>24261</v>
      </c>
      <c r="D19765" s="38" t="str">
        <f>IFERROR(__xludf.DUMMYFUNCTION("REGEXREPLACE(C19765,""-\d+(.*)|--\d+(.*)"","""")"),"BASTELICACCIA")</f>
        <v>BASTELICACCIA</v>
      </c>
      <c r="E19765" s="38" t="s">
        <v>606</v>
      </c>
      <c r="F19765" s="38" t="s">
        <v>607</v>
      </c>
      <c r="G19765" s="49" t="str">
        <f t="shared" si="1"/>
        <v>20129</v>
      </c>
      <c r="H19765" s="49" t="str">
        <f t="shared" si="2"/>
        <v>2A032</v>
      </c>
    </row>
    <row r="19766">
      <c r="A19766" s="48" t="s">
        <v>24262</v>
      </c>
      <c r="B19766" s="38">
        <v>78126.0</v>
      </c>
      <c r="C19766" s="38" t="s">
        <v>24263</v>
      </c>
      <c r="D19766" s="38" t="str">
        <f>IFERROR(__xludf.DUMMYFUNCTION("REGEXREPLACE(C19766,""-\d+(.*)|--\d+(.*)"","""")"),"LA CELLE-SAINT-CLOUD")</f>
        <v>LA CELLE-SAINT-CLOUD</v>
      </c>
      <c r="E19766" s="38" t="s">
        <v>362</v>
      </c>
      <c r="F19766" s="38" t="s">
        <v>245</v>
      </c>
      <c r="G19766" s="49" t="str">
        <f t="shared" si="1"/>
        <v>78170</v>
      </c>
      <c r="H19766" s="49">
        <f t="shared" si="2"/>
        <v>78126</v>
      </c>
    </row>
    <row r="19767">
      <c r="A19767" s="48" t="s">
        <v>1540</v>
      </c>
      <c r="B19767" s="38">
        <v>70513.0</v>
      </c>
      <c r="C19767" s="38" t="s">
        <v>24264</v>
      </c>
      <c r="D19767" s="38" t="str">
        <f>IFERROR(__xludf.DUMMYFUNCTION("REGEXREPLACE(C19767,""-\d+(.*)|--\d+(.*)"","""")"),"VAIVRE-ET-MONTOILLE")</f>
        <v>VAIVRE-ET-MONTOILLE</v>
      </c>
      <c r="E19767" s="38" t="s">
        <v>956</v>
      </c>
      <c r="F19767" s="38" t="s">
        <v>214</v>
      </c>
      <c r="G19767" s="49" t="str">
        <f t="shared" si="1"/>
        <v>70000</v>
      </c>
      <c r="H19767" s="49">
        <f t="shared" si="2"/>
        <v>70513</v>
      </c>
    </row>
    <row r="19768">
      <c r="A19768" s="48" t="s">
        <v>24265</v>
      </c>
      <c r="B19768" s="38">
        <v>59292.0</v>
      </c>
      <c r="C19768" s="38" t="s">
        <v>24266</v>
      </c>
      <c r="D19768" s="38" t="str">
        <f>IFERROR(__xludf.DUMMYFUNCTION("REGEXREPLACE(C19768,""-\d+(.*)|--\d+(.*)"","""")"),"HAVELUY")</f>
        <v>HAVELUY</v>
      </c>
      <c r="E19768" s="38" t="s">
        <v>85</v>
      </c>
      <c r="F19768" s="38" t="s">
        <v>86</v>
      </c>
      <c r="G19768" s="49" t="str">
        <f t="shared" si="1"/>
        <v>59255</v>
      </c>
      <c r="H19768" s="49">
        <f t="shared" si="2"/>
        <v>59292</v>
      </c>
    </row>
    <row r="19769">
      <c r="A19769" s="48" t="s">
        <v>8964</v>
      </c>
      <c r="B19769" s="38">
        <v>70459.0</v>
      </c>
      <c r="C19769" s="38" t="s">
        <v>10322</v>
      </c>
      <c r="D19769" s="38" t="str">
        <f>IFERROR(__xludf.DUMMYFUNCTION("REGEXREPLACE(C19769,""-\d+(.*)|--\d+(.*)"","""")"),"SAINT-BARTHELEMY")</f>
        <v>SAINT-BARTHELEMY</v>
      </c>
      <c r="E19769" s="38" t="s">
        <v>956</v>
      </c>
      <c r="F19769" s="38" t="s">
        <v>214</v>
      </c>
      <c r="G19769" s="49" t="str">
        <f t="shared" si="1"/>
        <v>70270</v>
      </c>
      <c r="H19769" s="49">
        <f t="shared" si="2"/>
        <v>70459</v>
      </c>
    </row>
    <row r="19770">
      <c r="A19770" s="48" t="s">
        <v>407</v>
      </c>
      <c r="B19770" s="38">
        <v>71139.0</v>
      </c>
      <c r="C19770" s="38" t="s">
        <v>24267</v>
      </c>
      <c r="D19770" s="38" t="str">
        <f>IFERROR(__xludf.DUMMYFUNCTION("REGEXREPLACE(C19770,""-\d+(.*)|--\d+(.*)"","""")"),"COLLONGE-EN-CHAROLLAIS")</f>
        <v>COLLONGE-EN-CHAROLLAIS</v>
      </c>
      <c r="E19770" s="38" t="s">
        <v>344</v>
      </c>
      <c r="F19770" s="38" t="s">
        <v>106</v>
      </c>
      <c r="G19770" s="49" t="str">
        <f t="shared" si="1"/>
        <v>71460</v>
      </c>
      <c r="H19770" s="49">
        <f t="shared" si="2"/>
        <v>71139</v>
      </c>
    </row>
    <row r="19771">
      <c r="A19771" s="48" t="s">
        <v>1010</v>
      </c>
      <c r="B19771" s="38">
        <v>27020.0</v>
      </c>
      <c r="C19771" s="38" t="s">
        <v>24268</v>
      </c>
      <c r="D19771" s="38" t="str">
        <f>IFERROR(__xludf.DUMMYFUNCTION("REGEXREPLACE(C19771,""-\d+(.*)|--\d+(.*)"","""")"),"ARNIERES-SUR-ITON")</f>
        <v>ARNIERES-SUR-ITON</v>
      </c>
      <c r="E19771" s="38" t="s">
        <v>241</v>
      </c>
      <c r="F19771" s="38" t="s">
        <v>134</v>
      </c>
      <c r="G19771" s="49" t="str">
        <f t="shared" si="1"/>
        <v>27180</v>
      </c>
      <c r="H19771" s="49">
        <f t="shared" si="2"/>
        <v>27020</v>
      </c>
    </row>
    <row r="19772">
      <c r="A19772" s="48" t="s">
        <v>1216</v>
      </c>
      <c r="B19772" s="38">
        <v>21195.0</v>
      </c>
      <c r="C19772" s="38" t="s">
        <v>24269</v>
      </c>
      <c r="D19772" s="38" t="str">
        <f>IFERROR(__xludf.DUMMYFUNCTION("REGEXREPLACE(C19772,""-\d+(.*)|--\d+(.*)"","""")"),"CORMOT-LE-GRAND")</f>
        <v>CORMOT-LE-GRAND</v>
      </c>
      <c r="E19772" s="38" t="s">
        <v>105</v>
      </c>
      <c r="F19772" s="38" t="s">
        <v>106</v>
      </c>
      <c r="G19772" s="49" t="str">
        <f t="shared" si="1"/>
        <v>21340</v>
      </c>
      <c r="H19772" s="49">
        <f t="shared" si="2"/>
        <v>21195</v>
      </c>
    </row>
    <row r="19773">
      <c r="A19773" s="48" t="s">
        <v>4129</v>
      </c>
      <c r="B19773" s="38">
        <v>3039.0</v>
      </c>
      <c r="C19773" s="38" t="s">
        <v>24270</v>
      </c>
      <c r="D19773" s="38" t="str">
        <f>IFERROR(__xludf.DUMMYFUNCTION("REGEXREPLACE(C19773,""-\d+(.*)|--\d+(.*)"","""")"),"BRESNAY")</f>
        <v>BRESNAY</v>
      </c>
      <c r="E19773" s="38" t="s">
        <v>160</v>
      </c>
      <c r="F19773" s="38" t="s">
        <v>161</v>
      </c>
      <c r="G19773" s="49" t="str">
        <f t="shared" si="1"/>
        <v>03210</v>
      </c>
      <c r="H19773" s="49" t="str">
        <f t="shared" si="2"/>
        <v>03039</v>
      </c>
    </row>
    <row r="19774">
      <c r="A19774" s="48" t="s">
        <v>1861</v>
      </c>
      <c r="B19774" s="38">
        <v>46092.0</v>
      </c>
      <c r="C19774" s="38" t="s">
        <v>24271</v>
      </c>
      <c r="D19774" s="38" t="str">
        <f>IFERROR(__xludf.DUMMYFUNCTION("REGEXREPLACE(C19774,""-\d+(.*)|--\d+(.*)"","""")"),"ESCLAUZELS")</f>
        <v>ESCLAUZELS</v>
      </c>
      <c r="E19774" s="38" t="s">
        <v>185</v>
      </c>
      <c r="F19774" s="38" t="s">
        <v>94</v>
      </c>
      <c r="G19774" s="49" t="str">
        <f t="shared" si="1"/>
        <v>46090</v>
      </c>
      <c r="H19774" s="49">
        <f t="shared" si="2"/>
        <v>46092</v>
      </c>
    </row>
    <row r="19775">
      <c r="A19775" s="48" t="s">
        <v>1520</v>
      </c>
      <c r="B19775" s="38">
        <v>16378.0</v>
      </c>
      <c r="C19775" s="38" t="s">
        <v>24272</v>
      </c>
      <c r="D19775" s="38" t="str">
        <f>IFERROR(__xludf.DUMMYFUNCTION("REGEXREPLACE(C19775,""-\d+(.*)|--\d+(.*)"","""")"),"TAIZE-AIZIE")</f>
        <v>TAIZE-AIZIE</v>
      </c>
      <c r="E19775" s="38" t="s">
        <v>429</v>
      </c>
      <c r="F19775" s="38" t="s">
        <v>338</v>
      </c>
      <c r="G19775" s="49" t="str">
        <f t="shared" si="1"/>
        <v>16700</v>
      </c>
      <c r="H19775" s="49">
        <f t="shared" si="2"/>
        <v>16378</v>
      </c>
    </row>
    <row r="19776">
      <c r="A19776" s="48" t="s">
        <v>2249</v>
      </c>
      <c r="B19776" s="38">
        <v>14609.0</v>
      </c>
      <c r="C19776" s="38" t="s">
        <v>24273</v>
      </c>
      <c r="D19776" s="38" t="str">
        <f>IFERROR(__xludf.DUMMYFUNCTION("REGEXREPLACE(C19776,""-\d+(.*)|--\d+(.*)"","""")"),"SAINT-LOUP-HORS")</f>
        <v>SAINT-LOUP-HORS</v>
      </c>
      <c r="E19776" s="38" t="s">
        <v>137</v>
      </c>
      <c r="F19776" s="38" t="s">
        <v>138</v>
      </c>
      <c r="G19776" s="49" t="str">
        <f t="shared" si="1"/>
        <v>14400</v>
      </c>
      <c r="H19776" s="49">
        <f t="shared" si="2"/>
        <v>14609</v>
      </c>
    </row>
    <row r="19777">
      <c r="A19777" s="48" t="s">
        <v>10392</v>
      </c>
      <c r="B19777" s="38">
        <v>64134.0</v>
      </c>
      <c r="C19777" s="38" t="s">
        <v>24274</v>
      </c>
      <c r="D19777" s="38" t="str">
        <f>IFERROR(__xludf.DUMMYFUNCTION("REGEXREPLACE(C19777,""-\d+(.*)|--\d+(.*)"","""")"),"BONLOC")</f>
        <v>BONLOC</v>
      </c>
      <c r="E19777" s="38" t="s">
        <v>268</v>
      </c>
      <c r="F19777" s="38" t="s">
        <v>252</v>
      </c>
      <c r="G19777" s="49" t="str">
        <f t="shared" si="1"/>
        <v>64240</v>
      </c>
      <c r="H19777" s="49">
        <f t="shared" si="2"/>
        <v>64134</v>
      </c>
    </row>
    <row r="19778">
      <c r="A19778" s="48" t="s">
        <v>3662</v>
      </c>
      <c r="B19778" s="38">
        <v>80446.0</v>
      </c>
      <c r="C19778" s="38" t="s">
        <v>24275</v>
      </c>
      <c r="D19778" s="38" t="str">
        <f>IFERROR(__xludf.DUMMYFUNCTION("REGEXREPLACE(C19778,""-\d+(.*)|--\d+(.*)"","""")"),"HUPPY")</f>
        <v>HUPPY</v>
      </c>
      <c r="E19778" s="38" t="s">
        <v>224</v>
      </c>
      <c r="F19778" s="38" t="s">
        <v>113</v>
      </c>
      <c r="G19778" s="49" t="str">
        <f t="shared" si="1"/>
        <v>80140</v>
      </c>
      <c r="H19778" s="49">
        <f t="shared" si="2"/>
        <v>80446</v>
      </c>
    </row>
    <row r="19779">
      <c r="A19779" s="48" t="s">
        <v>5712</v>
      </c>
      <c r="B19779" s="38">
        <v>89079.0</v>
      </c>
      <c r="C19779" s="38" t="s">
        <v>24276</v>
      </c>
      <c r="D19779" s="38" t="str">
        <f>IFERROR(__xludf.DUMMYFUNCTION("REGEXREPLACE(C19779,""-\d+(.*)|--\d+(.*)"","""")"),"CHAMVRES")</f>
        <v>CHAMVRES</v>
      </c>
      <c r="E19779" s="38" t="s">
        <v>275</v>
      </c>
      <c r="F19779" s="38" t="s">
        <v>106</v>
      </c>
      <c r="G19779" s="49" t="str">
        <f t="shared" si="1"/>
        <v>89300</v>
      </c>
      <c r="H19779" s="49">
        <f t="shared" si="2"/>
        <v>89079</v>
      </c>
    </row>
    <row r="19780">
      <c r="A19780" s="48" t="s">
        <v>3418</v>
      </c>
      <c r="B19780" s="38">
        <v>47147.0</v>
      </c>
      <c r="C19780" s="38" t="s">
        <v>24277</v>
      </c>
      <c r="D19780" s="38" t="str">
        <f>IFERROR(__xludf.DUMMYFUNCTION("REGEXREPLACE(C19780,""-\d+(.*)|--\d+(.*)"","""")"),"LEVIGNAC-DE-GUYENNE")</f>
        <v>LEVIGNAC-DE-GUYENNE</v>
      </c>
      <c r="E19780" s="38" t="s">
        <v>251</v>
      </c>
      <c r="F19780" s="38" t="s">
        <v>252</v>
      </c>
      <c r="G19780" s="49" t="str">
        <f t="shared" si="1"/>
        <v>47120</v>
      </c>
      <c r="H19780" s="49">
        <f t="shared" si="2"/>
        <v>47147</v>
      </c>
    </row>
    <row r="19781">
      <c r="A19781" s="48" t="s">
        <v>1368</v>
      </c>
      <c r="B19781" s="38">
        <v>8082.0</v>
      </c>
      <c r="C19781" s="38" t="s">
        <v>24278</v>
      </c>
      <c r="D19781" s="38" t="str">
        <f>IFERROR(__xludf.DUMMYFUNCTION("REGEXREPLACE(C19781,""-\d+(.*)|--\d+(.*)"","""")"),"BRECY-BRIERES")</f>
        <v>BRECY-BRIERES</v>
      </c>
      <c r="E19781" s="38" t="s">
        <v>327</v>
      </c>
      <c r="F19781" s="38" t="s">
        <v>130</v>
      </c>
      <c r="G19781" s="49" t="str">
        <f t="shared" si="1"/>
        <v>08400</v>
      </c>
      <c r="H19781" s="49" t="str">
        <f t="shared" si="2"/>
        <v>08082</v>
      </c>
    </row>
    <row r="19782">
      <c r="A19782" s="48" t="s">
        <v>1961</v>
      </c>
      <c r="B19782" s="38">
        <v>33508.0</v>
      </c>
      <c r="C19782" s="38" t="s">
        <v>16399</v>
      </c>
      <c r="D19782" s="38" t="str">
        <f>IFERROR(__xludf.DUMMYFUNCTION("REGEXREPLACE(C19782,""-\d+(.*)|--\d+(.*)"","""")"),"SAVIGNAC")</f>
        <v>SAVIGNAC</v>
      </c>
      <c r="E19782" s="38" t="s">
        <v>462</v>
      </c>
      <c r="F19782" s="38" t="s">
        <v>252</v>
      </c>
      <c r="G19782" s="49" t="str">
        <f t="shared" si="1"/>
        <v>33124</v>
      </c>
      <c r="H19782" s="49">
        <f t="shared" si="2"/>
        <v>33508</v>
      </c>
    </row>
    <row r="19783">
      <c r="A19783" s="48" t="s">
        <v>6389</v>
      </c>
      <c r="B19783" s="38">
        <v>14356.0</v>
      </c>
      <c r="C19783" s="38" t="s">
        <v>9413</v>
      </c>
      <c r="D19783" s="38" t="str">
        <f>IFERROR(__xludf.DUMMYFUNCTION("REGEXREPLACE(C19783,""-\d+(.*)|--\d+(.*)"","""")"),"LASSON")</f>
        <v>LASSON</v>
      </c>
      <c r="E19783" s="38" t="s">
        <v>137</v>
      </c>
      <c r="F19783" s="38" t="s">
        <v>138</v>
      </c>
      <c r="G19783" s="49" t="str">
        <f t="shared" si="1"/>
        <v>14740</v>
      </c>
      <c r="H19783" s="49">
        <f t="shared" si="2"/>
        <v>14356</v>
      </c>
    </row>
    <row r="19784">
      <c r="A19784" s="48" t="s">
        <v>2937</v>
      </c>
      <c r="B19784" s="38">
        <v>73052.0</v>
      </c>
      <c r="C19784" s="38" t="s">
        <v>24279</v>
      </c>
      <c r="D19784" s="38" t="str">
        <f>IFERROR(__xludf.DUMMYFUNCTION("REGEXREPLACE(C19784,""-\d+(.*)|--\d+(.*)"","""")"),"BOURGET-EN-HUILE")</f>
        <v>BOURGET-EN-HUILE</v>
      </c>
      <c r="E19784" s="38" t="s">
        <v>306</v>
      </c>
      <c r="F19784" s="38" t="s">
        <v>102</v>
      </c>
      <c r="G19784" s="49" t="str">
        <f t="shared" si="1"/>
        <v>73110</v>
      </c>
      <c r="H19784" s="49">
        <f t="shared" si="2"/>
        <v>73052</v>
      </c>
    </row>
    <row r="19785">
      <c r="A19785" s="48" t="s">
        <v>3716</v>
      </c>
      <c r="B19785" s="38">
        <v>57457.0</v>
      </c>
      <c r="C19785" s="38" t="s">
        <v>24280</v>
      </c>
      <c r="D19785" s="38" t="str">
        <f>IFERROR(__xludf.DUMMYFUNCTION("REGEXREPLACE(C19785,""-\d+(.*)|--\d+(.*)"","""")"),"MENSKIRCH")</f>
        <v>MENSKIRCH</v>
      </c>
      <c r="E19785" s="38" t="s">
        <v>303</v>
      </c>
      <c r="F19785" s="38" t="s">
        <v>195</v>
      </c>
      <c r="G19785" s="49" t="str">
        <f t="shared" si="1"/>
        <v>57320</v>
      </c>
      <c r="H19785" s="49">
        <f t="shared" si="2"/>
        <v>57457</v>
      </c>
    </row>
    <row r="19786">
      <c r="A19786" s="48" t="s">
        <v>2312</v>
      </c>
      <c r="B19786" s="38">
        <v>67503.0</v>
      </c>
      <c r="C19786" s="38" t="s">
        <v>24281</v>
      </c>
      <c r="D19786" s="38" t="str">
        <f>IFERROR(__xludf.DUMMYFUNCTION("REGEXREPLACE(C19786,""-\d+(.*)|--\d+(.*)"","""")"),"UTTWILLER")</f>
        <v>UTTWILLER</v>
      </c>
      <c r="E19786" s="38" t="s">
        <v>210</v>
      </c>
      <c r="F19786" s="38" t="s">
        <v>151</v>
      </c>
      <c r="G19786" s="49" t="str">
        <f t="shared" si="1"/>
        <v>67330</v>
      </c>
      <c r="H19786" s="49">
        <f t="shared" si="2"/>
        <v>67503</v>
      </c>
    </row>
    <row r="19787">
      <c r="A19787" s="48" t="s">
        <v>5525</v>
      </c>
      <c r="B19787" s="38">
        <v>10034.0</v>
      </c>
      <c r="C19787" s="38" t="s">
        <v>24282</v>
      </c>
      <c r="D19787" s="38" t="str">
        <f>IFERROR(__xludf.DUMMYFUNCTION("REGEXREPLACE(C19787,""-\d+(.*)|--\d+(.*)"","""")"),"BAR-SUR-SEINE")</f>
        <v>BAR-SUR-SEINE</v>
      </c>
      <c r="E19787" s="38" t="s">
        <v>147</v>
      </c>
      <c r="F19787" s="38" t="s">
        <v>130</v>
      </c>
      <c r="G19787" s="49" t="str">
        <f t="shared" si="1"/>
        <v>10110</v>
      </c>
      <c r="H19787" s="49">
        <f t="shared" si="2"/>
        <v>10034</v>
      </c>
    </row>
    <row r="19788">
      <c r="A19788" s="48" t="s">
        <v>11910</v>
      </c>
      <c r="B19788" s="38">
        <v>46064.0</v>
      </c>
      <c r="C19788" s="38" t="s">
        <v>24283</v>
      </c>
      <c r="D19788" s="38" t="str">
        <f>IFERROR(__xludf.DUMMYFUNCTION("REGEXREPLACE(C19788,""-\d+(.*)|--\d+(.*)"","""")"),"CATUS")</f>
        <v>CATUS</v>
      </c>
      <c r="E19788" s="38" t="s">
        <v>185</v>
      </c>
      <c r="F19788" s="38" t="s">
        <v>94</v>
      </c>
      <c r="G19788" s="49" t="str">
        <f t="shared" si="1"/>
        <v>46150</v>
      </c>
      <c r="H19788" s="49">
        <f t="shared" si="2"/>
        <v>46064</v>
      </c>
    </row>
    <row r="19789">
      <c r="A19789" s="48" t="s">
        <v>16012</v>
      </c>
      <c r="B19789" s="38">
        <v>89275.0</v>
      </c>
      <c r="C19789" s="38" t="s">
        <v>24284</v>
      </c>
      <c r="D19789" s="38" t="str">
        <f>IFERROR(__xludf.DUMMYFUNCTION("REGEXREPLACE(C19789,""-\d+(.*)|--\d+(.*)"","""")"),"NEUILLY")</f>
        <v>NEUILLY</v>
      </c>
      <c r="E19789" s="38" t="s">
        <v>275</v>
      </c>
      <c r="F19789" s="38" t="s">
        <v>106</v>
      </c>
      <c r="G19789" s="49" t="str">
        <f t="shared" si="1"/>
        <v>89113</v>
      </c>
      <c r="H19789" s="49">
        <f t="shared" si="2"/>
        <v>89275</v>
      </c>
    </row>
    <row r="19790">
      <c r="A19790" s="48" t="s">
        <v>16993</v>
      </c>
      <c r="B19790" s="38">
        <v>59439.0</v>
      </c>
      <c r="C19790" s="38" t="s">
        <v>24285</v>
      </c>
      <c r="D19790" s="38" t="str">
        <f>IFERROR(__xludf.DUMMYFUNCTION("REGEXREPLACE(C19790,""-\d+(.*)|--\d+(.*)"","""")"),"NOYELLES-SUR-SAMBRE")</f>
        <v>NOYELLES-SUR-SAMBRE</v>
      </c>
      <c r="E19790" s="38" t="s">
        <v>85</v>
      </c>
      <c r="F19790" s="38" t="s">
        <v>86</v>
      </c>
      <c r="G19790" s="49" t="str">
        <f t="shared" si="1"/>
        <v>59550</v>
      </c>
      <c r="H19790" s="49">
        <f t="shared" si="2"/>
        <v>59439</v>
      </c>
    </row>
    <row r="19791">
      <c r="A19791" s="48" t="s">
        <v>24286</v>
      </c>
      <c r="B19791" s="38">
        <v>57160.0</v>
      </c>
      <c r="C19791" s="38" t="s">
        <v>24287</v>
      </c>
      <c r="D19791" s="38" t="str">
        <f>IFERROR(__xludf.DUMMYFUNCTION("REGEXREPLACE(C19791,""-\d+(.*)|--\d+(.*)"","""")"),"CREUTZWALD")</f>
        <v>CREUTZWALD</v>
      </c>
      <c r="E19791" s="38" t="s">
        <v>303</v>
      </c>
      <c r="F19791" s="38" t="s">
        <v>195</v>
      </c>
      <c r="G19791" s="49" t="str">
        <f t="shared" si="1"/>
        <v>57150</v>
      </c>
      <c r="H19791" s="49">
        <f t="shared" si="2"/>
        <v>57160</v>
      </c>
    </row>
    <row r="19792">
      <c r="A19792" s="48" t="s">
        <v>1404</v>
      </c>
      <c r="B19792" s="38">
        <v>30072.0</v>
      </c>
      <c r="C19792" s="38" t="s">
        <v>24288</v>
      </c>
      <c r="D19792" s="38" t="str">
        <f>IFERROR(__xludf.DUMMYFUNCTION("REGEXREPLACE(C19792,""-\d+(.*)|--\d+(.*)"","""")"),"CASTELNAU-VALENCE")</f>
        <v>CASTELNAU-VALENCE</v>
      </c>
      <c r="E19792" s="38" t="s">
        <v>526</v>
      </c>
      <c r="F19792" s="38" t="s">
        <v>119</v>
      </c>
      <c r="G19792" s="49" t="str">
        <f t="shared" si="1"/>
        <v>30190</v>
      </c>
      <c r="H19792" s="49">
        <f t="shared" si="2"/>
        <v>30072</v>
      </c>
    </row>
    <row r="19793">
      <c r="A19793" s="48" t="s">
        <v>1590</v>
      </c>
      <c r="B19793" s="38">
        <v>33409.0</v>
      </c>
      <c r="C19793" s="38" t="s">
        <v>24289</v>
      </c>
      <c r="D19793" s="38" t="str">
        <f>IFERROR(__xludf.DUMMYFUNCTION("REGEXREPLACE(C19793,""-\d+(.*)|--\d+(.*)"","""")"),"SAINT-GENIS-DU-BOIS")</f>
        <v>SAINT-GENIS-DU-BOIS</v>
      </c>
      <c r="E19793" s="38" t="s">
        <v>462</v>
      </c>
      <c r="F19793" s="38" t="s">
        <v>252</v>
      </c>
      <c r="G19793" s="49" t="str">
        <f t="shared" si="1"/>
        <v>33760</v>
      </c>
      <c r="H19793" s="49">
        <f t="shared" si="2"/>
        <v>33409</v>
      </c>
    </row>
    <row r="19794">
      <c r="A19794" s="48" t="s">
        <v>24290</v>
      </c>
      <c r="B19794" s="38">
        <v>9277.0</v>
      </c>
      <c r="C19794" s="38" t="s">
        <v>24291</v>
      </c>
      <c r="D19794" s="38" t="str">
        <f>IFERROR(__xludf.DUMMYFUNCTION("REGEXREPLACE(C19794,""-\d+(.*)|--\d+(.*)"","""")"),"SAINT-YBARS")</f>
        <v>SAINT-YBARS</v>
      </c>
      <c r="E19794" s="38" t="s">
        <v>238</v>
      </c>
      <c r="F19794" s="38" t="s">
        <v>94</v>
      </c>
      <c r="G19794" s="49" t="str">
        <f t="shared" si="1"/>
        <v>09210</v>
      </c>
      <c r="H19794" s="49" t="str">
        <f t="shared" si="2"/>
        <v>09277</v>
      </c>
    </row>
    <row r="19795">
      <c r="A19795" s="48" t="s">
        <v>12715</v>
      </c>
      <c r="B19795" s="38">
        <v>29087.0</v>
      </c>
      <c r="C19795" s="38" t="s">
        <v>24292</v>
      </c>
      <c r="D19795" s="38" t="str">
        <f>IFERROR(__xludf.DUMMYFUNCTION("REGEXREPLACE(C19795,""-\d+(.*)|--\d+(.*)"","""")"),"LE JUCH")</f>
        <v>LE JUCH</v>
      </c>
      <c r="E19795" s="38" t="s">
        <v>176</v>
      </c>
      <c r="F19795" s="38" t="s">
        <v>90</v>
      </c>
      <c r="G19795" s="49" t="str">
        <f t="shared" si="1"/>
        <v>29100</v>
      </c>
      <c r="H19795" s="49">
        <f t="shared" si="2"/>
        <v>29087</v>
      </c>
    </row>
    <row r="19796">
      <c r="A19796" s="48" t="s">
        <v>603</v>
      </c>
      <c r="B19796" s="38" t="s">
        <v>24293</v>
      </c>
      <c r="C19796" s="38" t="s">
        <v>24294</v>
      </c>
      <c r="D19796" s="38" t="str">
        <f>IFERROR(__xludf.DUMMYFUNCTION("REGEXREPLACE(C19796,""-\d+(.*)|--\d+(.*)"","""")"),"PETRETO-BICCHISANO")</f>
        <v>PETRETO-BICCHISANO</v>
      </c>
      <c r="E19796" s="38" t="s">
        <v>606</v>
      </c>
      <c r="F19796" s="38" t="s">
        <v>607</v>
      </c>
      <c r="G19796" s="49" t="str">
        <f t="shared" si="1"/>
        <v>20140</v>
      </c>
      <c r="H19796" s="49" t="str">
        <f t="shared" si="2"/>
        <v>2A211</v>
      </c>
    </row>
    <row r="19797">
      <c r="A19797" s="48" t="s">
        <v>6670</v>
      </c>
      <c r="B19797" s="38">
        <v>32204.0</v>
      </c>
      <c r="C19797" s="38" t="s">
        <v>24295</v>
      </c>
      <c r="D19797" s="38" t="str">
        <f>IFERROR(__xludf.DUMMYFUNCTION("REGEXREPLACE(C19797,""-\d+(.*)|--\d+(.*)"","""")"),"LAVARDENS")</f>
        <v>LAVARDENS</v>
      </c>
      <c r="E19797" s="38" t="s">
        <v>440</v>
      </c>
      <c r="F19797" s="38" t="s">
        <v>94</v>
      </c>
      <c r="G19797" s="49" t="str">
        <f t="shared" si="1"/>
        <v>32360</v>
      </c>
      <c r="H19797" s="49">
        <f t="shared" si="2"/>
        <v>32204</v>
      </c>
    </row>
    <row r="19798">
      <c r="A19798" s="48" t="s">
        <v>9214</v>
      </c>
      <c r="B19798" s="38">
        <v>29201.0</v>
      </c>
      <c r="C19798" s="38" t="s">
        <v>24296</v>
      </c>
      <c r="D19798" s="38" t="str">
        <f>IFERROR(__xludf.DUMMYFUNCTION("REGEXREPLACE(C19798,""-\d+(.*)|--\d+(.*)"","""")"),"PLOUMOGUER")</f>
        <v>PLOUMOGUER</v>
      </c>
      <c r="E19798" s="38" t="s">
        <v>176</v>
      </c>
      <c r="F19798" s="38" t="s">
        <v>90</v>
      </c>
      <c r="G19798" s="49" t="str">
        <f t="shared" si="1"/>
        <v>29810</v>
      </c>
      <c r="H19798" s="49">
        <f t="shared" si="2"/>
        <v>29201</v>
      </c>
    </row>
    <row r="19799">
      <c r="A19799" s="48" t="s">
        <v>5014</v>
      </c>
      <c r="B19799" s="38">
        <v>57448.0</v>
      </c>
      <c r="C19799" s="38" t="s">
        <v>24297</v>
      </c>
      <c r="D19799" s="38" t="str">
        <f>IFERROR(__xludf.DUMMYFUNCTION("REGEXREPLACE(C19799,""-\d+(.*)|--\d+(.*)"","""")"),"MARSAL")</f>
        <v>MARSAL</v>
      </c>
      <c r="E19799" s="38" t="s">
        <v>303</v>
      </c>
      <c r="F19799" s="38" t="s">
        <v>195</v>
      </c>
      <c r="G19799" s="49" t="str">
        <f t="shared" si="1"/>
        <v>57630</v>
      </c>
      <c r="H19799" s="49">
        <f t="shared" si="2"/>
        <v>57448</v>
      </c>
    </row>
    <row r="19800">
      <c r="A19800" s="48" t="s">
        <v>4519</v>
      </c>
      <c r="B19800" s="38">
        <v>26369.0</v>
      </c>
      <c r="C19800" s="38" t="s">
        <v>24298</v>
      </c>
      <c r="D19800" s="38" t="str">
        <f>IFERROR(__xludf.DUMMYFUNCTION("REGEXREPLACE(C19800,""-\d+(.*)|--\d+(.*)"","""")"),"VERCLAUSE")</f>
        <v>VERCLAUSE</v>
      </c>
      <c r="E19800" s="38" t="s">
        <v>126</v>
      </c>
      <c r="F19800" s="38" t="s">
        <v>102</v>
      </c>
      <c r="G19800" s="49" t="str">
        <f t="shared" si="1"/>
        <v>26510</v>
      </c>
      <c r="H19800" s="49">
        <f t="shared" si="2"/>
        <v>26369</v>
      </c>
    </row>
    <row r="19801">
      <c r="A19801" s="48" t="s">
        <v>1908</v>
      </c>
      <c r="B19801" s="38">
        <v>62542.0</v>
      </c>
      <c r="C19801" s="38" t="s">
        <v>10573</v>
      </c>
      <c r="D19801" s="38" t="str">
        <f>IFERROR(__xludf.DUMMYFUNCTION("REGEXREPLACE(C19801,""-\d+(.*)|--\d+(.*)"","""")"),"MAIZIERES")</f>
        <v>MAIZIERES</v>
      </c>
      <c r="E19801" s="38" t="s">
        <v>109</v>
      </c>
      <c r="F19801" s="38" t="s">
        <v>86</v>
      </c>
      <c r="G19801" s="49" t="str">
        <f t="shared" si="1"/>
        <v>62127</v>
      </c>
      <c r="H19801" s="49">
        <f t="shared" si="2"/>
        <v>62542</v>
      </c>
    </row>
    <row r="19802">
      <c r="A19802" s="48" t="s">
        <v>2859</v>
      </c>
      <c r="B19802" s="38">
        <v>22365.0</v>
      </c>
      <c r="C19802" s="38" t="s">
        <v>24299</v>
      </c>
      <c r="D19802" s="38" t="str">
        <f>IFERROR(__xludf.DUMMYFUNCTION("REGEXREPLACE(C19802,""-\d+(.*)|--\d+(.*)"","""")"),"TREMARGAT")</f>
        <v>TREMARGAT</v>
      </c>
      <c r="E19802" s="38" t="s">
        <v>89</v>
      </c>
      <c r="F19802" s="38" t="s">
        <v>90</v>
      </c>
      <c r="G19802" s="49" t="str">
        <f t="shared" si="1"/>
        <v>22110</v>
      </c>
      <c r="H19802" s="49">
        <f t="shared" si="2"/>
        <v>22365</v>
      </c>
    </row>
    <row r="19803">
      <c r="A19803" s="48" t="s">
        <v>1358</v>
      </c>
      <c r="B19803" s="38">
        <v>81241.0</v>
      </c>
      <c r="C19803" s="38" t="s">
        <v>24300</v>
      </c>
      <c r="D19803" s="38" t="str">
        <f>IFERROR(__xludf.DUMMYFUNCTION("REGEXREPLACE(C19803,""-\d+(.*)|--\d+(.*)"","""")"),"SAINT-ANTONIN-DE-LACALM")</f>
        <v>SAINT-ANTONIN-DE-LACALM</v>
      </c>
      <c r="E19803" s="38" t="s">
        <v>231</v>
      </c>
      <c r="F19803" s="38" t="s">
        <v>94</v>
      </c>
      <c r="G19803" s="49" t="str">
        <f t="shared" si="1"/>
        <v>81120</v>
      </c>
      <c r="H19803" s="49">
        <f t="shared" si="2"/>
        <v>81241</v>
      </c>
    </row>
    <row r="19804">
      <c r="A19804" s="48" t="s">
        <v>958</v>
      </c>
      <c r="B19804" s="38">
        <v>71415.0</v>
      </c>
      <c r="C19804" s="38" t="s">
        <v>20388</v>
      </c>
      <c r="D19804" s="38" t="str">
        <f>IFERROR(__xludf.DUMMYFUNCTION("REGEXREPLACE(C19804,""-\d+(.*)|--\d+(.*)"","""")"),"SAINTE-FOY")</f>
        <v>SAINTE-FOY</v>
      </c>
      <c r="E19804" s="38" t="s">
        <v>344</v>
      </c>
      <c r="F19804" s="38" t="s">
        <v>106</v>
      </c>
      <c r="G19804" s="49" t="str">
        <f t="shared" si="1"/>
        <v>71110</v>
      </c>
      <c r="H19804" s="49">
        <f t="shared" si="2"/>
        <v>71415</v>
      </c>
    </row>
    <row r="19805">
      <c r="A19805" s="48" t="s">
        <v>10536</v>
      </c>
      <c r="B19805" s="38">
        <v>72301.0</v>
      </c>
      <c r="C19805" s="38" t="s">
        <v>24301</v>
      </c>
      <c r="D19805" s="38" t="str">
        <f>IFERROR(__xludf.DUMMYFUNCTION("REGEXREPLACE(C19805,""-\d+(.*)|--\d+(.*)"","""")"),"SAINT-MARS-SOUS-BALLON")</f>
        <v>SAINT-MARS-SOUS-BALLON</v>
      </c>
      <c r="E19805" s="38" t="s">
        <v>521</v>
      </c>
      <c r="F19805" s="38" t="s">
        <v>180</v>
      </c>
      <c r="G19805" s="49" t="str">
        <f t="shared" si="1"/>
        <v>72290</v>
      </c>
      <c r="H19805" s="49">
        <f t="shared" si="2"/>
        <v>72301</v>
      </c>
    </row>
    <row r="19806">
      <c r="A19806" s="48" t="s">
        <v>9160</v>
      </c>
      <c r="B19806" s="38">
        <v>80834.0</v>
      </c>
      <c r="C19806" s="38" t="s">
        <v>24302</v>
      </c>
      <c r="D19806" s="38" t="str">
        <f>IFERROR(__xludf.DUMMYFUNCTION("REGEXREPLACE(C19806,""-\d+(.*)|--\d+(.*)"","""")"),"YZENGREMER")</f>
        <v>YZENGREMER</v>
      </c>
      <c r="E19806" s="38" t="s">
        <v>224</v>
      </c>
      <c r="F19806" s="38" t="s">
        <v>113</v>
      </c>
      <c r="G19806" s="49" t="str">
        <f t="shared" si="1"/>
        <v>80520</v>
      </c>
      <c r="H19806" s="49">
        <f t="shared" si="2"/>
        <v>80834</v>
      </c>
    </row>
    <row r="19807">
      <c r="A19807" s="48" t="s">
        <v>5905</v>
      </c>
      <c r="B19807" s="38">
        <v>7070.0</v>
      </c>
      <c r="C19807" s="38" t="s">
        <v>24303</v>
      </c>
      <c r="D19807" s="38" t="str">
        <f>IFERROR(__xludf.DUMMYFUNCTION("REGEXREPLACE(C19807,""-\d+(.*)|--\d+(.*)"","""")"),"CORNAS")</f>
        <v>CORNAS</v>
      </c>
      <c r="E19807" s="38" t="s">
        <v>144</v>
      </c>
      <c r="F19807" s="38" t="s">
        <v>102</v>
      </c>
      <c r="G19807" s="49" t="str">
        <f t="shared" si="1"/>
        <v>07130</v>
      </c>
      <c r="H19807" s="49" t="str">
        <f t="shared" si="2"/>
        <v>07070</v>
      </c>
    </row>
    <row r="19808">
      <c r="A19808" s="48" t="s">
        <v>24304</v>
      </c>
      <c r="B19808" s="38">
        <v>25321.0</v>
      </c>
      <c r="C19808" s="38" t="s">
        <v>24305</v>
      </c>
      <c r="D19808" s="38" t="str">
        <f>IFERROR(__xludf.DUMMYFUNCTION("REGEXREPLACE(C19808,""-\d+(.*)|--\d+(.*)"","""")"),"VILLERS-LE-LAC")</f>
        <v>VILLERS-LE-LAC</v>
      </c>
      <c r="E19808" s="38" t="s">
        <v>213</v>
      </c>
      <c r="F19808" s="38" t="s">
        <v>214</v>
      </c>
      <c r="G19808" s="49" t="str">
        <f t="shared" si="1"/>
        <v>25130</v>
      </c>
      <c r="H19808" s="49">
        <f t="shared" si="2"/>
        <v>25321</v>
      </c>
    </row>
    <row r="19809">
      <c r="A19809" s="48" t="s">
        <v>2993</v>
      </c>
      <c r="B19809" s="38">
        <v>66226.0</v>
      </c>
      <c r="C19809" s="38" t="s">
        <v>24306</v>
      </c>
      <c r="D19809" s="38" t="str">
        <f>IFERROR(__xludf.DUMMYFUNCTION("REGEXREPLACE(C19809,""-\d+(.*)|--\d+(.*)"","""")"),"VILLEMOLAQUE")</f>
        <v>VILLEMOLAQUE</v>
      </c>
      <c r="E19809" s="38" t="s">
        <v>248</v>
      </c>
      <c r="F19809" s="38" t="s">
        <v>119</v>
      </c>
      <c r="G19809" s="49" t="str">
        <f t="shared" si="1"/>
        <v>66300</v>
      </c>
      <c r="H19809" s="49">
        <f t="shared" si="2"/>
        <v>66226</v>
      </c>
    </row>
    <row r="19810">
      <c r="A19810" s="48" t="s">
        <v>3071</v>
      </c>
      <c r="B19810" s="38">
        <v>59070.0</v>
      </c>
      <c r="C19810" s="38" t="s">
        <v>24307</v>
      </c>
      <c r="D19810" s="38" t="str">
        <f>IFERROR(__xludf.DUMMYFUNCTION("REGEXREPLACE(C19810,""-\d+(.*)|--\d+(.*)"","""")"),"BERMERIES")</f>
        <v>BERMERIES</v>
      </c>
      <c r="E19810" s="38" t="s">
        <v>85</v>
      </c>
      <c r="F19810" s="38" t="s">
        <v>86</v>
      </c>
      <c r="G19810" s="49" t="str">
        <f t="shared" si="1"/>
        <v>59570</v>
      </c>
      <c r="H19810" s="49">
        <f t="shared" si="2"/>
        <v>59070</v>
      </c>
    </row>
    <row r="19811">
      <c r="A19811" s="48" t="s">
        <v>9340</v>
      </c>
      <c r="B19811" s="38">
        <v>4041.0</v>
      </c>
      <c r="C19811" s="38" t="s">
        <v>24308</v>
      </c>
      <c r="D19811" s="38" t="str">
        <f>IFERROR(__xludf.DUMMYFUNCTION("REGEXREPLACE(C19811,""-\d+(.*)|--\d+(.*)"","""")"),"LE CASTELLET")</f>
        <v>LE CASTELLET</v>
      </c>
      <c r="E19811" s="38" t="s">
        <v>662</v>
      </c>
      <c r="F19811" s="38" t="s">
        <v>228</v>
      </c>
      <c r="G19811" s="49" t="str">
        <f t="shared" si="1"/>
        <v>04700</v>
      </c>
      <c r="H19811" s="49" t="str">
        <f t="shared" si="2"/>
        <v>04041</v>
      </c>
    </row>
    <row r="19812">
      <c r="A19812" s="48" t="s">
        <v>3683</v>
      </c>
      <c r="B19812" s="38">
        <v>58134.0</v>
      </c>
      <c r="C19812" s="38" t="s">
        <v>24309</v>
      </c>
      <c r="D19812" s="38" t="str">
        <f>IFERROR(__xludf.DUMMYFUNCTION("REGEXREPLACE(C19812,""-\d+(.*)|--\d+(.*)"","""")"),"IMPHY")</f>
        <v>IMPHY</v>
      </c>
      <c r="E19812" s="38" t="s">
        <v>219</v>
      </c>
      <c r="F19812" s="38" t="s">
        <v>106</v>
      </c>
      <c r="G19812" s="49" t="str">
        <f t="shared" si="1"/>
        <v>58160</v>
      </c>
      <c r="H19812" s="49">
        <f t="shared" si="2"/>
        <v>58134</v>
      </c>
    </row>
    <row r="19813">
      <c r="A19813" s="48" t="s">
        <v>2128</v>
      </c>
      <c r="B19813" s="38">
        <v>2530.0</v>
      </c>
      <c r="C19813" s="38" t="s">
        <v>22908</v>
      </c>
      <c r="D19813" s="38" t="str">
        <f>IFERROR(__xludf.DUMMYFUNCTION("REGEXREPLACE(C19813,""-\d+(.*)|--\d+(.*)"","""")"),"MOULINS")</f>
        <v>MOULINS</v>
      </c>
      <c r="E19813" s="38" t="s">
        <v>191</v>
      </c>
      <c r="F19813" s="38" t="s">
        <v>113</v>
      </c>
      <c r="G19813" s="49" t="str">
        <f t="shared" si="1"/>
        <v>02160</v>
      </c>
      <c r="H19813" s="49" t="str">
        <f t="shared" si="2"/>
        <v>02530</v>
      </c>
    </row>
    <row r="19814">
      <c r="A19814" s="48" t="s">
        <v>24310</v>
      </c>
      <c r="B19814" s="38">
        <v>72231.0</v>
      </c>
      <c r="C19814" s="38" t="s">
        <v>24311</v>
      </c>
      <c r="D19814" s="38" t="str">
        <f>IFERROR(__xludf.DUMMYFUNCTION("REGEXREPLACE(C19814,""-\d+(.*)|--\d+(.*)"","""")"),"PARIGNE-L'EVEQUE")</f>
        <v>PARIGNE-L'EVEQUE</v>
      </c>
      <c r="E19814" s="38" t="s">
        <v>521</v>
      </c>
      <c r="F19814" s="38" t="s">
        <v>180</v>
      </c>
      <c r="G19814" s="49" t="str">
        <f t="shared" si="1"/>
        <v>72250</v>
      </c>
      <c r="H19814" s="49">
        <f t="shared" si="2"/>
        <v>72231</v>
      </c>
    </row>
    <row r="19815">
      <c r="A19815" s="48" t="s">
        <v>7334</v>
      </c>
      <c r="B19815" s="38">
        <v>45070.0</v>
      </c>
      <c r="C19815" s="38" t="s">
        <v>24312</v>
      </c>
      <c r="D19815" s="38" t="str">
        <f>IFERROR(__xludf.DUMMYFUNCTION("REGEXREPLACE(C19815,""-\d+(.*)|--\d+(.*)"","""")"),"CHAMPOULET")</f>
        <v>CHAMPOULET</v>
      </c>
      <c r="E19815" s="38" t="s">
        <v>122</v>
      </c>
      <c r="F19815" s="38" t="s">
        <v>123</v>
      </c>
      <c r="G19815" s="49" t="str">
        <f t="shared" si="1"/>
        <v>45420</v>
      </c>
      <c r="H19815" s="49">
        <f t="shared" si="2"/>
        <v>45070</v>
      </c>
    </row>
    <row r="19816">
      <c r="A19816" s="48" t="s">
        <v>2558</v>
      </c>
      <c r="B19816" s="38">
        <v>16129.0</v>
      </c>
      <c r="C19816" s="38" t="s">
        <v>24313</v>
      </c>
      <c r="D19816" s="38" t="str">
        <f>IFERROR(__xludf.DUMMYFUNCTION("REGEXREPLACE(C19816,""-\d+(.*)|--\d+(.*)"","""")"),"ERAVILLE")</f>
        <v>ERAVILLE</v>
      </c>
      <c r="E19816" s="38" t="s">
        <v>429</v>
      </c>
      <c r="F19816" s="38" t="s">
        <v>338</v>
      </c>
      <c r="G19816" s="49" t="str">
        <f t="shared" si="1"/>
        <v>16120</v>
      </c>
      <c r="H19816" s="49">
        <f t="shared" si="2"/>
        <v>16129</v>
      </c>
    </row>
    <row r="19817">
      <c r="A19817" s="48" t="s">
        <v>3093</v>
      </c>
      <c r="B19817" s="38">
        <v>57099.0</v>
      </c>
      <c r="C19817" s="38" t="s">
        <v>24314</v>
      </c>
      <c r="D19817" s="38" t="str">
        <f>IFERROR(__xludf.DUMMYFUNCTION("REGEXREPLACE(C19817,""-\d+(.*)|--\d+(.*)"","""")"),"BOURDONNAY")</f>
        <v>BOURDONNAY</v>
      </c>
      <c r="E19817" s="38" t="s">
        <v>303</v>
      </c>
      <c r="F19817" s="38" t="s">
        <v>195</v>
      </c>
      <c r="G19817" s="49" t="str">
        <f t="shared" si="1"/>
        <v>57810</v>
      </c>
      <c r="H19817" s="49">
        <f t="shared" si="2"/>
        <v>57099</v>
      </c>
    </row>
    <row r="19818">
      <c r="A19818" s="48" t="s">
        <v>9315</v>
      </c>
      <c r="B19818" s="38">
        <v>68272.0</v>
      </c>
      <c r="C19818" s="38" t="s">
        <v>24315</v>
      </c>
      <c r="D19818" s="38" t="str">
        <f>IFERROR(__xludf.DUMMYFUNCTION("REGEXREPLACE(C19818,""-\d+(.*)|--\d+(.*)"","""")"),"RIEDWIHR")</f>
        <v>RIEDWIHR</v>
      </c>
      <c r="E19818" s="38" t="s">
        <v>150</v>
      </c>
      <c r="F19818" s="38" t="s">
        <v>151</v>
      </c>
      <c r="G19818" s="49" t="str">
        <f t="shared" si="1"/>
        <v>68320</v>
      </c>
      <c r="H19818" s="49">
        <f t="shared" si="2"/>
        <v>68272</v>
      </c>
    </row>
    <row r="19819">
      <c r="A19819" s="48" t="s">
        <v>9026</v>
      </c>
      <c r="B19819" s="38">
        <v>21495.0</v>
      </c>
      <c r="C19819" s="38" t="s">
        <v>24316</v>
      </c>
      <c r="D19819" s="38" t="str">
        <f>IFERROR(__xludf.DUMMYFUNCTION("REGEXREPLACE(C19819,""-\d+(.*)|--\d+(.*)"","""")"),"PONT")</f>
        <v>PONT</v>
      </c>
      <c r="E19819" s="38" t="s">
        <v>105</v>
      </c>
      <c r="F19819" s="38" t="s">
        <v>106</v>
      </c>
      <c r="G19819" s="49" t="str">
        <f t="shared" si="1"/>
        <v>21130</v>
      </c>
      <c r="H19819" s="49">
        <f t="shared" si="2"/>
        <v>21495</v>
      </c>
    </row>
    <row r="19820">
      <c r="A19820" s="48" t="s">
        <v>14904</v>
      </c>
      <c r="B19820" s="38">
        <v>68052.0</v>
      </c>
      <c r="C19820" s="38" t="s">
        <v>24317</v>
      </c>
      <c r="D19820" s="38" t="str">
        <f>IFERROR(__xludf.DUMMYFUNCTION("REGEXREPLACE(C19820,""-\d+(.*)|--\d+(.*)"","""")"),"BRETTEN")</f>
        <v>BRETTEN</v>
      </c>
      <c r="E19820" s="38" t="s">
        <v>150</v>
      </c>
      <c r="F19820" s="38" t="s">
        <v>151</v>
      </c>
      <c r="G19820" s="49" t="str">
        <f t="shared" si="1"/>
        <v>68780</v>
      </c>
      <c r="H19820" s="49">
        <f t="shared" si="2"/>
        <v>68052</v>
      </c>
    </row>
    <row r="19821">
      <c r="A19821" s="48" t="s">
        <v>2779</v>
      </c>
      <c r="B19821" s="38">
        <v>80005.0</v>
      </c>
      <c r="C19821" s="38" t="s">
        <v>24318</v>
      </c>
      <c r="D19821" s="38" t="str">
        <f>IFERROR(__xludf.DUMMYFUNCTION("REGEXREPLACE(C19821,""-\d+(.*)|--\d+(.*)"","""")"),"AGENVILLE")</f>
        <v>AGENVILLE</v>
      </c>
      <c r="E19821" s="38" t="s">
        <v>224</v>
      </c>
      <c r="F19821" s="38" t="s">
        <v>113</v>
      </c>
      <c r="G19821" s="49" t="str">
        <f t="shared" si="1"/>
        <v>80370</v>
      </c>
      <c r="H19821" s="49">
        <f t="shared" si="2"/>
        <v>80005</v>
      </c>
    </row>
    <row r="19822">
      <c r="A19822" s="48" t="s">
        <v>24319</v>
      </c>
      <c r="B19822" s="38">
        <v>3063.0</v>
      </c>
      <c r="C19822" s="38" t="s">
        <v>24320</v>
      </c>
      <c r="D19822" s="38" t="str">
        <f>IFERROR(__xludf.DUMMYFUNCTION("REGEXREPLACE(C19822,""-\d+(.*)|--\d+(.*)"","""")"),"CHASSENARD")</f>
        <v>CHASSENARD</v>
      </c>
      <c r="E19822" s="38" t="s">
        <v>160</v>
      </c>
      <c r="F19822" s="38" t="s">
        <v>161</v>
      </c>
      <c r="G19822" s="49" t="str">
        <f t="shared" si="1"/>
        <v>03510</v>
      </c>
      <c r="H19822" s="49" t="str">
        <f t="shared" si="2"/>
        <v>03063</v>
      </c>
    </row>
    <row r="19823">
      <c r="A19823" s="48" t="s">
        <v>580</v>
      </c>
      <c r="B19823" s="38">
        <v>31434.0</v>
      </c>
      <c r="C19823" s="38" t="s">
        <v>24321</v>
      </c>
      <c r="D19823" s="38" t="str">
        <f>IFERROR(__xludf.DUMMYFUNCTION("REGEXREPLACE(C19823,""-\d+(.*)|--\d+(.*)"","""")"),"POUBEAU")</f>
        <v>POUBEAU</v>
      </c>
      <c r="E19823" s="38" t="s">
        <v>93</v>
      </c>
      <c r="F19823" s="38" t="s">
        <v>94</v>
      </c>
      <c r="G19823" s="49" t="str">
        <f t="shared" si="1"/>
        <v>31110</v>
      </c>
      <c r="H19823" s="49">
        <f t="shared" si="2"/>
        <v>31434</v>
      </c>
    </row>
    <row r="19824">
      <c r="A19824" s="48" t="s">
        <v>8480</v>
      </c>
      <c r="B19824" s="38">
        <v>8247.0</v>
      </c>
      <c r="C19824" s="38" t="s">
        <v>24322</v>
      </c>
      <c r="D19824" s="38" t="str">
        <f>IFERROR(__xludf.DUMMYFUNCTION("REGEXREPLACE(C19824,""-\d+(.*)|--\d+(.*)"","""")"),"LANDRICHAMPS")</f>
        <v>LANDRICHAMPS</v>
      </c>
      <c r="E19824" s="38" t="s">
        <v>327</v>
      </c>
      <c r="F19824" s="38" t="s">
        <v>130</v>
      </c>
      <c r="G19824" s="49" t="str">
        <f t="shared" si="1"/>
        <v>08600</v>
      </c>
      <c r="H19824" s="49" t="str">
        <f t="shared" si="2"/>
        <v>08247</v>
      </c>
    </row>
    <row r="19825">
      <c r="A19825" s="48" t="s">
        <v>1883</v>
      </c>
      <c r="B19825" s="38">
        <v>39285.0</v>
      </c>
      <c r="C19825" s="38" t="s">
        <v>24323</v>
      </c>
      <c r="D19825" s="38" t="str">
        <f>IFERROR(__xludf.DUMMYFUNCTION("REGEXREPLACE(C19825,""-\d+(.*)|--\d+(.*)"","""")"),"LAVANS-LES-DOLE")</f>
        <v>LAVANS-LES-DOLE</v>
      </c>
      <c r="E19825" s="38" t="s">
        <v>400</v>
      </c>
      <c r="F19825" s="38" t="s">
        <v>214</v>
      </c>
      <c r="G19825" s="49" t="str">
        <f t="shared" si="1"/>
        <v>39700</v>
      </c>
      <c r="H19825" s="49">
        <f t="shared" si="2"/>
        <v>39285</v>
      </c>
    </row>
    <row r="19826">
      <c r="A19826" s="48" t="s">
        <v>1557</v>
      </c>
      <c r="B19826" s="38">
        <v>5039.0</v>
      </c>
      <c r="C19826" s="38" t="s">
        <v>24324</v>
      </c>
      <c r="D19826" s="38" t="str">
        <f>IFERROR(__xludf.DUMMYFUNCTION("REGEXREPLACE(C19826,""-\d+(.*)|--\d+(.*)"","""")"),"CHAUFFAYER")</f>
        <v>CHAUFFAYER</v>
      </c>
      <c r="E19826" s="38" t="s">
        <v>706</v>
      </c>
      <c r="F19826" s="38" t="s">
        <v>228</v>
      </c>
      <c r="G19826" s="49" t="str">
        <f t="shared" si="1"/>
        <v>05800</v>
      </c>
      <c r="H19826" s="49" t="str">
        <f t="shared" si="2"/>
        <v>05039</v>
      </c>
    </row>
    <row r="19827">
      <c r="A19827" s="48" t="s">
        <v>19064</v>
      </c>
      <c r="B19827" s="38">
        <v>61050.0</v>
      </c>
      <c r="C19827" s="38" t="s">
        <v>24325</v>
      </c>
      <c r="D19827" s="38" t="str">
        <f>IFERROR(__xludf.DUMMYFUNCTION("REGEXREPLACE(C19827,""-\d+(.*)|--\d+(.*)"","""")"),"BOISSY-MAUGIS")</f>
        <v>BOISSY-MAUGIS</v>
      </c>
      <c r="E19827" s="38" t="s">
        <v>141</v>
      </c>
      <c r="F19827" s="38" t="s">
        <v>138</v>
      </c>
      <c r="G19827" s="49" t="str">
        <f t="shared" si="1"/>
        <v>61110</v>
      </c>
      <c r="H19827" s="49">
        <f t="shared" si="2"/>
        <v>61050</v>
      </c>
    </row>
    <row r="19828">
      <c r="A19828" s="48" t="s">
        <v>1630</v>
      </c>
      <c r="B19828" s="38">
        <v>57262.0</v>
      </c>
      <c r="C19828" s="38" t="s">
        <v>24326</v>
      </c>
      <c r="D19828" s="38" t="str">
        <f>IFERROR(__xludf.DUMMYFUNCTION("REGEXREPLACE(C19828,""-\d+(.*)|--\d+(.*)"","""")"),"GROSTENQUIN")</f>
        <v>GROSTENQUIN</v>
      </c>
      <c r="E19828" s="38" t="s">
        <v>303</v>
      </c>
      <c r="F19828" s="38" t="s">
        <v>195</v>
      </c>
      <c r="G19828" s="49" t="str">
        <f t="shared" si="1"/>
        <v>57660</v>
      </c>
      <c r="H19828" s="49">
        <f t="shared" si="2"/>
        <v>57262</v>
      </c>
    </row>
    <row r="19829">
      <c r="A19829" s="48" t="s">
        <v>264</v>
      </c>
      <c r="B19829" s="38">
        <v>68153.0</v>
      </c>
      <c r="C19829" s="38" t="s">
        <v>24327</v>
      </c>
      <c r="D19829" s="38" t="str">
        <f>IFERROR(__xludf.DUMMYFUNCTION("REGEXREPLACE(C19829,""-\d+(.*)|--\d+(.*)"","""")"),"ILLHAEUSERN")</f>
        <v>ILLHAEUSERN</v>
      </c>
      <c r="E19829" s="38" t="s">
        <v>150</v>
      </c>
      <c r="F19829" s="38" t="s">
        <v>151</v>
      </c>
      <c r="G19829" s="49" t="str">
        <f t="shared" si="1"/>
        <v>68970</v>
      </c>
      <c r="H19829" s="49">
        <f t="shared" si="2"/>
        <v>68153</v>
      </c>
    </row>
    <row r="19830">
      <c r="A19830" s="48" t="s">
        <v>5848</v>
      </c>
      <c r="B19830" s="38">
        <v>50115.0</v>
      </c>
      <c r="C19830" s="38" t="s">
        <v>24328</v>
      </c>
      <c r="D19830" s="38" t="str">
        <f>IFERROR(__xludf.DUMMYFUNCTION("REGEXREPLACE(C19830,""-\d+(.*)|--\d+(.*)"","""")"),"CHAMPCERVON")</f>
        <v>CHAMPCERVON</v>
      </c>
      <c r="E19830" s="38" t="s">
        <v>157</v>
      </c>
      <c r="F19830" s="38" t="s">
        <v>138</v>
      </c>
      <c r="G19830" s="49" t="str">
        <f t="shared" si="1"/>
        <v>50320</v>
      </c>
      <c r="H19830" s="49">
        <f t="shared" si="2"/>
        <v>50115</v>
      </c>
    </row>
    <row r="19831">
      <c r="A19831" s="48" t="s">
        <v>721</v>
      </c>
      <c r="B19831" s="38">
        <v>14397.0</v>
      </c>
      <c r="C19831" s="38" t="s">
        <v>24329</v>
      </c>
      <c r="D19831" s="38" t="str">
        <f>IFERROR(__xludf.DUMMYFUNCTION("REGEXREPLACE(C19831,""-\d+(.*)|--\d+(.*)"","""")"),"MANDEVILLE-EN-BESSIN")</f>
        <v>MANDEVILLE-EN-BESSIN</v>
      </c>
      <c r="E19831" s="38" t="s">
        <v>137</v>
      </c>
      <c r="F19831" s="38" t="s">
        <v>138</v>
      </c>
      <c r="G19831" s="49" t="str">
        <f t="shared" si="1"/>
        <v>14710</v>
      </c>
      <c r="H19831" s="49">
        <f t="shared" si="2"/>
        <v>14397</v>
      </c>
    </row>
    <row r="19832">
      <c r="A19832" s="48" t="s">
        <v>9368</v>
      </c>
      <c r="B19832" s="38">
        <v>12180.0</v>
      </c>
      <c r="C19832" s="38" t="s">
        <v>24330</v>
      </c>
      <c r="D19832" s="38" t="str">
        <f>IFERROR(__xludf.DUMMYFUNCTION("REGEXREPLACE(C19832,""-\d+(.*)|--\d+(.*)"","""")"),"PEYRELEAU")</f>
        <v>PEYRELEAU</v>
      </c>
      <c r="E19832" s="38" t="s">
        <v>465</v>
      </c>
      <c r="F19832" s="38" t="s">
        <v>94</v>
      </c>
      <c r="G19832" s="49" t="str">
        <f t="shared" si="1"/>
        <v>12720</v>
      </c>
      <c r="H19832" s="49">
        <f t="shared" si="2"/>
        <v>12180</v>
      </c>
    </row>
    <row r="19833">
      <c r="A19833" s="48" t="s">
        <v>1004</v>
      </c>
      <c r="B19833" s="38">
        <v>71052.0</v>
      </c>
      <c r="C19833" s="38" t="s">
        <v>24331</v>
      </c>
      <c r="D19833" s="38" t="str">
        <f>IFERROR(__xludf.DUMMYFUNCTION("REGEXREPLACE(C19833,""-\d+(.*)|--\d+(.*)"","""")"),"BOYER")</f>
        <v>BOYER</v>
      </c>
      <c r="E19833" s="38" t="s">
        <v>344</v>
      </c>
      <c r="F19833" s="38" t="s">
        <v>106</v>
      </c>
      <c r="G19833" s="49" t="str">
        <f t="shared" si="1"/>
        <v>71700</v>
      </c>
      <c r="H19833" s="49">
        <f t="shared" si="2"/>
        <v>71052</v>
      </c>
    </row>
    <row r="19834">
      <c r="A19834" s="48" t="s">
        <v>1381</v>
      </c>
      <c r="B19834" s="38">
        <v>62091.0</v>
      </c>
      <c r="C19834" s="38" t="s">
        <v>24332</v>
      </c>
      <c r="D19834" s="38" t="str">
        <f>IFERROR(__xludf.DUMMYFUNCTION("REGEXREPLACE(C19834,""-\d+(.*)|--\d+(.*)"","""")"),"BEAUDRICOURT")</f>
        <v>BEAUDRICOURT</v>
      </c>
      <c r="E19834" s="38" t="s">
        <v>109</v>
      </c>
      <c r="F19834" s="38" t="s">
        <v>86</v>
      </c>
      <c r="G19834" s="49" t="str">
        <f t="shared" si="1"/>
        <v>62810</v>
      </c>
      <c r="H19834" s="49">
        <f t="shared" si="2"/>
        <v>62091</v>
      </c>
    </row>
    <row r="19835">
      <c r="A19835" s="48" t="s">
        <v>10369</v>
      </c>
      <c r="B19835" s="38">
        <v>88221.0</v>
      </c>
      <c r="C19835" s="38" t="s">
        <v>24333</v>
      </c>
      <c r="D19835" s="38" t="str">
        <f>IFERROR(__xludf.DUMMYFUNCTION("REGEXREPLACE(C19835,""-\d+(.*)|--\d+(.*)"","""")"),"GRUEY-LES-SURANCE")</f>
        <v>GRUEY-LES-SURANCE</v>
      </c>
      <c r="E19835" s="38" t="s">
        <v>194</v>
      </c>
      <c r="F19835" s="38" t="s">
        <v>195</v>
      </c>
      <c r="G19835" s="49" t="str">
        <f t="shared" si="1"/>
        <v>88240</v>
      </c>
      <c r="H19835" s="49">
        <f t="shared" si="2"/>
        <v>88221</v>
      </c>
    </row>
    <row r="19836">
      <c r="A19836" s="48" t="s">
        <v>12467</v>
      </c>
      <c r="B19836" s="38">
        <v>72177.0</v>
      </c>
      <c r="C19836" s="38" t="s">
        <v>24334</v>
      </c>
      <c r="D19836" s="38" t="str">
        <f>IFERROR(__xludf.DUMMYFUNCTION("REGEXREPLACE(C19836,""-\d+(.*)|--\d+(.*)"","""")"),"MAIGNE")</f>
        <v>MAIGNE</v>
      </c>
      <c r="E19836" s="38" t="s">
        <v>521</v>
      </c>
      <c r="F19836" s="38" t="s">
        <v>180</v>
      </c>
      <c r="G19836" s="49" t="str">
        <f t="shared" si="1"/>
        <v>72210</v>
      </c>
      <c r="H19836" s="49">
        <f t="shared" si="2"/>
        <v>72177</v>
      </c>
    </row>
    <row r="19837">
      <c r="A19837" s="48" t="s">
        <v>1400</v>
      </c>
      <c r="B19837" s="38">
        <v>21187.0</v>
      </c>
      <c r="C19837" s="38" t="s">
        <v>24335</v>
      </c>
      <c r="D19837" s="38" t="str">
        <f>IFERROR(__xludf.DUMMYFUNCTION("REGEXREPLACE(C19837,""-\d+(.*)|--\d+(.*)"","""")"),"COMMARIN")</f>
        <v>COMMARIN</v>
      </c>
      <c r="E19837" s="38" t="s">
        <v>105</v>
      </c>
      <c r="F19837" s="38" t="s">
        <v>106</v>
      </c>
      <c r="G19837" s="49" t="str">
        <f t="shared" si="1"/>
        <v>21320</v>
      </c>
      <c r="H19837" s="49">
        <f t="shared" si="2"/>
        <v>21187</v>
      </c>
    </row>
    <row r="19838">
      <c r="A19838" s="48" t="s">
        <v>12389</v>
      </c>
      <c r="B19838" s="38">
        <v>71250.0</v>
      </c>
      <c r="C19838" s="38" t="s">
        <v>24336</v>
      </c>
      <c r="D19838" s="38" t="str">
        <f>IFERROR(__xludf.DUMMYFUNCTION("REGEXREPLACE(C19838,""-\d+(.*)|--\d+(.*)"","""")"),"LAIZE")</f>
        <v>LAIZE</v>
      </c>
      <c r="E19838" s="38" t="s">
        <v>344</v>
      </c>
      <c r="F19838" s="38" t="s">
        <v>106</v>
      </c>
      <c r="G19838" s="49" t="str">
        <f t="shared" si="1"/>
        <v>71870</v>
      </c>
      <c r="H19838" s="49">
        <f t="shared" si="2"/>
        <v>71250</v>
      </c>
    </row>
    <row r="19839">
      <c r="A19839" s="48" t="s">
        <v>10383</v>
      </c>
      <c r="B19839" s="38">
        <v>38342.0</v>
      </c>
      <c r="C19839" s="38" t="s">
        <v>24337</v>
      </c>
      <c r="D19839" s="38" t="str">
        <f>IFERROR(__xludf.DUMMYFUNCTION("REGEXREPLACE(C19839,""-\d+(.*)|--\d+(.*)"","""")"),"ROISSARD")</f>
        <v>ROISSARD</v>
      </c>
      <c r="E19839" s="38" t="s">
        <v>101</v>
      </c>
      <c r="F19839" s="38" t="s">
        <v>102</v>
      </c>
      <c r="G19839" s="49" t="str">
        <f t="shared" si="1"/>
        <v>38650</v>
      </c>
      <c r="H19839" s="49">
        <f t="shared" si="2"/>
        <v>38342</v>
      </c>
    </row>
    <row r="19840">
      <c r="A19840" s="48" t="s">
        <v>2530</v>
      </c>
      <c r="B19840" s="38">
        <v>79240.0</v>
      </c>
      <c r="C19840" s="38" t="s">
        <v>24338</v>
      </c>
      <c r="D19840" s="38" t="str">
        <f>IFERROR(__xludf.DUMMYFUNCTION("REGEXREPLACE(C19840,""-\d+(.*)|--\d+(.*)"","""")"),"SAINTE-BLANDINE")</f>
        <v>SAINTE-BLANDINE</v>
      </c>
      <c r="E19840" s="38" t="s">
        <v>337</v>
      </c>
      <c r="F19840" s="38" t="s">
        <v>338</v>
      </c>
      <c r="G19840" s="49" t="str">
        <f t="shared" si="1"/>
        <v>79370</v>
      </c>
      <c r="H19840" s="49">
        <f t="shared" si="2"/>
        <v>79240</v>
      </c>
    </row>
    <row r="19841">
      <c r="A19841" s="48" t="s">
        <v>1293</v>
      </c>
      <c r="B19841" s="38">
        <v>25529.0</v>
      </c>
      <c r="C19841" s="38" t="s">
        <v>24339</v>
      </c>
      <c r="D19841" s="38" t="str">
        <f>IFERROR(__xludf.DUMMYFUNCTION("REGEXREPLACE(C19841,""-\d+(.*)|--\d+(.*)"","""")"),"SANCEY-LE-GRAND")</f>
        <v>SANCEY-LE-GRAND</v>
      </c>
      <c r="E19841" s="38" t="s">
        <v>213</v>
      </c>
      <c r="F19841" s="38" t="s">
        <v>214</v>
      </c>
      <c r="G19841" s="49" t="str">
        <f t="shared" si="1"/>
        <v>25430</v>
      </c>
      <c r="H19841" s="49">
        <f t="shared" si="2"/>
        <v>25529</v>
      </c>
    </row>
    <row r="19842">
      <c r="A19842" s="48" t="s">
        <v>1605</v>
      </c>
      <c r="B19842" s="38">
        <v>17132.0</v>
      </c>
      <c r="C19842" s="38" t="s">
        <v>24340</v>
      </c>
      <c r="D19842" s="38" t="str">
        <f>IFERROR(__xludf.DUMMYFUNCTION("REGEXREPLACE(C19842,""-\d+(.*)|--\d+(.*)"","""")"),"CRAMCHABAN")</f>
        <v>CRAMCHABAN</v>
      </c>
      <c r="E19842" s="38" t="s">
        <v>488</v>
      </c>
      <c r="F19842" s="38" t="s">
        <v>338</v>
      </c>
      <c r="G19842" s="49" t="str">
        <f t="shared" si="1"/>
        <v>17170</v>
      </c>
      <c r="H19842" s="49">
        <f t="shared" si="2"/>
        <v>17132</v>
      </c>
    </row>
    <row r="19843">
      <c r="A19843" s="48" t="s">
        <v>2118</v>
      </c>
      <c r="B19843" s="38">
        <v>35198.0</v>
      </c>
      <c r="C19843" s="38" t="s">
        <v>22908</v>
      </c>
      <c r="D19843" s="38" t="str">
        <f>IFERROR(__xludf.DUMMYFUNCTION("REGEXREPLACE(C19843,""-\d+(.*)|--\d+(.*)"","""")"),"MOULINS")</f>
        <v>MOULINS</v>
      </c>
      <c r="E19843" s="38" t="s">
        <v>347</v>
      </c>
      <c r="F19843" s="38" t="s">
        <v>90</v>
      </c>
      <c r="G19843" s="49" t="str">
        <f t="shared" si="1"/>
        <v>35680</v>
      </c>
      <c r="H19843" s="49">
        <f t="shared" si="2"/>
        <v>35198</v>
      </c>
    </row>
    <row r="19844">
      <c r="A19844" s="48" t="s">
        <v>24341</v>
      </c>
      <c r="B19844" s="38">
        <v>67447.0</v>
      </c>
      <c r="C19844" s="38" t="s">
        <v>24342</v>
      </c>
      <c r="D19844" s="38" t="str">
        <f>IFERROR(__xludf.DUMMYFUNCTION("REGEXREPLACE(C19844,""-\d+(.*)|--\d+(.*)"","""")"),"SCHILTIGHEIM")</f>
        <v>SCHILTIGHEIM</v>
      </c>
      <c r="E19844" s="38" t="s">
        <v>210</v>
      </c>
      <c r="F19844" s="38" t="s">
        <v>151</v>
      </c>
      <c r="G19844" s="49" t="str">
        <f t="shared" si="1"/>
        <v>67300</v>
      </c>
      <c r="H19844" s="49">
        <f t="shared" si="2"/>
        <v>67447</v>
      </c>
    </row>
    <row r="19845">
      <c r="A19845" s="48" t="s">
        <v>942</v>
      </c>
      <c r="B19845" s="38">
        <v>2077.0</v>
      </c>
      <c r="C19845" s="38" t="s">
        <v>24343</v>
      </c>
      <c r="D19845" s="38" t="str">
        <f>IFERROR(__xludf.DUMMYFUNCTION("REGEXREPLACE(C19845,""-\d+(.*)|--\d+(.*)"","""")"),"BERZY-LE-SEC")</f>
        <v>BERZY-LE-SEC</v>
      </c>
      <c r="E19845" s="38" t="s">
        <v>191</v>
      </c>
      <c r="F19845" s="38" t="s">
        <v>113</v>
      </c>
      <c r="G19845" s="49" t="str">
        <f t="shared" si="1"/>
        <v>02200</v>
      </c>
      <c r="H19845" s="49" t="str">
        <f t="shared" si="2"/>
        <v>02077</v>
      </c>
    </row>
    <row r="19846">
      <c r="A19846" s="48" t="s">
        <v>649</v>
      </c>
      <c r="B19846" s="38">
        <v>24479.0</v>
      </c>
      <c r="C19846" s="38" t="s">
        <v>24344</v>
      </c>
      <c r="D19846" s="38" t="str">
        <f>IFERROR(__xludf.DUMMYFUNCTION("REGEXREPLACE(C19846,""-\d+(.*)|--\d+(.*)"","""")"),"SAINT-PARDOUX-LA-RIVIERE")</f>
        <v>SAINT-PARDOUX-LA-RIVIERE</v>
      </c>
      <c r="E19846" s="38" t="s">
        <v>261</v>
      </c>
      <c r="F19846" s="38" t="s">
        <v>252</v>
      </c>
      <c r="G19846" s="49" t="str">
        <f t="shared" si="1"/>
        <v>24470</v>
      </c>
      <c r="H19846" s="49">
        <f t="shared" si="2"/>
        <v>24479</v>
      </c>
    </row>
    <row r="19847">
      <c r="A19847" s="48" t="s">
        <v>922</v>
      </c>
      <c r="B19847" s="38">
        <v>76678.0</v>
      </c>
      <c r="C19847" s="38" t="s">
        <v>24345</v>
      </c>
      <c r="D19847" s="38" t="str">
        <f>IFERROR(__xludf.DUMMYFUNCTION("REGEXREPLACE(C19847,""-\d+(.*)|--\d+(.*)"","""")"),"SOMMERY")</f>
        <v>SOMMERY</v>
      </c>
      <c r="E19847" s="38" t="s">
        <v>133</v>
      </c>
      <c r="F19847" s="38" t="s">
        <v>134</v>
      </c>
      <c r="G19847" s="49" t="str">
        <f t="shared" si="1"/>
        <v>76440</v>
      </c>
      <c r="H19847" s="49">
        <f t="shared" si="2"/>
        <v>76678</v>
      </c>
    </row>
    <row r="19848">
      <c r="A19848" s="48" t="s">
        <v>645</v>
      </c>
      <c r="B19848" s="38">
        <v>57757.0</v>
      </c>
      <c r="C19848" s="38" t="s">
        <v>24346</v>
      </c>
      <c r="D19848" s="38" t="str">
        <f>IFERROR(__xludf.DUMMYFUNCTION("REGEXREPLACE(C19848,""-\d+(.*)|--\d+(.*)"","""")"),"YUTZ")</f>
        <v>YUTZ</v>
      </c>
      <c r="E19848" s="38" t="s">
        <v>303</v>
      </c>
      <c r="F19848" s="38" t="s">
        <v>195</v>
      </c>
      <c r="G19848" s="49" t="str">
        <f t="shared" si="1"/>
        <v>57970</v>
      </c>
      <c r="H19848" s="49">
        <f t="shared" si="2"/>
        <v>57757</v>
      </c>
    </row>
    <row r="19849">
      <c r="A19849" s="48" t="s">
        <v>597</v>
      </c>
      <c r="B19849" s="38">
        <v>31008.0</v>
      </c>
      <c r="C19849" s="38" t="s">
        <v>24347</v>
      </c>
      <c r="D19849" s="38" t="str">
        <f>IFERROR(__xludf.DUMMYFUNCTION("REGEXREPLACE(C19849,""-\d+(.*)|--\d+(.*)"","""")"),"ANAN")</f>
        <v>ANAN</v>
      </c>
      <c r="E19849" s="38" t="s">
        <v>93</v>
      </c>
      <c r="F19849" s="38" t="s">
        <v>94</v>
      </c>
      <c r="G19849" s="49" t="str">
        <f t="shared" si="1"/>
        <v>31230</v>
      </c>
      <c r="H19849" s="49">
        <f t="shared" si="2"/>
        <v>31008</v>
      </c>
    </row>
    <row r="19850">
      <c r="A19850" s="48" t="s">
        <v>2400</v>
      </c>
      <c r="B19850" s="38">
        <v>25472.0</v>
      </c>
      <c r="C19850" s="38" t="s">
        <v>24348</v>
      </c>
      <c r="D19850" s="38" t="str">
        <f>IFERROR(__xludf.DUMMYFUNCTION("REGEXREPLACE(C19850,""-\d+(.*)|--\d+(.*)"","""")"),"PUESSANS")</f>
        <v>PUESSANS</v>
      </c>
      <c r="E19850" s="38" t="s">
        <v>213</v>
      </c>
      <c r="F19850" s="38" t="s">
        <v>214</v>
      </c>
      <c r="G19850" s="49" t="str">
        <f t="shared" si="1"/>
        <v>25680</v>
      </c>
      <c r="H19850" s="49">
        <f t="shared" si="2"/>
        <v>25472</v>
      </c>
    </row>
    <row r="19851">
      <c r="A19851" s="48" t="s">
        <v>333</v>
      </c>
      <c r="B19851" s="38">
        <v>43232.0</v>
      </c>
      <c r="C19851" s="38" t="s">
        <v>24349</v>
      </c>
      <c r="D19851" s="38" t="str">
        <f>IFERROR(__xludf.DUMMYFUNCTION("REGEXREPLACE(C19851,""-\d+(.*)|--\d+(.*)"","""")"),"SALZUIT")</f>
        <v>SALZUIT</v>
      </c>
      <c r="E19851" s="38" t="s">
        <v>332</v>
      </c>
      <c r="F19851" s="38" t="s">
        <v>161</v>
      </c>
      <c r="G19851" s="49" t="str">
        <f t="shared" si="1"/>
        <v>43230</v>
      </c>
      <c r="H19851" s="49">
        <f t="shared" si="2"/>
        <v>43232</v>
      </c>
    </row>
    <row r="19852">
      <c r="A19852" s="48" t="s">
        <v>1562</v>
      </c>
      <c r="B19852" s="38">
        <v>24462.0</v>
      </c>
      <c r="C19852" s="38" t="s">
        <v>24350</v>
      </c>
      <c r="D19852" s="38" t="str">
        <f>IFERROR(__xludf.DUMMYFUNCTION("REGEXREPLACE(C19852,""-\d+(.*)|--\d+(.*)"","""")"),"SAINT-MEDARD-DE-MUSSIDAN")</f>
        <v>SAINT-MEDARD-DE-MUSSIDAN</v>
      </c>
      <c r="E19852" s="38" t="s">
        <v>261</v>
      </c>
      <c r="F19852" s="38" t="s">
        <v>252</v>
      </c>
      <c r="G19852" s="49" t="str">
        <f t="shared" si="1"/>
        <v>24400</v>
      </c>
      <c r="H19852" s="49">
        <f t="shared" si="2"/>
        <v>24462</v>
      </c>
    </row>
    <row r="19853">
      <c r="A19853" s="48" t="s">
        <v>10987</v>
      </c>
      <c r="B19853" s="38">
        <v>31077.0</v>
      </c>
      <c r="C19853" s="38" t="s">
        <v>24351</v>
      </c>
      <c r="D19853" s="38" t="str">
        <f>IFERROR(__xludf.DUMMYFUNCTION("REGEXREPLACE(C19853,""-\d+(.*)|--\d+(.*)"","""")"),"LE BORN")</f>
        <v>LE BORN</v>
      </c>
      <c r="E19853" s="38" t="s">
        <v>93</v>
      </c>
      <c r="F19853" s="38" t="s">
        <v>94</v>
      </c>
      <c r="G19853" s="49" t="str">
        <f t="shared" si="1"/>
        <v>31340</v>
      </c>
      <c r="H19853" s="49">
        <f t="shared" si="2"/>
        <v>31077</v>
      </c>
    </row>
    <row r="19854">
      <c r="A19854" s="48" t="s">
        <v>3988</v>
      </c>
      <c r="B19854" s="38">
        <v>51030.0</v>
      </c>
      <c r="C19854" s="38" t="s">
        <v>24352</v>
      </c>
      <c r="D19854" s="38" t="str">
        <f>IFERROR(__xludf.DUMMYFUNCTION("REGEXREPLACE(C19854,""-\d+(.*)|--\d+(.*)"","""")"),"AY")</f>
        <v>AY</v>
      </c>
      <c r="E19854" s="38" t="s">
        <v>129</v>
      </c>
      <c r="F19854" s="38" t="s">
        <v>130</v>
      </c>
      <c r="G19854" s="49" t="str">
        <f t="shared" si="1"/>
        <v>51160</v>
      </c>
      <c r="H19854" s="49">
        <f t="shared" si="2"/>
        <v>51030</v>
      </c>
    </row>
    <row r="19855">
      <c r="A19855" s="48" t="s">
        <v>4626</v>
      </c>
      <c r="B19855" s="38">
        <v>16273.0</v>
      </c>
      <c r="C19855" s="38" t="s">
        <v>24353</v>
      </c>
      <c r="D19855" s="38" t="str">
        <f>IFERROR(__xludf.DUMMYFUNCTION("REGEXREPLACE(C19855,""-\d+(.*)|--\d+(.*)"","""")"),"RAIX")</f>
        <v>RAIX</v>
      </c>
      <c r="E19855" s="38" t="s">
        <v>429</v>
      </c>
      <c r="F19855" s="38" t="s">
        <v>338</v>
      </c>
      <c r="G19855" s="49" t="str">
        <f t="shared" si="1"/>
        <v>16240</v>
      </c>
      <c r="H19855" s="49">
        <f t="shared" si="2"/>
        <v>16273</v>
      </c>
    </row>
    <row r="19856">
      <c r="A19856" s="48" t="s">
        <v>1487</v>
      </c>
      <c r="B19856" s="38">
        <v>37189.0</v>
      </c>
      <c r="C19856" s="38" t="s">
        <v>24354</v>
      </c>
      <c r="D19856" s="38" t="str">
        <f>IFERROR(__xludf.DUMMYFUNCTION("REGEXREPLACE(C19856,""-\d+(.*)|--\d+(.*)"","""")"),"PREUILLY-SUR-CLAISE")</f>
        <v>PREUILLY-SUR-CLAISE</v>
      </c>
      <c r="E19856" s="38" t="s">
        <v>205</v>
      </c>
      <c r="F19856" s="38" t="s">
        <v>123</v>
      </c>
      <c r="G19856" s="49" t="str">
        <f t="shared" si="1"/>
        <v>37290</v>
      </c>
      <c r="H19856" s="49">
        <f t="shared" si="2"/>
        <v>37189</v>
      </c>
    </row>
    <row r="19857">
      <c r="A19857" s="48" t="s">
        <v>1493</v>
      </c>
      <c r="B19857" s="38">
        <v>58143.0</v>
      </c>
      <c r="C19857" s="38" t="s">
        <v>24355</v>
      </c>
      <c r="D19857" s="38" t="str">
        <f>IFERROR(__xludf.DUMMYFUNCTION("REGEXREPLACE(C19857,""-\d+(.*)|--\d+(.*)"","""")"),"LIMON")</f>
        <v>LIMON</v>
      </c>
      <c r="E19857" s="38" t="s">
        <v>219</v>
      </c>
      <c r="F19857" s="38" t="s">
        <v>106</v>
      </c>
      <c r="G19857" s="49" t="str">
        <f t="shared" si="1"/>
        <v>58270</v>
      </c>
      <c r="H19857" s="49">
        <f t="shared" si="2"/>
        <v>58143</v>
      </c>
    </row>
    <row r="19858">
      <c r="A19858" s="48" t="s">
        <v>14734</v>
      </c>
      <c r="B19858" s="38">
        <v>4158.0</v>
      </c>
      <c r="C19858" s="38" t="s">
        <v>24356</v>
      </c>
      <c r="D19858" s="38" t="str">
        <f>IFERROR(__xludf.DUMMYFUNCTION("REGEXREPLACE(C19858,""-\d+(.*)|--\d+(.*)"","""")"),"QUINSON")</f>
        <v>QUINSON</v>
      </c>
      <c r="E19858" s="38" t="s">
        <v>662</v>
      </c>
      <c r="F19858" s="38" t="s">
        <v>228</v>
      </c>
      <c r="G19858" s="49" t="str">
        <f t="shared" si="1"/>
        <v>04500</v>
      </c>
      <c r="H19858" s="49" t="str">
        <f t="shared" si="2"/>
        <v>04158</v>
      </c>
    </row>
    <row r="19859">
      <c r="A19859" s="48" t="s">
        <v>3896</v>
      </c>
      <c r="B19859" s="38">
        <v>13072.0</v>
      </c>
      <c r="C19859" s="38" t="s">
        <v>24357</v>
      </c>
      <c r="D19859" s="38" t="str">
        <f>IFERROR(__xludf.DUMMYFUNCTION("REGEXREPLACE(C19859,""-\d+(.*)|--\d+(.*)"","""")"),"PEYNIER")</f>
        <v>PEYNIER</v>
      </c>
      <c r="E19859" s="38" t="s">
        <v>980</v>
      </c>
      <c r="F19859" s="38" t="s">
        <v>228</v>
      </c>
      <c r="G19859" s="49" t="str">
        <f t="shared" si="1"/>
        <v>13790</v>
      </c>
      <c r="H19859" s="49">
        <f t="shared" si="2"/>
        <v>13072</v>
      </c>
    </row>
    <row r="19860">
      <c r="A19860" s="48" t="s">
        <v>20734</v>
      </c>
      <c r="B19860" s="38">
        <v>48075.0</v>
      </c>
      <c r="C19860" s="38" t="s">
        <v>24358</v>
      </c>
      <c r="D19860" s="38" t="str">
        <f>IFERROR(__xludf.DUMMYFUNCTION("REGEXREPLACE(C19860,""-\d+(.*)|--\d+(.*)"","""")"),"ISPAGNAC")</f>
        <v>ISPAGNAC</v>
      </c>
      <c r="E19860" s="38" t="s">
        <v>154</v>
      </c>
      <c r="F19860" s="38" t="s">
        <v>119</v>
      </c>
      <c r="G19860" s="49" t="str">
        <f t="shared" si="1"/>
        <v>48320</v>
      </c>
      <c r="H19860" s="49">
        <f t="shared" si="2"/>
        <v>48075</v>
      </c>
    </row>
    <row r="19861">
      <c r="A19861" s="48" t="s">
        <v>24359</v>
      </c>
      <c r="B19861" s="38">
        <v>33267.0</v>
      </c>
      <c r="C19861" s="38" t="s">
        <v>24360</v>
      </c>
      <c r="D19861" s="38" t="str">
        <f>IFERROR(__xludf.DUMMYFUNCTION("REGEXREPLACE(C19861,""-\d+(.*)|--\d+(.*)"","""")"),"MARCILLAC")</f>
        <v>MARCILLAC</v>
      </c>
      <c r="E19861" s="38" t="s">
        <v>462</v>
      </c>
      <c r="F19861" s="38" t="s">
        <v>252</v>
      </c>
      <c r="G19861" s="49" t="str">
        <f t="shared" si="1"/>
        <v>33860</v>
      </c>
      <c r="H19861" s="49">
        <f t="shared" si="2"/>
        <v>33267</v>
      </c>
    </row>
    <row r="19862">
      <c r="A19862" s="48" t="s">
        <v>8831</v>
      </c>
      <c r="B19862" s="38">
        <v>15231.0</v>
      </c>
      <c r="C19862" s="38" t="s">
        <v>24361</v>
      </c>
      <c r="D19862" s="38" t="str">
        <f>IFERROR(__xludf.DUMMYFUNCTION("REGEXREPLACE(C19862,""-\d+(.*)|--\d+(.*)"","""")"),"TALIZAT")</f>
        <v>TALIZAT</v>
      </c>
      <c r="E19862" s="38" t="s">
        <v>632</v>
      </c>
      <c r="F19862" s="38" t="s">
        <v>161</v>
      </c>
      <c r="G19862" s="49" t="str">
        <f t="shared" si="1"/>
        <v>15170</v>
      </c>
      <c r="H19862" s="49">
        <f t="shared" si="2"/>
        <v>15231</v>
      </c>
    </row>
    <row r="19863">
      <c r="A19863" s="48" t="s">
        <v>24362</v>
      </c>
      <c r="B19863" s="38">
        <v>2707.0</v>
      </c>
      <c r="C19863" s="38" t="s">
        <v>24363</v>
      </c>
      <c r="D19863" s="38" t="str">
        <f>IFERROR(__xludf.DUMMYFUNCTION("REGEXREPLACE(C19863,""-\d+(.*)|--\d+(.*)"","""")"),"SEPTVAUX")</f>
        <v>SEPTVAUX</v>
      </c>
      <c r="E19863" s="38" t="s">
        <v>191</v>
      </c>
      <c r="F19863" s="38" t="s">
        <v>113</v>
      </c>
      <c r="G19863" s="49" t="str">
        <f t="shared" si="1"/>
        <v>02410</v>
      </c>
      <c r="H19863" s="49" t="str">
        <f t="shared" si="2"/>
        <v>02707</v>
      </c>
    </row>
    <row r="19864">
      <c r="A19864" s="48" t="s">
        <v>1074</v>
      </c>
      <c r="B19864" s="38">
        <v>27503.0</v>
      </c>
      <c r="C19864" s="38" t="s">
        <v>24364</v>
      </c>
      <c r="D19864" s="38" t="str">
        <f>IFERROR(__xludf.DUMMYFUNCTION("REGEXREPLACE(C19864,""-\d+(.*)|--\d+(.*)"","""")"),"LE SACQ")</f>
        <v>LE SACQ</v>
      </c>
      <c r="E19864" s="38" t="s">
        <v>241</v>
      </c>
      <c r="F19864" s="38" t="s">
        <v>134</v>
      </c>
      <c r="G19864" s="49" t="str">
        <f t="shared" si="1"/>
        <v>27240</v>
      </c>
      <c r="H19864" s="49">
        <f t="shared" si="2"/>
        <v>27503</v>
      </c>
    </row>
    <row r="19865">
      <c r="A19865" s="48" t="s">
        <v>3315</v>
      </c>
      <c r="B19865" s="38">
        <v>12109.0</v>
      </c>
      <c r="C19865" s="38" t="s">
        <v>24365</v>
      </c>
      <c r="D19865" s="38" t="str">
        <f>IFERROR(__xludf.DUMMYFUNCTION("REGEXREPLACE(C19865,""-\d+(.*)|--\d+(.*)"","""")"),"GISSAC")</f>
        <v>GISSAC</v>
      </c>
      <c r="E19865" s="38" t="s">
        <v>465</v>
      </c>
      <c r="F19865" s="38" t="s">
        <v>94</v>
      </c>
      <c r="G19865" s="49" t="str">
        <f t="shared" si="1"/>
        <v>12360</v>
      </c>
      <c r="H19865" s="49">
        <f t="shared" si="2"/>
        <v>12109</v>
      </c>
    </row>
    <row r="19866">
      <c r="A19866" s="48" t="s">
        <v>8671</v>
      </c>
      <c r="B19866" s="38">
        <v>87084.0</v>
      </c>
      <c r="C19866" s="38" t="s">
        <v>24366</v>
      </c>
      <c r="D19866" s="38" t="str">
        <f>IFERROR(__xludf.DUMMYFUNCTION("REGEXREPLACE(C19866,""-\d+(.*)|--\d+(.*)"","""")"),"LAVIGNAC")</f>
        <v>LAVIGNAC</v>
      </c>
      <c r="E19866" s="38" t="s">
        <v>897</v>
      </c>
      <c r="F19866" s="38" t="s">
        <v>98</v>
      </c>
      <c r="G19866" s="49" t="str">
        <f t="shared" si="1"/>
        <v>87230</v>
      </c>
      <c r="H19866" s="49">
        <f t="shared" si="2"/>
        <v>87084</v>
      </c>
    </row>
    <row r="19867">
      <c r="A19867" s="48" t="s">
        <v>1424</v>
      </c>
      <c r="B19867" s="38">
        <v>86034.0</v>
      </c>
      <c r="C19867" s="38" t="s">
        <v>24367</v>
      </c>
      <c r="D19867" s="38" t="str">
        <f>IFERROR(__xludf.DUMMYFUNCTION("REGEXREPLACE(C19867,""-\d+(.*)|--\d+(.*)"","""")"),"BOURESSE")</f>
        <v>BOURESSE</v>
      </c>
      <c r="E19867" s="38" t="s">
        <v>529</v>
      </c>
      <c r="F19867" s="38" t="s">
        <v>338</v>
      </c>
      <c r="G19867" s="49" t="str">
        <f t="shared" si="1"/>
        <v>86410</v>
      </c>
      <c r="H19867" s="49">
        <f t="shared" si="2"/>
        <v>86034</v>
      </c>
    </row>
    <row r="19868">
      <c r="A19868" s="48" t="s">
        <v>5241</v>
      </c>
      <c r="B19868" s="38">
        <v>36201.0</v>
      </c>
      <c r="C19868" s="38" t="s">
        <v>24368</v>
      </c>
      <c r="D19868" s="38" t="str">
        <f>IFERROR(__xludf.DUMMYFUNCTION("REGEXREPLACE(C19868,""-\d+(.*)|--\d+(.*)"","""")"),"SAINT-MARTIN-DE-LAMPS")</f>
        <v>SAINT-MARTIN-DE-LAMPS</v>
      </c>
      <c r="E19868" s="38" t="s">
        <v>258</v>
      </c>
      <c r="F19868" s="38" t="s">
        <v>123</v>
      </c>
      <c r="G19868" s="49" t="str">
        <f t="shared" si="1"/>
        <v>36110</v>
      </c>
      <c r="H19868" s="49">
        <f t="shared" si="2"/>
        <v>36201</v>
      </c>
    </row>
    <row r="19869">
      <c r="A19869" s="48" t="s">
        <v>5866</v>
      </c>
      <c r="B19869" s="38">
        <v>33194.0</v>
      </c>
      <c r="C19869" s="38" t="s">
        <v>24369</v>
      </c>
      <c r="D19869" s="38" t="str">
        <f>IFERROR(__xludf.DUMMYFUNCTION("REGEXREPLACE(C19869,""-\d+(.*)|--\d+(.*)"","""")"),"GREZILLAC")</f>
        <v>GREZILLAC</v>
      </c>
      <c r="E19869" s="38" t="s">
        <v>462</v>
      </c>
      <c r="F19869" s="38" t="s">
        <v>252</v>
      </c>
      <c r="G19869" s="49" t="str">
        <f t="shared" si="1"/>
        <v>33420</v>
      </c>
      <c r="H19869" s="49">
        <f t="shared" si="2"/>
        <v>33194</v>
      </c>
    </row>
    <row r="19870">
      <c r="A19870" s="48" t="s">
        <v>8120</v>
      </c>
      <c r="B19870" s="38">
        <v>61470.0</v>
      </c>
      <c r="C19870" s="38" t="s">
        <v>24370</v>
      </c>
      <c r="D19870" s="38" t="str">
        <f>IFERROR(__xludf.DUMMYFUNCTION("REGEXREPLACE(C19870,""-\d+(.*)|--\d+(.*)"","""")"),"SERANS")</f>
        <v>SERANS</v>
      </c>
      <c r="E19870" s="38" t="s">
        <v>141</v>
      </c>
      <c r="F19870" s="38" t="s">
        <v>138</v>
      </c>
      <c r="G19870" s="49" t="str">
        <f t="shared" si="1"/>
        <v>61150</v>
      </c>
      <c r="H19870" s="49">
        <f t="shared" si="2"/>
        <v>61470</v>
      </c>
    </row>
    <row r="19871">
      <c r="A19871" s="48" t="s">
        <v>16993</v>
      </c>
      <c r="B19871" s="38">
        <v>59223.0</v>
      </c>
      <c r="C19871" s="38" t="s">
        <v>15763</v>
      </c>
      <c r="D19871" s="38" t="str">
        <f>IFERROR(__xludf.DUMMYFUNCTION("REGEXREPLACE(C19871,""-\d+(.*)|--\d+(.*)"","""")"),"LE FAVRIL")</f>
        <v>LE FAVRIL</v>
      </c>
      <c r="E19871" s="38" t="s">
        <v>85</v>
      </c>
      <c r="F19871" s="38" t="s">
        <v>86</v>
      </c>
      <c r="G19871" s="49" t="str">
        <f t="shared" si="1"/>
        <v>59550</v>
      </c>
      <c r="H19871" s="49">
        <f t="shared" si="2"/>
        <v>59223</v>
      </c>
    </row>
    <row r="19872">
      <c r="A19872" s="48" t="s">
        <v>18847</v>
      </c>
      <c r="B19872" s="38">
        <v>56147.0</v>
      </c>
      <c r="C19872" s="38" t="s">
        <v>24371</v>
      </c>
      <c r="D19872" s="38" t="str">
        <f>IFERROR(__xludf.DUMMYFUNCTION("REGEXREPLACE(C19872,""-\d+(.*)|--\d+(.*)"","""")"),"NIVILLAC")</f>
        <v>NIVILLAC</v>
      </c>
      <c r="E19872" s="38" t="s">
        <v>173</v>
      </c>
      <c r="F19872" s="38" t="s">
        <v>90</v>
      </c>
      <c r="G19872" s="49" t="str">
        <f t="shared" si="1"/>
        <v>56130</v>
      </c>
      <c r="H19872" s="49">
        <f t="shared" si="2"/>
        <v>56147</v>
      </c>
    </row>
    <row r="19873">
      <c r="A19873" s="48" t="s">
        <v>3165</v>
      </c>
      <c r="B19873" s="38">
        <v>11315.0</v>
      </c>
      <c r="C19873" s="38" t="s">
        <v>24372</v>
      </c>
      <c r="D19873" s="38" t="str">
        <f>IFERROR(__xludf.DUMMYFUNCTION("REGEXREPLACE(C19873,""-\d+(.*)|--\d+(.*)"","""")"),"RIEUX-MINERVOIS")</f>
        <v>RIEUX-MINERVOIS</v>
      </c>
      <c r="E19873" s="38" t="s">
        <v>278</v>
      </c>
      <c r="F19873" s="38" t="s">
        <v>119</v>
      </c>
      <c r="G19873" s="49" t="str">
        <f t="shared" si="1"/>
        <v>11160</v>
      </c>
      <c r="H19873" s="49">
        <f t="shared" si="2"/>
        <v>11315</v>
      </c>
    </row>
    <row r="19874">
      <c r="A19874" s="48" t="s">
        <v>24373</v>
      </c>
      <c r="B19874" s="38">
        <v>13063.0</v>
      </c>
      <c r="C19874" s="38" t="s">
        <v>24374</v>
      </c>
      <c r="D19874" s="38" t="str">
        <f>IFERROR(__xludf.DUMMYFUNCTION("REGEXREPLACE(C19874,""-\d+(.*)|--\d+(.*)"","""")"),"MIRAMAS")</f>
        <v>MIRAMAS</v>
      </c>
      <c r="E19874" s="38" t="s">
        <v>980</v>
      </c>
      <c r="F19874" s="38" t="s">
        <v>228</v>
      </c>
      <c r="G19874" s="49" t="str">
        <f t="shared" si="1"/>
        <v>13140</v>
      </c>
      <c r="H19874" s="49">
        <f t="shared" si="2"/>
        <v>13063</v>
      </c>
    </row>
    <row r="19875">
      <c r="A19875" s="48" t="s">
        <v>18526</v>
      </c>
      <c r="B19875" s="38">
        <v>16336.0</v>
      </c>
      <c r="C19875" s="38" t="s">
        <v>24375</v>
      </c>
      <c r="D19875" s="38" t="str">
        <f>IFERROR(__xludf.DUMMYFUNCTION("REGEXREPLACE(C19875,""-\d+(.*)|--\d+(.*)"","""")"),"SAINT-MARY")</f>
        <v>SAINT-MARY</v>
      </c>
      <c r="E19875" s="38" t="s">
        <v>429</v>
      </c>
      <c r="F19875" s="38" t="s">
        <v>338</v>
      </c>
      <c r="G19875" s="49" t="str">
        <f t="shared" si="1"/>
        <v>16260</v>
      </c>
      <c r="H19875" s="49">
        <f t="shared" si="2"/>
        <v>16336</v>
      </c>
    </row>
    <row r="19876">
      <c r="A19876" s="48" t="s">
        <v>286</v>
      </c>
      <c r="B19876" s="38">
        <v>68197.0</v>
      </c>
      <c r="C19876" s="38" t="s">
        <v>24376</v>
      </c>
      <c r="D19876" s="38" t="str">
        <f>IFERROR(__xludf.DUMMYFUNCTION("REGEXREPLACE(C19876,""-\d+(.*)|--\d+(.*)"","""")"),"MAGSTATT-LE-BAS")</f>
        <v>MAGSTATT-LE-BAS</v>
      </c>
      <c r="E19876" s="38" t="s">
        <v>150</v>
      </c>
      <c r="F19876" s="38" t="s">
        <v>151</v>
      </c>
      <c r="G19876" s="49" t="str">
        <f t="shared" si="1"/>
        <v>68510</v>
      </c>
      <c r="H19876" s="49">
        <f t="shared" si="2"/>
        <v>68197</v>
      </c>
    </row>
    <row r="19877">
      <c r="A19877" s="48" t="s">
        <v>2493</v>
      </c>
      <c r="B19877" s="38">
        <v>25611.0</v>
      </c>
      <c r="C19877" s="38" t="s">
        <v>24377</v>
      </c>
      <c r="D19877" s="38" t="str">
        <f>IFERROR(__xludf.DUMMYFUNCTION("REGEXREPLACE(C19877,""-\d+(.*)|--\d+(.*)"","""")"),"LA VEZE")</f>
        <v>LA VEZE</v>
      </c>
      <c r="E19877" s="38" t="s">
        <v>213</v>
      </c>
      <c r="F19877" s="38" t="s">
        <v>214</v>
      </c>
      <c r="G19877" s="49" t="str">
        <f t="shared" si="1"/>
        <v>25660</v>
      </c>
      <c r="H19877" s="49">
        <f t="shared" si="2"/>
        <v>25611</v>
      </c>
    </row>
    <row r="19878">
      <c r="A19878" s="48" t="s">
        <v>342</v>
      </c>
      <c r="B19878" s="38">
        <v>71360.0</v>
      </c>
      <c r="C19878" s="38" t="s">
        <v>24378</v>
      </c>
      <c r="D19878" s="38" t="str">
        <f>IFERROR(__xludf.DUMMYFUNCTION("REGEXREPLACE(C19878,""-\d+(.*)|--\d+(.*)"","""")"),"PRISSE")</f>
        <v>PRISSE</v>
      </c>
      <c r="E19878" s="38" t="s">
        <v>344</v>
      </c>
      <c r="F19878" s="38" t="s">
        <v>106</v>
      </c>
      <c r="G19878" s="49" t="str">
        <f t="shared" si="1"/>
        <v>71960</v>
      </c>
      <c r="H19878" s="49">
        <f t="shared" si="2"/>
        <v>71360</v>
      </c>
    </row>
    <row r="19879">
      <c r="A19879" s="48" t="s">
        <v>8698</v>
      </c>
      <c r="B19879" s="38">
        <v>11107.0</v>
      </c>
      <c r="C19879" s="38" t="s">
        <v>24379</v>
      </c>
      <c r="D19879" s="38" t="str">
        <f>IFERROR(__xludf.DUMMYFUNCTION("REGEXREPLACE(C19879,""-\d+(.*)|--\d+(.*)"","""")"),"COURTAULY")</f>
        <v>COURTAULY</v>
      </c>
      <c r="E19879" s="38" t="s">
        <v>278</v>
      </c>
      <c r="F19879" s="38" t="s">
        <v>119</v>
      </c>
      <c r="G19879" s="49" t="str">
        <f t="shared" si="1"/>
        <v>11230</v>
      </c>
      <c r="H19879" s="49">
        <f t="shared" si="2"/>
        <v>11107</v>
      </c>
    </row>
    <row r="19880">
      <c r="A19880" s="48" t="s">
        <v>22242</v>
      </c>
      <c r="B19880" s="38">
        <v>63061.0</v>
      </c>
      <c r="C19880" s="38" t="s">
        <v>24380</v>
      </c>
      <c r="D19880" s="38" t="str">
        <f>IFERROR(__xludf.DUMMYFUNCTION("REGEXREPLACE(C19880,""-\d+(.*)|--\d+(.*)"","""")"),"BUSSIERES-ET-PRUNS")</f>
        <v>BUSSIERES-ET-PRUNS</v>
      </c>
      <c r="E19880" s="38" t="s">
        <v>353</v>
      </c>
      <c r="F19880" s="38" t="s">
        <v>161</v>
      </c>
      <c r="G19880" s="49" t="str">
        <f t="shared" si="1"/>
        <v>63260</v>
      </c>
      <c r="H19880" s="49">
        <f t="shared" si="2"/>
        <v>63061</v>
      </c>
    </row>
    <row r="19881">
      <c r="A19881" s="48" t="s">
        <v>17192</v>
      </c>
      <c r="B19881" s="38">
        <v>35266.0</v>
      </c>
      <c r="C19881" s="38" t="s">
        <v>24381</v>
      </c>
      <c r="D19881" s="38" t="str">
        <f>IFERROR(__xludf.DUMMYFUNCTION("REGEXREPLACE(C19881,""-\d+(.*)|--\d+(.*)"","""")"),"SAINT-ERBLON")</f>
        <v>SAINT-ERBLON</v>
      </c>
      <c r="E19881" s="38" t="s">
        <v>347</v>
      </c>
      <c r="F19881" s="38" t="s">
        <v>90</v>
      </c>
      <c r="G19881" s="49" t="str">
        <f t="shared" si="1"/>
        <v>35230</v>
      </c>
      <c r="H19881" s="49">
        <f t="shared" si="2"/>
        <v>35266</v>
      </c>
    </row>
    <row r="19882">
      <c r="A19882" s="48" t="s">
        <v>6965</v>
      </c>
      <c r="B19882" s="38">
        <v>2010.0</v>
      </c>
      <c r="C19882" s="38" t="s">
        <v>20334</v>
      </c>
      <c r="D19882" s="38" t="str">
        <f>IFERROR(__xludf.DUMMYFUNCTION("REGEXREPLACE(C19882,""-\d+(.*)|--\d+(.*)"","""")"),"ALLEMANT")</f>
        <v>ALLEMANT</v>
      </c>
      <c r="E19882" s="38" t="s">
        <v>191</v>
      </c>
      <c r="F19882" s="38" t="s">
        <v>113</v>
      </c>
      <c r="G19882" s="49" t="str">
        <f t="shared" si="1"/>
        <v>02320</v>
      </c>
      <c r="H19882" s="49" t="str">
        <f t="shared" si="2"/>
        <v>02010</v>
      </c>
    </row>
    <row r="19883">
      <c r="A19883" s="48" t="s">
        <v>1754</v>
      </c>
      <c r="B19883" s="38">
        <v>14330.0</v>
      </c>
      <c r="C19883" s="38" t="s">
        <v>24382</v>
      </c>
      <c r="D19883" s="38" t="str">
        <f>IFERROR(__xludf.DUMMYFUNCTION("REGEXREPLACE(C19883,""-\d+(.*)|--\d+(.*)"","""")"),"HEURTEVENT")</f>
        <v>HEURTEVENT</v>
      </c>
      <c r="E19883" s="38" t="s">
        <v>137</v>
      </c>
      <c r="F19883" s="38" t="s">
        <v>138</v>
      </c>
      <c r="G19883" s="49" t="str">
        <f t="shared" si="1"/>
        <v>14140</v>
      </c>
      <c r="H19883" s="49">
        <f t="shared" si="2"/>
        <v>14330</v>
      </c>
    </row>
    <row r="19884">
      <c r="A19884" s="48" t="s">
        <v>7712</v>
      </c>
      <c r="B19884" s="38">
        <v>9293.0</v>
      </c>
      <c r="C19884" s="38" t="s">
        <v>24383</v>
      </c>
      <c r="D19884" s="38" t="str">
        <f>IFERROR(__xludf.DUMMYFUNCTION("REGEXREPLACE(C19884,""-\d+(.*)|--\d+(.*)"","""")"),"SERRES-SUR-ARGET")</f>
        <v>SERRES-SUR-ARGET</v>
      </c>
      <c r="E19884" s="38" t="s">
        <v>238</v>
      </c>
      <c r="F19884" s="38" t="s">
        <v>94</v>
      </c>
      <c r="G19884" s="49" t="str">
        <f t="shared" si="1"/>
        <v>09000</v>
      </c>
      <c r="H19884" s="49" t="str">
        <f t="shared" si="2"/>
        <v>09293</v>
      </c>
    </row>
    <row r="19885">
      <c r="A19885" s="48" t="s">
        <v>18025</v>
      </c>
      <c r="B19885" s="38">
        <v>82028.0</v>
      </c>
      <c r="C19885" s="38" t="s">
        <v>24384</v>
      </c>
      <c r="D19885" s="38" t="str">
        <f>IFERROR(__xludf.DUMMYFUNCTION("REGEXREPLACE(C19885,""-\d+(.*)|--\d+(.*)"","""")"),"CANALS")</f>
        <v>CANALS</v>
      </c>
      <c r="E19885" s="38" t="s">
        <v>570</v>
      </c>
      <c r="F19885" s="38" t="s">
        <v>94</v>
      </c>
      <c r="G19885" s="49" t="str">
        <f t="shared" si="1"/>
        <v>82170</v>
      </c>
      <c r="H19885" s="49">
        <f t="shared" si="2"/>
        <v>82028</v>
      </c>
    </row>
    <row r="19886">
      <c r="A19886" s="48" t="s">
        <v>24385</v>
      </c>
      <c r="B19886" s="38">
        <v>57488.0</v>
      </c>
      <c r="C19886" s="38" t="s">
        <v>7908</v>
      </c>
      <c r="D19886" s="38" t="str">
        <f>IFERROR(__xludf.DUMMYFUNCTION("REGEXREPLACE(C19886,""-\d+(.*)|--\d+(.*)"","""")"),"MOUSSEY")</f>
        <v>MOUSSEY</v>
      </c>
      <c r="E19886" s="38" t="s">
        <v>303</v>
      </c>
      <c r="F19886" s="38" t="s">
        <v>195</v>
      </c>
      <c r="G19886" s="49" t="str">
        <f t="shared" si="1"/>
        <v>57770</v>
      </c>
      <c r="H19886" s="49">
        <f t="shared" si="2"/>
        <v>57488</v>
      </c>
    </row>
    <row r="19887">
      <c r="A19887" s="48" t="s">
        <v>8267</v>
      </c>
      <c r="B19887" s="38">
        <v>22108.0</v>
      </c>
      <c r="C19887" s="38" t="s">
        <v>24386</v>
      </c>
      <c r="D19887" s="38" t="str">
        <f>IFERROR(__xludf.DUMMYFUNCTION("REGEXREPLACE(C19887,""-\d+(.*)|--\d+(.*)"","""")"),"LANLEFF")</f>
        <v>LANLEFF</v>
      </c>
      <c r="E19887" s="38" t="s">
        <v>89</v>
      </c>
      <c r="F19887" s="38" t="s">
        <v>90</v>
      </c>
      <c r="G19887" s="49" t="str">
        <f t="shared" si="1"/>
        <v>22290</v>
      </c>
      <c r="H19887" s="49">
        <f t="shared" si="2"/>
        <v>22108</v>
      </c>
    </row>
    <row r="19888">
      <c r="A19888" s="48" t="s">
        <v>4526</v>
      </c>
      <c r="B19888" s="38">
        <v>23218.0</v>
      </c>
      <c r="C19888" s="38" t="s">
        <v>24387</v>
      </c>
      <c r="D19888" s="38" t="str">
        <f>IFERROR(__xludf.DUMMYFUNCTION("REGEXREPLACE(C19888,""-\d+(.*)|--\d+(.*)"","""")"),"SAINT-MAURICE-PRES-CROCQ")</f>
        <v>SAINT-MAURICE-PRES-CROCQ</v>
      </c>
      <c r="E19888" s="38" t="s">
        <v>97</v>
      </c>
      <c r="F19888" s="38" t="s">
        <v>98</v>
      </c>
      <c r="G19888" s="49" t="str">
        <f t="shared" si="1"/>
        <v>23260</v>
      </c>
      <c r="H19888" s="49">
        <f t="shared" si="2"/>
        <v>23218</v>
      </c>
    </row>
    <row r="19889">
      <c r="A19889" s="48" t="s">
        <v>1060</v>
      </c>
      <c r="B19889" s="38">
        <v>57277.0</v>
      </c>
      <c r="C19889" s="38" t="s">
        <v>24388</v>
      </c>
      <c r="D19889" s="38" t="str">
        <f>IFERROR(__xludf.DUMMYFUNCTION("REGEXREPLACE(C19889,""-\d+(.*)|--\d+(.*)"","""")"),"GUINKIRCHEN")</f>
        <v>GUINKIRCHEN</v>
      </c>
      <c r="E19889" s="38" t="s">
        <v>303</v>
      </c>
      <c r="F19889" s="38" t="s">
        <v>195</v>
      </c>
      <c r="G19889" s="49" t="str">
        <f t="shared" si="1"/>
        <v>57220</v>
      </c>
      <c r="H19889" s="49">
        <f t="shared" si="2"/>
        <v>57277</v>
      </c>
    </row>
    <row r="19890">
      <c r="A19890" s="48" t="s">
        <v>2145</v>
      </c>
      <c r="B19890" s="38">
        <v>89147.0</v>
      </c>
      <c r="C19890" s="38" t="s">
        <v>24389</v>
      </c>
      <c r="D19890" s="38" t="str">
        <f>IFERROR(__xludf.DUMMYFUNCTION("REGEXREPLACE(C19890,""-\d+(.*)|--\d+(.*)"","""")"),"DRACY")</f>
        <v>DRACY</v>
      </c>
      <c r="E19890" s="38" t="s">
        <v>275</v>
      </c>
      <c r="F19890" s="38" t="s">
        <v>106</v>
      </c>
      <c r="G19890" s="49" t="str">
        <f t="shared" si="1"/>
        <v>89130</v>
      </c>
      <c r="H19890" s="49">
        <f t="shared" si="2"/>
        <v>89147</v>
      </c>
    </row>
    <row r="19891">
      <c r="A19891" s="48" t="s">
        <v>2083</v>
      </c>
      <c r="B19891" s="38">
        <v>17283.0</v>
      </c>
      <c r="C19891" s="38" t="s">
        <v>24390</v>
      </c>
      <c r="D19891" s="38" t="str">
        <f>IFERROR(__xludf.DUMMYFUNCTION("REGEXREPLACE(C19891,""-\d+(.*)|--\d+(.*)"","""")"),"PONS")</f>
        <v>PONS</v>
      </c>
      <c r="E19891" s="38" t="s">
        <v>488</v>
      </c>
      <c r="F19891" s="38" t="s">
        <v>338</v>
      </c>
      <c r="G19891" s="49" t="str">
        <f t="shared" si="1"/>
        <v>17800</v>
      </c>
      <c r="H19891" s="49">
        <f t="shared" si="2"/>
        <v>17283</v>
      </c>
    </row>
    <row r="19892">
      <c r="A19892" s="48" t="s">
        <v>4561</v>
      </c>
      <c r="B19892" s="38">
        <v>79310.0</v>
      </c>
      <c r="C19892" s="38" t="s">
        <v>24391</v>
      </c>
      <c r="D19892" s="38" t="str">
        <f>IFERROR(__xludf.DUMMYFUNCTION("REGEXREPLACE(C19892,""-\d+(.*)|--\d+(.*)"","""")"),"SECONDIGNE-SUR-BELLE")</f>
        <v>SECONDIGNE-SUR-BELLE</v>
      </c>
      <c r="E19892" s="38" t="s">
        <v>337</v>
      </c>
      <c r="F19892" s="38" t="s">
        <v>338</v>
      </c>
      <c r="G19892" s="49" t="str">
        <f t="shared" si="1"/>
        <v>79170</v>
      </c>
      <c r="H19892" s="49">
        <f t="shared" si="2"/>
        <v>79310</v>
      </c>
    </row>
    <row r="19893">
      <c r="A19893" s="48" t="s">
        <v>1477</v>
      </c>
      <c r="B19893" s="38">
        <v>61272.0</v>
      </c>
      <c r="C19893" s="38" t="s">
        <v>24392</v>
      </c>
      <c r="D19893" s="38" t="str">
        <f>IFERROR(__xludf.DUMMYFUNCTION("REGEXREPLACE(C19893,""-\d+(.*)|--\d+(.*)"","""")"),"LE MENIL-VICOMTE")</f>
        <v>LE MENIL-VICOMTE</v>
      </c>
      <c r="E19893" s="38" t="s">
        <v>141</v>
      </c>
      <c r="F19893" s="38" t="s">
        <v>138</v>
      </c>
      <c r="G19893" s="49" t="str">
        <f t="shared" si="1"/>
        <v>61240</v>
      </c>
      <c r="H19893" s="49">
        <f t="shared" si="2"/>
        <v>61272</v>
      </c>
    </row>
    <row r="19894">
      <c r="A19894" s="48" t="s">
        <v>9565</v>
      </c>
      <c r="B19894" s="38">
        <v>71577.0</v>
      </c>
      <c r="C19894" s="38" t="s">
        <v>24393</v>
      </c>
      <c r="D19894" s="38" t="str">
        <f>IFERROR(__xludf.DUMMYFUNCTION("REGEXREPLACE(C19894,""-\d+(.*)|--\d+(.*)"","""")"),"VILLEGAUDIN")</f>
        <v>VILLEGAUDIN</v>
      </c>
      <c r="E19894" s="38" t="s">
        <v>344</v>
      </c>
      <c r="F19894" s="38" t="s">
        <v>106</v>
      </c>
      <c r="G19894" s="49" t="str">
        <f t="shared" si="1"/>
        <v>71620</v>
      </c>
      <c r="H19894" s="49">
        <f t="shared" si="2"/>
        <v>71577</v>
      </c>
    </row>
    <row r="19895">
      <c r="A19895" s="48" t="s">
        <v>24394</v>
      </c>
      <c r="B19895" s="38">
        <v>12223.0</v>
      </c>
      <c r="C19895" s="38" t="s">
        <v>24395</v>
      </c>
      <c r="D19895" s="38" t="str">
        <f>IFERROR(__xludf.DUMMYFUNCTION("REGEXREPLACE(C19895,""-\d+(.*)|--\d+(.*)"","""")"),"SAINTE-GENEVIEVE-SUR-ARGENCE")</f>
        <v>SAINTE-GENEVIEVE-SUR-ARGENCE</v>
      </c>
      <c r="E19895" s="38" t="s">
        <v>465</v>
      </c>
      <c r="F19895" s="38" t="s">
        <v>94</v>
      </c>
      <c r="G19895" s="49" t="str">
        <f t="shared" si="1"/>
        <v>12420</v>
      </c>
      <c r="H19895" s="49">
        <f t="shared" si="2"/>
        <v>12223</v>
      </c>
    </row>
    <row r="19896">
      <c r="A19896" s="48" t="s">
        <v>2029</v>
      </c>
      <c r="B19896" s="38">
        <v>50636.0</v>
      </c>
      <c r="C19896" s="38" t="s">
        <v>24396</v>
      </c>
      <c r="D19896" s="38" t="str">
        <f>IFERROR(__xludf.DUMMYFUNCTION("REGEXREPLACE(C19896,""-\d+(.*)|--\d+(.*)"","""")"),"VIERVILLE")</f>
        <v>VIERVILLE</v>
      </c>
      <c r="E19896" s="38" t="s">
        <v>157</v>
      </c>
      <c r="F19896" s="38" t="s">
        <v>138</v>
      </c>
      <c r="G19896" s="49" t="str">
        <f t="shared" si="1"/>
        <v>50480</v>
      </c>
      <c r="H19896" s="49">
        <f t="shared" si="2"/>
        <v>50636</v>
      </c>
    </row>
    <row r="19897">
      <c r="A19897" s="48" t="s">
        <v>4581</v>
      </c>
      <c r="B19897" s="38">
        <v>79257.0</v>
      </c>
      <c r="C19897" s="38" t="s">
        <v>24397</v>
      </c>
      <c r="D19897" s="38" t="str">
        <f>IFERROR(__xludf.DUMMYFUNCTION("REGEXREPLACE(C19897,""-\d+(.*)|--\d+(.*)"","""")"),"SAINT-HILAIRE-LA-PALUD")</f>
        <v>SAINT-HILAIRE-LA-PALUD</v>
      </c>
      <c r="E19897" s="38" t="s">
        <v>337</v>
      </c>
      <c r="F19897" s="38" t="s">
        <v>338</v>
      </c>
      <c r="G19897" s="49" t="str">
        <f t="shared" si="1"/>
        <v>79210</v>
      </c>
      <c r="H19897" s="49">
        <f t="shared" si="2"/>
        <v>79257</v>
      </c>
    </row>
    <row r="19898">
      <c r="A19898" s="48" t="s">
        <v>2266</v>
      </c>
      <c r="B19898" s="38">
        <v>55237.0</v>
      </c>
      <c r="C19898" s="38" t="s">
        <v>24398</v>
      </c>
      <c r="D19898" s="38" t="str">
        <f>IFERROR(__xludf.DUMMYFUNCTION("REGEXREPLACE(C19898,""-\d+(.*)|--\d+(.*)"","""")"),"HAUDIOMONT")</f>
        <v>HAUDIOMONT</v>
      </c>
      <c r="E19898" s="38" t="s">
        <v>322</v>
      </c>
      <c r="F19898" s="38" t="s">
        <v>195</v>
      </c>
      <c r="G19898" s="49" t="str">
        <f t="shared" si="1"/>
        <v>55160</v>
      </c>
      <c r="H19898" s="49">
        <f t="shared" si="2"/>
        <v>55237</v>
      </c>
    </row>
    <row r="19899">
      <c r="A19899" s="48" t="s">
        <v>3978</v>
      </c>
      <c r="B19899" s="38">
        <v>21018.0</v>
      </c>
      <c r="C19899" s="38" t="s">
        <v>24399</v>
      </c>
      <c r="D19899" s="38" t="str">
        <f>IFERROR(__xludf.DUMMYFUNCTION("REGEXREPLACE(C19899,""-\d+(.*)|--\d+(.*)"","""")"),"ARCEY")</f>
        <v>ARCEY</v>
      </c>
      <c r="E19899" s="38" t="s">
        <v>105</v>
      </c>
      <c r="F19899" s="38" t="s">
        <v>106</v>
      </c>
      <c r="G19899" s="49" t="str">
        <f t="shared" si="1"/>
        <v>21410</v>
      </c>
      <c r="H19899" s="49">
        <f t="shared" si="2"/>
        <v>21018</v>
      </c>
    </row>
    <row r="19900">
      <c r="A19900" s="48" t="s">
        <v>3446</v>
      </c>
      <c r="B19900" s="38">
        <v>21531.0</v>
      </c>
      <c r="C19900" s="38" t="s">
        <v>19648</v>
      </c>
      <c r="D19900" s="38" t="str">
        <f>IFERROR(__xludf.DUMMYFUNCTION("REGEXREPLACE(C19900,""-\d+(.*)|--\d+(.*)"","""")"),"ROUVRAY")</f>
        <v>ROUVRAY</v>
      </c>
      <c r="E19900" s="38" t="s">
        <v>105</v>
      </c>
      <c r="F19900" s="38" t="s">
        <v>106</v>
      </c>
      <c r="G19900" s="49" t="str">
        <f t="shared" si="1"/>
        <v>21530</v>
      </c>
      <c r="H19900" s="49">
        <f t="shared" si="2"/>
        <v>21531</v>
      </c>
    </row>
    <row r="19901">
      <c r="A19901" s="48" t="s">
        <v>4644</v>
      </c>
      <c r="B19901" s="38">
        <v>46214.0</v>
      </c>
      <c r="C19901" s="38" t="s">
        <v>14701</v>
      </c>
      <c r="D19901" s="38" t="str">
        <f>IFERROR(__xludf.DUMMYFUNCTION("REGEXREPLACE(C19901,""-\d+(.*)|--\d+(.*)"","""")"),"PARNAC")</f>
        <v>PARNAC</v>
      </c>
      <c r="E19901" s="38" t="s">
        <v>185</v>
      </c>
      <c r="F19901" s="38" t="s">
        <v>94</v>
      </c>
      <c r="G19901" s="49" t="str">
        <f t="shared" si="1"/>
        <v>46140</v>
      </c>
      <c r="H19901" s="49">
        <f t="shared" si="2"/>
        <v>46214</v>
      </c>
    </row>
    <row r="19902">
      <c r="A19902" s="48" t="s">
        <v>5043</v>
      </c>
      <c r="B19902" s="38">
        <v>19158.0</v>
      </c>
      <c r="C19902" s="38" t="s">
        <v>24400</v>
      </c>
      <c r="D19902" s="38" t="str">
        <f>IFERROR(__xludf.DUMMYFUNCTION("REGEXREPLACE(C19902,""-\d+(.*)|--\d+(.*)"","""")"),"PANDRIGNES")</f>
        <v>PANDRIGNES</v>
      </c>
      <c r="E19902" s="38" t="s">
        <v>271</v>
      </c>
      <c r="F19902" s="38" t="s">
        <v>98</v>
      </c>
      <c r="G19902" s="49" t="str">
        <f t="shared" si="1"/>
        <v>19150</v>
      </c>
      <c r="H19902" s="49">
        <f t="shared" si="2"/>
        <v>19158</v>
      </c>
    </row>
    <row r="19903">
      <c r="A19903" s="48" t="s">
        <v>4797</v>
      </c>
      <c r="B19903" s="38">
        <v>30176.0</v>
      </c>
      <c r="C19903" s="38" t="s">
        <v>24401</v>
      </c>
      <c r="D19903" s="38" t="str">
        <f>IFERROR(__xludf.DUMMYFUNCTION("REGEXREPLACE(C19903,""-\d+(.*)|--\d+(.*)"","""")"),"MONTDARDIER")</f>
        <v>MONTDARDIER</v>
      </c>
      <c r="E19903" s="38" t="s">
        <v>526</v>
      </c>
      <c r="F19903" s="38" t="s">
        <v>119</v>
      </c>
      <c r="G19903" s="49" t="str">
        <f t="shared" si="1"/>
        <v>30120</v>
      </c>
      <c r="H19903" s="49">
        <f t="shared" si="2"/>
        <v>30176</v>
      </c>
    </row>
    <row r="19904">
      <c r="A19904" s="48" t="s">
        <v>1695</v>
      </c>
      <c r="B19904" s="38">
        <v>80540.0</v>
      </c>
      <c r="C19904" s="38" t="s">
        <v>24402</v>
      </c>
      <c r="D19904" s="38" t="str">
        <f>IFERROR(__xludf.DUMMYFUNCTION("REGEXREPLACE(C19904,""-\d+(.*)|--\d+(.*)"","""")"),"MESNIL-MARTINSART")</f>
        <v>MESNIL-MARTINSART</v>
      </c>
      <c r="E19904" s="38" t="s">
        <v>224</v>
      </c>
      <c r="F19904" s="38" t="s">
        <v>113</v>
      </c>
      <c r="G19904" s="49" t="str">
        <f t="shared" si="1"/>
        <v>80300</v>
      </c>
      <c r="H19904" s="49">
        <f t="shared" si="2"/>
        <v>80540</v>
      </c>
    </row>
    <row r="19905">
      <c r="A19905" s="48" t="s">
        <v>9526</v>
      </c>
      <c r="B19905" s="38">
        <v>23185.0</v>
      </c>
      <c r="C19905" s="38" t="s">
        <v>24403</v>
      </c>
      <c r="D19905" s="38" t="str">
        <f>IFERROR(__xludf.DUMMYFUNCTION("REGEXREPLACE(C19905,""-\d+(.*)|--\d+(.*)"","""")"),"SAINT-CHABRAIS")</f>
        <v>SAINT-CHABRAIS</v>
      </c>
      <c r="E19905" s="38" t="s">
        <v>97</v>
      </c>
      <c r="F19905" s="38" t="s">
        <v>98</v>
      </c>
      <c r="G19905" s="49" t="str">
        <f t="shared" si="1"/>
        <v>23130</v>
      </c>
      <c r="H19905" s="49">
        <f t="shared" si="2"/>
        <v>23185</v>
      </c>
    </row>
    <row r="19906">
      <c r="A19906" s="48" t="s">
        <v>2530</v>
      </c>
      <c r="B19906" s="38">
        <v>79185.0</v>
      </c>
      <c r="C19906" s="38" t="s">
        <v>24404</v>
      </c>
      <c r="D19906" s="38" t="str">
        <f>IFERROR(__xludf.DUMMYFUNCTION("REGEXREPLACE(C19906,""-\d+(.*)|--\d+(.*)"","""")"),"MOUGON")</f>
        <v>MOUGON</v>
      </c>
      <c r="E19906" s="38" t="s">
        <v>337</v>
      </c>
      <c r="F19906" s="38" t="s">
        <v>338</v>
      </c>
      <c r="G19906" s="49" t="str">
        <f t="shared" si="1"/>
        <v>79370</v>
      </c>
      <c r="H19906" s="49">
        <f t="shared" si="2"/>
        <v>79185</v>
      </c>
    </row>
    <row r="19907">
      <c r="A19907" s="48" t="s">
        <v>24405</v>
      </c>
      <c r="B19907" s="38">
        <v>60540.0</v>
      </c>
      <c r="C19907" s="38" t="s">
        <v>24406</v>
      </c>
      <c r="D19907" s="38" t="str">
        <f>IFERROR(__xludf.DUMMYFUNCTION("REGEXREPLACE(C19907,""-\d+(.*)|--\d+(.*)"","""")"),"RIVECOURT")</f>
        <v>RIVECOURT</v>
      </c>
      <c r="E19907" s="38" t="s">
        <v>112</v>
      </c>
      <c r="F19907" s="38" t="s">
        <v>113</v>
      </c>
      <c r="G19907" s="49" t="str">
        <f t="shared" si="1"/>
        <v>60126</v>
      </c>
      <c r="H19907" s="49">
        <f t="shared" si="2"/>
        <v>60540</v>
      </c>
    </row>
    <row r="19908">
      <c r="A19908" s="48" t="s">
        <v>403</v>
      </c>
      <c r="B19908" s="38">
        <v>59655.0</v>
      </c>
      <c r="C19908" s="38" t="s">
        <v>24407</v>
      </c>
      <c r="D19908" s="38" t="str">
        <f>IFERROR(__xludf.DUMMYFUNCTION("REGEXREPLACE(C19908,""-\d+(.*)|--\d+(.*)"","""")"),"WEMAERS-CAPPEL")</f>
        <v>WEMAERS-CAPPEL</v>
      </c>
      <c r="E19908" s="38" t="s">
        <v>85</v>
      </c>
      <c r="F19908" s="38" t="s">
        <v>86</v>
      </c>
      <c r="G19908" s="49" t="str">
        <f t="shared" si="1"/>
        <v>59670</v>
      </c>
      <c r="H19908" s="49">
        <f t="shared" si="2"/>
        <v>59655</v>
      </c>
    </row>
    <row r="19909">
      <c r="A19909" s="48" t="s">
        <v>4443</v>
      </c>
      <c r="B19909" s="38">
        <v>27148.0</v>
      </c>
      <c r="C19909" s="38" t="s">
        <v>24408</v>
      </c>
      <c r="D19909" s="38" t="str">
        <f>IFERROR(__xludf.DUMMYFUNCTION("REGEXREPLACE(C19909,""-\d+(.*)|--\d+(.*)"","""")"),"LA CHAPELLE-GAUTHIER")</f>
        <v>LA CHAPELLE-GAUTHIER</v>
      </c>
      <c r="E19909" s="38" t="s">
        <v>241</v>
      </c>
      <c r="F19909" s="38" t="s">
        <v>134</v>
      </c>
      <c r="G19909" s="49" t="str">
        <f t="shared" si="1"/>
        <v>27270</v>
      </c>
      <c r="H19909" s="49">
        <f t="shared" si="2"/>
        <v>27148</v>
      </c>
    </row>
    <row r="19910">
      <c r="A19910" s="48" t="s">
        <v>14605</v>
      </c>
      <c r="B19910" s="38">
        <v>57668.0</v>
      </c>
      <c r="C19910" s="38" t="s">
        <v>24409</v>
      </c>
      <c r="D19910" s="38" t="str">
        <f>IFERROR(__xludf.DUMMYFUNCTION("REGEXREPLACE(C19910,""-\d+(.*)|--\d+(.*)"","""")"),"TETING-SUR-NIED")</f>
        <v>TETING-SUR-NIED</v>
      </c>
      <c r="E19910" s="38" t="s">
        <v>303</v>
      </c>
      <c r="F19910" s="38" t="s">
        <v>195</v>
      </c>
      <c r="G19910" s="49" t="str">
        <f t="shared" si="1"/>
        <v>57385</v>
      </c>
      <c r="H19910" s="49">
        <f t="shared" si="2"/>
        <v>57668</v>
      </c>
    </row>
    <row r="19911">
      <c r="A19911" s="48" t="s">
        <v>3842</v>
      </c>
      <c r="B19911" s="38">
        <v>88341.0</v>
      </c>
      <c r="C19911" s="38" t="s">
        <v>24410</v>
      </c>
      <c r="D19911" s="38" t="str">
        <f>IFERROR(__xludf.DUMMYFUNCTION("REGEXREPLACE(C19911,""-\d+(.*)|--\d+(.*)"","""")"),"PAIR-ET-GRANDRUPT")</f>
        <v>PAIR-ET-GRANDRUPT</v>
      </c>
      <c r="E19911" s="38" t="s">
        <v>194</v>
      </c>
      <c r="F19911" s="38" t="s">
        <v>195</v>
      </c>
      <c r="G19911" s="49" t="str">
        <f t="shared" si="1"/>
        <v>88100</v>
      </c>
      <c r="H19911" s="49">
        <f t="shared" si="2"/>
        <v>88341</v>
      </c>
    </row>
    <row r="19912">
      <c r="A19912" s="48" t="s">
        <v>15395</v>
      </c>
      <c r="B19912" s="38">
        <v>54580.0</v>
      </c>
      <c r="C19912" s="38" t="s">
        <v>24411</v>
      </c>
      <c r="D19912" s="38" t="str">
        <f>IFERROR(__xludf.DUMMYFUNCTION("REGEXREPLACE(C19912,""-\d+(.*)|--\d+(.*)"","""")"),"VILLERUPT")</f>
        <v>VILLERUPT</v>
      </c>
      <c r="E19912" s="38" t="s">
        <v>548</v>
      </c>
      <c r="F19912" s="38" t="s">
        <v>195</v>
      </c>
      <c r="G19912" s="49" t="str">
        <f t="shared" si="1"/>
        <v>54190</v>
      </c>
      <c r="H19912" s="49">
        <f t="shared" si="2"/>
        <v>54580</v>
      </c>
    </row>
    <row r="19913">
      <c r="A19913" s="48" t="s">
        <v>1108</v>
      </c>
      <c r="B19913" s="38">
        <v>27324.0</v>
      </c>
      <c r="C19913" s="38" t="s">
        <v>23221</v>
      </c>
      <c r="D19913" s="38" t="str">
        <f>IFERROR(__xludf.DUMMYFUNCTION("REGEXREPLACE(C19913,""-\d+(.*)|--\d+(.*)"","""")"),"HEBECOURT")</f>
        <v>HEBECOURT</v>
      </c>
      <c r="E19913" s="38" t="s">
        <v>241</v>
      </c>
      <c r="F19913" s="38" t="s">
        <v>134</v>
      </c>
      <c r="G19913" s="49" t="str">
        <f t="shared" si="1"/>
        <v>27150</v>
      </c>
      <c r="H19913" s="49">
        <f t="shared" si="2"/>
        <v>27324</v>
      </c>
    </row>
    <row r="19914">
      <c r="A19914" s="48" t="s">
        <v>3702</v>
      </c>
      <c r="B19914" s="38">
        <v>77145.0</v>
      </c>
      <c r="C19914" s="38" t="s">
        <v>24412</v>
      </c>
      <c r="D19914" s="38" t="str">
        <f>IFERROR(__xludf.DUMMYFUNCTION("REGEXREPLACE(C19914,""-\d+(.*)|--\d+(.*)"","""")"),"CRISENOY")</f>
        <v>CRISENOY</v>
      </c>
      <c r="E19914" s="38" t="s">
        <v>244</v>
      </c>
      <c r="F19914" s="38" t="s">
        <v>245</v>
      </c>
      <c r="G19914" s="49" t="str">
        <f t="shared" si="1"/>
        <v>77390</v>
      </c>
      <c r="H19914" s="49">
        <f t="shared" si="2"/>
        <v>77145</v>
      </c>
    </row>
    <row r="19915">
      <c r="A19915" s="48" t="s">
        <v>7065</v>
      </c>
      <c r="B19915" s="38">
        <v>3221.0</v>
      </c>
      <c r="C19915" s="38" t="s">
        <v>24413</v>
      </c>
      <c r="D19915" s="38" t="str">
        <f>IFERROR(__xludf.DUMMYFUNCTION("REGEXREPLACE(C19915,""-\d+(.*)|--\d+(.*)"","""")"),"SAINT-BONNET-TRONCAIS")</f>
        <v>SAINT-BONNET-TRONCAIS</v>
      </c>
      <c r="E19915" s="38" t="s">
        <v>160</v>
      </c>
      <c r="F19915" s="38" t="s">
        <v>161</v>
      </c>
      <c r="G19915" s="49" t="str">
        <f t="shared" si="1"/>
        <v>03360</v>
      </c>
      <c r="H19915" s="49" t="str">
        <f t="shared" si="2"/>
        <v>03221</v>
      </c>
    </row>
    <row r="19916">
      <c r="A19916" s="48" t="s">
        <v>1752</v>
      </c>
      <c r="B19916" s="38">
        <v>49189.0</v>
      </c>
      <c r="C19916" s="38" t="s">
        <v>24414</v>
      </c>
      <c r="D19916" s="38" t="str">
        <f>IFERROR(__xludf.DUMMYFUNCTION("REGEXREPLACE(C19916,""-\d+(.*)|--\d+(.*)"","""")"),"MARIGNE")</f>
        <v>MARIGNE</v>
      </c>
      <c r="E19916" s="38" t="s">
        <v>653</v>
      </c>
      <c r="F19916" s="38" t="s">
        <v>180</v>
      </c>
      <c r="G19916" s="49" t="str">
        <f t="shared" si="1"/>
        <v>49330</v>
      </c>
      <c r="H19916" s="49">
        <f t="shared" si="2"/>
        <v>49189</v>
      </c>
    </row>
    <row r="19917">
      <c r="A19917" s="48" t="s">
        <v>15250</v>
      </c>
      <c r="B19917" s="38">
        <v>86274.0</v>
      </c>
      <c r="C19917" s="38" t="s">
        <v>24415</v>
      </c>
      <c r="D19917" s="38" t="str">
        <f>IFERROR(__xludf.DUMMYFUNCTION("REGEXREPLACE(C19917,""-\d+(.*)|--\d+(.*)"","""")"),"LES TROIS-MOUTIERS")</f>
        <v>LES TROIS-MOUTIERS</v>
      </c>
      <c r="E19917" s="38" t="s">
        <v>529</v>
      </c>
      <c r="F19917" s="38" t="s">
        <v>338</v>
      </c>
      <c r="G19917" s="49" t="str">
        <f t="shared" si="1"/>
        <v>86120</v>
      </c>
      <c r="H19917" s="49">
        <f t="shared" si="2"/>
        <v>86274</v>
      </c>
    </row>
    <row r="19918">
      <c r="A19918" s="48" t="s">
        <v>1903</v>
      </c>
      <c r="B19918" s="38">
        <v>10193.0</v>
      </c>
      <c r="C19918" s="38" t="s">
        <v>24416</v>
      </c>
      <c r="D19918" s="38" t="str">
        <f>IFERROR(__xludf.DUMMYFUNCTION("REGEXREPLACE(C19918,""-\d+(.*)|--\d+(.*)"","""")"),"LESMONT")</f>
        <v>LESMONT</v>
      </c>
      <c r="E19918" s="38" t="s">
        <v>147</v>
      </c>
      <c r="F19918" s="38" t="s">
        <v>130</v>
      </c>
      <c r="G19918" s="49" t="str">
        <f t="shared" si="1"/>
        <v>10500</v>
      </c>
      <c r="H19918" s="49">
        <f t="shared" si="2"/>
        <v>10193</v>
      </c>
    </row>
    <row r="19919">
      <c r="A19919" s="48" t="s">
        <v>879</v>
      </c>
      <c r="B19919" s="38">
        <v>24423.0</v>
      </c>
      <c r="C19919" s="38" t="s">
        <v>24417</v>
      </c>
      <c r="D19919" s="38" t="str">
        <f>IFERROR(__xludf.DUMMYFUNCTION("REGEXREPLACE(C19919,""-\d+(.*)|--\d+(.*)"","""")"),"SAINTE-INNOCENCE")</f>
        <v>SAINTE-INNOCENCE</v>
      </c>
      <c r="E19919" s="38" t="s">
        <v>261</v>
      </c>
      <c r="F19919" s="38" t="s">
        <v>252</v>
      </c>
      <c r="G19919" s="49" t="str">
        <f t="shared" si="1"/>
        <v>24500</v>
      </c>
      <c r="H19919" s="49">
        <f t="shared" si="2"/>
        <v>24423</v>
      </c>
    </row>
    <row r="19920">
      <c r="A19920" s="48" t="s">
        <v>1180</v>
      </c>
      <c r="B19920" s="38">
        <v>60113.0</v>
      </c>
      <c r="C19920" s="38" t="s">
        <v>24418</v>
      </c>
      <c r="D19920" s="38" t="str">
        <f>IFERROR(__xludf.DUMMYFUNCTION("REGEXREPLACE(C19920,""-\d+(.*)|--\d+(.*)"","""")"),"BUCAMPS")</f>
        <v>BUCAMPS</v>
      </c>
      <c r="E19920" s="38" t="s">
        <v>112</v>
      </c>
      <c r="F19920" s="38" t="s">
        <v>113</v>
      </c>
      <c r="G19920" s="49" t="str">
        <f t="shared" si="1"/>
        <v>60480</v>
      </c>
      <c r="H19920" s="49">
        <f t="shared" si="2"/>
        <v>60113</v>
      </c>
    </row>
    <row r="19921">
      <c r="A19921" s="48" t="s">
        <v>1526</v>
      </c>
      <c r="B19921" s="38">
        <v>60001.0</v>
      </c>
      <c r="C19921" s="38" t="s">
        <v>10347</v>
      </c>
      <c r="D19921" s="38" t="str">
        <f>IFERROR(__xludf.DUMMYFUNCTION("REGEXREPLACE(C19921,""-\d+(.*)|--\d+(.*)"","""")"),"ABANCOURT")</f>
        <v>ABANCOURT</v>
      </c>
      <c r="E19921" s="38" t="s">
        <v>112</v>
      </c>
      <c r="F19921" s="38" t="s">
        <v>113</v>
      </c>
      <c r="G19921" s="49" t="str">
        <f t="shared" si="1"/>
        <v>60220</v>
      </c>
      <c r="H19921" s="49">
        <f t="shared" si="2"/>
        <v>60001</v>
      </c>
    </row>
    <row r="19922">
      <c r="A19922" s="48" t="s">
        <v>6651</v>
      </c>
      <c r="B19922" s="38">
        <v>31097.0</v>
      </c>
      <c r="C19922" s="38" t="s">
        <v>24419</v>
      </c>
      <c r="D19922" s="38" t="str">
        <f>IFERROR(__xludf.DUMMYFUNCTION("REGEXREPLACE(C19922,""-\d+(.*)|--\d+(.*)"","""")"),"LE CABANIAL")</f>
        <v>LE CABANIAL</v>
      </c>
      <c r="E19922" s="38" t="s">
        <v>93</v>
      </c>
      <c r="F19922" s="38" t="s">
        <v>94</v>
      </c>
      <c r="G19922" s="49" t="str">
        <f t="shared" si="1"/>
        <v>31460</v>
      </c>
      <c r="H19922" s="49">
        <f t="shared" si="2"/>
        <v>31097</v>
      </c>
    </row>
    <row r="19923">
      <c r="A19923" s="48" t="s">
        <v>17789</v>
      </c>
      <c r="B19923" s="38">
        <v>81135.0</v>
      </c>
      <c r="C19923" s="38" t="s">
        <v>24420</v>
      </c>
      <c r="D19923" s="38" t="str">
        <f>IFERROR(__xludf.DUMMYFUNCTION("REGEXREPLACE(C19923,""-\d+(.*)|--\d+(.*)"","""")"),"LAPARROUQUIAL")</f>
        <v>LAPARROUQUIAL</v>
      </c>
      <c r="E19923" s="38" t="s">
        <v>231</v>
      </c>
      <c r="F19923" s="38" t="s">
        <v>94</v>
      </c>
      <c r="G19923" s="49" t="str">
        <f t="shared" si="1"/>
        <v>81640</v>
      </c>
      <c r="H19923" s="49">
        <f t="shared" si="2"/>
        <v>81135</v>
      </c>
    </row>
    <row r="19924">
      <c r="A19924" s="48" t="s">
        <v>6492</v>
      </c>
      <c r="B19924" s="38">
        <v>5135.0</v>
      </c>
      <c r="C19924" s="38" t="s">
        <v>10166</v>
      </c>
      <c r="D19924" s="38" t="str">
        <f>IFERROR(__xludf.DUMMYFUNCTION("REGEXREPLACE(C19924,""-\d+(.*)|--\d+(.*)"","""")"),"SAINTE-COLOMBE")</f>
        <v>SAINTE-COLOMBE</v>
      </c>
      <c r="E19924" s="38" t="s">
        <v>706</v>
      </c>
      <c r="F19924" s="38" t="s">
        <v>228</v>
      </c>
      <c r="G19924" s="49" t="str">
        <f t="shared" si="1"/>
        <v>05700</v>
      </c>
      <c r="H19924" s="49" t="str">
        <f t="shared" si="2"/>
        <v>05135</v>
      </c>
    </row>
    <row r="19925">
      <c r="A19925" s="48" t="s">
        <v>3508</v>
      </c>
      <c r="B19925" s="38">
        <v>51612.0</v>
      </c>
      <c r="C19925" s="38" t="s">
        <v>24421</v>
      </c>
      <c r="D19925" s="38" t="str">
        <f>IFERROR(__xludf.DUMMYFUNCTION("REGEXREPLACE(C19925,""-\d+(.*)|--\d+(.*)"","""")"),"VERTUS")</f>
        <v>VERTUS</v>
      </c>
      <c r="E19925" s="38" t="s">
        <v>129</v>
      </c>
      <c r="F19925" s="38" t="s">
        <v>130</v>
      </c>
      <c r="G19925" s="49" t="str">
        <f t="shared" si="1"/>
        <v>51130</v>
      </c>
      <c r="H19925" s="49">
        <f t="shared" si="2"/>
        <v>51612</v>
      </c>
    </row>
    <row r="19926">
      <c r="A19926" s="48" t="s">
        <v>1695</v>
      </c>
      <c r="B19926" s="38">
        <v>80753.0</v>
      </c>
      <c r="C19926" s="38" t="s">
        <v>24422</v>
      </c>
      <c r="D19926" s="38" t="str">
        <f>IFERROR(__xludf.DUMMYFUNCTION("REGEXREPLACE(C19926,""-\d+(.*)|--\d+(.*)"","""")"),"THIEPVAL")</f>
        <v>THIEPVAL</v>
      </c>
      <c r="E19926" s="38" t="s">
        <v>224</v>
      </c>
      <c r="F19926" s="38" t="s">
        <v>113</v>
      </c>
      <c r="G19926" s="49" t="str">
        <f t="shared" si="1"/>
        <v>80300</v>
      </c>
      <c r="H19926" s="49">
        <f t="shared" si="2"/>
        <v>80753</v>
      </c>
    </row>
    <row r="19927">
      <c r="A19927" s="48" t="s">
        <v>4097</v>
      </c>
      <c r="B19927" s="38">
        <v>50484.0</v>
      </c>
      <c r="C19927" s="38" t="s">
        <v>24423</v>
      </c>
      <c r="D19927" s="38" t="str">
        <f>IFERROR(__xludf.DUMMYFUNCTION("REGEXREPLACE(C19927,""-\d+(.*)|--\d+(.*)"","""")"),"SAINT-HILAIRE-DU-HARCOUET")</f>
        <v>SAINT-HILAIRE-DU-HARCOUET</v>
      </c>
      <c r="E19927" s="38" t="s">
        <v>157</v>
      </c>
      <c r="F19927" s="38" t="s">
        <v>138</v>
      </c>
      <c r="G19927" s="49" t="str">
        <f t="shared" si="1"/>
        <v>50600</v>
      </c>
      <c r="H19927" s="49">
        <f t="shared" si="2"/>
        <v>50484</v>
      </c>
    </row>
    <row r="19928">
      <c r="A19928" s="48" t="s">
        <v>24424</v>
      </c>
      <c r="B19928" s="38">
        <v>33544.0</v>
      </c>
      <c r="C19928" s="38" t="s">
        <v>24425</v>
      </c>
      <c r="D19928" s="38" t="str">
        <f>IFERROR(__xludf.DUMMYFUNCTION("REGEXREPLACE(C19928,""-\d+(.*)|--\d+(.*)"","""")"),"LE VERDON-SUR-MER")</f>
        <v>LE VERDON-SUR-MER</v>
      </c>
      <c r="E19928" s="38" t="s">
        <v>462</v>
      </c>
      <c r="F19928" s="38" t="s">
        <v>252</v>
      </c>
      <c r="G19928" s="49" t="str">
        <f t="shared" si="1"/>
        <v>33123</v>
      </c>
      <c r="H19928" s="49">
        <f t="shared" si="2"/>
        <v>33544</v>
      </c>
    </row>
    <row r="19929">
      <c r="A19929" s="48" t="s">
        <v>489</v>
      </c>
      <c r="B19929" s="38">
        <v>9081.0</v>
      </c>
      <c r="C19929" s="38" t="s">
        <v>24426</v>
      </c>
      <c r="D19929" s="38" t="str">
        <f>IFERROR(__xludf.DUMMYFUNCTION("REGEXREPLACE(C19929,""-\d+(.*)|--\d+(.*)"","""")"),"LE CARLARET")</f>
        <v>LE CARLARET</v>
      </c>
      <c r="E19929" s="38" t="s">
        <v>238</v>
      </c>
      <c r="F19929" s="38" t="s">
        <v>94</v>
      </c>
      <c r="G19929" s="49" t="str">
        <f t="shared" si="1"/>
        <v>09100</v>
      </c>
      <c r="H19929" s="49" t="str">
        <f t="shared" si="2"/>
        <v>09081</v>
      </c>
    </row>
    <row r="19930">
      <c r="A19930" s="48" t="s">
        <v>4840</v>
      </c>
      <c r="B19930" s="38">
        <v>16200.0</v>
      </c>
      <c r="C19930" s="38" t="s">
        <v>24427</v>
      </c>
      <c r="D19930" s="38" t="str">
        <f>IFERROR(__xludf.DUMMYFUNCTION("REGEXREPLACE(C19930,""-\d+(.*)|--\d+(.*)"","""")"),"MAINE-DE-BOIXE")</f>
        <v>MAINE-DE-BOIXE</v>
      </c>
      <c r="E19930" s="38" t="s">
        <v>429</v>
      </c>
      <c r="F19930" s="38" t="s">
        <v>338</v>
      </c>
      <c r="G19930" s="49" t="str">
        <f t="shared" si="1"/>
        <v>16230</v>
      </c>
      <c r="H19930" s="49">
        <f t="shared" si="2"/>
        <v>16200</v>
      </c>
    </row>
    <row r="19931">
      <c r="A19931" s="48" t="s">
        <v>6923</v>
      </c>
      <c r="B19931" s="38">
        <v>33554.0</v>
      </c>
      <c r="C19931" s="38" t="s">
        <v>24428</v>
      </c>
      <c r="D19931" s="38" t="str">
        <f>IFERROR(__xludf.DUMMYFUNCTION("REGEXREPLACE(C19931,""-\d+(.*)|--\d+(.*)"","""")"),"YVRAC")</f>
        <v>YVRAC</v>
      </c>
      <c r="E19931" s="38" t="s">
        <v>462</v>
      </c>
      <c r="F19931" s="38" t="s">
        <v>252</v>
      </c>
      <c r="G19931" s="49" t="str">
        <f t="shared" si="1"/>
        <v>33370</v>
      </c>
      <c r="H19931" s="49">
        <f t="shared" si="2"/>
        <v>33554</v>
      </c>
    </row>
    <row r="19932">
      <c r="A19932" s="48" t="s">
        <v>995</v>
      </c>
      <c r="B19932" s="38">
        <v>31089.0</v>
      </c>
      <c r="C19932" s="38" t="s">
        <v>24429</v>
      </c>
      <c r="D19932" s="38" t="str">
        <f>IFERROR(__xludf.DUMMYFUNCTION("REGEXREPLACE(C19932,""-\d+(.*)|--\d+(.*)"","""")"),"BRETX")</f>
        <v>BRETX</v>
      </c>
      <c r="E19932" s="38" t="s">
        <v>93</v>
      </c>
      <c r="F19932" s="38" t="s">
        <v>94</v>
      </c>
      <c r="G19932" s="49" t="str">
        <f t="shared" si="1"/>
        <v>31530</v>
      </c>
      <c r="H19932" s="49">
        <f t="shared" si="2"/>
        <v>31089</v>
      </c>
    </row>
    <row r="19933">
      <c r="A19933" s="48" t="s">
        <v>484</v>
      </c>
      <c r="B19933" s="38">
        <v>16277.0</v>
      </c>
      <c r="C19933" s="38" t="s">
        <v>24430</v>
      </c>
      <c r="D19933" s="38" t="str">
        <f>IFERROR(__xludf.DUMMYFUNCTION("REGEXREPLACE(C19933,""-\d+(.*)|--\d+(.*)"","""")"),"REPARSAC")</f>
        <v>REPARSAC</v>
      </c>
      <c r="E19933" s="38" t="s">
        <v>429</v>
      </c>
      <c r="F19933" s="38" t="s">
        <v>338</v>
      </c>
      <c r="G19933" s="49" t="str">
        <f t="shared" si="1"/>
        <v>16200</v>
      </c>
      <c r="H19933" s="49">
        <f t="shared" si="2"/>
        <v>16277</v>
      </c>
    </row>
    <row r="19934">
      <c r="A19934" s="48" t="s">
        <v>1317</v>
      </c>
      <c r="B19934" s="38">
        <v>8288.0</v>
      </c>
      <c r="C19934" s="38" t="s">
        <v>24431</v>
      </c>
      <c r="D19934" s="38" t="str">
        <f>IFERROR(__xludf.DUMMYFUNCTION("REGEXREPLACE(C19934,""-\d+(.*)|--\d+(.*)"","""")"),"MESMONT")</f>
        <v>MESMONT</v>
      </c>
      <c r="E19934" s="38" t="s">
        <v>327</v>
      </c>
      <c r="F19934" s="38" t="s">
        <v>130</v>
      </c>
      <c r="G19934" s="49" t="str">
        <f t="shared" si="1"/>
        <v>08270</v>
      </c>
      <c r="H19934" s="49" t="str">
        <f t="shared" si="2"/>
        <v>08288</v>
      </c>
    </row>
    <row r="19935">
      <c r="A19935" s="48" t="s">
        <v>9376</v>
      </c>
      <c r="B19935" s="38">
        <v>14154.0</v>
      </c>
      <c r="C19935" s="38" t="s">
        <v>24432</v>
      </c>
      <c r="D19935" s="38" t="str">
        <f>IFERROR(__xludf.DUMMYFUNCTION("REGEXREPLACE(C19935,""-\d+(.*)|--\d+(.*)"","""")"),"LA CHAPELLE-YVON")</f>
        <v>LA CHAPELLE-YVON</v>
      </c>
      <c r="E19935" s="38" t="s">
        <v>137</v>
      </c>
      <c r="F19935" s="38" t="s">
        <v>138</v>
      </c>
      <c r="G19935" s="49" t="str">
        <f t="shared" si="1"/>
        <v>14290</v>
      </c>
      <c r="H19935" s="49">
        <f t="shared" si="2"/>
        <v>14154</v>
      </c>
    </row>
    <row r="19936">
      <c r="A19936" s="48" t="s">
        <v>17614</v>
      </c>
      <c r="B19936" s="38">
        <v>30316.0</v>
      </c>
      <c r="C19936" s="38" t="s">
        <v>24433</v>
      </c>
      <c r="D19936" s="38" t="str">
        <f>IFERROR(__xludf.DUMMYFUNCTION("REGEXREPLACE(C19936,""-\d+(.*)|--\d+(.*)"","""")"),"SENECHAS")</f>
        <v>SENECHAS</v>
      </c>
      <c r="E19936" s="38" t="s">
        <v>526</v>
      </c>
      <c r="F19936" s="38" t="s">
        <v>119</v>
      </c>
      <c r="G19936" s="49" t="str">
        <f t="shared" si="1"/>
        <v>30450</v>
      </c>
      <c r="H19936" s="49">
        <f t="shared" si="2"/>
        <v>30316</v>
      </c>
    </row>
    <row r="19937">
      <c r="A19937" s="48" t="s">
        <v>24434</v>
      </c>
      <c r="B19937" s="38">
        <v>84058.0</v>
      </c>
      <c r="C19937" s="38" t="s">
        <v>24435</v>
      </c>
      <c r="D19937" s="38" t="str">
        <f>IFERROR(__xludf.DUMMYFUNCTION("REGEXREPLACE(C19937,""-\d+(.*)|--\d+(.*)"","""")"),"LACOSTE")</f>
        <v>LACOSTE</v>
      </c>
      <c r="E19937" s="38" t="s">
        <v>1026</v>
      </c>
      <c r="F19937" s="38" t="s">
        <v>228</v>
      </c>
      <c r="G19937" s="49" t="str">
        <f t="shared" si="1"/>
        <v>84480</v>
      </c>
      <c r="H19937" s="49">
        <f t="shared" si="2"/>
        <v>84058</v>
      </c>
    </row>
    <row r="19938">
      <c r="A19938" s="48" t="s">
        <v>5322</v>
      </c>
      <c r="B19938" s="38">
        <v>32148.0</v>
      </c>
      <c r="C19938" s="38" t="s">
        <v>24436</v>
      </c>
      <c r="D19938" s="38" t="str">
        <f>IFERROR(__xludf.DUMMYFUNCTION("REGEXREPLACE(C19938,""-\d+(.*)|--\d+(.*)"","""")"),"GISCARO")</f>
        <v>GISCARO</v>
      </c>
      <c r="E19938" s="38" t="s">
        <v>440</v>
      </c>
      <c r="F19938" s="38" t="s">
        <v>94</v>
      </c>
      <c r="G19938" s="49" t="str">
        <f t="shared" si="1"/>
        <v>32200</v>
      </c>
      <c r="H19938" s="49">
        <f t="shared" si="2"/>
        <v>32148</v>
      </c>
    </row>
    <row r="19939">
      <c r="A19939" s="48" t="s">
        <v>1997</v>
      </c>
      <c r="B19939" s="38">
        <v>21281.0</v>
      </c>
      <c r="C19939" s="38" t="s">
        <v>24437</v>
      </c>
      <c r="D19939" s="38" t="str">
        <f>IFERROR(__xludf.DUMMYFUNCTION("REGEXREPLACE(C19939,""-\d+(.*)|--\d+(.*)"","""")"),"FONTENELLE")</f>
        <v>FONTENELLE</v>
      </c>
      <c r="E19939" s="38" t="s">
        <v>105</v>
      </c>
      <c r="F19939" s="38" t="s">
        <v>106</v>
      </c>
      <c r="G19939" s="49" t="str">
        <f t="shared" si="1"/>
        <v>21610</v>
      </c>
      <c r="H19939" s="49">
        <f t="shared" si="2"/>
        <v>21281</v>
      </c>
    </row>
    <row r="19940">
      <c r="A19940" s="48" t="s">
        <v>887</v>
      </c>
      <c r="B19940" s="38">
        <v>62410.0</v>
      </c>
      <c r="C19940" s="38" t="s">
        <v>24438</v>
      </c>
      <c r="D19940" s="38" t="str">
        <f>IFERROR(__xludf.DUMMYFUNCTION("REGEXREPLACE(C19940,""-\d+(.*)|--\d+(.*)"","""")"),"HAPLINCOURT")</f>
        <v>HAPLINCOURT</v>
      </c>
      <c r="E19940" s="38" t="s">
        <v>109</v>
      </c>
      <c r="F19940" s="38" t="s">
        <v>86</v>
      </c>
      <c r="G19940" s="49" t="str">
        <f t="shared" si="1"/>
        <v>62124</v>
      </c>
      <c r="H19940" s="49">
        <f t="shared" si="2"/>
        <v>62410</v>
      </c>
    </row>
    <row r="19941">
      <c r="A19941" s="48" t="s">
        <v>9174</v>
      </c>
      <c r="B19941" s="38">
        <v>35260.0</v>
      </c>
      <c r="C19941" s="38" t="s">
        <v>24439</v>
      </c>
      <c r="D19941" s="38" t="str">
        <f>IFERROR(__xludf.DUMMYFUNCTION("REGEXREPLACE(C19941,""-\d+(.*)|--\d+(.*)"","""")"),"SAINT-CHRISTOPHE-DES-BOIS")</f>
        <v>SAINT-CHRISTOPHE-DES-BOIS</v>
      </c>
      <c r="E19941" s="38" t="s">
        <v>347</v>
      </c>
      <c r="F19941" s="38" t="s">
        <v>90</v>
      </c>
      <c r="G19941" s="49" t="str">
        <f t="shared" si="1"/>
        <v>35210</v>
      </c>
      <c r="H19941" s="49">
        <f t="shared" si="2"/>
        <v>35260</v>
      </c>
    </row>
    <row r="19942">
      <c r="A19942" s="48" t="s">
        <v>1272</v>
      </c>
      <c r="B19942" s="38">
        <v>51502.0</v>
      </c>
      <c r="C19942" s="38" t="s">
        <v>24440</v>
      </c>
      <c r="D19942" s="38" t="str">
        <f>IFERROR(__xludf.DUMMYFUNCTION("REGEXREPLACE(C19942,""-\d+(.*)|--\d+(.*)"","""")"),"SAINT-MARTIN-AUX-CHAMPS")</f>
        <v>SAINT-MARTIN-AUX-CHAMPS</v>
      </c>
      <c r="E19942" s="38" t="s">
        <v>129</v>
      </c>
      <c r="F19942" s="38" t="s">
        <v>130</v>
      </c>
      <c r="G19942" s="49" t="str">
        <f t="shared" si="1"/>
        <v>51240</v>
      </c>
      <c r="H19942" s="49">
        <f t="shared" si="2"/>
        <v>51502</v>
      </c>
    </row>
    <row r="19943">
      <c r="A19943" s="48" t="s">
        <v>3458</v>
      </c>
      <c r="B19943" s="38">
        <v>52114.0</v>
      </c>
      <c r="C19943" s="38" t="s">
        <v>24441</v>
      </c>
      <c r="D19943" s="38" t="str">
        <f>IFERROR(__xludf.DUMMYFUNCTION("REGEXREPLACE(C19943,""-\d+(.*)|--\d+(.*)"","""")"),"CHATEAUVILLAIN")</f>
        <v>CHATEAUVILLAIN</v>
      </c>
      <c r="E19943" s="38" t="s">
        <v>234</v>
      </c>
      <c r="F19943" s="38" t="s">
        <v>130</v>
      </c>
      <c r="G19943" s="49" t="str">
        <f t="shared" si="1"/>
        <v>52120</v>
      </c>
      <c r="H19943" s="49">
        <f t="shared" si="2"/>
        <v>52114</v>
      </c>
    </row>
    <row r="19944">
      <c r="A19944" s="48" t="s">
        <v>3955</v>
      </c>
      <c r="B19944" s="38">
        <v>62722.0</v>
      </c>
      <c r="C19944" s="38" t="s">
        <v>24442</v>
      </c>
      <c r="D19944" s="38" t="str">
        <f>IFERROR(__xludf.DUMMYFUNCTION("REGEXREPLACE(C19944,""-\d+(.*)|--\d+(.*)"","""")"),"ROUGEFAY")</f>
        <v>ROUGEFAY</v>
      </c>
      <c r="E19944" s="38" t="s">
        <v>109</v>
      </c>
      <c r="F19944" s="38" t="s">
        <v>86</v>
      </c>
      <c r="G19944" s="49" t="str">
        <f t="shared" si="1"/>
        <v>62390</v>
      </c>
      <c r="H19944" s="49">
        <f t="shared" si="2"/>
        <v>62722</v>
      </c>
    </row>
    <row r="19945">
      <c r="A19945" s="48" t="s">
        <v>942</v>
      </c>
      <c r="B19945" s="38">
        <v>2780.0</v>
      </c>
      <c r="C19945" s="38" t="s">
        <v>24443</v>
      </c>
      <c r="D19945" s="38" t="str">
        <f>IFERROR(__xludf.DUMMYFUNCTION("REGEXREPLACE(C19945,""-\d+(.*)|--\d+(.*)"","""")"),"VENIZEL")</f>
        <v>VENIZEL</v>
      </c>
      <c r="E19945" s="38" t="s">
        <v>191</v>
      </c>
      <c r="F19945" s="38" t="s">
        <v>113</v>
      </c>
      <c r="G19945" s="49" t="str">
        <f t="shared" si="1"/>
        <v>02200</v>
      </c>
      <c r="H19945" s="49" t="str">
        <f t="shared" si="2"/>
        <v>02780</v>
      </c>
    </row>
    <row r="19946">
      <c r="A19946" s="48" t="s">
        <v>12348</v>
      </c>
      <c r="B19946" s="38">
        <v>67038.0</v>
      </c>
      <c r="C19946" s="38" t="s">
        <v>24444</v>
      </c>
      <c r="D19946" s="38" t="str">
        <f>IFERROR(__xludf.DUMMYFUNCTION("REGEXREPLACE(C19946,""-\d+(.*)|--\d+(.*)"","""")"),"BIETLENHEIM")</f>
        <v>BIETLENHEIM</v>
      </c>
      <c r="E19946" s="38" t="s">
        <v>210</v>
      </c>
      <c r="F19946" s="38" t="s">
        <v>151</v>
      </c>
      <c r="G19946" s="49" t="str">
        <f t="shared" si="1"/>
        <v>67720</v>
      </c>
      <c r="H19946" s="49">
        <f t="shared" si="2"/>
        <v>67038</v>
      </c>
    </row>
    <row r="19947">
      <c r="A19947" s="48" t="s">
        <v>11059</v>
      </c>
      <c r="B19947" s="38">
        <v>48025.0</v>
      </c>
      <c r="C19947" s="38" t="s">
        <v>24445</v>
      </c>
      <c r="D19947" s="38" t="str">
        <f>IFERROR(__xludf.DUMMYFUNCTION("REGEXREPLACE(C19947,""-\d+(.*)|--\d+(.*)"","""")"),"LES BESSONS")</f>
        <v>LES BESSONS</v>
      </c>
      <c r="E19947" s="38" t="s">
        <v>154</v>
      </c>
      <c r="F19947" s="38" t="s">
        <v>119</v>
      </c>
      <c r="G19947" s="49" t="str">
        <f t="shared" si="1"/>
        <v>48200</v>
      </c>
      <c r="H19947" s="49">
        <f t="shared" si="2"/>
        <v>48025</v>
      </c>
    </row>
    <row r="19948">
      <c r="A19948" s="48" t="s">
        <v>8086</v>
      </c>
      <c r="B19948" s="38">
        <v>59273.0</v>
      </c>
      <c r="C19948" s="38" t="s">
        <v>24446</v>
      </c>
      <c r="D19948" s="38" t="str">
        <f>IFERROR(__xludf.DUMMYFUNCTION("REGEXREPLACE(C19948,""-\d+(.*)|--\d+(.*)"","""")"),"GRAVELINES")</f>
        <v>GRAVELINES</v>
      </c>
      <c r="E19948" s="38" t="s">
        <v>85</v>
      </c>
      <c r="F19948" s="38" t="s">
        <v>86</v>
      </c>
      <c r="G19948" s="49" t="str">
        <f t="shared" si="1"/>
        <v>59820</v>
      </c>
      <c r="H19948" s="49">
        <f t="shared" si="2"/>
        <v>59273</v>
      </c>
    </row>
    <row r="19949">
      <c r="A19949" s="48" t="s">
        <v>1555</v>
      </c>
      <c r="B19949" s="38">
        <v>52235.0</v>
      </c>
      <c r="C19949" s="38" t="s">
        <v>24447</v>
      </c>
      <c r="D19949" s="38" t="str">
        <f>IFERROR(__xludf.DUMMYFUNCTION("REGEXREPLACE(C19949,""-\d+(.*)|--\d+(.*)"","""")"),"HALLIGNICOURT")</f>
        <v>HALLIGNICOURT</v>
      </c>
      <c r="E19949" s="38" t="s">
        <v>234</v>
      </c>
      <c r="F19949" s="38" t="s">
        <v>130</v>
      </c>
      <c r="G19949" s="49" t="str">
        <f t="shared" si="1"/>
        <v>52100</v>
      </c>
      <c r="H19949" s="49">
        <f t="shared" si="2"/>
        <v>52235</v>
      </c>
    </row>
    <row r="19950">
      <c r="A19950" s="48" t="s">
        <v>3755</v>
      </c>
      <c r="B19950" s="38">
        <v>76729.0</v>
      </c>
      <c r="C19950" s="38" t="s">
        <v>24448</v>
      </c>
      <c r="D19950" s="38" t="str">
        <f>IFERROR(__xludf.DUMMYFUNCTION("REGEXREPLACE(C19950,""-\d+(.*)|--\d+(.*)"","""")"),"VEAUVILLE-LES-BAONS")</f>
        <v>VEAUVILLE-LES-BAONS</v>
      </c>
      <c r="E19950" s="38" t="s">
        <v>133</v>
      </c>
      <c r="F19950" s="38" t="s">
        <v>134</v>
      </c>
      <c r="G19950" s="49" t="str">
        <f t="shared" si="1"/>
        <v>76190</v>
      </c>
      <c r="H19950" s="49">
        <f t="shared" si="2"/>
        <v>76729</v>
      </c>
    </row>
    <row r="19951">
      <c r="A19951" s="48" t="s">
        <v>18911</v>
      </c>
      <c r="B19951" s="38">
        <v>14357.0</v>
      </c>
      <c r="C19951" s="38" t="s">
        <v>6105</v>
      </c>
      <c r="D19951" s="38" t="str">
        <f>IFERROR(__xludf.DUMMYFUNCTION("REGEXREPLACE(C19951,""-\d+(.*)|--\d+(.*)"","""")"),"LASSY")</f>
        <v>LASSY</v>
      </c>
      <c r="E19951" s="38" t="s">
        <v>137</v>
      </c>
      <c r="F19951" s="38" t="s">
        <v>138</v>
      </c>
      <c r="G19951" s="49" t="str">
        <f t="shared" si="1"/>
        <v>14770</v>
      </c>
      <c r="H19951" s="49">
        <f t="shared" si="2"/>
        <v>14357</v>
      </c>
    </row>
    <row r="19952">
      <c r="A19952" s="48" t="s">
        <v>493</v>
      </c>
      <c r="B19952" s="38">
        <v>28211.0</v>
      </c>
      <c r="C19952" s="38" t="s">
        <v>24449</v>
      </c>
      <c r="D19952" s="38" t="str">
        <f>IFERROR(__xludf.DUMMYFUNCTION("REGEXREPLACE(C19952,""-\d+(.*)|--\d+(.*)"","""")"),"LOGRON")</f>
        <v>LOGRON</v>
      </c>
      <c r="E19952" s="38" t="s">
        <v>300</v>
      </c>
      <c r="F19952" s="38" t="s">
        <v>123</v>
      </c>
      <c r="G19952" s="49" t="str">
        <f t="shared" si="1"/>
        <v>28200</v>
      </c>
      <c r="H19952" s="49">
        <f t="shared" si="2"/>
        <v>28211</v>
      </c>
    </row>
    <row r="19953">
      <c r="A19953" s="48" t="s">
        <v>8320</v>
      </c>
      <c r="B19953" s="38">
        <v>1242.0</v>
      </c>
      <c r="C19953" s="38" t="s">
        <v>24450</v>
      </c>
      <c r="D19953" s="38" t="str">
        <f>IFERROR(__xludf.DUMMYFUNCTION("REGEXREPLACE(C19953,""-\d+(.*)|--\d+(.*)"","""")"),"MERIGNAT")</f>
        <v>MERIGNAT</v>
      </c>
      <c r="E19953" s="38" t="s">
        <v>255</v>
      </c>
      <c r="F19953" s="38" t="s">
        <v>102</v>
      </c>
      <c r="G19953" s="49" t="str">
        <f t="shared" si="1"/>
        <v>01450</v>
      </c>
      <c r="H19953" s="49" t="str">
        <f t="shared" si="2"/>
        <v>01242</v>
      </c>
    </row>
    <row r="19954">
      <c r="A19954" s="48" t="s">
        <v>5284</v>
      </c>
      <c r="B19954" s="38">
        <v>19123.0</v>
      </c>
      <c r="C19954" s="38" t="s">
        <v>24451</v>
      </c>
      <c r="D19954" s="38" t="str">
        <f>IFERROR(__xludf.DUMMYFUNCTION("REGEXREPLACE(C19954,""-\d+(.*)|--\d+(.*)"","""")"),"MALEMORT-SUR-CORREZE")</f>
        <v>MALEMORT-SUR-CORREZE</v>
      </c>
      <c r="E19954" s="38" t="s">
        <v>271</v>
      </c>
      <c r="F19954" s="38" t="s">
        <v>98</v>
      </c>
      <c r="G19954" s="49" t="str">
        <f t="shared" si="1"/>
        <v>19360</v>
      </c>
      <c r="H19954" s="49">
        <f t="shared" si="2"/>
        <v>19123</v>
      </c>
    </row>
    <row r="19955">
      <c r="A19955" s="48" t="s">
        <v>1547</v>
      </c>
      <c r="B19955" s="38">
        <v>24353.0</v>
      </c>
      <c r="C19955" s="38" t="s">
        <v>24452</v>
      </c>
      <c r="D19955" s="38" t="str">
        <f>IFERROR(__xludf.DUMMYFUNCTION("REGEXREPLACE(C19955,""-\d+(.*)|--\d+(.*)"","""")"),"LA ROCHEBEAUCOURT-ET-ARGENTINE")</f>
        <v>LA ROCHEBEAUCOURT-ET-ARGENTINE</v>
      </c>
      <c r="E19955" s="38" t="s">
        <v>261</v>
      </c>
      <c r="F19955" s="38" t="s">
        <v>252</v>
      </c>
      <c r="G19955" s="49" t="str">
        <f t="shared" si="1"/>
        <v>24340</v>
      </c>
      <c r="H19955" s="49">
        <f t="shared" si="2"/>
        <v>24353</v>
      </c>
    </row>
    <row r="19956">
      <c r="A19956" s="48" t="s">
        <v>1693</v>
      </c>
      <c r="B19956" s="38">
        <v>24171.0</v>
      </c>
      <c r="C19956" s="38" t="s">
        <v>24453</v>
      </c>
      <c r="D19956" s="38" t="str">
        <f>IFERROR(__xludf.DUMMYFUNCTION("REGEXREPLACE(C19956,""-\d+(.*)|--\d+(.*)"","""")"),"EYZERAC")</f>
        <v>EYZERAC</v>
      </c>
      <c r="E19956" s="38" t="s">
        <v>261</v>
      </c>
      <c r="F19956" s="38" t="s">
        <v>252</v>
      </c>
      <c r="G19956" s="49" t="str">
        <f t="shared" si="1"/>
        <v>24800</v>
      </c>
      <c r="H19956" s="49">
        <f t="shared" si="2"/>
        <v>24171</v>
      </c>
    </row>
    <row r="19957">
      <c r="A19957" s="48" t="s">
        <v>1540</v>
      </c>
      <c r="B19957" s="38">
        <v>70235.0</v>
      </c>
      <c r="C19957" s="38" t="s">
        <v>23528</v>
      </c>
      <c r="D19957" s="38" t="str">
        <f>IFERROR(__xludf.DUMMYFUNCTION("REGEXREPLACE(C19957,""-\d+(.*)|--\d+(.*)"","""")"),"FLAGY")</f>
        <v>FLAGY</v>
      </c>
      <c r="E19957" s="38" t="s">
        <v>956</v>
      </c>
      <c r="F19957" s="38" t="s">
        <v>214</v>
      </c>
      <c r="G19957" s="49" t="str">
        <f t="shared" si="1"/>
        <v>70000</v>
      </c>
      <c r="H19957" s="49">
        <f t="shared" si="2"/>
        <v>70235</v>
      </c>
    </row>
    <row r="19958">
      <c r="A19958" s="48" t="s">
        <v>1398</v>
      </c>
      <c r="B19958" s="38">
        <v>45215.0</v>
      </c>
      <c r="C19958" s="38" t="s">
        <v>24454</v>
      </c>
      <c r="D19958" s="38" t="str">
        <f>IFERROR(__xludf.DUMMYFUNCTION("REGEXREPLACE(C19958,""-\d+(.*)|--\d+(.*)"","""")"),"MONTLIARD")</f>
        <v>MONTLIARD</v>
      </c>
      <c r="E19958" s="38" t="s">
        <v>122</v>
      </c>
      <c r="F19958" s="38" t="s">
        <v>123</v>
      </c>
      <c r="G19958" s="49" t="str">
        <f t="shared" si="1"/>
        <v>45340</v>
      </c>
      <c r="H19958" s="49">
        <f t="shared" si="2"/>
        <v>45215</v>
      </c>
    </row>
    <row r="19959">
      <c r="A19959" s="48" t="s">
        <v>3283</v>
      </c>
      <c r="B19959" s="38">
        <v>52128.0</v>
      </c>
      <c r="C19959" s="38" t="s">
        <v>24455</v>
      </c>
      <c r="D19959" s="38" t="str">
        <f>IFERROR(__xludf.DUMMYFUNCTION("REGEXREPLACE(C19959,""-\d+(.*)|--\d+(.*)"","""")"),"CIREY-LES-MAREILLES")</f>
        <v>CIREY-LES-MAREILLES</v>
      </c>
      <c r="E19959" s="38" t="s">
        <v>234</v>
      </c>
      <c r="F19959" s="38" t="s">
        <v>130</v>
      </c>
      <c r="G19959" s="49" t="str">
        <f t="shared" si="1"/>
        <v>52700</v>
      </c>
      <c r="H19959" s="49">
        <f t="shared" si="2"/>
        <v>52128</v>
      </c>
    </row>
    <row r="19960">
      <c r="A19960" s="48" t="s">
        <v>711</v>
      </c>
      <c r="B19960" s="38">
        <v>49302.0</v>
      </c>
      <c r="C19960" s="38" t="s">
        <v>24456</v>
      </c>
      <c r="D19960" s="38" t="str">
        <f>IFERROR(__xludf.DUMMYFUNCTION("REGEXREPLACE(C19960,""-\d+(.*)|--\d+(.*)"","""")"),"SAINT-MACAIRE-DU-BOIS")</f>
        <v>SAINT-MACAIRE-DU-BOIS</v>
      </c>
      <c r="E19960" s="38" t="s">
        <v>653</v>
      </c>
      <c r="F19960" s="38" t="s">
        <v>180</v>
      </c>
      <c r="G19960" s="49" t="str">
        <f t="shared" si="1"/>
        <v>49260</v>
      </c>
      <c r="H19960" s="49">
        <f t="shared" si="2"/>
        <v>49302</v>
      </c>
    </row>
    <row r="19961">
      <c r="A19961" s="48" t="s">
        <v>5065</v>
      </c>
      <c r="B19961" s="38">
        <v>50310.0</v>
      </c>
      <c r="C19961" s="38" t="s">
        <v>24457</v>
      </c>
      <c r="D19961" s="38" t="str">
        <f>IFERROR(__xludf.DUMMYFUNCTION("REGEXREPLACE(C19961,""-\d+(.*)|--\d+(.*)"","""")"),"LE MESNIL-EURY")</f>
        <v>LE MESNIL-EURY</v>
      </c>
      <c r="E19961" s="38" t="s">
        <v>157</v>
      </c>
      <c r="F19961" s="38" t="s">
        <v>138</v>
      </c>
      <c r="G19961" s="49" t="str">
        <f t="shared" si="1"/>
        <v>50570</v>
      </c>
      <c r="H19961" s="49">
        <f t="shared" si="2"/>
        <v>50310</v>
      </c>
    </row>
    <row r="19962">
      <c r="A19962" s="48" t="s">
        <v>24458</v>
      </c>
      <c r="B19962" s="38">
        <v>79100.0</v>
      </c>
      <c r="C19962" s="38" t="s">
        <v>24459</v>
      </c>
      <c r="D19962" s="38" t="str">
        <f>IFERROR(__xludf.DUMMYFUNCTION("REGEXREPLACE(C19962,""-\d+(.*)|--\d+(.*)"","""")"),"COULON")</f>
        <v>COULON</v>
      </c>
      <c r="E19962" s="38" t="s">
        <v>337</v>
      </c>
      <c r="F19962" s="38" t="s">
        <v>338</v>
      </c>
      <c r="G19962" s="49" t="str">
        <f t="shared" si="1"/>
        <v>79510</v>
      </c>
      <c r="H19962" s="49">
        <f t="shared" si="2"/>
        <v>79100</v>
      </c>
    </row>
    <row r="19963">
      <c r="A19963" s="48" t="s">
        <v>6858</v>
      </c>
      <c r="B19963" s="38">
        <v>71181.0</v>
      </c>
      <c r="C19963" s="38" t="s">
        <v>24460</v>
      </c>
      <c r="D19963" s="38" t="str">
        <f>IFERROR(__xludf.DUMMYFUNCTION("REGEXREPLACE(C19963,""-\d+(.*)|--\d+(.*)"","""")"),"DONZY-LE-PERTUIS")</f>
        <v>DONZY-LE-PERTUIS</v>
      </c>
      <c r="E19963" s="38" t="s">
        <v>344</v>
      </c>
      <c r="F19963" s="38" t="s">
        <v>106</v>
      </c>
      <c r="G19963" s="49" t="str">
        <f t="shared" si="1"/>
        <v>71250</v>
      </c>
      <c r="H19963" s="49">
        <f t="shared" si="2"/>
        <v>71181</v>
      </c>
    </row>
    <row r="19964">
      <c r="A19964" s="48" t="s">
        <v>4581</v>
      </c>
      <c r="B19964" s="38">
        <v>79170.0</v>
      </c>
      <c r="C19964" s="38" t="s">
        <v>24461</v>
      </c>
      <c r="D19964" s="38" t="str">
        <f>IFERROR(__xludf.DUMMYFUNCTION("REGEXREPLACE(C19964,""-\d+(.*)|--\d+(.*)"","""")"),"MAUZE-SUR-LE-MIGNON")</f>
        <v>MAUZE-SUR-LE-MIGNON</v>
      </c>
      <c r="E19964" s="38" t="s">
        <v>337</v>
      </c>
      <c r="F19964" s="38" t="s">
        <v>338</v>
      </c>
      <c r="G19964" s="49" t="str">
        <f t="shared" si="1"/>
        <v>79210</v>
      </c>
      <c r="H19964" s="49">
        <f t="shared" si="2"/>
        <v>79170</v>
      </c>
    </row>
    <row r="19965">
      <c r="A19965" s="48" t="s">
        <v>8845</v>
      </c>
      <c r="B19965" s="38">
        <v>8004.0</v>
      </c>
      <c r="C19965" s="38" t="s">
        <v>24462</v>
      </c>
      <c r="D19965" s="38" t="str">
        <f>IFERROR(__xludf.DUMMYFUNCTION("REGEXREPLACE(C19965,""-\d+(.*)|--\d+(.*)"","""")"),"AIRE")</f>
        <v>AIRE</v>
      </c>
      <c r="E19965" s="38" t="s">
        <v>327</v>
      </c>
      <c r="F19965" s="38" t="s">
        <v>130</v>
      </c>
      <c r="G19965" s="49" t="str">
        <f t="shared" si="1"/>
        <v>08190</v>
      </c>
      <c r="H19965" s="49" t="str">
        <f t="shared" si="2"/>
        <v>08004</v>
      </c>
    </row>
    <row r="19966">
      <c r="A19966" s="48" t="s">
        <v>1323</v>
      </c>
      <c r="B19966" s="38">
        <v>21102.0</v>
      </c>
      <c r="C19966" s="38" t="s">
        <v>24463</v>
      </c>
      <c r="D19966" s="38" t="str">
        <f>IFERROR(__xludf.DUMMYFUNCTION("REGEXREPLACE(C19966,""-\d+(.*)|--\d+(.*)"","""")"),"BRAZEY-EN-MORVAN")</f>
        <v>BRAZEY-EN-MORVAN</v>
      </c>
      <c r="E19966" s="38" t="s">
        <v>105</v>
      </c>
      <c r="F19966" s="38" t="s">
        <v>106</v>
      </c>
      <c r="G19966" s="49" t="str">
        <f t="shared" si="1"/>
        <v>21430</v>
      </c>
      <c r="H19966" s="49">
        <f t="shared" si="2"/>
        <v>21102</v>
      </c>
    </row>
    <row r="19967">
      <c r="A19967" s="48" t="s">
        <v>6021</v>
      </c>
      <c r="B19967" s="38">
        <v>30225.0</v>
      </c>
      <c r="C19967" s="38" t="s">
        <v>24464</v>
      </c>
      <c r="D19967" s="38" t="str">
        <f>IFERROR(__xludf.DUMMYFUNCTION("REGEXREPLACE(C19967,""-\d+(.*)|--\d+(.*)"","""")"),"SABRAN")</f>
        <v>SABRAN</v>
      </c>
      <c r="E19967" s="38" t="s">
        <v>526</v>
      </c>
      <c r="F19967" s="38" t="s">
        <v>119</v>
      </c>
      <c r="G19967" s="49" t="str">
        <f t="shared" si="1"/>
        <v>30200</v>
      </c>
      <c r="H19967" s="49">
        <f t="shared" si="2"/>
        <v>30225</v>
      </c>
    </row>
    <row r="19968">
      <c r="A19968" s="48" t="s">
        <v>24465</v>
      </c>
      <c r="B19968" s="38">
        <v>65059.0</v>
      </c>
      <c r="C19968" s="38" t="s">
        <v>24466</v>
      </c>
      <c r="D19968" s="38" t="str">
        <f>IFERROR(__xludf.DUMMYFUNCTION("REGEXREPLACE(C19968,""-\d+(.*)|--\d+(.*)"","""")"),"BAGNERES-DE-BIGORRE")</f>
        <v>BAGNERES-DE-BIGORRE</v>
      </c>
      <c r="E19968" s="38" t="s">
        <v>200</v>
      </c>
      <c r="F19968" s="38" t="s">
        <v>94</v>
      </c>
      <c r="G19968" s="49" t="str">
        <f t="shared" si="1"/>
        <v>65200/65710</v>
      </c>
      <c r="H19968" s="49">
        <f t="shared" si="2"/>
        <v>65059</v>
      </c>
    </row>
    <row r="19969">
      <c r="A19969" s="48" t="s">
        <v>24467</v>
      </c>
      <c r="B19969" s="38">
        <v>30341.0</v>
      </c>
      <c r="C19969" s="38" t="s">
        <v>24468</v>
      </c>
      <c r="D19969" s="38" t="str">
        <f>IFERROR(__xludf.DUMMYFUNCTION("REGEXREPLACE(C19969,""-\d+(.*)|--\d+(.*)"","""")"),"VAUVERT")</f>
        <v>VAUVERT</v>
      </c>
      <c r="E19969" s="38" t="s">
        <v>526</v>
      </c>
      <c r="F19969" s="38" t="s">
        <v>119</v>
      </c>
      <c r="G19969" s="49" t="str">
        <f t="shared" si="1"/>
        <v>30600</v>
      </c>
      <c r="H19969" s="49">
        <f t="shared" si="2"/>
        <v>30341</v>
      </c>
    </row>
    <row r="19970">
      <c r="A19970" s="48" t="s">
        <v>24469</v>
      </c>
      <c r="B19970" s="38">
        <v>13081.0</v>
      </c>
      <c r="C19970" s="38" t="s">
        <v>24470</v>
      </c>
      <c r="D19970" s="38" t="str">
        <f>IFERROR(__xludf.DUMMYFUNCTION("REGEXREPLACE(C19970,""-\d+(.*)|--\d+(.*)"","""")"),"ROGNAC")</f>
        <v>ROGNAC</v>
      </c>
      <c r="E19970" s="38" t="s">
        <v>980</v>
      </c>
      <c r="F19970" s="38" t="s">
        <v>228</v>
      </c>
      <c r="G19970" s="49" t="str">
        <f t="shared" si="1"/>
        <v>13340</v>
      </c>
      <c r="H19970" s="49">
        <f t="shared" si="2"/>
        <v>13081</v>
      </c>
    </row>
    <row r="19971">
      <c r="A19971" s="48" t="s">
        <v>17322</v>
      </c>
      <c r="B19971" s="38">
        <v>33205.0</v>
      </c>
      <c r="C19971" s="38" t="s">
        <v>24471</v>
      </c>
      <c r="D19971" s="38" t="str">
        <f>IFERROR(__xludf.DUMMYFUNCTION("REGEXREPLACE(C19971,""-\d+(.*)|--\d+(.*)"","""")"),"ILLATS")</f>
        <v>ILLATS</v>
      </c>
      <c r="E19971" s="38" t="s">
        <v>462</v>
      </c>
      <c r="F19971" s="38" t="s">
        <v>252</v>
      </c>
      <c r="G19971" s="49" t="str">
        <f t="shared" si="1"/>
        <v>33720</v>
      </c>
      <c r="H19971" s="49">
        <f t="shared" si="2"/>
        <v>33205</v>
      </c>
    </row>
    <row r="19972">
      <c r="A19972" s="48" t="s">
        <v>171</v>
      </c>
      <c r="B19972" s="38">
        <v>56211.0</v>
      </c>
      <c r="C19972" s="38" t="s">
        <v>24472</v>
      </c>
      <c r="D19972" s="38" t="str">
        <f>IFERROR(__xludf.DUMMYFUNCTION("REGEXREPLACE(C19972,""-\d+(.*)|--\d+(.*)"","""")"),"SAINT-CONGARD")</f>
        <v>SAINT-CONGARD</v>
      </c>
      <c r="E19972" s="38" t="s">
        <v>173</v>
      </c>
      <c r="F19972" s="38" t="s">
        <v>90</v>
      </c>
      <c r="G19972" s="49" t="str">
        <f t="shared" si="1"/>
        <v>56140</v>
      </c>
      <c r="H19972" s="49">
        <f t="shared" si="2"/>
        <v>56211</v>
      </c>
    </row>
    <row r="19973">
      <c r="A19973" s="48" t="s">
        <v>17375</v>
      </c>
      <c r="B19973" s="38">
        <v>62727.0</v>
      </c>
      <c r="C19973" s="38" t="s">
        <v>24473</v>
      </c>
      <c r="D19973" s="38" t="str">
        <f>IFERROR(__xludf.DUMMYFUNCTION("REGEXREPLACE(C19973,""-\d+(.*)|--\d+(.*)"","""")"),"RUITZ")</f>
        <v>RUITZ</v>
      </c>
      <c r="E19973" s="38" t="s">
        <v>109</v>
      </c>
      <c r="F19973" s="38" t="s">
        <v>86</v>
      </c>
      <c r="G19973" s="49" t="str">
        <f t="shared" si="1"/>
        <v>62620</v>
      </c>
      <c r="H19973" s="49">
        <f t="shared" si="2"/>
        <v>62727</v>
      </c>
    </row>
    <row r="19974">
      <c r="A19974" s="48" t="s">
        <v>24474</v>
      </c>
      <c r="B19974" s="38">
        <v>66140.0</v>
      </c>
      <c r="C19974" s="38" t="s">
        <v>24475</v>
      </c>
      <c r="D19974" s="38" t="str">
        <f>IFERROR(__xludf.DUMMYFUNCTION("REGEXREPLACE(C19974,""-\d+(.*)|--\d+(.*)"","""")"),"PEZILLA-LA-RIVIERE")</f>
        <v>PEZILLA-LA-RIVIERE</v>
      </c>
      <c r="E19974" s="38" t="s">
        <v>248</v>
      </c>
      <c r="F19974" s="38" t="s">
        <v>119</v>
      </c>
      <c r="G19974" s="49" t="str">
        <f t="shared" si="1"/>
        <v>66370</v>
      </c>
      <c r="H19974" s="49">
        <f t="shared" si="2"/>
        <v>66140</v>
      </c>
    </row>
    <row r="19975">
      <c r="A19975" s="48" t="s">
        <v>1124</v>
      </c>
      <c r="B19975" s="38">
        <v>61308.0</v>
      </c>
      <c r="C19975" s="38" t="s">
        <v>24476</v>
      </c>
      <c r="D19975" s="38" t="str">
        <f>IFERROR(__xludf.DUMMYFUNCTION("REGEXREPLACE(C19975,""-\d+(.*)|--\d+(.*)"","""")"),"NEUVY-AU-HOULME")</f>
        <v>NEUVY-AU-HOULME</v>
      </c>
      <c r="E19975" s="38" t="s">
        <v>141</v>
      </c>
      <c r="F19975" s="38" t="s">
        <v>138</v>
      </c>
      <c r="G19975" s="49" t="str">
        <f t="shared" si="1"/>
        <v>61210</v>
      </c>
      <c r="H19975" s="49">
        <f t="shared" si="2"/>
        <v>61308</v>
      </c>
    </row>
    <row r="19976">
      <c r="A19976" s="48" t="s">
        <v>10763</v>
      </c>
      <c r="B19976" s="38">
        <v>22015.0</v>
      </c>
      <c r="C19976" s="38" t="s">
        <v>24477</v>
      </c>
      <c r="D19976" s="38" t="str">
        <f>IFERROR(__xludf.DUMMYFUNCTION("REGEXREPLACE(C19976,""-\d+(.*)|--\d+(.*)"","""")"),"BREHAND")</f>
        <v>BREHAND</v>
      </c>
      <c r="E19976" s="38" t="s">
        <v>89</v>
      </c>
      <c r="F19976" s="38" t="s">
        <v>90</v>
      </c>
      <c r="G19976" s="49" t="str">
        <f t="shared" si="1"/>
        <v>22510</v>
      </c>
      <c r="H19976" s="49">
        <f t="shared" si="2"/>
        <v>22015</v>
      </c>
    </row>
    <row r="19977">
      <c r="A19977" s="48" t="s">
        <v>99</v>
      </c>
      <c r="B19977" s="38">
        <v>38302.0</v>
      </c>
      <c r="C19977" s="38" t="s">
        <v>24478</v>
      </c>
      <c r="D19977" s="38" t="str">
        <f>IFERROR(__xludf.DUMMYFUNCTION("REGEXREPLACE(C19977,""-\d+(.*)|--\d+(.*)"","""")"),"LE PERIER")</f>
        <v>LE PERIER</v>
      </c>
      <c r="E19977" s="38" t="s">
        <v>101</v>
      </c>
      <c r="F19977" s="38" t="s">
        <v>102</v>
      </c>
      <c r="G19977" s="49" t="str">
        <f t="shared" si="1"/>
        <v>38740</v>
      </c>
      <c r="H19977" s="49">
        <f t="shared" si="2"/>
        <v>38302</v>
      </c>
    </row>
    <row r="19978">
      <c r="A19978" s="48" t="s">
        <v>7706</v>
      </c>
      <c r="B19978" s="38">
        <v>59048.0</v>
      </c>
      <c r="C19978" s="38" t="s">
        <v>24479</v>
      </c>
      <c r="D19978" s="38" t="str">
        <f>IFERROR(__xludf.DUMMYFUNCTION("REGEXREPLACE(C19978,""-\d+(.*)|--\d+(.*)"","""")"),"BANTIGNY")</f>
        <v>BANTIGNY</v>
      </c>
      <c r="E19978" s="38" t="s">
        <v>85</v>
      </c>
      <c r="F19978" s="38" t="s">
        <v>86</v>
      </c>
      <c r="G19978" s="49" t="str">
        <f t="shared" si="1"/>
        <v>59554</v>
      </c>
      <c r="H19978" s="49">
        <f t="shared" si="2"/>
        <v>59048</v>
      </c>
    </row>
    <row r="19979">
      <c r="A19979" s="48" t="s">
        <v>3508</v>
      </c>
      <c r="B19979" s="38">
        <v>51049.0</v>
      </c>
      <c r="C19979" s="38" t="s">
        <v>24480</v>
      </c>
      <c r="D19979" s="38" t="str">
        <f>IFERROR(__xludf.DUMMYFUNCTION("REGEXREPLACE(C19979,""-\d+(.*)|--\d+(.*)"","""")"),"BERGERES-LES-VERTUS")</f>
        <v>BERGERES-LES-VERTUS</v>
      </c>
      <c r="E19979" s="38" t="s">
        <v>129</v>
      </c>
      <c r="F19979" s="38" t="s">
        <v>130</v>
      </c>
      <c r="G19979" s="49" t="str">
        <f t="shared" si="1"/>
        <v>51130</v>
      </c>
      <c r="H19979" s="49">
        <f t="shared" si="2"/>
        <v>51049</v>
      </c>
    </row>
    <row r="19980">
      <c r="A19980" s="48" t="s">
        <v>13906</v>
      </c>
      <c r="B19980" s="38">
        <v>3135.0</v>
      </c>
      <c r="C19980" s="38" t="s">
        <v>24481</v>
      </c>
      <c r="D19980" s="38" t="str">
        <f>IFERROR(__xludf.DUMMYFUNCTION("REGEXREPLACE(C19980,""-\d+(.*)|--\d+(.*)"","""")"),"LALIZOLLE")</f>
        <v>LALIZOLLE</v>
      </c>
      <c r="E19980" s="38" t="s">
        <v>160</v>
      </c>
      <c r="F19980" s="38" t="s">
        <v>161</v>
      </c>
      <c r="G19980" s="49" t="str">
        <f t="shared" si="1"/>
        <v>03450</v>
      </c>
      <c r="H19980" s="49" t="str">
        <f t="shared" si="2"/>
        <v>03135</v>
      </c>
    </row>
    <row r="19981">
      <c r="A19981" s="48" t="s">
        <v>13129</v>
      </c>
      <c r="B19981" s="38">
        <v>24022.0</v>
      </c>
      <c r="C19981" s="38" t="s">
        <v>24482</v>
      </c>
      <c r="D19981" s="38" t="str">
        <f>IFERROR(__xludf.DUMMYFUNCTION("REGEXREPLACE(C19981,""-\d+(.*)|--\d+(.*)"","""")"),"BADEFOLS-SUR-DORDOGNE")</f>
        <v>BADEFOLS-SUR-DORDOGNE</v>
      </c>
      <c r="E19981" s="38" t="s">
        <v>261</v>
      </c>
      <c r="F19981" s="38" t="s">
        <v>252</v>
      </c>
      <c r="G19981" s="49" t="str">
        <f t="shared" si="1"/>
        <v>24150</v>
      </c>
      <c r="H19981" s="49">
        <f t="shared" si="2"/>
        <v>24022</v>
      </c>
    </row>
    <row r="19982">
      <c r="A19982" s="48" t="s">
        <v>4316</v>
      </c>
      <c r="B19982" s="38">
        <v>49252.0</v>
      </c>
      <c r="C19982" s="38" t="s">
        <v>24483</v>
      </c>
      <c r="D19982" s="38" t="str">
        <f>IFERROR(__xludf.DUMMYFUNCTION("REGEXREPLACE(C19982,""-\d+(.*)|--\d+(.*)"","""")"),"LE PUISET-DORE")</f>
        <v>LE PUISET-DORE</v>
      </c>
      <c r="E19982" s="38" t="s">
        <v>653</v>
      </c>
      <c r="F19982" s="38" t="s">
        <v>180</v>
      </c>
      <c r="G19982" s="49" t="str">
        <f t="shared" si="1"/>
        <v>49600</v>
      </c>
      <c r="H19982" s="49">
        <f t="shared" si="2"/>
        <v>49252</v>
      </c>
    </row>
    <row r="19983">
      <c r="A19983" s="48" t="s">
        <v>3364</v>
      </c>
      <c r="B19983" s="38">
        <v>62292.0</v>
      </c>
      <c r="C19983" s="38" t="s">
        <v>24484</v>
      </c>
      <c r="D19983" s="38" t="str">
        <f>IFERROR(__xludf.DUMMYFUNCTION("REGEXREPLACE(C19983,""-\d+(.*)|--\d+(.*)"","""")"),"ELNES")</f>
        <v>ELNES</v>
      </c>
      <c r="E19983" s="38" t="s">
        <v>109</v>
      </c>
      <c r="F19983" s="38" t="s">
        <v>86</v>
      </c>
      <c r="G19983" s="49" t="str">
        <f t="shared" si="1"/>
        <v>62380</v>
      </c>
      <c r="H19983" s="49">
        <f t="shared" si="2"/>
        <v>62292</v>
      </c>
    </row>
    <row r="19984">
      <c r="A19984" s="48" t="s">
        <v>14869</v>
      </c>
      <c r="B19984" s="38">
        <v>87044.0</v>
      </c>
      <c r="C19984" s="38" t="s">
        <v>24485</v>
      </c>
      <c r="D19984" s="38" t="str">
        <f>IFERROR(__xludf.DUMMYFUNCTION("REGEXREPLACE(C19984,""-\d+(.*)|--\d+(.*)"","""")"),"CHERONNAC")</f>
        <v>CHERONNAC</v>
      </c>
      <c r="E19984" s="38" t="s">
        <v>897</v>
      </c>
      <c r="F19984" s="38" t="s">
        <v>98</v>
      </c>
      <c r="G19984" s="49" t="str">
        <f t="shared" si="1"/>
        <v>87600</v>
      </c>
      <c r="H19984" s="49">
        <f t="shared" si="2"/>
        <v>87044</v>
      </c>
    </row>
    <row r="19985">
      <c r="A19985" s="48" t="s">
        <v>970</v>
      </c>
      <c r="B19985" s="38">
        <v>2256.0</v>
      </c>
      <c r="C19985" s="38" t="s">
        <v>24486</v>
      </c>
      <c r="D19985" s="38" t="str">
        <f>IFERROR(__xludf.DUMMYFUNCTION("REGEXREPLACE(C19985,""-\d+(.*)|--\d+(.*)"","""")"),"DAGNY-LAMBERCY")</f>
        <v>DAGNY-LAMBERCY</v>
      </c>
      <c r="E19985" s="38" t="s">
        <v>191</v>
      </c>
      <c r="F19985" s="38" t="s">
        <v>113</v>
      </c>
      <c r="G19985" s="49" t="str">
        <f t="shared" si="1"/>
        <v>02140</v>
      </c>
      <c r="H19985" s="49" t="str">
        <f t="shared" si="2"/>
        <v>02256</v>
      </c>
    </row>
    <row r="19986">
      <c r="A19986" s="48" t="s">
        <v>5743</v>
      </c>
      <c r="B19986" s="38">
        <v>52291.0</v>
      </c>
      <c r="C19986" s="38" t="s">
        <v>24487</v>
      </c>
      <c r="D19986" s="38" t="str">
        <f>IFERROR(__xludf.DUMMYFUNCTION("REGEXREPLACE(C19986,""-\d+(.*)|--\d+(.*)"","""")"),"LONGCHAMP")</f>
        <v>LONGCHAMP</v>
      </c>
      <c r="E19986" s="38" t="s">
        <v>234</v>
      </c>
      <c r="F19986" s="38" t="s">
        <v>130</v>
      </c>
      <c r="G19986" s="49" t="str">
        <f t="shared" si="1"/>
        <v>52240</v>
      </c>
      <c r="H19986" s="49">
        <f t="shared" si="2"/>
        <v>52291</v>
      </c>
    </row>
    <row r="19987">
      <c r="A19987" s="48" t="s">
        <v>1046</v>
      </c>
      <c r="B19987" s="38">
        <v>26240.0</v>
      </c>
      <c r="C19987" s="38" t="s">
        <v>24488</v>
      </c>
      <c r="D19987" s="38" t="str">
        <f>IFERROR(__xludf.DUMMYFUNCTION("REGEXREPLACE(C19987,""-\d+(.*)|--\d+(.*)"","""")"),"PLAN-DE-BAIX")</f>
        <v>PLAN-DE-BAIX</v>
      </c>
      <c r="E19987" s="38" t="s">
        <v>126</v>
      </c>
      <c r="F19987" s="38" t="s">
        <v>102</v>
      </c>
      <c r="G19987" s="49" t="str">
        <f t="shared" si="1"/>
        <v>26400</v>
      </c>
      <c r="H19987" s="49">
        <f t="shared" si="2"/>
        <v>26240</v>
      </c>
    </row>
    <row r="19988">
      <c r="A19988" s="48" t="s">
        <v>1618</v>
      </c>
      <c r="B19988" s="38">
        <v>11410.0</v>
      </c>
      <c r="C19988" s="38" t="s">
        <v>24489</v>
      </c>
      <c r="D19988" s="38" t="str">
        <f>IFERROR(__xludf.DUMMYFUNCTION("REGEXREPLACE(C19988,""-\d+(.*)|--\d+(.*)"","""")"),"VILLALIER")</f>
        <v>VILLALIER</v>
      </c>
      <c r="E19988" s="38" t="s">
        <v>278</v>
      </c>
      <c r="F19988" s="38" t="s">
        <v>119</v>
      </c>
      <c r="G19988" s="49" t="str">
        <f t="shared" si="1"/>
        <v>11600</v>
      </c>
      <c r="H19988" s="49">
        <f t="shared" si="2"/>
        <v>11410</v>
      </c>
    </row>
    <row r="19989">
      <c r="A19989" s="48" t="s">
        <v>1810</v>
      </c>
      <c r="B19989" s="38">
        <v>23201.0</v>
      </c>
      <c r="C19989" s="38" t="s">
        <v>24490</v>
      </c>
      <c r="D19989" s="38" t="str">
        <f>IFERROR(__xludf.DUMMYFUNCTION("REGEXREPLACE(C19989,""-\d+(.*)|--\d+(.*)"","""")"),"SAINT-HILAIRE-LA-PLAINE")</f>
        <v>SAINT-HILAIRE-LA-PLAINE</v>
      </c>
      <c r="E19989" s="38" t="s">
        <v>97</v>
      </c>
      <c r="F19989" s="38" t="s">
        <v>98</v>
      </c>
      <c r="G19989" s="49" t="str">
        <f t="shared" si="1"/>
        <v>23150</v>
      </c>
      <c r="H19989" s="49">
        <f t="shared" si="2"/>
        <v>23201</v>
      </c>
    </row>
    <row r="19990">
      <c r="A19990" s="48" t="s">
        <v>24491</v>
      </c>
      <c r="B19990" s="38">
        <v>28218.0</v>
      </c>
      <c r="C19990" s="38" t="s">
        <v>24492</v>
      </c>
      <c r="D19990" s="38" t="str">
        <f>IFERROR(__xludf.DUMMYFUNCTION("REGEXREPLACE(C19990,""-\d+(.*)|--\d+(.*)"","""")"),"LUCE")</f>
        <v>LUCE</v>
      </c>
      <c r="E19990" s="38" t="s">
        <v>300</v>
      </c>
      <c r="F19990" s="38" t="s">
        <v>123</v>
      </c>
      <c r="G19990" s="49" t="str">
        <f t="shared" si="1"/>
        <v>28110</v>
      </c>
      <c r="H19990" s="49">
        <f t="shared" si="2"/>
        <v>28218</v>
      </c>
    </row>
    <row r="19991">
      <c r="A19991" s="48" t="s">
        <v>13730</v>
      </c>
      <c r="B19991" s="38">
        <v>95611.0</v>
      </c>
      <c r="C19991" s="38" t="s">
        <v>21193</v>
      </c>
      <c r="D19991" s="38" t="str">
        <f>IFERROR(__xludf.DUMMYFUNCTION("REGEXREPLACE(C19991,""-\d+(.*)|--\d+(.*)"","""")"),"THEUVILLE")</f>
        <v>THEUVILLE</v>
      </c>
      <c r="E19991" s="38" t="s">
        <v>541</v>
      </c>
      <c r="F19991" s="38" t="s">
        <v>245</v>
      </c>
      <c r="G19991" s="49" t="str">
        <f t="shared" si="1"/>
        <v>95810</v>
      </c>
      <c r="H19991" s="49">
        <f t="shared" si="2"/>
        <v>95611</v>
      </c>
    </row>
    <row r="19992">
      <c r="A19992" s="48" t="s">
        <v>10904</v>
      </c>
      <c r="B19992" s="38">
        <v>74212.0</v>
      </c>
      <c r="C19992" s="38" t="s">
        <v>24493</v>
      </c>
      <c r="D19992" s="38" t="str">
        <f>IFERROR(__xludf.DUMMYFUNCTION("REGEXREPLACE(C19992,""-\d+(.*)|--\d+(.*)"","""")"),"LE PETIT-BORNAND-LES-GLIERES")</f>
        <v>LE PETIT-BORNAND-LES-GLIERES</v>
      </c>
      <c r="E19992" s="38" t="s">
        <v>319</v>
      </c>
      <c r="F19992" s="38" t="s">
        <v>102</v>
      </c>
      <c r="G19992" s="49" t="str">
        <f t="shared" si="1"/>
        <v>74130</v>
      </c>
      <c r="H19992" s="49">
        <f t="shared" si="2"/>
        <v>74212</v>
      </c>
    </row>
    <row r="19993">
      <c r="A19993" s="48" t="s">
        <v>1718</v>
      </c>
      <c r="B19993" s="38">
        <v>43203.0</v>
      </c>
      <c r="C19993" s="38" t="s">
        <v>24494</v>
      </c>
      <c r="D19993" s="38" t="str">
        <f>IFERROR(__xludf.DUMMYFUNCTION("REGEXREPLACE(C19993,""-\d+(.*)|--\d+(.*)"","""")"),"SAINT-JULIEN-DU-PINET")</f>
        <v>SAINT-JULIEN-DU-PINET</v>
      </c>
      <c r="E19993" s="38" t="s">
        <v>332</v>
      </c>
      <c r="F19993" s="38" t="s">
        <v>161</v>
      </c>
      <c r="G19993" s="49" t="str">
        <f t="shared" si="1"/>
        <v>43200</v>
      </c>
      <c r="H19993" s="49">
        <f t="shared" si="2"/>
        <v>43203</v>
      </c>
    </row>
    <row r="19994">
      <c r="A19994" s="48" t="s">
        <v>15329</v>
      </c>
      <c r="B19994" s="38">
        <v>54151.0</v>
      </c>
      <c r="C19994" s="38" t="s">
        <v>24495</v>
      </c>
      <c r="D19994" s="38" t="str">
        <f>IFERROR(__xludf.DUMMYFUNCTION("REGEXREPLACE(C19994,""-\d+(.*)|--\d+(.*)"","""")"),"CUTRY")</f>
        <v>CUTRY</v>
      </c>
      <c r="E19994" s="38" t="s">
        <v>548</v>
      </c>
      <c r="F19994" s="38" t="s">
        <v>195</v>
      </c>
      <c r="G19994" s="49" t="str">
        <f t="shared" si="1"/>
        <v>54720</v>
      </c>
      <c r="H19994" s="49">
        <f t="shared" si="2"/>
        <v>54151</v>
      </c>
    </row>
    <row r="19995">
      <c r="A19995" s="48" t="s">
        <v>2298</v>
      </c>
      <c r="B19995" s="38">
        <v>85279.0</v>
      </c>
      <c r="C19995" s="38" t="s">
        <v>13275</v>
      </c>
      <c r="D19995" s="38" t="str">
        <f>IFERROR(__xludf.DUMMYFUNCTION("REGEXREPLACE(C19995,""-\d+(.*)|--\d+(.*)"","""")"),"SALIGNY")</f>
        <v>SALIGNY</v>
      </c>
      <c r="E19995" s="38" t="s">
        <v>179</v>
      </c>
      <c r="F19995" s="38" t="s">
        <v>180</v>
      </c>
      <c r="G19995" s="49" t="str">
        <f t="shared" si="1"/>
        <v>85170</v>
      </c>
      <c r="H19995" s="49">
        <f t="shared" si="2"/>
        <v>85279</v>
      </c>
    </row>
    <row r="19996">
      <c r="A19996" s="48" t="s">
        <v>6670</v>
      </c>
      <c r="B19996" s="38">
        <v>32162.0</v>
      </c>
      <c r="C19996" s="38" t="s">
        <v>24496</v>
      </c>
      <c r="D19996" s="38" t="str">
        <f>IFERROR(__xludf.DUMMYFUNCTION("REGEXREPLACE(C19996,""-\d+(.*)|--\d+(.*)"","""")"),"JEGUN")</f>
        <v>JEGUN</v>
      </c>
      <c r="E19996" s="38" t="s">
        <v>440</v>
      </c>
      <c r="F19996" s="38" t="s">
        <v>94</v>
      </c>
      <c r="G19996" s="49" t="str">
        <f t="shared" si="1"/>
        <v>32360</v>
      </c>
      <c r="H19996" s="49">
        <f t="shared" si="2"/>
        <v>32162</v>
      </c>
    </row>
    <row r="19997">
      <c r="A19997" s="48" t="s">
        <v>1986</v>
      </c>
      <c r="B19997" s="38">
        <v>79133.0</v>
      </c>
      <c r="C19997" s="38" t="s">
        <v>24497</v>
      </c>
      <c r="D19997" s="38" t="str">
        <f>IFERROR(__xludf.DUMMYFUNCTION("REGEXREPLACE(C19997,""-\d+(.*)|--\d+(.*)"","""")"),"GERMOND-ROUVRE")</f>
        <v>GERMOND-ROUVRE</v>
      </c>
      <c r="E19997" s="38" t="s">
        <v>337</v>
      </c>
      <c r="F19997" s="38" t="s">
        <v>338</v>
      </c>
      <c r="G19997" s="49" t="str">
        <f t="shared" si="1"/>
        <v>79220</v>
      </c>
      <c r="H19997" s="49">
        <f t="shared" si="2"/>
        <v>79133</v>
      </c>
    </row>
    <row r="19998">
      <c r="A19998" s="48" t="s">
        <v>15681</v>
      </c>
      <c r="B19998" s="38">
        <v>86207.0</v>
      </c>
      <c r="C19998" s="38" t="s">
        <v>24498</v>
      </c>
      <c r="D19998" s="38" t="str">
        <f>IFERROR(__xludf.DUMMYFUNCTION("REGEXREPLACE(C19998,""-\d+(.*)|--\d+(.*)"","""")"),"LA ROCHE-POSAY")</f>
        <v>LA ROCHE-POSAY</v>
      </c>
      <c r="E19998" s="38" t="s">
        <v>529</v>
      </c>
      <c r="F19998" s="38" t="s">
        <v>338</v>
      </c>
      <c r="G19998" s="49" t="str">
        <f t="shared" si="1"/>
        <v>86270</v>
      </c>
      <c r="H19998" s="49">
        <f t="shared" si="2"/>
        <v>86207</v>
      </c>
    </row>
    <row r="19999">
      <c r="A19999" s="48" t="s">
        <v>1964</v>
      </c>
      <c r="B19999" s="38">
        <v>26017.0</v>
      </c>
      <c r="C19999" s="38" t="s">
        <v>24499</v>
      </c>
      <c r="D19999" s="38" t="str">
        <f>IFERROR(__xludf.DUMMYFUNCTION("REGEXREPLACE(C19999,""-\d+(.*)|--\d+(.*)"","""")"),"AUCELON")</f>
        <v>AUCELON</v>
      </c>
      <c r="E19999" s="38" t="s">
        <v>126</v>
      </c>
      <c r="F19999" s="38" t="s">
        <v>102</v>
      </c>
      <c r="G19999" s="49" t="str">
        <f t="shared" si="1"/>
        <v>26340</v>
      </c>
      <c r="H19999" s="49">
        <f t="shared" si="2"/>
        <v>26017</v>
      </c>
    </row>
    <row r="20000">
      <c r="A20000" s="48" t="s">
        <v>9995</v>
      </c>
      <c r="B20000" s="38">
        <v>49306.0</v>
      </c>
      <c r="C20000" s="38" t="s">
        <v>24500</v>
      </c>
      <c r="D20000" s="38" t="str">
        <f>IFERROR(__xludf.DUMMYFUNCTION("REGEXREPLACE(C20000,""-\d+(.*)|--\d+(.*)"","""")"),"SAINT-MARTIN-DU-FOUILLOUX")</f>
        <v>SAINT-MARTIN-DU-FOUILLOUX</v>
      </c>
      <c r="E20000" s="38" t="s">
        <v>653</v>
      </c>
      <c r="F20000" s="38" t="s">
        <v>180</v>
      </c>
      <c r="G20000" s="49" t="str">
        <f t="shared" si="1"/>
        <v>49170</v>
      </c>
      <c r="H20000" s="49">
        <f t="shared" si="2"/>
        <v>49306</v>
      </c>
    </row>
    <row r="20001">
      <c r="A20001" s="48" t="s">
        <v>2681</v>
      </c>
      <c r="B20001" s="38">
        <v>67520.0</v>
      </c>
      <c r="C20001" s="38" t="s">
        <v>24501</v>
      </c>
      <c r="D20001" s="38" t="str">
        <f>IFERROR(__xludf.DUMMYFUNCTION("REGEXREPLACE(C20001,""-\d+(.*)|--\d+(.*)"","""")"),"WASSELONNE")</f>
        <v>WASSELONNE</v>
      </c>
      <c r="E20001" s="38" t="s">
        <v>210</v>
      </c>
      <c r="F20001" s="38" t="s">
        <v>151</v>
      </c>
      <c r="G20001" s="49" t="str">
        <f t="shared" si="1"/>
        <v>67310</v>
      </c>
      <c r="H20001" s="49">
        <f t="shared" si="2"/>
        <v>67520</v>
      </c>
    </row>
    <row r="20002">
      <c r="A20002" s="48" t="s">
        <v>16724</v>
      </c>
      <c r="B20002" s="38">
        <v>10142.0</v>
      </c>
      <c r="C20002" s="38" t="s">
        <v>24502</v>
      </c>
      <c r="D20002" s="38" t="str">
        <f>IFERROR(__xludf.DUMMYFUNCTION("REGEXREPLACE(C20002,""-\d+(.*)|--\d+(.*)"","""")"),"ESTISSAC")</f>
        <v>ESTISSAC</v>
      </c>
      <c r="E20002" s="38" t="s">
        <v>147</v>
      </c>
      <c r="F20002" s="38" t="s">
        <v>130</v>
      </c>
      <c r="G20002" s="49" t="str">
        <f t="shared" si="1"/>
        <v>10190</v>
      </c>
      <c r="H20002" s="49">
        <f t="shared" si="2"/>
        <v>10142</v>
      </c>
    </row>
    <row r="20003">
      <c r="A20003" s="48" t="s">
        <v>4624</v>
      </c>
      <c r="B20003" s="38">
        <v>74201.0</v>
      </c>
      <c r="C20003" s="38" t="s">
        <v>24503</v>
      </c>
      <c r="D20003" s="38" t="str">
        <f>IFERROR(__xludf.DUMMYFUNCTION("REGEXREPLACE(C20003,""-\d+(.*)|--\d+(.*)"","""")"),"NEYDENS")</f>
        <v>NEYDENS</v>
      </c>
      <c r="E20003" s="38" t="s">
        <v>319</v>
      </c>
      <c r="F20003" s="38" t="s">
        <v>102</v>
      </c>
      <c r="G20003" s="49" t="str">
        <f t="shared" si="1"/>
        <v>74160</v>
      </c>
      <c r="H20003" s="49">
        <f t="shared" si="2"/>
        <v>74201</v>
      </c>
    </row>
    <row r="20004">
      <c r="A20004" s="48" t="s">
        <v>2515</v>
      </c>
      <c r="B20004" s="38">
        <v>87198.0</v>
      </c>
      <c r="C20004" s="38" t="s">
        <v>24504</v>
      </c>
      <c r="D20004" s="38" t="str">
        <f>IFERROR(__xludf.DUMMYFUNCTION("REGEXREPLACE(C20004,""-\d+(.*)|--\d+(.*)"","""")"),"VAULRY")</f>
        <v>VAULRY</v>
      </c>
      <c r="E20004" s="38" t="s">
        <v>897</v>
      </c>
      <c r="F20004" s="38" t="s">
        <v>98</v>
      </c>
      <c r="G20004" s="49" t="str">
        <f t="shared" si="1"/>
        <v>87140</v>
      </c>
      <c r="H20004" s="49">
        <f t="shared" si="2"/>
        <v>87198</v>
      </c>
    </row>
    <row r="20005">
      <c r="A20005" s="48" t="s">
        <v>7073</v>
      </c>
      <c r="B20005" s="38">
        <v>38467.0</v>
      </c>
      <c r="C20005" s="38" t="s">
        <v>24505</v>
      </c>
      <c r="D20005" s="38" t="str">
        <f>IFERROR(__xludf.DUMMYFUNCTION("REGEXREPLACE(C20005,""-\d+(.*)|--\d+(.*)"","""")"),"SALAGNON")</f>
        <v>SALAGNON</v>
      </c>
      <c r="E20005" s="38" t="s">
        <v>101</v>
      </c>
      <c r="F20005" s="38" t="s">
        <v>102</v>
      </c>
      <c r="G20005" s="49" t="str">
        <f t="shared" si="1"/>
        <v>38890</v>
      </c>
      <c r="H20005" s="49">
        <f t="shared" si="2"/>
        <v>38467</v>
      </c>
    </row>
    <row r="20006">
      <c r="A20006" s="48" t="s">
        <v>21810</v>
      </c>
      <c r="B20006" s="38">
        <v>89436.0</v>
      </c>
      <c r="C20006" s="38" t="s">
        <v>24506</v>
      </c>
      <c r="D20006" s="38" t="str">
        <f>IFERROR(__xludf.DUMMYFUNCTION("REGEXREPLACE(C20006,""-\d+(.*)|--\d+(.*)"","""")"),"VENIZY")</f>
        <v>VENIZY</v>
      </c>
      <c r="E20006" s="38" t="s">
        <v>275</v>
      </c>
      <c r="F20006" s="38" t="s">
        <v>106</v>
      </c>
      <c r="G20006" s="49" t="str">
        <f t="shared" si="1"/>
        <v>89210</v>
      </c>
      <c r="H20006" s="49">
        <f t="shared" si="2"/>
        <v>89436</v>
      </c>
    </row>
    <row r="20007">
      <c r="A20007" s="48" t="s">
        <v>7166</v>
      </c>
      <c r="B20007" s="38">
        <v>52450.0</v>
      </c>
      <c r="C20007" s="38" t="s">
        <v>24507</v>
      </c>
      <c r="D20007" s="38" t="str">
        <f>IFERROR(__xludf.DUMMYFUNCTION("REGEXREPLACE(C20007,""-\d+(.*)|--\d+(.*)"","""")"),"SAINT-LOUP-SUR-AUJON")</f>
        <v>SAINT-LOUP-SUR-AUJON</v>
      </c>
      <c r="E20007" s="38" t="s">
        <v>234</v>
      </c>
      <c r="F20007" s="38" t="s">
        <v>130</v>
      </c>
      <c r="G20007" s="49" t="str">
        <f t="shared" si="1"/>
        <v>52210</v>
      </c>
      <c r="H20007" s="49">
        <f t="shared" si="2"/>
        <v>52450</v>
      </c>
    </row>
    <row r="20008">
      <c r="A20008" s="48" t="s">
        <v>1319</v>
      </c>
      <c r="B20008" s="38">
        <v>58086.0</v>
      </c>
      <c r="C20008" s="38" t="s">
        <v>24508</v>
      </c>
      <c r="D20008" s="38" t="str">
        <f>IFERROR(__xludf.DUMMYFUNCTION("REGEXREPLACE(C20008,""-\d+(.*)|--\d+(.*)"","""")"),"COSNE-COURS-SUR-LOIRE")</f>
        <v>COSNE-COURS-SUR-LOIRE</v>
      </c>
      <c r="E20008" s="38" t="s">
        <v>219</v>
      </c>
      <c r="F20008" s="38" t="s">
        <v>106</v>
      </c>
      <c r="G20008" s="49" t="str">
        <f t="shared" si="1"/>
        <v>58200</v>
      </c>
      <c r="H20008" s="49">
        <f t="shared" si="2"/>
        <v>58086</v>
      </c>
    </row>
    <row r="20009">
      <c r="A20009" s="48" t="s">
        <v>8642</v>
      </c>
      <c r="B20009" s="38" t="s">
        <v>24509</v>
      </c>
      <c r="C20009" s="38" t="s">
        <v>24510</v>
      </c>
      <c r="D20009" s="38" t="str">
        <f>IFERROR(__xludf.DUMMYFUNCTION("REGEXREPLACE(C20009,""-\d+(.*)|--\d+(.*)"","""")"),"GIOCATOJO")</f>
        <v>GIOCATOJO</v>
      </c>
      <c r="E20009" s="38" t="s">
        <v>743</v>
      </c>
      <c r="F20009" s="38" t="s">
        <v>607</v>
      </c>
      <c r="G20009" s="49" t="str">
        <f t="shared" si="1"/>
        <v>20237</v>
      </c>
      <c r="H20009" s="49" t="str">
        <f t="shared" si="2"/>
        <v>2B125</v>
      </c>
    </row>
    <row r="20010">
      <c r="A20010" s="48" t="s">
        <v>5302</v>
      </c>
      <c r="B20010" s="38">
        <v>14415.0</v>
      </c>
      <c r="C20010" s="38" t="s">
        <v>24511</v>
      </c>
      <c r="D20010" s="38" t="str">
        <f>IFERROR(__xludf.DUMMYFUNCTION("REGEXREPLACE(C20010,""-\d+(.*)|--\d+(.*)"","""")"),"LE MESNIL-BENOIST")</f>
        <v>LE MESNIL-BENOIST</v>
      </c>
      <c r="E20010" s="38" t="s">
        <v>137</v>
      </c>
      <c r="F20010" s="38" t="s">
        <v>138</v>
      </c>
      <c r="G20010" s="49" t="str">
        <f t="shared" si="1"/>
        <v>14380</v>
      </c>
      <c r="H20010" s="49">
        <f t="shared" si="2"/>
        <v>14415</v>
      </c>
    </row>
    <row r="20011">
      <c r="A20011" s="48" t="s">
        <v>4900</v>
      </c>
      <c r="B20011" s="38">
        <v>33542.0</v>
      </c>
      <c r="C20011" s="38" t="s">
        <v>24512</v>
      </c>
      <c r="D20011" s="38" t="str">
        <f>IFERROR(__xludf.DUMMYFUNCTION("REGEXREPLACE(C20011,""-\d+(.*)|--\d+(.*)"","""")"),"VERAC")</f>
        <v>VERAC</v>
      </c>
      <c r="E20011" s="38" t="s">
        <v>462</v>
      </c>
      <c r="F20011" s="38" t="s">
        <v>252</v>
      </c>
      <c r="G20011" s="49" t="str">
        <f t="shared" si="1"/>
        <v>33240</v>
      </c>
      <c r="H20011" s="49">
        <f t="shared" si="2"/>
        <v>33542</v>
      </c>
    </row>
    <row r="20012">
      <c r="A20012" s="48" t="s">
        <v>1356</v>
      </c>
      <c r="B20012" s="38">
        <v>57611.0</v>
      </c>
      <c r="C20012" s="38" t="s">
        <v>2856</v>
      </c>
      <c r="D20012" s="38" t="str">
        <f>IFERROR(__xludf.DUMMYFUNCTION("REGEXREPLACE(C20012,""-\d+(.*)|--\d+(.*)"","""")"),"SAINT-GEORGES")</f>
        <v>SAINT-GEORGES</v>
      </c>
      <c r="E20012" s="38" t="s">
        <v>303</v>
      </c>
      <c r="F20012" s="38" t="s">
        <v>195</v>
      </c>
      <c r="G20012" s="49" t="str">
        <f t="shared" si="1"/>
        <v>57830</v>
      </c>
      <c r="H20012" s="49">
        <f t="shared" si="2"/>
        <v>57611</v>
      </c>
    </row>
    <row r="20013">
      <c r="A20013" s="48" t="s">
        <v>222</v>
      </c>
      <c r="B20013" s="38">
        <v>80766.0</v>
      </c>
      <c r="C20013" s="38" t="s">
        <v>24513</v>
      </c>
      <c r="D20013" s="38" t="str">
        <f>IFERROR(__xludf.DUMMYFUNCTION("REGEXREPLACE(C20013,""-\d+(.*)|--\d+(.*)"","""")"),"TOUTENCOURT")</f>
        <v>TOUTENCOURT</v>
      </c>
      <c r="E20013" s="38" t="s">
        <v>224</v>
      </c>
      <c r="F20013" s="38" t="s">
        <v>113</v>
      </c>
      <c r="G20013" s="49" t="str">
        <f t="shared" si="1"/>
        <v>80560</v>
      </c>
      <c r="H20013" s="49">
        <f t="shared" si="2"/>
        <v>80766</v>
      </c>
    </row>
    <row r="20014">
      <c r="A20014" s="48" t="s">
        <v>24514</v>
      </c>
      <c r="B20014" s="38">
        <v>34244.0</v>
      </c>
      <c r="C20014" s="38" t="s">
        <v>24515</v>
      </c>
      <c r="D20014" s="38" t="str">
        <f>IFERROR(__xludf.DUMMYFUNCTION("REGEXREPLACE(C20014,""-\d+(.*)|--\d+(.*)"","""")"),"SAINT-BRES")</f>
        <v>SAINT-BRES</v>
      </c>
      <c r="E20014" s="38" t="s">
        <v>118</v>
      </c>
      <c r="F20014" s="38" t="s">
        <v>119</v>
      </c>
      <c r="G20014" s="49" t="str">
        <f t="shared" si="1"/>
        <v>34670</v>
      </c>
      <c r="H20014" s="49">
        <f t="shared" si="2"/>
        <v>34244</v>
      </c>
    </row>
    <row r="20015">
      <c r="A20015" s="48" t="s">
        <v>4499</v>
      </c>
      <c r="B20015" s="38">
        <v>25104.0</v>
      </c>
      <c r="C20015" s="38" t="s">
        <v>24516</v>
      </c>
      <c r="D20015" s="38" t="str">
        <f>IFERROR(__xludf.DUMMYFUNCTION("REGEXREPLACE(C20015,""-\d+(.*)|--\d+(.*)"","""")"),"BY")</f>
        <v>BY</v>
      </c>
      <c r="E20015" s="38" t="s">
        <v>213</v>
      </c>
      <c r="F20015" s="38" t="s">
        <v>214</v>
      </c>
      <c r="G20015" s="49" t="str">
        <f t="shared" si="1"/>
        <v>25440</v>
      </c>
      <c r="H20015" s="49">
        <f t="shared" si="2"/>
        <v>25104</v>
      </c>
    </row>
    <row r="20016">
      <c r="A20016" s="48" t="s">
        <v>2547</v>
      </c>
      <c r="B20016" s="38">
        <v>8470.0</v>
      </c>
      <c r="C20016" s="38" t="s">
        <v>24517</v>
      </c>
      <c r="D20016" s="38" t="str">
        <f>IFERROR(__xludf.DUMMYFUNCTION("REGEXREPLACE(C20016,""-\d+(.*)|--\d+(.*)"","""")"),"VERPEL")</f>
        <v>VERPEL</v>
      </c>
      <c r="E20016" s="38" t="s">
        <v>327</v>
      </c>
      <c r="F20016" s="38" t="s">
        <v>130</v>
      </c>
      <c r="G20016" s="49" t="str">
        <f t="shared" si="1"/>
        <v>08240</v>
      </c>
      <c r="H20016" s="49" t="str">
        <f t="shared" si="2"/>
        <v>08470</v>
      </c>
    </row>
    <row r="20017">
      <c r="A20017" s="48" t="s">
        <v>12897</v>
      </c>
      <c r="B20017" s="38">
        <v>67345.0</v>
      </c>
      <c r="C20017" s="38" t="s">
        <v>24518</v>
      </c>
      <c r="D20017" s="38" t="str">
        <f>IFERROR(__xludf.DUMMYFUNCTION("REGEXREPLACE(C20017,""-\d+(.*)|--\d+(.*)"","""")"),"OBERHOFFEN-SUR-MODER")</f>
        <v>OBERHOFFEN-SUR-MODER</v>
      </c>
      <c r="E20017" s="38" t="s">
        <v>210</v>
      </c>
      <c r="F20017" s="38" t="s">
        <v>151</v>
      </c>
      <c r="G20017" s="49" t="str">
        <f t="shared" si="1"/>
        <v>67240</v>
      </c>
      <c r="H20017" s="49">
        <f t="shared" si="2"/>
        <v>67345</v>
      </c>
    </row>
    <row r="20018">
      <c r="A20018" s="48" t="s">
        <v>11385</v>
      </c>
      <c r="B20018" s="38">
        <v>44111.0</v>
      </c>
      <c r="C20018" s="38" t="s">
        <v>24519</v>
      </c>
      <c r="D20018" s="38" t="str">
        <f>IFERROR(__xludf.DUMMYFUNCTION("REGEXREPLACE(C20018,""-\d+(.*)|--\d+(.*)"","""")"),"NOTRE-DAME-DES-LANDES")</f>
        <v>NOTRE-DAME-DES-LANDES</v>
      </c>
      <c r="E20018" s="38" t="s">
        <v>759</v>
      </c>
      <c r="F20018" s="38" t="s">
        <v>180</v>
      </c>
      <c r="G20018" s="49" t="str">
        <f t="shared" si="1"/>
        <v>44130</v>
      </c>
      <c r="H20018" s="49">
        <f t="shared" si="2"/>
        <v>44111</v>
      </c>
    </row>
    <row r="20019">
      <c r="A20019" s="48" t="s">
        <v>796</v>
      </c>
      <c r="B20019" s="38">
        <v>89486.0</v>
      </c>
      <c r="C20019" s="38" t="s">
        <v>24520</v>
      </c>
      <c r="D20019" s="38" t="str">
        <f>IFERROR(__xludf.DUMMYFUNCTION("REGEXREPLACE(C20019,""-\d+(.*)|--\d+(.*)"","""")"),"YROUERRE")</f>
        <v>YROUERRE</v>
      </c>
      <c r="E20019" s="38" t="s">
        <v>275</v>
      </c>
      <c r="F20019" s="38" t="s">
        <v>106</v>
      </c>
      <c r="G20019" s="49" t="str">
        <f t="shared" si="1"/>
        <v>89700</v>
      </c>
      <c r="H20019" s="49">
        <f t="shared" si="2"/>
        <v>89486</v>
      </c>
    </row>
    <row r="20020">
      <c r="A20020" s="48" t="s">
        <v>4247</v>
      </c>
      <c r="B20020" s="38">
        <v>59366.0</v>
      </c>
      <c r="C20020" s="38" t="s">
        <v>24521</v>
      </c>
      <c r="D20020" s="38" t="str">
        <f>IFERROR(__xludf.DUMMYFUNCTION("REGEXREPLACE(C20020,""-\d+(.*)|--\d+(.*)"","""")"),"LYNDE")</f>
        <v>LYNDE</v>
      </c>
      <c r="E20020" s="38" t="s">
        <v>85</v>
      </c>
      <c r="F20020" s="38" t="s">
        <v>86</v>
      </c>
      <c r="G20020" s="49" t="str">
        <f t="shared" si="1"/>
        <v>59173</v>
      </c>
      <c r="H20020" s="49">
        <f t="shared" si="2"/>
        <v>59366</v>
      </c>
    </row>
    <row r="20021">
      <c r="A20021" s="48" t="s">
        <v>13144</v>
      </c>
      <c r="B20021" s="38">
        <v>27251.0</v>
      </c>
      <c r="C20021" s="38" t="s">
        <v>24522</v>
      </c>
      <c r="D20021" s="38" t="str">
        <f>IFERROR(__xludf.DUMMYFUNCTION("REGEXREPLACE(C20021,""-\d+(.*)|--\d+(.*)"","""")"),"FONTAINE-L'ABBE")</f>
        <v>FONTAINE-L'ABBE</v>
      </c>
      <c r="E20021" s="38" t="s">
        <v>241</v>
      </c>
      <c r="F20021" s="38" t="s">
        <v>134</v>
      </c>
      <c r="G20021" s="49" t="str">
        <f t="shared" si="1"/>
        <v>27470</v>
      </c>
      <c r="H20021" s="49">
        <f t="shared" si="2"/>
        <v>27251</v>
      </c>
    </row>
    <row r="20022">
      <c r="A20022" s="48" t="s">
        <v>5875</v>
      </c>
      <c r="B20022" s="38">
        <v>14666.0</v>
      </c>
      <c r="C20022" s="38" t="s">
        <v>24523</v>
      </c>
      <c r="D20022" s="38" t="str">
        <f>IFERROR(__xludf.DUMMYFUNCTION("REGEXREPLACE(C20022,""-\d+(.*)|--\d+(.*)"","""")"),"SANNERVILLE")</f>
        <v>SANNERVILLE</v>
      </c>
      <c r="E20022" s="38" t="s">
        <v>137</v>
      </c>
      <c r="F20022" s="38" t="s">
        <v>138</v>
      </c>
      <c r="G20022" s="49" t="str">
        <f t="shared" si="1"/>
        <v>14940</v>
      </c>
      <c r="H20022" s="49">
        <f t="shared" si="2"/>
        <v>14666</v>
      </c>
    </row>
    <row r="20023">
      <c r="A20023" s="48" t="s">
        <v>6073</v>
      </c>
      <c r="B20023" s="38">
        <v>40076.0</v>
      </c>
      <c r="C20023" s="38" t="s">
        <v>24524</v>
      </c>
      <c r="D20023" s="38" t="str">
        <f>IFERROR(__xludf.DUMMYFUNCTION("REGEXREPLACE(C20023,""-\d+(.*)|--\d+(.*)"","""")"),"CAUNA")</f>
        <v>CAUNA</v>
      </c>
      <c r="E20023" s="38" t="s">
        <v>281</v>
      </c>
      <c r="F20023" s="38" t="s">
        <v>252</v>
      </c>
      <c r="G20023" s="49" t="str">
        <f t="shared" si="1"/>
        <v>40500</v>
      </c>
      <c r="H20023" s="49">
        <f t="shared" si="2"/>
        <v>40076</v>
      </c>
    </row>
    <row r="20024">
      <c r="A20024" s="48" t="s">
        <v>8054</v>
      </c>
      <c r="B20024" s="38">
        <v>95675.0</v>
      </c>
      <c r="C20024" s="38" t="s">
        <v>24525</v>
      </c>
      <c r="D20024" s="38" t="str">
        <f>IFERROR(__xludf.DUMMYFUNCTION("REGEXREPLACE(C20024,""-\d+(.*)|--\d+(.*)"","""")"),"VILLERON")</f>
        <v>VILLERON</v>
      </c>
      <c r="E20024" s="38" t="s">
        <v>541</v>
      </c>
      <c r="F20024" s="38" t="s">
        <v>245</v>
      </c>
      <c r="G20024" s="49" t="str">
        <f t="shared" si="1"/>
        <v>95380</v>
      </c>
      <c r="H20024" s="49">
        <f t="shared" si="2"/>
        <v>95675</v>
      </c>
    </row>
    <row r="20025">
      <c r="A20025" s="48" t="s">
        <v>24526</v>
      </c>
      <c r="B20025" s="38">
        <v>85113.0</v>
      </c>
      <c r="C20025" s="38" t="s">
        <v>24527</v>
      </c>
      <c r="D20025" s="38" t="str">
        <f>IFERROR(__xludf.DUMMYFUNCTION("REGEXREPLACE(C20025,""-\d+(.*)|--\d+(.*)"","""")"),"L'ILE-D'YEU")</f>
        <v>L'ILE-D'YEU</v>
      </c>
      <c r="E20025" s="38" t="s">
        <v>179</v>
      </c>
      <c r="F20025" s="38" t="s">
        <v>180</v>
      </c>
      <c r="G20025" s="49" t="str">
        <f t="shared" si="1"/>
        <v>85350</v>
      </c>
      <c r="H20025" s="49">
        <f t="shared" si="2"/>
        <v>85113</v>
      </c>
    </row>
    <row r="20026">
      <c r="A20026" s="48" t="s">
        <v>16561</v>
      </c>
      <c r="B20026" s="38">
        <v>27049.0</v>
      </c>
      <c r="C20026" s="38" t="s">
        <v>24528</v>
      </c>
      <c r="D20026" s="38" t="str">
        <f>IFERROR(__xludf.DUMMYFUNCTION("REGEXREPLACE(C20026,""-\d+(.*)|--\d+(.*)"","""")"),"BEAUMESNIL")</f>
        <v>BEAUMESNIL</v>
      </c>
      <c r="E20026" s="38" t="s">
        <v>241</v>
      </c>
      <c r="F20026" s="38" t="s">
        <v>134</v>
      </c>
      <c r="G20026" s="49" t="str">
        <f t="shared" si="1"/>
        <v>27410</v>
      </c>
      <c r="H20026" s="49">
        <f t="shared" si="2"/>
        <v>27049</v>
      </c>
    </row>
    <row r="20027">
      <c r="A20027" s="48" t="s">
        <v>10651</v>
      </c>
      <c r="B20027" s="38">
        <v>81062.0</v>
      </c>
      <c r="C20027" s="38" t="s">
        <v>24529</v>
      </c>
      <c r="D20027" s="38" t="str">
        <f>IFERROR(__xludf.DUMMYFUNCTION("REGEXREPLACE(C20027,""-\d+(.*)|--\d+(.*)"","""")"),"CASTELNAU-DE-BRASSAC")</f>
        <v>CASTELNAU-DE-BRASSAC</v>
      </c>
      <c r="E20027" s="38" t="s">
        <v>231</v>
      </c>
      <c r="F20027" s="38" t="s">
        <v>94</v>
      </c>
      <c r="G20027" s="49" t="str">
        <f t="shared" si="1"/>
        <v>81260</v>
      </c>
      <c r="H20027" s="49">
        <f t="shared" si="2"/>
        <v>81062</v>
      </c>
    </row>
    <row r="20028">
      <c r="A20028" s="48" t="s">
        <v>3172</v>
      </c>
      <c r="B20028" s="38">
        <v>28277.0</v>
      </c>
      <c r="C20028" s="38" t="s">
        <v>24530</v>
      </c>
      <c r="D20028" s="38" t="str">
        <f>IFERROR(__xludf.DUMMYFUNCTION("REGEXREPLACE(C20028,""-\d+(.*)|--\d+(.*)"","""")"),"NEUVY-EN-DUNOIS")</f>
        <v>NEUVY-EN-DUNOIS</v>
      </c>
      <c r="E20028" s="38" t="s">
        <v>300</v>
      </c>
      <c r="F20028" s="38" t="s">
        <v>123</v>
      </c>
      <c r="G20028" s="49" t="str">
        <f t="shared" si="1"/>
        <v>28800</v>
      </c>
      <c r="H20028" s="49">
        <f t="shared" si="2"/>
        <v>28277</v>
      </c>
    </row>
    <row r="20029">
      <c r="A20029" s="48" t="s">
        <v>5239</v>
      </c>
      <c r="B20029" s="38">
        <v>65245.0</v>
      </c>
      <c r="C20029" s="38" t="s">
        <v>3207</v>
      </c>
      <c r="D20029" s="38" t="str">
        <f>IFERROR(__xludf.DUMMYFUNCTION("REGEXREPLACE(C20029,""-\d+(.*)|--\d+(.*)"","""")"),"LAGRANGE")</f>
        <v>LAGRANGE</v>
      </c>
      <c r="E20029" s="38" t="s">
        <v>200</v>
      </c>
      <c r="F20029" s="38" t="s">
        <v>94</v>
      </c>
      <c r="G20029" s="49" t="str">
        <f t="shared" si="1"/>
        <v>65300</v>
      </c>
      <c r="H20029" s="49">
        <f t="shared" si="2"/>
        <v>65245</v>
      </c>
    </row>
    <row r="20030">
      <c r="A20030" s="48" t="s">
        <v>3570</v>
      </c>
      <c r="B20030" s="38">
        <v>76101.0</v>
      </c>
      <c r="C20030" s="38" t="s">
        <v>24531</v>
      </c>
      <c r="D20030" s="38" t="str">
        <f>IFERROR(__xludf.DUMMYFUNCTION("REGEXREPLACE(C20030,""-\d+(.*)|--\d+(.*)"","""")"),"BLANGY-SUR-BRESLE")</f>
        <v>BLANGY-SUR-BRESLE</v>
      </c>
      <c r="E20030" s="38" t="s">
        <v>133</v>
      </c>
      <c r="F20030" s="38" t="s">
        <v>134</v>
      </c>
      <c r="G20030" s="49" t="str">
        <f t="shared" si="1"/>
        <v>76340</v>
      </c>
      <c r="H20030" s="49">
        <f t="shared" si="2"/>
        <v>76101</v>
      </c>
    </row>
    <row r="20031">
      <c r="A20031" s="48" t="s">
        <v>10358</v>
      </c>
      <c r="B20031" s="38">
        <v>42159.0</v>
      </c>
      <c r="C20031" s="38" t="s">
        <v>24532</v>
      </c>
      <c r="D20031" s="38" t="str">
        <f>IFERROR(__xludf.DUMMYFUNCTION("REGEXREPLACE(C20031,""-\d+(.*)|--\d+(.*)"","""")"),"NOIRETABLE")</f>
        <v>NOIRETABLE</v>
      </c>
      <c r="E20031" s="38" t="s">
        <v>166</v>
      </c>
      <c r="F20031" s="38" t="s">
        <v>102</v>
      </c>
      <c r="G20031" s="49" t="str">
        <f t="shared" si="1"/>
        <v>42440</v>
      </c>
      <c r="H20031" s="49">
        <f t="shared" si="2"/>
        <v>42159</v>
      </c>
    </row>
    <row r="20032">
      <c r="A20032" s="48" t="s">
        <v>1018</v>
      </c>
      <c r="B20032" s="38">
        <v>60089.0</v>
      </c>
      <c r="C20032" s="38" t="s">
        <v>24533</v>
      </c>
      <c r="D20032" s="38" t="str">
        <f>IFERROR(__xludf.DUMMYFUNCTION("REGEXREPLACE(C20032,""-\d+(.*)|--\d+(.*)"","""")"),"BOUBIERS")</f>
        <v>BOUBIERS</v>
      </c>
      <c r="E20032" s="38" t="s">
        <v>112</v>
      </c>
      <c r="F20032" s="38" t="s">
        <v>113</v>
      </c>
      <c r="G20032" s="49" t="str">
        <f t="shared" si="1"/>
        <v>60240</v>
      </c>
      <c r="H20032" s="49">
        <f t="shared" si="2"/>
        <v>60089</v>
      </c>
    </row>
    <row r="20033">
      <c r="A20033" s="48" t="s">
        <v>785</v>
      </c>
      <c r="B20033" s="38">
        <v>33289.0</v>
      </c>
      <c r="C20033" s="38" t="s">
        <v>4587</v>
      </c>
      <c r="D20033" s="38" t="str">
        <f>IFERROR(__xludf.DUMMYFUNCTION("REGEXREPLACE(C20033,""-\d+(.*)|--\d+(.*)"","""")"),"MONSEGUR")</f>
        <v>MONSEGUR</v>
      </c>
      <c r="E20033" s="38" t="s">
        <v>462</v>
      </c>
      <c r="F20033" s="38" t="s">
        <v>252</v>
      </c>
      <c r="G20033" s="49" t="str">
        <f t="shared" si="1"/>
        <v>33580</v>
      </c>
      <c r="H20033" s="49">
        <f t="shared" si="2"/>
        <v>33289</v>
      </c>
    </row>
    <row r="20034">
      <c r="A20034" s="48" t="s">
        <v>13844</v>
      </c>
      <c r="B20034" s="38">
        <v>88012.0</v>
      </c>
      <c r="C20034" s="38" t="s">
        <v>24534</v>
      </c>
      <c r="D20034" s="38" t="str">
        <f>IFERROR(__xludf.DUMMYFUNCTION("REGEXREPLACE(C20034,""-\d+(.*)|--\d+(.*)"","""")"),"ARCHETTES")</f>
        <v>ARCHETTES</v>
      </c>
      <c r="E20034" s="38" t="s">
        <v>194</v>
      </c>
      <c r="F20034" s="38" t="s">
        <v>195</v>
      </c>
      <c r="G20034" s="49" t="str">
        <f t="shared" si="1"/>
        <v>88380</v>
      </c>
      <c r="H20034" s="49">
        <f t="shared" si="2"/>
        <v>88012</v>
      </c>
    </row>
    <row r="20035">
      <c r="A20035" s="48" t="s">
        <v>9064</v>
      </c>
      <c r="B20035" s="38">
        <v>15163.0</v>
      </c>
      <c r="C20035" s="38" t="s">
        <v>24535</v>
      </c>
      <c r="D20035" s="38" t="str">
        <f>IFERROR(__xludf.DUMMYFUNCTION("REGEXREPLACE(C20035,""-\d+(.*)|--\d+(.*)"","""")"),"ROANNES-SAINT-MARY")</f>
        <v>ROANNES-SAINT-MARY</v>
      </c>
      <c r="E20035" s="38" t="s">
        <v>632</v>
      </c>
      <c r="F20035" s="38" t="s">
        <v>161</v>
      </c>
      <c r="G20035" s="49" t="str">
        <f t="shared" si="1"/>
        <v>15220</v>
      </c>
      <c r="H20035" s="49">
        <f t="shared" si="2"/>
        <v>15163</v>
      </c>
    </row>
    <row r="20036">
      <c r="A20036" s="48" t="s">
        <v>4844</v>
      </c>
      <c r="B20036" s="38">
        <v>14252.0</v>
      </c>
      <c r="C20036" s="38" t="s">
        <v>24536</v>
      </c>
      <c r="D20036" s="38" t="str">
        <f>IFERROR(__xludf.DUMMYFUNCTION("REGEXREPLACE(C20036,""-\d+(.*)|--\d+(.*)"","""")"),"ESTREES-LA-CAMPAGNE")</f>
        <v>ESTREES-LA-CAMPAGNE</v>
      </c>
      <c r="E20036" s="38" t="s">
        <v>137</v>
      </c>
      <c r="F20036" s="38" t="s">
        <v>138</v>
      </c>
      <c r="G20036" s="49" t="str">
        <f t="shared" si="1"/>
        <v>14190</v>
      </c>
      <c r="H20036" s="49">
        <f t="shared" si="2"/>
        <v>14252</v>
      </c>
    </row>
    <row r="20037">
      <c r="A20037" s="48" t="s">
        <v>5941</v>
      </c>
      <c r="B20037" s="38">
        <v>22335.0</v>
      </c>
      <c r="C20037" s="38" t="s">
        <v>24537</v>
      </c>
      <c r="D20037" s="38" t="str">
        <f>IFERROR(__xludf.DUMMYFUNCTION("REGEXREPLACE(C20037,""-\d+(.*)|--\d+(.*)"","""")"),"SENVEN-LEHART")</f>
        <v>SENVEN-LEHART</v>
      </c>
      <c r="E20037" s="38" t="s">
        <v>89</v>
      </c>
      <c r="F20037" s="38" t="s">
        <v>90</v>
      </c>
      <c r="G20037" s="49" t="str">
        <f t="shared" si="1"/>
        <v>22720</v>
      </c>
      <c r="H20037" s="49">
        <f t="shared" si="2"/>
        <v>22335</v>
      </c>
    </row>
    <row r="20038">
      <c r="A20038" s="48" t="s">
        <v>5700</v>
      </c>
      <c r="B20038" s="38">
        <v>36137.0</v>
      </c>
      <c r="C20038" s="38" t="s">
        <v>24538</v>
      </c>
      <c r="D20038" s="38" t="str">
        <f>IFERROR(__xludf.DUMMYFUNCTION("REGEXREPLACE(C20038,""-\d+(.*)|--\d+(.*)"","""")"),"NEONS-SUR-CREUSE")</f>
        <v>NEONS-SUR-CREUSE</v>
      </c>
      <c r="E20038" s="38" t="s">
        <v>258</v>
      </c>
      <c r="F20038" s="38" t="s">
        <v>123</v>
      </c>
      <c r="G20038" s="49" t="str">
        <f t="shared" si="1"/>
        <v>36220</v>
      </c>
      <c r="H20038" s="49">
        <f t="shared" si="2"/>
        <v>36137</v>
      </c>
    </row>
    <row r="20039">
      <c r="A20039" s="48" t="s">
        <v>5334</v>
      </c>
      <c r="B20039" s="38" t="s">
        <v>24539</v>
      </c>
      <c r="C20039" s="38" t="s">
        <v>24540</v>
      </c>
      <c r="D20039" s="38" t="str">
        <f>IFERROR(__xludf.DUMMYFUNCTION("REGEXREPLACE(C20039,""-\d+(.*)|--\d+(.*)"","""")"),"MOROSAGLIA")</f>
        <v>MOROSAGLIA</v>
      </c>
      <c r="E20039" s="38" t="s">
        <v>743</v>
      </c>
      <c r="F20039" s="38" t="s">
        <v>607</v>
      </c>
      <c r="G20039" s="49" t="str">
        <f t="shared" si="1"/>
        <v>20218</v>
      </c>
      <c r="H20039" s="49" t="str">
        <f t="shared" si="2"/>
        <v>2B169</v>
      </c>
    </row>
    <row r="20040">
      <c r="A20040" s="48" t="s">
        <v>24541</v>
      </c>
      <c r="B20040" s="38">
        <v>63380.0</v>
      </c>
      <c r="C20040" s="38" t="s">
        <v>24542</v>
      </c>
      <c r="D20040" s="38" t="str">
        <f>IFERROR(__xludf.DUMMYFUNCTION("REGEXREPLACE(C20040,""-\d+(.*)|--\d+(.*)"","""")"),"SAINT-NECTAIRE")</f>
        <v>SAINT-NECTAIRE</v>
      </c>
      <c r="E20040" s="38" t="s">
        <v>353</v>
      </c>
      <c r="F20040" s="38" t="s">
        <v>161</v>
      </c>
      <c r="G20040" s="49" t="str">
        <f t="shared" si="1"/>
        <v>63710</v>
      </c>
      <c r="H20040" s="49">
        <f t="shared" si="2"/>
        <v>63380</v>
      </c>
    </row>
    <row r="20041">
      <c r="A20041" s="48" t="s">
        <v>5313</v>
      </c>
      <c r="B20041" s="38">
        <v>60176.0</v>
      </c>
      <c r="C20041" s="38" t="s">
        <v>24543</v>
      </c>
      <c r="D20041" s="38" t="str">
        <f>IFERROR(__xludf.DUMMYFUNCTION("REGEXREPLACE(C20041,""-\d+(.*)|--\d+(.*)"","""")"),"CREPY-EN-VALOIS")</f>
        <v>CREPY-EN-VALOIS</v>
      </c>
      <c r="E20041" s="38" t="s">
        <v>112</v>
      </c>
      <c r="F20041" s="38" t="s">
        <v>113</v>
      </c>
      <c r="G20041" s="49" t="str">
        <f t="shared" si="1"/>
        <v>60800</v>
      </c>
      <c r="H20041" s="49">
        <f t="shared" si="2"/>
        <v>60176</v>
      </c>
    </row>
    <row r="20042">
      <c r="A20042" s="48" t="s">
        <v>13699</v>
      </c>
      <c r="B20042" s="38">
        <v>22243.0</v>
      </c>
      <c r="C20042" s="38" t="s">
        <v>24544</v>
      </c>
      <c r="D20042" s="38" t="str">
        <f>IFERROR(__xludf.DUMMYFUNCTION("REGEXREPLACE(C20042,""-\d+(.*)|--\d+(.*)"","""")"),"PLUSQUELLEC")</f>
        <v>PLUSQUELLEC</v>
      </c>
      <c r="E20042" s="38" t="s">
        <v>89</v>
      </c>
      <c r="F20042" s="38" t="s">
        <v>90</v>
      </c>
      <c r="G20042" s="49" t="str">
        <f t="shared" si="1"/>
        <v>22160</v>
      </c>
      <c r="H20042" s="49">
        <f t="shared" si="2"/>
        <v>22243</v>
      </c>
    </row>
    <row r="20043">
      <c r="A20043" s="48" t="s">
        <v>1859</v>
      </c>
      <c r="B20043" s="38">
        <v>88332.0</v>
      </c>
      <c r="C20043" s="38" t="s">
        <v>24545</v>
      </c>
      <c r="D20043" s="38" t="str">
        <f>IFERROR(__xludf.DUMMYFUNCTION("REGEXREPLACE(C20043,""-\d+(.*)|--\d+(.*)"","""")"),"NORROY")</f>
        <v>NORROY</v>
      </c>
      <c r="E20043" s="38" t="s">
        <v>194</v>
      </c>
      <c r="F20043" s="38" t="s">
        <v>195</v>
      </c>
      <c r="G20043" s="49" t="str">
        <f t="shared" si="1"/>
        <v>88800</v>
      </c>
      <c r="H20043" s="49">
        <f t="shared" si="2"/>
        <v>88332</v>
      </c>
    </row>
    <row r="20044">
      <c r="A20044" s="48" t="s">
        <v>24546</v>
      </c>
      <c r="B20044" s="38">
        <v>39046.0</v>
      </c>
      <c r="C20044" s="38" t="s">
        <v>24547</v>
      </c>
      <c r="D20044" s="38" t="str">
        <f>IFERROR(__xludf.DUMMYFUNCTION("REGEXREPLACE(C20044,""-\d+(.*)|--\d+(.*)"","""")"),"BELLECOMBE")</f>
        <v>BELLECOMBE</v>
      </c>
      <c r="E20044" s="38" t="s">
        <v>400</v>
      </c>
      <c r="F20044" s="38" t="s">
        <v>214</v>
      </c>
      <c r="G20044" s="49" t="str">
        <f t="shared" si="1"/>
        <v>39310</v>
      </c>
      <c r="H20044" s="49">
        <f t="shared" si="2"/>
        <v>39046</v>
      </c>
    </row>
    <row r="20045">
      <c r="A20045" s="48" t="s">
        <v>10063</v>
      </c>
      <c r="B20045" s="38">
        <v>18107.0</v>
      </c>
      <c r="C20045" s="38" t="s">
        <v>24548</v>
      </c>
      <c r="D20045" s="38" t="str">
        <f>IFERROR(__xludf.DUMMYFUNCTION("REGEXREPLACE(C20045,""-\d+(.*)|--\d+(.*)"","""")"),"LA GROUTTE")</f>
        <v>LA GROUTTE</v>
      </c>
      <c r="E20045" s="38" t="s">
        <v>504</v>
      </c>
      <c r="F20045" s="38" t="s">
        <v>123</v>
      </c>
      <c r="G20045" s="49" t="str">
        <f t="shared" si="1"/>
        <v>18200</v>
      </c>
      <c r="H20045" s="49">
        <f t="shared" si="2"/>
        <v>18107</v>
      </c>
    </row>
    <row r="20046">
      <c r="A20046" s="48" t="s">
        <v>24549</v>
      </c>
      <c r="B20046" s="38">
        <v>78192.0</v>
      </c>
      <c r="C20046" s="38" t="s">
        <v>24550</v>
      </c>
      <c r="D20046" s="38" t="str">
        <f>IFERROR(__xludf.DUMMYFUNCTION("REGEXREPLACE(C20046,""-\d+(.*)|--\d+(.*)"","""")"),"DAMMARTIN-EN-SERVE")</f>
        <v>DAMMARTIN-EN-SERVE</v>
      </c>
      <c r="E20046" s="38" t="s">
        <v>362</v>
      </c>
      <c r="F20046" s="38" t="s">
        <v>245</v>
      </c>
      <c r="G20046" s="49" t="str">
        <f t="shared" si="1"/>
        <v>78111</v>
      </c>
      <c r="H20046" s="49">
        <f t="shared" si="2"/>
        <v>78192</v>
      </c>
    </row>
    <row r="20047">
      <c r="A20047" s="48" t="s">
        <v>7514</v>
      </c>
      <c r="B20047" s="38">
        <v>88010.0</v>
      </c>
      <c r="C20047" s="38" t="s">
        <v>24551</v>
      </c>
      <c r="D20047" s="38" t="str">
        <f>IFERROR(__xludf.DUMMYFUNCTION("REGEXREPLACE(C20047,""-\d+(.*)|--\d+(.*)"","""")"),"AOUZE")</f>
        <v>AOUZE</v>
      </c>
      <c r="E20047" s="38" t="s">
        <v>194</v>
      </c>
      <c r="F20047" s="38" t="s">
        <v>195</v>
      </c>
      <c r="G20047" s="49" t="str">
        <f t="shared" si="1"/>
        <v>88170</v>
      </c>
      <c r="H20047" s="49">
        <f t="shared" si="2"/>
        <v>88010</v>
      </c>
    </row>
    <row r="20048">
      <c r="A20048" s="48" t="s">
        <v>1724</v>
      </c>
      <c r="B20048" s="38">
        <v>26379.0</v>
      </c>
      <c r="C20048" s="38" t="s">
        <v>24552</v>
      </c>
      <c r="D20048" s="38" t="str">
        <f>IFERROR(__xludf.DUMMYFUNCTION("REGEXREPLACE(C20048,""-\d+(.*)|--\d+(.*)"","""")"),"GRANGES-LES-BEAUMONT")</f>
        <v>GRANGES-LES-BEAUMONT</v>
      </c>
      <c r="E20048" s="38" t="s">
        <v>126</v>
      </c>
      <c r="F20048" s="38" t="s">
        <v>102</v>
      </c>
      <c r="G20048" s="49" t="str">
        <f t="shared" si="1"/>
        <v>26600</v>
      </c>
      <c r="H20048" s="49">
        <f t="shared" si="2"/>
        <v>26379</v>
      </c>
    </row>
    <row r="20049">
      <c r="A20049" s="48" t="s">
        <v>301</v>
      </c>
      <c r="B20049" s="38">
        <v>57290.0</v>
      </c>
      <c r="C20049" s="38" t="s">
        <v>24553</v>
      </c>
      <c r="D20049" s="38" t="str">
        <f>IFERROR(__xludf.DUMMYFUNCTION("REGEXREPLACE(C20049,""-\d+(.*)|--\d+(.*)"","""")"),"HAMPONT")</f>
        <v>HAMPONT</v>
      </c>
      <c r="E20049" s="38" t="s">
        <v>303</v>
      </c>
      <c r="F20049" s="38" t="s">
        <v>195</v>
      </c>
      <c r="G20049" s="49" t="str">
        <f t="shared" si="1"/>
        <v>57170</v>
      </c>
      <c r="H20049" s="49">
        <f t="shared" si="2"/>
        <v>57290</v>
      </c>
    </row>
    <row r="20050">
      <c r="A20050" s="48" t="s">
        <v>1178</v>
      </c>
      <c r="B20050" s="38">
        <v>1115.0</v>
      </c>
      <c r="C20050" s="38" t="s">
        <v>24554</v>
      </c>
      <c r="D20050" s="38" t="str">
        <f>IFERROR(__xludf.DUMMYFUNCTION("REGEXREPLACE(C20050,""-\d+(.*)|--\d+(.*)"","""")"),"CONFRANCON")</f>
        <v>CONFRANCON</v>
      </c>
      <c r="E20050" s="38" t="s">
        <v>255</v>
      </c>
      <c r="F20050" s="38" t="s">
        <v>102</v>
      </c>
      <c r="G20050" s="49" t="str">
        <f t="shared" si="1"/>
        <v>01310</v>
      </c>
      <c r="H20050" s="49" t="str">
        <f t="shared" si="2"/>
        <v>01115</v>
      </c>
    </row>
    <row r="20051">
      <c r="A20051" s="48" t="s">
        <v>1953</v>
      </c>
      <c r="B20051" s="38">
        <v>36066.0</v>
      </c>
      <c r="C20051" s="38" t="s">
        <v>24555</v>
      </c>
      <c r="D20051" s="38" t="str">
        <f>IFERROR(__xludf.DUMMYFUNCTION("REGEXREPLACE(C20051,""-\d+(.*)|--\d+(.*)"","""")"),"DOUADIC")</f>
        <v>DOUADIC</v>
      </c>
      <c r="E20051" s="38" t="s">
        <v>258</v>
      </c>
      <c r="F20051" s="38" t="s">
        <v>123</v>
      </c>
      <c r="G20051" s="49" t="str">
        <f t="shared" si="1"/>
        <v>36300</v>
      </c>
      <c r="H20051" s="49">
        <f t="shared" si="2"/>
        <v>36066</v>
      </c>
    </row>
    <row r="20052">
      <c r="A20052" s="48" t="s">
        <v>22242</v>
      </c>
      <c r="B20052" s="38">
        <v>63432.0</v>
      </c>
      <c r="C20052" s="38" t="s">
        <v>24556</v>
      </c>
      <c r="D20052" s="38" t="str">
        <f>IFERROR(__xludf.DUMMYFUNCTION("REGEXREPLACE(C20052,""-\d+(.*)|--\d+(.*)"","""")"),"THURET")</f>
        <v>THURET</v>
      </c>
      <c r="E20052" s="38" t="s">
        <v>353</v>
      </c>
      <c r="F20052" s="38" t="s">
        <v>161</v>
      </c>
      <c r="G20052" s="49" t="str">
        <f t="shared" si="1"/>
        <v>63260</v>
      </c>
      <c r="H20052" s="49">
        <f t="shared" si="2"/>
        <v>63432</v>
      </c>
    </row>
    <row r="20053">
      <c r="A20053" s="48" t="s">
        <v>4586</v>
      </c>
      <c r="B20053" s="38">
        <v>40016.0</v>
      </c>
      <c r="C20053" s="38" t="s">
        <v>24557</v>
      </c>
      <c r="D20053" s="38" t="str">
        <f>IFERROR(__xludf.DUMMYFUNCTION("REGEXREPLACE(C20053,""-\d+(.*)|--\d+(.*)"","""")"),"AUBAGNAN")</f>
        <v>AUBAGNAN</v>
      </c>
      <c r="E20053" s="38" t="s">
        <v>281</v>
      </c>
      <c r="F20053" s="38" t="s">
        <v>252</v>
      </c>
      <c r="G20053" s="49" t="str">
        <f t="shared" si="1"/>
        <v>40700</v>
      </c>
      <c r="H20053" s="49">
        <f t="shared" si="2"/>
        <v>40016</v>
      </c>
    </row>
    <row r="20054">
      <c r="A20054" s="48" t="s">
        <v>3011</v>
      </c>
      <c r="B20054" s="38">
        <v>63123.0</v>
      </c>
      <c r="C20054" s="38" t="s">
        <v>24558</v>
      </c>
      <c r="D20054" s="38" t="str">
        <f>IFERROR(__xludf.DUMMYFUNCTION("REGEXREPLACE(C20054,""-\d+(.*)|--\d+(.*)"","""")"),"COURNOLS")</f>
        <v>COURNOLS</v>
      </c>
      <c r="E20054" s="38" t="s">
        <v>353</v>
      </c>
      <c r="F20054" s="38" t="s">
        <v>161</v>
      </c>
      <c r="G20054" s="49" t="str">
        <f t="shared" si="1"/>
        <v>63450</v>
      </c>
      <c r="H20054" s="49">
        <f t="shared" si="2"/>
        <v>63123</v>
      </c>
    </row>
    <row r="20055">
      <c r="A20055" s="48" t="s">
        <v>15637</v>
      </c>
      <c r="B20055" s="38">
        <v>66059.0</v>
      </c>
      <c r="C20055" s="38" t="s">
        <v>24559</v>
      </c>
      <c r="D20055" s="38" t="str">
        <f>IFERROR(__xludf.DUMMYFUNCTION("REGEXREPLACE(C20055,""-\d+(.*)|--\d+(.*)"","""")"),"CORNEILLA-DEL-VERCOL")</f>
        <v>CORNEILLA-DEL-VERCOL</v>
      </c>
      <c r="E20055" s="38" t="s">
        <v>248</v>
      </c>
      <c r="F20055" s="38" t="s">
        <v>119</v>
      </c>
      <c r="G20055" s="49" t="str">
        <f t="shared" si="1"/>
        <v>66200</v>
      </c>
      <c r="H20055" s="49">
        <f t="shared" si="2"/>
        <v>66059</v>
      </c>
    </row>
    <row r="20056">
      <c r="A20056" s="48" t="s">
        <v>14540</v>
      </c>
      <c r="B20056" s="38">
        <v>34181.0</v>
      </c>
      <c r="C20056" s="38" t="s">
        <v>24560</v>
      </c>
      <c r="D20056" s="38" t="str">
        <f>IFERROR(__xludf.DUMMYFUNCTION("REGEXREPLACE(C20056,""-\d+(.*)|--\d+(.*)"","""")"),"NEFFIES")</f>
        <v>NEFFIES</v>
      </c>
      <c r="E20056" s="38" t="s">
        <v>118</v>
      </c>
      <c r="F20056" s="38" t="s">
        <v>119</v>
      </c>
      <c r="G20056" s="49" t="str">
        <f t="shared" si="1"/>
        <v>34320</v>
      </c>
      <c r="H20056" s="49">
        <f t="shared" si="2"/>
        <v>34181</v>
      </c>
    </row>
    <row r="20057">
      <c r="A20057" s="48" t="s">
        <v>2063</v>
      </c>
      <c r="B20057" s="38">
        <v>43138.0</v>
      </c>
      <c r="C20057" s="38" t="s">
        <v>24561</v>
      </c>
      <c r="D20057" s="38" t="str">
        <f>IFERROR(__xludf.DUMMYFUNCTION("REGEXREPLACE(C20057,""-\d+(.*)|--\d+(.*)"","""")"),"MONLET")</f>
        <v>MONLET</v>
      </c>
      <c r="E20057" s="38" t="s">
        <v>332</v>
      </c>
      <c r="F20057" s="38" t="s">
        <v>161</v>
      </c>
      <c r="G20057" s="49" t="str">
        <f t="shared" si="1"/>
        <v>43270</v>
      </c>
      <c r="H20057" s="49">
        <f t="shared" si="2"/>
        <v>43138</v>
      </c>
    </row>
    <row r="20058">
      <c r="A20058" s="48" t="s">
        <v>3198</v>
      </c>
      <c r="B20058" s="38">
        <v>32071.0</v>
      </c>
      <c r="C20058" s="38" t="s">
        <v>24562</v>
      </c>
      <c r="D20058" s="38" t="str">
        <f>IFERROR(__xludf.DUMMYFUNCTION("REGEXREPLACE(C20058,""-\d+(.*)|--\d+(.*)"","""")"),"CAILLAVET")</f>
        <v>CAILLAVET</v>
      </c>
      <c r="E20058" s="38" t="s">
        <v>440</v>
      </c>
      <c r="F20058" s="38" t="s">
        <v>94</v>
      </c>
      <c r="G20058" s="49" t="str">
        <f t="shared" si="1"/>
        <v>32190</v>
      </c>
      <c r="H20058" s="49">
        <f t="shared" si="2"/>
        <v>32071</v>
      </c>
    </row>
    <row r="20059">
      <c r="A20059" s="48" t="s">
        <v>24563</v>
      </c>
      <c r="B20059" s="38">
        <v>33032.0</v>
      </c>
      <c r="C20059" s="38" t="s">
        <v>21909</v>
      </c>
      <c r="D20059" s="38" t="str">
        <f>IFERROR(__xludf.DUMMYFUNCTION("REGEXREPLACE(C20059,""-\d+(.*)|--\d+(.*)"","""")"),"BASSENS")</f>
        <v>BASSENS</v>
      </c>
      <c r="E20059" s="38" t="s">
        <v>462</v>
      </c>
      <c r="F20059" s="38" t="s">
        <v>252</v>
      </c>
      <c r="G20059" s="49" t="str">
        <f t="shared" si="1"/>
        <v>33530</v>
      </c>
      <c r="H20059" s="49">
        <f t="shared" si="2"/>
        <v>33032</v>
      </c>
    </row>
    <row r="20060">
      <c r="A20060" s="48" t="s">
        <v>3986</v>
      </c>
      <c r="B20060" s="38">
        <v>62363.0</v>
      </c>
      <c r="C20060" s="38" t="s">
        <v>24564</v>
      </c>
      <c r="D20060" s="38" t="str">
        <f>IFERROR(__xludf.DUMMYFUNCTION("REGEXREPLACE(C20060,""-\d+(.*)|--\d+(.*)"","""")"),"FREVIN-CAPELLE")</f>
        <v>FREVIN-CAPELLE</v>
      </c>
      <c r="E20060" s="38" t="s">
        <v>109</v>
      </c>
      <c r="F20060" s="38" t="s">
        <v>86</v>
      </c>
      <c r="G20060" s="49" t="str">
        <f t="shared" si="1"/>
        <v>62690</v>
      </c>
      <c r="H20060" s="49">
        <f t="shared" si="2"/>
        <v>62363</v>
      </c>
    </row>
    <row r="20061">
      <c r="A20061" s="48" t="s">
        <v>10324</v>
      </c>
      <c r="B20061" s="38">
        <v>54497.0</v>
      </c>
      <c r="C20061" s="38" t="s">
        <v>24565</v>
      </c>
      <c r="D20061" s="38" t="str">
        <f>IFERROR(__xludf.DUMMYFUNCTION("REGEXREPLACE(C20061,""-\d+(.*)|--\d+(.*)"","""")"),"SAXON-SION")</f>
        <v>SAXON-SION</v>
      </c>
      <c r="E20061" s="38" t="s">
        <v>548</v>
      </c>
      <c r="F20061" s="38" t="s">
        <v>195</v>
      </c>
      <c r="G20061" s="49" t="str">
        <f t="shared" si="1"/>
        <v>54330</v>
      </c>
      <c r="H20061" s="49">
        <f t="shared" si="2"/>
        <v>54497</v>
      </c>
    </row>
    <row r="20062">
      <c r="A20062" s="48" t="s">
        <v>1721</v>
      </c>
      <c r="B20062" s="38">
        <v>33457.0</v>
      </c>
      <c r="C20062" s="38" t="s">
        <v>24566</v>
      </c>
      <c r="D20062" s="38" t="str">
        <f>IFERROR(__xludf.DUMMYFUNCTION("REGEXREPLACE(C20062,""-\d+(.*)|--\d+(.*)"","""")"),"SAINT-PARDON-DE-CONQUES")</f>
        <v>SAINT-PARDON-DE-CONQUES</v>
      </c>
      <c r="E20062" s="38" t="s">
        <v>462</v>
      </c>
      <c r="F20062" s="38" t="s">
        <v>252</v>
      </c>
      <c r="G20062" s="49" t="str">
        <f t="shared" si="1"/>
        <v>33210</v>
      </c>
      <c r="H20062" s="49">
        <f t="shared" si="2"/>
        <v>33457</v>
      </c>
    </row>
    <row r="20063">
      <c r="A20063" s="48" t="s">
        <v>11712</v>
      </c>
      <c r="B20063" s="38">
        <v>58217.0</v>
      </c>
      <c r="C20063" s="38" t="s">
        <v>24567</v>
      </c>
      <c r="D20063" s="38" t="str">
        <f>IFERROR(__xludf.DUMMYFUNCTION("REGEXREPLACE(C20063,""-\d+(.*)|--\d+(.*)"","""")"),"POUSSEAUX")</f>
        <v>POUSSEAUX</v>
      </c>
      <c r="E20063" s="38" t="s">
        <v>219</v>
      </c>
      <c r="F20063" s="38" t="s">
        <v>106</v>
      </c>
      <c r="G20063" s="49" t="str">
        <f t="shared" si="1"/>
        <v>58500</v>
      </c>
      <c r="H20063" s="49">
        <f t="shared" si="2"/>
        <v>58217</v>
      </c>
    </row>
    <row r="20064">
      <c r="A20064" s="48" t="s">
        <v>3612</v>
      </c>
      <c r="B20064" s="38">
        <v>60612.0</v>
      </c>
      <c r="C20064" s="38" t="s">
        <v>24568</v>
      </c>
      <c r="D20064" s="38" t="str">
        <f>IFERROR(__xludf.DUMMYFUNCTION("REGEXREPLACE(C20064,""-\d+(.*)|--\d+(.*)"","""")"),"SENLIS")</f>
        <v>SENLIS</v>
      </c>
      <c r="E20064" s="38" t="s">
        <v>112</v>
      </c>
      <c r="F20064" s="38" t="s">
        <v>113</v>
      </c>
      <c r="G20064" s="49" t="str">
        <f t="shared" si="1"/>
        <v>60300</v>
      </c>
      <c r="H20064" s="49">
        <f t="shared" si="2"/>
        <v>60612</v>
      </c>
    </row>
    <row r="20065">
      <c r="A20065" s="48" t="s">
        <v>721</v>
      </c>
      <c r="B20065" s="38">
        <v>14382.0</v>
      </c>
      <c r="C20065" s="38" t="s">
        <v>24569</v>
      </c>
      <c r="D20065" s="38" t="str">
        <f>IFERROR(__xludf.DUMMYFUNCTION("REGEXREPLACE(C20065,""-\d+(.*)|--\d+(.*)"","""")"),"LOUVIERES")</f>
        <v>LOUVIERES</v>
      </c>
      <c r="E20065" s="38" t="s">
        <v>137</v>
      </c>
      <c r="F20065" s="38" t="s">
        <v>138</v>
      </c>
      <c r="G20065" s="49" t="str">
        <f t="shared" si="1"/>
        <v>14710</v>
      </c>
      <c r="H20065" s="49">
        <f t="shared" si="2"/>
        <v>14382</v>
      </c>
    </row>
    <row r="20066">
      <c r="A20066" s="48" t="s">
        <v>1031</v>
      </c>
      <c r="B20066" s="38">
        <v>2196.0</v>
      </c>
      <c r="C20066" s="38" t="s">
        <v>24570</v>
      </c>
      <c r="D20066" s="38" t="str">
        <f>IFERROR(__xludf.DUMMYFUNCTION("REGEXREPLACE(C20066,""-\d+(.*)|--\d+(.*)"","""")"),"CLACY-ET-THIERRET")</f>
        <v>CLACY-ET-THIERRET</v>
      </c>
      <c r="E20066" s="38" t="s">
        <v>191</v>
      </c>
      <c r="F20066" s="38" t="s">
        <v>113</v>
      </c>
      <c r="G20066" s="49" t="str">
        <f t="shared" si="1"/>
        <v>02000</v>
      </c>
      <c r="H20066" s="49" t="str">
        <f t="shared" si="2"/>
        <v>02196</v>
      </c>
    </row>
    <row r="20067">
      <c r="A20067" s="48" t="s">
        <v>839</v>
      </c>
      <c r="B20067" s="38">
        <v>62109.0</v>
      </c>
      <c r="C20067" s="38" t="s">
        <v>24571</v>
      </c>
      <c r="D20067" s="38" t="str">
        <f>IFERROR(__xludf.DUMMYFUNCTION("REGEXREPLACE(C20067,""-\d+(.*)|--\d+(.*)"","""")"),"BERGUENEUSE")</f>
        <v>BERGUENEUSE</v>
      </c>
      <c r="E20067" s="38" t="s">
        <v>109</v>
      </c>
      <c r="F20067" s="38" t="s">
        <v>86</v>
      </c>
      <c r="G20067" s="49" t="str">
        <f t="shared" si="1"/>
        <v>62134</v>
      </c>
      <c r="H20067" s="49">
        <f t="shared" si="2"/>
        <v>62109</v>
      </c>
    </row>
    <row r="20068">
      <c r="A20068" s="48" t="s">
        <v>222</v>
      </c>
      <c r="B20068" s="38">
        <v>80498.0</v>
      </c>
      <c r="C20068" s="38" t="s">
        <v>24572</v>
      </c>
      <c r="D20068" s="38" t="str">
        <f>IFERROR(__xludf.DUMMYFUNCTION("REGEXREPLACE(C20068,""-\d+(.*)|--\d+(.*)"","""")"),"MAILLY-MAILLET")</f>
        <v>MAILLY-MAILLET</v>
      </c>
      <c r="E20068" s="38" t="s">
        <v>224</v>
      </c>
      <c r="F20068" s="38" t="s">
        <v>113</v>
      </c>
      <c r="G20068" s="49" t="str">
        <f t="shared" si="1"/>
        <v>80560</v>
      </c>
      <c r="H20068" s="49">
        <f t="shared" si="2"/>
        <v>80498</v>
      </c>
    </row>
    <row r="20069">
      <c r="A20069" s="48" t="s">
        <v>24573</v>
      </c>
      <c r="B20069" s="38">
        <v>30103.0</v>
      </c>
      <c r="C20069" s="38" t="s">
        <v>24574</v>
      </c>
      <c r="D20069" s="38" t="str">
        <f>IFERROR(__xludf.DUMMYFUNCTION("REGEXREPLACE(C20069,""-\d+(.*)|--\d+(.*)"","""")"),"DOMAZAN")</f>
        <v>DOMAZAN</v>
      </c>
      <c r="E20069" s="38" t="s">
        <v>526</v>
      </c>
      <c r="F20069" s="38" t="s">
        <v>119</v>
      </c>
      <c r="G20069" s="49" t="str">
        <f t="shared" si="1"/>
        <v>30390</v>
      </c>
      <c r="H20069" s="49">
        <f t="shared" si="2"/>
        <v>30103</v>
      </c>
    </row>
    <row r="20070">
      <c r="A20070" s="48" t="s">
        <v>2571</v>
      </c>
      <c r="B20070" s="38">
        <v>61107.0</v>
      </c>
      <c r="C20070" s="38" t="s">
        <v>24575</v>
      </c>
      <c r="D20070" s="38" t="str">
        <f>IFERROR(__xludf.DUMMYFUNCTION("REGEXREPLACE(C20070,""-\d+(.*)|--\d+(.*)"","""")"),"CIRAL")</f>
        <v>CIRAL</v>
      </c>
      <c r="E20070" s="38" t="s">
        <v>141</v>
      </c>
      <c r="F20070" s="38" t="s">
        <v>138</v>
      </c>
      <c r="G20070" s="49" t="str">
        <f t="shared" si="1"/>
        <v>61320</v>
      </c>
      <c r="H20070" s="49">
        <f t="shared" si="2"/>
        <v>61107</v>
      </c>
    </row>
    <row r="20071">
      <c r="A20071" s="48" t="s">
        <v>12341</v>
      </c>
      <c r="B20071" s="38">
        <v>85114.0</v>
      </c>
      <c r="C20071" s="38" t="s">
        <v>24576</v>
      </c>
      <c r="D20071" s="38" t="str">
        <f>IFERROR(__xludf.DUMMYFUNCTION("REGEXREPLACE(C20071,""-\d+(.*)|--\d+(.*)"","""")"),"JARD-SUR-MER")</f>
        <v>JARD-SUR-MER</v>
      </c>
      <c r="E20071" s="38" t="s">
        <v>179</v>
      </c>
      <c r="F20071" s="38" t="s">
        <v>180</v>
      </c>
      <c r="G20071" s="49" t="str">
        <f t="shared" si="1"/>
        <v>85520</v>
      </c>
      <c r="H20071" s="49">
        <f t="shared" si="2"/>
        <v>85114</v>
      </c>
    </row>
    <row r="20072">
      <c r="A20072" s="48" t="s">
        <v>13699</v>
      </c>
      <c r="B20072" s="38">
        <v>22320.0</v>
      </c>
      <c r="C20072" s="38" t="s">
        <v>24577</v>
      </c>
      <c r="D20072" s="38" t="str">
        <f>IFERROR(__xludf.DUMMYFUNCTION("REGEXREPLACE(C20072,""-\d+(.*)|--\d+(.*)"","""")"),"SAINT-NICODEME")</f>
        <v>SAINT-NICODEME</v>
      </c>
      <c r="E20072" s="38" t="s">
        <v>89</v>
      </c>
      <c r="F20072" s="38" t="s">
        <v>90</v>
      </c>
      <c r="G20072" s="49" t="str">
        <f t="shared" si="1"/>
        <v>22160</v>
      </c>
      <c r="H20072" s="49">
        <f t="shared" si="2"/>
        <v>22320</v>
      </c>
    </row>
    <row r="20073">
      <c r="A20073" s="48" t="s">
        <v>10312</v>
      </c>
      <c r="B20073" s="38">
        <v>32358.0</v>
      </c>
      <c r="C20073" s="38" t="s">
        <v>10665</v>
      </c>
      <c r="D20073" s="38" t="str">
        <f>IFERROR(__xludf.DUMMYFUNCTION("REGEXREPLACE(C20073,""-\d+(.*)|--\d+(.*)"","""")"),"SAINT-ANTOINE")</f>
        <v>SAINT-ANTOINE</v>
      </c>
      <c r="E20073" s="38" t="s">
        <v>440</v>
      </c>
      <c r="F20073" s="38" t="s">
        <v>94</v>
      </c>
      <c r="G20073" s="49" t="str">
        <f t="shared" si="1"/>
        <v>32340</v>
      </c>
      <c r="H20073" s="49">
        <f t="shared" si="2"/>
        <v>32358</v>
      </c>
    </row>
    <row r="20074">
      <c r="A20074" s="48" t="s">
        <v>1644</v>
      </c>
      <c r="B20074" s="38">
        <v>21693.0</v>
      </c>
      <c r="C20074" s="38" t="s">
        <v>24578</v>
      </c>
      <c r="D20074" s="38" t="str">
        <f>IFERROR(__xludf.DUMMYFUNCTION("REGEXREPLACE(C20074,""-\d+(.*)|--\d+(.*)"","""")"),"VILLEDIEU")</f>
        <v>VILLEDIEU</v>
      </c>
      <c r="E20074" s="38" t="s">
        <v>105</v>
      </c>
      <c r="F20074" s="38" t="s">
        <v>106</v>
      </c>
      <c r="G20074" s="49" t="str">
        <f t="shared" si="1"/>
        <v>21330</v>
      </c>
      <c r="H20074" s="49">
        <f t="shared" si="2"/>
        <v>21693</v>
      </c>
    </row>
    <row r="20075">
      <c r="A20075" s="48" t="s">
        <v>3885</v>
      </c>
      <c r="B20075" s="38">
        <v>53209.0</v>
      </c>
      <c r="C20075" s="38" t="s">
        <v>24579</v>
      </c>
      <c r="D20075" s="38" t="str">
        <f>IFERROR(__xludf.DUMMYFUNCTION("REGEXREPLACE(C20075,""-\d+(.*)|--\d+(.*)"","""")"),"SAINT-CYR-LE-GRAVELAIS")</f>
        <v>SAINT-CYR-LE-GRAVELAIS</v>
      </c>
      <c r="E20075" s="38" t="s">
        <v>518</v>
      </c>
      <c r="F20075" s="38" t="s">
        <v>180</v>
      </c>
      <c r="G20075" s="49" t="str">
        <f t="shared" si="1"/>
        <v>53320</v>
      </c>
      <c r="H20075" s="49">
        <f t="shared" si="2"/>
        <v>53209</v>
      </c>
    </row>
    <row r="20076">
      <c r="A20076" s="48" t="s">
        <v>5806</v>
      </c>
      <c r="B20076" s="38">
        <v>39206.0</v>
      </c>
      <c r="C20076" s="38" t="s">
        <v>24580</v>
      </c>
      <c r="D20076" s="38" t="str">
        <f>IFERROR(__xludf.DUMMYFUNCTION("REGEXREPLACE(C20076,""-\d+(.*)|--\d+(.*)"","""")"),"ECLEUX")</f>
        <v>ECLEUX</v>
      </c>
      <c r="E20076" s="38" t="s">
        <v>400</v>
      </c>
      <c r="F20076" s="38" t="s">
        <v>214</v>
      </c>
      <c r="G20076" s="49" t="str">
        <f t="shared" si="1"/>
        <v>39600</v>
      </c>
      <c r="H20076" s="49">
        <f t="shared" si="2"/>
        <v>39206</v>
      </c>
    </row>
    <row r="20077">
      <c r="A20077" s="48" t="s">
        <v>10342</v>
      </c>
      <c r="B20077" s="38">
        <v>12031.0</v>
      </c>
      <c r="C20077" s="38" t="s">
        <v>14513</v>
      </c>
      <c r="D20077" s="38" t="str">
        <f>IFERROR(__xludf.DUMMYFUNCTION("REGEXREPLACE(C20077,""-\d+(.*)|--\d+(.*)"","""")"),"BOURNAZEL")</f>
        <v>BOURNAZEL</v>
      </c>
      <c r="E20077" s="38" t="s">
        <v>465</v>
      </c>
      <c r="F20077" s="38" t="s">
        <v>94</v>
      </c>
      <c r="G20077" s="49" t="str">
        <f t="shared" si="1"/>
        <v>12390</v>
      </c>
      <c r="H20077" s="49">
        <f t="shared" si="2"/>
        <v>12031</v>
      </c>
    </row>
    <row r="20078">
      <c r="A20078" s="48" t="s">
        <v>386</v>
      </c>
      <c r="B20078" s="38">
        <v>21319.0</v>
      </c>
      <c r="C20078" s="38" t="s">
        <v>24581</v>
      </c>
      <c r="D20078" s="38" t="str">
        <f>IFERROR(__xludf.DUMMYFUNCTION("REGEXREPLACE(C20078,""-\d+(.*)|--\d+(.*)"","""")"),"IZEURE")</f>
        <v>IZEURE</v>
      </c>
      <c r="E20078" s="38" t="s">
        <v>105</v>
      </c>
      <c r="F20078" s="38" t="s">
        <v>106</v>
      </c>
      <c r="G20078" s="49" t="str">
        <f t="shared" si="1"/>
        <v>21110</v>
      </c>
      <c r="H20078" s="49">
        <f t="shared" si="2"/>
        <v>21319</v>
      </c>
    </row>
    <row r="20079">
      <c r="A20079" s="48" t="s">
        <v>5370</v>
      </c>
      <c r="B20079" s="38">
        <v>15129.0</v>
      </c>
      <c r="C20079" s="38" t="s">
        <v>24582</v>
      </c>
      <c r="D20079" s="38" t="str">
        <f>IFERROR(__xludf.DUMMYFUNCTION("REGEXREPLACE(C20079,""-\d+(.*)|--\d+(.*)"","""")"),"MONTBOUDIF")</f>
        <v>MONTBOUDIF</v>
      </c>
      <c r="E20079" s="38" t="s">
        <v>632</v>
      </c>
      <c r="F20079" s="38" t="s">
        <v>161</v>
      </c>
      <c r="G20079" s="49" t="str">
        <f t="shared" si="1"/>
        <v>15190</v>
      </c>
      <c r="H20079" s="49">
        <f t="shared" si="2"/>
        <v>15129</v>
      </c>
    </row>
    <row r="20080">
      <c r="A20080" s="48" t="s">
        <v>3733</v>
      </c>
      <c r="B20080" s="38">
        <v>78503.0</v>
      </c>
      <c r="C20080" s="38" t="s">
        <v>24583</v>
      </c>
      <c r="D20080" s="38" t="str">
        <f>IFERROR(__xludf.DUMMYFUNCTION("REGEXREPLACE(C20080,""-\d+(.*)|--\d+(.*)"","""")"),"PORT-VILLEZ")</f>
        <v>PORT-VILLEZ</v>
      </c>
      <c r="E20080" s="38" t="s">
        <v>362</v>
      </c>
      <c r="F20080" s="38" t="s">
        <v>245</v>
      </c>
      <c r="G20080" s="49" t="str">
        <f t="shared" si="1"/>
        <v>78270</v>
      </c>
      <c r="H20080" s="49">
        <f t="shared" si="2"/>
        <v>78503</v>
      </c>
    </row>
    <row r="20081">
      <c r="A20081" s="48" t="s">
        <v>14867</v>
      </c>
      <c r="B20081" s="38">
        <v>49374.0</v>
      </c>
      <c r="C20081" s="38" t="s">
        <v>24584</v>
      </c>
      <c r="D20081" s="38" t="str">
        <f>IFERROR(__xludf.DUMMYFUNCTION("REGEXREPLACE(C20081,""-\d+(.*)|--\d+(.*)"","""")"),"VILLEBERNIER")</f>
        <v>VILLEBERNIER</v>
      </c>
      <c r="E20081" s="38" t="s">
        <v>653</v>
      </c>
      <c r="F20081" s="38" t="s">
        <v>180</v>
      </c>
      <c r="G20081" s="49" t="str">
        <f t="shared" si="1"/>
        <v>49400</v>
      </c>
      <c r="H20081" s="49">
        <f t="shared" si="2"/>
        <v>49374</v>
      </c>
    </row>
    <row r="20082">
      <c r="A20082" s="48" t="s">
        <v>388</v>
      </c>
      <c r="B20082" s="38">
        <v>19103.0</v>
      </c>
      <c r="C20082" s="38" t="s">
        <v>24585</v>
      </c>
      <c r="D20082" s="38" t="str">
        <f>IFERROR(__xludf.DUMMYFUNCTION("REGEXREPLACE(C20082,""-\d+(.*)|--\d+(.*)"","""")"),"LAMAZIERE-HAUTE")</f>
        <v>LAMAZIERE-HAUTE</v>
      </c>
      <c r="E20082" s="38" t="s">
        <v>271</v>
      </c>
      <c r="F20082" s="38" t="s">
        <v>98</v>
      </c>
      <c r="G20082" s="49" t="str">
        <f t="shared" si="1"/>
        <v>19340</v>
      </c>
      <c r="H20082" s="49">
        <f t="shared" si="2"/>
        <v>19103</v>
      </c>
    </row>
    <row r="20083">
      <c r="A20083" s="48" t="s">
        <v>5230</v>
      </c>
      <c r="B20083" s="38">
        <v>25470.0</v>
      </c>
      <c r="C20083" s="38" t="s">
        <v>24586</v>
      </c>
      <c r="D20083" s="38" t="str">
        <f>IFERROR(__xludf.DUMMYFUNCTION("REGEXREPLACE(C20083,""-\d+(.*)|--\d+(.*)"","""")"),"LA PRETIERE")</f>
        <v>LA PRETIERE</v>
      </c>
      <c r="E20083" s="38" t="s">
        <v>213</v>
      </c>
      <c r="F20083" s="38" t="s">
        <v>214</v>
      </c>
      <c r="G20083" s="49" t="str">
        <f t="shared" si="1"/>
        <v>25250</v>
      </c>
      <c r="H20083" s="49">
        <f t="shared" si="2"/>
        <v>25470</v>
      </c>
    </row>
    <row r="20084">
      <c r="A20084" s="48" t="s">
        <v>12166</v>
      </c>
      <c r="B20084" s="38">
        <v>22203.0</v>
      </c>
      <c r="C20084" s="38" t="s">
        <v>24587</v>
      </c>
      <c r="D20084" s="38" t="str">
        <f>IFERROR(__xludf.DUMMYFUNCTION("REGEXREPLACE(C20084,""-\d+(.*)|--\d+(.*)"","""")"),"PLOEUC-SUR-LIE")</f>
        <v>PLOEUC-SUR-LIE</v>
      </c>
      <c r="E20084" s="38" t="s">
        <v>89</v>
      </c>
      <c r="F20084" s="38" t="s">
        <v>90</v>
      </c>
      <c r="G20084" s="49" t="str">
        <f t="shared" si="1"/>
        <v>22150</v>
      </c>
      <c r="H20084" s="49">
        <f t="shared" si="2"/>
        <v>22203</v>
      </c>
    </row>
    <row r="20085">
      <c r="A20085" s="48" t="s">
        <v>1270</v>
      </c>
      <c r="B20085" s="38">
        <v>57556.0</v>
      </c>
      <c r="C20085" s="38" t="s">
        <v>24588</v>
      </c>
      <c r="D20085" s="38" t="str">
        <f>IFERROR(__xludf.DUMMYFUNCTION("REGEXREPLACE(C20085,""-\d+(.*)|--\d+(.*)"","""")"),"PUTTELANGE-AUX-LACS")</f>
        <v>PUTTELANGE-AUX-LACS</v>
      </c>
      <c r="E20085" s="38" t="s">
        <v>303</v>
      </c>
      <c r="F20085" s="38" t="s">
        <v>195</v>
      </c>
      <c r="G20085" s="49" t="str">
        <f t="shared" si="1"/>
        <v>57510</v>
      </c>
      <c r="H20085" s="49">
        <f t="shared" si="2"/>
        <v>57556</v>
      </c>
    </row>
    <row r="20086">
      <c r="A20086" s="48" t="s">
        <v>1155</v>
      </c>
      <c r="B20086" s="38">
        <v>67278.0</v>
      </c>
      <c r="C20086" s="38" t="s">
        <v>24589</v>
      </c>
      <c r="D20086" s="38" t="str">
        <f>IFERROR(__xludf.DUMMYFUNCTION("REGEXREPLACE(C20086,""-\d+(.*)|--\d+(.*)"","""")"),"MACKWILLER")</f>
        <v>MACKWILLER</v>
      </c>
      <c r="E20086" s="38" t="s">
        <v>210</v>
      </c>
      <c r="F20086" s="38" t="s">
        <v>151</v>
      </c>
      <c r="G20086" s="49" t="str">
        <f t="shared" si="1"/>
        <v>67430</v>
      </c>
      <c r="H20086" s="49">
        <f t="shared" si="2"/>
        <v>67278</v>
      </c>
    </row>
    <row r="20087">
      <c r="A20087" s="48" t="s">
        <v>7592</v>
      </c>
      <c r="B20087" s="38">
        <v>86261.0</v>
      </c>
      <c r="C20087" s="38" t="s">
        <v>24590</v>
      </c>
      <c r="D20087" s="38" t="str">
        <f>IFERROR(__xludf.DUMMYFUNCTION("REGEXREPLACE(C20087,""-\d+(.*)|--\d+(.*)"","""")"),"SEVRES-ANXAUMONT")</f>
        <v>SEVRES-ANXAUMONT</v>
      </c>
      <c r="E20087" s="38" t="s">
        <v>529</v>
      </c>
      <c r="F20087" s="38" t="s">
        <v>338</v>
      </c>
      <c r="G20087" s="49" t="str">
        <f t="shared" si="1"/>
        <v>86800</v>
      </c>
      <c r="H20087" s="49">
        <f t="shared" si="2"/>
        <v>86261</v>
      </c>
    </row>
    <row r="20088">
      <c r="A20088" s="48" t="s">
        <v>3716</v>
      </c>
      <c r="B20088" s="38">
        <v>57700.0</v>
      </c>
      <c r="C20088" s="38" t="s">
        <v>24591</v>
      </c>
      <c r="D20088" s="38" t="str">
        <f>IFERROR(__xludf.DUMMYFUNCTION("REGEXREPLACE(C20088,""-\d+(.*)|--\d+(.*)"","""")"),"VAUDRECHING")</f>
        <v>VAUDRECHING</v>
      </c>
      <c r="E20088" s="38" t="s">
        <v>303</v>
      </c>
      <c r="F20088" s="38" t="s">
        <v>195</v>
      </c>
      <c r="G20088" s="49" t="str">
        <f t="shared" si="1"/>
        <v>57320</v>
      </c>
      <c r="H20088" s="49">
        <f t="shared" si="2"/>
        <v>57700</v>
      </c>
    </row>
    <row r="20089">
      <c r="A20089" s="48" t="s">
        <v>1354</v>
      </c>
      <c r="B20089" s="38">
        <v>28100.0</v>
      </c>
      <c r="C20089" s="38" t="s">
        <v>7942</v>
      </c>
      <c r="D20089" s="38" t="str">
        <f>IFERROR(__xludf.DUMMYFUNCTION("REGEXREPLACE(C20089,""-\d+(.*)|--\d+(.*)"","""")"),"CINTRAY")</f>
        <v>CINTRAY</v>
      </c>
      <c r="E20089" s="38" t="s">
        <v>300</v>
      </c>
      <c r="F20089" s="38" t="s">
        <v>123</v>
      </c>
      <c r="G20089" s="49" t="str">
        <f t="shared" si="1"/>
        <v>28300</v>
      </c>
      <c r="H20089" s="49">
        <f t="shared" si="2"/>
        <v>28100</v>
      </c>
    </row>
    <row r="20090">
      <c r="A20090" s="48" t="s">
        <v>10778</v>
      </c>
      <c r="B20090" s="38">
        <v>21376.0</v>
      </c>
      <c r="C20090" s="38" t="s">
        <v>24592</v>
      </c>
      <c r="D20090" s="38" t="str">
        <f>IFERROR(__xludf.DUMMYFUNCTION("REGEXREPLACE(C20090,""-\d+(.*)|--\d+(.*)"","""")"),"MARANDEUIL")</f>
        <v>MARANDEUIL</v>
      </c>
      <c r="E20090" s="38" t="s">
        <v>105</v>
      </c>
      <c r="F20090" s="38" t="s">
        <v>106</v>
      </c>
      <c r="G20090" s="49" t="str">
        <f t="shared" si="1"/>
        <v>21270</v>
      </c>
      <c r="H20090" s="49">
        <f t="shared" si="2"/>
        <v>21376</v>
      </c>
    </row>
    <row r="20091">
      <c r="A20091" s="48" t="s">
        <v>7371</v>
      </c>
      <c r="B20091" s="38">
        <v>17267.0</v>
      </c>
      <c r="C20091" s="38" t="s">
        <v>24593</v>
      </c>
      <c r="D20091" s="38" t="str">
        <f>IFERROR(__xludf.DUMMYFUNCTION("REGEXREPLACE(C20091,""-\d+(.*)|--\d+(.*)"","""")"),"NUAILLE-D'AUNIS")</f>
        <v>NUAILLE-D'AUNIS</v>
      </c>
      <c r="E20091" s="38" t="s">
        <v>488</v>
      </c>
      <c r="F20091" s="38" t="s">
        <v>338</v>
      </c>
      <c r="G20091" s="49" t="str">
        <f t="shared" si="1"/>
        <v>17540</v>
      </c>
      <c r="H20091" s="49">
        <f t="shared" si="2"/>
        <v>17267</v>
      </c>
    </row>
    <row r="20092">
      <c r="A20092" s="48" t="s">
        <v>862</v>
      </c>
      <c r="B20092" s="38">
        <v>27526.0</v>
      </c>
      <c r="C20092" s="38" t="s">
        <v>24594</v>
      </c>
      <c r="D20092" s="38" t="str">
        <f>IFERROR(__xludf.DUMMYFUNCTION("REGEXREPLACE(C20092,""-\d+(.*)|--\d+(.*)"","""")"),"SAINTE-CROIX-SUR-AIZIER")</f>
        <v>SAINTE-CROIX-SUR-AIZIER</v>
      </c>
      <c r="E20092" s="38" t="s">
        <v>241</v>
      </c>
      <c r="F20092" s="38" t="s">
        <v>134</v>
      </c>
      <c r="G20092" s="49" t="str">
        <f t="shared" si="1"/>
        <v>27500</v>
      </c>
      <c r="H20092" s="49">
        <f t="shared" si="2"/>
        <v>27526</v>
      </c>
    </row>
    <row r="20093">
      <c r="A20093" s="48" t="s">
        <v>2976</v>
      </c>
      <c r="B20093" s="38">
        <v>14699.0</v>
      </c>
      <c r="C20093" s="38" t="s">
        <v>24595</v>
      </c>
      <c r="D20093" s="38" t="str">
        <f>IFERROR(__xludf.DUMMYFUNCTION("REGEXREPLACE(C20093,""-\d+(.*)|--\d+(.*)"","""")"),"TOUQUES")</f>
        <v>TOUQUES</v>
      </c>
      <c r="E20093" s="38" t="s">
        <v>137</v>
      </c>
      <c r="F20093" s="38" t="s">
        <v>138</v>
      </c>
      <c r="G20093" s="49" t="str">
        <f t="shared" si="1"/>
        <v>14800</v>
      </c>
      <c r="H20093" s="49">
        <f t="shared" si="2"/>
        <v>14699</v>
      </c>
    </row>
    <row r="20094">
      <c r="A20094" s="48" t="s">
        <v>5257</v>
      </c>
      <c r="B20094" s="38">
        <v>15201.0</v>
      </c>
      <c r="C20094" s="38" t="s">
        <v>24596</v>
      </c>
      <c r="D20094" s="38" t="str">
        <f>IFERROR(__xludf.DUMMYFUNCTION("REGEXREPLACE(C20094,""-\d+(.*)|--\d+(.*)"","""")"),"SAINT-MARTIN-SOUS-VIGOUROUX")</f>
        <v>SAINT-MARTIN-SOUS-VIGOUROUX</v>
      </c>
      <c r="E20094" s="38" t="s">
        <v>632</v>
      </c>
      <c r="F20094" s="38" t="s">
        <v>161</v>
      </c>
      <c r="G20094" s="49" t="str">
        <f t="shared" si="1"/>
        <v>15230</v>
      </c>
      <c r="H20094" s="49">
        <f t="shared" si="2"/>
        <v>15201</v>
      </c>
    </row>
    <row r="20095">
      <c r="A20095" s="48" t="s">
        <v>1471</v>
      </c>
      <c r="B20095" s="38">
        <v>3191.0</v>
      </c>
      <c r="C20095" s="38" t="s">
        <v>24597</v>
      </c>
      <c r="D20095" s="38" t="str">
        <f>IFERROR(__xludf.DUMMYFUNCTION("REGEXREPLACE(C20095,""-\d+(.*)|--\d+(.*)"","""")"),"MURAT")</f>
        <v>MURAT</v>
      </c>
      <c r="E20095" s="38" t="s">
        <v>160</v>
      </c>
      <c r="F20095" s="38" t="s">
        <v>161</v>
      </c>
      <c r="G20095" s="49" t="str">
        <f t="shared" si="1"/>
        <v>03390</v>
      </c>
      <c r="H20095" s="49" t="str">
        <f t="shared" si="2"/>
        <v>03191</v>
      </c>
    </row>
    <row r="20096">
      <c r="A20096" s="48" t="s">
        <v>403</v>
      </c>
      <c r="B20096" s="38">
        <v>59436.0</v>
      </c>
      <c r="C20096" s="38" t="s">
        <v>24598</v>
      </c>
      <c r="D20096" s="38" t="str">
        <f>IFERROR(__xludf.DUMMYFUNCTION("REGEXREPLACE(C20096,""-\d+(.*)|--\d+(.*)"","""")"),"NOORDPEENE")</f>
        <v>NOORDPEENE</v>
      </c>
      <c r="E20096" s="38" t="s">
        <v>85</v>
      </c>
      <c r="F20096" s="38" t="s">
        <v>86</v>
      </c>
      <c r="G20096" s="49" t="str">
        <f t="shared" si="1"/>
        <v>59670</v>
      </c>
      <c r="H20096" s="49">
        <f t="shared" si="2"/>
        <v>59436</v>
      </c>
    </row>
    <row r="20097">
      <c r="A20097" s="48" t="s">
        <v>7194</v>
      </c>
      <c r="B20097" s="38">
        <v>70512.0</v>
      </c>
      <c r="C20097" s="38" t="s">
        <v>24599</v>
      </c>
      <c r="D20097" s="38" t="str">
        <f>IFERROR(__xludf.DUMMYFUNCTION("REGEXREPLACE(C20097,""-\d+(.*)|--\d+(.*)"","""")"),"LA VAIVRE")</f>
        <v>LA VAIVRE</v>
      </c>
      <c r="E20097" s="38" t="s">
        <v>956</v>
      </c>
      <c r="F20097" s="38" t="s">
        <v>214</v>
      </c>
      <c r="G20097" s="49" t="str">
        <f t="shared" si="1"/>
        <v>70320</v>
      </c>
      <c r="H20097" s="49">
        <f t="shared" si="2"/>
        <v>70512</v>
      </c>
    </row>
    <row r="20098">
      <c r="A20098" s="48" t="s">
        <v>7744</v>
      </c>
      <c r="B20098" s="38">
        <v>54598.0</v>
      </c>
      <c r="C20098" s="38" t="s">
        <v>24600</v>
      </c>
      <c r="D20098" s="38" t="str">
        <f>IFERROR(__xludf.DUMMYFUNCTION("REGEXREPLACE(C20098,""-\d+(.*)|--\d+(.*)"","""")"),"XIVRY-CIRCOURT")</f>
        <v>XIVRY-CIRCOURT</v>
      </c>
      <c r="E20098" s="38" t="s">
        <v>548</v>
      </c>
      <c r="F20098" s="38" t="s">
        <v>195</v>
      </c>
      <c r="G20098" s="49" t="str">
        <f t="shared" si="1"/>
        <v>54490</v>
      </c>
      <c r="H20098" s="49">
        <f t="shared" si="2"/>
        <v>54598</v>
      </c>
    </row>
    <row r="20099">
      <c r="A20099" s="48" t="s">
        <v>7225</v>
      </c>
      <c r="B20099" s="38">
        <v>5174.0</v>
      </c>
      <c r="C20099" s="38" t="s">
        <v>24601</v>
      </c>
      <c r="D20099" s="38" t="str">
        <f>IFERROR(__xludf.DUMMYFUNCTION("REGEXREPLACE(C20099,""-\d+(.*)|--\d+(.*)"","""")"),"VAL-DES-PRES")</f>
        <v>VAL-DES-PRES</v>
      </c>
      <c r="E20099" s="38" t="s">
        <v>706</v>
      </c>
      <c r="F20099" s="38" t="s">
        <v>228</v>
      </c>
      <c r="G20099" s="49" t="str">
        <f t="shared" si="1"/>
        <v>05100</v>
      </c>
      <c r="H20099" s="49" t="str">
        <f t="shared" si="2"/>
        <v>05174</v>
      </c>
    </row>
    <row r="20100">
      <c r="A20100" s="48" t="s">
        <v>15219</v>
      </c>
      <c r="B20100" s="38">
        <v>56120.0</v>
      </c>
      <c r="C20100" s="38" t="s">
        <v>24602</v>
      </c>
      <c r="D20100" s="38" t="str">
        <f>IFERROR(__xludf.DUMMYFUNCTION("REGEXREPLACE(C20100,""-\d+(.*)|--\d+(.*)"","""")"),"LOCQUELTAS")</f>
        <v>LOCQUELTAS</v>
      </c>
      <c r="E20100" s="38" t="s">
        <v>173</v>
      </c>
      <c r="F20100" s="38" t="s">
        <v>90</v>
      </c>
      <c r="G20100" s="49" t="str">
        <f t="shared" si="1"/>
        <v>56390</v>
      </c>
      <c r="H20100" s="49">
        <f t="shared" si="2"/>
        <v>56120</v>
      </c>
    </row>
    <row r="20101">
      <c r="A20101" s="48" t="s">
        <v>858</v>
      </c>
      <c r="B20101" s="38">
        <v>77323.0</v>
      </c>
      <c r="C20101" s="38" t="s">
        <v>24603</v>
      </c>
      <c r="D20101" s="38" t="str">
        <f>IFERROR(__xludf.DUMMYFUNCTION("REGEXREPLACE(C20101,""-\d+(.*)|--\d+(.*)"","""")"),"MOUSSY-LE-VIEUX")</f>
        <v>MOUSSY-LE-VIEUX</v>
      </c>
      <c r="E20101" s="38" t="s">
        <v>244</v>
      </c>
      <c r="F20101" s="38" t="s">
        <v>245</v>
      </c>
      <c r="G20101" s="49" t="str">
        <f t="shared" si="1"/>
        <v>77230</v>
      </c>
      <c r="H20101" s="49">
        <f t="shared" si="2"/>
        <v>77323</v>
      </c>
    </row>
    <row r="20102">
      <c r="A20102" s="48" t="s">
        <v>3430</v>
      </c>
      <c r="B20102" s="38">
        <v>84098.0</v>
      </c>
      <c r="C20102" s="38" t="s">
        <v>24604</v>
      </c>
      <c r="D20102" s="38" t="str">
        <f>IFERROR(__xludf.DUMMYFUNCTION("REGEXREPLACE(C20102,""-\d+(.*)|--\d+(.*)"","""")"),"ROAIX")</f>
        <v>ROAIX</v>
      </c>
      <c r="E20102" s="38" t="s">
        <v>1026</v>
      </c>
      <c r="F20102" s="38" t="s">
        <v>228</v>
      </c>
      <c r="G20102" s="49" t="str">
        <f t="shared" si="1"/>
        <v>84110</v>
      </c>
      <c r="H20102" s="49">
        <f t="shared" si="2"/>
        <v>84098</v>
      </c>
    </row>
    <row r="20103">
      <c r="A20103" s="48" t="s">
        <v>9028</v>
      </c>
      <c r="B20103" s="38">
        <v>65443.0</v>
      </c>
      <c r="C20103" s="38" t="s">
        <v>24605</v>
      </c>
      <c r="D20103" s="38" t="str">
        <f>IFERROR(__xludf.DUMMYFUNCTION("REGEXREPLACE(C20103,""-\d+(.*)|--\d+(.*)"","""")"),"THUY")</f>
        <v>THUY</v>
      </c>
      <c r="E20103" s="38" t="s">
        <v>200</v>
      </c>
      <c r="F20103" s="38" t="s">
        <v>94</v>
      </c>
      <c r="G20103" s="49" t="str">
        <f t="shared" si="1"/>
        <v>65350</v>
      </c>
      <c r="H20103" s="49">
        <f t="shared" si="2"/>
        <v>65443</v>
      </c>
    </row>
    <row r="20104">
      <c r="A20104" s="48" t="s">
        <v>398</v>
      </c>
      <c r="B20104" s="38">
        <v>39329.0</v>
      </c>
      <c r="C20104" s="38" t="s">
        <v>24606</v>
      </c>
      <c r="D20104" s="38" t="str">
        <f>IFERROR(__xludf.DUMMYFUNCTION("REGEXREPLACE(C20104,""-\d+(.*)|--\d+(.*)"","""")"),"MIEGES")</f>
        <v>MIEGES</v>
      </c>
      <c r="E20104" s="38" t="s">
        <v>400</v>
      </c>
      <c r="F20104" s="38" t="s">
        <v>214</v>
      </c>
      <c r="G20104" s="49" t="str">
        <f t="shared" si="1"/>
        <v>39250</v>
      </c>
      <c r="H20104" s="49">
        <f t="shared" si="2"/>
        <v>39329</v>
      </c>
    </row>
    <row r="20105">
      <c r="A20105" s="48" t="s">
        <v>987</v>
      </c>
      <c r="B20105" s="38">
        <v>40321.0</v>
      </c>
      <c r="C20105" s="38" t="s">
        <v>24607</v>
      </c>
      <c r="D20105" s="38" t="str">
        <f>IFERROR(__xludf.DUMMYFUNCTION("REGEXREPLACE(C20105,""-\d+(.*)|--\d+(.*)"","""")"),"URGONS")</f>
        <v>URGONS</v>
      </c>
      <c r="E20105" s="38" t="s">
        <v>281</v>
      </c>
      <c r="F20105" s="38" t="s">
        <v>252</v>
      </c>
      <c r="G20105" s="49" t="str">
        <f t="shared" si="1"/>
        <v>40320</v>
      </c>
      <c r="H20105" s="49">
        <f t="shared" si="2"/>
        <v>40321</v>
      </c>
    </row>
    <row r="20106">
      <c r="A20106" s="48" t="s">
        <v>5862</v>
      </c>
      <c r="B20106" s="38">
        <v>63206.0</v>
      </c>
      <c r="C20106" s="38" t="s">
        <v>24608</v>
      </c>
      <c r="D20106" s="38" t="str">
        <f>IFERROR(__xludf.DUMMYFUNCTION("REGEXREPLACE(C20106,""-\d+(.*)|--\d+(.*)"","""")"),"MANZAT")</f>
        <v>MANZAT</v>
      </c>
      <c r="E20106" s="38" t="s">
        <v>353</v>
      </c>
      <c r="F20106" s="38" t="s">
        <v>161</v>
      </c>
      <c r="G20106" s="49" t="str">
        <f t="shared" si="1"/>
        <v>63410</v>
      </c>
      <c r="H20106" s="49">
        <f t="shared" si="2"/>
        <v>63206</v>
      </c>
    </row>
    <row r="20107">
      <c r="A20107" s="48" t="s">
        <v>7005</v>
      </c>
      <c r="B20107" s="38">
        <v>82122.0</v>
      </c>
      <c r="C20107" s="38" t="s">
        <v>24609</v>
      </c>
      <c r="D20107" s="38" t="str">
        <f>IFERROR(__xludf.DUMMYFUNCTION("REGEXREPLACE(C20107,""-\d+(.*)|--\d+(.*)"","""")"),"MONTBARLA")</f>
        <v>MONTBARLA</v>
      </c>
      <c r="E20107" s="38" t="s">
        <v>570</v>
      </c>
      <c r="F20107" s="38" t="s">
        <v>94</v>
      </c>
      <c r="G20107" s="49" t="str">
        <f t="shared" si="1"/>
        <v>82110</v>
      </c>
      <c r="H20107" s="49">
        <f t="shared" si="2"/>
        <v>82122</v>
      </c>
    </row>
    <row r="20108">
      <c r="A20108" s="48" t="s">
        <v>17934</v>
      </c>
      <c r="B20108" s="38">
        <v>67051.0</v>
      </c>
      <c r="C20108" s="38" t="s">
        <v>24610</v>
      </c>
      <c r="D20108" s="38" t="str">
        <f>IFERROR(__xludf.DUMMYFUNCTION("REGEXREPLACE(C20108,""-\d+(.*)|--\d+(.*)"","""")"),"BLIENSCHWILLER")</f>
        <v>BLIENSCHWILLER</v>
      </c>
      <c r="E20108" s="38" t="s">
        <v>210</v>
      </c>
      <c r="F20108" s="38" t="s">
        <v>151</v>
      </c>
      <c r="G20108" s="49" t="str">
        <f t="shared" si="1"/>
        <v>67650</v>
      </c>
      <c r="H20108" s="49">
        <f t="shared" si="2"/>
        <v>67051</v>
      </c>
    </row>
    <row r="20109">
      <c r="A20109" s="48" t="s">
        <v>1220</v>
      </c>
      <c r="B20109" s="38">
        <v>76510.0</v>
      </c>
      <c r="C20109" s="38" t="s">
        <v>24611</v>
      </c>
      <c r="D20109" s="38" t="str">
        <f>IFERROR(__xludf.DUMMYFUNCTION("REGEXREPLACE(C20109,""-\d+(.*)|--\d+(.*)"","""")"),"PRETOT-VICQUEMARE")</f>
        <v>PRETOT-VICQUEMARE</v>
      </c>
      <c r="E20109" s="38" t="s">
        <v>133</v>
      </c>
      <c r="F20109" s="38" t="s">
        <v>134</v>
      </c>
      <c r="G20109" s="49" t="str">
        <f t="shared" si="1"/>
        <v>76560</v>
      </c>
      <c r="H20109" s="49">
        <f t="shared" si="2"/>
        <v>76510</v>
      </c>
    </row>
    <row r="20110">
      <c r="A20110" s="48" t="s">
        <v>1632</v>
      </c>
      <c r="B20110" s="38">
        <v>63242.0</v>
      </c>
      <c r="C20110" s="38" t="s">
        <v>24612</v>
      </c>
      <c r="D20110" s="38" t="str">
        <f>IFERROR(__xludf.DUMMYFUNCTION("REGEXREPLACE(C20110,""-\d+(.*)|--\d+(.*)"","""")"),"MORIAT")</f>
        <v>MORIAT</v>
      </c>
      <c r="E20110" s="38" t="s">
        <v>353</v>
      </c>
      <c r="F20110" s="38" t="s">
        <v>161</v>
      </c>
      <c r="G20110" s="49" t="str">
        <f t="shared" si="1"/>
        <v>63340</v>
      </c>
      <c r="H20110" s="49">
        <f t="shared" si="2"/>
        <v>63242</v>
      </c>
    </row>
    <row r="20111">
      <c r="A20111" s="48" t="s">
        <v>709</v>
      </c>
      <c r="B20111" s="38">
        <v>43027.0</v>
      </c>
      <c r="C20111" s="38" t="s">
        <v>24613</v>
      </c>
      <c r="D20111" s="38" t="str">
        <f>IFERROR(__xludf.DUMMYFUNCTION("REGEXREPLACE(C20111,""-\d+(.*)|--\d+(.*)"","""")"),"BERBEZIT")</f>
        <v>BERBEZIT</v>
      </c>
      <c r="E20111" s="38" t="s">
        <v>332</v>
      </c>
      <c r="F20111" s="38" t="s">
        <v>161</v>
      </c>
      <c r="G20111" s="49" t="str">
        <f t="shared" si="1"/>
        <v>43160</v>
      </c>
      <c r="H20111" s="49">
        <f t="shared" si="2"/>
        <v>43027</v>
      </c>
    </row>
    <row r="20112">
      <c r="A20112" s="48" t="s">
        <v>2336</v>
      </c>
      <c r="B20112" s="38">
        <v>58061.0</v>
      </c>
      <c r="C20112" s="38" t="s">
        <v>24614</v>
      </c>
      <c r="D20112" s="38" t="str">
        <f>IFERROR(__xludf.DUMMYFUNCTION("REGEXREPLACE(C20112,""-\d+(.*)|--\d+(.*)"","""")"),"CHASNAY")</f>
        <v>CHASNAY</v>
      </c>
      <c r="E20112" s="38" t="s">
        <v>219</v>
      </c>
      <c r="F20112" s="38" t="s">
        <v>106</v>
      </c>
      <c r="G20112" s="49" t="str">
        <f t="shared" si="1"/>
        <v>58350</v>
      </c>
      <c r="H20112" s="49">
        <f t="shared" si="2"/>
        <v>58061</v>
      </c>
    </row>
    <row r="20113">
      <c r="A20113" s="48" t="s">
        <v>7728</v>
      </c>
      <c r="B20113" s="38">
        <v>83089.0</v>
      </c>
      <c r="C20113" s="38" t="s">
        <v>24615</v>
      </c>
      <c r="D20113" s="38" t="str">
        <f>IFERROR(__xludf.DUMMYFUNCTION("REGEXREPLACE(C20113,""-\d+(.*)|--\d+(.*)"","""")"),"OLLIERES")</f>
        <v>OLLIERES</v>
      </c>
      <c r="E20113" s="38" t="s">
        <v>813</v>
      </c>
      <c r="F20113" s="38" t="s">
        <v>228</v>
      </c>
      <c r="G20113" s="49" t="str">
        <f t="shared" si="1"/>
        <v>83470</v>
      </c>
      <c r="H20113" s="49">
        <f t="shared" si="2"/>
        <v>83089</v>
      </c>
    </row>
    <row r="20114">
      <c r="A20114" s="48" t="s">
        <v>5479</v>
      </c>
      <c r="B20114" s="38">
        <v>67086.0</v>
      </c>
      <c r="C20114" s="38" t="s">
        <v>24616</v>
      </c>
      <c r="D20114" s="38" t="str">
        <f>IFERROR(__xludf.DUMMYFUNCTION("REGEXREPLACE(C20114,""-\d+(.*)|--\d+(.*)"","""")"),"DAUBENSAND")</f>
        <v>DAUBENSAND</v>
      </c>
      <c r="E20114" s="38" t="s">
        <v>210</v>
      </c>
      <c r="F20114" s="38" t="s">
        <v>151</v>
      </c>
      <c r="G20114" s="49" t="str">
        <f t="shared" si="1"/>
        <v>67150</v>
      </c>
      <c r="H20114" s="49">
        <f t="shared" si="2"/>
        <v>67086</v>
      </c>
    </row>
    <row r="20115">
      <c r="A20115" s="48" t="s">
        <v>3662</v>
      </c>
      <c r="B20115" s="38">
        <v>80796.0</v>
      </c>
      <c r="C20115" s="38" t="s">
        <v>17143</v>
      </c>
      <c r="D20115" s="38" t="str">
        <f>IFERROR(__xludf.DUMMYFUNCTION("REGEXREPLACE(C20115,""-\d+(.*)|--\d+(.*)"","""")"),"VILLEROY")</f>
        <v>VILLEROY</v>
      </c>
      <c r="E20115" s="38" t="s">
        <v>224</v>
      </c>
      <c r="F20115" s="38" t="s">
        <v>113</v>
      </c>
      <c r="G20115" s="49" t="str">
        <f t="shared" si="1"/>
        <v>80140</v>
      </c>
      <c r="H20115" s="49">
        <f t="shared" si="2"/>
        <v>80796</v>
      </c>
    </row>
    <row r="20116">
      <c r="A20116" s="48" t="s">
        <v>24617</v>
      </c>
      <c r="B20116" s="38">
        <v>49035.0</v>
      </c>
      <c r="C20116" s="38" t="s">
        <v>24618</v>
      </c>
      <c r="D20116" s="38" t="str">
        <f>IFERROR(__xludf.DUMMYFUNCTION("REGEXREPLACE(C20116,""-\d+(.*)|--\d+(.*)"","""")"),"BOUCHEMAINE")</f>
        <v>BOUCHEMAINE</v>
      </c>
      <c r="E20116" s="38" t="s">
        <v>653</v>
      </c>
      <c r="F20116" s="38" t="s">
        <v>180</v>
      </c>
      <c r="G20116" s="49" t="str">
        <f t="shared" si="1"/>
        <v>49080</v>
      </c>
      <c r="H20116" s="49">
        <f t="shared" si="2"/>
        <v>49035</v>
      </c>
    </row>
    <row r="20117">
      <c r="A20117" s="48" t="s">
        <v>11387</v>
      </c>
      <c r="B20117" s="38">
        <v>14306.0</v>
      </c>
      <c r="C20117" s="38" t="s">
        <v>24619</v>
      </c>
      <c r="D20117" s="38" t="str">
        <f>IFERROR(__xludf.DUMMYFUNCTION("REGEXREPLACE(C20117,""-\d+(.*)|--\d+(.*)"","""")"),"GONNEVILLE-EN-AUGE")</f>
        <v>GONNEVILLE-EN-AUGE</v>
      </c>
      <c r="E20117" s="38" t="s">
        <v>137</v>
      </c>
      <c r="F20117" s="38" t="s">
        <v>138</v>
      </c>
      <c r="G20117" s="49" t="str">
        <f t="shared" si="1"/>
        <v>14810</v>
      </c>
      <c r="H20117" s="49">
        <f t="shared" si="2"/>
        <v>14306</v>
      </c>
    </row>
    <row r="20118">
      <c r="A20118" s="48" t="s">
        <v>24620</v>
      </c>
      <c r="B20118" s="38">
        <v>78172.0</v>
      </c>
      <c r="C20118" s="38" t="s">
        <v>24621</v>
      </c>
      <c r="D20118" s="38" t="str">
        <f>IFERROR(__xludf.DUMMYFUNCTION("REGEXREPLACE(C20118,""-\d+(.*)|--\d+(.*)"","""")"),"CONFLANS-SAINTE-HONORINE")</f>
        <v>CONFLANS-SAINTE-HONORINE</v>
      </c>
      <c r="E20118" s="38" t="s">
        <v>362</v>
      </c>
      <c r="F20118" s="38" t="s">
        <v>245</v>
      </c>
      <c r="G20118" s="49" t="str">
        <f t="shared" si="1"/>
        <v>78700</v>
      </c>
      <c r="H20118" s="49">
        <f t="shared" si="2"/>
        <v>78172</v>
      </c>
    </row>
    <row r="20119">
      <c r="A20119" s="48" t="s">
        <v>1241</v>
      </c>
      <c r="B20119" s="38">
        <v>71392.0</v>
      </c>
      <c r="C20119" s="38" t="s">
        <v>24622</v>
      </c>
      <c r="D20119" s="38" t="str">
        <f>IFERROR(__xludf.DUMMYFUNCTION("REGEXREPLACE(C20119,""-\d+(.*)|--\d+(.*)"","""")"),"SAINT-BOIL")</f>
        <v>SAINT-BOIL</v>
      </c>
      <c r="E20119" s="38" t="s">
        <v>344</v>
      </c>
      <c r="F20119" s="38" t="s">
        <v>106</v>
      </c>
      <c r="G20119" s="49" t="str">
        <f t="shared" si="1"/>
        <v>71390</v>
      </c>
      <c r="H20119" s="49">
        <f t="shared" si="2"/>
        <v>71392</v>
      </c>
    </row>
    <row r="20120">
      <c r="A20120" s="48" t="s">
        <v>7784</v>
      </c>
      <c r="B20120" s="38">
        <v>30239.0</v>
      </c>
      <c r="C20120" s="38" t="s">
        <v>24623</v>
      </c>
      <c r="D20120" s="38" t="str">
        <f>IFERROR(__xludf.DUMMYFUNCTION("REGEXREPLACE(C20120,""-\d+(.*)|--\d+(.*)"","""")"),"SAINTE-CECILE-D'ANDORGE")</f>
        <v>SAINTE-CECILE-D'ANDORGE</v>
      </c>
      <c r="E20120" s="38" t="s">
        <v>526</v>
      </c>
      <c r="F20120" s="38" t="s">
        <v>119</v>
      </c>
      <c r="G20120" s="49" t="str">
        <f t="shared" si="1"/>
        <v>30110</v>
      </c>
      <c r="H20120" s="49">
        <f t="shared" si="2"/>
        <v>30239</v>
      </c>
    </row>
    <row r="20121">
      <c r="A20121" s="48" t="s">
        <v>16561</v>
      </c>
      <c r="B20121" s="38">
        <v>27345.0</v>
      </c>
      <c r="C20121" s="38" t="s">
        <v>24624</v>
      </c>
      <c r="D20121" s="38" t="str">
        <f>IFERROR(__xludf.DUMMYFUNCTION("REGEXREPLACE(C20121,""-\d+(.*)|--\d+(.*)"","""")"),"LA HOUSSAYE")</f>
        <v>LA HOUSSAYE</v>
      </c>
      <c r="E20121" s="38" t="s">
        <v>241</v>
      </c>
      <c r="F20121" s="38" t="s">
        <v>134</v>
      </c>
      <c r="G20121" s="49" t="str">
        <f t="shared" si="1"/>
        <v>27410</v>
      </c>
      <c r="H20121" s="49">
        <f t="shared" si="2"/>
        <v>27345</v>
      </c>
    </row>
    <row r="20122">
      <c r="A20122" s="48" t="s">
        <v>3404</v>
      </c>
      <c r="B20122" s="38">
        <v>39043.0</v>
      </c>
      <c r="C20122" s="38" t="s">
        <v>17567</v>
      </c>
      <c r="D20122" s="38" t="str">
        <f>IFERROR(__xludf.DUMMYFUNCTION("REGEXREPLACE(C20122,""-\d+(.*)|--\d+(.*)"","""")"),"BEAUFORT")</f>
        <v>BEAUFORT</v>
      </c>
      <c r="E20122" s="38" t="s">
        <v>400</v>
      </c>
      <c r="F20122" s="38" t="s">
        <v>214</v>
      </c>
      <c r="G20122" s="49" t="str">
        <f t="shared" si="1"/>
        <v>39190</v>
      </c>
      <c r="H20122" s="49">
        <f t="shared" si="2"/>
        <v>39043</v>
      </c>
    </row>
    <row r="20123">
      <c r="A20123" s="48" t="s">
        <v>1398</v>
      </c>
      <c r="B20123" s="38">
        <v>45030.0</v>
      </c>
      <c r="C20123" s="38" t="s">
        <v>24625</v>
      </c>
      <c r="D20123" s="38" t="str">
        <f>IFERROR(__xludf.DUMMYFUNCTION("REGEXREPLACE(C20123,""-\d+(.*)|--\d+(.*)"","""")"),"BEAUNE-LA-ROLANDE")</f>
        <v>BEAUNE-LA-ROLANDE</v>
      </c>
      <c r="E20123" s="38" t="s">
        <v>122</v>
      </c>
      <c r="F20123" s="38" t="s">
        <v>123</v>
      </c>
      <c r="G20123" s="49" t="str">
        <f t="shared" si="1"/>
        <v>45340</v>
      </c>
      <c r="H20123" s="49">
        <f t="shared" si="2"/>
        <v>45030</v>
      </c>
    </row>
    <row r="20124">
      <c r="A20124" s="48" t="s">
        <v>5127</v>
      </c>
      <c r="B20124" s="38">
        <v>26290.0</v>
      </c>
      <c r="C20124" s="38" t="s">
        <v>24626</v>
      </c>
      <c r="D20124" s="38" t="str">
        <f>IFERROR(__xludf.DUMMYFUNCTION("REGEXREPLACE(C20124,""-\d+(.*)|--\d+(.*)"","""")"),"SAINT-AGNAN-EN-VERCORS")</f>
        <v>SAINT-AGNAN-EN-VERCORS</v>
      </c>
      <c r="E20124" s="38" t="s">
        <v>126</v>
      </c>
      <c r="F20124" s="38" t="s">
        <v>102</v>
      </c>
      <c r="G20124" s="49" t="str">
        <f t="shared" si="1"/>
        <v>26420</v>
      </c>
      <c r="H20124" s="49">
        <f t="shared" si="2"/>
        <v>26290</v>
      </c>
    </row>
    <row r="20125">
      <c r="A20125" s="48" t="s">
        <v>571</v>
      </c>
      <c r="B20125" s="38">
        <v>55377.0</v>
      </c>
      <c r="C20125" s="38" t="s">
        <v>24627</v>
      </c>
      <c r="D20125" s="38" t="str">
        <f>IFERROR(__xludf.DUMMYFUNCTION("REGEXREPLACE(C20125,""-\d+(.*)|--\d+(.*)"","""")"),"NEPVANT")</f>
        <v>NEPVANT</v>
      </c>
      <c r="E20125" s="38" t="s">
        <v>322</v>
      </c>
      <c r="F20125" s="38" t="s">
        <v>195</v>
      </c>
      <c r="G20125" s="49" t="str">
        <f t="shared" si="1"/>
        <v>55700</v>
      </c>
      <c r="H20125" s="49">
        <f t="shared" si="2"/>
        <v>55377</v>
      </c>
    </row>
    <row r="20126">
      <c r="A20126" s="48" t="s">
        <v>10505</v>
      </c>
      <c r="B20126" s="38">
        <v>76550.0</v>
      </c>
      <c r="C20126" s="38" t="s">
        <v>24628</v>
      </c>
      <c r="D20126" s="38" t="str">
        <f>IFERROR(__xludf.DUMMYFUNCTION("REGEXREPLACE(C20126,""-\d+(.*)|--\d+(.*)"","""")"),"SAHURS")</f>
        <v>SAHURS</v>
      </c>
      <c r="E20126" s="38" t="s">
        <v>133</v>
      </c>
      <c r="F20126" s="38" t="s">
        <v>134</v>
      </c>
      <c r="G20126" s="49" t="str">
        <f t="shared" si="1"/>
        <v>76113</v>
      </c>
      <c r="H20126" s="49">
        <f t="shared" si="2"/>
        <v>76550</v>
      </c>
    </row>
    <row r="20127">
      <c r="A20127" s="48" t="s">
        <v>4557</v>
      </c>
      <c r="B20127" s="38">
        <v>46107.0</v>
      </c>
      <c r="C20127" s="38" t="s">
        <v>24629</v>
      </c>
      <c r="D20127" s="38" t="str">
        <f>IFERROR(__xludf.DUMMYFUNCTION("REGEXREPLACE(C20127,""-\d+(.*)|--\d+(.*)"","""")"),"FLORESSAS")</f>
        <v>FLORESSAS</v>
      </c>
      <c r="E20127" s="38" t="s">
        <v>185</v>
      </c>
      <c r="F20127" s="38" t="s">
        <v>94</v>
      </c>
      <c r="G20127" s="49" t="str">
        <f t="shared" si="1"/>
        <v>46700</v>
      </c>
      <c r="H20127" s="49">
        <f t="shared" si="2"/>
        <v>46107</v>
      </c>
    </row>
    <row r="20128">
      <c r="A20128" s="48" t="s">
        <v>1921</v>
      </c>
      <c r="B20128" s="38">
        <v>2303.0</v>
      </c>
      <c r="C20128" s="38" t="s">
        <v>24630</v>
      </c>
      <c r="D20128" s="38" t="str">
        <f>IFERROR(__xludf.DUMMYFUNCTION("REGEXREPLACE(C20128,""-\d+(.*)|--\d+(.*)"","""")"),"FAYET")</f>
        <v>FAYET</v>
      </c>
      <c r="E20128" s="38" t="s">
        <v>191</v>
      </c>
      <c r="F20128" s="38" t="s">
        <v>113</v>
      </c>
      <c r="G20128" s="49" t="str">
        <f t="shared" si="1"/>
        <v>02100</v>
      </c>
      <c r="H20128" s="49" t="str">
        <f t="shared" si="2"/>
        <v>02303</v>
      </c>
    </row>
    <row r="20129">
      <c r="A20129" s="48" t="s">
        <v>24631</v>
      </c>
      <c r="B20129" s="38">
        <v>30303.0</v>
      </c>
      <c r="C20129" s="38" t="s">
        <v>24632</v>
      </c>
      <c r="D20129" s="38" t="str">
        <f>IFERROR(__xludf.DUMMYFUNCTION("REGEXREPLACE(C20129,""-\d+(.*)|--\d+(.*)"","""")"),"SAINT-VICTOR-DE-MALCAP")</f>
        <v>SAINT-VICTOR-DE-MALCAP</v>
      </c>
      <c r="E20129" s="38" t="s">
        <v>526</v>
      </c>
      <c r="F20129" s="38" t="s">
        <v>119</v>
      </c>
      <c r="G20129" s="49" t="str">
        <f t="shared" si="1"/>
        <v>30500</v>
      </c>
      <c r="H20129" s="49">
        <f t="shared" si="2"/>
        <v>30303</v>
      </c>
    </row>
    <row r="20130">
      <c r="A20130" s="48" t="s">
        <v>3668</v>
      </c>
      <c r="B20130" s="38">
        <v>65028.0</v>
      </c>
      <c r="C20130" s="38" t="s">
        <v>24633</v>
      </c>
      <c r="D20130" s="38" t="str">
        <f>IFERROR(__xludf.DUMMYFUNCTION("REGEXREPLACE(C20130,""-\d+(.*)|--\d+(.*)"","""")"),"ARNE")</f>
        <v>ARNE</v>
      </c>
      <c r="E20130" s="38" t="s">
        <v>200</v>
      </c>
      <c r="F20130" s="38" t="s">
        <v>94</v>
      </c>
      <c r="G20130" s="49" t="str">
        <f t="shared" si="1"/>
        <v>65670</v>
      </c>
      <c r="H20130" s="49">
        <f t="shared" si="2"/>
        <v>65028</v>
      </c>
    </row>
    <row r="20131">
      <c r="A20131" s="48" t="s">
        <v>2270</v>
      </c>
      <c r="B20131" s="38">
        <v>32302.0</v>
      </c>
      <c r="C20131" s="38" t="s">
        <v>24634</v>
      </c>
      <c r="D20131" s="38" t="str">
        <f>IFERROR(__xludf.DUMMYFUNCTION("REGEXREPLACE(C20131,""-\d+(.*)|--\d+(.*)"","""")"),"ORNEZAN")</f>
        <v>ORNEZAN</v>
      </c>
      <c r="E20131" s="38" t="s">
        <v>440</v>
      </c>
      <c r="F20131" s="38" t="s">
        <v>94</v>
      </c>
      <c r="G20131" s="49" t="str">
        <f t="shared" si="1"/>
        <v>32260</v>
      </c>
      <c r="H20131" s="49">
        <f t="shared" si="2"/>
        <v>32302</v>
      </c>
    </row>
    <row r="20132">
      <c r="A20132" s="48" t="s">
        <v>8059</v>
      </c>
      <c r="B20132" s="38">
        <v>70490.0</v>
      </c>
      <c r="C20132" s="38" t="s">
        <v>24635</v>
      </c>
      <c r="D20132" s="38" t="str">
        <f>IFERROR(__xludf.DUMMYFUNCTION("REGEXREPLACE(C20132,""-\d+(.*)|--\d+(.*)"","""")"),"SERVIGNEY")</f>
        <v>SERVIGNEY</v>
      </c>
      <c r="E20132" s="38" t="s">
        <v>956</v>
      </c>
      <c r="F20132" s="38" t="s">
        <v>214</v>
      </c>
      <c r="G20132" s="49" t="str">
        <f t="shared" si="1"/>
        <v>70240</v>
      </c>
      <c r="H20132" s="49">
        <f t="shared" si="2"/>
        <v>70490</v>
      </c>
    </row>
    <row r="20133">
      <c r="A20133" s="48" t="s">
        <v>14093</v>
      </c>
      <c r="B20133" s="38">
        <v>1142.0</v>
      </c>
      <c r="C20133" s="38" t="s">
        <v>24636</v>
      </c>
      <c r="D20133" s="38" t="str">
        <f>IFERROR(__xludf.DUMMYFUNCTION("REGEXREPLACE(C20133,""-\d+(.*)|--\d+(.*)"","""")"),"DAGNEUX")</f>
        <v>DAGNEUX</v>
      </c>
      <c r="E20133" s="38" t="s">
        <v>255</v>
      </c>
      <c r="F20133" s="38" t="s">
        <v>102</v>
      </c>
      <c r="G20133" s="49" t="str">
        <f t="shared" si="1"/>
        <v>01120</v>
      </c>
      <c r="H20133" s="49" t="str">
        <f t="shared" si="2"/>
        <v>01142</v>
      </c>
    </row>
    <row r="20134">
      <c r="A20134" s="48" t="s">
        <v>13108</v>
      </c>
      <c r="B20134" s="38">
        <v>11116.0</v>
      </c>
      <c r="C20134" s="38" t="s">
        <v>24637</v>
      </c>
      <c r="D20134" s="38" t="str">
        <f>IFERROR(__xludf.DUMMYFUNCTION("REGEXREPLACE(C20134,""-\d+(.*)|--\d+(.*)"","""")"),"CUXAC-D'AUDE")</f>
        <v>CUXAC-D'AUDE</v>
      </c>
      <c r="E20134" s="38" t="s">
        <v>278</v>
      </c>
      <c r="F20134" s="38" t="s">
        <v>119</v>
      </c>
      <c r="G20134" s="49" t="str">
        <f t="shared" si="1"/>
        <v>11590</v>
      </c>
      <c r="H20134" s="49">
        <f t="shared" si="2"/>
        <v>11116</v>
      </c>
    </row>
    <row r="20135">
      <c r="A20135" s="48" t="s">
        <v>1195</v>
      </c>
      <c r="B20135" s="38">
        <v>80350.0</v>
      </c>
      <c r="C20135" s="38" t="s">
        <v>24638</v>
      </c>
      <c r="D20135" s="38" t="str">
        <f>IFERROR(__xludf.DUMMYFUNCTION("REGEXREPLACE(C20135,""-\d+(.*)|--\d+(.*)"","""")"),"FRANVILLERS")</f>
        <v>FRANVILLERS</v>
      </c>
      <c r="E20135" s="38" t="s">
        <v>224</v>
      </c>
      <c r="F20135" s="38" t="s">
        <v>113</v>
      </c>
      <c r="G20135" s="49" t="str">
        <f t="shared" si="1"/>
        <v>80800</v>
      </c>
      <c r="H20135" s="49">
        <f t="shared" si="2"/>
        <v>80350</v>
      </c>
    </row>
    <row r="20136">
      <c r="A20136" s="48" t="s">
        <v>23957</v>
      </c>
      <c r="B20136" s="38">
        <v>30178.0</v>
      </c>
      <c r="C20136" s="38" t="s">
        <v>2524</v>
      </c>
      <c r="D20136" s="38" t="str">
        <f>IFERROR(__xludf.DUMMYFUNCTION("REGEXREPLACE(C20136,""-\d+(.*)|--\d+(.*)"","""")"),"MONTFAUCON")</f>
        <v>MONTFAUCON</v>
      </c>
      <c r="E20136" s="38" t="s">
        <v>526</v>
      </c>
      <c r="F20136" s="38" t="s">
        <v>119</v>
      </c>
      <c r="G20136" s="49" t="str">
        <f t="shared" si="1"/>
        <v>30150</v>
      </c>
      <c r="H20136" s="49">
        <f t="shared" si="2"/>
        <v>30178</v>
      </c>
    </row>
    <row r="20137">
      <c r="A20137" s="48" t="s">
        <v>4199</v>
      </c>
      <c r="B20137" s="38">
        <v>17074.0</v>
      </c>
      <c r="C20137" s="38" t="s">
        <v>24639</v>
      </c>
      <c r="D20137" s="38" t="str">
        <f>IFERROR(__xludf.DUMMYFUNCTION("REGEXREPLACE(C20137,""-\d+(.*)|--\d+(.*)"","""")"),"BUSSAC-FORET")</f>
        <v>BUSSAC-FORET</v>
      </c>
      <c r="E20137" s="38" t="s">
        <v>488</v>
      </c>
      <c r="F20137" s="38" t="s">
        <v>338</v>
      </c>
      <c r="G20137" s="49" t="str">
        <f t="shared" si="1"/>
        <v>17210</v>
      </c>
      <c r="H20137" s="49">
        <f t="shared" si="2"/>
        <v>17074</v>
      </c>
    </row>
    <row r="20138">
      <c r="A20138" s="48" t="s">
        <v>87</v>
      </c>
      <c r="B20138" s="38">
        <v>22292.0</v>
      </c>
      <c r="C20138" s="38" t="s">
        <v>24640</v>
      </c>
      <c r="D20138" s="38" t="str">
        <f>IFERROR(__xludf.DUMMYFUNCTION("REGEXREPLACE(C20138,""-\d+(.*)|--\d+(.*)"","""")"),"SAINT-GILLES-DU-MENE")</f>
        <v>SAINT-GILLES-DU-MENE</v>
      </c>
      <c r="E20138" s="38" t="s">
        <v>89</v>
      </c>
      <c r="F20138" s="38" t="s">
        <v>90</v>
      </c>
      <c r="G20138" s="49" t="str">
        <f t="shared" si="1"/>
        <v>22330</v>
      </c>
      <c r="H20138" s="49">
        <f t="shared" si="2"/>
        <v>22292</v>
      </c>
    </row>
    <row r="20139">
      <c r="A20139" s="48" t="s">
        <v>981</v>
      </c>
      <c r="B20139" s="38">
        <v>24026.0</v>
      </c>
      <c r="C20139" s="38" t="s">
        <v>24641</v>
      </c>
      <c r="D20139" s="38" t="str">
        <f>IFERROR(__xludf.DUMMYFUNCTION("REGEXREPLACE(C20139,""-\d+(.*)|--\d+(.*)"","""")"),"BASSILLAC")</f>
        <v>BASSILLAC</v>
      </c>
      <c r="E20139" s="38" t="s">
        <v>261</v>
      </c>
      <c r="F20139" s="38" t="s">
        <v>252</v>
      </c>
      <c r="G20139" s="49" t="str">
        <f t="shared" si="1"/>
        <v>24330</v>
      </c>
      <c r="H20139" s="49">
        <f t="shared" si="2"/>
        <v>24026</v>
      </c>
    </row>
    <row r="20140">
      <c r="A20140" s="48" t="s">
        <v>940</v>
      </c>
      <c r="B20140" s="38">
        <v>51077.0</v>
      </c>
      <c r="C20140" s="38" t="s">
        <v>24642</v>
      </c>
      <c r="D20140" s="38" t="str">
        <f>IFERROR(__xludf.DUMMYFUNCTION("REGEXREPLACE(C20140,""-\d+(.*)|--\d+(.*)"","""")"),"BOUVANCOURT")</f>
        <v>BOUVANCOURT</v>
      </c>
      <c r="E20140" s="38" t="s">
        <v>129</v>
      </c>
      <c r="F20140" s="38" t="s">
        <v>130</v>
      </c>
      <c r="G20140" s="49" t="str">
        <f t="shared" si="1"/>
        <v>51140</v>
      </c>
      <c r="H20140" s="49">
        <f t="shared" si="2"/>
        <v>51077</v>
      </c>
    </row>
    <row r="20141">
      <c r="A20141" s="48" t="s">
        <v>844</v>
      </c>
      <c r="B20141" s="38">
        <v>72207.0</v>
      </c>
      <c r="C20141" s="38" t="s">
        <v>5740</v>
      </c>
      <c r="D20141" s="38" t="str">
        <f>IFERROR(__xludf.DUMMYFUNCTION("REGEXREPLACE(C20141,""-\d+(.*)|--\d+(.*)"","""")"),"MONTIGNY")</f>
        <v>MONTIGNY</v>
      </c>
      <c r="E20141" s="38" t="s">
        <v>521</v>
      </c>
      <c r="F20141" s="38" t="s">
        <v>180</v>
      </c>
      <c r="G20141" s="49" t="str">
        <f t="shared" si="1"/>
        <v>72600</v>
      </c>
      <c r="H20141" s="49">
        <f t="shared" si="2"/>
        <v>72207</v>
      </c>
    </row>
    <row r="20142">
      <c r="A20142" s="48" t="s">
        <v>1104</v>
      </c>
      <c r="B20142" s="38">
        <v>52109.0</v>
      </c>
      <c r="C20142" s="38" t="s">
        <v>24643</v>
      </c>
      <c r="D20142" s="38" t="str">
        <f>IFERROR(__xludf.DUMMYFUNCTION("REGEXREPLACE(C20142,""-\d+(.*)|--\d+(.*)"","""")"),"CHARMES-EN-L'ANGLE")</f>
        <v>CHARMES-EN-L'ANGLE</v>
      </c>
      <c r="E20142" s="38" t="s">
        <v>234</v>
      </c>
      <c r="F20142" s="38" t="s">
        <v>130</v>
      </c>
      <c r="G20142" s="49" t="str">
        <f t="shared" si="1"/>
        <v>52110</v>
      </c>
      <c r="H20142" s="49">
        <f t="shared" si="2"/>
        <v>52109</v>
      </c>
    </row>
    <row r="20143">
      <c r="A20143" s="48" t="s">
        <v>9879</v>
      </c>
      <c r="B20143" s="38">
        <v>85065.0</v>
      </c>
      <c r="C20143" s="38" t="s">
        <v>24644</v>
      </c>
      <c r="D20143" s="38" t="str">
        <f>IFERROR(__xludf.DUMMYFUNCTION("REGEXREPLACE(C20143,""-\d+(.*)|--\d+(.*)"","""")"),"CHAVAGNES-EN-PAILLERS")</f>
        <v>CHAVAGNES-EN-PAILLERS</v>
      </c>
      <c r="E20143" s="38" t="s">
        <v>179</v>
      </c>
      <c r="F20143" s="38" t="s">
        <v>180</v>
      </c>
      <c r="G20143" s="49" t="str">
        <f t="shared" si="1"/>
        <v>85250</v>
      </c>
      <c r="H20143" s="49">
        <f t="shared" si="2"/>
        <v>85065</v>
      </c>
    </row>
    <row r="20144">
      <c r="A20144" s="48" t="s">
        <v>13344</v>
      </c>
      <c r="B20144" s="38">
        <v>37167.0</v>
      </c>
      <c r="C20144" s="38" t="s">
        <v>24645</v>
      </c>
      <c r="D20144" s="38" t="str">
        <f>IFERROR(__xludf.DUMMYFUNCTION("REGEXREPLACE(C20144,""-\d+(.*)|--\d+(.*)"","""")"),"NEUILLE-PONT-PIERRE")</f>
        <v>NEUILLE-PONT-PIERRE</v>
      </c>
      <c r="E20144" s="38" t="s">
        <v>205</v>
      </c>
      <c r="F20144" s="38" t="s">
        <v>123</v>
      </c>
      <c r="G20144" s="49" t="str">
        <f t="shared" si="1"/>
        <v>37360</v>
      </c>
      <c r="H20144" s="49">
        <f t="shared" si="2"/>
        <v>37167</v>
      </c>
    </row>
    <row r="20145">
      <c r="A20145" s="48" t="s">
        <v>1029</v>
      </c>
      <c r="B20145" s="38">
        <v>9030.0</v>
      </c>
      <c r="C20145" s="38" t="s">
        <v>24646</v>
      </c>
      <c r="D20145" s="38" t="str">
        <f>IFERROR(__xludf.DUMMYFUNCTION("REGEXREPLACE(C20145,""-\d+(.*)|--\d+(.*)"","""")"),"AUZAT")</f>
        <v>AUZAT</v>
      </c>
      <c r="E20145" s="38" t="s">
        <v>238</v>
      </c>
      <c r="F20145" s="38" t="s">
        <v>94</v>
      </c>
      <c r="G20145" s="49" t="str">
        <f t="shared" si="1"/>
        <v>09220</v>
      </c>
      <c r="H20145" s="49" t="str">
        <f t="shared" si="2"/>
        <v>09030</v>
      </c>
    </row>
    <row r="20146">
      <c r="A20146" s="48" t="s">
        <v>5101</v>
      </c>
      <c r="B20146" s="38">
        <v>54399.0</v>
      </c>
      <c r="C20146" s="38" t="s">
        <v>24647</v>
      </c>
      <c r="D20146" s="38" t="str">
        <f>IFERROR(__xludf.DUMMYFUNCTION("REGEXREPLACE(C20146,""-\d+(.*)|--\d+(.*)"","""")"),"NEUVILLER-SUR-MOSELLE")</f>
        <v>NEUVILLER-SUR-MOSELLE</v>
      </c>
      <c r="E20146" s="38" t="s">
        <v>548</v>
      </c>
      <c r="F20146" s="38" t="s">
        <v>195</v>
      </c>
      <c r="G20146" s="49" t="str">
        <f t="shared" si="1"/>
        <v>54290</v>
      </c>
      <c r="H20146" s="49">
        <f t="shared" si="2"/>
        <v>54399</v>
      </c>
    </row>
    <row r="20147">
      <c r="A20147" s="48" t="s">
        <v>3562</v>
      </c>
      <c r="B20147" s="38">
        <v>2782.0</v>
      </c>
      <c r="C20147" s="38" t="s">
        <v>24648</v>
      </c>
      <c r="D20147" s="38" t="str">
        <f>IFERROR(__xludf.DUMMYFUNCTION("REGEXREPLACE(C20147,""-\d+(.*)|--\d+(.*)"","""")"),"LE VERGUIER")</f>
        <v>LE VERGUIER</v>
      </c>
      <c r="E20147" s="38" t="s">
        <v>191</v>
      </c>
      <c r="F20147" s="38" t="s">
        <v>113</v>
      </c>
      <c r="G20147" s="49" t="str">
        <f t="shared" si="1"/>
        <v>02490</v>
      </c>
      <c r="H20147" s="49" t="str">
        <f t="shared" si="2"/>
        <v>02782</v>
      </c>
    </row>
    <row r="20148">
      <c r="A20148" s="48" t="s">
        <v>5777</v>
      </c>
      <c r="B20148" s="38">
        <v>74233.0</v>
      </c>
      <c r="C20148" s="38" t="s">
        <v>7139</v>
      </c>
      <c r="D20148" s="38" t="str">
        <f>IFERROR(__xludf.DUMMYFUNCTION("REGEXREPLACE(C20148,""-\d+(.*)|--\d+(.*)"","""")"),"SAINT-FELIX")</f>
        <v>SAINT-FELIX</v>
      </c>
      <c r="E20148" s="38" t="s">
        <v>319</v>
      </c>
      <c r="F20148" s="38" t="s">
        <v>102</v>
      </c>
      <c r="G20148" s="49" t="str">
        <f t="shared" si="1"/>
        <v>74540</v>
      </c>
      <c r="H20148" s="49">
        <f t="shared" si="2"/>
        <v>74233</v>
      </c>
    </row>
    <row r="20149">
      <c r="A20149" s="48" t="s">
        <v>3750</v>
      </c>
      <c r="B20149" s="38">
        <v>47192.0</v>
      </c>
      <c r="C20149" s="38" t="s">
        <v>24649</v>
      </c>
      <c r="D20149" s="38" t="str">
        <f>IFERROR(__xludf.DUMMYFUNCTION("REGEXREPLACE(C20149,""-\d+(.*)|--\d+(.*)"","""")"),"MONVIEL")</f>
        <v>MONVIEL</v>
      </c>
      <c r="E20149" s="38" t="s">
        <v>251</v>
      </c>
      <c r="F20149" s="38" t="s">
        <v>252</v>
      </c>
      <c r="G20149" s="49" t="str">
        <f t="shared" si="1"/>
        <v>47290</v>
      </c>
      <c r="H20149" s="49">
        <f t="shared" si="2"/>
        <v>47192</v>
      </c>
    </row>
    <row r="20150">
      <c r="A20150" s="48" t="s">
        <v>2540</v>
      </c>
      <c r="B20150" s="38">
        <v>2347.0</v>
      </c>
      <c r="C20150" s="38" t="s">
        <v>21110</v>
      </c>
      <c r="D20150" s="38" t="str">
        <f>IFERROR(__xludf.DUMMYFUNCTION("REGEXREPLACE(C20150,""-\d+(.*)|--\d+(.*)"","""")"),"GLAND")</f>
        <v>GLAND</v>
      </c>
      <c r="E20150" s="38" t="s">
        <v>191</v>
      </c>
      <c r="F20150" s="38" t="s">
        <v>113</v>
      </c>
      <c r="G20150" s="49" t="str">
        <f t="shared" si="1"/>
        <v>02400</v>
      </c>
      <c r="H20150" s="49" t="str">
        <f t="shared" si="2"/>
        <v>02347</v>
      </c>
    </row>
    <row r="20151">
      <c r="A20151" s="48" t="s">
        <v>8873</v>
      </c>
      <c r="B20151" s="38">
        <v>34330.0</v>
      </c>
      <c r="C20151" s="38" t="s">
        <v>24650</v>
      </c>
      <c r="D20151" s="38" t="str">
        <f>IFERROR(__xludf.DUMMYFUNCTION("REGEXREPLACE(C20151,""-\d+(.*)|--\d+(.*)"","""")"),"VERARGUES")</f>
        <v>VERARGUES</v>
      </c>
      <c r="E20151" s="38" t="s">
        <v>118</v>
      </c>
      <c r="F20151" s="38" t="s">
        <v>119</v>
      </c>
      <c r="G20151" s="49" t="str">
        <f t="shared" si="1"/>
        <v>34400</v>
      </c>
      <c r="H20151" s="49">
        <f t="shared" si="2"/>
        <v>34330</v>
      </c>
    </row>
    <row r="20152">
      <c r="A20152" s="48" t="s">
        <v>9451</v>
      </c>
      <c r="B20152" s="38">
        <v>22311.0</v>
      </c>
      <c r="C20152" s="38" t="s">
        <v>24651</v>
      </c>
      <c r="D20152" s="38" t="str">
        <f>IFERROR(__xludf.DUMMYFUNCTION("REGEXREPLACE(C20152,""-\d+(.*)|--\d+(.*)"","""")"),"SAINT-LORMEL")</f>
        <v>SAINT-LORMEL</v>
      </c>
      <c r="E20152" s="38" t="s">
        <v>89</v>
      </c>
      <c r="F20152" s="38" t="s">
        <v>90</v>
      </c>
      <c r="G20152" s="49" t="str">
        <f t="shared" si="1"/>
        <v>22130</v>
      </c>
      <c r="H20152" s="49">
        <f t="shared" si="2"/>
        <v>22311</v>
      </c>
    </row>
    <row r="20153">
      <c r="A20153" s="48" t="s">
        <v>12066</v>
      </c>
      <c r="B20153" s="38">
        <v>56060.0</v>
      </c>
      <c r="C20153" s="38" t="s">
        <v>24652</v>
      </c>
      <c r="D20153" s="38" t="str">
        <f>IFERROR(__xludf.DUMMYFUNCTION("REGEXREPLACE(C20153,""-\d+(.*)|--\d+(.*)"","""")"),"LES FOUGERETS")</f>
        <v>LES FOUGERETS</v>
      </c>
      <c r="E20153" s="38" t="s">
        <v>173</v>
      </c>
      <c r="F20153" s="38" t="s">
        <v>90</v>
      </c>
      <c r="G20153" s="49" t="str">
        <f t="shared" si="1"/>
        <v>56200</v>
      </c>
      <c r="H20153" s="49">
        <f t="shared" si="2"/>
        <v>56060</v>
      </c>
    </row>
    <row r="20154">
      <c r="A20154" s="48" t="s">
        <v>5631</v>
      </c>
      <c r="B20154" s="38">
        <v>76214.0</v>
      </c>
      <c r="C20154" s="38" t="s">
        <v>24653</v>
      </c>
      <c r="D20154" s="38" t="str">
        <f>IFERROR(__xludf.DUMMYFUNCTION("REGEXREPLACE(C20154,""-\d+(.*)|--\d+(.*)"","""")"),"DENESTANVILLE")</f>
        <v>DENESTANVILLE</v>
      </c>
      <c r="E20154" s="38" t="s">
        <v>133</v>
      </c>
      <c r="F20154" s="38" t="s">
        <v>134</v>
      </c>
      <c r="G20154" s="49" t="str">
        <f t="shared" si="1"/>
        <v>76590</v>
      </c>
      <c r="H20154" s="49">
        <f t="shared" si="2"/>
        <v>76214</v>
      </c>
    </row>
    <row r="20155">
      <c r="A20155" s="48" t="s">
        <v>3783</v>
      </c>
      <c r="B20155" s="38">
        <v>62163.0</v>
      </c>
      <c r="C20155" s="38" t="s">
        <v>24654</v>
      </c>
      <c r="D20155" s="38" t="str">
        <f>IFERROR(__xludf.DUMMYFUNCTION("REGEXREPLACE(C20155,""-\d+(.*)|--\d+(.*)"","""")"),"BOURET-SUR-CANCHE")</f>
        <v>BOURET-SUR-CANCHE</v>
      </c>
      <c r="E20155" s="38" t="s">
        <v>109</v>
      </c>
      <c r="F20155" s="38" t="s">
        <v>86</v>
      </c>
      <c r="G20155" s="49" t="str">
        <f t="shared" si="1"/>
        <v>62270</v>
      </c>
      <c r="H20155" s="49">
        <f t="shared" si="2"/>
        <v>62163</v>
      </c>
    </row>
    <row r="20156">
      <c r="A20156" s="48" t="s">
        <v>4626</v>
      </c>
      <c r="B20156" s="38">
        <v>16110.0</v>
      </c>
      <c r="C20156" s="38" t="s">
        <v>24655</v>
      </c>
      <c r="D20156" s="38" t="str">
        <f>IFERROR(__xludf.DUMMYFUNCTION("REGEXREPLACE(C20156,""-\d+(.*)|--\d+(.*)"","""")"),"COURCOME")</f>
        <v>COURCOME</v>
      </c>
      <c r="E20156" s="38" t="s">
        <v>429</v>
      </c>
      <c r="F20156" s="38" t="s">
        <v>338</v>
      </c>
      <c r="G20156" s="49" t="str">
        <f t="shared" si="1"/>
        <v>16240</v>
      </c>
      <c r="H20156" s="49">
        <f t="shared" si="2"/>
        <v>16110</v>
      </c>
    </row>
    <row r="20157">
      <c r="A20157" s="48" t="s">
        <v>24656</v>
      </c>
      <c r="B20157" s="38">
        <v>59361.0</v>
      </c>
      <c r="C20157" s="38" t="s">
        <v>24657</v>
      </c>
      <c r="D20157" s="38" t="str">
        <f>IFERROR(__xludf.DUMMYFUNCTION("REGEXREPLACE(C20157,""-\d+(.*)|--\d+(.*)"","""")"),"LOURCHES")</f>
        <v>LOURCHES</v>
      </c>
      <c r="E20157" s="38" t="s">
        <v>85</v>
      </c>
      <c r="F20157" s="38" t="s">
        <v>86</v>
      </c>
      <c r="G20157" s="49" t="str">
        <f t="shared" si="1"/>
        <v>59156</v>
      </c>
      <c r="H20157" s="49">
        <f t="shared" si="2"/>
        <v>59361</v>
      </c>
    </row>
    <row r="20158">
      <c r="A20158" s="48" t="s">
        <v>12127</v>
      </c>
      <c r="B20158" s="38">
        <v>7109.0</v>
      </c>
      <c r="C20158" s="38" t="s">
        <v>24658</v>
      </c>
      <c r="D20158" s="38" t="str">
        <f>IFERROR(__xludf.DUMMYFUNCTION("REGEXREPLACE(C20158,""-\d+(.*)|--\d+(.*)"","""")"),"JOANNAS")</f>
        <v>JOANNAS</v>
      </c>
      <c r="E20158" s="38" t="s">
        <v>144</v>
      </c>
      <c r="F20158" s="38" t="s">
        <v>102</v>
      </c>
      <c r="G20158" s="49" t="str">
        <f t="shared" si="1"/>
        <v>07110</v>
      </c>
      <c r="H20158" s="49" t="str">
        <f t="shared" si="2"/>
        <v>07109</v>
      </c>
    </row>
    <row r="20159">
      <c r="A20159" s="48" t="s">
        <v>734</v>
      </c>
      <c r="B20159" s="38">
        <v>54524.0</v>
      </c>
      <c r="C20159" s="38" t="s">
        <v>24659</v>
      </c>
      <c r="D20159" s="38" t="str">
        <f>IFERROR(__xludf.DUMMYFUNCTION("REGEXREPLACE(C20159,""-\d+(.*)|--\d+(.*)"","""")"),"THUMEREVILLE")</f>
        <v>THUMEREVILLE</v>
      </c>
      <c r="E20159" s="38" t="s">
        <v>548</v>
      </c>
      <c r="F20159" s="38" t="s">
        <v>195</v>
      </c>
      <c r="G20159" s="49" t="str">
        <f t="shared" si="1"/>
        <v>54800</v>
      </c>
      <c r="H20159" s="49">
        <f t="shared" si="2"/>
        <v>54524</v>
      </c>
    </row>
    <row r="20160">
      <c r="A20160" s="48" t="s">
        <v>8652</v>
      </c>
      <c r="B20160" s="38">
        <v>64139.0</v>
      </c>
      <c r="C20160" s="38" t="s">
        <v>24660</v>
      </c>
      <c r="D20160" s="38" t="str">
        <f>IFERROR(__xludf.DUMMYFUNCTION("REGEXREPLACE(C20160,""-\d+(.*)|--\d+(.*)"","""")"),"BOSDARROS")</f>
        <v>BOSDARROS</v>
      </c>
      <c r="E20160" s="38" t="s">
        <v>268</v>
      </c>
      <c r="F20160" s="38" t="s">
        <v>252</v>
      </c>
      <c r="G20160" s="49" t="str">
        <f t="shared" si="1"/>
        <v>64290</v>
      </c>
      <c r="H20160" s="49">
        <f t="shared" si="2"/>
        <v>64139</v>
      </c>
    </row>
    <row r="20161">
      <c r="A20161" s="48" t="s">
        <v>719</v>
      </c>
      <c r="B20161" s="38">
        <v>8228.0</v>
      </c>
      <c r="C20161" s="38" t="s">
        <v>24661</v>
      </c>
      <c r="D20161" s="38" t="str">
        <f>IFERROR(__xludf.DUMMYFUNCTION("REGEXREPLACE(C20161,""-\d+(.*)|--\d+(.*)"","""")"),"LA HORGNE")</f>
        <v>LA HORGNE</v>
      </c>
      <c r="E20161" s="38" t="s">
        <v>327</v>
      </c>
      <c r="F20161" s="38" t="s">
        <v>130</v>
      </c>
      <c r="G20161" s="49" t="str">
        <f t="shared" si="1"/>
        <v>08430</v>
      </c>
      <c r="H20161" s="49" t="str">
        <f t="shared" si="2"/>
        <v>08228</v>
      </c>
    </row>
    <row r="20162">
      <c r="A20162" s="48" t="s">
        <v>7954</v>
      </c>
      <c r="B20162" s="38">
        <v>40126.0</v>
      </c>
      <c r="C20162" s="38" t="s">
        <v>24662</v>
      </c>
      <c r="D20162" s="38" t="str">
        <f>IFERROR(__xludf.DUMMYFUNCTION("REGEXREPLACE(C20162,""-\d+(.*)|--\d+(.*)"","""")"),"HINX")</f>
        <v>HINX</v>
      </c>
      <c r="E20162" s="38" t="s">
        <v>281</v>
      </c>
      <c r="F20162" s="38" t="s">
        <v>252</v>
      </c>
      <c r="G20162" s="49" t="str">
        <f t="shared" si="1"/>
        <v>40180</v>
      </c>
      <c r="H20162" s="49">
        <f t="shared" si="2"/>
        <v>40126</v>
      </c>
    </row>
    <row r="20163">
      <c r="A20163" s="48" t="s">
        <v>2552</v>
      </c>
      <c r="B20163" s="38">
        <v>30339.0</v>
      </c>
      <c r="C20163" s="38" t="s">
        <v>24663</v>
      </c>
      <c r="D20163" s="38" t="str">
        <f>IFERROR(__xludf.DUMMYFUNCTION("REGEXREPLACE(C20163,""-\d+(.*)|--\d+(.*)"","""")"),"VALLERAUGUE")</f>
        <v>VALLERAUGUE</v>
      </c>
      <c r="E20163" s="38" t="s">
        <v>526</v>
      </c>
      <c r="F20163" s="38" t="s">
        <v>119</v>
      </c>
      <c r="G20163" s="49" t="str">
        <f t="shared" si="1"/>
        <v>30570</v>
      </c>
      <c r="H20163" s="49">
        <f t="shared" si="2"/>
        <v>30339</v>
      </c>
    </row>
    <row r="20164">
      <c r="A20164" s="48" t="s">
        <v>4768</v>
      </c>
      <c r="B20164" s="38">
        <v>6055.0</v>
      </c>
      <c r="C20164" s="38" t="s">
        <v>24664</v>
      </c>
      <c r="D20164" s="38" t="str">
        <f>IFERROR(__xludf.DUMMYFUNCTION("REGEXREPLACE(C20164,""-\d+(.*)|--\d+(.*)"","""")"),"DURANUS")</f>
        <v>DURANUS</v>
      </c>
      <c r="E20164" s="38" t="s">
        <v>227</v>
      </c>
      <c r="F20164" s="38" t="s">
        <v>228</v>
      </c>
      <c r="G20164" s="49" t="str">
        <f t="shared" si="1"/>
        <v>06670</v>
      </c>
      <c r="H20164" s="49" t="str">
        <f t="shared" si="2"/>
        <v>06055</v>
      </c>
    </row>
    <row r="20165">
      <c r="A20165" s="48" t="s">
        <v>7292</v>
      </c>
      <c r="B20165" s="38">
        <v>49054.0</v>
      </c>
      <c r="C20165" s="38" t="s">
        <v>24665</v>
      </c>
      <c r="D20165" s="38" t="str">
        <f>IFERROR(__xludf.DUMMYFUNCTION("REGEXREPLACE(C20165,""-\d+(.*)|--\d+(.*)"","""")"),"CANDE")</f>
        <v>CANDE</v>
      </c>
      <c r="E20165" s="38" t="s">
        <v>653</v>
      </c>
      <c r="F20165" s="38" t="s">
        <v>180</v>
      </c>
      <c r="G20165" s="49" t="str">
        <f t="shared" si="1"/>
        <v>49440</v>
      </c>
      <c r="H20165" s="49">
        <f t="shared" si="2"/>
        <v>49054</v>
      </c>
    </row>
    <row r="20166">
      <c r="A20166" s="48" t="s">
        <v>1970</v>
      </c>
      <c r="B20166" s="38">
        <v>74297.0</v>
      </c>
      <c r="C20166" s="38" t="s">
        <v>3647</v>
      </c>
      <c r="D20166" s="38" t="str">
        <f>IFERROR(__xludf.DUMMYFUNCTION("REGEXREPLACE(C20166,""-\d+(.*)|--\d+(.*)"","""")"),"VERSONNEX")</f>
        <v>VERSONNEX</v>
      </c>
      <c r="E20166" s="38" t="s">
        <v>319</v>
      </c>
      <c r="F20166" s="38" t="s">
        <v>102</v>
      </c>
      <c r="G20166" s="49" t="str">
        <f t="shared" si="1"/>
        <v>74150</v>
      </c>
      <c r="H20166" s="49">
        <f t="shared" si="2"/>
        <v>74297</v>
      </c>
    </row>
    <row r="20167">
      <c r="A20167" s="48" t="s">
        <v>24666</v>
      </c>
      <c r="B20167" s="38">
        <v>42005.0</v>
      </c>
      <c r="C20167" s="38" t="s">
        <v>24667</v>
      </c>
      <c r="D20167" s="38" t="str">
        <f>IFERROR(__xludf.DUMMYFUNCTION("REGEXREPLACE(C20167,""-\d+(.*)|--\d+(.*)"","""")"),"ANDREZIEUX-BOUTHEON")</f>
        <v>ANDREZIEUX-BOUTHEON</v>
      </c>
      <c r="E20167" s="38" t="s">
        <v>166</v>
      </c>
      <c r="F20167" s="38" t="s">
        <v>102</v>
      </c>
      <c r="G20167" s="49" t="str">
        <f t="shared" si="1"/>
        <v>42160</v>
      </c>
      <c r="H20167" s="49">
        <f t="shared" si="2"/>
        <v>42005</v>
      </c>
    </row>
    <row r="20168">
      <c r="A20168" s="48" t="s">
        <v>8120</v>
      </c>
      <c r="B20168" s="38">
        <v>61473.0</v>
      </c>
      <c r="C20168" s="38" t="s">
        <v>24668</v>
      </c>
      <c r="D20168" s="38" t="str">
        <f>IFERROR(__xludf.DUMMYFUNCTION("REGEXREPLACE(C20168,""-\d+(.*)|--\d+(.*)"","""")"),"SEVRAI")</f>
        <v>SEVRAI</v>
      </c>
      <c r="E20168" s="38" t="s">
        <v>141</v>
      </c>
      <c r="F20168" s="38" t="s">
        <v>138</v>
      </c>
      <c r="G20168" s="49" t="str">
        <f t="shared" si="1"/>
        <v>61150</v>
      </c>
      <c r="H20168" s="49">
        <f t="shared" si="2"/>
        <v>61473</v>
      </c>
    </row>
    <row r="20169">
      <c r="A20169" s="48" t="s">
        <v>4609</v>
      </c>
      <c r="B20169" s="38">
        <v>61163.0</v>
      </c>
      <c r="C20169" s="38" t="s">
        <v>24669</v>
      </c>
      <c r="D20169" s="38" t="str">
        <f>IFERROR(__xludf.DUMMYFUNCTION("REGEXREPLACE(C20169,""-\d+(.*)|--\d+(.*)"","""")"),"LA FERRIERE-AUX-ETANGS")</f>
        <v>LA FERRIERE-AUX-ETANGS</v>
      </c>
      <c r="E20169" s="38" t="s">
        <v>141</v>
      </c>
      <c r="F20169" s="38" t="s">
        <v>138</v>
      </c>
      <c r="G20169" s="49" t="str">
        <f t="shared" si="1"/>
        <v>61450</v>
      </c>
      <c r="H20169" s="49">
        <f t="shared" si="2"/>
        <v>61163</v>
      </c>
    </row>
    <row r="20170">
      <c r="A20170" s="48" t="s">
        <v>2848</v>
      </c>
      <c r="B20170" s="38">
        <v>51034.0</v>
      </c>
      <c r="C20170" s="38" t="s">
        <v>24670</v>
      </c>
      <c r="D20170" s="38" t="str">
        <f>IFERROR(__xludf.DUMMYFUNCTION("REGEXREPLACE(C20170,""-\d+(.*)|--\d+(.*)"","""")"),"BANNAY")</f>
        <v>BANNAY</v>
      </c>
      <c r="E20170" s="38" t="s">
        <v>129</v>
      </c>
      <c r="F20170" s="38" t="s">
        <v>130</v>
      </c>
      <c r="G20170" s="49" t="str">
        <f t="shared" si="1"/>
        <v>51270</v>
      </c>
      <c r="H20170" s="49">
        <f t="shared" si="2"/>
        <v>51034</v>
      </c>
    </row>
    <row r="20171">
      <c r="A20171" s="48" t="s">
        <v>16500</v>
      </c>
      <c r="B20171" s="38">
        <v>66009.0</v>
      </c>
      <c r="C20171" s="38" t="s">
        <v>24671</v>
      </c>
      <c r="D20171" s="38" t="str">
        <f>IFERROR(__xludf.DUMMYFUNCTION("REGEXREPLACE(C20171,""-\d+(.*)|--\d+(.*)"","""")"),"ARLES-SUR-TECH")</f>
        <v>ARLES-SUR-TECH</v>
      </c>
      <c r="E20171" s="38" t="s">
        <v>248</v>
      </c>
      <c r="F20171" s="38" t="s">
        <v>119</v>
      </c>
      <c r="G20171" s="49" t="str">
        <f t="shared" si="1"/>
        <v>66150</v>
      </c>
      <c r="H20171" s="49">
        <f t="shared" si="2"/>
        <v>66009</v>
      </c>
    </row>
    <row r="20172">
      <c r="A20172" s="48" t="s">
        <v>24672</v>
      </c>
      <c r="B20172" s="38" t="s">
        <v>24673</v>
      </c>
      <c r="C20172" s="38" t="s">
        <v>24674</v>
      </c>
      <c r="D20172" s="38" t="str">
        <f>IFERROR(__xludf.DUMMYFUNCTION("REGEXREPLACE(C20172,""-\d+(.*)|--\d+(.*)"","""")"),"PIANA")</f>
        <v>PIANA</v>
      </c>
      <c r="E20172" s="38" t="s">
        <v>606</v>
      </c>
      <c r="F20172" s="38" t="s">
        <v>607</v>
      </c>
      <c r="G20172" s="49" t="str">
        <f t="shared" si="1"/>
        <v>20115</v>
      </c>
      <c r="H20172" s="49" t="str">
        <f t="shared" si="2"/>
        <v>2A212</v>
      </c>
    </row>
    <row r="20173">
      <c r="A20173" s="48" t="s">
        <v>5944</v>
      </c>
      <c r="B20173" s="38">
        <v>62457.0</v>
      </c>
      <c r="C20173" s="38" t="s">
        <v>24675</v>
      </c>
      <c r="D20173" s="38" t="str">
        <f>IFERROR(__xludf.DUMMYFUNCTION("REGEXREPLACE(C20173,""-\d+(.*)|--\d+(.*)"","""")"),"HOUDAIN")</f>
        <v>HOUDAIN</v>
      </c>
      <c r="E20173" s="38" t="s">
        <v>109</v>
      </c>
      <c r="F20173" s="38" t="s">
        <v>86</v>
      </c>
      <c r="G20173" s="49" t="str">
        <f t="shared" si="1"/>
        <v>62150</v>
      </c>
      <c r="H20173" s="49">
        <f t="shared" si="2"/>
        <v>62457</v>
      </c>
    </row>
    <row r="20174">
      <c r="A20174" s="48" t="s">
        <v>9168</v>
      </c>
      <c r="B20174" s="38">
        <v>71203.0</v>
      </c>
      <c r="C20174" s="38" t="s">
        <v>21471</v>
      </c>
      <c r="D20174" s="38" t="str">
        <f>IFERROR(__xludf.DUMMYFUNCTION("REGEXREPLACE(C20174,""-\d+(.*)|--\d+(.*)"","""")"),"FONTENAY")</f>
        <v>FONTENAY</v>
      </c>
      <c r="E20174" s="38" t="s">
        <v>344</v>
      </c>
      <c r="F20174" s="38" t="s">
        <v>106</v>
      </c>
      <c r="G20174" s="49" t="str">
        <f t="shared" si="1"/>
        <v>71120</v>
      </c>
      <c r="H20174" s="49">
        <f t="shared" si="2"/>
        <v>71203</v>
      </c>
    </row>
    <row r="20175">
      <c r="A20175" s="48" t="s">
        <v>1182</v>
      </c>
      <c r="B20175" s="38">
        <v>67016.0</v>
      </c>
      <c r="C20175" s="38" t="s">
        <v>24676</v>
      </c>
      <c r="D20175" s="38" t="str">
        <f>IFERROR(__xludf.DUMMYFUNCTION("REGEXREPLACE(C20175,""-\d+(.*)|--\d+(.*)"","""")"),"AVOLSHEIM")</f>
        <v>AVOLSHEIM</v>
      </c>
      <c r="E20175" s="38" t="s">
        <v>210</v>
      </c>
      <c r="F20175" s="38" t="s">
        <v>151</v>
      </c>
      <c r="G20175" s="49" t="str">
        <f t="shared" si="1"/>
        <v>67120</v>
      </c>
      <c r="H20175" s="49">
        <f t="shared" si="2"/>
        <v>67016</v>
      </c>
    </row>
    <row r="20176">
      <c r="A20176" s="48" t="s">
        <v>1531</v>
      </c>
      <c r="B20176" s="38">
        <v>65394.0</v>
      </c>
      <c r="C20176" s="38" t="s">
        <v>5044</v>
      </c>
      <c r="D20176" s="38" t="str">
        <f>IFERROR(__xludf.DUMMYFUNCTION("REGEXREPLACE(C20176,""-\d+(.*)|--\d+(.*)"","""")"),"SAINT-PAUL")</f>
        <v>SAINT-PAUL</v>
      </c>
      <c r="E20176" s="38" t="s">
        <v>200</v>
      </c>
      <c r="F20176" s="38" t="s">
        <v>94</v>
      </c>
      <c r="G20176" s="49" t="str">
        <f t="shared" si="1"/>
        <v>65150</v>
      </c>
      <c r="H20176" s="49">
        <f t="shared" si="2"/>
        <v>65394</v>
      </c>
    </row>
    <row r="20177">
      <c r="A20177" s="48" t="s">
        <v>9967</v>
      </c>
      <c r="B20177" s="38">
        <v>35242.0</v>
      </c>
      <c r="C20177" s="38" t="s">
        <v>24677</v>
      </c>
      <c r="D20177" s="38" t="str">
        <f>IFERROR(__xludf.DUMMYFUNCTION("REGEXREPLACE(C20177,""-\d+(.*)|--\d+(.*)"","""")"),"RIMOU")</f>
        <v>RIMOU</v>
      </c>
      <c r="E20177" s="38" t="s">
        <v>347</v>
      </c>
      <c r="F20177" s="38" t="s">
        <v>90</v>
      </c>
      <c r="G20177" s="49" t="str">
        <f t="shared" si="1"/>
        <v>35560</v>
      </c>
      <c r="H20177" s="49">
        <f t="shared" si="2"/>
        <v>35242</v>
      </c>
    </row>
    <row r="20178">
      <c r="A20178" s="48" t="s">
        <v>1638</v>
      </c>
      <c r="B20178" s="38">
        <v>70023.0</v>
      </c>
      <c r="C20178" s="38" t="s">
        <v>24678</v>
      </c>
      <c r="D20178" s="38" t="str">
        <f>IFERROR(__xludf.DUMMYFUNCTION("REGEXREPLACE(C20178,""-\d+(.*)|--\d+(.*)"","""")"),"ANJEUX")</f>
        <v>ANJEUX</v>
      </c>
      <c r="E20178" s="38" t="s">
        <v>956</v>
      </c>
      <c r="F20178" s="38" t="s">
        <v>214</v>
      </c>
      <c r="G20178" s="49" t="str">
        <f t="shared" si="1"/>
        <v>70800</v>
      </c>
      <c r="H20178" s="49">
        <f t="shared" si="2"/>
        <v>70023</v>
      </c>
    </row>
    <row r="20179">
      <c r="A20179" s="48" t="s">
        <v>2882</v>
      </c>
      <c r="B20179" s="38">
        <v>76265.0</v>
      </c>
      <c r="C20179" s="38" t="s">
        <v>24679</v>
      </c>
      <c r="D20179" s="38" t="str">
        <f>IFERROR(__xludf.DUMMYFUNCTION("REGEXREPLACE(C20179,""-\d+(.*)|--\d+(.*)"","""")"),"FLAMETS-FRETILS")</f>
        <v>FLAMETS-FRETILS</v>
      </c>
      <c r="E20179" s="38" t="s">
        <v>133</v>
      </c>
      <c r="F20179" s="38" t="s">
        <v>134</v>
      </c>
      <c r="G20179" s="49" t="str">
        <f t="shared" si="1"/>
        <v>76270</v>
      </c>
      <c r="H20179" s="49">
        <f t="shared" si="2"/>
        <v>76265</v>
      </c>
    </row>
    <row r="20180">
      <c r="A20180" s="48" t="s">
        <v>932</v>
      </c>
      <c r="B20180" s="38">
        <v>17048.0</v>
      </c>
      <c r="C20180" s="38" t="s">
        <v>24680</v>
      </c>
      <c r="D20180" s="38" t="str">
        <f>IFERROR(__xludf.DUMMYFUNCTION("REGEXREPLACE(C20180,""-\d+(.*)|--\d+(.*)"","""")"),"BLANZAC-LES-MATHA")</f>
        <v>BLANZAC-LES-MATHA</v>
      </c>
      <c r="E20180" s="38" t="s">
        <v>488</v>
      </c>
      <c r="F20180" s="38" t="s">
        <v>338</v>
      </c>
      <c r="G20180" s="49" t="str">
        <f t="shared" si="1"/>
        <v>17160</v>
      </c>
      <c r="H20180" s="49">
        <f t="shared" si="2"/>
        <v>17048</v>
      </c>
    </row>
    <row r="20181">
      <c r="A20181" s="48" t="s">
        <v>2905</v>
      </c>
      <c r="B20181" s="38">
        <v>21014.0</v>
      </c>
      <c r="C20181" s="38" t="s">
        <v>24681</v>
      </c>
      <c r="D20181" s="38" t="str">
        <f>IFERROR(__xludf.DUMMYFUNCTION("REGEXREPLACE(C20181,""-\d+(.*)|--\d+(.*)"","""")"),"ANTHEUIL")</f>
        <v>ANTHEUIL</v>
      </c>
      <c r="E20181" s="38" t="s">
        <v>105</v>
      </c>
      <c r="F20181" s="38" t="s">
        <v>106</v>
      </c>
      <c r="G20181" s="49" t="str">
        <f t="shared" si="1"/>
        <v>21360</v>
      </c>
      <c r="H20181" s="49">
        <f t="shared" si="2"/>
        <v>21014</v>
      </c>
    </row>
    <row r="20182">
      <c r="A20182" s="48" t="s">
        <v>5243</v>
      </c>
      <c r="B20182" s="38">
        <v>18279.0</v>
      </c>
      <c r="C20182" s="38" t="s">
        <v>24682</v>
      </c>
      <c r="D20182" s="38" t="str">
        <f>IFERROR(__xludf.DUMMYFUNCTION("REGEXREPLACE(C20182,""-\d+(.*)|--\d+(.*)"","""")"),"VIERZON")</f>
        <v>VIERZON</v>
      </c>
      <c r="E20182" s="38" t="s">
        <v>504</v>
      </c>
      <c r="F20182" s="38" t="s">
        <v>123</v>
      </c>
      <c r="G20182" s="49" t="str">
        <f t="shared" si="1"/>
        <v>18100</v>
      </c>
      <c r="H20182" s="49">
        <f t="shared" si="2"/>
        <v>18279</v>
      </c>
    </row>
    <row r="20183">
      <c r="A20183" s="48" t="s">
        <v>1360</v>
      </c>
      <c r="B20183" s="38">
        <v>23190.0</v>
      </c>
      <c r="C20183" s="38" t="s">
        <v>24683</v>
      </c>
      <c r="D20183" s="38" t="str">
        <f>IFERROR(__xludf.DUMMYFUNCTION("REGEXREPLACE(C20183,""-\d+(.*)|--\d+(.*)"","""")"),"SAINT-DOMET")</f>
        <v>SAINT-DOMET</v>
      </c>
      <c r="E20183" s="38" t="s">
        <v>97</v>
      </c>
      <c r="F20183" s="38" t="s">
        <v>98</v>
      </c>
      <c r="G20183" s="49" t="str">
        <f t="shared" si="1"/>
        <v>23190</v>
      </c>
      <c r="H20183" s="49">
        <f t="shared" si="2"/>
        <v>23190</v>
      </c>
    </row>
    <row r="20184">
      <c r="A20184" s="48" t="s">
        <v>1609</v>
      </c>
      <c r="B20184" s="38">
        <v>30160.0</v>
      </c>
      <c r="C20184" s="38" t="s">
        <v>24684</v>
      </c>
      <c r="D20184" s="38" t="str">
        <f>IFERROR(__xludf.DUMMYFUNCTION("REGEXREPLACE(C20184,""-\d+(.*)|--\d+(.*)"","""")"),"MARUEJOLS-LES-GARDON")</f>
        <v>MARUEJOLS-LES-GARDON</v>
      </c>
      <c r="E20184" s="38" t="s">
        <v>526</v>
      </c>
      <c r="F20184" s="38" t="s">
        <v>119</v>
      </c>
      <c r="G20184" s="49" t="str">
        <f t="shared" si="1"/>
        <v>30350</v>
      </c>
      <c r="H20184" s="49">
        <f t="shared" si="2"/>
        <v>30160</v>
      </c>
    </row>
    <row r="20185">
      <c r="A20185" s="48" t="s">
        <v>3172</v>
      </c>
      <c r="B20185" s="38">
        <v>28259.0</v>
      </c>
      <c r="C20185" s="38" t="s">
        <v>24685</v>
      </c>
      <c r="D20185" s="38" t="str">
        <f>IFERROR(__xludf.DUMMYFUNCTION("REGEXREPLACE(C20185,""-\d+(.*)|--\d+(.*)"","""")"),"MONTBOISSIER")</f>
        <v>MONTBOISSIER</v>
      </c>
      <c r="E20185" s="38" t="s">
        <v>300</v>
      </c>
      <c r="F20185" s="38" t="s">
        <v>123</v>
      </c>
      <c r="G20185" s="49" t="str">
        <f t="shared" si="1"/>
        <v>28800</v>
      </c>
      <c r="H20185" s="49">
        <f t="shared" si="2"/>
        <v>28259</v>
      </c>
    </row>
    <row r="20186">
      <c r="A20186" s="48" t="s">
        <v>23012</v>
      </c>
      <c r="B20186" s="38">
        <v>26198.0</v>
      </c>
      <c r="C20186" s="38" t="s">
        <v>24686</v>
      </c>
      <c r="D20186" s="38" t="str">
        <f>IFERROR(__xludf.DUMMYFUNCTION("REGEXREPLACE(C20186,""-\d+(.*)|--\d+(.*)"","""")"),"MONTELIMAR")</f>
        <v>MONTELIMAR</v>
      </c>
      <c r="E20186" s="38" t="s">
        <v>126</v>
      </c>
      <c r="F20186" s="38" t="s">
        <v>102</v>
      </c>
      <c r="G20186" s="49" t="str">
        <f t="shared" si="1"/>
        <v>26200</v>
      </c>
      <c r="H20186" s="49">
        <f t="shared" si="2"/>
        <v>26198</v>
      </c>
    </row>
    <row r="20187">
      <c r="A20187" s="48" t="s">
        <v>5596</v>
      </c>
      <c r="B20187" s="38">
        <v>25061.0</v>
      </c>
      <c r="C20187" s="38" t="s">
        <v>24687</v>
      </c>
      <c r="D20187" s="38" t="str">
        <f>IFERROR(__xludf.DUMMYFUNCTION("REGEXREPLACE(C20187,""-\d+(.*)|--\d+(.*)"","""")"),"BIEF")</f>
        <v>BIEF</v>
      </c>
      <c r="E20187" s="38" t="s">
        <v>213</v>
      </c>
      <c r="F20187" s="38" t="s">
        <v>214</v>
      </c>
      <c r="G20187" s="49" t="str">
        <f t="shared" si="1"/>
        <v>25190</v>
      </c>
      <c r="H20187" s="49">
        <f t="shared" si="2"/>
        <v>25061</v>
      </c>
    </row>
    <row r="20188">
      <c r="A20188" s="48" t="s">
        <v>16634</v>
      </c>
      <c r="B20188" s="38">
        <v>17184.0</v>
      </c>
      <c r="C20188" s="38" t="s">
        <v>24688</v>
      </c>
      <c r="D20188" s="38" t="str">
        <f>IFERROR(__xludf.DUMMYFUNCTION("REGEXREPLACE(C20188,""-\d+(.*)|--\d+(.*)"","""")"),"LA GRIPPERIE-SAINT-SYMPHORIEN")</f>
        <v>LA GRIPPERIE-SAINT-SYMPHORIEN</v>
      </c>
      <c r="E20188" s="38" t="s">
        <v>488</v>
      </c>
      <c r="F20188" s="38" t="s">
        <v>338</v>
      </c>
      <c r="G20188" s="49" t="str">
        <f t="shared" si="1"/>
        <v>17620</v>
      </c>
      <c r="H20188" s="49">
        <f t="shared" si="2"/>
        <v>17184</v>
      </c>
    </row>
    <row r="20189">
      <c r="A20189" s="48" t="s">
        <v>24689</v>
      </c>
      <c r="B20189" s="38">
        <v>67106.0</v>
      </c>
      <c r="C20189" s="38" t="s">
        <v>24690</v>
      </c>
      <c r="D20189" s="38" t="str">
        <f>IFERROR(__xludf.DUMMYFUNCTION("REGEXREPLACE(C20189,""-\d+(.*)|--\d+(.*)"","""")"),"DRUSENHEIM")</f>
        <v>DRUSENHEIM</v>
      </c>
      <c r="E20189" s="38" t="s">
        <v>210</v>
      </c>
      <c r="F20189" s="38" t="s">
        <v>151</v>
      </c>
      <c r="G20189" s="49" t="str">
        <f t="shared" si="1"/>
        <v>67410</v>
      </c>
      <c r="H20189" s="49">
        <f t="shared" si="2"/>
        <v>67106</v>
      </c>
    </row>
    <row r="20190">
      <c r="A20190" s="48" t="s">
        <v>14867</v>
      </c>
      <c r="B20190" s="38">
        <v>49362.0</v>
      </c>
      <c r="C20190" s="38" t="s">
        <v>24691</v>
      </c>
      <c r="D20190" s="38" t="str">
        <f>IFERROR(__xludf.DUMMYFUNCTION("REGEXREPLACE(C20190,""-\d+(.*)|--\d+(.*)"","""")"),"VARRAINS")</f>
        <v>VARRAINS</v>
      </c>
      <c r="E20190" s="38" t="s">
        <v>653</v>
      </c>
      <c r="F20190" s="38" t="s">
        <v>180</v>
      </c>
      <c r="G20190" s="49" t="str">
        <f t="shared" si="1"/>
        <v>49400</v>
      </c>
      <c r="H20190" s="49">
        <f t="shared" si="2"/>
        <v>49362</v>
      </c>
    </row>
    <row r="20191">
      <c r="A20191" s="48" t="s">
        <v>298</v>
      </c>
      <c r="B20191" s="38">
        <v>28362.0</v>
      </c>
      <c r="C20191" s="38" t="s">
        <v>24692</v>
      </c>
      <c r="D20191" s="38" t="str">
        <f>IFERROR(__xludf.DUMMYFUNCTION("REGEXREPLACE(C20191,""-\d+(.*)|--\d+(.*)"","""")"),"SAINT-VICTOR-DE-BUTHON")</f>
        <v>SAINT-VICTOR-DE-BUTHON</v>
      </c>
      <c r="E20191" s="38" t="s">
        <v>300</v>
      </c>
      <c r="F20191" s="38" t="s">
        <v>123</v>
      </c>
      <c r="G20191" s="49" t="str">
        <f t="shared" si="1"/>
        <v>28240</v>
      </c>
      <c r="H20191" s="49">
        <f t="shared" si="2"/>
        <v>28362</v>
      </c>
    </row>
    <row r="20192">
      <c r="A20192" s="48" t="s">
        <v>5753</v>
      </c>
      <c r="B20192" s="38">
        <v>72192.0</v>
      </c>
      <c r="C20192" s="38" t="s">
        <v>24693</v>
      </c>
      <c r="D20192" s="38" t="str">
        <f>IFERROR(__xludf.DUMMYFUNCTION("REGEXREPLACE(C20192,""-\d+(.*)|--\d+(.*)"","""")"),"LES MEES")</f>
        <v>LES MEES</v>
      </c>
      <c r="E20192" s="38" t="s">
        <v>521</v>
      </c>
      <c r="F20192" s="38" t="s">
        <v>180</v>
      </c>
      <c r="G20192" s="49" t="str">
        <f t="shared" si="1"/>
        <v>72260</v>
      </c>
      <c r="H20192" s="49">
        <f t="shared" si="2"/>
        <v>72192</v>
      </c>
    </row>
    <row r="20193">
      <c r="A20193" s="48" t="s">
        <v>24694</v>
      </c>
      <c r="B20193" s="38">
        <v>92062.0</v>
      </c>
      <c r="C20193" s="38" t="s">
        <v>24695</v>
      </c>
      <c r="D20193" s="38" t="str">
        <f>IFERROR(__xludf.DUMMYFUNCTION("REGEXREPLACE(C20193,""-\d+(.*)|--\d+(.*)"","""")"),"PUTEAUX")</f>
        <v>PUTEAUX</v>
      </c>
      <c r="E20193" s="38" t="s">
        <v>838</v>
      </c>
      <c r="F20193" s="38" t="s">
        <v>245</v>
      </c>
      <c r="G20193" s="49" t="str">
        <f t="shared" si="1"/>
        <v>92800</v>
      </c>
      <c r="H20193" s="49">
        <f t="shared" si="2"/>
        <v>92062</v>
      </c>
    </row>
    <row r="20194">
      <c r="A20194" s="48" t="s">
        <v>2781</v>
      </c>
      <c r="B20194" s="38">
        <v>4194.0</v>
      </c>
      <c r="C20194" s="38" t="s">
        <v>4772</v>
      </c>
      <c r="D20194" s="38" t="str">
        <f>IFERROR(__xludf.DUMMYFUNCTION("REGEXREPLACE(C20194,""-\d+(.*)|--\d+(.*)"","""")"),"SAINT-PIERRE")</f>
        <v>SAINT-PIERRE</v>
      </c>
      <c r="E20194" s="38" t="s">
        <v>662</v>
      </c>
      <c r="F20194" s="38" t="s">
        <v>228</v>
      </c>
      <c r="G20194" s="49" t="str">
        <f t="shared" si="1"/>
        <v>06260</v>
      </c>
      <c r="H20194" s="49" t="str">
        <f t="shared" si="2"/>
        <v>04194</v>
      </c>
    </row>
    <row r="20195">
      <c r="A20195" s="48" t="s">
        <v>2164</v>
      </c>
      <c r="B20195" s="38">
        <v>63391.0</v>
      </c>
      <c r="C20195" s="38" t="s">
        <v>24696</v>
      </c>
      <c r="D20195" s="38" t="str">
        <f>IFERROR(__xludf.DUMMYFUNCTION("REGEXREPLACE(C20195,""-\d+(.*)|--\d+(.*)"","""")"),"SAINT-REMY-DE-BLOT")</f>
        <v>SAINT-REMY-DE-BLOT</v>
      </c>
      <c r="E20195" s="38" t="s">
        <v>353</v>
      </c>
      <c r="F20195" s="38" t="s">
        <v>161</v>
      </c>
      <c r="G20195" s="49" t="str">
        <f t="shared" si="1"/>
        <v>63440</v>
      </c>
      <c r="H20195" s="49">
        <f t="shared" si="2"/>
        <v>63391</v>
      </c>
    </row>
    <row r="20196">
      <c r="A20196" s="48" t="s">
        <v>10535</v>
      </c>
      <c r="B20196" s="38">
        <v>81256.0</v>
      </c>
      <c r="C20196" s="38" t="s">
        <v>24697</v>
      </c>
      <c r="D20196" s="38" t="str">
        <f>IFERROR(__xludf.DUMMYFUNCTION("REGEXREPLACE(C20196,""-\d+(.*)|--\d+(.*)"","""")"),"SAINT-JEAN-DE-VALS")</f>
        <v>SAINT-JEAN-DE-VALS</v>
      </c>
      <c r="E20196" s="38" t="s">
        <v>231</v>
      </c>
      <c r="F20196" s="38" t="s">
        <v>94</v>
      </c>
      <c r="G20196" s="49" t="str">
        <f t="shared" si="1"/>
        <v>81210</v>
      </c>
      <c r="H20196" s="49">
        <f t="shared" si="2"/>
        <v>81256</v>
      </c>
    </row>
    <row r="20197">
      <c r="A20197" s="48" t="s">
        <v>8145</v>
      </c>
      <c r="B20197" s="38">
        <v>9328.0</v>
      </c>
      <c r="C20197" s="38" t="s">
        <v>24698</v>
      </c>
      <c r="D20197" s="38" t="str">
        <f>IFERROR(__xludf.DUMMYFUNCTION("REGEXREPLACE(C20197,""-\d+(.*)|--\d+(.*)"","""")"),"VERDUN")</f>
        <v>VERDUN</v>
      </c>
      <c r="E20197" s="38" t="s">
        <v>238</v>
      </c>
      <c r="F20197" s="38" t="s">
        <v>94</v>
      </c>
      <c r="G20197" s="49" t="str">
        <f t="shared" si="1"/>
        <v>09310</v>
      </c>
      <c r="H20197" s="49" t="str">
        <f t="shared" si="2"/>
        <v>09328</v>
      </c>
    </row>
    <row r="20198">
      <c r="A20198" s="48" t="s">
        <v>5163</v>
      </c>
      <c r="B20198" s="38">
        <v>76629.0</v>
      </c>
      <c r="C20198" s="38" t="s">
        <v>24699</v>
      </c>
      <c r="D20198" s="38" t="str">
        <f>IFERROR(__xludf.DUMMYFUNCTION("REGEXREPLACE(C20198,""-\d+(.*)|--\d+(.*)"","""")"),"SAINT-OUEN-LE-MAUGER")</f>
        <v>SAINT-OUEN-LE-MAUGER</v>
      </c>
      <c r="E20198" s="38" t="s">
        <v>133</v>
      </c>
      <c r="F20198" s="38" t="s">
        <v>134</v>
      </c>
      <c r="G20198" s="49" t="str">
        <f t="shared" si="1"/>
        <v>76730</v>
      </c>
      <c r="H20198" s="49">
        <f t="shared" si="2"/>
        <v>76629</v>
      </c>
    </row>
    <row r="20199">
      <c r="A20199" s="48" t="s">
        <v>2534</v>
      </c>
      <c r="B20199" s="38">
        <v>27313.0</v>
      </c>
      <c r="C20199" s="38" t="s">
        <v>24700</v>
      </c>
      <c r="D20199" s="38" t="str">
        <f>IFERROR(__xludf.DUMMYFUNCTION("REGEXREPLACE(C20199,""-\d+(.*)|--\d+(.*)"","""")"),"LA HARENGERE")</f>
        <v>LA HARENGERE</v>
      </c>
      <c r="E20199" s="38" t="s">
        <v>241</v>
      </c>
      <c r="F20199" s="38" t="s">
        <v>134</v>
      </c>
      <c r="G20199" s="49" t="str">
        <f t="shared" si="1"/>
        <v>27370</v>
      </c>
      <c r="H20199" s="49">
        <f t="shared" si="2"/>
        <v>27313</v>
      </c>
    </row>
    <row r="20200">
      <c r="A20200" s="48" t="s">
        <v>17909</v>
      </c>
      <c r="B20200" s="38">
        <v>25202.0</v>
      </c>
      <c r="C20200" s="38" t="s">
        <v>24701</v>
      </c>
      <c r="D20200" s="38" t="str">
        <f>IFERROR(__xludf.DUMMYFUNCTION("REGEXREPLACE(C20200,""-\d+(.*)|--\d+(.*)"","""")"),"DOMPIERRE-LES-TILLEULS")</f>
        <v>DOMPIERRE-LES-TILLEULS</v>
      </c>
      <c r="E20200" s="38" t="s">
        <v>213</v>
      </c>
      <c r="F20200" s="38" t="s">
        <v>214</v>
      </c>
      <c r="G20200" s="49" t="str">
        <f t="shared" si="1"/>
        <v>25560</v>
      </c>
      <c r="H20200" s="49">
        <f t="shared" si="2"/>
        <v>25202</v>
      </c>
    </row>
    <row r="20201">
      <c r="A20201" s="48" t="s">
        <v>696</v>
      </c>
      <c r="B20201" s="38">
        <v>9091.0</v>
      </c>
      <c r="C20201" s="38" t="s">
        <v>24702</v>
      </c>
      <c r="D20201" s="38" t="str">
        <f>IFERROR(__xludf.DUMMYFUNCTION("REGEXREPLACE(C20201,""-\d+(.*)|--\d+(.*)"","""")"),"CAZAVET")</f>
        <v>CAZAVET</v>
      </c>
      <c r="E20201" s="38" t="s">
        <v>238</v>
      </c>
      <c r="F20201" s="38" t="s">
        <v>94</v>
      </c>
      <c r="G20201" s="49" t="str">
        <f t="shared" si="1"/>
        <v>09160</v>
      </c>
      <c r="H20201" s="49" t="str">
        <f t="shared" si="2"/>
        <v>09091</v>
      </c>
    </row>
    <row r="20202">
      <c r="A20202" s="48" t="s">
        <v>930</v>
      </c>
      <c r="B20202" s="38">
        <v>32105.0</v>
      </c>
      <c r="C20202" s="38" t="s">
        <v>24703</v>
      </c>
      <c r="D20202" s="38" t="str">
        <f>IFERROR(__xludf.DUMMYFUNCTION("REGEXREPLACE(C20202,""-\d+(.*)|--\d+(.*)"","""")"),"CLERMONT-SAVES")</f>
        <v>CLERMONT-SAVES</v>
      </c>
      <c r="E20202" s="38" t="s">
        <v>440</v>
      </c>
      <c r="F20202" s="38" t="s">
        <v>94</v>
      </c>
      <c r="G20202" s="49" t="str">
        <f t="shared" si="1"/>
        <v>32600</v>
      </c>
      <c r="H20202" s="49">
        <f t="shared" si="2"/>
        <v>32105</v>
      </c>
    </row>
    <row r="20203">
      <c r="A20203" s="48" t="s">
        <v>7084</v>
      </c>
      <c r="B20203" s="38">
        <v>45079.0</v>
      </c>
      <c r="C20203" s="38" t="s">
        <v>24704</v>
      </c>
      <c r="D20203" s="38" t="str">
        <f>IFERROR(__xludf.DUMMYFUNCTION("REGEXREPLACE(C20203,""-\d+(.*)|--\d+(.*)"","""")"),"LE CHARME")</f>
        <v>LE CHARME</v>
      </c>
      <c r="E20203" s="38" t="s">
        <v>122</v>
      </c>
      <c r="F20203" s="38" t="s">
        <v>123</v>
      </c>
      <c r="G20203" s="49" t="str">
        <f t="shared" si="1"/>
        <v>45230</v>
      </c>
      <c r="H20203" s="49">
        <f t="shared" si="2"/>
        <v>45079</v>
      </c>
    </row>
    <row r="20204">
      <c r="A20204" s="48" t="s">
        <v>9585</v>
      </c>
      <c r="B20204" s="38">
        <v>25065.0</v>
      </c>
      <c r="C20204" s="38" t="s">
        <v>24705</v>
      </c>
      <c r="D20204" s="38" t="str">
        <f>IFERROR(__xludf.DUMMYFUNCTION("REGEXREPLACE(C20204,""-\d+(.*)|--\d+(.*)"","""")"),"BLARIANS")</f>
        <v>BLARIANS</v>
      </c>
      <c r="E20204" s="38" t="s">
        <v>213</v>
      </c>
      <c r="F20204" s="38" t="s">
        <v>214</v>
      </c>
      <c r="G20204" s="49" t="str">
        <f t="shared" si="1"/>
        <v>25640</v>
      </c>
      <c r="H20204" s="49">
        <f t="shared" si="2"/>
        <v>25065</v>
      </c>
    </row>
    <row r="20205">
      <c r="A20205" s="48" t="s">
        <v>4131</v>
      </c>
      <c r="B20205" s="38">
        <v>27266.0</v>
      </c>
      <c r="C20205" s="38" t="s">
        <v>18246</v>
      </c>
      <c r="D20205" s="38" t="str">
        <f>IFERROR(__xludf.DUMMYFUNCTION("REGEXREPLACE(C20205,""-\d+(.*)|--\d+(.*)"","""")"),"FRANQUEVILLE")</f>
        <v>FRANQUEVILLE</v>
      </c>
      <c r="E20205" s="38" t="s">
        <v>241</v>
      </c>
      <c r="F20205" s="38" t="s">
        <v>134</v>
      </c>
      <c r="G20205" s="49" t="str">
        <f t="shared" si="1"/>
        <v>27800</v>
      </c>
      <c r="H20205" s="49">
        <f t="shared" si="2"/>
        <v>27266</v>
      </c>
    </row>
    <row r="20206">
      <c r="A20206" s="48" t="s">
        <v>12619</v>
      </c>
      <c r="B20206" s="38">
        <v>24398.0</v>
      </c>
      <c r="C20206" s="38" t="s">
        <v>24706</v>
      </c>
      <c r="D20206" s="38" t="str">
        <f>IFERROR(__xludf.DUMMYFUNCTION("REGEXREPLACE(C20206,""-\d+(.*)|--\d+(.*)"","""")"),"SAINT-ESTEPHE")</f>
        <v>SAINT-ESTEPHE</v>
      </c>
      <c r="E20206" s="38" t="s">
        <v>261</v>
      </c>
      <c r="F20206" s="38" t="s">
        <v>252</v>
      </c>
      <c r="G20206" s="49" t="str">
        <f t="shared" si="1"/>
        <v>24360</v>
      </c>
      <c r="H20206" s="49">
        <f t="shared" si="2"/>
        <v>24398</v>
      </c>
    </row>
    <row r="20207">
      <c r="A20207" s="48" t="s">
        <v>6060</v>
      </c>
      <c r="B20207" s="38">
        <v>37205.0</v>
      </c>
      <c r="C20207" s="38" t="s">
        <v>24707</v>
      </c>
      <c r="D20207" s="38" t="str">
        <f>IFERROR(__xludf.DUMMYFUNCTION("REGEXREPLACE(C20207,""-\d+(.*)|--\d+(.*)"","""")"),"SACHE")</f>
        <v>SACHE</v>
      </c>
      <c r="E20207" s="38" t="s">
        <v>205</v>
      </c>
      <c r="F20207" s="38" t="s">
        <v>123</v>
      </c>
      <c r="G20207" s="49" t="str">
        <f t="shared" si="1"/>
        <v>37190</v>
      </c>
      <c r="H20207" s="49">
        <f t="shared" si="2"/>
        <v>37205</v>
      </c>
    </row>
    <row r="20208">
      <c r="A20208" s="48" t="s">
        <v>2510</v>
      </c>
      <c r="B20208" s="38">
        <v>22101.0</v>
      </c>
      <c r="C20208" s="38" t="s">
        <v>24708</v>
      </c>
      <c r="D20208" s="38" t="str">
        <f>IFERROR(__xludf.DUMMYFUNCTION("REGEXREPLACE(C20208,""-\d+(.*)|--\d+(.*)"","""")"),"LANGOAT")</f>
        <v>LANGOAT</v>
      </c>
      <c r="E20208" s="38" t="s">
        <v>89</v>
      </c>
      <c r="F20208" s="38" t="s">
        <v>90</v>
      </c>
      <c r="G20208" s="49" t="str">
        <f t="shared" si="1"/>
        <v>22450</v>
      </c>
      <c r="H20208" s="49">
        <f t="shared" si="2"/>
        <v>22101</v>
      </c>
    </row>
    <row r="20209">
      <c r="A20209" s="48" t="s">
        <v>24709</v>
      </c>
      <c r="B20209" s="38">
        <v>4184.0</v>
      </c>
      <c r="C20209" s="38" t="s">
        <v>24710</v>
      </c>
      <c r="D20209" s="38" t="str">
        <f>IFERROR(__xludf.DUMMYFUNCTION("REGEXREPLACE(C20209,""-\d+(.*)|--\d+(.*)"","""")"),"SAINT-JURS")</f>
        <v>SAINT-JURS</v>
      </c>
      <c r="E20209" s="38" t="s">
        <v>662</v>
      </c>
      <c r="F20209" s="38" t="s">
        <v>228</v>
      </c>
      <c r="G20209" s="49" t="str">
        <f t="shared" si="1"/>
        <v>04410</v>
      </c>
      <c r="H20209" s="49" t="str">
        <f t="shared" si="2"/>
        <v>04184</v>
      </c>
    </row>
    <row r="20210">
      <c r="A20210" s="48" t="s">
        <v>1585</v>
      </c>
      <c r="B20210" s="38">
        <v>12060.0</v>
      </c>
      <c r="C20210" s="38" t="s">
        <v>24711</v>
      </c>
      <c r="D20210" s="38" t="str">
        <f>IFERROR(__xludf.DUMMYFUNCTION("REGEXREPLACE(C20210,""-\d+(.*)|--\d+(.*)"","""")"),"CASTELMARY")</f>
        <v>CASTELMARY</v>
      </c>
      <c r="E20210" s="38" t="s">
        <v>465</v>
      </c>
      <c r="F20210" s="38" t="s">
        <v>94</v>
      </c>
      <c r="G20210" s="49" t="str">
        <f t="shared" si="1"/>
        <v>12800</v>
      </c>
      <c r="H20210" s="49">
        <f t="shared" si="2"/>
        <v>12060</v>
      </c>
    </row>
    <row r="20211">
      <c r="A20211" s="48" t="s">
        <v>16044</v>
      </c>
      <c r="B20211" s="38">
        <v>91685.0</v>
      </c>
      <c r="C20211" s="38" t="s">
        <v>24712</v>
      </c>
      <c r="D20211" s="38" t="str">
        <f>IFERROR(__xludf.DUMMYFUNCTION("REGEXREPLACE(C20211,""-\d+(.*)|--\d+(.*)"","""")"),"VILLIERS-SUR-ORGE")</f>
        <v>VILLIERS-SUR-ORGE</v>
      </c>
      <c r="E20211" s="38" t="s">
        <v>756</v>
      </c>
      <c r="F20211" s="38" t="s">
        <v>245</v>
      </c>
      <c r="G20211" s="49" t="str">
        <f t="shared" si="1"/>
        <v>91700</v>
      </c>
      <c r="H20211" s="49">
        <f t="shared" si="2"/>
        <v>91685</v>
      </c>
    </row>
    <row r="20212">
      <c r="A20212" s="48" t="s">
        <v>944</v>
      </c>
      <c r="B20212" s="38">
        <v>61175.0</v>
      </c>
      <c r="C20212" s="38" t="s">
        <v>8532</v>
      </c>
      <c r="D20212" s="38" t="str">
        <f>IFERROR(__xludf.DUMMYFUNCTION("REGEXREPLACE(C20212,""-\d+(.*)|--\d+(.*)"","""")"),"FORGES")</f>
        <v>FORGES</v>
      </c>
      <c r="E20212" s="38" t="s">
        <v>141</v>
      </c>
      <c r="F20212" s="38" t="s">
        <v>138</v>
      </c>
      <c r="G20212" s="49" t="str">
        <f t="shared" si="1"/>
        <v>61250</v>
      </c>
      <c r="H20212" s="49">
        <f t="shared" si="2"/>
        <v>61175</v>
      </c>
    </row>
    <row r="20213">
      <c r="A20213" s="48" t="s">
        <v>2540</v>
      </c>
      <c r="B20213" s="38">
        <v>2114.0</v>
      </c>
      <c r="C20213" s="38" t="s">
        <v>24713</v>
      </c>
      <c r="D20213" s="38" t="str">
        <f>IFERROR(__xludf.DUMMYFUNCTION("REGEXREPLACE(C20213,""-\d+(.*)|--\d+(.*)"","""")"),"BRASLES")</f>
        <v>BRASLES</v>
      </c>
      <c r="E20213" s="38" t="s">
        <v>191</v>
      </c>
      <c r="F20213" s="38" t="s">
        <v>113</v>
      </c>
      <c r="G20213" s="49" t="str">
        <f t="shared" si="1"/>
        <v>02400</v>
      </c>
      <c r="H20213" s="49" t="str">
        <f t="shared" si="2"/>
        <v>02114</v>
      </c>
    </row>
    <row r="20214">
      <c r="A20214" s="48" t="s">
        <v>10776</v>
      </c>
      <c r="B20214" s="38">
        <v>43213.0</v>
      </c>
      <c r="C20214" s="38" t="s">
        <v>24714</v>
      </c>
      <c r="D20214" s="38" t="str">
        <f>IFERROR(__xludf.DUMMYFUNCTION("REGEXREPLACE(C20214,""-\d+(.*)|--\d+(.*)"","""")"),"SAINT-PAL-DE-MONS")</f>
        <v>SAINT-PAL-DE-MONS</v>
      </c>
      <c r="E20214" s="38" t="s">
        <v>332</v>
      </c>
      <c r="F20214" s="38" t="s">
        <v>161</v>
      </c>
      <c r="G20214" s="49" t="str">
        <f t="shared" si="1"/>
        <v>43620</v>
      </c>
      <c r="H20214" s="49">
        <f t="shared" si="2"/>
        <v>43213</v>
      </c>
    </row>
    <row r="20215">
      <c r="A20215" s="48" t="s">
        <v>9293</v>
      </c>
      <c r="B20215" s="38">
        <v>9089.0</v>
      </c>
      <c r="C20215" s="38" t="s">
        <v>24715</v>
      </c>
      <c r="D20215" s="38" t="str">
        <f>IFERROR(__xludf.DUMMYFUNCTION("REGEXREPLACE(C20215,""-\d+(.*)|--\d+(.*)"","""")"),"CAZALS-DES-BAYLES")</f>
        <v>CAZALS-DES-BAYLES</v>
      </c>
      <c r="E20215" s="38" t="s">
        <v>238</v>
      </c>
      <c r="F20215" s="38" t="s">
        <v>94</v>
      </c>
      <c r="G20215" s="49" t="str">
        <f t="shared" si="1"/>
        <v>09500</v>
      </c>
      <c r="H20215" s="49" t="str">
        <f t="shared" si="2"/>
        <v>09089</v>
      </c>
    </row>
    <row r="20216">
      <c r="A20216" s="48" t="s">
        <v>3283</v>
      </c>
      <c r="B20216" s="38">
        <v>52342.0</v>
      </c>
      <c r="C20216" s="38" t="s">
        <v>24716</v>
      </c>
      <c r="D20216" s="38" t="str">
        <f>IFERROR(__xludf.DUMMYFUNCTION("REGEXREPLACE(C20216,""-\d+(.*)|--\d+(.*)"","""")"),"MORIONVILLIERS")</f>
        <v>MORIONVILLIERS</v>
      </c>
      <c r="E20216" s="38" t="s">
        <v>234</v>
      </c>
      <c r="F20216" s="38" t="s">
        <v>130</v>
      </c>
      <c r="G20216" s="49" t="str">
        <f t="shared" si="1"/>
        <v>52700</v>
      </c>
      <c r="H20216" s="49">
        <f t="shared" si="2"/>
        <v>52342</v>
      </c>
    </row>
    <row r="20217">
      <c r="A20217" s="48" t="s">
        <v>10857</v>
      </c>
      <c r="B20217" s="38">
        <v>22359.0</v>
      </c>
      <c r="C20217" s="38" t="s">
        <v>24717</v>
      </c>
      <c r="D20217" s="38" t="str">
        <f>IFERROR(__xludf.DUMMYFUNCTION("REGEXREPLACE(C20217,""-\d+(.*)|--\d+(.*)"","""")"),"TREGROM")</f>
        <v>TREGROM</v>
      </c>
      <c r="E20217" s="38" t="s">
        <v>89</v>
      </c>
      <c r="F20217" s="38" t="s">
        <v>90</v>
      </c>
      <c r="G20217" s="49" t="str">
        <f t="shared" si="1"/>
        <v>22420</v>
      </c>
      <c r="H20217" s="49">
        <f t="shared" si="2"/>
        <v>22359</v>
      </c>
    </row>
    <row r="20218">
      <c r="A20218" s="48" t="s">
        <v>20867</v>
      </c>
      <c r="B20218" s="38" t="s">
        <v>24718</v>
      </c>
      <c r="C20218" s="38" t="s">
        <v>24719</v>
      </c>
      <c r="D20218" s="38" t="str">
        <f>IFERROR(__xludf.DUMMYFUNCTION("REGEXREPLACE(C20218,""-\d+(.*)|--\d+(.*)"","""")"),"ORTALE")</f>
        <v>ORTALE</v>
      </c>
      <c r="E20218" s="38" t="s">
        <v>743</v>
      </c>
      <c r="F20218" s="38" t="s">
        <v>607</v>
      </c>
      <c r="G20218" s="49" t="str">
        <f t="shared" si="1"/>
        <v>20234</v>
      </c>
      <c r="H20218" s="49" t="str">
        <f t="shared" si="2"/>
        <v>2B194</v>
      </c>
    </row>
    <row r="20219">
      <c r="A20219" s="48" t="s">
        <v>1885</v>
      </c>
      <c r="B20219" s="38">
        <v>27149.0</v>
      </c>
      <c r="C20219" s="38" t="s">
        <v>24720</v>
      </c>
      <c r="D20219" s="38" t="str">
        <f>IFERROR(__xludf.DUMMYFUNCTION("REGEXREPLACE(C20219,""-\d+(.*)|--\d+(.*)"","""")"),"LA CHAPELLE-HARENG")</f>
        <v>LA CHAPELLE-HARENG</v>
      </c>
      <c r="E20219" s="38" t="s">
        <v>241</v>
      </c>
      <c r="F20219" s="38" t="s">
        <v>134</v>
      </c>
      <c r="G20219" s="49" t="str">
        <f t="shared" si="1"/>
        <v>27230</v>
      </c>
      <c r="H20219" s="49">
        <f t="shared" si="2"/>
        <v>27149</v>
      </c>
    </row>
    <row r="20220">
      <c r="A20220" s="48" t="s">
        <v>398</v>
      </c>
      <c r="B20220" s="38">
        <v>39085.0</v>
      </c>
      <c r="C20220" s="38" t="s">
        <v>24721</v>
      </c>
      <c r="D20220" s="38" t="str">
        <f>IFERROR(__xludf.DUMMYFUNCTION("REGEXREPLACE(C20220,""-\d+(.*)|--\d+(.*)"","""")"),"CERNIEBAUD")</f>
        <v>CERNIEBAUD</v>
      </c>
      <c r="E20220" s="38" t="s">
        <v>400</v>
      </c>
      <c r="F20220" s="38" t="s">
        <v>214</v>
      </c>
      <c r="G20220" s="49" t="str">
        <f t="shared" si="1"/>
        <v>39250</v>
      </c>
      <c r="H20220" s="49">
        <f t="shared" si="2"/>
        <v>39085</v>
      </c>
    </row>
    <row r="20221">
      <c r="A20221" s="48" t="s">
        <v>1742</v>
      </c>
      <c r="B20221" s="38">
        <v>21039.0</v>
      </c>
      <c r="C20221" s="38" t="s">
        <v>24722</v>
      </c>
      <c r="D20221" s="38" t="str">
        <f>IFERROR(__xludf.DUMMYFUNCTION("REGEXREPLACE(C20221,""-\d+(.*)|--\d+(.*)"","""")"),"AVELANGES")</f>
        <v>AVELANGES</v>
      </c>
      <c r="E20221" s="38" t="s">
        <v>105</v>
      </c>
      <c r="F20221" s="38" t="s">
        <v>106</v>
      </c>
      <c r="G20221" s="49" t="str">
        <f t="shared" si="1"/>
        <v>21120</v>
      </c>
      <c r="H20221" s="49">
        <f t="shared" si="2"/>
        <v>21039</v>
      </c>
    </row>
    <row r="20222">
      <c r="A20222" s="48" t="s">
        <v>20186</v>
      </c>
      <c r="B20222" s="38">
        <v>23167.0</v>
      </c>
      <c r="C20222" s="38" t="s">
        <v>24723</v>
      </c>
      <c r="D20222" s="38" t="str">
        <f>IFERROR(__xludf.DUMMYFUNCTION("REGEXREPLACE(C20222,""-\d+(.*)|--\d+(.*)"","""")"),"SANNAT")</f>
        <v>SANNAT</v>
      </c>
      <c r="E20222" s="38" t="s">
        <v>97</v>
      </c>
      <c r="F20222" s="38" t="s">
        <v>98</v>
      </c>
      <c r="G20222" s="49" t="str">
        <f t="shared" si="1"/>
        <v>23110</v>
      </c>
      <c r="H20222" s="49">
        <f t="shared" si="2"/>
        <v>23167</v>
      </c>
    </row>
    <row r="20223">
      <c r="A20223" s="48" t="s">
        <v>1872</v>
      </c>
      <c r="B20223" s="38">
        <v>80396.0</v>
      </c>
      <c r="C20223" s="38" t="s">
        <v>24724</v>
      </c>
      <c r="D20223" s="38" t="str">
        <f>IFERROR(__xludf.DUMMYFUNCTION("REGEXREPLACE(C20223,""-\d+(.*)|--\d+(.*)"","""")"),"GUESCHART")</f>
        <v>GUESCHART</v>
      </c>
      <c r="E20223" s="38" t="s">
        <v>224</v>
      </c>
      <c r="F20223" s="38" t="s">
        <v>113</v>
      </c>
      <c r="G20223" s="49" t="str">
        <f t="shared" si="1"/>
        <v>80150</v>
      </c>
      <c r="H20223" s="49">
        <f t="shared" si="2"/>
        <v>80396</v>
      </c>
    </row>
    <row r="20224">
      <c r="A20224" s="48" t="s">
        <v>6664</v>
      </c>
      <c r="B20224" s="38">
        <v>33210.0</v>
      </c>
      <c r="C20224" s="38" t="s">
        <v>7429</v>
      </c>
      <c r="D20224" s="38" t="str">
        <f>IFERROR(__xludf.DUMMYFUNCTION("REGEXREPLACE(C20224,""-\d+(.*)|--\d+(.*)"","""")"),"JUILLAC")</f>
        <v>JUILLAC</v>
      </c>
      <c r="E20224" s="38" t="s">
        <v>462</v>
      </c>
      <c r="F20224" s="38" t="s">
        <v>252</v>
      </c>
      <c r="G20224" s="49" t="str">
        <f t="shared" si="1"/>
        <v>33890</v>
      </c>
      <c r="H20224" s="49">
        <f t="shared" si="2"/>
        <v>33210</v>
      </c>
    </row>
    <row r="20225">
      <c r="A20225" s="48" t="s">
        <v>744</v>
      </c>
      <c r="B20225" s="38">
        <v>14553.0</v>
      </c>
      <c r="C20225" s="38" t="s">
        <v>24725</v>
      </c>
      <c r="D20225" s="38" t="str">
        <f>IFERROR(__xludf.DUMMYFUNCTION("REGEXREPLACE(C20225,""-\d+(.*)|--\d+(.*)"","""")"),"SAINT-AGNAN-LE-MALHERBE")</f>
        <v>SAINT-AGNAN-LE-MALHERBE</v>
      </c>
      <c r="E20225" s="38" t="s">
        <v>137</v>
      </c>
      <c r="F20225" s="38" t="s">
        <v>138</v>
      </c>
      <c r="G20225" s="49" t="str">
        <f t="shared" si="1"/>
        <v>14260</v>
      </c>
      <c r="H20225" s="49">
        <f t="shared" si="2"/>
        <v>14553</v>
      </c>
    </row>
    <row r="20226">
      <c r="A20226" s="48" t="s">
        <v>1560</v>
      </c>
      <c r="B20226" s="38">
        <v>14326.0</v>
      </c>
      <c r="C20226" s="38" t="s">
        <v>24726</v>
      </c>
      <c r="D20226" s="38" t="str">
        <f>IFERROR(__xludf.DUMMYFUNCTION("REGEXREPLACE(C20226,""-\d+(.*)|--\d+(.*)"","""")"),"HERMIVAL-LES-VAUX")</f>
        <v>HERMIVAL-LES-VAUX</v>
      </c>
      <c r="E20226" s="38" t="s">
        <v>137</v>
      </c>
      <c r="F20226" s="38" t="s">
        <v>138</v>
      </c>
      <c r="G20226" s="49" t="str">
        <f t="shared" si="1"/>
        <v>14100</v>
      </c>
      <c r="H20226" s="49">
        <f t="shared" si="2"/>
        <v>14326</v>
      </c>
    </row>
    <row r="20227">
      <c r="A20227" s="48" t="s">
        <v>2666</v>
      </c>
      <c r="B20227" s="38">
        <v>34248.0</v>
      </c>
      <c r="C20227" s="38" t="s">
        <v>24727</v>
      </c>
      <c r="D20227" s="38" t="str">
        <f>IFERROR(__xludf.DUMMYFUNCTION("REGEXREPLACE(C20227,""-\d+(.*)|--\d+(.*)"","""")"),"SAINTE-CROIX-DE-QUINTILLARGUES")</f>
        <v>SAINTE-CROIX-DE-QUINTILLARGUES</v>
      </c>
      <c r="E20227" s="38" t="s">
        <v>118</v>
      </c>
      <c r="F20227" s="38" t="s">
        <v>119</v>
      </c>
      <c r="G20227" s="49" t="str">
        <f t="shared" si="1"/>
        <v>34270</v>
      </c>
      <c r="H20227" s="49">
        <f t="shared" si="2"/>
        <v>34248</v>
      </c>
    </row>
    <row r="20228">
      <c r="A20228" s="48" t="s">
        <v>1579</v>
      </c>
      <c r="B20228" s="38">
        <v>63085.0</v>
      </c>
      <c r="C20228" s="38" t="s">
        <v>24728</v>
      </c>
      <c r="D20228" s="38" t="str">
        <f>IFERROR(__xludf.DUMMYFUNCTION("REGEXREPLACE(C20228,""-\d+(.*)|--\d+(.*)"","""")"),"CHAPDES-BEAUFORT")</f>
        <v>CHAPDES-BEAUFORT</v>
      </c>
      <c r="E20228" s="38" t="s">
        <v>353</v>
      </c>
      <c r="F20228" s="38" t="s">
        <v>161</v>
      </c>
      <c r="G20228" s="49" t="str">
        <f t="shared" si="1"/>
        <v>63230</v>
      </c>
      <c r="H20228" s="49">
        <f t="shared" si="2"/>
        <v>63085</v>
      </c>
    </row>
    <row r="20229">
      <c r="A20229" s="48" t="s">
        <v>1469</v>
      </c>
      <c r="B20229" s="38">
        <v>71369.0</v>
      </c>
      <c r="C20229" s="38" t="s">
        <v>24729</v>
      </c>
      <c r="D20229" s="38" t="str">
        <f>IFERROR(__xludf.DUMMYFUNCTION("REGEXREPLACE(C20229,""-\d+(.*)|--\d+(.*)"","""")"),"REMIGNY")</f>
        <v>REMIGNY</v>
      </c>
      <c r="E20229" s="38" t="s">
        <v>344</v>
      </c>
      <c r="F20229" s="38" t="s">
        <v>106</v>
      </c>
      <c r="G20229" s="49" t="str">
        <f t="shared" si="1"/>
        <v>71150</v>
      </c>
      <c r="H20229" s="49">
        <f t="shared" si="2"/>
        <v>71369</v>
      </c>
    </row>
    <row r="20230">
      <c r="A20230" s="48" t="s">
        <v>10390</v>
      </c>
      <c r="B20230" s="38">
        <v>74299.0</v>
      </c>
      <c r="C20230" s="38" t="s">
        <v>24730</v>
      </c>
      <c r="D20230" s="38" t="str">
        <f>IFERROR(__xludf.DUMMYFUNCTION("REGEXREPLACE(C20230,""-\d+(.*)|--\d+(.*)"","""")"),"VEYRIER-DU-LAC")</f>
        <v>VEYRIER-DU-LAC</v>
      </c>
      <c r="E20230" s="38" t="s">
        <v>319</v>
      </c>
      <c r="F20230" s="38" t="s">
        <v>102</v>
      </c>
      <c r="G20230" s="49" t="str">
        <f t="shared" si="1"/>
        <v>74290</v>
      </c>
      <c r="H20230" s="49">
        <f t="shared" si="2"/>
        <v>74299</v>
      </c>
    </row>
    <row r="20231">
      <c r="A20231" s="48" t="s">
        <v>637</v>
      </c>
      <c r="B20231" s="38">
        <v>1379.0</v>
      </c>
      <c r="C20231" s="38" t="s">
        <v>24731</v>
      </c>
      <c r="D20231" s="38" t="str">
        <f>IFERROR(__xludf.DUMMYFUNCTION("REGEXREPLACE(C20231,""-\d+(.*)|--\d+(.*)"","""")"),"SAINT-MAURICE-DE-REMENS")</f>
        <v>SAINT-MAURICE-DE-REMENS</v>
      </c>
      <c r="E20231" s="38" t="s">
        <v>255</v>
      </c>
      <c r="F20231" s="38" t="s">
        <v>102</v>
      </c>
      <c r="G20231" s="49" t="str">
        <f t="shared" si="1"/>
        <v>01500</v>
      </c>
      <c r="H20231" s="49" t="str">
        <f t="shared" si="2"/>
        <v>01379</v>
      </c>
    </row>
    <row r="20232">
      <c r="A20232" s="48" t="s">
        <v>2523</v>
      </c>
      <c r="B20232" s="38">
        <v>46054.0</v>
      </c>
      <c r="C20232" s="38" t="s">
        <v>24732</v>
      </c>
      <c r="D20232" s="38" t="str">
        <f>IFERROR(__xludf.DUMMYFUNCTION("REGEXREPLACE(C20232,""-\d+(.*)|--\d+(.*)"","""")"),"CANIAC-DU-CAUSSE")</f>
        <v>CANIAC-DU-CAUSSE</v>
      </c>
      <c r="E20232" s="38" t="s">
        <v>185</v>
      </c>
      <c r="F20232" s="38" t="s">
        <v>94</v>
      </c>
      <c r="G20232" s="49" t="str">
        <f t="shared" si="1"/>
        <v>46240</v>
      </c>
      <c r="H20232" s="49">
        <f t="shared" si="2"/>
        <v>46054</v>
      </c>
    </row>
    <row r="20233">
      <c r="A20233" s="48" t="s">
        <v>7192</v>
      </c>
      <c r="B20233" s="38">
        <v>61016.0</v>
      </c>
      <c r="C20233" s="38" t="s">
        <v>23878</v>
      </c>
      <c r="D20233" s="38" t="str">
        <f>IFERROR(__xludf.DUMMYFUNCTION("REGEXREPLACE(C20233,""-\d+(.*)|--\d+(.*)"","""")"),"AUTHEUIL")</f>
        <v>AUTHEUIL</v>
      </c>
      <c r="E20233" s="38" t="s">
        <v>141</v>
      </c>
      <c r="F20233" s="38" t="s">
        <v>138</v>
      </c>
      <c r="G20233" s="49" t="str">
        <f t="shared" si="1"/>
        <v>61190</v>
      </c>
      <c r="H20233" s="49">
        <f t="shared" si="2"/>
        <v>61016</v>
      </c>
    </row>
    <row r="20234">
      <c r="A20234" s="48" t="s">
        <v>6350</v>
      </c>
      <c r="B20234" s="38">
        <v>6070.0</v>
      </c>
      <c r="C20234" s="38" t="s">
        <v>24733</v>
      </c>
      <c r="D20234" s="38" t="str">
        <f>IFERROR(__xludf.DUMMYFUNCTION("REGEXREPLACE(C20234,""-\d+(.*)|--\d+(.*)"","""")"),"GREOLIERES")</f>
        <v>GREOLIERES</v>
      </c>
      <c r="E20234" s="38" t="s">
        <v>227</v>
      </c>
      <c r="F20234" s="38" t="s">
        <v>228</v>
      </c>
      <c r="G20234" s="49" t="str">
        <f t="shared" si="1"/>
        <v>06620</v>
      </c>
      <c r="H20234" s="49" t="str">
        <f t="shared" si="2"/>
        <v>06070</v>
      </c>
    </row>
    <row r="20235">
      <c r="A20235" s="48" t="s">
        <v>4054</v>
      </c>
      <c r="B20235" s="38">
        <v>88268.0</v>
      </c>
      <c r="C20235" s="38" t="s">
        <v>24734</v>
      </c>
      <c r="D20235" s="38" t="str">
        <f>IFERROR(__xludf.DUMMYFUNCTION("REGEXREPLACE(C20235,""-\d+(.*)|--\d+(.*)"","""")"),"LESSEUX")</f>
        <v>LESSEUX</v>
      </c>
      <c r="E20235" s="38" t="s">
        <v>194</v>
      </c>
      <c r="F20235" s="38" t="s">
        <v>195</v>
      </c>
      <c r="G20235" s="49" t="str">
        <f t="shared" si="1"/>
        <v>88490</v>
      </c>
      <c r="H20235" s="49">
        <f t="shared" si="2"/>
        <v>88268</v>
      </c>
    </row>
    <row r="20236">
      <c r="A20236" s="48" t="s">
        <v>24735</v>
      </c>
      <c r="B20236" s="38">
        <v>52308.0</v>
      </c>
      <c r="C20236" s="38" t="s">
        <v>24736</v>
      </c>
      <c r="D20236" s="38" t="str">
        <f>IFERROR(__xludf.DUMMYFUNCTION("REGEXREPLACE(C20236,""-\d+(.*)|--\d+(.*)"","""")"),"MARANVILLE")</f>
        <v>MARANVILLE</v>
      </c>
      <c r="E20236" s="38" t="s">
        <v>234</v>
      </c>
      <c r="F20236" s="38" t="s">
        <v>130</v>
      </c>
      <c r="G20236" s="49" t="str">
        <f t="shared" si="1"/>
        <v>52370</v>
      </c>
      <c r="H20236" s="49">
        <f t="shared" si="2"/>
        <v>52308</v>
      </c>
    </row>
    <row r="20237">
      <c r="A20237" s="48" t="s">
        <v>4428</v>
      </c>
      <c r="B20237" s="38">
        <v>72139.0</v>
      </c>
      <c r="C20237" s="38" t="s">
        <v>24737</v>
      </c>
      <c r="D20237" s="38" t="str">
        <f>IFERROR(__xludf.DUMMYFUNCTION("REGEXREPLACE(C20237,""-\d+(.*)|--\d+(.*)"","""")"),"FYE")</f>
        <v>FYE</v>
      </c>
      <c r="E20237" s="38" t="s">
        <v>521</v>
      </c>
      <c r="F20237" s="38" t="s">
        <v>180</v>
      </c>
      <c r="G20237" s="49" t="str">
        <f t="shared" si="1"/>
        <v>72610</v>
      </c>
      <c r="H20237" s="49">
        <f t="shared" si="2"/>
        <v>72139</v>
      </c>
    </row>
    <row r="20238">
      <c r="A20238" s="48" t="s">
        <v>24738</v>
      </c>
      <c r="B20238" s="38">
        <v>53220.0</v>
      </c>
      <c r="C20238" s="38" t="s">
        <v>24739</v>
      </c>
      <c r="D20238" s="38" t="str">
        <f>IFERROR(__xludf.DUMMYFUNCTION("REGEXREPLACE(C20238,""-\d+(.*)|--\d+(.*)"","""")"),"SAINT-GEORGES-LE-FLECHARD")</f>
        <v>SAINT-GEORGES-LE-FLECHARD</v>
      </c>
      <c r="E20238" s="38" t="s">
        <v>518</v>
      </c>
      <c r="F20238" s="38" t="s">
        <v>180</v>
      </c>
      <c r="G20238" s="49" t="str">
        <f t="shared" si="1"/>
        <v>53480</v>
      </c>
      <c r="H20238" s="49">
        <f t="shared" si="2"/>
        <v>53220</v>
      </c>
    </row>
    <row r="20239">
      <c r="A20239" s="48" t="s">
        <v>14989</v>
      </c>
      <c r="B20239" s="38">
        <v>74250.0</v>
      </c>
      <c r="C20239" s="38" t="s">
        <v>24740</v>
      </c>
      <c r="D20239" s="38" t="str">
        <f>IFERROR(__xludf.DUMMYFUNCTION("REGEXREPLACE(C20239,""-\d+(.*)|--\d+(.*)"","""")"),"SAINT-PIERRE-EN-FAUCIGNY")</f>
        <v>SAINT-PIERRE-EN-FAUCIGNY</v>
      </c>
      <c r="E20239" s="38" t="s">
        <v>319</v>
      </c>
      <c r="F20239" s="38" t="s">
        <v>102</v>
      </c>
      <c r="G20239" s="49" t="str">
        <f t="shared" si="1"/>
        <v>74800</v>
      </c>
      <c r="H20239" s="49">
        <f t="shared" si="2"/>
        <v>74250</v>
      </c>
    </row>
    <row r="20240">
      <c r="A20240" s="48" t="s">
        <v>796</v>
      </c>
      <c r="B20240" s="38">
        <v>89482.0</v>
      </c>
      <c r="C20240" s="38" t="s">
        <v>2123</v>
      </c>
      <c r="D20240" s="38" t="str">
        <f>IFERROR(__xludf.DUMMYFUNCTION("REGEXREPLACE(C20240,""-\d+(.*)|--\d+(.*)"","""")"),"VIVIERS")</f>
        <v>VIVIERS</v>
      </c>
      <c r="E20240" s="38" t="s">
        <v>275</v>
      </c>
      <c r="F20240" s="38" t="s">
        <v>106</v>
      </c>
      <c r="G20240" s="49" t="str">
        <f t="shared" si="1"/>
        <v>89700</v>
      </c>
      <c r="H20240" s="49">
        <f t="shared" si="2"/>
        <v>89482</v>
      </c>
    </row>
    <row r="20241">
      <c r="A20241" s="48" t="s">
        <v>24741</v>
      </c>
      <c r="B20241" s="38">
        <v>33249.0</v>
      </c>
      <c r="C20241" s="38" t="s">
        <v>24742</v>
      </c>
      <c r="D20241" s="38" t="str">
        <f>IFERROR(__xludf.DUMMYFUNCTION("REGEXREPLACE(C20241,""-\d+(.*)|--\d+(.*)"","""")"),"LORMONT")</f>
        <v>LORMONT</v>
      </c>
      <c r="E20241" s="38" t="s">
        <v>462</v>
      </c>
      <c r="F20241" s="38" t="s">
        <v>252</v>
      </c>
      <c r="G20241" s="49" t="str">
        <f t="shared" si="1"/>
        <v>33310</v>
      </c>
      <c r="H20241" s="49">
        <f t="shared" si="2"/>
        <v>33249</v>
      </c>
    </row>
    <row r="20242">
      <c r="A20242" s="48" t="s">
        <v>844</v>
      </c>
      <c r="B20242" s="38">
        <v>72188.0</v>
      </c>
      <c r="C20242" s="38" t="s">
        <v>24743</v>
      </c>
      <c r="D20242" s="38" t="str">
        <f>IFERROR(__xludf.DUMMYFUNCTION("REGEXREPLACE(C20242,""-\d+(.*)|--\d+(.*)"","""")"),"MAROLLETTE")</f>
        <v>MAROLLETTE</v>
      </c>
      <c r="E20242" s="38" t="s">
        <v>521</v>
      </c>
      <c r="F20242" s="38" t="s">
        <v>180</v>
      </c>
      <c r="G20242" s="49" t="str">
        <f t="shared" si="1"/>
        <v>72600</v>
      </c>
      <c r="H20242" s="49">
        <f t="shared" si="2"/>
        <v>72188</v>
      </c>
    </row>
    <row r="20243">
      <c r="A20243" s="48" t="s">
        <v>719</v>
      </c>
      <c r="B20243" s="38">
        <v>8341.0</v>
      </c>
      <c r="C20243" s="38" t="s">
        <v>24744</v>
      </c>
      <c r="D20243" s="38" t="str">
        <f>IFERROR(__xludf.DUMMYFUNCTION("REGEXREPLACE(C20243,""-\d+(.*)|--\d+(.*)"","""")"),"POIX-TERRON")</f>
        <v>POIX-TERRON</v>
      </c>
      <c r="E20243" s="38" t="s">
        <v>327</v>
      </c>
      <c r="F20243" s="38" t="s">
        <v>130</v>
      </c>
      <c r="G20243" s="49" t="str">
        <f t="shared" si="1"/>
        <v>08430</v>
      </c>
      <c r="H20243" s="49" t="str">
        <f t="shared" si="2"/>
        <v>08341</v>
      </c>
    </row>
    <row r="20244">
      <c r="A20244" s="48" t="s">
        <v>3289</v>
      </c>
      <c r="B20244" s="38">
        <v>50100.0</v>
      </c>
      <c r="C20244" s="38" t="s">
        <v>24745</v>
      </c>
      <c r="D20244" s="38" t="str">
        <f>IFERROR(__xludf.DUMMYFUNCTION("REGEXREPLACE(C20244,""-\d+(.*)|--\d+(.*)"","""")"),"CARNET")</f>
        <v>CARNET</v>
      </c>
      <c r="E20244" s="38" t="s">
        <v>157</v>
      </c>
      <c r="F20244" s="38" t="s">
        <v>138</v>
      </c>
      <c r="G20244" s="49" t="str">
        <f t="shared" si="1"/>
        <v>50240</v>
      </c>
      <c r="H20244" s="49">
        <f t="shared" si="2"/>
        <v>50100</v>
      </c>
    </row>
    <row r="20245">
      <c r="A20245" s="48" t="s">
        <v>2922</v>
      </c>
      <c r="B20245" s="38">
        <v>5052.0</v>
      </c>
      <c r="C20245" s="38" t="s">
        <v>24746</v>
      </c>
      <c r="D20245" s="38" t="str">
        <f>IFERROR(__xludf.DUMMYFUNCTION("REGEXREPLACE(C20245,""-\d+(.*)|--\d+(.*)"","""")"),"EYGLIERS")</f>
        <v>EYGLIERS</v>
      </c>
      <c r="E20245" s="38" t="s">
        <v>706</v>
      </c>
      <c r="F20245" s="38" t="s">
        <v>228</v>
      </c>
      <c r="G20245" s="49" t="str">
        <f t="shared" si="1"/>
        <v>05600</v>
      </c>
      <c r="H20245" s="49" t="str">
        <f t="shared" si="2"/>
        <v>05052</v>
      </c>
    </row>
    <row r="20246">
      <c r="A20246" s="48" t="s">
        <v>2617</v>
      </c>
      <c r="B20246" s="38">
        <v>89273.0</v>
      </c>
      <c r="C20246" s="38" t="s">
        <v>24747</v>
      </c>
      <c r="D20246" s="38" t="str">
        <f>IFERROR(__xludf.DUMMYFUNCTION("REGEXREPLACE(C20246,""-\d+(.*)|--\d+(.*)"","""")"),"MOUTIERS-EN-PUISAYE")</f>
        <v>MOUTIERS-EN-PUISAYE</v>
      </c>
      <c r="E20246" s="38" t="s">
        <v>275</v>
      </c>
      <c r="F20246" s="38" t="s">
        <v>106</v>
      </c>
      <c r="G20246" s="49" t="str">
        <f t="shared" si="1"/>
        <v>89520</v>
      </c>
      <c r="H20246" s="49">
        <f t="shared" si="2"/>
        <v>89273</v>
      </c>
    </row>
    <row r="20247">
      <c r="A20247" s="48" t="s">
        <v>447</v>
      </c>
      <c r="B20247" s="38">
        <v>88142.0</v>
      </c>
      <c r="C20247" s="38" t="s">
        <v>24748</v>
      </c>
      <c r="D20247" s="38" t="str">
        <f>IFERROR(__xludf.DUMMYFUNCTION("REGEXREPLACE(C20247,""-\d+(.*)|--\d+(.*)"","""")"),"DOMEVRE-SUR-AVIERE")</f>
        <v>DOMEVRE-SUR-AVIERE</v>
      </c>
      <c r="E20247" s="38" t="s">
        <v>194</v>
      </c>
      <c r="F20247" s="38" t="s">
        <v>195</v>
      </c>
      <c r="G20247" s="49" t="str">
        <f t="shared" si="1"/>
        <v>88390</v>
      </c>
      <c r="H20247" s="49">
        <f t="shared" si="2"/>
        <v>88142</v>
      </c>
    </row>
    <row r="20248">
      <c r="A20248" s="48" t="s">
        <v>4543</v>
      </c>
      <c r="B20248" s="38">
        <v>64285.0</v>
      </c>
      <c r="C20248" s="38" t="s">
        <v>24749</v>
      </c>
      <c r="D20248" s="38" t="str">
        <f>IFERROR(__xludf.DUMMYFUNCTION("REGEXREPLACE(C20248,""-\d+(.*)|--\d+(.*)"","""")"),"JUXUE")</f>
        <v>JUXUE</v>
      </c>
      <c r="E20248" s="38" t="s">
        <v>268</v>
      </c>
      <c r="F20248" s="38" t="s">
        <v>252</v>
      </c>
      <c r="G20248" s="49" t="str">
        <f t="shared" si="1"/>
        <v>64120</v>
      </c>
      <c r="H20248" s="49">
        <f t="shared" si="2"/>
        <v>64285</v>
      </c>
    </row>
    <row r="20249">
      <c r="A20249" s="48" t="s">
        <v>15560</v>
      </c>
      <c r="B20249" s="38">
        <v>60277.0</v>
      </c>
      <c r="C20249" s="38" t="s">
        <v>24750</v>
      </c>
      <c r="D20249" s="38" t="str">
        <f>IFERROR(__xludf.DUMMYFUNCTION("REGEXREPLACE(C20249,""-\d+(.*)|--\d+(.*)"","""")"),"GOINCOURT")</f>
        <v>GOINCOURT</v>
      </c>
      <c r="E20249" s="38" t="s">
        <v>112</v>
      </c>
      <c r="F20249" s="38" t="s">
        <v>113</v>
      </c>
      <c r="G20249" s="49" t="str">
        <f t="shared" si="1"/>
        <v>60000</v>
      </c>
      <c r="H20249" s="49">
        <f t="shared" si="2"/>
        <v>60277</v>
      </c>
    </row>
    <row r="20250">
      <c r="A20250" s="48" t="s">
        <v>7712</v>
      </c>
      <c r="B20250" s="38">
        <v>9099.0</v>
      </c>
      <c r="C20250" s="38" t="s">
        <v>24751</v>
      </c>
      <c r="D20250" s="38" t="str">
        <f>IFERROR(__xludf.DUMMYFUNCTION("REGEXREPLACE(C20250,""-\d+(.*)|--\d+(.*)"","""")"),"COS")</f>
        <v>COS</v>
      </c>
      <c r="E20250" s="38" t="s">
        <v>238</v>
      </c>
      <c r="F20250" s="38" t="s">
        <v>94</v>
      </c>
      <c r="G20250" s="49" t="str">
        <f t="shared" si="1"/>
        <v>09000</v>
      </c>
      <c r="H20250" s="49" t="str">
        <f t="shared" si="2"/>
        <v>09099</v>
      </c>
    </row>
    <row r="20251">
      <c r="A20251" s="48" t="s">
        <v>643</v>
      </c>
      <c r="B20251" s="38">
        <v>88073.0</v>
      </c>
      <c r="C20251" s="38" t="s">
        <v>24752</v>
      </c>
      <c r="D20251" s="38" t="str">
        <f>IFERROR(__xludf.DUMMYFUNCTION("REGEXREPLACE(C20251,""-\d+(.*)|--\d+(.*)"","""")"),"BRANTIGNY")</f>
        <v>BRANTIGNY</v>
      </c>
      <c r="E20251" s="38" t="s">
        <v>194</v>
      </c>
      <c r="F20251" s="38" t="s">
        <v>195</v>
      </c>
      <c r="G20251" s="49" t="str">
        <f t="shared" si="1"/>
        <v>88130</v>
      </c>
      <c r="H20251" s="49">
        <f t="shared" si="2"/>
        <v>88073</v>
      </c>
    </row>
    <row r="20252">
      <c r="A20252" s="48" t="s">
        <v>2095</v>
      </c>
      <c r="B20252" s="38">
        <v>72323.0</v>
      </c>
      <c r="C20252" s="38" t="s">
        <v>24753</v>
      </c>
      <c r="D20252" s="38" t="str">
        <f>IFERROR(__xludf.DUMMYFUNCTION("REGEXREPLACE(C20252,""-\d+(.*)|--\d+(.*)"","""")"),"SAINT-VICTEUR")</f>
        <v>SAINT-VICTEUR</v>
      </c>
      <c r="E20252" s="38" t="s">
        <v>521</v>
      </c>
      <c r="F20252" s="38" t="s">
        <v>180</v>
      </c>
      <c r="G20252" s="49" t="str">
        <f t="shared" si="1"/>
        <v>72130</v>
      </c>
      <c r="H20252" s="49">
        <f t="shared" si="2"/>
        <v>72323</v>
      </c>
    </row>
    <row r="20253">
      <c r="A20253" s="48" t="s">
        <v>24754</v>
      </c>
      <c r="B20253" s="38">
        <v>27183.0</v>
      </c>
      <c r="C20253" s="38" t="s">
        <v>24755</v>
      </c>
      <c r="D20253" s="38" t="str">
        <f>IFERROR(__xludf.DUMMYFUNCTION("REGEXREPLACE(C20253,""-\d+(.*)|--\d+(.*)"","""")"),"LA COUTURE-BOUSSEY")</f>
        <v>LA COUTURE-BOUSSEY</v>
      </c>
      <c r="E20253" s="38" t="s">
        <v>241</v>
      </c>
      <c r="F20253" s="38" t="s">
        <v>134</v>
      </c>
      <c r="G20253" s="49" t="str">
        <f t="shared" si="1"/>
        <v>27750</v>
      </c>
      <c r="H20253" s="49">
        <f t="shared" si="2"/>
        <v>27183</v>
      </c>
    </row>
    <row r="20254">
      <c r="A20254" s="48" t="s">
        <v>3266</v>
      </c>
      <c r="B20254" s="38">
        <v>55370.0</v>
      </c>
      <c r="C20254" s="38" t="s">
        <v>24756</v>
      </c>
      <c r="D20254" s="38" t="str">
        <f>IFERROR(__xludf.DUMMYFUNCTION("REGEXREPLACE(C20254,""-\d+(.*)|--\d+(.*)"","""")"),"NAIX-AUX-FORGES")</f>
        <v>NAIX-AUX-FORGES</v>
      </c>
      <c r="E20254" s="38" t="s">
        <v>322</v>
      </c>
      <c r="F20254" s="38" t="s">
        <v>195</v>
      </c>
      <c r="G20254" s="49" t="str">
        <f t="shared" si="1"/>
        <v>55500</v>
      </c>
      <c r="H20254" s="49">
        <f t="shared" si="2"/>
        <v>55370</v>
      </c>
    </row>
    <row r="20255">
      <c r="A20255" s="48" t="s">
        <v>10965</v>
      </c>
      <c r="B20255" s="38">
        <v>80738.0</v>
      </c>
      <c r="C20255" s="38" t="s">
        <v>24757</v>
      </c>
      <c r="D20255" s="38" t="str">
        <f>IFERROR(__xludf.DUMMYFUNCTION("REGEXREPLACE(C20255,""-\d+(.*)|--\d+(.*)"","""")"),"SOUES")</f>
        <v>SOUES</v>
      </c>
      <c r="E20255" s="38" t="s">
        <v>224</v>
      </c>
      <c r="F20255" s="38" t="s">
        <v>113</v>
      </c>
      <c r="G20255" s="49" t="str">
        <f t="shared" si="1"/>
        <v>80310</v>
      </c>
      <c r="H20255" s="49">
        <f t="shared" si="2"/>
        <v>80738</v>
      </c>
    </row>
    <row r="20256">
      <c r="A20256" s="48" t="s">
        <v>9660</v>
      </c>
      <c r="B20256" s="38">
        <v>89208.0</v>
      </c>
      <c r="C20256" s="38" t="s">
        <v>24758</v>
      </c>
      <c r="D20256" s="38" t="str">
        <f>IFERROR(__xludf.DUMMYFUNCTION("REGEXREPLACE(C20256,""-\d+(.*)|--\d+(.*)"","""")"),"JOUX-LA-VILLE")</f>
        <v>JOUX-LA-VILLE</v>
      </c>
      <c r="E20256" s="38" t="s">
        <v>275</v>
      </c>
      <c r="F20256" s="38" t="s">
        <v>106</v>
      </c>
      <c r="G20256" s="49" t="str">
        <f t="shared" si="1"/>
        <v>89440</v>
      </c>
      <c r="H20256" s="49">
        <f t="shared" si="2"/>
        <v>89208</v>
      </c>
    </row>
    <row r="20257">
      <c r="A20257" s="48" t="s">
        <v>9795</v>
      </c>
      <c r="B20257" s="38">
        <v>33269.0</v>
      </c>
      <c r="C20257" s="38" t="s">
        <v>24759</v>
      </c>
      <c r="D20257" s="38" t="str">
        <f>IFERROR(__xludf.DUMMYFUNCTION("REGEXREPLACE(C20257,""-\d+(.*)|--\d+(.*)"","""")"),"MARGUERON")</f>
        <v>MARGUERON</v>
      </c>
      <c r="E20257" s="38" t="s">
        <v>462</v>
      </c>
      <c r="F20257" s="38" t="s">
        <v>252</v>
      </c>
      <c r="G20257" s="49" t="str">
        <f t="shared" si="1"/>
        <v>33220</v>
      </c>
      <c r="H20257" s="49">
        <f t="shared" si="2"/>
        <v>33269</v>
      </c>
    </row>
    <row r="20258">
      <c r="A20258" s="48" t="s">
        <v>24760</v>
      </c>
      <c r="B20258" s="38">
        <v>71583.0</v>
      </c>
      <c r="C20258" s="38" t="s">
        <v>24761</v>
      </c>
      <c r="D20258" s="38" t="str">
        <f>IFERROR(__xludf.DUMMYFUNCTION("REGEXREPLACE(C20258,""-\d+(.*)|--\d+(.*)"","""")"),"VINZELLES")</f>
        <v>VINZELLES</v>
      </c>
      <c r="E20258" s="38" t="s">
        <v>344</v>
      </c>
      <c r="F20258" s="38" t="s">
        <v>106</v>
      </c>
      <c r="G20258" s="49" t="str">
        <f t="shared" si="1"/>
        <v>71680</v>
      </c>
      <c r="H20258" s="49">
        <f t="shared" si="2"/>
        <v>71583</v>
      </c>
    </row>
    <row r="20259">
      <c r="A20259" s="48" t="s">
        <v>24762</v>
      </c>
      <c r="B20259" s="38">
        <v>97307.0</v>
      </c>
      <c r="C20259" s="38" t="s">
        <v>24763</v>
      </c>
      <c r="D20259" s="38" t="str">
        <f>IFERROR(__xludf.DUMMYFUNCTION("REGEXREPLACE(C20259,""-\d+(.*)|--\d+(.*)"","""")"),"MATOURY")</f>
        <v>MATOURY</v>
      </c>
      <c r="E20259" s="38" t="s">
        <v>1737</v>
      </c>
      <c r="F20259" s="38" t="s">
        <v>1737</v>
      </c>
      <c r="G20259" s="49" t="str">
        <f t="shared" si="1"/>
        <v>97351</v>
      </c>
      <c r="H20259" s="49">
        <f t="shared" si="2"/>
        <v>97307</v>
      </c>
    </row>
    <row r="20260">
      <c r="A20260" s="48" t="s">
        <v>3127</v>
      </c>
      <c r="B20260" s="38">
        <v>70095.0</v>
      </c>
      <c r="C20260" s="38" t="s">
        <v>24764</v>
      </c>
      <c r="D20260" s="38" t="str">
        <f>IFERROR(__xludf.DUMMYFUNCTION("REGEXREPLACE(C20260,""-\d+(.*)|--\d+(.*)"","""")"),"BREUREY-LES-FAVERNEY")</f>
        <v>BREUREY-LES-FAVERNEY</v>
      </c>
      <c r="E20260" s="38" t="s">
        <v>956</v>
      </c>
      <c r="F20260" s="38" t="s">
        <v>214</v>
      </c>
      <c r="G20260" s="49" t="str">
        <f t="shared" si="1"/>
        <v>70160</v>
      </c>
      <c r="H20260" s="49">
        <f t="shared" si="2"/>
        <v>70095</v>
      </c>
    </row>
    <row r="20261">
      <c r="A20261" s="48" t="s">
        <v>1437</v>
      </c>
      <c r="B20261" s="38">
        <v>39229.0</v>
      </c>
      <c r="C20261" s="38" t="s">
        <v>24765</v>
      </c>
      <c r="D20261" s="38" t="str">
        <f>IFERROR(__xludf.DUMMYFUNCTION("REGEXREPLACE(C20261,""-\d+(.*)|--\d+(.*)"","""")"),"FONTAINEBRUX")</f>
        <v>FONTAINEBRUX</v>
      </c>
      <c r="E20261" s="38" t="s">
        <v>400</v>
      </c>
      <c r="F20261" s="38" t="s">
        <v>214</v>
      </c>
      <c r="G20261" s="49" t="str">
        <f t="shared" si="1"/>
        <v>39140</v>
      </c>
      <c r="H20261" s="49">
        <f t="shared" si="2"/>
        <v>39229</v>
      </c>
    </row>
    <row r="20262">
      <c r="A20262" s="48" t="s">
        <v>11910</v>
      </c>
      <c r="B20262" s="38">
        <v>46190.0</v>
      </c>
      <c r="C20262" s="38" t="s">
        <v>24766</v>
      </c>
      <c r="D20262" s="38" t="str">
        <f>IFERROR(__xludf.DUMMYFUNCTION("REGEXREPLACE(C20262,""-\d+(.*)|--\d+(.*)"","""")"),"MECHMONT")</f>
        <v>MECHMONT</v>
      </c>
      <c r="E20262" s="38" t="s">
        <v>185</v>
      </c>
      <c r="F20262" s="38" t="s">
        <v>94</v>
      </c>
      <c r="G20262" s="49" t="str">
        <f t="shared" si="1"/>
        <v>46150</v>
      </c>
      <c r="H20262" s="49">
        <f t="shared" si="2"/>
        <v>46190</v>
      </c>
    </row>
    <row r="20263">
      <c r="A20263" s="48" t="s">
        <v>7278</v>
      </c>
      <c r="B20263" s="38">
        <v>61487.0</v>
      </c>
      <c r="C20263" s="38" t="s">
        <v>24767</v>
      </c>
      <c r="D20263" s="38" t="str">
        <f>IFERROR(__xludf.DUMMYFUNCTION("REGEXREPLACE(C20263,""-\d+(.*)|--\d+(.*)"","""")"),"TORCHAMP")</f>
        <v>TORCHAMP</v>
      </c>
      <c r="E20263" s="38" t="s">
        <v>141</v>
      </c>
      <c r="F20263" s="38" t="s">
        <v>138</v>
      </c>
      <c r="G20263" s="49" t="str">
        <f t="shared" si="1"/>
        <v>61330</v>
      </c>
      <c r="H20263" s="49">
        <f t="shared" si="2"/>
        <v>61487</v>
      </c>
    </row>
    <row r="20264">
      <c r="A20264" s="48" t="s">
        <v>1966</v>
      </c>
      <c r="B20264" s="38">
        <v>2074.0</v>
      </c>
      <c r="C20264" s="38" t="s">
        <v>24768</v>
      </c>
      <c r="D20264" s="38" t="str">
        <f>IFERROR(__xludf.DUMMYFUNCTION("REGEXREPLACE(C20264,""-\d+(.*)|--\d+(.*)"","""")"),"BERTAUCOURT-EPOURDON")</f>
        <v>BERTAUCOURT-EPOURDON</v>
      </c>
      <c r="E20264" s="38" t="s">
        <v>191</v>
      </c>
      <c r="F20264" s="38" t="s">
        <v>113</v>
      </c>
      <c r="G20264" s="49" t="str">
        <f t="shared" si="1"/>
        <v>02800</v>
      </c>
      <c r="H20264" s="49" t="str">
        <f t="shared" si="2"/>
        <v>02074</v>
      </c>
    </row>
    <row r="20265">
      <c r="A20265" s="48" t="s">
        <v>5142</v>
      </c>
      <c r="B20265" s="38">
        <v>58020.0</v>
      </c>
      <c r="C20265" s="38" t="s">
        <v>24769</v>
      </c>
      <c r="D20265" s="38" t="str">
        <f>IFERROR(__xludf.DUMMYFUNCTION("REGEXREPLACE(C20265,""-\d+(.*)|--\d+(.*)"","""")"),"AVRIL-SUR-LOIRE")</f>
        <v>AVRIL-SUR-LOIRE</v>
      </c>
      <c r="E20265" s="38" t="s">
        <v>219</v>
      </c>
      <c r="F20265" s="38" t="s">
        <v>106</v>
      </c>
      <c r="G20265" s="49" t="str">
        <f t="shared" si="1"/>
        <v>58300</v>
      </c>
      <c r="H20265" s="49">
        <f t="shared" si="2"/>
        <v>58020</v>
      </c>
    </row>
    <row r="20266">
      <c r="A20266" s="48" t="s">
        <v>266</v>
      </c>
      <c r="B20266" s="38">
        <v>64357.0</v>
      </c>
      <c r="C20266" s="38" t="s">
        <v>24770</v>
      </c>
      <c r="D20266" s="38" t="str">
        <f>IFERROR(__xludf.DUMMYFUNCTION("REGEXREPLACE(C20266,""-\d+(.*)|--\d+(.*)"","""")"),"LUCARRE")</f>
        <v>LUCARRE</v>
      </c>
      <c r="E20266" s="38" t="s">
        <v>268</v>
      </c>
      <c r="F20266" s="38" t="s">
        <v>252</v>
      </c>
      <c r="G20266" s="49" t="str">
        <f t="shared" si="1"/>
        <v>64350</v>
      </c>
      <c r="H20266" s="49">
        <f t="shared" si="2"/>
        <v>64357</v>
      </c>
    </row>
    <row r="20267">
      <c r="A20267" s="48" t="s">
        <v>12913</v>
      </c>
      <c r="B20267" s="38">
        <v>59601.0</v>
      </c>
      <c r="C20267" s="38" t="s">
        <v>24771</v>
      </c>
      <c r="D20267" s="38" t="str">
        <f>IFERROR(__xludf.DUMMYFUNCTION("REGEXREPLACE(C20267,""-\d+(.*)|--\d+(.*)"","""")"),"TRELON")</f>
        <v>TRELON</v>
      </c>
      <c r="E20267" s="38" t="s">
        <v>85</v>
      </c>
      <c r="F20267" s="38" t="s">
        <v>86</v>
      </c>
      <c r="G20267" s="49" t="str">
        <f t="shared" si="1"/>
        <v>59132</v>
      </c>
      <c r="H20267" s="49">
        <f t="shared" si="2"/>
        <v>59601</v>
      </c>
    </row>
    <row r="20268">
      <c r="A20268" s="48" t="s">
        <v>1218</v>
      </c>
      <c r="B20268" s="38">
        <v>9190.0</v>
      </c>
      <c r="C20268" s="38" t="s">
        <v>24772</v>
      </c>
      <c r="D20268" s="38" t="str">
        <f>IFERROR(__xludf.DUMMYFUNCTION("REGEXREPLACE(C20268,""-\d+(.*)|--\d+(.*)"","""")"),"MERIGON")</f>
        <v>MERIGON</v>
      </c>
      <c r="E20268" s="38" t="s">
        <v>238</v>
      </c>
      <c r="F20268" s="38" t="s">
        <v>94</v>
      </c>
      <c r="G20268" s="49" t="str">
        <f t="shared" si="1"/>
        <v>09230</v>
      </c>
      <c r="H20268" s="49" t="str">
        <f t="shared" si="2"/>
        <v>09190</v>
      </c>
    </row>
    <row r="20269">
      <c r="A20269" s="48" t="s">
        <v>5288</v>
      </c>
      <c r="B20269" s="38">
        <v>62231.0</v>
      </c>
      <c r="C20269" s="38" t="s">
        <v>24773</v>
      </c>
      <c r="D20269" s="38" t="str">
        <f>IFERROR(__xludf.DUMMYFUNCTION("REGEXREPLACE(C20269,""-\d+(.*)|--\d+(.*)"","""")"),"COLLINE-BEAUMONT")</f>
        <v>COLLINE-BEAUMONT</v>
      </c>
      <c r="E20269" s="38" t="s">
        <v>109</v>
      </c>
      <c r="F20269" s="38" t="s">
        <v>86</v>
      </c>
      <c r="G20269" s="49" t="str">
        <f t="shared" si="1"/>
        <v>62180</v>
      </c>
      <c r="H20269" s="49">
        <f t="shared" si="2"/>
        <v>62231</v>
      </c>
    </row>
    <row r="20270">
      <c r="A20270" s="48" t="s">
        <v>2328</v>
      </c>
      <c r="B20270" s="38">
        <v>57270.0</v>
      </c>
      <c r="C20270" s="38" t="s">
        <v>24774</v>
      </c>
      <c r="D20270" s="38" t="str">
        <f>IFERROR(__xludf.DUMMYFUNCTION("REGEXREPLACE(C20270,""-\d+(.*)|--\d+(.*)"","""")"),"VAL-DE-BRIDE")</f>
        <v>VAL-DE-BRIDE</v>
      </c>
      <c r="E20270" s="38" t="s">
        <v>303</v>
      </c>
      <c r="F20270" s="38" t="s">
        <v>195</v>
      </c>
      <c r="G20270" s="49" t="str">
        <f t="shared" si="1"/>
        <v>57260</v>
      </c>
      <c r="H20270" s="49">
        <f t="shared" si="2"/>
        <v>57270</v>
      </c>
    </row>
    <row r="20271">
      <c r="A20271" s="48" t="s">
        <v>2316</v>
      </c>
      <c r="B20271" s="38">
        <v>25299.0</v>
      </c>
      <c r="C20271" s="38" t="s">
        <v>24775</v>
      </c>
      <c r="D20271" s="38" t="str">
        <f>IFERROR(__xludf.DUMMYFUNCTION("REGEXREPLACE(C20271,""-\d+(.*)|--\d+(.*)"","""")"),"GUILLON-LES-BAINS")</f>
        <v>GUILLON-LES-BAINS</v>
      </c>
      <c r="E20271" s="38" t="s">
        <v>213</v>
      </c>
      <c r="F20271" s="38" t="s">
        <v>214</v>
      </c>
      <c r="G20271" s="49" t="str">
        <f t="shared" si="1"/>
        <v>25110</v>
      </c>
      <c r="H20271" s="49">
        <f t="shared" si="2"/>
        <v>25299</v>
      </c>
    </row>
    <row r="20272">
      <c r="A20272" s="48" t="s">
        <v>3273</v>
      </c>
      <c r="B20272" s="38">
        <v>59214.0</v>
      </c>
      <c r="C20272" s="38" t="s">
        <v>24776</v>
      </c>
      <c r="D20272" s="38" t="str">
        <f>IFERROR(__xludf.DUMMYFUNCTION("REGEXREPLACE(C20272,""-\d+(.*)|--\d+(.*)"","""")"),"ESTREES")</f>
        <v>ESTREES</v>
      </c>
      <c r="E20272" s="38" t="s">
        <v>85</v>
      </c>
      <c r="F20272" s="38" t="s">
        <v>86</v>
      </c>
      <c r="G20272" s="49" t="str">
        <f t="shared" si="1"/>
        <v>59151</v>
      </c>
      <c r="H20272" s="49">
        <f t="shared" si="2"/>
        <v>59214</v>
      </c>
    </row>
    <row r="20273">
      <c r="A20273" s="48" t="s">
        <v>3154</v>
      </c>
      <c r="B20273" s="38">
        <v>15182.0</v>
      </c>
      <c r="C20273" s="38" t="s">
        <v>24777</v>
      </c>
      <c r="D20273" s="38" t="str">
        <f>IFERROR(__xludf.DUMMYFUNCTION("REGEXREPLACE(C20273,""-\d+(.*)|--\d+(.*)"","""")"),"SAINT-ETIENNE-CANTALES")</f>
        <v>SAINT-ETIENNE-CANTALES</v>
      </c>
      <c r="E20273" s="38" t="s">
        <v>632</v>
      </c>
      <c r="F20273" s="38" t="s">
        <v>161</v>
      </c>
      <c r="G20273" s="49" t="str">
        <f t="shared" si="1"/>
        <v>15150</v>
      </c>
      <c r="H20273" s="49">
        <f t="shared" si="2"/>
        <v>15182</v>
      </c>
    </row>
    <row r="20274">
      <c r="A20274" s="48" t="s">
        <v>4181</v>
      </c>
      <c r="B20274" s="38">
        <v>89431.0</v>
      </c>
      <c r="C20274" s="38" t="s">
        <v>24778</v>
      </c>
      <c r="D20274" s="38" t="str">
        <f>IFERROR(__xludf.DUMMYFUNCTION("REGEXREPLACE(C20274,""-\d+(.*)|--\d+(.*)"","""")"),"VASSY-SOUS-PISY")</f>
        <v>VASSY-SOUS-PISY</v>
      </c>
      <c r="E20274" s="38" t="s">
        <v>275</v>
      </c>
      <c r="F20274" s="38" t="s">
        <v>106</v>
      </c>
      <c r="G20274" s="49" t="str">
        <f t="shared" si="1"/>
        <v>89420</v>
      </c>
      <c r="H20274" s="49">
        <f t="shared" si="2"/>
        <v>89431</v>
      </c>
    </row>
    <row r="20275">
      <c r="A20275" s="48" t="s">
        <v>4235</v>
      </c>
      <c r="B20275" s="38">
        <v>50516.0</v>
      </c>
      <c r="C20275" s="38" t="s">
        <v>11682</v>
      </c>
      <c r="D20275" s="38" t="str">
        <f>IFERROR(__xludf.DUMMYFUNCTION("REGEXREPLACE(C20275,""-\d+(.*)|--\d+(.*)"","""")"),"SAINT-MARTIN-DES-CHAMPS")</f>
        <v>SAINT-MARTIN-DES-CHAMPS</v>
      </c>
      <c r="E20275" s="38" t="s">
        <v>157</v>
      </c>
      <c r="F20275" s="38" t="s">
        <v>138</v>
      </c>
      <c r="G20275" s="49" t="str">
        <f t="shared" si="1"/>
        <v>50300</v>
      </c>
      <c r="H20275" s="49">
        <f t="shared" si="2"/>
        <v>50516</v>
      </c>
    </row>
    <row r="20276">
      <c r="A20276" s="48" t="s">
        <v>10299</v>
      </c>
      <c r="B20276" s="38">
        <v>67497.0</v>
      </c>
      <c r="C20276" s="38" t="s">
        <v>24779</v>
      </c>
      <c r="D20276" s="38" t="str">
        <f>IFERROR(__xludf.DUMMYFUNCTION("REGEXREPLACE(C20276,""-\d+(.*)|--\d+(.*)"","""")"),"UHLWILLER")</f>
        <v>UHLWILLER</v>
      </c>
      <c r="E20276" s="38" t="s">
        <v>210</v>
      </c>
      <c r="F20276" s="38" t="s">
        <v>151</v>
      </c>
      <c r="G20276" s="49" t="str">
        <f t="shared" si="1"/>
        <v>67350</v>
      </c>
      <c r="H20276" s="49">
        <f t="shared" si="2"/>
        <v>67497</v>
      </c>
    </row>
    <row r="20277">
      <c r="A20277" s="48" t="s">
        <v>24780</v>
      </c>
      <c r="B20277" s="38">
        <v>77350.0</v>
      </c>
      <c r="C20277" s="38" t="s">
        <v>24781</v>
      </c>
      <c r="D20277" s="38" t="str">
        <f>IFERROR(__xludf.DUMMYFUNCTION("REGEXREPLACE(C20277,""-\d+(.*)|--\d+(.*)"","""")"),"OZOIR-LA-FERRIERE")</f>
        <v>OZOIR-LA-FERRIERE</v>
      </c>
      <c r="E20277" s="38" t="s">
        <v>244</v>
      </c>
      <c r="F20277" s="38" t="s">
        <v>245</v>
      </c>
      <c r="G20277" s="49" t="str">
        <f t="shared" si="1"/>
        <v>77330</v>
      </c>
      <c r="H20277" s="49">
        <f t="shared" si="2"/>
        <v>77350</v>
      </c>
    </row>
    <row r="20278">
      <c r="A20278" s="48" t="s">
        <v>1938</v>
      </c>
      <c r="B20278" s="38">
        <v>55512.0</v>
      </c>
      <c r="C20278" s="38" t="s">
        <v>24782</v>
      </c>
      <c r="D20278" s="38" t="str">
        <f>IFERROR(__xludf.DUMMYFUNCTION("REGEXREPLACE(C20278,""-\d+(.*)|--\d+(.*)"","""")"),"TILLY-SUR-MEUSE")</f>
        <v>TILLY-SUR-MEUSE</v>
      </c>
      <c r="E20278" s="38" t="s">
        <v>322</v>
      </c>
      <c r="F20278" s="38" t="s">
        <v>195</v>
      </c>
      <c r="G20278" s="49" t="str">
        <f t="shared" si="1"/>
        <v>55220</v>
      </c>
      <c r="H20278" s="49">
        <f t="shared" si="2"/>
        <v>55512</v>
      </c>
    </row>
    <row r="20279">
      <c r="A20279" s="48" t="s">
        <v>24783</v>
      </c>
      <c r="B20279" s="38">
        <v>44185.0</v>
      </c>
      <c r="C20279" s="38" t="s">
        <v>24784</v>
      </c>
      <c r="D20279" s="38" t="str">
        <f>IFERROR(__xludf.DUMMYFUNCTION("REGEXREPLACE(C20279,""-\d+(.*)|--\d+(.*)"","""")"),"SAINT-NICOLAS-DE-REDON")</f>
        <v>SAINT-NICOLAS-DE-REDON</v>
      </c>
      <c r="E20279" s="38" t="s">
        <v>759</v>
      </c>
      <c r="F20279" s="38" t="s">
        <v>180</v>
      </c>
      <c r="G20279" s="49" t="str">
        <f t="shared" si="1"/>
        <v>44460</v>
      </c>
      <c r="H20279" s="49">
        <f t="shared" si="2"/>
        <v>44185</v>
      </c>
    </row>
    <row r="20280">
      <c r="A20280" s="48" t="s">
        <v>476</v>
      </c>
      <c r="B20280" s="38">
        <v>35186.0</v>
      </c>
      <c r="C20280" s="38" t="s">
        <v>24785</v>
      </c>
      <c r="D20280" s="38" t="str">
        <f>IFERROR(__xludf.DUMMYFUNCTION("REGEXREPLACE(C20280,""-\d+(.*)|--\d+(.*)"","""")"),"MONT-DOL")</f>
        <v>MONT-DOL</v>
      </c>
      <c r="E20280" s="38" t="s">
        <v>347</v>
      </c>
      <c r="F20280" s="38" t="s">
        <v>90</v>
      </c>
      <c r="G20280" s="49" t="str">
        <f t="shared" si="1"/>
        <v>35120</v>
      </c>
      <c r="H20280" s="49">
        <f t="shared" si="2"/>
        <v>35186</v>
      </c>
    </row>
    <row r="20281">
      <c r="A20281" s="48" t="s">
        <v>10965</v>
      </c>
      <c r="B20281" s="38">
        <v>80123.0</v>
      </c>
      <c r="C20281" s="38" t="s">
        <v>24786</v>
      </c>
      <c r="D20281" s="38" t="str">
        <f>IFERROR(__xludf.DUMMYFUNCTION("REGEXREPLACE(C20281,""-\d+(.*)|--\d+(.*)"","""")"),"BOURDON")</f>
        <v>BOURDON</v>
      </c>
      <c r="E20281" s="38" t="s">
        <v>224</v>
      </c>
      <c r="F20281" s="38" t="s">
        <v>113</v>
      </c>
      <c r="G20281" s="49" t="str">
        <f t="shared" si="1"/>
        <v>80310</v>
      </c>
      <c r="H20281" s="49">
        <f t="shared" si="2"/>
        <v>80123</v>
      </c>
    </row>
    <row r="20282">
      <c r="A20282" s="48" t="s">
        <v>1195</v>
      </c>
      <c r="B20282" s="38">
        <v>80159.0</v>
      </c>
      <c r="C20282" s="38" t="s">
        <v>24787</v>
      </c>
      <c r="D20282" s="38" t="str">
        <f>IFERROR(__xludf.DUMMYFUNCTION("REGEXREPLACE(C20282,""-\d+(.*)|--\d+(.*)"","""")"),"CACHY")</f>
        <v>CACHY</v>
      </c>
      <c r="E20282" s="38" t="s">
        <v>224</v>
      </c>
      <c r="F20282" s="38" t="s">
        <v>113</v>
      </c>
      <c r="G20282" s="49" t="str">
        <f t="shared" si="1"/>
        <v>80800</v>
      </c>
      <c r="H20282" s="49">
        <f t="shared" si="2"/>
        <v>80159</v>
      </c>
    </row>
    <row r="20283">
      <c r="A20283" s="48" t="s">
        <v>2176</v>
      </c>
      <c r="B20283" s="38">
        <v>62641.0</v>
      </c>
      <c r="C20283" s="38" t="s">
        <v>24788</v>
      </c>
      <c r="D20283" s="38" t="str">
        <f>IFERROR(__xludf.DUMMYFUNCTION("REGEXREPLACE(C20283,""-\d+(.*)|--\d+(.*)"","""")"),"OSTREVILLE")</f>
        <v>OSTREVILLE</v>
      </c>
      <c r="E20283" s="38" t="s">
        <v>109</v>
      </c>
      <c r="F20283" s="38" t="s">
        <v>86</v>
      </c>
      <c r="G20283" s="49" t="str">
        <f t="shared" si="1"/>
        <v>62130</v>
      </c>
      <c r="H20283" s="49">
        <f t="shared" si="2"/>
        <v>62641</v>
      </c>
    </row>
    <row r="20284">
      <c r="A20284" s="48" t="s">
        <v>7657</v>
      </c>
      <c r="B20284" s="38">
        <v>80491.0</v>
      </c>
      <c r="C20284" s="38" t="s">
        <v>24789</v>
      </c>
      <c r="D20284" s="38" t="str">
        <f>IFERROR(__xludf.DUMMYFUNCTION("REGEXREPLACE(C20284,""-\d+(.*)|--\d+(.*)"","""")"),"LONGUEVILLETTE")</f>
        <v>LONGUEVILLETTE</v>
      </c>
      <c r="E20284" s="38" t="s">
        <v>224</v>
      </c>
      <c r="F20284" s="38" t="s">
        <v>113</v>
      </c>
      <c r="G20284" s="49" t="str">
        <f t="shared" si="1"/>
        <v>80600</v>
      </c>
      <c r="H20284" s="49">
        <f t="shared" si="2"/>
        <v>80491</v>
      </c>
    </row>
    <row r="20285">
      <c r="A20285" s="48" t="s">
        <v>9769</v>
      </c>
      <c r="B20285" s="38">
        <v>46090.0</v>
      </c>
      <c r="C20285" s="38" t="s">
        <v>24790</v>
      </c>
      <c r="D20285" s="38" t="str">
        <f>IFERROR(__xludf.DUMMYFUNCTION("REGEXREPLACE(C20285,""-\d+(.*)|--\d+(.*)"","""")"),"DURBANS")</f>
        <v>DURBANS</v>
      </c>
      <c r="E20285" s="38" t="s">
        <v>185</v>
      </c>
      <c r="F20285" s="38" t="s">
        <v>94</v>
      </c>
      <c r="G20285" s="49" t="str">
        <f t="shared" si="1"/>
        <v>46320</v>
      </c>
      <c r="H20285" s="49">
        <f t="shared" si="2"/>
        <v>46090</v>
      </c>
    </row>
    <row r="20286">
      <c r="A20286" s="48" t="s">
        <v>24791</v>
      </c>
      <c r="B20286" s="38">
        <v>85089.0</v>
      </c>
      <c r="C20286" s="38" t="s">
        <v>2908</v>
      </c>
      <c r="D20286" s="38" t="str">
        <f>IFERROR(__xludf.DUMMYFUNCTION("REGEXREPLACE(C20286,""-\d+(.*)|--\d+(.*)"","""")"),"LA FERRIERE")</f>
        <v>LA FERRIERE</v>
      </c>
      <c r="E20286" s="38" t="s">
        <v>179</v>
      </c>
      <c r="F20286" s="38" t="s">
        <v>180</v>
      </c>
      <c r="G20286" s="49" t="str">
        <f t="shared" si="1"/>
        <v>85280</v>
      </c>
      <c r="H20286" s="49">
        <f t="shared" si="2"/>
        <v>85089</v>
      </c>
    </row>
    <row r="20287">
      <c r="A20287" s="48" t="s">
        <v>24792</v>
      </c>
      <c r="B20287" s="38">
        <v>85166.0</v>
      </c>
      <c r="C20287" s="38" t="s">
        <v>24793</v>
      </c>
      <c r="D20287" s="38" t="str">
        <f>IFERROR(__xludf.DUMMYFUNCTION("REGEXREPLACE(C20287,""-\d+(.*)|--\d+(.*)"","""")"),"OLONNE-SUR-MER")</f>
        <v>OLONNE-SUR-MER</v>
      </c>
      <c r="E20287" s="38" t="s">
        <v>179</v>
      </c>
      <c r="F20287" s="38" t="s">
        <v>180</v>
      </c>
      <c r="G20287" s="49" t="str">
        <f t="shared" si="1"/>
        <v>85340</v>
      </c>
      <c r="H20287" s="49">
        <f t="shared" si="2"/>
        <v>85166</v>
      </c>
    </row>
    <row r="20288">
      <c r="A20288" s="48" t="s">
        <v>3548</v>
      </c>
      <c r="B20288" s="38">
        <v>95094.0</v>
      </c>
      <c r="C20288" s="38" t="s">
        <v>24794</v>
      </c>
      <c r="D20288" s="38" t="str">
        <f>IFERROR(__xludf.DUMMYFUNCTION("REGEXREPLACE(C20288,""-\d+(.*)|--\d+(.*)"","""")"),"BOUQUEVAL")</f>
        <v>BOUQUEVAL</v>
      </c>
      <c r="E20288" s="38" t="s">
        <v>541</v>
      </c>
      <c r="F20288" s="38" t="s">
        <v>245</v>
      </c>
      <c r="G20288" s="49" t="str">
        <f t="shared" si="1"/>
        <v>95720</v>
      </c>
      <c r="H20288" s="49">
        <f t="shared" si="2"/>
        <v>95094</v>
      </c>
    </row>
    <row r="20289">
      <c r="A20289" s="48" t="s">
        <v>4646</v>
      </c>
      <c r="B20289" s="38">
        <v>79278.0</v>
      </c>
      <c r="C20289" s="38" t="s">
        <v>24500</v>
      </c>
      <c r="D20289" s="38" t="str">
        <f>IFERROR(__xludf.DUMMYFUNCTION("REGEXREPLACE(C20289,""-\d+(.*)|--\d+(.*)"","""")"),"SAINT-MARTIN-DU-FOUILLOUX")</f>
        <v>SAINT-MARTIN-DU-FOUILLOUX</v>
      </c>
      <c r="E20289" s="38" t="s">
        <v>337</v>
      </c>
      <c r="F20289" s="38" t="s">
        <v>338</v>
      </c>
      <c r="G20289" s="49" t="str">
        <f t="shared" si="1"/>
        <v>79420</v>
      </c>
      <c r="H20289" s="49">
        <f t="shared" si="2"/>
        <v>79278</v>
      </c>
    </row>
    <row r="20290">
      <c r="A20290" s="48" t="s">
        <v>436</v>
      </c>
      <c r="B20290" s="38">
        <v>51080.0</v>
      </c>
      <c r="C20290" s="38" t="s">
        <v>24795</v>
      </c>
      <c r="D20290" s="38" t="str">
        <f>IFERROR(__xludf.DUMMYFUNCTION("REGEXREPLACE(C20290,""-\d+(.*)|--\d+(.*)"","""")"),"BRANDONVILLERS")</f>
        <v>BRANDONVILLERS</v>
      </c>
      <c r="E20290" s="38" t="s">
        <v>129</v>
      </c>
      <c r="F20290" s="38" t="s">
        <v>130</v>
      </c>
      <c r="G20290" s="49" t="str">
        <f t="shared" si="1"/>
        <v>51290</v>
      </c>
      <c r="H20290" s="49">
        <f t="shared" si="2"/>
        <v>51080</v>
      </c>
    </row>
    <row r="20291">
      <c r="A20291" s="48" t="s">
        <v>4283</v>
      </c>
      <c r="B20291" s="38">
        <v>7234.0</v>
      </c>
      <c r="C20291" s="38" t="s">
        <v>24796</v>
      </c>
      <c r="D20291" s="38" t="str">
        <f>IFERROR(__xludf.DUMMYFUNCTION("REGEXREPLACE(C20291,""-\d+(.*)|--\d+(.*)"","""")"),"SAINT-ETIENNE-DE-VALOUX")</f>
        <v>SAINT-ETIENNE-DE-VALOUX</v>
      </c>
      <c r="E20291" s="38" t="s">
        <v>144</v>
      </c>
      <c r="F20291" s="38" t="s">
        <v>102</v>
      </c>
      <c r="G20291" s="49" t="str">
        <f t="shared" si="1"/>
        <v>07340</v>
      </c>
      <c r="H20291" s="49" t="str">
        <f t="shared" si="2"/>
        <v>07234</v>
      </c>
    </row>
    <row r="20292">
      <c r="A20292" s="48" t="s">
        <v>7210</v>
      </c>
      <c r="B20292" s="38">
        <v>57269.0</v>
      </c>
      <c r="C20292" s="38" t="s">
        <v>24797</v>
      </c>
      <c r="D20292" s="38" t="str">
        <f>IFERROR(__xludf.DUMMYFUNCTION("REGEXREPLACE(C20292,""-\d+(.*)|--\d+(.*)"","""")"),"GUENANGE")</f>
        <v>GUENANGE</v>
      </c>
      <c r="E20292" s="38" t="s">
        <v>303</v>
      </c>
      <c r="F20292" s="38" t="s">
        <v>195</v>
      </c>
      <c r="G20292" s="49" t="str">
        <f t="shared" si="1"/>
        <v>57310</v>
      </c>
      <c r="H20292" s="49">
        <f t="shared" si="2"/>
        <v>57269</v>
      </c>
    </row>
    <row r="20293">
      <c r="A20293" s="48" t="s">
        <v>828</v>
      </c>
      <c r="B20293" s="38">
        <v>86183.0</v>
      </c>
      <c r="C20293" s="38" t="s">
        <v>24798</v>
      </c>
      <c r="D20293" s="38" t="str">
        <f>IFERROR(__xludf.DUMMYFUNCTION("REGEXREPLACE(C20293,""-\d+(.*)|--\d+(.*)"","""")"),"LES ORMES")</f>
        <v>LES ORMES</v>
      </c>
      <c r="E20293" s="38" t="s">
        <v>529</v>
      </c>
      <c r="F20293" s="38" t="s">
        <v>338</v>
      </c>
      <c r="G20293" s="49" t="str">
        <f t="shared" si="1"/>
        <v>86220</v>
      </c>
      <c r="H20293" s="49">
        <f t="shared" si="2"/>
        <v>86183</v>
      </c>
    </row>
    <row r="20294">
      <c r="A20294" s="48" t="s">
        <v>624</v>
      </c>
      <c r="B20294" s="38">
        <v>67436.0</v>
      </c>
      <c r="C20294" s="38" t="s">
        <v>24799</v>
      </c>
      <c r="D20294" s="38" t="str">
        <f>IFERROR(__xludf.DUMMYFUNCTION("REGEXREPLACE(C20294,""-\d+(.*)|--\d+(.*)"","""")"),"SAULXURES")</f>
        <v>SAULXURES</v>
      </c>
      <c r="E20294" s="38" t="s">
        <v>210</v>
      </c>
      <c r="F20294" s="38" t="s">
        <v>151</v>
      </c>
      <c r="G20294" s="49" t="str">
        <f t="shared" si="1"/>
        <v>67420</v>
      </c>
      <c r="H20294" s="49">
        <f t="shared" si="2"/>
        <v>67436</v>
      </c>
    </row>
    <row r="20295">
      <c r="A20295" s="48" t="s">
        <v>539</v>
      </c>
      <c r="B20295" s="38">
        <v>95280.0</v>
      </c>
      <c r="C20295" s="38" t="s">
        <v>6735</v>
      </c>
      <c r="D20295" s="38" t="str">
        <f>IFERROR(__xludf.DUMMYFUNCTION("REGEXREPLACE(C20295,""-\d+(.*)|--\d+(.*)"","""")"),"GOUSSAINVILLE")</f>
        <v>GOUSSAINVILLE</v>
      </c>
      <c r="E20295" s="38" t="s">
        <v>541</v>
      </c>
      <c r="F20295" s="38" t="s">
        <v>245</v>
      </c>
      <c r="G20295" s="49" t="str">
        <f t="shared" si="1"/>
        <v>95190</v>
      </c>
      <c r="H20295" s="49">
        <f t="shared" si="2"/>
        <v>95280</v>
      </c>
    </row>
    <row r="20296">
      <c r="A20296" s="48" t="s">
        <v>1754</v>
      </c>
      <c r="B20296" s="38">
        <v>14058.0</v>
      </c>
      <c r="C20296" s="38" t="s">
        <v>24800</v>
      </c>
      <c r="D20296" s="38" t="str">
        <f>IFERROR(__xludf.DUMMYFUNCTION("REGEXREPLACE(C20296,""-\d+(.*)|--\d+(.*)"","""")"),"BELLOU")</f>
        <v>BELLOU</v>
      </c>
      <c r="E20296" s="38" t="s">
        <v>137</v>
      </c>
      <c r="F20296" s="38" t="s">
        <v>138</v>
      </c>
      <c r="G20296" s="49" t="str">
        <f t="shared" si="1"/>
        <v>14140</v>
      </c>
      <c r="H20296" s="49">
        <f t="shared" si="2"/>
        <v>14058</v>
      </c>
    </row>
    <row r="20297">
      <c r="A20297" s="48" t="s">
        <v>580</v>
      </c>
      <c r="B20297" s="38">
        <v>31524.0</v>
      </c>
      <c r="C20297" s="38" t="s">
        <v>24801</v>
      </c>
      <c r="D20297" s="38" t="str">
        <f>IFERROR(__xludf.DUMMYFUNCTION("REGEXREPLACE(C20297,""-\d+(.*)|--\d+(.*)"","""")"),"SALLES-ET-PRATVIEL")</f>
        <v>SALLES-ET-PRATVIEL</v>
      </c>
      <c r="E20297" s="38" t="s">
        <v>93</v>
      </c>
      <c r="F20297" s="38" t="s">
        <v>94</v>
      </c>
      <c r="G20297" s="49" t="str">
        <f t="shared" si="1"/>
        <v>31110</v>
      </c>
      <c r="H20297" s="49">
        <f t="shared" si="2"/>
        <v>31524</v>
      </c>
    </row>
    <row r="20298">
      <c r="A20298" s="48" t="s">
        <v>5756</v>
      </c>
      <c r="B20298" s="38">
        <v>33433.0</v>
      </c>
      <c r="C20298" s="38" t="s">
        <v>24802</v>
      </c>
      <c r="D20298" s="38" t="str">
        <f>IFERROR(__xludf.DUMMYFUNCTION("REGEXREPLACE(C20298,""-\d+(.*)|--\d+(.*)"","""")"),"SAINT-LOUBES")</f>
        <v>SAINT-LOUBES</v>
      </c>
      <c r="E20298" s="38" t="s">
        <v>462</v>
      </c>
      <c r="F20298" s="38" t="s">
        <v>252</v>
      </c>
      <c r="G20298" s="49" t="str">
        <f t="shared" si="1"/>
        <v>33450</v>
      </c>
      <c r="H20298" s="49">
        <f t="shared" si="2"/>
        <v>33433</v>
      </c>
    </row>
    <row r="20299">
      <c r="A20299" s="48" t="s">
        <v>698</v>
      </c>
      <c r="B20299" s="38">
        <v>11387.0</v>
      </c>
      <c r="C20299" s="38" t="s">
        <v>24803</v>
      </c>
      <c r="D20299" s="38" t="str">
        <f>IFERROR(__xludf.DUMMYFUNCTION("REGEXREPLACE(C20299,""-\d+(.*)|--\d+(.*)"","""")"),"TAURIZE")</f>
        <v>TAURIZE</v>
      </c>
      <c r="E20299" s="38" t="s">
        <v>278</v>
      </c>
      <c r="F20299" s="38" t="s">
        <v>119</v>
      </c>
      <c r="G20299" s="49" t="str">
        <f t="shared" si="1"/>
        <v>11220</v>
      </c>
      <c r="H20299" s="49">
        <f t="shared" si="2"/>
        <v>11387</v>
      </c>
    </row>
    <row r="20300">
      <c r="A20300" s="48" t="s">
        <v>781</v>
      </c>
      <c r="B20300" s="38">
        <v>65415.0</v>
      </c>
      <c r="C20300" s="38" t="s">
        <v>24804</v>
      </c>
      <c r="D20300" s="38" t="str">
        <f>IFERROR(__xludf.DUMMYFUNCTION("REGEXREPLACE(C20300,""-\d+(.*)|--\d+(.*)"","""")"),"SEGUS")</f>
        <v>SEGUS</v>
      </c>
      <c r="E20300" s="38" t="s">
        <v>200</v>
      </c>
      <c r="F20300" s="38" t="s">
        <v>94</v>
      </c>
      <c r="G20300" s="49" t="str">
        <f t="shared" si="1"/>
        <v>65100</v>
      </c>
      <c r="H20300" s="49">
        <f t="shared" si="2"/>
        <v>65415</v>
      </c>
    </row>
    <row r="20301">
      <c r="A20301" s="48" t="s">
        <v>116</v>
      </c>
      <c r="B20301" s="38">
        <v>34230.0</v>
      </c>
      <c r="C20301" s="38" t="s">
        <v>24805</v>
      </c>
      <c r="D20301" s="38" t="str">
        <f>IFERROR(__xludf.DUMMYFUNCTION("REGEXREPLACE(C20301,""-\d+(.*)|--\d+(.*)"","""")"),"LES RIVES")</f>
        <v>LES RIVES</v>
      </c>
      <c r="E20301" s="38" t="s">
        <v>118</v>
      </c>
      <c r="F20301" s="38" t="s">
        <v>119</v>
      </c>
      <c r="G20301" s="49" t="str">
        <f t="shared" si="1"/>
        <v>34520</v>
      </c>
      <c r="H20301" s="49">
        <f t="shared" si="2"/>
        <v>34230</v>
      </c>
    </row>
    <row r="20302">
      <c r="A20302" s="48" t="s">
        <v>4898</v>
      </c>
      <c r="B20302" s="38">
        <v>27058.0</v>
      </c>
      <c r="C20302" s="38" t="s">
        <v>24806</v>
      </c>
      <c r="D20302" s="38" t="str">
        <f>IFERROR(__xludf.DUMMYFUNCTION("REGEXREPLACE(C20302,""-\d+(.*)|--\d+(.*)"","""")"),"BERNIERES-SUR-SEINE")</f>
        <v>BERNIERES-SUR-SEINE</v>
      </c>
      <c r="E20302" s="38" t="s">
        <v>241</v>
      </c>
      <c r="F20302" s="38" t="s">
        <v>134</v>
      </c>
      <c r="G20302" s="49" t="str">
        <f t="shared" si="1"/>
        <v>27700</v>
      </c>
      <c r="H20302" s="49">
        <f t="shared" si="2"/>
        <v>27058</v>
      </c>
    </row>
    <row r="20303">
      <c r="A20303" s="48" t="s">
        <v>4706</v>
      </c>
      <c r="B20303" s="38">
        <v>74308.0</v>
      </c>
      <c r="C20303" s="38" t="s">
        <v>24807</v>
      </c>
      <c r="D20303" s="38" t="str">
        <f>IFERROR(__xludf.DUMMYFUNCTION("REGEXREPLACE(C20303,""-\d+(.*)|--\d+(.*)"","""")"),"VINZIER")</f>
        <v>VINZIER</v>
      </c>
      <c r="E20303" s="38" t="s">
        <v>319</v>
      </c>
      <c r="F20303" s="38" t="s">
        <v>102</v>
      </c>
      <c r="G20303" s="49" t="str">
        <f t="shared" si="1"/>
        <v>74500</v>
      </c>
      <c r="H20303" s="49">
        <f t="shared" si="2"/>
        <v>74308</v>
      </c>
    </row>
    <row r="20304">
      <c r="A20304" s="48" t="s">
        <v>1042</v>
      </c>
      <c r="B20304" s="38">
        <v>60238.0</v>
      </c>
      <c r="C20304" s="38" t="s">
        <v>24808</v>
      </c>
      <c r="D20304" s="38" t="str">
        <f>IFERROR(__xludf.DUMMYFUNCTION("REGEXREPLACE(C20304,""-\d+(.*)|--\d+(.*)"","""")"),"FLEURINES")</f>
        <v>FLEURINES</v>
      </c>
      <c r="E20304" s="38" t="s">
        <v>112</v>
      </c>
      <c r="F20304" s="38" t="s">
        <v>113</v>
      </c>
      <c r="G20304" s="49" t="str">
        <f t="shared" si="1"/>
        <v>60700</v>
      </c>
      <c r="H20304" s="49">
        <f t="shared" si="2"/>
        <v>60238</v>
      </c>
    </row>
    <row r="20305">
      <c r="A20305" s="48" t="s">
        <v>5570</v>
      </c>
      <c r="B20305" s="38">
        <v>59519.0</v>
      </c>
      <c r="C20305" s="38" t="s">
        <v>24809</v>
      </c>
      <c r="D20305" s="38" t="str">
        <f>IFERROR(__xludf.DUMMYFUNCTION("REGEXREPLACE(C20305,""-\d+(.*)|--\d+(.*)"","""")"),"RUMEGIES")</f>
        <v>RUMEGIES</v>
      </c>
      <c r="E20305" s="38" t="s">
        <v>85</v>
      </c>
      <c r="F20305" s="38" t="s">
        <v>86</v>
      </c>
      <c r="G20305" s="49" t="str">
        <f t="shared" si="1"/>
        <v>59226</v>
      </c>
      <c r="H20305" s="49">
        <f t="shared" si="2"/>
        <v>59519</v>
      </c>
    </row>
    <row r="20306">
      <c r="A20306" s="48" t="s">
        <v>489</v>
      </c>
      <c r="B20306" s="38">
        <v>9265.0</v>
      </c>
      <c r="C20306" s="38" t="s">
        <v>24810</v>
      </c>
      <c r="D20306" s="38" t="str">
        <f>IFERROR(__xludf.DUMMYFUNCTION("REGEXREPLACE(C20306,""-\d+(.*)|--\d+(.*)"","""")"),"SAINT-JEAN-DU-FALGA")</f>
        <v>SAINT-JEAN-DU-FALGA</v>
      </c>
      <c r="E20306" s="38" t="s">
        <v>238</v>
      </c>
      <c r="F20306" s="38" t="s">
        <v>94</v>
      </c>
      <c r="G20306" s="49" t="str">
        <f t="shared" si="1"/>
        <v>09100</v>
      </c>
      <c r="H20306" s="49" t="str">
        <f t="shared" si="2"/>
        <v>09265</v>
      </c>
    </row>
    <row r="20307">
      <c r="A20307" s="48" t="s">
        <v>8221</v>
      </c>
      <c r="B20307" s="38">
        <v>32235.0</v>
      </c>
      <c r="C20307" s="38" t="s">
        <v>24811</v>
      </c>
      <c r="D20307" s="38" t="str">
        <f>IFERROR(__xludf.DUMMYFUNCTION("REGEXREPLACE(C20307,""-\d+(.*)|--\d+(.*)"","""")"),"MARGOUET-MEYMES")</f>
        <v>MARGOUET-MEYMES</v>
      </c>
      <c r="E20307" s="38" t="s">
        <v>440</v>
      </c>
      <c r="F20307" s="38" t="s">
        <v>94</v>
      </c>
      <c r="G20307" s="49" t="str">
        <f t="shared" si="1"/>
        <v>32290</v>
      </c>
      <c r="H20307" s="49">
        <f t="shared" si="2"/>
        <v>32235</v>
      </c>
    </row>
    <row r="20308">
      <c r="A20308" s="48" t="s">
        <v>2055</v>
      </c>
      <c r="B20308" s="38">
        <v>4162.0</v>
      </c>
      <c r="C20308" s="38" t="s">
        <v>24812</v>
      </c>
      <c r="D20308" s="38" t="str">
        <f>IFERROR(__xludf.DUMMYFUNCTION("REGEXREPLACE(C20308,""-\d+(.*)|--\d+(.*)"","""")"),"REVEST-DES-BROUSSES")</f>
        <v>REVEST-DES-BROUSSES</v>
      </c>
      <c r="E20308" s="38" t="s">
        <v>662</v>
      </c>
      <c r="F20308" s="38" t="s">
        <v>228</v>
      </c>
      <c r="G20308" s="49" t="str">
        <f t="shared" si="1"/>
        <v>04150</v>
      </c>
      <c r="H20308" s="49" t="str">
        <f t="shared" si="2"/>
        <v>04162</v>
      </c>
    </row>
    <row r="20309">
      <c r="A20309" s="48" t="s">
        <v>24813</v>
      </c>
      <c r="B20309" s="38">
        <v>34270.0</v>
      </c>
      <c r="C20309" s="38" t="s">
        <v>24814</v>
      </c>
      <c r="D20309" s="38" t="str">
        <f>IFERROR(__xludf.DUMMYFUNCTION("REGEXREPLACE(C20309,""-\d+(.*)|--\d+(.*)"","""")"),"SAINT-JEAN-DE-VEDAS")</f>
        <v>SAINT-JEAN-DE-VEDAS</v>
      </c>
      <c r="E20309" s="38" t="s">
        <v>118</v>
      </c>
      <c r="F20309" s="38" t="s">
        <v>119</v>
      </c>
      <c r="G20309" s="49" t="str">
        <f t="shared" si="1"/>
        <v>34430</v>
      </c>
      <c r="H20309" s="49">
        <f t="shared" si="2"/>
        <v>34270</v>
      </c>
    </row>
    <row r="20310">
      <c r="A20310" s="48" t="s">
        <v>8757</v>
      </c>
      <c r="B20310" s="38">
        <v>84145.0</v>
      </c>
      <c r="C20310" s="38" t="s">
        <v>12657</v>
      </c>
      <c r="D20310" s="38" t="str">
        <f>IFERROR(__xludf.DUMMYFUNCTION("REGEXREPLACE(C20310,""-\d+(.*)|--\d+(.*)"","""")"),"VILLARS")</f>
        <v>VILLARS</v>
      </c>
      <c r="E20310" s="38" t="s">
        <v>1026</v>
      </c>
      <c r="F20310" s="38" t="s">
        <v>228</v>
      </c>
      <c r="G20310" s="49" t="str">
        <f t="shared" si="1"/>
        <v>84400</v>
      </c>
      <c r="H20310" s="49">
        <f t="shared" si="2"/>
        <v>84145</v>
      </c>
    </row>
    <row r="20311">
      <c r="A20311" s="48" t="s">
        <v>12589</v>
      </c>
      <c r="B20311" s="38">
        <v>1284.0</v>
      </c>
      <c r="C20311" s="38" t="s">
        <v>24815</v>
      </c>
      <c r="D20311" s="38" t="str">
        <f>IFERROR(__xludf.DUMMYFUNCTION("REGEXREPLACE(C20311,""-\d+(.*)|--\d+(.*)"","""")"),"OZAN")</f>
        <v>OZAN</v>
      </c>
      <c r="E20311" s="38" t="s">
        <v>255</v>
      </c>
      <c r="F20311" s="38" t="s">
        <v>102</v>
      </c>
      <c r="G20311" s="49" t="str">
        <f t="shared" si="1"/>
        <v>01190</v>
      </c>
      <c r="H20311" s="49" t="str">
        <f t="shared" si="2"/>
        <v>01284</v>
      </c>
    </row>
    <row r="20312">
      <c r="A20312" s="48" t="s">
        <v>13185</v>
      </c>
      <c r="B20312" s="38">
        <v>60432.0</v>
      </c>
      <c r="C20312" s="38" t="s">
        <v>7668</v>
      </c>
      <c r="D20312" s="38" t="str">
        <f>IFERROR(__xludf.DUMMYFUNCTION("REGEXREPLACE(C20312,""-\d+(.*)|--\d+(.*)"","""")"),"MORTEFONTAINE")</f>
        <v>MORTEFONTAINE</v>
      </c>
      <c r="E20312" s="38" t="s">
        <v>112</v>
      </c>
      <c r="F20312" s="38" t="s">
        <v>113</v>
      </c>
      <c r="G20312" s="49" t="str">
        <f t="shared" si="1"/>
        <v>60128</v>
      </c>
      <c r="H20312" s="49">
        <f t="shared" si="2"/>
        <v>60432</v>
      </c>
    </row>
    <row r="20313">
      <c r="A20313" s="48" t="s">
        <v>8577</v>
      </c>
      <c r="B20313" s="38">
        <v>3244.0</v>
      </c>
      <c r="C20313" s="38" t="s">
        <v>24816</v>
      </c>
      <c r="D20313" s="38" t="str">
        <f>IFERROR(__xludf.DUMMYFUNCTION("REGEXREPLACE(C20313,""-\d+(.*)|--\d+(.*)"","""")"),"SAINT-MARCEL-EN-MARCILLAT")</f>
        <v>SAINT-MARCEL-EN-MARCILLAT</v>
      </c>
      <c r="E20313" s="38" t="s">
        <v>160</v>
      </c>
      <c r="F20313" s="38" t="s">
        <v>161</v>
      </c>
      <c r="G20313" s="49" t="str">
        <f t="shared" si="1"/>
        <v>03420</v>
      </c>
      <c r="H20313" s="49" t="str">
        <f t="shared" si="2"/>
        <v>03244</v>
      </c>
    </row>
    <row r="20314">
      <c r="A20314" s="48" t="s">
        <v>171</v>
      </c>
      <c r="B20314" s="38">
        <v>56228.0</v>
      </c>
      <c r="C20314" s="38" t="s">
        <v>7456</v>
      </c>
      <c r="D20314" s="38" t="str">
        <f>IFERROR(__xludf.DUMMYFUNCTION("REGEXREPLACE(C20314,""-\d+(.*)|--\d+(.*)"","""")"),"SAINT-MARCEL")</f>
        <v>SAINT-MARCEL</v>
      </c>
      <c r="E20314" s="38" t="s">
        <v>173</v>
      </c>
      <c r="F20314" s="38" t="s">
        <v>90</v>
      </c>
      <c r="G20314" s="49" t="str">
        <f t="shared" si="1"/>
        <v>56140</v>
      </c>
      <c r="H20314" s="49">
        <f t="shared" si="2"/>
        <v>56228</v>
      </c>
    </row>
    <row r="20315">
      <c r="A20315" s="48" t="s">
        <v>1686</v>
      </c>
      <c r="B20315" s="38">
        <v>51121.0</v>
      </c>
      <c r="C20315" s="38" t="s">
        <v>24817</v>
      </c>
      <c r="D20315" s="38" t="str">
        <f>IFERROR(__xludf.DUMMYFUNCTION("REGEXREPLACE(C20315,""-\d+(.*)|--\d+(.*)"","""")"),"CHAMPVOISY")</f>
        <v>CHAMPVOISY</v>
      </c>
      <c r="E20315" s="38" t="s">
        <v>129</v>
      </c>
      <c r="F20315" s="38" t="s">
        <v>130</v>
      </c>
      <c r="G20315" s="49" t="str">
        <f t="shared" si="1"/>
        <v>51700</v>
      </c>
      <c r="H20315" s="49">
        <f t="shared" si="2"/>
        <v>51121</v>
      </c>
    </row>
    <row r="20316">
      <c r="A20316" s="48" t="s">
        <v>3729</v>
      </c>
      <c r="B20316" s="38">
        <v>32331.0</v>
      </c>
      <c r="C20316" s="38" t="s">
        <v>24818</v>
      </c>
      <c r="D20316" s="38" t="str">
        <f>IFERROR(__xludf.DUMMYFUNCTION("REGEXREPLACE(C20316,""-\d+(.*)|--\d+(.*)"","""")"),"PREIGNAN")</f>
        <v>PREIGNAN</v>
      </c>
      <c r="E20316" s="38" t="s">
        <v>440</v>
      </c>
      <c r="F20316" s="38" t="s">
        <v>94</v>
      </c>
      <c r="G20316" s="49" t="str">
        <f t="shared" si="1"/>
        <v>32810</v>
      </c>
      <c r="H20316" s="49">
        <f t="shared" si="2"/>
        <v>32331</v>
      </c>
    </row>
    <row r="20317">
      <c r="A20317" s="48" t="s">
        <v>509</v>
      </c>
      <c r="B20317" s="38">
        <v>28276.0</v>
      </c>
      <c r="C20317" s="38" t="s">
        <v>24819</v>
      </c>
      <c r="D20317" s="38" t="str">
        <f>IFERROR(__xludf.DUMMYFUNCTION("REGEXREPLACE(C20317,""-\d+(.*)|--\d+(.*)"","""")"),"NEUVY-EN-BEAUCE")</f>
        <v>NEUVY-EN-BEAUCE</v>
      </c>
      <c r="E20317" s="38" t="s">
        <v>300</v>
      </c>
      <c r="F20317" s="38" t="s">
        <v>123</v>
      </c>
      <c r="G20317" s="49" t="str">
        <f t="shared" si="1"/>
        <v>28310</v>
      </c>
      <c r="H20317" s="49">
        <f t="shared" si="2"/>
        <v>28276</v>
      </c>
    </row>
    <row r="20318">
      <c r="A20318" s="48" t="s">
        <v>3366</v>
      </c>
      <c r="B20318" s="38">
        <v>47024.0</v>
      </c>
      <c r="C20318" s="38" t="s">
        <v>19419</v>
      </c>
      <c r="D20318" s="38" t="str">
        <f>IFERROR(__xludf.DUMMYFUNCTION("REGEXREPLACE(C20318,""-\d+(.*)|--\d+(.*)"","""")"),"BEAUPUY")</f>
        <v>BEAUPUY</v>
      </c>
      <c r="E20318" s="38" t="s">
        <v>251</v>
      </c>
      <c r="F20318" s="38" t="s">
        <v>252</v>
      </c>
      <c r="G20318" s="49" t="str">
        <f t="shared" si="1"/>
        <v>47200</v>
      </c>
      <c r="H20318" s="49">
        <f t="shared" si="2"/>
        <v>47024</v>
      </c>
    </row>
    <row r="20319">
      <c r="A20319" s="48" t="s">
        <v>773</v>
      </c>
      <c r="B20319" s="38">
        <v>27190.0</v>
      </c>
      <c r="C20319" s="38" t="s">
        <v>24820</v>
      </c>
      <c r="D20319" s="38" t="str">
        <f>IFERROR(__xludf.DUMMYFUNCTION("REGEXREPLACE(C20319,""-\d+(.*)|--\d+(.*)"","""")"),"CROISY-SUR-EURE")</f>
        <v>CROISY-SUR-EURE</v>
      </c>
      <c r="E20319" s="38" t="s">
        <v>241</v>
      </c>
      <c r="F20319" s="38" t="s">
        <v>134</v>
      </c>
      <c r="G20319" s="49" t="str">
        <f t="shared" si="1"/>
        <v>27120</v>
      </c>
      <c r="H20319" s="49">
        <f t="shared" si="2"/>
        <v>27190</v>
      </c>
    </row>
    <row r="20320">
      <c r="A20320" s="48" t="s">
        <v>14904</v>
      </c>
      <c r="B20320" s="38">
        <v>68314.0</v>
      </c>
      <c r="C20320" s="38" t="s">
        <v>24821</v>
      </c>
      <c r="D20320" s="38" t="str">
        <f>IFERROR(__xludf.DUMMYFUNCTION("REGEXREPLACE(C20320,""-\d+(.*)|--\d+(.*)"","""")"),"SOPPE-LE-HAUT")</f>
        <v>SOPPE-LE-HAUT</v>
      </c>
      <c r="E20320" s="38" t="s">
        <v>150</v>
      </c>
      <c r="F20320" s="38" t="s">
        <v>151</v>
      </c>
      <c r="G20320" s="49" t="str">
        <f t="shared" si="1"/>
        <v>68780</v>
      </c>
      <c r="H20320" s="49">
        <f t="shared" si="2"/>
        <v>68314</v>
      </c>
    </row>
    <row r="20321">
      <c r="A20321" s="48" t="s">
        <v>24822</v>
      </c>
      <c r="B20321" s="38">
        <v>34037.0</v>
      </c>
      <c r="C20321" s="38" t="s">
        <v>24823</v>
      </c>
      <c r="D20321" s="38" t="str">
        <f>IFERROR(__xludf.DUMMYFUNCTION("REGEXREPLACE(C20321,""-\d+(.*)|--\d+(.*)"","""")"),"BOUJAN-SUR-LIBRON")</f>
        <v>BOUJAN-SUR-LIBRON</v>
      </c>
      <c r="E20321" s="38" t="s">
        <v>118</v>
      </c>
      <c r="F20321" s="38" t="s">
        <v>119</v>
      </c>
      <c r="G20321" s="49" t="str">
        <f t="shared" si="1"/>
        <v>34760</v>
      </c>
      <c r="H20321" s="49">
        <f t="shared" si="2"/>
        <v>34037</v>
      </c>
    </row>
    <row r="20322">
      <c r="A20322" s="48" t="s">
        <v>6875</v>
      </c>
      <c r="B20322" s="38">
        <v>2126.0</v>
      </c>
      <c r="C20322" s="38" t="s">
        <v>24824</v>
      </c>
      <c r="D20322" s="38" t="str">
        <f>IFERROR(__xludf.DUMMYFUNCTION("REGEXREPLACE(C20322,""-\d+(.*)|--\d+(.*)"","""")"),"BRUNEHAMEL")</f>
        <v>BRUNEHAMEL</v>
      </c>
      <c r="E20322" s="38" t="s">
        <v>191</v>
      </c>
      <c r="F20322" s="38" t="s">
        <v>113</v>
      </c>
      <c r="G20322" s="49" t="str">
        <f t="shared" si="1"/>
        <v>02360</v>
      </c>
      <c r="H20322" s="49" t="str">
        <f t="shared" si="2"/>
        <v>02126</v>
      </c>
    </row>
    <row r="20323">
      <c r="A20323" s="48" t="s">
        <v>3539</v>
      </c>
      <c r="B20323" s="38">
        <v>54097.0</v>
      </c>
      <c r="C20323" s="38" t="s">
        <v>24825</v>
      </c>
      <c r="D20323" s="38" t="str">
        <f>IFERROR(__xludf.DUMMYFUNCTION("REGEXREPLACE(C20323,""-\d+(.*)|--\d+(.*)"","""")"),"BREMENIL")</f>
        <v>BREMENIL</v>
      </c>
      <c r="E20323" s="38" t="s">
        <v>548</v>
      </c>
      <c r="F20323" s="38" t="s">
        <v>195</v>
      </c>
      <c r="G20323" s="49" t="str">
        <f t="shared" si="1"/>
        <v>54540</v>
      </c>
      <c r="H20323" s="49">
        <f t="shared" si="2"/>
        <v>54097</v>
      </c>
    </row>
    <row r="20324">
      <c r="A20324" s="48" t="s">
        <v>20707</v>
      </c>
      <c r="B20324" s="38">
        <v>33436.0</v>
      </c>
      <c r="C20324" s="38" t="s">
        <v>24826</v>
      </c>
      <c r="D20324" s="38" t="str">
        <f>IFERROR(__xludf.DUMMYFUNCTION("REGEXREPLACE(C20324,""-\d+(.*)|--\d+(.*)"","""")"),"SAINT-MAGNE")</f>
        <v>SAINT-MAGNE</v>
      </c>
      <c r="E20324" s="38" t="s">
        <v>462</v>
      </c>
      <c r="F20324" s="38" t="s">
        <v>252</v>
      </c>
      <c r="G20324" s="49" t="str">
        <f t="shared" si="1"/>
        <v>33125</v>
      </c>
      <c r="H20324" s="49">
        <f t="shared" si="2"/>
        <v>33436</v>
      </c>
    </row>
    <row r="20325">
      <c r="A20325" s="48" t="s">
        <v>1518</v>
      </c>
      <c r="B20325" s="38">
        <v>88518.0</v>
      </c>
      <c r="C20325" s="38" t="s">
        <v>24827</v>
      </c>
      <c r="D20325" s="38" t="str">
        <f>IFERROR(__xludf.DUMMYFUNCTION("REGEXREPLACE(C20325,""-\d+(.*)|--\d+(.*)"","""")"),"VIVIERS-LES-OFFROICOURT")</f>
        <v>VIVIERS-LES-OFFROICOURT</v>
      </c>
      <c r="E20325" s="38" t="s">
        <v>194</v>
      </c>
      <c r="F20325" s="38" t="s">
        <v>195</v>
      </c>
      <c r="G20325" s="49" t="str">
        <f t="shared" si="1"/>
        <v>88500</v>
      </c>
      <c r="H20325" s="49">
        <f t="shared" si="2"/>
        <v>88518</v>
      </c>
    </row>
    <row r="20326">
      <c r="A20326" s="48" t="s">
        <v>3387</v>
      </c>
      <c r="B20326" s="38">
        <v>34240.0</v>
      </c>
      <c r="C20326" s="38" t="s">
        <v>24828</v>
      </c>
      <c r="D20326" s="38" t="str">
        <f>IFERROR(__xludf.DUMMYFUNCTION("REGEXREPLACE(C20326,""-\d+(.*)|--\d+(.*)"","""")"),"SAINT-AUNES")</f>
        <v>SAINT-AUNES</v>
      </c>
      <c r="E20326" s="38" t="s">
        <v>118</v>
      </c>
      <c r="F20326" s="38" t="s">
        <v>119</v>
      </c>
      <c r="G20326" s="49" t="str">
        <f t="shared" si="1"/>
        <v>34130</v>
      </c>
      <c r="H20326" s="49">
        <f t="shared" si="2"/>
        <v>34240</v>
      </c>
    </row>
    <row r="20327">
      <c r="A20327" s="48" t="s">
        <v>2763</v>
      </c>
      <c r="B20327" s="38">
        <v>47196.0</v>
      </c>
      <c r="C20327" s="38" t="s">
        <v>24829</v>
      </c>
      <c r="D20327" s="38" t="str">
        <f>IFERROR(__xludf.DUMMYFUNCTION("REGEXREPLACE(C20327,""-\d+(.*)|--\d+(.*)"","""")"),"NICOLE")</f>
        <v>NICOLE</v>
      </c>
      <c r="E20327" s="38" t="s">
        <v>251</v>
      </c>
      <c r="F20327" s="38" t="s">
        <v>252</v>
      </c>
      <c r="G20327" s="49" t="str">
        <f t="shared" si="1"/>
        <v>47190</v>
      </c>
      <c r="H20327" s="49">
        <f t="shared" si="2"/>
        <v>47196</v>
      </c>
    </row>
    <row r="20328">
      <c r="A20328" s="48" t="s">
        <v>1241</v>
      </c>
      <c r="B20328" s="38">
        <v>71247.0</v>
      </c>
      <c r="C20328" s="38" t="s">
        <v>24830</v>
      </c>
      <c r="D20328" s="38" t="str">
        <f>IFERROR(__xludf.DUMMYFUNCTION("REGEXREPLACE(C20328,""-\d+(.*)|--\d+(.*)"","""")"),"JULLY-LES-BUXY")</f>
        <v>JULLY-LES-BUXY</v>
      </c>
      <c r="E20328" s="38" t="s">
        <v>344</v>
      </c>
      <c r="F20328" s="38" t="s">
        <v>106</v>
      </c>
      <c r="G20328" s="49" t="str">
        <f t="shared" si="1"/>
        <v>71390</v>
      </c>
      <c r="H20328" s="49">
        <f t="shared" si="2"/>
        <v>71247</v>
      </c>
    </row>
    <row r="20329">
      <c r="A20329" s="48" t="s">
        <v>746</v>
      </c>
      <c r="B20329" s="38">
        <v>76673.0</v>
      </c>
      <c r="C20329" s="38" t="s">
        <v>24831</v>
      </c>
      <c r="D20329" s="38" t="str">
        <f>IFERROR(__xludf.DUMMYFUNCTION("REGEXREPLACE(C20329,""-\d+(.*)|--\d+(.*)"","""")"),"SERVAVILLE-SALMONVILLE")</f>
        <v>SERVAVILLE-SALMONVILLE</v>
      </c>
      <c r="E20329" s="38" t="s">
        <v>133</v>
      </c>
      <c r="F20329" s="38" t="s">
        <v>134</v>
      </c>
      <c r="G20329" s="49" t="str">
        <f t="shared" si="1"/>
        <v>76116</v>
      </c>
      <c r="H20329" s="49">
        <f t="shared" si="2"/>
        <v>76673</v>
      </c>
    </row>
    <row r="20330">
      <c r="A20330" s="48" t="s">
        <v>447</v>
      </c>
      <c r="B20330" s="38">
        <v>88178.0</v>
      </c>
      <c r="C20330" s="38" t="s">
        <v>4495</v>
      </c>
      <c r="D20330" s="38" t="str">
        <f>IFERROR(__xludf.DUMMYFUNCTION("REGEXREPLACE(C20330,""-\d+(.*)|--\d+(.*)"","""")"),"LES FORGES")</f>
        <v>LES FORGES</v>
      </c>
      <c r="E20330" s="38" t="s">
        <v>194</v>
      </c>
      <c r="F20330" s="38" t="s">
        <v>195</v>
      </c>
      <c r="G20330" s="49" t="str">
        <f t="shared" si="1"/>
        <v>88390</v>
      </c>
      <c r="H20330" s="49">
        <f t="shared" si="2"/>
        <v>88178</v>
      </c>
    </row>
    <row r="20331">
      <c r="A20331" s="48" t="s">
        <v>1262</v>
      </c>
      <c r="B20331" s="38">
        <v>11313.0</v>
      </c>
      <c r="C20331" s="38" t="s">
        <v>24832</v>
      </c>
      <c r="D20331" s="38" t="str">
        <f>IFERROR(__xludf.DUMMYFUNCTION("REGEXREPLACE(C20331,""-\d+(.*)|--\d+(.*)"","""")"),"RICAUD")</f>
        <v>RICAUD</v>
      </c>
      <c r="E20331" s="38" t="s">
        <v>278</v>
      </c>
      <c r="F20331" s="38" t="s">
        <v>119</v>
      </c>
      <c r="G20331" s="49" t="str">
        <f t="shared" si="1"/>
        <v>11400</v>
      </c>
      <c r="H20331" s="49">
        <f t="shared" si="2"/>
        <v>11313</v>
      </c>
    </row>
    <row r="20332">
      <c r="A20332" s="48" t="s">
        <v>2141</v>
      </c>
      <c r="B20332" s="38">
        <v>80455.0</v>
      </c>
      <c r="C20332" s="38" t="s">
        <v>2441</v>
      </c>
      <c r="D20332" s="38" t="str">
        <f>IFERROR(__xludf.DUMMYFUNCTION("REGEXREPLACE(C20332,""-\d+(.*)|--\d+(.*)"","""")"),"LACHAPELLE")</f>
        <v>LACHAPELLE</v>
      </c>
      <c r="E20332" s="38" t="s">
        <v>224</v>
      </c>
      <c r="F20332" s="38" t="s">
        <v>113</v>
      </c>
      <c r="G20332" s="49" t="str">
        <f t="shared" si="1"/>
        <v>80290</v>
      </c>
      <c r="H20332" s="49">
        <f t="shared" si="2"/>
        <v>80455</v>
      </c>
    </row>
    <row r="20333">
      <c r="A20333" s="48" t="s">
        <v>10321</v>
      </c>
      <c r="B20333" s="38">
        <v>56074.0</v>
      </c>
      <c r="C20333" s="38" t="s">
        <v>24833</v>
      </c>
      <c r="D20333" s="38" t="str">
        <f>IFERROR(__xludf.DUMMYFUNCTION("REGEXREPLACE(C20333,""-\d+(.*)|--\d+(.*)"","""")"),"GUENIN")</f>
        <v>GUENIN</v>
      </c>
      <c r="E20333" s="38" t="s">
        <v>173</v>
      </c>
      <c r="F20333" s="38" t="s">
        <v>90</v>
      </c>
      <c r="G20333" s="49" t="str">
        <f t="shared" si="1"/>
        <v>56150</v>
      </c>
      <c r="H20333" s="49">
        <f t="shared" si="2"/>
        <v>56074</v>
      </c>
    </row>
    <row r="20334">
      <c r="A20334" s="48" t="s">
        <v>3344</v>
      </c>
      <c r="B20334" s="38">
        <v>76525.0</v>
      </c>
      <c r="C20334" s="38" t="s">
        <v>24834</v>
      </c>
      <c r="D20334" s="38" t="str">
        <f>IFERROR(__xludf.DUMMYFUNCTION("REGEXREPLACE(C20334,""-\d+(.*)|--\d+(.*)"","""")"),"RICARVILLE")</f>
        <v>RICARVILLE</v>
      </c>
      <c r="E20334" s="38" t="s">
        <v>133</v>
      </c>
      <c r="F20334" s="38" t="s">
        <v>134</v>
      </c>
      <c r="G20334" s="49" t="str">
        <f t="shared" si="1"/>
        <v>76640</v>
      </c>
      <c r="H20334" s="49">
        <f t="shared" si="2"/>
        <v>76525</v>
      </c>
    </row>
    <row r="20335">
      <c r="A20335" s="48" t="s">
        <v>580</v>
      </c>
      <c r="B20335" s="38">
        <v>31042.0</v>
      </c>
      <c r="C20335" s="38" t="s">
        <v>24835</v>
      </c>
      <c r="D20335" s="38" t="str">
        <f>IFERROR(__xludf.DUMMYFUNCTION("REGEXREPLACE(C20335,""-\d+(.*)|--\d+(.*)"","""")"),"BAGNERES-DE-LUCHON")</f>
        <v>BAGNERES-DE-LUCHON</v>
      </c>
      <c r="E20335" s="38" t="s">
        <v>93</v>
      </c>
      <c r="F20335" s="38" t="s">
        <v>94</v>
      </c>
      <c r="G20335" s="49" t="str">
        <f t="shared" si="1"/>
        <v>31110</v>
      </c>
      <c r="H20335" s="49">
        <f t="shared" si="2"/>
        <v>31042</v>
      </c>
    </row>
    <row r="20336">
      <c r="A20336" s="48" t="s">
        <v>4292</v>
      </c>
      <c r="B20336" s="38">
        <v>74195.0</v>
      </c>
      <c r="C20336" s="38" t="s">
        <v>24836</v>
      </c>
      <c r="D20336" s="38" t="str">
        <f>IFERROR(__xludf.DUMMYFUNCTION("REGEXREPLACE(C20336,""-\d+(.*)|--\d+(.*)"","""")"),"MUSIEGES")</f>
        <v>MUSIEGES</v>
      </c>
      <c r="E20336" s="38" t="s">
        <v>319</v>
      </c>
      <c r="F20336" s="38" t="s">
        <v>102</v>
      </c>
      <c r="G20336" s="49" t="str">
        <f t="shared" si="1"/>
        <v>74270</v>
      </c>
      <c r="H20336" s="49">
        <f t="shared" si="2"/>
        <v>74195</v>
      </c>
    </row>
    <row r="20337">
      <c r="A20337" s="48" t="s">
        <v>14072</v>
      </c>
      <c r="B20337" s="38">
        <v>71493.0</v>
      </c>
      <c r="C20337" s="38" t="s">
        <v>24837</v>
      </c>
      <c r="D20337" s="38" t="str">
        <f>IFERROR(__xludf.DUMMYFUNCTION("REGEXREPLACE(C20337,""-\d+(.*)|--\d+(.*)"","""")"),"SAISY")</f>
        <v>SAISY</v>
      </c>
      <c r="E20337" s="38" t="s">
        <v>344</v>
      </c>
      <c r="F20337" s="38" t="s">
        <v>106</v>
      </c>
      <c r="G20337" s="49" t="str">
        <f t="shared" si="1"/>
        <v>71360</v>
      </c>
      <c r="H20337" s="49">
        <f t="shared" si="2"/>
        <v>71493</v>
      </c>
    </row>
    <row r="20338">
      <c r="A20338" s="48" t="s">
        <v>3226</v>
      </c>
      <c r="B20338" s="38">
        <v>61287.0</v>
      </c>
      <c r="C20338" s="38" t="s">
        <v>24838</v>
      </c>
      <c r="D20338" s="38" t="str">
        <f>IFERROR(__xludf.DUMMYFUNCTION("REGEXREPLACE(C20338,""-\d+(.*)|--\d+(.*)"","""")"),"MONTILLY-SUR-NOIREAU")</f>
        <v>MONTILLY-SUR-NOIREAU</v>
      </c>
      <c r="E20338" s="38" t="s">
        <v>141</v>
      </c>
      <c r="F20338" s="38" t="s">
        <v>138</v>
      </c>
      <c r="G20338" s="49" t="str">
        <f t="shared" si="1"/>
        <v>61100</v>
      </c>
      <c r="H20338" s="49">
        <f t="shared" si="2"/>
        <v>61287</v>
      </c>
    </row>
    <row r="20339">
      <c r="A20339" s="48" t="s">
        <v>22622</v>
      </c>
      <c r="B20339" s="38">
        <v>42285.0</v>
      </c>
      <c r="C20339" s="38" t="s">
        <v>24839</v>
      </c>
      <c r="D20339" s="38" t="str">
        <f>IFERROR(__xludf.DUMMYFUNCTION("REGEXREPLACE(C20339,""-\d+(.*)|--\d+(.*)"","""")"),"SAINT-ROMAIN-LE-PUY")</f>
        <v>SAINT-ROMAIN-LE-PUY</v>
      </c>
      <c r="E20339" s="38" t="s">
        <v>166</v>
      </c>
      <c r="F20339" s="38" t="s">
        <v>102</v>
      </c>
      <c r="G20339" s="49" t="str">
        <f t="shared" si="1"/>
        <v>42610</v>
      </c>
      <c r="H20339" s="49">
        <f t="shared" si="2"/>
        <v>42285</v>
      </c>
    </row>
    <row r="20340">
      <c r="A20340" s="48" t="s">
        <v>8414</v>
      </c>
      <c r="B20340" s="38">
        <v>60252.0</v>
      </c>
      <c r="C20340" s="38" t="s">
        <v>24840</v>
      </c>
      <c r="D20340" s="38" t="str">
        <f>IFERROR(__xludf.DUMMYFUNCTION("REGEXREPLACE(C20340,""-\d+(.*)|--\d+(.*)"","""")"),"FOURNIVAL")</f>
        <v>FOURNIVAL</v>
      </c>
      <c r="E20340" s="38" t="s">
        <v>112</v>
      </c>
      <c r="F20340" s="38" t="s">
        <v>113</v>
      </c>
      <c r="G20340" s="49" t="str">
        <f t="shared" si="1"/>
        <v>60130</v>
      </c>
      <c r="H20340" s="49">
        <f t="shared" si="2"/>
        <v>60252</v>
      </c>
    </row>
    <row r="20341">
      <c r="A20341" s="48" t="s">
        <v>1360</v>
      </c>
      <c r="B20341" s="38">
        <v>23020.0</v>
      </c>
      <c r="C20341" s="38" t="s">
        <v>24841</v>
      </c>
      <c r="D20341" s="38" t="str">
        <f>IFERROR(__xludf.DUMMYFUNCTION("REGEXREPLACE(C20341,""-\d+(.*)|--\d+(.*)"","""")"),"BELLEGARDE-EN-MARCHE")</f>
        <v>BELLEGARDE-EN-MARCHE</v>
      </c>
      <c r="E20341" s="38" t="s">
        <v>97</v>
      </c>
      <c r="F20341" s="38" t="s">
        <v>98</v>
      </c>
      <c r="G20341" s="49" t="str">
        <f t="shared" si="1"/>
        <v>23190</v>
      </c>
      <c r="H20341" s="49">
        <f t="shared" si="2"/>
        <v>23020</v>
      </c>
    </row>
    <row r="20342">
      <c r="A20342" s="48" t="s">
        <v>5330</v>
      </c>
      <c r="B20342" s="38">
        <v>30330.0</v>
      </c>
      <c r="C20342" s="38" t="s">
        <v>24842</v>
      </c>
      <c r="D20342" s="38" t="str">
        <f>IFERROR(__xludf.DUMMYFUNCTION("REGEXREPLACE(C20342,""-\d+(.*)|--\d+(.*)"","""")"),"TORNAC")</f>
        <v>TORNAC</v>
      </c>
      <c r="E20342" s="38" t="s">
        <v>526</v>
      </c>
      <c r="F20342" s="38" t="s">
        <v>119</v>
      </c>
      <c r="G20342" s="49" t="str">
        <f t="shared" si="1"/>
        <v>30140</v>
      </c>
      <c r="H20342" s="49">
        <f t="shared" si="2"/>
        <v>30330</v>
      </c>
    </row>
    <row r="20343">
      <c r="A20343" s="48" t="s">
        <v>2139</v>
      </c>
      <c r="B20343" s="38">
        <v>72084.0</v>
      </c>
      <c r="C20343" s="38" t="s">
        <v>24843</v>
      </c>
      <c r="D20343" s="38" t="str">
        <f>IFERROR(__xludf.DUMMYFUNCTION("REGEXREPLACE(C20343,""-\d+(.*)|--\d+(.*)"","""")"),"CLERMONT-CREANS")</f>
        <v>CLERMONT-CREANS</v>
      </c>
      <c r="E20343" s="38" t="s">
        <v>521</v>
      </c>
      <c r="F20343" s="38" t="s">
        <v>180</v>
      </c>
      <c r="G20343" s="49" t="str">
        <f t="shared" si="1"/>
        <v>72200</v>
      </c>
      <c r="H20343" s="49">
        <f t="shared" si="2"/>
        <v>72084</v>
      </c>
    </row>
    <row r="20344">
      <c r="A20344" s="48" t="s">
        <v>9218</v>
      </c>
      <c r="B20344" s="38">
        <v>17218.0</v>
      </c>
      <c r="C20344" s="38" t="s">
        <v>22125</v>
      </c>
      <c r="D20344" s="38" t="str">
        <f>IFERROR(__xludf.DUMMYFUNCTION("REGEXREPLACE(C20344,""-\d+(.*)|--\d+(.*)"","""")"),"MARANS")</f>
        <v>MARANS</v>
      </c>
      <c r="E20344" s="38" t="s">
        <v>488</v>
      </c>
      <c r="F20344" s="38" t="s">
        <v>338</v>
      </c>
      <c r="G20344" s="49" t="str">
        <f t="shared" si="1"/>
        <v>17230</v>
      </c>
      <c r="H20344" s="49">
        <f t="shared" si="2"/>
        <v>17218</v>
      </c>
    </row>
    <row r="20345">
      <c r="A20345" s="48" t="s">
        <v>10578</v>
      </c>
      <c r="B20345" s="38">
        <v>79084.0</v>
      </c>
      <c r="C20345" s="38" t="s">
        <v>6127</v>
      </c>
      <c r="D20345" s="38" t="str">
        <f>IFERROR(__xludf.DUMMYFUNCTION("REGEXREPLACE(C20345,""-\d+(.*)|--\d+(.*)"","""")"),"CHENAY")</f>
        <v>CHENAY</v>
      </c>
      <c r="E20345" s="38" t="s">
        <v>337</v>
      </c>
      <c r="F20345" s="38" t="s">
        <v>338</v>
      </c>
      <c r="G20345" s="49" t="str">
        <f t="shared" si="1"/>
        <v>79120</v>
      </c>
      <c r="H20345" s="49">
        <f t="shared" si="2"/>
        <v>79084</v>
      </c>
    </row>
    <row r="20346">
      <c r="A20346" s="48" t="s">
        <v>507</v>
      </c>
      <c r="B20346" s="38">
        <v>8321.0</v>
      </c>
      <c r="C20346" s="38" t="s">
        <v>24844</v>
      </c>
      <c r="D20346" s="38" t="str">
        <f>IFERROR(__xludf.DUMMYFUNCTION("REGEXREPLACE(C20346,""-\d+(.*)|--\d+(.*)"","""")"),"NEUVILLE-DAY")</f>
        <v>NEUVILLE-DAY</v>
      </c>
      <c r="E20346" s="38" t="s">
        <v>327</v>
      </c>
      <c r="F20346" s="38" t="s">
        <v>130</v>
      </c>
      <c r="G20346" s="49" t="str">
        <f t="shared" si="1"/>
        <v>08130</v>
      </c>
      <c r="H20346" s="49" t="str">
        <f t="shared" si="2"/>
        <v>08321</v>
      </c>
    </row>
    <row r="20347">
      <c r="A20347" s="48" t="s">
        <v>5640</v>
      </c>
      <c r="B20347" s="38">
        <v>2296.0</v>
      </c>
      <c r="C20347" s="38" t="s">
        <v>24845</v>
      </c>
      <c r="D20347" s="38" t="str">
        <f>IFERROR(__xludf.DUMMYFUNCTION("REGEXREPLACE(C20347,""-\d+(.*)|--\d+(.*)"","""")"),"ETREILLERS")</f>
        <v>ETREILLERS</v>
      </c>
      <c r="E20347" s="38" t="s">
        <v>191</v>
      </c>
      <c r="F20347" s="38" t="s">
        <v>113</v>
      </c>
      <c r="G20347" s="49" t="str">
        <f t="shared" si="1"/>
        <v>02590</v>
      </c>
      <c r="H20347" s="49" t="str">
        <f t="shared" si="2"/>
        <v>02296</v>
      </c>
    </row>
    <row r="20348">
      <c r="A20348" s="48" t="s">
        <v>24846</v>
      </c>
      <c r="B20348" s="38">
        <v>66021.0</v>
      </c>
      <c r="C20348" s="38" t="s">
        <v>24847</v>
      </c>
      <c r="D20348" s="38" t="str">
        <f>IFERROR(__xludf.DUMMYFUNCTION("REGEXREPLACE(C20348,""-\d+(.*)|--\d+(.*)"","""")"),"BOMPAS")</f>
        <v>BOMPAS</v>
      </c>
      <c r="E20348" s="38" t="s">
        <v>248</v>
      </c>
      <c r="F20348" s="38" t="s">
        <v>119</v>
      </c>
      <c r="G20348" s="49" t="str">
        <f t="shared" si="1"/>
        <v>66430</v>
      </c>
      <c r="H20348" s="49">
        <f t="shared" si="2"/>
        <v>66021</v>
      </c>
    </row>
    <row r="20349">
      <c r="A20349" s="48" t="s">
        <v>16044</v>
      </c>
      <c r="B20349" s="38">
        <v>91549.0</v>
      </c>
      <c r="C20349" s="38" t="s">
        <v>24848</v>
      </c>
      <c r="D20349" s="38" t="str">
        <f>IFERROR(__xludf.DUMMYFUNCTION("REGEXREPLACE(C20349,""-\d+(.*)|--\d+(.*)"","""")"),"SAINTE-GENEVIEVE-DES-BOIS")</f>
        <v>SAINTE-GENEVIEVE-DES-BOIS</v>
      </c>
      <c r="E20349" s="38" t="s">
        <v>756</v>
      </c>
      <c r="F20349" s="38" t="s">
        <v>245</v>
      </c>
      <c r="G20349" s="49" t="str">
        <f t="shared" si="1"/>
        <v>91700</v>
      </c>
      <c r="H20349" s="49">
        <f t="shared" si="2"/>
        <v>91549</v>
      </c>
    </row>
    <row r="20350">
      <c r="A20350" s="48" t="s">
        <v>2605</v>
      </c>
      <c r="B20350" s="38">
        <v>39111.0</v>
      </c>
      <c r="C20350" s="38" t="s">
        <v>24849</v>
      </c>
      <c r="D20350" s="38" t="str">
        <f>IFERROR(__xludf.DUMMYFUNCTION("REGEXREPLACE(C20350,""-\d+(.*)|--\d+(.*)"","""")"),"CHARNOD")</f>
        <v>CHARNOD</v>
      </c>
      <c r="E20350" s="38" t="s">
        <v>400</v>
      </c>
      <c r="F20350" s="38" t="s">
        <v>214</v>
      </c>
      <c r="G20350" s="49" t="str">
        <f t="shared" si="1"/>
        <v>39240</v>
      </c>
      <c r="H20350" s="49">
        <f t="shared" si="2"/>
        <v>39111</v>
      </c>
    </row>
    <row r="20351">
      <c r="A20351" s="48" t="s">
        <v>2671</v>
      </c>
      <c r="B20351" s="38">
        <v>65185.0</v>
      </c>
      <c r="C20351" s="38" t="s">
        <v>24850</v>
      </c>
      <c r="D20351" s="38" t="str">
        <f>IFERROR(__xludf.DUMMYFUNCTION("REGEXREPLACE(C20351,""-\d+(.*)|--\d+(.*)"","""")"),"GARDERES")</f>
        <v>GARDERES</v>
      </c>
      <c r="E20351" s="38" t="s">
        <v>200</v>
      </c>
      <c r="F20351" s="38" t="s">
        <v>94</v>
      </c>
      <c r="G20351" s="49" t="str">
        <f t="shared" si="1"/>
        <v>65320</v>
      </c>
      <c r="H20351" s="49">
        <f t="shared" si="2"/>
        <v>65185</v>
      </c>
    </row>
    <row r="20352">
      <c r="A20352" s="48" t="s">
        <v>1396</v>
      </c>
      <c r="B20352" s="38">
        <v>29173.0</v>
      </c>
      <c r="C20352" s="38" t="s">
        <v>24851</v>
      </c>
      <c r="D20352" s="38" t="str">
        <f>IFERROR(__xludf.DUMMYFUNCTION("REGEXREPLACE(C20352,""-\d+(.*)|--\d+(.*)"","""")"),"PLONEIS")</f>
        <v>PLONEIS</v>
      </c>
      <c r="E20352" s="38" t="s">
        <v>176</v>
      </c>
      <c r="F20352" s="38" t="s">
        <v>90</v>
      </c>
      <c r="G20352" s="49" t="str">
        <f t="shared" si="1"/>
        <v>29710</v>
      </c>
      <c r="H20352" s="49">
        <f t="shared" si="2"/>
        <v>29173</v>
      </c>
    </row>
    <row r="20353">
      <c r="A20353" s="48" t="s">
        <v>6704</v>
      </c>
      <c r="B20353" s="38">
        <v>12232.0</v>
      </c>
      <c r="C20353" s="38" t="s">
        <v>24852</v>
      </c>
      <c r="D20353" s="38" t="str">
        <f>IFERROR(__xludf.DUMMYFUNCTION("REGEXREPLACE(C20353,""-\d+(.*)|--\d+(.*)"","""")"),"SAINT-JEAN-ET-SAINT-PAUL")</f>
        <v>SAINT-JEAN-ET-SAINT-PAUL</v>
      </c>
      <c r="E20353" s="38" t="s">
        <v>465</v>
      </c>
      <c r="F20353" s="38" t="s">
        <v>94</v>
      </c>
      <c r="G20353" s="49" t="str">
        <f t="shared" si="1"/>
        <v>12250</v>
      </c>
      <c r="H20353" s="49">
        <f t="shared" si="2"/>
        <v>12232</v>
      </c>
    </row>
    <row r="20354">
      <c r="A20354" s="48" t="s">
        <v>10348</v>
      </c>
      <c r="B20354" s="38">
        <v>61053.0</v>
      </c>
      <c r="C20354" s="38" t="s">
        <v>24853</v>
      </c>
      <c r="D20354" s="38" t="str">
        <f>IFERROR(__xludf.DUMMYFUNCTION("REGEXREPLACE(C20354,""-\d+(.*)|--\d+(.*)"","""")"),"BONSMOULINS")</f>
        <v>BONSMOULINS</v>
      </c>
      <c r="E20354" s="38" t="s">
        <v>141</v>
      </c>
      <c r="F20354" s="38" t="s">
        <v>138</v>
      </c>
      <c r="G20354" s="49" t="str">
        <f t="shared" si="1"/>
        <v>61380</v>
      </c>
      <c r="H20354" s="49">
        <f t="shared" si="2"/>
        <v>61053</v>
      </c>
    </row>
    <row r="20355">
      <c r="A20355" s="48" t="s">
        <v>7274</v>
      </c>
      <c r="B20355" s="38">
        <v>11096.0</v>
      </c>
      <c r="C20355" s="38" t="s">
        <v>24854</v>
      </c>
      <c r="D20355" s="38" t="str">
        <f>IFERROR(__xludf.DUMMYFUNCTION("REGEXREPLACE(C20355,""-\d+(.*)|--\d+(.*)"","""")"),"COMUS")</f>
        <v>COMUS</v>
      </c>
      <c r="E20355" s="38" t="s">
        <v>278</v>
      </c>
      <c r="F20355" s="38" t="s">
        <v>119</v>
      </c>
      <c r="G20355" s="49" t="str">
        <f t="shared" si="1"/>
        <v>11340</v>
      </c>
      <c r="H20355" s="49">
        <f t="shared" si="2"/>
        <v>11096</v>
      </c>
    </row>
    <row r="20356">
      <c r="A20356" s="48" t="s">
        <v>1665</v>
      </c>
      <c r="B20356" s="38">
        <v>22315.0</v>
      </c>
      <c r="C20356" s="38" t="s">
        <v>24855</v>
      </c>
      <c r="D20356" s="38" t="str">
        <f>IFERROR(__xludf.DUMMYFUNCTION("REGEXREPLACE(C20356,""-\d+(.*)|--\d+(.*)"","""")"),"SAINT-MAUDEZ")</f>
        <v>SAINT-MAUDEZ</v>
      </c>
      <c r="E20356" s="38" t="s">
        <v>89</v>
      </c>
      <c r="F20356" s="38" t="s">
        <v>90</v>
      </c>
      <c r="G20356" s="49" t="str">
        <f t="shared" si="1"/>
        <v>22980</v>
      </c>
      <c r="H20356" s="49">
        <f t="shared" si="2"/>
        <v>22315</v>
      </c>
    </row>
    <row r="20357">
      <c r="A20357" s="48" t="s">
        <v>696</v>
      </c>
      <c r="B20357" s="38">
        <v>9183.0</v>
      </c>
      <c r="C20357" s="38" t="s">
        <v>24856</v>
      </c>
      <c r="D20357" s="38" t="str">
        <f>IFERROR(__xludf.DUMMYFUNCTION("REGEXREPLACE(C20357,""-\d+(.*)|--\d+(.*)"","""")"),"MAUVEZIN-DE-PRAT")</f>
        <v>MAUVEZIN-DE-PRAT</v>
      </c>
      <c r="E20357" s="38" t="s">
        <v>238</v>
      </c>
      <c r="F20357" s="38" t="s">
        <v>94</v>
      </c>
      <c r="G20357" s="49" t="str">
        <f t="shared" si="1"/>
        <v>09160</v>
      </c>
      <c r="H20357" s="49" t="str">
        <f t="shared" si="2"/>
        <v>09183</v>
      </c>
    </row>
    <row r="20358">
      <c r="A20358" s="48" t="s">
        <v>2031</v>
      </c>
      <c r="B20358" s="38">
        <v>62057.0</v>
      </c>
      <c r="C20358" s="38" t="s">
        <v>24857</v>
      </c>
      <c r="D20358" s="38" t="str">
        <f>IFERROR(__xludf.DUMMYFUNCTION("REGEXREPLACE(C20358,""-\d+(.*)|--\d+(.*)"","""")"),"AUDRUICQ")</f>
        <v>AUDRUICQ</v>
      </c>
      <c r="E20358" s="38" t="s">
        <v>109</v>
      </c>
      <c r="F20358" s="38" t="s">
        <v>86</v>
      </c>
      <c r="G20358" s="49" t="str">
        <f t="shared" si="1"/>
        <v>62370</v>
      </c>
      <c r="H20358" s="49">
        <f t="shared" si="2"/>
        <v>62057</v>
      </c>
    </row>
    <row r="20359">
      <c r="A20359" s="48" t="s">
        <v>18253</v>
      </c>
      <c r="B20359" s="38">
        <v>81188.0</v>
      </c>
      <c r="C20359" s="38" t="s">
        <v>24858</v>
      </c>
      <c r="D20359" s="38" t="str">
        <f>IFERROR(__xludf.DUMMYFUNCTION("REGEXREPLACE(C20359,""-\d+(.*)|--\d+(.*)"","""")"),"MOULIN-MAGE")</f>
        <v>MOULIN-MAGE</v>
      </c>
      <c r="E20359" s="38" t="s">
        <v>231</v>
      </c>
      <c r="F20359" s="38" t="s">
        <v>94</v>
      </c>
      <c r="G20359" s="49" t="str">
        <f t="shared" si="1"/>
        <v>81320</v>
      </c>
      <c r="H20359" s="49">
        <f t="shared" si="2"/>
        <v>81188</v>
      </c>
    </row>
    <row r="20360">
      <c r="A20360" s="48" t="s">
        <v>667</v>
      </c>
      <c r="B20360" s="38">
        <v>64166.0</v>
      </c>
      <c r="C20360" s="38" t="s">
        <v>24859</v>
      </c>
      <c r="D20360" s="38" t="str">
        <f>IFERROR(__xludf.DUMMYFUNCTION("REGEXREPLACE(C20360,""-\d+(.*)|--\d+(.*)"","""")"),"CARO")</f>
        <v>CARO</v>
      </c>
      <c r="E20360" s="38" t="s">
        <v>268</v>
      </c>
      <c r="F20360" s="38" t="s">
        <v>252</v>
      </c>
      <c r="G20360" s="49" t="str">
        <f t="shared" si="1"/>
        <v>64220</v>
      </c>
      <c r="H20360" s="49">
        <f t="shared" si="2"/>
        <v>64166</v>
      </c>
    </row>
    <row r="20361">
      <c r="A20361" s="48" t="s">
        <v>1932</v>
      </c>
      <c r="B20361" s="38">
        <v>70445.0</v>
      </c>
      <c r="C20361" s="38" t="s">
        <v>24860</v>
      </c>
      <c r="D20361" s="38" t="str">
        <f>IFERROR(__xludf.DUMMYFUNCTION("REGEXREPLACE(C20361,""-\d+(.*)|--\d+(.*)"","""")"),"RIGNOVELLE")</f>
        <v>RIGNOVELLE</v>
      </c>
      <c r="E20361" s="38" t="s">
        <v>956</v>
      </c>
      <c r="F20361" s="38" t="s">
        <v>214</v>
      </c>
      <c r="G20361" s="49" t="str">
        <f t="shared" si="1"/>
        <v>70200</v>
      </c>
      <c r="H20361" s="49">
        <f t="shared" si="2"/>
        <v>70445</v>
      </c>
    </row>
    <row r="20362">
      <c r="A20362" s="48" t="s">
        <v>7514</v>
      </c>
      <c r="B20362" s="38">
        <v>88366.0</v>
      </c>
      <c r="C20362" s="38" t="s">
        <v>24861</v>
      </c>
      <c r="D20362" s="38" t="str">
        <f>IFERROR(__xludf.DUMMYFUNCTION("REGEXREPLACE(C20362,""-\d+(.*)|--\d+(.*)"","""")"),"RAINVILLE")</f>
        <v>RAINVILLE</v>
      </c>
      <c r="E20362" s="38" t="s">
        <v>194</v>
      </c>
      <c r="F20362" s="38" t="s">
        <v>195</v>
      </c>
      <c r="G20362" s="49" t="str">
        <f t="shared" si="1"/>
        <v>88170</v>
      </c>
      <c r="H20362" s="49">
        <f t="shared" si="2"/>
        <v>88366</v>
      </c>
    </row>
    <row r="20363">
      <c r="A20363" s="48" t="s">
        <v>177</v>
      </c>
      <c r="B20363" s="38">
        <v>85037.0</v>
      </c>
      <c r="C20363" s="38" t="s">
        <v>24862</v>
      </c>
      <c r="D20363" s="38" t="str">
        <f>IFERROR(__xludf.DUMMYFUNCTION("REGEXREPLACE(C20363,""-\d+(.*)|--\d+(.*)"","""")"),"BREUIL-BARRET")</f>
        <v>BREUIL-BARRET</v>
      </c>
      <c r="E20363" s="38" t="s">
        <v>179</v>
      </c>
      <c r="F20363" s="38" t="s">
        <v>180</v>
      </c>
      <c r="G20363" s="49" t="str">
        <f t="shared" si="1"/>
        <v>85120</v>
      </c>
      <c r="H20363" s="49">
        <f t="shared" si="2"/>
        <v>85037</v>
      </c>
    </row>
    <row r="20364">
      <c r="A20364" s="48" t="s">
        <v>24863</v>
      </c>
      <c r="B20364" s="38">
        <v>26168.0</v>
      </c>
      <c r="C20364" s="38" t="s">
        <v>24864</v>
      </c>
      <c r="D20364" s="38" t="str">
        <f>IFERROR(__xludf.DUMMYFUNCTION("REGEXREPLACE(C20364,""-\d+(.*)|--\d+(.*)"","""")"),"LUS-LA-CROIX-HAUTE")</f>
        <v>LUS-LA-CROIX-HAUTE</v>
      </c>
      <c r="E20364" s="38" t="s">
        <v>126</v>
      </c>
      <c r="F20364" s="38" t="s">
        <v>102</v>
      </c>
      <c r="G20364" s="49" t="str">
        <f t="shared" si="1"/>
        <v>26620</v>
      </c>
      <c r="H20364" s="49">
        <f t="shared" si="2"/>
        <v>26168</v>
      </c>
    </row>
    <row r="20365">
      <c r="A20365" s="48" t="s">
        <v>826</v>
      </c>
      <c r="B20365" s="38">
        <v>21387.0</v>
      </c>
      <c r="C20365" s="38" t="s">
        <v>24865</v>
      </c>
      <c r="D20365" s="38" t="str">
        <f>IFERROR(__xludf.DUMMYFUNCTION("REGEXREPLACE(C20365,""-\d+(.*)|--\d+(.*)"","""")"),"MARIGNY-LES-REULLEE")</f>
        <v>MARIGNY-LES-REULLEE</v>
      </c>
      <c r="E20365" s="38" t="s">
        <v>105</v>
      </c>
      <c r="F20365" s="38" t="s">
        <v>106</v>
      </c>
      <c r="G20365" s="49" t="str">
        <f t="shared" si="1"/>
        <v>21200</v>
      </c>
      <c r="H20365" s="49">
        <f t="shared" si="2"/>
        <v>21387</v>
      </c>
    </row>
    <row r="20366">
      <c r="A20366" s="48" t="s">
        <v>9804</v>
      </c>
      <c r="B20366" s="38">
        <v>27180.0</v>
      </c>
      <c r="C20366" s="38" t="s">
        <v>24866</v>
      </c>
      <c r="D20366" s="38" t="str">
        <f>IFERROR(__xludf.DUMMYFUNCTION("REGEXREPLACE(C20366,""-\d+(.*)|--\d+(.*)"","""")"),"COURCELLES-SUR-SEINE")</f>
        <v>COURCELLES-SUR-SEINE</v>
      </c>
      <c r="E20366" s="38" t="s">
        <v>241</v>
      </c>
      <c r="F20366" s="38" t="s">
        <v>134</v>
      </c>
      <c r="G20366" s="49" t="str">
        <f t="shared" si="1"/>
        <v>27940</v>
      </c>
      <c r="H20366" s="49">
        <f t="shared" si="2"/>
        <v>27180</v>
      </c>
    </row>
    <row r="20367">
      <c r="A20367" s="48" t="s">
        <v>630</v>
      </c>
      <c r="B20367" s="38">
        <v>15025.0</v>
      </c>
      <c r="C20367" s="38" t="s">
        <v>24867</v>
      </c>
      <c r="D20367" s="38" t="str">
        <f>IFERROR(__xludf.DUMMYFUNCTION("REGEXREPLACE(C20367,""-\d+(.*)|--\d+(.*)"","""")"),"ALBEPIERRE-BREDONS")</f>
        <v>ALBEPIERRE-BREDONS</v>
      </c>
      <c r="E20367" s="38" t="s">
        <v>632</v>
      </c>
      <c r="F20367" s="38" t="s">
        <v>161</v>
      </c>
      <c r="G20367" s="49" t="str">
        <f t="shared" si="1"/>
        <v>15300</v>
      </c>
      <c r="H20367" s="49">
        <f t="shared" si="2"/>
        <v>15025</v>
      </c>
    </row>
    <row r="20368">
      <c r="A20368" s="48" t="s">
        <v>18911</v>
      </c>
      <c r="B20368" s="38">
        <v>14146.0</v>
      </c>
      <c r="C20368" s="38" t="s">
        <v>24868</v>
      </c>
      <c r="D20368" s="38" t="str">
        <f>IFERROR(__xludf.DUMMYFUNCTION("REGEXREPLACE(C20368,""-\d+(.*)|--\d+(.*)"","""")"),"CAUVILLE")</f>
        <v>CAUVILLE</v>
      </c>
      <c r="E20368" s="38" t="s">
        <v>137</v>
      </c>
      <c r="F20368" s="38" t="s">
        <v>138</v>
      </c>
      <c r="G20368" s="49" t="str">
        <f t="shared" si="1"/>
        <v>14770</v>
      </c>
      <c r="H20368" s="49">
        <f t="shared" si="2"/>
        <v>14146</v>
      </c>
    </row>
    <row r="20369">
      <c r="A20369" s="48" t="s">
        <v>715</v>
      </c>
      <c r="B20369" s="38">
        <v>88151.0</v>
      </c>
      <c r="C20369" s="38" t="s">
        <v>24869</v>
      </c>
      <c r="D20369" s="38" t="str">
        <f>IFERROR(__xludf.DUMMYFUNCTION("REGEXREPLACE(C20369,""-\d+(.*)|--\d+(.*)"","""")"),"DOMPAIRE")</f>
        <v>DOMPAIRE</v>
      </c>
      <c r="E20369" s="38" t="s">
        <v>194</v>
      </c>
      <c r="F20369" s="38" t="s">
        <v>195</v>
      </c>
      <c r="G20369" s="49" t="str">
        <f t="shared" si="1"/>
        <v>88270</v>
      </c>
      <c r="H20369" s="49">
        <f t="shared" si="2"/>
        <v>88151</v>
      </c>
    </row>
    <row r="20370">
      <c r="A20370" s="48" t="s">
        <v>954</v>
      </c>
      <c r="B20370" s="38">
        <v>70232.0</v>
      </c>
      <c r="C20370" s="38" t="s">
        <v>24870</v>
      </c>
      <c r="D20370" s="38" t="str">
        <f>IFERROR(__xludf.DUMMYFUNCTION("REGEXREPLACE(C20370,""-\d+(.*)|--\d+(.*)"","""")"),"FERRIERES-LES-SCEY")</f>
        <v>FERRIERES-LES-SCEY</v>
      </c>
      <c r="E20370" s="38" t="s">
        <v>956</v>
      </c>
      <c r="F20370" s="38" t="s">
        <v>214</v>
      </c>
      <c r="G20370" s="49" t="str">
        <f t="shared" si="1"/>
        <v>70360</v>
      </c>
      <c r="H20370" s="49">
        <f t="shared" si="2"/>
        <v>70232</v>
      </c>
    </row>
    <row r="20371">
      <c r="A20371" s="48" t="s">
        <v>1010</v>
      </c>
      <c r="B20371" s="38">
        <v>27678.0</v>
      </c>
      <c r="C20371" s="38" t="s">
        <v>24871</v>
      </c>
      <c r="D20371" s="38" t="str">
        <f>IFERROR(__xludf.DUMMYFUNCTION("REGEXREPLACE(C20371,""-\d+(.*)|--\d+(.*)"","""")"),"LES VENTES")</f>
        <v>LES VENTES</v>
      </c>
      <c r="E20371" s="38" t="s">
        <v>241</v>
      </c>
      <c r="F20371" s="38" t="s">
        <v>134</v>
      </c>
      <c r="G20371" s="49" t="str">
        <f t="shared" si="1"/>
        <v>27180</v>
      </c>
      <c r="H20371" s="49">
        <f t="shared" si="2"/>
        <v>27678</v>
      </c>
    </row>
    <row r="20372">
      <c r="A20372" s="48" t="s">
        <v>5887</v>
      </c>
      <c r="B20372" s="38">
        <v>61036.0</v>
      </c>
      <c r="C20372" s="38" t="s">
        <v>24872</v>
      </c>
      <c r="D20372" s="38" t="str">
        <f>IFERROR(__xludf.DUMMYFUNCTION("REGEXREPLACE(C20372,""-\d+(.*)|--\d+(.*)"","""")"),"BELFONDS")</f>
        <v>BELFONDS</v>
      </c>
      <c r="E20372" s="38" t="s">
        <v>141</v>
      </c>
      <c r="F20372" s="38" t="s">
        <v>138</v>
      </c>
      <c r="G20372" s="49" t="str">
        <f t="shared" si="1"/>
        <v>61500</v>
      </c>
      <c r="H20372" s="49">
        <f t="shared" si="2"/>
        <v>61036</v>
      </c>
    </row>
    <row r="20373">
      <c r="A20373" s="48" t="s">
        <v>1418</v>
      </c>
      <c r="B20373" s="38">
        <v>36244.0</v>
      </c>
      <c r="C20373" s="38" t="s">
        <v>24873</v>
      </c>
      <c r="D20373" s="38" t="str">
        <f>IFERROR(__xludf.DUMMYFUNCTION("REGEXREPLACE(C20373,""-\d+(.*)|--\d+(.*)"","""")"),"VILLENTROIS")</f>
        <v>VILLENTROIS</v>
      </c>
      <c r="E20373" s="38" t="s">
        <v>258</v>
      </c>
      <c r="F20373" s="38" t="s">
        <v>123</v>
      </c>
      <c r="G20373" s="49" t="str">
        <f t="shared" si="1"/>
        <v>36600</v>
      </c>
      <c r="H20373" s="49">
        <f t="shared" si="2"/>
        <v>36244</v>
      </c>
    </row>
    <row r="20374">
      <c r="A20374" s="48" t="s">
        <v>5648</v>
      </c>
      <c r="B20374" s="38">
        <v>76411.0</v>
      </c>
      <c r="C20374" s="38" t="s">
        <v>24874</v>
      </c>
      <c r="D20374" s="38" t="str">
        <f>IFERROR(__xludf.DUMMYFUNCTION("REGEXREPLACE(C20374,""-\d+(.*)|--\d+(.*)"","""")"),"MARQUES")</f>
        <v>MARQUES</v>
      </c>
      <c r="E20374" s="38" t="s">
        <v>133</v>
      </c>
      <c r="F20374" s="38" t="s">
        <v>134</v>
      </c>
      <c r="G20374" s="49" t="str">
        <f t="shared" si="1"/>
        <v>76390</v>
      </c>
      <c r="H20374" s="49">
        <f t="shared" si="2"/>
        <v>76411</v>
      </c>
    </row>
    <row r="20375">
      <c r="A20375" s="48" t="s">
        <v>1885</v>
      </c>
      <c r="B20375" s="38">
        <v>27462.0</v>
      </c>
      <c r="C20375" s="38" t="s">
        <v>24875</v>
      </c>
      <c r="D20375" s="38" t="str">
        <f>IFERROR(__xludf.DUMMYFUNCTION("REGEXREPLACE(C20375,""-\d+(.*)|--\d+(.*)"","""")"),"LE PLANQUAY")</f>
        <v>LE PLANQUAY</v>
      </c>
      <c r="E20375" s="38" t="s">
        <v>241</v>
      </c>
      <c r="F20375" s="38" t="s">
        <v>134</v>
      </c>
      <c r="G20375" s="49" t="str">
        <f t="shared" si="1"/>
        <v>27230</v>
      </c>
      <c r="H20375" s="49">
        <f t="shared" si="2"/>
        <v>27462</v>
      </c>
    </row>
    <row r="20376">
      <c r="A20376" s="48" t="s">
        <v>12473</v>
      </c>
      <c r="B20376" s="38">
        <v>22325.0</v>
      </c>
      <c r="C20376" s="38" t="s">
        <v>24876</v>
      </c>
      <c r="D20376" s="38" t="str">
        <f>IFERROR(__xludf.DUMMYFUNCTION("REGEXREPLACE(C20376,""-\d+(.*)|--\d+(.*)"","""")"),"SAINT-QUAY-PORTRIEUX")</f>
        <v>SAINT-QUAY-PORTRIEUX</v>
      </c>
      <c r="E20376" s="38" t="s">
        <v>89</v>
      </c>
      <c r="F20376" s="38" t="s">
        <v>90</v>
      </c>
      <c r="G20376" s="49" t="str">
        <f t="shared" si="1"/>
        <v>22410</v>
      </c>
      <c r="H20376" s="49">
        <f t="shared" si="2"/>
        <v>22325</v>
      </c>
    </row>
    <row r="20377">
      <c r="A20377" s="48" t="s">
        <v>6019</v>
      </c>
      <c r="B20377" s="38">
        <v>39449.0</v>
      </c>
      <c r="C20377" s="38" t="s">
        <v>24877</v>
      </c>
      <c r="D20377" s="38" t="str">
        <f>IFERROR(__xludf.DUMMYFUNCTION("REGEXREPLACE(C20377,""-\d+(.*)|--\d+(.*)"","""")"),"RAINANS")</f>
        <v>RAINANS</v>
      </c>
      <c r="E20377" s="38" t="s">
        <v>400</v>
      </c>
      <c r="F20377" s="38" t="s">
        <v>214</v>
      </c>
      <c r="G20377" s="49" t="str">
        <f t="shared" si="1"/>
        <v>39290</v>
      </c>
      <c r="H20377" s="49">
        <f t="shared" si="2"/>
        <v>39449</v>
      </c>
    </row>
    <row r="20378">
      <c r="A20378" s="48" t="s">
        <v>1935</v>
      </c>
      <c r="B20378" s="38">
        <v>48004.0</v>
      </c>
      <c r="C20378" s="38" t="s">
        <v>24878</v>
      </c>
      <c r="D20378" s="38" t="str">
        <f>IFERROR(__xludf.DUMMYFUNCTION("REGEXREPLACE(C20378,""-\d+(.*)|--\d+(.*)"","""")"),"ALTIER")</f>
        <v>ALTIER</v>
      </c>
      <c r="E20378" s="38" t="s">
        <v>154</v>
      </c>
      <c r="F20378" s="38" t="s">
        <v>119</v>
      </c>
      <c r="G20378" s="49" t="str">
        <f t="shared" si="1"/>
        <v>48800</v>
      </c>
      <c r="H20378" s="49">
        <f t="shared" si="2"/>
        <v>48004</v>
      </c>
    </row>
    <row r="20379">
      <c r="A20379" s="48" t="s">
        <v>5479</v>
      </c>
      <c r="B20379" s="38">
        <v>67364.0</v>
      </c>
      <c r="C20379" s="38" t="s">
        <v>24879</v>
      </c>
      <c r="D20379" s="38" t="str">
        <f>IFERROR(__xludf.DUMMYFUNCTION("REGEXREPLACE(C20379,""-\d+(.*)|--\d+(.*)"","""")"),"OSTHOUSE")</f>
        <v>OSTHOUSE</v>
      </c>
      <c r="E20379" s="38" t="s">
        <v>210</v>
      </c>
      <c r="F20379" s="38" t="s">
        <v>151</v>
      </c>
      <c r="G20379" s="49" t="str">
        <f t="shared" si="1"/>
        <v>67150</v>
      </c>
      <c r="H20379" s="49">
        <f t="shared" si="2"/>
        <v>67364</v>
      </c>
    </row>
    <row r="20380">
      <c r="A20380" s="48" t="s">
        <v>14239</v>
      </c>
      <c r="B20380" s="38">
        <v>42148.0</v>
      </c>
      <c r="C20380" s="38" t="s">
        <v>24880</v>
      </c>
      <c r="D20380" s="38" t="str">
        <f>IFERROR(__xludf.DUMMYFUNCTION("REGEXREPLACE(C20380,""-\d+(.*)|--\d+(.*)"","""")"),"MONTCHAL")</f>
        <v>MONTCHAL</v>
      </c>
      <c r="E20380" s="38" t="s">
        <v>166</v>
      </c>
      <c r="F20380" s="38" t="s">
        <v>102</v>
      </c>
      <c r="G20380" s="49" t="str">
        <f t="shared" si="1"/>
        <v>42360</v>
      </c>
      <c r="H20380" s="49">
        <f t="shared" si="2"/>
        <v>42148</v>
      </c>
    </row>
    <row r="20381">
      <c r="A20381" s="48" t="s">
        <v>976</v>
      </c>
      <c r="B20381" s="38">
        <v>38078.0</v>
      </c>
      <c r="C20381" s="38" t="s">
        <v>24881</v>
      </c>
      <c r="D20381" s="38" t="str">
        <f>IFERROR(__xludf.DUMMYFUNCTION("REGEXREPLACE(C20381,""-\d+(.*)|--\d+(.*)"","""")"),"LA CHAPELLE-DU-BARD")</f>
        <v>LA CHAPELLE-DU-BARD</v>
      </c>
      <c r="E20381" s="38" t="s">
        <v>101</v>
      </c>
      <c r="F20381" s="38" t="s">
        <v>102</v>
      </c>
      <c r="G20381" s="49" t="str">
        <f t="shared" si="1"/>
        <v>38580</v>
      </c>
      <c r="H20381" s="49">
        <f t="shared" si="2"/>
        <v>38078</v>
      </c>
    </row>
    <row r="20382">
      <c r="A20382" s="48" t="s">
        <v>9883</v>
      </c>
      <c r="B20382" s="38">
        <v>24526.0</v>
      </c>
      <c r="C20382" s="38" t="s">
        <v>24882</v>
      </c>
      <c r="D20382" s="38" t="str">
        <f>IFERROR(__xludf.DUMMYFUNCTION("REGEXREPLACE(C20382,""-\d+(.*)|--\d+(.*)"","""")"),"SAVIGNAC-LEDRIER")</f>
        <v>SAVIGNAC-LEDRIER</v>
      </c>
      <c r="E20382" s="38" t="s">
        <v>261</v>
      </c>
      <c r="F20382" s="38" t="s">
        <v>252</v>
      </c>
      <c r="G20382" s="49" t="str">
        <f t="shared" si="1"/>
        <v>24270</v>
      </c>
      <c r="H20382" s="49">
        <f t="shared" si="2"/>
        <v>24526</v>
      </c>
    </row>
    <row r="20383">
      <c r="A20383" s="48" t="s">
        <v>12433</v>
      </c>
      <c r="B20383" s="38">
        <v>18255.0</v>
      </c>
      <c r="C20383" s="38" t="s">
        <v>24883</v>
      </c>
      <c r="D20383" s="38" t="str">
        <f>IFERROR(__xludf.DUMMYFUNCTION("REGEXREPLACE(C20383,""-\d+(.*)|--\d+(.*)"","""")"),"LE SUBDRAY")</f>
        <v>LE SUBDRAY</v>
      </c>
      <c r="E20383" s="38" t="s">
        <v>504</v>
      </c>
      <c r="F20383" s="38" t="s">
        <v>123</v>
      </c>
      <c r="G20383" s="49" t="str">
        <f t="shared" si="1"/>
        <v>18570</v>
      </c>
      <c r="H20383" s="49">
        <f t="shared" si="2"/>
        <v>18255</v>
      </c>
    </row>
    <row r="20384">
      <c r="A20384" s="48" t="s">
        <v>12083</v>
      </c>
      <c r="B20384" s="38">
        <v>26232.0</v>
      </c>
      <c r="C20384" s="38" t="s">
        <v>24884</v>
      </c>
      <c r="D20384" s="38" t="str">
        <f>IFERROR(__xludf.DUMMYFUNCTION("REGEXREPLACE(C20384,""-\d+(.*)|--\d+(.*)"","""")"),"PEYRUS")</f>
        <v>PEYRUS</v>
      </c>
      <c r="E20384" s="38" t="s">
        <v>126</v>
      </c>
      <c r="F20384" s="38" t="s">
        <v>102</v>
      </c>
      <c r="G20384" s="49" t="str">
        <f t="shared" si="1"/>
        <v>26120</v>
      </c>
      <c r="H20384" s="49">
        <f t="shared" si="2"/>
        <v>26232</v>
      </c>
    </row>
    <row r="20385">
      <c r="A20385" s="48" t="s">
        <v>3624</v>
      </c>
      <c r="B20385" s="38">
        <v>39080.0</v>
      </c>
      <c r="C20385" s="38" t="s">
        <v>24885</v>
      </c>
      <c r="D20385" s="38" t="str">
        <f>IFERROR(__xludf.DUMMYFUNCTION("REGEXREPLACE(C20385,""-\d+(.*)|--\d+(.*)"","""")"),"BROISSIA")</f>
        <v>BROISSIA</v>
      </c>
      <c r="E20385" s="38" t="s">
        <v>400</v>
      </c>
      <c r="F20385" s="38" t="s">
        <v>214</v>
      </c>
      <c r="G20385" s="49" t="str">
        <f t="shared" si="1"/>
        <v>39320</v>
      </c>
      <c r="H20385" s="49">
        <f t="shared" si="2"/>
        <v>39080</v>
      </c>
    </row>
    <row r="20386">
      <c r="A20386" s="48" t="s">
        <v>14734</v>
      </c>
      <c r="B20386" s="38">
        <v>4172.0</v>
      </c>
      <c r="C20386" s="38" t="s">
        <v>24886</v>
      </c>
      <c r="D20386" s="38" t="str">
        <f>IFERROR(__xludf.DUMMYFUNCTION("REGEXREPLACE(C20386,""-\d+(.*)|--\d+(.*)"","""")"),"ROUMOULES")</f>
        <v>ROUMOULES</v>
      </c>
      <c r="E20386" s="38" t="s">
        <v>662</v>
      </c>
      <c r="F20386" s="38" t="s">
        <v>228</v>
      </c>
      <c r="G20386" s="49" t="str">
        <f t="shared" si="1"/>
        <v>04500</v>
      </c>
      <c r="H20386" s="49" t="str">
        <f t="shared" si="2"/>
        <v>04172</v>
      </c>
    </row>
    <row r="20387">
      <c r="A20387" s="48" t="s">
        <v>24887</v>
      </c>
      <c r="B20387" s="38">
        <v>94004.0</v>
      </c>
      <c r="C20387" s="38" t="s">
        <v>24888</v>
      </c>
      <c r="D20387" s="38" t="str">
        <f>IFERROR(__xludf.DUMMYFUNCTION("REGEXREPLACE(C20387,""-\d+(.*)|--\d+(.*)"","""")"),"BOISSY-SAINT-LEGER")</f>
        <v>BOISSY-SAINT-LEGER</v>
      </c>
      <c r="E20387" s="38" t="s">
        <v>561</v>
      </c>
      <c r="F20387" s="38" t="s">
        <v>245</v>
      </c>
      <c r="G20387" s="49" t="str">
        <f t="shared" si="1"/>
        <v>94470</v>
      </c>
      <c r="H20387" s="49">
        <f t="shared" si="2"/>
        <v>94004</v>
      </c>
    </row>
    <row r="20388">
      <c r="A20388" s="48" t="s">
        <v>24889</v>
      </c>
      <c r="B20388" s="38">
        <v>17225.0</v>
      </c>
      <c r="C20388" s="38" t="s">
        <v>24890</v>
      </c>
      <c r="D20388" s="38" t="str">
        <f>IFERROR(__xludf.DUMMYFUNCTION("REGEXREPLACE(C20388,""-\d+(.*)|--\d+(.*)"","""")"),"LES MATHES")</f>
        <v>LES MATHES</v>
      </c>
      <c r="E20388" s="38" t="s">
        <v>488</v>
      </c>
      <c r="F20388" s="38" t="s">
        <v>338</v>
      </c>
      <c r="G20388" s="49" t="str">
        <f t="shared" si="1"/>
        <v>17570</v>
      </c>
      <c r="H20388" s="49">
        <f t="shared" si="2"/>
        <v>17225</v>
      </c>
    </row>
    <row r="20389">
      <c r="A20389" s="48" t="s">
        <v>4142</v>
      </c>
      <c r="B20389" s="38">
        <v>16103.0</v>
      </c>
      <c r="C20389" s="38" t="s">
        <v>24891</v>
      </c>
      <c r="D20389" s="38" t="str">
        <f>IFERROR(__xludf.DUMMYFUNCTION("REGEXREPLACE(C20389,""-\d+(.*)|--\d+(.*)"","""")"),"COMBIERS")</f>
        <v>COMBIERS</v>
      </c>
      <c r="E20389" s="38" t="s">
        <v>429</v>
      </c>
      <c r="F20389" s="38" t="s">
        <v>338</v>
      </c>
      <c r="G20389" s="49" t="str">
        <f t="shared" si="1"/>
        <v>16320</v>
      </c>
      <c r="H20389" s="49">
        <f t="shared" si="2"/>
        <v>16103</v>
      </c>
    </row>
    <row r="20390">
      <c r="A20390" s="48" t="s">
        <v>8719</v>
      </c>
      <c r="B20390" s="38">
        <v>38541.0</v>
      </c>
      <c r="C20390" s="38" t="s">
        <v>24892</v>
      </c>
      <c r="D20390" s="38" t="str">
        <f>IFERROR(__xludf.DUMMYFUNCTION("REGEXREPLACE(C20390,""-\d+(.*)|--\d+(.*)"","""")"),"VEYRINS-THUELLIN")</f>
        <v>VEYRINS-THUELLIN</v>
      </c>
      <c r="E20390" s="38" t="s">
        <v>101</v>
      </c>
      <c r="F20390" s="38" t="s">
        <v>102</v>
      </c>
      <c r="G20390" s="49" t="str">
        <f t="shared" si="1"/>
        <v>38630</v>
      </c>
      <c r="H20390" s="49">
        <f t="shared" si="2"/>
        <v>38541</v>
      </c>
    </row>
    <row r="20391">
      <c r="A20391" s="48" t="s">
        <v>18796</v>
      </c>
      <c r="B20391" s="38">
        <v>29002.0</v>
      </c>
      <c r="C20391" s="38" t="s">
        <v>24893</v>
      </c>
      <c r="D20391" s="38" t="str">
        <f>IFERROR(__xludf.DUMMYFUNCTION("REGEXREPLACE(C20391,""-\d+(.*)|--\d+(.*)"","""")"),"ARZANO")</f>
        <v>ARZANO</v>
      </c>
      <c r="E20391" s="38" t="s">
        <v>176</v>
      </c>
      <c r="F20391" s="38" t="s">
        <v>90</v>
      </c>
      <c r="G20391" s="49" t="str">
        <f t="shared" si="1"/>
        <v>29300</v>
      </c>
      <c r="H20391" s="49">
        <f t="shared" si="2"/>
        <v>29002</v>
      </c>
    </row>
    <row r="20392">
      <c r="A20392" s="48" t="s">
        <v>16669</v>
      </c>
      <c r="B20392" s="38">
        <v>95120.0</v>
      </c>
      <c r="C20392" s="38" t="s">
        <v>24894</v>
      </c>
      <c r="D20392" s="38" t="str">
        <f>IFERROR(__xludf.DUMMYFUNCTION("REGEXREPLACE(C20392,""-\d+(.*)|--\d+(.*)"","""")"),"BUTRY-SUR-OISE")</f>
        <v>BUTRY-SUR-OISE</v>
      </c>
      <c r="E20392" s="38" t="s">
        <v>541</v>
      </c>
      <c r="F20392" s="38" t="s">
        <v>245</v>
      </c>
      <c r="G20392" s="49" t="str">
        <f t="shared" si="1"/>
        <v>95430</v>
      </c>
      <c r="H20392" s="49">
        <f t="shared" si="2"/>
        <v>95120</v>
      </c>
    </row>
    <row r="20393">
      <c r="A20393" s="48" t="s">
        <v>2042</v>
      </c>
      <c r="B20393" s="38">
        <v>80621.0</v>
      </c>
      <c r="C20393" s="38" t="s">
        <v>24895</v>
      </c>
      <c r="D20393" s="38" t="str">
        <f>IFERROR(__xludf.DUMMYFUNCTION("REGEXREPLACE(C20393,""-\d+(.*)|--\d+(.*)"","""")"),"PERTAIN")</f>
        <v>PERTAIN</v>
      </c>
      <c r="E20393" s="38" t="s">
        <v>224</v>
      </c>
      <c r="F20393" s="38" t="s">
        <v>113</v>
      </c>
      <c r="G20393" s="49" t="str">
        <f t="shared" si="1"/>
        <v>80320</v>
      </c>
      <c r="H20393" s="49">
        <f t="shared" si="2"/>
        <v>80621</v>
      </c>
    </row>
    <row r="20394">
      <c r="A20394" s="48" t="s">
        <v>1135</v>
      </c>
      <c r="B20394" s="38">
        <v>79258.0</v>
      </c>
      <c r="C20394" s="38" t="s">
        <v>24896</v>
      </c>
      <c r="D20394" s="38" t="str">
        <f>IFERROR(__xludf.DUMMYFUNCTION("REGEXREPLACE(C20394,""-\d+(.*)|--\d+(.*)"","""")"),"SAINT-JACQUES-DE-THOUARS")</f>
        <v>SAINT-JACQUES-DE-THOUARS</v>
      </c>
      <c r="E20394" s="38" t="s">
        <v>337</v>
      </c>
      <c r="F20394" s="38" t="s">
        <v>338</v>
      </c>
      <c r="G20394" s="49" t="str">
        <f t="shared" si="1"/>
        <v>79100</v>
      </c>
      <c r="H20394" s="49">
        <f t="shared" si="2"/>
        <v>79258</v>
      </c>
    </row>
    <row r="20395">
      <c r="A20395" s="48" t="s">
        <v>1060</v>
      </c>
      <c r="B20395" s="38">
        <v>57121.0</v>
      </c>
      <c r="C20395" s="38" t="s">
        <v>24897</v>
      </c>
      <c r="D20395" s="38" t="str">
        <f>IFERROR(__xludf.DUMMYFUNCTION("REGEXREPLACE(C20395,""-\d+(.*)|--\d+(.*)"","""")"),"BURTONCOURT")</f>
        <v>BURTONCOURT</v>
      </c>
      <c r="E20395" s="38" t="s">
        <v>303</v>
      </c>
      <c r="F20395" s="38" t="s">
        <v>195</v>
      </c>
      <c r="G20395" s="49" t="str">
        <f t="shared" si="1"/>
        <v>57220</v>
      </c>
      <c r="H20395" s="49">
        <f t="shared" si="2"/>
        <v>57121</v>
      </c>
    </row>
    <row r="20396">
      <c r="A20396" s="48" t="s">
        <v>1538</v>
      </c>
      <c r="B20396" s="38">
        <v>27442.0</v>
      </c>
      <c r="C20396" s="38" t="s">
        <v>24898</v>
      </c>
      <c r="D20396" s="38" t="str">
        <f>IFERROR(__xludf.DUMMYFUNCTION("REGEXREPLACE(C20396,""-\d+(.*)|--\d+(.*)"","""")"),"NOTRE-DAME-DU-HAMEL")</f>
        <v>NOTRE-DAME-DU-HAMEL</v>
      </c>
      <c r="E20396" s="38" t="s">
        <v>241</v>
      </c>
      <c r="F20396" s="38" t="s">
        <v>134</v>
      </c>
      <c r="G20396" s="49" t="str">
        <f t="shared" si="1"/>
        <v>27390</v>
      </c>
      <c r="H20396" s="49">
        <f t="shared" si="2"/>
        <v>27442</v>
      </c>
    </row>
    <row r="20397">
      <c r="A20397" s="48" t="s">
        <v>18768</v>
      </c>
      <c r="B20397" s="38">
        <v>33125.0</v>
      </c>
      <c r="C20397" s="38" t="s">
        <v>24899</v>
      </c>
      <c r="D20397" s="38" t="str">
        <f>IFERROR(__xludf.DUMMYFUNCTION("REGEXREPLACE(C20397,""-\d+(.*)|--\d+(.*)"","""")"),"CISSAC-MEDOC")</f>
        <v>CISSAC-MEDOC</v>
      </c>
      <c r="E20397" s="38" t="s">
        <v>462</v>
      </c>
      <c r="F20397" s="38" t="s">
        <v>252</v>
      </c>
      <c r="G20397" s="49" t="str">
        <f t="shared" si="1"/>
        <v>33250</v>
      </c>
      <c r="H20397" s="49">
        <f t="shared" si="2"/>
        <v>33125</v>
      </c>
    </row>
    <row r="20398">
      <c r="A20398" s="48" t="s">
        <v>8502</v>
      </c>
      <c r="B20398" s="38">
        <v>67070.0</v>
      </c>
      <c r="C20398" s="38" t="s">
        <v>24900</v>
      </c>
      <c r="D20398" s="38" t="str">
        <f>IFERROR(__xludf.DUMMYFUNCTION("REGEXREPLACE(C20398,""-\d+(.*)|--\d+(.*)"","""")"),"BURBACH")</f>
        <v>BURBACH</v>
      </c>
      <c r="E20398" s="38" t="s">
        <v>210</v>
      </c>
      <c r="F20398" s="38" t="s">
        <v>151</v>
      </c>
      <c r="G20398" s="49" t="str">
        <f t="shared" si="1"/>
        <v>67260</v>
      </c>
      <c r="H20398" s="49">
        <f t="shared" si="2"/>
        <v>67070</v>
      </c>
    </row>
    <row r="20399">
      <c r="A20399" s="48" t="s">
        <v>24901</v>
      </c>
      <c r="B20399" s="38">
        <v>63063.0</v>
      </c>
      <c r="C20399" s="38" t="s">
        <v>24902</v>
      </c>
      <c r="D20399" s="38" t="str">
        <f>IFERROR(__xludf.DUMMYFUNCTION("REGEXREPLACE(C20399,""-\d+(.*)|--\d+(.*)"","""")"),"CEBAZAT")</f>
        <v>CEBAZAT</v>
      </c>
      <c r="E20399" s="38" t="s">
        <v>353</v>
      </c>
      <c r="F20399" s="38" t="s">
        <v>161</v>
      </c>
      <c r="G20399" s="49" t="str">
        <f t="shared" si="1"/>
        <v>63118</v>
      </c>
      <c r="H20399" s="49">
        <f t="shared" si="2"/>
        <v>63063</v>
      </c>
    </row>
    <row r="20400">
      <c r="A20400" s="48" t="s">
        <v>5612</v>
      </c>
      <c r="B20400" s="38">
        <v>52355.0</v>
      </c>
      <c r="C20400" s="38" t="s">
        <v>24903</v>
      </c>
      <c r="D20400" s="38" t="str">
        <f>IFERROR(__xludf.DUMMYFUNCTION("REGEXREPLACE(C20400,""-\d+(.*)|--\d+(.*)"","""")"),"NOIDANT-LE-ROCHEUX")</f>
        <v>NOIDANT-LE-ROCHEUX</v>
      </c>
      <c r="E20400" s="38" t="s">
        <v>234</v>
      </c>
      <c r="F20400" s="38" t="s">
        <v>130</v>
      </c>
      <c r="G20400" s="49" t="str">
        <f t="shared" si="1"/>
        <v>52200</v>
      </c>
      <c r="H20400" s="49">
        <f t="shared" si="2"/>
        <v>52355</v>
      </c>
    </row>
    <row r="20401">
      <c r="A20401" s="48" t="s">
        <v>354</v>
      </c>
      <c r="B20401" s="38">
        <v>68360.0</v>
      </c>
      <c r="C20401" s="38" t="s">
        <v>24904</v>
      </c>
      <c r="D20401" s="38" t="str">
        <f>IFERROR(__xludf.DUMMYFUNCTION("REGEXREPLACE(C20401,""-\d+(.*)|--\d+(.*)"","""")"),"WECKOLSHEIM")</f>
        <v>WECKOLSHEIM</v>
      </c>
      <c r="E20401" s="38" t="s">
        <v>150</v>
      </c>
      <c r="F20401" s="38" t="s">
        <v>151</v>
      </c>
      <c r="G20401" s="49" t="str">
        <f t="shared" si="1"/>
        <v>68600</v>
      </c>
      <c r="H20401" s="49">
        <f t="shared" si="2"/>
        <v>68360</v>
      </c>
    </row>
    <row r="20402">
      <c r="A20402" s="48" t="s">
        <v>1157</v>
      </c>
      <c r="B20402" s="38">
        <v>16301.0</v>
      </c>
      <c r="C20402" s="38" t="s">
        <v>24905</v>
      </c>
      <c r="D20402" s="38" t="str">
        <f>IFERROR(__xludf.DUMMYFUNCTION("REGEXREPLACE(C20402,""-\d+(.*)|--\d+(.*)"","""")"),"SAINT-AULAIS-LA-CHAPELLE")</f>
        <v>SAINT-AULAIS-LA-CHAPELLE</v>
      </c>
      <c r="E20402" s="38" t="s">
        <v>429</v>
      </c>
      <c r="F20402" s="38" t="s">
        <v>338</v>
      </c>
      <c r="G20402" s="49" t="str">
        <f t="shared" si="1"/>
        <v>16300</v>
      </c>
      <c r="H20402" s="49">
        <f t="shared" si="2"/>
        <v>16301</v>
      </c>
    </row>
    <row r="20403">
      <c r="A20403" s="48" t="s">
        <v>12887</v>
      </c>
      <c r="B20403" s="38">
        <v>21586.0</v>
      </c>
      <c r="C20403" s="38" t="s">
        <v>24906</v>
      </c>
      <c r="D20403" s="38" t="str">
        <f>IFERROR(__xludf.DUMMYFUNCTION("REGEXREPLACE(C20403,""-\d+(.*)|--\d+(.*)"","""")"),"SAULON-LA-RUE")</f>
        <v>SAULON-LA-RUE</v>
      </c>
      <c r="E20403" s="38" t="s">
        <v>105</v>
      </c>
      <c r="F20403" s="38" t="s">
        <v>106</v>
      </c>
      <c r="G20403" s="49" t="str">
        <f t="shared" si="1"/>
        <v>21910</v>
      </c>
      <c r="H20403" s="49">
        <f t="shared" si="2"/>
        <v>21586</v>
      </c>
    </row>
    <row r="20404">
      <c r="A20404" s="48" t="s">
        <v>2788</v>
      </c>
      <c r="B20404" s="38">
        <v>35137.0</v>
      </c>
      <c r="C20404" s="38" t="s">
        <v>24907</v>
      </c>
      <c r="D20404" s="38" t="str">
        <f>IFERROR(__xludf.DUMMYFUNCTION("REGEXREPLACE(C20404,""-\d+(.*)|--\d+(.*)"","""")"),"JAVENE")</f>
        <v>JAVENE</v>
      </c>
      <c r="E20404" s="38" t="s">
        <v>347</v>
      </c>
      <c r="F20404" s="38" t="s">
        <v>90</v>
      </c>
      <c r="G20404" s="49" t="str">
        <f t="shared" si="1"/>
        <v>35133</v>
      </c>
      <c r="H20404" s="49">
        <f t="shared" si="2"/>
        <v>35137</v>
      </c>
    </row>
    <row r="20405">
      <c r="A20405" s="48" t="s">
        <v>21801</v>
      </c>
      <c r="B20405" s="38">
        <v>81114.0</v>
      </c>
      <c r="C20405" s="38" t="s">
        <v>24908</v>
      </c>
      <c r="D20405" s="38" t="str">
        <f>IFERROR(__xludf.DUMMYFUNCTION("REGEXREPLACE(C20405,""-\d+(.*)|--\d+(.*)"","""")"),"LABASTIDE-GABAUSSE")</f>
        <v>LABASTIDE-GABAUSSE</v>
      </c>
      <c r="E20405" s="38" t="s">
        <v>231</v>
      </c>
      <c r="F20405" s="38" t="s">
        <v>94</v>
      </c>
      <c r="G20405" s="49" t="str">
        <f t="shared" si="1"/>
        <v>81400</v>
      </c>
      <c r="H20405" s="49">
        <f t="shared" si="2"/>
        <v>81114</v>
      </c>
    </row>
    <row r="20406">
      <c r="A20406" s="48" t="s">
        <v>8680</v>
      </c>
      <c r="B20406" s="38">
        <v>72237.0</v>
      </c>
      <c r="C20406" s="38" t="s">
        <v>24909</v>
      </c>
      <c r="D20406" s="38" t="str">
        <f>IFERROR(__xludf.DUMMYFUNCTION("REGEXREPLACE(C20406,""-\d+(.*)|--\d+(.*)"","""")"),"PIRMIL")</f>
        <v>PIRMIL</v>
      </c>
      <c r="E20406" s="38" t="s">
        <v>521</v>
      </c>
      <c r="F20406" s="38" t="s">
        <v>180</v>
      </c>
      <c r="G20406" s="49" t="str">
        <f t="shared" si="1"/>
        <v>72430</v>
      </c>
      <c r="H20406" s="49">
        <f t="shared" si="2"/>
        <v>72237</v>
      </c>
    </row>
    <row r="20407">
      <c r="A20407" s="48" t="s">
        <v>13409</v>
      </c>
      <c r="B20407" s="38">
        <v>35307.0</v>
      </c>
      <c r="C20407" s="38" t="s">
        <v>24910</v>
      </c>
      <c r="D20407" s="38" t="str">
        <f>IFERROR(__xludf.DUMMYFUNCTION("REGEXREPLACE(C20407,""-\d+(.*)|--\d+(.*)"","""")"),"SAINT-PERN")</f>
        <v>SAINT-PERN</v>
      </c>
      <c r="E20407" s="38" t="s">
        <v>347</v>
      </c>
      <c r="F20407" s="38" t="s">
        <v>90</v>
      </c>
      <c r="G20407" s="49" t="str">
        <f t="shared" si="1"/>
        <v>35190</v>
      </c>
      <c r="H20407" s="49">
        <f t="shared" si="2"/>
        <v>35307</v>
      </c>
    </row>
    <row r="20408">
      <c r="A20408" s="48" t="s">
        <v>12083</v>
      </c>
      <c r="B20408" s="38">
        <v>26212.0</v>
      </c>
      <c r="C20408" s="38" t="s">
        <v>24911</v>
      </c>
      <c r="D20408" s="38" t="str">
        <f>IFERROR(__xludf.DUMMYFUNCTION("REGEXREPLACE(C20408,""-\d+(.*)|--\d+(.*)"","""")"),"MONTVENDRE")</f>
        <v>MONTVENDRE</v>
      </c>
      <c r="E20408" s="38" t="s">
        <v>126</v>
      </c>
      <c r="F20408" s="38" t="s">
        <v>102</v>
      </c>
      <c r="G20408" s="49" t="str">
        <f t="shared" si="1"/>
        <v>26120</v>
      </c>
      <c r="H20408" s="49">
        <f t="shared" si="2"/>
        <v>26212</v>
      </c>
    </row>
    <row r="20409">
      <c r="A20409" s="48" t="s">
        <v>1108</v>
      </c>
      <c r="B20409" s="38">
        <v>27232.0</v>
      </c>
      <c r="C20409" s="38" t="s">
        <v>24912</v>
      </c>
      <c r="D20409" s="38" t="str">
        <f>IFERROR(__xludf.DUMMYFUNCTION("REGEXREPLACE(C20409,""-\d+(.*)|--\d+(.*)"","""")"),"FARCEAUX")</f>
        <v>FARCEAUX</v>
      </c>
      <c r="E20409" s="38" t="s">
        <v>241</v>
      </c>
      <c r="F20409" s="38" t="s">
        <v>134</v>
      </c>
      <c r="G20409" s="49" t="str">
        <f t="shared" si="1"/>
        <v>27150</v>
      </c>
      <c r="H20409" s="49">
        <f t="shared" si="2"/>
        <v>27232</v>
      </c>
    </row>
    <row r="20410">
      <c r="A20410" s="48" t="s">
        <v>1697</v>
      </c>
      <c r="B20410" s="38">
        <v>39200.0</v>
      </c>
      <c r="C20410" s="38" t="s">
        <v>24913</v>
      </c>
      <c r="D20410" s="38" t="str">
        <f>IFERROR(__xludf.DUMMYFUNCTION("REGEXREPLACE(C20410,""-\d+(.*)|--\d+(.*)"","""")"),"DOMPIERRE-SUR-MONT")</f>
        <v>DOMPIERRE-SUR-MONT</v>
      </c>
      <c r="E20410" s="38" t="s">
        <v>400</v>
      </c>
      <c r="F20410" s="38" t="s">
        <v>214</v>
      </c>
      <c r="G20410" s="49" t="str">
        <f t="shared" si="1"/>
        <v>39270</v>
      </c>
      <c r="H20410" s="49">
        <f t="shared" si="2"/>
        <v>39200</v>
      </c>
    </row>
    <row r="20411">
      <c r="A20411" s="48" t="s">
        <v>12997</v>
      </c>
      <c r="B20411" s="38">
        <v>65390.0</v>
      </c>
      <c r="C20411" s="38" t="s">
        <v>24914</v>
      </c>
      <c r="D20411" s="38" t="str">
        <f>IFERROR(__xludf.DUMMYFUNCTION("REGEXREPLACE(C20411,""-\d+(.*)|--\d+(.*)"","""")"),"SAINT-LEZER")</f>
        <v>SAINT-LEZER</v>
      </c>
      <c r="E20411" s="38" t="s">
        <v>200</v>
      </c>
      <c r="F20411" s="38" t="s">
        <v>94</v>
      </c>
      <c r="G20411" s="49" t="str">
        <f t="shared" si="1"/>
        <v>65500</v>
      </c>
      <c r="H20411" s="49">
        <f t="shared" si="2"/>
        <v>65390</v>
      </c>
    </row>
    <row r="20412">
      <c r="A20412" s="48" t="s">
        <v>1750</v>
      </c>
      <c r="B20412" s="38">
        <v>37054.0</v>
      </c>
      <c r="C20412" s="38" t="s">
        <v>24915</v>
      </c>
      <c r="D20412" s="38" t="str">
        <f>IFERROR(__xludf.DUMMYFUNCTION("REGEXREPLACE(C20412,""-\d+(.*)|--\d+(.*)"","""")"),"CHANCEAUX-SUR-CHOISILLE")</f>
        <v>CHANCEAUX-SUR-CHOISILLE</v>
      </c>
      <c r="E20412" s="38" t="s">
        <v>205</v>
      </c>
      <c r="F20412" s="38" t="s">
        <v>123</v>
      </c>
      <c r="G20412" s="49" t="str">
        <f t="shared" si="1"/>
        <v>37390</v>
      </c>
      <c r="H20412" s="49">
        <f t="shared" si="2"/>
        <v>37054</v>
      </c>
    </row>
    <row r="20413">
      <c r="A20413" s="48" t="s">
        <v>6296</v>
      </c>
      <c r="B20413" s="38">
        <v>50152.0</v>
      </c>
      <c r="C20413" s="38" t="s">
        <v>24916</v>
      </c>
      <c r="D20413" s="38" t="str">
        <f>IFERROR(__xludf.DUMMYFUNCTION("REGEXREPLACE(C20413,""-\d+(.*)|--\d+(.*)"","""")"),"LES CRESNAYS")</f>
        <v>LES CRESNAYS</v>
      </c>
      <c r="E20413" s="38" t="s">
        <v>157</v>
      </c>
      <c r="F20413" s="38" t="s">
        <v>138</v>
      </c>
      <c r="G20413" s="49" t="str">
        <f t="shared" si="1"/>
        <v>50370</v>
      </c>
      <c r="H20413" s="49">
        <f t="shared" si="2"/>
        <v>50152</v>
      </c>
    </row>
    <row r="20414">
      <c r="A20414" s="48" t="s">
        <v>4062</v>
      </c>
      <c r="B20414" s="38">
        <v>50078.0</v>
      </c>
      <c r="C20414" s="38" t="s">
        <v>24917</v>
      </c>
      <c r="D20414" s="38" t="str">
        <f>IFERROR(__xludf.DUMMYFUNCTION("REGEXREPLACE(C20414,""-\d+(.*)|--\d+(.*)"","""")"),"BRETTEVILLE-SUR-AY")</f>
        <v>BRETTEVILLE-SUR-AY</v>
      </c>
      <c r="E20414" s="38" t="s">
        <v>157</v>
      </c>
      <c r="F20414" s="38" t="s">
        <v>138</v>
      </c>
      <c r="G20414" s="49" t="str">
        <f t="shared" si="1"/>
        <v>50430</v>
      </c>
      <c r="H20414" s="49">
        <f t="shared" si="2"/>
        <v>50078</v>
      </c>
    </row>
    <row r="20415">
      <c r="A20415" s="48" t="s">
        <v>1420</v>
      </c>
      <c r="B20415" s="38">
        <v>4178.0</v>
      </c>
      <c r="C20415" s="38" t="s">
        <v>24918</v>
      </c>
      <c r="D20415" s="38" t="str">
        <f>IFERROR(__xludf.DUMMYFUNCTION("REGEXREPLACE(C20415,""-\d+(.*)|--\d+(.*)"","""")"),"SAINT-ETIENNE-LES-ORGUES")</f>
        <v>SAINT-ETIENNE-LES-ORGUES</v>
      </c>
      <c r="E20415" s="38" t="s">
        <v>662</v>
      </c>
      <c r="F20415" s="38" t="s">
        <v>228</v>
      </c>
      <c r="G20415" s="49" t="str">
        <f t="shared" si="1"/>
        <v>04230</v>
      </c>
      <c r="H20415" s="49" t="str">
        <f t="shared" si="2"/>
        <v>04178</v>
      </c>
    </row>
    <row r="20416">
      <c r="A20416" s="48" t="s">
        <v>1172</v>
      </c>
      <c r="B20416" s="38">
        <v>76660.0</v>
      </c>
      <c r="C20416" s="38" t="s">
        <v>24919</v>
      </c>
      <c r="D20416" s="38" t="str">
        <f>IFERROR(__xludf.DUMMYFUNCTION("REGEXREPLACE(C20416,""-\d+(.*)|--\d+(.*)"","""")"),"SANDOUVILLE")</f>
        <v>SANDOUVILLE</v>
      </c>
      <c r="E20416" s="38" t="s">
        <v>133</v>
      </c>
      <c r="F20416" s="38" t="s">
        <v>134</v>
      </c>
      <c r="G20416" s="49" t="str">
        <f t="shared" si="1"/>
        <v>76430</v>
      </c>
      <c r="H20416" s="49">
        <f t="shared" si="2"/>
        <v>76660</v>
      </c>
    </row>
    <row r="20417">
      <c r="A20417" s="48" t="s">
        <v>1785</v>
      </c>
      <c r="B20417" s="38">
        <v>42091.0</v>
      </c>
      <c r="C20417" s="38" t="s">
        <v>21381</v>
      </c>
      <c r="D20417" s="38" t="str">
        <f>IFERROR(__xludf.DUMMYFUNCTION("REGEXREPLACE(C20417,""-\d+(.*)|--\d+(.*)"","""")"),"ESTIVAREILLES")</f>
        <v>ESTIVAREILLES</v>
      </c>
      <c r="E20417" s="38" t="s">
        <v>166</v>
      </c>
      <c r="F20417" s="38" t="s">
        <v>102</v>
      </c>
      <c r="G20417" s="49" t="str">
        <f t="shared" si="1"/>
        <v>42380</v>
      </c>
      <c r="H20417" s="49">
        <f t="shared" si="2"/>
        <v>42091</v>
      </c>
    </row>
    <row r="20418">
      <c r="A20418" s="48" t="s">
        <v>24920</v>
      </c>
      <c r="B20418" s="38">
        <v>35240.0</v>
      </c>
      <c r="C20418" s="38" t="s">
        <v>24921</v>
      </c>
      <c r="D20418" s="38" t="str">
        <f>IFERROR(__xludf.DUMMYFUNCTION("REGEXREPLACE(C20418,""-\d+(.*)|--\d+(.*)"","""")"),"LE RHEU")</f>
        <v>LE RHEU</v>
      </c>
      <c r="E20418" s="38" t="s">
        <v>347</v>
      </c>
      <c r="F20418" s="38" t="s">
        <v>90</v>
      </c>
      <c r="G20418" s="49" t="str">
        <f t="shared" si="1"/>
        <v>35650</v>
      </c>
      <c r="H20418" s="49">
        <f t="shared" si="2"/>
        <v>35240</v>
      </c>
    </row>
    <row r="20419">
      <c r="A20419" s="48" t="s">
        <v>1883</v>
      </c>
      <c r="B20419" s="38">
        <v>39024.0</v>
      </c>
      <c r="C20419" s="38" t="s">
        <v>24922</v>
      </c>
      <c r="D20419" s="38" t="str">
        <f>IFERROR(__xludf.DUMMYFUNCTION("REGEXREPLACE(C20419,""-\d+(.*)|--\d+(.*)"","""")"),"AUDELANGE")</f>
        <v>AUDELANGE</v>
      </c>
      <c r="E20419" s="38" t="s">
        <v>400</v>
      </c>
      <c r="F20419" s="38" t="s">
        <v>214</v>
      </c>
      <c r="G20419" s="49" t="str">
        <f t="shared" si="1"/>
        <v>39700</v>
      </c>
      <c r="H20419" s="49">
        <f t="shared" si="2"/>
        <v>39024</v>
      </c>
    </row>
    <row r="20420">
      <c r="A20420" s="48" t="s">
        <v>3184</v>
      </c>
      <c r="B20420" s="38">
        <v>36078.0</v>
      </c>
      <c r="C20420" s="38" t="s">
        <v>24923</v>
      </c>
      <c r="D20420" s="38" t="str">
        <f>IFERROR(__xludf.DUMMYFUNCTION("REGEXREPLACE(C20420,""-\d+(.*)|--\d+(.*)"","""")"),"FOUGEROLLES")</f>
        <v>FOUGEROLLES</v>
      </c>
      <c r="E20420" s="38" t="s">
        <v>258</v>
      </c>
      <c r="F20420" s="38" t="s">
        <v>123</v>
      </c>
      <c r="G20420" s="49" t="str">
        <f t="shared" si="1"/>
        <v>36230</v>
      </c>
      <c r="H20420" s="49">
        <f t="shared" si="2"/>
        <v>36078</v>
      </c>
    </row>
    <row r="20421">
      <c r="A20421" s="48" t="s">
        <v>773</v>
      </c>
      <c r="B20421" s="38">
        <v>27465.0</v>
      </c>
      <c r="C20421" s="38" t="s">
        <v>24924</v>
      </c>
      <c r="D20421" s="38" t="str">
        <f>IFERROR(__xludf.DUMMYFUNCTION("REGEXREPLACE(C20421,""-\d+(.*)|--\d+(.*)"","""")"),"LE PLESSIS-HEBERT")</f>
        <v>LE PLESSIS-HEBERT</v>
      </c>
      <c r="E20421" s="38" t="s">
        <v>241</v>
      </c>
      <c r="F20421" s="38" t="s">
        <v>134</v>
      </c>
      <c r="G20421" s="49" t="str">
        <f t="shared" si="1"/>
        <v>27120</v>
      </c>
      <c r="H20421" s="49">
        <f t="shared" si="2"/>
        <v>27465</v>
      </c>
    </row>
    <row r="20422">
      <c r="A20422" s="48" t="s">
        <v>1905</v>
      </c>
      <c r="B20422" s="38">
        <v>29097.0</v>
      </c>
      <c r="C20422" s="38" t="s">
        <v>24925</v>
      </c>
      <c r="D20422" s="38" t="str">
        <f>IFERROR(__xludf.DUMMYFUNCTION("REGEXREPLACE(C20422,""-\d+(.*)|--\d+(.*)"","""")"),"LAMPAUL-GUIMILIAU")</f>
        <v>LAMPAUL-GUIMILIAU</v>
      </c>
      <c r="E20422" s="38" t="s">
        <v>176</v>
      </c>
      <c r="F20422" s="38" t="s">
        <v>90</v>
      </c>
      <c r="G20422" s="49" t="str">
        <f t="shared" si="1"/>
        <v>29400</v>
      </c>
      <c r="H20422" s="49">
        <f t="shared" si="2"/>
        <v>29097</v>
      </c>
    </row>
    <row r="20423">
      <c r="A20423" s="48" t="s">
        <v>16366</v>
      </c>
      <c r="B20423" s="38">
        <v>21008.0</v>
      </c>
      <c r="C20423" s="38" t="s">
        <v>24926</v>
      </c>
      <c r="D20423" s="38" t="str">
        <f>IFERROR(__xludf.DUMMYFUNCTION("REGEXREPLACE(C20423,""-\d+(.*)|--\d+(.*)"","""")"),"ALISE-SAINTE-REINE")</f>
        <v>ALISE-SAINTE-REINE</v>
      </c>
      <c r="E20423" s="38" t="s">
        <v>105</v>
      </c>
      <c r="F20423" s="38" t="s">
        <v>106</v>
      </c>
      <c r="G20423" s="49" t="str">
        <f t="shared" si="1"/>
        <v>21150</v>
      </c>
      <c r="H20423" s="49">
        <f t="shared" si="2"/>
        <v>21008</v>
      </c>
    </row>
    <row r="20424">
      <c r="A20424" s="48" t="s">
        <v>24927</v>
      </c>
      <c r="B20424" s="38">
        <v>65417.0</v>
      </c>
      <c r="C20424" s="38" t="s">
        <v>24928</v>
      </c>
      <c r="D20424" s="38" t="str">
        <f>IFERROR(__xludf.DUMMYFUNCTION("REGEXREPLACE(C20424,""-\d+(.*)|--\d+(.*)"","""")"),"SEMEAC")</f>
        <v>SEMEAC</v>
      </c>
      <c r="E20424" s="38" t="s">
        <v>200</v>
      </c>
      <c r="F20424" s="38" t="s">
        <v>94</v>
      </c>
      <c r="G20424" s="49" t="str">
        <f t="shared" si="1"/>
        <v>65600</v>
      </c>
      <c r="H20424" s="49">
        <f t="shared" si="2"/>
        <v>65417</v>
      </c>
    </row>
    <row r="20425">
      <c r="A20425" s="48" t="s">
        <v>2010</v>
      </c>
      <c r="B20425" s="38">
        <v>49083.0</v>
      </c>
      <c r="C20425" s="38" t="s">
        <v>24929</v>
      </c>
      <c r="D20425" s="38" t="str">
        <f>IFERROR(__xludf.DUMMYFUNCTION("REGEXREPLACE(C20425,""-\d+(.*)|--\d+(.*)"","""")"),"CHAUDRON-EN-MAUGES")</f>
        <v>CHAUDRON-EN-MAUGES</v>
      </c>
      <c r="E20425" s="38" t="s">
        <v>653</v>
      </c>
      <c r="F20425" s="38" t="s">
        <v>180</v>
      </c>
      <c r="G20425" s="49" t="str">
        <f t="shared" si="1"/>
        <v>49110</v>
      </c>
      <c r="H20425" s="49">
        <f t="shared" si="2"/>
        <v>49083</v>
      </c>
    </row>
    <row r="20426">
      <c r="A20426" s="48" t="s">
        <v>3359</v>
      </c>
      <c r="B20426" s="38">
        <v>9325.0</v>
      </c>
      <c r="C20426" s="38" t="s">
        <v>24930</v>
      </c>
      <c r="D20426" s="38" t="str">
        <f>IFERROR(__xludf.DUMMYFUNCTION("REGEXREPLACE(C20426,""-\d+(.*)|--\d+(.*)"","""")"),"VAYCHIS")</f>
        <v>VAYCHIS</v>
      </c>
      <c r="E20426" s="38" t="s">
        <v>238</v>
      </c>
      <c r="F20426" s="38" t="s">
        <v>94</v>
      </c>
      <c r="G20426" s="49" t="str">
        <f t="shared" si="1"/>
        <v>09110</v>
      </c>
      <c r="H20426" s="49" t="str">
        <f t="shared" si="2"/>
        <v>09325</v>
      </c>
    </row>
    <row r="20427">
      <c r="A20427" s="48" t="s">
        <v>24931</v>
      </c>
      <c r="B20427" s="38">
        <v>71040.0</v>
      </c>
      <c r="C20427" s="38" t="s">
        <v>24932</v>
      </c>
      <c r="D20427" s="38" t="str">
        <f>IFERROR(__xludf.DUMMYFUNCTION("REGEXREPLACE(C20427,""-\d+(.*)|--\d+(.*)"","""")"),"BLANZY")</f>
        <v>BLANZY</v>
      </c>
      <c r="E20427" s="38" t="s">
        <v>344</v>
      </c>
      <c r="F20427" s="38" t="s">
        <v>106</v>
      </c>
      <c r="G20427" s="49" t="str">
        <f t="shared" si="1"/>
        <v>71450</v>
      </c>
      <c r="H20427" s="49">
        <f t="shared" si="2"/>
        <v>71040</v>
      </c>
    </row>
    <row r="20428">
      <c r="A20428" s="48" t="s">
        <v>8742</v>
      </c>
      <c r="B20428" s="38">
        <v>27633.0</v>
      </c>
      <c r="C20428" s="38" t="s">
        <v>24933</v>
      </c>
      <c r="D20428" s="38" t="str">
        <f>IFERROR(__xludf.DUMMYFUNCTION("REGEXREPLACE(C20428,""-\d+(.*)|--\d+(.*)"","""")"),"LES THILLIERS-EN-VEXIN")</f>
        <v>LES THILLIERS-EN-VEXIN</v>
      </c>
      <c r="E20428" s="38" t="s">
        <v>241</v>
      </c>
      <c r="F20428" s="38" t="s">
        <v>134</v>
      </c>
      <c r="G20428" s="49" t="str">
        <f t="shared" si="1"/>
        <v>27420</v>
      </c>
      <c r="H20428" s="49">
        <f t="shared" si="2"/>
        <v>27633</v>
      </c>
    </row>
    <row r="20429">
      <c r="A20429" s="48" t="s">
        <v>8506</v>
      </c>
      <c r="B20429" s="38">
        <v>79212.0</v>
      </c>
      <c r="C20429" s="38" t="s">
        <v>24934</v>
      </c>
      <c r="D20429" s="38" t="str">
        <f>IFERROR(__xludf.DUMMYFUNCTION("REGEXREPLACE(C20429,""-\d+(.*)|--\d+(.*)"","""")"),"PLIBOUX")</f>
        <v>PLIBOUX</v>
      </c>
      <c r="E20429" s="38" t="s">
        <v>337</v>
      </c>
      <c r="F20429" s="38" t="s">
        <v>338</v>
      </c>
      <c r="G20429" s="49" t="str">
        <f t="shared" si="1"/>
        <v>79190</v>
      </c>
      <c r="H20429" s="49">
        <f t="shared" si="2"/>
        <v>79212</v>
      </c>
    </row>
    <row r="20430">
      <c r="A20430" s="48" t="s">
        <v>6073</v>
      </c>
      <c r="B20430" s="38">
        <v>40026.0</v>
      </c>
      <c r="C20430" s="38" t="s">
        <v>24935</v>
      </c>
      <c r="D20430" s="38" t="str">
        <f>IFERROR(__xludf.DUMMYFUNCTION("REGEXREPLACE(C20430,""-\d+(.*)|--\d+(.*)"","""")"),"BAS-MAUCO")</f>
        <v>BAS-MAUCO</v>
      </c>
      <c r="E20430" s="38" t="s">
        <v>281</v>
      </c>
      <c r="F20430" s="38" t="s">
        <v>252</v>
      </c>
      <c r="G20430" s="49" t="str">
        <f t="shared" si="1"/>
        <v>40500</v>
      </c>
      <c r="H20430" s="49">
        <f t="shared" si="2"/>
        <v>40026</v>
      </c>
    </row>
    <row r="20431">
      <c r="A20431" s="48" t="s">
        <v>3226</v>
      </c>
      <c r="B20431" s="38">
        <v>61222.0</v>
      </c>
      <c r="C20431" s="38" t="s">
        <v>24936</v>
      </c>
      <c r="D20431" s="38" t="str">
        <f>IFERROR(__xludf.DUMMYFUNCTION("REGEXREPLACE(C20431,""-\d+(.*)|--\d+(.*)"","""")"),"LANDISACQ")</f>
        <v>LANDISACQ</v>
      </c>
      <c r="E20431" s="38" t="s">
        <v>141</v>
      </c>
      <c r="F20431" s="38" t="s">
        <v>138</v>
      </c>
      <c r="G20431" s="49" t="str">
        <f t="shared" si="1"/>
        <v>61100</v>
      </c>
      <c r="H20431" s="49">
        <f t="shared" si="2"/>
        <v>61222</v>
      </c>
    </row>
    <row r="20432">
      <c r="A20432" s="48" t="s">
        <v>4131</v>
      </c>
      <c r="B20432" s="38">
        <v>27584.0</v>
      </c>
      <c r="C20432" s="38" t="s">
        <v>24937</v>
      </c>
      <c r="D20432" s="38" t="str">
        <f>IFERROR(__xludf.DUMMYFUNCTION("REGEXREPLACE(C20432,""-\d+(.*)|--\d+(.*)"","""")"),"SAINT-PAUL-DE-FOURQUES")</f>
        <v>SAINT-PAUL-DE-FOURQUES</v>
      </c>
      <c r="E20432" s="38" t="s">
        <v>241</v>
      </c>
      <c r="F20432" s="38" t="s">
        <v>134</v>
      </c>
      <c r="G20432" s="49" t="str">
        <f t="shared" si="1"/>
        <v>27800</v>
      </c>
      <c r="H20432" s="49">
        <f t="shared" si="2"/>
        <v>27584</v>
      </c>
    </row>
    <row r="20433">
      <c r="A20433" s="48" t="s">
        <v>2783</v>
      </c>
      <c r="B20433" s="38">
        <v>31208.0</v>
      </c>
      <c r="C20433" s="38" t="s">
        <v>24938</v>
      </c>
      <c r="D20433" s="38" t="str">
        <f>IFERROR(__xludf.DUMMYFUNCTION("REGEXREPLACE(C20433,""-\d+(.*)|--\d+(.*)"","""")"),"GANTIES")</f>
        <v>GANTIES</v>
      </c>
      <c r="E20433" s="38" t="s">
        <v>93</v>
      </c>
      <c r="F20433" s="38" t="s">
        <v>94</v>
      </c>
      <c r="G20433" s="49" t="str">
        <f t="shared" si="1"/>
        <v>31160</v>
      </c>
      <c r="H20433" s="49">
        <f t="shared" si="2"/>
        <v>31208</v>
      </c>
    </row>
    <row r="20434">
      <c r="A20434" s="48" t="s">
        <v>1089</v>
      </c>
      <c r="B20434" s="38">
        <v>67071.0</v>
      </c>
      <c r="C20434" s="38" t="s">
        <v>24939</v>
      </c>
      <c r="D20434" s="38" t="str">
        <f>IFERROR(__xludf.DUMMYFUNCTION("REGEXREPLACE(C20434,""-\d+(.*)|--\d+(.*)"","""")"),"BUST")</f>
        <v>BUST</v>
      </c>
      <c r="E20434" s="38" t="s">
        <v>210</v>
      </c>
      <c r="F20434" s="38" t="s">
        <v>151</v>
      </c>
      <c r="G20434" s="49" t="str">
        <f t="shared" si="1"/>
        <v>67320</v>
      </c>
      <c r="H20434" s="49">
        <f t="shared" si="2"/>
        <v>67071</v>
      </c>
    </row>
    <row r="20435">
      <c r="A20435" s="48" t="s">
        <v>814</v>
      </c>
      <c r="B20435" s="38">
        <v>4088.0</v>
      </c>
      <c r="C20435" s="38" t="s">
        <v>24940</v>
      </c>
      <c r="D20435" s="38" t="str">
        <f>IFERROR(__xludf.DUMMYFUNCTION("REGEXREPLACE(C20435,""-\d+(.*)|--\d+(.*)"","""")"),"FORCALQUIER")</f>
        <v>FORCALQUIER</v>
      </c>
      <c r="E20435" s="38" t="s">
        <v>662</v>
      </c>
      <c r="F20435" s="38" t="s">
        <v>228</v>
      </c>
      <c r="G20435" s="49" t="str">
        <f t="shared" si="1"/>
        <v>04300</v>
      </c>
      <c r="H20435" s="49" t="str">
        <f t="shared" si="2"/>
        <v>04088</v>
      </c>
    </row>
    <row r="20436">
      <c r="A20436" s="48" t="s">
        <v>3545</v>
      </c>
      <c r="B20436" s="38">
        <v>17432.0</v>
      </c>
      <c r="C20436" s="38" t="s">
        <v>24941</v>
      </c>
      <c r="D20436" s="38" t="str">
        <f>IFERROR(__xludf.DUMMYFUNCTION("REGEXREPLACE(C20436,""-\d+(.*)|--\d+(.*)"","""")"),"SOUMERAS")</f>
        <v>SOUMERAS</v>
      </c>
      <c r="E20436" s="38" t="s">
        <v>488</v>
      </c>
      <c r="F20436" s="38" t="s">
        <v>338</v>
      </c>
      <c r="G20436" s="49" t="str">
        <f t="shared" si="1"/>
        <v>17130</v>
      </c>
      <c r="H20436" s="49">
        <f t="shared" si="2"/>
        <v>17432</v>
      </c>
    </row>
    <row r="20437">
      <c r="A20437" s="48" t="s">
        <v>2534</v>
      </c>
      <c r="B20437" s="38">
        <v>27639.0</v>
      </c>
      <c r="C20437" s="38" t="s">
        <v>24942</v>
      </c>
      <c r="D20437" s="38" t="str">
        <f>IFERROR(__xludf.DUMMYFUNCTION("REGEXREPLACE(C20437,""-\d+(.*)|--\d+(.*)"","""")"),"LE THUIT-SIMER")</f>
        <v>LE THUIT-SIMER</v>
      </c>
      <c r="E20437" s="38" t="s">
        <v>241</v>
      </c>
      <c r="F20437" s="38" t="s">
        <v>134</v>
      </c>
      <c r="G20437" s="49" t="str">
        <f t="shared" si="1"/>
        <v>27370</v>
      </c>
      <c r="H20437" s="49">
        <f t="shared" si="2"/>
        <v>27639</v>
      </c>
    </row>
    <row r="20438">
      <c r="A20438" s="48" t="s">
        <v>651</v>
      </c>
      <c r="B20438" s="38">
        <v>49181.0</v>
      </c>
      <c r="C20438" s="38" t="s">
        <v>24943</v>
      </c>
      <c r="D20438" s="38" t="str">
        <f>IFERROR(__xludf.DUMMYFUNCTION("REGEXREPLACE(C20438,""-\d+(.*)|--\d+(.*)"","""")"),"LOUERRE")</f>
        <v>LOUERRE</v>
      </c>
      <c r="E20438" s="38" t="s">
        <v>653</v>
      </c>
      <c r="F20438" s="38" t="s">
        <v>180</v>
      </c>
      <c r="G20438" s="49" t="str">
        <f t="shared" si="1"/>
        <v>49700</v>
      </c>
      <c r="H20438" s="49">
        <f t="shared" si="2"/>
        <v>49181</v>
      </c>
    </row>
    <row r="20439">
      <c r="A20439" s="48" t="s">
        <v>1742</v>
      </c>
      <c r="B20439" s="38">
        <v>21317.0</v>
      </c>
      <c r="C20439" s="38" t="s">
        <v>24944</v>
      </c>
      <c r="D20439" s="38" t="str">
        <f>IFERROR(__xludf.DUMMYFUNCTION("REGEXREPLACE(C20439,""-\d+(.*)|--\d+(.*)"","""")"),"IS-SUR-TILLE")</f>
        <v>IS-SUR-TILLE</v>
      </c>
      <c r="E20439" s="38" t="s">
        <v>105</v>
      </c>
      <c r="F20439" s="38" t="s">
        <v>106</v>
      </c>
      <c r="G20439" s="49" t="str">
        <f t="shared" si="1"/>
        <v>21120</v>
      </c>
      <c r="H20439" s="49">
        <f t="shared" si="2"/>
        <v>21317</v>
      </c>
    </row>
    <row r="20440">
      <c r="A20440" s="48" t="s">
        <v>2705</v>
      </c>
      <c r="B20440" s="38">
        <v>77244.0</v>
      </c>
      <c r="C20440" s="38" t="s">
        <v>24945</v>
      </c>
      <c r="D20440" s="38" t="str">
        <f>IFERROR(__xludf.DUMMYFUNCTION("REGEXREPLACE(C20440,""-\d+(.*)|--\d+(.*)"","""")"),"LARCHANT")</f>
        <v>LARCHANT</v>
      </c>
      <c r="E20440" s="38" t="s">
        <v>244</v>
      </c>
      <c r="F20440" s="38" t="s">
        <v>245</v>
      </c>
      <c r="G20440" s="49" t="str">
        <f t="shared" si="1"/>
        <v>77760</v>
      </c>
      <c r="H20440" s="49">
        <f t="shared" si="2"/>
        <v>77244</v>
      </c>
    </row>
    <row r="20441">
      <c r="A20441" s="48" t="s">
        <v>5008</v>
      </c>
      <c r="B20441" s="38">
        <v>76637.0</v>
      </c>
      <c r="C20441" s="38" t="s">
        <v>24946</v>
      </c>
      <c r="D20441" s="38" t="str">
        <f>IFERROR(__xludf.DUMMYFUNCTION("REGEXREPLACE(C20441,""-\d+(.*)|--\d+(.*)"","""")"),"SAINT-PIERRE-EN-PORT")</f>
        <v>SAINT-PIERRE-EN-PORT</v>
      </c>
      <c r="E20441" s="38" t="s">
        <v>133</v>
      </c>
      <c r="F20441" s="38" t="s">
        <v>134</v>
      </c>
      <c r="G20441" s="49" t="str">
        <f t="shared" si="1"/>
        <v>76540</v>
      </c>
      <c r="H20441" s="49">
        <f t="shared" si="2"/>
        <v>76637</v>
      </c>
    </row>
    <row r="20442">
      <c r="A20442" s="48" t="s">
        <v>9965</v>
      </c>
      <c r="B20442" s="38">
        <v>19112.0</v>
      </c>
      <c r="C20442" s="38" t="s">
        <v>24947</v>
      </c>
      <c r="D20442" s="38" t="str">
        <f>IFERROR(__xludf.DUMMYFUNCTION("REGEXREPLACE(C20442,""-\d+(.*)|--\d+(.*)"","""")"),"LESTARDS")</f>
        <v>LESTARDS</v>
      </c>
      <c r="E20442" s="38" t="s">
        <v>271</v>
      </c>
      <c r="F20442" s="38" t="s">
        <v>98</v>
      </c>
      <c r="G20442" s="49" t="str">
        <f t="shared" si="1"/>
        <v>19170</v>
      </c>
      <c r="H20442" s="49">
        <f t="shared" si="2"/>
        <v>19112</v>
      </c>
    </row>
    <row r="20443">
      <c r="A20443" s="48" t="s">
        <v>4373</v>
      </c>
      <c r="B20443" s="38">
        <v>82156.0</v>
      </c>
      <c r="C20443" s="38" t="s">
        <v>24948</v>
      </c>
      <c r="D20443" s="38" t="str">
        <f>IFERROR(__xludf.DUMMYFUNCTION("REGEXREPLACE(C20443,""-\d+(.*)|--\d+(.*)"","""")"),"SAINT-ARROUMEX")</f>
        <v>SAINT-ARROUMEX</v>
      </c>
      <c r="E20443" s="38" t="s">
        <v>570</v>
      </c>
      <c r="F20443" s="38" t="s">
        <v>94</v>
      </c>
      <c r="G20443" s="49" t="str">
        <f t="shared" si="1"/>
        <v>82210</v>
      </c>
      <c r="H20443" s="49">
        <f t="shared" si="2"/>
        <v>82156</v>
      </c>
    </row>
    <row r="20444">
      <c r="A20444" s="48" t="s">
        <v>4054</v>
      </c>
      <c r="B20444" s="38">
        <v>88057.0</v>
      </c>
      <c r="C20444" s="38" t="s">
        <v>24949</v>
      </c>
      <c r="D20444" s="38" t="str">
        <f>IFERROR(__xludf.DUMMYFUNCTION("REGEXREPLACE(C20444,""-\d+(.*)|--\d+(.*)"","""")"),"LE BEULAY")</f>
        <v>LE BEULAY</v>
      </c>
      <c r="E20444" s="38" t="s">
        <v>194</v>
      </c>
      <c r="F20444" s="38" t="s">
        <v>195</v>
      </c>
      <c r="G20444" s="49" t="str">
        <f t="shared" si="1"/>
        <v>88490</v>
      </c>
      <c r="H20444" s="49">
        <f t="shared" si="2"/>
        <v>88057</v>
      </c>
    </row>
    <row r="20445">
      <c r="A20445" s="48" t="s">
        <v>8336</v>
      </c>
      <c r="B20445" s="38">
        <v>85139.0</v>
      </c>
      <c r="C20445" s="38" t="s">
        <v>24950</v>
      </c>
      <c r="D20445" s="38" t="str">
        <f>IFERROR(__xludf.DUMMYFUNCTION("REGEXREPLACE(C20445,""-\d+(.*)|--\d+(.*)"","""")"),"LE MAZEAU")</f>
        <v>LE MAZEAU</v>
      </c>
      <c r="E20445" s="38" t="s">
        <v>179</v>
      </c>
      <c r="F20445" s="38" t="s">
        <v>180</v>
      </c>
      <c r="G20445" s="49" t="str">
        <f t="shared" si="1"/>
        <v>85420</v>
      </c>
      <c r="H20445" s="49">
        <f t="shared" si="2"/>
        <v>85139</v>
      </c>
    </row>
    <row r="20446">
      <c r="A20446" s="48" t="s">
        <v>3268</v>
      </c>
      <c r="B20446" s="38">
        <v>82123.0</v>
      </c>
      <c r="C20446" s="38" t="s">
        <v>24951</v>
      </c>
      <c r="D20446" s="38" t="str">
        <f>IFERROR(__xludf.DUMMYFUNCTION("REGEXREPLACE(C20446,""-\d+(.*)|--\d+(.*)"","""")"),"MONTBARTIER")</f>
        <v>MONTBARTIER</v>
      </c>
      <c r="E20446" s="38" t="s">
        <v>570</v>
      </c>
      <c r="F20446" s="38" t="s">
        <v>94</v>
      </c>
      <c r="G20446" s="49" t="str">
        <f t="shared" si="1"/>
        <v>82700</v>
      </c>
      <c r="H20446" s="49">
        <f t="shared" si="2"/>
        <v>82123</v>
      </c>
    </row>
    <row r="20447">
      <c r="A20447" s="48" t="s">
        <v>1605</v>
      </c>
      <c r="B20447" s="38">
        <v>17182.0</v>
      </c>
      <c r="C20447" s="38" t="s">
        <v>24952</v>
      </c>
      <c r="D20447" s="38" t="str">
        <f>IFERROR(__xludf.DUMMYFUNCTION("REGEXREPLACE(C20447,""-\d+(.*)|--\d+(.*)"","""")"),"LA GREVE-SUR-MIGNON")</f>
        <v>LA GREVE-SUR-MIGNON</v>
      </c>
      <c r="E20447" s="38" t="s">
        <v>488</v>
      </c>
      <c r="F20447" s="38" t="s">
        <v>338</v>
      </c>
      <c r="G20447" s="49" t="str">
        <f t="shared" si="1"/>
        <v>17170</v>
      </c>
      <c r="H20447" s="49">
        <f t="shared" si="2"/>
        <v>17182</v>
      </c>
    </row>
    <row r="20448">
      <c r="A20448" s="48" t="s">
        <v>7164</v>
      </c>
      <c r="B20448" s="38">
        <v>15146.0</v>
      </c>
      <c r="C20448" s="38" t="s">
        <v>24953</v>
      </c>
      <c r="D20448" s="38" t="str">
        <f>IFERROR(__xludf.DUMMYFUNCTION("REGEXREPLACE(C20448,""-\d+(.*)|--\d+(.*)"","""")"),"PAILHEROLS")</f>
        <v>PAILHEROLS</v>
      </c>
      <c r="E20448" s="38" t="s">
        <v>632</v>
      </c>
      <c r="F20448" s="38" t="s">
        <v>161</v>
      </c>
      <c r="G20448" s="49" t="str">
        <f t="shared" si="1"/>
        <v>15800</v>
      </c>
      <c r="H20448" s="49">
        <f t="shared" si="2"/>
        <v>15146</v>
      </c>
    </row>
    <row r="20449">
      <c r="A20449" s="48" t="s">
        <v>22674</v>
      </c>
      <c r="B20449" s="38">
        <v>40272.0</v>
      </c>
      <c r="C20449" s="38" t="s">
        <v>24954</v>
      </c>
      <c r="D20449" s="38" t="str">
        <f>IFERROR(__xludf.DUMMYFUNCTION("REGEXREPLACE(C20449,""-\d+(.*)|--\d+(.*)"","""")"),"SAINT-MARTIN-DE-HINX")</f>
        <v>SAINT-MARTIN-DE-HINX</v>
      </c>
      <c r="E20449" s="38" t="s">
        <v>281</v>
      </c>
      <c r="F20449" s="38" t="s">
        <v>252</v>
      </c>
      <c r="G20449" s="49" t="str">
        <f t="shared" si="1"/>
        <v>40390</v>
      </c>
      <c r="H20449" s="49">
        <f t="shared" si="2"/>
        <v>40272</v>
      </c>
    </row>
    <row r="20450">
      <c r="A20450" s="48" t="s">
        <v>162</v>
      </c>
      <c r="B20450" s="38">
        <v>31428.0</v>
      </c>
      <c r="C20450" s="38" t="s">
        <v>8075</v>
      </c>
      <c r="D20450" s="38" t="str">
        <f>IFERROR(__xludf.DUMMYFUNCTION("REGEXREPLACE(C20450,""-\d+(.*)|--\d+(.*)"","""")"),"POLASTRON")</f>
        <v>POLASTRON</v>
      </c>
      <c r="E20450" s="38" t="s">
        <v>93</v>
      </c>
      <c r="F20450" s="38" t="s">
        <v>94</v>
      </c>
      <c r="G20450" s="49" t="str">
        <f t="shared" si="1"/>
        <v>31430</v>
      </c>
      <c r="H20450" s="49">
        <f t="shared" si="2"/>
        <v>31428</v>
      </c>
    </row>
    <row r="20451">
      <c r="A20451" s="48" t="s">
        <v>1588</v>
      </c>
      <c r="B20451" s="38">
        <v>9027.0</v>
      </c>
      <c r="C20451" s="38" t="s">
        <v>24955</v>
      </c>
      <c r="D20451" s="38" t="str">
        <f>IFERROR(__xludf.DUMMYFUNCTION("REGEXREPLACE(C20451,""-\d+(.*)|--\d+(.*)"","""")"),"AUGIREIN")</f>
        <v>AUGIREIN</v>
      </c>
      <c r="E20451" s="38" t="s">
        <v>238</v>
      </c>
      <c r="F20451" s="38" t="s">
        <v>94</v>
      </c>
      <c r="G20451" s="49" t="str">
        <f t="shared" si="1"/>
        <v>09800</v>
      </c>
      <c r="H20451" s="49" t="str">
        <f t="shared" si="2"/>
        <v>09027</v>
      </c>
    </row>
    <row r="20452">
      <c r="A20452" s="48" t="s">
        <v>952</v>
      </c>
      <c r="B20452" s="38">
        <v>82115.0</v>
      </c>
      <c r="C20452" s="38" t="s">
        <v>24956</v>
      </c>
      <c r="D20452" s="38" t="str">
        <f>IFERROR(__xludf.DUMMYFUNCTION("REGEXREPLACE(C20452,""-\d+(.*)|--\d+(.*)"","""")"),"MONCLAR-DE-QUERCY")</f>
        <v>MONCLAR-DE-QUERCY</v>
      </c>
      <c r="E20452" s="38" t="s">
        <v>570</v>
      </c>
      <c r="F20452" s="38" t="s">
        <v>94</v>
      </c>
      <c r="G20452" s="49" t="str">
        <f t="shared" si="1"/>
        <v>82230</v>
      </c>
      <c r="H20452" s="49">
        <f t="shared" si="2"/>
        <v>82115</v>
      </c>
    </row>
    <row r="20453">
      <c r="A20453" s="48" t="s">
        <v>19788</v>
      </c>
      <c r="B20453" s="38">
        <v>17477.0</v>
      </c>
      <c r="C20453" s="38" t="s">
        <v>24957</v>
      </c>
      <c r="D20453" s="38" t="str">
        <f>IFERROR(__xludf.DUMMYFUNCTION("REGEXREPLACE(C20453,""-\d+(.*)|--\d+(.*)"","""")"),"VILLIERS-COUTURE")</f>
        <v>VILLIERS-COUTURE</v>
      </c>
      <c r="E20453" s="38" t="s">
        <v>488</v>
      </c>
      <c r="F20453" s="38" t="s">
        <v>338</v>
      </c>
      <c r="G20453" s="49" t="str">
        <f t="shared" si="1"/>
        <v>17510</v>
      </c>
      <c r="H20453" s="49">
        <f t="shared" si="2"/>
        <v>17477</v>
      </c>
    </row>
    <row r="20454">
      <c r="A20454" s="48" t="s">
        <v>3677</v>
      </c>
      <c r="B20454" s="38">
        <v>89142.0</v>
      </c>
      <c r="C20454" s="38" t="s">
        <v>24958</v>
      </c>
      <c r="D20454" s="38" t="str">
        <f>IFERROR(__xludf.DUMMYFUNCTION("REGEXREPLACE(C20454,""-\d+(.*)|--\d+(.*)"","""")"),"DIXMONT")</f>
        <v>DIXMONT</v>
      </c>
      <c r="E20454" s="38" t="s">
        <v>275</v>
      </c>
      <c r="F20454" s="38" t="s">
        <v>106</v>
      </c>
      <c r="G20454" s="49" t="str">
        <f t="shared" si="1"/>
        <v>89500</v>
      </c>
      <c r="H20454" s="49">
        <f t="shared" si="2"/>
        <v>89142</v>
      </c>
    </row>
    <row r="20455">
      <c r="A20455" s="48" t="s">
        <v>2170</v>
      </c>
      <c r="B20455" s="38">
        <v>80080.0</v>
      </c>
      <c r="C20455" s="38" t="s">
        <v>24959</v>
      </c>
      <c r="D20455" s="38" t="str">
        <f>IFERROR(__xludf.DUMMYFUNCTION("REGEXREPLACE(C20455,""-\d+(.*)|--\d+(.*)"","""")"),"BELLOY-EN-SANTERRE")</f>
        <v>BELLOY-EN-SANTERRE</v>
      </c>
      <c r="E20455" s="38" t="s">
        <v>224</v>
      </c>
      <c r="F20455" s="38" t="s">
        <v>113</v>
      </c>
      <c r="G20455" s="49" t="str">
        <f t="shared" si="1"/>
        <v>80200</v>
      </c>
      <c r="H20455" s="49">
        <f t="shared" si="2"/>
        <v>80080</v>
      </c>
    </row>
    <row r="20456">
      <c r="A20456" s="48" t="s">
        <v>3404</v>
      </c>
      <c r="B20456" s="38">
        <v>39549.0</v>
      </c>
      <c r="C20456" s="38" t="s">
        <v>24960</v>
      </c>
      <c r="D20456" s="38" t="str">
        <f>IFERROR(__xludf.DUMMYFUNCTION("REGEXREPLACE(C20456,""-\d+(.*)|--\d+(.*)"","""")"),"VERCIA")</f>
        <v>VERCIA</v>
      </c>
      <c r="E20456" s="38" t="s">
        <v>400</v>
      </c>
      <c r="F20456" s="38" t="s">
        <v>214</v>
      </c>
      <c r="G20456" s="49" t="str">
        <f t="shared" si="1"/>
        <v>39190</v>
      </c>
      <c r="H20456" s="49">
        <f t="shared" si="2"/>
        <v>39549</v>
      </c>
    </row>
    <row r="20457">
      <c r="A20457" s="48" t="s">
        <v>4352</v>
      </c>
      <c r="B20457" s="38">
        <v>81075.0</v>
      </c>
      <c r="C20457" s="38" t="s">
        <v>24961</v>
      </c>
      <c r="D20457" s="38" t="str">
        <f>IFERROR(__xludf.DUMMYFUNCTION("REGEXREPLACE(C20457,""-\d+(.*)|--\d+(.*)"","""")"),"CUQ")</f>
        <v>CUQ</v>
      </c>
      <c r="E20457" s="38" t="s">
        <v>231</v>
      </c>
      <c r="F20457" s="38" t="s">
        <v>94</v>
      </c>
      <c r="G20457" s="49" t="str">
        <f t="shared" si="1"/>
        <v>81570</v>
      </c>
      <c r="H20457" s="49">
        <f t="shared" si="2"/>
        <v>81075</v>
      </c>
    </row>
    <row r="20458">
      <c r="A20458" s="48" t="s">
        <v>2190</v>
      </c>
      <c r="B20458" s="38">
        <v>10291.0</v>
      </c>
      <c r="C20458" s="38" t="s">
        <v>24962</v>
      </c>
      <c r="D20458" s="38" t="str">
        <f>IFERROR(__xludf.DUMMYFUNCTION("REGEXREPLACE(C20458,""-\d+(.*)|--\d+(.*)"","""")"),"PLESSIS-BARBUISE")</f>
        <v>PLESSIS-BARBUISE</v>
      </c>
      <c r="E20458" s="38" t="s">
        <v>147</v>
      </c>
      <c r="F20458" s="38" t="s">
        <v>130</v>
      </c>
      <c r="G20458" s="49" t="str">
        <f t="shared" si="1"/>
        <v>10400</v>
      </c>
      <c r="H20458" s="49">
        <f t="shared" si="2"/>
        <v>10291</v>
      </c>
    </row>
    <row r="20459">
      <c r="A20459" s="48" t="s">
        <v>7645</v>
      </c>
      <c r="B20459" s="38">
        <v>34070.0</v>
      </c>
      <c r="C20459" s="38" t="s">
        <v>24963</v>
      </c>
      <c r="D20459" s="38" t="str">
        <f>IFERROR(__xludf.DUMMYFUNCTION("REGEXREPLACE(C20459,""-\d+(.*)|--\d+(.*)"","""")"),"CEBAZAN")</f>
        <v>CEBAZAN</v>
      </c>
      <c r="E20459" s="38" t="s">
        <v>118</v>
      </c>
      <c r="F20459" s="38" t="s">
        <v>119</v>
      </c>
      <c r="G20459" s="49" t="str">
        <f t="shared" si="1"/>
        <v>34360</v>
      </c>
      <c r="H20459" s="49">
        <f t="shared" si="2"/>
        <v>34070</v>
      </c>
    </row>
    <row r="20460">
      <c r="A20460" s="48" t="s">
        <v>4140</v>
      </c>
      <c r="B20460" s="38">
        <v>54571.0</v>
      </c>
      <c r="C20460" s="38" t="s">
        <v>24964</v>
      </c>
      <c r="D20460" s="38" t="str">
        <f>IFERROR(__xludf.DUMMYFUNCTION("REGEXREPLACE(C20460,""-\d+(.*)|--\d+(.*)"","""")"),"VILLE-EN-VERMOIS")</f>
        <v>VILLE-EN-VERMOIS</v>
      </c>
      <c r="E20460" s="38" t="s">
        <v>548</v>
      </c>
      <c r="F20460" s="38" t="s">
        <v>195</v>
      </c>
      <c r="G20460" s="49" t="str">
        <f t="shared" si="1"/>
        <v>54210</v>
      </c>
      <c r="H20460" s="49">
        <f t="shared" si="2"/>
        <v>54571</v>
      </c>
    </row>
    <row r="20461">
      <c r="A20461" s="48" t="s">
        <v>24086</v>
      </c>
      <c r="B20461" s="38">
        <v>8316.0</v>
      </c>
      <c r="C20461" s="38" t="s">
        <v>24965</v>
      </c>
      <c r="D20461" s="38" t="str">
        <f>IFERROR(__xludf.DUMMYFUNCTION("REGEXREPLACE(C20461,""-\d+(.*)|--\d+(.*)"","""")"),"NEUFMANIL")</f>
        <v>NEUFMANIL</v>
      </c>
      <c r="E20461" s="38" t="s">
        <v>327</v>
      </c>
      <c r="F20461" s="38" t="s">
        <v>130</v>
      </c>
      <c r="G20461" s="49" t="str">
        <f t="shared" si="1"/>
        <v>08700</v>
      </c>
      <c r="H20461" s="49" t="str">
        <f t="shared" si="2"/>
        <v>08316</v>
      </c>
    </row>
    <row r="20462">
      <c r="A20462" s="48" t="s">
        <v>24966</v>
      </c>
      <c r="B20462" s="38">
        <v>67414.0</v>
      </c>
      <c r="C20462" s="38" t="s">
        <v>24967</v>
      </c>
      <c r="D20462" s="38" t="str">
        <f>IFERROR(__xludf.DUMMYFUNCTION("REGEXREPLACE(C20462,""-\d+(.*)|--\d+(.*)"","""")"),"ROTHAU")</f>
        <v>ROTHAU</v>
      </c>
      <c r="E20462" s="38" t="s">
        <v>210</v>
      </c>
      <c r="F20462" s="38" t="s">
        <v>151</v>
      </c>
      <c r="G20462" s="49" t="str">
        <f t="shared" si="1"/>
        <v>67570</v>
      </c>
      <c r="H20462" s="49">
        <f t="shared" si="2"/>
        <v>67414</v>
      </c>
    </row>
    <row r="20463">
      <c r="A20463" s="48" t="s">
        <v>2526</v>
      </c>
      <c r="B20463" s="38">
        <v>70574.0</v>
      </c>
      <c r="C20463" s="38" t="s">
        <v>24968</v>
      </c>
      <c r="D20463" s="38" t="str">
        <f>IFERROR(__xludf.DUMMYFUNCTION("REGEXREPLACE(C20463,""-\d+(.*)|--\d+(.*)"","""")"),"VOLON")</f>
        <v>VOLON</v>
      </c>
      <c r="E20463" s="38" t="s">
        <v>956</v>
      </c>
      <c r="F20463" s="38" t="s">
        <v>214</v>
      </c>
      <c r="G20463" s="49" t="str">
        <f t="shared" si="1"/>
        <v>70180</v>
      </c>
      <c r="H20463" s="49">
        <f t="shared" si="2"/>
        <v>70574</v>
      </c>
    </row>
    <row r="20464">
      <c r="A20464" s="48" t="s">
        <v>10282</v>
      </c>
      <c r="B20464" s="38">
        <v>81311.0</v>
      </c>
      <c r="C20464" s="38" t="s">
        <v>24969</v>
      </c>
      <c r="D20464" s="38" t="str">
        <f>IFERROR(__xludf.DUMMYFUNCTION("REGEXREPLACE(C20464,""-\d+(.*)|--\d+(.*)"","""")"),"VENES")</f>
        <v>VENES</v>
      </c>
      <c r="E20464" s="38" t="s">
        <v>231</v>
      </c>
      <c r="F20464" s="38" t="s">
        <v>94</v>
      </c>
      <c r="G20464" s="49" t="str">
        <f t="shared" si="1"/>
        <v>81440</v>
      </c>
      <c r="H20464" s="49">
        <f t="shared" si="2"/>
        <v>81311</v>
      </c>
    </row>
    <row r="20465">
      <c r="A20465" s="48" t="s">
        <v>3759</v>
      </c>
      <c r="B20465" s="38">
        <v>17252.0</v>
      </c>
      <c r="C20465" s="38" t="s">
        <v>24970</v>
      </c>
      <c r="D20465" s="38" t="str">
        <f>IFERROR(__xludf.DUMMYFUNCTION("REGEXREPLACE(C20465,""-\d+(.*)|--\d+(.*)"","""")"),"LE MUNG")</f>
        <v>LE MUNG</v>
      </c>
      <c r="E20465" s="38" t="s">
        <v>488</v>
      </c>
      <c r="F20465" s="38" t="s">
        <v>338</v>
      </c>
      <c r="G20465" s="49" t="str">
        <f t="shared" si="1"/>
        <v>17350</v>
      </c>
      <c r="H20465" s="49">
        <f t="shared" si="2"/>
        <v>17252</v>
      </c>
    </row>
    <row r="20466">
      <c r="A20466" s="48" t="s">
        <v>1885</v>
      </c>
      <c r="B20466" s="38">
        <v>27547.0</v>
      </c>
      <c r="C20466" s="38" t="s">
        <v>24971</v>
      </c>
      <c r="D20466" s="38" t="str">
        <f>IFERROR(__xludf.DUMMYFUNCTION("REGEXREPLACE(C20466,""-\d+(.*)|--\d+(.*)"","""")"),"SAINT-GERMAIN-LA-CAMPAGNE")</f>
        <v>SAINT-GERMAIN-LA-CAMPAGNE</v>
      </c>
      <c r="E20466" s="38" t="s">
        <v>241</v>
      </c>
      <c r="F20466" s="38" t="s">
        <v>134</v>
      </c>
      <c r="G20466" s="49" t="str">
        <f t="shared" si="1"/>
        <v>27230</v>
      </c>
      <c r="H20466" s="49">
        <f t="shared" si="2"/>
        <v>27547</v>
      </c>
    </row>
    <row r="20467">
      <c r="A20467" s="48" t="s">
        <v>2526</v>
      </c>
      <c r="B20467" s="38">
        <v>70003.0</v>
      </c>
      <c r="C20467" s="38" t="s">
        <v>24972</v>
      </c>
      <c r="D20467" s="38" t="str">
        <f>IFERROR(__xludf.DUMMYFUNCTION("REGEXREPLACE(C20467,""-\d+(.*)|--\d+(.*)"","""")"),"ACHEY")</f>
        <v>ACHEY</v>
      </c>
      <c r="E20467" s="38" t="s">
        <v>956</v>
      </c>
      <c r="F20467" s="38" t="s">
        <v>214</v>
      </c>
      <c r="G20467" s="49" t="str">
        <f t="shared" si="1"/>
        <v>70180</v>
      </c>
      <c r="H20467" s="49">
        <f t="shared" si="2"/>
        <v>70003</v>
      </c>
    </row>
    <row r="20468">
      <c r="A20468" s="48" t="s">
        <v>14454</v>
      </c>
      <c r="B20468" s="38">
        <v>14640.0</v>
      </c>
      <c r="C20468" s="38" t="s">
        <v>24973</v>
      </c>
      <c r="D20468" s="38" t="str">
        <f>IFERROR(__xludf.DUMMYFUNCTION("REGEXREPLACE(C20468,""-\d+(.*)|--\d+(.*)"","""")"),"SAINT-PAIR")</f>
        <v>SAINT-PAIR</v>
      </c>
      <c r="E20468" s="38" t="s">
        <v>137</v>
      </c>
      <c r="F20468" s="38" t="s">
        <v>138</v>
      </c>
      <c r="G20468" s="49" t="str">
        <f t="shared" si="1"/>
        <v>14670</v>
      </c>
      <c r="H20468" s="49">
        <f t="shared" si="2"/>
        <v>14640</v>
      </c>
    </row>
    <row r="20469">
      <c r="A20469" s="48" t="s">
        <v>3260</v>
      </c>
      <c r="B20469" s="38">
        <v>3079.0</v>
      </c>
      <c r="C20469" s="38" t="s">
        <v>24974</v>
      </c>
      <c r="D20469" s="38" t="str">
        <f>IFERROR(__xludf.DUMMYFUNCTION("REGEXREPLACE(C20469,""-\d+(.*)|--\d+(.*)"","""")"),"CINDRE")</f>
        <v>CINDRE</v>
      </c>
      <c r="E20469" s="38" t="s">
        <v>160</v>
      </c>
      <c r="F20469" s="38" t="s">
        <v>161</v>
      </c>
      <c r="G20469" s="49" t="str">
        <f t="shared" si="1"/>
        <v>03220</v>
      </c>
      <c r="H20469" s="49" t="str">
        <f t="shared" si="2"/>
        <v>03079</v>
      </c>
    </row>
    <row r="20470">
      <c r="A20470" s="48" t="s">
        <v>2326</v>
      </c>
      <c r="B20470" s="38">
        <v>54133.0</v>
      </c>
      <c r="C20470" s="38" t="s">
        <v>24975</v>
      </c>
      <c r="D20470" s="38" t="str">
        <f>IFERROR(__xludf.DUMMYFUNCTION("REGEXREPLACE(C20470,""-\d+(.*)|--\d+(.*)"","""")"),"COINCOURT")</f>
        <v>COINCOURT</v>
      </c>
      <c r="E20470" s="38" t="s">
        <v>548</v>
      </c>
      <c r="F20470" s="38" t="s">
        <v>195</v>
      </c>
      <c r="G20470" s="49" t="str">
        <f t="shared" si="1"/>
        <v>54370</v>
      </c>
      <c r="H20470" s="49">
        <f t="shared" si="2"/>
        <v>54133</v>
      </c>
    </row>
    <row r="20471">
      <c r="A20471" s="48" t="s">
        <v>10307</v>
      </c>
      <c r="B20471" s="38">
        <v>35030.0</v>
      </c>
      <c r="C20471" s="38" t="s">
        <v>24976</v>
      </c>
      <c r="D20471" s="38" t="str">
        <f>IFERROR(__xludf.DUMMYFUNCTION("REGEXREPLACE(C20471,""-\d+(.*)|--\d+(.*)"","""")"),"LA BOSSE-DE-BRETAGNE")</f>
        <v>LA BOSSE-DE-BRETAGNE</v>
      </c>
      <c r="E20471" s="38" t="s">
        <v>347</v>
      </c>
      <c r="F20471" s="38" t="s">
        <v>90</v>
      </c>
      <c r="G20471" s="49" t="str">
        <f t="shared" si="1"/>
        <v>35320</v>
      </c>
      <c r="H20471" s="49">
        <f t="shared" si="2"/>
        <v>35030</v>
      </c>
    </row>
    <row r="20472">
      <c r="A20472" s="48" t="s">
        <v>2128</v>
      </c>
      <c r="B20472" s="38">
        <v>2597.0</v>
      </c>
      <c r="C20472" s="38" t="s">
        <v>24977</v>
      </c>
      <c r="D20472" s="38" t="str">
        <f>IFERROR(__xludf.DUMMYFUNCTION("REGEXREPLACE(C20472,""-\d+(.*)|--\d+(.*)"","""")"),"PERLES")</f>
        <v>PERLES</v>
      </c>
      <c r="E20472" s="38" t="s">
        <v>191</v>
      </c>
      <c r="F20472" s="38" t="s">
        <v>113</v>
      </c>
      <c r="G20472" s="49" t="str">
        <f t="shared" si="1"/>
        <v>02160</v>
      </c>
      <c r="H20472" s="49" t="str">
        <f t="shared" si="2"/>
        <v>02597</v>
      </c>
    </row>
    <row r="20473">
      <c r="A20473" s="48" t="s">
        <v>1036</v>
      </c>
      <c r="B20473" s="38">
        <v>57436.0</v>
      </c>
      <c r="C20473" s="38" t="s">
        <v>24978</v>
      </c>
      <c r="D20473" s="38" t="str">
        <f>IFERROR(__xludf.DUMMYFUNCTION("REGEXREPLACE(C20473,""-\d+(.*)|--\d+(.*)"","""")"),"MALAUCOURT-SUR-SEILLE")</f>
        <v>MALAUCOURT-SUR-SEILLE</v>
      </c>
      <c r="E20473" s="38" t="s">
        <v>303</v>
      </c>
      <c r="F20473" s="38" t="s">
        <v>195</v>
      </c>
      <c r="G20473" s="49" t="str">
        <f t="shared" si="1"/>
        <v>57590</v>
      </c>
      <c r="H20473" s="49">
        <f t="shared" si="2"/>
        <v>57436</v>
      </c>
    </row>
    <row r="20474">
      <c r="A20474" s="48" t="s">
        <v>21644</v>
      </c>
      <c r="B20474" s="38">
        <v>54205.0</v>
      </c>
      <c r="C20474" s="38" t="s">
        <v>24979</v>
      </c>
      <c r="D20474" s="38" t="str">
        <f>IFERROR(__xludf.DUMMYFUNCTION("REGEXREPLACE(C20474,""-\d+(.*)|--\d+(.*)"","""")"),"FOUG")</f>
        <v>FOUG</v>
      </c>
      <c r="E20474" s="38" t="s">
        <v>548</v>
      </c>
      <c r="F20474" s="38" t="s">
        <v>195</v>
      </c>
      <c r="G20474" s="49" t="str">
        <f t="shared" si="1"/>
        <v>54570</v>
      </c>
      <c r="H20474" s="49">
        <f t="shared" si="2"/>
        <v>54205</v>
      </c>
    </row>
    <row r="20475">
      <c r="A20475" s="48" t="s">
        <v>24980</v>
      </c>
      <c r="B20475" s="38">
        <v>28085.0</v>
      </c>
      <c r="C20475" s="38" t="s">
        <v>24981</v>
      </c>
      <c r="D20475" s="38" t="str">
        <f>IFERROR(__xludf.DUMMYFUNCTION("REGEXREPLACE(C20475,""-\d+(.*)|--\d+(.*)"","""")"),"CHARTRES")</f>
        <v>CHARTRES</v>
      </c>
      <c r="E20475" s="38" t="s">
        <v>300</v>
      </c>
      <c r="F20475" s="38" t="s">
        <v>123</v>
      </c>
      <c r="G20475" s="49" t="str">
        <f t="shared" si="1"/>
        <v>28000</v>
      </c>
      <c r="H20475" s="49">
        <f t="shared" si="2"/>
        <v>28085</v>
      </c>
    </row>
    <row r="20476">
      <c r="A20476" s="48" t="s">
        <v>5012</v>
      </c>
      <c r="B20476" s="38">
        <v>55199.0</v>
      </c>
      <c r="C20476" s="38" t="s">
        <v>24982</v>
      </c>
      <c r="D20476" s="38" t="str">
        <f>IFERROR(__xludf.DUMMYFUNCTION("REGEXREPLACE(C20476,""-\d+(.*)|--\d+(.*)"","""")"),"FROIDOS")</f>
        <v>FROIDOS</v>
      </c>
      <c r="E20476" s="38" t="s">
        <v>322</v>
      </c>
      <c r="F20476" s="38" t="s">
        <v>195</v>
      </c>
      <c r="G20476" s="49" t="str">
        <f t="shared" si="1"/>
        <v>55120</v>
      </c>
      <c r="H20476" s="49">
        <f t="shared" si="2"/>
        <v>55199</v>
      </c>
    </row>
    <row r="20477">
      <c r="A20477" s="48" t="s">
        <v>1881</v>
      </c>
      <c r="B20477" s="38">
        <v>69057.0</v>
      </c>
      <c r="C20477" s="38" t="s">
        <v>24983</v>
      </c>
      <c r="D20477" s="38" t="str">
        <f>IFERROR(__xludf.DUMMYFUNCTION("REGEXREPLACE(C20477,""-\d+(.*)|--\d+(.*)"","""")"),"CHEVINAY")</f>
        <v>CHEVINAY</v>
      </c>
      <c r="E20477" s="38" t="s">
        <v>350</v>
      </c>
      <c r="F20477" s="38" t="s">
        <v>102</v>
      </c>
      <c r="G20477" s="49" t="str">
        <f t="shared" si="1"/>
        <v>69210</v>
      </c>
      <c r="H20477" s="49">
        <f t="shared" si="2"/>
        <v>69057</v>
      </c>
    </row>
    <row r="20478">
      <c r="A20478" s="48" t="s">
        <v>18911</v>
      </c>
      <c r="B20478" s="38">
        <v>14496.0</v>
      </c>
      <c r="C20478" s="38" t="s">
        <v>10494</v>
      </c>
      <c r="D20478" s="38" t="str">
        <f>IFERROR(__xludf.DUMMYFUNCTION("REGEXREPLACE(C20478,""-\d+(.*)|--\d+(.*)"","""")"),"PERIGNY")</f>
        <v>PERIGNY</v>
      </c>
      <c r="E20478" s="38" t="s">
        <v>137</v>
      </c>
      <c r="F20478" s="38" t="s">
        <v>138</v>
      </c>
      <c r="G20478" s="49" t="str">
        <f t="shared" si="1"/>
        <v>14770</v>
      </c>
      <c r="H20478" s="49">
        <f t="shared" si="2"/>
        <v>14496</v>
      </c>
    </row>
    <row r="20479">
      <c r="A20479" s="48" t="s">
        <v>8349</v>
      </c>
      <c r="B20479" s="38">
        <v>34258.0</v>
      </c>
      <c r="C20479" s="38" t="s">
        <v>24984</v>
      </c>
      <c r="D20479" s="38" t="str">
        <f>IFERROR(__xludf.DUMMYFUNCTION("REGEXREPLACE(C20479,""-\d+(.*)|--\d+(.*)"","""")"),"SAINT-GENIES-DE-FONTEDIT")</f>
        <v>SAINT-GENIES-DE-FONTEDIT</v>
      </c>
      <c r="E20479" s="38" t="s">
        <v>118</v>
      </c>
      <c r="F20479" s="38" t="s">
        <v>119</v>
      </c>
      <c r="G20479" s="49" t="str">
        <f t="shared" si="1"/>
        <v>34480</v>
      </c>
      <c r="H20479" s="49">
        <f t="shared" si="2"/>
        <v>34258</v>
      </c>
    </row>
    <row r="20480">
      <c r="A20480" s="48" t="s">
        <v>12501</v>
      </c>
      <c r="B20480" s="38">
        <v>27331.0</v>
      </c>
      <c r="C20480" s="38" t="s">
        <v>24985</v>
      </c>
      <c r="D20480" s="38" t="str">
        <f>IFERROR(__xludf.DUMMYFUNCTION("REGEXREPLACE(C20480,""-\d+(.*)|--\d+(.*)"","""")"),"HEUBECOURT-HARICOURT")</f>
        <v>HEUBECOURT-HARICOURT</v>
      </c>
      <c r="E20480" s="38" t="s">
        <v>241</v>
      </c>
      <c r="F20480" s="38" t="s">
        <v>134</v>
      </c>
      <c r="G20480" s="49" t="str">
        <f t="shared" si="1"/>
        <v>27630</v>
      </c>
      <c r="H20480" s="49">
        <f t="shared" si="2"/>
        <v>27331</v>
      </c>
    </row>
    <row r="20481">
      <c r="A20481" s="48" t="s">
        <v>18533</v>
      </c>
      <c r="B20481" s="38">
        <v>77172.0</v>
      </c>
      <c r="C20481" s="38" t="s">
        <v>24986</v>
      </c>
      <c r="D20481" s="38" t="str">
        <f>IFERROR(__xludf.DUMMYFUNCTION("REGEXREPLACE(C20481,""-\d+(.*)|--\d+(.*)"","""")"),"ESMANS")</f>
        <v>ESMANS</v>
      </c>
      <c r="E20481" s="38" t="s">
        <v>244</v>
      </c>
      <c r="F20481" s="38" t="s">
        <v>245</v>
      </c>
      <c r="G20481" s="49" t="str">
        <f t="shared" si="1"/>
        <v>77940</v>
      </c>
      <c r="H20481" s="49">
        <f t="shared" si="2"/>
        <v>77172</v>
      </c>
    </row>
    <row r="20482">
      <c r="A20482" s="48" t="s">
        <v>9436</v>
      </c>
      <c r="B20482" s="38">
        <v>63111.0</v>
      </c>
      <c r="C20482" s="38" t="s">
        <v>24987</v>
      </c>
      <c r="D20482" s="38" t="str">
        <f>IFERROR(__xludf.DUMMYFUNCTION("REGEXREPLACE(C20482,""-\d+(.*)|--\d+(.*)"","""")"),"CLEMENSAT")</f>
        <v>CLEMENSAT</v>
      </c>
      <c r="E20482" s="38" t="s">
        <v>353</v>
      </c>
      <c r="F20482" s="38" t="s">
        <v>161</v>
      </c>
      <c r="G20482" s="49" t="str">
        <f t="shared" si="1"/>
        <v>63320</v>
      </c>
      <c r="H20482" s="49">
        <f t="shared" si="2"/>
        <v>63111</v>
      </c>
    </row>
    <row r="20483">
      <c r="A20483" s="48" t="s">
        <v>1274</v>
      </c>
      <c r="B20483" s="38">
        <v>33204.0</v>
      </c>
      <c r="C20483" s="38" t="s">
        <v>24988</v>
      </c>
      <c r="D20483" s="38" t="str">
        <f>IFERROR(__xludf.DUMMYFUNCTION("REGEXREPLACE(C20483,""-\d+(.*)|--\d+(.*)"","""")"),"HURE")</f>
        <v>HURE</v>
      </c>
      <c r="E20483" s="38" t="s">
        <v>462</v>
      </c>
      <c r="F20483" s="38" t="s">
        <v>252</v>
      </c>
      <c r="G20483" s="49" t="str">
        <f t="shared" si="1"/>
        <v>33190</v>
      </c>
      <c r="H20483" s="49">
        <f t="shared" si="2"/>
        <v>33204</v>
      </c>
    </row>
    <row r="20484">
      <c r="A20484" s="48" t="s">
        <v>16480</v>
      </c>
      <c r="B20484" s="38">
        <v>71117.0</v>
      </c>
      <c r="C20484" s="38" t="s">
        <v>24989</v>
      </c>
      <c r="D20484" s="38" t="str">
        <f>IFERROR(__xludf.DUMMYFUNCTION("REGEXREPLACE(C20484,""-\d+(.*)|--\d+(.*)"","""")"),"CHATENOY-EN-BRESSE")</f>
        <v>CHATENOY-EN-BRESSE</v>
      </c>
      <c r="E20484" s="38" t="s">
        <v>344</v>
      </c>
      <c r="F20484" s="38" t="s">
        <v>106</v>
      </c>
      <c r="G20484" s="49" t="str">
        <f t="shared" si="1"/>
        <v>71380</v>
      </c>
      <c r="H20484" s="49">
        <f t="shared" si="2"/>
        <v>71117</v>
      </c>
    </row>
    <row r="20485">
      <c r="A20485" s="48" t="s">
        <v>4469</v>
      </c>
      <c r="B20485" s="38">
        <v>83055.0</v>
      </c>
      <c r="C20485" s="38" t="s">
        <v>24990</v>
      </c>
      <c r="D20485" s="38" t="str">
        <f>IFERROR(__xludf.DUMMYFUNCTION("REGEXREPLACE(C20485,""-\d+(.*)|--\d+(.*)"","""")"),"FAYENCE")</f>
        <v>FAYENCE</v>
      </c>
      <c r="E20485" s="38" t="s">
        <v>813</v>
      </c>
      <c r="F20485" s="38" t="s">
        <v>228</v>
      </c>
      <c r="G20485" s="49" t="str">
        <f t="shared" si="1"/>
        <v>83440</v>
      </c>
      <c r="H20485" s="49">
        <f t="shared" si="2"/>
        <v>83055</v>
      </c>
    </row>
    <row r="20486">
      <c r="A20486" s="48" t="s">
        <v>5273</v>
      </c>
      <c r="B20486" s="38">
        <v>53078.0</v>
      </c>
      <c r="C20486" s="38" t="s">
        <v>1109</v>
      </c>
      <c r="D20486" s="38" t="str">
        <f>IFERROR(__xludf.DUMMYFUNCTION("REGEXREPLACE(C20486,""-\d+(.*)|--\d+(.*)"","""")"),"COUDRAY")</f>
        <v>COUDRAY</v>
      </c>
      <c r="E20486" s="38" t="s">
        <v>518</v>
      </c>
      <c r="F20486" s="38" t="s">
        <v>180</v>
      </c>
      <c r="G20486" s="49" t="str">
        <f t="shared" si="1"/>
        <v>53200</v>
      </c>
      <c r="H20486" s="49">
        <f t="shared" si="2"/>
        <v>53078</v>
      </c>
    </row>
    <row r="20487">
      <c r="A20487" s="48" t="s">
        <v>3244</v>
      </c>
      <c r="B20487" s="38">
        <v>27560.0</v>
      </c>
      <c r="C20487" s="38" t="s">
        <v>24991</v>
      </c>
      <c r="D20487" s="38" t="str">
        <f>IFERROR(__xludf.DUMMYFUNCTION("REGEXREPLACE(C20487,""-\d+(.*)|--\d+(.*)"","""")"),"SAINT-LUC")</f>
        <v>SAINT-LUC</v>
      </c>
      <c r="E20487" s="38" t="s">
        <v>241</v>
      </c>
      <c r="F20487" s="38" t="s">
        <v>134</v>
      </c>
      <c r="G20487" s="49" t="str">
        <f t="shared" si="1"/>
        <v>27930</v>
      </c>
      <c r="H20487" s="49">
        <f t="shared" si="2"/>
        <v>27560</v>
      </c>
    </row>
    <row r="20488">
      <c r="A20488" s="48" t="s">
        <v>2097</v>
      </c>
      <c r="B20488" s="38">
        <v>42202.0</v>
      </c>
      <c r="C20488" s="38" t="s">
        <v>24992</v>
      </c>
      <c r="D20488" s="38" t="str">
        <f>IFERROR(__xludf.DUMMYFUNCTION("REGEXREPLACE(C20488,""-\d+(.*)|--\d+(.*)"","""")"),"SAINT-BARTHELEMY-LESTRA")</f>
        <v>SAINT-BARTHELEMY-LESTRA</v>
      </c>
      <c r="E20488" s="38" t="s">
        <v>166</v>
      </c>
      <c r="F20488" s="38" t="s">
        <v>102</v>
      </c>
      <c r="G20488" s="49" t="str">
        <f t="shared" si="1"/>
        <v>42110</v>
      </c>
      <c r="H20488" s="49">
        <f t="shared" si="2"/>
        <v>42202</v>
      </c>
    </row>
    <row r="20489">
      <c r="A20489" s="48" t="s">
        <v>8950</v>
      </c>
      <c r="B20489" s="38">
        <v>53242.0</v>
      </c>
      <c r="C20489" s="38" t="s">
        <v>24993</v>
      </c>
      <c r="D20489" s="38" t="str">
        <f>IFERROR(__xludf.DUMMYFUNCTION("REGEXREPLACE(C20489,""-\d+(.*)|--\d+(.*)"","""")"),"SAINT-MICHEL-DE-LA-ROE")</f>
        <v>SAINT-MICHEL-DE-LA-ROE</v>
      </c>
      <c r="E20489" s="38" t="s">
        <v>518</v>
      </c>
      <c r="F20489" s="38" t="s">
        <v>180</v>
      </c>
      <c r="G20489" s="49" t="str">
        <f t="shared" si="1"/>
        <v>53350</v>
      </c>
      <c r="H20489" s="49">
        <f t="shared" si="2"/>
        <v>53242</v>
      </c>
    </row>
    <row r="20490">
      <c r="A20490" s="48" t="s">
        <v>10668</v>
      </c>
      <c r="B20490" s="38">
        <v>61324.0</v>
      </c>
      <c r="C20490" s="38" t="s">
        <v>24994</v>
      </c>
      <c r="D20490" s="38" t="str">
        <f>IFERROR(__xludf.DUMMYFUNCTION("REGEXREPLACE(C20490,""-\d+(.*)|--\d+(.*)"","""")"),"PASSAIS")</f>
        <v>PASSAIS</v>
      </c>
      <c r="E20490" s="38" t="s">
        <v>141</v>
      </c>
      <c r="F20490" s="38" t="s">
        <v>138</v>
      </c>
      <c r="G20490" s="49" t="str">
        <f t="shared" si="1"/>
        <v>61350</v>
      </c>
      <c r="H20490" s="49">
        <f t="shared" si="2"/>
        <v>61324</v>
      </c>
    </row>
    <row r="20491">
      <c r="A20491" s="48" t="s">
        <v>571</v>
      </c>
      <c r="B20491" s="38">
        <v>55279.0</v>
      </c>
      <c r="C20491" s="38" t="s">
        <v>24995</v>
      </c>
      <c r="D20491" s="38" t="str">
        <f>IFERROR(__xludf.DUMMYFUNCTION("REGEXREPLACE(C20491,""-\d+(.*)|--\d+(.*)"","""")"),"LANEUVILLE-SUR-MEUSE")</f>
        <v>LANEUVILLE-SUR-MEUSE</v>
      </c>
      <c r="E20491" s="38" t="s">
        <v>322</v>
      </c>
      <c r="F20491" s="38" t="s">
        <v>195</v>
      </c>
      <c r="G20491" s="49" t="str">
        <f t="shared" si="1"/>
        <v>55700</v>
      </c>
      <c r="H20491" s="49">
        <f t="shared" si="2"/>
        <v>55279</v>
      </c>
    </row>
    <row r="20492">
      <c r="A20492" s="48" t="s">
        <v>2708</v>
      </c>
      <c r="B20492" s="38">
        <v>70013.0</v>
      </c>
      <c r="C20492" s="38" t="s">
        <v>24996</v>
      </c>
      <c r="D20492" s="38" t="str">
        <f>IFERROR(__xludf.DUMMYFUNCTION("REGEXREPLACE(C20492,""-\d+(.*)|--\d+(.*)"","""")"),"AMBIEVILLERS")</f>
        <v>AMBIEVILLERS</v>
      </c>
      <c r="E20492" s="38" t="s">
        <v>956</v>
      </c>
      <c r="F20492" s="38" t="s">
        <v>214</v>
      </c>
      <c r="G20492" s="49" t="str">
        <f t="shared" si="1"/>
        <v>70210</v>
      </c>
      <c r="H20492" s="49">
        <f t="shared" si="2"/>
        <v>70013</v>
      </c>
    </row>
    <row r="20493">
      <c r="A20493" s="48" t="s">
        <v>8374</v>
      </c>
      <c r="B20493" s="38">
        <v>85235.0</v>
      </c>
      <c r="C20493" s="38" t="s">
        <v>24997</v>
      </c>
      <c r="D20493" s="38" t="str">
        <f>IFERROR(__xludf.DUMMYFUNCTION("REGEXREPLACE(C20493,""-\d+(.*)|--\d+(.*)"","""")"),"SAINT-JUIRE-CHAMPGILLON")</f>
        <v>SAINT-JUIRE-CHAMPGILLON</v>
      </c>
      <c r="E20493" s="38" t="s">
        <v>179</v>
      </c>
      <c r="F20493" s="38" t="s">
        <v>180</v>
      </c>
      <c r="G20493" s="49" t="str">
        <f t="shared" si="1"/>
        <v>85210</v>
      </c>
      <c r="H20493" s="49">
        <f t="shared" si="2"/>
        <v>85235</v>
      </c>
    </row>
    <row r="20494">
      <c r="A20494" s="48" t="s">
        <v>22855</v>
      </c>
      <c r="B20494" s="38">
        <v>2484.0</v>
      </c>
      <c r="C20494" s="38" t="s">
        <v>24998</v>
      </c>
      <c r="D20494" s="38" t="str">
        <f>IFERROR(__xludf.DUMMYFUNCTION("REGEXREPLACE(C20494,""-\d+(.*)|--\d+(.*)"","""")"),"MEZY-MOULINS")</f>
        <v>MEZY-MOULINS</v>
      </c>
      <c r="E20494" s="38" t="s">
        <v>191</v>
      </c>
      <c r="F20494" s="38" t="s">
        <v>113</v>
      </c>
      <c r="G20494" s="49" t="str">
        <f t="shared" si="1"/>
        <v>02650</v>
      </c>
      <c r="H20494" s="49" t="str">
        <f t="shared" si="2"/>
        <v>02484</v>
      </c>
    </row>
    <row r="20495">
      <c r="A20495" s="48" t="s">
        <v>24999</v>
      </c>
      <c r="B20495" s="38">
        <v>78524.0</v>
      </c>
      <c r="C20495" s="38" t="s">
        <v>25000</v>
      </c>
      <c r="D20495" s="38" t="str">
        <f>IFERROR(__xludf.DUMMYFUNCTION("REGEXREPLACE(C20495,""-\d+(.*)|--\d+(.*)"","""")"),"ROCQUENCOURT")</f>
        <v>ROCQUENCOURT</v>
      </c>
      <c r="E20495" s="38" t="s">
        <v>362</v>
      </c>
      <c r="F20495" s="38" t="s">
        <v>245</v>
      </c>
      <c r="G20495" s="49" t="str">
        <f t="shared" si="1"/>
        <v>78150</v>
      </c>
      <c r="H20495" s="49">
        <f t="shared" si="2"/>
        <v>78524</v>
      </c>
    </row>
    <row r="20496">
      <c r="A20496" s="48" t="s">
        <v>781</v>
      </c>
      <c r="B20496" s="38">
        <v>65334.0</v>
      </c>
      <c r="C20496" s="38" t="s">
        <v>25001</v>
      </c>
      <c r="D20496" s="38" t="str">
        <f>IFERROR(__xludf.DUMMYFUNCTION("REGEXREPLACE(C20496,""-\d+(.*)|--\d+(.*)"","""")"),"OMEX")</f>
        <v>OMEX</v>
      </c>
      <c r="E20496" s="38" t="s">
        <v>200</v>
      </c>
      <c r="F20496" s="38" t="s">
        <v>94</v>
      </c>
      <c r="G20496" s="49" t="str">
        <f t="shared" si="1"/>
        <v>65100</v>
      </c>
      <c r="H20496" s="49">
        <f t="shared" si="2"/>
        <v>65334</v>
      </c>
    </row>
    <row r="20497">
      <c r="A20497" s="48" t="s">
        <v>1180</v>
      </c>
      <c r="B20497" s="38">
        <v>60425.0</v>
      </c>
      <c r="C20497" s="38" t="s">
        <v>25002</v>
      </c>
      <c r="D20497" s="38" t="str">
        <f>IFERROR(__xludf.DUMMYFUNCTION("REGEXREPLACE(C20497,""-\d+(.*)|--\d+(.*)"","""")"),"MONTREUIL-SUR-BRECHE")</f>
        <v>MONTREUIL-SUR-BRECHE</v>
      </c>
      <c r="E20497" s="38" t="s">
        <v>112</v>
      </c>
      <c r="F20497" s="38" t="s">
        <v>113</v>
      </c>
      <c r="G20497" s="49" t="str">
        <f t="shared" si="1"/>
        <v>60480</v>
      </c>
      <c r="H20497" s="49">
        <f t="shared" si="2"/>
        <v>60425</v>
      </c>
    </row>
    <row r="20498">
      <c r="A20498" s="48" t="s">
        <v>10342</v>
      </c>
      <c r="B20498" s="38">
        <v>12142.0</v>
      </c>
      <c r="C20498" s="38" t="s">
        <v>25003</v>
      </c>
      <c r="D20498" s="38" t="str">
        <f>IFERROR(__xludf.DUMMYFUNCTION("REGEXREPLACE(C20498,""-\d+(.*)|--\d+(.*)"","""")"),"MAYRAN")</f>
        <v>MAYRAN</v>
      </c>
      <c r="E20498" s="38" t="s">
        <v>465</v>
      </c>
      <c r="F20498" s="38" t="s">
        <v>94</v>
      </c>
      <c r="G20498" s="49" t="str">
        <f t="shared" si="1"/>
        <v>12390</v>
      </c>
      <c r="H20498" s="49">
        <f t="shared" si="2"/>
        <v>12142</v>
      </c>
    </row>
    <row r="20499">
      <c r="A20499" s="48" t="s">
        <v>5223</v>
      </c>
      <c r="B20499" s="38">
        <v>65260.0</v>
      </c>
      <c r="C20499" s="38" t="s">
        <v>25004</v>
      </c>
      <c r="D20499" s="38" t="str">
        <f>IFERROR(__xludf.DUMMYFUNCTION("REGEXREPLACE(C20499,""-\d+(.*)|--\d+(.*)"","""")"),"LAPEYRE")</f>
        <v>LAPEYRE</v>
      </c>
      <c r="E20499" s="38" t="s">
        <v>200</v>
      </c>
      <c r="F20499" s="38" t="s">
        <v>94</v>
      </c>
      <c r="G20499" s="49" t="str">
        <f t="shared" si="1"/>
        <v>65220</v>
      </c>
      <c r="H20499" s="49">
        <f t="shared" si="2"/>
        <v>65260</v>
      </c>
    </row>
    <row r="20500">
      <c r="A20500" s="48" t="s">
        <v>2389</v>
      </c>
      <c r="B20500" s="38">
        <v>64531.0</v>
      </c>
      <c r="C20500" s="38" t="s">
        <v>25005</v>
      </c>
      <c r="D20500" s="38" t="str">
        <f>IFERROR(__xludf.DUMMYFUNCTION("REGEXREPLACE(C20500,""-\d+(.*)|--\d+(.*)"","""")"),"TABAILLE-USQUAIN")</f>
        <v>TABAILLE-USQUAIN</v>
      </c>
      <c r="E20500" s="38" t="s">
        <v>268</v>
      </c>
      <c r="F20500" s="38" t="s">
        <v>252</v>
      </c>
      <c r="G20500" s="49" t="str">
        <f t="shared" si="1"/>
        <v>64190</v>
      </c>
      <c r="H20500" s="49">
        <f t="shared" si="2"/>
        <v>64531</v>
      </c>
    </row>
    <row r="20501">
      <c r="A20501" s="48" t="s">
        <v>6795</v>
      </c>
      <c r="B20501" s="38">
        <v>37175.0</v>
      </c>
      <c r="C20501" s="38" t="s">
        <v>25006</v>
      </c>
      <c r="D20501" s="38" t="str">
        <f>IFERROR(__xludf.DUMMYFUNCTION("REGEXREPLACE(C20501,""-\d+(.*)|--\d+(.*)"","""")"),"NOUZILLY")</f>
        <v>NOUZILLY</v>
      </c>
      <c r="E20501" s="38" t="s">
        <v>205</v>
      </c>
      <c r="F20501" s="38" t="s">
        <v>123</v>
      </c>
      <c r="G20501" s="49" t="str">
        <f t="shared" si="1"/>
        <v>37380</v>
      </c>
      <c r="H20501" s="49">
        <f t="shared" si="2"/>
        <v>37175</v>
      </c>
    </row>
    <row r="20502">
      <c r="A20502" s="48" t="s">
        <v>1777</v>
      </c>
      <c r="B20502" s="38">
        <v>10373.0</v>
      </c>
      <c r="C20502" s="38" t="s">
        <v>25007</v>
      </c>
      <c r="D20502" s="38" t="str">
        <f>IFERROR(__xludf.DUMMYFUNCTION("REGEXREPLACE(C20502,""-\d+(.*)|--\d+(.*)"","""")"),"SOULIGNY")</f>
        <v>SOULIGNY</v>
      </c>
      <c r="E20502" s="38" t="s">
        <v>147</v>
      </c>
      <c r="F20502" s="38" t="s">
        <v>130</v>
      </c>
      <c r="G20502" s="49" t="str">
        <f t="shared" si="1"/>
        <v>10320</v>
      </c>
      <c r="H20502" s="49">
        <f t="shared" si="2"/>
        <v>10373</v>
      </c>
    </row>
    <row r="20503">
      <c r="A20503" s="48" t="s">
        <v>18553</v>
      </c>
      <c r="B20503" s="38">
        <v>57358.0</v>
      </c>
      <c r="C20503" s="38" t="s">
        <v>25008</v>
      </c>
      <c r="D20503" s="38" t="str">
        <f>IFERROR(__xludf.DUMMYFUNCTION("REGEXREPLACE(C20503,""-\d+(.*)|--\d+(.*)"","""")"),"KEDANGE-SUR-CANNER")</f>
        <v>KEDANGE-SUR-CANNER</v>
      </c>
      <c r="E20503" s="38" t="s">
        <v>303</v>
      </c>
      <c r="F20503" s="38" t="s">
        <v>195</v>
      </c>
      <c r="G20503" s="49" t="str">
        <f t="shared" si="1"/>
        <v>57920</v>
      </c>
      <c r="H20503" s="49">
        <f t="shared" si="2"/>
        <v>57358</v>
      </c>
    </row>
    <row r="20504">
      <c r="A20504" s="48" t="s">
        <v>1483</v>
      </c>
      <c r="B20504" s="38">
        <v>80171.0</v>
      </c>
      <c r="C20504" s="38" t="s">
        <v>25009</v>
      </c>
      <c r="D20504" s="38" t="str">
        <f>IFERROR(__xludf.DUMMYFUNCTION("REGEXREPLACE(C20504,""-\d+(.*)|--\d+(.*)"","""")"),"CAOURS")</f>
        <v>CAOURS</v>
      </c>
      <c r="E20504" s="38" t="s">
        <v>224</v>
      </c>
      <c r="F20504" s="38" t="s">
        <v>113</v>
      </c>
      <c r="G20504" s="49" t="str">
        <f t="shared" si="1"/>
        <v>80132</v>
      </c>
      <c r="H20504" s="49">
        <f t="shared" si="2"/>
        <v>80171</v>
      </c>
    </row>
    <row r="20505">
      <c r="A20505" s="48" t="s">
        <v>2558</v>
      </c>
      <c r="B20505" s="38">
        <v>16417.0</v>
      </c>
      <c r="C20505" s="38" t="s">
        <v>25010</v>
      </c>
      <c r="D20505" s="38" t="str">
        <f>IFERROR(__xludf.DUMMYFUNCTION("REGEXREPLACE(C20505,""-\d+(.*)|--\d+(.*)"","""")"),"VIVILLE")</f>
        <v>VIVILLE</v>
      </c>
      <c r="E20505" s="38" t="s">
        <v>429</v>
      </c>
      <c r="F20505" s="38" t="s">
        <v>338</v>
      </c>
      <c r="G20505" s="49" t="str">
        <f t="shared" si="1"/>
        <v>16120</v>
      </c>
      <c r="H20505" s="49">
        <f t="shared" si="2"/>
        <v>16417</v>
      </c>
    </row>
    <row r="20506">
      <c r="A20506" s="48" t="s">
        <v>13902</v>
      </c>
      <c r="B20506" s="38">
        <v>49069.0</v>
      </c>
      <c r="C20506" s="38" t="s">
        <v>25011</v>
      </c>
      <c r="D20506" s="38" t="str">
        <f>IFERROR(__xludf.DUMMYFUNCTION("REGEXREPLACE(C20506,""-\d+(.*)|--\d+(.*)"","""")"),"CHAMPTOCEAUX")</f>
        <v>CHAMPTOCEAUX</v>
      </c>
      <c r="E20506" s="38" t="s">
        <v>653</v>
      </c>
      <c r="F20506" s="38" t="s">
        <v>180</v>
      </c>
      <c r="G20506" s="49" t="str">
        <f t="shared" si="1"/>
        <v>49270</v>
      </c>
      <c r="H20506" s="49">
        <f t="shared" si="2"/>
        <v>49069</v>
      </c>
    </row>
    <row r="20507">
      <c r="A20507" s="48" t="s">
        <v>1695</v>
      </c>
      <c r="B20507" s="38">
        <v>80523.0</v>
      </c>
      <c r="C20507" s="38" t="s">
        <v>25012</v>
      </c>
      <c r="D20507" s="38" t="str">
        <f>IFERROR(__xludf.DUMMYFUNCTION("REGEXREPLACE(C20507,""-\d+(.*)|--\d+(.*)"","""")"),"MEAULTE")</f>
        <v>MEAULTE</v>
      </c>
      <c r="E20507" s="38" t="s">
        <v>224</v>
      </c>
      <c r="F20507" s="38" t="s">
        <v>113</v>
      </c>
      <c r="G20507" s="49" t="str">
        <f t="shared" si="1"/>
        <v>80300</v>
      </c>
      <c r="H20507" s="49">
        <f t="shared" si="2"/>
        <v>80523</v>
      </c>
    </row>
    <row r="20508">
      <c r="A20508" s="48" t="s">
        <v>16318</v>
      </c>
      <c r="B20508" s="38">
        <v>42209.0</v>
      </c>
      <c r="C20508" s="38" t="s">
        <v>25013</v>
      </c>
      <c r="D20508" s="38" t="str">
        <f>IFERROR(__xludf.DUMMYFUNCTION("REGEXREPLACE(C20508,""-\d+(.*)|--\d+(.*)"","""")"),"SAINTE-COLOMBE-SUR-GAND")</f>
        <v>SAINTE-COLOMBE-SUR-GAND</v>
      </c>
      <c r="E20508" s="38" t="s">
        <v>166</v>
      </c>
      <c r="F20508" s="38" t="s">
        <v>102</v>
      </c>
      <c r="G20508" s="49" t="str">
        <f t="shared" si="1"/>
        <v>42540</v>
      </c>
      <c r="H20508" s="49">
        <f t="shared" si="2"/>
        <v>42209</v>
      </c>
    </row>
    <row r="20509">
      <c r="A20509" s="48" t="s">
        <v>724</v>
      </c>
      <c r="B20509" s="38">
        <v>32293.0</v>
      </c>
      <c r="C20509" s="38" t="s">
        <v>25014</v>
      </c>
      <c r="D20509" s="38" t="str">
        <f>IFERROR(__xludf.DUMMYFUNCTION("REGEXREPLACE(C20509,""-\d+(.*)|--\d+(.*)"","""")"),"MOUCHES")</f>
        <v>MOUCHES</v>
      </c>
      <c r="E20509" s="38" t="s">
        <v>440</v>
      </c>
      <c r="F20509" s="38" t="s">
        <v>94</v>
      </c>
      <c r="G20509" s="49" t="str">
        <f t="shared" si="1"/>
        <v>32300</v>
      </c>
      <c r="H20509" s="49">
        <f t="shared" si="2"/>
        <v>32293</v>
      </c>
    </row>
    <row r="20510">
      <c r="A20510" s="48" t="s">
        <v>25015</v>
      </c>
      <c r="B20510" s="38">
        <v>80679.0</v>
      </c>
      <c r="C20510" s="38" t="s">
        <v>25016</v>
      </c>
      <c r="D20510" s="38" t="str">
        <f>IFERROR(__xludf.DUMMYFUNCTION("REGEXREPLACE(C20510,""-\d+(.*)|--\d+(.*)"","""")"),"RONSSOY")</f>
        <v>RONSSOY</v>
      </c>
      <c r="E20510" s="38" t="s">
        <v>224</v>
      </c>
      <c r="F20510" s="38" t="s">
        <v>113</v>
      </c>
      <c r="G20510" s="49" t="str">
        <f t="shared" si="1"/>
        <v>80740</v>
      </c>
      <c r="H20510" s="49">
        <f t="shared" si="2"/>
        <v>80679</v>
      </c>
    </row>
    <row r="20511">
      <c r="A20511" s="48" t="s">
        <v>15157</v>
      </c>
      <c r="B20511" s="38">
        <v>91093.0</v>
      </c>
      <c r="C20511" s="38" t="s">
        <v>25017</v>
      </c>
      <c r="D20511" s="38" t="str">
        <f>IFERROR(__xludf.DUMMYFUNCTION("REGEXREPLACE(C20511,""-\d+(.*)|--\d+(.*)"","""")"),"BOULLAY-LES-TROUX")</f>
        <v>BOULLAY-LES-TROUX</v>
      </c>
      <c r="E20511" s="38" t="s">
        <v>756</v>
      </c>
      <c r="F20511" s="38" t="s">
        <v>245</v>
      </c>
      <c r="G20511" s="49" t="str">
        <f t="shared" si="1"/>
        <v>91470</v>
      </c>
      <c r="H20511" s="49">
        <f t="shared" si="2"/>
        <v>91093</v>
      </c>
    </row>
    <row r="20512">
      <c r="A20512" s="48" t="s">
        <v>1601</v>
      </c>
      <c r="B20512" s="38">
        <v>72012.0</v>
      </c>
      <c r="C20512" s="38" t="s">
        <v>25018</v>
      </c>
      <c r="D20512" s="38" t="str">
        <f>IFERROR(__xludf.DUMMYFUNCTION("REGEXREPLACE(C20512,""-\d+(.*)|--\d+(.*)"","""")"),"ASSE-LE-RIBOUL")</f>
        <v>ASSE-LE-RIBOUL</v>
      </c>
      <c r="E20512" s="38" t="s">
        <v>521</v>
      </c>
      <c r="F20512" s="38" t="s">
        <v>180</v>
      </c>
      <c r="G20512" s="49" t="str">
        <f t="shared" si="1"/>
        <v>72170</v>
      </c>
      <c r="H20512" s="49">
        <f t="shared" si="2"/>
        <v>72012</v>
      </c>
    </row>
    <row r="20513">
      <c r="A20513" s="48" t="s">
        <v>5596</v>
      </c>
      <c r="B20513" s="38">
        <v>25335.0</v>
      </c>
      <c r="C20513" s="38" t="s">
        <v>25019</v>
      </c>
      <c r="D20513" s="38" t="str">
        <f>IFERROR(__xludf.DUMMYFUNCTION("REGEXREPLACE(C20513,""-\d+(.*)|--\d+(.*)"","""")"),"LIEBVILLERS")</f>
        <v>LIEBVILLERS</v>
      </c>
      <c r="E20513" s="38" t="s">
        <v>213</v>
      </c>
      <c r="F20513" s="38" t="s">
        <v>214</v>
      </c>
      <c r="G20513" s="49" t="str">
        <f t="shared" si="1"/>
        <v>25190</v>
      </c>
      <c r="H20513" s="49">
        <f t="shared" si="2"/>
        <v>25335</v>
      </c>
    </row>
    <row r="20514">
      <c r="A20514" s="48" t="s">
        <v>4270</v>
      </c>
      <c r="B20514" s="38">
        <v>76260.0</v>
      </c>
      <c r="C20514" s="38" t="s">
        <v>25020</v>
      </c>
      <c r="D20514" s="38" t="str">
        <f>IFERROR(__xludf.DUMMYFUNCTION("REGEXREPLACE(C20514,""-\d+(.*)|--\d+(.*)"","""")"),"FERRIERES-EN-BRAY")</f>
        <v>FERRIERES-EN-BRAY</v>
      </c>
      <c r="E20514" s="38" t="s">
        <v>133</v>
      </c>
      <c r="F20514" s="38" t="s">
        <v>134</v>
      </c>
      <c r="G20514" s="49" t="str">
        <f t="shared" si="1"/>
        <v>76220</v>
      </c>
      <c r="H20514" s="49">
        <f t="shared" si="2"/>
        <v>76260</v>
      </c>
    </row>
    <row r="20515">
      <c r="A20515" s="48" t="s">
        <v>1905</v>
      </c>
      <c r="B20515" s="38">
        <v>29074.0</v>
      </c>
      <c r="C20515" s="38" t="s">
        <v>25021</v>
      </c>
      <c r="D20515" s="38" t="str">
        <f>IFERROR(__xludf.DUMMYFUNCTION("REGEXREPLACE(C20515,""-\d+(.*)|--\d+(.*)"","""")"),"GUIMILIAU")</f>
        <v>GUIMILIAU</v>
      </c>
      <c r="E20515" s="38" t="s">
        <v>176</v>
      </c>
      <c r="F20515" s="38" t="s">
        <v>90</v>
      </c>
      <c r="G20515" s="49" t="str">
        <f t="shared" si="1"/>
        <v>29400</v>
      </c>
      <c r="H20515" s="49">
        <f t="shared" si="2"/>
        <v>29074</v>
      </c>
    </row>
    <row r="20516">
      <c r="A20516" s="48" t="s">
        <v>8076</v>
      </c>
      <c r="B20516" s="38">
        <v>60404.0</v>
      </c>
      <c r="C20516" s="38" t="s">
        <v>9461</v>
      </c>
      <c r="D20516" s="38" t="str">
        <f>IFERROR(__xludf.DUMMYFUNCTION("REGEXREPLACE(C20516,""-\d+(.*)|--\d+(.*)"","""")"),"MOGNEVILLE")</f>
        <v>MOGNEVILLE</v>
      </c>
      <c r="E20516" s="38" t="s">
        <v>112</v>
      </c>
      <c r="F20516" s="38" t="s">
        <v>113</v>
      </c>
      <c r="G20516" s="49" t="str">
        <f t="shared" si="1"/>
        <v>60140</v>
      </c>
      <c r="H20516" s="49">
        <f t="shared" si="2"/>
        <v>60404</v>
      </c>
    </row>
    <row r="20517">
      <c r="A20517" s="48" t="s">
        <v>6290</v>
      </c>
      <c r="B20517" s="38">
        <v>60551.0</v>
      </c>
      <c r="C20517" s="38" t="s">
        <v>25022</v>
      </c>
      <c r="D20517" s="38" t="str">
        <f>IFERROR(__xludf.DUMMYFUNCTION("REGEXREPLACE(C20517,""-\d+(.*)|--\d+(.*)"","""")"),"ROUSSELOY")</f>
        <v>ROUSSELOY</v>
      </c>
      <c r="E20517" s="38" t="s">
        <v>112</v>
      </c>
      <c r="F20517" s="38" t="s">
        <v>113</v>
      </c>
      <c r="G20517" s="49" t="str">
        <f t="shared" si="1"/>
        <v>60660</v>
      </c>
      <c r="H20517" s="49">
        <f t="shared" si="2"/>
        <v>60551</v>
      </c>
    </row>
    <row r="20518">
      <c r="A20518" s="48" t="s">
        <v>926</v>
      </c>
      <c r="B20518" s="38">
        <v>43192.0</v>
      </c>
      <c r="C20518" s="38" t="s">
        <v>25023</v>
      </c>
      <c r="D20518" s="38" t="str">
        <f>IFERROR(__xludf.DUMMYFUNCTION("REGEXREPLACE(C20518,""-\d+(.*)|--\d+(.*)"","""")"),"SAINT-HAON")</f>
        <v>SAINT-HAON</v>
      </c>
      <c r="E20518" s="38" t="s">
        <v>332</v>
      </c>
      <c r="F20518" s="38" t="s">
        <v>161</v>
      </c>
      <c r="G20518" s="49" t="str">
        <f t="shared" si="1"/>
        <v>43340</v>
      </c>
      <c r="H20518" s="49">
        <f t="shared" si="2"/>
        <v>43192</v>
      </c>
    </row>
    <row r="20519">
      <c r="A20519" s="48" t="s">
        <v>3783</v>
      </c>
      <c r="B20519" s="38">
        <v>62795.0</v>
      </c>
      <c r="C20519" s="38" t="s">
        <v>25024</v>
      </c>
      <c r="D20519" s="38" t="str">
        <f>IFERROR(__xludf.DUMMYFUNCTION("REGEXREPLACE(C20519,""-\d+(.*)|--\d+(.*)"","""")"),"SIBIVILLE")</f>
        <v>SIBIVILLE</v>
      </c>
      <c r="E20519" s="38" t="s">
        <v>109</v>
      </c>
      <c r="F20519" s="38" t="s">
        <v>86</v>
      </c>
      <c r="G20519" s="49" t="str">
        <f t="shared" si="1"/>
        <v>62270</v>
      </c>
      <c r="H20519" s="49">
        <f t="shared" si="2"/>
        <v>62795</v>
      </c>
    </row>
    <row r="20520">
      <c r="A20520" s="48" t="s">
        <v>2703</v>
      </c>
      <c r="B20520" s="38">
        <v>69095.0</v>
      </c>
      <c r="C20520" s="38" t="s">
        <v>25025</v>
      </c>
      <c r="D20520" s="38" t="str">
        <f>IFERROR(__xludf.DUMMYFUNCTION("REGEXREPLACE(C20520,""-\d+(.*)|--\d+(.*)"","""")"),"GREZIEU-LE-MARCHE")</f>
        <v>GREZIEU-LE-MARCHE</v>
      </c>
      <c r="E20520" s="38" t="s">
        <v>350</v>
      </c>
      <c r="F20520" s="38" t="s">
        <v>102</v>
      </c>
      <c r="G20520" s="49" t="str">
        <f t="shared" si="1"/>
        <v>69610</v>
      </c>
      <c r="H20520" s="49">
        <f t="shared" si="2"/>
        <v>69095</v>
      </c>
    </row>
    <row r="20521">
      <c r="A20521" s="48" t="s">
        <v>12467</v>
      </c>
      <c r="B20521" s="38">
        <v>72346.0</v>
      </c>
      <c r="C20521" s="38" t="s">
        <v>25026</v>
      </c>
      <c r="D20521" s="38" t="str">
        <f>IFERROR(__xludf.DUMMYFUNCTION("REGEXREPLACE(C20521,""-\d+(.*)|--\d+(.*)"","""")"),"LA SUZE-SUR-SARTHE")</f>
        <v>LA SUZE-SUR-SARTHE</v>
      </c>
      <c r="E20521" s="38" t="s">
        <v>521</v>
      </c>
      <c r="F20521" s="38" t="s">
        <v>180</v>
      </c>
      <c r="G20521" s="49" t="str">
        <f t="shared" si="1"/>
        <v>72210</v>
      </c>
      <c r="H20521" s="49">
        <f t="shared" si="2"/>
        <v>72346</v>
      </c>
    </row>
    <row r="20522">
      <c r="A20522" s="48" t="s">
        <v>1437</v>
      </c>
      <c r="B20522" s="38">
        <v>39167.0</v>
      </c>
      <c r="C20522" s="38" t="s">
        <v>25027</v>
      </c>
      <c r="D20522" s="38" t="str">
        <f>IFERROR(__xludf.DUMMYFUNCTION("REGEXREPLACE(C20522,""-\d+(.*)|--\d+(.*)"","""")"),"COSGES")</f>
        <v>COSGES</v>
      </c>
      <c r="E20522" s="38" t="s">
        <v>400</v>
      </c>
      <c r="F20522" s="38" t="s">
        <v>214</v>
      </c>
      <c r="G20522" s="49" t="str">
        <f t="shared" si="1"/>
        <v>39140</v>
      </c>
      <c r="H20522" s="49">
        <f t="shared" si="2"/>
        <v>39167</v>
      </c>
    </row>
    <row r="20523">
      <c r="A20523" s="48" t="s">
        <v>452</v>
      </c>
      <c r="B20523" s="38">
        <v>21004.0</v>
      </c>
      <c r="C20523" s="38" t="s">
        <v>25028</v>
      </c>
      <c r="D20523" s="38" t="str">
        <f>IFERROR(__xludf.DUMMYFUNCTION("REGEXREPLACE(C20523,""-\d+(.*)|--\d+(.*)"","""")"),"AIGNAY-LE-DUC")</f>
        <v>AIGNAY-LE-DUC</v>
      </c>
      <c r="E20523" s="38" t="s">
        <v>105</v>
      </c>
      <c r="F20523" s="38" t="s">
        <v>106</v>
      </c>
      <c r="G20523" s="49" t="str">
        <f t="shared" si="1"/>
        <v>21510</v>
      </c>
      <c r="H20523" s="49">
        <f t="shared" si="2"/>
        <v>21004</v>
      </c>
    </row>
    <row r="20524">
      <c r="A20524" s="48" t="s">
        <v>10066</v>
      </c>
      <c r="B20524" s="38">
        <v>1311.0</v>
      </c>
      <c r="C20524" s="38" t="s">
        <v>25029</v>
      </c>
      <c r="D20524" s="38" t="str">
        <f>IFERROR(__xludf.DUMMYFUNCTION("REGEXREPLACE(C20524,""-\d+(.*)|--\d+(.*)"","""")"),"PREMILLIEU")</f>
        <v>PREMILLIEU</v>
      </c>
      <c r="E20524" s="38" t="s">
        <v>255</v>
      </c>
      <c r="F20524" s="38" t="s">
        <v>102</v>
      </c>
      <c r="G20524" s="49" t="str">
        <f t="shared" si="1"/>
        <v>01110</v>
      </c>
      <c r="H20524" s="49" t="str">
        <f t="shared" si="2"/>
        <v>01311</v>
      </c>
    </row>
    <row r="20525">
      <c r="A20525" s="48" t="s">
        <v>25030</v>
      </c>
      <c r="B20525" s="38">
        <v>80489.0</v>
      </c>
      <c r="C20525" s="38" t="s">
        <v>25031</v>
      </c>
      <c r="D20525" s="38" t="str">
        <f>IFERROR(__xludf.DUMMYFUNCTION("REGEXREPLACE(C20525,""-\d+(.*)|--\d+(.*)"","""")"),"LONGUEAU")</f>
        <v>LONGUEAU</v>
      </c>
      <c r="E20525" s="38" t="s">
        <v>224</v>
      </c>
      <c r="F20525" s="38" t="s">
        <v>113</v>
      </c>
      <c r="G20525" s="49" t="str">
        <f t="shared" si="1"/>
        <v>80330</v>
      </c>
      <c r="H20525" s="49">
        <f t="shared" si="2"/>
        <v>80489</v>
      </c>
    </row>
    <row r="20526">
      <c r="A20526" s="48" t="s">
        <v>4125</v>
      </c>
      <c r="B20526" s="38">
        <v>19138.0</v>
      </c>
      <c r="C20526" s="38" t="s">
        <v>25032</v>
      </c>
      <c r="D20526" s="38" t="str">
        <f>IFERROR(__xludf.DUMMYFUNCTION("REGEXREPLACE(C20526,""-\d+(.*)|--\d+(.*)"","""")"),"MEYSSAC")</f>
        <v>MEYSSAC</v>
      </c>
      <c r="E20526" s="38" t="s">
        <v>271</v>
      </c>
      <c r="F20526" s="38" t="s">
        <v>98</v>
      </c>
      <c r="G20526" s="49" t="str">
        <f t="shared" si="1"/>
        <v>19500</v>
      </c>
      <c r="H20526" s="49">
        <f t="shared" si="2"/>
        <v>19138</v>
      </c>
    </row>
    <row r="20527">
      <c r="A20527" s="48" t="s">
        <v>7512</v>
      </c>
      <c r="B20527" s="38">
        <v>35028.0</v>
      </c>
      <c r="C20527" s="38" t="s">
        <v>25033</v>
      </c>
      <c r="D20527" s="38" t="str">
        <f>IFERROR(__xludf.DUMMYFUNCTION("REGEXREPLACE(C20527,""-\d+(.*)|--\d+(.*)"","""")"),"BOISTRUDAN")</f>
        <v>BOISTRUDAN</v>
      </c>
      <c r="E20527" s="38" t="s">
        <v>347</v>
      </c>
      <c r="F20527" s="38" t="s">
        <v>90</v>
      </c>
      <c r="G20527" s="49" t="str">
        <f t="shared" si="1"/>
        <v>35150</v>
      </c>
      <c r="H20527" s="49">
        <f t="shared" si="2"/>
        <v>35028</v>
      </c>
    </row>
    <row r="20528">
      <c r="A20528" s="48" t="s">
        <v>15207</v>
      </c>
      <c r="B20528" s="38">
        <v>74295.0</v>
      </c>
      <c r="C20528" s="38" t="s">
        <v>25034</v>
      </c>
      <c r="D20528" s="38" t="str">
        <f>IFERROR(__xludf.DUMMYFUNCTION("REGEXREPLACE(C20528,""-\d+(.*)|--\d+(.*)"","""")"),"LA VERNAZ")</f>
        <v>LA VERNAZ</v>
      </c>
      <c r="E20528" s="38" t="s">
        <v>319</v>
      </c>
      <c r="F20528" s="38" t="s">
        <v>102</v>
      </c>
      <c r="G20528" s="49" t="str">
        <f t="shared" si="1"/>
        <v>74200</v>
      </c>
      <c r="H20528" s="49">
        <f t="shared" si="2"/>
        <v>74295</v>
      </c>
    </row>
    <row r="20529">
      <c r="A20529" s="48" t="s">
        <v>2316</v>
      </c>
      <c r="B20529" s="38">
        <v>25626.0</v>
      </c>
      <c r="C20529" s="38" t="s">
        <v>25035</v>
      </c>
      <c r="D20529" s="38" t="str">
        <f>IFERROR(__xludf.DUMMYFUNCTION("REGEXREPLACE(C20529,""-\d+(.*)|--\d+(.*)"","""")"),"VILLERS-SAINT-MARTIN")</f>
        <v>VILLERS-SAINT-MARTIN</v>
      </c>
      <c r="E20529" s="38" t="s">
        <v>213</v>
      </c>
      <c r="F20529" s="38" t="s">
        <v>214</v>
      </c>
      <c r="G20529" s="49" t="str">
        <f t="shared" si="1"/>
        <v>25110</v>
      </c>
      <c r="H20529" s="49">
        <f t="shared" si="2"/>
        <v>25626</v>
      </c>
    </row>
    <row r="20530">
      <c r="A20530" s="48" t="s">
        <v>15578</v>
      </c>
      <c r="B20530" s="38">
        <v>64540.0</v>
      </c>
      <c r="C20530" s="38" t="s">
        <v>25036</v>
      </c>
      <c r="D20530" s="38" t="str">
        <f>IFERROR(__xludf.DUMMYFUNCTION("REGEXREPLACE(C20530,""-\d+(.*)|--\d+(.*)"","""")"),"URCUIT")</f>
        <v>URCUIT</v>
      </c>
      <c r="E20530" s="38" t="s">
        <v>268</v>
      </c>
      <c r="F20530" s="38" t="s">
        <v>252</v>
      </c>
      <c r="G20530" s="49" t="str">
        <f t="shared" si="1"/>
        <v>64990</v>
      </c>
      <c r="H20530" s="49">
        <f t="shared" si="2"/>
        <v>64540</v>
      </c>
    </row>
    <row r="20531">
      <c r="A20531" s="48" t="s">
        <v>522</v>
      </c>
      <c r="B20531" s="38">
        <v>39540.0</v>
      </c>
      <c r="C20531" s="38" t="s">
        <v>25037</v>
      </c>
      <c r="D20531" s="38" t="str">
        <f>IFERROR(__xludf.DUMMYFUNCTION("REGEXREPLACE(C20531,""-\d+(.*)|--\d+(.*)"","""")"),"VALEMPOULIERES")</f>
        <v>VALEMPOULIERES</v>
      </c>
      <c r="E20531" s="38" t="s">
        <v>400</v>
      </c>
      <c r="F20531" s="38" t="s">
        <v>214</v>
      </c>
      <c r="G20531" s="49" t="str">
        <f t="shared" si="1"/>
        <v>39300</v>
      </c>
      <c r="H20531" s="49">
        <f t="shared" si="2"/>
        <v>39540</v>
      </c>
    </row>
    <row r="20532">
      <c r="A20532" s="48" t="s">
        <v>25038</v>
      </c>
      <c r="B20532" s="38">
        <v>23002.0</v>
      </c>
      <c r="C20532" s="38" t="s">
        <v>25039</v>
      </c>
      <c r="D20532" s="38" t="str">
        <f>IFERROR(__xludf.DUMMYFUNCTION("REGEXREPLACE(C20532,""-\d+(.*)|--\d+(.*)"","""")"),"AJAIN")</f>
        <v>AJAIN</v>
      </c>
      <c r="E20532" s="38" t="s">
        <v>97</v>
      </c>
      <c r="F20532" s="38" t="s">
        <v>98</v>
      </c>
      <c r="G20532" s="49" t="str">
        <f t="shared" si="1"/>
        <v>23380</v>
      </c>
      <c r="H20532" s="49">
        <f t="shared" si="2"/>
        <v>23002</v>
      </c>
    </row>
    <row r="20533">
      <c r="A20533" s="48" t="s">
        <v>1526</v>
      </c>
      <c r="B20533" s="38">
        <v>60096.0</v>
      </c>
      <c r="C20533" s="38" t="s">
        <v>25040</v>
      </c>
      <c r="D20533" s="38" t="str">
        <f>IFERROR(__xludf.DUMMYFUNCTION("REGEXREPLACE(C20533,""-\d+(.*)|--\d+(.*)"","""")"),"BOUTAVENT")</f>
        <v>BOUTAVENT</v>
      </c>
      <c r="E20533" s="38" t="s">
        <v>112</v>
      </c>
      <c r="F20533" s="38" t="s">
        <v>113</v>
      </c>
      <c r="G20533" s="49" t="str">
        <f t="shared" si="1"/>
        <v>60220</v>
      </c>
      <c r="H20533" s="49">
        <f t="shared" si="2"/>
        <v>60096</v>
      </c>
    </row>
    <row r="20534">
      <c r="A20534" s="48" t="s">
        <v>14277</v>
      </c>
      <c r="B20534" s="38">
        <v>18067.0</v>
      </c>
      <c r="C20534" s="38" t="s">
        <v>25041</v>
      </c>
      <c r="D20534" s="38" t="str">
        <f>IFERROR(__xludf.DUMMYFUNCTION("REGEXREPLACE(C20534,""-\d+(.*)|--\d+(.*)"","""")"),"CLEMONT")</f>
        <v>CLEMONT</v>
      </c>
      <c r="E20534" s="38" t="s">
        <v>504</v>
      </c>
      <c r="F20534" s="38" t="s">
        <v>123</v>
      </c>
      <c r="G20534" s="49" t="str">
        <f t="shared" si="1"/>
        <v>18410</v>
      </c>
      <c r="H20534" s="49">
        <f t="shared" si="2"/>
        <v>18067</v>
      </c>
    </row>
    <row r="20535">
      <c r="A20535" s="48" t="s">
        <v>12958</v>
      </c>
      <c r="B20535" s="38">
        <v>27610.0</v>
      </c>
      <c r="C20535" s="38" t="s">
        <v>25042</v>
      </c>
      <c r="D20535" s="38" t="str">
        <f>IFERROR(__xludf.DUMMYFUNCTION("REGEXREPLACE(C20535,""-\d+(.*)|--\d+(.*)"","""")"),"SAINT-VICTOR-SUR-AVRE")</f>
        <v>SAINT-VICTOR-SUR-AVRE</v>
      </c>
      <c r="E20535" s="38" t="s">
        <v>241</v>
      </c>
      <c r="F20535" s="38" t="s">
        <v>134</v>
      </c>
      <c r="G20535" s="49" t="str">
        <f t="shared" si="1"/>
        <v>27130</v>
      </c>
      <c r="H20535" s="49">
        <f t="shared" si="2"/>
        <v>27610</v>
      </c>
    </row>
    <row r="20536">
      <c r="A20536" s="48" t="s">
        <v>4283</v>
      </c>
      <c r="B20536" s="38">
        <v>7313.0</v>
      </c>
      <c r="C20536" s="38" t="s">
        <v>25043</v>
      </c>
      <c r="D20536" s="38" t="str">
        <f>IFERROR(__xludf.DUMMYFUNCTION("REGEXREPLACE(C20536,""-\d+(.*)|--\d+(.*)"","""")"),"SERRIERES")</f>
        <v>SERRIERES</v>
      </c>
      <c r="E20536" s="38" t="s">
        <v>144</v>
      </c>
      <c r="F20536" s="38" t="s">
        <v>102</v>
      </c>
      <c r="G20536" s="49" t="str">
        <f t="shared" si="1"/>
        <v>07340</v>
      </c>
      <c r="H20536" s="49" t="str">
        <f t="shared" si="2"/>
        <v>07313</v>
      </c>
    </row>
    <row r="20537">
      <c r="A20537" s="48" t="s">
        <v>7760</v>
      </c>
      <c r="B20537" s="38">
        <v>54555.0</v>
      </c>
      <c r="C20537" s="38" t="s">
        <v>25044</v>
      </c>
      <c r="D20537" s="38" t="str">
        <f>IFERROR(__xludf.DUMMYFUNCTION("REGEXREPLACE(C20537,""-\d+(.*)|--\d+(.*)"","""")"),"VAXAINVILLE")</f>
        <v>VAXAINVILLE</v>
      </c>
      <c r="E20537" s="38" t="s">
        <v>548</v>
      </c>
      <c r="F20537" s="38" t="s">
        <v>195</v>
      </c>
      <c r="G20537" s="49" t="str">
        <f t="shared" si="1"/>
        <v>54120</v>
      </c>
      <c r="H20537" s="49">
        <f t="shared" si="2"/>
        <v>54555</v>
      </c>
    </row>
    <row r="20538">
      <c r="A20538" s="48" t="s">
        <v>1980</v>
      </c>
      <c r="B20538" s="38">
        <v>45235.0</v>
      </c>
      <c r="C20538" s="38" t="s">
        <v>21385</v>
      </c>
      <c r="D20538" s="38" t="str">
        <f>IFERROR(__xludf.DUMMYFUNCTION("REGEXREPLACE(C20538,""-\d+(.*)|--\d+(.*)"","""")"),"ORMES")</f>
        <v>ORMES</v>
      </c>
      <c r="E20538" s="38" t="s">
        <v>122</v>
      </c>
      <c r="F20538" s="38" t="s">
        <v>123</v>
      </c>
      <c r="G20538" s="49" t="str">
        <f t="shared" si="1"/>
        <v>45140</v>
      </c>
      <c r="H20538" s="49">
        <f t="shared" si="2"/>
        <v>45235</v>
      </c>
    </row>
    <row r="20539">
      <c r="A20539" s="48" t="s">
        <v>1693</v>
      </c>
      <c r="B20539" s="38">
        <v>24505.0</v>
      </c>
      <c r="C20539" s="38" t="s">
        <v>25045</v>
      </c>
      <c r="D20539" s="38" t="str">
        <f>IFERROR(__xludf.DUMMYFUNCTION("REGEXREPLACE(C20539,""-\d+(.*)|--\d+(.*)"","""")"),"SAINT-SULPICE-D'EXCIDEUIL")</f>
        <v>SAINT-SULPICE-D'EXCIDEUIL</v>
      </c>
      <c r="E20539" s="38" t="s">
        <v>261</v>
      </c>
      <c r="F20539" s="38" t="s">
        <v>252</v>
      </c>
      <c r="G20539" s="49" t="str">
        <f t="shared" si="1"/>
        <v>24800</v>
      </c>
      <c r="H20539" s="49">
        <f t="shared" si="2"/>
        <v>24505</v>
      </c>
    </row>
    <row r="20540">
      <c r="A20540" s="48" t="s">
        <v>3978</v>
      </c>
      <c r="B20540" s="38">
        <v>21553.0</v>
      </c>
      <c r="C20540" s="38" t="s">
        <v>25046</v>
      </c>
      <c r="D20540" s="38" t="str">
        <f>IFERROR(__xludf.DUMMYFUNCTION("REGEXREPLACE(C20540,""-\d+(.*)|--\d+(.*)"","""")"),"SAINT-JEAN-DE-BOEUF")</f>
        <v>SAINT-JEAN-DE-BOEUF</v>
      </c>
      <c r="E20540" s="38" t="s">
        <v>105</v>
      </c>
      <c r="F20540" s="38" t="s">
        <v>106</v>
      </c>
      <c r="G20540" s="49" t="str">
        <f t="shared" si="1"/>
        <v>21410</v>
      </c>
      <c r="H20540" s="49">
        <f t="shared" si="2"/>
        <v>21553</v>
      </c>
    </row>
    <row r="20541">
      <c r="A20541" s="48" t="s">
        <v>7763</v>
      </c>
      <c r="B20541" s="38">
        <v>89177.0</v>
      </c>
      <c r="C20541" s="38" t="s">
        <v>25047</v>
      </c>
      <c r="D20541" s="38" t="str">
        <f>IFERROR(__xludf.DUMMYFUNCTION("REGEXREPLACE(C20541,""-\d+(.*)|--\d+(.*)"","""")"),"FONTENAY-SOUS-FOURONNES")</f>
        <v>FONTENAY-SOUS-FOURONNES</v>
      </c>
      <c r="E20541" s="38" t="s">
        <v>275</v>
      </c>
      <c r="F20541" s="38" t="s">
        <v>106</v>
      </c>
      <c r="G20541" s="49" t="str">
        <f t="shared" si="1"/>
        <v>89660</v>
      </c>
      <c r="H20541" s="49">
        <f t="shared" si="2"/>
        <v>89177</v>
      </c>
    </row>
    <row r="20542">
      <c r="A20542" s="48" t="s">
        <v>8005</v>
      </c>
      <c r="B20542" s="38">
        <v>23015.0</v>
      </c>
      <c r="C20542" s="38" t="s">
        <v>25048</v>
      </c>
      <c r="D20542" s="38" t="str">
        <f>IFERROR(__xludf.DUMMYFUNCTION("REGEXREPLACE(C20542,""-\d+(.*)|--\d+(.*)"","""")"),"AZERABLES")</f>
        <v>AZERABLES</v>
      </c>
      <c r="E20542" s="38" t="s">
        <v>97</v>
      </c>
      <c r="F20542" s="38" t="s">
        <v>98</v>
      </c>
      <c r="G20542" s="49" t="str">
        <f t="shared" si="1"/>
        <v>23160</v>
      </c>
      <c r="H20542" s="49">
        <f t="shared" si="2"/>
        <v>23015</v>
      </c>
    </row>
    <row r="20543">
      <c r="A20543" s="48" t="s">
        <v>8480</v>
      </c>
      <c r="B20543" s="38">
        <v>8122.0</v>
      </c>
      <c r="C20543" s="38" t="s">
        <v>25049</v>
      </c>
      <c r="D20543" s="38" t="str">
        <f>IFERROR(__xludf.DUMMYFUNCTION("REGEXREPLACE(C20543,""-\d+(.*)|--\d+(.*)"","""")"),"CHOOZ")</f>
        <v>CHOOZ</v>
      </c>
      <c r="E20543" s="38" t="s">
        <v>327</v>
      </c>
      <c r="F20543" s="38" t="s">
        <v>130</v>
      </c>
      <c r="G20543" s="49" t="str">
        <f t="shared" si="1"/>
        <v>08600</v>
      </c>
      <c r="H20543" s="49" t="str">
        <f t="shared" si="2"/>
        <v>08122</v>
      </c>
    </row>
    <row r="20544">
      <c r="A20544" s="48" t="s">
        <v>3087</v>
      </c>
      <c r="B20544" s="38">
        <v>64266.0</v>
      </c>
      <c r="C20544" s="38" t="s">
        <v>25050</v>
      </c>
      <c r="D20544" s="38" t="str">
        <f>IFERROR(__xludf.DUMMYFUNCTION("REGEXREPLACE(C20544,""-\d+(.*)|--\d+(.*)"","""")"),"HOURS")</f>
        <v>HOURS</v>
      </c>
      <c r="E20544" s="38" t="s">
        <v>268</v>
      </c>
      <c r="F20544" s="38" t="s">
        <v>252</v>
      </c>
      <c r="G20544" s="49" t="str">
        <f t="shared" si="1"/>
        <v>64420</v>
      </c>
      <c r="H20544" s="49">
        <f t="shared" si="2"/>
        <v>64266</v>
      </c>
    </row>
    <row r="20545">
      <c r="A20545" s="48" t="s">
        <v>2915</v>
      </c>
      <c r="B20545" s="38">
        <v>79130.0</v>
      </c>
      <c r="C20545" s="38" t="s">
        <v>25051</v>
      </c>
      <c r="D20545" s="38" t="str">
        <f>IFERROR(__xludf.DUMMYFUNCTION("REGEXREPLACE(C20545,""-\d+(.*)|--\d+(.*)"","""")"),"FRONTENAY-ROHAN-ROHAN")</f>
        <v>FRONTENAY-ROHAN-ROHAN</v>
      </c>
      <c r="E20545" s="38" t="s">
        <v>337</v>
      </c>
      <c r="F20545" s="38" t="s">
        <v>338</v>
      </c>
      <c r="G20545" s="49" t="str">
        <f t="shared" si="1"/>
        <v>79270</v>
      </c>
      <c r="H20545" s="49">
        <f t="shared" si="2"/>
        <v>79130</v>
      </c>
    </row>
    <row r="20546">
      <c r="A20546" s="48" t="s">
        <v>2628</v>
      </c>
      <c r="B20546" s="38">
        <v>19023.0</v>
      </c>
      <c r="C20546" s="38" t="s">
        <v>25052</v>
      </c>
      <c r="D20546" s="38" t="str">
        <f>IFERROR(__xludf.DUMMYFUNCTION("REGEXREPLACE(C20546,""-\d+(.*)|--\d+(.*)"","""")"),"BEYNAT")</f>
        <v>BEYNAT</v>
      </c>
      <c r="E20546" s="38" t="s">
        <v>271</v>
      </c>
      <c r="F20546" s="38" t="s">
        <v>98</v>
      </c>
      <c r="G20546" s="49" t="str">
        <f t="shared" si="1"/>
        <v>19190</v>
      </c>
      <c r="H20546" s="49">
        <f t="shared" si="2"/>
        <v>19023</v>
      </c>
    </row>
    <row r="20547">
      <c r="A20547" s="48" t="s">
        <v>4330</v>
      </c>
      <c r="B20547" s="38">
        <v>39102.0</v>
      </c>
      <c r="C20547" s="38" t="s">
        <v>25053</v>
      </c>
      <c r="D20547" s="38" t="str">
        <f>IFERROR(__xludf.DUMMYFUNCTION("REGEXREPLACE(C20547,""-\d+(.*)|--\d+(.*)"","""")"),"CHANCIA")</f>
        <v>CHANCIA</v>
      </c>
      <c r="E20547" s="38" t="s">
        <v>400</v>
      </c>
      <c r="F20547" s="38" t="s">
        <v>214</v>
      </c>
      <c r="G20547" s="49" t="str">
        <f t="shared" si="1"/>
        <v>01590</v>
      </c>
      <c r="H20547" s="49">
        <f t="shared" si="2"/>
        <v>39102</v>
      </c>
    </row>
    <row r="20548">
      <c r="A20548" s="48" t="s">
        <v>5423</v>
      </c>
      <c r="B20548" s="38">
        <v>31570.0</v>
      </c>
      <c r="C20548" s="38" t="s">
        <v>1771</v>
      </c>
      <c r="D20548" s="38" t="str">
        <f>IFERROR(__xludf.DUMMYFUNCTION("REGEXREPLACE(C20548,""-\d+(.*)|--\d+(.*)"","""")"),"VAUX")</f>
        <v>VAUX</v>
      </c>
      <c r="E20548" s="38" t="s">
        <v>93</v>
      </c>
      <c r="F20548" s="38" t="s">
        <v>94</v>
      </c>
      <c r="G20548" s="49" t="str">
        <f t="shared" si="1"/>
        <v>31540</v>
      </c>
      <c r="H20548" s="49">
        <f t="shared" si="2"/>
        <v>31570</v>
      </c>
    </row>
    <row r="20549">
      <c r="A20549" s="48" t="s">
        <v>6002</v>
      </c>
      <c r="B20549" s="38">
        <v>18200.0</v>
      </c>
      <c r="C20549" s="38" t="s">
        <v>25054</v>
      </c>
      <c r="D20549" s="38" t="str">
        <f>IFERROR(__xludf.DUMMYFUNCTION("REGEXREPLACE(C20549,""-\d+(.*)|--\d+(.*)"","""")"),"SAINT-BOUIZE")</f>
        <v>SAINT-BOUIZE</v>
      </c>
      <c r="E20549" s="38" t="s">
        <v>504</v>
      </c>
      <c r="F20549" s="38" t="s">
        <v>123</v>
      </c>
      <c r="G20549" s="49" t="str">
        <f t="shared" si="1"/>
        <v>18300</v>
      </c>
      <c r="H20549" s="49">
        <f t="shared" si="2"/>
        <v>18200</v>
      </c>
    </row>
    <row r="20550">
      <c r="A20550" s="48" t="s">
        <v>10637</v>
      </c>
      <c r="B20550" s="38">
        <v>59081.0</v>
      </c>
      <c r="C20550" s="38" t="s">
        <v>25055</v>
      </c>
      <c r="D20550" s="38" t="str">
        <f>IFERROR(__xludf.DUMMYFUNCTION("REGEXREPLACE(C20550,""-\d+(.*)|--\d+(.*)"","""")"),"BEVILLERS")</f>
        <v>BEVILLERS</v>
      </c>
      <c r="E20550" s="38" t="s">
        <v>85</v>
      </c>
      <c r="F20550" s="38" t="s">
        <v>86</v>
      </c>
      <c r="G20550" s="49" t="str">
        <f t="shared" si="1"/>
        <v>59217</v>
      </c>
      <c r="H20550" s="49">
        <f t="shared" si="2"/>
        <v>59081</v>
      </c>
    </row>
    <row r="20551">
      <c r="A20551" s="48" t="s">
        <v>1284</v>
      </c>
      <c r="B20551" s="38">
        <v>9003.0</v>
      </c>
      <c r="C20551" s="38" t="s">
        <v>25056</v>
      </c>
      <c r="D20551" s="38" t="str">
        <f>IFERROR(__xludf.DUMMYFUNCTION("REGEXREPLACE(C20551,""-\d+(.*)|--\d+(.*)"","""")"),"L'AIGUILLON")</f>
        <v>L'AIGUILLON</v>
      </c>
      <c r="E20551" s="38" t="s">
        <v>238</v>
      </c>
      <c r="F20551" s="38" t="s">
        <v>94</v>
      </c>
      <c r="G20551" s="49" t="str">
        <f t="shared" si="1"/>
        <v>09300</v>
      </c>
      <c r="H20551" s="49" t="str">
        <f t="shared" si="2"/>
        <v>09003</v>
      </c>
    </row>
    <row r="20552">
      <c r="A20552" s="48" t="s">
        <v>2532</v>
      </c>
      <c r="B20552" s="38">
        <v>51258.0</v>
      </c>
      <c r="C20552" s="38" t="s">
        <v>25057</v>
      </c>
      <c r="D20552" s="38" t="str">
        <f>IFERROR(__xludf.DUMMYFUNCTION("REGEXREPLACE(C20552,""-\d+(.*)|--\d+(.*)"","""")"),"LA FORESTIERE")</f>
        <v>LA FORESTIERE</v>
      </c>
      <c r="E20552" s="38" t="s">
        <v>129</v>
      </c>
      <c r="F20552" s="38" t="s">
        <v>130</v>
      </c>
      <c r="G20552" s="49" t="str">
        <f t="shared" si="1"/>
        <v>51120</v>
      </c>
      <c r="H20552" s="49">
        <f t="shared" si="2"/>
        <v>51258</v>
      </c>
    </row>
    <row r="20553">
      <c r="A20553" s="48" t="s">
        <v>2004</v>
      </c>
      <c r="B20553" s="38">
        <v>88407.0</v>
      </c>
      <c r="C20553" s="38" t="s">
        <v>25058</v>
      </c>
      <c r="D20553" s="38" t="str">
        <f>IFERROR(__xludf.DUMMYFUNCTION("REGEXREPLACE(C20553,""-\d+(.*)|--\d+(.*)"","""")"),"RUPPES")</f>
        <v>RUPPES</v>
      </c>
      <c r="E20553" s="38" t="s">
        <v>194</v>
      </c>
      <c r="F20553" s="38" t="s">
        <v>195</v>
      </c>
      <c r="G20553" s="49" t="str">
        <f t="shared" si="1"/>
        <v>88630</v>
      </c>
      <c r="H20553" s="49">
        <f t="shared" si="2"/>
        <v>88407</v>
      </c>
    </row>
    <row r="20554">
      <c r="A20554" s="48" t="s">
        <v>3662</v>
      </c>
      <c r="B20554" s="38">
        <v>80709.0</v>
      </c>
      <c r="C20554" s="38" t="s">
        <v>25059</v>
      </c>
      <c r="D20554" s="38" t="str">
        <f>IFERROR(__xludf.DUMMYFUNCTION("REGEXREPLACE(C20554,""-\d+(.*)|--\d+(.*)"","""")"),"SAINT-MAULVIS")</f>
        <v>SAINT-MAULVIS</v>
      </c>
      <c r="E20554" s="38" t="s">
        <v>224</v>
      </c>
      <c r="F20554" s="38" t="s">
        <v>113</v>
      </c>
      <c r="G20554" s="49" t="str">
        <f t="shared" si="1"/>
        <v>80140</v>
      </c>
      <c r="H20554" s="49">
        <f t="shared" si="2"/>
        <v>80709</v>
      </c>
    </row>
    <row r="20555">
      <c r="A20555" s="48" t="s">
        <v>3186</v>
      </c>
      <c r="B20555" s="38">
        <v>59408.0</v>
      </c>
      <c r="C20555" s="38" t="s">
        <v>25060</v>
      </c>
      <c r="D20555" s="38" t="str">
        <f>IFERROR(__xludf.DUMMYFUNCTION("REGEXREPLACE(C20555,""-\d+(.*)|--\d+(.*)"","""")"),"MONCHEAUX")</f>
        <v>MONCHEAUX</v>
      </c>
      <c r="E20555" s="38" t="s">
        <v>85</v>
      </c>
      <c r="F20555" s="38" t="s">
        <v>86</v>
      </c>
      <c r="G20555" s="49" t="str">
        <f t="shared" si="1"/>
        <v>59283</v>
      </c>
      <c r="H20555" s="49">
        <f t="shared" si="2"/>
        <v>59408</v>
      </c>
    </row>
    <row r="20556">
      <c r="A20556" s="48" t="s">
        <v>732</v>
      </c>
      <c r="B20556" s="38">
        <v>10077.0</v>
      </c>
      <c r="C20556" s="38" t="s">
        <v>25061</v>
      </c>
      <c r="D20556" s="38" t="str">
        <f>IFERROR(__xludf.DUMMYFUNCTION("REGEXREPLACE(C20556,""-\d+(.*)|--\d+(.*)"","""")"),"CHAMPIGNY-SUR-AUBE")</f>
        <v>CHAMPIGNY-SUR-AUBE</v>
      </c>
      <c r="E20556" s="38" t="s">
        <v>147</v>
      </c>
      <c r="F20556" s="38" t="s">
        <v>130</v>
      </c>
      <c r="G20556" s="49" t="str">
        <f t="shared" si="1"/>
        <v>10700</v>
      </c>
      <c r="H20556" s="49">
        <f t="shared" si="2"/>
        <v>10077</v>
      </c>
    </row>
    <row r="20557">
      <c r="A20557" s="48" t="s">
        <v>1966</v>
      </c>
      <c r="B20557" s="38">
        <v>2560.0</v>
      </c>
      <c r="C20557" s="38" t="s">
        <v>25062</v>
      </c>
      <c r="D20557" s="38" t="str">
        <f>IFERROR(__xludf.DUMMYFUNCTION("REGEXREPLACE(C20557,""-\d+(.*)|--\d+(.*)"","""")"),"NOUVION-LE-COMTE")</f>
        <v>NOUVION-LE-COMTE</v>
      </c>
      <c r="E20557" s="38" t="s">
        <v>191</v>
      </c>
      <c r="F20557" s="38" t="s">
        <v>113</v>
      </c>
      <c r="G20557" s="49" t="str">
        <f t="shared" si="1"/>
        <v>02800</v>
      </c>
      <c r="H20557" s="49" t="str">
        <f t="shared" si="2"/>
        <v>02560</v>
      </c>
    </row>
    <row r="20558">
      <c r="A20558" s="48" t="s">
        <v>8889</v>
      </c>
      <c r="B20558" s="38">
        <v>32350.0</v>
      </c>
      <c r="C20558" s="38" t="s">
        <v>25063</v>
      </c>
      <c r="D20558" s="38" t="str">
        <f>IFERROR(__xludf.DUMMYFUNCTION("REGEXREPLACE(C20558,""-\d+(.*)|--\d+(.*)"","""")"),"ROQUEPINE")</f>
        <v>ROQUEPINE</v>
      </c>
      <c r="E20558" s="38" t="s">
        <v>440</v>
      </c>
      <c r="F20558" s="38" t="s">
        <v>94</v>
      </c>
      <c r="G20558" s="49" t="str">
        <f t="shared" si="1"/>
        <v>32100</v>
      </c>
      <c r="H20558" s="49">
        <f t="shared" si="2"/>
        <v>32350</v>
      </c>
    </row>
    <row r="20559">
      <c r="A20559" s="48" t="s">
        <v>3219</v>
      </c>
      <c r="B20559" s="38">
        <v>22267.0</v>
      </c>
      <c r="C20559" s="38" t="s">
        <v>18003</v>
      </c>
      <c r="D20559" s="38" t="str">
        <f>IFERROR(__xludf.DUMMYFUNCTION("REGEXREPLACE(C20559,""-\d+(.*)|--\d+(.*)"","""")"),"ROUILLAC")</f>
        <v>ROUILLAC</v>
      </c>
      <c r="E20559" s="38" t="s">
        <v>89</v>
      </c>
      <c r="F20559" s="38" t="s">
        <v>90</v>
      </c>
      <c r="G20559" s="49" t="str">
        <f t="shared" si="1"/>
        <v>22250</v>
      </c>
      <c r="H20559" s="49">
        <f t="shared" si="2"/>
        <v>22267</v>
      </c>
    </row>
    <row r="20560">
      <c r="A20560" s="48" t="s">
        <v>2688</v>
      </c>
      <c r="B20560" s="38">
        <v>36134.0</v>
      </c>
      <c r="C20560" s="38" t="s">
        <v>25064</v>
      </c>
      <c r="D20560" s="38" t="str">
        <f>IFERROR(__xludf.DUMMYFUNCTION("REGEXREPLACE(C20560,""-\d+(.*)|--\d+(.*)"","""")"),"MOUHET")</f>
        <v>MOUHET</v>
      </c>
      <c r="E20560" s="38" t="s">
        <v>258</v>
      </c>
      <c r="F20560" s="38" t="s">
        <v>123</v>
      </c>
      <c r="G20560" s="49" t="str">
        <f t="shared" si="1"/>
        <v>36170</v>
      </c>
      <c r="H20560" s="49">
        <f t="shared" si="2"/>
        <v>36134</v>
      </c>
    </row>
    <row r="20561">
      <c r="A20561" s="48" t="s">
        <v>3434</v>
      </c>
      <c r="B20561" s="38">
        <v>11134.0</v>
      </c>
      <c r="C20561" s="38" t="s">
        <v>25065</v>
      </c>
      <c r="D20561" s="38" t="str">
        <f>IFERROR(__xludf.DUMMYFUNCTION("REGEXREPLACE(C20561,""-\d+(.*)|--\d+(.*)"","""")"),"FAJAC-LA-RELENQUE")</f>
        <v>FAJAC-LA-RELENQUE</v>
      </c>
      <c r="E20561" s="38" t="s">
        <v>278</v>
      </c>
      <c r="F20561" s="38" t="s">
        <v>119</v>
      </c>
      <c r="G20561" s="49" t="str">
        <f t="shared" si="1"/>
        <v>11410</v>
      </c>
      <c r="H20561" s="49">
        <f t="shared" si="2"/>
        <v>11134</v>
      </c>
    </row>
    <row r="20562">
      <c r="A20562" s="48" t="s">
        <v>3711</v>
      </c>
      <c r="B20562" s="38">
        <v>21484.0</v>
      </c>
      <c r="C20562" s="38" t="s">
        <v>25066</v>
      </c>
      <c r="D20562" s="38" t="str">
        <f>IFERROR(__xludf.DUMMYFUNCTION("REGEXREPLACE(C20562,""-\d+(.*)|--\d+(.*)"","""")"),"PLANAY")</f>
        <v>PLANAY</v>
      </c>
      <c r="E20562" s="38" t="s">
        <v>105</v>
      </c>
      <c r="F20562" s="38" t="s">
        <v>106</v>
      </c>
      <c r="G20562" s="49" t="str">
        <f t="shared" si="1"/>
        <v>21500</v>
      </c>
      <c r="H20562" s="49">
        <f t="shared" si="2"/>
        <v>21484</v>
      </c>
    </row>
    <row r="20563">
      <c r="A20563" s="48" t="s">
        <v>2008</v>
      </c>
      <c r="B20563" s="38">
        <v>46053.0</v>
      </c>
      <c r="C20563" s="38" t="s">
        <v>25067</v>
      </c>
      <c r="D20563" s="38" t="str">
        <f>IFERROR(__xludf.DUMMYFUNCTION("REGEXREPLACE(C20563,""-\d+(.*)|--\d+(.*)"","""")"),"CAMBURAT")</f>
        <v>CAMBURAT</v>
      </c>
      <c r="E20563" s="38" t="s">
        <v>185</v>
      </c>
      <c r="F20563" s="38" t="s">
        <v>94</v>
      </c>
      <c r="G20563" s="49" t="str">
        <f t="shared" si="1"/>
        <v>46100</v>
      </c>
      <c r="H20563" s="49">
        <f t="shared" si="2"/>
        <v>46053</v>
      </c>
    </row>
    <row r="20564">
      <c r="A20564" s="48" t="s">
        <v>14030</v>
      </c>
      <c r="B20564" s="38">
        <v>44149.0</v>
      </c>
      <c r="C20564" s="38" t="s">
        <v>25068</v>
      </c>
      <c r="D20564" s="38" t="str">
        <f>IFERROR(__xludf.DUMMYFUNCTION("REGEXREPLACE(C20564,""-\d+(.*)|--\d+(.*)"","""")"),"SAFFRE")</f>
        <v>SAFFRE</v>
      </c>
      <c r="E20564" s="38" t="s">
        <v>759</v>
      </c>
      <c r="F20564" s="38" t="s">
        <v>180</v>
      </c>
      <c r="G20564" s="49" t="str">
        <f t="shared" si="1"/>
        <v>44390</v>
      </c>
      <c r="H20564" s="49">
        <f t="shared" si="2"/>
        <v>44149</v>
      </c>
    </row>
    <row r="20565">
      <c r="A20565" s="48" t="s">
        <v>3184</v>
      </c>
      <c r="B20565" s="38">
        <v>36210.0</v>
      </c>
      <c r="C20565" s="38" t="s">
        <v>25069</v>
      </c>
      <c r="D20565" s="38" t="str">
        <f>IFERROR(__xludf.DUMMYFUNCTION("REGEXREPLACE(C20565,""-\d+(.*)|--\d+(.*)"","""")"),"SARZAY")</f>
        <v>SARZAY</v>
      </c>
      <c r="E20565" s="38" t="s">
        <v>258</v>
      </c>
      <c r="F20565" s="38" t="s">
        <v>123</v>
      </c>
      <c r="G20565" s="49" t="str">
        <f t="shared" si="1"/>
        <v>36230</v>
      </c>
      <c r="H20565" s="49">
        <f t="shared" si="2"/>
        <v>36210</v>
      </c>
    </row>
    <row r="20566">
      <c r="A20566" s="48" t="s">
        <v>4902</v>
      </c>
      <c r="B20566" s="38">
        <v>61183.0</v>
      </c>
      <c r="C20566" s="38" t="s">
        <v>25070</v>
      </c>
      <c r="D20566" s="38" t="str">
        <f>IFERROR(__xludf.DUMMYFUNCTION("REGEXREPLACE(C20566,""-\d+(.*)|--\d+(.*)"","""")"),"GAPREE")</f>
        <v>GAPREE</v>
      </c>
      <c r="E20566" s="38" t="s">
        <v>141</v>
      </c>
      <c r="F20566" s="38" t="s">
        <v>138</v>
      </c>
      <c r="G20566" s="49" t="str">
        <f t="shared" si="1"/>
        <v>61390</v>
      </c>
      <c r="H20566" s="49">
        <f t="shared" si="2"/>
        <v>61183</v>
      </c>
    </row>
    <row r="20567">
      <c r="A20567" s="48" t="s">
        <v>15700</v>
      </c>
      <c r="B20567" s="38">
        <v>53238.0</v>
      </c>
      <c r="C20567" s="38" t="s">
        <v>25071</v>
      </c>
      <c r="D20567" s="38" t="str">
        <f>IFERROR(__xludf.DUMMYFUNCTION("REGEXREPLACE(C20567,""-\d+(.*)|--\d+(.*)"","""")"),"SAINT-MARS-SUR-LA-FUTAIE")</f>
        <v>SAINT-MARS-SUR-LA-FUTAIE</v>
      </c>
      <c r="E20567" s="38" t="s">
        <v>518</v>
      </c>
      <c r="F20567" s="38" t="s">
        <v>180</v>
      </c>
      <c r="G20567" s="49" t="str">
        <f t="shared" si="1"/>
        <v>53220</v>
      </c>
      <c r="H20567" s="49">
        <f t="shared" si="2"/>
        <v>53238</v>
      </c>
    </row>
    <row r="20568">
      <c r="A20568" s="48" t="s">
        <v>5614</v>
      </c>
      <c r="B20568" s="38">
        <v>36090.0</v>
      </c>
      <c r="C20568" s="38" t="s">
        <v>25072</v>
      </c>
      <c r="D20568" s="38" t="str">
        <f>IFERROR(__xludf.DUMMYFUNCTION("REGEXREPLACE(C20568,""-\d+(.*)|--\d+(.*)"","""")"),"JEU-MALOCHES")</f>
        <v>JEU-MALOCHES</v>
      </c>
      <c r="E20568" s="38" t="s">
        <v>258</v>
      </c>
      <c r="F20568" s="38" t="s">
        <v>123</v>
      </c>
      <c r="G20568" s="49" t="str">
        <f t="shared" si="1"/>
        <v>36240</v>
      </c>
      <c r="H20568" s="49">
        <f t="shared" si="2"/>
        <v>36090</v>
      </c>
    </row>
    <row r="20569">
      <c r="A20569" s="48" t="s">
        <v>4805</v>
      </c>
      <c r="B20569" s="38">
        <v>31197.0</v>
      </c>
      <c r="C20569" s="38" t="s">
        <v>25073</v>
      </c>
      <c r="D20569" s="38" t="str">
        <f>IFERROR(__xludf.DUMMYFUNCTION("REGEXREPLACE(C20569,""-\d+(.*)|--\d+(.*)"","""")"),"FRANQUEVIELLE")</f>
        <v>FRANQUEVIELLE</v>
      </c>
      <c r="E20569" s="38" t="s">
        <v>93</v>
      </c>
      <c r="F20569" s="38" t="s">
        <v>94</v>
      </c>
      <c r="G20569" s="49" t="str">
        <f t="shared" si="1"/>
        <v>31210</v>
      </c>
      <c r="H20569" s="49">
        <f t="shared" si="2"/>
        <v>31197</v>
      </c>
    </row>
    <row r="20570">
      <c r="A20570" s="48" t="s">
        <v>5687</v>
      </c>
      <c r="B20570" s="38">
        <v>3116.0</v>
      </c>
      <c r="C20570" s="38" t="s">
        <v>25074</v>
      </c>
      <c r="D20570" s="38" t="str">
        <f>IFERROR(__xludf.DUMMYFUNCTION("REGEXREPLACE(C20570,""-\d+(.*)|--\d+(.*)"","""")"),"FOURILLES")</f>
        <v>FOURILLES</v>
      </c>
      <c r="E20570" s="38" t="s">
        <v>160</v>
      </c>
      <c r="F20570" s="38" t="s">
        <v>161</v>
      </c>
      <c r="G20570" s="49" t="str">
        <f t="shared" si="1"/>
        <v>03140</v>
      </c>
      <c r="H20570" s="49" t="str">
        <f t="shared" si="2"/>
        <v>03116</v>
      </c>
    </row>
    <row r="20571">
      <c r="A20571" s="48" t="s">
        <v>991</v>
      </c>
      <c r="B20571" s="38">
        <v>87030.0</v>
      </c>
      <c r="C20571" s="38" t="s">
        <v>25075</v>
      </c>
      <c r="D20571" s="38" t="str">
        <f>IFERROR(__xludf.DUMMYFUNCTION("REGEXREPLACE(C20571,""-\d+(.*)|--\d+(.*)"","""")"),"CHAILLAC-SUR-VIENNE")</f>
        <v>CHAILLAC-SUR-VIENNE</v>
      </c>
      <c r="E20571" s="38" t="s">
        <v>897</v>
      </c>
      <c r="F20571" s="38" t="s">
        <v>98</v>
      </c>
      <c r="G20571" s="49" t="str">
        <f t="shared" si="1"/>
        <v>87200</v>
      </c>
      <c r="H20571" s="49">
        <f t="shared" si="2"/>
        <v>87030</v>
      </c>
    </row>
    <row r="20572">
      <c r="A20572" s="48" t="s">
        <v>1754</v>
      </c>
      <c r="B20572" s="38">
        <v>14313.0</v>
      </c>
      <c r="C20572" s="38" t="s">
        <v>25076</v>
      </c>
      <c r="D20572" s="38" t="str">
        <f>IFERROR(__xludf.DUMMYFUNCTION("REGEXREPLACE(C20572,""-\d+(.*)|--\d+(.*)"","""")"),"GRANDCHAMP-LE-CHATEAU")</f>
        <v>GRANDCHAMP-LE-CHATEAU</v>
      </c>
      <c r="E20572" s="38" t="s">
        <v>137</v>
      </c>
      <c r="F20572" s="38" t="s">
        <v>138</v>
      </c>
      <c r="G20572" s="49" t="str">
        <f t="shared" si="1"/>
        <v>14140</v>
      </c>
      <c r="H20572" s="49">
        <f t="shared" si="2"/>
        <v>14313</v>
      </c>
    </row>
    <row r="20573">
      <c r="A20573" s="48" t="s">
        <v>9378</v>
      </c>
      <c r="B20573" s="38">
        <v>11232.0</v>
      </c>
      <c r="C20573" s="38" t="s">
        <v>25077</v>
      </c>
      <c r="D20573" s="38" t="str">
        <f>IFERROR(__xludf.DUMMYFUNCTION("REGEXREPLACE(C20573,""-\d+(.*)|--\d+(.*)"","""")"),"MIRAVAL-CABARDES")</f>
        <v>MIRAVAL-CABARDES</v>
      </c>
      <c r="E20573" s="38" t="s">
        <v>278</v>
      </c>
      <c r="F20573" s="38" t="s">
        <v>119</v>
      </c>
      <c r="G20573" s="49" t="str">
        <f t="shared" si="1"/>
        <v>11380</v>
      </c>
      <c r="H20573" s="49">
        <f t="shared" si="2"/>
        <v>11232</v>
      </c>
    </row>
    <row r="20574">
      <c r="A20574" s="48" t="s">
        <v>576</v>
      </c>
      <c r="B20574" s="38">
        <v>54211.0</v>
      </c>
      <c r="C20574" s="38" t="s">
        <v>25078</v>
      </c>
      <c r="D20574" s="38" t="str">
        <f>IFERROR(__xludf.DUMMYFUNCTION("REGEXREPLACE(C20574,""-\d+(.*)|--\d+(.*)"","""")"),"FREMONVILLE")</f>
        <v>FREMONVILLE</v>
      </c>
      <c r="E20574" s="38" t="s">
        <v>548</v>
      </c>
      <c r="F20574" s="38" t="s">
        <v>195</v>
      </c>
      <c r="G20574" s="49" t="str">
        <f t="shared" si="1"/>
        <v>54450</v>
      </c>
      <c r="H20574" s="49">
        <f t="shared" si="2"/>
        <v>54211</v>
      </c>
    </row>
    <row r="20575">
      <c r="A20575" s="48" t="s">
        <v>25079</v>
      </c>
      <c r="B20575" s="38">
        <v>65138.0</v>
      </c>
      <c r="C20575" s="38" t="s">
        <v>25080</v>
      </c>
      <c r="D20575" s="38" t="str">
        <f>IFERROR(__xludf.DUMMYFUNCTION("REGEXREPLACE(C20575,""-\d+(.*)|--\d+(.*)"","""")"),"CAUTERETS")</f>
        <v>CAUTERETS</v>
      </c>
      <c r="E20575" s="38" t="s">
        <v>200</v>
      </c>
      <c r="F20575" s="38" t="s">
        <v>94</v>
      </c>
      <c r="G20575" s="49" t="str">
        <f t="shared" si="1"/>
        <v>65110</v>
      </c>
      <c r="H20575" s="49">
        <f t="shared" si="2"/>
        <v>65138</v>
      </c>
    </row>
    <row r="20576">
      <c r="A20576" s="48" t="s">
        <v>4900</v>
      </c>
      <c r="B20576" s="38">
        <v>33366.0</v>
      </c>
      <c r="C20576" s="38" t="s">
        <v>25081</v>
      </c>
      <c r="D20576" s="38" t="str">
        <f>IFERROR(__xludf.DUMMYFUNCTION("REGEXREPLACE(C20576,""-\d+(.*)|--\d+(.*)"","""")"),"SAINT-ANDRE-DE-CUBZAC")</f>
        <v>SAINT-ANDRE-DE-CUBZAC</v>
      </c>
      <c r="E20576" s="38" t="s">
        <v>462</v>
      </c>
      <c r="F20576" s="38" t="s">
        <v>252</v>
      </c>
      <c r="G20576" s="49" t="str">
        <f t="shared" si="1"/>
        <v>33240</v>
      </c>
      <c r="H20576" s="49">
        <f t="shared" si="2"/>
        <v>33366</v>
      </c>
    </row>
    <row r="20577">
      <c r="A20577" s="48" t="s">
        <v>9821</v>
      </c>
      <c r="B20577" s="38">
        <v>52292.0</v>
      </c>
      <c r="C20577" s="38" t="s">
        <v>25082</v>
      </c>
      <c r="D20577" s="38" t="str">
        <f>IFERROR(__xludf.DUMMYFUNCTION("REGEXREPLACE(C20577,""-\d+(.*)|--\d+(.*)"","""")"),"LONGEAU-PERCEY")</f>
        <v>LONGEAU-PERCEY</v>
      </c>
      <c r="E20577" s="38" t="s">
        <v>234</v>
      </c>
      <c r="F20577" s="38" t="s">
        <v>130</v>
      </c>
      <c r="G20577" s="49" t="str">
        <f t="shared" si="1"/>
        <v>52250</v>
      </c>
      <c r="H20577" s="49">
        <f t="shared" si="2"/>
        <v>52292</v>
      </c>
    </row>
    <row r="20578">
      <c r="A20578" s="48" t="s">
        <v>11261</v>
      </c>
      <c r="B20578" s="38">
        <v>38015.0</v>
      </c>
      <c r="C20578" s="38" t="s">
        <v>25083</v>
      </c>
      <c r="D20578" s="38" t="str">
        <f>IFERROR(__xludf.DUMMYFUNCTION("REGEXREPLACE(C20578,""-\d+(.*)|--\d+(.*)"","""")"),"ARTAS")</f>
        <v>ARTAS</v>
      </c>
      <c r="E20578" s="38" t="s">
        <v>101</v>
      </c>
      <c r="F20578" s="38" t="s">
        <v>102</v>
      </c>
      <c r="G20578" s="49" t="str">
        <f t="shared" si="1"/>
        <v>38440</v>
      </c>
      <c r="H20578" s="49">
        <f t="shared" si="2"/>
        <v>38015</v>
      </c>
    </row>
    <row r="20579">
      <c r="A20579" s="48" t="s">
        <v>11023</v>
      </c>
      <c r="B20579" s="38">
        <v>73227.0</v>
      </c>
      <c r="C20579" s="38" t="s">
        <v>25084</v>
      </c>
      <c r="D20579" s="38" t="str">
        <f>IFERROR(__xludf.DUMMYFUNCTION("REGEXREPLACE(C20579,""-\d+(.*)|--\d+(.*)"","""")"),"SAINT-BON-TARENTAISE")</f>
        <v>SAINT-BON-TARENTAISE</v>
      </c>
      <c r="E20579" s="38" t="s">
        <v>306</v>
      </c>
      <c r="F20579" s="38" t="s">
        <v>102</v>
      </c>
      <c r="G20579" s="49" t="str">
        <f t="shared" si="1"/>
        <v>73120</v>
      </c>
      <c r="H20579" s="49">
        <f t="shared" si="2"/>
        <v>73227</v>
      </c>
    </row>
    <row r="20580">
      <c r="A20580" s="48" t="s">
        <v>3846</v>
      </c>
      <c r="B20580" s="38">
        <v>19056.0</v>
      </c>
      <c r="C20580" s="38" t="s">
        <v>25085</v>
      </c>
      <c r="D20580" s="38" t="str">
        <f>IFERROR(__xludf.DUMMYFUNCTION("REGEXREPLACE(C20580,""-\d+(.*)|--\d+(.*)"","""")"),"CLERGOUX")</f>
        <v>CLERGOUX</v>
      </c>
      <c r="E20580" s="38" t="s">
        <v>271</v>
      </c>
      <c r="F20580" s="38" t="s">
        <v>98</v>
      </c>
      <c r="G20580" s="49" t="str">
        <f t="shared" si="1"/>
        <v>19320</v>
      </c>
      <c r="H20580" s="49">
        <f t="shared" si="2"/>
        <v>19056</v>
      </c>
    </row>
    <row r="20581">
      <c r="A20581" s="48" t="s">
        <v>15700</v>
      </c>
      <c r="B20581" s="38">
        <v>53181.0</v>
      </c>
      <c r="C20581" s="38" t="s">
        <v>25086</v>
      </c>
      <c r="D20581" s="38" t="str">
        <f>IFERROR(__xludf.DUMMYFUNCTION("REGEXREPLACE(C20581,""-\d+(.*)|--\d+(.*)"","""")"),"PONTMAIN")</f>
        <v>PONTMAIN</v>
      </c>
      <c r="E20581" s="38" t="s">
        <v>518</v>
      </c>
      <c r="F20581" s="38" t="s">
        <v>180</v>
      </c>
      <c r="G20581" s="49" t="str">
        <f t="shared" si="1"/>
        <v>53220</v>
      </c>
      <c r="H20581" s="49">
        <f t="shared" si="2"/>
        <v>53181</v>
      </c>
    </row>
    <row r="20582">
      <c r="A20582" s="48" t="s">
        <v>635</v>
      </c>
      <c r="B20582" s="38">
        <v>15203.0</v>
      </c>
      <c r="C20582" s="38" t="s">
        <v>25087</v>
      </c>
      <c r="D20582" s="38" t="str">
        <f>IFERROR(__xludf.DUMMYFUNCTION("REGEXREPLACE(C20582,""-\d+(.*)|--\d+(.*)"","""")"),"SAINT-MARY-LE-PLAIN")</f>
        <v>SAINT-MARY-LE-PLAIN</v>
      </c>
      <c r="E20582" s="38" t="s">
        <v>632</v>
      </c>
      <c r="F20582" s="38" t="s">
        <v>161</v>
      </c>
      <c r="G20582" s="49" t="str">
        <f t="shared" si="1"/>
        <v>15500</v>
      </c>
      <c r="H20582" s="49">
        <f t="shared" si="2"/>
        <v>15203</v>
      </c>
    </row>
    <row r="20583">
      <c r="A20583" s="48" t="s">
        <v>1783</v>
      </c>
      <c r="B20583" s="38">
        <v>60549.0</v>
      </c>
      <c r="C20583" s="38" t="s">
        <v>25088</v>
      </c>
      <c r="D20583" s="38" t="str">
        <f>IFERROR(__xludf.DUMMYFUNCTION("REGEXREPLACE(C20583,""-\d+(.*)|--\d+(.*)"","""")"),"ROTANGY")</f>
        <v>ROTANGY</v>
      </c>
      <c r="E20583" s="38" t="s">
        <v>112</v>
      </c>
      <c r="F20583" s="38" t="s">
        <v>113</v>
      </c>
      <c r="G20583" s="49" t="str">
        <f t="shared" si="1"/>
        <v>60360</v>
      </c>
      <c r="H20583" s="49">
        <f t="shared" si="2"/>
        <v>60549</v>
      </c>
    </row>
    <row r="20584">
      <c r="A20584" s="48" t="s">
        <v>8695</v>
      </c>
      <c r="B20584" s="38">
        <v>62002.0</v>
      </c>
      <c r="C20584" s="38" t="s">
        <v>25089</v>
      </c>
      <c r="D20584" s="38" t="str">
        <f>IFERROR(__xludf.DUMMYFUNCTION("REGEXREPLACE(C20584,""-\d+(.*)|--\d+(.*)"","""")"),"ABLAINZEVELLE")</f>
        <v>ABLAINZEVELLE</v>
      </c>
      <c r="E20584" s="38" t="s">
        <v>109</v>
      </c>
      <c r="F20584" s="38" t="s">
        <v>86</v>
      </c>
      <c r="G20584" s="49" t="str">
        <f t="shared" si="1"/>
        <v>62116</v>
      </c>
      <c r="H20584" s="49">
        <f t="shared" si="2"/>
        <v>62002</v>
      </c>
    </row>
    <row r="20585">
      <c r="A20585" s="48" t="s">
        <v>5395</v>
      </c>
      <c r="B20585" s="38">
        <v>23215.0</v>
      </c>
      <c r="C20585" s="38" t="s">
        <v>25090</v>
      </c>
      <c r="D20585" s="38" t="str">
        <f>IFERROR(__xludf.DUMMYFUNCTION("REGEXREPLACE(C20585,""-\d+(.*)|--\d+(.*)"","""")"),"SAINT-MARTIAL-LE-VIEUX")</f>
        <v>SAINT-MARTIAL-LE-VIEUX</v>
      </c>
      <c r="E20585" s="38" t="s">
        <v>97</v>
      </c>
      <c r="F20585" s="38" t="s">
        <v>98</v>
      </c>
      <c r="G20585" s="49" t="str">
        <f t="shared" si="1"/>
        <v>23100</v>
      </c>
      <c r="H20585" s="49">
        <f t="shared" si="2"/>
        <v>23215</v>
      </c>
    </row>
    <row r="20586">
      <c r="A20586" s="48" t="s">
        <v>9795</v>
      </c>
      <c r="B20586" s="38">
        <v>33467.0</v>
      </c>
      <c r="C20586" s="38" t="s">
        <v>25091</v>
      </c>
      <c r="D20586" s="38" t="str">
        <f>IFERROR(__xludf.DUMMYFUNCTION("REGEXREPLACE(C20586,""-\d+(.*)|--\d+(.*)"","""")"),"SAINT-QUENTIN-DE-CAPLONG")</f>
        <v>SAINT-QUENTIN-DE-CAPLONG</v>
      </c>
      <c r="E20586" s="38" t="s">
        <v>462</v>
      </c>
      <c r="F20586" s="38" t="s">
        <v>252</v>
      </c>
      <c r="G20586" s="49" t="str">
        <f t="shared" si="1"/>
        <v>33220</v>
      </c>
      <c r="H20586" s="49">
        <f t="shared" si="2"/>
        <v>33467</v>
      </c>
    </row>
    <row r="20587">
      <c r="A20587" s="48" t="s">
        <v>315</v>
      </c>
      <c r="B20587" s="38">
        <v>27375.0</v>
      </c>
      <c r="C20587" s="38" t="s">
        <v>25092</v>
      </c>
      <c r="D20587" s="38" t="str">
        <f>IFERROR(__xludf.DUMMYFUNCTION("REGEXREPLACE(C20587,""-\d+(.*)|--\d+(.*)"","""")"),"LOUVIERS")</f>
        <v>LOUVIERS</v>
      </c>
      <c r="E20587" s="38" t="s">
        <v>241</v>
      </c>
      <c r="F20587" s="38" t="s">
        <v>134</v>
      </c>
      <c r="G20587" s="49" t="str">
        <f t="shared" si="1"/>
        <v>27400</v>
      </c>
      <c r="H20587" s="49">
        <f t="shared" si="2"/>
        <v>27375</v>
      </c>
    </row>
    <row r="20588">
      <c r="A20588" s="48" t="s">
        <v>12642</v>
      </c>
      <c r="B20588" s="38">
        <v>50364.0</v>
      </c>
      <c r="C20588" s="38" t="s">
        <v>25093</v>
      </c>
      <c r="D20588" s="38" t="str">
        <f>IFERROR(__xludf.DUMMYFUNCTION("REGEXREPLACE(C20588,""-\d+(.*)|--\d+(.*)"","""")"),"MUNEVILLE-LE-BINGARD")</f>
        <v>MUNEVILLE-LE-BINGARD</v>
      </c>
      <c r="E20588" s="38" t="s">
        <v>157</v>
      </c>
      <c r="F20588" s="38" t="s">
        <v>138</v>
      </c>
      <c r="G20588" s="49" t="str">
        <f t="shared" si="1"/>
        <v>50490</v>
      </c>
      <c r="H20588" s="49">
        <f t="shared" si="2"/>
        <v>50364</v>
      </c>
    </row>
    <row r="20589">
      <c r="A20589" s="48" t="s">
        <v>1089</v>
      </c>
      <c r="B20589" s="38">
        <v>67159.0</v>
      </c>
      <c r="C20589" s="38" t="s">
        <v>25094</v>
      </c>
      <c r="D20589" s="38" t="str">
        <f>IFERROR(__xludf.DUMMYFUNCTION("REGEXREPLACE(C20589,""-\d+(.*)|--\d+(.*)"","""")"),"GOERLINGEN")</f>
        <v>GOERLINGEN</v>
      </c>
      <c r="E20589" s="38" t="s">
        <v>210</v>
      </c>
      <c r="F20589" s="38" t="s">
        <v>151</v>
      </c>
      <c r="G20589" s="49" t="str">
        <f t="shared" si="1"/>
        <v>67320</v>
      </c>
      <c r="H20589" s="49">
        <f t="shared" si="2"/>
        <v>67159</v>
      </c>
    </row>
    <row r="20590">
      <c r="A20590" s="48" t="s">
        <v>6647</v>
      </c>
      <c r="B20590" s="38">
        <v>58058.0</v>
      </c>
      <c r="C20590" s="38" t="s">
        <v>25095</v>
      </c>
      <c r="D20590" s="38" t="str">
        <f>IFERROR(__xludf.DUMMYFUNCTION("REGEXREPLACE(C20590,""-\d+(.*)|--\d+(.*)"","""")"),"LA CHAPELLE-SAINT-ANDRE")</f>
        <v>LA CHAPELLE-SAINT-ANDRE</v>
      </c>
      <c r="E20590" s="38" t="s">
        <v>219</v>
      </c>
      <c r="F20590" s="38" t="s">
        <v>106</v>
      </c>
      <c r="G20590" s="49" t="str">
        <f t="shared" si="1"/>
        <v>58210</v>
      </c>
      <c r="H20590" s="49">
        <f t="shared" si="2"/>
        <v>58058</v>
      </c>
    </row>
    <row r="20591">
      <c r="A20591" s="48" t="s">
        <v>544</v>
      </c>
      <c r="B20591" s="38">
        <v>57064.0</v>
      </c>
      <c r="C20591" s="38" t="s">
        <v>25096</v>
      </c>
      <c r="D20591" s="38" t="str">
        <f>IFERROR(__xludf.DUMMYFUNCTION("REGEXREPLACE(C20591,""-\d+(.*)|--\d+(.*)"","""")"),"BERLING")</f>
        <v>BERLING</v>
      </c>
      <c r="E20591" s="38" t="s">
        <v>303</v>
      </c>
      <c r="F20591" s="38" t="s">
        <v>195</v>
      </c>
      <c r="G20591" s="49" t="str">
        <f t="shared" si="1"/>
        <v>57370</v>
      </c>
      <c r="H20591" s="49">
        <f t="shared" si="2"/>
        <v>57064</v>
      </c>
    </row>
    <row r="20592">
      <c r="A20592" s="48" t="s">
        <v>17153</v>
      </c>
      <c r="B20592" s="38">
        <v>74001.0</v>
      </c>
      <c r="C20592" s="38" t="s">
        <v>25097</v>
      </c>
      <c r="D20592" s="38" t="str">
        <f>IFERROR(__xludf.DUMMYFUNCTION("REGEXREPLACE(C20592,""-\d+(.*)|--\d+(.*)"","""")"),"ABONDANCE")</f>
        <v>ABONDANCE</v>
      </c>
      <c r="E20592" s="38" t="s">
        <v>319</v>
      </c>
      <c r="F20592" s="38" t="s">
        <v>102</v>
      </c>
      <c r="G20592" s="49" t="str">
        <f t="shared" si="1"/>
        <v>74360</v>
      </c>
      <c r="H20592" s="49">
        <f t="shared" si="2"/>
        <v>74001</v>
      </c>
    </row>
    <row r="20593">
      <c r="A20593" s="48" t="s">
        <v>5950</v>
      </c>
      <c r="B20593" s="38">
        <v>53253.0</v>
      </c>
      <c r="C20593" s="38" t="s">
        <v>25098</v>
      </c>
      <c r="D20593" s="38" t="str">
        <f>IFERROR(__xludf.DUMMYFUNCTION("REGEXREPLACE(C20593,""-\d+(.*)|--\d+(.*)"","""")"),"SAINT-SATURNIN-DU-LIMET")</f>
        <v>SAINT-SATURNIN-DU-LIMET</v>
      </c>
      <c r="E20593" s="38" t="s">
        <v>518</v>
      </c>
      <c r="F20593" s="38" t="s">
        <v>180</v>
      </c>
      <c r="G20593" s="49" t="str">
        <f t="shared" si="1"/>
        <v>53800</v>
      </c>
      <c r="H20593" s="49">
        <f t="shared" si="2"/>
        <v>53253</v>
      </c>
    </row>
    <row r="20594">
      <c r="A20594" s="48" t="s">
        <v>10346</v>
      </c>
      <c r="B20594" s="38">
        <v>59294.0</v>
      </c>
      <c r="C20594" s="38" t="s">
        <v>25099</v>
      </c>
      <c r="D20594" s="38" t="str">
        <f>IFERROR(__xludf.DUMMYFUNCTION("REGEXREPLACE(C20594,""-\d+(.*)|--\d+(.*)"","""")"),"HAYNECOURT")</f>
        <v>HAYNECOURT</v>
      </c>
      <c r="E20594" s="38" t="s">
        <v>85</v>
      </c>
      <c r="F20594" s="38" t="s">
        <v>86</v>
      </c>
      <c r="G20594" s="49" t="str">
        <f t="shared" si="1"/>
        <v>59268</v>
      </c>
      <c r="H20594" s="49">
        <f t="shared" si="2"/>
        <v>59294</v>
      </c>
    </row>
    <row r="20595">
      <c r="A20595" s="48" t="s">
        <v>8595</v>
      </c>
      <c r="B20595" s="38">
        <v>42283.0</v>
      </c>
      <c r="C20595" s="38" t="s">
        <v>25100</v>
      </c>
      <c r="D20595" s="38" t="str">
        <f>IFERROR(__xludf.DUMMYFUNCTION("REGEXREPLACE(C20595,""-\d+(.*)|--\d+(.*)"","""")"),"SAINT-ROMAIN-EN-JAREZ")</f>
        <v>SAINT-ROMAIN-EN-JAREZ</v>
      </c>
      <c r="E20595" s="38" t="s">
        <v>166</v>
      </c>
      <c r="F20595" s="38" t="s">
        <v>102</v>
      </c>
      <c r="G20595" s="49" t="str">
        <f t="shared" si="1"/>
        <v>42800</v>
      </c>
      <c r="H20595" s="49">
        <f t="shared" si="2"/>
        <v>42283</v>
      </c>
    </row>
    <row r="20596">
      <c r="A20596" s="48" t="s">
        <v>25101</v>
      </c>
      <c r="B20596" s="38">
        <v>59071.0</v>
      </c>
      <c r="C20596" s="38" t="s">
        <v>25102</v>
      </c>
      <c r="D20596" s="38" t="str">
        <f>IFERROR(__xludf.DUMMYFUNCTION("REGEXREPLACE(C20596,""-\d+(.*)|--\d+(.*)"","""")"),"BERSEE")</f>
        <v>BERSEE</v>
      </c>
      <c r="E20596" s="38" t="s">
        <v>85</v>
      </c>
      <c r="F20596" s="38" t="s">
        <v>86</v>
      </c>
      <c r="G20596" s="49" t="str">
        <f t="shared" si="1"/>
        <v>59235</v>
      </c>
      <c r="H20596" s="49">
        <f t="shared" si="2"/>
        <v>59071</v>
      </c>
    </row>
    <row r="20597">
      <c r="A20597" s="48" t="s">
        <v>2905</v>
      </c>
      <c r="B20597" s="38">
        <v>21155.0</v>
      </c>
      <c r="C20597" s="38" t="s">
        <v>25103</v>
      </c>
      <c r="D20597" s="38" t="str">
        <f>IFERROR(__xludf.DUMMYFUNCTION("REGEXREPLACE(C20597,""-\d+(.*)|--\d+(.*)"","""")"),"CHAUDENAY-LA-VILLE")</f>
        <v>CHAUDENAY-LA-VILLE</v>
      </c>
      <c r="E20597" s="38" t="s">
        <v>105</v>
      </c>
      <c r="F20597" s="38" t="s">
        <v>106</v>
      </c>
      <c r="G20597" s="49" t="str">
        <f t="shared" si="1"/>
        <v>21360</v>
      </c>
      <c r="H20597" s="49">
        <f t="shared" si="2"/>
        <v>21155</v>
      </c>
    </row>
    <row r="20598">
      <c r="A20598" s="48" t="s">
        <v>12009</v>
      </c>
      <c r="B20598" s="38">
        <v>71303.0</v>
      </c>
      <c r="C20598" s="38" t="s">
        <v>25104</v>
      </c>
      <c r="D20598" s="38" t="str">
        <f>IFERROR(__xludf.DUMMYFUNCTION("REGEXREPLACE(C20598,""-\d+(.*)|--\d+(.*)"","""")"),"MONTAGNY-PRES-LOUHANS")</f>
        <v>MONTAGNY-PRES-LOUHANS</v>
      </c>
      <c r="E20598" s="38" t="s">
        <v>344</v>
      </c>
      <c r="F20598" s="38" t="s">
        <v>106</v>
      </c>
      <c r="G20598" s="49" t="str">
        <f t="shared" si="1"/>
        <v>71500</v>
      </c>
      <c r="H20598" s="49">
        <f t="shared" si="2"/>
        <v>71303</v>
      </c>
    </row>
    <row r="20599">
      <c r="A20599" s="48" t="s">
        <v>568</v>
      </c>
      <c r="B20599" s="38">
        <v>82144.0</v>
      </c>
      <c r="C20599" s="38" t="s">
        <v>25105</v>
      </c>
      <c r="D20599" s="38" t="str">
        <f>IFERROR(__xludf.DUMMYFUNCTION("REGEXREPLACE(C20599,""-\d+(.*)|--\d+(.*)"","""")"),"PUYCORNET")</f>
        <v>PUYCORNET</v>
      </c>
      <c r="E20599" s="38" t="s">
        <v>570</v>
      </c>
      <c r="F20599" s="38" t="s">
        <v>94</v>
      </c>
      <c r="G20599" s="49" t="str">
        <f t="shared" si="1"/>
        <v>82220</v>
      </c>
      <c r="H20599" s="49">
        <f t="shared" si="2"/>
        <v>82144</v>
      </c>
    </row>
    <row r="20600">
      <c r="A20600" s="48" t="s">
        <v>2605</v>
      </c>
      <c r="B20600" s="38">
        <v>39062.0</v>
      </c>
      <c r="C20600" s="38" t="s">
        <v>17711</v>
      </c>
      <c r="D20600" s="38" t="str">
        <f>IFERROR(__xludf.DUMMYFUNCTION("REGEXREPLACE(C20600,""-\d+(.*)|--\d+(.*)"","""")"),"LA BOISSIERE")</f>
        <v>LA BOISSIERE</v>
      </c>
      <c r="E20600" s="38" t="s">
        <v>400</v>
      </c>
      <c r="F20600" s="38" t="s">
        <v>214</v>
      </c>
      <c r="G20600" s="49" t="str">
        <f t="shared" si="1"/>
        <v>39240</v>
      </c>
      <c r="H20600" s="49">
        <f t="shared" si="2"/>
        <v>39062</v>
      </c>
    </row>
    <row r="20601">
      <c r="A20601" s="48" t="s">
        <v>9376</v>
      </c>
      <c r="B20601" s="38">
        <v>14147.0</v>
      </c>
      <c r="C20601" s="38" t="s">
        <v>9567</v>
      </c>
      <c r="D20601" s="38" t="str">
        <f>IFERROR(__xludf.DUMMYFUNCTION("REGEXREPLACE(C20601,""-\d+(.*)|--\d+(.*)"","""")"),"CERNAY")</f>
        <v>CERNAY</v>
      </c>
      <c r="E20601" s="38" t="s">
        <v>137</v>
      </c>
      <c r="F20601" s="38" t="s">
        <v>138</v>
      </c>
      <c r="G20601" s="49" t="str">
        <f t="shared" si="1"/>
        <v>14290</v>
      </c>
      <c r="H20601" s="49">
        <f t="shared" si="2"/>
        <v>14147</v>
      </c>
    </row>
    <row r="20602">
      <c r="A20602" s="48" t="s">
        <v>11903</v>
      </c>
      <c r="B20602" s="38">
        <v>74220.0</v>
      </c>
      <c r="C20602" s="38" t="s">
        <v>25106</v>
      </c>
      <c r="D20602" s="38" t="str">
        <f>IFERROR(__xludf.DUMMYFUNCTION("REGEXREPLACE(C20602,""-\d+(.*)|--\d+(.*)"","""")"),"REIGNIER-ESERY")</f>
        <v>REIGNIER-ESERY</v>
      </c>
      <c r="E20602" s="38" t="s">
        <v>319</v>
      </c>
      <c r="F20602" s="38" t="s">
        <v>102</v>
      </c>
      <c r="G20602" s="49" t="str">
        <f t="shared" si="1"/>
        <v>74930</v>
      </c>
      <c r="H20602" s="49">
        <f t="shared" si="2"/>
        <v>74220</v>
      </c>
    </row>
    <row r="20603">
      <c r="A20603" s="48" t="s">
        <v>1562</v>
      </c>
      <c r="B20603" s="38">
        <v>24211.0</v>
      </c>
      <c r="C20603" s="38" t="s">
        <v>25107</v>
      </c>
      <c r="D20603" s="38" t="str">
        <f>IFERROR(__xludf.DUMMYFUNCTION("REGEXREPLACE(C20603,""-\d+(.*)|--\d+(.*)"","""")"),"ISSAC")</f>
        <v>ISSAC</v>
      </c>
      <c r="E20603" s="38" t="s">
        <v>261</v>
      </c>
      <c r="F20603" s="38" t="s">
        <v>252</v>
      </c>
      <c r="G20603" s="49" t="str">
        <f t="shared" si="1"/>
        <v>24400</v>
      </c>
      <c r="H20603" s="49">
        <f t="shared" si="2"/>
        <v>24211</v>
      </c>
    </row>
    <row r="20604">
      <c r="A20604" s="48" t="s">
        <v>396</v>
      </c>
      <c r="B20604" s="38">
        <v>71110.0</v>
      </c>
      <c r="C20604" s="38" t="s">
        <v>25108</v>
      </c>
      <c r="D20604" s="38" t="str">
        <f>IFERROR(__xludf.DUMMYFUNCTION("REGEXREPLACE(C20604,""-\d+(.*)|--\d+(.*)"","""")"),"CHASSIGNY-SOUS-DUN")</f>
        <v>CHASSIGNY-SOUS-DUN</v>
      </c>
      <c r="E20604" s="38" t="s">
        <v>344</v>
      </c>
      <c r="F20604" s="38" t="s">
        <v>106</v>
      </c>
      <c r="G20604" s="49" t="str">
        <f t="shared" si="1"/>
        <v>71170</v>
      </c>
      <c r="H20604" s="49">
        <f t="shared" si="2"/>
        <v>71110</v>
      </c>
    </row>
    <row r="20605">
      <c r="A20605" s="48" t="s">
        <v>10299</v>
      </c>
      <c r="B20605" s="38">
        <v>67328.0</v>
      </c>
      <c r="C20605" s="38" t="s">
        <v>25109</v>
      </c>
      <c r="D20605" s="38" t="str">
        <f>IFERROR(__xludf.DUMMYFUNCTION("REGEXREPLACE(C20605,""-\d+(.*)|--\d+(.*)"","""")"),"NIEDERMODERN")</f>
        <v>NIEDERMODERN</v>
      </c>
      <c r="E20605" s="38" t="s">
        <v>210</v>
      </c>
      <c r="F20605" s="38" t="s">
        <v>151</v>
      </c>
      <c r="G20605" s="49" t="str">
        <f t="shared" si="1"/>
        <v>67350</v>
      </c>
      <c r="H20605" s="49">
        <f t="shared" si="2"/>
        <v>67328</v>
      </c>
    </row>
    <row r="20606">
      <c r="A20606" s="48" t="s">
        <v>2294</v>
      </c>
      <c r="B20606" s="38">
        <v>87182.0</v>
      </c>
      <c r="C20606" s="38" t="s">
        <v>25110</v>
      </c>
      <c r="D20606" s="38" t="str">
        <f>IFERROR(__xludf.DUMMYFUNCTION("REGEXREPLACE(C20606,""-\d+(.*)|--\d+(.*)"","""")"),"SAINT-SULPICE-LES-FEUILLES")</f>
        <v>SAINT-SULPICE-LES-FEUILLES</v>
      </c>
      <c r="E20606" s="38" t="s">
        <v>897</v>
      </c>
      <c r="F20606" s="38" t="s">
        <v>98</v>
      </c>
      <c r="G20606" s="49" t="str">
        <f t="shared" si="1"/>
        <v>87160</v>
      </c>
      <c r="H20606" s="49">
        <f t="shared" si="2"/>
        <v>87182</v>
      </c>
    </row>
    <row r="20607">
      <c r="A20607" s="48" t="s">
        <v>2655</v>
      </c>
      <c r="B20607" s="38">
        <v>52445.0</v>
      </c>
      <c r="C20607" s="38" t="s">
        <v>25111</v>
      </c>
      <c r="D20607" s="38" t="str">
        <f>IFERROR(__xludf.DUMMYFUNCTION("REGEXREPLACE(C20607,""-\d+(.*)|--\d+(.*)"","""")"),"SAINT-BROINGT-LE-BOIS")</f>
        <v>SAINT-BROINGT-LE-BOIS</v>
      </c>
      <c r="E20607" s="38" t="s">
        <v>234</v>
      </c>
      <c r="F20607" s="38" t="s">
        <v>130</v>
      </c>
      <c r="G20607" s="49" t="str">
        <f t="shared" si="1"/>
        <v>52190</v>
      </c>
      <c r="H20607" s="49">
        <f t="shared" si="2"/>
        <v>52445</v>
      </c>
    </row>
    <row r="20608">
      <c r="A20608" s="48" t="s">
        <v>4969</v>
      </c>
      <c r="B20608" s="38">
        <v>14307.0</v>
      </c>
      <c r="C20608" s="38" t="s">
        <v>12304</v>
      </c>
      <c r="D20608" s="38" t="str">
        <f>IFERROR(__xludf.DUMMYFUNCTION("REGEXREPLACE(C20608,""-\d+(.*)|--\d+(.*)"","""")"),"GOUPILLIERES")</f>
        <v>GOUPILLIERES</v>
      </c>
      <c r="E20608" s="38" t="s">
        <v>137</v>
      </c>
      <c r="F20608" s="38" t="s">
        <v>138</v>
      </c>
      <c r="G20608" s="49" t="str">
        <f t="shared" si="1"/>
        <v>14210</v>
      </c>
      <c r="H20608" s="49">
        <f t="shared" si="2"/>
        <v>14307</v>
      </c>
    </row>
    <row r="20609">
      <c r="A20609" s="48" t="s">
        <v>2029</v>
      </c>
      <c r="B20609" s="38">
        <v>50089.0</v>
      </c>
      <c r="C20609" s="38" t="s">
        <v>25112</v>
      </c>
      <c r="D20609" s="38" t="str">
        <f>IFERROR(__xludf.DUMMYFUNCTION("REGEXREPLACE(C20609,""-\d+(.*)|--\d+(.*)"","""")"),"BRUCHEVILLE")</f>
        <v>BRUCHEVILLE</v>
      </c>
      <c r="E20609" s="38" t="s">
        <v>157</v>
      </c>
      <c r="F20609" s="38" t="s">
        <v>138</v>
      </c>
      <c r="G20609" s="49" t="str">
        <f t="shared" si="1"/>
        <v>50480</v>
      </c>
      <c r="H20609" s="49">
        <f t="shared" si="2"/>
        <v>50089</v>
      </c>
    </row>
    <row r="20610">
      <c r="A20610" s="48" t="s">
        <v>25113</v>
      </c>
      <c r="B20610" s="38">
        <v>67082.0</v>
      </c>
      <c r="C20610" s="38" t="s">
        <v>25114</v>
      </c>
      <c r="D20610" s="38" t="str">
        <f>IFERROR(__xludf.DUMMYFUNCTION("REGEXREPLACE(C20610,""-\d+(.*)|--\d+(.*)"","""")"),"DALHUNDEN")</f>
        <v>DALHUNDEN</v>
      </c>
      <c r="E20610" s="38" t="s">
        <v>210</v>
      </c>
      <c r="F20610" s="38" t="s">
        <v>151</v>
      </c>
      <c r="G20610" s="49" t="str">
        <f t="shared" si="1"/>
        <v>67770</v>
      </c>
      <c r="H20610" s="49">
        <f t="shared" si="2"/>
        <v>67082</v>
      </c>
    </row>
    <row r="20611">
      <c r="A20611" s="48" t="s">
        <v>773</v>
      </c>
      <c r="B20611" s="38">
        <v>27123.0</v>
      </c>
      <c r="C20611" s="38" t="s">
        <v>25115</v>
      </c>
      <c r="D20611" s="38" t="str">
        <f>IFERROR(__xludf.DUMMYFUNCTION("REGEXREPLACE(C20611,""-\d+(.*)|--\d+(.*)"","""")"),"CAILLOUET-ORGEVILLE")</f>
        <v>CAILLOUET-ORGEVILLE</v>
      </c>
      <c r="E20611" s="38" t="s">
        <v>241</v>
      </c>
      <c r="F20611" s="38" t="s">
        <v>134</v>
      </c>
      <c r="G20611" s="49" t="str">
        <f t="shared" si="1"/>
        <v>27120</v>
      </c>
      <c r="H20611" s="49">
        <f t="shared" si="2"/>
        <v>27123</v>
      </c>
    </row>
    <row r="20612">
      <c r="A20612" s="48" t="s">
        <v>2111</v>
      </c>
      <c r="B20612" s="38">
        <v>77438.0</v>
      </c>
      <c r="C20612" s="38" t="s">
        <v>25116</v>
      </c>
      <c r="D20612" s="38" t="str">
        <f>IFERROR(__xludf.DUMMYFUNCTION("REGEXREPLACE(C20612,""-\d+(.*)|--\d+(.*)"","""")"),"SAINT-THIBAULT-DES-VIGNES")</f>
        <v>SAINT-THIBAULT-DES-VIGNES</v>
      </c>
      <c r="E20612" s="38" t="s">
        <v>244</v>
      </c>
      <c r="F20612" s="38" t="s">
        <v>245</v>
      </c>
      <c r="G20612" s="49" t="str">
        <f t="shared" si="1"/>
        <v>77400</v>
      </c>
      <c r="H20612" s="49">
        <f t="shared" si="2"/>
        <v>77438</v>
      </c>
    </row>
    <row r="20613">
      <c r="A20613" s="48" t="s">
        <v>942</v>
      </c>
      <c r="B20613" s="38">
        <v>2253.0</v>
      </c>
      <c r="C20613" s="38" t="s">
        <v>25117</v>
      </c>
      <c r="D20613" s="38" t="str">
        <f>IFERROR(__xludf.DUMMYFUNCTION("REGEXREPLACE(C20613,""-\d+(.*)|--\d+(.*)"","""")"),"CUISY-EN-ALMONT")</f>
        <v>CUISY-EN-ALMONT</v>
      </c>
      <c r="E20613" s="38" t="s">
        <v>191</v>
      </c>
      <c r="F20613" s="38" t="s">
        <v>113</v>
      </c>
      <c r="G20613" s="49" t="str">
        <f t="shared" si="1"/>
        <v>02200</v>
      </c>
      <c r="H20613" s="49" t="str">
        <f t="shared" si="2"/>
        <v>02253</v>
      </c>
    </row>
    <row r="20614">
      <c r="A20614" s="48" t="s">
        <v>5837</v>
      </c>
      <c r="B20614" s="38">
        <v>95328.0</v>
      </c>
      <c r="C20614" s="38" t="s">
        <v>25118</v>
      </c>
      <c r="D20614" s="38" t="str">
        <f>IFERROR(__xludf.DUMMYFUNCTION("REGEXREPLACE(C20614,""-\d+(.*)|--\d+(.*)"","""")"),"LABBEVILLE")</f>
        <v>LABBEVILLE</v>
      </c>
      <c r="E20614" s="38" t="s">
        <v>541</v>
      </c>
      <c r="F20614" s="38" t="s">
        <v>245</v>
      </c>
      <c r="G20614" s="49" t="str">
        <f t="shared" si="1"/>
        <v>95690</v>
      </c>
      <c r="H20614" s="49">
        <f t="shared" si="2"/>
        <v>95328</v>
      </c>
    </row>
    <row r="20615">
      <c r="A20615" s="48" t="s">
        <v>22750</v>
      </c>
      <c r="B20615" s="38">
        <v>60074.0</v>
      </c>
      <c r="C20615" s="38" t="s">
        <v>25119</v>
      </c>
      <c r="D20615" s="38" t="str">
        <f>IFERROR(__xludf.DUMMYFUNCTION("REGEXREPLACE(C20615,""-\d+(.*)|--\d+(.*)"","""")"),"BLAINCOURT-LES-PRECY")</f>
        <v>BLAINCOURT-LES-PRECY</v>
      </c>
      <c r="E20615" s="38" t="s">
        <v>112</v>
      </c>
      <c r="F20615" s="38" t="s">
        <v>113</v>
      </c>
      <c r="G20615" s="49" t="str">
        <f t="shared" si="1"/>
        <v>60460</v>
      </c>
      <c r="H20615" s="49">
        <f t="shared" si="2"/>
        <v>60074</v>
      </c>
    </row>
    <row r="20616">
      <c r="A20616" s="48" t="s">
        <v>683</v>
      </c>
      <c r="B20616" s="38">
        <v>64435.0</v>
      </c>
      <c r="C20616" s="38" t="s">
        <v>25120</v>
      </c>
      <c r="D20616" s="38" t="str">
        <f>IFERROR(__xludf.DUMMYFUNCTION("REGEXREPLACE(C20616,""-\d+(.*)|--\d+(.*)"","""")"),"OSSERAIN-RIVAREYTE")</f>
        <v>OSSERAIN-RIVAREYTE</v>
      </c>
      <c r="E20616" s="38" t="s">
        <v>268</v>
      </c>
      <c r="F20616" s="38" t="s">
        <v>252</v>
      </c>
      <c r="G20616" s="49" t="str">
        <f t="shared" si="1"/>
        <v>64390</v>
      </c>
      <c r="H20616" s="49">
        <f t="shared" si="2"/>
        <v>64435</v>
      </c>
    </row>
    <row r="20617">
      <c r="A20617" s="48" t="s">
        <v>3145</v>
      </c>
      <c r="B20617" s="38">
        <v>63021.0</v>
      </c>
      <c r="C20617" s="38" t="s">
        <v>25121</v>
      </c>
      <c r="D20617" s="38" t="str">
        <f>IFERROR(__xludf.DUMMYFUNCTION("REGEXREPLACE(C20617,""-\d+(.*)|--\d+(.*)"","""")"),"AUTHEZAT")</f>
        <v>AUTHEZAT</v>
      </c>
      <c r="E20617" s="38" t="s">
        <v>353</v>
      </c>
      <c r="F20617" s="38" t="s">
        <v>161</v>
      </c>
      <c r="G20617" s="49" t="str">
        <f t="shared" si="1"/>
        <v>63114</v>
      </c>
      <c r="H20617" s="49">
        <f t="shared" si="2"/>
        <v>63021</v>
      </c>
    </row>
    <row r="20618">
      <c r="A20618" s="48" t="s">
        <v>3545</v>
      </c>
      <c r="B20618" s="38">
        <v>17156.0</v>
      </c>
      <c r="C20618" s="38" t="s">
        <v>25122</v>
      </c>
      <c r="D20618" s="38" t="str">
        <f>IFERROR(__xludf.DUMMYFUNCTION("REGEXREPLACE(C20618,""-\d+(.*)|--\d+(.*)"","""")"),"EXPIREMONT")</f>
        <v>EXPIREMONT</v>
      </c>
      <c r="E20618" s="38" t="s">
        <v>488</v>
      </c>
      <c r="F20618" s="38" t="s">
        <v>338</v>
      </c>
      <c r="G20618" s="49" t="str">
        <f t="shared" si="1"/>
        <v>17130</v>
      </c>
      <c r="H20618" s="49">
        <f t="shared" si="2"/>
        <v>17156</v>
      </c>
    </row>
    <row r="20619">
      <c r="A20619" s="48" t="s">
        <v>1070</v>
      </c>
      <c r="B20619" s="38">
        <v>39484.0</v>
      </c>
      <c r="C20619" s="38" t="s">
        <v>25123</v>
      </c>
      <c r="D20619" s="38" t="str">
        <f>IFERROR(__xludf.DUMMYFUNCTION("REGEXREPLACE(C20619,""-\d+(.*)|--\d+(.*)"","""")"),"SAINT-JEAN-D'ETREUX")</f>
        <v>SAINT-JEAN-D'ETREUX</v>
      </c>
      <c r="E20619" s="38" t="s">
        <v>400</v>
      </c>
      <c r="F20619" s="38" t="s">
        <v>214</v>
      </c>
      <c r="G20619" s="49" t="str">
        <f t="shared" si="1"/>
        <v>39160</v>
      </c>
      <c r="H20619" s="49">
        <f t="shared" si="2"/>
        <v>39484</v>
      </c>
    </row>
    <row r="20620">
      <c r="A20620" s="48" t="s">
        <v>4292</v>
      </c>
      <c r="B20620" s="38">
        <v>74077.0</v>
      </c>
      <c r="C20620" s="38" t="s">
        <v>25124</v>
      </c>
      <c r="D20620" s="38" t="str">
        <f>IFERROR(__xludf.DUMMYFUNCTION("REGEXREPLACE(C20620,""-\d+(.*)|--\d+(.*)"","""")"),"CLARAFOND-ARCINE")</f>
        <v>CLARAFOND-ARCINE</v>
      </c>
      <c r="E20620" s="38" t="s">
        <v>319</v>
      </c>
      <c r="F20620" s="38" t="s">
        <v>102</v>
      </c>
      <c r="G20620" s="49" t="str">
        <f t="shared" si="1"/>
        <v>74270</v>
      </c>
      <c r="H20620" s="49">
        <f t="shared" si="2"/>
        <v>74077</v>
      </c>
    </row>
    <row r="20621">
      <c r="A20621" s="48" t="s">
        <v>2710</v>
      </c>
      <c r="B20621" s="38">
        <v>68025.0</v>
      </c>
      <c r="C20621" s="38" t="s">
        <v>25125</v>
      </c>
      <c r="D20621" s="38" t="str">
        <f>IFERROR(__xludf.DUMMYFUNCTION("REGEXREPLACE(C20621,""-\d+(.*)|--\d+(.*)"","""")"),"BENDORF")</f>
        <v>BENDORF</v>
      </c>
      <c r="E20621" s="38" t="s">
        <v>150</v>
      </c>
      <c r="F20621" s="38" t="s">
        <v>151</v>
      </c>
      <c r="G20621" s="49" t="str">
        <f t="shared" si="1"/>
        <v>68480</v>
      </c>
      <c r="H20621" s="49">
        <f t="shared" si="2"/>
        <v>68025</v>
      </c>
    </row>
    <row r="20622">
      <c r="A20622" s="48" t="s">
        <v>5281</v>
      </c>
      <c r="B20622" s="38">
        <v>25116.0</v>
      </c>
      <c r="C20622" s="38" t="s">
        <v>25126</v>
      </c>
      <c r="D20622" s="38" t="str">
        <f>IFERROR(__xludf.DUMMYFUNCTION("REGEXREPLACE(C20622,""-\d+(.*)|--\d+(.*)"","""")"),"CHAMPLIVE")</f>
        <v>CHAMPLIVE</v>
      </c>
      <c r="E20622" s="38" t="s">
        <v>213</v>
      </c>
      <c r="F20622" s="38" t="s">
        <v>214</v>
      </c>
      <c r="G20622" s="49" t="str">
        <f t="shared" si="1"/>
        <v>25360</v>
      </c>
      <c r="H20622" s="49">
        <f t="shared" si="2"/>
        <v>25116</v>
      </c>
    </row>
    <row r="20623">
      <c r="A20623" s="48" t="s">
        <v>1864</v>
      </c>
      <c r="B20623" s="38">
        <v>70530.0</v>
      </c>
      <c r="C20623" s="38" t="s">
        <v>25127</v>
      </c>
      <c r="D20623" s="38" t="str">
        <f>IFERROR(__xludf.DUMMYFUNCTION("REGEXREPLACE(C20623,""-\d+(.*)|--\d+(.*)"","""")"),"VELLECHEVREUX-ET-COURBENANS")</f>
        <v>VELLECHEVREUX-ET-COURBENANS</v>
      </c>
      <c r="E20623" s="38" t="s">
        <v>956</v>
      </c>
      <c r="F20623" s="38" t="s">
        <v>214</v>
      </c>
      <c r="G20623" s="49" t="str">
        <f t="shared" si="1"/>
        <v>70110</v>
      </c>
      <c r="H20623" s="49">
        <f t="shared" si="2"/>
        <v>70530</v>
      </c>
    </row>
    <row r="20624">
      <c r="A20624" s="48" t="s">
        <v>3287</v>
      </c>
      <c r="B20624" s="38">
        <v>1367.0</v>
      </c>
      <c r="C20624" s="38" t="s">
        <v>25128</v>
      </c>
      <c r="D20624" s="38" t="str">
        <f>IFERROR(__xludf.DUMMYFUNCTION("REGEXREPLACE(C20624,""-\d+(.*)|--\d+(.*)"","""")"),"SAINT-JULIEN-SUR-REYSSOUZE")</f>
        <v>SAINT-JULIEN-SUR-REYSSOUZE</v>
      </c>
      <c r="E20624" s="38" t="s">
        <v>255</v>
      </c>
      <c r="F20624" s="38" t="s">
        <v>102</v>
      </c>
      <c r="G20624" s="49" t="str">
        <f t="shared" si="1"/>
        <v>01560</v>
      </c>
      <c r="H20624" s="49" t="str">
        <f t="shared" si="2"/>
        <v>01367</v>
      </c>
    </row>
    <row r="20625">
      <c r="A20625" s="48" t="s">
        <v>25129</v>
      </c>
      <c r="B20625" s="38">
        <v>77345.0</v>
      </c>
      <c r="C20625" s="38" t="s">
        <v>25130</v>
      </c>
      <c r="D20625" s="38" t="str">
        <f>IFERROR(__xludf.DUMMYFUNCTION("REGEXREPLACE(C20625,""-\d+(.*)|--\d+(.*)"","""")"),"ORLY-SUR-MORIN")</f>
        <v>ORLY-SUR-MORIN</v>
      </c>
      <c r="E20625" s="38" t="s">
        <v>244</v>
      </c>
      <c r="F20625" s="38" t="s">
        <v>245</v>
      </c>
      <c r="G20625" s="49" t="str">
        <f t="shared" si="1"/>
        <v>77750</v>
      </c>
      <c r="H20625" s="49">
        <f t="shared" si="2"/>
        <v>77345</v>
      </c>
    </row>
    <row r="20626">
      <c r="A20626" s="48" t="s">
        <v>8510</v>
      </c>
      <c r="B20626" s="38">
        <v>39199.0</v>
      </c>
      <c r="C20626" s="38" t="s">
        <v>25131</v>
      </c>
      <c r="D20626" s="38" t="str">
        <f>IFERROR(__xludf.DUMMYFUNCTION("REGEXREPLACE(C20626,""-\d+(.*)|--\d+(.*)"","""")"),"DOMBLANS")</f>
        <v>DOMBLANS</v>
      </c>
      <c r="E20626" s="38" t="s">
        <v>400</v>
      </c>
      <c r="F20626" s="38" t="s">
        <v>214</v>
      </c>
      <c r="G20626" s="49" t="str">
        <f t="shared" si="1"/>
        <v>39210</v>
      </c>
      <c r="H20626" s="49">
        <f t="shared" si="2"/>
        <v>39199</v>
      </c>
    </row>
    <row r="20627">
      <c r="A20627" s="48" t="s">
        <v>10034</v>
      </c>
      <c r="B20627" s="38">
        <v>78264.0</v>
      </c>
      <c r="C20627" s="38" t="s">
        <v>25132</v>
      </c>
      <c r="D20627" s="38" t="str">
        <f>IFERROR(__xludf.DUMMYFUNCTION("REGEXREPLACE(C20627,""-\d+(.*)|--\d+(.*)"","""")"),"GAMBAISEUIL")</f>
        <v>GAMBAISEUIL</v>
      </c>
      <c r="E20627" s="38" t="s">
        <v>362</v>
      </c>
      <c r="F20627" s="38" t="s">
        <v>245</v>
      </c>
      <c r="G20627" s="49" t="str">
        <f t="shared" si="1"/>
        <v>78490</v>
      </c>
      <c r="H20627" s="49">
        <f t="shared" si="2"/>
        <v>78264</v>
      </c>
    </row>
    <row r="20628">
      <c r="A20628" s="48" t="s">
        <v>5596</v>
      </c>
      <c r="B20628" s="38">
        <v>25239.0</v>
      </c>
      <c r="C20628" s="38" t="s">
        <v>25133</v>
      </c>
      <c r="D20628" s="38" t="str">
        <f>IFERROR(__xludf.DUMMYFUNCTION("REGEXREPLACE(C20628,""-\d+(.*)|--\d+(.*)"","""")"),"FEULE")</f>
        <v>FEULE</v>
      </c>
      <c r="E20628" s="38" t="s">
        <v>213</v>
      </c>
      <c r="F20628" s="38" t="s">
        <v>214</v>
      </c>
      <c r="G20628" s="49" t="str">
        <f t="shared" si="1"/>
        <v>25190</v>
      </c>
      <c r="H20628" s="49">
        <f t="shared" si="2"/>
        <v>25239</v>
      </c>
    </row>
    <row r="20629">
      <c r="A20629" s="48" t="s">
        <v>25134</v>
      </c>
      <c r="B20629" s="38">
        <v>77445.0</v>
      </c>
      <c r="C20629" s="38" t="s">
        <v>25135</v>
      </c>
      <c r="D20629" s="38" t="str">
        <f>IFERROR(__xludf.DUMMYFUNCTION("REGEXREPLACE(C20629,""-\d+(.*)|--\d+(.*)"","""")"),"SAVIGNY-LE-TEMPLE")</f>
        <v>SAVIGNY-LE-TEMPLE</v>
      </c>
      <c r="E20629" s="38" t="s">
        <v>244</v>
      </c>
      <c r="F20629" s="38" t="s">
        <v>245</v>
      </c>
      <c r="G20629" s="49" t="str">
        <f t="shared" si="1"/>
        <v>77176</v>
      </c>
      <c r="H20629" s="49">
        <f t="shared" si="2"/>
        <v>77445</v>
      </c>
    </row>
    <row r="20630">
      <c r="A20630" s="48" t="s">
        <v>7107</v>
      </c>
      <c r="B20630" s="38">
        <v>10215.0</v>
      </c>
      <c r="C20630" s="38" t="s">
        <v>25136</v>
      </c>
      <c r="D20630" s="38" t="str">
        <f>IFERROR(__xludf.DUMMYFUNCTION("REGEXREPLACE(C20630,""-\d+(.*)|--\d+(.*)"","""")"),"MAGNY-FOUCHARD")</f>
        <v>MAGNY-FOUCHARD</v>
      </c>
      <c r="E20630" s="38" t="s">
        <v>147</v>
      </c>
      <c r="F20630" s="38" t="s">
        <v>130</v>
      </c>
      <c r="G20630" s="49" t="str">
        <f t="shared" si="1"/>
        <v>10140</v>
      </c>
      <c r="H20630" s="49">
        <f t="shared" si="2"/>
        <v>10215</v>
      </c>
    </row>
    <row r="20631">
      <c r="A20631" s="48" t="s">
        <v>981</v>
      </c>
      <c r="B20631" s="38">
        <v>24484.0</v>
      </c>
      <c r="C20631" s="38" t="s">
        <v>25137</v>
      </c>
      <c r="D20631" s="38" t="str">
        <f>IFERROR(__xludf.DUMMYFUNCTION("REGEXREPLACE(C20631,""-\d+(.*)|--\d+(.*)"","""")"),"SAINT-PIERRE-DE-CHIGNAC")</f>
        <v>SAINT-PIERRE-DE-CHIGNAC</v>
      </c>
      <c r="E20631" s="38" t="s">
        <v>261</v>
      </c>
      <c r="F20631" s="38" t="s">
        <v>252</v>
      </c>
      <c r="G20631" s="49" t="str">
        <f t="shared" si="1"/>
        <v>24330</v>
      </c>
      <c r="H20631" s="49">
        <f t="shared" si="2"/>
        <v>24484</v>
      </c>
    </row>
    <row r="20632">
      <c r="A20632" s="48" t="s">
        <v>12322</v>
      </c>
      <c r="B20632" s="38">
        <v>89257.0</v>
      </c>
      <c r="C20632" s="38" t="s">
        <v>25138</v>
      </c>
      <c r="D20632" s="38" t="str">
        <f>IFERROR(__xludf.DUMMYFUNCTION("REGEXREPLACE(C20632,""-\d+(.*)|--\d+(.*)"","""")"),"MIGENNES")</f>
        <v>MIGENNES</v>
      </c>
      <c r="E20632" s="38" t="s">
        <v>275</v>
      </c>
      <c r="F20632" s="38" t="s">
        <v>106</v>
      </c>
      <c r="G20632" s="49" t="str">
        <f t="shared" si="1"/>
        <v>89400</v>
      </c>
      <c r="H20632" s="49">
        <f t="shared" si="2"/>
        <v>89257</v>
      </c>
    </row>
    <row r="20633">
      <c r="A20633" s="48" t="s">
        <v>1889</v>
      </c>
      <c r="B20633" s="38">
        <v>25444.0</v>
      </c>
      <c r="C20633" s="38" t="s">
        <v>25139</v>
      </c>
      <c r="D20633" s="38" t="str">
        <f>IFERROR(__xludf.DUMMYFUNCTION("REGEXREPLACE(C20633,""-\d+(.*)|--\d+(.*)"","""")"),"PALISE")</f>
        <v>PALISE</v>
      </c>
      <c r="E20633" s="38" t="s">
        <v>213</v>
      </c>
      <c r="F20633" s="38" t="s">
        <v>214</v>
      </c>
      <c r="G20633" s="49" t="str">
        <f t="shared" si="1"/>
        <v>25870</v>
      </c>
      <c r="H20633" s="49">
        <f t="shared" si="2"/>
        <v>25444</v>
      </c>
    </row>
    <row r="20634">
      <c r="A20634" s="48" t="s">
        <v>3238</v>
      </c>
      <c r="B20634" s="38">
        <v>61187.0</v>
      </c>
      <c r="C20634" s="38" t="s">
        <v>25140</v>
      </c>
      <c r="D20634" s="38" t="str">
        <f>IFERROR(__xludf.DUMMYFUNCTION("REGEXREPLACE(C20634,""-\d+(.*)|--\d+(.*)"","""")"),"LES GENETTES")</f>
        <v>LES GENETTES</v>
      </c>
      <c r="E20634" s="38" t="s">
        <v>141</v>
      </c>
      <c r="F20634" s="38" t="s">
        <v>138</v>
      </c>
      <c r="G20634" s="49" t="str">
        <f t="shared" si="1"/>
        <v>61270</v>
      </c>
      <c r="H20634" s="49">
        <f t="shared" si="2"/>
        <v>61187</v>
      </c>
    </row>
    <row r="20635">
      <c r="A20635" s="48" t="s">
        <v>5451</v>
      </c>
      <c r="B20635" s="38">
        <v>19088.0</v>
      </c>
      <c r="C20635" s="38" t="s">
        <v>25141</v>
      </c>
      <c r="D20635" s="38" t="str">
        <f>IFERROR(__xludf.DUMMYFUNCTION("REGEXREPLACE(C20635,""-\d+(.*)|--\d+(.*)"","""")"),"GRANDSAIGNE")</f>
        <v>GRANDSAIGNE</v>
      </c>
      <c r="E20635" s="38" t="s">
        <v>271</v>
      </c>
      <c r="F20635" s="38" t="s">
        <v>98</v>
      </c>
      <c r="G20635" s="49" t="str">
        <f t="shared" si="1"/>
        <v>19300</v>
      </c>
      <c r="H20635" s="49">
        <f t="shared" si="2"/>
        <v>19088</v>
      </c>
    </row>
    <row r="20636">
      <c r="A20636" s="48" t="s">
        <v>796</v>
      </c>
      <c r="B20636" s="38">
        <v>89262.0</v>
      </c>
      <c r="C20636" s="38" t="s">
        <v>25142</v>
      </c>
      <c r="D20636" s="38" t="str">
        <f>IFERROR(__xludf.DUMMYFUNCTION("REGEXREPLACE(C20636,""-\d+(.*)|--\d+(.*)"","""")"),"MOLOSMES")</f>
        <v>MOLOSMES</v>
      </c>
      <c r="E20636" s="38" t="s">
        <v>275</v>
      </c>
      <c r="F20636" s="38" t="s">
        <v>106</v>
      </c>
      <c r="G20636" s="49" t="str">
        <f t="shared" si="1"/>
        <v>89700</v>
      </c>
      <c r="H20636" s="49">
        <f t="shared" si="2"/>
        <v>89262</v>
      </c>
    </row>
    <row r="20637">
      <c r="A20637" s="48" t="s">
        <v>25143</v>
      </c>
      <c r="B20637" s="38">
        <v>94052.0</v>
      </c>
      <c r="C20637" s="38" t="s">
        <v>25144</v>
      </c>
      <c r="D20637" s="38" t="str">
        <f>IFERROR(__xludf.DUMMYFUNCTION("REGEXREPLACE(C20637,""-\d+(.*)|--\d+(.*)"","""")"),"NOGENT-SUR-MARNE")</f>
        <v>NOGENT-SUR-MARNE</v>
      </c>
      <c r="E20637" s="38" t="s">
        <v>561</v>
      </c>
      <c r="F20637" s="38" t="s">
        <v>245</v>
      </c>
      <c r="G20637" s="49" t="str">
        <f t="shared" si="1"/>
        <v>94130</v>
      </c>
      <c r="H20637" s="49">
        <f t="shared" si="2"/>
        <v>94052</v>
      </c>
    </row>
    <row r="20638">
      <c r="A20638" s="48" t="s">
        <v>279</v>
      </c>
      <c r="B20638" s="38">
        <v>40062.0</v>
      </c>
      <c r="C20638" s="38" t="s">
        <v>25145</v>
      </c>
      <c r="D20638" s="38" t="str">
        <f>IFERROR(__xludf.DUMMYFUNCTION("REGEXREPLACE(C20638,""-\d+(.*)|--\d+(.*)"","""")"),"CAMPET-ET-LAMOLERE")</f>
        <v>CAMPET-ET-LAMOLERE</v>
      </c>
      <c r="E20638" s="38" t="s">
        <v>281</v>
      </c>
      <c r="F20638" s="38" t="s">
        <v>252</v>
      </c>
      <c r="G20638" s="49" t="str">
        <f t="shared" si="1"/>
        <v>40090</v>
      </c>
      <c r="H20638" s="49">
        <f t="shared" si="2"/>
        <v>40062</v>
      </c>
    </row>
    <row r="20639">
      <c r="A20639" s="48" t="s">
        <v>22573</v>
      </c>
      <c r="B20639" s="38">
        <v>18152.0</v>
      </c>
      <c r="C20639" s="38" t="s">
        <v>25146</v>
      </c>
      <c r="D20639" s="38" t="str">
        <f>IFERROR(__xludf.DUMMYFUNCTION("REGEXREPLACE(C20639,""-\d+(.*)|--\d+(.*)"","""")"),"MONTLOUIS")</f>
        <v>MONTLOUIS</v>
      </c>
      <c r="E20639" s="38" t="s">
        <v>504</v>
      </c>
      <c r="F20639" s="38" t="s">
        <v>123</v>
      </c>
      <c r="G20639" s="49" t="str">
        <f t="shared" si="1"/>
        <v>18160</v>
      </c>
      <c r="H20639" s="49">
        <f t="shared" si="2"/>
        <v>18152</v>
      </c>
    </row>
    <row r="20640">
      <c r="A20640" s="48" t="s">
        <v>6275</v>
      </c>
      <c r="B20640" s="38">
        <v>8079.0</v>
      </c>
      <c r="C20640" s="38" t="s">
        <v>25147</v>
      </c>
      <c r="D20640" s="38" t="str">
        <f>IFERROR(__xludf.DUMMYFUNCTION("REGEXREPLACE(C20640,""-\d+(.*)|--\d+(.*)"","""")"),"BOUTANCOURT")</f>
        <v>BOUTANCOURT</v>
      </c>
      <c r="E20640" s="38" t="s">
        <v>327</v>
      </c>
      <c r="F20640" s="38" t="s">
        <v>130</v>
      </c>
      <c r="G20640" s="49" t="str">
        <f t="shared" si="1"/>
        <v>08160</v>
      </c>
      <c r="H20640" s="49" t="str">
        <f t="shared" si="2"/>
        <v>08079</v>
      </c>
    </row>
    <row r="20641">
      <c r="A20641" s="48" t="s">
        <v>1861</v>
      </c>
      <c r="B20641" s="38">
        <v>46188.0</v>
      </c>
      <c r="C20641" s="38" t="s">
        <v>25148</v>
      </c>
      <c r="D20641" s="38" t="str">
        <f>IFERROR(__xludf.DUMMYFUNCTION("REGEXREPLACE(C20641,""-\d+(.*)|--\d+(.*)"","""")"),"MAXOU")</f>
        <v>MAXOU</v>
      </c>
      <c r="E20641" s="38" t="s">
        <v>185</v>
      </c>
      <c r="F20641" s="38" t="s">
        <v>94</v>
      </c>
      <c r="G20641" s="49" t="str">
        <f t="shared" si="1"/>
        <v>46090</v>
      </c>
      <c r="H20641" s="49">
        <f t="shared" si="2"/>
        <v>46188</v>
      </c>
    </row>
    <row r="20642">
      <c r="A20642" s="48" t="s">
        <v>8221</v>
      </c>
      <c r="B20642" s="38">
        <v>32081.0</v>
      </c>
      <c r="C20642" s="38" t="s">
        <v>25149</v>
      </c>
      <c r="D20642" s="38" t="str">
        <f>IFERROR(__xludf.DUMMYFUNCTION("REGEXREPLACE(C20642,""-\d+(.*)|--\d+(.*)"","""")"),"CASTELNAVET")</f>
        <v>CASTELNAVET</v>
      </c>
      <c r="E20642" s="38" t="s">
        <v>440</v>
      </c>
      <c r="F20642" s="38" t="s">
        <v>94</v>
      </c>
      <c r="G20642" s="49" t="str">
        <f t="shared" si="1"/>
        <v>32290</v>
      </c>
      <c r="H20642" s="49">
        <f t="shared" si="2"/>
        <v>32081</v>
      </c>
    </row>
    <row r="20643">
      <c r="A20643" s="48" t="s">
        <v>2063</v>
      </c>
      <c r="B20643" s="38">
        <v>43043.0</v>
      </c>
      <c r="C20643" s="38" t="s">
        <v>25150</v>
      </c>
      <c r="D20643" s="38" t="str">
        <f>IFERROR(__xludf.DUMMYFUNCTION("REGEXREPLACE(C20643,""-\d+(.*)|--\d+(.*)"","""")"),"CEAUX-D'ALLEGRE")</f>
        <v>CEAUX-D'ALLEGRE</v>
      </c>
      <c r="E20643" s="38" t="s">
        <v>332</v>
      </c>
      <c r="F20643" s="38" t="s">
        <v>161</v>
      </c>
      <c r="G20643" s="49" t="str">
        <f t="shared" si="1"/>
        <v>43270</v>
      </c>
      <c r="H20643" s="49">
        <f t="shared" si="2"/>
        <v>43043</v>
      </c>
    </row>
    <row r="20644">
      <c r="A20644" s="48" t="s">
        <v>17789</v>
      </c>
      <c r="B20644" s="38">
        <v>81322.0</v>
      </c>
      <c r="C20644" s="38" t="s">
        <v>25151</v>
      </c>
      <c r="D20644" s="38" t="str">
        <f>IFERROR(__xludf.DUMMYFUNCTION("REGEXREPLACE(C20644,""-\d+(.*)|--\d+(.*)"","""")"),"VIRAC")</f>
        <v>VIRAC</v>
      </c>
      <c r="E20644" s="38" t="s">
        <v>231</v>
      </c>
      <c r="F20644" s="38" t="s">
        <v>94</v>
      </c>
      <c r="G20644" s="49" t="str">
        <f t="shared" si="1"/>
        <v>81640</v>
      </c>
      <c r="H20644" s="49">
        <f t="shared" si="2"/>
        <v>81322</v>
      </c>
    </row>
    <row r="20645">
      <c r="A20645" s="48" t="s">
        <v>15038</v>
      </c>
      <c r="B20645" s="38">
        <v>22309.0</v>
      </c>
      <c r="C20645" s="38" t="s">
        <v>25152</v>
      </c>
      <c r="D20645" s="38" t="str">
        <f>IFERROR(__xludf.DUMMYFUNCTION("REGEXREPLACE(C20645,""-\d+(.*)|--\d+(.*)"","""")"),"SAINT-LAUNEUC")</f>
        <v>SAINT-LAUNEUC</v>
      </c>
      <c r="E20645" s="38" t="s">
        <v>89</v>
      </c>
      <c r="F20645" s="38" t="s">
        <v>90</v>
      </c>
      <c r="G20645" s="49" t="str">
        <f t="shared" si="1"/>
        <v>22230</v>
      </c>
      <c r="H20645" s="49">
        <f t="shared" si="2"/>
        <v>22309</v>
      </c>
    </row>
    <row r="20646">
      <c r="A20646" s="48" t="s">
        <v>7360</v>
      </c>
      <c r="B20646" s="38">
        <v>86201.0</v>
      </c>
      <c r="C20646" s="38" t="s">
        <v>25153</v>
      </c>
      <c r="D20646" s="38" t="str">
        <f>IFERROR(__xludf.DUMMYFUNCTION("REGEXREPLACE(C20646,""-\d+(.*)|--\d+(.*)"","""")"),"PRINCAY")</f>
        <v>PRINCAY</v>
      </c>
      <c r="E20646" s="38" t="s">
        <v>529</v>
      </c>
      <c r="F20646" s="38" t="s">
        <v>338</v>
      </c>
      <c r="G20646" s="49" t="str">
        <f t="shared" si="1"/>
        <v>86420</v>
      </c>
      <c r="H20646" s="49">
        <f t="shared" si="2"/>
        <v>86201</v>
      </c>
    </row>
    <row r="20647">
      <c r="A20647" s="48" t="s">
        <v>4467</v>
      </c>
      <c r="B20647" s="38">
        <v>53224.0</v>
      </c>
      <c r="C20647" s="38" t="s">
        <v>25154</v>
      </c>
      <c r="D20647" s="38" t="str">
        <f>IFERROR(__xludf.DUMMYFUNCTION("REGEXREPLACE(C20647,""-\d+(.*)|--\d+(.*)"","""")"),"SAINT-GERMAIN-LE-FOUILLOUX")</f>
        <v>SAINT-GERMAIN-LE-FOUILLOUX</v>
      </c>
      <c r="E20647" s="38" t="s">
        <v>518</v>
      </c>
      <c r="F20647" s="38" t="s">
        <v>180</v>
      </c>
      <c r="G20647" s="49" t="str">
        <f t="shared" si="1"/>
        <v>53240</v>
      </c>
      <c r="H20647" s="49">
        <f t="shared" si="2"/>
        <v>53224</v>
      </c>
    </row>
    <row r="20648">
      <c r="A20648" s="48" t="s">
        <v>12300</v>
      </c>
      <c r="B20648" s="38">
        <v>37222.0</v>
      </c>
      <c r="C20648" s="38" t="s">
        <v>25155</v>
      </c>
      <c r="D20648" s="38" t="str">
        <f>IFERROR(__xludf.DUMMYFUNCTION("REGEXREPLACE(C20648,""-\d+(.*)|--\d+(.*)"","""")"),"SAINT-JEAN-SAINT-GERMAIN")</f>
        <v>SAINT-JEAN-SAINT-GERMAIN</v>
      </c>
      <c r="E20648" s="38" t="s">
        <v>205</v>
      </c>
      <c r="F20648" s="38" t="s">
        <v>123</v>
      </c>
      <c r="G20648" s="49" t="str">
        <f t="shared" si="1"/>
        <v>37600</v>
      </c>
      <c r="H20648" s="49">
        <f t="shared" si="2"/>
        <v>37222</v>
      </c>
    </row>
    <row r="20649">
      <c r="A20649" s="48" t="s">
        <v>13881</v>
      </c>
      <c r="B20649" s="38">
        <v>56082.0</v>
      </c>
      <c r="C20649" s="38" t="s">
        <v>25156</v>
      </c>
      <c r="D20649" s="38" t="str">
        <f>IFERROR(__xludf.DUMMYFUNCTION("REGEXREPLACE(C20649,""-\d+(.*)|--\d+(.*)"","""")"),"HELLEAN")</f>
        <v>HELLEAN</v>
      </c>
      <c r="E20649" s="38" t="s">
        <v>173</v>
      </c>
      <c r="F20649" s="38" t="s">
        <v>90</v>
      </c>
      <c r="G20649" s="49" t="str">
        <f t="shared" si="1"/>
        <v>56120</v>
      </c>
      <c r="H20649" s="49">
        <f t="shared" si="2"/>
        <v>56082</v>
      </c>
    </row>
    <row r="20650">
      <c r="A20650" s="48" t="s">
        <v>12232</v>
      </c>
      <c r="B20650" s="38">
        <v>11006.0</v>
      </c>
      <c r="C20650" s="38" t="s">
        <v>23018</v>
      </c>
      <c r="D20650" s="38" t="str">
        <f>IFERROR(__xludf.DUMMYFUNCTION("REGEXREPLACE(C20650,""-\d+(.*)|--\d+(.*)"","""")"),"ALBAS")</f>
        <v>ALBAS</v>
      </c>
      <c r="E20650" s="38" t="s">
        <v>278</v>
      </c>
      <c r="F20650" s="38" t="s">
        <v>119</v>
      </c>
      <c r="G20650" s="49" t="str">
        <f t="shared" si="1"/>
        <v>11360</v>
      </c>
      <c r="H20650" s="49">
        <f t="shared" si="2"/>
        <v>11006</v>
      </c>
    </row>
    <row r="20651">
      <c r="A20651" s="48" t="s">
        <v>13097</v>
      </c>
      <c r="B20651" s="38">
        <v>40167.0</v>
      </c>
      <c r="C20651" s="38" t="s">
        <v>25157</v>
      </c>
      <c r="D20651" s="38" t="str">
        <f>IFERROR(__xludf.DUMMYFUNCTION("REGEXREPLACE(C20651,""-\d+(.*)|--\d+(.*)"","""")"),"LUXEY")</f>
        <v>LUXEY</v>
      </c>
      <c r="E20651" s="38" t="s">
        <v>281</v>
      </c>
      <c r="F20651" s="38" t="s">
        <v>252</v>
      </c>
      <c r="G20651" s="49" t="str">
        <f t="shared" si="1"/>
        <v>40430</v>
      </c>
      <c r="H20651" s="49">
        <f t="shared" si="2"/>
        <v>40167</v>
      </c>
    </row>
    <row r="20652">
      <c r="A20652" s="48" t="s">
        <v>266</v>
      </c>
      <c r="B20652" s="38">
        <v>64503.0</v>
      </c>
      <c r="C20652" s="38" t="s">
        <v>25158</v>
      </c>
      <c r="D20652" s="38" t="str">
        <f>IFERROR(__xludf.DUMMYFUNCTION("REGEXREPLACE(C20652,""-\d+(.*)|--\d+(.*)"","""")"),"SAMSONS-LION")</f>
        <v>SAMSONS-LION</v>
      </c>
      <c r="E20652" s="38" t="s">
        <v>268</v>
      </c>
      <c r="F20652" s="38" t="s">
        <v>252</v>
      </c>
      <c r="G20652" s="49" t="str">
        <f t="shared" si="1"/>
        <v>64350</v>
      </c>
      <c r="H20652" s="49">
        <f t="shared" si="2"/>
        <v>64503</v>
      </c>
    </row>
    <row r="20653">
      <c r="A20653" s="48" t="s">
        <v>5499</v>
      </c>
      <c r="B20653" s="38">
        <v>47140.0</v>
      </c>
      <c r="C20653" s="38" t="s">
        <v>25159</v>
      </c>
      <c r="D20653" s="38" t="str">
        <f>IFERROR(__xludf.DUMMYFUNCTION("REGEXREPLACE(C20653,""-\d+(.*)|--\d+(.*)"","""")"),"LAUGNAC")</f>
        <v>LAUGNAC</v>
      </c>
      <c r="E20653" s="38" t="s">
        <v>251</v>
      </c>
      <c r="F20653" s="38" t="s">
        <v>252</v>
      </c>
      <c r="G20653" s="49" t="str">
        <f t="shared" si="1"/>
        <v>47360</v>
      </c>
      <c r="H20653" s="49">
        <f t="shared" si="2"/>
        <v>47140</v>
      </c>
    </row>
    <row r="20654">
      <c r="A20654" s="48" t="s">
        <v>1446</v>
      </c>
      <c r="B20654" s="38">
        <v>76291.0</v>
      </c>
      <c r="C20654" s="38" t="s">
        <v>25160</v>
      </c>
      <c r="D20654" s="38" t="str">
        <f>IFERROR(__xludf.DUMMYFUNCTION("REGEXREPLACE(C20654,""-\d+(.*)|--\d+(.*)"","""")"),"FROBERVILLE")</f>
        <v>FROBERVILLE</v>
      </c>
      <c r="E20654" s="38" t="s">
        <v>133</v>
      </c>
      <c r="F20654" s="38" t="s">
        <v>134</v>
      </c>
      <c r="G20654" s="49" t="str">
        <f t="shared" si="1"/>
        <v>76400</v>
      </c>
      <c r="H20654" s="49">
        <f t="shared" si="2"/>
        <v>76291</v>
      </c>
    </row>
    <row r="20655">
      <c r="A20655" s="48" t="s">
        <v>4559</v>
      </c>
      <c r="B20655" s="38">
        <v>72328.0</v>
      </c>
      <c r="C20655" s="38" t="s">
        <v>25161</v>
      </c>
      <c r="D20655" s="38" t="str">
        <f>IFERROR(__xludf.DUMMYFUNCTION("REGEXREPLACE(C20655,""-\d+(.*)|--\d+(.*)"","""")"),"SARGE-LES-LE-MANS")</f>
        <v>SARGE-LES-LE-MANS</v>
      </c>
      <c r="E20655" s="38" t="s">
        <v>521</v>
      </c>
      <c r="F20655" s="38" t="s">
        <v>180</v>
      </c>
      <c r="G20655" s="49" t="str">
        <f t="shared" si="1"/>
        <v>72190</v>
      </c>
      <c r="H20655" s="49">
        <f t="shared" si="2"/>
        <v>72328</v>
      </c>
    </row>
    <row r="20656">
      <c r="A20656" s="48" t="s">
        <v>5130</v>
      </c>
      <c r="B20656" s="38">
        <v>19076.0</v>
      </c>
      <c r="C20656" s="38" t="s">
        <v>25162</v>
      </c>
      <c r="D20656" s="38" t="str">
        <f>IFERROR(__xludf.DUMMYFUNCTION("REGEXREPLACE(C20656,""-\d+(.*)|--\d+(.*)"","""")"),"ESPARTIGNAC")</f>
        <v>ESPARTIGNAC</v>
      </c>
      <c r="E20656" s="38" t="s">
        <v>271</v>
      </c>
      <c r="F20656" s="38" t="s">
        <v>98</v>
      </c>
      <c r="G20656" s="49" t="str">
        <f t="shared" si="1"/>
        <v>19140</v>
      </c>
      <c r="H20656" s="49">
        <f t="shared" si="2"/>
        <v>19076</v>
      </c>
    </row>
    <row r="20657">
      <c r="A20657" s="48" t="s">
        <v>2156</v>
      </c>
      <c r="B20657" s="38">
        <v>26329.0</v>
      </c>
      <c r="C20657" s="38" t="s">
        <v>25163</v>
      </c>
      <c r="D20657" s="38" t="str">
        <f>IFERROR(__xludf.DUMMYFUNCTION("REGEXREPLACE(C20657,""-\d+(.*)|--\d+(.*)"","""")"),"SAINT-SAUVEUR-GOUVERNET")</f>
        <v>SAINT-SAUVEUR-GOUVERNET</v>
      </c>
      <c r="E20657" s="38" t="s">
        <v>126</v>
      </c>
      <c r="F20657" s="38" t="s">
        <v>102</v>
      </c>
      <c r="G20657" s="49" t="str">
        <f t="shared" si="1"/>
        <v>26110</v>
      </c>
      <c r="H20657" s="49">
        <f t="shared" si="2"/>
        <v>26329</v>
      </c>
    </row>
    <row r="20658">
      <c r="A20658" s="48" t="s">
        <v>1058</v>
      </c>
      <c r="B20658" s="38">
        <v>21637.0</v>
      </c>
      <c r="C20658" s="38" t="s">
        <v>25164</v>
      </c>
      <c r="D20658" s="38" t="str">
        <f>IFERROR(__xludf.DUMMYFUNCTION("REGEXREPLACE(C20658,""-\d+(.*)|--\d+(.*)"","""")"),"TICHEY")</f>
        <v>TICHEY</v>
      </c>
      <c r="E20658" s="38" t="s">
        <v>105</v>
      </c>
      <c r="F20658" s="38" t="s">
        <v>106</v>
      </c>
      <c r="G20658" s="49" t="str">
        <f t="shared" si="1"/>
        <v>21250</v>
      </c>
      <c r="H20658" s="49">
        <f t="shared" si="2"/>
        <v>21637</v>
      </c>
    </row>
    <row r="20659">
      <c r="A20659" s="48" t="s">
        <v>7756</v>
      </c>
      <c r="B20659" s="38">
        <v>27369.0</v>
      </c>
      <c r="C20659" s="38" t="s">
        <v>25165</v>
      </c>
      <c r="D20659" s="38" t="str">
        <f>IFERROR(__xludf.DUMMYFUNCTION("REGEXREPLACE(C20659,""-\d+(.*)|--\d+(.*)"","""")"),"LILLY")</f>
        <v>LILLY</v>
      </c>
      <c r="E20659" s="38" t="s">
        <v>241</v>
      </c>
      <c r="F20659" s="38" t="s">
        <v>134</v>
      </c>
      <c r="G20659" s="49" t="str">
        <f t="shared" si="1"/>
        <v>27480</v>
      </c>
      <c r="H20659" s="49">
        <f t="shared" si="2"/>
        <v>27369</v>
      </c>
    </row>
    <row r="20660">
      <c r="A20660" s="48" t="s">
        <v>5443</v>
      </c>
      <c r="B20660" s="38">
        <v>76140.0</v>
      </c>
      <c r="C20660" s="38" t="s">
        <v>25166</v>
      </c>
      <c r="D20660" s="38" t="str">
        <f>IFERROR(__xludf.DUMMYFUNCTION("REGEXREPLACE(C20660,""-\d+(.*)|--\d+(.*)"","""")"),"BRAMETOT")</f>
        <v>BRAMETOT</v>
      </c>
      <c r="E20660" s="38" t="s">
        <v>133</v>
      </c>
      <c r="F20660" s="38" t="s">
        <v>134</v>
      </c>
      <c r="G20660" s="49" t="str">
        <f t="shared" si="1"/>
        <v>76740</v>
      </c>
      <c r="H20660" s="49">
        <f t="shared" si="2"/>
        <v>76140</v>
      </c>
    </row>
    <row r="20661">
      <c r="A20661" s="48" t="s">
        <v>16795</v>
      </c>
      <c r="B20661" s="38">
        <v>44060.0</v>
      </c>
      <c r="C20661" s="38" t="s">
        <v>25167</v>
      </c>
      <c r="D20661" s="38" t="str">
        <f>IFERROR(__xludf.DUMMYFUNCTION("REGEXREPLACE(C20661,""-\d+(.*)|--\d+(.*)"","""")"),"LE FRESNE-SUR-LOIRE")</f>
        <v>LE FRESNE-SUR-LOIRE</v>
      </c>
      <c r="E20661" s="38" t="s">
        <v>759</v>
      </c>
      <c r="F20661" s="38" t="s">
        <v>180</v>
      </c>
      <c r="G20661" s="49" t="str">
        <f t="shared" si="1"/>
        <v>49123</v>
      </c>
      <c r="H20661" s="49">
        <f t="shared" si="2"/>
        <v>44060</v>
      </c>
    </row>
    <row r="20662">
      <c r="A20662" s="48" t="s">
        <v>1143</v>
      </c>
      <c r="B20662" s="38">
        <v>52480.0</v>
      </c>
      <c r="C20662" s="38" t="s">
        <v>25168</v>
      </c>
      <c r="D20662" s="38" t="str">
        <f>IFERROR(__xludf.DUMMYFUNCTION("REGEXREPLACE(C20662,""-\d+(.*)|--\d+(.*)"","""")"),"SONCOURT-SUR-MARNE")</f>
        <v>SONCOURT-SUR-MARNE</v>
      </c>
      <c r="E20662" s="38" t="s">
        <v>234</v>
      </c>
      <c r="F20662" s="38" t="s">
        <v>130</v>
      </c>
      <c r="G20662" s="49" t="str">
        <f t="shared" si="1"/>
        <v>52320</v>
      </c>
      <c r="H20662" s="49">
        <f t="shared" si="2"/>
        <v>52480</v>
      </c>
    </row>
    <row r="20663">
      <c r="A20663" s="48" t="s">
        <v>4018</v>
      </c>
      <c r="B20663" s="38">
        <v>55011.0</v>
      </c>
      <c r="C20663" s="38" t="s">
        <v>25169</v>
      </c>
      <c r="D20663" s="38" t="str">
        <f>IFERROR(__xludf.DUMMYFUNCTION("REGEXREPLACE(C20663,""-\d+(.*)|--\d+(.*)"","""")"),"ANDERNAY")</f>
        <v>ANDERNAY</v>
      </c>
      <c r="E20663" s="38" t="s">
        <v>322</v>
      </c>
      <c r="F20663" s="38" t="s">
        <v>195</v>
      </c>
      <c r="G20663" s="49" t="str">
        <f t="shared" si="1"/>
        <v>55800</v>
      </c>
      <c r="H20663" s="49">
        <f t="shared" si="2"/>
        <v>55011</v>
      </c>
    </row>
    <row r="20664">
      <c r="A20664" s="48" t="s">
        <v>1921</v>
      </c>
      <c r="B20664" s="38">
        <v>2637.0</v>
      </c>
      <c r="C20664" s="38" t="s">
        <v>17413</v>
      </c>
      <c r="D20664" s="38" t="str">
        <f>IFERROR(__xludf.DUMMYFUNCTION("REGEXREPLACE(C20664,""-\d+(.*)|--\d+(.*)"","""")"),"REMAUCOURT")</f>
        <v>REMAUCOURT</v>
      </c>
      <c r="E20664" s="38" t="s">
        <v>191</v>
      </c>
      <c r="F20664" s="38" t="s">
        <v>113</v>
      </c>
      <c r="G20664" s="49" t="str">
        <f t="shared" si="1"/>
        <v>02100</v>
      </c>
      <c r="H20664" s="49" t="str">
        <f t="shared" si="2"/>
        <v>02637</v>
      </c>
    </row>
    <row r="20665">
      <c r="A20665" s="48" t="s">
        <v>5555</v>
      </c>
      <c r="B20665" s="38">
        <v>82059.0</v>
      </c>
      <c r="C20665" s="38" t="s">
        <v>25170</v>
      </c>
      <c r="D20665" s="38" t="str">
        <f>IFERROR(__xludf.DUMMYFUNCTION("REGEXREPLACE(C20665,""-\d+(.*)|--\d+(.*)"","""")"),"FAUDOAS")</f>
        <v>FAUDOAS</v>
      </c>
      <c r="E20665" s="38" t="s">
        <v>570</v>
      </c>
      <c r="F20665" s="38" t="s">
        <v>94</v>
      </c>
      <c r="G20665" s="49" t="str">
        <f t="shared" si="1"/>
        <v>82500</v>
      </c>
      <c r="H20665" s="49">
        <f t="shared" si="2"/>
        <v>82059</v>
      </c>
    </row>
    <row r="20666">
      <c r="A20666" s="48" t="s">
        <v>7914</v>
      </c>
      <c r="B20666" s="38">
        <v>84101.0</v>
      </c>
      <c r="C20666" s="38" t="s">
        <v>25171</v>
      </c>
      <c r="D20666" s="38" t="str">
        <f>IFERROR(__xludf.DUMMYFUNCTION("REGEXREPLACE(C20666,""-\d+(.*)|--\d+(.*)"","""")"),"LA ROQUE-SUR-PERNES")</f>
        <v>LA ROQUE-SUR-PERNES</v>
      </c>
      <c r="E20666" s="38" t="s">
        <v>1026</v>
      </c>
      <c r="F20666" s="38" t="s">
        <v>228</v>
      </c>
      <c r="G20666" s="49" t="str">
        <f t="shared" si="1"/>
        <v>84210</v>
      </c>
      <c r="H20666" s="49">
        <f t="shared" si="2"/>
        <v>84101</v>
      </c>
    </row>
    <row r="20667">
      <c r="A20667" s="48" t="s">
        <v>2421</v>
      </c>
      <c r="B20667" s="38">
        <v>4023.0</v>
      </c>
      <c r="C20667" s="38" t="s">
        <v>25172</v>
      </c>
      <c r="D20667" s="38" t="str">
        <f>IFERROR(__xludf.DUMMYFUNCTION("REGEXREPLACE(C20667,""-\d+(.*)|--\d+(.*)"","""")"),"BAYONS")</f>
        <v>BAYONS</v>
      </c>
      <c r="E20667" s="38" t="s">
        <v>662</v>
      </c>
      <c r="F20667" s="38" t="s">
        <v>228</v>
      </c>
      <c r="G20667" s="49" t="str">
        <f t="shared" si="1"/>
        <v>04250</v>
      </c>
      <c r="H20667" s="49" t="str">
        <f t="shared" si="2"/>
        <v>04023</v>
      </c>
    </row>
    <row r="20668">
      <c r="A20668" s="48" t="s">
        <v>7514</v>
      </c>
      <c r="B20668" s="38">
        <v>88150.0</v>
      </c>
      <c r="C20668" s="38" t="s">
        <v>25173</v>
      </c>
      <c r="D20668" s="38" t="str">
        <f>IFERROR(__xludf.DUMMYFUNCTION("REGEXREPLACE(C20668,""-\d+(.*)|--\d+(.*)"","""")"),"DOMMARTIN-SUR-VRAINE")</f>
        <v>DOMMARTIN-SUR-VRAINE</v>
      </c>
      <c r="E20668" s="38" t="s">
        <v>194</v>
      </c>
      <c r="F20668" s="38" t="s">
        <v>195</v>
      </c>
      <c r="G20668" s="49" t="str">
        <f t="shared" si="1"/>
        <v>88170</v>
      </c>
      <c r="H20668" s="49">
        <f t="shared" si="2"/>
        <v>88150</v>
      </c>
    </row>
    <row r="20669">
      <c r="A20669" s="48" t="s">
        <v>816</v>
      </c>
      <c r="B20669" s="38">
        <v>11381.0</v>
      </c>
      <c r="C20669" s="38" t="s">
        <v>25174</v>
      </c>
      <c r="D20669" s="38" t="str">
        <f>IFERROR(__xludf.DUMMYFUNCTION("REGEXREPLACE(C20669,""-\d+(.*)|--\d+(.*)"","""")"),"SOUGRAIGNE")</f>
        <v>SOUGRAIGNE</v>
      </c>
      <c r="E20669" s="38" t="s">
        <v>278</v>
      </c>
      <c r="F20669" s="38" t="s">
        <v>119</v>
      </c>
      <c r="G20669" s="49" t="str">
        <f t="shared" si="1"/>
        <v>11190</v>
      </c>
      <c r="H20669" s="49">
        <f t="shared" si="2"/>
        <v>11381</v>
      </c>
    </row>
    <row r="20670">
      <c r="A20670" s="48" t="s">
        <v>5555</v>
      </c>
      <c r="B20670" s="38">
        <v>82036.0</v>
      </c>
      <c r="C20670" s="38" t="s">
        <v>25175</v>
      </c>
      <c r="D20670" s="38" t="str">
        <f>IFERROR(__xludf.DUMMYFUNCTION("REGEXREPLACE(C20670,""-\d+(.*)|--\d+(.*)"","""")"),"LE CAUSE")</f>
        <v>LE CAUSE</v>
      </c>
      <c r="E20670" s="38" t="s">
        <v>570</v>
      </c>
      <c r="F20670" s="38" t="s">
        <v>94</v>
      </c>
      <c r="G20670" s="49" t="str">
        <f t="shared" si="1"/>
        <v>82500</v>
      </c>
      <c r="H20670" s="49">
        <f t="shared" si="2"/>
        <v>82036</v>
      </c>
    </row>
    <row r="20671">
      <c r="A20671" s="48" t="s">
        <v>103</v>
      </c>
      <c r="B20671" s="38">
        <v>21581.0</v>
      </c>
      <c r="C20671" s="38" t="s">
        <v>25176</v>
      </c>
      <c r="D20671" s="38" t="str">
        <f>IFERROR(__xludf.DUMMYFUNCTION("REGEXREPLACE(C20671,""-\d+(.*)|--\d+(.*)"","""")"),"SAMEREY")</f>
        <v>SAMEREY</v>
      </c>
      <c r="E20671" s="38" t="s">
        <v>105</v>
      </c>
      <c r="F20671" s="38" t="s">
        <v>106</v>
      </c>
      <c r="G20671" s="49" t="str">
        <f t="shared" si="1"/>
        <v>21170</v>
      </c>
      <c r="H20671" s="49">
        <f t="shared" si="2"/>
        <v>21581</v>
      </c>
    </row>
    <row r="20672">
      <c r="A20672" s="48" t="s">
        <v>6832</v>
      </c>
      <c r="B20672" s="38">
        <v>80520.0</v>
      </c>
      <c r="C20672" s="38" t="s">
        <v>25177</v>
      </c>
      <c r="D20672" s="38" t="str">
        <f>IFERROR(__xludf.DUMMYFUNCTION("REGEXREPLACE(C20672,""-\d+(.*)|--\d+(.*)"","""")"),"MAUCOURT")</f>
        <v>MAUCOURT</v>
      </c>
      <c r="E20672" s="38" t="s">
        <v>224</v>
      </c>
      <c r="F20672" s="38" t="s">
        <v>113</v>
      </c>
      <c r="G20672" s="49" t="str">
        <f t="shared" si="1"/>
        <v>80170</v>
      </c>
      <c r="H20672" s="49">
        <f t="shared" si="2"/>
        <v>80520</v>
      </c>
    </row>
    <row r="20673">
      <c r="A20673" s="48" t="s">
        <v>211</v>
      </c>
      <c r="B20673" s="38">
        <v>25338.0</v>
      </c>
      <c r="C20673" s="38" t="s">
        <v>25178</v>
      </c>
      <c r="D20673" s="38" t="str">
        <f>IFERROR(__xludf.DUMMYFUNCTION("REGEXREPLACE(C20673,""-\d+(.*)|--\d+(.*)"","""")"),"LIZINE")</f>
        <v>LIZINE</v>
      </c>
      <c r="E20673" s="38" t="s">
        <v>213</v>
      </c>
      <c r="F20673" s="38" t="s">
        <v>214</v>
      </c>
      <c r="G20673" s="49" t="str">
        <f t="shared" si="1"/>
        <v>25330</v>
      </c>
      <c r="H20673" s="49">
        <f t="shared" si="2"/>
        <v>25338</v>
      </c>
    </row>
    <row r="20674">
      <c r="A20674" s="48" t="s">
        <v>1540</v>
      </c>
      <c r="B20674" s="38">
        <v>70390.0</v>
      </c>
      <c r="C20674" s="38" t="s">
        <v>25179</v>
      </c>
      <c r="D20674" s="38" t="str">
        <f>IFERROR(__xludf.DUMMYFUNCTION("REGEXREPLACE(C20674,""-\d+(.*)|--\d+(.*)"","""")"),"NOROY-LE-BOURG")</f>
        <v>NOROY-LE-BOURG</v>
      </c>
      <c r="E20674" s="38" t="s">
        <v>956</v>
      </c>
      <c r="F20674" s="38" t="s">
        <v>214</v>
      </c>
      <c r="G20674" s="49" t="str">
        <f t="shared" si="1"/>
        <v>70000</v>
      </c>
      <c r="H20674" s="49">
        <f t="shared" si="2"/>
        <v>70390</v>
      </c>
    </row>
    <row r="20675">
      <c r="A20675" s="48" t="s">
        <v>20901</v>
      </c>
      <c r="B20675" s="38">
        <v>3258.0</v>
      </c>
      <c r="C20675" s="38" t="s">
        <v>25180</v>
      </c>
      <c r="D20675" s="38" t="str">
        <f>IFERROR(__xludf.DUMMYFUNCTION("REGEXREPLACE(C20675,""-\d+(.*)|--\d+(.*)"","""")"),"SAINT-REMY-EN-ROLLAT")</f>
        <v>SAINT-REMY-EN-ROLLAT</v>
      </c>
      <c r="E20675" s="38" t="s">
        <v>160</v>
      </c>
      <c r="F20675" s="38" t="s">
        <v>161</v>
      </c>
      <c r="G20675" s="49" t="str">
        <f t="shared" si="1"/>
        <v>03110</v>
      </c>
      <c r="H20675" s="49" t="str">
        <f t="shared" si="2"/>
        <v>03258</v>
      </c>
    </row>
    <row r="20676">
      <c r="A20676" s="48" t="s">
        <v>1157</v>
      </c>
      <c r="B20676" s="38">
        <v>16178.0</v>
      </c>
      <c r="C20676" s="38" t="s">
        <v>25181</v>
      </c>
      <c r="D20676" s="38" t="str">
        <f>IFERROR(__xludf.DUMMYFUNCTION("REGEXREPLACE(C20676,""-\d+(.*)|--\d+(.*)"","""")"),"LAGARDE-SUR-LE-NE")</f>
        <v>LAGARDE-SUR-LE-NE</v>
      </c>
      <c r="E20676" s="38" t="s">
        <v>429</v>
      </c>
      <c r="F20676" s="38" t="s">
        <v>338</v>
      </c>
      <c r="G20676" s="49" t="str">
        <f t="shared" si="1"/>
        <v>16300</v>
      </c>
      <c r="H20676" s="49">
        <f t="shared" si="2"/>
        <v>16178</v>
      </c>
    </row>
    <row r="20677">
      <c r="A20677" s="48" t="s">
        <v>674</v>
      </c>
      <c r="B20677" s="38">
        <v>49147.0</v>
      </c>
      <c r="C20677" s="38" t="s">
        <v>25182</v>
      </c>
      <c r="D20677" s="38" t="str">
        <f>IFERROR(__xludf.DUMMYFUNCTION("REGEXREPLACE(C20677,""-\d+(.*)|--\d+(.*)"","""")"),"GEE")</f>
        <v>GEE</v>
      </c>
      <c r="E20677" s="38" t="s">
        <v>653</v>
      </c>
      <c r="F20677" s="38" t="s">
        <v>180</v>
      </c>
      <c r="G20677" s="49" t="str">
        <f t="shared" si="1"/>
        <v>49250</v>
      </c>
      <c r="H20677" s="49">
        <f t="shared" si="2"/>
        <v>49147</v>
      </c>
    </row>
    <row r="20678">
      <c r="A20678" s="48" t="s">
        <v>13263</v>
      </c>
      <c r="B20678" s="38">
        <v>50533.0</v>
      </c>
      <c r="C20678" s="38" t="s">
        <v>25183</v>
      </c>
      <c r="D20678" s="38" t="str">
        <f>IFERROR(__xludf.DUMMYFUNCTION("REGEXREPLACE(C20678,""-\d+(.*)|--\d+(.*)"","""")"),"SAINT-PATRICE-DE-CLAIDS")</f>
        <v>SAINT-PATRICE-DE-CLAIDS</v>
      </c>
      <c r="E20678" s="38" t="s">
        <v>157</v>
      </c>
      <c r="F20678" s="38" t="s">
        <v>138</v>
      </c>
      <c r="G20678" s="49" t="str">
        <f t="shared" si="1"/>
        <v>50190</v>
      </c>
      <c r="H20678" s="49">
        <f t="shared" si="2"/>
        <v>50533</v>
      </c>
    </row>
    <row r="20679">
      <c r="A20679" s="48" t="s">
        <v>856</v>
      </c>
      <c r="B20679" s="38">
        <v>43023.0</v>
      </c>
      <c r="C20679" s="38" t="s">
        <v>25184</v>
      </c>
      <c r="D20679" s="38" t="str">
        <f>IFERROR(__xludf.DUMMYFUNCTION("REGEXREPLACE(C20679,""-\d+(.*)|--\d+(.*)"","""")"),"BEAUNE-SUR-ARZON")</f>
        <v>BEAUNE-SUR-ARZON</v>
      </c>
      <c r="E20679" s="38" t="s">
        <v>332</v>
      </c>
      <c r="F20679" s="38" t="s">
        <v>161</v>
      </c>
      <c r="G20679" s="49" t="str">
        <f t="shared" si="1"/>
        <v>43500</v>
      </c>
      <c r="H20679" s="49">
        <f t="shared" si="2"/>
        <v>43023</v>
      </c>
    </row>
    <row r="20680">
      <c r="A20680" s="48" t="s">
        <v>5239</v>
      </c>
      <c r="B20680" s="38">
        <v>65150.0</v>
      </c>
      <c r="C20680" s="38" t="s">
        <v>25185</v>
      </c>
      <c r="D20680" s="38" t="str">
        <f>IFERROR(__xludf.DUMMYFUNCTION("REGEXREPLACE(C20680,""-\d+(.*)|--\d+(.*)"","""")"),"CLARENS")</f>
        <v>CLARENS</v>
      </c>
      <c r="E20680" s="38" t="s">
        <v>200</v>
      </c>
      <c r="F20680" s="38" t="s">
        <v>94</v>
      </c>
      <c r="G20680" s="49" t="str">
        <f t="shared" si="1"/>
        <v>65300</v>
      </c>
      <c r="H20680" s="49">
        <f t="shared" si="2"/>
        <v>65150</v>
      </c>
    </row>
    <row r="20681">
      <c r="A20681" s="48" t="s">
        <v>4028</v>
      </c>
      <c r="B20681" s="38">
        <v>76705.0</v>
      </c>
      <c r="C20681" s="38" t="s">
        <v>25186</v>
      </c>
      <c r="D20681" s="38" t="str">
        <f>IFERROR(__xludf.DUMMYFUNCTION("REGEXREPLACE(C20681,""-\d+(.*)|--\d+(.*)"","""")"),"TOURVILLE-LA-RIVIERE")</f>
        <v>TOURVILLE-LA-RIVIERE</v>
      </c>
      <c r="E20681" s="38" t="s">
        <v>133</v>
      </c>
      <c r="F20681" s="38" t="s">
        <v>134</v>
      </c>
      <c r="G20681" s="49" t="str">
        <f t="shared" si="1"/>
        <v>76410</v>
      </c>
      <c r="H20681" s="49">
        <f t="shared" si="2"/>
        <v>76705</v>
      </c>
    </row>
    <row r="20682">
      <c r="A20682" s="48" t="s">
        <v>13389</v>
      </c>
      <c r="B20682" s="38">
        <v>58291.0</v>
      </c>
      <c r="C20682" s="38" t="s">
        <v>25187</v>
      </c>
      <c r="D20682" s="38" t="str">
        <f>IFERROR(__xludf.DUMMYFUNCTION("REGEXREPLACE(C20682,""-\d+(.*)|--\d+(.*)"","""")"),"THIANGES")</f>
        <v>THIANGES</v>
      </c>
      <c r="E20682" s="38" t="s">
        <v>219</v>
      </c>
      <c r="F20682" s="38" t="s">
        <v>106</v>
      </c>
      <c r="G20682" s="49" t="str">
        <f t="shared" si="1"/>
        <v>58260</v>
      </c>
      <c r="H20682" s="49">
        <f t="shared" si="2"/>
        <v>58291</v>
      </c>
    </row>
    <row r="20683">
      <c r="A20683" s="48" t="s">
        <v>940</v>
      </c>
      <c r="B20683" s="38">
        <v>51081.0</v>
      </c>
      <c r="C20683" s="38" t="s">
        <v>25188</v>
      </c>
      <c r="D20683" s="38" t="str">
        <f>IFERROR(__xludf.DUMMYFUNCTION("REGEXREPLACE(C20683,""-\d+(.*)|--\d+(.*)"","""")"),"BRANSCOURT")</f>
        <v>BRANSCOURT</v>
      </c>
      <c r="E20683" s="38" t="s">
        <v>129</v>
      </c>
      <c r="F20683" s="38" t="s">
        <v>130</v>
      </c>
      <c r="G20683" s="49" t="str">
        <f t="shared" si="1"/>
        <v>51140</v>
      </c>
      <c r="H20683" s="49">
        <f t="shared" si="2"/>
        <v>51081</v>
      </c>
    </row>
    <row r="20684">
      <c r="A20684" s="48" t="s">
        <v>5030</v>
      </c>
      <c r="B20684" s="38">
        <v>65060.0</v>
      </c>
      <c r="C20684" s="38" t="s">
        <v>25189</v>
      </c>
      <c r="D20684" s="38" t="str">
        <f>IFERROR(__xludf.DUMMYFUNCTION("REGEXREPLACE(C20684,""-\d+(.*)|--\d+(.*)"","""")"),"BANIOS")</f>
        <v>BANIOS</v>
      </c>
      <c r="E20684" s="38" t="s">
        <v>200</v>
      </c>
      <c r="F20684" s="38" t="s">
        <v>94</v>
      </c>
      <c r="G20684" s="49" t="str">
        <f t="shared" si="1"/>
        <v>65200</v>
      </c>
      <c r="H20684" s="49">
        <f t="shared" si="2"/>
        <v>65060</v>
      </c>
    </row>
    <row r="20685">
      <c r="A20685" s="48" t="s">
        <v>13481</v>
      </c>
      <c r="B20685" s="38">
        <v>54437.0</v>
      </c>
      <c r="C20685" s="38" t="s">
        <v>25190</v>
      </c>
      <c r="D20685" s="38" t="str">
        <f>IFERROR(__xludf.DUMMYFUNCTION("REGEXREPLACE(C20685,""-\d+(.*)|--\d+(.*)"","""")"),"PULLIGNY")</f>
        <v>PULLIGNY</v>
      </c>
      <c r="E20685" s="38" t="s">
        <v>548</v>
      </c>
      <c r="F20685" s="38" t="s">
        <v>195</v>
      </c>
      <c r="G20685" s="49" t="str">
        <f t="shared" si="1"/>
        <v>54160</v>
      </c>
      <c r="H20685" s="49">
        <f t="shared" si="2"/>
        <v>54437</v>
      </c>
    </row>
    <row r="20686">
      <c r="A20686" s="48" t="s">
        <v>3541</v>
      </c>
      <c r="B20686" s="38">
        <v>32136.0</v>
      </c>
      <c r="C20686" s="38" t="s">
        <v>25191</v>
      </c>
      <c r="D20686" s="38" t="str">
        <f>IFERROR(__xludf.DUMMYFUNCTION("REGEXREPLACE(C20686,""-\d+(.*)|--\d+(.*)"","""")"),"GALIAX")</f>
        <v>GALIAX</v>
      </c>
      <c r="E20686" s="38" t="s">
        <v>440</v>
      </c>
      <c r="F20686" s="38" t="s">
        <v>94</v>
      </c>
      <c r="G20686" s="49" t="str">
        <f t="shared" si="1"/>
        <v>32160</v>
      </c>
      <c r="H20686" s="49">
        <f t="shared" si="2"/>
        <v>32136</v>
      </c>
    </row>
    <row r="20687">
      <c r="A20687" s="48" t="s">
        <v>25192</v>
      </c>
      <c r="B20687" s="38">
        <v>49350.0</v>
      </c>
      <c r="C20687" s="38" t="s">
        <v>13325</v>
      </c>
      <c r="D20687" s="38" t="str">
        <f>IFERROR(__xludf.DUMMYFUNCTION("REGEXREPLACE(C20687,""-\d+(.*)|--\d+(.*)"","""")"),"TORFOU")</f>
        <v>TORFOU</v>
      </c>
      <c r="E20687" s="38" t="s">
        <v>653</v>
      </c>
      <c r="F20687" s="38" t="s">
        <v>180</v>
      </c>
      <c r="G20687" s="49" t="str">
        <f t="shared" si="1"/>
        <v>49660</v>
      </c>
      <c r="H20687" s="49">
        <f t="shared" si="2"/>
        <v>49350</v>
      </c>
    </row>
    <row r="20688">
      <c r="A20688" s="48" t="s">
        <v>3808</v>
      </c>
      <c r="B20688" s="38">
        <v>86289.0</v>
      </c>
      <c r="C20688" s="38" t="s">
        <v>25193</v>
      </c>
      <c r="D20688" s="38" t="str">
        <f>IFERROR(__xludf.DUMMYFUNCTION("REGEXREPLACE(C20688,""-\d+(.*)|--\d+(.*)"","""")"),"LE VIGEANT")</f>
        <v>LE VIGEANT</v>
      </c>
      <c r="E20688" s="38" t="s">
        <v>529</v>
      </c>
      <c r="F20688" s="38" t="s">
        <v>338</v>
      </c>
      <c r="G20688" s="49" t="str">
        <f t="shared" si="1"/>
        <v>86150</v>
      </c>
      <c r="H20688" s="49">
        <f t="shared" si="2"/>
        <v>86289</v>
      </c>
    </row>
    <row r="20689">
      <c r="A20689" s="48" t="s">
        <v>5777</v>
      </c>
      <c r="B20689" s="38">
        <v>74097.0</v>
      </c>
      <c r="C20689" s="38" t="s">
        <v>25194</v>
      </c>
      <c r="D20689" s="38" t="str">
        <f>IFERROR(__xludf.DUMMYFUNCTION("REGEXREPLACE(C20689,""-\d+(.*)|--\d+(.*)"","""")"),"CUSY")</f>
        <v>CUSY</v>
      </c>
      <c r="E20689" s="38" t="s">
        <v>319</v>
      </c>
      <c r="F20689" s="38" t="s">
        <v>102</v>
      </c>
      <c r="G20689" s="49" t="str">
        <f t="shared" si="1"/>
        <v>74540</v>
      </c>
      <c r="H20689" s="49">
        <f t="shared" si="2"/>
        <v>74097</v>
      </c>
    </row>
    <row r="20690">
      <c r="A20690" s="48" t="s">
        <v>4116</v>
      </c>
      <c r="B20690" s="38">
        <v>18135.0</v>
      </c>
      <c r="C20690" s="38" t="s">
        <v>25195</v>
      </c>
      <c r="D20690" s="38" t="str">
        <f>IFERROR(__xludf.DUMMYFUNCTION("REGEXREPLACE(C20690,""-\d+(.*)|--\d+(.*)"","""")"),"MAISONNAIS")</f>
        <v>MAISONNAIS</v>
      </c>
      <c r="E20690" s="38" t="s">
        <v>504</v>
      </c>
      <c r="F20690" s="38" t="s">
        <v>123</v>
      </c>
      <c r="G20690" s="49" t="str">
        <f t="shared" si="1"/>
        <v>18170</v>
      </c>
      <c r="H20690" s="49">
        <f t="shared" si="2"/>
        <v>18135</v>
      </c>
    </row>
    <row r="20691">
      <c r="A20691" s="48" t="s">
        <v>2141</v>
      </c>
      <c r="B20691" s="38">
        <v>80436.0</v>
      </c>
      <c r="C20691" s="38" t="s">
        <v>25196</v>
      </c>
      <c r="D20691" s="38" t="str">
        <f>IFERROR(__xludf.DUMMYFUNCTION("REGEXREPLACE(C20691,""-\d+(.*)|--\d+(.*)"","""")"),"HESCAMPS")</f>
        <v>HESCAMPS</v>
      </c>
      <c r="E20691" s="38" t="s">
        <v>224</v>
      </c>
      <c r="F20691" s="38" t="s">
        <v>113</v>
      </c>
      <c r="G20691" s="49" t="str">
        <f t="shared" si="1"/>
        <v>80290</v>
      </c>
      <c r="H20691" s="49">
        <f t="shared" si="2"/>
        <v>80436</v>
      </c>
    </row>
    <row r="20692">
      <c r="A20692" s="48" t="s">
        <v>25197</v>
      </c>
      <c r="B20692" s="38">
        <v>78325.0</v>
      </c>
      <c r="C20692" s="38" t="s">
        <v>25198</v>
      </c>
      <c r="D20692" s="38" t="str">
        <f>IFERROR(__xludf.DUMMYFUNCTION("REGEXREPLACE(C20692,""-\d+(.*)|--\d+(.*)"","""")"),"JUMEAUVILLE")</f>
        <v>JUMEAUVILLE</v>
      </c>
      <c r="E20692" s="38" t="s">
        <v>362</v>
      </c>
      <c r="F20692" s="38" t="s">
        <v>245</v>
      </c>
      <c r="G20692" s="49" t="str">
        <f t="shared" si="1"/>
        <v>78580</v>
      </c>
      <c r="H20692" s="49">
        <f t="shared" si="2"/>
        <v>78325</v>
      </c>
    </row>
    <row r="20693">
      <c r="A20693" s="48" t="s">
        <v>2534</v>
      </c>
      <c r="B20693" s="38">
        <v>27053.0</v>
      </c>
      <c r="C20693" s="38" t="s">
        <v>25199</v>
      </c>
      <c r="D20693" s="38" t="str">
        <f>IFERROR(__xludf.DUMMYFUNCTION("REGEXREPLACE(C20693,""-\d+(.*)|--\d+(.*)"","""")"),"LE BEC-THOMAS")</f>
        <v>LE BEC-THOMAS</v>
      </c>
      <c r="E20693" s="38" t="s">
        <v>241</v>
      </c>
      <c r="F20693" s="38" t="s">
        <v>134</v>
      </c>
      <c r="G20693" s="49" t="str">
        <f t="shared" si="1"/>
        <v>27370</v>
      </c>
      <c r="H20693" s="49">
        <f t="shared" si="2"/>
        <v>27053</v>
      </c>
    </row>
    <row r="20694">
      <c r="A20694" s="48" t="s">
        <v>16193</v>
      </c>
      <c r="B20694" s="38">
        <v>73010.0</v>
      </c>
      <c r="C20694" s="38" t="s">
        <v>25200</v>
      </c>
      <c r="D20694" s="38" t="str">
        <f>IFERROR(__xludf.DUMMYFUNCTION("REGEXREPLACE(C20694,""-\d+(.*)|--\d+(.*)"","""")"),"ALBENS")</f>
        <v>ALBENS</v>
      </c>
      <c r="E20694" s="38" t="s">
        <v>306</v>
      </c>
      <c r="F20694" s="38" t="s">
        <v>102</v>
      </c>
      <c r="G20694" s="49" t="str">
        <f t="shared" si="1"/>
        <v>73410</v>
      </c>
      <c r="H20694" s="49">
        <f t="shared" si="2"/>
        <v>73010</v>
      </c>
    </row>
    <row r="20695">
      <c r="A20695" s="48" t="s">
        <v>25201</v>
      </c>
      <c r="B20695" s="38">
        <v>59485.0</v>
      </c>
      <c r="C20695" s="38" t="s">
        <v>25202</v>
      </c>
      <c r="D20695" s="38" t="str">
        <f>IFERROR(__xludf.DUMMYFUNCTION("REGEXREPLACE(C20695,""-\d+(.*)|--\d+(.*)"","""")"),"QUIEVY")</f>
        <v>QUIEVY</v>
      </c>
      <c r="E20695" s="38" t="s">
        <v>85</v>
      </c>
      <c r="F20695" s="38" t="s">
        <v>86</v>
      </c>
      <c r="G20695" s="49" t="str">
        <f t="shared" si="1"/>
        <v>59214</v>
      </c>
      <c r="H20695" s="49">
        <f t="shared" si="2"/>
        <v>59485</v>
      </c>
    </row>
    <row r="20696">
      <c r="A20696" s="48" t="s">
        <v>8025</v>
      </c>
      <c r="B20696" s="38">
        <v>18103.0</v>
      </c>
      <c r="C20696" s="38" t="s">
        <v>25203</v>
      </c>
      <c r="D20696" s="38" t="str">
        <f>IFERROR(__xludf.DUMMYFUNCTION("REGEXREPLACE(C20696,""-\d+(.*)|--\d+(.*)"","""")"),"GRACAY")</f>
        <v>GRACAY</v>
      </c>
      <c r="E20696" s="38" t="s">
        <v>504</v>
      </c>
      <c r="F20696" s="38" t="s">
        <v>123</v>
      </c>
      <c r="G20696" s="49" t="str">
        <f t="shared" si="1"/>
        <v>18310</v>
      </c>
      <c r="H20696" s="49">
        <f t="shared" si="2"/>
        <v>18103</v>
      </c>
    </row>
    <row r="20697">
      <c r="A20697" s="48" t="s">
        <v>390</v>
      </c>
      <c r="B20697" s="38">
        <v>11420.0</v>
      </c>
      <c r="C20697" s="38" t="s">
        <v>25204</v>
      </c>
      <c r="D20697" s="38" t="str">
        <f>IFERROR(__xludf.DUMMYFUNCTION("REGEXREPLACE(C20697,""-\d+(.*)|--\d+(.*)"","""")"),"VILLEBAZY")</f>
        <v>VILLEBAZY</v>
      </c>
      <c r="E20697" s="38" t="s">
        <v>278</v>
      </c>
      <c r="F20697" s="38" t="s">
        <v>119</v>
      </c>
      <c r="G20697" s="49" t="str">
        <f t="shared" si="1"/>
        <v>11250</v>
      </c>
      <c r="H20697" s="49">
        <f t="shared" si="2"/>
        <v>11420</v>
      </c>
    </row>
    <row r="20698">
      <c r="A20698" s="48" t="s">
        <v>4252</v>
      </c>
      <c r="B20698" s="38">
        <v>77268.0</v>
      </c>
      <c r="C20698" s="38" t="s">
        <v>25205</v>
      </c>
      <c r="D20698" s="38" t="str">
        <f>IFERROR(__xludf.DUMMYFUNCTION("REGEXREPLACE(C20698,""-\d+(.*)|--\d+(.*)"","""")"),"MAGNY-LE-HONGRE")</f>
        <v>MAGNY-LE-HONGRE</v>
      </c>
      <c r="E20698" s="38" t="s">
        <v>244</v>
      </c>
      <c r="F20698" s="38" t="s">
        <v>245</v>
      </c>
      <c r="G20698" s="49" t="str">
        <f t="shared" si="1"/>
        <v>77700</v>
      </c>
      <c r="H20698" s="49">
        <f t="shared" si="2"/>
        <v>77268</v>
      </c>
    </row>
    <row r="20699">
      <c r="A20699" s="48" t="s">
        <v>887</v>
      </c>
      <c r="B20699" s="38">
        <v>62909.0</v>
      </c>
      <c r="C20699" s="38" t="s">
        <v>25206</v>
      </c>
      <c r="D20699" s="38" t="str">
        <f>IFERROR(__xludf.DUMMYFUNCTION("REGEXREPLACE(C20699,""-\d+(.*)|--\d+(.*)"","""")"),"YTRES")</f>
        <v>YTRES</v>
      </c>
      <c r="E20699" s="38" t="s">
        <v>109</v>
      </c>
      <c r="F20699" s="38" t="s">
        <v>86</v>
      </c>
      <c r="G20699" s="49" t="str">
        <f t="shared" si="1"/>
        <v>62124</v>
      </c>
      <c r="H20699" s="49">
        <f t="shared" si="2"/>
        <v>62909</v>
      </c>
    </row>
    <row r="20700">
      <c r="A20700" s="48" t="s">
        <v>3731</v>
      </c>
      <c r="B20700" s="38">
        <v>4129.0</v>
      </c>
      <c r="C20700" s="38" t="s">
        <v>25207</v>
      </c>
      <c r="D20700" s="38" t="str">
        <f>IFERROR(__xludf.DUMMYFUNCTION("REGEXREPLACE(C20700,""-\d+(.*)|--\d+(.*)"","""")"),"MONTJUSTIN")</f>
        <v>MONTJUSTIN</v>
      </c>
      <c r="E20700" s="38" t="s">
        <v>662</v>
      </c>
      <c r="F20700" s="38" t="s">
        <v>228</v>
      </c>
      <c r="G20700" s="49" t="str">
        <f t="shared" si="1"/>
        <v>04110</v>
      </c>
      <c r="H20700" s="49" t="str">
        <f t="shared" si="2"/>
        <v>04129</v>
      </c>
    </row>
    <row r="20701">
      <c r="A20701" s="48" t="s">
        <v>7423</v>
      </c>
      <c r="B20701" s="38">
        <v>22248.0</v>
      </c>
      <c r="C20701" s="38" t="s">
        <v>25208</v>
      </c>
      <c r="D20701" s="38" t="str">
        <f>IFERROR(__xludf.DUMMYFUNCTION("REGEXREPLACE(C20701,""-\d+(.*)|--\d+(.*)"","""")"),"POMMERIT-LE-VICOMTE")</f>
        <v>POMMERIT-LE-VICOMTE</v>
      </c>
      <c r="E20701" s="38" t="s">
        <v>89</v>
      </c>
      <c r="F20701" s="38" t="s">
        <v>90</v>
      </c>
      <c r="G20701" s="49" t="str">
        <f t="shared" si="1"/>
        <v>22200</v>
      </c>
      <c r="H20701" s="49">
        <f t="shared" si="2"/>
        <v>22248</v>
      </c>
    </row>
    <row r="20702">
      <c r="A20702" s="48" t="s">
        <v>1327</v>
      </c>
      <c r="B20702" s="38">
        <v>51437.0</v>
      </c>
      <c r="C20702" s="38" t="s">
        <v>25209</v>
      </c>
      <c r="D20702" s="38" t="str">
        <f>IFERROR(__xludf.DUMMYFUNCTION("REGEXREPLACE(C20702,""-\d+(.*)|--\d+(.*)"","""")"),"POILLY")</f>
        <v>POILLY</v>
      </c>
      <c r="E20702" s="38" t="s">
        <v>129</v>
      </c>
      <c r="F20702" s="38" t="s">
        <v>130</v>
      </c>
      <c r="G20702" s="49" t="str">
        <f t="shared" si="1"/>
        <v>51170</v>
      </c>
      <c r="H20702" s="49">
        <f t="shared" si="2"/>
        <v>51437</v>
      </c>
    </row>
    <row r="20703">
      <c r="A20703" s="48" t="s">
        <v>10689</v>
      </c>
      <c r="B20703" s="38">
        <v>59296.0</v>
      </c>
      <c r="C20703" s="38" t="s">
        <v>25210</v>
      </c>
      <c r="D20703" s="38" t="str">
        <f>IFERROR(__xludf.DUMMYFUNCTION("REGEXREPLACE(C20703,""-\d+(.*)|--\d+(.*)"","""")"),"HECQ")</f>
        <v>HECQ</v>
      </c>
      <c r="E20703" s="38" t="s">
        <v>85</v>
      </c>
      <c r="F20703" s="38" t="s">
        <v>86</v>
      </c>
      <c r="G20703" s="49" t="str">
        <f t="shared" si="1"/>
        <v>59530</v>
      </c>
      <c r="H20703" s="49">
        <f t="shared" si="2"/>
        <v>59296</v>
      </c>
    </row>
    <row r="20704">
      <c r="A20704" s="48" t="s">
        <v>256</v>
      </c>
      <c r="B20704" s="38">
        <v>36186.0</v>
      </c>
      <c r="C20704" s="38" t="s">
        <v>25211</v>
      </c>
      <c r="D20704" s="38" t="str">
        <f>IFERROR(__xludf.DUMMYFUNCTION("REGEXREPLACE(C20704,""-\d+(.*)|--\d+(.*)"","""")"),"SAINT-CHRISTOPHE-EN-BOUCHERIE")</f>
        <v>SAINT-CHRISTOPHE-EN-BOUCHERIE</v>
      </c>
      <c r="E20704" s="38" t="s">
        <v>258</v>
      </c>
      <c r="F20704" s="38" t="s">
        <v>123</v>
      </c>
      <c r="G20704" s="49" t="str">
        <f t="shared" si="1"/>
        <v>36400</v>
      </c>
      <c r="H20704" s="49">
        <f t="shared" si="2"/>
        <v>36186</v>
      </c>
    </row>
    <row r="20705">
      <c r="A20705" s="48" t="s">
        <v>3026</v>
      </c>
      <c r="B20705" s="38">
        <v>2675.0</v>
      </c>
      <c r="C20705" s="38" t="s">
        <v>1715</v>
      </c>
      <c r="D20705" s="38" t="str">
        <f>IFERROR(__xludf.DUMMYFUNCTION("REGEXREPLACE(C20705,""-\d+(.*)|--\d+(.*)"","""")"),"SAINTE-CROIX")</f>
        <v>SAINTE-CROIX</v>
      </c>
      <c r="E20705" s="38" t="s">
        <v>191</v>
      </c>
      <c r="F20705" s="38" t="s">
        <v>113</v>
      </c>
      <c r="G20705" s="49" t="str">
        <f t="shared" si="1"/>
        <v>02820</v>
      </c>
      <c r="H20705" s="49" t="str">
        <f t="shared" si="2"/>
        <v>02675</v>
      </c>
    </row>
    <row r="20706">
      <c r="A20706" s="48" t="s">
        <v>10609</v>
      </c>
      <c r="B20706" s="38">
        <v>12288.0</v>
      </c>
      <c r="C20706" s="38" t="s">
        <v>25212</v>
      </c>
      <c r="D20706" s="38" t="str">
        <f>IFERROR(__xludf.DUMMYFUNCTION("REGEXREPLACE(C20706,""-\d+(.*)|--\d+(.*)"","""")"),"VALADY")</f>
        <v>VALADY</v>
      </c>
      <c r="E20706" s="38" t="s">
        <v>465</v>
      </c>
      <c r="F20706" s="38" t="s">
        <v>94</v>
      </c>
      <c r="G20706" s="49" t="str">
        <f t="shared" si="1"/>
        <v>12330</v>
      </c>
      <c r="H20706" s="49">
        <f t="shared" si="2"/>
        <v>12288</v>
      </c>
    </row>
    <row r="20707">
      <c r="A20707" s="48" t="s">
        <v>15474</v>
      </c>
      <c r="B20707" s="38">
        <v>49026.0</v>
      </c>
      <c r="C20707" s="38" t="s">
        <v>25213</v>
      </c>
      <c r="D20707" s="38" t="str">
        <f>IFERROR(__xludf.DUMMYFUNCTION("REGEXREPLACE(C20707,""-\d+(.*)|--\d+(.*)"","""")"),"BECON-LES-GRANITS")</f>
        <v>BECON-LES-GRANITS</v>
      </c>
      <c r="E20707" s="38" t="s">
        <v>653</v>
      </c>
      <c r="F20707" s="38" t="s">
        <v>180</v>
      </c>
      <c r="G20707" s="49" t="str">
        <f t="shared" si="1"/>
        <v>49370</v>
      </c>
      <c r="H20707" s="49">
        <f t="shared" si="2"/>
        <v>49026</v>
      </c>
    </row>
    <row r="20708">
      <c r="A20708" s="48" t="s">
        <v>522</v>
      </c>
      <c r="B20708" s="38">
        <v>39523.0</v>
      </c>
      <c r="C20708" s="38" t="s">
        <v>25214</v>
      </c>
      <c r="D20708" s="38" t="str">
        <f>IFERROR(__xludf.DUMMYFUNCTION("REGEXREPLACE(C20708,""-\d+(.*)|--\d+(.*)"","""")"),"SYAM")</f>
        <v>SYAM</v>
      </c>
      <c r="E20708" s="38" t="s">
        <v>400</v>
      </c>
      <c r="F20708" s="38" t="s">
        <v>214</v>
      </c>
      <c r="G20708" s="49" t="str">
        <f t="shared" si="1"/>
        <v>39300</v>
      </c>
      <c r="H20708" s="49">
        <f t="shared" si="2"/>
        <v>39523</v>
      </c>
    </row>
    <row r="20709">
      <c r="A20709" s="48" t="s">
        <v>630</v>
      </c>
      <c r="B20709" s="38">
        <v>15044.0</v>
      </c>
      <c r="C20709" s="38" t="s">
        <v>25215</v>
      </c>
      <c r="D20709" s="38" t="str">
        <f>IFERROR(__xludf.DUMMYFUNCTION("REGEXREPLACE(C20709,""-\d+(.*)|--\d+(.*)"","""")"),"CHASTEL-SUR-MURAT")</f>
        <v>CHASTEL-SUR-MURAT</v>
      </c>
      <c r="E20709" s="38" t="s">
        <v>632</v>
      </c>
      <c r="F20709" s="38" t="s">
        <v>161</v>
      </c>
      <c r="G20709" s="49" t="str">
        <f t="shared" si="1"/>
        <v>15300</v>
      </c>
      <c r="H20709" s="49">
        <f t="shared" si="2"/>
        <v>15044</v>
      </c>
    </row>
    <row r="20710">
      <c r="A20710" s="48" t="s">
        <v>409</v>
      </c>
      <c r="B20710" s="38">
        <v>31253.0</v>
      </c>
      <c r="C20710" s="38" t="s">
        <v>25216</v>
      </c>
      <c r="D20710" s="38" t="str">
        <f>IFERROR(__xludf.DUMMYFUNCTION("REGEXREPLACE(C20710,""-\d+(.*)|--\d+(.*)"","""")"),"LABASTIDETTE")</f>
        <v>LABASTIDETTE</v>
      </c>
      <c r="E20710" s="38" t="s">
        <v>93</v>
      </c>
      <c r="F20710" s="38" t="s">
        <v>94</v>
      </c>
      <c r="G20710" s="49" t="str">
        <f t="shared" si="1"/>
        <v>31600</v>
      </c>
      <c r="H20710" s="49">
        <f t="shared" si="2"/>
        <v>31253</v>
      </c>
    </row>
    <row r="20711">
      <c r="A20711" s="48" t="s">
        <v>25217</v>
      </c>
      <c r="B20711" s="38">
        <v>84142.0</v>
      </c>
      <c r="C20711" s="38" t="s">
        <v>25218</v>
      </c>
      <c r="D20711" s="38" t="str">
        <f>IFERROR(__xludf.DUMMYFUNCTION("REGEXREPLACE(C20711,""-\d+(.*)|--\d+(.*)"","""")"),"VELLERON")</f>
        <v>VELLERON</v>
      </c>
      <c r="E20711" s="38" t="s">
        <v>1026</v>
      </c>
      <c r="F20711" s="38" t="s">
        <v>228</v>
      </c>
      <c r="G20711" s="49" t="str">
        <f t="shared" si="1"/>
        <v>84740</v>
      </c>
      <c r="H20711" s="49">
        <f t="shared" si="2"/>
        <v>84142</v>
      </c>
    </row>
    <row r="20712">
      <c r="A20712" s="48" t="s">
        <v>6025</v>
      </c>
      <c r="B20712" s="38">
        <v>31521.0</v>
      </c>
      <c r="C20712" s="38" t="s">
        <v>25219</v>
      </c>
      <c r="D20712" s="38" t="str">
        <f>IFERROR(__xludf.DUMMYFUNCTION("REGEXREPLACE(C20712,""-\d+(.*)|--\d+(.*)"","""")"),"SALEICH")</f>
        <v>SALEICH</v>
      </c>
      <c r="E20712" s="38" t="s">
        <v>93</v>
      </c>
      <c r="F20712" s="38" t="s">
        <v>94</v>
      </c>
      <c r="G20712" s="49" t="str">
        <f t="shared" si="1"/>
        <v>31260</v>
      </c>
      <c r="H20712" s="49">
        <f t="shared" si="2"/>
        <v>31521</v>
      </c>
    </row>
    <row r="20713">
      <c r="A20713" s="48" t="s">
        <v>2532</v>
      </c>
      <c r="B20713" s="38">
        <v>51374.0</v>
      </c>
      <c r="C20713" s="38" t="s">
        <v>25220</v>
      </c>
      <c r="D20713" s="38" t="str">
        <f>IFERROR(__xludf.DUMMYFUNCTION("REGEXREPLACE(C20713,""-\d+(.*)|--\d+(.*)"","""")"),"MONDEMENT-MONTGIVROUX")</f>
        <v>MONDEMENT-MONTGIVROUX</v>
      </c>
      <c r="E20713" s="38" t="s">
        <v>129</v>
      </c>
      <c r="F20713" s="38" t="s">
        <v>130</v>
      </c>
      <c r="G20713" s="49" t="str">
        <f t="shared" si="1"/>
        <v>51120</v>
      </c>
      <c r="H20713" s="49">
        <f t="shared" si="2"/>
        <v>51374</v>
      </c>
    </row>
    <row r="20714">
      <c r="A20714" s="48" t="s">
        <v>2882</v>
      </c>
      <c r="B20714" s="38">
        <v>76465.0</v>
      </c>
      <c r="C20714" s="38" t="s">
        <v>25221</v>
      </c>
      <c r="D20714" s="38" t="str">
        <f>IFERROR(__xludf.DUMMYFUNCTION("REGEXREPLACE(C20714,""-\d+(.*)|--\d+(.*)"","""")"),"NEUVILLE-FERRIERES")</f>
        <v>NEUVILLE-FERRIERES</v>
      </c>
      <c r="E20714" s="38" t="s">
        <v>133</v>
      </c>
      <c r="F20714" s="38" t="s">
        <v>134</v>
      </c>
      <c r="G20714" s="49" t="str">
        <f t="shared" si="1"/>
        <v>76270</v>
      </c>
      <c r="H20714" s="49">
        <f t="shared" si="2"/>
        <v>76465</v>
      </c>
    </row>
    <row r="20715">
      <c r="A20715" s="48" t="s">
        <v>2558</v>
      </c>
      <c r="B20715" s="38">
        <v>16297.0</v>
      </c>
      <c r="C20715" s="38" t="s">
        <v>25222</v>
      </c>
      <c r="D20715" s="38" t="str">
        <f>IFERROR(__xludf.DUMMYFUNCTION("REGEXREPLACE(C20715,""-\d+(.*)|--\d+(.*)"","""")"),"GRAVES-SAINT-AMANT")</f>
        <v>GRAVES-SAINT-AMANT</v>
      </c>
      <c r="E20715" s="38" t="s">
        <v>429</v>
      </c>
      <c r="F20715" s="38" t="s">
        <v>338</v>
      </c>
      <c r="G20715" s="49" t="str">
        <f t="shared" si="1"/>
        <v>16120</v>
      </c>
      <c r="H20715" s="49">
        <f t="shared" si="2"/>
        <v>16297</v>
      </c>
    </row>
    <row r="20716">
      <c r="A20716" s="48" t="s">
        <v>14375</v>
      </c>
      <c r="B20716" s="38">
        <v>74102.0</v>
      </c>
      <c r="C20716" s="38" t="s">
        <v>25223</v>
      </c>
      <c r="D20716" s="38" t="str">
        <f>IFERROR(__xludf.DUMMYFUNCTION("REGEXREPLACE(C20716,""-\d+(.*)|--\d+(.*)"","""")"),"DINGY-SAINT-CLAIR")</f>
        <v>DINGY-SAINT-CLAIR</v>
      </c>
      <c r="E20716" s="38" t="s">
        <v>319</v>
      </c>
      <c r="F20716" s="38" t="s">
        <v>102</v>
      </c>
      <c r="G20716" s="49" t="str">
        <f t="shared" si="1"/>
        <v>74230</v>
      </c>
      <c r="H20716" s="49">
        <f t="shared" si="2"/>
        <v>74102</v>
      </c>
    </row>
    <row r="20717">
      <c r="A20717" s="48" t="s">
        <v>1368</v>
      </c>
      <c r="B20717" s="38">
        <v>8490.0</v>
      </c>
      <c r="C20717" s="38" t="s">
        <v>25224</v>
      </c>
      <c r="D20717" s="38" t="str">
        <f>IFERROR(__xludf.DUMMYFUNCTION("REGEXREPLACE(C20717,""-\d+(.*)|--\d+(.*)"","""")"),"VOUZIERS")</f>
        <v>VOUZIERS</v>
      </c>
      <c r="E20717" s="38" t="s">
        <v>327</v>
      </c>
      <c r="F20717" s="38" t="s">
        <v>130</v>
      </c>
      <c r="G20717" s="49" t="str">
        <f t="shared" si="1"/>
        <v>08400</v>
      </c>
      <c r="H20717" s="49" t="str">
        <f t="shared" si="2"/>
        <v>08490</v>
      </c>
    </row>
    <row r="20718">
      <c r="A20718" s="48" t="s">
        <v>25225</v>
      </c>
      <c r="B20718" s="38">
        <v>97420.0</v>
      </c>
      <c r="C20718" s="38" t="s">
        <v>6659</v>
      </c>
      <c r="D20718" s="38" t="str">
        <f>IFERROR(__xludf.DUMMYFUNCTION("REGEXREPLACE(C20718,""-\d+(.*)|--\d+(.*)"","""")"),"SAINTE-SUZANNE")</f>
        <v>SAINTE-SUZANNE</v>
      </c>
      <c r="E20718" s="38" t="s">
        <v>7739</v>
      </c>
      <c r="F20718" s="38" t="s">
        <v>7739</v>
      </c>
      <c r="G20718" s="49" t="str">
        <f t="shared" si="1"/>
        <v>97441</v>
      </c>
      <c r="H20718" s="49">
        <f t="shared" si="2"/>
        <v>97420</v>
      </c>
    </row>
    <row r="20719">
      <c r="A20719" s="48" t="s">
        <v>9118</v>
      </c>
      <c r="B20719" s="38">
        <v>60272.0</v>
      </c>
      <c r="C20719" s="38" t="s">
        <v>25226</v>
      </c>
      <c r="D20719" s="38" t="str">
        <f>IFERROR(__xludf.DUMMYFUNCTION("REGEXREPLACE(C20719,""-\d+(.*)|--\d+(.*)"","""")"),"GILOCOURT")</f>
        <v>GILOCOURT</v>
      </c>
      <c r="E20719" s="38" t="s">
        <v>112</v>
      </c>
      <c r="F20719" s="38" t="s">
        <v>113</v>
      </c>
      <c r="G20719" s="49" t="str">
        <f t="shared" si="1"/>
        <v>60129</v>
      </c>
      <c r="H20719" s="49">
        <f t="shared" si="2"/>
        <v>60272</v>
      </c>
    </row>
    <row r="20720">
      <c r="A20720" s="48" t="s">
        <v>8914</v>
      </c>
      <c r="B20720" s="38">
        <v>45249.0</v>
      </c>
      <c r="C20720" s="38" t="s">
        <v>25227</v>
      </c>
      <c r="D20720" s="38" t="str">
        <f>IFERROR(__xludf.DUMMYFUNCTION("REGEXREPLACE(C20720,""-\d+(.*)|--\d+(.*)"","""")"),"PAUCOURT")</f>
        <v>PAUCOURT</v>
      </c>
      <c r="E20720" s="38" t="s">
        <v>122</v>
      </c>
      <c r="F20720" s="38" t="s">
        <v>123</v>
      </c>
      <c r="G20720" s="49" t="str">
        <f t="shared" si="1"/>
        <v>45200</v>
      </c>
      <c r="H20720" s="49">
        <f t="shared" si="2"/>
        <v>45249</v>
      </c>
    </row>
    <row r="20721">
      <c r="A20721" s="48" t="s">
        <v>25228</v>
      </c>
      <c r="B20721" s="38">
        <v>82155.0</v>
      </c>
      <c r="C20721" s="38" t="s">
        <v>25229</v>
      </c>
      <c r="D20721" s="38" t="str">
        <f>IFERROR(__xludf.DUMMYFUNCTION("REGEXREPLACE(C20721,""-\d+(.*)|--\d+(.*)"","""")"),"SAINT-ANTONIN-NOBLE-VAL")</f>
        <v>SAINT-ANTONIN-NOBLE-VAL</v>
      </c>
      <c r="E20721" s="38" t="s">
        <v>570</v>
      </c>
      <c r="F20721" s="38" t="s">
        <v>94</v>
      </c>
      <c r="G20721" s="49" t="str">
        <f t="shared" si="1"/>
        <v>82140</v>
      </c>
      <c r="H20721" s="49">
        <f t="shared" si="2"/>
        <v>82155</v>
      </c>
    </row>
    <row r="20722">
      <c r="A20722" s="48" t="s">
        <v>21810</v>
      </c>
      <c r="B20722" s="38">
        <v>89156.0</v>
      </c>
      <c r="C20722" s="38" t="s">
        <v>25230</v>
      </c>
      <c r="D20722" s="38" t="str">
        <f>IFERROR(__xludf.DUMMYFUNCTION("REGEXREPLACE(C20722,""-\d+(.*)|--\d+(.*)"","""")"),"ESNON")</f>
        <v>ESNON</v>
      </c>
      <c r="E20722" s="38" t="s">
        <v>275</v>
      </c>
      <c r="F20722" s="38" t="s">
        <v>106</v>
      </c>
      <c r="G20722" s="49" t="str">
        <f t="shared" si="1"/>
        <v>89210</v>
      </c>
      <c r="H20722" s="49">
        <f t="shared" si="2"/>
        <v>89156</v>
      </c>
    </row>
    <row r="20723">
      <c r="A20723" s="48" t="s">
        <v>2130</v>
      </c>
      <c r="B20723" s="38">
        <v>62463.0</v>
      </c>
      <c r="C20723" s="38" t="s">
        <v>25231</v>
      </c>
      <c r="D20723" s="38" t="str">
        <f>IFERROR(__xludf.DUMMYFUNCTION("REGEXREPLACE(C20723,""-\d+(.*)|--\d+(.*)"","""")"),"HUCQUELIERS")</f>
        <v>HUCQUELIERS</v>
      </c>
      <c r="E20723" s="38" t="s">
        <v>109</v>
      </c>
      <c r="F20723" s="38" t="s">
        <v>86</v>
      </c>
      <c r="G20723" s="49" t="str">
        <f t="shared" si="1"/>
        <v>62650</v>
      </c>
      <c r="H20723" s="49">
        <f t="shared" si="2"/>
        <v>62463</v>
      </c>
    </row>
    <row r="20724">
      <c r="A20724" s="48" t="s">
        <v>7065</v>
      </c>
      <c r="B20724" s="38">
        <v>3130.0</v>
      </c>
      <c r="C20724" s="38" t="s">
        <v>25232</v>
      </c>
      <c r="D20724" s="38" t="str">
        <f>IFERROR(__xludf.DUMMYFUNCTION("REGEXREPLACE(C20724,""-\d+(.*)|--\d+(.*)"","""")"),"ISLE-ET-BARDAIS")</f>
        <v>ISLE-ET-BARDAIS</v>
      </c>
      <c r="E20724" s="38" t="s">
        <v>160</v>
      </c>
      <c r="F20724" s="38" t="s">
        <v>161</v>
      </c>
      <c r="G20724" s="49" t="str">
        <f t="shared" si="1"/>
        <v>03360</v>
      </c>
      <c r="H20724" s="49" t="str">
        <f t="shared" si="2"/>
        <v>03130</v>
      </c>
    </row>
    <row r="20725">
      <c r="A20725" s="48" t="s">
        <v>4469</v>
      </c>
      <c r="B20725" s="38">
        <v>83138.0</v>
      </c>
      <c r="C20725" s="38" t="s">
        <v>25233</v>
      </c>
      <c r="D20725" s="38" t="str">
        <f>IFERROR(__xludf.DUMMYFUNCTION("REGEXREPLACE(C20725,""-\d+(.*)|--\d+(.*)"","""")"),"TOURRETTES")</f>
        <v>TOURRETTES</v>
      </c>
      <c r="E20725" s="38" t="s">
        <v>813</v>
      </c>
      <c r="F20725" s="38" t="s">
        <v>228</v>
      </c>
      <c r="G20725" s="49" t="str">
        <f t="shared" si="1"/>
        <v>83440</v>
      </c>
      <c r="H20725" s="49">
        <f t="shared" si="2"/>
        <v>83138</v>
      </c>
    </row>
    <row r="20726">
      <c r="A20726" s="48" t="s">
        <v>3436</v>
      </c>
      <c r="B20726" s="38">
        <v>33138.0</v>
      </c>
      <c r="C20726" s="38" t="s">
        <v>25234</v>
      </c>
      <c r="D20726" s="38" t="str">
        <f>IFERROR(__xludf.DUMMYFUNCTION("REGEXREPLACE(C20726,""-\d+(.*)|--\d+(.*)"","""")"),"COUTRAS")</f>
        <v>COUTRAS</v>
      </c>
      <c r="E20726" s="38" t="s">
        <v>462</v>
      </c>
      <c r="F20726" s="38" t="s">
        <v>252</v>
      </c>
      <c r="G20726" s="49" t="str">
        <f t="shared" si="1"/>
        <v>33230</v>
      </c>
      <c r="H20726" s="49">
        <f t="shared" si="2"/>
        <v>33138</v>
      </c>
    </row>
    <row r="20727">
      <c r="A20727" s="48" t="s">
        <v>4453</v>
      </c>
      <c r="B20727" s="38">
        <v>52058.0</v>
      </c>
      <c r="C20727" s="38" t="s">
        <v>25235</v>
      </c>
      <c r="D20727" s="38" t="str">
        <f>IFERROR(__xludf.DUMMYFUNCTION("REGEXREPLACE(C20727,""-\d+(.*)|--\d+(.*)"","""")"),"BOLOGNE")</f>
        <v>BOLOGNE</v>
      </c>
      <c r="E20727" s="38" t="s">
        <v>234</v>
      </c>
      <c r="F20727" s="38" t="s">
        <v>130</v>
      </c>
      <c r="G20727" s="49" t="str">
        <f t="shared" si="1"/>
        <v>52310</v>
      </c>
      <c r="H20727" s="49">
        <f t="shared" si="2"/>
        <v>52058</v>
      </c>
    </row>
    <row r="20728">
      <c r="A20728" s="48" t="s">
        <v>8298</v>
      </c>
      <c r="B20728" s="38">
        <v>54569.0</v>
      </c>
      <c r="C20728" s="38" t="s">
        <v>25236</v>
      </c>
      <c r="D20728" s="38" t="str">
        <f>IFERROR(__xludf.DUMMYFUNCTION("REGEXREPLACE(C20728,""-\d+(.*)|--\d+(.*)"","""")"),"VILLE-AU-VAL")</f>
        <v>VILLE-AU-VAL</v>
      </c>
      <c r="E20728" s="38" t="s">
        <v>548</v>
      </c>
      <c r="F20728" s="38" t="s">
        <v>195</v>
      </c>
      <c r="G20728" s="49" t="str">
        <f t="shared" si="1"/>
        <v>54380</v>
      </c>
      <c r="H20728" s="49">
        <f t="shared" si="2"/>
        <v>54569</v>
      </c>
    </row>
    <row r="20729">
      <c r="A20729" s="48" t="s">
        <v>25237</v>
      </c>
      <c r="B20729" s="38">
        <v>27682.0</v>
      </c>
      <c r="C20729" s="38" t="s">
        <v>20124</v>
      </c>
      <c r="D20729" s="38" t="str">
        <f>IFERROR(__xludf.DUMMYFUNCTION("REGEXREPLACE(C20729,""-\d+(.*)|--\d+(.*)"","""")"),"VESLY")</f>
        <v>VESLY</v>
      </c>
      <c r="E20729" s="38" t="s">
        <v>241</v>
      </c>
      <c r="F20729" s="38" t="s">
        <v>134</v>
      </c>
      <c r="G20729" s="49" t="str">
        <f t="shared" si="1"/>
        <v>27870</v>
      </c>
      <c r="H20729" s="49">
        <f t="shared" si="2"/>
        <v>27682</v>
      </c>
    </row>
    <row r="20730">
      <c r="A20730" s="48" t="s">
        <v>5806</v>
      </c>
      <c r="B20730" s="38">
        <v>39446.0</v>
      </c>
      <c r="C20730" s="38" t="s">
        <v>25238</v>
      </c>
      <c r="D20730" s="38" t="str">
        <f>IFERROR(__xludf.DUMMYFUNCTION("REGEXREPLACE(C20730,""-\d+(.*)|--\d+(.*)"","""")"),"PUPILLIN")</f>
        <v>PUPILLIN</v>
      </c>
      <c r="E20730" s="38" t="s">
        <v>400</v>
      </c>
      <c r="F20730" s="38" t="s">
        <v>214</v>
      </c>
      <c r="G20730" s="49" t="str">
        <f t="shared" si="1"/>
        <v>39600</v>
      </c>
      <c r="H20730" s="49">
        <f t="shared" si="2"/>
        <v>39446</v>
      </c>
    </row>
    <row r="20731">
      <c r="A20731" s="48" t="s">
        <v>665</v>
      </c>
      <c r="B20731" s="38">
        <v>76418.0</v>
      </c>
      <c r="C20731" s="38" t="s">
        <v>25239</v>
      </c>
      <c r="D20731" s="38" t="str">
        <f>IFERROR(__xludf.DUMMYFUNCTION("REGEXREPLACE(C20731,""-\d+(.*)|--\d+(.*)"","""")"),"MAULEVRIER-SAINTE-GERTRUDE")</f>
        <v>MAULEVRIER-SAINTE-GERTRUDE</v>
      </c>
      <c r="E20731" s="38" t="s">
        <v>133</v>
      </c>
      <c r="F20731" s="38" t="s">
        <v>134</v>
      </c>
      <c r="G20731" s="49" t="str">
        <f t="shared" si="1"/>
        <v>76490</v>
      </c>
      <c r="H20731" s="49">
        <f t="shared" si="2"/>
        <v>76418</v>
      </c>
    </row>
    <row r="20732">
      <c r="A20732" s="48" t="s">
        <v>1100</v>
      </c>
      <c r="B20732" s="38">
        <v>8092.0</v>
      </c>
      <c r="C20732" s="38" t="s">
        <v>25240</v>
      </c>
      <c r="D20732" s="38" t="str">
        <f>IFERROR(__xludf.DUMMYFUNCTION("REGEXREPLACE(C20732,""-\d+(.*)|--\d+(.*)"","""")"),"CAUROY")</f>
        <v>CAUROY</v>
      </c>
      <c r="E20732" s="38" t="s">
        <v>327</v>
      </c>
      <c r="F20732" s="38" t="s">
        <v>130</v>
      </c>
      <c r="G20732" s="49" t="str">
        <f t="shared" si="1"/>
        <v>08310</v>
      </c>
      <c r="H20732" s="49" t="str">
        <f t="shared" si="2"/>
        <v>08092</v>
      </c>
    </row>
    <row r="20733">
      <c r="A20733" s="48" t="s">
        <v>4900</v>
      </c>
      <c r="B20733" s="38">
        <v>33143.0</v>
      </c>
      <c r="C20733" s="38" t="s">
        <v>25241</v>
      </c>
      <c r="D20733" s="38" t="str">
        <f>IFERROR(__xludf.DUMMYFUNCTION("REGEXREPLACE(C20733,""-\d+(.*)|--\d+(.*)"","""")"),"CUBZAC-LES-PONTS")</f>
        <v>CUBZAC-LES-PONTS</v>
      </c>
      <c r="E20733" s="38" t="s">
        <v>462</v>
      </c>
      <c r="F20733" s="38" t="s">
        <v>252</v>
      </c>
      <c r="G20733" s="49" t="str">
        <f t="shared" si="1"/>
        <v>33240</v>
      </c>
      <c r="H20733" s="49">
        <f t="shared" si="2"/>
        <v>33143</v>
      </c>
    </row>
    <row r="20734">
      <c r="A20734" s="48" t="s">
        <v>5237</v>
      </c>
      <c r="B20734" s="38">
        <v>69102.0</v>
      </c>
      <c r="C20734" s="38" t="s">
        <v>25242</v>
      </c>
      <c r="D20734" s="38" t="str">
        <f>IFERROR(__xludf.DUMMYFUNCTION("REGEXREPLACE(C20734,""-\d+(.*)|--\d+(.*)"","""")"),"JOUX")</f>
        <v>JOUX</v>
      </c>
      <c r="E20734" s="38" t="s">
        <v>350</v>
      </c>
      <c r="F20734" s="38" t="s">
        <v>102</v>
      </c>
      <c r="G20734" s="49" t="str">
        <f t="shared" si="1"/>
        <v>69170</v>
      </c>
      <c r="H20734" s="49">
        <f t="shared" si="2"/>
        <v>69102</v>
      </c>
    </row>
    <row r="20735">
      <c r="A20735" s="48" t="s">
        <v>2100</v>
      </c>
      <c r="B20735" s="38">
        <v>14236.0</v>
      </c>
      <c r="C20735" s="38" t="s">
        <v>25243</v>
      </c>
      <c r="D20735" s="38" t="str">
        <f>IFERROR(__xludf.DUMMYFUNCTION("REGEXREPLACE(C20735,""-\d+(.*)|--\d+(.*)"","""")"),"ELLON")</f>
        <v>ELLON</v>
      </c>
      <c r="E20735" s="38" t="s">
        <v>137</v>
      </c>
      <c r="F20735" s="38" t="s">
        <v>138</v>
      </c>
      <c r="G20735" s="49" t="str">
        <f t="shared" si="1"/>
        <v>14250</v>
      </c>
      <c r="H20735" s="49">
        <f t="shared" si="2"/>
        <v>14236</v>
      </c>
    </row>
    <row r="20736">
      <c r="A20736" s="48" t="s">
        <v>3289</v>
      </c>
      <c r="B20736" s="38">
        <v>50640.0</v>
      </c>
      <c r="C20736" s="38" t="s">
        <v>25244</v>
      </c>
      <c r="D20736" s="38" t="str">
        <f>IFERROR(__xludf.DUMMYFUNCTION("REGEXREPLACE(C20736,""-\d+(.*)|--\d+(.*)"","""")"),"VILLIERS-LE-PRE")</f>
        <v>VILLIERS-LE-PRE</v>
      </c>
      <c r="E20736" s="38" t="s">
        <v>157</v>
      </c>
      <c r="F20736" s="38" t="s">
        <v>138</v>
      </c>
      <c r="G20736" s="49" t="str">
        <f t="shared" si="1"/>
        <v>50240</v>
      </c>
      <c r="H20736" s="49">
        <f t="shared" si="2"/>
        <v>50640</v>
      </c>
    </row>
    <row r="20737">
      <c r="A20737" s="48" t="s">
        <v>5672</v>
      </c>
      <c r="B20737" s="38">
        <v>33068.0</v>
      </c>
      <c r="C20737" s="38" t="s">
        <v>25245</v>
      </c>
      <c r="D20737" s="38" t="str">
        <f>IFERROR(__xludf.DUMMYFUNCTION("REGEXREPLACE(C20737,""-\d+(.*)|--\d+(.*)"","""")"),"BOURIDEYS")</f>
        <v>BOURIDEYS</v>
      </c>
      <c r="E20737" s="38" t="s">
        <v>462</v>
      </c>
      <c r="F20737" s="38" t="s">
        <v>252</v>
      </c>
      <c r="G20737" s="49" t="str">
        <f t="shared" si="1"/>
        <v>33113</v>
      </c>
      <c r="H20737" s="49">
        <f t="shared" si="2"/>
        <v>33068</v>
      </c>
    </row>
    <row r="20738">
      <c r="A20738" s="48" t="s">
        <v>1679</v>
      </c>
      <c r="B20738" s="38">
        <v>51296.0</v>
      </c>
      <c r="C20738" s="38" t="s">
        <v>25246</v>
      </c>
      <c r="D20738" s="38" t="str">
        <f>IFERROR(__xludf.DUMMYFUNCTION("REGEXREPLACE(C20738,""-\d+(.*)|--\d+(.*)"","""")"),"HUMBAUVILLE")</f>
        <v>HUMBAUVILLE</v>
      </c>
      <c r="E20738" s="38" t="s">
        <v>129</v>
      </c>
      <c r="F20738" s="38" t="s">
        <v>130</v>
      </c>
      <c r="G20738" s="49" t="str">
        <f t="shared" si="1"/>
        <v>51320</v>
      </c>
      <c r="H20738" s="49">
        <f t="shared" si="2"/>
        <v>51296</v>
      </c>
    </row>
    <row r="20739">
      <c r="A20739" s="48" t="s">
        <v>1887</v>
      </c>
      <c r="B20739" s="38">
        <v>88314.0</v>
      </c>
      <c r="C20739" s="38" t="s">
        <v>25247</v>
      </c>
      <c r="D20739" s="38" t="str">
        <f>IFERROR(__xludf.DUMMYFUNCTION("REGEXREPLACE(C20739,""-\d+(.*)|--\d+(.*)"","""")"),"MORIZECOURT")</f>
        <v>MORIZECOURT</v>
      </c>
      <c r="E20739" s="38" t="s">
        <v>194</v>
      </c>
      <c r="F20739" s="38" t="s">
        <v>195</v>
      </c>
      <c r="G20739" s="49" t="str">
        <f t="shared" si="1"/>
        <v>88320</v>
      </c>
      <c r="H20739" s="49">
        <f t="shared" si="2"/>
        <v>88314</v>
      </c>
    </row>
    <row r="20740">
      <c r="A20740" s="48" t="s">
        <v>4826</v>
      </c>
      <c r="B20740" s="38">
        <v>57062.0</v>
      </c>
      <c r="C20740" s="38" t="s">
        <v>25248</v>
      </c>
      <c r="D20740" s="38" t="str">
        <f>IFERROR(__xludf.DUMMYFUNCTION("REGEXREPLACE(C20740,""-\d+(.*)|--\d+(.*)"","""")"),"BERG-SUR-MOSELLE")</f>
        <v>BERG-SUR-MOSELLE</v>
      </c>
      <c r="E20740" s="38" t="s">
        <v>303</v>
      </c>
      <c r="F20740" s="38" t="s">
        <v>195</v>
      </c>
      <c r="G20740" s="49" t="str">
        <f t="shared" si="1"/>
        <v>57570</v>
      </c>
      <c r="H20740" s="49">
        <f t="shared" si="2"/>
        <v>57062</v>
      </c>
    </row>
    <row r="20741">
      <c r="A20741" s="48" t="s">
        <v>18155</v>
      </c>
      <c r="B20741" s="38">
        <v>47207.0</v>
      </c>
      <c r="C20741" s="38" t="s">
        <v>25249</v>
      </c>
      <c r="D20741" s="38" t="str">
        <f>IFERROR(__xludf.DUMMYFUNCTION("REGEXREPLACE(C20741,""-\d+(.*)|--\d+(.*)"","""")"),"POMPIEY")</f>
        <v>POMPIEY</v>
      </c>
      <c r="E20741" s="38" t="s">
        <v>251</v>
      </c>
      <c r="F20741" s="38" t="s">
        <v>252</v>
      </c>
      <c r="G20741" s="49" t="str">
        <f t="shared" si="1"/>
        <v>47230</v>
      </c>
      <c r="H20741" s="49">
        <f t="shared" si="2"/>
        <v>47207</v>
      </c>
    </row>
    <row r="20742">
      <c r="A20742" s="48" t="s">
        <v>5866</v>
      </c>
      <c r="B20742" s="38">
        <v>33196.0</v>
      </c>
      <c r="C20742" s="38" t="s">
        <v>15958</v>
      </c>
      <c r="D20742" s="38" t="str">
        <f>IFERROR(__xludf.DUMMYFUNCTION("REGEXREPLACE(C20742,""-\d+(.*)|--\d+(.*)"","""")"),"GUILLAC")</f>
        <v>GUILLAC</v>
      </c>
      <c r="E20742" s="38" t="s">
        <v>462</v>
      </c>
      <c r="F20742" s="38" t="s">
        <v>252</v>
      </c>
      <c r="G20742" s="49" t="str">
        <f t="shared" si="1"/>
        <v>33420</v>
      </c>
      <c r="H20742" s="49">
        <f t="shared" si="2"/>
        <v>33196</v>
      </c>
    </row>
    <row r="20743">
      <c r="A20743" s="48" t="s">
        <v>5887</v>
      </c>
      <c r="B20743" s="38">
        <v>61301.0</v>
      </c>
      <c r="C20743" s="38" t="s">
        <v>25250</v>
      </c>
      <c r="D20743" s="38" t="str">
        <f>IFERROR(__xludf.DUMMYFUNCTION("REGEXREPLACE(C20743,""-\d+(.*)|--\d+(.*)"","""")"),"NEAUPHE-SOUS-ESSAI")</f>
        <v>NEAUPHE-SOUS-ESSAI</v>
      </c>
      <c r="E20743" s="38" t="s">
        <v>141</v>
      </c>
      <c r="F20743" s="38" t="s">
        <v>138</v>
      </c>
      <c r="G20743" s="49" t="str">
        <f t="shared" si="1"/>
        <v>61500</v>
      </c>
      <c r="H20743" s="49">
        <f t="shared" si="2"/>
        <v>61301</v>
      </c>
    </row>
    <row r="20744">
      <c r="A20744" s="48" t="s">
        <v>22220</v>
      </c>
      <c r="B20744" s="38">
        <v>35278.0</v>
      </c>
      <c r="C20744" s="38" t="s">
        <v>25251</v>
      </c>
      <c r="D20744" s="38" t="str">
        <f>IFERROR(__xludf.DUMMYFUNCTION("REGEXREPLACE(C20744,""-\d+(.*)|--\d+(.*)"","""")"),"SAINT-GREGOIRE")</f>
        <v>SAINT-GREGOIRE</v>
      </c>
      <c r="E20744" s="38" t="s">
        <v>347</v>
      </c>
      <c r="F20744" s="38" t="s">
        <v>90</v>
      </c>
      <c r="G20744" s="49" t="str">
        <f t="shared" si="1"/>
        <v>35760</v>
      </c>
      <c r="H20744" s="49">
        <f t="shared" si="2"/>
        <v>35278</v>
      </c>
    </row>
    <row r="20745">
      <c r="A20745" s="48" t="s">
        <v>8103</v>
      </c>
      <c r="B20745" s="38">
        <v>55267.0</v>
      </c>
      <c r="C20745" s="38" t="s">
        <v>25252</v>
      </c>
      <c r="D20745" s="38" t="str">
        <f>IFERROR(__xludf.DUMMYFUNCTION("REGEXREPLACE(C20745,""-\d+(.*)|--\d+(.*)"","""")"),"LACHAUSSEE")</f>
        <v>LACHAUSSEE</v>
      </c>
      <c r="E20745" s="38" t="s">
        <v>322</v>
      </c>
      <c r="F20745" s="38" t="s">
        <v>195</v>
      </c>
      <c r="G20745" s="49" t="str">
        <f t="shared" si="1"/>
        <v>55210</v>
      </c>
      <c r="H20745" s="49">
        <f t="shared" si="2"/>
        <v>55267</v>
      </c>
    </row>
    <row r="20746">
      <c r="A20746" s="48" t="s">
        <v>7228</v>
      </c>
      <c r="B20746" s="38">
        <v>50400.0</v>
      </c>
      <c r="C20746" s="38" t="s">
        <v>25253</v>
      </c>
      <c r="D20746" s="38" t="str">
        <f>IFERROR(__xludf.DUMMYFUNCTION("REGEXREPLACE(C20746,""-\d+(.*)|--\d+(.*)"","""")"),"PICAUVILLE")</f>
        <v>PICAUVILLE</v>
      </c>
      <c r="E20746" s="38" t="s">
        <v>157</v>
      </c>
      <c r="F20746" s="38" t="s">
        <v>138</v>
      </c>
      <c r="G20746" s="49" t="str">
        <f t="shared" si="1"/>
        <v>50360</v>
      </c>
      <c r="H20746" s="49">
        <f t="shared" si="2"/>
        <v>50400</v>
      </c>
    </row>
    <row r="20747">
      <c r="A20747" s="48" t="s">
        <v>158</v>
      </c>
      <c r="B20747" s="38">
        <v>3272.0</v>
      </c>
      <c r="C20747" s="38" t="s">
        <v>25254</v>
      </c>
      <c r="D20747" s="38" t="str">
        <f>IFERROR(__xludf.DUMMYFUNCTION("REGEXREPLACE(C20747,""-\d+(.*)|--\d+(.*)"","""")"),"SERVILLY")</f>
        <v>SERVILLY</v>
      </c>
      <c r="E20747" s="38" t="s">
        <v>160</v>
      </c>
      <c r="F20747" s="38" t="s">
        <v>161</v>
      </c>
      <c r="G20747" s="49" t="str">
        <f t="shared" si="1"/>
        <v>03120</v>
      </c>
      <c r="H20747" s="49" t="str">
        <f t="shared" si="2"/>
        <v>03272</v>
      </c>
    </row>
    <row r="20748">
      <c r="A20748" s="48" t="s">
        <v>1999</v>
      </c>
      <c r="B20748" s="38">
        <v>2590.0</v>
      </c>
      <c r="C20748" s="38" t="s">
        <v>25255</v>
      </c>
      <c r="D20748" s="38" t="str">
        <f>IFERROR(__xludf.DUMMYFUNCTION("REGEXREPLACE(C20748,""-\d+(.*)|--\d+(.*)"","""")"),"PARGNY-LA-DHUYS")</f>
        <v>PARGNY-LA-DHUYS</v>
      </c>
      <c r="E20748" s="38" t="s">
        <v>191</v>
      </c>
      <c r="F20748" s="38" t="s">
        <v>113</v>
      </c>
      <c r="G20748" s="49" t="str">
        <f t="shared" si="1"/>
        <v>02330</v>
      </c>
      <c r="H20748" s="49" t="str">
        <f t="shared" si="2"/>
        <v>02590</v>
      </c>
    </row>
    <row r="20749">
      <c r="A20749" s="48" t="s">
        <v>792</v>
      </c>
      <c r="B20749" s="38">
        <v>2193.0</v>
      </c>
      <c r="C20749" s="38" t="s">
        <v>25256</v>
      </c>
      <c r="D20749" s="38" t="str">
        <f>IFERROR(__xludf.DUMMYFUNCTION("REGEXREPLACE(C20749,""-\d+(.*)|--\d+(.*)"","""")"),"CIERGES")</f>
        <v>CIERGES</v>
      </c>
      <c r="E20749" s="38" t="s">
        <v>191</v>
      </c>
      <c r="F20749" s="38" t="s">
        <v>113</v>
      </c>
      <c r="G20749" s="49" t="str">
        <f t="shared" si="1"/>
        <v>02130</v>
      </c>
      <c r="H20749" s="49" t="str">
        <f t="shared" si="2"/>
        <v>02193</v>
      </c>
    </row>
    <row r="20750">
      <c r="A20750" s="48" t="s">
        <v>25129</v>
      </c>
      <c r="B20750" s="38">
        <v>77024.0</v>
      </c>
      <c r="C20750" s="38" t="s">
        <v>25257</v>
      </c>
      <c r="D20750" s="38" t="str">
        <f>IFERROR(__xludf.DUMMYFUNCTION("REGEXREPLACE(C20750,""-\d+(.*)|--\d+(.*)"","""")"),"BASSEVELLE")</f>
        <v>BASSEVELLE</v>
      </c>
      <c r="E20750" s="38" t="s">
        <v>244</v>
      </c>
      <c r="F20750" s="38" t="s">
        <v>245</v>
      </c>
      <c r="G20750" s="49" t="str">
        <f t="shared" si="1"/>
        <v>77750</v>
      </c>
      <c r="H20750" s="49">
        <f t="shared" si="2"/>
        <v>77024</v>
      </c>
    </row>
    <row r="20751">
      <c r="A20751" s="48" t="s">
        <v>23832</v>
      </c>
      <c r="B20751" s="38">
        <v>49090.0</v>
      </c>
      <c r="C20751" s="38" t="s">
        <v>25258</v>
      </c>
      <c r="D20751" s="38" t="str">
        <f>IFERROR(__xludf.DUMMYFUNCTION("REGEXREPLACE(C20751,""-\d+(.*)|--\d+(.*)"","""")"),"CHEFFES")</f>
        <v>CHEFFES</v>
      </c>
      <c r="E20751" s="38" t="s">
        <v>653</v>
      </c>
      <c r="F20751" s="38" t="s">
        <v>180</v>
      </c>
      <c r="G20751" s="49" t="str">
        <f t="shared" si="1"/>
        <v>49125</v>
      </c>
      <c r="H20751" s="49">
        <f t="shared" si="2"/>
        <v>49090</v>
      </c>
    </row>
    <row r="20752">
      <c r="A20752" s="48" t="s">
        <v>5101</v>
      </c>
      <c r="B20752" s="38">
        <v>54559.0</v>
      </c>
      <c r="C20752" s="38" t="s">
        <v>25259</v>
      </c>
      <c r="D20752" s="38" t="str">
        <f>IFERROR(__xludf.DUMMYFUNCTION("REGEXREPLACE(C20752,""-\d+(.*)|--\d+(.*)"","""")"),"VELLE-SUR-MOSELLE")</f>
        <v>VELLE-SUR-MOSELLE</v>
      </c>
      <c r="E20752" s="38" t="s">
        <v>548</v>
      </c>
      <c r="F20752" s="38" t="s">
        <v>195</v>
      </c>
      <c r="G20752" s="49" t="str">
        <f t="shared" si="1"/>
        <v>54290</v>
      </c>
      <c r="H20752" s="49">
        <f t="shared" si="2"/>
        <v>54559</v>
      </c>
    </row>
    <row r="20753">
      <c r="A20753" s="48" t="s">
        <v>1040</v>
      </c>
      <c r="B20753" s="38">
        <v>62805.0</v>
      </c>
      <c r="C20753" s="38" t="s">
        <v>25260</v>
      </c>
      <c r="D20753" s="38" t="str">
        <f>IFERROR(__xludf.DUMMYFUNCTION("REGEXREPLACE(C20753,""-\d+(.*)|--\d+(.*)"","""")"),"TANGRY")</f>
        <v>TANGRY</v>
      </c>
      <c r="E20753" s="38" t="s">
        <v>109</v>
      </c>
      <c r="F20753" s="38" t="s">
        <v>86</v>
      </c>
      <c r="G20753" s="49" t="str">
        <f t="shared" si="1"/>
        <v>62550</v>
      </c>
      <c r="H20753" s="49">
        <f t="shared" si="2"/>
        <v>62805</v>
      </c>
    </row>
    <row r="20754">
      <c r="A20754" s="48" t="s">
        <v>3967</v>
      </c>
      <c r="B20754" s="38">
        <v>50477.0</v>
      </c>
      <c r="C20754" s="38" t="s">
        <v>25261</v>
      </c>
      <c r="D20754" s="38" t="str">
        <f>IFERROR(__xludf.DUMMYFUNCTION("REGEXREPLACE(C20754,""-\d+(.*)|--\d+(.*)"","""")"),"SAINT-GERMAIN-DES-VAUX")</f>
        <v>SAINT-GERMAIN-DES-VAUX</v>
      </c>
      <c r="E20754" s="38" t="s">
        <v>157</v>
      </c>
      <c r="F20754" s="38" t="s">
        <v>138</v>
      </c>
      <c r="G20754" s="49" t="str">
        <f t="shared" si="1"/>
        <v>50440</v>
      </c>
      <c r="H20754" s="49">
        <f t="shared" si="2"/>
        <v>50477</v>
      </c>
    </row>
    <row r="20755">
      <c r="A20755" s="48" t="s">
        <v>8779</v>
      </c>
      <c r="B20755" s="38">
        <v>45152.0</v>
      </c>
      <c r="C20755" s="38" t="s">
        <v>25262</v>
      </c>
      <c r="D20755" s="38" t="str">
        <f>IFERROR(__xludf.DUMMYFUNCTION("REGEXREPLACE(C20755,""-\d+(.*)|--\d+(.*)"","""")"),"GEMIGNY")</f>
        <v>GEMIGNY</v>
      </c>
      <c r="E20755" s="38" t="s">
        <v>122</v>
      </c>
      <c r="F20755" s="38" t="s">
        <v>123</v>
      </c>
      <c r="G20755" s="49" t="str">
        <f t="shared" si="1"/>
        <v>45310</v>
      </c>
      <c r="H20755" s="49">
        <f t="shared" si="2"/>
        <v>45152</v>
      </c>
    </row>
    <row r="20756">
      <c r="A20756" s="48" t="s">
        <v>2340</v>
      </c>
      <c r="B20756" s="38">
        <v>21033.0</v>
      </c>
      <c r="C20756" s="38" t="s">
        <v>25263</v>
      </c>
      <c r="D20756" s="38" t="str">
        <f>IFERROR(__xludf.DUMMYFUNCTION("REGEXREPLACE(C20756,""-\d+(.*)|--\d+(.*)"","""")"),"AUBIGNY-LES-SOMBERNON")</f>
        <v>AUBIGNY-LES-SOMBERNON</v>
      </c>
      <c r="E20756" s="38" t="s">
        <v>105</v>
      </c>
      <c r="F20756" s="38" t="s">
        <v>106</v>
      </c>
      <c r="G20756" s="49" t="str">
        <f t="shared" si="1"/>
        <v>21540</v>
      </c>
      <c r="H20756" s="49">
        <f t="shared" si="2"/>
        <v>21033</v>
      </c>
    </row>
    <row r="20757">
      <c r="A20757" s="48" t="s">
        <v>1669</v>
      </c>
      <c r="B20757" s="38">
        <v>21644.0</v>
      </c>
      <c r="C20757" s="38" t="s">
        <v>25264</v>
      </c>
      <c r="D20757" s="38" t="str">
        <f>IFERROR(__xludf.DUMMYFUNCTION("REGEXREPLACE(C20757,""-\d+(.*)|--\d+(.*)"","""")"),"TROCHERES")</f>
        <v>TROCHERES</v>
      </c>
      <c r="E20757" s="38" t="s">
        <v>105</v>
      </c>
      <c r="F20757" s="38" t="s">
        <v>106</v>
      </c>
      <c r="G20757" s="49" t="str">
        <f t="shared" si="1"/>
        <v>21310</v>
      </c>
      <c r="H20757" s="49">
        <f t="shared" si="2"/>
        <v>21644</v>
      </c>
    </row>
    <row r="20758">
      <c r="A20758" s="48" t="s">
        <v>6647</v>
      </c>
      <c r="B20758" s="38">
        <v>58206.0</v>
      </c>
      <c r="C20758" s="38" t="s">
        <v>25265</v>
      </c>
      <c r="D20758" s="38" t="str">
        <f>IFERROR(__xludf.DUMMYFUNCTION("REGEXREPLACE(C20758,""-\d+(.*)|--\d+(.*)"","""")"),"PARIGNY-LA-ROSE")</f>
        <v>PARIGNY-LA-ROSE</v>
      </c>
      <c r="E20758" s="38" t="s">
        <v>219</v>
      </c>
      <c r="F20758" s="38" t="s">
        <v>106</v>
      </c>
      <c r="G20758" s="49" t="str">
        <f t="shared" si="1"/>
        <v>58210</v>
      </c>
      <c r="H20758" s="49">
        <f t="shared" si="2"/>
        <v>58206</v>
      </c>
    </row>
    <row r="20759">
      <c r="A20759" s="48" t="s">
        <v>25266</v>
      </c>
      <c r="B20759" s="38">
        <v>83067.0</v>
      </c>
      <c r="C20759" s="38" t="s">
        <v>25267</v>
      </c>
      <c r="D20759" s="38" t="str">
        <f>IFERROR(__xludf.DUMMYFUNCTION("REGEXREPLACE(C20759,""-\d+(.*)|--\d+(.*)"","""")"),"GONFARON")</f>
        <v>GONFARON</v>
      </c>
      <c r="E20759" s="38" t="s">
        <v>813</v>
      </c>
      <c r="F20759" s="38" t="s">
        <v>228</v>
      </c>
      <c r="G20759" s="49" t="str">
        <f t="shared" si="1"/>
        <v>83590</v>
      </c>
      <c r="H20759" s="49">
        <f t="shared" si="2"/>
        <v>83067</v>
      </c>
    </row>
    <row r="20760">
      <c r="A20760" s="48" t="s">
        <v>25268</v>
      </c>
      <c r="B20760" s="38">
        <v>6050.0</v>
      </c>
      <c r="C20760" s="38" t="s">
        <v>25269</v>
      </c>
      <c r="D20760" s="38" t="str">
        <f>IFERROR(__xludf.DUMMYFUNCTION("REGEXREPLACE(C20760,""-\d+(.*)|--\d+(.*)"","""")"),"COURSEGOULES")</f>
        <v>COURSEGOULES</v>
      </c>
      <c r="E20760" s="38" t="s">
        <v>227</v>
      </c>
      <c r="F20760" s="38" t="s">
        <v>228</v>
      </c>
      <c r="G20760" s="49" t="str">
        <f t="shared" si="1"/>
        <v>06140</v>
      </c>
      <c r="H20760" s="49" t="str">
        <f t="shared" si="2"/>
        <v>06050</v>
      </c>
    </row>
    <row r="20761">
      <c r="A20761" s="48" t="s">
        <v>25270</v>
      </c>
      <c r="B20761" s="38" t="s">
        <v>25271</v>
      </c>
      <c r="C20761" s="38" t="s">
        <v>25272</v>
      </c>
      <c r="D20761" s="38" t="str">
        <f>IFERROR(__xludf.DUMMYFUNCTION("REGEXREPLACE(C20761,""-\d+(.*)|--\d+(.*)"","""")"),"FRASSETO")</f>
        <v>FRASSETO</v>
      </c>
      <c r="E20761" s="38" t="s">
        <v>606</v>
      </c>
      <c r="F20761" s="38" t="s">
        <v>607</v>
      </c>
      <c r="G20761" s="49" t="str">
        <f t="shared" si="1"/>
        <v>20157</v>
      </c>
      <c r="H20761" s="49" t="str">
        <f t="shared" si="2"/>
        <v>2A119</v>
      </c>
    </row>
    <row r="20762">
      <c r="A20762" s="48" t="s">
        <v>19257</v>
      </c>
      <c r="B20762" s="38">
        <v>69284.0</v>
      </c>
      <c r="C20762" s="38" t="s">
        <v>25273</v>
      </c>
      <c r="D20762" s="38" t="str">
        <f>IFERROR(__xludf.DUMMYFUNCTION("REGEXREPLACE(C20762,""-\d+(.*)|--\d+(.*)"","""")"),"MONTANAY")</f>
        <v>MONTANAY</v>
      </c>
      <c r="E20762" s="38" t="s">
        <v>350</v>
      </c>
      <c r="F20762" s="38" t="s">
        <v>102</v>
      </c>
      <c r="G20762" s="49" t="str">
        <f t="shared" si="1"/>
        <v>69250</v>
      </c>
      <c r="H20762" s="49">
        <f t="shared" si="2"/>
        <v>69284</v>
      </c>
    </row>
    <row r="20763">
      <c r="A20763" s="48" t="s">
        <v>413</v>
      </c>
      <c r="B20763" s="38">
        <v>35293.0</v>
      </c>
      <c r="C20763" s="38" t="s">
        <v>25274</v>
      </c>
      <c r="D20763" s="38" t="str">
        <f>IFERROR(__xludf.DUMMYFUNCTION("REGEXREPLACE(C20763,""-\d+(.*)|--\d+(.*)"","""")"),"SAINT-MARC-SUR-COUESNON")</f>
        <v>SAINT-MARC-SUR-COUESNON</v>
      </c>
      <c r="E20763" s="38" t="s">
        <v>347</v>
      </c>
      <c r="F20763" s="38" t="s">
        <v>90</v>
      </c>
      <c r="G20763" s="49" t="str">
        <f t="shared" si="1"/>
        <v>35140</v>
      </c>
      <c r="H20763" s="49">
        <f t="shared" si="2"/>
        <v>35293</v>
      </c>
    </row>
    <row r="20764">
      <c r="A20764" s="48" t="s">
        <v>954</v>
      </c>
      <c r="B20764" s="38">
        <v>70401.0</v>
      </c>
      <c r="C20764" s="38" t="s">
        <v>25275</v>
      </c>
      <c r="D20764" s="38" t="str">
        <f>IFERROR(__xludf.DUMMYFUNCTION("REGEXREPLACE(C20764,""-\d+(.*)|--\d+(.*)"","""")"),"OVANCHES")</f>
        <v>OVANCHES</v>
      </c>
      <c r="E20764" s="38" t="s">
        <v>956</v>
      </c>
      <c r="F20764" s="38" t="s">
        <v>214</v>
      </c>
      <c r="G20764" s="49" t="str">
        <f t="shared" si="1"/>
        <v>70360</v>
      </c>
      <c r="H20764" s="49">
        <f t="shared" si="2"/>
        <v>70401</v>
      </c>
    </row>
    <row r="20765">
      <c r="A20765" s="48" t="s">
        <v>23792</v>
      </c>
      <c r="B20765" s="38">
        <v>3262.0</v>
      </c>
      <c r="C20765" s="38" t="s">
        <v>3057</v>
      </c>
      <c r="D20765" s="38" t="str">
        <f>IFERROR(__xludf.DUMMYFUNCTION("REGEXREPLACE(C20765,""-\d+(.*)|--\d+(.*)"","""")"),"SAINT-VICTOR")</f>
        <v>SAINT-VICTOR</v>
      </c>
      <c r="E20765" s="38" t="s">
        <v>160</v>
      </c>
      <c r="F20765" s="38" t="s">
        <v>161</v>
      </c>
      <c r="G20765" s="49" t="str">
        <f t="shared" si="1"/>
        <v>03410</v>
      </c>
      <c r="H20765" s="49" t="str">
        <f t="shared" si="2"/>
        <v>03262</v>
      </c>
    </row>
    <row r="20766">
      <c r="A20766" s="48" t="s">
        <v>4131</v>
      </c>
      <c r="B20766" s="38">
        <v>27001.0</v>
      </c>
      <c r="C20766" s="38" t="s">
        <v>25276</v>
      </c>
      <c r="D20766" s="38" t="str">
        <f>IFERROR(__xludf.DUMMYFUNCTION("REGEXREPLACE(C20766,""-\d+(.*)|--\d+(.*)"","""")"),"ACLOU")</f>
        <v>ACLOU</v>
      </c>
      <c r="E20766" s="38" t="s">
        <v>241</v>
      </c>
      <c r="F20766" s="38" t="s">
        <v>134</v>
      </c>
      <c r="G20766" s="49" t="str">
        <f t="shared" si="1"/>
        <v>27800</v>
      </c>
      <c r="H20766" s="49">
        <f t="shared" si="2"/>
        <v>27001</v>
      </c>
    </row>
    <row r="20767">
      <c r="A20767" s="48" t="s">
        <v>7265</v>
      </c>
      <c r="B20767" s="38">
        <v>68232.0</v>
      </c>
      <c r="C20767" s="38" t="s">
        <v>25277</v>
      </c>
      <c r="D20767" s="38" t="str">
        <f>IFERROR(__xludf.DUMMYFUNCTION("REGEXREPLACE(C20767,""-\d+(.*)|--\d+(.*)"","""")"),"NEUWILLER")</f>
        <v>NEUWILLER</v>
      </c>
      <c r="E20767" s="38" t="s">
        <v>150</v>
      </c>
      <c r="F20767" s="38" t="s">
        <v>151</v>
      </c>
      <c r="G20767" s="49" t="str">
        <f t="shared" si="1"/>
        <v>68220</v>
      </c>
      <c r="H20767" s="49">
        <f t="shared" si="2"/>
        <v>68232</v>
      </c>
    </row>
    <row r="20768">
      <c r="A20768" s="48" t="s">
        <v>1898</v>
      </c>
      <c r="B20768" s="38">
        <v>31099.0</v>
      </c>
      <c r="C20768" s="38" t="s">
        <v>25278</v>
      </c>
      <c r="D20768" s="38" t="str">
        <f>IFERROR(__xludf.DUMMYFUNCTION("REGEXREPLACE(C20768,""-\d+(.*)|--\d+(.*)"","""")"),"CAIGNAC")</f>
        <v>CAIGNAC</v>
      </c>
      <c r="E20768" s="38" t="s">
        <v>93</v>
      </c>
      <c r="F20768" s="38" t="s">
        <v>94</v>
      </c>
      <c r="G20768" s="49" t="str">
        <f t="shared" si="1"/>
        <v>31560</v>
      </c>
      <c r="H20768" s="49">
        <f t="shared" si="2"/>
        <v>31099</v>
      </c>
    </row>
    <row r="20769">
      <c r="A20769" s="48" t="s">
        <v>4459</v>
      </c>
      <c r="B20769" s="38">
        <v>63227.0</v>
      </c>
      <c r="C20769" s="38" t="s">
        <v>25279</v>
      </c>
      <c r="D20769" s="38" t="str">
        <f>IFERROR(__xludf.DUMMYFUNCTION("REGEXREPLACE(C20769,""-\d+(.*)|--\d+(.*)"","""")"),"MIREFLEURS")</f>
        <v>MIREFLEURS</v>
      </c>
      <c r="E20769" s="38" t="s">
        <v>353</v>
      </c>
      <c r="F20769" s="38" t="s">
        <v>161</v>
      </c>
      <c r="G20769" s="49" t="str">
        <f t="shared" si="1"/>
        <v>63730</v>
      </c>
      <c r="H20769" s="49">
        <f t="shared" si="2"/>
        <v>63227</v>
      </c>
    </row>
    <row r="20770">
      <c r="A20770" s="48" t="s">
        <v>5517</v>
      </c>
      <c r="B20770" s="38">
        <v>69288.0</v>
      </c>
      <c r="C20770" s="38" t="s">
        <v>25280</v>
      </c>
      <c r="D20770" s="38" t="str">
        <f>IFERROR(__xludf.DUMMYFUNCTION("REGEXREPLACE(C20770,""-\d+(.*)|--\d+(.*)"","""")"),"SAINT-LAURENT-DE-MURE")</f>
        <v>SAINT-LAURENT-DE-MURE</v>
      </c>
      <c r="E20770" s="38" t="s">
        <v>350</v>
      </c>
      <c r="F20770" s="38" t="s">
        <v>102</v>
      </c>
      <c r="G20770" s="49" t="str">
        <f t="shared" si="1"/>
        <v>69720</v>
      </c>
      <c r="H20770" s="49">
        <f t="shared" si="2"/>
        <v>69288</v>
      </c>
    </row>
    <row r="20771">
      <c r="A20771" s="48" t="s">
        <v>4274</v>
      </c>
      <c r="B20771" s="38">
        <v>52483.0</v>
      </c>
      <c r="C20771" s="38" t="s">
        <v>25281</v>
      </c>
      <c r="D20771" s="38" t="str">
        <f>IFERROR(__xludf.DUMMYFUNCTION("REGEXREPLACE(C20771,""-\d+(.*)|--\d+(.*)"","""")"),"SOYERS")</f>
        <v>SOYERS</v>
      </c>
      <c r="E20771" s="38" t="s">
        <v>234</v>
      </c>
      <c r="F20771" s="38" t="s">
        <v>130</v>
      </c>
      <c r="G20771" s="49" t="str">
        <f t="shared" si="1"/>
        <v>52400</v>
      </c>
      <c r="H20771" s="49">
        <f t="shared" si="2"/>
        <v>52483</v>
      </c>
    </row>
    <row r="20772">
      <c r="A20772" s="48" t="s">
        <v>458</v>
      </c>
      <c r="B20772" s="38">
        <v>34195.0</v>
      </c>
      <c r="C20772" s="38" t="s">
        <v>25282</v>
      </c>
      <c r="D20772" s="38" t="str">
        <f>IFERROR(__xludf.DUMMYFUNCTION("REGEXREPLACE(C20772,""-\d+(.*)|--\d+(.*)"","""")"),"PEGAIROLLES-DE-BUEGES")</f>
        <v>PEGAIROLLES-DE-BUEGES</v>
      </c>
      <c r="E20772" s="38" t="s">
        <v>118</v>
      </c>
      <c r="F20772" s="38" t="s">
        <v>119</v>
      </c>
      <c r="G20772" s="49" t="str">
        <f t="shared" si="1"/>
        <v>34380</v>
      </c>
      <c r="H20772" s="49">
        <f t="shared" si="2"/>
        <v>34195</v>
      </c>
    </row>
    <row r="20773">
      <c r="A20773" s="48" t="s">
        <v>9975</v>
      </c>
      <c r="B20773" s="38">
        <v>41195.0</v>
      </c>
      <c r="C20773" s="38" t="s">
        <v>25283</v>
      </c>
      <c r="D20773" s="38" t="str">
        <f>IFERROR(__xludf.DUMMYFUNCTION("REGEXREPLACE(C20773,""-\d+(.*)|--\d+(.*)"","""")"),"ROUGEOU")</f>
        <v>ROUGEOU</v>
      </c>
      <c r="E20773" s="38" t="s">
        <v>188</v>
      </c>
      <c r="F20773" s="38" t="s">
        <v>123</v>
      </c>
      <c r="G20773" s="49" t="str">
        <f t="shared" si="1"/>
        <v>41230</v>
      </c>
      <c r="H20773" s="49">
        <f t="shared" si="2"/>
        <v>41195</v>
      </c>
    </row>
    <row r="20774">
      <c r="A20774" s="48" t="s">
        <v>25284</v>
      </c>
      <c r="B20774" s="38">
        <v>10420.0</v>
      </c>
      <c r="C20774" s="38" t="s">
        <v>25285</v>
      </c>
      <c r="D20774" s="38" t="str">
        <f>IFERROR(__xludf.DUMMYFUNCTION("REGEXREPLACE(C20774,""-\d+(.*)|--\d+(.*)"","""")"),"VILLENAUXE-LA-GRANDE")</f>
        <v>VILLENAUXE-LA-GRANDE</v>
      </c>
      <c r="E20774" s="38" t="s">
        <v>147</v>
      </c>
      <c r="F20774" s="38" t="s">
        <v>130</v>
      </c>
      <c r="G20774" s="49" t="str">
        <f t="shared" si="1"/>
        <v>10370</v>
      </c>
      <c r="H20774" s="49">
        <f t="shared" si="2"/>
        <v>10420</v>
      </c>
    </row>
    <row r="20775">
      <c r="A20775" s="48" t="s">
        <v>19664</v>
      </c>
      <c r="B20775" s="38">
        <v>57114.0</v>
      </c>
      <c r="C20775" s="38" t="s">
        <v>25286</v>
      </c>
      <c r="D20775" s="38" t="str">
        <f>IFERROR(__xludf.DUMMYFUNCTION("REGEXREPLACE(C20775,""-\d+(.*)|--\d+(.*)"","""")"),"BROUVILLER")</f>
        <v>BROUVILLER</v>
      </c>
      <c r="E20775" s="38" t="s">
        <v>303</v>
      </c>
      <c r="F20775" s="38" t="s">
        <v>195</v>
      </c>
      <c r="G20775" s="49" t="str">
        <f t="shared" si="1"/>
        <v>57635</v>
      </c>
      <c r="H20775" s="49">
        <f t="shared" si="2"/>
        <v>57114</v>
      </c>
    </row>
    <row r="20776">
      <c r="A20776" s="48" t="s">
        <v>16584</v>
      </c>
      <c r="B20776" s="38">
        <v>91376.0</v>
      </c>
      <c r="C20776" s="38" t="s">
        <v>25287</v>
      </c>
      <c r="D20776" s="38" t="str">
        <f>IFERROR(__xludf.DUMMYFUNCTION("REGEXREPLACE(C20776,""-\d+(.*)|--\d+(.*)"","""")"),"MAROLLES-EN-HUREPOIX")</f>
        <v>MAROLLES-EN-HUREPOIX</v>
      </c>
      <c r="E20776" s="38" t="s">
        <v>756</v>
      </c>
      <c r="F20776" s="38" t="s">
        <v>245</v>
      </c>
      <c r="G20776" s="49" t="str">
        <f t="shared" si="1"/>
        <v>91630</v>
      </c>
      <c r="H20776" s="49">
        <f t="shared" si="2"/>
        <v>91376</v>
      </c>
    </row>
    <row r="20777">
      <c r="A20777" s="48" t="s">
        <v>595</v>
      </c>
      <c r="B20777" s="38">
        <v>29078.0</v>
      </c>
      <c r="C20777" s="38" t="s">
        <v>25288</v>
      </c>
      <c r="D20777" s="38" t="str">
        <f>IFERROR(__xludf.DUMMYFUNCTION("REGEXREPLACE(C20777,""-\d+(.*)|--\d+(.*)"","""")"),"HANVEC")</f>
        <v>HANVEC</v>
      </c>
      <c r="E20777" s="38" t="s">
        <v>176</v>
      </c>
      <c r="F20777" s="38" t="s">
        <v>90</v>
      </c>
      <c r="G20777" s="49" t="str">
        <f t="shared" si="1"/>
        <v>29460</v>
      </c>
      <c r="H20777" s="49">
        <f t="shared" si="2"/>
        <v>29078</v>
      </c>
    </row>
    <row r="20778">
      <c r="A20778" s="48" t="s">
        <v>5950</v>
      </c>
      <c r="B20778" s="38">
        <v>53033.0</v>
      </c>
      <c r="C20778" s="38" t="s">
        <v>17711</v>
      </c>
      <c r="D20778" s="38" t="str">
        <f>IFERROR(__xludf.DUMMYFUNCTION("REGEXREPLACE(C20778,""-\d+(.*)|--\d+(.*)"","""")"),"LA BOISSIERE")</f>
        <v>LA BOISSIERE</v>
      </c>
      <c r="E20778" s="38" t="s">
        <v>518</v>
      </c>
      <c r="F20778" s="38" t="s">
        <v>180</v>
      </c>
      <c r="G20778" s="49" t="str">
        <f t="shared" si="1"/>
        <v>53800</v>
      </c>
      <c r="H20778" s="49">
        <f t="shared" si="2"/>
        <v>53033</v>
      </c>
    </row>
    <row r="20779">
      <c r="A20779" s="48" t="s">
        <v>3287</v>
      </c>
      <c r="B20779" s="38">
        <v>1406.0</v>
      </c>
      <c r="C20779" s="38" t="s">
        <v>25289</v>
      </c>
      <c r="D20779" s="38" t="str">
        <f>IFERROR(__xludf.DUMMYFUNCTION("REGEXREPLACE(C20779,""-\d+(.*)|--\d+(.*)"","""")"),"SERVIGNAT")</f>
        <v>SERVIGNAT</v>
      </c>
      <c r="E20779" s="38" t="s">
        <v>255</v>
      </c>
      <c r="F20779" s="38" t="s">
        <v>102</v>
      </c>
      <c r="G20779" s="49" t="str">
        <f t="shared" si="1"/>
        <v>01560</v>
      </c>
      <c r="H20779" s="49" t="str">
        <f t="shared" si="2"/>
        <v>01406</v>
      </c>
    </row>
    <row r="20780">
      <c r="A20780" s="48" t="s">
        <v>6628</v>
      </c>
      <c r="B20780" s="38">
        <v>1378.0</v>
      </c>
      <c r="C20780" s="38" t="s">
        <v>25290</v>
      </c>
      <c r="D20780" s="38" t="str">
        <f>IFERROR(__xludf.DUMMYFUNCTION("REGEXREPLACE(C20780,""-\d+(.*)|--\d+(.*)"","""")"),"SAINT-MAURICE-DE-GOURDANS")</f>
        <v>SAINT-MAURICE-DE-GOURDANS</v>
      </c>
      <c r="E20780" s="38" t="s">
        <v>255</v>
      </c>
      <c r="F20780" s="38" t="s">
        <v>102</v>
      </c>
      <c r="G20780" s="49" t="str">
        <f t="shared" si="1"/>
        <v>01800</v>
      </c>
      <c r="H20780" s="49" t="str">
        <f t="shared" si="2"/>
        <v>01378</v>
      </c>
    </row>
    <row r="20781">
      <c r="A20781" s="48" t="s">
        <v>4543</v>
      </c>
      <c r="B20781" s="38">
        <v>64441.0</v>
      </c>
      <c r="C20781" s="38" t="s">
        <v>25291</v>
      </c>
      <c r="D20781" s="38" t="str">
        <f>IFERROR(__xludf.DUMMYFUNCTION("REGEXREPLACE(C20781,""-\d+(.*)|--\d+(.*)"","""")"),"PAGOLLE")</f>
        <v>PAGOLLE</v>
      </c>
      <c r="E20781" s="38" t="s">
        <v>268</v>
      </c>
      <c r="F20781" s="38" t="s">
        <v>252</v>
      </c>
      <c r="G20781" s="49" t="str">
        <f t="shared" si="1"/>
        <v>64120</v>
      </c>
      <c r="H20781" s="49">
        <f t="shared" si="2"/>
        <v>64441</v>
      </c>
    </row>
    <row r="20782">
      <c r="A20782" s="48" t="s">
        <v>1274</v>
      </c>
      <c r="B20782" s="38">
        <v>33453.0</v>
      </c>
      <c r="C20782" s="38" t="s">
        <v>25292</v>
      </c>
      <c r="D20782" s="38" t="str">
        <f>IFERROR(__xludf.DUMMYFUNCTION("REGEXREPLACE(C20782,""-\d+(.*)|--\d+(.*)"","""")"),"SAINT-MICHEL-DE-LAPUJADE")</f>
        <v>SAINT-MICHEL-DE-LAPUJADE</v>
      </c>
      <c r="E20782" s="38" t="s">
        <v>462</v>
      </c>
      <c r="F20782" s="38" t="s">
        <v>252</v>
      </c>
      <c r="G20782" s="49" t="str">
        <f t="shared" si="1"/>
        <v>33190</v>
      </c>
      <c r="H20782" s="49">
        <f t="shared" si="2"/>
        <v>33453</v>
      </c>
    </row>
    <row r="20783">
      <c r="A20783" s="48" t="s">
        <v>15316</v>
      </c>
      <c r="B20783" s="38">
        <v>66121.0</v>
      </c>
      <c r="C20783" s="38" t="s">
        <v>25293</v>
      </c>
      <c r="D20783" s="38" t="str">
        <f>IFERROR(__xludf.DUMMYFUNCTION("REGEXREPLACE(C20783,""-\d+(.*)|--\d+(.*)"","""")"),"NEFIACH")</f>
        <v>NEFIACH</v>
      </c>
      <c r="E20783" s="38" t="s">
        <v>248</v>
      </c>
      <c r="F20783" s="38" t="s">
        <v>119</v>
      </c>
      <c r="G20783" s="49" t="str">
        <f t="shared" si="1"/>
        <v>66170</v>
      </c>
      <c r="H20783" s="49">
        <f t="shared" si="2"/>
        <v>66121</v>
      </c>
    </row>
    <row r="20784">
      <c r="A20784" s="48" t="s">
        <v>19930</v>
      </c>
      <c r="B20784" s="38">
        <v>76513.0</v>
      </c>
      <c r="C20784" s="38" t="s">
        <v>25294</v>
      </c>
      <c r="D20784" s="38" t="str">
        <f>IFERROR(__xludf.DUMMYFUNCTION("REGEXREPLACE(C20784,""-\d+(.*)|--\d+(.*)"","""")"),"QUEVILLON")</f>
        <v>QUEVILLON</v>
      </c>
      <c r="E20784" s="38" t="s">
        <v>133</v>
      </c>
      <c r="F20784" s="38" t="s">
        <v>134</v>
      </c>
      <c r="G20784" s="49" t="str">
        <f t="shared" si="1"/>
        <v>76840</v>
      </c>
      <c r="H20784" s="49">
        <f t="shared" si="2"/>
        <v>76513</v>
      </c>
    </row>
    <row r="20785">
      <c r="A20785" s="48" t="s">
        <v>7804</v>
      </c>
      <c r="B20785" s="38">
        <v>51516.0</v>
      </c>
      <c r="C20785" s="38" t="s">
        <v>1113</v>
      </c>
      <c r="D20785" s="38" t="str">
        <f>IFERROR(__xludf.DUMMYFUNCTION("REGEXREPLACE(C20785,""-\d+(.*)|--\d+(.*)"","""")"),"SAINT-SATURNIN")</f>
        <v>SAINT-SATURNIN</v>
      </c>
      <c r="E20785" s="38" t="s">
        <v>129</v>
      </c>
      <c r="F20785" s="38" t="s">
        <v>130</v>
      </c>
      <c r="G20785" s="49" t="str">
        <f t="shared" si="1"/>
        <v>51260</v>
      </c>
      <c r="H20785" s="49">
        <f t="shared" si="2"/>
        <v>51516</v>
      </c>
    </row>
    <row r="20786">
      <c r="A20786" s="48" t="s">
        <v>1641</v>
      </c>
      <c r="B20786" s="38">
        <v>18164.0</v>
      </c>
      <c r="C20786" s="38" t="s">
        <v>25295</v>
      </c>
      <c r="D20786" s="38" t="str">
        <f>IFERROR(__xludf.DUMMYFUNCTION("REGEXREPLACE(C20786,""-\d+(.*)|--\d+(.*)"","""")"),"NEUVY-LE-BARROIS")</f>
        <v>NEUVY-LE-BARROIS</v>
      </c>
      <c r="E20786" s="38" t="s">
        <v>504</v>
      </c>
      <c r="F20786" s="38" t="s">
        <v>123</v>
      </c>
      <c r="G20786" s="49" t="str">
        <f t="shared" si="1"/>
        <v>18600</v>
      </c>
      <c r="H20786" s="49">
        <f t="shared" si="2"/>
        <v>18164</v>
      </c>
    </row>
    <row r="20787">
      <c r="A20787" s="48" t="s">
        <v>12639</v>
      </c>
      <c r="B20787" s="38">
        <v>81080.0</v>
      </c>
      <c r="C20787" s="38" t="s">
        <v>25296</v>
      </c>
      <c r="D20787" s="38" t="str">
        <f>IFERROR(__xludf.DUMMYFUNCTION("REGEXREPLACE(C20787,""-\d+(.*)|--\d+(.*)"","""")"),"DONNAZAC")</f>
        <v>DONNAZAC</v>
      </c>
      <c r="E20787" s="38" t="s">
        <v>231</v>
      </c>
      <c r="F20787" s="38" t="s">
        <v>94</v>
      </c>
      <c r="G20787" s="49" t="str">
        <f t="shared" si="1"/>
        <v>81170</v>
      </c>
      <c r="H20787" s="49">
        <f t="shared" si="2"/>
        <v>81080</v>
      </c>
    </row>
    <row r="20788">
      <c r="A20788" s="48" t="s">
        <v>3080</v>
      </c>
      <c r="B20788" s="38">
        <v>71399.0</v>
      </c>
      <c r="C20788" s="38" t="s">
        <v>25297</v>
      </c>
      <c r="D20788" s="38" t="str">
        <f>IFERROR(__xludf.DUMMYFUNCTION("REGEXREPLACE(C20788,""-\d+(.*)|--\d+(.*)"","""")"),"SAINT-CHRISTOPHE-EN-BRIONNAIS")</f>
        <v>SAINT-CHRISTOPHE-EN-BRIONNAIS</v>
      </c>
      <c r="E20788" s="38" t="s">
        <v>344</v>
      </c>
      <c r="F20788" s="38" t="s">
        <v>106</v>
      </c>
      <c r="G20788" s="49" t="str">
        <f t="shared" si="1"/>
        <v>71800</v>
      </c>
      <c r="H20788" s="49">
        <f t="shared" si="2"/>
        <v>71399</v>
      </c>
    </row>
    <row r="20789">
      <c r="A20789" s="48" t="s">
        <v>12166</v>
      </c>
      <c r="B20789" s="38">
        <v>22219.0</v>
      </c>
      <c r="C20789" s="38" t="s">
        <v>25298</v>
      </c>
      <c r="D20789" s="38" t="str">
        <f>IFERROR(__xludf.DUMMYFUNCTION("REGEXREPLACE(C20789,""-\d+(.*)|--\d+(.*)"","""")"),"PLOUGUENAST")</f>
        <v>PLOUGUENAST</v>
      </c>
      <c r="E20789" s="38" t="s">
        <v>89</v>
      </c>
      <c r="F20789" s="38" t="s">
        <v>90</v>
      </c>
      <c r="G20789" s="49" t="str">
        <f t="shared" si="1"/>
        <v>22150</v>
      </c>
      <c r="H20789" s="49">
        <f t="shared" si="2"/>
        <v>22219</v>
      </c>
    </row>
    <row r="20790">
      <c r="A20790" s="48" t="s">
        <v>5030</v>
      </c>
      <c r="B20790" s="38">
        <v>65238.0</v>
      </c>
      <c r="C20790" s="38" t="s">
        <v>25299</v>
      </c>
      <c r="D20790" s="38" t="str">
        <f>IFERROR(__xludf.DUMMYFUNCTION("REGEXREPLACE(C20790,""-\d+(.*)|--\d+(.*)"","""")"),"LABASSERE")</f>
        <v>LABASSERE</v>
      </c>
      <c r="E20790" s="38" t="s">
        <v>200</v>
      </c>
      <c r="F20790" s="38" t="s">
        <v>94</v>
      </c>
      <c r="G20790" s="49" t="str">
        <f t="shared" si="1"/>
        <v>65200</v>
      </c>
      <c r="H20790" s="49">
        <f t="shared" si="2"/>
        <v>65238</v>
      </c>
    </row>
    <row r="20791">
      <c r="A20791" s="48" t="s">
        <v>6338</v>
      </c>
      <c r="B20791" s="38">
        <v>79064.0</v>
      </c>
      <c r="C20791" s="38" t="s">
        <v>25300</v>
      </c>
      <c r="D20791" s="38" t="str">
        <f>IFERROR(__xludf.DUMMYFUNCTION("REGEXREPLACE(C20791,""-\d+(.*)|--\d+(.*)"","""")"),"CHAIL")</f>
        <v>CHAIL</v>
      </c>
      <c r="E20791" s="38" t="s">
        <v>337</v>
      </c>
      <c r="F20791" s="38" t="s">
        <v>338</v>
      </c>
      <c r="G20791" s="49" t="str">
        <f t="shared" si="1"/>
        <v>79500</v>
      </c>
      <c r="H20791" s="49">
        <f t="shared" si="2"/>
        <v>79064</v>
      </c>
    </row>
    <row r="20792">
      <c r="A20792" s="48" t="s">
        <v>1827</v>
      </c>
      <c r="B20792" s="38">
        <v>77097.0</v>
      </c>
      <c r="C20792" s="38" t="s">
        <v>25301</v>
      </c>
      <c r="D20792" s="38" t="str">
        <f>IFERROR(__xludf.DUMMYFUNCTION("REGEXREPLACE(C20792,""-\d+(.*)|--\d+(.*)"","""")"),"CHARTRONGES")</f>
        <v>CHARTRONGES</v>
      </c>
      <c r="E20792" s="38" t="s">
        <v>244</v>
      </c>
      <c r="F20792" s="38" t="s">
        <v>245</v>
      </c>
      <c r="G20792" s="49" t="str">
        <f t="shared" si="1"/>
        <v>77320</v>
      </c>
      <c r="H20792" s="49">
        <f t="shared" si="2"/>
        <v>77097</v>
      </c>
    </row>
    <row r="20793">
      <c r="A20793" s="48" t="s">
        <v>4973</v>
      </c>
      <c r="B20793" s="38">
        <v>58077.0</v>
      </c>
      <c r="C20793" s="38" t="s">
        <v>25302</v>
      </c>
      <c r="D20793" s="38" t="str">
        <f>IFERROR(__xludf.DUMMYFUNCTION("REGEXREPLACE(C20793,""-\d+(.*)|--\d+(.*)"","""")"),"CIEZ")</f>
        <v>CIEZ</v>
      </c>
      <c r="E20793" s="38" t="s">
        <v>219</v>
      </c>
      <c r="F20793" s="38" t="s">
        <v>106</v>
      </c>
      <c r="G20793" s="49" t="str">
        <f t="shared" si="1"/>
        <v>58220</v>
      </c>
      <c r="H20793" s="49">
        <f t="shared" si="2"/>
        <v>58077</v>
      </c>
    </row>
    <row r="20794">
      <c r="A20794" s="48" t="s">
        <v>3184</v>
      </c>
      <c r="B20794" s="38">
        <v>36030.0</v>
      </c>
      <c r="C20794" s="38" t="s">
        <v>25303</v>
      </c>
      <c r="D20794" s="38" t="str">
        <f>IFERROR(__xludf.DUMMYFUNCTION("REGEXREPLACE(C20794,""-\d+(.*)|--\d+(.*)"","""")"),"BUXIERES-D'AILLAC")</f>
        <v>BUXIERES-D'AILLAC</v>
      </c>
      <c r="E20794" s="38" t="s">
        <v>258</v>
      </c>
      <c r="F20794" s="38" t="s">
        <v>123</v>
      </c>
      <c r="G20794" s="49" t="str">
        <f t="shared" si="1"/>
        <v>36230</v>
      </c>
      <c r="H20794" s="49">
        <f t="shared" si="2"/>
        <v>36030</v>
      </c>
    </row>
    <row r="20795">
      <c r="A20795" s="48" t="s">
        <v>964</v>
      </c>
      <c r="B20795" s="38">
        <v>71444.0</v>
      </c>
      <c r="C20795" s="38" t="s">
        <v>25304</v>
      </c>
      <c r="D20795" s="38" t="str">
        <f>IFERROR(__xludf.DUMMYFUNCTION("REGEXREPLACE(C20795,""-\d+(.*)|--\d+(.*)"","""")"),"SAINT-LOUP-DE-VARENNES")</f>
        <v>SAINT-LOUP-DE-VARENNES</v>
      </c>
      <c r="E20795" s="38" t="s">
        <v>344</v>
      </c>
      <c r="F20795" s="38" t="s">
        <v>106</v>
      </c>
      <c r="G20795" s="49" t="str">
        <f t="shared" si="1"/>
        <v>71240</v>
      </c>
      <c r="H20795" s="49">
        <f t="shared" si="2"/>
        <v>71444</v>
      </c>
    </row>
    <row r="20796">
      <c r="A20796" s="48" t="s">
        <v>25305</v>
      </c>
      <c r="B20796" s="38">
        <v>60675.0</v>
      </c>
      <c r="C20796" s="38" t="s">
        <v>25306</v>
      </c>
      <c r="D20796" s="38" t="str">
        <f>IFERROR(__xludf.DUMMYFUNCTION("REGEXREPLACE(C20796,""-\d+(.*)|--\d+(.*)"","""")"),"VIGNEMONT")</f>
        <v>VIGNEMONT</v>
      </c>
      <c r="E20796" s="38" t="s">
        <v>112</v>
      </c>
      <c r="F20796" s="38" t="s">
        <v>113</v>
      </c>
      <c r="G20796" s="49" t="str">
        <f t="shared" si="1"/>
        <v>60162</v>
      </c>
      <c r="H20796" s="49">
        <f t="shared" si="2"/>
        <v>60675</v>
      </c>
    </row>
    <row r="20797">
      <c r="A20797" s="48" t="s">
        <v>3022</v>
      </c>
      <c r="B20797" s="38">
        <v>14099.0</v>
      </c>
      <c r="C20797" s="38" t="s">
        <v>25307</v>
      </c>
      <c r="D20797" s="38" t="str">
        <f>IFERROR(__xludf.DUMMYFUNCTION("REGEXREPLACE(C20797,""-\d+(.*)|--\d+(.*)"","""")"),"BRETTEVILLE-SUR-DIVES")</f>
        <v>BRETTEVILLE-SUR-DIVES</v>
      </c>
      <c r="E20797" s="38" t="s">
        <v>137</v>
      </c>
      <c r="F20797" s="38" t="s">
        <v>138</v>
      </c>
      <c r="G20797" s="49" t="str">
        <f t="shared" si="1"/>
        <v>14170</v>
      </c>
      <c r="H20797" s="49">
        <f t="shared" si="2"/>
        <v>14099</v>
      </c>
    </row>
    <row r="20798">
      <c r="A20798" s="48" t="s">
        <v>4521</v>
      </c>
      <c r="B20798" s="38">
        <v>5044.0</v>
      </c>
      <c r="C20798" s="38" t="s">
        <v>25308</v>
      </c>
      <c r="D20798" s="38" t="str">
        <f>IFERROR(__xludf.DUMMYFUNCTION("REGEXREPLACE(C20798,""-\d+(.*)|--\d+(.*)"","""")"),"CREVOUX")</f>
        <v>CREVOUX</v>
      </c>
      <c r="E20798" s="38" t="s">
        <v>706</v>
      </c>
      <c r="F20798" s="38" t="s">
        <v>228</v>
      </c>
      <c r="G20798" s="49" t="str">
        <f t="shared" si="1"/>
        <v>05200</v>
      </c>
      <c r="H20798" s="49" t="str">
        <f t="shared" si="2"/>
        <v>05044</v>
      </c>
    </row>
    <row r="20799">
      <c r="A20799" s="48" t="s">
        <v>8111</v>
      </c>
      <c r="B20799" s="38">
        <v>40193.0</v>
      </c>
      <c r="C20799" s="38" t="s">
        <v>16049</v>
      </c>
      <c r="D20799" s="38" t="str">
        <f>IFERROR(__xludf.DUMMYFUNCTION("REGEXREPLACE(C20799,""-\d+(.*)|--\d+(.*)"","""")"),"MONTEGUT")</f>
        <v>MONTEGUT</v>
      </c>
      <c r="E20799" s="38" t="s">
        <v>281</v>
      </c>
      <c r="F20799" s="38" t="s">
        <v>252</v>
      </c>
      <c r="G20799" s="49" t="str">
        <f t="shared" si="1"/>
        <v>40190</v>
      </c>
      <c r="H20799" s="49">
        <f t="shared" si="2"/>
        <v>40193</v>
      </c>
    </row>
    <row r="20800">
      <c r="A20800" s="48" t="s">
        <v>25309</v>
      </c>
      <c r="B20800" s="38">
        <v>56164.0</v>
      </c>
      <c r="C20800" s="38" t="s">
        <v>25310</v>
      </c>
      <c r="D20800" s="38" t="str">
        <f>IFERROR(__xludf.DUMMYFUNCTION("REGEXREPLACE(C20800,""-\d+(.*)|--\d+(.*)"","""")"),"PLOEREN")</f>
        <v>PLOEREN</v>
      </c>
      <c r="E20800" s="38" t="s">
        <v>173</v>
      </c>
      <c r="F20800" s="38" t="s">
        <v>90</v>
      </c>
      <c r="G20800" s="49" t="str">
        <f t="shared" si="1"/>
        <v>56880</v>
      </c>
      <c r="H20800" s="49">
        <f t="shared" si="2"/>
        <v>56164</v>
      </c>
    </row>
    <row r="20801">
      <c r="A20801" s="48" t="s">
        <v>1060</v>
      </c>
      <c r="B20801" s="38">
        <v>57730.0</v>
      </c>
      <c r="C20801" s="38" t="s">
        <v>25311</v>
      </c>
      <c r="D20801" s="38" t="str">
        <f>IFERROR(__xludf.DUMMYFUNCTION("REGEXREPLACE(C20801,""-\d+(.*)|--\d+(.*)"","""")"),"VOLMERANGE-LES-BOULAY")</f>
        <v>VOLMERANGE-LES-BOULAY</v>
      </c>
      <c r="E20801" s="38" t="s">
        <v>303</v>
      </c>
      <c r="F20801" s="38" t="s">
        <v>195</v>
      </c>
      <c r="G20801" s="49" t="str">
        <f t="shared" si="1"/>
        <v>57220</v>
      </c>
      <c r="H20801" s="49">
        <f t="shared" si="2"/>
        <v>57730</v>
      </c>
    </row>
    <row r="20802">
      <c r="A20802" s="48" t="s">
        <v>4173</v>
      </c>
      <c r="B20802" s="38">
        <v>25250.0</v>
      </c>
      <c r="C20802" s="38" t="s">
        <v>25312</v>
      </c>
      <c r="D20802" s="38" t="str">
        <f>IFERROR(__xludf.DUMMYFUNCTION("REGEXREPLACE(C20802,""-\d+(.*)|--\d+(.*)"","""")"),"FOUCHERANS")</f>
        <v>FOUCHERANS</v>
      </c>
      <c r="E20802" s="38" t="s">
        <v>213</v>
      </c>
      <c r="F20802" s="38" t="s">
        <v>214</v>
      </c>
      <c r="G20802" s="49" t="str">
        <f t="shared" si="1"/>
        <v>25620</v>
      </c>
      <c r="H20802" s="49">
        <f t="shared" si="2"/>
        <v>25250</v>
      </c>
    </row>
    <row r="20803">
      <c r="A20803" s="48" t="s">
        <v>10177</v>
      </c>
      <c r="B20803" s="38">
        <v>80087.0</v>
      </c>
      <c r="C20803" s="38" t="s">
        <v>25313</v>
      </c>
      <c r="D20803" s="38" t="str">
        <f>IFERROR(__xludf.DUMMYFUNCTION("REGEXREPLACE(C20803,""-\d+(.*)|--\d+(.*)"","""")"),"BERNAY-EN-PONTHIEU")</f>
        <v>BERNAY-EN-PONTHIEU</v>
      </c>
      <c r="E20803" s="38" t="s">
        <v>224</v>
      </c>
      <c r="F20803" s="38" t="s">
        <v>113</v>
      </c>
      <c r="G20803" s="49" t="str">
        <f t="shared" si="1"/>
        <v>80120</v>
      </c>
      <c r="H20803" s="49">
        <f t="shared" si="2"/>
        <v>80087</v>
      </c>
    </row>
    <row r="20804">
      <c r="A20804" s="48" t="s">
        <v>3125</v>
      </c>
      <c r="B20804" s="38">
        <v>12021.0</v>
      </c>
      <c r="C20804" s="38" t="s">
        <v>25314</v>
      </c>
      <c r="D20804" s="38" t="str">
        <f>IFERROR(__xludf.DUMMYFUNCTION("REGEXREPLACE(C20804,""-\d+(.*)|--\d+(.*)"","""")"),"LA BASTIDE-L'EVEQUE")</f>
        <v>LA BASTIDE-L'EVEQUE</v>
      </c>
      <c r="E20804" s="38" t="s">
        <v>465</v>
      </c>
      <c r="F20804" s="38" t="s">
        <v>94</v>
      </c>
      <c r="G20804" s="49" t="str">
        <f t="shared" si="1"/>
        <v>12200</v>
      </c>
      <c r="H20804" s="49">
        <f t="shared" si="2"/>
        <v>12021</v>
      </c>
    </row>
    <row r="20805">
      <c r="A20805" s="48" t="s">
        <v>6651</v>
      </c>
      <c r="B20805" s="38">
        <v>31558.0</v>
      </c>
      <c r="C20805" s="38" t="s">
        <v>25315</v>
      </c>
      <c r="D20805" s="38" t="str">
        <f>IFERROR(__xludf.DUMMYFUNCTION("REGEXREPLACE(C20805,""-\d+(.*)|--\d+(.*)"","""")"),"TOUTENS")</f>
        <v>TOUTENS</v>
      </c>
      <c r="E20805" s="38" t="s">
        <v>93</v>
      </c>
      <c r="F20805" s="38" t="s">
        <v>94</v>
      </c>
      <c r="G20805" s="49" t="str">
        <f t="shared" si="1"/>
        <v>31460</v>
      </c>
      <c r="H20805" s="49">
        <f t="shared" si="2"/>
        <v>31558</v>
      </c>
    </row>
    <row r="20806">
      <c r="A20806" s="48" t="s">
        <v>384</v>
      </c>
      <c r="B20806" s="38">
        <v>55079.0</v>
      </c>
      <c r="C20806" s="38" t="s">
        <v>25316</v>
      </c>
      <c r="D20806" s="38" t="str">
        <f>IFERROR(__xludf.DUMMYFUNCTION("REGEXREPLACE(C20806,""-\d+(.*)|--\d+(.*)"","""")"),"BRILLON-EN-BARROIS")</f>
        <v>BRILLON-EN-BARROIS</v>
      </c>
      <c r="E20806" s="38" t="s">
        <v>322</v>
      </c>
      <c r="F20806" s="38" t="s">
        <v>195</v>
      </c>
      <c r="G20806" s="49" t="str">
        <f t="shared" si="1"/>
        <v>55000</v>
      </c>
      <c r="H20806" s="49">
        <f t="shared" si="2"/>
        <v>55079</v>
      </c>
    </row>
    <row r="20807">
      <c r="A20807" s="48" t="s">
        <v>1542</v>
      </c>
      <c r="B20807" s="38">
        <v>24015.0</v>
      </c>
      <c r="C20807" s="38" t="s">
        <v>25317</v>
      </c>
      <c r="D20807" s="38" t="str">
        <f>IFERROR(__xludf.DUMMYFUNCTION("REGEXREPLACE(C20807,""-\d+(.*)|--\d+(.*)"","""")"),"AUDRIX")</f>
        <v>AUDRIX</v>
      </c>
      <c r="E20807" s="38" t="s">
        <v>261</v>
      </c>
      <c r="F20807" s="38" t="s">
        <v>252</v>
      </c>
      <c r="G20807" s="49" t="str">
        <f t="shared" si="1"/>
        <v>24260</v>
      </c>
      <c r="H20807" s="49">
        <f t="shared" si="2"/>
        <v>24015</v>
      </c>
    </row>
    <row r="20808">
      <c r="A20808" s="48" t="s">
        <v>7140</v>
      </c>
      <c r="B20808" s="38">
        <v>3307.0</v>
      </c>
      <c r="C20808" s="38" t="s">
        <v>25318</v>
      </c>
      <c r="D20808" s="38" t="str">
        <f>IFERROR(__xludf.DUMMYFUNCTION("REGEXREPLACE(C20808,""-\d+(.*)|--\d+(.*)"","""")"),"VERNEUIL-EN-BOURBONNAIS")</f>
        <v>VERNEUIL-EN-BOURBONNAIS</v>
      </c>
      <c r="E20808" s="38" t="s">
        <v>160</v>
      </c>
      <c r="F20808" s="38" t="s">
        <v>161</v>
      </c>
      <c r="G20808" s="49" t="str">
        <f t="shared" si="1"/>
        <v>03500</v>
      </c>
      <c r="H20808" s="49" t="str">
        <f t="shared" si="2"/>
        <v>03307</v>
      </c>
    </row>
    <row r="20809">
      <c r="A20809" s="48" t="s">
        <v>2955</v>
      </c>
      <c r="B20809" s="38">
        <v>76496.0</v>
      </c>
      <c r="C20809" s="38" t="s">
        <v>25319</v>
      </c>
      <c r="D20809" s="38" t="str">
        <f>IFERROR(__xludf.DUMMYFUNCTION("REGEXREPLACE(C20809,""-\d+(.*)|--\d+(.*)"","""")"),"PENLY")</f>
        <v>PENLY</v>
      </c>
      <c r="E20809" s="38" t="s">
        <v>133</v>
      </c>
      <c r="F20809" s="38" t="s">
        <v>134</v>
      </c>
      <c r="G20809" s="49" t="str">
        <f t="shared" si="1"/>
        <v>76630</v>
      </c>
      <c r="H20809" s="49">
        <f t="shared" si="2"/>
        <v>76496</v>
      </c>
    </row>
    <row r="20810">
      <c r="A20810" s="48" t="s">
        <v>1758</v>
      </c>
      <c r="B20810" s="38">
        <v>65411.0</v>
      </c>
      <c r="C20810" s="38" t="s">
        <v>25320</v>
      </c>
      <c r="D20810" s="38" t="str">
        <f>IFERROR(__xludf.DUMMYFUNCTION("REGEXREPLACE(C20810,""-\d+(.*)|--\d+(.*)"","""")"),"SASSIS")</f>
        <v>SASSIS</v>
      </c>
      <c r="E20810" s="38" t="s">
        <v>200</v>
      </c>
      <c r="F20810" s="38" t="s">
        <v>94</v>
      </c>
      <c r="G20810" s="49" t="str">
        <f t="shared" si="1"/>
        <v>65120</v>
      </c>
      <c r="H20810" s="49">
        <f t="shared" si="2"/>
        <v>65411</v>
      </c>
    </row>
    <row r="20811">
      <c r="A20811" s="48" t="s">
        <v>17621</v>
      </c>
      <c r="B20811" s="38">
        <v>7240.0</v>
      </c>
      <c r="C20811" s="38" t="s">
        <v>25321</v>
      </c>
      <c r="D20811" s="38" t="str">
        <f>IFERROR(__xludf.DUMMYFUNCTION("REGEXREPLACE(C20811,""-\d+(.*)|--\d+(.*)"","""")"),"SAINT-GEORGES-LES-BAINS")</f>
        <v>SAINT-GEORGES-LES-BAINS</v>
      </c>
      <c r="E20811" s="38" t="s">
        <v>144</v>
      </c>
      <c r="F20811" s="38" t="s">
        <v>102</v>
      </c>
      <c r="G20811" s="49" t="str">
        <f t="shared" si="1"/>
        <v>07800</v>
      </c>
      <c r="H20811" s="49" t="str">
        <f t="shared" si="2"/>
        <v>07240</v>
      </c>
    </row>
    <row r="20812">
      <c r="A20812" s="48" t="s">
        <v>19663</v>
      </c>
      <c r="B20812" s="38">
        <v>77178.0</v>
      </c>
      <c r="C20812" s="38" t="s">
        <v>25322</v>
      </c>
      <c r="D20812" s="38" t="str">
        <f>IFERROR(__xludf.DUMMYFUNCTION("REGEXREPLACE(C20812,""-\d+(.*)|--\d+(.*)"","""")"),"FAY-LES-NEMOURS")</f>
        <v>FAY-LES-NEMOURS</v>
      </c>
      <c r="E20812" s="38" t="s">
        <v>244</v>
      </c>
      <c r="F20812" s="38" t="s">
        <v>245</v>
      </c>
      <c r="G20812" s="49" t="str">
        <f t="shared" si="1"/>
        <v>77167</v>
      </c>
      <c r="H20812" s="49">
        <f t="shared" si="2"/>
        <v>77178</v>
      </c>
    </row>
    <row r="20813">
      <c r="A20813" s="48" t="s">
        <v>24631</v>
      </c>
      <c r="B20813" s="38">
        <v>30227.0</v>
      </c>
      <c r="C20813" s="38" t="s">
        <v>11179</v>
      </c>
      <c r="D20813" s="38" t="str">
        <f>IFERROR(__xludf.DUMMYFUNCTION("REGEXREPLACE(C20813,""-\d+(.*)|--\d+(.*)"","""")"),"SAINT-AMBROIX")</f>
        <v>SAINT-AMBROIX</v>
      </c>
      <c r="E20813" s="38" t="s">
        <v>526</v>
      </c>
      <c r="F20813" s="38" t="s">
        <v>119</v>
      </c>
      <c r="G20813" s="49" t="str">
        <f t="shared" si="1"/>
        <v>30500</v>
      </c>
      <c r="H20813" s="49">
        <f t="shared" si="2"/>
        <v>30227</v>
      </c>
    </row>
    <row r="20814">
      <c r="A20814" s="48" t="s">
        <v>1841</v>
      </c>
      <c r="B20814" s="38">
        <v>27238.0</v>
      </c>
      <c r="C20814" s="38" t="s">
        <v>25323</v>
      </c>
      <c r="D20814" s="38" t="str">
        <f>IFERROR(__xludf.DUMMYFUNCTION("REGEXREPLACE(C20814,""-\d+(.*)|--\d+(.*)"","""")"),"FERRIERES-HAUT-CLOCHER")</f>
        <v>FERRIERES-HAUT-CLOCHER</v>
      </c>
      <c r="E20814" s="38" t="s">
        <v>241</v>
      </c>
      <c r="F20814" s="38" t="s">
        <v>134</v>
      </c>
      <c r="G20814" s="49" t="str">
        <f t="shared" si="1"/>
        <v>27190</v>
      </c>
      <c r="H20814" s="49">
        <f t="shared" si="2"/>
        <v>27238</v>
      </c>
    </row>
    <row r="20815">
      <c r="A20815" s="48" t="s">
        <v>10148</v>
      </c>
      <c r="B20815" s="38">
        <v>59076.0</v>
      </c>
      <c r="C20815" s="38" t="s">
        <v>25324</v>
      </c>
      <c r="D20815" s="38" t="str">
        <f>IFERROR(__xludf.DUMMYFUNCTION("REGEXREPLACE(C20815,""-\d+(.*)|--\d+(.*)"","""")"),"BETTIGNIES")</f>
        <v>BETTIGNIES</v>
      </c>
      <c r="E20815" s="38" t="s">
        <v>85</v>
      </c>
      <c r="F20815" s="38" t="s">
        <v>86</v>
      </c>
      <c r="G20815" s="49" t="str">
        <f t="shared" si="1"/>
        <v>59600</v>
      </c>
      <c r="H20815" s="49">
        <f t="shared" si="2"/>
        <v>59076</v>
      </c>
    </row>
    <row r="20816">
      <c r="A20816" s="48" t="s">
        <v>25325</v>
      </c>
      <c r="B20816" s="38">
        <v>80656.0</v>
      </c>
      <c r="C20816" s="38" t="s">
        <v>25326</v>
      </c>
      <c r="D20816" s="38" t="str">
        <f>IFERROR(__xludf.DUMMYFUNCTION("REGEXREPLACE(C20816,""-\d+(.*)|--\d+(.*)"","""")"),"QUEVAUVILLERS")</f>
        <v>QUEVAUVILLERS</v>
      </c>
      <c r="E20816" s="38" t="s">
        <v>224</v>
      </c>
      <c r="F20816" s="38" t="s">
        <v>113</v>
      </c>
      <c r="G20816" s="49" t="str">
        <f t="shared" si="1"/>
        <v>80710</v>
      </c>
      <c r="H20816" s="49">
        <f t="shared" si="2"/>
        <v>80656</v>
      </c>
    </row>
    <row r="20817">
      <c r="A20817" s="48" t="s">
        <v>384</v>
      </c>
      <c r="B20817" s="38">
        <v>55476.0</v>
      </c>
      <c r="C20817" s="38" t="s">
        <v>25327</v>
      </c>
      <c r="D20817" s="38" t="str">
        <f>IFERROR(__xludf.DUMMYFUNCTION("REGEXREPLACE(C20817,""-\d+(.*)|--\d+(.*)"","""")"),"SAVONNIERES-DEVANT-BAR")</f>
        <v>SAVONNIERES-DEVANT-BAR</v>
      </c>
      <c r="E20817" s="38" t="s">
        <v>322</v>
      </c>
      <c r="F20817" s="38" t="s">
        <v>195</v>
      </c>
      <c r="G20817" s="49" t="str">
        <f t="shared" si="1"/>
        <v>55000</v>
      </c>
      <c r="H20817" s="49">
        <f t="shared" si="2"/>
        <v>55476</v>
      </c>
    </row>
    <row r="20818">
      <c r="A20818" s="48" t="s">
        <v>3635</v>
      </c>
      <c r="B20818" s="38">
        <v>16363.0</v>
      </c>
      <c r="C20818" s="38" t="s">
        <v>25328</v>
      </c>
      <c r="D20818" s="38" t="str">
        <f>IFERROR(__xludf.DUMMYFUNCTION("REGEXREPLACE(C20818,""-\d+(.*)|--\d+(.*)"","""")"),"SAULGOND")</f>
        <v>SAULGOND</v>
      </c>
      <c r="E20818" s="38" t="s">
        <v>429</v>
      </c>
      <c r="F20818" s="38" t="s">
        <v>338</v>
      </c>
      <c r="G20818" s="49" t="str">
        <f t="shared" si="1"/>
        <v>16420</v>
      </c>
      <c r="H20818" s="49">
        <f t="shared" si="2"/>
        <v>16363</v>
      </c>
    </row>
    <row r="20819">
      <c r="A20819" s="48" t="s">
        <v>9207</v>
      </c>
      <c r="B20819" s="38">
        <v>57276.0</v>
      </c>
      <c r="C20819" s="38" t="s">
        <v>25329</v>
      </c>
      <c r="D20819" s="38" t="str">
        <f>IFERROR(__xludf.DUMMYFUNCTION("REGEXREPLACE(C20819,""-\d+(.*)|--\d+(.*)"","""")"),"GUINGLANGE")</f>
        <v>GUINGLANGE</v>
      </c>
      <c r="E20819" s="38" t="s">
        <v>303</v>
      </c>
      <c r="F20819" s="38" t="s">
        <v>195</v>
      </c>
      <c r="G20819" s="49" t="str">
        <f t="shared" si="1"/>
        <v>57690</v>
      </c>
      <c r="H20819" s="49">
        <f t="shared" si="2"/>
        <v>57276</v>
      </c>
    </row>
    <row r="20820">
      <c r="A20820" s="48" t="s">
        <v>8398</v>
      </c>
      <c r="B20820" s="38">
        <v>21665.0</v>
      </c>
      <c r="C20820" s="38" t="s">
        <v>25330</v>
      </c>
      <c r="D20820" s="38" t="str">
        <f>IFERROR(__xludf.DUMMYFUNCTION("REGEXREPLACE(C20820,""-\d+(.*)|--\d+(.*)"","""")"),"VERNOIS-LES-VESVRES")</f>
        <v>VERNOIS-LES-VESVRES</v>
      </c>
      <c r="E20820" s="38" t="s">
        <v>105</v>
      </c>
      <c r="F20820" s="38" t="s">
        <v>106</v>
      </c>
      <c r="G20820" s="49" t="str">
        <f t="shared" si="1"/>
        <v>21260</v>
      </c>
      <c r="H20820" s="49">
        <f t="shared" si="2"/>
        <v>21665</v>
      </c>
    </row>
    <row r="20821">
      <c r="A20821" s="48" t="s">
        <v>6016</v>
      </c>
      <c r="B20821" s="38">
        <v>57361.0</v>
      </c>
      <c r="C20821" s="38" t="s">
        <v>25331</v>
      </c>
      <c r="D20821" s="38" t="str">
        <f>IFERROR(__xludf.DUMMYFUNCTION("REGEXREPLACE(C20821,""-\d+(.*)|--\d+(.*)"","""")"),"KERLING-LES-SIERCK")</f>
        <v>KERLING-LES-SIERCK</v>
      </c>
      <c r="E20821" s="38" t="s">
        <v>303</v>
      </c>
      <c r="F20821" s="38" t="s">
        <v>195</v>
      </c>
      <c r="G20821" s="49" t="str">
        <f t="shared" si="1"/>
        <v>57480</v>
      </c>
      <c r="H20821" s="49">
        <f t="shared" si="2"/>
        <v>57361</v>
      </c>
    </row>
    <row r="20822">
      <c r="A20822" s="48" t="s">
        <v>6492</v>
      </c>
      <c r="B20822" s="38">
        <v>5048.0</v>
      </c>
      <c r="C20822" s="38" t="s">
        <v>15046</v>
      </c>
      <c r="D20822" s="38" t="str">
        <f>IFERROR(__xludf.DUMMYFUNCTION("REGEXREPLACE(C20822,""-\d+(.*)|--\d+(.*)"","""")"),"L'EPINE")</f>
        <v>L'EPINE</v>
      </c>
      <c r="E20822" s="38" t="s">
        <v>706</v>
      </c>
      <c r="F20822" s="38" t="s">
        <v>228</v>
      </c>
      <c r="G20822" s="49" t="str">
        <f t="shared" si="1"/>
        <v>05700</v>
      </c>
      <c r="H20822" s="49" t="str">
        <f t="shared" si="2"/>
        <v>05048</v>
      </c>
    </row>
    <row r="20823">
      <c r="A20823" s="48" t="s">
        <v>549</v>
      </c>
      <c r="B20823" s="38">
        <v>55396.0</v>
      </c>
      <c r="C20823" s="38" t="s">
        <v>25332</v>
      </c>
      <c r="D20823" s="38" t="str">
        <f>IFERROR(__xludf.DUMMYFUNCTION("REGEXREPLACE(C20823,""-\d+(.*)|--\d+(.*)"","""")"),"OURCHES-SUR-MEUSE")</f>
        <v>OURCHES-SUR-MEUSE</v>
      </c>
      <c r="E20823" s="38" t="s">
        <v>322</v>
      </c>
      <c r="F20823" s="38" t="s">
        <v>195</v>
      </c>
      <c r="G20823" s="49" t="str">
        <f t="shared" si="1"/>
        <v>55190</v>
      </c>
      <c r="H20823" s="49">
        <f t="shared" si="2"/>
        <v>55396</v>
      </c>
    </row>
    <row r="20824">
      <c r="A20824" s="48" t="s">
        <v>15237</v>
      </c>
      <c r="B20824" s="38">
        <v>4107.0</v>
      </c>
      <c r="C20824" s="38" t="s">
        <v>25333</v>
      </c>
      <c r="D20824" s="38" t="str">
        <f>IFERROR(__xludf.DUMMYFUNCTION("REGEXREPLACE(C20824,""-\d+(.*)|--\d+(.*)"","""")"),"MAJASTRES")</f>
        <v>MAJASTRES</v>
      </c>
      <c r="E20824" s="38" t="s">
        <v>662</v>
      </c>
      <c r="F20824" s="38" t="s">
        <v>228</v>
      </c>
      <c r="G20824" s="49" t="str">
        <f t="shared" si="1"/>
        <v>04270</v>
      </c>
      <c r="H20824" s="49" t="str">
        <f t="shared" si="2"/>
        <v>04107</v>
      </c>
    </row>
    <row r="20825">
      <c r="A20825" s="48" t="s">
        <v>2040</v>
      </c>
      <c r="B20825" s="38">
        <v>59233.0</v>
      </c>
      <c r="C20825" s="38" t="s">
        <v>25334</v>
      </c>
      <c r="D20825" s="38" t="str">
        <f>IFERROR(__xludf.DUMMYFUNCTION("REGEXREPLACE(C20825,""-\d+(.*)|--\d+(.*)"","""")"),"FLAUMONT-WAUDRECHIES")</f>
        <v>FLAUMONT-WAUDRECHIES</v>
      </c>
      <c r="E20825" s="38" t="s">
        <v>85</v>
      </c>
      <c r="F20825" s="38" t="s">
        <v>86</v>
      </c>
      <c r="G20825" s="49" t="str">
        <f t="shared" si="1"/>
        <v>59440</v>
      </c>
      <c r="H20825" s="49">
        <f t="shared" si="2"/>
        <v>59233</v>
      </c>
    </row>
    <row r="20826">
      <c r="A20826" s="48" t="s">
        <v>9451</v>
      </c>
      <c r="B20826" s="38">
        <v>22237.0</v>
      </c>
      <c r="C20826" s="38" t="s">
        <v>25335</v>
      </c>
      <c r="D20826" s="38" t="str">
        <f>IFERROR(__xludf.DUMMYFUNCTION("REGEXREPLACE(C20826,""-\d+(.*)|--\d+(.*)"","""")"),"PLUDUNO")</f>
        <v>PLUDUNO</v>
      </c>
      <c r="E20826" s="38" t="s">
        <v>89</v>
      </c>
      <c r="F20826" s="38" t="s">
        <v>90</v>
      </c>
      <c r="G20826" s="49" t="str">
        <f t="shared" si="1"/>
        <v>22130</v>
      </c>
      <c r="H20826" s="49">
        <f t="shared" si="2"/>
        <v>22237</v>
      </c>
    </row>
    <row r="20827">
      <c r="A20827" s="48" t="s">
        <v>1341</v>
      </c>
      <c r="B20827" s="38">
        <v>14049.0</v>
      </c>
      <c r="C20827" s="38" t="s">
        <v>25336</v>
      </c>
      <c r="D20827" s="38" t="str">
        <f>IFERROR(__xludf.DUMMYFUNCTION("REGEXREPLACE(C20827,""-\d+(.*)|--\d+(.*)"","""")"),"BAZENVILLE")</f>
        <v>BAZENVILLE</v>
      </c>
      <c r="E20827" s="38" t="s">
        <v>137</v>
      </c>
      <c r="F20827" s="38" t="s">
        <v>138</v>
      </c>
      <c r="G20827" s="49" t="str">
        <f t="shared" si="1"/>
        <v>14480</v>
      </c>
      <c r="H20827" s="49">
        <f t="shared" si="2"/>
        <v>14049</v>
      </c>
    </row>
    <row r="20828">
      <c r="A20828" s="48" t="s">
        <v>704</v>
      </c>
      <c r="B20828" s="38">
        <v>5017.0</v>
      </c>
      <c r="C20828" s="38" t="s">
        <v>25337</v>
      </c>
      <c r="D20828" s="38" t="str">
        <f>IFERROR(__xludf.DUMMYFUNCTION("REGEXREPLACE(C20828,""-\d+(.*)|--\d+(.*)"","""")"),"LA BATIE-NEUVE")</f>
        <v>LA BATIE-NEUVE</v>
      </c>
      <c r="E20828" s="38" t="s">
        <v>706</v>
      </c>
      <c r="F20828" s="38" t="s">
        <v>228</v>
      </c>
      <c r="G20828" s="49" t="str">
        <f t="shared" si="1"/>
        <v>05230</v>
      </c>
      <c r="H20828" s="49" t="str">
        <f t="shared" si="2"/>
        <v>05017</v>
      </c>
    </row>
    <row r="20829">
      <c r="A20829" s="48" t="s">
        <v>2292</v>
      </c>
      <c r="B20829" s="38">
        <v>76290.0</v>
      </c>
      <c r="C20829" s="38" t="s">
        <v>25338</v>
      </c>
      <c r="D20829" s="38" t="str">
        <f>IFERROR(__xludf.DUMMYFUNCTION("REGEXREPLACE(C20829,""-\d+(.*)|--\d+(.*)"","""")"),"FRICHEMESNIL")</f>
        <v>FRICHEMESNIL</v>
      </c>
      <c r="E20829" s="38" t="s">
        <v>133</v>
      </c>
      <c r="F20829" s="38" t="s">
        <v>134</v>
      </c>
      <c r="G20829" s="49" t="str">
        <f t="shared" si="1"/>
        <v>76690</v>
      </c>
      <c r="H20829" s="49">
        <f t="shared" si="2"/>
        <v>76290</v>
      </c>
    </row>
    <row r="20830">
      <c r="A20830" s="48" t="s">
        <v>5672</v>
      </c>
      <c r="B20830" s="38">
        <v>33115.0</v>
      </c>
      <c r="C20830" s="38" t="s">
        <v>13677</v>
      </c>
      <c r="D20830" s="38" t="str">
        <f>IFERROR(__xludf.DUMMYFUNCTION("REGEXREPLACE(C20830,""-\d+(.*)|--\d+(.*)"","""")"),"CAZALIS")</f>
        <v>CAZALIS</v>
      </c>
      <c r="E20830" s="38" t="s">
        <v>462</v>
      </c>
      <c r="F20830" s="38" t="s">
        <v>252</v>
      </c>
      <c r="G20830" s="49" t="str">
        <f t="shared" si="1"/>
        <v>33113</v>
      </c>
      <c r="H20830" s="49">
        <f t="shared" si="2"/>
        <v>33115</v>
      </c>
    </row>
    <row r="20831">
      <c r="A20831" s="48" t="s">
        <v>2208</v>
      </c>
      <c r="B20831" s="38">
        <v>55171.0</v>
      </c>
      <c r="C20831" s="38" t="s">
        <v>25339</v>
      </c>
      <c r="D20831" s="38" t="str">
        <f>IFERROR(__xludf.DUMMYFUNCTION("REGEXREPLACE(C20831,""-\d+(.*)|--\d+(.*)"","""")"),"EIX")</f>
        <v>EIX</v>
      </c>
      <c r="E20831" s="38" t="s">
        <v>322</v>
      </c>
      <c r="F20831" s="38" t="s">
        <v>195</v>
      </c>
      <c r="G20831" s="49" t="str">
        <f t="shared" si="1"/>
        <v>55400</v>
      </c>
      <c r="H20831" s="49">
        <f t="shared" si="2"/>
        <v>55171</v>
      </c>
    </row>
    <row r="20832">
      <c r="A20832" s="48" t="s">
        <v>3341</v>
      </c>
      <c r="B20832" s="38">
        <v>25451.0</v>
      </c>
      <c r="C20832" s="38" t="s">
        <v>25340</v>
      </c>
      <c r="D20832" s="38" t="str">
        <f>IFERROR(__xludf.DUMMYFUNCTION("REGEXREPLACE(C20832,""-\d+(.*)|--\d+(.*)"","""")"),"PETITE-CHAUX")</f>
        <v>PETITE-CHAUX</v>
      </c>
      <c r="E20832" s="38" t="s">
        <v>213</v>
      </c>
      <c r="F20832" s="38" t="s">
        <v>214</v>
      </c>
      <c r="G20832" s="49" t="str">
        <f t="shared" si="1"/>
        <v>25240</v>
      </c>
      <c r="H20832" s="49">
        <f t="shared" si="2"/>
        <v>25451</v>
      </c>
    </row>
    <row r="20833">
      <c r="A20833" s="48" t="s">
        <v>8678</v>
      </c>
      <c r="B20833" s="38">
        <v>65392.0</v>
      </c>
      <c r="C20833" s="38" t="s">
        <v>3189</v>
      </c>
      <c r="D20833" s="38" t="str">
        <f>IFERROR(__xludf.DUMMYFUNCTION("REGEXREPLACE(C20833,""-\d+(.*)|--\d+(.*)"","""")"),"SAINT-MARTIN")</f>
        <v>SAINT-MARTIN</v>
      </c>
      <c r="E20833" s="38" t="s">
        <v>200</v>
      </c>
      <c r="F20833" s="38" t="s">
        <v>94</v>
      </c>
      <c r="G20833" s="49" t="str">
        <f t="shared" si="1"/>
        <v>65360</v>
      </c>
      <c r="H20833" s="49">
        <f t="shared" si="2"/>
        <v>65392</v>
      </c>
    </row>
    <row r="20834">
      <c r="A20834" s="48" t="s">
        <v>25341</v>
      </c>
      <c r="B20834" s="38">
        <v>81054.0</v>
      </c>
      <c r="C20834" s="38" t="s">
        <v>25342</v>
      </c>
      <c r="D20834" s="38" t="str">
        <f>IFERROR(__xludf.DUMMYFUNCTION("REGEXREPLACE(C20834,""-\d+(.*)|--\d+(.*)"","""")"),"CAMBOUNET-SUR-LE-SOR")</f>
        <v>CAMBOUNET-SUR-LE-SOR</v>
      </c>
      <c r="E20834" s="38" t="s">
        <v>231</v>
      </c>
      <c r="F20834" s="38" t="s">
        <v>94</v>
      </c>
      <c r="G20834" s="49" t="str">
        <f t="shared" si="1"/>
        <v>81580</v>
      </c>
      <c r="H20834" s="49">
        <f t="shared" si="2"/>
        <v>81054</v>
      </c>
    </row>
    <row r="20835">
      <c r="A20835" s="48" t="s">
        <v>5634</v>
      </c>
      <c r="B20835" s="38">
        <v>72203.0</v>
      </c>
      <c r="C20835" s="38" t="s">
        <v>25343</v>
      </c>
      <c r="D20835" s="38" t="str">
        <f>IFERROR(__xludf.DUMMYFUNCTION("REGEXREPLACE(C20835,""-\d+(.*)|--\d+(.*)"","""")"),"MONTABON")</f>
        <v>MONTABON</v>
      </c>
      <c r="E20835" s="38" t="s">
        <v>521</v>
      </c>
      <c r="F20835" s="38" t="s">
        <v>180</v>
      </c>
      <c r="G20835" s="49" t="str">
        <f t="shared" si="1"/>
        <v>72500</v>
      </c>
      <c r="H20835" s="49">
        <f t="shared" si="2"/>
        <v>72203</v>
      </c>
    </row>
    <row r="20836">
      <c r="A20836" s="48" t="s">
        <v>25344</v>
      </c>
      <c r="B20836" s="38">
        <v>40319.0</v>
      </c>
      <c r="C20836" s="38" t="s">
        <v>25345</v>
      </c>
      <c r="D20836" s="38" t="str">
        <f>IFERROR(__xludf.DUMMYFUNCTION("REGEXREPLACE(C20836,""-\d+(.*)|--\d+(.*)"","""")"),"TRENSACQ")</f>
        <v>TRENSACQ</v>
      </c>
      <c r="E20836" s="38" t="s">
        <v>281</v>
      </c>
      <c r="F20836" s="38" t="s">
        <v>252</v>
      </c>
      <c r="G20836" s="49" t="str">
        <f t="shared" si="1"/>
        <v>40630</v>
      </c>
      <c r="H20836" s="49">
        <f t="shared" si="2"/>
        <v>40319</v>
      </c>
    </row>
    <row r="20837">
      <c r="A20837" s="48" t="s">
        <v>2886</v>
      </c>
      <c r="B20837" s="38">
        <v>89467.0</v>
      </c>
      <c r="C20837" s="38" t="s">
        <v>25346</v>
      </c>
      <c r="D20837" s="38" t="str">
        <f>IFERROR(__xludf.DUMMYFUNCTION("REGEXREPLACE(C20837,""-\d+(.*)|--\d+(.*)"","""")"),"VILLETHIERRY")</f>
        <v>VILLETHIERRY</v>
      </c>
      <c r="E20837" s="38" t="s">
        <v>275</v>
      </c>
      <c r="F20837" s="38" t="s">
        <v>106</v>
      </c>
      <c r="G20837" s="49" t="str">
        <f t="shared" si="1"/>
        <v>89140</v>
      </c>
      <c r="H20837" s="49">
        <f t="shared" si="2"/>
        <v>89467</v>
      </c>
    </row>
    <row r="20838">
      <c r="A20838" s="48" t="s">
        <v>2128</v>
      </c>
      <c r="B20838" s="38">
        <v>2578.0</v>
      </c>
      <c r="C20838" s="38" t="s">
        <v>25347</v>
      </c>
      <c r="D20838" s="38" t="str">
        <f>IFERROR(__xludf.DUMMYFUNCTION("REGEXREPLACE(C20838,""-\d+(.*)|--\d+(.*)"","""")"),"OULCHES-LA-VALLEE-FOULON")</f>
        <v>OULCHES-LA-VALLEE-FOULON</v>
      </c>
      <c r="E20838" s="38" t="s">
        <v>191</v>
      </c>
      <c r="F20838" s="38" t="s">
        <v>113</v>
      </c>
      <c r="G20838" s="49" t="str">
        <f t="shared" si="1"/>
        <v>02160</v>
      </c>
      <c r="H20838" s="49" t="str">
        <f t="shared" si="2"/>
        <v>02578</v>
      </c>
    </row>
    <row r="20839">
      <c r="A20839" s="48" t="s">
        <v>25348</v>
      </c>
      <c r="B20839" s="38">
        <v>94077.0</v>
      </c>
      <c r="C20839" s="38" t="s">
        <v>25349</v>
      </c>
      <c r="D20839" s="38" t="str">
        <f>IFERROR(__xludf.DUMMYFUNCTION("REGEXREPLACE(C20839,""-\d+(.*)|--\d+(.*)"","""")"),"VILLENEUVE-LE-ROI")</f>
        <v>VILLENEUVE-LE-ROI</v>
      </c>
      <c r="E20839" s="38" t="s">
        <v>561</v>
      </c>
      <c r="F20839" s="38" t="s">
        <v>245</v>
      </c>
      <c r="G20839" s="49" t="str">
        <f t="shared" si="1"/>
        <v>94290</v>
      </c>
      <c r="H20839" s="49">
        <f t="shared" si="2"/>
        <v>94077</v>
      </c>
    </row>
    <row r="20840">
      <c r="A20840" s="48" t="s">
        <v>2497</v>
      </c>
      <c r="B20840" s="38">
        <v>56157.0</v>
      </c>
      <c r="C20840" s="38" t="s">
        <v>25350</v>
      </c>
      <c r="D20840" s="38" t="str">
        <f>IFERROR(__xludf.DUMMYFUNCTION("REGEXREPLACE(C20840,""-\d+(.*)|--\d+(.*)"","""")"),"PLAUDREN")</f>
        <v>PLAUDREN</v>
      </c>
      <c r="E20840" s="38" t="s">
        <v>173</v>
      </c>
      <c r="F20840" s="38" t="s">
        <v>90</v>
      </c>
      <c r="G20840" s="49" t="str">
        <f t="shared" si="1"/>
        <v>56420</v>
      </c>
      <c r="H20840" s="49">
        <f t="shared" si="2"/>
        <v>56157</v>
      </c>
    </row>
    <row r="20841">
      <c r="A20841" s="48" t="s">
        <v>5443</v>
      </c>
      <c r="B20841" s="38">
        <v>76133.0</v>
      </c>
      <c r="C20841" s="38" t="s">
        <v>25351</v>
      </c>
      <c r="D20841" s="38" t="str">
        <f>IFERROR(__xludf.DUMMYFUNCTION("REGEXREPLACE(C20841,""-\d+(.*)|--\d+(.*)"","""")"),"LE BOURG-DUN")</f>
        <v>LE BOURG-DUN</v>
      </c>
      <c r="E20841" s="38" t="s">
        <v>133</v>
      </c>
      <c r="F20841" s="38" t="s">
        <v>134</v>
      </c>
      <c r="G20841" s="49" t="str">
        <f t="shared" si="1"/>
        <v>76740</v>
      </c>
      <c r="H20841" s="49">
        <f t="shared" si="2"/>
        <v>76133</v>
      </c>
    </row>
    <row r="20842">
      <c r="A20842" s="48" t="s">
        <v>7414</v>
      </c>
      <c r="B20842" s="38">
        <v>77036.0</v>
      </c>
      <c r="C20842" s="38" t="s">
        <v>25352</v>
      </c>
      <c r="D20842" s="38" t="str">
        <f>IFERROR(__xludf.DUMMYFUNCTION("REGEXREPLACE(C20842,""-\d+(.*)|--\d+(.*)"","""")"),"BOISDON")</f>
        <v>BOISDON</v>
      </c>
      <c r="E20842" s="38" t="s">
        <v>244</v>
      </c>
      <c r="F20842" s="38" t="s">
        <v>245</v>
      </c>
      <c r="G20842" s="49" t="str">
        <f t="shared" si="1"/>
        <v>77970</v>
      </c>
      <c r="H20842" s="49">
        <f t="shared" si="2"/>
        <v>77036</v>
      </c>
    </row>
    <row r="20843">
      <c r="A20843" s="48" t="s">
        <v>8999</v>
      </c>
      <c r="B20843" s="38">
        <v>49258.0</v>
      </c>
      <c r="C20843" s="38" t="s">
        <v>25353</v>
      </c>
      <c r="D20843" s="38" t="str">
        <f>IFERROR(__xludf.DUMMYFUNCTION("REGEXREPLACE(C20843,""-\d+(.*)|--\d+(.*)"","""")"),"LA RENAUDIERE")</f>
        <v>LA RENAUDIERE</v>
      </c>
      <c r="E20843" s="38" t="s">
        <v>653</v>
      </c>
      <c r="F20843" s="38" t="s">
        <v>180</v>
      </c>
      <c r="G20843" s="49" t="str">
        <f t="shared" si="1"/>
        <v>49450</v>
      </c>
      <c r="H20843" s="49">
        <f t="shared" si="2"/>
        <v>49258</v>
      </c>
    </row>
    <row r="20844">
      <c r="A20844" s="48" t="s">
        <v>5575</v>
      </c>
      <c r="B20844" s="38">
        <v>62322.0</v>
      </c>
      <c r="C20844" s="38" t="s">
        <v>20454</v>
      </c>
      <c r="D20844" s="38" t="str">
        <f>IFERROR(__xludf.DUMMYFUNCTION("REGEXREPLACE(C20844,""-\d+(.*)|--\d+(.*)"","""")"),"FAMECHON")</f>
        <v>FAMECHON</v>
      </c>
      <c r="E20844" s="38" t="s">
        <v>109</v>
      </c>
      <c r="F20844" s="38" t="s">
        <v>86</v>
      </c>
      <c r="G20844" s="49" t="str">
        <f t="shared" si="1"/>
        <v>62760</v>
      </c>
      <c r="H20844" s="49">
        <f t="shared" si="2"/>
        <v>62322</v>
      </c>
    </row>
    <row r="20845">
      <c r="A20845" s="48" t="s">
        <v>7712</v>
      </c>
      <c r="B20845" s="38">
        <v>9273.0</v>
      </c>
      <c r="C20845" s="38" t="s">
        <v>25354</v>
      </c>
      <c r="D20845" s="38" t="str">
        <f>IFERROR(__xludf.DUMMYFUNCTION("REGEXREPLACE(C20845,""-\d+(.*)|--\d+(.*)"","""")"),"SAINT-PIERRE-DE-RIVIERE")</f>
        <v>SAINT-PIERRE-DE-RIVIERE</v>
      </c>
      <c r="E20845" s="38" t="s">
        <v>238</v>
      </c>
      <c r="F20845" s="38" t="s">
        <v>94</v>
      </c>
      <c r="G20845" s="49" t="str">
        <f t="shared" si="1"/>
        <v>09000</v>
      </c>
      <c r="H20845" s="49" t="str">
        <f t="shared" si="2"/>
        <v>09273</v>
      </c>
    </row>
    <row r="20846">
      <c r="A20846" s="48" t="s">
        <v>5065</v>
      </c>
      <c r="B20846" s="38">
        <v>50098.0</v>
      </c>
      <c r="C20846" s="38" t="s">
        <v>25355</v>
      </c>
      <c r="D20846" s="38" t="str">
        <f>IFERROR(__xludf.DUMMYFUNCTION("REGEXREPLACE(C20846,""-\d+(.*)|--\d+(.*)"","""")"),"CARANTILLY")</f>
        <v>CARANTILLY</v>
      </c>
      <c r="E20846" s="38" t="s">
        <v>157</v>
      </c>
      <c r="F20846" s="38" t="s">
        <v>138</v>
      </c>
      <c r="G20846" s="49" t="str">
        <f t="shared" si="1"/>
        <v>50570</v>
      </c>
      <c r="H20846" s="49">
        <f t="shared" si="2"/>
        <v>50098</v>
      </c>
    </row>
    <row r="20847">
      <c r="A20847" s="48" t="s">
        <v>8680</v>
      </c>
      <c r="B20847" s="38">
        <v>72021.0</v>
      </c>
      <c r="C20847" s="38" t="s">
        <v>25356</v>
      </c>
      <c r="D20847" s="38" t="str">
        <f>IFERROR(__xludf.DUMMYFUNCTION("REGEXREPLACE(C20847,""-\d+(.*)|--\d+(.*)"","""")"),"AVOISE")</f>
        <v>AVOISE</v>
      </c>
      <c r="E20847" s="38" t="s">
        <v>521</v>
      </c>
      <c r="F20847" s="38" t="s">
        <v>180</v>
      </c>
      <c r="G20847" s="49" t="str">
        <f t="shared" si="1"/>
        <v>72430</v>
      </c>
      <c r="H20847" s="49">
        <f t="shared" si="2"/>
        <v>72021</v>
      </c>
    </row>
    <row r="20848">
      <c r="A20848" s="48" t="s">
        <v>7057</v>
      </c>
      <c r="B20848" s="38">
        <v>18206.0</v>
      </c>
      <c r="C20848" s="38" t="s">
        <v>25357</v>
      </c>
      <c r="D20848" s="38" t="str">
        <f>IFERROR(__xludf.DUMMYFUNCTION("REGEXREPLACE(C20848,""-\d+(.*)|--\d+(.*)"","""")"),"SAINT-ELOY-DE-GY")</f>
        <v>SAINT-ELOY-DE-GY</v>
      </c>
      <c r="E20848" s="38" t="s">
        <v>504</v>
      </c>
      <c r="F20848" s="38" t="s">
        <v>123</v>
      </c>
      <c r="G20848" s="49" t="str">
        <f t="shared" si="1"/>
        <v>18110</v>
      </c>
      <c r="H20848" s="49">
        <f t="shared" si="2"/>
        <v>18206</v>
      </c>
    </row>
    <row r="20849">
      <c r="A20849" s="48" t="s">
        <v>8059</v>
      </c>
      <c r="B20849" s="38">
        <v>70263.0</v>
      </c>
      <c r="C20849" s="38" t="s">
        <v>25358</v>
      </c>
      <c r="D20849" s="38" t="str">
        <f>IFERROR(__xludf.DUMMYFUNCTION("REGEXREPLACE(C20849,""-\d+(.*)|--\d+(.*)"","""")"),"GENEVREY")</f>
        <v>GENEVREY</v>
      </c>
      <c r="E20849" s="38" t="s">
        <v>956</v>
      </c>
      <c r="F20849" s="38" t="s">
        <v>214</v>
      </c>
      <c r="G20849" s="49" t="str">
        <f t="shared" si="1"/>
        <v>70240</v>
      </c>
      <c r="H20849" s="49">
        <f t="shared" si="2"/>
        <v>70263</v>
      </c>
    </row>
    <row r="20850">
      <c r="A20850" s="48" t="s">
        <v>647</v>
      </c>
      <c r="B20850" s="38">
        <v>82132.0</v>
      </c>
      <c r="C20850" s="38" t="s">
        <v>25359</v>
      </c>
      <c r="D20850" s="38" t="str">
        <f>IFERROR(__xludf.DUMMYFUNCTION("REGEXREPLACE(C20850,""-\d+(.*)|--\d+(.*)"","""")"),"MONTRICOUX")</f>
        <v>MONTRICOUX</v>
      </c>
      <c r="E20850" s="38" t="s">
        <v>570</v>
      </c>
      <c r="F20850" s="38" t="s">
        <v>94</v>
      </c>
      <c r="G20850" s="49" t="str">
        <f t="shared" si="1"/>
        <v>82800</v>
      </c>
      <c r="H20850" s="49">
        <f t="shared" si="2"/>
        <v>82132</v>
      </c>
    </row>
    <row r="20851">
      <c r="A20851" s="48" t="s">
        <v>775</v>
      </c>
      <c r="B20851" s="38">
        <v>14143.0</v>
      </c>
      <c r="C20851" s="38" t="s">
        <v>25360</v>
      </c>
      <c r="D20851" s="38" t="str">
        <f>IFERROR(__xludf.DUMMYFUNCTION("REGEXREPLACE(C20851,""-\d+(.*)|--\d+(.*)"","""")"),"CAUMONT-L'EVENTE")</f>
        <v>CAUMONT-L'EVENTE</v>
      </c>
      <c r="E20851" s="38" t="s">
        <v>137</v>
      </c>
      <c r="F20851" s="38" t="s">
        <v>138</v>
      </c>
      <c r="G20851" s="49" t="str">
        <f t="shared" si="1"/>
        <v>14240</v>
      </c>
      <c r="H20851" s="49">
        <f t="shared" si="2"/>
        <v>14143</v>
      </c>
    </row>
    <row r="20852">
      <c r="A20852" s="48" t="s">
        <v>2208</v>
      </c>
      <c r="B20852" s="38">
        <v>55072.0</v>
      </c>
      <c r="C20852" s="38" t="s">
        <v>25361</v>
      </c>
      <c r="D20852" s="38" t="str">
        <f>IFERROR(__xludf.DUMMYFUNCTION("REGEXREPLACE(C20852,""-\d+(.*)|--\d+(.*)"","""")"),"BRAQUIS")</f>
        <v>BRAQUIS</v>
      </c>
      <c r="E20852" s="38" t="s">
        <v>322</v>
      </c>
      <c r="F20852" s="38" t="s">
        <v>195</v>
      </c>
      <c r="G20852" s="49" t="str">
        <f t="shared" si="1"/>
        <v>55400</v>
      </c>
      <c r="H20852" s="49">
        <f t="shared" si="2"/>
        <v>55072</v>
      </c>
    </row>
    <row r="20853">
      <c r="A20853" s="48" t="s">
        <v>9556</v>
      </c>
      <c r="B20853" s="38">
        <v>60599.0</v>
      </c>
      <c r="C20853" s="38" t="s">
        <v>4607</v>
      </c>
      <c r="D20853" s="38" t="str">
        <f>IFERROR(__xludf.DUMMYFUNCTION("REGEXREPLACE(C20853,""-\d+(.*)|--\d+(.*)"","""")"),"SAINT-THIBAULT")</f>
        <v>SAINT-THIBAULT</v>
      </c>
      <c r="E20853" s="38" t="s">
        <v>112</v>
      </c>
      <c r="F20853" s="38" t="s">
        <v>113</v>
      </c>
      <c r="G20853" s="49" t="str">
        <f t="shared" si="1"/>
        <v>60210</v>
      </c>
      <c r="H20853" s="49">
        <f t="shared" si="2"/>
        <v>60599</v>
      </c>
    </row>
    <row r="20854">
      <c r="A20854" s="48" t="s">
        <v>24359</v>
      </c>
      <c r="B20854" s="38">
        <v>33151.0</v>
      </c>
      <c r="C20854" s="38" t="s">
        <v>25362</v>
      </c>
      <c r="D20854" s="38" t="str">
        <f>IFERROR(__xludf.DUMMYFUNCTION("REGEXREPLACE(C20854,""-\d+(.*)|--\d+(.*)"","""")"),"DONNEZAC")</f>
        <v>DONNEZAC</v>
      </c>
      <c r="E20854" s="38" t="s">
        <v>462</v>
      </c>
      <c r="F20854" s="38" t="s">
        <v>252</v>
      </c>
      <c r="G20854" s="49" t="str">
        <f t="shared" si="1"/>
        <v>33860</v>
      </c>
      <c r="H20854" s="49">
        <f t="shared" si="2"/>
        <v>33151</v>
      </c>
    </row>
    <row r="20855">
      <c r="A20855" s="48" t="s">
        <v>702</v>
      </c>
      <c r="B20855" s="38">
        <v>31503.0</v>
      </c>
      <c r="C20855" s="38" t="s">
        <v>25363</v>
      </c>
      <c r="D20855" s="38" t="str">
        <f>IFERROR(__xludf.DUMMYFUNCTION("REGEXREPLACE(C20855,""-\d+(.*)|--\d+(.*)"","""")"),"SAINT-MARTORY")</f>
        <v>SAINT-MARTORY</v>
      </c>
      <c r="E20855" s="38" t="s">
        <v>93</v>
      </c>
      <c r="F20855" s="38" t="s">
        <v>94</v>
      </c>
      <c r="G20855" s="49" t="str">
        <f t="shared" si="1"/>
        <v>31360</v>
      </c>
      <c r="H20855" s="49">
        <f t="shared" si="2"/>
        <v>31503</v>
      </c>
    </row>
    <row r="20856">
      <c r="A20856" s="48" t="s">
        <v>12690</v>
      </c>
      <c r="B20856" s="38">
        <v>4189.0</v>
      </c>
      <c r="C20856" s="38" t="s">
        <v>25364</v>
      </c>
      <c r="D20856" s="38" t="str">
        <f>IFERROR(__xludf.DUMMYFUNCTION("REGEXREPLACE(C20856,""-\d+(.*)|--\d+(.*)"","""")"),"SAINT-MARTIN-DE-BROMES")</f>
        <v>SAINT-MARTIN-DE-BROMES</v>
      </c>
      <c r="E20856" s="38" t="s">
        <v>662</v>
      </c>
      <c r="F20856" s="38" t="s">
        <v>228</v>
      </c>
      <c r="G20856" s="49" t="str">
        <f t="shared" si="1"/>
        <v>04800</v>
      </c>
      <c r="H20856" s="49" t="str">
        <f t="shared" si="2"/>
        <v>04189</v>
      </c>
    </row>
    <row r="20857">
      <c r="A20857" s="48" t="s">
        <v>24760</v>
      </c>
      <c r="B20857" s="38">
        <v>71150.0</v>
      </c>
      <c r="C20857" s="38" t="s">
        <v>25365</v>
      </c>
      <c r="D20857" s="38" t="str">
        <f>IFERROR(__xludf.DUMMYFUNCTION("REGEXREPLACE(C20857,""-\d+(.*)|--\d+(.*)"","""")"),"CRECHES-SUR-SAONE")</f>
        <v>CRECHES-SUR-SAONE</v>
      </c>
      <c r="E20857" s="38" t="s">
        <v>344</v>
      </c>
      <c r="F20857" s="38" t="s">
        <v>106</v>
      </c>
      <c r="G20857" s="49" t="str">
        <f t="shared" si="1"/>
        <v>71680</v>
      </c>
      <c r="H20857" s="49">
        <f t="shared" si="2"/>
        <v>71150</v>
      </c>
    </row>
    <row r="20858">
      <c r="A20858" s="48" t="s">
        <v>1108</v>
      </c>
      <c r="B20858" s="38">
        <v>27430.0</v>
      </c>
      <c r="C20858" s="38" t="s">
        <v>25366</v>
      </c>
      <c r="D20858" s="38" t="str">
        <f>IFERROR(__xludf.DUMMYFUNCTION("REGEXREPLACE(C20858,""-\d+(.*)|--\d+(.*)"","""")"),"LA NEUVE-GRANGE")</f>
        <v>LA NEUVE-GRANGE</v>
      </c>
      <c r="E20858" s="38" t="s">
        <v>241</v>
      </c>
      <c r="F20858" s="38" t="s">
        <v>134</v>
      </c>
      <c r="G20858" s="49" t="str">
        <f t="shared" si="1"/>
        <v>27150</v>
      </c>
      <c r="H20858" s="49">
        <f t="shared" si="2"/>
        <v>27430</v>
      </c>
    </row>
    <row r="20859">
      <c r="A20859" s="48" t="s">
        <v>2433</v>
      </c>
      <c r="B20859" s="38">
        <v>70211.0</v>
      </c>
      <c r="C20859" s="38" t="s">
        <v>25367</v>
      </c>
      <c r="D20859" s="38" t="str">
        <f>IFERROR(__xludf.DUMMYFUNCTION("REGEXREPLACE(C20859,""-\d+(.*)|--\d+(.*)"","""")"),"ECUELLE")</f>
        <v>ECUELLE</v>
      </c>
      <c r="E20859" s="38" t="s">
        <v>956</v>
      </c>
      <c r="F20859" s="38" t="s">
        <v>214</v>
      </c>
      <c r="G20859" s="49" t="str">
        <f t="shared" si="1"/>
        <v>70600</v>
      </c>
      <c r="H20859" s="49">
        <f t="shared" si="2"/>
        <v>70211</v>
      </c>
    </row>
    <row r="20860">
      <c r="A20860" s="48" t="s">
        <v>25368</v>
      </c>
      <c r="B20860" s="38">
        <v>84073.0</v>
      </c>
      <c r="C20860" s="38" t="s">
        <v>25369</v>
      </c>
      <c r="D20860" s="38" t="str">
        <f>IFERROR(__xludf.DUMMYFUNCTION("REGEXREPLACE(C20860,""-\d+(.*)|--\d+(.*)"","""")"),"MENERBES")</f>
        <v>MENERBES</v>
      </c>
      <c r="E20860" s="38" t="s">
        <v>1026</v>
      </c>
      <c r="F20860" s="38" t="s">
        <v>228</v>
      </c>
      <c r="G20860" s="49" t="str">
        <f t="shared" si="1"/>
        <v>84560</v>
      </c>
      <c r="H20860" s="49">
        <f t="shared" si="2"/>
        <v>84073</v>
      </c>
    </row>
    <row r="20861">
      <c r="A20861" s="48" t="s">
        <v>9100</v>
      </c>
      <c r="B20861" s="38">
        <v>42264.0</v>
      </c>
      <c r="C20861" s="38" t="s">
        <v>25370</v>
      </c>
      <c r="D20861" s="38" t="str">
        <f>IFERROR(__xludf.DUMMYFUNCTION("REGEXREPLACE(C20861,""-\d+(.*)|--\d+(.*)"","""")"),"SAINT-MEDARD-EN-FOREZ")</f>
        <v>SAINT-MEDARD-EN-FOREZ</v>
      </c>
      <c r="E20861" s="38" t="s">
        <v>166</v>
      </c>
      <c r="F20861" s="38" t="s">
        <v>102</v>
      </c>
      <c r="G20861" s="49" t="str">
        <f t="shared" si="1"/>
        <v>42330</v>
      </c>
      <c r="H20861" s="49">
        <f t="shared" si="2"/>
        <v>42264</v>
      </c>
    </row>
    <row r="20862">
      <c r="A20862" s="48" t="s">
        <v>6025</v>
      </c>
      <c r="B20862" s="38">
        <v>31336.0</v>
      </c>
      <c r="C20862" s="38" t="s">
        <v>25371</v>
      </c>
      <c r="D20862" s="38" t="str">
        <f>IFERROR(__xludf.DUMMYFUNCTION("REGEXREPLACE(C20862,""-\d+(.*)|--\d+(.*)"","""")"),"MAZERES-SUR-SALAT")</f>
        <v>MAZERES-SUR-SALAT</v>
      </c>
      <c r="E20862" s="38" t="s">
        <v>93</v>
      </c>
      <c r="F20862" s="38" t="s">
        <v>94</v>
      </c>
      <c r="G20862" s="49" t="str">
        <f t="shared" si="1"/>
        <v>31260</v>
      </c>
      <c r="H20862" s="49">
        <f t="shared" si="2"/>
        <v>31336</v>
      </c>
    </row>
    <row r="20863">
      <c r="A20863" s="48" t="s">
        <v>4447</v>
      </c>
      <c r="B20863" s="38">
        <v>39133.0</v>
      </c>
      <c r="C20863" s="38" t="s">
        <v>25372</v>
      </c>
      <c r="D20863" s="38" t="str">
        <f>IFERROR(__xludf.DUMMYFUNCTION("REGEXREPLACE(C20863,""-\d+(.*)|--\d+(.*)"","""")"),"CHAUX-CHAMPAGNY")</f>
        <v>CHAUX-CHAMPAGNY</v>
      </c>
      <c r="E20863" s="38" t="s">
        <v>400</v>
      </c>
      <c r="F20863" s="38" t="s">
        <v>214</v>
      </c>
      <c r="G20863" s="49" t="str">
        <f t="shared" si="1"/>
        <v>39110</v>
      </c>
      <c r="H20863" s="49">
        <f t="shared" si="2"/>
        <v>39133</v>
      </c>
    </row>
    <row r="20864">
      <c r="A20864" s="48" t="s">
        <v>25373</v>
      </c>
      <c r="B20864" s="38">
        <v>73206.0</v>
      </c>
      <c r="C20864" s="38" t="s">
        <v>25374</v>
      </c>
      <c r="D20864" s="38" t="str">
        <f>IFERROR(__xludf.DUMMYFUNCTION("REGEXREPLACE(C20864,""-\d+(.*)|--\d+(.*)"","""")"),"PRALOGNAN-LA-VANOISE")</f>
        <v>PRALOGNAN-LA-VANOISE</v>
      </c>
      <c r="E20864" s="38" t="s">
        <v>306</v>
      </c>
      <c r="F20864" s="38" t="s">
        <v>102</v>
      </c>
      <c r="G20864" s="49" t="str">
        <f t="shared" si="1"/>
        <v>73710</v>
      </c>
      <c r="H20864" s="49">
        <f t="shared" si="2"/>
        <v>73206</v>
      </c>
    </row>
    <row r="20865">
      <c r="A20865" s="48" t="s">
        <v>3158</v>
      </c>
      <c r="B20865" s="38">
        <v>50596.0</v>
      </c>
      <c r="C20865" s="38" t="s">
        <v>25375</v>
      </c>
      <c r="D20865" s="38" t="str">
        <f>IFERROR(__xludf.DUMMYFUNCTION("REGEXREPLACE(C20865,""-\d+(.*)|--\d+(.*)"","""")"),"THEVILLE")</f>
        <v>THEVILLE</v>
      </c>
      <c r="E20865" s="38" t="s">
        <v>157</v>
      </c>
      <c r="F20865" s="38" t="s">
        <v>138</v>
      </c>
      <c r="G20865" s="49" t="str">
        <f t="shared" si="1"/>
        <v>50330</v>
      </c>
      <c r="H20865" s="49">
        <f t="shared" si="2"/>
        <v>50596</v>
      </c>
    </row>
    <row r="20866">
      <c r="A20866" s="48" t="s">
        <v>9905</v>
      </c>
      <c r="B20866" s="38">
        <v>65230.0</v>
      </c>
      <c r="C20866" s="38" t="s">
        <v>25376</v>
      </c>
      <c r="D20866" s="38" t="str">
        <f>IFERROR(__xludf.DUMMYFUNCTION("REGEXREPLACE(C20866,""-\d+(.*)|--\d+(.*)"","""")"),"IZAOURT")</f>
        <v>IZAOURT</v>
      </c>
      <c r="E20866" s="38" t="s">
        <v>200</v>
      </c>
      <c r="F20866" s="38" t="s">
        <v>94</v>
      </c>
      <c r="G20866" s="49" t="str">
        <f t="shared" si="1"/>
        <v>65370</v>
      </c>
      <c r="H20866" s="49">
        <f t="shared" si="2"/>
        <v>65230</v>
      </c>
    </row>
    <row r="20867">
      <c r="A20867" s="48" t="s">
        <v>1323</v>
      </c>
      <c r="B20867" s="38">
        <v>21593.0</v>
      </c>
      <c r="C20867" s="38" t="s">
        <v>25377</v>
      </c>
      <c r="D20867" s="38" t="str">
        <f>IFERROR(__xludf.DUMMYFUNCTION("REGEXREPLACE(C20867,""-\d+(.*)|--\d+(.*)"","""")"),"SAVILLY")</f>
        <v>SAVILLY</v>
      </c>
      <c r="E20867" s="38" t="s">
        <v>105</v>
      </c>
      <c r="F20867" s="38" t="s">
        <v>106</v>
      </c>
      <c r="G20867" s="49" t="str">
        <f t="shared" si="1"/>
        <v>21430</v>
      </c>
      <c r="H20867" s="49">
        <f t="shared" si="2"/>
        <v>21593</v>
      </c>
    </row>
    <row r="20868">
      <c r="A20868" s="48" t="s">
        <v>10689</v>
      </c>
      <c r="B20868" s="38">
        <v>59057.0</v>
      </c>
      <c r="C20868" s="38" t="s">
        <v>25378</v>
      </c>
      <c r="D20868" s="38" t="str">
        <f>IFERROR(__xludf.DUMMYFUNCTION("REGEXREPLACE(C20868,""-\d+(.*)|--\d+(.*)"","""")"),"BEAUDIGNIES")</f>
        <v>BEAUDIGNIES</v>
      </c>
      <c r="E20868" s="38" t="s">
        <v>85</v>
      </c>
      <c r="F20868" s="38" t="s">
        <v>86</v>
      </c>
      <c r="G20868" s="49" t="str">
        <f t="shared" si="1"/>
        <v>59530</v>
      </c>
      <c r="H20868" s="49">
        <f t="shared" si="2"/>
        <v>59057</v>
      </c>
    </row>
    <row r="20869">
      <c r="A20869" s="48" t="s">
        <v>6566</v>
      </c>
      <c r="B20869" s="38">
        <v>49107.0</v>
      </c>
      <c r="C20869" s="38" t="s">
        <v>25379</v>
      </c>
      <c r="D20869" s="38" t="str">
        <f>IFERROR(__xludf.DUMMYFUNCTION("REGEXREPLACE(C20869,""-\d+(.*)|--\d+(.*)"","""")"),"CORNILLE-LES-CAVES")</f>
        <v>CORNILLE-LES-CAVES</v>
      </c>
      <c r="E20869" s="38" t="s">
        <v>653</v>
      </c>
      <c r="F20869" s="38" t="s">
        <v>180</v>
      </c>
      <c r="G20869" s="49" t="str">
        <f t="shared" si="1"/>
        <v>49140</v>
      </c>
      <c r="H20869" s="49">
        <f t="shared" si="2"/>
        <v>49107</v>
      </c>
    </row>
    <row r="20870">
      <c r="A20870" s="48" t="s">
        <v>4274</v>
      </c>
      <c r="B20870" s="38">
        <v>52103.0</v>
      </c>
      <c r="C20870" s="38" t="s">
        <v>25380</v>
      </c>
      <c r="D20870" s="38" t="str">
        <f>IFERROR(__xludf.DUMMYFUNCTION("REGEXREPLACE(C20870,""-\d+(.*)|--\d+(.*)"","""")"),"CHAMPIGNY-SOUS-VARENNES")</f>
        <v>CHAMPIGNY-SOUS-VARENNES</v>
      </c>
      <c r="E20870" s="38" t="s">
        <v>234</v>
      </c>
      <c r="F20870" s="38" t="s">
        <v>130</v>
      </c>
      <c r="G20870" s="49" t="str">
        <f t="shared" si="1"/>
        <v>52400</v>
      </c>
      <c r="H20870" s="49">
        <f t="shared" si="2"/>
        <v>52103</v>
      </c>
    </row>
    <row r="20871">
      <c r="A20871" s="48" t="s">
        <v>25381</v>
      </c>
      <c r="B20871" s="38">
        <v>97122.0</v>
      </c>
      <c r="C20871" s="38" t="s">
        <v>17853</v>
      </c>
      <c r="D20871" s="38" t="str">
        <f>IFERROR(__xludf.DUMMYFUNCTION("REGEXREPLACE(C20871,""-\d+(.*)|--\d+(.*)"","""")"),"PORT-LOUIS")</f>
        <v>PORT-LOUIS</v>
      </c>
      <c r="E20871" s="38" t="s">
        <v>2023</v>
      </c>
      <c r="F20871" s="38" t="s">
        <v>2023</v>
      </c>
      <c r="G20871" s="49" t="str">
        <f t="shared" si="1"/>
        <v>97117</v>
      </c>
      <c r="H20871" s="49">
        <f t="shared" si="2"/>
        <v>97122</v>
      </c>
    </row>
    <row r="20872">
      <c r="A20872" s="48" t="s">
        <v>3626</v>
      </c>
      <c r="B20872" s="38">
        <v>57626.0</v>
      </c>
      <c r="C20872" s="38" t="s">
        <v>25382</v>
      </c>
      <c r="D20872" s="38" t="str">
        <f>IFERROR(__xludf.DUMMYFUNCTION("REGEXREPLACE(C20872,""-\d+(.*)|--\d+(.*)"","""")"),"SANRY-LES-VIGY")</f>
        <v>SANRY-LES-VIGY</v>
      </c>
      <c r="E20872" s="38" t="s">
        <v>303</v>
      </c>
      <c r="F20872" s="38" t="s">
        <v>195</v>
      </c>
      <c r="G20872" s="49" t="str">
        <f t="shared" si="1"/>
        <v>57640</v>
      </c>
      <c r="H20872" s="49">
        <f t="shared" si="2"/>
        <v>57626</v>
      </c>
    </row>
    <row r="20873">
      <c r="A20873" s="48" t="s">
        <v>5056</v>
      </c>
      <c r="B20873" s="38">
        <v>85224.0</v>
      </c>
      <c r="C20873" s="38" t="s">
        <v>25383</v>
      </c>
      <c r="D20873" s="38" t="str">
        <f>IFERROR(__xludf.DUMMYFUNCTION("REGEXREPLACE(C20873,""-\d+(.*)|--\d+(.*)"","""")"),"SAINT-HILAIRE-DE-LOULAY")</f>
        <v>SAINT-HILAIRE-DE-LOULAY</v>
      </c>
      <c r="E20873" s="38" t="s">
        <v>179</v>
      </c>
      <c r="F20873" s="38" t="s">
        <v>180</v>
      </c>
      <c r="G20873" s="49" t="str">
        <f t="shared" si="1"/>
        <v>85600</v>
      </c>
      <c r="H20873" s="49">
        <f t="shared" si="2"/>
        <v>85224</v>
      </c>
    </row>
    <row r="20874">
      <c r="A20874" s="48" t="s">
        <v>5825</v>
      </c>
      <c r="B20874" s="38">
        <v>67356.0</v>
      </c>
      <c r="C20874" s="38" t="s">
        <v>25384</v>
      </c>
      <c r="D20874" s="38" t="str">
        <f>IFERROR(__xludf.DUMMYFUNCTION("REGEXREPLACE(C20874,""-\d+(.*)|--\d+(.*)"","""")"),"OFFENDORF")</f>
        <v>OFFENDORF</v>
      </c>
      <c r="E20874" s="38" t="s">
        <v>210</v>
      </c>
      <c r="F20874" s="38" t="s">
        <v>151</v>
      </c>
      <c r="G20874" s="49" t="str">
        <f t="shared" si="1"/>
        <v>67850</v>
      </c>
      <c r="H20874" s="49">
        <f t="shared" si="2"/>
        <v>67356</v>
      </c>
    </row>
    <row r="20875">
      <c r="A20875" s="48" t="s">
        <v>2532</v>
      </c>
      <c r="B20875" s="38">
        <v>51645.0</v>
      </c>
      <c r="C20875" s="38" t="s">
        <v>25385</v>
      </c>
      <c r="D20875" s="38" t="str">
        <f>IFERROR(__xludf.DUMMYFUNCTION("REGEXREPLACE(C20875,""-\d+(.*)|--\d+(.*)"","""")"),"VINDEY")</f>
        <v>VINDEY</v>
      </c>
      <c r="E20875" s="38" t="s">
        <v>129</v>
      </c>
      <c r="F20875" s="38" t="s">
        <v>130</v>
      </c>
      <c r="G20875" s="49" t="str">
        <f t="shared" si="1"/>
        <v>51120</v>
      </c>
      <c r="H20875" s="49">
        <f t="shared" si="2"/>
        <v>51645</v>
      </c>
    </row>
    <row r="20876">
      <c r="A20876" s="48" t="s">
        <v>2600</v>
      </c>
      <c r="B20876" s="38">
        <v>60236.0</v>
      </c>
      <c r="C20876" s="38" t="s">
        <v>25386</v>
      </c>
      <c r="D20876" s="38" t="str">
        <f>IFERROR(__xludf.DUMMYFUNCTION("REGEXREPLACE(C20876,""-\d+(.*)|--\d+(.*)"","""")"),"FLAVY-LE-MELDEUX")</f>
        <v>FLAVY-LE-MELDEUX</v>
      </c>
      <c r="E20876" s="38" t="s">
        <v>112</v>
      </c>
      <c r="F20876" s="38" t="s">
        <v>113</v>
      </c>
      <c r="G20876" s="49" t="str">
        <f t="shared" si="1"/>
        <v>60640</v>
      </c>
      <c r="H20876" s="49">
        <f t="shared" si="2"/>
        <v>60236</v>
      </c>
    </row>
    <row r="20877">
      <c r="A20877" s="48" t="s">
        <v>1174</v>
      </c>
      <c r="B20877" s="38">
        <v>51065.0</v>
      </c>
      <c r="C20877" s="38" t="s">
        <v>25387</v>
      </c>
      <c r="D20877" s="38" t="str">
        <f>IFERROR(__xludf.DUMMYFUNCTION("REGEXREPLACE(C20877,""-\d+(.*)|--\d+(.*)"","""")"),"BLACY")</f>
        <v>BLACY</v>
      </c>
      <c r="E20877" s="38" t="s">
        <v>129</v>
      </c>
      <c r="F20877" s="38" t="s">
        <v>130</v>
      </c>
      <c r="G20877" s="49" t="str">
        <f t="shared" si="1"/>
        <v>51300</v>
      </c>
      <c r="H20877" s="49">
        <f t="shared" si="2"/>
        <v>51065</v>
      </c>
    </row>
    <row r="20878">
      <c r="A20878" s="48" t="s">
        <v>8105</v>
      </c>
      <c r="B20878" s="38">
        <v>25033.0</v>
      </c>
      <c r="C20878" s="38" t="s">
        <v>25388</v>
      </c>
      <c r="D20878" s="38" t="str">
        <f>IFERROR(__xludf.DUMMYFUNCTION("REGEXREPLACE(C20878,""-\d+(.*)|--\d+(.*)"","""")"),"AUTECHAUX-ROIDE")</f>
        <v>AUTECHAUX-ROIDE</v>
      </c>
      <c r="E20878" s="38" t="s">
        <v>213</v>
      </c>
      <c r="F20878" s="38" t="s">
        <v>214</v>
      </c>
      <c r="G20878" s="49" t="str">
        <f t="shared" si="1"/>
        <v>25150</v>
      </c>
      <c r="H20878" s="49">
        <f t="shared" si="2"/>
        <v>25033</v>
      </c>
    </row>
    <row r="20879">
      <c r="A20879" s="48" t="s">
        <v>25389</v>
      </c>
      <c r="B20879" s="38">
        <v>62188.0</v>
      </c>
      <c r="C20879" s="38" t="s">
        <v>25390</v>
      </c>
      <c r="D20879" s="38" t="str">
        <f>IFERROR(__xludf.DUMMYFUNCTION("REGEXREPLACE(C20879,""-\d+(.*)|--\d+(.*)"","""")"),"BURBURE")</f>
        <v>BURBURE</v>
      </c>
      <c r="E20879" s="38" t="s">
        <v>109</v>
      </c>
      <c r="F20879" s="38" t="s">
        <v>86</v>
      </c>
      <c r="G20879" s="49" t="str">
        <f t="shared" si="1"/>
        <v>62151</v>
      </c>
      <c r="H20879" s="49">
        <f t="shared" si="2"/>
        <v>62188</v>
      </c>
    </row>
    <row r="20880">
      <c r="A20880" s="48" t="s">
        <v>4123</v>
      </c>
      <c r="B20880" s="38">
        <v>60376.0</v>
      </c>
      <c r="C20880" s="38" t="s">
        <v>25391</v>
      </c>
      <c r="D20880" s="38" t="str">
        <f>IFERROR(__xludf.DUMMYFUNCTION("REGEXREPLACE(C20880,""-\d+(.*)|--\d+(.*)"","""")"),"MAISONCELLE-SAINT-PIERRE")</f>
        <v>MAISONCELLE-SAINT-PIERRE</v>
      </c>
      <c r="E20880" s="38" t="s">
        <v>112</v>
      </c>
      <c r="F20880" s="38" t="s">
        <v>113</v>
      </c>
      <c r="G20880" s="49" t="str">
        <f t="shared" si="1"/>
        <v>60112</v>
      </c>
      <c r="H20880" s="49">
        <f t="shared" si="2"/>
        <v>60376</v>
      </c>
    </row>
    <row r="20881">
      <c r="A20881" s="48" t="s">
        <v>3458</v>
      </c>
      <c r="B20881" s="38">
        <v>52031.0</v>
      </c>
      <c r="C20881" s="38" t="s">
        <v>25392</v>
      </c>
      <c r="D20881" s="38" t="str">
        <f>IFERROR(__xludf.DUMMYFUNCTION("REGEXREPLACE(C20881,""-\d+(.*)|--\d+(.*)"","""")"),"AUTREVILLE-SUR-LA-RENNE")</f>
        <v>AUTREVILLE-SUR-LA-RENNE</v>
      </c>
      <c r="E20881" s="38" t="s">
        <v>234</v>
      </c>
      <c r="F20881" s="38" t="s">
        <v>130</v>
      </c>
      <c r="G20881" s="49" t="str">
        <f t="shared" si="1"/>
        <v>52120</v>
      </c>
      <c r="H20881" s="49">
        <f t="shared" si="2"/>
        <v>52031</v>
      </c>
    </row>
    <row r="20882">
      <c r="A20882" s="48" t="s">
        <v>1475</v>
      </c>
      <c r="B20882" s="38">
        <v>50436.0</v>
      </c>
      <c r="C20882" s="38" t="s">
        <v>25393</v>
      </c>
      <c r="D20882" s="38" t="str">
        <f>IFERROR(__xludf.DUMMYFUNCTION("REGEXREPLACE(C20882,""-\d+(.*)|--\d+(.*)"","""")"),"ROMAGNY")</f>
        <v>ROMAGNY</v>
      </c>
      <c r="E20882" s="38" t="s">
        <v>157</v>
      </c>
      <c r="F20882" s="38" t="s">
        <v>138</v>
      </c>
      <c r="G20882" s="49" t="str">
        <f t="shared" si="1"/>
        <v>50140</v>
      </c>
      <c r="H20882" s="49">
        <f t="shared" si="2"/>
        <v>50436</v>
      </c>
    </row>
    <row r="20883">
      <c r="A20883" s="48" t="s">
        <v>2314</v>
      </c>
      <c r="B20883" s="38">
        <v>3102.0</v>
      </c>
      <c r="C20883" s="38" t="s">
        <v>25394</v>
      </c>
      <c r="D20883" s="38" t="str">
        <f>IFERROR(__xludf.DUMMYFUNCTION("REGEXREPLACE(C20883,""-\d+(.*)|--\d+(.*)"","""")"),"DOMPIERRE-SUR-BESBRE")</f>
        <v>DOMPIERRE-SUR-BESBRE</v>
      </c>
      <c r="E20883" s="38" t="s">
        <v>160</v>
      </c>
      <c r="F20883" s="38" t="s">
        <v>161</v>
      </c>
      <c r="G20883" s="49" t="str">
        <f t="shared" si="1"/>
        <v>03290</v>
      </c>
      <c r="H20883" s="49" t="str">
        <f t="shared" si="2"/>
        <v>03102</v>
      </c>
    </row>
    <row r="20884">
      <c r="A20884" s="48" t="s">
        <v>1161</v>
      </c>
      <c r="B20884" s="38">
        <v>45283.0</v>
      </c>
      <c r="C20884" s="38" t="s">
        <v>25395</v>
      </c>
      <c r="D20884" s="38" t="str">
        <f>IFERROR(__xludf.DUMMYFUNCTION("REGEXREPLACE(C20884,""-\d+(.*)|--\d+(.*)"","""")"),"SAINT-HILAIRE-SUR-PUISEAUX")</f>
        <v>SAINT-HILAIRE-SUR-PUISEAUX</v>
      </c>
      <c r="E20884" s="38" t="s">
        <v>122</v>
      </c>
      <c r="F20884" s="38" t="s">
        <v>123</v>
      </c>
      <c r="G20884" s="49" t="str">
        <f t="shared" si="1"/>
        <v>45700</v>
      </c>
      <c r="H20884" s="49">
        <f t="shared" si="2"/>
        <v>45283</v>
      </c>
    </row>
    <row r="20885">
      <c r="A20885" s="48" t="s">
        <v>1182</v>
      </c>
      <c r="B20885" s="38">
        <v>67300.0</v>
      </c>
      <c r="C20885" s="38" t="s">
        <v>25396</v>
      </c>
      <c r="D20885" s="38" t="str">
        <f>IFERROR(__xludf.DUMMYFUNCTION("REGEXREPLACE(C20885,""-\d+(.*)|--\d+(.*)"","""")"),"MOLSHEIM")</f>
        <v>MOLSHEIM</v>
      </c>
      <c r="E20885" s="38" t="s">
        <v>210</v>
      </c>
      <c r="F20885" s="38" t="s">
        <v>151</v>
      </c>
      <c r="G20885" s="49" t="str">
        <f t="shared" si="1"/>
        <v>67120</v>
      </c>
      <c r="H20885" s="49">
        <f t="shared" si="2"/>
        <v>67300</v>
      </c>
    </row>
    <row r="20886">
      <c r="A20886" s="48" t="s">
        <v>6948</v>
      </c>
      <c r="B20886" s="38">
        <v>17066.0</v>
      </c>
      <c r="C20886" s="38" t="s">
        <v>25397</v>
      </c>
      <c r="D20886" s="38" t="str">
        <f>IFERROR(__xludf.DUMMYFUNCTION("REGEXREPLACE(C20886,""-\d+(.*)|--\d+(.*)"","""")"),"BRIE-SOUS-ARCHIAC")</f>
        <v>BRIE-SOUS-ARCHIAC</v>
      </c>
      <c r="E20886" s="38" t="s">
        <v>488</v>
      </c>
      <c r="F20886" s="38" t="s">
        <v>338</v>
      </c>
      <c r="G20886" s="49" t="str">
        <f t="shared" si="1"/>
        <v>17520</v>
      </c>
      <c r="H20886" s="49">
        <f t="shared" si="2"/>
        <v>17066</v>
      </c>
    </row>
    <row r="20887">
      <c r="A20887" s="48" t="s">
        <v>19828</v>
      </c>
      <c r="B20887" s="38">
        <v>91665.0</v>
      </c>
      <c r="C20887" s="38" t="s">
        <v>25398</v>
      </c>
      <c r="D20887" s="38" t="str">
        <f>IFERROR(__xludf.DUMMYFUNCTION("REGEXREPLACE(C20887,""-\d+(.*)|--\d+(.*)"","""")"),"LA VILLE-DU-BOIS")</f>
        <v>LA VILLE-DU-BOIS</v>
      </c>
      <c r="E20887" s="38" t="s">
        <v>756</v>
      </c>
      <c r="F20887" s="38" t="s">
        <v>245</v>
      </c>
      <c r="G20887" s="49" t="str">
        <f t="shared" si="1"/>
        <v>91620</v>
      </c>
      <c r="H20887" s="49">
        <f t="shared" si="2"/>
        <v>91665</v>
      </c>
    </row>
    <row r="20888">
      <c r="A20888" s="48" t="s">
        <v>12360</v>
      </c>
      <c r="B20888" s="38">
        <v>74014.0</v>
      </c>
      <c r="C20888" s="38" t="s">
        <v>25399</v>
      </c>
      <c r="D20888" s="38" t="str">
        <f>IFERROR(__xludf.DUMMYFUNCTION("REGEXREPLACE(C20888,""-\d+(.*)|--\d+(.*)"","""")"),"ARACHES-LA-FRASSE")</f>
        <v>ARACHES-LA-FRASSE</v>
      </c>
      <c r="E20888" s="38" t="s">
        <v>319</v>
      </c>
      <c r="F20888" s="38" t="s">
        <v>102</v>
      </c>
      <c r="G20888" s="49" t="str">
        <f t="shared" si="1"/>
        <v>74300</v>
      </c>
      <c r="H20888" s="49">
        <f t="shared" si="2"/>
        <v>74014</v>
      </c>
    </row>
    <row r="20889">
      <c r="A20889" s="48" t="s">
        <v>1518</v>
      </c>
      <c r="B20889" s="38">
        <v>88202.0</v>
      </c>
      <c r="C20889" s="38" t="s">
        <v>25400</v>
      </c>
      <c r="D20889" s="38" t="str">
        <f>IFERROR(__xludf.DUMMYFUNCTION("REGEXREPLACE(C20889,""-\d+(.*)|--\d+(.*)"","""")"),"GIRCOURT-LES-VIEVILLE")</f>
        <v>GIRCOURT-LES-VIEVILLE</v>
      </c>
      <c r="E20889" s="38" t="s">
        <v>194</v>
      </c>
      <c r="F20889" s="38" t="s">
        <v>195</v>
      </c>
      <c r="G20889" s="49" t="str">
        <f t="shared" si="1"/>
        <v>88500</v>
      </c>
      <c r="H20889" s="49">
        <f t="shared" si="2"/>
        <v>88202</v>
      </c>
    </row>
    <row r="20890">
      <c r="A20890" s="48" t="s">
        <v>12114</v>
      </c>
      <c r="B20890" s="38">
        <v>77156.0</v>
      </c>
      <c r="C20890" s="38" t="s">
        <v>25401</v>
      </c>
      <c r="D20890" s="38" t="str">
        <f>IFERROR(__xludf.DUMMYFUNCTION("REGEXREPLACE(C20890,""-\d+(.*)|--\d+(.*)"","""")"),"DARVAULT")</f>
        <v>DARVAULT</v>
      </c>
      <c r="E20890" s="38" t="s">
        <v>244</v>
      </c>
      <c r="F20890" s="38" t="s">
        <v>245</v>
      </c>
      <c r="G20890" s="49" t="str">
        <f t="shared" si="1"/>
        <v>77140</v>
      </c>
      <c r="H20890" s="49">
        <f t="shared" si="2"/>
        <v>77156</v>
      </c>
    </row>
    <row r="20891">
      <c r="A20891" s="48" t="s">
        <v>2469</v>
      </c>
      <c r="B20891" s="38">
        <v>8260.0</v>
      </c>
      <c r="C20891" s="38" t="s">
        <v>25402</v>
      </c>
      <c r="D20891" s="38" t="str">
        <f>IFERROR(__xludf.DUMMYFUNCTION("REGEXREPLACE(C20891,""-\d+(.*)|--\d+(.*)"","""")"),"LONNY")</f>
        <v>LONNY</v>
      </c>
      <c r="E20891" s="38" t="s">
        <v>327</v>
      </c>
      <c r="F20891" s="38" t="s">
        <v>130</v>
      </c>
      <c r="G20891" s="49" t="str">
        <f t="shared" si="1"/>
        <v>08150</v>
      </c>
      <c r="H20891" s="49" t="str">
        <f t="shared" si="2"/>
        <v>08260</v>
      </c>
    </row>
    <row r="20892">
      <c r="A20892" s="48" t="s">
        <v>4274</v>
      </c>
      <c r="B20892" s="38">
        <v>52350.0</v>
      </c>
      <c r="C20892" s="38" t="s">
        <v>25403</v>
      </c>
      <c r="D20892" s="38" t="str">
        <f>IFERROR(__xludf.DUMMYFUNCTION("REGEXREPLACE(C20892,""-\d+(.*)|--\d+(.*)"","""")"),"NEUVELLE-LES-VOISEY")</f>
        <v>NEUVELLE-LES-VOISEY</v>
      </c>
      <c r="E20892" s="38" t="s">
        <v>234</v>
      </c>
      <c r="F20892" s="38" t="s">
        <v>130</v>
      </c>
      <c r="G20892" s="49" t="str">
        <f t="shared" si="1"/>
        <v>52400</v>
      </c>
      <c r="H20892" s="49">
        <f t="shared" si="2"/>
        <v>52350</v>
      </c>
    </row>
    <row r="20893">
      <c r="A20893" s="48" t="s">
        <v>698</v>
      </c>
      <c r="B20893" s="38">
        <v>11311.0</v>
      </c>
      <c r="C20893" s="38" t="s">
        <v>25404</v>
      </c>
      <c r="D20893" s="38" t="str">
        <f>IFERROR(__xludf.DUMMYFUNCTION("REGEXREPLACE(C20893,""-\d+(.*)|--\d+(.*)"","""")"),"RIBAUTE")</f>
        <v>RIBAUTE</v>
      </c>
      <c r="E20893" s="38" t="s">
        <v>278</v>
      </c>
      <c r="F20893" s="38" t="s">
        <v>119</v>
      </c>
      <c r="G20893" s="49" t="str">
        <f t="shared" si="1"/>
        <v>11220</v>
      </c>
      <c r="H20893" s="49">
        <f t="shared" si="2"/>
        <v>11311</v>
      </c>
    </row>
    <row r="20894">
      <c r="A20894" s="48" t="s">
        <v>25405</v>
      </c>
      <c r="B20894" s="38">
        <v>29199.0</v>
      </c>
      <c r="C20894" s="38" t="s">
        <v>25406</v>
      </c>
      <c r="D20894" s="38" t="str">
        <f>IFERROR(__xludf.DUMMYFUNCTION("REGEXREPLACE(C20894,""-\d+(.*)|--\d+(.*)"","""")"),"PLOUIGNEAU")</f>
        <v>PLOUIGNEAU</v>
      </c>
      <c r="E20894" s="38" t="s">
        <v>176</v>
      </c>
      <c r="F20894" s="38" t="s">
        <v>90</v>
      </c>
      <c r="G20894" s="49" t="str">
        <f t="shared" si="1"/>
        <v>29610</v>
      </c>
      <c r="H20894" s="49">
        <f t="shared" si="2"/>
        <v>29199</v>
      </c>
    </row>
    <row r="20895">
      <c r="A20895" s="48" t="s">
        <v>13381</v>
      </c>
      <c r="B20895" s="38">
        <v>1109.0</v>
      </c>
      <c r="C20895" s="38" t="s">
        <v>25407</v>
      </c>
      <c r="D20895" s="38" t="str">
        <f>IFERROR(__xludf.DUMMYFUNCTION("REGEXREPLACE(C20895,""-\d+(.*)|--\d+(.*)"","""")"),"COLLONGES")</f>
        <v>COLLONGES</v>
      </c>
      <c r="E20895" s="38" t="s">
        <v>255</v>
      </c>
      <c r="F20895" s="38" t="s">
        <v>102</v>
      </c>
      <c r="G20895" s="49" t="str">
        <f t="shared" si="1"/>
        <v>01550</v>
      </c>
      <c r="H20895" s="49" t="str">
        <f t="shared" si="2"/>
        <v>01109</v>
      </c>
    </row>
    <row r="20896">
      <c r="A20896" s="48" t="s">
        <v>9743</v>
      </c>
      <c r="B20896" s="38">
        <v>36157.0</v>
      </c>
      <c r="C20896" s="38" t="s">
        <v>25408</v>
      </c>
      <c r="D20896" s="38" t="str">
        <f>IFERROR(__xludf.DUMMYFUNCTION("REGEXREPLACE(C20896,""-\d+(.*)|--\d+(.*)"","""")"),"LA PEROUILLE")</f>
        <v>LA PEROUILLE</v>
      </c>
      <c r="E20896" s="38" t="s">
        <v>258</v>
      </c>
      <c r="F20896" s="38" t="s">
        <v>123</v>
      </c>
      <c r="G20896" s="49" t="str">
        <f t="shared" si="1"/>
        <v>36350</v>
      </c>
      <c r="H20896" s="49">
        <f t="shared" si="2"/>
        <v>36157</v>
      </c>
    </row>
    <row r="20897">
      <c r="A20897" s="48" t="s">
        <v>2482</v>
      </c>
      <c r="B20897" s="38">
        <v>28237.0</v>
      </c>
      <c r="C20897" s="38" t="s">
        <v>25409</v>
      </c>
      <c r="D20897" s="38" t="str">
        <f>IFERROR(__xludf.DUMMYFUNCTION("REGEXREPLACE(C20897,""-\d+(.*)|--\d+(.*)"","""")"),"MAROLLES-LES-BUIS")</f>
        <v>MAROLLES-LES-BUIS</v>
      </c>
      <c r="E20897" s="38" t="s">
        <v>300</v>
      </c>
      <c r="F20897" s="38" t="s">
        <v>123</v>
      </c>
      <c r="G20897" s="49" t="str">
        <f t="shared" si="1"/>
        <v>28400</v>
      </c>
      <c r="H20897" s="49">
        <f t="shared" si="2"/>
        <v>28237</v>
      </c>
    </row>
    <row r="20898">
      <c r="A20898" s="48" t="s">
        <v>2897</v>
      </c>
      <c r="B20898" s="38">
        <v>7265.0</v>
      </c>
      <c r="C20898" s="38" t="s">
        <v>25410</v>
      </c>
      <c r="D20898" s="38" t="str">
        <f>IFERROR(__xludf.DUMMYFUNCTION("REGEXREPLACE(C20898,""-\d+(.*)|--\d+(.*)"","""")"),"SAINT-MARCEL-LES-ANNONAY")</f>
        <v>SAINT-MARCEL-LES-ANNONAY</v>
      </c>
      <c r="E20898" s="38" t="s">
        <v>144</v>
      </c>
      <c r="F20898" s="38" t="s">
        <v>102</v>
      </c>
      <c r="G20898" s="49" t="str">
        <f t="shared" si="1"/>
        <v>07100</v>
      </c>
      <c r="H20898" s="49" t="str">
        <f t="shared" si="2"/>
        <v>07265</v>
      </c>
    </row>
    <row r="20899">
      <c r="A20899" s="48" t="s">
        <v>7477</v>
      </c>
      <c r="B20899" s="38">
        <v>4236.0</v>
      </c>
      <c r="C20899" s="38" t="s">
        <v>25411</v>
      </c>
      <c r="D20899" s="38" t="str">
        <f>IFERROR(__xludf.DUMMYFUNCTION("REGEXREPLACE(C20899,""-\d+(.*)|--\d+(.*)"","""")"),"VERGONS")</f>
        <v>VERGONS</v>
      </c>
      <c r="E20899" s="38" t="s">
        <v>662</v>
      </c>
      <c r="F20899" s="38" t="s">
        <v>228</v>
      </c>
      <c r="G20899" s="49" t="str">
        <f t="shared" si="1"/>
        <v>04170</v>
      </c>
      <c r="H20899" s="49" t="str">
        <f t="shared" si="2"/>
        <v>04236</v>
      </c>
    </row>
    <row r="20900">
      <c r="A20900" s="48" t="s">
        <v>12001</v>
      </c>
      <c r="B20900" s="38">
        <v>7325.0</v>
      </c>
      <c r="C20900" s="38" t="s">
        <v>25412</v>
      </c>
      <c r="D20900" s="38" t="str">
        <f>IFERROR(__xludf.DUMMYFUNCTION("REGEXREPLACE(C20900,""-\d+(.*)|--\d+(.*)"","""")"),"UCEL")</f>
        <v>UCEL</v>
      </c>
      <c r="E20900" s="38" t="s">
        <v>144</v>
      </c>
      <c r="F20900" s="38" t="s">
        <v>102</v>
      </c>
      <c r="G20900" s="49" t="str">
        <f t="shared" si="1"/>
        <v>07200</v>
      </c>
      <c r="H20900" s="49" t="str">
        <f t="shared" si="2"/>
        <v>07325</v>
      </c>
    </row>
    <row r="20901">
      <c r="A20901" s="48" t="s">
        <v>2974</v>
      </c>
      <c r="B20901" s="38">
        <v>40184.0</v>
      </c>
      <c r="C20901" s="38" t="s">
        <v>25413</v>
      </c>
      <c r="D20901" s="38" t="str">
        <f>IFERROR(__xludf.DUMMYFUNCTION("REGEXREPLACE(C20901,""-\d+(.*)|--\d+(.*)"","""")"),"MIMIZAN")</f>
        <v>MIMIZAN</v>
      </c>
      <c r="E20901" s="38" t="s">
        <v>281</v>
      </c>
      <c r="F20901" s="38" t="s">
        <v>252</v>
      </c>
      <c r="G20901" s="49" t="str">
        <f t="shared" si="1"/>
        <v>40200</v>
      </c>
      <c r="H20901" s="49">
        <f t="shared" si="2"/>
        <v>40184</v>
      </c>
    </row>
    <row r="20902">
      <c r="A20902" s="48" t="s">
        <v>1334</v>
      </c>
      <c r="B20902" s="38">
        <v>7283.0</v>
      </c>
      <c r="C20902" s="38" t="s">
        <v>25414</v>
      </c>
      <c r="D20902" s="38" t="str">
        <f>IFERROR(__xludf.DUMMYFUNCTION("REGEXREPLACE(C20902,""-\d+(.*)|--\d+(.*)"","""")"),"SAINT-PIERRE-LA-ROCHE")</f>
        <v>SAINT-PIERRE-LA-ROCHE</v>
      </c>
      <c r="E20902" s="38" t="s">
        <v>144</v>
      </c>
      <c r="F20902" s="38" t="s">
        <v>102</v>
      </c>
      <c r="G20902" s="49" t="str">
        <f t="shared" si="1"/>
        <v>07400</v>
      </c>
      <c r="H20902" s="49" t="str">
        <f t="shared" si="2"/>
        <v>07283</v>
      </c>
    </row>
    <row r="20903">
      <c r="A20903" s="48" t="s">
        <v>5035</v>
      </c>
      <c r="B20903" s="38">
        <v>32062.0</v>
      </c>
      <c r="C20903" s="38" t="s">
        <v>25415</v>
      </c>
      <c r="D20903" s="38" t="str">
        <f>IFERROR(__xludf.DUMMYFUNCTION("REGEXREPLACE(C20903,""-\d+(.*)|--\d+(.*)"","""")"),"BOURROUILLAN")</f>
        <v>BOURROUILLAN</v>
      </c>
      <c r="E20903" s="38" t="s">
        <v>440</v>
      </c>
      <c r="F20903" s="38" t="s">
        <v>94</v>
      </c>
      <c r="G20903" s="49" t="str">
        <f t="shared" si="1"/>
        <v>32370</v>
      </c>
      <c r="H20903" s="49">
        <f t="shared" si="2"/>
        <v>32062</v>
      </c>
    </row>
    <row r="20904">
      <c r="A20904" s="48" t="s">
        <v>4274</v>
      </c>
      <c r="B20904" s="38">
        <v>52185.0</v>
      </c>
      <c r="C20904" s="38" t="s">
        <v>25416</v>
      </c>
      <c r="D20904" s="38" t="str">
        <f>IFERROR(__xludf.DUMMYFUNCTION("REGEXREPLACE(C20904,""-\d+(.*)|--\d+(.*)"","""")"),"ENFONVELLE")</f>
        <v>ENFONVELLE</v>
      </c>
      <c r="E20904" s="38" t="s">
        <v>234</v>
      </c>
      <c r="F20904" s="38" t="s">
        <v>130</v>
      </c>
      <c r="G20904" s="49" t="str">
        <f t="shared" si="1"/>
        <v>52400</v>
      </c>
      <c r="H20904" s="49">
        <f t="shared" si="2"/>
        <v>52185</v>
      </c>
    </row>
    <row r="20905">
      <c r="A20905" s="48" t="s">
        <v>2459</v>
      </c>
      <c r="B20905" s="38" t="s">
        <v>25417</v>
      </c>
      <c r="C20905" s="38" t="s">
        <v>25418</v>
      </c>
      <c r="D20905" s="38" t="str">
        <f>IFERROR(__xludf.DUMMYFUNCTION("REGEXREPLACE(C20905,""-\d+(.*)|--\d+(.*)"","""")"),"SAN-GAVINO-D'AMPUGNANI")</f>
        <v>SAN-GAVINO-D'AMPUGNANI</v>
      </c>
      <c r="E20905" s="38" t="s">
        <v>743</v>
      </c>
      <c r="F20905" s="38" t="s">
        <v>607</v>
      </c>
      <c r="G20905" s="49" t="str">
        <f t="shared" si="1"/>
        <v>20213</v>
      </c>
      <c r="H20905" s="49" t="str">
        <f t="shared" si="2"/>
        <v>2B299</v>
      </c>
    </row>
    <row r="20906">
      <c r="A20906" s="48" t="s">
        <v>7933</v>
      </c>
      <c r="B20906" s="38">
        <v>27300.0</v>
      </c>
      <c r="C20906" s="38" t="s">
        <v>25419</v>
      </c>
      <c r="D20906" s="38" t="str">
        <f>IFERROR(__xludf.DUMMYFUNCTION("REGEXREPLACE(C20906,""-\d+(.*)|--\d+(.*)"","""")"),"GROSLEY-SUR-RISLE")</f>
        <v>GROSLEY-SUR-RISLE</v>
      </c>
      <c r="E20906" s="38" t="s">
        <v>241</v>
      </c>
      <c r="F20906" s="38" t="s">
        <v>134</v>
      </c>
      <c r="G20906" s="49" t="str">
        <f t="shared" si="1"/>
        <v>27170</v>
      </c>
      <c r="H20906" s="49">
        <f t="shared" si="2"/>
        <v>27300</v>
      </c>
    </row>
    <row r="20907">
      <c r="A20907" s="48" t="s">
        <v>17977</v>
      </c>
      <c r="B20907" s="38">
        <v>19234.0</v>
      </c>
      <c r="C20907" s="38" t="s">
        <v>25420</v>
      </c>
      <c r="D20907" s="38" t="str">
        <f>IFERROR(__xludf.DUMMYFUNCTION("REGEXREPLACE(C20907,""-\d+(.*)|--\d+(.*)"","""")"),"SAINT-PARDOUX-L'ORTIGIER")</f>
        <v>SAINT-PARDOUX-L'ORTIGIER</v>
      </c>
      <c r="E20907" s="38" t="s">
        <v>271</v>
      </c>
      <c r="F20907" s="38" t="s">
        <v>98</v>
      </c>
      <c r="G20907" s="49" t="str">
        <f t="shared" si="1"/>
        <v>19270</v>
      </c>
      <c r="H20907" s="49">
        <f t="shared" si="2"/>
        <v>19234</v>
      </c>
    </row>
    <row r="20908">
      <c r="A20908" s="48" t="s">
        <v>3783</v>
      </c>
      <c r="B20908" s="38">
        <v>62137.0</v>
      </c>
      <c r="C20908" s="38" t="s">
        <v>25421</v>
      </c>
      <c r="D20908" s="38" t="str">
        <f>IFERROR(__xludf.DUMMYFUNCTION("REGEXREPLACE(C20908,""-\d+(.*)|--\d+(.*)"","""")"),"BLANGERVAL-BLANGERMONT")</f>
        <v>BLANGERVAL-BLANGERMONT</v>
      </c>
      <c r="E20908" s="38" t="s">
        <v>109</v>
      </c>
      <c r="F20908" s="38" t="s">
        <v>86</v>
      </c>
      <c r="G20908" s="49" t="str">
        <f t="shared" si="1"/>
        <v>62270</v>
      </c>
      <c r="H20908" s="49">
        <f t="shared" si="2"/>
        <v>62137</v>
      </c>
    </row>
    <row r="20909">
      <c r="A20909" s="48" t="s">
        <v>5286</v>
      </c>
      <c r="B20909" s="38">
        <v>71395.0</v>
      </c>
      <c r="C20909" s="38" t="s">
        <v>25422</v>
      </c>
      <c r="D20909" s="38" t="str">
        <f>IFERROR(__xludf.DUMMYFUNCTION("REGEXREPLACE(C20909,""-\d+(.*)|--\d+(.*)"","""")"),"SAINT-BONNET-DE-VIEILLE-VIGNE")</f>
        <v>SAINT-BONNET-DE-VIEILLE-VIGNE</v>
      </c>
      <c r="E20909" s="38" t="s">
        <v>344</v>
      </c>
      <c r="F20909" s="38" t="s">
        <v>106</v>
      </c>
      <c r="G20909" s="49" t="str">
        <f t="shared" si="1"/>
        <v>71430</v>
      </c>
      <c r="H20909" s="49">
        <f t="shared" si="2"/>
        <v>71395</v>
      </c>
    </row>
    <row r="20910">
      <c r="A20910" s="48" t="s">
        <v>715</v>
      </c>
      <c r="B20910" s="38">
        <v>88264.0</v>
      </c>
      <c r="C20910" s="38" t="s">
        <v>25423</v>
      </c>
      <c r="D20910" s="38" t="str">
        <f>IFERROR(__xludf.DUMMYFUNCTION("REGEXREPLACE(C20910,""-\d+(.*)|--\d+(.*)"","""")"),"LEGEVILLE-ET-BONFAYS")</f>
        <v>LEGEVILLE-ET-BONFAYS</v>
      </c>
      <c r="E20910" s="38" t="s">
        <v>194</v>
      </c>
      <c r="F20910" s="38" t="s">
        <v>195</v>
      </c>
      <c r="G20910" s="49" t="str">
        <f t="shared" si="1"/>
        <v>88270</v>
      </c>
      <c r="H20910" s="49">
        <f t="shared" si="2"/>
        <v>88264</v>
      </c>
    </row>
    <row r="20911">
      <c r="A20911" s="48" t="s">
        <v>3596</v>
      </c>
      <c r="B20911" s="38">
        <v>25634.0</v>
      </c>
      <c r="C20911" s="38" t="s">
        <v>25424</v>
      </c>
      <c r="D20911" s="38" t="str">
        <f>IFERROR(__xludf.DUMMYFUNCTION("REGEXREPLACE(C20911,""-\d+(.*)|--\d+(.*)"","""")"),"VUILLECIN")</f>
        <v>VUILLECIN</v>
      </c>
      <c r="E20911" s="38" t="s">
        <v>213</v>
      </c>
      <c r="F20911" s="38" t="s">
        <v>214</v>
      </c>
      <c r="G20911" s="49" t="str">
        <f t="shared" si="1"/>
        <v>25300</v>
      </c>
      <c r="H20911" s="49">
        <f t="shared" si="2"/>
        <v>25634</v>
      </c>
    </row>
    <row r="20912">
      <c r="A20912" s="48" t="s">
        <v>3046</v>
      </c>
      <c r="B20912" s="38">
        <v>70058.0</v>
      </c>
      <c r="C20912" s="38" t="s">
        <v>25425</v>
      </c>
      <c r="D20912" s="38" t="str">
        <f>IFERROR(__xludf.DUMMYFUNCTION("REGEXREPLACE(C20912,""-\d+(.*)|--\d+(.*)"","""")"),"BEAUJEU-SAINT-VALLIER-PIERREJUX-ET-QUITTEUR")</f>
        <v>BEAUJEU-SAINT-VALLIER-PIERREJUX-ET-QUITTEUR</v>
      </c>
      <c r="E20912" s="38" t="s">
        <v>956</v>
      </c>
      <c r="F20912" s="38" t="s">
        <v>214</v>
      </c>
      <c r="G20912" s="49" t="str">
        <f t="shared" si="1"/>
        <v>70100</v>
      </c>
      <c r="H20912" s="49">
        <f t="shared" si="2"/>
        <v>70058</v>
      </c>
    </row>
    <row r="20913">
      <c r="A20913" s="48" t="s">
        <v>5218</v>
      </c>
      <c r="B20913" s="38">
        <v>6015.0</v>
      </c>
      <c r="C20913" s="38" t="s">
        <v>25426</v>
      </c>
      <c r="D20913" s="38" t="str">
        <f>IFERROR(__xludf.DUMMYFUNCTION("REGEXREPLACE(C20913,""-\d+(.*)|--\d+(.*)"","""")"),"BERRE-LES-ALPES")</f>
        <v>BERRE-LES-ALPES</v>
      </c>
      <c r="E20913" s="38" t="s">
        <v>227</v>
      </c>
      <c r="F20913" s="38" t="s">
        <v>228</v>
      </c>
      <c r="G20913" s="49" t="str">
        <f t="shared" si="1"/>
        <v>06390</v>
      </c>
      <c r="H20913" s="49" t="str">
        <f t="shared" si="2"/>
        <v>06015</v>
      </c>
    </row>
    <row r="20914">
      <c r="A20914" s="48" t="s">
        <v>7926</v>
      </c>
      <c r="B20914" s="38">
        <v>71441.0</v>
      </c>
      <c r="C20914" s="38" t="s">
        <v>25427</v>
      </c>
      <c r="D20914" s="38" t="str">
        <f>IFERROR(__xludf.DUMMYFUNCTION("REGEXREPLACE(C20914,""-\d+(.*)|--\d+(.*)"","""")"),"SAINT-LEGER-SOUS-LA-BUSSIERE")</f>
        <v>SAINT-LEGER-SOUS-LA-BUSSIERE</v>
      </c>
      <c r="E20914" s="38" t="s">
        <v>344</v>
      </c>
      <c r="F20914" s="38" t="s">
        <v>106</v>
      </c>
      <c r="G20914" s="49" t="str">
        <f t="shared" si="1"/>
        <v>71520</v>
      </c>
      <c r="H20914" s="49">
        <f t="shared" si="2"/>
        <v>71441</v>
      </c>
    </row>
    <row r="20915">
      <c r="A20915" s="48" t="s">
        <v>25428</v>
      </c>
      <c r="B20915" s="38">
        <v>59112.0</v>
      </c>
      <c r="C20915" s="38" t="s">
        <v>25429</v>
      </c>
      <c r="D20915" s="38" t="str">
        <f>IFERROR(__xludf.DUMMYFUNCTION("REGEXREPLACE(C20915,""-\d+(.*)|--\d+(.*)"","""")"),"BRUAY-SUR-L'ESCAUT")</f>
        <v>BRUAY-SUR-L'ESCAUT</v>
      </c>
      <c r="E20915" s="38" t="s">
        <v>85</v>
      </c>
      <c r="F20915" s="38" t="s">
        <v>86</v>
      </c>
      <c r="G20915" s="49" t="str">
        <f t="shared" si="1"/>
        <v>59860</v>
      </c>
      <c r="H20915" s="49">
        <f t="shared" si="2"/>
        <v>59112</v>
      </c>
    </row>
    <row r="20916">
      <c r="A20916" s="48" t="s">
        <v>6990</v>
      </c>
      <c r="B20916" s="38">
        <v>29067.0</v>
      </c>
      <c r="C20916" s="38" t="s">
        <v>25430</v>
      </c>
      <c r="D20916" s="38" t="str">
        <f>IFERROR(__xludf.DUMMYFUNCTION("REGEXREPLACE(C20916,""-\d+(.*)|--\d+(.*)"","""")"),"GUERLESQUIN")</f>
        <v>GUERLESQUIN</v>
      </c>
      <c r="E20916" s="38" t="s">
        <v>176</v>
      </c>
      <c r="F20916" s="38" t="s">
        <v>90</v>
      </c>
      <c r="G20916" s="49" t="str">
        <f t="shared" si="1"/>
        <v>29650</v>
      </c>
      <c r="H20916" s="49">
        <f t="shared" si="2"/>
        <v>29067</v>
      </c>
    </row>
    <row r="20917">
      <c r="A20917" s="48" t="s">
        <v>4328</v>
      </c>
      <c r="B20917" s="38">
        <v>70253.0</v>
      </c>
      <c r="C20917" s="38" t="s">
        <v>25431</v>
      </c>
      <c r="D20917" s="38" t="str">
        <f>IFERROR(__xludf.DUMMYFUNCTION("REGEXREPLACE(C20917,""-\d+(.*)|--\d+(.*)"","""")"),"FRASNE-LE-CHATEAU")</f>
        <v>FRASNE-LE-CHATEAU</v>
      </c>
      <c r="E20917" s="38" t="s">
        <v>956</v>
      </c>
      <c r="F20917" s="38" t="s">
        <v>214</v>
      </c>
      <c r="G20917" s="49" t="str">
        <f t="shared" si="1"/>
        <v>70700</v>
      </c>
      <c r="H20917" s="49">
        <f t="shared" si="2"/>
        <v>70253</v>
      </c>
    </row>
    <row r="20918">
      <c r="A20918" s="48" t="s">
        <v>3789</v>
      </c>
      <c r="B20918" s="38">
        <v>51018.0</v>
      </c>
      <c r="C20918" s="38" t="s">
        <v>25432</v>
      </c>
      <c r="D20918" s="38" t="str">
        <f>IFERROR(__xludf.DUMMYFUNCTION("REGEXREPLACE(C20918,""-\d+(.*)|--\d+(.*)"","""")"),"ATHIS")</f>
        <v>ATHIS</v>
      </c>
      <c r="E20918" s="38" t="s">
        <v>129</v>
      </c>
      <c r="F20918" s="38" t="s">
        <v>130</v>
      </c>
      <c r="G20918" s="49" t="str">
        <f t="shared" si="1"/>
        <v>51150</v>
      </c>
      <c r="H20918" s="49">
        <f t="shared" si="2"/>
        <v>51018</v>
      </c>
    </row>
    <row r="20919">
      <c r="A20919" s="48" t="s">
        <v>18878</v>
      </c>
      <c r="B20919" s="38">
        <v>14530.0</v>
      </c>
      <c r="C20919" s="38" t="s">
        <v>25433</v>
      </c>
      <c r="D20919" s="38" t="str">
        <f>IFERROR(__xludf.DUMMYFUNCTION("REGEXREPLACE(C20919,""-\d+(.*)|--\d+(.*)"","""")"),"RANVILLE")</f>
        <v>RANVILLE</v>
      </c>
      <c r="E20919" s="38" t="s">
        <v>137</v>
      </c>
      <c r="F20919" s="38" t="s">
        <v>138</v>
      </c>
      <c r="G20919" s="49" t="str">
        <f t="shared" si="1"/>
        <v>14860</v>
      </c>
      <c r="H20919" s="49">
        <f t="shared" si="2"/>
        <v>14530</v>
      </c>
    </row>
    <row r="20920">
      <c r="A20920" s="48" t="s">
        <v>608</v>
      </c>
      <c r="B20920" s="38">
        <v>74226.0</v>
      </c>
      <c r="C20920" s="38" t="s">
        <v>25434</v>
      </c>
      <c r="D20920" s="38" t="str">
        <f>IFERROR(__xludf.DUMMYFUNCTION("REGEXREPLACE(C20920,""-\d+(.*)|--\d+(.*)"","""")"),"SAINT-ANDRE-DE-BOEGE")</f>
        <v>SAINT-ANDRE-DE-BOEGE</v>
      </c>
      <c r="E20920" s="38" t="s">
        <v>319</v>
      </c>
      <c r="F20920" s="38" t="s">
        <v>102</v>
      </c>
      <c r="G20920" s="49" t="str">
        <f t="shared" si="1"/>
        <v>74420</v>
      </c>
      <c r="H20920" s="49">
        <f t="shared" si="2"/>
        <v>74226</v>
      </c>
    </row>
    <row r="20921">
      <c r="A20921" s="48" t="s">
        <v>4519</v>
      </c>
      <c r="B20921" s="38">
        <v>26264.0</v>
      </c>
      <c r="C20921" s="38" t="s">
        <v>25435</v>
      </c>
      <c r="D20921" s="38" t="str">
        <f>IFERROR(__xludf.DUMMYFUNCTION("REGEXREPLACE(C20921,""-\d+(.*)|--\d+(.*)"","""")"),"REMUZAT")</f>
        <v>REMUZAT</v>
      </c>
      <c r="E20921" s="38" t="s">
        <v>126</v>
      </c>
      <c r="F20921" s="38" t="s">
        <v>102</v>
      </c>
      <c r="G20921" s="49" t="str">
        <f t="shared" si="1"/>
        <v>26510</v>
      </c>
      <c r="H20921" s="49">
        <f t="shared" si="2"/>
        <v>26264</v>
      </c>
    </row>
    <row r="20922">
      <c r="A20922" s="48" t="s">
        <v>1744</v>
      </c>
      <c r="B20922" s="38">
        <v>31090.0</v>
      </c>
      <c r="C20922" s="38" t="s">
        <v>25436</v>
      </c>
      <c r="D20922" s="38" t="str">
        <f>IFERROR(__xludf.DUMMYFUNCTION("REGEXREPLACE(C20922,""-\d+(.*)|--\d+(.*)"","""")"),"BRIGNEMONT")</f>
        <v>BRIGNEMONT</v>
      </c>
      <c r="E20922" s="38" t="s">
        <v>93</v>
      </c>
      <c r="F20922" s="38" t="s">
        <v>94</v>
      </c>
      <c r="G20922" s="49" t="str">
        <f t="shared" si="1"/>
        <v>31480</v>
      </c>
      <c r="H20922" s="49">
        <f t="shared" si="2"/>
        <v>31090</v>
      </c>
    </row>
    <row r="20923">
      <c r="A20923" s="48" t="s">
        <v>3422</v>
      </c>
      <c r="B20923" s="38">
        <v>32277.0</v>
      </c>
      <c r="C20923" s="38" t="s">
        <v>25437</v>
      </c>
      <c r="D20923" s="38" t="str">
        <f>IFERROR(__xludf.DUMMYFUNCTION("REGEXREPLACE(C20923,""-\d+(.*)|--\d+(.*)"","""")"),"MONTAMAT")</f>
        <v>MONTAMAT</v>
      </c>
      <c r="E20923" s="38" t="s">
        <v>440</v>
      </c>
      <c r="F20923" s="38" t="s">
        <v>94</v>
      </c>
      <c r="G20923" s="49" t="str">
        <f t="shared" si="1"/>
        <v>32220</v>
      </c>
      <c r="H20923" s="49">
        <f t="shared" si="2"/>
        <v>32277</v>
      </c>
    </row>
    <row r="20924">
      <c r="A20924" s="48" t="s">
        <v>1174</v>
      </c>
      <c r="B20924" s="38">
        <v>51334.0</v>
      </c>
      <c r="C20924" s="38" t="s">
        <v>25438</v>
      </c>
      <c r="D20924" s="38" t="str">
        <f>IFERROR(__xludf.DUMMYFUNCTION("REGEXREPLACE(C20924,""-\d+(.*)|--\d+(.*)"","""")"),"LUXEMONT-ET-VILLOTTE")</f>
        <v>LUXEMONT-ET-VILLOTTE</v>
      </c>
      <c r="E20924" s="38" t="s">
        <v>129</v>
      </c>
      <c r="F20924" s="38" t="s">
        <v>130</v>
      </c>
      <c r="G20924" s="49" t="str">
        <f t="shared" si="1"/>
        <v>51300</v>
      </c>
      <c r="H20924" s="49">
        <f t="shared" si="2"/>
        <v>51334</v>
      </c>
    </row>
    <row r="20925">
      <c r="A20925" s="48" t="s">
        <v>1947</v>
      </c>
      <c r="B20925" s="38">
        <v>52063.0</v>
      </c>
      <c r="C20925" s="38" t="s">
        <v>25439</v>
      </c>
      <c r="D20925" s="38" t="str">
        <f>IFERROR(__xludf.DUMMYFUNCTION("REGEXREPLACE(C20925,""-\d+(.*)|--\d+(.*)"","""")"),"BOURG-SAINTE-MARIE")</f>
        <v>BOURG-SAINTE-MARIE</v>
      </c>
      <c r="E20925" s="38" t="s">
        <v>234</v>
      </c>
      <c r="F20925" s="38" t="s">
        <v>130</v>
      </c>
      <c r="G20925" s="49" t="str">
        <f t="shared" si="1"/>
        <v>52150</v>
      </c>
      <c r="H20925" s="49">
        <f t="shared" si="2"/>
        <v>52063</v>
      </c>
    </row>
    <row r="20926">
      <c r="A20926" s="48" t="s">
        <v>4088</v>
      </c>
      <c r="B20926" s="38">
        <v>39435.0</v>
      </c>
      <c r="C20926" s="38" t="s">
        <v>25440</v>
      </c>
      <c r="D20926" s="38" t="str">
        <f>IFERROR(__xludf.DUMMYFUNCTION("REGEXREPLACE(C20926,""-\d+(.*)|--\d+(.*)"","""")"),"PONT-DE-POITTE")</f>
        <v>PONT-DE-POITTE</v>
      </c>
      <c r="E20926" s="38" t="s">
        <v>400</v>
      </c>
      <c r="F20926" s="38" t="s">
        <v>214</v>
      </c>
      <c r="G20926" s="49" t="str">
        <f t="shared" si="1"/>
        <v>39130</v>
      </c>
      <c r="H20926" s="49">
        <f t="shared" si="2"/>
        <v>39435</v>
      </c>
    </row>
    <row r="20927">
      <c r="A20927" s="48" t="s">
        <v>7239</v>
      </c>
      <c r="B20927" s="38">
        <v>24417.0</v>
      </c>
      <c r="C20927" s="38" t="s">
        <v>3108</v>
      </c>
      <c r="D20927" s="38" t="str">
        <f>IFERROR(__xludf.DUMMYFUNCTION("REGEXREPLACE(C20927,""-\d+(.*)|--\d+(.*)"","""")"),"SAINT-GERMAIN-DES-PRES")</f>
        <v>SAINT-GERMAIN-DES-PRES</v>
      </c>
      <c r="E20927" s="38" t="s">
        <v>261</v>
      </c>
      <c r="F20927" s="38" t="s">
        <v>252</v>
      </c>
      <c r="G20927" s="49" t="str">
        <f t="shared" si="1"/>
        <v>24160</v>
      </c>
      <c r="H20927" s="49">
        <f t="shared" si="2"/>
        <v>24417</v>
      </c>
    </row>
    <row r="20928">
      <c r="A20928" s="48" t="s">
        <v>3750</v>
      </c>
      <c r="B20928" s="38">
        <v>47193.0</v>
      </c>
      <c r="C20928" s="38" t="s">
        <v>4320</v>
      </c>
      <c r="D20928" s="38" t="str">
        <f>IFERROR(__xludf.DUMMYFUNCTION("REGEXREPLACE(C20928,""-\d+(.*)|--\d+(.*)"","""")"),"MOULINET")</f>
        <v>MOULINET</v>
      </c>
      <c r="E20928" s="38" t="s">
        <v>251</v>
      </c>
      <c r="F20928" s="38" t="s">
        <v>252</v>
      </c>
      <c r="G20928" s="49" t="str">
        <f t="shared" si="1"/>
        <v>47290</v>
      </c>
      <c r="H20928" s="49">
        <f t="shared" si="2"/>
        <v>47193</v>
      </c>
    </row>
    <row r="20929">
      <c r="A20929" s="48" t="s">
        <v>3224</v>
      </c>
      <c r="B20929" s="38">
        <v>54486.0</v>
      </c>
      <c r="C20929" s="38" t="s">
        <v>11197</v>
      </c>
      <c r="D20929" s="38" t="str">
        <f>IFERROR(__xludf.DUMMYFUNCTION("REGEXREPLACE(C20929,""-\d+(.*)|--\d+(.*)"","""")"),"SAINT-REMIMONT")</f>
        <v>SAINT-REMIMONT</v>
      </c>
      <c r="E20929" s="38" t="s">
        <v>548</v>
      </c>
      <c r="F20929" s="38" t="s">
        <v>195</v>
      </c>
      <c r="G20929" s="49" t="str">
        <f t="shared" si="1"/>
        <v>54740</v>
      </c>
      <c r="H20929" s="49">
        <f t="shared" si="2"/>
        <v>54486</v>
      </c>
    </row>
    <row r="20930">
      <c r="A20930" s="48" t="s">
        <v>25441</v>
      </c>
      <c r="B20930" s="38">
        <v>77174.0</v>
      </c>
      <c r="C20930" s="38" t="s">
        <v>25442</v>
      </c>
      <c r="D20930" s="38" t="str">
        <f>IFERROR(__xludf.DUMMYFUNCTION("REGEXREPLACE(C20930,""-\d+(.*)|--\d+(.*)"","""")"),"EVERLY")</f>
        <v>EVERLY</v>
      </c>
      <c r="E20930" s="38" t="s">
        <v>244</v>
      </c>
      <c r="F20930" s="38" t="s">
        <v>245</v>
      </c>
      <c r="G20930" s="49" t="str">
        <f t="shared" si="1"/>
        <v>77157</v>
      </c>
      <c r="H20930" s="49">
        <f t="shared" si="2"/>
        <v>77174</v>
      </c>
    </row>
    <row r="20931">
      <c r="A20931" s="48" t="s">
        <v>5125</v>
      </c>
      <c r="B20931" s="38">
        <v>49087.0</v>
      </c>
      <c r="C20931" s="38" t="s">
        <v>25443</v>
      </c>
      <c r="D20931" s="38" t="str">
        <f>IFERROR(__xludf.DUMMYFUNCTION("REGEXREPLACE(C20931,""-\d+(.*)|--\d+(.*)"","""")"),"CHAVAIGNES")</f>
        <v>CHAVAIGNES</v>
      </c>
      <c r="E20931" s="38" t="s">
        <v>653</v>
      </c>
      <c r="F20931" s="38" t="s">
        <v>180</v>
      </c>
      <c r="G20931" s="49" t="str">
        <f t="shared" si="1"/>
        <v>49490</v>
      </c>
      <c r="H20931" s="49">
        <f t="shared" si="2"/>
        <v>49087</v>
      </c>
    </row>
    <row r="20932">
      <c r="A20932" s="48" t="s">
        <v>2788</v>
      </c>
      <c r="B20932" s="38">
        <v>35150.0</v>
      </c>
      <c r="C20932" s="38" t="s">
        <v>25444</v>
      </c>
      <c r="D20932" s="38" t="str">
        <f>IFERROR(__xludf.DUMMYFUNCTION("REGEXREPLACE(C20932,""-\d+(.*)|--\d+(.*)"","""")"),"LECOUSSE")</f>
        <v>LECOUSSE</v>
      </c>
      <c r="E20932" s="38" t="s">
        <v>347</v>
      </c>
      <c r="F20932" s="38" t="s">
        <v>90</v>
      </c>
      <c r="G20932" s="49" t="str">
        <f t="shared" si="1"/>
        <v>35133</v>
      </c>
      <c r="H20932" s="49">
        <f t="shared" si="2"/>
        <v>35150</v>
      </c>
    </row>
    <row r="20933">
      <c r="A20933" s="48" t="s">
        <v>13114</v>
      </c>
      <c r="B20933" s="38">
        <v>14535.0</v>
      </c>
      <c r="C20933" s="38" t="s">
        <v>25445</v>
      </c>
      <c r="D20933" s="38" t="str">
        <f>IFERROR(__xludf.DUMMYFUNCTION("REGEXREPLACE(C20933,""-\d+(.*)|--\d+(.*)"","""")"),"REVIERS")</f>
        <v>REVIERS</v>
      </c>
      <c r="E20933" s="38" t="s">
        <v>137</v>
      </c>
      <c r="F20933" s="38" t="s">
        <v>138</v>
      </c>
      <c r="G20933" s="49" t="str">
        <f t="shared" si="1"/>
        <v>14470</v>
      </c>
      <c r="H20933" s="49">
        <f t="shared" si="2"/>
        <v>14535</v>
      </c>
    </row>
    <row r="20934">
      <c r="A20934" s="48" t="s">
        <v>1787</v>
      </c>
      <c r="B20934" s="38">
        <v>62053.0</v>
      </c>
      <c r="C20934" s="38" t="s">
        <v>25446</v>
      </c>
      <c r="D20934" s="38" t="str">
        <f>IFERROR(__xludf.DUMMYFUNCTION("REGEXREPLACE(C20934,""-\d+(.*)|--\d+(.*)"","""")"),"AUDINCTHUN")</f>
        <v>AUDINCTHUN</v>
      </c>
      <c r="E20934" s="38" t="s">
        <v>109</v>
      </c>
      <c r="F20934" s="38" t="s">
        <v>86</v>
      </c>
      <c r="G20934" s="49" t="str">
        <f t="shared" si="1"/>
        <v>62560</v>
      </c>
      <c r="H20934" s="49">
        <f t="shared" si="2"/>
        <v>62053</v>
      </c>
    </row>
    <row r="20935">
      <c r="A20935" s="48" t="s">
        <v>2853</v>
      </c>
      <c r="B20935" s="38">
        <v>36193.0</v>
      </c>
      <c r="C20935" s="38" t="s">
        <v>18365</v>
      </c>
      <c r="D20935" s="38" t="str">
        <f>IFERROR(__xludf.DUMMYFUNCTION("REGEXREPLACE(C20935,""-\d+(.*)|--\d+(.*)"","""")"),"SAINTE-GEMME")</f>
        <v>SAINTE-GEMME</v>
      </c>
      <c r="E20935" s="38" t="s">
        <v>258</v>
      </c>
      <c r="F20935" s="38" t="s">
        <v>123</v>
      </c>
      <c r="G20935" s="49" t="str">
        <f t="shared" si="1"/>
        <v>36500</v>
      </c>
      <c r="H20935" s="49">
        <f t="shared" si="2"/>
        <v>36193</v>
      </c>
    </row>
    <row r="20936">
      <c r="A20936" s="48" t="s">
        <v>3287</v>
      </c>
      <c r="B20936" s="38">
        <v>1124.0</v>
      </c>
      <c r="C20936" s="38" t="s">
        <v>25447</v>
      </c>
      <c r="D20936" s="38" t="str">
        <f>IFERROR(__xludf.DUMMYFUNCTION("REGEXREPLACE(C20936,""-\d+(.*)|--\d+(.*)"","""")"),"CORMOZ")</f>
        <v>CORMOZ</v>
      </c>
      <c r="E20936" s="38" t="s">
        <v>255</v>
      </c>
      <c r="F20936" s="38" t="s">
        <v>102</v>
      </c>
      <c r="G20936" s="49" t="str">
        <f t="shared" si="1"/>
        <v>01560</v>
      </c>
      <c r="H20936" s="49" t="str">
        <f t="shared" si="2"/>
        <v>01124</v>
      </c>
    </row>
    <row r="20937">
      <c r="A20937" s="48" t="s">
        <v>13932</v>
      </c>
      <c r="B20937" s="38">
        <v>19062.0</v>
      </c>
      <c r="C20937" s="38" t="s">
        <v>25448</v>
      </c>
      <c r="D20937" s="38" t="str">
        <f>IFERROR(__xludf.DUMMYFUNCTION("REGEXREPLACE(C20937,""-\d+(.*)|--\d+(.*)"","""")"),"CORREZE")</f>
        <v>CORREZE</v>
      </c>
      <c r="E20937" s="38" t="s">
        <v>271</v>
      </c>
      <c r="F20937" s="38" t="s">
        <v>98</v>
      </c>
      <c r="G20937" s="49" t="str">
        <f t="shared" si="1"/>
        <v>19800</v>
      </c>
      <c r="H20937" s="49">
        <f t="shared" si="2"/>
        <v>19062</v>
      </c>
    </row>
    <row r="20938">
      <c r="A20938" s="48" t="s">
        <v>3266</v>
      </c>
      <c r="B20938" s="38">
        <v>55518.0</v>
      </c>
      <c r="C20938" s="38" t="s">
        <v>25449</v>
      </c>
      <c r="D20938" s="38" t="str">
        <f>IFERROR(__xludf.DUMMYFUNCTION("REGEXREPLACE(C20938,""-\d+(.*)|--\d+(.*)"","""")"),"COUSANCES-LES-TRICONVILLE")</f>
        <v>COUSANCES-LES-TRICONVILLE</v>
      </c>
      <c r="E20938" s="38" t="s">
        <v>322</v>
      </c>
      <c r="F20938" s="38" t="s">
        <v>195</v>
      </c>
      <c r="G20938" s="49" t="str">
        <f t="shared" si="1"/>
        <v>55500</v>
      </c>
      <c r="H20938" s="49">
        <f t="shared" si="2"/>
        <v>55518</v>
      </c>
    </row>
    <row r="20939">
      <c r="A20939" s="48" t="s">
        <v>25450</v>
      </c>
      <c r="B20939" s="38">
        <v>68023.0</v>
      </c>
      <c r="C20939" s="38" t="s">
        <v>25451</v>
      </c>
      <c r="D20939" s="38" t="str">
        <f>IFERROR(__xludf.DUMMYFUNCTION("REGEXREPLACE(C20939,""-\d+(.*)|--\d+(.*)"","""")"),"BEBLENHEIM")</f>
        <v>BEBLENHEIM</v>
      </c>
      <c r="E20939" s="38" t="s">
        <v>150</v>
      </c>
      <c r="F20939" s="38" t="s">
        <v>151</v>
      </c>
      <c r="G20939" s="49" t="str">
        <f t="shared" si="1"/>
        <v>68980</v>
      </c>
      <c r="H20939" s="49">
        <f t="shared" si="2"/>
        <v>68023</v>
      </c>
    </row>
    <row r="20940">
      <c r="A20940" s="48" t="s">
        <v>3840</v>
      </c>
      <c r="B20940" s="38">
        <v>72255.0</v>
      </c>
      <c r="C20940" s="38" t="s">
        <v>25452</v>
      </c>
      <c r="D20940" s="38" t="str">
        <f>IFERROR(__xludf.DUMMYFUNCTION("REGEXREPLACE(C20940,""-\d+(.*)|--\d+(.*)"","""")"),"ROUESSE-VASSE")</f>
        <v>ROUESSE-VASSE</v>
      </c>
      <c r="E20940" s="38" t="s">
        <v>521</v>
      </c>
      <c r="F20940" s="38" t="s">
        <v>180</v>
      </c>
      <c r="G20940" s="49" t="str">
        <f t="shared" si="1"/>
        <v>72140</v>
      </c>
      <c r="H20940" s="49">
        <f t="shared" si="2"/>
        <v>72255</v>
      </c>
    </row>
    <row r="20941">
      <c r="A20941" s="48" t="s">
        <v>1526</v>
      </c>
      <c r="B20941" s="38">
        <v>60347.0</v>
      </c>
      <c r="C20941" s="38" t="s">
        <v>25453</v>
      </c>
      <c r="D20941" s="38" t="str">
        <f>IFERROR(__xludf.DUMMYFUNCTION("REGEXREPLACE(C20941,""-\d+(.*)|--\d+(.*)"","""")"),"LANNOY-CUILLERE")</f>
        <v>LANNOY-CUILLERE</v>
      </c>
      <c r="E20941" s="38" t="s">
        <v>112</v>
      </c>
      <c r="F20941" s="38" t="s">
        <v>113</v>
      </c>
      <c r="G20941" s="49" t="str">
        <f t="shared" si="1"/>
        <v>60220</v>
      </c>
      <c r="H20941" s="49">
        <f t="shared" si="2"/>
        <v>60347</v>
      </c>
    </row>
    <row r="20942">
      <c r="A20942" s="48" t="s">
        <v>1422</v>
      </c>
      <c r="B20942" s="38">
        <v>14520.0</v>
      </c>
      <c r="C20942" s="38" t="s">
        <v>25454</v>
      </c>
      <c r="D20942" s="38" t="str">
        <f>IFERROR(__xludf.DUMMYFUNCTION("REGEXREPLACE(C20942,""-\d+(.*)|--\d+(.*)"","""")"),"LE PRE-D'AUGE")</f>
        <v>LE PRE-D'AUGE</v>
      </c>
      <c r="E20942" s="38" t="s">
        <v>137</v>
      </c>
      <c r="F20942" s="38" t="s">
        <v>138</v>
      </c>
      <c r="G20942" s="49" t="str">
        <f t="shared" si="1"/>
        <v>14340</v>
      </c>
      <c r="H20942" s="49">
        <f t="shared" si="2"/>
        <v>14520</v>
      </c>
    </row>
    <row r="20943">
      <c r="A20943" s="48" t="s">
        <v>493</v>
      </c>
      <c r="B20943" s="38">
        <v>28101.0</v>
      </c>
      <c r="C20943" s="38" t="s">
        <v>25455</v>
      </c>
      <c r="D20943" s="38" t="str">
        <f>IFERROR(__xludf.DUMMYFUNCTION("REGEXREPLACE(C20943,""-\d+(.*)|--\d+(.*)"","""")"),"CIVRY")</f>
        <v>CIVRY</v>
      </c>
      <c r="E20943" s="38" t="s">
        <v>300</v>
      </c>
      <c r="F20943" s="38" t="s">
        <v>123</v>
      </c>
      <c r="G20943" s="49" t="str">
        <f t="shared" si="1"/>
        <v>28200</v>
      </c>
      <c r="H20943" s="49">
        <f t="shared" si="2"/>
        <v>28101</v>
      </c>
    </row>
    <row r="20944">
      <c r="A20944" s="48" t="s">
        <v>7129</v>
      </c>
      <c r="B20944" s="38">
        <v>15224.0</v>
      </c>
      <c r="C20944" s="38" t="s">
        <v>25456</v>
      </c>
      <c r="D20944" s="38" t="str">
        <f>IFERROR(__xludf.DUMMYFUNCTION("REGEXREPLACE(C20944,""-\d+(.*)|--\d+(.*)"","""")"),"LA SEGALASSIERE")</f>
        <v>LA SEGALASSIERE</v>
      </c>
      <c r="E20944" s="38" t="s">
        <v>632</v>
      </c>
      <c r="F20944" s="38" t="s">
        <v>161</v>
      </c>
      <c r="G20944" s="49" t="str">
        <f t="shared" si="1"/>
        <v>15290</v>
      </c>
      <c r="H20944" s="49">
        <f t="shared" si="2"/>
        <v>15224</v>
      </c>
    </row>
    <row r="20945">
      <c r="A20945" s="48" t="s">
        <v>9376</v>
      </c>
      <c r="B20945" s="38">
        <v>14429.0</v>
      </c>
      <c r="C20945" s="38" t="s">
        <v>25457</v>
      </c>
      <c r="D20945" s="38" t="str">
        <f>IFERROR(__xludf.DUMMYFUNCTION("REGEXREPLACE(C20945,""-\d+(.*)|--\d+(.*)"","""")"),"MEULLES")</f>
        <v>MEULLES</v>
      </c>
      <c r="E20945" s="38" t="s">
        <v>137</v>
      </c>
      <c r="F20945" s="38" t="s">
        <v>138</v>
      </c>
      <c r="G20945" s="49" t="str">
        <f t="shared" si="1"/>
        <v>14290</v>
      </c>
      <c r="H20945" s="49">
        <f t="shared" si="2"/>
        <v>14429</v>
      </c>
    </row>
    <row r="20946">
      <c r="A20946" s="48" t="s">
        <v>14721</v>
      </c>
      <c r="B20946" s="38">
        <v>27661.0</v>
      </c>
      <c r="C20946" s="38" t="s">
        <v>25458</v>
      </c>
      <c r="D20946" s="38" t="str">
        <f>IFERROR(__xludf.DUMMYFUNCTION("REGEXREPLACE(C20946,""-\d+(.*)|--\d+(.*)"","""")"),"LA TRINITE-DE-THOUBERVILLE")</f>
        <v>LA TRINITE-DE-THOUBERVILLE</v>
      </c>
      <c r="E20946" s="38" t="s">
        <v>241</v>
      </c>
      <c r="F20946" s="38" t="s">
        <v>134</v>
      </c>
      <c r="G20946" s="49" t="str">
        <f t="shared" si="1"/>
        <v>27310</v>
      </c>
      <c r="H20946" s="49">
        <f t="shared" si="2"/>
        <v>27661</v>
      </c>
    </row>
    <row r="20947">
      <c r="A20947" s="48" t="s">
        <v>6038</v>
      </c>
      <c r="B20947" s="38">
        <v>88065.0</v>
      </c>
      <c r="C20947" s="38" t="s">
        <v>25459</v>
      </c>
      <c r="D20947" s="38" t="str">
        <f>IFERROR(__xludf.DUMMYFUNCTION("REGEXREPLACE(C20947,""-\d+(.*)|--\d+(.*)"","""")"),"BONVILLET")</f>
        <v>BONVILLET</v>
      </c>
      <c r="E20947" s="38" t="s">
        <v>194</v>
      </c>
      <c r="F20947" s="38" t="s">
        <v>195</v>
      </c>
      <c r="G20947" s="49" t="str">
        <f t="shared" si="1"/>
        <v>88260</v>
      </c>
      <c r="H20947" s="49">
        <f t="shared" si="2"/>
        <v>88065</v>
      </c>
    </row>
    <row r="20948">
      <c r="A20948" s="48" t="s">
        <v>1724</v>
      </c>
      <c r="B20948" s="38">
        <v>26072.0</v>
      </c>
      <c r="C20948" s="38" t="s">
        <v>25460</v>
      </c>
      <c r="D20948" s="38" t="str">
        <f>IFERROR(__xludf.DUMMYFUNCTION("REGEXREPLACE(C20948,""-\d+(.*)|--\d+(.*)"","""")"),"CHANTEMERLE-LES-BLES")</f>
        <v>CHANTEMERLE-LES-BLES</v>
      </c>
      <c r="E20948" s="38" t="s">
        <v>126</v>
      </c>
      <c r="F20948" s="38" t="s">
        <v>102</v>
      </c>
      <c r="G20948" s="49" t="str">
        <f t="shared" si="1"/>
        <v>26600</v>
      </c>
      <c r="H20948" s="49">
        <f t="shared" si="2"/>
        <v>26072</v>
      </c>
    </row>
    <row r="20949">
      <c r="A20949" s="48" t="s">
        <v>6795</v>
      </c>
      <c r="B20949" s="38">
        <v>37153.0</v>
      </c>
      <c r="C20949" s="38" t="s">
        <v>25461</v>
      </c>
      <c r="D20949" s="38" t="str">
        <f>IFERROR(__xludf.DUMMYFUNCTION("REGEXREPLACE(C20949,""-\d+(.*)|--\d+(.*)"","""")"),"MONNAIE")</f>
        <v>MONNAIE</v>
      </c>
      <c r="E20949" s="38" t="s">
        <v>205</v>
      </c>
      <c r="F20949" s="38" t="s">
        <v>123</v>
      </c>
      <c r="G20949" s="49" t="str">
        <f t="shared" si="1"/>
        <v>37380</v>
      </c>
      <c r="H20949" s="49">
        <f t="shared" si="2"/>
        <v>37153</v>
      </c>
    </row>
    <row r="20950">
      <c r="A20950" s="48" t="s">
        <v>407</v>
      </c>
      <c r="B20950" s="38">
        <v>71007.0</v>
      </c>
      <c r="C20950" s="38" t="s">
        <v>25462</v>
      </c>
      <c r="D20950" s="38" t="str">
        <f>IFERROR(__xludf.DUMMYFUNCTION("REGEXREPLACE(C20950,""-\d+(.*)|--\d+(.*)"","""")"),"AMEUGNY")</f>
        <v>AMEUGNY</v>
      </c>
      <c r="E20950" s="38" t="s">
        <v>344</v>
      </c>
      <c r="F20950" s="38" t="s">
        <v>106</v>
      </c>
      <c r="G20950" s="49" t="str">
        <f t="shared" si="1"/>
        <v>71460</v>
      </c>
      <c r="H20950" s="49">
        <f t="shared" si="2"/>
        <v>71007</v>
      </c>
    </row>
    <row r="20951">
      <c r="A20951" s="48" t="s">
        <v>2251</v>
      </c>
      <c r="B20951" s="38">
        <v>2370.0</v>
      </c>
      <c r="C20951" s="38" t="s">
        <v>25463</v>
      </c>
      <c r="D20951" s="38" t="str">
        <f>IFERROR(__xludf.DUMMYFUNCTION("REGEXREPLACE(C20951,""-\d+(.*)|--\d+(.*)"","""")"),"HARGICOURT")</f>
        <v>HARGICOURT</v>
      </c>
      <c r="E20951" s="38" t="s">
        <v>191</v>
      </c>
      <c r="F20951" s="38" t="s">
        <v>113</v>
      </c>
      <c r="G20951" s="49" t="str">
        <f t="shared" si="1"/>
        <v>02420</v>
      </c>
      <c r="H20951" s="49" t="str">
        <f t="shared" si="2"/>
        <v>02370</v>
      </c>
    </row>
    <row r="20952">
      <c r="A20952" s="48" t="s">
        <v>1542</v>
      </c>
      <c r="B20952" s="38">
        <v>24217.0</v>
      </c>
      <c r="C20952" s="38" t="s">
        <v>25464</v>
      </c>
      <c r="D20952" s="38" t="str">
        <f>IFERROR(__xludf.DUMMYFUNCTION("REGEXREPLACE(C20952,""-\d+(.*)|--\d+(.*)"","""")"),"JOURNIAC")</f>
        <v>JOURNIAC</v>
      </c>
      <c r="E20952" s="38" t="s">
        <v>261</v>
      </c>
      <c r="F20952" s="38" t="s">
        <v>252</v>
      </c>
      <c r="G20952" s="49" t="str">
        <f t="shared" si="1"/>
        <v>24260</v>
      </c>
      <c r="H20952" s="49">
        <f t="shared" si="2"/>
        <v>24217</v>
      </c>
    </row>
    <row r="20953">
      <c r="A20953" s="48" t="s">
        <v>3319</v>
      </c>
      <c r="B20953" s="38">
        <v>95277.0</v>
      </c>
      <c r="C20953" s="38" t="s">
        <v>25465</v>
      </c>
      <c r="D20953" s="38" t="str">
        <f>IFERROR(__xludf.DUMMYFUNCTION("REGEXREPLACE(C20953,""-\d+(.*)|--\d+(.*)"","""")"),"GONESSE")</f>
        <v>GONESSE</v>
      </c>
      <c r="E20953" s="38" t="s">
        <v>541</v>
      </c>
      <c r="F20953" s="38" t="s">
        <v>245</v>
      </c>
      <c r="G20953" s="49" t="str">
        <f t="shared" si="1"/>
        <v>95500</v>
      </c>
      <c r="H20953" s="49">
        <f t="shared" si="2"/>
        <v>95277</v>
      </c>
    </row>
    <row r="20954">
      <c r="A20954" s="48" t="s">
        <v>1632</v>
      </c>
      <c r="B20954" s="38">
        <v>63005.0</v>
      </c>
      <c r="C20954" s="38" t="s">
        <v>25466</v>
      </c>
      <c r="D20954" s="38" t="str">
        <f>IFERROR(__xludf.DUMMYFUNCTION("REGEXREPLACE(C20954,""-\d+(.*)|--\d+(.*)"","""")"),"ANTOINGT")</f>
        <v>ANTOINGT</v>
      </c>
      <c r="E20954" s="38" t="s">
        <v>353</v>
      </c>
      <c r="F20954" s="38" t="s">
        <v>161</v>
      </c>
      <c r="G20954" s="49" t="str">
        <f t="shared" si="1"/>
        <v>63340</v>
      </c>
      <c r="H20954" s="49">
        <f t="shared" si="2"/>
        <v>63005</v>
      </c>
    </row>
    <row r="20955">
      <c r="A20955" s="48" t="s">
        <v>24086</v>
      </c>
      <c r="B20955" s="38">
        <v>8199.0</v>
      </c>
      <c r="C20955" s="38" t="s">
        <v>25467</v>
      </c>
      <c r="D20955" s="38" t="str">
        <f>IFERROR(__xludf.DUMMYFUNCTION("REGEXREPLACE(C20955,""-\d+(.*)|--\d+(.*)"","""")"),"LA GRANDVILLE")</f>
        <v>LA GRANDVILLE</v>
      </c>
      <c r="E20955" s="38" t="s">
        <v>327</v>
      </c>
      <c r="F20955" s="38" t="s">
        <v>130</v>
      </c>
      <c r="G20955" s="49" t="str">
        <f t="shared" si="1"/>
        <v>08700</v>
      </c>
      <c r="H20955" s="49" t="str">
        <f t="shared" si="2"/>
        <v>08199</v>
      </c>
    </row>
    <row r="20956">
      <c r="A20956" s="48" t="s">
        <v>1835</v>
      </c>
      <c r="B20956" s="38">
        <v>76437.0</v>
      </c>
      <c r="C20956" s="38" t="s">
        <v>25468</v>
      </c>
      <c r="D20956" s="38" t="str">
        <f>IFERROR(__xludf.DUMMYFUNCTION("REGEXREPLACE(C20956,""-\d+(.*)|--\d+(.*)"","""")"),"MEULERS")</f>
        <v>MEULERS</v>
      </c>
      <c r="E20956" s="38" t="s">
        <v>133</v>
      </c>
      <c r="F20956" s="38" t="s">
        <v>134</v>
      </c>
      <c r="G20956" s="49" t="str">
        <f t="shared" si="1"/>
        <v>76510</v>
      </c>
      <c r="H20956" s="49">
        <f t="shared" si="2"/>
        <v>76437</v>
      </c>
    </row>
    <row r="20957">
      <c r="A20957" s="48" t="s">
        <v>12887</v>
      </c>
      <c r="B20957" s="38">
        <v>21048.0</v>
      </c>
      <c r="C20957" s="38" t="s">
        <v>927</v>
      </c>
      <c r="D20957" s="38" t="str">
        <f>IFERROR(__xludf.DUMMYFUNCTION("REGEXREPLACE(C20957,""-\d+(.*)|--\d+(.*)"","""")"),"BARGES")</f>
        <v>BARGES</v>
      </c>
      <c r="E20957" s="38" t="s">
        <v>105</v>
      </c>
      <c r="F20957" s="38" t="s">
        <v>106</v>
      </c>
      <c r="G20957" s="49" t="str">
        <f t="shared" si="1"/>
        <v>21910</v>
      </c>
      <c r="H20957" s="49">
        <f t="shared" si="2"/>
        <v>21048</v>
      </c>
    </row>
    <row r="20958">
      <c r="A20958" s="48" t="s">
        <v>3731</v>
      </c>
      <c r="B20958" s="38">
        <v>4227.0</v>
      </c>
      <c r="C20958" s="38" t="s">
        <v>25469</v>
      </c>
      <c r="D20958" s="38" t="str">
        <f>IFERROR(__xludf.DUMMYFUNCTION("REGEXREPLACE(C20958,""-\d+(.*)|--\d+(.*)"","""")"),"VACHERES")</f>
        <v>VACHERES</v>
      </c>
      <c r="E20958" s="38" t="s">
        <v>662</v>
      </c>
      <c r="F20958" s="38" t="s">
        <v>228</v>
      </c>
      <c r="G20958" s="49" t="str">
        <f t="shared" si="1"/>
        <v>04110</v>
      </c>
      <c r="H20958" s="49" t="str">
        <f t="shared" si="2"/>
        <v>04227</v>
      </c>
    </row>
    <row r="20959">
      <c r="A20959" s="48" t="s">
        <v>24434</v>
      </c>
      <c r="B20959" s="38">
        <v>84020.0</v>
      </c>
      <c r="C20959" s="38" t="s">
        <v>25470</v>
      </c>
      <c r="D20959" s="38" t="str">
        <f>IFERROR(__xludf.DUMMYFUNCTION("REGEXREPLACE(C20959,""-\d+(.*)|--\d+(.*)"","""")"),"BONNIEUX")</f>
        <v>BONNIEUX</v>
      </c>
      <c r="E20959" s="38" t="s">
        <v>1026</v>
      </c>
      <c r="F20959" s="38" t="s">
        <v>228</v>
      </c>
      <c r="G20959" s="49" t="str">
        <f t="shared" si="1"/>
        <v>84480</v>
      </c>
      <c r="H20959" s="49">
        <f t="shared" si="2"/>
        <v>84020</v>
      </c>
    </row>
    <row r="20960">
      <c r="A20960" s="48" t="s">
        <v>9571</v>
      </c>
      <c r="B20960" s="38">
        <v>78261.0</v>
      </c>
      <c r="C20960" s="38" t="s">
        <v>25471</v>
      </c>
      <c r="D20960" s="38" t="str">
        <f>IFERROR(__xludf.DUMMYFUNCTION("REGEXREPLACE(C20960,""-\d+(.*)|--\d+(.*)"","""")"),"GAILLON-SUR-MONTCIENT")</f>
        <v>GAILLON-SUR-MONTCIENT</v>
      </c>
      <c r="E20960" s="38" t="s">
        <v>362</v>
      </c>
      <c r="F20960" s="38" t="s">
        <v>245</v>
      </c>
      <c r="G20960" s="49" t="str">
        <f t="shared" si="1"/>
        <v>78250</v>
      </c>
      <c r="H20960" s="49">
        <f t="shared" si="2"/>
        <v>78261</v>
      </c>
    </row>
    <row r="20961">
      <c r="A20961" s="48" t="s">
        <v>11926</v>
      </c>
      <c r="B20961" s="38">
        <v>72127.0</v>
      </c>
      <c r="C20961" s="38" t="s">
        <v>25472</v>
      </c>
      <c r="D20961" s="38" t="str">
        <f>IFERROR(__xludf.DUMMYFUNCTION("REGEXREPLACE(C20961,""-\d+(.*)|--\d+(.*)"","""")"),"ETIVAL-LES-LE-MANS")</f>
        <v>ETIVAL-LES-LE-MANS</v>
      </c>
      <c r="E20961" s="38" t="s">
        <v>521</v>
      </c>
      <c r="F20961" s="38" t="s">
        <v>180</v>
      </c>
      <c r="G20961" s="49" t="str">
        <f t="shared" si="1"/>
        <v>72700</v>
      </c>
      <c r="H20961" s="49">
        <f t="shared" si="2"/>
        <v>72127</v>
      </c>
    </row>
    <row r="20962">
      <c r="A20962" s="48" t="s">
        <v>25473</v>
      </c>
      <c r="B20962" s="38">
        <v>92048.0</v>
      </c>
      <c r="C20962" s="38" t="s">
        <v>25474</v>
      </c>
      <c r="D20962" s="38" t="str">
        <f>IFERROR(__xludf.DUMMYFUNCTION("REGEXREPLACE(C20962,""-\d+(.*)|--\d+(.*)"","""")"),"MEUDON")</f>
        <v>MEUDON</v>
      </c>
      <c r="E20962" s="38" t="s">
        <v>838</v>
      </c>
      <c r="F20962" s="38" t="s">
        <v>245</v>
      </c>
      <c r="G20962" s="49" t="str">
        <f t="shared" si="1"/>
        <v>92190/92360</v>
      </c>
      <c r="H20962" s="49">
        <f t="shared" si="2"/>
        <v>92048</v>
      </c>
    </row>
    <row r="20963">
      <c r="A20963" s="48" t="s">
        <v>3562</v>
      </c>
      <c r="B20963" s="38">
        <v>2144.0</v>
      </c>
      <c r="C20963" s="38" t="s">
        <v>25475</v>
      </c>
      <c r="D20963" s="38" t="str">
        <f>IFERROR(__xludf.DUMMYFUNCTION("REGEXREPLACE(C20963,""-\d+(.*)|--\d+(.*)"","""")"),"CAULAINCOURT")</f>
        <v>CAULAINCOURT</v>
      </c>
      <c r="E20963" s="38" t="s">
        <v>191</v>
      </c>
      <c r="F20963" s="38" t="s">
        <v>113</v>
      </c>
      <c r="G20963" s="49" t="str">
        <f t="shared" si="1"/>
        <v>02490</v>
      </c>
      <c r="H20963" s="49" t="str">
        <f t="shared" si="2"/>
        <v>02144</v>
      </c>
    </row>
    <row r="20964">
      <c r="A20964" s="48" t="s">
        <v>4272</v>
      </c>
      <c r="B20964" s="38">
        <v>76538.0</v>
      </c>
      <c r="C20964" s="38" t="s">
        <v>10185</v>
      </c>
      <c r="D20964" s="38" t="str">
        <f>IFERROR(__xludf.DUMMYFUNCTION("REGEXREPLACE(C20964,""-\d+(.*)|--\d+(.*)"","""")"),"ROSAY")</f>
        <v>ROSAY</v>
      </c>
      <c r="E20964" s="38" t="s">
        <v>133</v>
      </c>
      <c r="F20964" s="38" t="s">
        <v>134</v>
      </c>
      <c r="G20964" s="49" t="str">
        <f t="shared" si="1"/>
        <v>76680</v>
      </c>
      <c r="H20964" s="49">
        <f t="shared" si="2"/>
        <v>76538</v>
      </c>
    </row>
    <row r="20965">
      <c r="A20965" s="48" t="s">
        <v>9600</v>
      </c>
      <c r="B20965" s="38">
        <v>7207.0</v>
      </c>
      <c r="C20965" s="38" t="s">
        <v>25476</v>
      </c>
      <c r="D20965" s="38" t="str">
        <f>IFERROR(__xludf.DUMMYFUNCTION("REGEXREPLACE(C20965,""-\d+(.*)|--\d+(.*)"","""")"),"SAINT-ALBAN-AURIOLLES")</f>
        <v>SAINT-ALBAN-AURIOLLES</v>
      </c>
      <c r="E20965" s="38" t="s">
        <v>144</v>
      </c>
      <c r="F20965" s="38" t="s">
        <v>102</v>
      </c>
      <c r="G20965" s="49" t="str">
        <f t="shared" si="1"/>
        <v>07120</v>
      </c>
      <c r="H20965" s="49" t="str">
        <f t="shared" si="2"/>
        <v>07207</v>
      </c>
    </row>
    <row r="20966">
      <c r="A20966" s="48" t="s">
        <v>5596</v>
      </c>
      <c r="B20966" s="38">
        <v>25617.0</v>
      </c>
      <c r="C20966" s="38" t="s">
        <v>25477</v>
      </c>
      <c r="D20966" s="38" t="str">
        <f>IFERROR(__xludf.DUMMYFUNCTION("REGEXREPLACE(C20966,""-\d+(.*)|--\d+(.*)"","""")"),"VILLARS-SOUS-DAMPJOUX")</f>
        <v>VILLARS-SOUS-DAMPJOUX</v>
      </c>
      <c r="E20966" s="38" t="s">
        <v>213</v>
      </c>
      <c r="F20966" s="38" t="s">
        <v>214</v>
      </c>
      <c r="G20966" s="49" t="str">
        <f t="shared" si="1"/>
        <v>25190</v>
      </c>
      <c r="H20966" s="49">
        <f t="shared" si="2"/>
        <v>25617</v>
      </c>
    </row>
    <row r="20967">
      <c r="A20967" s="48" t="s">
        <v>13285</v>
      </c>
      <c r="B20967" s="38">
        <v>73268.0</v>
      </c>
      <c r="C20967" s="38" t="s">
        <v>25478</v>
      </c>
      <c r="D20967" s="38" t="str">
        <f>IFERROR(__xludf.DUMMYFUNCTION("REGEXREPLACE(C20967,""-\d+(.*)|--\d+(.*)"","""")"),"SAINT-PAUL-SUR-ISERE")</f>
        <v>SAINT-PAUL-SUR-ISERE</v>
      </c>
      <c r="E20967" s="38" t="s">
        <v>306</v>
      </c>
      <c r="F20967" s="38" t="s">
        <v>102</v>
      </c>
      <c r="G20967" s="49" t="str">
        <f t="shared" si="1"/>
        <v>73730</v>
      </c>
      <c r="H20967" s="49">
        <f t="shared" si="2"/>
        <v>73268</v>
      </c>
    </row>
    <row r="20968">
      <c r="A20968" s="48" t="s">
        <v>2989</v>
      </c>
      <c r="B20968" s="38">
        <v>70441.0</v>
      </c>
      <c r="C20968" s="38" t="s">
        <v>25479</v>
      </c>
      <c r="D20968" s="38" t="str">
        <f>IFERROR(__xludf.DUMMYFUNCTION("REGEXREPLACE(C20968,""-\d+(.*)|--\d+(.*)"","""")"),"RECOLOGNE-LES-RIOZ")</f>
        <v>RECOLOGNE-LES-RIOZ</v>
      </c>
      <c r="E20968" s="38" t="s">
        <v>956</v>
      </c>
      <c r="F20968" s="38" t="s">
        <v>214</v>
      </c>
      <c r="G20968" s="49" t="str">
        <f t="shared" si="1"/>
        <v>70190</v>
      </c>
      <c r="H20968" s="49">
        <f t="shared" si="2"/>
        <v>70441</v>
      </c>
    </row>
    <row r="20969">
      <c r="A20969" s="48" t="s">
        <v>16584</v>
      </c>
      <c r="B20969" s="38">
        <v>91041.0</v>
      </c>
      <c r="C20969" s="38" t="s">
        <v>3680</v>
      </c>
      <c r="D20969" s="38" t="str">
        <f>IFERROR(__xludf.DUMMYFUNCTION("REGEXREPLACE(C20969,""-\d+(.*)|--\d+(.*)"","""")"),"AVRAINVILLE")</f>
        <v>AVRAINVILLE</v>
      </c>
      <c r="E20969" s="38" t="s">
        <v>756</v>
      </c>
      <c r="F20969" s="38" t="s">
        <v>245</v>
      </c>
      <c r="G20969" s="49" t="str">
        <f t="shared" si="1"/>
        <v>91630</v>
      </c>
      <c r="H20969" s="49">
        <f t="shared" si="2"/>
        <v>91041</v>
      </c>
    </row>
    <row r="20970">
      <c r="A20970" s="48" t="s">
        <v>25480</v>
      </c>
      <c r="B20970" s="38">
        <v>45274.0</v>
      </c>
      <c r="C20970" s="38" t="s">
        <v>25481</v>
      </c>
      <c r="D20970" s="38" t="str">
        <f>IFERROR(__xludf.DUMMYFUNCTION("REGEXREPLACE(C20970,""-\d+(.*)|--\d+(.*)"","""")"),"SAINT-DENIS-EN-VAL")</f>
        <v>SAINT-DENIS-EN-VAL</v>
      </c>
      <c r="E20970" s="38" t="s">
        <v>122</v>
      </c>
      <c r="F20970" s="38" t="s">
        <v>123</v>
      </c>
      <c r="G20970" s="49" t="str">
        <f t="shared" si="1"/>
        <v>45560</v>
      </c>
      <c r="H20970" s="49">
        <f t="shared" si="2"/>
        <v>45274</v>
      </c>
    </row>
    <row r="20971">
      <c r="A20971" s="48" t="s">
        <v>4431</v>
      </c>
      <c r="B20971" s="38">
        <v>32459.0</v>
      </c>
      <c r="C20971" s="38" t="s">
        <v>25482</v>
      </c>
      <c r="D20971" s="38" t="str">
        <f>IFERROR(__xludf.DUMMYFUNCTION("REGEXREPLACE(C20971,""-\d+(.*)|--\d+(.*)"","""")"),"VALENCE-SUR-BAISE")</f>
        <v>VALENCE-SUR-BAISE</v>
      </c>
      <c r="E20971" s="38" t="s">
        <v>440</v>
      </c>
      <c r="F20971" s="38" t="s">
        <v>94</v>
      </c>
      <c r="G20971" s="49" t="str">
        <f t="shared" si="1"/>
        <v>32310</v>
      </c>
      <c r="H20971" s="49">
        <f t="shared" si="2"/>
        <v>32459</v>
      </c>
    </row>
    <row r="20972">
      <c r="A20972" s="48" t="s">
        <v>834</v>
      </c>
      <c r="B20972" s="38">
        <v>25527.0</v>
      </c>
      <c r="C20972" s="38" t="s">
        <v>25483</v>
      </c>
      <c r="D20972" s="38" t="str">
        <f>IFERROR(__xludf.DUMMYFUNCTION("REGEXREPLACE(C20972,""-\d+(.*)|--\d+(.*)"","""")"),"SAINT-VIT")</f>
        <v>SAINT-VIT</v>
      </c>
      <c r="E20972" s="38" t="s">
        <v>213</v>
      </c>
      <c r="F20972" s="38" t="s">
        <v>214</v>
      </c>
      <c r="G20972" s="49" t="str">
        <f t="shared" si="1"/>
        <v>25410</v>
      </c>
      <c r="H20972" s="49">
        <f t="shared" si="2"/>
        <v>25527</v>
      </c>
    </row>
    <row r="20973">
      <c r="A20973" s="48" t="s">
        <v>7777</v>
      </c>
      <c r="B20973" s="38">
        <v>54489.0</v>
      </c>
      <c r="C20973" s="38" t="s">
        <v>25484</v>
      </c>
      <c r="D20973" s="38" t="str">
        <f>IFERROR(__xludf.DUMMYFUNCTION("REGEXREPLACE(C20973,""-\d+(.*)|--\d+(.*)"","""")"),"SAINT-SUPPLET")</f>
        <v>SAINT-SUPPLET</v>
      </c>
      <c r="E20973" s="38" t="s">
        <v>548</v>
      </c>
      <c r="F20973" s="38" t="s">
        <v>195</v>
      </c>
      <c r="G20973" s="49" t="str">
        <f t="shared" si="1"/>
        <v>54620</v>
      </c>
      <c r="H20973" s="49">
        <f t="shared" si="2"/>
        <v>54489</v>
      </c>
    </row>
    <row r="20974">
      <c r="A20974" s="48" t="s">
        <v>1381</v>
      </c>
      <c r="B20974" s="38">
        <v>62511.0</v>
      </c>
      <c r="C20974" s="38" t="s">
        <v>25485</v>
      </c>
      <c r="D20974" s="38" t="str">
        <f>IFERROR(__xludf.DUMMYFUNCTION("REGEXREPLACE(C20974,""-\d+(.*)|--\d+(.*)"","""")"),"LIGNEREUIL")</f>
        <v>LIGNEREUIL</v>
      </c>
      <c r="E20974" s="38" t="s">
        <v>109</v>
      </c>
      <c r="F20974" s="38" t="s">
        <v>86</v>
      </c>
      <c r="G20974" s="49" t="str">
        <f t="shared" si="1"/>
        <v>62810</v>
      </c>
      <c r="H20974" s="49">
        <f t="shared" si="2"/>
        <v>62511</v>
      </c>
    </row>
    <row r="20975">
      <c r="A20975" s="48" t="s">
        <v>384</v>
      </c>
      <c r="B20975" s="38">
        <v>55207.0</v>
      </c>
      <c r="C20975" s="38" t="s">
        <v>25486</v>
      </c>
      <c r="D20975" s="38" t="str">
        <f>IFERROR(__xludf.DUMMYFUNCTION("REGEXREPLACE(C20975,""-\d+(.*)|--\d+(.*)"","""")"),"GERY")</f>
        <v>GERY</v>
      </c>
      <c r="E20975" s="38" t="s">
        <v>322</v>
      </c>
      <c r="F20975" s="38" t="s">
        <v>195</v>
      </c>
      <c r="G20975" s="49" t="str">
        <f t="shared" si="1"/>
        <v>55000</v>
      </c>
      <c r="H20975" s="49">
        <f t="shared" si="2"/>
        <v>55207</v>
      </c>
    </row>
    <row r="20976">
      <c r="A20976" s="48" t="s">
        <v>16223</v>
      </c>
      <c r="B20976" s="38">
        <v>60129.0</v>
      </c>
      <c r="C20976" s="38" t="s">
        <v>25487</v>
      </c>
      <c r="D20976" s="38" t="str">
        <f>IFERROR(__xludf.DUMMYFUNCTION("REGEXREPLACE(C20976,""-\d+(.*)|--\d+(.*)"","""")"),"CARLEPONT")</f>
        <v>CARLEPONT</v>
      </c>
      <c r="E20976" s="38" t="s">
        <v>112</v>
      </c>
      <c r="F20976" s="38" t="s">
        <v>113</v>
      </c>
      <c r="G20976" s="49" t="str">
        <f t="shared" si="1"/>
        <v>60170</v>
      </c>
      <c r="H20976" s="49">
        <f t="shared" si="2"/>
        <v>60129</v>
      </c>
    </row>
    <row r="20977">
      <c r="A20977" s="48" t="s">
        <v>14148</v>
      </c>
      <c r="B20977" s="38">
        <v>31128.0</v>
      </c>
      <c r="C20977" s="38" t="s">
        <v>25488</v>
      </c>
      <c r="D20977" s="38" t="str">
        <f>IFERROR(__xludf.DUMMYFUNCTION("REGEXREPLACE(C20977,""-\d+(.*)|--\d+(.*)"","""")"),"CAUJAC")</f>
        <v>CAUJAC</v>
      </c>
      <c r="E20977" s="38" t="s">
        <v>93</v>
      </c>
      <c r="F20977" s="38" t="s">
        <v>94</v>
      </c>
      <c r="G20977" s="49" t="str">
        <f t="shared" si="1"/>
        <v>31190</v>
      </c>
      <c r="H20977" s="49">
        <f t="shared" si="2"/>
        <v>31128</v>
      </c>
    </row>
    <row r="20978">
      <c r="A20978" s="48" t="s">
        <v>5386</v>
      </c>
      <c r="B20978" s="38">
        <v>42155.0</v>
      </c>
      <c r="C20978" s="38" t="s">
        <v>25489</v>
      </c>
      <c r="D20978" s="38" t="str">
        <f>IFERROR(__xludf.DUMMYFUNCTION("REGEXREPLACE(C20978,""-\d+(.*)|--\d+(.*)"","""")"),"NERVIEUX")</f>
        <v>NERVIEUX</v>
      </c>
      <c r="E20978" s="38" t="s">
        <v>166</v>
      </c>
      <c r="F20978" s="38" t="s">
        <v>102</v>
      </c>
      <c r="G20978" s="49" t="str">
        <f t="shared" si="1"/>
        <v>42510</v>
      </c>
      <c r="H20978" s="49">
        <f t="shared" si="2"/>
        <v>42155</v>
      </c>
    </row>
    <row r="20979">
      <c r="A20979" s="48" t="s">
        <v>1089</v>
      </c>
      <c r="B20979" s="38">
        <v>67134.0</v>
      </c>
      <c r="C20979" s="38" t="s">
        <v>25490</v>
      </c>
      <c r="D20979" s="38" t="str">
        <f>IFERROR(__xludf.DUMMYFUNCTION("REGEXREPLACE(C20979,""-\d+(.*)|--\d+(.*)"","""")"),"ESCHWILLER")</f>
        <v>ESCHWILLER</v>
      </c>
      <c r="E20979" s="38" t="s">
        <v>210</v>
      </c>
      <c r="F20979" s="38" t="s">
        <v>151</v>
      </c>
      <c r="G20979" s="49" t="str">
        <f t="shared" si="1"/>
        <v>67320</v>
      </c>
      <c r="H20979" s="49">
        <f t="shared" si="2"/>
        <v>67134</v>
      </c>
    </row>
    <row r="20980">
      <c r="A20980" s="48" t="s">
        <v>8300</v>
      </c>
      <c r="B20980" s="38">
        <v>39307.0</v>
      </c>
      <c r="C20980" s="38" t="s">
        <v>25491</v>
      </c>
      <c r="D20980" s="38" t="str">
        <f>IFERROR(__xludf.DUMMYFUNCTION("REGEXREPLACE(C20980,""-\d+(.*)|--\d+(.*)"","""")"),"MAISOD")</f>
        <v>MAISOD</v>
      </c>
      <c r="E20980" s="38" t="s">
        <v>400</v>
      </c>
      <c r="F20980" s="38" t="s">
        <v>214</v>
      </c>
      <c r="G20980" s="49" t="str">
        <f t="shared" si="1"/>
        <v>39260</v>
      </c>
      <c r="H20980" s="49">
        <f t="shared" si="2"/>
        <v>39307</v>
      </c>
    </row>
    <row r="20981">
      <c r="A20981" s="48" t="s">
        <v>15250</v>
      </c>
      <c r="B20981" s="38">
        <v>86090.0</v>
      </c>
      <c r="C20981" s="38" t="s">
        <v>25492</v>
      </c>
      <c r="D20981" s="38" t="str">
        <f>IFERROR(__xludf.DUMMYFUNCTION("REGEXREPLACE(C20981,""-\d+(.*)|--\d+(.*)"","""")"),"CURCAY-SUR-DIVE")</f>
        <v>CURCAY-SUR-DIVE</v>
      </c>
      <c r="E20981" s="38" t="s">
        <v>529</v>
      </c>
      <c r="F20981" s="38" t="s">
        <v>338</v>
      </c>
      <c r="G20981" s="49" t="str">
        <f t="shared" si="1"/>
        <v>86120</v>
      </c>
      <c r="H20981" s="49">
        <f t="shared" si="2"/>
        <v>86090</v>
      </c>
    </row>
    <row r="20982">
      <c r="A20982" s="48" t="s">
        <v>2685</v>
      </c>
      <c r="B20982" s="38" t="s">
        <v>25493</v>
      </c>
      <c r="C20982" s="38" t="s">
        <v>25494</v>
      </c>
      <c r="D20982" s="38" t="str">
        <f>IFERROR(__xludf.DUMMYFUNCTION("REGEXREPLACE(C20982,""-\d+(.*)|--\d+(.*)"","""")"),"MURZO")</f>
        <v>MURZO</v>
      </c>
      <c r="E20982" s="38" t="s">
        <v>606</v>
      </c>
      <c r="F20982" s="38" t="s">
        <v>607</v>
      </c>
      <c r="G20982" s="49" t="str">
        <f t="shared" si="1"/>
        <v>20160</v>
      </c>
      <c r="H20982" s="49" t="str">
        <f t="shared" si="2"/>
        <v>2A174</v>
      </c>
    </row>
    <row r="20983">
      <c r="A20983" s="48" t="s">
        <v>1903</v>
      </c>
      <c r="B20983" s="38">
        <v>10258.0</v>
      </c>
      <c r="C20983" s="38" t="s">
        <v>1799</v>
      </c>
      <c r="D20983" s="38" t="str">
        <f>IFERROR(__xludf.DUMMYFUNCTION("REGEXREPLACE(C20983,""-\d+(.*)|--\d+(.*)"","""")"),"MORVILLIERS")</f>
        <v>MORVILLIERS</v>
      </c>
      <c r="E20983" s="38" t="s">
        <v>147</v>
      </c>
      <c r="F20983" s="38" t="s">
        <v>130</v>
      </c>
      <c r="G20983" s="49" t="str">
        <f t="shared" si="1"/>
        <v>10500</v>
      </c>
      <c r="H20983" s="49">
        <f t="shared" si="2"/>
        <v>10258</v>
      </c>
    </row>
    <row r="20984">
      <c r="A20984" s="48" t="s">
        <v>1507</v>
      </c>
      <c r="B20984" s="38">
        <v>63230.0</v>
      </c>
      <c r="C20984" s="38" t="s">
        <v>25495</v>
      </c>
      <c r="D20984" s="38" t="str">
        <f>IFERROR(__xludf.DUMMYFUNCTION("REGEXREPLACE(C20984,""-\d+(.*)|--\d+(.*)"","""")"),"LE MONESTIER")</f>
        <v>LE MONESTIER</v>
      </c>
      <c r="E20984" s="38" t="s">
        <v>353</v>
      </c>
      <c r="F20984" s="38" t="s">
        <v>161</v>
      </c>
      <c r="G20984" s="49" t="str">
        <f t="shared" si="1"/>
        <v>63890</v>
      </c>
      <c r="H20984" s="49">
        <f t="shared" si="2"/>
        <v>63230</v>
      </c>
    </row>
    <row r="20985">
      <c r="A20985" s="48" t="s">
        <v>2587</v>
      </c>
      <c r="B20985" s="38">
        <v>60187.0</v>
      </c>
      <c r="C20985" s="38" t="s">
        <v>25496</v>
      </c>
      <c r="D20985" s="38" t="str">
        <f>IFERROR(__xludf.DUMMYFUNCTION("REGEXREPLACE(C20985,""-\d+(.*)|--\d+(.*)"","""")"),"CUIGY-EN-BRAY")</f>
        <v>CUIGY-EN-BRAY</v>
      </c>
      <c r="E20985" s="38" t="s">
        <v>112</v>
      </c>
      <c r="F20985" s="38" t="s">
        <v>113</v>
      </c>
      <c r="G20985" s="49" t="str">
        <f t="shared" si="1"/>
        <v>60850</v>
      </c>
      <c r="H20985" s="49">
        <f t="shared" si="2"/>
        <v>60187</v>
      </c>
    </row>
    <row r="20986">
      <c r="A20986" s="48" t="s">
        <v>13902</v>
      </c>
      <c r="B20986" s="38">
        <v>49320.0</v>
      </c>
      <c r="C20986" s="38" t="s">
        <v>25497</v>
      </c>
      <c r="D20986" s="38" t="str">
        <f>IFERROR(__xludf.DUMMYFUNCTION("REGEXREPLACE(C20986,""-\d+(.*)|--\d+(.*)"","""")"),"SAINT-SAUVEUR-DE-LANDEMONT")</f>
        <v>SAINT-SAUVEUR-DE-LANDEMONT</v>
      </c>
      <c r="E20986" s="38" t="s">
        <v>653</v>
      </c>
      <c r="F20986" s="38" t="s">
        <v>180</v>
      </c>
      <c r="G20986" s="49" t="str">
        <f t="shared" si="1"/>
        <v>49270</v>
      </c>
      <c r="H20986" s="49">
        <f t="shared" si="2"/>
        <v>49320</v>
      </c>
    </row>
    <row r="20987">
      <c r="A20987" s="48" t="s">
        <v>2526</v>
      </c>
      <c r="B20987" s="38">
        <v>70511.0</v>
      </c>
      <c r="C20987" s="38" t="s">
        <v>25498</v>
      </c>
      <c r="D20987" s="38" t="str">
        <f>IFERROR(__xludf.DUMMYFUNCTION("REGEXREPLACE(C20987,""-\d+(.*)|--\d+(.*)"","""")"),"VAITE")</f>
        <v>VAITE</v>
      </c>
      <c r="E20987" s="38" t="s">
        <v>956</v>
      </c>
      <c r="F20987" s="38" t="s">
        <v>214</v>
      </c>
      <c r="G20987" s="49" t="str">
        <f t="shared" si="1"/>
        <v>70180</v>
      </c>
      <c r="H20987" s="49">
        <f t="shared" si="2"/>
        <v>70511</v>
      </c>
    </row>
    <row r="20988">
      <c r="A20988" s="48" t="s">
        <v>7754</v>
      </c>
      <c r="B20988" s="38">
        <v>23176.0</v>
      </c>
      <c r="C20988" s="38" t="s">
        <v>25499</v>
      </c>
      <c r="D20988" s="38" t="str">
        <f>IFERROR(__xludf.DUMMYFUNCTION("REGEXREPLACE(C20988,""-\d+(.*)|--\d+(.*)"","""")"),"LA SOUTERRAINE")</f>
        <v>LA SOUTERRAINE</v>
      </c>
      <c r="E20988" s="38" t="s">
        <v>97</v>
      </c>
      <c r="F20988" s="38" t="s">
        <v>98</v>
      </c>
      <c r="G20988" s="49" t="str">
        <f t="shared" si="1"/>
        <v>23300</v>
      </c>
      <c r="H20988" s="49">
        <f t="shared" si="2"/>
        <v>23176</v>
      </c>
    </row>
    <row r="20989">
      <c r="A20989" s="48" t="s">
        <v>898</v>
      </c>
      <c r="B20989" s="38">
        <v>54420.0</v>
      </c>
      <c r="C20989" s="38" t="s">
        <v>25500</v>
      </c>
      <c r="D20989" s="38" t="str">
        <f>IFERROR(__xludf.DUMMYFUNCTION("REGEXREPLACE(C20989,""-\d+(.*)|--\d+(.*)"","""")"),"PETIT-FAILLY")</f>
        <v>PETIT-FAILLY</v>
      </c>
      <c r="E20989" s="38" t="s">
        <v>548</v>
      </c>
      <c r="F20989" s="38" t="s">
        <v>195</v>
      </c>
      <c r="G20989" s="49" t="str">
        <f t="shared" si="1"/>
        <v>54260</v>
      </c>
      <c r="H20989" s="49">
        <f t="shared" si="2"/>
        <v>54420</v>
      </c>
    </row>
    <row r="20990">
      <c r="A20990" s="48" t="s">
        <v>25501</v>
      </c>
      <c r="B20990" s="38">
        <v>68106.0</v>
      </c>
      <c r="C20990" s="38" t="s">
        <v>25502</v>
      </c>
      <c r="D20990" s="38" t="str">
        <f>IFERROR(__xludf.DUMMYFUNCTION("REGEXREPLACE(C20990,""-\d+(.*)|--\d+(.*)"","""")"),"GOLDBACH-ALTENBACH")</f>
        <v>GOLDBACH-ALTENBACH</v>
      </c>
      <c r="E20990" s="38" t="s">
        <v>150</v>
      </c>
      <c r="F20990" s="38" t="s">
        <v>151</v>
      </c>
      <c r="G20990" s="49" t="str">
        <f t="shared" si="1"/>
        <v>68760</v>
      </c>
      <c r="H20990" s="49">
        <f t="shared" si="2"/>
        <v>68106</v>
      </c>
    </row>
    <row r="20991">
      <c r="A20991" s="48" t="s">
        <v>760</v>
      </c>
      <c r="B20991" s="38">
        <v>89336.0</v>
      </c>
      <c r="C20991" s="38" t="s">
        <v>25503</v>
      </c>
      <c r="D20991" s="38" t="str">
        <f>IFERROR(__xludf.DUMMYFUNCTION("REGEXREPLACE(C20991,""-\d+(.*)|--\d+(.*)"","""")"),"SAINT-BRANCHER")</f>
        <v>SAINT-BRANCHER</v>
      </c>
      <c r="E20991" s="38" t="s">
        <v>275</v>
      </c>
      <c r="F20991" s="38" t="s">
        <v>106</v>
      </c>
      <c r="G20991" s="49" t="str">
        <f t="shared" si="1"/>
        <v>89630</v>
      </c>
      <c r="H20991" s="49">
        <f t="shared" si="2"/>
        <v>89336</v>
      </c>
    </row>
    <row r="20992">
      <c r="A20992" s="48" t="s">
        <v>25504</v>
      </c>
      <c r="B20992" s="38">
        <v>66228.0</v>
      </c>
      <c r="C20992" s="38" t="s">
        <v>25505</v>
      </c>
      <c r="D20992" s="38" t="str">
        <f>IFERROR(__xludf.DUMMYFUNCTION("REGEXREPLACE(C20992,""-\d+(.*)|--\d+(.*)"","""")"),"VILLENEUVE-LA-RIVIERE")</f>
        <v>VILLENEUVE-LA-RIVIERE</v>
      </c>
      <c r="E20992" s="38" t="s">
        <v>248</v>
      </c>
      <c r="F20992" s="38" t="s">
        <v>119</v>
      </c>
      <c r="G20992" s="49" t="str">
        <f t="shared" si="1"/>
        <v>66610</v>
      </c>
      <c r="H20992" s="49">
        <f t="shared" si="2"/>
        <v>66228</v>
      </c>
    </row>
    <row r="20993">
      <c r="A20993" s="48" t="s">
        <v>4185</v>
      </c>
      <c r="B20993" s="38">
        <v>30296.0</v>
      </c>
      <c r="C20993" s="38" t="s">
        <v>25506</v>
      </c>
      <c r="D20993" s="38" t="str">
        <f>IFERROR(__xludf.DUMMYFUNCTION("REGEXREPLACE(C20993,""-\d+(.*)|--\d+(.*)"","""")"),"SAINT-ROMAN-DE-CODIERES")</f>
        <v>SAINT-ROMAN-DE-CODIERES</v>
      </c>
      <c r="E20993" s="38" t="s">
        <v>526</v>
      </c>
      <c r="F20993" s="38" t="s">
        <v>119</v>
      </c>
      <c r="G20993" s="49" t="str">
        <f t="shared" si="1"/>
        <v>30440</v>
      </c>
      <c r="H20993" s="49">
        <f t="shared" si="2"/>
        <v>30296</v>
      </c>
    </row>
    <row r="20994">
      <c r="A20994" s="48" t="s">
        <v>20951</v>
      </c>
      <c r="B20994" s="38">
        <v>78233.0</v>
      </c>
      <c r="C20994" s="38" t="s">
        <v>25507</v>
      </c>
      <c r="D20994" s="38" t="str">
        <f>IFERROR(__xludf.DUMMYFUNCTION("REGEXREPLACE(C20994,""-\d+(.*)|--\d+(.*)"","""")"),"FEUCHEROLLES")</f>
        <v>FEUCHEROLLES</v>
      </c>
      <c r="E20994" s="38" t="s">
        <v>362</v>
      </c>
      <c r="F20994" s="38" t="s">
        <v>245</v>
      </c>
      <c r="G20994" s="49" t="str">
        <f t="shared" si="1"/>
        <v>78810</v>
      </c>
      <c r="H20994" s="49">
        <f t="shared" si="2"/>
        <v>78233</v>
      </c>
    </row>
    <row r="20995">
      <c r="A20995" s="48" t="s">
        <v>215</v>
      </c>
      <c r="B20995" s="38">
        <v>2819.0</v>
      </c>
      <c r="C20995" s="38" t="s">
        <v>25508</v>
      </c>
      <c r="D20995" s="38" t="str">
        <f>IFERROR(__xludf.DUMMYFUNCTION("REGEXREPLACE(C20995,""-\d+(.*)|--\d+(.*)"","""")"),"VINCY-REUIL-ET-MAGNY")</f>
        <v>VINCY-REUIL-ET-MAGNY</v>
      </c>
      <c r="E20995" s="38" t="s">
        <v>191</v>
      </c>
      <c r="F20995" s="38" t="s">
        <v>113</v>
      </c>
      <c r="G20995" s="49" t="str">
        <f t="shared" si="1"/>
        <v>02340</v>
      </c>
      <c r="H20995" s="49" t="str">
        <f t="shared" si="2"/>
        <v>02819</v>
      </c>
    </row>
    <row r="20996">
      <c r="A20996" s="48" t="s">
        <v>5515</v>
      </c>
      <c r="B20996" s="38">
        <v>72074.0</v>
      </c>
      <c r="C20996" s="38" t="s">
        <v>25509</v>
      </c>
      <c r="D20996" s="38" t="str">
        <f>IFERROR(__xludf.DUMMYFUNCTION("REGEXREPLACE(C20996,""-\d+(.*)|--\d+(.*)"","""")"),"CHEMIRE-EN-CHARNIE")</f>
        <v>CHEMIRE-EN-CHARNIE</v>
      </c>
      <c r="E20996" s="38" t="s">
        <v>521</v>
      </c>
      <c r="F20996" s="38" t="s">
        <v>180</v>
      </c>
      <c r="G20996" s="49" t="str">
        <f t="shared" si="1"/>
        <v>72540</v>
      </c>
      <c r="H20996" s="49">
        <f t="shared" si="2"/>
        <v>72074</v>
      </c>
    </row>
    <row r="20997">
      <c r="A20997" s="48" t="s">
        <v>7546</v>
      </c>
      <c r="B20997" s="38">
        <v>35070.0</v>
      </c>
      <c r="C20997" s="38" t="s">
        <v>25510</v>
      </c>
      <c r="D20997" s="38" t="str">
        <f>IFERROR(__xludf.DUMMYFUNCTION("REGEXREPLACE(C20997,""-\d+(.*)|--\d+(.*)"","""")"),"CHATEAUNEUF-D'ILLE-ET-VILAINE")</f>
        <v>CHATEAUNEUF-D'ILLE-ET-VILAINE</v>
      </c>
      <c r="E20997" s="38" t="s">
        <v>347</v>
      </c>
      <c r="F20997" s="38" t="s">
        <v>90</v>
      </c>
      <c r="G20997" s="49" t="str">
        <f t="shared" si="1"/>
        <v>35430</v>
      </c>
      <c r="H20997" s="49">
        <f t="shared" si="2"/>
        <v>35070</v>
      </c>
    </row>
    <row r="20998">
      <c r="A20998" s="48" t="s">
        <v>25511</v>
      </c>
      <c r="B20998" s="38">
        <v>33192.0</v>
      </c>
      <c r="C20998" s="38" t="s">
        <v>25512</v>
      </c>
      <c r="D20998" s="38" t="str">
        <f>IFERROR(__xludf.DUMMYFUNCTION("REGEXREPLACE(C20998,""-\d+(.*)|--\d+(.*)"","""")"),"GRADIGNAN")</f>
        <v>GRADIGNAN</v>
      </c>
      <c r="E20998" s="38" t="s">
        <v>462</v>
      </c>
      <c r="F20998" s="38" t="s">
        <v>252</v>
      </c>
      <c r="G20998" s="49" t="str">
        <f t="shared" si="1"/>
        <v>33170</v>
      </c>
      <c r="H20998" s="49">
        <f t="shared" si="2"/>
        <v>33192</v>
      </c>
    </row>
    <row r="20999">
      <c r="A20999" s="48" t="s">
        <v>1210</v>
      </c>
      <c r="B20999" s="38">
        <v>50194.0</v>
      </c>
      <c r="C20999" s="38" t="s">
        <v>25513</v>
      </c>
      <c r="D20999" s="38" t="str">
        <f>IFERROR(__xludf.DUMMYFUNCTION("REGEXREPLACE(C20999,""-\d+(.*)|--\d+(.*)"","""")"),"FRESVILLE")</f>
        <v>FRESVILLE</v>
      </c>
      <c r="E20999" s="38" t="s">
        <v>157</v>
      </c>
      <c r="F20999" s="38" t="s">
        <v>138</v>
      </c>
      <c r="G20999" s="49" t="str">
        <f t="shared" si="1"/>
        <v>50310</v>
      </c>
      <c r="H20999" s="49">
        <f t="shared" si="2"/>
        <v>50194</v>
      </c>
    </row>
    <row r="21000">
      <c r="A21000" s="48" t="s">
        <v>8069</v>
      </c>
      <c r="B21000" s="38">
        <v>60450.0</v>
      </c>
      <c r="C21000" s="38" t="s">
        <v>25514</v>
      </c>
      <c r="D21000" s="38" t="str">
        <f>IFERROR(__xludf.DUMMYFUNCTION("REGEXREPLACE(C21000,""-\d+(.*)|--\d+(.*)"","""")"),"NEUILLY-EN-THELLE")</f>
        <v>NEUILLY-EN-THELLE</v>
      </c>
      <c r="E21000" s="38" t="s">
        <v>112</v>
      </c>
      <c r="F21000" s="38" t="s">
        <v>113</v>
      </c>
      <c r="G21000" s="49" t="str">
        <f t="shared" si="1"/>
        <v>60530</v>
      </c>
      <c r="H21000" s="49">
        <f t="shared" si="2"/>
        <v>60450</v>
      </c>
    </row>
    <row r="21001">
      <c r="A21001" s="48" t="s">
        <v>16366</v>
      </c>
      <c r="B21001" s="38">
        <v>21663.0</v>
      </c>
      <c r="C21001" s="38" t="s">
        <v>25515</v>
      </c>
      <c r="D21001" s="38" t="str">
        <f>IFERROR(__xludf.DUMMYFUNCTION("REGEXREPLACE(C21001,""-\d+(.*)|--\d+(.*)"","""")"),"VENAREY-LES-LAUMES")</f>
        <v>VENAREY-LES-LAUMES</v>
      </c>
      <c r="E21001" s="38" t="s">
        <v>105</v>
      </c>
      <c r="F21001" s="38" t="s">
        <v>106</v>
      </c>
      <c r="G21001" s="49" t="str">
        <f t="shared" si="1"/>
        <v>21150</v>
      </c>
      <c r="H21001" s="49">
        <f t="shared" si="2"/>
        <v>21663</v>
      </c>
    </row>
    <row r="21002">
      <c r="A21002" s="48" t="s">
        <v>4283</v>
      </c>
      <c r="B21002" s="38">
        <v>7174.0</v>
      </c>
      <c r="C21002" s="38" t="s">
        <v>25516</v>
      </c>
      <c r="D21002" s="38" t="str">
        <f>IFERROR(__xludf.DUMMYFUNCTION("REGEXREPLACE(C21002,""-\d+(.*)|--\d+(.*)"","""")"),"PEYRAUD")</f>
        <v>PEYRAUD</v>
      </c>
      <c r="E21002" s="38" t="s">
        <v>144</v>
      </c>
      <c r="F21002" s="38" t="s">
        <v>102</v>
      </c>
      <c r="G21002" s="49" t="str">
        <f t="shared" si="1"/>
        <v>07340</v>
      </c>
      <c r="H21002" s="49" t="str">
        <f t="shared" si="2"/>
        <v>07174</v>
      </c>
    </row>
    <row r="21003">
      <c r="A21003" s="48" t="s">
        <v>6250</v>
      </c>
      <c r="B21003" s="38">
        <v>38375.0</v>
      </c>
      <c r="C21003" s="38" t="s">
        <v>25517</v>
      </c>
      <c r="D21003" s="38" t="str">
        <f>IFERROR(__xludf.DUMMYFUNCTION("REGEXREPLACE(C21003,""-\d+(.*)|--\d+(.*)"","""")"),"SAINT-CHRISTOPHE-EN-OISANS")</f>
        <v>SAINT-CHRISTOPHE-EN-OISANS</v>
      </c>
      <c r="E21003" s="38" t="s">
        <v>101</v>
      </c>
      <c r="F21003" s="38" t="s">
        <v>102</v>
      </c>
      <c r="G21003" s="49" t="str">
        <f t="shared" si="1"/>
        <v>38520</v>
      </c>
      <c r="H21003" s="49">
        <f t="shared" si="2"/>
        <v>38375</v>
      </c>
    </row>
    <row r="21004">
      <c r="A21004" s="48" t="s">
        <v>9844</v>
      </c>
      <c r="B21004" s="38">
        <v>17410.0</v>
      </c>
      <c r="C21004" s="38" t="s">
        <v>25518</v>
      </c>
      <c r="D21004" s="38" t="str">
        <f>IFERROR(__xludf.DUMMYFUNCTION("REGEXREPLACE(C21004,""-\d+(.*)|--\d+(.*)"","""")"),"SAINT-THOMAS-DE-CONAC")</f>
        <v>SAINT-THOMAS-DE-CONAC</v>
      </c>
      <c r="E21004" s="38" t="s">
        <v>488</v>
      </c>
      <c r="F21004" s="38" t="s">
        <v>338</v>
      </c>
      <c r="G21004" s="49" t="str">
        <f t="shared" si="1"/>
        <v>17150</v>
      </c>
      <c r="H21004" s="49">
        <f t="shared" si="2"/>
        <v>17410</v>
      </c>
    </row>
    <row r="21005">
      <c r="A21005" s="48" t="s">
        <v>5004</v>
      </c>
      <c r="B21005" s="38">
        <v>76360.0</v>
      </c>
      <c r="C21005" s="38" t="s">
        <v>25519</v>
      </c>
      <c r="D21005" s="38" t="str">
        <f>IFERROR(__xludf.DUMMYFUNCTION("REGEXREPLACE(C21005,""-\d+(.*)|--\d+(.*)"","""")"),"HEUGLEVILLE-SUR-SCIE")</f>
        <v>HEUGLEVILLE-SUR-SCIE</v>
      </c>
      <c r="E21005" s="38" t="s">
        <v>133</v>
      </c>
      <c r="F21005" s="38" t="s">
        <v>134</v>
      </c>
      <c r="G21005" s="49" t="str">
        <f t="shared" si="1"/>
        <v>76720</v>
      </c>
      <c r="H21005" s="49">
        <f t="shared" si="2"/>
        <v>76360</v>
      </c>
    </row>
    <row r="21006">
      <c r="A21006" s="48" t="s">
        <v>25520</v>
      </c>
      <c r="B21006" s="38">
        <v>46042.0</v>
      </c>
      <c r="C21006" s="38" t="s">
        <v>25521</v>
      </c>
      <c r="D21006" s="38" t="str">
        <f>IFERROR(__xludf.DUMMYFUNCTION("REGEXREPLACE(C21006,""-\d+(.*)|--\d+(.*)"","""")"),"CAHORS")</f>
        <v>CAHORS</v>
      </c>
      <c r="E21006" s="38" t="s">
        <v>185</v>
      </c>
      <c r="F21006" s="38" t="s">
        <v>94</v>
      </c>
      <c r="G21006" s="49" t="str">
        <f t="shared" si="1"/>
        <v>46000</v>
      </c>
      <c r="H21006" s="49">
        <f t="shared" si="2"/>
        <v>46042</v>
      </c>
    </row>
    <row r="21007">
      <c r="A21007" s="48" t="s">
        <v>3163</v>
      </c>
      <c r="B21007" s="38">
        <v>28108.0</v>
      </c>
      <c r="C21007" s="38" t="s">
        <v>25522</v>
      </c>
      <c r="D21007" s="38" t="str">
        <f>IFERROR(__xludf.DUMMYFUNCTION("REGEXREPLACE(C21007,""-\d+(.*)|--\d+(.*)"","""")"),"CORMAINVILLE")</f>
        <v>CORMAINVILLE</v>
      </c>
      <c r="E21007" s="38" t="s">
        <v>300</v>
      </c>
      <c r="F21007" s="38" t="s">
        <v>123</v>
      </c>
      <c r="G21007" s="49" t="str">
        <f t="shared" si="1"/>
        <v>28140</v>
      </c>
      <c r="H21007" s="49">
        <f t="shared" si="2"/>
        <v>28108</v>
      </c>
    </row>
    <row r="21008">
      <c r="A21008" s="48" t="s">
        <v>1783</v>
      </c>
      <c r="B21008" s="38">
        <v>60131.0</v>
      </c>
      <c r="C21008" s="38" t="s">
        <v>25523</v>
      </c>
      <c r="D21008" s="38" t="str">
        <f>IFERROR(__xludf.DUMMYFUNCTION("REGEXREPLACE(C21008,""-\d+(.*)|--\d+(.*)"","""")"),"CATHEUX")</f>
        <v>CATHEUX</v>
      </c>
      <c r="E21008" s="38" t="s">
        <v>112</v>
      </c>
      <c r="F21008" s="38" t="s">
        <v>113</v>
      </c>
      <c r="G21008" s="49" t="str">
        <f t="shared" si="1"/>
        <v>60360</v>
      </c>
      <c r="H21008" s="49">
        <f t="shared" si="2"/>
        <v>60131</v>
      </c>
    </row>
    <row r="21009">
      <c r="A21009" s="48" t="s">
        <v>792</v>
      </c>
      <c r="B21009" s="38">
        <v>2351.0</v>
      </c>
      <c r="C21009" s="38" t="s">
        <v>25524</v>
      </c>
      <c r="D21009" s="38" t="str">
        <f>IFERROR(__xludf.DUMMYFUNCTION("REGEXREPLACE(C21009,""-\d+(.*)|--\d+(.*)"","""")"),"GOUSSANCOURT")</f>
        <v>GOUSSANCOURT</v>
      </c>
      <c r="E21009" s="38" t="s">
        <v>191</v>
      </c>
      <c r="F21009" s="38" t="s">
        <v>113</v>
      </c>
      <c r="G21009" s="49" t="str">
        <f t="shared" si="1"/>
        <v>02130</v>
      </c>
      <c r="H21009" s="49" t="str">
        <f t="shared" si="2"/>
        <v>02351</v>
      </c>
    </row>
    <row r="21010">
      <c r="A21010" s="48" t="s">
        <v>135</v>
      </c>
      <c r="B21010" s="38">
        <v>14623.0</v>
      </c>
      <c r="C21010" s="38" t="s">
        <v>25525</v>
      </c>
      <c r="D21010" s="38" t="str">
        <f>IFERROR(__xludf.DUMMYFUNCTION("REGEXREPLACE(C21010,""-\d+(.*)|--\d+(.*)"","""")"),"SAINT-MARTIN-DE-FONTENAY")</f>
        <v>SAINT-MARTIN-DE-FONTENAY</v>
      </c>
      <c r="E21010" s="38" t="s">
        <v>137</v>
      </c>
      <c r="F21010" s="38" t="s">
        <v>138</v>
      </c>
      <c r="G21010" s="49" t="str">
        <f t="shared" si="1"/>
        <v>14320</v>
      </c>
      <c r="H21010" s="49">
        <f t="shared" si="2"/>
        <v>14623</v>
      </c>
    </row>
    <row r="21011">
      <c r="A21011" s="48" t="s">
        <v>18499</v>
      </c>
      <c r="B21011" s="38">
        <v>37113.0</v>
      </c>
      <c r="C21011" s="38" t="s">
        <v>25526</v>
      </c>
      <c r="D21011" s="38" t="str">
        <f>IFERROR(__xludf.DUMMYFUNCTION("REGEXREPLACE(C21011,""-\d+(.*)|--\d+(.*)"","""")"),"LE GRAND-PRESSIGNY")</f>
        <v>LE GRAND-PRESSIGNY</v>
      </c>
      <c r="E21011" s="38" t="s">
        <v>205</v>
      </c>
      <c r="F21011" s="38" t="s">
        <v>123</v>
      </c>
      <c r="G21011" s="49" t="str">
        <f t="shared" si="1"/>
        <v>37350</v>
      </c>
      <c r="H21011" s="49">
        <f t="shared" si="2"/>
        <v>37113</v>
      </c>
    </row>
    <row r="21012">
      <c r="A21012" s="48" t="s">
        <v>6916</v>
      </c>
      <c r="B21012" s="38">
        <v>82162.0</v>
      </c>
      <c r="C21012" s="38" t="s">
        <v>2856</v>
      </c>
      <c r="D21012" s="38" t="str">
        <f>IFERROR(__xludf.DUMMYFUNCTION("REGEXREPLACE(C21012,""-\d+(.*)|--\d+(.*)"","""")"),"SAINT-GEORGES")</f>
        <v>SAINT-GEORGES</v>
      </c>
      <c r="E21012" s="38" t="s">
        <v>570</v>
      </c>
      <c r="F21012" s="38" t="s">
        <v>94</v>
      </c>
      <c r="G21012" s="49" t="str">
        <f t="shared" si="1"/>
        <v>82240</v>
      </c>
      <c r="H21012" s="49">
        <f t="shared" si="2"/>
        <v>82162</v>
      </c>
    </row>
    <row r="21013">
      <c r="A21013" s="48" t="s">
        <v>874</v>
      </c>
      <c r="B21013" s="38" t="s">
        <v>25527</v>
      </c>
      <c r="C21013" s="38" t="s">
        <v>25528</v>
      </c>
      <c r="D21013" s="38" t="str">
        <f>IFERROR(__xludf.DUMMYFUNCTION("REGEXREPLACE(C21013,""-\d+(.*)|--\d+(.*)"","""")"),"CARPINETO")</f>
        <v>CARPINETO</v>
      </c>
      <c r="E21013" s="38" t="s">
        <v>743</v>
      </c>
      <c r="F21013" s="38" t="s">
        <v>607</v>
      </c>
      <c r="G21013" s="49" t="str">
        <f t="shared" si="1"/>
        <v>20229</v>
      </c>
      <c r="H21013" s="49" t="str">
        <f t="shared" si="2"/>
        <v>2B067</v>
      </c>
    </row>
    <row r="21014">
      <c r="A21014" s="48" t="s">
        <v>4082</v>
      </c>
      <c r="B21014" s="38">
        <v>95102.0</v>
      </c>
      <c r="C21014" s="38" t="s">
        <v>25529</v>
      </c>
      <c r="D21014" s="38" t="str">
        <f>IFERROR(__xludf.DUMMYFUNCTION("REGEXREPLACE(C21014,""-\d+(.*)|--\d+(.*)"","""")"),"BREANCON")</f>
        <v>BREANCON</v>
      </c>
      <c r="E21014" s="38" t="s">
        <v>541</v>
      </c>
      <c r="F21014" s="38" t="s">
        <v>245</v>
      </c>
      <c r="G21014" s="49" t="str">
        <f t="shared" si="1"/>
        <v>95640</v>
      </c>
      <c r="H21014" s="49">
        <f t="shared" si="2"/>
        <v>95102</v>
      </c>
    </row>
    <row r="21015">
      <c r="A21015" s="48" t="s">
        <v>25530</v>
      </c>
      <c r="B21015" s="38">
        <v>59011.0</v>
      </c>
      <c r="C21015" s="38" t="s">
        <v>25531</v>
      </c>
      <c r="D21015" s="38" t="str">
        <f>IFERROR(__xludf.DUMMYFUNCTION("REGEXREPLACE(C21015,""-\d+(.*)|--\d+(.*)"","""")"),"ANNOEULLIN")</f>
        <v>ANNOEULLIN</v>
      </c>
      <c r="E21015" s="38" t="s">
        <v>85</v>
      </c>
      <c r="F21015" s="38" t="s">
        <v>86</v>
      </c>
      <c r="G21015" s="49" t="str">
        <f t="shared" si="1"/>
        <v>59112</v>
      </c>
      <c r="H21015" s="49">
        <f t="shared" si="2"/>
        <v>59011</v>
      </c>
    </row>
    <row r="21016">
      <c r="A21016" s="48" t="s">
        <v>6264</v>
      </c>
      <c r="B21016" s="38">
        <v>77319.0</v>
      </c>
      <c r="C21016" s="38" t="s">
        <v>25532</v>
      </c>
      <c r="D21016" s="38" t="str">
        <f>IFERROR(__xludf.DUMMYFUNCTION("REGEXREPLACE(C21016,""-\d+(.*)|--\d+(.*)"","""")"),"MORTERY")</f>
        <v>MORTERY</v>
      </c>
      <c r="E21016" s="38" t="s">
        <v>244</v>
      </c>
      <c r="F21016" s="38" t="s">
        <v>245</v>
      </c>
      <c r="G21016" s="49" t="str">
        <f t="shared" si="1"/>
        <v>77160</v>
      </c>
      <c r="H21016" s="49">
        <f t="shared" si="2"/>
        <v>77319</v>
      </c>
    </row>
    <row r="21017">
      <c r="A21017" s="48" t="s">
        <v>23771</v>
      </c>
      <c r="B21017" s="38">
        <v>61397.0</v>
      </c>
      <c r="C21017" s="38" t="s">
        <v>25533</v>
      </c>
      <c r="D21017" s="38" t="str">
        <f>IFERROR(__xludf.DUMMYFUNCTION("REGEXREPLACE(C21017,""-\d+(.*)|--\d+(.*)"","""")"),"SAINT-GERMAIN-DU-CORBEIS")</f>
        <v>SAINT-GERMAIN-DU-CORBEIS</v>
      </c>
      <c r="E21017" s="38" t="s">
        <v>141</v>
      </c>
      <c r="F21017" s="38" t="s">
        <v>138</v>
      </c>
      <c r="G21017" s="49" t="str">
        <f t="shared" si="1"/>
        <v>61000</v>
      </c>
      <c r="H21017" s="49">
        <f t="shared" si="2"/>
        <v>61397</v>
      </c>
    </row>
    <row r="21018">
      <c r="A21018" s="48" t="s">
        <v>1495</v>
      </c>
      <c r="B21018" s="38">
        <v>33153.0</v>
      </c>
      <c r="C21018" s="38" t="s">
        <v>25534</v>
      </c>
      <c r="D21018" s="38" t="str">
        <f>IFERROR(__xludf.DUMMYFUNCTION("REGEXREPLACE(C21018,""-\d+(.*)|--\d+(.*)"","""")"),"DOULEZON")</f>
        <v>DOULEZON</v>
      </c>
      <c r="E21018" s="38" t="s">
        <v>462</v>
      </c>
      <c r="F21018" s="38" t="s">
        <v>252</v>
      </c>
      <c r="G21018" s="49" t="str">
        <f t="shared" si="1"/>
        <v>33350</v>
      </c>
      <c r="H21018" s="49">
        <f t="shared" si="2"/>
        <v>33153</v>
      </c>
    </row>
    <row r="21019">
      <c r="A21019" s="48" t="s">
        <v>3912</v>
      </c>
      <c r="B21019" s="38">
        <v>38367.0</v>
      </c>
      <c r="C21019" s="38" t="s">
        <v>21685</v>
      </c>
      <c r="D21019" s="38" t="str">
        <f>IFERROR(__xludf.DUMMYFUNCTION("REGEXREPLACE(C21019,""-\d+(.*)|--\d+(.*)"","""")"),"SAINT-BERNARD")</f>
        <v>SAINT-BERNARD</v>
      </c>
      <c r="E21019" s="38" t="s">
        <v>101</v>
      </c>
      <c r="F21019" s="38" t="s">
        <v>102</v>
      </c>
      <c r="G21019" s="49" t="str">
        <f t="shared" si="1"/>
        <v>38660</v>
      </c>
      <c r="H21019" s="49">
        <f t="shared" si="2"/>
        <v>38367</v>
      </c>
    </row>
    <row r="21020">
      <c r="A21020" s="48" t="s">
        <v>6406</v>
      </c>
      <c r="B21020" s="38">
        <v>41024.0</v>
      </c>
      <c r="C21020" s="38" t="s">
        <v>25535</v>
      </c>
      <c r="D21020" s="38" t="str">
        <f>IFERROR(__xludf.DUMMYFUNCTION("REGEXREPLACE(C21020,""-\d+(.*)|--\d+(.*)"","""")"),"BOURSAY")</f>
        <v>BOURSAY</v>
      </c>
      <c r="E21020" s="38" t="s">
        <v>188</v>
      </c>
      <c r="F21020" s="38" t="s">
        <v>123</v>
      </c>
      <c r="G21020" s="49" t="str">
        <f t="shared" si="1"/>
        <v>41270</v>
      </c>
      <c r="H21020" s="49">
        <f t="shared" si="2"/>
        <v>41024</v>
      </c>
    </row>
    <row r="21021">
      <c r="A21021" s="48" t="s">
        <v>25536</v>
      </c>
      <c r="B21021" s="38">
        <v>27458.0</v>
      </c>
      <c r="C21021" s="38" t="s">
        <v>25537</v>
      </c>
      <c r="D21021" s="38" t="str">
        <f>IFERROR(__xludf.DUMMYFUNCTION("REGEXREPLACE(C21021,""-\d+(.*)|--\d+(.*)"","""")"),"PITRES")</f>
        <v>PITRES</v>
      </c>
      <c r="E21021" s="38" t="s">
        <v>241</v>
      </c>
      <c r="F21021" s="38" t="s">
        <v>134</v>
      </c>
      <c r="G21021" s="49" t="str">
        <f t="shared" si="1"/>
        <v>27590</v>
      </c>
      <c r="H21021" s="49">
        <f t="shared" si="2"/>
        <v>27458</v>
      </c>
    </row>
    <row r="21022">
      <c r="A21022" s="48" t="s">
        <v>3603</v>
      </c>
      <c r="B21022" s="38">
        <v>24568.0</v>
      </c>
      <c r="C21022" s="38" t="s">
        <v>25538</v>
      </c>
      <c r="D21022" s="38" t="str">
        <f>IFERROR(__xludf.DUMMYFUNCTION("REGEXREPLACE(C21022,""-\d+(.*)|--\d+(.*)"","""")"),"VELINES")</f>
        <v>VELINES</v>
      </c>
      <c r="E21022" s="38" t="s">
        <v>261</v>
      </c>
      <c r="F21022" s="38" t="s">
        <v>252</v>
      </c>
      <c r="G21022" s="49" t="str">
        <f t="shared" si="1"/>
        <v>24230</v>
      </c>
      <c r="H21022" s="49">
        <f t="shared" si="2"/>
        <v>24568</v>
      </c>
    </row>
    <row r="21023">
      <c r="A21023" s="48" t="s">
        <v>789</v>
      </c>
      <c r="B21023" s="38">
        <v>10309.0</v>
      </c>
      <c r="C21023" s="38" t="s">
        <v>25539</v>
      </c>
      <c r="D21023" s="38" t="str">
        <f>IFERROR(__xludf.DUMMYFUNCTION("REGEXREPLACE(C21023,""-\d+(.*)|--\d+(.*)"","""")"),"PRUSY")</f>
        <v>PRUSY</v>
      </c>
      <c r="E21023" s="38" t="s">
        <v>147</v>
      </c>
      <c r="F21023" s="38" t="s">
        <v>130</v>
      </c>
      <c r="G21023" s="49" t="str">
        <f t="shared" si="1"/>
        <v>10210</v>
      </c>
      <c r="H21023" s="49">
        <f t="shared" si="2"/>
        <v>10309</v>
      </c>
    </row>
    <row r="21024">
      <c r="A21024" s="48" t="s">
        <v>1100</v>
      </c>
      <c r="B21024" s="38">
        <v>8379.0</v>
      </c>
      <c r="C21024" s="38" t="s">
        <v>25540</v>
      </c>
      <c r="D21024" s="38" t="str">
        <f>IFERROR(__xludf.DUMMYFUNCTION("REGEXREPLACE(C21024,""-\d+(.*)|--\d+(.*)"","""")"),"SAINT-ETIENNE-A-ARNES")</f>
        <v>SAINT-ETIENNE-A-ARNES</v>
      </c>
      <c r="E21024" s="38" t="s">
        <v>327</v>
      </c>
      <c r="F21024" s="38" t="s">
        <v>130</v>
      </c>
      <c r="G21024" s="49" t="str">
        <f t="shared" si="1"/>
        <v>08310</v>
      </c>
      <c r="H21024" s="49" t="str">
        <f t="shared" si="2"/>
        <v>08379</v>
      </c>
    </row>
    <row r="21025">
      <c r="A21025" s="48" t="s">
        <v>736</v>
      </c>
      <c r="B21025" s="38">
        <v>57715.0</v>
      </c>
      <c r="C21025" s="38" t="s">
        <v>13545</v>
      </c>
      <c r="D21025" s="38" t="str">
        <f>IFERROR(__xludf.DUMMYFUNCTION("REGEXREPLACE(C21025,""-\d+(.*)|--\d+(.*)"","""")"),"VIGNY")</f>
        <v>VIGNY</v>
      </c>
      <c r="E21025" s="38" t="s">
        <v>303</v>
      </c>
      <c r="F21025" s="38" t="s">
        <v>195</v>
      </c>
      <c r="G21025" s="49" t="str">
        <f t="shared" si="1"/>
        <v>57420</v>
      </c>
      <c r="H21025" s="49">
        <f t="shared" si="2"/>
        <v>57715</v>
      </c>
    </row>
    <row r="21026">
      <c r="A21026" s="48" t="s">
        <v>1774</v>
      </c>
      <c r="B21026" s="38">
        <v>28038.0</v>
      </c>
      <c r="C21026" s="38" t="s">
        <v>15118</v>
      </c>
      <c r="D21026" s="38" t="str">
        <f>IFERROR(__xludf.DUMMYFUNCTION("REGEXREPLACE(C21026,""-\d+(.*)|--\d+(.*)"","""")"),"BETHONVILLIERS")</f>
        <v>BETHONVILLIERS</v>
      </c>
      <c r="E21026" s="38" t="s">
        <v>300</v>
      </c>
      <c r="F21026" s="38" t="s">
        <v>123</v>
      </c>
      <c r="G21026" s="49" t="str">
        <f t="shared" si="1"/>
        <v>28330</v>
      </c>
      <c r="H21026" s="49">
        <f t="shared" si="2"/>
        <v>28038</v>
      </c>
    </row>
    <row r="21027">
      <c r="A21027" s="48" t="s">
        <v>564</v>
      </c>
      <c r="B21027" s="38">
        <v>73271.0</v>
      </c>
      <c r="C21027" s="38" t="s">
        <v>25541</v>
      </c>
      <c r="D21027" s="38" t="str">
        <f>IFERROR(__xludf.DUMMYFUNCTION("REGEXREPLACE(C21027,""-\d+(.*)|--\d+(.*)"","""")"),"SAINT-PIERRE-D'ALVEY")</f>
        <v>SAINT-PIERRE-D'ALVEY</v>
      </c>
      <c r="E21027" s="38" t="s">
        <v>306</v>
      </c>
      <c r="F21027" s="38" t="s">
        <v>102</v>
      </c>
      <c r="G21027" s="49" t="str">
        <f t="shared" si="1"/>
        <v>73170</v>
      </c>
      <c r="H21027" s="49">
        <f t="shared" si="2"/>
        <v>73271</v>
      </c>
    </row>
    <row r="21028">
      <c r="A21028" s="48" t="s">
        <v>7368</v>
      </c>
      <c r="B21028" s="38">
        <v>37015.0</v>
      </c>
      <c r="C21028" s="38" t="s">
        <v>25542</v>
      </c>
      <c r="D21028" s="38" t="str">
        <f>IFERROR(__xludf.DUMMYFUNCTION("REGEXREPLACE(C21028,""-\d+(.*)|--\d+(.*)"","""")"),"AZAY-SUR-CHER")</f>
        <v>AZAY-SUR-CHER</v>
      </c>
      <c r="E21028" s="38" t="s">
        <v>205</v>
      </c>
      <c r="F21028" s="38" t="s">
        <v>123</v>
      </c>
      <c r="G21028" s="49" t="str">
        <f t="shared" si="1"/>
        <v>37270</v>
      </c>
      <c r="H21028" s="49">
        <f t="shared" si="2"/>
        <v>37015</v>
      </c>
    </row>
    <row r="21029">
      <c r="A21029" s="48" t="s">
        <v>4648</v>
      </c>
      <c r="B21029" s="38">
        <v>54593.0</v>
      </c>
      <c r="C21029" s="38" t="s">
        <v>25543</v>
      </c>
      <c r="D21029" s="38" t="str">
        <f>IFERROR(__xludf.DUMMYFUNCTION("REGEXREPLACE(C21029,""-\d+(.*)|--\d+(.*)"","""")"),"WAVILLE")</f>
        <v>WAVILLE</v>
      </c>
      <c r="E21029" s="38" t="s">
        <v>548</v>
      </c>
      <c r="F21029" s="38" t="s">
        <v>195</v>
      </c>
      <c r="G21029" s="49" t="str">
        <f t="shared" si="1"/>
        <v>54890</v>
      </c>
      <c r="H21029" s="49">
        <f t="shared" si="2"/>
        <v>54593</v>
      </c>
    </row>
    <row r="21030">
      <c r="A21030" s="48" t="s">
        <v>2379</v>
      </c>
      <c r="B21030" s="38">
        <v>65124.0</v>
      </c>
      <c r="C21030" s="38" t="s">
        <v>25544</v>
      </c>
      <c r="D21030" s="38" t="str">
        <f>IFERROR(__xludf.DUMMYFUNCTION("REGEXREPLACE(C21030,""-\d+(.*)|--\d+(.*)"","""")"),"CAMPARAN")</f>
        <v>CAMPARAN</v>
      </c>
      <c r="E21030" s="38" t="s">
        <v>200</v>
      </c>
      <c r="F21030" s="38" t="s">
        <v>94</v>
      </c>
      <c r="G21030" s="49" t="str">
        <f t="shared" si="1"/>
        <v>65170</v>
      </c>
      <c r="H21030" s="49">
        <f t="shared" si="2"/>
        <v>65124</v>
      </c>
    </row>
    <row r="21031">
      <c r="A21031" s="48" t="s">
        <v>2029</v>
      </c>
      <c r="B21031" s="38">
        <v>50609.0</v>
      </c>
      <c r="C21031" s="38" t="s">
        <v>25545</v>
      </c>
      <c r="D21031" s="38" t="str">
        <f>IFERROR(__xludf.DUMMYFUNCTION("REGEXREPLACE(C21031,""-\d+(.*)|--\d+(.*)"","""")"),"TURQUEVILLE")</f>
        <v>TURQUEVILLE</v>
      </c>
      <c r="E21031" s="38" t="s">
        <v>157</v>
      </c>
      <c r="F21031" s="38" t="s">
        <v>138</v>
      </c>
      <c r="G21031" s="49" t="str">
        <f t="shared" si="1"/>
        <v>50480</v>
      </c>
      <c r="H21031" s="49">
        <f t="shared" si="2"/>
        <v>50609</v>
      </c>
    </row>
    <row r="21032">
      <c r="A21032" s="48" t="s">
        <v>25546</v>
      </c>
      <c r="B21032" s="38">
        <v>36072.0</v>
      </c>
      <c r="C21032" s="38" t="s">
        <v>4831</v>
      </c>
      <c r="D21032" s="38" t="str">
        <f>IFERROR(__xludf.DUMMYFUNCTION("REGEXREPLACE(C21032,""-\d+(.*)|--\d+(.*)"","""")"),"FAVEROLLES")</f>
        <v>FAVEROLLES</v>
      </c>
      <c r="E21032" s="38" t="s">
        <v>258</v>
      </c>
      <c r="F21032" s="38" t="s">
        <v>123</v>
      </c>
      <c r="G21032" s="49" t="str">
        <f t="shared" si="1"/>
        <v>36360</v>
      </c>
      <c r="H21032" s="49">
        <f t="shared" si="2"/>
        <v>36072</v>
      </c>
    </row>
    <row r="21033">
      <c r="A21033" s="48" t="s">
        <v>4008</v>
      </c>
      <c r="B21033" s="38">
        <v>65078.0</v>
      </c>
      <c r="C21033" s="38" t="s">
        <v>25547</v>
      </c>
      <c r="D21033" s="38" t="str">
        <f>IFERROR(__xludf.DUMMYFUNCTION("REGEXREPLACE(C21033,""-\d+(.*)|--\d+(.*)"","""")"),"BEAUDEAN")</f>
        <v>BEAUDEAN</v>
      </c>
      <c r="E21033" s="38" t="s">
        <v>200</v>
      </c>
      <c r="F21033" s="38" t="s">
        <v>94</v>
      </c>
      <c r="G21033" s="49" t="str">
        <f t="shared" si="1"/>
        <v>65710</v>
      </c>
      <c r="H21033" s="49">
        <f t="shared" si="2"/>
        <v>65078</v>
      </c>
    </row>
    <row r="21034">
      <c r="A21034" s="48" t="s">
        <v>1452</v>
      </c>
      <c r="B21034" s="38">
        <v>55102.0</v>
      </c>
      <c r="C21034" s="38" t="s">
        <v>25548</v>
      </c>
      <c r="D21034" s="38" t="str">
        <f>IFERROR(__xludf.DUMMYFUNCTION("REGEXREPLACE(C21034,""-\d+(.*)|--\d+(.*)"","""")"),"CHARNY-SUR-MEUSE")</f>
        <v>CHARNY-SUR-MEUSE</v>
      </c>
      <c r="E21034" s="38" t="s">
        <v>322</v>
      </c>
      <c r="F21034" s="38" t="s">
        <v>195</v>
      </c>
      <c r="G21034" s="49" t="str">
        <f t="shared" si="1"/>
        <v>55100</v>
      </c>
      <c r="H21034" s="49">
        <f t="shared" si="2"/>
        <v>55102</v>
      </c>
    </row>
    <row r="21035">
      <c r="A21035" s="48" t="s">
        <v>415</v>
      </c>
      <c r="B21035" s="38">
        <v>21140.0</v>
      </c>
      <c r="C21035" s="38" t="s">
        <v>2950</v>
      </c>
      <c r="D21035" s="38" t="str">
        <f>IFERROR(__xludf.DUMMYFUNCTION("REGEXREPLACE(C21035,""-\d+(.*)|--\d+(.*)"","""")"),"CHAMPIGNOLLES")</f>
        <v>CHAMPIGNOLLES</v>
      </c>
      <c r="E21035" s="38" t="s">
        <v>105</v>
      </c>
      <c r="F21035" s="38" t="s">
        <v>106</v>
      </c>
      <c r="G21035" s="49" t="str">
        <f t="shared" si="1"/>
        <v>21230</v>
      </c>
      <c r="H21035" s="49">
        <f t="shared" si="2"/>
        <v>21140</v>
      </c>
    </row>
    <row r="21036">
      <c r="A21036" s="48" t="s">
        <v>10651</v>
      </c>
      <c r="B21036" s="38">
        <v>81014.0</v>
      </c>
      <c r="C21036" s="38" t="s">
        <v>21977</v>
      </c>
      <c r="D21036" s="38" t="str">
        <f>IFERROR(__xludf.DUMMYFUNCTION("REGEXREPLACE(C21036,""-\d+(.*)|--\d+(.*)"","""")"),"ANGLES")</f>
        <v>ANGLES</v>
      </c>
      <c r="E21036" s="38" t="s">
        <v>231</v>
      </c>
      <c r="F21036" s="38" t="s">
        <v>94</v>
      </c>
      <c r="G21036" s="49" t="str">
        <f t="shared" si="1"/>
        <v>81260</v>
      </c>
      <c r="H21036" s="49">
        <f t="shared" si="2"/>
        <v>81014</v>
      </c>
    </row>
    <row r="21037">
      <c r="A21037" s="48" t="s">
        <v>18666</v>
      </c>
      <c r="B21037" s="38">
        <v>42270.0</v>
      </c>
      <c r="C21037" s="38" t="s">
        <v>25549</v>
      </c>
      <c r="D21037" s="38" t="str">
        <f>IFERROR(__xludf.DUMMYFUNCTION("REGEXREPLACE(C21037,""-\d+(.*)|--\d+(.*)"","""")"),"SAINT-PAUL-EN-CORNILLON")</f>
        <v>SAINT-PAUL-EN-CORNILLON</v>
      </c>
      <c r="E21037" s="38" t="s">
        <v>166</v>
      </c>
      <c r="F21037" s="38" t="s">
        <v>102</v>
      </c>
      <c r="G21037" s="49" t="str">
        <f t="shared" si="1"/>
        <v>42240</v>
      </c>
      <c r="H21037" s="49">
        <f t="shared" si="2"/>
        <v>42270</v>
      </c>
    </row>
    <row r="21038">
      <c r="A21038" s="48" t="s">
        <v>378</v>
      </c>
      <c r="B21038" s="38">
        <v>37040.0</v>
      </c>
      <c r="C21038" s="38" t="s">
        <v>25550</v>
      </c>
      <c r="D21038" s="38" t="str">
        <f>IFERROR(__xludf.DUMMYFUNCTION("REGEXREPLACE(C21038,""-\d+(.*)|--\d+(.*)"","""")"),"BRIZAY")</f>
        <v>BRIZAY</v>
      </c>
      <c r="E21038" s="38" t="s">
        <v>205</v>
      </c>
      <c r="F21038" s="38" t="s">
        <v>123</v>
      </c>
      <c r="G21038" s="49" t="str">
        <f t="shared" si="1"/>
        <v>37220</v>
      </c>
      <c r="H21038" s="49">
        <f t="shared" si="2"/>
        <v>37040</v>
      </c>
    </row>
    <row r="21039">
      <c r="A21039" s="48" t="s">
        <v>25551</v>
      </c>
      <c r="B21039" s="38">
        <v>17337.0</v>
      </c>
      <c r="C21039" s="38" t="s">
        <v>25552</v>
      </c>
      <c r="D21039" s="38" t="str">
        <f>IFERROR(__xludf.DUMMYFUNCTION("REGEXREPLACE(C21039,""-\d+(.*)|--\d+(.*)"","""")"),"SAINT-GEORGES-D'OLERON")</f>
        <v>SAINT-GEORGES-D'OLERON</v>
      </c>
      <c r="E21039" s="38" t="s">
        <v>488</v>
      </c>
      <c r="F21039" s="38" t="s">
        <v>338</v>
      </c>
      <c r="G21039" s="49" t="str">
        <f t="shared" si="1"/>
        <v>17190</v>
      </c>
      <c r="H21039" s="49">
        <f t="shared" si="2"/>
        <v>17337</v>
      </c>
    </row>
    <row r="21040">
      <c r="A21040" s="48" t="s">
        <v>1128</v>
      </c>
      <c r="B21040" s="38">
        <v>2690.0</v>
      </c>
      <c r="C21040" s="38" t="s">
        <v>25553</v>
      </c>
      <c r="D21040" s="38" t="str">
        <f>IFERROR(__xludf.DUMMYFUNCTION("REGEXREPLACE(C21040,""-\d+(.*)|--\d+(.*)"","""")"),"SAINTE-PREUVE")</f>
        <v>SAINTE-PREUVE</v>
      </c>
      <c r="E21040" s="38" t="s">
        <v>191</v>
      </c>
      <c r="F21040" s="38" t="s">
        <v>113</v>
      </c>
      <c r="G21040" s="49" t="str">
        <f t="shared" si="1"/>
        <v>02350</v>
      </c>
      <c r="H21040" s="49" t="str">
        <f t="shared" si="2"/>
        <v>02690</v>
      </c>
    </row>
    <row r="21041">
      <c r="A21041" s="48" t="s">
        <v>3747</v>
      </c>
      <c r="B21041" s="38">
        <v>52390.0</v>
      </c>
      <c r="C21041" s="38" t="s">
        <v>25554</v>
      </c>
      <c r="D21041" s="38" t="str">
        <f>IFERROR(__xludf.DUMMYFUNCTION("REGEXREPLACE(C21041,""-\d+(.*)|--\d+(.*)"","""")"),"PISSELOUP")</f>
        <v>PISSELOUP</v>
      </c>
      <c r="E21041" s="38" t="s">
        <v>234</v>
      </c>
      <c r="F21041" s="38" t="s">
        <v>130</v>
      </c>
      <c r="G21041" s="49" t="str">
        <f t="shared" si="1"/>
        <v>52500</v>
      </c>
      <c r="H21041" s="49">
        <f t="shared" si="2"/>
        <v>52390</v>
      </c>
    </row>
    <row r="21042">
      <c r="A21042" s="48" t="s">
        <v>1327</v>
      </c>
      <c r="B21042" s="38">
        <v>51466.0</v>
      </c>
      <c r="C21042" s="38" t="s">
        <v>25555</v>
      </c>
      <c r="D21042" s="38" t="str">
        <f>IFERROR(__xludf.DUMMYFUNCTION("REGEXREPLACE(C21042,""-\d+(.*)|--\d+(.*)"","""")"),"ROMIGNY")</f>
        <v>ROMIGNY</v>
      </c>
      <c r="E21042" s="38" t="s">
        <v>129</v>
      </c>
      <c r="F21042" s="38" t="s">
        <v>130</v>
      </c>
      <c r="G21042" s="49" t="str">
        <f t="shared" si="1"/>
        <v>51170</v>
      </c>
      <c r="H21042" s="49">
        <f t="shared" si="2"/>
        <v>51466</v>
      </c>
    </row>
    <row r="21043">
      <c r="A21043" s="48" t="s">
        <v>25556</v>
      </c>
      <c r="B21043" s="38">
        <v>68163.0</v>
      </c>
      <c r="C21043" s="38" t="s">
        <v>25557</v>
      </c>
      <c r="D21043" s="38" t="str">
        <f>IFERROR(__xludf.DUMMYFUNCTION("REGEXREPLACE(C21043,""-\d+(.*)|--\d+(.*)"","""")"),"KEMBS")</f>
        <v>KEMBS</v>
      </c>
      <c r="E21043" s="38" t="s">
        <v>150</v>
      </c>
      <c r="F21043" s="38" t="s">
        <v>151</v>
      </c>
      <c r="G21043" s="49" t="str">
        <f t="shared" si="1"/>
        <v>68680</v>
      </c>
      <c r="H21043" s="49">
        <f t="shared" si="2"/>
        <v>68163</v>
      </c>
    </row>
    <row r="21044">
      <c r="A21044" s="48" t="s">
        <v>993</v>
      </c>
      <c r="B21044" s="38">
        <v>73300.0</v>
      </c>
      <c r="C21044" s="38" t="s">
        <v>25558</v>
      </c>
      <c r="D21044" s="38" t="str">
        <f>IFERROR(__xludf.DUMMYFUNCTION("REGEXREPLACE(C21044,""-\d+(.*)|--\d+(.*)"","""")"),"TRESSERVE")</f>
        <v>TRESSERVE</v>
      </c>
      <c r="E21044" s="38" t="s">
        <v>306</v>
      </c>
      <c r="F21044" s="38" t="s">
        <v>102</v>
      </c>
      <c r="G21044" s="49" t="str">
        <f t="shared" si="1"/>
        <v>73100</v>
      </c>
      <c r="H21044" s="49">
        <f t="shared" si="2"/>
        <v>73300</v>
      </c>
    </row>
    <row r="21045">
      <c r="A21045" s="48" t="s">
        <v>2116</v>
      </c>
      <c r="B21045" s="38">
        <v>26236.0</v>
      </c>
      <c r="C21045" s="38" t="s">
        <v>25559</v>
      </c>
      <c r="D21045" s="38" t="str">
        <f>IFERROR(__xludf.DUMMYFUNCTION("REGEXREPLACE(C21045,""-\d+(.*)|--\d+(.*)"","""")"),"PIERRELONGUE")</f>
        <v>PIERRELONGUE</v>
      </c>
      <c r="E21045" s="38" t="s">
        <v>126</v>
      </c>
      <c r="F21045" s="38" t="s">
        <v>102</v>
      </c>
      <c r="G21045" s="49" t="str">
        <f t="shared" si="1"/>
        <v>26170</v>
      </c>
      <c r="H21045" s="49">
        <f t="shared" si="2"/>
        <v>26236</v>
      </c>
    </row>
    <row r="21046">
      <c r="A21046" s="48" t="s">
        <v>3116</v>
      </c>
      <c r="B21046" s="38">
        <v>91240.0</v>
      </c>
      <c r="C21046" s="38" t="s">
        <v>25560</v>
      </c>
      <c r="D21046" s="38" t="str">
        <f>IFERROR(__xludf.DUMMYFUNCTION("REGEXREPLACE(C21046,""-\d+(.*)|--\d+(.*)"","""")"),"FONTAINE-LA-RIVIERE")</f>
        <v>FONTAINE-LA-RIVIERE</v>
      </c>
      <c r="E21046" s="38" t="s">
        <v>756</v>
      </c>
      <c r="F21046" s="38" t="s">
        <v>245</v>
      </c>
      <c r="G21046" s="49" t="str">
        <f t="shared" si="1"/>
        <v>91690</v>
      </c>
      <c r="H21046" s="49">
        <f t="shared" si="2"/>
        <v>91240</v>
      </c>
    </row>
    <row r="21047">
      <c r="A21047" s="48" t="s">
        <v>2406</v>
      </c>
      <c r="B21047" s="38">
        <v>55264.0</v>
      </c>
      <c r="C21047" s="38" t="s">
        <v>25561</v>
      </c>
      <c r="D21047" s="38" t="str">
        <f>IFERROR(__xludf.DUMMYFUNCTION("REGEXREPLACE(C21047,""-\d+(.*)|--\d+(.*)"","""")"),"KOEUR-LA-PETITE")</f>
        <v>KOEUR-LA-PETITE</v>
      </c>
      <c r="E21047" s="38" t="s">
        <v>322</v>
      </c>
      <c r="F21047" s="38" t="s">
        <v>195</v>
      </c>
      <c r="G21047" s="49" t="str">
        <f t="shared" si="1"/>
        <v>55300</v>
      </c>
      <c r="H21047" s="49">
        <f t="shared" si="2"/>
        <v>55264</v>
      </c>
    </row>
    <row r="21048">
      <c r="A21048" s="48" t="s">
        <v>10882</v>
      </c>
      <c r="B21048" s="38">
        <v>76594.0</v>
      </c>
      <c r="C21048" s="38" t="s">
        <v>25562</v>
      </c>
      <c r="D21048" s="38" t="str">
        <f>IFERROR(__xludf.DUMMYFUNCTION("REGEXREPLACE(C21048,""-\d+(.*)|--\d+(.*)"","""")"),"SAINT-JEAN-DU-CARDONNAY")</f>
        <v>SAINT-JEAN-DU-CARDONNAY</v>
      </c>
      <c r="E21048" s="38" t="s">
        <v>133</v>
      </c>
      <c r="F21048" s="38" t="s">
        <v>134</v>
      </c>
      <c r="G21048" s="49" t="str">
        <f t="shared" si="1"/>
        <v>76150</v>
      </c>
      <c r="H21048" s="49">
        <f t="shared" si="2"/>
        <v>76594</v>
      </c>
    </row>
    <row r="21049">
      <c r="A21049" s="48" t="s">
        <v>25563</v>
      </c>
      <c r="B21049" s="38">
        <v>97301.0</v>
      </c>
      <c r="C21049" s="38" t="s">
        <v>25564</v>
      </c>
      <c r="D21049" s="38" t="str">
        <f>IFERROR(__xludf.DUMMYFUNCTION("REGEXREPLACE(C21049,""-\d+(.*)|--\d+(.*)"","""")"),"REGINA")</f>
        <v>REGINA</v>
      </c>
      <c r="E21049" s="38" t="s">
        <v>1737</v>
      </c>
      <c r="F21049" s="38" t="s">
        <v>1737</v>
      </c>
      <c r="G21049" s="49" t="str">
        <f t="shared" si="1"/>
        <v>97390</v>
      </c>
      <c r="H21049" s="49">
        <f t="shared" si="2"/>
        <v>97301</v>
      </c>
    </row>
    <row r="21050">
      <c r="A21050" s="48" t="s">
        <v>2708</v>
      </c>
      <c r="B21050" s="38">
        <v>70485.0</v>
      </c>
      <c r="C21050" s="38" t="s">
        <v>659</v>
      </c>
      <c r="D21050" s="38" t="str">
        <f>IFERROR(__xludf.DUMMYFUNCTION("REGEXREPLACE(C21050,""-\d+(.*)|--\d+(.*)"","""")"),"SELLES")</f>
        <v>SELLES</v>
      </c>
      <c r="E21050" s="38" t="s">
        <v>956</v>
      </c>
      <c r="F21050" s="38" t="s">
        <v>214</v>
      </c>
      <c r="G21050" s="49" t="str">
        <f t="shared" si="1"/>
        <v>70210</v>
      </c>
      <c r="H21050" s="49">
        <f t="shared" si="2"/>
        <v>70485</v>
      </c>
    </row>
    <row r="21051">
      <c r="A21051" s="48" t="s">
        <v>5553</v>
      </c>
      <c r="B21051" s="38">
        <v>34220.0</v>
      </c>
      <c r="C21051" s="38" t="s">
        <v>25565</v>
      </c>
      <c r="D21051" s="38" t="str">
        <f>IFERROR(__xludf.DUMMYFUNCTION("REGEXREPLACE(C21051,""-\d+(.*)|--\d+(.*)"","""")"),"LE PUECH")</f>
        <v>LE PUECH</v>
      </c>
      <c r="E21051" s="38" t="s">
        <v>118</v>
      </c>
      <c r="F21051" s="38" t="s">
        <v>119</v>
      </c>
      <c r="G21051" s="49" t="str">
        <f t="shared" si="1"/>
        <v>34700</v>
      </c>
      <c r="H21051" s="49">
        <f t="shared" si="2"/>
        <v>34220</v>
      </c>
    </row>
    <row r="21052">
      <c r="A21052" s="48" t="s">
        <v>8125</v>
      </c>
      <c r="B21052" s="38">
        <v>87133.0</v>
      </c>
      <c r="C21052" s="38" t="s">
        <v>25566</v>
      </c>
      <c r="D21052" s="38" t="str">
        <f>IFERROR(__xludf.DUMMYFUNCTION("REGEXREPLACE(C21052,""-\d+(.*)|--\d+(.*)"","""")"),"SAINT-AMAND-MAGNAZEIX")</f>
        <v>SAINT-AMAND-MAGNAZEIX</v>
      </c>
      <c r="E21052" s="38" t="s">
        <v>897</v>
      </c>
      <c r="F21052" s="38" t="s">
        <v>98</v>
      </c>
      <c r="G21052" s="49" t="str">
        <f t="shared" si="1"/>
        <v>87290</v>
      </c>
      <c r="H21052" s="49">
        <f t="shared" si="2"/>
        <v>87133</v>
      </c>
    </row>
    <row r="21053">
      <c r="A21053" s="48" t="s">
        <v>1278</v>
      </c>
      <c r="B21053" s="38">
        <v>83111.0</v>
      </c>
      <c r="C21053" s="38" t="s">
        <v>25567</v>
      </c>
      <c r="D21053" s="38" t="str">
        <f>IFERROR(__xludf.DUMMYFUNCTION("REGEXREPLACE(C21053,""-\d+(.*)|--\d+(.*)"","""")"),"SAINTE-ANASTASIE-SUR-ISSOLE")</f>
        <v>SAINTE-ANASTASIE-SUR-ISSOLE</v>
      </c>
      <c r="E21053" s="38" t="s">
        <v>813</v>
      </c>
      <c r="F21053" s="38" t="s">
        <v>228</v>
      </c>
      <c r="G21053" s="49" t="str">
        <f t="shared" si="1"/>
        <v>83136</v>
      </c>
      <c r="H21053" s="49">
        <f t="shared" si="2"/>
        <v>83111</v>
      </c>
    </row>
    <row r="21054">
      <c r="A21054" s="48" t="s">
        <v>970</v>
      </c>
      <c r="B21054" s="38">
        <v>2416.0</v>
      </c>
      <c r="C21054" s="38" t="s">
        <v>25568</v>
      </c>
      <c r="D21054" s="38" t="str">
        <f>IFERROR(__xludf.DUMMYFUNCTION("REGEXREPLACE(C21054,""-\d+(.*)|--\d+(.*)"","""")"),"LEME")</f>
        <v>LEME</v>
      </c>
      <c r="E21054" s="38" t="s">
        <v>191</v>
      </c>
      <c r="F21054" s="38" t="s">
        <v>113</v>
      </c>
      <c r="G21054" s="49" t="str">
        <f t="shared" si="1"/>
        <v>02140</v>
      </c>
      <c r="H21054" s="49" t="str">
        <f t="shared" si="2"/>
        <v>02416</v>
      </c>
    </row>
    <row r="21055">
      <c r="A21055" s="48" t="s">
        <v>9660</v>
      </c>
      <c r="B21055" s="38">
        <v>89012.0</v>
      </c>
      <c r="C21055" s="38" t="s">
        <v>25569</v>
      </c>
      <c r="D21055" s="38" t="str">
        <f>IFERROR(__xludf.DUMMYFUNCTION("REGEXREPLACE(C21055,""-\d+(.*)|--\d+(.*)"","""")"),"ANNOUX")</f>
        <v>ANNOUX</v>
      </c>
      <c r="E21055" s="38" t="s">
        <v>275</v>
      </c>
      <c r="F21055" s="38" t="s">
        <v>106</v>
      </c>
      <c r="G21055" s="49" t="str">
        <f t="shared" si="1"/>
        <v>89440</v>
      </c>
      <c r="H21055" s="49">
        <f t="shared" si="2"/>
        <v>89012</v>
      </c>
    </row>
    <row r="21056">
      <c r="A21056" s="48" t="s">
        <v>11910</v>
      </c>
      <c r="B21056" s="38">
        <v>46316.0</v>
      </c>
      <c r="C21056" s="38" t="s">
        <v>25570</v>
      </c>
      <c r="D21056" s="38" t="str">
        <f>IFERROR(__xludf.DUMMYFUNCTION("REGEXREPLACE(C21056,""-\d+(.*)|--\d+(.*)"","""")"),"THEDIRAC")</f>
        <v>THEDIRAC</v>
      </c>
      <c r="E21056" s="38" t="s">
        <v>185</v>
      </c>
      <c r="F21056" s="38" t="s">
        <v>94</v>
      </c>
      <c r="G21056" s="49" t="str">
        <f t="shared" si="1"/>
        <v>46150</v>
      </c>
      <c r="H21056" s="49">
        <f t="shared" si="2"/>
        <v>46316</v>
      </c>
    </row>
    <row r="21057">
      <c r="A21057" s="48" t="s">
        <v>1272</v>
      </c>
      <c r="B21057" s="38">
        <v>51148.0</v>
      </c>
      <c r="C21057" s="38" t="s">
        <v>25571</v>
      </c>
      <c r="D21057" s="38" t="str">
        <f>IFERROR(__xludf.DUMMYFUNCTION("REGEXREPLACE(C21057,""-\d+(.*)|--\d+(.*)"","""")"),"CHEPPES-LA-PRAIRIE")</f>
        <v>CHEPPES-LA-PRAIRIE</v>
      </c>
      <c r="E21057" s="38" t="s">
        <v>129</v>
      </c>
      <c r="F21057" s="38" t="s">
        <v>130</v>
      </c>
      <c r="G21057" s="49" t="str">
        <f t="shared" si="1"/>
        <v>51240</v>
      </c>
      <c r="H21057" s="49">
        <f t="shared" si="2"/>
        <v>51148</v>
      </c>
    </row>
    <row r="21058">
      <c r="A21058" s="48" t="s">
        <v>4877</v>
      </c>
      <c r="B21058" s="38">
        <v>61328.0</v>
      </c>
      <c r="C21058" s="38" t="s">
        <v>25572</v>
      </c>
      <c r="D21058" s="38" t="str">
        <f>IFERROR(__xludf.DUMMYFUNCTION("REGEXREPLACE(C21058,""-\d+(.*)|--\d+(.*)"","""")"),"LE PIN-AU-HARAS")</f>
        <v>LE PIN-AU-HARAS</v>
      </c>
      <c r="E21058" s="38" t="s">
        <v>141</v>
      </c>
      <c r="F21058" s="38" t="s">
        <v>138</v>
      </c>
      <c r="G21058" s="49" t="str">
        <f t="shared" si="1"/>
        <v>61310</v>
      </c>
      <c r="H21058" s="49">
        <f t="shared" si="2"/>
        <v>61328</v>
      </c>
    </row>
    <row r="21059">
      <c r="A21059" s="48" t="s">
        <v>792</v>
      </c>
      <c r="B21059" s="38">
        <v>2127.0</v>
      </c>
      <c r="C21059" s="38" t="s">
        <v>25573</v>
      </c>
      <c r="D21059" s="38" t="str">
        <f>IFERROR(__xludf.DUMMYFUNCTION("REGEXREPLACE(C21059,""-\d+(.*)|--\d+(.*)"","""")"),"BRUYERES-SUR-FERE")</f>
        <v>BRUYERES-SUR-FERE</v>
      </c>
      <c r="E21059" s="38" t="s">
        <v>191</v>
      </c>
      <c r="F21059" s="38" t="s">
        <v>113</v>
      </c>
      <c r="G21059" s="49" t="str">
        <f t="shared" si="1"/>
        <v>02130</v>
      </c>
      <c r="H21059" s="49" t="str">
        <f t="shared" si="2"/>
        <v>02127</v>
      </c>
    </row>
    <row r="21060">
      <c r="A21060" s="48" t="s">
        <v>5166</v>
      </c>
      <c r="B21060" s="38">
        <v>26152.0</v>
      </c>
      <c r="C21060" s="38" t="s">
        <v>25574</v>
      </c>
      <c r="D21060" s="38" t="str">
        <f>IFERROR(__xludf.DUMMYFUNCTION("REGEXREPLACE(C21060,""-\d+(.*)|--\d+(.*)"","""")"),"JONCHERES")</f>
        <v>JONCHERES</v>
      </c>
      <c r="E21060" s="38" t="s">
        <v>126</v>
      </c>
      <c r="F21060" s="38" t="s">
        <v>102</v>
      </c>
      <c r="G21060" s="49" t="str">
        <f t="shared" si="1"/>
        <v>26310</v>
      </c>
      <c r="H21060" s="49">
        <f t="shared" si="2"/>
        <v>26152</v>
      </c>
    </row>
    <row r="21061">
      <c r="A21061" s="48" t="s">
        <v>4086</v>
      </c>
      <c r="B21061" s="38">
        <v>79053.0</v>
      </c>
      <c r="C21061" s="38" t="s">
        <v>25575</v>
      </c>
      <c r="D21061" s="38" t="str">
        <f>IFERROR(__xludf.DUMMYFUNCTION("REGEXREPLACE(C21061,""-\d+(.*)|--\d+(.*)"","""")"),"LE BREUIL-SOUS-ARGENTON")</f>
        <v>LE BREUIL-SOUS-ARGENTON</v>
      </c>
      <c r="E21061" s="38" t="s">
        <v>337</v>
      </c>
      <c r="F21061" s="38" t="s">
        <v>338</v>
      </c>
      <c r="G21061" s="49" t="str">
        <f t="shared" si="1"/>
        <v>79150</v>
      </c>
      <c r="H21061" s="49">
        <f t="shared" si="2"/>
        <v>79053</v>
      </c>
    </row>
    <row r="21062">
      <c r="A21062" s="48" t="s">
        <v>1528</v>
      </c>
      <c r="B21062" s="38">
        <v>59078.0</v>
      </c>
      <c r="C21062" s="38" t="s">
        <v>25576</v>
      </c>
      <c r="D21062" s="38" t="str">
        <f>IFERROR(__xludf.DUMMYFUNCTION("REGEXREPLACE(C21062,""-\d+(.*)|--\d+(.*)"","""")"),"BEUGNIES")</f>
        <v>BEUGNIES</v>
      </c>
      <c r="E21062" s="38" t="s">
        <v>85</v>
      </c>
      <c r="F21062" s="38" t="s">
        <v>86</v>
      </c>
      <c r="G21062" s="49" t="str">
        <f t="shared" si="1"/>
        <v>59216</v>
      </c>
      <c r="H21062" s="49">
        <f t="shared" si="2"/>
        <v>59078</v>
      </c>
    </row>
    <row r="21063">
      <c r="A21063" s="48" t="s">
        <v>25577</v>
      </c>
      <c r="B21063" s="38">
        <v>33090.0</v>
      </c>
      <c r="C21063" s="38" t="s">
        <v>25578</v>
      </c>
      <c r="D21063" s="38" t="str">
        <f>IFERROR(__xludf.DUMMYFUNCTION("REGEXREPLACE(C21063,""-\d+(.*)|--\d+(.*)"","""")"),"CANEJAN")</f>
        <v>CANEJAN</v>
      </c>
      <c r="E21063" s="38" t="s">
        <v>462</v>
      </c>
      <c r="F21063" s="38" t="s">
        <v>252</v>
      </c>
      <c r="G21063" s="49" t="str">
        <f t="shared" si="1"/>
        <v>33610</v>
      </c>
      <c r="H21063" s="49">
        <f t="shared" si="2"/>
        <v>33090</v>
      </c>
    </row>
    <row r="21064">
      <c r="A21064" s="48" t="s">
        <v>1448</v>
      </c>
      <c r="B21064" s="38">
        <v>29295.0</v>
      </c>
      <c r="C21064" s="38" t="s">
        <v>25579</v>
      </c>
      <c r="D21064" s="38" t="str">
        <f>IFERROR(__xludf.DUMMYFUNCTION("REGEXREPLACE(C21064,""-\d+(.*)|--\d+(.*)"","""")"),"TREMAOUEZAN")</f>
        <v>TREMAOUEZAN</v>
      </c>
      <c r="E21064" s="38" t="s">
        <v>176</v>
      </c>
      <c r="F21064" s="38" t="s">
        <v>90</v>
      </c>
      <c r="G21064" s="49" t="str">
        <f t="shared" si="1"/>
        <v>29800</v>
      </c>
      <c r="H21064" s="49">
        <f t="shared" si="2"/>
        <v>29295</v>
      </c>
    </row>
    <row r="21065">
      <c r="A21065" s="48" t="s">
        <v>4566</v>
      </c>
      <c r="B21065" s="38">
        <v>24024.0</v>
      </c>
      <c r="C21065" s="38" t="s">
        <v>25580</v>
      </c>
      <c r="D21065" s="38" t="str">
        <f>IFERROR(__xludf.DUMMYFUNCTION("REGEXREPLACE(C21065,""-\d+(.*)|--\d+(.*)"","""")"),"BARDOU")</f>
        <v>BARDOU</v>
      </c>
      <c r="E21065" s="38" t="s">
        <v>261</v>
      </c>
      <c r="F21065" s="38" t="s">
        <v>252</v>
      </c>
      <c r="G21065" s="49" t="str">
        <f t="shared" si="1"/>
        <v>24560</v>
      </c>
      <c r="H21065" s="49">
        <f t="shared" si="2"/>
        <v>24024</v>
      </c>
    </row>
    <row r="21066">
      <c r="A21066" s="48" t="s">
        <v>597</v>
      </c>
      <c r="B21066" s="38">
        <v>31494.0</v>
      </c>
      <c r="C21066" s="38" t="s">
        <v>13532</v>
      </c>
      <c r="D21066" s="38" t="str">
        <f>IFERROR(__xludf.DUMMYFUNCTION("REGEXREPLACE(C21066,""-\d+(.*)|--\d+(.*)"","""")"),"SAINT-LAURENT")</f>
        <v>SAINT-LAURENT</v>
      </c>
      <c r="E21066" s="38" t="s">
        <v>93</v>
      </c>
      <c r="F21066" s="38" t="s">
        <v>94</v>
      </c>
      <c r="G21066" s="49" t="str">
        <f t="shared" si="1"/>
        <v>31230</v>
      </c>
      <c r="H21066" s="49">
        <f t="shared" si="2"/>
        <v>31494</v>
      </c>
    </row>
    <row r="21067">
      <c r="A21067" s="48" t="s">
        <v>6818</v>
      </c>
      <c r="B21067" s="38">
        <v>40109.0</v>
      </c>
      <c r="C21067" s="38" t="s">
        <v>25581</v>
      </c>
      <c r="D21067" s="38" t="str">
        <f>IFERROR(__xludf.DUMMYFUNCTION("REGEXREPLACE(C21067,""-\d+(.*)|--\d+(.*)"","""")"),"GAUJACQ")</f>
        <v>GAUJACQ</v>
      </c>
      <c r="E21067" s="38" t="s">
        <v>281</v>
      </c>
      <c r="F21067" s="38" t="s">
        <v>252</v>
      </c>
      <c r="G21067" s="49" t="str">
        <f t="shared" si="1"/>
        <v>40330</v>
      </c>
      <c r="H21067" s="49">
        <f t="shared" si="2"/>
        <v>40109</v>
      </c>
    </row>
    <row r="21068">
      <c r="A21068" s="48" t="s">
        <v>2605</v>
      </c>
      <c r="B21068" s="38">
        <v>39290.0</v>
      </c>
      <c r="C21068" s="38" t="s">
        <v>25582</v>
      </c>
      <c r="D21068" s="38" t="str">
        <f>IFERROR(__xludf.DUMMYFUNCTION("REGEXREPLACE(C21068,""-\d+(.*)|--\d+(.*)"","""")"),"LEGNA")</f>
        <v>LEGNA</v>
      </c>
      <c r="E21068" s="38" t="s">
        <v>400</v>
      </c>
      <c r="F21068" s="38" t="s">
        <v>214</v>
      </c>
      <c r="G21068" s="49" t="str">
        <f t="shared" si="1"/>
        <v>39240</v>
      </c>
      <c r="H21068" s="49">
        <f t="shared" si="2"/>
        <v>39290</v>
      </c>
    </row>
    <row r="21069">
      <c r="A21069" s="48" t="s">
        <v>4512</v>
      </c>
      <c r="B21069" s="38">
        <v>86084.0</v>
      </c>
      <c r="C21069" s="38" t="s">
        <v>15013</v>
      </c>
      <c r="D21069" s="38" t="str">
        <f>IFERROR(__xludf.DUMMYFUNCTION("REGEXREPLACE(C21069,""-\d+(.*)|--\d+(.*)"","""")"),"COULONGES")</f>
        <v>COULONGES</v>
      </c>
      <c r="E21069" s="38" t="s">
        <v>529</v>
      </c>
      <c r="F21069" s="38" t="s">
        <v>338</v>
      </c>
      <c r="G21069" s="49" t="str">
        <f t="shared" si="1"/>
        <v>86290</v>
      </c>
      <c r="H21069" s="49">
        <f t="shared" si="2"/>
        <v>86084</v>
      </c>
    </row>
    <row r="21070">
      <c r="A21070" s="48" t="s">
        <v>2796</v>
      </c>
      <c r="B21070" s="38">
        <v>7140.0</v>
      </c>
      <c r="C21070" s="38" t="s">
        <v>16645</v>
      </c>
      <c r="D21070" s="38" t="str">
        <f>IFERROR(__xludf.DUMMYFUNCTION("REGEXREPLACE(C21070,""-\d+(.*)|--\d+(.*)"","""")"),"LEMPS")</f>
        <v>LEMPS</v>
      </c>
      <c r="E21070" s="38" t="s">
        <v>144</v>
      </c>
      <c r="F21070" s="38" t="s">
        <v>102</v>
      </c>
      <c r="G21070" s="49" t="str">
        <f t="shared" si="1"/>
        <v>07610</v>
      </c>
      <c r="H21070" s="49" t="str">
        <f t="shared" si="2"/>
        <v>07140</v>
      </c>
    </row>
    <row r="21071">
      <c r="A21071" s="48" t="s">
        <v>1056</v>
      </c>
      <c r="B21071" s="38">
        <v>11003.0</v>
      </c>
      <c r="C21071" s="38" t="s">
        <v>25583</v>
      </c>
      <c r="D21071" s="38" t="str">
        <f>IFERROR(__xludf.DUMMYFUNCTION("REGEXREPLACE(C21071,""-\d+(.*)|--\d+(.*)"","""")"),"AJAC")</f>
        <v>AJAC</v>
      </c>
      <c r="E21071" s="38" t="s">
        <v>278</v>
      </c>
      <c r="F21071" s="38" t="s">
        <v>119</v>
      </c>
      <c r="G21071" s="49" t="str">
        <f t="shared" si="1"/>
        <v>11300</v>
      </c>
      <c r="H21071" s="49">
        <f t="shared" si="2"/>
        <v>11003</v>
      </c>
    </row>
    <row r="21072">
      <c r="A21072" s="48" t="s">
        <v>2800</v>
      </c>
      <c r="B21072" s="38">
        <v>77399.0</v>
      </c>
      <c r="C21072" s="38" t="s">
        <v>25584</v>
      </c>
      <c r="D21072" s="38" t="str">
        <f>IFERROR(__xludf.DUMMYFUNCTION("REGEXREPLACE(C21072,""-\d+(.*)|--\d+(.*)"","""")"),"SAINT-ANGE-LE-VIEL")</f>
        <v>SAINT-ANGE-LE-VIEL</v>
      </c>
      <c r="E21072" s="38" t="s">
        <v>244</v>
      </c>
      <c r="F21072" s="38" t="s">
        <v>245</v>
      </c>
      <c r="G21072" s="49" t="str">
        <f t="shared" si="1"/>
        <v>77710</v>
      </c>
      <c r="H21072" s="49">
        <f t="shared" si="2"/>
        <v>77399</v>
      </c>
    </row>
    <row r="21073">
      <c r="A21073" s="48" t="s">
        <v>7084</v>
      </c>
      <c r="B21073" s="38">
        <v>45060.0</v>
      </c>
      <c r="C21073" s="38" t="s">
        <v>25585</v>
      </c>
      <c r="D21073" s="38" t="str">
        <f>IFERROR(__xludf.DUMMYFUNCTION("REGEXREPLACE(C21073,""-\d+(.*)|--\d+(.*)"","""")"),"LA BUSSIERE")</f>
        <v>LA BUSSIERE</v>
      </c>
      <c r="E21073" s="38" t="s">
        <v>122</v>
      </c>
      <c r="F21073" s="38" t="s">
        <v>123</v>
      </c>
      <c r="G21073" s="49" t="str">
        <f t="shared" si="1"/>
        <v>45230</v>
      </c>
      <c r="H21073" s="49">
        <f t="shared" si="2"/>
        <v>45060</v>
      </c>
    </row>
    <row r="21074">
      <c r="A21074" s="48" t="s">
        <v>14101</v>
      </c>
      <c r="B21074" s="38">
        <v>91021.0</v>
      </c>
      <c r="C21074" s="38" t="s">
        <v>25586</v>
      </c>
      <c r="D21074" s="38" t="str">
        <f>IFERROR(__xludf.DUMMYFUNCTION("REGEXREPLACE(C21074,""-\d+(.*)|--\d+(.*)"","""")"),"ARPAJON")</f>
        <v>ARPAJON</v>
      </c>
      <c r="E21074" s="38" t="s">
        <v>756</v>
      </c>
      <c r="F21074" s="38" t="s">
        <v>245</v>
      </c>
      <c r="G21074" s="49" t="str">
        <f t="shared" si="1"/>
        <v>91290</v>
      </c>
      <c r="H21074" s="49">
        <f t="shared" si="2"/>
        <v>91021</v>
      </c>
    </row>
    <row r="21075">
      <c r="A21075" s="48" t="s">
        <v>14571</v>
      </c>
      <c r="B21075" s="38">
        <v>59284.0</v>
      </c>
      <c r="C21075" s="38" t="s">
        <v>25587</v>
      </c>
      <c r="D21075" s="38" t="str">
        <f>IFERROR(__xludf.DUMMYFUNCTION("REGEXREPLACE(C21075,""-\d+(.*)|--\d+(.*)"","""")"),"HASNON")</f>
        <v>HASNON</v>
      </c>
      <c r="E21075" s="38" t="s">
        <v>85</v>
      </c>
      <c r="F21075" s="38" t="s">
        <v>86</v>
      </c>
      <c r="G21075" s="49" t="str">
        <f t="shared" si="1"/>
        <v>59178</v>
      </c>
      <c r="H21075" s="49">
        <f t="shared" si="2"/>
        <v>59284</v>
      </c>
    </row>
    <row r="21076">
      <c r="A21076" s="48" t="s">
        <v>8510</v>
      </c>
      <c r="B21076" s="38">
        <v>39582.0</v>
      </c>
      <c r="C21076" s="38" t="s">
        <v>25588</v>
      </c>
      <c r="D21076" s="38" t="str">
        <f>IFERROR(__xludf.DUMMYFUNCTION("REGEXREPLACE(C21076,""-\d+(.*)|--\d+(.*)"","""")"),"VOITEUR")</f>
        <v>VOITEUR</v>
      </c>
      <c r="E21076" s="38" t="s">
        <v>400</v>
      </c>
      <c r="F21076" s="38" t="s">
        <v>214</v>
      </c>
      <c r="G21076" s="49" t="str">
        <f t="shared" si="1"/>
        <v>39210</v>
      </c>
      <c r="H21076" s="49">
        <f t="shared" si="2"/>
        <v>39582</v>
      </c>
    </row>
    <row r="21077">
      <c r="A21077" s="48" t="s">
        <v>2692</v>
      </c>
      <c r="B21077" s="38">
        <v>67502.0</v>
      </c>
      <c r="C21077" s="38" t="s">
        <v>25589</v>
      </c>
      <c r="D21077" s="38" t="str">
        <f>IFERROR(__xludf.DUMMYFUNCTION("REGEXREPLACE(C21077,""-\d+(.*)|--\d+(.*)"","""")"),"UTTENHOFFEN")</f>
        <v>UTTENHOFFEN</v>
      </c>
      <c r="E21077" s="38" t="s">
        <v>210</v>
      </c>
      <c r="F21077" s="38" t="s">
        <v>151</v>
      </c>
      <c r="G21077" s="49" t="str">
        <f t="shared" si="1"/>
        <v>67110</v>
      </c>
      <c r="H21077" s="49">
        <f t="shared" si="2"/>
        <v>67502</v>
      </c>
    </row>
    <row r="21078">
      <c r="A21078" s="48" t="s">
        <v>1068</v>
      </c>
      <c r="B21078" s="38">
        <v>27279.0</v>
      </c>
      <c r="C21078" s="38" t="s">
        <v>25590</v>
      </c>
      <c r="D21078" s="38" t="str">
        <f>IFERROR(__xludf.DUMMYFUNCTION("REGEXREPLACE(C21078,""-\d+(.*)|--\d+(.*)"","""")"),"GASNY")</f>
        <v>GASNY</v>
      </c>
      <c r="E21078" s="38" t="s">
        <v>241</v>
      </c>
      <c r="F21078" s="38" t="s">
        <v>134</v>
      </c>
      <c r="G21078" s="49" t="str">
        <f t="shared" si="1"/>
        <v>27620</v>
      </c>
      <c r="H21078" s="49">
        <f t="shared" si="2"/>
        <v>27279</v>
      </c>
    </row>
    <row r="21079">
      <c r="A21079" s="48" t="s">
        <v>4563</v>
      </c>
      <c r="B21079" s="38">
        <v>38039.0</v>
      </c>
      <c r="C21079" s="38" t="s">
        <v>25591</v>
      </c>
      <c r="D21079" s="38" t="str">
        <f>IFERROR(__xludf.DUMMYFUNCTION("REGEXREPLACE(C21079,""-\d+(.*)|--\d+(.*)"","""")"),"BERNIN")</f>
        <v>BERNIN</v>
      </c>
      <c r="E21079" s="38" t="s">
        <v>101</v>
      </c>
      <c r="F21079" s="38" t="s">
        <v>102</v>
      </c>
      <c r="G21079" s="49" t="str">
        <f t="shared" si="1"/>
        <v>38190</v>
      </c>
      <c r="H21079" s="49">
        <f t="shared" si="2"/>
        <v>38039</v>
      </c>
    </row>
    <row r="21080">
      <c r="A21080" s="48" t="s">
        <v>25592</v>
      </c>
      <c r="B21080" s="38">
        <v>63308.0</v>
      </c>
      <c r="C21080" s="38" t="s">
        <v>25593</v>
      </c>
      <c r="D21080" s="38" t="str">
        <f>IFERROR(__xludf.DUMMYFUNCTION("REGEXREPLACE(C21080,""-\d+(.*)|--\d+(.*)"","""")"),"ROYAT")</f>
        <v>ROYAT</v>
      </c>
      <c r="E21080" s="38" t="s">
        <v>353</v>
      </c>
      <c r="F21080" s="38" t="s">
        <v>161</v>
      </c>
      <c r="G21080" s="49" t="str">
        <f t="shared" si="1"/>
        <v>63130</v>
      </c>
      <c r="H21080" s="49">
        <f t="shared" si="2"/>
        <v>63308</v>
      </c>
    </row>
    <row r="21081">
      <c r="A21081" s="48" t="s">
        <v>12221</v>
      </c>
      <c r="B21081" s="38">
        <v>41155.0</v>
      </c>
      <c r="C21081" s="38" t="s">
        <v>25594</v>
      </c>
      <c r="D21081" s="38" t="str">
        <f>IFERROR(__xludf.DUMMYFUNCTION("REGEXREPLACE(C21081,""-\d+(.*)|--\d+(.*)"","""")"),"MUIDES-SUR-LOIRE")</f>
        <v>MUIDES-SUR-LOIRE</v>
      </c>
      <c r="E21081" s="38" t="s">
        <v>188</v>
      </c>
      <c r="F21081" s="38" t="s">
        <v>123</v>
      </c>
      <c r="G21081" s="49" t="str">
        <f t="shared" si="1"/>
        <v>41500</v>
      </c>
      <c r="H21081" s="49">
        <f t="shared" si="2"/>
        <v>41155</v>
      </c>
    </row>
    <row r="21082">
      <c r="A21082" s="48" t="s">
        <v>11926</v>
      </c>
      <c r="B21082" s="38">
        <v>72257.0</v>
      </c>
      <c r="C21082" s="38" t="s">
        <v>25595</v>
      </c>
      <c r="D21082" s="38" t="str">
        <f>IFERROR(__xludf.DUMMYFUNCTION("REGEXREPLACE(C21082,""-\d+(.*)|--\d+(.*)"","""")"),"ROUILLON")</f>
        <v>ROUILLON</v>
      </c>
      <c r="E21082" s="38" t="s">
        <v>521</v>
      </c>
      <c r="F21082" s="38" t="s">
        <v>180</v>
      </c>
      <c r="G21082" s="49" t="str">
        <f t="shared" si="1"/>
        <v>72700</v>
      </c>
      <c r="H21082" s="49">
        <f t="shared" si="2"/>
        <v>72257</v>
      </c>
    </row>
    <row r="21083">
      <c r="A21083" s="48" t="s">
        <v>4834</v>
      </c>
      <c r="B21083" s="38">
        <v>27415.0</v>
      </c>
      <c r="C21083" s="38" t="s">
        <v>25596</v>
      </c>
      <c r="D21083" s="38" t="str">
        <f>IFERROR(__xludf.DUMMYFUNCTION("REGEXREPLACE(C21083,""-\d+(.*)|--\d+(.*)"","""")"),"MORAINVILLE-JOUVEAUX")</f>
        <v>MORAINVILLE-JOUVEAUX</v>
      </c>
      <c r="E21083" s="38" t="s">
        <v>241</v>
      </c>
      <c r="F21083" s="38" t="s">
        <v>134</v>
      </c>
      <c r="G21083" s="49" t="str">
        <f t="shared" si="1"/>
        <v>27260</v>
      </c>
      <c r="H21083" s="49">
        <f t="shared" si="2"/>
        <v>27415</v>
      </c>
    </row>
    <row r="21084">
      <c r="A21084" s="48" t="s">
        <v>4736</v>
      </c>
      <c r="B21084" s="38">
        <v>78518.0</v>
      </c>
      <c r="C21084" s="38" t="s">
        <v>25597</v>
      </c>
      <c r="D21084" s="38" t="str">
        <f>IFERROR(__xludf.DUMMYFUNCTION("REGEXREPLACE(C21084,""-\d+(.*)|--\d+(.*)"","""")"),"RENNEMOULIN")</f>
        <v>RENNEMOULIN</v>
      </c>
      <c r="E21084" s="38" t="s">
        <v>362</v>
      </c>
      <c r="F21084" s="38" t="s">
        <v>245</v>
      </c>
      <c r="G21084" s="49" t="str">
        <f t="shared" si="1"/>
        <v>78590</v>
      </c>
      <c r="H21084" s="49">
        <f t="shared" si="2"/>
        <v>78518</v>
      </c>
    </row>
    <row r="21085">
      <c r="A21085" s="48" t="s">
        <v>3252</v>
      </c>
      <c r="B21085" s="38">
        <v>63161.0</v>
      </c>
      <c r="C21085" s="38" t="s">
        <v>25598</v>
      </c>
      <c r="D21085" s="38" t="str">
        <f>IFERROR(__xludf.DUMMYFUNCTION("REGEXREPLACE(C21085,""-\d+(.*)|--\d+(.*)"","""")"),"LA FORIE")</f>
        <v>LA FORIE</v>
      </c>
      <c r="E21085" s="38" t="s">
        <v>353</v>
      </c>
      <c r="F21085" s="38" t="s">
        <v>161</v>
      </c>
      <c r="G21085" s="49" t="str">
        <f t="shared" si="1"/>
        <v>63600</v>
      </c>
      <c r="H21085" s="49">
        <f t="shared" si="2"/>
        <v>63161</v>
      </c>
    </row>
    <row r="21086">
      <c r="A21086" s="48" t="s">
        <v>3156</v>
      </c>
      <c r="B21086" s="38">
        <v>77512.0</v>
      </c>
      <c r="C21086" s="38" t="s">
        <v>25599</v>
      </c>
      <c r="D21086" s="38" t="str">
        <f>IFERROR(__xludf.DUMMYFUNCTION("REGEXREPLACE(C21086,""-\d+(.*)|--\d+(.*)"","""")"),"VILLENEUVE-SUR-BELLOT")</f>
        <v>VILLENEUVE-SUR-BELLOT</v>
      </c>
      <c r="E21086" s="38" t="s">
        <v>244</v>
      </c>
      <c r="F21086" s="38" t="s">
        <v>245</v>
      </c>
      <c r="G21086" s="49" t="str">
        <f t="shared" si="1"/>
        <v>77510</v>
      </c>
      <c r="H21086" s="49">
        <f t="shared" si="2"/>
        <v>77512</v>
      </c>
    </row>
    <row r="21087">
      <c r="A21087" s="48" t="s">
        <v>4709</v>
      </c>
      <c r="B21087" s="38">
        <v>95309.0</v>
      </c>
      <c r="C21087" s="38" t="s">
        <v>25600</v>
      </c>
      <c r="D21087" s="38" t="str">
        <f>IFERROR(__xludf.DUMMYFUNCTION("REGEXREPLACE(C21087,""-\d+(.*)|--\d+(.*)"","""")"),"HODENT")</f>
        <v>HODENT</v>
      </c>
      <c r="E21087" s="38" t="s">
        <v>541</v>
      </c>
      <c r="F21087" s="38" t="s">
        <v>245</v>
      </c>
      <c r="G21087" s="49" t="str">
        <f t="shared" si="1"/>
        <v>95420</v>
      </c>
      <c r="H21087" s="49">
        <f t="shared" si="2"/>
        <v>95309</v>
      </c>
    </row>
    <row r="21088">
      <c r="A21088" s="48" t="s">
        <v>1881</v>
      </c>
      <c r="B21088" s="38">
        <v>69083.0</v>
      </c>
      <c r="C21088" s="38" t="s">
        <v>25601</v>
      </c>
      <c r="D21088" s="38" t="str">
        <f>IFERROR(__xludf.DUMMYFUNCTION("REGEXREPLACE(C21088,""-\d+(.*)|--\d+(.*)"","""")"),"EVEUX")</f>
        <v>EVEUX</v>
      </c>
      <c r="E21088" s="38" t="s">
        <v>350</v>
      </c>
      <c r="F21088" s="38" t="s">
        <v>102</v>
      </c>
      <c r="G21088" s="49" t="str">
        <f t="shared" si="1"/>
        <v>69210</v>
      </c>
      <c r="H21088" s="49">
        <f t="shared" si="2"/>
        <v>69083</v>
      </c>
    </row>
    <row r="21089">
      <c r="A21089" s="48" t="s">
        <v>3821</v>
      </c>
      <c r="B21089" s="38">
        <v>57401.0</v>
      </c>
      <c r="C21089" s="38" t="s">
        <v>25602</v>
      </c>
      <c r="D21089" s="38" t="str">
        <f>IFERROR(__xludf.DUMMYFUNCTION("REGEXREPLACE(C21089,""-\d+(.*)|--\d+(.*)"","""")"),"LIDREZING")</f>
        <v>LIDREZING</v>
      </c>
      <c r="E21089" s="38" t="s">
        <v>303</v>
      </c>
      <c r="F21089" s="38" t="s">
        <v>195</v>
      </c>
      <c r="G21089" s="49" t="str">
        <f t="shared" si="1"/>
        <v>57340</v>
      </c>
      <c r="H21089" s="49">
        <f t="shared" si="2"/>
        <v>57401</v>
      </c>
    </row>
    <row r="21090">
      <c r="A21090" s="48" t="s">
        <v>5706</v>
      </c>
      <c r="B21090" s="38">
        <v>63461.0</v>
      </c>
      <c r="C21090" s="38" t="s">
        <v>24761</v>
      </c>
      <c r="D21090" s="38" t="str">
        <f>IFERROR(__xludf.DUMMYFUNCTION("REGEXREPLACE(C21090,""-\d+(.*)|--\d+(.*)"","""")"),"VINZELLES")</f>
        <v>VINZELLES</v>
      </c>
      <c r="E21090" s="38" t="s">
        <v>353</v>
      </c>
      <c r="F21090" s="38" t="s">
        <v>161</v>
      </c>
      <c r="G21090" s="49" t="str">
        <f t="shared" si="1"/>
        <v>63350</v>
      </c>
      <c r="H21090" s="49">
        <f t="shared" si="2"/>
        <v>63461</v>
      </c>
    </row>
    <row r="21091">
      <c r="A21091" s="48" t="s">
        <v>1562</v>
      </c>
      <c r="B21091" s="38">
        <v>24444.0</v>
      </c>
      <c r="C21091" s="38" t="s">
        <v>25603</v>
      </c>
      <c r="D21091" s="38" t="str">
        <f>IFERROR(__xludf.DUMMYFUNCTION("REGEXREPLACE(C21091,""-\d+(.*)|--\d+(.*)"","""")"),"SAINT-LOUIS-EN-L'ISLE")</f>
        <v>SAINT-LOUIS-EN-L'ISLE</v>
      </c>
      <c r="E21091" s="38" t="s">
        <v>261</v>
      </c>
      <c r="F21091" s="38" t="s">
        <v>252</v>
      </c>
      <c r="G21091" s="49" t="str">
        <f t="shared" si="1"/>
        <v>24400</v>
      </c>
      <c r="H21091" s="49">
        <f t="shared" si="2"/>
        <v>24444</v>
      </c>
    </row>
    <row r="21092">
      <c r="A21092" s="48" t="s">
        <v>25604</v>
      </c>
      <c r="B21092" s="38">
        <v>30209.0</v>
      </c>
      <c r="C21092" s="38" t="s">
        <v>25605</v>
      </c>
      <c r="D21092" s="38" t="str">
        <f>IFERROR(__xludf.DUMMYFUNCTION("REGEXREPLACE(C21092,""-\d+(.*)|--\d+(.*)"","""")"),"PUJAUT")</f>
        <v>PUJAUT</v>
      </c>
      <c r="E21092" s="38" t="s">
        <v>526</v>
      </c>
      <c r="F21092" s="38" t="s">
        <v>119</v>
      </c>
      <c r="G21092" s="49" t="str">
        <f t="shared" si="1"/>
        <v>30131</v>
      </c>
      <c r="H21092" s="49">
        <f t="shared" si="2"/>
        <v>30209</v>
      </c>
    </row>
    <row r="21093">
      <c r="A21093" s="48" t="s">
        <v>2995</v>
      </c>
      <c r="B21093" s="38">
        <v>28326.0</v>
      </c>
      <c r="C21093" s="38" t="s">
        <v>25606</v>
      </c>
      <c r="D21093" s="38" t="str">
        <f>IFERROR(__xludf.DUMMYFUNCTION("REGEXREPLACE(C21093,""-\d+(.*)|--\d+(.*)"","""")"),"SAINT-AVIT-LES-GUESPIERES")</f>
        <v>SAINT-AVIT-LES-GUESPIERES</v>
      </c>
      <c r="E21093" s="38" t="s">
        <v>300</v>
      </c>
      <c r="F21093" s="38" t="s">
        <v>123</v>
      </c>
      <c r="G21093" s="49" t="str">
        <f t="shared" si="1"/>
        <v>28120</v>
      </c>
      <c r="H21093" s="49">
        <f t="shared" si="2"/>
        <v>28326</v>
      </c>
    </row>
    <row r="21094">
      <c r="A21094" s="48" t="s">
        <v>2095</v>
      </c>
      <c r="B21094" s="38">
        <v>72337.0</v>
      </c>
      <c r="C21094" s="38" t="s">
        <v>25607</v>
      </c>
      <c r="D21094" s="38" t="str">
        <f>IFERROR(__xludf.DUMMYFUNCTION("REGEXREPLACE(C21094,""-\d+(.*)|--\d+(.*)"","""")"),"SOUGE-LE-GANELON")</f>
        <v>SOUGE-LE-GANELON</v>
      </c>
      <c r="E21094" s="38" t="s">
        <v>521</v>
      </c>
      <c r="F21094" s="38" t="s">
        <v>180</v>
      </c>
      <c r="G21094" s="49" t="str">
        <f t="shared" si="1"/>
        <v>72130</v>
      </c>
      <c r="H21094" s="49">
        <f t="shared" si="2"/>
        <v>72337</v>
      </c>
    </row>
    <row r="21095">
      <c r="A21095" s="48" t="s">
        <v>5481</v>
      </c>
      <c r="B21095" s="38">
        <v>53117.0</v>
      </c>
      <c r="C21095" s="38" t="s">
        <v>5213</v>
      </c>
      <c r="D21095" s="38" t="str">
        <f>IFERROR(__xludf.DUMMYFUNCTION("REGEXREPLACE(C21095,""-\d+(.*)|--\d+(.*)"","""")"),"HOUSSAY")</f>
        <v>HOUSSAY</v>
      </c>
      <c r="E21095" s="38" t="s">
        <v>518</v>
      </c>
      <c r="F21095" s="38" t="s">
        <v>180</v>
      </c>
      <c r="G21095" s="49" t="str">
        <f t="shared" si="1"/>
        <v>53360</v>
      </c>
      <c r="H21095" s="49">
        <f t="shared" si="2"/>
        <v>53117</v>
      </c>
    </row>
    <row r="21096">
      <c r="A21096" s="48" t="s">
        <v>7799</v>
      </c>
      <c r="B21096" s="38">
        <v>7255.0</v>
      </c>
      <c r="C21096" s="38" t="s">
        <v>25608</v>
      </c>
      <c r="D21096" s="38" t="str">
        <f>IFERROR(__xludf.DUMMYFUNCTION("REGEXREPLACE(C21096,""-\d+(.*)|--\d+(.*)"","""")"),"SAINT-JULIEN-EN-SAINT-ALBAN")</f>
        <v>SAINT-JULIEN-EN-SAINT-ALBAN</v>
      </c>
      <c r="E21096" s="38" t="s">
        <v>144</v>
      </c>
      <c r="F21096" s="38" t="s">
        <v>102</v>
      </c>
      <c r="G21096" s="49" t="str">
        <f t="shared" si="1"/>
        <v>07000</v>
      </c>
      <c r="H21096" s="49" t="str">
        <f t="shared" si="2"/>
        <v>07255</v>
      </c>
    </row>
    <row r="21097">
      <c r="A21097" s="48" t="s">
        <v>5230</v>
      </c>
      <c r="B21097" s="38">
        <v>25365.0</v>
      </c>
      <c r="C21097" s="38" t="s">
        <v>25609</v>
      </c>
      <c r="D21097" s="38" t="str">
        <f>IFERROR(__xludf.DUMMYFUNCTION("REGEXREPLACE(C21097,""-\d+(.*)|--\d+(.*)"","""")"),"MANCENANS")</f>
        <v>MANCENANS</v>
      </c>
      <c r="E21097" s="38" t="s">
        <v>213</v>
      </c>
      <c r="F21097" s="38" t="s">
        <v>214</v>
      </c>
      <c r="G21097" s="49" t="str">
        <f t="shared" si="1"/>
        <v>25250</v>
      </c>
      <c r="H21097" s="49">
        <f t="shared" si="2"/>
        <v>25365</v>
      </c>
    </row>
    <row r="21098">
      <c r="A21098" s="48" t="s">
        <v>25610</v>
      </c>
      <c r="B21098" s="38">
        <v>59207.0</v>
      </c>
      <c r="C21098" s="38" t="s">
        <v>25611</v>
      </c>
      <c r="D21098" s="38" t="str">
        <f>IFERROR(__xludf.DUMMYFUNCTION("REGEXREPLACE(C21098,""-\d+(.*)|--\d+(.*)"","""")"),"ESCAUTPONT")</f>
        <v>ESCAUTPONT</v>
      </c>
      <c r="E21098" s="38" t="s">
        <v>85</v>
      </c>
      <c r="F21098" s="38" t="s">
        <v>86</v>
      </c>
      <c r="G21098" s="49" t="str">
        <f t="shared" si="1"/>
        <v>59278</v>
      </c>
      <c r="H21098" s="49">
        <f t="shared" si="2"/>
        <v>59207</v>
      </c>
    </row>
    <row r="21099">
      <c r="A21099" s="48" t="s">
        <v>2019</v>
      </c>
      <c r="B21099" s="38">
        <v>90095.0</v>
      </c>
      <c r="C21099" s="38" t="s">
        <v>25612</v>
      </c>
      <c r="D21099" s="38" t="str">
        <f>IFERROR(__xludf.DUMMYFUNCTION("REGEXREPLACE(C21099,""-\d+(.*)|--\d+(.*)"","""")"),"SUARCE")</f>
        <v>SUARCE</v>
      </c>
      <c r="E21099" s="38" t="s">
        <v>1283</v>
      </c>
      <c r="F21099" s="38" t="s">
        <v>214</v>
      </c>
      <c r="G21099" s="49" t="str">
        <f t="shared" si="1"/>
        <v>90100</v>
      </c>
      <c r="H21099" s="49">
        <f t="shared" si="2"/>
        <v>90095</v>
      </c>
    </row>
    <row r="21100">
      <c r="A21100" s="48" t="s">
        <v>22790</v>
      </c>
      <c r="B21100" s="38">
        <v>64317.0</v>
      </c>
      <c r="C21100" s="38" t="s">
        <v>25613</v>
      </c>
      <c r="D21100" s="38" t="str">
        <f>IFERROR(__xludf.DUMMYFUNCTION("REGEXREPLACE(C21100,""-\d+(.*)|--\d+(.*)"","""")"),"LARRESSORE")</f>
        <v>LARRESSORE</v>
      </c>
      <c r="E21100" s="38" t="s">
        <v>268</v>
      </c>
      <c r="F21100" s="38" t="s">
        <v>252</v>
      </c>
      <c r="G21100" s="49" t="str">
        <f t="shared" si="1"/>
        <v>64480</v>
      </c>
      <c r="H21100" s="49">
        <f t="shared" si="2"/>
        <v>64317</v>
      </c>
    </row>
    <row r="21101">
      <c r="A21101" s="48" t="s">
        <v>1718</v>
      </c>
      <c r="B21101" s="38">
        <v>43007.0</v>
      </c>
      <c r="C21101" s="38" t="s">
        <v>25614</v>
      </c>
      <c r="D21101" s="38" t="str">
        <f>IFERROR(__xludf.DUMMYFUNCTION("REGEXREPLACE(C21101,""-\d+(.*)|--\d+(.*)"","""")"),"ARAULES")</f>
        <v>ARAULES</v>
      </c>
      <c r="E21101" s="38" t="s">
        <v>332</v>
      </c>
      <c r="F21101" s="38" t="s">
        <v>161</v>
      </c>
      <c r="G21101" s="49" t="str">
        <f t="shared" si="1"/>
        <v>43200</v>
      </c>
      <c r="H21101" s="49">
        <f t="shared" si="2"/>
        <v>43007</v>
      </c>
    </row>
    <row r="21102">
      <c r="A21102" s="48" t="s">
        <v>1766</v>
      </c>
      <c r="B21102" s="38">
        <v>2395.0</v>
      </c>
      <c r="C21102" s="38" t="s">
        <v>25615</v>
      </c>
      <c r="D21102" s="38" t="str">
        <f>IFERROR(__xludf.DUMMYFUNCTION("REGEXREPLACE(C21102,""-\d+(.*)|--\d+(.*)"","""")"),"JUMENCOURT")</f>
        <v>JUMENCOURT</v>
      </c>
      <c r="E21102" s="38" t="s">
        <v>191</v>
      </c>
      <c r="F21102" s="38" t="s">
        <v>113</v>
      </c>
      <c r="G21102" s="49" t="str">
        <f t="shared" si="1"/>
        <v>02380</v>
      </c>
      <c r="H21102" s="49" t="str">
        <f t="shared" si="2"/>
        <v>02395</v>
      </c>
    </row>
    <row r="21103">
      <c r="A21103" s="48" t="s">
        <v>10219</v>
      </c>
      <c r="B21103" s="38">
        <v>34155.0</v>
      </c>
      <c r="C21103" s="38" t="s">
        <v>25616</v>
      </c>
      <c r="D21103" s="38" t="str">
        <f>IFERROR(__xludf.DUMMYFUNCTION("REGEXREPLACE(C21103,""-\d+(.*)|--\d+(.*)"","""")"),"MAUREILHAN")</f>
        <v>MAUREILHAN</v>
      </c>
      <c r="E21103" s="38" t="s">
        <v>118</v>
      </c>
      <c r="F21103" s="38" t="s">
        <v>119</v>
      </c>
      <c r="G21103" s="49" t="str">
        <f t="shared" si="1"/>
        <v>34370</v>
      </c>
      <c r="H21103" s="49">
        <f t="shared" si="2"/>
        <v>34155</v>
      </c>
    </row>
    <row r="21104">
      <c r="A21104" s="48" t="s">
        <v>7188</v>
      </c>
      <c r="B21104" s="38">
        <v>11029.0</v>
      </c>
      <c r="C21104" s="38" t="s">
        <v>25617</v>
      </c>
      <c r="D21104" s="38" t="str">
        <f>IFERROR(__xludf.DUMMYFUNCTION("REGEXREPLACE(C21104,""-\d+(.*)|--\d+(.*)"","""")"),"BELCASTEL-ET-BUC")</f>
        <v>BELCASTEL-ET-BUC</v>
      </c>
      <c r="E21104" s="38" t="s">
        <v>278</v>
      </c>
      <c r="F21104" s="38" t="s">
        <v>119</v>
      </c>
      <c r="G21104" s="49" t="str">
        <f t="shared" si="1"/>
        <v>11580</v>
      </c>
      <c r="H21104" s="49">
        <f t="shared" si="2"/>
        <v>11029</v>
      </c>
    </row>
    <row r="21105">
      <c r="A21105" s="48" t="s">
        <v>1697</v>
      </c>
      <c r="B21105" s="38">
        <v>39324.0</v>
      </c>
      <c r="C21105" s="38" t="s">
        <v>25618</v>
      </c>
      <c r="D21105" s="38" t="str">
        <f>IFERROR(__xludf.DUMMYFUNCTION("REGEXREPLACE(C21105,""-\d+(.*)|--\d+(.*)"","""")"),"MERONA")</f>
        <v>MERONA</v>
      </c>
      <c r="E21105" s="38" t="s">
        <v>400</v>
      </c>
      <c r="F21105" s="38" t="s">
        <v>214</v>
      </c>
      <c r="G21105" s="49" t="str">
        <f t="shared" si="1"/>
        <v>39270</v>
      </c>
      <c r="H21105" s="49">
        <f t="shared" si="2"/>
        <v>39324</v>
      </c>
    </row>
    <row r="21106">
      <c r="A21106" s="48" t="s">
        <v>7657</v>
      </c>
      <c r="B21106" s="38">
        <v>80253.0</v>
      </c>
      <c r="C21106" s="38" t="s">
        <v>25619</v>
      </c>
      <c r="D21106" s="38" t="str">
        <f>IFERROR(__xludf.DUMMYFUNCTION("REGEXREPLACE(C21106,""-\d+(.*)|--\d+(.*)"","""")"),"DOULLENS")</f>
        <v>DOULLENS</v>
      </c>
      <c r="E21106" s="38" t="s">
        <v>224</v>
      </c>
      <c r="F21106" s="38" t="s">
        <v>113</v>
      </c>
      <c r="G21106" s="49" t="str">
        <f t="shared" si="1"/>
        <v>80600</v>
      </c>
      <c r="H21106" s="49">
        <f t="shared" si="2"/>
        <v>80253</v>
      </c>
    </row>
    <row r="21107">
      <c r="A21107" s="48" t="s">
        <v>711</v>
      </c>
      <c r="B21107" s="38">
        <v>49112.0</v>
      </c>
      <c r="C21107" s="38" t="s">
        <v>25620</v>
      </c>
      <c r="D21107" s="38" t="str">
        <f>IFERROR(__xludf.DUMMYFUNCTION("REGEXREPLACE(C21107,""-\d+(.*)|--\d+(.*)"","""")"),"LE COUDRAY-MACOUARD")</f>
        <v>LE COUDRAY-MACOUARD</v>
      </c>
      <c r="E21107" s="38" t="s">
        <v>653</v>
      </c>
      <c r="F21107" s="38" t="s">
        <v>180</v>
      </c>
      <c r="G21107" s="49" t="str">
        <f t="shared" si="1"/>
        <v>49260</v>
      </c>
      <c r="H21107" s="49">
        <f t="shared" si="2"/>
        <v>49112</v>
      </c>
    </row>
    <row r="21108">
      <c r="A21108" s="48" t="s">
        <v>6726</v>
      </c>
      <c r="B21108" s="38">
        <v>80310.0</v>
      </c>
      <c r="C21108" s="38" t="s">
        <v>25621</v>
      </c>
      <c r="D21108" s="38" t="str">
        <f>IFERROR(__xludf.DUMMYFUNCTION("REGEXREPLACE(C21108,""-\d+(.*)|--\d+(.*)"","""")"),"FIENVILLERS")</f>
        <v>FIENVILLERS</v>
      </c>
      <c r="E21108" s="38" t="s">
        <v>224</v>
      </c>
      <c r="F21108" s="38" t="s">
        <v>113</v>
      </c>
      <c r="G21108" s="49" t="str">
        <f t="shared" si="1"/>
        <v>80750</v>
      </c>
      <c r="H21108" s="49">
        <f t="shared" si="2"/>
        <v>80310</v>
      </c>
    </row>
    <row r="21109">
      <c r="A21109" s="48" t="s">
        <v>25622</v>
      </c>
      <c r="B21109" s="38">
        <v>13051.0</v>
      </c>
      <c r="C21109" s="38" t="s">
        <v>25623</v>
      </c>
      <c r="D21109" s="38" t="str">
        <f>IFERROR(__xludf.DUMMYFUNCTION("REGEXREPLACE(C21109,""-\d+(.*)|--\d+(.*)"","""")"),"LANCON-PROVENCE")</f>
        <v>LANCON-PROVENCE</v>
      </c>
      <c r="E21109" s="38" t="s">
        <v>980</v>
      </c>
      <c r="F21109" s="38" t="s">
        <v>228</v>
      </c>
      <c r="G21109" s="49" t="str">
        <f t="shared" si="1"/>
        <v>13680</v>
      </c>
      <c r="H21109" s="49">
        <f t="shared" si="2"/>
        <v>13051</v>
      </c>
    </row>
    <row r="21110">
      <c r="A21110" s="48" t="s">
        <v>25624</v>
      </c>
      <c r="B21110" s="38">
        <v>57033.0</v>
      </c>
      <c r="C21110" s="38" t="s">
        <v>25625</v>
      </c>
      <c r="D21110" s="38" t="str">
        <f>IFERROR(__xludf.DUMMYFUNCTION("REGEXREPLACE(C21110,""-\d+(.*)|--\d+(.*)"","""")"),"ARZVILLER")</f>
        <v>ARZVILLER</v>
      </c>
      <c r="E21110" s="38" t="s">
        <v>303</v>
      </c>
      <c r="F21110" s="38" t="s">
        <v>195</v>
      </c>
      <c r="G21110" s="49" t="str">
        <f t="shared" si="1"/>
        <v>57405</v>
      </c>
      <c r="H21110" s="49">
        <f t="shared" si="2"/>
        <v>57033</v>
      </c>
    </row>
    <row r="21111">
      <c r="A21111" s="48" t="s">
        <v>15628</v>
      </c>
      <c r="B21111" s="38">
        <v>77233.0</v>
      </c>
      <c r="C21111" s="38" t="s">
        <v>25626</v>
      </c>
      <c r="D21111" s="38" t="str">
        <f>IFERROR(__xludf.DUMMYFUNCTION("REGEXREPLACE(C21111,""-\d+(.*)|--\d+(.*)"","""")"),"IVERNY")</f>
        <v>IVERNY</v>
      </c>
      <c r="E21111" s="38" t="s">
        <v>244</v>
      </c>
      <c r="F21111" s="38" t="s">
        <v>245</v>
      </c>
      <c r="G21111" s="49" t="str">
        <f t="shared" si="1"/>
        <v>77165</v>
      </c>
      <c r="H21111" s="49">
        <f t="shared" si="2"/>
        <v>77233</v>
      </c>
    </row>
    <row r="21112">
      <c r="A21112" s="48" t="s">
        <v>8904</v>
      </c>
      <c r="B21112" s="38">
        <v>48069.0</v>
      </c>
      <c r="C21112" s="38" t="s">
        <v>25627</v>
      </c>
      <c r="D21112" s="38" t="str">
        <f>IFERROR(__xludf.DUMMYFUNCTION("REGEXREPLACE(C21112,""-\d+(.*)|--\d+(.*)"","""")"),"GATUZIERES")</f>
        <v>GATUZIERES</v>
      </c>
      <c r="E21112" s="38" t="s">
        <v>154</v>
      </c>
      <c r="F21112" s="38" t="s">
        <v>119</v>
      </c>
      <c r="G21112" s="49" t="str">
        <f t="shared" si="1"/>
        <v>48150</v>
      </c>
      <c r="H21112" s="49">
        <f t="shared" si="2"/>
        <v>48069</v>
      </c>
    </row>
    <row r="21113">
      <c r="A21113" s="48" t="s">
        <v>1572</v>
      </c>
      <c r="B21113" s="38">
        <v>32372.0</v>
      </c>
      <c r="C21113" s="38" t="s">
        <v>25628</v>
      </c>
      <c r="D21113" s="38" t="str">
        <f>IFERROR(__xludf.DUMMYFUNCTION("REGEXREPLACE(C21113,""-\d+(.*)|--\d+(.*)"","""")"),"SAINT-CRICQ")</f>
        <v>SAINT-CRICQ</v>
      </c>
      <c r="E21113" s="38" t="s">
        <v>440</v>
      </c>
      <c r="F21113" s="38" t="s">
        <v>94</v>
      </c>
      <c r="G21113" s="49" t="str">
        <f t="shared" si="1"/>
        <v>32430</v>
      </c>
      <c r="H21113" s="49">
        <f t="shared" si="2"/>
        <v>32372</v>
      </c>
    </row>
    <row r="21114">
      <c r="A21114" s="48" t="s">
        <v>5956</v>
      </c>
      <c r="B21114" s="38">
        <v>62486.0</v>
      </c>
      <c r="C21114" s="38" t="s">
        <v>25629</v>
      </c>
      <c r="D21114" s="38" t="str">
        <f>IFERROR(__xludf.DUMMYFUNCTION("REGEXREPLACE(C21114,""-\d+(.*)|--\d+(.*)"","""")"),"LAMBRES")</f>
        <v>LAMBRES</v>
      </c>
      <c r="E21114" s="38" t="s">
        <v>109</v>
      </c>
      <c r="F21114" s="38" t="s">
        <v>86</v>
      </c>
      <c r="G21114" s="49" t="str">
        <f t="shared" si="1"/>
        <v>62120</v>
      </c>
      <c r="H21114" s="49">
        <f t="shared" si="2"/>
        <v>62486</v>
      </c>
    </row>
    <row r="21115">
      <c r="A21115" s="48" t="s">
        <v>1744</v>
      </c>
      <c r="B21115" s="38">
        <v>31577.0</v>
      </c>
      <c r="C21115" s="38" t="s">
        <v>25630</v>
      </c>
      <c r="D21115" s="38" t="str">
        <f>IFERROR(__xludf.DUMMYFUNCTION("REGEXREPLACE(C21115,""-\d+(.*)|--\d+(.*)"","""")"),"VIGNAUX")</f>
        <v>VIGNAUX</v>
      </c>
      <c r="E21115" s="38" t="s">
        <v>93</v>
      </c>
      <c r="F21115" s="38" t="s">
        <v>94</v>
      </c>
      <c r="G21115" s="49" t="str">
        <f t="shared" si="1"/>
        <v>31480</v>
      </c>
      <c r="H21115" s="49">
        <f t="shared" si="2"/>
        <v>31577</v>
      </c>
    </row>
    <row r="21116">
      <c r="A21116" s="48" t="s">
        <v>2812</v>
      </c>
      <c r="B21116" s="38">
        <v>61323.0</v>
      </c>
      <c r="C21116" s="38" t="s">
        <v>25631</v>
      </c>
      <c r="D21116" s="38" t="str">
        <f>IFERROR(__xludf.DUMMYFUNCTION("REGEXREPLACE(C21116,""-\d+(.*)|--\d+(.*)"","""")"),"LE PAS-SAINT-L'HOMER")</f>
        <v>LE PAS-SAINT-L'HOMER</v>
      </c>
      <c r="E21116" s="38" t="s">
        <v>141</v>
      </c>
      <c r="F21116" s="38" t="s">
        <v>138</v>
      </c>
      <c r="G21116" s="49" t="str">
        <f t="shared" si="1"/>
        <v>61290</v>
      </c>
      <c r="H21116" s="49">
        <f t="shared" si="2"/>
        <v>61323</v>
      </c>
    </row>
    <row r="21117">
      <c r="A21117" s="48" t="s">
        <v>1731</v>
      </c>
      <c r="B21117" s="38">
        <v>38535.0</v>
      </c>
      <c r="C21117" s="38" t="s">
        <v>25632</v>
      </c>
      <c r="D21117" s="38" t="str">
        <f>IFERROR(__xludf.DUMMYFUNCTION("REGEXREPLACE(C21117,""-\d+(.*)|--\d+(.*)"","""")"),"VERNAS")</f>
        <v>VERNAS</v>
      </c>
      <c r="E21117" s="38" t="s">
        <v>101</v>
      </c>
      <c r="F21117" s="38" t="s">
        <v>102</v>
      </c>
      <c r="G21117" s="49" t="str">
        <f t="shared" si="1"/>
        <v>38460</v>
      </c>
      <c r="H21117" s="49">
        <f t="shared" si="2"/>
        <v>38535</v>
      </c>
    </row>
    <row r="21118">
      <c r="A21118" s="48" t="s">
        <v>1079</v>
      </c>
      <c r="B21118" s="38">
        <v>24179.0</v>
      </c>
      <c r="C21118" s="38" t="s">
        <v>25633</v>
      </c>
      <c r="D21118" s="38" t="str">
        <f>IFERROR(__xludf.DUMMYFUNCTION("REGEXREPLACE(C21118,""-\d+(.*)|--\d+(.*)"","""")"),"LA FEUILLADE")</f>
        <v>LA FEUILLADE</v>
      </c>
      <c r="E21118" s="38" t="s">
        <v>261</v>
      </c>
      <c r="F21118" s="38" t="s">
        <v>252</v>
      </c>
      <c r="G21118" s="49" t="str">
        <f t="shared" si="1"/>
        <v>24120</v>
      </c>
      <c r="H21118" s="49">
        <f t="shared" si="2"/>
        <v>24179</v>
      </c>
    </row>
    <row r="21119">
      <c r="A21119" s="48" t="s">
        <v>4924</v>
      </c>
      <c r="B21119" s="38">
        <v>56065.0</v>
      </c>
      <c r="C21119" s="38" t="s">
        <v>25634</v>
      </c>
      <c r="D21119" s="38" t="str">
        <f>IFERROR(__xludf.DUMMYFUNCTION("REGEXREPLACE(C21119,""-\d+(.*)|--\d+(.*)"","""")"),"GOURHEL")</f>
        <v>GOURHEL</v>
      </c>
      <c r="E21119" s="38" t="s">
        <v>173</v>
      </c>
      <c r="F21119" s="38" t="s">
        <v>90</v>
      </c>
      <c r="G21119" s="49" t="str">
        <f t="shared" si="1"/>
        <v>56800</v>
      </c>
      <c r="H21119" s="49">
        <f t="shared" si="2"/>
        <v>56065</v>
      </c>
    </row>
    <row r="21120">
      <c r="A21120" s="48" t="s">
        <v>5654</v>
      </c>
      <c r="B21120" s="38">
        <v>8225.0</v>
      </c>
      <c r="C21120" s="38" t="s">
        <v>25635</v>
      </c>
      <c r="D21120" s="38" t="str">
        <f>IFERROR(__xludf.DUMMYFUNCTION("REGEXREPLACE(C21120,""-\d+(.*)|--\d+(.*)"","""")"),"HERPY-L'ARLESIENNE")</f>
        <v>HERPY-L'ARLESIENNE</v>
      </c>
      <c r="E21120" s="38" t="s">
        <v>327</v>
      </c>
      <c r="F21120" s="38" t="s">
        <v>130</v>
      </c>
      <c r="G21120" s="49" t="str">
        <f t="shared" si="1"/>
        <v>08360</v>
      </c>
      <c r="H21120" s="49" t="str">
        <f t="shared" si="2"/>
        <v>08225</v>
      </c>
    </row>
    <row r="21121">
      <c r="A21121" s="48" t="s">
        <v>18722</v>
      </c>
      <c r="B21121" s="38">
        <v>38189.0</v>
      </c>
      <c r="C21121" s="38" t="s">
        <v>25636</v>
      </c>
      <c r="D21121" s="38" t="str">
        <f>IFERROR(__xludf.DUMMYFUNCTION("REGEXREPLACE(C21121,""-\d+(.*)|--\d+(.*)"","""")"),"HEYRIEUX")</f>
        <v>HEYRIEUX</v>
      </c>
      <c r="E21121" s="38" t="s">
        <v>101</v>
      </c>
      <c r="F21121" s="38" t="s">
        <v>102</v>
      </c>
      <c r="G21121" s="49" t="str">
        <f t="shared" si="1"/>
        <v>38540</v>
      </c>
      <c r="H21121" s="49">
        <f t="shared" si="2"/>
        <v>38189</v>
      </c>
    </row>
    <row r="21122">
      <c r="A21122" s="48" t="s">
        <v>25637</v>
      </c>
      <c r="B21122" s="38">
        <v>45298.0</v>
      </c>
      <c r="C21122" s="38" t="s">
        <v>25638</v>
      </c>
      <c r="D21122" s="38" t="str">
        <f>IFERROR(__xludf.DUMMYFUNCTION("REGEXREPLACE(C21122,""-\d+(.*)|--\d+(.*)"","""")"),"SAINT-PRYVE-SAINT-MESMIN")</f>
        <v>SAINT-PRYVE-SAINT-MESMIN</v>
      </c>
      <c r="E21122" s="38" t="s">
        <v>122</v>
      </c>
      <c r="F21122" s="38" t="s">
        <v>123</v>
      </c>
      <c r="G21122" s="49" t="str">
        <f t="shared" si="1"/>
        <v>45750</v>
      </c>
      <c r="H21122" s="49">
        <f t="shared" si="2"/>
        <v>45298</v>
      </c>
    </row>
    <row r="21123">
      <c r="A21123" s="48" t="s">
        <v>2886</v>
      </c>
      <c r="B21123" s="38">
        <v>89456.0</v>
      </c>
      <c r="C21123" s="38" t="s">
        <v>25639</v>
      </c>
      <c r="D21123" s="38" t="str">
        <f>IFERROR(__xludf.DUMMYFUNCTION("REGEXREPLACE(C21123,""-\d+(.*)|--\d+(.*)"","""")"),"VILLEMANOCHE")</f>
        <v>VILLEMANOCHE</v>
      </c>
      <c r="E21123" s="38" t="s">
        <v>275</v>
      </c>
      <c r="F21123" s="38" t="s">
        <v>106</v>
      </c>
      <c r="G21123" s="49" t="str">
        <f t="shared" si="1"/>
        <v>89140</v>
      </c>
      <c r="H21123" s="49">
        <f t="shared" si="2"/>
        <v>89456</v>
      </c>
    </row>
    <row r="21124">
      <c r="A21124" s="48" t="s">
        <v>9944</v>
      </c>
      <c r="B21124" s="38">
        <v>71027.0</v>
      </c>
      <c r="C21124" s="38" t="s">
        <v>25640</v>
      </c>
      <c r="D21124" s="38" t="str">
        <f>IFERROR(__xludf.DUMMYFUNCTION("REGEXREPLACE(C21124,""-\d+(.*)|--\d+(.*)"","""")"),"BEAUREPAIRE-EN-BRESSE")</f>
        <v>BEAUREPAIRE-EN-BRESSE</v>
      </c>
      <c r="E21124" s="38" t="s">
        <v>344</v>
      </c>
      <c r="F21124" s="38" t="s">
        <v>106</v>
      </c>
      <c r="G21124" s="49" t="str">
        <f t="shared" si="1"/>
        <v>71580</v>
      </c>
      <c r="H21124" s="49">
        <f t="shared" si="2"/>
        <v>71027</v>
      </c>
    </row>
    <row r="21125">
      <c r="A21125" s="48" t="s">
        <v>25641</v>
      </c>
      <c r="B21125" s="38">
        <v>84129.0</v>
      </c>
      <c r="C21125" s="38" t="s">
        <v>25642</v>
      </c>
      <c r="D21125" s="38" t="str">
        <f>IFERROR(__xludf.DUMMYFUNCTION("REGEXREPLACE(C21125,""-\d+(.*)|--\d+(.*)"","""")"),"SORGUES")</f>
        <v>SORGUES</v>
      </c>
      <c r="E21125" s="38" t="s">
        <v>1026</v>
      </c>
      <c r="F21125" s="38" t="s">
        <v>228</v>
      </c>
      <c r="G21125" s="49" t="str">
        <f t="shared" si="1"/>
        <v>84700</v>
      </c>
      <c r="H21125" s="49">
        <f t="shared" si="2"/>
        <v>84129</v>
      </c>
    </row>
    <row r="21126">
      <c r="A21126" s="48" t="s">
        <v>4125</v>
      </c>
      <c r="B21126" s="38">
        <v>19184.0</v>
      </c>
      <c r="C21126" s="38" t="s">
        <v>25643</v>
      </c>
      <c r="D21126" s="38" t="str">
        <f>IFERROR(__xludf.DUMMYFUNCTION("REGEXREPLACE(C21126,""-\d+(.*)|--\d+(.*)"","""")"),"SAINT-BAZILE-DE-MEYSSAC")</f>
        <v>SAINT-BAZILE-DE-MEYSSAC</v>
      </c>
      <c r="E21126" s="38" t="s">
        <v>271</v>
      </c>
      <c r="F21126" s="38" t="s">
        <v>98</v>
      </c>
      <c r="G21126" s="49" t="str">
        <f t="shared" si="1"/>
        <v>19500</v>
      </c>
      <c r="H21126" s="49">
        <f t="shared" si="2"/>
        <v>19184</v>
      </c>
    </row>
    <row r="21127">
      <c r="A21127" s="48" t="s">
        <v>932</v>
      </c>
      <c r="B21127" s="38">
        <v>17451.0</v>
      </c>
      <c r="C21127" s="38" t="s">
        <v>25644</v>
      </c>
      <c r="D21127" s="38" t="str">
        <f>IFERROR(__xludf.DUMMYFUNCTION("REGEXREPLACE(C21127,""-\d+(.*)|--\d+(.*)"","""")"),"LES TOUCHES-DE-PERIGNY")</f>
        <v>LES TOUCHES-DE-PERIGNY</v>
      </c>
      <c r="E21127" s="38" t="s">
        <v>488</v>
      </c>
      <c r="F21127" s="38" t="s">
        <v>338</v>
      </c>
      <c r="G21127" s="49" t="str">
        <f t="shared" si="1"/>
        <v>17160</v>
      </c>
      <c r="H21127" s="49">
        <f t="shared" si="2"/>
        <v>17451</v>
      </c>
    </row>
    <row r="21128">
      <c r="A21128" s="48" t="s">
        <v>8684</v>
      </c>
      <c r="B21128" s="38">
        <v>37279.0</v>
      </c>
      <c r="C21128" s="38" t="s">
        <v>25645</v>
      </c>
      <c r="D21128" s="38" t="str">
        <f>IFERROR(__xludf.DUMMYFUNCTION("REGEXREPLACE(C21128,""-\d+(.*)|--\d+(.*)"","""")"),"VILLIERS-AU-BOUIN")</f>
        <v>VILLIERS-AU-BOUIN</v>
      </c>
      <c r="E21128" s="38" t="s">
        <v>205</v>
      </c>
      <c r="F21128" s="38" t="s">
        <v>123</v>
      </c>
      <c r="G21128" s="49" t="str">
        <f t="shared" si="1"/>
        <v>37330</v>
      </c>
      <c r="H21128" s="49">
        <f t="shared" si="2"/>
        <v>37279</v>
      </c>
    </row>
    <row r="21129">
      <c r="A21129" s="48" t="s">
        <v>3545</v>
      </c>
      <c r="B21129" s="38">
        <v>17130.0</v>
      </c>
      <c r="C21129" s="38" t="s">
        <v>21233</v>
      </c>
      <c r="D21129" s="38" t="str">
        <f>IFERROR(__xludf.DUMMYFUNCTION("REGEXREPLACE(C21129,""-\d+(.*)|--\d+(.*)"","""")"),"COUX")</f>
        <v>COUX</v>
      </c>
      <c r="E21129" s="38" t="s">
        <v>488</v>
      </c>
      <c r="F21129" s="38" t="s">
        <v>338</v>
      </c>
      <c r="G21129" s="49" t="str">
        <f t="shared" si="1"/>
        <v>17130</v>
      </c>
      <c r="H21129" s="49">
        <f t="shared" si="2"/>
        <v>17130</v>
      </c>
    </row>
    <row r="21130">
      <c r="A21130" s="48" t="s">
        <v>2266</v>
      </c>
      <c r="B21130" s="38">
        <v>55163.0</v>
      </c>
      <c r="C21130" s="38" t="s">
        <v>25646</v>
      </c>
      <c r="D21130" s="38" t="str">
        <f>IFERROR(__xludf.DUMMYFUNCTION("REGEXREPLACE(C21130,""-\d+(.*)|--\d+(.*)"","""")"),"DONCOURT-AUX-TEMPLIERS")</f>
        <v>DONCOURT-AUX-TEMPLIERS</v>
      </c>
      <c r="E21130" s="38" t="s">
        <v>322</v>
      </c>
      <c r="F21130" s="38" t="s">
        <v>195</v>
      </c>
      <c r="G21130" s="49" t="str">
        <f t="shared" si="1"/>
        <v>55160</v>
      </c>
      <c r="H21130" s="49">
        <f t="shared" si="2"/>
        <v>55163</v>
      </c>
    </row>
    <row r="21131">
      <c r="A21131" s="48" t="s">
        <v>719</v>
      </c>
      <c r="B21131" s="38">
        <v>8305.0</v>
      </c>
      <c r="C21131" s="38" t="s">
        <v>25647</v>
      </c>
      <c r="D21131" s="38" t="str">
        <f>IFERROR(__xludf.DUMMYFUNCTION("REGEXREPLACE(C21131,""-\d+(.*)|--\d+(.*)"","""")"),"MONTIGNY-SUR-VENCE")</f>
        <v>MONTIGNY-SUR-VENCE</v>
      </c>
      <c r="E21131" s="38" t="s">
        <v>327</v>
      </c>
      <c r="F21131" s="38" t="s">
        <v>130</v>
      </c>
      <c r="G21131" s="49" t="str">
        <f t="shared" si="1"/>
        <v>08430</v>
      </c>
      <c r="H21131" s="49" t="str">
        <f t="shared" si="2"/>
        <v>08305</v>
      </c>
    </row>
    <row r="21132">
      <c r="A21132" s="48" t="s">
        <v>25648</v>
      </c>
      <c r="B21132" s="38">
        <v>14504.0</v>
      </c>
      <c r="C21132" s="38" t="s">
        <v>820</v>
      </c>
      <c r="D21132" s="38" t="str">
        <f>IFERROR(__xludf.DUMMYFUNCTION("REGEXREPLACE(C21132,""-\d+(.*)|--\d+(.*)"","""")"),"LE PIN")</f>
        <v>LE PIN</v>
      </c>
      <c r="E21132" s="38" t="s">
        <v>137</v>
      </c>
      <c r="F21132" s="38" t="s">
        <v>138</v>
      </c>
      <c r="G21132" s="49" t="str">
        <f t="shared" si="1"/>
        <v>14590</v>
      </c>
      <c r="H21132" s="49">
        <f t="shared" si="2"/>
        <v>14504</v>
      </c>
    </row>
    <row r="21133">
      <c r="A21133" s="48" t="s">
        <v>6767</v>
      </c>
      <c r="B21133" s="38">
        <v>15004.0</v>
      </c>
      <c r="C21133" s="38" t="s">
        <v>25649</v>
      </c>
      <c r="D21133" s="38" t="str">
        <f>IFERROR(__xludf.DUMMYFUNCTION("REGEXREPLACE(C21133,""-\d+(.*)|--\d+(.*)"","""")"),"ANDELAT")</f>
        <v>ANDELAT</v>
      </c>
      <c r="E21133" s="38" t="s">
        <v>632</v>
      </c>
      <c r="F21133" s="38" t="s">
        <v>161</v>
      </c>
      <c r="G21133" s="49" t="str">
        <f t="shared" si="1"/>
        <v>15100</v>
      </c>
      <c r="H21133" s="49">
        <f t="shared" si="2"/>
        <v>15004</v>
      </c>
    </row>
    <row r="21134">
      <c r="A21134" s="48" t="s">
        <v>3924</v>
      </c>
      <c r="B21134" s="38">
        <v>81015.0</v>
      </c>
      <c r="C21134" s="38" t="s">
        <v>25650</v>
      </c>
      <c r="D21134" s="38" t="str">
        <f>IFERROR(__xludf.DUMMYFUNCTION("REGEXREPLACE(C21134,""-\d+(.*)|--\d+(.*)"","""")"),"APPELLE")</f>
        <v>APPELLE</v>
      </c>
      <c r="E21134" s="38" t="s">
        <v>231</v>
      </c>
      <c r="F21134" s="38" t="s">
        <v>94</v>
      </c>
      <c r="G21134" s="49" t="str">
        <f t="shared" si="1"/>
        <v>81700</v>
      </c>
      <c r="H21134" s="49">
        <f t="shared" si="2"/>
        <v>81015</v>
      </c>
    </row>
    <row r="21135">
      <c r="A21135" s="48" t="s">
        <v>16436</v>
      </c>
      <c r="B21135" s="38">
        <v>11115.0</v>
      </c>
      <c r="C21135" s="38" t="s">
        <v>25651</v>
      </c>
      <c r="D21135" s="38" t="str">
        <f>IFERROR(__xludf.DUMMYFUNCTION("REGEXREPLACE(C21135,""-\d+(.*)|--\d+(.*)"","""")"),"CUXAC-CABARDES")</f>
        <v>CUXAC-CABARDES</v>
      </c>
      <c r="E21135" s="38" t="s">
        <v>278</v>
      </c>
      <c r="F21135" s="38" t="s">
        <v>119</v>
      </c>
      <c r="G21135" s="49" t="str">
        <f t="shared" si="1"/>
        <v>11390</v>
      </c>
      <c r="H21135" s="49">
        <f t="shared" si="2"/>
        <v>11115</v>
      </c>
    </row>
    <row r="21136">
      <c r="A21136" s="48" t="s">
        <v>9334</v>
      </c>
      <c r="B21136" s="38">
        <v>62235.0</v>
      </c>
      <c r="C21136" s="38" t="s">
        <v>25652</v>
      </c>
      <c r="D21136" s="38" t="str">
        <f>IFERROR(__xludf.DUMMYFUNCTION("REGEXREPLACE(C21136,""-\d+(.*)|--\d+(.*)"","""")"),"CONDETTE")</f>
        <v>CONDETTE</v>
      </c>
      <c r="E21136" s="38" t="s">
        <v>109</v>
      </c>
      <c r="F21136" s="38" t="s">
        <v>86</v>
      </c>
      <c r="G21136" s="49" t="str">
        <f t="shared" si="1"/>
        <v>62360</v>
      </c>
      <c r="H21136" s="49">
        <f t="shared" si="2"/>
        <v>62235</v>
      </c>
    </row>
    <row r="21137">
      <c r="A21137" s="48" t="s">
        <v>4905</v>
      </c>
      <c r="B21137" s="38">
        <v>64351.0</v>
      </c>
      <c r="C21137" s="38" t="s">
        <v>25653</v>
      </c>
      <c r="D21137" s="38" t="str">
        <f>IFERROR(__xludf.DUMMYFUNCTION("REGEXREPLACE(C21137,""-\d+(.*)|--\d+(.*)"","""")"),"LOURDIOS-ICHERE")</f>
        <v>LOURDIOS-ICHERE</v>
      </c>
      <c r="E21137" s="38" t="s">
        <v>268</v>
      </c>
      <c r="F21137" s="38" t="s">
        <v>252</v>
      </c>
      <c r="G21137" s="49" t="str">
        <f t="shared" si="1"/>
        <v>64570</v>
      </c>
      <c r="H21137" s="49">
        <f t="shared" si="2"/>
        <v>64351</v>
      </c>
    </row>
    <row r="21138">
      <c r="A21138" s="48" t="s">
        <v>25654</v>
      </c>
      <c r="B21138" s="38">
        <v>58042.0</v>
      </c>
      <c r="C21138" s="38" t="s">
        <v>25655</v>
      </c>
      <c r="D21138" s="38" t="str">
        <f>IFERROR(__xludf.DUMMYFUNCTION("REGEXREPLACE(C21138,""-\d+(.*)|--\d+(.*)"","""")"),"BULCY")</f>
        <v>BULCY</v>
      </c>
      <c r="E21138" s="38" t="s">
        <v>219</v>
      </c>
      <c r="F21138" s="38" t="s">
        <v>106</v>
      </c>
      <c r="G21138" s="49" t="str">
        <f t="shared" si="1"/>
        <v>58400</v>
      </c>
      <c r="H21138" s="49">
        <f t="shared" si="2"/>
        <v>58042</v>
      </c>
    </row>
    <row r="21139">
      <c r="A21139" s="48" t="s">
        <v>4543</v>
      </c>
      <c r="B21139" s="38">
        <v>64049.0</v>
      </c>
      <c r="C21139" s="38" t="s">
        <v>25656</v>
      </c>
      <c r="D21139" s="38" t="str">
        <f>IFERROR(__xludf.DUMMYFUNCTION("REGEXREPLACE(C21139,""-\d+(.*)|--\d+(.*)"","""")"),"AROUE-ITHOROTS-OLHAIBY")</f>
        <v>AROUE-ITHOROTS-OLHAIBY</v>
      </c>
      <c r="E21139" s="38" t="s">
        <v>268</v>
      </c>
      <c r="F21139" s="38" t="s">
        <v>252</v>
      </c>
      <c r="G21139" s="49" t="str">
        <f t="shared" si="1"/>
        <v>64120</v>
      </c>
      <c r="H21139" s="49">
        <f t="shared" si="2"/>
        <v>64049</v>
      </c>
    </row>
    <row r="21140">
      <c r="A21140" s="48" t="s">
        <v>2755</v>
      </c>
      <c r="B21140" s="38">
        <v>60658.0</v>
      </c>
      <c r="C21140" s="38" t="s">
        <v>14912</v>
      </c>
      <c r="D21140" s="38" t="str">
        <f>IFERROR(__xludf.DUMMYFUNCTION("REGEXREPLACE(C21140,""-\d+(.*)|--\d+(.*)"","""")"),"VAUCIENNES")</f>
        <v>VAUCIENNES</v>
      </c>
      <c r="E21140" s="38" t="s">
        <v>112</v>
      </c>
      <c r="F21140" s="38" t="s">
        <v>113</v>
      </c>
      <c r="G21140" s="49" t="str">
        <f t="shared" si="1"/>
        <v>60117</v>
      </c>
      <c r="H21140" s="49">
        <f t="shared" si="2"/>
        <v>60658</v>
      </c>
    </row>
    <row r="21141">
      <c r="A21141" s="48" t="s">
        <v>3446</v>
      </c>
      <c r="B21141" s="38">
        <v>21608.0</v>
      </c>
      <c r="C21141" s="38" t="s">
        <v>25657</v>
      </c>
      <c r="D21141" s="38" t="str">
        <f>IFERROR(__xludf.DUMMYFUNCTION("REGEXREPLACE(C21141,""-\d+(.*)|--\d+(.*)"","""")"),"SINCEY-LES-ROUVRAY")</f>
        <v>SINCEY-LES-ROUVRAY</v>
      </c>
      <c r="E21141" s="38" t="s">
        <v>105</v>
      </c>
      <c r="F21141" s="38" t="s">
        <v>106</v>
      </c>
      <c r="G21141" s="49" t="str">
        <f t="shared" si="1"/>
        <v>21530</v>
      </c>
      <c r="H21141" s="49">
        <f t="shared" si="2"/>
        <v>21608</v>
      </c>
    </row>
    <row r="21142">
      <c r="A21142" s="48" t="s">
        <v>3359</v>
      </c>
      <c r="B21142" s="38">
        <v>9228.0</v>
      </c>
      <c r="C21142" s="38" t="s">
        <v>25658</v>
      </c>
      <c r="D21142" s="38" t="str">
        <f>IFERROR(__xludf.DUMMYFUNCTION("REGEXREPLACE(C21142,""-\d+(.*)|--\d+(.*)"","""")"),"PERLES-ET-CASTELET")</f>
        <v>PERLES-ET-CASTELET</v>
      </c>
      <c r="E21142" s="38" t="s">
        <v>238</v>
      </c>
      <c r="F21142" s="38" t="s">
        <v>94</v>
      </c>
      <c r="G21142" s="49" t="str">
        <f t="shared" si="1"/>
        <v>09110</v>
      </c>
      <c r="H21142" s="49" t="str">
        <f t="shared" si="2"/>
        <v>09228</v>
      </c>
    </row>
    <row r="21143">
      <c r="A21143" s="48" t="s">
        <v>16647</v>
      </c>
      <c r="B21143" s="38">
        <v>62529.0</v>
      </c>
      <c r="C21143" s="38" t="s">
        <v>25659</v>
      </c>
      <c r="D21143" s="38" t="str">
        <f>IFERROR(__xludf.DUMMYFUNCTION("REGEXREPLACE(C21143,""-\d+(.*)|--\d+(.*)"","""")"),"LORGIES")</f>
        <v>LORGIES</v>
      </c>
      <c r="E21143" s="38" t="s">
        <v>109</v>
      </c>
      <c r="F21143" s="38" t="s">
        <v>86</v>
      </c>
      <c r="G21143" s="49" t="str">
        <f t="shared" si="1"/>
        <v>62840</v>
      </c>
      <c r="H21143" s="49">
        <f t="shared" si="2"/>
        <v>62529</v>
      </c>
    </row>
    <row r="21144">
      <c r="A21144" s="48" t="s">
        <v>5513</v>
      </c>
      <c r="B21144" s="38">
        <v>57573.0</v>
      </c>
      <c r="C21144" s="38" t="s">
        <v>25660</v>
      </c>
      <c r="D21144" s="38" t="str">
        <f>IFERROR(__xludf.DUMMYFUNCTION("REGEXREPLACE(C21144,""-\d+(.*)|--\d+(.*)"","""")"),"RENING")</f>
        <v>RENING</v>
      </c>
      <c r="E21144" s="38" t="s">
        <v>303</v>
      </c>
      <c r="F21144" s="38" t="s">
        <v>195</v>
      </c>
      <c r="G21144" s="49" t="str">
        <f t="shared" si="1"/>
        <v>57670</v>
      </c>
      <c r="H21144" s="49">
        <f t="shared" si="2"/>
        <v>57573</v>
      </c>
    </row>
    <row r="21145">
      <c r="A21145" s="48" t="s">
        <v>25661</v>
      </c>
      <c r="B21145" s="38">
        <v>77533.0</v>
      </c>
      <c r="C21145" s="38" t="s">
        <v>25662</v>
      </c>
      <c r="D21145" s="38" t="str">
        <f>IFERROR(__xludf.DUMMYFUNCTION("REGEXREPLACE(C21145,""-\d+(.*)|--\d+(.*)"","""")"),"VULAINES-SUR-SEINE")</f>
        <v>VULAINES-SUR-SEINE</v>
      </c>
      <c r="E21145" s="38" t="s">
        <v>244</v>
      </c>
      <c r="F21145" s="38" t="s">
        <v>245</v>
      </c>
      <c r="G21145" s="49" t="str">
        <f t="shared" si="1"/>
        <v>77870</v>
      </c>
      <c r="H21145" s="49">
        <f t="shared" si="2"/>
        <v>77533</v>
      </c>
    </row>
    <row r="21146">
      <c r="A21146" s="48" t="s">
        <v>6865</v>
      </c>
      <c r="B21146" s="38" t="s">
        <v>25663</v>
      </c>
      <c r="C21146" s="38" t="s">
        <v>25664</v>
      </c>
      <c r="D21146" s="38" t="str">
        <f>IFERROR(__xludf.DUMMYFUNCTION("REGEXREPLACE(C21146,""-\d+(.*)|--\d+(.*)"","""")"),"GROSSETO-PRUGNA")</f>
        <v>GROSSETO-PRUGNA</v>
      </c>
      <c r="E21146" s="38" t="s">
        <v>606</v>
      </c>
      <c r="F21146" s="38" t="s">
        <v>607</v>
      </c>
      <c r="G21146" s="49" t="str">
        <f t="shared" si="1"/>
        <v>20128</v>
      </c>
      <c r="H21146" s="49" t="str">
        <f t="shared" si="2"/>
        <v>2A130</v>
      </c>
    </row>
    <row r="21147">
      <c r="A21147" s="48" t="s">
        <v>2666</v>
      </c>
      <c r="B21147" s="38">
        <v>34276.0</v>
      </c>
      <c r="C21147" s="38" t="s">
        <v>25665</v>
      </c>
      <c r="D21147" s="38" t="str">
        <f>IFERROR(__xludf.DUMMYFUNCTION("REGEXREPLACE(C21147,""-\d+(.*)|--\d+(.*)"","""")"),"SAINT-MATHIEU-DE-TREVIERS")</f>
        <v>SAINT-MATHIEU-DE-TREVIERS</v>
      </c>
      <c r="E21147" s="38" t="s">
        <v>118</v>
      </c>
      <c r="F21147" s="38" t="s">
        <v>119</v>
      </c>
      <c r="G21147" s="49" t="str">
        <f t="shared" si="1"/>
        <v>34270</v>
      </c>
      <c r="H21147" s="49">
        <f t="shared" si="2"/>
        <v>34276</v>
      </c>
    </row>
    <row r="21148">
      <c r="A21148" s="48" t="s">
        <v>987</v>
      </c>
      <c r="B21148" s="38">
        <v>40239.0</v>
      </c>
      <c r="C21148" s="38" t="s">
        <v>25666</v>
      </c>
      <c r="D21148" s="38" t="str">
        <f>IFERROR(__xludf.DUMMYFUNCTION("REGEXREPLACE(C21148,""-\d+(.*)|--\d+(.*)"","""")"),"PUYOL-CAZALET")</f>
        <v>PUYOL-CAZALET</v>
      </c>
      <c r="E21148" s="38" t="s">
        <v>281</v>
      </c>
      <c r="F21148" s="38" t="s">
        <v>252</v>
      </c>
      <c r="G21148" s="49" t="str">
        <f t="shared" si="1"/>
        <v>40320</v>
      </c>
      <c r="H21148" s="49">
        <f t="shared" si="2"/>
        <v>40239</v>
      </c>
    </row>
    <row r="21149">
      <c r="A21149" s="48" t="s">
        <v>10725</v>
      </c>
      <c r="B21149" s="38">
        <v>62031.0</v>
      </c>
      <c r="C21149" s="38" t="s">
        <v>25667</v>
      </c>
      <c r="D21149" s="38" t="str">
        <f>IFERROR(__xludf.DUMMYFUNCTION("REGEXREPLACE(C21149,""-\d+(.*)|--\d+(.*)"","""")"),"ANDRES")</f>
        <v>ANDRES</v>
      </c>
      <c r="E21149" s="38" t="s">
        <v>109</v>
      </c>
      <c r="F21149" s="38" t="s">
        <v>86</v>
      </c>
      <c r="G21149" s="49" t="str">
        <f t="shared" si="1"/>
        <v>62340</v>
      </c>
      <c r="H21149" s="49">
        <f t="shared" si="2"/>
        <v>62031</v>
      </c>
    </row>
    <row r="21150">
      <c r="A21150" s="48" t="s">
        <v>4973</v>
      </c>
      <c r="B21150" s="38">
        <v>58089.0</v>
      </c>
      <c r="C21150" s="38" t="s">
        <v>25668</v>
      </c>
      <c r="D21150" s="38" t="str">
        <f>IFERROR(__xludf.DUMMYFUNCTION("REGEXREPLACE(C21150,""-\d+(.*)|--\d+(.*)"","""")"),"COULOUTRE")</f>
        <v>COULOUTRE</v>
      </c>
      <c r="E21150" s="38" t="s">
        <v>219</v>
      </c>
      <c r="F21150" s="38" t="s">
        <v>106</v>
      </c>
      <c r="G21150" s="49" t="str">
        <f t="shared" si="1"/>
        <v>58220</v>
      </c>
      <c r="H21150" s="49">
        <f t="shared" si="2"/>
        <v>58089</v>
      </c>
    </row>
    <row r="21151">
      <c r="A21151" s="48" t="s">
        <v>7496</v>
      </c>
      <c r="B21151" s="38">
        <v>62358.0</v>
      </c>
      <c r="C21151" s="38" t="s">
        <v>25669</v>
      </c>
      <c r="D21151" s="38" t="str">
        <f>IFERROR(__xludf.DUMMYFUNCTION("REGEXREPLACE(C21151,""-\d+(.*)|--\d+(.*)"","""")"),"FRESNOY-EN-GOHELLE")</f>
        <v>FRESNOY-EN-GOHELLE</v>
      </c>
      <c r="E21151" s="38" t="s">
        <v>109</v>
      </c>
      <c r="F21151" s="38" t="s">
        <v>86</v>
      </c>
      <c r="G21151" s="49" t="str">
        <f t="shared" si="1"/>
        <v>62580</v>
      </c>
      <c r="H21151" s="49">
        <f t="shared" si="2"/>
        <v>62358</v>
      </c>
    </row>
    <row r="21152">
      <c r="A21152" s="48" t="s">
        <v>883</v>
      </c>
      <c r="B21152" s="38">
        <v>71104.0</v>
      </c>
      <c r="C21152" s="38" t="s">
        <v>25670</v>
      </c>
      <c r="D21152" s="38" t="str">
        <f>IFERROR(__xludf.DUMMYFUNCTION("REGEXREPLACE(C21152,""-\d+(.*)|--\d+(.*)"","""")"),"CHARNAY-LES-CHALON")</f>
        <v>CHARNAY-LES-CHALON</v>
      </c>
      <c r="E21152" s="38" t="s">
        <v>344</v>
      </c>
      <c r="F21152" s="38" t="s">
        <v>106</v>
      </c>
      <c r="G21152" s="49" t="str">
        <f t="shared" si="1"/>
        <v>71350</v>
      </c>
      <c r="H21152" s="49">
        <f t="shared" si="2"/>
        <v>71104</v>
      </c>
    </row>
    <row r="21153">
      <c r="A21153" s="48" t="s">
        <v>658</v>
      </c>
      <c r="B21153" s="38">
        <v>62251.0</v>
      </c>
      <c r="C21153" s="38" t="s">
        <v>25671</v>
      </c>
      <c r="D21153" s="38" t="str">
        <f>IFERROR(__xludf.DUMMYFUNCTION("REGEXREPLACE(C21153,""-\d+(.*)|--\d+(.*)"","""")"),"COURSET")</f>
        <v>COURSET</v>
      </c>
      <c r="E21153" s="38" t="s">
        <v>109</v>
      </c>
      <c r="F21153" s="38" t="s">
        <v>86</v>
      </c>
      <c r="G21153" s="49" t="str">
        <f t="shared" si="1"/>
        <v>62240</v>
      </c>
      <c r="H21153" s="49">
        <f t="shared" si="2"/>
        <v>62251</v>
      </c>
    </row>
    <row r="21154">
      <c r="A21154" s="48" t="s">
        <v>809</v>
      </c>
      <c r="B21154" s="38">
        <v>33081.0</v>
      </c>
      <c r="C21154" s="38" t="s">
        <v>25672</v>
      </c>
      <c r="D21154" s="38" t="str">
        <f>IFERROR(__xludf.DUMMYFUNCTION("REGEXREPLACE(C21154,""-\d+(.*)|--\d+(.*)"","""")"),"CADILLAC")</f>
        <v>CADILLAC</v>
      </c>
      <c r="E21154" s="38" t="s">
        <v>462</v>
      </c>
      <c r="F21154" s="38" t="s">
        <v>252</v>
      </c>
      <c r="G21154" s="49" t="str">
        <f t="shared" si="1"/>
        <v>33410</v>
      </c>
      <c r="H21154" s="49">
        <f t="shared" si="2"/>
        <v>33081</v>
      </c>
    </row>
    <row r="21155">
      <c r="A21155" s="48" t="s">
        <v>2330</v>
      </c>
      <c r="B21155" s="38">
        <v>65077.0</v>
      </c>
      <c r="C21155" s="38" t="s">
        <v>25673</v>
      </c>
      <c r="D21155" s="38" t="str">
        <f>IFERROR(__xludf.DUMMYFUNCTION("REGEXREPLACE(C21155,""-\d+(.*)|--\d+(.*)"","""")"),"BEAUCENS")</f>
        <v>BEAUCENS</v>
      </c>
      <c r="E21155" s="38" t="s">
        <v>200</v>
      </c>
      <c r="F21155" s="38" t="s">
        <v>94</v>
      </c>
      <c r="G21155" s="49" t="str">
        <f t="shared" si="1"/>
        <v>65400</v>
      </c>
      <c r="H21155" s="49">
        <f t="shared" si="2"/>
        <v>65077</v>
      </c>
    </row>
    <row r="21156">
      <c r="A21156" s="48" t="s">
        <v>16262</v>
      </c>
      <c r="B21156" s="38">
        <v>36062.0</v>
      </c>
      <c r="C21156" s="38" t="s">
        <v>25674</v>
      </c>
      <c r="D21156" s="38" t="str">
        <f>IFERROR(__xludf.DUMMYFUNCTION("REGEXREPLACE(C21156,""-\d+(.*)|--\d+(.*)"","""")"),"CUZION")</f>
        <v>CUZION</v>
      </c>
      <c r="E21156" s="38" t="s">
        <v>258</v>
      </c>
      <c r="F21156" s="38" t="s">
        <v>123</v>
      </c>
      <c r="G21156" s="49" t="str">
        <f t="shared" si="1"/>
        <v>36190</v>
      </c>
      <c r="H21156" s="49">
        <f t="shared" si="2"/>
        <v>36062</v>
      </c>
    </row>
    <row r="21157">
      <c r="A21157" s="48" t="s">
        <v>816</v>
      </c>
      <c r="B21157" s="38">
        <v>11240.0</v>
      </c>
      <c r="C21157" s="38" t="s">
        <v>25675</v>
      </c>
      <c r="D21157" s="38" t="str">
        <f>IFERROR(__xludf.DUMMYFUNCTION("REGEXREPLACE(C21157,""-\d+(.*)|--\d+(.*)"","""")"),"MONTAZELS")</f>
        <v>MONTAZELS</v>
      </c>
      <c r="E21157" s="38" t="s">
        <v>278</v>
      </c>
      <c r="F21157" s="38" t="s">
        <v>119</v>
      </c>
      <c r="G21157" s="49" t="str">
        <f t="shared" si="1"/>
        <v>11190</v>
      </c>
      <c r="H21157" s="49">
        <f t="shared" si="2"/>
        <v>11240</v>
      </c>
    </row>
    <row r="21158">
      <c r="A21158" s="48" t="s">
        <v>7514</v>
      </c>
      <c r="B21158" s="38">
        <v>88013.0</v>
      </c>
      <c r="C21158" s="38" t="s">
        <v>25676</v>
      </c>
      <c r="D21158" s="38" t="str">
        <f>IFERROR(__xludf.DUMMYFUNCTION("REGEXREPLACE(C21158,""-\d+(.*)|--\d+(.*)"","""")"),"AROFFE")</f>
        <v>AROFFE</v>
      </c>
      <c r="E21158" s="38" t="s">
        <v>194</v>
      </c>
      <c r="F21158" s="38" t="s">
        <v>195</v>
      </c>
      <c r="G21158" s="49" t="str">
        <f t="shared" si="1"/>
        <v>88170</v>
      </c>
      <c r="H21158" s="49">
        <f t="shared" si="2"/>
        <v>88013</v>
      </c>
    </row>
    <row r="21159">
      <c r="A21159" s="48" t="s">
        <v>6862</v>
      </c>
      <c r="B21159" s="38">
        <v>68348.0</v>
      </c>
      <c r="C21159" s="38" t="s">
        <v>25677</v>
      </c>
      <c r="D21159" s="38" t="str">
        <f>IFERROR(__xludf.DUMMYFUNCTION("REGEXREPLACE(C21159,""-\d+(.*)|--\d+(.*)"","""")"),"VIEUX-THANN")</f>
        <v>VIEUX-THANN</v>
      </c>
      <c r="E21159" s="38" t="s">
        <v>150</v>
      </c>
      <c r="F21159" s="38" t="s">
        <v>151</v>
      </c>
      <c r="G21159" s="49" t="str">
        <f t="shared" si="1"/>
        <v>68800</v>
      </c>
      <c r="H21159" s="49">
        <f t="shared" si="2"/>
        <v>68348</v>
      </c>
    </row>
    <row r="21160">
      <c r="A21160" s="48" t="s">
        <v>3681</v>
      </c>
      <c r="B21160" s="38">
        <v>39348.0</v>
      </c>
      <c r="C21160" s="38" t="s">
        <v>9492</v>
      </c>
      <c r="D21160" s="38" t="str">
        <f>IFERROR(__xludf.DUMMYFUNCTION("REGEXREPLACE(C21160,""-\d+(.*)|--\d+(.*)"","""")"),"MONTAIGU")</f>
        <v>MONTAIGU</v>
      </c>
      <c r="E21160" s="38" t="s">
        <v>400</v>
      </c>
      <c r="F21160" s="38" t="s">
        <v>214</v>
      </c>
      <c r="G21160" s="49" t="str">
        <f t="shared" si="1"/>
        <v>39570</v>
      </c>
      <c r="H21160" s="49">
        <f t="shared" si="2"/>
        <v>39348</v>
      </c>
    </row>
    <row r="21161">
      <c r="A21161" s="48" t="s">
        <v>1825</v>
      </c>
      <c r="B21161" s="38">
        <v>64438.0</v>
      </c>
      <c r="C21161" s="38" t="s">
        <v>25678</v>
      </c>
      <c r="D21161" s="38" t="str">
        <f>IFERROR(__xludf.DUMMYFUNCTION("REGEXREPLACE(C21161,""-\d+(.*)|--\d+(.*)"","""")"),"OUILLON")</f>
        <v>OUILLON</v>
      </c>
      <c r="E21161" s="38" t="s">
        <v>268</v>
      </c>
      <c r="F21161" s="38" t="s">
        <v>252</v>
      </c>
      <c r="G21161" s="49" t="str">
        <f t="shared" si="1"/>
        <v>64160</v>
      </c>
      <c r="H21161" s="49">
        <f t="shared" si="2"/>
        <v>64438</v>
      </c>
    </row>
    <row r="21162">
      <c r="A21162" s="48" t="s">
        <v>4898</v>
      </c>
      <c r="B21162" s="38">
        <v>27315.0</v>
      </c>
      <c r="C21162" s="38" t="s">
        <v>25679</v>
      </c>
      <c r="D21162" s="38" t="str">
        <f>IFERROR(__xludf.DUMMYFUNCTION("REGEXREPLACE(C21162,""-\d+(.*)|--\d+(.*)"","""")"),"HARQUENCY")</f>
        <v>HARQUENCY</v>
      </c>
      <c r="E21162" s="38" t="s">
        <v>241</v>
      </c>
      <c r="F21162" s="38" t="s">
        <v>134</v>
      </c>
      <c r="G21162" s="49" t="str">
        <f t="shared" si="1"/>
        <v>27700</v>
      </c>
      <c r="H21162" s="49">
        <f t="shared" si="2"/>
        <v>27315</v>
      </c>
    </row>
    <row r="21163">
      <c r="A21163" s="48" t="s">
        <v>1106</v>
      </c>
      <c r="B21163" s="38">
        <v>14411.0</v>
      </c>
      <c r="C21163" s="38" t="s">
        <v>25680</v>
      </c>
      <c r="D21163" s="38" t="str">
        <f>IFERROR(__xludf.DUMMYFUNCTION("REGEXREPLACE(C21163,""-\d+(.*)|--\d+(.*)"","""")"),"MESLAY")</f>
        <v>MESLAY</v>
      </c>
      <c r="E21163" s="38" t="s">
        <v>137</v>
      </c>
      <c r="F21163" s="38" t="s">
        <v>138</v>
      </c>
      <c r="G21163" s="49" t="str">
        <f t="shared" si="1"/>
        <v>14220</v>
      </c>
      <c r="H21163" s="49">
        <f t="shared" si="2"/>
        <v>14411</v>
      </c>
    </row>
    <row r="21164">
      <c r="A21164" s="48" t="s">
        <v>16821</v>
      </c>
      <c r="B21164" s="38">
        <v>77354.0</v>
      </c>
      <c r="C21164" s="38" t="s">
        <v>25681</v>
      </c>
      <c r="D21164" s="38" t="str">
        <f>IFERROR(__xludf.DUMMYFUNCTION("REGEXREPLACE(C21164,""-\d+(.*)|--\d+(.*)"","""")"),"PAMFOU")</f>
        <v>PAMFOU</v>
      </c>
      <c r="E21164" s="38" t="s">
        <v>244</v>
      </c>
      <c r="F21164" s="38" t="s">
        <v>245</v>
      </c>
      <c r="G21164" s="49" t="str">
        <f t="shared" si="1"/>
        <v>77830</v>
      </c>
      <c r="H21164" s="49">
        <f t="shared" si="2"/>
        <v>77354</v>
      </c>
    </row>
    <row r="21165">
      <c r="A21165" s="48" t="s">
        <v>25682</v>
      </c>
      <c r="B21165" s="38">
        <v>76717.0</v>
      </c>
      <c r="C21165" s="38" t="s">
        <v>25683</v>
      </c>
      <c r="D21165" s="38" t="str">
        <f>IFERROR(__xludf.DUMMYFUNCTION("REGEXREPLACE(C21165,""-\d+(.*)|--\d+(.*)"","""")"),"VAL-DE-LA-HAYE")</f>
        <v>VAL-DE-LA-HAYE</v>
      </c>
      <c r="E21165" s="38" t="s">
        <v>133</v>
      </c>
      <c r="F21165" s="38" t="s">
        <v>134</v>
      </c>
      <c r="G21165" s="49" t="str">
        <f t="shared" si="1"/>
        <v>76380</v>
      </c>
      <c r="H21165" s="49">
        <f t="shared" si="2"/>
        <v>76717</v>
      </c>
    </row>
    <row r="21166">
      <c r="A21166" s="48" t="s">
        <v>2389</v>
      </c>
      <c r="B21166" s="38">
        <v>64075.0</v>
      </c>
      <c r="C21166" s="38" t="s">
        <v>25684</v>
      </c>
      <c r="D21166" s="38" t="str">
        <f>IFERROR(__xludf.DUMMYFUNCTION("REGEXREPLACE(C21166,""-\d+(.*)|--\d+(.*)"","""")"),"AUDAUX")</f>
        <v>AUDAUX</v>
      </c>
      <c r="E21166" s="38" t="s">
        <v>268</v>
      </c>
      <c r="F21166" s="38" t="s">
        <v>252</v>
      </c>
      <c r="G21166" s="49" t="str">
        <f t="shared" si="1"/>
        <v>64190</v>
      </c>
      <c r="H21166" s="49">
        <f t="shared" si="2"/>
        <v>64075</v>
      </c>
    </row>
    <row r="21167">
      <c r="A21167" s="48" t="s">
        <v>6875</v>
      </c>
      <c r="B21167" s="38">
        <v>2266.0</v>
      </c>
      <c r="C21167" s="38" t="s">
        <v>25685</v>
      </c>
      <c r="D21167" s="38" t="str">
        <f>IFERROR(__xludf.DUMMYFUNCTION("REGEXREPLACE(C21167,""-\d+(.*)|--\d+(.*)"","""")"),"DOLIGNON")</f>
        <v>DOLIGNON</v>
      </c>
      <c r="E21167" s="38" t="s">
        <v>191</v>
      </c>
      <c r="F21167" s="38" t="s">
        <v>113</v>
      </c>
      <c r="G21167" s="49" t="str">
        <f t="shared" si="1"/>
        <v>02360</v>
      </c>
      <c r="H21167" s="49" t="str">
        <f t="shared" si="2"/>
        <v>02266</v>
      </c>
    </row>
    <row r="21168">
      <c r="A21168" s="48" t="s">
        <v>2495</v>
      </c>
      <c r="B21168" s="38">
        <v>41170.0</v>
      </c>
      <c r="C21168" s="38" t="s">
        <v>25686</v>
      </c>
      <c r="D21168" s="38" t="str">
        <f>IFERROR(__xludf.DUMMYFUNCTION("REGEXREPLACE(C21168,""-\d+(.*)|--\d+(.*)"","""")"),"OUCHAMPS")</f>
        <v>OUCHAMPS</v>
      </c>
      <c r="E21168" s="38" t="s">
        <v>188</v>
      </c>
      <c r="F21168" s="38" t="s">
        <v>123</v>
      </c>
      <c r="G21168" s="49" t="str">
        <f t="shared" si="1"/>
        <v>41120</v>
      </c>
      <c r="H21168" s="49">
        <f t="shared" si="2"/>
        <v>41170</v>
      </c>
    </row>
    <row r="21169">
      <c r="A21169" s="48" t="s">
        <v>1184</v>
      </c>
      <c r="B21169" s="38">
        <v>8242.0</v>
      </c>
      <c r="C21169" s="38" t="s">
        <v>25687</v>
      </c>
      <c r="D21169" s="38" t="str">
        <f>IFERROR(__xludf.DUMMYFUNCTION("REGEXREPLACE(C21169,""-\d+(.*)|--\d+(.*)"","""")"),"LAIFOUR")</f>
        <v>LAIFOUR</v>
      </c>
      <c r="E21169" s="38" t="s">
        <v>327</v>
      </c>
      <c r="F21169" s="38" t="s">
        <v>130</v>
      </c>
      <c r="G21169" s="49" t="str">
        <f t="shared" si="1"/>
        <v>08800</v>
      </c>
      <c r="H21169" s="49" t="str">
        <f t="shared" si="2"/>
        <v>08242</v>
      </c>
    </row>
    <row r="21170">
      <c r="A21170" s="48" t="s">
        <v>3755</v>
      </c>
      <c r="B21170" s="38">
        <v>76043.0</v>
      </c>
      <c r="C21170" s="38" t="s">
        <v>25688</v>
      </c>
      <c r="D21170" s="38" t="str">
        <f>IFERROR(__xludf.DUMMYFUNCTION("REGEXREPLACE(C21170,""-\d+(.*)|--\d+(.*)"","""")"),"AUZEBOSC")</f>
        <v>AUZEBOSC</v>
      </c>
      <c r="E21170" s="38" t="s">
        <v>133</v>
      </c>
      <c r="F21170" s="38" t="s">
        <v>134</v>
      </c>
      <c r="G21170" s="49" t="str">
        <f t="shared" si="1"/>
        <v>76190</v>
      </c>
      <c r="H21170" s="49">
        <f t="shared" si="2"/>
        <v>76043</v>
      </c>
    </row>
    <row r="21171">
      <c r="A21171" s="48" t="s">
        <v>239</v>
      </c>
      <c r="B21171" s="38">
        <v>27215.0</v>
      </c>
      <c r="C21171" s="38" t="s">
        <v>25689</v>
      </c>
      <c r="D21171" s="38" t="str">
        <f>IFERROR(__xludf.DUMMYFUNCTION("REGEXREPLACE(C21171,""-\d+(.*)|--\d+(.*)"","""")"),"ECQUETOT")</f>
        <v>ECQUETOT</v>
      </c>
      <c r="E21171" s="38" t="s">
        <v>241</v>
      </c>
      <c r="F21171" s="38" t="s">
        <v>134</v>
      </c>
      <c r="G21171" s="49" t="str">
        <f t="shared" si="1"/>
        <v>27110</v>
      </c>
      <c r="H21171" s="49">
        <f t="shared" si="2"/>
        <v>27215</v>
      </c>
    </row>
    <row r="21172">
      <c r="A21172" s="48" t="s">
        <v>11602</v>
      </c>
      <c r="B21172" s="38">
        <v>5126.0</v>
      </c>
      <c r="C21172" s="38" t="s">
        <v>25690</v>
      </c>
      <c r="D21172" s="38" t="str">
        <f>IFERROR(__xludf.DUMMYFUNCTION("REGEXREPLACE(C21172,""-\d+(.*)|--\d+(.*)"","""")"),"ROSANS")</f>
        <v>ROSANS</v>
      </c>
      <c r="E21172" s="38" t="s">
        <v>706</v>
      </c>
      <c r="F21172" s="38" t="s">
        <v>228</v>
      </c>
      <c r="G21172" s="49" t="str">
        <f t="shared" si="1"/>
        <v>05150</v>
      </c>
      <c r="H21172" s="49" t="str">
        <f t="shared" si="2"/>
        <v>05126</v>
      </c>
    </row>
    <row r="21173">
      <c r="A21173" s="48" t="s">
        <v>2227</v>
      </c>
      <c r="B21173" s="38">
        <v>74072.0</v>
      </c>
      <c r="C21173" s="38" t="s">
        <v>25691</v>
      </c>
      <c r="D21173" s="38" t="str">
        <f>IFERROR(__xludf.DUMMYFUNCTION("REGEXREPLACE(C21173,""-\d+(.*)|--\d+(.*)"","""")"),"CHEVALINE")</f>
        <v>CHEVALINE</v>
      </c>
      <c r="E21173" s="38" t="s">
        <v>319</v>
      </c>
      <c r="F21173" s="38" t="s">
        <v>102</v>
      </c>
      <c r="G21173" s="49" t="str">
        <f t="shared" si="1"/>
        <v>74210</v>
      </c>
      <c r="H21173" s="49">
        <f t="shared" si="2"/>
        <v>74072</v>
      </c>
    </row>
    <row r="21174">
      <c r="A21174" s="48" t="s">
        <v>2773</v>
      </c>
      <c r="B21174" s="38">
        <v>21302.0</v>
      </c>
      <c r="C21174" s="38" t="s">
        <v>25692</v>
      </c>
      <c r="D21174" s="38" t="str">
        <f>IFERROR(__xludf.DUMMYFUNCTION("REGEXREPLACE(C21174,""-\d+(.*)|--\d+(.*)"","""")"),"GOMMEVILLE")</f>
        <v>GOMMEVILLE</v>
      </c>
      <c r="E21174" s="38" t="s">
        <v>105</v>
      </c>
      <c r="F21174" s="38" t="s">
        <v>106</v>
      </c>
      <c r="G21174" s="49" t="str">
        <f t="shared" si="1"/>
        <v>21400</v>
      </c>
      <c r="H21174" s="49">
        <f t="shared" si="2"/>
        <v>21302</v>
      </c>
    </row>
    <row r="21175">
      <c r="A21175" s="48" t="s">
        <v>10939</v>
      </c>
      <c r="B21175" s="38">
        <v>77068.0</v>
      </c>
      <c r="C21175" s="38" t="s">
        <v>25693</v>
      </c>
      <c r="D21175" s="38" t="str">
        <f>IFERROR(__xludf.DUMMYFUNCTION("REGEXREPLACE(C21175,""-\d+(.*)|--\d+(.*)"","""")"),"CESSOY-EN-MONTOIS")</f>
        <v>CESSOY-EN-MONTOIS</v>
      </c>
      <c r="E21175" s="38" t="s">
        <v>244</v>
      </c>
      <c r="F21175" s="38" t="s">
        <v>245</v>
      </c>
      <c r="G21175" s="49" t="str">
        <f t="shared" si="1"/>
        <v>77520</v>
      </c>
      <c r="H21175" s="49">
        <f t="shared" si="2"/>
        <v>77068</v>
      </c>
    </row>
    <row r="21176">
      <c r="A21176" s="48" t="s">
        <v>8674</v>
      </c>
      <c r="B21176" s="38">
        <v>16320.0</v>
      </c>
      <c r="C21176" s="38" t="s">
        <v>25694</v>
      </c>
      <c r="D21176" s="38" t="str">
        <f>IFERROR(__xludf.DUMMYFUNCTION("REGEXREPLACE(C21176,""-\d+(.*)|--\d+(.*)"","""")"),"SAINT-GENIS-D'HIERSAC")</f>
        <v>SAINT-GENIS-D'HIERSAC</v>
      </c>
      <c r="E21176" s="38" t="s">
        <v>429</v>
      </c>
      <c r="F21176" s="38" t="s">
        <v>338</v>
      </c>
      <c r="G21176" s="49" t="str">
        <f t="shared" si="1"/>
        <v>16570</v>
      </c>
      <c r="H21176" s="49">
        <f t="shared" si="2"/>
        <v>16320</v>
      </c>
    </row>
    <row r="21177">
      <c r="A21177" s="48" t="s">
        <v>5772</v>
      </c>
      <c r="B21177" s="38">
        <v>43169.0</v>
      </c>
      <c r="C21177" s="38" t="s">
        <v>25695</v>
      </c>
      <c r="D21177" s="38" t="str">
        <f>IFERROR(__xludf.DUMMYFUNCTION("REGEXREPLACE(C21177,""-\d+(.*)|--\d+(.*)"","""")"),"SAINT-AUSTREMOINE")</f>
        <v>SAINT-AUSTREMOINE</v>
      </c>
      <c r="E21177" s="38" t="s">
        <v>332</v>
      </c>
      <c r="F21177" s="38" t="s">
        <v>161</v>
      </c>
      <c r="G21177" s="49" t="str">
        <f t="shared" si="1"/>
        <v>43380</v>
      </c>
      <c r="H21177" s="49">
        <f t="shared" si="2"/>
        <v>43169</v>
      </c>
    </row>
    <row r="21178">
      <c r="A21178" s="48" t="s">
        <v>2145</v>
      </c>
      <c r="B21178" s="38">
        <v>89173.0</v>
      </c>
      <c r="C21178" s="38" t="s">
        <v>1470</v>
      </c>
      <c r="D21178" s="38" t="str">
        <f>IFERROR(__xludf.DUMMYFUNCTION("REGEXREPLACE(C21178,""-\d+(.*)|--\d+(.*)"","""")"),"FONTAINES")</f>
        <v>FONTAINES</v>
      </c>
      <c r="E21178" s="38" t="s">
        <v>275</v>
      </c>
      <c r="F21178" s="38" t="s">
        <v>106</v>
      </c>
      <c r="G21178" s="49" t="str">
        <f t="shared" si="1"/>
        <v>89130</v>
      </c>
      <c r="H21178" s="49">
        <f t="shared" si="2"/>
        <v>89173</v>
      </c>
    </row>
    <row r="21179">
      <c r="A21179" s="48" t="s">
        <v>2243</v>
      </c>
      <c r="B21179" s="38">
        <v>17358.0</v>
      </c>
      <c r="C21179" s="38" t="s">
        <v>25696</v>
      </c>
      <c r="D21179" s="38" t="str">
        <f>IFERROR(__xludf.DUMMYFUNCTION("REGEXREPLACE(C21179,""-\d+(.*)|--\d+(.*)"","""")"),"SAINT-MANDE-SUR-BREDOIRE")</f>
        <v>SAINT-MANDE-SUR-BREDOIRE</v>
      </c>
      <c r="E21179" s="38" t="s">
        <v>488</v>
      </c>
      <c r="F21179" s="38" t="s">
        <v>338</v>
      </c>
      <c r="G21179" s="49" t="str">
        <f t="shared" si="1"/>
        <v>17470</v>
      </c>
      <c r="H21179" s="49">
        <f t="shared" si="2"/>
        <v>17358</v>
      </c>
    </row>
    <row r="21180">
      <c r="A21180" s="48" t="s">
        <v>320</v>
      </c>
      <c r="B21180" s="38">
        <v>55569.0</v>
      </c>
      <c r="C21180" s="38" t="s">
        <v>25697</v>
      </c>
      <c r="D21180" s="38" t="str">
        <f>IFERROR(__xludf.DUMMYFUNCTION("REGEXREPLACE(C21180,""-\d+(.*)|--\d+(.*)"","""")"),"VILLOTTE-DEVANT-LOUPPY")</f>
        <v>VILLOTTE-DEVANT-LOUPPY</v>
      </c>
      <c r="E21180" s="38" t="s">
        <v>322</v>
      </c>
      <c r="F21180" s="38" t="s">
        <v>195</v>
      </c>
      <c r="G21180" s="49" t="str">
        <f t="shared" si="1"/>
        <v>55250</v>
      </c>
      <c r="H21180" s="49">
        <f t="shared" si="2"/>
        <v>55569</v>
      </c>
    </row>
    <row r="21181">
      <c r="A21181" s="48" t="s">
        <v>3795</v>
      </c>
      <c r="B21181" s="38">
        <v>24528.0</v>
      </c>
      <c r="C21181" s="38" t="s">
        <v>25698</v>
      </c>
      <c r="D21181" s="38" t="str">
        <f>IFERROR(__xludf.DUMMYFUNCTION("REGEXREPLACE(C21181,""-\d+(.*)|--\d+(.*)"","""")"),"SCEAU-SAINT-ANGEL")</f>
        <v>SCEAU-SAINT-ANGEL</v>
      </c>
      <c r="E21181" s="38" t="s">
        <v>261</v>
      </c>
      <c r="F21181" s="38" t="s">
        <v>252</v>
      </c>
      <c r="G21181" s="49" t="str">
        <f t="shared" si="1"/>
        <v>24300</v>
      </c>
      <c r="H21181" s="49">
        <f t="shared" si="2"/>
        <v>24528</v>
      </c>
    </row>
    <row r="21182">
      <c r="A21182" s="48" t="s">
        <v>1872</v>
      </c>
      <c r="B21182" s="38">
        <v>80250.0</v>
      </c>
      <c r="C21182" s="38" t="s">
        <v>25699</v>
      </c>
      <c r="D21182" s="38" t="str">
        <f>IFERROR(__xludf.DUMMYFUNCTION("REGEXREPLACE(C21182,""-\d+(.*)|--\d+(.*)"","""")"),"DOMVAST")</f>
        <v>DOMVAST</v>
      </c>
      <c r="E21182" s="38" t="s">
        <v>224</v>
      </c>
      <c r="F21182" s="38" t="s">
        <v>113</v>
      </c>
      <c r="G21182" s="49" t="str">
        <f t="shared" si="1"/>
        <v>80150</v>
      </c>
      <c r="H21182" s="49">
        <f t="shared" si="2"/>
        <v>80250</v>
      </c>
    </row>
    <row r="21183">
      <c r="A21183" s="48" t="s">
        <v>1903</v>
      </c>
      <c r="B21183" s="38">
        <v>10228.0</v>
      </c>
      <c r="C21183" s="38" t="s">
        <v>25700</v>
      </c>
      <c r="D21183" s="38" t="str">
        <f>IFERROR(__xludf.DUMMYFUNCTION("REGEXREPLACE(C21183,""-\d+(.*)|--\d+(.*)"","""")"),"MATHAUX")</f>
        <v>MATHAUX</v>
      </c>
      <c r="E21183" s="38" t="s">
        <v>147</v>
      </c>
      <c r="F21183" s="38" t="s">
        <v>130</v>
      </c>
      <c r="G21183" s="49" t="str">
        <f t="shared" si="1"/>
        <v>10500</v>
      </c>
      <c r="H21183" s="49">
        <f t="shared" si="2"/>
        <v>10228</v>
      </c>
    </row>
    <row r="21184">
      <c r="A21184" s="48" t="s">
        <v>1408</v>
      </c>
      <c r="B21184" s="38">
        <v>88501.0</v>
      </c>
      <c r="C21184" s="38" t="s">
        <v>25701</v>
      </c>
      <c r="D21184" s="38" t="str">
        <f>IFERROR(__xludf.DUMMYFUNCTION("REGEXREPLACE(C21184,""-\d+(.*)|--\d+(.*)"","""")"),"LE VERMONT")</f>
        <v>LE VERMONT</v>
      </c>
      <c r="E21184" s="38" t="s">
        <v>194</v>
      </c>
      <c r="F21184" s="38" t="s">
        <v>195</v>
      </c>
      <c r="G21184" s="49" t="str">
        <f t="shared" si="1"/>
        <v>88210</v>
      </c>
      <c r="H21184" s="49">
        <f t="shared" si="2"/>
        <v>88501</v>
      </c>
    </row>
    <row r="21185">
      <c r="A21185" s="48" t="s">
        <v>5250</v>
      </c>
      <c r="B21185" s="38">
        <v>27028.0</v>
      </c>
      <c r="C21185" s="38" t="s">
        <v>25702</v>
      </c>
      <c r="D21185" s="38" t="str">
        <f>IFERROR(__xludf.DUMMYFUNCTION("REGEXREPLACE(C21185,""-\d+(.*)|--\d+(.*)"","""")"),"AUTHOU")</f>
        <v>AUTHOU</v>
      </c>
      <c r="E21185" s="38" t="s">
        <v>241</v>
      </c>
      <c r="F21185" s="38" t="s">
        <v>134</v>
      </c>
      <c r="G21185" s="49" t="str">
        <f t="shared" si="1"/>
        <v>27290</v>
      </c>
      <c r="H21185" s="49">
        <f t="shared" si="2"/>
        <v>27028</v>
      </c>
    </row>
    <row r="21186">
      <c r="A21186" s="48" t="s">
        <v>1817</v>
      </c>
      <c r="B21186" s="38">
        <v>31582.0</v>
      </c>
      <c r="C21186" s="38" t="s">
        <v>25703</v>
      </c>
      <c r="D21186" s="38" t="str">
        <f>IFERROR(__xludf.DUMMYFUNCTION("REGEXREPLACE(C21186,""-\d+(.*)|--\d+(.*)"","""")"),"VILLEFRANCHE-DE-LAURAGAIS")</f>
        <v>VILLEFRANCHE-DE-LAURAGAIS</v>
      </c>
      <c r="E21186" s="38" t="s">
        <v>93</v>
      </c>
      <c r="F21186" s="38" t="s">
        <v>94</v>
      </c>
      <c r="G21186" s="49" t="str">
        <f t="shared" si="1"/>
        <v>31290</v>
      </c>
      <c r="H21186" s="49">
        <f t="shared" si="2"/>
        <v>31582</v>
      </c>
    </row>
    <row r="21187">
      <c r="A21187" s="48" t="s">
        <v>4805</v>
      </c>
      <c r="B21187" s="38">
        <v>31031.0</v>
      </c>
      <c r="C21187" s="38" t="s">
        <v>25704</v>
      </c>
      <c r="D21187" s="38" t="str">
        <f>IFERROR(__xludf.DUMMYFUNCTION("REGEXREPLACE(C21187,""-\d+(.*)|--\d+(.*)"","""")"),"AUSSON")</f>
        <v>AUSSON</v>
      </c>
      <c r="E21187" s="38" t="s">
        <v>93</v>
      </c>
      <c r="F21187" s="38" t="s">
        <v>94</v>
      </c>
      <c r="G21187" s="49" t="str">
        <f t="shared" si="1"/>
        <v>31210</v>
      </c>
      <c r="H21187" s="49">
        <f t="shared" si="2"/>
        <v>31031</v>
      </c>
    </row>
    <row r="21188">
      <c r="A21188" s="48" t="s">
        <v>4793</v>
      </c>
      <c r="B21188" s="38">
        <v>51636.0</v>
      </c>
      <c r="C21188" s="38" t="s">
        <v>25705</v>
      </c>
      <c r="D21188" s="38" t="str">
        <f>IFERROR(__xludf.DUMMYFUNCTION("REGEXREPLACE(C21188,""-\d+(.*)|--\d+(.*)"","""")"),"VILLERS-MARMERY")</f>
        <v>VILLERS-MARMERY</v>
      </c>
      <c r="E21188" s="38" t="s">
        <v>129</v>
      </c>
      <c r="F21188" s="38" t="s">
        <v>130</v>
      </c>
      <c r="G21188" s="49" t="str">
        <f t="shared" si="1"/>
        <v>51380</v>
      </c>
      <c r="H21188" s="49">
        <f t="shared" si="2"/>
        <v>51636</v>
      </c>
    </row>
    <row r="21189">
      <c r="A21189" s="48" t="s">
        <v>2406</v>
      </c>
      <c r="B21189" s="38">
        <v>55329.0</v>
      </c>
      <c r="C21189" s="38" t="s">
        <v>25706</v>
      </c>
      <c r="D21189" s="38" t="str">
        <f>IFERROR(__xludf.DUMMYFUNCTION("REGEXREPLACE(C21189,""-\d+(.*)|--\d+(.*)"","""")"),"MECRIN")</f>
        <v>MECRIN</v>
      </c>
      <c r="E21189" s="38" t="s">
        <v>322</v>
      </c>
      <c r="F21189" s="38" t="s">
        <v>195</v>
      </c>
      <c r="G21189" s="49" t="str">
        <f t="shared" si="1"/>
        <v>55300</v>
      </c>
      <c r="H21189" s="49">
        <f t="shared" si="2"/>
        <v>55329</v>
      </c>
    </row>
    <row r="21190">
      <c r="A21190" s="48" t="s">
        <v>2368</v>
      </c>
      <c r="B21190" s="38">
        <v>65171.0</v>
      </c>
      <c r="C21190" s="38" t="s">
        <v>25707</v>
      </c>
      <c r="D21190" s="38" t="str">
        <f>IFERROR(__xludf.DUMMYFUNCTION("REGEXREPLACE(C21190,""-\d+(.*)|--\d+(.*)"","""")"),"ESTARVIELLE")</f>
        <v>ESTARVIELLE</v>
      </c>
      <c r="E21190" s="38" t="s">
        <v>200</v>
      </c>
      <c r="F21190" s="38" t="s">
        <v>94</v>
      </c>
      <c r="G21190" s="49" t="str">
        <f t="shared" si="1"/>
        <v>65240</v>
      </c>
      <c r="H21190" s="49">
        <f t="shared" si="2"/>
        <v>65171</v>
      </c>
    </row>
    <row r="21191">
      <c r="A21191" s="48" t="s">
        <v>6578</v>
      </c>
      <c r="B21191" s="38">
        <v>89160.0</v>
      </c>
      <c r="C21191" s="38" t="s">
        <v>25708</v>
      </c>
      <c r="D21191" s="38" t="str">
        <f>IFERROR(__xludf.DUMMYFUNCTION("REGEXREPLACE(C21191,""-\d+(.*)|--\d+(.*)"","""")"),"ETIGNY")</f>
        <v>ETIGNY</v>
      </c>
      <c r="E21191" s="38" t="s">
        <v>275</v>
      </c>
      <c r="F21191" s="38" t="s">
        <v>106</v>
      </c>
      <c r="G21191" s="49" t="str">
        <f t="shared" si="1"/>
        <v>89510</v>
      </c>
      <c r="H21191" s="49">
        <f t="shared" si="2"/>
        <v>89160</v>
      </c>
    </row>
    <row r="21192">
      <c r="A21192" s="48" t="s">
        <v>5322</v>
      </c>
      <c r="B21192" s="38">
        <v>32467.0</v>
      </c>
      <c r="C21192" s="38" t="s">
        <v>16186</v>
      </c>
      <c r="D21192" s="38" t="str">
        <f>IFERROR(__xludf.DUMMYFUNCTION("REGEXREPLACE(C21192,""-\d+(.*)|--\d+(.*)"","""")"),"SAINT-CAPRAIS")</f>
        <v>SAINT-CAPRAIS</v>
      </c>
      <c r="E21192" s="38" t="s">
        <v>440</v>
      </c>
      <c r="F21192" s="38" t="s">
        <v>94</v>
      </c>
      <c r="G21192" s="49" t="str">
        <f t="shared" si="1"/>
        <v>32200</v>
      </c>
      <c r="H21192" s="49">
        <f t="shared" si="2"/>
        <v>32467</v>
      </c>
    </row>
    <row r="21193">
      <c r="A21193" s="48" t="s">
        <v>11810</v>
      </c>
      <c r="B21193" s="38">
        <v>50230.0</v>
      </c>
      <c r="C21193" s="38" t="s">
        <v>25709</v>
      </c>
      <c r="D21193" s="38" t="str">
        <f>IFERROR(__xludf.DUMMYFUNCTION("REGEXREPLACE(C21193,""-\d+(.*)|--\d+(.*)"","""")"),"HARDINVAST")</f>
        <v>HARDINVAST</v>
      </c>
      <c r="E21193" s="38" t="s">
        <v>157</v>
      </c>
      <c r="F21193" s="38" t="s">
        <v>138</v>
      </c>
      <c r="G21193" s="49" t="str">
        <f t="shared" si="1"/>
        <v>50690</v>
      </c>
      <c r="H21193" s="49">
        <f t="shared" si="2"/>
        <v>50230</v>
      </c>
    </row>
    <row r="21194">
      <c r="A21194" s="48" t="s">
        <v>715</v>
      </c>
      <c r="B21194" s="38">
        <v>88347.0</v>
      </c>
      <c r="C21194" s="38" t="s">
        <v>3976</v>
      </c>
      <c r="D21194" s="38" t="str">
        <f>IFERROR(__xludf.DUMMYFUNCTION("REGEXREPLACE(C21194,""-\d+(.*)|--\d+(.*)"","""")"),"PIERREFITTE")</f>
        <v>PIERREFITTE</v>
      </c>
      <c r="E21194" s="38" t="s">
        <v>194</v>
      </c>
      <c r="F21194" s="38" t="s">
        <v>195</v>
      </c>
      <c r="G21194" s="49" t="str">
        <f t="shared" si="1"/>
        <v>88270</v>
      </c>
      <c r="H21194" s="49">
        <f t="shared" si="2"/>
        <v>88347</v>
      </c>
    </row>
    <row r="21195">
      <c r="A21195" s="48" t="s">
        <v>2748</v>
      </c>
      <c r="B21195" s="38">
        <v>32303.0</v>
      </c>
      <c r="C21195" s="38" t="s">
        <v>25710</v>
      </c>
      <c r="D21195" s="38" t="str">
        <f>IFERROR(__xludf.DUMMYFUNCTION("REGEXREPLACE(C21195,""-\d+(.*)|--\d+(.*)"","""")"),"PALLANNE")</f>
        <v>PALLANNE</v>
      </c>
      <c r="E21195" s="38" t="s">
        <v>440</v>
      </c>
      <c r="F21195" s="38" t="s">
        <v>94</v>
      </c>
      <c r="G21195" s="49" t="str">
        <f t="shared" si="1"/>
        <v>32230</v>
      </c>
      <c r="H21195" s="49">
        <f t="shared" si="2"/>
        <v>32303</v>
      </c>
    </row>
    <row r="21196">
      <c r="A21196" s="48" t="s">
        <v>5091</v>
      </c>
      <c r="B21196" s="38">
        <v>41045.0</v>
      </c>
      <c r="C21196" s="38" t="s">
        <v>25711</v>
      </c>
      <c r="D21196" s="38" t="str">
        <f>IFERROR(__xludf.DUMMYFUNCTION("REGEXREPLACE(C21196,""-\d+(.*)|--\d+(.*)"","""")"),"CHAUMONT-SUR-LOIRE")</f>
        <v>CHAUMONT-SUR-LOIRE</v>
      </c>
      <c r="E21196" s="38" t="s">
        <v>188</v>
      </c>
      <c r="F21196" s="38" t="s">
        <v>123</v>
      </c>
      <c r="G21196" s="49" t="str">
        <f t="shared" si="1"/>
        <v>41150</v>
      </c>
      <c r="H21196" s="49">
        <f t="shared" si="2"/>
        <v>41045</v>
      </c>
    </row>
    <row r="21197">
      <c r="A21197" s="48" t="s">
        <v>2083</v>
      </c>
      <c r="B21197" s="38">
        <v>17069.0</v>
      </c>
      <c r="C21197" s="38" t="s">
        <v>25712</v>
      </c>
      <c r="D21197" s="38" t="str">
        <f>IFERROR(__xludf.DUMMYFUNCTION("REGEXREPLACE(C21197,""-\d+(.*)|--\d+(.*)"","""")"),"BRIVES-SUR-CHARENTE")</f>
        <v>BRIVES-SUR-CHARENTE</v>
      </c>
      <c r="E21197" s="38" t="s">
        <v>488</v>
      </c>
      <c r="F21197" s="38" t="s">
        <v>338</v>
      </c>
      <c r="G21197" s="49" t="str">
        <f t="shared" si="1"/>
        <v>17800</v>
      </c>
      <c r="H21197" s="49">
        <f t="shared" si="2"/>
        <v>17069</v>
      </c>
    </row>
    <row r="21198">
      <c r="A21198" s="48" t="s">
        <v>1644</v>
      </c>
      <c r="B21198" s="38">
        <v>21378.0</v>
      </c>
      <c r="C21198" s="38" t="s">
        <v>25713</v>
      </c>
      <c r="D21198" s="38" t="str">
        <f>IFERROR(__xludf.DUMMYFUNCTION("REGEXREPLACE(C21198,""-\d+(.*)|--\d+(.*)"","""")"),"MARCENAY")</f>
        <v>MARCENAY</v>
      </c>
      <c r="E21198" s="38" t="s">
        <v>105</v>
      </c>
      <c r="F21198" s="38" t="s">
        <v>106</v>
      </c>
      <c r="G21198" s="49" t="str">
        <f t="shared" si="1"/>
        <v>21330</v>
      </c>
      <c r="H21198" s="49">
        <f t="shared" si="2"/>
        <v>21378</v>
      </c>
    </row>
    <row r="21199">
      <c r="A21199" s="48" t="s">
        <v>2688</v>
      </c>
      <c r="B21199" s="38">
        <v>36196.0</v>
      </c>
      <c r="C21199" s="38" t="s">
        <v>2153</v>
      </c>
      <c r="D21199" s="38" t="str">
        <f>IFERROR(__xludf.DUMMYFUNCTION("REGEXREPLACE(C21199,""-\d+(.*)|--\d+(.*)"","""")"),"SAINT-GILLES")</f>
        <v>SAINT-GILLES</v>
      </c>
      <c r="E21199" s="38" t="s">
        <v>258</v>
      </c>
      <c r="F21199" s="38" t="s">
        <v>123</v>
      </c>
      <c r="G21199" s="49" t="str">
        <f t="shared" si="1"/>
        <v>36170</v>
      </c>
      <c r="H21199" s="49">
        <f t="shared" si="2"/>
        <v>36196</v>
      </c>
    </row>
    <row r="21200">
      <c r="A21200" s="48" t="s">
        <v>7784</v>
      </c>
      <c r="B21200" s="38">
        <v>30307.0</v>
      </c>
      <c r="C21200" s="38" t="s">
        <v>25714</v>
      </c>
      <c r="D21200" s="38" t="str">
        <f>IFERROR(__xludf.DUMMYFUNCTION("REGEXREPLACE(C21200,""-\d+(.*)|--\d+(.*)"","""")"),"LES SALLES-DU-GARDON")</f>
        <v>LES SALLES-DU-GARDON</v>
      </c>
      <c r="E21200" s="38" t="s">
        <v>526</v>
      </c>
      <c r="F21200" s="38" t="s">
        <v>119</v>
      </c>
      <c r="G21200" s="49" t="str">
        <f t="shared" si="1"/>
        <v>30110</v>
      </c>
      <c r="H21200" s="49">
        <f t="shared" si="2"/>
        <v>30307</v>
      </c>
    </row>
    <row r="21201">
      <c r="A21201" s="48" t="s">
        <v>15028</v>
      </c>
      <c r="B21201" s="38">
        <v>79252.0</v>
      </c>
      <c r="C21201" s="38" t="s">
        <v>25715</v>
      </c>
      <c r="D21201" s="38" t="str">
        <f>IFERROR(__xludf.DUMMYFUNCTION("REGEXREPLACE(C21201,""-\d+(.*)|--\d+(.*)"","""")"),"SAINT-GENEROUX")</f>
        <v>SAINT-GENEROUX</v>
      </c>
      <c r="E21201" s="38" t="s">
        <v>337</v>
      </c>
      <c r="F21201" s="38" t="s">
        <v>338</v>
      </c>
      <c r="G21201" s="49" t="str">
        <f t="shared" si="1"/>
        <v>79600</v>
      </c>
      <c r="H21201" s="49">
        <f t="shared" si="2"/>
        <v>79252</v>
      </c>
    </row>
    <row r="21202">
      <c r="A21202" s="48" t="s">
        <v>1332</v>
      </c>
      <c r="B21202" s="38">
        <v>51507.0</v>
      </c>
      <c r="C21202" s="38" t="s">
        <v>25716</v>
      </c>
      <c r="D21202" s="38" t="str">
        <f>IFERROR(__xludf.DUMMYFUNCTION("REGEXREPLACE(C21202,""-\d+(.*)|--\d+(.*)"","""")"),"SAINTE-MENEHOULD")</f>
        <v>SAINTE-MENEHOULD</v>
      </c>
      <c r="E21202" s="38" t="s">
        <v>129</v>
      </c>
      <c r="F21202" s="38" t="s">
        <v>130</v>
      </c>
      <c r="G21202" s="49" t="str">
        <f t="shared" si="1"/>
        <v>51800</v>
      </c>
      <c r="H21202" s="49">
        <f t="shared" si="2"/>
        <v>51507</v>
      </c>
    </row>
    <row r="21203">
      <c r="A21203" s="48" t="s">
        <v>3753</v>
      </c>
      <c r="B21203" s="38">
        <v>18087.0</v>
      </c>
      <c r="C21203" s="38" t="s">
        <v>25717</v>
      </c>
      <c r="D21203" s="38" t="str">
        <f>IFERROR(__xludf.DUMMYFUNCTION("REGEXREPLACE(C21203,""-\d+(.*)|--\d+(.*)"","""")"),"DUN-SUR-AURON")</f>
        <v>DUN-SUR-AURON</v>
      </c>
      <c r="E21203" s="38" t="s">
        <v>504</v>
      </c>
      <c r="F21203" s="38" t="s">
        <v>123</v>
      </c>
      <c r="G21203" s="49" t="str">
        <f t="shared" si="1"/>
        <v>18130</v>
      </c>
      <c r="H21203" s="49">
        <f t="shared" si="2"/>
        <v>18087</v>
      </c>
    </row>
    <row r="21204">
      <c r="A21204" s="48" t="s">
        <v>9556</v>
      </c>
      <c r="B21204" s="38">
        <v>60108.0</v>
      </c>
      <c r="C21204" s="38" t="s">
        <v>25718</v>
      </c>
      <c r="D21204" s="38" t="str">
        <f>IFERROR(__xludf.DUMMYFUNCTION("REGEXREPLACE(C21204,""-\d+(.*)|--\d+(.*)"","""")"),"BRIOT")</f>
        <v>BRIOT</v>
      </c>
      <c r="E21204" s="38" t="s">
        <v>112</v>
      </c>
      <c r="F21204" s="38" t="s">
        <v>113</v>
      </c>
      <c r="G21204" s="49" t="str">
        <f t="shared" si="1"/>
        <v>60210</v>
      </c>
      <c r="H21204" s="49">
        <f t="shared" si="2"/>
        <v>60108</v>
      </c>
    </row>
    <row r="21205">
      <c r="A21205" s="48" t="s">
        <v>25719</v>
      </c>
      <c r="B21205" s="38">
        <v>62119.0</v>
      </c>
      <c r="C21205" s="38" t="s">
        <v>25720</v>
      </c>
      <c r="D21205" s="38" t="str">
        <f>IFERROR(__xludf.DUMMYFUNCTION("REGEXREPLACE(C21205,""-\d+(.*)|--\d+(.*)"","""")"),"BETHUNE")</f>
        <v>BETHUNE</v>
      </c>
      <c r="E21205" s="38" t="s">
        <v>109</v>
      </c>
      <c r="F21205" s="38" t="s">
        <v>86</v>
      </c>
      <c r="G21205" s="49" t="str">
        <f t="shared" si="1"/>
        <v>62400</v>
      </c>
      <c r="H21205" s="49">
        <f t="shared" si="2"/>
        <v>62119</v>
      </c>
    </row>
    <row r="21206">
      <c r="A21206" s="48" t="s">
        <v>3264</v>
      </c>
      <c r="B21206" s="38">
        <v>69018.0</v>
      </c>
      <c r="C21206" s="38" t="s">
        <v>25721</v>
      </c>
      <c r="D21206" s="38" t="str">
        <f>IFERROR(__xludf.DUMMYFUNCTION("REGEXREPLACE(C21206,""-\d+(.*)|--\d+(.*)"","""")"),"BEAUJEU")</f>
        <v>BEAUJEU</v>
      </c>
      <c r="E21206" s="38" t="s">
        <v>350</v>
      </c>
      <c r="F21206" s="38" t="s">
        <v>102</v>
      </c>
      <c r="G21206" s="49" t="str">
        <f t="shared" si="1"/>
        <v>69430</v>
      </c>
      <c r="H21206" s="49">
        <f t="shared" si="2"/>
        <v>69018</v>
      </c>
    </row>
    <row r="21207">
      <c r="A21207" s="48" t="s">
        <v>25722</v>
      </c>
      <c r="B21207" s="38">
        <v>40312.0</v>
      </c>
      <c r="C21207" s="38" t="s">
        <v>25723</v>
      </c>
      <c r="D21207" s="38" t="str">
        <f>IFERROR(__xludf.DUMMYFUNCTION("REGEXREPLACE(C21207,""-\d+(.*)|--\d+(.*)"","""")"),"TARNOS")</f>
        <v>TARNOS</v>
      </c>
      <c r="E21207" s="38" t="s">
        <v>281</v>
      </c>
      <c r="F21207" s="38" t="s">
        <v>252</v>
      </c>
      <c r="G21207" s="49" t="str">
        <f t="shared" si="1"/>
        <v>40220</v>
      </c>
      <c r="H21207" s="49">
        <f t="shared" si="2"/>
        <v>40312</v>
      </c>
    </row>
    <row r="21208">
      <c r="A21208" s="48" t="s">
        <v>25724</v>
      </c>
      <c r="B21208" s="38">
        <v>17064.0</v>
      </c>
      <c r="C21208" s="38" t="s">
        <v>20161</v>
      </c>
      <c r="D21208" s="38" t="str">
        <f>IFERROR(__xludf.DUMMYFUNCTION("REGEXREPLACE(C21208,""-\d+(.*)|--\d+(.*)"","""")"),"BREUILLET")</f>
        <v>BREUILLET</v>
      </c>
      <c r="E21208" s="38" t="s">
        <v>488</v>
      </c>
      <c r="F21208" s="38" t="s">
        <v>338</v>
      </c>
      <c r="G21208" s="49" t="str">
        <f t="shared" si="1"/>
        <v>17920</v>
      </c>
      <c r="H21208" s="49">
        <f t="shared" si="2"/>
        <v>17064</v>
      </c>
    </row>
    <row r="21209">
      <c r="A21209" s="48" t="s">
        <v>11152</v>
      </c>
      <c r="B21209" s="38">
        <v>61374.0</v>
      </c>
      <c r="C21209" s="38" t="s">
        <v>25725</v>
      </c>
      <c r="D21209" s="38" t="str">
        <f>IFERROR(__xludf.DUMMYFUNCTION("REGEXREPLACE(C21209,""-\d+(.*)|--\d+(.*)"","""")"),"SAINT-CHRISTOPHE-DE-CHAULIEU")</f>
        <v>SAINT-CHRISTOPHE-DE-CHAULIEU</v>
      </c>
      <c r="E21209" s="38" t="s">
        <v>141</v>
      </c>
      <c r="F21209" s="38" t="s">
        <v>138</v>
      </c>
      <c r="G21209" s="49" t="str">
        <f t="shared" si="1"/>
        <v>61800</v>
      </c>
      <c r="H21209" s="49">
        <f t="shared" si="2"/>
        <v>61374</v>
      </c>
    </row>
    <row r="21210">
      <c r="A21210" s="48" t="s">
        <v>5631</v>
      </c>
      <c r="B21210" s="38">
        <v>76197.0</v>
      </c>
      <c r="C21210" s="38" t="s">
        <v>25726</v>
      </c>
      <c r="D21210" s="38" t="str">
        <f>IFERROR(__xludf.DUMMYFUNCTION("REGEXREPLACE(C21210,""-\d+(.*)|--\d+(.*)"","""")"),"CRIQUETOT-SUR-LONGUEVILLE")</f>
        <v>CRIQUETOT-SUR-LONGUEVILLE</v>
      </c>
      <c r="E21210" s="38" t="s">
        <v>133</v>
      </c>
      <c r="F21210" s="38" t="s">
        <v>134</v>
      </c>
      <c r="G21210" s="49" t="str">
        <f t="shared" si="1"/>
        <v>76590</v>
      </c>
      <c r="H21210" s="49">
        <f t="shared" si="2"/>
        <v>76197</v>
      </c>
    </row>
    <row r="21211">
      <c r="A21211" s="48" t="s">
        <v>12997</v>
      </c>
      <c r="B21211" s="38">
        <v>65477.0</v>
      </c>
      <c r="C21211" s="38" t="s">
        <v>25727</v>
      </c>
      <c r="D21211" s="38" t="str">
        <f>IFERROR(__xludf.DUMMYFUNCTION("REGEXREPLACE(C21211,""-\d+(.*)|--\d+(.*)"","""")"),"VILLENAVE-PRES-MARSAC")</f>
        <v>VILLENAVE-PRES-MARSAC</v>
      </c>
      <c r="E21211" s="38" t="s">
        <v>200</v>
      </c>
      <c r="F21211" s="38" t="s">
        <v>94</v>
      </c>
      <c r="G21211" s="49" t="str">
        <f t="shared" si="1"/>
        <v>65500</v>
      </c>
      <c r="H21211" s="49">
        <f t="shared" si="2"/>
        <v>65477</v>
      </c>
    </row>
    <row r="21212">
      <c r="A21212" s="48" t="s">
        <v>3662</v>
      </c>
      <c r="B21212" s="38">
        <v>80587.0</v>
      </c>
      <c r="C21212" s="38" t="s">
        <v>25728</v>
      </c>
      <c r="D21212" s="38" t="str">
        <f>IFERROR(__xludf.DUMMYFUNCTION("REGEXREPLACE(C21212,""-\d+(.*)|--\d+(.*)"","""")"),"NESLETTE")</f>
        <v>NESLETTE</v>
      </c>
      <c r="E21212" s="38" t="s">
        <v>224</v>
      </c>
      <c r="F21212" s="38" t="s">
        <v>113</v>
      </c>
      <c r="G21212" s="49" t="str">
        <f t="shared" si="1"/>
        <v>80140</v>
      </c>
      <c r="H21212" s="49">
        <f t="shared" si="2"/>
        <v>80587</v>
      </c>
    </row>
    <row r="21213">
      <c r="A21213" s="48" t="s">
        <v>11123</v>
      </c>
      <c r="B21213" s="38">
        <v>38197.0</v>
      </c>
      <c r="C21213" s="38" t="s">
        <v>25729</v>
      </c>
      <c r="D21213" s="38" t="str">
        <f>IFERROR(__xludf.DUMMYFUNCTION("REGEXREPLACE(C21213,""-\d+(.*)|--\d+(.*)"","""")"),"JANNEYRIAS")</f>
        <v>JANNEYRIAS</v>
      </c>
      <c r="E21213" s="38" t="s">
        <v>101</v>
      </c>
      <c r="F21213" s="38" t="s">
        <v>102</v>
      </c>
      <c r="G21213" s="49" t="str">
        <f t="shared" si="1"/>
        <v>38280</v>
      </c>
      <c r="H21213" s="49">
        <f t="shared" si="2"/>
        <v>38197</v>
      </c>
    </row>
    <row r="21214">
      <c r="A21214" s="48" t="s">
        <v>2312</v>
      </c>
      <c r="B21214" s="38">
        <v>67185.0</v>
      </c>
      <c r="C21214" s="38" t="s">
        <v>25730</v>
      </c>
      <c r="D21214" s="38" t="str">
        <f>IFERROR(__xludf.DUMMYFUNCTION("REGEXREPLACE(C21214,""-\d+(.*)|--\d+(.*)"","""")"),"HATTMATT")</f>
        <v>HATTMATT</v>
      </c>
      <c r="E21214" s="38" t="s">
        <v>210</v>
      </c>
      <c r="F21214" s="38" t="s">
        <v>151</v>
      </c>
      <c r="G21214" s="49" t="str">
        <f t="shared" si="1"/>
        <v>67330</v>
      </c>
      <c r="H21214" s="49">
        <f t="shared" si="2"/>
        <v>67185</v>
      </c>
    </row>
    <row r="21215">
      <c r="A21215" s="48" t="s">
        <v>1473</v>
      </c>
      <c r="B21215" s="38">
        <v>50185.0</v>
      </c>
      <c r="C21215" s="38" t="s">
        <v>1076</v>
      </c>
      <c r="D21215" s="38" t="str">
        <f>IFERROR(__xludf.DUMMYFUNCTION("REGEXREPLACE(C21215,""-\d+(.*)|--\d+(.*)"","""")"),"FLEURY")</f>
        <v>FLEURY</v>
      </c>
      <c r="E21215" s="38" t="s">
        <v>157</v>
      </c>
      <c r="F21215" s="38" t="s">
        <v>138</v>
      </c>
      <c r="G21215" s="49" t="str">
        <f t="shared" si="1"/>
        <v>50800</v>
      </c>
      <c r="H21215" s="49">
        <f t="shared" si="2"/>
        <v>50185</v>
      </c>
    </row>
    <row r="21216">
      <c r="A21216" s="48" t="s">
        <v>3583</v>
      </c>
      <c r="B21216" s="38">
        <v>7276.0</v>
      </c>
      <c r="C21216" s="38" t="s">
        <v>25731</v>
      </c>
      <c r="D21216" s="38" t="str">
        <f>IFERROR(__xludf.DUMMYFUNCTION("REGEXREPLACE(C21216,""-\d+(.*)|--\d+(.*)"","""")"),"SAINT-MICHEL-D'AURANCE")</f>
        <v>SAINT-MICHEL-D'AURANCE</v>
      </c>
      <c r="E21216" s="38" t="s">
        <v>144</v>
      </c>
      <c r="F21216" s="38" t="s">
        <v>102</v>
      </c>
      <c r="G21216" s="49" t="str">
        <f t="shared" si="1"/>
        <v>07160</v>
      </c>
      <c r="H21216" s="49" t="str">
        <f t="shared" si="2"/>
        <v>07276</v>
      </c>
    </row>
    <row r="21217">
      <c r="A21217" s="48" t="s">
        <v>7676</v>
      </c>
      <c r="B21217" s="38">
        <v>63288.0</v>
      </c>
      <c r="C21217" s="38" t="s">
        <v>25732</v>
      </c>
      <c r="D21217" s="38" t="str">
        <f>IFERROR(__xludf.DUMMYFUNCTION("REGEXREPLACE(C21217,""-\d+(.*)|--\d+(.*)"","""")"),"PROMPSAT")</f>
        <v>PROMPSAT</v>
      </c>
      <c r="E21217" s="38" t="s">
        <v>353</v>
      </c>
      <c r="F21217" s="38" t="s">
        <v>161</v>
      </c>
      <c r="G21217" s="49" t="str">
        <f t="shared" si="1"/>
        <v>63200</v>
      </c>
      <c r="H21217" s="49">
        <f t="shared" si="2"/>
        <v>63288</v>
      </c>
    </row>
    <row r="21218">
      <c r="A21218" s="48" t="s">
        <v>2766</v>
      </c>
      <c r="B21218" s="38">
        <v>2791.0</v>
      </c>
      <c r="C21218" s="38" t="s">
        <v>25733</v>
      </c>
      <c r="D21218" s="38" t="str">
        <f>IFERROR(__xludf.DUMMYFUNCTION("REGEXREPLACE(C21218,""-\d+(.*)|--\d+(.*)"","""")"),"VESLUD")</f>
        <v>VESLUD</v>
      </c>
      <c r="E21218" s="38" t="s">
        <v>191</v>
      </c>
      <c r="F21218" s="38" t="s">
        <v>113</v>
      </c>
      <c r="G21218" s="49" t="str">
        <f t="shared" si="1"/>
        <v>02840</v>
      </c>
      <c r="H21218" s="49" t="str">
        <f t="shared" si="2"/>
        <v>02791</v>
      </c>
    </row>
    <row r="21219">
      <c r="A21219" s="48" t="s">
        <v>5806</v>
      </c>
      <c r="B21219" s="38">
        <v>39095.0</v>
      </c>
      <c r="C21219" s="38" t="s">
        <v>25734</v>
      </c>
      <c r="D21219" s="38" t="str">
        <f>IFERROR(__xludf.DUMMYFUNCTION("REGEXREPLACE(C21219,""-\d+(.*)|--\d+(.*)"","""")"),"CHAMPAGNE-SUR-LOUE")</f>
        <v>CHAMPAGNE-SUR-LOUE</v>
      </c>
      <c r="E21219" s="38" t="s">
        <v>400</v>
      </c>
      <c r="F21219" s="38" t="s">
        <v>214</v>
      </c>
      <c r="G21219" s="49" t="str">
        <f t="shared" si="1"/>
        <v>39600</v>
      </c>
      <c r="H21219" s="49">
        <f t="shared" si="2"/>
        <v>39095</v>
      </c>
    </row>
    <row r="21220">
      <c r="A21220" s="48" t="s">
        <v>25735</v>
      </c>
      <c r="B21220" s="38">
        <v>82089.0</v>
      </c>
      <c r="C21220" s="38" t="s">
        <v>25736</v>
      </c>
      <c r="D21220" s="38" t="str">
        <f>IFERROR(__xludf.DUMMYFUNCTION("REGEXREPLACE(C21220,""-\d+(.*)|--\d+(.*)"","""")"),"LAMAGISTERE")</f>
        <v>LAMAGISTERE</v>
      </c>
      <c r="E21220" s="38" t="s">
        <v>570</v>
      </c>
      <c r="F21220" s="38" t="s">
        <v>94</v>
      </c>
      <c r="G21220" s="49" t="str">
        <f t="shared" si="1"/>
        <v>82360</v>
      </c>
      <c r="H21220" s="49">
        <f t="shared" si="2"/>
        <v>82089</v>
      </c>
    </row>
    <row r="21221">
      <c r="A21221" s="48" t="s">
        <v>2697</v>
      </c>
      <c r="B21221" s="38">
        <v>61055.0</v>
      </c>
      <c r="C21221" s="38" t="s">
        <v>11828</v>
      </c>
      <c r="D21221" s="38" t="str">
        <f>IFERROR(__xludf.DUMMYFUNCTION("REGEXREPLACE(C21221,""-\d+(.*)|--\d+(.*)"","""")"),"BOUCE")</f>
        <v>BOUCE</v>
      </c>
      <c r="E21221" s="38" t="s">
        <v>141</v>
      </c>
      <c r="F21221" s="38" t="s">
        <v>138</v>
      </c>
      <c r="G21221" s="49" t="str">
        <f t="shared" si="1"/>
        <v>61570</v>
      </c>
      <c r="H21221" s="49">
        <f t="shared" si="2"/>
        <v>61055</v>
      </c>
    </row>
    <row r="21222">
      <c r="A21222" s="48" t="s">
        <v>25737</v>
      </c>
      <c r="B21222" s="38">
        <v>17058.0</v>
      </c>
      <c r="C21222" s="38" t="s">
        <v>25738</v>
      </c>
      <c r="D21222" s="38" t="str">
        <f>IFERROR(__xludf.DUMMYFUNCTION("REGEXREPLACE(C21222,""-\d+(.*)|--\d+(.*)"","""")"),"BOURCEFRANC-LE-CHAPUS")</f>
        <v>BOURCEFRANC-LE-CHAPUS</v>
      </c>
      <c r="E21222" s="38" t="s">
        <v>488</v>
      </c>
      <c r="F21222" s="38" t="s">
        <v>338</v>
      </c>
      <c r="G21222" s="49" t="str">
        <f t="shared" si="1"/>
        <v>17560</v>
      </c>
      <c r="H21222" s="49">
        <f t="shared" si="2"/>
        <v>17058</v>
      </c>
    </row>
    <row r="21223">
      <c r="A21223" s="48" t="s">
        <v>726</v>
      </c>
      <c r="B21223" s="38">
        <v>54538.0</v>
      </c>
      <c r="C21223" s="38" t="s">
        <v>25739</v>
      </c>
      <c r="D21223" s="38" t="str">
        <f>IFERROR(__xludf.DUMMYFUNCTION("REGEXREPLACE(C21223,""-\d+(.*)|--\d+(.*)"","""")"),"URUFFE")</f>
        <v>URUFFE</v>
      </c>
      <c r="E21223" s="38" t="s">
        <v>548</v>
      </c>
      <c r="F21223" s="38" t="s">
        <v>195</v>
      </c>
      <c r="G21223" s="49" t="str">
        <f t="shared" si="1"/>
        <v>54112</v>
      </c>
      <c r="H21223" s="49">
        <f t="shared" si="2"/>
        <v>54538</v>
      </c>
    </row>
    <row r="21224">
      <c r="A21224" s="48" t="s">
        <v>794</v>
      </c>
      <c r="B21224" s="38">
        <v>60075.0</v>
      </c>
      <c r="C21224" s="38" t="s">
        <v>25740</v>
      </c>
      <c r="D21224" s="38" t="str">
        <f>IFERROR(__xludf.DUMMYFUNCTION("REGEXREPLACE(C21224,""-\d+(.*)|--\d+(.*)"","""")"),"BLANCFOSSE")</f>
        <v>BLANCFOSSE</v>
      </c>
      <c r="E21224" s="38" t="s">
        <v>112</v>
      </c>
      <c r="F21224" s="38" t="s">
        <v>113</v>
      </c>
      <c r="G21224" s="49" t="str">
        <f t="shared" si="1"/>
        <v>60120</v>
      </c>
      <c r="H21224" s="49">
        <f t="shared" si="2"/>
        <v>60075</v>
      </c>
    </row>
    <row r="21225">
      <c r="A21225" s="48" t="s">
        <v>2521</v>
      </c>
      <c r="B21225" s="38">
        <v>28361.0</v>
      </c>
      <c r="C21225" s="38" t="s">
        <v>25741</v>
      </c>
      <c r="D21225" s="38" t="str">
        <f>IFERROR(__xludf.DUMMYFUNCTION("REGEXREPLACE(C21225,""-\d+(.*)|--\d+(.*)"","""")"),"BLEURY-SAINT-SYMPHORIEN")</f>
        <v>BLEURY-SAINT-SYMPHORIEN</v>
      </c>
      <c r="E21225" s="38" t="s">
        <v>300</v>
      </c>
      <c r="F21225" s="38" t="s">
        <v>123</v>
      </c>
      <c r="G21225" s="49" t="str">
        <f t="shared" si="1"/>
        <v>28700</v>
      </c>
      <c r="H21225" s="49">
        <f t="shared" si="2"/>
        <v>28361</v>
      </c>
    </row>
    <row r="21226">
      <c r="A21226" s="48" t="s">
        <v>315</v>
      </c>
      <c r="B21226" s="38">
        <v>27332.0</v>
      </c>
      <c r="C21226" s="38" t="s">
        <v>25742</v>
      </c>
      <c r="D21226" s="38" t="str">
        <f>IFERROR(__xludf.DUMMYFUNCTION("REGEXREPLACE(C21226,""-\d+(.*)|--\d+(.*)"","""")"),"HEUDEBOUVILLE")</f>
        <v>HEUDEBOUVILLE</v>
      </c>
      <c r="E21226" s="38" t="s">
        <v>241</v>
      </c>
      <c r="F21226" s="38" t="s">
        <v>134</v>
      </c>
      <c r="G21226" s="49" t="str">
        <f t="shared" si="1"/>
        <v>27400</v>
      </c>
      <c r="H21226" s="49">
        <f t="shared" si="2"/>
        <v>27332</v>
      </c>
    </row>
    <row r="21227">
      <c r="A21227" s="48" t="s">
        <v>7852</v>
      </c>
      <c r="B21227" s="38">
        <v>38063.0</v>
      </c>
      <c r="C21227" s="38" t="s">
        <v>25743</v>
      </c>
      <c r="D21227" s="38" t="str">
        <f>IFERROR(__xludf.DUMMYFUNCTION("REGEXREPLACE(C21227,""-\d+(.*)|--\d+(.*)"","""")"),"BURCIN")</f>
        <v>BURCIN</v>
      </c>
      <c r="E21227" s="38" t="s">
        <v>101</v>
      </c>
      <c r="F21227" s="38" t="s">
        <v>102</v>
      </c>
      <c r="G21227" s="49" t="str">
        <f t="shared" si="1"/>
        <v>38690</v>
      </c>
      <c r="H21227" s="49">
        <f t="shared" si="2"/>
        <v>38063</v>
      </c>
    </row>
    <row r="21228">
      <c r="A21228" s="48" t="s">
        <v>1570</v>
      </c>
      <c r="B21228" s="38">
        <v>16063.0</v>
      </c>
      <c r="C21228" s="38" t="s">
        <v>25744</v>
      </c>
      <c r="D21228" s="38" t="str">
        <f>IFERROR(__xludf.DUMMYFUNCTION("REGEXREPLACE(C21228,""-\d+(.*)|--\d+(.*)"","""")"),"BRIE-SOUS-CHALAIS")</f>
        <v>BRIE-SOUS-CHALAIS</v>
      </c>
      <c r="E21228" s="38" t="s">
        <v>429</v>
      </c>
      <c r="F21228" s="38" t="s">
        <v>338</v>
      </c>
      <c r="G21228" s="49" t="str">
        <f t="shared" si="1"/>
        <v>16210</v>
      </c>
      <c r="H21228" s="49">
        <f t="shared" si="2"/>
        <v>16063</v>
      </c>
    </row>
    <row r="21229">
      <c r="A21229" s="48" t="s">
        <v>8669</v>
      </c>
      <c r="B21229" s="38">
        <v>50283.0</v>
      </c>
      <c r="C21229" s="38" t="s">
        <v>25745</v>
      </c>
      <c r="D21229" s="38" t="str">
        <f>IFERROR(__xludf.DUMMYFUNCTION("REGEXREPLACE(C21229,""-\d+(.*)|--\d+(.*)"","""")"),"LA LUZERNE")</f>
        <v>LA LUZERNE</v>
      </c>
      <c r="E21229" s="38" t="s">
        <v>157</v>
      </c>
      <c r="F21229" s="38" t="s">
        <v>138</v>
      </c>
      <c r="G21229" s="49" t="str">
        <f t="shared" si="1"/>
        <v>50680</v>
      </c>
      <c r="H21229" s="49">
        <f t="shared" si="2"/>
        <v>50283</v>
      </c>
    </row>
    <row r="21230">
      <c r="A21230" s="48" t="s">
        <v>7107</v>
      </c>
      <c r="B21230" s="38">
        <v>10005.0</v>
      </c>
      <c r="C21230" s="38" t="s">
        <v>25746</v>
      </c>
      <c r="D21230" s="38" t="str">
        <f>IFERROR(__xludf.DUMMYFUNCTION("REGEXREPLACE(C21230,""-\d+(.*)|--\d+(.*)"","""")"),"AMANCE")</f>
        <v>AMANCE</v>
      </c>
      <c r="E21230" s="38" t="s">
        <v>147</v>
      </c>
      <c r="F21230" s="38" t="s">
        <v>130</v>
      </c>
      <c r="G21230" s="49" t="str">
        <f t="shared" si="1"/>
        <v>10140</v>
      </c>
      <c r="H21230" s="49">
        <f t="shared" si="2"/>
        <v>10005</v>
      </c>
    </row>
    <row r="21231">
      <c r="A21231" s="48" t="s">
        <v>20059</v>
      </c>
      <c r="B21231" s="38">
        <v>81307.0</v>
      </c>
      <c r="C21231" s="38" t="s">
        <v>25747</v>
      </c>
      <c r="D21231" s="38" t="str">
        <f>IFERROR(__xludf.DUMMYFUNCTION("REGEXREPLACE(C21231,""-\d+(.*)|--\d+(.*)"","""")"),"VALDURENQUE")</f>
        <v>VALDURENQUE</v>
      </c>
      <c r="E21231" s="38" t="s">
        <v>231</v>
      </c>
      <c r="F21231" s="38" t="s">
        <v>94</v>
      </c>
      <c r="G21231" s="49" t="str">
        <f t="shared" si="1"/>
        <v>81090</v>
      </c>
      <c r="H21231" s="49">
        <f t="shared" si="2"/>
        <v>81307</v>
      </c>
    </row>
    <row r="21232">
      <c r="A21232" s="48" t="s">
        <v>20186</v>
      </c>
      <c r="B21232" s="38">
        <v>23203.0</v>
      </c>
      <c r="C21232" s="38" t="s">
        <v>25748</v>
      </c>
      <c r="D21232" s="38" t="str">
        <f>IFERROR(__xludf.DUMMYFUNCTION("REGEXREPLACE(C21232,""-\d+(.*)|--\d+(.*)"","""")"),"SAINT-JULIEN-LA-GENETE")</f>
        <v>SAINT-JULIEN-LA-GENETE</v>
      </c>
      <c r="E21232" s="38" t="s">
        <v>97</v>
      </c>
      <c r="F21232" s="38" t="s">
        <v>98</v>
      </c>
      <c r="G21232" s="49" t="str">
        <f t="shared" si="1"/>
        <v>23110</v>
      </c>
      <c r="H21232" s="49">
        <f t="shared" si="2"/>
        <v>23203</v>
      </c>
    </row>
    <row r="21233">
      <c r="A21233" s="48" t="s">
        <v>10609</v>
      </c>
      <c r="B21233" s="38">
        <v>12161.0</v>
      </c>
      <c r="C21233" s="38" t="s">
        <v>25749</v>
      </c>
      <c r="D21233" s="38" t="str">
        <f>IFERROR(__xludf.DUMMYFUNCTION("REGEXREPLACE(C21233,""-\d+(.*)|--\d+(.*)"","""")"),"MOURET")</f>
        <v>MOURET</v>
      </c>
      <c r="E21233" s="38" t="s">
        <v>465</v>
      </c>
      <c r="F21233" s="38" t="s">
        <v>94</v>
      </c>
      <c r="G21233" s="49" t="str">
        <f t="shared" si="1"/>
        <v>12330</v>
      </c>
      <c r="H21233" s="49">
        <f t="shared" si="2"/>
        <v>12161</v>
      </c>
    </row>
    <row r="21234">
      <c r="A21234" s="48" t="s">
        <v>3161</v>
      </c>
      <c r="B21234" s="38">
        <v>70450.0</v>
      </c>
      <c r="C21234" s="38" t="s">
        <v>23417</v>
      </c>
      <c r="D21234" s="38" t="str">
        <f>IFERROR(__xludf.DUMMYFUNCTION("REGEXREPLACE(C21234,""-\d+(.*)|--\d+(.*)"","""")"),"LA ROCHELLE")</f>
        <v>LA ROCHELLE</v>
      </c>
      <c r="E21234" s="38" t="s">
        <v>956</v>
      </c>
      <c r="F21234" s="38" t="s">
        <v>214</v>
      </c>
      <c r="G21234" s="49" t="str">
        <f t="shared" si="1"/>
        <v>70120</v>
      </c>
      <c r="H21234" s="49">
        <f t="shared" si="2"/>
        <v>70450</v>
      </c>
    </row>
    <row r="21235">
      <c r="A21235" s="48" t="s">
        <v>25750</v>
      </c>
      <c r="B21235" s="38">
        <v>93078.0</v>
      </c>
      <c r="C21235" s="38" t="s">
        <v>16449</v>
      </c>
      <c r="D21235" s="38" t="str">
        <f>IFERROR(__xludf.DUMMYFUNCTION("REGEXREPLACE(C21235,""-\d+(.*)|--\d+(.*)"","""")"),"VILLEPINTE")</f>
        <v>VILLEPINTE</v>
      </c>
      <c r="E21235" s="38" t="s">
        <v>341</v>
      </c>
      <c r="F21235" s="38" t="s">
        <v>245</v>
      </c>
      <c r="G21235" s="49" t="str">
        <f t="shared" si="1"/>
        <v>93420</v>
      </c>
      <c r="H21235" s="49">
        <f t="shared" si="2"/>
        <v>93078</v>
      </c>
    </row>
    <row r="21236">
      <c r="A21236" s="48" t="s">
        <v>3651</v>
      </c>
      <c r="B21236" s="38">
        <v>19193.0</v>
      </c>
      <c r="C21236" s="38" t="s">
        <v>25751</v>
      </c>
      <c r="D21236" s="38" t="str">
        <f>IFERROR(__xludf.DUMMYFUNCTION("REGEXREPLACE(C21236,""-\d+(.*)|--\d+(.*)"","""")"),"SAINT-CIRGUES-LA-LOUTRE")</f>
        <v>SAINT-CIRGUES-LA-LOUTRE</v>
      </c>
      <c r="E21236" s="38" t="s">
        <v>271</v>
      </c>
      <c r="F21236" s="38" t="s">
        <v>98</v>
      </c>
      <c r="G21236" s="49" t="str">
        <f t="shared" si="1"/>
        <v>19220</v>
      </c>
      <c r="H21236" s="49">
        <f t="shared" si="2"/>
        <v>19193</v>
      </c>
    </row>
    <row r="21237">
      <c r="A21237" s="48" t="s">
        <v>2318</v>
      </c>
      <c r="B21237" s="38">
        <v>43055.0</v>
      </c>
      <c r="C21237" s="38" t="s">
        <v>25752</v>
      </c>
      <c r="D21237" s="38" t="str">
        <f>IFERROR(__xludf.DUMMYFUNCTION("REGEXREPLACE(C21237,""-\d+(.*)|--\d+(.*)"","""")"),"CHANIAT")</f>
        <v>CHANIAT</v>
      </c>
      <c r="E21237" s="38" t="s">
        <v>332</v>
      </c>
      <c r="F21237" s="38" t="s">
        <v>161</v>
      </c>
      <c r="G21237" s="49" t="str">
        <f t="shared" si="1"/>
        <v>43100</v>
      </c>
      <c r="H21237" s="49">
        <f t="shared" si="2"/>
        <v>43055</v>
      </c>
    </row>
    <row r="21238">
      <c r="A21238" s="48" t="s">
        <v>2748</v>
      </c>
      <c r="B21238" s="38">
        <v>32455.0</v>
      </c>
      <c r="C21238" s="38" t="s">
        <v>25753</v>
      </c>
      <c r="D21238" s="38" t="str">
        <f>IFERROR(__xludf.DUMMYFUNCTION("REGEXREPLACE(C21238,""-\d+(.*)|--\d+(.*)"","""")"),"TRONCENS")</f>
        <v>TRONCENS</v>
      </c>
      <c r="E21238" s="38" t="s">
        <v>440</v>
      </c>
      <c r="F21238" s="38" t="s">
        <v>94</v>
      </c>
      <c r="G21238" s="49" t="str">
        <f t="shared" si="1"/>
        <v>32230</v>
      </c>
      <c r="H21238" s="49">
        <f t="shared" si="2"/>
        <v>32455</v>
      </c>
    </row>
    <row r="21239">
      <c r="A21239" s="48" t="s">
        <v>8267</v>
      </c>
      <c r="B21239" s="38">
        <v>22375.0</v>
      </c>
      <c r="C21239" s="38" t="s">
        <v>25754</v>
      </c>
      <c r="D21239" s="38" t="str">
        <f>IFERROR(__xludf.DUMMYFUNCTION("REGEXREPLACE(C21239,""-\d+(.*)|--\d+(.*)"","""")"),"TRESSIGNAUX")</f>
        <v>TRESSIGNAUX</v>
      </c>
      <c r="E21239" s="38" t="s">
        <v>89</v>
      </c>
      <c r="F21239" s="38" t="s">
        <v>90</v>
      </c>
      <c r="G21239" s="49" t="str">
        <f t="shared" si="1"/>
        <v>22290</v>
      </c>
      <c r="H21239" s="49">
        <f t="shared" si="2"/>
        <v>22375</v>
      </c>
    </row>
    <row r="21240">
      <c r="A21240" s="48" t="s">
        <v>2497</v>
      </c>
      <c r="B21240" s="38">
        <v>56071.0</v>
      </c>
      <c r="C21240" s="38" t="s">
        <v>25755</v>
      </c>
      <c r="D21240" s="38" t="str">
        <f>IFERROR(__xludf.DUMMYFUNCTION("REGEXREPLACE(C21240,""-\d+(.*)|--\d+(.*)"","""")"),"GUEHENNO")</f>
        <v>GUEHENNO</v>
      </c>
      <c r="E21240" s="38" t="s">
        <v>173</v>
      </c>
      <c r="F21240" s="38" t="s">
        <v>90</v>
      </c>
      <c r="G21240" s="49" t="str">
        <f t="shared" si="1"/>
        <v>56420</v>
      </c>
      <c r="H21240" s="49">
        <f t="shared" si="2"/>
        <v>56071</v>
      </c>
    </row>
    <row r="21241">
      <c r="A21241" s="48" t="s">
        <v>7655</v>
      </c>
      <c r="B21241" s="38">
        <v>37243.0</v>
      </c>
      <c r="C21241" s="38" t="s">
        <v>25756</v>
      </c>
      <c r="D21241" s="38" t="str">
        <f>IFERROR(__xludf.DUMMYFUNCTION("REGEXREPLACE(C21241,""-\d+(.*)|--\d+(.*)"","""")"),"SAVONNIERES")</f>
        <v>SAVONNIERES</v>
      </c>
      <c r="E21241" s="38" t="s">
        <v>205</v>
      </c>
      <c r="F21241" s="38" t="s">
        <v>123</v>
      </c>
      <c r="G21241" s="49" t="str">
        <f t="shared" si="1"/>
        <v>37510</v>
      </c>
      <c r="H21241" s="49">
        <f t="shared" si="2"/>
        <v>37243</v>
      </c>
    </row>
    <row r="21242">
      <c r="A21242" s="48" t="s">
        <v>1806</v>
      </c>
      <c r="B21242" s="38">
        <v>90011.0</v>
      </c>
      <c r="C21242" s="38" t="s">
        <v>25757</v>
      </c>
      <c r="D21242" s="38" t="str">
        <f>IFERROR(__xludf.DUMMYFUNCTION("REGEXREPLACE(C21242,""-\d+(.*)|--\d+(.*)"","""")"),"BERMONT")</f>
        <v>BERMONT</v>
      </c>
      <c r="E21242" s="38" t="s">
        <v>1283</v>
      </c>
      <c r="F21242" s="38" t="s">
        <v>214</v>
      </c>
      <c r="G21242" s="49" t="str">
        <f t="shared" si="1"/>
        <v>90400</v>
      </c>
      <c r="H21242" s="49">
        <f t="shared" si="2"/>
        <v>90011</v>
      </c>
    </row>
    <row r="21243">
      <c r="A21243" s="48" t="s">
        <v>5262</v>
      </c>
      <c r="B21243" s="38">
        <v>15065.0</v>
      </c>
      <c r="C21243" s="38" t="s">
        <v>25758</v>
      </c>
      <c r="D21243" s="38" t="str">
        <f>IFERROR(__xludf.DUMMYFUNCTION("REGEXREPLACE(C21243,""-\d+(.*)|--\d+(.*)"","""")"),"ESPINASSE")</f>
        <v>ESPINASSE</v>
      </c>
      <c r="E21243" s="38" t="s">
        <v>632</v>
      </c>
      <c r="F21243" s="38" t="s">
        <v>161</v>
      </c>
      <c r="G21243" s="49" t="str">
        <f t="shared" si="1"/>
        <v>15110</v>
      </c>
      <c r="H21243" s="49">
        <f t="shared" si="2"/>
        <v>15065</v>
      </c>
    </row>
    <row r="21244">
      <c r="A21244" s="48" t="s">
        <v>1742</v>
      </c>
      <c r="B21244" s="38">
        <v>21587.0</v>
      </c>
      <c r="C21244" s="38" t="s">
        <v>25759</v>
      </c>
      <c r="D21244" s="38" t="str">
        <f>IFERROR(__xludf.DUMMYFUNCTION("REGEXREPLACE(C21244,""-\d+(.*)|--\d+(.*)"","""")"),"SAULX-LE-DUC")</f>
        <v>SAULX-LE-DUC</v>
      </c>
      <c r="E21244" s="38" t="s">
        <v>105</v>
      </c>
      <c r="F21244" s="38" t="s">
        <v>106</v>
      </c>
      <c r="G21244" s="49" t="str">
        <f t="shared" si="1"/>
        <v>21120</v>
      </c>
      <c r="H21244" s="49">
        <f t="shared" si="2"/>
        <v>21587</v>
      </c>
    </row>
    <row r="21245">
      <c r="A21245" s="48" t="s">
        <v>9536</v>
      </c>
      <c r="B21245" s="38">
        <v>8485.0</v>
      </c>
      <c r="C21245" s="38" t="s">
        <v>7476</v>
      </c>
      <c r="D21245" s="38" t="str">
        <f>IFERROR(__xludf.DUMMYFUNCTION("REGEXREPLACE(C21245,""-\d+(.*)|--\d+(.*)"","""")"),"VILLY")</f>
        <v>VILLY</v>
      </c>
      <c r="E21245" s="38" t="s">
        <v>327</v>
      </c>
      <c r="F21245" s="38" t="s">
        <v>130</v>
      </c>
      <c r="G21245" s="49" t="str">
        <f t="shared" si="1"/>
        <v>08370</v>
      </c>
      <c r="H21245" s="49" t="str">
        <f t="shared" si="2"/>
        <v>08485</v>
      </c>
    </row>
    <row r="21246">
      <c r="A21246" s="48" t="s">
        <v>5555</v>
      </c>
      <c r="B21246" s="38">
        <v>82047.0</v>
      </c>
      <c r="C21246" s="38" t="s">
        <v>25760</v>
      </c>
      <c r="D21246" s="38" t="str">
        <f>IFERROR(__xludf.DUMMYFUNCTION("REGEXREPLACE(C21246,""-\d+(.*)|--\d+(.*)"","""")"),"CUMONT")</f>
        <v>CUMONT</v>
      </c>
      <c r="E21246" s="38" t="s">
        <v>570</v>
      </c>
      <c r="F21246" s="38" t="s">
        <v>94</v>
      </c>
      <c r="G21246" s="49" t="str">
        <f t="shared" si="1"/>
        <v>82500</v>
      </c>
      <c r="H21246" s="49">
        <f t="shared" si="2"/>
        <v>82047</v>
      </c>
    </row>
    <row r="21247">
      <c r="A21247" s="48" t="s">
        <v>19271</v>
      </c>
      <c r="B21247" s="38">
        <v>8222.0</v>
      </c>
      <c r="C21247" s="38" t="s">
        <v>25761</v>
      </c>
      <c r="D21247" s="38" t="str">
        <f>IFERROR(__xludf.DUMMYFUNCTION("REGEXREPLACE(C21247,""-\d+(.*)|--\d+(.*)"","""")"),"HAYBES")</f>
        <v>HAYBES</v>
      </c>
      <c r="E21247" s="38" t="s">
        <v>327</v>
      </c>
      <c r="F21247" s="38" t="s">
        <v>130</v>
      </c>
      <c r="G21247" s="49" t="str">
        <f t="shared" si="1"/>
        <v>08170</v>
      </c>
      <c r="H21247" s="49" t="str">
        <f t="shared" si="2"/>
        <v>08222</v>
      </c>
    </row>
    <row r="21248">
      <c r="A21248" s="48" t="s">
        <v>8368</v>
      </c>
      <c r="B21248" s="38">
        <v>83011.0</v>
      </c>
      <c r="C21248" s="38" t="s">
        <v>25762</v>
      </c>
      <c r="D21248" s="38" t="str">
        <f>IFERROR(__xludf.DUMMYFUNCTION("REGEXREPLACE(C21248,""-\d+(.*)|--\d+(.*)"","""")"),"BARGEMON")</f>
        <v>BARGEMON</v>
      </c>
      <c r="E21248" s="38" t="s">
        <v>813</v>
      </c>
      <c r="F21248" s="38" t="s">
        <v>228</v>
      </c>
      <c r="G21248" s="49" t="str">
        <f t="shared" si="1"/>
        <v>83830</v>
      </c>
      <c r="H21248" s="49">
        <f t="shared" si="2"/>
        <v>83011</v>
      </c>
    </row>
    <row r="21249">
      <c r="A21249" s="48" t="s">
        <v>4659</v>
      </c>
      <c r="B21249" s="38">
        <v>32198.0</v>
      </c>
      <c r="C21249" s="38" t="s">
        <v>22569</v>
      </c>
      <c r="D21249" s="38" t="str">
        <f>IFERROR(__xludf.DUMMYFUNCTION("REGEXREPLACE(C21249,""-\d+(.*)|--\d+(.*)"","""")"),"LARTIGUE")</f>
        <v>LARTIGUE</v>
      </c>
      <c r="E21249" s="38" t="s">
        <v>440</v>
      </c>
      <c r="F21249" s="38" t="s">
        <v>94</v>
      </c>
      <c r="G21249" s="49" t="str">
        <f t="shared" si="1"/>
        <v>32450</v>
      </c>
      <c r="H21249" s="49">
        <f t="shared" si="2"/>
        <v>32198</v>
      </c>
    </row>
    <row r="21250">
      <c r="A21250" s="48" t="s">
        <v>549</v>
      </c>
      <c r="B21250" s="38">
        <v>55066.0</v>
      </c>
      <c r="C21250" s="38" t="s">
        <v>25763</v>
      </c>
      <c r="D21250" s="38" t="str">
        <f>IFERROR(__xludf.DUMMYFUNCTION("REGEXREPLACE(C21250,""-\d+(.*)|--\d+(.*)"","""")"),"BOVEE-SUR-BARBOURE")</f>
        <v>BOVEE-SUR-BARBOURE</v>
      </c>
      <c r="E21250" s="38" t="s">
        <v>322</v>
      </c>
      <c r="F21250" s="38" t="s">
        <v>195</v>
      </c>
      <c r="G21250" s="49" t="str">
        <f t="shared" si="1"/>
        <v>55190</v>
      </c>
      <c r="H21250" s="49">
        <f t="shared" si="2"/>
        <v>55066</v>
      </c>
    </row>
    <row r="21251">
      <c r="A21251" s="48" t="s">
        <v>2294</v>
      </c>
      <c r="B21251" s="38">
        <v>87145.0</v>
      </c>
      <c r="C21251" s="38" t="s">
        <v>25764</v>
      </c>
      <c r="D21251" s="38" t="str">
        <f>IFERROR(__xludf.DUMMYFUNCTION("REGEXREPLACE(C21251,""-\d+(.*)|--\d+(.*)"","""")"),"SAINT-GEORGES-LES-LANDES")</f>
        <v>SAINT-GEORGES-LES-LANDES</v>
      </c>
      <c r="E21251" s="38" t="s">
        <v>897</v>
      </c>
      <c r="F21251" s="38" t="s">
        <v>98</v>
      </c>
      <c r="G21251" s="49" t="str">
        <f t="shared" si="1"/>
        <v>87160</v>
      </c>
      <c r="H21251" s="49">
        <f t="shared" si="2"/>
        <v>87145</v>
      </c>
    </row>
    <row r="21252">
      <c r="A21252" s="48" t="s">
        <v>22709</v>
      </c>
      <c r="B21252" s="38">
        <v>33459.0</v>
      </c>
      <c r="C21252" s="38" t="s">
        <v>25765</v>
      </c>
      <c r="D21252" s="38" t="str">
        <f>IFERROR(__xludf.DUMMYFUNCTION("REGEXREPLACE(C21252,""-\d+(.*)|--\d+(.*)"","""")"),"SAINT-PEY-D'ARMENS")</f>
        <v>SAINT-PEY-D'ARMENS</v>
      </c>
      <c r="E21252" s="38" t="s">
        <v>462</v>
      </c>
      <c r="F21252" s="38" t="s">
        <v>252</v>
      </c>
      <c r="G21252" s="49" t="str">
        <f t="shared" si="1"/>
        <v>33330</v>
      </c>
      <c r="H21252" s="49">
        <f t="shared" si="2"/>
        <v>33459</v>
      </c>
    </row>
    <row r="21253">
      <c r="A21253" s="48" t="s">
        <v>5894</v>
      </c>
      <c r="B21253" s="38">
        <v>69056.0</v>
      </c>
      <c r="C21253" s="38" t="s">
        <v>25766</v>
      </c>
      <c r="D21253" s="38" t="str">
        <f>IFERROR(__xludf.DUMMYFUNCTION("REGEXREPLACE(C21253,""-\d+(.*)|--\d+(.*)"","""")"),"CHESSY")</f>
        <v>CHESSY</v>
      </c>
      <c r="E21253" s="38" t="s">
        <v>350</v>
      </c>
      <c r="F21253" s="38" t="s">
        <v>102</v>
      </c>
      <c r="G21253" s="49" t="str">
        <f t="shared" si="1"/>
        <v>69380</v>
      </c>
      <c r="H21253" s="49">
        <f t="shared" si="2"/>
        <v>69056</v>
      </c>
    </row>
    <row r="21254">
      <c r="A21254" s="48" t="s">
        <v>1288</v>
      </c>
      <c r="B21254" s="38">
        <v>64117.0</v>
      </c>
      <c r="C21254" s="38" t="s">
        <v>25767</v>
      </c>
      <c r="D21254" s="38" t="str">
        <f>IFERROR(__xludf.DUMMYFUNCTION("REGEXREPLACE(C21254,""-\d+(.*)|--\d+(.*)"","""")"),"BESINGRAND")</f>
        <v>BESINGRAND</v>
      </c>
      <c r="E21254" s="38" t="s">
        <v>268</v>
      </c>
      <c r="F21254" s="38" t="s">
        <v>252</v>
      </c>
      <c r="G21254" s="49" t="str">
        <f t="shared" si="1"/>
        <v>64150</v>
      </c>
      <c r="H21254" s="49">
        <f t="shared" si="2"/>
        <v>64117</v>
      </c>
    </row>
    <row r="21255">
      <c r="A21255" s="48" t="s">
        <v>25768</v>
      </c>
      <c r="B21255" s="38">
        <v>31032.0</v>
      </c>
      <c r="C21255" s="38" t="s">
        <v>25769</v>
      </c>
      <c r="D21255" s="38" t="str">
        <f>IFERROR(__xludf.DUMMYFUNCTION("REGEXREPLACE(C21255,""-\d+(.*)|--\d+(.*)"","""")"),"AUSSONNE")</f>
        <v>AUSSONNE</v>
      </c>
      <c r="E21255" s="38" t="s">
        <v>93</v>
      </c>
      <c r="F21255" s="38" t="s">
        <v>94</v>
      </c>
      <c r="G21255" s="49" t="str">
        <f t="shared" si="1"/>
        <v>31840</v>
      </c>
      <c r="H21255" s="49">
        <f t="shared" si="2"/>
        <v>31032</v>
      </c>
    </row>
    <row r="21256">
      <c r="A21256" s="48" t="s">
        <v>18911</v>
      </c>
      <c r="B21256" s="38">
        <v>14597.0</v>
      </c>
      <c r="C21256" s="38" t="s">
        <v>8716</v>
      </c>
      <c r="D21256" s="38" t="str">
        <f>IFERROR(__xludf.DUMMYFUNCTION("REGEXREPLACE(C21256,""-\d+(.*)|--\d+(.*)"","""")"),"SAINT-JEAN-LE-BLANC")</f>
        <v>SAINT-JEAN-LE-BLANC</v>
      </c>
      <c r="E21256" s="38" t="s">
        <v>137</v>
      </c>
      <c r="F21256" s="38" t="s">
        <v>138</v>
      </c>
      <c r="G21256" s="49" t="str">
        <f t="shared" si="1"/>
        <v>14770</v>
      </c>
      <c r="H21256" s="49">
        <f t="shared" si="2"/>
        <v>14597</v>
      </c>
    </row>
    <row r="21257">
      <c r="A21257" s="48" t="s">
        <v>13174</v>
      </c>
      <c r="B21257" s="38">
        <v>33449.0</v>
      </c>
      <c r="C21257" s="38" t="s">
        <v>25770</v>
      </c>
      <c r="D21257" s="38" t="str">
        <f>IFERROR(__xludf.DUMMYFUNCTION("REGEXREPLACE(C21257,""-\d+(.*)|--\d+(.*)"","""")"),"SAINT-MEDARD-EN-JALLES")</f>
        <v>SAINT-MEDARD-EN-JALLES</v>
      </c>
      <c r="E21257" s="38" t="s">
        <v>462</v>
      </c>
      <c r="F21257" s="38" t="s">
        <v>252</v>
      </c>
      <c r="G21257" s="49" t="str">
        <f t="shared" si="1"/>
        <v>33160</v>
      </c>
      <c r="H21257" s="49">
        <f t="shared" si="2"/>
        <v>33449</v>
      </c>
    </row>
    <row r="21258">
      <c r="A21258" s="48" t="s">
        <v>5041</v>
      </c>
      <c r="B21258" s="38">
        <v>3292.0</v>
      </c>
      <c r="C21258" s="38" t="s">
        <v>25771</v>
      </c>
      <c r="D21258" s="38" t="str">
        <f>IFERROR(__xludf.DUMMYFUNCTION("REGEXREPLACE(C21258,""-\d+(.*)|--\d+(.*)"","""")"),"TRONGET")</f>
        <v>TRONGET</v>
      </c>
      <c r="E21258" s="38" t="s">
        <v>160</v>
      </c>
      <c r="F21258" s="38" t="s">
        <v>161</v>
      </c>
      <c r="G21258" s="49" t="str">
        <f t="shared" si="1"/>
        <v>03240</v>
      </c>
      <c r="H21258" s="49" t="str">
        <f t="shared" si="2"/>
        <v>03292</v>
      </c>
    </row>
    <row r="21259">
      <c r="A21259" s="48" t="s">
        <v>5487</v>
      </c>
      <c r="B21259" s="38">
        <v>27305.0</v>
      </c>
      <c r="C21259" s="38" t="s">
        <v>25772</v>
      </c>
      <c r="D21259" s="38" t="str">
        <f>IFERROR(__xludf.DUMMYFUNCTION("REGEXREPLACE(C21259,""-\d+(.*)|--\d+(.*)"","""")"),"LA GUEROULDE")</f>
        <v>LA GUEROULDE</v>
      </c>
      <c r="E21259" s="38" t="s">
        <v>241</v>
      </c>
      <c r="F21259" s="38" t="s">
        <v>134</v>
      </c>
      <c r="G21259" s="49" t="str">
        <f t="shared" si="1"/>
        <v>27160</v>
      </c>
      <c r="H21259" s="49">
        <f t="shared" si="2"/>
        <v>27305</v>
      </c>
    </row>
    <row r="21260">
      <c r="A21260" s="48" t="s">
        <v>1056</v>
      </c>
      <c r="B21260" s="38">
        <v>11364.0</v>
      </c>
      <c r="C21260" s="38" t="s">
        <v>25773</v>
      </c>
      <c r="D21260" s="38" t="str">
        <f>IFERROR(__xludf.DUMMYFUNCTION("REGEXREPLACE(C21260,""-\d+(.*)|--\d+(.*)"","""")"),"SAINT-POLYCARPE")</f>
        <v>SAINT-POLYCARPE</v>
      </c>
      <c r="E21260" s="38" t="s">
        <v>278</v>
      </c>
      <c r="F21260" s="38" t="s">
        <v>119</v>
      </c>
      <c r="G21260" s="49" t="str">
        <f t="shared" si="1"/>
        <v>11300</v>
      </c>
      <c r="H21260" s="49">
        <f t="shared" si="2"/>
        <v>11364</v>
      </c>
    </row>
    <row r="21261">
      <c r="A21261" s="48" t="s">
        <v>4992</v>
      </c>
      <c r="B21261" s="38">
        <v>80280.0</v>
      </c>
      <c r="C21261" s="38" t="s">
        <v>25774</v>
      </c>
      <c r="D21261" s="38" t="str">
        <f>IFERROR(__xludf.DUMMYFUNCTION("REGEXREPLACE(C21261,""-\d+(.*)|--\d+(.*)"","""")"),"ERCOURT")</f>
        <v>ERCOURT</v>
      </c>
      <c r="E21261" s="38" t="s">
        <v>224</v>
      </c>
      <c r="F21261" s="38" t="s">
        <v>113</v>
      </c>
      <c r="G21261" s="49" t="str">
        <f t="shared" si="1"/>
        <v>80210</v>
      </c>
      <c r="H21261" s="49">
        <f t="shared" si="2"/>
        <v>80280</v>
      </c>
    </row>
    <row r="21262">
      <c r="A21262" s="48" t="s">
        <v>239</v>
      </c>
      <c r="B21262" s="38">
        <v>27241.0</v>
      </c>
      <c r="C21262" s="38" t="s">
        <v>25775</v>
      </c>
      <c r="D21262" s="38" t="str">
        <f>IFERROR(__xludf.DUMMYFUNCTION("REGEXREPLACE(C21262,""-\d+(.*)|--\d+(.*)"","""")"),"FEUGUEROLLES")</f>
        <v>FEUGUEROLLES</v>
      </c>
      <c r="E21262" s="38" t="s">
        <v>241</v>
      </c>
      <c r="F21262" s="38" t="s">
        <v>134</v>
      </c>
      <c r="G21262" s="49" t="str">
        <f t="shared" si="1"/>
        <v>27110</v>
      </c>
      <c r="H21262" s="49">
        <f t="shared" si="2"/>
        <v>27241</v>
      </c>
    </row>
    <row r="21263">
      <c r="A21263" s="48" t="s">
        <v>22265</v>
      </c>
      <c r="B21263" s="38">
        <v>58152.0</v>
      </c>
      <c r="C21263" s="38" t="s">
        <v>25776</v>
      </c>
      <c r="D21263" s="38" t="str">
        <f>IFERROR(__xludf.DUMMYFUNCTION("REGEXREPLACE(C21263,""-\d+(.*)|--\d+(.*)"","""")"),"MAGNY-COURS")</f>
        <v>MAGNY-COURS</v>
      </c>
      <c r="E21263" s="38" t="s">
        <v>219</v>
      </c>
      <c r="F21263" s="38" t="s">
        <v>106</v>
      </c>
      <c r="G21263" s="49" t="str">
        <f t="shared" si="1"/>
        <v>58470</v>
      </c>
      <c r="H21263" s="49">
        <f t="shared" si="2"/>
        <v>58152</v>
      </c>
    </row>
    <row r="21264">
      <c r="A21264" s="48" t="s">
        <v>3967</v>
      </c>
      <c r="B21264" s="38">
        <v>50623.0</v>
      </c>
      <c r="C21264" s="38" t="s">
        <v>25777</v>
      </c>
      <c r="D21264" s="38" t="str">
        <f>IFERROR(__xludf.DUMMYFUNCTION("REGEXREPLACE(C21264,""-\d+(.*)|--\d+(.*)"","""")"),"VAUVILLE")</f>
        <v>VAUVILLE</v>
      </c>
      <c r="E21264" s="38" t="s">
        <v>157</v>
      </c>
      <c r="F21264" s="38" t="s">
        <v>138</v>
      </c>
      <c r="G21264" s="49" t="str">
        <f t="shared" si="1"/>
        <v>50440</v>
      </c>
      <c r="H21264" s="49">
        <f t="shared" si="2"/>
        <v>50623</v>
      </c>
    </row>
    <row r="21265">
      <c r="A21265" s="48" t="s">
        <v>7736</v>
      </c>
      <c r="B21265" s="38">
        <v>11330.0</v>
      </c>
      <c r="C21265" s="38" t="s">
        <v>25778</v>
      </c>
      <c r="D21265" s="38" t="str">
        <f>IFERROR(__xludf.DUMMYFUNCTION("REGEXREPLACE(C21265,""-\d+(.*)|--\d+(.*)"","""")"),"RUSTIQUES")</f>
        <v>RUSTIQUES</v>
      </c>
      <c r="E21265" s="38" t="s">
        <v>278</v>
      </c>
      <c r="F21265" s="38" t="s">
        <v>119</v>
      </c>
      <c r="G21265" s="49" t="str">
        <f t="shared" si="1"/>
        <v>11800</v>
      </c>
      <c r="H21265" s="49">
        <f t="shared" si="2"/>
        <v>11330</v>
      </c>
    </row>
    <row r="21266">
      <c r="A21266" s="48" t="s">
        <v>4131</v>
      </c>
      <c r="B21266" s="38">
        <v>27418.0</v>
      </c>
      <c r="C21266" s="38" t="s">
        <v>25779</v>
      </c>
      <c r="D21266" s="38" t="str">
        <f>IFERROR(__xludf.DUMMYFUNCTION("REGEXREPLACE(C21266,""-\d+(.*)|--\d+(.*)"","""")"),"MORSAN")</f>
        <v>MORSAN</v>
      </c>
      <c r="E21266" s="38" t="s">
        <v>241</v>
      </c>
      <c r="F21266" s="38" t="s">
        <v>134</v>
      </c>
      <c r="G21266" s="49" t="str">
        <f t="shared" si="1"/>
        <v>27800</v>
      </c>
      <c r="H21266" s="49">
        <f t="shared" si="2"/>
        <v>27418</v>
      </c>
    </row>
    <row r="21267">
      <c r="A21267" s="48" t="s">
        <v>8964</v>
      </c>
      <c r="B21267" s="38">
        <v>70062.0</v>
      </c>
      <c r="C21267" s="38" t="s">
        <v>10049</v>
      </c>
      <c r="D21267" s="38" t="str">
        <f>IFERROR(__xludf.DUMMYFUNCTION("REGEXREPLACE(C21267,""-\d+(.*)|--\d+(.*)"","""")"),"BELMONT")</f>
        <v>BELMONT</v>
      </c>
      <c r="E21267" s="38" t="s">
        <v>956</v>
      </c>
      <c r="F21267" s="38" t="s">
        <v>214</v>
      </c>
      <c r="G21267" s="49" t="str">
        <f t="shared" si="1"/>
        <v>70270</v>
      </c>
      <c r="H21267" s="49">
        <f t="shared" si="2"/>
        <v>70062</v>
      </c>
    </row>
    <row r="21268">
      <c r="A21268" s="48" t="s">
        <v>8221</v>
      </c>
      <c r="B21268" s="38">
        <v>32325.0</v>
      </c>
      <c r="C21268" s="38" t="s">
        <v>25780</v>
      </c>
      <c r="D21268" s="38" t="str">
        <f>IFERROR(__xludf.DUMMYFUNCTION("REGEXREPLACE(C21268,""-\d+(.*)|--\d+(.*)"","""")"),"POUYDRAGUIN")</f>
        <v>POUYDRAGUIN</v>
      </c>
      <c r="E21268" s="38" t="s">
        <v>440</v>
      </c>
      <c r="F21268" s="38" t="s">
        <v>94</v>
      </c>
      <c r="G21268" s="49" t="str">
        <f t="shared" si="1"/>
        <v>32290</v>
      </c>
      <c r="H21268" s="49">
        <f t="shared" si="2"/>
        <v>32325</v>
      </c>
    </row>
    <row r="21269">
      <c r="A21269" s="48" t="s">
        <v>3011</v>
      </c>
      <c r="B21269" s="38">
        <v>63315.0</v>
      </c>
      <c r="C21269" s="38" t="s">
        <v>25781</v>
      </c>
      <c r="D21269" s="38" t="str">
        <f>IFERROR(__xludf.DUMMYFUNCTION("REGEXREPLACE(C21269,""-\d+(.*)|--\d+(.*)"","""")"),"SAINT-AMANT-TALLENDE")</f>
        <v>SAINT-AMANT-TALLENDE</v>
      </c>
      <c r="E21269" s="38" t="s">
        <v>353</v>
      </c>
      <c r="F21269" s="38" t="s">
        <v>161</v>
      </c>
      <c r="G21269" s="49" t="str">
        <f t="shared" si="1"/>
        <v>63450</v>
      </c>
      <c r="H21269" s="49">
        <f t="shared" si="2"/>
        <v>63315</v>
      </c>
    </row>
    <row r="21270">
      <c r="A21270" s="48" t="s">
        <v>10189</v>
      </c>
      <c r="B21270" s="38">
        <v>59244.0</v>
      </c>
      <c r="C21270" s="38" t="s">
        <v>5858</v>
      </c>
      <c r="D21270" s="38" t="str">
        <f>IFERROR(__xludf.DUMMYFUNCTION("REGEXREPLACE(C21270,""-\d+(.*)|--\d+(.*)"","""")"),"FONTAINE-NOTRE-DAME")</f>
        <v>FONTAINE-NOTRE-DAME</v>
      </c>
      <c r="E21270" s="38" t="s">
        <v>85</v>
      </c>
      <c r="F21270" s="38" t="s">
        <v>86</v>
      </c>
      <c r="G21270" s="49" t="str">
        <f t="shared" si="1"/>
        <v>59400</v>
      </c>
      <c r="H21270" s="49">
        <f t="shared" si="2"/>
        <v>59244</v>
      </c>
    </row>
    <row r="21271">
      <c r="A21271" s="48" t="s">
        <v>10786</v>
      </c>
      <c r="B21271" s="38">
        <v>32054.0</v>
      </c>
      <c r="C21271" s="38" t="s">
        <v>25782</v>
      </c>
      <c r="D21271" s="38" t="str">
        <f>IFERROR(__xludf.DUMMYFUNCTION("REGEXREPLACE(C21271,""-\d+(.*)|--\d+(.*)"","""")"),"BIRAN")</f>
        <v>BIRAN</v>
      </c>
      <c r="E21271" s="38" t="s">
        <v>440</v>
      </c>
      <c r="F21271" s="38" t="s">
        <v>94</v>
      </c>
      <c r="G21271" s="49" t="str">
        <f t="shared" si="1"/>
        <v>32350</v>
      </c>
      <c r="H21271" s="49">
        <f t="shared" si="2"/>
        <v>32054</v>
      </c>
    </row>
    <row r="21272">
      <c r="A21272" s="48" t="s">
        <v>1949</v>
      </c>
      <c r="B21272" s="38">
        <v>32112.0</v>
      </c>
      <c r="C21272" s="38" t="s">
        <v>25783</v>
      </c>
      <c r="D21272" s="38" t="str">
        <f>IFERROR(__xludf.DUMMYFUNCTION("REGEXREPLACE(C21272,""-\d+(.*)|--\d+(.*)"","""")"),"CRASTES")</f>
        <v>CRASTES</v>
      </c>
      <c r="E21272" s="38" t="s">
        <v>440</v>
      </c>
      <c r="F21272" s="38" t="s">
        <v>94</v>
      </c>
      <c r="G21272" s="49" t="str">
        <f t="shared" si="1"/>
        <v>32270</v>
      </c>
      <c r="H21272" s="49">
        <f t="shared" si="2"/>
        <v>32112</v>
      </c>
    </row>
    <row r="21273">
      <c r="A21273" s="48" t="s">
        <v>2288</v>
      </c>
      <c r="B21273" s="38">
        <v>81093.0</v>
      </c>
      <c r="C21273" s="38" t="s">
        <v>25784</v>
      </c>
      <c r="D21273" s="38" t="str">
        <f>IFERROR(__xludf.DUMMYFUNCTION("REGEXREPLACE(C21273,""-\d+(.*)|--\d+(.*)"","""")"),"FLORENTIN")</f>
        <v>FLORENTIN</v>
      </c>
      <c r="E21273" s="38" t="s">
        <v>231</v>
      </c>
      <c r="F21273" s="38" t="s">
        <v>94</v>
      </c>
      <c r="G21273" s="49" t="str">
        <f t="shared" si="1"/>
        <v>81150</v>
      </c>
      <c r="H21273" s="49">
        <f t="shared" si="2"/>
        <v>81093</v>
      </c>
    </row>
    <row r="21274">
      <c r="A21274" s="48" t="s">
        <v>6278</v>
      </c>
      <c r="B21274" s="38">
        <v>3033.0</v>
      </c>
      <c r="C21274" s="38" t="s">
        <v>25785</v>
      </c>
      <c r="D21274" s="38" t="str">
        <f>IFERROR(__xludf.DUMMYFUNCTION("REGEXREPLACE(C21274,""-\d+(.*)|--\d+(.*)"","""")"),"BOST")</f>
        <v>BOST</v>
      </c>
      <c r="E21274" s="38" t="s">
        <v>160</v>
      </c>
      <c r="F21274" s="38" t="s">
        <v>161</v>
      </c>
      <c r="G21274" s="49" t="str">
        <f t="shared" si="1"/>
        <v>03300</v>
      </c>
      <c r="H21274" s="49" t="str">
        <f t="shared" si="2"/>
        <v>03033</v>
      </c>
    </row>
    <row r="21275">
      <c r="A21275" s="48" t="s">
        <v>5513</v>
      </c>
      <c r="B21275" s="38">
        <v>57675.0</v>
      </c>
      <c r="C21275" s="38" t="s">
        <v>25786</v>
      </c>
      <c r="D21275" s="38" t="str">
        <f>IFERROR(__xludf.DUMMYFUNCTION("REGEXREPLACE(C21275,""-\d+(.*)|--\d+(.*)"","""")"),"TORCHEVILLE")</f>
        <v>TORCHEVILLE</v>
      </c>
      <c r="E21275" s="38" t="s">
        <v>303</v>
      </c>
      <c r="F21275" s="38" t="s">
        <v>195</v>
      </c>
      <c r="G21275" s="49" t="str">
        <f t="shared" si="1"/>
        <v>57670</v>
      </c>
      <c r="H21275" s="49">
        <f t="shared" si="2"/>
        <v>57675</v>
      </c>
    </row>
    <row r="21276">
      <c r="A21276" s="48" t="s">
        <v>1180</v>
      </c>
      <c r="B21276" s="38">
        <v>60003.0</v>
      </c>
      <c r="C21276" s="38" t="s">
        <v>25787</v>
      </c>
      <c r="D21276" s="38" t="str">
        <f>IFERROR(__xludf.DUMMYFUNCTION("REGEXREPLACE(C21276,""-\d+(.*)|--\d+(.*)"","""")"),"ABBEVILLE-SAINT-LUCIEN")</f>
        <v>ABBEVILLE-SAINT-LUCIEN</v>
      </c>
      <c r="E21276" s="38" t="s">
        <v>112</v>
      </c>
      <c r="F21276" s="38" t="s">
        <v>113</v>
      </c>
      <c r="G21276" s="49" t="str">
        <f t="shared" si="1"/>
        <v>60480</v>
      </c>
      <c r="H21276" s="49">
        <f t="shared" si="2"/>
        <v>60003</v>
      </c>
    </row>
    <row r="21277">
      <c r="A21277" s="48" t="s">
        <v>20407</v>
      </c>
      <c r="B21277" s="38">
        <v>87149.0</v>
      </c>
      <c r="C21277" s="38" t="s">
        <v>25788</v>
      </c>
      <c r="D21277" s="38" t="str">
        <f>IFERROR(__xludf.DUMMYFUNCTION("REGEXREPLACE(C21277,""-\d+(.*)|--\d+(.*)"","""")"),"SAINT-HILAIRE-LA-TREILLE")</f>
        <v>SAINT-HILAIRE-LA-TREILLE</v>
      </c>
      <c r="E21277" s="38" t="s">
        <v>897</v>
      </c>
      <c r="F21277" s="38" t="s">
        <v>98</v>
      </c>
      <c r="G21277" s="49" t="str">
        <f t="shared" si="1"/>
        <v>87190</v>
      </c>
      <c r="H21277" s="49">
        <f t="shared" si="2"/>
        <v>87149</v>
      </c>
    </row>
    <row r="21278">
      <c r="A21278" s="48" t="s">
        <v>912</v>
      </c>
      <c r="B21278" s="38">
        <v>82195.0</v>
      </c>
      <c r="C21278" s="38" t="s">
        <v>25789</v>
      </c>
      <c r="D21278" s="38" t="str">
        <f>IFERROR(__xludf.DUMMYFUNCTION("REGEXREPLACE(C21278,""-\d+(.*)|--\d+(.*)"","""")"),"VILLEMADE")</f>
        <v>VILLEMADE</v>
      </c>
      <c r="E21278" s="38" t="s">
        <v>570</v>
      </c>
      <c r="F21278" s="38" t="s">
        <v>94</v>
      </c>
      <c r="G21278" s="49" t="str">
        <f t="shared" si="1"/>
        <v>82130</v>
      </c>
      <c r="H21278" s="49">
        <f t="shared" si="2"/>
        <v>82195</v>
      </c>
    </row>
    <row r="21279">
      <c r="A21279" s="48" t="s">
        <v>4784</v>
      </c>
      <c r="B21279" s="38">
        <v>24504.0</v>
      </c>
      <c r="C21279" s="38" t="s">
        <v>25790</v>
      </c>
      <c r="D21279" s="38" t="str">
        <f>IFERROR(__xludf.DUMMYFUNCTION("REGEXREPLACE(C21279,""-\d+(.*)|--\d+(.*)"","""")"),"SAINT-SULPICE-DE-ROUMAGNAC")</f>
        <v>SAINT-SULPICE-DE-ROUMAGNAC</v>
      </c>
      <c r="E21279" s="38" t="s">
        <v>261</v>
      </c>
      <c r="F21279" s="38" t="s">
        <v>252</v>
      </c>
      <c r="G21279" s="49" t="str">
        <f t="shared" si="1"/>
        <v>24600</v>
      </c>
      <c r="H21279" s="49">
        <f t="shared" si="2"/>
        <v>24504</v>
      </c>
    </row>
    <row r="21280">
      <c r="A21280" s="48" t="s">
        <v>5320</v>
      </c>
      <c r="B21280" s="38">
        <v>74179.0</v>
      </c>
      <c r="C21280" s="38" t="s">
        <v>25791</v>
      </c>
      <c r="D21280" s="38" t="str">
        <f>IFERROR(__xludf.DUMMYFUNCTION("REGEXREPLACE(C21280,""-\d+(.*)|--\d+(.*)"","""")"),"MESIGNY")</f>
        <v>MESIGNY</v>
      </c>
      <c r="E21280" s="38" t="s">
        <v>319</v>
      </c>
      <c r="F21280" s="38" t="s">
        <v>102</v>
      </c>
      <c r="G21280" s="49" t="str">
        <f t="shared" si="1"/>
        <v>74330</v>
      </c>
      <c r="H21280" s="49">
        <f t="shared" si="2"/>
        <v>74179</v>
      </c>
    </row>
    <row r="21281">
      <c r="A21281" s="48" t="s">
        <v>5873</v>
      </c>
      <c r="B21281" s="38">
        <v>23011.0</v>
      </c>
      <c r="C21281" s="38" t="s">
        <v>11777</v>
      </c>
      <c r="D21281" s="38" t="str">
        <f>IFERROR(__xludf.DUMMYFUNCTION("REGEXREPLACE(C21281,""-\d+(.*)|--\d+(.*)"","""")"),"AULON")</f>
        <v>AULON</v>
      </c>
      <c r="E21281" s="38" t="s">
        <v>97</v>
      </c>
      <c r="F21281" s="38" t="s">
        <v>98</v>
      </c>
      <c r="G21281" s="49" t="str">
        <f t="shared" si="1"/>
        <v>23210</v>
      </c>
      <c r="H21281" s="49">
        <f t="shared" si="2"/>
        <v>23011</v>
      </c>
    </row>
    <row r="21282">
      <c r="A21282" s="48" t="s">
        <v>25792</v>
      </c>
      <c r="B21282" s="38">
        <v>69028.0</v>
      </c>
      <c r="C21282" s="38" t="s">
        <v>25793</v>
      </c>
      <c r="D21282" s="38" t="str">
        <f>IFERROR(__xludf.DUMMYFUNCTION("REGEXREPLACE(C21282,""-\d+(.*)|--\d+(.*)"","""")"),"BRINDAS")</f>
        <v>BRINDAS</v>
      </c>
      <c r="E21282" s="38" t="s">
        <v>350</v>
      </c>
      <c r="F21282" s="38" t="s">
        <v>102</v>
      </c>
      <c r="G21282" s="49" t="str">
        <f t="shared" si="1"/>
        <v>69126</v>
      </c>
      <c r="H21282" s="49">
        <f t="shared" si="2"/>
        <v>69028</v>
      </c>
    </row>
    <row r="21283">
      <c r="A21283" s="48" t="s">
        <v>6800</v>
      </c>
      <c r="B21283" s="38">
        <v>77061.0</v>
      </c>
      <c r="C21283" s="38" t="s">
        <v>25794</v>
      </c>
      <c r="D21283" s="38" t="str">
        <f>IFERROR(__xludf.DUMMYFUNCTION("REGEXREPLACE(C21283,""-\d+(.*)|--\d+(.*)"","""")"),"CANNES-ECLUSE")</f>
        <v>CANNES-ECLUSE</v>
      </c>
      <c r="E21283" s="38" t="s">
        <v>244</v>
      </c>
      <c r="F21283" s="38" t="s">
        <v>245</v>
      </c>
      <c r="G21283" s="49" t="str">
        <f t="shared" si="1"/>
        <v>77130</v>
      </c>
      <c r="H21283" s="49">
        <f t="shared" si="2"/>
        <v>77061</v>
      </c>
    </row>
    <row r="21284">
      <c r="A21284" s="48" t="s">
        <v>1964</v>
      </c>
      <c r="B21284" s="38">
        <v>26328.0</v>
      </c>
      <c r="C21284" s="38" t="s">
        <v>25795</v>
      </c>
      <c r="D21284" s="38" t="str">
        <f>IFERROR(__xludf.DUMMYFUNCTION("REGEXREPLACE(C21284,""-\d+(.*)|--\d+(.*)"","""")"),"SAINT-SAUVEUR-EN-DIOIS")</f>
        <v>SAINT-SAUVEUR-EN-DIOIS</v>
      </c>
      <c r="E21284" s="38" t="s">
        <v>126</v>
      </c>
      <c r="F21284" s="38" t="s">
        <v>102</v>
      </c>
      <c r="G21284" s="49" t="str">
        <f t="shared" si="1"/>
        <v>26340</v>
      </c>
      <c r="H21284" s="49">
        <f t="shared" si="2"/>
        <v>26328</v>
      </c>
    </row>
    <row r="21285">
      <c r="A21285" s="48" t="s">
        <v>1218</v>
      </c>
      <c r="B21285" s="38">
        <v>9033.0</v>
      </c>
      <c r="C21285" s="38" t="s">
        <v>25796</v>
      </c>
      <c r="D21285" s="38" t="str">
        <f>IFERROR(__xludf.DUMMYFUNCTION("REGEXREPLACE(C21285,""-\d+(.*)|--\d+(.*)"","""")"),"BAGERT")</f>
        <v>BAGERT</v>
      </c>
      <c r="E21285" s="38" t="s">
        <v>238</v>
      </c>
      <c r="F21285" s="38" t="s">
        <v>94</v>
      </c>
      <c r="G21285" s="49" t="str">
        <f t="shared" si="1"/>
        <v>09230</v>
      </c>
      <c r="H21285" s="49" t="str">
        <f t="shared" si="2"/>
        <v>09033</v>
      </c>
    </row>
    <row r="21286">
      <c r="A21286" s="48" t="s">
        <v>1526</v>
      </c>
      <c r="B21286" s="38">
        <v>60076.0</v>
      </c>
      <c r="C21286" s="38" t="s">
        <v>25797</v>
      </c>
      <c r="D21286" s="38" t="str">
        <f>IFERROR(__xludf.DUMMYFUNCTION("REGEXREPLACE(C21286,""-\d+(.*)|--\d+(.*)"","""")"),"BLARGIES")</f>
        <v>BLARGIES</v>
      </c>
      <c r="E21286" s="38" t="s">
        <v>112</v>
      </c>
      <c r="F21286" s="38" t="s">
        <v>113</v>
      </c>
      <c r="G21286" s="49" t="str">
        <f t="shared" si="1"/>
        <v>60220</v>
      </c>
      <c r="H21286" s="49">
        <f t="shared" si="2"/>
        <v>60076</v>
      </c>
    </row>
    <row r="21287">
      <c r="A21287" s="48" t="s">
        <v>12929</v>
      </c>
      <c r="B21287" s="38">
        <v>73162.0</v>
      </c>
      <c r="C21287" s="38" t="s">
        <v>25798</v>
      </c>
      <c r="D21287" s="38" t="str">
        <f>IFERROR(__xludf.DUMMYFUNCTION("REGEXREPLACE(C21287,""-\d+(.*)|--\d+(.*)"","""")"),"MONTAILLEUR")</f>
        <v>MONTAILLEUR</v>
      </c>
      <c r="E21287" s="38" t="s">
        <v>306</v>
      </c>
      <c r="F21287" s="38" t="s">
        <v>102</v>
      </c>
      <c r="G21287" s="49" t="str">
        <f t="shared" si="1"/>
        <v>73460</v>
      </c>
      <c r="H21287" s="49">
        <f t="shared" si="2"/>
        <v>73162</v>
      </c>
    </row>
    <row r="21288">
      <c r="A21288" s="48" t="s">
        <v>16332</v>
      </c>
      <c r="B21288" s="38">
        <v>14499.0</v>
      </c>
      <c r="C21288" s="38" t="s">
        <v>25799</v>
      </c>
      <c r="D21288" s="38" t="str">
        <f>IFERROR(__xludf.DUMMYFUNCTION("REGEXREPLACE(C21288,""-\d+(.*)|--\d+(.*)"","""")"),"PETIVILLE")</f>
        <v>PETIVILLE</v>
      </c>
      <c r="E21288" s="38" t="s">
        <v>137</v>
      </c>
      <c r="F21288" s="38" t="s">
        <v>138</v>
      </c>
      <c r="G21288" s="49" t="str">
        <f t="shared" si="1"/>
        <v>14390</v>
      </c>
      <c r="H21288" s="49">
        <f t="shared" si="2"/>
        <v>14499</v>
      </c>
    </row>
    <row r="21289">
      <c r="A21289" s="48" t="s">
        <v>484</v>
      </c>
      <c r="B21289" s="38">
        <v>16088.0</v>
      </c>
      <c r="C21289" s="38" t="s">
        <v>25800</v>
      </c>
      <c r="D21289" s="38" t="str">
        <f>IFERROR(__xludf.DUMMYFUNCTION("REGEXREPLACE(C21289,""-\d+(.*)|--\d+(.*)"","""")"),"CHASSORS")</f>
        <v>CHASSORS</v>
      </c>
      <c r="E21289" s="38" t="s">
        <v>429</v>
      </c>
      <c r="F21289" s="38" t="s">
        <v>338</v>
      </c>
      <c r="G21289" s="49" t="str">
        <f t="shared" si="1"/>
        <v>16200</v>
      </c>
      <c r="H21289" s="49">
        <f t="shared" si="2"/>
        <v>16088</v>
      </c>
    </row>
    <row r="21290">
      <c r="A21290" s="48" t="s">
        <v>20596</v>
      </c>
      <c r="B21290" s="38">
        <v>59125.0</v>
      </c>
      <c r="C21290" s="38" t="s">
        <v>25801</v>
      </c>
      <c r="D21290" s="38" t="str">
        <f>IFERROR(__xludf.DUMMYFUNCTION("REGEXREPLACE(C21290,""-\d+(.*)|--\d+(.*)"","""")"),"CANTAING-SUR-ESCAUT")</f>
        <v>CANTAING-SUR-ESCAUT</v>
      </c>
      <c r="E21290" s="38" t="s">
        <v>85</v>
      </c>
      <c r="F21290" s="38" t="s">
        <v>86</v>
      </c>
      <c r="G21290" s="49" t="str">
        <f t="shared" si="1"/>
        <v>59267</v>
      </c>
      <c r="H21290" s="49">
        <f t="shared" si="2"/>
        <v>59125</v>
      </c>
    </row>
    <row r="21291">
      <c r="A21291" s="48" t="s">
        <v>5575</v>
      </c>
      <c r="B21291" s="38">
        <v>62741.0</v>
      </c>
      <c r="C21291" s="38" t="s">
        <v>9836</v>
      </c>
      <c r="D21291" s="38" t="str">
        <f>IFERROR(__xludf.DUMMYFUNCTION("REGEXREPLACE(C21291,""-\d+(.*)|--\d+(.*)"","""")"),"SAINT-AMAND")</f>
        <v>SAINT-AMAND</v>
      </c>
      <c r="E21291" s="38" t="s">
        <v>109</v>
      </c>
      <c r="F21291" s="38" t="s">
        <v>86</v>
      </c>
      <c r="G21291" s="49" t="str">
        <f t="shared" si="1"/>
        <v>62760</v>
      </c>
      <c r="H21291" s="49">
        <f t="shared" si="2"/>
        <v>62741</v>
      </c>
    </row>
    <row r="21292">
      <c r="A21292" s="48" t="s">
        <v>4185</v>
      </c>
      <c r="B21292" s="38">
        <v>30283.0</v>
      </c>
      <c r="C21292" s="38" t="s">
        <v>8391</v>
      </c>
      <c r="D21292" s="38" t="str">
        <f>IFERROR(__xludf.DUMMYFUNCTION("REGEXREPLACE(C21292,""-\d+(.*)|--\d+(.*)"","""")"),"SAINT-MARTIAL")</f>
        <v>SAINT-MARTIAL</v>
      </c>
      <c r="E21292" s="38" t="s">
        <v>526</v>
      </c>
      <c r="F21292" s="38" t="s">
        <v>119</v>
      </c>
      <c r="G21292" s="49" t="str">
        <f t="shared" si="1"/>
        <v>30440</v>
      </c>
      <c r="H21292" s="49">
        <f t="shared" si="2"/>
        <v>30283</v>
      </c>
    </row>
    <row r="21293">
      <c r="A21293" s="48" t="s">
        <v>5332</v>
      </c>
      <c r="B21293" s="38">
        <v>1292.0</v>
      </c>
      <c r="C21293" s="38" t="s">
        <v>25802</v>
      </c>
      <c r="D21293" s="38" t="str">
        <f>IFERROR(__xludf.DUMMYFUNCTION("REGEXREPLACE(C21293,""-\d+(.*)|--\d+(.*)"","""")"),"LE PETIT-ABERGEMENT")</f>
        <v>LE PETIT-ABERGEMENT</v>
      </c>
      <c r="E21293" s="38" t="s">
        <v>255</v>
      </c>
      <c r="F21293" s="38" t="s">
        <v>102</v>
      </c>
      <c r="G21293" s="49" t="str">
        <f t="shared" si="1"/>
        <v>01260</v>
      </c>
      <c r="H21293" s="49" t="str">
        <f t="shared" si="2"/>
        <v>01292</v>
      </c>
    </row>
    <row r="21294">
      <c r="A21294" s="48" t="s">
        <v>2431</v>
      </c>
      <c r="B21294" s="38">
        <v>27423.0</v>
      </c>
      <c r="C21294" s="38" t="s">
        <v>25803</v>
      </c>
      <c r="D21294" s="38" t="str">
        <f>IFERROR(__xludf.DUMMYFUNCTION("REGEXREPLACE(C21294,""-\d+(.*)|--\d+(.*)"","""")"),"MUZY")</f>
        <v>MUZY</v>
      </c>
      <c r="E21294" s="38" t="s">
        <v>241</v>
      </c>
      <c r="F21294" s="38" t="s">
        <v>134</v>
      </c>
      <c r="G21294" s="49" t="str">
        <f t="shared" si="1"/>
        <v>27650</v>
      </c>
      <c r="H21294" s="49">
        <f t="shared" si="2"/>
        <v>27423</v>
      </c>
    </row>
    <row r="21295">
      <c r="A21295" s="48" t="s">
        <v>222</v>
      </c>
      <c r="B21295" s="38">
        <v>80095.0</v>
      </c>
      <c r="C21295" s="38" t="s">
        <v>25804</v>
      </c>
      <c r="D21295" s="38" t="str">
        <f>IFERROR(__xludf.DUMMYFUNCTION("REGEXREPLACE(C21295,""-\d+(.*)|--\d+(.*)"","""")"),"BERTRANCOURT")</f>
        <v>BERTRANCOURT</v>
      </c>
      <c r="E21295" s="38" t="s">
        <v>224</v>
      </c>
      <c r="F21295" s="38" t="s">
        <v>113</v>
      </c>
      <c r="G21295" s="49" t="str">
        <f t="shared" si="1"/>
        <v>80560</v>
      </c>
      <c r="H21295" s="49">
        <f t="shared" si="2"/>
        <v>80095</v>
      </c>
    </row>
    <row r="21296">
      <c r="A21296" s="48" t="s">
        <v>2728</v>
      </c>
      <c r="B21296" s="38">
        <v>38308.0</v>
      </c>
      <c r="C21296" s="38" t="s">
        <v>25805</v>
      </c>
      <c r="D21296" s="38" t="str">
        <f>IFERROR(__xludf.DUMMYFUNCTION("REGEXREPLACE(C21296,""-\d+(.*)|--\d+(.*)"","""")"),"PLAN")</f>
        <v>PLAN</v>
      </c>
      <c r="E21296" s="38" t="s">
        <v>101</v>
      </c>
      <c r="F21296" s="38" t="s">
        <v>102</v>
      </c>
      <c r="G21296" s="49" t="str">
        <f t="shared" si="1"/>
        <v>38590</v>
      </c>
      <c r="H21296" s="49">
        <f t="shared" si="2"/>
        <v>38308</v>
      </c>
    </row>
    <row r="21297">
      <c r="A21297" s="48" t="s">
        <v>1866</v>
      </c>
      <c r="B21297" s="38">
        <v>61370.0</v>
      </c>
      <c r="C21297" s="38" t="s">
        <v>6811</v>
      </c>
      <c r="D21297" s="38" t="str">
        <f>IFERROR(__xludf.DUMMYFUNCTION("REGEXREPLACE(C21297,""-\d+(.*)|--\d+(.*)"","""")"),"SAINT-BRICE")</f>
        <v>SAINT-BRICE</v>
      </c>
      <c r="E21297" s="38" t="s">
        <v>141</v>
      </c>
      <c r="F21297" s="38" t="s">
        <v>138</v>
      </c>
      <c r="G21297" s="49" t="str">
        <f t="shared" si="1"/>
        <v>61700</v>
      </c>
      <c r="H21297" s="49">
        <f t="shared" si="2"/>
        <v>61370</v>
      </c>
    </row>
    <row r="21298">
      <c r="A21298" s="48" t="s">
        <v>5842</v>
      </c>
      <c r="B21298" s="38">
        <v>61172.0</v>
      </c>
      <c r="C21298" s="38" t="s">
        <v>25806</v>
      </c>
      <c r="D21298" s="38" t="str">
        <f>IFERROR(__xludf.DUMMYFUNCTION("REGEXREPLACE(C21298,""-\d+(.*)|--\d+(.*)"","""")"),"FONTENAI-LES-LOUVETS")</f>
        <v>FONTENAI-LES-LOUVETS</v>
      </c>
      <c r="E21298" s="38" t="s">
        <v>141</v>
      </c>
      <c r="F21298" s="38" t="s">
        <v>138</v>
      </c>
      <c r="G21298" s="49" t="str">
        <f t="shared" si="1"/>
        <v>61420</v>
      </c>
      <c r="H21298" s="49">
        <f t="shared" si="2"/>
        <v>61172</v>
      </c>
    </row>
    <row r="21299">
      <c r="A21299" s="48" t="s">
        <v>12573</v>
      </c>
      <c r="B21299" s="38">
        <v>7253.0</v>
      </c>
      <c r="C21299" s="38" t="s">
        <v>25807</v>
      </c>
      <c r="D21299" s="38" t="str">
        <f>IFERROR(__xludf.DUMMYFUNCTION("REGEXREPLACE(C21299,""-\d+(.*)|--\d+(.*)"","""")"),"SAINT-JULIEN-DU-GUA")</f>
        <v>SAINT-JULIEN-DU-GUA</v>
      </c>
      <c r="E21299" s="38" t="s">
        <v>144</v>
      </c>
      <c r="F21299" s="38" t="s">
        <v>102</v>
      </c>
      <c r="G21299" s="49" t="str">
        <f t="shared" si="1"/>
        <v>07190</v>
      </c>
      <c r="H21299" s="49" t="str">
        <f t="shared" si="2"/>
        <v>07253</v>
      </c>
    </row>
    <row r="21300">
      <c r="A21300" s="48" t="s">
        <v>2029</v>
      </c>
      <c r="B21300" s="38">
        <v>50571.0</v>
      </c>
      <c r="C21300" s="38" t="s">
        <v>25808</v>
      </c>
      <c r="D21300" s="38" t="str">
        <f>IFERROR(__xludf.DUMMYFUNCTION("REGEXREPLACE(C21300,""-\d+(.*)|--\d+(.*)"","""")"),"SEBEVILLE")</f>
        <v>SEBEVILLE</v>
      </c>
      <c r="E21300" s="38" t="s">
        <v>157</v>
      </c>
      <c r="F21300" s="38" t="s">
        <v>138</v>
      </c>
      <c r="G21300" s="49" t="str">
        <f t="shared" si="1"/>
        <v>50480</v>
      </c>
      <c r="H21300" s="49">
        <f t="shared" si="2"/>
        <v>50571</v>
      </c>
    </row>
    <row r="21301">
      <c r="A21301" s="48" t="s">
        <v>2534</v>
      </c>
      <c r="B21301" s="38">
        <v>27593.0</v>
      </c>
      <c r="C21301" s="38" t="s">
        <v>25809</v>
      </c>
      <c r="D21301" s="38" t="str">
        <f>IFERROR(__xludf.DUMMYFUNCTION("REGEXREPLACE(C21301,""-\d+(.*)|--\d+(.*)"","""")"),"SAINT-PIERRE-DES-FLEURS")</f>
        <v>SAINT-PIERRE-DES-FLEURS</v>
      </c>
      <c r="E21301" s="38" t="s">
        <v>241</v>
      </c>
      <c r="F21301" s="38" t="s">
        <v>134</v>
      </c>
      <c r="G21301" s="49" t="str">
        <f t="shared" si="1"/>
        <v>27370</v>
      </c>
      <c r="H21301" s="49">
        <f t="shared" si="2"/>
        <v>27593</v>
      </c>
    </row>
    <row r="21302">
      <c r="A21302" s="48" t="s">
        <v>1528</v>
      </c>
      <c r="B21302" s="38">
        <v>59555.0</v>
      </c>
      <c r="C21302" s="38" t="s">
        <v>25810</v>
      </c>
      <c r="D21302" s="38" t="str">
        <f>IFERROR(__xludf.DUMMYFUNCTION("REGEXREPLACE(C21302,""-\d+(.*)|--\d+(.*)"","""")"),"SARS-POTERIES")</f>
        <v>SARS-POTERIES</v>
      </c>
      <c r="E21302" s="38" t="s">
        <v>85</v>
      </c>
      <c r="F21302" s="38" t="s">
        <v>86</v>
      </c>
      <c r="G21302" s="49" t="str">
        <f t="shared" si="1"/>
        <v>59216</v>
      </c>
      <c r="H21302" s="49">
        <f t="shared" si="2"/>
        <v>59555</v>
      </c>
    </row>
    <row r="21303">
      <c r="A21303" s="48" t="s">
        <v>22982</v>
      </c>
      <c r="B21303" s="38">
        <v>87202.0</v>
      </c>
      <c r="C21303" s="38" t="s">
        <v>25811</v>
      </c>
      <c r="D21303" s="38" t="str">
        <f>IFERROR(__xludf.DUMMYFUNCTION("REGEXREPLACE(C21303,""-\d+(.*)|--\d+(.*)"","""")"),"VEYRAC")</f>
        <v>VEYRAC</v>
      </c>
      <c r="E21303" s="38" t="s">
        <v>897</v>
      </c>
      <c r="F21303" s="38" t="s">
        <v>98</v>
      </c>
      <c r="G21303" s="49" t="str">
        <f t="shared" si="1"/>
        <v>87520</v>
      </c>
      <c r="H21303" s="49">
        <f t="shared" si="2"/>
        <v>87202</v>
      </c>
    </row>
    <row r="21304">
      <c r="A21304" s="48" t="s">
        <v>25812</v>
      </c>
      <c r="B21304" s="38">
        <v>45154.0</v>
      </c>
      <c r="C21304" s="38" t="s">
        <v>25813</v>
      </c>
      <c r="D21304" s="38" t="str">
        <f>IFERROR(__xludf.DUMMYFUNCTION("REGEXREPLACE(C21304,""-\d+(.*)|--\d+(.*)"","""")"),"GIDY")</f>
        <v>GIDY</v>
      </c>
      <c r="E21304" s="38" t="s">
        <v>122</v>
      </c>
      <c r="F21304" s="38" t="s">
        <v>123</v>
      </c>
      <c r="G21304" s="49" t="str">
        <f t="shared" si="1"/>
        <v>45520</v>
      </c>
      <c r="H21304" s="49">
        <f t="shared" si="2"/>
        <v>45154</v>
      </c>
    </row>
    <row r="21305">
      <c r="A21305" s="48" t="s">
        <v>2095</v>
      </c>
      <c r="B21305" s="38">
        <v>72282.0</v>
      </c>
      <c r="C21305" s="38" t="s">
        <v>25814</v>
      </c>
      <c r="D21305" s="38" t="str">
        <f>IFERROR(__xludf.DUMMYFUNCTION("REGEXREPLACE(C21305,""-\d+(.*)|--\d+(.*)"","""")"),"SAINT-GEORGES-LE-GAULTIER")</f>
        <v>SAINT-GEORGES-LE-GAULTIER</v>
      </c>
      <c r="E21305" s="38" t="s">
        <v>521</v>
      </c>
      <c r="F21305" s="38" t="s">
        <v>180</v>
      </c>
      <c r="G21305" s="49" t="str">
        <f t="shared" si="1"/>
        <v>72130</v>
      </c>
      <c r="H21305" s="49">
        <f t="shared" si="2"/>
        <v>72282</v>
      </c>
    </row>
    <row r="21306">
      <c r="A21306" s="48" t="s">
        <v>10651</v>
      </c>
      <c r="B21306" s="38">
        <v>81091.0</v>
      </c>
      <c r="C21306" s="38" t="s">
        <v>9893</v>
      </c>
      <c r="D21306" s="38" t="str">
        <f>IFERROR(__xludf.DUMMYFUNCTION("REGEXREPLACE(C21306,""-\d+(.*)|--\d+(.*)"","""")"),"FERRIERES")</f>
        <v>FERRIERES</v>
      </c>
      <c r="E21306" s="38" t="s">
        <v>231</v>
      </c>
      <c r="F21306" s="38" t="s">
        <v>94</v>
      </c>
      <c r="G21306" s="49" t="str">
        <f t="shared" si="1"/>
        <v>81260</v>
      </c>
      <c r="H21306" s="49">
        <f t="shared" si="2"/>
        <v>81091</v>
      </c>
    </row>
    <row r="21307">
      <c r="A21307" s="48" t="s">
        <v>21074</v>
      </c>
      <c r="B21307" s="38" t="s">
        <v>25815</v>
      </c>
      <c r="C21307" s="38" t="s">
        <v>25816</v>
      </c>
      <c r="D21307" s="38" t="str">
        <f>IFERROR(__xludf.DUMMYFUNCTION("REGEXREPLACE(C21307,""-\d+(.*)|--\d+(.*)"","""")"),"CERVIONE")</f>
        <v>CERVIONE</v>
      </c>
      <c r="E21307" s="38" t="s">
        <v>743</v>
      </c>
      <c r="F21307" s="38" t="s">
        <v>607</v>
      </c>
      <c r="G21307" s="49" t="str">
        <f t="shared" si="1"/>
        <v>20221</v>
      </c>
      <c r="H21307" s="49" t="str">
        <f t="shared" si="2"/>
        <v>2B087</v>
      </c>
    </row>
    <row r="21308">
      <c r="A21308" s="48" t="s">
        <v>3000</v>
      </c>
      <c r="B21308" s="38">
        <v>23147.0</v>
      </c>
      <c r="C21308" s="38" t="s">
        <v>25817</v>
      </c>
      <c r="D21308" s="38" t="str">
        <f>IFERROR(__xludf.DUMMYFUNCTION("REGEXREPLACE(C21308,""-\d+(.*)|--\d+(.*)"","""")"),"NOUZEROLLES")</f>
        <v>NOUZEROLLES</v>
      </c>
      <c r="E21308" s="38" t="s">
        <v>97</v>
      </c>
      <c r="F21308" s="38" t="s">
        <v>98</v>
      </c>
      <c r="G21308" s="49" t="str">
        <f t="shared" si="1"/>
        <v>23360</v>
      </c>
      <c r="H21308" s="49">
        <f t="shared" si="2"/>
        <v>23147</v>
      </c>
    </row>
    <row r="21309">
      <c r="A21309" s="48" t="s">
        <v>2886</v>
      </c>
      <c r="B21309" s="38">
        <v>89285.0</v>
      </c>
      <c r="C21309" s="38" t="s">
        <v>25818</v>
      </c>
      <c r="D21309" s="38" t="str">
        <f>IFERROR(__xludf.DUMMYFUNCTION("REGEXREPLACE(C21309,""-\d+(.*)|--\d+(.*)"","""")"),"PAILLY")</f>
        <v>PAILLY</v>
      </c>
      <c r="E21309" s="38" t="s">
        <v>275</v>
      </c>
      <c r="F21309" s="38" t="s">
        <v>106</v>
      </c>
      <c r="G21309" s="49" t="str">
        <f t="shared" si="1"/>
        <v>89140</v>
      </c>
      <c r="H21309" s="49">
        <f t="shared" si="2"/>
        <v>89285</v>
      </c>
    </row>
    <row r="21310">
      <c r="A21310" s="48" t="s">
        <v>18040</v>
      </c>
      <c r="B21310" s="38">
        <v>68064.0</v>
      </c>
      <c r="C21310" s="38" t="s">
        <v>25819</v>
      </c>
      <c r="D21310" s="38" t="str">
        <f>IFERROR(__xludf.DUMMYFUNCTION("REGEXREPLACE(C21310,""-\d+(.*)|--\d+(.*)"","""")"),"CHALAMPE")</f>
        <v>CHALAMPE</v>
      </c>
      <c r="E21310" s="38" t="s">
        <v>150</v>
      </c>
      <c r="F21310" s="38" t="s">
        <v>151</v>
      </c>
      <c r="G21310" s="49" t="str">
        <f t="shared" si="1"/>
        <v>68490</v>
      </c>
      <c r="H21310" s="49">
        <f t="shared" si="2"/>
        <v>68064</v>
      </c>
    </row>
    <row r="21311">
      <c r="A21311" s="48" t="s">
        <v>1688</v>
      </c>
      <c r="B21311" s="38">
        <v>76021.0</v>
      </c>
      <c r="C21311" s="38" t="s">
        <v>25820</v>
      </c>
      <c r="D21311" s="38" t="str">
        <f>IFERROR(__xludf.DUMMYFUNCTION("REGEXREPLACE(C21311,""-\d+(.*)|--\d+(.*)"","""")"),"ANNOUVILLE-VILMESNIL")</f>
        <v>ANNOUVILLE-VILMESNIL</v>
      </c>
      <c r="E21311" s="38" t="s">
        <v>133</v>
      </c>
      <c r="F21311" s="38" t="s">
        <v>134</v>
      </c>
      <c r="G21311" s="49" t="str">
        <f t="shared" si="1"/>
        <v>76110</v>
      </c>
      <c r="H21311" s="49">
        <f t="shared" si="2"/>
        <v>76021</v>
      </c>
    </row>
    <row r="21312">
      <c r="A21312" s="48" t="s">
        <v>1268</v>
      </c>
      <c r="B21312" s="38">
        <v>8375.0</v>
      </c>
      <c r="C21312" s="38" t="s">
        <v>25821</v>
      </c>
      <c r="D21312" s="38" t="str">
        <f>IFERROR(__xludf.DUMMYFUNCTION("REGEXREPLACE(C21312,""-\d+(.*)|--\d+(.*)"","""")"),"SACHY")</f>
        <v>SACHY</v>
      </c>
      <c r="E21312" s="38" t="s">
        <v>327</v>
      </c>
      <c r="F21312" s="38" t="s">
        <v>130</v>
      </c>
      <c r="G21312" s="49" t="str">
        <f t="shared" si="1"/>
        <v>08110</v>
      </c>
      <c r="H21312" s="49" t="str">
        <f t="shared" si="2"/>
        <v>08375</v>
      </c>
    </row>
    <row r="21313">
      <c r="A21313" s="48" t="s">
        <v>15250</v>
      </c>
      <c r="B21313" s="38">
        <v>86250.0</v>
      </c>
      <c r="C21313" s="38" t="s">
        <v>23452</v>
      </c>
      <c r="D21313" s="38" t="str">
        <f>IFERROR(__xludf.DUMMYFUNCTION("REGEXREPLACE(C21313,""-\d+(.*)|--\d+(.*)"","""")"),"SAIX")</f>
        <v>SAIX</v>
      </c>
      <c r="E21313" s="38" t="s">
        <v>529</v>
      </c>
      <c r="F21313" s="38" t="s">
        <v>338</v>
      </c>
      <c r="G21313" s="49" t="str">
        <f t="shared" si="1"/>
        <v>86120</v>
      </c>
      <c r="H21313" s="49">
        <f t="shared" si="2"/>
        <v>86250</v>
      </c>
    </row>
    <row r="21314">
      <c r="A21314" s="48" t="s">
        <v>5944</v>
      </c>
      <c r="B21314" s="38">
        <v>62077.0</v>
      </c>
      <c r="C21314" s="38" t="s">
        <v>25822</v>
      </c>
      <c r="D21314" s="38" t="str">
        <f>IFERROR(__xludf.DUMMYFUNCTION("REGEXREPLACE(C21314,""-\d+(.*)|--\d+(.*)"","""")"),"BAJUS")</f>
        <v>BAJUS</v>
      </c>
      <c r="E21314" s="38" t="s">
        <v>109</v>
      </c>
      <c r="F21314" s="38" t="s">
        <v>86</v>
      </c>
      <c r="G21314" s="49" t="str">
        <f t="shared" si="1"/>
        <v>62150</v>
      </c>
      <c r="H21314" s="49">
        <f t="shared" si="2"/>
        <v>62077</v>
      </c>
    </row>
    <row r="21315">
      <c r="A21315" s="48" t="s">
        <v>8173</v>
      </c>
      <c r="B21315" s="38">
        <v>43247.0</v>
      </c>
      <c r="C21315" s="38" t="s">
        <v>25823</v>
      </c>
      <c r="D21315" s="38" t="str">
        <f>IFERROR(__xludf.DUMMYFUNCTION("REGEXREPLACE(C21315,""-\d+(.*)|--\d+(.*)"","""")"),"TORSIAC")</f>
        <v>TORSIAC</v>
      </c>
      <c r="E21315" s="38" t="s">
        <v>332</v>
      </c>
      <c r="F21315" s="38" t="s">
        <v>161</v>
      </c>
      <c r="G21315" s="49" t="str">
        <f t="shared" si="1"/>
        <v>43450</v>
      </c>
      <c r="H21315" s="49">
        <f t="shared" si="2"/>
        <v>43247</v>
      </c>
    </row>
    <row r="21316">
      <c r="A21316" s="48" t="s">
        <v>2120</v>
      </c>
      <c r="B21316" s="38">
        <v>50045.0</v>
      </c>
      <c r="C21316" s="38" t="s">
        <v>25824</v>
      </c>
      <c r="D21316" s="38" t="str">
        <f>IFERROR(__xludf.DUMMYFUNCTION("REGEXREPLACE(C21316,""-\d+(.*)|--\d+(.*)"","""")"),"BENOITVILLE")</f>
        <v>BENOITVILLE</v>
      </c>
      <c r="E21316" s="38" t="s">
        <v>157</v>
      </c>
      <c r="F21316" s="38" t="s">
        <v>138</v>
      </c>
      <c r="G21316" s="49" t="str">
        <f t="shared" si="1"/>
        <v>50340</v>
      </c>
      <c r="H21316" s="49">
        <f t="shared" si="2"/>
        <v>50045</v>
      </c>
    </row>
    <row r="21317">
      <c r="A21317" s="48" t="s">
        <v>12132</v>
      </c>
      <c r="B21317" s="38">
        <v>33167.0</v>
      </c>
      <c r="C21317" s="38" t="s">
        <v>25825</v>
      </c>
      <c r="D21317" s="38" t="str">
        <f>IFERROR(__xludf.DUMMYFUNCTION("REGEXREPLACE(C21317,""-\d+(.*)|--\d+(.*)"","""")"),"FLOIRAC")</f>
        <v>FLOIRAC</v>
      </c>
      <c r="E21317" s="38" t="s">
        <v>462</v>
      </c>
      <c r="F21317" s="38" t="s">
        <v>252</v>
      </c>
      <c r="G21317" s="49" t="str">
        <f t="shared" si="1"/>
        <v>33270</v>
      </c>
      <c r="H21317" s="49">
        <f t="shared" si="2"/>
        <v>33167</v>
      </c>
    </row>
    <row r="21318">
      <c r="A21318" s="48" t="s">
        <v>1841</v>
      </c>
      <c r="B21318" s="38">
        <v>27618.0</v>
      </c>
      <c r="C21318" s="38" t="s">
        <v>25826</v>
      </c>
      <c r="D21318" s="38" t="str">
        <f>IFERROR(__xludf.DUMMYFUNCTION("REGEXREPLACE(C21318,""-\d+(.*)|--\d+(.*)"","""")"),"SEBECOURT")</f>
        <v>SEBECOURT</v>
      </c>
      <c r="E21318" s="38" t="s">
        <v>241</v>
      </c>
      <c r="F21318" s="38" t="s">
        <v>134</v>
      </c>
      <c r="G21318" s="49" t="str">
        <f t="shared" si="1"/>
        <v>27190</v>
      </c>
      <c r="H21318" s="49">
        <f t="shared" si="2"/>
        <v>27618</v>
      </c>
    </row>
    <row r="21319">
      <c r="A21319" s="48" t="s">
        <v>4199</v>
      </c>
      <c r="B21319" s="38">
        <v>17243.0</v>
      </c>
      <c r="C21319" s="38" t="s">
        <v>25827</v>
      </c>
      <c r="D21319" s="38" t="str">
        <f>IFERROR(__xludf.DUMMYFUNCTION("REGEXREPLACE(C21319,""-\d+(.*)|--\d+(.*)"","""")"),"MONTLIEU-LA-GARDE")</f>
        <v>MONTLIEU-LA-GARDE</v>
      </c>
      <c r="E21319" s="38" t="s">
        <v>488</v>
      </c>
      <c r="F21319" s="38" t="s">
        <v>338</v>
      </c>
      <c r="G21319" s="49" t="str">
        <f t="shared" si="1"/>
        <v>17210</v>
      </c>
      <c r="H21319" s="49">
        <f t="shared" si="2"/>
        <v>17243</v>
      </c>
    </row>
    <row r="21320">
      <c r="A21320" s="48" t="s">
        <v>17977</v>
      </c>
      <c r="B21320" s="38">
        <v>19274.0</v>
      </c>
      <c r="C21320" s="38" t="s">
        <v>25828</v>
      </c>
      <c r="D21320" s="38" t="str">
        <f>IFERROR(__xludf.DUMMYFUNCTION("REGEXREPLACE(C21320,""-\d+(.*)|--\d+(.*)"","""")"),"USSAC")</f>
        <v>USSAC</v>
      </c>
      <c r="E21320" s="38" t="s">
        <v>271</v>
      </c>
      <c r="F21320" s="38" t="s">
        <v>98</v>
      </c>
      <c r="G21320" s="49" t="str">
        <f t="shared" si="1"/>
        <v>19270</v>
      </c>
      <c r="H21320" s="49">
        <f t="shared" si="2"/>
        <v>19274</v>
      </c>
    </row>
    <row r="21321">
      <c r="A21321" s="48" t="s">
        <v>7645</v>
      </c>
      <c r="B21321" s="38">
        <v>34245.0</v>
      </c>
      <c r="C21321" s="38" t="s">
        <v>25829</v>
      </c>
      <c r="D21321" s="38" t="str">
        <f>IFERROR(__xludf.DUMMYFUNCTION("REGEXREPLACE(C21321,""-\d+(.*)|--\d+(.*)"","""")"),"SAINT-CHINIAN")</f>
        <v>SAINT-CHINIAN</v>
      </c>
      <c r="E21321" s="38" t="s">
        <v>118</v>
      </c>
      <c r="F21321" s="38" t="s">
        <v>119</v>
      </c>
      <c r="G21321" s="49" t="str">
        <f t="shared" si="1"/>
        <v>34360</v>
      </c>
      <c r="H21321" s="49">
        <f t="shared" si="2"/>
        <v>34245</v>
      </c>
    </row>
    <row r="21322">
      <c r="A21322" s="48" t="s">
        <v>3948</v>
      </c>
      <c r="B21322" s="38">
        <v>21129.0</v>
      </c>
      <c r="C21322" s="38" t="s">
        <v>25830</v>
      </c>
      <c r="D21322" s="38" t="str">
        <f>IFERROR(__xludf.DUMMYFUNCTION("REGEXREPLACE(C21322,""-\d+(.*)|--\d+(.*)"","""")"),"CHAMBAIN")</f>
        <v>CHAMBAIN</v>
      </c>
      <c r="E21322" s="38" t="s">
        <v>105</v>
      </c>
      <c r="F21322" s="38" t="s">
        <v>106</v>
      </c>
      <c r="G21322" s="49" t="str">
        <f t="shared" si="1"/>
        <v>21290</v>
      </c>
      <c r="H21322" s="49">
        <f t="shared" si="2"/>
        <v>21129</v>
      </c>
    </row>
    <row r="21323">
      <c r="A21323" s="48" t="s">
        <v>11240</v>
      </c>
      <c r="B21323" s="38">
        <v>51216.0</v>
      </c>
      <c r="C21323" s="38" t="s">
        <v>25831</v>
      </c>
      <c r="D21323" s="38" t="str">
        <f>IFERROR(__xludf.DUMMYFUNCTION("REGEXREPLACE(C21323,""-\d+(.*)|--\d+(.*)"","""")"),"DONTRIEN")</f>
        <v>DONTRIEN</v>
      </c>
      <c r="E21323" s="38" t="s">
        <v>129</v>
      </c>
      <c r="F21323" s="38" t="s">
        <v>130</v>
      </c>
      <c r="G21323" s="49" t="str">
        <f t="shared" si="1"/>
        <v>51490</v>
      </c>
      <c r="H21323" s="49">
        <f t="shared" si="2"/>
        <v>51216</v>
      </c>
    </row>
    <row r="21324">
      <c r="A21324" s="48" t="s">
        <v>12799</v>
      </c>
      <c r="B21324" s="38">
        <v>11212.0</v>
      </c>
      <c r="C21324" s="38" t="s">
        <v>25832</v>
      </c>
      <c r="D21324" s="38" t="str">
        <f>IFERROR(__xludf.DUMMYFUNCTION("REGEXREPLACE(C21324,""-\d+(.*)|--\d+(.*)"","""")"),"MAILHAC")</f>
        <v>MAILHAC</v>
      </c>
      <c r="E21324" s="38" t="s">
        <v>278</v>
      </c>
      <c r="F21324" s="38" t="s">
        <v>119</v>
      </c>
      <c r="G21324" s="49" t="str">
        <f t="shared" si="1"/>
        <v>11120</v>
      </c>
      <c r="H21324" s="49">
        <f t="shared" si="2"/>
        <v>11212</v>
      </c>
    </row>
    <row r="21325">
      <c r="A21325" s="48" t="s">
        <v>3473</v>
      </c>
      <c r="B21325" s="38">
        <v>69025.0</v>
      </c>
      <c r="C21325" s="38" t="s">
        <v>25833</v>
      </c>
      <c r="D21325" s="38" t="str">
        <f>IFERROR(__xludf.DUMMYFUNCTION("REGEXREPLACE(C21325,""-\d+(.*)|--\d+(.*)"","""")"),"BOURG-DE-THIZY")</f>
        <v>BOURG-DE-THIZY</v>
      </c>
      <c r="E21325" s="38" t="s">
        <v>350</v>
      </c>
      <c r="F21325" s="38" t="s">
        <v>102</v>
      </c>
      <c r="G21325" s="49" t="str">
        <f t="shared" si="1"/>
        <v>69240</v>
      </c>
      <c r="H21325" s="49">
        <f t="shared" si="2"/>
        <v>69025</v>
      </c>
    </row>
    <row r="21326">
      <c r="A21326" s="48" t="s">
        <v>8204</v>
      </c>
      <c r="B21326" s="38">
        <v>78677.0</v>
      </c>
      <c r="C21326" s="38" t="s">
        <v>25834</v>
      </c>
      <c r="D21326" s="38" t="str">
        <f>IFERROR(__xludf.DUMMYFUNCTION("REGEXREPLACE(C21326,""-\d+(.*)|--\d+(.*)"","""")"),"VILLETTE")</f>
        <v>VILLETTE</v>
      </c>
      <c r="E21326" s="38" t="s">
        <v>362</v>
      </c>
      <c r="F21326" s="38" t="s">
        <v>245</v>
      </c>
      <c r="G21326" s="49" t="str">
        <f t="shared" si="1"/>
        <v>78930</v>
      </c>
      <c r="H21326" s="49">
        <f t="shared" si="2"/>
        <v>78677</v>
      </c>
    </row>
    <row r="21327">
      <c r="A21327" s="48" t="s">
        <v>12184</v>
      </c>
      <c r="B21327" s="38">
        <v>49130.0</v>
      </c>
      <c r="C21327" s="38" t="s">
        <v>25835</v>
      </c>
      <c r="D21327" s="38" t="str">
        <f>IFERROR(__xludf.DUMMYFUNCTION("REGEXREPLACE(C21327,""-\d+(.*)|--\d+(.*)"","""")"),"ECUILLE")</f>
        <v>ECUILLE</v>
      </c>
      <c r="E21327" s="38" t="s">
        <v>653</v>
      </c>
      <c r="F21327" s="38" t="s">
        <v>180</v>
      </c>
      <c r="G21327" s="49" t="str">
        <f t="shared" si="1"/>
        <v>49460</v>
      </c>
      <c r="H21327" s="49">
        <f t="shared" si="2"/>
        <v>49130</v>
      </c>
    </row>
    <row r="21328">
      <c r="A21328" s="48" t="s">
        <v>25836</v>
      </c>
      <c r="B21328" s="38">
        <v>29210.0</v>
      </c>
      <c r="C21328" s="38" t="s">
        <v>25837</v>
      </c>
      <c r="D21328" s="38" t="str">
        <f>IFERROR(__xludf.DUMMYFUNCTION("REGEXREPLACE(C21328,""-\d+(.*)|--\d+(.*)"","""")"),"PLOUVORN")</f>
        <v>PLOUVORN</v>
      </c>
      <c r="E21328" s="38" t="s">
        <v>176</v>
      </c>
      <c r="F21328" s="38" t="s">
        <v>90</v>
      </c>
      <c r="G21328" s="49" t="str">
        <f t="shared" si="1"/>
        <v>29420</v>
      </c>
      <c r="H21328" s="49">
        <f t="shared" si="2"/>
        <v>29210</v>
      </c>
    </row>
    <row r="21329">
      <c r="A21329" s="48" t="s">
        <v>8829</v>
      </c>
      <c r="B21329" s="38">
        <v>63439.0</v>
      </c>
      <c r="C21329" s="38" t="s">
        <v>25838</v>
      </c>
      <c r="D21329" s="38" t="str">
        <f>IFERROR(__xludf.DUMMYFUNCTION("REGEXREPLACE(C21329,""-\d+(.*)|--\d+(.*)"","""")"),"USSON")</f>
        <v>USSON</v>
      </c>
      <c r="E21329" s="38" t="s">
        <v>353</v>
      </c>
      <c r="F21329" s="38" t="s">
        <v>161</v>
      </c>
      <c r="G21329" s="49" t="str">
        <f t="shared" si="1"/>
        <v>63490</v>
      </c>
      <c r="H21329" s="49">
        <f t="shared" si="2"/>
        <v>63439</v>
      </c>
    </row>
    <row r="21330">
      <c r="A21330" s="48" t="s">
        <v>3900</v>
      </c>
      <c r="B21330" s="38">
        <v>2621.0</v>
      </c>
      <c r="C21330" s="38" t="s">
        <v>25839</v>
      </c>
      <c r="D21330" s="38" t="str">
        <f>IFERROR(__xludf.DUMMYFUNCTION("REGEXREPLACE(C21330,""-\d+(.*)|--\d+(.*)"","""")"),"PRESLES-ET-THIERNY")</f>
        <v>PRESLES-ET-THIERNY</v>
      </c>
      <c r="E21330" s="38" t="s">
        <v>191</v>
      </c>
      <c r="F21330" s="38" t="s">
        <v>113</v>
      </c>
      <c r="G21330" s="49" t="str">
        <f t="shared" si="1"/>
        <v>02860</v>
      </c>
      <c r="H21330" s="49" t="str">
        <f t="shared" si="2"/>
        <v>02621</v>
      </c>
    </row>
    <row r="21331">
      <c r="A21331" s="48" t="s">
        <v>775</v>
      </c>
      <c r="B21331" s="38">
        <v>14182.0</v>
      </c>
      <c r="C21331" s="38" t="s">
        <v>25840</v>
      </c>
      <c r="D21331" s="38" t="str">
        <f>IFERROR(__xludf.DUMMYFUNCTION("REGEXREPLACE(C21331,""-\d+(.*)|--\d+(.*)"","""")"),"CORMOLAIN")</f>
        <v>CORMOLAIN</v>
      </c>
      <c r="E21331" s="38" t="s">
        <v>137</v>
      </c>
      <c r="F21331" s="38" t="s">
        <v>138</v>
      </c>
      <c r="G21331" s="49" t="str">
        <f t="shared" si="1"/>
        <v>14240</v>
      </c>
      <c r="H21331" s="49">
        <f t="shared" si="2"/>
        <v>14182</v>
      </c>
    </row>
    <row r="21332">
      <c r="A21332" s="48" t="s">
        <v>20867</v>
      </c>
      <c r="B21332" s="38" t="s">
        <v>25841</v>
      </c>
      <c r="C21332" s="38" t="s">
        <v>25842</v>
      </c>
      <c r="D21332" s="38" t="str">
        <f>IFERROR(__xludf.DUMMYFUNCTION("REGEXREPLACE(C21332,""-\d+(.*)|--\d+(.*)"","""")"),"FELCE")</f>
        <v>FELCE</v>
      </c>
      <c r="E21332" s="38" t="s">
        <v>743</v>
      </c>
      <c r="F21332" s="38" t="s">
        <v>607</v>
      </c>
      <c r="G21332" s="49" t="str">
        <f t="shared" si="1"/>
        <v>20234</v>
      </c>
      <c r="H21332" s="49" t="str">
        <f t="shared" si="2"/>
        <v>2B111</v>
      </c>
    </row>
    <row r="21333">
      <c r="A21333" s="48" t="s">
        <v>2162</v>
      </c>
      <c r="B21333" s="38">
        <v>26131.0</v>
      </c>
      <c r="C21333" s="38" t="s">
        <v>25843</v>
      </c>
      <c r="D21333" s="38" t="str">
        <f>IFERROR(__xludf.DUMMYFUNCTION("REGEXREPLACE(C21333,""-\d+(.*)|--\d+(.*)"","""")"),"EYZAHUT")</f>
        <v>EYZAHUT</v>
      </c>
      <c r="E21333" s="38" t="s">
        <v>126</v>
      </c>
      <c r="F21333" s="38" t="s">
        <v>102</v>
      </c>
      <c r="G21333" s="49" t="str">
        <f t="shared" si="1"/>
        <v>26160</v>
      </c>
      <c r="H21333" s="49">
        <f t="shared" si="2"/>
        <v>26131</v>
      </c>
    </row>
    <row r="21334">
      <c r="A21334" s="48" t="s">
        <v>5451</v>
      </c>
      <c r="B21334" s="38">
        <v>19143.0</v>
      </c>
      <c r="C21334" s="38" t="s">
        <v>25844</v>
      </c>
      <c r="D21334" s="38" t="str">
        <f>IFERROR(__xludf.DUMMYFUNCTION("REGEXREPLACE(C21334,""-\d+(.*)|--\d+(.*)"","""")"),"MONTAIGNAC-SAINT-HIPPOLYTE")</f>
        <v>MONTAIGNAC-SAINT-HIPPOLYTE</v>
      </c>
      <c r="E21334" s="38" t="s">
        <v>271</v>
      </c>
      <c r="F21334" s="38" t="s">
        <v>98</v>
      </c>
      <c r="G21334" s="49" t="str">
        <f t="shared" si="1"/>
        <v>19300</v>
      </c>
      <c r="H21334" s="49">
        <f t="shared" si="2"/>
        <v>19143</v>
      </c>
    </row>
    <row r="21335">
      <c r="A21335" s="48" t="s">
        <v>411</v>
      </c>
      <c r="B21335" s="38">
        <v>57487.0</v>
      </c>
      <c r="C21335" s="38" t="s">
        <v>25845</v>
      </c>
      <c r="D21335" s="38" t="str">
        <f>IFERROR(__xludf.DUMMYFUNCTION("REGEXREPLACE(C21335,""-\d+(.*)|--\d+(.*)"","""")"),"MOULINS-LES-METZ")</f>
        <v>MOULINS-LES-METZ</v>
      </c>
      <c r="E21335" s="38" t="s">
        <v>303</v>
      </c>
      <c r="F21335" s="38" t="s">
        <v>195</v>
      </c>
      <c r="G21335" s="49" t="str">
        <f t="shared" si="1"/>
        <v>57160</v>
      </c>
      <c r="H21335" s="49">
        <f t="shared" si="2"/>
        <v>57487</v>
      </c>
    </row>
    <row r="21336">
      <c r="A21336" s="48" t="s">
        <v>5650</v>
      </c>
      <c r="B21336" s="38">
        <v>1269.0</v>
      </c>
      <c r="C21336" s="38" t="s">
        <v>25846</v>
      </c>
      <c r="D21336" s="38" t="str">
        <f>IFERROR(__xludf.DUMMYFUNCTION("REGEXREPLACE(C21336,""-\d+(.*)|--\d+(.*)"","""")"),"NANTUA")</f>
        <v>NANTUA</v>
      </c>
      <c r="E21336" s="38" t="s">
        <v>255</v>
      </c>
      <c r="F21336" s="38" t="s">
        <v>102</v>
      </c>
      <c r="G21336" s="49" t="str">
        <f t="shared" si="1"/>
        <v>01130</v>
      </c>
      <c r="H21336" s="49" t="str">
        <f t="shared" si="2"/>
        <v>01269</v>
      </c>
    </row>
    <row r="21337">
      <c r="A21337" s="48" t="s">
        <v>3789</v>
      </c>
      <c r="B21337" s="38">
        <v>51312.0</v>
      </c>
      <c r="C21337" s="38" t="s">
        <v>9394</v>
      </c>
      <c r="D21337" s="38" t="str">
        <f>IFERROR(__xludf.DUMMYFUNCTION("REGEXREPLACE(C21337,""-\d+(.*)|--\d+(.*)"","""")"),"JUVIGNY")</f>
        <v>JUVIGNY</v>
      </c>
      <c r="E21337" s="38" t="s">
        <v>129</v>
      </c>
      <c r="F21337" s="38" t="s">
        <v>130</v>
      </c>
      <c r="G21337" s="49" t="str">
        <f t="shared" si="1"/>
        <v>51150</v>
      </c>
      <c r="H21337" s="49">
        <f t="shared" si="2"/>
        <v>51312</v>
      </c>
    </row>
    <row r="21338">
      <c r="A21338" s="48" t="s">
        <v>9801</v>
      </c>
      <c r="B21338" s="38">
        <v>2543.0</v>
      </c>
      <c r="C21338" s="38" t="s">
        <v>25847</v>
      </c>
      <c r="D21338" s="38" t="str">
        <f>IFERROR(__xludf.DUMMYFUNCTION("REGEXREPLACE(C21338,""-\d+(.*)|--\d+(.*)"","""")"),"NEUILLY-SAINT-FRONT")</f>
        <v>NEUILLY-SAINT-FRONT</v>
      </c>
      <c r="E21338" s="38" t="s">
        <v>191</v>
      </c>
      <c r="F21338" s="38" t="s">
        <v>113</v>
      </c>
      <c r="G21338" s="49" t="str">
        <f t="shared" si="1"/>
        <v>02470</v>
      </c>
      <c r="H21338" s="49" t="str">
        <f t="shared" si="2"/>
        <v>02543</v>
      </c>
    </row>
    <row r="21339">
      <c r="A21339" s="48" t="s">
        <v>9074</v>
      </c>
      <c r="B21339" s="38">
        <v>84082.0</v>
      </c>
      <c r="C21339" s="38" t="s">
        <v>25848</v>
      </c>
      <c r="D21339" s="38" t="str">
        <f>IFERROR(__xludf.DUMMYFUNCTION("REGEXREPLACE(C21339,""-\d+(.*)|--\d+(.*)"","""")"),"MORMOIRON")</f>
        <v>MORMOIRON</v>
      </c>
      <c r="E21339" s="38" t="s">
        <v>1026</v>
      </c>
      <c r="F21339" s="38" t="s">
        <v>228</v>
      </c>
      <c r="G21339" s="49" t="str">
        <f t="shared" si="1"/>
        <v>84570</v>
      </c>
      <c r="H21339" s="49">
        <f t="shared" si="2"/>
        <v>84082</v>
      </c>
    </row>
    <row r="21340">
      <c r="A21340" s="48" t="s">
        <v>9991</v>
      </c>
      <c r="B21340" s="38">
        <v>9031.0</v>
      </c>
      <c r="C21340" s="38" t="s">
        <v>25849</v>
      </c>
      <c r="D21340" s="38" t="str">
        <f>IFERROR(__xludf.DUMMYFUNCTION("REGEXREPLACE(C21340,""-\d+(.*)|--\d+(.*)"","""")"),"AXIAT")</f>
        <v>AXIAT</v>
      </c>
      <c r="E21340" s="38" t="s">
        <v>238</v>
      </c>
      <c r="F21340" s="38" t="s">
        <v>94</v>
      </c>
      <c r="G21340" s="49" t="str">
        <f t="shared" si="1"/>
        <v>09250</v>
      </c>
      <c r="H21340" s="49" t="str">
        <f t="shared" si="2"/>
        <v>09031</v>
      </c>
    </row>
    <row r="21341">
      <c r="A21341" s="48" t="s">
        <v>866</v>
      </c>
      <c r="B21341" s="38">
        <v>63050.0</v>
      </c>
      <c r="C21341" s="38" t="s">
        <v>25850</v>
      </c>
      <c r="D21341" s="38" t="str">
        <f>IFERROR(__xludf.DUMMYFUNCTION("REGEXREPLACE(C21341,""-\d+(.*)|--\d+(.*)"","""")"),"BRASSAC-LES-MINES")</f>
        <v>BRASSAC-LES-MINES</v>
      </c>
      <c r="E21341" s="38" t="s">
        <v>353</v>
      </c>
      <c r="F21341" s="38" t="s">
        <v>161</v>
      </c>
      <c r="G21341" s="49" t="str">
        <f t="shared" si="1"/>
        <v>63570</v>
      </c>
      <c r="H21341" s="49">
        <f t="shared" si="2"/>
        <v>63050</v>
      </c>
    </row>
    <row r="21342">
      <c r="A21342" s="48" t="s">
        <v>9221</v>
      </c>
      <c r="B21342" s="38">
        <v>34163.0</v>
      </c>
      <c r="C21342" s="38" t="s">
        <v>25851</v>
      </c>
      <c r="D21342" s="38" t="str">
        <f>IFERROR(__xludf.DUMMYFUNCTION("REGEXREPLACE(C21342,""-\d+(.*)|--\d+(.*)"","""")"),"MONTARNAUD")</f>
        <v>MONTARNAUD</v>
      </c>
      <c r="E21342" s="38" t="s">
        <v>118</v>
      </c>
      <c r="F21342" s="38" t="s">
        <v>119</v>
      </c>
      <c r="G21342" s="49" t="str">
        <f t="shared" si="1"/>
        <v>34570</v>
      </c>
      <c r="H21342" s="49">
        <f t="shared" si="2"/>
        <v>34163</v>
      </c>
    </row>
    <row r="21343">
      <c r="A21343" s="48" t="s">
        <v>1841</v>
      </c>
      <c r="B21343" s="38">
        <v>27281.0</v>
      </c>
      <c r="C21343" s="38" t="s">
        <v>25852</v>
      </c>
      <c r="D21343" s="38" t="str">
        <f>IFERROR(__xludf.DUMMYFUNCTION("REGEXREPLACE(C21343,""-\d+(.*)|--\d+(.*)"","""")"),"GAUDREVILLE-LA-RIVIERE")</f>
        <v>GAUDREVILLE-LA-RIVIERE</v>
      </c>
      <c r="E21343" s="38" t="s">
        <v>241</v>
      </c>
      <c r="F21343" s="38" t="s">
        <v>134</v>
      </c>
      <c r="G21343" s="49" t="str">
        <f t="shared" si="1"/>
        <v>27190</v>
      </c>
      <c r="H21343" s="49">
        <f t="shared" si="2"/>
        <v>27281</v>
      </c>
    </row>
    <row r="21344">
      <c r="A21344" s="48" t="s">
        <v>8396</v>
      </c>
      <c r="B21344" s="38">
        <v>7053.0</v>
      </c>
      <c r="C21344" s="38" t="s">
        <v>25853</v>
      </c>
      <c r="D21344" s="38" t="str">
        <f>IFERROR(__xludf.DUMMYFUNCTION("REGEXREPLACE(C21344,""-\d+(.*)|--\d+(.*)"","""")"),"CHANDOLAS")</f>
        <v>CHANDOLAS</v>
      </c>
      <c r="E21344" s="38" t="s">
        <v>144</v>
      </c>
      <c r="F21344" s="38" t="s">
        <v>102</v>
      </c>
      <c r="G21344" s="49" t="str">
        <f t="shared" si="1"/>
        <v>07230</v>
      </c>
      <c r="H21344" s="49" t="str">
        <f t="shared" si="2"/>
        <v>07053</v>
      </c>
    </row>
    <row r="21345">
      <c r="A21345" s="48" t="s">
        <v>3842</v>
      </c>
      <c r="B21345" s="38">
        <v>88424.0</v>
      </c>
      <c r="C21345" s="38" t="s">
        <v>7772</v>
      </c>
      <c r="D21345" s="38" t="str">
        <f>IFERROR(__xludf.DUMMYFUNCTION("REGEXREPLACE(C21345,""-\d+(.*)|--\d+(.*)"","""")"),"SAINTE-MARGUERITE")</f>
        <v>SAINTE-MARGUERITE</v>
      </c>
      <c r="E21345" s="38" t="s">
        <v>194</v>
      </c>
      <c r="F21345" s="38" t="s">
        <v>195</v>
      </c>
      <c r="G21345" s="49" t="str">
        <f t="shared" si="1"/>
        <v>88100</v>
      </c>
      <c r="H21345" s="49">
        <f t="shared" si="2"/>
        <v>88424</v>
      </c>
    </row>
    <row r="21346">
      <c r="A21346" s="48" t="s">
        <v>4830</v>
      </c>
      <c r="B21346" s="38">
        <v>61233.0</v>
      </c>
      <c r="C21346" s="38" t="s">
        <v>25854</v>
      </c>
      <c r="D21346" s="38" t="str">
        <f>IFERROR(__xludf.DUMMYFUNCTION("REGEXREPLACE(C21346,""-\d+(.*)|--\d+(.*)"","""")"),"LONLAY-LE-TESSON")</f>
        <v>LONLAY-LE-TESSON</v>
      </c>
      <c r="E21346" s="38" t="s">
        <v>141</v>
      </c>
      <c r="F21346" s="38" t="s">
        <v>138</v>
      </c>
      <c r="G21346" s="49" t="str">
        <f t="shared" si="1"/>
        <v>61600</v>
      </c>
      <c r="H21346" s="49">
        <f t="shared" si="2"/>
        <v>61233</v>
      </c>
    </row>
    <row r="21347">
      <c r="A21347" s="48" t="s">
        <v>3321</v>
      </c>
      <c r="B21347" s="38">
        <v>47164.0</v>
      </c>
      <c r="C21347" s="38" t="s">
        <v>25855</v>
      </c>
      <c r="D21347" s="38" t="str">
        <f>IFERROR(__xludf.DUMMYFUNCTION("REGEXREPLACE(C21347,""-\d+(.*)|--\d+(.*)"","""")"),"MAZIERES-NARESSE")</f>
        <v>MAZIERES-NARESSE</v>
      </c>
      <c r="E21347" s="38" t="s">
        <v>251</v>
      </c>
      <c r="F21347" s="38" t="s">
        <v>252</v>
      </c>
      <c r="G21347" s="49" t="str">
        <f t="shared" si="1"/>
        <v>47210</v>
      </c>
      <c r="H21347" s="49">
        <f t="shared" si="2"/>
        <v>47164</v>
      </c>
    </row>
    <row r="21348">
      <c r="A21348" s="48" t="s">
        <v>10366</v>
      </c>
      <c r="B21348" s="38">
        <v>1314.0</v>
      </c>
      <c r="C21348" s="38" t="s">
        <v>25856</v>
      </c>
      <c r="D21348" s="38" t="str">
        <f>IFERROR(__xludf.DUMMYFUNCTION("REGEXREPLACE(C21348,""-\d+(.*)|--\d+(.*)"","""")"),"PRIAY")</f>
        <v>PRIAY</v>
      </c>
      <c r="E21348" s="38" t="s">
        <v>255</v>
      </c>
      <c r="F21348" s="38" t="s">
        <v>102</v>
      </c>
      <c r="G21348" s="49" t="str">
        <f t="shared" si="1"/>
        <v>01160</v>
      </c>
      <c r="H21348" s="49" t="str">
        <f t="shared" si="2"/>
        <v>01314</v>
      </c>
    </row>
    <row r="21349">
      <c r="A21349" s="48" t="s">
        <v>1022</v>
      </c>
      <c r="B21349" s="38">
        <v>2624.0</v>
      </c>
      <c r="C21349" s="38" t="s">
        <v>25857</v>
      </c>
      <c r="D21349" s="38" t="str">
        <f>IFERROR(__xludf.DUMMYFUNCTION("REGEXREPLACE(C21349,""-\d+(.*)|--\d+(.*)"","""")"),"PROISY")</f>
        <v>PROISY</v>
      </c>
      <c r="E21349" s="38" t="s">
        <v>191</v>
      </c>
      <c r="F21349" s="38" t="s">
        <v>113</v>
      </c>
      <c r="G21349" s="49" t="str">
        <f t="shared" si="1"/>
        <v>02120</v>
      </c>
      <c r="H21349" s="49" t="str">
        <f t="shared" si="2"/>
        <v>02624</v>
      </c>
    </row>
    <row r="21350">
      <c r="A21350" s="48" t="s">
        <v>8962</v>
      </c>
      <c r="B21350" s="38">
        <v>12029.0</v>
      </c>
      <c r="C21350" s="38" t="s">
        <v>25858</v>
      </c>
      <c r="D21350" s="38" t="str">
        <f>IFERROR(__xludf.DUMMYFUNCTION("REGEXREPLACE(C21350,""-\d+(.*)|--\d+(.*)"","""")"),"BOR-ET-BAR")</f>
        <v>BOR-ET-BAR</v>
      </c>
      <c r="E21350" s="38" t="s">
        <v>465</v>
      </c>
      <c r="F21350" s="38" t="s">
        <v>94</v>
      </c>
      <c r="G21350" s="49" t="str">
        <f t="shared" si="1"/>
        <v>12270</v>
      </c>
      <c r="H21350" s="49">
        <f t="shared" si="2"/>
        <v>12029</v>
      </c>
    </row>
    <row r="21351">
      <c r="A21351" s="48" t="s">
        <v>5640</v>
      </c>
      <c r="B21351" s="38">
        <v>2815.0</v>
      </c>
      <c r="C21351" s="38" t="s">
        <v>25859</v>
      </c>
      <c r="D21351" s="38" t="str">
        <f>IFERROR(__xludf.DUMMYFUNCTION("REGEXREPLACE(C21351,""-\d+(.*)|--\d+(.*)"","""")"),"VILLERS-SAINT-CHRISTOPHE")</f>
        <v>VILLERS-SAINT-CHRISTOPHE</v>
      </c>
      <c r="E21351" s="38" t="s">
        <v>191</v>
      </c>
      <c r="F21351" s="38" t="s">
        <v>113</v>
      </c>
      <c r="G21351" s="49" t="str">
        <f t="shared" si="1"/>
        <v>02590</v>
      </c>
      <c r="H21351" s="49" t="str">
        <f t="shared" si="2"/>
        <v>02815</v>
      </c>
    </row>
    <row r="21352">
      <c r="A21352" s="48" t="s">
        <v>1272</v>
      </c>
      <c r="B21352" s="38">
        <v>51648.0</v>
      </c>
      <c r="C21352" s="38" t="s">
        <v>25860</v>
      </c>
      <c r="D21352" s="38" t="str">
        <f>IFERROR(__xludf.DUMMYFUNCTION("REGEXREPLACE(C21352,""-\d+(.*)|--\d+(.*)"","""")"),"VITRY-LA-VILLE")</f>
        <v>VITRY-LA-VILLE</v>
      </c>
      <c r="E21352" s="38" t="s">
        <v>129</v>
      </c>
      <c r="F21352" s="38" t="s">
        <v>130</v>
      </c>
      <c r="G21352" s="49" t="str">
        <f t="shared" si="1"/>
        <v>51240</v>
      </c>
      <c r="H21352" s="49">
        <f t="shared" si="2"/>
        <v>51648</v>
      </c>
    </row>
    <row r="21353">
      <c r="A21353" s="48" t="s">
        <v>3295</v>
      </c>
      <c r="B21353" s="38">
        <v>76414.0</v>
      </c>
      <c r="C21353" s="38" t="s">
        <v>25861</v>
      </c>
      <c r="D21353" s="38" t="str">
        <f>IFERROR(__xludf.DUMMYFUNCTION("REGEXREPLACE(C21353,""-\d+(.*)|--\d+(.*)"","""")"),"MARTIN-EGLISE")</f>
        <v>MARTIN-EGLISE</v>
      </c>
      <c r="E21353" s="38" t="s">
        <v>133</v>
      </c>
      <c r="F21353" s="38" t="s">
        <v>134</v>
      </c>
      <c r="G21353" s="49" t="str">
        <f t="shared" si="1"/>
        <v>76370</v>
      </c>
      <c r="H21353" s="49">
        <f t="shared" si="2"/>
        <v>76414</v>
      </c>
    </row>
    <row r="21354">
      <c r="A21354" s="48" t="s">
        <v>25812</v>
      </c>
      <c r="B21354" s="38">
        <v>45062.0</v>
      </c>
      <c r="C21354" s="38" t="s">
        <v>25862</v>
      </c>
      <c r="D21354" s="38" t="str">
        <f>IFERROR(__xludf.DUMMYFUNCTION("REGEXREPLACE(C21354,""-\d+(.*)|--\d+(.*)"","""")"),"CERCOTTES")</f>
        <v>CERCOTTES</v>
      </c>
      <c r="E21354" s="38" t="s">
        <v>122</v>
      </c>
      <c r="F21354" s="38" t="s">
        <v>123</v>
      </c>
      <c r="G21354" s="49" t="str">
        <f t="shared" si="1"/>
        <v>45520</v>
      </c>
      <c r="H21354" s="49">
        <f t="shared" si="2"/>
        <v>45062</v>
      </c>
    </row>
    <row r="21355">
      <c r="A21355" s="48" t="s">
        <v>643</v>
      </c>
      <c r="B21355" s="38">
        <v>88173.0</v>
      </c>
      <c r="C21355" s="38" t="s">
        <v>25863</v>
      </c>
      <c r="D21355" s="38" t="str">
        <f>IFERROR(__xludf.DUMMYFUNCTION("REGEXREPLACE(C21355,""-\d+(.*)|--\d+(.*)"","""")"),"FLOREMONT")</f>
        <v>FLOREMONT</v>
      </c>
      <c r="E21355" s="38" t="s">
        <v>194</v>
      </c>
      <c r="F21355" s="38" t="s">
        <v>195</v>
      </c>
      <c r="G21355" s="49" t="str">
        <f t="shared" si="1"/>
        <v>88130</v>
      </c>
      <c r="H21355" s="49">
        <f t="shared" si="2"/>
        <v>88173</v>
      </c>
    </row>
    <row r="21356">
      <c r="A21356" s="48" t="s">
        <v>3753</v>
      </c>
      <c r="B21356" s="38">
        <v>18173.0</v>
      </c>
      <c r="C21356" s="38" t="s">
        <v>25864</v>
      </c>
      <c r="D21356" s="38" t="str">
        <f>IFERROR(__xludf.DUMMYFUNCTION("REGEXREPLACE(C21356,""-\d+(.*)|--\d+(.*)"","""")"),"OSMERY")</f>
        <v>OSMERY</v>
      </c>
      <c r="E21356" s="38" t="s">
        <v>504</v>
      </c>
      <c r="F21356" s="38" t="s">
        <v>123</v>
      </c>
      <c r="G21356" s="49" t="str">
        <f t="shared" si="1"/>
        <v>18130</v>
      </c>
      <c r="H21356" s="49">
        <f t="shared" si="2"/>
        <v>18173</v>
      </c>
    </row>
    <row r="21357">
      <c r="A21357" s="48" t="s">
        <v>7933</v>
      </c>
      <c r="B21357" s="38">
        <v>27210.0</v>
      </c>
      <c r="C21357" s="38" t="s">
        <v>25865</v>
      </c>
      <c r="D21357" s="38" t="str">
        <f>IFERROR(__xludf.DUMMYFUNCTION("REGEXREPLACE(C21357,""-\d+(.*)|--\d+(.*)"","""")"),"ECARDENVILLE-LA-CAMPAGNE")</f>
        <v>ECARDENVILLE-LA-CAMPAGNE</v>
      </c>
      <c r="E21357" s="38" t="s">
        <v>241</v>
      </c>
      <c r="F21357" s="38" t="s">
        <v>134</v>
      </c>
      <c r="G21357" s="49" t="str">
        <f t="shared" si="1"/>
        <v>27170</v>
      </c>
      <c r="H21357" s="49">
        <f t="shared" si="2"/>
        <v>27210</v>
      </c>
    </row>
    <row r="21358">
      <c r="A21358" s="48" t="s">
        <v>5070</v>
      </c>
      <c r="B21358" s="38">
        <v>79140.0</v>
      </c>
      <c r="C21358" s="38" t="s">
        <v>25866</v>
      </c>
      <c r="D21358" s="38" t="str">
        <f>IFERROR(__xludf.DUMMYFUNCTION("REGEXREPLACE(C21358,""-\d+(.*)|--\d+(.*)"","""")"),"HANC")</f>
        <v>HANC</v>
      </c>
      <c r="E21358" s="38" t="s">
        <v>337</v>
      </c>
      <c r="F21358" s="38" t="s">
        <v>338</v>
      </c>
      <c r="G21358" s="49" t="str">
        <f t="shared" si="1"/>
        <v>79110</v>
      </c>
      <c r="H21358" s="49">
        <f t="shared" si="2"/>
        <v>79140</v>
      </c>
    </row>
    <row r="21359">
      <c r="A21359" s="48" t="s">
        <v>1903</v>
      </c>
      <c r="B21359" s="38">
        <v>10445.0</v>
      </c>
      <c r="C21359" s="38" t="s">
        <v>25867</v>
      </c>
      <c r="D21359" s="38" t="str">
        <f>IFERROR(__xludf.DUMMYFUNCTION("REGEXREPLACE(C21359,""-\d+(.*)|--\d+(.*)"","""")"),"YEVRES-LE-PETIT")</f>
        <v>YEVRES-LE-PETIT</v>
      </c>
      <c r="E21359" s="38" t="s">
        <v>147</v>
      </c>
      <c r="F21359" s="38" t="s">
        <v>130</v>
      </c>
      <c r="G21359" s="49" t="str">
        <f t="shared" si="1"/>
        <v>10500</v>
      </c>
      <c r="H21359" s="49">
        <f t="shared" si="2"/>
        <v>10445</v>
      </c>
    </row>
    <row r="21360">
      <c r="A21360" s="48" t="s">
        <v>1048</v>
      </c>
      <c r="B21360" s="38">
        <v>24242.0</v>
      </c>
      <c r="C21360" s="38" t="s">
        <v>25868</v>
      </c>
      <c r="D21360" s="38" t="str">
        <f>IFERROR(__xludf.DUMMYFUNCTION("REGEXREPLACE(C21360,""-\d+(.*)|--\d+(.*)"","""")"),"LIORAC-SUR-LOUYRE")</f>
        <v>LIORAC-SUR-LOUYRE</v>
      </c>
      <c r="E21360" s="38" t="s">
        <v>261</v>
      </c>
      <c r="F21360" s="38" t="s">
        <v>252</v>
      </c>
      <c r="G21360" s="49" t="str">
        <f t="shared" si="1"/>
        <v>24520</v>
      </c>
      <c r="H21360" s="49">
        <f t="shared" si="2"/>
        <v>24242</v>
      </c>
    </row>
    <row r="21361">
      <c r="A21361" s="48" t="s">
        <v>533</v>
      </c>
      <c r="B21361" s="38">
        <v>50046.0</v>
      </c>
      <c r="C21361" s="38" t="s">
        <v>25869</v>
      </c>
      <c r="D21361" s="38" t="str">
        <f>IFERROR(__xludf.DUMMYFUNCTION("REGEXREPLACE(C21361,""-\d+(.*)|--\d+(.*)"","""")"),"BERIGNY")</f>
        <v>BERIGNY</v>
      </c>
      <c r="E21361" s="38" t="s">
        <v>157</v>
      </c>
      <c r="F21361" s="38" t="s">
        <v>138</v>
      </c>
      <c r="G21361" s="49" t="str">
        <f t="shared" si="1"/>
        <v>50810</v>
      </c>
      <c r="H21361" s="49">
        <f t="shared" si="2"/>
        <v>50046</v>
      </c>
    </row>
    <row r="21362">
      <c r="A21362" s="48" t="s">
        <v>5223</v>
      </c>
      <c r="B21362" s="38">
        <v>65253.0</v>
      </c>
      <c r="C21362" s="38" t="s">
        <v>25870</v>
      </c>
      <c r="D21362" s="38" t="str">
        <f>IFERROR(__xludf.DUMMYFUNCTION("REGEXREPLACE(C21362,""-\d+(.*)|--\d+(.*)"","""")"),"LAMARQUE-RUSTAING")</f>
        <v>LAMARQUE-RUSTAING</v>
      </c>
      <c r="E21362" s="38" t="s">
        <v>200</v>
      </c>
      <c r="F21362" s="38" t="s">
        <v>94</v>
      </c>
      <c r="G21362" s="49" t="str">
        <f t="shared" si="1"/>
        <v>65220</v>
      </c>
      <c r="H21362" s="49">
        <f t="shared" si="2"/>
        <v>65253</v>
      </c>
    </row>
    <row r="21363">
      <c r="A21363" s="48" t="s">
        <v>5170</v>
      </c>
      <c r="B21363" s="38">
        <v>47082.0</v>
      </c>
      <c r="C21363" s="38" t="s">
        <v>25871</v>
      </c>
      <c r="D21363" s="38" t="str">
        <f>IFERROR(__xludf.DUMMYFUNCTION("REGEXREPLACE(C21363,""-\d+(.*)|--\d+(.*)"","""")"),"DONDAS")</f>
        <v>DONDAS</v>
      </c>
      <c r="E21363" s="38" t="s">
        <v>251</v>
      </c>
      <c r="F21363" s="38" t="s">
        <v>252</v>
      </c>
      <c r="G21363" s="49" t="str">
        <f t="shared" si="1"/>
        <v>47470</v>
      </c>
      <c r="H21363" s="49">
        <f t="shared" si="2"/>
        <v>47082</v>
      </c>
    </row>
    <row r="21364">
      <c r="A21364" s="48" t="s">
        <v>2659</v>
      </c>
      <c r="B21364" s="38">
        <v>80782.0</v>
      </c>
      <c r="C21364" s="38" t="s">
        <v>25872</v>
      </c>
      <c r="D21364" s="38" t="str">
        <f>IFERROR(__xludf.DUMMYFUNCTION("REGEXREPLACE(C21364,""-\d+(.*)|--\d+(.*)"","""")"),"VAUX-EN-AMIENOIS")</f>
        <v>VAUX-EN-AMIENOIS</v>
      </c>
      <c r="E21364" s="38" t="s">
        <v>224</v>
      </c>
      <c r="F21364" s="38" t="s">
        <v>113</v>
      </c>
      <c r="G21364" s="49" t="str">
        <f t="shared" si="1"/>
        <v>80260</v>
      </c>
      <c r="H21364" s="49">
        <f t="shared" si="2"/>
        <v>80782</v>
      </c>
    </row>
    <row r="21365">
      <c r="A21365" s="48" t="s">
        <v>4826</v>
      </c>
      <c r="B21365" s="38">
        <v>57557.0</v>
      </c>
      <c r="C21365" s="38" t="s">
        <v>25873</v>
      </c>
      <c r="D21365" s="38" t="str">
        <f>IFERROR(__xludf.DUMMYFUNCTION("REGEXREPLACE(C21365,""-\d+(.*)|--\d+(.*)"","""")"),"PUTTELANGE-LES-THIONVILLE")</f>
        <v>PUTTELANGE-LES-THIONVILLE</v>
      </c>
      <c r="E21365" s="38" t="s">
        <v>303</v>
      </c>
      <c r="F21365" s="38" t="s">
        <v>195</v>
      </c>
      <c r="G21365" s="49" t="str">
        <f t="shared" si="1"/>
        <v>57570</v>
      </c>
      <c r="H21365" s="49">
        <f t="shared" si="2"/>
        <v>57557</v>
      </c>
    </row>
    <row r="21366">
      <c r="A21366" s="48" t="s">
        <v>9967</v>
      </c>
      <c r="B21366" s="38">
        <v>35205.0</v>
      </c>
      <c r="C21366" s="38" t="s">
        <v>25874</v>
      </c>
      <c r="D21366" s="38" t="str">
        <f>IFERROR(__xludf.DUMMYFUNCTION("REGEXREPLACE(C21366,""-\d+(.*)|--\d+(.*)"","""")"),"NOYAL-SOUS-BAZOUGES")</f>
        <v>NOYAL-SOUS-BAZOUGES</v>
      </c>
      <c r="E21366" s="38" t="s">
        <v>347</v>
      </c>
      <c r="F21366" s="38" t="s">
        <v>90</v>
      </c>
      <c r="G21366" s="49" t="str">
        <f t="shared" si="1"/>
        <v>35560</v>
      </c>
      <c r="H21366" s="49">
        <f t="shared" si="2"/>
        <v>35205</v>
      </c>
    </row>
    <row r="21367">
      <c r="A21367" s="48" t="s">
        <v>1300</v>
      </c>
      <c r="B21367" s="38">
        <v>60281.0</v>
      </c>
      <c r="C21367" s="38" t="s">
        <v>25875</v>
      </c>
      <c r="D21367" s="38" t="str">
        <f>IFERROR(__xludf.DUMMYFUNCTION("REGEXREPLACE(C21367,""-\d+(.*)|--\d+(.*)"","""")"),"GOURNAY-SUR-ARONDE")</f>
        <v>GOURNAY-SUR-ARONDE</v>
      </c>
      <c r="E21367" s="38" t="s">
        <v>112</v>
      </c>
      <c r="F21367" s="38" t="s">
        <v>113</v>
      </c>
      <c r="G21367" s="49" t="str">
        <f t="shared" si="1"/>
        <v>60190</v>
      </c>
      <c r="H21367" s="49">
        <f t="shared" si="2"/>
        <v>60281</v>
      </c>
    </row>
    <row r="21368">
      <c r="A21368" s="48" t="s">
        <v>8492</v>
      </c>
      <c r="B21368" s="38">
        <v>80716.0</v>
      </c>
      <c r="C21368" s="38" t="s">
        <v>25876</v>
      </c>
      <c r="D21368" s="38" t="str">
        <f>IFERROR(__xludf.DUMMYFUNCTION("REGEXREPLACE(C21368,""-\d+(.*)|--\d+(.*)"","""")"),"SAINT-RIQUIER")</f>
        <v>SAINT-RIQUIER</v>
      </c>
      <c r="E21368" s="38" t="s">
        <v>224</v>
      </c>
      <c r="F21368" s="38" t="s">
        <v>113</v>
      </c>
      <c r="G21368" s="49" t="str">
        <f t="shared" si="1"/>
        <v>80135</v>
      </c>
      <c r="H21368" s="49">
        <f t="shared" si="2"/>
        <v>80716</v>
      </c>
    </row>
    <row r="21369">
      <c r="A21369" s="48" t="s">
        <v>2521</v>
      </c>
      <c r="B21369" s="38">
        <v>28255.0</v>
      </c>
      <c r="C21369" s="38" t="s">
        <v>25877</v>
      </c>
      <c r="D21369" s="38" t="str">
        <f>IFERROR(__xludf.DUMMYFUNCTION("REGEXREPLACE(C21369,""-\d+(.*)|--\d+(.*)"","""")"),"MOINVILLE-LA-JEULIN")</f>
        <v>MOINVILLE-LA-JEULIN</v>
      </c>
      <c r="E21369" s="38" t="s">
        <v>300</v>
      </c>
      <c r="F21369" s="38" t="s">
        <v>123</v>
      </c>
      <c r="G21369" s="49" t="str">
        <f t="shared" si="1"/>
        <v>28700</v>
      </c>
      <c r="H21369" s="49">
        <f t="shared" si="2"/>
        <v>28255</v>
      </c>
    </row>
    <row r="21370">
      <c r="A21370" s="48" t="s">
        <v>6658</v>
      </c>
      <c r="B21370" s="38">
        <v>53248.0</v>
      </c>
      <c r="C21370" s="38" t="s">
        <v>25878</v>
      </c>
      <c r="D21370" s="38" t="str">
        <f>IFERROR(__xludf.DUMMYFUNCTION("REGEXREPLACE(C21370,""-\d+(.*)|--\d+(.*)"","""")"),"SAINT-PIERRE-SUR-ERVE")</f>
        <v>SAINT-PIERRE-SUR-ERVE</v>
      </c>
      <c r="E21370" s="38" t="s">
        <v>518</v>
      </c>
      <c r="F21370" s="38" t="s">
        <v>180</v>
      </c>
      <c r="G21370" s="49" t="str">
        <f t="shared" si="1"/>
        <v>53270</v>
      </c>
      <c r="H21370" s="49">
        <f t="shared" si="2"/>
        <v>53248</v>
      </c>
    </row>
    <row r="21371">
      <c r="A21371" s="48" t="s">
        <v>1068</v>
      </c>
      <c r="B21371" s="38">
        <v>27540.0</v>
      </c>
      <c r="C21371" s="38" t="s">
        <v>25879</v>
      </c>
      <c r="D21371" s="38" t="str">
        <f>IFERROR(__xludf.DUMMYFUNCTION("REGEXREPLACE(C21371,""-\d+(.*)|--\d+(.*)"","""")"),"SAINTE-GENEVIEVE-LES-GASNY")</f>
        <v>SAINTE-GENEVIEVE-LES-GASNY</v>
      </c>
      <c r="E21371" s="38" t="s">
        <v>241</v>
      </c>
      <c r="F21371" s="38" t="s">
        <v>134</v>
      </c>
      <c r="G21371" s="49" t="str">
        <f t="shared" si="1"/>
        <v>27620</v>
      </c>
      <c r="H21371" s="49">
        <f t="shared" si="2"/>
        <v>27540</v>
      </c>
    </row>
    <row r="21372">
      <c r="A21372" s="48" t="s">
        <v>2549</v>
      </c>
      <c r="B21372" s="38">
        <v>55210.0</v>
      </c>
      <c r="C21372" s="38" t="s">
        <v>25880</v>
      </c>
      <c r="D21372" s="38" t="str">
        <f>IFERROR(__xludf.DUMMYFUNCTION("REGEXREPLACE(C21372,""-\d+(.*)|--\d+(.*)"","""")"),"GIMECOURT")</f>
        <v>GIMECOURT</v>
      </c>
      <c r="E21372" s="38" t="s">
        <v>322</v>
      </c>
      <c r="F21372" s="38" t="s">
        <v>195</v>
      </c>
      <c r="G21372" s="49" t="str">
        <f t="shared" si="1"/>
        <v>55260</v>
      </c>
      <c r="H21372" s="49">
        <f t="shared" si="2"/>
        <v>55210</v>
      </c>
    </row>
    <row r="21373">
      <c r="A21373" s="48" t="s">
        <v>25881</v>
      </c>
      <c r="B21373" s="38">
        <v>29153.0</v>
      </c>
      <c r="C21373" s="38" t="s">
        <v>25882</v>
      </c>
      <c r="D21373" s="38" t="str">
        <f>IFERROR(__xludf.DUMMYFUNCTION("REGEXREPLACE(C21373,""-\d+(.*)|--\d+(.*)"","""")"),"NEVEZ")</f>
        <v>NEVEZ</v>
      </c>
      <c r="E21373" s="38" t="s">
        <v>176</v>
      </c>
      <c r="F21373" s="38" t="s">
        <v>90</v>
      </c>
      <c r="G21373" s="49" t="str">
        <f t="shared" si="1"/>
        <v>29920</v>
      </c>
      <c r="H21373" s="49">
        <f t="shared" si="2"/>
        <v>29153</v>
      </c>
    </row>
    <row r="21374">
      <c r="A21374" s="48" t="s">
        <v>9376</v>
      </c>
      <c r="B21374" s="38">
        <v>14273.0</v>
      </c>
      <c r="C21374" s="38" t="s">
        <v>25883</v>
      </c>
      <c r="D21374" s="38" t="str">
        <f>IFERROR(__xludf.DUMMYFUNCTION("REGEXREPLACE(C21374,""-\d+(.*)|--\d+(.*)"","""")"),"LA FOLLETIERE-ABENON")</f>
        <v>LA FOLLETIERE-ABENON</v>
      </c>
      <c r="E21374" s="38" t="s">
        <v>137</v>
      </c>
      <c r="F21374" s="38" t="s">
        <v>138</v>
      </c>
      <c r="G21374" s="49" t="str">
        <f t="shared" si="1"/>
        <v>14290</v>
      </c>
      <c r="H21374" s="49">
        <f t="shared" si="2"/>
        <v>14273</v>
      </c>
    </row>
    <row r="21375">
      <c r="A21375" s="48" t="s">
        <v>25884</v>
      </c>
      <c r="B21375" s="38">
        <v>60539.0</v>
      </c>
      <c r="C21375" s="38" t="s">
        <v>25885</v>
      </c>
      <c r="D21375" s="38" t="str">
        <f>IFERROR(__xludf.DUMMYFUNCTION("REGEXREPLACE(C21375,""-\d+(.*)|--\d+(.*)"","""")"),"RIEUX")</f>
        <v>RIEUX</v>
      </c>
      <c r="E21375" s="38" t="s">
        <v>112</v>
      </c>
      <c r="F21375" s="38" t="s">
        <v>113</v>
      </c>
      <c r="G21375" s="49" t="str">
        <f t="shared" si="1"/>
        <v>60870</v>
      </c>
      <c r="H21375" s="49">
        <f t="shared" si="2"/>
        <v>60539</v>
      </c>
    </row>
    <row r="21376">
      <c r="A21376" s="48" t="s">
        <v>25886</v>
      </c>
      <c r="B21376" s="38">
        <v>60589.0</v>
      </c>
      <c r="C21376" s="38" t="s">
        <v>25887</v>
      </c>
      <c r="D21376" s="38" t="str">
        <f>IFERROR(__xludf.DUMMYFUNCTION("REGEXREPLACE(C21376,""-\d+(.*)|--\d+(.*)"","""")"),"SAINT-MAXIMIN")</f>
        <v>SAINT-MAXIMIN</v>
      </c>
      <c r="E21376" s="38" t="s">
        <v>112</v>
      </c>
      <c r="F21376" s="38" t="s">
        <v>113</v>
      </c>
      <c r="G21376" s="49" t="str">
        <f t="shared" si="1"/>
        <v>60740</v>
      </c>
      <c r="H21376" s="49">
        <f t="shared" si="2"/>
        <v>60589</v>
      </c>
    </row>
    <row r="21377">
      <c r="A21377" s="48" t="s">
        <v>13884</v>
      </c>
      <c r="B21377" s="38">
        <v>14299.0</v>
      </c>
      <c r="C21377" s="38" t="s">
        <v>25888</v>
      </c>
      <c r="D21377" s="38" t="str">
        <f>IFERROR(__xludf.DUMMYFUNCTION("REGEXREPLACE(C21377,""-\d+(.*)|--\d+(.*)"","""")"),"GENNEVILLE")</f>
        <v>GENNEVILLE</v>
      </c>
      <c r="E21377" s="38" t="s">
        <v>137</v>
      </c>
      <c r="F21377" s="38" t="s">
        <v>138</v>
      </c>
      <c r="G21377" s="49" t="str">
        <f t="shared" si="1"/>
        <v>14600</v>
      </c>
      <c r="H21377" s="49">
        <f t="shared" si="2"/>
        <v>14299</v>
      </c>
    </row>
    <row r="21378">
      <c r="A21378" s="48" t="s">
        <v>3545</v>
      </c>
      <c r="B21378" s="38">
        <v>17118.0</v>
      </c>
      <c r="C21378" s="38" t="s">
        <v>25889</v>
      </c>
      <c r="D21378" s="38" t="str">
        <f>IFERROR(__xludf.DUMMYFUNCTION("REGEXREPLACE(C21378,""-\d+(.*)|--\d+(.*)"","""")"),"CORIGNAC")</f>
        <v>CORIGNAC</v>
      </c>
      <c r="E21378" s="38" t="s">
        <v>488</v>
      </c>
      <c r="F21378" s="38" t="s">
        <v>338</v>
      </c>
      <c r="G21378" s="49" t="str">
        <f t="shared" si="1"/>
        <v>17130</v>
      </c>
      <c r="H21378" s="49">
        <f t="shared" si="2"/>
        <v>17118</v>
      </c>
    </row>
    <row r="21379">
      <c r="A21379" s="48" t="s">
        <v>7005</v>
      </c>
      <c r="B21379" s="38">
        <v>82177.0</v>
      </c>
      <c r="C21379" s="38" t="s">
        <v>677</v>
      </c>
      <c r="D21379" s="38" t="str">
        <f>IFERROR(__xludf.DUMMYFUNCTION("REGEXREPLACE(C21379,""-\d+(.*)|--\d+(.*)"","""")"),"SAUVETERRE")</f>
        <v>SAUVETERRE</v>
      </c>
      <c r="E21379" s="38" t="s">
        <v>570</v>
      </c>
      <c r="F21379" s="38" t="s">
        <v>94</v>
      </c>
      <c r="G21379" s="49" t="str">
        <f t="shared" si="1"/>
        <v>82110</v>
      </c>
      <c r="H21379" s="49">
        <f t="shared" si="2"/>
        <v>82177</v>
      </c>
    </row>
    <row r="21380">
      <c r="A21380" s="48" t="s">
        <v>23837</v>
      </c>
      <c r="B21380" s="38">
        <v>17094.0</v>
      </c>
      <c r="C21380" s="38" t="s">
        <v>25890</v>
      </c>
      <c r="D21380" s="38" t="str">
        <f>IFERROR(__xludf.DUMMYFUNCTION("REGEXREPLACE(C21380,""-\d+(.*)|--\d+(.*)"","""")"),"CHATELAILLON-PLAGE")</f>
        <v>CHATELAILLON-PLAGE</v>
      </c>
      <c r="E21380" s="38" t="s">
        <v>488</v>
      </c>
      <c r="F21380" s="38" t="s">
        <v>338</v>
      </c>
      <c r="G21380" s="49" t="str">
        <f t="shared" si="1"/>
        <v>17340</v>
      </c>
      <c r="H21380" s="49">
        <f t="shared" si="2"/>
        <v>17094</v>
      </c>
    </row>
    <row r="21381">
      <c r="A21381" s="48" t="s">
        <v>948</v>
      </c>
      <c r="B21381" s="38">
        <v>68125.0</v>
      </c>
      <c r="C21381" s="38" t="s">
        <v>25891</v>
      </c>
      <c r="D21381" s="38" t="str">
        <f>IFERROR(__xludf.DUMMYFUNCTION("REGEXREPLACE(C21381,""-\d+(.*)|--\d+(.*)"","""")"),"HECKEN")</f>
        <v>HECKEN</v>
      </c>
      <c r="E21381" s="38" t="s">
        <v>150</v>
      </c>
      <c r="F21381" s="38" t="s">
        <v>151</v>
      </c>
      <c r="G21381" s="49" t="str">
        <f t="shared" si="1"/>
        <v>68210</v>
      </c>
      <c r="H21381" s="49">
        <f t="shared" si="2"/>
        <v>68125</v>
      </c>
    </row>
    <row r="21382">
      <c r="A21382" s="48" t="s">
        <v>3065</v>
      </c>
      <c r="B21382" s="38">
        <v>7269.0</v>
      </c>
      <c r="C21382" s="38" t="s">
        <v>25892</v>
      </c>
      <c r="D21382" s="38" t="str">
        <f>IFERROR(__xludf.DUMMYFUNCTION("REGEXREPLACE(C21382,""-\d+(.*)|--\d+(.*)"","""")"),"SAINT-MARTIN-DE-VALAMAS")</f>
        <v>SAINT-MARTIN-DE-VALAMAS</v>
      </c>
      <c r="E21382" s="38" t="s">
        <v>144</v>
      </c>
      <c r="F21382" s="38" t="s">
        <v>102</v>
      </c>
      <c r="G21382" s="49" t="str">
        <f t="shared" si="1"/>
        <v>07310</v>
      </c>
      <c r="H21382" s="49" t="str">
        <f t="shared" si="2"/>
        <v>07269</v>
      </c>
    </row>
    <row r="21383">
      <c r="A21383" s="48" t="s">
        <v>5273</v>
      </c>
      <c r="B21383" s="38">
        <v>53104.0</v>
      </c>
      <c r="C21383" s="38" t="s">
        <v>25893</v>
      </c>
      <c r="D21383" s="38" t="str">
        <f>IFERROR(__xludf.DUMMYFUNCTION("REGEXREPLACE(C21383,""-\d+(.*)|--\d+(.*)"","""")"),"GENNES-SUR-GLAIZE")</f>
        <v>GENNES-SUR-GLAIZE</v>
      </c>
      <c r="E21383" s="38" t="s">
        <v>518</v>
      </c>
      <c r="F21383" s="38" t="s">
        <v>180</v>
      </c>
      <c r="G21383" s="49" t="str">
        <f t="shared" si="1"/>
        <v>53200</v>
      </c>
      <c r="H21383" s="49">
        <f t="shared" si="2"/>
        <v>53104</v>
      </c>
    </row>
    <row r="21384">
      <c r="A21384" s="48" t="s">
        <v>5041</v>
      </c>
      <c r="B21384" s="38">
        <v>3099.0</v>
      </c>
      <c r="C21384" s="38" t="s">
        <v>25894</v>
      </c>
      <c r="D21384" s="38" t="str">
        <f>IFERROR(__xludf.DUMMYFUNCTION("REGEXREPLACE(C21384,""-\d+(.*)|--\d+(.*)"","""")"),"DEUX-CHAISES")</f>
        <v>DEUX-CHAISES</v>
      </c>
      <c r="E21384" s="38" t="s">
        <v>160</v>
      </c>
      <c r="F21384" s="38" t="s">
        <v>161</v>
      </c>
      <c r="G21384" s="49" t="str">
        <f t="shared" si="1"/>
        <v>03240</v>
      </c>
      <c r="H21384" s="49" t="str">
        <f t="shared" si="2"/>
        <v>03099</v>
      </c>
    </row>
    <row r="21385">
      <c r="A21385" s="48" t="s">
        <v>614</v>
      </c>
      <c r="B21385" s="38">
        <v>24368.0</v>
      </c>
      <c r="C21385" s="38" t="s">
        <v>25895</v>
      </c>
      <c r="D21385" s="38" t="str">
        <f>IFERROR(__xludf.DUMMYFUNCTION("REGEXREPLACE(C21385,""-\d+(.*)|--\d+(.*)"","""")"),"SAINT-ANTOINE-CUMOND")</f>
        <v>SAINT-ANTOINE-CUMOND</v>
      </c>
      <c r="E21385" s="38" t="s">
        <v>261</v>
      </c>
      <c r="F21385" s="38" t="s">
        <v>252</v>
      </c>
      <c r="G21385" s="49" t="str">
        <f t="shared" si="1"/>
        <v>24410</v>
      </c>
      <c r="H21385" s="49">
        <f t="shared" si="2"/>
        <v>24368</v>
      </c>
    </row>
    <row r="21386">
      <c r="A21386" s="48" t="s">
        <v>2384</v>
      </c>
      <c r="B21386" s="38">
        <v>21659.0</v>
      </c>
      <c r="C21386" s="38" t="s">
        <v>25896</v>
      </c>
      <c r="D21386" s="38" t="str">
        <f>IFERROR(__xludf.DUMMYFUNCTION("REGEXREPLACE(C21386,""-\d+(.*)|--\d+(.*)"","""")"),"VAUX-SAULES")</f>
        <v>VAUX-SAULES</v>
      </c>
      <c r="E21386" s="38" t="s">
        <v>105</v>
      </c>
      <c r="F21386" s="38" t="s">
        <v>106</v>
      </c>
      <c r="G21386" s="49" t="str">
        <f t="shared" si="1"/>
        <v>21440</v>
      </c>
      <c r="H21386" s="49">
        <f t="shared" si="2"/>
        <v>21659</v>
      </c>
    </row>
    <row r="21387">
      <c r="A21387" s="48" t="s">
        <v>9613</v>
      </c>
      <c r="B21387" s="38">
        <v>16119.0</v>
      </c>
      <c r="C21387" s="38" t="s">
        <v>25897</v>
      </c>
      <c r="D21387" s="38" t="str">
        <f>IFERROR(__xludf.DUMMYFUNCTION("REGEXREPLACE(C21387,""-\d+(.*)|--\d+(.*)"","""")"),"DIGNAC")</f>
        <v>DIGNAC</v>
      </c>
      <c r="E21387" s="38" t="s">
        <v>429</v>
      </c>
      <c r="F21387" s="38" t="s">
        <v>338</v>
      </c>
      <c r="G21387" s="49" t="str">
        <f t="shared" si="1"/>
        <v>16410</v>
      </c>
      <c r="H21387" s="49">
        <f t="shared" si="2"/>
        <v>16119</v>
      </c>
    </row>
    <row r="21388">
      <c r="A21388" s="48" t="s">
        <v>6104</v>
      </c>
      <c r="B21388" s="38">
        <v>95493.0</v>
      </c>
      <c r="C21388" s="38" t="s">
        <v>25898</v>
      </c>
      <c r="D21388" s="38" t="str">
        <f>IFERROR(__xludf.DUMMYFUNCTION("REGEXREPLACE(C21388,""-\d+(.*)|--\d+(.*)"","""")"),"LE PLESSIS-LUZARCHES")</f>
        <v>LE PLESSIS-LUZARCHES</v>
      </c>
      <c r="E21388" s="38" t="s">
        <v>541</v>
      </c>
      <c r="F21388" s="38" t="s">
        <v>245</v>
      </c>
      <c r="G21388" s="49" t="str">
        <f t="shared" si="1"/>
        <v>95270</v>
      </c>
      <c r="H21388" s="49">
        <f t="shared" si="2"/>
        <v>95493</v>
      </c>
    </row>
    <row r="21389">
      <c r="A21389" s="48" t="s">
        <v>186</v>
      </c>
      <c r="B21389" s="38">
        <v>41178.0</v>
      </c>
      <c r="C21389" s="38" t="s">
        <v>25899</v>
      </c>
      <c r="D21389" s="38" t="str">
        <f>IFERROR(__xludf.DUMMYFUNCTION("REGEXREPLACE(C21389,""-\d+(.*)|--\d+(.*)"","""")"),"LE PLESSIS-L'ECHELLE")</f>
        <v>LE PLESSIS-L'ECHELLE</v>
      </c>
      <c r="E21389" s="38" t="s">
        <v>188</v>
      </c>
      <c r="F21389" s="38" t="s">
        <v>123</v>
      </c>
      <c r="G21389" s="49" t="str">
        <f t="shared" si="1"/>
        <v>41370</v>
      </c>
      <c r="H21389" s="49">
        <f t="shared" si="2"/>
        <v>41178</v>
      </c>
    </row>
    <row r="21390">
      <c r="A21390" s="48" t="s">
        <v>3906</v>
      </c>
      <c r="B21390" s="38">
        <v>24061.0</v>
      </c>
      <c r="C21390" s="38" t="s">
        <v>25900</v>
      </c>
      <c r="D21390" s="38" t="str">
        <f>IFERROR(__xludf.DUMMYFUNCTION("REGEXREPLACE(C21390,""-\d+(.*)|--\d+(.*)"","""")"),"BOURROU")</f>
        <v>BOURROU</v>
      </c>
      <c r="E21390" s="38" t="s">
        <v>261</v>
      </c>
      <c r="F21390" s="38" t="s">
        <v>252</v>
      </c>
      <c r="G21390" s="49" t="str">
        <f t="shared" si="1"/>
        <v>24110</v>
      </c>
      <c r="H21390" s="49">
        <f t="shared" si="2"/>
        <v>24061</v>
      </c>
    </row>
    <row r="21391">
      <c r="A21391" s="48" t="s">
        <v>3446</v>
      </c>
      <c r="B21391" s="38">
        <v>21538.0</v>
      </c>
      <c r="C21391" s="38" t="s">
        <v>25901</v>
      </c>
      <c r="D21391" s="38" t="str">
        <f>IFERROR(__xludf.DUMMYFUNCTION("REGEXREPLACE(C21391,""-\d+(.*)|--\d+(.*)"","""")"),"SAINT-ANDEUX")</f>
        <v>SAINT-ANDEUX</v>
      </c>
      <c r="E21391" s="38" t="s">
        <v>105</v>
      </c>
      <c r="F21391" s="38" t="s">
        <v>106</v>
      </c>
      <c r="G21391" s="49" t="str">
        <f t="shared" si="1"/>
        <v>21530</v>
      </c>
      <c r="H21391" s="49">
        <f t="shared" si="2"/>
        <v>21538</v>
      </c>
    </row>
    <row r="21392">
      <c r="A21392" s="48" t="s">
        <v>10889</v>
      </c>
      <c r="B21392" s="38">
        <v>57058.0</v>
      </c>
      <c r="C21392" s="38" t="s">
        <v>25902</v>
      </c>
      <c r="D21392" s="38" t="str">
        <f>IFERROR(__xludf.DUMMYFUNCTION("REGEXREPLACE(C21392,""-\d+(.*)|--\d+(.*)"","""")"),"BEHREN-LES-FORBACH")</f>
        <v>BEHREN-LES-FORBACH</v>
      </c>
      <c r="E21392" s="38" t="s">
        <v>303</v>
      </c>
      <c r="F21392" s="38" t="s">
        <v>195</v>
      </c>
      <c r="G21392" s="49" t="str">
        <f t="shared" si="1"/>
        <v>57460</v>
      </c>
      <c r="H21392" s="49">
        <f t="shared" si="2"/>
        <v>57058</v>
      </c>
    </row>
    <row r="21393">
      <c r="A21393" s="48" t="s">
        <v>940</v>
      </c>
      <c r="B21393" s="38">
        <v>51448.0</v>
      </c>
      <c r="C21393" s="38" t="s">
        <v>25903</v>
      </c>
      <c r="D21393" s="38" t="str">
        <f>IFERROR(__xludf.DUMMYFUNCTION("REGEXREPLACE(C21393,""-\d+(.*)|--\d+(.*)"","""")"),"PROUILLY")</f>
        <v>PROUILLY</v>
      </c>
      <c r="E21393" s="38" t="s">
        <v>129</v>
      </c>
      <c r="F21393" s="38" t="s">
        <v>130</v>
      </c>
      <c r="G21393" s="49" t="str">
        <f t="shared" si="1"/>
        <v>51140</v>
      </c>
      <c r="H21393" s="49">
        <f t="shared" si="2"/>
        <v>51448</v>
      </c>
    </row>
    <row r="21394">
      <c r="A21394" s="48" t="s">
        <v>10259</v>
      </c>
      <c r="B21394" s="38">
        <v>73167.0</v>
      </c>
      <c r="C21394" s="38" t="s">
        <v>25904</v>
      </c>
      <c r="D21394" s="38" t="str">
        <f>IFERROR(__xludf.DUMMYFUNCTION("REGEXREPLACE(C21394,""-\d+(.*)|--\d+(.*)"","""")"),"MONTGELLAFREY")</f>
        <v>MONTGELLAFREY</v>
      </c>
      <c r="E21394" s="38" t="s">
        <v>306</v>
      </c>
      <c r="F21394" s="38" t="s">
        <v>102</v>
      </c>
      <c r="G21394" s="49" t="str">
        <f t="shared" si="1"/>
        <v>73130</v>
      </c>
      <c r="H21394" s="49">
        <f t="shared" si="2"/>
        <v>73167</v>
      </c>
    </row>
    <row r="21395">
      <c r="A21395" s="48" t="s">
        <v>948</v>
      </c>
      <c r="B21395" s="38">
        <v>68024.0</v>
      </c>
      <c r="C21395" s="38" t="s">
        <v>25905</v>
      </c>
      <c r="D21395" s="38" t="str">
        <f>IFERROR(__xludf.DUMMYFUNCTION("REGEXREPLACE(C21395,""-\d+(.*)|--\d+(.*)"","""")"),"BELLEMAGNY")</f>
        <v>BELLEMAGNY</v>
      </c>
      <c r="E21395" s="38" t="s">
        <v>150</v>
      </c>
      <c r="F21395" s="38" t="s">
        <v>151</v>
      </c>
      <c r="G21395" s="49" t="str">
        <f t="shared" si="1"/>
        <v>68210</v>
      </c>
      <c r="H21395" s="49">
        <f t="shared" si="2"/>
        <v>68024</v>
      </c>
    </row>
    <row r="21396">
      <c r="A21396" s="48" t="s">
        <v>1524</v>
      </c>
      <c r="B21396" s="38">
        <v>25504.0</v>
      </c>
      <c r="C21396" s="38" t="s">
        <v>25906</v>
      </c>
      <c r="D21396" s="38" t="str">
        <f>IFERROR(__xludf.DUMMYFUNCTION("REGEXREPLACE(C21396,""-\d+(.*)|--\d+(.*)"","""")"),"ROSUREUX")</f>
        <v>ROSUREUX</v>
      </c>
      <c r="E21396" s="38" t="s">
        <v>213</v>
      </c>
      <c r="F21396" s="38" t="s">
        <v>214</v>
      </c>
      <c r="G21396" s="49" t="str">
        <f t="shared" si="1"/>
        <v>25380</v>
      </c>
      <c r="H21396" s="49">
        <f t="shared" si="2"/>
        <v>25504</v>
      </c>
    </row>
    <row r="21397">
      <c r="A21397" s="48" t="s">
        <v>25907</v>
      </c>
      <c r="B21397" s="38">
        <v>17486.0</v>
      </c>
      <c r="C21397" s="38" t="s">
        <v>25908</v>
      </c>
      <c r="D21397" s="38" t="str">
        <f>IFERROR(__xludf.DUMMYFUNCTION("REGEXREPLACE(C21397,""-\d+(.*)|--\d+(.*)"","""")"),"LA BREE-LES-BAINS")</f>
        <v>LA BREE-LES-BAINS</v>
      </c>
      <c r="E21397" s="38" t="s">
        <v>488</v>
      </c>
      <c r="F21397" s="38" t="s">
        <v>338</v>
      </c>
      <c r="G21397" s="49" t="str">
        <f t="shared" si="1"/>
        <v>17840</v>
      </c>
      <c r="H21397" s="49">
        <f t="shared" si="2"/>
        <v>17486</v>
      </c>
    </row>
    <row r="21398">
      <c r="A21398" s="48" t="s">
        <v>116</v>
      </c>
      <c r="B21398" s="38">
        <v>34253.0</v>
      </c>
      <c r="C21398" s="38" t="s">
        <v>25909</v>
      </c>
      <c r="D21398" s="38" t="str">
        <f>IFERROR(__xludf.DUMMYFUNCTION("REGEXREPLACE(C21398,""-\d+(.*)|--\d+(.*)"","""")"),"SAINT-FELIX-DE-L'HERAS")</f>
        <v>SAINT-FELIX-DE-L'HERAS</v>
      </c>
      <c r="E21398" s="38" t="s">
        <v>118</v>
      </c>
      <c r="F21398" s="38" t="s">
        <v>119</v>
      </c>
      <c r="G21398" s="49" t="str">
        <f t="shared" si="1"/>
        <v>34520</v>
      </c>
      <c r="H21398" s="49">
        <f t="shared" si="2"/>
        <v>34253</v>
      </c>
    </row>
    <row r="21399">
      <c r="A21399" s="48" t="s">
        <v>1697</v>
      </c>
      <c r="B21399" s="38">
        <v>39045.0</v>
      </c>
      <c r="C21399" s="38" t="s">
        <v>25910</v>
      </c>
      <c r="D21399" s="38" t="str">
        <f>IFERROR(__xludf.DUMMYFUNCTION("REGEXREPLACE(C21399,""-\d+(.*)|--\d+(.*)"","""")"),"BEFFIA")</f>
        <v>BEFFIA</v>
      </c>
      <c r="E21399" s="38" t="s">
        <v>400</v>
      </c>
      <c r="F21399" s="38" t="s">
        <v>214</v>
      </c>
      <c r="G21399" s="49" t="str">
        <f t="shared" si="1"/>
        <v>39270</v>
      </c>
      <c r="H21399" s="49">
        <f t="shared" si="2"/>
        <v>39045</v>
      </c>
    </row>
    <row r="21400">
      <c r="A21400" s="48" t="s">
        <v>1180</v>
      </c>
      <c r="B21400" s="38">
        <v>60336.0</v>
      </c>
      <c r="C21400" s="38" t="s">
        <v>25911</v>
      </c>
      <c r="D21400" s="38" t="str">
        <f>IFERROR(__xludf.DUMMYFUNCTION("REGEXREPLACE(C21400,""-\d+(.*)|--\d+(.*)"","""")"),"LACHAUSSEE-DU-BOIS-D'ECU")</f>
        <v>LACHAUSSEE-DU-BOIS-D'ECU</v>
      </c>
      <c r="E21400" s="38" t="s">
        <v>112</v>
      </c>
      <c r="F21400" s="38" t="s">
        <v>113</v>
      </c>
      <c r="G21400" s="49" t="str">
        <f t="shared" si="1"/>
        <v>60480</v>
      </c>
      <c r="H21400" s="49">
        <f t="shared" si="2"/>
        <v>60336</v>
      </c>
    </row>
    <row r="21401">
      <c r="A21401" s="48" t="s">
        <v>9602</v>
      </c>
      <c r="B21401" s="38">
        <v>72103.0</v>
      </c>
      <c r="C21401" s="38" t="s">
        <v>25912</v>
      </c>
      <c r="D21401" s="38" t="str">
        <f>IFERROR(__xludf.DUMMYFUNCTION("REGEXREPLACE(C21401,""-\d+(.*)|--\d+(.*)"","""")"),"COURDEMANCHE")</f>
        <v>COURDEMANCHE</v>
      </c>
      <c r="E21401" s="38" t="s">
        <v>521</v>
      </c>
      <c r="F21401" s="38" t="s">
        <v>180</v>
      </c>
      <c r="G21401" s="49" t="str">
        <f t="shared" si="1"/>
        <v>72150</v>
      </c>
      <c r="H21401" s="49">
        <f t="shared" si="2"/>
        <v>72103</v>
      </c>
    </row>
    <row r="21402">
      <c r="A21402" s="48" t="s">
        <v>1060</v>
      </c>
      <c r="B21402" s="38">
        <v>57312.0</v>
      </c>
      <c r="C21402" s="38" t="s">
        <v>25913</v>
      </c>
      <c r="D21402" s="38" t="str">
        <f>IFERROR(__xludf.DUMMYFUNCTION("REGEXREPLACE(C21402,""-\d+(.*)|--\d+(.*)"","""")"),"HELSTROFF")</f>
        <v>HELSTROFF</v>
      </c>
      <c r="E21402" s="38" t="s">
        <v>303</v>
      </c>
      <c r="F21402" s="38" t="s">
        <v>195</v>
      </c>
      <c r="G21402" s="49" t="str">
        <f t="shared" si="1"/>
        <v>57220</v>
      </c>
      <c r="H21402" s="49">
        <f t="shared" si="2"/>
        <v>57312</v>
      </c>
    </row>
    <row r="21403">
      <c r="A21403" s="48" t="s">
        <v>2748</v>
      </c>
      <c r="B21403" s="38">
        <v>32383.0</v>
      </c>
      <c r="C21403" s="38" t="s">
        <v>3701</v>
      </c>
      <c r="D21403" s="38" t="str">
        <f>IFERROR(__xludf.DUMMYFUNCTION("REGEXREPLACE(C21403,""-\d+(.*)|--\d+(.*)"","""")"),"SAINT-JUSTIN")</f>
        <v>SAINT-JUSTIN</v>
      </c>
      <c r="E21403" s="38" t="s">
        <v>440</v>
      </c>
      <c r="F21403" s="38" t="s">
        <v>94</v>
      </c>
      <c r="G21403" s="49" t="str">
        <f t="shared" si="1"/>
        <v>32230</v>
      </c>
      <c r="H21403" s="49">
        <f t="shared" si="2"/>
        <v>32383</v>
      </c>
    </row>
    <row r="21404">
      <c r="A21404" s="48" t="s">
        <v>1203</v>
      </c>
      <c r="B21404" s="38">
        <v>17278.0</v>
      </c>
      <c r="C21404" s="38" t="s">
        <v>25914</v>
      </c>
      <c r="D21404" s="38" t="str">
        <f>IFERROR(__xludf.DUMMYFUNCTION("REGEXREPLACE(C21404,""-\d+(.*)|--\d+(.*)"","""")"),"PISANY")</f>
        <v>PISANY</v>
      </c>
      <c r="E21404" s="38" t="s">
        <v>488</v>
      </c>
      <c r="F21404" s="38" t="s">
        <v>338</v>
      </c>
      <c r="G21404" s="49" t="str">
        <f t="shared" si="1"/>
        <v>17600</v>
      </c>
      <c r="H21404" s="49">
        <f t="shared" si="2"/>
        <v>17278</v>
      </c>
    </row>
    <row r="21405">
      <c r="A21405" s="48" t="s">
        <v>2308</v>
      </c>
      <c r="B21405" s="38">
        <v>33363.0</v>
      </c>
      <c r="C21405" s="38" t="s">
        <v>25915</v>
      </c>
      <c r="D21405" s="38" t="str">
        <f>IFERROR(__xludf.DUMMYFUNCTION("REGEXREPLACE(C21405,""-\d+(.*)|--\d+(.*)"","""")"),"SADIRAC")</f>
        <v>SADIRAC</v>
      </c>
      <c r="E21405" s="38" t="s">
        <v>462</v>
      </c>
      <c r="F21405" s="38" t="s">
        <v>252</v>
      </c>
      <c r="G21405" s="49" t="str">
        <f t="shared" si="1"/>
        <v>33670</v>
      </c>
      <c r="H21405" s="49">
        <f t="shared" si="2"/>
        <v>33363</v>
      </c>
    </row>
    <row r="21406">
      <c r="A21406" s="48" t="s">
        <v>1199</v>
      </c>
      <c r="B21406" s="38">
        <v>55001.0</v>
      </c>
      <c r="C21406" s="38" t="s">
        <v>25916</v>
      </c>
      <c r="D21406" s="38" t="str">
        <f>IFERROR(__xludf.DUMMYFUNCTION("REGEXREPLACE(C21406,""-\d+(.*)|--\d+(.*)"","""")"),"ABAINVILLE")</f>
        <v>ABAINVILLE</v>
      </c>
      <c r="E21406" s="38" t="s">
        <v>322</v>
      </c>
      <c r="F21406" s="38" t="s">
        <v>195</v>
      </c>
      <c r="G21406" s="49" t="str">
        <f t="shared" si="1"/>
        <v>55130</v>
      </c>
      <c r="H21406" s="49">
        <f t="shared" si="2"/>
        <v>55001</v>
      </c>
    </row>
    <row r="21407">
      <c r="A21407" s="48" t="s">
        <v>3581</v>
      </c>
      <c r="B21407" s="38">
        <v>54165.0</v>
      </c>
      <c r="C21407" s="38" t="s">
        <v>25917</v>
      </c>
      <c r="D21407" s="38" t="str">
        <f>IFERROR(__xludf.DUMMYFUNCTION("REGEXREPLACE(C21407,""-\d+(.*)|--\d+(.*)"","""")"),"DOMMARTEMONT")</f>
        <v>DOMMARTEMONT</v>
      </c>
      <c r="E21407" s="38" t="s">
        <v>548</v>
      </c>
      <c r="F21407" s="38" t="s">
        <v>195</v>
      </c>
      <c r="G21407" s="49" t="str">
        <f t="shared" si="1"/>
        <v>54130</v>
      </c>
      <c r="H21407" s="49">
        <f t="shared" si="2"/>
        <v>54165</v>
      </c>
    </row>
    <row r="21408">
      <c r="A21408" s="48" t="s">
        <v>20862</v>
      </c>
      <c r="B21408" s="38">
        <v>77518.0</v>
      </c>
      <c r="C21408" s="38" t="s">
        <v>25918</v>
      </c>
      <c r="D21408" s="38" t="str">
        <f>IFERROR(__xludf.DUMMYFUNCTION("REGEXREPLACE(C21408,""-\d+(.*)|--\d+(.*)"","""")"),"VILLIERS-EN-BIERE")</f>
        <v>VILLIERS-EN-BIERE</v>
      </c>
      <c r="E21408" s="38" t="s">
        <v>244</v>
      </c>
      <c r="F21408" s="38" t="s">
        <v>245</v>
      </c>
      <c r="G21408" s="49" t="str">
        <f t="shared" si="1"/>
        <v>77190</v>
      </c>
      <c r="H21408" s="49">
        <f t="shared" si="2"/>
        <v>77518</v>
      </c>
    </row>
    <row r="21409">
      <c r="A21409" s="48" t="s">
        <v>3681</v>
      </c>
      <c r="B21409" s="38">
        <v>39411.0</v>
      </c>
      <c r="C21409" s="38" t="s">
        <v>9829</v>
      </c>
      <c r="D21409" s="38" t="str">
        <f>IFERROR(__xludf.DUMMYFUNCTION("REGEXREPLACE(C21409,""-\d+(.*)|--\d+(.*)"","""")"),"PERRIGNY")</f>
        <v>PERRIGNY</v>
      </c>
      <c r="E21409" s="38" t="s">
        <v>400</v>
      </c>
      <c r="F21409" s="38" t="s">
        <v>214</v>
      </c>
      <c r="G21409" s="49" t="str">
        <f t="shared" si="1"/>
        <v>39570</v>
      </c>
      <c r="H21409" s="49">
        <f t="shared" si="2"/>
        <v>39411</v>
      </c>
    </row>
    <row r="21410">
      <c r="A21410" s="48" t="s">
        <v>582</v>
      </c>
      <c r="B21410" s="38">
        <v>39234.0</v>
      </c>
      <c r="C21410" s="38" t="s">
        <v>25919</v>
      </c>
      <c r="D21410" s="38" t="str">
        <f>IFERROR(__xludf.DUMMYFUNCTION("REGEXREPLACE(C21410,""-\d+(.*)|--\d+(.*)"","""")"),"FOULENAY")</f>
        <v>FOULENAY</v>
      </c>
      <c r="E21410" s="38" t="s">
        <v>400</v>
      </c>
      <c r="F21410" s="38" t="s">
        <v>214</v>
      </c>
      <c r="G21410" s="49" t="str">
        <f t="shared" si="1"/>
        <v>39230</v>
      </c>
      <c r="H21410" s="49">
        <f t="shared" si="2"/>
        <v>39234</v>
      </c>
    </row>
    <row r="21411">
      <c r="A21411" s="48" t="s">
        <v>13379</v>
      </c>
      <c r="B21411" s="38">
        <v>77253.0</v>
      </c>
      <c r="C21411" s="38" t="s">
        <v>25920</v>
      </c>
      <c r="D21411" s="38" t="str">
        <f>IFERROR(__xludf.DUMMYFUNCTION("REGEXREPLACE(C21411,""-\d+(.*)|--\d+(.*)"","""")"),"LISSY")</f>
        <v>LISSY</v>
      </c>
      <c r="E21411" s="38" t="s">
        <v>244</v>
      </c>
      <c r="F21411" s="38" t="s">
        <v>245</v>
      </c>
      <c r="G21411" s="49" t="str">
        <f t="shared" si="1"/>
        <v>77550</v>
      </c>
      <c r="H21411" s="49">
        <f t="shared" si="2"/>
        <v>77253</v>
      </c>
    </row>
    <row r="21412">
      <c r="A21412" s="48" t="s">
        <v>6945</v>
      </c>
      <c r="B21412" s="38">
        <v>80224.0</v>
      </c>
      <c r="C21412" s="38" t="s">
        <v>25921</v>
      </c>
      <c r="D21412" s="38" t="str">
        <f>IFERROR(__xludf.DUMMYFUNCTION("REGEXREPLACE(C21412,""-\d+(.*)|--\d+(.*)"","""")"),"CRESSY-OMENCOURT")</f>
        <v>CRESSY-OMENCOURT</v>
      </c>
      <c r="E21412" s="38" t="s">
        <v>224</v>
      </c>
      <c r="F21412" s="38" t="s">
        <v>113</v>
      </c>
      <c r="G21412" s="49" t="str">
        <f t="shared" si="1"/>
        <v>80190</v>
      </c>
      <c r="H21412" s="49">
        <f t="shared" si="2"/>
        <v>80224</v>
      </c>
    </row>
    <row r="21413">
      <c r="A21413" s="48" t="s">
        <v>17266</v>
      </c>
      <c r="B21413" s="38">
        <v>59542.0</v>
      </c>
      <c r="C21413" s="38" t="s">
        <v>25922</v>
      </c>
      <c r="D21413" s="38" t="str">
        <f>IFERROR(__xludf.DUMMYFUNCTION("REGEXREPLACE(C21413,""-\d+(.*)|--\d+(.*)"","""")"),"SAINT-REMY-CHAUSSEE")</f>
        <v>SAINT-REMY-CHAUSSEE</v>
      </c>
      <c r="E21413" s="38" t="s">
        <v>85</v>
      </c>
      <c r="F21413" s="38" t="s">
        <v>86</v>
      </c>
      <c r="G21413" s="49" t="str">
        <f t="shared" si="1"/>
        <v>59620</v>
      </c>
      <c r="H21413" s="49">
        <f t="shared" si="2"/>
        <v>59542</v>
      </c>
    </row>
    <row r="21414">
      <c r="A21414" s="48" t="s">
        <v>10259</v>
      </c>
      <c r="B21414" s="38">
        <v>73230.0</v>
      </c>
      <c r="C21414" s="38" t="s">
        <v>25923</v>
      </c>
      <c r="D21414" s="38" t="str">
        <f>IFERROR(__xludf.DUMMYFUNCTION("REGEXREPLACE(C21414,""-\d+(.*)|--\d+(.*)"","""")"),"SAINT-COLOMBAN-DES-VILLARDS")</f>
        <v>SAINT-COLOMBAN-DES-VILLARDS</v>
      </c>
      <c r="E21414" s="38" t="s">
        <v>306</v>
      </c>
      <c r="F21414" s="38" t="s">
        <v>102</v>
      </c>
      <c r="G21414" s="49" t="str">
        <f t="shared" si="1"/>
        <v>73130</v>
      </c>
      <c r="H21414" s="49">
        <f t="shared" si="2"/>
        <v>73230</v>
      </c>
    </row>
    <row r="21415">
      <c r="A21415" s="48" t="s">
        <v>6002</v>
      </c>
      <c r="B21415" s="38">
        <v>18241.0</v>
      </c>
      <c r="C21415" s="38" t="s">
        <v>25924</v>
      </c>
      <c r="D21415" s="38" t="str">
        <f>IFERROR(__xludf.DUMMYFUNCTION("REGEXREPLACE(C21415,""-\d+(.*)|--\d+(.*)"","""")"),"SANCERRE")</f>
        <v>SANCERRE</v>
      </c>
      <c r="E21415" s="38" t="s">
        <v>504</v>
      </c>
      <c r="F21415" s="38" t="s">
        <v>123</v>
      </c>
      <c r="G21415" s="49" t="str">
        <f t="shared" si="1"/>
        <v>18300</v>
      </c>
      <c r="H21415" s="49">
        <f t="shared" si="2"/>
        <v>18241</v>
      </c>
    </row>
    <row r="21416">
      <c r="A21416" s="48" t="s">
        <v>7643</v>
      </c>
      <c r="B21416" s="38">
        <v>30112.0</v>
      </c>
      <c r="C21416" s="38" t="s">
        <v>2009</v>
      </c>
      <c r="D21416" s="38" t="str">
        <f>IFERROR(__xludf.DUMMYFUNCTION("REGEXREPLACE(C21416,""-\d+(.*)|--\d+(.*)"","""")"),"FONS")</f>
        <v>FONS</v>
      </c>
      <c r="E21416" s="38" t="s">
        <v>526</v>
      </c>
      <c r="F21416" s="38" t="s">
        <v>119</v>
      </c>
      <c r="G21416" s="49" t="str">
        <f t="shared" si="1"/>
        <v>30730</v>
      </c>
      <c r="H21416" s="49">
        <f t="shared" si="2"/>
        <v>30112</v>
      </c>
    </row>
    <row r="21417">
      <c r="A21417" s="48" t="s">
        <v>20828</v>
      </c>
      <c r="B21417" s="38">
        <v>31291.0</v>
      </c>
      <c r="C21417" s="38" t="s">
        <v>25925</v>
      </c>
      <c r="D21417" s="38" t="str">
        <f>IFERROR(__xludf.DUMMYFUNCTION("REGEXREPLACE(C21417,""-\d+(.*)|--\d+(.*)"","""")"),"LEGUEVIN")</f>
        <v>LEGUEVIN</v>
      </c>
      <c r="E21417" s="38" t="s">
        <v>93</v>
      </c>
      <c r="F21417" s="38" t="s">
        <v>94</v>
      </c>
      <c r="G21417" s="49" t="str">
        <f t="shared" si="1"/>
        <v>31490</v>
      </c>
      <c r="H21417" s="49">
        <f t="shared" si="2"/>
        <v>31291</v>
      </c>
    </row>
    <row r="21418">
      <c r="A21418" s="48" t="s">
        <v>10039</v>
      </c>
      <c r="B21418" s="38">
        <v>47138.0</v>
      </c>
      <c r="C21418" s="38" t="s">
        <v>25926</v>
      </c>
      <c r="D21418" s="38" t="str">
        <f>IFERROR(__xludf.DUMMYFUNCTION("REGEXREPLACE(C21418,""-\d+(.*)|--\d+(.*)"","""")"),"LAROQUE-TIMBAUT")</f>
        <v>LAROQUE-TIMBAUT</v>
      </c>
      <c r="E21418" s="38" t="s">
        <v>251</v>
      </c>
      <c r="F21418" s="38" t="s">
        <v>252</v>
      </c>
      <c r="G21418" s="49" t="str">
        <f t="shared" si="1"/>
        <v>47340</v>
      </c>
      <c r="H21418" s="49">
        <f t="shared" si="2"/>
        <v>47138</v>
      </c>
    </row>
    <row r="21419">
      <c r="A21419" s="48" t="s">
        <v>2770</v>
      </c>
      <c r="B21419" s="38">
        <v>25115.0</v>
      </c>
      <c r="C21419" s="38" t="s">
        <v>19605</v>
      </c>
      <c r="D21419" s="38" t="str">
        <f>IFERROR(__xludf.DUMMYFUNCTION("REGEXREPLACE(C21419,""-\d+(.*)|--\d+(.*)"","""")"),"CHAMPAGNEY")</f>
        <v>CHAMPAGNEY</v>
      </c>
      <c r="E21419" s="38" t="s">
        <v>213</v>
      </c>
      <c r="F21419" s="38" t="s">
        <v>214</v>
      </c>
      <c r="G21419" s="49" t="str">
        <f t="shared" si="1"/>
        <v>25170</v>
      </c>
      <c r="H21419" s="49">
        <f t="shared" si="2"/>
        <v>25115</v>
      </c>
    </row>
    <row r="21420">
      <c r="A21420" s="48" t="s">
        <v>2631</v>
      </c>
      <c r="B21420" s="38">
        <v>64391.0</v>
      </c>
      <c r="C21420" s="38" t="s">
        <v>25927</v>
      </c>
      <c r="D21420" s="38" t="str">
        <f>IFERROR(__xludf.DUMMYFUNCTION("REGEXREPLACE(C21420,""-\d+(.*)|--\d+(.*)"","""")"),"MONCAYOLLE-LARRORY-MENDIBIEU")</f>
        <v>MONCAYOLLE-LARRORY-MENDIBIEU</v>
      </c>
      <c r="E21420" s="38" t="s">
        <v>268</v>
      </c>
      <c r="F21420" s="38" t="s">
        <v>252</v>
      </c>
      <c r="G21420" s="49" t="str">
        <f t="shared" si="1"/>
        <v>64130</v>
      </c>
      <c r="H21420" s="49">
        <f t="shared" si="2"/>
        <v>64391</v>
      </c>
    </row>
    <row r="21421">
      <c r="A21421" s="48" t="s">
        <v>7532</v>
      </c>
      <c r="B21421" s="38">
        <v>37068.0</v>
      </c>
      <c r="C21421" s="38" t="s">
        <v>25928</v>
      </c>
      <c r="D21421" s="38" t="str">
        <f>IFERROR(__xludf.DUMMYFUNCTION("REGEXREPLACE(C21421,""-\d+(.*)|--\d+(.*)"","""")"),"CHEMILLE-SUR-DEME")</f>
        <v>CHEMILLE-SUR-DEME</v>
      </c>
      <c r="E21421" s="38" t="s">
        <v>205</v>
      </c>
      <c r="F21421" s="38" t="s">
        <v>123</v>
      </c>
      <c r="G21421" s="49" t="str">
        <f t="shared" si="1"/>
        <v>37370</v>
      </c>
      <c r="H21421" s="49">
        <f t="shared" si="2"/>
        <v>37068</v>
      </c>
    </row>
    <row r="21422">
      <c r="A21422" s="48" t="s">
        <v>6156</v>
      </c>
      <c r="B21422" s="38">
        <v>35059.0</v>
      </c>
      <c r="C21422" s="38" t="s">
        <v>25929</v>
      </c>
      <c r="D21422" s="38" t="str">
        <f>IFERROR(__xludf.DUMMYFUNCTION("REGEXREPLACE(C21422,""-\d+(.*)|--\d+(.*)"","""")"),"LA CHAPELLE-DES-FOUGERETZ")</f>
        <v>LA CHAPELLE-DES-FOUGERETZ</v>
      </c>
      <c r="E21422" s="38" t="s">
        <v>347</v>
      </c>
      <c r="F21422" s="38" t="s">
        <v>90</v>
      </c>
      <c r="G21422" s="49" t="str">
        <f t="shared" si="1"/>
        <v>35520</v>
      </c>
      <c r="H21422" s="49">
        <f t="shared" si="2"/>
        <v>35059</v>
      </c>
    </row>
    <row r="21423">
      <c r="A21423" s="48" t="s">
        <v>2493</v>
      </c>
      <c r="B21423" s="38">
        <v>25395.0</v>
      </c>
      <c r="C21423" s="38" t="s">
        <v>2524</v>
      </c>
      <c r="D21423" s="38" t="str">
        <f>IFERROR(__xludf.DUMMYFUNCTION("REGEXREPLACE(C21423,""-\d+(.*)|--\d+(.*)"","""")"),"MONTFAUCON")</f>
        <v>MONTFAUCON</v>
      </c>
      <c r="E21423" s="38" t="s">
        <v>213</v>
      </c>
      <c r="F21423" s="38" t="s">
        <v>214</v>
      </c>
      <c r="G21423" s="49" t="str">
        <f t="shared" si="1"/>
        <v>25660</v>
      </c>
      <c r="H21423" s="49">
        <f t="shared" si="2"/>
        <v>25395</v>
      </c>
    </row>
    <row r="21424">
      <c r="A21424" s="48" t="s">
        <v>2989</v>
      </c>
      <c r="B21424" s="38">
        <v>70174.0</v>
      </c>
      <c r="C21424" s="38" t="s">
        <v>25930</v>
      </c>
      <c r="D21424" s="38" t="str">
        <f>IFERROR(__xludf.DUMMYFUNCTION("REGEXREPLACE(C21424,""-\d+(.*)|--\d+(.*)"","""")"),"CORDONNET")</f>
        <v>CORDONNET</v>
      </c>
      <c r="E21424" s="38" t="s">
        <v>956</v>
      </c>
      <c r="F21424" s="38" t="s">
        <v>214</v>
      </c>
      <c r="G21424" s="49" t="str">
        <f t="shared" si="1"/>
        <v>70190</v>
      </c>
      <c r="H21424" s="49">
        <f t="shared" si="2"/>
        <v>70174</v>
      </c>
    </row>
    <row r="21425">
      <c r="A21425" s="48" t="s">
        <v>1568</v>
      </c>
      <c r="B21425" s="38">
        <v>36002.0</v>
      </c>
      <c r="C21425" s="38" t="s">
        <v>25931</v>
      </c>
      <c r="D21425" s="38" t="str">
        <f>IFERROR(__xludf.DUMMYFUNCTION("REGEXREPLACE(C21425,""-\d+(.*)|--\d+(.*)"","""")"),"AIZE")</f>
        <v>AIZE</v>
      </c>
      <c r="E21425" s="38" t="s">
        <v>258</v>
      </c>
      <c r="F21425" s="38" t="s">
        <v>123</v>
      </c>
      <c r="G21425" s="49" t="str">
        <f t="shared" si="1"/>
        <v>36150</v>
      </c>
      <c r="H21425" s="49">
        <f t="shared" si="2"/>
        <v>36002</v>
      </c>
    </row>
    <row r="21426">
      <c r="A21426" s="48" t="s">
        <v>6038</v>
      </c>
      <c r="B21426" s="38">
        <v>88515.0</v>
      </c>
      <c r="C21426" s="38" t="s">
        <v>25932</v>
      </c>
      <c r="D21426" s="38" t="str">
        <f>IFERROR(__xludf.DUMMYFUNCTION("REGEXREPLACE(C21426,""-\d+(.*)|--\d+(.*)"","""")"),"VIOMENIL")</f>
        <v>VIOMENIL</v>
      </c>
      <c r="E21426" s="38" t="s">
        <v>194</v>
      </c>
      <c r="F21426" s="38" t="s">
        <v>195</v>
      </c>
      <c r="G21426" s="49" t="str">
        <f t="shared" si="1"/>
        <v>88260</v>
      </c>
      <c r="H21426" s="49">
        <f t="shared" si="2"/>
        <v>88515</v>
      </c>
    </row>
    <row r="21427">
      <c r="A21427" s="48" t="s">
        <v>11910</v>
      </c>
      <c r="B21427" s="38">
        <v>46119.0</v>
      </c>
      <c r="C21427" s="38" t="s">
        <v>25933</v>
      </c>
      <c r="D21427" s="38" t="str">
        <f>IFERROR(__xludf.DUMMYFUNCTION("REGEXREPLACE(C21427,""-\d+(.*)|--\d+(.*)"","""")"),"GIGOUZAC")</f>
        <v>GIGOUZAC</v>
      </c>
      <c r="E21427" s="38" t="s">
        <v>185</v>
      </c>
      <c r="F21427" s="38" t="s">
        <v>94</v>
      </c>
      <c r="G21427" s="49" t="str">
        <f t="shared" si="1"/>
        <v>46150</v>
      </c>
      <c r="H21427" s="49">
        <f t="shared" si="2"/>
        <v>46119</v>
      </c>
    </row>
    <row r="21428">
      <c r="A21428" s="48" t="s">
        <v>2807</v>
      </c>
      <c r="B21428" s="38">
        <v>81189.0</v>
      </c>
      <c r="C21428" s="38" t="s">
        <v>25934</v>
      </c>
      <c r="D21428" s="38" t="str">
        <f>IFERROR(__xludf.DUMMYFUNCTION("REGEXREPLACE(C21428,""-\d+(.*)|--\d+(.*)"","""")"),"MOUZENS")</f>
        <v>MOUZENS</v>
      </c>
      <c r="E21428" s="38" t="s">
        <v>231</v>
      </c>
      <c r="F21428" s="38" t="s">
        <v>94</v>
      </c>
      <c r="G21428" s="49" t="str">
        <f t="shared" si="1"/>
        <v>81470</v>
      </c>
      <c r="H21428" s="49">
        <f t="shared" si="2"/>
        <v>81189</v>
      </c>
    </row>
    <row r="21429">
      <c r="A21429" s="48" t="s">
        <v>5944</v>
      </c>
      <c r="B21429" s="38">
        <v>62441.0</v>
      </c>
      <c r="C21429" s="38" t="s">
        <v>25935</v>
      </c>
      <c r="D21429" s="38" t="str">
        <f>IFERROR(__xludf.DUMMYFUNCTION("REGEXREPLACE(C21429,""-\d+(.*)|--\d+(.*)"","""")"),"HERMIN")</f>
        <v>HERMIN</v>
      </c>
      <c r="E21429" s="38" t="s">
        <v>109</v>
      </c>
      <c r="F21429" s="38" t="s">
        <v>86</v>
      </c>
      <c r="G21429" s="49" t="str">
        <f t="shared" si="1"/>
        <v>62150</v>
      </c>
      <c r="H21429" s="49">
        <f t="shared" si="2"/>
        <v>62441</v>
      </c>
    </row>
    <row r="21430">
      <c r="A21430" s="48" t="s">
        <v>14989</v>
      </c>
      <c r="B21430" s="38">
        <v>74090.0</v>
      </c>
      <c r="C21430" s="38" t="s">
        <v>25936</v>
      </c>
      <c r="D21430" s="38" t="str">
        <f>IFERROR(__xludf.DUMMYFUNCTION("REGEXREPLACE(C21430,""-\d+(.*)|--\d+(.*)"","""")"),"CORNIER")</f>
        <v>CORNIER</v>
      </c>
      <c r="E21430" s="38" t="s">
        <v>319</v>
      </c>
      <c r="F21430" s="38" t="s">
        <v>102</v>
      </c>
      <c r="G21430" s="49" t="str">
        <f t="shared" si="1"/>
        <v>74800</v>
      </c>
      <c r="H21430" s="49">
        <f t="shared" si="2"/>
        <v>74090</v>
      </c>
    </row>
    <row r="21431">
      <c r="A21431" s="48" t="s">
        <v>2338</v>
      </c>
      <c r="B21431" s="38">
        <v>8198.0</v>
      </c>
      <c r="C21431" s="38" t="s">
        <v>25937</v>
      </c>
      <c r="D21431" s="38" t="str">
        <f>IFERROR(__xludf.DUMMYFUNCTION("REGEXREPLACE(C21431,""-\d+(.*)|--\d+(.*)"","""")"),"GRANDPRE")</f>
        <v>GRANDPRE</v>
      </c>
      <c r="E21431" s="38" t="s">
        <v>327</v>
      </c>
      <c r="F21431" s="38" t="s">
        <v>130</v>
      </c>
      <c r="G21431" s="49" t="str">
        <f t="shared" si="1"/>
        <v>08250</v>
      </c>
      <c r="H21431" s="49" t="str">
        <f t="shared" si="2"/>
        <v>08198</v>
      </c>
    </row>
    <row r="21432">
      <c r="A21432" s="48" t="s">
        <v>4594</v>
      </c>
      <c r="B21432" s="38">
        <v>62487.0</v>
      </c>
      <c r="C21432" s="38" t="s">
        <v>25938</v>
      </c>
      <c r="D21432" s="38" t="str">
        <f>IFERROR(__xludf.DUMMYFUNCTION("REGEXREPLACE(C21432,""-\d+(.*)|--\d+(.*)"","""")"),"LANDRETHUN-LE-NORD")</f>
        <v>LANDRETHUN-LE-NORD</v>
      </c>
      <c r="E21432" s="38" t="s">
        <v>109</v>
      </c>
      <c r="F21432" s="38" t="s">
        <v>86</v>
      </c>
      <c r="G21432" s="49" t="str">
        <f t="shared" si="1"/>
        <v>62250</v>
      </c>
      <c r="H21432" s="49">
        <f t="shared" si="2"/>
        <v>62487</v>
      </c>
    </row>
    <row r="21433">
      <c r="A21433" s="48" t="s">
        <v>25939</v>
      </c>
      <c r="B21433" s="38">
        <v>50562.0</v>
      </c>
      <c r="C21433" s="38" t="s">
        <v>25940</v>
      </c>
      <c r="D21433" s="38" t="str">
        <f>IFERROR(__xludf.DUMMYFUNCTION("REGEXREPLACE(C21433,""-\d+(.*)|--\d+(.*)"","""")"),"SAINT-VAAST-LA-HOUGUE")</f>
        <v>SAINT-VAAST-LA-HOUGUE</v>
      </c>
      <c r="E21433" s="38" t="s">
        <v>157</v>
      </c>
      <c r="F21433" s="38" t="s">
        <v>138</v>
      </c>
      <c r="G21433" s="49" t="str">
        <f t="shared" si="1"/>
        <v>50550</v>
      </c>
      <c r="H21433" s="49">
        <f t="shared" si="2"/>
        <v>50562</v>
      </c>
    </row>
    <row r="21434">
      <c r="A21434" s="48" t="s">
        <v>14540</v>
      </c>
      <c r="B21434" s="38">
        <v>34319.0</v>
      </c>
      <c r="C21434" s="38" t="s">
        <v>25941</v>
      </c>
      <c r="D21434" s="38" t="str">
        <f>IFERROR(__xludf.DUMMYFUNCTION("REGEXREPLACE(C21434,""-\d+(.*)|--\d+(.*)"","""")"),"VAILHAN")</f>
        <v>VAILHAN</v>
      </c>
      <c r="E21434" s="38" t="s">
        <v>118</v>
      </c>
      <c r="F21434" s="38" t="s">
        <v>119</v>
      </c>
      <c r="G21434" s="49" t="str">
        <f t="shared" si="1"/>
        <v>34320</v>
      </c>
      <c r="H21434" s="49">
        <f t="shared" si="2"/>
        <v>34319</v>
      </c>
    </row>
    <row r="21435">
      <c r="A21435" s="48" t="s">
        <v>4373</v>
      </c>
      <c r="B21435" s="38">
        <v>82031.0</v>
      </c>
      <c r="C21435" s="38" t="s">
        <v>25942</v>
      </c>
      <c r="D21435" s="38" t="str">
        <f>IFERROR(__xludf.DUMMYFUNCTION("REGEXREPLACE(C21435,""-\d+(.*)|--\d+(.*)"","""")"),"CASTELMAYRAN")</f>
        <v>CASTELMAYRAN</v>
      </c>
      <c r="E21435" s="38" t="s">
        <v>570</v>
      </c>
      <c r="F21435" s="38" t="s">
        <v>94</v>
      </c>
      <c r="G21435" s="49" t="str">
        <f t="shared" si="1"/>
        <v>82210</v>
      </c>
      <c r="H21435" s="49">
        <f t="shared" si="2"/>
        <v>82031</v>
      </c>
    </row>
    <row r="21436">
      <c r="A21436" s="48" t="s">
        <v>3349</v>
      </c>
      <c r="B21436" s="38">
        <v>34096.0</v>
      </c>
      <c r="C21436" s="38" t="s">
        <v>18350</v>
      </c>
      <c r="D21436" s="38" t="str">
        <f>IFERROR(__xludf.DUMMYFUNCTION("REGEXREPLACE(C21436,""-\d+(.*)|--\d+(.*)"","""")"),"FAUGERES")</f>
        <v>FAUGERES</v>
      </c>
      <c r="E21436" s="38" t="s">
        <v>118</v>
      </c>
      <c r="F21436" s="38" t="s">
        <v>119</v>
      </c>
      <c r="G21436" s="49" t="str">
        <f t="shared" si="1"/>
        <v>34600</v>
      </c>
      <c r="H21436" s="49">
        <f t="shared" si="2"/>
        <v>34096</v>
      </c>
    </row>
    <row r="21437">
      <c r="A21437" s="48" t="s">
        <v>1681</v>
      </c>
      <c r="B21437" s="38">
        <v>80236.0</v>
      </c>
      <c r="C21437" s="38" t="s">
        <v>25943</v>
      </c>
      <c r="D21437" s="38" t="str">
        <f>IFERROR(__xludf.DUMMYFUNCTION("REGEXREPLACE(C21437,""-\d+(.*)|--\d+(.*)"","""")"),"DAVENESCOURT")</f>
        <v>DAVENESCOURT</v>
      </c>
      <c r="E21437" s="38" t="s">
        <v>224</v>
      </c>
      <c r="F21437" s="38" t="s">
        <v>113</v>
      </c>
      <c r="G21437" s="49" t="str">
        <f t="shared" si="1"/>
        <v>80500</v>
      </c>
      <c r="H21437" s="49">
        <f t="shared" si="2"/>
        <v>80236</v>
      </c>
    </row>
    <row r="21438">
      <c r="A21438" s="48" t="s">
        <v>6694</v>
      </c>
      <c r="B21438" s="38">
        <v>16111.0</v>
      </c>
      <c r="C21438" s="38" t="s">
        <v>25944</v>
      </c>
      <c r="D21438" s="38" t="str">
        <f>IFERROR(__xludf.DUMMYFUNCTION("REGEXREPLACE(C21438,""-\d+(.*)|--\d+(.*)"","""")"),"COURGEAC")</f>
        <v>COURGEAC</v>
      </c>
      <c r="E21438" s="38" t="s">
        <v>429</v>
      </c>
      <c r="F21438" s="38" t="s">
        <v>338</v>
      </c>
      <c r="G21438" s="49" t="str">
        <f t="shared" si="1"/>
        <v>16190</v>
      </c>
      <c r="H21438" s="49">
        <f t="shared" si="2"/>
        <v>16111</v>
      </c>
    </row>
    <row r="21439">
      <c r="A21439" s="48" t="s">
        <v>25945</v>
      </c>
      <c r="B21439" s="38">
        <v>22218.0</v>
      </c>
      <c r="C21439" s="38" t="s">
        <v>25946</v>
      </c>
      <c r="D21439" s="38" t="str">
        <f>IFERROR(__xludf.DUMMYFUNCTION("REGEXREPLACE(C21439,""-\d+(.*)|--\d+(.*)"","""")"),"PLOUGRESCANT")</f>
        <v>PLOUGRESCANT</v>
      </c>
      <c r="E21439" s="38" t="s">
        <v>89</v>
      </c>
      <c r="F21439" s="38" t="s">
        <v>90</v>
      </c>
      <c r="G21439" s="49" t="str">
        <f t="shared" si="1"/>
        <v>22820</v>
      </c>
      <c r="H21439" s="49">
        <f t="shared" si="2"/>
        <v>22218</v>
      </c>
    </row>
    <row r="21440">
      <c r="A21440" s="48" t="s">
        <v>25947</v>
      </c>
      <c r="B21440" s="38">
        <v>69382.0</v>
      </c>
      <c r="C21440" s="38" t="s">
        <v>25948</v>
      </c>
      <c r="D21440" s="38" t="str">
        <f>IFERROR(__xludf.DUMMYFUNCTION("REGEXREPLACE(C21440,""-\d+(.*)|--\d+(.*)"","""")"),"LYON")</f>
        <v>LYON</v>
      </c>
      <c r="E21440" s="38" t="s">
        <v>350</v>
      </c>
      <c r="F21440" s="38" t="s">
        <v>102</v>
      </c>
      <c r="G21440" s="49" t="str">
        <f t="shared" si="1"/>
        <v>69002</v>
      </c>
      <c r="H21440" s="49">
        <f t="shared" si="2"/>
        <v>69382</v>
      </c>
    </row>
    <row r="21441">
      <c r="A21441" s="48" t="s">
        <v>5681</v>
      </c>
      <c r="B21441" s="38">
        <v>58240.0</v>
      </c>
      <c r="C21441" s="38" t="s">
        <v>25949</v>
      </c>
      <c r="D21441" s="38" t="str">
        <f>IFERROR(__xludf.DUMMYFUNCTION("REGEXREPLACE(C21441,""-\d+(.*)|--\d+(.*)"","""")"),"SAINT-FRANCHY")</f>
        <v>SAINT-FRANCHY</v>
      </c>
      <c r="E21441" s="38" t="s">
        <v>219</v>
      </c>
      <c r="F21441" s="38" t="s">
        <v>106</v>
      </c>
      <c r="G21441" s="49" t="str">
        <f t="shared" si="1"/>
        <v>58330</v>
      </c>
      <c r="H21441" s="49">
        <f t="shared" si="2"/>
        <v>58240</v>
      </c>
    </row>
    <row r="21442">
      <c r="A21442" s="48" t="s">
        <v>7107</v>
      </c>
      <c r="B21442" s="38">
        <v>10423.0</v>
      </c>
      <c r="C21442" s="38" t="s">
        <v>25950</v>
      </c>
      <c r="D21442" s="38" t="str">
        <f>IFERROR(__xludf.DUMMYFUNCTION("REGEXREPLACE(C21442,""-\d+(.*)|--\d+(.*)"","""")"),"LA VILLENEUVE-AU-CHENE")</f>
        <v>LA VILLENEUVE-AU-CHENE</v>
      </c>
      <c r="E21442" s="38" t="s">
        <v>147</v>
      </c>
      <c r="F21442" s="38" t="s">
        <v>130</v>
      </c>
      <c r="G21442" s="49" t="str">
        <f t="shared" si="1"/>
        <v>10140</v>
      </c>
      <c r="H21442" s="49">
        <f t="shared" si="2"/>
        <v>10423</v>
      </c>
    </row>
    <row r="21443">
      <c r="A21443" s="48" t="s">
        <v>6781</v>
      </c>
      <c r="B21443" s="38">
        <v>56237.0</v>
      </c>
      <c r="C21443" s="38" t="s">
        <v>25951</v>
      </c>
      <c r="D21443" s="38" t="str">
        <f>IFERROR(__xludf.DUMMYFUNCTION("REGEXREPLACE(C21443,""-\d+(.*)|--\d+(.*)"","""")"),"SAINT-THURIAU")</f>
        <v>SAINT-THURIAU</v>
      </c>
      <c r="E21443" s="38" t="s">
        <v>173</v>
      </c>
      <c r="F21443" s="38" t="s">
        <v>90</v>
      </c>
      <c r="G21443" s="49" t="str">
        <f t="shared" si="1"/>
        <v>56300</v>
      </c>
      <c r="H21443" s="49">
        <f t="shared" si="2"/>
        <v>56237</v>
      </c>
    </row>
    <row r="21444">
      <c r="A21444" s="48" t="s">
        <v>5425</v>
      </c>
      <c r="B21444" s="38">
        <v>82181.0</v>
      </c>
      <c r="C21444" s="38" t="s">
        <v>25952</v>
      </c>
      <c r="D21444" s="38" t="str">
        <f>IFERROR(__xludf.DUMMYFUNCTION("REGEXREPLACE(C21444,""-\d+(.*)|--\d+(.*)"","""")"),"SISTELS")</f>
        <v>SISTELS</v>
      </c>
      <c r="E21444" s="38" t="s">
        <v>570</v>
      </c>
      <c r="F21444" s="38" t="s">
        <v>94</v>
      </c>
      <c r="G21444" s="49" t="str">
        <f t="shared" si="1"/>
        <v>82340</v>
      </c>
      <c r="H21444" s="49">
        <f t="shared" si="2"/>
        <v>82181</v>
      </c>
    </row>
    <row r="21445">
      <c r="A21445" s="48" t="s">
        <v>14346</v>
      </c>
      <c r="B21445" s="38">
        <v>43064.0</v>
      </c>
      <c r="C21445" s="38" t="s">
        <v>8856</v>
      </c>
      <c r="D21445" s="38" t="str">
        <f>IFERROR(__xludf.DUMMYFUNCTION("REGEXREPLACE(C21445,""-\d+(.*)|--\d+(.*)"","""")"),"CHASSIGNOLLES")</f>
        <v>CHASSIGNOLLES</v>
      </c>
      <c r="E21445" s="38" t="s">
        <v>332</v>
      </c>
      <c r="F21445" s="38" t="s">
        <v>161</v>
      </c>
      <c r="G21445" s="49" t="str">
        <f t="shared" si="1"/>
        <v>43440</v>
      </c>
      <c r="H21445" s="49">
        <f t="shared" si="2"/>
        <v>43064</v>
      </c>
    </row>
    <row r="21446">
      <c r="A21446" s="48" t="s">
        <v>5190</v>
      </c>
      <c r="B21446" s="38">
        <v>35357.0</v>
      </c>
      <c r="C21446" s="38" t="s">
        <v>25953</v>
      </c>
      <c r="D21446" s="38" t="str">
        <f>IFERROR(__xludf.DUMMYFUNCTION("REGEXREPLACE(C21446,""-\d+(.*)|--\d+(.*)"","""")"),"VILLAMEE")</f>
        <v>VILLAMEE</v>
      </c>
      <c r="E21446" s="38" t="s">
        <v>347</v>
      </c>
      <c r="F21446" s="38" t="s">
        <v>90</v>
      </c>
      <c r="G21446" s="49" t="str">
        <f t="shared" si="1"/>
        <v>35420</v>
      </c>
      <c r="H21446" s="49">
        <f t="shared" si="2"/>
        <v>35357</v>
      </c>
    </row>
    <row r="21447">
      <c r="A21447" s="48" t="s">
        <v>1618</v>
      </c>
      <c r="B21447" s="38">
        <v>11413.0</v>
      </c>
      <c r="C21447" s="38" t="s">
        <v>25954</v>
      </c>
      <c r="D21447" s="38" t="str">
        <f>IFERROR(__xludf.DUMMYFUNCTION("REGEXREPLACE(C21447,""-\d+(.*)|--\d+(.*)"","""")"),"VILLARDONNEL")</f>
        <v>VILLARDONNEL</v>
      </c>
      <c r="E21447" s="38" t="s">
        <v>278</v>
      </c>
      <c r="F21447" s="38" t="s">
        <v>119</v>
      </c>
      <c r="G21447" s="49" t="str">
        <f t="shared" si="1"/>
        <v>11600</v>
      </c>
      <c r="H21447" s="49">
        <f t="shared" si="2"/>
        <v>11413</v>
      </c>
    </row>
    <row r="21448">
      <c r="A21448" s="48" t="s">
        <v>2748</v>
      </c>
      <c r="B21448" s="38">
        <v>32217.0</v>
      </c>
      <c r="C21448" s="38" t="s">
        <v>25955</v>
      </c>
      <c r="D21448" s="38" t="str">
        <f>IFERROR(__xludf.DUMMYFUNCTION("REGEXREPLACE(C21448,""-\d+(.*)|--\d+(.*)"","""")"),"LOUSLITGES")</f>
        <v>LOUSLITGES</v>
      </c>
      <c r="E21448" s="38" t="s">
        <v>440</v>
      </c>
      <c r="F21448" s="38" t="s">
        <v>94</v>
      </c>
      <c r="G21448" s="49" t="str">
        <f t="shared" si="1"/>
        <v>32230</v>
      </c>
      <c r="H21448" s="49">
        <f t="shared" si="2"/>
        <v>32217</v>
      </c>
    </row>
    <row r="21449">
      <c r="A21449" s="48" t="s">
        <v>13097</v>
      </c>
      <c r="B21449" s="38">
        <v>40060.0</v>
      </c>
      <c r="C21449" s="38" t="s">
        <v>25956</v>
      </c>
      <c r="D21449" s="38" t="str">
        <f>IFERROR(__xludf.DUMMYFUNCTION("REGEXREPLACE(C21449,""-\d+(.*)|--\d+(.*)"","""")"),"CALLEN")</f>
        <v>CALLEN</v>
      </c>
      <c r="E21449" s="38" t="s">
        <v>281</v>
      </c>
      <c r="F21449" s="38" t="s">
        <v>252</v>
      </c>
      <c r="G21449" s="49" t="str">
        <f t="shared" si="1"/>
        <v>40430</v>
      </c>
      <c r="H21449" s="49">
        <f t="shared" si="2"/>
        <v>40060</v>
      </c>
    </row>
    <row r="21450">
      <c r="A21450" s="48" t="s">
        <v>14097</v>
      </c>
      <c r="B21450" s="38">
        <v>10180.0</v>
      </c>
      <c r="C21450" s="38" t="s">
        <v>25957</v>
      </c>
      <c r="D21450" s="38" t="str">
        <f>IFERROR(__xludf.DUMMYFUNCTION("REGEXREPLACE(C21450,""-\d+(.*)|--\d+(.*)"","""")"),"JONCREUIL")</f>
        <v>JONCREUIL</v>
      </c>
      <c r="E21450" s="38" t="s">
        <v>147</v>
      </c>
      <c r="F21450" s="38" t="s">
        <v>130</v>
      </c>
      <c r="G21450" s="49" t="str">
        <f t="shared" si="1"/>
        <v>10330</v>
      </c>
      <c r="H21450" s="49">
        <f t="shared" si="2"/>
        <v>10180</v>
      </c>
    </row>
    <row r="21451">
      <c r="A21451" s="48" t="s">
        <v>2387</v>
      </c>
      <c r="B21451" s="38">
        <v>42121.0</v>
      </c>
      <c r="C21451" s="38" t="s">
        <v>25958</v>
      </c>
      <c r="D21451" s="38" t="str">
        <f>IFERROR(__xludf.DUMMYFUNCTION("REGEXREPLACE(C21451,""-\d+(.*)|--\d+(.*)"","""")"),"LERIGNEUX")</f>
        <v>LERIGNEUX</v>
      </c>
      <c r="E21451" s="38" t="s">
        <v>166</v>
      </c>
      <c r="F21451" s="38" t="s">
        <v>102</v>
      </c>
      <c r="G21451" s="49" t="str">
        <f t="shared" si="1"/>
        <v>42600</v>
      </c>
      <c r="H21451" s="49">
        <f t="shared" si="2"/>
        <v>42121</v>
      </c>
    </row>
    <row r="21452">
      <c r="A21452" s="48" t="s">
        <v>2655</v>
      </c>
      <c r="B21452" s="38">
        <v>52113.0</v>
      </c>
      <c r="C21452" s="38" t="s">
        <v>25959</v>
      </c>
      <c r="D21452" s="38" t="str">
        <f>IFERROR(__xludf.DUMMYFUNCTION("REGEXREPLACE(C21452,""-\d+(.*)|--\d+(.*)"","""")"),"CHASSIGNY")</f>
        <v>CHASSIGNY</v>
      </c>
      <c r="E21452" s="38" t="s">
        <v>234</v>
      </c>
      <c r="F21452" s="38" t="s">
        <v>130</v>
      </c>
      <c r="G21452" s="49" t="str">
        <f t="shared" si="1"/>
        <v>52190</v>
      </c>
      <c r="H21452" s="49">
        <f t="shared" si="2"/>
        <v>52113</v>
      </c>
    </row>
    <row r="21453">
      <c r="A21453" s="48" t="s">
        <v>1825</v>
      </c>
      <c r="B21453" s="38">
        <v>64544.0</v>
      </c>
      <c r="C21453" s="38" t="s">
        <v>25960</v>
      </c>
      <c r="D21453" s="38" t="str">
        <f>IFERROR(__xludf.DUMMYFUNCTION("REGEXREPLACE(C21453,""-\d+(.*)|--\d+(.*)"","""")"),"UROST")</f>
        <v>UROST</v>
      </c>
      <c r="E21453" s="38" t="s">
        <v>268</v>
      </c>
      <c r="F21453" s="38" t="s">
        <v>252</v>
      </c>
      <c r="G21453" s="49" t="str">
        <f t="shared" si="1"/>
        <v>64160</v>
      </c>
      <c r="H21453" s="49">
        <f t="shared" si="2"/>
        <v>64544</v>
      </c>
    </row>
    <row r="21454">
      <c r="A21454" s="48" t="s">
        <v>25961</v>
      </c>
      <c r="B21454" s="38" t="s">
        <v>25962</v>
      </c>
      <c r="C21454" s="38" t="s">
        <v>25963</v>
      </c>
      <c r="D21454" s="38" t="str">
        <f>IFERROR(__xludf.DUMMYFUNCTION("REGEXREPLACE(C21454,""-\d+(.*)|--\d+(.*)"","""")"),"COZZANO")</f>
        <v>COZZANO</v>
      </c>
      <c r="E21454" s="38" t="s">
        <v>606</v>
      </c>
      <c r="F21454" s="38" t="s">
        <v>607</v>
      </c>
      <c r="G21454" s="49" t="str">
        <f t="shared" si="1"/>
        <v>20148</v>
      </c>
      <c r="H21454" s="49" t="str">
        <f t="shared" si="2"/>
        <v>2A099</v>
      </c>
    </row>
    <row r="21455">
      <c r="A21455" s="48" t="s">
        <v>2903</v>
      </c>
      <c r="B21455" s="38">
        <v>85070.0</v>
      </c>
      <c r="C21455" s="38" t="s">
        <v>25964</v>
      </c>
      <c r="D21455" s="38" t="str">
        <f>IFERROR(__xludf.DUMMYFUNCTION("REGEXREPLACE(C21455,""-\d+(.*)|--\d+(.*)"","""")"),"COEX")</f>
        <v>COEX</v>
      </c>
      <c r="E21455" s="38" t="s">
        <v>179</v>
      </c>
      <c r="F21455" s="38" t="s">
        <v>180</v>
      </c>
      <c r="G21455" s="49" t="str">
        <f t="shared" si="1"/>
        <v>85220</v>
      </c>
      <c r="H21455" s="49">
        <f t="shared" si="2"/>
        <v>85070</v>
      </c>
    </row>
    <row r="21456">
      <c r="A21456" s="48" t="s">
        <v>10110</v>
      </c>
      <c r="B21456" s="38">
        <v>63323.0</v>
      </c>
      <c r="C21456" s="38" t="s">
        <v>25965</v>
      </c>
      <c r="D21456" s="38" t="str">
        <f>IFERROR(__xludf.DUMMYFUNCTION("REGEXREPLACE(C21456,""-\d+(.*)|--\d+(.*)"","""")"),"SAINT-BONNET-LE-BOURG")</f>
        <v>SAINT-BONNET-LE-BOURG</v>
      </c>
      <c r="E21456" s="38" t="s">
        <v>353</v>
      </c>
      <c r="F21456" s="38" t="s">
        <v>161</v>
      </c>
      <c r="G21456" s="49" t="str">
        <f t="shared" si="1"/>
        <v>63630</v>
      </c>
      <c r="H21456" s="49">
        <f t="shared" si="2"/>
        <v>63323</v>
      </c>
    </row>
    <row r="21457">
      <c r="A21457" s="48" t="s">
        <v>643</v>
      </c>
      <c r="B21457" s="38">
        <v>88458.0</v>
      </c>
      <c r="C21457" s="38" t="s">
        <v>25966</v>
      </c>
      <c r="D21457" s="38" t="str">
        <f>IFERROR(__xludf.DUMMYFUNCTION("REGEXREPLACE(C21457,""-\d+(.*)|--\d+(.*)"","""")"),"SOCOURT")</f>
        <v>SOCOURT</v>
      </c>
      <c r="E21457" s="38" t="s">
        <v>194</v>
      </c>
      <c r="F21457" s="38" t="s">
        <v>195</v>
      </c>
      <c r="G21457" s="49" t="str">
        <f t="shared" si="1"/>
        <v>88130</v>
      </c>
      <c r="H21457" s="49">
        <f t="shared" si="2"/>
        <v>88458</v>
      </c>
    </row>
    <row r="21458">
      <c r="A21458" s="48" t="s">
        <v>7676</v>
      </c>
      <c r="B21458" s="38">
        <v>63244.0</v>
      </c>
      <c r="C21458" s="38" t="s">
        <v>25967</v>
      </c>
      <c r="D21458" s="38" t="str">
        <f>IFERROR(__xludf.DUMMYFUNCTION("REGEXREPLACE(C21458,""-\d+(.*)|--\d+(.*)"","""")"),"LA MOUTADE")</f>
        <v>LA MOUTADE</v>
      </c>
      <c r="E21458" s="38" t="s">
        <v>353</v>
      </c>
      <c r="F21458" s="38" t="s">
        <v>161</v>
      </c>
      <c r="G21458" s="49" t="str">
        <f t="shared" si="1"/>
        <v>63200</v>
      </c>
      <c r="H21458" s="49">
        <f t="shared" si="2"/>
        <v>63244</v>
      </c>
    </row>
    <row r="21459">
      <c r="A21459" s="48" t="s">
        <v>2807</v>
      </c>
      <c r="B21459" s="38">
        <v>81162.0</v>
      </c>
      <c r="C21459" s="38" t="s">
        <v>25968</v>
      </c>
      <c r="D21459" s="38" t="str">
        <f>IFERROR(__xludf.DUMMYFUNCTION("REGEXREPLACE(C21459,""-\d+(.*)|--\d+(.*)"","""")"),"MAURENS-SCOPONT")</f>
        <v>MAURENS-SCOPONT</v>
      </c>
      <c r="E21459" s="38" t="s">
        <v>231</v>
      </c>
      <c r="F21459" s="38" t="s">
        <v>94</v>
      </c>
      <c r="G21459" s="49" t="str">
        <f t="shared" si="1"/>
        <v>81470</v>
      </c>
      <c r="H21459" s="49">
        <f t="shared" si="2"/>
        <v>81162</v>
      </c>
    </row>
    <row r="21460">
      <c r="A21460" s="48" t="s">
        <v>4592</v>
      </c>
      <c r="B21460" s="38">
        <v>26073.0</v>
      </c>
      <c r="C21460" s="38" t="s">
        <v>25969</v>
      </c>
      <c r="D21460" s="38" t="str">
        <f>IFERROR(__xludf.DUMMYFUNCTION("REGEXREPLACE(C21460,""-\d+(.*)|--\d+(.*)"","""")"),"CHANTEMERLE-LES-GRIGNAN")</f>
        <v>CHANTEMERLE-LES-GRIGNAN</v>
      </c>
      <c r="E21460" s="38" t="s">
        <v>126</v>
      </c>
      <c r="F21460" s="38" t="s">
        <v>102</v>
      </c>
      <c r="G21460" s="49" t="str">
        <f t="shared" si="1"/>
        <v>26230</v>
      </c>
      <c r="H21460" s="49">
        <f t="shared" si="2"/>
        <v>26073</v>
      </c>
    </row>
    <row r="21461">
      <c r="A21461" s="48" t="s">
        <v>2387</v>
      </c>
      <c r="B21461" s="38">
        <v>42012.0</v>
      </c>
      <c r="C21461" s="38" t="s">
        <v>25970</v>
      </c>
      <c r="D21461" s="38" t="str">
        <f>IFERROR(__xludf.DUMMYFUNCTION("REGEXREPLACE(C21461,""-\d+(.*)|--\d+(.*)"","""")"),"BARD")</f>
        <v>BARD</v>
      </c>
      <c r="E21461" s="38" t="s">
        <v>166</v>
      </c>
      <c r="F21461" s="38" t="s">
        <v>102</v>
      </c>
      <c r="G21461" s="49" t="str">
        <f t="shared" si="1"/>
        <v>42600</v>
      </c>
      <c r="H21461" s="49">
        <f t="shared" si="2"/>
        <v>42012</v>
      </c>
    </row>
    <row r="21462">
      <c r="A21462" s="48" t="s">
        <v>15360</v>
      </c>
      <c r="B21462" s="38">
        <v>25454.0</v>
      </c>
      <c r="C21462" s="38" t="s">
        <v>25971</v>
      </c>
      <c r="D21462" s="38" t="str">
        <f>IFERROR(__xludf.DUMMYFUNCTION("REGEXREPLACE(C21462,""-\d+(.*)|--\d+(.*)"","""")"),"PIREY")</f>
        <v>PIREY</v>
      </c>
      <c r="E21462" s="38" t="s">
        <v>213</v>
      </c>
      <c r="F21462" s="38" t="s">
        <v>214</v>
      </c>
      <c r="G21462" s="49" t="str">
        <f t="shared" si="1"/>
        <v>25480</v>
      </c>
      <c r="H21462" s="49">
        <f t="shared" si="2"/>
        <v>25454</v>
      </c>
    </row>
    <row r="21463">
      <c r="A21463" s="48" t="s">
        <v>2508</v>
      </c>
      <c r="B21463" s="38">
        <v>1382.0</v>
      </c>
      <c r="C21463" s="38" t="s">
        <v>25972</v>
      </c>
      <c r="D21463" s="38" t="str">
        <f>IFERROR(__xludf.DUMMYFUNCTION("REGEXREPLACE(C21463,""-\d+(.*)|--\d+(.*)"","""")"),"SAINTE-OLIVE")</f>
        <v>SAINTE-OLIVE</v>
      </c>
      <c r="E21463" s="38" t="s">
        <v>255</v>
      </c>
      <c r="F21463" s="38" t="s">
        <v>102</v>
      </c>
      <c r="G21463" s="49" t="str">
        <f t="shared" si="1"/>
        <v>01330</v>
      </c>
      <c r="H21463" s="49" t="str">
        <f t="shared" si="2"/>
        <v>01382</v>
      </c>
    </row>
    <row r="21464">
      <c r="A21464" s="48" t="s">
        <v>13884</v>
      </c>
      <c r="B21464" s="38">
        <v>14333.0</v>
      </c>
      <c r="C21464" s="38" t="s">
        <v>25973</v>
      </c>
      <c r="D21464" s="38" t="str">
        <f>IFERROR(__xludf.DUMMYFUNCTION("REGEXREPLACE(C21464,""-\d+(.*)|--\d+(.*)"","""")"),"HONFLEUR")</f>
        <v>HONFLEUR</v>
      </c>
      <c r="E21464" s="38" t="s">
        <v>137</v>
      </c>
      <c r="F21464" s="38" t="s">
        <v>138</v>
      </c>
      <c r="G21464" s="49" t="str">
        <f t="shared" si="1"/>
        <v>14600</v>
      </c>
      <c r="H21464" s="49">
        <f t="shared" si="2"/>
        <v>14333</v>
      </c>
    </row>
    <row r="21465">
      <c r="A21465" s="48" t="s">
        <v>5485</v>
      </c>
      <c r="B21465" s="38">
        <v>27673.0</v>
      </c>
      <c r="C21465" s="38" t="s">
        <v>25974</v>
      </c>
      <c r="D21465" s="38" t="str">
        <f>IFERROR(__xludf.DUMMYFUNCTION("REGEXREPLACE(C21465,""-\d+(.*)|--\d+(.*)"","""")"),"VATTEVILLE")</f>
        <v>VATTEVILLE</v>
      </c>
      <c r="E21465" s="38" t="s">
        <v>241</v>
      </c>
      <c r="F21465" s="38" t="s">
        <v>134</v>
      </c>
      <c r="G21465" s="49" t="str">
        <f t="shared" si="1"/>
        <v>27430</v>
      </c>
      <c r="H21465" s="49">
        <f t="shared" si="2"/>
        <v>27673</v>
      </c>
    </row>
    <row r="21466">
      <c r="A21466" s="48" t="s">
        <v>5933</v>
      </c>
      <c r="B21466" s="38">
        <v>64336.0</v>
      </c>
      <c r="C21466" s="38" t="s">
        <v>25975</v>
      </c>
      <c r="D21466" s="38" t="str">
        <f>IFERROR(__xludf.DUMMYFUNCTION("REGEXREPLACE(C21466,""-\d+(.*)|--\d+(.*)"","""")"),"LESCUN")</f>
        <v>LESCUN</v>
      </c>
      <c r="E21466" s="38" t="s">
        <v>268</v>
      </c>
      <c r="F21466" s="38" t="s">
        <v>252</v>
      </c>
      <c r="G21466" s="49" t="str">
        <f t="shared" si="1"/>
        <v>64490</v>
      </c>
      <c r="H21466" s="49">
        <f t="shared" si="2"/>
        <v>64336</v>
      </c>
    </row>
    <row r="21467">
      <c r="A21467" s="48" t="s">
        <v>25976</v>
      </c>
      <c r="B21467" s="38">
        <v>34337.0</v>
      </c>
      <c r="C21467" s="38" t="s">
        <v>25977</v>
      </c>
      <c r="D21467" s="38" t="str">
        <f>IFERROR(__xludf.DUMMYFUNCTION("REGEXREPLACE(C21467,""-\d+(.*)|--\d+(.*)"","""")"),"VILLENEUVE-LES-MAGUELONE")</f>
        <v>VILLENEUVE-LES-MAGUELONE</v>
      </c>
      <c r="E21467" s="38" t="s">
        <v>118</v>
      </c>
      <c r="F21467" s="38" t="s">
        <v>119</v>
      </c>
      <c r="G21467" s="49" t="str">
        <f t="shared" si="1"/>
        <v>34750</v>
      </c>
      <c r="H21467" s="49">
        <f t="shared" si="2"/>
        <v>34337</v>
      </c>
    </row>
    <row r="21468">
      <c r="A21468" s="48" t="s">
        <v>403</v>
      </c>
      <c r="B21468" s="38">
        <v>59453.0</v>
      </c>
      <c r="C21468" s="38" t="s">
        <v>25978</v>
      </c>
      <c r="D21468" s="38" t="str">
        <f>IFERROR(__xludf.DUMMYFUNCTION("REGEXREPLACE(C21468,""-\d+(.*)|--\d+(.*)"","""")"),"OUDEZEELE")</f>
        <v>OUDEZEELE</v>
      </c>
      <c r="E21468" s="38" t="s">
        <v>85</v>
      </c>
      <c r="F21468" s="38" t="s">
        <v>86</v>
      </c>
      <c r="G21468" s="49" t="str">
        <f t="shared" si="1"/>
        <v>59670</v>
      </c>
      <c r="H21468" s="49">
        <f t="shared" si="2"/>
        <v>59453</v>
      </c>
    </row>
    <row r="21469">
      <c r="A21469" s="48" t="s">
        <v>6985</v>
      </c>
      <c r="B21469" s="38">
        <v>62216.0</v>
      </c>
      <c r="C21469" s="38" t="s">
        <v>25979</v>
      </c>
      <c r="D21469" s="38" t="str">
        <f>IFERROR(__xludf.DUMMYFUNCTION("REGEXREPLACE(C21469,""-\d+(.*)|--\d+(.*)"","""")"),"LA CAUCHIE")</f>
        <v>LA CAUCHIE</v>
      </c>
      <c r="E21469" s="38" t="s">
        <v>109</v>
      </c>
      <c r="F21469" s="38" t="s">
        <v>86</v>
      </c>
      <c r="G21469" s="49" t="str">
        <f t="shared" si="1"/>
        <v>62158</v>
      </c>
      <c r="H21469" s="49">
        <f t="shared" si="2"/>
        <v>62216</v>
      </c>
    </row>
    <row r="21470">
      <c r="A21470" s="48" t="s">
        <v>5756</v>
      </c>
      <c r="B21470" s="38">
        <v>33483.0</v>
      </c>
      <c r="C21470" s="38" t="s">
        <v>25980</v>
      </c>
      <c r="D21470" s="38" t="str">
        <f>IFERROR(__xludf.DUMMYFUNCTION("REGEXREPLACE(C21470,""-\d+(.*)|--\d+(.*)"","""")"),"SAINT-SULPICE-ET-CAMEYRAC")</f>
        <v>SAINT-SULPICE-ET-CAMEYRAC</v>
      </c>
      <c r="E21470" s="38" t="s">
        <v>462</v>
      </c>
      <c r="F21470" s="38" t="s">
        <v>252</v>
      </c>
      <c r="G21470" s="49" t="str">
        <f t="shared" si="1"/>
        <v>33450</v>
      </c>
      <c r="H21470" s="49">
        <f t="shared" si="2"/>
        <v>33483</v>
      </c>
    </row>
    <row r="21471">
      <c r="A21471" s="48" t="s">
        <v>578</v>
      </c>
      <c r="B21471" s="38">
        <v>52465.0</v>
      </c>
      <c r="C21471" s="38" t="s">
        <v>24799</v>
      </c>
      <c r="D21471" s="38" t="str">
        <f>IFERROR(__xludf.DUMMYFUNCTION("REGEXREPLACE(C21471,""-\d+(.*)|--\d+(.*)"","""")"),"SAULXURES")</f>
        <v>SAULXURES</v>
      </c>
      <c r="E21471" s="38" t="s">
        <v>234</v>
      </c>
      <c r="F21471" s="38" t="s">
        <v>130</v>
      </c>
      <c r="G21471" s="49" t="str">
        <f t="shared" si="1"/>
        <v>52140</v>
      </c>
      <c r="H21471" s="49">
        <f t="shared" si="2"/>
        <v>52465</v>
      </c>
    </row>
    <row r="21472">
      <c r="A21472" s="48" t="s">
        <v>25981</v>
      </c>
      <c r="B21472" s="38">
        <v>34259.0</v>
      </c>
      <c r="C21472" s="38" t="s">
        <v>25982</v>
      </c>
      <c r="D21472" s="38" t="str">
        <f>IFERROR(__xludf.DUMMYFUNCTION("REGEXREPLACE(C21472,""-\d+(.*)|--\d+(.*)"","""")"),"SAINT-GEORGES-D'ORQUES")</f>
        <v>SAINT-GEORGES-D'ORQUES</v>
      </c>
      <c r="E21472" s="38" t="s">
        <v>118</v>
      </c>
      <c r="F21472" s="38" t="s">
        <v>119</v>
      </c>
      <c r="G21472" s="49" t="str">
        <f t="shared" si="1"/>
        <v>34680</v>
      </c>
      <c r="H21472" s="49">
        <f t="shared" si="2"/>
        <v>34259</v>
      </c>
    </row>
    <row r="21473">
      <c r="A21473" s="48" t="s">
        <v>489</v>
      </c>
      <c r="B21473" s="38">
        <v>9339.0</v>
      </c>
      <c r="C21473" s="38" t="s">
        <v>25983</v>
      </c>
      <c r="D21473" s="38" t="str">
        <f>IFERROR(__xludf.DUMMYFUNCTION("REGEXREPLACE(C21473,""-\d+(.*)|--\d+(.*)"","""")"),"VILLENEUVE-DU-PAREAGE")</f>
        <v>VILLENEUVE-DU-PAREAGE</v>
      </c>
      <c r="E21473" s="38" t="s">
        <v>238</v>
      </c>
      <c r="F21473" s="38" t="s">
        <v>94</v>
      </c>
      <c r="G21473" s="49" t="str">
        <f t="shared" si="1"/>
        <v>09100</v>
      </c>
      <c r="H21473" s="49" t="str">
        <f t="shared" si="2"/>
        <v>09339</v>
      </c>
    </row>
    <row r="21474">
      <c r="A21474" s="48" t="s">
        <v>1018</v>
      </c>
      <c r="B21474" s="38">
        <v>60195.0</v>
      </c>
      <c r="C21474" s="38" t="s">
        <v>25984</v>
      </c>
      <c r="D21474" s="38" t="str">
        <f>IFERROR(__xludf.DUMMYFUNCTION("REGEXREPLACE(C21474,""-\d+(.*)|--\d+(.*)"","""")"),"DELINCOURT")</f>
        <v>DELINCOURT</v>
      </c>
      <c r="E21474" s="38" t="s">
        <v>112</v>
      </c>
      <c r="F21474" s="38" t="s">
        <v>113</v>
      </c>
      <c r="G21474" s="49" t="str">
        <f t="shared" si="1"/>
        <v>60240</v>
      </c>
      <c r="H21474" s="49">
        <f t="shared" si="2"/>
        <v>60195</v>
      </c>
    </row>
    <row r="21475">
      <c r="A21475" s="48" t="s">
        <v>3596</v>
      </c>
      <c r="B21475" s="38">
        <v>25024.0</v>
      </c>
      <c r="C21475" s="38" t="s">
        <v>25985</v>
      </c>
      <c r="D21475" s="38" t="str">
        <f>IFERROR(__xludf.DUMMYFUNCTION("REGEXREPLACE(C21475,""-\d+(.*)|--\d+(.*)"","""")"),"ARCON")</f>
        <v>ARCON</v>
      </c>
      <c r="E21475" s="38" t="s">
        <v>213</v>
      </c>
      <c r="F21475" s="38" t="s">
        <v>214</v>
      </c>
      <c r="G21475" s="49" t="str">
        <f t="shared" si="1"/>
        <v>25300</v>
      </c>
      <c r="H21475" s="49">
        <f t="shared" si="2"/>
        <v>25024</v>
      </c>
    </row>
    <row r="21476">
      <c r="A21476" s="48" t="s">
        <v>20103</v>
      </c>
      <c r="B21476" s="38">
        <v>59326.0</v>
      </c>
      <c r="C21476" s="38" t="s">
        <v>25986</v>
      </c>
      <c r="D21476" s="38" t="str">
        <f>IFERROR(__xludf.DUMMYFUNCTION("REGEXREPLACE(C21476,""-\d+(.*)|--\d+(.*)"","""")"),"KILLEM")</f>
        <v>KILLEM</v>
      </c>
      <c r="E21476" s="38" t="s">
        <v>85</v>
      </c>
      <c r="F21476" s="38" t="s">
        <v>86</v>
      </c>
      <c r="G21476" s="49" t="str">
        <f t="shared" si="1"/>
        <v>59122</v>
      </c>
      <c r="H21476" s="49">
        <f t="shared" si="2"/>
        <v>59326</v>
      </c>
    </row>
    <row r="21477">
      <c r="A21477" s="48" t="s">
        <v>10621</v>
      </c>
      <c r="B21477" s="38">
        <v>84056.0</v>
      </c>
      <c r="C21477" s="38" t="s">
        <v>5881</v>
      </c>
      <c r="D21477" s="38" t="str">
        <f>IFERROR(__xludf.DUMMYFUNCTION("REGEXREPLACE(C21477,""-\d+(.*)|--\d+(.*)"","""")"),"JONQUIERES")</f>
        <v>JONQUIERES</v>
      </c>
      <c r="E21477" s="38" t="s">
        <v>1026</v>
      </c>
      <c r="F21477" s="38" t="s">
        <v>228</v>
      </c>
      <c r="G21477" s="49" t="str">
        <f t="shared" si="1"/>
        <v>84150</v>
      </c>
      <c r="H21477" s="49">
        <f t="shared" si="2"/>
        <v>84056</v>
      </c>
    </row>
    <row r="21478">
      <c r="A21478" s="48" t="s">
        <v>2617</v>
      </c>
      <c r="B21478" s="38">
        <v>89340.0</v>
      </c>
      <c r="C21478" s="38" t="s">
        <v>25987</v>
      </c>
      <c r="D21478" s="38" t="str">
        <f>IFERROR(__xludf.DUMMYFUNCTION("REGEXREPLACE(C21478,""-\d+(.*)|--\d+(.*)"","""")"),"SAINTE-COLOMBE-SUR-LOING")</f>
        <v>SAINTE-COLOMBE-SUR-LOING</v>
      </c>
      <c r="E21478" s="38" t="s">
        <v>275</v>
      </c>
      <c r="F21478" s="38" t="s">
        <v>106</v>
      </c>
      <c r="G21478" s="49" t="str">
        <f t="shared" si="1"/>
        <v>89520</v>
      </c>
      <c r="H21478" s="49">
        <f t="shared" si="2"/>
        <v>89340</v>
      </c>
    </row>
    <row r="21479">
      <c r="A21479" s="48" t="s">
        <v>2508</v>
      </c>
      <c r="B21479" s="38">
        <v>1299.0</v>
      </c>
      <c r="C21479" s="38" t="s">
        <v>25988</v>
      </c>
      <c r="D21479" s="38" t="str">
        <f>IFERROR(__xludf.DUMMYFUNCTION("REGEXREPLACE(C21479,""-\d+(.*)|--\d+(.*)"","""")"),"LE PLANTAY")</f>
        <v>LE PLANTAY</v>
      </c>
      <c r="E21479" s="38" t="s">
        <v>255</v>
      </c>
      <c r="F21479" s="38" t="s">
        <v>102</v>
      </c>
      <c r="G21479" s="49" t="str">
        <f t="shared" si="1"/>
        <v>01330</v>
      </c>
      <c r="H21479" s="49" t="str">
        <f t="shared" si="2"/>
        <v>01299</v>
      </c>
    </row>
    <row r="21480">
      <c r="A21480" s="48" t="s">
        <v>25989</v>
      </c>
      <c r="B21480" s="38">
        <v>25524.0</v>
      </c>
      <c r="C21480" s="38" t="s">
        <v>25990</v>
      </c>
      <c r="D21480" s="38" t="str">
        <f>IFERROR(__xludf.DUMMYFUNCTION("REGEXREPLACE(C21480,""-\d+(.*)|--\d+(.*)"","""")"),"SAINT-MAURICE-COLOMBIER")</f>
        <v>SAINT-MAURICE-COLOMBIER</v>
      </c>
      <c r="E21480" s="38" t="s">
        <v>213</v>
      </c>
      <c r="F21480" s="38" t="s">
        <v>214</v>
      </c>
      <c r="G21480" s="49" t="str">
        <f t="shared" si="1"/>
        <v>25260</v>
      </c>
      <c r="H21480" s="49">
        <f t="shared" si="2"/>
        <v>25524</v>
      </c>
    </row>
    <row r="21481">
      <c r="A21481" s="48" t="s">
        <v>1027</v>
      </c>
      <c r="B21481" s="38">
        <v>1006.0</v>
      </c>
      <c r="C21481" s="38" t="s">
        <v>25991</v>
      </c>
      <c r="D21481" s="38" t="str">
        <f>IFERROR(__xludf.DUMMYFUNCTION("REGEXREPLACE(C21481,""-\d+(.*)|--\d+(.*)"","""")"),"AMBLEON")</f>
        <v>AMBLEON</v>
      </c>
      <c r="E21481" s="38" t="s">
        <v>255</v>
      </c>
      <c r="F21481" s="38" t="s">
        <v>102</v>
      </c>
      <c r="G21481" s="49" t="str">
        <f t="shared" si="1"/>
        <v>01300</v>
      </c>
      <c r="H21481" s="49" t="str">
        <f t="shared" si="2"/>
        <v>01006</v>
      </c>
    </row>
    <row r="21482">
      <c r="A21482" s="48" t="s">
        <v>4022</v>
      </c>
      <c r="B21482" s="38">
        <v>62768.0</v>
      </c>
      <c r="C21482" s="38" t="s">
        <v>25992</v>
      </c>
      <c r="D21482" s="38" t="str">
        <f>IFERROR(__xludf.DUMMYFUNCTION("REGEXREPLACE(C21482,""-\d+(.*)|--\d+(.*)"","""")"),"SAINT-REMY-AU-BOIS")</f>
        <v>SAINT-REMY-AU-BOIS</v>
      </c>
      <c r="E21482" s="38" t="s">
        <v>109</v>
      </c>
      <c r="F21482" s="38" t="s">
        <v>86</v>
      </c>
      <c r="G21482" s="49" t="str">
        <f t="shared" si="1"/>
        <v>62870</v>
      </c>
      <c r="H21482" s="49">
        <f t="shared" si="2"/>
        <v>62768</v>
      </c>
    </row>
    <row r="21483">
      <c r="A21483" s="48" t="s">
        <v>25993</v>
      </c>
      <c r="B21483" s="38">
        <v>54295.0</v>
      </c>
      <c r="C21483" s="38" t="s">
        <v>25994</v>
      </c>
      <c r="D21483" s="38" t="str">
        <f>IFERROR(__xludf.DUMMYFUNCTION("REGEXREPLACE(C21483,""-\d+(.*)|--\d+(.*)"","""")"),"LANDRES")</f>
        <v>LANDRES</v>
      </c>
      <c r="E21483" s="38" t="s">
        <v>548</v>
      </c>
      <c r="F21483" s="38" t="s">
        <v>195</v>
      </c>
      <c r="G21483" s="49" t="str">
        <f t="shared" si="1"/>
        <v>54970</v>
      </c>
      <c r="H21483" s="49">
        <f t="shared" si="2"/>
        <v>54295</v>
      </c>
    </row>
    <row r="21484">
      <c r="A21484" s="48" t="s">
        <v>6728</v>
      </c>
      <c r="B21484" s="38">
        <v>89005.0</v>
      </c>
      <c r="C21484" s="38" t="s">
        <v>25995</v>
      </c>
      <c r="D21484" s="38" t="str">
        <f>IFERROR(__xludf.DUMMYFUNCTION("REGEXREPLACE(C21484,""-\d+(.*)|--\d+(.*)"","""")"),"ANCY-LE-FRANC")</f>
        <v>ANCY-LE-FRANC</v>
      </c>
      <c r="E21484" s="38" t="s">
        <v>275</v>
      </c>
      <c r="F21484" s="38" t="s">
        <v>106</v>
      </c>
      <c r="G21484" s="49" t="str">
        <f t="shared" si="1"/>
        <v>89160</v>
      </c>
      <c r="H21484" s="49">
        <f t="shared" si="2"/>
        <v>89005</v>
      </c>
    </row>
    <row r="21485">
      <c r="A21485" s="48" t="s">
        <v>3448</v>
      </c>
      <c r="B21485" s="38">
        <v>65256.0</v>
      </c>
      <c r="C21485" s="38" t="s">
        <v>25996</v>
      </c>
      <c r="D21485" s="38" t="str">
        <f>IFERROR(__xludf.DUMMYFUNCTION("REGEXREPLACE(C21485,""-\d+(.*)|--\d+(.*)"","""")"),"LANESPEDE")</f>
        <v>LANESPEDE</v>
      </c>
      <c r="E21485" s="38" t="s">
        <v>200</v>
      </c>
      <c r="F21485" s="38" t="s">
        <v>94</v>
      </c>
      <c r="G21485" s="49" t="str">
        <f t="shared" si="1"/>
        <v>65190</v>
      </c>
      <c r="H21485" s="49">
        <f t="shared" si="2"/>
        <v>65256</v>
      </c>
    </row>
    <row r="21486">
      <c r="A21486" s="48" t="s">
        <v>4620</v>
      </c>
      <c r="B21486" s="38">
        <v>12068.0</v>
      </c>
      <c r="C21486" s="38" t="s">
        <v>25997</v>
      </c>
      <c r="D21486" s="38" t="str">
        <f>IFERROR(__xludf.DUMMYFUNCTION("REGEXREPLACE(C21486,""-\d+(.*)|--\d+(.*)"","""")"),"COLOMBIES")</f>
        <v>COLOMBIES</v>
      </c>
      <c r="E21486" s="38" t="s">
        <v>465</v>
      </c>
      <c r="F21486" s="38" t="s">
        <v>94</v>
      </c>
      <c r="G21486" s="49" t="str">
        <f t="shared" si="1"/>
        <v>12240</v>
      </c>
      <c r="H21486" s="49">
        <f t="shared" si="2"/>
        <v>12068</v>
      </c>
    </row>
    <row r="21487">
      <c r="A21487" s="48" t="s">
        <v>1174</v>
      </c>
      <c r="B21487" s="38">
        <v>51363.0</v>
      </c>
      <c r="C21487" s="38" t="s">
        <v>25998</v>
      </c>
      <c r="D21487" s="38" t="str">
        <f>IFERROR(__xludf.DUMMYFUNCTION("REGEXREPLACE(C21487,""-\d+(.*)|--\d+(.*)"","""")"),"MERLAUT")</f>
        <v>MERLAUT</v>
      </c>
      <c r="E21487" s="38" t="s">
        <v>129</v>
      </c>
      <c r="F21487" s="38" t="s">
        <v>130</v>
      </c>
      <c r="G21487" s="49" t="str">
        <f t="shared" si="1"/>
        <v>51300</v>
      </c>
      <c r="H21487" s="49">
        <f t="shared" si="2"/>
        <v>51363</v>
      </c>
    </row>
    <row r="21488">
      <c r="A21488" s="48" t="s">
        <v>17047</v>
      </c>
      <c r="B21488" s="38">
        <v>60309.0</v>
      </c>
      <c r="C21488" s="38" t="s">
        <v>25999</v>
      </c>
      <c r="D21488" s="38" t="str">
        <f>IFERROR(__xludf.DUMMYFUNCTION("REGEXREPLACE(C21488,""-\d+(.*)|--\d+(.*)"","""")"),"HENONVILLE")</f>
        <v>HENONVILLE</v>
      </c>
      <c r="E21488" s="38" t="s">
        <v>112</v>
      </c>
      <c r="F21488" s="38" t="s">
        <v>113</v>
      </c>
      <c r="G21488" s="49" t="str">
        <f t="shared" si="1"/>
        <v>60119</v>
      </c>
      <c r="H21488" s="49">
        <f t="shared" si="2"/>
        <v>60309</v>
      </c>
    </row>
    <row r="21489">
      <c r="A21489" s="48" t="s">
        <v>26000</v>
      </c>
      <c r="B21489" s="38">
        <v>64495.0</v>
      </c>
      <c r="C21489" s="38" t="s">
        <v>26001</v>
      </c>
      <c r="D21489" s="38" t="str">
        <f>IFERROR(__xludf.DUMMYFUNCTION("REGEXREPLACE(C21489,""-\d+(.*)|--\d+(.*)"","""")"),"SAINT-PEE-SUR-NIVELLE")</f>
        <v>SAINT-PEE-SUR-NIVELLE</v>
      </c>
      <c r="E21489" s="38" t="s">
        <v>268</v>
      </c>
      <c r="F21489" s="38" t="s">
        <v>252</v>
      </c>
      <c r="G21489" s="49" t="str">
        <f t="shared" si="1"/>
        <v>64310</v>
      </c>
      <c r="H21489" s="49">
        <f t="shared" si="2"/>
        <v>64495</v>
      </c>
    </row>
    <row r="21490">
      <c r="A21490" s="48" t="s">
        <v>2833</v>
      </c>
      <c r="B21490" s="38">
        <v>77317.0</v>
      </c>
      <c r="C21490" s="38" t="s">
        <v>26002</v>
      </c>
      <c r="D21490" s="38" t="str">
        <f>IFERROR(__xludf.DUMMYFUNCTION("REGEXREPLACE(C21490,""-\d+(.*)|--\d+(.*)"","""")"),"MORMANT")</f>
        <v>MORMANT</v>
      </c>
      <c r="E21490" s="38" t="s">
        <v>244</v>
      </c>
      <c r="F21490" s="38" t="s">
        <v>245</v>
      </c>
      <c r="G21490" s="49" t="str">
        <f t="shared" si="1"/>
        <v>77720</v>
      </c>
      <c r="H21490" s="49">
        <f t="shared" si="2"/>
        <v>77317</v>
      </c>
    </row>
    <row r="21491">
      <c r="A21491" s="48" t="s">
        <v>9905</v>
      </c>
      <c r="B21491" s="38">
        <v>65402.0</v>
      </c>
      <c r="C21491" s="38" t="s">
        <v>26003</v>
      </c>
      <c r="D21491" s="38" t="str">
        <f>IFERROR(__xludf.DUMMYFUNCTION("REGEXREPLACE(C21491,""-\d+(.*)|--\d+(.*)"","""")"),"SAMURAN")</f>
        <v>SAMURAN</v>
      </c>
      <c r="E21491" s="38" t="s">
        <v>200</v>
      </c>
      <c r="F21491" s="38" t="s">
        <v>94</v>
      </c>
      <c r="G21491" s="49" t="str">
        <f t="shared" si="1"/>
        <v>65370</v>
      </c>
      <c r="H21491" s="49">
        <f t="shared" si="2"/>
        <v>65402</v>
      </c>
    </row>
    <row r="21492">
      <c r="A21492" s="48" t="s">
        <v>23069</v>
      </c>
      <c r="B21492" s="38">
        <v>19049.0</v>
      </c>
      <c r="C21492" s="38" t="s">
        <v>26004</v>
      </c>
      <c r="D21492" s="38" t="str">
        <f>IFERROR(__xludf.DUMMYFUNCTION("REGEXREPLACE(C21492,""-\d+(.*)|--\d+(.*)"","""")"),"CHASTEAUX")</f>
        <v>CHASTEAUX</v>
      </c>
      <c r="E21492" s="38" t="s">
        <v>271</v>
      </c>
      <c r="F21492" s="38" t="s">
        <v>98</v>
      </c>
      <c r="G21492" s="49" t="str">
        <f t="shared" si="1"/>
        <v>19600</v>
      </c>
      <c r="H21492" s="49">
        <f t="shared" si="2"/>
        <v>19049</v>
      </c>
    </row>
    <row r="21493">
      <c r="A21493" s="48" t="s">
        <v>17658</v>
      </c>
      <c r="B21493" s="38">
        <v>71475.0</v>
      </c>
      <c r="C21493" s="38" t="s">
        <v>2361</v>
      </c>
      <c r="D21493" s="38" t="str">
        <f>IFERROR(__xludf.DUMMYFUNCTION("REGEXREPLACE(C21493,""-\d+(.*)|--\d+(.*)"","""")"),"SAINT-REMY")</f>
        <v>SAINT-REMY</v>
      </c>
      <c r="E21493" s="38" t="s">
        <v>344</v>
      </c>
      <c r="F21493" s="38" t="s">
        <v>106</v>
      </c>
      <c r="G21493" s="49" t="str">
        <f t="shared" si="1"/>
        <v>71100</v>
      </c>
      <c r="H21493" s="49">
        <f t="shared" si="2"/>
        <v>71475</v>
      </c>
    </row>
    <row r="21494">
      <c r="A21494" s="48" t="s">
        <v>1258</v>
      </c>
      <c r="B21494" s="38">
        <v>35302.0</v>
      </c>
      <c r="C21494" s="38" t="s">
        <v>26005</v>
      </c>
      <c r="D21494" s="38" t="str">
        <f>IFERROR(__xludf.DUMMYFUNCTION("REGEXREPLACE(C21494,""-\d+(.*)|--\d+(.*)"","""")"),"SAINT-ONEN-LA-CHAPELLE")</f>
        <v>SAINT-ONEN-LA-CHAPELLE</v>
      </c>
      <c r="E21494" s="38" t="s">
        <v>347</v>
      </c>
      <c r="F21494" s="38" t="s">
        <v>90</v>
      </c>
      <c r="G21494" s="49" t="str">
        <f t="shared" si="1"/>
        <v>35290</v>
      </c>
      <c r="H21494" s="49">
        <f t="shared" si="2"/>
        <v>35302</v>
      </c>
    </row>
    <row r="21495">
      <c r="A21495" s="48" t="s">
        <v>9556</v>
      </c>
      <c r="B21495" s="38">
        <v>60588.0</v>
      </c>
      <c r="C21495" s="38" t="s">
        <v>16952</v>
      </c>
      <c r="D21495" s="38" t="str">
        <f>IFERROR(__xludf.DUMMYFUNCTION("REGEXREPLACE(C21495,""-\d+(.*)|--\d+(.*)"","""")"),"SAINT-MAUR")</f>
        <v>SAINT-MAUR</v>
      </c>
      <c r="E21495" s="38" t="s">
        <v>112</v>
      </c>
      <c r="F21495" s="38" t="s">
        <v>113</v>
      </c>
      <c r="G21495" s="49" t="str">
        <f t="shared" si="1"/>
        <v>60210</v>
      </c>
      <c r="H21495" s="49">
        <f t="shared" si="2"/>
        <v>60588</v>
      </c>
    </row>
    <row r="21496">
      <c r="A21496" s="48" t="s">
        <v>26006</v>
      </c>
      <c r="B21496" s="38">
        <v>91100.0</v>
      </c>
      <c r="C21496" s="38" t="s">
        <v>26007</v>
      </c>
      <c r="D21496" s="38" t="str">
        <f>IFERROR(__xludf.DUMMYFUNCTION("REGEXREPLACE(C21496,""-\d+(.*)|--\d+(.*)"","""")"),"BOUVILLE")</f>
        <v>BOUVILLE</v>
      </c>
      <c r="E21496" s="38" t="s">
        <v>756</v>
      </c>
      <c r="F21496" s="38" t="s">
        <v>245</v>
      </c>
      <c r="G21496" s="49" t="str">
        <f t="shared" si="1"/>
        <v>91880</v>
      </c>
      <c r="H21496" s="49">
        <f t="shared" si="2"/>
        <v>91100</v>
      </c>
    </row>
    <row r="21497">
      <c r="A21497" s="48" t="s">
        <v>6736</v>
      </c>
      <c r="B21497" s="38">
        <v>31568.0</v>
      </c>
      <c r="C21497" s="38" t="s">
        <v>13130</v>
      </c>
      <c r="D21497" s="38" t="str">
        <f>IFERROR(__xludf.DUMMYFUNCTION("REGEXREPLACE(C21497,""-\d+(.*)|--\d+(.*)"","""")"),"VARENNES")</f>
        <v>VARENNES</v>
      </c>
      <c r="E21497" s="38" t="s">
        <v>93</v>
      </c>
      <c r="F21497" s="38" t="s">
        <v>94</v>
      </c>
      <c r="G21497" s="49" t="str">
        <f t="shared" si="1"/>
        <v>31450</v>
      </c>
      <c r="H21497" s="49">
        <f t="shared" si="2"/>
        <v>31568</v>
      </c>
    </row>
    <row r="21498">
      <c r="A21498" s="48" t="s">
        <v>1887</v>
      </c>
      <c r="B21498" s="38">
        <v>88394.0</v>
      </c>
      <c r="C21498" s="38" t="s">
        <v>26008</v>
      </c>
      <c r="D21498" s="38" t="str">
        <f>IFERROR(__xludf.DUMMYFUNCTION("REGEXREPLACE(C21498,""-\d+(.*)|--\d+(.*)"","""")"),"ROMAIN-AUX-BOIS")</f>
        <v>ROMAIN-AUX-BOIS</v>
      </c>
      <c r="E21498" s="38" t="s">
        <v>194</v>
      </c>
      <c r="F21498" s="38" t="s">
        <v>195</v>
      </c>
      <c r="G21498" s="49" t="str">
        <f t="shared" si="1"/>
        <v>88320</v>
      </c>
      <c r="H21498" s="49">
        <f t="shared" si="2"/>
        <v>88394</v>
      </c>
    </row>
    <row r="21499">
      <c r="A21499" s="48" t="s">
        <v>2845</v>
      </c>
      <c r="B21499" s="38" t="s">
        <v>26009</v>
      </c>
      <c r="C21499" s="38" t="s">
        <v>26010</v>
      </c>
      <c r="D21499" s="38" t="str">
        <f>IFERROR(__xludf.DUMMYFUNCTION("REGEXREPLACE(C21499,""-\d+(.*)|--\d+(.*)"","""")"),"SANTA-REPARATA-DI-MORIANI")</f>
        <v>SANTA-REPARATA-DI-MORIANI</v>
      </c>
      <c r="E21499" s="38" t="s">
        <v>743</v>
      </c>
      <c r="F21499" s="38" t="s">
        <v>607</v>
      </c>
      <c r="G21499" s="49" t="str">
        <f t="shared" si="1"/>
        <v>20230</v>
      </c>
      <c r="H21499" s="49" t="str">
        <f t="shared" si="2"/>
        <v>2B317</v>
      </c>
    </row>
    <row r="21500">
      <c r="A21500" s="48" t="s">
        <v>3681</v>
      </c>
      <c r="B21500" s="38">
        <v>39177.0</v>
      </c>
      <c r="C21500" s="38" t="s">
        <v>26011</v>
      </c>
      <c r="D21500" s="38" t="str">
        <f>IFERROR(__xludf.DUMMYFUNCTION("REGEXREPLACE(C21500,""-\d+(.*)|--\d+(.*)"","""")"),"CRANCOT")</f>
        <v>CRANCOT</v>
      </c>
      <c r="E21500" s="38" t="s">
        <v>400</v>
      </c>
      <c r="F21500" s="38" t="s">
        <v>214</v>
      </c>
      <c r="G21500" s="49" t="str">
        <f t="shared" si="1"/>
        <v>39570</v>
      </c>
      <c r="H21500" s="49">
        <f t="shared" si="2"/>
        <v>39177</v>
      </c>
    </row>
    <row r="21501">
      <c r="A21501" s="48" t="s">
        <v>12091</v>
      </c>
      <c r="B21501" s="38">
        <v>35167.0</v>
      </c>
      <c r="C21501" s="38" t="s">
        <v>26012</v>
      </c>
      <c r="D21501" s="38" t="str">
        <f>IFERROR(__xludf.DUMMYFUNCTION("REGEXREPLACE(C21501,""-\d+(.*)|--\d+(.*)"","""")"),"MARTIGNE-FERCHAUD")</f>
        <v>MARTIGNE-FERCHAUD</v>
      </c>
      <c r="E21501" s="38" t="s">
        <v>347</v>
      </c>
      <c r="F21501" s="38" t="s">
        <v>90</v>
      </c>
      <c r="G21501" s="49" t="str">
        <f t="shared" si="1"/>
        <v>35640</v>
      </c>
      <c r="H21501" s="49">
        <f t="shared" si="2"/>
        <v>35167</v>
      </c>
    </row>
    <row r="21502">
      <c r="A21502" s="48" t="s">
        <v>7494</v>
      </c>
      <c r="B21502" s="38">
        <v>81218.0</v>
      </c>
      <c r="C21502" s="38" t="s">
        <v>26013</v>
      </c>
      <c r="D21502" s="38" t="str">
        <f>IFERROR(__xludf.DUMMYFUNCTION("REGEXREPLACE(C21502,""-\d+(.*)|--\d+(.*)"","""")"),"PUYGOUZON")</f>
        <v>PUYGOUZON</v>
      </c>
      <c r="E21502" s="38" t="s">
        <v>231</v>
      </c>
      <c r="F21502" s="38" t="s">
        <v>94</v>
      </c>
      <c r="G21502" s="49" t="str">
        <f t="shared" si="1"/>
        <v>81990</v>
      </c>
      <c r="H21502" s="49">
        <f t="shared" si="2"/>
        <v>81218</v>
      </c>
    </row>
    <row r="21503">
      <c r="A21503" s="48" t="s">
        <v>1534</v>
      </c>
      <c r="B21503" s="38">
        <v>19180.0</v>
      </c>
      <c r="C21503" s="38" t="s">
        <v>26014</v>
      </c>
      <c r="D21503" s="38" t="str">
        <f>IFERROR(__xludf.DUMMYFUNCTION("REGEXREPLACE(C21503,""-\d+(.*)|--\d+(.*)"","""")"),"SAINT-ANGEL")</f>
        <v>SAINT-ANGEL</v>
      </c>
      <c r="E21503" s="38" t="s">
        <v>271</v>
      </c>
      <c r="F21503" s="38" t="s">
        <v>98</v>
      </c>
      <c r="G21503" s="49" t="str">
        <f t="shared" si="1"/>
        <v>19200</v>
      </c>
      <c r="H21503" s="49">
        <f t="shared" si="2"/>
        <v>19180</v>
      </c>
    </row>
    <row r="21504">
      <c r="A21504" s="48" t="s">
        <v>7462</v>
      </c>
      <c r="B21504" s="38">
        <v>25139.0</v>
      </c>
      <c r="C21504" s="38" t="s">
        <v>26015</v>
      </c>
      <c r="D21504" s="38" t="str">
        <f>IFERROR(__xludf.DUMMYFUNCTION("REGEXREPLACE(C21504,""-\d+(.*)|--\d+(.*)"","""")"),"LA CHAUX")</f>
        <v>LA CHAUX</v>
      </c>
      <c r="E21504" s="38" t="s">
        <v>213</v>
      </c>
      <c r="F21504" s="38" t="s">
        <v>214</v>
      </c>
      <c r="G21504" s="49" t="str">
        <f t="shared" si="1"/>
        <v>25650</v>
      </c>
      <c r="H21504" s="49">
        <f t="shared" si="2"/>
        <v>25139</v>
      </c>
    </row>
    <row r="21505">
      <c r="A21505" s="48" t="s">
        <v>330</v>
      </c>
      <c r="B21505" s="38">
        <v>43091.0</v>
      </c>
      <c r="C21505" s="38" t="s">
        <v>26016</v>
      </c>
      <c r="D21505" s="38" t="str">
        <f>IFERROR(__xludf.DUMMYFUNCTION("REGEXREPLACE(C21505,""-\d+(.*)|--\d+(.*)"","""")"),"LES ESTABLES")</f>
        <v>LES ESTABLES</v>
      </c>
      <c r="E21505" s="38" t="s">
        <v>332</v>
      </c>
      <c r="F21505" s="38" t="s">
        <v>161</v>
      </c>
      <c r="G21505" s="49" t="str">
        <f t="shared" si="1"/>
        <v>43150</v>
      </c>
      <c r="H21505" s="49">
        <f t="shared" si="2"/>
        <v>43091</v>
      </c>
    </row>
    <row r="21506">
      <c r="A21506" s="48" t="s">
        <v>139</v>
      </c>
      <c r="B21506" s="38">
        <v>61325.0</v>
      </c>
      <c r="C21506" s="38" t="s">
        <v>11024</v>
      </c>
      <c r="D21506" s="38" t="str">
        <f>IFERROR(__xludf.DUMMYFUNCTION("REGEXREPLACE(C21506,""-\d+(.*)|--\d+(.*)"","""")"),"LA PERRIERE")</f>
        <v>LA PERRIERE</v>
      </c>
      <c r="E21506" s="38" t="s">
        <v>141</v>
      </c>
      <c r="F21506" s="38" t="s">
        <v>138</v>
      </c>
      <c r="G21506" s="49" t="str">
        <f t="shared" si="1"/>
        <v>61360</v>
      </c>
      <c r="H21506" s="49">
        <f t="shared" si="2"/>
        <v>61325</v>
      </c>
    </row>
    <row r="21507">
      <c r="A21507" s="48" t="s">
        <v>6038</v>
      </c>
      <c r="B21507" s="38">
        <v>88517.0</v>
      </c>
      <c r="C21507" s="38" t="s">
        <v>26017</v>
      </c>
      <c r="D21507" s="38" t="str">
        <f>IFERROR(__xludf.DUMMYFUNCTION("REGEXREPLACE(C21507,""-\d+(.*)|--\d+(.*)"","""")"),"VIVIERS-LE-GRAS")</f>
        <v>VIVIERS-LE-GRAS</v>
      </c>
      <c r="E21507" s="38" t="s">
        <v>194</v>
      </c>
      <c r="F21507" s="38" t="s">
        <v>195</v>
      </c>
      <c r="G21507" s="49" t="str">
        <f t="shared" si="1"/>
        <v>88260</v>
      </c>
      <c r="H21507" s="49">
        <f t="shared" si="2"/>
        <v>88517</v>
      </c>
    </row>
    <row r="21508">
      <c r="A21508" s="48" t="s">
        <v>403</v>
      </c>
      <c r="B21508" s="38">
        <v>59282.0</v>
      </c>
      <c r="C21508" s="38" t="s">
        <v>26018</v>
      </c>
      <c r="D21508" s="38" t="str">
        <f>IFERROR(__xludf.DUMMYFUNCTION("REGEXREPLACE(C21508,""-\d+(.*)|--\d+(.*)"","""")"),"HARDIFORT")</f>
        <v>HARDIFORT</v>
      </c>
      <c r="E21508" s="38" t="s">
        <v>85</v>
      </c>
      <c r="F21508" s="38" t="s">
        <v>86</v>
      </c>
      <c r="G21508" s="49" t="str">
        <f t="shared" si="1"/>
        <v>59670</v>
      </c>
      <c r="H21508" s="49">
        <f t="shared" si="2"/>
        <v>59282</v>
      </c>
    </row>
    <row r="21509">
      <c r="A21509" s="48" t="s">
        <v>5616</v>
      </c>
      <c r="B21509" s="38">
        <v>71537.0</v>
      </c>
      <c r="C21509" s="38" t="s">
        <v>26019</v>
      </c>
      <c r="D21509" s="38" t="str">
        <f>IFERROR(__xludf.DUMMYFUNCTION("REGEXREPLACE(C21509,""-\d+(.*)|--\d+(.*)"","""")"),"THIL-SUR-ARROUX")</f>
        <v>THIL-SUR-ARROUX</v>
      </c>
      <c r="E21509" s="38" t="s">
        <v>344</v>
      </c>
      <c r="F21509" s="38" t="s">
        <v>106</v>
      </c>
      <c r="G21509" s="49" t="str">
        <f t="shared" si="1"/>
        <v>71190</v>
      </c>
      <c r="H21509" s="49">
        <f t="shared" si="2"/>
        <v>71537</v>
      </c>
    </row>
    <row r="21510">
      <c r="A21510" s="48" t="s">
        <v>7592</v>
      </c>
      <c r="B21510" s="38">
        <v>86226.0</v>
      </c>
      <c r="C21510" s="38" t="s">
        <v>26020</v>
      </c>
      <c r="D21510" s="38" t="str">
        <f>IFERROR(__xludf.DUMMYFUNCTION("REGEXREPLACE(C21510,""-\d+(.*)|--\d+(.*)"","""")"),"SAINT-JULIEN-L'ARS")</f>
        <v>SAINT-JULIEN-L'ARS</v>
      </c>
      <c r="E21510" s="38" t="s">
        <v>529</v>
      </c>
      <c r="F21510" s="38" t="s">
        <v>338</v>
      </c>
      <c r="G21510" s="49" t="str">
        <f t="shared" si="1"/>
        <v>86800</v>
      </c>
      <c r="H21510" s="49">
        <f t="shared" si="2"/>
        <v>86226</v>
      </c>
    </row>
    <row r="21511">
      <c r="A21511" s="48" t="s">
        <v>4457</v>
      </c>
      <c r="B21511" s="38">
        <v>80213.0</v>
      </c>
      <c r="C21511" s="38" t="s">
        <v>26021</v>
      </c>
      <c r="D21511" s="38" t="str">
        <f>IFERROR(__xludf.DUMMYFUNCTION("REGEXREPLACE(C21511,""-\d+(.*)|--\d+(.*)"","""")"),"COTTENCHY")</f>
        <v>COTTENCHY</v>
      </c>
      <c r="E21511" s="38" t="s">
        <v>224</v>
      </c>
      <c r="F21511" s="38" t="s">
        <v>113</v>
      </c>
      <c r="G21511" s="49" t="str">
        <f t="shared" si="1"/>
        <v>80440</v>
      </c>
      <c r="H21511" s="49">
        <f t="shared" si="2"/>
        <v>80213</v>
      </c>
    </row>
    <row r="21512">
      <c r="A21512" s="48" t="s">
        <v>2697</v>
      </c>
      <c r="B21512" s="38">
        <v>61176.0</v>
      </c>
      <c r="C21512" s="38" t="s">
        <v>2945</v>
      </c>
      <c r="D21512" s="38" t="str">
        <f>IFERROR(__xludf.DUMMYFUNCTION("REGEXREPLACE(C21512,""-\d+(.*)|--\d+(.*)"","""")"),"FRANCHEVILLE")</f>
        <v>FRANCHEVILLE</v>
      </c>
      <c r="E21512" s="38" t="s">
        <v>141</v>
      </c>
      <c r="F21512" s="38" t="s">
        <v>138</v>
      </c>
      <c r="G21512" s="49" t="str">
        <f t="shared" si="1"/>
        <v>61570</v>
      </c>
      <c r="H21512" s="49">
        <f t="shared" si="2"/>
        <v>61176</v>
      </c>
    </row>
    <row r="21513">
      <c r="A21513" s="48" t="s">
        <v>26022</v>
      </c>
      <c r="B21513" s="38">
        <v>51454.0</v>
      </c>
      <c r="C21513" s="38" t="s">
        <v>26023</v>
      </c>
      <c r="D21513" s="38" t="str">
        <f>IFERROR(__xludf.DUMMYFUNCTION("REGEXREPLACE(C21513,""-\d+(.*)|--\d+(.*)"","""")"),"REIMS")</f>
        <v>REIMS</v>
      </c>
      <c r="E21513" s="38" t="s">
        <v>129</v>
      </c>
      <c r="F21513" s="38" t="s">
        <v>130</v>
      </c>
      <c r="G21513" s="49" t="str">
        <f t="shared" si="1"/>
        <v>51100</v>
      </c>
      <c r="H21513" s="49">
        <f t="shared" si="2"/>
        <v>51454</v>
      </c>
    </row>
    <row r="21514">
      <c r="A21514" s="48" t="s">
        <v>438</v>
      </c>
      <c r="B21514" s="38">
        <v>32353.0</v>
      </c>
      <c r="C21514" s="38" t="s">
        <v>26024</v>
      </c>
      <c r="D21514" s="38" t="str">
        <f>IFERROR(__xludf.DUMMYFUNCTION("REGEXREPLACE(C21514,""-\d+(.*)|--\d+(.*)"","""")"),"SABAILLAN")</f>
        <v>SABAILLAN</v>
      </c>
      <c r="E21514" s="38" t="s">
        <v>440</v>
      </c>
      <c r="F21514" s="38" t="s">
        <v>94</v>
      </c>
      <c r="G21514" s="49" t="str">
        <f t="shared" si="1"/>
        <v>32420</v>
      </c>
      <c r="H21514" s="49">
        <f t="shared" si="2"/>
        <v>32353</v>
      </c>
    </row>
    <row r="21515">
      <c r="A21515" s="48" t="s">
        <v>1004</v>
      </c>
      <c r="B21515" s="38">
        <v>71543.0</v>
      </c>
      <c r="C21515" s="38" t="s">
        <v>26025</v>
      </c>
      <c r="D21515" s="38" t="str">
        <f>IFERROR(__xludf.DUMMYFUNCTION("REGEXREPLACE(C21515,""-\d+(.*)|--\d+(.*)"","""")"),"TOURNUS")</f>
        <v>TOURNUS</v>
      </c>
      <c r="E21515" s="38" t="s">
        <v>344</v>
      </c>
      <c r="F21515" s="38" t="s">
        <v>106</v>
      </c>
      <c r="G21515" s="49" t="str">
        <f t="shared" si="1"/>
        <v>71700</v>
      </c>
      <c r="H21515" s="49">
        <f t="shared" si="2"/>
        <v>71543</v>
      </c>
    </row>
    <row r="21516">
      <c r="A21516" s="48" t="s">
        <v>732</v>
      </c>
      <c r="B21516" s="38">
        <v>10436.0</v>
      </c>
      <c r="C21516" s="38" t="s">
        <v>26026</v>
      </c>
      <c r="D21516" s="38" t="str">
        <f>IFERROR(__xludf.DUMMYFUNCTION("REGEXREPLACE(C21516,""-\d+(.*)|--\d+(.*)"","""")"),"VINETS")</f>
        <v>VINETS</v>
      </c>
      <c r="E21516" s="38" t="s">
        <v>147</v>
      </c>
      <c r="F21516" s="38" t="s">
        <v>130</v>
      </c>
      <c r="G21516" s="49" t="str">
        <f t="shared" si="1"/>
        <v>10700</v>
      </c>
      <c r="H21516" s="49">
        <f t="shared" si="2"/>
        <v>10436</v>
      </c>
    </row>
    <row r="21517">
      <c r="A21517" s="48" t="s">
        <v>3570</v>
      </c>
      <c r="B21517" s="38">
        <v>76363.0</v>
      </c>
      <c r="C21517" s="38" t="s">
        <v>26027</v>
      </c>
      <c r="D21517" s="38" t="str">
        <f>IFERROR(__xludf.DUMMYFUNCTION("REGEXREPLACE(C21517,""-\d+(.*)|--\d+(.*)"","""")"),"HODENG-AU-BOSC")</f>
        <v>HODENG-AU-BOSC</v>
      </c>
      <c r="E21517" s="38" t="s">
        <v>133</v>
      </c>
      <c r="F21517" s="38" t="s">
        <v>134</v>
      </c>
      <c r="G21517" s="49" t="str">
        <f t="shared" si="1"/>
        <v>76340</v>
      </c>
      <c r="H21517" s="49">
        <f t="shared" si="2"/>
        <v>76363</v>
      </c>
    </row>
    <row r="21518">
      <c r="A21518" s="48" t="s">
        <v>20251</v>
      </c>
      <c r="B21518" s="38">
        <v>44081.0</v>
      </c>
      <c r="C21518" s="38" t="s">
        <v>26028</v>
      </c>
      <c r="D21518" s="38" t="str">
        <f>IFERROR(__xludf.DUMMYFUNCTION("REGEXREPLACE(C21518,""-\d+(.*)|--\d+(.*)"","""")"),"LEGE")</f>
        <v>LEGE</v>
      </c>
      <c r="E21518" s="38" t="s">
        <v>759</v>
      </c>
      <c r="F21518" s="38" t="s">
        <v>180</v>
      </c>
      <c r="G21518" s="49" t="str">
        <f t="shared" si="1"/>
        <v>44650</v>
      </c>
      <c r="H21518" s="49">
        <f t="shared" si="2"/>
        <v>44081</v>
      </c>
    </row>
    <row r="21519">
      <c r="A21519" s="48" t="s">
        <v>11573</v>
      </c>
      <c r="B21519" s="38">
        <v>73249.0</v>
      </c>
      <c r="C21519" s="38" t="s">
        <v>26029</v>
      </c>
      <c r="D21519" s="38" t="str">
        <f>IFERROR(__xludf.DUMMYFUNCTION("REGEXREPLACE(C21519,""-\d+(.*)|--\d+(.*)"","""")"),"SAINT-JEOIRE-PRIEURE")</f>
        <v>SAINT-JEOIRE-PRIEURE</v>
      </c>
      <c r="E21519" s="38" t="s">
        <v>306</v>
      </c>
      <c r="F21519" s="38" t="s">
        <v>102</v>
      </c>
      <c r="G21519" s="49" t="str">
        <f t="shared" si="1"/>
        <v>73190</v>
      </c>
      <c r="H21519" s="49">
        <f t="shared" si="2"/>
        <v>73249</v>
      </c>
    </row>
    <row r="21520">
      <c r="A21520" s="48" t="s">
        <v>9795</v>
      </c>
      <c r="B21520" s="38">
        <v>33462.0</v>
      </c>
      <c r="C21520" s="38" t="s">
        <v>26030</v>
      </c>
      <c r="D21520" s="38" t="str">
        <f>IFERROR(__xludf.DUMMYFUNCTION("REGEXREPLACE(C21520,""-\d+(.*)|--\d+(.*)"","""")"),"SAINT-PHILIPPE-DU-SEIGNAL")</f>
        <v>SAINT-PHILIPPE-DU-SEIGNAL</v>
      </c>
      <c r="E21520" s="38" t="s">
        <v>462</v>
      </c>
      <c r="F21520" s="38" t="s">
        <v>252</v>
      </c>
      <c r="G21520" s="49" t="str">
        <f t="shared" si="1"/>
        <v>33220</v>
      </c>
      <c r="H21520" s="49">
        <f t="shared" si="2"/>
        <v>33462</v>
      </c>
    </row>
    <row r="21521">
      <c r="A21521" s="48" t="s">
        <v>9594</v>
      </c>
      <c r="B21521" s="38">
        <v>44218.0</v>
      </c>
      <c r="C21521" s="38" t="s">
        <v>26031</v>
      </c>
      <c r="D21521" s="38" t="str">
        <f>IFERROR(__xludf.DUMMYFUNCTION("REGEXREPLACE(C21521,""-\d+(.*)|--\d+(.*)"","""")"),"VILLEPOT")</f>
        <v>VILLEPOT</v>
      </c>
      <c r="E21521" s="38" t="s">
        <v>759</v>
      </c>
      <c r="F21521" s="38" t="s">
        <v>180</v>
      </c>
      <c r="G21521" s="49" t="str">
        <f t="shared" si="1"/>
        <v>44110</v>
      </c>
      <c r="H21521" s="49">
        <f t="shared" si="2"/>
        <v>44218</v>
      </c>
    </row>
    <row r="21522">
      <c r="A21522" s="48" t="s">
        <v>1845</v>
      </c>
      <c r="B21522" s="38">
        <v>79131.0</v>
      </c>
      <c r="C21522" s="38" t="s">
        <v>26032</v>
      </c>
      <c r="D21522" s="38" t="str">
        <f>IFERROR(__xludf.DUMMYFUNCTION("REGEXREPLACE(C21522,""-\d+(.*)|--\d+(.*)"","""")"),"GEAY")</f>
        <v>GEAY</v>
      </c>
      <c r="E21522" s="38" t="s">
        <v>337</v>
      </c>
      <c r="F21522" s="38" t="s">
        <v>338</v>
      </c>
      <c r="G21522" s="49" t="str">
        <f t="shared" si="1"/>
        <v>79330</v>
      </c>
      <c r="H21522" s="49">
        <f t="shared" si="2"/>
        <v>79131</v>
      </c>
    </row>
    <row r="21523">
      <c r="A21523" s="48" t="s">
        <v>4011</v>
      </c>
      <c r="B21523" s="38">
        <v>80210.0</v>
      </c>
      <c r="C21523" s="38" t="s">
        <v>26033</v>
      </c>
      <c r="D21523" s="38" t="str">
        <f>IFERROR(__xludf.DUMMYFUNCTION("REGEXREPLACE(C21523,""-\d+(.*)|--\d+(.*)"","""")"),"CONTRE")</f>
        <v>CONTRE</v>
      </c>
      <c r="E21523" s="38" t="s">
        <v>224</v>
      </c>
      <c r="F21523" s="38" t="s">
        <v>113</v>
      </c>
      <c r="G21523" s="49" t="str">
        <f t="shared" si="1"/>
        <v>80160</v>
      </c>
      <c r="H21523" s="49">
        <f t="shared" si="2"/>
        <v>80210</v>
      </c>
    </row>
    <row r="21524">
      <c r="A21524" s="48" t="s">
        <v>2937</v>
      </c>
      <c r="B21524" s="38">
        <v>73289.0</v>
      </c>
      <c r="C21524" s="38" t="s">
        <v>26034</v>
      </c>
      <c r="D21524" s="38" t="str">
        <f>IFERROR(__xludf.DUMMYFUNCTION("REGEXREPLACE(C21524,""-\d+(.*)|--\d+(.*)"","""")"),"LA TABLE")</f>
        <v>LA TABLE</v>
      </c>
      <c r="E21524" s="38" t="s">
        <v>306</v>
      </c>
      <c r="F21524" s="38" t="s">
        <v>102</v>
      </c>
      <c r="G21524" s="49" t="str">
        <f t="shared" si="1"/>
        <v>73110</v>
      </c>
      <c r="H21524" s="49">
        <f t="shared" si="2"/>
        <v>73289</v>
      </c>
    </row>
    <row r="21525">
      <c r="A21525" s="48" t="s">
        <v>1079</v>
      </c>
      <c r="B21525" s="38">
        <v>24117.0</v>
      </c>
      <c r="C21525" s="38" t="s">
        <v>23765</v>
      </c>
      <c r="D21525" s="38" t="str">
        <f>IFERROR(__xludf.DUMMYFUNCTION("REGEXREPLACE(C21525,""-\d+(.*)|--\d+(.*)"","""")"),"CHAVAGNAC")</f>
        <v>CHAVAGNAC</v>
      </c>
      <c r="E21525" s="38" t="s">
        <v>261</v>
      </c>
      <c r="F21525" s="38" t="s">
        <v>252</v>
      </c>
      <c r="G21525" s="49" t="str">
        <f t="shared" si="1"/>
        <v>24120</v>
      </c>
      <c r="H21525" s="49">
        <f t="shared" si="2"/>
        <v>24117</v>
      </c>
    </row>
    <row r="21526">
      <c r="A21526" s="48" t="s">
        <v>17658</v>
      </c>
      <c r="B21526" s="38">
        <v>71076.0</v>
      </c>
      <c r="C21526" s="38" t="s">
        <v>26035</v>
      </c>
      <c r="D21526" s="38" t="str">
        <f>IFERROR(__xludf.DUMMYFUNCTION("REGEXREPLACE(C21526,""-\d+(.*)|--\d+(.*)"","""")"),"CHALON-SUR-SAONE")</f>
        <v>CHALON-SUR-SAONE</v>
      </c>
      <c r="E21526" s="38" t="s">
        <v>344</v>
      </c>
      <c r="F21526" s="38" t="s">
        <v>106</v>
      </c>
      <c r="G21526" s="49" t="str">
        <f t="shared" si="1"/>
        <v>71100</v>
      </c>
      <c r="H21526" s="49">
        <f t="shared" si="2"/>
        <v>71076</v>
      </c>
    </row>
    <row r="21527">
      <c r="A21527" s="48" t="s">
        <v>4923</v>
      </c>
      <c r="B21527" s="38">
        <v>61351.0</v>
      </c>
      <c r="C21527" s="38" t="s">
        <v>26036</v>
      </c>
      <c r="D21527" s="38" t="str">
        <f>IFERROR(__xludf.DUMMYFUNCTION("REGEXREPLACE(C21527,""-\d+(.*)|--\d+(.*)"","""")"),"ROIVILLE")</f>
        <v>ROIVILLE</v>
      </c>
      <c r="E21527" s="38" t="s">
        <v>141</v>
      </c>
      <c r="F21527" s="38" t="s">
        <v>138</v>
      </c>
      <c r="G21527" s="49" t="str">
        <f t="shared" si="1"/>
        <v>61120</v>
      </c>
      <c r="H21527" s="49">
        <f t="shared" si="2"/>
        <v>61351</v>
      </c>
    </row>
    <row r="21528">
      <c r="A21528" s="48" t="s">
        <v>16767</v>
      </c>
      <c r="B21528" s="38">
        <v>21267.0</v>
      </c>
      <c r="C21528" s="38" t="s">
        <v>26037</v>
      </c>
      <c r="D21528" s="38" t="str">
        <f>IFERROR(__xludf.DUMMYFUNCTION("REGEXREPLACE(C21528,""-\d+(.*)|--\d+(.*)"","""")"),"FLAGEY-ECHEZEAUX")</f>
        <v>FLAGEY-ECHEZEAUX</v>
      </c>
      <c r="E21528" s="38" t="s">
        <v>105</v>
      </c>
      <c r="F21528" s="38" t="s">
        <v>106</v>
      </c>
      <c r="G21528" s="49" t="str">
        <f t="shared" si="1"/>
        <v>21640</v>
      </c>
      <c r="H21528" s="49">
        <f t="shared" si="2"/>
        <v>21267</v>
      </c>
    </row>
    <row r="21529">
      <c r="A21529" s="48" t="s">
        <v>3315</v>
      </c>
      <c r="B21529" s="38">
        <v>12099.0</v>
      </c>
      <c r="C21529" s="38" t="s">
        <v>24630</v>
      </c>
      <c r="D21529" s="38" t="str">
        <f>IFERROR(__xludf.DUMMYFUNCTION("REGEXREPLACE(C21529,""-\d+(.*)|--\d+(.*)"","""")"),"FAYET")</f>
        <v>FAYET</v>
      </c>
      <c r="E21529" s="38" t="s">
        <v>465</v>
      </c>
      <c r="F21529" s="38" t="s">
        <v>94</v>
      </c>
      <c r="G21529" s="49" t="str">
        <f t="shared" si="1"/>
        <v>12360</v>
      </c>
      <c r="H21529" s="49">
        <f t="shared" si="2"/>
        <v>12099</v>
      </c>
    </row>
    <row r="21530">
      <c r="A21530" s="48" t="s">
        <v>26038</v>
      </c>
      <c r="B21530" s="38">
        <v>13105.0</v>
      </c>
      <c r="C21530" s="38" t="s">
        <v>26039</v>
      </c>
      <c r="D21530" s="38" t="str">
        <f>IFERROR(__xludf.DUMMYFUNCTION("REGEXREPLACE(C21530,""-\d+(.*)|--\d+(.*)"","""")"),"SENAS")</f>
        <v>SENAS</v>
      </c>
      <c r="E21530" s="38" t="s">
        <v>980</v>
      </c>
      <c r="F21530" s="38" t="s">
        <v>228</v>
      </c>
      <c r="G21530" s="49" t="str">
        <f t="shared" si="1"/>
        <v>13560</v>
      </c>
      <c r="H21530" s="49">
        <f t="shared" si="2"/>
        <v>13105</v>
      </c>
    </row>
    <row r="21531">
      <c r="A21531" s="48" t="s">
        <v>15975</v>
      </c>
      <c r="B21531" s="38">
        <v>72085.0</v>
      </c>
      <c r="C21531" s="38" t="s">
        <v>26040</v>
      </c>
      <c r="D21531" s="38" t="str">
        <f>IFERROR(__xludf.DUMMYFUNCTION("REGEXREPLACE(C21531,""-\d+(.*)|--\d+(.*)"","""")"),"COGNERS")</f>
        <v>COGNERS</v>
      </c>
      <c r="E21531" s="38" t="s">
        <v>521</v>
      </c>
      <c r="F21531" s="38" t="s">
        <v>180</v>
      </c>
      <c r="G21531" s="49" t="str">
        <f t="shared" si="1"/>
        <v>72310</v>
      </c>
      <c r="H21531" s="49">
        <f t="shared" si="2"/>
        <v>72085</v>
      </c>
    </row>
    <row r="21532">
      <c r="A21532" s="48" t="s">
        <v>944</v>
      </c>
      <c r="B21532" s="38">
        <v>61279.0</v>
      </c>
      <c r="C21532" s="38" t="s">
        <v>26041</v>
      </c>
      <c r="D21532" s="38" t="str">
        <f>IFERROR(__xludf.DUMMYFUNCTION("REGEXREPLACE(C21532,""-\d+(.*)|--\d+(.*)"","""")"),"MIEUXCE")</f>
        <v>MIEUXCE</v>
      </c>
      <c r="E21532" s="38" t="s">
        <v>141</v>
      </c>
      <c r="F21532" s="38" t="s">
        <v>138</v>
      </c>
      <c r="G21532" s="49" t="str">
        <f t="shared" si="1"/>
        <v>61250</v>
      </c>
      <c r="H21532" s="49">
        <f t="shared" si="2"/>
        <v>61279</v>
      </c>
    </row>
    <row r="21533">
      <c r="A21533" s="48" t="s">
        <v>26042</v>
      </c>
      <c r="B21533" s="38">
        <v>26330.0</v>
      </c>
      <c r="C21533" s="38" t="s">
        <v>26043</v>
      </c>
      <c r="D21533" s="38" t="str">
        <f>IFERROR(__xludf.DUMMYFUNCTION("REGEXREPLACE(C21533,""-\d+(.*)|--\d+(.*)"","""")"),"SAINT-SORLIN-EN-VALLOIRE")</f>
        <v>SAINT-SORLIN-EN-VALLOIRE</v>
      </c>
      <c r="E21533" s="38" t="s">
        <v>126</v>
      </c>
      <c r="F21533" s="38" t="s">
        <v>102</v>
      </c>
      <c r="G21533" s="49" t="str">
        <f t="shared" si="1"/>
        <v>26210</v>
      </c>
      <c r="H21533" s="49">
        <f t="shared" si="2"/>
        <v>26330</v>
      </c>
    </row>
    <row r="21534">
      <c r="A21534" s="48" t="s">
        <v>3992</v>
      </c>
      <c r="B21534" s="38">
        <v>46059.0</v>
      </c>
      <c r="C21534" s="38" t="s">
        <v>26044</v>
      </c>
      <c r="D21534" s="38" t="str">
        <f>IFERROR(__xludf.DUMMYFUNCTION("REGEXREPLACE(C21534,""-\d+(.*)|--\d+(.*)"","""")"),"CARLUCET")</f>
        <v>CARLUCET</v>
      </c>
      <c r="E21534" s="38" t="s">
        <v>185</v>
      </c>
      <c r="F21534" s="38" t="s">
        <v>94</v>
      </c>
      <c r="G21534" s="49" t="str">
        <f t="shared" si="1"/>
        <v>46500</v>
      </c>
      <c r="H21534" s="49">
        <f t="shared" si="2"/>
        <v>46059</v>
      </c>
    </row>
    <row r="21535">
      <c r="A21535" s="48" t="s">
        <v>26045</v>
      </c>
      <c r="B21535" s="38">
        <v>13022.0</v>
      </c>
      <c r="C21535" s="38" t="s">
        <v>26046</v>
      </c>
      <c r="D21535" s="38" t="str">
        <f>IFERROR(__xludf.DUMMYFUNCTION("REGEXREPLACE(C21535,""-\d+(.*)|--\d+(.*)"","""")"),"CASSIS")</f>
        <v>CASSIS</v>
      </c>
      <c r="E21535" s="38" t="s">
        <v>980</v>
      </c>
      <c r="F21535" s="38" t="s">
        <v>228</v>
      </c>
      <c r="G21535" s="49" t="str">
        <f t="shared" si="1"/>
        <v>13260</v>
      </c>
      <c r="H21535" s="49">
        <f t="shared" si="2"/>
        <v>13022</v>
      </c>
    </row>
    <row r="21536">
      <c r="A21536" s="48" t="s">
        <v>5924</v>
      </c>
      <c r="B21536" s="38">
        <v>87123.0</v>
      </c>
      <c r="C21536" s="38" t="s">
        <v>26047</v>
      </c>
      <c r="D21536" s="38" t="str">
        <f>IFERROR(__xludf.DUMMYFUNCTION("REGEXREPLACE(C21536,""-\d+(.*)|--\d+(.*)"","""")"),"REMPNAT")</f>
        <v>REMPNAT</v>
      </c>
      <c r="E21536" s="38" t="s">
        <v>897</v>
      </c>
      <c r="F21536" s="38" t="s">
        <v>98</v>
      </c>
      <c r="G21536" s="49" t="str">
        <f t="shared" si="1"/>
        <v>87120</v>
      </c>
      <c r="H21536" s="49">
        <f t="shared" si="2"/>
        <v>87123</v>
      </c>
    </row>
    <row r="21537">
      <c r="A21537" s="48" t="s">
        <v>1688</v>
      </c>
      <c r="B21537" s="38">
        <v>76317.0</v>
      </c>
      <c r="C21537" s="38" t="s">
        <v>26048</v>
      </c>
      <c r="D21537" s="38" t="str">
        <f>IFERROR(__xludf.DUMMYFUNCTION("REGEXREPLACE(C21537,""-\d+(.*)|--\d+(.*)"","""")"),"GRAINVILLE-YMAUVILLE")</f>
        <v>GRAINVILLE-YMAUVILLE</v>
      </c>
      <c r="E21537" s="38" t="s">
        <v>133</v>
      </c>
      <c r="F21537" s="38" t="s">
        <v>134</v>
      </c>
      <c r="G21537" s="49" t="str">
        <f t="shared" si="1"/>
        <v>76110</v>
      </c>
      <c r="H21537" s="49">
        <f t="shared" si="2"/>
        <v>76317</v>
      </c>
    </row>
    <row r="21538">
      <c r="A21538" s="48" t="s">
        <v>12066</v>
      </c>
      <c r="B21538" s="38">
        <v>56038.0</v>
      </c>
      <c r="C21538" s="38" t="s">
        <v>26049</v>
      </c>
      <c r="D21538" s="38" t="str">
        <f>IFERROR(__xludf.DUMMYFUNCTION("REGEXREPLACE(C21538,""-\d+(.*)|--\d+(.*)"","""")"),"LA CHAPELLE-GACELINE")</f>
        <v>LA CHAPELLE-GACELINE</v>
      </c>
      <c r="E21538" s="38" t="s">
        <v>173</v>
      </c>
      <c r="F21538" s="38" t="s">
        <v>90</v>
      </c>
      <c r="G21538" s="49" t="str">
        <f t="shared" si="1"/>
        <v>56200</v>
      </c>
      <c r="H21538" s="49">
        <f t="shared" si="2"/>
        <v>56038</v>
      </c>
    </row>
    <row r="21539">
      <c r="A21539" s="48" t="s">
        <v>18689</v>
      </c>
      <c r="B21539" s="38">
        <v>38254.0</v>
      </c>
      <c r="C21539" s="38" t="s">
        <v>26050</v>
      </c>
      <c r="D21539" s="38" t="str">
        <f>IFERROR(__xludf.DUMMYFUNCTION("REGEXREPLACE(C21539,""-\d+(.*)|--\d+(.*)"","""")"),"MONTEYNARD")</f>
        <v>MONTEYNARD</v>
      </c>
      <c r="E21539" s="38" t="s">
        <v>101</v>
      </c>
      <c r="F21539" s="38" t="s">
        <v>102</v>
      </c>
      <c r="G21539" s="49" t="str">
        <f t="shared" si="1"/>
        <v>38770</v>
      </c>
      <c r="H21539" s="49">
        <f t="shared" si="2"/>
        <v>38254</v>
      </c>
    </row>
    <row r="21540">
      <c r="A21540" s="48" t="s">
        <v>1018</v>
      </c>
      <c r="B21540" s="38">
        <v>60169.0</v>
      </c>
      <c r="C21540" s="38" t="s">
        <v>26051</v>
      </c>
      <c r="D21540" s="38" t="str">
        <f>IFERROR(__xludf.DUMMYFUNCTION("REGEXREPLACE(C21540,""-\d+(.*)|--\d+(.*)"","""")"),"COURCELLES-LES-GISORS")</f>
        <v>COURCELLES-LES-GISORS</v>
      </c>
      <c r="E21540" s="38" t="s">
        <v>112</v>
      </c>
      <c r="F21540" s="38" t="s">
        <v>113</v>
      </c>
      <c r="G21540" s="49" t="str">
        <f t="shared" si="1"/>
        <v>60240</v>
      </c>
      <c r="H21540" s="49">
        <f t="shared" si="2"/>
        <v>60169</v>
      </c>
    </row>
    <row r="21541">
      <c r="A21541" s="48" t="s">
        <v>124</v>
      </c>
      <c r="B21541" s="38">
        <v>26106.0</v>
      </c>
      <c r="C21541" s="38" t="s">
        <v>26052</v>
      </c>
      <c r="D21541" s="38" t="str">
        <f>IFERROR(__xludf.DUMMYFUNCTION("REGEXREPLACE(C21541,""-\d+(.*)|--\d+(.*)"","""")"),"LA COUCOURDE")</f>
        <v>LA COUCOURDE</v>
      </c>
      <c r="E21541" s="38" t="s">
        <v>126</v>
      </c>
      <c r="F21541" s="38" t="s">
        <v>102</v>
      </c>
      <c r="G21541" s="49" t="str">
        <f t="shared" si="1"/>
        <v>26740</v>
      </c>
      <c r="H21541" s="49">
        <f t="shared" si="2"/>
        <v>26106</v>
      </c>
    </row>
    <row r="21542">
      <c r="A21542" s="48" t="s">
        <v>5806</v>
      </c>
      <c r="B21542" s="38">
        <v>39002.0</v>
      </c>
      <c r="C21542" s="38" t="s">
        <v>26053</v>
      </c>
      <c r="D21542" s="38" t="str">
        <f>IFERROR(__xludf.DUMMYFUNCTION("REGEXREPLACE(C21542,""-\d+(.*)|--\d+(.*)"","""")"),"ABERGEMENT-LE-GRAND")</f>
        <v>ABERGEMENT-LE-GRAND</v>
      </c>
      <c r="E21542" s="38" t="s">
        <v>400</v>
      </c>
      <c r="F21542" s="38" t="s">
        <v>214</v>
      </c>
      <c r="G21542" s="49" t="str">
        <f t="shared" si="1"/>
        <v>39600</v>
      </c>
      <c r="H21542" s="49">
        <f t="shared" si="2"/>
        <v>39002</v>
      </c>
    </row>
    <row r="21543">
      <c r="A21543" s="48" t="s">
        <v>6256</v>
      </c>
      <c r="B21543" s="38">
        <v>55403.0</v>
      </c>
      <c r="C21543" s="38" t="s">
        <v>26054</v>
      </c>
      <c r="D21543" s="38" t="str">
        <f>IFERROR(__xludf.DUMMYFUNCTION("REGEXREPLACE(C21543,""-\d+(.*)|--\d+(.*)"","""")"),"PEUVILLERS")</f>
        <v>PEUVILLERS</v>
      </c>
      <c r="E21543" s="38" t="s">
        <v>322</v>
      </c>
      <c r="F21543" s="38" t="s">
        <v>195</v>
      </c>
      <c r="G21543" s="49" t="str">
        <f t="shared" si="1"/>
        <v>55150</v>
      </c>
      <c r="H21543" s="49">
        <f t="shared" si="2"/>
        <v>55403</v>
      </c>
    </row>
    <row r="21544">
      <c r="A21544" s="48" t="s">
        <v>10746</v>
      </c>
      <c r="B21544" s="38">
        <v>88120.0</v>
      </c>
      <c r="C21544" s="38" t="s">
        <v>26055</v>
      </c>
      <c r="D21544" s="38" t="str">
        <f>IFERROR(__xludf.DUMMYFUNCTION("REGEXREPLACE(C21544,""-\d+(.*)|--\d+(.*)"","""")"),"LA CROIX-AUX-MINES")</f>
        <v>LA CROIX-AUX-MINES</v>
      </c>
      <c r="E21544" s="38" t="s">
        <v>194</v>
      </c>
      <c r="F21544" s="38" t="s">
        <v>195</v>
      </c>
      <c r="G21544" s="49" t="str">
        <f t="shared" si="1"/>
        <v>88520</v>
      </c>
      <c r="H21544" s="49">
        <f t="shared" si="2"/>
        <v>88120</v>
      </c>
    </row>
    <row r="21545">
      <c r="A21545" s="48" t="s">
        <v>1332</v>
      </c>
      <c r="B21545" s="38">
        <v>51621.0</v>
      </c>
      <c r="C21545" s="38" t="s">
        <v>26056</v>
      </c>
      <c r="D21545" s="38" t="str">
        <f>IFERROR(__xludf.DUMMYFUNCTION("REGEXREPLACE(C21545,""-\d+(.*)|--\d+(.*)"","""")"),"VIENNE-LE-CHATEAU")</f>
        <v>VIENNE-LE-CHATEAU</v>
      </c>
      <c r="E21545" s="38" t="s">
        <v>129</v>
      </c>
      <c r="F21545" s="38" t="s">
        <v>130</v>
      </c>
      <c r="G21545" s="49" t="str">
        <f t="shared" si="1"/>
        <v>51800</v>
      </c>
      <c r="H21545" s="49">
        <f t="shared" si="2"/>
        <v>51621</v>
      </c>
    </row>
    <row r="21546">
      <c r="A21546" s="48" t="s">
        <v>5924</v>
      </c>
      <c r="B21546" s="38">
        <v>87064.0</v>
      </c>
      <c r="C21546" s="38" t="s">
        <v>26057</v>
      </c>
      <c r="D21546" s="38" t="str">
        <f>IFERROR(__xludf.DUMMYFUNCTION("REGEXREPLACE(C21546,""-\d+(.*)|--\d+(.*)"","""")"),"EYMOUTIERS")</f>
        <v>EYMOUTIERS</v>
      </c>
      <c r="E21546" s="38" t="s">
        <v>897</v>
      </c>
      <c r="F21546" s="38" t="s">
        <v>98</v>
      </c>
      <c r="G21546" s="49" t="str">
        <f t="shared" si="1"/>
        <v>87120</v>
      </c>
      <c r="H21546" s="49">
        <f t="shared" si="2"/>
        <v>87064</v>
      </c>
    </row>
    <row r="21547">
      <c r="A21547" s="48" t="s">
        <v>3208</v>
      </c>
      <c r="B21547" s="38">
        <v>80579.0</v>
      </c>
      <c r="C21547" s="38" t="s">
        <v>26058</v>
      </c>
      <c r="D21547" s="38" t="str">
        <f>IFERROR(__xludf.DUMMYFUNCTION("REGEXREPLACE(C21547,""-\d+(.*)|--\d+(.*)"","""")"),"MUILLE-VILLETTE")</f>
        <v>MUILLE-VILLETTE</v>
      </c>
      <c r="E21547" s="38" t="s">
        <v>224</v>
      </c>
      <c r="F21547" s="38" t="s">
        <v>113</v>
      </c>
      <c r="G21547" s="49" t="str">
        <f t="shared" si="1"/>
        <v>80400</v>
      </c>
      <c r="H21547" s="49">
        <f t="shared" si="2"/>
        <v>80579</v>
      </c>
    </row>
    <row r="21548">
      <c r="A21548" s="48" t="s">
        <v>3283</v>
      </c>
      <c r="B21548" s="38">
        <v>52204.0</v>
      </c>
      <c r="C21548" s="38" t="s">
        <v>26059</v>
      </c>
      <c r="D21548" s="38" t="str">
        <f>IFERROR(__xludf.DUMMYFUNCTION("REGEXREPLACE(C21548,""-\d+(.*)|--\d+(.*)"","""")"),"FORCEY")</f>
        <v>FORCEY</v>
      </c>
      <c r="E21548" s="38" t="s">
        <v>234</v>
      </c>
      <c r="F21548" s="38" t="s">
        <v>130</v>
      </c>
      <c r="G21548" s="49" t="str">
        <f t="shared" si="1"/>
        <v>52700</v>
      </c>
      <c r="H21548" s="49">
        <f t="shared" si="2"/>
        <v>52204</v>
      </c>
    </row>
    <row r="21549">
      <c r="A21549" s="48" t="s">
        <v>1562</v>
      </c>
      <c r="B21549" s="38">
        <v>24161.0</v>
      </c>
      <c r="C21549" s="38" t="s">
        <v>26060</v>
      </c>
      <c r="D21549" s="38" t="str">
        <f>IFERROR(__xludf.DUMMYFUNCTION("REGEXREPLACE(C21549,""-\d+(.*)|--\d+(.*)"","""")"),"EGLISE-NEUVE-D'ISSAC")</f>
        <v>EGLISE-NEUVE-D'ISSAC</v>
      </c>
      <c r="E21549" s="38" t="s">
        <v>261</v>
      </c>
      <c r="F21549" s="38" t="s">
        <v>252</v>
      </c>
      <c r="G21549" s="49" t="str">
        <f t="shared" si="1"/>
        <v>24400</v>
      </c>
      <c r="H21549" s="49">
        <f t="shared" si="2"/>
        <v>24161</v>
      </c>
    </row>
    <row r="21550">
      <c r="A21550" s="48" t="s">
        <v>1518</v>
      </c>
      <c r="B21550" s="38">
        <v>88100.0</v>
      </c>
      <c r="C21550" s="38" t="s">
        <v>26061</v>
      </c>
      <c r="D21550" s="38" t="str">
        <f>IFERROR(__xludf.DUMMYFUNCTION("REGEXREPLACE(C21550,""-\d+(.*)|--\d+(.*)"","""")"),"CHEF-HAUT")</f>
        <v>CHEF-HAUT</v>
      </c>
      <c r="E21550" s="38" t="s">
        <v>194</v>
      </c>
      <c r="F21550" s="38" t="s">
        <v>195</v>
      </c>
      <c r="G21550" s="49" t="str">
        <f t="shared" si="1"/>
        <v>88500</v>
      </c>
      <c r="H21550" s="49">
        <f t="shared" si="2"/>
        <v>88100</v>
      </c>
    </row>
    <row r="21551">
      <c r="A21551" s="48" t="s">
        <v>26062</v>
      </c>
      <c r="B21551" s="38">
        <v>59249.0</v>
      </c>
      <c r="C21551" s="38" t="s">
        <v>26063</v>
      </c>
      <c r="D21551" s="38" t="str">
        <f>IFERROR(__xludf.DUMMYFUNCTION("REGEXREPLACE(C21551,""-\d+(.*)|--\d+(.*)"","""")"),"FOURMIES")</f>
        <v>FOURMIES</v>
      </c>
      <c r="E21551" s="38" t="s">
        <v>85</v>
      </c>
      <c r="F21551" s="38" t="s">
        <v>86</v>
      </c>
      <c r="G21551" s="49" t="str">
        <f t="shared" si="1"/>
        <v>59610</v>
      </c>
      <c r="H21551" s="49">
        <f t="shared" si="2"/>
        <v>59249</v>
      </c>
    </row>
    <row r="21552">
      <c r="A21552" s="48" t="s">
        <v>660</v>
      </c>
      <c r="B21552" s="38">
        <v>4039.0</v>
      </c>
      <c r="C21552" s="38" t="s">
        <v>26064</v>
      </c>
      <c r="D21552" s="38" t="str">
        <f>IFERROR(__xludf.DUMMYFUNCTION("REGEXREPLACE(C21552,""-\d+(.*)|--\d+(.*)"","""")"),"CASTELLANE")</f>
        <v>CASTELLANE</v>
      </c>
      <c r="E21552" s="38" t="s">
        <v>662</v>
      </c>
      <c r="F21552" s="38" t="s">
        <v>228</v>
      </c>
      <c r="G21552" s="49" t="str">
        <f t="shared" si="1"/>
        <v>04120</v>
      </c>
      <c r="H21552" s="49" t="str">
        <f t="shared" si="2"/>
        <v>04039</v>
      </c>
    </row>
    <row r="21553">
      <c r="A21553" s="48" t="s">
        <v>9679</v>
      </c>
      <c r="B21553" s="38">
        <v>26351.0</v>
      </c>
      <c r="C21553" s="38" t="s">
        <v>26065</v>
      </c>
      <c r="D21553" s="38" t="str">
        <f>IFERROR(__xludf.DUMMYFUNCTION("REGEXREPLACE(C21553,""-\d+(.*)|--\d+(.*)"","""")"),"LES TONILS")</f>
        <v>LES TONILS</v>
      </c>
      <c r="E21553" s="38" t="s">
        <v>126</v>
      </c>
      <c r="F21553" s="38" t="s">
        <v>102</v>
      </c>
      <c r="G21553" s="49" t="str">
        <f t="shared" si="1"/>
        <v>26460</v>
      </c>
      <c r="H21553" s="49">
        <f t="shared" si="2"/>
        <v>26351</v>
      </c>
    </row>
    <row r="21554">
      <c r="A21554" s="48" t="s">
        <v>2249</v>
      </c>
      <c r="B21554" s="38">
        <v>14175.0</v>
      </c>
      <c r="C21554" s="38" t="s">
        <v>26066</v>
      </c>
      <c r="D21554" s="38" t="str">
        <f>IFERROR(__xludf.DUMMYFUNCTION("REGEXREPLACE(C21554,""-\d+(.*)|--\d+(.*)"","""")"),"CONDE-SUR-SEULLES")</f>
        <v>CONDE-SUR-SEULLES</v>
      </c>
      <c r="E21554" s="38" t="s">
        <v>137</v>
      </c>
      <c r="F21554" s="38" t="s">
        <v>138</v>
      </c>
      <c r="G21554" s="49" t="str">
        <f t="shared" si="1"/>
        <v>14400</v>
      </c>
      <c r="H21554" s="49">
        <f t="shared" si="2"/>
        <v>14175</v>
      </c>
    </row>
    <row r="21555">
      <c r="A21555" s="48" t="s">
        <v>948</v>
      </c>
      <c r="B21555" s="38">
        <v>68086.0</v>
      </c>
      <c r="C21555" s="38" t="s">
        <v>26067</v>
      </c>
      <c r="D21555" s="38" t="str">
        <f>IFERROR(__xludf.DUMMYFUNCTION("REGEXREPLACE(C21555,""-\d+(.*)|--\d+(.*)"","""")"),"FALKWILLER")</f>
        <v>FALKWILLER</v>
      </c>
      <c r="E21555" s="38" t="s">
        <v>150</v>
      </c>
      <c r="F21555" s="38" t="s">
        <v>151</v>
      </c>
      <c r="G21555" s="49" t="str">
        <f t="shared" si="1"/>
        <v>68210</v>
      </c>
      <c r="H21555" s="49">
        <f t="shared" si="2"/>
        <v>68086</v>
      </c>
    </row>
    <row r="21556">
      <c r="A21556" s="48" t="s">
        <v>1555</v>
      </c>
      <c r="B21556" s="38">
        <v>51478.0</v>
      </c>
      <c r="C21556" s="38" t="s">
        <v>26068</v>
      </c>
      <c r="D21556" s="38" t="str">
        <f>IFERROR(__xludf.DUMMYFUNCTION("REGEXREPLACE(C21556,""-\d+(.*)|--\d+(.*)"","""")"),"SAINT-EULIEN")</f>
        <v>SAINT-EULIEN</v>
      </c>
      <c r="E21556" s="38" t="s">
        <v>129</v>
      </c>
      <c r="F21556" s="38" t="s">
        <v>130</v>
      </c>
      <c r="G21556" s="49" t="str">
        <f t="shared" si="1"/>
        <v>52100</v>
      </c>
      <c r="H21556" s="49">
        <f t="shared" si="2"/>
        <v>51478</v>
      </c>
    </row>
    <row r="21557">
      <c r="A21557" s="48" t="s">
        <v>26069</v>
      </c>
      <c r="B21557" s="38">
        <v>26165.0</v>
      </c>
      <c r="C21557" s="38" t="s">
        <v>26070</v>
      </c>
      <c r="D21557" s="38" t="str">
        <f>IFERROR(__xludf.DUMMYFUNCTION("REGEXREPLACE(C21557,""-\d+(.*)|--\d+(.*)"","""")"),"LIVRON-SUR-DROME")</f>
        <v>LIVRON-SUR-DROME</v>
      </c>
      <c r="E21557" s="38" t="s">
        <v>126</v>
      </c>
      <c r="F21557" s="38" t="s">
        <v>102</v>
      </c>
      <c r="G21557" s="49" t="str">
        <f t="shared" si="1"/>
        <v>26250</v>
      </c>
      <c r="H21557" s="49">
        <f t="shared" si="2"/>
        <v>26165</v>
      </c>
    </row>
    <row r="21558">
      <c r="A21558" s="48" t="s">
        <v>4663</v>
      </c>
      <c r="B21558" s="38">
        <v>12019.0</v>
      </c>
      <c r="C21558" s="38" t="s">
        <v>26071</v>
      </c>
      <c r="D21558" s="38" t="str">
        <f>IFERROR(__xludf.DUMMYFUNCTION("REGEXREPLACE(C21558,""-\d+(.*)|--\d+(.*)"","""")"),"BALAGUIER-SUR-RANCE")</f>
        <v>BALAGUIER-SUR-RANCE</v>
      </c>
      <c r="E21558" s="38" t="s">
        <v>465</v>
      </c>
      <c r="F21558" s="38" t="s">
        <v>94</v>
      </c>
      <c r="G21558" s="49" t="str">
        <f t="shared" si="1"/>
        <v>12380</v>
      </c>
      <c r="H21558" s="49">
        <f t="shared" si="2"/>
        <v>12019</v>
      </c>
    </row>
    <row r="21559">
      <c r="A21559" s="48" t="s">
        <v>17850</v>
      </c>
      <c r="B21559" s="38">
        <v>59124.0</v>
      </c>
      <c r="C21559" s="38" t="s">
        <v>26072</v>
      </c>
      <c r="D21559" s="38" t="str">
        <f>IFERROR(__xludf.DUMMYFUNCTION("REGEXREPLACE(C21559,""-\d+(.*)|--\d+(.*)"","""")"),"CAMPHIN-EN-PEVELE")</f>
        <v>CAMPHIN-EN-PEVELE</v>
      </c>
      <c r="E21559" s="38" t="s">
        <v>85</v>
      </c>
      <c r="F21559" s="38" t="s">
        <v>86</v>
      </c>
      <c r="G21559" s="49" t="str">
        <f t="shared" si="1"/>
        <v>59780</v>
      </c>
      <c r="H21559" s="49">
        <f t="shared" si="2"/>
        <v>59124</v>
      </c>
    </row>
    <row r="21560">
      <c r="A21560" s="48" t="s">
        <v>6519</v>
      </c>
      <c r="B21560" s="38">
        <v>81007.0</v>
      </c>
      <c r="C21560" s="38" t="s">
        <v>26073</v>
      </c>
      <c r="D21560" s="38" t="str">
        <f>IFERROR(__xludf.DUMMYFUNCTION("REGEXREPLACE(C21560,""-\d+(.*)|--\d+(.*)"","""")"),"ALOS")</f>
        <v>ALOS</v>
      </c>
      <c r="E21560" s="38" t="s">
        <v>231</v>
      </c>
      <c r="F21560" s="38" t="s">
        <v>94</v>
      </c>
      <c r="G21560" s="49" t="str">
        <f t="shared" si="1"/>
        <v>81140</v>
      </c>
      <c r="H21560" s="49">
        <f t="shared" si="2"/>
        <v>81007</v>
      </c>
    </row>
    <row r="21561">
      <c r="A21561" s="48" t="s">
        <v>839</v>
      </c>
      <c r="B21561" s="38">
        <v>62333.0</v>
      </c>
      <c r="C21561" s="38" t="s">
        <v>26074</v>
      </c>
      <c r="D21561" s="38" t="str">
        <f>IFERROR(__xludf.DUMMYFUNCTION("REGEXREPLACE(C21561,""-\d+(.*)|--\d+(.*)"","""")"),"FIEFS")</f>
        <v>FIEFS</v>
      </c>
      <c r="E21561" s="38" t="s">
        <v>109</v>
      </c>
      <c r="F21561" s="38" t="s">
        <v>86</v>
      </c>
      <c r="G21561" s="49" t="str">
        <f t="shared" si="1"/>
        <v>62134</v>
      </c>
      <c r="H21561" s="49">
        <f t="shared" si="2"/>
        <v>62333</v>
      </c>
    </row>
    <row r="21562">
      <c r="A21562" s="48" t="s">
        <v>3281</v>
      </c>
      <c r="B21562" s="38">
        <v>40279.0</v>
      </c>
      <c r="C21562" s="38" t="s">
        <v>26075</v>
      </c>
      <c r="D21562" s="38" t="str">
        <f>IFERROR(__xludf.DUMMYFUNCTION("REGEXREPLACE(C21562,""-\d+(.*)|--\d+(.*)"","""")"),"SAINT-PAUL-LES-DAX")</f>
        <v>SAINT-PAUL-LES-DAX</v>
      </c>
      <c r="E21562" s="38" t="s">
        <v>281</v>
      </c>
      <c r="F21562" s="38" t="s">
        <v>252</v>
      </c>
      <c r="G21562" s="49" t="str">
        <f t="shared" si="1"/>
        <v>40990</v>
      </c>
      <c r="H21562" s="49">
        <f t="shared" si="2"/>
        <v>40279</v>
      </c>
    </row>
    <row r="21563">
      <c r="A21563" s="48" t="s">
        <v>8593</v>
      </c>
      <c r="B21563" s="38">
        <v>31561.0</v>
      </c>
      <c r="C21563" s="38" t="s">
        <v>26076</v>
      </c>
      <c r="D21563" s="38" t="str">
        <f>IFERROR(__xludf.DUMMYFUNCTION("REGEXREPLACE(C21563,""-\d+(.*)|--\d+(.*)"","""")"),"L'UNION")</f>
        <v>L'UNION</v>
      </c>
      <c r="E21563" s="38" t="s">
        <v>93</v>
      </c>
      <c r="F21563" s="38" t="s">
        <v>94</v>
      </c>
      <c r="G21563" s="49" t="str">
        <f t="shared" si="1"/>
        <v>31240</v>
      </c>
      <c r="H21563" s="49">
        <f t="shared" si="2"/>
        <v>31561</v>
      </c>
    </row>
    <row r="21564">
      <c r="A21564" s="48" t="s">
        <v>1104</v>
      </c>
      <c r="B21564" s="38">
        <v>52495.0</v>
      </c>
      <c r="C21564" s="38" t="s">
        <v>26077</v>
      </c>
      <c r="D21564" s="38" t="str">
        <f>IFERROR(__xludf.DUMMYFUNCTION("REGEXREPLACE(C21564,""-\d+(.*)|--\d+(.*)"","""")"),"TREMILLY")</f>
        <v>TREMILLY</v>
      </c>
      <c r="E21564" s="38" t="s">
        <v>234</v>
      </c>
      <c r="F21564" s="38" t="s">
        <v>130</v>
      </c>
      <c r="G21564" s="49" t="str">
        <f t="shared" si="1"/>
        <v>52110</v>
      </c>
      <c r="H21564" s="49">
        <f t="shared" si="2"/>
        <v>52495</v>
      </c>
    </row>
    <row r="21565">
      <c r="A21565" s="48" t="s">
        <v>10307</v>
      </c>
      <c r="B21565" s="38">
        <v>35321.0</v>
      </c>
      <c r="C21565" s="38" t="s">
        <v>26078</v>
      </c>
      <c r="D21565" s="38" t="str">
        <f>IFERROR(__xludf.DUMMYFUNCTION("REGEXREPLACE(C21565,""-\d+(.*)|--\d+(.*)"","""")"),"SAULNIERES")</f>
        <v>SAULNIERES</v>
      </c>
      <c r="E21565" s="38" t="s">
        <v>347</v>
      </c>
      <c r="F21565" s="38" t="s">
        <v>90</v>
      </c>
      <c r="G21565" s="49" t="str">
        <f t="shared" si="1"/>
        <v>35320</v>
      </c>
      <c r="H21565" s="49">
        <f t="shared" si="2"/>
        <v>35321</v>
      </c>
    </row>
    <row r="21566">
      <c r="A21566" s="48" t="s">
        <v>1089</v>
      </c>
      <c r="B21566" s="38">
        <v>67454.0</v>
      </c>
      <c r="C21566" s="38" t="s">
        <v>26079</v>
      </c>
      <c r="D21566" s="38" t="str">
        <f>IFERROR(__xludf.DUMMYFUNCTION("REGEXREPLACE(C21566,""-\d+(.*)|--\d+(.*)"","""")"),"SCHOENBOURG")</f>
        <v>SCHOENBOURG</v>
      </c>
      <c r="E21566" s="38" t="s">
        <v>210</v>
      </c>
      <c r="F21566" s="38" t="s">
        <v>151</v>
      </c>
      <c r="G21566" s="49" t="str">
        <f t="shared" si="1"/>
        <v>67320</v>
      </c>
      <c r="H21566" s="49">
        <f t="shared" si="2"/>
        <v>67454</v>
      </c>
    </row>
    <row r="21567">
      <c r="A21567" s="48" t="s">
        <v>14348</v>
      </c>
      <c r="B21567" s="38">
        <v>12114.0</v>
      </c>
      <c r="C21567" s="38" t="s">
        <v>26080</v>
      </c>
      <c r="D21567" s="38" t="str">
        <f>IFERROR(__xludf.DUMMYFUNCTION("REGEXREPLACE(C21567,""-\d+(.*)|--\d+(.*)"","""")"),"GRAND-VABRE")</f>
        <v>GRAND-VABRE</v>
      </c>
      <c r="E21567" s="38" t="s">
        <v>465</v>
      </c>
      <c r="F21567" s="38" t="s">
        <v>94</v>
      </c>
      <c r="G21567" s="49" t="str">
        <f t="shared" si="1"/>
        <v>12320</v>
      </c>
      <c r="H21567" s="49">
        <f t="shared" si="2"/>
        <v>12114</v>
      </c>
    </row>
    <row r="21568">
      <c r="A21568" s="48" t="s">
        <v>5362</v>
      </c>
      <c r="B21568" s="38">
        <v>81155.0</v>
      </c>
      <c r="C21568" s="38" t="s">
        <v>24297</v>
      </c>
      <c r="D21568" s="38" t="str">
        <f>IFERROR(__xludf.DUMMYFUNCTION("REGEXREPLACE(C21568,""-\d+(.*)|--\d+(.*)"","""")"),"MARSAL")</f>
        <v>MARSAL</v>
      </c>
      <c r="E21568" s="38" t="s">
        <v>231</v>
      </c>
      <c r="F21568" s="38" t="s">
        <v>94</v>
      </c>
      <c r="G21568" s="49" t="str">
        <f t="shared" si="1"/>
        <v>81430</v>
      </c>
      <c r="H21568" s="49">
        <f t="shared" si="2"/>
        <v>81155</v>
      </c>
    </row>
    <row r="21569">
      <c r="A21569" s="48" t="s">
        <v>9475</v>
      </c>
      <c r="B21569" s="38">
        <v>38442.0</v>
      </c>
      <c r="C21569" s="38" t="s">
        <v>26081</v>
      </c>
      <c r="D21569" s="38" t="str">
        <f>IFERROR(__xludf.DUMMYFUNCTION("REGEXREPLACE(C21569,""-\d+(.*)|--\d+(.*)"","""")"),"SAINT-PIERRE-DE-CHARTREUSE")</f>
        <v>SAINT-PIERRE-DE-CHARTREUSE</v>
      </c>
      <c r="E21569" s="38" t="s">
        <v>101</v>
      </c>
      <c r="F21569" s="38" t="s">
        <v>102</v>
      </c>
      <c r="G21569" s="49" t="str">
        <f t="shared" si="1"/>
        <v>38380</v>
      </c>
      <c r="H21569" s="49">
        <f t="shared" si="2"/>
        <v>38442</v>
      </c>
    </row>
    <row r="21570">
      <c r="A21570" s="48" t="s">
        <v>5190</v>
      </c>
      <c r="B21570" s="38">
        <v>35271.0</v>
      </c>
      <c r="C21570" s="38" t="s">
        <v>26082</v>
      </c>
      <c r="D21570" s="38" t="str">
        <f>IFERROR(__xludf.DUMMYFUNCTION("REGEXREPLACE(C21570,""-\d+(.*)|--\d+(.*)"","""")"),"SAINT-GEORGES-DE-REINTEMBAULT")</f>
        <v>SAINT-GEORGES-DE-REINTEMBAULT</v>
      </c>
      <c r="E21570" s="38" t="s">
        <v>347</v>
      </c>
      <c r="F21570" s="38" t="s">
        <v>90</v>
      </c>
      <c r="G21570" s="49" t="str">
        <f t="shared" si="1"/>
        <v>35420</v>
      </c>
      <c r="H21570" s="49">
        <f t="shared" si="2"/>
        <v>35271</v>
      </c>
    </row>
    <row r="21571">
      <c r="A21571" s="48" t="s">
        <v>3158</v>
      </c>
      <c r="B21571" s="38">
        <v>50539.0</v>
      </c>
      <c r="C21571" s="38" t="s">
        <v>26083</v>
      </c>
      <c r="D21571" s="38" t="str">
        <f>IFERROR(__xludf.DUMMYFUNCTION("REGEXREPLACE(C21571,""-\d+(.*)|--\d+(.*)"","""")"),"SAINT-PIERRE-EGLISE")</f>
        <v>SAINT-PIERRE-EGLISE</v>
      </c>
      <c r="E21571" s="38" t="s">
        <v>157</v>
      </c>
      <c r="F21571" s="38" t="s">
        <v>138</v>
      </c>
      <c r="G21571" s="49" t="str">
        <f t="shared" si="1"/>
        <v>50330</v>
      </c>
      <c r="H21571" s="49">
        <f t="shared" si="2"/>
        <v>50539</v>
      </c>
    </row>
    <row r="21572">
      <c r="A21572" s="48" t="s">
        <v>2708</v>
      </c>
      <c r="B21572" s="38">
        <v>70051.0</v>
      </c>
      <c r="C21572" s="38" t="s">
        <v>26084</v>
      </c>
      <c r="D21572" s="38" t="str">
        <f>IFERROR(__xludf.DUMMYFUNCTION("REGEXREPLACE(C21572,""-\d+(.*)|--\d+(.*)"","""")"),"LA BASSE-VAIVRE")</f>
        <v>LA BASSE-VAIVRE</v>
      </c>
      <c r="E21572" s="38" t="s">
        <v>956</v>
      </c>
      <c r="F21572" s="38" t="s">
        <v>214</v>
      </c>
      <c r="G21572" s="49" t="str">
        <f t="shared" si="1"/>
        <v>70210</v>
      </c>
      <c r="H21572" s="49">
        <f t="shared" si="2"/>
        <v>70051</v>
      </c>
    </row>
    <row r="21573">
      <c r="A21573" s="48" t="s">
        <v>4709</v>
      </c>
      <c r="B21573" s="38">
        <v>95355.0</v>
      </c>
      <c r="C21573" s="38" t="s">
        <v>26085</v>
      </c>
      <c r="D21573" s="38" t="str">
        <f>IFERROR(__xludf.DUMMYFUNCTION("REGEXREPLACE(C21573,""-\d+(.*)|--\d+(.*)"","""")"),"MAGNY-EN-VEXIN")</f>
        <v>MAGNY-EN-VEXIN</v>
      </c>
      <c r="E21573" s="38" t="s">
        <v>541</v>
      </c>
      <c r="F21573" s="38" t="s">
        <v>245</v>
      </c>
      <c r="G21573" s="49" t="str">
        <f t="shared" si="1"/>
        <v>95420</v>
      </c>
      <c r="H21573" s="49">
        <f t="shared" si="2"/>
        <v>95355</v>
      </c>
    </row>
    <row r="21574">
      <c r="A21574" s="48" t="s">
        <v>3297</v>
      </c>
      <c r="B21574" s="38">
        <v>41257.0</v>
      </c>
      <c r="C21574" s="38" t="s">
        <v>26086</v>
      </c>
      <c r="D21574" s="38" t="str">
        <f>IFERROR(__xludf.DUMMYFUNCTION("REGEXREPLACE(C21574,""-\d+(.*)|--\d+(.*)"","""")"),"THENAY")</f>
        <v>THENAY</v>
      </c>
      <c r="E21574" s="38" t="s">
        <v>188</v>
      </c>
      <c r="F21574" s="38" t="s">
        <v>123</v>
      </c>
      <c r="G21574" s="49" t="str">
        <f t="shared" si="1"/>
        <v>41400</v>
      </c>
      <c r="H21574" s="49">
        <f t="shared" si="2"/>
        <v>41257</v>
      </c>
    </row>
    <row r="21575">
      <c r="A21575" s="48" t="s">
        <v>7192</v>
      </c>
      <c r="B21575" s="38">
        <v>61226.0</v>
      </c>
      <c r="C21575" s="38" t="s">
        <v>13835</v>
      </c>
      <c r="D21575" s="38" t="str">
        <f>IFERROR(__xludf.DUMMYFUNCTION("REGEXREPLACE(C21575,""-\d+(.*)|--\d+(.*)"","""")"),"LIGNEROLLES")</f>
        <v>LIGNEROLLES</v>
      </c>
      <c r="E21575" s="38" t="s">
        <v>141</v>
      </c>
      <c r="F21575" s="38" t="s">
        <v>138</v>
      </c>
      <c r="G21575" s="49" t="str">
        <f t="shared" si="1"/>
        <v>61190</v>
      </c>
      <c r="H21575" s="49">
        <f t="shared" si="2"/>
        <v>61226</v>
      </c>
    </row>
    <row r="21576">
      <c r="A21576" s="48" t="s">
        <v>1195</v>
      </c>
      <c r="B21576" s="38">
        <v>80036.0</v>
      </c>
      <c r="C21576" s="38" t="s">
        <v>8395</v>
      </c>
      <c r="D21576" s="38" t="str">
        <f>IFERROR(__xludf.DUMMYFUNCTION("REGEXREPLACE(C21576,""-\d+(.*)|--\d+(.*)"","""")"),"AUBIGNY")</f>
        <v>AUBIGNY</v>
      </c>
      <c r="E21576" s="38" t="s">
        <v>224</v>
      </c>
      <c r="F21576" s="38" t="s">
        <v>113</v>
      </c>
      <c r="G21576" s="49" t="str">
        <f t="shared" si="1"/>
        <v>80800</v>
      </c>
      <c r="H21576" s="49">
        <f t="shared" si="2"/>
        <v>80036</v>
      </c>
    </row>
    <row r="21577">
      <c r="A21577" s="48" t="s">
        <v>1441</v>
      </c>
      <c r="B21577" s="38">
        <v>52163.0</v>
      </c>
      <c r="C21577" s="38" t="s">
        <v>11780</v>
      </c>
      <c r="D21577" s="38" t="str">
        <f>IFERROR(__xludf.DUMMYFUNCTION("REGEXREPLACE(C21577,""-\d+(.*)|--\d+(.*)"","""")"),"DAMPIERRE")</f>
        <v>DAMPIERRE</v>
      </c>
      <c r="E21577" s="38" t="s">
        <v>234</v>
      </c>
      <c r="F21577" s="38" t="s">
        <v>130</v>
      </c>
      <c r="G21577" s="49" t="str">
        <f t="shared" si="1"/>
        <v>52360</v>
      </c>
      <c r="H21577" s="49">
        <f t="shared" si="2"/>
        <v>52163</v>
      </c>
    </row>
    <row r="21578">
      <c r="A21578" s="48" t="s">
        <v>480</v>
      </c>
      <c r="B21578" s="38">
        <v>3178.0</v>
      </c>
      <c r="C21578" s="38" t="s">
        <v>26087</v>
      </c>
      <c r="D21578" s="38" t="str">
        <f>IFERROR(__xludf.DUMMYFUNCTION("REGEXREPLACE(C21578,""-\d+(.*)|--\d+(.*)"","""")"),"MONTAIGUET-EN-FOREZ")</f>
        <v>MONTAIGUET-EN-FOREZ</v>
      </c>
      <c r="E21578" s="38" t="s">
        <v>160</v>
      </c>
      <c r="F21578" s="38" t="s">
        <v>161</v>
      </c>
      <c r="G21578" s="49" t="str">
        <f t="shared" si="1"/>
        <v>03130</v>
      </c>
      <c r="H21578" s="49" t="str">
        <f t="shared" si="2"/>
        <v>03178</v>
      </c>
    </row>
    <row r="21579">
      <c r="A21579" s="48" t="s">
        <v>580</v>
      </c>
      <c r="B21579" s="38">
        <v>31470.0</v>
      </c>
      <c r="C21579" s="38" t="s">
        <v>26088</v>
      </c>
      <c r="D21579" s="38" t="str">
        <f>IFERROR(__xludf.DUMMYFUNCTION("REGEXREPLACE(C21579,""-\d+(.*)|--\d+(.*)"","""")"),"SAINT-AVENTIN")</f>
        <v>SAINT-AVENTIN</v>
      </c>
      <c r="E21579" s="38" t="s">
        <v>93</v>
      </c>
      <c r="F21579" s="38" t="s">
        <v>94</v>
      </c>
      <c r="G21579" s="49" t="str">
        <f t="shared" si="1"/>
        <v>31110</v>
      </c>
      <c r="H21579" s="49">
        <f t="shared" si="2"/>
        <v>31470</v>
      </c>
    </row>
    <row r="21580">
      <c r="A21580" s="48" t="s">
        <v>3716</v>
      </c>
      <c r="B21580" s="38">
        <v>57215.0</v>
      </c>
      <c r="C21580" s="38" t="s">
        <v>26089</v>
      </c>
      <c r="D21580" s="38" t="str">
        <f>IFERROR(__xludf.DUMMYFUNCTION("REGEXREPLACE(C21580,""-\d+(.*)|--\d+(.*)"","""")"),"FLASTROFF")</f>
        <v>FLASTROFF</v>
      </c>
      <c r="E21580" s="38" t="s">
        <v>303</v>
      </c>
      <c r="F21580" s="38" t="s">
        <v>195</v>
      </c>
      <c r="G21580" s="49" t="str">
        <f t="shared" si="1"/>
        <v>57320</v>
      </c>
      <c r="H21580" s="49">
        <f t="shared" si="2"/>
        <v>57215</v>
      </c>
    </row>
    <row r="21581">
      <c r="A21581" s="48" t="s">
        <v>4699</v>
      </c>
      <c r="B21581" s="38">
        <v>53049.0</v>
      </c>
      <c r="C21581" s="38" t="s">
        <v>26090</v>
      </c>
      <c r="D21581" s="38" t="str">
        <f>IFERROR(__xludf.DUMMYFUNCTION("REGEXREPLACE(C21581,""-\d+(.*)|--\d+(.*)"","""")"),"CHALONS-DU-MAINE")</f>
        <v>CHALONS-DU-MAINE</v>
      </c>
      <c r="E21581" s="38" t="s">
        <v>518</v>
      </c>
      <c r="F21581" s="38" t="s">
        <v>180</v>
      </c>
      <c r="G21581" s="49" t="str">
        <f t="shared" si="1"/>
        <v>53470</v>
      </c>
      <c r="H21581" s="49">
        <f t="shared" si="2"/>
        <v>53049</v>
      </c>
    </row>
    <row r="21582">
      <c r="A21582" s="48" t="s">
        <v>3570</v>
      </c>
      <c r="B21582" s="38">
        <v>76500.0</v>
      </c>
      <c r="C21582" s="38" t="s">
        <v>26091</v>
      </c>
      <c r="D21582" s="38" t="str">
        <f>IFERROR(__xludf.DUMMYFUNCTION("REGEXREPLACE(C21582,""-\d+(.*)|--\d+(.*)"","""")"),"PIERRECOURT")</f>
        <v>PIERRECOURT</v>
      </c>
      <c r="E21582" s="38" t="s">
        <v>133</v>
      </c>
      <c r="F21582" s="38" t="s">
        <v>134</v>
      </c>
      <c r="G21582" s="49" t="str">
        <f t="shared" si="1"/>
        <v>76340</v>
      </c>
      <c r="H21582" s="49">
        <f t="shared" si="2"/>
        <v>76500</v>
      </c>
    </row>
    <row r="21583">
      <c r="A21583" s="48" t="s">
        <v>11177</v>
      </c>
      <c r="B21583" s="38">
        <v>12196.0</v>
      </c>
      <c r="C21583" s="38" t="s">
        <v>26092</v>
      </c>
      <c r="D21583" s="38" t="str">
        <f>IFERROR(__xludf.DUMMYFUNCTION("REGEXREPLACE(C21583,""-\d+(.*)|--\d+(.*)"","""")"),"RECOULES-PREVINQUIERES")</f>
        <v>RECOULES-PREVINQUIERES</v>
      </c>
      <c r="E21583" s="38" t="s">
        <v>465</v>
      </c>
      <c r="F21583" s="38" t="s">
        <v>94</v>
      </c>
      <c r="G21583" s="49" t="str">
        <f t="shared" si="1"/>
        <v>12150</v>
      </c>
      <c r="H21583" s="49">
        <f t="shared" si="2"/>
        <v>12196</v>
      </c>
    </row>
    <row r="21584">
      <c r="A21584" s="48" t="s">
        <v>4882</v>
      </c>
      <c r="B21584" s="38">
        <v>89226.0</v>
      </c>
      <c r="C21584" s="38" t="s">
        <v>26093</v>
      </c>
      <c r="D21584" s="38" t="str">
        <f>IFERROR(__xludf.DUMMYFUNCTION("REGEXREPLACE(C21584,""-\d+(.*)|--\d+(.*)"","""")"),"LIGNORELLES")</f>
        <v>LIGNORELLES</v>
      </c>
      <c r="E21584" s="38" t="s">
        <v>275</v>
      </c>
      <c r="F21584" s="38" t="s">
        <v>106</v>
      </c>
      <c r="G21584" s="49" t="str">
        <f t="shared" si="1"/>
        <v>89800</v>
      </c>
      <c r="H21584" s="49">
        <f t="shared" si="2"/>
        <v>89226</v>
      </c>
    </row>
    <row r="21585">
      <c r="A21585" s="48" t="s">
        <v>7736</v>
      </c>
      <c r="B21585" s="38">
        <v>11151.0</v>
      </c>
      <c r="C21585" s="38" t="s">
        <v>26094</v>
      </c>
      <c r="D21585" s="38" t="str">
        <f>IFERROR(__xludf.DUMMYFUNCTION("REGEXREPLACE(C21585,""-\d+(.*)|--\d+(.*)"","""")"),"FONTIES-D'AUDE")</f>
        <v>FONTIES-D'AUDE</v>
      </c>
      <c r="E21585" s="38" t="s">
        <v>278</v>
      </c>
      <c r="F21585" s="38" t="s">
        <v>119</v>
      </c>
      <c r="G21585" s="49" t="str">
        <f t="shared" si="1"/>
        <v>11800</v>
      </c>
      <c r="H21585" s="49">
        <f t="shared" si="2"/>
        <v>11151</v>
      </c>
    </row>
    <row r="21586">
      <c r="A21586" s="48" t="s">
        <v>4797</v>
      </c>
      <c r="B21586" s="38">
        <v>30170.0</v>
      </c>
      <c r="C21586" s="38" t="s">
        <v>26095</v>
      </c>
      <c r="D21586" s="38" t="str">
        <f>IFERROR(__xludf.DUMMYFUNCTION("REGEXREPLACE(C21586,""-\d+(.*)|--\d+(.*)"","""")"),"MOLIERES-CAVAILLAC")</f>
        <v>MOLIERES-CAVAILLAC</v>
      </c>
      <c r="E21586" s="38" t="s">
        <v>526</v>
      </c>
      <c r="F21586" s="38" t="s">
        <v>119</v>
      </c>
      <c r="G21586" s="49" t="str">
        <f t="shared" si="1"/>
        <v>30120</v>
      </c>
      <c r="H21586" s="49">
        <f t="shared" si="2"/>
        <v>30170</v>
      </c>
    </row>
    <row r="21587">
      <c r="A21587" s="48" t="s">
        <v>1212</v>
      </c>
      <c r="B21587" s="38">
        <v>11324.0</v>
      </c>
      <c r="C21587" s="38" t="s">
        <v>26096</v>
      </c>
      <c r="D21587" s="38" t="str">
        <f>IFERROR(__xludf.DUMMYFUNCTION("REGEXREPLACE(C21587,""-\d+(.*)|--\d+(.*)"","""")"),"ROUBIA")</f>
        <v>ROUBIA</v>
      </c>
      <c r="E21587" s="38" t="s">
        <v>278</v>
      </c>
      <c r="F21587" s="38" t="s">
        <v>119</v>
      </c>
      <c r="G21587" s="49" t="str">
        <f t="shared" si="1"/>
        <v>11200</v>
      </c>
      <c r="H21587" s="49">
        <f t="shared" si="2"/>
        <v>11324</v>
      </c>
    </row>
    <row r="21588">
      <c r="A21588" s="48" t="s">
        <v>8471</v>
      </c>
      <c r="B21588" s="38">
        <v>12110.0</v>
      </c>
      <c r="C21588" s="38" t="s">
        <v>26097</v>
      </c>
      <c r="D21588" s="38" t="str">
        <f>IFERROR(__xludf.DUMMYFUNCTION("REGEXREPLACE(C21588,""-\d+(.*)|--\d+(.*)"","""")"),"GOLINHAC")</f>
        <v>GOLINHAC</v>
      </c>
      <c r="E21588" s="38" t="s">
        <v>465</v>
      </c>
      <c r="F21588" s="38" t="s">
        <v>94</v>
      </c>
      <c r="G21588" s="49" t="str">
        <f t="shared" si="1"/>
        <v>12140</v>
      </c>
      <c r="H21588" s="49">
        <f t="shared" si="2"/>
        <v>12110</v>
      </c>
    </row>
    <row r="21589">
      <c r="A21589" s="48" t="s">
        <v>1861</v>
      </c>
      <c r="B21589" s="38">
        <v>46149.0</v>
      </c>
      <c r="C21589" s="38" t="s">
        <v>26098</v>
      </c>
      <c r="D21589" s="38" t="str">
        <f>IFERROR(__xludf.DUMMYFUNCTION("REGEXREPLACE(C21589,""-\d+(.*)|--\d+(.*)"","""")"),"LAMAGDELAINE")</f>
        <v>LAMAGDELAINE</v>
      </c>
      <c r="E21589" s="38" t="s">
        <v>185</v>
      </c>
      <c r="F21589" s="38" t="s">
        <v>94</v>
      </c>
      <c r="G21589" s="49" t="str">
        <f t="shared" si="1"/>
        <v>46090</v>
      </c>
      <c r="H21589" s="49">
        <f t="shared" si="2"/>
        <v>46149</v>
      </c>
    </row>
    <row r="21590">
      <c r="A21590" s="48" t="s">
        <v>2955</v>
      </c>
      <c r="B21590" s="38">
        <v>76630.0</v>
      </c>
      <c r="C21590" s="38" t="s">
        <v>26099</v>
      </c>
      <c r="D21590" s="38" t="str">
        <f>IFERROR(__xludf.DUMMYFUNCTION("REGEXREPLACE(C21590,""-\d+(.*)|--\d+(.*)"","""")"),"SAINT-OUEN-SOUS-BAILLY")</f>
        <v>SAINT-OUEN-SOUS-BAILLY</v>
      </c>
      <c r="E21590" s="38" t="s">
        <v>133</v>
      </c>
      <c r="F21590" s="38" t="s">
        <v>134</v>
      </c>
      <c r="G21590" s="49" t="str">
        <f t="shared" si="1"/>
        <v>76630</v>
      </c>
      <c r="H21590" s="49">
        <f t="shared" si="2"/>
        <v>76630</v>
      </c>
    </row>
    <row r="21591">
      <c r="A21591" s="48" t="s">
        <v>3439</v>
      </c>
      <c r="B21591" s="38">
        <v>86052.0</v>
      </c>
      <c r="C21591" s="38" t="s">
        <v>26100</v>
      </c>
      <c r="D21591" s="38" t="str">
        <f>IFERROR(__xludf.DUMMYFUNCTION("REGEXREPLACE(C21591,""-\d+(.*)|--\d+(.*)"","""")"),"CHAMPAGNE-SAINT-HILAIRE")</f>
        <v>CHAMPAGNE-SAINT-HILAIRE</v>
      </c>
      <c r="E21591" s="38" t="s">
        <v>529</v>
      </c>
      <c r="F21591" s="38" t="s">
        <v>338</v>
      </c>
      <c r="G21591" s="49" t="str">
        <f t="shared" si="1"/>
        <v>86160</v>
      </c>
      <c r="H21591" s="49">
        <f t="shared" si="2"/>
        <v>86052</v>
      </c>
    </row>
    <row r="21592">
      <c r="A21592" s="48" t="s">
        <v>516</v>
      </c>
      <c r="B21592" s="38">
        <v>53013.0</v>
      </c>
      <c r="C21592" s="38" t="s">
        <v>26101</v>
      </c>
      <c r="D21592" s="38" t="str">
        <f>IFERROR(__xludf.DUMMYFUNCTION("REGEXREPLACE(C21592,""-\d+(.*)|--\d+(.*)"","""")"),"AVERTON")</f>
        <v>AVERTON</v>
      </c>
      <c r="E21592" s="38" t="s">
        <v>518</v>
      </c>
      <c r="F21592" s="38" t="s">
        <v>180</v>
      </c>
      <c r="G21592" s="49" t="str">
        <f t="shared" si="1"/>
        <v>53700</v>
      </c>
      <c r="H21592" s="49">
        <f t="shared" si="2"/>
        <v>53013</v>
      </c>
    </row>
    <row r="21593">
      <c r="A21593" s="48" t="s">
        <v>3244</v>
      </c>
      <c r="B21593" s="38">
        <v>27200.0</v>
      </c>
      <c r="C21593" s="38" t="s">
        <v>26102</v>
      </c>
      <c r="D21593" s="38" t="str">
        <f>IFERROR(__xludf.DUMMYFUNCTION("REGEXREPLACE(C21593,""-\d+(.*)|--\d+(.*)"","""")"),"DARDEZ")</f>
        <v>DARDEZ</v>
      </c>
      <c r="E21593" s="38" t="s">
        <v>241</v>
      </c>
      <c r="F21593" s="38" t="s">
        <v>134</v>
      </c>
      <c r="G21593" s="49" t="str">
        <f t="shared" si="1"/>
        <v>27930</v>
      </c>
      <c r="H21593" s="49">
        <f t="shared" si="2"/>
        <v>27200</v>
      </c>
    </row>
    <row r="21594">
      <c r="A21594" s="48" t="s">
        <v>26103</v>
      </c>
      <c r="B21594" s="38">
        <v>31446.0</v>
      </c>
      <c r="C21594" s="38" t="s">
        <v>26104</v>
      </c>
      <c r="D21594" s="38" t="str">
        <f>IFERROR(__xludf.DUMMYFUNCTION("REGEXREPLACE(C21594,""-\d+(.*)|--\d+(.*)"","""")"),"RAMONVILLE-SAINT-AGNE")</f>
        <v>RAMONVILLE-SAINT-AGNE</v>
      </c>
      <c r="E21594" s="38" t="s">
        <v>93</v>
      </c>
      <c r="F21594" s="38" t="s">
        <v>94</v>
      </c>
      <c r="G21594" s="49" t="str">
        <f t="shared" si="1"/>
        <v>31520</v>
      </c>
      <c r="H21594" s="49">
        <f t="shared" si="2"/>
        <v>31446</v>
      </c>
    </row>
    <row r="21595">
      <c r="A21595" s="48" t="s">
        <v>11592</v>
      </c>
      <c r="B21595" s="38">
        <v>68241.0</v>
      </c>
      <c r="C21595" s="38" t="s">
        <v>26105</v>
      </c>
      <c r="D21595" s="38" t="str">
        <f>IFERROR(__xludf.DUMMYFUNCTION("REGEXREPLACE(C21595,""-\d+(.*)|--\d+(.*)"","""")"),"OBERENTZEN")</f>
        <v>OBERENTZEN</v>
      </c>
      <c r="E21595" s="38" t="s">
        <v>150</v>
      </c>
      <c r="F21595" s="38" t="s">
        <v>151</v>
      </c>
      <c r="G21595" s="49" t="str">
        <f t="shared" si="1"/>
        <v>68127</v>
      </c>
      <c r="H21595" s="49">
        <f t="shared" si="2"/>
        <v>68241</v>
      </c>
    </row>
    <row r="21596">
      <c r="A21596" s="48" t="s">
        <v>2710</v>
      </c>
      <c r="B21596" s="38">
        <v>68165.0</v>
      </c>
      <c r="C21596" s="38" t="s">
        <v>26106</v>
      </c>
      <c r="D21596" s="38" t="str">
        <f>IFERROR(__xludf.DUMMYFUNCTION("REGEXREPLACE(C21596,""-\d+(.*)|--\d+(.*)"","""")"),"KIFFIS")</f>
        <v>KIFFIS</v>
      </c>
      <c r="E21596" s="38" t="s">
        <v>150</v>
      </c>
      <c r="F21596" s="38" t="s">
        <v>151</v>
      </c>
      <c r="G21596" s="49" t="str">
        <f t="shared" si="1"/>
        <v>68480</v>
      </c>
      <c r="H21596" s="49">
        <f t="shared" si="2"/>
        <v>68165</v>
      </c>
    </row>
    <row r="21597">
      <c r="A21597" s="48" t="s">
        <v>8535</v>
      </c>
      <c r="B21597" s="38">
        <v>49232.0</v>
      </c>
      <c r="C21597" s="38" t="s">
        <v>26107</v>
      </c>
      <c r="D21597" s="38" t="str">
        <f>IFERROR(__xludf.DUMMYFUNCTION("REGEXREPLACE(C21597,""-\d+(.*)|--\d+(.*)"","""")"),"NUEIL-SUR-LAYON")</f>
        <v>NUEIL-SUR-LAYON</v>
      </c>
      <c r="E21597" s="38" t="s">
        <v>653</v>
      </c>
      <c r="F21597" s="38" t="s">
        <v>180</v>
      </c>
      <c r="G21597" s="49" t="str">
        <f t="shared" si="1"/>
        <v>49560</v>
      </c>
      <c r="H21597" s="49">
        <f t="shared" si="2"/>
        <v>49232</v>
      </c>
    </row>
    <row r="21598">
      <c r="A21598" s="48" t="s">
        <v>1454</v>
      </c>
      <c r="B21598" s="38">
        <v>60458.0</v>
      </c>
      <c r="C21598" s="38" t="s">
        <v>26108</v>
      </c>
      <c r="D21598" s="38" t="str">
        <f>IFERROR(__xludf.DUMMYFUNCTION("REGEXREPLACE(C21598,""-\d+(.*)|--\d+(.*)"","""")"),"LA NEUVILLE-SUR-OUDEUIL")</f>
        <v>LA NEUVILLE-SUR-OUDEUIL</v>
      </c>
      <c r="E21598" s="38" t="s">
        <v>112</v>
      </c>
      <c r="F21598" s="38" t="s">
        <v>113</v>
      </c>
      <c r="G21598" s="49" t="str">
        <f t="shared" si="1"/>
        <v>60690</v>
      </c>
      <c r="H21598" s="49">
        <f t="shared" si="2"/>
        <v>60458</v>
      </c>
    </row>
    <row r="21599">
      <c r="A21599" s="48" t="s">
        <v>26109</v>
      </c>
      <c r="B21599" s="38">
        <v>43130.0</v>
      </c>
      <c r="C21599" s="38" t="s">
        <v>26110</v>
      </c>
      <c r="D21599" s="38" t="str">
        <f>IFERROR(__xludf.DUMMYFUNCTION("REGEXREPLACE(C21599,""-\d+(.*)|--\d+(.*)"","""")"),"MAZET-SAINT-VOY")</f>
        <v>MAZET-SAINT-VOY</v>
      </c>
      <c r="E21599" s="38" t="s">
        <v>332</v>
      </c>
      <c r="F21599" s="38" t="s">
        <v>161</v>
      </c>
      <c r="G21599" s="49" t="str">
        <f t="shared" si="1"/>
        <v>43520</v>
      </c>
      <c r="H21599" s="49">
        <f t="shared" si="2"/>
        <v>43130</v>
      </c>
    </row>
    <row r="21600">
      <c r="A21600" s="48" t="s">
        <v>1018</v>
      </c>
      <c r="B21600" s="38">
        <v>60356.0</v>
      </c>
      <c r="C21600" s="38" t="s">
        <v>26111</v>
      </c>
      <c r="D21600" s="38" t="str">
        <f>IFERROR(__xludf.DUMMYFUNCTION("REGEXREPLACE(C21600,""-\d+(.*)|--\d+(.*)"","""")"),"LAVILLETERTRE")</f>
        <v>LAVILLETERTRE</v>
      </c>
      <c r="E21600" s="38" t="s">
        <v>112</v>
      </c>
      <c r="F21600" s="38" t="s">
        <v>113</v>
      </c>
      <c r="G21600" s="49" t="str">
        <f t="shared" si="1"/>
        <v>60240</v>
      </c>
      <c r="H21600" s="49">
        <f t="shared" si="2"/>
        <v>60356</v>
      </c>
    </row>
    <row r="21601">
      <c r="A21601" s="48" t="s">
        <v>10227</v>
      </c>
      <c r="B21601" s="38">
        <v>16124.0</v>
      </c>
      <c r="C21601" s="38" t="s">
        <v>26112</v>
      </c>
      <c r="D21601" s="38" t="str">
        <f>IFERROR(__xludf.DUMMYFUNCTION("REGEXREPLACE(C21601,""-\d+(.*)|--\d+(.*)"","""")"),"ECURAS")</f>
        <v>ECURAS</v>
      </c>
      <c r="E21601" s="38" t="s">
        <v>429</v>
      </c>
      <c r="F21601" s="38" t="s">
        <v>338</v>
      </c>
      <c r="G21601" s="49" t="str">
        <f t="shared" si="1"/>
        <v>16220</v>
      </c>
      <c r="H21601" s="49">
        <f t="shared" si="2"/>
        <v>16124</v>
      </c>
    </row>
    <row r="21602">
      <c r="A21602" s="48" t="s">
        <v>2655</v>
      </c>
      <c r="B21602" s="38">
        <v>52340.0</v>
      </c>
      <c r="C21602" s="38" t="s">
        <v>26113</v>
      </c>
      <c r="D21602" s="38" t="str">
        <f>IFERROR(__xludf.DUMMYFUNCTION("REGEXREPLACE(C21602,""-\d+(.*)|--\d+(.*)"","""")"),"MONTSAUGEON")</f>
        <v>MONTSAUGEON</v>
      </c>
      <c r="E21602" s="38" t="s">
        <v>234</v>
      </c>
      <c r="F21602" s="38" t="s">
        <v>130</v>
      </c>
      <c r="G21602" s="49" t="str">
        <f t="shared" si="1"/>
        <v>52190</v>
      </c>
      <c r="H21602" s="49">
        <f t="shared" si="2"/>
        <v>52340</v>
      </c>
    </row>
    <row r="21603">
      <c r="A21603" s="48" t="s">
        <v>12567</v>
      </c>
      <c r="B21603" s="38">
        <v>48136.0</v>
      </c>
      <c r="C21603" s="38" t="s">
        <v>26114</v>
      </c>
      <c r="D21603" s="38" t="str">
        <f>IFERROR(__xludf.DUMMYFUNCTION("REGEXREPLACE(C21603,""-\d+(.*)|--\d+(.*)"","""")"),"SAINT-ANDRE-DE-LANCIZE")</f>
        <v>SAINT-ANDRE-DE-LANCIZE</v>
      </c>
      <c r="E21603" s="38" t="s">
        <v>154</v>
      </c>
      <c r="F21603" s="38" t="s">
        <v>119</v>
      </c>
      <c r="G21603" s="49" t="str">
        <f t="shared" si="1"/>
        <v>48240</v>
      </c>
      <c r="H21603" s="49">
        <f t="shared" si="2"/>
        <v>48136</v>
      </c>
    </row>
    <row r="21604">
      <c r="A21604" s="48" t="s">
        <v>10136</v>
      </c>
      <c r="B21604" s="38">
        <v>33199.0</v>
      </c>
      <c r="C21604" s="38" t="s">
        <v>26115</v>
      </c>
      <c r="D21604" s="38" t="str">
        <f>IFERROR(__xludf.DUMMYFUNCTION("REGEXREPLACE(C21604,""-\d+(.*)|--\d+(.*)"","""")"),"GUJAN-MESTRAS")</f>
        <v>GUJAN-MESTRAS</v>
      </c>
      <c r="E21604" s="38" t="s">
        <v>462</v>
      </c>
      <c r="F21604" s="38" t="s">
        <v>252</v>
      </c>
      <c r="G21604" s="49" t="str">
        <f t="shared" si="1"/>
        <v>33470</v>
      </c>
      <c r="H21604" s="49">
        <f t="shared" si="2"/>
        <v>33199</v>
      </c>
    </row>
    <row r="21605">
      <c r="A21605" s="48" t="s">
        <v>13265</v>
      </c>
      <c r="B21605" s="38">
        <v>77376.0</v>
      </c>
      <c r="C21605" s="38" t="s">
        <v>26116</v>
      </c>
      <c r="D21605" s="38" t="str">
        <f>IFERROR(__xludf.DUMMYFUNCTION("REGEXREPLACE(C21605,""-\d+(.*)|--\d+(.*)"","""")"),"PRECY-SUR-MARNE")</f>
        <v>PRECY-SUR-MARNE</v>
      </c>
      <c r="E21605" s="38" t="s">
        <v>244</v>
      </c>
      <c r="F21605" s="38" t="s">
        <v>245</v>
      </c>
      <c r="G21605" s="49" t="str">
        <f t="shared" si="1"/>
        <v>77410</v>
      </c>
      <c r="H21605" s="49">
        <f t="shared" si="2"/>
        <v>77376</v>
      </c>
    </row>
    <row r="21606">
      <c r="A21606" s="48" t="s">
        <v>2067</v>
      </c>
      <c r="B21606" s="38">
        <v>18126.0</v>
      </c>
      <c r="C21606" s="38" t="s">
        <v>26117</v>
      </c>
      <c r="D21606" s="38" t="str">
        <f>IFERROR(__xludf.DUMMYFUNCTION("REGEXREPLACE(C21606,""-\d+(.*)|--\d+(.*)"","""")"),"LEVET")</f>
        <v>LEVET</v>
      </c>
      <c r="E21606" s="38" t="s">
        <v>504</v>
      </c>
      <c r="F21606" s="38" t="s">
        <v>123</v>
      </c>
      <c r="G21606" s="49" t="str">
        <f t="shared" si="1"/>
        <v>18340</v>
      </c>
      <c r="H21606" s="49">
        <f t="shared" si="2"/>
        <v>18126</v>
      </c>
    </row>
    <row r="21607">
      <c r="A21607" s="48" t="s">
        <v>4566</v>
      </c>
      <c r="B21607" s="38">
        <v>24212.0</v>
      </c>
      <c r="C21607" s="38" t="s">
        <v>26118</v>
      </c>
      <c r="D21607" s="38" t="str">
        <f>IFERROR(__xludf.DUMMYFUNCTION("REGEXREPLACE(C21607,""-\d+(.*)|--\d+(.*)"","""")"),"ISSIGEAC")</f>
        <v>ISSIGEAC</v>
      </c>
      <c r="E21607" s="38" t="s">
        <v>261</v>
      </c>
      <c r="F21607" s="38" t="s">
        <v>252</v>
      </c>
      <c r="G21607" s="49" t="str">
        <f t="shared" si="1"/>
        <v>24560</v>
      </c>
      <c r="H21607" s="49">
        <f t="shared" si="2"/>
        <v>24212</v>
      </c>
    </row>
    <row r="21608">
      <c r="A21608" s="48" t="s">
        <v>493</v>
      </c>
      <c r="B21608" s="38">
        <v>28330.0</v>
      </c>
      <c r="C21608" s="38" t="s">
        <v>26119</v>
      </c>
      <c r="D21608" s="38" t="str">
        <f>IFERROR(__xludf.DUMMYFUNCTION("REGEXREPLACE(C21608,""-\d+(.*)|--\d+(.*)"","""")"),"SAINT-CLOUD-EN-DUNOIS")</f>
        <v>SAINT-CLOUD-EN-DUNOIS</v>
      </c>
      <c r="E21608" s="38" t="s">
        <v>300</v>
      </c>
      <c r="F21608" s="38" t="s">
        <v>123</v>
      </c>
      <c r="G21608" s="49" t="str">
        <f t="shared" si="1"/>
        <v>28200</v>
      </c>
      <c r="H21608" s="49">
        <f t="shared" si="2"/>
        <v>28330</v>
      </c>
    </row>
    <row r="21609">
      <c r="A21609" s="48" t="s">
        <v>3196</v>
      </c>
      <c r="B21609" s="38">
        <v>1309.0</v>
      </c>
      <c r="C21609" s="38" t="s">
        <v>26120</v>
      </c>
      <c r="D21609" s="38" t="str">
        <f>IFERROR(__xludf.DUMMYFUNCTION("REGEXREPLACE(C21609,""-\d+(.*)|--\d+(.*)"","""")"),"POUILLAT")</f>
        <v>POUILLAT</v>
      </c>
      <c r="E21609" s="38" t="s">
        <v>255</v>
      </c>
      <c r="F21609" s="38" t="s">
        <v>102</v>
      </c>
      <c r="G21609" s="49" t="str">
        <f t="shared" si="1"/>
        <v>01250</v>
      </c>
      <c r="H21609" s="49" t="str">
        <f t="shared" si="2"/>
        <v>01309</v>
      </c>
    </row>
    <row r="21610">
      <c r="A21610" s="48" t="s">
        <v>5761</v>
      </c>
      <c r="B21610" s="38">
        <v>17331.0</v>
      </c>
      <c r="C21610" s="38" t="s">
        <v>26121</v>
      </c>
      <c r="D21610" s="38" t="str">
        <f>IFERROR(__xludf.DUMMYFUNCTION("REGEXREPLACE(C21610,""-\d+(.*)|--\d+(.*)"","""")"),"SAINT-GENIS-DE-SAINTONGE")</f>
        <v>SAINT-GENIS-DE-SAINTONGE</v>
      </c>
      <c r="E21610" s="38" t="s">
        <v>488</v>
      </c>
      <c r="F21610" s="38" t="s">
        <v>338</v>
      </c>
      <c r="G21610" s="49" t="str">
        <f t="shared" si="1"/>
        <v>17240</v>
      </c>
      <c r="H21610" s="49">
        <f t="shared" si="2"/>
        <v>17331</v>
      </c>
    </row>
    <row r="21611">
      <c r="A21611" s="48" t="s">
        <v>9905</v>
      </c>
      <c r="B21611" s="38">
        <v>65229.0</v>
      </c>
      <c r="C21611" s="38" t="s">
        <v>26122</v>
      </c>
      <c r="D21611" s="38" t="str">
        <f>IFERROR(__xludf.DUMMYFUNCTION("REGEXREPLACE(C21611,""-\d+(.*)|--\d+(.*)"","""")"),"ILHEU")</f>
        <v>ILHEU</v>
      </c>
      <c r="E21611" s="38" t="s">
        <v>200</v>
      </c>
      <c r="F21611" s="38" t="s">
        <v>94</v>
      </c>
      <c r="G21611" s="49" t="str">
        <f t="shared" si="1"/>
        <v>65370</v>
      </c>
      <c r="H21611" s="49">
        <f t="shared" si="2"/>
        <v>65229</v>
      </c>
    </row>
    <row r="21612">
      <c r="A21612" s="48" t="s">
        <v>2162</v>
      </c>
      <c r="B21612" s="38">
        <v>26052.0</v>
      </c>
      <c r="C21612" s="38" t="s">
        <v>26123</v>
      </c>
      <c r="D21612" s="38" t="str">
        <f>IFERROR(__xludf.DUMMYFUNCTION("REGEXREPLACE(C21612,""-\d+(.*)|--\d+(.*)"","""")"),"BONLIEU-SUR-ROUBION")</f>
        <v>BONLIEU-SUR-ROUBION</v>
      </c>
      <c r="E21612" s="38" t="s">
        <v>126</v>
      </c>
      <c r="F21612" s="38" t="s">
        <v>102</v>
      </c>
      <c r="G21612" s="49" t="str">
        <f t="shared" si="1"/>
        <v>26160</v>
      </c>
      <c r="H21612" s="49">
        <f t="shared" si="2"/>
        <v>26052</v>
      </c>
    </row>
    <row r="21613">
      <c r="A21613" s="48" t="s">
        <v>5783</v>
      </c>
      <c r="B21613" s="38">
        <v>37150.0</v>
      </c>
      <c r="C21613" s="38" t="s">
        <v>26124</v>
      </c>
      <c r="D21613" s="38" t="str">
        <f>IFERROR(__xludf.DUMMYFUNCTION("REGEXREPLACE(C21613,""-\d+(.*)|--\d+(.*)"","""")"),"MAZIERES-DE-TOURAINE")</f>
        <v>MAZIERES-DE-TOURAINE</v>
      </c>
      <c r="E21613" s="38" t="s">
        <v>205</v>
      </c>
      <c r="F21613" s="38" t="s">
        <v>123</v>
      </c>
      <c r="G21613" s="49" t="str">
        <f t="shared" si="1"/>
        <v>37130</v>
      </c>
      <c r="H21613" s="49">
        <f t="shared" si="2"/>
        <v>37150</v>
      </c>
    </row>
    <row r="21614">
      <c r="A21614" s="48" t="s">
        <v>466</v>
      </c>
      <c r="B21614" s="38">
        <v>52212.0</v>
      </c>
      <c r="C21614" s="38" t="s">
        <v>26125</v>
      </c>
      <c r="D21614" s="38" t="str">
        <f>IFERROR(__xludf.DUMMYFUNCTION("REGEXREPLACE(C21614,""-\d+(.*)|--\d+(.*)"","""")"),"FRONVILLE")</f>
        <v>FRONVILLE</v>
      </c>
      <c r="E21614" s="38" t="s">
        <v>234</v>
      </c>
      <c r="F21614" s="38" t="s">
        <v>130</v>
      </c>
      <c r="G21614" s="49" t="str">
        <f t="shared" si="1"/>
        <v>52300</v>
      </c>
      <c r="H21614" s="49">
        <f t="shared" si="2"/>
        <v>52212</v>
      </c>
    </row>
    <row r="21615">
      <c r="A21615" s="48" t="s">
        <v>983</v>
      </c>
      <c r="B21615" s="38">
        <v>52222.0</v>
      </c>
      <c r="C21615" s="38" t="s">
        <v>26126</v>
      </c>
      <c r="D21615" s="38" t="str">
        <f>IFERROR(__xludf.DUMMYFUNCTION("REGEXREPLACE(C21615,""-\d+(.*)|--\d+(.*)"","""")"),"GILLAUME")</f>
        <v>GILLAUME</v>
      </c>
      <c r="E21615" s="38" t="s">
        <v>234</v>
      </c>
      <c r="F21615" s="38" t="s">
        <v>130</v>
      </c>
      <c r="G21615" s="49" t="str">
        <f t="shared" si="1"/>
        <v>52230</v>
      </c>
      <c r="H21615" s="49">
        <f t="shared" si="2"/>
        <v>52222</v>
      </c>
    </row>
    <row r="21616">
      <c r="A21616" s="48" t="s">
        <v>562</v>
      </c>
      <c r="B21616" s="38">
        <v>54102.0</v>
      </c>
      <c r="C21616" s="38" t="s">
        <v>26127</v>
      </c>
      <c r="D21616" s="38" t="str">
        <f>IFERROR(__xludf.DUMMYFUNCTION("REGEXREPLACE(C21616,""-\d+(.*)|--\d+(.*)"","""")"),"BRULEY")</f>
        <v>BRULEY</v>
      </c>
      <c r="E21616" s="38" t="s">
        <v>548</v>
      </c>
      <c r="F21616" s="38" t="s">
        <v>195</v>
      </c>
      <c r="G21616" s="49" t="str">
        <f t="shared" si="1"/>
        <v>54200</v>
      </c>
      <c r="H21616" s="49">
        <f t="shared" si="2"/>
        <v>54102</v>
      </c>
    </row>
    <row r="21617">
      <c r="A21617" s="48" t="s">
        <v>8032</v>
      </c>
      <c r="B21617" s="38">
        <v>46271.0</v>
      </c>
      <c r="C21617" s="38" t="s">
        <v>26128</v>
      </c>
      <c r="D21617" s="38" t="str">
        <f>IFERROR(__xludf.DUMMYFUNCTION("REGEXREPLACE(C21617,""-\d+(.*)|--\d+(.*)"","""")"),"SAINT-JEAN-LESPINASSE")</f>
        <v>SAINT-JEAN-LESPINASSE</v>
      </c>
      <c r="E21617" s="38" t="s">
        <v>185</v>
      </c>
      <c r="F21617" s="38" t="s">
        <v>94</v>
      </c>
      <c r="G21617" s="49" t="str">
        <f t="shared" si="1"/>
        <v>46400</v>
      </c>
      <c r="H21617" s="49">
        <f t="shared" si="2"/>
        <v>46271</v>
      </c>
    </row>
    <row r="21618">
      <c r="A21618" s="48" t="s">
        <v>3955</v>
      </c>
      <c r="B21618" s="38">
        <v>62891.0</v>
      </c>
      <c r="C21618" s="38" t="s">
        <v>26129</v>
      </c>
      <c r="D21618" s="38" t="str">
        <f>IFERROR(__xludf.DUMMYFUNCTION("REGEXREPLACE(C21618,""-\d+(.*)|--\d+(.*)"","""")"),"WILLENCOURT")</f>
        <v>WILLENCOURT</v>
      </c>
      <c r="E21618" s="38" t="s">
        <v>109</v>
      </c>
      <c r="F21618" s="38" t="s">
        <v>86</v>
      </c>
      <c r="G21618" s="49" t="str">
        <f t="shared" si="1"/>
        <v>62390</v>
      </c>
      <c r="H21618" s="49">
        <f t="shared" si="2"/>
        <v>62891</v>
      </c>
    </row>
    <row r="21619">
      <c r="A21619" s="48" t="s">
        <v>1368</v>
      </c>
      <c r="B21619" s="38">
        <v>8392.0</v>
      </c>
      <c r="C21619" s="38" t="s">
        <v>26130</v>
      </c>
      <c r="D21619" s="38" t="str">
        <f>IFERROR(__xludf.DUMMYFUNCTION("REGEXREPLACE(C21619,""-\d+(.*)|--\d+(.*)"","""")"),"SAINT-MOREL")</f>
        <v>SAINT-MOREL</v>
      </c>
      <c r="E21619" s="38" t="s">
        <v>327</v>
      </c>
      <c r="F21619" s="38" t="s">
        <v>130</v>
      </c>
      <c r="G21619" s="49" t="str">
        <f t="shared" si="1"/>
        <v>08400</v>
      </c>
      <c r="H21619" s="49" t="str">
        <f t="shared" si="2"/>
        <v>08392</v>
      </c>
    </row>
    <row r="21620">
      <c r="A21620" s="48" t="s">
        <v>19838</v>
      </c>
      <c r="B21620" s="38">
        <v>63163.0</v>
      </c>
      <c r="C21620" s="38" t="s">
        <v>26131</v>
      </c>
      <c r="D21620" s="38" t="str">
        <f>IFERROR(__xludf.DUMMYFUNCTION("REGEXREPLACE(C21620,""-\d+(.*)|--\d+(.*)"","""")"),"GELLES")</f>
        <v>GELLES</v>
      </c>
      <c r="E21620" s="38" t="s">
        <v>353</v>
      </c>
      <c r="F21620" s="38" t="s">
        <v>161</v>
      </c>
      <c r="G21620" s="49" t="str">
        <f t="shared" si="1"/>
        <v>63740</v>
      </c>
      <c r="H21620" s="49">
        <f t="shared" si="2"/>
        <v>63163</v>
      </c>
    </row>
    <row r="21621">
      <c r="A21621" s="48" t="s">
        <v>5142</v>
      </c>
      <c r="B21621" s="38">
        <v>58245.0</v>
      </c>
      <c r="C21621" s="38" t="s">
        <v>26132</v>
      </c>
      <c r="D21621" s="38" t="str">
        <f>IFERROR(__xludf.DUMMYFUNCTION("REGEXREPLACE(C21621,""-\d+(.*)|--\d+(.*)"","""")"),"SAINT-HILAIRE-FONTAINE")</f>
        <v>SAINT-HILAIRE-FONTAINE</v>
      </c>
      <c r="E21621" s="38" t="s">
        <v>219</v>
      </c>
      <c r="F21621" s="38" t="s">
        <v>106</v>
      </c>
      <c r="G21621" s="49" t="str">
        <f t="shared" si="1"/>
        <v>58300</v>
      </c>
      <c r="H21621" s="49">
        <f t="shared" si="2"/>
        <v>58245</v>
      </c>
    </row>
    <row r="21622">
      <c r="A21622" s="48" t="s">
        <v>2251</v>
      </c>
      <c r="B21622" s="38">
        <v>2417.0</v>
      </c>
      <c r="C21622" s="38" t="s">
        <v>26133</v>
      </c>
      <c r="D21622" s="38" t="str">
        <f>IFERROR(__xludf.DUMMYFUNCTION("REGEXREPLACE(C21622,""-\d+(.*)|--\d+(.*)"","""")"),"LEMPIRE")</f>
        <v>LEMPIRE</v>
      </c>
      <c r="E21622" s="38" t="s">
        <v>191</v>
      </c>
      <c r="F21622" s="38" t="s">
        <v>113</v>
      </c>
      <c r="G21622" s="49" t="str">
        <f t="shared" si="1"/>
        <v>02420</v>
      </c>
      <c r="H21622" s="49" t="str">
        <f t="shared" si="2"/>
        <v>02417</v>
      </c>
    </row>
    <row r="21623">
      <c r="A21623" s="48" t="s">
        <v>1153</v>
      </c>
      <c r="B21623" s="38">
        <v>73204.0</v>
      </c>
      <c r="C21623" s="38" t="s">
        <v>26134</v>
      </c>
      <c r="D21623" s="38" t="str">
        <f>IFERROR(__xludf.DUMMYFUNCTION("REGEXREPLACE(C21623,""-\d+(.*)|--\d+(.*)"","""")"),"LE PONT-DE-BEAUVOISIN")</f>
        <v>LE PONT-DE-BEAUVOISIN</v>
      </c>
      <c r="E21623" s="38" t="s">
        <v>306</v>
      </c>
      <c r="F21623" s="38" t="s">
        <v>102</v>
      </c>
      <c r="G21623" s="49" t="str">
        <f t="shared" si="1"/>
        <v>73330</v>
      </c>
      <c r="H21623" s="49">
        <f t="shared" si="2"/>
        <v>73204</v>
      </c>
    </row>
    <row r="21624">
      <c r="A21624" s="48" t="s">
        <v>18553</v>
      </c>
      <c r="B21624" s="38">
        <v>57476.0</v>
      </c>
      <c r="C21624" s="38" t="s">
        <v>26135</v>
      </c>
      <c r="D21624" s="38" t="str">
        <f>IFERROR(__xludf.DUMMYFUNCTION("REGEXREPLACE(C21624,""-\d+(.*)|--\d+(.*)"","""")"),"MONNEREN")</f>
        <v>MONNEREN</v>
      </c>
      <c r="E21624" s="38" t="s">
        <v>303</v>
      </c>
      <c r="F21624" s="38" t="s">
        <v>195</v>
      </c>
      <c r="G21624" s="49" t="str">
        <f t="shared" si="1"/>
        <v>57920</v>
      </c>
      <c r="H21624" s="49">
        <f t="shared" si="2"/>
        <v>57476</v>
      </c>
    </row>
    <row r="21625">
      <c r="A21625" s="48" t="s">
        <v>447</v>
      </c>
      <c r="B21625" s="38">
        <v>88439.0</v>
      </c>
      <c r="C21625" s="38" t="s">
        <v>26136</v>
      </c>
      <c r="D21625" s="38" t="str">
        <f>IFERROR(__xludf.DUMMYFUNCTION("REGEXREPLACE(C21625,""-\d+(.*)|--\d+(.*)"","""")"),"SANCHEY")</f>
        <v>SANCHEY</v>
      </c>
      <c r="E21625" s="38" t="s">
        <v>194</v>
      </c>
      <c r="F21625" s="38" t="s">
        <v>195</v>
      </c>
      <c r="G21625" s="49" t="str">
        <f t="shared" si="1"/>
        <v>88390</v>
      </c>
      <c r="H21625" s="49">
        <f t="shared" si="2"/>
        <v>88439</v>
      </c>
    </row>
    <row r="21626">
      <c r="A21626" s="48" t="s">
        <v>427</v>
      </c>
      <c r="B21626" s="38">
        <v>16316.0</v>
      </c>
      <c r="C21626" s="38" t="s">
        <v>26137</v>
      </c>
      <c r="D21626" s="38" t="str">
        <f>IFERROR(__xludf.DUMMYFUNCTION("REGEXREPLACE(C21626,""-\d+(.*)|--\d+(.*)"","""")"),"SAINT-FORT-SUR-LE-NE")</f>
        <v>SAINT-FORT-SUR-LE-NE</v>
      </c>
      <c r="E21626" s="38" t="s">
        <v>429</v>
      </c>
      <c r="F21626" s="38" t="s">
        <v>338</v>
      </c>
      <c r="G21626" s="49" t="str">
        <f t="shared" si="1"/>
        <v>16130</v>
      </c>
      <c r="H21626" s="49">
        <f t="shared" si="2"/>
        <v>16316</v>
      </c>
    </row>
    <row r="21627">
      <c r="A21627" s="48" t="s">
        <v>220</v>
      </c>
      <c r="B21627" s="38">
        <v>67448.0</v>
      </c>
      <c r="C21627" s="38" t="s">
        <v>26138</v>
      </c>
      <c r="D21627" s="38" t="str">
        <f>IFERROR(__xludf.DUMMYFUNCTION("REGEXREPLACE(C21627,""-\d+(.*)|--\d+(.*)"","""")"),"SCHIRMECK")</f>
        <v>SCHIRMECK</v>
      </c>
      <c r="E21627" s="38" t="s">
        <v>210</v>
      </c>
      <c r="F21627" s="38" t="s">
        <v>151</v>
      </c>
      <c r="G21627" s="49" t="str">
        <f t="shared" si="1"/>
        <v>67130</v>
      </c>
      <c r="H21627" s="49">
        <f t="shared" si="2"/>
        <v>67448</v>
      </c>
    </row>
    <row r="21628">
      <c r="A21628" s="48" t="s">
        <v>9569</v>
      </c>
      <c r="B21628" s="38">
        <v>62573.0</v>
      </c>
      <c r="C21628" s="38" t="s">
        <v>26139</v>
      </c>
      <c r="D21628" s="38" t="str">
        <f>IFERROR(__xludf.DUMMYFUNCTION("REGEXREPLACE(C21628,""-\d+(.*)|--\d+(.*)"","""")"),"MEURCHIN")</f>
        <v>MEURCHIN</v>
      </c>
      <c r="E21628" s="38" t="s">
        <v>109</v>
      </c>
      <c r="F21628" s="38" t="s">
        <v>86</v>
      </c>
      <c r="G21628" s="49" t="str">
        <f t="shared" si="1"/>
        <v>62410</v>
      </c>
      <c r="H21628" s="49">
        <f t="shared" si="2"/>
        <v>62573</v>
      </c>
    </row>
    <row r="21629">
      <c r="A21629" s="48" t="s">
        <v>3508</v>
      </c>
      <c r="B21629" s="38">
        <v>51158.0</v>
      </c>
      <c r="C21629" s="38" t="s">
        <v>26140</v>
      </c>
      <c r="D21629" s="38" t="str">
        <f>IFERROR(__xludf.DUMMYFUNCTION("REGEXREPLACE(C21629,""-\d+(.*)|--\d+(.*)"","""")"),"VAL-DES-MARAIS")</f>
        <v>VAL-DES-MARAIS</v>
      </c>
      <c r="E21629" s="38" t="s">
        <v>129</v>
      </c>
      <c r="F21629" s="38" t="s">
        <v>130</v>
      </c>
      <c r="G21629" s="49" t="str">
        <f t="shared" si="1"/>
        <v>51130</v>
      </c>
      <c r="H21629" s="49">
        <f t="shared" si="2"/>
        <v>51158</v>
      </c>
    </row>
    <row r="21630">
      <c r="A21630" s="48" t="s">
        <v>6566</v>
      </c>
      <c r="B21630" s="38">
        <v>49337.0</v>
      </c>
      <c r="C21630" s="38" t="s">
        <v>26141</v>
      </c>
      <c r="D21630" s="38" t="str">
        <f>IFERROR(__xludf.DUMMYFUNCTION("REGEXREPLACE(C21630,""-\d+(.*)|--\d+(.*)"","""")"),"SOUCELLES")</f>
        <v>SOUCELLES</v>
      </c>
      <c r="E21630" s="38" t="s">
        <v>653</v>
      </c>
      <c r="F21630" s="38" t="s">
        <v>180</v>
      </c>
      <c r="G21630" s="49" t="str">
        <f t="shared" si="1"/>
        <v>49140</v>
      </c>
      <c r="H21630" s="49">
        <f t="shared" si="2"/>
        <v>49337</v>
      </c>
    </row>
    <row r="21631">
      <c r="A21631" s="48" t="s">
        <v>3344</v>
      </c>
      <c r="B21631" s="38">
        <v>76342.0</v>
      </c>
      <c r="C21631" s="38" t="s">
        <v>26142</v>
      </c>
      <c r="D21631" s="38" t="str">
        <f>IFERROR(__xludf.DUMMYFUNCTION("REGEXREPLACE(C21631,""-\d+(.*)|--\d+(.*)"","""")"),"HATTENVILLE")</f>
        <v>HATTENVILLE</v>
      </c>
      <c r="E21631" s="38" t="s">
        <v>133</v>
      </c>
      <c r="F21631" s="38" t="s">
        <v>134</v>
      </c>
      <c r="G21631" s="49" t="str">
        <f t="shared" si="1"/>
        <v>76640</v>
      </c>
      <c r="H21631" s="49">
        <f t="shared" si="2"/>
        <v>76342</v>
      </c>
    </row>
    <row r="21632">
      <c r="A21632" s="48" t="s">
        <v>7020</v>
      </c>
      <c r="B21632" s="38">
        <v>2329.0</v>
      </c>
      <c r="C21632" s="38" t="s">
        <v>26143</v>
      </c>
      <c r="D21632" s="38" t="str">
        <f>IFERROR(__xludf.DUMMYFUNCTION("REGEXREPLACE(C21632,""-\d+(.*)|--\d+(.*)"","""")"),"FOURDRAIN")</f>
        <v>FOURDRAIN</v>
      </c>
      <c r="E21632" s="38" t="s">
        <v>191</v>
      </c>
      <c r="F21632" s="38" t="s">
        <v>113</v>
      </c>
      <c r="G21632" s="49" t="str">
        <f t="shared" si="1"/>
        <v>02870</v>
      </c>
      <c r="H21632" s="49" t="str">
        <f t="shared" si="2"/>
        <v>02329</v>
      </c>
    </row>
    <row r="21633">
      <c r="A21633" s="48" t="s">
        <v>4292</v>
      </c>
      <c r="B21633" s="38">
        <v>74178.0</v>
      </c>
      <c r="C21633" s="38" t="s">
        <v>26144</v>
      </c>
      <c r="D21633" s="38" t="str">
        <f>IFERROR(__xludf.DUMMYFUNCTION("REGEXREPLACE(C21633,""-\d+(.*)|--\d+(.*)"","""")"),"MENTHONNEX-SOUS-CLERMONT")</f>
        <v>MENTHONNEX-SOUS-CLERMONT</v>
      </c>
      <c r="E21633" s="38" t="s">
        <v>319</v>
      </c>
      <c r="F21633" s="38" t="s">
        <v>102</v>
      </c>
      <c r="G21633" s="49" t="str">
        <f t="shared" si="1"/>
        <v>74270</v>
      </c>
      <c r="H21633" s="49">
        <f t="shared" si="2"/>
        <v>74178</v>
      </c>
    </row>
    <row r="21634">
      <c r="A21634" s="48" t="s">
        <v>8979</v>
      </c>
      <c r="B21634" s="38">
        <v>17315.0</v>
      </c>
      <c r="C21634" s="38" t="s">
        <v>6001</v>
      </c>
      <c r="D21634" s="38" t="str">
        <f>IFERROR(__xludf.DUMMYFUNCTION("REGEXREPLACE(C21634,""-\d+(.*)|--\d+(.*)"","""")"),"SAINT-CHRISTOPHE")</f>
        <v>SAINT-CHRISTOPHE</v>
      </c>
      <c r="E21634" s="38" t="s">
        <v>488</v>
      </c>
      <c r="F21634" s="38" t="s">
        <v>338</v>
      </c>
      <c r="G21634" s="49" t="str">
        <f t="shared" si="1"/>
        <v>17220</v>
      </c>
      <c r="H21634" s="49">
        <f t="shared" si="2"/>
        <v>17315</v>
      </c>
    </row>
    <row r="21635">
      <c r="A21635" s="48" t="s">
        <v>6323</v>
      </c>
      <c r="B21635" s="38">
        <v>50272.0</v>
      </c>
      <c r="C21635" s="38" t="s">
        <v>26145</v>
      </c>
      <c r="D21635" s="38" t="str">
        <f>IFERROR(__xludf.DUMMYFUNCTION("REGEXREPLACE(C21635,""-\d+(.*)|--\d+(.*)"","""")"),"LINGREVILLE")</f>
        <v>LINGREVILLE</v>
      </c>
      <c r="E21635" s="38" t="s">
        <v>157</v>
      </c>
      <c r="F21635" s="38" t="s">
        <v>138</v>
      </c>
      <c r="G21635" s="49" t="str">
        <f t="shared" si="1"/>
        <v>50660</v>
      </c>
      <c r="H21635" s="49">
        <f t="shared" si="2"/>
        <v>50272</v>
      </c>
    </row>
    <row r="21636">
      <c r="A21636" s="48" t="s">
        <v>2162</v>
      </c>
      <c r="B21636" s="38">
        <v>26171.0</v>
      </c>
      <c r="C21636" s="38" t="s">
        <v>26146</v>
      </c>
      <c r="D21636" s="38" t="str">
        <f>IFERROR(__xludf.DUMMYFUNCTION("REGEXREPLACE(C21636,""-\d+(.*)|--\d+(.*)"","""")"),"MANAS")</f>
        <v>MANAS</v>
      </c>
      <c r="E21636" s="38" t="s">
        <v>126</v>
      </c>
      <c r="F21636" s="38" t="s">
        <v>102</v>
      </c>
      <c r="G21636" s="49" t="str">
        <f t="shared" si="1"/>
        <v>26160</v>
      </c>
      <c r="H21636" s="49">
        <f t="shared" si="2"/>
        <v>26171</v>
      </c>
    </row>
    <row r="21637">
      <c r="A21637" s="48" t="s">
        <v>3031</v>
      </c>
      <c r="B21637" s="38">
        <v>21602.0</v>
      </c>
      <c r="C21637" s="38" t="s">
        <v>26147</v>
      </c>
      <c r="D21637" s="38" t="str">
        <f>IFERROR(__xludf.DUMMYFUNCTION("REGEXREPLACE(C21637,""-\d+(.*)|--\d+(.*)"","""")"),"SEMOND")</f>
        <v>SEMOND</v>
      </c>
      <c r="E21637" s="38" t="s">
        <v>105</v>
      </c>
      <c r="F21637" s="38" t="s">
        <v>106</v>
      </c>
      <c r="G21637" s="49" t="str">
        <f t="shared" si="1"/>
        <v>21450</v>
      </c>
      <c r="H21637" s="49">
        <f t="shared" si="2"/>
        <v>21602</v>
      </c>
    </row>
    <row r="21638">
      <c r="A21638" s="48" t="s">
        <v>1693</v>
      </c>
      <c r="B21638" s="38">
        <v>24305.0</v>
      </c>
      <c r="C21638" s="38" t="s">
        <v>26148</v>
      </c>
      <c r="D21638" s="38" t="str">
        <f>IFERROR(__xludf.DUMMYFUNCTION("REGEXREPLACE(C21638,""-\d+(.*)|--\d+(.*)"","""")"),"NANTHIAT")</f>
        <v>NANTHIAT</v>
      </c>
      <c r="E21638" s="38" t="s">
        <v>261</v>
      </c>
      <c r="F21638" s="38" t="s">
        <v>252</v>
      </c>
      <c r="G21638" s="49" t="str">
        <f t="shared" si="1"/>
        <v>24800</v>
      </c>
      <c r="H21638" s="49">
        <f t="shared" si="2"/>
        <v>24305</v>
      </c>
    </row>
    <row r="21639">
      <c r="A21639" s="48" t="s">
        <v>266</v>
      </c>
      <c r="B21639" s="38">
        <v>64394.0</v>
      </c>
      <c r="C21639" s="38" t="s">
        <v>26149</v>
      </c>
      <c r="D21639" s="38" t="str">
        <f>IFERROR(__xludf.DUMMYFUNCTION("REGEXREPLACE(C21639,""-\d+(.*)|--\d+(.*)"","""")"),"MONPEZAT")</f>
        <v>MONPEZAT</v>
      </c>
      <c r="E21639" s="38" t="s">
        <v>268</v>
      </c>
      <c r="F21639" s="38" t="s">
        <v>252</v>
      </c>
      <c r="G21639" s="49" t="str">
        <f t="shared" si="1"/>
        <v>64350</v>
      </c>
      <c r="H21639" s="49">
        <f t="shared" si="2"/>
        <v>64394</v>
      </c>
    </row>
    <row r="21640">
      <c r="A21640" s="48" t="s">
        <v>1932</v>
      </c>
      <c r="B21640" s="38">
        <v>70259.0</v>
      </c>
      <c r="C21640" s="38" t="s">
        <v>26150</v>
      </c>
      <c r="D21640" s="38" t="str">
        <f>IFERROR(__xludf.DUMMYFUNCTION("REGEXREPLACE(C21640,""-\d+(.*)|--\d+(.*)"","""")"),"FROIDETERRE")</f>
        <v>FROIDETERRE</v>
      </c>
      <c r="E21640" s="38" t="s">
        <v>956</v>
      </c>
      <c r="F21640" s="38" t="s">
        <v>214</v>
      </c>
      <c r="G21640" s="49" t="str">
        <f t="shared" si="1"/>
        <v>70200</v>
      </c>
      <c r="H21640" s="49">
        <f t="shared" si="2"/>
        <v>70259</v>
      </c>
    </row>
    <row r="21641">
      <c r="A21641" s="48" t="s">
        <v>4328</v>
      </c>
      <c r="B21641" s="38">
        <v>70521.0</v>
      </c>
      <c r="C21641" s="38" t="s">
        <v>26151</v>
      </c>
      <c r="D21641" s="38" t="str">
        <f>IFERROR(__xludf.DUMMYFUNCTION("REGEXREPLACE(C21641,""-\d+(.*)|--\d+(.*)"","""")"),"VANTOUX-ET-LONGEVELLE")</f>
        <v>VANTOUX-ET-LONGEVELLE</v>
      </c>
      <c r="E21641" s="38" t="s">
        <v>956</v>
      </c>
      <c r="F21641" s="38" t="s">
        <v>214</v>
      </c>
      <c r="G21641" s="49" t="str">
        <f t="shared" si="1"/>
        <v>70700</v>
      </c>
      <c r="H21641" s="49">
        <f t="shared" si="2"/>
        <v>70521</v>
      </c>
    </row>
    <row r="21642">
      <c r="A21642" s="48" t="s">
        <v>3260</v>
      </c>
      <c r="B21642" s="38">
        <v>3284.0</v>
      </c>
      <c r="C21642" s="38" t="s">
        <v>26152</v>
      </c>
      <c r="D21642" s="38" t="str">
        <f>IFERROR(__xludf.DUMMYFUNCTION("REGEXREPLACE(C21642,""-\d+(.*)|--\d+(.*)"","""")"),"THIONNE")</f>
        <v>THIONNE</v>
      </c>
      <c r="E21642" s="38" t="s">
        <v>160</v>
      </c>
      <c r="F21642" s="38" t="s">
        <v>161</v>
      </c>
      <c r="G21642" s="49" t="str">
        <f t="shared" si="1"/>
        <v>03220</v>
      </c>
      <c r="H21642" s="49" t="str">
        <f t="shared" si="2"/>
        <v>03284</v>
      </c>
    </row>
    <row r="21643">
      <c r="A21643" s="48" t="s">
        <v>4941</v>
      </c>
      <c r="B21643" s="38">
        <v>89317.0</v>
      </c>
      <c r="C21643" s="38" t="s">
        <v>26153</v>
      </c>
      <c r="D21643" s="38" t="str">
        <f>IFERROR(__xludf.DUMMYFUNCTION("REGEXREPLACE(C21643,""-\d+(.*)|--\d+(.*)"","""")"),"PRUNOY")</f>
        <v>PRUNOY</v>
      </c>
      <c r="E21643" s="38" t="s">
        <v>275</v>
      </c>
      <c r="F21643" s="38" t="s">
        <v>106</v>
      </c>
      <c r="G21643" s="49" t="str">
        <f t="shared" si="1"/>
        <v>89120</v>
      </c>
      <c r="H21643" s="49">
        <f t="shared" si="2"/>
        <v>89317</v>
      </c>
    </row>
    <row r="21644">
      <c r="A21644" s="48" t="s">
        <v>6129</v>
      </c>
      <c r="B21644" s="38">
        <v>67254.0</v>
      </c>
      <c r="C21644" s="38" t="s">
        <v>26154</v>
      </c>
      <c r="D21644" s="38" t="str">
        <f>IFERROR(__xludf.DUMMYFUNCTION("REGEXREPLACE(C21644,""-\d+(.*)|--\d+(.*)"","""")"),"KUTZENHAUSEN")</f>
        <v>KUTZENHAUSEN</v>
      </c>
      <c r="E21644" s="38" t="s">
        <v>210</v>
      </c>
      <c r="F21644" s="38" t="s">
        <v>151</v>
      </c>
      <c r="G21644" s="49" t="str">
        <f t="shared" si="1"/>
        <v>67250</v>
      </c>
      <c r="H21644" s="49">
        <f t="shared" si="2"/>
        <v>67254</v>
      </c>
    </row>
    <row r="21645">
      <c r="A21645" s="48" t="s">
        <v>2266</v>
      </c>
      <c r="B21645" s="38">
        <v>55317.0</v>
      </c>
      <c r="C21645" s="38" t="s">
        <v>26155</v>
      </c>
      <c r="D21645" s="38" t="str">
        <f>IFERROR(__xludf.DUMMYFUNCTION("REGEXREPLACE(C21645,""-\d+(.*)|--\d+(.*)"","""")"),"MANHEULLES")</f>
        <v>MANHEULLES</v>
      </c>
      <c r="E21645" s="38" t="s">
        <v>322</v>
      </c>
      <c r="F21645" s="38" t="s">
        <v>195</v>
      </c>
      <c r="G21645" s="49" t="str">
        <f t="shared" si="1"/>
        <v>55160</v>
      </c>
      <c r="H21645" s="49">
        <f t="shared" si="2"/>
        <v>55317</v>
      </c>
    </row>
    <row r="21646">
      <c r="A21646" s="48" t="s">
        <v>7435</v>
      </c>
      <c r="B21646" s="38">
        <v>52276.0</v>
      </c>
      <c r="C21646" s="38" t="s">
        <v>26156</v>
      </c>
      <c r="D21646" s="38" t="str">
        <f>IFERROR(__xludf.DUMMYFUNCTION("REGEXREPLACE(C21646,""-\d+(.*)|--\d+(.*)"","""")"),"LAVILLE-AUX-BOIS")</f>
        <v>LAVILLE-AUX-BOIS</v>
      </c>
      <c r="E21646" s="38" t="s">
        <v>234</v>
      </c>
      <c r="F21646" s="38" t="s">
        <v>130</v>
      </c>
      <c r="G21646" s="49" t="str">
        <f t="shared" si="1"/>
        <v>52000</v>
      </c>
      <c r="H21646" s="49">
        <f t="shared" si="2"/>
        <v>52276</v>
      </c>
    </row>
    <row r="21647">
      <c r="A21647" s="48" t="s">
        <v>3198</v>
      </c>
      <c r="B21647" s="38">
        <v>32352.0</v>
      </c>
      <c r="C21647" s="38" t="s">
        <v>26157</v>
      </c>
      <c r="D21647" s="38" t="str">
        <f>IFERROR(__xludf.DUMMYFUNCTION("REGEXREPLACE(C21647,""-\d+(.*)|--\d+(.*)"","""")"),"ROZES")</f>
        <v>ROZES</v>
      </c>
      <c r="E21647" s="38" t="s">
        <v>440</v>
      </c>
      <c r="F21647" s="38" t="s">
        <v>94</v>
      </c>
      <c r="G21647" s="49" t="str">
        <f t="shared" si="1"/>
        <v>32190</v>
      </c>
      <c r="H21647" s="49">
        <f t="shared" si="2"/>
        <v>32352</v>
      </c>
    </row>
    <row r="21648">
      <c r="A21648" s="48" t="s">
        <v>10141</v>
      </c>
      <c r="B21648" s="38">
        <v>31205.0</v>
      </c>
      <c r="C21648" s="38" t="s">
        <v>26158</v>
      </c>
      <c r="D21648" s="38" t="str">
        <f>IFERROR(__xludf.DUMMYFUNCTION("REGEXREPLACE(C21648,""-\d+(.*)|--\d+(.*)"","""")"),"GAGNAC-SUR-GARONNE")</f>
        <v>GAGNAC-SUR-GARONNE</v>
      </c>
      <c r="E21648" s="38" t="s">
        <v>93</v>
      </c>
      <c r="F21648" s="38" t="s">
        <v>94</v>
      </c>
      <c r="G21648" s="49" t="str">
        <f t="shared" si="1"/>
        <v>31150</v>
      </c>
      <c r="H21648" s="49">
        <f t="shared" si="2"/>
        <v>31205</v>
      </c>
    </row>
    <row r="21649">
      <c r="A21649" s="48" t="s">
        <v>13255</v>
      </c>
      <c r="B21649" s="38">
        <v>35356.0</v>
      </c>
      <c r="C21649" s="38" t="s">
        <v>26159</v>
      </c>
      <c r="D21649" s="38" t="str">
        <f>IFERROR(__xludf.DUMMYFUNCTION("REGEXREPLACE(C21649,""-\d+(.*)|--\d+(.*)"","""")"),"VIGNOC")</f>
        <v>VIGNOC</v>
      </c>
      <c r="E21649" s="38" t="s">
        <v>347</v>
      </c>
      <c r="F21649" s="38" t="s">
        <v>90</v>
      </c>
      <c r="G21649" s="49" t="str">
        <f t="shared" si="1"/>
        <v>35630</v>
      </c>
      <c r="H21649" s="49">
        <f t="shared" si="2"/>
        <v>35356</v>
      </c>
    </row>
    <row r="21650">
      <c r="A21650" s="48" t="s">
        <v>2259</v>
      </c>
      <c r="B21650" s="38">
        <v>22277.0</v>
      </c>
      <c r="C21650" s="38" t="s">
        <v>26160</v>
      </c>
      <c r="D21650" s="38" t="str">
        <f>IFERROR(__xludf.DUMMYFUNCTION("REGEXREPLACE(C21650,""-\d+(.*)|--\d+(.*)"","""")"),"SAINT-BRANDAN")</f>
        <v>SAINT-BRANDAN</v>
      </c>
      <c r="E21650" s="38" t="s">
        <v>89</v>
      </c>
      <c r="F21650" s="38" t="s">
        <v>90</v>
      </c>
      <c r="G21650" s="49" t="str">
        <f t="shared" si="1"/>
        <v>22800</v>
      </c>
      <c r="H21650" s="49">
        <f t="shared" si="2"/>
        <v>22277</v>
      </c>
    </row>
    <row r="21651">
      <c r="A21651" s="48" t="s">
        <v>588</v>
      </c>
      <c r="B21651" s="38">
        <v>14527.0</v>
      </c>
      <c r="C21651" s="38" t="s">
        <v>26161</v>
      </c>
      <c r="D21651" s="38" t="str">
        <f>IFERROR(__xludf.DUMMYFUNCTION("REGEXREPLACE(C21651,""-\d+(.*)|--\d+(.*)"","""")"),"BIEVILLE-QUETIEVILLE")</f>
        <v>BIEVILLE-QUETIEVILLE</v>
      </c>
      <c r="E21651" s="38" t="s">
        <v>137</v>
      </c>
      <c r="F21651" s="38" t="s">
        <v>138</v>
      </c>
      <c r="G21651" s="49" t="str">
        <f t="shared" si="1"/>
        <v>14270</v>
      </c>
      <c r="H21651" s="49">
        <f t="shared" si="2"/>
        <v>14527</v>
      </c>
    </row>
    <row r="21652">
      <c r="A21652" s="48" t="s">
        <v>1016</v>
      </c>
      <c r="B21652" s="38">
        <v>28350.0</v>
      </c>
      <c r="C21652" s="38" t="s">
        <v>26162</v>
      </c>
      <c r="D21652" s="38" t="str">
        <f>IFERROR(__xludf.DUMMYFUNCTION("REGEXREPLACE(C21652,""-\d+(.*)|--\d+(.*)"","""")"),"SAINT-LUPERCE")</f>
        <v>SAINT-LUPERCE</v>
      </c>
      <c r="E21652" s="38" t="s">
        <v>300</v>
      </c>
      <c r="F21652" s="38" t="s">
        <v>123</v>
      </c>
      <c r="G21652" s="49" t="str">
        <f t="shared" si="1"/>
        <v>28190</v>
      </c>
      <c r="H21652" s="49">
        <f t="shared" si="2"/>
        <v>28350</v>
      </c>
    </row>
    <row r="21653">
      <c r="A21653" s="48" t="s">
        <v>1172</v>
      </c>
      <c r="B21653" s="38">
        <v>76657.0</v>
      </c>
      <c r="C21653" s="38" t="s">
        <v>26163</v>
      </c>
      <c r="D21653" s="38" t="str">
        <f>IFERROR(__xludf.DUMMYFUNCTION("REGEXREPLACE(C21653,""-\d+(.*)|--\d+(.*)"","""")"),"SAINT-VIGOR-D'YMONVILLE")</f>
        <v>SAINT-VIGOR-D'YMONVILLE</v>
      </c>
      <c r="E21653" s="38" t="s">
        <v>133</v>
      </c>
      <c r="F21653" s="38" t="s">
        <v>134</v>
      </c>
      <c r="G21653" s="49" t="str">
        <f t="shared" si="1"/>
        <v>76430</v>
      </c>
      <c r="H21653" s="49">
        <f t="shared" si="2"/>
        <v>76657</v>
      </c>
    </row>
    <row r="21654">
      <c r="A21654" s="48" t="s">
        <v>26164</v>
      </c>
      <c r="B21654" s="38">
        <v>59377.0</v>
      </c>
      <c r="C21654" s="38" t="s">
        <v>26165</v>
      </c>
      <c r="D21654" s="38" t="str">
        <f>IFERROR(__xludf.DUMMYFUNCTION("REGEXREPLACE(C21654,""-\d+(.*)|--\d+(.*)"","""")"),"MARCOING")</f>
        <v>MARCOING</v>
      </c>
      <c r="E21654" s="38" t="s">
        <v>85</v>
      </c>
      <c r="F21654" s="38" t="s">
        <v>86</v>
      </c>
      <c r="G21654" s="49" t="str">
        <f t="shared" si="1"/>
        <v>59159</v>
      </c>
      <c r="H21654" s="49">
        <f t="shared" si="2"/>
        <v>59377</v>
      </c>
    </row>
    <row r="21655">
      <c r="A21655" s="48" t="s">
        <v>1827</v>
      </c>
      <c r="B21655" s="38">
        <v>77250.0</v>
      </c>
      <c r="C21655" s="38" t="s">
        <v>26166</v>
      </c>
      <c r="D21655" s="38" t="str">
        <f>IFERROR(__xludf.DUMMYFUNCTION("REGEXREPLACE(C21655,""-\d+(.*)|--\d+(.*)"","""")"),"LEUDON-EN-BRIE")</f>
        <v>LEUDON-EN-BRIE</v>
      </c>
      <c r="E21655" s="38" t="s">
        <v>244</v>
      </c>
      <c r="F21655" s="38" t="s">
        <v>245</v>
      </c>
      <c r="G21655" s="49" t="str">
        <f t="shared" si="1"/>
        <v>77320</v>
      </c>
      <c r="H21655" s="49">
        <f t="shared" si="2"/>
        <v>77250</v>
      </c>
    </row>
    <row r="21656">
      <c r="A21656" s="48" t="s">
        <v>17399</v>
      </c>
      <c r="B21656" s="38">
        <v>41212.0</v>
      </c>
      <c r="C21656" s="38" t="s">
        <v>26167</v>
      </c>
      <c r="D21656" s="38" t="str">
        <f>IFERROR(__xludf.DUMMYFUNCTION("REGEXREPLACE(C21656,""-\d+(.*)|--\d+(.*)"","""")"),"SAINT-GERVAIS-LA-FORET")</f>
        <v>SAINT-GERVAIS-LA-FORET</v>
      </c>
      <c r="E21656" s="38" t="s">
        <v>188</v>
      </c>
      <c r="F21656" s="38" t="s">
        <v>123</v>
      </c>
      <c r="G21656" s="49" t="str">
        <f t="shared" si="1"/>
        <v>41350</v>
      </c>
      <c r="H21656" s="49">
        <f t="shared" si="2"/>
        <v>41212</v>
      </c>
    </row>
    <row r="21657">
      <c r="A21657" s="48" t="s">
        <v>26168</v>
      </c>
      <c r="B21657" s="38">
        <v>12074.0</v>
      </c>
      <c r="C21657" s="38" t="s">
        <v>26169</v>
      </c>
      <c r="D21657" s="38" t="str">
        <f>IFERROR(__xludf.DUMMYFUNCTION("REGEXREPLACE(C21657,""-\d+(.*)|--\d+(.*)"","""")"),"CONDOM-D'AUBRAC")</f>
        <v>CONDOM-D'AUBRAC</v>
      </c>
      <c r="E21657" s="38" t="s">
        <v>465</v>
      </c>
      <c r="F21657" s="38" t="s">
        <v>94</v>
      </c>
      <c r="G21657" s="49" t="str">
        <f t="shared" si="1"/>
        <v>12470</v>
      </c>
      <c r="H21657" s="49">
        <f t="shared" si="2"/>
        <v>12074</v>
      </c>
    </row>
    <row r="21658">
      <c r="A21658" s="48" t="s">
        <v>26170</v>
      </c>
      <c r="B21658" s="38">
        <v>90042.0</v>
      </c>
      <c r="C21658" s="38" t="s">
        <v>26171</v>
      </c>
      <c r="D21658" s="38" t="str">
        <f>IFERROR(__xludf.DUMMYFUNCTION("REGEXREPLACE(C21658,""-\d+(.*)|--\d+(.*)"","""")"),"EVETTE-SALBERT")</f>
        <v>EVETTE-SALBERT</v>
      </c>
      <c r="E21658" s="38" t="s">
        <v>1283</v>
      </c>
      <c r="F21658" s="38" t="s">
        <v>214</v>
      </c>
      <c r="G21658" s="49" t="str">
        <f t="shared" si="1"/>
        <v>90350</v>
      </c>
      <c r="H21658" s="49">
        <f t="shared" si="2"/>
        <v>90042</v>
      </c>
    </row>
    <row r="21659">
      <c r="A21659" s="48" t="s">
        <v>9791</v>
      </c>
      <c r="B21659" s="38">
        <v>37233.0</v>
      </c>
      <c r="C21659" s="38" t="s">
        <v>26172</v>
      </c>
      <c r="D21659" s="38" t="str">
        <f>IFERROR(__xludf.DUMMYFUNCTION("REGEXREPLACE(C21659,""-\d+(.*)|--\d+(.*)"","""")"),"SAINT-PIERRE-DES-CORPS")</f>
        <v>SAINT-PIERRE-DES-CORPS</v>
      </c>
      <c r="E21659" s="38" t="s">
        <v>205</v>
      </c>
      <c r="F21659" s="38" t="s">
        <v>123</v>
      </c>
      <c r="G21659" s="49" t="str">
        <f t="shared" si="1"/>
        <v>37700</v>
      </c>
      <c r="H21659" s="49">
        <f t="shared" si="2"/>
        <v>37233</v>
      </c>
    </row>
    <row r="21660">
      <c r="A21660" s="48" t="s">
        <v>2106</v>
      </c>
      <c r="B21660" s="38">
        <v>18265.0</v>
      </c>
      <c r="C21660" s="38" t="s">
        <v>26173</v>
      </c>
      <c r="D21660" s="38" t="str">
        <f>IFERROR(__xludf.DUMMYFUNCTION("REGEXREPLACE(C21660,""-\d+(.*)|--\d+(.*)"","""")"),"TORTERON")</f>
        <v>TORTERON</v>
      </c>
      <c r="E21660" s="38" t="s">
        <v>504</v>
      </c>
      <c r="F21660" s="38" t="s">
        <v>123</v>
      </c>
      <c r="G21660" s="49" t="str">
        <f t="shared" si="1"/>
        <v>18320</v>
      </c>
      <c r="H21660" s="49">
        <f t="shared" si="2"/>
        <v>18265</v>
      </c>
    </row>
    <row r="21661">
      <c r="A21661" s="48" t="s">
        <v>1004</v>
      </c>
      <c r="B21661" s="38">
        <v>71248.0</v>
      </c>
      <c r="C21661" s="38" t="s">
        <v>26174</v>
      </c>
      <c r="D21661" s="38" t="str">
        <f>IFERROR(__xludf.DUMMYFUNCTION("REGEXREPLACE(C21661,""-\d+(.*)|--\d+(.*)"","""")"),"LACROST")</f>
        <v>LACROST</v>
      </c>
      <c r="E21661" s="38" t="s">
        <v>344</v>
      </c>
      <c r="F21661" s="38" t="s">
        <v>106</v>
      </c>
      <c r="G21661" s="49" t="str">
        <f t="shared" si="1"/>
        <v>71700</v>
      </c>
      <c r="H21661" s="49">
        <f t="shared" si="2"/>
        <v>71248</v>
      </c>
    </row>
    <row r="21662">
      <c r="A21662" s="48" t="s">
        <v>7129</v>
      </c>
      <c r="B21662" s="38">
        <v>15268.0</v>
      </c>
      <c r="C21662" s="38" t="s">
        <v>26175</v>
      </c>
      <c r="D21662" s="38" t="str">
        <f>IFERROR(__xludf.DUMMYFUNCTION("REGEXREPLACE(C21662,""-\d+(.*)|--\d+(.*)"","""")"),"LE ROUGET")</f>
        <v>LE ROUGET</v>
      </c>
      <c r="E21662" s="38" t="s">
        <v>632</v>
      </c>
      <c r="F21662" s="38" t="s">
        <v>161</v>
      </c>
      <c r="G21662" s="49" t="str">
        <f t="shared" si="1"/>
        <v>15290</v>
      </c>
      <c r="H21662" s="49">
        <f t="shared" si="2"/>
        <v>15268</v>
      </c>
    </row>
    <row r="21663">
      <c r="A21663" s="48" t="s">
        <v>8845</v>
      </c>
      <c r="B21663" s="38">
        <v>8044.0</v>
      </c>
      <c r="C21663" s="38" t="s">
        <v>26176</v>
      </c>
      <c r="D21663" s="38" t="str">
        <f>IFERROR(__xludf.DUMMYFUNCTION("REGEXREPLACE(C21663,""-\d+(.*)|--\d+(.*)"","""")"),"BALHAM")</f>
        <v>BALHAM</v>
      </c>
      <c r="E21663" s="38" t="s">
        <v>327</v>
      </c>
      <c r="F21663" s="38" t="s">
        <v>130</v>
      </c>
      <c r="G21663" s="49" t="str">
        <f t="shared" si="1"/>
        <v>08190</v>
      </c>
      <c r="H21663" s="49" t="str">
        <f t="shared" si="2"/>
        <v>08044</v>
      </c>
    </row>
    <row r="21664">
      <c r="A21664" s="48" t="s">
        <v>781</v>
      </c>
      <c r="B21664" s="38">
        <v>65011.0</v>
      </c>
      <c r="C21664" s="38" t="s">
        <v>26177</v>
      </c>
      <c r="D21664" s="38" t="str">
        <f>IFERROR(__xludf.DUMMYFUNCTION("REGEXREPLACE(C21664,""-\d+(.*)|--\d+(.*)"","""")"),"LES ANGLES")</f>
        <v>LES ANGLES</v>
      </c>
      <c r="E21664" s="38" t="s">
        <v>200</v>
      </c>
      <c r="F21664" s="38" t="s">
        <v>94</v>
      </c>
      <c r="G21664" s="49" t="str">
        <f t="shared" si="1"/>
        <v>65100</v>
      </c>
      <c r="H21664" s="49">
        <f t="shared" si="2"/>
        <v>65011</v>
      </c>
    </row>
    <row r="21665">
      <c r="A21665" s="48" t="s">
        <v>307</v>
      </c>
      <c r="B21665" s="38">
        <v>88290.0</v>
      </c>
      <c r="C21665" s="38" t="s">
        <v>26178</v>
      </c>
      <c r="D21665" s="38" t="str">
        <f>IFERROR(__xludf.DUMMYFUNCTION("REGEXREPLACE(C21665,""-\d+(.*)|--\d+(.*)"","""")"),"MARTIGNY-LES-GERBONVAUX")</f>
        <v>MARTIGNY-LES-GERBONVAUX</v>
      </c>
      <c r="E21665" s="38" t="s">
        <v>194</v>
      </c>
      <c r="F21665" s="38" t="s">
        <v>195</v>
      </c>
      <c r="G21665" s="49" t="str">
        <f t="shared" si="1"/>
        <v>88300</v>
      </c>
      <c r="H21665" s="49">
        <f t="shared" si="2"/>
        <v>88290</v>
      </c>
    </row>
    <row r="21666">
      <c r="A21666" s="48" t="s">
        <v>16561</v>
      </c>
      <c r="B21666" s="38">
        <v>27566.0</v>
      </c>
      <c r="C21666" s="38" t="s">
        <v>26179</v>
      </c>
      <c r="D21666" s="38" t="str">
        <f>IFERROR(__xludf.DUMMYFUNCTION("REGEXREPLACE(C21666,""-\d+(.*)|--\d+(.*)"","""")"),"SAINTE-MARGUERITE-EN-OUCHE")</f>
        <v>SAINTE-MARGUERITE-EN-OUCHE</v>
      </c>
      <c r="E21666" s="38" t="s">
        <v>241</v>
      </c>
      <c r="F21666" s="38" t="s">
        <v>134</v>
      </c>
      <c r="G21666" s="49" t="str">
        <f t="shared" si="1"/>
        <v>27410</v>
      </c>
      <c r="H21666" s="49">
        <f t="shared" si="2"/>
        <v>27566</v>
      </c>
    </row>
    <row r="21667">
      <c r="A21667" s="48" t="s">
        <v>19577</v>
      </c>
      <c r="B21667" s="38">
        <v>12247.0</v>
      </c>
      <c r="C21667" s="38" t="s">
        <v>26180</v>
      </c>
      <c r="D21667" s="38" t="str">
        <f>IFERROR(__xludf.DUMMYFUNCTION("REGEXREPLACE(C21667,""-\d+(.*)|--\d+(.*)"","""")"),"SAINT-SATURNIN-DE-LENNE")</f>
        <v>SAINT-SATURNIN-DE-LENNE</v>
      </c>
      <c r="E21667" s="38" t="s">
        <v>465</v>
      </c>
      <c r="F21667" s="38" t="s">
        <v>94</v>
      </c>
      <c r="G21667" s="49" t="str">
        <f t="shared" si="1"/>
        <v>12560</v>
      </c>
      <c r="H21667" s="49">
        <f t="shared" si="2"/>
        <v>12247</v>
      </c>
    </row>
    <row r="21668">
      <c r="A21668" s="48" t="s">
        <v>4715</v>
      </c>
      <c r="B21668" s="38">
        <v>74034.0</v>
      </c>
      <c r="C21668" s="38" t="s">
        <v>26181</v>
      </c>
      <c r="D21668" s="38" t="str">
        <f>IFERROR(__xludf.DUMMYFUNCTION("REGEXREPLACE(C21668,""-\d+(.*)|--\d+(.*)"","""")"),"LE BIOT")</f>
        <v>LE BIOT</v>
      </c>
      <c r="E21668" s="38" t="s">
        <v>319</v>
      </c>
      <c r="F21668" s="38" t="s">
        <v>102</v>
      </c>
      <c r="G21668" s="49" t="str">
        <f t="shared" si="1"/>
        <v>74430</v>
      </c>
      <c r="H21668" s="49">
        <f t="shared" si="2"/>
        <v>74034</v>
      </c>
    </row>
    <row r="21669">
      <c r="A21669" s="48" t="s">
        <v>2336</v>
      </c>
      <c r="B21669" s="38">
        <v>58081.0</v>
      </c>
      <c r="C21669" s="38" t="s">
        <v>26182</v>
      </c>
      <c r="D21669" s="38" t="str">
        <f>IFERROR(__xludf.DUMMYFUNCTION("REGEXREPLACE(C21669,""-\d+(.*)|--\d+(.*)"","""")"),"COLMERY")</f>
        <v>COLMERY</v>
      </c>
      <c r="E21669" s="38" t="s">
        <v>219</v>
      </c>
      <c r="F21669" s="38" t="s">
        <v>106</v>
      </c>
      <c r="G21669" s="49" t="str">
        <f t="shared" si="1"/>
        <v>58350</v>
      </c>
      <c r="H21669" s="49">
        <f t="shared" si="2"/>
        <v>58081</v>
      </c>
    </row>
    <row r="21670">
      <c r="A21670" s="48" t="s">
        <v>1654</v>
      </c>
      <c r="B21670" s="38">
        <v>72331.0</v>
      </c>
      <c r="C21670" s="38" t="s">
        <v>26183</v>
      </c>
      <c r="D21670" s="38" t="str">
        <f>IFERROR(__xludf.DUMMYFUNCTION("REGEXREPLACE(C21670,""-\d+(.*)|--\d+(.*)"","""")"),"SCEAUX-SUR-HUISNE")</f>
        <v>SCEAUX-SUR-HUISNE</v>
      </c>
      <c r="E21670" s="38" t="s">
        <v>521</v>
      </c>
      <c r="F21670" s="38" t="s">
        <v>180</v>
      </c>
      <c r="G21670" s="49" t="str">
        <f t="shared" si="1"/>
        <v>72160</v>
      </c>
      <c r="H21670" s="49">
        <f t="shared" si="2"/>
        <v>72331</v>
      </c>
    </row>
    <row r="21671">
      <c r="A21671" s="48" t="s">
        <v>9683</v>
      </c>
      <c r="B21671" s="38">
        <v>46031.0</v>
      </c>
      <c r="C21671" s="38" t="s">
        <v>26184</v>
      </c>
      <c r="D21671" s="38" t="str">
        <f>IFERROR(__xludf.DUMMYFUNCTION("REGEXREPLACE(C21671,""-\d+(.*)|--\d+(.*)"","""")"),"BLARS")</f>
        <v>BLARS</v>
      </c>
      <c r="E21671" s="38" t="s">
        <v>185</v>
      </c>
      <c r="F21671" s="38" t="s">
        <v>94</v>
      </c>
      <c r="G21671" s="49" t="str">
        <f t="shared" si="1"/>
        <v>46330</v>
      </c>
      <c r="H21671" s="49">
        <f t="shared" si="2"/>
        <v>46031</v>
      </c>
    </row>
    <row r="21672">
      <c r="A21672" s="48" t="s">
        <v>12807</v>
      </c>
      <c r="B21672" s="38">
        <v>42149.0</v>
      </c>
      <c r="C21672" s="38" t="s">
        <v>26185</v>
      </c>
      <c r="D21672" s="38" t="str">
        <f>IFERROR(__xludf.DUMMYFUNCTION("REGEXREPLACE(C21672,""-\d+(.*)|--\d+(.*)"","""")"),"MONTROND-LES-BAINS")</f>
        <v>MONTROND-LES-BAINS</v>
      </c>
      <c r="E21672" s="38" t="s">
        <v>166</v>
      </c>
      <c r="F21672" s="38" t="s">
        <v>102</v>
      </c>
      <c r="G21672" s="49" t="str">
        <f t="shared" si="1"/>
        <v>42210</v>
      </c>
      <c r="H21672" s="49">
        <f t="shared" si="2"/>
        <v>42149</v>
      </c>
    </row>
    <row r="21673">
      <c r="A21673" s="48" t="s">
        <v>9830</v>
      </c>
      <c r="B21673" s="38">
        <v>29182.0</v>
      </c>
      <c r="C21673" s="38" t="s">
        <v>26186</v>
      </c>
      <c r="D21673" s="38" t="str">
        <f>IFERROR(__xludf.DUMMYFUNCTION("REGEXREPLACE(C21673,""-\d+(.*)|--\d+(.*)"","""")"),"PLOUEGAT-GUERAND")</f>
        <v>PLOUEGAT-GUERAND</v>
      </c>
      <c r="E21673" s="38" t="s">
        <v>176</v>
      </c>
      <c r="F21673" s="38" t="s">
        <v>90</v>
      </c>
      <c r="G21673" s="49" t="str">
        <f t="shared" si="1"/>
        <v>29620</v>
      </c>
      <c r="H21673" s="49">
        <f t="shared" si="2"/>
        <v>29182</v>
      </c>
    </row>
    <row r="21674">
      <c r="A21674" s="48" t="s">
        <v>3928</v>
      </c>
      <c r="B21674" s="38">
        <v>78472.0</v>
      </c>
      <c r="C21674" s="38" t="s">
        <v>26187</v>
      </c>
      <c r="D21674" s="38" t="str">
        <f>IFERROR(__xludf.DUMMYFUNCTION("REGEXREPLACE(C21674,""-\d+(.*)|--\d+(.*)"","""")"),"ORSONVILLE")</f>
        <v>ORSONVILLE</v>
      </c>
      <c r="E21674" s="38" t="s">
        <v>362</v>
      </c>
      <c r="F21674" s="38" t="s">
        <v>245</v>
      </c>
      <c r="G21674" s="49" t="str">
        <f t="shared" si="1"/>
        <v>78660</v>
      </c>
      <c r="H21674" s="49">
        <f t="shared" si="2"/>
        <v>78472</v>
      </c>
    </row>
    <row r="21675">
      <c r="A21675" s="48" t="s">
        <v>898</v>
      </c>
      <c r="B21675" s="38">
        <v>54322.0</v>
      </c>
      <c r="C21675" s="38" t="s">
        <v>26188</v>
      </c>
      <c r="D21675" s="38" t="str">
        <f>IFERROR(__xludf.DUMMYFUNCTION("REGEXREPLACE(C21675,""-\d+(.*)|--\d+(.*)"","""")"),"LONGUYON")</f>
        <v>LONGUYON</v>
      </c>
      <c r="E21675" s="38" t="s">
        <v>548</v>
      </c>
      <c r="F21675" s="38" t="s">
        <v>195</v>
      </c>
      <c r="G21675" s="49" t="str">
        <f t="shared" si="1"/>
        <v>54260</v>
      </c>
      <c r="H21675" s="49">
        <f t="shared" si="2"/>
        <v>54322</v>
      </c>
    </row>
    <row r="21676">
      <c r="A21676" s="48" t="s">
        <v>8167</v>
      </c>
      <c r="B21676" s="38">
        <v>41012.0</v>
      </c>
      <c r="C21676" s="38" t="s">
        <v>26189</v>
      </c>
      <c r="D21676" s="38" t="str">
        <f>IFERROR(__xludf.DUMMYFUNCTION("REGEXREPLACE(C21676,""-\d+(.*)|--\d+(.*)"","""")"),"BAILLOU")</f>
        <v>BAILLOU</v>
      </c>
      <c r="E21676" s="38" t="s">
        <v>188</v>
      </c>
      <c r="F21676" s="38" t="s">
        <v>123</v>
      </c>
      <c r="G21676" s="49" t="str">
        <f t="shared" si="1"/>
        <v>41170</v>
      </c>
      <c r="H21676" s="49">
        <f t="shared" si="2"/>
        <v>41012</v>
      </c>
    </row>
    <row r="21677">
      <c r="A21677" s="48" t="s">
        <v>3154</v>
      </c>
      <c r="B21677" s="38">
        <v>15094.0</v>
      </c>
      <c r="C21677" s="38" t="s">
        <v>26190</v>
      </c>
      <c r="D21677" s="38" t="str">
        <f>IFERROR(__xludf.DUMMYFUNCTION("REGEXREPLACE(C21677,""-\d+(.*)|--\d+(.*)"","""")"),"LAROQUEBROU")</f>
        <v>LAROQUEBROU</v>
      </c>
      <c r="E21677" s="38" t="s">
        <v>632</v>
      </c>
      <c r="F21677" s="38" t="s">
        <v>161</v>
      </c>
      <c r="G21677" s="49" t="str">
        <f t="shared" si="1"/>
        <v>15150</v>
      </c>
      <c r="H21677" s="49">
        <f t="shared" si="2"/>
        <v>15094</v>
      </c>
    </row>
    <row r="21678">
      <c r="A21678" s="48" t="s">
        <v>4095</v>
      </c>
      <c r="B21678" s="38">
        <v>23196.0</v>
      </c>
      <c r="C21678" s="38" t="s">
        <v>26191</v>
      </c>
      <c r="D21678" s="38" t="str">
        <f>IFERROR(__xludf.DUMMYFUNCTION("REGEXREPLACE(C21678,""-\d+(.*)|--\d+(.*)"","""")"),"SAINT-FRION")</f>
        <v>SAINT-FRION</v>
      </c>
      <c r="E21678" s="38" t="s">
        <v>97</v>
      </c>
      <c r="F21678" s="38" t="s">
        <v>98</v>
      </c>
      <c r="G21678" s="49" t="str">
        <f t="shared" si="1"/>
        <v>23500</v>
      </c>
      <c r="H21678" s="49">
        <f t="shared" si="2"/>
        <v>23196</v>
      </c>
    </row>
    <row r="21679">
      <c r="A21679" s="48" t="s">
        <v>7532</v>
      </c>
      <c r="B21679" s="38">
        <v>37101.0</v>
      </c>
      <c r="C21679" s="38" t="s">
        <v>26192</v>
      </c>
      <c r="D21679" s="38" t="str">
        <f>IFERROR(__xludf.DUMMYFUNCTION("REGEXREPLACE(C21679,""-\d+(.*)|--\d+(.*)"","""")"),"EPEIGNE-SUR-DEME")</f>
        <v>EPEIGNE-SUR-DEME</v>
      </c>
      <c r="E21679" s="38" t="s">
        <v>205</v>
      </c>
      <c r="F21679" s="38" t="s">
        <v>123</v>
      </c>
      <c r="G21679" s="49" t="str">
        <f t="shared" si="1"/>
        <v>37370</v>
      </c>
      <c r="H21679" s="49">
        <f t="shared" si="2"/>
        <v>37101</v>
      </c>
    </row>
    <row r="21680">
      <c r="A21680" s="48" t="s">
        <v>3517</v>
      </c>
      <c r="B21680" s="38">
        <v>49063.0</v>
      </c>
      <c r="C21680" s="38" t="s">
        <v>26193</v>
      </c>
      <c r="D21680" s="38" t="str">
        <f>IFERROR(__xludf.DUMMYFUNCTION("REGEXREPLACE(C21680,""-\d+(.*)|--\d+(.*)"","""")"),"CHALONNES-SUR-LOIRE")</f>
        <v>CHALONNES-SUR-LOIRE</v>
      </c>
      <c r="E21680" s="38" t="s">
        <v>653</v>
      </c>
      <c r="F21680" s="38" t="s">
        <v>180</v>
      </c>
      <c r="G21680" s="49" t="str">
        <f t="shared" si="1"/>
        <v>49290</v>
      </c>
      <c r="H21680" s="49">
        <f t="shared" si="2"/>
        <v>49063</v>
      </c>
    </row>
    <row r="21681">
      <c r="A21681" s="48" t="s">
        <v>8122</v>
      </c>
      <c r="B21681" s="38">
        <v>42008.0</v>
      </c>
      <c r="C21681" s="38" t="s">
        <v>25985</v>
      </c>
      <c r="D21681" s="38" t="str">
        <f>IFERROR(__xludf.DUMMYFUNCTION("REGEXREPLACE(C21681,""-\d+(.*)|--\d+(.*)"","""")"),"ARCON")</f>
        <v>ARCON</v>
      </c>
      <c r="E21681" s="38" t="s">
        <v>166</v>
      </c>
      <c r="F21681" s="38" t="s">
        <v>102</v>
      </c>
      <c r="G21681" s="49" t="str">
        <f t="shared" si="1"/>
        <v>42370</v>
      </c>
      <c r="H21681" s="49">
        <f t="shared" si="2"/>
        <v>42008</v>
      </c>
    </row>
    <row r="21682">
      <c r="A21682" s="48" t="s">
        <v>5612</v>
      </c>
      <c r="B21682" s="38">
        <v>52452.0</v>
      </c>
      <c r="C21682" s="38" t="s">
        <v>26194</v>
      </c>
      <c r="D21682" s="38" t="str">
        <f>IFERROR(__xludf.DUMMYFUNCTION("REGEXREPLACE(C21682,""-\d+(.*)|--\d+(.*)"","""")"),"SAINT-MARTIN-LES-LANGRES")</f>
        <v>SAINT-MARTIN-LES-LANGRES</v>
      </c>
      <c r="E21682" s="38" t="s">
        <v>234</v>
      </c>
      <c r="F21682" s="38" t="s">
        <v>130</v>
      </c>
      <c r="G21682" s="49" t="str">
        <f t="shared" si="1"/>
        <v>52200</v>
      </c>
      <c r="H21682" s="49">
        <f t="shared" si="2"/>
        <v>52452</v>
      </c>
    </row>
    <row r="21683">
      <c r="A21683" s="48" t="s">
        <v>3618</v>
      </c>
      <c r="B21683" s="38">
        <v>31548.0</v>
      </c>
      <c r="C21683" s="38" t="s">
        <v>26195</v>
      </c>
      <c r="D21683" s="38" t="str">
        <f>IFERROR(__xludf.DUMMYFUNCTION("REGEXREPLACE(C21683,""-\d+(.*)|--\d+(.*)"","""")"),"SIGNAC")</f>
        <v>SIGNAC</v>
      </c>
      <c r="E21683" s="38" t="s">
        <v>93</v>
      </c>
      <c r="F21683" s="38" t="s">
        <v>94</v>
      </c>
      <c r="G21683" s="49" t="str">
        <f t="shared" si="1"/>
        <v>31440</v>
      </c>
      <c r="H21683" s="49">
        <f t="shared" si="2"/>
        <v>31548</v>
      </c>
    </row>
    <row r="21684">
      <c r="A21684" s="48" t="s">
        <v>16193</v>
      </c>
      <c r="B21684" s="38">
        <v>73158.0</v>
      </c>
      <c r="C21684" s="38" t="s">
        <v>26196</v>
      </c>
      <c r="D21684" s="38" t="str">
        <f>IFERROR(__xludf.DUMMYFUNCTION("REGEXREPLACE(C21684,""-\d+(.*)|--\d+(.*)"","""")"),"MOGNARD")</f>
        <v>MOGNARD</v>
      </c>
      <c r="E21684" s="38" t="s">
        <v>306</v>
      </c>
      <c r="F21684" s="38" t="s">
        <v>102</v>
      </c>
      <c r="G21684" s="49" t="str">
        <f t="shared" si="1"/>
        <v>73410</v>
      </c>
      <c r="H21684" s="49">
        <f t="shared" si="2"/>
        <v>73158</v>
      </c>
    </row>
    <row r="21685">
      <c r="A21685" s="48" t="s">
        <v>2208</v>
      </c>
      <c r="B21685" s="38">
        <v>55537.0</v>
      </c>
      <c r="C21685" s="38" t="s">
        <v>26197</v>
      </c>
      <c r="D21685" s="38" t="str">
        <f>IFERROR(__xludf.DUMMYFUNCTION("REGEXREPLACE(C21685,""-\d+(.*)|--\d+(.*)"","""")"),"VAUX-DEVANT-DAMLOUP")</f>
        <v>VAUX-DEVANT-DAMLOUP</v>
      </c>
      <c r="E21685" s="38" t="s">
        <v>322</v>
      </c>
      <c r="F21685" s="38" t="s">
        <v>195</v>
      </c>
      <c r="G21685" s="49" t="str">
        <f t="shared" si="1"/>
        <v>55400</v>
      </c>
      <c r="H21685" s="49">
        <f t="shared" si="2"/>
        <v>55537</v>
      </c>
    </row>
    <row r="21686">
      <c r="A21686" s="48" t="s">
        <v>26198</v>
      </c>
      <c r="B21686" s="38">
        <v>84150.0</v>
      </c>
      <c r="C21686" s="38" t="s">
        <v>26199</v>
      </c>
      <c r="D21686" s="38" t="str">
        <f>IFERROR(__xludf.DUMMYFUNCTION("REGEXREPLACE(C21686,""-\d+(.*)|--\d+(.*)"","""")"),"VISAN")</f>
        <v>VISAN</v>
      </c>
      <c r="E21686" s="38" t="s">
        <v>1026</v>
      </c>
      <c r="F21686" s="38" t="s">
        <v>228</v>
      </c>
      <c r="G21686" s="49" t="str">
        <f t="shared" si="1"/>
        <v>84820</v>
      </c>
      <c r="H21686" s="49">
        <f t="shared" si="2"/>
        <v>84150</v>
      </c>
    </row>
    <row r="21687">
      <c r="A21687" s="48" t="s">
        <v>10039</v>
      </c>
      <c r="B21687" s="38">
        <v>47053.0</v>
      </c>
      <c r="C21687" s="38" t="s">
        <v>26200</v>
      </c>
      <c r="D21687" s="38" t="str">
        <f>IFERROR(__xludf.DUMMYFUNCTION("REGEXREPLACE(C21687,""-\d+(.*)|--\d+(.*)"","""")"),"CASTELLA")</f>
        <v>CASTELLA</v>
      </c>
      <c r="E21687" s="38" t="s">
        <v>251</v>
      </c>
      <c r="F21687" s="38" t="s">
        <v>252</v>
      </c>
      <c r="G21687" s="49" t="str">
        <f t="shared" si="1"/>
        <v>47340</v>
      </c>
      <c r="H21687" s="49">
        <f t="shared" si="2"/>
        <v>47053</v>
      </c>
    </row>
    <row r="21688">
      <c r="A21688" s="48" t="s">
        <v>3659</v>
      </c>
      <c r="B21688" s="38">
        <v>40135.0</v>
      </c>
      <c r="C21688" s="38" t="s">
        <v>26201</v>
      </c>
      <c r="D21688" s="38" t="str">
        <f>IFERROR(__xludf.DUMMYFUNCTION("REGEXREPLACE(C21688,""-\d+(.*)|--\d+(.*)"","""")"),"LABRIT")</f>
        <v>LABRIT</v>
      </c>
      <c r="E21688" s="38" t="s">
        <v>281</v>
      </c>
      <c r="F21688" s="38" t="s">
        <v>252</v>
      </c>
      <c r="G21688" s="49" t="str">
        <f t="shared" si="1"/>
        <v>40420</v>
      </c>
      <c r="H21688" s="49">
        <f t="shared" si="2"/>
        <v>40135</v>
      </c>
    </row>
    <row r="21689">
      <c r="A21689" s="48" t="s">
        <v>1783</v>
      </c>
      <c r="B21689" s="38">
        <v>60608.0</v>
      </c>
      <c r="C21689" s="38" t="s">
        <v>26202</v>
      </c>
      <c r="D21689" s="38" t="str">
        <f>IFERROR(__xludf.DUMMYFUNCTION("REGEXREPLACE(C21689,""-\d+(.*)|--\d+(.*)"","""")"),"LE SAULCHOY")</f>
        <v>LE SAULCHOY</v>
      </c>
      <c r="E21689" s="38" t="s">
        <v>112</v>
      </c>
      <c r="F21689" s="38" t="s">
        <v>113</v>
      </c>
      <c r="G21689" s="49" t="str">
        <f t="shared" si="1"/>
        <v>60360</v>
      </c>
      <c r="H21689" s="49">
        <f t="shared" si="2"/>
        <v>60608</v>
      </c>
    </row>
    <row r="21690">
      <c r="A21690" s="48" t="s">
        <v>13997</v>
      </c>
      <c r="B21690" s="38">
        <v>32271.0</v>
      </c>
      <c r="C21690" s="38" t="s">
        <v>26203</v>
      </c>
      <c r="D21690" s="38" t="str">
        <f>IFERROR(__xludf.DUMMYFUNCTION("REGEXREPLACE(C21690,""-\d+(.*)|--\d+(.*)"","""")"),"MONGUILHEM")</f>
        <v>MONGUILHEM</v>
      </c>
      <c r="E21690" s="38" t="s">
        <v>440</v>
      </c>
      <c r="F21690" s="38" t="s">
        <v>94</v>
      </c>
      <c r="G21690" s="49" t="str">
        <f t="shared" si="1"/>
        <v>32240</v>
      </c>
      <c r="H21690" s="49">
        <f t="shared" si="2"/>
        <v>32271</v>
      </c>
    </row>
    <row r="21691">
      <c r="A21691" s="48" t="s">
        <v>3120</v>
      </c>
      <c r="B21691" s="38">
        <v>10166.0</v>
      </c>
      <c r="C21691" s="38" t="s">
        <v>26204</v>
      </c>
      <c r="D21691" s="38" t="str">
        <f>IFERROR(__xludf.DUMMYFUNCTION("REGEXREPLACE(C21691,""-\d+(.*)|--\d+(.*)"","""")"),"LES GRANDES-CHAPELLES")</f>
        <v>LES GRANDES-CHAPELLES</v>
      </c>
      <c r="E21691" s="38" t="s">
        <v>147</v>
      </c>
      <c r="F21691" s="38" t="s">
        <v>130</v>
      </c>
      <c r="G21691" s="49" t="str">
        <f t="shared" si="1"/>
        <v>10170</v>
      </c>
      <c r="H21691" s="49">
        <f t="shared" si="2"/>
        <v>10166</v>
      </c>
    </row>
    <row r="21692">
      <c r="A21692" s="48" t="s">
        <v>1926</v>
      </c>
      <c r="B21692" s="38">
        <v>28308.0</v>
      </c>
      <c r="C21692" s="38" t="s">
        <v>26205</v>
      </c>
      <c r="D21692" s="38" t="str">
        <f>IFERROR(__xludf.DUMMYFUNCTION("REGEXREPLACE(C21692,""-\d+(.*)|--\d+(.*)"","""")"),"PRUDEMANCHE")</f>
        <v>PRUDEMANCHE</v>
      </c>
      <c r="E21692" s="38" t="s">
        <v>300</v>
      </c>
      <c r="F21692" s="38" t="s">
        <v>123</v>
      </c>
      <c r="G21692" s="49" t="str">
        <f t="shared" si="1"/>
        <v>28270</v>
      </c>
      <c r="H21692" s="49">
        <f t="shared" si="2"/>
        <v>28308</v>
      </c>
    </row>
    <row r="21693">
      <c r="A21693" s="48" t="s">
        <v>3498</v>
      </c>
      <c r="B21693" s="38">
        <v>38372.0</v>
      </c>
      <c r="C21693" s="38" t="s">
        <v>26206</v>
      </c>
      <c r="D21693" s="38" t="str">
        <f>IFERROR(__xludf.DUMMYFUNCTION("REGEXREPLACE(C21693,""-\d+(.*)|--\d+(.*)"","""")"),"SAINT-BUEIL")</f>
        <v>SAINT-BUEIL</v>
      </c>
      <c r="E21693" s="38" t="s">
        <v>101</v>
      </c>
      <c r="F21693" s="38" t="s">
        <v>102</v>
      </c>
      <c r="G21693" s="49" t="str">
        <f t="shared" si="1"/>
        <v>38620</v>
      </c>
      <c r="H21693" s="49">
        <f t="shared" si="2"/>
        <v>38372</v>
      </c>
    </row>
    <row r="21694">
      <c r="A21694" s="48" t="s">
        <v>669</v>
      </c>
      <c r="B21694" s="38">
        <v>12080.0</v>
      </c>
      <c r="C21694" s="38" t="s">
        <v>26207</v>
      </c>
      <c r="D21694" s="38" t="str">
        <f>IFERROR(__xludf.DUMMYFUNCTION("REGEXREPLACE(C21694,""-\d+(.*)|--\d+(.*)"","""")"),"COUPIAC")</f>
        <v>COUPIAC</v>
      </c>
      <c r="E21694" s="38" t="s">
        <v>465</v>
      </c>
      <c r="F21694" s="38" t="s">
        <v>94</v>
      </c>
      <c r="G21694" s="49" t="str">
        <f t="shared" si="1"/>
        <v>12550</v>
      </c>
      <c r="H21694" s="49">
        <f t="shared" si="2"/>
        <v>12080</v>
      </c>
    </row>
    <row r="21695">
      <c r="A21695" s="48" t="s">
        <v>2905</v>
      </c>
      <c r="B21695" s="38">
        <v>21673.0</v>
      </c>
      <c r="C21695" s="38" t="s">
        <v>26208</v>
      </c>
      <c r="D21695" s="38" t="str">
        <f>IFERROR(__xludf.DUMMYFUNCTION("REGEXREPLACE(C21695,""-\d+(.*)|--\d+(.*)"","""")"),"VEUVEY-SUR-OUCHE")</f>
        <v>VEUVEY-SUR-OUCHE</v>
      </c>
      <c r="E21695" s="38" t="s">
        <v>105</v>
      </c>
      <c r="F21695" s="38" t="s">
        <v>106</v>
      </c>
      <c r="G21695" s="49" t="str">
        <f t="shared" si="1"/>
        <v>21360</v>
      </c>
      <c r="H21695" s="49">
        <f t="shared" si="2"/>
        <v>21673</v>
      </c>
    </row>
    <row r="21696">
      <c r="A21696" s="48" t="s">
        <v>7637</v>
      </c>
      <c r="B21696" s="38">
        <v>51571.0</v>
      </c>
      <c r="C21696" s="38" t="s">
        <v>26209</v>
      </c>
      <c r="D21696" s="38" t="str">
        <f>IFERROR(__xludf.DUMMYFUNCTION("REGEXREPLACE(C21696,""-\d+(.*)|--\d+(.*)"","""")"),"VAL-DE-VESLE")</f>
        <v>VAL-DE-VESLE</v>
      </c>
      <c r="E21696" s="38" t="s">
        <v>129</v>
      </c>
      <c r="F21696" s="38" t="s">
        <v>130</v>
      </c>
      <c r="G21696" s="49" t="str">
        <f t="shared" si="1"/>
        <v>51360</v>
      </c>
      <c r="H21696" s="49">
        <f t="shared" si="2"/>
        <v>51571</v>
      </c>
    </row>
    <row r="21697">
      <c r="A21697" s="48" t="s">
        <v>564</v>
      </c>
      <c r="B21697" s="38">
        <v>73078.0</v>
      </c>
      <c r="C21697" s="38" t="s">
        <v>26210</v>
      </c>
      <c r="D21697" s="38" t="str">
        <f>IFERROR(__xludf.DUMMYFUNCTION("REGEXREPLACE(C21697,""-\d+(.*)|--\d+(.*)"","""")"),"LA CHAPELLE-SAINT-MARTIN")</f>
        <v>LA CHAPELLE-SAINT-MARTIN</v>
      </c>
      <c r="E21697" s="38" t="s">
        <v>306</v>
      </c>
      <c r="F21697" s="38" t="s">
        <v>102</v>
      </c>
      <c r="G21697" s="49" t="str">
        <f t="shared" si="1"/>
        <v>73170</v>
      </c>
      <c r="H21697" s="49">
        <f t="shared" si="2"/>
        <v>73078</v>
      </c>
    </row>
    <row r="21698">
      <c r="A21698" s="48" t="s">
        <v>1381</v>
      </c>
      <c r="B21698" s="38">
        <v>62266.0</v>
      </c>
      <c r="C21698" s="38" t="s">
        <v>26211</v>
      </c>
      <c r="D21698" s="38" t="str">
        <f>IFERROR(__xludf.DUMMYFUNCTION("REGEXREPLACE(C21698,""-\d+(.*)|--\d+(.*)"","""")"),"DENIER")</f>
        <v>DENIER</v>
      </c>
      <c r="E21698" s="38" t="s">
        <v>109</v>
      </c>
      <c r="F21698" s="38" t="s">
        <v>86</v>
      </c>
      <c r="G21698" s="49" t="str">
        <f t="shared" si="1"/>
        <v>62810</v>
      </c>
      <c r="H21698" s="49">
        <f t="shared" si="2"/>
        <v>62266</v>
      </c>
    </row>
    <row r="21699">
      <c r="A21699" s="48" t="s">
        <v>9795</v>
      </c>
      <c r="B21699" s="38">
        <v>33094.0</v>
      </c>
      <c r="C21699" s="38" t="s">
        <v>26212</v>
      </c>
      <c r="D21699" s="38" t="str">
        <f>IFERROR(__xludf.DUMMYFUNCTION("REGEXREPLACE(C21699,""-\d+(.*)|--\d+(.*)"","""")"),"CAPLONG")</f>
        <v>CAPLONG</v>
      </c>
      <c r="E21699" s="38" t="s">
        <v>462</v>
      </c>
      <c r="F21699" s="38" t="s">
        <v>252</v>
      </c>
      <c r="G21699" s="49" t="str">
        <f t="shared" si="1"/>
        <v>33220</v>
      </c>
      <c r="H21699" s="49">
        <f t="shared" si="2"/>
        <v>33094</v>
      </c>
    </row>
    <row r="21700">
      <c r="A21700" s="48" t="s">
        <v>26213</v>
      </c>
      <c r="B21700" s="38">
        <v>13117.0</v>
      </c>
      <c r="C21700" s="38" t="s">
        <v>6400</v>
      </c>
      <c r="D21700" s="38" t="str">
        <f>IFERROR(__xludf.DUMMYFUNCTION("REGEXREPLACE(C21700,""-\d+(.*)|--\d+(.*)"","""")"),"VITROLLES")</f>
        <v>VITROLLES</v>
      </c>
      <c r="E21700" s="38" t="s">
        <v>980</v>
      </c>
      <c r="F21700" s="38" t="s">
        <v>228</v>
      </c>
      <c r="G21700" s="49" t="str">
        <f t="shared" si="1"/>
        <v>13127</v>
      </c>
      <c r="H21700" s="49">
        <f t="shared" si="2"/>
        <v>13117</v>
      </c>
    </row>
    <row r="21701">
      <c r="A21701" s="48" t="s">
        <v>18646</v>
      </c>
      <c r="B21701" s="38">
        <v>3066.0</v>
      </c>
      <c r="C21701" s="38" t="s">
        <v>26214</v>
      </c>
      <c r="D21701" s="38" t="str">
        <f>IFERROR(__xludf.DUMMYFUNCTION("REGEXREPLACE(C21701,""-\d+(.*)|--\d+(.*)"","""")"),"CHATEL-MONTAGNE")</f>
        <v>CHATEL-MONTAGNE</v>
      </c>
      <c r="E21701" s="38" t="s">
        <v>160</v>
      </c>
      <c r="F21701" s="38" t="s">
        <v>161</v>
      </c>
      <c r="G21701" s="49" t="str">
        <f t="shared" si="1"/>
        <v>03250</v>
      </c>
      <c r="H21701" s="49" t="str">
        <f t="shared" si="2"/>
        <v>03066</v>
      </c>
    </row>
    <row r="21702">
      <c r="A21702" s="48" t="s">
        <v>3364</v>
      </c>
      <c r="B21702" s="38">
        <v>62245.0</v>
      </c>
      <c r="C21702" s="38" t="s">
        <v>26215</v>
      </c>
      <c r="D21702" s="38" t="str">
        <f>IFERROR(__xludf.DUMMYFUNCTION("REGEXREPLACE(C21702,""-\d+(.*)|--\d+(.*)"","""")"),"COULOMBY")</f>
        <v>COULOMBY</v>
      </c>
      <c r="E21702" s="38" t="s">
        <v>109</v>
      </c>
      <c r="F21702" s="38" t="s">
        <v>86</v>
      </c>
      <c r="G21702" s="49" t="str">
        <f t="shared" si="1"/>
        <v>62380</v>
      </c>
      <c r="H21702" s="49">
        <f t="shared" si="2"/>
        <v>62245</v>
      </c>
    </row>
    <row r="21703">
      <c r="A21703" s="48" t="s">
        <v>26216</v>
      </c>
      <c r="B21703" s="38">
        <v>44176.0</v>
      </c>
      <c r="C21703" s="38" t="s">
        <v>26217</v>
      </c>
      <c r="D21703" s="38" t="str">
        <f>IFERROR(__xludf.DUMMYFUNCTION("REGEXREPLACE(C21703,""-\d+(.*)|--\d+(.*)"","""")"),"SAINT-MALO-DE-GUERSAC")</f>
        <v>SAINT-MALO-DE-GUERSAC</v>
      </c>
      <c r="E21703" s="38" t="s">
        <v>759</v>
      </c>
      <c r="F21703" s="38" t="s">
        <v>180</v>
      </c>
      <c r="G21703" s="49" t="str">
        <f t="shared" si="1"/>
        <v>44550</v>
      </c>
      <c r="H21703" s="49">
        <f t="shared" si="2"/>
        <v>44176</v>
      </c>
    </row>
    <row r="21704">
      <c r="A21704" s="48" t="s">
        <v>7292</v>
      </c>
      <c r="B21704" s="38">
        <v>49144.0</v>
      </c>
      <c r="C21704" s="38" t="s">
        <v>26218</v>
      </c>
      <c r="D21704" s="38" t="str">
        <f>IFERROR(__xludf.DUMMYFUNCTION("REGEXREPLACE(C21704,""-\d+(.*)|--\d+(.*)"","""")"),"FREIGNE")</f>
        <v>FREIGNE</v>
      </c>
      <c r="E21704" s="38" t="s">
        <v>653</v>
      </c>
      <c r="F21704" s="38" t="s">
        <v>180</v>
      </c>
      <c r="G21704" s="49" t="str">
        <f t="shared" si="1"/>
        <v>49440</v>
      </c>
      <c r="H21704" s="49">
        <f t="shared" si="2"/>
        <v>49144</v>
      </c>
    </row>
    <row r="21705">
      <c r="A21705" s="48" t="s">
        <v>2201</v>
      </c>
      <c r="B21705" s="38">
        <v>32446.0</v>
      </c>
      <c r="C21705" s="38" t="s">
        <v>26219</v>
      </c>
      <c r="D21705" s="38" t="str">
        <f>IFERROR(__xludf.DUMMYFUNCTION("REGEXREPLACE(C21705,""-\d+(.*)|--\d+(.*)"","""")"),"TILLAC")</f>
        <v>TILLAC</v>
      </c>
      <c r="E21705" s="38" t="s">
        <v>440</v>
      </c>
      <c r="F21705" s="38" t="s">
        <v>94</v>
      </c>
      <c r="G21705" s="49" t="str">
        <f t="shared" si="1"/>
        <v>32170</v>
      </c>
      <c r="H21705" s="49">
        <f t="shared" si="2"/>
        <v>32446</v>
      </c>
    </row>
    <row r="21706">
      <c r="A21706" s="48" t="s">
        <v>10965</v>
      </c>
      <c r="B21706" s="38">
        <v>80722.0</v>
      </c>
      <c r="C21706" s="38" t="s">
        <v>26220</v>
      </c>
      <c r="D21706" s="38" t="str">
        <f>IFERROR(__xludf.DUMMYFUNCTION("REGEXREPLACE(C21706,""-\d+(.*)|--\d+(.*)"","""")"),"SAINT-VAAST-EN-CHAUSSEE")</f>
        <v>SAINT-VAAST-EN-CHAUSSEE</v>
      </c>
      <c r="E21706" s="38" t="s">
        <v>224</v>
      </c>
      <c r="F21706" s="38" t="s">
        <v>113</v>
      </c>
      <c r="G21706" s="49" t="str">
        <f t="shared" si="1"/>
        <v>80310</v>
      </c>
      <c r="H21706" s="49">
        <f t="shared" si="2"/>
        <v>80722</v>
      </c>
    </row>
    <row r="21707">
      <c r="A21707" s="48" t="s">
        <v>4125</v>
      </c>
      <c r="B21707" s="38">
        <v>19115.0</v>
      </c>
      <c r="C21707" s="38" t="s">
        <v>26221</v>
      </c>
      <c r="D21707" s="38" t="str">
        <f>IFERROR(__xludf.DUMMYFUNCTION("REGEXREPLACE(C21707,""-\d+(.*)|--\d+(.*)"","""")"),"LIGNEYRAC")</f>
        <v>LIGNEYRAC</v>
      </c>
      <c r="E21707" s="38" t="s">
        <v>271</v>
      </c>
      <c r="F21707" s="38" t="s">
        <v>98</v>
      </c>
      <c r="G21707" s="49" t="str">
        <f t="shared" si="1"/>
        <v>19500</v>
      </c>
      <c r="H21707" s="49">
        <f t="shared" si="2"/>
        <v>19115</v>
      </c>
    </row>
    <row r="21708">
      <c r="A21708" s="48" t="s">
        <v>9152</v>
      </c>
      <c r="B21708" s="38">
        <v>37016.0</v>
      </c>
      <c r="C21708" s="38" t="s">
        <v>26222</v>
      </c>
      <c r="D21708" s="38" t="str">
        <f>IFERROR(__xludf.DUMMYFUNCTION("REGEXREPLACE(C21708,""-\d+(.*)|--\d+(.*)"","""")"),"AZAY-SUR-INDRE")</f>
        <v>AZAY-SUR-INDRE</v>
      </c>
      <c r="E21708" s="38" t="s">
        <v>205</v>
      </c>
      <c r="F21708" s="38" t="s">
        <v>123</v>
      </c>
      <c r="G21708" s="49" t="str">
        <f t="shared" si="1"/>
        <v>37310</v>
      </c>
      <c r="H21708" s="49">
        <f t="shared" si="2"/>
        <v>37016</v>
      </c>
    </row>
    <row r="21709">
      <c r="A21709" s="48" t="s">
        <v>3598</v>
      </c>
      <c r="B21709" s="38">
        <v>7087.0</v>
      </c>
      <c r="C21709" s="38" t="s">
        <v>26223</v>
      </c>
      <c r="D21709" s="38" t="str">
        <f>IFERROR(__xludf.DUMMYFUNCTION("REGEXREPLACE(C21709,""-\d+(.*)|--\d+(.*)"","""")"),"FABRAS")</f>
        <v>FABRAS</v>
      </c>
      <c r="E21709" s="38" t="s">
        <v>144</v>
      </c>
      <c r="F21709" s="38" t="s">
        <v>102</v>
      </c>
      <c r="G21709" s="49" t="str">
        <f t="shared" si="1"/>
        <v>07380</v>
      </c>
      <c r="H21709" s="49" t="str">
        <f t="shared" si="2"/>
        <v>07087</v>
      </c>
    </row>
    <row r="21710">
      <c r="A21710" s="48" t="s">
        <v>1817</v>
      </c>
      <c r="B21710" s="38">
        <v>31566.0</v>
      </c>
      <c r="C21710" s="38" t="s">
        <v>26224</v>
      </c>
      <c r="D21710" s="38" t="str">
        <f>IFERROR(__xludf.DUMMYFUNCTION("REGEXREPLACE(C21710,""-\d+(.*)|--\d+(.*)"","""")"),"VALLEGUE")</f>
        <v>VALLEGUE</v>
      </c>
      <c r="E21710" s="38" t="s">
        <v>93</v>
      </c>
      <c r="F21710" s="38" t="s">
        <v>94</v>
      </c>
      <c r="G21710" s="49" t="str">
        <f t="shared" si="1"/>
        <v>31290</v>
      </c>
      <c r="H21710" s="49">
        <f t="shared" si="2"/>
        <v>31566</v>
      </c>
    </row>
    <row r="21711">
      <c r="A21711" s="48" t="s">
        <v>18847</v>
      </c>
      <c r="B21711" s="38">
        <v>56058.0</v>
      </c>
      <c r="C21711" s="38" t="s">
        <v>26225</v>
      </c>
      <c r="D21711" s="38" t="str">
        <f>IFERROR(__xludf.DUMMYFUNCTION("REGEXREPLACE(C21711,""-\d+(.*)|--\d+(.*)"","""")"),"FEREL")</f>
        <v>FEREL</v>
      </c>
      <c r="E21711" s="38" t="s">
        <v>173</v>
      </c>
      <c r="F21711" s="38" t="s">
        <v>90</v>
      </c>
      <c r="G21711" s="49" t="str">
        <f t="shared" si="1"/>
        <v>56130</v>
      </c>
      <c r="H21711" s="49">
        <f t="shared" si="2"/>
        <v>56058</v>
      </c>
    </row>
    <row r="21712">
      <c r="A21712" s="48" t="s">
        <v>26226</v>
      </c>
      <c r="B21712" s="38">
        <v>79076.0</v>
      </c>
      <c r="C21712" s="38" t="s">
        <v>26227</v>
      </c>
      <c r="D21712" s="38" t="str">
        <f>IFERROR(__xludf.DUMMYFUNCTION("REGEXREPLACE(C21712,""-\d+(.*)|--\d+(.*)"","""")"),"LA CHAPELLE-SAINT-LAURENT")</f>
        <v>LA CHAPELLE-SAINT-LAURENT</v>
      </c>
      <c r="E21712" s="38" t="s">
        <v>337</v>
      </c>
      <c r="F21712" s="38" t="s">
        <v>338</v>
      </c>
      <c r="G21712" s="49" t="str">
        <f t="shared" si="1"/>
        <v>79430</v>
      </c>
      <c r="H21712" s="49">
        <f t="shared" si="2"/>
        <v>79076</v>
      </c>
    </row>
    <row r="21713">
      <c r="A21713" s="48" t="s">
        <v>5330</v>
      </c>
      <c r="B21713" s="38">
        <v>30298.0</v>
      </c>
      <c r="C21713" s="38" t="s">
        <v>26228</v>
      </c>
      <c r="D21713" s="38" t="str">
        <f>IFERROR(__xludf.DUMMYFUNCTION("REGEXREPLACE(C21713,""-\d+(.*)|--\d+(.*)"","""")"),"SAINT-SEBASTIEN-D'AIGREFEUILLE")</f>
        <v>SAINT-SEBASTIEN-D'AIGREFEUILLE</v>
      </c>
      <c r="E21713" s="38" t="s">
        <v>526</v>
      </c>
      <c r="F21713" s="38" t="s">
        <v>119</v>
      </c>
      <c r="G21713" s="49" t="str">
        <f t="shared" si="1"/>
        <v>30140</v>
      </c>
      <c r="H21713" s="49">
        <f t="shared" si="2"/>
        <v>30298</v>
      </c>
    </row>
    <row r="21714">
      <c r="A21714" s="48" t="s">
        <v>9498</v>
      </c>
      <c r="B21714" s="38">
        <v>79101.0</v>
      </c>
      <c r="C21714" s="38" t="s">
        <v>26229</v>
      </c>
      <c r="D21714" s="38" t="str">
        <f>IFERROR(__xludf.DUMMYFUNCTION("REGEXREPLACE(C21714,""-\d+(.*)|--\d+(.*)"","""")"),"COULONGES-SUR-L'AUTIZE")</f>
        <v>COULONGES-SUR-L'AUTIZE</v>
      </c>
      <c r="E21714" s="38" t="s">
        <v>337</v>
      </c>
      <c r="F21714" s="38" t="s">
        <v>338</v>
      </c>
      <c r="G21714" s="49" t="str">
        <f t="shared" si="1"/>
        <v>79160</v>
      </c>
      <c r="H21714" s="49">
        <f t="shared" si="2"/>
        <v>79101</v>
      </c>
    </row>
    <row r="21715">
      <c r="A21715" s="48" t="s">
        <v>9028</v>
      </c>
      <c r="B21715" s="38">
        <v>65133.0</v>
      </c>
      <c r="C21715" s="38" t="s">
        <v>26230</v>
      </c>
      <c r="D21715" s="38" t="str">
        <f>IFERROR(__xludf.DUMMYFUNCTION("REGEXREPLACE(C21715,""-\d+(.*)|--\d+(.*)"","""")"),"CASTERA-LOU")</f>
        <v>CASTERA-LOU</v>
      </c>
      <c r="E21715" s="38" t="s">
        <v>200</v>
      </c>
      <c r="F21715" s="38" t="s">
        <v>94</v>
      </c>
      <c r="G21715" s="49" t="str">
        <f t="shared" si="1"/>
        <v>65350</v>
      </c>
      <c r="H21715" s="49">
        <f t="shared" si="2"/>
        <v>65133</v>
      </c>
    </row>
    <row r="21716">
      <c r="A21716" s="48" t="s">
        <v>23584</v>
      </c>
      <c r="B21716" s="38">
        <v>7203.0</v>
      </c>
      <c r="C21716" s="38" t="s">
        <v>26231</v>
      </c>
      <c r="D21716" s="38" t="str">
        <f>IFERROR(__xludf.DUMMYFUNCTION("REGEXREPLACE(C21716,""-\d+(.*)|--\d+(.*)"","""")"),"SAGNES-ET-GOUDOULET")</f>
        <v>SAGNES-ET-GOUDOULET</v>
      </c>
      <c r="E21716" s="38" t="s">
        <v>144</v>
      </c>
      <c r="F21716" s="38" t="s">
        <v>102</v>
      </c>
      <c r="G21716" s="49" t="str">
        <f t="shared" si="1"/>
        <v>07450</v>
      </c>
      <c r="H21716" s="49" t="str">
        <f t="shared" si="2"/>
        <v>07203</v>
      </c>
    </row>
    <row r="21717">
      <c r="A21717" s="48" t="s">
        <v>26232</v>
      </c>
      <c r="B21717" s="38">
        <v>63204.0</v>
      </c>
      <c r="C21717" s="38" t="s">
        <v>26233</v>
      </c>
      <c r="D21717" s="38" t="str">
        <f>IFERROR(__xludf.DUMMYFUNCTION("REGEXREPLACE(C21717,""-\d+(.*)|--\d+(.*)"","""")"),"MALINTRAT")</f>
        <v>MALINTRAT</v>
      </c>
      <c r="E21717" s="38" t="s">
        <v>353</v>
      </c>
      <c r="F21717" s="38" t="s">
        <v>161</v>
      </c>
      <c r="G21717" s="49" t="str">
        <f t="shared" si="1"/>
        <v>63510</v>
      </c>
      <c r="H21717" s="49">
        <f t="shared" si="2"/>
        <v>63204</v>
      </c>
    </row>
    <row r="21718">
      <c r="A21718" s="48" t="s">
        <v>26234</v>
      </c>
      <c r="B21718" s="38">
        <v>38289.0</v>
      </c>
      <c r="C21718" s="38" t="s">
        <v>26235</v>
      </c>
      <c r="D21718" s="38" t="str">
        <f>IFERROR(__xludf.DUMMYFUNCTION("REGEXREPLACE(C21718,""-\d+(.*)|--\d+(.*)"","""")"),"OZ")</f>
        <v>OZ</v>
      </c>
      <c r="E21718" s="38" t="s">
        <v>101</v>
      </c>
      <c r="F21718" s="38" t="s">
        <v>102</v>
      </c>
      <c r="G21718" s="49" t="str">
        <f t="shared" si="1"/>
        <v>38114</v>
      </c>
      <c r="H21718" s="49">
        <f t="shared" si="2"/>
        <v>38289</v>
      </c>
    </row>
    <row r="21719">
      <c r="A21719" s="48" t="s">
        <v>4445</v>
      </c>
      <c r="B21719" s="38">
        <v>30165.0</v>
      </c>
      <c r="C21719" s="38" t="s">
        <v>26236</v>
      </c>
      <c r="D21719" s="38" t="str">
        <f>IFERROR(__xludf.DUMMYFUNCTION("REGEXREPLACE(C21719,""-\d+(.*)|--\d+(.*)"","""")"),"MEJANNES-LES-ALES")</f>
        <v>MEJANNES-LES-ALES</v>
      </c>
      <c r="E21719" s="38" t="s">
        <v>526</v>
      </c>
      <c r="F21719" s="38" t="s">
        <v>119</v>
      </c>
      <c r="G21719" s="49" t="str">
        <f t="shared" si="1"/>
        <v>30340</v>
      </c>
      <c r="H21719" s="49">
        <f t="shared" si="2"/>
        <v>30165</v>
      </c>
    </row>
    <row r="21720">
      <c r="A21720" s="48" t="s">
        <v>2547</v>
      </c>
      <c r="B21720" s="38">
        <v>8085.0</v>
      </c>
      <c r="C21720" s="38" t="s">
        <v>26237</v>
      </c>
      <c r="D21720" s="38" t="str">
        <f>IFERROR(__xludf.DUMMYFUNCTION("REGEXREPLACE(C21720,""-\d+(.*)|--\d+(.*)"","""")"),"BRIEULLES-SUR-BAR")</f>
        <v>BRIEULLES-SUR-BAR</v>
      </c>
      <c r="E21720" s="38" t="s">
        <v>327</v>
      </c>
      <c r="F21720" s="38" t="s">
        <v>130</v>
      </c>
      <c r="G21720" s="49" t="str">
        <f t="shared" si="1"/>
        <v>08240</v>
      </c>
      <c r="H21720" s="49" t="str">
        <f t="shared" si="2"/>
        <v>08085</v>
      </c>
    </row>
    <row r="21721">
      <c r="A21721" s="48" t="s">
        <v>2497</v>
      </c>
      <c r="B21721" s="38">
        <v>56051.0</v>
      </c>
      <c r="C21721" s="38" t="s">
        <v>26238</v>
      </c>
      <c r="D21721" s="38" t="str">
        <f>IFERROR(__xludf.DUMMYFUNCTION("REGEXREPLACE(C21721,""-\d+(.*)|--\d+(.*)"","""")"),"CRUGUEL")</f>
        <v>CRUGUEL</v>
      </c>
      <c r="E21721" s="38" t="s">
        <v>173</v>
      </c>
      <c r="F21721" s="38" t="s">
        <v>90</v>
      </c>
      <c r="G21721" s="49" t="str">
        <f t="shared" si="1"/>
        <v>56420</v>
      </c>
      <c r="H21721" s="49">
        <f t="shared" si="2"/>
        <v>56051</v>
      </c>
    </row>
    <row r="21722">
      <c r="A21722" s="48" t="s">
        <v>2744</v>
      </c>
      <c r="B21722" s="38">
        <v>17098.0</v>
      </c>
      <c r="C21722" s="38" t="s">
        <v>26239</v>
      </c>
      <c r="D21722" s="38" t="str">
        <f>IFERROR(__xludf.DUMMYFUNCTION("REGEXREPLACE(C21722,""-\d+(.*)|--\d+(.*)"","""")"),"CHENAC-SAINT-SEURIN-D'UZET")</f>
        <v>CHENAC-SAINT-SEURIN-D'UZET</v>
      </c>
      <c r="E21722" s="38" t="s">
        <v>488</v>
      </c>
      <c r="F21722" s="38" t="s">
        <v>338</v>
      </c>
      <c r="G21722" s="49" t="str">
        <f t="shared" si="1"/>
        <v>17120</v>
      </c>
      <c r="H21722" s="49">
        <f t="shared" si="2"/>
        <v>17098</v>
      </c>
    </row>
    <row r="21723">
      <c r="A21723" s="48" t="s">
        <v>3932</v>
      </c>
      <c r="B21723" s="38">
        <v>61496.0</v>
      </c>
      <c r="C21723" s="38" t="s">
        <v>26240</v>
      </c>
      <c r="D21723" s="38" t="str">
        <f>IFERROR(__xludf.DUMMYFUNCTION("REGEXREPLACE(C21723,""-\d+(.*)|--\d+(.*)"","""")"),"UROU-ET-CRENNES")</f>
        <v>UROU-ET-CRENNES</v>
      </c>
      <c r="E21723" s="38" t="s">
        <v>141</v>
      </c>
      <c r="F21723" s="38" t="s">
        <v>138</v>
      </c>
      <c r="G21723" s="49" t="str">
        <f t="shared" si="1"/>
        <v>61200</v>
      </c>
      <c r="H21723" s="49">
        <f t="shared" si="2"/>
        <v>61496</v>
      </c>
    </row>
    <row r="21724">
      <c r="A21724" s="48" t="s">
        <v>6311</v>
      </c>
      <c r="B21724" s="38">
        <v>89485.0</v>
      </c>
      <c r="C21724" s="38" t="s">
        <v>26241</v>
      </c>
      <c r="D21724" s="38" t="str">
        <f>IFERROR(__xludf.DUMMYFUNCTION("REGEXREPLACE(C21724,""-\d+(.*)|--\d+(.*)"","""")"),"VOUTENAY-SUR-CURE")</f>
        <v>VOUTENAY-SUR-CURE</v>
      </c>
      <c r="E21724" s="38" t="s">
        <v>275</v>
      </c>
      <c r="F21724" s="38" t="s">
        <v>106</v>
      </c>
      <c r="G21724" s="49" t="str">
        <f t="shared" si="1"/>
        <v>89270</v>
      </c>
      <c r="H21724" s="49">
        <f t="shared" si="2"/>
        <v>89485</v>
      </c>
    </row>
    <row r="21725">
      <c r="A21725" s="48" t="s">
        <v>8945</v>
      </c>
      <c r="B21725" s="38">
        <v>72379.0</v>
      </c>
      <c r="C21725" s="38" t="s">
        <v>26242</v>
      </c>
      <c r="D21725" s="38" t="str">
        <f>IFERROR(__xludf.DUMMYFUNCTION("REGEXREPLACE(C21725,""-\d+(.*)|--\d+(.*)"","""")"),"VIRE-EN-CHAMPAGNE")</f>
        <v>VIRE-EN-CHAMPAGNE</v>
      </c>
      <c r="E21725" s="38" t="s">
        <v>521</v>
      </c>
      <c r="F21725" s="38" t="s">
        <v>180</v>
      </c>
      <c r="G21725" s="49" t="str">
        <f t="shared" si="1"/>
        <v>72350</v>
      </c>
      <c r="H21725" s="49">
        <f t="shared" si="2"/>
        <v>72379</v>
      </c>
    </row>
    <row r="21726">
      <c r="A21726" s="48" t="s">
        <v>3795</v>
      </c>
      <c r="B21726" s="38">
        <v>24410.0</v>
      </c>
      <c r="C21726" s="38" t="s">
        <v>26243</v>
      </c>
      <c r="D21726" s="38" t="str">
        <f>IFERROR(__xludf.DUMMYFUNCTION("REGEXREPLACE(C21726,""-\d+(.*)|--\d+(.*)"","""")"),"SAINT-FRONT-LA-RIVIERE")</f>
        <v>SAINT-FRONT-LA-RIVIERE</v>
      </c>
      <c r="E21726" s="38" t="s">
        <v>261</v>
      </c>
      <c r="F21726" s="38" t="s">
        <v>252</v>
      </c>
      <c r="G21726" s="49" t="str">
        <f t="shared" si="1"/>
        <v>24300</v>
      </c>
      <c r="H21726" s="49">
        <f t="shared" si="2"/>
        <v>24410</v>
      </c>
    </row>
    <row r="21727">
      <c r="A21727" s="48" t="s">
        <v>4661</v>
      </c>
      <c r="B21727" s="38">
        <v>62020.0</v>
      </c>
      <c r="C21727" s="38" t="s">
        <v>26244</v>
      </c>
      <c r="D21727" s="38" t="str">
        <f>IFERROR(__xludf.DUMMYFUNCTION("REGEXREPLACE(C21727,""-\d+(.*)|--\d+(.*)"","""")"),"ALEMBON")</f>
        <v>ALEMBON</v>
      </c>
      <c r="E21727" s="38" t="s">
        <v>109</v>
      </c>
      <c r="F21727" s="38" t="s">
        <v>86</v>
      </c>
      <c r="G21727" s="49" t="str">
        <f t="shared" si="1"/>
        <v>62850</v>
      </c>
      <c r="H21727" s="49">
        <f t="shared" si="2"/>
        <v>62020</v>
      </c>
    </row>
    <row r="21728">
      <c r="A21728" s="48" t="s">
        <v>5163</v>
      </c>
      <c r="B21728" s="38">
        <v>76549.0</v>
      </c>
      <c r="C21728" s="38" t="s">
        <v>26245</v>
      </c>
      <c r="D21728" s="38" t="str">
        <f>IFERROR(__xludf.DUMMYFUNCTION("REGEXREPLACE(C21728,""-\d+(.*)|--\d+(.*)"","""")"),"SAANE-SAINT-JUST")</f>
        <v>SAANE-SAINT-JUST</v>
      </c>
      <c r="E21728" s="38" t="s">
        <v>133</v>
      </c>
      <c r="F21728" s="38" t="s">
        <v>134</v>
      </c>
      <c r="G21728" s="49" t="str">
        <f t="shared" si="1"/>
        <v>76730</v>
      </c>
      <c r="H21728" s="49">
        <f t="shared" si="2"/>
        <v>76549</v>
      </c>
    </row>
    <row r="21729">
      <c r="A21729" s="48" t="s">
        <v>26246</v>
      </c>
      <c r="B21729" s="38">
        <v>56214.0</v>
      </c>
      <c r="C21729" s="38" t="s">
        <v>26247</v>
      </c>
      <c r="D21729" s="38" t="str">
        <f>IFERROR(__xludf.DUMMYFUNCTION("REGEXREPLACE(C21729,""-\d+(.*)|--\d+(.*)"","""")"),"SAINT-GILDAS-DE-RHUYS")</f>
        <v>SAINT-GILDAS-DE-RHUYS</v>
      </c>
      <c r="E21729" s="38" t="s">
        <v>173</v>
      </c>
      <c r="F21729" s="38" t="s">
        <v>90</v>
      </c>
      <c r="G21729" s="49" t="str">
        <f t="shared" si="1"/>
        <v>56730</v>
      </c>
      <c r="H21729" s="49">
        <f t="shared" si="2"/>
        <v>56214</v>
      </c>
    </row>
    <row r="21730">
      <c r="A21730" s="48" t="s">
        <v>3483</v>
      </c>
      <c r="B21730" s="38">
        <v>77459.0</v>
      </c>
      <c r="C21730" s="38" t="s">
        <v>26248</v>
      </c>
      <c r="D21730" s="38" t="str">
        <f>IFERROR(__xludf.DUMMYFUNCTION("REGEXREPLACE(C21730,""-\d+(.*)|--\d+(.*)"","""")"),"SOURDUN")</f>
        <v>SOURDUN</v>
      </c>
      <c r="E21730" s="38" t="s">
        <v>244</v>
      </c>
      <c r="F21730" s="38" t="s">
        <v>245</v>
      </c>
      <c r="G21730" s="49" t="str">
        <f t="shared" si="1"/>
        <v>77171</v>
      </c>
      <c r="H21730" s="49">
        <f t="shared" si="2"/>
        <v>77459</v>
      </c>
    </row>
    <row r="21731">
      <c r="A21731" s="48" t="s">
        <v>8719</v>
      </c>
      <c r="B21731" s="38">
        <v>38124.0</v>
      </c>
      <c r="C21731" s="38" t="s">
        <v>26249</v>
      </c>
      <c r="D21731" s="38" t="str">
        <f>IFERROR(__xludf.DUMMYFUNCTION("REGEXREPLACE(C21731,""-\d+(.*)|--\d+(.*)"","""")"),"CORBELIN")</f>
        <v>CORBELIN</v>
      </c>
      <c r="E21731" s="38" t="s">
        <v>101</v>
      </c>
      <c r="F21731" s="38" t="s">
        <v>102</v>
      </c>
      <c r="G21731" s="49" t="str">
        <f t="shared" si="1"/>
        <v>38630</v>
      </c>
      <c r="H21731" s="49">
        <f t="shared" si="2"/>
        <v>38124</v>
      </c>
    </row>
    <row r="21732">
      <c r="A21732" s="48" t="s">
        <v>639</v>
      </c>
      <c r="B21732" s="38">
        <v>16027.0</v>
      </c>
      <c r="C21732" s="38" t="s">
        <v>26250</v>
      </c>
      <c r="D21732" s="38" t="str">
        <f>IFERROR(__xludf.DUMMYFUNCTION("REGEXREPLACE(C21732,""-\d+(.*)|--\d+(.*)"","""")"),"BARBEZIERES")</f>
        <v>BARBEZIERES</v>
      </c>
      <c r="E21732" s="38" t="s">
        <v>429</v>
      </c>
      <c r="F21732" s="38" t="s">
        <v>338</v>
      </c>
      <c r="G21732" s="49" t="str">
        <f t="shared" si="1"/>
        <v>16140</v>
      </c>
      <c r="H21732" s="49">
        <f t="shared" si="2"/>
        <v>16027</v>
      </c>
    </row>
    <row r="21733">
      <c r="A21733" s="48" t="s">
        <v>8054</v>
      </c>
      <c r="B21733" s="38">
        <v>95212.0</v>
      </c>
      <c r="C21733" s="38" t="s">
        <v>26251</v>
      </c>
      <c r="D21733" s="38" t="str">
        <f>IFERROR(__xludf.DUMMYFUNCTION("REGEXREPLACE(C21733,""-\d+(.*)|--\d+(.*)"","""")"),"EPIAIS-LES-LOUVRES")</f>
        <v>EPIAIS-LES-LOUVRES</v>
      </c>
      <c r="E21733" s="38" t="s">
        <v>541</v>
      </c>
      <c r="F21733" s="38" t="s">
        <v>245</v>
      </c>
      <c r="G21733" s="49" t="str">
        <f t="shared" si="1"/>
        <v>95380</v>
      </c>
      <c r="H21733" s="49">
        <f t="shared" si="2"/>
        <v>95212</v>
      </c>
    </row>
    <row r="21734">
      <c r="A21734" s="48" t="s">
        <v>1060</v>
      </c>
      <c r="B21734" s="38">
        <v>57048.0</v>
      </c>
      <c r="C21734" s="38" t="s">
        <v>24670</v>
      </c>
      <c r="D21734" s="38" t="str">
        <f>IFERROR(__xludf.DUMMYFUNCTION("REGEXREPLACE(C21734,""-\d+(.*)|--\d+(.*)"","""")"),"BANNAY")</f>
        <v>BANNAY</v>
      </c>
      <c r="E21734" s="38" t="s">
        <v>303</v>
      </c>
      <c r="F21734" s="38" t="s">
        <v>195</v>
      </c>
      <c r="G21734" s="49" t="str">
        <f t="shared" si="1"/>
        <v>57220</v>
      </c>
      <c r="H21734" s="49">
        <f t="shared" si="2"/>
        <v>57048</v>
      </c>
    </row>
    <row r="21735">
      <c r="A21735" s="48" t="s">
        <v>7435</v>
      </c>
      <c r="B21735" s="38">
        <v>52193.0</v>
      </c>
      <c r="C21735" s="38" t="s">
        <v>26252</v>
      </c>
      <c r="D21735" s="38" t="str">
        <f>IFERROR(__xludf.DUMMYFUNCTION("REGEXREPLACE(C21735,""-\d+(.*)|--\d+(.*)"","""")"),"EUFFIGNEIX")</f>
        <v>EUFFIGNEIX</v>
      </c>
      <c r="E21735" s="38" t="s">
        <v>234</v>
      </c>
      <c r="F21735" s="38" t="s">
        <v>130</v>
      </c>
      <c r="G21735" s="49" t="str">
        <f t="shared" si="1"/>
        <v>52000</v>
      </c>
      <c r="H21735" s="49">
        <f t="shared" si="2"/>
        <v>52193</v>
      </c>
    </row>
    <row r="21736">
      <c r="A21736" s="48" t="s">
        <v>4247</v>
      </c>
      <c r="B21736" s="38">
        <v>59184.0</v>
      </c>
      <c r="C21736" s="38" t="s">
        <v>26253</v>
      </c>
      <c r="D21736" s="38" t="str">
        <f>IFERROR(__xludf.DUMMYFUNCTION("REGEXREPLACE(C21736,""-\d+(.*)|--\d+(.*)"","""")"),"EBBLINGHEM")</f>
        <v>EBBLINGHEM</v>
      </c>
      <c r="E21736" s="38" t="s">
        <v>85</v>
      </c>
      <c r="F21736" s="38" t="s">
        <v>86</v>
      </c>
      <c r="G21736" s="49" t="str">
        <f t="shared" si="1"/>
        <v>59173</v>
      </c>
      <c r="H21736" s="49">
        <f t="shared" si="2"/>
        <v>59184</v>
      </c>
    </row>
    <row r="21737">
      <c r="A21737" s="48" t="s">
        <v>12882</v>
      </c>
      <c r="B21737" s="38">
        <v>40085.0</v>
      </c>
      <c r="C21737" s="38" t="s">
        <v>26254</v>
      </c>
      <c r="D21737" s="38" t="str">
        <f>IFERROR(__xludf.DUMMYFUNCTION("REGEXREPLACE(C21737,""-\d+(.*)|--\d+(.*)"","""")"),"COMMENSACQ")</f>
        <v>COMMENSACQ</v>
      </c>
      <c r="E21737" s="38" t="s">
        <v>281</v>
      </c>
      <c r="F21737" s="38" t="s">
        <v>252</v>
      </c>
      <c r="G21737" s="49" t="str">
        <f t="shared" si="1"/>
        <v>40210</v>
      </c>
      <c r="H21737" s="49">
        <f t="shared" si="2"/>
        <v>40085</v>
      </c>
    </row>
    <row r="21738">
      <c r="A21738" s="48" t="s">
        <v>14148</v>
      </c>
      <c r="B21738" s="38">
        <v>31233.0</v>
      </c>
      <c r="C21738" s="38" t="s">
        <v>26255</v>
      </c>
      <c r="D21738" s="38" t="str">
        <f>IFERROR(__xludf.DUMMYFUNCTION("REGEXREPLACE(C21738,""-\d+(.*)|--\d+(.*)"","""")"),"GREPIAC")</f>
        <v>GREPIAC</v>
      </c>
      <c r="E21738" s="38" t="s">
        <v>93</v>
      </c>
      <c r="F21738" s="38" t="s">
        <v>94</v>
      </c>
      <c r="G21738" s="49" t="str">
        <f t="shared" si="1"/>
        <v>31190</v>
      </c>
      <c r="H21738" s="49">
        <f t="shared" si="2"/>
        <v>31233</v>
      </c>
    </row>
    <row r="21739">
      <c r="A21739" s="48" t="s">
        <v>9621</v>
      </c>
      <c r="B21739" s="38">
        <v>43056.0</v>
      </c>
      <c r="C21739" s="38" t="s">
        <v>26256</v>
      </c>
      <c r="D21739" s="38" t="str">
        <f>IFERROR(__xludf.DUMMYFUNCTION("REGEXREPLACE(C21739,""-\d+(.*)|--\d+(.*)"","""")"),"CHANTEUGES")</f>
        <v>CHANTEUGES</v>
      </c>
      <c r="E21739" s="38" t="s">
        <v>332</v>
      </c>
      <c r="F21739" s="38" t="s">
        <v>161</v>
      </c>
      <c r="G21739" s="49" t="str">
        <f t="shared" si="1"/>
        <v>43300</v>
      </c>
      <c r="H21739" s="49">
        <f t="shared" si="2"/>
        <v>43056</v>
      </c>
    </row>
    <row r="21740">
      <c r="A21740" s="48" t="s">
        <v>26257</v>
      </c>
      <c r="B21740" s="38">
        <v>25193.0</v>
      </c>
      <c r="C21740" s="38" t="s">
        <v>26258</v>
      </c>
      <c r="D21740" s="38" t="str">
        <f>IFERROR(__xludf.DUMMYFUNCTION("REGEXREPLACE(C21740,""-\d+(.*)|--\d+(.*)"","""")"),"DAMPRICHARD")</f>
        <v>DAMPRICHARD</v>
      </c>
      <c r="E21740" s="38" t="s">
        <v>213</v>
      </c>
      <c r="F21740" s="38" t="s">
        <v>214</v>
      </c>
      <c r="G21740" s="49" t="str">
        <f t="shared" si="1"/>
        <v>25450</v>
      </c>
      <c r="H21740" s="49">
        <f t="shared" si="2"/>
        <v>25193</v>
      </c>
    </row>
    <row r="21741">
      <c r="A21741" s="48" t="s">
        <v>3194</v>
      </c>
      <c r="B21741" s="38">
        <v>89198.0</v>
      </c>
      <c r="C21741" s="38" t="s">
        <v>26259</v>
      </c>
      <c r="D21741" s="38" t="str">
        <f>IFERROR(__xludf.DUMMYFUNCTION("REGEXREPLACE(C21741,""-\d+(.*)|--\d+(.*)"","""")"),"GURGY")</f>
        <v>GURGY</v>
      </c>
      <c r="E21741" s="38" t="s">
        <v>275</v>
      </c>
      <c r="F21741" s="38" t="s">
        <v>106</v>
      </c>
      <c r="G21741" s="49" t="str">
        <f t="shared" si="1"/>
        <v>89250</v>
      </c>
      <c r="H21741" s="49">
        <f t="shared" si="2"/>
        <v>89198</v>
      </c>
    </row>
    <row r="21742">
      <c r="A21742" s="48" t="s">
        <v>3194</v>
      </c>
      <c r="B21742" s="38">
        <v>89200.0</v>
      </c>
      <c r="C21742" s="38" t="s">
        <v>3953</v>
      </c>
      <c r="D21742" s="38" t="str">
        <f>IFERROR(__xludf.DUMMYFUNCTION("REGEXREPLACE(C21742,""-\d+(.*)|--\d+(.*)"","""")"),"HAUTERIVE")</f>
        <v>HAUTERIVE</v>
      </c>
      <c r="E21742" s="38" t="s">
        <v>275</v>
      </c>
      <c r="F21742" s="38" t="s">
        <v>106</v>
      </c>
      <c r="G21742" s="49" t="str">
        <f t="shared" si="1"/>
        <v>89250</v>
      </c>
      <c r="H21742" s="49">
        <f t="shared" si="2"/>
        <v>89200</v>
      </c>
    </row>
    <row r="21743">
      <c r="A21743" s="48" t="s">
        <v>249</v>
      </c>
      <c r="B21743" s="38">
        <v>47027.0</v>
      </c>
      <c r="C21743" s="38" t="s">
        <v>26260</v>
      </c>
      <c r="D21743" s="38" t="str">
        <f>IFERROR(__xludf.DUMMYFUNCTION("REGEXREPLACE(C21743,""-\d+(.*)|--\d+(.*)"","""")"),"BIAS")</f>
        <v>BIAS</v>
      </c>
      <c r="E21743" s="38" t="s">
        <v>251</v>
      </c>
      <c r="F21743" s="38" t="s">
        <v>252</v>
      </c>
      <c r="G21743" s="49" t="str">
        <f t="shared" si="1"/>
        <v>47300</v>
      </c>
      <c r="H21743" s="49">
        <f t="shared" si="2"/>
        <v>47027</v>
      </c>
    </row>
    <row r="21744">
      <c r="A21744" s="48" t="s">
        <v>1572</v>
      </c>
      <c r="B21744" s="38">
        <v>32444.0</v>
      </c>
      <c r="C21744" s="38" t="s">
        <v>26261</v>
      </c>
      <c r="D21744" s="38" t="str">
        <f>IFERROR(__xludf.DUMMYFUNCTION("REGEXREPLACE(C21744,""-\d+(.*)|--\d+(.*)"","""")"),"THOUX")</f>
        <v>THOUX</v>
      </c>
      <c r="E21744" s="38" t="s">
        <v>440</v>
      </c>
      <c r="F21744" s="38" t="s">
        <v>94</v>
      </c>
      <c r="G21744" s="49" t="str">
        <f t="shared" si="1"/>
        <v>32430</v>
      </c>
      <c r="H21744" s="49">
        <f t="shared" si="2"/>
        <v>32444</v>
      </c>
    </row>
    <row r="21745">
      <c r="A21745" s="48" t="s">
        <v>12127</v>
      </c>
      <c r="B21745" s="38">
        <v>7134.0</v>
      </c>
      <c r="C21745" s="38" t="s">
        <v>26262</v>
      </c>
      <c r="D21745" s="38" t="str">
        <f>IFERROR(__xludf.DUMMYFUNCTION("REGEXREPLACE(C21745,""-\d+(.*)|--\d+(.*)"","""")"),"LAURAC-EN-VIVARAIS")</f>
        <v>LAURAC-EN-VIVARAIS</v>
      </c>
      <c r="E21745" s="38" t="s">
        <v>144</v>
      </c>
      <c r="F21745" s="38" t="s">
        <v>102</v>
      </c>
      <c r="G21745" s="49" t="str">
        <f t="shared" si="1"/>
        <v>07110</v>
      </c>
      <c r="H21745" s="49" t="str">
        <f t="shared" si="2"/>
        <v>07134</v>
      </c>
    </row>
    <row r="21746">
      <c r="A21746" s="48" t="s">
        <v>3158</v>
      </c>
      <c r="B21746" s="38">
        <v>50209.0</v>
      </c>
      <c r="C21746" s="38" t="s">
        <v>26263</v>
      </c>
      <c r="D21746" s="38" t="str">
        <f>IFERROR(__xludf.DUMMYFUNCTION("REGEXREPLACE(C21746,""-\d+(.*)|--\d+(.*)"","""")"),"GONNEVILLE")</f>
        <v>GONNEVILLE</v>
      </c>
      <c r="E21746" s="38" t="s">
        <v>157</v>
      </c>
      <c r="F21746" s="38" t="s">
        <v>138</v>
      </c>
      <c r="G21746" s="49" t="str">
        <f t="shared" si="1"/>
        <v>50330</v>
      </c>
      <c r="H21746" s="49">
        <f t="shared" si="2"/>
        <v>50209</v>
      </c>
    </row>
    <row r="21747">
      <c r="A21747" s="48" t="s">
        <v>3266</v>
      </c>
      <c r="B21747" s="38">
        <v>55376.0</v>
      </c>
      <c r="C21747" s="38" t="s">
        <v>26264</v>
      </c>
      <c r="D21747" s="38" t="str">
        <f>IFERROR(__xludf.DUMMYFUNCTION("REGEXREPLACE(C21747,""-\d+(.*)|--\d+(.*)"","""")"),"NANTOIS")</f>
        <v>NANTOIS</v>
      </c>
      <c r="E21747" s="38" t="s">
        <v>322</v>
      </c>
      <c r="F21747" s="38" t="s">
        <v>195</v>
      </c>
      <c r="G21747" s="49" t="str">
        <f t="shared" si="1"/>
        <v>55500</v>
      </c>
      <c r="H21747" s="49">
        <f t="shared" si="2"/>
        <v>55376</v>
      </c>
    </row>
    <row r="21748">
      <c r="A21748" s="48" t="s">
        <v>13763</v>
      </c>
      <c r="B21748" s="38">
        <v>1410.0</v>
      </c>
      <c r="C21748" s="38" t="s">
        <v>26265</v>
      </c>
      <c r="D21748" s="38" t="str">
        <f>IFERROR(__xludf.DUMMYFUNCTION("REGEXREPLACE(C21748,""-\d+(.*)|--\d+(.*)"","""")"),"SONTHONNAX-LA-MONTAGNE")</f>
        <v>SONTHONNAX-LA-MONTAGNE</v>
      </c>
      <c r="E21748" s="38" t="s">
        <v>255</v>
      </c>
      <c r="F21748" s="38" t="s">
        <v>102</v>
      </c>
      <c r="G21748" s="49" t="str">
        <f t="shared" si="1"/>
        <v>01580</v>
      </c>
      <c r="H21748" s="49" t="str">
        <f t="shared" si="2"/>
        <v>01410</v>
      </c>
    </row>
    <row r="21749">
      <c r="A21749" s="48" t="s">
        <v>8404</v>
      </c>
      <c r="B21749" s="38" t="s">
        <v>26266</v>
      </c>
      <c r="C21749" s="38" t="s">
        <v>26267</v>
      </c>
      <c r="D21749" s="38" t="str">
        <f>IFERROR(__xludf.DUMMYFUNCTION("REGEXREPLACE(C21749,""-\d+(.*)|--\d+(.*)"","""")"),"VIGNALE")</f>
        <v>VIGNALE</v>
      </c>
      <c r="E21749" s="38" t="s">
        <v>743</v>
      </c>
      <c r="F21749" s="38" t="s">
        <v>607</v>
      </c>
      <c r="G21749" s="49" t="str">
        <f t="shared" si="1"/>
        <v>20290</v>
      </c>
      <c r="H21749" s="49" t="str">
        <f t="shared" si="2"/>
        <v>2B350</v>
      </c>
    </row>
    <row r="21750">
      <c r="A21750" s="48" t="s">
        <v>1398</v>
      </c>
      <c r="B21750" s="38">
        <v>45018.0</v>
      </c>
      <c r="C21750" s="38" t="s">
        <v>23956</v>
      </c>
      <c r="D21750" s="38" t="str">
        <f>IFERROR(__xludf.DUMMYFUNCTION("REGEXREPLACE(C21750,""-\d+(.*)|--\d+(.*)"","""")"),"AUXY")</f>
        <v>AUXY</v>
      </c>
      <c r="E21750" s="38" t="s">
        <v>122</v>
      </c>
      <c r="F21750" s="38" t="s">
        <v>123</v>
      </c>
      <c r="G21750" s="49" t="str">
        <f t="shared" si="1"/>
        <v>45340</v>
      </c>
      <c r="H21750" s="49">
        <f t="shared" si="2"/>
        <v>45018</v>
      </c>
    </row>
    <row r="21751">
      <c r="A21751" s="48" t="s">
        <v>3031</v>
      </c>
      <c r="B21751" s="38">
        <v>21257.0</v>
      </c>
      <c r="C21751" s="38" t="s">
        <v>26268</v>
      </c>
      <c r="D21751" s="38" t="str">
        <f>IFERROR(__xludf.DUMMYFUNCTION("REGEXREPLACE(C21751,""-\d+(.*)|--\d+(.*)"","""")"),"ETORMAY")</f>
        <v>ETORMAY</v>
      </c>
      <c r="E21751" s="38" t="s">
        <v>105</v>
      </c>
      <c r="F21751" s="38" t="s">
        <v>106</v>
      </c>
      <c r="G21751" s="49" t="str">
        <f t="shared" si="1"/>
        <v>21450</v>
      </c>
      <c r="H21751" s="49">
        <f t="shared" si="2"/>
        <v>21257</v>
      </c>
    </row>
    <row r="21752">
      <c r="A21752" s="48" t="s">
        <v>26234</v>
      </c>
      <c r="B21752" s="38">
        <v>38005.0</v>
      </c>
      <c r="C21752" s="38" t="s">
        <v>26269</v>
      </c>
      <c r="D21752" s="38" t="str">
        <f>IFERROR(__xludf.DUMMYFUNCTION("REGEXREPLACE(C21752,""-\d+(.*)|--\d+(.*)"","""")"),"ALLEMOND")</f>
        <v>ALLEMOND</v>
      </c>
      <c r="E21752" s="38" t="s">
        <v>101</v>
      </c>
      <c r="F21752" s="38" t="s">
        <v>102</v>
      </c>
      <c r="G21752" s="49" t="str">
        <f t="shared" si="1"/>
        <v>38114</v>
      </c>
      <c r="H21752" s="49">
        <f t="shared" si="2"/>
        <v>38005</v>
      </c>
    </row>
    <row r="21753">
      <c r="A21753" s="48" t="s">
        <v>8579</v>
      </c>
      <c r="B21753" s="38">
        <v>32380.0</v>
      </c>
      <c r="C21753" s="38" t="s">
        <v>26270</v>
      </c>
      <c r="D21753" s="38" t="str">
        <f>IFERROR(__xludf.DUMMYFUNCTION("REGEXREPLACE(C21753,""-\d+(.*)|--\d+(.*)"","""")"),"SAINT-GRIEDE")</f>
        <v>SAINT-GRIEDE</v>
      </c>
      <c r="E21753" s="38" t="s">
        <v>440</v>
      </c>
      <c r="F21753" s="38" t="s">
        <v>94</v>
      </c>
      <c r="G21753" s="49" t="str">
        <f t="shared" si="1"/>
        <v>32110</v>
      </c>
      <c r="H21753" s="49">
        <f t="shared" si="2"/>
        <v>32380</v>
      </c>
    </row>
    <row r="21754">
      <c r="A21754" s="48" t="s">
        <v>7926</v>
      </c>
      <c r="B21754" s="38">
        <v>71316.0</v>
      </c>
      <c r="C21754" s="38" t="s">
        <v>26271</v>
      </c>
      <c r="D21754" s="38" t="str">
        <f>IFERROR(__xludf.DUMMYFUNCTION("REGEXREPLACE(C21754,""-\d+(.*)|--\d+(.*)"","""")"),"MONTMELARD")</f>
        <v>MONTMELARD</v>
      </c>
      <c r="E21754" s="38" t="s">
        <v>344</v>
      </c>
      <c r="F21754" s="38" t="s">
        <v>106</v>
      </c>
      <c r="G21754" s="49" t="str">
        <f t="shared" si="1"/>
        <v>71520</v>
      </c>
      <c r="H21754" s="49">
        <f t="shared" si="2"/>
        <v>71316</v>
      </c>
    </row>
    <row r="21755">
      <c r="A21755" s="48" t="s">
        <v>2845</v>
      </c>
      <c r="B21755" s="38" t="s">
        <v>26272</v>
      </c>
      <c r="C21755" s="38" t="s">
        <v>26273</v>
      </c>
      <c r="D21755" s="38" t="str">
        <f>IFERROR(__xludf.DUMMYFUNCTION("REGEXREPLACE(C21755,""-\d+(.*)|--\d+(.*)"","""")"),"POGGIO-MEZZANA")</f>
        <v>POGGIO-MEZZANA</v>
      </c>
      <c r="E21755" s="38" t="s">
        <v>743</v>
      </c>
      <c r="F21755" s="38" t="s">
        <v>607</v>
      </c>
      <c r="G21755" s="49" t="str">
        <f t="shared" si="1"/>
        <v>20230</v>
      </c>
      <c r="H21755" s="49" t="str">
        <f t="shared" si="2"/>
        <v>2B242</v>
      </c>
    </row>
    <row r="21756">
      <c r="A21756" s="48" t="s">
        <v>8515</v>
      </c>
      <c r="B21756" s="38">
        <v>8243.0</v>
      </c>
      <c r="C21756" s="38" t="s">
        <v>26274</v>
      </c>
      <c r="D21756" s="38" t="str">
        <f>IFERROR(__xludf.DUMMYFUNCTION("REGEXREPLACE(C21756,""-\d+(.*)|--\d+(.*)"","""")"),"LALOBBE")</f>
        <v>LALOBBE</v>
      </c>
      <c r="E21756" s="38" t="s">
        <v>327</v>
      </c>
      <c r="F21756" s="38" t="s">
        <v>130</v>
      </c>
      <c r="G21756" s="49" t="str">
        <f t="shared" si="1"/>
        <v>08460</v>
      </c>
      <c r="H21756" s="49" t="str">
        <f t="shared" si="2"/>
        <v>08243</v>
      </c>
    </row>
    <row r="21757">
      <c r="A21757" s="48" t="s">
        <v>4596</v>
      </c>
      <c r="B21757" s="38">
        <v>2662.0</v>
      </c>
      <c r="C21757" s="38" t="s">
        <v>26275</v>
      </c>
      <c r="D21757" s="38" t="str">
        <f>IFERROR(__xludf.DUMMYFUNCTION("REGEXREPLACE(C21757,""-\d+(.*)|--\d+(.*)"","""")"),"ROZET-SAINT-ALBIN")</f>
        <v>ROZET-SAINT-ALBIN</v>
      </c>
      <c r="E21757" s="38" t="s">
        <v>191</v>
      </c>
      <c r="F21757" s="38" t="s">
        <v>113</v>
      </c>
      <c r="G21757" s="49" t="str">
        <f t="shared" si="1"/>
        <v>02210</v>
      </c>
      <c r="H21757" s="49" t="str">
        <f t="shared" si="2"/>
        <v>02662</v>
      </c>
    </row>
    <row r="21758">
      <c r="A21758" s="48" t="s">
        <v>26276</v>
      </c>
      <c r="B21758" s="38">
        <v>61447.0</v>
      </c>
      <c r="C21758" s="38" t="s">
        <v>26277</v>
      </c>
      <c r="D21758" s="38" t="str">
        <f>IFERROR(__xludf.DUMMYFUNCTION("REGEXREPLACE(C21758,""-\d+(.*)|--\d+(.*)"","""")"),"SAINT-PIERRE-DU-REGARD")</f>
        <v>SAINT-PIERRE-DU-REGARD</v>
      </c>
      <c r="E21758" s="38" t="s">
        <v>141</v>
      </c>
      <c r="F21758" s="38" t="s">
        <v>138</v>
      </c>
      <c r="G21758" s="49" t="str">
        <f t="shared" si="1"/>
        <v>61790</v>
      </c>
      <c r="H21758" s="49">
        <f t="shared" si="2"/>
        <v>61447</v>
      </c>
    </row>
    <row r="21759">
      <c r="A21759" s="48" t="s">
        <v>9234</v>
      </c>
      <c r="B21759" s="38">
        <v>16389.0</v>
      </c>
      <c r="C21759" s="38" t="s">
        <v>26278</v>
      </c>
      <c r="D21759" s="38" t="str">
        <f>IFERROR(__xludf.DUMMYFUNCTION("REGEXREPLACE(C21759,""-\d+(.*)|--\d+(.*)"","""")"),"TURGON")</f>
        <v>TURGON</v>
      </c>
      <c r="E21759" s="38" t="s">
        <v>429</v>
      </c>
      <c r="F21759" s="38" t="s">
        <v>338</v>
      </c>
      <c r="G21759" s="49" t="str">
        <f t="shared" si="1"/>
        <v>16350</v>
      </c>
      <c r="H21759" s="49">
        <f t="shared" si="2"/>
        <v>16389</v>
      </c>
    </row>
    <row r="21760">
      <c r="A21760" s="48" t="s">
        <v>5779</v>
      </c>
      <c r="B21760" s="38">
        <v>86087.0</v>
      </c>
      <c r="C21760" s="38" t="s">
        <v>26279</v>
      </c>
      <c r="D21760" s="38" t="str">
        <f>IFERROR(__xludf.DUMMYFUNCTION("REGEXREPLACE(C21760,""-\d+(.*)|--\d+(.*)"","""")"),"CRAON")</f>
        <v>CRAON</v>
      </c>
      <c r="E21760" s="38" t="s">
        <v>529</v>
      </c>
      <c r="F21760" s="38" t="s">
        <v>338</v>
      </c>
      <c r="G21760" s="49" t="str">
        <f t="shared" si="1"/>
        <v>86110</v>
      </c>
      <c r="H21760" s="49">
        <f t="shared" si="2"/>
        <v>86087</v>
      </c>
    </row>
    <row r="21761">
      <c r="A21761" s="48" t="s">
        <v>1964</v>
      </c>
      <c r="B21761" s="38">
        <v>26080.0</v>
      </c>
      <c r="C21761" s="38" t="s">
        <v>26280</v>
      </c>
      <c r="D21761" s="38" t="str">
        <f>IFERROR(__xludf.DUMMYFUNCTION("REGEXREPLACE(C21761,""-\d+(.*)|--\d+(.*)"","""")"),"CHASTEL-ARNAUD")</f>
        <v>CHASTEL-ARNAUD</v>
      </c>
      <c r="E21761" s="38" t="s">
        <v>126</v>
      </c>
      <c r="F21761" s="38" t="s">
        <v>102</v>
      </c>
      <c r="G21761" s="49" t="str">
        <f t="shared" si="1"/>
        <v>26340</v>
      </c>
      <c r="H21761" s="49">
        <f t="shared" si="2"/>
        <v>26080</v>
      </c>
    </row>
    <row r="21762">
      <c r="A21762" s="48" t="s">
        <v>4011</v>
      </c>
      <c r="B21762" s="38">
        <v>80114.0</v>
      </c>
      <c r="C21762" s="38" t="s">
        <v>26281</v>
      </c>
      <c r="D21762" s="38" t="str">
        <f>IFERROR(__xludf.DUMMYFUNCTION("REGEXREPLACE(C21762,""-\d+(.*)|--\d+(.*)"","""")"),"BOSQUEL")</f>
        <v>BOSQUEL</v>
      </c>
      <c r="E21762" s="38" t="s">
        <v>224</v>
      </c>
      <c r="F21762" s="38" t="s">
        <v>113</v>
      </c>
      <c r="G21762" s="49" t="str">
        <f t="shared" si="1"/>
        <v>80160</v>
      </c>
      <c r="H21762" s="49">
        <f t="shared" si="2"/>
        <v>80114</v>
      </c>
    </row>
    <row r="21763">
      <c r="A21763" s="48" t="s">
        <v>9168</v>
      </c>
      <c r="B21763" s="38">
        <v>71106.0</v>
      </c>
      <c r="C21763" s="38" t="s">
        <v>26282</v>
      </c>
      <c r="D21763" s="38" t="str">
        <f>IFERROR(__xludf.DUMMYFUNCTION("REGEXREPLACE(C21763,""-\d+(.*)|--\d+(.*)"","""")"),"CHAROLLES")</f>
        <v>CHAROLLES</v>
      </c>
      <c r="E21763" s="38" t="s">
        <v>344</v>
      </c>
      <c r="F21763" s="38" t="s">
        <v>106</v>
      </c>
      <c r="G21763" s="49" t="str">
        <f t="shared" si="1"/>
        <v>71120</v>
      </c>
      <c r="H21763" s="49">
        <f t="shared" si="2"/>
        <v>71106</v>
      </c>
    </row>
    <row r="21764">
      <c r="A21764" s="48" t="s">
        <v>6150</v>
      </c>
      <c r="B21764" s="38">
        <v>71187.0</v>
      </c>
      <c r="C21764" s="38" t="s">
        <v>26283</v>
      </c>
      <c r="D21764" s="38" t="str">
        <f>IFERROR(__xludf.DUMMYFUNCTION("REGEXREPLACE(C21764,""-\d+(.*)|--\d+(.*)"","""")"),"ECUISSES")</f>
        <v>ECUISSES</v>
      </c>
      <c r="E21764" s="38" t="s">
        <v>344</v>
      </c>
      <c r="F21764" s="38" t="s">
        <v>106</v>
      </c>
      <c r="G21764" s="49" t="str">
        <f t="shared" si="1"/>
        <v>71210</v>
      </c>
      <c r="H21764" s="49">
        <f t="shared" si="2"/>
        <v>71187</v>
      </c>
    </row>
    <row r="21765">
      <c r="A21765" s="48" t="s">
        <v>15250</v>
      </c>
      <c r="B21765" s="38">
        <v>86026.0</v>
      </c>
      <c r="C21765" s="38" t="s">
        <v>26284</v>
      </c>
      <c r="D21765" s="38" t="str">
        <f>IFERROR(__xludf.DUMMYFUNCTION("REGEXREPLACE(C21765,""-\d+(.*)|--\d+(.*)"","""")"),"BEUXES")</f>
        <v>BEUXES</v>
      </c>
      <c r="E21765" s="38" t="s">
        <v>529</v>
      </c>
      <c r="F21765" s="38" t="s">
        <v>338</v>
      </c>
      <c r="G21765" s="49" t="str">
        <f t="shared" si="1"/>
        <v>86120</v>
      </c>
      <c r="H21765" s="49">
        <f t="shared" si="2"/>
        <v>86026</v>
      </c>
    </row>
    <row r="21766">
      <c r="A21766" s="48" t="s">
        <v>12882</v>
      </c>
      <c r="B21766" s="38">
        <v>40094.0</v>
      </c>
      <c r="C21766" s="38" t="s">
        <v>26285</v>
      </c>
      <c r="D21766" s="38" t="str">
        <f>IFERROR(__xludf.DUMMYFUNCTION("REGEXREPLACE(C21766,""-\d+(.*)|--\d+(.*)"","""")"),"ESCOURCE")</f>
        <v>ESCOURCE</v>
      </c>
      <c r="E21766" s="38" t="s">
        <v>281</v>
      </c>
      <c r="F21766" s="38" t="s">
        <v>252</v>
      </c>
      <c r="G21766" s="49" t="str">
        <f t="shared" si="1"/>
        <v>40210</v>
      </c>
      <c r="H21766" s="49">
        <f t="shared" si="2"/>
        <v>40094</v>
      </c>
    </row>
    <row r="21767">
      <c r="A21767" s="48" t="s">
        <v>4267</v>
      </c>
      <c r="B21767" s="38">
        <v>62726.0</v>
      </c>
      <c r="C21767" s="38" t="s">
        <v>26286</v>
      </c>
      <c r="D21767" s="38" t="str">
        <f>IFERROR(__xludf.DUMMYFUNCTION("REGEXREPLACE(C21767,""-\d+(.*)|--\d+(.*)"","""")"),"RUISSEAUVILLE")</f>
        <v>RUISSEAUVILLE</v>
      </c>
      <c r="E21767" s="38" t="s">
        <v>109</v>
      </c>
      <c r="F21767" s="38" t="s">
        <v>86</v>
      </c>
      <c r="G21767" s="49" t="str">
        <f t="shared" si="1"/>
        <v>62310</v>
      </c>
      <c r="H21767" s="49">
        <f t="shared" si="2"/>
        <v>62726</v>
      </c>
    </row>
    <row r="21768">
      <c r="A21768" s="48" t="s">
        <v>2942</v>
      </c>
      <c r="B21768" s="38">
        <v>14573.0</v>
      </c>
      <c r="C21768" s="38" t="s">
        <v>26287</v>
      </c>
      <c r="D21768" s="38" t="str">
        <f>IFERROR(__xludf.DUMMYFUNCTION("REGEXREPLACE(C21768,""-\d+(.*)|--\d+(.*)"","""")"),"SAINT-DENIS-MAISONCELLES")</f>
        <v>SAINT-DENIS-MAISONCELLES</v>
      </c>
      <c r="E21768" s="38" t="s">
        <v>137</v>
      </c>
      <c r="F21768" s="38" t="s">
        <v>138</v>
      </c>
      <c r="G21768" s="49" t="str">
        <f t="shared" si="1"/>
        <v>14350</v>
      </c>
      <c r="H21768" s="49">
        <f t="shared" si="2"/>
        <v>14573</v>
      </c>
    </row>
    <row r="21769">
      <c r="A21769" s="48" t="s">
        <v>12360</v>
      </c>
      <c r="B21769" s="38">
        <v>74252.0</v>
      </c>
      <c r="C21769" s="38" t="s">
        <v>18090</v>
      </c>
      <c r="D21769" s="38" t="str">
        <f>IFERROR(__xludf.DUMMYFUNCTION("REGEXREPLACE(C21769,""-\d+(.*)|--\d+(.*)"","""")"),"SAINT-SIGISMOND")</f>
        <v>SAINT-SIGISMOND</v>
      </c>
      <c r="E21769" s="38" t="s">
        <v>319</v>
      </c>
      <c r="F21769" s="38" t="s">
        <v>102</v>
      </c>
      <c r="G21769" s="49" t="str">
        <f t="shared" si="1"/>
        <v>74300</v>
      </c>
      <c r="H21769" s="49">
        <f t="shared" si="2"/>
        <v>74252</v>
      </c>
    </row>
    <row r="21770">
      <c r="A21770" s="48" t="s">
        <v>10259</v>
      </c>
      <c r="B21770" s="38">
        <v>73235.0</v>
      </c>
      <c r="C21770" s="38" t="s">
        <v>26288</v>
      </c>
      <c r="D21770" s="38" t="str">
        <f>IFERROR(__xludf.DUMMYFUNCTION("REGEXREPLACE(C21770,""-\d+(.*)|--\d+(.*)"","""")"),"SAINT-FRANCOIS-LONGCHAMP")</f>
        <v>SAINT-FRANCOIS-LONGCHAMP</v>
      </c>
      <c r="E21770" s="38" t="s">
        <v>306</v>
      </c>
      <c r="F21770" s="38" t="s">
        <v>102</v>
      </c>
      <c r="G21770" s="49" t="str">
        <f t="shared" si="1"/>
        <v>73130</v>
      </c>
      <c r="H21770" s="49">
        <f t="shared" si="2"/>
        <v>73235</v>
      </c>
    </row>
    <row r="21771">
      <c r="A21771" s="48" t="s">
        <v>1756</v>
      </c>
      <c r="B21771" s="38">
        <v>28049.0</v>
      </c>
      <c r="C21771" s="38" t="s">
        <v>26289</v>
      </c>
      <c r="D21771" s="38" t="str">
        <f>IFERROR(__xludf.DUMMYFUNCTION("REGEXREPLACE(C21771,""-\d+(.*)|--\d+(.*)"","""")"),"BONCE")</f>
        <v>BONCE</v>
      </c>
      <c r="E21771" s="38" t="s">
        <v>300</v>
      </c>
      <c r="F21771" s="38" t="s">
        <v>123</v>
      </c>
      <c r="G21771" s="49" t="str">
        <f t="shared" si="1"/>
        <v>28150</v>
      </c>
      <c r="H21771" s="49">
        <f t="shared" si="2"/>
        <v>28049</v>
      </c>
    </row>
    <row r="21772">
      <c r="A21772" s="48" t="s">
        <v>3450</v>
      </c>
      <c r="B21772" s="38">
        <v>60471.0</v>
      </c>
      <c r="C21772" s="38" t="s">
        <v>26290</v>
      </c>
      <c r="D21772" s="38" t="str">
        <f>IFERROR(__xludf.DUMMYFUNCTION("REGEXREPLACE(C21772,""-\d+(.*)|--\d+(.*)"","""")"),"NOYON")</f>
        <v>NOYON</v>
      </c>
      <c r="E21772" s="38" t="s">
        <v>112</v>
      </c>
      <c r="F21772" s="38" t="s">
        <v>113</v>
      </c>
      <c r="G21772" s="49" t="str">
        <f t="shared" si="1"/>
        <v>60400</v>
      </c>
      <c r="H21772" s="49">
        <f t="shared" si="2"/>
        <v>60471</v>
      </c>
    </row>
    <row r="21773">
      <c r="A21773" s="48" t="s">
        <v>6224</v>
      </c>
      <c r="B21773" s="38">
        <v>38181.0</v>
      </c>
      <c r="C21773" s="38" t="s">
        <v>26291</v>
      </c>
      <c r="D21773" s="38" t="str">
        <f>IFERROR(__xludf.DUMMYFUNCTION("REGEXREPLACE(C21773,""-\d+(.*)|--\d+(.*)"","""")"),"GONCELIN")</f>
        <v>GONCELIN</v>
      </c>
      <c r="E21773" s="38" t="s">
        <v>101</v>
      </c>
      <c r="F21773" s="38" t="s">
        <v>102</v>
      </c>
      <c r="G21773" s="49" t="str">
        <f t="shared" si="1"/>
        <v>38570</v>
      </c>
      <c r="H21773" s="49">
        <f t="shared" si="2"/>
        <v>38181</v>
      </c>
    </row>
    <row r="21774">
      <c r="A21774" s="48" t="s">
        <v>2882</v>
      </c>
      <c r="B21774" s="38">
        <v>76454.0</v>
      </c>
      <c r="C21774" s="38" t="s">
        <v>3650</v>
      </c>
      <c r="D21774" s="38" t="str">
        <f>IFERROR(__xludf.DUMMYFUNCTION("REGEXREPLACE(C21774,""-\d+(.*)|--\d+(.*)"","""")"),"MORTEMER")</f>
        <v>MORTEMER</v>
      </c>
      <c r="E21774" s="38" t="s">
        <v>133</v>
      </c>
      <c r="F21774" s="38" t="s">
        <v>134</v>
      </c>
      <c r="G21774" s="49" t="str">
        <f t="shared" si="1"/>
        <v>76270</v>
      </c>
      <c r="H21774" s="49">
        <f t="shared" si="2"/>
        <v>76454</v>
      </c>
    </row>
    <row r="21775">
      <c r="A21775" s="48" t="s">
        <v>2332</v>
      </c>
      <c r="B21775" s="38">
        <v>81298.0</v>
      </c>
      <c r="C21775" s="38" t="s">
        <v>26292</v>
      </c>
      <c r="D21775" s="38" t="str">
        <f>IFERROR(__xludf.DUMMYFUNCTION("REGEXREPLACE(C21775,""-\d+(.*)|--\d+(.*)"","""")"),"TEULAT")</f>
        <v>TEULAT</v>
      </c>
      <c r="E21775" s="38" t="s">
        <v>231</v>
      </c>
      <c r="F21775" s="38" t="s">
        <v>94</v>
      </c>
      <c r="G21775" s="49" t="str">
        <f t="shared" si="1"/>
        <v>81500</v>
      </c>
      <c r="H21775" s="49">
        <f t="shared" si="2"/>
        <v>81298</v>
      </c>
    </row>
    <row r="21776">
      <c r="A21776" s="48" t="s">
        <v>1800</v>
      </c>
      <c r="B21776" s="38">
        <v>88367.0</v>
      </c>
      <c r="C21776" s="38" t="s">
        <v>26293</v>
      </c>
      <c r="D21776" s="38" t="str">
        <f>IFERROR(__xludf.DUMMYFUNCTION("REGEXREPLACE(C21776,""-\d+(.*)|--\d+(.*)"","""")"),"RAMBERVILLERS")</f>
        <v>RAMBERVILLERS</v>
      </c>
      <c r="E21776" s="38" t="s">
        <v>194</v>
      </c>
      <c r="F21776" s="38" t="s">
        <v>195</v>
      </c>
      <c r="G21776" s="49" t="str">
        <f t="shared" si="1"/>
        <v>88700</v>
      </c>
      <c r="H21776" s="49">
        <f t="shared" si="2"/>
        <v>88367</v>
      </c>
    </row>
    <row r="21777">
      <c r="A21777" s="48" t="s">
        <v>2532</v>
      </c>
      <c r="B21777" s="38">
        <v>51626.0</v>
      </c>
      <c r="C21777" s="38" t="s">
        <v>26294</v>
      </c>
      <c r="D21777" s="38" t="str">
        <f>IFERROR(__xludf.DUMMYFUNCTION("REGEXREPLACE(C21777,""-\d+(.*)|--\d+(.*)"","""")"),"LA VILLENEUVE-LES-CHARLEVILLE")</f>
        <v>LA VILLENEUVE-LES-CHARLEVILLE</v>
      </c>
      <c r="E21777" s="38" t="s">
        <v>129</v>
      </c>
      <c r="F21777" s="38" t="s">
        <v>130</v>
      </c>
      <c r="G21777" s="49" t="str">
        <f t="shared" si="1"/>
        <v>51120</v>
      </c>
      <c r="H21777" s="49">
        <f t="shared" si="2"/>
        <v>51626</v>
      </c>
    </row>
    <row r="21778">
      <c r="A21778" s="48" t="s">
        <v>8103</v>
      </c>
      <c r="B21778" s="38">
        <v>55583.0</v>
      </c>
      <c r="C21778" s="38" t="s">
        <v>26295</v>
      </c>
      <c r="D21778" s="38" t="str">
        <f>IFERROR(__xludf.DUMMYFUNCTION("REGEXREPLACE(C21778,""-\d+(.*)|--\d+(.*)"","""")"),"WOEL")</f>
        <v>WOEL</v>
      </c>
      <c r="E21778" s="38" t="s">
        <v>322</v>
      </c>
      <c r="F21778" s="38" t="s">
        <v>195</v>
      </c>
      <c r="G21778" s="49" t="str">
        <f t="shared" si="1"/>
        <v>55210</v>
      </c>
      <c r="H21778" s="49">
        <f t="shared" si="2"/>
        <v>55583</v>
      </c>
    </row>
    <row r="21779">
      <c r="A21779" s="48" t="s">
        <v>3780</v>
      </c>
      <c r="B21779" s="38">
        <v>50336.0</v>
      </c>
      <c r="C21779" s="38" t="s">
        <v>26296</v>
      </c>
      <c r="D21779" s="38" t="str">
        <f>IFERROR(__xludf.DUMMYFUNCTION("REGEXREPLACE(C21779,""-\d+(.*)|--\d+(.*)"","""")"),"MONTAIGU-LES-BOIS")</f>
        <v>MONTAIGU-LES-BOIS</v>
      </c>
      <c r="E21779" s="38" t="s">
        <v>157</v>
      </c>
      <c r="F21779" s="38" t="s">
        <v>138</v>
      </c>
      <c r="G21779" s="49" t="str">
        <f t="shared" si="1"/>
        <v>50450</v>
      </c>
      <c r="H21779" s="49">
        <f t="shared" si="2"/>
        <v>50336</v>
      </c>
    </row>
    <row r="21780">
      <c r="A21780" s="48" t="s">
        <v>4900</v>
      </c>
      <c r="B21780" s="38">
        <v>33321.0</v>
      </c>
      <c r="C21780" s="38" t="s">
        <v>26297</v>
      </c>
      <c r="D21780" s="38" t="str">
        <f>IFERROR(__xludf.DUMMYFUNCTION("REGEXREPLACE(C21780,""-\d+(.*)|--\d+(.*)"","""")"),"PEUJARD")</f>
        <v>PEUJARD</v>
      </c>
      <c r="E21780" s="38" t="s">
        <v>462</v>
      </c>
      <c r="F21780" s="38" t="s">
        <v>252</v>
      </c>
      <c r="G21780" s="49" t="str">
        <f t="shared" si="1"/>
        <v>33240</v>
      </c>
      <c r="H21780" s="49">
        <f t="shared" si="2"/>
        <v>33321</v>
      </c>
    </row>
    <row r="21781">
      <c r="A21781" s="48" t="s">
        <v>7017</v>
      </c>
      <c r="B21781" s="38" t="s">
        <v>26298</v>
      </c>
      <c r="C21781" s="38" t="s">
        <v>26299</v>
      </c>
      <c r="D21781" s="38" t="str">
        <f>IFERROR(__xludf.DUMMYFUNCTION("REGEXREPLACE(C21781,""-\d+(.*)|--\d+(.*)"","""")"),"PIETRASERENA")</f>
        <v>PIETRASERENA</v>
      </c>
      <c r="E21781" s="38" t="s">
        <v>743</v>
      </c>
      <c r="F21781" s="38" t="s">
        <v>607</v>
      </c>
      <c r="G21781" s="49" t="str">
        <f t="shared" si="1"/>
        <v>20251</v>
      </c>
      <c r="H21781" s="49" t="str">
        <f t="shared" si="2"/>
        <v>2B226</v>
      </c>
    </row>
    <row r="21782">
      <c r="A21782" s="48" t="s">
        <v>14093</v>
      </c>
      <c r="B21782" s="38">
        <v>1276.0</v>
      </c>
      <c r="C21782" s="38" t="s">
        <v>26300</v>
      </c>
      <c r="D21782" s="38" t="str">
        <f>IFERROR(__xludf.DUMMYFUNCTION("REGEXREPLACE(C21782,""-\d+(.*)|--\d+(.*)"","""")"),"NIEVROZ")</f>
        <v>NIEVROZ</v>
      </c>
      <c r="E21782" s="38" t="s">
        <v>255</v>
      </c>
      <c r="F21782" s="38" t="s">
        <v>102</v>
      </c>
      <c r="G21782" s="49" t="str">
        <f t="shared" si="1"/>
        <v>01120</v>
      </c>
      <c r="H21782" s="49" t="str">
        <f t="shared" si="2"/>
        <v>01276</v>
      </c>
    </row>
    <row r="21783">
      <c r="A21783" s="48" t="s">
        <v>256</v>
      </c>
      <c r="B21783" s="38">
        <v>36184.0</v>
      </c>
      <c r="C21783" s="38" t="s">
        <v>26301</v>
      </c>
      <c r="D21783" s="38" t="str">
        <f>IFERROR(__xludf.DUMMYFUNCTION("REGEXREPLACE(C21783,""-\d+(.*)|--\d+(.*)"","""")"),"SAINT-CHARTIER")</f>
        <v>SAINT-CHARTIER</v>
      </c>
      <c r="E21783" s="38" t="s">
        <v>258</v>
      </c>
      <c r="F21783" s="38" t="s">
        <v>123</v>
      </c>
      <c r="G21783" s="49" t="str">
        <f t="shared" si="1"/>
        <v>36400</v>
      </c>
      <c r="H21783" s="49">
        <f t="shared" si="2"/>
        <v>36184</v>
      </c>
    </row>
    <row r="21784">
      <c r="A21784" s="48" t="s">
        <v>2582</v>
      </c>
      <c r="B21784" s="38">
        <v>14075.0</v>
      </c>
      <c r="C21784" s="38" t="s">
        <v>26302</v>
      </c>
      <c r="D21784" s="38" t="str">
        <f>IFERROR(__xludf.DUMMYFUNCTION("REGEXREPLACE(C21784,""-\d+(.*)|--\d+(.*)"","""")"),"BISSIERES")</f>
        <v>BISSIERES</v>
      </c>
      <c r="E21784" s="38" t="s">
        <v>137</v>
      </c>
      <c r="F21784" s="38" t="s">
        <v>138</v>
      </c>
      <c r="G21784" s="49" t="str">
        <f t="shared" si="1"/>
        <v>14370</v>
      </c>
      <c r="H21784" s="49">
        <f t="shared" si="2"/>
        <v>14075</v>
      </c>
    </row>
    <row r="21785">
      <c r="A21785" s="48" t="s">
        <v>522</v>
      </c>
      <c r="B21785" s="38">
        <v>39070.0</v>
      </c>
      <c r="C21785" s="38" t="s">
        <v>26303</v>
      </c>
      <c r="D21785" s="38" t="str">
        <f>IFERROR(__xludf.DUMMYFUNCTION("REGEXREPLACE(C21785,""-\d+(.*)|--\d+(.*)"","""")"),"BOURG-DE-SIROD")</f>
        <v>BOURG-DE-SIROD</v>
      </c>
      <c r="E21785" s="38" t="s">
        <v>400</v>
      </c>
      <c r="F21785" s="38" t="s">
        <v>214</v>
      </c>
      <c r="G21785" s="49" t="str">
        <f t="shared" si="1"/>
        <v>39300</v>
      </c>
      <c r="H21785" s="49">
        <f t="shared" si="2"/>
        <v>39070</v>
      </c>
    </row>
    <row r="21786">
      <c r="A21786" s="48" t="s">
        <v>16599</v>
      </c>
      <c r="B21786" s="38">
        <v>76131.0</v>
      </c>
      <c r="C21786" s="38" t="s">
        <v>26304</v>
      </c>
      <c r="D21786" s="38" t="str">
        <f>IFERROR(__xludf.DUMMYFUNCTION("REGEXREPLACE(C21786,""-\d+(.*)|--\d+(.*)"","""")"),"LA BOUILLE")</f>
        <v>LA BOUILLE</v>
      </c>
      <c r="E21786" s="38" t="s">
        <v>133</v>
      </c>
      <c r="F21786" s="38" t="s">
        <v>134</v>
      </c>
      <c r="G21786" s="49" t="str">
        <f t="shared" si="1"/>
        <v>76530</v>
      </c>
      <c r="H21786" s="49">
        <f t="shared" si="2"/>
        <v>76131</v>
      </c>
    </row>
    <row r="21787">
      <c r="A21787" s="48" t="s">
        <v>225</v>
      </c>
      <c r="B21787" s="38">
        <v>6054.0</v>
      </c>
      <c r="C21787" s="38" t="s">
        <v>26305</v>
      </c>
      <c r="D21787" s="38" t="str">
        <f>IFERROR(__xludf.DUMMYFUNCTION("REGEXREPLACE(C21787,""-\d+(.*)|--\d+(.*)"","""")"),"DRAP")</f>
        <v>DRAP</v>
      </c>
      <c r="E21787" s="38" t="s">
        <v>227</v>
      </c>
      <c r="F21787" s="38" t="s">
        <v>228</v>
      </c>
      <c r="G21787" s="49" t="str">
        <f t="shared" si="1"/>
        <v>06340</v>
      </c>
      <c r="H21787" s="49" t="str">
        <f t="shared" si="2"/>
        <v>06054</v>
      </c>
    </row>
    <row r="21788">
      <c r="A21788" s="48" t="s">
        <v>938</v>
      </c>
      <c r="B21788" s="38">
        <v>9310.0</v>
      </c>
      <c r="C21788" s="38" t="s">
        <v>26306</v>
      </c>
      <c r="D21788" s="38" t="str">
        <f>IFERROR(__xludf.DUMMYFUNCTION("REGEXREPLACE(C21788,""-\d+(.*)|--\d+(.*)"","""")"),"THOUARS-SUR-ARIZE")</f>
        <v>THOUARS-SUR-ARIZE</v>
      </c>
      <c r="E21788" s="38" t="s">
        <v>238</v>
      </c>
      <c r="F21788" s="38" t="s">
        <v>94</v>
      </c>
      <c r="G21788" s="49" t="str">
        <f t="shared" si="1"/>
        <v>09350</v>
      </c>
      <c r="H21788" s="49" t="str">
        <f t="shared" si="2"/>
        <v>09310</v>
      </c>
    </row>
    <row r="21789">
      <c r="A21789" s="48" t="s">
        <v>2368</v>
      </c>
      <c r="B21789" s="38">
        <v>65234.0</v>
      </c>
      <c r="C21789" s="38" t="s">
        <v>26307</v>
      </c>
      <c r="D21789" s="38" t="str">
        <f>IFERROR(__xludf.DUMMYFUNCTION("REGEXREPLACE(C21789,""-\d+(.*)|--\d+(.*)"","""")"),"JEZEAU")</f>
        <v>JEZEAU</v>
      </c>
      <c r="E21789" s="38" t="s">
        <v>200</v>
      </c>
      <c r="F21789" s="38" t="s">
        <v>94</v>
      </c>
      <c r="G21789" s="49" t="str">
        <f t="shared" si="1"/>
        <v>65240</v>
      </c>
      <c r="H21789" s="49">
        <f t="shared" si="2"/>
        <v>65234</v>
      </c>
    </row>
    <row r="21790">
      <c r="A21790" s="48" t="s">
        <v>2268</v>
      </c>
      <c r="B21790" s="38">
        <v>55048.0</v>
      </c>
      <c r="C21790" s="38" t="s">
        <v>26308</v>
      </c>
      <c r="D21790" s="38" t="str">
        <f>IFERROR(__xludf.DUMMYFUNCTION("REGEXREPLACE(C21790,""-\d+(.*)|--\d+(.*)"","""")"),"BETHINCOURT")</f>
        <v>BETHINCOURT</v>
      </c>
      <c r="E21790" s="38" t="s">
        <v>322</v>
      </c>
      <c r="F21790" s="38" t="s">
        <v>195</v>
      </c>
      <c r="G21790" s="49" t="str">
        <f t="shared" si="1"/>
        <v>55270</v>
      </c>
      <c r="H21790" s="49">
        <f t="shared" si="2"/>
        <v>55048</v>
      </c>
    </row>
    <row r="21791">
      <c r="A21791" s="48" t="s">
        <v>1681</v>
      </c>
      <c r="B21791" s="38">
        <v>80678.0</v>
      </c>
      <c r="C21791" s="38" t="s">
        <v>26309</v>
      </c>
      <c r="D21791" s="38" t="str">
        <f>IFERROR(__xludf.DUMMYFUNCTION("REGEXREPLACE(C21791,""-\d+(.*)|--\d+(.*)"","""")"),"ROLLOT")</f>
        <v>ROLLOT</v>
      </c>
      <c r="E21791" s="38" t="s">
        <v>224</v>
      </c>
      <c r="F21791" s="38" t="s">
        <v>113</v>
      </c>
      <c r="G21791" s="49" t="str">
        <f t="shared" si="1"/>
        <v>80500</v>
      </c>
      <c r="H21791" s="49">
        <f t="shared" si="2"/>
        <v>80678</v>
      </c>
    </row>
    <row r="21792">
      <c r="A21792" s="48" t="s">
        <v>2362</v>
      </c>
      <c r="B21792" s="38">
        <v>14545.0</v>
      </c>
      <c r="C21792" s="38" t="s">
        <v>26310</v>
      </c>
      <c r="D21792" s="38" t="str">
        <f>IFERROR(__xludf.DUMMYFUNCTION("REGEXREPLACE(C21792,""-\d+(.*)|--\d+(.*)"","""")"),"ROULLOURS")</f>
        <v>ROULLOURS</v>
      </c>
      <c r="E21792" s="38" t="s">
        <v>137</v>
      </c>
      <c r="F21792" s="38" t="s">
        <v>138</v>
      </c>
      <c r="G21792" s="49" t="str">
        <f t="shared" si="1"/>
        <v>14500</v>
      </c>
      <c r="H21792" s="49">
        <f t="shared" si="2"/>
        <v>14545</v>
      </c>
    </row>
    <row r="21793">
      <c r="A21793" s="48" t="s">
        <v>3324</v>
      </c>
      <c r="B21793" s="38">
        <v>62135.0</v>
      </c>
      <c r="C21793" s="38" t="s">
        <v>26311</v>
      </c>
      <c r="D21793" s="38" t="str">
        <f>IFERROR(__xludf.DUMMYFUNCTION("REGEXREPLACE(C21793,""-\d+(.*)|--\d+(.*)"","""")"),"BLAIRVILLE")</f>
        <v>BLAIRVILLE</v>
      </c>
      <c r="E21793" s="38" t="s">
        <v>109</v>
      </c>
      <c r="F21793" s="38" t="s">
        <v>86</v>
      </c>
      <c r="G21793" s="49" t="str">
        <f t="shared" si="1"/>
        <v>62173</v>
      </c>
      <c r="H21793" s="49">
        <f t="shared" si="2"/>
        <v>62135</v>
      </c>
    </row>
    <row r="21794">
      <c r="A21794" s="48" t="s">
        <v>4738</v>
      </c>
      <c r="B21794" s="38">
        <v>53160.0</v>
      </c>
      <c r="C21794" s="38" t="s">
        <v>26312</v>
      </c>
      <c r="D21794" s="38" t="str">
        <f>IFERROR(__xludf.DUMMYFUNCTION("REGEXREPLACE(C21794,""-\d+(.*)|--\d+(.*)"","""")"),"MONTREUIL-POULAY")</f>
        <v>MONTREUIL-POULAY</v>
      </c>
      <c r="E21794" s="38" t="s">
        <v>518</v>
      </c>
      <c r="F21794" s="38" t="s">
        <v>180</v>
      </c>
      <c r="G21794" s="49" t="str">
        <f t="shared" si="1"/>
        <v>53640</v>
      </c>
      <c r="H21794" s="49">
        <f t="shared" si="2"/>
        <v>53160</v>
      </c>
    </row>
    <row r="21795">
      <c r="A21795" s="48" t="s">
        <v>325</v>
      </c>
      <c r="B21795" s="38">
        <v>8192.0</v>
      </c>
      <c r="C21795" s="38" t="s">
        <v>26313</v>
      </c>
      <c r="D21795" s="38" t="str">
        <f>IFERROR(__xludf.DUMMYFUNCTION("REGEXREPLACE(C21795,""-\d+(.*)|--\d+(.*)"","""")"),"GIVRON")</f>
        <v>GIVRON</v>
      </c>
      <c r="E21795" s="38" t="s">
        <v>327</v>
      </c>
      <c r="F21795" s="38" t="s">
        <v>130</v>
      </c>
      <c r="G21795" s="49" t="str">
        <f t="shared" si="1"/>
        <v>08220</v>
      </c>
      <c r="H21795" s="49" t="str">
        <f t="shared" si="2"/>
        <v>08192</v>
      </c>
    </row>
    <row r="21796">
      <c r="A21796" s="48" t="s">
        <v>14076</v>
      </c>
      <c r="B21796" s="38">
        <v>7097.0</v>
      </c>
      <c r="C21796" s="38" t="s">
        <v>26314</v>
      </c>
      <c r="D21796" s="38" t="str">
        <f>IFERROR(__xludf.DUMMYFUNCTION("REGEXREPLACE(C21796,""-\d+(.*)|--\d+(.*)"","""")"),"GLUN")</f>
        <v>GLUN</v>
      </c>
      <c r="E21796" s="38" t="s">
        <v>144</v>
      </c>
      <c r="F21796" s="38" t="s">
        <v>102</v>
      </c>
      <c r="G21796" s="49" t="str">
        <f t="shared" si="1"/>
        <v>07300</v>
      </c>
      <c r="H21796" s="49" t="str">
        <f t="shared" si="2"/>
        <v>07097</v>
      </c>
    </row>
    <row r="21797">
      <c r="A21797" s="48" t="s">
        <v>968</v>
      </c>
      <c r="B21797" s="38">
        <v>16226.0</v>
      </c>
      <c r="C21797" s="38" t="s">
        <v>26315</v>
      </c>
      <c r="D21797" s="38" t="str">
        <f>IFERROR(__xludf.DUMMYFUNCTION("REGEXREPLACE(C21797,""-\d+(.*)|--\d+(.*)"","""")"),"MONTIGNAC-CHARENTE")</f>
        <v>MONTIGNAC-CHARENTE</v>
      </c>
      <c r="E21797" s="38" t="s">
        <v>429</v>
      </c>
      <c r="F21797" s="38" t="s">
        <v>338</v>
      </c>
      <c r="G21797" s="49" t="str">
        <f t="shared" si="1"/>
        <v>16330</v>
      </c>
      <c r="H21797" s="49">
        <f t="shared" si="2"/>
        <v>16226</v>
      </c>
    </row>
    <row r="21798">
      <c r="A21798" s="48" t="s">
        <v>3002</v>
      </c>
      <c r="B21798" s="38">
        <v>43256.0</v>
      </c>
      <c r="C21798" s="38" t="s">
        <v>26316</v>
      </c>
      <c r="D21798" s="38" t="str">
        <f>IFERROR(__xludf.DUMMYFUNCTION("REGEXREPLACE(C21798,""-\d+(.*)|--\d+(.*)"","""")"),"VENTEUGES")</f>
        <v>VENTEUGES</v>
      </c>
      <c r="E21798" s="38" t="s">
        <v>332</v>
      </c>
      <c r="F21798" s="38" t="s">
        <v>161</v>
      </c>
      <c r="G21798" s="49" t="str">
        <f t="shared" si="1"/>
        <v>43170</v>
      </c>
      <c r="H21798" s="49">
        <f t="shared" si="2"/>
        <v>43256</v>
      </c>
    </row>
    <row r="21799">
      <c r="A21799" s="48" t="s">
        <v>5035</v>
      </c>
      <c r="B21799" s="38">
        <v>32227.0</v>
      </c>
      <c r="C21799" s="38" t="s">
        <v>26317</v>
      </c>
      <c r="D21799" s="38" t="str">
        <f>IFERROR(__xludf.DUMMYFUNCTION("REGEXREPLACE(C21799,""-\d+(.*)|--\d+(.*)"","""")"),"MANCIET")</f>
        <v>MANCIET</v>
      </c>
      <c r="E21799" s="38" t="s">
        <v>440</v>
      </c>
      <c r="F21799" s="38" t="s">
        <v>94</v>
      </c>
      <c r="G21799" s="49" t="str">
        <f t="shared" si="1"/>
        <v>32370</v>
      </c>
      <c r="H21799" s="49">
        <f t="shared" si="2"/>
        <v>32227</v>
      </c>
    </row>
    <row r="21800">
      <c r="A21800" s="48" t="s">
        <v>152</v>
      </c>
      <c r="B21800" s="38">
        <v>48142.0</v>
      </c>
      <c r="C21800" s="38" t="s">
        <v>26318</v>
      </c>
      <c r="D21800" s="38" t="str">
        <f>IFERROR(__xludf.DUMMYFUNCTION("REGEXREPLACE(C21800,""-\d+(.*)|--\d+(.*)"","""")"),"SAINTE-COLOMBE-DE-PEYRE")</f>
        <v>SAINTE-COLOMBE-DE-PEYRE</v>
      </c>
      <c r="E21800" s="38" t="s">
        <v>154</v>
      </c>
      <c r="F21800" s="38" t="s">
        <v>119</v>
      </c>
      <c r="G21800" s="49" t="str">
        <f t="shared" si="1"/>
        <v>48130</v>
      </c>
      <c r="H21800" s="49">
        <f t="shared" si="2"/>
        <v>48142</v>
      </c>
    </row>
    <row r="21801">
      <c r="A21801" s="48" t="s">
        <v>2625</v>
      </c>
      <c r="B21801" s="38">
        <v>30115.0</v>
      </c>
      <c r="C21801" s="38" t="s">
        <v>26319</v>
      </c>
      <c r="D21801" s="38" t="str">
        <f>IFERROR(__xludf.DUMMYFUNCTION("REGEXREPLACE(C21801,""-\d+(.*)|--\d+(.*)"","""")"),"FONTARECHES")</f>
        <v>FONTARECHES</v>
      </c>
      <c r="E21801" s="38" t="s">
        <v>526</v>
      </c>
      <c r="F21801" s="38" t="s">
        <v>119</v>
      </c>
      <c r="G21801" s="49" t="str">
        <f t="shared" si="1"/>
        <v>30580</v>
      </c>
      <c r="H21801" s="49">
        <f t="shared" si="2"/>
        <v>30115</v>
      </c>
    </row>
    <row r="21802">
      <c r="A21802" s="48" t="s">
        <v>1220</v>
      </c>
      <c r="B21802" s="38">
        <v>76009.0</v>
      </c>
      <c r="C21802" s="38" t="s">
        <v>26320</v>
      </c>
      <c r="D21802" s="38" t="str">
        <f>IFERROR(__xludf.DUMMYFUNCTION("REGEXREPLACE(C21802,""-\d+(.*)|--\d+(.*)"","""")"),"ANCOURTEVILLE-SUR-HERICOURT")</f>
        <v>ANCOURTEVILLE-SUR-HERICOURT</v>
      </c>
      <c r="E21802" s="38" t="s">
        <v>133</v>
      </c>
      <c r="F21802" s="38" t="s">
        <v>134</v>
      </c>
      <c r="G21802" s="49" t="str">
        <f t="shared" si="1"/>
        <v>76560</v>
      </c>
      <c r="H21802" s="49">
        <f t="shared" si="2"/>
        <v>76009</v>
      </c>
    </row>
    <row r="21803">
      <c r="A21803" s="48" t="s">
        <v>5848</v>
      </c>
      <c r="B21803" s="38">
        <v>50590.0</v>
      </c>
      <c r="C21803" s="38" t="s">
        <v>26321</v>
      </c>
      <c r="D21803" s="38" t="str">
        <f>IFERROR(__xludf.DUMMYFUNCTION("REGEXREPLACE(C21803,""-\d+(.*)|--\d+(.*)"","""")"),"LE TANU")</f>
        <v>LE TANU</v>
      </c>
      <c r="E21803" s="38" t="s">
        <v>157</v>
      </c>
      <c r="F21803" s="38" t="s">
        <v>138</v>
      </c>
      <c r="G21803" s="49" t="str">
        <f t="shared" si="1"/>
        <v>50320</v>
      </c>
      <c r="H21803" s="49">
        <f t="shared" si="2"/>
        <v>50590</v>
      </c>
    </row>
    <row r="21804">
      <c r="A21804" s="48" t="s">
        <v>7371</v>
      </c>
      <c r="B21804" s="38">
        <v>17396.0</v>
      </c>
      <c r="C21804" s="38" t="s">
        <v>26322</v>
      </c>
      <c r="D21804" s="38" t="str">
        <f>IFERROR(__xludf.DUMMYFUNCTION("REGEXREPLACE(C21804,""-\d+(.*)|--\d+(.*)"","""")"),"SAINT-SAUVEUR-D'AUNIS")</f>
        <v>SAINT-SAUVEUR-D'AUNIS</v>
      </c>
      <c r="E21804" s="38" t="s">
        <v>488</v>
      </c>
      <c r="F21804" s="38" t="s">
        <v>338</v>
      </c>
      <c r="G21804" s="49" t="str">
        <f t="shared" si="1"/>
        <v>17540</v>
      </c>
      <c r="H21804" s="49">
        <f t="shared" si="2"/>
        <v>17396</v>
      </c>
    </row>
    <row r="21805">
      <c r="A21805" s="48" t="s">
        <v>12732</v>
      </c>
      <c r="B21805" s="38">
        <v>29160.0</v>
      </c>
      <c r="C21805" s="38" t="s">
        <v>26323</v>
      </c>
      <c r="D21805" s="38" t="str">
        <f>IFERROR(__xludf.DUMMYFUNCTION("REGEXREPLACE(C21805,""-\d+(.*)|--\d+(.*)"","""")"),"PLABENNEC")</f>
        <v>PLABENNEC</v>
      </c>
      <c r="E21805" s="38" t="s">
        <v>176</v>
      </c>
      <c r="F21805" s="38" t="s">
        <v>90</v>
      </c>
      <c r="G21805" s="49" t="str">
        <f t="shared" si="1"/>
        <v>29860</v>
      </c>
      <c r="H21805" s="49">
        <f t="shared" si="2"/>
        <v>29160</v>
      </c>
    </row>
    <row r="21806">
      <c r="A21806" s="48" t="s">
        <v>1180</v>
      </c>
      <c r="B21806" s="38">
        <v>60243.0</v>
      </c>
      <c r="C21806" s="38" t="s">
        <v>26324</v>
      </c>
      <c r="D21806" s="38" t="str">
        <f>IFERROR(__xludf.DUMMYFUNCTION("REGEXREPLACE(C21806,""-\d+(.*)|--\d+(.*)"","""")"),"FONTAINE-SAINT-LUCIEN")</f>
        <v>FONTAINE-SAINT-LUCIEN</v>
      </c>
      <c r="E21806" s="38" t="s">
        <v>112</v>
      </c>
      <c r="F21806" s="38" t="s">
        <v>113</v>
      </c>
      <c r="G21806" s="49" t="str">
        <f t="shared" si="1"/>
        <v>60480</v>
      </c>
      <c r="H21806" s="49">
        <f t="shared" si="2"/>
        <v>60243</v>
      </c>
    </row>
    <row r="21807">
      <c r="A21807" s="48" t="s">
        <v>5347</v>
      </c>
      <c r="B21807" s="38">
        <v>90048.0</v>
      </c>
      <c r="C21807" s="38" t="s">
        <v>24437</v>
      </c>
      <c r="D21807" s="38" t="str">
        <f>IFERROR(__xludf.DUMMYFUNCTION("REGEXREPLACE(C21807,""-\d+(.*)|--\d+(.*)"","""")"),"FONTENELLE")</f>
        <v>FONTENELLE</v>
      </c>
      <c r="E21807" s="38" t="s">
        <v>1283</v>
      </c>
      <c r="F21807" s="38" t="s">
        <v>214</v>
      </c>
      <c r="G21807" s="49" t="str">
        <f t="shared" si="1"/>
        <v>90340</v>
      </c>
      <c r="H21807" s="49">
        <f t="shared" si="2"/>
        <v>90048</v>
      </c>
    </row>
    <row r="21808">
      <c r="A21808" s="48" t="s">
        <v>1524</v>
      </c>
      <c r="B21808" s="38">
        <v>25471.0</v>
      </c>
      <c r="C21808" s="38" t="s">
        <v>5317</v>
      </c>
      <c r="D21808" s="38" t="str">
        <f>IFERROR(__xludf.DUMMYFUNCTION("REGEXREPLACE(C21808,""-\d+(.*)|--\d+(.*)"","""")"),"PROVENCHERE")</f>
        <v>PROVENCHERE</v>
      </c>
      <c r="E21808" s="38" t="s">
        <v>213</v>
      </c>
      <c r="F21808" s="38" t="s">
        <v>214</v>
      </c>
      <c r="G21808" s="49" t="str">
        <f t="shared" si="1"/>
        <v>25380</v>
      </c>
      <c r="H21808" s="49">
        <f t="shared" si="2"/>
        <v>25471</v>
      </c>
    </row>
    <row r="21809">
      <c r="A21809" s="48" t="s">
        <v>4443</v>
      </c>
      <c r="B21809" s="38">
        <v>27130.0</v>
      </c>
      <c r="C21809" s="38" t="s">
        <v>26325</v>
      </c>
      <c r="D21809" s="38" t="str">
        <f>IFERROR(__xludf.DUMMYFUNCTION("REGEXREPLACE(C21809,""-\d+(.*)|--\d+(.*)"","""")"),"CAPELLE-LES-GRANDS")</f>
        <v>CAPELLE-LES-GRANDS</v>
      </c>
      <c r="E21809" s="38" t="s">
        <v>241</v>
      </c>
      <c r="F21809" s="38" t="s">
        <v>134</v>
      </c>
      <c r="G21809" s="49" t="str">
        <f t="shared" si="1"/>
        <v>27270</v>
      </c>
      <c r="H21809" s="49">
        <f t="shared" si="2"/>
        <v>27130</v>
      </c>
    </row>
    <row r="21810">
      <c r="A21810" s="48" t="s">
        <v>1193</v>
      </c>
      <c r="B21810" s="38">
        <v>54222.0</v>
      </c>
      <c r="C21810" s="38" t="s">
        <v>26326</v>
      </c>
      <c r="D21810" s="38" t="str">
        <f>IFERROR(__xludf.DUMMYFUNCTION("REGEXREPLACE(C21810,""-\d+(.*)|--\d+(.*)"","""")"),"GERBEVILLER")</f>
        <v>GERBEVILLER</v>
      </c>
      <c r="E21810" s="38" t="s">
        <v>548</v>
      </c>
      <c r="F21810" s="38" t="s">
        <v>195</v>
      </c>
      <c r="G21810" s="49" t="str">
        <f t="shared" si="1"/>
        <v>54830</v>
      </c>
      <c r="H21810" s="49">
        <f t="shared" si="2"/>
        <v>54222</v>
      </c>
    </row>
    <row r="21811">
      <c r="A21811" s="48" t="s">
        <v>2773</v>
      </c>
      <c r="B21811" s="38">
        <v>21104.0</v>
      </c>
      <c r="C21811" s="38" t="s">
        <v>26327</v>
      </c>
      <c r="D21811" s="38" t="str">
        <f>IFERROR(__xludf.DUMMYFUNCTION("REGEXREPLACE(C21811,""-\d+(.*)|--\d+(.*)"","""")"),"BREMUR-ET-VAUROIS")</f>
        <v>BREMUR-ET-VAUROIS</v>
      </c>
      <c r="E21811" s="38" t="s">
        <v>105</v>
      </c>
      <c r="F21811" s="38" t="s">
        <v>106</v>
      </c>
      <c r="G21811" s="49" t="str">
        <f t="shared" si="1"/>
        <v>21400</v>
      </c>
      <c r="H21811" s="49">
        <f t="shared" si="2"/>
        <v>21104</v>
      </c>
    </row>
    <row r="21812">
      <c r="A21812" s="48" t="s">
        <v>26328</v>
      </c>
      <c r="B21812" s="38" t="s">
        <v>26329</v>
      </c>
      <c r="C21812" s="38" t="s">
        <v>26330</v>
      </c>
      <c r="D21812" s="38" t="str">
        <f>IFERROR(__xludf.DUMMYFUNCTION("REGEXREPLACE(C21812,""-\d+(.*)|--\d+(.*)"","""")"),"NOVELLA")</f>
        <v>NOVELLA</v>
      </c>
      <c r="E21812" s="38" t="s">
        <v>743</v>
      </c>
      <c r="F21812" s="38" t="s">
        <v>607</v>
      </c>
      <c r="G21812" s="49" t="str">
        <f t="shared" si="1"/>
        <v>20226</v>
      </c>
      <c r="H21812" s="49" t="str">
        <f t="shared" si="2"/>
        <v>2B180</v>
      </c>
    </row>
    <row r="21813">
      <c r="A21813" s="48" t="s">
        <v>11056</v>
      </c>
      <c r="B21813" s="38">
        <v>3210.0</v>
      </c>
      <c r="C21813" s="38" t="s">
        <v>26331</v>
      </c>
      <c r="D21813" s="38" t="str">
        <f>IFERROR(__xludf.DUMMYFUNCTION("REGEXREPLACE(C21813,""-\d+(.*)|--\d+(.*)"","""")"),"POUZY-MESANGY")</f>
        <v>POUZY-MESANGY</v>
      </c>
      <c r="E21813" s="38" t="s">
        <v>160</v>
      </c>
      <c r="F21813" s="38" t="s">
        <v>161</v>
      </c>
      <c r="G21813" s="49" t="str">
        <f t="shared" si="1"/>
        <v>03320</v>
      </c>
      <c r="H21813" s="49" t="str">
        <f t="shared" si="2"/>
        <v>03210</v>
      </c>
    </row>
    <row r="21814">
      <c r="A21814" s="48" t="s">
        <v>8584</v>
      </c>
      <c r="B21814" s="38">
        <v>59142.0</v>
      </c>
      <c r="C21814" s="38" t="s">
        <v>26332</v>
      </c>
      <c r="D21814" s="38" t="str">
        <f>IFERROR(__xludf.DUMMYFUNCTION("REGEXREPLACE(C21814,""-\d+(.*)|--\d+(.*)"","""")"),"CERFONTAINE")</f>
        <v>CERFONTAINE</v>
      </c>
      <c r="E21814" s="38" t="s">
        <v>85</v>
      </c>
      <c r="F21814" s="38" t="s">
        <v>86</v>
      </c>
      <c r="G21814" s="49" t="str">
        <f t="shared" si="1"/>
        <v>59680</v>
      </c>
      <c r="H21814" s="49">
        <f t="shared" si="2"/>
        <v>59142</v>
      </c>
    </row>
    <row r="21815">
      <c r="A21815" s="48" t="s">
        <v>26333</v>
      </c>
      <c r="B21815" s="38">
        <v>2741.0</v>
      </c>
      <c r="C21815" s="38" t="s">
        <v>26334</v>
      </c>
      <c r="D21815" s="38" t="str">
        <f>IFERROR(__xludf.DUMMYFUNCTION("REGEXREPLACE(C21815,""-\d+(.*)|--\d+(.*)"","""")"),"THENELLES")</f>
        <v>THENELLES</v>
      </c>
      <c r="E21815" s="38" t="s">
        <v>191</v>
      </c>
      <c r="F21815" s="38" t="s">
        <v>113</v>
      </c>
      <c r="G21815" s="49" t="str">
        <f t="shared" si="1"/>
        <v>02390</v>
      </c>
      <c r="H21815" s="49" t="str">
        <f t="shared" si="2"/>
        <v>02741</v>
      </c>
    </row>
    <row r="21816">
      <c r="A21816" s="48" t="s">
        <v>26335</v>
      </c>
      <c r="B21816" s="38">
        <v>70413.0</v>
      </c>
      <c r="C21816" s="38" t="s">
        <v>26336</v>
      </c>
      <c r="D21816" s="38" t="str">
        <f>IFERROR(__xludf.DUMMYFUNCTION("REGEXREPLACE(C21816,""-\d+(.*)|--\d+(.*)"","""")"),"PLANCHER-BAS")</f>
        <v>PLANCHER-BAS</v>
      </c>
      <c r="E21816" s="38" t="s">
        <v>956</v>
      </c>
      <c r="F21816" s="38" t="s">
        <v>214</v>
      </c>
      <c r="G21816" s="49" t="str">
        <f t="shared" si="1"/>
        <v>70290</v>
      </c>
      <c r="H21816" s="49">
        <f t="shared" si="2"/>
        <v>70413</v>
      </c>
    </row>
    <row r="21817">
      <c r="A21817" s="48" t="s">
        <v>25113</v>
      </c>
      <c r="B21817" s="38">
        <v>67476.0</v>
      </c>
      <c r="C21817" s="38" t="s">
        <v>26337</v>
      </c>
      <c r="D21817" s="38" t="str">
        <f>IFERROR(__xludf.DUMMYFUNCTION("REGEXREPLACE(C21817,""-\d+(.*)|--\d+(.*)"","""")"),"STATTMATTEN")</f>
        <v>STATTMATTEN</v>
      </c>
      <c r="E21817" s="38" t="s">
        <v>210</v>
      </c>
      <c r="F21817" s="38" t="s">
        <v>151</v>
      </c>
      <c r="G21817" s="49" t="str">
        <f t="shared" si="1"/>
        <v>67770</v>
      </c>
      <c r="H21817" s="49">
        <f t="shared" si="2"/>
        <v>67476</v>
      </c>
    </row>
    <row r="21818">
      <c r="A21818" s="48" t="s">
        <v>1947</v>
      </c>
      <c r="B21818" s="38">
        <v>52476.0</v>
      </c>
      <c r="C21818" s="38" t="s">
        <v>26338</v>
      </c>
      <c r="D21818" s="38" t="str">
        <f>IFERROR(__xludf.DUMMYFUNCTION("REGEXREPLACE(C21818,""-\d+(.*)|--\d+(.*)"","""")"),"SOMMERECOURT")</f>
        <v>SOMMERECOURT</v>
      </c>
      <c r="E21818" s="38" t="s">
        <v>234</v>
      </c>
      <c r="F21818" s="38" t="s">
        <v>130</v>
      </c>
      <c r="G21818" s="49" t="str">
        <f t="shared" si="1"/>
        <v>52150</v>
      </c>
      <c r="H21818" s="49">
        <f t="shared" si="2"/>
        <v>52476</v>
      </c>
    </row>
    <row r="21819">
      <c r="A21819" s="48" t="s">
        <v>858</v>
      </c>
      <c r="B21819" s="38">
        <v>77153.0</v>
      </c>
      <c r="C21819" s="38" t="s">
        <v>26339</v>
      </c>
      <c r="D21819" s="38" t="str">
        <f>IFERROR(__xludf.DUMMYFUNCTION("REGEXREPLACE(C21819,""-\d+(.*)|--\d+(.*)"","""")"),"DAMMARTIN-EN-GOELE")</f>
        <v>DAMMARTIN-EN-GOELE</v>
      </c>
      <c r="E21819" s="38" t="s">
        <v>244</v>
      </c>
      <c r="F21819" s="38" t="s">
        <v>245</v>
      </c>
      <c r="G21819" s="49" t="str">
        <f t="shared" si="1"/>
        <v>77230</v>
      </c>
      <c r="H21819" s="49">
        <f t="shared" si="2"/>
        <v>77153</v>
      </c>
    </row>
    <row r="21820">
      <c r="A21820" s="48" t="s">
        <v>26340</v>
      </c>
      <c r="B21820" s="38">
        <v>63049.0</v>
      </c>
      <c r="C21820" s="38" t="s">
        <v>26341</v>
      </c>
      <c r="D21820" s="38" t="str">
        <f>IFERROR(__xludf.DUMMYFUNCTION("REGEXREPLACE(C21820,""-\d+(.*)|--\d+(.*)"","""")"),"BOUZEL")</f>
        <v>BOUZEL</v>
      </c>
      <c r="E21820" s="38" t="s">
        <v>353</v>
      </c>
      <c r="F21820" s="38" t="s">
        <v>161</v>
      </c>
      <c r="G21820" s="49" t="str">
        <f t="shared" si="1"/>
        <v>63910</v>
      </c>
      <c r="H21820" s="49">
        <f t="shared" si="2"/>
        <v>63049</v>
      </c>
    </row>
    <row r="21821">
      <c r="A21821" s="48" t="s">
        <v>599</v>
      </c>
      <c r="B21821" s="38">
        <v>16217.0</v>
      </c>
      <c r="C21821" s="38" t="s">
        <v>26342</v>
      </c>
      <c r="D21821" s="38" t="str">
        <f>IFERROR(__xludf.DUMMYFUNCTION("REGEXREPLACE(C21821,""-\d+(.*)|--\d+(.*)"","""")"),"MERPINS")</f>
        <v>MERPINS</v>
      </c>
      <c r="E21821" s="38" t="s">
        <v>429</v>
      </c>
      <c r="F21821" s="38" t="s">
        <v>338</v>
      </c>
      <c r="G21821" s="49" t="str">
        <f t="shared" si="1"/>
        <v>16100</v>
      </c>
      <c r="H21821" s="49">
        <f t="shared" si="2"/>
        <v>16217</v>
      </c>
    </row>
    <row r="21822">
      <c r="A21822" s="48" t="s">
        <v>4422</v>
      </c>
      <c r="B21822" s="38">
        <v>59278.0</v>
      </c>
      <c r="C21822" s="38" t="s">
        <v>26343</v>
      </c>
      <c r="D21822" s="38" t="str">
        <f>IFERROR(__xludf.DUMMYFUNCTION("REGEXREPLACE(C21822,""-\d+(.*)|--\d+(.*)"","""")"),"HALLENNES-LEZ-HAUBOURDIN")</f>
        <v>HALLENNES-LEZ-HAUBOURDIN</v>
      </c>
      <c r="E21822" s="38" t="s">
        <v>85</v>
      </c>
      <c r="F21822" s="38" t="s">
        <v>86</v>
      </c>
      <c r="G21822" s="49" t="str">
        <f t="shared" si="1"/>
        <v>59320</v>
      </c>
      <c r="H21822" s="49">
        <f t="shared" si="2"/>
        <v>59278</v>
      </c>
    </row>
    <row r="21823">
      <c r="A21823" s="48" t="s">
        <v>12977</v>
      </c>
      <c r="B21823" s="38">
        <v>59127.0</v>
      </c>
      <c r="C21823" s="38" t="s">
        <v>26344</v>
      </c>
      <c r="D21823" s="38" t="str">
        <f>IFERROR(__xludf.DUMMYFUNCTION("REGEXREPLACE(C21823,""-\d+(.*)|--\d+(.*)"","""")"),"CAPELLE")</f>
        <v>CAPELLE</v>
      </c>
      <c r="E21823" s="38" t="s">
        <v>85</v>
      </c>
      <c r="F21823" s="38" t="s">
        <v>86</v>
      </c>
      <c r="G21823" s="49" t="str">
        <f t="shared" si="1"/>
        <v>59213</v>
      </c>
      <c r="H21823" s="49">
        <f t="shared" si="2"/>
        <v>59127</v>
      </c>
    </row>
    <row r="21824">
      <c r="A21824" s="48" t="s">
        <v>26345</v>
      </c>
      <c r="B21824" s="38">
        <v>78033.0</v>
      </c>
      <c r="C21824" s="38" t="s">
        <v>26346</v>
      </c>
      <c r="D21824" s="38" t="str">
        <f>IFERROR(__xludf.DUMMYFUNCTION("REGEXREPLACE(C21824,""-\d+(.*)|--\d+(.*)"","""")"),"AULNAY-SUR-MAULDRE")</f>
        <v>AULNAY-SUR-MAULDRE</v>
      </c>
      <c r="E21824" s="38" t="s">
        <v>362</v>
      </c>
      <c r="F21824" s="38" t="s">
        <v>245</v>
      </c>
      <c r="G21824" s="49" t="str">
        <f t="shared" si="1"/>
        <v>78126</v>
      </c>
      <c r="H21824" s="49">
        <f t="shared" si="2"/>
        <v>78033</v>
      </c>
    </row>
    <row r="21825">
      <c r="A21825" s="48" t="s">
        <v>964</v>
      </c>
      <c r="B21825" s="38">
        <v>71512.0</v>
      </c>
      <c r="C21825" s="38" t="s">
        <v>26347</v>
      </c>
      <c r="D21825" s="38" t="str">
        <f>IFERROR(__xludf.DUMMYFUNCTION("REGEXREPLACE(C21825,""-\d+(.*)|--\d+(.*)"","""")"),"SENNECEY-LE-GRAND")</f>
        <v>SENNECEY-LE-GRAND</v>
      </c>
      <c r="E21825" s="38" t="s">
        <v>344</v>
      </c>
      <c r="F21825" s="38" t="s">
        <v>106</v>
      </c>
      <c r="G21825" s="49" t="str">
        <f t="shared" si="1"/>
        <v>71240</v>
      </c>
      <c r="H21825" s="49">
        <f t="shared" si="2"/>
        <v>71512</v>
      </c>
    </row>
    <row r="21826">
      <c r="A21826" s="48" t="s">
        <v>11770</v>
      </c>
      <c r="B21826" s="38">
        <v>74304.0</v>
      </c>
      <c r="C21826" s="38" t="s">
        <v>26348</v>
      </c>
      <c r="D21826" s="38" t="str">
        <f>IFERROR(__xludf.DUMMYFUNCTION("REGEXREPLACE(C21826,""-\d+(.*)|--\d+(.*)"","""")"),"VILLE-EN-SALLAZ")</f>
        <v>VILLE-EN-SALLAZ</v>
      </c>
      <c r="E21826" s="38" t="s">
        <v>319</v>
      </c>
      <c r="F21826" s="38" t="s">
        <v>102</v>
      </c>
      <c r="G21826" s="49" t="str">
        <f t="shared" si="1"/>
        <v>74250</v>
      </c>
      <c r="H21826" s="49">
        <f t="shared" si="2"/>
        <v>74304</v>
      </c>
    </row>
    <row r="21827">
      <c r="A21827" s="48" t="s">
        <v>26335</v>
      </c>
      <c r="B21827" s="38">
        <v>70061.0</v>
      </c>
      <c r="C21827" s="38" t="s">
        <v>26349</v>
      </c>
      <c r="D21827" s="38" t="str">
        <f>IFERROR(__xludf.DUMMYFUNCTION("REGEXREPLACE(C21827,""-\d+(.*)|--\d+(.*)"","""")"),"BELFAHY")</f>
        <v>BELFAHY</v>
      </c>
      <c r="E21827" s="38" t="s">
        <v>956</v>
      </c>
      <c r="F21827" s="38" t="s">
        <v>214</v>
      </c>
      <c r="G21827" s="49" t="str">
        <f t="shared" si="1"/>
        <v>70290</v>
      </c>
      <c r="H21827" s="49">
        <f t="shared" si="2"/>
        <v>70061</v>
      </c>
    </row>
    <row r="21828">
      <c r="A21828" s="48" t="s">
        <v>2316</v>
      </c>
      <c r="B21828" s="38">
        <v>25251.0</v>
      </c>
      <c r="C21828" s="38" t="s">
        <v>26350</v>
      </c>
      <c r="D21828" s="38" t="str">
        <f>IFERROR(__xludf.DUMMYFUNCTION("REGEXREPLACE(C21828,""-\d+(.*)|--\d+(.*)"","""")"),"FOURBANNE")</f>
        <v>FOURBANNE</v>
      </c>
      <c r="E21828" s="38" t="s">
        <v>213</v>
      </c>
      <c r="F21828" s="38" t="s">
        <v>214</v>
      </c>
      <c r="G21828" s="49" t="str">
        <f t="shared" si="1"/>
        <v>25110</v>
      </c>
      <c r="H21828" s="49">
        <f t="shared" si="2"/>
        <v>25251</v>
      </c>
    </row>
    <row r="21829">
      <c r="A21829" s="48" t="s">
        <v>5239</v>
      </c>
      <c r="B21829" s="38">
        <v>65363.0</v>
      </c>
      <c r="C21829" s="38" t="s">
        <v>26351</v>
      </c>
      <c r="D21829" s="38" t="str">
        <f>IFERROR(__xludf.DUMMYFUNCTION("REGEXREPLACE(C21829,""-\d+(.*)|--\d+(.*)"","""")"),"PINAS")</f>
        <v>PINAS</v>
      </c>
      <c r="E21829" s="38" t="s">
        <v>200</v>
      </c>
      <c r="F21829" s="38" t="s">
        <v>94</v>
      </c>
      <c r="G21829" s="49" t="str">
        <f t="shared" si="1"/>
        <v>65300</v>
      </c>
      <c r="H21829" s="49">
        <f t="shared" si="2"/>
        <v>65363</v>
      </c>
    </row>
    <row r="21830">
      <c r="A21830" s="48" t="s">
        <v>1964</v>
      </c>
      <c r="B21830" s="38">
        <v>26266.0</v>
      </c>
      <c r="C21830" s="38" t="s">
        <v>26352</v>
      </c>
      <c r="D21830" s="38" t="str">
        <f>IFERROR(__xludf.DUMMYFUNCTION("REGEXREPLACE(C21830,""-\d+(.*)|--\d+(.*)"","""")"),"RIMON-ET-SAVEL")</f>
        <v>RIMON-ET-SAVEL</v>
      </c>
      <c r="E21830" s="38" t="s">
        <v>126</v>
      </c>
      <c r="F21830" s="38" t="s">
        <v>102</v>
      </c>
      <c r="G21830" s="49" t="str">
        <f t="shared" si="1"/>
        <v>26340</v>
      </c>
      <c r="H21830" s="49">
        <f t="shared" si="2"/>
        <v>26266</v>
      </c>
    </row>
    <row r="21831">
      <c r="A21831" s="48" t="s">
        <v>3902</v>
      </c>
      <c r="B21831" s="38">
        <v>63421.0</v>
      </c>
      <c r="C21831" s="38" t="s">
        <v>26353</v>
      </c>
      <c r="D21831" s="38" t="str">
        <f>IFERROR(__xludf.DUMMYFUNCTION("REGEXREPLACE(C21831,""-\d+(.*)|--\d+(.*)"","""")"),"SINGLES")</f>
        <v>SINGLES</v>
      </c>
      <c r="E21831" s="38" t="s">
        <v>353</v>
      </c>
      <c r="F21831" s="38" t="s">
        <v>161</v>
      </c>
      <c r="G21831" s="49" t="str">
        <f t="shared" si="1"/>
        <v>63690</v>
      </c>
      <c r="H21831" s="49">
        <f t="shared" si="2"/>
        <v>63421</v>
      </c>
    </row>
    <row r="21832">
      <c r="A21832" s="48" t="s">
        <v>1766</v>
      </c>
      <c r="B21832" s="38">
        <v>2052.0</v>
      </c>
      <c r="C21832" s="38" t="s">
        <v>26354</v>
      </c>
      <c r="D21832" s="38" t="str">
        <f>IFERROR(__xludf.DUMMYFUNCTION("REGEXREPLACE(C21832,""-\d+(.*)|--\d+(.*)"","""")"),"BASSOLES-AULERS")</f>
        <v>BASSOLES-AULERS</v>
      </c>
      <c r="E21832" s="38" t="s">
        <v>191</v>
      </c>
      <c r="F21832" s="38" t="s">
        <v>113</v>
      </c>
      <c r="G21832" s="49" t="str">
        <f t="shared" si="1"/>
        <v>02380</v>
      </c>
      <c r="H21832" s="49" t="str">
        <f t="shared" si="2"/>
        <v>02052</v>
      </c>
    </row>
    <row r="21833">
      <c r="A21833" s="48" t="s">
        <v>10064</v>
      </c>
      <c r="B21833" s="38">
        <v>26258.0</v>
      </c>
      <c r="C21833" s="38" t="s">
        <v>26355</v>
      </c>
      <c r="D21833" s="38" t="str">
        <f>IFERROR(__xludf.DUMMYFUNCTION("REGEXREPLACE(C21833,""-\d+(.*)|--\d+(.*)"","""")"),"PUY-SAINT-MARTIN")</f>
        <v>PUY-SAINT-MARTIN</v>
      </c>
      <c r="E21833" s="38" t="s">
        <v>126</v>
      </c>
      <c r="F21833" s="38" t="s">
        <v>102</v>
      </c>
      <c r="G21833" s="49" t="str">
        <f t="shared" si="1"/>
        <v>26450</v>
      </c>
      <c r="H21833" s="49">
        <f t="shared" si="2"/>
        <v>26258</v>
      </c>
    </row>
    <row r="21834">
      <c r="A21834" s="48" t="s">
        <v>1827</v>
      </c>
      <c r="B21834" s="38">
        <v>77032.0</v>
      </c>
      <c r="C21834" s="38" t="s">
        <v>26356</v>
      </c>
      <c r="D21834" s="38" t="str">
        <f>IFERROR(__xludf.DUMMYFUNCTION("REGEXREPLACE(C21834,""-\d+(.*)|--\d+(.*)"","""")"),"BETON-BAZOCHES")</f>
        <v>BETON-BAZOCHES</v>
      </c>
      <c r="E21834" s="38" t="s">
        <v>244</v>
      </c>
      <c r="F21834" s="38" t="s">
        <v>245</v>
      </c>
      <c r="G21834" s="49" t="str">
        <f t="shared" si="1"/>
        <v>77320</v>
      </c>
      <c r="H21834" s="49">
        <f t="shared" si="2"/>
        <v>77032</v>
      </c>
    </row>
    <row r="21835">
      <c r="A21835" s="48" t="s">
        <v>9653</v>
      </c>
      <c r="B21835" s="38">
        <v>5138.0</v>
      </c>
      <c r="C21835" s="38" t="s">
        <v>26357</v>
      </c>
      <c r="D21835" s="38" t="str">
        <f>IFERROR(__xludf.DUMMYFUNCTION("REGEXREPLACE(C21835,""-\d+(.*)|--\d+(.*)"","""")"),"SAINT-DISDIER")</f>
        <v>SAINT-DISDIER</v>
      </c>
      <c r="E21835" s="38" t="s">
        <v>706</v>
      </c>
      <c r="F21835" s="38" t="s">
        <v>228</v>
      </c>
      <c r="G21835" s="49" t="str">
        <f t="shared" si="1"/>
        <v>05250</v>
      </c>
      <c r="H21835" s="49" t="str">
        <f t="shared" si="2"/>
        <v>05138</v>
      </c>
    </row>
    <row r="21836">
      <c r="A21836" s="48" t="s">
        <v>2217</v>
      </c>
      <c r="B21836" s="38">
        <v>24091.0</v>
      </c>
      <c r="C21836" s="38" t="s">
        <v>26358</v>
      </c>
      <c r="D21836" s="38" t="str">
        <f>IFERROR(__xludf.DUMMYFUNCTION("REGEXREPLACE(C21836,""-\d+(.*)|--\d+(.*)"","""")"),"CENAC-ET-SAINT-JULIEN")</f>
        <v>CENAC-ET-SAINT-JULIEN</v>
      </c>
      <c r="E21836" s="38" t="s">
        <v>261</v>
      </c>
      <c r="F21836" s="38" t="s">
        <v>252</v>
      </c>
      <c r="G21836" s="49" t="str">
        <f t="shared" si="1"/>
        <v>24250</v>
      </c>
      <c r="H21836" s="49">
        <f t="shared" si="2"/>
        <v>24091</v>
      </c>
    </row>
    <row r="21837">
      <c r="A21837" s="48" t="s">
        <v>2659</v>
      </c>
      <c r="B21837" s="38">
        <v>80565.0</v>
      </c>
      <c r="C21837" s="38" t="s">
        <v>26359</v>
      </c>
      <c r="D21837" s="38" t="str">
        <f>IFERROR(__xludf.DUMMYFUNCTION("REGEXREPLACE(C21837,""-\d+(.*)|--\d+(.*)"","""")"),"MONTONVILLERS")</f>
        <v>MONTONVILLERS</v>
      </c>
      <c r="E21837" s="38" t="s">
        <v>224</v>
      </c>
      <c r="F21837" s="38" t="s">
        <v>113</v>
      </c>
      <c r="G21837" s="49" t="str">
        <f t="shared" si="1"/>
        <v>80260</v>
      </c>
      <c r="H21837" s="49">
        <f t="shared" si="2"/>
        <v>80565</v>
      </c>
    </row>
    <row r="21838">
      <c r="A21838" s="48" t="s">
        <v>854</v>
      </c>
      <c r="B21838" s="38">
        <v>62087.0</v>
      </c>
      <c r="C21838" s="38" t="s">
        <v>26360</v>
      </c>
      <c r="D21838" s="38" t="str">
        <f>IFERROR(__xludf.DUMMYFUNCTION("REGEXREPLACE(C21838,""-\d+(.*)|--\d+(.*)"","""")"),"BAYENGHEM-LES-EPERLECQUES")</f>
        <v>BAYENGHEM-LES-EPERLECQUES</v>
      </c>
      <c r="E21838" s="38" t="s">
        <v>109</v>
      </c>
      <c r="F21838" s="38" t="s">
        <v>86</v>
      </c>
      <c r="G21838" s="49" t="str">
        <f t="shared" si="1"/>
        <v>62910</v>
      </c>
      <c r="H21838" s="49">
        <f t="shared" si="2"/>
        <v>62087</v>
      </c>
    </row>
    <row r="21839">
      <c r="A21839" s="48" t="s">
        <v>4013</v>
      </c>
      <c r="B21839" s="38">
        <v>9001.0</v>
      </c>
      <c r="C21839" s="38" t="s">
        <v>26361</v>
      </c>
      <c r="D21839" s="38" t="str">
        <f>IFERROR(__xludf.DUMMYFUNCTION("REGEXREPLACE(C21839,""-\d+(.*)|--\d+(.*)"","""")"),"AIGUES-JUNTES")</f>
        <v>AIGUES-JUNTES</v>
      </c>
      <c r="E21839" s="38" t="s">
        <v>238</v>
      </c>
      <c r="F21839" s="38" t="s">
        <v>94</v>
      </c>
      <c r="G21839" s="49" t="str">
        <f t="shared" si="1"/>
        <v>09240</v>
      </c>
      <c r="H21839" s="49" t="str">
        <f t="shared" si="2"/>
        <v>09001</v>
      </c>
    </row>
    <row r="21840">
      <c r="A21840" s="48" t="s">
        <v>13997</v>
      </c>
      <c r="B21840" s="38">
        <v>32087.0</v>
      </c>
      <c r="C21840" s="38" t="s">
        <v>26362</v>
      </c>
      <c r="D21840" s="38" t="str">
        <f>IFERROR(__xludf.DUMMYFUNCTION("REGEXREPLACE(C21840,""-\d+(.*)|--\d+(.*)"","""")"),"CASTEX-D'ARMAGNAC")</f>
        <v>CASTEX-D'ARMAGNAC</v>
      </c>
      <c r="E21840" s="38" t="s">
        <v>440</v>
      </c>
      <c r="F21840" s="38" t="s">
        <v>94</v>
      </c>
      <c r="G21840" s="49" t="str">
        <f t="shared" si="1"/>
        <v>32240</v>
      </c>
      <c r="H21840" s="49">
        <f t="shared" si="2"/>
        <v>32087</v>
      </c>
    </row>
    <row r="21841">
      <c r="A21841" s="48" t="s">
        <v>15493</v>
      </c>
      <c r="B21841" s="38">
        <v>18101.0</v>
      </c>
      <c r="C21841" s="38" t="s">
        <v>26363</v>
      </c>
      <c r="D21841" s="38" t="str">
        <f>IFERROR(__xludf.DUMMYFUNCTION("REGEXREPLACE(C21841,""-\d+(.*)|--\d+(.*)"","""")"),"GERMIGNY-L'EXEMPT")</f>
        <v>GERMIGNY-L'EXEMPT</v>
      </c>
      <c r="E21841" s="38" t="s">
        <v>504</v>
      </c>
      <c r="F21841" s="38" t="s">
        <v>123</v>
      </c>
      <c r="G21841" s="49" t="str">
        <f t="shared" si="1"/>
        <v>18150</v>
      </c>
      <c r="H21841" s="49">
        <f t="shared" si="2"/>
        <v>18101</v>
      </c>
    </row>
    <row r="21842">
      <c r="A21842" s="48" t="s">
        <v>5605</v>
      </c>
      <c r="B21842" s="38">
        <v>66113.0</v>
      </c>
      <c r="C21842" s="38" t="s">
        <v>26364</v>
      </c>
      <c r="D21842" s="38" t="str">
        <f>IFERROR(__xludf.DUMMYFUNCTION("REGEXREPLACE(C21842,""-\d+(.*)|--\d+(.*)"","""")"),"MONTBOLO")</f>
        <v>MONTBOLO</v>
      </c>
      <c r="E21842" s="38" t="s">
        <v>248</v>
      </c>
      <c r="F21842" s="38" t="s">
        <v>119</v>
      </c>
      <c r="G21842" s="49" t="str">
        <f t="shared" si="1"/>
        <v>66110</v>
      </c>
      <c r="H21842" s="49">
        <f t="shared" si="2"/>
        <v>66113</v>
      </c>
    </row>
    <row r="21843">
      <c r="A21843" s="48" t="s">
        <v>1483</v>
      </c>
      <c r="B21843" s="38">
        <v>80078.0</v>
      </c>
      <c r="C21843" s="38" t="s">
        <v>26365</v>
      </c>
      <c r="D21843" s="38" t="str">
        <f>IFERROR(__xludf.DUMMYFUNCTION("REGEXREPLACE(C21843,""-\d+(.*)|--\d+(.*)"","""")"),"BELLANCOURT")</f>
        <v>BELLANCOURT</v>
      </c>
      <c r="E21843" s="38" t="s">
        <v>224</v>
      </c>
      <c r="F21843" s="38" t="s">
        <v>113</v>
      </c>
      <c r="G21843" s="49" t="str">
        <f t="shared" si="1"/>
        <v>80132</v>
      </c>
      <c r="H21843" s="49">
        <f t="shared" si="2"/>
        <v>80078</v>
      </c>
    </row>
    <row r="21844">
      <c r="A21844" s="48" t="s">
        <v>1174</v>
      </c>
      <c r="B21844" s="38">
        <v>51295.0</v>
      </c>
      <c r="C21844" s="38" t="s">
        <v>26366</v>
      </c>
      <c r="D21844" s="38" t="str">
        <f>IFERROR(__xludf.DUMMYFUNCTION("REGEXREPLACE(C21844,""-\d+(.*)|--\d+(.*)"","""")"),"HUIRON")</f>
        <v>HUIRON</v>
      </c>
      <c r="E21844" s="38" t="s">
        <v>129</v>
      </c>
      <c r="F21844" s="38" t="s">
        <v>130</v>
      </c>
      <c r="G21844" s="49" t="str">
        <f t="shared" si="1"/>
        <v>51300</v>
      </c>
      <c r="H21844" s="49">
        <f t="shared" si="2"/>
        <v>51295</v>
      </c>
    </row>
    <row r="21845">
      <c r="A21845" s="48" t="s">
        <v>1473</v>
      </c>
      <c r="B21845" s="38">
        <v>50440.0</v>
      </c>
      <c r="C21845" s="38" t="s">
        <v>26367</v>
      </c>
      <c r="D21845" s="38" t="str">
        <f>IFERROR(__xludf.DUMMYFUNCTION("REGEXREPLACE(C21845,""-\d+(.*)|--\d+(.*)"","""")"),"ROUFFIGNY")</f>
        <v>ROUFFIGNY</v>
      </c>
      <c r="E21845" s="38" t="s">
        <v>157</v>
      </c>
      <c r="F21845" s="38" t="s">
        <v>138</v>
      </c>
      <c r="G21845" s="49" t="str">
        <f t="shared" si="1"/>
        <v>50800</v>
      </c>
      <c r="H21845" s="49">
        <f t="shared" si="2"/>
        <v>50440</v>
      </c>
    </row>
    <row r="21846">
      <c r="A21846" s="48" t="s">
        <v>2326</v>
      </c>
      <c r="B21846" s="38">
        <v>54023.0</v>
      </c>
      <c r="C21846" s="38" t="s">
        <v>26368</v>
      </c>
      <c r="D21846" s="38" t="str">
        <f>IFERROR(__xludf.DUMMYFUNCTION("REGEXREPLACE(C21846,""-\d+(.*)|--\d+(.*)"","""")"),"ARRACOURT")</f>
        <v>ARRACOURT</v>
      </c>
      <c r="E21846" s="38" t="s">
        <v>548</v>
      </c>
      <c r="F21846" s="38" t="s">
        <v>195</v>
      </c>
      <c r="G21846" s="49" t="str">
        <f t="shared" si="1"/>
        <v>54370</v>
      </c>
      <c r="H21846" s="49">
        <f t="shared" si="2"/>
        <v>54023</v>
      </c>
    </row>
    <row r="21847">
      <c r="A21847" s="48" t="s">
        <v>1106</v>
      </c>
      <c r="B21847" s="38">
        <v>14144.0</v>
      </c>
      <c r="C21847" s="38" t="s">
        <v>26369</v>
      </c>
      <c r="D21847" s="38" t="str">
        <f>IFERROR(__xludf.DUMMYFUNCTION("REGEXREPLACE(C21847,""-\d+(.*)|--\d+(.*)"","""")"),"CAUMONT-SUR-ORNE")</f>
        <v>CAUMONT-SUR-ORNE</v>
      </c>
      <c r="E21847" s="38" t="s">
        <v>137</v>
      </c>
      <c r="F21847" s="38" t="s">
        <v>138</v>
      </c>
      <c r="G21847" s="49" t="str">
        <f t="shared" si="1"/>
        <v>14220</v>
      </c>
      <c r="H21847" s="49">
        <f t="shared" si="2"/>
        <v>14144</v>
      </c>
    </row>
    <row r="21848">
      <c r="A21848" s="48" t="s">
        <v>5038</v>
      </c>
      <c r="B21848" s="38">
        <v>17293.0</v>
      </c>
      <c r="C21848" s="38" t="s">
        <v>6764</v>
      </c>
      <c r="D21848" s="38" t="str">
        <f>IFERROR(__xludf.DUMMYFUNCTION("REGEXREPLACE(C21848,""-\d+(.*)|--\d+(.*)"","""")"),"PUYRAVAULT")</f>
        <v>PUYRAVAULT</v>
      </c>
      <c r="E21848" s="38" t="s">
        <v>488</v>
      </c>
      <c r="F21848" s="38" t="s">
        <v>338</v>
      </c>
      <c r="G21848" s="49" t="str">
        <f t="shared" si="1"/>
        <v>17700</v>
      </c>
      <c r="H21848" s="49">
        <f t="shared" si="2"/>
        <v>17293</v>
      </c>
    </row>
    <row r="21849">
      <c r="A21849" s="48" t="s">
        <v>26370</v>
      </c>
      <c r="B21849" s="38">
        <v>65284.0</v>
      </c>
      <c r="C21849" s="38" t="s">
        <v>26371</v>
      </c>
      <c r="D21849" s="38" t="str">
        <f>IFERROR(__xludf.DUMMYFUNCTION("REGEXREPLACE(C21849,""-\d+(.*)|--\d+(.*)"","""")"),"LOUEY")</f>
        <v>LOUEY</v>
      </c>
      <c r="E21849" s="38" t="s">
        <v>200</v>
      </c>
      <c r="F21849" s="38" t="s">
        <v>94</v>
      </c>
      <c r="G21849" s="49" t="str">
        <f t="shared" si="1"/>
        <v>65290</v>
      </c>
      <c r="H21849" s="49">
        <f t="shared" si="2"/>
        <v>65284</v>
      </c>
    </row>
    <row r="21850">
      <c r="A21850" s="48" t="s">
        <v>6191</v>
      </c>
      <c r="B21850" s="38">
        <v>50195.0</v>
      </c>
      <c r="C21850" s="38" t="s">
        <v>26372</v>
      </c>
      <c r="D21850" s="38" t="str">
        <f>IFERROR(__xludf.DUMMYFUNCTION("REGEXREPLACE(C21850,""-\d+(.*)|--\d+(.*)"","""")"),"GATHEMO")</f>
        <v>GATHEMO</v>
      </c>
      <c r="E21850" s="38" t="s">
        <v>157</v>
      </c>
      <c r="F21850" s="38" t="s">
        <v>138</v>
      </c>
      <c r="G21850" s="49" t="str">
        <f t="shared" si="1"/>
        <v>50150</v>
      </c>
      <c r="H21850" s="49">
        <f t="shared" si="2"/>
        <v>50195</v>
      </c>
    </row>
    <row r="21851">
      <c r="A21851" s="48" t="s">
        <v>15154</v>
      </c>
      <c r="B21851" s="38">
        <v>21027.0</v>
      </c>
      <c r="C21851" s="38" t="s">
        <v>26373</v>
      </c>
      <c r="D21851" s="38" t="str">
        <f>IFERROR(__xludf.DUMMYFUNCTION("REGEXREPLACE(C21851,""-\d+(.*)|--\d+(.*)"","""")"),"ASNIERES-LES-DIJON")</f>
        <v>ASNIERES-LES-DIJON</v>
      </c>
      <c r="E21851" s="38" t="s">
        <v>105</v>
      </c>
      <c r="F21851" s="38" t="s">
        <v>106</v>
      </c>
      <c r="G21851" s="49" t="str">
        <f t="shared" si="1"/>
        <v>21380</v>
      </c>
      <c r="H21851" s="49">
        <f t="shared" si="2"/>
        <v>21027</v>
      </c>
    </row>
    <row r="21852">
      <c r="A21852" s="48" t="s">
        <v>3307</v>
      </c>
      <c r="B21852" s="38">
        <v>65218.0</v>
      </c>
      <c r="C21852" s="38" t="s">
        <v>26374</v>
      </c>
      <c r="D21852" s="38" t="str">
        <f>IFERROR(__xludf.DUMMYFUNCTION("REGEXREPLACE(C21852,""-\d+(.*)|--\d+(.*)"","""")"),"HECHES")</f>
        <v>HECHES</v>
      </c>
      <c r="E21852" s="38" t="s">
        <v>200</v>
      </c>
      <c r="F21852" s="38" t="s">
        <v>94</v>
      </c>
      <c r="G21852" s="49" t="str">
        <f t="shared" si="1"/>
        <v>65250</v>
      </c>
      <c r="H21852" s="49">
        <f t="shared" si="2"/>
        <v>65218</v>
      </c>
    </row>
    <row r="21853">
      <c r="A21853" s="48" t="s">
        <v>9021</v>
      </c>
      <c r="B21853" s="38">
        <v>88140.0</v>
      </c>
      <c r="C21853" s="38" t="s">
        <v>26375</v>
      </c>
      <c r="D21853" s="38" t="str">
        <f>IFERROR(__xludf.DUMMYFUNCTION("REGEXREPLACE(C21853,""-\d+(.*)|--\d+(.*)"","""")"),"DOMBROT-LE-SEC")</f>
        <v>DOMBROT-LE-SEC</v>
      </c>
      <c r="E21853" s="38" t="s">
        <v>194</v>
      </c>
      <c r="F21853" s="38" t="s">
        <v>195</v>
      </c>
      <c r="G21853" s="49" t="str">
        <f t="shared" si="1"/>
        <v>88140</v>
      </c>
      <c r="H21853" s="49">
        <f t="shared" si="2"/>
        <v>88140</v>
      </c>
    </row>
    <row r="21854">
      <c r="A21854" s="48" t="s">
        <v>7334</v>
      </c>
      <c r="B21854" s="38">
        <v>45323.0</v>
      </c>
      <c r="C21854" s="38" t="s">
        <v>22654</v>
      </c>
      <c r="D21854" s="38" t="str">
        <f>IFERROR(__xludf.DUMMYFUNCTION("REGEXREPLACE(C21854,""-\d+(.*)|--\d+(.*)"","""")"),"THOU")</f>
        <v>THOU</v>
      </c>
      <c r="E21854" s="38" t="s">
        <v>122</v>
      </c>
      <c r="F21854" s="38" t="s">
        <v>123</v>
      </c>
      <c r="G21854" s="49" t="str">
        <f t="shared" si="1"/>
        <v>45420</v>
      </c>
      <c r="H21854" s="49">
        <f t="shared" si="2"/>
        <v>45323</v>
      </c>
    </row>
    <row r="21855">
      <c r="A21855" s="48" t="s">
        <v>4441</v>
      </c>
      <c r="B21855" s="38">
        <v>6013.0</v>
      </c>
      <c r="C21855" s="38" t="s">
        <v>26376</v>
      </c>
      <c r="D21855" s="38" t="str">
        <f>IFERROR(__xludf.DUMMYFUNCTION("REGEXREPLACE(C21855,""-\d+(.*)|--\d+(.*)"","""")"),"BELVEDERE")</f>
        <v>BELVEDERE</v>
      </c>
      <c r="E21855" s="38" t="s">
        <v>227</v>
      </c>
      <c r="F21855" s="38" t="s">
        <v>228</v>
      </c>
      <c r="G21855" s="49" t="str">
        <f t="shared" si="1"/>
        <v>06450</v>
      </c>
      <c r="H21855" s="49" t="str">
        <f t="shared" si="2"/>
        <v>06013</v>
      </c>
    </row>
    <row r="21856">
      <c r="A21856" s="48" t="s">
        <v>2097</v>
      </c>
      <c r="B21856" s="38">
        <v>42296.0</v>
      </c>
      <c r="C21856" s="38" t="s">
        <v>26377</v>
      </c>
      <c r="D21856" s="38" t="str">
        <f>IFERROR(__xludf.DUMMYFUNCTION("REGEXREPLACE(C21856,""-\d+(.*)|--\d+(.*)"","""")"),"SALT-EN-DONZY")</f>
        <v>SALT-EN-DONZY</v>
      </c>
      <c r="E21856" s="38" t="s">
        <v>166</v>
      </c>
      <c r="F21856" s="38" t="s">
        <v>102</v>
      </c>
      <c r="G21856" s="49" t="str">
        <f t="shared" si="1"/>
        <v>42110</v>
      </c>
      <c r="H21856" s="49">
        <f t="shared" si="2"/>
        <v>42296</v>
      </c>
    </row>
    <row r="21857">
      <c r="A21857" s="48" t="s">
        <v>3814</v>
      </c>
      <c r="B21857" s="38">
        <v>71387.0</v>
      </c>
      <c r="C21857" s="38" t="s">
        <v>26378</v>
      </c>
      <c r="D21857" s="38" t="str">
        <f>IFERROR(__xludf.DUMMYFUNCTION("REGEXREPLACE(C21857,""-\d+(.*)|--\d+(.*)"","""")"),"SAINT-ANDRE-LE-DESERT")</f>
        <v>SAINT-ANDRE-LE-DESERT</v>
      </c>
      <c r="E21857" s="38" t="s">
        <v>344</v>
      </c>
      <c r="F21857" s="38" t="s">
        <v>106</v>
      </c>
      <c r="G21857" s="49" t="str">
        <f t="shared" si="1"/>
        <v>71220</v>
      </c>
      <c r="H21857" s="49">
        <f t="shared" si="2"/>
        <v>71387</v>
      </c>
    </row>
    <row r="21858">
      <c r="A21858" s="48" t="s">
        <v>2349</v>
      </c>
      <c r="B21858" s="38">
        <v>62104.0</v>
      </c>
      <c r="C21858" s="38" t="s">
        <v>26379</v>
      </c>
      <c r="D21858" s="38" t="str">
        <f>IFERROR(__xludf.DUMMYFUNCTION("REGEXREPLACE(C21858,""-\d+(.*)|--\d+(.*)"","""")"),"BELLEBRUNE")</f>
        <v>BELLEBRUNE</v>
      </c>
      <c r="E21858" s="38" t="s">
        <v>109</v>
      </c>
      <c r="F21858" s="38" t="s">
        <v>86</v>
      </c>
      <c r="G21858" s="49" t="str">
        <f t="shared" si="1"/>
        <v>62142</v>
      </c>
      <c r="H21858" s="49">
        <f t="shared" si="2"/>
        <v>62104</v>
      </c>
    </row>
    <row r="21859">
      <c r="A21859" s="48" t="s">
        <v>2077</v>
      </c>
      <c r="B21859" s="38">
        <v>8058.0</v>
      </c>
      <c r="C21859" s="38" t="s">
        <v>26380</v>
      </c>
      <c r="D21859" s="38" t="str">
        <f>IFERROR(__xludf.DUMMYFUNCTION("REGEXREPLACE(C21859,""-\d+(.*)|--\d+(.*)"","""")"),"BELVAL")</f>
        <v>BELVAL</v>
      </c>
      <c r="E21859" s="38" t="s">
        <v>327</v>
      </c>
      <c r="F21859" s="38" t="s">
        <v>130</v>
      </c>
      <c r="G21859" s="49" t="str">
        <f t="shared" si="1"/>
        <v>08090</v>
      </c>
      <c r="H21859" s="49" t="str">
        <f t="shared" si="2"/>
        <v>08058</v>
      </c>
    </row>
    <row r="21860">
      <c r="A21860" s="48" t="s">
        <v>1798</v>
      </c>
      <c r="B21860" s="38">
        <v>28314.0</v>
      </c>
      <c r="C21860" s="38" t="s">
        <v>26381</v>
      </c>
      <c r="D21860" s="38" t="str">
        <f>IFERROR(__xludf.DUMMYFUNCTION("REGEXREPLACE(C21860,""-\d+(.*)|--\d+(.*)"","""")"),"LES RESSUINTES")</f>
        <v>LES RESSUINTES</v>
      </c>
      <c r="E21860" s="38" t="s">
        <v>300</v>
      </c>
      <c r="F21860" s="38" t="s">
        <v>123</v>
      </c>
      <c r="G21860" s="49" t="str">
        <f t="shared" si="1"/>
        <v>28340</v>
      </c>
      <c r="H21860" s="49">
        <f t="shared" si="2"/>
        <v>28314</v>
      </c>
    </row>
    <row r="21861">
      <c r="A21861" s="48" t="s">
        <v>21063</v>
      </c>
      <c r="B21861" s="38">
        <v>84017.0</v>
      </c>
      <c r="C21861" s="38" t="s">
        <v>26382</v>
      </c>
      <c r="D21861" s="38" t="str">
        <f>IFERROR(__xludf.DUMMYFUNCTION("REGEXREPLACE(C21861,""-\d+(.*)|--\d+(.*)"","""")"),"BEDOIN")</f>
        <v>BEDOIN</v>
      </c>
      <c r="E21861" s="38" t="s">
        <v>1026</v>
      </c>
      <c r="F21861" s="38" t="s">
        <v>228</v>
      </c>
      <c r="G21861" s="49" t="str">
        <f t="shared" si="1"/>
        <v>84410</v>
      </c>
      <c r="H21861" s="49">
        <f t="shared" si="2"/>
        <v>84017</v>
      </c>
    </row>
    <row r="21862">
      <c r="A21862" s="48" t="s">
        <v>1327</v>
      </c>
      <c r="B21862" s="38">
        <v>51382.0</v>
      </c>
      <c r="C21862" s="38" t="s">
        <v>26383</v>
      </c>
      <c r="D21862" s="38" t="str">
        <f>IFERROR(__xludf.DUMMYFUNCTION("REGEXREPLACE(C21862,""-\d+(.*)|--\d+(.*)"","""")"),"MONT-SUR-COURVILLE")</f>
        <v>MONT-SUR-COURVILLE</v>
      </c>
      <c r="E21862" s="38" t="s">
        <v>129</v>
      </c>
      <c r="F21862" s="38" t="s">
        <v>130</v>
      </c>
      <c r="G21862" s="49" t="str">
        <f t="shared" si="1"/>
        <v>51170</v>
      </c>
      <c r="H21862" s="49">
        <f t="shared" si="2"/>
        <v>51382</v>
      </c>
    </row>
    <row r="21863">
      <c r="A21863" s="48" t="s">
        <v>9536</v>
      </c>
      <c r="B21863" s="38">
        <v>8276.0</v>
      </c>
      <c r="C21863" s="38" t="s">
        <v>26384</v>
      </c>
      <c r="D21863" s="38" t="str">
        <f>IFERROR(__xludf.DUMMYFUNCTION("REGEXREPLACE(C21863,""-\d+(.*)|--\d+(.*)"","""")"),"MARGUT")</f>
        <v>MARGUT</v>
      </c>
      <c r="E21863" s="38" t="s">
        <v>327</v>
      </c>
      <c r="F21863" s="38" t="s">
        <v>130</v>
      </c>
      <c r="G21863" s="49" t="str">
        <f t="shared" si="1"/>
        <v>08370</v>
      </c>
      <c r="H21863" s="49" t="str">
        <f t="shared" si="2"/>
        <v>08276</v>
      </c>
    </row>
    <row r="21864">
      <c r="A21864" s="48" t="s">
        <v>26385</v>
      </c>
      <c r="B21864" s="38">
        <v>22094.0</v>
      </c>
      <c r="C21864" s="38" t="s">
        <v>26386</v>
      </c>
      <c r="D21864" s="38" t="str">
        <f>IFERROR(__xludf.DUMMYFUNCTION("REGEXREPLACE(C21864,""-\d+(.*)|--\d+(.*)"","""")"),"LANCIEUX")</f>
        <v>LANCIEUX</v>
      </c>
      <c r="E21864" s="38" t="s">
        <v>89</v>
      </c>
      <c r="F21864" s="38" t="s">
        <v>90</v>
      </c>
      <c r="G21864" s="49" t="str">
        <f t="shared" si="1"/>
        <v>22770</v>
      </c>
      <c r="H21864" s="49">
        <f t="shared" si="2"/>
        <v>22094</v>
      </c>
    </row>
    <row r="21865">
      <c r="A21865" s="48" t="s">
        <v>12166</v>
      </c>
      <c r="B21865" s="38">
        <v>22060.0</v>
      </c>
      <c r="C21865" s="38" t="s">
        <v>26387</v>
      </c>
      <c r="D21865" s="38" t="str">
        <f>IFERROR(__xludf.DUMMYFUNCTION("REGEXREPLACE(C21865,""-\d+(.*)|--\d+(.*)"","""")"),"GAUSSON")</f>
        <v>GAUSSON</v>
      </c>
      <c r="E21865" s="38" t="s">
        <v>89</v>
      </c>
      <c r="F21865" s="38" t="s">
        <v>90</v>
      </c>
      <c r="G21865" s="49" t="str">
        <f t="shared" si="1"/>
        <v>22150</v>
      </c>
      <c r="H21865" s="49">
        <f t="shared" si="2"/>
        <v>22060</v>
      </c>
    </row>
    <row r="21866">
      <c r="A21866" s="48" t="s">
        <v>10570</v>
      </c>
      <c r="B21866" s="38">
        <v>63437.0</v>
      </c>
      <c r="C21866" s="38" t="s">
        <v>26388</v>
      </c>
      <c r="D21866" s="38" t="str">
        <f>IFERROR(__xludf.DUMMYFUNCTION("REGEXREPLACE(C21866,""-\d+(.*)|--\d+(.*)"","""")"),"TREMOUILLE-SAINT-LOUP")</f>
        <v>TREMOUILLE-SAINT-LOUP</v>
      </c>
      <c r="E21866" s="38" t="s">
        <v>353</v>
      </c>
      <c r="F21866" s="38" t="s">
        <v>161</v>
      </c>
      <c r="G21866" s="49" t="str">
        <f t="shared" si="1"/>
        <v>63810</v>
      </c>
      <c r="H21866" s="49">
        <f t="shared" si="2"/>
        <v>63437</v>
      </c>
    </row>
    <row r="21867">
      <c r="A21867" s="48" t="s">
        <v>12208</v>
      </c>
      <c r="B21867" s="38" t="s">
        <v>26389</v>
      </c>
      <c r="C21867" s="38" t="s">
        <v>26390</v>
      </c>
      <c r="D21867" s="38" t="str">
        <f>IFERROR(__xludf.DUMMYFUNCTION("REGEXREPLACE(C21867,""-\d+(.*)|--\d+(.*)"","""")"),"SAN-GAVINO-DI-CARBINI")</f>
        <v>SAN-GAVINO-DI-CARBINI</v>
      </c>
      <c r="E21867" s="38" t="s">
        <v>606</v>
      </c>
      <c r="F21867" s="38" t="s">
        <v>607</v>
      </c>
      <c r="G21867" s="49" t="str">
        <f t="shared" si="1"/>
        <v>20170</v>
      </c>
      <c r="H21867" s="49" t="str">
        <f t="shared" si="2"/>
        <v>2A300</v>
      </c>
    </row>
    <row r="21868">
      <c r="A21868" s="48" t="s">
        <v>2989</v>
      </c>
      <c r="B21868" s="38">
        <v>70085.0</v>
      </c>
      <c r="C21868" s="38" t="s">
        <v>26391</v>
      </c>
      <c r="D21868" s="38" t="str">
        <f>IFERROR(__xludf.DUMMYFUNCTION("REGEXREPLACE(C21868,""-\d+(.*)|--\d+(.*)"","""")"),"BOULT")</f>
        <v>BOULT</v>
      </c>
      <c r="E21868" s="38" t="s">
        <v>956</v>
      </c>
      <c r="F21868" s="38" t="s">
        <v>214</v>
      </c>
      <c r="G21868" s="49" t="str">
        <f t="shared" si="1"/>
        <v>70190</v>
      </c>
      <c r="H21868" s="49">
        <f t="shared" si="2"/>
        <v>70085</v>
      </c>
    </row>
    <row r="21869">
      <c r="A21869" s="48" t="s">
        <v>3434</v>
      </c>
      <c r="B21869" s="38">
        <v>11166.0</v>
      </c>
      <c r="C21869" s="38" t="s">
        <v>26392</v>
      </c>
      <c r="D21869" s="38" t="str">
        <f>IFERROR(__xludf.DUMMYFUNCTION("REGEXREPLACE(C21869,""-\d+(.*)|--\d+(.*)"","""")"),"GOURVIEILLE")</f>
        <v>GOURVIEILLE</v>
      </c>
      <c r="E21869" s="38" t="s">
        <v>278</v>
      </c>
      <c r="F21869" s="38" t="s">
        <v>119</v>
      </c>
      <c r="G21869" s="49" t="str">
        <f t="shared" si="1"/>
        <v>11410</v>
      </c>
      <c r="H21869" s="49">
        <f t="shared" si="2"/>
        <v>11166</v>
      </c>
    </row>
    <row r="21870">
      <c r="A21870" s="48" t="s">
        <v>2059</v>
      </c>
      <c r="B21870" s="38">
        <v>37196.0</v>
      </c>
      <c r="C21870" s="38" t="s">
        <v>26393</v>
      </c>
      <c r="D21870" s="38" t="str">
        <f>IFERROR(__xludf.DUMMYFUNCTION("REGEXREPLACE(C21870,""-\d+(.*)|--\d+(.*)"","""")"),"RICHELIEU")</f>
        <v>RICHELIEU</v>
      </c>
      <c r="E21870" s="38" t="s">
        <v>205</v>
      </c>
      <c r="F21870" s="38" t="s">
        <v>123</v>
      </c>
      <c r="G21870" s="49" t="str">
        <f t="shared" si="1"/>
        <v>37120</v>
      </c>
      <c r="H21870" s="49">
        <f t="shared" si="2"/>
        <v>37196</v>
      </c>
    </row>
    <row r="21871">
      <c r="A21871" s="48" t="s">
        <v>25129</v>
      </c>
      <c r="B21871" s="38">
        <v>77429.0</v>
      </c>
      <c r="C21871" s="38" t="s">
        <v>26394</v>
      </c>
      <c r="D21871" s="38" t="str">
        <f>IFERROR(__xludf.DUMMYFUNCTION("REGEXREPLACE(C21871,""-\d+(.*)|--\d+(.*)"","""")"),"SAINT-OUEN-SUR-MORIN")</f>
        <v>SAINT-OUEN-SUR-MORIN</v>
      </c>
      <c r="E21871" s="38" t="s">
        <v>244</v>
      </c>
      <c r="F21871" s="38" t="s">
        <v>245</v>
      </c>
      <c r="G21871" s="49" t="str">
        <f t="shared" si="1"/>
        <v>77750</v>
      </c>
      <c r="H21871" s="49">
        <f t="shared" si="2"/>
        <v>77429</v>
      </c>
    </row>
    <row r="21872">
      <c r="A21872" s="48" t="s">
        <v>7804</v>
      </c>
      <c r="B21872" s="38">
        <v>51182.0</v>
      </c>
      <c r="C21872" s="38" t="s">
        <v>26395</v>
      </c>
      <c r="D21872" s="38" t="str">
        <f>IFERROR(__xludf.DUMMYFUNCTION("REGEXREPLACE(C21872,""-\d+(.*)|--\d+(.*)"","""")"),"COURCEMAIN")</f>
        <v>COURCEMAIN</v>
      </c>
      <c r="E21872" s="38" t="s">
        <v>129</v>
      </c>
      <c r="F21872" s="38" t="s">
        <v>130</v>
      </c>
      <c r="G21872" s="49" t="str">
        <f t="shared" si="1"/>
        <v>51260</v>
      </c>
      <c r="H21872" s="49">
        <f t="shared" si="2"/>
        <v>51182</v>
      </c>
    </row>
    <row r="21873">
      <c r="A21873" s="48" t="s">
        <v>21358</v>
      </c>
      <c r="B21873" s="38">
        <v>77408.0</v>
      </c>
      <c r="C21873" s="38" t="s">
        <v>20713</v>
      </c>
      <c r="D21873" s="38" t="str">
        <f>IFERROR(__xludf.DUMMYFUNCTION("REGEXREPLACE(C21873,""-\d+(.*)|--\d+(.*)"","""")"),"SAINT-FIACRE")</f>
        <v>SAINT-FIACRE</v>
      </c>
      <c r="E21873" s="38" t="s">
        <v>244</v>
      </c>
      <c r="F21873" s="38" t="s">
        <v>245</v>
      </c>
      <c r="G21873" s="49" t="str">
        <f t="shared" si="1"/>
        <v>77470</v>
      </c>
      <c r="H21873" s="49">
        <f t="shared" si="2"/>
        <v>77408</v>
      </c>
    </row>
    <row r="21874">
      <c r="A21874" s="48" t="s">
        <v>2783</v>
      </c>
      <c r="B21874" s="38">
        <v>31236.0</v>
      </c>
      <c r="C21874" s="38" t="s">
        <v>26396</v>
      </c>
      <c r="D21874" s="38" t="str">
        <f>IFERROR(__xludf.DUMMYFUNCTION("REGEXREPLACE(C21874,""-\d+(.*)|--\d+(.*)"","""")"),"HERRAN")</f>
        <v>HERRAN</v>
      </c>
      <c r="E21874" s="38" t="s">
        <v>93</v>
      </c>
      <c r="F21874" s="38" t="s">
        <v>94</v>
      </c>
      <c r="G21874" s="49" t="str">
        <f t="shared" si="1"/>
        <v>31160</v>
      </c>
      <c r="H21874" s="49">
        <f t="shared" si="2"/>
        <v>31236</v>
      </c>
    </row>
    <row r="21875">
      <c r="A21875" s="48" t="s">
        <v>5381</v>
      </c>
      <c r="B21875" s="38">
        <v>38393.0</v>
      </c>
      <c r="C21875" s="38" t="s">
        <v>26397</v>
      </c>
      <c r="D21875" s="38" t="str">
        <f>IFERROR(__xludf.DUMMYFUNCTION("REGEXREPLACE(C21875,""-\d+(.*)|--\d+(.*)"","""")"),"SAINT-HILAIRE-DE-LA-COTE")</f>
        <v>SAINT-HILAIRE-DE-LA-COTE</v>
      </c>
      <c r="E21875" s="38" t="s">
        <v>101</v>
      </c>
      <c r="F21875" s="38" t="s">
        <v>102</v>
      </c>
      <c r="G21875" s="49" t="str">
        <f t="shared" si="1"/>
        <v>38260</v>
      </c>
      <c r="H21875" s="49">
        <f t="shared" si="2"/>
        <v>38393</v>
      </c>
    </row>
    <row r="21876">
      <c r="A21876" s="48" t="s">
        <v>5515</v>
      </c>
      <c r="B21876" s="38">
        <v>72004.0</v>
      </c>
      <c r="C21876" s="38" t="s">
        <v>26398</v>
      </c>
      <c r="D21876" s="38" t="str">
        <f>IFERROR(__xludf.DUMMYFUNCTION("REGEXREPLACE(C21876,""-\d+(.*)|--\d+(.*)"","""")"),"AMNE")</f>
        <v>AMNE</v>
      </c>
      <c r="E21876" s="38" t="s">
        <v>521</v>
      </c>
      <c r="F21876" s="38" t="s">
        <v>180</v>
      </c>
      <c r="G21876" s="49" t="str">
        <f t="shared" si="1"/>
        <v>72540</v>
      </c>
      <c r="H21876" s="49">
        <f t="shared" si="2"/>
        <v>72004</v>
      </c>
    </row>
    <row r="21877">
      <c r="A21877" s="48" t="s">
        <v>5223</v>
      </c>
      <c r="B21877" s="38">
        <v>65015.0</v>
      </c>
      <c r="C21877" s="38" t="s">
        <v>26399</v>
      </c>
      <c r="D21877" s="38" t="str">
        <f>IFERROR(__xludf.DUMMYFUNCTION("REGEXREPLACE(C21877,""-\d+(.*)|--\d+(.*)"","""")"),"ANTIN")</f>
        <v>ANTIN</v>
      </c>
      <c r="E21877" s="38" t="s">
        <v>200</v>
      </c>
      <c r="F21877" s="38" t="s">
        <v>94</v>
      </c>
      <c r="G21877" s="49" t="str">
        <f t="shared" si="1"/>
        <v>65220</v>
      </c>
      <c r="H21877" s="49">
        <f t="shared" si="2"/>
        <v>65015</v>
      </c>
    </row>
    <row r="21878">
      <c r="A21878" s="48" t="s">
        <v>26400</v>
      </c>
      <c r="B21878" s="38">
        <v>68021.0</v>
      </c>
      <c r="C21878" s="38" t="s">
        <v>26401</v>
      </c>
      <c r="D21878" s="38" t="str">
        <f>IFERROR(__xludf.DUMMYFUNCTION("REGEXREPLACE(C21878,""-\d+(.*)|--\d+(.*)"","""")"),"BARTENHEIM")</f>
        <v>BARTENHEIM</v>
      </c>
      <c r="E21878" s="38" t="s">
        <v>150</v>
      </c>
      <c r="F21878" s="38" t="s">
        <v>151</v>
      </c>
      <c r="G21878" s="49" t="str">
        <f t="shared" si="1"/>
        <v>68870</v>
      </c>
      <c r="H21878" s="49">
        <f t="shared" si="2"/>
        <v>68021</v>
      </c>
    </row>
    <row r="21879">
      <c r="A21879" s="48" t="s">
        <v>4</v>
      </c>
      <c r="B21879" s="38">
        <v>49129.0</v>
      </c>
      <c r="C21879" s="38" t="s">
        <v>26402</v>
      </c>
      <c r="D21879" s="38" t="str">
        <f>IFERROR(__xludf.DUMMYFUNCTION("REGEXREPLACE(C21879,""-\d+(.*)|--\d+(.*)"","""")"),"ECOUFLANT")</f>
        <v>ECOUFLANT</v>
      </c>
      <c r="E21879" s="38" t="s">
        <v>653</v>
      </c>
      <c r="F21879" s="38" t="s">
        <v>180</v>
      </c>
      <c r="G21879" s="49" t="str">
        <f t="shared" si="1"/>
        <v>49000</v>
      </c>
      <c r="H21879" s="49">
        <f t="shared" si="2"/>
        <v>49129</v>
      </c>
    </row>
    <row r="21880">
      <c r="A21880" s="48" t="s">
        <v>9844</v>
      </c>
      <c r="B21880" s="38">
        <v>17362.0</v>
      </c>
      <c r="C21880" s="38" t="s">
        <v>26403</v>
      </c>
      <c r="D21880" s="38" t="str">
        <f>IFERROR(__xludf.DUMMYFUNCTION("REGEXREPLACE(C21880,""-\d+(.*)|--\d+(.*)"","""")"),"SAINT-MARTIAL-DE-MIRAMBEAU")</f>
        <v>SAINT-MARTIAL-DE-MIRAMBEAU</v>
      </c>
      <c r="E21880" s="38" t="s">
        <v>488</v>
      </c>
      <c r="F21880" s="38" t="s">
        <v>338</v>
      </c>
      <c r="G21880" s="49" t="str">
        <f t="shared" si="1"/>
        <v>17150</v>
      </c>
      <c r="H21880" s="49">
        <f t="shared" si="2"/>
        <v>17362</v>
      </c>
    </row>
    <row r="21881">
      <c r="A21881" s="48" t="s">
        <v>1040</v>
      </c>
      <c r="B21881" s="38">
        <v>62732.0</v>
      </c>
      <c r="C21881" s="38" t="s">
        <v>26404</v>
      </c>
      <c r="D21881" s="38" t="str">
        <f>IFERROR(__xludf.DUMMYFUNCTION("REGEXREPLACE(C21881,""-\d+(.*)|--\d+(.*)"","""")"),"SACHIN")</f>
        <v>SACHIN</v>
      </c>
      <c r="E21881" s="38" t="s">
        <v>109</v>
      </c>
      <c r="F21881" s="38" t="s">
        <v>86</v>
      </c>
      <c r="G21881" s="49" t="str">
        <f t="shared" si="1"/>
        <v>62550</v>
      </c>
      <c r="H21881" s="49">
        <f t="shared" si="2"/>
        <v>62732</v>
      </c>
    </row>
    <row r="21882">
      <c r="A21882" s="48" t="s">
        <v>16889</v>
      </c>
      <c r="B21882" s="38">
        <v>66091.0</v>
      </c>
      <c r="C21882" s="38" t="s">
        <v>26405</v>
      </c>
      <c r="D21882" s="38" t="str">
        <f>IFERROR(__xludf.DUMMYFUNCTION("REGEXREPLACE(C21882,""-\d+(.*)|--\d+(.*)"","""")"),"LAMANERE")</f>
        <v>LAMANERE</v>
      </c>
      <c r="E21882" s="38" t="s">
        <v>248</v>
      </c>
      <c r="F21882" s="38" t="s">
        <v>119</v>
      </c>
      <c r="G21882" s="49" t="str">
        <f t="shared" si="1"/>
        <v>66230</v>
      </c>
      <c r="H21882" s="49">
        <f t="shared" si="2"/>
        <v>66091</v>
      </c>
    </row>
    <row r="21883">
      <c r="A21883" s="48" t="s">
        <v>2899</v>
      </c>
      <c r="B21883" s="38">
        <v>15255.0</v>
      </c>
      <c r="C21883" s="38" t="s">
        <v>10206</v>
      </c>
      <c r="D21883" s="38" t="str">
        <f>IFERROR(__xludf.DUMMYFUNCTION("REGEXREPLACE(C21883,""-\d+(.*)|--\d+(.*)"","""")"),"VEZAC")</f>
        <v>VEZAC</v>
      </c>
      <c r="E21883" s="38" t="s">
        <v>632</v>
      </c>
      <c r="F21883" s="38" t="s">
        <v>161</v>
      </c>
      <c r="G21883" s="49" t="str">
        <f t="shared" si="1"/>
        <v>15130</v>
      </c>
      <c r="H21883" s="49">
        <f t="shared" si="2"/>
        <v>15255</v>
      </c>
    </row>
    <row r="21884">
      <c r="A21884" s="48" t="s">
        <v>21368</v>
      </c>
      <c r="B21884" s="38">
        <v>7124.0</v>
      </c>
      <c r="C21884" s="38" t="s">
        <v>14838</v>
      </c>
      <c r="D21884" s="38" t="str">
        <f>IFERROR(__xludf.DUMMYFUNCTION("REGEXREPLACE(C21884,""-\d+(.*)|--\d+(.*)"","""")"),"LAFARRE")</f>
        <v>LAFARRE</v>
      </c>
      <c r="E21884" s="38" t="s">
        <v>144</v>
      </c>
      <c r="F21884" s="38" t="s">
        <v>102</v>
      </c>
      <c r="G21884" s="49" t="str">
        <f t="shared" si="1"/>
        <v>07520</v>
      </c>
      <c r="H21884" s="49" t="str">
        <f t="shared" si="2"/>
        <v>07124</v>
      </c>
    </row>
    <row r="21885">
      <c r="A21885" s="48" t="s">
        <v>4519</v>
      </c>
      <c r="B21885" s="38">
        <v>26286.0</v>
      </c>
      <c r="C21885" s="38" t="s">
        <v>26406</v>
      </c>
      <c r="D21885" s="38" t="str">
        <f>IFERROR(__xludf.DUMMYFUNCTION("REGEXREPLACE(C21885,""-\d+(.*)|--\d+(.*)"","""")"),"ROUSSIEUX")</f>
        <v>ROUSSIEUX</v>
      </c>
      <c r="E21885" s="38" t="s">
        <v>126</v>
      </c>
      <c r="F21885" s="38" t="s">
        <v>102</v>
      </c>
      <c r="G21885" s="49" t="str">
        <f t="shared" si="1"/>
        <v>26510</v>
      </c>
      <c r="H21885" s="49">
        <f t="shared" si="2"/>
        <v>26286</v>
      </c>
    </row>
    <row r="21886">
      <c r="A21886" s="48" t="s">
        <v>3039</v>
      </c>
      <c r="B21886" s="38">
        <v>76533.0</v>
      </c>
      <c r="C21886" s="38" t="s">
        <v>26407</v>
      </c>
      <c r="D21886" s="38" t="str">
        <f>IFERROR(__xludf.DUMMYFUNCTION("REGEXREPLACE(C21886,""-\d+(.*)|--\d+(.*)"","""")"),"ROGERVILLE")</f>
        <v>ROGERVILLE</v>
      </c>
      <c r="E21886" s="38" t="s">
        <v>133</v>
      </c>
      <c r="F21886" s="38" t="s">
        <v>134</v>
      </c>
      <c r="G21886" s="49" t="str">
        <f t="shared" si="1"/>
        <v>76700</v>
      </c>
      <c r="H21886" s="49">
        <f t="shared" si="2"/>
        <v>76533</v>
      </c>
    </row>
    <row r="21887">
      <c r="A21887" s="48" t="s">
        <v>2071</v>
      </c>
      <c r="B21887" s="38">
        <v>58085.0</v>
      </c>
      <c r="C21887" s="38" t="s">
        <v>26408</v>
      </c>
      <c r="D21887" s="38" t="str">
        <f>IFERROR(__xludf.DUMMYFUNCTION("REGEXREPLACE(C21887,""-\d+(.*)|--\d+(.*)"","""")"),"CORVOL-L'ORGUEILLEUX")</f>
        <v>CORVOL-L'ORGUEILLEUX</v>
      </c>
      <c r="E21887" s="38" t="s">
        <v>219</v>
      </c>
      <c r="F21887" s="38" t="s">
        <v>106</v>
      </c>
      <c r="G21887" s="49" t="str">
        <f t="shared" si="1"/>
        <v>58460</v>
      </c>
      <c r="H21887" s="49">
        <f t="shared" si="2"/>
        <v>58085</v>
      </c>
    </row>
    <row r="21888">
      <c r="A21888" s="48" t="s">
        <v>14734</v>
      </c>
      <c r="B21888" s="38">
        <v>4166.0</v>
      </c>
      <c r="C21888" s="38" t="s">
        <v>26409</v>
      </c>
      <c r="D21888" s="38" t="str">
        <f>IFERROR(__xludf.DUMMYFUNCTION("REGEXREPLACE(C21888,""-\d+(.*)|--\d+(.*)"","""")"),"RIEZ")</f>
        <v>RIEZ</v>
      </c>
      <c r="E21888" s="38" t="s">
        <v>662</v>
      </c>
      <c r="F21888" s="38" t="s">
        <v>228</v>
      </c>
      <c r="G21888" s="49" t="str">
        <f t="shared" si="1"/>
        <v>04500</v>
      </c>
      <c r="H21888" s="49" t="str">
        <f t="shared" si="2"/>
        <v>04166</v>
      </c>
    </row>
    <row r="21889">
      <c r="A21889" s="48" t="s">
        <v>1564</v>
      </c>
      <c r="B21889" s="38">
        <v>45124.0</v>
      </c>
      <c r="C21889" s="38" t="s">
        <v>26410</v>
      </c>
      <c r="D21889" s="38" t="str">
        <f>IFERROR(__xludf.DUMMYFUNCTION("REGEXREPLACE(C21889,""-\d+(.*)|--\d+(.*)"","""")"),"DESMONTS")</f>
        <v>DESMONTS</v>
      </c>
      <c r="E21889" s="38" t="s">
        <v>122</v>
      </c>
      <c r="F21889" s="38" t="s">
        <v>123</v>
      </c>
      <c r="G21889" s="49" t="str">
        <f t="shared" si="1"/>
        <v>45390</v>
      </c>
      <c r="H21889" s="49">
        <f t="shared" si="2"/>
        <v>45124</v>
      </c>
    </row>
    <row r="21890">
      <c r="A21890" s="48" t="s">
        <v>9801</v>
      </c>
      <c r="B21890" s="38">
        <v>2467.0</v>
      </c>
      <c r="C21890" s="38" t="s">
        <v>26411</v>
      </c>
      <c r="D21890" s="38" t="str">
        <f>IFERROR(__xludf.DUMMYFUNCTION("REGEXREPLACE(C21890,""-\d+(.*)|--\d+(.*)"","""")"),"MARIZY-SAINT-MARD")</f>
        <v>MARIZY-SAINT-MARD</v>
      </c>
      <c r="E21890" s="38" t="s">
        <v>191</v>
      </c>
      <c r="F21890" s="38" t="s">
        <v>113</v>
      </c>
      <c r="G21890" s="49" t="str">
        <f t="shared" si="1"/>
        <v>02470</v>
      </c>
      <c r="H21890" s="49" t="str">
        <f t="shared" si="2"/>
        <v>02467</v>
      </c>
    </row>
    <row r="21891">
      <c r="A21891" s="48" t="s">
        <v>3662</v>
      </c>
      <c r="B21891" s="38">
        <v>80480.0</v>
      </c>
      <c r="C21891" s="38" t="s">
        <v>26412</v>
      </c>
      <c r="D21891" s="38" t="str">
        <f>IFERROR(__xludf.DUMMYFUNCTION("REGEXREPLACE(C21891,""-\d+(.*)|--\d+(.*)"","""")"),"LIGNIERES-EN-VIMEU")</f>
        <v>LIGNIERES-EN-VIMEU</v>
      </c>
      <c r="E21891" s="38" t="s">
        <v>224</v>
      </c>
      <c r="F21891" s="38" t="s">
        <v>113</v>
      </c>
      <c r="G21891" s="49" t="str">
        <f t="shared" si="1"/>
        <v>80140</v>
      </c>
      <c r="H21891" s="49">
        <f t="shared" si="2"/>
        <v>80480</v>
      </c>
    </row>
    <row r="21892">
      <c r="A21892" s="48" t="s">
        <v>2650</v>
      </c>
      <c r="B21892" s="38">
        <v>65088.0</v>
      </c>
      <c r="C21892" s="38" t="s">
        <v>26413</v>
      </c>
      <c r="D21892" s="38" t="str">
        <f>IFERROR(__xludf.DUMMYFUNCTION("REGEXREPLACE(C21892,""-\d+(.*)|--\d+(.*)"","""")"),"BETBEZE")</f>
        <v>BETBEZE</v>
      </c>
      <c r="E21892" s="38" t="s">
        <v>200</v>
      </c>
      <c r="F21892" s="38" t="s">
        <v>94</v>
      </c>
      <c r="G21892" s="49" t="str">
        <f t="shared" si="1"/>
        <v>65230</v>
      </c>
      <c r="H21892" s="49">
        <f t="shared" si="2"/>
        <v>65088</v>
      </c>
    </row>
    <row r="21893">
      <c r="A21893" s="48" t="s">
        <v>5650</v>
      </c>
      <c r="B21893" s="38">
        <v>1298.0</v>
      </c>
      <c r="C21893" s="38" t="s">
        <v>26414</v>
      </c>
      <c r="D21893" s="38" t="str">
        <f>IFERROR(__xludf.DUMMYFUNCTION("REGEXREPLACE(C21893,""-\d+(.*)|--\d+(.*)"","""")"),"PLAGNE")</f>
        <v>PLAGNE</v>
      </c>
      <c r="E21893" s="38" t="s">
        <v>255</v>
      </c>
      <c r="F21893" s="38" t="s">
        <v>102</v>
      </c>
      <c r="G21893" s="49" t="str">
        <f t="shared" si="1"/>
        <v>01130</v>
      </c>
      <c r="H21893" s="49" t="str">
        <f t="shared" si="2"/>
        <v>01298</v>
      </c>
    </row>
    <row r="21894">
      <c r="A21894" s="48" t="s">
        <v>1800</v>
      </c>
      <c r="B21894" s="38">
        <v>88298.0</v>
      </c>
      <c r="C21894" s="38" t="s">
        <v>26415</v>
      </c>
      <c r="D21894" s="38" t="str">
        <f>IFERROR(__xludf.DUMMYFUNCTION("REGEXREPLACE(C21894,""-\d+(.*)|--\d+(.*)"","""")"),"MENARMONT")</f>
        <v>MENARMONT</v>
      </c>
      <c r="E21894" s="38" t="s">
        <v>194</v>
      </c>
      <c r="F21894" s="38" t="s">
        <v>195</v>
      </c>
      <c r="G21894" s="49" t="str">
        <f t="shared" si="1"/>
        <v>88700</v>
      </c>
      <c r="H21894" s="49">
        <f t="shared" si="2"/>
        <v>88298</v>
      </c>
    </row>
    <row r="21895">
      <c r="A21895" s="48" t="s">
        <v>2920</v>
      </c>
      <c r="B21895" s="38">
        <v>62596.0</v>
      </c>
      <c r="C21895" s="38" t="s">
        <v>26416</v>
      </c>
      <c r="D21895" s="38" t="str">
        <f>IFERROR(__xludf.DUMMYFUNCTION("REGEXREPLACE(C21895,""-\d+(.*)|--\d+(.*)"","""")"),"MOURIEZ")</f>
        <v>MOURIEZ</v>
      </c>
      <c r="E21895" s="38" t="s">
        <v>109</v>
      </c>
      <c r="F21895" s="38" t="s">
        <v>86</v>
      </c>
      <c r="G21895" s="49" t="str">
        <f t="shared" si="1"/>
        <v>62140</v>
      </c>
      <c r="H21895" s="49">
        <f t="shared" si="2"/>
        <v>62596</v>
      </c>
    </row>
    <row r="21896">
      <c r="A21896" s="48" t="s">
        <v>2290</v>
      </c>
      <c r="B21896" s="38">
        <v>38051.0</v>
      </c>
      <c r="C21896" s="38" t="s">
        <v>26417</v>
      </c>
      <c r="D21896" s="38" t="str">
        <f>IFERROR(__xludf.DUMMYFUNCTION("REGEXREPLACE(C21896,""-\d+(.*)|--\d+(.*)"","""")"),"BOUGE-CHAMBALUD")</f>
        <v>BOUGE-CHAMBALUD</v>
      </c>
      <c r="E21896" s="38" t="s">
        <v>101</v>
      </c>
      <c r="F21896" s="38" t="s">
        <v>102</v>
      </c>
      <c r="G21896" s="49" t="str">
        <f t="shared" si="1"/>
        <v>38150</v>
      </c>
      <c r="H21896" s="49">
        <f t="shared" si="2"/>
        <v>38051</v>
      </c>
    </row>
    <row r="21897">
      <c r="A21897" s="48" t="s">
        <v>3955</v>
      </c>
      <c r="B21897" s="38">
        <v>62143.0</v>
      </c>
      <c r="C21897" s="38" t="s">
        <v>26418</v>
      </c>
      <c r="D21897" s="38" t="str">
        <f>IFERROR(__xludf.DUMMYFUNCTION("REGEXREPLACE(C21897,""-\d+(.*)|--\d+(.*)"","""")"),"BOFFLES")</f>
        <v>BOFFLES</v>
      </c>
      <c r="E21897" s="38" t="s">
        <v>109</v>
      </c>
      <c r="F21897" s="38" t="s">
        <v>86</v>
      </c>
      <c r="G21897" s="49" t="str">
        <f t="shared" si="1"/>
        <v>62390</v>
      </c>
      <c r="H21897" s="49">
        <f t="shared" si="2"/>
        <v>62143</v>
      </c>
    </row>
    <row r="21898">
      <c r="A21898" s="48" t="s">
        <v>4902</v>
      </c>
      <c r="B21898" s="38">
        <v>61082.0</v>
      </c>
      <c r="C21898" s="38" t="s">
        <v>26419</v>
      </c>
      <c r="D21898" s="38" t="str">
        <f>IFERROR(__xludf.DUMMYFUNCTION("REGEXREPLACE(C21898,""-\d+(.*)|--\d+(.*)"","""")"),"LE CHALANGE")</f>
        <v>LE CHALANGE</v>
      </c>
      <c r="E21898" s="38" t="s">
        <v>141</v>
      </c>
      <c r="F21898" s="38" t="s">
        <v>138</v>
      </c>
      <c r="G21898" s="49" t="str">
        <f t="shared" si="1"/>
        <v>61390</v>
      </c>
      <c r="H21898" s="49">
        <f t="shared" si="2"/>
        <v>61082</v>
      </c>
    </row>
    <row r="21899">
      <c r="A21899" s="48" t="s">
        <v>5806</v>
      </c>
      <c r="B21899" s="38">
        <v>39539.0</v>
      </c>
      <c r="C21899" s="38" t="s">
        <v>2442</v>
      </c>
      <c r="D21899" s="38" t="str">
        <f>IFERROR(__xludf.DUMMYFUNCTION("REGEXREPLACE(C21899,""-\d+(.*)|--\d+(.*)"","""")"),"VADANS")</f>
        <v>VADANS</v>
      </c>
      <c r="E21899" s="38" t="s">
        <v>400</v>
      </c>
      <c r="F21899" s="38" t="s">
        <v>214</v>
      </c>
      <c r="G21899" s="49" t="str">
        <f t="shared" si="1"/>
        <v>39600</v>
      </c>
      <c r="H21899" s="49">
        <f t="shared" si="2"/>
        <v>39539</v>
      </c>
    </row>
    <row r="21900">
      <c r="A21900" s="48" t="s">
        <v>262</v>
      </c>
      <c r="B21900" s="38">
        <v>9019.0</v>
      </c>
      <c r="C21900" s="38" t="s">
        <v>26420</v>
      </c>
      <c r="D21900" s="38" t="str">
        <f>IFERROR(__xludf.DUMMYFUNCTION("REGEXREPLACE(C21900,""-\d+(.*)|--\d+(.*)"","""")"),"ARTIGAT")</f>
        <v>ARTIGAT</v>
      </c>
      <c r="E21900" s="38" t="s">
        <v>238</v>
      </c>
      <c r="F21900" s="38" t="s">
        <v>94</v>
      </c>
      <c r="G21900" s="49" t="str">
        <f t="shared" si="1"/>
        <v>09130</v>
      </c>
      <c r="H21900" s="49" t="str">
        <f t="shared" si="2"/>
        <v>09019</v>
      </c>
    </row>
    <row r="21901">
      <c r="A21901" s="48" t="s">
        <v>4561</v>
      </c>
      <c r="B21901" s="38">
        <v>79090.0</v>
      </c>
      <c r="C21901" s="38" t="s">
        <v>26421</v>
      </c>
      <c r="D21901" s="38" t="str">
        <f>IFERROR(__xludf.DUMMYFUNCTION("REGEXREPLACE(C21901,""-\d+(.*)|--\d+(.*)"","""")"),"CHIZE")</f>
        <v>CHIZE</v>
      </c>
      <c r="E21901" s="38" t="s">
        <v>337</v>
      </c>
      <c r="F21901" s="38" t="s">
        <v>338</v>
      </c>
      <c r="G21901" s="49" t="str">
        <f t="shared" si="1"/>
        <v>79170</v>
      </c>
      <c r="H21901" s="49">
        <f t="shared" si="2"/>
        <v>79090</v>
      </c>
    </row>
    <row r="21902">
      <c r="A21902" s="48" t="s">
        <v>616</v>
      </c>
      <c r="B21902" s="38">
        <v>89159.0</v>
      </c>
      <c r="C21902" s="38" t="s">
        <v>26422</v>
      </c>
      <c r="D21902" s="38" t="str">
        <f>IFERROR(__xludf.DUMMYFUNCTION("REGEXREPLACE(C21902,""-\d+(.*)|--\d+(.*)"","""")"),"ETAULE")</f>
        <v>ETAULE</v>
      </c>
      <c r="E21902" s="38" t="s">
        <v>275</v>
      </c>
      <c r="F21902" s="38" t="s">
        <v>106</v>
      </c>
      <c r="G21902" s="49" t="str">
        <f t="shared" si="1"/>
        <v>89200</v>
      </c>
      <c r="H21902" s="49">
        <f t="shared" si="2"/>
        <v>89159</v>
      </c>
    </row>
    <row r="21903">
      <c r="A21903" s="48" t="s">
        <v>7728</v>
      </c>
      <c r="B21903" s="38">
        <v>83096.0</v>
      </c>
      <c r="C21903" s="38" t="s">
        <v>26423</v>
      </c>
      <c r="D21903" s="38" t="str">
        <f>IFERROR(__xludf.DUMMYFUNCTION("REGEXREPLACE(C21903,""-\d+(.*)|--\d+(.*)"","""")"),"POURCIEUX")</f>
        <v>POURCIEUX</v>
      </c>
      <c r="E21903" s="38" t="s">
        <v>813</v>
      </c>
      <c r="F21903" s="38" t="s">
        <v>228</v>
      </c>
      <c r="G21903" s="49" t="str">
        <f t="shared" si="1"/>
        <v>83470</v>
      </c>
      <c r="H21903" s="49">
        <f t="shared" si="2"/>
        <v>83096</v>
      </c>
    </row>
    <row r="21904">
      <c r="A21904" s="48" t="s">
        <v>4272</v>
      </c>
      <c r="B21904" s="38">
        <v>76126.0</v>
      </c>
      <c r="C21904" s="38" t="s">
        <v>26424</v>
      </c>
      <c r="D21904" s="38" t="str">
        <f>IFERROR(__xludf.DUMMYFUNCTION("REGEXREPLACE(C21904,""-\d+(.*)|--\d+(.*)"","""")"),"BOSC-MESNIL")</f>
        <v>BOSC-MESNIL</v>
      </c>
      <c r="E21904" s="38" t="s">
        <v>133</v>
      </c>
      <c r="F21904" s="38" t="s">
        <v>134</v>
      </c>
      <c r="G21904" s="49" t="str">
        <f t="shared" si="1"/>
        <v>76680</v>
      </c>
      <c r="H21904" s="49">
        <f t="shared" si="2"/>
        <v>76126</v>
      </c>
    </row>
    <row r="21905">
      <c r="A21905" s="48" t="s">
        <v>10189</v>
      </c>
      <c r="B21905" s="38">
        <v>59039.0</v>
      </c>
      <c r="C21905" s="38" t="s">
        <v>26425</v>
      </c>
      <c r="D21905" s="38" t="str">
        <f>IFERROR(__xludf.DUMMYFUNCTION("REGEXREPLACE(C21905,""-\d+(.*)|--\d+(.*)"","""")"),"AWOINGT")</f>
        <v>AWOINGT</v>
      </c>
      <c r="E21905" s="38" t="s">
        <v>85</v>
      </c>
      <c r="F21905" s="38" t="s">
        <v>86</v>
      </c>
      <c r="G21905" s="49" t="str">
        <f t="shared" si="1"/>
        <v>59400</v>
      </c>
      <c r="H21905" s="49">
        <f t="shared" si="2"/>
        <v>59039</v>
      </c>
    </row>
    <row r="21906">
      <c r="A21906" s="48" t="s">
        <v>14679</v>
      </c>
      <c r="B21906" s="38">
        <v>73275.0</v>
      </c>
      <c r="C21906" s="38" t="s">
        <v>26426</v>
      </c>
      <c r="D21906" s="38" t="str">
        <f>IFERROR(__xludf.DUMMYFUNCTION("REGEXREPLACE(C21906,""-\d+(.*)|--\d+(.*)"","""")"),"SAINT-PIERRE-DE-GENEBROZ")</f>
        <v>SAINT-PIERRE-DE-GENEBROZ</v>
      </c>
      <c r="E21906" s="38" t="s">
        <v>306</v>
      </c>
      <c r="F21906" s="38" t="s">
        <v>102</v>
      </c>
      <c r="G21906" s="49" t="str">
        <f t="shared" si="1"/>
        <v>73360</v>
      </c>
      <c r="H21906" s="49">
        <f t="shared" si="2"/>
        <v>73275</v>
      </c>
    </row>
    <row r="21907">
      <c r="A21907" s="48" t="s">
        <v>6943</v>
      </c>
      <c r="B21907" s="38">
        <v>64133.0</v>
      </c>
      <c r="C21907" s="38" t="s">
        <v>26427</v>
      </c>
      <c r="D21907" s="38" t="str">
        <f>IFERROR(__xludf.DUMMYFUNCTION("REGEXREPLACE(C21907,""-\d+(.*)|--\d+(.*)"","""")"),"BOEIL-BEZING")</f>
        <v>BOEIL-BEZING</v>
      </c>
      <c r="E21907" s="38" t="s">
        <v>268</v>
      </c>
      <c r="F21907" s="38" t="s">
        <v>252</v>
      </c>
      <c r="G21907" s="49" t="str">
        <f t="shared" si="1"/>
        <v>64510</v>
      </c>
      <c r="H21907" s="49">
        <f t="shared" si="2"/>
        <v>64133</v>
      </c>
    </row>
    <row r="21908">
      <c r="A21908" s="48" t="s">
        <v>8084</v>
      </c>
      <c r="B21908" s="38">
        <v>16011.0</v>
      </c>
      <c r="C21908" s="38" t="s">
        <v>7372</v>
      </c>
      <c r="D21908" s="38" t="str">
        <f>IFERROR(__xludf.DUMMYFUNCTION("REGEXREPLACE(C21908,""-\d+(.*)|--\d+(.*)"","""")"),"ANAIS")</f>
        <v>ANAIS</v>
      </c>
      <c r="E21908" s="38" t="s">
        <v>429</v>
      </c>
      <c r="F21908" s="38" t="s">
        <v>338</v>
      </c>
      <c r="G21908" s="49" t="str">
        <f t="shared" si="1"/>
        <v>16560</v>
      </c>
      <c r="H21908" s="49">
        <f t="shared" si="2"/>
        <v>16011</v>
      </c>
    </row>
    <row r="21909">
      <c r="A21909" s="48" t="s">
        <v>5125</v>
      </c>
      <c r="B21909" s="38">
        <v>49173.0</v>
      </c>
      <c r="C21909" s="38" t="s">
        <v>668</v>
      </c>
      <c r="D21909" s="38" t="str">
        <f>IFERROR(__xludf.DUMMYFUNCTION("REGEXREPLACE(C21909,""-\d+(.*)|--\d+(.*)"","""")"),"LASSE")</f>
        <v>LASSE</v>
      </c>
      <c r="E21909" s="38" t="s">
        <v>653</v>
      </c>
      <c r="F21909" s="38" t="s">
        <v>180</v>
      </c>
      <c r="G21909" s="49" t="str">
        <f t="shared" si="1"/>
        <v>49490</v>
      </c>
      <c r="H21909" s="49">
        <f t="shared" si="2"/>
        <v>49173</v>
      </c>
    </row>
    <row r="21910">
      <c r="A21910" s="48" t="s">
        <v>23703</v>
      </c>
      <c r="B21910" s="38" t="s">
        <v>26428</v>
      </c>
      <c r="C21910" s="38" t="s">
        <v>26429</v>
      </c>
      <c r="D21910" s="38" t="str">
        <f>IFERROR(__xludf.DUMMYFUNCTION("REGEXREPLACE(C21910,""-\d+(.*)|--\d+(.*)"","""")"),"CAMPO")</f>
        <v>CAMPO</v>
      </c>
      <c r="E21910" s="38" t="s">
        <v>606</v>
      </c>
      <c r="F21910" s="38" t="s">
        <v>607</v>
      </c>
      <c r="G21910" s="49" t="str">
        <f t="shared" si="1"/>
        <v>20142</v>
      </c>
      <c r="H21910" s="49" t="str">
        <f t="shared" si="2"/>
        <v>2A056</v>
      </c>
    </row>
    <row r="21911">
      <c r="A21911" s="48" t="s">
        <v>2338</v>
      </c>
      <c r="B21911" s="38">
        <v>8128.0</v>
      </c>
      <c r="C21911" s="38" t="s">
        <v>26430</v>
      </c>
      <c r="D21911" s="38" t="str">
        <f>IFERROR(__xludf.DUMMYFUNCTION("REGEXREPLACE(C21911,""-\d+(.*)|--\d+(.*)"","""")"),"CONDE-LES-AUTRY")</f>
        <v>CONDE-LES-AUTRY</v>
      </c>
      <c r="E21911" s="38" t="s">
        <v>327</v>
      </c>
      <c r="F21911" s="38" t="s">
        <v>130</v>
      </c>
      <c r="G21911" s="49" t="str">
        <f t="shared" si="1"/>
        <v>08250</v>
      </c>
      <c r="H21911" s="49" t="str">
        <f t="shared" si="2"/>
        <v>08128</v>
      </c>
    </row>
    <row r="21912">
      <c r="A21912" s="48" t="s">
        <v>26431</v>
      </c>
      <c r="B21912" s="38">
        <v>29278.0</v>
      </c>
      <c r="C21912" s="38" t="s">
        <v>26432</v>
      </c>
      <c r="D21912" s="38" t="str">
        <f>IFERROR(__xludf.DUMMYFUNCTION("REGEXREPLACE(C21912,""-\d+(.*)|--\d+(.*)"","""")"),"SPEZET")</f>
        <v>SPEZET</v>
      </c>
      <c r="E21912" s="38" t="s">
        <v>176</v>
      </c>
      <c r="F21912" s="38" t="s">
        <v>90</v>
      </c>
      <c r="G21912" s="49" t="str">
        <f t="shared" si="1"/>
        <v>29540</v>
      </c>
      <c r="H21912" s="49">
        <f t="shared" si="2"/>
        <v>29278</v>
      </c>
    </row>
    <row r="21913">
      <c r="A21913" s="48" t="s">
        <v>580</v>
      </c>
      <c r="B21913" s="38">
        <v>31019.0</v>
      </c>
      <c r="C21913" s="38" t="s">
        <v>26433</v>
      </c>
      <c r="D21913" s="38" t="str">
        <f>IFERROR(__xludf.DUMMYFUNCTION("REGEXREPLACE(C21913,""-\d+(.*)|--\d+(.*)"","""")"),"ARTIGUE")</f>
        <v>ARTIGUE</v>
      </c>
      <c r="E21913" s="38" t="s">
        <v>93</v>
      </c>
      <c r="F21913" s="38" t="s">
        <v>94</v>
      </c>
      <c r="G21913" s="49" t="str">
        <f t="shared" si="1"/>
        <v>31110</v>
      </c>
      <c r="H21913" s="49">
        <f t="shared" si="2"/>
        <v>31019</v>
      </c>
    </row>
    <row r="21914">
      <c r="A21914" s="48" t="s">
        <v>671</v>
      </c>
      <c r="B21914" s="38">
        <v>21145.0</v>
      </c>
      <c r="C21914" s="38" t="s">
        <v>26434</v>
      </c>
      <c r="D21914" s="38" t="str">
        <f>IFERROR(__xludf.DUMMYFUNCTION("REGEXREPLACE(C21914,""-\d+(.*)|--\d+(.*)"","""")"),"CHARIGNY")</f>
        <v>CHARIGNY</v>
      </c>
      <c r="E21914" s="38" t="s">
        <v>105</v>
      </c>
      <c r="F21914" s="38" t="s">
        <v>106</v>
      </c>
      <c r="G21914" s="49" t="str">
        <f t="shared" si="1"/>
        <v>21140</v>
      </c>
      <c r="H21914" s="49">
        <f t="shared" si="2"/>
        <v>21145</v>
      </c>
    </row>
    <row r="21915">
      <c r="A21915" s="48" t="s">
        <v>9621</v>
      </c>
      <c r="B21915" s="38">
        <v>43171.0</v>
      </c>
      <c r="C21915" s="38" t="s">
        <v>26435</v>
      </c>
      <c r="D21915" s="38" t="str">
        <f>IFERROR(__xludf.DUMMYFUNCTION("REGEXREPLACE(C21915,""-\d+(.*)|--\d+(.*)"","""")"),"SAINT-BERAIN")</f>
        <v>SAINT-BERAIN</v>
      </c>
      <c r="E21915" s="38" t="s">
        <v>332</v>
      </c>
      <c r="F21915" s="38" t="s">
        <v>161</v>
      </c>
      <c r="G21915" s="49" t="str">
        <f t="shared" si="1"/>
        <v>43300</v>
      </c>
      <c r="H21915" s="49">
        <f t="shared" si="2"/>
        <v>43171</v>
      </c>
    </row>
    <row r="21916">
      <c r="A21916" s="48" t="s">
        <v>6872</v>
      </c>
      <c r="B21916" s="38">
        <v>45221.0</v>
      </c>
      <c r="C21916" s="38" t="s">
        <v>26436</v>
      </c>
      <c r="D21916" s="38" t="str">
        <f>IFERROR(__xludf.DUMMYFUNCTION("REGEXREPLACE(C21916,""-\d+(.*)|--\d+(.*)"","""")"),"NANGEVILLE")</f>
        <v>NANGEVILLE</v>
      </c>
      <c r="E21916" s="38" t="s">
        <v>122</v>
      </c>
      <c r="F21916" s="38" t="s">
        <v>123</v>
      </c>
      <c r="G21916" s="49" t="str">
        <f t="shared" si="1"/>
        <v>45330</v>
      </c>
      <c r="H21916" s="49">
        <f t="shared" si="2"/>
        <v>45221</v>
      </c>
    </row>
    <row r="21917">
      <c r="A21917" s="48" t="s">
        <v>1300</v>
      </c>
      <c r="B21917" s="38">
        <v>60247.0</v>
      </c>
      <c r="C21917" s="38" t="s">
        <v>26437</v>
      </c>
      <c r="D21917" s="38" t="str">
        <f>IFERROR(__xludf.DUMMYFUNCTION("REGEXREPLACE(C21917,""-\d+(.*)|--\d+(.*)"","""")"),"FOUILLEUSE")</f>
        <v>FOUILLEUSE</v>
      </c>
      <c r="E21917" s="38" t="s">
        <v>112</v>
      </c>
      <c r="F21917" s="38" t="s">
        <v>113</v>
      </c>
      <c r="G21917" s="49" t="str">
        <f t="shared" si="1"/>
        <v>60190</v>
      </c>
      <c r="H21917" s="49">
        <f t="shared" si="2"/>
        <v>60247</v>
      </c>
    </row>
    <row r="21918">
      <c r="A21918" s="48" t="s">
        <v>25812</v>
      </c>
      <c r="B21918" s="38">
        <v>45166.0</v>
      </c>
      <c r="C21918" s="38" t="s">
        <v>26438</v>
      </c>
      <c r="D21918" s="38" t="str">
        <f>IFERROR(__xludf.DUMMYFUNCTION("REGEXREPLACE(C21918,""-\d+(.*)|--\d+(.*)"","""")"),"HUETRE")</f>
        <v>HUETRE</v>
      </c>
      <c r="E21918" s="38" t="s">
        <v>122</v>
      </c>
      <c r="F21918" s="38" t="s">
        <v>123</v>
      </c>
      <c r="G21918" s="49" t="str">
        <f t="shared" si="1"/>
        <v>45520</v>
      </c>
      <c r="H21918" s="49">
        <f t="shared" si="2"/>
        <v>45166</v>
      </c>
    </row>
    <row r="21919">
      <c r="A21919" s="48" t="s">
        <v>3196</v>
      </c>
      <c r="B21919" s="38">
        <v>1447.0</v>
      </c>
      <c r="C21919" s="38" t="s">
        <v>26439</v>
      </c>
      <c r="D21919" s="38" t="str">
        <f>IFERROR(__xludf.DUMMYFUNCTION("REGEXREPLACE(C21919,""-\d+(.*)|--\d+(.*)"","""")"),"VILLEREVERSURE")</f>
        <v>VILLEREVERSURE</v>
      </c>
      <c r="E21919" s="38" t="s">
        <v>255</v>
      </c>
      <c r="F21919" s="38" t="s">
        <v>102</v>
      </c>
      <c r="G21919" s="49" t="str">
        <f t="shared" si="1"/>
        <v>01250</v>
      </c>
      <c r="H21919" s="49" t="str">
        <f t="shared" si="2"/>
        <v>01447</v>
      </c>
    </row>
    <row r="21920">
      <c r="A21920" s="48" t="s">
        <v>10063</v>
      </c>
      <c r="B21920" s="38">
        <v>18091.0</v>
      </c>
      <c r="C21920" s="38" t="s">
        <v>26440</v>
      </c>
      <c r="D21920" s="38" t="str">
        <f>IFERROR(__xludf.DUMMYFUNCTION("REGEXREPLACE(C21920,""-\d+(.*)|--\d+(.*)"","""")"),"FARGES-ALLICHAMPS")</f>
        <v>FARGES-ALLICHAMPS</v>
      </c>
      <c r="E21920" s="38" t="s">
        <v>504</v>
      </c>
      <c r="F21920" s="38" t="s">
        <v>123</v>
      </c>
      <c r="G21920" s="49" t="str">
        <f t="shared" si="1"/>
        <v>18200</v>
      </c>
      <c r="H21920" s="49">
        <f t="shared" si="2"/>
        <v>18091</v>
      </c>
    </row>
    <row r="21921">
      <c r="A21921" s="48" t="s">
        <v>4409</v>
      </c>
      <c r="B21921" s="38" t="s">
        <v>26441</v>
      </c>
      <c r="C21921" s="38" t="s">
        <v>26442</v>
      </c>
      <c r="D21921" s="38" t="str">
        <f>IFERROR(__xludf.DUMMYFUNCTION("REGEXREPLACE(C21921,""-\d+(.*)|--\d+(.*)"","""")"),"SAMPOLO")</f>
        <v>SAMPOLO</v>
      </c>
      <c r="E21921" s="38" t="s">
        <v>606</v>
      </c>
      <c r="F21921" s="38" t="s">
        <v>607</v>
      </c>
      <c r="G21921" s="49" t="str">
        <f t="shared" si="1"/>
        <v>20134</v>
      </c>
      <c r="H21921" s="49" t="str">
        <f t="shared" si="2"/>
        <v>2A268</v>
      </c>
    </row>
    <row r="21922">
      <c r="A21922" s="48" t="s">
        <v>6572</v>
      </c>
      <c r="B21922" s="38">
        <v>31520.0</v>
      </c>
      <c r="C21922" s="38" t="s">
        <v>26443</v>
      </c>
      <c r="D21922" s="38" t="str">
        <f>IFERROR(__xludf.DUMMYFUNCTION("REGEXREPLACE(C21922,""-\d+(.*)|--\d+(.*)"","""")"),"SAJAS")</f>
        <v>SAJAS</v>
      </c>
      <c r="E21922" s="38" t="s">
        <v>93</v>
      </c>
      <c r="F21922" s="38" t="s">
        <v>94</v>
      </c>
      <c r="G21922" s="49" t="str">
        <f t="shared" si="1"/>
        <v>31370</v>
      </c>
      <c r="H21922" s="49">
        <f t="shared" si="2"/>
        <v>31520</v>
      </c>
    </row>
    <row r="21923">
      <c r="A21923" s="48" t="s">
        <v>19663</v>
      </c>
      <c r="B21923" s="38">
        <v>77016.0</v>
      </c>
      <c r="C21923" s="38" t="s">
        <v>26444</v>
      </c>
      <c r="D21923" s="38" t="str">
        <f>IFERROR(__xludf.DUMMYFUNCTION("REGEXREPLACE(C21923,""-\d+(.*)|--\d+(.*)"","""")"),"BAGNEAUX-SUR-LOING")</f>
        <v>BAGNEAUX-SUR-LOING</v>
      </c>
      <c r="E21923" s="38" t="s">
        <v>244</v>
      </c>
      <c r="F21923" s="38" t="s">
        <v>245</v>
      </c>
      <c r="G21923" s="49" t="str">
        <f t="shared" si="1"/>
        <v>77167</v>
      </c>
      <c r="H21923" s="49">
        <f t="shared" si="2"/>
        <v>77016</v>
      </c>
    </row>
    <row r="21924">
      <c r="A21924" s="48" t="s">
        <v>3523</v>
      </c>
      <c r="B21924" s="38">
        <v>31181.0</v>
      </c>
      <c r="C21924" s="38" t="s">
        <v>26445</v>
      </c>
      <c r="D21924" s="38" t="str">
        <f>IFERROR(__xludf.DUMMYFUNCTION("REGEXREPLACE(C21924,""-\d+(.*)|--\d+(.*)"","""")"),"LE FAUGA")</f>
        <v>LE FAUGA</v>
      </c>
      <c r="E21924" s="38" t="s">
        <v>93</v>
      </c>
      <c r="F21924" s="38" t="s">
        <v>94</v>
      </c>
      <c r="G21924" s="49" t="str">
        <f t="shared" si="1"/>
        <v>31410</v>
      </c>
      <c r="H21924" s="49">
        <f t="shared" si="2"/>
        <v>31181</v>
      </c>
    </row>
    <row r="21925">
      <c r="A21925" s="48" t="s">
        <v>2882</v>
      </c>
      <c r="B21925" s="38">
        <v>76042.0</v>
      </c>
      <c r="C21925" s="38" t="s">
        <v>26446</v>
      </c>
      <c r="D21925" s="38" t="str">
        <f>IFERROR(__xludf.DUMMYFUNCTION("REGEXREPLACE(C21925,""-\d+(.*)|--\d+(.*)"","""")"),"AUVILLIERS")</f>
        <v>AUVILLIERS</v>
      </c>
      <c r="E21925" s="38" t="s">
        <v>133</v>
      </c>
      <c r="F21925" s="38" t="s">
        <v>134</v>
      </c>
      <c r="G21925" s="49" t="str">
        <f t="shared" si="1"/>
        <v>76270</v>
      </c>
      <c r="H21925" s="49">
        <f t="shared" si="2"/>
        <v>76042</v>
      </c>
    </row>
    <row r="21926">
      <c r="A21926" s="48" t="s">
        <v>12407</v>
      </c>
      <c r="B21926" s="38">
        <v>38203.0</v>
      </c>
      <c r="C21926" s="38" t="s">
        <v>26447</v>
      </c>
      <c r="D21926" s="38" t="str">
        <f>IFERROR(__xludf.DUMMYFUNCTION("REGEXREPLACE(C21926,""-\d+(.*)|--\d+(.*)"","""")"),"LAFFREY")</f>
        <v>LAFFREY</v>
      </c>
      <c r="E21926" s="38" t="s">
        <v>101</v>
      </c>
      <c r="F21926" s="38" t="s">
        <v>102</v>
      </c>
      <c r="G21926" s="49" t="str">
        <f t="shared" si="1"/>
        <v>38220</v>
      </c>
      <c r="H21926" s="49">
        <f t="shared" si="2"/>
        <v>38203</v>
      </c>
    </row>
    <row r="21927">
      <c r="A21927" s="48" t="s">
        <v>2721</v>
      </c>
      <c r="B21927" s="38">
        <v>26327.0</v>
      </c>
      <c r="C21927" s="38" t="s">
        <v>26448</v>
      </c>
      <c r="D21927" s="38" t="str">
        <f>IFERROR(__xludf.DUMMYFUNCTION("REGEXREPLACE(C21927,""-\d+(.*)|--\d+(.*)"","""")"),"SAINT-ROMAN")</f>
        <v>SAINT-ROMAN</v>
      </c>
      <c r="E21927" s="38" t="s">
        <v>126</v>
      </c>
      <c r="F21927" s="38" t="s">
        <v>102</v>
      </c>
      <c r="G21927" s="49" t="str">
        <f t="shared" si="1"/>
        <v>26410</v>
      </c>
      <c r="H21927" s="49">
        <f t="shared" si="2"/>
        <v>26327</v>
      </c>
    </row>
    <row r="21928">
      <c r="A21928" s="48" t="s">
        <v>10705</v>
      </c>
      <c r="B21928" s="38">
        <v>64165.0</v>
      </c>
      <c r="C21928" s="38" t="s">
        <v>26449</v>
      </c>
      <c r="D21928" s="38" t="str">
        <f>IFERROR(__xludf.DUMMYFUNCTION("REGEXREPLACE(C21928,""-\d+(.*)|--\d+(.*)"","""")"),"CARDESSE")</f>
        <v>CARDESSE</v>
      </c>
      <c r="E21928" s="38" t="s">
        <v>268</v>
      </c>
      <c r="F21928" s="38" t="s">
        <v>252</v>
      </c>
      <c r="G21928" s="49" t="str">
        <f t="shared" si="1"/>
        <v>64360</v>
      </c>
      <c r="H21928" s="49">
        <f t="shared" si="2"/>
        <v>64165</v>
      </c>
    </row>
    <row r="21929">
      <c r="A21929" s="48" t="s">
        <v>6316</v>
      </c>
      <c r="B21929" s="38">
        <v>50588.0</v>
      </c>
      <c r="C21929" s="38" t="s">
        <v>26450</v>
      </c>
      <c r="D21929" s="38" t="str">
        <f>IFERROR(__xludf.DUMMYFUNCTION("REGEXREPLACE(C21929,""-\d+(.*)|--\d+(.*)"","""")"),"TAMERVILLE")</f>
        <v>TAMERVILLE</v>
      </c>
      <c r="E21929" s="38" t="s">
        <v>157</v>
      </c>
      <c r="F21929" s="38" t="s">
        <v>138</v>
      </c>
      <c r="G21929" s="49" t="str">
        <f t="shared" si="1"/>
        <v>50700</v>
      </c>
      <c r="H21929" s="49">
        <f t="shared" si="2"/>
        <v>50588</v>
      </c>
    </row>
    <row r="21930">
      <c r="A21930" s="48" t="s">
        <v>2701</v>
      </c>
      <c r="B21930" s="38">
        <v>17087.0</v>
      </c>
      <c r="C21930" s="38" t="s">
        <v>26451</v>
      </c>
      <c r="D21930" s="38" t="str">
        <f>IFERROR(__xludf.DUMMYFUNCTION("REGEXREPLACE(C21930,""-\d+(.*)|--\d+(.*)"","""")"),"CHANTEMERLE-SUR-LA-SOIE")</f>
        <v>CHANTEMERLE-SUR-LA-SOIE</v>
      </c>
      <c r="E21930" s="38" t="s">
        <v>488</v>
      </c>
      <c r="F21930" s="38" t="s">
        <v>338</v>
      </c>
      <c r="G21930" s="49" t="str">
        <f t="shared" si="1"/>
        <v>17380</v>
      </c>
      <c r="H21930" s="49">
        <f t="shared" si="2"/>
        <v>17087</v>
      </c>
    </row>
    <row r="21931">
      <c r="A21931" s="48" t="s">
        <v>17375</v>
      </c>
      <c r="B21931" s="38">
        <v>62083.0</v>
      </c>
      <c r="C21931" s="38" t="s">
        <v>26452</v>
      </c>
      <c r="D21931" s="38" t="str">
        <f>IFERROR(__xludf.DUMMYFUNCTION("REGEXREPLACE(C21931,""-\d+(.*)|--\d+(.*)"","""")"),"BARLIN")</f>
        <v>BARLIN</v>
      </c>
      <c r="E21931" s="38" t="s">
        <v>109</v>
      </c>
      <c r="F21931" s="38" t="s">
        <v>86</v>
      </c>
      <c r="G21931" s="49" t="str">
        <f t="shared" si="1"/>
        <v>62620</v>
      </c>
      <c r="H21931" s="49">
        <f t="shared" si="2"/>
        <v>62083</v>
      </c>
    </row>
    <row r="21932">
      <c r="A21932" s="48" t="s">
        <v>15028</v>
      </c>
      <c r="B21932" s="38">
        <v>79141.0</v>
      </c>
      <c r="C21932" s="38" t="s">
        <v>26453</v>
      </c>
      <c r="D21932" s="38" t="str">
        <f>IFERROR(__xludf.DUMMYFUNCTION("REGEXREPLACE(C21932,""-\d+(.*)|--\d+(.*)"","""")"),"IRAIS")</f>
        <v>IRAIS</v>
      </c>
      <c r="E21932" s="38" t="s">
        <v>337</v>
      </c>
      <c r="F21932" s="38" t="s">
        <v>338</v>
      </c>
      <c r="G21932" s="49" t="str">
        <f t="shared" si="1"/>
        <v>79600</v>
      </c>
      <c r="H21932" s="49">
        <f t="shared" si="2"/>
        <v>79141</v>
      </c>
    </row>
    <row r="21933">
      <c r="A21933" s="48" t="s">
        <v>2316</v>
      </c>
      <c r="B21933" s="38">
        <v>25538.0</v>
      </c>
      <c r="C21933" s="38" t="s">
        <v>26454</v>
      </c>
      <c r="D21933" s="38" t="str">
        <f>IFERROR(__xludf.DUMMYFUNCTION("REGEXREPLACE(C21933,""-\d+(.*)|--\d+(.*)"","""")"),"SECHIN")</f>
        <v>SECHIN</v>
      </c>
      <c r="E21933" s="38" t="s">
        <v>213</v>
      </c>
      <c r="F21933" s="38" t="s">
        <v>214</v>
      </c>
      <c r="G21933" s="49" t="str">
        <f t="shared" si="1"/>
        <v>25110</v>
      </c>
      <c r="H21933" s="49">
        <f t="shared" si="2"/>
        <v>25538</v>
      </c>
    </row>
    <row r="21934">
      <c r="A21934" s="48" t="s">
        <v>12481</v>
      </c>
      <c r="B21934" s="38">
        <v>88429.0</v>
      </c>
      <c r="C21934" s="38" t="s">
        <v>26455</v>
      </c>
      <c r="D21934" s="38" t="str">
        <f>IFERROR(__xludf.DUMMYFUNCTION("REGEXREPLACE(C21934,""-\d+(.*)|--\d+(.*)"","""")"),"SAINT-NABORD")</f>
        <v>SAINT-NABORD</v>
      </c>
      <c r="E21934" s="38" t="s">
        <v>194</v>
      </c>
      <c r="F21934" s="38" t="s">
        <v>195</v>
      </c>
      <c r="G21934" s="49" t="str">
        <f t="shared" si="1"/>
        <v>88200</v>
      </c>
      <c r="H21934" s="49">
        <f t="shared" si="2"/>
        <v>88429</v>
      </c>
    </row>
    <row r="21935">
      <c r="A21935" s="48" t="s">
        <v>2510</v>
      </c>
      <c r="B21935" s="38">
        <v>22381.0</v>
      </c>
      <c r="C21935" s="38" t="s">
        <v>26456</v>
      </c>
      <c r="D21935" s="38" t="str">
        <f>IFERROR(__xludf.DUMMYFUNCTION("REGEXREPLACE(C21935,""-\d+(.*)|--\d+(.*)"","""")"),"TREZENY")</f>
        <v>TREZENY</v>
      </c>
      <c r="E21935" s="38" t="s">
        <v>89</v>
      </c>
      <c r="F21935" s="38" t="s">
        <v>90</v>
      </c>
      <c r="G21935" s="49" t="str">
        <f t="shared" si="1"/>
        <v>22450</v>
      </c>
      <c r="H21935" s="49">
        <f t="shared" si="2"/>
        <v>22381</v>
      </c>
    </row>
    <row r="21936">
      <c r="A21936" s="48" t="s">
        <v>1999</v>
      </c>
      <c r="B21936" s="38">
        <v>2209.0</v>
      </c>
      <c r="C21936" s="38" t="s">
        <v>26457</v>
      </c>
      <c r="D21936" s="38" t="str">
        <f>IFERROR(__xludf.DUMMYFUNCTION("REGEXREPLACE(C21936,""-\d+(.*)|--\d+(.*)"","""")"),"CONDE-EN-BRIE")</f>
        <v>CONDE-EN-BRIE</v>
      </c>
      <c r="E21936" s="38" t="s">
        <v>191</v>
      </c>
      <c r="F21936" s="38" t="s">
        <v>113</v>
      </c>
      <c r="G21936" s="49" t="str">
        <f t="shared" si="1"/>
        <v>02330</v>
      </c>
      <c r="H21936" s="49" t="str">
        <f t="shared" si="2"/>
        <v>02209</v>
      </c>
    </row>
    <row r="21937">
      <c r="A21937" s="48" t="s">
        <v>1616</v>
      </c>
      <c r="B21937" s="38">
        <v>10032.0</v>
      </c>
      <c r="C21937" s="38" t="s">
        <v>26458</v>
      </c>
      <c r="D21937" s="38" t="str">
        <f>IFERROR(__xludf.DUMMYFUNCTION("REGEXREPLACE(C21937,""-\d+(.*)|--\d+(.*)"","""")"),"BAROVILLE")</f>
        <v>BAROVILLE</v>
      </c>
      <c r="E21937" s="38" t="s">
        <v>147</v>
      </c>
      <c r="F21937" s="38" t="s">
        <v>130</v>
      </c>
      <c r="G21937" s="49" t="str">
        <f t="shared" si="1"/>
        <v>10200</v>
      </c>
      <c r="H21937" s="49">
        <f t="shared" si="2"/>
        <v>10032</v>
      </c>
    </row>
    <row r="21938">
      <c r="A21938" s="48" t="s">
        <v>5425</v>
      </c>
      <c r="B21938" s="38">
        <v>82008.0</v>
      </c>
      <c r="C21938" s="38" t="s">
        <v>26459</v>
      </c>
      <c r="D21938" s="38" t="str">
        <f>IFERROR(__xludf.DUMMYFUNCTION("REGEXREPLACE(C21938,""-\d+(.*)|--\d+(.*)"","""")"),"AUVILLAR")</f>
        <v>AUVILLAR</v>
      </c>
      <c r="E21938" s="38" t="s">
        <v>570</v>
      </c>
      <c r="F21938" s="38" t="s">
        <v>94</v>
      </c>
      <c r="G21938" s="49" t="str">
        <f t="shared" si="1"/>
        <v>82340</v>
      </c>
      <c r="H21938" s="49">
        <f t="shared" si="2"/>
        <v>82008</v>
      </c>
    </row>
    <row r="21939">
      <c r="A21939" s="48" t="s">
        <v>12281</v>
      </c>
      <c r="B21939" s="38">
        <v>54104.0</v>
      </c>
      <c r="C21939" s="38" t="s">
        <v>26460</v>
      </c>
      <c r="D21939" s="38" t="str">
        <f>IFERROR(__xludf.DUMMYFUNCTION("REGEXREPLACE(C21939,""-\d+(.*)|--\d+(.*)"","""")"),"BUISSONCOURT")</f>
        <v>BUISSONCOURT</v>
      </c>
      <c r="E21939" s="38" t="s">
        <v>548</v>
      </c>
      <c r="F21939" s="38" t="s">
        <v>195</v>
      </c>
      <c r="G21939" s="49" t="str">
        <f t="shared" si="1"/>
        <v>54110</v>
      </c>
      <c r="H21939" s="49">
        <f t="shared" si="2"/>
        <v>54104</v>
      </c>
    </row>
    <row r="21940">
      <c r="A21940" s="48" t="s">
        <v>460</v>
      </c>
      <c r="B21940" s="38">
        <v>33212.0</v>
      </c>
      <c r="C21940" s="38" t="s">
        <v>26461</v>
      </c>
      <c r="D21940" s="38" t="str">
        <f>IFERROR(__xludf.DUMMYFUNCTION("REGEXREPLACE(C21940,""-\d+(.*)|--\d+(.*)"","""")"),"LABESCAU")</f>
        <v>LABESCAU</v>
      </c>
      <c r="E21940" s="38" t="s">
        <v>462</v>
      </c>
      <c r="F21940" s="38" t="s">
        <v>252</v>
      </c>
      <c r="G21940" s="49" t="str">
        <f t="shared" si="1"/>
        <v>33690</v>
      </c>
      <c r="H21940" s="49">
        <f t="shared" si="2"/>
        <v>33212</v>
      </c>
    </row>
    <row r="21941">
      <c r="A21941" s="48" t="s">
        <v>26462</v>
      </c>
      <c r="B21941" s="38">
        <v>69381.0</v>
      </c>
      <c r="C21941" s="38" t="s">
        <v>26463</v>
      </c>
      <c r="D21941" s="38" t="str">
        <f>IFERROR(__xludf.DUMMYFUNCTION("REGEXREPLACE(C21941,""-\d+(.*)|--\d+(.*)"","""")"),"LYON")</f>
        <v>LYON</v>
      </c>
      <c r="E21941" s="38" t="s">
        <v>350</v>
      </c>
      <c r="F21941" s="38" t="s">
        <v>102</v>
      </c>
      <c r="G21941" s="49" t="str">
        <f t="shared" si="1"/>
        <v>69001</v>
      </c>
      <c r="H21941" s="49">
        <f t="shared" si="2"/>
        <v>69381</v>
      </c>
    </row>
    <row r="21942">
      <c r="A21942" s="48" t="s">
        <v>7245</v>
      </c>
      <c r="B21942" s="38">
        <v>53200.0</v>
      </c>
      <c r="C21942" s="38" t="s">
        <v>26464</v>
      </c>
      <c r="D21942" s="38" t="str">
        <f>IFERROR(__xludf.DUMMYFUNCTION("REGEXREPLACE(C21942,""-\d+(.*)|--\d+(.*)"","""")"),"SAINT-BAUDELLE")</f>
        <v>SAINT-BAUDELLE</v>
      </c>
      <c r="E21942" s="38" t="s">
        <v>518</v>
      </c>
      <c r="F21942" s="38" t="s">
        <v>180</v>
      </c>
      <c r="G21942" s="49" t="str">
        <f t="shared" si="1"/>
        <v>53100</v>
      </c>
      <c r="H21942" s="49">
        <f t="shared" si="2"/>
        <v>53200</v>
      </c>
    </row>
    <row r="21943">
      <c r="A21943" s="48" t="s">
        <v>5933</v>
      </c>
      <c r="B21943" s="38">
        <v>64223.0</v>
      </c>
      <c r="C21943" s="38" t="s">
        <v>26465</v>
      </c>
      <c r="D21943" s="38" t="str">
        <f>IFERROR(__xludf.DUMMYFUNCTION("REGEXREPLACE(C21943,""-\d+(.*)|--\d+(.*)"","""")"),"ETSAUT")</f>
        <v>ETSAUT</v>
      </c>
      <c r="E21943" s="38" t="s">
        <v>268</v>
      </c>
      <c r="F21943" s="38" t="s">
        <v>252</v>
      </c>
      <c r="G21943" s="49" t="str">
        <f t="shared" si="1"/>
        <v>64490</v>
      </c>
      <c r="H21943" s="49">
        <f t="shared" si="2"/>
        <v>64223</v>
      </c>
    </row>
    <row r="21944">
      <c r="A21944" s="48" t="s">
        <v>7365</v>
      </c>
      <c r="B21944" s="38">
        <v>18140.0</v>
      </c>
      <c r="C21944" s="38" t="s">
        <v>26466</v>
      </c>
      <c r="D21944" s="38" t="str">
        <f>IFERROR(__xludf.DUMMYFUNCTION("REGEXREPLACE(C21944,""-\d+(.*)|--\d+(.*)"","""")"),"MASSAY")</f>
        <v>MASSAY</v>
      </c>
      <c r="E21944" s="38" t="s">
        <v>504</v>
      </c>
      <c r="F21944" s="38" t="s">
        <v>123</v>
      </c>
      <c r="G21944" s="49" t="str">
        <f t="shared" si="1"/>
        <v>18120</v>
      </c>
      <c r="H21944" s="49">
        <f t="shared" si="2"/>
        <v>18140</v>
      </c>
    </row>
    <row r="21945">
      <c r="A21945" s="48" t="s">
        <v>13180</v>
      </c>
      <c r="B21945" s="38">
        <v>77167.0</v>
      </c>
      <c r="C21945" s="38" t="s">
        <v>26467</v>
      </c>
      <c r="D21945" s="38" t="str">
        <f>IFERROR(__xludf.DUMMYFUNCTION("REGEXREPLACE(C21945,""-\d+(.*)|--\d+(.*)"","""")"),"EGLIGNY")</f>
        <v>EGLIGNY</v>
      </c>
      <c r="E21945" s="38" t="s">
        <v>244</v>
      </c>
      <c r="F21945" s="38" t="s">
        <v>245</v>
      </c>
      <c r="G21945" s="49" t="str">
        <f t="shared" si="1"/>
        <v>77126</v>
      </c>
      <c r="H21945" s="49">
        <f t="shared" si="2"/>
        <v>77167</v>
      </c>
    </row>
    <row r="21946">
      <c r="A21946" s="48" t="s">
        <v>26468</v>
      </c>
      <c r="B21946" s="38">
        <v>93049.0</v>
      </c>
      <c r="C21946" s="38" t="s">
        <v>26469</v>
      </c>
      <c r="D21946" s="38" t="str">
        <f>IFERROR(__xludf.DUMMYFUNCTION("REGEXREPLACE(C21946,""-\d+(.*)|--\d+(.*)"","""")"),"NEUILLY-PLAISANCE")</f>
        <v>NEUILLY-PLAISANCE</v>
      </c>
      <c r="E21946" s="38" t="s">
        <v>341</v>
      </c>
      <c r="F21946" s="38" t="s">
        <v>245</v>
      </c>
      <c r="G21946" s="49" t="str">
        <f t="shared" si="1"/>
        <v>93360</v>
      </c>
      <c r="H21946" s="49">
        <f t="shared" si="2"/>
        <v>93049</v>
      </c>
    </row>
    <row r="21947">
      <c r="A21947" s="48" t="s">
        <v>26470</v>
      </c>
      <c r="B21947" s="38">
        <v>59279.0</v>
      </c>
      <c r="C21947" s="38" t="s">
        <v>26471</v>
      </c>
      <c r="D21947" s="38" t="str">
        <f>IFERROR(__xludf.DUMMYFUNCTION("REGEXREPLACE(C21947,""-\d+(.*)|--\d+(.*)"","""")"),"HALLUIN")</f>
        <v>HALLUIN</v>
      </c>
      <c r="E21947" s="38" t="s">
        <v>85</v>
      </c>
      <c r="F21947" s="38" t="s">
        <v>86</v>
      </c>
      <c r="G21947" s="49" t="str">
        <f t="shared" si="1"/>
        <v>59250</v>
      </c>
      <c r="H21947" s="49">
        <f t="shared" si="2"/>
        <v>59279</v>
      </c>
    </row>
    <row r="21948">
      <c r="A21948" s="48" t="s">
        <v>12639</v>
      </c>
      <c r="B21948" s="38">
        <v>81146.0</v>
      </c>
      <c r="C21948" s="38" t="s">
        <v>26472</v>
      </c>
      <c r="D21948" s="38" t="str">
        <f>IFERROR(__xludf.DUMMYFUNCTION("REGEXREPLACE(C21948,""-\d+(.*)|--\d+(.*)"","""")"),"LIVERS-CAZELLES")</f>
        <v>LIVERS-CAZELLES</v>
      </c>
      <c r="E21948" s="38" t="s">
        <v>231</v>
      </c>
      <c r="F21948" s="38" t="s">
        <v>94</v>
      </c>
      <c r="G21948" s="49" t="str">
        <f t="shared" si="1"/>
        <v>81170</v>
      </c>
      <c r="H21948" s="49">
        <f t="shared" si="2"/>
        <v>81146</v>
      </c>
    </row>
    <row r="21949">
      <c r="A21949" s="48" t="s">
        <v>2120</v>
      </c>
      <c r="B21949" s="38">
        <v>50083.0</v>
      </c>
      <c r="C21949" s="38" t="s">
        <v>26473</v>
      </c>
      <c r="D21949" s="38" t="str">
        <f>IFERROR(__xludf.DUMMYFUNCTION("REGEXREPLACE(C21949,""-\d+(.*)|--\d+(.*)"","""")"),"BRICQUEBOSQ")</f>
        <v>BRICQUEBOSQ</v>
      </c>
      <c r="E21949" s="38" t="s">
        <v>157</v>
      </c>
      <c r="F21949" s="38" t="s">
        <v>138</v>
      </c>
      <c r="G21949" s="49" t="str">
        <f t="shared" si="1"/>
        <v>50340</v>
      </c>
      <c r="H21949" s="49">
        <f t="shared" si="2"/>
        <v>50083</v>
      </c>
    </row>
    <row r="21950">
      <c r="A21950" s="48" t="s">
        <v>26474</v>
      </c>
      <c r="B21950" s="38">
        <v>44126.0</v>
      </c>
      <c r="C21950" s="38" t="s">
        <v>26475</v>
      </c>
      <c r="D21950" s="38" t="str">
        <f>IFERROR(__xludf.DUMMYFUNCTION("REGEXREPLACE(C21950,""-\d+(.*)|--\d+(.*)"","""")"),"LA PLAINE-SUR-MER")</f>
        <v>LA PLAINE-SUR-MER</v>
      </c>
      <c r="E21950" s="38" t="s">
        <v>759</v>
      </c>
      <c r="F21950" s="38" t="s">
        <v>180</v>
      </c>
      <c r="G21950" s="49" t="str">
        <f t="shared" si="1"/>
        <v>44770</v>
      </c>
      <c r="H21950" s="49">
        <f t="shared" si="2"/>
        <v>44126</v>
      </c>
    </row>
    <row r="21951">
      <c r="A21951" s="48" t="s">
        <v>6298</v>
      </c>
      <c r="B21951" s="38">
        <v>26276.0</v>
      </c>
      <c r="C21951" s="38" t="s">
        <v>26476</v>
      </c>
      <c r="D21951" s="38" t="str">
        <f>IFERROR(__xludf.DUMMYFUNCTION("REGEXREPLACE(C21951,""-\d+(.*)|--\d+(.*)"","""")"),"ROCHE-SAINT-SECRET-BECONNE")</f>
        <v>ROCHE-SAINT-SECRET-BECONNE</v>
      </c>
      <c r="E21951" s="38" t="s">
        <v>126</v>
      </c>
      <c r="F21951" s="38" t="s">
        <v>102</v>
      </c>
      <c r="G21951" s="49" t="str">
        <f t="shared" si="1"/>
        <v>26770</v>
      </c>
      <c r="H21951" s="49">
        <f t="shared" si="2"/>
        <v>26276</v>
      </c>
    </row>
    <row r="21952">
      <c r="A21952" s="48" t="s">
        <v>5134</v>
      </c>
      <c r="B21952" s="38">
        <v>70421.0</v>
      </c>
      <c r="C21952" s="38" t="s">
        <v>26477</v>
      </c>
      <c r="D21952" s="38" t="str">
        <f>IFERROR(__xludf.DUMMYFUNCTION("REGEXREPLACE(C21952,""-\d+(.*)|--\d+(.*)"","""")"),"PORT-SUR-SAONE")</f>
        <v>PORT-SUR-SAONE</v>
      </c>
      <c r="E21952" s="38" t="s">
        <v>956</v>
      </c>
      <c r="F21952" s="38" t="s">
        <v>214</v>
      </c>
      <c r="G21952" s="49" t="str">
        <f t="shared" si="1"/>
        <v>70170</v>
      </c>
      <c r="H21952" s="49">
        <f t="shared" si="2"/>
        <v>70421</v>
      </c>
    </row>
    <row r="21953">
      <c r="A21953" s="48" t="s">
        <v>2316</v>
      </c>
      <c r="B21953" s="38">
        <v>25341.0</v>
      </c>
      <c r="C21953" s="38" t="s">
        <v>26478</v>
      </c>
      <c r="D21953" s="38" t="str">
        <f>IFERROR(__xludf.DUMMYFUNCTION("REGEXREPLACE(C21953,""-\d+(.*)|--\d+(.*)"","""")"),"LOMONT-SUR-CRETE")</f>
        <v>LOMONT-SUR-CRETE</v>
      </c>
      <c r="E21953" s="38" t="s">
        <v>213</v>
      </c>
      <c r="F21953" s="38" t="s">
        <v>214</v>
      </c>
      <c r="G21953" s="49" t="str">
        <f t="shared" si="1"/>
        <v>25110</v>
      </c>
      <c r="H21953" s="49">
        <f t="shared" si="2"/>
        <v>25341</v>
      </c>
    </row>
    <row r="21954">
      <c r="A21954" s="48" t="s">
        <v>1522</v>
      </c>
      <c r="B21954" s="38">
        <v>32084.0</v>
      </c>
      <c r="C21954" s="38" t="s">
        <v>26479</v>
      </c>
      <c r="D21954" s="38" t="str">
        <f>IFERROR(__xludf.DUMMYFUNCTION("REGEXREPLACE(C21954,""-\d+(.*)|--\d+(.*)"","""")"),"CASTERON")</f>
        <v>CASTERON</v>
      </c>
      <c r="E21954" s="38" t="s">
        <v>440</v>
      </c>
      <c r="F21954" s="38" t="s">
        <v>94</v>
      </c>
      <c r="G21954" s="49" t="str">
        <f t="shared" si="1"/>
        <v>32380</v>
      </c>
      <c r="H21954" s="49">
        <f t="shared" si="2"/>
        <v>32084</v>
      </c>
    </row>
    <row r="21955">
      <c r="A21955" s="48" t="s">
        <v>792</v>
      </c>
      <c r="B21955" s="38">
        <v>2713.0</v>
      </c>
      <c r="C21955" s="38" t="s">
        <v>26480</v>
      </c>
      <c r="D21955" s="38" t="str">
        <f>IFERROR(__xludf.DUMMYFUNCTION("REGEXREPLACE(C21955,""-\d+(.*)|--\d+(.*)"","""")"),"SERINGES-ET-NESLES")</f>
        <v>SERINGES-ET-NESLES</v>
      </c>
      <c r="E21955" s="38" t="s">
        <v>191</v>
      </c>
      <c r="F21955" s="38" t="s">
        <v>113</v>
      </c>
      <c r="G21955" s="49" t="str">
        <f t="shared" si="1"/>
        <v>02130</v>
      </c>
      <c r="H21955" s="49" t="str">
        <f t="shared" si="2"/>
        <v>02713</v>
      </c>
    </row>
    <row r="21956">
      <c r="A21956" s="48" t="s">
        <v>10110</v>
      </c>
      <c r="B21956" s="38">
        <v>63324.0</v>
      </c>
      <c r="C21956" s="38" t="s">
        <v>26481</v>
      </c>
      <c r="D21956" s="38" t="str">
        <f>IFERROR(__xludf.DUMMYFUNCTION("REGEXREPLACE(C21956,""-\d+(.*)|--\d+(.*)"","""")"),"SAINT-BONNET-LE-CHASTEL")</f>
        <v>SAINT-BONNET-LE-CHASTEL</v>
      </c>
      <c r="E21956" s="38" t="s">
        <v>353</v>
      </c>
      <c r="F21956" s="38" t="s">
        <v>161</v>
      </c>
      <c r="G21956" s="49" t="str">
        <f t="shared" si="1"/>
        <v>63630</v>
      </c>
      <c r="H21956" s="49">
        <f t="shared" si="2"/>
        <v>63324</v>
      </c>
    </row>
    <row r="21957">
      <c r="A21957" s="48" t="s">
        <v>3172</v>
      </c>
      <c r="B21957" s="38">
        <v>28260.0</v>
      </c>
      <c r="C21957" s="38" t="s">
        <v>26482</v>
      </c>
      <c r="D21957" s="38" t="str">
        <f>IFERROR(__xludf.DUMMYFUNCTION("REGEXREPLACE(C21957,""-\d+(.*)|--\d+(.*)"","""")"),"MONTHARVILLE")</f>
        <v>MONTHARVILLE</v>
      </c>
      <c r="E21957" s="38" t="s">
        <v>300</v>
      </c>
      <c r="F21957" s="38" t="s">
        <v>123</v>
      </c>
      <c r="G21957" s="49" t="str">
        <f t="shared" si="1"/>
        <v>28800</v>
      </c>
      <c r="H21957" s="49">
        <f t="shared" si="2"/>
        <v>28260</v>
      </c>
    </row>
    <row r="21958">
      <c r="A21958" s="48" t="s">
        <v>10348</v>
      </c>
      <c r="B21958" s="38">
        <v>61297.0</v>
      </c>
      <c r="C21958" s="38" t="s">
        <v>26483</v>
      </c>
      <c r="D21958" s="38" t="str">
        <f>IFERROR(__xludf.DUMMYFUNCTION("REGEXREPLACE(C21958,""-\d+(.*)|--\d+(.*)"","""")"),"MOULINS-LA-MARCHE")</f>
        <v>MOULINS-LA-MARCHE</v>
      </c>
      <c r="E21958" s="38" t="s">
        <v>141</v>
      </c>
      <c r="F21958" s="38" t="s">
        <v>138</v>
      </c>
      <c r="G21958" s="49" t="str">
        <f t="shared" si="1"/>
        <v>61380</v>
      </c>
      <c r="H21958" s="49">
        <f t="shared" si="2"/>
        <v>61297</v>
      </c>
    </row>
    <row r="21959">
      <c r="A21959" s="48" t="s">
        <v>6266</v>
      </c>
      <c r="B21959" s="38">
        <v>76237.0</v>
      </c>
      <c r="C21959" s="38" t="s">
        <v>26484</v>
      </c>
      <c r="D21959" s="38" t="str">
        <f>IFERROR(__xludf.DUMMYFUNCTION("REGEXREPLACE(C21959,""-\d+(.*)|--\d+(.*)"","""")"),"EPINAY-SUR-DUCLAIR")</f>
        <v>EPINAY-SUR-DUCLAIR</v>
      </c>
      <c r="E21959" s="38" t="s">
        <v>133</v>
      </c>
      <c r="F21959" s="38" t="s">
        <v>134</v>
      </c>
      <c r="G21959" s="49" t="str">
        <f t="shared" si="1"/>
        <v>76480</v>
      </c>
      <c r="H21959" s="49">
        <f t="shared" si="2"/>
        <v>76237</v>
      </c>
    </row>
    <row r="21960">
      <c r="A21960" s="48" t="s">
        <v>7678</v>
      </c>
      <c r="B21960" s="38">
        <v>10375.0</v>
      </c>
      <c r="C21960" s="38" t="s">
        <v>26485</v>
      </c>
      <c r="D21960" s="38" t="str">
        <f>IFERROR(__xludf.DUMMYFUNCTION("REGEXREPLACE(C21960,""-\d+(.*)|--\d+(.*)"","""")"),"THENNELIERES")</f>
        <v>THENNELIERES</v>
      </c>
      <c r="E21960" s="38" t="s">
        <v>147</v>
      </c>
      <c r="F21960" s="38" t="s">
        <v>130</v>
      </c>
      <c r="G21960" s="49" t="str">
        <f t="shared" si="1"/>
        <v>10410</v>
      </c>
      <c r="H21960" s="49">
        <f t="shared" si="2"/>
        <v>10375</v>
      </c>
    </row>
    <row r="21961">
      <c r="A21961" s="48" t="s">
        <v>576</v>
      </c>
      <c r="B21961" s="38">
        <v>54107.0</v>
      </c>
      <c r="C21961" s="38" t="s">
        <v>26486</v>
      </c>
      <c r="D21961" s="38" t="str">
        <f>IFERROR(__xludf.DUMMYFUNCTION("REGEXREPLACE(C21961,""-\d+(.*)|--\d+(.*)"","""")"),"BURIVILLE")</f>
        <v>BURIVILLE</v>
      </c>
      <c r="E21961" s="38" t="s">
        <v>548</v>
      </c>
      <c r="F21961" s="38" t="s">
        <v>195</v>
      </c>
      <c r="G21961" s="49" t="str">
        <f t="shared" si="1"/>
        <v>54450</v>
      </c>
      <c r="H21961" s="49">
        <f t="shared" si="2"/>
        <v>54107</v>
      </c>
    </row>
    <row r="21962">
      <c r="A21962" s="48" t="s">
        <v>4499</v>
      </c>
      <c r="B21962" s="38">
        <v>25143.0</v>
      </c>
      <c r="C21962" s="38" t="s">
        <v>26487</v>
      </c>
      <c r="D21962" s="38" t="str">
        <f>IFERROR(__xludf.DUMMYFUNCTION("REGEXREPLACE(C21962,""-\d+(.*)|--\d+(.*)"","""")"),"CHAY")</f>
        <v>CHAY</v>
      </c>
      <c r="E21962" s="38" t="s">
        <v>213</v>
      </c>
      <c r="F21962" s="38" t="s">
        <v>214</v>
      </c>
      <c r="G21962" s="49" t="str">
        <f t="shared" si="1"/>
        <v>25440</v>
      </c>
      <c r="H21962" s="49">
        <f t="shared" si="2"/>
        <v>25143</v>
      </c>
    </row>
    <row r="21963">
      <c r="A21963" s="48" t="s">
        <v>3612</v>
      </c>
      <c r="B21963" s="38">
        <v>60170.0</v>
      </c>
      <c r="C21963" s="38" t="s">
        <v>26488</v>
      </c>
      <c r="D21963" s="38" t="str">
        <f>IFERROR(__xludf.DUMMYFUNCTION("REGEXREPLACE(C21963,""-\d+(.*)|--\d+(.*)"","""")"),"COURTEUIL")</f>
        <v>COURTEUIL</v>
      </c>
      <c r="E21963" s="38" t="s">
        <v>112</v>
      </c>
      <c r="F21963" s="38" t="s">
        <v>113</v>
      </c>
      <c r="G21963" s="49" t="str">
        <f t="shared" si="1"/>
        <v>60300</v>
      </c>
      <c r="H21963" s="49">
        <f t="shared" si="2"/>
        <v>60170</v>
      </c>
    </row>
    <row r="21964">
      <c r="A21964" s="48" t="s">
        <v>15474</v>
      </c>
      <c r="B21964" s="38">
        <v>49376.0</v>
      </c>
      <c r="C21964" s="38" t="s">
        <v>26489</v>
      </c>
      <c r="D21964" s="38" t="str">
        <f>IFERROR(__xludf.DUMMYFUNCTION("REGEXREPLACE(C21964,""-\d+(.*)|--\d+(.*)"","""")"),"VILLEMOISAN")</f>
        <v>VILLEMOISAN</v>
      </c>
      <c r="E21964" s="38" t="s">
        <v>653</v>
      </c>
      <c r="F21964" s="38" t="s">
        <v>180</v>
      </c>
      <c r="G21964" s="49" t="str">
        <f t="shared" si="1"/>
        <v>49370</v>
      </c>
      <c r="H21964" s="49">
        <f t="shared" si="2"/>
        <v>49376</v>
      </c>
    </row>
    <row r="21965">
      <c r="A21965" s="48" t="s">
        <v>16457</v>
      </c>
      <c r="B21965" s="38">
        <v>57052.0</v>
      </c>
      <c r="C21965" s="38" t="s">
        <v>26490</v>
      </c>
      <c r="D21965" s="38" t="str">
        <f>IFERROR(__xludf.DUMMYFUNCTION("REGEXREPLACE(C21965,""-\d+(.*)|--\d+(.*)"","""")"),"BARST")</f>
        <v>BARST</v>
      </c>
      <c r="E21965" s="38" t="s">
        <v>303</v>
      </c>
      <c r="F21965" s="38" t="s">
        <v>195</v>
      </c>
      <c r="G21965" s="49" t="str">
        <f t="shared" si="1"/>
        <v>57450</v>
      </c>
      <c r="H21965" s="49">
        <f t="shared" si="2"/>
        <v>57052</v>
      </c>
    </row>
    <row r="21966">
      <c r="A21966" s="48" t="s">
        <v>2419</v>
      </c>
      <c r="B21966" s="38">
        <v>58047.0</v>
      </c>
      <c r="C21966" s="38" t="s">
        <v>26491</v>
      </c>
      <c r="D21966" s="38" t="str">
        <f>IFERROR(__xludf.DUMMYFUNCTION("REGEXREPLACE(C21966,""-\d+(.*)|--\d+(.*)"","""")"),"CERVON")</f>
        <v>CERVON</v>
      </c>
      <c r="E21966" s="38" t="s">
        <v>219</v>
      </c>
      <c r="F21966" s="38" t="s">
        <v>106</v>
      </c>
      <c r="G21966" s="49" t="str">
        <f t="shared" si="1"/>
        <v>58800</v>
      </c>
      <c r="H21966" s="49">
        <f t="shared" si="2"/>
        <v>58047</v>
      </c>
    </row>
    <row r="21967">
      <c r="A21967" s="48" t="s">
        <v>26492</v>
      </c>
      <c r="B21967" s="38">
        <v>38312.0</v>
      </c>
      <c r="C21967" s="38" t="s">
        <v>26493</v>
      </c>
      <c r="D21967" s="38" t="str">
        <f>IFERROR(__xludf.DUMMYFUNCTION("REGEXREPLACE(C21967,""-\d+(.*)|--\d+(.*)"","""")"),"POMMIERS-LA-PLACETTE")</f>
        <v>POMMIERS-LA-PLACETTE</v>
      </c>
      <c r="E21967" s="38" t="s">
        <v>101</v>
      </c>
      <c r="F21967" s="38" t="s">
        <v>102</v>
      </c>
      <c r="G21967" s="49" t="str">
        <f t="shared" si="1"/>
        <v>38340</v>
      </c>
      <c r="H21967" s="49">
        <f t="shared" si="2"/>
        <v>38312</v>
      </c>
    </row>
    <row r="21968">
      <c r="A21968" s="48" t="s">
        <v>3180</v>
      </c>
      <c r="B21968" s="38">
        <v>60385.0</v>
      </c>
      <c r="C21968" s="38" t="s">
        <v>17595</v>
      </c>
      <c r="D21968" s="38" t="str">
        <f>IFERROR(__xludf.DUMMYFUNCTION("REGEXREPLACE(C21968,""-\d+(.*)|--\d+(.*)"","""")"),"MAROLLES")</f>
        <v>MAROLLES</v>
      </c>
      <c r="E21968" s="38" t="s">
        <v>112</v>
      </c>
      <c r="F21968" s="38" t="s">
        <v>113</v>
      </c>
      <c r="G21968" s="49" t="str">
        <f t="shared" si="1"/>
        <v>60890</v>
      </c>
      <c r="H21968" s="49">
        <f t="shared" si="2"/>
        <v>60385</v>
      </c>
    </row>
    <row r="21969">
      <c r="A21969" s="48" t="s">
        <v>466</v>
      </c>
      <c r="B21969" s="38">
        <v>52346.0</v>
      </c>
      <c r="C21969" s="38" t="s">
        <v>26494</v>
      </c>
      <c r="D21969" s="38" t="str">
        <f>IFERROR(__xludf.DUMMYFUNCTION("REGEXREPLACE(C21969,""-\d+(.*)|--\d+(.*)"","""")"),"MUSSEY-SUR-MARNE")</f>
        <v>MUSSEY-SUR-MARNE</v>
      </c>
      <c r="E21969" s="38" t="s">
        <v>234</v>
      </c>
      <c r="F21969" s="38" t="s">
        <v>130</v>
      </c>
      <c r="G21969" s="49" t="str">
        <f t="shared" si="1"/>
        <v>52300</v>
      </c>
      <c r="H21969" s="49">
        <f t="shared" si="2"/>
        <v>52346</v>
      </c>
    </row>
    <row r="21970">
      <c r="A21970" s="48" t="s">
        <v>9436</v>
      </c>
      <c r="B21970" s="38">
        <v>63080.0</v>
      </c>
      <c r="C21970" s="38" t="s">
        <v>26495</v>
      </c>
      <c r="D21970" s="38" t="str">
        <f>IFERROR(__xludf.DUMMYFUNCTION("REGEXREPLACE(C21970,""-\d+(.*)|--\d+(.*)"","""")"),"CHAMPEIX")</f>
        <v>CHAMPEIX</v>
      </c>
      <c r="E21970" s="38" t="s">
        <v>353</v>
      </c>
      <c r="F21970" s="38" t="s">
        <v>161</v>
      </c>
      <c r="G21970" s="49" t="str">
        <f t="shared" si="1"/>
        <v>63320</v>
      </c>
      <c r="H21970" s="49">
        <f t="shared" si="2"/>
        <v>63080</v>
      </c>
    </row>
    <row r="21971">
      <c r="A21971" s="48" t="s">
        <v>394</v>
      </c>
      <c r="B21971" s="38">
        <v>41124.0</v>
      </c>
      <c r="C21971" s="38" t="s">
        <v>26496</v>
      </c>
      <c r="D21971" s="38" t="str">
        <f>IFERROR(__xludf.DUMMYFUNCTION("REGEXREPLACE(C21971,""-\d+(.*)|--\d+(.*)"","""")"),"MARCILLY-EN-BEAUCE")</f>
        <v>MARCILLY-EN-BEAUCE</v>
      </c>
      <c r="E21971" s="38" t="s">
        <v>188</v>
      </c>
      <c r="F21971" s="38" t="s">
        <v>123</v>
      </c>
      <c r="G21971" s="49" t="str">
        <f t="shared" si="1"/>
        <v>41100</v>
      </c>
      <c r="H21971" s="49">
        <f t="shared" si="2"/>
        <v>41124</v>
      </c>
    </row>
    <row r="21972">
      <c r="A21972" s="48" t="s">
        <v>26497</v>
      </c>
      <c r="B21972" s="38">
        <v>33069.0</v>
      </c>
      <c r="C21972" s="38" t="s">
        <v>26498</v>
      </c>
      <c r="D21972" s="38" t="str">
        <f>IFERROR(__xludf.DUMMYFUNCTION("REGEXREPLACE(C21972,""-\d+(.*)|--\d+(.*)"","""")"),"LE BOUSCAT")</f>
        <v>LE BOUSCAT</v>
      </c>
      <c r="E21972" s="38" t="s">
        <v>462</v>
      </c>
      <c r="F21972" s="38" t="s">
        <v>252</v>
      </c>
      <c r="G21972" s="49" t="str">
        <f t="shared" si="1"/>
        <v>33110</v>
      </c>
      <c r="H21972" s="49">
        <f t="shared" si="2"/>
        <v>33069</v>
      </c>
    </row>
    <row r="21973">
      <c r="A21973" s="48" t="s">
        <v>1744</v>
      </c>
      <c r="B21973" s="38">
        <v>31062.0</v>
      </c>
      <c r="C21973" s="38" t="s">
        <v>26499</v>
      </c>
      <c r="D21973" s="38" t="str">
        <f>IFERROR(__xludf.DUMMYFUNCTION("REGEXREPLACE(C21973,""-\d+(.*)|--\d+(.*)"","""")"),"BELLESSERRE")</f>
        <v>BELLESSERRE</v>
      </c>
      <c r="E21973" s="38" t="s">
        <v>93</v>
      </c>
      <c r="F21973" s="38" t="s">
        <v>94</v>
      </c>
      <c r="G21973" s="49" t="str">
        <f t="shared" si="1"/>
        <v>31480</v>
      </c>
      <c r="H21973" s="49">
        <f t="shared" si="2"/>
        <v>31062</v>
      </c>
    </row>
    <row r="21974">
      <c r="A21974" s="48" t="s">
        <v>5924</v>
      </c>
      <c r="B21974" s="38">
        <v>87104.0</v>
      </c>
      <c r="C21974" s="38" t="s">
        <v>26500</v>
      </c>
      <c r="D21974" s="38" t="str">
        <f>IFERROR(__xludf.DUMMYFUNCTION("REGEXREPLACE(C21974,""-\d+(.*)|--\d+(.*)"","""")"),"NEDDE")</f>
        <v>NEDDE</v>
      </c>
      <c r="E21974" s="38" t="s">
        <v>897</v>
      </c>
      <c r="F21974" s="38" t="s">
        <v>98</v>
      </c>
      <c r="G21974" s="49" t="str">
        <f t="shared" si="1"/>
        <v>87120</v>
      </c>
      <c r="H21974" s="49">
        <f t="shared" si="2"/>
        <v>87104</v>
      </c>
    </row>
    <row r="21975">
      <c r="A21975" s="48" t="s">
        <v>665</v>
      </c>
      <c r="B21975" s="38">
        <v>76585.0</v>
      </c>
      <c r="C21975" s="38" t="s">
        <v>26501</v>
      </c>
      <c r="D21975" s="38" t="str">
        <f>IFERROR(__xludf.DUMMYFUNCTION("REGEXREPLACE(C21975,""-\d+(.*)|--\d+(.*)"","""")"),"SAINT-GILLES-DE-CRETOT")</f>
        <v>SAINT-GILLES-DE-CRETOT</v>
      </c>
      <c r="E21975" s="38" t="s">
        <v>133</v>
      </c>
      <c r="F21975" s="38" t="s">
        <v>134</v>
      </c>
      <c r="G21975" s="49" t="str">
        <f t="shared" si="1"/>
        <v>76490</v>
      </c>
      <c r="H21975" s="49">
        <f t="shared" si="2"/>
        <v>76585</v>
      </c>
    </row>
    <row r="21976">
      <c r="A21976" s="48" t="s">
        <v>11538</v>
      </c>
      <c r="B21976" s="38">
        <v>61214.0</v>
      </c>
      <c r="C21976" s="38" t="s">
        <v>26502</v>
      </c>
      <c r="D21976" s="38" t="str">
        <f>IFERROR(__xludf.DUMMYFUNCTION("REGEXREPLACE(C21976,""-\d+(.*)|--\d+(.*)"","""")"),"L'AIGLE")</f>
        <v>L'AIGLE</v>
      </c>
      <c r="E21976" s="38" t="s">
        <v>141</v>
      </c>
      <c r="F21976" s="38" t="s">
        <v>138</v>
      </c>
      <c r="G21976" s="49" t="str">
        <f t="shared" si="1"/>
        <v>61300</v>
      </c>
      <c r="H21976" s="49">
        <f t="shared" si="2"/>
        <v>61214</v>
      </c>
    </row>
    <row r="21977">
      <c r="A21977" s="48" t="s">
        <v>3937</v>
      </c>
      <c r="B21977" s="38">
        <v>18213.0</v>
      </c>
      <c r="C21977" s="38" t="s">
        <v>26503</v>
      </c>
      <c r="D21977" s="38" t="str">
        <f>IFERROR(__xludf.DUMMYFUNCTION("REGEXREPLACE(C21977,""-\d+(.*)|--\d+(.*)"","""")"),"SAINT-GERMAIN-DU-PUY")</f>
        <v>SAINT-GERMAIN-DU-PUY</v>
      </c>
      <c r="E21977" s="38" t="s">
        <v>504</v>
      </c>
      <c r="F21977" s="38" t="s">
        <v>123</v>
      </c>
      <c r="G21977" s="49" t="str">
        <f t="shared" si="1"/>
        <v>18390</v>
      </c>
      <c r="H21977" s="49">
        <f t="shared" si="2"/>
        <v>18213</v>
      </c>
    </row>
    <row r="21978">
      <c r="A21978" s="48" t="s">
        <v>1060</v>
      </c>
      <c r="B21978" s="38">
        <v>57150.0</v>
      </c>
      <c r="C21978" s="38" t="s">
        <v>26504</v>
      </c>
      <c r="D21978" s="38" t="str">
        <f>IFERROR(__xludf.DUMMYFUNCTION("REGEXREPLACE(C21978,""-\d+(.*)|--\d+(.*)"","""")"),"CONDE-NORTHEN")</f>
        <v>CONDE-NORTHEN</v>
      </c>
      <c r="E21978" s="38" t="s">
        <v>303</v>
      </c>
      <c r="F21978" s="38" t="s">
        <v>195</v>
      </c>
      <c r="G21978" s="49" t="str">
        <f t="shared" si="1"/>
        <v>57220</v>
      </c>
      <c r="H21978" s="49">
        <f t="shared" si="2"/>
        <v>57150</v>
      </c>
    </row>
    <row r="21979">
      <c r="A21979" s="48" t="s">
        <v>26505</v>
      </c>
      <c r="B21979" s="38">
        <v>8011.0</v>
      </c>
      <c r="C21979" s="38" t="s">
        <v>26506</v>
      </c>
      <c r="D21979" s="38" t="str">
        <f>IFERROR(__xludf.DUMMYFUNCTION("REGEXREPLACE(C21979,""-\d+(.*)|--\d+(.*)"","""")"),"ANCHAMPS")</f>
        <v>ANCHAMPS</v>
      </c>
      <c r="E21979" s="38" t="s">
        <v>327</v>
      </c>
      <c r="F21979" s="38" t="s">
        <v>130</v>
      </c>
      <c r="G21979" s="49" t="str">
        <f t="shared" si="1"/>
        <v>08500</v>
      </c>
      <c r="H21979" s="49" t="str">
        <f t="shared" si="2"/>
        <v>08011</v>
      </c>
    </row>
    <row r="21980">
      <c r="A21980" s="48" t="s">
        <v>1628</v>
      </c>
      <c r="B21980" s="38">
        <v>70362.0</v>
      </c>
      <c r="C21980" s="38" t="s">
        <v>26507</v>
      </c>
      <c r="D21980" s="38" t="str">
        <f>IFERROR(__xludf.DUMMYFUNCTION("REGEXREPLACE(C21980,""-\d+(.*)|--\d+(.*)"","""")"),"MONTIGNY-LES-CHERLIEU")</f>
        <v>MONTIGNY-LES-CHERLIEU</v>
      </c>
      <c r="E21980" s="38" t="s">
        <v>956</v>
      </c>
      <c r="F21980" s="38" t="s">
        <v>214</v>
      </c>
      <c r="G21980" s="49" t="str">
        <f t="shared" si="1"/>
        <v>70500</v>
      </c>
      <c r="H21980" s="49">
        <f t="shared" si="2"/>
        <v>70362</v>
      </c>
    </row>
    <row r="21981">
      <c r="A21981" s="48" t="s">
        <v>5812</v>
      </c>
      <c r="B21981" s="38">
        <v>77207.0</v>
      </c>
      <c r="C21981" s="38" t="s">
        <v>26508</v>
      </c>
      <c r="D21981" s="38" t="str">
        <f>IFERROR(__xludf.DUMMYFUNCTION("REGEXREPLACE(C21981,""-\d+(.*)|--\d+(.*)"","""")"),"GIRONVILLE")</f>
        <v>GIRONVILLE</v>
      </c>
      <c r="E21981" s="38" t="s">
        <v>244</v>
      </c>
      <c r="F21981" s="38" t="s">
        <v>245</v>
      </c>
      <c r="G21981" s="49" t="str">
        <f t="shared" si="1"/>
        <v>77890</v>
      </c>
      <c r="H21981" s="49">
        <f t="shared" si="2"/>
        <v>77207</v>
      </c>
    </row>
    <row r="21982">
      <c r="A21982" s="48" t="s">
        <v>1368</v>
      </c>
      <c r="B21982" s="38">
        <v>8200.0</v>
      </c>
      <c r="C21982" s="38" t="s">
        <v>26509</v>
      </c>
      <c r="D21982" s="38" t="str">
        <f>IFERROR(__xludf.DUMMYFUNCTION("REGEXREPLACE(C21982,""-\d+(.*)|--\d+(.*)"","""")"),"GRIVY-LOISY")</f>
        <v>GRIVY-LOISY</v>
      </c>
      <c r="E21982" s="38" t="s">
        <v>327</v>
      </c>
      <c r="F21982" s="38" t="s">
        <v>130</v>
      </c>
      <c r="G21982" s="49" t="str">
        <f t="shared" si="1"/>
        <v>08400</v>
      </c>
      <c r="H21982" s="49" t="str">
        <f t="shared" si="2"/>
        <v>08200</v>
      </c>
    </row>
    <row r="21983">
      <c r="A21983" s="48" t="s">
        <v>8116</v>
      </c>
      <c r="B21983" s="38">
        <v>64315.0</v>
      </c>
      <c r="C21983" s="38" t="s">
        <v>26510</v>
      </c>
      <c r="D21983" s="38" t="str">
        <f>IFERROR(__xludf.DUMMYFUNCTION("REGEXREPLACE(C21983,""-\d+(.*)|--\d+(.*)"","""")"),"LAROIN")</f>
        <v>LAROIN</v>
      </c>
      <c r="E21983" s="38" t="s">
        <v>268</v>
      </c>
      <c r="F21983" s="38" t="s">
        <v>252</v>
      </c>
      <c r="G21983" s="49" t="str">
        <f t="shared" si="1"/>
        <v>64110</v>
      </c>
      <c r="H21983" s="49">
        <f t="shared" si="2"/>
        <v>64315</v>
      </c>
    </row>
    <row r="21984">
      <c r="A21984" s="48" t="s">
        <v>26511</v>
      </c>
      <c r="B21984" s="38">
        <v>95365.0</v>
      </c>
      <c r="C21984" s="38" t="s">
        <v>26512</v>
      </c>
      <c r="D21984" s="38" t="str">
        <f>IFERROR(__xludf.DUMMYFUNCTION("REGEXREPLACE(C21984,""-\d+(.*)|--\d+(.*)"","""")"),"MAREIL-EN-FRANCE")</f>
        <v>MAREIL-EN-FRANCE</v>
      </c>
      <c r="E21984" s="38" t="s">
        <v>541</v>
      </c>
      <c r="F21984" s="38" t="s">
        <v>245</v>
      </c>
      <c r="G21984" s="49" t="str">
        <f t="shared" si="1"/>
        <v>95850</v>
      </c>
      <c r="H21984" s="49">
        <f t="shared" si="2"/>
        <v>95365</v>
      </c>
    </row>
    <row r="21985">
      <c r="A21985" s="48" t="s">
        <v>6557</v>
      </c>
      <c r="B21985" s="38">
        <v>82014.0</v>
      </c>
      <c r="C21985" s="38" t="s">
        <v>19419</v>
      </c>
      <c r="D21985" s="38" t="str">
        <f>IFERROR(__xludf.DUMMYFUNCTION("REGEXREPLACE(C21985,""-\d+(.*)|--\d+(.*)"","""")"),"BEAUPUY")</f>
        <v>BEAUPUY</v>
      </c>
      <c r="E21985" s="38" t="s">
        <v>570</v>
      </c>
      <c r="F21985" s="38" t="s">
        <v>94</v>
      </c>
      <c r="G21985" s="49" t="str">
        <f t="shared" si="1"/>
        <v>82600</v>
      </c>
      <c r="H21985" s="49">
        <f t="shared" si="2"/>
        <v>82014</v>
      </c>
    </row>
    <row r="21986">
      <c r="A21986" s="48" t="s">
        <v>1997</v>
      </c>
      <c r="B21986" s="38">
        <v>21158.0</v>
      </c>
      <c r="C21986" s="38" t="s">
        <v>26513</v>
      </c>
      <c r="D21986" s="38" t="str">
        <f>IFERROR(__xludf.DUMMYFUNCTION("REGEXREPLACE(C21986,""-\d+(.*)|--\d+(.*)"","""")"),"CHAUME-ET-COURCHAMP")</f>
        <v>CHAUME-ET-COURCHAMP</v>
      </c>
      <c r="E21986" s="38" t="s">
        <v>105</v>
      </c>
      <c r="F21986" s="38" t="s">
        <v>106</v>
      </c>
      <c r="G21986" s="49" t="str">
        <f t="shared" si="1"/>
        <v>21610</v>
      </c>
      <c r="H21986" s="49">
        <f t="shared" si="2"/>
        <v>21158</v>
      </c>
    </row>
    <row r="21987">
      <c r="A21987" s="48" t="s">
        <v>26514</v>
      </c>
      <c r="B21987" s="38">
        <v>78220.0</v>
      </c>
      <c r="C21987" s="38" t="s">
        <v>26515</v>
      </c>
      <c r="D21987" s="38" t="str">
        <f>IFERROR(__xludf.DUMMYFUNCTION("REGEXREPLACE(C21987,""-\d+(.*)|--\d+(.*)"","""")"),"LES ESSARTS-LE-ROI")</f>
        <v>LES ESSARTS-LE-ROI</v>
      </c>
      <c r="E21987" s="38" t="s">
        <v>362</v>
      </c>
      <c r="F21987" s="38" t="s">
        <v>245</v>
      </c>
      <c r="G21987" s="49" t="str">
        <f t="shared" si="1"/>
        <v>78690</v>
      </c>
      <c r="H21987" s="49">
        <f t="shared" si="2"/>
        <v>78220</v>
      </c>
    </row>
    <row r="21988">
      <c r="A21988" s="48" t="s">
        <v>3233</v>
      </c>
      <c r="B21988" s="38">
        <v>54348.0</v>
      </c>
      <c r="C21988" s="38" t="s">
        <v>26516</v>
      </c>
      <c r="D21988" s="38" t="str">
        <f>IFERROR(__xludf.DUMMYFUNCTION("REGEXREPLACE(C21988,""-\d+(.*)|--\d+(.*)"","""")"),"MANONVILLE")</f>
        <v>MANONVILLE</v>
      </c>
      <c r="E21988" s="38" t="s">
        <v>548</v>
      </c>
      <c r="F21988" s="38" t="s">
        <v>195</v>
      </c>
      <c r="G21988" s="49" t="str">
        <f t="shared" si="1"/>
        <v>54385</v>
      </c>
      <c r="H21988" s="49">
        <f t="shared" si="2"/>
        <v>54348</v>
      </c>
    </row>
    <row r="21989">
      <c r="A21989" s="48" t="s">
        <v>1514</v>
      </c>
      <c r="B21989" s="38">
        <v>70285.0</v>
      </c>
      <c r="C21989" s="38" t="s">
        <v>14140</v>
      </c>
      <c r="D21989" s="38" t="str">
        <f>IFERROR(__xludf.DUMMYFUNCTION("REGEXREPLACE(C21989,""-\d+(.*)|--\d+(.*)"","""")"),"HERICOURT")</f>
        <v>HERICOURT</v>
      </c>
      <c r="E21989" s="38" t="s">
        <v>956</v>
      </c>
      <c r="F21989" s="38" t="s">
        <v>214</v>
      </c>
      <c r="G21989" s="49" t="str">
        <f t="shared" si="1"/>
        <v>70400</v>
      </c>
      <c r="H21989" s="49">
        <f t="shared" si="2"/>
        <v>70285</v>
      </c>
    </row>
    <row r="21990">
      <c r="A21990" s="48" t="s">
        <v>3279</v>
      </c>
      <c r="B21990" s="38">
        <v>26326.0</v>
      </c>
      <c r="C21990" s="38" t="s">
        <v>26517</v>
      </c>
      <c r="D21990" s="38" t="str">
        <f>IFERROR(__xludf.DUMMYFUNCTION("REGEXREPLACE(C21990,""-\d+(.*)|--\d+(.*)"","""")"),"SAINT-RESTITUT")</f>
        <v>SAINT-RESTITUT</v>
      </c>
      <c r="E21990" s="38" t="s">
        <v>126</v>
      </c>
      <c r="F21990" s="38" t="s">
        <v>102</v>
      </c>
      <c r="G21990" s="49" t="str">
        <f t="shared" si="1"/>
        <v>26130</v>
      </c>
      <c r="H21990" s="49">
        <f t="shared" si="2"/>
        <v>26326</v>
      </c>
    </row>
    <row r="21991">
      <c r="A21991" s="48" t="s">
        <v>1864</v>
      </c>
      <c r="B21991" s="38">
        <v>70487.0</v>
      </c>
      <c r="C21991" s="38" t="s">
        <v>26518</v>
      </c>
      <c r="D21991" s="38" t="str">
        <f>IFERROR(__xludf.DUMMYFUNCTION("REGEXREPLACE(C21991,""-\d+(.*)|--\d+(.*)"","""")"),"SENARGENT-MIGNAFANS")</f>
        <v>SENARGENT-MIGNAFANS</v>
      </c>
      <c r="E21991" s="38" t="s">
        <v>956</v>
      </c>
      <c r="F21991" s="38" t="s">
        <v>214</v>
      </c>
      <c r="G21991" s="49" t="str">
        <f t="shared" si="1"/>
        <v>70110</v>
      </c>
      <c r="H21991" s="49">
        <f t="shared" si="2"/>
        <v>70487</v>
      </c>
    </row>
    <row r="21992">
      <c r="A21992" s="48" t="s">
        <v>5950</v>
      </c>
      <c r="B21992" s="38">
        <v>53188.0</v>
      </c>
      <c r="C21992" s="38" t="s">
        <v>26519</v>
      </c>
      <c r="D21992" s="38" t="str">
        <f>IFERROR(__xludf.DUMMYFUNCTION("REGEXREPLACE(C21992,""-\d+(.*)|--\d+(.*)"","""")"),"RENAZE")</f>
        <v>RENAZE</v>
      </c>
      <c r="E21992" s="38" t="s">
        <v>518</v>
      </c>
      <c r="F21992" s="38" t="s">
        <v>180</v>
      </c>
      <c r="G21992" s="49" t="str">
        <f t="shared" si="1"/>
        <v>53800</v>
      </c>
      <c r="H21992" s="49">
        <f t="shared" si="2"/>
        <v>53188</v>
      </c>
    </row>
    <row r="21993">
      <c r="A21993" s="48" t="s">
        <v>19186</v>
      </c>
      <c r="B21993" s="38">
        <v>45063.0</v>
      </c>
      <c r="C21993" s="38" t="s">
        <v>26520</v>
      </c>
      <c r="D21993" s="38" t="str">
        <f>IFERROR(__xludf.DUMMYFUNCTION("REGEXREPLACE(C21993,""-\d+(.*)|--\d+(.*)"","""")"),"CERDON")</f>
        <v>CERDON</v>
      </c>
      <c r="E21993" s="38" t="s">
        <v>122</v>
      </c>
      <c r="F21993" s="38" t="s">
        <v>123</v>
      </c>
      <c r="G21993" s="49" t="str">
        <f t="shared" si="1"/>
        <v>45620</v>
      </c>
      <c r="H21993" s="49">
        <f t="shared" si="2"/>
        <v>45063</v>
      </c>
    </row>
    <row r="21994">
      <c r="A21994" s="48" t="s">
        <v>1744</v>
      </c>
      <c r="B21994" s="38">
        <v>31275.0</v>
      </c>
      <c r="C21994" s="38" t="s">
        <v>26521</v>
      </c>
      <c r="D21994" s="38" t="str">
        <f>IFERROR(__xludf.DUMMYFUNCTION("REGEXREPLACE(C21994,""-\d+(.*)|--\d+(.*)"","""")"),"LAREOLE")</f>
        <v>LAREOLE</v>
      </c>
      <c r="E21994" s="38" t="s">
        <v>93</v>
      </c>
      <c r="F21994" s="38" t="s">
        <v>94</v>
      </c>
      <c r="G21994" s="49" t="str">
        <f t="shared" si="1"/>
        <v>31480</v>
      </c>
      <c r="H21994" s="49">
        <f t="shared" si="2"/>
        <v>31275</v>
      </c>
    </row>
    <row r="21995">
      <c r="A21995" s="48" t="s">
        <v>1027</v>
      </c>
      <c r="B21995" s="38">
        <v>1358.0</v>
      </c>
      <c r="C21995" s="38" t="s">
        <v>26522</v>
      </c>
      <c r="D21995" s="38" t="str">
        <f>IFERROR(__xludf.DUMMYFUNCTION("REGEXREPLACE(C21995,""-\d+(.*)|--\d+(.*)"","""")"),"SAINT-GERMAIN-LES-PAROISSES")</f>
        <v>SAINT-GERMAIN-LES-PAROISSES</v>
      </c>
      <c r="E21995" s="38" t="s">
        <v>255</v>
      </c>
      <c r="F21995" s="38" t="s">
        <v>102</v>
      </c>
      <c r="G21995" s="49" t="str">
        <f t="shared" si="1"/>
        <v>01300</v>
      </c>
      <c r="H21995" s="49" t="str">
        <f t="shared" si="2"/>
        <v>01358</v>
      </c>
    </row>
    <row r="21996">
      <c r="A21996" s="48" t="s">
        <v>9026</v>
      </c>
      <c r="B21996" s="38">
        <v>21269.0</v>
      </c>
      <c r="C21996" s="38" t="s">
        <v>26523</v>
      </c>
      <c r="D21996" s="38" t="str">
        <f>IFERROR(__xludf.DUMMYFUNCTION("REGEXREPLACE(C21996,""-\d+(.*)|--\d+(.*)"","""")"),"FLAMMERANS")</f>
        <v>FLAMMERANS</v>
      </c>
      <c r="E21996" s="38" t="s">
        <v>105</v>
      </c>
      <c r="F21996" s="38" t="s">
        <v>106</v>
      </c>
      <c r="G21996" s="49" t="str">
        <f t="shared" si="1"/>
        <v>21130</v>
      </c>
      <c r="H21996" s="49">
        <f t="shared" si="2"/>
        <v>21269</v>
      </c>
    </row>
    <row r="21997">
      <c r="A21997" s="48" t="s">
        <v>4599</v>
      </c>
      <c r="B21997" s="38">
        <v>70075.0</v>
      </c>
      <c r="C21997" s="38" t="s">
        <v>26524</v>
      </c>
      <c r="D21997" s="38" t="str">
        <f>IFERROR(__xludf.DUMMYFUNCTION("REGEXREPLACE(C21997,""-\d+(.*)|--\d+(.*)"","""")"),"BONBOILLON")</f>
        <v>BONBOILLON</v>
      </c>
      <c r="E21997" s="38" t="s">
        <v>956</v>
      </c>
      <c r="F21997" s="38" t="s">
        <v>214</v>
      </c>
      <c r="G21997" s="49" t="str">
        <f t="shared" si="1"/>
        <v>70150</v>
      </c>
      <c r="H21997" s="49">
        <f t="shared" si="2"/>
        <v>70075</v>
      </c>
    </row>
    <row r="21998">
      <c r="A21998" s="48" t="s">
        <v>384</v>
      </c>
      <c r="B21998" s="38">
        <v>55435.0</v>
      </c>
      <c r="C21998" s="38" t="s">
        <v>26525</v>
      </c>
      <c r="D21998" s="38" t="str">
        <f>IFERROR(__xludf.DUMMYFUNCTION("REGEXREPLACE(C21998,""-\d+(.*)|--\d+(.*)"","""")"),"ROBERT-ESPAGNE")</f>
        <v>ROBERT-ESPAGNE</v>
      </c>
      <c r="E21998" s="38" t="s">
        <v>322</v>
      </c>
      <c r="F21998" s="38" t="s">
        <v>195</v>
      </c>
      <c r="G21998" s="49" t="str">
        <f t="shared" si="1"/>
        <v>55000</v>
      </c>
      <c r="H21998" s="49">
        <f t="shared" si="2"/>
        <v>55435</v>
      </c>
    </row>
    <row r="21999">
      <c r="A21999" s="48" t="s">
        <v>7317</v>
      </c>
      <c r="B21999" s="38">
        <v>91038.0</v>
      </c>
      <c r="C21999" s="38" t="s">
        <v>26526</v>
      </c>
      <c r="D21999" s="38" t="str">
        <f>IFERROR(__xludf.DUMMYFUNCTION("REGEXREPLACE(C21999,""-\d+(.*)|--\d+(.*)"","""")"),"AUVERS-SAINT-GEORGES")</f>
        <v>AUVERS-SAINT-GEORGES</v>
      </c>
      <c r="E21999" s="38" t="s">
        <v>756</v>
      </c>
      <c r="F21999" s="38" t="s">
        <v>245</v>
      </c>
      <c r="G21999" s="49" t="str">
        <f t="shared" si="1"/>
        <v>91580</v>
      </c>
      <c r="H21999" s="49">
        <f t="shared" si="2"/>
        <v>91038</v>
      </c>
    </row>
    <row r="22000">
      <c r="A22000" s="48" t="s">
        <v>26527</v>
      </c>
      <c r="B22000" s="38">
        <v>77442.0</v>
      </c>
      <c r="C22000" s="38" t="s">
        <v>26528</v>
      </c>
      <c r="D22000" s="38" t="str">
        <f>IFERROR(__xludf.DUMMYFUNCTION("REGEXREPLACE(C22000,""-\d+(.*)|--\d+(.*)"","""")"),"SAMOREAU")</f>
        <v>SAMOREAU</v>
      </c>
      <c r="E22000" s="38" t="s">
        <v>244</v>
      </c>
      <c r="F22000" s="38" t="s">
        <v>245</v>
      </c>
      <c r="G22000" s="49" t="str">
        <f t="shared" si="1"/>
        <v>77210</v>
      </c>
      <c r="H22000" s="49">
        <f t="shared" si="2"/>
        <v>77442</v>
      </c>
    </row>
    <row r="22001">
      <c r="A22001" s="48" t="s">
        <v>6060</v>
      </c>
      <c r="B22001" s="38">
        <v>37165.0</v>
      </c>
      <c r="C22001" s="38" t="s">
        <v>26529</v>
      </c>
      <c r="D22001" s="38" t="str">
        <f>IFERROR(__xludf.DUMMYFUNCTION("REGEXREPLACE(C22001,""-\d+(.*)|--\d+(.*)"","""")"),"NEUIL")</f>
        <v>NEUIL</v>
      </c>
      <c r="E22001" s="38" t="s">
        <v>205</v>
      </c>
      <c r="F22001" s="38" t="s">
        <v>123</v>
      </c>
      <c r="G22001" s="49" t="str">
        <f t="shared" si="1"/>
        <v>37190</v>
      </c>
      <c r="H22001" s="49">
        <f t="shared" si="2"/>
        <v>37165</v>
      </c>
    </row>
    <row r="22002">
      <c r="A22002" s="48" t="s">
        <v>834</v>
      </c>
      <c r="B22002" s="38">
        <v>25616.0</v>
      </c>
      <c r="C22002" s="38" t="s">
        <v>26530</v>
      </c>
      <c r="D22002" s="38" t="str">
        <f>IFERROR(__xludf.DUMMYFUNCTION("REGEXREPLACE(C22002,""-\d+(.*)|--\d+(.*)"","""")"),"VILLARS-SAINT-GEORGES")</f>
        <v>VILLARS-SAINT-GEORGES</v>
      </c>
      <c r="E22002" s="38" t="s">
        <v>213</v>
      </c>
      <c r="F22002" s="38" t="s">
        <v>214</v>
      </c>
      <c r="G22002" s="49" t="str">
        <f t="shared" si="1"/>
        <v>25410</v>
      </c>
      <c r="H22002" s="49">
        <f t="shared" si="2"/>
        <v>25616</v>
      </c>
    </row>
    <row r="22003">
      <c r="A22003" s="48" t="s">
        <v>3307</v>
      </c>
      <c r="B22003" s="38">
        <v>65159.0</v>
      </c>
      <c r="C22003" s="38" t="s">
        <v>26531</v>
      </c>
      <c r="D22003" s="38" t="str">
        <f>IFERROR(__xludf.DUMMYFUNCTION("REGEXREPLACE(C22003,""-\d+(.*)|--\d+(.*)"","""")"),"ESCALA")</f>
        <v>ESCALA</v>
      </c>
      <c r="E22003" s="38" t="s">
        <v>200</v>
      </c>
      <c r="F22003" s="38" t="s">
        <v>94</v>
      </c>
      <c r="G22003" s="49" t="str">
        <f t="shared" si="1"/>
        <v>65250</v>
      </c>
      <c r="H22003" s="49">
        <f t="shared" si="2"/>
        <v>65159</v>
      </c>
    </row>
    <row r="22004">
      <c r="A22004" s="48" t="s">
        <v>26532</v>
      </c>
      <c r="B22004" s="38">
        <v>64024.0</v>
      </c>
      <c r="C22004" s="38" t="s">
        <v>26533</v>
      </c>
      <c r="D22004" s="38" t="str">
        <f>IFERROR(__xludf.DUMMYFUNCTION("REGEXREPLACE(C22004,""-\d+(.*)|--\d+(.*)"","""")"),"ANGLET")</f>
        <v>ANGLET</v>
      </c>
      <c r="E22004" s="38" t="s">
        <v>268</v>
      </c>
      <c r="F22004" s="38" t="s">
        <v>252</v>
      </c>
      <c r="G22004" s="49" t="str">
        <f t="shared" si="1"/>
        <v>64600</v>
      </c>
      <c r="H22004" s="49">
        <f t="shared" si="2"/>
        <v>64024</v>
      </c>
    </row>
    <row r="22005">
      <c r="A22005" s="48" t="s">
        <v>2188</v>
      </c>
      <c r="B22005" s="38">
        <v>18151.0</v>
      </c>
      <c r="C22005" s="38" t="s">
        <v>5740</v>
      </c>
      <c r="D22005" s="38" t="str">
        <f>IFERROR(__xludf.DUMMYFUNCTION("REGEXREPLACE(C22005,""-\d+(.*)|--\d+(.*)"","""")"),"MONTIGNY")</f>
        <v>MONTIGNY</v>
      </c>
      <c r="E22005" s="38" t="s">
        <v>504</v>
      </c>
      <c r="F22005" s="38" t="s">
        <v>123</v>
      </c>
      <c r="G22005" s="49" t="str">
        <f t="shared" si="1"/>
        <v>18250</v>
      </c>
      <c r="H22005" s="49">
        <f t="shared" si="2"/>
        <v>18151</v>
      </c>
    </row>
    <row r="22006">
      <c r="A22006" s="48" t="s">
        <v>13699</v>
      </c>
      <c r="B22006" s="38">
        <v>22132.0</v>
      </c>
      <c r="C22006" s="38" t="s">
        <v>26534</v>
      </c>
      <c r="D22006" s="38" t="str">
        <f>IFERROR(__xludf.DUMMYFUNCTION("REGEXREPLACE(C22006,""-\d+(.*)|--\d+(.*)"","""")"),"LOHUEC")</f>
        <v>LOHUEC</v>
      </c>
      <c r="E22006" s="38" t="s">
        <v>89</v>
      </c>
      <c r="F22006" s="38" t="s">
        <v>90</v>
      </c>
      <c r="G22006" s="49" t="str">
        <f t="shared" si="1"/>
        <v>22160</v>
      </c>
      <c r="H22006" s="49">
        <f t="shared" si="2"/>
        <v>22132</v>
      </c>
    </row>
    <row r="22007">
      <c r="A22007" s="48" t="s">
        <v>26535</v>
      </c>
      <c r="B22007" s="38">
        <v>76167.0</v>
      </c>
      <c r="C22007" s="38" t="s">
        <v>26536</v>
      </c>
      <c r="D22007" s="38" t="str">
        <f>IFERROR(__xludf.DUMMYFUNCTION("REGEXREPLACE(C22007,""-\d+(.*)|--\d+(.*)"","""")"),"CAUVILLE-SUR-MER")</f>
        <v>CAUVILLE-SUR-MER</v>
      </c>
      <c r="E22007" s="38" t="s">
        <v>133</v>
      </c>
      <c r="F22007" s="38" t="s">
        <v>134</v>
      </c>
      <c r="G22007" s="49" t="str">
        <f t="shared" si="1"/>
        <v>76930</v>
      </c>
      <c r="H22007" s="49">
        <f t="shared" si="2"/>
        <v>76167</v>
      </c>
    </row>
    <row r="22008">
      <c r="A22008" s="48" t="s">
        <v>18847</v>
      </c>
      <c r="B22008" s="38">
        <v>56153.0</v>
      </c>
      <c r="C22008" s="38" t="s">
        <v>26537</v>
      </c>
      <c r="D22008" s="38" t="str">
        <f>IFERROR(__xludf.DUMMYFUNCTION("REGEXREPLACE(C22008,""-\d+(.*)|--\d+(.*)"","""")"),"PEAULE")</f>
        <v>PEAULE</v>
      </c>
      <c r="E22008" s="38" t="s">
        <v>173</v>
      </c>
      <c r="F22008" s="38" t="s">
        <v>90</v>
      </c>
      <c r="G22008" s="49" t="str">
        <f t="shared" si="1"/>
        <v>56130</v>
      </c>
      <c r="H22008" s="49">
        <f t="shared" si="2"/>
        <v>56153</v>
      </c>
    </row>
    <row r="22009">
      <c r="A22009" s="48" t="s">
        <v>26538</v>
      </c>
      <c r="B22009" s="38">
        <v>35096.0</v>
      </c>
      <c r="C22009" s="38" t="s">
        <v>26539</v>
      </c>
      <c r="D22009" s="38" t="str">
        <f>IFERROR(__xludf.DUMMYFUNCTION("REGEXREPLACE(C22009,""-\d+(.*)|--\d+(.*)"","""")"),"DOMAGNE")</f>
        <v>DOMAGNE</v>
      </c>
      <c r="E22009" s="38" t="s">
        <v>347</v>
      </c>
      <c r="F22009" s="38" t="s">
        <v>90</v>
      </c>
      <c r="G22009" s="49" t="str">
        <f t="shared" si="1"/>
        <v>35113</v>
      </c>
      <c r="H22009" s="49">
        <f t="shared" si="2"/>
        <v>35096</v>
      </c>
    </row>
    <row r="22010">
      <c r="A22010" s="48" t="s">
        <v>2040</v>
      </c>
      <c r="B22010" s="38">
        <v>59562.0</v>
      </c>
      <c r="C22010" s="38" t="s">
        <v>26540</v>
      </c>
      <c r="D22010" s="38" t="str">
        <f>IFERROR(__xludf.DUMMYFUNCTION("REGEXREPLACE(C22010,""-\d+(.*)|--\d+(.*)"","""")"),"SEMERIES")</f>
        <v>SEMERIES</v>
      </c>
      <c r="E22010" s="38" t="s">
        <v>85</v>
      </c>
      <c r="F22010" s="38" t="s">
        <v>86</v>
      </c>
      <c r="G22010" s="49" t="str">
        <f t="shared" si="1"/>
        <v>59440</v>
      </c>
      <c r="H22010" s="49">
        <f t="shared" si="2"/>
        <v>59562</v>
      </c>
    </row>
    <row r="22011">
      <c r="A22011" s="48" t="s">
        <v>18847</v>
      </c>
      <c r="B22011" s="38">
        <v>56250.0</v>
      </c>
      <c r="C22011" s="38" t="s">
        <v>26541</v>
      </c>
      <c r="D22011" s="38" t="str">
        <f>IFERROR(__xludf.DUMMYFUNCTION("REGEXREPLACE(C22011,""-\d+(.*)|--\d+(.*)"","""")"),"THEHILLAC")</f>
        <v>THEHILLAC</v>
      </c>
      <c r="E22011" s="38" t="s">
        <v>173</v>
      </c>
      <c r="F22011" s="38" t="s">
        <v>90</v>
      </c>
      <c r="G22011" s="49" t="str">
        <f t="shared" si="1"/>
        <v>56130</v>
      </c>
      <c r="H22011" s="49">
        <f t="shared" si="2"/>
        <v>56250</v>
      </c>
    </row>
    <row r="22012">
      <c r="A22012" s="48" t="s">
        <v>1514</v>
      </c>
      <c r="B22012" s="38">
        <v>70206.0</v>
      </c>
      <c r="C22012" s="38" t="s">
        <v>26542</v>
      </c>
      <c r="D22012" s="38" t="str">
        <f>IFERROR(__xludf.DUMMYFUNCTION("REGEXREPLACE(C22012,""-\d+(.*)|--\d+(.*)"","""")"),"ECHENANS-SOUS-MONT-VAUDOIS")</f>
        <v>ECHENANS-SOUS-MONT-VAUDOIS</v>
      </c>
      <c r="E22012" s="38" t="s">
        <v>956</v>
      </c>
      <c r="F22012" s="38" t="s">
        <v>214</v>
      </c>
      <c r="G22012" s="49" t="str">
        <f t="shared" si="1"/>
        <v>70400</v>
      </c>
      <c r="H22012" s="49">
        <f t="shared" si="2"/>
        <v>70206</v>
      </c>
    </row>
    <row r="22013">
      <c r="A22013" s="48" t="s">
        <v>4165</v>
      </c>
      <c r="B22013" s="38">
        <v>46267.0</v>
      </c>
      <c r="C22013" s="38" t="s">
        <v>26543</v>
      </c>
      <c r="D22013" s="38" t="str">
        <f>IFERROR(__xludf.DUMMYFUNCTION("REGEXREPLACE(C22013,""-\d+(.*)|--\d+(.*)"","""")"),"SAINT-GERMAIN-DU-BEL-AIR")</f>
        <v>SAINT-GERMAIN-DU-BEL-AIR</v>
      </c>
      <c r="E22013" s="38" t="s">
        <v>185</v>
      </c>
      <c r="F22013" s="38" t="s">
        <v>94</v>
      </c>
      <c r="G22013" s="49" t="str">
        <f t="shared" si="1"/>
        <v>46310</v>
      </c>
      <c r="H22013" s="49">
        <f t="shared" si="2"/>
        <v>46267</v>
      </c>
    </row>
    <row r="22014">
      <c r="A22014" s="48" t="s">
        <v>5759</v>
      </c>
      <c r="B22014" s="38">
        <v>59147.0</v>
      </c>
      <c r="C22014" s="38" t="s">
        <v>26544</v>
      </c>
      <c r="D22014" s="38" t="str">
        <f>IFERROR(__xludf.DUMMYFUNCTION("REGEXREPLACE(C22014,""-\d+(.*)|--\d+(.*)"","""")"),"CHOISIES")</f>
        <v>CHOISIES</v>
      </c>
      <c r="E22014" s="38" t="s">
        <v>85</v>
      </c>
      <c r="F22014" s="38" t="s">
        <v>86</v>
      </c>
      <c r="G22014" s="49" t="str">
        <f t="shared" si="1"/>
        <v>59740</v>
      </c>
      <c r="H22014" s="49">
        <f t="shared" si="2"/>
        <v>59147</v>
      </c>
    </row>
    <row r="22015">
      <c r="A22015" s="48" t="s">
        <v>26545</v>
      </c>
      <c r="B22015" s="38">
        <v>42095.0</v>
      </c>
      <c r="C22015" s="38" t="s">
        <v>26546</v>
      </c>
      <c r="D22015" s="38" t="str">
        <f>IFERROR(__xludf.DUMMYFUNCTION("REGEXREPLACE(C22015,""-\d+(.*)|--\d+(.*)"","""")"),"FIRMINY")</f>
        <v>FIRMINY</v>
      </c>
      <c r="E22015" s="38" t="s">
        <v>166</v>
      </c>
      <c r="F22015" s="38" t="s">
        <v>102</v>
      </c>
      <c r="G22015" s="49" t="str">
        <f t="shared" si="1"/>
        <v>42700</v>
      </c>
      <c r="H22015" s="49">
        <f t="shared" si="2"/>
        <v>42095</v>
      </c>
    </row>
    <row r="22016">
      <c r="A22016" s="48" t="s">
        <v>12195</v>
      </c>
      <c r="B22016" s="38">
        <v>22092.0</v>
      </c>
      <c r="C22016" s="38" t="s">
        <v>26547</v>
      </c>
      <c r="D22016" s="38" t="str">
        <f>IFERROR(__xludf.DUMMYFUNCTION("REGEXREPLACE(C22016,""-\d+(.*)|--\d+(.*)"","""")"),"KERPERT")</f>
        <v>KERPERT</v>
      </c>
      <c r="E22016" s="38" t="s">
        <v>89</v>
      </c>
      <c r="F22016" s="38" t="s">
        <v>90</v>
      </c>
      <c r="G22016" s="49" t="str">
        <f t="shared" si="1"/>
        <v>22480</v>
      </c>
      <c r="H22016" s="49">
        <f t="shared" si="2"/>
        <v>22092</v>
      </c>
    </row>
    <row r="22017">
      <c r="A22017" s="48" t="s">
        <v>7744</v>
      </c>
      <c r="B22017" s="38">
        <v>54169.0</v>
      </c>
      <c r="C22017" s="38" t="s">
        <v>26548</v>
      </c>
      <c r="D22017" s="38" t="str">
        <f>IFERROR(__xludf.DUMMYFUNCTION("REGEXREPLACE(C22017,""-\d+(.*)|--\d+(.*)"","""")"),"DOMPRIX")</f>
        <v>DOMPRIX</v>
      </c>
      <c r="E22017" s="38" t="s">
        <v>548</v>
      </c>
      <c r="F22017" s="38" t="s">
        <v>195</v>
      </c>
      <c r="G22017" s="49" t="str">
        <f t="shared" si="1"/>
        <v>54490</v>
      </c>
      <c r="H22017" s="49">
        <f t="shared" si="2"/>
        <v>54169</v>
      </c>
    </row>
    <row r="22018">
      <c r="A22018" s="48" t="s">
        <v>1222</v>
      </c>
      <c r="B22018" s="38">
        <v>47058.0</v>
      </c>
      <c r="C22018" s="38" t="s">
        <v>26549</v>
      </c>
      <c r="D22018" s="38" t="str">
        <f>IFERROR(__xludf.DUMMYFUNCTION("REGEXREPLACE(C22018,""-\d+(.*)|--\d+(.*)"","""")"),"CAUBEYRES")</f>
        <v>CAUBEYRES</v>
      </c>
      <c r="E22018" s="38" t="s">
        <v>251</v>
      </c>
      <c r="F22018" s="38" t="s">
        <v>252</v>
      </c>
      <c r="G22018" s="49" t="str">
        <f t="shared" si="1"/>
        <v>47160</v>
      </c>
      <c r="H22018" s="49">
        <f t="shared" si="2"/>
        <v>47058</v>
      </c>
    </row>
    <row r="22019">
      <c r="A22019" s="48" t="s">
        <v>3659</v>
      </c>
      <c r="B22019" s="38">
        <v>40056.0</v>
      </c>
      <c r="C22019" s="38" t="s">
        <v>26550</v>
      </c>
      <c r="D22019" s="38" t="str">
        <f>IFERROR(__xludf.DUMMYFUNCTION("REGEXREPLACE(C22019,""-\d+(.*)|--\d+(.*)"","""")"),"BROCAS")</f>
        <v>BROCAS</v>
      </c>
      <c r="E22019" s="38" t="s">
        <v>281</v>
      </c>
      <c r="F22019" s="38" t="s">
        <v>252</v>
      </c>
      <c r="G22019" s="49" t="str">
        <f t="shared" si="1"/>
        <v>40420</v>
      </c>
      <c r="H22019" s="49">
        <f t="shared" si="2"/>
        <v>40056</v>
      </c>
    </row>
    <row r="22020">
      <c r="A22020" s="48" t="s">
        <v>12127</v>
      </c>
      <c r="B22020" s="38">
        <v>7062.0</v>
      </c>
      <c r="C22020" s="38" t="s">
        <v>26551</v>
      </c>
      <c r="D22020" s="38" t="str">
        <f>IFERROR(__xludf.DUMMYFUNCTION("REGEXREPLACE(C22020,""-\d+(.*)|--\d+(.*)"","""")"),"CHAZEAUX")</f>
        <v>CHAZEAUX</v>
      </c>
      <c r="E22020" s="38" t="s">
        <v>144</v>
      </c>
      <c r="F22020" s="38" t="s">
        <v>102</v>
      </c>
      <c r="G22020" s="49" t="str">
        <f t="shared" si="1"/>
        <v>07110</v>
      </c>
      <c r="H22020" s="49" t="str">
        <f t="shared" si="2"/>
        <v>07062</v>
      </c>
    </row>
    <row r="22021">
      <c r="A22021" s="48" t="s">
        <v>681</v>
      </c>
      <c r="B22021" s="38">
        <v>49165.0</v>
      </c>
      <c r="C22021" s="38" t="s">
        <v>26552</v>
      </c>
      <c r="D22021" s="38" t="str">
        <f>IFERROR(__xludf.DUMMYFUNCTION("REGEXREPLACE(C22021,""-\d+(.*)|--\d+(.*)"","""")"),"LA JUBAUDIERE")</f>
        <v>LA JUBAUDIERE</v>
      </c>
      <c r="E22021" s="38" t="s">
        <v>653</v>
      </c>
      <c r="F22021" s="38" t="s">
        <v>180</v>
      </c>
      <c r="G22021" s="49" t="str">
        <f t="shared" si="1"/>
        <v>49510</v>
      </c>
      <c r="H22021" s="49">
        <f t="shared" si="2"/>
        <v>49165</v>
      </c>
    </row>
    <row r="22022">
      <c r="A22022" s="48" t="s">
        <v>18871</v>
      </c>
      <c r="B22022" s="38">
        <v>42028.0</v>
      </c>
      <c r="C22022" s="38" t="s">
        <v>26553</v>
      </c>
      <c r="D22022" s="38" t="str">
        <f>IFERROR(__xludf.DUMMYFUNCTION("REGEXREPLACE(C22022,""-\d+(.*)|--\d+(.*)"","""")"),"BURDIGNES")</f>
        <v>BURDIGNES</v>
      </c>
      <c r="E22022" s="38" t="s">
        <v>166</v>
      </c>
      <c r="F22022" s="38" t="s">
        <v>102</v>
      </c>
      <c r="G22022" s="49" t="str">
        <f t="shared" si="1"/>
        <v>42220</v>
      </c>
      <c r="H22022" s="49">
        <f t="shared" si="2"/>
        <v>42028</v>
      </c>
    </row>
    <row r="22023">
      <c r="A22023" s="48" t="s">
        <v>5047</v>
      </c>
      <c r="B22023" s="38">
        <v>6066.0</v>
      </c>
      <c r="C22023" s="38" t="s">
        <v>26554</v>
      </c>
      <c r="D22023" s="38" t="str">
        <f>IFERROR(__xludf.DUMMYFUNCTION("REGEXREPLACE(C22023,""-\d+(.*)|--\d+(.*)"","""")"),"GILETTE")</f>
        <v>GILETTE</v>
      </c>
      <c r="E22023" s="38" t="s">
        <v>227</v>
      </c>
      <c r="F22023" s="38" t="s">
        <v>228</v>
      </c>
      <c r="G22023" s="49" t="str">
        <f t="shared" si="1"/>
        <v>06830</v>
      </c>
      <c r="H22023" s="49" t="str">
        <f t="shared" si="2"/>
        <v>06066</v>
      </c>
    </row>
    <row r="22024">
      <c r="A22024" s="48" t="s">
        <v>16765</v>
      </c>
      <c r="B22024" s="38">
        <v>76748.0</v>
      </c>
      <c r="C22024" s="38" t="s">
        <v>26555</v>
      </c>
      <c r="D22024" s="38" t="str">
        <f>IFERROR(__xludf.DUMMYFUNCTION("REGEXREPLACE(C22024,""-\d+(.*)|--\d+(.*)"","""")"),"VITTEFLEUR")</f>
        <v>VITTEFLEUR</v>
      </c>
      <c r="E22024" s="38" t="s">
        <v>133</v>
      </c>
      <c r="F22024" s="38" t="s">
        <v>134</v>
      </c>
      <c r="G22024" s="49" t="str">
        <f t="shared" si="1"/>
        <v>76450</v>
      </c>
      <c r="H22024" s="49">
        <f t="shared" si="2"/>
        <v>76748</v>
      </c>
    </row>
    <row r="22025">
      <c r="A22025" s="48" t="s">
        <v>11261</v>
      </c>
      <c r="B22025" s="38">
        <v>38211.0</v>
      </c>
      <c r="C22025" s="38" t="s">
        <v>26556</v>
      </c>
      <c r="D22025" s="38" t="str">
        <f>IFERROR(__xludf.DUMMYFUNCTION("REGEXREPLACE(C22025,""-\d+(.*)|--\d+(.*)"","""")"),"LIEUDIEU")</f>
        <v>LIEUDIEU</v>
      </c>
      <c r="E22025" s="38" t="s">
        <v>101</v>
      </c>
      <c r="F22025" s="38" t="s">
        <v>102</v>
      </c>
      <c r="G22025" s="49" t="str">
        <f t="shared" si="1"/>
        <v>38440</v>
      </c>
      <c r="H22025" s="49">
        <f t="shared" si="2"/>
        <v>38211</v>
      </c>
    </row>
    <row r="22026">
      <c r="A22026" s="48" t="s">
        <v>1428</v>
      </c>
      <c r="B22026" s="38">
        <v>31532.0</v>
      </c>
      <c r="C22026" s="38" t="s">
        <v>26557</v>
      </c>
      <c r="D22026" s="38" t="str">
        <f>IFERROR(__xludf.DUMMYFUNCTION("REGEXREPLACE(C22026,""-\d+(.*)|--\d+(.*)"","""")"),"SARREMEZAN")</f>
        <v>SARREMEZAN</v>
      </c>
      <c r="E22026" s="38" t="s">
        <v>93</v>
      </c>
      <c r="F22026" s="38" t="s">
        <v>94</v>
      </c>
      <c r="G22026" s="49" t="str">
        <f t="shared" si="1"/>
        <v>31350</v>
      </c>
      <c r="H22026" s="49">
        <f t="shared" si="2"/>
        <v>31532</v>
      </c>
    </row>
    <row r="22027">
      <c r="A22027" s="48" t="s">
        <v>26558</v>
      </c>
      <c r="B22027" s="38">
        <v>85238.0</v>
      </c>
      <c r="C22027" s="38" t="s">
        <v>26559</v>
      </c>
      <c r="D22027" s="38" t="str">
        <f>IFERROR(__xludf.DUMMYFUNCTION("REGEXREPLACE(C22027,""-\d+(.*)|--\d+(.*)"","""")"),"SAINT-LAURENT-SUR-SEVRE")</f>
        <v>SAINT-LAURENT-SUR-SEVRE</v>
      </c>
      <c r="E22027" s="38" t="s">
        <v>179</v>
      </c>
      <c r="F22027" s="38" t="s">
        <v>180</v>
      </c>
      <c r="G22027" s="49" t="str">
        <f t="shared" si="1"/>
        <v>85290</v>
      </c>
      <c r="H22027" s="49">
        <f t="shared" si="2"/>
        <v>85238</v>
      </c>
    </row>
    <row r="22028">
      <c r="A22028" s="48" t="s">
        <v>1054</v>
      </c>
      <c r="B22028" s="38">
        <v>46076.0</v>
      </c>
      <c r="C22028" s="38" t="s">
        <v>26560</v>
      </c>
      <c r="D22028" s="38" t="str">
        <f>IFERROR(__xludf.DUMMYFUNCTION("REGEXREPLACE(C22028,""-\d+(.*)|--\d+(.*)"","""")"),"CORNAC")</f>
        <v>CORNAC</v>
      </c>
      <c r="E22028" s="38" t="s">
        <v>185</v>
      </c>
      <c r="F22028" s="38" t="s">
        <v>94</v>
      </c>
      <c r="G22028" s="49" t="str">
        <f t="shared" si="1"/>
        <v>46130</v>
      </c>
      <c r="H22028" s="49">
        <f t="shared" si="2"/>
        <v>46076</v>
      </c>
    </row>
    <row r="22029">
      <c r="A22029" s="48" t="s">
        <v>507</v>
      </c>
      <c r="B22029" s="38">
        <v>8134.0</v>
      </c>
      <c r="C22029" s="38" t="s">
        <v>26561</v>
      </c>
      <c r="D22029" s="38" t="str">
        <f>IFERROR(__xludf.DUMMYFUNCTION("REGEXREPLACE(C22029,""-\d+(.*)|--\d+(.*)"","""")"),"COULOMMES-ET-MARQUENY")</f>
        <v>COULOMMES-ET-MARQUENY</v>
      </c>
      <c r="E22029" s="38" t="s">
        <v>327</v>
      </c>
      <c r="F22029" s="38" t="s">
        <v>130</v>
      </c>
      <c r="G22029" s="49" t="str">
        <f t="shared" si="1"/>
        <v>08130</v>
      </c>
      <c r="H22029" s="49" t="str">
        <f t="shared" si="2"/>
        <v>08134</v>
      </c>
    </row>
    <row r="22030">
      <c r="A22030" s="48" t="s">
        <v>23379</v>
      </c>
      <c r="B22030" s="38">
        <v>28093.0</v>
      </c>
      <c r="C22030" s="38" t="s">
        <v>26562</v>
      </c>
      <c r="D22030" s="38" t="str">
        <f>IFERROR(__xludf.DUMMYFUNCTION("REGEXREPLACE(C22030,""-\d+(.*)|--\d+(.*)"","""")"),"CHATILLON-EN-DUNOIS")</f>
        <v>CHATILLON-EN-DUNOIS</v>
      </c>
      <c r="E22030" s="38" t="s">
        <v>300</v>
      </c>
      <c r="F22030" s="38" t="s">
        <v>123</v>
      </c>
      <c r="G22030" s="49" t="str">
        <f t="shared" si="1"/>
        <v>28290</v>
      </c>
      <c r="H22030" s="49">
        <f t="shared" si="2"/>
        <v>28093</v>
      </c>
    </row>
    <row r="22031">
      <c r="A22031" s="48" t="s">
        <v>1000</v>
      </c>
      <c r="B22031" s="38">
        <v>70128.0</v>
      </c>
      <c r="C22031" s="38" t="s">
        <v>26563</v>
      </c>
      <c r="D22031" s="38" t="str">
        <f>IFERROR(__xludf.DUMMYFUNCTION("REGEXREPLACE(C22031,""-\d+(.*)|--\d+(.*)"","""")"),"LA CHAPELLE-LES-LUXEUIL")</f>
        <v>LA CHAPELLE-LES-LUXEUIL</v>
      </c>
      <c r="E22031" s="38" t="s">
        <v>956</v>
      </c>
      <c r="F22031" s="38" t="s">
        <v>214</v>
      </c>
      <c r="G22031" s="49" t="str">
        <f t="shared" si="1"/>
        <v>70300</v>
      </c>
      <c r="H22031" s="49">
        <f t="shared" si="2"/>
        <v>70128</v>
      </c>
    </row>
    <row r="22032">
      <c r="A22032" s="48" t="s">
        <v>4873</v>
      </c>
      <c r="B22032" s="38">
        <v>67538.0</v>
      </c>
      <c r="C22032" s="38" t="s">
        <v>26564</v>
      </c>
      <c r="D22032" s="38" t="str">
        <f>IFERROR(__xludf.DUMMYFUNCTION("REGEXREPLACE(C22032,""-\d+(.*)|--\d+(.*)"","""")"),"WINGEN-SUR-MODER")</f>
        <v>WINGEN-SUR-MODER</v>
      </c>
      <c r="E22032" s="38" t="s">
        <v>210</v>
      </c>
      <c r="F22032" s="38" t="s">
        <v>151</v>
      </c>
      <c r="G22032" s="49" t="str">
        <f t="shared" si="1"/>
        <v>67290</v>
      </c>
      <c r="H22032" s="49">
        <f t="shared" si="2"/>
        <v>67538</v>
      </c>
    </row>
    <row r="22033">
      <c r="A22033" s="48" t="s">
        <v>3224</v>
      </c>
      <c r="B22033" s="38">
        <v>54310.0</v>
      </c>
      <c r="C22033" s="38" t="s">
        <v>26565</v>
      </c>
      <c r="D22033" s="38" t="str">
        <f>IFERROR(__xludf.DUMMYFUNCTION("REGEXREPLACE(C22033,""-\d+(.*)|--\d+(.*)"","""")"),"LEMENIL-MITRY")</f>
        <v>LEMENIL-MITRY</v>
      </c>
      <c r="E22033" s="38" t="s">
        <v>548</v>
      </c>
      <c r="F22033" s="38" t="s">
        <v>195</v>
      </c>
      <c r="G22033" s="49" t="str">
        <f t="shared" si="1"/>
        <v>54740</v>
      </c>
      <c r="H22033" s="49">
        <f t="shared" si="2"/>
        <v>54310</v>
      </c>
    </row>
    <row r="22034">
      <c r="A22034" s="48" t="s">
        <v>2374</v>
      </c>
      <c r="B22034" s="38">
        <v>58191.0</v>
      </c>
      <c r="C22034" s="38" t="s">
        <v>24284</v>
      </c>
      <c r="D22034" s="38" t="str">
        <f>IFERROR(__xludf.DUMMYFUNCTION("REGEXREPLACE(C22034,""-\d+(.*)|--\d+(.*)"","""")"),"NEUILLY")</f>
        <v>NEUILLY</v>
      </c>
      <c r="E22034" s="38" t="s">
        <v>219</v>
      </c>
      <c r="F22034" s="38" t="s">
        <v>106</v>
      </c>
      <c r="G22034" s="49" t="str">
        <f t="shared" si="1"/>
        <v>58420</v>
      </c>
      <c r="H22034" s="49">
        <f t="shared" si="2"/>
        <v>58191</v>
      </c>
    </row>
    <row r="22035">
      <c r="A22035" s="48" t="s">
        <v>5674</v>
      </c>
      <c r="B22035" s="38">
        <v>55494.0</v>
      </c>
      <c r="C22035" s="38" t="s">
        <v>26566</v>
      </c>
      <c r="D22035" s="38" t="str">
        <f>IFERROR(__xludf.DUMMYFUNCTION("REGEXREPLACE(C22035,""-\d+(.*)|--\d+(.*)"","""")"),"SOMMELONNE")</f>
        <v>SOMMELONNE</v>
      </c>
      <c r="E22035" s="38" t="s">
        <v>322</v>
      </c>
      <c r="F22035" s="38" t="s">
        <v>195</v>
      </c>
      <c r="G22035" s="49" t="str">
        <f t="shared" si="1"/>
        <v>55170</v>
      </c>
      <c r="H22035" s="49">
        <f t="shared" si="2"/>
        <v>55494</v>
      </c>
    </row>
    <row r="22036">
      <c r="A22036" s="48" t="s">
        <v>298</v>
      </c>
      <c r="B22036" s="38">
        <v>28156.0</v>
      </c>
      <c r="C22036" s="38" t="s">
        <v>26567</v>
      </c>
      <c r="D22036" s="38" t="str">
        <f>IFERROR(__xludf.DUMMYFUNCTION("REGEXREPLACE(C22036,""-\d+(.*)|--\d+(.*)"","""")"),"FONTAINE-SIMON")</f>
        <v>FONTAINE-SIMON</v>
      </c>
      <c r="E22036" s="38" t="s">
        <v>300</v>
      </c>
      <c r="F22036" s="38" t="s">
        <v>123</v>
      </c>
      <c r="G22036" s="49" t="str">
        <f t="shared" si="1"/>
        <v>28240</v>
      </c>
      <c r="H22036" s="49">
        <f t="shared" si="2"/>
        <v>28156</v>
      </c>
    </row>
    <row r="22037">
      <c r="A22037" s="48" t="s">
        <v>4797</v>
      </c>
      <c r="B22037" s="38">
        <v>30350.0</v>
      </c>
      <c r="C22037" s="38" t="s">
        <v>26568</v>
      </c>
      <c r="D22037" s="38" t="str">
        <f>IFERROR(__xludf.DUMMYFUNCTION("REGEXREPLACE(C22037,""-\d+(.*)|--\d+(.*)"","""")"),"LE VIGAN")</f>
        <v>LE VIGAN</v>
      </c>
      <c r="E22037" s="38" t="s">
        <v>526</v>
      </c>
      <c r="F22037" s="38" t="s">
        <v>119</v>
      </c>
      <c r="G22037" s="49" t="str">
        <f t="shared" si="1"/>
        <v>30120</v>
      </c>
      <c r="H22037" s="49">
        <f t="shared" si="2"/>
        <v>30350</v>
      </c>
    </row>
    <row r="22038">
      <c r="A22038" s="48" t="s">
        <v>8535</v>
      </c>
      <c r="B22038" s="38">
        <v>49102.0</v>
      </c>
      <c r="C22038" s="38" t="s">
        <v>26569</v>
      </c>
      <c r="D22038" s="38" t="str">
        <f>IFERROR(__xludf.DUMMYFUNCTION("REGEXREPLACE(C22038,""-\d+(.*)|--\d+(.*)"","""")"),"CLERE-SUR-LAYON")</f>
        <v>CLERE-SUR-LAYON</v>
      </c>
      <c r="E22038" s="38" t="s">
        <v>653</v>
      </c>
      <c r="F22038" s="38" t="s">
        <v>180</v>
      </c>
      <c r="G22038" s="49" t="str">
        <f t="shared" si="1"/>
        <v>49560</v>
      </c>
      <c r="H22038" s="49">
        <f t="shared" si="2"/>
        <v>49102</v>
      </c>
    </row>
    <row r="22039">
      <c r="A22039" s="48" t="s">
        <v>6275</v>
      </c>
      <c r="B22039" s="38">
        <v>8209.0</v>
      </c>
      <c r="C22039" s="38" t="s">
        <v>26570</v>
      </c>
      <c r="D22039" s="38" t="str">
        <f>IFERROR(__xludf.DUMMYFUNCTION("REGEXREPLACE(C22039,""-\d+(.*)|--\d+(.*)"","""")"),"HANNOGNE-SAINT-MARTIN")</f>
        <v>HANNOGNE-SAINT-MARTIN</v>
      </c>
      <c r="E22039" s="38" t="s">
        <v>327</v>
      </c>
      <c r="F22039" s="38" t="s">
        <v>130</v>
      </c>
      <c r="G22039" s="49" t="str">
        <f t="shared" si="1"/>
        <v>08160</v>
      </c>
      <c r="H22039" s="49" t="str">
        <f t="shared" si="2"/>
        <v>08209</v>
      </c>
    </row>
    <row r="22040">
      <c r="A22040" s="48" t="s">
        <v>5313</v>
      </c>
      <c r="B22040" s="38">
        <v>60543.0</v>
      </c>
      <c r="C22040" s="38" t="s">
        <v>16091</v>
      </c>
      <c r="D22040" s="38" t="str">
        <f>IFERROR(__xludf.DUMMYFUNCTION("REGEXREPLACE(C22040,""-\d+(.*)|--\d+(.*)"","""")"),"ROCQUEMONT")</f>
        <v>ROCQUEMONT</v>
      </c>
      <c r="E22040" s="38" t="s">
        <v>112</v>
      </c>
      <c r="F22040" s="38" t="s">
        <v>113</v>
      </c>
      <c r="G22040" s="49" t="str">
        <f t="shared" si="1"/>
        <v>60800</v>
      </c>
      <c r="H22040" s="49">
        <f t="shared" si="2"/>
        <v>60543</v>
      </c>
    </row>
    <row r="22041">
      <c r="A22041" s="48" t="s">
        <v>12539</v>
      </c>
      <c r="B22041" s="38">
        <v>14752.0</v>
      </c>
      <c r="C22041" s="38" t="s">
        <v>2660</v>
      </c>
      <c r="D22041" s="38" t="str">
        <f>IFERROR(__xludf.DUMMYFUNCTION("REGEXREPLACE(C22041,""-\d+(.*)|--\d+(.*)"","""")"),"VILLERS-BOCAGE")</f>
        <v>VILLERS-BOCAGE</v>
      </c>
      <c r="E22041" s="38" t="s">
        <v>137</v>
      </c>
      <c r="F22041" s="38" t="s">
        <v>138</v>
      </c>
      <c r="G22041" s="49" t="str">
        <f t="shared" si="1"/>
        <v>14310</v>
      </c>
      <c r="H22041" s="49">
        <f t="shared" si="2"/>
        <v>14752</v>
      </c>
    </row>
    <row r="22042">
      <c r="A22042" s="48" t="s">
        <v>794</v>
      </c>
      <c r="B22042" s="38">
        <v>60268.0</v>
      </c>
      <c r="C22042" s="38" t="s">
        <v>26571</v>
      </c>
      <c r="D22042" s="38" t="str">
        <f>IFERROR(__xludf.DUMMYFUNCTION("REGEXREPLACE(C22042,""-\d+(.*)|--\d+(.*)"","""")"),"GANNES")</f>
        <v>GANNES</v>
      </c>
      <c r="E22042" s="38" t="s">
        <v>112</v>
      </c>
      <c r="F22042" s="38" t="s">
        <v>113</v>
      </c>
      <c r="G22042" s="49" t="str">
        <f t="shared" si="1"/>
        <v>60120</v>
      </c>
      <c r="H22042" s="49">
        <f t="shared" si="2"/>
        <v>60268</v>
      </c>
    </row>
    <row r="22043">
      <c r="A22043" s="48" t="s">
        <v>1195</v>
      </c>
      <c r="B22043" s="38">
        <v>80458.0</v>
      </c>
      <c r="C22043" s="38" t="s">
        <v>26572</v>
      </c>
      <c r="D22043" s="38" t="str">
        <f>IFERROR(__xludf.DUMMYFUNCTION("REGEXREPLACE(C22043,""-\d+(.*)|--\d+(.*)"","""")"),"LAHOUSSOYE")</f>
        <v>LAHOUSSOYE</v>
      </c>
      <c r="E22043" s="38" t="s">
        <v>224</v>
      </c>
      <c r="F22043" s="38" t="s">
        <v>113</v>
      </c>
      <c r="G22043" s="49" t="str">
        <f t="shared" si="1"/>
        <v>80800</v>
      </c>
      <c r="H22043" s="49">
        <f t="shared" si="2"/>
        <v>80458</v>
      </c>
    </row>
    <row r="22044">
      <c r="A22044" s="48" t="s">
        <v>26573</v>
      </c>
      <c r="B22044" s="38">
        <v>59589.0</v>
      </c>
      <c r="C22044" s="38" t="s">
        <v>26574</v>
      </c>
      <c r="D22044" s="38" t="str">
        <f>IFERROR(__xludf.DUMMYFUNCTION("REGEXREPLACE(C22044,""-\d+(.*)|--\d+(.*)"","""")"),"THIANT")</f>
        <v>THIANT</v>
      </c>
      <c r="E22044" s="38" t="s">
        <v>85</v>
      </c>
      <c r="F22044" s="38" t="s">
        <v>86</v>
      </c>
      <c r="G22044" s="49" t="str">
        <f t="shared" si="1"/>
        <v>59224</v>
      </c>
      <c r="H22044" s="49">
        <f t="shared" si="2"/>
        <v>59589</v>
      </c>
    </row>
    <row r="22045">
      <c r="A22045" s="48" t="s">
        <v>26575</v>
      </c>
      <c r="B22045" s="38">
        <v>59463.0</v>
      </c>
      <c r="C22045" s="38" t="s">
        <v>26576</v>
      </c>
      <c r="D22045" s="38" t="str">
        <f>IFERROR(__xludf.DUMMYFUNCTION("REGEXREPLACE(C22045,""-\d+(.*)|--\d+(.*)"","""")"),"PITGAM")</f>
        <v>PITGAM</v>
      </c>
      <c r="E22045" s="38" t="s">
        <v>85</v>
      </c>
      <c r="F22045" s="38" t="s">
        <v>86</v>
      </c>
      <c r="G22045" s="49" t="str">
        <f t="shared" si="1"/>
        <v>59284</v>
      </c>
      <c r="H22045" s="49">
        <f t="shared" si="2"/>
        <v>59463</v>
      </c>
    </row>
    <row r="22046">
      <c r="A22046" s="48" t="s">
        <v>26577</v>
      </c>
      <c r="B22046" s="38">
        <v>69271.0</v>
      </c>
      <c r="C22046" s="38" t="s">
        <v>26578</v>
      </c>
      <c r="D22046" s="38" t="str">
        <f>IFERROR(__xludf.DUMMYFUNCTION("REGEXREPLACE(C22046,""-\d+(.*)|--\d+(.*)"","""")"),"CHASSIEU")</f>
        <v>CHASSIEU</v>
      </c>
      <c r="E22046" s="38" t="s">
        <v>350</v>
      </c>
      <c r="F22046" s="38" t="s">
        <v>102</v>
      </c>
      <c r="G22046" s="49" t="str">
        <f t="shared" si="1"/>
        <v>69680</v>
      </c>
      <c r="H22046" s="49">
        <f t="shared" si="2"/>
        <v>69271</v>
      </c>
    </row>
    <row r="22047">
      <c r="A22047" s="48" t="s">
        <v>7065</v>
      </c>
      <c r="B22047" s="38">
        <v>3296.0</v>
      </c>
      <c r="C22047" s="38" t="s">
        <v>26579</v>
      </c>
      <c r="D22047" s="38" t="str">
        <f>IFERROR(__xludf.DUMMYFUNCTION("REGEXREPLACE(C22047,""-\d+(.*)|--\d+(.*)"","""")"),"VALIGNY")</f>
        <v>VALIGNY</v>
      </c>
      <c r="E22047" s="38" t="s">
        <v>160</v>
      </c>
      <c r="F22047" s="38" t="s">
        <v>161</v>
      </c>
      <c r="G22047" s="49" t="str">
        <f t="shared" si="1"/>
        <v>03360</v>
      </c>
      <c r="H22047" s="49" t="str">
        <f t="shared" si="2"/>
        <v>03296</v>
      </c>
    </row>
    <row r="22048">
      <c r="A22048" s="48" t="s">
        <v>15544</v>
      </c>
      <c r="B22048" s="38">
        <v>88428.0</v>
      </c>
      <c r="C22048" s="38" t="s">
        <v>26580</v>
      </c>
      <c r="D22048" s="38" t="str">
        <f>IFERROR(__xludf.DUMMYFUNCTION("REGEXREPLACE(C22048,""-\d+(.*)|--\d+(.*)"","""")"),"SAINT-MICHEL-SUR-MEURTHE")</f>
        <v>SAINT-MICHEL-SUR-MEURTHE</v>
      </c>
      <c r="E22048" s="38" t="s">
        <v>194</v>
      </c>
      <c r="F22048" s="38" t="s">
        <v>195</v>
      </c>
      <c r="G22048" s="49" t="str">
        <f t="shared" si="1"/>
        <v>88470</v>
      </c>
      <c r="H22048" s="49">
        <f t="shared" si="2"/>
        <v>88428</v>
      </c>
    </row>
    <row r="22049">
      <c r="A22049" s="48" t="s">
        <v>2040</v>
      </c>
      <c r="B22049" s="38">
        <v>59290.0</v>
      </c>
      <c r="C22049" s="38" t="s">
        <v>26581</v>
      </c>
      <c r="D22049" s="38" t="str">
        <f>IFERROR(__xludf.DUMMYFUNCTION("REGEXREPLACE(C22049,""-\d+(.*)|--\d+(.*)"","""")"),"HAUT-LIEU")</f>
        <v>HAUT-LIEU</v>
      </c>
      <c r="E22049" s="38" t="s">
        <v>85</v>
      </c>
      <c r="F22049" s="38" t="s">
        <v>86</v>
      </c>
      <c r="G22049" s="49" t="str">
        <f t="shared" si="1"/>
        <v>59440</v>
      </c>
      <c r="H22049" s="49">
        <f t="shared" si="2"/>
        <v>59290</v>
      </c>
    </row>
    <row r="22050">
      <c r="A22050" s="48" t="s">
        <v>3262</v>
      </c>
      <c r="B22050" s="38">
        <v>3298.0</v>
      </c>
      <c r="C22050" s="38" t="s">
        <v>26582</v>
      </c>
      <c r="D22050" s="38" t="str">
        <f>IFERROR(__xludf.DUMMYFUNCTION("REGEXREPLACE(C22050,""-\d+(.*)|--\d+(.*)"","""")"),"VARENNES-SUR-ALLIER")</f>
        <v>VARENNES-SUR-ALLIER</v>
      </c>
      <c r="E22050" s="38" t="s">
        <v>160</v>
      </c>
      <c r="F22050" s="38" t="s">
        <v>161</v>
      </c>
      <c r="G22050" s="49" t="str">
        <f t="shared" si="1"/>
        <v>03150</v>
      </c>
      <c r="H22050" s="49" t="str">
        <f t="shared" si="2"/>
        <v>03298</v>
      </c>
    </row>
    <row r="22051">
      <c r="A22051" s="48" t="s">
        <v>11477</v>
      </c>
      <c r="B22051" s="38">
        <v>33501.0</v>
      </c>
      <c r="C22051" s="38" t="s">
        <v>26583</v>
      </c>
      <c r="D22051" s="38" t="str">
        <f>IFERROR(__xludf.DUMMYFUNCTION("REGEXREPLACE(C22051,""-\d+(.*)|--\d+(.*)"","""")"),"SAUCATS")</f>
        <v>SAUCATS</v>
      </c>
      <c r="E22051" s="38" t="s">
        <v>462</v>
      </c>
      <c r="F22051" s="38" t="s">
        <v>252</v>
      </c>
      <c r="G22051" s="49" t="str">
        <f t="shared" si="1"/>
        <v>33650</v>
      </c>
      <c r="H22051" s="49">
        <f t="shared" si="2"/>
        <v>33501</v>
      </c>
    </row>
    <row r="22052">
      <c r="A22052" s="48" t="s">
        <v>468</v>
      </c>
      <c r="B22052" s="38">
        <v>26205.0</v>
      </c>
      <c r="C22052" s="38" t="s">
        <v>26584</v>
      </c>
      <c r="D22052" s="38" t="str">
        <f>IFERROR(__xludf.DUMMYFUNCTION("REGEXREPLACE(C22052,""-\d+(.*)|--\d+(.*)"","""")"),"MONTMAUR-EN-DIOIS")</f>
        <v>MONTMAUR-EN-DIOIS</v>
      </c>
      <c r="E22052" s="38" t="s">
        <v>126</v>
      </c>
      <c r="F22052" s="38" t="s">
        <v>102</v>
      </c>
      <c r="G22052" s="49" t="str">
        <f t="shared" si="1"/>
        <v>26150</v>
      </c>
      <c r="H22052" s="49">
        <f t="shared" si="2"/>
        <v>26205</v>
      </c>
    </row>
    <row r="22053">
      <c r="A22053" s="48" t="s">
        <v>26585</v>
      </c>
      <c r="B22053" s="38">
        <v>68383.0</v>
      </c>
      <c r="C22053" s="38" t="s">
        <v>26586</v>
      </c>
      <c r="D22053" s="38" t="str">
        <f>IFERROR(__xludf.DUMMYFUNCTION("REGEXREPLACE(C22053,""-\d+(.*)|--\d+(.*)"","""")"),"ZELLENBERG")</f>
        <v>ZELLENBERG</v>
      </c>
      <c r="E22053" s="38" t="s">
        <v>150</v>
      </c>
      <c r="F22053" s="38" t="s">
        <v>151</v>
      </c>
      <c r="G22053" s="49" t="str">
        <f t="shared" si="1"/>
        <v>68340</v>
      </c>
      <c r="H22053" s="49">
        <f t="shared" si="2"/>
        <v>68383</v>
      </c>
    </row>
    <row r="22054">
      <c r="A22054" s="48" t="s">
        <v>26587</v>
      </c>
      <c r="B22054" s="38">
        <v>13004.0</v>
      </c>
      <c r="C22054" s="38" t="s">
        <v>26588</v>
      </c>
      <c r="D22054" s="38" t="str">
        <f>IFERROR(__xludf.DUMMYFUNCTION("REGEXREPLACE(C22054,""-\d+(.*)|--\d+(.*)"","""")"),"ARLES")</f>
        <v>ARLES</v>
      </c>
      <c r="E22054" s="38" t="s">
        <v>980</v>
      </c>
      <c r="F22054" s="38" t="s">
        <v>228</v>
      </c>
      <c r="G22054" s="49" t="str">
        <f t="shared" si="1"/>
        <v>13200</v>
      </c>
      <c r="H22054" s="49">
        <f t="shared" si="2"/>
        <v>13004</v>
      </c>
    </row>
    <row r="22055">
      <c r="A22055" s="48" t="s">
        <v>2968</v>
      </c>
      <c r="B22055" s="38">
        <v>45186.0</v>
      </c>
      <c r="C22055" s="38" t="s">
        <v>26589</v>
      </c>
      <c r="D22055" s="38" t="str">
        <f>IFERROR(__xludf.DUMMYFUNCTION("REGEXREPLACE(C22055,""-\d+(.*)|--\d+(.*)"","""")"),"LORCY")</f>
        <v>LORCY</v>
      </c>
      <c r="E22055" s="38" t="s">
        <v>122</v>
      </c>
      <c r="F22055" s="38" t="s">
        <v>123</v>
      </c>
      <c r="G22055" s="49" t="str">
        <f t="shared" si="1"/>
        <v>45490</v>
      </c>
      <c r="H22055" s="49">
        <f t="shared" si="2"/>
        <v>45186</v>
      </c>
    </row>
    <row r="22056">
      <c r="A22056" s="48" t="s">
        <v>478</v>
      </c>
      <c r="B22056" s="38">
        <v>41232.0</v>
      </c>
      <c r="C22056" s="38" t="s">
        <v>26590</v>
      </c>
      <c r="D22056" s="38" t="str">
        <f>IFERROR(__xludf.DUMMYFUNCTION("REGEXREPLACE(C22056,""-\d+(.*)|--\d+(.*)"","""")"),"SALBRIS")</f>
        <v>SALBRIS</v>
      </c>
      <c r="E22056" s="38" t="s">
        <v>188</v>
      </c>
      <c r="F22056" s="38" t="s">
        <v>123</v>
      </c>
      <c r="G22056" s="49" t="str">
        <f t="shared" si="1"/>
        <v>41300</v>
      </c>
      <c r="H22056" s="49">
        <f t="shared" si="2"/>
        <v>41232</v>
      </c>
    </row>
    <row r="22057">
      <c r="A22057" s="48" t="s">
        <v>2899</v>
      </c>
      <c r="B22057" s="38">
        <v>15156.0</v>
      </c>
      <c r="C22057" s="38" t="s">
        <v>26591</v>
      </c>
      <c r="D22057" s="38" t="str">
        <f>IFERROR(__xludf.DUMMYFUNCTION("REGEXREPLACE(C22057,""-\d+(.*)|--\d+(.*)"","""")"),"PRUNET")</f>
        <v>PRUNET</v>
      </c>
      <c r="E22057" s="38" t="s">
        <v>632</v>
      </c>
      <c r="F22057" s="38" t="s">
        <v>161</v>
      </c>
      <c r="G22057" s="49" t="str">
        <f t="shared" si="1"/>
        <v>15130</v>
      </c>
      <c r="H22057" s="49">
        <f t="shared" si="2"/>
        <v>15156</v>
      </c>
    </row>
    <row r="22058">
      <c r="A22058" s="48" t="s">
        <v>2995</v>
      </c>
      <c r="B22058" s="38">
        <v>28067.0</v>
      </c>
      <c r="C22058" s="38" t="s">
        <v>9567</v>
      </c>
      <c r="D22058" s="38" t="str">
        <f>IFERROR(__xludf.DUMMYFUNCTION("REGEXREPLACE(C22058,""-\d+(.*)|--\d+(.*)"","""")"),"CERNAY")</f>
        <v>CERNAY</v>
      </c>
      <c r="E22058" s="38" t="s">
        <v>300</v>
      </c>
      <c r="F22058" s="38" t="s">
        <v>123</v>
      </c>
      <c r="G22058" s="49" t="str">
        <f t="shared" si="1"/>
        <v>28120</v>
      </c>
      <c r="H22058" s="49">
        <f t="shared" si="2"/>
        <v>28067</v>
      </c>
    </row>
    <row r="22059">
      <c r="A22059" s="48" t="s">
        <v>2330</v>
      </c>
      <c r="B22059" s="38">
        <v>65182.0</v>
      </c>
      <c r="C22059" s="38" t="s">
        <v>26592</v>
      </c>
      <c r="D22059" s="38" t="str">
        <f>IFERROR(__xludf.DUMMYFUNCTION("REGEXREPLACE(C22059,""-\d+(.*)|--\d+(.*)"","""")"),"GAILLAGOS")</f>
        <v>GAILLAGOS</v>
      </c>
      <c r="E22059" s="38" t="s">
        <v>200</v>
      </c>
      <c r="F22059" s="38" t="s">
        <v>94</v>
      </c>
      <c r="G22059" s="49" t="str">
        <f t="shared" si="1"/>
        <v>65400</v>
      </c>
      <c r="H22059" s="49">
        <f t="shared" si="2"/>
        <v>65182</v>
      </c>
    </row>
    <row r="22060">
      <c r="A22060" s="48" t="s">
        <v>3046</v>
      </c>
      <c r="B22060" s="38">
        <v>70331.0</v>
      </c>
      <c r="C22060" s="38" t="s">
        <v>26593</v>
      </c>
      <c r="D22060" s="38" t="str">
        <f>IFERROR(__xludf.DUMMYFUNCTION("REGEXREPLACE(C22060,""-\d+(.*)|--\d+(.*)"","""")"),"MANTOCHE")</f>
        <v>MANTOCHE</v>
      </c>
      <c r="E22060" s="38" t="s">
        <v>956</v>
      </c>
      <c r="F22060" s="38" t="s">
        <v>214</v>
      </c>
      <c r="G22060" s="49" t="str">
        <f t="shared" si="1"/>
        <v>70100</v>
      </c>
      <c r="H22060" s="49">
        <f t="shared" si="2"/>
        <v>70331</v>
      </c>
    </row>
    <row r="22061">
      <c r="A22061" s="48" t="s">
        <v>26594</v>
      </c>
      <c r="B22061" s="38">
        <v>16222.0</v>
      </c>
      <c r="C22061" s="38" t="s">
        <v>26595</v>
      </c>
      <c r="D22061" s="38" t="str">
        <f>IFERROR(__xludf.DUMMYFUNCTION("REGEXREPLACE(C22061,""-\d+(.*)|--\d+(.*)"","""")"),"MONTBOYER")</f>
        <v>MONTBOYER</v>
      </c>
      <c r="E22061" s="38" t="s">
        <v>429</v>
      </c>
      <c r="F22061" s="38" t="s">
        <v>338</v>
      </c>
      <c r="G22061" s="49" t="str">
        <f t="shared" si="1"/>
        <v>16620</v>
      </c>
      <c r="H22061" s="49">
        <f t="shared" si="2"/>
        <v>16222</v>
      </c>
    </row>
    <row r="22062">
      <c r="A22062" s="48" t="s">
        <v>2655</v>
      </c>
      <c r="B22062" s="38">
        <v>52189.0</v>
      </c>
      <c r="C22062" s="38" t="s">
        <v>26596</v>
      </c>
      <c r="D22062" s="38" t="str">
        <f>IFERROR(__xludf.DUMMYFUNCTION("REGEXREPLACE(C22062,""-\d+(.*)|--\d+(.*)"","""")"),"LE VAL-D'ESNOMS")</f>
        <v>LE VAL-D'ESNOMS</v>
      </c>
      <c r="E22062" s="38" t="s">
        <v>234</v>
      </c>
      <c r="F22062" s="38" t="s">
        <v>130</v>
      </c>
      <c r="G22062" s="49" t="str">
        <f t="shared" si="1"/>
        <v>52190</v>
      </c>
      <c r="H22062" s="49">
        <f t="shared" si="2"/>
        <v>52189</v>
      </c>
    </row>
    <row r="22063">
      <c r="A22063" s="48" t="s">
        <v>5041</v>
      </c>
      <c r="B22063" s="38">
        <v>3214.0</v>
      </c>
      <c r="C22063" s="38" t="s">
        <v>22046</v>
      </c>
      <c r="D22063" s="38" t="str">
        <f>IFERROR(__xludf.DUMMYFUNCTION("REGEXREPLACE(C22063,""-\d+(.*)|--\d+(.*)"","""")"),"ROCLES")</f>
        <v>ROCLES</v>
      </c>
      <c r="E22063" s="38" t="s">
        <v>160</v>
      </c>
      <c r="F22063" s="38" t="s">
        <v>161</v>
      </c>
      <c r="G22063" s="49" t="str">
        <f t="shared" si="1"/>
        <v>03240</v>
      </c>
      <c r="H22063" s="49" t="str">
        <f t="shared" si="2"/>
        <v>03214</v>
      </c>
    </row>
    <row r="22064">
      <c r="A22064" s="48" t="s">
        <v>8446</v>
      </c>
      <c r="B22064" s="38">
        <v>22001.0</v>
      </c>
      <c r="C22064" s="38" t="s">
        <v>26597</v>
      </c>
      <c r="D22064" s="38" t="str">
        <f>IFERROR(__xludf.DUMMYFUNCTION("REGEXREPLACE(C22064,""-\d+(.*)|--\d+(.*)"","""")"),"ALLINEUC")</f>
        <v>ALLINEUC</v>
      </c>
      <c r="E22064" s="38" t="s">
        <v>89</v>
      </c>
      <c r="F22064" s="38" t="s">
        <v>90</v>
      </c>
      <c r="G22064" s="49" t="str">
        <f t="shared" si="1"/>
        <v>22460</v>
      </c>
      <c r="H22064" s="49">
        <f t="shared" si="2"/>
        <v>22001</v>
      </c>
    </row>
    <row r="22065">
      <c r="A22065" s="48" t="s">
        <v>3842</v>
      </c>
      <c r="B22065" s="38">
        <v>88413.0</v>
      </c>
      <c r="C22065" s="38" t="s">
        <v>26598</v>
      </c>
      <c r="D22065" s="38" t="str">
        <f>IFERROR(__xludf.DUMMYFUNCTION("REGEXREPLACE(C22065,""-\d+(.*)|--\d+(.*)"","""")"),"SAINT-DIE-DES-VOSGES")</f>
        <v>SAINT-DIE-DES-VOSGES</v>
      </c>
      <c r="E22065" s="38" t="s">
        <v>194</v>
      </c>
      <c r="F22065" s="38" t="s">
        <v>195</v>
      </c>
      <c r="G22065" s="49" t="str">
        <f t="shared" si="1"/>
        <v>88100</v>
      </c>
      <c r="H22065" s="49">
        <f t="shared" si="2"/>
        <v>88413</v>
      </c>
    </row>
    <row r="22066">
      <c r="A22066" s="48" t="s">
        <v>26511</v>
      </c>
      <c r="B22066" s="38">
        <v>95316.0</v>
      </c>
      <c r="C22066" s="38" t="s">
        <v>26599</v>
      </c>
      <c r="D22066" s="38" t="str">
        <f>IFERROR(__xludf.DUMMYFUNCTION("REGEXREPLACE(C22066,""-\d+(.*)|--\d+(.*)"","""")"),"JAGNY-SOUS-BOIS")</f>
        <v>JAGNY-SOUS-BOIS</v>
      </c>
      <c r="E22066" s="38" t="s">
        <v>541</v>
      </c>
      <c r="F22066" s="38" t="s">
        <v>245</v>
      </c>
      <c r="G22066" s="49" t="str">
        <f t="shared" si="1"/>
        <v>95850</v>
      </c>
      <c r="H22066" s="49">
        <f t="shared" si="2"/>
        <v>95316</v>
      </c>
    </row>
    <row r="22067">
      <c r="A22067" s="48" t="s">
        <v>1989</v>
      </c>
      <c r="B22067" s="38">
        <v>60262.0</v>
      </c>
      <c r="C22067" s="38" t="s">
        <v>26600</v>
      </c>
      <c r="D22067" s="38" t="str">
        <f>IFERROR(__xludf.DUMMYFUNCTION("REGEXREPLACE(C22067,""-\d+(.*)|--\d+(.*)"","""")"),"LE FRESTOY-VAUX")</f>
        <v>LE FRESTOY-VAUX</v>
      </c>
      <c r="E22067" s="38" t="s">
        <v>112</v>
      </c>
      <c r="F22067" s="38" t="s">
        <v>113</v>
      </c>
      <c r="G22067" s="49" t="str">
        <f t="shared" si="1"/>
        <v>60420</v>
      </c>
      <c r="H22067" s="49">
        <f t="shared" si="2"/>
        <v>60262</v>
      </c>
    </row>
    <row r="22068">
      <c r="A22068" s="48" t="s">
        <v>203</v>
      </c>
      <c r="B22068" s="38">
        <v>37171.0</v>
      </c>
      <c r="C22068" s="38" t="s">
        <v>26601</v>
      </c>
      <c r="D22068" s="38" t="str">
        <f>IFERROR(__xludf.DUMMYFUNCTION("REGEXREPLACE(C22068,""-\d+(.*)|--\d+(.*)"","""")"),"NOIZAY")</f>
        <v>NOIZAY</v>
      </c>
      <c r="E22068" s="38" t="s">
        <v>205</v>
      </c>
      <c r="F22068" s="38" t="s">
        <v>123</v>
      </c>
      <c r="G22068" s="49" t="str">
        <f t="shared" si="1"/>
        <v>37210</v>
      </c>
      <c r="H22068" s="49">
        <f t="shared" si="2"/>
        <v>37171</v>
      </c>
    </row>
    <row r="22069">
      <c r="A22069" s="48" t="s">
        <v>17233</v>
      </c>
      <c r="B22069" s="38">
        <v>73131.0</v>
      </c>
      <c r="C22069" s="38" t="s">
        <v>15483</v>
      </c>
      <c r="D22069" s="38" t="str">
        <f>IFERROR(__xludf.DUMMYFUNCTION("REGEXREPLACE(C22069,""-\d+(.*)|--\d+(.*)"","""")"),"HAUTECOUR")</f>
        <v>HAUTECOUR</v>
      </c>
      <c r="E22069" s="38" t="s">
        <v>306</v>
      </c>
      <c r="F22069" s="38" t="s">
        <v>102</v>
      </c>
      <c r="G22069" s="49" t="str">
        <f t="shared" si="1"/>
        <v>73600</v>
      </c>
      <c r="H22069" s="49">
        <f t="shared" si="2"/>
        <v>73131</v>
      </c>
    </row>
    <row r="22070">
      <c r="A22070" s="48" t="s">
        <v>2579</v>
      </c>
      <c r="B22070" s="38">
        <v>32053.0</v>
      </c>
      <c r="C22070" s="38" t="s">
        <v>26602</v>
      </c>
      <c r="D22070" s="38" t="str">
        <f>IFERROR(__xludf.DUMMYFUNCTION("REGEXREPLACE(C22070,""-\d+(.*)|--\d+(.*)"","""")"),"BEZUES-BAJON")</f>
        <v>BEZUES-BAJON</v>
      </c>
      <c r="E22070" s="38" t="s">
        <v>440</v>
      </c>
      <c r="F22070" s="38" t="s">
        <v>94</v>
      </c>
      <c r="G22070" s="49" t="str">
        <f t="shared" si="1"/>
        <v>32140</v>
      </c>
      <c r="H22070" s="49">
        <f t="shared" si="2"/>
        <v>32053</v>
      </c>
    </row>
    <row r="22071">
      <c r="A22071" s="48" t="s">
        <v>3469</v>
      </c>
      <c r="B22071" s="38">
        <v>74069.0</v>
      </c>
      <c r="C22071" s="38" t="s">
        <v>26603</v>
      </c>
      <c r="D22071" s="38" t="str">
        <f>IFERROR(__xludf.DUMMYFUNCTION("REGEXREPLACE(C22071,""-\d+(.*)|--\d+(.*)"","""")"),"CHENEX")</f>
        <v>CHENEX</v>
      </c>
      <c r="E22071" s="38" t="s">
        <v>319</v>
      </c>
      <c r="F22071" s="38" t="s">
        <v>102</v>
      </c>
      <c r="G22071" s="49" t="str">
        <f t="shared" si="1"/>
        <v>74520</v>
      </c>
      <c r="H22071" s="49">
        <f t="shared" si="2"/>
        <v>74069</v>
      </c>
    </row>
    <row r="22072">
      <c r="A22072" s="48" t="s">
        <v>5563</v>
      </c>
      <c r="B22072" s="38">
        <v>32286.0</v>
      </c>
      <c r="C22072" s="38" t="s">
        <v>26604</v>
      </c>
      <c r="D22072" s="38" t="str">
        <f>IFERROR(__xludf.DUMMYFUNCTION("REGEXREPLACE(C22072,""-\d+(.*)|--\d+(.*)"","""")"),"MONTESTRUC-SUR-GERS")</f>
        <v>MONTESTRUC-SUR-GERS</v>
      </c>
      <c r="E22072" s="38" t="s">
        <v>440</v>
      </c>
      <c r="F22072" s="38" t="s">
        <v>94</v>
      </c>
      <c r="G22072" s="49" t="str">
        <f t="shared" si="1"/>
        <v>32390</v>
      </c>
      <c r="H22072" s="49">
        <f t="shared" si="2"/>
        <v>32286</v>
      </c>
    </row>
    <row r="22073">
      <c r="A22073" s="48" t="s">
        <v>5763</v>
      </c>
      <c r="B22073" s="38">
        <v>63283.0</v>
      </c>
      <c r="C22073" s="38" t="s">
        <v>26605</v>
      </c>
      <c r="D22073" s="38" t="str">
        <f>IFERROR(__xludf.DUMMYFUNCTION("REGEXREPLACE(C22073,""-\d+(.*)|--\d+(.*)"","""")"),"PONTAUMUR")</f>
        <v>PONTAUMUR</v>
      </c>
      <c r="E22073" s="38" t="s">
        <v>353</v>
      </c>
      <c r="F22073" s="38" t="s">
        <v>161</v>
      </c>
      <c r="G22073" s="49" t="str">
        <f t="shared" si="1"/>
        <v>63380</v>
      </c>
      <c r="H22073" s="49">
        <f t="shared" si="2"/>
        <v>63283</v>
      </c>
    </row>
    <row r="22074">
      <c r="A22074" s="48" t="s">
        <v>1124</v>
      </c>
      <c r="B22074" s="38">
        <v>61265.0</v>
      </c>
      <c r="C22074" s="38" t="s">
        <v>26606</v>
      </c>
      <c r="D22074" s="38" t="str">
        <f>IFERROR(__xludf.DUMMYFUNCTION("REGEXREPLACE(C22074,""-\d+(.*)|--\d+(.*)"","""")"),"MENIL-GONDOUIN")</f>
        <v>MENIL-GONDOUIN</v>
      </c>
      <c r="E22074" s="38" t="s">
        <v>141</v>
      </c>
      <c r="F22074" s="38" t="s">
        <v>138</v>
      </c>
      <c r="G22074" s="49" t="str">
        <f t="shared" si="1"/>
        <v>61210</v>
      </c>
      <c r="H22074" s="49">
        <f t="shared" si="2"/>
        <v>61265</v>
      </c>
    </row>
    <row r="22075">
      <c r="A22075" s="48" t="s">
        <v>26607</v>
      </c>
      <c r="B22075" s="38">
        <v>59630.0</v>
      </c>
      <c r="C22075" s="38" t="s">
        <v>26608</v>
      </c>
      <c r="D22075" s="38" t="str">
        <f>IFERROR(__xludf.DUMMYFUNCTION("REGEXREPLACE(C22075,""-\d+(.*)|--\d+(.*)"","""")"),"WAHAGNIES")</f>
        <v>WAHAGNIES</v>
      </c>
      <c r="E22075" s="38" t="s">
        <v>85</v>
      </c>
      <c r="F22075" s="38" t="s">
        <v>86</v>
      </c>
      <c r="G22075" s="49" t="str">
        <f t="shared" si="1"/>
        <v>59261</v>
      </c>
      <c r="H22075" s="49">
        <f t="shared" si="2"/>
        <v>59630</v>
      </c>
    </row>
    <row r="22076">
      <c r="A22076" s="48" t="s">
        <v>26609</v>
      </c>
      <c r="B22076" s="38">
        <v>90072.0</v>
      </c>
      <c r="C22076" s="38" t="s">
        <v>26610</v>
      </c>
      <c r="D22076" s="38" t="str">
        <f>IFERROR(__xludf.DUMMYFUNCTION("REGEXREPLACE(C22076,""-\d+(.*)|--\d+(.*)"","""")"),"MORVILLARS")</f>
        <v>MORVILLARS</v>
      </c>
      <c r="E22076" s="38" t="s">
        <v>1283</v>
      </c>
      <c r="F22076" s="38" t="s">
        <v>214</v>
      </c>
      <c r="G22076" s="49" t="str">
        <f t="shared" si="1"/>
        <v>90120</v>
      </c>
      <c r="H22076" s="49">
        <f t="shared" si="2"/>
        <v>90072</v>
      </c>
    </row>
    <row r="22077">
      <c r="A22077" s="48" t="s">
        <v>1630</v>
      </c>
      <c r="B22077" s="38">
        <v>57389.0</v>
      </c>
      <c r="C22077" s="38" t="s">
        <v>26611</v>
      </c>
      <c r="D22077" s="38" t="str">
        <f>IFERROR(__xludf.DUMMYFUNCTION("REGEXREPLACE(C22077,""-\d+(.*)|--\d+(.*)"","""")"),"LELLING")</f>
        <v>LELLING</v>
      </c>
      <c r="E22077" s="38" t="s">
        <v>303</v>
      </c>
      <c r="F22077" s="38" t="s">
        <v>195</v>
      </c>
      <c r="G22077" s="49" t="str">
        <f t="shared" si="1"/>
        <v>57660</v>
      </c>
      <c r="H22077" s="49">
        <f t="shared" si="2"/>
        <v>57389</v>
      </c>
    </row>
    <row r="22078">
      <c r="A22078" s="48" t="s">
        <v>4499</v>
      </c>
      <c r="B22078" s="38">
        <v>25044.0</v>
      </c>
      <c r="C22078" s="38" t="s">
        <v>26612</v>
      </c>
      <c r="D22078" s="38" t="str">
        <f>IFERROR(__xludf.DUMMYFUNCTION("REGEXREPLACE(C22078,""-\d+(.*)|--\d+(.*)"","""")"),"BARTHERANS")</f>
        <v>BARTHERANS</v>
      </c>
      <c r="E22078" s="38" t="s">
        <v>213</v>
      </c>
      <c r="F22078" s="38" t="s">
        <v>214</v>
      </c>
      <c r="G22078" s="49" t="str">
        <f t="shared" si="1"/>
        <v>25440</v>
      </c>
      <c r="H22078" s="49">
        <f t="shared" si="2"/>
        <v>25044</v>
      </c>
    </row>
    <row r="22079">
      <c r="A22079" s="48" t="s">
        <v>1151</v>
      </c>
      <c r="B22079" s="38">
        <v>58295.0</v>
      </c>
      <c r="C22079" s="38" t="s">
        <v>26613</v>
      </c>
      <c r="D22079" s="38" t="str">
        <f>IFERROR(__xludf.DUMMYFUNCTION("REGEXREPLACE(C22079,""-\d+(.*)|--\d+(.*)"","""")"),"TRACY-SUR-LOIRE")</f>
        <v>TRACY-SUR-LOIRE</v>
      </c>
      <c r="E22079" s="38" t="s">
        <v>219</v>
      </c>
      <c r="F22079" s="38" t="s">
        <v>106</v>
      </c>
      <c r="G22079" s="49" t="str">
        <f t="shared" si="1"/>
        <v>58150</v>
      </c>
      <c r="H22079" s="49">
        <f t="shared" si="2"/>
        <v>58295</v>
      </c>
    </row>
    <row r="22080">
      <c r="A22080" s="48" t="s">
        <v>16765</v>
      </c>
      <c r="B22080" s="38">
        <v>76091.0</v>
      </c>
      <c r="C22080" s="38" t="s">
        <v>26614</v>
      </c>
      <c r="D22080" s="38" t="str">
        <f>IFERROR(__xludf.DUMMYFUNCTION("REGEXREPLACE(C22080,""-\d+(.*)|--\d+(.*)"","""")"),"BEUZEVILLE-LA-GUERARD")</f>
        <v>BEUZEVILLE-LA-GUERARD</v>
      </c>
      <c r="E22080" s="38" t="s">
        <v>133</v>
      </c>
      <c r="F22080" s="38" t="s">
        <v>134</v>
      </c>
      <c r="G22080" s="49" t="str">
        <f t="shared" si="1"/>
        <v>76450</v>
      </c>
      <c r="H22080" s="49">
        <f t="shared" si="2"/>
        <v>76091</v>
      </c>
    </row>
    <row r="22081">
      <c r="A22081" s="48" t="s">
        <v>10463</v>
      </c>
      <c r="B22081" s="38">
        <v>50044.0</v>
      </c>
      <c r="C22081" s="38" t="s">
        <v>26380</v>
      </c>
      <c r="D22081" s="38" t="str">
        <f>IFERROR(__xludf.DUMMYFUNCTION("REGEXREPLACE(C22081,""-\d+(.*)|--\d+(.*)"","""")"),"BELVAL")</f>
        <v>BELVAL</v>
      </c>
      <c r="E22081" s="38" t="s">
        <v>157</v>
      </c>
      <c r="F22081" s="38" t="s">
        <v>138</v>
      </c>
      <c r="G22081" s="49" t="str">
        <f t="shared" si="1"/>
        <v>50210</v>
      </c>
      <c r="H22081" s="49">
        <f t="shared" si="2"/>
        <v>50044</v>
      </c>
    </row>
    <row r="22082">
      <c r="A22082" s="48" t="s">
        <v>7084</v>
      </c>
      <c r="B22082" s="38">
        <v>45278.0</v>
      </c>
      <c r="C22082" s="38" t="s">
        <v>24848</v>
      </c>
      <c r="D22082" s="38" t="str">
        <f>IFERROR(__xludf.DUMMYFUNCTION("REGEXREPLACE(C22082,""-\d+(.*)|--\d+(.*)"","""")"),"SAINTE-GENEVIEVE-DES-BOIS")</f>
        <v>SAINTE-GENEVIEVE-DES-BOIS</v>
      </c>
      <c r="E22082" s="38" t="s">
        <v>122</v>
      </c>
      <c r="F22082" s="38" t="s">
        <v>123</v>
      </c>
      <c r="G22082" s="49" t="str">
        <f t="shared" si="1"/>
        <v>45230</v>
      </c>
      <c r="H22082" s="49">
        <f t="shared" si="2"/>
        <v>45278</v>
      </c>
    </row>
    <row r="22083">
      <c r="A22083" s="48" t="s">
        <v>562</v>
      </c>
      <c r="B22083" s="38">
        <v>54327.0</v>
      </c>
      <c r="C22083" s="38" t="s">
        <v>565</v>
      </c>
      <c r="D22083" s="38" t="str">
        <f>IFERROR(__xludf.DUMMYFUNCTION("REGEXREPLACE(C22083,""-\d+(.*)|--\d+(.*)"","""")"),"LUCEY")</f>
        <v>LUCEY</v>
      </c>
      <c r="E22083" s="38" t="s">
        <v>548</v>
      </c>
      <c r="F22083" s="38" t="s">
        <v>195</v>
      </c>
      <c r="G22083" s="49" t="str">
        <f t="shared" si="1"/>
        <v>54200</v>
      </c>
      <c r="H22083" s="49">
        <f t="shared" si="2"/>
        <v>54327</v>
      </c>
    </row>
    <row r="22084">
      <c r="A22084" s="48" t="s">
        <v>26615</v>
      </c>
      <c r="B22084" s="38">
        <v>19036.0</v>
      </c>
      <c r="C22084" s="38" t="s">
        <v>26616</v>
      </c>
      <c r="D22084" s="38" t="str">
        <f>IFERROR(__xludf.DUMMYFUNCTION("REGEXREPLACE(C22084,""-\d+(.*)|--\d+(.*)"","""")"),"CHAMBERET")</f>
        <v>CHAMBERET</v>
      </c>
      <c r="E22084" s="38" t="s">
        <v>271</v>
      </c>
      <c r="F22084" s="38" t="s">
        <v>98</v>
      </c>
      <c r="G22084" s="49" t="str">
        <f t="shared" si="1"/>
        <v>19370</v>
      </c>
      <c r="H22084" s="49">
        <f t="shared" si="2"/>
        <v>19036</v>
      </c>
    </row>
    <row r="22085">
      <c r="A22085" s="48" t="s">
        <v>736</v>
      </c>
      <c r="B22085" s="38">
        <v>57532.0</v>
      </c>
      <c r="C22085" s="38" t="s">
        <v>26617</v>
      </c>
      <c r="D22085" s="38" t="str">
        <f>IFERROR(__xludf.DUMMYFUNCTION("REGEXREPLACE(C22085,""-\d+(.*)|--\d+(.*)"","""")"),"PAGNY-LES-GOIN")</f>
        <v>PAGNY-LES-GOIN</v>
      </c>
      <c r="E22085" s="38" t="s">
        <v>303</v>
      </c>
      <c r="F22085" s="38" t="s">
        <v>195</v>
      </c>
      <c r="G22085" s="49" t="str">
        <f t="shared" si="1"/>
        <v>57420</v>
      </c>
      <c r="H22085" s="49">
        <f t="shared" si="2"/>
        <v>57532</v>
      </c>
    </row>
    <row r="22086">
      <c r="A22086" s="48" t="s">
        <v>5432</v>
      </c>
      <c r="B22086" s="38">
        <v>33226.0</v>
      </c>
      <c r="C22086" s="38" t="s">
        <v>26618</v>
      </c>
      <c r="D22086" s="38" t="str">
        <f>IFERROR(__xludf.DUMMYFUNCTION("REGEXREPLACE(C22086,""-\d+(.*)|--\d+(.*)"","""")"),"LANGOIRAN")</f>
        <v>LANGOIRAN</v>
      </c>
      <c r="E22086" s="38" t="s">
        <v>462</v>
      </c>
      <c r="F22086" s="38" t="s">
        <v>252</v>
      </c>
      <c r="G22086" s="49" t="str">
        <f t="shared" si="1"/>
        <v>33550</v>
      </c>
      <c r="H22086" s="49">
        <f t="shared" si="2"/>
        <v>33226</v>
      </c>
    </row>
    <row r="22087">
      <c r="A22087" s="48" t="s">
        <v>667</v>
      </c>
      <c r="B22087" s="38">
        <v>64297.0</v>
      </c>
      <c r="C22087" s="38" t="s">
        <v>26619</v>
      </c>
      <c r="D22087" s="38" t="str">
        <f>IFERROR(__xludf.DUMMYFUNCTION("REGEXREPLACE(C22087,""-\d+(.*)|--\d+(.*)"","""")"),"LACARRE")</f>
        <v>LACARRE</v>
      </c>
      <c r="E22087" s="38" t="s">
        <v>268</v>
      </c>
      <c r="F22087" s="38" t="s">
        <v>252</v>
      </c>
      <c r="G22087" s="49" t="str">
        <f t="shared" si="1"/>
        <v>64220</v>
      </c>
      <c r="H22087" s="49">
        <f t="shared" si="2"/>
        <v>64297</v>
      </c>
    </row>
    <row r="22088">
      <c r="A22088" s="48" t="s">
        <v>3675</v>
      </c>
      <c r="B22088" s="38">
        <v>58286.0</v>
      </c>
      <c r="C22088" s="38" t="s">
        <v>16149</v>
      </c>
      <c r="D22088" s="38" t="str">
        <f>IFERROR(__xludf.DUMMYFUNCTION("REGEXREPLACE(C22088,""-\d+(.*)|--\d+(.*)"","""")"),"TANNAY")</f>
        <v>TANNAY</v>
      </c>
      <c r="E22088" s="38" t="s">
        <v>219</v>
      </c>
      <c r="F22088" s="38" t="s">
        <v>106</v>
      </c>
      <c r="G22088" s="49" t="str">
        <f t="shared" si="1"/>
        <v>58190</v>
      </c>
      <c r="H22088" s="49">
        <f t="shared" si="2"/>
        <v>58286</v>
      </c>
    </row>
    <row r="22089">
      <c r="A22089" s="48" t="s">
        <v>3036</v>
      </c>
      <c r="B22089" s="38">
        <v>61399.0</v>
      </c>
      <c r="C22089" s="38" t="s">
        <v>26620</v>
      </c>
      <c r="D22089" s="38" t="str">
        <f>IFERROR(__xludf.DUMMYFUNCTION("REGEXREPLACE(C22089,""-\d+(.*)|--\d+(.*)"","""")"),"SAINT-GERVAIS-DES-SABLONS")</f>
        <v>SAINT-GERVAIS-DES-SABLONS</v>
      </c>
      <c r="E22089" s="38" t="s">
        <v>141</v>
      </c>
      <c r="F22089" s="38" t="s">
        <v>138</v>
      </c>
      <c r="G22089" s="49" t="str">
        <f t="shared" si="1"/>
        <v>61160</v>
      </c>
      <c r="H22089" s="49">
        <f t="shared" si="2"/>
        <v>61399</v>
      </c>
    </row>
    <row r="22090">
      <c r="A22090" s="48" t="s">
        <v>217</v>
      </c>
      <c r="B22090" s="38">
        <v>58018.0</v>
      </c>
      <c r="C22090" s="38" t="s">
        <v>26621</v>
      </c>
      <c r="D22090" s="38" t="str">
        <f>IFERROR(__xludf.DUMMYFUNCTION("REGEXREPLACE(C22090,""-\d+(.*)|--\d+(.*)"","""")"),"AUTHIOU")</f>
        <v>AUTHIOU</v>
      </c>
      <c r="E22090" s="38" t="s">
        <v>219</v>
      </c>
      <c r="F22090" s="38" t="s">
        <v>106</v>
      </c>
      <c r="G22090" s="49" t="str">
        <f t="shared" si="1"/>
        <v>58700</v>
      </c>
      <c r="H22090" s="49">
        <f t="shared" si="2"/>
        <v>58018</v>
      </c>
    </row>
    <row r="22091">
      <c r="A22091" s="48" t="s">
        <v>6613</v>
      </c>
      <c r="B22091" s="38">
        <v>61260.0</v>
      </c>
      <c r="C22091" s="38" t="s">
        <v>26622</v>
      </c>
      <c r="D22091" s="38" t="str">
        <f>IFERROR(__xludf.DUMMYFUNCTION("REGEXREPLACE(C22091,""-\d+(.*)|--\d+(.*)"","""")"),"LE MENIL-DE-BRIOUZE")</f>
        <v>LE MENIL-DE-BRIOUZE</v>
      </c>
      <c r="E22091" s="38" t="s">
        <v>141</v>
      </c>
      <c r="F22091" s="38" t="s">
        <v>138</v>
      </c>
      <c r="G22091" s="49" t="str">
        <f t="shared" si="1"/>
        <v>61220</v>
      </c>
      <c r="H22091" s="49">
        <f t="shared" si="2"/>
        <v>61260</v>
      </c>
    </row>
    <row r="22092">
      <c r="A22092" s="48" t="s">
        <v>3723</v>
      </c>
      <c r="B22092" s="38">
        <v>54464.0</v>
      </c>
      <c r="C22092" s="38" t="s">
        <v>26623</v>
      </c>
      <c r="D22092" s="38" t="str">
        <f>IFERROR(__xludf.DUMMYFUNCTION("REGEXREPLACE(C22092,""-\d+(.*)|--\d+(.*)"","""")"),"ROUVES")</f>
        <v>ROUVES</v>
      </c>
      <c r="E22092" s="38" t="s">
        <v>548</v>
      </c>
      <c r="F22092" s="38" t="s">
        <v>195</v>
      </c>
      <c r="G22092" s="49" t="str">
        <f t="shared" si="1"/>
        <v>54610</v>
      </c>
      <c r="H22092" s="49">
        <f t="shared" si="2"/>
        <v>54464</v>
      </c>
    </row>
    <row r="22093">
      <c r="A22093" s="48" t="s">
        <v>3973</v>
      </c>
      <c r="B22093" s="38">
        <v>33132.0</v>
      </c>
      <c r="C22093" s="38" t="s">
        <v>14753</v>
      </c>
      <c r="D22093" s="38" t="str">
        <f>IFERROR(__xludf.DUMMYFUNCTION("REGEXREPLACE(C22093,""-\d+(.*)|--\d+(.*)"","""")"),"COMPS")</f>
        <v>COMPS</v>
      </c>
      <c r="E22093" s="38" t="s">
        <v>462</v>
      </c>
      <c r="F22093" s="38" t="s">
        <v>252</v>
      </c>
      <c r="G22093" s="49" t="str">
        <f t="shared" si="1"/>
        <v>33710</v>
      </c>
      <c r="H22093" s="49">
        <f t="shared" si="2"/>
        <v>33132</v>
      </c>
    </row>
    <row r="22094">
      <c r="A22094" s="48" t="s">
        <v>5783</v>
      </c>
      <c r="B22094" s="38">
        <v>37056.0</v>
      </c>
      <c r="C22094" s="38" t="s">
        <v>26624</v>
      </c>
      <c r="D22094" s="38" t="str">
        <f>IFERROR(__xludf.DUMMYFUNCTION("REGEXREPLACE(C22094,""-\d+(.*)|--\d+(.*)"","""")"),"LA CHAPELLE-AUX-NAUX")</f>
        <v>LA CHAPELLE-AUX-NAUX</v>
      </c>
      <c r="E22094" s="38" t="s">
        <v>205</v>
      </c>
      <c r="F22094" s="38" t="s">
        <v>123</v>
      </c>
      <c r="G22094" s="49" t="str">
        <f t="shared" si="1"/>
        <v>37130</v>
      </c>
      <c r="H22094" s="49">
        <f t="shared" si="2"/>
        <v>37056</v>
      </c>
    </row>
    <row r="22095">
      <c r="A22095" s="48" t="s">
        <v>1756</v>
      </c>
      <c r="B22095" s="38">
        <v>28020.0</v>
      </c>
      <c r="C22095" s="38" t="s">
        <v>26625</v>
      </c>
      <c r="D22095" s="38" t="str">
        <f>IFERROR(__xludf.DUMMYFUNCTION("REGEXREPLACE(C22095,""-\d+(.*)|--\d+(.*)"","""")"),"BAIGNOLET")</f>
        <v>BAIGNOLET</v>
      </c>
      <c r="E22095" s="38" t="s">
        <v>300</v>
      </c>
      <c r="F22095" s="38" t="s">
        <v>123</v>
      </c>
      <c r="G22095" s="49" t="str">
        <f t="shared" si="1"/>
        <v>28150</v>
      </c>
      <c r="H22095" s="49">
        <f t="shared" si="2"/>
        <v>28020</v>
      </c>
    </row>
    <row r="22096">
      <c r="A22096" s="48" t="s">
        <v>4599</v>
      </c>
      <c r="B22096" s="38">
        <v>70193.0</v>
      </c>
      <c r="C22096" s="38" t="s">
        <v>26626</v>
      </c>
      <c r="D22096" s="38" t="str">
        <f>IFERROR(__xludf.DUMMYFUNCTION("REGEXREPLACE(C22096,""-\d+(.*)|--\d+(.*)"","""")"),"CULT")</f>
        <v>CULT</v>
      </c>
      <c r="E22096" s="38" t="s">
        <v>956</v>
      </c>
      <c r="F22096" s="38" t="s">
        <v>214</v>
      </c>
      <c r="G22096" s="49" t="str">
        <f t="shared" si="1"/>
        <v>70150</v>
      </c>
      <c r="H22096" s="49">
        <f t="shared" si="2"/>
        <v>70193</v>
      </c>
    </row>
    <row r="22097">
      <c r="A22097" s="48" t="s">
        <v>2989</v>
      </c>
      <c r="B22097" s="38">
        <v>70560.0</v>
      </c>
      <c r="C22097" s="38" t="s">
        <v>26627</v>
      </c>
      <c r="D22097" s="38" t="str">
        <f>IFERROR(__xludf.DUMMYFUNCTION("REGEXREPLACE(C22097,""-\d+(.*)|--\d+(.*)"","""")"),"VILLERS-BOUTON")</f>
        <v>VILLERS-BOUTON</v>
      </c>
      <c r="E22097" s="38" t="s">
        <v>956</v>
      </c>
      <c r="F22097" s="38" t="s">
        <v>214</v>
      </c>
      <c r="G22097" s="49" t="str">
        <f t="shared" si="1"/>
        <v>70190</v>
      </c>
      <c r="H22097" s="49">
        <f t="shared" si="2"/>
        <v>70560</v>
      </c>
    </row>
    <row r="22098">
      <c r="A22098" s="48" t="s">
        <v>4844</v>
      </c>
      <c r="B22098" s="38">
        <v>14659.0</v>
      </c>
      <c r="C22098" s="38" t="s">
        <v>17504</v>
      </c>
      <c r="D22098" s="38" t="str">
        <f>IFERROR(__xludf.DUMMYFUNCTION("REGEXREPLACE(C22098,""-\d+(.*)|--\d+(.*)"","""")"),"SAINT-SYLVAIN")</f>
        <v>SAINT-SYLVAIN</v>
      </c>
      <c r="E22098" s="38" t="s">
        <v>137</v>
      </c>
      <c r="F22098" s="38" t="s">
        <v>138</v>
      </c>
      <c r="G22098" s="49" t="str">
        <f t="shared" si="1"/>
        <v>14190</v>
      </c>
      <c r="H22098" s="49">
        <f t="shared" si="2"/>
        <v>14659</v>
      </c>
    </row>
    <row r="22099">
      <c r="A22099" s="48" t="s">
        <v>1398</v>
      </c>
      <c r="B22099" s="38">
        <v>45132.0</v>
      </c>
      <c r="C22099" s="38" t="s">
        <v>26628</v>
      </c>
      <c r="D22099" s="38" t="str">
        <f>IFERROR(__xludf.DUMMYFUNCTION("REGEXREPLACE(C22099,""-\d+(.*)|--\d+(.*)"","""")"),"EGRY")</f>
        <v>EGRY</v>
      </c>
      <c r="E22099" s="38" t="s">
        <v>122</v>
      </c>
      <c r="F22099" s="38" t="s">
        <v>123</v>
      </c>
      <c r="G22099" s="49" t="str">
        <f t="shared" si="1"/>
        <v>45340</v>
      </c>
      <c r="H22099" s="49">
        <f t="shared" si="2"/>
        <v>45132</v>
      </c>
    </row>
    <row r="22100">
      <c r="A22100" s="48" t="s">
        <v>10259</v>
      </c>
      <c r="B22100" s="38">
        <v>73189.0</v>
      </c>
      <c r="C22100" s="38" t="s">
        <v>26629</v>
      </c>
      <c r="D22100" s="38" t="str">
        <f>IFERROR(__xludf.DUMMYFUNCTION("REGEXREPLACE(C22100,""-\d+(.*)|--\d+(.*)"","""")"),"NOTRE-DAME-DU-CRUET")</f>
        <v>NOTRE-DAME-DU-CRUET</v>
      </c>
      <c r="E22100" s="38" t="s">
        <v>306</v>
      </c>
      <c r="F22100" s="38" t="s">
        <v>102</v>
      </c>
      <c r="G22100" s="49" t="str">
        <f t="shared" si="1"/>
        <v>73130</v>
      </c>
      <c r="H22100" s="49">
        <f t="shared" si="2"/>
        <v>73189</v>
      </c>
    </row>
    <row r="22101">
      <c r="A22101" s="48" t="s">
        <v>19194</v>
      </c>
      <c r="B22101" s="38">
        <v>50200.0</v>
      </c>
      <c r="C22101" s="38" t="s">
        <v>1795</v>
      </c>
      <c r="D22101" s="38" t="str">
        <f>IFERROR(__xludf.DUMMYFUNCTION("REGEXREPLACE(C22101,""-\d+(.*)|--\d+(.*)"","""")"),"GER")</f>
        <v>GER</v>
      </c>
      <c r="E22101" s="38" t="s">
        <v>157</v>
      </c>
      <c r="F22101" s="38" t="s">
        <v>138</v>
      </c>
      <c r="G22101" s="49" t="str">
        <f t="shared" si="1"/>
        <v>50850</v>
      </c>
      <c r="H22101" s="49">
        <f t="shared" si="2"/>
        <v>50200</v>
      </c>
    </row>
    <row r="22102">
      <c r="A22102" s="48" t="s">
        <v>26630</v>
      </c>
      <c r="B22102" s="38">
        <v>95205.0</v>
      </c>
      <c r="C22102" s="38" t="s">
        <v>26631</v>
      </c>
      <c r="D22102" s="38" t="str">
        <f>IFERROR(__xludf.DUMMYFUNCTION("REGEXREPLACE(C22102,""-\d+(.*)|--\d+(.*)"","""")"),"ECOUEN")</f>
        <v>ECOUEN</v>
      </c>
      <c r="E22102" s="38" t="s">
        <v>541</v>
      </c>
      <c r="F22102" s="38" t="s">
        <v>245</v>
      </c>
      <c r="G22102" s="49" t="str">
        <f t="shared" si="1"/>
        <v>95440</v>
      </c>
      <c r="H22102" s="49">
        <f t="shared" si="2"/>
        <v>95205</v>
      </c>
    </row>
    <row r="22103">
      <c r="A22103" s="48" t="s">
        <v>26632</v>
      </c>
      <c r="B22103" s="38">
        <v>25633.0</v>
      </c>
      <c r="C22103" s="38" t="s">
        <v>26633</v>
      </c>
      <c r="D22103" s="38" t="str">
        <f>IFERROR(__xludf.DUMMYFUNCTION("REGEXREPLACE(C22103,""-\d+(.*)|--\d+(.*)"","""")"),"VUILLAFANS")</f>
        <v>VUILLAFANS</v>
      </c>
      <c r="E22103" s="38" t="s">
        <v>213</v>
      </c>
      <c r="F22103" s="38" t="s">
        <v>214</v>
      </c>
      <c r="G22103" s="49" t="str">
        <f t="shared" si="1"/>
        <v>25840</v>
      </c>
      <c r="H22103" s="49">
        <f t="shared" si="2"/>
        <v>25633</v>
      </c>
    </row>
    <row r="22104">
      <c r="A22104" s="48" t="s">
        <v>7496</v>
      </c>
      <c r="B22104" s="38">
        <v>62039.0</v>
      </c>
      <c r="C22104" s="38" t="s">
        <v>26634</v>
      </c>
      <c r="D22104" s="38" t="str">
        <f>IFERROR(__xludf.DUMMYFUNCTION("REGEXREPLACE(C22104,""-\d+(.*)|--\d+(.*)"","""")"),"ARLEUX-EN-GOHELLE")</f>
        <v>ARLEUX-EN-GOHELLE</v>
      </c>
      <c r="E22104" s="38" t="s">
        <v>109</v>
      </c>
      <c r="F22104" s="38" t="s">
        <v>86</v>
      </c>
      <c r="G22104" s="49" t="str">
        <f t="shared" si="1"/>
        <v>62580</v>
      </c>
      <c r="H22104" s="49">
        <f t="shared" si="2"/>
        <v>62039</v>
      </c>
    </row>
    <row r="22105">
      <c r="A22105" s="48" t="s">
        <v>12780</v>
      </c>
      <c r="B22105" s="38">
        <v>41164.0</v>
      </c>
      <c r="C22105" s="38" t="s">
        <v>26635</v>
      </c>
      <c r="D22105" s="38" t="str">
        <f>IFERROR(__xludf.DUMMYFUNCTION("REGEXREPLACE(C22105,""-\d+(.*)|--\d+(.*)"","""")"),"NOYERS-SUR-CHER")</f>
        <v>NOYERS-SUR-CHER</v>
      </c>
      <c r="E22105" s="38" t="s">
        <v>188</v>
      </c>
      <c r="F22105" s="38" t="s">
        <v>123</v>
      </c>
      <c r="G22105" s="49" t="str">
        <f t="shared" si="1"/>
        <v>41140</v>
      </c>
      <c r="H22105" s="49">
        <f t="shared" si="2"/>
        <v>41164</v>
      </c>
    </row>
    <row r="22106">
      <c r="A22106" s="48" t="s">
        <v>7889</v>
      </c>
      <c r="B22106" s="38">
        <v>56080.0</v>
      </c>
      <c r="C22106" s="38" t="s">
        <v>26636</v>
      </c>
      <c r="D22106" s="38" t="str">
        <f>IFERROR(__xludf.DUMMYFUNCTION("REGEXREPLACE(C22106,""-\d+(.*)|--\d+(.*)"","""")"),"GUILLIERS")</f>
        <v>GUILLIERS</v>
      </c>
      <c r="E22106" s="38" t="s">
        <v>173</v>
      </c>
      <c r="F22106" s="38" t="s">
        <v>90</v>
      </c>
      <c r="G22106" s="49" t="str">
        <f t="shared" si="1"/>
        <v>56490</v>
      </c>
      <c r="H22106" s="49">
        <f t="shared" si="2"/>
        <v>56080</v>
      </c>
    </row>
    <row r="22107">
      <c r="A22107" s="48" t="s">
        <v>196</v>
      </c>
      <c r="B22107" s="38">
        <v>2435.0</v>
      </c>
      <c r="C22107" s="38" t="s">
        <v>26637</v>
      </c>
      <c r="D22107" s="38" t="str">
        <f>IFERROR(__xludf.DUMMYFUNCTION("REGEXREPLACE(C22107,""-\d+(.*)|--\d+(.*)"","""")"),"LOGNY-LES-AUBENTON")</f>
        <v>LOGNY-LES-AUBENTON</v>
      </c>
      <c r="E22107" s="38" t="s">
        <v>191</v>
      </c>
      <c r="F22107" s="38" t="s">
        <v>113</v>
      </c>
      <c r="G22107" s="49" t="str">
        <f t="shared" si="1"/>
        <v>02500</v>
      </c>
      <c r="H22107" s="49" t="str">
        <f t="shared" si="2"/>
        <v>02435</v>
      </c>
    </row>
    <row r="22108">
      <c r="A22108" s="48" t="s">
        <v>2164</v>
      </c>
      <c r="B22108" s="38">
        <v>63382.0</v>
      </c>
      <c r="C22108" s="38" t="s">
        <v>19728</v>
      </c>
      <c r="D22108" s="38" t="str">
        <f>IFERROR(__xludf.DUMMYFUNCTION("REGEXREPLACE(C22108,""-\d+(.*)|--\d+(.*)"","""")"),"SAINT-PARDOUX")</f>
        <v>SAINT-PARDOUX</v>
      </c>
      <c r="E22108" s="38" t="s">
        <v>353</v>
      </c>
      <c r="F22108" s="38" t="s">
        <v>161</v>
      </c>
      <c r="G22108" s="49" t="str">
        <f t="shared" si="1"/>
        <v>63440</v>
      </c>
      <c r="H22108" s="49">
        <f t="shared" si="2"/>
        <v>63382</v>
      </c>
    </row>
    <row r="22109">
      <c r="A22109" s="48" t="s">
        <v>7122</v>
      </c>
      <c r="B22109" s="38">
        <v>57594.0</v>
      </c>
      <c r="C22109" s="38" t="s">
        <v>26638</v>
      </c>
      <c r="D22109" s="38" t="str">
        <f>IFERROR(__xludf.DUMMYFUNCTION("REGEXREPLACE(C22109,""-\d+(.*)|--\d+(.*)"","""")"),"ROPPEVILLER")</f>
        <v>ROPPEVILLER</v>
      </c>
      <c r="E22109" s="38" t="s">
        <v>303</v>
      </c>
      <c r="F22109" s="38" t="s">
        <v>195</v>
      </c>
      <c r="G22109" s="49" t="str">
        <f t="shared" si="1"/>
        <v>57230</v>
      </c>
      <c r="H22109" s="49">
        <f t="shared" si="2"/>
        <v>57594</v>
      </c>
    </row>
    <row r="22110">
      <c r="A22110" s="48" t="s">
        <v>744</v>
      </c>
      <c r="B22110" s="38">
        <v>14027.0</v>
      </c>
      <c r="C22110" s="38" t="s">
        <v>26639</v>
      </c>
      <c r="D22110" s="38" t="str">
        <f>IFERROR(__xludf.DUMMYFUNCTION("REGEXREPLACE(C22110,""-\d+(.*)|--\d+(.*)"","""")"),"AUNAY-SUR-ODON")</f>
        <v>AUNAY-SUR-ODON</v>
      </c>
      <c r="E22110" s="38" t="s">
        <v>137</v>
      </c>
      <c r="F22110" s="38" t="s">
        <v>138</v>
      </c>
      <c r="G22110" s="49" t="str">
        <f t="shared" si="1"/>
        <v>14260</v>
      </c>
      <c r="H22110" s="49">
        <f t="shared" si="2"/>
        <v>14027</v>
      </c>
    </row>
    <row r="22111">
      <c r="A22111" s="48" t="s">
        <v>671</v>
      </c>
      <c r="B22111" s="38">
        <v>21205.0</v>
      </c>
      <c r="C22111" s="38" t="s">
        <v>26640</v>
      </c>
      <c r="D22111" s="38" t="str">
        <f>IFERROR(__xludf.DUMMYFUNCTION("REGEXREPLACE(C22111,""-\d+(.*)|--\d+(.*)"","""")"),"COURCELLES-LES-SEMUR")</f>
        <v>COURCELLES-LES-SEMUR</v>
      </c>
      <c r="E22111" s="38" t="s">
        <v>105</v>
      </c>
      <c r="F22111" s="38" t="s">
        <v>106</v>
      </c>
      <c r="G22111" s="49" t="str">
        <f t="shared" si="1"/>
        <v>21140</v>
      </c>
      <c r="H22111" s="49">
        <f t="shared" si="2"/>
        <v>21205</v>
      </c>
    </row>
    <row r="22112">
      <c r="A22112" s="48" t="s">
        <v>4011</v>
      </c>
      <c r="B22112" s="38">
        <v>80761.0</v>
      </c>
      <c r="C22112" s="38" t="s">
        <v>26641</v>
      </c>
      <c r="D22112" s="38" t="str">
        <f>IFERROR(__xludf.DUMMYFUNCTION("REGEXREPLACE(C22112,""-\d+(.*)|--\d+(.*)"","""")"),"TILLOY-LES-CONTY")</f>
        <v>TILLOY-LES-CONTY</v>
      </c>
      <c r="E22112" s="38" t="s">
        <v>224</v>
      </c>
      <c r="F22112" s="38" t="s">
        <v>113</v>
      </c>
      <c r="G22112" s="49" t="str">
        <f t="shared" si="1"/>
        <v>80160</v>
      </c>
      <c r="H22112" s="49">
        <f t="shared" si="2"/>
        <v>80761</v>
      </c>
    </row>
    <row r="22113">
      <c r="A22113" s="48" t="s">
        <v>19064</v>
      </c>
      <c r="B22113" s="38">
        <v>61147.0</v>
      </c>
      <c r="C22113" s="38" t="s">
        <v>26642</v>
      </c>
      <c r="D22113" s="38" t="str">
        <f>IFERROR(__xludf.DUMMYFUNCTION("REGEXREPLACE(C22113,""-\d+(.*)|--\d+(.*)"","""")"),"DORCEAU")</f>
        <v>DORCEAU</v>
      </c>
      <c r="E22113" s="38" t="s">
        <v>141</v>
      </c>
      <c r="F22113" s="38" t="s">
        <v>138</v>
      </c>
      <c r="G22113" s="49" t="str">
        <f t="shared" si="1"/>
        <v>61110</v>
      </c>
      <c r="H22113" s="49">
        <f t="shared" si="2"/>
        <v>61147</v>
      </c>
    </row>
    <row r="22114">
      <c r="A22114" s="48" t="s">
        <v>1592</v>
      </c>
      <c r="B22114" s="38">
        <v>40023.0</v>
      </c>
      <c r="C22114" s="38" t="s">
        <v>26643</v>
      </c>
      <c r="D22114" s="38" t="str">
        <f>IFERROR(__xludf.DUMMYFUNCTION("REGEXREPLACE(C22114,""-\d+(.*)|--\d+(.*)"","""")"),"BAIGTS")</f>
        <v>BAIGTS</v>
      </c>
      <c r="E22114" s="38" t="s">
        <v>281</v>
      </c>
      <c r="F22114" s="38" t="s">
        <v>252</v>
      </c>
      <c r="G22114" s="49" t="str">
        <f t="shared" si="1"/>
        <v>40380</v>
      </c>
      <c r="H22114" s="49">
        <f t="shared" si="2"/>
        <v>40023</v>
      </c>
    </row>
    <row r="22115">
      <c r="A22115" s="48" t="s">
        <v>6451</v>
      </c>
      <c r="B22115" s="38">
        <v>68097.0</v>
      </c>
      <c r="C22115" s="38" t="s">
        <v>26644</v>
      </c>
      <c r="D22115" s="38" t="str">
        <f>IFERROR(__xludf.DUMMYFUNCTION("REGEXREPLACE(C22115,""-\d+(.*)|--\d+(.*)"","""")"),"FRELAND")</f>
        <v>FRELAND</v>
      </c>
      <c r="E22115" s="38" t="s">
        <v>150</v>
      </c>
      <c r="F22115" s="38" t="s">
        <v>151</v>
      </c>
      <c r="G22115" s="49" t="str">
        <f t="shared" si="1"/>
        <v>68240</v>
      </c>
      <c r="H22115" s="49">
        <f t="shared" si="2"/>
        <v>68097</v>
      </c>
    </row>
    <row r="22116">
      <c r="A22116" s="48" t="s">
        <v>22573</v>
      </c>
      <c r="B22116" s="38">
        <v>18283.0</v>
      </c>
      <c r="C22116" s="38" t="s">
        <v>26645</v>
      </c>
      <c r="D22116" s="38" t="str">
        <f>IFERROR(__xludf.DUMMYFUNCTION("REGEXREPLACE(C22116,""-\d+(.*)|--\d+(.*)"","""")"),"VILLECELIN")</f>
        <v>VILLECELIN</v>
      </c>
      <c r="E22116" s="38" t="s">
        <v>504</v>
      </c>
      <c r="F22116" s="38" t="s">
        <v>123</v>
      </c>
      <c r="G22116" s="49" t="str">
        <f t="shared" si="1"/>
        <v>18160</v>
      </c>
      <c r="H22116" s="49">
        <f t="shared" si="2"/>
        <v>18283</v>
      </c>
    </row>
    <row r="22117">
      <c r="A22117" s="48" t="s">
        <v>18871</v>
      </c>
      <c r="B22117" s="38">
        <v>42101.0</v>
      </c>
      <c r="C22117" s="38" t="s">
        <v>26646</v>
      </c>
      <c r="D22117" s="38" t="str">
        <f>IFERROR(__xludf.DUMMYFUNCTION("REGEXREPLACE(C22117,""-\d+(.*)|--\d+(.*)"","""")"),"GRAIX")</f>
        <v>GRAIX</v>
      </c>
      <c r="E22117" s="38" t="s">
        <v>166</v>
      </c>
      <c r="F22117" s="38" t="s">
        <v>102</v>
      </c>
      <c r="G22117" s="49" t="str">
        <f t="shared" si="1"/>
        <v>42220</v>
      </c>
      <c r="H22117" s="49">
        <f t="shared" si="2"/>
        <v>42101</v>
      </c>
    </row>
    <row r="22118">
      <c r="A22118" s="48" t="s">
        <v>18316</v>
      </c>
      <c r="B22118" s="38">
        <v>38462.0</v>
      </c>
      <c r="C22118" s="38" t="s">
        <v>26647</v>
      </c>
      <c r="D22118" s="38" t="str">
        <f>IFERROR(__xludf.DUMMYFUNCTION("REGEXREPLACE(C22118,""-\d+(.*)|--\d+(.*)"","""")"),"SAINT-THEOFFREY")</f>
        <v>SAINT-THEOFFREY</v>
      </c>
      <c r="E22118" s="38" t="s">
        <v>101</v>
      </c>
      <c r="F22118" s="38" t="s">
        <v>102</v>
      </c>
      <c r="G22118" s="49" t="str">
        <f t="shared" si="1"/>
        <v>38119</v>
      </c>
      <c r="H22118" s="49">
        <f t="shared" si="2"/>
        <v>38462</v>
      </c>
    </row>
    <row r="22119">
      <c r="A22119" s="48" t="s">
        <v>4018</v>
      </c>
      <c r="B22119" s="38">
        <v>55378.0</v>
      </c>
      <c r="C22119" s="38" t="s">
        <v>26648</v>
      </c>
      <c r="D22119" s="38" t="str">
        <f>IFERROR(__xludf.DUMMYFUNCTION("REGEXREPLACE(C22119,""-\d+(.*)|--\d+(.*)"","""")"),"NETTANCOURT")</f>
        <v>NETTANCOURT</v>
      </c>
      <c r="E22119" s="38" t="s">
        <v>322</v>
      </c>
      <c r="F22119" s="38" t="s">
        <v>195</v>
      </c>
      <c r="G22119" s="49" t="str">
        <f t="shared" si="1"/>
        <v>55800</v>
      </c>
      <c r="H22119" s="49">
        <f t="shared" si="2"/>
        <v>55378</v>
      </c>
    </row>
    <row r="22120">
      <c r="A22120" s="48" t="s">
        <v>724</v>
      </c>
      <c r="B22120" s="38">
        <v>32401.0</v>
      </c>
      <c r="C22120" s="38" t="s">
        <v>26649</v>
      </c>
      <c r="D22120" s="38" t="str">
        <f>IFERROR(__xludf.DUMMYFUNCTION("REGEXREPLACE(C22120,""-\d+(.*)|--\d+(.*)"","""")"),"SAINT-OST")</f>
        <v>SAINT-OST</v>
      </c>
      <c r="E22120" s="38" t="s">
        <v>440</v>
      </c>
      <c r="F22120" s="38" t="s">
        <v>94</v>
      </c>
      <c r="G22120" s="49" t="str">
        <f t="shared" si="1"/>
        <v>32300</v>
      </c>
      <c r="H22120" s="49">
        <f t="shared" si="2"/>
        <v>32401</v>
      </c>
    </row>
    <row r="22121">
      <c r="A22121" s="48" t="s">
        <v>4797</v>
      </c>
      <c r="B22121" s="38">
        <v>30154.0</v>
      </c>
      <c r="C22121" s="38" t="s">
        <v>26650</v>
      </c>
      <c r="D22121" s="38" t="str">
        <f>IFERROR(__xludf.DUMMYFUNCTION("REGEXREPLACE(C22121,""-\d+(.*)|--\d+(.*)"","""")"),"MANDAGOUT")</f>
        <v>MANDAGOUT</v>
      </c>
      <c r="E22121" s="38" t="s">
        <v>526</v>
      </c>
      <c r="F22121" s="38" t="s">
        <v>119</v>
      </c>
      <c r="G22121" s="49" t="str">
        <f t="shared" si="1"/>
        <v>30120</v>
      </c>
      <c r="H22121" s="49">
        <f t="shared" si="2"/>
        <v>30154</v>
      </c>
    </row>
    <row r="22122">
      <c r="A22122" s="48" t="s">
        <v>1728</v>
      </c>
      <c r="B22122" s="38">
        <v>45133.0</v>
      </c>
      <c r="C22122" s="38" t="s">
        <v>26651</v>
      </c>
      <c r="D22122" s="38" t="str">
        <f>IFERROR(__xludf.DUMMYFUNCTION("REGEXREPLACE(C22122,""-\d+(.*)|--\d+(.*)"","""")"),"ENGENVILLE")</f>
        <v>ENGENVILLE</v>
      </c>
      <c r="E22122" s="38" t="s">
        <v>122</v>
      </c>
      <c r="F22122" s="38" t="s">
        <v>123</v>
      </c>
      <c r="G22122" s="49" t="str">
        <f t="shared" si="1"/>
        <v>45300</v>
      </c>
      <c r="H22122" s="49">
        <f t="shared" si="2"/>
        <v>45133</v>
      </c>
    </row>
    <row r="22123">
      <c r="A22123" s="48" t="s">
        <v>4605</v>
      </c>
      <c r="B22123" s="38">
        <v>39345.0</v>
      </c>
      <c r="C22123" s="38" t="s">
        <v>2913</v>
      </c>
      <c r="D22123" s="38" t="str">
        <f>IFERROR(__xludf.DUMMYFUNCTION("REGEXREPLACE(C22123,""-\d+(.*)|--\d+(.*)"","""")"),"MONNIERES")</f>
        <v>MONNIERES</v>
      </c>
      <c r="E22123" s="38" t="s">
        <v>400</v>
      </c>
      <c r="F22123" s="38" t="s">
        <v>214</v>
      </c>
      <c r="G22123" s="49" t="str">
        <f t="shared" si="1"/>
        <v>39100</v>
      </c>
      <c r="H22123" s="49">
        <f t="shared" si="2"/>
        <v>39345</v>
      </c>
    </row>
    <row r="22124">
      <c r="A22124" s="48" t="s">
        <v>4099</v>
      </c>
      <c r="B22124" s="38">
        <v>12257.0</v>
      </c>
      <c r="C22124" s="38" t="s">
        <v>26652</v>
      </c>
      <c r="D22124" s="38" t="str">
        <f>IFERROR(__xludf.DUMMYFUNCTION("REGEXREPLACE(C22124,""-\d+(.*)|--\d+(.*)"","""")"),"CAUSSE-ET-DIEGE")</f>
        <v>CAUSSE-ET-DIEGE</v>
      </c>
      <c r="E22124" s="38" t="s">
        <v>465</v>
      </c>
      <c r="F22124" s="38" t="s">
        <v>94</v>
      </c>
      <c r="G22124" s="49" t="str">
        <f t="shared" si="1"/>
        <v>12700</v>
      </c>
      <c r="H22124" s="49">
        <f t="shared" si="2"/>
        <v>12257</v>
      </c>
    </row>
    <row r="22125">
      <c r="A22125" s="48" t="s">
        <v>5850</v>
      </c>
      <c r="B22125" s="38">
        <v>22084.0</v>
      </c>
      <c r="C22125" s="38" t="s">
        <v>26653</v>
      </c>
      <c r="D22125" s="38" t="str">
        <f>IFERROR(__xludf.DUMMYFUNCTION("REGEXREPLACE(C22125,""-\d+(.*)|--\d+(.*)"","""")"),"JUGON-LES-LACS")</f>
        <v>JUGON-LES-LACS</v>
      </c>
      <c r="E22125" s="38" t="s">
        <v>89</v>
      </c>
      <c r="F22125" s="38" t="s">
        <v>90</v>
      </c>
      <c r="G22125" s="49" t="str">
        <f t="shared" si="1"/>
        <v>22270</v>
      </c>
      <c r="H22125" s="49">
        <f t="shared" si="2"/>
        <v>22084</v>
      </c>
    </row>
    <row r="22126">
      <c r="A22126" s="48" t="s">
        <v>2328</v>
      </c>
      <c r="B22126" s="38">
        <v>57404.0</v>
      </c>
      <c r="C22126" s="38" t="s">
        <v>26654</v>
      </c>
      <c r="D22126" s="38" t="str">
        <f>IFERROR(__xludf.DUMMYFUNCTION("REGEXREPLACE(C22126,""-\d+(.*)|--\d+(.*)"","""")"),"LINDRE-BASSE")</f>
        <v>LINDRE-BASSE</v>
      </c>
      <c r="E22126" s="38" t="s">
        <v>303</v>
      </c>
      <c r="F22126" s="38" t="s">
        <v>195</v>
      </c>
      <c r="G22126" s="49" t="str">
        <f t="shared" si="1"/>
        <v>57260</v>
      </c>
      <c r="H22126" s="49">
        <f t="shared" si="2"/>
        <v>57404</v>
      </c>
    </row>
    <row r="22127">
      <c r="A22127" s="48" t="s">
        <v>26655</v>
      </c>
      <c r="B22127" s="38">
        <v>71113.0</v>
      </c>
      <c r="C22127" s="38" t="s">
        <v>12622</v>
      </c>
      <c r="D22127" s="38" t="str">
        <f>IFERROR(__xludf.DUMMYFUNCTION("REGEXREPLACE(C22127,""-\d+(.*)|--\d+(.*)"","""")"),"CHATEAUNEUF")</f>
        <v>CHATEAUNEUF</v>
      </c>
      <c r="E22127" s="38" t="s">
        <v>344</v>
      </c>
      <c r="F22127" s="38" t="s">
        <v>106</v>
      </c>
      <c r="G22127" s="49" t="str">
        <f t="shared" si="1"/>
        <v>71740</v>
      </c>
      <c r="H22127" s="49">
        <f t="shared" si="2"/>
        <v>71113</v>
      </c>
    </row>
    <row r="22128">
      <c r="A22128" s="48" t="s">
        <v>9457</v>
      </c>
      <c r="B22128" s="38">
        <v>5115.0</v>
      </c>
      <c r="C22128" s="38" t="s">
        <v>26656</v>
      </c>
      <c r="D22128" s="38" t="str">
        <f>IFERROR(__xludf.DUMMYFUNCTION("REGEXREPLACE(C22128,""-\d+(.*)|--\d+(.*)"","""")"),"REMOLLON")</f>
        <v>REMOLLON</v>
      </c>
      <c r="E22128" s="38" t="s">
        <v>706</v>
      </c>
      <c r="F22128" s="38" t="s">
        <v>228</v>
      </c>
      <c r="G22128" s="49" t="str">
        <f t="shared" si="1"/>
        <v>05190</v>
      </c>
      <c r="H22128" s="49" t="str">
        <f t="shared" si="2"/>
        <v>05115</v>
      </c>
    </row>
    <row r="22129">
      <c r="A22129" s="48" t="s">
        <v>4504</v>
      </c>
      <c r="B22129" s="38">
        <v>40033.0</v>
      </c>
      <c r="C22129" s="38" t="s">
        <v>26657</v>
      </c>
      <c r="D22129" s="38" t="str">
        <f>IFERROR(__xludf.DUMMYFUNCTION("REGEXREPLACE(C22129,""-\d+(.*)|--\d+(.*)"","""")"),"BELIS")</f>
        <v>BELIS</v>
      </c>
      <c r="E22129" s="38" t="s">
        <v>281</v>
      </c>
      <c r="F22129" s="38" t="s">
        <v>252</v>
      </c>
      <c r="G22129" s="49" t="str">
        <f t="shared" si="1"/>
        <v>40120</v>
      </c>
      <c r="H22129" s="49">
        <f t="shared" si="2"/>
        <v>40033</v>
      </c>
    </row>
    <row r="22130">
      <c r="A22130" s="48" t="s">
        <v>6519</v>
      </c>
      <c r="B22130" s="38">
        <v>81136.0</v>
      </c>
      <c r="C22130" s="38" t="s">
        <v>3709</v>
      </c>
      <c r="D22130" s="38" t="str">
        <f>IFERROR(__xludf.DUMMYFUNCTION("REGEXREPLACE(C22130,""-\d+(.*)|--\d+(.*)"","""")"),"LARROQUE")</f>
        <v>LARROQUE</v>
      </c>
      <c r="E22130" s="38" t="s">
        <v>231</v>
      </c>
      <c r="F22130" s="38" t="s">
        <v>94</v>
      </c>
      <c r="G22130" s="49" t="str">
        <f t="shared" si="1"/>
        <v>81140</v>
      </c>
      <c r="H22130" s="49">
        <f t="shared" si="2"/>
        <v>81136</v>
      </c>
    </row>
    <row r="22131">
      <c r="A22131" s="48" t="s">
        <v>7876</v>
      </c>
      <c r="B22131" s="38">
        <v>58235.0</v>
      </c>
      <c r="C22131" s="38" t="s">
        <v>26658</v>
      </c>
      <c r="D22131" s="38" t="str">
        <f>IFERROR(__xludf.DUMMYFUNCTION("REGEXREPLACE(C22131,""-\d+(.*)|--\d+(.*)"","""")"),"SAINT-BRISSON")</f>
        <v>SAINT-BRISSON</v>
      </c>
      <c r="E22131" s="38" t="s">
        <v>219</v>
      </c>
      <c r="F22131" s="38" t="s">
        <v>106</v>
      </c>
      <c r="G22131" s="49" t="str">
        <f t="shared" si="1"/>
        <v>58230</v>
      </c>
      <c r="H22131" s="49">
        <f t="shared" si="2"/>
        <v>58235</v>
      </c>
    </row>
    <row r="22132">
      <c r="A22132" s="48" t="s">
        <v>2019</v>
      </c>
      <c r="B22132" s="38">
        <v>90046.0</v>
      </c>
      <c r="C22132" s="38" t="s">
        <v>26659</v>
      </c>
      <c r="D22132" s="38" t="str">
        <f>IFERROR(__xludf.DUMMYFUNCTION("REGEXREPLACE(C22132,""-\d+(.*)|--\d+(.*)"","""")"),"FLORIMONT")</f>
        <v>FLORIMONT</v>
      </c>
      <c r="E22132" s="38" t="s">
        <v>1283</v>
      </c>
      <c r="F22132" s="38" t="s">
        <v>214</v>
      </c>
      <c r="G22132" s="49" t="str">
        <f t="shared" si="1"/>
        <v>90100</v>
      </c>
      <c r="H22132" s="49">
        <f t="shared" si="2"/>
        <v>90046</v>
      </c>
    </row>
    <row r="22133">
      <c r="A22133" s="48" t="s">
        <v>12573</v>
      </c>
      <c r="B22133" s="38">
        <v>7006.0</v>
      </c>
      <c r="C22133" s="38" t="s">
        <v>26660</v>
      </c>
      <c r="D22133" s="38" t="str">
        <f>IFERROR(__xludf.DUMMYFUNCTION("REGEXREPLACE(C22133,""-\d+(.*)|--\d+(.*)"","""")"),"ALBON-D'ARDECHE")</f>
        <v>ALBON-D'ARDECHE</v>
      </c>
      <c r="E22133" s="38" t="s">
        <v>144</v>
      </c>
      <c r="F22133" s="38" t="s">
        <v>102</v>
      </c>
      <c r="G22133" s="49" t="str">
        <f t="shared" si="1"/>
        <v>07190</v>
      </c>
      <c r="H22133" s="49" t="str">
        <f t="shared" si="2"/>
        <v>07006</v>
      </c>
    </row>
    <row r="22134">
      <c r="A22134" s="48" t="s">
        <v>2924</v>
      </c>
      <c r="B22134" s="38">
        <v>8144.0</v>
      </c>
      <c r="C22134" s="38" t="s">
        <v>26661</v>
      </c>
      <c r="D22134" s="38" t="str">
        <f>IFERROR(__xludf.DUMMYFUNCTION("REGEXREPLACE(C22134,""-\d+(.*)|--\d+(.*)"","""")"),"DOUX")</f>
        <v>DOUX</v>
      </c>
      <c r="E22134" s="38" t="s">
        <v>327</v>
      </c>
      <c r="F22134" s="38" t="s">
        <v>130</v>
      </c>
      <c r="G22134" s="49" t="str">
        <f t="shared" si="1"/>
        <v>08300</v>
      </c>
      <c r="H22134" s="49" t="str">
        <f t="shared" si="2"/>
        <v>08144</v>
      </c>
    </row>
    <row r="22135">
      <c r="A22135" s="48" t="s">
        <v>2149</v>
      </c>
      <c r="B22135" s="38">
        <v>83147.0</v>
      </c>
      <c r="C22135" s="38" t="s">
        <v>26662</v>
      </c>
      <c r="D22135" s="38" t="str">
        <f>IFERROR(__xludf.DUMMYFUNCTION("REGEXREPLACE(C22135,""-\d+(.*)|--\d+(.*)"","""")"),"VERIGNON")</f>
        <v>VERIGNON</v>
      </c>
      <c r="E22135" s="38" t="s">
        <v>813</v>
      </c>
      <c r="F22135" s="38" t="s">
        <v>228</v>
      </c>
      <c r="G22135" s="49" t="str">
        <f t="shared" si="1"/>
        <v>83630</v>
      </c>
      <c r="H22135" s="49">
        <f t="shared" si="2"/>
        <v>83147</v>
      </c>
    </row>
    <row r="22136">
      <c r="A22136" s="48" t="s">
        <v>9944</v>
      </c>
      <c r="B22136" s="38">
        <v>71196.0</v>
      </c>
      <c r="C22136" s="38" t="s">
        <v>26663</v>
      </c>
      <c r="D22136" s="38" t="str">
        <f>IFERROR(__xludf.DUMMYFUNCTION("REGEXREPLACE(C22136,""-\d+(.*)|--\d+(.*)"","""")"),"LE FAY")</f>
        <v>LE FAY</v>
      </c>
      <c r="E22136" s="38" t="s">
        <v>344</v>
      </c>
      <c r="F22136" s="38" t="s">
        <v>106</v>
      </c>
      <c r="G22136" s="49" t="str">
        <f t="shared" si="1"/>
        <v>71580</v>
      </c>
      <c r="H22136" s="49">
        <f t="shared" si="2"/>
        <v>71196</v>
      </c>
    </row>
    <row r="22137">
      <c r="A22137" s="48" t="s">
        <v>10916</v>
      </c>
      <c r="B22137" s="38">
        <v>40120.0</v>
      </c>
      <c r="C22137" s="38" t="s">
        <v>26664</v>
      </c>
      <c r="D22137" s="38" t="str">
        <f>IFERROR(__xludf.DUMMYFUNCTION("REGEXREPLACE(C22137,""-\d+(.*)|--\d+(.*)"","""")"),"HASTINGUES")</f>
        <v>HASTINGUES</v>
      </c>
      <c r="E22137" s="38" t="s">
        <v>281</v>
      </c>
      <c r="F22137" s="38" t="s">
        <v>252</v>
      </c>
      <c r="G22137" s="49" t="str">
        <f t="shared" si="1"/>
        <v>40300</v>
      </c>
      <c r="H22137" s="49">
        <f t="shared" si="2"/>
        <v>40120</v>
      </c>
    </row>
    <row r="22138">
      <c r="A22138" s="48" t="s">
        <v>11310</v>
      </c>
      <c r="B22138" s="38">
        <v>50384.0</v>
      </c>
      <c r="C22138" s="38" t="s">
        <v>26665</v>
      </c>
      <c r="D22138" s="38" t="str">
        <f>IFERROR(__xludf.DUMMYFUNCTION("REGEXREPLACE(C22138,""-\d+(.*)|--\d+(.*)"","""")"),"OCTEVILLE-L'AVENEL")</f>
        <v>OCTEVILLE-L'AVENEL</v>
      </c>
      <c r="E22138" s="38" t="s">
        <v>157</v>
      </c>
      <c r="F22138" s="38" t="s">
        <v>138</v>
      </c>
      <c r="G22138" s="49" t="str">
        <f t="shared" si="1"/>
        <v>50630</v>
      </c>
      <c r="H22138" s="49">
        <f t="shared" si="2"/>
        <v>50384</v>
      </c>
    </row>
    <row r="22139">
      <c r="A22139" s="48" t="s">
        <v>26666</v>
      </c>
      <c r="B22139" s="38">
        <v>29077.0</v>
      </c>
      <c r="C22139" s="38" t="s">
        <v>26667</v>
      </c>
      <c r="D22139" s="38" t="str">
        <f>IFERROR(__xludf.DUMMYFUNCTION("REGEXREPLACE(C22139,""-\d+(.*)|--\d+(.*)"","""")"),"GUISSENY")</f>
        <v>GUISSENY</v>
      </c>
      <c r="E22139" s="38" t="s">
        <v>176</v>
      </c>
      <c r="F22139" s="38" t="s">
        <v>90</v>
      </c>
      <c r="G22139" s="49" t="str">
        <f t="shared" si="1"/>
        <v>29880</v>
      </c>
      <c r="H22139" s="49">
        <f t="shared" si="2"/>
        <v>29077</v>
      </c>
    </row>
    <row r="22140">
      <c r="A22140" s="48" t="s">
        <v>4895</v>
      </c>
      <c r="B22140" s="38">
        <v>34265.0</v>
      </c>
      <c r="C22140" s="38" t="s">
        <v>26668</v>
      </c>
      <c r="D22140" s="38" t="str">
        <f>IFERROR(__xludf.DUMMYFUNCTION("REGEXREPLACE(C22140,""-\d+(.*)|--\d+(.*)"","""")"),"SAINT-JEAN-DE-CORNIES")</f>
        <v>SAINT-JEAN-DE-CORNIES</v>
      </c>
      <c r="E22140" s="38" t="s">
        <v>118</v>
      </c>
      <c r="F22140" s="38" t="s">
        <v>119</v>
      </c>
      <c r="G22140" s="49" t="str">
        <f t="shared" si="1"/>
        <v>34160</v>
      </c>
      <c r="H22140" s="49">
        <f t="shared" si="2"/>
        <v>34265</v>
      </c>
    </row>
    <row r="22141">
      <c r="A22141" s="48" t="s">
        <v>26669</v>
      </c>
      <c r="B22141" s="38">
        <v>14076.0</v>
      </c>
      <c r="C22141" s="38" t="s">
        <v>26670</v>
      </c>
      <c r="D22141" s="38" t="str">
        <f>IFERROR(__xludf.DUMMYFUNCTION("REGEXREPLACE(C22141,""-\d+(.*)|--\d+(.*)"","""")"),"BLAINVILLE-SUR-ORNE")</f>
        <v>BLAINVILLE-SUR-ORNE</v>
      </c>
      <c r="E22141" s="38" t="s">
        <v>137</v>
      </c>
      <c r="F22141" s="38" t="s">
        <v>138</v>
      </c>
      <c r="G22141" s="49" t="str">
        <f t="shared" si="1"/>
        <v>14550</v>
      </c>
      <c r="H22141" s="49">
        <f t="shared" si="2"/>
        <v>14076</v>
      </c>
    </row>
    <row r="22142">
      <c r="A22142" s="48" t="s">
        <v>2519</v>
      </c>
      <c r="B22142" s="38">
        <v>80193.0</v>
      </c>
      <c r="C22142" s="38" t="s">
        <v>26671</v>
      </c>
      <c r="D22142" s="38" t="str">
        <f>IFERROR(__xludf.DUMMYFUNCTION("REGEXREPLACE(C22142,""-\d+(.*)|--\d+(.*)"","""")"),"CHIRMONT")</f>
        <v>CHIRMONT</v>
      </c>
      <c r="E22142" s="38" t="s">
        <v>224</v>
      </c>
      <c r="F22142" s="38" t="s">
        <v>113</v>
      </c>
      <c r="G22142" s="49" t="str">
        <f t="shared" si="1"/>
        <v>80250</v>
      </c>
      <c r="H22142" s="49">
        <f t="shared" si="2"/>
        <v>80193</v>
      </c>
    </row>
    <row r="22143">
      <c r="A22143" s="48" t="s">
        <v>22242</v>
      </c>
      <c r="B22143" s="38">
        <v>63013.0</v>
      </c>
      <c r="C22143" s="38" t="s">
        <v>26672</v>
      </c>
      <c r="D22143" s="38" t="str">
        <f>IFERROR(__xludf.DUMMYFUNCTION("REGEXREPLACE(C22143,""-\d+(.*)|--\d+(.*)"","""")"),"AUBIAT")</f>
        <v>AUBIAT</v>
      </c>
      <c r="E22143" s="38" t="s">
        <v>353</v>
      </c>
      <c r="F22143" s="38" t="s">
        <v>161</v>
      </c>
      <c r="G22143" s="49" t="str">
        <f t="shared" si="1"/>
        <v>63260</v>
      </c>
      <c r="H22143" s="49">
        <f t="shared" si="2"/>
        <v>63013</v>
      </c>
    </row>
    <row r="22144">
      <c r="A22144" s="48" t="s">
        <v>26673</v>
      </c>
      <c r="B22144" s="38">
        <v>27355.0</v>
      </c>
      <c r="C22144" s="38" t="s">
        <v>26674</v>
      </c>
      <c r="D22144" s="38" t="str">
        <f>IFERROR(__xludf.DUMMYFUNCTION("REGEXREPLACE(C22144,""-\d+(.*)|--\d+(.*)"","""")"),"IVRY-LA-BATAILLE")</f>
        <v>IVRY-LA-BATAILLE</v>
      </c>
      <c r="E22144" s="38" t="s">
        <v>241</v>
      </c>
      <c r="F22144" s="38" t="s">
        <v>134</v>
      </c>
      <c r="G22144" s="49" t="str">
        <f t="shared" si="1"/>
        <v>27540</v>
      </c>
      <c r="H22144" s="49">
        <f t="shared" si="2"/>
        <v>27355</v>
      </c>
    </row>
    <row r="22145">
      <c r="A22145" s="48" t="s">
        <v>5122</v>
      </c>
      <c r="B22145" s="38">
        <v>62716.0</v>
      </c>
      <c r="C22145" s="38" t="s">
        <v>26675</v>
      </c>
      <c r="D22145" s="38" t="str">
        <f>IFERROR(__xludf.DUMMYFUNCTION("REGEXREPLACE(C22145,""-\d+(.*)|--\d+(.*)"","""")"),"RODELINGHEM")</f>
        <v>RODELINGHEM</v>
      </c>
      <c r="E22145" s="38" t="s">
        <v>109</v>
      </c>
      <c r="F22145" s="38" t="s">
        <v>86</v>
      </c>
      <c r="G22145" s="49" t="str">
        <f t="shared" si="1"/>
        <v>62610</v>
      </c>
      <c r="H22145" s="49">
        <f t="shared" si="2"/>
        <v>62716</v>
      </c>
    </row>
    <row r="22146">
      <c r="A22146" s="48" t="s">
        <v>7107</v>
      </c>
      <c r="B22146" s="38">
        <v>10389.0</v>
      </c>
      <c r="C22146" s="38" t="s">
        <v>26676</v>
      </c>
      <c r="D22146" s="38" t="str">
        <f>IFERROR(__xludf.DUMMYFUNCTION("REGEXREPLACE(C22146,""-\d+(.*)|--\d+(.*)"","""")"),"UNIENVILLE")</f>
        <v>UNIENVILLE</v>
      </c>
      <c r="E22146" s="38" t="s">
        <v>147</v>
      </c>
      <c r="F22146" s="38" t="s">
        <v>130</v>
      </c>
      <c r="G22146" s="49" t="str">
        <f t="shared" si="1"/>
        <v>10140</v>
      </c>
      <c r="H22146" s="49">
        <f t="shared" si="2"/>
        <v>10389</v>
      </c>
    </row>
    <row r="22147">
      <c r="A22147" s="48" t="s">
        <v>26585</v>
      </c>
      <c r="B22147" s="38">
        <v>68277.0</v>
      </c>
      <c r="C22147" s="38" t="s">
        <v>26677</v>
      </c>
      <c r="D22147" s="38" t="str">
        <f>IFERROR(__xludf.DUMMYFUNCTION("REGEXREPLACE(C22147,""-\d+(.*)|--\d+(.*)"","""")"),"RIQUEWIHR")</f>
        <v>RIQUEWIHR</v>
      </c>
      <c r="E22147" s="38" t="s">
        <v>150</v>
      </c>
      <c r="F22147" s="38" t="s">
        <v>151</v>
      </c>
      <c r="G22147" s="49" t="str">
        <f t="shared" si="1"/>
        <v>68340</v>
      </c>
      <c r="H22147" s="49">
        <f t="shared" si="2"/>
        <v>68277</v>
      </c>
    </row>
    <row r="22148">
      <c r="A22148" s="48" t="s">
        <v>298</v>
      </c>
      <c r="B22148" s="38">
        <v>28354.0</v>
      </c>
      <c r="C22148" s="38" t="s">
        <v>26678</v>
      </c>
      <c r="D22148" s="38" t="str">
        <f>IFERROR(__xludf.DUMMYFUNCTION("REGEXREPLACE(C22148,""-\d+(.*)|--\d+(.*)"","""")"),"SAINT-MAURICE-SAINT-GERMAIN")</f>
        <v>SAINT-MAURICE-SAINT-GERMAIN</v>
      </c>
      <c r="E22148" s="38" t="s">
        <v>300</v>
      </c>
      <c r="F22148" s="38" t="s">
        <v>123</v>
      </c>
      <c r="G22148" s="49" t="str">
        <f t="shared" si="1"/>
        <v>28240</v>
      </c>
      <c r="H22148" s="49">
        <f t="shared" si="2"/>
        <v>28354</v>
      </c>
    </row>
    <row r="22149">
      <c r="A22149" s="48" t="s">
        <v>14869</v>
      </c>
      <c r="B22149" s="38">
        <v>87204.0</v>
      </c>
      <c r="C22149" s="38" t="s">
        <v>26679</v>
      </c>
      <c r="D22149" s="38" t="str">
        <f>IFERROR(__xludf.DUMMYFUNCTION("REGEXREPLACE(C22149,""-\d+(.*)|--\d+(.*)"","""")"),"VIDEIX")</f>
        <v>VIDEIX</v>
      </c>
      <c r="E22149" s="38" t="s">
        <v>897</v>
      </c>
      <c r="F22149" s="38" t="s">
        <v>98</v>
      </c>
      <c r="G22149" s="49" t="str">
        <f t="shared" si="1"/>
        <v>87600</v>
      </c>
      <c r="H22149" s="49">
        <f t="shared" si="2"/>
        <v>87204</v>
      </c>
    </row>
    <row r="22150">
      <c r="A22150" s="48" t="s">
        <v>3662</v>
      </c>
      <c r="B22150" s="38">
        <v>80707.0</v>
      </c>
      <c r="C22150" s="38" t="s">
        <v>26680</v>
      </c>
      <c r="D22150" s="38" t="str">
        <f>IFERROR(__xludf.DUMMYFUNCTION("REGEXREPLACE(C22150,""-\d+(.*)|--\d+(.*)"","""")"),"SAINT-LEGER-SUR-BRESLE")</f>
        <v>SAINT-LEGER-SUR-BRESLE</v>
      </c>
      <c r="E22150" s="38" t="s">
        <v>224</v>
      </c>
      <c r="F22150" s="38" t="s">
        <v>113</v>
      </c>
      <c r="G22150" s="49" t="str">
        <f t="shared" si="1"/>
        <v>80140</v>
      </c>
      <c r="H22150" s="49">
        <f t="shared" si="2"/>
        <v>80707</v>
      </c>
    </row>
    <row r="22151">
      <c r="A22151" s="48" t="s">
        <v>6256</v>
      </c>
      <c r="B22151" s="38">
        <v>55218.0</v>
      </c>
      <c r="C22151" s="38" t="s">
        <v>26681</v>
      </c>
      <c r="D22151" s="38" t="str">
        <f>IFERROR(__xludf.DUMMYFUNCTION("REGEXREPLACE(C22151,""-\d+(.*)|--\d+(.*)"","""")"),"GREMILLY")</f>
        <v>GREMILLY</v>
      </c>
      <c r="E22151" s="38" t="s">
        <v>322</v>
      </c>
      <c r="F22151" s="38" t="s">
        <v>195</v>
      </c>
      <c r="G22151" s="49" t="str">
        <f t="shared" si="1"/>
        <v>55150</v>
      </c>
      <c r="H22151" s="49">
        <f t="shared" si="2"/>
        <v>55218</v>
      </c>
    </row>
    <row r="22152">
      <c r="A22152" s="48" t="s">
        <v>1796</v>
      </c>
      <c r="B22152" s="38">
        <v>31041.0</v>
      </c>
      <c r="C22152" s="38" t="s">
        <v>26682</v>
      </c>
      <c r="D22152" s="38" t="str">
        <f>IFERROR(__xludf.DUMMYFUNCTION("REGEXREPLACE(C22152,""-\d+(.*)|--\d+(.*)"","""")"),"BAGIRY")</f>
        <v>BAGIRY</v>
      </c>
      <c r="E22152" s="38" t="s">
        <v>93</v>
      </c>
      <c r="F22152" s="38" t="s">
        <v>94</v>
      </c>
      <c r="G22152" s="49" t="str">
        <f t="shared" si="1"/>
        <v>31510</v>
      </c>
      <c r="H22152" s="49">
        <f t="shared" si="2"/>
        <v>31041</v>
      </c>
    </row>
    <row r="22153">
      <c r="A22153" s="48" t="s">
        <v>2853</v>
      </c>
      <c r="B22153" s="38">
        <v>36050.0</v>
      </c>
      <c r="C22153" s="38" t="s">
        <v>26683</v>
      </c>
      <c r="D22153" s="38" t="str">
        <f>IFERROR(__xludf.DUMMYFUNCTION("REGEXREPLACE(C22153,""-\d+(.*)|--\d+(.*)"","""")"),"CHEZELLES")</f>
        <v>CHEZELLES</v>
      </c>
      <c r="E22153" s="38" t="s">
        <v>258</v>
      </c>
      <c r="F22153" s="38" t="s">
        <v>123</v>
      </c>
      <c r="G22153" s="49" t="str">
        <f t="shared" si="1"/>
        <v>36500</v>
      </c>
      <c r="H22153" s="49">
        <f t="shared" si="2"/>
        <v>36050</v>
      </c>
    </row>
    <row r="22154">
      <c r="A22154" s="48" t="s">
        <v>9704</v>
      </c>
      <c r="B22154" s="38">
        <v>22221.0</v>
      </c>
      <c r="C22154" s="38" t="s">
        <v>26684</v>
      </c>
      <c r="D22154" s="38" t="str">
        <f>IFERROR(__xludf.DUMMYFUNCTION("REGEXREPLACE(C22154,""-\d+(.*)|--\d+(.*)"","""")"),"PLOUGUIEL")</f>
        <v>PLOUGUIEL</v>
      </c>
      <c r="E22154" s="38" t="s">
        <v>89</v>
      </c>
      <c r="F22154" s="38" t="s">
        <v>90</v>
      </c>
      <c r="G22154" s="49" t="str">
        <f t="shared" si="1"/>
        <v>22220</v>
      </c>
      <c r="H22154" s="49">
        <f t="shared" si="2"/>
        <v>22221</v>
      </c>
    </row>
    <row r="22155">
      <c r="A22155" s="48" t="s">
        <v>3167</v>
      </c>
      <c r="B22155" s="38">
        <v>33328.0</v>
      </c>
      <c r="C22155" s="38" t="s">
        <v>26685</v>
      </c>
      <c r="D22155" s="38" t="str">
        <f>IFERROR(__xludf.DUMMYFUNCTION("REGEXREPLACE(C22155,""-\d+(.*)|--\d+(.*)"","""")"),"POMEROL")</f>
        <v>POMEROL</v>
      </c>
      <c r="E22155" s="38" t="s">
        <v>462</v>
      </c>
      <c r="F22155" s="38" t="s">
        <v>252</v>
      </c>
      <c r="G22155" s="49" t="str">
        <f t="shared" si="1"/>
        <v>33500</v>
      </c>
      <c r="H22155" s="49">
        <f t="shared" si="2"/>
        <v>33328</v>
      </c>
    </row>
    <row r="22156">
      <c r="A22156" s="48" t="s">
        <v>944</v>
      </c>
      <c r="B22156" s="38">
        <v>61433.0</v>
      </c>
      <c r="C22156" s="38" t="s">
        <v>20508</v>
      </c>
      <c r="D22156" s="38" t="str">
        <f>IFERROR(__xludf.DUMMYFUNCTION("REGEXREPLACE(C22156,""-\d+(.*)|--\d+(.*)"","""")"),"SAINT-NICOLAS-DES-BOIS")</f>
        <v>SAINT-NICOLAS-DES-BOIS</v>
      </c>
      <c r="E22156" s="38" t="s">
        <v>141</v>
      </c>
      <c r="F22156" s="38" t="s">
        <v>138</v>
      </c>
      <c r="G22156" s="49" t="str">
        <f t="shared" si="1"/>
        <v>61250</v>
      </c>
      <c r="H22156" s="49">
        <f t="shared" si="2"/>
        <v>61433</v>
      </c>
    </row>
    <row r="22157">
      <c r="A22157" s="48" t="s">
        <v>1540</v>
      </c>
      <c r="B22157" s="38">
        <v>70136.0</v>
      </c>
      <c r="C22157" s="38" t="s">
        <v>26686</v>
      </c>
      <c r="D22157" s="38" t="str">
        <f>IFERROR(__xludf.DUMMYFUNCTION("REGEXREPLACE(C22157,""-\d+(.*)|--\d+(.*)"","""")"),"CHARMOILLE")</f>
        <v>CHARMOILLE</v>
      </c>
      <c r="E22157" s="38" t="s">
        <v>956</v>
      </c>
      <c r="F22157" s="38" t="s">
        <v>214</v>
      </c>
      <c r="G22157" s="49" t="str">
        <f t="shared" si="1"/>
        <v>70000</v>
      </c>
      <c r="H22157" s="49">
        <f t="shared" si="2"/>
        <v>70136</v>
      </c>
    </row>
    <row r="22158">
      <c r="A22158" s="48" t="s">
        <v>519</v>
      </c>
      <c r="B22158" s="38">
        <v>72113.0</v>
      </c>
      <c r="C22158" s="38" t="s">
        <v>26687</v>
      </c>
      <c r="D22158" s="38" t="str">
        <f>IFERROR(__xludf.DUMMYFUNCTION("REGEXREPLACE(C22158,""-\d+(.*)|--\d+(.*)"","""")"),"DEGRE")</f>
        <v>DEGRE</v>
      </c>
      <c r="E22158" s="38" t="s">
        <v>521</v>
      </c>
      <c r="F22158" s="38" t="s">
        <v>180</v>
      </c>
      <c r="G22158" s="49" t="str">
        <f t="shared" si="1"/>
        <v>72550</v>
      </c>
      <c r="H22158" s="49">
        <f t="shared" si="2"/>
        <v>72113</v>
      </c>
    </row>
    <row r="22159">
      <c r="A22159" s="48" t="s">
        <v>2328</v>
      </c>
      <c r="B22159" s="38">
        <v>57595.0</v>
      </c>
      <c r="C22159" s="38" t="s">
        <v>26688</v>
      </c>
      <c r="D22159" s="38" t="str">
        <f>IFERROR(__xludf.DUMMYFUNCTION("REGEXREPLACE(C22159,""-\d+(.*)|--\d+(.*)"","""")"),"RORBACH-LES-DIEUZE")</f>
        <v>RORBACH-LES-DIEUZE</v>
      </c>
      <c r="E22159" s="38" t="s">
        <v>303</v>
      </c>
      <c r="F22159" s="38" t="s">
        <v>195</v>
      </c>
      <c r="G22159" s="49" t="str">
        <f t="shared" si="1"/>
        <v>57260</v>
      </c>
      <c r="H22159" s="49">
        <f t="shared" si="2"/>
        <v>57595</v>
      </c>
    </row>
    <row r="22160">
      <c r="A22160" s="48" t="s">
        <v>4939</v>
      </c>
      <c r="B22160" s="38">
        <v>23155.0</v>
      </c>
      <c r="C22160" s="38" t="s">
        <v>26689</v>
      </c>
      <c r="D22160" s="38" t="str">
        <f>IFERROR(__xludf.DUMMYFUNCTION("REGEXREPLACE(C22160,""-\d+(.*)|--\d+(.*)"","""")"),"PONTARION")</f>
        <v>PONTARION</v>
      </c>
      <c r="E22160" s="38" t="s">
        <v>97</v>
      </c>
      <c r="F22160" s="38" t="s">
        <v>98</v>
      </c>
      <c r="G22160" s="49" t="str">
        <f t="shared" si="1"/>
        <v>23250</v>
      </c>
      <c r="H22160" s="49">
        <f t="shared" si="2"/>
        <v>23155</v>
      </c>
    </row>
    <row r="22161">
      <c r="A22161" s="48" t="s">
        <v>828</v>
      </c>
      <c r="B22161" s="38">
        <v>86092.0</v>
      </c>
      <c r="C22161" s="38" t="s">
        <v>26690</v>
      </c>
      <c r="D22161" s="38" t="str">
        <f>IFERROR(__xludf.DUMMYFUNCTION("REGEXREPLACE(C22161,""-\d+(.*)|--\d+(.*)"","""")"),"DANGE-SAINT-ROMAIN")</f>
        <v>DANGE-SAINT-ROMAIN</v>
      </c>
      <c r="E22161" s="38" t="s">
        <v>529</v>
      </c>
      <c r="F22161" s="38" t="s">
        <v>338</v>
      </c>
      <c r="G22161" s="49" t="str">
        <f t="shared" si="1"/>
        <v>86220</v>
      </c>
      <c r="H22161" s="49">
        <f t="shared" si="2"/>
        <v>86092</v>
      </c>
    </row>
    <row r="22162">
      <c r="A22162" s="48" t="s">
        <v>311</v>
      </c>
      <c r="B22162" s="38">
        <v>31025.0</v>
      </c>
      <c r="C22162" s="38" t="s">
        <v>26691</v>
      </c>
      <c r="D22162" s="38" t="str">
        <f>IFERROR(__xludf.DUMMYFUNCTION("REGEXREPLACE(C22162,""-\d+(.*)|--\d+(.*)"","""")"),"AUREVILLE")</f>
        <v>AUREVILLE</v>
      </c>
      <c r="E22162" s="38" t="s">
        <v>93</v>
      </c>
      <c r="F22162" s="38" t="s">
        <v>94</v>
      </c>
      <c r="G22162" s="49" t="str">
        <f t="shared" si="1"/>
        <v>31320</v>
      </c>
      <c r="H22162" s="49">
        <f t="shared" si="2"/>
        <v>31025</v>
      </c>
    </row>
    <row r="22163">
      <c r="A22163" s="48" t="s">
        <v>1000</v>
      </c>
      <c r="B22163" s="38">
        <v>70055.0</v>
      </c>
      <c r="C22163" s="38" t="s">
        <v>26692</v>
      </c>
      <c r="D22163" s="38" t="str">
        <f>IFERROR(__xludf.DUMMYFUNCTION("REGEXREPLACE(C22163,""-\d+(.*)|--\d+(.*)"","""")"),"BAUDONCOURT")</f>
        <v>BAUDONCOURT</v>
      </c>
      <c r="E22163" s="38" t="s">
        <v>956</v>
      </c>
      <c r="F22163" s="38" t="s">
        <v>214</v>
      </c>
      <c r="G22163" s="49" t="str">
        <f t="shared" si="1"/>
        <v>70300</v>
      </c>
      <c r="H22163" s="49">
        <f t="shared" si="2"/>
        <v>70055</v>
      </c>
    </row>
    <row r="22164">
      <c r="A22164" s="48" t="s">
        <v>3444</v>
      </c>
      <c r="B22164" s="38">
        <v>38103.0</v>
      </c>
      <c r="C22164" s="38" t="s">
        <v>26693</v>
      </c>
      <c r="D22164" s="38" t="str">
        <f>IFERROR(__xludf.DUMMYFUNCTION("REGEXREPLACE(C22164,""-\d+(.*)|--\d+(.*)"","""")"),"CHICHILIANNE")</f>
        <v>CHICHILIANNE</v>
      </c>
      <c r="E22164" s="38" t="s">
        <v>101</v>
      </c>
      <c r="F22164" s="38" t="s">
        <v>102</v>
      </c>
      <c r="G22164" s="49" t="str">
        <f t="shared" si="1"/>
        <v>38930</v>
      </c>
      <c r="H22164" s="49">
        <f t="shared" si="2"/>
        <v>38103</v>
      </c>
    </row>
    <row r="22165">
      <c r="A22165" s="48" t="s">
        <v>2406</v>
      </c>
      <c r="B22165" s="38">
        <v>55027.0</v>
      </c>
      <c r="C22165" s="38" t="s">
        <v>26694</v>
      </c>
      <c r="D22165" s="38" t="str">
        <f>IFERROR(__xludf.DUMMYFUNCTION("REGEXREPLACE(C22165,""-\d+(.*)|--\d+(.*)"","""")"),"BANNONCOURT")</f>
        <v>BANNONCOURT</v>
      </c>
      <c r="E22165" s="38" t="s">
        <v>322</v>
      </c>
      <c r="F22165" s="38" t="s">
        <v>195</v>
      </c>
      <c r="G22165" s="49" t="str">
        <f t="shared" si="1"/>
        <v>55300</v>
      </c>
      <c r="H22165" s="49">
        <f t="shared" si="2"/>
        <v>55027</v>
      </c>
    </row>
    <row r="22166">
      <c r="A22166" s="48" t="s">
        <v>18932</v>
      </c>
      <c r="B22166" s="38">
        <v>44053.0</v>
      </c>
      <c r="C22166" s="38" t="s">
        <v>26695</v>
      </c>
      <c r="D22166" s="38" t="str">
        <f>IFERROR(__xludf.DUMMYFUNCTION("REGEXREPLACE(C22166,""-\d+(.*)|--\d+(.*)"","""")"),"DREFFEAC")</f>
        <v>DREFFEAC</v>
      </c>
      <c r="E22166" s="38" t="s">
        <v>759</v>
      </c>
      <c r="F22166" s="38" t="s">
        <v>180</v>
      </c>
      <c r="G22166" s="49" t="str">
        <f t="shared" si="1"/>
        <v>44530</v>
      </c>
      <c r="H22166" s="49">
        <f t="shared" si="2"/>
        <v>44053</v>
      </c>
    </row>
    <row r="22167">
      <c r="A22167" s="48" t="s">
        <v>8196</v>
      </c>
      <c r="B22167" s="38">
        <v>23248.0</v>
      </c>
      <c r="C22167" s="38" t="s">
        <v>26696</v>
      </c>
      <c r="D22167" s="38" t="str">
        <f>IFERROR(__xludf.DUMMYFUNCTION("REGEXREPLACE(C22167,""-\d+(.*)|--\d+(.*)"","""")"),"SAINT-VICTOR-EN-MARCHE")</f>
        <v>SAINT-VICTOR-EN-MARCHE</v>
      </c>
      <c r="E22167" s="38" t="s">
        <v>97</v>
      </c>
      <c r="F22167" s="38" t="s">
        <v>98</v>
      </c>
      <c r="G22167" s="49" t="str">
        <f t="shared" si="1"/>
        <v>23000</v>
      </c>
      <c r="H22167" s="49">
        <f t="shared" si="2"/>
        <v>23248</v>
      </c>
    </row>
    <row r="22168">
      <c r="A22168" s="48" t="s">
        <v>1646</v>
      </c>
      <c r="B22168" s="38">
        <v>24468.0</v>
      </c>
      <c r="C22168" s="38" t="s">
        <v>26697</v>
      </c>
      <c r="D22168" s="38" t="str">
        <f>IFERROR(__xludf.DUMMYFUNCTION("REGEXREPLACE(C22168,""-\d+(.*)|--\d+(.*)"","""")"),"SAINT-MICHEL-DE-VILLADEIX")</f>
        <v>SAINT-MICHEL-DE-VILLADEIX</v>
      </c>
      <c r="E22168" s="38" t="s">
        <v>261</v>
      </c>
      <c r="F22168" s="38" t="s">
        <v>252</v>
      </c>
      <c r="G22168" s="49" t="str">
        <f t="shared" si="1"/>
        <v>24380</v>
      </c>
      <c r="H22168" s="49">
        <f t="shared" si="2"/>
        <v>24468</v>
      </c>
    </row>
    <row r="22169">
      <c r="A22169" s="48" t="s">
        <v>26698</v>
      </c>
      <c r="B22169" s="38">
        <v>92051.0</v>
      </c>
      <c r="C22169" s="38" t="s">
        <v>26699</v>
      </c>
      <c r="D22169" s="38" t="str">
        <f>IFERROR(__xludf.DUMMYFUNCTION("REGEXREPLACE(C22169,""-\d+(.*)|--\d+(.*)"","""")"),"NEUILLY-SUR-SEINE")</f>
        <v>NEUILLY-SUR-SEINE</v>
      </c>
      <c r="E22169" s="38" t="s">
        <v>838</v>
      </c>
      <c r="F22169" s="38" t="s">
        <v>245</v>
      </c>
      <c r="G22169" s="49" t="str">
        <f t="shared" si="1"/>
        <v>92200</v>
      </c>
      <c r="H22169" s="49">
        <f t="shared" si="2"/>
        <v>92051</v>
      </c>
    </row>
    <row r="22170">
      <c r="A22170" s="48" t="s">
        <v>2149</v>
      </c>
      <c r="B22170" s="38">
        <v>83007.0</v>
      </c>
      <c r="C22170" s="38" t="s">
        <v>26700</v>
      </c>
      <c r="D22170" s="38" t="str">
        <f>IFERROR(__xludf.DUMMYFUNCTION("REGEXREPLACE(C22170,""-\d+(.*)|--\d+(.*)"","""")"),"AUPS")</f>
        <v>AUPS</v>
      </c>
      <c r="E22170" s="38" t="s">
        <v>813</v>
      </c>
      <c r="F22170" s="38" t="s">
        <v>228</v>
      </c>
      <c r="G22170" s="49" t="str">
        <f t="shared" si="1"/>
        <v>83630</v>
      </c>
      <c r="H22170" s="49">
        <f t="shared" si="2"/>
        <v>83007</v>
      </c>
    </row>
    <row r="22171">
      <c r="A22171" s="48" t="s">
        <v>809</v>
      </c>
      <c r="B22171" s="38">
        <v>33040.0</v>
      </c>
      <c r="C22171" s="38" t="s">
        <v>26701</v>
      </c>
      <c r="D22171" s="38" t="str">
        <f>IFERROR(__xludf.DUMMYFUNCTION("REGEXREPLACE(C22171,""-\d+(.*)|--\d+(.*)"","""")"),"BEGUEY")</f>
        <v>BEGUEY</v>
      </c>
      <c r="E22171" s="38" t="s">
        <v>462</v>
      </c>
      <c r="F22171" s="38" t="s">
        <v>252</v>
      </c>
      <c r="G22171" s="49" t="str">
        <f t="shared" si="1"/>
        <v>33410</v>
      </c>
      <c r="H22171" s="49">
        <f t="shared" si="2"/>
        <v>33040</v>
      </c>
    </row>
    <row r="22172">
      <c r="A22172" s="48" t="s">
        <v>1170</v>
      </c>
      <c r="B22172" s="38">
        <v>14457.0</v>
      </c>
      <c r="C22172" s="38" t="s">
        <v>26702</v>
      </c>
      <c r="D22172" s="38" t="str">
        <f>IFERROR(__xludf.DUMMYFUNCTION("REGEXREPLACE(C22172,""-\d+(.*)|--\d+(.*)"","""")"),"LES MOUTIERS-EN-AUGE")</f>
        <v>LES MOUTIERS-EN-AUGE</v>
      </c>
      <c r="E22172" s="38" t="s">
        <v>137</v>
      </c>
      <c r="F22172" s="38" t="s">
        <v>138</v>
      </c>
      <c r="G22172" s="49" t="str">
        <f t="shared" si="1"/>
        <v>14620</v>
      </c>
      <c r="H22172" s="49">
        <f t="shared" si="2"/>
        <v>14457</v>
      </c>
    </row>
    <row r="22173">
      <c r="A22173" s="48" t="s">
        <v>2251</v>
      </c>
      <c r="B22173" s="38">
        <v>2776.0</v>
      </c>
      <c r="C22173" s="38" t="s">
        <v>26703</v>
      </c>
      <c r="D22173" s="38" t="str">
        <f>IFERROR(__xludf.DUMMYFUNCTION("REGEXREPLACE(C22173,""-\d+(.*)|--\d+(.*)"","""")"),"VENDHUILE")</f>
        <v>VENDHUILE</v>
      </c>
      <c r="E22173" s="38" t="s">
        <v>191</v>
      </c>
      <c r="F22173" s="38" t="s">
        <v>113</v>
      </c>
      <c r="G22173" s="49" t="str">
        <f t="shared" si="1"/>
        <v>02420</v>
      </c>
      <c r="H22173" s="49" t="str">
        <f t="shared" si="2"/>
        <v>02776</v>
      </c>
    </row>
    <row r="22174">
      <c r="A22174" s="48" t="s">
        <v>3444</v>
      </c>
      <c r="B22174" s="38">
        <v>38424.0</v>
      </c>
      <c r="C22174" s="38" t="s">
        <v>26704</v>
      </c>
      <c r="D22174" s="38" t="str">
        <f>IFERROR(__xludf.DUMMYFUNCTION("REGEXREPLACE(C22174,""-\d+(.*)|--\d+(.*)"","""")"),"SAINT-MAURICE-EN-TRIEVES")</f>
        <v>SAINT-MAURICE-EN-TRIEVES</v>
      </c>
      <c r="E22174" s="38" t="s">
        <v>101</v>
      </c>
      <c r="F22174" s="38" t="s">
        <v>102</v>
      </c>
      <c r="G22174" s="49" t="str">
        <f t="shared" si="1"/>
        <v>38930</v>
      </c>
      <c r="H22174" s="49">
        <f t="shared" si="2"/>
        <v>38424</v>
      </c>
    </row>
    <row r="22175">
      <c r="A22175" s="48" t="s">
        <v>3349</v>
      </c>
      <c r="B22175" s="38">
        <v>34308.0</v>
      </c>
      <c r="C22175" s="38" t="s">
        <v>26705</v>
      </c>
      <c r="D22175" s="38" t="str">
        <f>IFERROR(__xludf.DUMMYFUNCTION("REGEXREPLACE(C22175,""-\d+(.*)|--\d+(.*)"","""")"),"TAUSSAC-LA-BILLIERE")</f>
        <v>TAUSSAC-LA-BILLIERE</v>
      </c>
      <c r="E22175" s="38" t="s">
        <v>118</v>
      </c>
      <c r="F22175" s="38" t="s">
        <v>119</v>
      </c>
      <c r="G22175" s="49" t="str">
        <f t="shared" si="1"/>
        <v>34600</v>
      </c>
      <c r="H22175" s="49">
        <f t="shared" si="2"/>
        <v>34308</v>
      </c>
    </row>
    <row r="22176">
      <c r="A22176" s="48" t="s">
        <v>1568</v>
      </c>
      <c r="B22176" s="38">
        <v>36230.0</v>
      </c>
      <c r="C22176" s="38" t="s">
        <v>26706</v>
      </c>
      <c r="D22176" s="38" t="str">
        <f>IFERROR(__xludf.DUMMYFUNCTION("REGEXREPLACE(C22176,""-\d+(.*)|--\d+(.*)"","""")"),"VATAN")</f>
        <v>VATAN</v>
      </c>
      <c r="E22176" s="38" t="s">
        <v>258</v>
      </c>
      <c r="F22176" s="38" t="s">
        <v>123</v>
      </c>
      <c r="G22176" s="49" t="str">
        <f t="shared" si="1"/>
        <v>36150</v>
      </c>
      <c r="H22176" s="49">
        <f t="shared" si="2"/>
        <v>36230</v>
      </c>
    </row>
    <row r="22177">
      <c r="A22177" s="48" t="s">
        <v>1483</v>
      </c>
      <c r="B22177" s="38">
        <v>80590.0</v>
      </c>
      <c r="C22177" s="38" t="s">
        <v>26707</v>
      </c>
      <c r="D22177" s="38" t="str">
        <f>IFERROR(__xludf.DUMMYFUNCTION("REGEXREPLACE(C22177,""-\d+(.*)|--\d+(.*)"","""")"),"NEUILLY-L'HOPITAL")</f>
        <v>NEUILLY-L'HOPITAL</v>
      </c>
      <c r="E22177" s="38" t="s">
        <v>224</v>
      </c>
      <c r="F22177" s="38" t="s">
        <v>113</v>
      </c>
      <c r="G22177" s="49" t="str">
        <f t="shared" si="1"/>
        <v>80132</v>
      </c>
      <c r="H22177" s="49">
        <f t="shared" si="2"/>
        <v>80590</v>
      </c>
    </row>
    <row r="22178">
      <c r="A22178" s="48" t="s">
        <v>578</v>
      </c>
      <c r="B22178" s="38">
        <v>52248.0</v>
      </c>
      <c r="C22178" s="38" t="s">
        <v>26708</v>
      </c>
      <c r="D22178" s="38" t="str">
        <f>IFERROR(__xludf.DUMMYFUNCTION("REGEXREPLACE(C22178,""-\d+(.*)|--\d+(.*)"","""")"),"IS-EN-BASSIGNY")</f>
        <v>IS-EN-BASSIGNY</v>
      </c>
      <c r="E22178" s="38" t="s">
        <v>234</v>
      </c>
      <c r="F22178" s="38" t="s">
        <v>130</v>
      </c>
      <c r="G22178" s="49" t="str">
        <f t="shared" si="1"/>
        <v>52140</v>
      </c>
      <c r="H22178" s="49">
        <f t="shared" si="2"/>
        <v>52248</v>
      </c>
    </row>
    <row r="22179">
      <c r="A22179" s="48" t="s">
        <v>13265</v>
      </c>
      <c r="B22179" s="38">
        <v>77292.0</v>
      </c>
      <c r="C22179" s="38" t="s">
        <v>26709</v>
      </c>
      <c r="D22179" s="38" t="str">
        <f>IFERROR(__xludf.DUMMYFUNCTION("REGEXREPLACE(C22179,""-\d+(.*)|--\d+(.*)"","""")"),"MESSY")</f>
        <v>MESSY</v>
      </c>
      <c r="E22179" s="38" t="s">
        <v>244</v>
      </c>
      <c r="F22179" s="38" t="s">
        <v>245</v>
      </c>
      <c r="G22179" s="49" t="str">
        <f t="shared" si="1"/>
        <v>77410</v>
      </c>
      <c r="H22179" s="49">
        <f t="shared" si="2"/>
        <v>77292</v>
      </c>
    </row>
    <row r="22180">
      <c r="A22180" s="48" t="s">
        <v>3125</v>
      </c>
      <c r="B22180" s="38">
        <v>12205.0</v>
      </c>
      <c r="C22180" s="38" t="s">
        <v>26710</v>
      </c>
      <c r="D22180" s="38" t="str">
        <f>IFERROR(__xludf.DUMMYFUNCTION("REGEXREPLACE(C22180,""-\d+(.*)|--\d+(.*)"","""")"),"LA ROUQUETTE")</f>
        <v>LA ROUQUETTE</v>
      </c>
      <c r="E22180" s="38" t="s">
        <v>465</v>
      </c>
      <c r="F22180" s="38" t="s">
        <v>94</v>
      </c>
      <c r="G22180" s="49" t="str">
        <f t="shared" si="1"/>
        <v>12200</v>
      </c>
      <c r="H22180" s="49">
        <f t="shared" si="2"/>
        <v>12205</v>
      </c>
    </row>
    <row r="22181">
      <c r="A22181" s="48" t="s">
        <v>2374</v>
      </c>
      <c r="B22181" s="38">
        <v>58132.0</v>
      </c>
      <c r="C22181" s="38" t="s">
        <v>26711</v>
      </c>
      <c r="D22181" s="38" t="str">
        <f>IFERROR(__xludf.DUMMYFUNCTION("REGEXREPLACE(C22181,""-\d+(.*)|--\d+(.*)"","""")"),"GUIPY")</f>
        <v>GUIPY</v>
      </c>
      <c r="E22181" s="38" t="s">
        <v>219</v>
      </c>
      <c r="F22181" s="38" t="s">
        <v>106</v>
      </c>
      <c r="G22181" s="49" t="str">
        <f t="shared" si="1"/>
        <v>58420</v>
      </c>
      <c r="H22181" s="49">
        <f t="shared" si="2"/>
        <v>58132</v>
      </c>
    </row>
    <row r="22182">
      <c r="A22182" s="48" t="s">
        <v>3711</v>
      </c>
      <c r="B22182" s="38">
        <v>21594.0</v>
      </c>
      <c r="C22182" s="38" t="s">
        <v>26712</v>
      </c>
      <c r="D22182" s="38" t="str">
        <f>IFERROR(__xludf.DUMMYFUNCTION("REGEXREPLACE(C22182,""-\d+(.*)|--\d+(.*)"","""")"),"SAVOISY")</f>
        <v>SAVOISY</v>
      </c>
      <c r="E22182" s="38" t="s">
        <v>105</v>
      </c>
      <c r="F22182" s="38" t="s">
        <v>106</v>
      </c>
      <c r="G22182" s="49" t="str">
        <f t="shared" si="1"/>
        <v>21500</v>
      </c>
      <c r="H22182" s="49">
        <f t="shared" si="2"/>
        <v>21594</v>
      </c>
    </row>
    <row r="22183">
      <c r="A22183" s="48" t="s">
        <v>4018</v>
      </c>
      <c r="B22183" s="38">
        <v>55414.0</v>
      </c>
      <c r="C22183" s="38" t="s">
        <v>26713</v>
      </c>
      <c r="D22183" s="38" t="str">
        <f>IFERROR(__xludf.DUMMYFUNCTION("REGEXREPLACE(C22183,""-\d+(.*)|--\d+(.*)"","""")"),"RANCOURT-SUR-ORNAIN")</f>
        <v>RANCOURT-SUR-ORNAIN</v>
      </c>
      <c r="E22183" s="38" t="s">
        <v>322</v>
      </c>
      <c r="F22183" s="38" t="s">
        <v>195</v>
      </c>
      <c r="G22183" s="49" t="str">
        <f t="shared" si="1"/>
        <v>55800</v>
      </c>
      <c r="H22183" s="49">
        <f t="shared" si="2"/>
        <v>55414</v>
      </c>
    </row>
    <row r="22184">
      <c r="A22184" s="48" t="s">
        <v>13267</v>
      </c>
      <c r="B22184" s="38">
        <v>19071.0</v>
      </c>
      <c r="C22184" s="38" t="s">
        <v>26714</v>
      </c>
      <c r="D22184" s="38" t="str">
        <f>IFERROR(__xludf.DUMMYFUNCTION("REGEXREPLACE(C22184,""-\d+(.*)|--\d+(.*)"","""")"),"DAVIGNAC")</f>
        <v>DAVIGNAC</v>
      </c>
      <c r="E22184" s="38" t="s">
        <v>271</v>
      </c>
      <c r="F22184" s="38" t="s">
        <v>98</v>
      </c>
      <c r="G22184" s="49" t="str">
        <f t="shared" si="1"/>
        <v>19250</v>
      </c>
      <c r="H22184" s="49">
        <f t="shared" si="2"/>
        <v>19071</v>
      </c>
    </row>
    <row r="22185">
      <c r="A22185" s="48" t="s">
        <v>26715</v>
      </c>
      <c r="B22185" s="38">
        <v>10362.0</v>
      </c>
      <c r="C22185" s="38" t="s">
        <v>26716</v>
      </c>
      <c r="D22185" s="38" t="str">
        <f>IFERROR(__xludf.DUMMYFUNCTION("REGEXREPLACE(C22185,""-\d+(.*)|--\d+(.*)"","""")"),"SAINTE-SAVINE")</f>
        <v>SAINTE-SAVINE</v>
      </c>
      <c r="E22185" s="38" t="s">
        <v>147</v>
      </c>
      <c r="F22185" s="38" t="s">
        <v>130</v>
      </c>
      <c r="G22185" s="49" t="str">
        <f t="shared" si="1"/>
        <v>10300</v>
      </c>
      <c r="H22185" s="49">
        <f t="shared" si="2"/>
        <v>10362</v>
      </c>
    </row>
    <row r="22186">
      <c r="A22186" s="48" t="s">
        <v>4428</v>
      </c>
      <c r="B22186" s="38">
        <v>72006.0</v>
      </c>
      <c r="C22186" s="38" t="s">
        <v>26717</v>
      </c>
      <c r="D22186" s="38" t="str">
        <f>IFERROR(__xludf.DUMMYFUNCTION("REGEXREPLACE(C22186,""-\d+(.*)|--\d+(.*)"","""")"),"ARCONNAY")</f>
        <v>ARCONNAY</v>
      </c>
      <c r="E22186" s="38" t="s">
        <v>521</v>
      </c>
      <c r="F22186" s="38" t="s">
        <v>180</v>
      </c>
      <c r="G22186" s="49" t="str">
        <f t="shared" si="1"/>
        <v>72610</v>
      </c>
      <c r="H22186" s="49">
        <f t="shared" si="2"/>
        <v>72006</v>
      </c>
    </row>
    <row r="22187">
      <c r="A22187" s="48" t="s">
        <v>9457</v>
      </c>
      <c r="B22187" s="38">
        <v>5121.0</v>
      </c>
      <c r="C22187" s="38" t="s">
        <v>21491</v>
      </c>
      <c r="D22187" s="38" t="str">
        <f>IFERROR(__xludf.DUMMYFUNCTION("REGEXREPLACE(C22187,""-\d+(.*)|--\d+(.*)"","""")"),"ROCHEBRUNE")</f>
        <v>ROCHEBRUNE</v>
      </c>
      <c r="E22187" s="38" t="s">
        <v>706</v>
      </c>
      <c r="F22187" s="38" t="s">
        <v>228</v>
      </c>
      <c r="G22187" s="49" t="str">
        <f t="shared" si="1"/>
        <v>05190</v>
      </c>
      <c r="H22187" s="49" t="str">
        <f t="shared" si="2"/>
        <v>05121</v>
      </c>
    </row>
    <row r="22188">
      <c r="A22188" s="48" t="s">
        <v>4728</v>
      </c>
      <c r="B22188" s="38">
        <v>37112.0</v>
      </c>
      <c r="C22188" s="38" t="s">
        <v>26718</v>
      </c>
      <c r="D22188" s="38" t="str">
        <f>IFERROR(__xludf.DUMMYFUNCTION("REGEXREPLACE(C22188,""-\d+(.*)|--\d+(.*)"","""")"),"GIZEUX")</f>
        <v>GIZEUX</v>
      </c>
      <c r="E22188" s="38" t="s">
        <v>205</v>
      </c>
      <c r="F22188" s="38" t="s">
        <v>123</v>
      </c>
      <c r="G22188" s="49" t="str">
        <f t="shared" si="1"/>
        <v>37340</v>
      </c>
      <c r="H22188" s="49">
        <f t="shared" si="2"/>
        <v>37112</v>
      </c>
    </row>
    <row r="22189">
      <c r="A22189" s="48" t="s">
        <v>1957</v>
      </c>
      <c r="B22189" s="38">
        <v>12005.0</v>
      </c>
      <c r="C22189" s="38" t="s">
        <v>26719</v>
      </c>
      <c r="D22189" s="38" t="str">
        <f>IFERROR(__xludf.DUMMYFUNCTION("REGEXREPLACE(C22189,""-\d+(.*)|--\d+(.*)"","""")"),"ALPUECH")</f>
        <v>ALPUECH</v>
      </c>
      <c r="E22189" s="38" t="s">
        <v>465</v>
      </c>
      <c r="F22189" s="38" t="s">
        <v>94</v>
      </c>
      <c r="G22189" s="49" t="str">
        <f t="shared" si="1"/>
        <v>12210</v>
      </c>
      <c r="H22189" s="49">
        <f t="shared" si="2"/>
        <v>12005</v>
      </c>
    </row>
    <row r="22190">
      <c r="A22190" s="48" t="s">
        <v>1514</v>
      </c>
      <c r="B22190" s="38">
        <v>70215.0</v>
      </c>
      <c r="C22190" s="38" t="s">
        <v>26720</v>
      </c>
      <c r="D22190" s="38" t="str">
        <f>IFERROR(__xludf.DUMMYFUNCTION("REGEXREPLACE(C22190,""-\d+(.*)|--\d+(.*)"","""")"),"ERREVET")</f>
        <v>ERREVET</v>
      </c>
      <c r="E22190" s="38" t="s">
        <v>956</v>
      </c>
      <c r="F22190" s="38" t="s">
        <v>214</v>
      </c>
      <c r="G22190" s="49" t="str">
        <f t="shared" si="1"/>
        <v>70400</v>
      </c>
      <c r="H22190" s="49">
        <f t="shared" si="2"/>
        <v>70215</v>
      </c>
    </row>
    <row r="22191">
      <c r="A22191" s="48" t="s">
        <v>4469</v>
      </c>
      <c r="B22191" s="38">
        <v>83081.0</v>
      </c>
      <c r="C22191" s="38" t="s">
        <v>26721</v>
      </c>
      <c r="D22191" s="38" t="str">
        <f>IFERROR(__xludf.DUMMYFUNCTION("REGEXREPLACE(C22191,""-\d+(.*)|--\d+(.*)"","""")"),"MONTAUROUX")</f>
        <v>MONTAUROUX</v>
      </c>
      <c r="E22191" s="38" t="s">
        <v>813</v>
      </c>
      <c r="F22191" s="38" t="s">
        <v>228</v>
      </c>
      <c r="G22191" s="49" t="str">
        <f t="shared" si="1"/>
        <v>83440</v>
      </c>
      <c r="H22191" s="49">
        <f t="shared" si="2"/>
        <v>83081</v>
      </c>
    </row>
    <row r="22192">
      <c r="A22192" s="48" t="s">
        <v>2783</v>
      </c>
      <c r="B22192" s="38">
        <v>31114.0</v>
      </c>
      <c r="C22192" s="38" t="s">
        <v>26722</v>
      </c>
      <c r="D22192" s="38" t="str">
        <f>IFERROR(__xludf.DUMMYFUNCTION("REGEXREPLACE(C22192,""-\d+(.*)|--\d+(.*)"","""")"),"CASTELBIAGUE")</f>
        <v>CASTELBIAGUE</v>
      </c>
      <c r="E22192" s="38" t="s">
        <v>93</v>
      </c>
      <c r="F22192" s="38" t="s">
        <v>94</v>
      </c>
      <c r="G22192" s="49" t="str">
        <f t="shared" si="1"/>
        <v>31160</v>
      </c>
      <c r="H22192" s="49">
        <f t="shared" si="2"/>
        <v>31114</v>
      </c>
    </row>
    <row r="22193">
      <c r="A22193" s="48" t="s">
        <v>13089</v>
      </c>
      <c r="B22193" s="38">
        <v>42152.0</v>
      </c>
      <c r="C22193" s="38" t="s">
        <v>26723</v>
      </c>
      <c r="D22193" s="38" t="str">
        <f>IFERROR(__xludf.DUMMYFUNCTION("REGEXREPLACE(C22193,""-\d+(.*)|--\d+(.*)"","""")"),"NANDAX")</f>
        <v>NANDAX</v>
      </c>
      <c r="E22193" s="38" t="s">
        <v>166</v>
      </c>
      <c r="F22193" s="38" t="s">
        <v>102</v>
      </c>
      <c r="G22193" s="49" t="str">
        <f t="shared" si="1"/>
        <v>42720</v>
      </c>
      <c r="H22193" s="49">
        <f t="shared" si="2"/>
        <v>42152</v>
      </c>
    </row>
    <row r="22194">
      <c r="A22194" s="48" t="s">
        <v>1704</v>
      </c>
      <c r="B22194" s="38">
        <v>48067.0</v>
      </c>
      <c r="C22194" s="38" t="s">
        <v>19721</v>
      </c>
      <c r="D22194" s="38" t="str">
        <f>IFERROR(__xludf.DUMMYFUNCTION("REGEXREPLACE(C22194,""-\d+(.*)|--\d+(.*)"","""")"),"GABRIAC")</f>
        <v>GABRIAC</v>
      </c>
      <c r="E22194" s="38" t="s">
        <v>154</v>
      </c>
      <c r="F22194" s="38" t="s">
        <v>119</v>
      </c>
      <c r="G22194" s="49" t="str">
        <f t="shared" si="1"/>
        <v>48110</v>
      </c>
      <c r="H22194" s="49">
        <f t="shared" si="2"/>
        <v>48067</v>
      </c>
    </row>
    <row r="22195">
      <c r="A22195" s="48" t="s">
        <v>26724</v>
      </c>
      <c r="B22195" s="38">
        <v>48149.0</v>
      </c>
      <c r="C22195" s="38" t="s">
        <v>20493</v>
      </c>
      <c r="D22195" s="38" t="str">
        <f>IFERROR(__xludf.DUMMYFUNCTION("REGEXREPLACE(C22195,""-\d+(.*)|--\d+(.*)"","""")"),"SAINTE-EULALIE")</f>
        <v>SAINTE-EULALIE</v>
      </c>
      <c r="E22195" s="38" t="s">
        <v>154</v>
      </c>
      <c r="F22195" s="38" t="s">
        <v>119</v>
      </c>
      <c r="G22195" s="49" t="str">
        <f t="shared" si="1"/>
        <v>48120</v>
      </c>
      <c r="H22195" s="49">
        <f t="shared" si="2"/>
        <v>48149</v>
      </c>
    </row>
    <row r="22196">
      <c r="A22196" s="48" t="s">
        <v>3681</v>
      </c>
      <c r="B22196" s="38">
        <v>39169.0</v>
      </c>
      <c r="C22196" s="38" t="s">
        <v>14775</v>
      </c>
      <c r="D22196" s="38" t="str">
        <f>IFERROR(__xludf.DUMMYFUNCTION("REGEXREPLACE(C22196,""-\d+(.*)|--\d+(.*)"","""")"),"COURBOUZON")</f>
        <v>COURBOUZON</v>
      </c>
      <c r="E22196" s="38" t="s">
        <v>400</v>
      </c>
      <c r="F22196" s="38" t="s">
        <v>214</v>
      </c>
      <c r="G22196" s="49" t="str">
        <f t="shared" si="1"/>
        <v>39570</v>
      </c>
      <c r="H22196" s="49">
        <f t="shared" si="2"/>
        <v>39169</v>
      </c>
    </row>
    <row r="22197">
      <c r="A22197" s="48" t="s">
        <v>803</v>
      </c>
      <c r="B22197" s="38">
        <v>1066.0</v>
      </c>
      <c r="C22197" s="38" t="s">
        <v>26725</v>
      </c>
      <c r="D22197" s="38" t="str">
        <f>IFERROR(__xludf.DUMMYFUNCTION("REGEXREPLACE(C22197,""-\d+(.*)|--\d+(.*)"","""")"),"LA BURBANCHE")</f>
        <v>LA BURBANCHE</v>
      </c>
      <c r="E22197" s="38" t="s">
        <v>255</v>
      </c>
      <c r="F22197" s="38" t="s">
        <v>102</v>
      </c>
      <c r="G22197" s="49" t="str">
        <f t="shared" si="1"/>
        <v>01510</v>
      </c>
      <c r="H22197" s="49" t="str">
        <f t="shared" si="2"/>
        <v>01066</v>
      </c>
    </row>
    <row r="22198">
      <c r="A22198" s="48" t="s">
        <v>573</v>
      </c>
      <c r="B22198" s="38">
        <v>65239.0</v>
      </c>
      <c r="C22198" s="38" t="s">
        <v>26726</v>
      </c>
      <c r="D22198" s="38" t="str">
        <f>IFERROR(__xludf.DUMMYFUNCTION("REGEXREPLACE(C22198,""-\d+(.*)|--\d+(.*)"","""")"),"LABASTIDE")</f>
        <v>LABASTIDE</v>
      </c>
      <c r="E22198" s="38" t="s">
        <v>200</v>
      </c>
      <c r="F22198" s="38" t="s">
        <v>94</v>
      </c>
      <c r="G22198" s="49" t="str">
        <f t="shared" si="1"/>
        <v>65130</v>
      </c>
      <c r="H22198" s="49">
        <f t="shared" si="2"/>
        <v>65239</v>
      </c>
    </row>
    <row r="22199">
      <c r="A22199" s="48" t="s">
        <v>5616</v>
      </c>
      <c r="B22199" s="38">
        <v>71063.0</v>
      </c>
      <c r="C22199" s="38" t="s">
        <v>26727</v>
      </c>
      <c r="D22199" s="38" t="str">
        <f>IFERROR(__xludf.DUMMYFUNCTION("REGEXREPLACE(C22199,""-\d+(.*)|--\d+(.*)"","""")"),"BROYE")</f>
        <v>BROYE</v>
      </c>
      <c r="E22199" s="38" t="s">
        <v>344</v>
      </c>
      <c r="F22199" s="38" t="s">
        <v>106</v>
      </c>
      <c r="G22199" s="49" t="str">
        <f t="shared" si="1"/>
        <v>71190</v>
      </c>
      <c r="H22199" s="49">
        <f t="shared" si="2"/>
        <v>71063</v>
      </c>
    </row>
    <row r="22200">
      <c r="A22200" s="48" t="s">
        <v>4469</v>
      </c>
      <c r="B22200" s="38">
        <v>83080.0</v>
      </c>
      <c r="C22200" s="38" t="s">
        <v>2405</v>
      </c>
      <c r="D22200" s="38" t="str">
        <f>IFERROR(__xludf.DUMMYFUNCTION("REGEXREPLACE(C22200,""-\d+(.*)|--\d+(.*)"","""")"),"MONS")</f>
        <v>MONS</v>
      </c>
      <c r="E22200" s="38" t="s">
        <v>813</v>
      </c>
      <c r="F22200" s="38" t="s">
        <v>228</v>
      </c>
      <c r="G22200" s="49" t="str">
        <f t="shared" si="1"/>
        <v>83440</v>
      </c>
      <c r="H22200" s="49">
        <f t="shared" si="2"/>
        <v>83080</v>
      </c>
    </row>
    <row r="22201">
      <c r="A22201" s="48" t="s">
        <v>2095</v>
      </c>
      <c r="B22201" s="38">
        <v>72294.0</v>
      </c>
      <c r="C22201" s="38" t="s">
        <v>26728</v>
      </c>
      <c r="D22201" s="38" t="str">
        <f>IFERROR(__xludf.DUMMYFUNCTION("REGEXREPLACE(C22201,""-\d+(.*)|--\d+(.*)"","""")"),"SAINT-LEONARD-DES-BOIS")</f>
        <v>SAINT-LEONARD-DES-BOIS</v>
      </c>
      <c r="E22201" s="38" t="s">
        <v>521</v>
      </c>
      <c r="F22201" s="38" t="s">
        <v>180</v>
      </c>
      <c r="G22201" s="49" t="str">
        <f t="shared" si="1"/>
        <v>72130</v>
      </c>
      <c r="H22201" s="49">
        <f t="shared" si="2"/>
        <v>72294</v>
      </c>
    </row>
    <row r="22202">
      <c r="A22202" s="48" t="s">
        <v>4715</v>
      </c>
      <c r="B22202" s="38">
        <v>74271.0</v>
      </c>
      <c r="C22202" s="38" t="s">
        <v>26729</v>
      </c>
      <c r="D22202" s="38" t="str">
        <f>IFERROR(__xludf.DUMMYFUNCTION("REGEXREPLACE(C22202,""-\d+(.*)|--\d+(.*)"","""")"),"SEYTROUX")</f>
        <v>SEYTROUX</v>
      </c>
      <c r="E22202" s="38" t="s">
        <v>319</v>
      </c>
      <c r="F22202" s="38" t="s">
        <v>102</v>
      </c>
      <c r="G22202" s="49" t="str">
        <f t="shared" si="1"/>
        <v>74430</v>
      </c>
      <c r="H22202" s="49">
        <f t="shared" si="2"/>
        <v>74271</v>
      </c>
    </row>
    <row r="22203">
      <c r="A22203" s="48" t="s">
        <v>3831</v>
      </c>
      <c r="B22203" s="38">
        <v>63059.0</v>
      </c>
      <c r="C22203" s="38" t="s">
        <v>26730</v>
      </c>
      <c r="D22203" s="38" t="str">
        <f>IFERROR(__xludf.DUMMYFUNCTION("REGEXREPLACE(C22203,""-\d+(.*)|--\d+(.*)"","""")"),"BUSSEOL")</f>
        <v>BUSSEOL</v>
      </c>
      <c r="E22203" s="38" t="s">
        <v>353</v>
      </c>
      <c r="F22203" s="38" t="s">
        <v>161</v>
      </c>
      <c r="G22203" s="49" t="str">
        <f t="shared" si="1"/>
        <v>63270</v>
      </c>
      <c r="H22203" s="49">
        <f t="shared" si="2"/>
        <v>63059</v>
      </c>
    </row>
    <row r="22204">
      <c r="A22204" s="48" t="s">
        <v>3992</v>
      </c>
      <c r="B22204" s="38">
        <v>46238.0</v>
      </c>
      <c r="C22204" s="38" t="s">
        <v>26731</v>
      </c>
      <c r="D22204" s="38" t="str">
        <f>IFERROR(__xludf.DUMMYFUNCTION("REGEXREPLACE(C22204,""-\d+(.*)|--\d+(.*)"","""")"),"RIGNAC")</f>
        <v>RIGNAC</v>
      </c>
      <c r="E22204" s="38" t="s">
        <v>185</v>
      </c>
      <c r="F22204" s="38" t="s">
        <v>94</v>
      </c>
      <c r="G22204" s="49" t="str">
        <f t="shared" si="1"/>
        <v>46500</v>
      </c>
      <c r="H22204" s="49">
        <f t="shared" si="2"/>
        <v>46238</v>
      </c>
    </row>
    <row r="22205">
      <c r="A22205" s="48" t="s">
        <v>5720</v>
      </c>
      <c r="B22205" s="38">
        <v>86105.0</v>
      </c>
      <c r="C22205" s="38" t="s">
        <v>26732</v>
      </c>
      <c r="D22205" s="38" t="str">
        <f>IFERROR(__xludf.DUMMYFUNCTION("REGEXREPLACE(C22205,""-\d+(.*)|--\d+(.*)"","""")"),"GIZAY")</f>
        <v>GIZAY</v>
      </c>
      <c r="E22205" s="38" t="s">
        <v>529</v>
      </c>
      <c r="F22205" s="38" t="s">
        <v>338</v>
      </c>
      <c r="G22205" s="49" t="str">
        <f t="shared" si="1"/>
        <v>86340</v>
      </c>
      <c r="H22205" s="49">
        <f t="shared" si="2"/>
        <v>86105</v>
      </c>
    </row>
    <row r="22206">
      <c r="A22206" s="48" t="s">
        <v>1031</v>
      </c>
      <c r="B22206" s="38">
        <v>2490.0</v>
      </c>
      <c r="C22206" s="38" t="s">
        <v>26733</v>
      </c>
      <c r="D22206" s="38" t="str">
        <f>IFERROR(__xludf.DUMMYFUNCTION("REGEXREPLACE(C22206,""-\d+(.*)|--\d+(.*)"","""")"),"MONAMPTEUIL")</f>
        <v>MONAMPTEUIL</v>
      </c>
      <c r="E22206" s="38" t="s">
        <v>191</v>
      </c>
      <c r="F22206" s="38" t="s">
        <v>113</v>
      </c>
      <c r="G22206" s="49" t="str">
        <f t="shared" si="1"/>
        <v>02000</v>
      </c>
      <c r="H22206" s="49" t="str">
        <f t="shared" si="2"/>
        <v>02490</v>
      </c>
    </row>
    <row r="22207">
      <c r="A22207" s="48" t="s">
        <v>26734</v>
      </c>
      <c r="B22207" s="38">
        <v>85294.0</v>
      </c>
      <c r="C22207" s="38" t="s">
        <v>26735</v>
      </c>
      <c r="D22207" s="38" t="str">
        <f>IFERROR(__xludf.DUMMYFUNCTION("REGEXREPLACE(C22207,""-\d+(.*)|--\d+(.*)"","""")"),"LA TRANCHE-SUR-MER")</f>
        <v>LA TRANCHE-SUR-MER</v>
      </c>
      <c r="E22207" s="38" t="s">
        <v>179</v>
      </c>
      <c r="F22207" s="38" t="s">
        <v>180</v>
      </c>
      <c r="G22207" s="49" t="str">
        <f t="shared" si="1"/>
        <v>85360</v>
      </c>
      <c r="H22207" s="49">
        <f t="shared" si="2"/>
        <v>85294</v>
      </c>
    </row>
    <row r="22208">
      <c r="A22208" s="48" t="s">
        <v>9028</v>
      </c>
      <c r="B22208" s="38">
        <v>65225.0</v>
      </c>
      <c r="C22208" s="38" t="s">
        <v>26736</v>
      </c>
      <c r="D22208" s="38" t="str">
        <f>IFERROR(__xludf.DUMMYFUNCTION("REGEXREPLACE(C22208,""-\d+(.*)|--\d+(.*)"","""")"),"HOURC")</f>
        <v>HOURC</v>
      </c>
      <c r="E22208" s="38" t="s">
        <v>200</v>
      </c>
      <c r="F22208" s="38" t="s">
        <v>94</v>
      </c>
      <c r="G22208" s="49" t="str">
        <f t="shared" si="1"/>
        <v>65350</v>
      </c>
      <c r="H22208" s="49">
        <f t="shared" si="2"/>
        <v>65225</v>
      </c>
    </row>
    <row r="22209">
      <c r="A22209" s="48" t="s">
        <v>3819</v>
      </c>
      <c r="B22209" s="38">
        <v>38099.0</v>
      </c>
      <c r="C22209" s="38" t="s">
        <v>801</v>
      </c>
      <c r="D22209" s="38" t="str">
        <f>IFERROR(__xludf.DUMMYFUNCTION("REGEXREPLACE(C22209,""-\d+(.*)|--\d+(.*)"","""")"),"CHEVRIERES")</f>
        <v>CHEVRIERES</v>
      </c>
      <c r="E22209" s="38" t="s">
        <v>101</v>
      </c>
      <c r="F22209" s="38" t="s">
        <v>102</v>
      </c>
      <c r="G22209" s="49" t="str">
        <f t="shared" si="1"/>
        <v>38160</v>
      </c>
      <c r="H22209" s="49">
        <f t="shared" si="2"/>
        <v>38099</v>
      </c>
    </row>
    <row r="22210">
      <c r="A22210" s="48" t="s">
        <v>2128</v>
      </c>
      <c r="B22210" s="38">
        <v>2715.0</v>
      </c>
      <c r="C22210" s="38" t="s">
        <v>26737</v>
      </c>
      <c r="D22210" s="38" t="str">
        <f>IFERROR(__xludf.DUMMYFUNCTION("REGEXREPLACE(C22210,""-\d+(.*)|--\d+(.*)"","""")"),"SERVAL")</f>
        <v>SERVAL</v>
      </c>
      <c r="E22210" s="38" t="s">
        <v>191</v>
      </c>
      <c r="F22210" s="38" t="s">
        <v>113</v>
      </c>
      <c r="G22210" s="49" t="str">
        <f t="shared" si="1"/>
        <v>02160</v>
      </c>
      <c r="H22210" s="49" t="str">
        <f t="shared" si="2"/>
        <v>02715</v>
      </c>
    </row>
    <row r="22211">
      <c r="A22211" s="48" t="s">
        <v>9266</v>
      </c>
      <c r="B22211" s="38">
        <v>77485.0</v>
      </c>
      <c r="C22211" s="38" t="s">
        <v>26738</v>
      </c>
      <c r="D22211" s="38" t="str">
        <f>IFERROR(__xludf.DUMMYFUNCTION("REGEXREPLACE(C22211,""-\d+(.*)|--\d+(.*)"","""")"),"LE VAUDOUE")</f>
        <v>LE VAUDOUE</v>
      </c>
      <c r="E22211" s="38" t="s">
        <v>244</v>
      </c>
      <c r="F22211" s="38" t="s">
        <v>245</v>
      </c>
      <c r="G22211" s="49" t="str">
        <f t="shared" si="1"/>
        <v>77123</v>
      </c>
      <c r="H22211" s="49">
        <f t="shared" si="2"/>
        <v>77485</v>
      </c>
    </row>
    <row r="22212">
      <c r="A22212" s="48" t="s">
        <v>3889</v>
      </c>
      <c r="B22212" s="38">
        <v>87163.0</v>
      </c>
      <c r="C22212" s="38" t="s">
        <v>26739</v>
      </c>
      <c r="D22212" s="38" t="str">
        <f>IFERROR(__xludf.DUMMYFUNCTION("REGEXREPLACE(C22212,""-\d+(.*)|--\d+(.*)"","""")"),"SAINT-MARTIAL-SUR-ISOP")</f>
        <v>SAINT-MARTIAL-SUR-ISOP</v>
      </c>
      <c r="E22212" s="38" t="s">
        <v>897</v>
      </c>
      <c r="F22212" s="38" t="s">
        <v>98</v>
      </c>
      <c r="G22212" s="49" t="str">
        <f t="shared" si="1"/>
        <v>87330</v>
      </c>
      <c r="H22212" s="49">
        <f t="shared" si="2"/>
        <v>87163</v>
      </c>
    </row>
    <row r="22213">
      <c r="A22213" s="48" t="s">
        <v>5614</v>
      </c>
      <c r="B22213" s="38">
        <v>36069.0</v>
      </c>
      <c r="C22213" s="38" t="s">
        <v>26740</v>
      </c>
      <c r="D22213" s="38" t="str">
        <f>IFERROR(__xludf.DUMMYFUNCTION("REGEXREPLACE(C22213,""-\d+(.*)|--\d+(.*)"","""")"),"ECUEILLE")</f>
        <v>ECUEILLE</v>
      </c>
      <c r="E22213" s="38" t="s">
        <v>258</v>
      </c>
      <c r="F22213" s="38" t="s">
        <v>123</v>
      </c>
      <c r="G22213" s="49" t="str">
        <f t="shared" si="1"/>
        <v>36240</v>
      </c>
      <c r="H22213" s="49">
        <f t="shared" si="2"/>
        <v>36069</v>
      </c>
    </row>
    <row r="22214">
      <c r="A22214" s="48" t="s">
        <v>11481</v>
      </c>
      <c r="B22214" s="38">
        <v>33220.0</v>
      </c>
      <c r="C22214" s="38" t="s">
        <v>26741</v>
      </c>
      <c r="D22214" s="38" t="str">
        <f>IFERROR(__xludf.DUMMYFUNCTION("REGEXREPLACE(C22214,""-\d+(.*)|--\d+(.*)"","""")"),"LAMARQUE")</f>
        <v>LAMARQUE</v>
      </c>
      <c r="E22214" s="38" t="s">
        <v>462</v>
      </c>
      <c r="F22214" s="38" t="s">
        <v>252</v>
      </c>
      <c r="G22214" s="49" t="str">
        <f t="shared" si="1"/>
        <v>33460</v>
      </c>
      <c r="H22214" s="49">
        <f t="shared" si="2"/>
        <v>33220</v>
      </c>
    </row>
    <row r="22215">
      <c r="A22215" s="48" t="s">
        <v>5262</v>
      </c>
      <c r="B22215" s="38">
        <v>15241.0</v>
      </c>
      <c r="C22215" s="38" t="s">
        <v>26742</v>
      </c>
      <c r="D22215" s="38" t="str">
        <f>IFERROR(__xludf.DUMMYFUNCTION("REGEXREPLACE(C22215,""-\d+(.*)|--\d+(.*)"","""")"),"LA TRINITAT")</f>
        <v>LA TRINITAT</v>
      </c>
      <c r="E22215" s="38" t="s">
        <v>632</v>
      </c>
      <c r="F22215" s="38" t="s">
        <v>161</v>
      </c>
      <c r="G22215" s="49" t="str">
        <f t="shared" si="1"/>
        <v>15110</v>
      </c>
      <c r="H22215" s="49">
        <f t="shared" si="2"/>
        <v>15241</v>
      </c>
    </row>
    <row r="22216">
      <c r="A22216" s="48" t="s">
        <v>1744</v>
      </c>
      <c r="B22216" s="38">
        <v>31098.0</v>
      </c>
      <c r="C22216" s="38" t="s">
        <v>26743</v>
      </c>
      <c r="D22216" s="38" t="str">
        <f>IFERROR(__xludf.DUMMYFUNCTION("REGEXREPLACE(C22216,""-\d+(.*)|--\d+(.*)"","""")"),"CADOURS")</f>
        <v>CADOURS</v>
      </c>
      <c r="E22216" s="38" t="s">
        <v>93</v>
      </c>
      <c r="F22216" s="38" t="s">
        <v>94</v>
      </c>
      <c r="G22216" s="49" t="str">
        <f t="shared" si="1"/>
        <v>31480</v>
      </c>
      <c r="H22216" s="49">
        <f t="shared" si="2"/>
        <v>31098</v>
      </c>
    </row>
    <row r="22217">
      <c r="A22217" s="48" t="s">
        <v>4679</v>
      </c>
      <c r="B22217" s="38">
        <v>17459.0</v>
      </c>
      <c r="C22217" s="38" t="s">
        <v>26744</v>
      </c>
      <c r="D22217" s="38" t="str">
        <f>IFERROR(__xludf.DUMMYFUNCTION("REGEXREPLACE(C22217,""-\d+(.*)|--\d+(.*)"","""")"),"VARAIZE")</f>
        <v>VARAIZE</v>
      </c>
      <c r="E22217" s="38" t="s">
        <v>488</v>
      </c>
      <c r="F22217" s="38" t="s">
        <v>338</v>
      </c>
      <c r="G22217" s="49" t="str">
        <f t="shared" si="1"/>
        <v>17400</v>
      </c>
      <c r="H22217" s="49">
        <f t="shared" si="2"/>
        <v>17459</v>
      </c>
    </row>
    <row r="22218">
      <c r="A22218" s="48" t="s">
        <v>16561</v>
      </c>
      <c r="B22218" s="38">
        <v>27513.0</v>
      </c>
      <c r="C22218" s="38" t="s">
        <v>26745</v>
      </c>
      <c r="D22218" s="38" t="str">
        <f>IFERROR(__xludf.DUMMYFUNCTION("REGEXREPLACE(C22218,""-\d+(.*)|--\d+(.*)"","""")"),"SAINT-AUBIN-DES-HAYES")</f>
        <v>SAINT-AUBIN-DES-HAYES</v>
      </c>
      <c r="E22218" s="38" t="s">
        <v>241</v>
      </c>
      <c r="F22218" s="38" t="s">
        <v>134</v>
      </c>
      <c r="G22218" s="49" t="str">
        <f t="shared" si="1"/>
        <v>27410</v>
      </c>
      <c r="H22218" s="49">
        <f t="shared" si="2"/>
        <v>27513</v>
      </c>
    </row>
    <row r="22219">
      <c r="A22219" s="48" t="s">
        <v>5398</v>
      </c>
      <c r="B22219" s="38">
        <v>64001.0</v>
      </c>
      <c r="C22219" s="38" t="s">
        <v>26746</v>
      </c>
      <c r="D22219" s="38" t="str">
        <f>IFERROR(__xludf.DUMMYFUNCTION("REGEXREPLACE(C22219,""-\d+(.*)|--\d+(.*)"","""")"),"AAST")</f>
        <v>AAST</v>
      </c>
      <c r="E22219" s="38" t="s">
        <v>268</v>
      </c>
      <c r="F22219" s="38" t="s">
        <v>252</v>
      </c>
      <c r="G22219" s="49" t="str">
        <f t="shared" si="1"/>
        <v>64460</v>
      </c>
      <c r="H22219" s="49">
        <f t="shared" si="2"/>
        <v>64001</v>
      </c>
    </row>
    <row r="22220">
      <c r="A22220" s="48" t="s">
        <v>2744</v>
      </c>
      <c r="B22220" s="38">
        <v>17131.0</v>
      </c>
      <c r="C22220" s="38" t="s">
        <v>26747</v>
      </c>
      <c r="D22220" s="38" t="str">
        <f>IFERROR(__xludf.DUMMYFUNCTION("REGEXREPLACE(C22220,""-\d+(.*)|--\d+(.*)"","""")"),"COZES")</f>
        <v>COZES</v>
      </c>
      <c r="E22220" s="38" t="s">
        <v>488</v>
      </c>
      <c r="F22220" s="38" t="s">
        <v>338</v>
      </c>
      <c r="G22220" s="49" t="str">
        <f t="shared" si="1"/>
        <v>17120</v>
      </c>
      <c r="H22220" s="49">
        <f t="shared" si="2"/>
        <v>17131</v>
      </c>
    </row>
    <row r="22221">
      <c r="A22221" s="48" t="s">
        <v>3902</v>
      </c>
      <c r="B22221" s="38">
        <v>63183.0</v>
      </c>
      <c r="C22221" s="38" t="s">
        <v>26748</v>
      </c>
      <c r="D22221" s="38" t="str">
        <f>IFERROR(__xludf.DUMMYFUNCTION("REGEXREPLACE(C22221,""-\d+(.*)|--\d+(.*)"","""")"),"LABESSETTE")</f>
        <v>LABESSETTE</v>
      </c>
      <c r="E22221" s="38" t="s">
        <v>353</v>
      </c>
      <c r="F22221" s="38" t="s">
        <v>161</v>
      </c>
      <c r="G22221" s="49" t="str">
        <f t="shared" si="1"/>
        <v>63690</v>
      </c>
      <c r="H22221" s="49">
        <f t="shared" si="2"/>
        <v>63183</v>
      </c>
    </row>
    <row r="22222">
      <c r="A22222" s="48" t="s">
        <v>1646</v>
      </c>
      <c r="B22222" s="38">
        <v>24146.0</v>
      </c>
      <c r="C22222" s="38" t="s">
        <v>26749</v>
      </c>
      <c r="D22222" s="38" t="str">
        <f>IFERROR(__xludf.DUMMYFUNCTION("REGEXREPLACE(C22222,""-\d+(.*)|--\d+(.*)"","""")"),"CREYSSENSAC-ET-PISSOT")</f>
        <v>CREYSSENSAC-ET-PISSOT</v>
      </c>
      <c r="E22222" s="38" t="s">
        <v>261</v>
      </c>
      <c r="F22222" s="38" t="s">
        <v>252</v>
      </c>
      <c r="G22222" s="49" t="str">
        <f t="shared" si="1"/>
        <v>24380</v>
      </c>
      <c r="H22222" s="49">
        <f t="shared" si="2"/>
        <v>24146</v>
      </c>
    </row>
    <row r="22223">
      <c r="A22223" s="48" t="s">
        <v>1239</v>
      </c>
      <c r="B22223" s="38">
        <v>2212.0</v>
      </c>
      <c r="C22223" s="38" t="s">
        <v>26750</v>
      </c>
      <c r="D22223" s="38" t="str">
        <f>IFERROR(__xludf.DUMMYFUNCTION("REGEXREPLACE(C22223,""-\d+(.*)|--\d+(.*)"","""")"),"CONDREN")</f>
        <v>CONDREN</v>
      </c>
      <c r="E22223" s="38" t="s">
        <v>191</v>
      </c>
      <c r="F22223" s="38" t="s">
        <v>113</v>
      </c>
      <c r="G22223" s="49" t="str">
        <f t="shared" si="1"/>
        <v>02700</v>
      </c>
      <c r="H22223" s="49" t="str">
        <f t="shared" si="2"/>
        <v>02212</v>
      </c>
    </row>
    <row r="22224">
      <c r="A22224" s="48" t="s">
        <v>8896</v>
      </c>
      <c r="B22224" s="38">
        <v>47081.0</v>
      </c>
      <c r="C22224" s="38" t="s">
        <v>26751</v>
      </c>
      <c r="D22224" s="38" t="str">
        <f>IFERROR(__xludf.DUMMYFUNCTION("REGEXREPLACE(C22224,""-\d+(.*)|--\d+(.*)"","""")"),"DOLMAYRAC")</f>
        <v>DOLMAYRAC</v>
      </c>
      <c r="E22224" s="38" t="s">
        <v>251</v>
      </c>
      <c r="F22224" s="38" t="s">
        <v>252</v>
      </c>
      <c r="G22224" s="49" t="str">
        <f t="shared" si="1"/>
        <v>47110</v>
      </c>
      <c r="H22224" s="49">
        <f t="shared" si="2"/>
        <v>47081</v>
      </c>
    </row>
    <row r="22225">
      <c r="A22225" s="48" t="s">
        <v>4123</v>
      </c>
      <c r="B22225" s="38">
        <v>60403.0</v>
      </c>
      <c r="C22225" s="38" t="s">
        <v>26752</v>
      </c>
      <c r="D22225" s="38" t="str">
        <f>IFERROR(__xludf.DUMMYFUNCTION("REGEXREPLACE(C22225,""-\d+(.*)|--\d+(.*)"","""")"),"MILLY-SUR-THERAIN")</f>
        <v>MILLY-SUR-THERAIN</v>
      </c>
      <c r="E22225" s="38" t="s">
        <v>112</v>
      </c>
      <c r="F22225" s="38" t="s">
        <v>113</v>
      </c>
      <c r="G22225" s="49" t="str">
        <f t="shared" si="1"/>
        <v>60112</v>
      </c>
      <c r="H22225" s="49">
        <f t="shared" si="2"/>
        <v>60403</v>
      </c>
    </row>
    <row r="22226">
      <c r="A22226" s="48" t="s">
        <v>13739</v>
      </c>
      <c r="B22226" s="38">
        <v>72300.0</v>
      </c>
      <c r="C22226" s="38" t="s">
        <v>26753</v>
      </c>
      <c r="D22226" s="38" t="str">
        <f>IFERROR(__xludf.DUMMYFUNCTION("REGEXREPLACE(C22226,""-\d+(.*)|--\d+(.*)"","""")"),"SAINT-MARS-LA-BRIERE")</f>
        <v>SAINT-MARS-LA-BRIERE</v>
      </c>
      <c r="E22226" s="38" t="s">
        <v>521</v>
      </c>
      <c r="F22226" s="38" t="s">
        <v>180</v>
      </c>
      <c r="G22226" s="49" t="str">
        <f t="shared" si="1"/>
        <v>72470</v>
      </c>
      <c r="H22226" s="49">
        <f t="shared" si="2"/>
        <v>72300</v>
      </c>
    </row>
    <row r="22227">
      <c r="A22227" s="48" t="s">
        <v>5743</v>
      </c>
      <c r="B22227" s="38">
        <v>52127.0</v>
      </c>
      <c r="C22227" s="38" t="s">
        <v>26754</v>
      </c>
      <c r="D22227" s="38" t="str">
        <f>IFERROR(__xludf.DUMMYFUNCTION("REGEXREPLACE(C22227,""-\d+(.*)|--\d+(.*)"","""")"),"CHOISEUL")</f>
        <v>CHOISEUL</v>
      </c>
      <c r="E22227" s="38" t="s">
        <v>234</v>
      </c>
      <c r="F22227" s="38" t="s">
        <v>130</v>
      </c>
      <c r="G22227" s="49" t="str">
        <f t="shared" si="1"/>
        <v>52240</v>
      </c>
      <c r="H22227" s="49">
        <f t="shared" si="2"/>
        <v>52127</v>
      </c>
    </row>
    <row r="22228">
      <c r="A22228" s="48" t="s">
        <v>3711</v>
      </c>
      <c r="B22228" s="38">
        <v>21568.0</v>
      </c>
      <c r="C22228" s="38" t="s">
        <v>2361</v>
      </c>
      <c r="D22228" s="38" t="str">
        <f>IFERROR(__xludf.DUMMYFUNCTION("REGEXREPLACE(C22228,""-\d+(.*)|--\d+(.*)"","""")"),"SAINT-REMY")</f>
        <v>SAINT-REMY</v>
      </c>
      <c r="E22228" s="38" t="s">
        <v>105</v>
      </c>
      <c r="F22228" s="38" t="s">
        <v>106</v>
      </c>
      <c r="G22228" s="49" t="str">
        <f t="shared" si="1"/>
        <v>21500</v>
      </c>
      <c r="H22228" s="49">
        <f t="shared" si="2"/>
        <v>21568</v>
      </c>
    </row>
    <row r="22229">
      <c r="A22229" s="48" t="s">
        <v>1616</v>
      </c>
      <c r="B22229" s="38">
        <v>10440.0</v>
      </c>
      <c r="C22229" s="38" t="s">
        <v>26755</v>
      </c>
      <c r="D22229" s="38" t="str">
        <f>IFERROR(__xludf.DUMMYFUNCTION("REGEXREPLACE(C22229,""-\d+(.*)|--\d+(.*)"","""")"),"VOIGNY")</f>
        <v>VOIGNY</v>
      </c>
      <c r="E22229" s="38" t="s">
        <v>147</v>
      </c>
      <c r="F22229" s="38" t="s">
        <v>130</v>
      </c>
      <c r="G22229" s="49" t="str">
        <f t="shared" si="1"/>
        <v>10200</v>
      </c>
      <c r="H22229" s="49">
        <f t="shared" si="2"/>
        <v>10440</v>
      </c>
    </row>
    <row r="22230">
      <c r="A22230" s="48" t="s">
        <v>3912</v>
      </c>
      <c r="B22230" s="38">
        <v>38418.0</v>
      </c>
      <c r="C22230" s="38" t="s">
        <v>26756</v>
      </c>
      <c r="D22230" s="38" t="str">
        <f>IFERROR(__xludf.DUMMYFUNCTION("REGEXREPLACE(C22230,""-\d+(.*)|--\d+(.*)"","""")"),"SAINTE-MARIE-DU-MONT")</f>
        <v>SAINTE-MARIE-DU-MONT</v>
      </c>
      <c r="E22230" s="38" t="s">
        <v>101</v>
      </c>
      <c r="F22230" s="38" t="s">
        <v>102</v>
      </c>
      <c r="G22230" s="49" t="str">
        <f t="shared" si="1"/>
        <v>38660</v>
      </c>
      <c r="H22230" s="49">
        <f t="shared" si="2"/>
        <v>38418</v>
      </c>
    </row>
    <row r="22231">
      <c r="A22231" s="48" t="s">
        <v>26757</v>
      </c>
      <c r="B22231" s="38">
        <v>34159.0</v>
      </c>
      <c r="C22231" s="38" t="s">
        <v>26758</v>
      </c>
      <c r="D22231" s="38" t="str">
        <f>IFERROR(__xludf.DUMMYFUNCTION("REGEXREPLACE(C22231,""-\d+(.*)|--\d+(.*)"","""")"),"MIREVAL")</f>
        <v>MIREVAL</v>
      </c>
      <c r="E22231" s="38" t="s">
        <v>118</v>
      </c>
      <c r="F22231" s="38" t="s">
        <v>119</v>
      </c>
      <c r="G22231" s="49" t="str">
        <f t="shared" si="1"/>
        <v>34110</v>
      </c>
      <c r="H22231" s="49">
        <f t="shared" si="2"/>
        <v>34159</v>
      </c>
    </row>
    <row r="22232">
      <c r="A22232" s="48" t="s">
        <v>940</v>
      </c>
      <c r="B22232" s="38">
        <v>51086.0</v>
      </c>
      <c r="C22232" s="38" t="s">
        <v>26759</v>
      </c>
      <c r="D22232" s="38" t="str">
        <f>IFERROR(__xludf.DUMMYFUNCTION("REGEXREPLACE(C22232,""-\d+(.*)|--\d+(.*)"","""")"),"BREUIL")</f>
        <v>BREUIL</v>
      </c>
      <c r="E22232" s="38" t="s">
        <v>129</v>
      </c>
      <c r="F22232" s="38" t="s">
        <v>130</v>
      </c>
      <c r="G22232" s="49" t="str">
        <f t="shared" si="1"/>
        <v>51140</v>
      </c>
      <c r="H22232" s="49">
        <f t="shared" si="2"/>
        <v>51086</v>
      </c>
    </row>
    <row r="22233">
      <c r="A22233" s="48" t="s">
        <v>2312</v>
      </c>
      <c r="B22233" s="38">
        <v>67347.0</v>
      </c>
      <c r="C22233" s="38" t="s">
        <v>26760</v>
      </c>
      <c r="D22233" s="38" t="str">
        <f>IFERROR(__xludf.DUMMYFUNCTION("REGEXREPLACE(C22233,""-\d+(.*)|--\d+(.*)"","""")"),"OBERMODERN-ZUTZENDORF")</f>
        <v>OBERMODERN-ZUTZENDORF</v>
      </c>
      <c r="E22233" s="38" t="s">
        <v>210</v>
      </c>
      <c r="F22233" s="38" t="s">
        <v>151</v>
      </c>
      <c r="G22233" s="49" t="str">
        <f t="shared" si="1"/>
        <v>67330</v>
      </c>
      <c r="H22233" s="49">
        <f t="shared" si="2"/>
        <v>67347</v>
      </c>
    </row>
    <row r="22234">
      <c r="A22234" s="48" t="s">
        <v>620</v>
      </c>
      <c r="B22234" s="38">
        <v>86221.0</v>
      </c>
      <c r="C22234" s="38" t="s">
        <v>26761</v>
      </c>
      <c r="D22234" s="38" t="str">
        <f>IFERROR(__xludf.DUMMYFUNCTION("REGEXREPLACE(C22234,""-\d+(.*)|--\d+(.*)"","""")"),"SAINT-GENEST-D'AMBIERE")</f>
        <v>SAINT-GENEST-D'AMBIERE</v>
      </c>
      <c r="E22234" s="38" t="s">
        <v>529</v>
      </c>
      <c r="F22234" s="38" t="s">
        <v>338</v>
      </c>
      <c r="G22234" s="49" t="str">
        <f t="shared" si="1"/>
        <v>86140</v>
      </c>
      <c r="H22234" s="49">
        <f t="shared" si="2"/>
        <v>86221</v>
      </c>
    </row>
    <row r="22235">
      <c r="A22235" s="48" t="s">
        <v>9660</v>
      </c>
      <c r="B22235" s="38">
        <v>89008.0</v>
      </c>
      <c r="C22235" s="38" t="s">
        <v>26762</v>
      </c>
      <c r="D22235" s="38" t="str">
        <f>IFERROR(__xludf.DUMMYFUNCTION("REGEXREPLACE(C22235,""-\d+(.*)|--\d+(.*)"","""")"),"ANGELY")</f>
        <v>ANGELY</v>
      </c>
      <c r="E22235" s="38" t="s">
        <v>275</v>
      </c>
      <c r="F22235" s="38" t="s">
        <v>106</v>
      </c>
      <c r="G22235" s="49" t="str">
        <f t="shared" si="1"/>
        <v>89440</v>
      </c>
      <c r="H22235" s="49">
        <f t="shared" si="2"/>
        <v>89008</v>
      </c>
    </row>
    <row r="22236">
      <c r="A22236" s="48" t="s">
        <v>2077</v>
      </c>
      <c r="B22236" s="38">
        <v>8125.0</v>
      </c>
      <c r="C22236" s="38" t="s">
        <v>26763</v>
      </c>
      <c r="D22236" s="38" t="str">
        <f>IFERROR(__xludf.DUMMYFUNCTION("REGEXREPLACE(C22236,""-\d+(.*)|--\d+(.*)"","""")"),"CLIRON")</f>
        <v>CLIRON</v>
      </c>
      <c r="E22236" s="38" t="s">
        <v>327</v>
      </c>
      <c r="F22236" s="38" t="s">
        <v>130</v>
      </c>
      <c r="G22236" s="49" t="str">
        <f t="shared" si="1"/>
        <v>08090</v>
      </c>
      <c r="H22236" s="49" t="str">
        <f t="shared" si="2"/>
        <v>08125</v>
      </c>
    </row>
    <row r="22237">
      <c r="A22237" s="48" t="s">
        <v>713</v>
      </c>
      <c r="B22237" s="38">
        <v>82157.0</v>
      </c>
      <c r="C22237" s="38" t="s">
        <v>26764</v>
      </c>
      <c r="D22237" s="38" t="str">
        <f>IFERROR(__xludf.DUMMYFUNCTION("REGEXREPLACE(C22237,""-\d+(.*)|--\d+(.*)"","""")"),"SAINT-BEAUZEIL")</f>
        <v>SAINT-BEAUZEIL</v>
      </c>
      <c r="E22237" s="38" t="s">
        <v>570</v>
      </c>
      <c r="F22237" s="38" t="s">
        <v>94</v>
      </c>
      <c r="G22237" s="49" t="str">
        <f t="shared" si="1"/>
        <v>82150</v>
      </c>
      <c r="H22237" s="49">
        <f t="shared" si="2"/>
        <v>82157</v>
      </c>
    </row>
    <row r="22238">
      <c r="A22238" s="48" t="s">
        <v>7164</v>
      </c>
      <c r="B22238" s="38">
        <v>15154.0</v>
      </c>
      <c r="C22238" s="38" t="s">
        <v>26765</v>
      </c>
      <c r="D22238" s="38" t="str">
        <f>IFERROR(__xludf.DUMMYFUNCTION("REGEXREPLACE(C22238,""-\d+(.*)|--\d+(.*)"","""")"),"POLMINHAC")</f>
        <v>POLMINHAC</v>
      </c>
      <c r="E22238" s="38" t="s">
        <v>632</v>
      </c>
      <c r="F22238" s="38" t="s">
        <v>161</v>
      </c>
      <c r="G22238" s="49" t="str">
        <f t="shared" si="1"/>
        <v>15800</v>
      </c>
      <c r="H22238" s="49">
        <f t="shared" si="2"/>
        <v>15154</v>
      </c>
    </row>
    <row r="22239">
      <c r="A22239" s="48" t="s">
        <v>2328</v>
      </c>
      <c r="B22239" s="38">
        <v>57265.0</v>
      </c>
      <c r="C22239" s="38" t="s">
        <v>26766</v>
      </c>
      <c r="D22239" s="38" t="str">
        <f>IFERROR(__xludf.DUMMYFUNCTION("REGEXREPLACE(C22239,""-\d+(.*)|--\d+(.*)"","""")"),"GUEBESTROFF")</f>
        <v>GUEBESTROFF</v>
      </c>
      <c r="E22239" s="38" t="s">
        <v>303</v>
      </c>
      <c r="F22239" s="38" t="s">
        <v>195</v>
      </c>
      <c r="G22239" s="49" t="str">
        <f t="shared" si="1"/>
        <v>57260</v>
      </c>
      <c r="H22239" s="49">
        <f t="shared" si="2"/>
        <v>57265</v>
      </c>
    </row>
    <row r="22240">
      <c r="A22240" s="48" t="s">
        <v>26767</v>
      </c>
      <c r="B22240" s="38">
        <v>30269.0</v>
      </c>
      <c r="C22240" s="38" t="s">
        <v>26768</v>
      </c>
      <c r="D22240" s="38" t="str">
        <f>IFERROR(__xludf.DUMMYFUNCTION("REGEXREPLACE(C22240,""-\d+(.*)|--\d+(.*)"","""")"),"SAINT-JEAN-DU-GARD")</f>
        <v>SAINT-JEAN-DU-GARD</v>
      </c>
      <c r="E22240" s="38" t="s">
        <v>526</v>
      </c>
      <c r="F22240" s="38" t="s">
        <v>119</v>
      </c>
      <c r="G22240" s="49" t="str">
        <f t="shared" si="1"/>
        <v>30270</v>
      </c>
      <c r="H22240" s="49">
        <f t="shared" si="2"/>
        <v>30269</v>
      </c>
    </row>
    <row r="22241">
      <c r="A22241" s="48" t="s">
        <v>8579</v>
      </c>
      <c r="B22241" s="38">
        <v>32222.0</v>
      </c>
      <c r="C22241" s="38" t="s">
        <v>26769</v>
      </c>
      <c r="D22241" s="38" t="str">
        <f>IFERROR(__xludf.DUMMYFUNCTION("REGEXREPLACE(C22241,""-\d+(.*)|--\d+(.*)"","""")"),"MAGNAN")</f>
        <v>MAGNAN</v>
      </c>
      <c r="E22241" s="38" t="s">
        <v>440</v>
      </c>
      <c r="F22241" s="38" t="s">
        <v>94</v>
      </c>
      <c r="G22241" s="49" t="str">
        <f t="shared" si="1"/>
        <v>32110</v>
      </c>
      <c r="H22241" s="49">
        <f t="shared" si="2"/>
        <v>32222</v>
      </c>
    </row>
    <row r="22242">
      <c r="A22242" s="48" t="s">
        <v>3056</v>
      </c>
      <c r="B22242" s="38">
        <v>24069.0</v>
      </c>
      <c r="C22242" s="38" t="s">
        <v>26770</v>
      </c>
      <c r="D22242" s="38" t="str">
        <f>IFERROR(__xludf.DUMMYFUNCTION("REGEXREPLACE(C22242,""-\d+(.*)|--\d+(.*)"","""")"),"BUSSAC")</f>
        <v>BUSSAC</v>
      </c>
      <c r="E22242" s="38" t="s">
        <v>261</v>
      </c>
      <c r="F22242" s="38" t="s">
        <v>252</v>
      </c>
      <c r="G22242" s="49" t="str">
        <f t="shared" si="1"/>
        <v>24350</v>
      </c>
      <c r="H22242" s="49">
        <f t="shared" si="2"/>
        <v>24069</v>
      </c>
    </row>
    <row r="22243">
      <c r="A22243" s="48" t="s">
        <v>6767</v>
      </c>
      <c r="B22243" s="38">
        <v>15262.0</v>
      </c>
      <c r="C22243" s="38" t="s">
        <v>24578</v>
      </c>
      <c r="D22243" s="38" t="str">
        <f>IFERROR(__xludf.DUMMYFUNCTION("REGEXREPLACE(C22243,""-\d+(.*)|--\d+(.*)"","""")"),"VILLEDIEU")</f>
        <v>VILLEDIEU</v>
      </c>
      <c r="E22243" s="38" t="s">
        <v>632</v>
      </c>
      <c r="F22243" s="38" t="s">
        <v>161</v>
      </c>
      <c r="G22243" s="49" t="str">
        <f t="shared" si="1"/>
        <v>15100</v>
      </c>
      <c r="H22243" s="49">
        <f t="shared" si="2"/>
        <v>15262</v>
      </c>
    </row>
    <row r="22244">
      <c r="A22244" s="48" t="s">
        <v>2650</v>
      </c>
      <c r="B22244" s="38">
        <v>65134.0</v>
      </c>
      <c r="C22244" s="38" t="s">
        <v>26771</v>
      </c>
      <c r="D22244" s="38" t="str">
        <f>IFERROR(__xludf.DUMMYFUNCTION("REGEXREPLACE(C22244,""-\d+(.*)|--\d+(.*)"","""")"),"CASTERETS")</f>
        <v>CASTERETS</v>
      </c>
      <c r="E22244" s="38" t="s">
        <v>200</v>
      </c>
      <c r="F22244" s="38" t="s">
        <v>94</v>
      </c>
      <c r="G22244" s="49" t="str">
        <f t="shared" si="1"/>
        <v>65230</v>
      </c>
      <c r="H22244" s="49">
        <f t="shared" si="2"/>
        <v>65134</v>
      </c>
    </row>
    <row r="22245">
      <c r="A22245" s="48" t="s">
        <v>7265</v>
      </c>
      <c r="B22245" s="38">
        <v>68362.0</v>
      </c>
      <c r="C22245" s="38" t="s">
        <v>26772</v>
      </c>
      <c r="D22245" s="38" t="str">
        <f>IFERROR(__xludf.DUMMYFUNCTION("REGEXREPLACE(C22245,""-\d+(.*)|--\d+(.*)"","""")"),"WENTZWILLER")</f>
        <v>WENTZWILLER</v>
      </c>
      <c r="E22245" s="38" t="s">
        <v>150</v>
      </c>
      <c r="F22245" s="38" t="s">
        <v>151</v>
      </c>
      <c r="G22245" s="49" t="str">
        <f t="shared" si="1"/>
        <v>68220</v>
      </c>
      <c r="H22245" s="49">
        <f t="shared" si="2"/>
        <v>68362</v>
      </c>
    </row>
    <row r="22246">
      <c r="A22246" s="48" t="s">
        <v>2493</v>
      </c>
      <c r="B22246" s="38">
        <v>25410.0</v>
      </c>
      <c r="C22246" s="38" t="s">
        <v>26773</v>
      </c>
      <c r="D22246" s="38" t="str">
        <f>IFERROR(__xludf.DUMMYFUNCTION("REGEXREPLACE(C22246,""-\d+(.*)|--\d+(.*)"","""")"),"MORRE")</f>
        <v>MORRE</v>
      </c>
      <c r="E22246" s="38" t="s">
        <v>213</v>
      </c>
      <c r="F22246" s="38" t="s">
        <v>214</v>
      </c>
      <c r="G22246" s="49" t="str">
        <f t="shared" si="1"/>
        <v>25660</v>
      </c>
      <c r="H22246" s="49">
        <f t="shared" si="2"/>
        <v>25410</v>
      </c>
    </row>
    <row r="22247">
      <c r="A22247" s="48" t="s">
        <v>1321</v>
      </c>
      <c r="B22247" s="38">
        <v>67028.0</v>
      </c>
      <c r="C22247" s="38" t="s">
        <v>26774</v>
      </c>
      <c r="D22247" s="38" t="str">
        <f>IFERROR(__xludf.DUMMYFUNCTION("REGEXREPLACE(C22247,""-\d+(.*)|--\d+(.*)"","""")"),"BENFELD")</f>
        <v>BENFELD</v>
      </c>
      <c r="E22247" s="38" t="s">
        <v>210</v>
      </c>
      <c r="F22247" s="38" t="s">
        <v>151</v>
      </c>
      <c r="G22247" s="49" t="str">
        <f t="shared" si="1"/>
        <v>67230</v>
      </c>
      <c r="H22247" s="49">
        <f t="shared" si="2"/>
        <v>67028</v>
      </c>
    </row>
    <row r="22248">
      <c r="A22248" s="48" t="s">
        <v>3508</v>
      </c>
      <c r="B22248" s="38">
        <v>51239.0</v>
      </c>
      <c r="C22248" s="38" t="s">
        <v>7318</v>
      </c>
      <c r="D22248" s="38" t="str">
        <f>IFERROR(__xludf.DUMMYFUNCTION("REGEXREPLACE(C22248,""-\d+(.*)|--\d+(.*)"","""")"),"ETRECHY")</f>
        <v>ETRECHY</v>
      </c>
      <c r="E22248" s="38" t="s">
        <v>129</v>
      </c>
      <c r="F22248" s="38" t="s">
        <v>130</v>
      </c>
      <c r="G22248" s="49" t="str">
        <f t="shared" si="1"/>
        <v>51130</v>
      </c>
      <c r="H22248" s="49">
        <f t="shared" si="2"/>
        <v>51239</v>
      </c>
    </row>
    <row r="22249">
      <c r="A22249" s="48" t="s">
        <v>15977</v>
      </c>
      <c r="B22249" s="38">
        <v>17222.0</v>
      </c>
      <c r="C22249" s="38" t="s">
        <v>26775</v>
      </c>
      <c r="D22249" s="38" t="str">
        <f>IFERROR(__xludf.DUMMYFUNCTION("REGEXREPLACE(C22249,""-\d+(.*)|--\d+(.*)"","""")"),"MARSILLY")</f>
        <v>MARSILLY</v>
      </c>
      <c r="E22249" s="38" t="s">
        <v>488</v>
      </c>
      <c r="F22249" s="38" t="s">
        <v>338</v>
      </c>
      <c r="G22249" s="49" t="str">
        <f t="shared" si="1"/>
        <v>17137</v>
      </c>
      <c r="H22249" s="49">
        <f t="shared" si="2"/>
        <v>17222</v>
      </c>
    </row>
    <row r="22250">
      <c r="A22250" s="48" t="s">
        <v>11699</v>
      </c>
      <c r="B22250" s="38">
        <v>38409.0</v>
      </c>
      <c r="C22250" s="38" t="s">
        <v>26776</v>
      </c>
      <c r="D22250" s="38" t="str">
        <f>IFERROR(__xludf.DUMMYFUNCTION("REGEXREPLACE(C22250,""-\d+(.*)|--\d+(.*)"","""")"),"SAINT-JUST-DE-CLAIX")</f>
        <v>SAINT-JUST-DE-CLAIX</v>
      </c>
      <c r="E22250" s="38" t="s">
        <v>101</v>
      </c>
      <c r="F22250" s="38" t="s">
        <v>102</v>
      </c>
      <c r="G22250" s="49" t="str">
        <f t="shared" si="1"/>
        <v>38680</v>
      </c>
      <c r="H22250" s="49">
        <f t="shared" si="2"/>
        <v>38409</v>
      </c>
    </row>
    <row r="22251">
      <c r="A22251" s="48" t="s">
        <v>11409</v>
      </c>
      <c r="B22251" s="38">
        <v>94070.0</v>
      </c>
      <c r="C22251" s="38" t="s">
        <v>26777</v>
      </c>
      <c r="D22251" s="38" t="str">
        <f>IFERROR(__xludf.DUMMYFUNCTION("REGEXREPLACE(C22251,""-\d+(.*)|--\d+(.*)"","""")"),"SANTENY")</f>
        <v>SANTENY</v>
      </c>
      <c r="E22251" s="38" t="s">
        <v>561</v>
      </c>
      <c r="F22251" s="38" t="s">
        <v>245</v>
      </c>
      <c r="G22251" s="49" t="str">
        <f t="shared" si="1"/>
        <v>94440</v>
      </c>
      <c r="H22251" s="49">
        <f t="shared" si="2"/>
        <v>94070</v>
      </c>
    </row>
    <row r="22252">
      <c r="A22252" s="48" t="s">
        <v>3486</v>
      </c>
      <c r="B22252" s="38">
        <v>76560.0</v>
      </c>
      <c r="C22252" s="38" t="s">
        <v>26778</v>
      </c>
      <c r="D22252" s="38" t="str">
        <f>IFERROR(__xludf.DUMMYFUNCTION("REGEXREPLACE(C22252,""-\d+(.*)|--\d+(.*)"","""")"),"SAINT-AUBIN-EPINAY")</f>
        <v>SAINT-AUBIN-EPINAY</v>
      </c>
      <c r="E22252" s="38" t="s">
        <v>133</v>
      </c>
      <c r="F22252" s="38" t="s">
        <v>134</v>
      </c>
      <c r="G22252" s="49" t="str">
        <f t="shared" si="1"/>
        <v>76160</v>
      </c>
      <c r="H22252" s="49">
        <f t="shared" si="2"/>
        <v>76560</v>
      </c>
    </row>
    <row r="22253">
      <c r="A22253" s="48" t="s">
        <v>8005</v>
      </c>
      <c r="B22253" s="38">
        <v>23070.0</v>
      </c>
      <c r="C22253" s="38" t="s">
        <v>26779</v>
      </c>
      <c r="D22253" s="38" t="str">
        <f>IFERROR(__xludf.DUMMYFUNCTION("REGEXREPLACE(C22253,""-\d+(.*)|--\d+(.*)"","""")"),"CROZANT")</f>
        <v>CROZANT</v>
      </c>
      <c r="E22253" s="38" t="s">
        <v>97</v>
      </c>
      <c r="F22253" s="38" t="s">
        <v>98</v>
      </c>
      <c r="G22253" s="49" t="str">
        <f t="shared" si="1"/>
        <v>23160</v>
      </c>
      <c r="H22253" s="49">
        <f t="shared" si="2"/>
        <v>23070</v>
      </c>
    </row>
    <row r="22254">
      <c r="A22254" s="48" t="s">
        <v>398</v>
      </c>
      <c r="B22254" s="38">
        <v>39221.0</v>
      </c>
      <c r="C22254" s="38" t="s">
        <v>26780</v>
      </c>
      <c r="D22254" s="38" t="str">
        <f>IFERROR(__xludf.DUMMYFUNCTION("REGEXREPLACE(C22254,""-\d+(.*)|--\d+(.*)"","""")"),"LA FAVIERE")</f>
        <v>LA FAVIERE</v>
      </c>
      <c r="E22254" s="38" t="s">
        <v>400</v>
      </c>
      <c r="F22254" s="38" t="s">
        <v>214</v>
      </c>
      <c r="G22254" s="49" t="str">
        <f t="shared" si="1"/>
        <v>39250</v>
      </c>
      <c r="H22254" s="49">
        <f t="shared" si="2"/>
        <v>39221</v>
      </c>
    </row>
    <row r="22255">
      <c r="A22255" s="48" t="s">
        <v>12127</v>
      </c>
      <c r="B22255" s="38">
        <v>7058.0</v>
      </c>
      <c r="C22255" s="38" t="s">
        <v>26781</v>
      </c>
      <c r="D22255" s="38" t="str">
        <f>IFERROR(__xludf.DUMMYFUNCTION("REGEXREPLACE(C22255,""-\d+(.*)|--\d+(.*)"","""")"),"CHASSIERS")</f>
        <v>CHASSIERS</v>
      </c>
      <c r="E22255" s="38" t="s">
        <v>144</v>
      </c>
      <c r="F22255" s="38" t="s">
        <v>102</v>
      </c>
      <c r="G22255" s="49" t="str">
        <f t="shared" si="1"/>
        <v>07110</v>
      </c>
      <c r="H22255" s="49" t="str">
        <f t="shared" si="2"/>
        <v>07058</v>
      </c>
    </row>
    <row r="22256">
      <c r="A22256" s="48" t="s">
        <v>3612</v>
      </c>
      <c r="B22256" s="38">
        <v>60022.0</v>
      </c>
      <c r="C22256" s="38" t="s">
        <v>10127</v>
      </c>
      <c r="D22256" s="38" t="str">
        <f>IFERROR(__xludf.DUMMYFUNCTION("REGEXREPLACE(C22256,""-\d+(.*)|--\d+(.*)"","""")"),"APREMONT")</f>
        <v>APREMONT</v>
      </c>
      <c r="E22256" s="38" t="s">
        <v>112</v>
      </c>
      <c r="F22256" s="38" t="s">
        <v>113</v>
      </c>
      <c r="G22256" s="49" t="str">
        <f t="shared" si="1"/>
        <v>60300</v>
      </c>
      <c r="H22256" s="49">
        <f t="shared" si="2"/>
        <v>60022</v>
      </c>
    </row>
    <row r="22257">
      <c r="A22257" s="48" t="s">
        <v>1783</v>
      </c>
      <c r="B22257" s="38">
        <v>60161.0</v>
      </c>
      <c r="C22257" s="38" t="s">
        <v>6030</v>
      </c>
      <c r="D22257" s="38" t="str">
        <f>IFERROR(__xludf.DUMMYFUNCTION("REGEXREPLACE(C22257,""-\d+(.*)|--\d+(.*)"","""")"),"CONTEVILLE")</f>
        <v>CONTEVILLE</v>
      </c>
      <c r="E22257" s="38" t="s">
        <v>112</v>
      </c>
      <c r="F22257" s="38" t="s">
        <v>113</v>
      </c>
      <c r="G22257" s="49" t="str">
        <f t="shared" si="1"/>
        <v>60360</v>
      </c>
      <c r="H22257" s="49">
        <f t="shared" si="2"/>
        <v>60161</v>
      </c>
    </row>
    <row r="22258">
      <c r="A22258" s="48" t="s">
        <v>5101</v>
      </c>
      <c r="B22258" s="38">
        <v>54245.0</v>
      </c>
      <c r="C22258" s="38" t="s">
        <v>26782</v>
      </c>
      <c r="D22258" s="38" t="str">
        <f>IFERROR(__xludf.DUMMYFUNCTION("REGEXREPLACE(C22258,""-\d+(.*)|--\d+(.*)"","""")"),"HAIGNEVILLE")</f>
        <v>HAIGNEVILLE</v>
      </c>
      <c r="E22258" s="38" t="s">
        <v>548</v>
      </c>
      <c r="F22258" s="38" t="s">
        <v>195</v>
      </c>
      <c r="G22258" s="49" t="str">
        <f t="shared" si="1"/>
        <v>54290</v>
      </c>
      <c r="H22258" s="49">
        <f t="shared" si="2"/>
        <v>54245</v>
      </c>
    </row>
    <row r="22259">
      <c r="A22259" s="48" t="s">
        <v>5111</v>
      </c>
      <c r="B22259" s="38">
        <v>47180.0</v>
      </c>
      <c r="C22259" s="38" t="s">
        <v>26783</v>
      </c>
      <c r="D22259" s="38" t="str">
        <f>IFERROR(__xludf.DUMMYFUNCTION("REGEXREPLACE(C22259,""-\d+(.*)|--\d+(.*)"","""")"),"MONTAGNAC-SUR-AUVIGNON")</f>
        <v>MONTAGNAC-SUR-AUVIGNON</v>
      </c>
      <c r="E22259" s="38" t="s">
        <v>251</v>
      </c>
      <c r="F22259" s="38" t="s">
        <v>252</v>
      </c>
      <c r="G22259" s="49" t="str">
        <f t="shared" si="1"/>
        <v>47600</v>
      </c>
      <c r="H22259" s="49">
        <f t="shared" si="2"/>
        <v>47180</v>
      </c>
    </row>
    <row r="22260">
      <c r="A22260" s="48" t="s">
        <v>12550</v>
      </c>
      <c r="B22260" s="38">
        <v>22129.0</v>
      </c>
      <c r="C22260" s="38" t="s">
        <v>26784</v>
      </c>
      <c r="D22260" s="38" t="str">
        <f>IFERROR(__xludf.DUMMYFUNCTION("REGEXREPLACE(C22260,""-\d+(.*)|--\d+(.*)"","""")"),"LOC-ENVEL")</f>
        <v>LOC-ENVEL</v>
      </c>
      <c r="E22260" s="38" t="s">
        <v>89</v>
      </c>
      <c r="F22260" s="38" t="s">
        <v>90</v>
      </c>
      <c r="G22260" s="49" t="str">
        <f t="shared" si="1"/>
        <v>22810</v>
      </c>
      <c r="H22260" s="49">
        <f t="shared" si="2"/>
        <v>22129</v>
      </c>
    </row>
    <row r="22261">
      <c r="A22261" s="48" t="s">
        <v>4646</v>
      </c>
      <c r="B22261" s="38">
        <v>79340.0</v>
      </c>
      <c r="C22261" s="38" t="s">
        <v>26785</v>
      </c>
      <c r="D22261" s="38" t="str">
        <f>IFERROR(__xludf.DUMMYFUNCTION("REGEXREPLACE(C22261,""-\d+(.*)|--\d+(.*)"","""")"),"VAUSSEROUX")</f>
        <v>VAUSSEROUX</v>
      </c>
      <c r="E22261" s="38" t="s">
        <v>337</v>
      </c>
      <c r="F22261" s="38" t="s">
        <v>338</v>
      </c>
      <c r="G22261" s="49" t="str">
        <f t="shared" si="1"/>
        <v>79420</v>
      </c>
      <c r="H22261" s="49">
        <f t="shared" si="2"/>
        <v>79340</v>
      </c>
    </row>
    <row r="22262">
      <c r="A22262" s="48" t="s">
        <v>9585</v>
      </c>
      <c r="B22262" s="38">
        <v>25163.0</v>
      </c>
      <c r="C22262" s="38" t="s">
        <v>26786</v>
      </c>
      <c r="D22262" s="38" t="str">
        <f>IFERROR(__xludf.DUMMYFUNCTION("REGEXREPLACE(C22262,""-\d+(.*)|--\d+(.*)"","""")"),"CORCELLE-MIESLOT")</f>
        <v>CORCELLE-MIESLOT</v>
      </c>
      <c r="E22262" s="38" t="s">
        <v>213</v>
      </c>
      <c r="F22262" s="38" t="s">
        <v>214</v>
      </c>
      <c r="G22262" s="49" t="str">
        <f t="shared" si="1"/>
        <v>25640</v>
      </c>
      <c r="H22262" s="49">
        <f t="shared" si="2"/>
        <v>25163</v>
      </c>
    </row>
    <row r="22263">
      <c r="A22263" s="48" t="s">
        <v>1323</v>
      </c>
      <c r="B22263" s="38">
        <v>21379.0</v>
      </c>
      <c r="C22263" s="38" t="s">
        <v>26787</v>
      </c>
      <c r="D22263" s="38" t="str">
        <f>IFERROR(__xludf.DUMMYFUNCTION("REGEXREPLACE(C22263,""-\d+(.*)|--\d+(.*)"","""")"),"MARCHESEUIL")</f>
        <v>MARCHESEUIL</v>
      </c>
      <c r="E22263" s="38" t="s">
        <v>105</v>
      </c>
      <c r="F22263" s="38" t="s">
        <v>106</v>
      </c>
      <c r="G22263" s="49" t="str">
        <f t="shared" si="1"/>
        <v>21430</v>
      </c>
      <c r="H22263" s="49">
        <f t="shared" si="2"/>
        <v>21379</v>
      </c>
    </row>
    <row r="22264">
      <c r="A22264" s="48" t="s">
        <v>4697</v>
      </c>
      <c r="B22264" s="38">
        <v>67156.0</v>
      </c>
      <c r="C22264" s="38" t="s">
        <v>26788</v>
      </c>
      <c r="D22264" s="38" t="str">
        <f>IFERROR(__xludf.DUMMYFUNCTION("REGEXREPLACE(C22264,""-\d+(.*)|--\d+(.*)"","""")"),"GEUDERTHEIM")</f>
        <v>GEUDERTHEIM</v>
      </c>
      <c r="E22264" s="38" t="s">
        <v>210</v>
      </c>
      <c r="F22264" s="38" t="s">
        <v>151</v>
      </c>
      <c r="G22264" s="49" t="str">
        <f t="shared" si="1"/>
        <v>67170</v>
      </c>
      <c r="H22264" s="49">
        <f t="shared" si="2"/>
        <v>67156</v>
      </c>
    </row>
    <row r="22265">
      <c r="A22265" s="48" t="s">
        <v>1317</v>
      </c>
      <c r="B22265" s="38">
        <v>8472.0</v>
      </c>
      <c r="C22265" s="38" t="s">
        <v>26789</v>
      </c>
      <c r="D22265" s="38" t="str">
        <f>IFERROR(__xludf.DUMMYFUNCTION("REGEXREPLACE(C22265,""-\d+(.*)|--\d+(.*)"","""")"),"VIEL-SAINT-REMY")</f>
        <v>VIEL-SAINT-REMY</v>
      </c>
      <c r="E22265" s="38" t="s">
        <v>327</v>
      </c>
      <c r="F22265" s="38" t="s">
        <v>130</v>
      </c>
      <c r="G22265" s="49" t="str">
        <f t="shared" si="1"/>
        <v>08270</v>
      </c>
      <c r="H22265" s="49" t="str">
        <f t="shared" si="2"/>
        <v>08472</v>
      </c>
    </row>
    <row r="22266">
      <c r="A22266" s="48" t="s">
        <v>198</v>
      </c>
      <c r="B22266" s="38">
        <v>65248.0</v>
      </c>
      <c r="C22266" s="38" t="s">
        <v>26790</v>
      </c>
      <c r="D22266" s="38" t="str">
        <f>IFERROR(__xludf.DUMMYFUNCTION("REGEXREPLACE(C22266,""-\d+(.*)|--\d+(.*)"","""")"),"LAHITTE-TOUPIERE")</f>
        <v>LAHITTE-TOUPIERE</v>
      </c>
      <c r="E22266" s="38" t="s">
        <v>200</v>
      </c>
      <c r="F22266" s="38" t="s">
        <v>94</v>
      </c>
      <c r="G22266" s="49" t="str">
        <f t="shared" si="1"/>
        <v>65700</v>
      </c>
      <c r="H22266" s="49">
        <f t="shared" si="2"/>
        <v>65248</v>
      </c>
    </row>
    <row r="22267">
      <c r="A22267" s="48" t="s">
        <v>16457</v>
      </c>
      <c r="B22267" s="38">
        <v>57208.0</v>
      </c>
      <c r="C22267" s="38" t="s">
        <v>26791</v>
      </c>
      <c r="D22267" s="38" t="str">
        <f>IFERROR(__xludf.DUMMYFUNCTION("REGEXREPLACE(C22267,""-\d+(.*)|--\d+(.*)"","""")"),"FARSCHVILLER")</f>
        <v>FARSCHVILLER</v>
      </c>
      <c r="E22267" s="38" t="s">
        <v>303</v>
      </c>
      <c r="F22267" s="38" t="s">
        <v>195</v>
      </c>
      <c r="G22267" s="49" t="str">
        <f t="shared" si="1"/>
        <v>57450</v>
      </c>
      <c r="H22267" s="49">
        <f t="shared" si="2"/>
        <v>57208</v>
      </c>
    </row>
    <row r="22268">
      <c r="A22268" s="48" t="s">
        <v>3196</v>
      </c>
      <c r="B22268" s="38">
        <v>1321.0</v>
      </c>
      <c r="C22268" s="38" t="s">
        <v>26792</v>
      </c>
      <c r="D22268" s="38" t="str">
        <f>IFERROR(__xludf.DUMMYFUNCTION("REGEXREPLACE(C22268,""-\d+(.*)|--\d+(.*)"","""")"),"REVONNAS")</f>
        <v>REVONNAS</v>
      </c>
      <c r="E22268" s="38" t="s">
        <v>255</v>
      </c>
      <c r="F22268" s="38" t="s">
        <v>102</v>
      </c>
      <c r="G22268" s="49" t="str">
        <f t="shared" si="1"/>
        <v>01250</v>
      </c>
      <c r="H22268" s="49" t="str">
        <f t="shared" si="2"/>
        <v>01321</v>
      </c>
    </row>
    <row r="22269">
      <c r="A22269" s="48" t="s">
        <v>26793</v>
      </c>
      <c r="B22269" s="38">
        <v>13216.0</v>
      </c>
      <c r="C22269" s="38" t="s">
        <v>26794</v>
      </c>
      <c r="D22269" s="38" t="str">
        <f>IFERROR(__xludf.DUMMYFUNCTION("REGEXREPLACE(C22269,""-\d+(.*)|--\d+(.*)"","""")"),"MARSEILLE")</f>
        <v>MARSEILLE</v>
      </c>
      <c r="E22269" s="38" t="s">
        <v>980</v>
      </c>
      <c r="F22269" s="38" t="s">
        <v>228</v>
      </c>
      <c r="G22269" s="49" t="str">
        <f t="shared" si="1"/>
        <v>13016</v>
      </c>
      <c r="H22269" s="49">
        <f t="shared" si="2"/>
        <v>13216</v>
      </c>
    </row>
    <row r="22270">
      <c r="A22270" s="48" t="s">
        <v>5513</v>
      </c>
      <c r="B22270" s="38">
        <v>57347.0</v>
      </c>
      <c r="C22270" s="38" t="s">
        <v>26795</v>
      </c>
      <c r="D22270" s="38" t="str">
        <f>IFERROR(__xludf.DUMMYFUNCTION("REGEXREPLACE(C22270,""-\d+(.*)|--\d+(.*)"","""")"),"INSVILLER")</f>
        <v>INSVILLER</v>
      </c>
      <c r="E22270" s="38" t="s">
        <v>303</v>
      </c>
      <c r="F22270" s="38" t="s">
        <v>195</v>
      </c>
      <c r="G22270" s="49" t="str">
        <f t="shared" si="1"/>
        <v>57670</v>
      </c>
      <c r="H22270" s="49">
        <f t="shared" si="2"/>
        <v>57347</v>
      </c>
    </row>
    <row r="22271">
      <c r="A22271" s="48" t="s">
        <v>16789</v>
      </c>
      <c r="B22271" s="38">
        <v>4110.0</v>
      </c>
      <c r="C22271" s="38" t="s">
        <v>26796</v>
      </c>
      <c r="D22271" s="38" t="str">
        <f>IFERROR(__xludf.DUMMYFUNCTION("REGEXREPLACE(C22271,""-\d+(.*)|--\d+(.*)"","""")"),"MALLEMOISSON")</f>
        <v>MALLEMOISSON</v>
      </c>
      <c r="E22271" s="38" t="s">
        <v>662</v>
      </c>
      <c r="F22271" s="38" t="s">
        <v>228</v>
      </c>
      <c r="G22271" s="49" t="str">
        <f t="shared" si="1"/>
        <v>04510</v>
      </c>
      <c r="H22271" s="49" t="str">
        <f t="shared" si="2"/>
        <v>04110</v>
      </c>
    </row>
    <row r="22272">
      <c r="A22272" s="48" t="s">
        <v>26328</v>
      </c>
      <c r="B22272" s="38" t="s">
        <v>26797</v>
      </c>
      <c r="C22272" s="38" t="s">
        <v>26798</v>
      </c>
      <c r="D22272" s="38" t="str">
        <f>IFERROR(__xludf.DUMMYFUNCTION("REGEXREPLACE(C22272,""-\d+(.*)|--\d+(.*)"","""")"),"SPELONCATO")</f>
        <v>SPELONCATO</v>
      </c>
      <c r="E22272" s="38" t="s">
        <v>743</v>
      </c>
      <c r="F22272" s="38" t="s">
        <v>607</v>
      </c>
      <c r="G22272" s="49" t="str">
        <f t="shared" si="1"/>
        <v>20226</v>
      </c>
      <c r="H22272" s="49" t="str">
        <f t="shared" si="2"/>
        <v>2B290</v>
      </c>
    </row>
    <row r="22273">
      <c r="A22273" s="48" t="s">
        <v>5599</v>
      </c>
      <c r="B22273" s="38">
        <v>74118.0</v>
      </c>
      <c r="C22273" s="38" t="s">
        <v>26799</v>
      </c>
      <c r="D22273" s="38" t="str">
        <f>IFERROR(__xludf.DUMMYFUNCTION("REGEXREPLACE(C22273,""-\d+(.*)|--\d+(.*)"","""")"),"ETREMBIERES")</f>
        <v>ETREMBIERES</v>
      </c>
      <c r="E22273" s="38" t="s">
        <v>319</v>
      </c>
      <c r="F22273" s="38" t="s">
        <v>102</v>
      </c>
      <c r="G22273" s="49" t="str">
        <f t="shared" si="1"/>
        <v>74100</v>
      </c>
      <c r="H22273" s="49">
        <f t="shared" si="2"/>
        <v>74118</v>
      </c>
    </row>
    <row r="22274">
      <c r="A22274" s="48" t="s">
        <v>5122</v>
      </c>
      <c r="B22274" s="38">
        <v>62614.0</v>
      </c>
      <c r="C22274" s="38" t="s">
        <v>26800</v>
      </c>
      <c r="D22274" s="38" t="str">
        <f>IFERROR(__xludf.DUMMYFUNCTION("REGEXREPLACE(C22274,""-\d+(.*)|--\d+(.*)"","""")"),"NIELLES-LES-ARDRES")</f>
        <v>NIELLES-LES-ARDRES</v>
      </c>
      <c r="E22274" s="38" t="s">
        <v>109</v>
      </c>
      <c r="F22274" s="38" t="s">
        <v>86</v>
      </c>
      <c r="G22274" s="49" t="str">
        <f t="shared" si="1"/>
        <v>62610</v>
      </c>
      <c r="H22274" s="49">
        <f t="shared" si="2"/>
        <v>62614</v>
      </c>
    </row>
    <row r="22275">
      <c r="A22275" s="48" t="s">
        <v>16366</v>
      </c>
      <c r="B22275" s="38">
        <v>21226.0</v>
      </c>
      <c r="C22275" s="38" t="s">
        <v>26801</v>
      </c>
      <c r="D22275" s="38" t="str">
        <f>IFERROR(__xludf.DUMMYFUNCTION("REGEXREPLACE(C22275,""-\d+(.*)|--\d+(.*)"","""")"),"DARCEY")</f>
        <v>DARCEY</v>
      </c>
      <c r="E22275" s="38" t="s">
        <v>105</v>
      </c>
      <c r="F22275" s="38" t="s">
        <v>106</v>
      </c>
      <c r="G22275" s="49" t="str">
        <f t="shared" si="1"/>
        <v>21150</v>
      </c>
      <c r="H22275" s="49">
        <f t="shared" si="2"/>
        <v>21226</v>
      </c>
    </row>
    <row r="22276">
      <c r="A22276" s="48" t="s">
        <v>4699</v>
      </c>
      <c r="B22276" s="38">
        <v>53195.0</v>
      </c>
      <c r="C22276" s="38" t="s">
        <v>26802</v>
      </c>
      <c r="D22276" s="38" t="str">
        <f>IFERROR(__xludf.DUMMYFUNCTION("REGEXREPLACE(C22276,""-\d+(.*)|--\d+(.*)"","""")"),"SACE")</f>
        <v>SACE</v>
      </c>
      <c r="E22276" s="38" t="s">
        <v>518</v>
      </c>
      <c r="F22276" s="38" t="s">
        <v>180</v>
      </c>
      <c r="G22276" s="49" t="str">
        <f t="shared" si="1"/>
        <v>53470</v>
      </c>
      <c r="H22276" s="49">
        <f t="shared" si="2"/>
        <v>53195</v>
      </c>
    </row>
    <row r="22277">
      <c r="A22277" s="48" t="s">
        <v>580</v>
      </c>
      <c r="B22277" s="38">
        <v>31010.0</v>
      </c>
      <c r="C22277" s="38" t="s">
        <v>7493</v>
      </c>
      <c r="D22277" s="38" t="str">
        <f>IFERROR(__xludf.DUMMYFUNCTION("REGEXREPLACE(C22277,""-\d+(.*)|--\d+(.*)"","""")"),"ANTIGNAC")</f>
        <v>ANTIGNAC</v>
      </c>
      <c r="E22277" s="38" t="s">
        <v>93</v>
      </c>
      <c r="F22277" s="38" t="s">
        <v>94</v>
      </c>
      <c r="G22277" s="49" t="str">
        <f t="shared" si="1"/>
        <v>31110</v>
      </c>
      <c r="H22277" s="49">
        <f t="shared" si="2"/>
        <v>31010</v>
      </c>
    </row>
    <row r="22278">
      <c r="A22278" s="48" t="s">
        <v>3904</v>
      </c>
      <c r="B22278" s="38">
        <v>43233.0</v>
      </c>
      <c r="C22278" s="38" t="s">
        <v>26803</v>
      </c>
      <c r="D22278" s="38" t="str">
        <f>IFERROR(__xludf.DUMMYFUNCTION("REGEXREPLACE(C22278,""-\d+(.*)|--\d+(.*)"","""")"),"SANSSAC-L'EGLISE")</f>
        <v>SANSSAC-L'EGLISE</v>
      </c>
      <c r="E22278" s="38" t="s">
        <v>332</v>
      </c>
      <c r="F22278" s="38" t="s">
        <v>161</v>
      </c>
      <c r="G22278" s="49" t="str">
        <f t="shared" si="1"/>
        <v>43320</v>
      </c>
      <c r="H22278" s="49">
        <f t="shared" si="2"/>
        <v>43233</v>
      </c>
    </row>
    <row r="22279">
      <c r="A22279" s="48" t="s">
        <v>6224</v>
      </c>
      <c r="B22279" s="38">
        <v>38303.0</v>
      </c>
      <c r="C22279" s="38" t="s">
        <v>26804</v>
      </c>
      <c r="D22279" s="38" t="str">
        <f>IFERROR(__xludf.DUMMYFUNCTION("REGEXREPLACE(C22279,""-\d+(.*)|--\d+(.*)"","""")"),"LA PIERRE")</f>
        <v>LA PIERRE</v>
      </c>
      <c r="E22279" s="38" t="s">
        <v>101</v>
      </c>
      <c r="F22279" s="38" t="s">
        <v>102</v>
      </c>
      <c r="G22279" s="49" t="str">
        <f t="shared" si="1"/>
        <v>38570</v>
      </c>
      <c r="H22279" s="49">
        <f t="shared" si="2"/>
        <v>38303</v>
      </c>
    </row>
    <row r="22280">
      <c r="A22280" s="48" t="s">
        <v>2465</v>
      </c>
      <c r="B22280" s="38">
        <v>35270.0</v>
      </c>
      <c r="C22280" s="38" t="s">
        <v>26805</v>
      </c>
      <c r="D22280" s="38" t="str">
        <f>IFERROR(__xludf.DUMMYFUNCTION("REGEXREPLACE(C22280,""-\d+(.*)|--\d+(.*)"","""")"),"SAINT-GEORGES-DE-GREHAIGNE")</f>
        <v>SAINT-GEORGES-DE-GREHAIGNE</v>
      </c>
      <c r="E22280" s="38" t="s">
        <v>347</v>
      </c>
      <c r="F22280" s="38" t="s">
        <v>90</v>
      </c>
      <c r="G22280" s="49" t="str">
        <f t="shared" si="1"/>
        <v>35610</v>
      </c>
      <c r="H22280" s="49">
        <f t="shared" si="2"/>
        <v>35270</v>
      </c>
    </row>
    <row r="22281">
      <c r="A22281" s="48" t="s">
        <v>7496</v>
      </c>
      <c r="B22281" s="38">
        <v>62612.0</v>
      </c>
      <c r="C22281" s="38" t="s">
        <v>26806</v>
      </c>
      <c r="D22281" s="38" t="str">
        <f>IFERROR(__xludf.DUMMYFUNCTION("REGEXREPLACE(C22281,""-\d+(.*)|--\d+(.*)"","""")"),"NEUVIREUIL")</f>
        <v>NEUVIREUIL</v>
      </c>
      <c r="E22281" s="38" t="s">
        <v>109</v>
      </c>
      <c r="F22281" s="38" t="s">
        <v>86</v>
      </c>
      <c r="G22281" s="49" t="str">
        <f t="shared" si="1"/>
        <v>62580</v>
      </c>
      <c r="H22281" s="49">
        <f t="shared" si="2"/>
        <v>62612</v>
      </c>
    </row>
    <row r="22282">
      <c r="A22282" s="48" t="s">
        <v>3161</v>
      </c>
      <c r="B22282" s="38">
        <v>70089.0</v>
      </c>
      <c r="C22282" s="38" t="s">
        <v>26807</v>
      </c>
      <c r="D22282" s="38" t="str">
        <f>IFERROR(__xludf.DUMMYFUNCTION("REGEXREPLACE(C22282,""-\d+(.*)|--\d+(.*)"","""")"),"BOURGUIGNON-LES-MOREY")</f>
        <v>BOURGUIGNON-LES-MOREY</v>
      </c>
      <c r="E22282" s="38" t="s">
        <v>956</v>
      </c>
      <c r="F22282" s="38" t="s">
        <v>214</v>
      </c>
      <c r="G22282" s="49" t="str">
        <f t="shared" si="1"/>
        <v>70120</v>
      </c>
      <c r="H22282" s="49">
        <f t="shared" si="2"/>
        <v>70089</v>
      </c>
    </row>
    <row r="22283">
      <c r="A22283" s="48" t="s">
        <v>9340</v>
      </c>
      <c r="B22283" s="38">
        <v>4143.0</v>
      </c>
      <c r="C22283" s="38" t="s">
        <v>26808</v>
      </c>
      <c r="D22283" s="38" t="str">
        <f>IFERROR(__xludf.DUMMYFUNCTION("REGEXREPLACE(C22283,""-\d+(.*)|--\d+(.*)"","""")"),"ORAISON")</f>
        <v>ORAISON</v>
      </c>
      <c r="E22283" s="38" t="s">
        <v>662</v>
      </c>
      <c r="F22283" s="38" t="s">
        <v>228</v>
      </c>
      <c r="G22283" s="49" t="str">
        <f t="shared" si="1"/>
        <v>04700</v>
      </c>
      <c r="H22283" s="49" t="str">
        <f t="shared" si="2"/>
        <v>04143</v>
      </c>
    </row>
    <row r="22284">
      <c r="A22284" s="48" t="s">
        <v>13512</v>
      </c>
      <c r="B22284" s="38">
        <v>72158.0</v>
      </c>
      <c r="C22284" s="38" t="s">
        <v>26809</v>
      </c>
      <c r="D22284" s="38" t="str">
        <f>IFERROR(__xludf.DUMMYFUNCTION("REGEXREPLACE(C22284,""-\d+(.*)|--\d+(.*)"","""")"),"LAVARE")</f>
        <v>LAVARE</v>
      </c>
      <c r="E22284" s="38" t="s">
        <v>521</v>
      </c>
      <c r="F22284" s="38" t="s">
        <v>180</v>
      </c>
      <c r="G22284" s="49" t="str">
        <f t="shared" si="1"/>
        <v>72390</v>
      </c>
      <c r="H22284" s="49">
        <f t="shared" si="2"/>
        <v>72158</v>
      </c>
    </row>
    <row r="22285">
      <c r="A22285" s="48" t="s">
        <v>671</v>
      </c>
      <c r="B22285" s="38">
        <v>21329.0</v>
      </c>
      <c r="C22285" s="38" t="s">
        <v>7869</v>
      </c>
      <c r="D22285" s="38" t="str">
        <f>IFERROR(__xludf.DUMMYFUNCTION("REGEXREPLACE(C22285,""-\d+(.*)|--\d+(.*)"","""")"),"JUILLY")</f>
        <v>JUILLY</v>
      </c>
      <c r="E22285" s="38" t="s">
        <v>105</v>
      </c>
      <c r="F22285" s="38" t="s">
        <v>106</v>
      </c>
      <c r="G22285" s="49" t="str">
        <f t="shared" si="1"/>
        <v>21140</v>
      </c>
      <c r="H22285" s="49">
        <f t="shared" si="2"/>
        <v>21329</v>
      </c>
    </row>
    <row r="22286">
      <c r="A22286" s="48" t="s">
        <v>415</v>
      </c>
      <c r="B22286" s="38">
        <v>21567.0</v>
      </c>
      <c r="C22286" s="38" t="s">
        <v>26810</v>
      </c>
      <c r="D22286" s="38" t="str">
        <f>IFERROR(__xludf.DUMMYFUNCTION("REGEXREPLACE(C22286,""-\d+(.*)|--\d+(.*)"","""")"),"SAINT-PRIX-LES-ARNAY")</f>
        <v>SAINT-PRIX-LES-ARNAY</v>
      </c>
      <c r="E22286" s="38" t="s">
        <v>105</v>
      </c>
      <c r="F22286" s="38" t="s">
        <v>106</v>
      </c>
      <c r="G22286" s="49" t="str">
        <f t="shared" si="1"/>
        <v>21230</v>
      </c>
      <c r="H22286" s="49">
        <f t="shared" si="2"/>
        <v>21567</v>
      </c>
    </row>
    <row r="22287">
      <c r="A22287" s="48" t="s">
        <v>2946</v>
      </c>
      <c r="B22287" s="38">
        <v>51600.0</v>
      </c>
      <c r="C22287" s="38" t="s">
        <v>26811</v>
      </c>
      <c r="D22287" s="38" t="str">
        <f>IFERROR(__xludf.DUMMYFUNCTION("REGEXREPLACE(C22287,""-\d+(.*)|--\d+(.*)"","""")"),"VAUDESINCOURT")</f>
        <v>VAUDESINCOURT</v>
      </c>
      <c r="E22287" s="38" t="s">
        <v>129</v>
      </c>
      <c r="F22287" s="38" t="s">
        <v>130</v>
      </c>
      <c r="G22287" s="49" t="str">
        <f t="shared" si="1"/>
        <v>51600</v>
      </c>
      <c r="H22287" s="49">
        <f t="shared" si="2"/>
        <v>51600</v>
      </c>
    </row>
    <row r="22288">
      <c r="A22288" s="48" t="s">
        <v>6736</v>
      </c>
      <c r="B22288" s="38">
        <v>31240.0</v>
      </c>
      <c r="C22288" s="38" t="s">
        <v>26812</v>
      </c>
      <c r="D22288" s="38" t="str">
        <f>IFERROR(__xludf.DUMMYFUNCTION("REGEXREPLACE(C22288,""-\d+(.*)|--\d+(.*)"","""")"),"ISSUS")</f>
        <v>ISSUS</v>
      </c>
      <c r="E22288" s="38" t="s">
        <v>93</v>
      </c>
      <c r="F22288" s="38" t="s">
        <v>94</v>
      </c>
      <c r="G22288" s="49" t="str">
        <f t="shared" si="1"/>
        <v>31450</v>
      </c>
      <c r="H22288" s="49">
        <f t="shared" si="2"/>
        <v>31240</v>
      </c>
    </row>
    <row r="22289">
      <c r="A22289" s="48" t="s">
        <v>1332</v>
      </c>
      <c r="B22289" s="38">
        <v>51470.0</v>
      </c>
      <c r="C22289" s="38" t="s">
        <v>26813</v>
      </c>
      <c r="D22289" s="38" t="str">
        <f>IFERROR(__xludf.DUMMYFUNCTION("REGEXREPLACE(C22289,""-\d+(.*)|--\d+(.*)"","""")"),"ROUVROY-RIPONT")</f>
        <v>ROUVROY-RIPONT</v>
      </c>
      <c r="E22289" s="38" t="s">
        <v>129</v>
      </c>
      <c r="F22289" s="38" t="s">
        <v>130</v>
      </c>
      <c r="G22289" s="49" t="str">
        <f t="shared" si="1"/>
        <v>51800</v>
      </c>
      <c r="H22289" s="49">
        <f t="shared" si="2"/>
        <v>51470</v>
      </c>
    </row>
    <row r="22290">
      <c r="A22290" s="48" t="s">
        <v>2532</v>
      </c>
      <c r="B22290" s="38">
        <v>51360.0</v>
      </c>
      <c r="C22290" s="38" t="s">
        <v>26814</v>
      </c>
      <c r="D22290" s="38" t="str">
        <f>IFERROR(__xludf.DUMMYFUNCTION("REGEXREPLACE(C22290,""-\d+(.*)|--\d+(.*)"","""")"),"LE MEIX-SAINT-EPOING")</f>
        <v>LE MEIX-SAINT-EPOING</v>
      </c>
      <c r="E22290" s="38" t="s">
        <v>129</v>
      </c>
      <c r="F22290" s="38" t="s">
        <v>130</v>
      </c>
      <c r="G22290" s="49" t="str">
        <f t="shared" si="1"/>
        <v>51120</v>
      </c>
      <c r="H22290" s="49">
        <f t="shared" si="2"/>
        <v>51360</v>
      </c>
    </row>
    <row r="22291">
      <c r="A22291" s="48" t="s">
        <v>13255</v>
      </c>
      <c r="B22291" s="38">
        <v>35276.0</v>
      </c>
      <c r="C22291" s="38" t="s">
        <v>26815</v>
      </c>
      <c r="D22291" s="38" t="str">
        <f>IFERROR(__xludf.DUMMYFUNCTION("REGEXREPLACE(C22291,""-\d+(.*)|--\d+(.*)"","""")"),"SAINT-GONDRAN")</f>
        <v>SAINT-GONDRAN</v>
      </c>
      <c r="E22291" s="38" t="s">
        <v>347</v>
      </c>
      <c r="F22291" s="38" t="s">
        <v>90</v>
      </c>
      <c r="G22291" s="49" t="str">
        <f t="shared" si="1"/>
        <v>35630</v>
      </c>
      <c r="H22291" s="49">
        <f t="shared" si="2"/>
        <v>35276</v>
      </c>
    </row>
    <row r="22292">
      <c r="A22292" s="48" t="s">
        <v>463</v>
      </c>
      <c r="B22292" s="38">
        <v>12096.0</v>
      </c>
      <c r="C22292" s="38" t="s">
        <v>26816</v>
      </c>
      <c r="D22292" s="38" t="str">
        <f>IFERROR(__xludf.DUMMYFUNCTION("REGEXREPLACE(C22292,""-\d+(.*)|--\d+(.*)"","""")"),"ESPALION")</f>
        <v>ESPALION</v>
      </c>
      <c r="E22292" s="38" t="s">
        <v>465</v>
      </c>
      <c r="F22292" s="38" t="s">
        <v>94</v>
      </c>
      <c r="G22292" s="49" t="str">
        <f t="shared" si="1"/>
        <v>12500</v>
      </c>
      <c r="H22292" s="49">
        <f t="shared" si="2"/>
        <v>12096</v>
      </c>
    </row>
    <row r="22293">
      <c r="A22293" s="48" t="s">
        <v>16765</v>
      </c>
      <c r="B22293" s="38">
        <v>76493.0</v>
      </c>
      <c r="C22293" s="38" t="s">
        <v>26817</v>
      </c>
      <c r="D22293" s="38" t="str">
        <f>IFERROR(__xludf.DUMMYFUNCTION("REGEXREPLACE(C22293,""-\d+(.*)|--\d+(.*)"","""")"),"PALUEL")</f>
        <v>PALUEL</v>
      </c>
      <c r="E22293" s="38" t="s">
        <v>133</v>
      </c>
      <c r="F22293" s="38" t="s">
        <v>134</v>
      </c>
      <c r="G22293" s="49" t="str">
        <f t="shared" si="1"/>
        <v>76450</v>
      </c>
      <c r="H22293" s="49">
        <f t="shared" si="2"/>
        <v>76493</v>
      </c>
    </row>
    <row r="22294">
      <c r="A22294" s="48" t="s">
        <v>1718</v>
      </c>
      <c r="B22294" s="38">
        <v>43114.0</v>
      </c>
      <c r="C22294" s="38" t="s">
        <v>26818</v>
      </c>
      <c r="D22294" s="38" t="str">
        <f>IFERROR(__xludf.DUMMYFUNCTION("REGEXREPLACE(C22294,""-\d+(.*)|--\d+(.*)"","""")"),"LAPTE")</f>
        <v>LAPTE</v>
      </c>
      <c r="E22294" s="38" t="s">
        <v>332</v>
      </c>
      <c r="F22294" s="38" t="s">
        <v>161</v>
      </c>
      <c r="G22294" s="49" t="str">
        <f t="shared" si="1"/>
        <v>43200</v>
      </c>
      <c r="H22294" s="49">
        <f t="shared" si="2"/>
        <v>43114</v>
      </c>
    </row>
    <row r="22295">
      <c r="A22295" s="48" t="s">
        <v>6409</v>
      </c>
      <c r="B22295" s="38">
        <v>79354.0</v>
      </c>
      <c r="C22295" s="38" t="s">
        <v>26819</v>
      </c>
      <c r="D22295" s="38" t="str">
        <f>IFERROR(__xludf.DUMMYFUNCTION("REGEXREPLACE(C22295,""-\d+(.*)|--\d+(.*)"","""")"),"VOUHE")</f>
        <v>VOUHE</v>
      </c>
      <c r="E22295" s="38" t="s">
        <v>337</v>
      </c>
      <c r="F22295" s="38" t="s">
        <v>338</v>
      </c>
      <c r="G22295" s="49" t="str">
        <f t="shared" si="1"/>
        <v>79310</v>
      </c>
      <c r="H22295" s="49">
        <f t="shared" si="2"/>
        <v>79354</v>
      </c>
    </row>
    <row r="22296">
      <c r="A22296" s="48" t="s">
        <v>1966</v>
      </c>
      <c r="B22296" s="38">
        <v>2165.0</v>
      </c>
      <c r="C22296" s="38" t="s">
        <v>1442</v>
      </c>
      <c r="D22296" s="38" t="str">
        <f>IFERROR(__xludf.DUMMYFUNCTION("REGEXREPLACE(C22296,""-\d+(.*)|--\d+(.*)"","""")"),"CHARMES")</f>
        <v>CHARMES</v>
      </c>
      <c r="E22296" s="38" t="s">
        <v>191</v>
      </c>
      <c r="F22296" s="38" t="s">
        <v>113</v>
      </c>
      <c r="G22296" s="49" t="str">
        <f t="shared" si="1"/>
        <v>02800</v>
      </c>
      <c r="H22296" s="49" t="str">
        <f t="shared" si="2"/>
        <v>02165</v>
      </c>
    </row>
    <row r="22297">
      <c r="A22297" s="48" t="s">
        <v>26820</v>
      </c>
      <c r="B22297" s="38">
        <v>94073.0</v>
      </c>
      <c r="C22297" s="38" t="s">
        <v>26821</v>
      </c>
      <c r="D22297" s="38" t="str">
        <f>IFERROR(__xludf.DUMMYFUNCTION("REGEXREPLACE(C22297,""-\d+(.*)|--\d+(.*)"","""")"),"THIAIS")</f>
        <v>THIAIS</v>
      </c>
      <c r="E22297" s="38" t="s">
        <v>561</v>
      </c>
      <c r="F22297" s="38" t="s">
        <v>245</v>
      </c>
      <c r="G22297" s="49" t="str">
        <f t="shared" si="1"/>
        <v>94320</v>
      </c>
      <c r="H22297" s="49">
        <f t="shared" si="2"/>
        <v>94073</v>
      </c>
    </row>
    <row r="22298">
      <c r="A22298" s="48" t="s">
        <v>1592</v>
      </c>
      <c r="B22298" s="38">
        <v>40112.0</v>
      </c>
      <c r="C22298" s="38" t="s">
        <v>26822</v>
      </c>
      <c r="D22298" s="38" t="str">
        <f>IFERROR(__xludf.DUMMYFUNCTION("REGEXREPLACE(C22298,""-\d+(.*)|--\d+(.*)"","""")"),"GIBRET")</f>
        <v>GIBRET</v>
      </c>
      <c r="E22298" s="38" t="s">
        <v>281</v>
      </c>
      <c r="F22298" s="38" t="s">
        <v>252</v>
      </c>
      <c r="G22298" s="49" t="str">
        <f t="shared" si="1"/>
        <v>40380</v>
      </c>
      <c r="H22298" s="49">
        <f t="shared" si="2"/>
        <v>40112</v>
      </c>
    </row>
    <row r="22299">
      <c r="A22299" s="48" t="s">
        <v>580</v>
      </c>
      <c r="B22299" s="38">
        <v>31500.0</v>
      </c>
      <c r="C22299" s="38" t="s">
        <v>26823</v>
      </c>
      <c r="D22299" s="38" t="str">
        <f>IFERROR(__xludf.DUMMYFUNCTION("REGEXREPLACE(C22299,""-\d+(.*)|--\d+(.*)"","""")"),"SAINT-MAMET")</f>
        <v>SAINT-MAMET</v>
      </c>
      <c r="E22299" s="38" t="s">
        <v>93</v>
      </c>
      <c r="F22299" s="38" t="s">
        <v>94</v>
      </c>
      <c r="G22299" s="49" t="str">
        <f t="shared" si="1"/>
        <v>31110</v>
      </c>
      <c r="H22299" s="49">
        <f t="shared" si="2"/>
        <v>31500</v>
      </c>
    </row>
    <row r="22300">
      <c r="A22300" s="48" t="s">
        <v>5842</v>
      </c>
      <c r="B22300" s="38">
        <v>61350.0</v>
      </c>
      <c r="C22300" s="38" t="s">
        <v>26824</v>
      </c>
      <c r="D22300" s="38" t="str">
        <f>IFERROR(__xludf.DUMMYFUNCTION("REGEXREPLACE(C22300,""-\d+(.*)|--\d+(.*)"","""")"),"LA ROCHE-MABILE")</f>
        <v>LA ROCHE-MABILE</v>
      </c>
      <c r="E22300" s="38" t="s">
        <v>141</v>
      </c>
      <c r="F22300" s="38" t="s">
        <v>138</v>
      </c>
      <c r="G22300" s="49" t="str">
        <f t="shared" si="1"/>
        <v>61420</v>
      </c>
      <c r="H22300" s="49">
        <f t="shared" si="2"/>
        <v>61350</v>
      </c>
    </row>
    <row r="22301">
      <c r="A22301" s="48" t="s">
        <v>1918</v>
      </c>
      <c r="B22301" s="38">
        <v>10319.0</v>
      </c>
      <c r="C22301" s="38" t="s">
        <v>26825</v>
      </c>
      <c r="D22301" s="38" t="str">
        <f>IFERROR(__xludf.DUMMYFUNCTION("REGEXREPLACE(C22301,""-\d+(.*)|--\d+(.*)"","""")"),"RIGNY-LE-FERRON")</f>
        <v>RIGNY-LE-FERRON</v>
      </c>
      <c r="E22301" s="38" t="s">
        <v>147</v>
      </c>
      <c r="F22301" s="38" t="s">
        <v>130</v>
      </c>
      <c r="G22301" s="49" t="str">
        <f t="shared" si="1"/>
        <v>10160</v>
      </c>
      <c r="H22301" s="49">
        <f t="shared" si="2"/>
        <v>10319</v>
      </c>
    </row>
    <row r="22302">
      <c r="A22302" s="48" t="s">
        <v>13594</v>
      </c>
      <c r="B22302" s="38">
        <v>59034.0</v>
      </c>
      <c r="C22302" s="38" t="s">
        <v>26826</v>
      </c>
      <c r="D22302" s="38" t="str">
        <f>IFERROR(__xludf.DUMMYFUNCTION("REGEXREPLACE(C22302,""-\d+(.*)|--\d+(.*)"","""")"),"AVELIN")</f>
        <v>AVELIN</v>
      </c>
      <c r="E22302" s="38" t="s">
        <v>85</v>
      </c>
      <c r="F22302" s="38" t="s">
        <v>86</v>
      </c>
      <c r="G22302" s="49" t="str">
        <f t="shared" si="1"/>
        <v>59710</v>
      </c>
      <c r="H22302" s="49">
        <f t="shared" si="2"/>
        <v>59034</v>
      </c>
    </row>
    <row r="22303">
      <c r="A22303" s="48" t="s">
        <v>26827</v>
      </c>
      <c r="B22303" s="38">
        <v>95254.0</v>
      </c>
      <c r="C22303" s="38" t="s">
        <v>26828</v>
      </c>
      <c r="D22303" s="38" t="str">
        <f>IFERROR(__xludf.DUMMYFUNCTION("REGEXREPLACE(C22303,""-\d+(.*)|--\d+(.*)"","""")"),"FREMECOURT")</f>
        <v>FREMECOURT</v>
      </c>
      <c r="E22303" s="38" t="s">
        <v>541</v>
      </c>
      <c r="F22303" s="38" t="s">
        <v>245</v>
      </c>
      <c r="G22303" s="49" t="str">
        <f t="shared" si="1"/>
        <v>95830</v>
      </c>
      <c r="H22303" s="49">
        <f t="shared" si="2"/>
        <v>95254</v>
      </c>
    </row>
    <row r="22304">
      <c r="A22304" s="48" t="s">
        <v>11240</v>
      </c>
      <c r="B22304" s="38">
        <v>51487.0</v>
      </c>
      <c r="C22304" s="38" t="s">
        <v>26829</v>
      </c>
      <c r="D22304" s="38" t="str">
        <f>IFERROR(__xludf.DUMMYFUNCTION("REGEXREPLACE(C22304,""-\d+(.*)|--\d+(.*)"","""")"),"SAINT-HILAIRE-LE-PETIT")</f>
        <v>SAINT-HILAIRE-LE-PETIT</v>
      </c>
      <c r="E22304" s="38" t="s">
        <v>129</v>
      </c>
      <c r="F22304" s="38" t="s">
        <v>130</v>
      </c>
      <c r="G22304" s="49" t="str">
        <f t="shared" si="1"/>
        <v>51490</v>
      </c>
      <c r="H22304" s="49">
        <f t="shared" si="2"/>
        <v>51487</v>
      </c>
    </row>
    <row r="22305">
      <c r="A22305" s="48" t="s">
        <v>2170</v>
      </c>
      <c r="B22305" s="38">
        <v>80033.0</v>
      </c>
      <c r="C22305" s="38" t="s">
        <v>26830</v>
      </c>
      <c r="D22305" s="38" t="str">
        <f>IFERROR(__xludf.DUMMYFUNCTION("REGEXREPLACE(C22305,""-\d+(.*)|--\d+(.*)"","""")"),"ASSEVILLERS")</f>
        <v>ASSEVILLERS</v>
      </c>
      <c r="E22305" s="38" t="s">
        <v>224</v>
      </c>
      <c r="F22305" s="38" t="s">
        <v>113</v>
      </c>
      <c r="G22305" s="49" t="str">
        <f t="shared" si="1"/>
        <v>80200</v>
      </c>
      <c r="H22305" s="49">
        <f t="shared" si="2"/>
        <v>80033</v>
      </c>
    </row>
    <row r="22306">
      <c r="A22306" s="48" t="s">
        <v>4557</v>
      </c>
      <c r="B22306" s="38">
        <v>46231.0</v>
      </c>
      <c r="C22306" s="38" t="s">
        <v>26831</v>
      </c>
      <c r="D22306" s="38" t="str">
        <f>IFERROR(__xludf.DUMMYFUNCTION("REGEXREPLACE(C22306,""-\d+(.*)|--\d+(.*)"","""")"),"PUY-L'EVEQUE")</f>
        <v>PUY-L'EVEQUE</v>
      </c>
      <c r="E22306" s="38" t="s">
        <v>185</v>
      </c>
      <c r="F22306" s="38" t="s">
        <v>94</v>
      </c>
      <c r="G22306" s="49" t="str">
        <f t="shared" si="1"/>
        <v>46700</v>
      </c>
      <c r="H22306" s="49">
        <f t="shared" si="2"/>
        <v>46231</v>
      </c>
    </row>
    <row r="22307">
      <c r="A22307" s="48" t="s">
        <v>22855</v>
      </c>
      <c r="B22307" s="38">
        <v>2239.0</v>
      </c>
      <c r="C22307" s="38" t="s">
        <v>26832</v>
      </c>
      <c r="D22307" s="38" t="str">
        <f>IFERROR(__xludf.DUMMYFUNCTION("REGEXREPLACE(C22307,""-\d+(.*)|--\d+(.*)"","""")"),"CREZANCY")</f>
        <v>CREZANCY</v>
      </c>
      <c r="E22307" s="38" t="s">
        <v>191</v>
      </c>
      <c r="F22307" s="38" t="s">
        <v>113</v>
      </c>
      <c r="G22307" s="49" t="str">
        <f t="shared" si="1"/>
        <v>02650</v>
      </c>
      <c r="H22307" s="49" t="str">
        <f t="shared" si="2"/>
        <v>02239</v>
      </c>
    </row>
    <row r="22308">
      <c r="A22308" s="48" t="s">
        <v>5292</v>
      </c>
      <c r="B22308" s="38">
        <v>1136.0</v>
      </c>
      <c r="C22308" s="38" t="s">
        <v>26833</v>
      </c>
      <c r="D22308" s="38" t="str">
        <f>IFERROR(__xludf.DUMMYFUNCTION("REGEXREPLACE(C22308,""-\d+(.*)|--\d+(.*)"","""")"),"CRUZILLES-LES-MEPILLAT")</f>
        <v>CRUZILLES-LES-MEPILLAT</v>
      </c>
      <c r="E22308" s="38" t="s">
        <v>255</v>
      </c>
      <c r="F22308" s="38" t="s">
        <v>102</v>
      </c>
      <c r="G22308" s="49" t="str">
        <f t="shared" si="1"/>
        <v>01290</v>
      </c>
      <c r="H22308" s="49" t="str">
        <f t="shared" si="2"/>
        <v>01136</v>
      </c>
    </row>
    <row r="22309">
      <c r="A22309" s="48" t="s">
        <v>2033</v>
      </c>
      <c r="B22309" s="38">
        <v>18022.0</v>
      </c>
      <c r="C22309" s="38" t="s">
        <v>26834</v>
      </c>
      <c r="D22309" s="38" t="str">
        <f>IFERROR(__xludf.DUMMYFUNCTION("REGEXREPLACE(C22309,""-\d+(.*)|--\d+(.*)"","""")"),"BARLIEU")</f>
        <v>BARLIEU</v>
      </c>
      <c r="E22309" s="38" t="s">
        <v>504</v>
      </c>
      <c r="F22309" s="38" t="s">
        <v>123</v>
      </c>
      <c r="G22309" s="49" t="str">
        <f t="shared" si="1"/>
        <v>18260</v>
      </c>
      <c r="H22309" s="49">
        <f t="shared" si="2"/>
        <v>18022</v>
      </c>
    </row>
    <row r="22310">
      <c r="A22310" s="48" t="s">
        <v>6474</v>
      </c>
      <c r="B22310" s="38">
        <v>61418.0</v>
      </c>
      <c r="C22310" s="38" t="s">
        <v>26835</v>
      </c>
      <c r="D22310" s="38" t="str">
        <f>IFERROR(__xludf.DUMMYFUNCTION("REGEXREPLACE(C22310,""-\d+(.*)|--\d+(.*)"","""")"),"SAINT-MARD-DE-RENO")</f>
        <v>SAINT-MARD-DE-RENO</v>
      </c>
      <c r="E22310" s="38" t="s">
        <v>141</v>
      </c>
      <c r="F22310" s="38" t="s">
        <v>138</v>
      </c>
      <c r="G22310" s="49" t="str">
        <f t="shared" si="1"/>
        <v>61400</v>
      </c>
      <c r="H22310" s="49">
        <f t="shared" si="2"/>
        <v>61418</v>
      </c>
    </row>
    <row r="22311">
      <c r="A22311" s="48" t="s">
        <v>3283</v>
      </c>
      <c r="B22311" s="38">
        <v>52420.0</v>
      </c>
      <c r="C22311" s="38" t="s">
        <v>26836</v>
      </c>
      <c r="D22311" s="38" t="str">
        <f>IFERROR(__xludf.DUMMYFUNCTION("REGEXREPLACE(C22311,""-\d+(.*)|--\d+(.*)"","""")"),"REYNEL")</f>
        <v>REYNEL</v>
      </c>
      <c r="E22311" s="38" t="s">
        <v>234</v>
      </c>
      <c r="F22311" s="38" t="s">
        <v>130</v>
      </c>
      <c r="G22311" s="49" t="str">
        <f t="shared" si="1"/>
        <v>52700</v>
      </c>
      <c r="H22311" s="49">
        <f t="shared" si="2"/>
        <v>52420</v>
      </c>
    </row>
    <row r="22312">
      <c r="A22312" s="48" t="s">
        <v>5793</v>
      </c>
      <c r="B22312" s="38">
        <v>54234.0</v>
      </c>
      <c r="C22312" s="38" t="s">
        <v>26837</v>
      </c>
      <c r="D22312" s="38" t="str">
        <f>IFERROR(__xludf.DUMMYFUNCTION("REGEXREPLACE(C22312,""-\d+(.*)|--\d+(.*)"","""")"),"GORCY")</f>
        <v>GORCY</v>
      </c>
      <c r="E22312" s="38" t="s">
        <v>548</v>
      </c>
      <c r="F22312" s="38" t="s">
        <v>195</v>
      </c>
      <c r="G22312" s="49" t="str">
        <f t="shared" si="1"/>
        <v>54730</v>
      </c>
      <c r="H22312" s="49">
        <f t="shared" si="2"/>
        <v>54234</v>
      </c>
    </row>
    <row r="22313">
      <c r="A22313" s="48" t="s">
        <v>26838</v>
      </c>
      <c r="B22313" s="38">
        <v>51506.0</v>
      </c>
      <c r="C22313" s="38" t="s">
        <v>26839</v>
      </c>
      <c r="D22313" s="38" t="str">
        <f>IFERROR(__xludf.DUMMYFUNCTION("REGEXREPLACE(C22313,""-\d+(.*)|--\d+(.*)"","""")"),"SAINT-MEMMIE")</f>
        <v>SAINT-MEMMIE</v>
      </c>
      <c r="E22313" s="38" t="s">
        <v>129</v>
      </c>
      <c r="F22313" s="38" t="s">
        <v>130</v>
      </c>
      <c r="G22313" s="49" t="str">
        <f t="shared" si="1"/>
        <v>51470</v>
      </c>
      <c r="H22313" s="49">
        <f t="shared" si="2"/>
        <v>51506</v>
      </c>
    </row>
    <row r="22314">
      <c r="A22314" s="48" t="s">
        <v>2659</v>
      </c>
      <c r="B22314" s="38">
        <v>80639.0</v>
      </c>
      <c r="C22314" s="38" t="s">
        <v>26840</v>
      </c>
      <c r="D22314" s="38" t="str">
        <f>IFERROR(__xludf.DUMMYFUNCTION("REGEXREPLACE(C22314,""-\d+(.*)|--\d+(.*)"","""")"),"POULAINVILLE")</f>
        <v>POULAINVILLE</v>
      </c>
      <c r="E22314" s="38" t="s">
        <v>224</v>
      </c>
      <c r="F22314" s="38" t="s">
        <v>113</v>
      </c>
      <c r="G22314" s="49" t="str">
        <f t="shared" si="1"/>
        <v>80260</v>
      </c>
      <c r="H22314" s="49">
        <f t="shared" si="2"/>
        <v>80639</v>
      </c>
    </row>
    <row r="22315">
      <c r="A22315" s="48" t="s">
        <v>1128</v>
      </c>
      <c r="B22315" s="38">
        <v>2133.0</v>
      </c>
      <c r="C22315" s="38" t="s">
        <v>26841</v>
      </c>
      <c r="D22315" s="38" t="str">
        <f>IFERROR(__xludf.DUMMYFUNCTION("REGEXREPLACE(C22315,""-\d+(.*)|--\d+(.*)"","""")"),"BUCY-LES-PIERREPONT")</f>
        <v>BUCY-LES-PIERREPONT</v>
      </c>
      <c r="E22315" s="38" t="s">
        <v>191</v>
      </c>
      <c r="F22315" s="38" t="s">
        <v>113</v>
      </c>
      <c r="G22315" s="49" t="str">
        <f t="shared" si="1"/>
        <v>02350</v>
      </c>
      <c r="H22315" s="49" t="str">
        <f t="shared" si="2"/>
        <v>02133</v>
      </c>
    </row>
    <row r="22316">
      <c r="A22316" s="48" t="s">
        <v>972</v>
      </c>
      <c r="B22316" s="38">
        <v>37190.0</v>
      </c>
      <c r="C22316" s="38" t="s">
        <v>26842</v>
      </c>
      <c r="D22316" s="38" t="str">
        <f>IFERROR(__xludf.DUMMYFUNCTION("REGEXREPLACE(C22316,""-\d+(.*)|--\d+(.*)"","""")"),"PUSSIGNY")</f>
        <v>PUSSIGNY</v>
      </c>
      <c r="E22316" s="38" t="s">
        <v>205</v>
      </c>
      <c r="F22316" s="38" t="s">
        <v>123</v>
      </c>
      <c r="G22316" s="49" t="str">
        <f t="shared" si="1"/>
        <v>37800</v>
      </c>
      <c r="H22316" s="49">
        <f t="shared" si="2"/>
        <v>37190</v>
      </c>
    </row>
    <row r="22317">
      <c r="A22317" s="48" t="s">
        <v>3077</v>
      </c>
      <c r="B22317" s="38">
        <v>32376.0</v>
      </c>
      <c r="C22317" s="38" t="s">
        <v>18365</v>
      </c>
      <c r="D22317" s="38" t="str">
        <f>IFERROR(__xludf.DUMMYFUNCTION("REGEXREPLACE(C22317,""-\d+(.*)|--\d+(.*)"","""")"),"SAINTE-GEMME")</f>
        <v>SAINTE-GEMME</v>
      </c>
      <c r="E22317" s="38" t="s">
        <v>440</v>
      </c>
      <c r="F22317" s="38" t="s">
        <v>94</v>
      </c>
      <c r="G22317" s="49" t="str">
        <f t="shared" si="1"/>
        <v>32120</v>
      </c>
      <c r="H22317" s="49">
        <f t="shared" si="2"/>
        <v>32376</v>
      </c>
    </row>
    <row r="22318">
      <c r="A22318" s="48" t="s">
        <v>612</v>
      </c>
      <c r="B22318" s="38">
        <v>69133.0</v>
      </c>
      <c r="C22318" s="38" t="s">
        <v>14211</v>
      </c>
      <c r="D22318" s="38" t="str">
        <f>IFERROR(__xludf.DUMMYFUNCTION("REGEXREPLACE(C22318,""-\d+(.*)|--\d+(.*)"","""")"),"MILLERY")</f>
        <v>MILLERY</v>
      </c>
      <c r="E22318" s="38" t="s">
        <v>350</v>
      </c>
      <c r="F22318" s="38" t="s">
        <v>102</v>
      </c>
      <c r="G22318" s="49" t="str">
        <f t="shared" si="1"/>
        <v>69390</v>
      </c>
      <c r="H22318" s="49">
        <f t="shared" si="2"/>
        <v>69133</v>
      </c>
    </row>
    <row r="22319">
      <c r="A22319" s="48" t="s">
        <v>5311</v>
      </c>
      <c r="B22319" s="38">
        <v>55051.0</v>
      </c>
      <c r="C22319" s="38" t="s">
        <v>26843</v>
      </c>
      <c r="D22319" s="38" t="str">
        <f>IFERROR(__xludf.DUMMYFUNCTION("REGEXREPLACE(C22319,""-\d+(.*)|--\d+(.*)"","""")"),"BIENCOURT-SUR-ORGE")</f>
        <v>BIENCOURT-SUR-ORGE</v>
      </c>
      <c r="E22319" s="38" t="s">
        <v>322</v>
      </c>
      <c r="F22319" s="38" t="s">
        <v>195</v>
      </c>
      <c r="G22319" s="49" t="str">
        <f t="shared" si="1"/>
        <v>55290</v>
      </c>
      <c r="H22319" s="49">
        <f t="shared" si="2"/>
        <v>55051</v>
      </c>
    </row>
    <row r="22320">
      <c r="A22320" s="48" t="s">
        <v>3212</v>
      </c>
      <c r="B22320" s="38">
        <v>64422.0</v>
      </c>
      <c r="C22320" s="38" t="s">
        <v>26844</v>
      </c>
      <c r="D22320" s="38" t="str">
        <f>IFERROR(__xludf.DUMMYFUNCTION("REGEXREPLACE(C22320,""-\d+(.*)|--\d+(.*)"","""")"),"OLORON-SAINTE-MARIE")</f>
        <v>OLORON-SAINTE-MARIE</v>
      </c>
      <c r="E22320" s="38" t="s">
        <v>268</v>
      </c>
      <c r="F22320" s="38" t="s">
        <v>252</v>
      </c>
      <c r="G22320" s="49" t="str">
        <f t="shared" si="1"/>
        <v>64400</v>
      </c>
      <c r="H22320" s="49">
        <f t="shared" si="2"/>
        <v>64422</v>
      </c>
    </row>
    <row r="22321">
      <c r="A22321" s="48" t="s">
        <v>23792</v>
      </c>
      <c r="B22321" s="38">
        <v>3279.0</v>
      </c>
      <c r="C22321" s="38" t="s">
        <v>26845</v>
      </c>
      <c r="D22321" s="38" t="str">
        <f>IFERROR(__xludf.DUMMYFUNCTION("REGEXREPLACE(C22321,""-\d+(.*)|--\d+(.*)"","""")"),"TEILLET-ARGENTY")</f>
        <v>TEILLET-ARGENTY</v>
      </c>
      <c r="E22321" s="38" t="s">
        <v>160</v>
      </c>
      <c r="F22321" s="38" t="s">
        <v>161</v>
      </c>
      <c r="G22321" s="49" t="str">
        <f t="shared" si="1"/>
        <v>03410</v>
      </c>
      <c r="H22321" s="49" t="str">
        <f t="shared" si="2"/>
        <v>03279</v>
      </c>
    </row>
    <row r="22322">
      <c r="A22322" s="48" t="s">
        <v>1731</v>
      </c>
      <c r="B22322" s="38">
        <v>38010.0</v>
      </c>
      <c r="C22322" s="38" t="s">
        <v>26846</v>
      </c>
      <c r="D22322" s="38" t="str">
        <f>IFERROR(__xludf.DUMMYFUNCTION("REGEXREPLACE(C22322,""-\d+(.*)|--\d+(.*)"","""")"),"ANNOISIN-CHATELANS")</f>
        <v>ANNOISIN-CHATELANS</v>
      </c>
      <c r="E22322" s="38" t="s">
        <v>101</v>
      </c>
      <c r="F22322" s="38" t="s">
        <v>102</v>
      </c>
      <c r="G22322" s="49" t="str">
        <f t="shared" si="1"/>
        <v>38460</v>
      </c>
      <c r="H22322" s="49">
        <f t="shared" si="2"/>
        <v>38010</v>
      </c>
    </row>
    <row r="22323">
      <c r="A22323" s="48" t="s">
        <v>4733</v>
      </c>
      <c r="B22323" s="38">
        <v>38141.0</v>
      </c>
      <c r="C22323" s="38" t="s">
        <v>26847</v>
      </c>
      <c r="D22323" s="38" t="str">
        <f>IFERROR(__xludf.DUMMYFUNCTION("REGEXREPLACE(C22323,""-\d+(.*)|--\d+(.*)"","""")"),"CULIN")</f>
        <v>CULIN</v>
      </c>
      <c r="E22323" s="38" t="s">
        <v>101</v>
      </c>
      <c r="F22323" s="38" t="s">
        <v>102</v>
      </c>
      <c r="G22323" s="49" t="str">
        <f t="shared" si="1"/>
        <v>38300</v>
      </c>
      <c r="H22323" s="49">
        <f t="shared" si="2"/>
        <v>38141</v>
      </c>
    </row>
    <row r="22324">
      <c r="A22324" s="48" t="s">
        <v>8434</v>
      </c>
      <c r="B22324" s="38">
        <v>41015.0</v>
      </c>
      <c r="C22324" s="38" t="s">
        <v>1757</v>
      </c>
      <c r="D22324" s="38" t="str">
        <f>IFERROR(__xludf.DUMMYFUNCTION("REGEXREPLACE(C22324,""-\d+(.*)|--\d+(.*)"","""")"),"BEAUVILLIERS")</f>
        <v>BEAUVILLIERS</v>
      </c>
      <c r="E22324" s="38" t="s">
        <v>188</v>
      </c>
      <c r="F22324" s="38" t="s">
        <v>123</v>
      </c>
      <c r="G22324" s="49" t="str">
        <f t="shared" si="1"/>
        <v>41290</v>
      </c>
      <c r="H22324" s="49">
        <f t="shared" si="2"/>
        <v>41015</v>
      </c>
    </row>
    <row r="22325">
      <c r="A22325" s="48" t="s">
        <v>1212</v>
      </c>
      <c r="B22325" s="38">
        <v>11210.0</v>
      </c>
      <c r="C22325" s="38" t="s">
        <v>26848</v>
      </c>
      <c r="D22325" s="38" t="str">
        <f>IFERROR(__xludf.DUMMYFUNCTION("REGEXREPLACE(C22325,""-\d+(.*)|--\d+(.*)"","""")"),"LUC-SUR-ORBIEU")</f>
        <v>LUC-SUR-ORBIEU</v>
      </c>
      <c r="E22325" s="38" t="s">
        <v>278</v>
      </c>
      <c r="F22325" s="38" t="s">
        <v>119</v>
      </c>
      <c r="G22325" s="49" t="str">
        <f t="shared" si="1"/>
        <v>11200</v>
      </c>
      <c r="H22325" s="49">
        <f t="shared" si="2"/>
        <v>11210</v>
      </c>
    </row>
    <row r="22326">
      <c r="A22326" s="48" t="s">
        <v>11498</v>
      </c>
      <c r="B22326" s="38">
        <v>26177.0</v>
      </c>
      <c r="C22326" s="38" t="s">
        <v>26849</v>
      </c>
      <c r="D22326" s="38" t="str">
        <f>IFERROR(__xludf.DUMMYFUNCTION("REGEXREPLACE(C22326,""-\d+(.*)|--\d+(.*)"","""")"),"MARSAZ")</f>
        <v>MARSAZ</v>
      </c>
      <c r="E22326" s="38" t="s">
        <v>126</v>
      </c>
      <c r="F22326" s="38" t="s">
        <v>102</v>
      </c>
      <c r="G22326" s="49" t="str">
        <f t="shared" si="1"/>
        <v>26260</v>
      </c>
      <c r="H22326" s="49">
        <f t="shared" si="2"/>
        <v>26177</v>
      </c>
    </row>
    <row r="22327">
      <c r="A22327" s="48" t="s">
        <v>4992</v>
      </c>
      <c r="B22327" s="38">
        <v>80556.0</v>
      </c>
      <c r="C22327" s="38" t="s">
        <v>26850</v>
      </c>
      <c r="D22327" s="38" t="str">
        <f>IFERROR(__xludf.DUMMYFUNCTION("REGEXREPLACE(C22327,""-\d+(.*)|--\d+(.*)"","""")"),"MONS-BOUBERT")</f>
        <v>MONS-BOUBERT</v>
      </c>
      <c r="E22327" s="38" t="s">
        <v>224</v>
      </c>
      <c r="F22327" s="38" t="s">
        <v>113</v>
      </c>
      <c r="G22327" s="49" t="str">
        <f t="shared" si="1"/>
        <v>80210</v>
      </c>
      <c r="H22327" s="49">
        <f t="shared" si="2"/>
        <v>80556</v>
      </c>
    </row>
    <row r="22328">
      <c r="A22328" s="48" t="s">
        <v>3147</v>
      </c>
      <c r="B22328" s="38">
        <v>68274.0</v>
      </c>
      <c r="C22328" s="38" t="s">
        <v>26851</v>
      </c>
      <c r="D22328" s="38" t="str">
        <f>IFERROR(__xludf.DUMMYFUNCTION("REGEXREPLACE(C22328,""-\d+(.*)|--\d+(.*)"","""")"),"RIMBACH-PRES-GUEBWILLER")</f>
        <v>RIMBACH-PRES-GUEBWILLER</v>
      </c>
      <c r="E22328" s="38" t="s">
        <v>150</v>
      </c>
      <c r="F22328" s="38" t="s">
        <v>151</v>
      </c>
      <c r="G22328" s="49" t="str">
        <f t="shared" si="1"/>
        <v>68500</v>
      </c>
      <c r="H22328" s="49">
        <f t="shared" si="2"/>
        <v>68274</v>
      </c>
    </row>
    <row r="22329">
      <c r="A22329" s="48" t="s">
        <v>13094</v>
      </c>
      <c r="B22329" s="38">
        <v>56136.0</v>
      </c>
      <c r="C22329" s="38" t="s">
        <v>26852</v>
      </c>
      <c r="D22329" s="38" t="str">
        <f>IFERROR(__xludf.DUMMYFUNCTION("REGEXREPLACE(C22329,""-\d+(.*)|--\d+(.*)"","""")"),"MONTENEUF")</f>
        <v>MONTENEUF</v>
      </c>
      <c r="E22329" s="38" t="s">
        <v>173</v>
      </c>
      <c r="F22329" s="38" t="s">
        <v>90</v>
      </c>
      <c r="G22329" s="49" t="str">
        <f t="shared" si="1"/>
        <v>56380</v>
      </c>
      <c r="H22329" s="49">
        <f t="shared" si="2"/>
        <v>56136</v>
      </c>
    </row>
    <row r="22330">
      <c r="A22330" s="48" t="s">
        <v>4431</v>
      </c>
      <c r="B22330" s="38">
        <v>32404.0</v>
      </c>
      <c r="C22330" s="38" t="s">
        <v>26853</v>
      </c>
      <c r="D22330" s="38" t="str">
        <f>IFERROR(__xludf.DUMMYFUNCTION("REGEXREPLACE(C22330,""-\d+(.*)|--\d+(.*)"","""")"),"SAINT-PUY")</f>
        <v>SAINT-PUY</v>
      </c>
      <c r="E22330" s="38" t="s">
        <v>440</v>
      </c>
      <c r="F22330" s="38" t="s">
        <v>94</v>
      </c>
      <c r="G22330" s="49" t="str">
        <f t="shared" si="1"/>
        <v>32310</v>
      </c>
      <c r="H22330" s="49">
        <f t="shared" si="2"/>
        <v>32404</v>
      </c>
    </row>
    <row r="22331">
      <c r="A22331" s="48" t="s">
        <v>5787</v>
      </c>
      <c r="B22331" s="38">
        <v>19015.0</v>
      </c>
      <c r="C22331" s="38" t="s">
        <v>26854</v>
      </c>
      <c r="D22331" s="38" t="str">
        <f>IFERROR(__xludf.DUMMYFUNCTION("REGEXREPLACE(C22331,""-\d+(.*)|--\d+(.*)"","""")"),"AYEN")</f>
        <v>AYEN</v>
      </c>
      <c r="E22331" s="38" t="s">
        <v>271</v>
      </c>
      <c r="F22331" s="38" t="s">
        <v>98</v>
      </c>
      <c r="G22331" s="49" t="str">
        <f t="shared" si="1"/>
        <v>19310</v>
      </c>
      <c r="H22331" s="49">
        <f t="shared" si="2"/>
        <v>19015</v>
      </c>
    </row>
    <row r="22332">
      <c r="A22332" s="48" t="s">
        <v>6347</v>
      </c>
      <c r="B22332" s="38">
        <v>73197.0</v>
      </c>
      <c r="C22332" s="38" t="s">
        <v>26855</v>
      </c>
      <c r="D22332" s="38" t="str">
        <f>IFERROR(__xludf.DUMMYFUNCTION("REGEXREPLACE(C22332,""-\d+(.*)|--\d+(.*)"","""")"),"PEISEY-NANCROIX")</f>
        <v>PEISEY-NANCROIX</v>
      </c>
      <c r="E22332" s="38" t="s">
        <v>306</v>
      </c>
      <c r="F22332" s="38" t="s">
        <v>102</v>
      </c>
      <c r="G22332" s="49" t="str">
        <f t="shared" si="1"/>
        <v>73210</v>
      </c>
      <c r="H22332" s="49">
        <f t="shared" si="2"/>
        <v>73197</v>
      </c>
    </row>
    <row r="22333">
      <c r="A22333" s="48" t="s">
        <v>1374</v>
      </c>
      <c r="B22333" s="38">
        <v>79235.0</v>
      </c>
      <c r="C22333" s="38" t="s">
        <v>26856</v>
      </c>
      <c r="D22333" s="38" t="str">
        <f>IFERROR(__xludf.DUMMYFUNCTION("REGEXREPLACE(C22333,""-\d+(.*)|--\d+(.*)"","""")"),"SAINT-AMAND-SUR-SEVRE")</f>
        <v>SAINT-AMAND-SUR-SEVRE</v>
      </c>
      <c r="E22333" s="38" t="s">
        <v>337</v>
      </c>
      <c r="F22333" s="38" t="s">
        <v>338</v>
      </c>
      <c r="G22333" s="49" t="str">
        <f t="shared" si="1"/>
        <v>79700</v>
      </c>
      <c r="H22333" s="49">
        <f t="shared" si="2"/>
        <v>79235</v>
      </c>
    </row>
    <row r="22334">
      <c r="A22334" s="48" t="s">
        <v>20979</v>
      </c>
      <c r="B22334" s="38">
        <v>44043.0</v>
      </c>
      <c r="C22334" s="38" t="s">
        <v>26857</v>
      </c>
      <c r="D22334" s="38" t="str">
        <f>IFERROR(__xludf.DUMMYFUNCTION("REGEXREPLACE(C22334,""-\d+(.*)|--\d+(.*)"","""")"),"CLISSON")</f>
        <v>CLISSON</v>
      </c>
      <c r="E22334" s="38" t="s">
        <v>759</v>
      </c>
      <c r="F22334" s="38" t="s">
        <v>180</v>
      </c>
      <c r="G22334" s="49" t="str">
        <f t="shared" si="1"/>
        <v>44190</v>
      </c>
      <c r="H22334" s="49">
        <f t="shared" si="2"/>
        <v>44043</v>
      </c>
    </row>
    <row r="22335">
      <c r="A22335" s="48" t="s">
        <v>3266</v>
      </c>
      <c r="B22335" s="38">
        <v>55373.0</v>
      </c>
      <c r="C22335" s="38" t="s">
        <v>26858</v>
      </c>
      <c r="D22335" s="38" t="str">
        <f>IFERROR(__xludf.DUMMYFUNCTION("REGEXREPLACE(C22335,""-\d+(.*)|--\d+(.*)"","""")"),"NANT-LE-GRAND")</f>
        <v>NANT-LE-GRAND</v>
      </c>
      <c r="E22335" s="38" t="s">
        <v>322</v>
      </c>
      <c r="F22335" s="38" t="s">
        <v>195</v>
      </c>
      <c r="G22335" s="49" t="str">
        <f t="shared" si="1"/>
        <v>55500</v>
      </c>
      <c r="H22335" s="49">
        <f t="shared" si="2"/>
        <v>55373</v>
      </c>
    </row>
    <row r="22336">
      <c r="A22336" s="48" t="s">
        <v>13129</v>
      </c>
      <c r="B22336" s="38">
        <v>24060.0</v>
      </c>
      <c r="C22336" s="38" t="s">
        <v>26859</v>
      </c>
      <c r="D22336" s="38" t="str">
        <f>IFERROR(__xludf.DUMMYFUNCTION("REGEXREPLACE(C22336,""-\d+(.*)|--\d+(.*)"","""")"),"BOURNIQUEL")</f>
        <v>BOURNIQUEL</v>
      </c>
      <c r="E22336" s="38" t="s">
        <v>261</v>
      </c>
      <c r="F22336" s="38" t="s">
        <v>252</v>
      </c>
      <c r="G22336" s="49" t="str">
        <f t="shared" si="1"/>
        <v>24150</v>
      </c>
      <c r="H22336" s="49">
        <f t="shared" si="2"/>
        <v>24060</v>
      </c>
    </row>
    <row r="22337">
      <c r="A22337" s="48" t="s">
        <v>5162</v>
      </c>
      <c r="B22337" s="38">
        <v>47036.0</v>
      </c>
      <c r="C22337" s="38" t="s">
        <v>26860</v>
      </c>
      <c r="D22337" s="38" t="str">
        <f>IFERROR(__xludf.DUMMYFUNCTION("REGEXREPLACE(C22337,""-\d+(.*)|--\d+(.*)"","""")"),"BOURLENS")</f>
        <v>BOURLENS</v>
      </c>
      <c r="E22337" s="38" t="s">
        <v>251</v>
      </c>
      <c r="F22337" s="38" t="s">
        <v>252</v>
      </c>
      <c r="G22337" s="49" t="str">
        <f t="shared" si="1"/>
        <v>47370</v>
      </c>
      <c r="H22337" s="49">
        <f t="shared" si="2"/>
        <v>47036</v>
      </c>
    </row>
    <row r="22338">
      <c r="A22338" s="48" t="s">
        <v>12952</v>
      </c>
      <c r="B22338" s="38" t="s">
        <v>26861</v>
      </c>
      <c r="C22338" s="38" t="s">
        <v>26862</v>
      </c>
      <c r="D22338" s="38" t="str">
        <f>IFERROR(__xludf.DUMMYFUNCTION("REGEXREPLACE(C22338,""-\d+(.*)|--\d+(.*)"","""")"),"TALLONE")</f>
        <v>TALLONE</v>
      </c>
      <c r="E22338" s="38" t="s">
        <v>743</v>
      </c>
      <c r="F22338" s="38" t="s">
        <v>607</v>
      </c>
      <c r="G22338" s="49" t="str">
        <f t="shared" si="1"/>
        <v>20270</v>
      </c>
      <c r="H22338" s="49" t="str">
        <f t="shared" si="2"/>
        <v>2B320</v>
      </c>
    </row>
    <row r="22339">
      <c r="A22339" s="48" t="s">
        <v>18412</v>
      </c>
      <c r="B22339" s="38">
        <v>82128.0</v>
      </c>
      <c r="C22339" s="38" t="s">
        <v>26863</v>
      </c>
      <c r="D22339" s="38" t="str">
        <f>IFERROR(__xludf.DUMMYFUNCTION("REGEXREPLACE(C22339,""-\d+(.*)|--\d+(.*)"","""")"),"MONTFERMIER")</f>
        <v>MONTFERMIER</v>
      </c>
      <c r="E22339" s="38" t="s">
        <v>570</v>
      </c>
      <c r="F22339" s="38" t="s">
        <v>94</v>
      </c>
      <c r="G22339" s="49" t="str">
        <f t="shared" si="1"/>
        <v>82270</v>
      </c>
      <c r="H22339" s="49">
        <f t="shared" si="2"/>
        <v>82128</v>
      </c>
    </row>
    <row r="22340">
      <c r="A22340" s="48" t="s">
        <v>6997</v>
      </c>
      <c r="B22340" s="38">
        <v>62773.0</v>
      </c>
      <c r="C22340" s="38" t="s">
        <v>26864</v>
      </c>
      <c r="D22340" s="38" t="str">
        <f>IFERROR(__xludf.DUMMYFUNCTION("REGEXREPLACE(C22340,""-\d+(.*)|--\d+(.*)"","""")"),"SAMER")</f>
        <v>SAMER</v>
      </c>
      <c r="E22340" s="38" t="s">
        <v>109</v>
      </c>
      <c r="F22340" s="38" t="s">
        <v>86</v>
      </c>
      <c r="G22340" s="49" t="str">
        <f t="shared" si="1"/>
        <v>62830</v>
      </c>
      <c r="H22340" s="49">
        <f t="shared" si="2"/>
        <v>62773</v>
      </c>
    </row>
    <row r="22341">
      <c r="A22341" s="48" t="s">
        <v>20707</v>
      </c>
      <c r="B22341" s="38">
        <v>33202.0</v>
      </c>
      <c r="C22341" s="38" t="s">
        <v>26865</v>
      </c>
      <c r="D22341" s="38" t="str">
        <f>IFERROR(__xludf.DUMMYFUNCTION("REGEXREPLACE(C22341,""-\d+(.*)|--\d+(.*)"","""")"),"HOSTENS")</f>
        <v>HOSTENS</v>
      </c>
      <c r="E22341" s="38" t="s">
        <v>462</v>
      </c>
      <c r="F22341" s="38" t="s">
        <v>252</v>
      </c>
      <c r="G22341" s="49" t="str">
        <f t="shared" si="1"/>
        <v>33125</v>
      </c>
      <c r="H22341" s="49">
        <f t="shared" si="2"/>
        <v>33202</v>
      </c>
    </row>
    <row r="22342">
      <c r="A22342" s="48" t="s">
        <v>1841</v>
      </c>
      <c r="B22342" s="38">
        <v>27047.0</v>
      </c>
      <c r="C22342" s="38" t="s">
        <v>26866</v>
      </c>
      <c r="D22342" s="38" t="str">
        <f>IFERROR(__xludf.DUMMYFUNCTION("REGEXREPLACE(C22342,""-\d+(.*)|--\d+(.*)"","""")"),"BEAUBRAY")</f>
        <v>BEAUBRAY</v>
      </c>
      <c r="E22342" s="38" t="s">
        <v>241</v>
      </c>
      <c r="F22342" s="38" t="s">
        <v>134</v>
      </c>
      <c r="G22342" s="49" t="str">
        <f t="shared" si="1"/>
        <v>27190</v>
      </c>
      <c r="H22342" s="49">
        <f t="shared" si="2"/>
        <v>27047</v>
      </c>
    </row>
    <row r="22343">
      <c r="A22343" s="48" t="s">
        <v>497</v>
      </c>
      <c r="B22343" s="38">
        <v>62157.0</v>
      </c>
      <c r="C22343" s="38" t="s">
        <v>26867</v>
      </c>
      <c r="D22343" s="38" t="str">
        <f>IFERROR(__xludf.DUMMYFUNCTION("REGEXREPLACE(C22343,""-\d+(.*)|--\d+(.*)"","""")"),"BOUBERS-LES-HESMOND")</f>
        <v>BOUBERS-LES-HESMOND</v>
      </c>
      <c r="E22343" s="38" t="s">
        <v>109</v>
      </c>
      <c r="F22343" s="38" t="s">
        <v>86</v>
      </c>
      <c r="G22343" s="49" t="str">
        <f t="shared" si="1"/>
        <v>62990</v>
      </c>
      <c r="H22343" s="49">
        <f t="shared" si="2"/>
        <v>62157</v>
      </c>
    </row>
    <row r="22344">
      <c r="A22344" s="48" t="s">
        <v>26868</v>
      </c>
      <c r="B22344" s="38">
        <v>33281.0</v>
      </c>
      <c r="C22344" s="38" t="s">
        <v>26869</v>
      </c>
      <c r="D22344" s="38" t="str">
        <f>IFERROR(__xludf.DUMMYFUNCTION("REGEXREPLACE(C22344,""-\d+(.*)|--\d+(.*)"","""")"),"MERIGNAC")</f>
        <v>MERIGNAC</v>
      </c>
      <c r="E22344" s="38" t="s">
        <v>462</v>
      </c>
      <c r="F22344" s="38" t="s">
        <v>252</v>
      </c>
      <c r="G22344" s="49" t="str">
        <f t="shared" si="1"/>
        <v>33700</v>
      </c>
      <c r="H22344" s="49">
        <f t="shared" si="2"/>
        <v>33281</v>
      </c>
    </row>
    <row r="22345">
      <c r="A22345" s="48" t="s">
        <v>2650</v>
      </c>
      <c r="B22345" s="38">
        <v>65442.0</v>
      </c>
      <c r="C22345" s="38" t="s">
        <v>26870</v>
      </c>
      <c r="D22345" s="38" t="str">
        <f>IFERROR(__xludf.DUMMYFUNCTION("REGEXREPLACE(C22345,""-\d+(.*)|--\d+(.*)"","""")"),"THERMES-MAGNOAC")</f>
        <v>THERMES-MAGNOAC</v>
      </c>
      <c r="E22345" s="38" t="s">
        <v>200</v>
      </c>
      <c r="F22345" s="38" t="s">
        <v>94</v>
      </c>
      <c r="G22345" s="49" t="str">
        <f t="shared" si="1"/>
        <v>65230</v>
      </c>
      <c r="H22345" s="49">
        <f t="shared" si="2"/>
        <v>65442</v>
      </c>
    </row>
    <row r="22346">
      <c r="A22346" s="48" t="s">
        <v>2128</v>
      </c>
      <c r="B22346" s="38">
        <v>2588.0</v>
      </c>
      <c r="C22346" s="38" t="s">
        <v>26871</v>
      </c>
      <c r="D22346" s="38" t="str">
        <f>IFERROR(__xludf.DUMMYFUNCTION("REGEXREPLACE(C22346,""-\d+(.*)|--\d+(.*)"","""")"),"PARGNAN")</f>
        <v>PARGNAN</v>
      </c>
      <c r="E22346" s="38" t="s">
        <v>191</v>
      </c>
      <c r="F22346" s="38" t="s">
        <v>113</v>
      </c>
      <c r="G22346" s="49" t="str">
        <f t="shared" si="1"/>
        <v>02160</v>
      </c>
      <c r="H22346" s="49" t="str">
        <f t="shared" si="2"/>
        <v>02588</v>
      </c>
    </row>
    <row r="22347">
      <c r="A22347" s="48" t="s">
        <v>8345</v>
      </c>
      <c r="B22347" s="38">
        <v>10230.0</v>
      </c>
      <c r="C22347" s="38" t="s">
        <v>26872</v>
      </c>
      <c r="D22347" s="38" t="str">
        <f>IFERROR(__xludf.DUMMYFUNCTION("REGEXREPLACE(C22347,""-\d+(.*)|--\d+(.*)"","""")"),"MERGEY")</f>
        <v>MERGEY</v>
      </c>
      <c r="E22347" s="38" t="s">
        <v>147</v>
      </c>
      <c r="F22347" s="38" t="s">
        <v>130</v>
      </c>
      <c r="G22347" s="49" t="str">
        <f t="shared" si="1"/>
        <v>10600</v>
      </c>
      <c r="H22347" s="49">
        <f t="shared" si="2"/>
        <v>10230</v>
      </c>
    </row>
    <row r="22348">
      <c r="A22348" s="48" t="s">
        <v>2949</v>
      </c>
      <c r="B22348" s="38">
        <v>27068.0</v>
      </c>
      <c r="C22348" s="38" t="s">
        <v>26873</v>
      </c>
      <c r="D22348" s="38" t="str">
        <f>IFERROR(__xludf.DUMMYFUNCTION("REGEXREPLACE(C22348,""-\d+(.*)|--\d+(.*)"","""")"),"BOIS-ANZERAY")</f>
        <v>BOIS-ANZERAY</v>
      </c>
      <c r="E22348" s="38" t="s">
        <v>241</v>
      </c>
      <c r="F22348" s="38" t="s">
        <v>134</v>
      </c>
      <c r="G22348" s="49" t="str">
        <f t="shared" si="1"/>
        <v>27330</v>
      </c>
      <c r="H22348" s="49">
        <f t="shared" si="2"/>
        <v>27068</v>
      </c>
    </row>
    <row r="22349">
      <c r="A22349" s="48" t="s">
        <v>10342</v>
      </c>
      <c r="B22349" s="38">
        <v>12024.0</v>
      </c>
      <c r="C22349" s="38" t="s">
        <v>7362</v>
      </c>
      <c r="D22349" s="38" t="str">
        <f>IFERROR(__xludf.DUMMYFUNCTION("REGEXREPLACE(C22349,""-\d+(.*)|--\d+(.*)"","""")"),"BELCASTEL")</f>
        <v>BELCASTEL</v>
      </c>
      <c r="E22349" s="38" t="s">
        <v>465</v>
      </c>
      <c r="F22349" s="38" t="s">
        <v>94</v>
      </c>
      <c r="G22349" s="49" t="str">
        <f t="shared" si="1"/>
        <v>12390</v>
      </c>
      <c r="H22349" s="49">
        <f t="shared" si="2"/>
        <v>12024</v>
      </c>
    </row>
    <row r="22350">
      <c r="A22350" s="48" t="s">
        <v>7804</v>
      </c>
      <c r="B22350" s="38">
        <v>51234.0</v>
      </c>
      <c r="C22350" s="38" t="s">
        <v>26874</v>
      </c>
      <c r="D22350" s="38" t="str">
        <f>IFERROR(__xludf.DUMMYFUNCTION("REGEXREPLACE(C22350,""-\d+(.*)|--\d+(.*)"","""")"),"ESCLAVOLLES-LUREY")</f>
        <v>ESCLAVOLLES-LUREY</v>
      </c>
      <c r="E22350" s="38" t="s">
        <v>129</v>
      </c>
      <c r="F22350" s="38" t="s">
        <v>130</v>
      </c>
      <c r="G22350" s="49" t="str">
        <f t="shared" si="1"/>
        <v>51260</v>
      </c>
      <c r="H22350" s="49">
        <f t="shared" si="2"/>
        <v>51234</v>
      </c>
    </row>
    <row r="22351">
      <c r="A22351" s="48" t="s">
        <v>2770</v>
      </c>
      <c r="B22351" s="38">
        <v>25326.0</v>
      </c>
      <c r="C22351" s="38" t="s">
        <v>26875</v>
      </c>
      <c r="D22351" s="38" t="str">
        <f>IFERROR(__xludf.DUMMYFUNCTION("REGEXREPLACE(C22351,""-\d+(.*)|--\d+(.*)"","""")"),"LANTENNE-VERTIERE")</f>
        <v>LANTENNE-VERTIERE</v>
      </c>
      <c r="E22351" s="38" t="s">
        <v>213</v>
      </c>
      <c r="F22351" s="38" t="s">
        <v>214</v>
      </c>
      <c r="G22351" s="49" t="str">
        <f t="shared" si="1"/>
        <v>25170</v>
      </c>
      <c r="H22351" s="49">
        <f t="shared" si="2"/>
        <v>25326</v>
      </c>
    </row>
    <row r="22352">
      <c r="A22352" s="48" t="s">
        <v>2328</v>
      </c>
      <c r="B22352" s="38">
        <v>57272.0</v>
      </c>
      <c r="C22352" s="38" t="s">
        <v>26876</v>
      </c>
      <c r="D22352" s="38" t="str">
        <f>IFERROR(__xludf.DUMMYFUNCTION("REGEXREPLACE(C22352,""-\d+(.*)|--\d+(.*)"","""")"),"GUERMANGE")</f>
        <v>GUERMANGE</v>
      </c>
      <c r="E22352" s="38" t="s">
        <v>303</v>
      </c>
      <c r="F22352" s="38" t="s">
        <v>195</v>
      </c>
      <c r="G22352" s="49" t="str">
        <f t="shared" si="1"/>
        <v>57260</v>
      </c>
      <c r="H22352" s="49">
        <f t="shared" si="2"/>
        <v>57272</v>
      </c>
    </row>
    <row r="22353">
      <c r="A22353" s="48" t="s">
        <v>2783</v>
      </c>
      <c r="B22353" s="38">
        <v>31245.0</v>
      </c>
      <c r="C22353" s="38" t="s">
        <v>26877</v>
      </c>
      <c r="D22353" s="38" t="str">
        <f>IFERROR(__xludf.DUMMYFUNCTION("REGEXREPLACE(C22353,""-\d+(.*)|--\d+(.*)"","""")"),"JUZET-D'IZAUT")</f>
        <v>JUZET-D'IZAUT</v>
      </c>
      <c r="E22353" s="38" t="s">
        <v>93</v>
      </c>
      <c r="F22353" s="38" t="s">
        <v>94</v>
      </c>
      <c r="G22353" s="49" t="str">
        <f t="shared" si="1"/>
        <v>31160</v>
      </c>
      <c r="H22353" s="49">
        <f t="shared" si="2"/>
        <v>31245</v>
      </c>
    </row>
    <row r="22354">
      <c r="A22354" s="48" t="s">
        <v>5996</v>
      </c>
      <c r="B22354" s="38">
        <v>67446.0</v>
      </c>
      <c r="C22354" s="38" t="s">
        <v>26878</v>
      </c>
      <c r="D22354" s="38" t="str">
        <f>IFERROR(__xludf.DUMMYFUNCTION("REGEXREPLACE(C22354,""-\d+(.*)|--\d+(.*)"","""")"),"SCHILLERSDORF")</f>
        <v>SCHILLERSDORF</v>
      </c>
      <c r="E22354" s="38" t="s">
        <v>210</v>
      </c>
      <c r="F22354" s="38" t="s">
        <v>151</v>
      </c>
      <c r="G22354" s="49" t="str">
        <f t="shared" si="1"/>
        <v>67340</v>
      </c>
      <c r="H22354" s="49">
        <f t="shared" si="2"/>
        <v>67446</v>
      </c>
    </row>
    <row r="22355">
      <c r="A22355" s="48" t="s">
        <v>3258</v>
      </c>
      <c r="B22355" s="38">
        <v>2553.0</v>
      </c>
      <c r="C22355" s="38" t="s">
        <v>26879</v>
      </c>
      <c r="D22355" s="38" t="str">
        <f>IFERROR(__xludf.DUMMYFUNCTION("REGEXREPLACE(C22355,""-\d+(.*)|--\d+(.*)"","""")"),"NIZY-LE-COMTE")</f>
        <v>NIZY-LE-COMTE</v>
      </c>
      <c r="E22355" s="38" t="s">
        <v>191</v>
      </c>
      <c r="F22355" s="38" t="s">
        <v>113</v>
      </c>
      <c r="G22355" s="49" t="str">
        <f t="shared" si="1"/>
        <v>02150</v>
      </c>
      <c r="H22355" s="49" t="str">
        <f t="shared" si="2"/>
        <v>02553</v>
      </c>
    </row>
    <row r="22356">
      <c r="A22356" s="48" t="s">
        <v>9585</v>
      </c>
      <c r="B22356" s="38">
        <v>25599.0</v>
      </c>
      <c r="C22356" s="38" t="s">
        <v>26880</v>
      </c>
      <c r="D22356" s="38" t="str">
        <f>IFERROR(__xludf.DUMMYFUNCTION("REGEXREPLACE(C22356,""-\d+(.*)|--\d+(.*)"","""")"),"VENNANS")</f>
        <v>VENNANS</v>
      </c>
      <c r="E22356" s="38" t="s">
        <v>213</v>
      </c>
      <c r="F22356" s="38" t="s">
        <v>214</v>
      </c>
      <c r="G22356" s="49" t="str">
        <f t="shared" si="1"/>
        <v>25640</v>
      </c>
      <c r="H22356" s="49">
        <f t="shared" si="2"/>
        <v>25599</v>
      </c>
    </row>
    <row r="22357">
      <c r="A22357" s="48" t="s">
        <v>4181</v>
      </c>
      <c r="B22357" s="38">
        <v>89375.0</v>
      </c>
      <c r="C22357" s="38" t="s">
        <v>26881</v>
      </c>
      <c r="D22357" s="38" t="str">
        <f>IFERROR(__xludf.DUMMYFUNCTION("REGEXREPLACE(C22357,""-\d+(.*)|--\d+(.*)"","""")"),"SANTIGNY")</f>
        <v>SANTIGNY</v>
      </c>
      <c r="E22357" s="38" t="s">
        <v>275</v>
      </c>
      <c r="F22357" s="38" t="s">
        <v>106</v>
      </c>
      <c r="G22357" s="49" t="str">
        <f t="shared" si="1"/>
        <v>89420</v>
      </c>
      <c r="H22357" s="49">
        <f t="shared" si="2"/>
        <v>89375</v>
      </c>
    </row>
    <row r="22358">
      <c r="A22358" s="48" t="s">
        <v>15871</v>
      </c>
      <c r="B22358" s="38">
        <v>72385.0</v>
      </c>
      <c r="C22358" s="38" t="s">
        <v>26882</v>
      </c>
      <c r="D22358" s="38" t="str">
        <f>IFERROR(__xludf.DUMMYFUNCTION("REGEXREPLACE(C22358,""-\d+(.*)|--\d+(.*)"","""")"),"YVRE-LE-POLIN")</f>
        <v>YVRE-LE-POLIN</v>
      </c>
      <c r="E22358" s="38" t="s">
        <v>521</v>
      </c>
      <c r="F22358" s="38" t="s">
        <v>180</v>
      </c>
      <c r="G22358" s="49" t="str">
        <f t="shared" si="1"/>
        <v>72330</v>
      </c>
      <c r="H22358" s="49">
        <f t="shared" si="2"/>
        <v>72385</v>
      </c>
    </row>
    <row r="22359">
      <c r="A22359" s="48" t="s">
        <v>26883</v>
      </c>
      <c r="B22359" s="38">
        <v>17484.0</v>
      </c>
      <c r="C22359" s="38" t="s">
        <v>26884</v>
      </c>
      <c r="D22359" s="38" t="str">
        <f>IFERROR(__xludf.DUMMYFUNCTION("REGEXREPLACE(C22359,""-\d+(.*)|--\d+(.*)"","""")"),"PORT-DES-BARQUES")</f>
        <v>PORT-DES-BARQUES</v>
      </c>
      <c r="E22359" s="38" t="s">
        <v>488</v>
      </c>
      <c r="F22359" s="38" t="s">
        <v>338</v>
      </c>
      <c r="G22359" s="49" t="str">
        <f t="shared" si="1"/>
        <v>17730</v>
      </c>
      <c r="H22359" s="49">
        <f t="shared" si="2"/>
        <v>17484</v>
      </c>
    </row>
    <row r="22360">
      <c r="A22360" s="48" t="s">
        <v>3046</v>
      </c>
      <c r="B22360" s="38">
        <v>70461.0</v>
      </c>
      <c r="C22360" s="38" t="s">
        <v>26885</v>
      </c>
      <c r="D22360" s="38" t="str">
        <f>IFERROR(__xludf.DUMMYFUNCTION("REGEXREPLACE(C22360,""-\d+(.*)|--\d+(.*)"","""")"),"SAINT-BROING")</f>
        <v>SAINT-BROING</v>
      </c>
      <c r="E22360" s="38" t="s">
        <v>956</v>
      </c>
      <c r="F22360" s="38" t="s">
        <v>214</v>
      </c>
      <c r="G22360" s="49" t="str">
        <f t="shared" si="1"/>
        <v>70100</v>
      </c>
      <c r="H22360" s="49">
        <f t="shared" si="2"/>
        <v>70461</v>
      </c>
    </row>
    <row r="22361">
      <c r="A22361" s="48" t="s">
        <v>18911</v>
      </c>
      <c r="B22361" s="38">
        <v>14219.0</v>
      </c>
      <c r="C22361" s="38" t="s">
        <v>26886</v>
      </c>
      <c r="D22361" s="38" t="str">
        <f>IFERROR(__xludf.DUMMYFUNCTION("REGEXREPLACE(C22361,""-\d+(.*)|--\d+(.*)"","""")"),"DANVOU-LA-FERRIERE")</f>
        <v>DANVOU-LA-FERRIERE</v>
      </c>
      <c r="E22361" s="38" t="s">
        <v>137</v>
      </c>
      <c r="F22361" s="38" t="s">
        <v>138</v>
      </c>
      <c r="G22361" s="49" t="str">
        <f t="shared" si="1"/>
        <v>14770</v>
      </c>
      <c r="H22361" s="49">
        <f t="shared" si="2"/>
        <v>14219</v>
      </c>
    </row>
    <row r="22362">
      <c r="A22362" s="48" t="s">
        <v>2077</v>
      </c>
      <c r="B22362" s="38">
        <v>8298.0</v>
      </c>
      <c r="C22362" s="38" t="s">
        <v>26887</v>
      </c>
      <c r="D22362" s="38" t="str">
        <f>IFERROR(__xludf.DUMMYFUNCTION("REGEXREPLACE(C22362,""-\d+(.*)|--\d+(.*)"","""")"),"MONTCY-NOTRE-DAME")</f>
        <v>MONTCY-NOTRE-DAME</v>
      </c>
      <c r="E22362" s="38" t="s">
        <v>327</v>
      </c>
      <c r="F22362" s="38" t="s">
        <v>130</v>
      </c>
      <c r="G22362" s="49" t="str">
        <f t="shared" si="1"/>
        <v>08090</v>
      </c>
      <c r="H22362" s="49" t="str">
        <f t="shared" si="2"/>
        <v>08298</v>
      </c>
    </row>
    <row r="22363">
      <c r="A22363" s="48" t="s">
        <v>12824</v>
      </c>
      <c r="B22363" s="38">
        <v>78406.0</v>
      </c>
      <c r="C22363" s="38" t="s">
        <v>26888</v>
      </c>
      <c r="D22363" s="38" t="str">
        <f>IFERROR(__xludf.DUMMYFUNCTION("REGEXREPLACE(C22363,""-\d+(.*)|--\d+(.*)"","""")"),"MILON-LA-CHAPELLE")</f>
        <v>MILON-LA-CHAPELLE</v>
      </c>
      <c r="E22363" s="38" t="s">
        <v>362</v>
      </c>
      <c r="F22363" s="38" t="s">
        <v>245</v>
      </c>
      <c r="G22363" s="49" t="str">
        <f t="shared" si="1"/>
        <v>78470</v>
      </c>
      <c r="H22363" s="49">
        <f t="shared" si="2"/>
        <v>78406</v>
      </c>
    </row>
    <row r="22364">
      <c r="A22364" s="48" t="s">
        <v>26889</v>
      </c>
      <c r="B22364" s="38">
        <v>13049.0</v>
      </c>
      <c r="C22364" s="38" t="s">
        <v>26890</v>
      </c>
      <c r="D22364" s="38" t="str">
        <f>IFERROR(__xludf.DUMMYFUNCTION("REGEXREPLACE(C22364,""-\d+(.*)|--\d+(.*)"","""")"),"LAMANON")</f>
        <v>LAMANON</v>
      </c>
      <c r="E22364" s="38" t="s">
        <v>980</v>
      </c>
      <c r="F22364" s="38" t="s">
        <v>228</v>
      </c>
      <c r="G22364" s="49" t="str">
        <f t="shared" si="1"/>
        <v>13113</v>
      </c>
      <c r="H22364" s="49">
        <f t="shared" si="2"/>
        <v>13049</v>
      </c>
    </row>
    <row r="22365">
      <c r="A22365" s="48" t="s">
        <v>14413</v>
      </c>
      <c r="B22365" s="38">
        <v>62167.0</v>
      </c>
      <c r="C22365" s="38" t="s">
        <v>26891</v>
      </c>
      <c r="D22365" s="38" t="str">
        <f>IFERROR(__xludf.DUMMYFUNCTION("REGEXREPLACE(C22365,""-\d+(.*)|--\d+(.*)"","""")"),"BOURSIN")</f>
        <v>BOURSIN</v>
      </c>
      <c r="E22365" s="38" t="s">
        <v>109</v>
      </c>
      <c r="F22365" s="38" t="s">
        <v>86</v>
      </c>
      <c r="G22365" s="49" t="str">
        <f t="shared" si="1"/>
        <v>62132</v>
      </c>
      <c r="H22365" s="49">
        <f t="shared" si="2"/>
        <v>62167</v>
      </c>
    </row>
    <row r="22366">
      <c r="A22366" s="48" t="s">
        <v>11166</v>
      </c>
      <c r="B22366" s="38">
        <v>55387.0</v>
      </c>
      <c r="C22366" s="38" t="s">
        <v>26892</v>
      </c>
      <c r="D22366" s="38" t="str">
        <f>IFERROR(__xludf.DUMMYFUNCTION("REGEXREPLACE(C22366,""-\d+(.*)|--\d+(.*)"","""")"),"NOUILLONPONT")</f>
        <v>NOUILLONPONT</v>
      </c>
      <c r="E22366" s="38" t="s">
        <v>322</v>
      </c>
      <c r="F22366" s="38" t="s">
        <v>195</v>
      </c>
      <c r="G22366" s="49" t="str">
        <f t="shared" si="1"/>
        <v>55230</v>
      </c>
      <c r="H22366" s="49">
        <f t="shared" si="2"/>
        <v>55387</v>
      </c>
    </row>
    <row r="22367">
      <c r="A22367" s="48" t="s">
        <v>870</v>
      </c>
      <c r="B22367" s="38">
        <v>22256.0</v>
      </c>
      <c r="C22367" s="38" t="s">
        <v>26893</v>
      </c>
      <c r="D22367" s="38" t="str">
        <f>IFERROR(__xludf.DUMMYFUNCTION("REGEXREPLACE(C22367,""-\d+(.*)|--\d+(.*)"","""")"),"QUEMPER-GUEZENNEC")</f>
        <v>QUEMPER-GUEZENNEC</v>
      </c>
      <c r="E22367" s="38" t="s">
        <v>89</v>
      </c>
      <c r="F22367" s="38" t="s">
        <v>90</v>
      </c>
      <c r="G22367" s="49" t="str">
        <f t="shared" si="1"/>
        <v>22260</v>
      </c>
      <c r="H22367" s="49">
        <f t="shared" si="2"/>
        <v>22256</v>
      </c>
    </row>
    <row r="22368">
      <c r="A22368" s="48" t="s">
        <v>16961</v>
      </c>
      <c r="B22368" s="38">
        <v>86007.0</v>
      </c>
      <c r="C22368" s="38" t="s">
        <v>26894</v>
      </c>
      <c r="D22368" s="38" t="str">
        <f>IFERROR(__xludf.DUMMYFUNCTION("REGEXREPLACE(C22368,""-\d+(.*)|--\d+(.*)"","""")"),"ANTRAN")</f>
        <v>ANTRAN</v>
      </c>
      <c r="E22368" s="38" t="s">
        <v>529</v>
      </c>
      <c r="F22368" s="38" t="s">
        <v>338</v>
      </c>
      <c r="G22368" s="49" t="str">
        <f t="shared" si="1"/>
        <v>86100</v>
      </c>
      <c r="H22368" s="49">
        <f t="shared" si="2"/>
        <v>86007</v>
      </c>
    </row>
    <row r="22369">
      <c r="A22369" s="48" t="s">
        <v>13253</v>
      </c>
      <c r="B22369" s="38">
        <v>50305.0</v>
      </c>
      <c r="C22369" s="38" t="s">
        <v>26895</v>
      </c>
      <c r="D22369" s="38" t="str">
        <f>IFERROR(__xludf.DUMMYFUNCTION("REGEXREPLACE(C22369,""-\d+(.*)|--\d+(.*)"","""")"),"LE MESNIL-AU-VAL")</f>
        <v>LE MESNIL-AU-VAL</v>
      </c>
      <c r="E22369" s="38" t="s">
        <v>157</v>
      </c>
      <c r="F22369" s="38" t="s">
        <v>138</v>
      </c>
      <c r="G22369" s="49" t="str">
        <f t="shared" si="1"/>
        <v>50110</v>
      </c>
      <c r="H22369" s="49">
        <f t="shared" si="2"/>
        <v>50305</v>
      </c>
    </row>
    <row r="22370">
      <c r="A22370" s="48" t="s">
        <v>2368</v>
      </c>
      <c r="B22370" s="38">
        <v>65354.0</v>
      </c>
      <c r="C22370" s="38" t="s">
        <v>26896</v>
      </c>
      <c r="D22370" s="38" t="str">
        <f>IFERROR(__xludf.DUMMYFUNCTION("REGEXREPLACE(C22370,""-\d+(.*)|--\d+(.*)"","""")"),"PAILHAC")</f>
        <v>PAILHAC</v>
      </c>
      <c r="E22370" s="38" t="s">
        <v>200</v>
      </c>
      <c r="F22370" s="38" t="s">
        <v>94</v>
      </c>
      <c r="G22370" s="49" t="str">
        <f t="shared" si="1"/>
        <v>65240</v>
      </c>
      <c r="H22370" s="49">
        <f t="shared" si="2"/>
        <v>65354</v>
      </c>
    </row>
    <row r="22371">
      <c r="A22371" s="48" t="s">
        <v>2897</v>
      </c>
      <c r="B22371" s="38">
        <v>7010.0</v>
      </c>
      <c r="C22371" s="38" t="s">
        <v>26897</v>
      </c>
      <c r="D22371" s="38" t="str">
        <f>IFERROR(__xludf.DUMMYFUNCTION("REGEXREPLACE(C22371,""-\d+(.*)|--\d+(.*)"","""")"),"ANNONAY")</f>
        <v>ANNONAY</v>
      </c>
      <c r="E22371" s="38" t="s">
        <v>144</v>
      </c>
      <c r="F22371" s="38" t="s">
        <v>102</v>
      </c>
      <c r="G22371" s="49" t="str">
        <f t="shared" si="1"/>
        <v>07100</v>
      </c>
      <c r="H22371" s="49" t="str">
        <f t="shared" si="2"/>
        <v>07010</v>
      </c>
    </row>
    <row r="22372">
      <c r="A22372" s="48" t="s">
        <v>7914</v>
      </c>
      <c r="B22372" s="38">
        <v>84011.0</v>
      </c>
      <c r="C22372" s="38" t="s">
        <v>26898</v>
      </c>
      <c r="D22372" s="38" t="str">
        <f>IFERROR(__xludf.DUMMYFUNCTION("REGEXREPLACE(C22372,""-\d+(.*)|--\d+(.*)"","""")"),"LE BEAUCET")</f>
        <v>LE BEAUCET</v>
      </c>
      <c r="E22372" s="38" t="s">
        <v>1026</v>
      </c>
      <c r="F22372" s="38" t="s">
        <v>228</v>
      </c>
      <c r="G22372" s="49" t="str">
        <f t="shared" si="1"/>
        <v>84210</v>
      </c>
      <c r="H22372" s="49">
        <f t="shared" si="2"/>
        <v>84011</v>
      </c>
    </row>
    <row r="22373">
      <c r="A22373" s="48" t="s">
        <v>9679</v>
      </c>
      <c r="B22373" s="38">
        <v>26056.0</v>
      </c>
      <c r="C22373" s="38" t="s">
        <v>26899</v>
      </c>
      <c r="D22373" s="38" t="str">
        <f>IFERROR(__xludf.DUMMYFUNCTION("REGEXREPLACE(C22373,""-\d+(.*)|--\d+(.*)"","""")"),"BOURDEAUX")</f>
        <v>BOURDEAUX</v>
      </c>
      <c r="E22373" s="38" t="s">
        <v>126</v>
      </c>
      <c r="F22373" s="38" t="s">
        <v>102</v>
      </c>
      <c r="G22373" s="49" t="str">
        <f t="shared" si="1"/>
        <v>26460</v>
      </c>
      <c r="H22373" s="49">
        <f t="shared" si="2"/>
        <v>26056</v>
      </c>
    </row>
    <row r="22374">
      <c r="A22374" s="48" t="s">
        <v>4213</v>
      </c>
      <c r="B22374" s="38">
        <v>7304.0</v>
      </c>
      <c r="C22374" s="38" t="s">
        <v>26900</v>
      </c>
      <c r="D22374" s="38" t="str">
        <f>IFERROR(__xludf.DUMMYFUNCTION("REGEXREPLACE(C22374,""-\d+(.*)|--\d+(.*)"","""")"),"SALAVAS")</f>
        <v>SALAVAS</v>
      </c>
      <c r="E22374" s="38" t="s">
        <v>144</v>
      </c>
      <c r="F22374" s="38" t="s">
        <v>102</v>
      </c>
      <c r="G22374" s="49" t="str">
        <f t="shared" si="1"/>
        <v>07150</v>
      </c>
      <c r="H22374" s="49" t="str">
        <f t="shared" si="2"/>
        <v>07304</v>
      </c>
    </row>
    <row r="22375">
      <c r="A22375" s="48" t="s">
        <v>3655</v>
      </c>
      <c r="B22375" s="38">
        <v>51633.0</v>
      </c>
      <c r="C22375" s="38" t="s">
        <v>26901</v>
      </c>
      <c r="D22375" s="38" t="str">
        <f>IFERROR(__xludf.DUMMYFUNCTION("REGEXREPLACE(C22375,""-\d+(.*)|--\d+(.*)"","""")"),"VILLERS-FRANQUEUX")</f>
        <v>VILLERS-FRANQUEUX</v>
      </c>
      <c r="E22375" s="38" t="s">
        <v>129</v>
      </c>
      <c r="F22375" s="38" t="s">
        <v>130</v>
      </c>
      <c r="G22375" s="49" t="str">
        <f t="shared" si="1"/>
        <v>51220</v>
      </c>
      <c r="H22375" s="49">
        <f t="shared" si="2"/>
        <v>51633</v>
      </c>
    </row>
    <row r="22376">
      <c r="A22376" s="48" t="s">
        <v>9683</v>
      </c>
      <c r="B22376" s="38">
        <v>46040.0</v>
      </c>
      <c r="C22376" s="38" t="s">
        <v>26902</v>
      </c>
      <c r="D22376" s="38" t="str">
        <f>IFERROR(__xludf.DUMMYFUNCTION("REGEXREPLACE(C22376,""-\d+(.*)|--\d+(.*)"","""")"),"CABRERETS")</f>
        <v>CABRERETS</v>
      </c>
      <c r="E22376" s="38" t="s">
        <v>185</v>
      </c>
      <c r="F22376" s="38" t="s">
        <v>94</v>
      </c>
      <c r="G22376" s="49" t="str">
        <f t="shared" si="1"/>
        <v>46330</v>
      </c>
      <c r="H22376" s="49">
        <f t="shared" si="2"/>
        <v>46040</v>
      </c>
    </row>
    <row r="22377">
      <c r="A22377" s="48" t="s">
        <v>1783</v>
      </c>
      <c r="B22377" s="38">
        <v>60514.0</v>
      </c>
      <c r="C22377" s="38" t="s">
        <v>26903</v>
      </c>
      <c r="D22377" s="38" t="str">
        <f>IFERROR(__xludf.DUMMYFUNCTION("REGEXREPLACE(C22377,""-\d+(.*)|--\d+(.*)"","""")"),"PREVILLERS")</f>
        <v>PREVILLERS</v>
      </c>
      <c r="E22377" s="38" t="s">
        <v>112</v>
      </c>
      <c r="F22377" s="38" t="s">
        <v>113</v>
      </c>
      <c r="G22377" s="49" t="str">
        <f t="shared" si="1"/>
        <v>60360</v>
      </c>
      <c r="H22377" s="49">
        <f t="shared" si="2"/>
        <v>60514</v>
      </c>
    </row>
    <row r="22378">
      <c r="A22378" s="48" t="s">
        <v>430</v>
      </c>
      <c r="B22378" s="38">
        <v>2339.0</v>
      </c>
      <c r="C22378" s="38" t="s">
        <v>26904</v>
      </c>
      <c r="D22378" s="38" t="str">
        <f>IFERROR(__xludf.DUMMYFUNCTION("REGEXREPLACE(C22378,""-\d+(.*)|--\d+(.*)"","""")"),"GANDELU")</f>
        <v>GANDELU</v>
      </c>
      <c r="E22378" s="38" t="s">
        <v>191</v>
      </c>
      <c r="F22378" s="38" t="s">
        <v>113</v>
      </c>
      <c r="G22378" s="49" t="str">
        <f t="shared" si="1"/>
        <v>02810</v>
      </c>
      <c r="H22378" s="49" t="str">
        <f t="shared" si="2"/>
        <v>02339</v>
      </c>
    </row>
    <row r="22379">
      <c r="A22379" s="48" t="s">
        <v>273</v>
      </c>
      <c r="B22379" s="38">
        <v>89163.0</v>
      </c>
      <c r="C22379" s="38" t="s">
        <v>26905</v>
      </c>
      <c r="D22379" s="38" t="str">
        <f>IFERROR(__xludf.DUMMYFUNCTION("REGEXREPLACE(C22379,""-\d+(.*)|--\d+(.*)"","""")"),"LA FERTE-LOUPIERE")</f>
        <v>LA FERTE-LOUPIERE</v>
      </c>
      <c r="E22379" s="38" t="s">
        <v>275</v>
      </c>
      <c r="F22379" s="38" t="s">
        <v>106</v>
      </c>
      <c r="G22379" s="49" t="str">
        <f t="shared" si="1"/>
        <v>89110</v>
      </c>
      <c r="H22379" s="49">
        <f t="shared" si="2"/>
        <v>89163</v>
      </c>
    </row>
    <row r="22380">
      <c r="A22380" s="48" t="s">
        <v>26906</v>
      </c>
      <c r="B22380" s="38">
        <v>29150.0</v>
      </c>
      <c r="C22380" s="38" t="s">
        <v>26907</v>
      </c>
      <c r="D22380" s="38" t="str">
        <f>IFERROR(__xludf.DUMMYFUNCTION("REGEXREPLACE(C22380,""-\d+(.*)|--\d+(.*)"","""")"),"MOELAN-SUR-MER")</f>
        <v>MOELAN-SUR-MER</v>
      </c>
      <c r="E22380" s="38" t="s">
        <v>176</v>
      </c>
      <c r="F22380" s="38" t="s">
        <v>90</v>
      </c>
      <c r="G22380" s="49" t="str">
        <f t="shared" si="1"/>
        <v>29350</v>
      </c>
      <c r="H22380" s="49">
        <f t="shared" si="2"/>
        <v>29150</v>
      </c>
    </row>
    <row r="22381">
      <c r="A22381" s="48" t="s">
        <v>7175</v>
      </c>
      <c r="B22381" s="38">
        <v>88486.0</v>
      </c>
      <c r="C22381" s="38" t="s">
        <v>26908</v>
      </c>
      <c r="D22381" s="38" t="str">
        <f>IFERROR(__xludf.DUMMYFUNCTION("REGEXREPLACE(C22381,""-\d+(.*)|--\d+(.*)"","""")"),"VAGNEY")</f>
        <v>VAGNEY</v>
      </c>
      <c r="E22381" s="38" t="s">
        <v>194</v>
      </c>
      <c r="F22381" s="38" t="s">
        <v>195</v>
      </c>
      <c r="G22381" s="49" t="str">
        <f t="shared" si="1"/>
        <v>88120</v>
      </c>
      <c r="H22381" s="49">
        <f t="shared" si="2"/>
        <v>88486</v>
      </c>
    </row>
    <row r="22382">
      <c r="A22382" s="48" t="s">
        <v>26909</v>
      </c>
      <c r="B22382" s="38">
        <v>76366.0</v>
      </c>
      <c r="C22382" s="38" t="s">
        <v>26910</v>
      </c>
      <c r="D22382" s="38" t="str">
        <f>IFERROR(__xludf.DUMMYFUNCTION("REGEXREPLACE(C22382,""-\d+(.*)|--\d+(.*)"","""")"),"LE HOULME")</f>
        <v>LE HOULME</v>
      </c>
      <c r="E22382" s="38" t="s">
        <v>133</v>
      </c>
      <c r="F22382" s="38" t="s">
        <v>134</v>
      </c>
      <c r="G22382" s="49" t="str">
        <f t="shared" si="1"/>
        <v>76770</v>
      </c>
      <c r="H22382" s="49">
        <f t="shared" si="2"/>
        <v>76366</v>
      </c>
    </row>
    <row r="22383">
      <c r="A22383" s="48" t="s">
        <v>2278</v>
      </c>
      <c r="B22383" s="38">
        <v>80241.0</v>
      </c>
      <c r="C22383" s="38" t="s">
        <v>26911</v>
      </c>
      <c r="D22383" s="38" t="str">
        <f>IFERROR(__xludf.DUMMYFUNCTION("REGEXREPLACE(C22383,""-\d+(.*)|--\d+(.*)"","""")"),"DOMART-EN-PONTHIEU")</f>
        <v>DOMART-EN-PONTHIEU</v>
      </c>
      <c r="E22383" s="38" t="s">
        <v>224</v>
      </c>
      <c r="F22383" s="38" t="s">
        <v>113</v>
      </c>
      <c r="G22383" s="49" t="str">
        <f t="shared" si="1"/>
        <v>80620</v>
      </c>
      <c r="H22383" s="49">
        <f t="shared" si="2"/>
        <v>80241</v>
      </c>
    </row>
    <row r="22384">
      <c r="A22384" s="48" t="s">
        <v>3418</v>
      </c>
      <c r="B22384" s="38">
        <v>47303.0</v>
      </c>
      <c r="C22384" s="38" t="s">
        <v>26912</v>
      </c>
      <c r="D22384" s="38" t="str">
        <f>IFERROR(__xludf.DUMMYFUNCTION("REGEXREPLACE(C22384,""-\d+(.*)|--\d+(.*)"","""")"),"SOUMENSAC")</f>
        <v>SOUMENSAC</v>
      </c>
      <c r="E22384" s="38" t="s">
        <v>251</v>
      </c>
      <c r="F22384" s="38" t="s">
        <v>252</v>
      </c>
      <c r="G22384" s="49" t="str">
        <f t="shared" si="1"/>
        <v>47120</v>
      </c>
      <c r="H22384" s="49">
        <f t="shared" si="2"/>
        <v>47303</v>
      </c>
    </row>
    <row r="22385">
      <c r="A22385" s="48" t="s">
        <v>26913</v>
      </c>
      <c r="B22385" s="38">
        <v>38471.0</v>
      </c>
      <c r="C22385" s="38" t="s">
        <v>26914</v>
      </c>
      <c r="D22385" s="38" t="str">
        <f>IFERROR(__xludf.DUMMYFUNCTION("REGEXREPLACE(C22385,""-\d+(.*)|--\d+(.*)"","""")"),"LE SAPPEY-EN-CHARTREUSE")</f>
        <v>LE SAPPEY-EN-CHARTREUSE</v>
      </c>
      <c r="E22385" s="38" t="s">
        <v>101</v>
      </c>
      <c r="F22385" s="38" t="s">
        <v>102</v>
      </c>
      <c r="G22385" s="49" t="str">
        <f t="shared" si="1"/>
        <v>38700</v>
      </c>
      <c r="H22385" s="49">
        <f t="shared" si="2"/>
        <v>38471</v>
      </c>
    </row>
    <row r="22386">
      <c r="A22386" s="48" t="s">
        <v>2998</v>
      </c>
      <c r="B22386" s="38">
        <v>1320.0</v>
      </c>
      <c r="C22386" s="38" t="s">
        <v>26915</v>
      </c>
      <c r="D22386" s="38" t="str">
        <f>IFERROR(__xludf.DUMMYFUNCTION("REGEXREPLACE(C22386,""-\d+(.*)|--\d+(.*)"","""")"),"REPLONGES")</f>
        <v>REPLONGES</v>
      </c>
      <c r="E22386" s="38" t="s">
        <v>255</v>
      </c>
      <c r="F22386" s="38" t="s">
        <v>102</v>
      </c>
      <c r="G22386" s="49" t="str">
        <f t="shared" si="1"/>
        <v>01750</v>
      </c>
      <c r="H22386" s="49" t="str">
        <f t="shared" si="2"/>
        <v>01320</v>
      </c>
    </row>
    <row r="22387">
      <c r="A22387" s="48" t="s">
        <v>5235</v>
      </c>
      <c r="B22387" s="38">
        <v>61191.0</v>
      </c>
      <c r="C22387" s="38" t="s">
        <v>26916</v>
      </c>
      <c r="D22387" s="38" t="str">
        <f>IFERROR(__xludf.DUMMYFUNCTION("REGEXREPLACE(C22387,""-\d+(.*)|--\d+(.*)"","""")"),"GLOS-LA-FERRIERE")</f>
        <v>GLOS-LA-FERRIERE</v>
      </c>
      <c r="E22387" s="38" t="s">
        <v>141</v>
      </c>
      <c r="F22387" s="38" t="s">
        <v>138</v>
      </c>
      <c r="G22387" s="49" t="str">
        <f t="shared" si="1"/>
        <v>61550</v>
      </c>
      <c r="H22387" s="49">
        <f t="shared" si="2"/>
        <v>61191</v>
      </c>
    </row>
    <row r="22388">
      <c r="A22388" s="48" t="s">
        <v>3711</v>
      </c>
      <c r="B22388" s="38">
        <v>21446.0</v>
      </c>
      <c r="C22388" s="38" t="s">
        <v>26917</v>
      </c>
      <c r="D22388" s="38" t="str">
        <f>IFERROR(__xludf.DUMMYFUNCTION("REGEXREPLACE(C22388,""-\d+(.*)|--\d+(.*)"","""")"),"MOUTIERS-SAINT-JEAN")</f>
        <v>MOUTIERS-SAINT-JEAN</v>
      </c>
      <c r="E22388" s="38" t="s">
        <v>105</v>
      </c>
      <c r="F22388" s="38" t="s">
        <v>106</v>
      </c>
      <c r="G22388" s="49" t="str">
        <f t="shared" si="1"/>
        <v>21500</v>
      </c>
      <c r="H22388" s="49">
        <f t="shared" si="2"/>
        <v>21446</v>
      </c>
    </row>
    <row r="22389">
      <c r="A22389" s="48" t="s">
        <v>1104</v>
      </c>
      <c r="B22389" s="38">
        <v>52047.0</v>
      </c>
      <c r="C22389" s="38" t="s">
        <v>26918</v>
      </c>
      <c r="D22389" s="38" t="str">
        <f>IFERROR(__xludf.DUMMYFUNCTION("REGEXREPLACE(C22389,""-\d+(.*)|--\d+(.*)"","""")"),"BEURVILLE")</f>
        <v>BEURVILLE</v>
      </c>
      <c r="E22389" s="38" t="s">
        <v>234</v>
      </c>
      <c r="F22389" s="38" t="s">
        <v>130</v>
      </c>
      <c r="G22389" s="49" t="str">
        <f t="shared" si="1"/>
        <v>52110</v>
      </c>
      <c r="H22389" s="49">
        <f t="shared" si="2"/>
        <v>52047</v>
      </c>
    </row>
    <row r="22390">
      <c r="A22390" s="48" t="s">
        <v>11624</v>
      </c>
      <c r="B22390" s="38">
        <v>77106.0</v>
      </c>
      <c r="C22390" s="38" t="s">
        <v>26919</v>
      </c>
      <c r="D22390" s="38" t="str">
        <f>IFERROR(__xludf.DUMMYFUNCTION("REGEXREPLACE(C22390,""-\d+(.*)|--\d+(.*)"","""")"),"CHAUFFRY")</f>
        <v>CHAUFFRY</v>
      </c>
      <c r="E22390" s="38" t="s">
        <v>244</v>
      </c>
      <c r="F22390" s="38" t="s">
        <v>245</v>
      </c>
      <c r="G22390" s="49" t="str">
        <f t="shared" si="1"/>
        <v>77169</v>
      </c>
      <c r="H22390" s="49">
        <f t="shared" si="2"/>
        <v>77106</v>
      </c>
    </row>
    <row r="22391">
      <c r="A22391" s="48" t="s">
        <v>398</v>
      </c>
      <c r="B22391" s="38">
        <v>39214.0</v>
      </c>
      <c r="C22391" s="38" t="s">
        <v>26920</v>
      </c>
      <c r="D22391" s="38" t="str">
        <f>IFERROR(__xludf.DUMMYFUNCTION("REGEXREPLACE(C22391,""-\d+(.*)|--\d+(.*)"","""")"),"ESSERVAL-TARTRE")</f>
        <v>ESSERVAL-TARTRE</v>
      </c>
      <c r="E22391" s="38" t="s">
        <v>400</v>
      </c>
      <c r="F22391" s="38" t="s">
        <v>214</v>
      </c>
      <c r="G22391" s="49" t="str">
        <f t="shared" si="1"/>
        <v>39250</v>
      </c>
      <c r="H22391" s="49">
        <f t="shared" si="2"/>
        <v>39214</v>
      </c>
    </row>
    <row r="22392">
      <c r="A22392" s="48" t="s">
        <v>17943</v>
      </c>
      <c r="B22392" s="38">
        <v>60415.0</v>
      </c>
      <c r="C22392" s="38" t="s">
        <v>26921</v>
      </c>
      <c r="D22392" s="38" t="str">
        <f>IFERROR(__xludf.DUMMYFUNCTION("REGEXREPLACE(C22392,""-\d+(.*)|--\d+(.*)"","""")"),"MONTEPILLOY")</f>
        <v>MONTEPILLOY</v>
      </c>
      <c r="E22392" s="38" t="s">
        <v>112</v>
      </c>
      <c r="F22392" s="38" t="s">
        <v>113</v>
      </c>
      <c r="G22392" s="49" t="str">
        <f t="shared" si="1"/>
        <v>60810</v>
      </c>
      <c r="H22392" s="49">
        <f t="shared" si="2"/>
        <v>60415</v>
      </c>
    </row>
    <row r="22393">
      <c r="A22393" s="48" t="s">
        <v>562</v>
      </c>
      <c r="B22393" s="38">
        <v>54528.0</v>
      </c>
      <c r="C22393" s="38" t="s">
        <v>26922</v>
      </c>
      <c r="D22393" s="38" t="str">
        <f>IFERROR(__xludf.DUMMYFUNCTION("REGEXREPLACE(C22393,""-\d+(.*)|--\d+(.*)"","""")"),"TOUL")</f>
        <v>TOUL</v>
      </c>
      <c r="E22393" s="38" t="s">
        <v>548</v>
      </c>
      <c r="F22393" s="38" t="s">
        <v>195</v>
      </c>
      <c r="G22393" s="49" t="str">
        <f t="shared" si="1"/>
        <v>54200</v>
      </c>
      <c r="H22393" s="49">
        <f t="shared" si="2"/>
        <v>54528</v>
      </c>
    </row>
    <row r="22394">
      <c r="A22394" s="48" t="s">
        <v>3013</v>
      </c>
      <c r="B22394" s="38">
        <v>48083.0</v>
      </c>
      <c r="C22394" s="38" t="s">
        <v>26923</v>
      </c>
      <c r="D22394" s="38" t="str">
        <f>IFERROR(__xludf.DUMMYFUNCTION("REGEXREPLACE(C22394,""-\d+(.*)|--\d+(.*)"","""")"),"LES LAUBIES")</f>
        <v>LES LAUBIES</v>
      </c>
      <c r="E22394" s="38" t="s">
        <v>154</v>
      </c>
      <c r="F22394" s="38" t="s">
        <v>119</v>
      </c>
      <c r="G22394" s="49" t="str">
        <f t="shared" si="1"/>
        <v>48700</v>
      </c>
      <c r="H22394" s="49">
        <f t="shared" si="2"/>
        <v>48083</v>
      </c>
    </row>
    <row r="22395">
      <c r="A22395" s="48" t="s">
        <v>9778</v>
      </c>
      <c r="B22395" s="38">
        <v>23039.0</v>
      </c>
      <c r="C22395" s="38" t="s">
        <v>26924</v>
      </c>
      <c r="D22395" s="38" t="str">
        <f>IFERROR(__xludf.DUMMYFUNCTION("REGEXREPLACE(C22395,""-\d+(.*)|--\d+(.*)"","""")"),"LA CELLE-DUNOISE")</f>
        <v>LA CELLE-DUNOISE</v>
      </c>
      <c r="E22395" s="38" t="s">
        <v>97</v>
      </c>
      <c r="F22395" s="38" t="s">
        <v>98</v>
      </c>
      <c r="G22395" s="49" t="str">
        <f t="shared" si="1"/>
        <v>23800</v>
      </c>
      <c r="H22395" s="49">
        <f t="shared" si="2"/>
        <v>23039</v>
      </c>
    </row>
    <row r="22396">
      <c r="A22396" s="48" t="s">
        <v>1598</v>
      </c>
      <c r="B22396" s="38">
        <v>77519.0</v>
      </c>
      <c r="C22396" s="38" t="s">
        <v>26925</v>
      </c>
      <c r="D22396" s="38" t="str">
        <f>IFERROR(__xludf.DUMMYFUNCTION("REGEXREPLACE(C22396,""-\d+(.*)|--\d+(.*)"","""")"),"VILLIERS-SAINT-GEORGES")</f>
        <v>VILLIERS-SAINT-GEORGES</v>
      </c>
      <c r="E22396" s="38" t="s">
        <v>244</v>
      </c>
      <c r="F22396" s="38" t="s">
        <v>245</v>
      </c>
      <c r="G22396" s="49" t="str">
        <f t="shared" si="1"/>
        <v>77560</v>
      </c>
      <c r="H22396" s="49">
        <f t="shared" si="2"/>
        <v>77519</v>
      </c>
    </row>
    <row r="22397">
      <c r="A22397" s="48" t="s">
        <v>8810</v>
      </c>
      <c r="B22397" s="38">
        <v>63252.0</v>
      </c>
      <c r="C22397" s="38" t="s">
        <v>9782</v>
      </c>
      <c r="D22397" s="38" t="str">
        <f>IFERROR(__xludf.DUMMYFUNCTION("REGEXREPLACE(C22397,""-\d+(.*)|--\d+(.*)"","""")"),"NEUVILLE")</f>
        <v>NEUVILLE</v>
      </c>
      <c r="E22397" s="38" t="s">
        <v>353</v>
      </c>
      <c r="F22397" s="38" t="s">
        <v>161</v>
      </c>
      <c r="G22397" s="49" t="str">
        <f t="shared" si="1"/>
        <v>63160</v>
      </c>
      <c r="H22397" s="49">
        <f t="shared" si="2"/>
        <v>63252</v>
      </c>
    </row>
    <row r="22398">
      <c r="A22398" s="48" t="s">
        <v>217</v>
      </c>
      <c r="B22398" s="38">
        <v>58186.0</v>
      </c>
      <c r="C22398" s="38" t="s">
        <v>26926</v>
      </c>
      <c r="D22398" s="38" t="str">
        <f>IFERROR(__xludf.DUMMYFUNCTION("REGEXREPLACE(C22398,""-\d+(.*)|--\d+(.*)"","""")"),"MURLIN")</f>
        <v>MURLIN</v>
      </c>
      <c r="E22398" s="38" t="s">
        <v>219</v>
      </c>
      <c r="F22398" s="38" t="s">
        <v>106</v>
      </c>
      <c r="G22398" s="49" t="str">
        <f t="shared" si="1"/>
        <v>58700</v>
      </c>
      <c r="H22398" s="49">
        <f t="shared" si="2"/>
        <v>58186</v>
      </c>
    </row>
    <row r="22399">
      <c r="A22399" s="48" t="s">
        <v>23298</v>
      </c>
      <c r="B22399" s="38">
        <v>87013.0</v>
      </c>
      <c r="C22399" s="38" t="s">
        <v>26927</v>
      </c>
      <c r="D22399" s="38" t="str">
        <f>IFERROR(__xludf.DUMMYFUNCTION("REGEXREPLACE(C22399,""-\d+(.*)|--\d+(.*)"","""")"),"BERSAC-SUR-RIVALIER")</f>
        <v>BERSAC-SUR-RIVALIER</v>
      </c>
      <c r="E22399" s="38" t="s">
        <v>897</v>
      </c>
      <c r="F22399" s="38" t="s">
        <v>98</v>
      </c>
      <c r="G22399" s="49" t="str">
        <f t="shared" si="1"/>
        <v>87370</v>
      </c>
      <c r="H22399" s="49">
        <f t="shared" si="2"/>
        <v>87013</v>
      </c>
    </row>
    <row r="22400">
      <c r="A22400" s="48" t="s">
        <v>1356</v>
      </c>
      <c r="B22400" s="38">
        <v>57756.0</v>
      </c>
      <c r="C22400" s="38" t="s">
        <v>26928</v>
      </c>
      <c r="D22400" s="38" t="str">
        <f>IFERROR(__xludf.DUMMYFUNCTION("REGEXREPLACE(C22400,""-\d+(.*)|--\d+(.*)"","""")"),"XOUAXANGE")</f>
        <v>XOUAXANGE</v>
      </c>
      <c r="E22400" s="38" t="s">
        <v>303</v>
      </c>
      <c r="F22400" s="38" t="s">
        <v>195</v>
      </c>
      <c r="G22400" s="49" t="str">
        <f t="shared" si="1"/>
        <v>57830</v>
      </c>
      <c r="H22400" s="49">
        <f t="shared" si="2"/>
        <v>57756</v>
      </c>
    </row>
    <row r="22401">
      <c r="A22401" s="48" t="s">
        <v>9002</v>
      </c>
      <c r="B22401" s="38">
        <v>78230.0</v>
      </c>
      <c r="C22401" s="38" t="s">
        <v>26929</v>
      </c>
      <c r="D22401" s="38" t="str">
        <f>IFERROR(__xludf.DUMMYFUNCTION("REGEXREPLACE(C22401,""-\d+(.*)|--\d+(.*)"","""")"),"LA FALAISE")</f>
        <v>LA FALAISE</v>
      </c>
      <c r="E22401" s="38" t="s">
        <v>362</v>
      </c>
      <c r="F22401" s="38" t="s">
        <v>245</v>
      </c>
      <c r="G22401" s="49" t="str">
        <f t="shared" si="1"/>
        <v>78410</v>
      </c>
      <c r="H22401" s="49">
        <f t="shared" si="2"/>
        <v>78230</v>
      </c>
    </row>
    <row r="22402">
      <c r="A22402" s="48" t="s">
        <v>18155</v>
      </c>
      <c r="B22402" s="38">
        <v>47143.0</v>
      </c>
      <c r="C22402" s="38" t="s">
        <v>26930</v>
      </c>
      <c r="D22402" s="38" t="str">
        <f>IFERROR(__xludf.DUMMYFUNCTION("REGEXREPLACE(C22402,""-\d+(.*)|--\d+(.*)"","""")"),"LAVARDAC")</f>
        <v>LAVARDAC</v>
      </c>
      <c r="E22402" s="38" t="s">
        <v>251</v>
      </c>
      <c r="F22402" s="38" t="s">
        <v>252</v>
      </c>
      <c r="G22402" s="49" t="str">
        <f t="shared" si="1"/>
        <v>47230</v>
      </c>
      <c r="H22402" s="49">
        <f t="shared" si="2"/>
        <v>47143</v>
      </c>
    </row>
    <row r="22403">
      <c r="A22403" s="48" t="s">
        <v>4851</v>
      </c>
      <c r="B22403" s="38">
        <v>33489.0</v>
      </c>
      <c r="C22403" s="38" t="s">
        <v>26931</v>
      </c>
      <c r="D22403" s="38" t="str">
        <f>IFERROR(__xludf.DUMMYFUNCTION("REGEXREPLACE(C22403,""-\d+(.*)|--\d+(.*)"","""")"),"SAINT-VIVIEN-DE-BLAYE")</f>
        <v>SAINT-VIVIEN-DE-BLAYE</v>
      </c>
      <c r="E22403" s="38" t="s">
        <v>462</v>
      </c>
      <c r="F22403" s="38" t="s">
        <v>252</v>
      </c>
      <c r="G22403" s="49" t="str">
        <f t="shared" si="1"/>
        <v>33920</v>
      </c>
      <c r="H22403" s="49">
        <f t="shared" si="2"/>
        <v>33489</v>
      </c>
    </row>
    <row r="22404">
      <c r="A22404" s="48" t="s">
        <v>1385</v>
      </c>
      <c r="B22404" s="38">
        <v>17080.0</v>
      </c>
      <c r="C22404" s="38" t="s">
        <v>12601</v>
      </c>
      <c r="D22404" s="38" t="str">
        <f>IFERROR(__xludf.DUMMYFUNCTION("REGEXREPLACE(C22404,""-\d+(.*)|--\d+(.*)"","""")"),"CHAMBON")</f>
        <v>CHAMBON</v>
      </c>
      <c r="E22404" s="38" t="s">
        <v>488</v>
      </c>
      <c r="F22404" s="38" t="s">
        <v>338</v>
      </c>
      <c r="G22404" s="49" t="str">
        <f t="shared" si="1"/>
        <v>17290</v>
      </c>
      <c r="H22404" s="49">
        <f t="shared" si="2"/>
        <v>17080</v>
      </c>
    </row>
    <row r="22405">
      <c r="A22405" s="48" t="s">
        <v>4346</v>
      </c>
      <c r="B22405" s="38">
        <v>27291.0</v>
      </c>
      <c r="C22405" s="38" t="s">
        <v>26932</v>
      </c>
      <c r="D22405" s="38" t="str">
        <f>IFERROR(__xludf.DUMMYFUNCTION("REGEXREPLACE(C22405,""-\d+(.*)|--\d+(.*)"","""")"),"GOURNAY-LE-GUERIN")</f>
        <v>GOURNAY-LE-GUERIN</v>
      </c>
      <c r="E22405" s="38" t="s">
        <v>241</v>
      </c>
      <c r="F22405" s="38" t="s">
        <v>134</v>
      </c>
      <c r="G22405" s="49" t="str">
        <f t="shared" si="1"/>
        <v>27580</v>
      </c>
      <c r="H22405" s="49">
        <f t="shared" si="2"/>
        <v>27291</v>
      </c>
    </row>
    <row r="22406">
      <c r="A22406" s="48" t="s">
        <v>8523</v>
      </c>
      <c r="B22406" s="38">
        <v>9193.0</v>
      </c>
      <c r="C22406" s="38" t="s">
        <v>26933</v>
      </c>
      <c r="D22406" s="38" t="str">
        <f>IFERROR(__xludf.DUMMYFUNCTION("REGEXREPLACE(C22406,""-\d+(.*)|--\d+(.*)"","""")"),"MIJANES")</f>
        <v>MIJANES</v>
      </c>
      <c r="E22406" s="38" t="s">
        <v>238</v>
      </c>
      <c r="F22406" s="38" t="s">
        <v>94</v>
      </c>
      <c r="G22406" s="49" t="str">
        <f t="shared" si="1"/>
        <v>09460</v>
      </c>
      <c r="H22406" s="49" t="str">
        <f t="shared" si="2"/>
        <v>09193</v>
      </c>
    </row>
    <row r="22407">
      <c r="A22407" s="48" t="s">
        <v>960</v>
      </c>
      <c r="B22407" s="38">
        <v>28003.0</v>
      </c>
      <c r="C22407" s="38" t="s">
        <v>26934</v>
      </c>
      <c r="D22407" s="38" t="str">
        <f>IFERROR(__xludf.DUMMYFUNCTION("REGEXREPLACE(C22407,""-\d+(.*)|--\d+(.*)"","""")"),"ALLAINVILLE")</f>
        <v>ALLAINVILLE</v>
      </c>
      <c r="E22407" s="38" t="s">
        <v>300</v>
      </c>
      <c r="F22407" s="38" t="s">
        <v>123</v>
      </c>
      <c r="G22407" s="49" t="str">
        <f t="shared" si="1"/>
        <v>28500</v>
      </c>
      <c r="H22407" s="49">
        <f t="shared" si="2"/>
        <v>28003</v>
      </c>
    </row>
    <row r="22408">
      <c r="A22408" s="48" t="s">
        <v>1518</v>
      </c>
      <c r="B22408" s="38">
        <v>88164.0</v>
      </c>
      <c r="C22408" s="38" t="s">
        <v>26935</v>
      </c>
      <c r="D22408" s="38" t="str">
        <f>IFERROR(__xludf.DUMMYFUNCTION("REGEXREPLACE(C22408,""-\d+(.*)|--\d+(.*)"","""")"),"ESTRENNES")</f>
        <v>ESTRENNES</v>
      </c>
      <c r="E22408" s="38" t="s">
        <v>194</v>
      </c>
      <c r="F22408" s="38" t="s">
        <v>195</v>
      </c>
      <c r="G22408" s="49" t="str">
        <f t="shared" si="1"/>
        <v>88500</v>
      </c>
      <c r="H22408" s="49">
        <f t="shared" si="2"/>
        <v>88164</v>
      </c>
    </row>
    <row r="22409">
      <c r="A22409" s="48" t="s">
        <v>562</v>
      </c>
      <c r="B22409" s="38">
        <v>54088.0</v>
      </c>
      <c r="C22409" s="38" t="s">
        <v>11386</v>
      </c>
      <c r="D22409" s="38" t="str">
        <f>IFERROR(__xludf.DUMMYFUNCTION("REGEXREPLACE(C22409,""-\d+(.*)|--\d+(.*)"","""")"),"BOUVRON")</f>
        <v>BOUVRON</v>
      </c>
      <c r="E22409" s="38" t="s">
        <v>548</v>
      </c>
      <c r="F22409" s="38" t="s">
        <v>195</v>
      </c>
      <c r="G22409" s="49" t="str">
        <f t="shared" si="1"/>
        <v>54200</v>
      </c>
      <c r="H22409" s="49">
        <f t="shared" si="2"/>
        <v>54088</v>
      </c>
    </row>
    <row r="22410">
      <c r="A22410" s="48" t="s">
        <v>10324</v>
      </c>
      <c r="B22410" s="38">
        <v>54247.0</v>
      </c>
      <c r="C22410" s="38" t="s">
        <v>26936</v>
      </c>
      <c r="D22410" s="38" t="str">
        <f>IFERROR(__xludf.DUMMYFUNCTION("REGEXREPLACE(C22410,""-\d+(.*)|--\d+(.*)"","""")"),"HAMMEVILLE")</f>
        <v>HAMMEVILLE</v>
      </c>
      <c r="E22410" s="38" t="s">
        <v>548</v>
      </c>
      <c r="F22410" s="38" t="s">
        <v>195</v>
      </c>
      <c r="G22410" s="49" t="str">
        <f t="shared" si="1"/>
        <v>54330</v>
      </c>
      <c r="H22410" s="49">
        <f t="shared" si="2"/>
        <v>54247</v>
      </c>
    </row>
    <row r="22411">
      <c r="A22411" s="48" t="s">
        <v>3486</v>
      </c>
      <c r="B22411" s="38">
        <v>76599.0</v>
      </c>
      <c r="C22411" s="38" t="s">
        <v>26937</v>
      </c>
      <c r="D22411" s="38" t="str">
        <f>IFERROR(__xludf.DUMMYFUNCTION("REGEXREPLACE(C22411,""-\d+(.*)|--\d+(.*)"","""")"),"SAINT-LEGER-DU-BOURG-DENIS")</f>
        <v>SAINT-LEGER-DU-BOURG-DENIS</v>
      </c>
      <c r="E22411" s="38" t="s">
        <v>133</v>
      </c>
      <c r="F22411" s="38" t="s">
        <v>134</v>
      </c>
      <c r="G22411" s="49" t="str">
        <f t="shared" si="1"/>
        <v>76160</v>
      </c>
      <c r="H22411" s="49">
        <f t="shared" si="2"/>
        <v>76599</v>
      </c>
    </row>
    <row r="22412">
      <c r="A22412" s="48" t="s">
        <v>5461</v>
      </c>
      <c r="B22412" s="38">
        <v>86073.0</v>
      </c>
      <c r="C22412" s="38" t="s">
        <v>26938</v>
      </c>
      <c r="D22412" s="38" t="str">
        <f>IFERROR(__xludf.DUMMYFUNCTION("REGEXREPLACE(C22412,""-\d+(.*)|--\d+(.*)"","""")"),"CHERVES")</f>
        <v>CHERVES</v>
      </c>
      <c r="E22412" s="38" t="s">
        <v>529</v>
      </c>
      <c r="F22412" s="38" t="s">
        <v>338</v>
      </c>
      <c r="G22412" s="49" t="str">
        <f t="shared" si="1"/>
        <v>86170</v>
      </c>
      <c r="H22412" s="49">
        <f t="shared" si="2"/>
        <v>86073</v>
      </c>
    </row>
    <row r="22413">
      <c r="A22413" s="48" t="s">
        <v>5525</v>
      </c>
      <c r="B22413" s="38">
        <v>10295.0</v>
      </c>
      <c r="C22413" s="38" t="s">
        <v>26939</v>
      </c>
      <c r="D22413" s="38" t="str">
        <f>IFERROR(__xludf.DUMMYFUNCTION("REGEXREPLACE(C22413,""-\d+(.*)|--\d+(.*)"","""")"),"POLISOT")</f>
        <v>POLISOT</v>
      </c>
      <c r="E22413" s="38" t="s">
        <v>147</v>
      </c>
      <c r="F22413" s="38" t="s">
        <v>130</v>
      </c>
      <c r="G22413" s="49" t="str">
        <f t="shared" si="1"/>
        <v>10110</v>
      </c>
      <c r="H22413" s="49">
        <f t="shared" si="2"/>
        <v>10295</v>
      </c>
    </row>
    <row r="22414">
      <c r="A22414" s="48" t="s">
        <v>26940</v>
      </c>
      <c r="B22414" s="38">
        <v>76484.0</v>
      </c>
      <c r="C22414" s="38" t="s">
        <v>26941</v>
      </c>
      <c r="D22414" s="38" t="str">
        <f>IFERROR(__xludf.DUMMYFUNCTION("REGEXREPLACE(C22414,""-\d+(.*)|--\d+(.*)"","""")"),"OISSEL")</f>
        <v>OISSEL</v>
      </c>
      <c r="E22414" s="38" t="s">
        <v>133</v>
      </c>
      <c r="F22414" s="38" t="s">
        <v>134</v>
      </c>
      <c r="G22414" s="49" t="str">
        <f t="shared" si="1"/>
        <v>76350</v>
      </c>
      <c r="H22414" s="49">
        <f t="shared" si="2"/>
        <v>76484</v>
      </c>
    </row>
    <row r="22415">
      <c r="A22415" s="48" t="s">
        <v>2106</v>
      </c>
      <c r="B22415" s="38">
        <v>18118.0</v>
      </c>
      <c r="C22415" s="38" t="s">
        <v>26942</v>
      </c>
      <c r="D22415" s="38" t="str">
        <f>IFERROR(__xludf.DUMMYFUNCTION("REGEXREPLACE(C22415,""-\d+(.*)|--\d+(.*)"","""")"),"JOUET-SUR-L'AUBOIS")</f>
        <v>JOUET-SUR-L'AUBOIS</v>
      </c>
      <c r="E22415" s="38" t="s">
        <v>504</v>
      </c>
      <c r="F22415" s="38" t="s">
        <v>123</v>
      </c>
      <c r="G22415" s="49" t="str">
        <f t="shared" si="1"/>
        <v>18320</v>
      </c>
      <c r="H22415" s="49">
        <f t="shared" si="2"/>
        <v>18118</v>
      </c>
    </row>
    <row r="22416">
      <c r="A22416" s="48" t="s">
        <v>4867</v>
      </c>
      <c r="B22416" s="38">
        <v>82074.0</v>
      </c>
      <c r="C22416" s="38" t="s">
        <v>26943</v>
      </c>
      <c r="D22416" s="38" t="str">
        <f>IFERROR(__xludf.DUMMYFUNCTION("REGEXREPLACE(C22416,""-\d+(.*)|--\d+(.*)"","""")"),"GRAMONT")</f>
        <v>GRAMONT</v>
      </c>
      <c r="E22416" s="38" t="s">
        <v>570</v>
      </c>
      <c r="F22416" s="38" t="s">
        <v>94</v>
      </c>
      <c r="G22416" s="49" t="str">
        <f t="shared" si="1"/>
        <v>82120</v>
      </c>
      <c r="H22416" s="49">
        <f t="shared" si="2"/>
        <v>82074</v>
      </c>
    </row>
    <row r="22417">
      <c r="A22417" s="48" t="s">
        <v>9565</v>
      </c>
      <c r="B22417" s="38">
        <v>71405.0</v>
      </c>
      <c r="C22417" s="38" t="s">
        <v>26944</v>
      </c>
      <c r="D22417" s="38" t="str">
        <f>IFERROR(__xludf.DUMMYFUNCTION("REGEXREPLACE(C22417,""-\d+(.*)|--\d+(.*)"","""")"),"SAINT-DIDIER-EN-BRESSE")</f>
        <v>SAINT-DIDIER-EN-BRESSE</v>
      </c>
      <c r="E22417" s="38" t="s">
        <v>344</v>
      </c>
      <c r="F22417" s="38" t="s">
        <v>106</v>
      </c>
      <c r="G22417" s="49" t="str">
        <f t="shared" si="1"/>
        <v>71620</v>
      </c>
      <c r="H22417" s="49">
        <f t="shared" si="2"/>
        <v>71405</v>
      </c>
    </row>
    <row r="22418">
      <c r="A22418" s="48" t="s">
        <v>573</v>
      </c>
      <c r="B22418" s="38">
        <v>65096.0</v>
      </c>
      <c r="C22418" s="38" t="s">
        <v>26945</v>
      </c>
      <c r="D22418" s="38" t="str">
        <f>IFERROR(__xludf.DUMMYFUNCTION("REGEXREPLACE(C22418,""-\d+(.*)|--\d+(.*)"","""")"),"BONNEMAZON")</f>
        <v>BONNEMAZON</v>
      </c>
      <c r="E22418" s="38" t="s">
        <v>200</v>
      </c>
      <c r="F22418" s="38" t="s">
        <v>94</v>
      </c>
      <c r="G22418" s="49" t="str">
        <f t="shared" si="1"/>
        <v>65130</v>
      </c>
      <c r="H22418" s="49">
        <f t="shared" si="2"/>
        <v>65096</v>
      </c>
    </row>
    <row r="22419">
      <c r="A22419" s="48" t="s">
        <v>1031</v>
      </c>
      <c r="B22419" s="38">
        <v>2661.0</v>
      </c>
      <c r="C22419" s="38" t="s">
        <v>26946</v>
      </c>
      <c r="D22419" s="38" t="str">
        <f>IFERROR(__xludf.DUMMYFUNCTION("REGEXREPLACE(C22419,""-\d+(.*)|--\d+(.*)"","""")"),"ROYAUCOURT-ET-CHAILVET")</f>
        <v>ROYAUCOURT-ET-CHAILVET</v>
      </c>
      <c r="E22419" s="38" t="s">
        <v>191</v>
      </c>
      <c r="F22419" s="38" t="s">
        <v>113</v>
      </c>
      <c r="G22419" s="49" t="str">
        <f t="shared" si="1"/>
        <v>02000</v>
      </c>
      <c r="H22419" s="49" t="str">
        <f t="shared" si="2"/>
        <v>02661</v>
      </c>
    </row>
    <row r="22420">
      <c r="A22420" s="48" t="s">
        <v>2457</v>
      </c>
      <c r="B22420" s="38">
        <v>17211.0</v>
      </c>
      <c r="C22420" s="38" t="s">
        <v>26947</v>
      </c>
      <c r="D22420" s="38" t="str">
        <f>IFERROR(__xludf.DUMMYFUNCTION("REGEXREPLACE(C22420,""-\d+(.*)|--\d+(.*)"","""")"),"LOULAY")</f>
        <v>LOULAY</v>
      </c>
      <c r="E22420" s="38" t="s">
        <v>488</v>
      </c>
      <c r="F22420" s="38" t="s">
        <v>338</v>
      </c>
      <c r="G22420" s="49" t="str">
        <f t="shared" si="1"/>
        <v>17330</v>
      </c>
      <c r="H22420" s="49">
        <f t="shared" si="2"/>
        <v>17211</v>
      </c>
    </row>
    <row r="22421">
      <c r="A22421" s="48" t="s">
        <v>2803</v>
      </c>
      <c r="B22421" s="38">
        <v>80378.0</v>
      </c>
      <c r="C22421" s="38" t="s">
        <v>26948</v>
      </c>
      <c r="D22421" s="38" t="str">
        <f>IFERROR(__xludf.DUMMYFUNCTION("REGEXREPLACE(C22421,""-\d+(.*)|--\d+(.*)"","""")"),"GINCHY")</f>
        <v>GINCHY</v>
      </c>
      <c r="E22421" s="38" t="s">
        <v>224</v>
      </c>
      <c r="F22421" s="38" t="s">
        <v>113</v>
      </c>
      <c r="G22421" s="49" t="str">
        <f t="shared" si="1"/>
        <v>80360</v>
      </c>
      <c r="H22421" s="49">
        <f t="shared" si="2"/>
        <v>80378</v>
      </c>
    </row>
    <row r="22422">
      <c r="A22422" s="48" t="s">
        <v>1630</v>
      </c>
      <c r="B22422" s="38">
        <v>57063.0</v>
      </c>
      <c r="C22422" s="38" t="s">
        <v>26949</v>
      </c>
      <c r="D22422" s="38" t="str">
        <f>IFERROR(__xludf.DUMMYFUNCTION("REGEXREPLACE(C22422,""-\d+(.*)|--\d+(.*)"","""")"),"BERIG-VINTRANGE")</f>
        <v>BERIG-VINTRANGE</v>
      </c>
      <c r="E22422" s="38" t="s">
        <v>303</v>
      </c>
      <c r="F22422" s="38" t="s">
        <v>195</v>
      </c>
      <c r="G22422" s="49" t="str">
        <f t="shared" si="1"/>
        <v>57660</v>
      </c>
      <c r="H22422" s="49">
        <f t="shared" si="2"/>
        <v>57063</v>
      </c>
    </row>
    <row r="22423">
      <c r="A22423" s="48" t="s">
        <v>3819</v>
      </c>
      <c r="B22423" s="38">
        <v>38360.0</v>
      </c>
      <c r="C22423" s="38" t="s">
        <v>7394</v>
      </c>
      <c r="D22423" s="38" t="str">
        <f>IFERROR(__xludf.DUMMYFUNCTION("REGEXREPLACE(C22423,""-\d+(.*)|--\d+(.*)"","""")"),"SAINT-APPOLINARD")</f>
        <v>SAINT-APPOLINARD</v>
      </c>
      <c r="E22423" s="38" t="s">
        <v>101</v>
      </c>
      <c r="F22423" s="38" t="s">
        <v>102</v>
      </c>
      <c r="G22423" s="49" t="str">
        <f t="shared" si="1"/>
        <v>38160</v>
      </c>
      <c r="H22423" s="49">
        <f t="shared" si="2"/>
        <v>38360</v>
      </c>
    </row>
    <row r="22424">
      <c r="A22424" s="48" t="s">
        <v>26950</v>
      </c>
      <c r="B22424" s="38">
        <v>77318.0</v>
      </c>
      <c r="C22424" s="38" t="s">
        <v>26951</v>
      </c>
      <c r="D22424" s="38" t="str">
        <f>IFERROR(__xludf.DUMMYFUNCTION("REGEXREPLACE(C22424,""-\d+(.*)|--\d+(.*)"","""")"),"MORTCERF")</f>
        <v>MORTCERF</v>
      </c>
      <c r="E22424" s="38" t="s">
        <v>244</v>
      </c>
      <c r="F22424" s="38" t="s">
        <v>245</v>
      </c>
      <c r="G22424" s="49" t="str">
        <f t="shared" si="1"/>
        <v>77163</v>
      </c>
      <c r="H22424" s="49">
        <f t="shared" si="2"/>
        <v>77318</v>
      </c>
    </row>
    <row r="22425">
      <c r="A22425" s="48" t="s">
        <v>9342</v>
      </c>
      <c r="B22425" s="38">
        <v>48185.0</v>
      </c>
      <c r="C22425" s="38" t="s">
        <v>17883</v>
      </c>
      <c r="D22425" s="38" t="str">
        <f>IFERROR(__xludf.DUMMYFUNCTION("REGEXREPLACE(C22425,""-\d+(.*)|--\d+(.*)"","""")"),"LES SALELLES")</f>
        <v>LES SALELLES</v>
      </c>
      <c r="E22425" s="38" t="s">
        <v>154</v>
      </c>
      <c r="F22425" s="38" t="s">
        <v>119</v>
      </c>
      <c r="G22425" s="49" t="str">
        <f t="shared" si="1"/>
        <v>48230</v>
      </c>
      <c r="H22425" s="49">
        <f t="shared" si="2"/>
        <v>48185</v>
      </c>
    </row>
    <row r="22426">
      <c r="A22426" s="48" t="s">
        <v>9405</v>
      </c>
      <c r="B22426" s="38">
        <v>15179.0</v>
      </c>
      <c r="C22426" s="38" t="s">
        <v>26952</v>
      </c>
      <c r="D22426" s="38" t="str">
        <f>IFERROR(__xludf.DUMMYFUNCTION("REGEXREPLACE(C22426,""-\d+(.*)|--\d+(.*)"","""")"),"SAINT-CIRGUES-DE-MALBERT")</f>
        <v>SAINT-CIRGUES-DE-MALBERT</v>
      </c>
      <c r="E22426" s="38" t="s">
        <v>632</v>
      </c>
      <c r="F22426" s="38" t="s">
        <v>161</v>
      </c>
      <c r="G22426" s="49" t="str">
        <f t="shared" si="1"/>
        <v>15140</v>
      </c>
      <c r="H22426" s="49">
        <f t="shared" si="2"/>
        <v>15179</v>
      </c>
    </row>
    <row r="22427">
      <c r="A22427" s="48" t="s">
        <v>14469</v>
      </c>
      <c r="B22427" s="38">
        <v>91318.0</v>
      </c>
      <c r="C22427" s="38" t="s">
        <v>26953</v>
      </c>
      <c r="D22427" s="38" t="str">
        <f>IFERROR(__xludf.DUMMYFUNCTION("REGEXREPLACE(C22427,""-\d+(.*)|--\d+(.*)"","""")"),"JANVILLE-SUR-JUINE")</f>
        <v>JANVILLE-SUR-JUINE</v>
      </c>
      <c r="E22427" s="38" t="s">
        <v>756</v>
      </c>
      <c r="F22427" s="38" t="s">
        <v>245</v>
      </c>
      <c r="G22427" s="49" t="str">
        <f t="shared" si="1"/>
        <v>91510</v>
      </c>
      <c r="H22427" s="49">
        <f t="shared" si="2"/>
        <v>91318</v>
      </c>
    </row>
    <row r="22428">
      <c r="A22428" s="48" t="s">
        <v>3356</v>
      </c>
      <c r="B22428" s="38">
        <v>85066.0</v>
      </c>
      <c r="C22428" s="38" t="s">
        <v>26954</v>
      </c>
      <c r="D22428" s="38" t="str">
        <f>IFERROR(__xludf.DUMMYFUNCTION("REGEXREPLACE(C22428,""-\d+(.*)|--\d+(.*)"","""")"),"CHAVAGNES-LES-REDOUX")</f>
        <v>CHAVAGNES-LES-REDOUX</v>
      </c>
      <c r="E22428" s="38" t="s">
        <v>179</v>
      </c>
      <c r="F22428" s="38" t="s">
        <v>180</v>
      </c>
      <c r="G22428" s="49" t="str">
        <f t="shared" si="1"/>
        <v>85390</v>
      </c>
      <c r="H22428" s="49">
        <f t="shared" si="2"/>
        <v>85066</v>
      </c>
    </row>
    <row r="22429">
      <c r="A22429" s="48" t="s">
        <v>16765</v>
      </c>
      <c r="B22429" s="38">
        <v>76480.0</v>
      </c>
      <c r="C22429" s="38" t="s">
        <v>26955</v>
      </c>
      <c r="D22429" s="38" t="str">
        <f>IFERROR(__xludf.DUMMYFUNCTION("REGEXREPLACE(C22429,""-\d+(.*)|--\d+(.*)"","""")"),"OCQUEVILLE")</f>
        <v>OCQUEVILLE</v>
      </c>
      <c r="E22429" s="38" t="s">
        <v>133</v>
      </c>
      <c r="F22429" s="38" t="s">
        <v>134</v>
      </c>
      <c r="G22429" s="49" t="str">
        <f t="shared" si="1"/>
        <v>76450</v>
      </c>
      <c r="H22429" s="49">
        <f t="shared" si="2"/>
        <v>76480</v>
      </c>
    </row>
    <row r="22430">
      <c r="A22430" s="48" t="s">
        <v>3028</v>
      </c>
      <c r="B22430" s="38">
        <v>21105.0</v>
      </c>
      <c r="C22430" s="38" t="s">
        <v>26956</v>
      </c>
      <c r="D22430" s="38" t="str">
        <f>IFERROR(__xludf.DUMMYFUNCTION("REGEXREPLACE(C22430,""-\d+(.*)|--\d+(.*)"","""")"),"BRESSEY-SUR-TILLE")</f>
        <v>BRESSEY-SUR-TILLE</v>
      </c>
      <c r="E22430" s="38" t="s">
        <v>105</v>
      </c>
      <c r="F22430" s="38" t="s">
        <v>106</v>
      </c>
      <c r="G22430" s="49" t="str">
        <f t="shared" si="1"/>
        <v>21560</v>
      </c>
      <c r="H22430" s="49">
        <f t="shared" si="2"/>
        <v>21105</v>
      </c>
    </row>
    <row r="22431">
      <c r="A22431" s="48" t="s">
        <v>643</v>
      </c>
      <c r="B22431" s="38">
        <v>88480.0</v>
      </c>
      <c r="C22431" s="38" t="s">
        <v>26957</v>
      </c>
      <c r="D22431" s="38" t="str">
        <f>IFERROR(__xludf.DUMMYFUNCTION("REGEXREPLACE(C22431,""-\d+(.*)|--\d+(.*)"","""")"),"UBEXY")</f>
        <v>UBEXY</v>
      </c>
      <c r="E22431" s="38" t="s">
        <v>194</v>
      </c>
      <c r="F22431" s="38" t="s">
        <v>195</v>
      </c>
      <c r="G22431" s="49" t="str">
        <f t="shared" si="1"/>
        <v>88130</v>
      </c>
      <c r="H22431" s="49">
        <f t="shared" si="2"/>
        <v>88480</v>
      </c>
    </row>
    <row r="22432">
      <c r="A22432" s="48" t="s">
        <v>1926</v>
      </c>
      <c r="B22432" s="38">
        <v>28151.0</v>
      </c>
      <c r="C22432" s="38" t="s">
        <v>26958</v>
      </c>
      <c r="D22432" s="38" t="str">
        <f>IFERROR(__xludf.DUMMYFUNCTION("REGEXREPLACE(C22432,""-\d+(.*)|--\d+(.*)"","""")"),"FESSANVILLIERS-MATTANVILLIERS")</f>
        <v>FESSANVILLIERS-MATTANVILLIERS</v>
      </c>
      <c r="E22432" s="38" t="s">
        <v>300</v>
      </c>
      <c r="F22432" s="38" t="s">
        <v>123</v>
      </c>
      <c r="G22432" s="49" t="str">
        <f t="shared" si="1"/>
        <v>28270</v>
      </c>
      <c r="H22432" s="49">
        <f t="shared" si="2"/>
        <v>28151</v>
      </c>
    </row>
    <row r="22433">
      <c r="A22433" s="48" t="s">
        <v>4011</v>
      </c>
      <c r="B22433" s="38">
        <v>80643.0</v>
      </c>
      <c r="C22433" s="38" t="s">
        <v>26959</v>
      </c>
      <c r="D22433" s="38" t="str">
        <f>IFERROR(__xludf.DUMMYFUNCTION("REGEXREPLACE(C22433,""-\d+(.*)|--\d+(.*)"","""")"),"PROUZEL")</f>
        <v>PROUZEL</v>
      </c>
      <c r="E22433" s="38" t="s">
        <v>224</v>
      </c>
      <c r="F22433" s="38" t="s">
        <v>113</v>
      </c>
      <c r="G22433" s="49" t="str">
        <f t="shared" si="1"/>
        <v>80160</v>
      </c>
      <c r="H22433" s="49">
        <f t="shared" si="2"/>
        <v>80643</v>
      </c>
    </row>
    <row r="22434">
      <c r="A22434" s="48" t="s">
        <v>4274</v>
      </c>
      <c r="B22434" s="38">
        <v>52208.0</v>
      </c>
      <c r="C22434" s="38" t="s">
        <v>26960</v>
      </c>
      <c r="D22434" s="38" t="str">
        <f>IFERROR(__xludf.DUMMYFUNCTION("REGEXREPLACE(C22434,""-\d+(.*)|--\d+(.*)"","""")"),"FRESNES-SUR-APANCE")</f>
        <v>FRESNES-SUR-APANCE</v>
      </c>
      <c r="E22434" s="38" t="s">
        <v>234</v>
      </c>
      <c r="F22434" s="38" t="s">
        <v>130</v>
      </c>
      <c r="G22434" s="49" t="str">
        <f t="shared" si="1"/>
        <v>52400</v>
      </c>
      <c r="H22434" s="49">
        <f t="shared" si="2"/>
        <v>52208</v>
      </c>
    </row>
    <row r="22435">
      <c r="A22435" s="48" t="s">
        <v>665</v>
      </c>
      <c r="B22435" s="38">
        <v>76022.0</v>
      </c>
      <c r="C22435" s="38" t="s">
        <v>26961</v>
      </c>
      <c r="D22435" s="38" t="str">
        <f>IFERROR(__xludf.DUMMYFUNCTION("REGEXREPLACE(C22435,""-\d+(.*)|--\d+(.*)"","""")"),"ANQUETIERVILLE")</f>
        <v>ANQUETIERVILLE</v>
      </c>
      <c r="E22435" s="38" t="s">
        <v>133</v>
      </c>
      <c r="F22435" s="38" t="s">
        <v>134</v>
      </c>
      <c r="G22435" s="49" t="str">
        <f t="shared" si="1"/>
        <v>76490</v>
      </c>
      <c r="H22435" s="49">
        <f t="shared" si="2"/>
        <v>76022</v>
      </c>
    </row>
    <row r="22436">
      <c r="A22436" s="48" t="s">
        <v>9755</v>
      </c>
      <c r="B22436" s="38">
        <v>51306.0</v>
      </c>
      <c r="C22436" s="38" t="s">
        <v>26962</v>
      </c>
      <c r="D22436" s="38" t="str">
        <f>IFERROR(__xludf.DUMMYFUNCTION("REGEXREPLACE(C22436,""-\d+(.*)|--\d+(.*)"","""")"),"JOISELLE")</f>
        <v>JOISELLE</v>
      </c>
      <c r="E22436" s="38" t="s">
        <v>129</v>
      </c>
      <c r="F22436" s="38" t="s">
        <v>130</v>
      </c>
      <c r="G22436" s="49" t="str">
        <f t="shared" si="1"/>
        <v>51310</v>
      </c>
      <c r="H22436" s="49">
        <f t="shared" si="2"/>
        <v>51306</v>
      </c>
    </row>
    <row r="22437">
      <c r="A22437" s="48" t="s">
        <v>5012</v>
      </c>
      <c r="B22437" s="38">
        <v>55082.0</v>
      </c>
      <c r="C22437" s="38" t="s">
        <v>26963</v>
      </c>
      <c r="D22437" s="38" t="str">
        <f>IFERROR(__xludf.DUMMYFUNCTION("REGEXREPLACE(C22437,""-\d+(.*)|--\d+(.*)"","""")"),"BROCOURT-EN-ARGONNE")</f>
        <v>BROCOURT-EN-ARGONNE</v>
      </c>
      <c r="E22437" s="38" t="s">
        <v>322</v>
      </c>
      <c r="F22437" s="38" t="s">
        <v>195</v>
      </c>
      <c r="G22437" s="49" t="str">
        <f t="shared" si="1"/>
        <v>55120</v>
      </c>
      <c r="H22437" s="49">
        <f t="shared" si="2"/>
        <v>55082</v>
      </c>
    </row>
    <row r="22438">
      <c r="A22438" s="48" t="s">
        <v>3208</v>
      </c>
      <c r="B22438" s="38">
        <v>80658.0</v>
      </c>
      <c r="C22438" s="38" t="s">
        <v>26964</v>
      </c>
      <c r="D22438" s="38" t="str">
        <f>IFERROR(__xludf.DUMMYFUNCTION("REGEXREPLACE(C22438,""-\d+(.*)|--\d+(.*)"","""")"),"QUIVIERES")</f>
        <v>QUIVIERES</v>
      </c>
      <c r="E22438" s="38" t="s">
        <v>224</v>
      </c>
      <c r="F22438" s="38" t="s">
        <v>113</v>
      </c>
      <c r="G22438" s="49" t="str">
        <f t="shared" si="1"/>
        <v>80400</v>
      </c>
      <c r="H22438" s="49">
        <f t="shared" si="2"/>
        <v>80658</v>
      </c>
    </row>
    <row r="22439">
      <c r="A22439" s="48" t="s">
        <v>9587</v>
      </c>
      <c r="B22439" s="38">
        <v>67187.0</v>
      </c>
      <c r="C22439" s="38" t="s">
        <v>26965</v>
      </c>
      <c r="D22439" s="38" t="str">
        <f>IFERROR(__xludf.DUMMYFUNCTION("REGEXREPLACE(C22439,""-\d+(.*)|--\d+(.*)"","""")"),"HEIDOLSHEIM")</f>
        <v>HEIDOLSHEIM</v>
      </c>
      <c r="E22439" s="38" t="s">
        <v>210</v>
      </c>
      <c r="F22439" s="38" t="s">
        <v>151</v>
      </c>
      <c r="G22439" s="49" t="str">
        <f t="shared" si="1"/>
        <v>67390</v>
      </c>
      <c r="H22439" s="49">
        <f t="shared" si="2"/>
        <v>67187</v>
      </c>
    </row>
    <row r="22440">
      <c r="A22440" s="48" t="s">
        <v>3418</v>
      </c>
      <c r="B22440" s="38">
        <v>47236.0</v>
      </c>
      <c r="C22440" s="38" t="s">
        <v>26966</v>
      </c>
      <c r="D22440" s="38" t="str">
        <f>IFERROR(__xludf.DUMMYFUNCTION("REGEXREPLACE(C22440,""-\d+(.*)|--\d+(.*)"","""")"),"SAINTE-COLOMBE-DE-DURAS")</f>
        <v>SAINTE-COLOMBE-DE-DURAS</v>
      </c>
      <c r="E22440" s="38" t="s">
        <v>251</v>
      </c>
      <c r="F22440" s="38" t="s">
        <v>252</v>
      </c>
      <c r="G22440" s="49" t="str">
        <f t="shared" si="1"/>
        <v>47120</v>
      </c>
      <c r="H22440" s="49">
        <f t="shared" si="2"/>
        <v>47236</v>
      </c>
    </row>
    <row r="22441">
      <c r="A22441" s="48" t="s">
        <v>2338</v>
      </c>
      <c r="B22441" s="38">
        <v>8296.0</v>
      </c>
      <c r="C22441" s="38" t="s">
        <v>26967</v>
      </c>
      <c r="D22441" s="38" t="str">
        <f>IFERROR(__xludf.DUMMYFUNCTION("REGEXREPLACE(C22441,""-\d+(.*)|--\d+(.*)"","""")"),"MONTCHEUTIN")</f>
        <v>MONTCHEUTIN</v>
      </c>
      <c r="E22441" s="38" t="s">
        <v>327</v>
      </c>
      <c r="F22441" s="38" t="s">
        <v>130</v>
      </c>
      <c r="G22441" s="49" t="str">
        <f t="shared" si="1"/>
        <v>08250</v>
      </c>
      <c r="H22441" s="49" t="str">
        <f t="shared" si="2"/>
        <v>08296</v>
      </c>
    </row>
    <row r="22442">
      <c r="A22442" s="48" t="s">
        <v>2549</v>
      </c>
      <c r="B22442" s="38">
        <v>55129.0</v>
      </c>
      <c r="C22442" s="38" t="s">
        <v>26968</v>
      </c>
      <c r="D22442" s="38" t="str">
        <f>IFERROR(__xludf.DUMMYFUNCTION("REGEXREPLACE(C22442,""-\d+(.*)|--\d+(.*)"","""")"),"COUROUVRE")</f>
        <v>COUROUVRE</v>
      </c>
      <c r="E22442" s="38" t="s">
        <v>322</v>
      </c>
      <c r="F22442" s="38" t="s">
        <v>195</v>
      </c>
      <c r="G22442" s="49" t="str">
        <f t="shared" si="1"/>
        <v>55260</v>
      </c>
      <c r="H22442" s="49">
        <f t="shared" si="2"/>
        <v>55129</v>
      </c>
    </row>
    <row r="22443">
      <c r="A22443" s="48" t="s">
        <v>26969</v>
      </c>
      <c r="B22443" s="38">
        <v>91599.0</v>
      </c>
      <c r="C22443" s="38" t="s">
        <v>26970</v>
      </c>
      <c r="D22443" s="38" t="str">
        <f>IFERROR(__xludf.DUMMYFUNCTION("REGEXREPLACE(C22443,""-\d+(.*)|--\d+(.*)"","""")"),"SOISY-SUR-ECOLE")</f>
        <v>SOISY-SUR-ECOLE</v>
      </c>
      <c r="E22443" s="38" t="s">
        <v>756</v>
      </c>
      <c r="F22443" s="38" t="s">
        <v>245</v>
      </c>
      <c r="G22443" s="49" t="str">
        <f t="shared" si="1"/>
        <v>91840</v>
      </c>
      <c r="H22443" s="49">
        <f t="shared" si="2"/>
        <v>91599</v>
      </c>
    </row>
    <row r="22444">
      <c r="A22444" s="48" t="s">
        <v>1239</v>
      </c>
      <c r="B22444" s="38">
        <v>2049.0</v>
      </c>
      <c r="C22444" s="38" t="s">
        <v>26971</v>
      </c>
      <c r="D22444" s="38" t="str">
        <f>IFERROR(__xludf.DUMMYFUNCTION("REGEXREPLACE(C22444,""-\d+(.*)|--\d+(.*)"","""")"),"BARISIS")</f>
        <v>BARISIS</v>
      </c>
      <c r="E22444" s="38" t="s">
        <v>191</v>
      </c>
      <c r="F22444" s="38" t="s">
        <v>113</v>
      </c>
      <c r="G22444" s="49" t="str">
        <f t="shared" si="1"/>
        <v>02700</v>
      </c>
      <c r="H22444" s="49" t="str">
        <f t="shared" si="2"/>
        <v>02049</v>
      </c>
    </row>
    <row r="22445">
      <c r="A22445" s="48" t="s">
        <v>2594</v>
      </c>
      <c r="B22445" s="38">
        <v>69218.0</v>
      </c>
      <c r="C22445" s="38" t="s">
        <v>26972</v>
      </c>
      <c r="D22445" s="38" t="str">
        <f>IFERROR(__xludf.DUMMYFUNCTION("REGEXREPLACE(C22445,""-\d+(.*)|--\d+(.*)"","""")"),"SAINT-LAGER")</f>
        <v>SAINT-LAGER</v>
      </c>
      <c r="E22445" s="38" t="s">
        <v>350</v>
      </c>
      <c r="F22445" s="38" t="s">
        <v>102</v>
      </c>
      <c r="G22445" s="49" t="str">
        <f t="shared" si="1"/>
        <v>69220</v>
      </c>
      <c r="H22445" s="49">
        <f t="shared" si="2"/>
        <v>69218</v>
      </c>
    </row>
    <row r="22446">
      <c r="A22446" s="48" t="s">
        <v>3596</v>
      </c>
      <c r="B22446" s="38">
        <v>25012.0</v>
      </c>
      <c r="C22446" s="38" t="s">
        <v>26973</v>
      </c>
      <c r="D22446" s="38" t="str">
        <f>IFERROR(__xludf.DUMMYFUNCTION("REGEXREPLACE(C22446,""-\d+(.*)|--\d+(.*)"","""")"),"LES ALLIES")</f>
        <v>LES ALLIES</v>
      </c>
      <c r="E22446" s="38" t="s">
        <v>213</v>
      </c>
      <c r="F22446" s="38" t="s">
        <v>214</v>
      </c>
      <c r="G22446" s="49" t="str">
        <f t="shared" si="1"/>
        <v>25300</v>
      </c>
      <c r="H22446" s="49">
        <f t="shared" si="2"/>
        <v>25012</v>
      </c>
    </row>
    <row r="22447">
      <c r="A22447" s="48" t="s">
        <v>4898</v>
      </c>
      <c r="B22447" s="38">
        <v>27329.0</v>
      </c>
      <c r="C22447" s="38" t="s">
        <v>26974</v>
      </c>
      <c r="D22447" s="38" t="str">
        <f>IFERROR(__xludf.DUMMYFUNCTION("REGEXREPLACE(C22447,""-\d+(.*)|--\d+(.*)"","""")"),"HENNEZIS")</f>
        <v>HENNEZIS</v>
      </c>
      <c r="E22447" s="38" t="s">
        <v>241</v>
      </c>
      <c r="F22447" s="38" t="s">
        <v>134</v>
      </c>
      <c r="G22447" s="49" t="str">
        <f t="shared" si="1"/>
        <v>27700</v>
      </c>
      <c r="H22447" s="49">
        <f t="shared" si="2"/>
        <v>27329</v>
      </c>
    </row>
    <row r="22448">
      <c r="A22448" s="48" t="s">
        <v>11910</v>
      </c>
      <c r="B22448" s="38">
        <v>46046.0</v>
      </c>
      <c r="C22448" s="38" t="s">
        <v>26975</v>
      </c>
      <c r="D22448" s="38" t="str">
        <f>IFERROR(__xludf.DUMMYFUNCTION("REGEXREPLACE(C22448,""-\d+(.*)|--\d+(.*)"","""")"),"CALAMANE")</f>
        <v>CALAMANE</v>
      </c>
      <c r="E22448" s="38" t="s">
        <v>185</v>
      </c>
      <c r="F22448" s="38" t="s">
        <v>94</v>
      </c>
      <c r="G22448" s="49" t="str">
        <f t="shared" si="1"/>
        <v>46150</v>
      </c>
      <c r="H22448" s="49">
        <f t="shared" si="2"/>
        <v>46046</v>
      </c>
    </row>
    <row r="22449">
      <c r="A22449" s="48" t="s">
        <v>1540</v>
      </c>
      <c r="B22449" s="38">
        <v>70428.0</v>
      </c>
      <c r="C22449" s="38" t="s">
        <v>26976</v>
      </c>
      <c r="D22449" s="38" t="str">
        <f>IFERROR(__xludf.DUMMYFUNCTION("REGEXREPLACE(C22449,""-\d+(.*)|--\d+(.*)"","""")"),"PUSEY")</f>
        <v>PUSEY</v>
      </c>
      <c r="E22449" s="38" t="s">
        <v>956</v>
      </c>
      <c r="F22449" s="38" t="s">
        <v>214</v>
      </c>
      <c r="G22449" s="49" t="str">
        <f t="shared" si="1"/>
        <v>70000</v>
      </c>
      <c r="H22449" s="49">
        <f t="shared" si="2"/>
        <v>70428</v>
      </c>
    </row>
    <row r="22450">
      <c r="A22450" s="48" t="s">
        <v>6773</v>
      </c>
      <c r="B22450" s="38">
        <v>48089.0</v>
      </c>
      <c r="C22450" s="38" t="s">
        <v>26977</v>
      </c>
      <c r="D22450" s="38" t="str">
        <f>IFERROR(__xludf.DUMMYFUNCTION("REGEXREPLACE(C22450,""-\d+(.*)|--\d+(.*)"","""")"),"LE MALZIEU-FORAIN")</f>
        <v>LE MALZIEU-FORAIN</v>
      </c>
      <c r="E22450" s="38" t="s">
        <v>154</v>
      </c>
      <c r="F22450" s="38" t="s">
        <v>119</v>
      </c>
      <c r="G22450" s="49" t="str">
        <f t="shared" si="1"/>
        <v>48140</v>
      </c>
      <c r="H22450" s="49">
        <f t="shared" si="2"/>
        <v>48089</v>
      </c>
    </row>
    <row r="22451">
      <c r="A22451" s="48" t="s">
        <v>8678</v>
      </c>
      <c r="B22451" s="38">
        <v>65313.0</v>
      </c>
      <c r="C22451" s="38" t="s">
        <v>26978</v>
      </c>
      <c r="D22451" s="38" t="str">
        <f>IFERROR(__xludf.DUMMYFUNCTION("REGEXREPLACE(C22451,""-\d+(.*)|--\d+(.*)"","""")"),"MOMERES")</f>
        <v>MOMERES</v>
      </c>
      <c r="E22451" s="38" t="s">
        <v>200</v>
      </c>
      <c r="F22451" s="38" t="s">
        <v>94</v>
      </c>
      <c r="G22451" s="49" t="str">
        <f t="shared" si="1"/>
        <v>65360</v>
      </c>
      <c r="H22451" s="49">
        <f t="shared" si="2"/>
        <v>65313</v>
      </c>
    </row>
    <row r="22452">
      <c r="A22452" s="48" t="s">
        <v>26979</v>
      </c>
      <c r="B22452" s="38">
        <v>67365.0</v>
      </c>
      <c r="C22452" s="38" t="s">
        <v>26980</v>
      </c>
      <c r="D22452" s="38" t="str">
        <f>IFERROR(__xludf.DUMMYFUNCTION("REGEXREPLACE(C22452,""-\d+(.*)|--\d+(.*)"","""")"),"OSTWALD")</f>
        <v>OSTWALD</v>
      </c>
      <c r="E22452" s="38" t="s">
        <v>210</v>
      </c>
      <c r="F22452" s="38" t="s">
        <v>151</v>
      </c>
      <c r="G22452" s="49" t="str">
        <f t="shared" si="1"/>
        <v>67540</v>
      </c>
      <c r="H22452" s="49">
        <f t="shared" si="2"/>
        <v>67365</v>
      </c>
    </row>
    <row r="22453">
      <c r="A22453" s="48" t="s">
        <v>16765</v>
      </c>
      <c r="B22453" s="38">
        <v>76176.0</v>
      </c>
      <c r="C22453" s="38" t="s">
        <v>26981</v>
      </c>
      <c r="D22453" s="38" t="str">
        <f>IFERROR(__xludf.DUMMYFUNCTION("REGEXREPLACE(C22453,""-\d+(.*)|--\d+(.*)"","""")"),"CLASVILLE")</f>
        <v>CLASVILLE</v>
      </c>
      <c r="E22453" s="38" t="s">
        <v>133</v>
      </c>
      <c r="F22453" s="38" t="s">
        <v>134</v>
      </c>
      <c r="G22453" s="49" t="str">
        <f t="shared" si="1"/>
        <v>76450</v>
      </c>
      <c r="H22453" s="49">
        <f t="shared" si="2"/>
        <v>76176</v>
      </c>
    </row>
    <row r="22454">
      <c r="A22454" s="48" t="s">
        <v>12083</v>
      </c>
      <c r="B22454" s="38">
        <v>26197.0</v>
      </c>
      <c r="C22454" s="38" t="s">
        <v>26982</v>
      </c>
      <c r="D22454" s="38" t="str">
        <f>IFERROR(__xludf.DUMMYFUNCTION("REGEXREPLACE(C22454,""-\d+(.*)|--\d+(.*)"","""")"),"MONTELIER")</f>
        <v>MONTELIER</v>
      </c>
      <c r="E22454" s="38" t="s">
        <v>126</v>
      </c>
      <c r="F22454" s="38" t="s">
        <v>102</v>
      </c>
      <c r="G22454" s="49" t="str">
        <f t="shared" si="1"/>
        <v>26120</v>
      </c>
      <c r="H22454" s="49">
        <f t="shared" si="2"/>
        <v>26197</v>
      </c>
    </row>
    <row r="22455">
      <c r="A22455" s="48" t="s">
        <v>2703</v>
      </c>
      <c r="B22455" s="38">
        <v>69099.0</v>
      </c>
      <c r="C22455" s="38" t="s">
        <v>26983</v>
      </c>
      <c r="D22455" s="38" t="str">
        <f>IFERROR(__xludf.DUMMYFUNCTION("REGEXREPLACE(C22455,""-\d+(.*)|--\d+(.*)"","""")"),"HAUTE-RIVOIRE")</f>
        <v>HAUTE-RIVOIRE</v>
      </c>
      <c r="E22455" s="38" t="s">
        <v>350</v>
      </c>
      <c r="F22455" s="38" t="s">
        <v>102</v>
      </c>
      <c r="G22455" s="49" t="str">
        <f t="shared" si="1"/>
        <v>69610</v>
      </c>
      <c r="H22455" s="49">
        <f t="shared" si="2"/>
        <v>69099</v>
      </c>
    </row>
    <row r="22456">
      <c r="A22456" s="48" t="s">
        <v>26984</v>
      </c>
      <c r="B22456" s="38">
        <v>78640.0</v>
      </c>
      <c r="C22456" s="38" t="s">
        <v>26985</v>
      </c>
      <c r="D22456" s="38" t="str">
        <f>IFERROR(__xludf.DUMMYFUNCTION("REGEXREPLACE(C22456,""-\d+(.*)|--\d+(.*)"","""")"),"VELIZY-VILLACOUBLAY")</f>
        <v>VELIZY-VILLACOUBLAY</v>
      </c>
      <c r="E22456" s="38" t="s">
        <v>362</v>
      </c>
      <c r="F22456" s="38" t="s">
        <v>245</v>
      </c>
      <c r="G22456" s="49" t="str">
        <f t="shared" si="1"/>
        <v>78140</v>
      </c>
      <c r="H22456" s="49">
        <f t="shared" si="2"/>
        <v>78640</v>
      </c>
    </row>
    <row r="22457">
      <c r="A22457" s="48" t="s">
        <v>26986</v>
      </c>
      <c r="B22457" s="38">
        <v>68026.0</v>
      </c>
      <c r="C22457" s="38" t="s">
        <v>26987</v>
      </c>
      <c r="D22457" s="38" t="str">
        <f>IFERROR(__xludf.DUMMYFUNCTION("REGEXREPLACE(C22457,""-\d+(.*)|--\d+(.*)"","""")"),"BENNWIHR")</f>
        <v>BENNWIHR</v>
      </c>
      <c r="E22457" s="38" t="s">
        <v>150</v>
      </c>
      <c r="F22457" s="38" t="s">
        <v>151</v>
      </c>
      <c r="G22457" s="49" t="str">
        <f t="shared" si="1"/>
        <v>68630/68126</v>
      </c>
      <c r="H22457" s="49">
        <f t="shared" si="2"/>
        <v>68026</v>
      </c>
    </row>
    <row r="22458">
      <c r="A22458" s="48" t="s">
        <v>8892</v>
      </c>
      <c r="B22458" s="38">
        <v>60663.0</v>
      </c>
      <c r="C22458" s="38" t="s">
        <v>20117</v>
      </c>
      <c r="D22458" s="38" t="str">
        <f>IFERROR(__xludf.DUMMYFUNCTION("REGEXREPLACE(C22458,""-\d+(.*)|--\d+(.*)"","""")"),"VELENNES")</f>
        <v>VELENNES</v>
      </c>
      <c r="E22458" s="38" t="s">
        <v>112</v>
      </c>
      <c r="F22458" s="38" t="s">
        <v>113</v>
      </c>
      <c r="G22458" s="49" t="str">
        <f t="shared" si="1"/>
        <v>60510</v>
      </c>
      <c r="H22458" s="49">
        <f t="shared" si="2"/>
        <v>60663</v>
      </c>
    </row>
    <row r="22459">
      <c r="A22459" s="48" t="s">
        <v>372</v>
      </c>
      <c r="B22459" s="38">
        <v>29007.0</v>
      </c>
      <c r="C22459" s="38" t="s">
        <v>26988</v>
      </c>
      <c r="D22459" s="38" t="str">
        <f>IFERROR(__xludf.DUMMYFUNCTION("REGEXREPLACE(C22459,""-\d+(.*)|--\d+(.*)"","""")"),"BERRIEN")</f>
        <v>BERRIEN</v>
      </c>
      <c r="E22459" s="38" t="s">
        <v>176</v>
      </c>
      <c r="F22459" s="38" t="s">
        <v>90</v>
      </c>
      <c r="G22459" s="49" t="str">
        <f t="shared" si="1"/>
        <v>29690</v>
      </c>
      <c r="H22459" s="49">
        <f t="shared" si="2"/>
        <v>29007</v>
      </c>
    </row>
    <row r="22460">
      <c r="A22460" s="48" t="s">
        <v>8103</v>
      </c>
      <c r="B22460" s="38">
        <v>55228.0</v>
      </c>
      <c r="C22460" s="38" t="s">
        <v>26989</v>
      </c>
      <c r="D22460" s="38" t="str">
        <f>IFERROR(__xludf.DUMMYFUNCTION("REGEXREPLACE(C22460,""-\d+(.*)|--\d+(.*)"","""")"),"HANNONVILLE-SOUS-LES-COTES")</f>
        <v>HANNONVILLE-SOUS-LES-COTES</v>
      </c>
      <c r="E22460" s="38" t="s">
        <v>322</v>
      </c>
      <c r="F22460" s="38" t="s">
        <v>195</v>
      </c>
      <c r="G22460" s="49" t="str">
        <f t="shared" si="1"/>
        <v>55210</v>
      </c>
      <c r="H22460" s="49">
        <f t="shared" si="2"/>
        <v>55228</v>
      </c>
    </row>
    <row r="22461">
      <c r="A22461" s="48" t="s">
        <v>1426</v>
      </c>
      <c r="B22461" s="38">
        <v>61438.0</v>
      </c>
      <c r="C22461" s="38" t="s">
        <v>26990</v>
      </c>
      <c r="D22461" s="38" t="str">
        <f>IFERROR(__xludf.DUMMYFUNCTION("REGEXREPLACE(C22461,""-\d+(.*)|--\d+(.*)"","""")"),"SAINT-OUEN-DE-SECHEROUVRE")</f>
        <v>SAINT-OUEN-DE-SECHEROUVRE</v>
      </c>
      <c r="E22461" s="38" t="s">
        <v>141</v>
      </c>
      <c r="F22461" s="38" t="s">
        <v>138</v>
      </c>
      <c r="G22461" s="49" t="str">
        <f t="shared" si="1"/>
        <v>61560</v>
      </c>
      <c r="H22461" s="49">
        <f t="shared" si="2"/>
        <v>61438</v>
      </c>
    </row>
    <row r="22462">
      <c r="A22462" s="48" t="s">
        <v>674</v>
      </c>
      <c r="B22462" s="38">
        <v>49201.0</v>
      </c>
      <c r="C22462" s="38" t="s">
        <v>26991</v>
      </c>
      <c r="D22462" s="38" t="str">
        <f>IFERROR(__xludf.DUMMYFUNCTION("REGEXREPLACE(C22462,""-\d+(.*)|--\d+(.*)"","""")"),"LA MENITRE")</f>
        <v>LA MENITRE</v>
      </c>
      <c r="E22462" s="38" t="s">
        <v>653</v>
      </c>
      <c r="F22462" s="38" t="s">
        <v>180</v>
      </c>
      <c r="G22462" s="49" t="str">
        <f t="shared" si="1"/>
        <v>49250</v>
      </c>
      <c r="H22462" s="49">
        <f t="shared" si="2"/>
        <v>49201</v>
      </c>
    </row>
    <row r="22463">
      <c r="A22463" s="48" t="s">
        <v>15662</v>
      </c>
      <c r="B22463" s="38">
        <v>43026.0</v>
      </c>
      <c r="C22463" s="38" t="s">
        <v>26992</v>
      </c>
      <c r="D22463" s="38" t="str">
        <f>IFERROR(__xludf.DUMMYFUNCTION("REGEXREPLACE(C22463,""-\d+(.*)|--\d+(.*)"","""")"),"BELLEVUE-LA-MONTAGNE")</f>
        <v>BELLEVUE-LA-MONTAGNE</v>
      </c>
      <c r="E22463" s="38" t="s">
        <v>332</v>
      </c>
      <c r="F22463" s="38" t="s">
        <v>161</v>
      </c>
      <c r="G22463" s="49" t="str">
        <f t="shared" si="1"/>
        <v>43350</v>
      </c>
      <c r="H22463" s="49">
        <f t="shared" si="2"/>
        <v>43026</v>
      </c>
    </row>
    <row r="22464">
      <c r="A22464" s="48" t="s">
        <v>6517</v>
      </c>
      <c r="B22464" s="38">
        <v>50535.0</v>
      </c>
      <c r="C22464" s="38" t="s">
        <v>26993</v>
      </c>
      <c r="D22464" s="38" t="str">
        <f>IFERROR(__xludf.DUMMYFUNCTION("REGEXREPLACE(C22464,""-\d+(.*)|--\d+(.*)"","""")"),"SAINTE-PIENCE")</f>
        <v>SAINTE-PIENCE</v>
      </c>
      <c r="E22464" s="38" t="s">
        <v>157</v>
      </c>
      <c r="F22464" s="38" t="s">
        <v>138</v>
      </c>
      <c r="G22464" s="49" t="str">
        <f t="shared" si="1"/>
        <v>50870</v>
      </c>
      <c r="H22464" s="49">
        <f t="shared" si="2"/>
        <v>50535</v>
      </c>
    </row>
    <row r="22465">
      <c r="A22465" s="48" t="s">
        <v>693</v>
      </c>
      <c r="B22465" s="38">
        <v>23161.0</v>
      </c>
      <c r="C22465" s="38" t="s">
        <v>26994</v>
      </c>
      <c r="D22465" s="38" t="str">
        <f>IFERROR(__xludf.DUMMYFUNCTION("REGEXREPLACE(C22465,""-\d+(.*)|--\d+(.*)"","""")"),"RIMONDEIX")</f>
        <v>RIMONDEIX</v>
      </c>
      <c r="E22465" s="38" t="s">
        <v>97</v>
      </c>
      <c r="F22465" s="38" t="s">
        <v>98</v>
      </c>
      <c r="G22465" s="49" t="str">
        <f t="shared" si="1"/>
        <v>23140</v>
      </c>
      <c r="H22465" s="49">
        <f t="shared" si="2"/>
        <v>23161</v>
      </c>
    </row>
    <row r="22466">
      <c r="A22466" s="48" t="s">
        <v>713</v>
      </c>
      <c r="B22466" s="38">
        <v>82151.0</v>
      </c>
      <c r="C22466" s="38" t="s">
        <v>26995</v>
      </c>
      <c r="D22466" s="38" t="str">
        <f>IFERROR(__xludf.DUMMYFUNCTION("REGEXREPLACE(C22466,""-\d+(.*)|--\d+(.*)"","""")"),"ROQUECOR")</f>
        <v>ROQUECOR</v>
      </c>
      <c r="E22466" s="38" t="s">
        <v>570</v>
      </c>
      <c r="F22466" s="38" t="s">
        <v>94</v>
      </c>
      <c r="G22466" s="49" t="str">
        <f t="shared" si="1"/>
        <v>82150</v>
      </c>
      <c r="H22466" s="49">
        <f t="shared" si="2"/>
        <v>82151</v>
      </c>
    </row>
    <row r="22467">
      <c r="A22467" s="48" t="s">
        <v>10227</v>
      </c>
      <c r="B22467" s="38">
        <v>16406.0</v>
      </c>
      <c r="C22467" s="38" t="s">
        <v>26996</v>
      </c>
      <c r="D22467" s="38" t="str">
        <f>IFERROR(__xludf.DUMMYFUNCTION("REGEXREPLACE(C22467,""-\d+(.*)|--\d+(.*)"","""")"),"VILHONNEUR")</f>
        <v>VILHONNEUR</v>
      </c>
      <c r="E22467" s="38" t="s">
        <v>429</v>
      </c>
      <c r="F22467" s="38" t="s">
        <v>338</v>
      </c>
      <c r="G22467" s="49" t="str">
        <f t="shared" si="1"/>
        <v>16220</v>
      </c>
      <c r="H22467" s="49">
        <f t="shared" si="2"/>
        <v>16406</v>
      </c>
    </row>
    <row r="22468">
      <c r="A22468" s="48" t="s">
        <v>8620</v>
      </c>
      <c r="B22468" s="38">
        <v>45184.0</v>
      </c>
      <c r="C22468" s="38" t="s">
        <v>26997</v>
      </c>
      <c r="D22468" s="38" t="str">
        <f>IFERROR(__xludf.DUMMYFUNCTION("REGEXREPLACE(C22468,""-\d+(.*)|--\d+(.*)"","""")"),"LION-EN-SULLIAS")</f>
        <v>LION-EN-SULLIAS</v>
      </c>
      <c r="E22468" s="38" t="s">
        <v>122</v>
      </c>
      <c r="F22468" s="38" t="s">
        <v>123</v>
      </c>
      <c r="G22468" s="49" t="str">
        <f t="shared" si="1"/>
        <v>45600</v>
      </c>
      <c r="H22468" s="49">
        <f t="shared" si="2"/>
        <v>45184</v>
      </c>
    </row>
    <row r="22469">
      <c r="A22469" s="48" t="s">
        <v>6649</v>
      </c>
      <c r="B22469" s="38">
        <v>18080.0</v>
      </c>
      <c r="C22469" s="38" t="s">
        <v>26998</v>
      </c>
      <c r="D22469" s="38" t="str">
        <f>IFERROR(__xludf.DUMMYFUNCTION("REGEXREPLACE(C22469,""-\d+(.*)|--\d+(.*)"","""")"),"CROISY")</f>
        <v>CROISY</v>
      </c>
      <c r="E22469" s="38" t="s">
        <v>504</v>
      </c>
      <c r="F22469" s="38" t="s">
        <v>123</v>
      </c>
      <c r="G22469" s="49" t="str">
        <f t="shared" si="1"/>
        <v>18350</v>
      </c>
      <c r="H22469" s="49">
        <f t="shared" si="2"/>
        <v>18080</v>
      </c>
    </row>
    <row r="22470">
      <c r="A22470" s="48" t="s">
        <v>754</v>
      </c>
      <c r="B22470" s="38">
        <v>91547.0</v>
      </c>
      <c r="C22470" s="38" t="s">
        <v>26999</v>
      </c>
      <c r="D22470" s="38" t="str">
        <f>IFERROR(__xludf.DUMMYFUNCTION("REGEXREPLACE(C22470,""-\d+(.*)|--\d+(.*)"","""")"),"SAINT-ESCOBILLE")</f>
        <v>SAINT-ESCOBILLE</v>
      </c>
      <c r="E22470" s="38" t="s">
        <v>756</v>
      </c>
      <c r="F22470" s="38" t="s">
        <v>245</v>
      </c>
      <c r="G22470" s="49" t="str">
        <f t="shared" si="1"/>
        <v>91410</v>
      </c>
      <c r="H22470" s="49">
        <f t="shared" si="2"/>
        <v>91547</v>
      </c>
    </row>
    <row r="22471">
      <c r="A22471" s="48" t="s">
        <v>2047</v>
      </c>
      <c r="B22471" s="38">
        <v>62561.0</v>
      </c>
      <c r="C22471" s="38" t="s">
        <v>27000</v>
      </c>
      <c r="D22471" s="38" t="str">
        <f>IFERROR(__xludf.DUMMYFUNCTION("REGEXREPLACE(C22471,""-\d+(.*)|--\d+(.*)"","""")"),"MARTINPUICH")</f>
        <v>MARTINPUICH</v>
      </c>
      <c r="E22471" s="38" t="s">
        <v>109</v>
      </c>
      <c r="F22471" s="38" t="s">
        <v>86</v>
      </c>
      <c r="G22471" s="49" t="str">
        <f t="shared" si="1"/>
        <v>62450</v>
      </c>
      <c r="H22471" s="49">
        <f t="shared" si="2"/>
        <v>62561</v>
      </c>
    </row>
    <row r="22472">
      <c r="A22472" s="48" t="s">
        <v>4784</v>
      </c>
      <c r="B22472" s="38">
        <v>24586.0</v>
      </c>
      <c r="C22472" s="38" t="s">
        <v>27001</v>
      </c>
      <c r="D22472" s="38" t="str">
        <f>IFERROR(__xludf.DUMMYFUNCTION("REGEXREPLACE(C22472,""-\d+(.*)|--\d+(.*)"","""")"),"VILLETOUREIX")</f>
        <v>VILLETOUREIX</v>
      </c>
      <c r="E22472" s="38" t="s">
        <v>261</v>
      </c>
      <c r="F22472" s="38" t="s">
        <v>252</v>
      </c>
      <c r="G22472" s="49" t="str">
        <f t="shared" si="1"/>
        <v>24600</v>
      </c>
      <c r="H22472" s="49">
        <f t="shared" si="2"/>
        <v>24586</v>
      </c>
    </row>
    <row r="22473">
      <c r="A22473" s="48" t="s">
        <v>19642</v>
      </c>
      <c r="B22473" s="38">
        <v>76228.0</v>
      </c>
      <c r="C22473" s="38" t="s">
        <v>27002</v>
      </c>
      <c r="D22473" s="38" t="str">
        <f>IFERROR(__xludf.DUMMYFUNCTION("REGEXREPLACE(C22473,""-\d+(.*)|--\d+(.*)"","""")"),"ECTOT-LES-BAONS")</f>
        <v>ECTOT-LES-BAONS</v>
      </c>
      <c r="E22473" s="38" t="s">
        <v>133</v>
      </c>
      <c r="F22473" s="38" t="s">
        <v>134</v>
      </c>
      <c r="G22473" s="49" t="str">
        <f t="shared" si="1"/>
        <v>76970</v>
      </c>
      <c r="H22473" s="49">
        <f t="shared" si="2"/>
        <v>76228</v>
      </c>
    </row>
    <row r="22474">
      <c r="A22474" s="48" t="s">
        <v>3912</v>
      </c>
      <c r="B22474" s="38">
        <v>38417.0</v>
      </c>
      <c r="C22474" s="38" t="s">
        <v>27003</v>
      </c>
      <c r="D22474" s="38" t="str">
        <f>IFERROR(__xludf.DUMMYFUNCTION("REGEXREPLACE(C22474,""-\d+(.*)|--\d+(.*)"","""")"),"SAINTE-MARIE-D'ALLOIX")</f>
        <v>SAINTE-MARIE-D'ALLOIX</v>
      </c>
      <c r="E22474" s="38" t="s">
        <v>101</v>
      </c>
      <c r="F22474" s="38" t="s">
        <v>102</v>
      </c>
      <c r="G22474" s="49" t="str">
        <f t="shared" si="1"/>
        <v>38660</v>
      </c>
      <c r="H22474" s="49">
        <f t="shared" si="2"/>
        <v>38417</v>
      </c>
    </row>
    <row r="22475">
      <c r="A22475" s="48" t="s">
        <v>1454</v>
      </c>
      <c r="B22475" s="38">
        <v>60242.0</v>
      </c>
      <c r="C22475" s="38" t="s">
        <v>27004</v>
      </c>
      <c r="D22475" s="38" t="str">
        <f>IFERROR(__xludf.DUMMYFUNCTION("REGEXREPLACE(C22475,""-\d+(.*)|--\d+(.*)"","""")"),"FONTAINE-LAVAGANNE")</f>
        <v>FONTAINE-LAVAGANNE</v>
      </c>
      <c r="E22475" s="38" t="s">
        <v>112</v>
      </c>
      <c r="F22475" s="38" t="s">
        <v>113</v>
      </c>
      <c r="G22475" s="49" t="str">
        <f t="shared" si="1"/>
        <v>60690</v>
      </c>
      <c r="H22475" s="49">
        <f t="shared" si="2"/>
        <v>60242</v>
      </c>
    </row>
    <row r="22476">
      <c r="A22476" s="48" t="s">
        <v>1681</v>
      </c>
      <c r="B22476" s="38">
        <v>80293.0</v>
      </c>
      <c r="C22476" s="38" t="s">
        <v>27005</v>
      </c>
      <c r="D22476" s="38" t="str">
        <f>IFERROR(__xludf.DUMMYFUNCTION("REGEXREPLACE(C22476,""-\d+(.*)|--\d+(.*)"","""")"),"ETELFAY")</f>
        <v>ETELFAY</v>
      </c>
      <c r="E22476" s="38" t="s">
        <v>224</v>
      </c>
      <c r="F22476" s="38" t="s">
        <v>113</v>
      </c>
      <c r="G22476" s="49" t="str">
        <f t="shared" si="1"/>
        <v>80500</v>
      </c>
      <c r="H22476" s="49">
        <f t="shared" si="2"/>
        <v>80293</v>
      </c>
    </row>
    <row r="22477">
      <c r="A22477" s="48" t="s">
        <v>6622</v>
      </c>
      <c r="B22477" s="38">
        <v>33456.0</v>
      </c>
      <c r="C22477" s="38" t="s">
        <v>5908</v>
      </c>
      <c r="D22477" s="38" t="str">
        <f>IFERROR(__xludf.DUMMYFUNCTION("REGEXREPLACE(C22477,""-\d+(.*)|--\d+(.*)"","""")"),"SAINT-PALAIS")</f>
        <v>SAINT-PALAIS</v>
      </c>
      <c r="E22477" s="38" t="s">
        <v>462</v>
      </c>
      <c r="F22477" s="38" t="s">
        <v>252</v>
      </c>
      <c r="G22477" s="49" t="str">
        <f t="shared" si="1"/>
        <v>33820</v>
      </c>
      <c r="H22477" s="49">
        <f t="shared" si="2"/>
        <v>33456</v>
      </c>
    </row>
    <row r="22478">
      <c r="A22478" s="48" t="s">
        <v>5631</v>
      </c>
      <c r="B22478" s="38">
        <v>76205.0</v>
      </c>
      <c r="C22478" s="38" t="s">
        <v>27006</v>
      </c>
      <c r="D22478" s="38" t="str">
        <f>IFERROR(__xludf.DUMMYFUNCTION("REGEXREPLACE(C22478,""-\d+(.*)|--\d+(.*)"","""")"),"CROSVILLE-SUR-SCIE")</f>
        <v>CROSVILLE-SUR-SCIE</v>
      </c>
      <c r="E22478" s="38" t="s">
        <v>133</v>
      </c>
      <c r="F22478" s="38" t="s">
        <v>134</v>
      </c>
      <c r="G22478" s="49" t="str">
        <f t="shared" si="1"/>
        <v>76590</v>
      </c>
      <c r="H22478" s="49">
        <f t="shared" si="2"/>
        <v>76205</v>
      </c>
    </row>
    <row r="22479">
      <c r="A22479" s="48" t="s">
        <v>27007</v>
      </c>
      <c r="B22479" s="38">
        <v>49109.0</v>
      </c>
      <c r="C22479" s="38" t="s">
        <v>27008</v>
      </c>
      <c r="D22479" s="38" t="str">
        <f>IFERROR(__xludf.DUMMYFUNCTION("REGEXREPLACE(C22479,""-\d+(.*)|--\d+(.*)"","""")"),"CORON")</f>
        <v>CORON</v>
      </c>
      <c r="E22479" s="38" t="s">
        <v>653</v>
      </c>
      <c r="F22479" s="38" t="s">
        <v>180</v>
      </c>
      <c r="G22479" s="49" t="str">
        <f t="shared" si="1"/>
        <v>49690</v>
      </c>
      <c r="H22479" s="49">
        <f t="shared" si="2"/>
        <v>49109</v>
      </c>
    </row>
    <row r="22480">
      <c r="A22480" s="48" t="s">
        <v>1018</v>
      </c>
      <c r="B22480" s="38">
        <v>60090.0</v>
      </c>
      <c r="C22480" s="38" t="s">
        <v>27009</v>
      </c>
      <c r="D22480" s="38" t="str">
        <f>IFERROR(__xludf.DUMMYFUNCTION("REGEXREPLACE(C22480,""-\d+(.*)|--\d+(.*)"","""")"),"BOUCONVILLERS")</f>
        <v>BOUCONVILLERS</v>
      </c>
      <c r="E22480" s="38" t="s">
        <v>112</v>
      </c>
      <c r="F22480" s="38" t="s">
        <v>113</v>
      </c>
      <c r="G22480" s="49" t="str">
        <f t="shared" si="1"/>
        <v>60240</v>
      </c>
      <c r="H22480" s="49">
        <f t="shared" si="2"/>
        <v>60090</v>
      </c>
    </row>
    <row r="22481">
      <c r="A22481" s="48" t="s">
        <v>3198</v>
      </c>
      <c r="B22481" s="38">
        <v>32294.0</v>
      </c>
      <c r="C22481" s="38" t="s">
        <v>27010</v>
      </c>
      <c r="D22481" s="38" t="str">
        <f>IFERROR(__xludf.DUMMYFUNCTION("REGEXREPLACE(C22481,""-\d+(.*)|--\d+(.*)"","""")"),"MOUREDE")</f>
        <v>MOUREDE</v>
      </c>
      <c r="E22481" s="38" t="s">
        <v>440</v>
      </c>
      <c r="F22481" s="38" t="s">
        <v>94</v>
      </c>
      <c r="G22481" s="49" t="str">
        <f t="shared" si="1"/>
        <v>32190</v>
      </c>
      <c r="H22481" s="49">
        <f t="shared" si="2"/>
        <v>32294</v>
      </c>
    </row>
    <row r="22482">
      <c r="A22482" s="48" t="s">
        <v>7821</v>
      </c>
      <c r="B22482" s="38">
        <v>8037.0</v>
      </c>
      <c r="C22482" s="38" t="s">
        <v>27011</v>
      </c>
      <c r="D22482" s="38" t="str">
        <f>IFERROR(__xludf.DUMMYFUNCTION("REGEXREPLACE(C22482,""-\d+(.*)|--\d+(.*)"","""")"),"AUVILLERS-LES-FORGES")</f>
        <v>AUVILLERS-LES-FORGES</v>
      </c>
      <c r="E22482" s="38" t="s">
        <v>327</v>
      </c>
      <c r="F22482" s="38" t="s">
        <v>130</v>
      </c>
      <c r="G22482" s="49" t="str">
        <f t="shared" si="1"/>
        <v>08260</v>
      </c>
      <c r="H22482" s="49" t="str">
        <f t="shared" si="2"/>
        <v>08037</v>
      </c>
    </row>
    <row r="22483">
      <c r="A22483" s="48" t="s">
        <v>8545</v>
      </c>
      <c r="B22483" s="38">
        <v>95011.0</v>
      </c>
      <c r="C22483" s="38" t="s">
        <v>8618</v>
      </c>
      <c r="D22483" s="38" t="str">
        <f>IFERROR(__xludf.DUMMYFUNCTION("REGEXREPLACE(C22483,""-\d+(.*)|--\d+(.*)"","""")"),"AMBLEVILLE")</f>
        <v>AMBLEVILLE</v>
      </c>
      <c r="E22483" s="38" t="s">
        <v>541</v>
      </c>
      <c r="F22483" s="38" t="s">
        <v>245</v>
      </c>
      <c r="G22483" s="49" t="str">
        <f t="shared" si="1"/>
        <v>95710</v>
      </c>
      <c r="H22483" s="49">
        <f t="shared" si="2"/>
        <v>95011</v>
      </c>
    </row>
    <row r="22484">
      <c r="A22484" s="48" t="s">
        <v>1295</v>
      </c>
      <c r="B22484" s="38">
        <v>57526.0</v>
      </c>
      <c r="C22484" s="38" t="s">
        <v>27012</v>
      </c>
      <c r="D22484" s="38" t="str">
        <f>IFERROR(__xludf.DUMMYFUNCTION("REGEXREPLACE(C22484,""-\d+(.*)|--\d+(.*)"","""")"),"ORMERSVILLER")</f>
        <v>ORMERSVILLER</v>
      </c>
      <c r="E22484" s="38" t="s">
        <v>303</v>
      </c>
      <c r="F22484" s="38" t="s">
        <v>195</v>
      </c>
      <c r="G22484" s="49" t="str">
        <f t="shared" si="1"/>
        <v>57720</v>
      </c>
      <c r="H22484" s="49">
        <f t="shared" si="2"/>
        <v>57526</v>
      </c>
    </row>
    <row r="22485">
      <c r="A22485" s="48" t="s">
        <v>7082</v>
      </c>
      <c r="B22485" s="38">
        <v>79149.0</v>
      </c>
      <c r="C22485" s="38" t="s">
        <v>27013</v>
      </c>
      <c r="D22485" s="38" t="str">
        <f>IFERROR(__xludf.DUMMYFUNCTION("REGEXREPLACE(C22485,""-\d+(.*)|--\d+(.*)"","""")"),"LHOUMOIS")</f>
        <v>LHOUMOIS</v>
      </c>
      <c r="E22485" s="38" t="s">
        <v>337</v>
      </c>
      <c r="F22485" s="38" t="s">
        <v>338</v>
      </c>
      <c r="G22485" s="49" t="str">
        <f t="shared" si="1"/>
        <v>79390</v>
      </c>
      <c r="H22485" s="49">
        <f t="shared" si="2"/>
        <v>79149</v>
      </c>
    </row>
    <row r="22486">
      <c r="A22486" s="48" t="s">
        <v>1114</v>
      </c>
      <c r="B22486" s="38">
        <v>2566.0</v>
      </c>
      <c r="C22486" s="38" t="s">
        <v>1941</v>
      </c>
      <c r="D22486" s="38" t="str">
        <f>IFERROR(__xludf.DUMMYFUNCTION("REGEXREPLACE(C22486,""-\d+(.*)|--\d+(.*)"","""")"),"OGNES")</f>
        <v>OGNES</v>
      </c>
      <c r="E22486" s="38" t="s">
        <v>191</v>
      </c>
      <c r="F22486" s="38" t="s">
        <v>113</v>
      </c>
      <c r="G22486" s="49" t="str">
        <f t="shared" si="1"/>
        <v>02300</v>
      </c>
      <c r="H22486" s="49" t="str">
        <f t="shared" si="2"/>
        <v>02566</v>
      </c>
    </row>
    <row r="22487">
      <c r="A22487" s="48" t="s">
        <v>27014</v>
      </c>
      <c r="B22487" s="38">
        <v>69202.0</v>
      </c>
      <c r="C22487" s="38" t="s">
        <v>27015</v>
      </c>
      <c r="D22487" s="38" t="str">
        <f>IFERROR(__xludf.DUMMYFUNCTION("REGEXREPLACE(C22487,""-\d+(.*)|--\d+(.*)"","""")"),"SAINTE-FOY-LES-LYON")</f>
        <v>SAINTE-FOY-LES-LYON</v>
      </c>
      <c r="E22487" s="38" t="s">
        <v>350</v>
      </c>
      <c r="F22487" s="38" t="s">
        <v>102</v>
      </c>
      <c r="G22487" s="49" t="str">
        <f t="shared" si="1"/>
        <v>69110</v>
      </c>
      <c r="H22487" s="49">
        <f t="shared" si="2"/>
        <v>69202</v>
      </c>
    </row>
    <row r="22488">
      <c r="A22488" s="48" t="s">
        <v>1284</v>
      </c>
      <c r="B22488" s="38">
        <v>9206.0</v>
      </c>
      <c r="C22488" s="38" t="s">
        <v>27016</v>
      </c>
      <c r="D22488" s="38" t="str">
        <f>IFERROR(__xludf.DUMMYFUNCTION("REGEXREPLACE(C22488,""-\d+(.*)|--\d+(.*)"","""")"),"MONTFERRIER")</f>
        <v>MONTFERRIER</v>
      </c>
      <c r="E22488" s="38" t="s">
        <v>238</v>
      </c>
      <c r="F22488" s="38" t="s">
        <v>94</v>
      </c>
      <c r="G22488" s="49" t="str">
        <f t="shared" si="1"/>
        <v>09300</v>
      </c>
      <c r="H22488" s="49" t="str">
        <f t="shared" si="2"/>
        <v>09206</v>
      </c>
    </row>
    <row r="22489">
      <c r="A22489" s="48" t="s">
        <v>2406</v>
      </c>
      <c r="B22489" s="38">
        <v>55054.0</v>
      </c>
      <c r="C22489" s="38" t="s">
        <v>27017</v>
      </c>
      <c r="D22489" s="38" t="str">
        <f>IFERROR(__xludf.DUMMYFUNCTION("REGEXREPLACE(C22489,""-\d+(.*)|--\d+(.*)"","""")"),"BISLEE")</f>
        <v>BISLEE</v>
      </c>
      <c r="E22489" s="38" t="s">
        <v>322</v>
      </c>
      <c r="F22489" s="38" t="s">
        <v>195</v>
      </c>
      <c r="G22489" s="49" t="str">
        <f t="shared" si="1"/>
        <v>55300</v>
      </c>
      <c r="H22489" s="49">
        <f t="shared" si="2"/>
        <v>55054</v>
      </c>
    </row>
    <row r="22490">
      <c r="A22490" s="48" t="s">
        <v>8896</v>
      </c>
      <c r="B22490" s="38">
        <v>47306.0</v>
      </c>
      <c r="C22490" s="38" t="s">
        <v>27018</v>
      </c>
      <c r="D22490" s="38" t="str">
        <f>IFERROR(__xludf.DUMMYFUNCTION("REGEXREPLACE(C22490,""-\d+(.*)|--\d+(.*)"","""")"),"LE TEMPLE-SUR-LOT")</f>
        <v>LE TEMPLE-SUR-LOT</v>
      </c>
      <c r="E22490" s="38" t="s">
        <v>251</v>
      </c>
      <c r="F22490" s="38" t="s">
        <v>252</v>
      </c>
      <c r="G22490" s="49" t="str">
        <f t="shared" si="1"/>
        <v>47110</v>
      </c>
      <c r="H22490" s="49">
        <f t="shared" si="2"/>
        <v>47306</v>
      </c>
    </row>
    <row r="22491">
      <c r="A22491" s="48" t="s">
        <v>3774</v>
      </c>
      <c r="B22491" s="38">
        <v>74108.0</v>
      </c>
      <c r="C22491" s="38" t="s">
        <v>27019</v>
      </c>
      <c r="D22491" s="38" t="str">
        <f>IFERROR(__xludf.DUMMYFUNCTION("REGEXREPLACE(C22491,""-\d+(.*)|--\d+(.*)"","""")"),"DUINGT")</f>
        <v>DUINGT</v>
      </c>
      <c r="E22491" s="38" t="s">
        <v>319</v>
      </c>
      <c r="F22491" s="38" t="s">
        <v>102</v>
      </c>
      <c r="G22491" s="49" t="str">
        <f t="shared" si="1"/>
        <v>74410</v>
      </c>
      <c r="H22491" s="49">
        <f t="shared" si="2"/>
        <v>74108</v>
      </c>
    </row>
    <row r="22492">
      <c r="A22492" s="48" t="s">
        <v>10017</v>
      </c>
      <c r="B22492" s="38">
        <v>14242.0</v>
      </c>
      <c r="C22492" s="38" t="s">
        <v>27020</v>
      </c>
      <c r="D22492" s="38" t="str">
        <f>IFERROR(__xludf.DUMMYFUNCTION("REGEXREPLACE(C22492,""-\d+(.*)|--\d+(.*)"","""")"),"EPRON")</f>
        <v>EPRON</v>
      </c>
      <c r="E22492" s="38" t="s">
        <v>137</v>
      </c>
      <c r="F22492" s="38" t="s">
        <v>138</v>
      </c>
      <c r="G22492" s="49" t="str">
        <f t="shared" si="1"/>
        <v>14610</v>
      </c>
      <c r="H22492" s="49">
        <f t="shared" si="2"/>
        <v>14242</v>
      </c>
    </row>
    <row r="22493">
      <c r="A22493" s="48" t="s">
        <v>5390</v>
      </c>
      <c r="B22493" s="38">
        <v>27013.0</v>
      </c>
      <c r="C22493" s="38" t="s">
        <v>27021</v>
      </c>
      <c r="D22493" s="38" t="str">
        <f>IFERROR(__xludf.DUMMYFUNCTION("REGEXREPLACE(C22493,""-\d+(.*)|--\d+(.*)"","""")"),"AMFREVILLE-SOUS-LES-MONTS")</f>
        <v>AMFREVILLE-SOUS-LES-MONTS</v>
      </c>
      <c r="E22493" s="38" t="s">
        <v>241</v>
      </c>
      <c r="F22493" s="38" t="s">
        <v>134</v>
      </c>
      <c r="G22493" s="49" t="str">
        <f t="shared" si="1"/>
        <v>27380</v>
      </c>
      <c r="H22493" s="49">
        <f t="shared" si="2"/>
        <v>27013</v>
      </c>
    </row>
    <row r="22494">
      <c r="A22494" s="48" t="s">
        <v>1810</v>
      </c>
      <c r="B22494" s="38">
        <v>23175.0</v>
      </c>
      <c r="C22494" s="38" t="s">
        <v>27022</v>
      </c>
      <c r="D22494" s="38" t="str">
        <f>IFERROR(__xludf.DUMMYFUNCTION("REGEXREPLACE(C22494,""-\d+(.*)|--\d+(.*)"","""")"),"SOUS-PARSAT")</f>
        <v>SOUS-PARSAT</v>
      </c>
      <c r="E22494" s="38" t="s">
        <v>97</v>
      </c>
      <c r="F22494" s="38" t="s">
        <v>98</v>
      </c>
      <c r="G22494" s="49" t="str">
        <f t="shared" si="1"/>
        <v>23150</v>
      </c>
      <c r="H22494" s="49">
        <f t="shared" si="2"/>
        <v>23175</v>
      </c>
    </row>
    <row r="22495">
      <c r="A22495" s="48" t="s">
        <v>25812</v>
      </c>
      <c r="B22495" s="38">
        <v>45093.0</v>
      </c>
      <c r="C22495" s="38" t="s">
        <v>27023</v>
      </c>
      <c r="D22495" s="38" t="str">
        <f>IFERROR(__xludf.DUMMYFUNCTION("REGEXREPLACE(C22495,""-\d+(.*)|--\d+(.*)"","""")"),"CHEVILLY")</f>
        <v>CHEVILLY</v>
      </c>
      <c r="E22495" s="38" t="s">
        <v>122</v>
      </c>
      <c r="F22495" s="38" t="s">
        <v>123</v>
      </c>
      <c r="G22495" s="49" t="str">
        <f t="shared" si="1"/>
        <v>45520</v>
      </c>
      <c r="H22495" s="49">
        <f t="shared" si="2"/>
        <v>45093</v>
      </c>
    </row>
    <row r="22496">
      <c r="A22496" s="48" t="s">
        <v>6515</v>
      </c>
      <c r="B22496" s="38">
        <v>62547.0</v>
      </c>
      <c r="C22496" s="38" t="s">
        <v>27024</v>
      </c>
      <c r="D22496" s="38" t="str">
        <f>IFERROR(__xludf.DUMMYFUNCTION("REGEXREPLACE(C22496,""-\d+(.*)|--\d+(.*)"","""")"),"MARANT")</f>
        <v>MARANT</v>
      </c>
      <c r="E22496" s="38" t="s">
        <v>109</v>
      </c>
      <c r="F22496" s="38" t="s">
        <v>86</v>
      </c>
      <c r="G22496" s="49" t="str">
        <f t="shared" si="1"/>
        <v>62170</v>
      </c>
      <c r="H22496" s="49">
        <f t="shared" si="2"/>
        <v>62547</v>
      </c>
    </row>
    <row r="22497">
      <c r="A22497" s="48" t="s">
        <v>10060</v>
      </c>
      <c r="B22497" s="38">
        <v>35016.0</v>
      </c>
      <c r="C22497" s="38" t="s">
        <v>27025</v>
      </c>
      <c r="D22497" s="38" t="str">
        <f>IFERROR(__xludf.DUMMYFUNCTION("REGEXREPLACE(C22497,""-\d+(.*)|--\d+(.*)"","""")"),"BAULON")</f>
        <v>BAULON</v>
      </c>
      <c r="E22497" s="38" t="s">
        <v>347</v>
      </c>
      <c r="F22497" s="38" t="s">
        <v>90</v>
      </c>
      <c r="G22497" s="49" t="str">
        <f t="shared" si="1"/>
        <v>35580</v>
      </c>
      <c r="H22497" s="49">
        <f t="shared" si="2"/>
        <v>35016</v>
      </c>
    </row>
    <row r="22498">
      <c r="A22498" s="48" t="s">
        <v>3458</v>
      </c>
      <c r="B22498" s="38">
        <v>52422.0</v>
      </c>
      <c r="C22498" s="38" t="s">
        <v>2935</v>
      </c>
      <c r="D22498" s="38" t="str">
        <f>IFERROR(__xludf.DUMMYFUNCTION("REGEXREPLACE(C22498,""-\d+(.*)|--\d+(.*)"","""")"),"RICHEBOURG")</f>
        <v>RICHEBOURG</v>
      </c>
      <c r="E22498" s="38" t="s">
        <v>234</v>
      </c>
      <c r="F22498" s="38" t="s">
        <v>130</v>
      </c>
      <c r="G22498" s="49" t="str">
        <f t="shared" si="1"/>
        <v>52120</v>
      </c>
      <c r="H22498" s="49">
        <f t="shared" si="2"/>
        <v>52422</v>
      </c>
    </row>
    <row r="22499">
      <c r="A22499" s="48" t="s">
        <v>15154</v>
      </c>
      <c r="B22499" s="38">
        <v>21218.0</v>
      </c>
      <c r="C22499" s="38" t="s">
        <v>27026</v>
      </c>
      <c r="D22499" s="38" t="str">
        <f>IFERROR(__xludf.DUMMYFUNCTION("REGEXREPLACE(C22499,""-\d+(.*)|--\d+(.*)"","""")"),"CURTIL-SAINT-SEINE")</f>
        <v>CURTIL-SAINT-SEINE</v>
      </c>
      <c r="E22499" s="38" t="s">
        <v>105</v>
      </c>
      <c r="F22499" s="38" t="s">
        <v>106</v>
      </c>
      <c r="G22499" s="49" t="str">
        <f t="shared" si="1"/>
        <v>21380</v>
      </c>
      <c r="H22499" s="49">
        <f t="shared" si="2"/>
        <v>21218</v>
      </c>
    </row>
    <row r="22500">
      <c r="A22500" s="48" t="s">
        <v>10746</v>
      </c>
      <c r="B22500" s="38">
        <v>88032.0</v>
      </c>
      <c r="C22500" s="38" t="s">
        <v>27027</v>
      </c>
      <c r="D22500" s="38" t="str">
        <f>IFERROR(__xludf.DUMMYFUNCTION("REGEXREPLACE(C22500,""-\d+(.*)|--\d+(.*)"","""")"),"BAN-DE-LAVELINE")</f>
        <v>BAN-DE-LAVELINE</v>
      </c>
      <c r="E22500" s="38" t="s">
        <v>194</v>
      </c>
      <c r="F22500" s="38" t="s">
        <v>195</v>
      </c>
      <c r="G22500" s="49" t="str">
        <f t="shared" si="1"/>
        <v>88520</v>
      </c>
      <c r="H22500" s="49">
        <f t="shared" si="2"/>
        <v>88032</v>
      </c>
    </row>
    <row r="22501">
      <c r="A22501" s="48" t="s">
        <v>10445</v>
      </c>
      <c r="B22501" s="38">
        <v>52196.0</v>
      </c>
      <c r="C22501" s="38" t="s">
        <v>4831</v>
      </c>
      <c r="D22501" s="38" t="str">
        <f>IFERROR(__xludf.DUMMYFUNCTION("REGEXREPLACE(C22501,""-\d+(.*)|--\d+(.*)"","""")"),"FAVEROLLES")</f>
        <v>FAVEROLLES</v>
      </c>
      <c r="E22501" s="38" t="s">
        <v>234</v>
      </c>
      <c r="F22501" s="38" t="s">
        <v>130</v>
      </c>
      <c r="G22501" s="49" t="str">
        <f t="shared" si="1"/>
        <v>52260</v>
      </c>
      <c r="H22501" s="49">
        <f t="shared" si="2"/>
        <v>52196</v>
      </c>
    </row>
    <row r="22502">
      <c r="A22502" s="48" t="s">
        <v>1485</v>
      </c>
      <c r="B22502" s="38">
        <v>21409.0</v>
      </c>
      <c r="C22502" s="38" t="s">
        <v>27028</v>
      </c>
      <c r="D22502" s="38" t="str">
        <f>IFERROR(__xludf.DUMMYFUNCTION("REGEXREPLACE(C22502,""-\d+(.*)|--\d+(.*)"","""")"),"MEUILLEY")</f>
        <v>MEUILLEY</v>
      </c>
      <c r="E22502" s="38" t="s">
        <v>105</v>
      </c>
      <c r="F22502" s="38" t="s">
        <v>106</v>
      </c>
      <c r="G22502" s="49" t="str">
        <f t="shared" si="1"/>
        <v>21700</v>
      </c>
      <c r="H22502" s="49">
        <f t="shared" si="2"/>
        <v>21409</v>
      </c>
    </row>
    <row r="22503">
      <c r="A22503" s="48" t="s">
        <v>3240</v>
      </c>
      <c r="B22503" s="38">
        <v>27686.0</v>
      </c>
      <c r="C22503" s="38" t="s">
        <v>27029</v>
      </c>
      <c r="D22503" s="38" t="str">
        <f>IFERROR(__xludf.DUMMYFUNCTION("REGEXREPLACE(C22503,""-\d+(.*)|--\d+(.*)"","""")"),"VIEUX-PORT")</f>
        <v>VIEUX-PORT</v>
      </c>
      <c r="E22503" s="38" t="s">
        <v>241</v>
      </c>
      <c r="F22503" s="38" t="s">
        <v>134</v>
      </c>
      <c r="G22503" s="49" t="str">
        <f t="shared" si="1"/>
        <v>27680</v>
      </c>
      <c r="H22503" s="49">
        <f t="shared" si="2"/>
        <v>27686</v>
      </c>
    </row>
    <row r="22504">
      <c r="A22504" s="48" t="s">
        <v>5101</v>
      </c>
      <c r="B22504" s="38">
        <v>54585.0</v>
      </c>
      <c r="C22504" s="38" t="s">
        <v>27030</v>
      </c>
      <c r="D22504" s="38" t="str">
        <f>IFERROR(__xludf.DUMMYFUNCTION("REGEXREPLACE(C22504,""-\d+(.*)|--\d+(.*)"","""")"),"VIRECOURT")</f>
        <v>VIRECOURT</v>
      </c>
      <c r="E22504" s="38" t="s">
        <v>548</v>
      </c>
      <c r="F22504" s="38" t="s">
        <v>195</v>
      </c>
      <c r="G22504" s="49" t="str">
        <f t="shared" si="1"/>
        <v>54290</v>
      </c>
      <c r="H22504" s="49">
        <f t="shared" si="2"/>
        <v>54585</v>
      </c>
    </row>
    <row r="22505">
      <c r="A22505" s="48" t="s">
        <v>11490</v>
      </c>
      <c r="B22505" s="38">
        <v>59168.0</v>
      </c>
      <c r="C22505" s="38" t="s">
        <v>27031</v>
      </c>
      <c r="D22505" s="38" t="str">
        <f>IFERROR(__xludf.DUMMYFUNCTION("REGEXREPLACE(C22505,""-\d+(.*)|--\d+(.*)"","""")"),"CYSOING")</f>
        <v>CYSOING</v>
      </c>
      <c r="E22505" s="38" t="s">
        <v>85</v>
      </c>
      <c r="F22505" s="38" t="s">
        <v>86</v>
      </c>
      <c r="G22505" s="49" t="str">
        <f t="shared" si="1"/>
        <v>59830</v>
      </c>
      <c r="H22505" s="49">
        <f t="shared" si="2"/>
        <v>59168</v>
      </c>
    </row>
    <row r="22506">
      <c r="A22506" s="48" t="s">
        <v>2243</v>
      </c>
      <c r="B22506" s="38">
        <v>17117.0</v>
      </c>
      <c r="C22506" s="38" t="s">
        <v>26033</v>
      </c>
      <c r="D22506" s="38" t="str">
        <f>IFERROR(__xludf.DUMMYFUNCTION("REGEXREPLACE(C22506,""-\d+(.*)|--\d+(.*)"","""")"),"CONTRE")</f>
        <v>CONTRE</v>
      </c>
      <c r="E22506" s="38" t="s">
        <v>488</v>
      </c>
      <c r="F22506" s="38" t="s">
        <v>338</v>
      </c>
      <c r="G22506" s="49" t="str">
        <f t="shared" si="1"/>
        <v>17470</v>
      </c>
      <c r="H22506" s="49">
        <f t="shared" si="2"/>
        <v>17117</v>
      </c>
    </row>
    <row r="22507">
      <c r="A22507" s="48" t="s">
        <v>27032</v>
      </c>
      <c r="B22507" s="38">
        <v>63454.0</v>
      </c>
      <c r="C22507" s="38" t="s">
        <v>27033</v>
      </c>
      <c r="D22507" s="38" t="str">
        <f>IFERROR(__xludf.DUMMYFUNCTION("REGEXREPLACE(C22507,""-\d+(.*)|--\d+(.*)"","""")"),"VERTOLAYE")</f>
        <v>VERTOLAYE</v>
      </c>
      <c r="E22507" s="38" t="s">
        <v>353</v>
      </c>
      <c r="F22507" s="38" t="s">
        <v>161</v>
      </c>
      <c r="G22507" s="49" t="str">
        <f t="shared" si="1"/>
        <v>63480</v>
      </c>
      <c r="H22507" s="49">
        <f t="shared" si="2"/>
        <v>63454</v>
      </c>
    </row>
    <row r="22508">
      <c r="A22508" s="48" t="s">
        <v>27034</v>
      </c>
      <c r="B22508" s="38">
        <v>34095.0</v>
      </c>
      <c r="C22508" s="38" t="s">
        <v>27035</v>
      </c>
      <c r="D22508" s="38" t="str">
        <f>IFERROR(__xludf.DUMMYFUNCTION("REGEXREPLACE(C22508,""-\d+(.*)|--\d+(.*)"","""")"),"FABREGUES")</f>
        <v>FABREGUES</v>
      </c>
      <c r="E22508" s="38" t="s">
        <v>118</v>
      </c>
      <c r="F22508" s="38" t="s">
        <v>119</v>
      </c>
      <c r="G22508" s="49" t="str">
        <f t="shared" si="1"/>
        <v>34690</v>
      </c>
      <c r="H22508" s="49">
        <f t="shared" si="2"/>
        <v>34095</v>
      </c>
    </row>
    <row r="22509">
      <c r="A22509" s="48" t="s">
        <v>1794</v>
      </c>
      <c r="B22509" s="38">
        <v>64292.0</v>
      </c>
      <c r="C22509" s="38" t="s">
        <v>27036</v>
      </c>
      <c r="D22509" s="38" t="str">
        <f>IFERROR(__xludf.DUMMYFUNCTION("REGEXREPLACE(C22509,""-\d+(.*)|--\d+(.*)"","""")"),"LABATMALE")</f>
        <v>LABATMALE</v>
      </c>
      <c r="E22509" s="38" t="s">
        <v>268</v>
      </c>
      <c r="F22509" s="38" t="s">
        <v>252</v>
      </c>
      <c r="G22509" s="49" t="str">
        <f t="shared" si="1"/>
        <v>64530</v>
      </c>
      <c r="H22509" s="49">
        <f t="shared" si="2"/>
        <v>64292</v>
      </c>
    </row>
    <row r="22510">
      <c r="A22510" s="48" t="s">
        <v>27037</v>
      </c>
      <c r="B22510" s="38">
        <v>94065.0</v>
      </c>
      <c r="C22510" s="38" t="s">
        <v>27038</v>
      </c>
      <c r="D22510" s="38" t="str">
        <f>IFERROR(__xludf.DUMMYFUNCTION("REGEXREPLACE(C22510,""-\d+(.*)|--\d+(.*)"","""")"),"RUNGIS")</f>
        <v>RUNGIS</v>
      </c>
      <c r="E22510" s="38" t="s">
        <v>561</v>
      </c>
      <c r="F22510" s="38" t="s">
        <v>245</v>
      </c>
      <c r="G22510" s="49" t="str">
        <f t="shared" si="1"/>
        <v>94150</v>
      </c>
      <c r="H22510" s="49">
        <f t="shared" si="2"/>
        <v>94065</v>
      </c>
    </row>
    <row r="22511">
      <c r="A22511" s="48" t="s">
        <v>4543</v>
      </c>
      <c r="B22511" s="38">
        <v>64429.0</v>
      </c>
      <c r="C22511" s="38" t="s">
        <v>27039</v>
      </c>
      <c r="D22511" s="38" t="str">
        <f>IFERROR(__xludf.DUMMYFUNCTION("REGEXREPLACE(C22511,""-\d+(.*)|--\d+(.*)"","""")"),"ORSANCO")</f>
        <v>ORSANCO</v>
      </c>
      <c r="E22511" s="38" t="s">
        <v>268</v>
      </c>
      <c r="F22511" s="38" t="s">
        <v>252</v>
      </c>
      <c r="G22511" s="49" t="str">
        <f t="shared" si="1"/>
        <v>64120</v>
      </c>
      <c r="H22511" s="49">
        <f t="shared" si="2"/>
        <v>64429</v>
      </c>
    </row>
    <row r="22512">
      <c r="A22512" s="48" t="s">
        <v>2742</v>
      </c>
      <c r="B22512" s="38">
        <v>57629.0</v>
      </c>
      <c r="C22512" s="38" t="s">
        <v>27040</v>
      </c>
      <c r="D22512" s="38" t="str">
        <f>IFERROR(__xludf.DUMMYFUNCTION("REGEXREPLACE(C22512,""-\d+(.*)|--\d+(.*)"","""")"),"SARRALTROFF")</f>
        <v>SARRALTROFF</v>
      </c>
      <c r="E22512" s="38" t="s">
        <v>303</v>
      </c>
      <c r="F22512" s="38" t="s">
        <v>195</v>
      </c>
      <c r="G22512" s="49" t="str">
        <f t="shared" si="1"/>
        <v>57400</v>
      </c>
      <c r="H22512" s="49">
        <f t="shared" si="2"/>
        <v>57629</v>
      </c>
    </row>
    <row r="22513">
      <c r="A22513" s="48" t="s">
        <v>21801</v>
      </c>
      <c r="B22513" s="38">
        <v>81033.0</v>
      </c>
      <c r="C22513" s="38" t="s">
        <v>27041</v>
      </c>
      <c r="D22513" s="38" t="str">
        <f>IFERROR(__xludf.DUMMYFUNCTION("REGEXREPLACE(C22513,""-\d+(.*)|--\d+(.*)"","""")"),"BLAYE-LES-MINES")</f>
        <v>BLAYE-LES-MINES</v>
      </c>
      <c r="E22513" s="38" t="s">
        <v>231</v>
      </c>
      <c r="F22513" s="38" t="s">
        <v>94</v>
      </c>
      <c r="G22513" s="49" t="str">
        <f t="shared" si="1"/>
        <v>81400</v>
      </c>
      <c r="H22513" s="49">
        <f t="shared" si="2"/>
        <v>81033</v>
      </c>
    </row>
    <row r="22514">
      <c r="A22514" s="48" t="s">
        <v>3467</v>
      </c>
      <c r="B22514" s="38">
        <v>72106.0</v>
      </c>
      <c r="C22514" s="38" t="s">
        <v>27042</v>
      </c>
      <c r="D22514" s="38" t="str">
        <f>IFERROR(__xludf.DUMMYFUNCTION("REGEXREPLACE(C22514,""-\d+(.*)|--\d+(.*)"","""")"),"COURTILLERS")</f>
        <v>COURTILLERS</v>
      </c>
      <c r="E22514" s="38" t="s">
        <v>521</v>
      </c>
      <c r="F22514" s="38" t="s">
        <v>180</v>
      </c>
      <c r="G22514" s="49" t="str">
        <f t="shared" si="1"/>
        <v>72300</v>
      </c>
      <c r="H22514" s="49">
        <f t="shared" si="2"/>
        <v>72106</v>
      </c>
    </row>
    <row r="22515">
      <c r="A22515" s="48" t="s">
        <v>3633</v>
      </c>
      <c r="B22515" s="38">
        <v>48112.0</v>
      </c>
      <c r="C22515" s="38" t="s">
        <v>11955</v>
      </c>
      <c r="D22515" s="38" t="str">
        <f>IFERROR(__xludf.DUMMYFUNCTION("REGEXREPLACE(C22515,""-\d+(.*)|--\d+(.*)"","""")"),"PIERREFICHE")</f>
        <v>PIERREFICHE</v>
      </c>
      <c r="E22515" s="38" t="s">
        <v>154</v>
      </c>
      <c r="F22515" s="38" t="s">
        <v>119</v>
      </c>
      <c r="G22515" s="49" t="str">
        <f t="shared" si="1"/>
        <v>48300</v>
      </c>
      <c r="H22515" s="49">
        <f t="shared" si="2"/>
        <v>48112</v>
      </c>
    </row>
    <row r="22516">
      <c r="A22516" s="48" t="s">
        <v>1770</v>
      </c>
      <c r="B22516" s="38">
        <v>57032.0</v>
      </c>
      <c r="C22516" s="38" t="s">
        <v>27043</v>
      </c>
      <c r="D22516" s="38" t="str">
        <f>IFERROR(__xludf.DUMMYFUNCTION("REGEXREPLACE(C22516,""-\d+(.*)|--\d+(.*)"","""")"),"ARS-SUR-MOSELLE")</f>
        <v>ARS-SUR-MOSELLE</v>
      </c>
      <c r="E22516" s="38" t="s">
        <v>303</v>
      </c>
      <c r="F22516" s="38" t="s">
        <v>195</v>
      </c>
      <c r="G22516" s="49" t="str">
        <f t="shared" si="1"/>
        <v>57130</v>
      </c>
      <c r="H22516" s="49">
        <f t="shared" si="2"/>
        <v>57032</v>
      </c>
    </row>
    <row r="22517">
      <c r="A22517" s="48" t="s">
        <v>20717</v>
      </c>
      <c r="B22517" s="38">
        <v>59146.0</v>
      </c>
      <c r="C22517" s="38" t="s">
        <v>27044</v>
      </c>
      <c r="D22517" s="38" t="str">
        <f>IFERROR(__xludf.DUMMYFUNCTION("REGEXREPLACE(C22517,""-\d+(.*)|--\d+(.*)"","""")"),"CHERENG")</f>
        <v>CHERENG</v>
      </c>
      <c r="E22517" s="38" t="s">
        <v>85</v>
      </c>
      <c r="F22517" s="38" t="s">
        <v>86</v>
      </c>
      <c r="G22517" s="49" t="str">
        <f t="shared" si="1"/>
        <v>59152</v>
      </c>
      <c r="H22517" s="49">
        <f t="shared" si="2"/>
        <v>59146</v>
      </c>
    </row>
    <row r="22518">
      <c r="A22518" s="48" t="s">
        <v>2164</v>
      </c>
      <c r="B22518" s="38">
        <v>63286.0</v>
      </c>
      <c r="C22518" s="38" t="s">
        <v>27045</v>
      </c>
      <c r="D22518" s="38" t="str">
        <f>IFERROR(__xludf.DUMMYFUNCTION("REGEXREPLACE(C22518,""-\d+(.*)|--\d+(.*)"","""")"),"POUZOL")</f>
        <v>POUZOL</v>
      </c>
      <c r="E22518" s="38" t="s">
        <v>353</v>
      </c>
      <c r="F22518" s="38" t="s">
        <v>161</v>
      </c>
      <c r="G22518" s="49" t="str">
        <f t="shared" si="1"/>
        <v>63440</v>
      </c>
      <c r="H22518" s="49">
        <f t="shared" si="2"/>
        <v>63286</v>
      </c>
    </row>
    <row r="22519">
      <c r="A22519" s="48" t="s">
        <v>4924</v>
      </c>
      <c r="B22519" s="38">
        <v>56165.0</v>
      </c>
      <c r="C22519" s="38" t="s">
        <v>27046</v>
      </c>
      <c r="D22519" s="38" t="str">
        <f>IFERROR(__xludf.DUMMYFUNCTION("REGEXREPLACE(C22519,""-\d+(.*)|--\d+(.*)"","""")"),"PLOERMEL")</f>
        <v>PLOERMEL</v>
      </c>
      <c r="E22519" s="38" t="s">
        <v>173</v>
      </c>
      <c r="F22519" s="38" t="s">
        <v>90</v>
      </c>
      <c r="G22519" s="49" t="str">
        <f t="shared" si="1"/>
        <v>56800</v>
      </c>
      <c r="H22519" s="49">
        <f t="shared" si="2"/>
        <v>56165</v>
      </c>
    </row>
    <row r="22520">
      <c r="A22520" s="48" t="s">
        <v>2571</v>
      </c>
      <c r="B22520" s="38">
        <v>61074.0</v>
      </c>
      <c r="C22520" s="38" t="s">
        <v>27047</v>
      </c>
      <c r="D22520" s="38" t="str">
        <f>IFERROR(__xludf.DUMMYFUNCTION("REGEXREPLACE(C22520,""-\d+(.*)|--\d+(.*)"","""")"),"CARROUGES")</f>
        <v>CARROUGES</v>
      </c>
      <c r="E22520" s="38" t="s">
        <v>141</v>
      </c>
      <c r="F22520" s="38" t="s">
        <v>138</v>
      </c>
      <c r="G22520" s="49" t="str">
        <f t="shared" si="1"/>
        <v>61320</v>
      </c>
      <c r="H22520" s="49">
        <f t="shared" si="2"/>
        <v>61074</v>
      </c>
    </row>
    <row r="22521">
      <c r="A22521" s="48" t="s">
        <v>5241</v>
      </c>
      <c r="B22521" s="38">
        <v>36013.0</v>
      </c>
      <c r="C22521" s="38" t="s">
        <v>27048</v>
      </c>
      <c r="D22521" s="38" t="str">
        <f>IFERROR(__xludf.DUMMYFUNCTION("REGEXREPLACE(C22521,""-\d+(.*)|--\d+(.*)"","""")"),"BAUDRES")</f>
        <v>BAUDRES</v>
      </c>
      <c r="E22521" s="38" t="s">
        <v>258</v>
      </c>
      <c r="F22521" s="38" t="s">
        <v>123</v>
      </c>
      <c r="G22521" s="49" t="str">
        <f t="shared" si="1"/>
        <v>36110</v>
      </c>
      <c r="H22521" s="49">
        <f t="shared" si="2"/>
        <v>36013</v>
      </c>
    </row>
    <row r="22522">
      <c r="A22522" s="48" t="s">
        <v>2726</v>
      </c>
      <c r="B22522" s="38">
        <v>46160.0</v>
      </c>
      <c r="C22522" s="38" t="s">
        <v>27049</v>
      </c>
      <c r="D22522" s="38" t="str">
        <f>IFERROR(__xludf.DUMMYFUNCTION("REGEXREPLACE(C22522,""-\d+(.*)|--\d+(.*)"","""")"),"LATRONQUIERE")</f>
        <v>LATRONQUIERE</v>
      </c>
      <c r="E22522" s="38" t="s">
        <v>185</v>
      </c>
      <c r="F22522" s="38" t="s">
        <v>94</v>
      </c>
      <c r="G22522" s="49" t="str">
        <f t="shared" si="1"/>
        <v>46210</v>
      </c>
      <c r="H22522" s="49">
        <f t="shared" si="2"/>
        <v>46160</v>
      </c>
    </row>
    <row r="22523">
      <c r="A22523" s="48" t="s">
        <v>20111</v>
      </c>
      <c r="B22523" s="38">
        <v>59333.0</v>
      </c>
      <c r="C22523" s="38" t="s">
        <v>27050</v>
      </c>
      <c r="D22523" s="38" t="str">
        <f>IFERROR(__xludf.DUMMYFUNCTION("REGEXREPLACE(C22523,""-\d+(.*)|--\d+(.*)"","""")"),"LAROUILLIES")</f>
        <v>LAROUILLIES</v>
      </c>
      <c r="E22523" s="38" t="s">
        <v>85</v>
      </c>
      <c r="F22523" s="38" t="s">
        <v>86</v>
      </c>
      <c r="G22523" s="49" t="str">
        <f t="shared" si="1"/>
        <v>59219</v>
      </c>
      <c r="H22523" s="49">
        <f t="shared" si="2"/>
        <v>59333</v>
      </c>
    </row>
    <row r="22524">
      <c r="A22524" s="48" t="s">
        <v>4443</v>
      </c>
      <c r="B22524" s="38">
        <v>27117.0</v>
      </c>
      <c r="C22524" s="38" t="s">
        <v>27051</v>
      </c>
      <c r="D22524" s="38" t="str">
        <f>IFERROR(__xludf.DUMMYFUNCTION("REGEXREPLACE(C22524,""-\d+(.*)|--\d+(.*)"","""")"),"BROGLIE")</f>
        <v>BROGLIE</v>
      </c>
      <c r="E22524" s="38" t="s">
        <v>241</v>
      </c>
      <c r="F22524" s="38" t="s">
        <v>134</v>
      </c>
      <c r="G22524" s="49" t="str">
        <f t="shared" si="1"/>
        <v>27270</v>
      </c>
      <c r="H22524" s="49">
        <f t="shared" si="2"/>
        <v>27117</v>
      </c>
    </row>
    <row r="22525">
      <c r="A22525" s="48" t="s">
        <v>6928</v>
      </c>
      <c r="B22525" s="38">
        <v>25243.0</v>
      </c>
      <c r="C22525" s="38" t="s">
        <v>27052</v>
      </c>
      <c r="D22525" s="38" t="str">
        <f>IFERROR(__xludf.DUMMYFUNCTION("REGEXREPLACE(C22525,""-\d+(.*)|--\d+(.*)"","""")"),"FLANGEBOUCHE")</f>
        <v>FLANGEBOUCHE</v>
      </c>
      <c r="E22525" s="38" t="s">
        <v>213</v>
      </c>
      <c r="F22525" s="38" t="s">
        <v>214</v>
      </c>
      <c r="G22525" s="49" t="str">
        <f t="shared" si="1"/>
        <v>25390</v>
      </c>
      <c r="H22525" s="49">
        <f t="shared" si="2"/>
        <v>25243</v>
      </c>
    </row>
    <row r="22526">
      <c r="A22526" s="48" t="s">
        <v>15799</v>
      </c>
      <c r="B22526" s="38">
        <v>6140.0</v>
      </c>
      <c r="C22526" s="38" t="s">
        <v>27053</v>
      </c>
      <c r="D22526" s="38" t="str">
        <f>IFERROR(__xludf.DUMMYFUNCTION("REGEXREPLACE(C22526,""-\d+(.*)|--\d+(.*)"","""")"),"LE TIGNET")</f>
        <v>LE TIGNET</v>
      </c>
      <c r="E22526" s="38" t="s">
        <v>227</v>
      </c>
      <c r="F22526" s="38" t="s">
        <v>228</v>
      </c>
      <c r="G22526" s="49" t="str">
        <f t="shared" si="1"/>
        <v>06530</v>
      </c>
      <c r="H22526" s="49" t="str">
        <f t="shared" si="2"/>
        <v>06140</v>
      </c>
    </row>
    <row r="22527">
      <c r="A22527" s="48" t="s">
        <v>1404</v>
      </c>
      <c r="B22527" s="38">
        <v>30061.0</v>
      </c>
      <c r="C22527" s="38" t="s">
        <v>27054</v>
      </c>
      <c r="D22527" s="38" t="str">
        <f>IFERROR(__xludf.DUMMYFUNCTION("REGEXREPLACE(C22527,""-\d+(.*)|--\d+(.*)"","""")"),"LA CALMETTE")</f>
        <v>LA CALMETTE</v>
      </c>
      <c r="E22527" s="38" t="s">
        <v>526</v>
      </c>
      <c r="F22527" s="38" t="s">
        <v>119</v>
      </c>
      <c r="G22527" s="49" t="str">
        <f t="shared" si="1"/>
        <v>30190</v>
      </c>
      <c r="H22527" s="49">
        <f t="shared" si="2"/>
        <v>30061</v>
      </c>
    </row>
    <row r="22528">
      <c r="A22528" s="48" t="s">
        <v>18706</v>
      </c>
      <c r="B22528" s="38">
        <v>54123.0</v>
      </c>
      <c r="C22528" s="38" t="s">
        <v>17507</v>
      </c>
      <c r="D22528" s="38" t="str">
        <f>IFERROR(__xludf.DUMMYFUNCTION("REGEXREPLACE(C22528,""-\d+(.*)|--\d+(.*)"","""")"),"CHAVIGNY")</f>
        <v>CHAVIGNY</v>
      </c>
      <c r="E22528" s="38" t="s">
        <v>548</v>
      </c>
      <c r="F22528" s="38" t="s">
        <v>195</v>
      </c>
      <c r="G22528" s="49" t="str">
        <f t="shared" si="1"/>
        <v>54230</v>
      </c>
      <c r="H22528" s="49">
        <f t="shared" si="2"/>
        <v>54123</v>
      </c>
    </row>
    <row r="22529">
      <c r="A22529" s="48" t="s">
        <v>1298</v>
      </c>
      <c r="B22529" s="38">
        <v>38469.0</v>
      </c>
      <c r="C22529" s="38" t="s">
        <v>27055</v>
      </c>
      <c r="D22529" s="38" t="str">
        <f>IFERROR(__xludf.DUMMYFUNCTION("REGEXREPLACE(C22529,""-\d+(.*)|--\d+(.*)"","""")"),"LA SALETTE-FALLAVAUX")</f>
        <v>LA SALETTE-FALLAVAUX</v>
      </c>
      <c r="E22529" s="38" t="s">
        <v>101</v>
      </c>
      <c r="F22529" s="38" t="s">
        <v>102</v>
      </c>
      <c r="G22529" s="49" t="str">
        <f t="shared" si="1"/>
        <v>38970</v>
      </c>
      <c r="H22529" s="49">
        <f t="shared" si="2"/>
        <v>38469</v>
      </c>
    </row>
    <row r="22530">
      <c r="A22530" s="48" t="s">
        <v>18596</v>
      </c>
      <c r="B22530" s="38">
        <v>15036.0</v>
      </c>
      <c r="C22530" s="38" t="s">
        <v>27056</v>
      </c>
      <c r="D22530" s="38" t="str">
        <f>IFERROR(__xludf.DUMMYFUNCTION("REGEXREPLACE(C22530,""-\d+(.*)|--\d+(.*)"","""")"),"CHALVIGNAC")</f>
        <v>CHALVIGNAC</v>
      </c>
      <c r="E22530" s="38" t="s">
        <v>632</v>
      </c>
      <c r="F22530" s="38" t="s">
        <v>161</v>
      </c>
      <c r="G22530" s="49" t="str">
        <f t="shared" si="1"/>
        <v>15200</v>
      </c>
      <c r="H22530" s="49">
        <f t="shared" si="2"/>
        <v>15036</v>
      </c>
    </row>
    <row r="22531">
      <c r="A22531" s="48" t="s">
        <v>27057</v>
      </c>
      <c r="B22531" s="38">
        <v>75108.0</v>
      </c>
      <c r="C22531" s="38" t="s">
        <v>27058</v>
      </c>
      <c r="D22531" s="38" t="str">
        <f>IFERROR(__xludf.DUMMYFUNCTION("REGEXREPLACE(C22531,""-\d+(.*)|--\d+(.*)"","""")"),"PARIS")</f>
        <v>PARIS</v>
      </c>
      <c r="E22531" s="38" t="s">
        <v>823</v>
      </c>
      <c r="F22531" s="38" t="s">
        <v>245</v>
      </c>
      <c r="G22531" s="49" t="str">
        <f t="shared" si="1"/>
        <v>75008</v>
      </c>
      <c r="H22531" s="49">
        <f t="shared" si="2"/>
        <v>75108</v>
      </c>
    </row>
    <row r="22532">
      <c r="A22532" s="48" t="s">
        <v>4768</v>
      </c>
      <c r="B22532" s="38">
        <v>6117.0</v>
      </c>
      <c r="C22532" s="38" t="s">
        <v>21106</v>
      </c>
      <c r="D22532" s="38" t="str">
        <f>IFERROR(__xludf.DUMMYFUNCTION("REGEXREPLACE(C22532,""-\d+(.*)|--\d+(.*)"","""")"),"SAINT-BLAISE")</f>
        <v>SAINT-BLAISE</v>
      </c>
      <c r="E22532" s="38" t="s">
        <v>227</v>
      </c>
      <c r="F22532" s="38" t="s">
        <v>228</v>
      </c>
      <c r="G22532" s="49" t="str">
        <f t="shared" si="1"/>
        <v>06670</v>
      </c>
      <c r="H22532" s="49" t="str">
        <f t="shared" si="2"/>
        <v>06117</v>
      </c>
    </row>
    <row r="22533">
      <c r="A22533" s="48" t="s">
        <v>2419</v>
      </c>
      <c r="B22533" s="38">
        <v>58123.0</v>
      </c>
      <c r="C22533" s="38" t="s">
        <v>27059</v>
      </c>
      <c r="D22533" s="38" t="str">
        <f>IFERROR(__xludf.DUMMYFUNCTION("REGEXREPLACE(C22533,""-\d+(.*)|--\d+(.*)"","""")"),"GERMENAY")</f>
        <v>GERMENAY</v>
      </c>
      <c r="E22533" s="38" t="s">
        <v>219</v>
      </c>
      <c r="F22533" s="38" t="s">
        <v>106</v>
      </c>
      <c r="G22533" s="49" t="str">
        <f t="shared" si="1"/>
        <v>58800</v>
      </c>
      <c r="H22533" s="49">
        <f t="shared" si="2"/>
        <v>58123</v>
      </c>
    </row>
    <row r="22534">
      <c r="A22534" s="48" t="s">
        <v>12007</v>
      </c>
      <c r="B22534" s="38">
        <v>37110.0</v>
      </c>
      <c r="C22534" s="38" t="s">
        <v>27060</v>
      </c>
      <c r="D22534" s="38" t="str">
        <f>IFERROR(__xludf.DUMMYFUNCTION("REGEXREPLACE(C22534,""-\d+(.*)|--\d+(.*)"","""")"),"FRANCUEIL")</f>
        <v>FRANCUEIL</v>
      </c>
      <c r="E22534" s="38" t="s">
        <v>205</v>
      </c>
      <c r="F22534" s="38" t="s">
        <v>123</v>
      </c>
      <c r="G22534" s="49" t="str">
        <f t="shared" si="1"/>
        <v>37150</v>
      </c>
      <c r="H22534" s="49">
        <f t="shared" si="2"/>
        <v>37110</v>
      </c>
    </row>
    <row r="22535">
      <c r="A22535" s="48" t="s">
        <v>16875</v>
      </c>
      <c r="B22535" s="38">
        <v>59530.0</v>
      </c>
      <c r="C22535" s="38" t="s">
        <v>27061</v>
      </c>
      <c r="D22535" s="38" t="str">
        <f>IFERROR(__xludf.DUMMYFUNCTION("REGEXREPLACE(C22535,""-\d+(.*)|--\d+(.*)"","""")"),"SAINT-AYBERT")</f>
        <v>SAINT-AYBERT</v>
      </c>
      <c r="E22535" s="38" t="s">
        <v>85</v>
      </c>
      <c r="F22535" s="38" t="s">
        <v>86</v>
      </c>
      <c r="G22535" s="49" t="str">
        <f t="shared" si="1"/>
        <v>59163</v>
      </c>
      <c r="H22535" s="49">
        <f t="shared" si="2"/>
        <v>59530</v>
      </c>
    </row>
    <row r="22536">
      <c r="A22536" s="48" t="s">
        <v>1932</v>
      </c>
      <c r="B22536" s="38">
        <v>70081.0</v>
      </c>
      <c r="C22536" s="38" t="s">
        <v>27062</v>
      </c>
      <c r="D22536" s="38" t="str">
        <f>IFERROR(__xludf.DUMMYFUNCTION("REGEXREPLACE(C22536,""-\d+(.*)|--\d+(.*)"","""")"),"BOUHANS-LES-LURE")</f>
        <v>BOUHANS-LES-LURE</v>
      </c>
      <c r="E22536" s="38" t="s">
        <v>956</v>
      </c>
      <c r="F22536" s="38" t="s">
        <v>214</v>
      </c>
      <c r="G22536" s="49" t="str">
        <f t="shared" si="1"/>
        <v>70200</v>
      </c>
      <c r="H22536" s="49">
        <f t="shared" si="2"/>
        <v>70081</v>
      </c>
    </row>
    <row r="22537">
      <c r="A22537" s="48" t="s">
        <v>6628</v>
      </c>
      <c r="B22537" s="38">
        <v>1361.0</v>
      </c>
      <c r="C22537" s="38" t="s">
        <v>27063</v>
      </c>
      <c r="D22537" s="38" t="str">
        <f>IFERROR(__xludf.DUMMYFUNCTION("REGEXREPLACE(C22537,""-\d+(.*)|--\d+(.*)"","""")"),"SAINT-JEAN-DE-NIOST")</f>
        <v>SAINT-JEAN-DE-NIOST</v>
      </c>
      <c r="E22537" s="38" t="s">
        <v>255</v>
      </c>
      <c r="F22537" s="38" t="s">
        <v>102</v>
      </c>
      <c r="G22537" s="49" t="str">
        <f t="shared" si="1"/>
        <v>01800</v>
      </c>
      <c r="H22537" s="49" t="str">
        <f t="shared" si="2"/>
        <v>01361</v>
      </c>
    </row>
    <row r="22538">
      <c r="A22538" s="48" t="s">
        <v>6145</v>
      </c>
      <c r="B22538" s="38">
        <v>59108.0</v>
      </c>
      <c r="C22538" s="38" t="s">
        <v>27064</v>
      </c>
      <c r="D22538" s="38" t="str">
        <f>IFERROR(__xludf.DUMMYFUNCTION("REGEXREPLACE(C22538,""-\d+(.*)|--\d+(.*)"","""")"),"BRIASTRE")</f>
        <v>BRIASTRE</v>
      </c>
      <c r="E22538" s="38" t="s">
        <v>85</v>
      </c>
      <c r="F22538" s="38" t="s">
        <v>86</v>
      </c>
      <c r="G22538" s="49" t="str">
        <f t="shared" si="1"/>
        <v>59730</v>
      </c>
      <c r="H22538" s="49">
        <f t="shared" si="2"/>
        <v>59108</v>
      </c>
    </row>
    <row r="22539">
      <c r="A22539" s="48" t="s">
        <v>21033</v>
      </c>
      <c r="B22539" s="38">
        <v>59651.0</v>
      </c>
      <c r="C22539" s="38" t="s">
        <v>27065</v>
      </c>
      <c r="D22539" s="38" t="str">
        <f>IFERROR(__xludf.DUMMYFUNCTION("REGEXREPLACE(C22539,""-\d+(.*)|--\d+(.*)"","""")"),"WAVRECHAIN-SOUS-DENAIN")</f>
        <v>WAVRECHAIN-SOUS-DENAIN</v>
      </c>
      <c r="E22539" s="38" t="s">
        <v>85</v>
      </c>
      <c r="F22539" s="38" t="s">
        <v>86</v>
      </c>
      <c r="G22539" s="49" t="str">
        <f t="shared" si="1"/>
        <v>59220</v>
      </c>
      <c r="H22539" s="49">
        <f t="shared" si="2"/>
        <v>59651</v>
      </c>
    </row>
    <row r="22540">
      <c r="A22540" s="48" t="s">
        <v>3291</v>
      </c>
      <c r="B22540" s="38">
        <v>3127.0</v>
      </c>
      <c r="C22540" s="38" t="s">
        <v>27066</v>
      </c>
      <c r="D22540" s="38" t="str">
        <f>IFERROR(__xludf.DUMMYFUNCTION("REGEXREPLACE(C22540,""-\d+(.*)|--\d+(.*)"","""")"),"HERISSON")</f>
        <v>HERISSON</v>
      </c>
      <c r="E22540" s="38" t="s">
        <v>160</v>
      </c>
      <c r="F22540" s="38" t="s">
        <v>161</v>
      </c>
      <c r="G22540" s="49" t="str">
        <f t="shared" si="1"/>
        <v>03190</v>
      </c>
      <c r="H22540" s="49" t="str">
        <f t="shared" si="2"/>
        <v>03127</v>
      </c>
    </row>
    <row r="22541">
      <c r="A22541" s="48" t="s">
        <v>11903</v>
      </c>
      <c r="B22541" s="38">
        <v>74262.0</v>
      </c>
      <c r="C22541" s="38" t="s">
        <v>27067</v>
      </c>
      <c r="D22541" s="38" t="str">
        <f>IFERROR(__xludf.DUMMYFUNCTION("REGEXREPLACE(C22541,""-\d+(.*)|--\d+(.*)"","""")"),"SCIENTRIER")</f>
        <v>SCIENTRIER</v>
      </c>
      <c r="E22541" s="38" t="s">
        <v>319</v>
      </c>
      <c r="F22541" s="38" t="s">
        <v>102</v>
      </c>
      <c r="G22541" s="49" t="str">
        <f t="shared" si="1"/>
        <v>74930</v>
      </c>
      <c r="H22541" s="49">
        <f t="shared" si="2"/>
        <v>74262</v>
      </c>
    </row>
    <row r="22542">
      <c r="A22542" s="48" t="s">
        <v>27068</v>
      </c>
      <c r="B22542" s="38">
        <v>97411.0</v>
      </c>
      <c r="C22542" s="38" t="s">
        <v>13659</v>
      </c>
      <c r="D22542" s="38" t="str">
        <f>IFERROR(__xludf.DUMMYFUNCTION("REGEXREPLACE(C22542,""-\d+(.*)|--\d+(.*)"","""")"),"SAINT-DENIS")</f>
        <v>SAINT-DENIS</v>
      </c>
      <c r="E22542" s="38" t="s">
        <v>7739</v>
      </c>
      <c r="F22542" s="38" t="s">
        <v>7739</v>
      </c>
      <c r="G22542" s="49" t="str">
        <f t="shared" si="1"/>
        <v>97400</v>
      </c>
      <c r="H22542" s="49">
        <f t="shared" si="2"/>
        <v>97411</v>
      </c>
    </row>
    <row r="22543">
      <c r="A22543" s="48" t="s">
        <v>12845</v>
      </c>
      <c r="B22543" s="38">
        <v>85029.0</v>
      </c>
      <c r="C22543" s="38" t="s">
        <v>27069</v>
      </c>
      <c r="D22543" s="38" t="str">
        <f>IFERROR(__xludf.DUMMYFUNCTION("REGEXREPLACE(C22543,""-\d+(.*)|--\d+(.*)"","""")"),"BOUIN")</f>
        <v>BOUIN</v>
      </c>
      <c r="E22543" s="38" t="s">
        <v>179</v>
      </c>
      <c r="F22543" s="38" t="s">
        <v>180</v>
      </c>
      <c r="G22543" s="49" t="str">
        <f t="shared" si="1"/>
        <v>85230</v>
      </c>
      <c r="H22543" s="49">
        <f t="shared" si="2"/>
        <v>85029</v>
      </c>
    </row>
    <row r="22544">
      <c r="A22544" s="48" t="s">
        <v>22709</v>
      </c>
      <c r="B22544" s="38">
        <v>33396.0</v>
      </c>
      <c r="C22544" s="38" t="s">
        <v>27070</v>
      </c>
      <c r="D22544" s="38" t="str">
        <f>IFERROR(__xludf.DUMMYFUNCTION("REGEXREPLACE(C22544,""-\d+(.*)|--\d+(.*)"","""")"),"SAINT-ETIENNE-DE-LISSE")</f>
        <v>SAINT-ETIENNE-DE-LISSE</v>
      </c>
      <c r="E22544" s="38" t="s">
        <v>462</v>
      </c>
      <c r="F22544" s="38" t="s">
        <v>252</v>
      </c>
      <c r="G22544" s="49" t="str">
        <f t="shared" si="1"/>
        <v>33330</v>
      </c>
      <c r="H22544" s="49">
        <f t="shared" si="2"/>
        <v>33396</v>
      </c>
    </row>
    <row r="22545">
      <c r="A22545" s="48" t="s">
        <v>2853</v>
      </c>
      <c r="B22545" s="38">
        <v>36243.0</v>
      </c>
      <c r="C22545" s="38" t="s">
        <v>27071</v>
      </c>
      <c r="D22545" s="38" t="str">
        <f>IFERROR(__xludf.DUMMYFUNCTION("REGEXREPLACE(C22545,""-\d+(.*)|--\d+(.*)"","""")"),"VILLEGOUIN")</f>
        <v>VILLEGOUIN</v>
      </c>
      <c r="E22545" s="38" t="s">
        <v>258</v>
      </c>
      <c r="F22545" s="38" t="s">
        <v>123</v>
      </c>
      <c r="G22545" s="49" t="str">
        <f t="shared" si="1"/>
        <v>36500</v>
      </c>
      <c r="H22545" s="49">
        <f t="shared" si="2"/>
        <v>36243</v>
      </c>
    </row>
    <row r="22546">
      <c r="A22546" s="48" t="s">
        <v>8116</v>
      </c>
      <c r="B22546" s="38">
        <v>64373.0</v>
      </c>
      <c r="C22546" s="38" t="s">
        <v>27072</v>
      </c>
      <c r="D22546" s="38" t="str">
        <f>IFERROR(__xludf.DUMMYFUNCTION("REGEXREPLACE(C22546,""-\d+(.*)|--\d+(.*)"","""")"),"MAZERES-LEZONS")</f>
        <v>MAZERES-LEZONS</v>
      </c>
      <c r="E22546" s="38" t="s">
        <v>268</v>
      </c>
      <c r="F22546" s="38" t="s">
        <v>252</v>
      </c>
      <c r="G22546" s="49" t="str">
        <f t="shared" si="1"/>
        <v>64110</v>
      </c>
      <c r="H22546" s="49">
        <f t="shared" si="2"/>
        <v>64373</v>
      </c>
    </row>
    <row r="22547">
      <c r="A22547" s="48" t="s">
        <v>6389</v>
      </c>
      <c r="B22547" s="38">
        <v>14525.0</v>
      </c>
      <c r="C22547" s="38" t="s">
        <v>27073</v>
      </c>
      <c r="D22547" s="38" t="str">
        <f>IFERROR(__xludf.DUMMYFUNCTION("REGEXREPLACE(C22547,""-\d+(.*)|--\d+(.*)"","""")"),"PUTOT-EN-BESSIN")</f>
        <v>PUTOT-EN-BESSIN</v>
      </c>
      <c r="E22547" s="38" t="s">
        <v>137</v>
      </c>
      <c r="F22547" s="38" t="s">
        <v>138</v>
      </c>
      <c r="G22547" s="49" t="str">
        <f t="shared" si="1"/>
        <v>14740</v>
      </c>
      <c r="H22547" s="49">
        <f t="shared" si="2"/>
        <v>14525</v>
      </c>
    </row>
    <row r="22548">
      <c r="A22548" s="48" t="s">
        <v>3729</v>
      </c>
      <c r="B22548" s="38">
        <v>32117.0</v>
      </c>
      <c r="C22548" s="38" t="s">
        <v>27074</v>
      </c>
      <c r="D22548" s="38" t="str">
        <f>IFERROR(__xludf.DUMMYFUNCTION("REGEXREPLACE(C22548,""-\d+(.*)|--\d+(.*)"","""")"),"DURAN")</f>
        <v>DURAN</v>
      </c>
      <c r="E22548" s="38" t="s">
        <v>440</v>
      </c>
      <c r="F22548" s="38" t="s">
        <v>94</v>
      </c>
      <c r="G22548" s="49" t="str">
        <f t="shared" si="1"/>
        <v>32810</v>
      </c>
      <c r="H22548" s="49">
        <f t="shared" si="2"/>
        <v>32117</v>
      </c>
    </row>
    <row r="22549">
      <c r="A22549" s="48" t="s">
        <v>1802</v>
      </c>
      <c r="B22549" s="38">
        <v>53059.0</v>
      </c>
      <c r="C22549" s="38" t="s">
        <v>27075</v>
      </c>
      <c r="D22549" s="38" t="str">
        <f>IFERROR(__xludf.DUMMYFUNCTION("REGEXREPLACE(C22549,""-\d+(.*)|--\d+(.*)"","""")"),"LA CHAPELLE-RAINSOUIN")</f>
        <v>LA CHAPELLE-RAINSOUIN</v>
      </c>
      <c r="E22549" s="38" t="s">
        <v>518</v>
      </c>
      <c r="F22549" s="38" t="s">
        <v>180</v>
      </c>
      <c r="G22549" s="49" t="str">
        <f t="shared" si="1"/>
        <v>53150</v>
      </c>
      <c r="H22549" s="49">
        <f t="shared" si="2"/>
        <v>53059</v>
      </c>
    </row>
    <row r="22550">
      <c r="A22550" s="48" t="s">
        <v>20867</v>
      </c>
      <c r="B22550" s="38" t="s">
        <v>27076</v>
      </c>
      <c r="C22550" s="38" t="s">
        <v>27077</v>
      </c>
      <c r="D22550" s="38" t="str">
        <f>IFERROR(__xludf.DUMMYFUNCTION("REGEXREPLACE(C22550,""-\d+(.*)|--\d+(.*)"","""")"),"TARRANO")</f>
        <v>TARRANO</v>
      </c>
      <c r="E22550" s="38" t="s">
        <v>743</v>
      </c>
      <c r="F22550" s="38" t="s">
        <v>607</v>
      </c>
      <c r="G22550" s="49" t="str">
        <f t="shared" si="1"/>
        <v>20234</v>
      </c>
      <c r="H22550" s="49" t="str">
        <f t="shared" si="2"/>
        <v>2B321</v>
      </c>
    </row>
    <row r="22551">
      <c r="A22551" s="48" t="s">
        <v>443</v>
      </c>
      <c r="B22551" s="38">
        <v>24554.0</v>
      </c>
      <c r="C22551" s="38" t="s">
        <v>27078</v>
      </c>
      <c r="D22551" s="38" t="str">
        <f>IFERROR(__xludf.DUMMYFUNCTION("REGEXREPLACE(C22551,""-\d+(.*)|--\d+(.*)"","""")"),"LA TOUR-BLANCHE")</f>
        <v>LA TOUR-BLANCHE</v>
      </c>
      <c r="E22551" s="38" t="s">
        <v>261</v>
      </c>
      <c r="F22551" s="38" t="s">
        <v>252</v>
      </c>
      <c r="G22551" s="49" t="str">
        <f t="shared" si="1"/>
        <v>24320</v>
      </c>
      <c r="H22551" s="49">
        <f t="shared" si="2"/>
        <v>24554</v>
      </c>
    </row>
    <row r="22552">
      <c r="A22552" s="48" t="s">
        <v>885</v>
      </c>
      <c r="B22552" s="38">
        <v>71390.0</v>
      </c>
      <c r="C22552" s="38" t="s">
        <v>27079</v>
      </c>
      <c r="D22552" s="38" t="str">
        <f>IFERROR(__xludf.DUMMYFUNCTION("REGEXREPLACE(C22552,""-\d+(.*)|--\d+(.*)"","""")"),"SAINT-BERAIN-SOUS-SANVIGNES")</f>
        <v>SAINT-BERAIN-SOUS-SANVIGNES</v>
      </c>
      <c r="E22552" s="38" t="s">
        <v>344</v>
      </c>
      <c r="F22552" s="38" t="s">
        <v>106</v>
      </c>
      <c r="G22552" s="49" t="str">
        <f t="shared" si="1"/>
        <v>71300</v>
      </c>
      <c r="H22552" s="49">
        <f t="shared" si="2"/>
        <v>71390</v>
      </c>
    </row>
    <row r="22553">
      <c r="A22553" s="48" t="s">
        <v>8129</v>
      </c>
      <c r="B22553" s="38">
        <v>70573.0</v>
      </c>
      <c r="C22553" s="38" t="s">
        <v>21602</v>
      </c>
      <c r="D22553" s="38" t="str">
        <f>IFERROR(__xludf.DUMMYFUNCTION("REGEXREPLACE(C22553,""-\d+(.*)|--\d+(.*)"","""")"),"LA VOIVRE")</f>
        <v>LA VOIVRE</v>
      </c>
      <c r="E22553" s="38" t="s">
        <v>956</v>
      </c>
      <c r="F22553" s="38" t="s">
        <v>214</v>
      </c>
      <c r="G22553" s="49" t="str">
        <f t="shared" si="1"/>
        <v>70310</v>
      </c>
      <c r="H22553" s="49">
        <f t="shared" si="2"/>
        <v>70573</v>
      </c>
    </row>
    <row r="22554">
      <c r="A22554" s="48" t="s">
        <v>14375</v>
      </c>
      <c r="B22554" s="38">
        <v>74160.0</v>
      </c>
      <c r="C22554" s="38" t="s">
        <v>27080</v>
      </c>
      <c r="D22554" s="38" t="str">
        <f>IFERROR(__xludf.DUMMYFUNCTION("REGEXREPLACE(C22554,""-\d+(.*)|--\d+(.*)"","""")"),"MANIGOD")</f>
        <v>MANIGOD</v>
      </c>
      <c r="E22554" s="38" t="s">
        <v>319</v>
      </c>
      <c r="F22554" s="38" t="s">
        <v>102</v>
      </c>
      <c r="G22554" s="49" t="str">
        <f t="shared" si="1"/>
        <v>74230</v>
      </c>
      <c r="H22554" s="49">
        <f t="shared" si="2"/>
        <v>74160</v>
      </c>
    </row>
    <row r="22555">
      <c r="A22555" s="48" t="s">
        <v>18641</v>
      </c>
      <c r="B22555" s="38">
        <v>14401.0</v>
      </c>
      <c r="C22555" s="38" t="s">
        <v>27081</v>
      </c>
      <c r="D22555" s="38" t="str">
        <f>IFERROR(__xludf.DUMMYFUNCTION("REGEXREPLACE(C22555,""-\d+(.*)|--\d+(.*)"","""")"),"MANVIEUX")</f>
        <v>MANVIEUX</v>
      </c>
      <c r="E22555" s="38" t="s">
        <v>137</v>
      </c>
      <c r="F22555" s="38" t="s">
        <v>138</v>
      </c>
      <c r="G22555" s="49" t="str">
        <f t="shared" si="1"/>
        <v>14117</v>
      </c>
      <c r="H22555" s="49">
        <f t="shared" si="2"/>
        <v>14401</v>
      </c>
    </row>
    <row r="22556">
      <c r="A22556" s="48" t="s">
        <v>27082</v>
      </c>
      <c r="B22556" s="38">
        <v>54227.0</v>
      </c>
      <c r="C22556" s="38" t="s">
        <v>14720</v>
      </c>
      <c r="D22556" s="38" t="str">
        <f>IFERROR(__xludf.DUMMYFUNCTION("REGEXREPLACE(C22556,""-\d+(.*)|--\d+(.*)"","""")"),"GIRAUMONT")</f>
        <v>GIRAUMONT</v>
      </c>
      <c r="E22556" s="38" t="s">
        <v>548</v>
      </c>
      <c r="F22556" s="38" t="s">
        <v>195</v>
      </c>
      <c r="G22556" s="49" t="str">
        <f t="shared" si="1"/>
        <v>54780</v>
      </c>
      <c r="H22556" s="49">
        <f t="shared" si="2"/>
        <v>54227</v>
      </c>
    </row>
    <row r="22557">
      <c r="A22557" s="48" t="s">
        <v>573</v>
      </c>
      <c r="B22557" s="38">
        <v>65091.0</v>
      </c>
      <c r="C22557" s="38" t="s">
        <v>27083</v>
      </c>
      <c r="D22557" s="38" t="str">
        <f>IFERROR(__xludf.DUMMYFUNCTION("REGEXREPLACE(C22557,""-\d+(.*)|--\d+(.*)"","""")"),"BETTES")</f>
        <v>BETTES</v>
      </c>
      <c r="E22557" s="38" t="s">
        <v>200</v>
      </c>
      <c r="F22557" s="38" t="s">
        <v>94</v>
      </c>
      <c r="G22557" s="49" t="str">
        <f t="shared" si="1"/>
        <v>65130</v>
      </c>
      <c r="H22557" s="49">
        <f t="shared" si="2"/>
        <v>65091</v>
      </c>
    </row>
    <row r="22558">
      <c r="A22558" s="48" t="s">
        <v>7722</v>
      </c>
      <c r="B22558" s="38">
        <v>25230.0</v>
      </c>
      <c r="C22558" s="38" t="s">
        <v>27084</v>
      </c>
      <c r="D22558" s="38" t="str">
        <f>IFERROR(__xludf.DUMMYFUNCTION("REGEXREPLACE(C22558,""-\d+(.*)|--\d+(.*)"","""")"),"EXINCOURT")</f>
        <v>EXINCOURT</v>
      </c>
      <c r="E22558" s="38" t="s">
        <v>213</v>
      </c>
      <c r="F22558" s="38" t="s">
        <v>214</v>
      </c>
      <c r="G22558" s="49" t="str">
        <f t="shared" si="1"/>
        <v>25400</v>
      </c>
      <c r="H22558" s="49">
        <f t="shared" si="2"/>
        <v>25230</v>
      </c>
    </row>
    <row r="22559">
      <c r="A22559" s="48" t="s">
        <v>2219</v>
      </c>
      <c r="B22559" s="38">
        <v>2727.0</v>
      </c>
      <c r="C22559" s="38" t="s">
        <v>27085</v>
      </c>
      <c r="D22559" s="38" t="str">
        <f>IFERROR(__xludf.DUMMYFUNCTION("REGEXREPLACE(C22559,""-\d+(.*)|--\d+(.*)"","""")"),"SONS-ET-RONCHERES")</f>
        <v>SONS-ET-RONCHERES</v>
      </c>
      <c r="E22559" s="38" t="s">
        <v>191</v>
      </c>
      <c r="F22559" s="38" t="s">
        <v>113</v>
      </c>
      <c r="G22559" s="49" t="str">
        <f t="shared" si="1"/>
        <v>02270</v>
      </c>
      <c r="H22559" s="49" t="str">
        <f t="shared" si="2"/>
        <v>02727</v>
      </c>
    </row>
    <row r="22560">
      <c r="A22560" s="48" t="s">
        <v>27086</v>
      </c>
      <c r="B22560" s="38">
        <v>60583.0</v>
      </c>
      <c r="C22560" s="38" t="s">
        <v>27087</v>
      </c>
      <c r="D22560" s="38" t="str">
        <f>IFERROR(__xludf.DUMMYFUNCTION("REGEXREPLACE(C22560,""-\d+(.*)|--\d+(.*)"","""")"),"SAINT-LEGER-EN-BRAY")</f>
        <v>SAINT-LEGER-EN-BRAY</v>
      </c>
      <c r="E22560" s="38" t="s">
        <v>112</v>
      </c>
      <c r="F22560" s="38" t="s">
        <v>113</v>
      </c>
      <c r="G22560" s="49" t="str">
        <f t="shared" si="1"/>
        <v>60155</v>
      </c>
      <c r="H22560" s="49">
        <f t="shared" si="2"/>
        <v>60583</v>
      </c>
    </row>
    <row r="22561">
      <c r="A22561" s="48" t="s">
        <v>8196</v>
      </c>
      <c r="B22561" s="38">
        <v>23004.0</v>
      </c>
      <c r="C22561" s="38" t="s">
        <v>27088</v>
      </c>
      <c r="D22561" s="38" t="str">
        <f>IFERROR(__xludf.DUMMYFUNCTION("REGEXREPLACE(C22561,""-\d+(.*)|--\d+(.*)"","""")"),"ANZEME")</f>
        <v>ANZEME</v>
      </c>
      <c r="E22561" s="38" t="s">
        <v>97</v>
      </c>
      <c r="F22561" s="38" t="s">
        <v>98</v>
      </c>
      <c r="G22561" s="49" t="str">
        <f t="shared" si="1"/>
        <v>23000</v>
      </c>
      <c r="H22561" s="49">
        <f t="shared" si="2"/>
        <v>23004</v>
      </c>
    </row>
    <row r="22562">
      <c r="A22562" s="48" t="s">
        <v>19964</v>
      </c>
      <c r="B22562" s="38">
        <v>87020.0</v>
      </c>
      <c r="C22562" s="38" t="s">
        <v>27089</v>
      </c>
      <c r="D22562" s="38" t="str">
        <f>IFERROR(__xludf.DUMMYFUNCTION("REGEXREPLACE(C22562,""-\d+(.*)|--\d+(.*)"","""")"),"BONNAC-LA-COTE")</f>
        <v>BONNAC-LA-COTE</v>
      </c>
      <c r="E22562" s="38" t="s">
        <v>897</v>
      </c>
      <c r="F22562" s="38" t="s">
        <v>98</v>
      </c>
      <c r="G22562" s="49" t="str">
        <f t="shared" si="1"/>
        <v>87270</v>
      </c>
      <c r="H22562" s="49">
        <f t="shared" si="2"/>
        <v>87020</v>
      </c>
    </row>
    <row r="22563">
      <c r="A22563" s="48" t="s">
        <v>9004</v>
      </c>
      <c r="B22563" s="38">
        <v>48054.0</v>
      </c>
      <c r="C22563" s="38" t="s">
        <v>27090</v>
      </c>
      <c r="D22563" s="38" t="str">
        <f>IFERROR(__xludf.DUMMYFUNCTION("REGEXREPLACE(C22563,""-\d+(.*)|--\d+(.*)"","""")"),"CUBIERETTES")</f>
        <v>CUBIERETTES</v>
      </c>
      <c r="E22563" s="38" t="s">
        <v>154</v>
      </c>
      <c r="F22563" s="38" t="s">
        <v>119</v>
      </c>
      <c r="G22563" s="49" t="str">
        <f t="shared" si="1"/>
        <v>48190</v>
      </c>
      <c r="H22563" s="49">
        <f t="shared" si="2"/>
        <v>48054</v>
      </c>
    </row>
    <row r="22564">
      <c r="A22564" s="48" t="s">
        <v>1118</v>
      </c>
      <c r="B22564" s="38">
        <v>50374.0</v>
      </c>
      <c r="C22564" s="38" t="s">
        <v>27091</v>
      </c>
      <c r="D22564" s="38" t="str">
        <f>IFERROR(__xludf.DUMMYFUNCTION("REGEXREPLACE(C22564,""-\d+(.*)|--\d+(.*)"","""")"),"NEUVILLE-EN-BEAUMONT")</f>
        <v>NEUVILLE-EN-BEAUMONT</v>
      </c>
      <c r="E22564" s="38" t="s">
        <v>157</v>
      </c>
      <c r="F22564" s="38" t="s">
        <v>138</v>
      </c>
      <c r="G22564" s="49" t="str">
        <f t="shared" si="1"/>
        <v>50250</v>
      </c>
      <c r="H22564" s="49">
        <f t="shared" si="2"/>
        <v>50374</v>
      </c>
    </row>
    <row r="22565">
      <c r="A22565" s="48" t="s">
        <v>4570</v>
      </c>
      <c r="B22565" s="38">
        <v>57720.0</v>
      </c>
      <c r="C22565" s="38" t="s">
        <v>27092</v>
      </c>
      <c r="D22565" s="38" t="str">
        <f>IFERROR(__xludf.DUMMYFUNCTION("REGEXREPLACE(C22565,""-\d+(.*)|--\d+(.*)"","""")"),"VILLING")</f>
        <v>VILLING</v>
      </c>
      <c r="E22565" s="38" t="s">
        <v>303</v>
      </c>
      <c r="F22565" s="38" t="s">
        <v>195</v>
      </c>
      <c r="G22565" s="49" t="str">
        <f t="shared" si="1"/>
        <v>57550</v>
      </c>
      <c r="H22565" s="49">
        <f t="shared" si="2"/>
        <v>57720</v>
      </c>
    </row>
    <row r="22566">
      <c r="A22566" s="48" t="s">
        <v>27093</v>
      </c>
      <c r="B22566" s="38">
        <v>13014.0</v>
      </c>
      <c r="C22566" s="38" t="s">
        <v>27094</v>
      </c>
      <c r="D22566" s="38" t="str">
        <f>IFERROR(__xludf.DUMMYFUNCTION("REGEXREPLACE(C22566,""-\d+(.*)|--\d+(.*)"","""")"),"BERRE-L'ETANG")</f>
        <v>BERRE-L'ETANG</v>
      </c>
      <c r="E22566" s="38" t="s">
        <v>980</v>
      </c>
      <c r="F22566" s="38" t="s">
        <v>228</v>
      </c>
      <c r="G22566" s="49" t="str">
        <f t="shared" si="1"/>
        <v>13130</v>
      </c>
      <c r="H22566" s="49">
        <f t="shared" si="2"/>
        <v>13014</v>
      </c>
    </row>
    <row r="22567">
      <c r="A22567" s="48" t="s">
        <v>1074</v>
      </c>
      <c r="B22567" s="38">
        <v>27198.0</v>
      </c>
      <c r="C22567" s="38" t="s">
        <v>27095</v>
      </c>
      <c r="D22567" s="38" t="str">
        <f>IFERROR(__xludf.DUMMYFUNCTION("REGEXREPLACE(C22567,""-\d+(.*)|--\d+(.*)"","""")"),"DAMVILLE")</f>
        <v>DAMVILLE</v>
      </c>
      <c r="E22567" s="38" t="s">
        <v>241</v>
      </c>
      <c r="F22567" s="38" t="s">
        <v>134</v>
      </c>
      <c r="G22567" s="49" t="str">
        <f t="shared" si="1"/>
        <v>27240</v>
      </c>
      <c r="H22567" s="49">
        <f t="shared" si="2"/>
        <v>27198</v>
      </c>
    </row>
    <row r="22568">
      <c r="A22568" s="48" t="s">
        <v>6515</v>
      </c>
      <c r="B22568" s="38">
        <v>62556.0</v>
      </c>
      <c r="C22568" s="38" t="s">
        <v>27096</v>
      </c>
      <c r="D22568" s="38" t="str">
        <f>IFERROR(__xludf.DUMMYFUNCTION("REGEXREPLACE(C22568,""-\d+(.*)|--\d+(.*)"","""")"),"MARLES-SUR-CANCHE")</f>
        <v>MARLES-SUR-CANCHE</v>
      </c>
      <c r="E22568" s="38" t="s">
        <v>109</v>
      </c>
      <c r="F22568" s="38" t="s">
        <v>86</v>
      </c>
      <c r="G22568" s="49" t="str">
        <f t="shared" si="1"/>
        <v>62170</v>
      </c>
      <c r="H22568" s="49">
        <f t="shared" si="2"/>
        <v>62556</v>
      </c>
    </row>
    <row r="22569">
      <c r="A22569" s="48" t="s">
        <v>2549</v>
      </c>
      <c r="B22569" s="38">
        <v>55404.0</v>
      </c>
      <c r="C22569" s="38" t="s">
        <v>27097</v>
      </c>
      <c r="D22569" s="38" t="str">
        <f>IFERROR(__xludf.DUMMYFUNCTION("REGEXREPLACE(C22569,""-\d+(.*)|--\d+(.*)"","""")"),"PIERREFITTE-SUR-AIRE")</f>
        <v>PIERREFITTE-SUR-AIRE</v>
      </c>
      <c r="E22569" s="38" t="s">
        <v>322</v>
      </c>
      <c r="F22569" s="38" t="s">
        <v>195</v>
      </c>
      <c r="G22569" s="49" t="str">
        <f t="shared" si="1"/>
        <v>55260</v>
      </c>
      <c r="H22569" s="49">
        <f t="shared" si="2"/>
        <v>55404</v>
      </c>
    </row>
    <row r="22570">
      <c r="A22570" s="48" t="s">
        <v>3448</v>
      </c>
      <c r="B22570" s="38">
        <v>65206.0</v>
      </c>
      <c r="C22570" s="38" t="s">
        <v>27098</v>
      </c>
      <c r="D22570" s="38" t="str">
        <f>IFERROR(__xludf.DUMMYFUNCTION("REGEXREPLACE(C22570,""-\d+(.*)|--\d+(.*)"","""")"),"GOUDON")</f>
        <v>GOUDON</v>
      </c>
      <c r="E22570" s="38" t="s">
        <v>200</v>
      </c>
      <c r="F22570" s="38" t="s">
        <v>94</v>
      </c>
      <c r="G22570" s="49" t="str">
        <f t="shared" si="1"/>
        <v>65190</v>
      </c>
      <c r="H22570" s="49">
        <f t="shared" si="2"/>
        <v>65206</v>
      </c>
    </row>
    <row r="22571">
      <c r="A22571" s="48" t="s">
        <v>4779</v>
      </c>
      <c r="B22571" s="38">
        <v>28036.0</v>
      </c>
      <c r="C22571" s="38" t="s">
        <v>27099</v>
      </c>
      <c r="D22571" s="38" t="str">
        <f>IFERROR(__xludf.DUMMYFUNCTION("REGEXREPLACE(C22571,""-\d+(.*)|--\d+(.*)"","""")"),"BERCHERES-SUR-VESGRE")</f>
        <v>BERCHERES-SUR-VESGRE</v>
      </c>
      <c r="E22571" s="38" t="s">
        <v>300</v>
      </c>
      <c r="F22571" s="38" t="s">
        <v>123</v>
      </c>
      <c r="G22571" s="49" t="str">
        <f t="shared" si="1"/>
        <v>28260</v>
      </c>
      <c r="H22571" s="49">
        <f t="shared" si="2"/>
        <v>28036</v>
      </c>
    </row>
    <row r="22572">
      <c r="A22572" s="48" t="s">
        <v>2903</v>
      </c>
      <c r="B22572" s="38">
        <v>85006.0</v>
      </c>
      <c r="C22572" s="38" t="s">
        <v>10127</v>
      </c>
      <c r="D22572" s="38" t="str">
        <f>IFERROR(__xludf.DUMMYFUNCTION("REGEXREPLACE(C22572,""-\d+(.*)|--\d+(.*)"","""")"),"APREMONT")</f>
        <v>APREMONT</v>
      </c>
      <c r="E22572" s="38" t="s">
        <v>179</v>
      </c>
      <c r="F22572" s="38" t="s">
        <v>180</v>
      </c>
      <c r="G22572" s="49" t="str">
        <f t="shared" si="1"/>
        <v>85220</v>
      </c>
      <c r="H22572" s="49">
        <f t="shared" si="2"/>
        <v>85006</v>
      </c>
    </row>
    <row r="22573">
      <c r="A22573" s="48" t="s">
        <v>2159</v>
      </c>
      <c r="B22573" s="38">
        <v>57054.0</v>
      </c>
      <c r="C22573" s="38" t="s">
        <v>18837</v>
      </c>
      <c r="D22573" s="38" t="str">
        <f>IFERROR(__xludf.DUMMYFUNCTION("REGEXREPLACE(C22573,""-\d+(.*)|--\d+(.*)"","""")"),"BAUDRECOURT")</f>
        <v>BAUDRECOURT</v>
      </c>
      <c r="E22573" s="38" t="s">
        <v>303</v>
      </c>
      <c r="F22573" s="38" t="s">
        <v>195</v>
      </c>
      <c r="G22573" s="49" t="str">
        <f t="shared" si="1"/>
        <v>57580</v>
      </c>
      <c r="H22573" s="49">
        <f t="shared" si="2"/>
        <v>57054</v>
      </c>
    </row>
    <row r="22574">
      <c r="A22574" s="48" t="s">
        <v>2512</v>
      </c>
      <c r="B22574" s="38">
        <v>57348.0</v>
      </c>
      <c r="C22574" s="38" t="s">
        <v>27100</v>
      </c>
      <c r="D22574" s="38" t="str">
        <f>IFERROR(__xludf.DUMMYFUNCTION("REGEXREPLACE(C22574,""-\d+(.*)|--\d+(.*)"","""")"),"IPPLING")</f>
        <v>IPPLING</v>
      </c>
      <c r="E22574" s="38" t="s">
        <v>303</v>
      </c>
      <c r="F22574" s="38" t="s">
        <v>195</v>
      </c>
      <c r="G22574" s="49" t="str">
        <f t="shared" si="1"/>
        <v>57990</v>
      </c>
      <c r="H22574" s="49">
        <f t="shared" si="2"/>
        <v>57348</v>
      </c>
    </row>
    <row r="22575">
      <c r="A22575" s="48" t="s">
        <v>1241</v>
      </c>
      <c r="B22575" s="38">
        <v>71422.0</v>
      </c>
      <c r="C22575" s="38" t="s">
        <v>27101</v>
      </c>
      <c r="D22575" s="38" t="str">
        <f>IFERROR(__xludf.DUMMYFUNCTION("REGEXREPLACE(C22575,""-\d+(.*)|--\d+(.*)"","""")"),"SAINT-GERMAIN-LES-BUXY")</f>
        <v>SAINT-GERMAIN-LES-BUXY</v>
      </c>
      <c r="E22575" s="38" t="s">
        <v>344</v>
      </c>
      <c r="F22575" s="38" t="s">
        <v>106</v>
      </c>
      <c r="G22575" s="49" t="str">
        <f t="shared" si="1"/>
        <v>71390</v>
      </c>
      <c r="H22575" s="49">
        <f t="shared" si="2"/>
        <v>71422</v>
      </c>
    </row>
    <row r="22576">
      <c r="A22576" s="48" t="s">
        <v>5513</v>
      </c>
      <c r="B22576" s="38">
        <v>57417.0</v>
      </c>
      <c r="C22576" s="38" t="s">
        <v>27102</v>
      </c>
      <c r="D22576" s="38" t="str">
        <f>IFERROR(__xludf.DUMMYFUNCTION("REGEXREPLACE(C22576,""-\d+(.*)|--\d+(.*)"","""")"),"LOSTROFF")</f>
        <v>LOSTROFF</v>
      </c>
      <c r="E22576" s="38" t="s">
        <v>303</v>
      </c>
      <c r="F22576" s="38" t="s">
        <v>195</v>
      </c>
      <c r="G22576" s="49" t="str">
        <f t="shared" si="1"/>
        <v>57670</v>
      </c>
      <c r="H22576" s="49">
        <f t="shared" si="2"/>
        <v>57417</v>
      </c>
    </row>
    <row r="22577">
      <c r="A22577" s="48" t="s">
        <v>8586</v>
      </c>
      <c r="B22577" s="38">
        <v>46023.0</v>
      </c>
      <c r="C22577" s="38" t="s">
        <v>27103</v>
      </c>
      <c r="D22577" s="38" t="str">
        <f>IFERROR(__xludf.DUMMYFUNCTION("REGEXREPLACE(C22577,""-\d+(.*)|--\d+(.*)"","""")"),"BELFORT-DU-QUERCY")</f>
        <v>BELFORT-DU-QUERCY</v>
      </c>
      <c r="E22577" s="38" t="s">
        <v>185</v>
      </c>
      <c r="F22577" s="38" t="s">
        <v>94</v>
      </c>
      <c r="G22577" s="49" t="str">
        <f t="shared" si="1"/>
        <v>46230</v>
      </c>
      <c r="H22577" s="49">
        <f t="shared" si="2"/>
        <v>46023</v>
      </c>
    </row>
    <row r="22578">
      <c r="A22578" s="48" t="s">
        <v>5060</v>
      </c>
      <c r="B22578" s="38">
        <v>12307.0</v>
      </c>
      <c r="C22578" s="38" t="s">
        <v>27104</v>
      </c>
      <c r="D22578" s="38" t="str">
        <f>IFERROR(__xludf.DUMMYFUNCTION("REGEXREPLACE(C22578,""-\d+(.*)|--\d+(.*)"","""")"),"CURAN")</f>
        <v>CURAN</v>
      </c>
      <c r="E22578" s="38" t="s">
        <v>465</v>
      </c>
      <c r="F22578" s="38" t="s">
        <v>94</v>
      </c>
      <c r="G22578" s="49" t="str">
        <f t="shared" si="1"/>
        <v>12410</v>
      </c>
      <c r="H22578" s="49">
        <f t="shared" si="2"/>
        <v>12307</v>
      </c>
    </row>
    <row r="22579">
      <c r="A22579" s="48" t="s">
        <v>2917</v>
      </c>
      <c r="B22579" s="38">
        <v>49073.0</v>
      </c>
      <c r="C22579" s="38" t="s">
        <v>27105</v>
      </c>
      <c r="D22579" s="38" t="str">
        <f>IFERROR(__xludf.DUMMYFUNCTION("REGEXREPLACE(C22579,""-\d+(.*)|--\d+(.*)"","""")"),"LA CHAPELLE-HULLIN")</f>
        <v>LA CHAPELLE-HULLIN</v>
      </c>
      <c r="E22579" s="38" t="s">
        <v>653</v>
      </c>
      <c r="F22579" s="38" t="s">
        <v>180</v>
      </c>
      <c r="G22579" s="49" t="str">
        <f t="shared" si="1"/>
        <v>49420</v>
      </c>
      <c r="H22579" s="49">
        <f t="shared" si="2"/>
        <v>49073</v>
      </c>
    </row>
    <row r="22580">
      <c r="A22580" s="48" t="s">
        <v>2766</v>
      </c>
      <c r="B22580" s="38">
        <v>2218.0</v>
      </c>
      <c r="C22580" s="38" t="s">
        <v>27106</v>
      </c>
      <c r="D22580" s="38" t="str">
        <f>IFERROR(__xludf.DUMMYFUNCTION("REGEXREPLACE(C22580,""-\d+(.*)|--\d+(.*)"","""")"),"COUCY-LES-EPPES")</f>
        <v>COUCY-LES-EPPES</v>
      </c>
      <c r="E22580" s="38" t="s">
        <v>191</v>
      </c>
      <c r="F22580" s="38" t="s">
        <v>113</v>
      </c>
      <c r="G22580" s="49" t="str">
        <f t="shared" si="1"/>
        <v>02840</v>
      </c>
      <c r="H22580" s="49" t="str">
        <f t="shared" si="2"/>
        <v>02218</v>
      </c>
    </row>
    <row r="22581">
      <c r="A22581" s="48" t="s">
        <v>3418</v>
      </c>
      <c r="B22581" s="38">
        <v>47278.0</v>
      </c>
      <c r="C22581" s="38" t="s">
        <v>19972</v>
      </c>
      <c r="D22581" s="38" t="str">
        <f>IFERROR(__xludf.DUMMYFUNCTION("REGEXREPLACE(C22581,""-\d+(.*)|--\d+(.*)"","""")"),"SAINT-SERNIN")</f>
        <v>SAINT-SERNIN</v>
      </c>
      <c r="E22581" s="38" t="s">
        <v>251</v>
      </c>
      <c r="F22581" s="38" t="s">
        <v>252</v>
      </c>
      <c r="G22581" s="49" t="str">
        <f t="shared" si="1"/>
        <v>47120</v>
      </c>
      <c r="H22581" s="49">
        <f t="shared" si="2"/>
        <v>47278</v>
      </c>
    </row>
    <row r="22582">
      <c r="A22582" s="48" t="s">
        <v>1036</v>
      </c>
      <c r="B22582" s="38">
        <v>57002.0</v>
      </c>
      <c r="C22582" s="38" t="s">
        <v>27107</v>
      </c>
      <c r="D22582" s="38" t="str">
        <f>IFERROR(__xludf.DUMMYFUNCTION("REGEXREPLACE(C22582,""-\d+(.*)|--\d+(.*)"","""")"),"ABONCOURT-SUR-SEILLE")</f>
        <v>ABONCOURT-SUR-SEILLE</v>
      </c>
      <c r="E22582" s="38" t="s">
        <v>303</v>
      </c>
      <c r="F22582" s="38" t="s">
        <v>195</v>
      </c>
      <c r="G22582" s="49" t="str">
        <f t="shared" si="1"/>
        <v>57590</v>
      </c>
      <c r="H22582" s="49">
        <f t="shared" si="2"/>
        <v>57002</v>
      </c>
    </row>
    <row r="22583">
      <c r="A22583" s="48" t="s">
        <v>3596</v>
      </c>
      <c r="B22583" s="38">
        <v>25293.0</v>
      </c>
      <c r="C22583" s="38" t="s">
        <v>27108</v>
      </c>
      <c r="D22583" s="38" t="str">
        <f>IFERROR(__xludf.DUMMYFUNCTION("REGEXREPLACE(C22583,""-\d+(.*)|--\d+(.*)"","""")"),"GRANGES-NARBOZ")</f>
        <v>GRANGES-NARBOZ</v>
      </c>
      <c r="E22583" s="38" t="s">
        <v>213</v>
      </c>
      <c r="F22583" s="38" t="s">
        <v>214</v>
      </c>
      <c r="G22583" s="49" t="str">
        <f t="shared" si="1"/>
        <v>25300</v>
      </c>
      <c r="H22583" s="49">
        <f t="shared" si="2"/>
        <v>25293</v>
      </c>
    </row>
    <row r="22584">
      <c r="A22584" s="48" t="s">
        <v>27109</v>
      </c>
      <c r="B22584" s="38">
        <v>56107.0</v>
      </c>
      <c r="C22584" s="38" t="s">
        <v>27110</v>
      </c>
      <c r="D22584" s="38" t="str">
        <f>IFERROR(__xludf.DUMMYFUNCTION("REGEXREPLACE(C22584,""-\d+(.*)|--\d+(.*)"","""")"),"LARMOR-PLAGE")</f>
        <v>LARMOR-PLAGE</v>
      </c>
      <c r="E22584" s="38" t="s">
        <v>173</v>
      </c>
      <c r="F22584" s="38" t="s">
        <v>90</v>
      </c>
      <c r="G22584" s="49" t="str">
        <f t="shared" si="1"/>
        <v>56260</v>
      </c>
      <c r="H22584" s="49">
        <f t="shared" si="2"/>
        <v>56107</v>
      </c>
    </row>
    <row r="22585">
      <c r="A22585" s="48" t="s">
        <v>4272</v>
      </c>
      <c r="B22585" s="38">
        <v>76588.0</v>
      </c>
      <c r="C22585" s="38" t="s">
        <v>27111</v>
      </c>
      <c r="D22585" s="38" t="str">
        <f>IFERROR(__xludf.DUMMYFUNCTION("REGEXREPLACE(C22585,""-\d+(.*)|--\d+(.*)"","""")"),"SAINT-HELLIER")</f>
        <v>SAINT-HELLIER</v>
      </c>
      <c r="E22585" s="38" t="s">
        <v>133</v>
      </c>
      <c r="F22585" s="38" t="s">
        <v>134</v>
      </c>
      <c r="G22585" s="49" t="str">
        <f t="shared" si="1"/>
        <v>76680</v>
      </c>
      <c r="H22585" s="49">
        <f t="shared" si="2"/>
        <v>76588</v>
      </c>
    </row>
    <row r="22586">
      <c r="A22586" s="48" t="s">
        <v>11394</v>
      </c>
      <c r="B22586" s="38">
        <v>57271.0</v>
      </c>
      <c r="C22586" s="38" t="s">
        <v>27112</v>
      </c>
      <c r="D22586" s="38" t="str">
        <f>IFERROR(__xludf.DUMMYFUNCTION("REGEXREPLACE(C22586,""-\d+(.*)|--\d+(.*)"","""")"),"GUENVILLER")</f>
        <v>GUENVILLER</v>
      </c>
      <c r="E22586" s="38" t="s">
        <v>303</v>
      </c>
      <c r="F22586" s="38" t="s">
        <v>195</v>
      </c>
      <c r="G22586" s="49" t="str">
        <f t="shared" si="1"/>
        <v>57470</v>
      </c>
      <c r="H22586" s="49">
        <f t="shared" si="2"/>
        <v>57271</v>
      </c>
    </row>
    <row r="22587">
      <c r="A22587" s="48" t="s">
        <v>527</v>
      </c>
      <c r="B22587" s="38">
        <v>86001.0</v>
      </c>
      <c r="C22587" s="38" t="s">
        <v>27113</v>
      </c>
      <c r="D22587" s="38" t="str">
        <f>IFERROR(__xludf.DUMMYFUNCTION("REGEXREPLACE(C22587,""-\d+(.*)|--\d+(.*)"","""")"),"ADRIERS")</f>
        <v>ADRIERS</v>
      </c>
      <c r="E22587" s="38" t="s">
        <v>529</v>
      </c>
      <c r="F22587" s="38" t="s">
        <v>338</v>
      </c>
      <c r="G22587" s="49" t="str">
        <f t="shared" si="1"/>
        <v>86430</v>
      </c>
      <c r="H22587" s="49">
        <f t="shared" si="2"/>
        <v>86001</v>
      </c>
    </row>
    <row r="22588">
      <c r="A22588" s="48" t="s">
        <v>4170</v>
      </c>
      <c r="B22588" s="38">
        <v>37228.0</v>
      </c>
      <c r="C22588" s="38" t="s">
        <v>27114</v>
      </c>
      <c r="D22588" s="38" t="str">
        <f>IFERROR(__xludf.DUMMYFUNCTION("REGEXREPLACE(C22588,""-\d+(.*)|--\d+(.*)"","""")"),"SAINT-NICOLAS-DE-BOURGUEIL")</f>
        <v>SAINT-NICOLAS-DE-BOURGUEIL</v>
      </c>
      <c r="E22588" s="38" t="s">
        <v>205</v>
      </c>
      <c r="F22588" s="38" t="s">
        <v>123</v>
      </c>
      <c r="G22588" s="49" t="str">
        <f t="shared" si="1"/>
        <v>37140</v>
      </c>
      <c r="H22588" s="49">
        <f t="shared" si="2"/>
        <v>37228</v>
      </c>
    </row>
    <row r="22589">
      <c r="A22589" s="48" t="s">
        <v>3596</v>
      </c>
      <c r="B22589" s="38">
        <v>25515.0</v>
      </c>
      <c r="C22589" s="38" t="s">
        <v>10166</v>
      </c>
      <c r="D22589" s="38" t="str">
        <f>IFERROR(__xludf.DUMMYFUNCTION("REGEXREPLACE(C22589,""-\d+(.*)|--\d+(.*)"","""")"),"SAINTE-COLOMBE")</f>
        <v>SAINTE-COLOMBE</v>
      </c>
      <c r="E22589" s="38" t="s">
        <v>213</v>
      </c>
      <c r="F22589" s="38" t="s">
        <v>214</v>
      </c>
      <c r="G22589" s="49" t="str">
        <f t="shared" si="1"/>
        <v>25300</v>
      </c>
      <c r="H22589" s="49">
        <f t="shared" si="2"/>
        <v>25515</v>
      </c>
    </row>
    <row r="22590">
      <c r="A22590" s="48" t="s">
        <v>2139</v>
      </c>
      <c r="B22590" s="38">
        <v>72154.0</v>
      </c>
      <c r="C22590" s="38" t="s">
        <v>27115</v>
      </c>
      <c r="D22590" s="38" t="str">
        <f>IFERROR(__xludf.DUMMYFUNCTION("REGEXREPLACE(C22590,""-\d+(.*)|--\d+(.*)"","""")"),"LA FLECHE")</f>
        <v>LA FLECHE</v>
      </c>
      <c r="E22590" s="38" t="s">
        <v>521</v>
      </c>
      <c r="F22590" s="38" t="s">
        <v>180</v>
      </c>
      <c r="G22590" s="49" t="str">
        <f t="shared" si="1"/>
        <v>72200</v>
      </c>
      <c r="H22590" s="49">
        <f t="shared" si="2"/>
        <v>72154</v>
      </c>
    </row>
    <row r="22591">
      <c r="A22591" s="48" t="s">
        <v>3208</v>
      </c>
      <c r="B22591" s="38">
        <v>80139.0</v>
      </c>
      <c r="C22591" s="38" t="s">
        <v>26759</v>
      </c>
      <c r="D22591" s="38" t="str">
        <f>IFERROR(__xludf.DUMMYFUNCTION("REGEXREPLACE(C22591,""-\d+(.*)|--\d+(.*)"","""")"),"BREUIL")</f>
        <v>BREUIL</v>
      </c>
      <c r="E22591" s="38" t="s">
        <v>224</v>
      </c>
      <c r="F22591" s="38" t="s">
        <v>113</v>
      </c>
      <c r="G22591" s="49" t="str">
        <f t="shared" si="1"/>
        <v>80400</v>
      </c>
      <c r="H22591" s="49">
        <f t="shared" si="2"/>
        <v>80139</v>
      </c>
    </row>
    <row r="22592">
      <c r="A22592" s="48" t="s">
        <v>1570</v>
      </c>
      <c r="B22592" s="38">
        <v>16302.0</v>
      </c>
      <c r="C22592" s="38" t="s">
        <v>2297</v>
      </c>
      <c r="D22592" s="38" t="str">
        <f>IFERROR(__xludf.DUMMYFUNCTION("REGEXREPLACE(C22592,""-\d+(.*)|--\d+(.*)"","""")"),"SAINT-AVIT")</f>
        <v>SAINT-AVIT</v>
      </c>
      <c r="E22592" s="38" t="s">
        <v>429</v>
      </c>
      <c r="F22592" s="38" t="s">
        <v>338</v>
      </c>
      <c r="G22592" s="49" t="str">
        <f t="shared" si="1"/>
        <v>16210</v>
      </c>
      <c r="H22592" s="49">
        <f t="shared" si="2"/>
        <v>16302</v>
      </c>
    </row>
    <row r="22593">
      <c r="A22593" s="48" t="s">
        <v>5553</v>
      </c>
      <c r="B22593" s="38">
        <v>34142.0</v>
      </c>
      <c r="C22593" s="38" t="s">
        <v>27116</v>
      </c>
      <c r="D22593" s="38" t="str">
        <f>IFERROR(__xludf.DUMMYFUNCTION("REGEXREPLACE(C22593,""-\d+(.*)|--\d+(.*)"","""")"),"LODEVE")</f>
        <v>LODEVE</v>
      </c>
      <c r="E22593" s="38" t="s">
        <v>118</v>
      </c>
      <c r="F22593" s="38" t="s">
        <v>119</v>
      </c>
      <c r="G22593" s="49" t="str">
        <f t="shared" si="1"/>
        <v>34700</v>
      </c>
      <c r="H22593" s="49">
        <f t="shared" si="2"/>
        <v>34142</v>
      </c>
    </row>
    <row r="22594">
      <c r="A22594" s="48" t="s">
        <v>2554</v>
      </c>
      <c r="B22594" s="38">
        <v>95002.0</v>
      </c>
      <c r="C22594" s="38" t="s">
        <v>27117</v>
      </c>
      <c r="D22594" s="38" t="str">
        <f>IFERROR(__xludf.DUMMYFUNCTION("REGEXREPLACE(C22594,""-\d+(.*)|--\d+(.*)"","""")"),"ABLEIGES")</f>
        <v>ABLEIGES</v>
      </c>
      <c r="E22594" s="38" t="s">
        <v>541</v>
      </c>
      <c r="F22594" s="38" t="s">
        <v>245</v>
      </c>
      <c r="G22594" s="49" t="str">
        <f t="shared" si="1"/>
        <v>95450</v>
      </c>
      <c r="H22594" s="49">
        <f t="shared" si="2"/>
        <v>95002</v>
      </c>
    </row>
    <row r="22595">
      <c r="A22595" s="48" t="s">
        <v>1695</v>
      </c>
      <c r="B22595" s="38">
        <v>80016.0</v>
      </c>
      <c r="C22595" s="38" t="s">
        <v>27118</v>
      </c>
      <c r="D22595" s="38" t="str">
        <f>IFERROR(__xludf.DUMMYFUNCTION("REGEXREPLACE(C22595,""-\d+(.*)|--\d+(.*)"","""")"),"ALBERT")</f>
        <v>ALBERT</v>
      </c>
      <c r="E22595" s="38" t="s">
        <v>224</v>
      </c>
      <c r="F22595" s="38" t="s">
        <v>113</v>
      </c>
      <c r="G22595" s="49" t="str">
        <f t="shared" si="1"/>
        <v>80300</v>
      </c>
      <c r="H22595" s="49">
        <f t="shared" si="2"/>
        <v>80016</v>
      </c>
    </row>
    <row r="22596">
      <c r="A22596" s="48" t="s">
        <v>2728</v>
      </c>
      <c r="B22596" s="38">
        <v>38490.0</v>
      </c>
      <c r="C22596" s="38" t="s">
        <v>27119</v>
      </c>
      <c r="D22596" s="38" t="str">
        <f>IFERROR(__xludf.DUMMYFUNCTION("REGEXREPLACE(C22596,""-\d+(.*)|--\d+(.*)"","""")"),"SILLANS")</f>
        <v>SILLANS</v>
      </c>
      <c r="E22596" s="38" t="s">
        <v>101</v>
      </c>
      <c r="F22596" s="38" t="s">
        <v>102</v>
      </c>
      <c r="G22596" s="49" t="str">
        <f t="shared" si="1"/>
        <v>38590</v>
      </c>
      <c r="H22596" s="49">
        <f t="shared" si="2"/>
        <v>38490</v>
      </c>
    </row>
    <row r="22597">
      <c r="A22597" s="48" t="s">
        <v>4375</v>
      </c>
      <c r="B22597" s="38">
        <v>27475.0</v>
      </c>
      <c r="C22597" s="38" t="s">
        <v>27120</v>
      </c>
      <c r="D22597" s="38" t="str">
        <f>IFERROR(__xludf.DUMMYFUNCTION("REGEXREPLACE(C22597,""-\d+(.*)|--\d+(.*)"","""")"),"LA POTERIE-MATHIEU")</f>
        <v>LA POTERIE-MATHIEU</v>
      </c>
      <c r="E22597" s="38" t="s">
        <v>241</v>
      </c>
      <c r="F22597" s="38" t="s">
        <v>134</v>
      </c>
      <c r="G22597" s="49" t="str">
        <f t="shared" si="1"/>
        <v>27560</v>
      </c>
      <c r="H22597" s="49">
        <f t="shared" si="2"/>
        <v>27475</v>
      </c>
    </row>
    <row r="22598">
      <c r="A22598" s="48" t="s">
        <v>14902</v>
      </c>
      <c r="B22598" s="38">
        <v>74193.0</v>
      </c>
      <c r="C22598" s="38" t="s">
        <v>27121</v>
      </c>
      <c r="D22598" s="38" t="str">
        <f>IFERROR(__xludf.DUMMYFUNCTION("REGEXREPLACE(C22598,""-\d+(.*)|--\d+(.*)"","""")"),"LA MURAZ")</f>
        <v>LA MURAZ</v>
      </c>
      <c r="E22598" s="38" t="s">
        <v>319</v>
      </c>
      <c r="F22598" s="38" t="s">
        <v>102</v>
      </c>
      <c r="G22598" s="49" t="str">
        <f t="shared" si="1"/>
        <v>74560</v>
      </c>
      <c r="H22598" s="49">
        <f t="shared" si="2"/>
        <v>74193</v>
      </c>
    </row>
    <row r="22599">
      <c r="A22599" s="48" t="s">
        <v>3716</v>
      </c>
      <c r="B22599" s="38">
        <v>57016.0</v>
      </c>
      <c r="C22599" s="38" t="s">
        <v>27122</v>
      </c>
      <c r="D22599" s="38" t="str">
        <f>IFERROR(__xludf.DUMMYFUNCTION("REGEXREPLACE(C22599,""-\d+(.*)|--\d+(.*)"","""")"),"ALZING")</f>
        <v>ALZING</v>
      </c>
      <c r="E22599" s="38" t="s">
        <v>303</v>
      </c>
      <c r="F22599" s="38" t="s">
        <v>195</v>
      </c>
      <c r="G22599" s="49" t="str">
        <f t="shared" si="1"/>
        <v>57320</v>
      </c>
      <c r="H22599" s="49">
        <f t="shared" si="2"/>
        <v>57016</v>
      </c>
    </row>
    <row r="22600">
      <c r="A22600" s="48" t="s">
        <v>8502</v>
      </c>
      <c r="B22600" s="38">
        <v>67434.0</v>
      </c>
      <c r="C22600" s="38" t="s">
        <v>27123</v>
      </c>
      <c r="D22600" s="38" t="str">
        <f>IFERROR(__xludf.DUMMYFUNCTION("REGEXREPLACE(C22600,""-\d+(.*)|--\d+(.*)"","""")"),"SARRE-UNION")</f>
        <v>SARRE-UNION</v>
      </c>
      <c r="E22600" s="38" t="s">
        <v>210</v>
      </c>
      <c r="F22600" s="38" t="s">
        <v>151</v>
      </c>
      <c r="G22600" s="49" t="str">
        <f t="shared" si="1"/>
        <v>67260</v>
      </c>
      <c r="H22600" s="49">
        <f t="shared" si="2"/>
        <v>67434</v>
      </c>
    </row>
    <row r="22601">
      <c r="A22601" s="48" t="s">
        <v>3109</v>
      </c>
      <c r="B22601" s="38">
        <v>9146.0</v>
      </c>
      <c r="C22601" s="38" t="s">
        <v>27124</v>
      </c>
      <c r="D22601" s="38" t="str">
        <f>IFERROR(__xludf.DUMMYFUNCTION("REGEXREPLACE(C22601,""-\d+(.*)|--\d+(.*)"","""")"),"JUSTINIAC")</f>
        <v>JUSTINIAC</v>
      </c>
      <c r="E22601" s="38" t="s">
        <v>238</v>
      </c>
      <c r="F22601" s="38" t="s">
        <v>94</v>
      </c>
      <c r="G22601" s="49" t="str">
        <f t="shared" si="1"/>
        <v>09700</v>
      </c>
      <c r="H22601" s="49" t="str">
        <f t="shared" si="2"/>
        <v>09146</v>
      </c>
    </row>
    <row r="22602">
      <c r="A22602" s="48" t="s">
        <v>1754</v>
      </c>
      <c r="B22602" s="38">
        <v>14029.0</v>
      </c>
      <c r="C22602" s="38" t="s">
        <v>27125</v>
      </c>
      <c r="D22602" s="38" t="str">
        <f>IFERROR(__xludf.DUMMYFUNCTION("REGEXREPLACE(C22602,""-\d+(.*)|--\d+(.*)"","""")"),"LES AUTELS-SAINT-BAZILE")</f>
        <v>LES AUTELS-SAINT-BAZILE</v>
      </c>
      <c r="E22602" s="38" t="s">
        <v>137</v>
      </c>
      <c r="F22602" s="38" t="s">
        <v>138</v>
      </c>
      <c r="G22602" s="49" t="str">
        <f t="shared" si="1"/>
        <v>14140</v>
      </c>
      <c r="H22602" s="49">
        <f t="shared" si="2"/>
        <v>14029</v>
      </c>
    </row>
    <row r="22603">
      <c r="A22603" s="48" t="s">
        <v>4441</v>
      </c>
      <c r="B22603" s="38">
        <v>6127.0</v>
      </c>
      <c r="C22603" s="38" t="s">
        <v>27126</v>
      </c>
      <c r="D22603" s="38" t="str">
        <f>IFERROR(__xludf.DUMMYFUNCTION("REGEXREPLACE(C22603,""-\d+(.*)|--\d+(.*)"","""")"),"SAINT-MARTIN-VESUBIE")</f>
        <v>SAINT-MARTIN-VESUBIE</v>
      </c>
      <c r="E22603" s="38" t="s">
        <v>227</v>
      </c>
      <c r="F22603" s="38" t="s">
        <v>228</v>
      </c>
      <c r="G22603" s="49" t="str">
        <f t="shared" si="1"/>
        <v>06450</v>
      </c>
      <c r="H22603" s="49" t="str">
        <f t="shared" si="2"/>
        <v>06127</v>
      </c>
    </row>
    <row r="22604">
      <c r="A22604" s="48" t="s">
        <v>3869</v>
      </c>
      <c r="B22604" s="38">
        <v>21190.0</v>
      </c>
      <c r="C22604" s="38" t="s">
        <v>27127</v>
      </c>
      <c r="D22604" s="38" t="str">
        <f>IFERROR(__xludf.DUMMYFUNCTION("REGEXREPLACE(C22604,""-\d+(.*)|--\d+(.*)"","""")"),"CORCELLES-LES-ARTS")</f>
        <v>CORCELLES-LES-ARTS</v>
      </c>
      <c r="E22604" s="38" t="s">
        <v>105</v>
      </c>
      <c r="F22604" s="38" t="s">
        <v>106</v>
      </c>
      <c r="G22604" s="49" t="str">
        <f t="shared" si="1"/>
        <v>21190</v>
      </c>
      <c r="H22604" s="49">
        <f t="shared" si="2"/>
        <v>21190</v>
      </c>
    </row>
    <row r="22605">
      <c r="A22605" s="48" t="s">
        <v>18646</v>
      </c>
      <c r="B22605" s="38">
        <v>3141.0</v>
      </c>
      <c r="C22605" s="38" t="s">
        <v>27128</v>
      </c>
      <c r="D22605" s="38" t="str">
        <f>IFERROR(__xludf.DUMMYFUNCTION("REGEXREPLACE(C22605,""-\d+(.*)|--\d+(.*)"","""")"),"LAVOINE")</f>
        <v>LAVOINE</v>
      </c>
      <c r="E22605" s="38" t="s">
        <v>160</v>
      </c>
      <c r="F22605" s="38" t="s">
        <v>161</v>
      </c>
      <c r="G22605" s="49" t="str">
        <f t="shared" si="1"/>
        <v>03250</v>
      </c>
      <c r="H22605" s="49" t="str">
        <f t="shared" si="2"/>
        <v>03141</v>
      </c>
    </row>
    <row r="22606">
      <c r="A22606" s="48" t="s">
        <v>3831</v>
      </c>
      <c r="B22606" s="38">
        <v>63188.0</v>
      </c>
      <c r="C22606" s="38" t="s">
        <v>27129</v>
      </c>
      <c r="D22606" s="38" t="str">
        <f>IFERROR(__xludf.DUMMYFUNCTION("REGEXREPLACE(C22606,""-\d+(.*)|--\d+(.*)"","""")"),"LAPS")</f>
        <v>LAPS</v>
      </c>
      <c r="E22606" s="38" t="s">
        <v>353</v>
      </c>
      <c r="F22606" s="38" t="s">
        <v>161</v>
      </c>
      <c r="G22606" s="49" t="str">
        <f t="shared" si="1"/>
        <v>63270</v>
      </c>
      <c r="H22606" s="49">
        <f t="shared" si="2"/>
        <v>63188</v>
      </c>
    </row>
    <row r="22607">
      <c r="A22607" s="48" t="s">
        <v>320</v>
      </c>
      <c r="B22607" s="38">
        <v>55040.0</v>
      </c>
      <c r="C22607" s="38" t="s">
        <v>27130</v>
      </c>
      <c r="D22607" s="38" t="str">
        <f>IFERROR(__xludf.DUMMYFUNCTION("REGEXREPLACE(C22607,""-\d+(.*)|--\d+(.*)"","""")"),"BEAUSITE")</f>
        <v>BEAUSITE</v>
      </c>
      <c r="E22607" s="38" t="s">
        <v>322</v>
      </c>
      <c r="F22607" s="38" t="s">
        <v>195</v>
      </c>
      <c r="G22607" s="49" t="str">
        <f t="shared" si="1"/>
        <v>55250</v>
      </c>
      <c r="H22607" s="49">
        <f t="shared" si="2"/>
        <v>55040</v>
      </c>
    </row>
    <row r="22608">
      <c r="A22608" s="48" t="s">
        <v>13443</v>
      </c>
      <c r="B22608" s="38">
        <v>84140.0</v>
      </c>
      <c r="C22608" s="38" t="s">
        <v>27131</v>
      </c>
      <c r="D22608" s="38" t="str">
        <f>IFERROR(__xludf.DUMMYFUNCTION("REGEXREPLACE(C22608,""-\d+(.*)|--\d+(.*)"","""")"),"VAUGINES")</f>
        <v>VAUGINES</v>
      </c>
      <c r="E22608" s="38" t="s">
        <v>1026</v>
      </c>
      <c r="F22608" s="38" t="s">
        <v>228</v>
      </c>
      <c r="G22608" s="49" t="str">
        <f t="shared" si="1"/>
        <v>84160</v>
      </c>
      <c r="H22608" s="49">
        <f t="shared" si="2"/>
        <v>84140</v>
      </c>
    </row>
    <row r="22609">
      <c r="A22609" s="48" t="s">
        <v>4018</v>
      </c>
      <c r="B22609" s="38">
        <v>55125.0</v>
      </c>
      <c r="C22609" s="38" t="s">
        <v>27132</v>
      </c>
      <c r="D22609" s="38" t="str">
        <f>IFERROR(__xludf.DUMMYFUNCTION("REGEXREPLACE(C22609,""-\d+(.*)|--\d+(.*)"","""")"),"CONTRISSON")</f>
        <v>CONTRISSON</v>
      </c>
      <c r="E22609" s="38" t="s">
        <v>322</v>
      </c>
      <c r="F22609" s="38" t="s">
        <v>195</v>
      </c>
      <c r="G22609" s="49" t="str">
        <f t="shared" si="1"/>
        <v>55800</v>
      </c>
      <c r="H22609" s="49">
        <f t="shared" si="2"/>
        <v>55125</v>
      </c>
    </row>
    <row r="22610">
      <c r="A22610" s="48" t="s">
        <v>4402</v>
      </c>
      <c r="B22610" s="38">
        <v>54064.0</v>
      </c>
      <c r="C22610" s="38" t="s">
        <v>27133</v>
      </c>
      <c r="D22610" s="38" t="str">
        <f>IFERROR(__xludf.DUMMYFUNCTION("REGEXREPLACE(C22610,""-\d+(.*)|--\d+(.*)"","""")"),"BERTRAMBOIS")</f>
        <v>BERTRAMBOIS</v>
      </c>
      <c r="E22610" s="38" t="s">
        <v>548</v>
      </c>
      <c r="F22610" s="38" t="s">
        <v>195</v>
      </c>
      <c r="G22610" s="49" t="str">
        <f t="shared" si="1"/>
        <v>54480</v>
      </c>
      <c r="H22610" s="49">
        <f t="shared" si="2"/>
        <v>54064</v>
      </c>
    </row>
    <row r="22611">
      <c r="A22611" s="48" t="s">
        <v>16012</v>
      </c>
      <c r="B22611" s="38">
        <v>89083.0</v>
      </c>
      <c r="C22611" s="38" t="s">
        <v>27134</v>
      </c>
      <c r="D22611" s="38" t="str">
        <f>IFERROR(__xludf.DUMMYFUNCTION("REGEXREPLACE(C22611,""-\d+(.*)|--\d+(.*)"","""")"),"CHARBUY")</f>
        <v>CHARBUY</v>
      </c>
      <c r="E22611" s="38" t="s">
        <v>275</v>
      </c>
      <c r="F22611" s="38" t="s">
        <v>106</v>
      </c>
      <c r="G22611" s="49" t="str">
        <f t="shared" si="1"/>
        <v>89113</v>
      </c>
      <c r="H22611" s="49">
        <f t="shared" si="2"/>
        <v>89083</v>
      </c>
    </row>
    <row r="22612">
      <c r="A22612" s="48" t="s">
        <v>9905</v>
      </c>
      <c r="B22612" s="38">
        <v>65407.0</v>
      </c>
      <c r="C22612" s="38" t="s">
        <v>27135</v>
      </c>
      <c r="D22612" s="38" t="str">
        <f>IFERROR(__xludf.DUMMYFUNCTION("REGEXREPLACE(C22612,""-\d+(.*)|--\d+(.*)"","""")"),"SARP")</f>
        <v>SARP</v>
      </c>
      <c r="E22612" s="38" t="s">
        <v>200</v>
      </c>
      <c r="F22612" s="38" t="s">
        <v>94</v>
      </c>
      <c r="G22612" s="49" t="str">
        <f t="shared" si="1"/>
        <v>65370</v>
      </c>
      <c r="H22612" s="49">
        <f t="shared" si="2"/>
        <v>65407</v>
      </c>
    </row>
    <row r="22613">
      <c r="A22613" s="48" t="s">
        <v>922</v>
      </c>
      <c r="B22613" s="38">
        <v>76060.0</v>
      </c>
      <c r="C22613" s="38" t="s">
        <v>27136</v>
      </c>
      <c r="D22613" s="38" t="str">
        <f>IFERROR(__xludf.DUMMYFUNCTION("REGEXREPLACE(C22613,""-\d+(.*)|--\d+(.*)"","""")"),"BEAUBEC-LA-ROSIERE")</f>
        <v>BEAUBEC-LA-ROSIERE</v>
      </c>
      <c r="E22613" s="38" t="s">
        <v>133</v>
      </c>
      <c r="F22613" s="38" t="s">
        <v>134</v>
      </c>
      <c r="G22613" s="49" t="str">
        <f t="shared" si="1"/>
        <v>76440</v>
      </c>
      <c r="H22613" s="49">
        <f t="shared" si="2"/>
        <v>76060</v>
      </c>
    </row>
    <row r="22614">
      <c r="A22614" s="48" t="s">
        <v>2473</v>
      </c>
      <c r="B22614" s="38">
        <v>69213.0</v>
      </c>
      <c r="C22614" s="38" t="s">
        <v>27137</v>
      </c>
      <c r="D22614" s="38" t="str">
        <f>IFERROR(__xludf.DUMMYFUNCTION("REGEXREPLACE(C22614,""-\d+(.*)|--\d+(.*)"","""")"),"SAINT-JEAN-DE-TOUSLAS")</f>
        <v>SAINT-JEAN-DE-TOUSLAS</v>
      </c>
      <c r="E22614" s="38" t="s">
        <v>350</v>
      </c>
      <c r="F22614" s="38" t="s">
        <v>102</v>
      </c>
      <c r="G22614" s="49" t="str">
        <f t="shared" si="1"/>
        <v>69700</v>
      </c>
      <c r="H22614" s="49">
        <f t="shared" si="2"/>
        <v>69213</v>
      </c>
    </row>
    <row r="22615">
      <c r="A22615" s="48" t="s">
        <v>1290</v>
      </c>
      <c r="B22615" s="38">
        <v>21278.0</v>
      </c>
      <c r="C22615" s="38" t="s">
        <v>27138</v>
      </c>
      <c r="D22615" s="38" t="str">
        <f>IFERROR(__xludf.DUMMYFUNCTION("REGEXREPLACE(C22615,""-\d+(.*)|--\d+(.*)"","""")"),"FONTAINE-LES-DIJON")</f>
        <v>FONTAINE-LES-DIJON</v>
      </c>
      <c r="E22615" s="38" t="s">
        <v>105</v>
      </c>
      <c r="F22615" s="38" t="s">
        <v>106</v>
      </c>
      <c r="G22615" s="49" t="str">
        <f t="shared" si="1"/>
        <v>21121</v>
      </c>
      <c r="H22615" s="49">
        <f t="shared" si="2"/>
        <v>21278</v>
      </c>
    </row>
    <row r="22616">
      <c r="A22616" s="48" t="s">
        <v>6129</v>
      </c>
      <c r="B22616" s="38">
        <v>67379.0</v>
      </c>
      <c r="C22616" s="38" t="s">
        <v>27139</v>
      </c>
      <c r="D22616" s="38" t="str">
        <f>IFERROR(__xludf.DUMMYFUNCTION("REGEXREPLACE(C22616,""-\d+(.*)|--\d+(.*)"","""")"),"PREUSCHDORF")</f>
        <v>PREUSCHDORF</v>
      </c>
      <c r="E22616" s="38" t="s">
        <v>210</v>
      </c>
      <c r="F22616" s="38" t="s">
        <v>151</v>
      </c>
      <c r="G22616" s="49" t="str">
        <f t="shared" si="1"/>
        <v>67250</v>
      </c>
      <c r="H22616" s="49">
        <f t="shared" si="2"/>
        <v>67379</v>
      </c>
    </row>
    <row r="22617">
      <c r="A22617" s="48" t="s">
        <v>2560</v>
      </c>
      <c r="B22617" s="38">
        <v>73310.0</v>
      </c>
      <c r="C22617" s="38" t="s">
        <v>27140</v>
      </c>
      <c r="D22617" s="38" t="str">
        <f>IFERROR(__xludf.DUMMYFUNCTION("REGEXREPLACE(C22617,""-\d+(.*)|--\d+(.*)"","""")"),"VEREL-PRAGONDRAN")</f>
        <v>VEREL-PRAGONDRAN</v>
      </c>
      <c r="E22617" s="38" t="s">
        <v>306</v>
      </c>
      <c r="F22617" s="38" t="s">
        <v>102</v>
      </c>
      <c r="G22617" s="49" t="str">
        <f t="shared" si="1"/>
        <v>73230</v>
      </c>
      <c r="H22617" s="49">
        <f t="shared" si="2"/>
        <v>73310</v>
      </c>
    </row>
    <row r="22618">
      <c r="A22618" s="48" t="s">
        <v>9315</v>
      </c>
      <c r="B22618" s="38">
        <v>68143.0</v>
      </c>
      <c r="C22618" s="38" t="s">
        <v>27141</v>
      </c>
      <c r="D22618" s="38" t="str">
        <f>IFERROR(__xludf.DUMMYFUNCTION("REGEXREPLACE(C22618,""-\d+(.*)|--\d+(.*)"","""")"),"HOLTZWIHR")</f>
        <v>HOLTZWIHR</v>
      </c>
      <c r="E22618" s="38" t="s">
        <v>150</v>
      </c>
      <c r="F22618" s="38" t="s">
        <v>151</v>
      </c>
      <c r="G22618" s="49" t="str">
        <f t="shared" si="1"/>
        <v>68320</v>
      </c>
      <c r="H22618" s="49">
        <f t="shared" si="2"/>
        <v>68143</v>
      </c>
    </row>
    <row r="22619">
      <c r="A22619" s="48" t="s">
        <v>811</v>
      </c>
      <c r="B22619" s="38">
        <v>83052.0</v>
      </c>
      <c r="C22619" s="38" t="s">
        <v>27142</v>
      </c>
      <c r="D22619" s="38" t="str">
        <f>IFERROR(__xludf.DUMMYFUNCTION("REGEXREPLACE(C22619,""-\d+(.*)|--\d+(.*)"","""")"),"ESPARRON")</f>
        <v>ESPARRON</v>
      </c>
      <c r="E22619" s="38" t="s">
        <v>813</v>
      </c>
      <c r="F22619" s="38" t="s">
        <v>228</v>
      </c>
      <c r="G22619" s="49" t="str">
        <f t="shared" si="1"/>
        <v>83560</v>
      </c>
      <c r="H22619" s="49">
        <f t="shared" si="2"/>
        <v>83052</v>
      </c>
    </row>
    <row r="22620">
      <c r="A22620" s="48" t="s">
        <v>597</v>
      </c>
      <c r="B22620" s="38">
        <v>31201.0</v>
      </c>
      <c r="C22620" s="38" t="s">
        <v>27143</v>
      </c>
      <c r="D22620" s="38" t="str">
        <f>IFERROR(__xludf.DUMMYFUNCTION("REGEXREPLACE(C22620,""-\d+(.*)|--\d+(.*)"","""")"),"FRONTIGNAN-SAVES")</f>
        <v>FRONTIGNAN-SAVES</v>
      </c>
      <c r="E22620" s="38" t="s">
        <v>93</v>
      </c>
      <c r="F22620" s="38" t="s">
        <v>94</v>
      </c>
      <c r="G22620" s="49" t="str">
        <f t="shared" si="1"/>
        <v>31230</v>
      </c>
      <c r="H22620" s="49">
        <f t="shared" si="2"/>
        <v>31201</v>
      </c>
    </row>
    <row r="22621">
      <c r="A22621" s="48" t="s">
        <v>4381</v>
      </c>
      <c r="B22621" s="38">
        <v>82136.0</v>
      </c>
      <c r="C22621" s="38" t="s">
        <v>27144</v>
      </c>
      <c r="D22621" s="38" t="str">
        <f>IFERROR(__xludf.DUMMYFUNCTION("REGEXREPLACE(C22621,""-\d+(.*)|--\d+(.*)"","""")"),"ORGUEIL")</f>
        <v>ORGUEIL</v>
      </c>
      <c r="E22621" s="38" t="s">
        <v>570</v>
      </c>
      <c r="F22621" s="38" t="s">
        <v>94</v>
      </c>
      <c r="G22621" s="49" t="str">
        <f t="shared" si="1"/>
        <v>82370</v>
      </c>
      <c r="H22621" s="49">
        <f t="shared" si="2"/>
        <v>82136</v>
      </c>
    </row>
    <row r="22622">
      <c r="A22622" s="48" t="s">
        <v>3122</v>
      </c>
      <c r="B22622" s="38">
        <v>57355.0</v>
      </c>
      <c r="C22622" s="38" t="s">
        <v>27145</v>
      </c>
      <c r="D22622" s="38" t="str">
        <f>IFERROR(__xludf.DUMMYFUNCTION("REGEXREPLACE(C22622,""-\d+(.*)|--\d+(.*)"","""")"),"KALHAUSEN")</f>
        <v>KALHAUSEN</v>
      </c>
      <c r="E22622" s="38" t="s">
        <v>303</v>
      </c>
      <c r="F22622" s="38" t="s">
        <v>195</v>
      </c>
      <c r="G22622" s="49" t="str">
        <f t="shared" si="1"/>
        <v>57412</v>
      </c>
      <c r="H22622" s="49">
        <f t="shared" si="2"/>
        <v>57355</v>
      </c>
    </row>
    <row r="22623">
      <c r="A22623" s="48" t="s">
        <v>898</v>
      </c>
      <c r="B22623" s="38">
        <v>54514.0</v>
      </c>
      <c r="C22623" s="38" t="s">
        <v>27146</v>
      </c>
      <c r="D22623" s="38" t="str">
        <f>IFERROR(__xludf.DUMMYFUNCTION("REGEXREPLACE(C22623,""-\d+(.*)|--\d+(.*)"","""")"),"TELLANCOURT")</f>
        <v>TELLANCOURT</v>
      </c>
      <c r="E22623" s="38" t="s">
        <v>548</v>
      </c>
      <c r="F22623" s="38" t="s">
        <v>195</v>
      </c>
      <c r="G22623" s="49" t="str">
        <f t="shared" si="1"/>
        <v>54260</v>
      </c>
      <c r="H22623" s="49">
        <f t="shared" si="2"/>
        <v>54514</v>
      </c>
    </row>
    <row r="22624">
      <c r="A22624" s="48" t="s">
        <v>1102</v>
      </c>
      <c r="B22624" s="38">
        <v>35296.0</v>
      </c>
      <c r="C22624" s="38" t="s">
        <v>27147</v>
      </c>
      <c r="D22624" s="38" t="str">
        <f>IFERROR(__xludf.DUMMYFUNCTION("REGEXREPLACE(C22624,""-\d+(.*)|--\d+(.*)"","""")"),"SAINT-MEDARD-SUR-ILLE")</f>
        <v>SAINT-MEDARD-SUR-ILLE</v>
      </c>
      <c r="E22624" s="38" t="s">
        <v>347</v>
      </c>
      <c r="F22624" s="38" t="s">
        <v>90</v>
      </c>
      <c r="G22624" s="49" t="str">
        <f t="shared" si="1"/>
        <v>35250</v>
      </c>
      <c r="H22624" s="49">
        <f t="shared" si="2"/>
        <v>35296</v>
      </c>
    </row>
    <row r="22625">
      <c r="A22625" s="48" t="s">
        <v>27148</v>
      </c>
      <c r="B22625" s="38">
        <v>8081.0</v>
      </c>
      <c r="C22625" s="38" t="s">
        <v>27149</v>
      </c>
      <c r="D22625" s="38" t="str">
        <f>IFERROR(__xludf.DUMMYFUNCTION("REGEXREPLACE(C22625,""-\d+(.*)|--\d+(.*)"","""")"),"BOGNY-SUR-MEUSE")</f>
        <v>BOGNY-SUR-MEUSE</v>
      </c>
      <c r="E22625" s="38" t="s">
        <v>327</v>
      </c>
      <c r="F22625" s="38" t="s">
        <v>130</v>
      </c>
      <c r="G22625" s="49" t="str">
        <f t="shared" si="1"/>
        <v>08120</v>
      </c>
      <c r="H22625" s="49" t="str">
        <f t="shared" si="2"/>
        <v>08081</v>
      </c>
    </row>
    <row r="22626">
      <c r="A22626" s="48" t="s">
        <v>2042</v>
      </c>
      <c r="B22626" s="38">
        <v>80409.0</v>
      </c>
      <c r="C22626" s="38" t="s">
        <v>27150</v>
      </c>
      <c r="D22626" s="38" t="str">
        <f>IFERROR(__xludf.DUMMYFUNCTION("REGEXREPLACE(C22626,""-\d+(.*)|--\d+(.*)"","""")"),"HALLU")</f>
        <v>HALLU</v>
      </c>
      <c r="E22626" s="38" t="s">
        <v>224</v>
      </c>
      <c r="F22626" s="38" t="s">
        <v>113</v>
      </c>
      <c r="G22626" s="49" t="str">
        <f t="shared" si="1"/>
        <v>80320</v>
      </c>
      <c r="H22626" s="49">
        <f t="shared" si="2"/>
        <v>80409</v>
      </c>
    </row>
    <row r="22627">
      <c r="A22627" s="48" t="s">
        <v>4428</v>
      </c>
      <c r="B22627" s="38">
        <v>72142.0</v>
      </c>
      <c r="C22627" s="38" t="s">
        <v>13779</v>
      </c>
      <c r="D22627" s="38" t="str">
        <f>IFERROR(__xludf.DUMMYFUNCTION("REGEXREPLACE(C22627,""-\d+(.*)|--\d+(.*)"","""")"),"GRANDCHAMP")</f>
        <v>GRANDCHAMP</v>
      </c>
      <c r="E22627" s="38" t="s">
        <v>521</v>
      </c>
      <c r="F22627" s="38" t="s">
        <v>180</v>
      </c>
      <c r="G22627" s="49" t="str">
        <f t="shared" si="1"/>
        <v>72610</v>
      </c>
      <c r="H22627" s="49">
        <f t="shared" si="2"/>
        <v>72142</v>
      </c>
    </row>
    <row r="22628">
      <c r="A22628" s="48" t="s">
        <v>5028</v>
      </c>
      <c r="B22628" s="38">
        <v>25218.0</v>
      </c>
      <c r="C22628" s="38" t="s">
        <v>27151</v>
      </c>
      <c r="D22628" s="38" t="str">
        <f>IFERROR(__xludf.DUMMYFUNCTION("REGEXREPLACE(C22628,""-\d+(.*)|--\d+(.*)"","""")"),"EPENOUSE")</f>
        <v>EPENOUSE</v>
      </c>
      <c r="E22628" s="38" t="s">
        <v>213</v>
      </c>
      <c r="F22628" s="38" t="s">
        <v>214</v>
      </c>
      <c r="G22628" s="49" t="str">
        <f t="shared" si="1"/>
        <v>25530</v>
      </c>
      <c r="H22628" s="49">
        <f t="shared" si="2"/>
        <v>25218</v>
      </c>
    </row>
    <row r="22629">
      <c r="A22629" s="48" t="s">
        <v>2126</v>
      </c>
      <c r="B22629" s="38">
        <v>59006.0</v>
      </c>
      <c r="C22629" s="38" t="s">
        <v>27152</v>
      </c>
      <c r="D22629" s="38" t="str">
        <f>IFERROR(__xludf.DUMMYFUNCTION("REGEXREPLACE(C22629,""-\d+(.*)|--\d+(.*)"","""")"),"AMFROIPRET")</f>
        <v>AMFROIPRET</v>
      </c>
      <c r="E22629" s="38" t="s">
        <v>85</v>
      </c>
      <c r="F22629" s="38" t="s">
        <v>86</v>
      </c>
      <c r="G22629" s="49" t="str">
        <f t="shared" si="1"/>
        <v>59144</v>
      </c>
      <c r="H22629" s="49">
        <f t="shared" si="2"/>
        <v>59006</v>
      </c>
    </row>
    <row r="22630">
      <c r="A22630" s="48" t="s">
        <v>1166</v>
      </c>
      <c r="B22630" s="38">
        <v>9118.0</v>
      </c>
      <c r="C22630" s="38" t="s">
        <v>27153</v>
      </c>
      <c r="D22630" s="38" t="str">
        <f>IFERROR(__xludf.DUMMYFUNCTION("REGEXREPLACE(C22630,""-\d+(.*)|--\d+(.*)"","""")"),"ESPLAS-DE-SEROU")</f>
        <v>ESPLAS-DE-SEROU</v>
      </c>
      <c r="E22630" s="38" t="s">
        <v>238</v>
      </c>
      <c r="F22630" s="38" t="s">
        <v>94</v>
      </c>
      <c r="G22630" s="49" t="str">
        <f t="shared" si="1"/>
        <v>09420</v>
      </c>
      <c r="H22630" s="49" t="str">
        <f t="shared" si="2"/>
        <v>09118</v>
      </c>
    </row>
    <row r="22631">
      <c r="A22631" s="48" t="s">
        <v>15207</v>
      </c>
      <c r="B22631" s="38">
        <v>74020.0</v>
      </c>
      <c r="C22631" s="38" t="s">
        <v>27154</v>
      </c>
      <c r="D22631" s="38" t="str">
        <f>IFERROR(__xludf.DUMMYFUNCTION("REGEXREPLACE(C22631,""-\d+(.*)|--\d+(.*)"","""")"),"ARMOY")</f>
        <v>ARMOY</v>
      </c>
      <c r="E22631" s="38" t="s">
        <v>319</v>
      </c>
      <c r="F22631" s="38" t="s">
        <v>102</v>
      </c>
      <c r="G22631" s="49" t="str">
        <f t="shared" si="1"/>
        <v>74200</v>
      </c>
      <c r="H22631" s="49">
        <f t="shared" si="2"/>
        <v>74020</v>
      </c>
    </row>
    <row r="22632">
      <c r="A22632" s="48" t="s">
        <v>1485</v>
      </c>
      <c r="B22632" s="38">
        <v>21289.0</v>
      </c>
      <c r="C22632" s="38" t="s">
        <v>27155</v>
      </c>
      <c r="D22632" s="38" t="str">
        <f>IFERROR(__xludf.DUMMYFUNCTION("REGEXREPLACE(C22632,""-\d+(.*)|--\d+(.*)"","""")"),"FUSSEY")</f>
        <v>FUSSEY</v>
      </c>
      <c r="E22632" s="38" t="s">
        <v>105</v>
      </c>
      <c r="F22632" s="38" t="s">
        <v>106</v>
      </c>
      <c r="G22632" s="49" t="str">
        <f t="shared" si="1"/>
        <v>21700</v>
      </c>
      <c r="H22632" s="49">
        <f t="shared" si="2"/>
        <v>21289</v>
      </c>
    </row>
    <row r="22633">
      <c r="A22633" s="48" t="s">
        <v>9141</v>
      </c>
      <c r="B22633" s="38">
        <v>1347.0</v>
      </c>
      <c r="C22633" s="38" t="s">
        <v>27156</v>
      </c>
      <c r="D22633" s="38" t="str">
        <f>IFERROR(__xludf.DUMMYFUNCTION("REGEXREPLACE(C22633,""-\d+(.*)|--\d+(.*)"","""")"),"SAINT-DIDIER-DE-FORMANS")</f>
        <v>SAINT-DIDIER-DE-FORMANS</v>
      </c>
      <c r="E22633" s="38" t="s">
        <v>255</v>
      </c>
      <c r="F22633" s="38" t="s">
        <v>102</v>
      </c>
      <c r="G22633" s="49" t="str">
        <f t="shared" si="1"/>
        <v>01600</v>
      </c>
      <c r="H22633" s="49" t="str">
        <f t="shared" si="2"/>
        <v>01347</v>
      </c>
    </row>
    <row r="22634">
      <c r="A22634" s="48" t="s">
        <v>12571</v>
      </c>
      <c r="B22634" s="38">
        <v>57618.0</v>
      </c>
      <c r="C22634" s="38" t="s">
        <v>5279</v>
      </c>
      <c r="D22634" s="38" t="str">
        <f>IFERROR(__xludf.DUMMYFUNCTION("REGEXREPLACE(C22634,""-\d+(.*)|--\d+(.*)"","""")"),"SAINT-LOUIS")</f>
        <v>SAINT-LOUIS</v>
      </c>
      <c r="E22634" s="38" t="s">
        <v>303</v>
      </c>
      <c r="F22634" s="38" t="s">
        <v>195</v>
      </c>
      <c r="G22634" s="49" t="str">
        <f t="shared" si="1"/>
        <v>57820</v>
      </c>
      <c r="H22634" s="49">
        <f t="shared" si="2"/>
        <v>57618</v>
      </c>
    </row>
    <row r="22635">
      <c r="A22635" s="48" t="s">
        <v>3344</v>
      </c>
      <c r="B22635" s="38">
        <v>76470.0</v>
      </c>
      <c r="C22635" s="38" t="s">
        <v>14772</v>
      </c>
      <c r="D22635" s="38" t="str">
        <f>IFERROR(__xludf.DUMMYFUNCTION("REGEXREPLACE(C22635,""-\d+(.*)|--\d+(.*)"","""")"),"NORMANVILLE")</f>
        <v>NORMANVILLE</v>
      </c>
      <c r="E22635" s="38" t="s">
        <v>133</v>
      </c>
      <c r="F22635" s="38" t="s">
        <v>134</v>
      </c>
      <c r="G22635" s="49" t="str">
        <f t="shared" si="1"/>
        <v>76640</v>
      </c>
      <c r="H22635" s="49">
        <f t="shared" si="2"/>
        <v>76470</v>
      </c>
    </row>
    <row r="22636">
      <c r="A22636" s="48" t="s">
        <v>13370</v>
      </c>
      <c r="B22636" s="38">
        <v>22279.0</v>
      </c>
      <c r="C22636" s="38" t="s">
        <v>27157</v>
      </c>
      <c r="D22636" s="38" t="str">
        <f>IFERROR(__xludf.DUMMYFUNCTION("REGEXREPLACE(C22636,""-\d+(.*)|--\d+(.*)"","""")"),"SAINT-CARADEC")</f>
        <v>SAINT-CARADEC</v>
      </c>
      <c r="E22636" s="38" t="s">
        <v>89</v>
      </c>
      <c r="F22636" s="38" t="s">
        <v>90</v>
      </c>
      <c r="G22636" s="49" t="str">
        <f t="shared" si="1"/>
        <v>22600</v>
      </c>
      <c r="H22636" s="49">
        <f t="shared" si="2"/>
        <v>22279</v>
      </c>
    </row>
    <row r="22637">
      <c r="A22637" s="48" t="s">
        <v>1511</v>
      </c>
      <c r="B22637" s="38">
        <v>22030.0</v>
      </c>
      <c r="C22637" s="38" t="s">
        <v>27158</v>
      </c>
      <c r="D22637" s="38" t="str">
        <f>IFERROR(__xludf.DUMMYFUNCTION("REGEXREPLACE(C22637,""-\d+(.*)|--\d+(.*)"","""")"),"CAOUENNEC-LANVEZEAC")</f>
        <v>CAOUENNEC-LANVEZEAC</v>
      </c>
      <c r="E22637" s="38" t="s">
        <v>89</v>
      </c>
      <c r="F22637" s="38" t="s">
        <v>90</v>
      </c>
      <c r="G22637" s="49" t="str">
        <f t="shared" si="1"/>
        <v>22300</v>
      </c>
      <c r="H22637" s="49">
        <f t="shared" si="2"/>
        <v>22030</v>
      </c>
    </row>
    <row r="22638">
      <c r="A22638" s="48" t="s">
        <v>7474</v>
      </c>
      <c r="B22638" s="38">
        <v>42021.0</v>
      </c>
      <c r="C22638" s="38" t="s">
        <v>27159</v>
      </c>
      <c r="D22638" s="38" t="str">
        <f>IFERROR(__xludf.DUMMYFUNCTION("REGEXREPLACE(C22638,""-\d+(.*)|--\d+(.*)"","""")"),"BOISSET-SAINT-PRIEST")</f>
        <v>BOISSET-SAINT-PRIEST</v>
      </c>
      <c r="E22638" s="38" t="s">
        <v>166</v>
      </c>
      <c r="F22638" s="38" t="s">
        <v>102</v>
      </c>
      <c r="G22638" s="49" t="str">
        <f t="shared" si="1"/>
        <v>42560</v>
      </c>
      <c r="H22638" s="49">
        <f t="shared" si="2"/>
        <v>42021</v>
      </c>
    </row>
    <row r="22639">
      <c r="A22639" s="48" t="s">
        <v>2314</v>
      </c>
      <c r="B22639" s="38">
        <v>3253.0</v>
      </c>
      <c r="C22639" s="38" t="s">
        <v>27160</v>
      </c>
      <c r="D22639" s="38" t="str">
        <f>IFERROR(__xludf.DUMMYFUNCTION("REGEXREPLACE(C22639,""-\d+(.*)|--\d+(.*)"","""")"),"SAINT-POURCAIN-SUR-BESBRE")</f>
        <v>SAINT-POURCAIN-SUR-BESBRE</v>
      </c>
      <c r="E22639" s="38" t="s">
        <v>160</v>
      </c>
      <c r="F22639" s="38" t="s">
        <v>161</v>
      </c>
      <c r="G22639" s="49" t="str">
        <f t="shared" si="1"/>
        <v>03290</v>
      </c>
      <c r="H22639" s="49" t="str">
        <f t="shared" si="2"/>
        <v>03253</v>
      </c>
    </row>
    <row r="22640">
      <c r="A22640" s="48" t="s">
        <v>9526</v>
      </c>
      <c r="B22640" s="38">
        <v>23159.0</v>
      </c>
      <c r="C22640" s="38" t="s">
        <v>27161</v>
      </c>
      <c r="D22640" s="38" t="str">
        <f>IFERROR(__xludf.DUMMYFUNCTION("REGEXREPLACE(C22640,""-\d+(.*)|--\d+(.*)"","""")"),"PUY-MALSIGNAT")</f>
        <v>PUY-MALSIGNAT</v>
      </c>
      <c r="E22640" s="38" t="s">
        <v>97</v>
      </c>
      <c r="F22640" s="38" t="s">
        <v>98</v>
      </c>
      <c r="G22640" s="49" t="str">
        <f t="shared" si="1"/>
        <v>23130</v>
      </c>
      <c r="H22640" s="49">
        <f t="shared" si="2"/>
        <v>23159</v>
      </c>
    </row>
    <row r="22641">
      <c r="A22641" s="48" t="s">
        <v>3681</v>
      </c>
      <c r="B22641" s="38">
        <v>39492.0</v>
      </c>
      <c r="C22641" s="38" t="s">
        <v>16952</v>
      </c>
      <c r="D22641" s="38" t="str">
        <f>IFERROR(__xludf.DUMMYFUNCTION("REGEXREPLACE(C22641,""-\d+(.*)|--\d+(.*)"","""")"),"SAINT-MAUR")</f>
        <v>SAINT-MAUR</v>
      </c>
      <c r="E22641" s="38" t="s">
        <v>400</v>
      </c>
      <c r="F22641" s="38" t="s">
        <v>214</v>
      </c>
      <c r="G22641" s="49" t="str">
        <f t="shared" si="1"/>
        <v>39570</v>
      </c>
      <c r="H22641" s="49">
        <f t="shared" si="2"/>
        <v>39492</v>
      </c>
    </row>
    <row r="22642">
      <c r="A22642" s="48" t="s">
        <v>3626</v>
      </c>
      <c r="B22642" s="38">
        <v>57716.0</v>
      </c>
      <c r="C22642" s="38" t="s">
        <v>27162</v>
      </c>
      <c r="D22642" s="38" t="str">
        <f>IFERROR(__xludf.DUMMYFUNCTION("REGEXREPLACE(C22642,""-\d+(.*)|--\d+(.*)"","""")"),"VIGY")</f>
        <v>VIGY</v>
      </c>
      <c r="E22642" s="38" t="s">
        <v>303</v>
      </c>
      <c r="F22642" s="38" t="s">
        <v>195</v>
      </c>
      <c r="G22642" s="49" t="str">
        <f t="shared" si="1"/>
        <v>57640</v>
      </c>
      <c r="H22642" s="49">
        <f t="shared" si="2"/>
        <v>57716</v>
      </c>
    </row>
    <row r="22643">
      <c r="A22643" s="48" t="s">
        <v>6168</v>
      </c>
      <c r="B22643" s="38">
        <v>16079.0</v>
      </c>
      <c r="C22643" s="38" t="s">
        <v>27163</v>
      </c>
      <c r="D22643" s="38" t="str">
        <f>IFERROR(__xludf.DUMMYFUNCTION("REGEXREPLACE(C22643,""-\d+(.*)|--\d+(.*)"","""")"),"CHANTILLAC")</f>
        <v>CHANTILLAC</v>
      </c>
      <c r="E22643" s="38" t="s">
        <v>429</v>
      </c>
      <c r="F22643" s="38" t="s">
        <v>338</v>
      </c>
      <c r="G22643" s="49" t="str">
        <f t="shared" si="1"/>
        <v>16360</v>
      </c>
      <c r="H22643" s="49">
        <f t="shared" si="2"/>
        <v>16079</v>
      </c>
    </row>
    <row r="22644">
      <c r="A22644" s="48" t="s">
        <v>434</v>
      </c>
      <c r="B22644" s="38">
        <v>55547.0</v>
      </c>
      <c r="C22644" s="38" t="s">
        <v>27164</v>
      </c>
      <c r="D22644" s="38" t="str">
        <f>IFERROR(__xludf.DUMMYFUNCTION("REGEXREPLACE(C22644,""-\d+(.*)|--\d+(.*)"","""")"),"VERNEUIL-PETIT")</f>
        <v>VERNEUIL-PETIT</v>
      </c>
      <c r="E22644" s="38" t="s">
        <v>322</v>
      </c>
      <c r="F22644" s="38" t="s">
        <v>195</v>
      </c>
      <c r="G22644" s="49" t="str">
        <f t="shared" si="1"/>
        <v>55600</v>
      </c>
      <c r="H22644" s="49">
        <f t="shared" si="2"/>
        <v>55547</v>
      </c>
    </row>
    <row r="22645">
      <c r="A22645" s="48" t="s">
        <v>3924</v>
      </c>
      <c r="B22645" s="38">
        <v>81030.0</v>
      </c>
      <c r="C22645" s="38" t="s">
        <v>27165</v>
      </c>
      <c r="D22645" s="38" t="str">
        <f>IFERROR(__xludf.DUMMYFUNCTION("REGEXREPLACE(C22645,""-\d+(.*)|--\d+(.*)"","""")"),"BERTRE")</f>
        <v>BERTRE</v>
      </c>
      <c r="E22645" s="38" t="s">
        <v>231</v>
      </c>
      <c r="F22645" s="38" t="s">
        <v>94</v>
      </c>
      <c r="G22645" s="49" t="str">
        <f t="shared" si="1"/>
        <v>81700</v>
      </c>
      <c r="H22645" s="49">
        <f t="shared" si="2"/>
        <v>81030</v>
      </c>
    </row>
    <row r="22646">
      <c r="A22646" s="48" t="s">
        <v>524</v>
      </c>
      <c r="B22646" s="38">
        <v>30317.0</v>
      </c>
      <c r="C22646" s="38" t="s">
        <v>27166</v>
      </c>
      <c r="D22646" s="38" t="str">
        <f>IFERROR(__xludf.DUMMYFUNCTION("REGEXREPLACE(C22646,""-\d+(.*)|--\d+(.*)"","""")"),"SERNHAC")</f>
        <v>SERNHAC</v>
      </c>
      <c r="E22646" s="38" t="s">
        <v>526</v>
      </c>
      <c r="F22646" s="38" t="s">
        <v>119</v>
      </c>
      <c r="G22646" s="49" t="str">
        <f t="shared" si="1"/>
        <v>30210</v>
      </c>
      <c r="H22646" s="49">
        <f t="shared" si="2"/>
        <v>30317</v>
      </c>
    </row>
    <row r="22647">
      <c r="A22647" s="48" t="s">
        <v>11068</v>
      </c>
      <c r="B22647" s="38">
        <v>7210.0</v>
      </c>
      <c r="C22647" s="38" t="s">
        <v>27167</v>
      </c>
      <c r="D22647" s="38" t="str">
        <f>IFERROR(__xludf.DUMMYFUNCTION("REGEXREPLACE(C22647,""-\d+(.*)|--\d+(.*)"","""")"),"SAINT-ANDEOL-DE-VALS")</f>
        <v>SAINT-ANDEOL-DE-VALS</v>
      </c>
      <c r="E22647" s="38" t="s">
        <v>144</v>
      </c>
      <c r="F22647" s="38" t="s">
        <v>102</v>
      </c>
      <c r="G22647" s="49" t="str">
        <f t="shared" si="1"/>
        <v>07600</v>
      </c>
      <c r="H22647" s="49" t="str">
        <f t="shared" si="2"/>
        <v>07210</v>
      </c>
    </row>
    <row r="22648">
      <c r="A22648" s="48" t="s">
        <v>4596</v>
      </c>
      <c r="B22648" s="38">
        <v>2796.0</v>
      </c>
      <c r="C22648" s="38" t="s">
        <v>27168</v>
      </c>
      <c r="D22648" s="38" t="str">
        <f>IFERROR(__xludf.DUMMYFUNCTION("REGEXREPLACE(C22648,""-\d+(.*)|--\d+(.*)"","""")"),"VICHEL-NANTEUIL")</f>
        <v>VICHEL-NANTEUIL</v>
      </c>
      <c r="E22648" s="38" t="s">
        <v>191</v>
      </c>
      <c r="F22648" s="38" t="s">
        <v>113</v>
      </c>
      <c r="G22648" s="49" t="str">
        <f t="shared" si="1"/>
        <v>02210</v>
      </c>
      <c r="H22648" s="49" t="str">
        <f t="shared" si="2"/>
        <v>02796</v>
      </c>
    </row>
    <row r="22649">
      <c r="A22649" s="48" t="s">
        <v>12573</v>
      </c>
      <c r="B22649" s="38">
        <v>7233.0</v>
      </c>
      <c r="C22649" s="38" t="s">
        <v>27169</v>
      </c>
      <c r="D22649" s="38" t="str">
        <f>IFERROR(__xludf.DUMMYFUNCTION("REGEXREPLACE(C22649,""-\d+(.*)|--\d+(.*)"","""")"),"SAINT-ETIENNE-DE-SERRE")</f>
        <v>SAINT-ETIENNE-DE-SERRE</v>
      </c>
      <c r="E22649" s="38" t="s">
        <v>144</v>
      </c>
      <c r="F22649" s="38" t="s">
        <v>102</v>
      </c>
      <c r="G22649" s="49" t="str">
        <f t="shared" si="1"/>
        <v>07190</v>
      </c>
      <c r="H22649" s="49" t="str">
        <f t="shared" si="2"/>
        <v>07233</v>
      </c>
    </row>
    <row r="22650">
      <c r="A22650" s="48" t="s">
        <v>5257</v>
      </c>
      <c r="B22650" s="38">
        <v>15149.0</v>
      </c>
      <c r="C22650" s="38" t="s">
        <v>27170</v>
      </c>
      <c r="D22650" s="38" t="str">
        <f>IFERROR(__xludf.DUMMYFUNCTION("REGEXREPLACE(C22650,""-\d+(.*)|--\d+(.*)"","""")"),"PAULHENC")</f>
        <v>PAULHENC</v>
      </c>
      <c r="E22650" s="38" t="s">
        <v>632</v>
      </c>
      <c r="F22650" s="38" t="s">
        <v>161</v>
      </c>
      <c r="G22650" s="49" t="str">
        <f t="shared" si="1"/>
        <v>15230</v>
      </c>
      <c r="H22650" s="49">
        <f t="shared" si="2"/>
        <v>15149</v>
      </c>
    </row>
    <row r="22651">
      <c r="A22651" s="48" t="s">
        <v>1728</v>
      </c>
      <c r="B22651" s="38">
        <v>45111.0</v>
      </c>
      <c r="C22651" s="38" t="s">
        <v>27171</v>
      </c>
      <c r="D22651" s="38" t="str">
        <f>IFERROR(__xludf.DUMMYFUNCTION("REGEXREPLACE(C22651,""-\d+(.*)|--\d+(.*)"","""")"),"COURCY-AUX-LOGES")</f>
        <v>COURCY-AUX-LOGES</v>
      </c>
      <c r="E22651" s="38" t="s">
        <v>122</v>
      </c>
      <c r="F22651" s="38" t="s">
        <v>123</v>
      </c>
      <c r="G22651" s="49" t="str">
        <f t="shared" si="1"/>
        <v>45300</v>
      </c>
      <c r="H22651" s="49">
        <f t="shared" si="2"/>
        <v>45111</v>
      </c>
    </row>
    <row r="22652">
      <c r="A22652" s="48" t="s">
        <v>4443</v>
      </c>
      <c r="B22652" s="38">
        <v>27138.0</v>
      </c>
      <c r="C22652" s="38" t="s">
        <v>27172</v>
      </c>
      <c r="D22652" s="38" t="str">
        <f>IFERROR(__xludf.DUMMYFUNCTION("REGEXREPLACE(C22652,""-\d+(.*)|--\d+(.*)"","""")"),"CHAMBLAC")</f>
        <v>CHAMBLAC</v>
      </c>
      <c r="E22652" s="38" t="s">
        <v>241</v>
      </c>
      <c r="F22652" s="38" t="s">
        <v>134</v>
      </c>
      <c r="G22652" s="49" t="str">
        <f t="shared" si="1"/>
        <v>27270</v>
      </c>
      <c r="H22652" s="49">
        <f t="shared" si="2"/>
        <v>27138</v>
      </c>
    </row>
    <row r="22653">
      <c r="A22653" s="48" t="s">
        <v>1332</v>
      </c>
      <c r="B22653" s="38">
        <v>51126.0</v>
      </c>
      <c r="C22653" s="38" t="s">
        <v>27173</v>
      </c>
      <c r="D22653" s="38" t="str">
        <f>IFERROR(__xludf.DUMMYFUNCTION("REGEXREPLACE(C22653,""-\d+(.*)|--\d+(.*)"","""")"),"LA CHAPELLE-FELCOURT")</f>
        <v>LA CHAPELLE-FELCOURT</v>
      </c>
      <c r="E22653" s="38" t="s">
        <v>129</v>
      </c>
      <c r="F22653" s="38" t="s">
        <v>130</v>
      </c>
      <c r="G22653" s="49" t="str">
        <f t="shared" si="1"/>
        <v>51800</v>
      </c>
      <c r="H22653" s="49">
        <f t="shared" si="2"/>
        <v>51126</v>
      </c>
    </row>
    <row r="22654">
      <c r="A22654" s="48" t="s">
        <v>12223</v>
      </c>
      <c r="B22654" s="38">
        <v>3236.0</v>
      </c>
      <c r="C22654" s="38" t="s">
        <v>27174</v>
      </c>
      <c r="D22654" s="38" t="str">
        <f>IFERROR(__xludf.DUMMYFUNCTION("REGEXREPLACE(C22654,""-\d+(.*)|--\d+(.*)"","""")"),"SAINT-GERMAIN-DES-FOSSES")</f>
        <v>SAINT-GERMAIN-DES-FOSSES</v>
      </c>
      <c r="E22654" s="38" t="s">
        <v>160</v>
      </c>
      <c r="F22654" s="38" t="s">
        <v>161</v>
      </c>
      <c r="G22654" s="49" t="str">
        <f t="shared" si="1"/>
        <v>03260</v>
      </c>
      <c r="H22654" s="49" t="str">
        <f t="shared" si="2"/>
        <v>03236</v>
      </c>
    </row>
    <row r="22655">
      <c r="A22655" s="48" t="s">
        <v>6522</v>
      </c>
      <c r="B22655" s="38" t="s">
        <v>27175</v>
      </c>
      <c r="C22655" s="38" t="s">
        <v>27176</v>
      </c>
      <c r="D22655" s="38" t="str">
        <f>IFERROR(__xludf.DUMMYFUNCTION("REGEXREPLACE(C22655,""-\d+(.*)|--\d+(.*)"","""")"),"PIEVE")</f>
        <v>PIEVE</v>
      </c>
      <c r="E22655" s="38" t="s">
        <v>743</v>
      </c>
      <c r="F22655" s="38" t="s">
        <v>607</v>
      </c>
      <c r="G22655" s="49" t="str">
        <f t="shared" si="1"/>
        <v>20246</v>
      </c>
      <c r="H22655" s="49" t="str">
        <f t="shared" si="2"/>
        <v>2B230</v>
      </c>
    </row>
    <row r="22656">
      <c r="A22656" s="48" t="s">
        <v>6002</v>
      </c>
      <c r="B22656" s="38">
        <v>18039.0</v>
      </c>
      <c r="C22656" s="38" t="s">
        <v>27177</v>
      </c>
      <c r="D22656" s="38" t="str">
        <f>IFERROR(__xludf.DUMMYFUNCTION("REGEXREPLACE(C22656,""-\d+(.*)|--\d+(.*)"","""")"),"BUE")</f>
        <v>BUE</v>
      </c>
      <c r="E22656" s="38" t="s">
        <v>504</v>
      </c>
      <c r="F22656" s="38" t="s">
        <v>123</v>
      </c>
      <c r="G22656" s="49" t="str">
        <f t="shared" si="1"/>
        <v>18300</v>
      </c>
      <c r="H22656" s="49">
        <f t="shared" si="2"/>
        <v>18039</v>
      </c>
    </row>
    <row r="22657">
      <c r="A22657" s="48" t="s">
        <v>3550</v>
      </c>
      <c r="B22657" s="38">
        <v>79127.0</v>
      </c>
      <c r="C22657" s="38" t="s">
        <v>27178</v>
      </c>
      <c r="D22657" s="38" t="str">
        <f>IFERROR(__xludf.DUMMYFUNCTION("REGEXREPLACE(C22657,""-\d+(.*)|--\d+(.*)"","""")"),"LA FOYE-MONJAULT")</f>
        <v>LA FOYE-MONJAULT</v>
      </c>
      <c r="E22657" s="38" t="s">
        <v>337</v>
      </c>
      <c r="F22657" s="38" t="s">
        <v>338</v>
      </c>
      <c r="G22657" s="49" t="str">
        <f t="shared" si="1"/>
        <v>79360</v>
      </c>
      <c r="H22657" s="49">
        <f t="shared" si="2"/>
        <v>79127</v>
      </c>
    </row>
    <row r="22658">
      <c r="A22658" s="48" t="s">
        <v>5268</v>
      </c>
      <c r="B22658" s="38">
        <v>49089.0</v>
      </c>
      <c r="C22658" s="38" t="s">
        <v>27179</v>
      </c>
      <c r="D22658" s="38" t="str">
        <f>IFERROR(__xludf.DUMMYFUNCTION("REGEXREPLACE(C22658,""-\d+(.*)|--\d+(.*)"","""")"),"CHAZE-SUR-ARGOS")</f>
        <v>CHAZE-SUR-ARGOS</v>
      </c>
      <c r="E22658" s="38" t="s">
        <v>653</v>
      </c>
      <c r="F22658" s="38" t="s">
        <v>180</v>
      </c>
      <c r="G22658" s="49" t="str">
        <f t="shared" si="1"/>
        <v>49500</v>
      </c>
      <c r="H22658" s="49">
        <f t="shared" si="2"/>
        <v>49089</v>
      </c>
    </row>
    <row r="22659">
      <c r="A22659" s="48" t="s">
        <v>5230</v>
      </c>
      <c r="B22659" s="38">
        <v>25479.0</v>
      </c>
      <c r="C22659" s="38" t="s">
        <v>27180</v>
      </c>
      <c r="D22659" s="38" t="str">
        <f>IFERROR(__xludf.DUMMYFUNCTION("REGEXREPLACE(C22659,""-\d+(.*)|--\d+(.*)"","""")"),"RANG")</f>
        <v>RANG</v>
      </c>
      <c r="E22659" s="38" t="s">
        <v>213</v>
      </c>
      <c r="F22659" s="38" t="s">
        <v>214</v>
      </c>
      <c r="G22659" s="49" t="str">
        <f t="shared" si="1"/>
        <v>25250</v>
      </c>
      <c r="H22659" s="49">
        <f t="shared" si="2"/>
        <v>25479</v>
      </c>
    </row>
    <row r="22660">
      <c r="A22660" s="48" t="s">
        <v>1649</v>
      </c>
      <c r="B22660" s="38">
        <v>27045.0</v>
      </c>
      <c r="C22660" s="38" t="s">
        <v>27181</v>
      </c>
      <c r="D22660" s="38" t="str">
        <f>IFERROR(__xludf.DUMMYFUNCTION("REGEXREPLACE(C22660,""-\d+(.*)|--\d+(.*)"","""")"),"BAZINCOURT-SUR-EPTE")</f>
        <v>BAZINCOURT-SUR-EPTE</v>
      </c>
      <c r="E22660" s="38" t="s">
        <v>241</v>
      </c>
      <c r="F22660" s="38" t="s">
        <v>134</v>
      </c>
      <c r="G22660" s="49" t="str">
        <f t="shared" si="1"/>
        <v>27140</v>
      </c>
      <c r="H22660" s="49">
        <f t="shared" si="2"/>
        <v>27045</v>
      </c>
    </row>
    <row r="22661">
      <c r="A22661" s="48" t="s">
        <v>10383</v>
      </c>
      <c r="B22661" s="38">
        <v>38115.0</v>
      </c>
      <c r="C22661" s="38" t="s">
        <v>27182</v>
      </c>
      <c r="D22661" s="38" t="str">
        <f>IFERROR(__xludf.DUMMYFUNCTION("REGEXREPLACE(C22661,""-\d+(.*)|--\d+(.*)"","""")"),"SAINT-MARTIN-DE-LA-CLUZE")</f>
        <v>SAINT-MARTIN-DE-LA-CLUZE</v>
      </c>
      <c r="E22661" s="38" t="s">
        <v>101</v>
      </c>
      <c r="F22661" s="38" t="s">
        <v>102</v>
      </c>
      <c r="G22661" s="49" t="str">
        <f t="shared" si="1"/>
        <v>38650</v>
      </c>
      <c r="H22661" s="49">
        <f t="shared" si="2"/>
        <v>38115</v>
      </c>
    </row>
    <row r="22662">
      <c r="A22662" s="48" t="s">
        <v>1825</v>
      </c>
      <c r="B22662" s="38">
        <v>64095.0</v>
      </c>
      <c r="C22662" s="38" t="s">
        <v>27183</v>
      </c>
      <c r="D22662" s="38" t="str">
        <f>IFERROR(__xludf.DUMMYFUNCTION("REGEXREPLACE(C22662,""-\d+(.*)|--\d+(.*)"","""")"),"BARINQUE")</f>
        <v>BARINQUE</v>
      </c>
      <c r="E22662" s="38" t="s">
        <v>268</v>
      </c>
      <c r="F22662" s="38" t="s">
        <v>252</v>
      </c>
      <c r="G22662" s="49" t="str">
        <f t="shared" si="1"/>
        <v>64160</v>
      </c>
      <c r="H22662" s="49">
        <f t="shared" si="2"/>
        <v>64095</v>
      </c>
    </row>
    <row r="22663">
      <c r="A22663" s="48" t="s">
        <v>3283</v>
      </c>
      <c r="B22663" s="38">
        <v>52107.0</v>
      </c>
      <c r="C22663" s="38" t="s">
        <v>27184</v>
      </c>
      <c r="D22663" s="38" t="str">
        <f>IFERROR(__xludf.DUMMYFUNCTION("REGEXREPLACE(C22663,""-\d+(.*)|--\d+(.*)"","""")"),"CHANTRAINES")</f>
        <v>CHANTRAINES</v>
      </c>
      <c r="E22663" s="38" t="s">
        <v>234</v>
      </c>
      <c r="F22663" s="38" t="s">
        <v>130</v>
      </c>
      <c r="G22663" s="49" t="str">
        <f t="shared" si="1"/>
        <v>52700</v>
      </c>
      <c r="H22663" s="49">
        <f t="shared" si="2"/>
        <v>52107</v>
      </c>
    </row>
    <row r="22664">
      <c r="A22664" s="48" t="s">
        <v>2694</v>
      </c>
      <c r="B22664" s="38" t="s">
        <v>27185</v>
      </c>
      <c r="C22664" s="38" t="s">
        <v>27186</v>
      </c>
      <c r="D22664" s="38" t="str">
        <f>IFERROR(__xludf.DUMMYFUNCTION("REGEXREPLACE(C22664,""-\d+(.*)|--\d+(.*)"","""")"),"POGGIO-DI-NAZZA")</f>
        <v>POGGIO-DI-NAZZA</v>
      </c>
      <c r="E22664" s="38" t="s">
        <v>743</v>
      </c>
      <c r="F22664" s="38" t="s">
        <v>607</v>
      </c>
      <c r="G22664" s="49" t="str">
        <f t="shared" si="1"/>
        <v>20240</v>
      </c>
      <c r="H22664" s="49" t="str">
        <f t="shared" si="2"/>
        <v>2B236</v>
      </c>
    </row>
    <row r="22665">
      <c r="A22665" s="48" t="s">
        <v>5735</v>
      </c>
      <c r="B22665" s="38">
        <v>2163.0</v>
      </c>
      <c r="C22665" s="38" t="s">
        <v>27187</v>
      </c>
      <c r="D22665" s="38" t="str">
        <f>IFERROR(__xludf.DUMMYFUNCTION("REGEXREPLACE(C22665,""-\d+(.*)|--\d+(.*)"","""")"),"CHARLY-SUR-MARNE")</f>
        <v>CHARLY-SUR-MARNE</v>
      </c>
      <c r="E22665" s="38" t="s">
        <v>191</v>
      </c>
      <c r="F22665" s="38" t="s">
        <v>113</v>
      </c>
      <c r="G22665" s="49" t="str">
        <f t="shared" si="1"/>
        <v>02310</v>
      </c>
      <c r="H22665" s="49" t="str">
        <f t="shared" si="2"/>
        <v>02163</v>
      </c>
    </row>
    <row r="22666">
      <c r="A22666" s="48" t="s">
        <v>1718</v>
      </c>
      <c r="B22666" s="38">
        <v>43150.0</v>
      </c>
      <c r="C22666" s="38" t="s">
        <v>27188</v>
      </c>
      <c r="D22666" s="38" t="str">
        <f>IFERROR(__xludf.DUMMYFUNCTION("REGEXREPLACE(C22666,""-\d+(.*)|--\d+(.*)"","""")"),"LE PERTUIS")</f>
        <v>LE PERTUIS</v>
      </c>
      <c r="E22666" s="38" t="s">
        <v>332</v>
      </c>
      <c r="F22666" s="38" t="s">
        <v>161</v>
      </c>
      <c r="G22666" s="49" t="str">
        <f t="shared" si="1"/>
        <v>43200</v>
      </c>
      <c r="H22666" s="49">
        <f t="shared" si="2"/>
        <v>43150</v>
      </c>
    </row>
    <row r="22667">
      <c r="A22667" s="48" t="s">
        <v>4895</v>
      </c>
      <c r="B22667" s="38">
        <v>34227.0</v>
      </c>
      <c r="C22667" s="38" t="s">
        <v>27189</v>
      </c>
      <c r="D22667" s="38" t="str">
        <f>IFERROR(__xludf.DUMMYFUNCTION("REGEXREPLACE(C22667,""-\d+(.*)|--\d+(.*)"","""")"),"RESTINCLIERES")</f>
        <v>RESTINCLIERES</v>
      </c>
      <c r="E22667" s="38" t="s">
        <v>118</v>
      </c>
      <c r="F22667" s="38" t="s">
        <v>119</v>
      </c>
      <c r="G22667" s="49" t="str">
        <f t="shared" si="1"/>
        <v>34160</v>
      </c>
      <c r="H22667" s="49">
        <f t="shared" si="2"/>
        <v>34227</v>
      </c>
    </row>
    <row r="22668">
      <c r="A22668" s="48" t="s">
        <v>7852</v>
      </c>
      <c r="B22668" s="38">
        <v>38257.0</v>
      </c>
      <c r="C22668" s="38" t="s">
        <v>13479</v>
      </c>
      <c r="D22668" s="38" t="str">
        <f>IFERROR(__xludf.DUMMYFUNCTION("REGEXREPLACE(C22668,""-\d+(.*)|--\d+(.*)"","""")"),"MONTREVEL")</f>
        <v>MONTREVEL</v>
      </c>
      <c r="E22668" s="38" t="s">
        <v>101</v>
      </c>
      <c r="F22668" s="38" t="s">
        <v>102</v>
      </c>
      <c r="G22668" s="49" t="str">
        <f t="shared" si="1"/>
        <v>38690</v>
      </c>
      <c r="H22668" s="49">
        <f t="shared" si="2"/>
        <v>38257</v>
      </c>
    </row>
    <row r="22669">
      <c r="A22669" s="48" t="s">
        <v>2519</v>
      </c>
      <c r="B22669" s="38">
        <v>80291.0</v>
      </c>
      <c r="C22669" s="38" t="s">
        <v>27190</v>
      </c>
      <c r="D22669" s="38" t="str">
        <f>IFERROR(__xludf.DUMMYFUNCTION("REGEXREPLACE(C22669,""-\d+(.*)|--\d+(.*)"","""")"),"ESTREES-SUR-NOYE")</f>
        <v>ESTREES-SUR-NOYE</v>
      </c>
      <c r="E22669" s="38" t="s">
        <v>224</v>
      </c>
      <c r="F22669" s="38" t="s">
        <v>113</v>
      </c>
      <c r="G22669" s="49" t="str">
        <f t="shared" si="1"/>
        <v>80250</v>
      </c>
      <c r="H22669" s="49">
        <f t="shared" si="2"/>
        <v>80291</v>
      </c>
    </row>
    <row r="22670">
      <c r="A22670" s="48" t="s">
        <v>3069</v>
      </c>
      <c r="B22670" s="38">
        <v>68046.0</v>
      </c>
      <c r="C22670" s="38" t="s">
        <v>27191</v>
      </c>
      <c r="D22670" s="38" t="str">
        <f>IFERROR(__xludf.DUMMYFUNCTION("REGEXREPLACE(C22670,""-\d+(.*)|--\d+(.*)"","""")"),"BOURBACH-LE-HAUT")</f>
        <v>BOURBACH-LE-HAUT</v>
      </c>
      <c r="E22670" s="38" t="s">
        <v>150</v>
      </c>
      <c r="F22670" s="38" t="s">
        <v>151</v>
      </c>
      <c r="G22670" s="49" t="str">
        <f t="shared" si="1"/>
        <v>68290</v>
      </c>
      <c r="H22670" s="49">
        <f t="shared" si="2"/>
        <v>68046</v>
      </c>
    </row>
    <row r="22671">
      <c r="A22671" s="48" t="s">
        <v>4754</v>
      </c>
      <c r="B22671" s="38">
        <v>12137.0</v>
      </c>
      <c r="C22671" s="38" t="s">
        <v>27192</v>
      </c>
      <c r="D22671" s="38" t="str">
        <f>IFERROR(__xludf.DUMMYFUNCTION("REGEXREPLACE(C22671,""-\d+(.*)|--\d+(.*)"","""")"),"MANHAC")</f>
        <v>MANHAC</v>
      </c>
      <c r="E22671" s="38" t="s">
        <v>465</v>
      </c>
      <c r="F22671" s="38" t="s">
        <v>94</v>
      </c>
      <c r="G22671" s="49" t="str">
        <f t="shared" si="1"/>
        <v>12160</v>
      </c>
      <c r="H22671" s="49">
        <f t="shared" si="2"/>
        <v>12137</v>
      </c>
    </row>
    <row r="22672">
      <c r="A22672" s="48" t="s">
        <v>1731</v>
      </c>
      <c r="B22672" s="38">
        <v>38488.0</v>
      </c>
      <c r="C22672" s="38" t="s">
        <v>27193</v>
      </c>
      <c r="D22672" s="38" t="str">
        <f>IFERROR(__xludf.DUMMYFUNCTION("REGEXREPLACE(C22672,""-\d+(.*)|--\d+(.*)"","""")"),"SICCIEU-SAINT-JULIEN-ET-CARISIEU")</f>
        <v>SICCIEU-SAINT-JULIEN-ET-CARISIEU</v>
      </c>
      <c r="E22672" s="38" t="s">
        <v>101</v>
      </c>
      <c r="F22672" s="38" t="s">
        <v>102</v>
      </c>
      <c r="G22672" s="49" t="str">
        <f t="shared" si="1"/>
        <v>38460</v>
      </c>
      <c r="H22672" s="49">
        <f t="shared" si="2"/>
        <v>38488</v>
      </c>
    </row>
    <row r="22673">
      <c r="A22673" s="48" t="s">
        <v>145</v>
      </c>
      <c r="B22673" s="38">
        <v>10359.0</v>
      </c>
      <c r="C22673" s="38" t="s">
        <v>27194</v>
      </c>
      <c r="D22673" s="38" t="str">
        <f>IFERROR(__xludf.DUMMYFUNCTION("REGEXREPLACE(C22673,""-\d+(.*)|--\d+(.*)"","""")"),"SAINT-PHAL")</f>
        <v>SAINT-PHAL</v>
      </c>
      <c r="E22673" s="38" t="s">
        <v>147</v>
      </c>
      <c r="F22673" s="38" t="s">
        <v>130</v>
      </c>
      <c r="G22673" s="49" t="str">
        <f t="shared" si="1"/>
        <v>10130</v>
      </c>
      <c r="H22673" s="49">
        <f t="shared" si="2"/>
        <v>10359</v>
      </c>
    </row>
    <row r="22674">
      <c r="A22674" s="48" t="s">
        <v>1174</v>
      </c>
      <c r="B22674" s="38">
        <v>51510.0</v>
      </c>
      <c r="C22674" s="38" t="s">
        <v>27195</v>
      </c>
      <c r="D22674" s="38" t="str">
        <f>IFERROR(__xludf.DUMMYFUNCTION("REGEXREPLACE(C22674,""-\d+(.*)|--\d+(.*)"","""")"),"SAINT-QUENTIN-LES-MARAIS")</f>
        <v>SAINT-QUENTIN-LES-MARAIS</v>
      </c>
      <c r="E22674" s="38" t="s">
        <v>129</v>
      </c>
      <c r="F22674" s="38" t="s">
        <v>130</v>
      </c>
      <c r="G22674" s="49" t="str">
        <f t="shared" si="1"/>
        <v>51300</v>
      </c>
      <c r="H22674" s="49">
        <f t="shared" si="2"/>
        <v>51510</v>
      </c>
    </row>
    <row r="22675">
      <c r="A22675" s="48" t="s">
        <v>5513</v>
      </c>
      <c r="B22675" s="38">
        <v>57011.0</v>
      </c>
      <c r="C22675" s="38" t="s">
        <v>27196</v>
      </c>
      <c r="D22675" s="38" t="str">
        <f>IFERROR(__xludf.DUMMYFUNCTION("REGEXREPLACE(C22675,""-\d+(.*)|--\d+(.*)"","""")"),"ALBESTROFF")</f>
        <v>ALBESTROFF</v>
      </c>
      <c r="E22675" s="38" t="s">
        <v>303</v>
      </c>
      <c r="F22675" s="38" t="s">
        <v>195</v>
      </c>
      <c r="G22675" s="49" t="str">
        <f t="shared" si="1"/>
        <v>57670</v>
      </c>
      <c r="H22675" s="49">
        <f t="shared" si="2"/>
        <v>57011</v>
      </c>
    </row>
    <row r="22676">
      <c r="A22676" s="48" t="s">
        <v>2227</v>
      </c>
      <c r="B22676" s="38">
        <v>74187.0</v>
      </c>
      <c r="C22676" s="38" t="s">
        <v>27197</v>
      </c>
      <c r="D22676" s="38" t="str">
        <f>IFERROR(__xludf.DUMMYFUNCTION("REGEXREPLACE(C22676,""-\d+(.*)|--\d+(.*)"","""")"),"MONTMIN")</f>
        <v>MONTMIN</v>
      </c>
      <c r="E22676" s="38" t="s">
        <v>319</v>
      </c>
      <c r="F22676" s="38" t="s">
        <v>102</v>
      </c>
      <c r="G22676" s="49" t="str">
        <f t="shared" si="1"/>
        <v>74210</v>
      </c>
      <c r="H22676" s="49">
        <f t="shared" si="2"/>
        <v>74187</v>
      </c>
    </row>
    <row r="22677">
      <c r="A22677" s="48" t="s">
        <v>544</v>
      </c>
      <c r="B22677" s="38">
        <v>57540.0</v>
      </c>
      <c r="C22677" s="38" t="s">
        <v>27198</v>
      </c>
      <c r="D22677" s="38" t="str">
        <f>IFERROR(__xludf.DUMMYFUNCTION("REGEXREPLACE(C22677,""-\d+(.*)|--\d+(.*)"","""")"),"PHALSBOURG")</f>
        <v>PHALSBOURG</v>
      </c>
      <c r="E22677" s="38" t="s">
        <v>303</v>
      </c>
      <c r="F22677" s="38" t="s">
        <v>195</v>
      </c>
      <c r="G22677" s="49" t="str">
        <f t="shared" si="1"/>
        <v>57370</v>
      </c>
      <c r="H22677" s="49">
        <f t="shared" si="2"/>
        <v>57540</v>
      </c>
    </row>
    <row r="22678">
      <c r="A22678" s="48" t="s">
        <v>7595</v>
      </c>
      <c r="B22678" s="38">
        <v>81083.0</v>
      </c>
      <c r="C22678" s="38" t="s">
        <v>27199</v>
      </c>
      <c r="D22678" s="38" t="str">
        <f>IFERROR(__xludf.DUMMYFUNCTION("REGEXREPLACE(C22678,""-\d+(.*)|--\d+(.*)"","""")"),"DURFORT")</f>
        <v>DURFORT</v>
      </c>
      <c r="E22678" s="38" t="s">
        <v>231</v>
      </c>
      <c r="F22678" s="38" t="s">
        <v>94</v>
      </c>
      <c r="G22678" s="49" t="str">
        <f t="shared" si="1"/>
        <v>81540</v>
      </c>
      <c r="H22678" s="49">
        <f t="shared" si="2"/>
        <v>81083</v>
      </c>
    </row>
    <row r="22679">
      <c r="A22679" s="48" t="s">
        <v>6615</v>
      </c>
      <c r="B22679" s="38">
        <v>65274.0</v>
      </c>
      <c r="C22679" s="38" t="s">
        <v>27200</v>
      </c>
      <c r="D22679" s="38" t="str">
        <f>IFERROR(__xludf.DUMMYFUNCTION("REGEXREPLACE(C22679,""-\d+(.*)|--\d+(.*)"","""")"),"LIBAROS")</f>
        <v>LIBAROS</v>
      </c>
      <c r="E22679" s="38" t="s">
        <v>200</v>
      </c>
      <c r="F22679" s="38" t="s">
        <v>94</v>
      </c>
      <c r="G22679" s="49" t="str">
        <f t="shared" si="1"/>
        <v>65330</v>
      </c>
      <c r="H22679" s="49">
        <f t="shared" si="2"/>
        <v>65274</v>
      </c>
    </row>
    <row r="22680">
      <c r="A22680" s="48" t="s">
        <v>981</v>
      </c>
      <c r="B22680" s="38">
        <v>24421.0</v>
      </c>
      <c r="C22680" s="38" t="s">
        <v>27201</v>
      </c>
      <c r="D22680" s="38" t="str">
        <f>IFERROR(__xludf.DUMMYFUNCTION("REGEXREPLACE(C22680,""-\d+(.*)|--\d+(.*)"","""")"),"SAINT-GEYRAC")</f>
        <v>SAINT-GEYRAC</v>
      </c>
      <c r="E22680" s="38" t="s">
        <v>261</v>
      </c>
      <c r="F22680" s="38" t="s">
        <v>252</v>
      </c>
      <c r="G22680" s="49" t="str">
        <f t="shared" si="1"/>
        <v>24330</v>
      </c>
      <c r="H22680" s="49">
        <f t="shared" si="2"/>
        <v>24421</v>
      </c>
    </row>
    <row r="22681">
      <c r="A22681" s="48" t="s">
        <v>1697</v>
      </c>
      <c r="B22681" s="38">
        <v>39375.0</v>
      </c>
      <c r="C22681" s="38" t="s">
        <v>27202</v>
      </c>
      <c r="D22681" s="38" t="str">
        <f>IFERROR(__xludf.DUMMYFUNCTION("REGEXREPLACE(C22681,""-\d+(.*)|--\d+(.*)"","""")"),"MOUTONNE")</f>
        <v>MOUTONNE</v>
      </c>
      <c r="E22681" s="38" t="s">
        <v>400</v>
      </c>
      <c r="F22681" s="38" t="s">
        <v>214</v>
      </c>
      <c r="G22681" s="49" t="str">
        <f t="shared" si="1"/>
        <v>39270</v>
      </c>
      <c r="H22681" s="49">
        <f t="shared" si="2"/>
        <v>39375</v>
      </c>
    </row>
    <row r="22682">
      <c r="A22682" s="48" t="s">
        <v>970</v>
      </c>
      <c r="B22682" s="38">
        <v>2731.0</v>
      </c>
      <c r="C22682" s="38" t="s">
        <v>27203</v>
      </c>
      <c r="D22682" s="38" t="str">
        <f>IFERROR(__xludf.DUMMYFUNCTION("REGEXREPLACE(C22682,""-\d+(.*)|--\d+(.*)"","""")"),"LE SOURD")</f>
        <v>LE SOURD</v>
      </c>
      <c r="E22682" s="38" t="s">
        <v>191</v>
      </c>
      <c r="F22682" s="38" t="s">
        <v>113</v>
      </c>
      <c r="G22682" s="49" t="str">
        <f t="shared" si="1"/>
        <v>02140</v>
      </c>
      <c r="H22682" s="49" t="str">
        <f t="shared" si="2"/>
        <v>02731</v>
      </c>
    </row>
    <row r="22683">
      <c r="A22683" s="48" t="s">
        <v>2903</v>
      </c>
      <c r="B22683" s="38">
        <v>85120.0</v>
      </c>
      <c r="C22683" s="38" t="s">
        <v>27204</v>
      </c>
      <c r="D22683" s="38" t="str">
        <f>IFERROR(__xludf.DUMMYFUNCTION("REGEXREPLACE(C22683,""-\d+(.*)|--\d+(.*)"","""")"),"LANDEVIEILLE")</f>
        <v>LANDEVIEILLE</v>
      </c>
      <c r="E22683" s="38" t="s">
        <v>179</v>
      </c>
      <c r="F22683" s="38" t="s">
        <v>180</v>
      </c>
      <c r="G22683" s="49" t="str">
        <f t="shared" si="1"/>
        <v>85220</v>
      </c>
      <c r="H22683" s="49">
        <f t="shared" si="2"/>
        <v>85120</v>
      </c>
    </row>
    <row r="22684">
      <c r="A22684" s="48" t="s">
        <v>198</v>
      </c>
      <c r="B22684" s="38">
        <v>65387.0</v>
      </c>
      <c r="C22684" s="38" t="s">
        <v>27205</v>
      </c>
      <c r="D22684" s="38" t="str">
        <f>IFERROR(__xludf.DUMMYFUNCTION("REGEXREPLACE(C22684,""-\d+(.*)|--\d+(.*)"","""")"),"SAINT-LANNE")</f>
        <v>SAINT-LANNE</v>
      </c>
      <c r="E22684" s="38" t="s">
        <v>200</v>
      </c>
      <c r="F22684" s="38" t="s">
        <v>94</v>
      </c>
      <c r="G22684" s="49" t="str">
        <f t="shared" si="1"/>
        <v>65700</v>
      </c>
      <c r="H22684" s="49">
        <f t="shared" si="2"/>
        <v>65387</v>
      </c>
    </row>
    <row r="22685">
      <c r="A22685" s="48" t="s">
        <v>1582</v>
      </c>
      <c r="B22685" s="38">
        <v>45135.0</v>
      </c>
      <c r="C22685" s="38" t="s">
        <v>27206</v>
      </c>
      <c r="D22685" s="38" t="str">
        <f>IFERROR(__xludf.DUMMYFUNCTION("REGEXREPLACE(C22685,""-\d+(.*)|--\d+(.*)"","""")"),"ERCEVILLE")</f>
        <v>ERCEVILLE</v>
      </c>
      <c r="E22685" s="38" t="s">
        <v>122</v>
      </c>
      <c r="F22685" s="38" t="s">
        <v>123</v>
      </c>
      <c r="G22685" s="49" t="str">
        <f t="shared" si="1"/>
        <v>45480</v>
      </c>
      <c r="H22685" s="49">
        <f t="shared" si="2"/>
        <v>45135</v>
      </c>
    </row>
    <row r="22686">
      <c r="A22686" s="48" t="s">
        <v>4283</v>
      </c>
      <c r="B22686" s="38">
        <v>7089.0</v>
      </c>
      <c r="C22686" s="38" t="s">
        <v>27207</v>
      </c>
      <c r="D22686" s="38" t="str">
        <f>IFERROR(__xludf.DUMMYFUNCTION("REGEXREPLACE(C22686,""-\d+(.*)|--\d+(.*)"","""")"),"FELINES")</f>
        <v>FELINES</v>
      </c>
      <c r="E22686" s="38" t="s">
        <v>144</v>
      </c>
      <c r="F22686" s="38" t="s">
        <v>102</v>
      </c>
      <c r="G22686" s="49" t="str">
        <f t="shared" si="1"/>
        <v>07340</v>
      </c>
      <c r="H22686" s="49" t="str">
        <f t="shared" si="2"/>
        <v>07089</v>
      </c>
    </row>
    <row r="22687">
      <c r="A22687" s="48" t="s">
        <v>6125</v>
      </c>
      <c r="B22687" s="38">
        <v>38514.0</v>
      </c>
      <c r="C22687" s="38" t="s">
        <v>27208</v>
      </c>
      <c r="D22687" s="38" t="str">
        <f>IFERROR(__xludf.DUMMYFUNCTION("REGEXREPLACE(C22687,""-\d+(.*)|--\d+(.*)"","""")"),"TREMINIS")</f>
        <v>TREMINIS</v>
      </c>
      <c r="E22687" s="38" t="s">
        <v>101</v>
      </c>
      <c r="F22687" s="38" t="s">
        <v>102</v>
      </c>
      <c r="G22687" s="49" t="str">
        <f t="shared" si="1"/>
        <v>38710</v>
      </c>
      <c r="H22687" s="49">
        <f t="shared" si="2"/>
        <v>38514</v>
      </c>
    </row>
    <row r="22688">
      <c r="A22688" s="48" t="s">
        <v>6097</v>
      </c>
      <c r="B22688" s="38">
        <v>33247.0</v>
      </c>
      <c r="C22688" s="38" t="s">
        <v>27209</v>
      </c>
      <c r="D22688" s="38" t="str">
        <f>IFERROR(__xludf.DUMMYFUNCTION("REGEXREPLACE(C22688,""-\d+(.*)|--\d+(.*)"","""")"),"LISTRAC-DE-DUREZE")</f>
        <v>LISTRAC-DE-DUREZE</v>
      </c>
      <c r="E22688" s="38" t="s">
        <v>462</v>
      </c>
      <c r="F22688" s="38" t="s">
        <v>252</v>
      </c>
      <c r="G22688" s="49" t="str">
        <f t="shared" si="1"/>
        <v>33790</v>
      </c>
      <c r="H22688" s="49">
        <f t="shared" si="2"/>
        <v>33247</v>
      </c>
    </row>
    <row r="22689">
      <c r="A22689" s="48" t="s">
        <v>13021</v>
      </c>
      <c r="B22689" s="38">
        <v>57373.0</v>
      </c>
      <c r="C22689" s="38" t="s">
        <v>27210</v>
      </c>
      <c r="D22689" s="38" t="str">
        <f>IFERROR(__xludf.DUMMYFUNCTION("REGEXREPLACE(C22689,""-\d+(.*)|--\d+(.*)"","""")"),"LACHAMBRE")</f>
        <v>LACHAMBRE</v>
      </c>
      <c r="E22689" s="38" t="s">
        <v>303</v>
      </c>
      <c r="F22689" s="38" t="s">
        <v>195</v>
      </c>
      <c r="G22689" s="49" t="str">
        <f t="shared" si="1"/>
        <v>57730</v>
      </c>
      <c r="H22689" s="49">
        <f t="shared" si="2"/>
        <v>57373</v>
      </c>
    </row>
    <row r="22690">
      <c r="A22690" s="48" t="s">
        <v>3341</v>
      </c>
      <c r="B22690" s="38">
        <v>25619.0</v>
      </c>
      <c r="C22690" s="38" t="s">
        <v>27211</v>
      </c>
      <c r="D22690" s="38" t="str">
        <f>IFERROR(__xludf.DUMMYFUNCTION("REGEXREPLACE(C22690,""-\d+(.*)|--\d+(.*)"","""")"),"LES VILLEDIEU")</f>
        <v>LES VILLEDIEU</v>
      </c>
      <c r="E22690" s="38" t="s">
        <v>213</v>
      </c>
      <c r="F22690" s="38" t="s">
        <v>214</v>
      </c>
      <c r="G22690" s="49" t="str">
        <f t="shared" si="1"/>
        <v>25240</v>
      </c>
      <c r="H22690" s="49">
        <f t="shared" si="2"/>
        <v>25619</v>
      </c>
    </row>
    <row r="22691">
      <c r="A22691" s="48" t="s">
        <v>4018</v>
      </c>
      <c r="B22691" s="38">
        <v>55493.0</v>
      </c>
      <c r="C22691" s="38" t="s">
        <v>27212</v>
      </c>
      <c r="D22691" s="38" t="str">
        <f>IFERROR(__xludf.DUMMYFUNCTION("REGEXREPLACE(C22691,""-\d+(.*)|--\d+(.*)"","""")"),"SOMMEILLES")</f>
        <v>SOMMEILLES</v>
      </c>
      <c r="E22691" s="38" t="s">
        <v>322</v>
      </c>
      <c r="F22691" s="38" t="s">
        <v>195</v>
      </c>
      <c r="G22691" s="49" t="str">
        <f t="shared" si="1"/>
        <v>55800</v>
      </c>
      <c r="H22691" s="49">
        <f t="shared" si="2"/>
        <v>55493</v>
      </c>
    </row>
    <row r="22692">
      <c r="A22692" s="48" t="s">
        <v>12867</v>
      </c>
      <c r="B22692" s="38">
        <v>38404.0</v>
      </c>
      <c r="C22692" s="38" t="s">
        <v>780</v>
      </c>
      <c r="D22692" s="38" t="str">
        <f>IFERROR(__xludf.DUMMYFUNCTION("REGEXREPLACE(C22692,""-\d+(.*)|--\d+(.*)"","""")"),"SAINT-JEAN-LE-VIEUX")</f>
        <v>SAINT-JEAN-LE-VIEUX</v>
      </c>
      <c r="E22692" s="38" t="s">
        <v>101</v>
      </c>
      <c r="F22692" s="38" t="s">
        <v>102</v>
      </c>
      <c r="G22692" s="49" t="str">
        <f t="shared" si="1"/>
        <v>38420</v>
      </c>
      <c r="H22692" s="49">
        <f t="shared" si="2"/>
        <v>38404</v>
      </c>
    </row>
    <row r="22693">
      <c r="A22693" s="48" t="s">
        <v>4287</v>
      </c>
      <c r="B22693" s="38">
        <v>62355.0</v>
      </c>
      <c r="C22693" s="38" t="s">
        <v>27213</v>
      </c>
      <c r="D22693" s="38" t="str">
        <f>IFERROR(__xludf.DUMMYFUNCTION("REGEXREPLACE(C22693,""-\d+(.*)|--\d+(.*)"","""")"),"FRESNES-LES-MONTAUBAN")</f>
        <v>FRESNES-LES-MONTAUBAN</v>
      </c>
      <c r="E22693" s="38" t="s">
        <v>109</v>
      </c>
      <c r="F22693" s="38" t="s">
        <v>86</v>
      </c>
      <c r="G22693" s="49" t="str">
        <f t="shared" si="1"/>
        <v>62490</v>
      </c>
      <c r="H22693" s="49">
        <f t="shared" si="2"/>
        <v>62355</v>
      </c>
    </row>
    <row r="22694">
      <c r="A22694" s="48" t="s">
        <v>1756</v>
      </c>
      <c r="B22694" s="38">
        <v>28304.0</v>
      </c>
      <c r="C22694" s="38" t="s">
        <v>27214</v>
      </c>
      <c r="D22694" s="38" t="str">
        <f>IFERROR(__xludf.DUMMYFUNCTION("REGEXREPLACE(C22694,""-\d+(.*)|--\d+(.*)"","""")"),"PRASVILLE")</f>
        <v>PRASVILLE</v>
      </c>
      <c r="E22694" s="38" t="s">
        <v>300</v>
      </c>
      <c r="F22694" s="38" t="s">
        <v>123</v>
      </c>
      <c r="G22694" s="49" t="str">
        <f t="shared" si="1"/>
        <v>28150</v>
      </c>
      <c r="H22694" s="49">
        <f t="shared" si="2"/>
        <v>28304</v>
      </c>
    </row>
    <row r="22695">
      <c r="A22695" s="48" t="s">
        <v>8742</v>
      </c>
      <c r="B22695" s="38">
        <v>27122.0</v>
      </c>
      <c r="C22695" s="38" t="s">
        <v>27215</v>
      </c>
      <c r="D22695" s="38" t="str">
        <f>IFERROR(__xludf.DUMMYFUNCTION("REGEXREPLACE(C22695,""-\d+(.*)|--\d+(.*)"","""")"),"CAHAIGNES")</f>
        <v>CAHAIGNES</v>
      </c>
      <c r="E22695" s="38" t="s">
        <v>241</v>
      </c>
      <c r="F22695" s="38" t="s">
        <v>134</v>
      </c>
      <c r="G22695" s="49" t="str">
        <f t="shared" si="1"/>
        <v>27420</v>
      </c>
      <c r="H22695" s="49">
        <f t="shared" si="2"/>
        <v>27122</v>
      </c>
    </row>
    <row r="22696">
      <c r="A22696" s="48" t="s">
        <v>6107</v>
      </c>
      <c r="B22696" s="38">
        <v>61099.0</v>
      </c>
      <c r="C22696" s="38" t="s">
        <v>27216</v>
      </c>
      <c r="D22696" s="38" t="str">
        <f>IFERROR(__xludf.DUMMYFUNCTION("REGEXREPLACE(C22696,""-\d+(.*)|--\d+(.*)"","""")"),"LA CHAPELLE-SOUEF")</f>
        <v>LA CHAPELLE-SOUEF</v>
      </c>
      <c r="E22696" s="38" t="s">
        <v>141</v>
      </c>
      <c r="F22696" s="38" t="s">
        <v>138</v>
      </c>
      <c r="G22696" s="49" t="str">
        <f t="shared" si="1"/>
        <v>61130</v>
      </c>
      <c r="H22696" s="49">
        <f t="shared" si="2"/>
        <v>61099</v>
      </c>
    </row>
    <row r="22697">
      <c r="A22697" s="48" t="s">
        <v>27217</v>
      </c>
      <c r="B22697" s="38">
        <v>91207.0</v>
      </c>
      <c r="C22697" s="38" t="s">
        <v>27218</v>
      </c>
      <c r="D22697" s="38" t="str">
        <f>IFERROR(__xludf.DUMMYFUNCTION("REGEXREPLACE(C22697,""-\d+(.*)|--\d+(.*)"","""")"),"EGLY")</f>
        <v>EGLY</v>
      </c>
      <c r="E22697" s="38" t="s">
        <v>756</v>
      </c>
      <c r="F22697" s="38" t="s">
        <v>245</v>
      </c>
      <c r="G22697" s="49" t="str">
        <f t="shared" si="1"/>
        <v>91520</v>
      </c>
      <c r="H22697" s="49">
        <f t="shared" si="2"/>
        <v>91207</v>
      </c>
    </row>
    <row r="22698">
      <c r="A22698" s="48" t="s">
        <v>315</v>
      </c>
      <c r="B22698" s="38">
        <v>27335.0</v>
      </c>
      <c r="C22698" s="38" t="s">
        <v>27219</v>
      </c>
      <c r="D22698" s="38" t="str">
        <f>IFERROR(__xludf.DUMMYFUNCTION("REGEXREPLACE(C22698,""-\d+(.*)|--\d+(.*)"","""")"),"HEUDREVILLE-SUR-EURE")</f>
        <v>HEUDREVILLE-SUR-EURE</v>
      </c>
      <c r="E22698" s="38" t="s">
        <v>241</v>
      </c>
      <c r="F22698" s="38" t="s">
        <v>134</v>
      </c>
      <c r="G22698" s="49" t="str">
        <f t="shared" si="1"/>
        <v>27400</v>
      </c>
      <c r="H22698" s="49">
        <f t="shared" si="2"/>
        <v>27335</v>
      </c>
    </row>
    <row r="22699">
      <c r="A22699" s="48" t="s">
        <v>3375</v>
      </c>
      <c r="B22699" s="38">
        <v>24262.0</v>
      </c>
      <c r="C22699" s="38" t="s">
        <v>27220</v>
      </c>
      <c r="D22699" s="38" t="str">
        <f>IFERROR(__xludf.DUMMYFUNCTION("REGEXREPLACE(C22699,""-\d+(.*)|--\d+(.*)"","""")"),"MAYAC")</f>
        <v>MAYAC</v>
      </c>
      <c r="E22699" s="38" t="s">
        <v>261</v>
      </c>
      <c r="F22699" s="38" t="s">
        <v>252</v>
      </c>
      <c r="G22699" s="49" t="str">
        <f t="shared" si="1"/>
        <v>24420</v>
      </c>
      <c r="H22699" s="49">
        <f t="shared" si="2"/>
        <v>24262</v>
      </c>
    </row>
    <row r="22700">
      <c r="A22700" s="48" t="s">
        <v>1582</v>
      </c>
      <c r="B22700" s="38">
        <v>45025.0</v>
      </c>
      <c r="C22700" s="38" t="s">
        <v>27221</v>
      </c>
      <c r="D22700" s="38" t="str">
        <f>IFERROR(__xludf.DUMMYFUNCTION("REGEXREPLACE(C22700,""-\d+(.*)|--\d+(.*)"","""")"),"BAZOCHES-LES-GALLERANDES")</f>
        <v>BAZOCHES-LES-GALLERANDES</v>
      </c>
      <c r="E22700" s="38" t="s">
        <v>122</v>
      </c>
      <c r="F22700" s="38" t="s">
        <v>123</v>
      </c>
      <c r="G22700" s="49" t="str">
        <f t="shared" si="1"/>
        <v>45480</v>
      </c>
      <c r="H22700" s="49">
        <f t="shared" si="2"/>
        <v>45025</v>
      </c>
    </row>
    <row r="22701">
      <c r="A22701" s="48" t="s">
        <v>3693</v>
      </c>
      <c r="B22701" s="38">
        <v>24039.0</v>
      </c>
      <c r="C22701" s="38" t="s">
        <v>22672</v>
      </c>
      <c r="D22701" s="38" t="str">
        <f>IFERROR(__xludf.DUMMYFUNCTION("REGEXREPLACE(C22701,""-\d+(.*)|--\d+(.*)"","""")"),"BESSE")</f>
        <v>BESSE</v>
      </c>
      <c r="E22701" s="38" t="s">
        <v>261</v>
      </c>
      <c r="F22701" s="38" t="s">
        <v>252</v>
      </c>
      <c r="G22701" s="49" t="str">
        <f t="shared" si="1"/>
        <v>24550</v>
      </c>
      <c r="H22701" s="49">
        <f t="shared" si="2"/>
        <v>24039</v>
      </c>
    </row>
    <row r="22702">
      <c r="A22702" s="48" t="s">
        <v>27222</v>
      </c>
      <c r="B22702" s="38">
        <v>27090.0</v>
      </c>
      <c r="C22702" s="38" t="s">
        <v>27223</v>
      </c>
      <c r="D22702" s="38" t="str">
        <f>IFERROR(__xludf.DUMMYFUNCTION("REGEXREPLACE(C22702,""-\d+(.*)|--\d+(.*)"","""")"),"LE BOSC-ROGER-EN-ROUMOIS")</f>
        <v>LE BOSC-ROGER-EN-ROUMOIS</v>
      </c>
      <c r="E22702" s="38" t="s">
        <v>241</v>
      </c>
      <c r="F22702" s="38" t="s">
        <v>134</v>
      </c>
      <c r="G22702" s="49" t="str">
        <f t="shared" si="1"/>
        <v>27670</v>
      </c>
      <c r="H22702" s="49">
        <f t="shared" si="2"/>
        <v>27090</v>
      </c>
    </row>
    <row r="22703">
      <c r="A22703" s="48" t="s">
        <v>5268</v>
      </c>
      <c r="B22703" s="38">
        <v>49158.0</v>
      </c>
      <c r="C22703" s="38" t="s">
        <v>27224</v>
      </c>
      <c r="D22703" s="38" t="str">
        <f>IFERROR(__xludf.DUMMYFUNCTION("REGEXREPLACE(C22703,""-\d+(.*)|--\d+(.*)"","""")"),"L'HOTELLERIE-DE-FLEE")</f>
        <v>L'HOTELLERIE-DE-FLEE</v>
      </c>
      <c r="E22703" s="38" t="s">
        <v>653</v>
      </c>
      <c r="F22703" s="38" t="s">
        <v>180</v>
      </c>
      <c r="G22703" s="49" t="str">
        <f t="shared" si="1"/>
        <v>49500</v>
      </c>
      <c r="H22703" s="49">
        <f t="shared" si="2"/>
        <v>49158</v>
      </c>
    </row>
    <row r="22704">
      <c r="A22704" s="48" t="s">
        <v>14605</v>
      </c>
      <c r="B22704" s="38">
        <v>57386.0</v>
      </c>
      <c r="C22704" s="38" t="s">
        <v>27225</v>
      </c>
      <c r="D22704" s="38" t="str">
        <f>IFERROR(__xludf.DUMMYFUNCTION("REGEXREPLACE(C22704,""-\d+(.*)|--\d+(.*)"","""")"),"LAUDREFANG")</f>
        <v>LAUDREFANG</v>
      </c>
      <c r="E22704" s="38" t="s">
        <v>303</v>
      </c>
      <c r="F22704" s="38" t="s">
        <v>195</v>
      </c>
      <c r="G22704" s="49" t="str">
        <f t="shared" si="1"/>
        <v>57385</v>
      </c>
      <c r="H22704" s="49">
        <f t="shared" si="2"/>
        <v>57386</v>
      </c>
    </row>
    <row r="22705">
      <c r="A22705" s="48" t="s">
        <v>5596</v>
      </c>
      <c r="B22705" s="38">
        <v>25138.0</v>
      </c>
      <c r="C22705" s="38" t="s">
        <v>27226</v>
      </c>
      <c r="D22705" s="38" t="str">
        <f>IFERROR(__xludf.DUMMYFUNCTION("REGEXREPLACE(C22705,""-\d+(.*)|--\d+(.*)"","""")"),"LES TERRES-DE-CHAUX")</f>
        <v>LES TERRES-DE-CHAUX</v>
      </c>
      <c r="E22705" s="38" t="s">
        <v>213</v>
      </c>
      <c r="F22705" s="38" t="s">
        <v>214</v>
      </c>
      <c r="G22705" s="49" t="str">
        <f t="shared" si="1"/>
        <v>25190</v>
      </c>
      <c r="H22705" s="49">
        <f t="shared" si="2"/>
        <v>25138</v>
      </c>
    </row>
    <row r="22706">
      <c r="A22706" s="48" t="s">
        <v>2770</v>
      </c>
      <c r="B22706" s="38">
        <v>25119.0</v>
      </c>
      <c r="C22706" s="38" t="s">
        <v>27227</v>
      </c>
      <c r="D22706" s="38" t="str">
        <f>IFERROR(__xludf.DUMMYFUNCTION("REGEXREPLACE(C22706,""-\d+(.*)|--\d+(.*)"","""")"),"CHAMPVANS-LES-MOULINS")</f>
        <v>CHAMPVANS-LES-MOULINS</v>
      </c>
      <c r="E22706" s="38" t="s">
        <v>213</v>
      </c>
      <c r="F22706" s="38" t="s">
        <v>214</v>
      </c>
      <c r="G22706" s="49" t="str">
        <f t="shared" si="1"/>
        <v>25170</v>
      </c>
      <c r="H22706" s="49">
        <f t="shared" si="2"/>
        <v>25119</v>
      </c>
    </row>
    <row r="22707">
      <c r="A22707" s="48" t="s">
        <v>1870</v>
      </c>
      <c r="B22707" s="38">
        <v>37252.0</v>
      </c>
      <c r="C22707" s="38" t="s">
        <v>27228</v>
      </c>
      <c r="D22707" s="38" t="str">
        <f>IFERROR(__xludf.DUMMYFUNCTION("REGEXREPLACE(C22707,""-\d+(.*)|--\d+(.*)"","""")"),"SOUVIGNY-DE-TOURAINE")</f>
        <v>SOUVIGNY-DE-TOURAINE</v>
      </c>
      <c r="E22707" s="38" t="s">
        <v>205</v>
      </c>
      <c r="F22707" s="38" t="s">
        <v>123</v>
      </c>
      <c r="G22707" s="49" t="str">
        <f t="shared" si="1"/>
        <v>37530</v>
      </c>
      <c r="H22707" s="49">
        <f t="shared" si="2"/>
        <v>37252</v>
      </c>
    </row>
    <row r="22708">
      <c r="A22708" s="48" t="s">
        <v>5902</v>
      </c>
      <c r="B22708" s="38">
        <v>30064.0</v>
      </c>
      <c r="C22708" s="38" t="s">
        <v>27229</v>
      </c>
      <c r="D22708" s="38" t="str">
        <f>IFERROR(__xludf.DUMMYFUNCTION("REGEXREPLACE(C22708,""-\d+(.*)|--\d+(.*)"","""")"),"CAMPESTRE-ET-LUC")</f>
        <v>CAMPESTRE-ET-LUC</v>
      </c>
      <c r="E22708" s="38" t="s">
        <v>526</v>
      </c>
      <c r="F22708" s="38" t="s">
        <v>119</v>
      </c>
      <c r="G22708" s="49" t="str">
        <f t="shared" si="1"/>
        <v>30770</v>
      </c>
      <c r="H22708" s="49">
        <f t="shared" si="2"/>
        <v>30064</v>
      </c>
    </row>
    <row r="22709">
      <c r="A22709" s="48" t="s">
        <v>4400</v>
      </c>
      <c r="B22709" s="38">
        <v>66167.0</v>
      </c>
      <c r="C22709" s="38" t="s">
        <v>27230</v>
      </c>
      <c r="D22709" s="38" t="str">
        <f>IFERROR(__xludf.DUMMYFUNCTION("REGEXREPLACE(C22709,""-\d+(.*)|--\d+(.*)"","""")"),"SAILLAGOUSE")</f>
        <v>SAILLAGOUSE</v>
      </c>
      <c r="E22709" s="38" t="s">
        <v>248</v>
      </c>
      <c r="F22709" s="38" t="s">
        <v>119</v>
      </c>
      <c r="G22709" s="49" t="str">
        <f t="shared" si="1"/>
        <v>66800</v>
      </c>
      <c r="H22709" s="49">
        <f t="shared" si="2"/>
        <v>66167</v>
      </c>
    </row>
    <row r="22710">
      <c r="A22710" s="48" t="s">
        <v>5666</v>
      </c>
      <c r="B22710" s="38">
        <v>39441.0</v>
      </c>
      <c r="C22710" s="38" t="s">
        <v>27231</v>
      </c>
      <c r="D22710" s="38" t="str">
        <f>IFERROR(__xludf.DUMMYFUNCTION("REGEXREPLACE(C22710,""-\d+(.*)|--\d+(.*)"","""")"),"PREMANON")</f>
        <v>PREMANON</v>
      </c>
      <c r="E22710" s="38" t="s">
        <v>400</v>
      </c>
      <c r="F22710" s="38" t="s">
        <v>214</v>
      </c>
      <c r="G22710" s="49" t="str">
        <f t="shared" si="1"/>
        <v>39220</v>
      </c>
      <c r="H22710" s="49">
        <f t="shared" si="2"/>
        <v>39441</v>
      </c>
    </row>
    <row r="22711">
      <c r="A22711" s="48" t="s">
        <v>27232</v>
      </c>
      <c r="B22711" s="38">
        <v>56078.0</v>
      </c>
      <c r="C22711" s="38" t="s">
        <v>27233</v>
      </c>
      <c r="D22711" s="38" t="str">
        <f>IFERROR(__xludf.DUMMYFUNCTION("REGEXREPLACE(C22711,""-\d+(.*)|--\d+(.*)"","""")"),"GUIDEL")</f>
        <v>GUIDEL</v>
      </c>
      <c r="E22711" s="38" t="s">
        <v>173</v>
      </c>
      <c r="F22711" s="38" t="s">
        <v>90</v>
      </c>
      <c r="G22711" s="49" t="str">
        <f t="shared" si="1"/>
        <v>56520</v>
      </c>
      <c r="H22711" s="49">
        <f t="shared" si="2"/>
        <v>56078</v>
      </c>
    </row>
    <row r="22712">
      <c r="A22712" s="48" t="s">
        <v>9218</v>
      </c>
      <c r="B22712" s="38">
        <v>17376.0</v>
      </c>
      <c r="C22712" s="38" t="s">
        <v>27234</v>
      </c>
      <c r="D22712" s="38" t="str">
        <f>IFERROR(__xludf.DUMMYFUNCTION("REGEXREPLACE(C22712,""-\d+(.*)|--\d+(.*)"","""")"),"SAINT-OUEN-D'AUNIS")</f>
        <v>SAINT-OUEN-D'AUNIS</v>
      </c>
      <c r="E22712" s="38" t="s">
        <v>488</v>
      </c>
      <c r="F22712" s="38" t="s">
        <v>338</v>
      </c>
      <c r="G22712" s="49" t="str">
        <f t="shared" si="1"/>
        <v>17230</v>
      </c>
      <c r="H22712" s="49">
        <f t="shared" si="2"/>
        <v>17376</v>
      </c>
    </row>
    <row r="22713">
      <c r="A22713" s="48" t="s">
        <v>902</v>
      </c>
      <c r="B22713" s="38">
        <v>21171.0</v>
      </c>
      <c r="C22713" s="38" t="s">
        <v>27235</v>
      </c>
      <c r="D22713" s="38" t="str">
        <f>IFERROR(__xludf.DUMMYFUNCTION("REGEXREPLACE(C22713,""-\d+(.*)|--\d+(.*)"","""")"),"CHEVIGNY-SAINT-SAUVEUR")</f>
        <v>CHEVIGNY-SAINT-SAUVEUR</v>
      </c>
      <c r="E22713" s="38" t="s">
        <v>105</v>
      </c>
      <c r="F22713" s="38" t="s">
        <v>106</v>
      </c>
      <c r="G22713" s="49" t="str">
        <f t="shared" si="1"/>
        <v>21800</v>
      </c>
      <c r="H22713" s="49">
        <f t="shared" si="2"/>
        <v>21171</v>
      </c>
    </row>
    <row r="22714">
      <c r="A22714" s="48" t="s">
        <v>6822</v>
      </c>
      <c r="B22714" s="38">
        <v>79308.0</v>
      </c>
      <c r="C22714" s="38" t="s">
        <v>27236</v>
      </c>
      <c r="D22714" s="38" t="str">
        <f>IFERROR(__xludf.DUMMYFUNCTION("REGEXREPLACE(C22714,""-\d+(.*)|--\d+(.*)"","""")"),"SCIECQ")</f>
        <v>SCIECQ</v>
      </c>
      <c r="E22714" s="38" t="s">
        <v>337</v>
      </c>
      <c r="F22714" s="38" t="s">
        <v>338</v>
      </c>
      <c r="G22714" s="49" t="str">
        <f t="shared" si="1"/>
        <v>79000</v>
      </c>
      <c r="H22714" s="49">
        <f t="shared" si="2"/>
        <v>79308</v>
      </c>
    </row>
    <row r="22715">
      <c r="A22715" s="48" t="s">
        <v>2145</v>
      </c>
      <c r="B22715" s="38">
        <v>89254.0</v>
      </c>
      <c r="C22715" s="38" t="s">
        <v>27237</v>
      </c>
      <c r="D22715" s="38" t="str">
        <f>IFERROR(__xludf.DUMMYFUNCTION("REGEXREPLACE(C22715,""-\d+(.*)|--\d+(.*)"","""")"),"MEZILLES")</f>
        <v>MEZILLES</v>
      </c>
      <c r="E22715" s="38" t="s">
        <v>275</v>
      </c>
      <c r="F22715" s="38" t="s">
        <v>106</v>
      </c>
      <c r="G22715" s="49" t="str">
        <f t="shared" si="1"/>
        <v>89130</v>
      </c>
      <c r="H22715" s="49">
        <f t="shared" si="2"/>
        <v>89254</v>
      </c>
    </row>
    <row r="22716">
      <c r="A22716" s="48" t="s">
        <v>27238</v>
      </c>
      <c r="B22716" s="38">
        <v>45302.0</v>
      </c>
      <c r="C22716" s="38" t="s">
        <v>27239</v>
      </c>
      <c r="D22716" s="38" t="str">
        <f>IFERROR(__xludf.DUMMYFUNCTION("REGEXREPLACE(C22716,""-\d+(.*)|--\d+(.*)"","""")"),"SARAN")</f>
        <v>SARAN</v>
      </c>
      <c r="E22716" s="38" t="s">
        <v>122</v>
      </c>
      <c r="F22716" s="38" t="s">
        <v>123</v>
      </c>
      <c r="G22716" s="49" t="str">
        <f t="shared" si="1"/>
        <v>45770</v>
      </c>
      <c r="H22716" s="49">
        <f t="shared" si="2"/>
        <v>45302</v>
      </c>
    </row>
    <row r="22717">
      <c r="A22717" s="48" t="s">
        <v>9597</v>
      </c>
      <c r="B22717" s="38">
        <v>29052.0</v>
      </c>
      <c r="C22717" s="38" t="s">
        <v>27240</v>
      </c>
      <c r="D22717" s="38" t="str">
        <f>IFERROR(__xludf.DUMMYFUNCTION("REGEXREPLACE(C22717,""-\d+(.*)|--\d+(.*)"","""")"),"ESQUIBIEN")</f>
        <v>ESQUIBIEN</v>
      </c>
      <c r="E22717" s="38" t="s">
        <v>176</v>
      </c>
      <c r="F22717" s="38" t="s">
        <v>90</v>
      </c>
      <c r="G22717" s="49" t="str">
        <f t="shared" si="1"/>
        <v>29770</v>
      </c>
      <c r="H22717" s="49">
        <f t="shared" si="2"/>
        <v>29052</v>
      </c>
    </row>
    <row r="22718">
      <c r="A22718" s="48" t="s">
        <v>2225</v>
      </c>
      <c r="B22718" s="38">
        <v>22003.0</v>
      </c>
      <c r="C22718" s="38" t="s">
        <v>27241</v>
      </c>
      <c r="D22718" s="38" t="str">
        <f>IFERROR(__xludf.DUMMYFUNCTION("REGEXREPLACE(C22718,""-\d+(.*)|--\d+(.*)"","""")"),"AUCALEUC")</f>
        <v>AUCALEUC</v>
      </c>
      <c r="E22718" s="38" t="s">
        <v>89</v>
      </c>
      <c r="F22718" s="38" t="s">
        <v>90</v>
      </c>
      <c r="G22718" s="49" t="str">
        <f t="shared" si="1"/>
        <v>22100</v>
      </c>
      <c r="H22718" s="49">
        <f t="shared" si="2"/>
        <v>22003</v>
      </c>
    </row>
    <row r="22719">
      <c r="A22719" s="48" t="s">
        <v>5608</v>
      </c>
      <c r="B22719" s="38">
        <v>57027.0</v>
      </c>
      <c r="C22719" s="38" t="s">
        <v>27242</v>
      </c>
      <c r="D22719" s="38" t="str">
        <f>IFERROR(__xludf.DUMMYFUNCTION("REGEXREPLACE(C22719,""-\d+(.*)|--\d+(.*)"","""")"),"ARRAINCOURT")</f>
        <v>ARRAINCOURT</v>
      </c>
      <c r="E22719" s="38" t="s">
        <v>303</v>
      </c>
      <c r="F22719" s="38" t="s">
        <v>195</v>
      </c>
      <c r="G22719" s="49" t="str">
        <f t="shared" si="1"/>
        <v>57380</v>
      </c>
      <c r="H22719" s="49">
        <f t="shared" si="2"/>
        <v>57027</v>
      </c>
    </row>
    <row r="22720">
      <c r="A22720" s="48" t="s">
        <v>23580</v>
      </c>
      <c r="B22720" s="38">
        <v>87067.0</v>
      </c>
      <c r="C22720" s="38" t="s">
        <v>27243</v>
      </c>
      <c r="D22720" s="38" t="str">
        <f>IFERROR(__xludf.DUMMYFUNCTION("REGEXREPLACE(C22720,""-\d+(.*)|--\d+(.*)"","""")"),"FOLLES")</f>
        <v>FOLLES</v>
      </c>
      <c r="E22720" s="38" t="s">
        <v>897</v>
      </c>
      <c r="F22720" s="38" t="s">
        <v>98</v>
      </c>
      <c r="G22720" s="49" t="str">
        <f t="shared" si="1"/>
        <v>87250</v>
      </c>
      <c r="H22720" s="49">
        <f t="shared" si="2"/>
        <v>87067</v>
      </c>
    </row>
    <row r="22721">
      <c r="A22721" s="48" t="s">
        <v>13932</v>
      </c>
      <c r="B22721" s="38">
        <v>19016.0</v>
      </c>
      <c r="C22721" s="38" t="s">
        <v>27244</v>
      </c>
      <c r="D22721" s="38" t="str">
        <f>IFERROR(__xludf.DUMMYFUNCTION("REGEXREPLACE(C22721,""-\d+(.*)|--\d+(.*)"","""")"),"BAR")</f>
        <v>BAR</v>
      </c>
      <c r="E22721" s="38" t="s">
        <v>271</v>
      </c>
      <c r="F22721" s="38" t="s">
        <v>98</v>
      </c>
      <c r="G22721" s="49" t="str">
        <f t="shared" si="1"/>
        <v>19800</v>
      </c>
      <c r="H22721" s="49">
        <f t="shared" si="2"/>
        <v>19016</v>
      </c>
    </row>
    <row r="22722">
      <c r="A22722" s="48" t="s">
        <v>2408</v>
      </c>
      <c r="B22722" s="38">
        <v>30181.0</v>
      </c>
      <c r="C22722" s="38" t="s">
        <v>27245</v>
      </c>
      <c r="D22722" s="38" t="str">
        <f>IFERROR(__xludf.DUMMYFUNCTION("REGEXREPLACE(C22722,""-\d+(.*)|--\d+(.*)"","""")"),"MONTMIRAT")</f>
        <v>MONTMIRAT</v>
      </c>
      <c r="E22722" s="38" t="s">
        <v>526</v>
      </c>
      <c r="F22722" s="38" t="s">
        <v>119</v>
      </c>
      <c r="G22722" s="49" t="str">
        <f t="shared" si="1"/>
        <v>30260</v>
      </c>
      <c r="H22722" s="49">
        <f t="shared" si="2"/>
        <v>30181</v>
      </c>
    </row>
    <row r="22723">
      <c r="A22723" s="48" t="s">
        <v>14840</v>
      </c>
      <c r="B22723" s="38">
        <v>73069.0</v>
      </c>
      <c r="C22723" s="38" t="s">
        <v>27246</v>
      </c>
      <c r="D22723" s="38" t="str">
        <f>IFERROR(__xludf.DUMMYFUNCTION("REGEXREPLACE(C22723,""-\d+(.*)|--\d+(.*)"","""")"),"CHAMOUX-SUR-GELON")</f>
        <v>CHAMOUX-SUR-GELON</v>
      </c>
      <c r="E22723" s="38" t="s">
        <v>306</v>
      </c>
      <c r="F22723" s="38" t="s">
        <v>102</v>
      </c>
      <c r="G22723" s="49" t="str">
        <f t="shared" si="1"/>
        <v>73390</v>
      </c>
      <c r="H22723" s="49">
        <f t="shared" si="2"/>
        <v>73069</v>
      </c>
    </row>
    <row r="22724">
      <c r="A22724" s="48" t="s">
        <v>19492</v>
      </c>
      <c r="B22724" s="38">
        <v>71002.0</v>
      </c>
      <c r="C22724" s="38" t="s">
        <v>27247</v>
      </c>
      <c r="D22724" s="38" t="str">
        <f>IFERROR(__xludf.DUMMYFUNCTION("REGEXREPLACE(C22724,""-\d+(.*)|--\d+(.*)"","""")"),"L'ABERGEMENT-SAINTE-COLOMBE")</f>
        <v>L'ABERGEMENT-SAINTE-COLOMBE</v>
      </c>
      <c r="E22724" s="38" t="s">
        <v>344</v>
      </c>
      <c r="F22724" s="38" t="s">
        <v>106</v>
      </c>
      <c r="G22724" s="49" t="str">
        <f t="shared" si="1"/>
        <v>71370</v>
      </c>
      <c r="H22724" s="49">
        <f t="shared" si="2"/>
        <v>71002</v>
      </c>
    </row>
    <row r="22725">
      <c r="A22725" s="48" t="s">
        <v>2194</v>
      </c>
      <c r="B22725" s="38">
        <v>38199.0</v>
      </c>
      <c r="C22725" s="38" t="s">
        <v>27248</v>
      </c>
      <c r="D22725" s="38" t="str">
        <f>IFERROR(__xludf.DUMMYFUNCTION("REGEXREPLACE(C22725,""-\d+(.*)|--\d+(.*)"","""")"),"JARDIN")</f>
        <v>JARDIN</v>
      </c>
      <c r="E22725" s="38" t="s">
        <v>101</v>
      </c>
      <c r="F22725" s="38" t="s">
        <v>102</v>
      </c>
      <c r="G22725" s="49" t="str">
        <f t="shared" si="1"/>
        <v>38200</v>
      </c>
      <c r="H22725" s="49">
        <f t="shared" si="2"/>
        <v>38199</v>
      </c>
    </row>
    <row r="22726">
      <c r="A22726" s="48" t="s">
        <v>1872</v>
      </c>
      <c r="B22726" s="38">
        <v>80133.0</v>
      </c>
      <c r="C22726" s="38" t="s">
        <v>27249</v>
      </c>
      <c r="D22726" s="38" t="str">
        <f>IFERROR(__xludf.DUMMYFUNCTION("REGEXREPLACE(C22726,""-\d+(.*)|--\d+(.*)"","""")"),"BRAILLY-CORNEHOTTE")</f>
        <v>BRAILLY-CORNEHOTTE</v>
      </c>
      <c r="E22726" s="38" t="s">
        <v>224</v>
      </c>
      <c r="F22726" s="38" t="s">
        <v>113</v>
      </c>
      <c r="G22726" s="49" t="str">
        <f t="shared" si="1"/>
        <v>80150</v>
      </c>
      <c r="H22726" s="49">
        <f t="shared" si="2"/>
        <v>80133</v>
      </c>
    </row>
    <row r="22727">
      <c r="A22727" s="48" t="s">
        <v>940</v>
      </c>
      <c r="B22727" s="38">
        <v>51308.0</v>
      </c>
      <c r="C22727" s="38" t="s">
        <v>27250</v>
      </c>
      <c r="D22727" s="38" t="str">
        <f>IFERROR(__xludf.DUMMYFUNCTION("REGEXREPLACE(C22727,""-\d+(.*)|--\d+(.*)"","""")"),"JONCHERY-SUR-VESLE")</f>
        <v>JONCHERY-SUR-VESLE</v>
      </c>
      <c r="E22727" s="38" t="s">
        <v>129</v>
      </c>
      <c r="F22727" s="38" t="s">
        <v>130</v>
      </c>
      <c r="G22727" s="49" t="str">
        <f t="shared" si="1"/>
        <v>51140</v>
      </c>
      <c r="H22727" s="49">
        <f t="shared" si="2"/>
        <v>51308</v>
      </c>
    </row>
    <row r="22728">
      <c r="A22728" s="48" t="s">
        <v>22472</v>
      </c>
      <c r="B22728" s="38">
        <v>29120.0</v>
      </c>
      <c r="C22728" s="38" t="s">
        <v>27251</v>
      </c>
      <c r="D22728" s="38" t="str">
        <f>IFERROR(__xludf.DUMMYFUNCTION("REGEXREPLACE(C22728,""-\d+(.*)|--\d+(.*)"","""")"),"LANVEOC")</f>
        <v>LANVEOC</v>
      </c>
      <c r="E22728" s="38" t="s">
        <v>176</v>
      </c>
      <c r="F22728" s="38" t="s">
        <v>90</v>
      </c>
      <c r="G22728" s="49" t="str">
        <f t="shared" si="1"/>
        <v>29160</v>
      </c>
      <c r="H22728" s="49">
        <f t="shared" si="2"/>
        <v>29120</v>
      </c>
    </row>
    <row r="22729">
      <c r="A22729" s="48" t="s">
        <v>27252</v>
      </c>
      <c r="B22729" s="38">
        <v>37208.0</v>
      </c>
      <c r="C22729" s="38" t="s">
        <v>27253</v>
      </c>
      <c r="D22729" s="38" t="str">
        <f>IFERROR(__xludf.DUMMYFUNCTION("REGEXREPLACE(C22729,""-\d+(.*)|--\d+(.*)"","""")"),"SAINT-AVERTIN")</f>
        <v>SAINT-AVERTIN</v>
      </c>
      <c r="E22729" s="38" t="s">
        <v>205</v>
      </c>
      <c r="F22729" s="38" t="s">
        <v>123</v>
      </c>
      <c r="G22729" s="49" t="str">
        <f t="shared" si="1"/>
        <v>37550</v>
      </c>
      <c r="H22729" s="49">
        <f t="shared" si="2"/>
        <v>37208</v>
      </c>
    </row>
    <row r="22730">
      <c r="A22730" s="48" t="s">
        <v>16457</v>
      </c>
      <c r="B22730" s="38">
        <v>57316.0</v>
      </c>
      <c r="C22730" s="38" t="s">
        <v>27254</v>
      </c>
      <c r="D22730" s="38" t="str">
        <f>IFERROR(__xludf.DUMMYFUNCTION("REGEXREPLACE(C22730,""-\d+(.*)|--\d+(.*)"","""")"),"HENRIVILLE")</f>
        <v>HENRIVILLE</v>
      </c>
      <c r="E22730" s="38" t="s">
        <v>303</v>
      </c>
      <c r="F22730" s="38" t="s">
        <v>195</v>
      </c>
      <c r="G22730" s="49" t="str">
        <f t="shared" si="1"/>
        <v>57450</v>
      </c>
      <c r="H22730" s="49">
        <f t="shared" si="2"/>
        <v>57316</v>
      </c>
    </row>
    <row r="22731">
      <c r="A22731" s="48" t="s">
        <v>12015</v>
      </c>
      <c r="B22731" s="38">
        <v>25560.0</v>
      </c>
      <c r="C22731" s="38" t="s">
        <v>27255</v>
      </c>
      <c r="D22731" s="38" t="str">
        <f>IFERROR(__xludf.DUMMYFUNCTION("REGEXREPLACE(C22731,""-\d+(.*)|--\d+(.*)"","""")"),"THISE")</f>
        <v>THISE</v>
      </c>
      <c r="E22731" s="38" t="s">
        <v>213</v>
      </c>
      <c r="F22731" s="38" t="s">
        <v>214</v>
      </c>
      <c r="G22731" s="49" t="str">
        <f t="shared" si="1"/>
        <v>25220</v>
      </c>
      <c r="H22731" s="49">
        <f t="shared" si="2"/>
        <v>25560</v>
      </c>
    </row>
    <row r="22732">
      <c r="A22732" s="48" t="s">
        <v>6129</v>
      </c>
      <c r="B22732" s="38">
        <v>67349.0</v>
      </c>
      <c r="C22732" s="38" t="s">
        <v>27256</v>
      </c>
      <c r="D22732" s="38" t="str">
        <f>IFERROR(__xludf.DUMMYFUNCTION("REGEXREPLACE(C22732,""-\d+(.*)|--\d+(.*)"","""")"),"OBERROEDERN")</f>
        <v>OBERROEDERN</v>
      </c>
      <c r="E22732" s="38" t="s">
        <v>210</v>
      </c>
      <c r="F22732" s="38" t="s">
        <v>151</v>
      </c>
      <c r="G22732" s="49" t="str">
        <f t="shared" si="1"/>
        <v>67250</v>
      </c>
      <c r="H22732" s="49">
        <f t="shared" si="2"/>
        <v>67349</v>
      </c>
    </row>
    <row r="22733">
      <c r="A22733" s="48" t="s">
        <v>10765</v>
      </c>
      <c r="B22733" s="38">
        <v>36015.0</v>
      </c>
      <c r="C22733" s="38" t="s">
        <v>867</v>
      </c>
      <c r="D22733" s="38" t="str">
        <f>IFERROR(__xludf.DUMMYFUNCTION("REGEXREPLACE(C22733,""-\d+(.*)|--\d+(.*)"","""")"),"BEAULIEU")</f>
        <v>BEAULIEU</v>
      </c>
      <c r="E22733" s="38" t="s">
        <v>258</v>
      </c>
      <c r="F22733" s="38" t="s">
        <v>123</v>
      </c>
      <c r="G22733" s="49" t="str">
        <f t="shared" si="1"/>
        <v>36310</v>
      </c>
      <c r="H22733" s="49">
        <f t="shared" si="2"/>
        <v>36015</v>
      </c>
    </row>
    <row r="22734">
      <c r="A22734" s="48" t="s">
        <v>2723</v>
      </c>
      <c r="B22734" s="38">
        <v>50574.0</v>
      </c>
      <c r="C22734" s="38" t="s">
        <v>16377</v>
      </c>
      <c r="D22734" s="38" t="str">
        <f>IFERROR(__xludf.DUMMYFUNCTION("REGEXREPLACE(C22734,""-\d+(.*)|--\d+(.*)"","""")"),"SERVON")</f>
        <v>SERVON</v>
      </c>
      <c r="E22734" s="38" t="s">
        <v>157</v>
      </c>
      <c r="F22734" s="38" t="s">
        <v>138</v>
      </c>
      <c r="G22734" s="49" t="str">
        <f t="shared" si="1"/>
        <v>50170</v>
      </c>
      <c r="H22734" s="49">
        <f t="shared" si="2"/>
        <v>50574</v>
      </c>
    </row>
    <row r="22735">
      <c r="A22735" s="48" t="s">
        <v>27257</v>
      </c>
      <c r="B22735" s="38">
        <v>56233.0</v>
      </c>
      <c r="C22735" s="38" t="s">
        <v>9061</v>
      </c>
      <c r="D22735" s="38" t="str">
        <f>IFERROR(__xludf.DUMMYFUNCTION("REGEXREPLACE(C22735,""-\d+(.*)|--\d+(.*)"","""")"),"SAINT-PHILIBERT")</f>
        <v>SAINT-PHILIBERT</v>
      </c>
      <c r="E22735" s="38" t="s">
        <v>173</v>
      </c>
      <c r="F22735" s="38" t="s">
        <v>90</v>
      </c>
      <c r="G22735" s="49" t="str">
        <f t="shared" si="1"/>
        <v>56470</v>
      </c>
      <c r="H22735" s="49">
        <f t="shared" si="2"/>
        <v>56233</v>
      </c>
    </row>
    <row r="22736">
      <c r="A22736" s="48" t="s">
        <v>5262</v>
      </c>
      <c r="B22736" s="38">
        <v>15078.0</v>
      </c>
      <c r="C22736" s="38" t="s">
        <v>27258</v>
      </c>
      <c r="D22736" s="38" t="str">
        <f>IFERROR(__xludf.DUMMYFUNCTION("REGEXREPLACE(C22736,""-\d+(.*)|--\d+(.*)"","""")"),"JABRUN")</f>
        <v>JABRUN</v>
      </c>
      <c r="E22736" s="38" t="s">
        <v>632</v>
      </c>
      <c r="F22736" s="38" t="s">
        <v>161</v>
      </c>
      <c r="G22736" s="49" t="str">
        <f t="shared" si="1"/>
        <v>15110</v>
      </c>
      <c r="H22736" s="49">
        <f t="shared" si="2"/>
        <v>15078</v>
      </c>
    </row>
    <row r="22737">
      <c r="A22737" s="48" t="s">
        <v>2487</v>
      </c>
      <c r="B22737" s="38">
        <v>70296.0</v>
      </c>
      <c r="C22737" s="38" t="s">
        <v>27259</v>
      </c>
      <c r="D22737" s="38" t="str">
        <f>IFERROR(__xludf.DUMMYFUNCTION("REGEXREPLACE(C22737,""-\d+(.*)|--\d+(.*)"","""")"),"LARIANS-ET-MUNANS")</f>
        <v>LARIANS-ET-MUNANS</v>
      </c>
      <c r="E22737" s="38" t="s">
        <v>956</v>
      </c>
      <c r="F22737" s="38" t="s">
        <v>214</v>
      </c>
      <c r="G22737" s="49" t="str">
        <f t="shared" si="1"/>
        <v>70230</v>
      </c>
      <c r="H22737" s="49">
        <f t="shared" si="2"/>
        <v>70296</v>
      </c>
    </row>
    <row r="22738">
      <c r="A22738" s="48" t="s">
        <v>4178</v>
      </c>
      <c r="B22738" s="38">
        <v>25124.0</v>
      </c>
      <c r="C22738" s="38" t="s">
        <v>27260</v>
      </c>
      <c r="D22738" s="38" t="str">
        <f>IFERROR(__xludf.DUMMYFUNCTION("REGEXREPLACE(C22738,""-\d+(.*)|--\d+(.*)"","""")"),"CHARMAUVILLERS")</f>
        <v>CHARMAUVILLERS</v>
      </c>
      <c r="E22738" s="38" t="s">
        <v>213</v>
      </c>
      <c r="F22738" s="38" t="s">
        <v>214</v>
      </c>
      <c r="G22738" s="49" t="str">
        <f t="shared" si="1"/>
        <v>25470</v>
      </c>
      <c r="H22738" s="49">
        <f t="shared" si="2"/>
        <v>25124</v>
      </c>
    </row>
    <row r="22739">
      <c r="A22739" s="48" t="s">
        <v>1881</v>
      </c>
      <c r="B22739" s="38">
        <v>69177.0</v>
      </c>
      <c r="C22739" s="38" t="s">
        <v>27261</v>
      </c>
      <c r="D22739" s="38" t="str">
        <f>IFERROR(__xludf.DUMMYFUNCTION("REGEXREPLACE(C22739,""-\d+(.*)|--\d+(.*)"","""")"),"SOURCIEUX-LES-MINES")</f>
        <v>SOURCIEUX-LES-MINES</v>
      </c>
      <c r="E22739" s="38" t="s">
        <v>350</v>
      </c>
      <c r="F22739" s="38" t="s">
        <v>102</v>
      </c>
      <c r="G22739" s="49" t="str">
        <f t="shared" si="1"/>
        <v>69210</v>
      </c>
      <c r="H22739" s="49">
        <f t="shared" si="2"/>
        <v>69177</v>
      </c>
    </row>
    <row r="22740">
      <c r="A22740" s="48" t="s">
        <v>11838</v>
      </c>
      <c r="B22740" s="38">
        <v>57510.0</v>
      </c>
      <c r="C22740" s="38" t="s">
        <v>27262</v>
      </c>
      <c r="D22740" s="38" t="str">
        <f>IFERROR(__xludf.DUMMYFUNCTION("REGEXREPLACE(C22740,""-\d+(.*)|--\d+(.*)"","""")"),"NOISSEVILLE")</f>
        <v>NOISSEVILLE</v>
      </c>
      <c r="E22740" s="38" t="s">
        <v>303</v>
      </c>
      <c r="F22740" s="38" t="s">
        <v>195</v>
      </c>
      <c r="G22740" s="49" t="str">
        <f t="shared" si="1"/>
        <v>57645</v>
      </c>
      <c r="H22740" s="49">
        <f t="shared" si="2"/>
        <v>57510</v>
      </c>
    </row>
    <row r="22741">
      <c r="A22741" s="48" t="s">
        <v>27263</v>
      </c>
      <c r="B22741" s="38">
        <v>58117.0</v>
      </c>
      <c r="C22741" s="38" t="s">
        <v>27264</v>
      </c>
      <c r="D22741" s="38" t="str">
        <f>IFERROR(__xludf.DUMMYFUNCTION("REGEXREPLACE(C22741,""-\d+(.*)|--\d+(.*)"","""")"),"FOURCHAMBAULT")</f>
        <v>FOURCHAMBAULT</v>
      </c>
      <c r="E22741" s="38" t="s">
        <v>219</v>
      </c>
      <c r="F22741" s="38" t="s">
        <v>106</v>
      </c>
      <c r="G22741" s="49" t="str">
        <f t="shared" si="1"/>
        <v>58600</v>
      </c>
      <c r="H22741" s="49">
        <f t="shared" si="2"/>
        <v>58117</v>
      </c>
    </row>
    <row r="22742">
      <c r="A22742" s="48" t="s">
        <v>16304</v>
      </c>
      <c r="B22742" s="38">
        <v>87094.0</v>
      </c>
      <c r="C22742" s="38" t="s">
        <v>27265</v>
      </c>
      <c r="D22742" s="38" t="str">
        <f>IFERROR(__xludf.DUMMYFUNCTION("REGEXREPLACE(C22742,""-\d+(.*)|--\d+(.*)"","""")"),"MEILHAC")</f>
        <v>MEILHAC</v>
      </c>
      <c r="E22742" s="38" t="s">
        <v>897</v>
      </c>
      <c r="F22742" s="38" t="s">
        <v>98</v>
      </c>
      <c r="G22742" s="49" t="str">
        <f t="shared" si="1"/>
        <v>87800</v>
      </c>
      <c r="H22742" s="49">
        <f t="shared" si="2"/>
        <v>87094</v>
      </c>
    </row>
    <row r="22743">
      <c r="A22743" s="48" t="s">
        <v>7544</v>
      </c>
      <c r="B22743" s="38">
        <v>95580.0</v>
      </c>
      <c r="C22743" s="38" t="s">
        <v>27266</v>
      </c>
      <c r="D22743" s="38" t="str">
        <f>IFERROR(__xludf.DUMMYFUNCTION("REGEXREPLACE(C22743,""-\d+(.*)|--\d+(.*)"","""")"),"SAINT-WITZ")</f>
        <v>SAINT-WITZ</v>
      </c>
      <c r="E22743" s="38" t="s">
        <v>541</v>
      </c>
      <c r="F22743" s="38" t="s">
        <v>245</v>
      </c>
      <c r="G22743" s="49" t="str">
        <f t="shared" si="1"/>
        <v>95470</v>
      </c>
      <c r="H22743" s="49">
        <f t="shared" si="2"/>
        <v>95580</v>
      </c>
    </row>
    <row r="22744">
      <c r="A22744" s="48" t="s">
        <v>10578</v>
      </c>
      <c r="B22744" s="38">
        <v>79338.0</v>
      </c>
      <c r="C22744" s="38" t="s">
        <v>27267</v>
      </c>
      <c r="D22744" s="38" t="str">
        <f>IFERROR(__xludf.DUMMYFUNCTION("REGEXREPLACE(C22744,""-\d+(.*)|--\d+(.*)"","""")"),"VANZAY")</f>
        <v>VANZAY</v>
      </c>
      <c r="E22744" s="38" t="s">
        <v>337</v>
      </c>
      <c r="F22744" s="38" t="s">
        <v>338</v>
      </c>
      <c r="G22744" s="49" t="str">
        <f t="shared" si="1"/>
        <v>79120</v>
      </c>
      <c r="H22744" s="49">
        <f t="shared" si="2"/>
        <v>79338</v>
      </c>
    </row>
    <row r="22745">
      <c r="A22745" s="48" t="s">
        <v>2469</v>
      </c>
      <c r="B22745" s="38">
        <v>8251.0</v>
      </c>
      <c r="C22745" s="38" t="s">
        <v>27268</v>
      </c>
      <c r="D22745" s="38" t="str">
        <f>IFERROR(__xludf.DUMMYFUNCTION("REGEXREPLACE(C22745,""-\d+(.*)|--\d+(.*)"","""")"),"LEPRON-LES-VALLEES")</f>
        <v>LEPRON-LES-VALLEES</v>
      </c>
      <c r="E22745" s="38" t="s">
        <v>327</v>
      </c>
      <c r="F22745" s="38" t="s">
        <v>130</v>
      </c>
      <c r="G22745" s="49" t="str">
        <f t="shared" si="1"/>
        <v>08150</v>
      </c>
      <c r="H22745" s="49" t="str">
        <f t="shared" si="2"/>
        <v>08251</v>
      </c>
    </row>
    <row r="22746">
      <c r="A22746" s="48" t="s">
        <v>1262</v>
      </c>
      <c r="B22746" s="38">
        <v>11361.0</v>
      </c>
      <c r="C22746" s="38" t="s">
        <v>27269</v>
      </c>
      <c r="D22746" s="38" t="str">
        <f>IFERROR(__xludf.DUMMYFUNCTION("REGEXREPLACE(C22746,""-\d+(.*)|--\d+(.*)"","""")"),"SAINT-PAPOUL")</f>
        <v>SAINT-PAPOUL</v>
      </c>
      <c r="E22746" s="38" t="s">
        <v>278</v>
      </c>
      <c r="F22746" s="38" t="s">
        <v>119</v>
      </c>
      <c r="G22746" s="49" t="str">
        <f t="shared" si="1"/>
        <v>11400</v>
      </c>
      <c r="H22746" s="49">
        <f t="shared" si="2"/>
        <v>11361</v>
      </c>
    </row>
    <row r="22747">
      <c r="A22747" s="48" t="s">
        <v>12575</v>
      </c>
      <c r="B22747" s="38">
        <v>73194.0</v>
      </c>
      <c r="C22747" s="38" t="s">
        <v>27270</v>
      </c>
      <c r="D22747" s="38" t="str">
        <f>IFERROR(__xludf.DUMMYFUNCTION("REGEXREPLACE(C22747,""-\d+(.*)|--\d+(.*)"","""")"),"ORELLE")</f>
        <v>ORELLE</v>
      </c>
      <c r="E22747" s="38" t="s">
        <v>306</v>
      </c>
      <c r="F22747" s="38" t="s">
        <v>102</v>
      </c>
      <c r="G22747" s="49" t="str">
        <f t="shared" si="1"/>
        <v>73140</v>
      </c>
      <c r="H22747" s="49">
        <f t="shared" si="2"/>
        <v>73194</v>
      </c>
    </row>
    <row r="22748">
      <c r="A22748" s="48" t="s">
        <v>259</v>
      </c>
      <c r="B22748" s="38">
        <v>24347.0</v>
      </c>
      <c r="C22748" s="38" t="s">
        <v>27271</v>
      </c>
      <c r="D22748" s="38" t="str">
        <f>IFERROR(__xludf.DUMMYFUNCTION("REGEXREPLACE(C22748,""-\d+(.*)|--\d+(.*)"","""")"),"RAMPIEUX")</f>
        <v>RAMPIEUX</v>
      </c>
      <c r="E22748" s="38" t="s">
        <v>261</v>
      </c>
      <c r="F22748" s="38" t="s">
        <v>252</v>
      </c>
      <c r="G22748" s="49" t="str">
        <f t="shared" si="1"/>
        <v>24440</v>
      </c>
      <c r="H22748" s="49">
        <f t="shared" si="2"/>
        <v>24347</v>
      </c>
    </row>
    <row r="22749">
      <c r="A22749" s="48" t="s">
        <v>1477</v>
      </c>
      <c r="B22749" s="38">
        <v>61393.0</v>
      </c>
      <c r="C22749" s="38" t="s">
        <v>27272</v>
      </c>
      <c r="D22749" s="38" t="str">
        <f>IFERROR(__xludf.DUMMYFUNCTION("REGEXREPLACE(C22749,""-\d+(.*)|--\d+(.*)"","""")"),"SAINT-GERMAIN-DE-CLAIREFEUILLE")</f>
        <v>SAINT-GERMAIN-DE-CLAIREFEUILLE</v>
      </c>
      <c r="E22749" s="38" t="s">
        <v>141</v>
      </c>
      <c r="F22749" s="38" t="s">
        <v>138</v>
      </c>
      <c r="G22749" s="49" t="str">
        <f t="shared" si="1"/>
        <v>61240</v>
      </c>
      <c r="H22749" s="49">
        <f t="shared" si="2"/>
        <v>61393</v>
      </c>
    </row>
    <row r="22750">
      <c r="A22750" s="48" t="s">
        <v>1505</v>
      </c>
      <c r="B22750" s="38">
        <v>81266.0</v>
      </c>
      <c r="C22750" s="38" t="s">
        <v>27273</v>
      </c>
      <c r="D22750" s="38" t="str">
        <f>IFERROR(__xludf.DUMMYFUNCTION("REGEXREPLACE(C22750,""-\d+(.*)|--\d+(.*)"","""")"),"SAINT-PAUL-CAP-DE-JOUX")</f>
        <v>SAINT-PAUL-CAP-DE-JOUX</v>
      </c>
      <c r="E22750" s="38" t="s">
        <v>231</v>
      </c>
      <c r="F22750" s="38" t="s">
        <v>94</v>
      </c>
      <c r="G22750" s="49" t="str">
        <f t="shared" si="1"/>
        <v>81220</v>
      </c>
      <c r="H22750" s="49">
        <f t="shared" si="2"/>
        <v>81266</v>
      </c>
    </row>
    <row r="22751">
      <c r="A22751" s="48" t="s">
        <v>27274</v>
      </c>
      <c r="B22751" s="38">
        <v>80235.0</v>
      </c>
      <c r="C22751" s="38" t="s">
        <v>27275</v>
      </c>
      <c r="D22751" s="38" t="str">
        <f>IFERROR(__xludf.DUMMYFUNCTION("REGEXREPLACE(C22751,""-\d+(.*)|--\d+(.*)"","""")"),"DARGNIES")</f>
        <v>DARGNIES</v>
      </c>
      <c r="E22751" s="38" t="s">
        <v>224</v>
      </c>
      <c r="F22751" s="38" t="s">
        <v>113</v>
      </c>
      <c r="G22751" s="49" t="str">
        <f t="shared" si="1"/>
        <v>80570</v>
      </c>
      <c r="H22751" s="49">
        <f t="shared" si="2"/>
        <v>80235</v>
      </c>
    </row>
    <row r="22752">
      <c r="A22752" s="48" t="s">
        <v>3835</v>
      </c>
      <c r="B22752" s="38">
        <v>25442.0</v>
      </c>
      <c r="C22752" s="38" t="s">
        <v>27276</v>
      </c>
      <c r="D22752" s="38" t="str">
        <f>IFERROR(__xludf.DUMMYFUNCTION("REGEXREPLACE(C22752,""-\d+(.*)|--\d+(.*)"","""")"),"OYE-ET-PALLET")</f>
        <v>OYE-ET-PALLET</v>
      </c>
      <c r="E22752" s="38" t="s">
        <v>213</v>
      </c>
      <c r="F22752" s="38" t="s">
        <v>214</v>
      </c>
      <c r="G22752" s="49" t="str">
        <f t="shared" si="1"/>
        <v>25160</v>
      </c>
      <c r="H22752" s="49">
        <f t="shared" si="2"/>
        <v>25442</v>
      </c>
    </row>
    <row r="22753">
      <c r="A22753" s="48" t="s">
        <v>27277</v>
      </c>
      <c r="B22753" s="38">
        <v>30284.0</v>
      </c>
      <c r="C22753" s="38" t="s">
        <v>27278</v>
      </c>
      <c r="D22753" s="38" t="str">
        <f>IFERROR(__xludf.DUMMYFUNCTION("REGEXREPLACE(C22753,""-\d+(.*)|--\d+(.*)"","""")"),"SAINT-MARTIN-DE-VALGALGUES")</f>
        <v>SAINT-MARTIN-DE-VALGALGUES</v>
      </c>
      <c r="E22753" s="38" t="s">
        <v>526</v>
      </c>
      <c r="F22753" s="38" t="s">
        <v>119</v>
      </c>
      <c r="G22753" s="49" t="str">
        <f t="shared" si="1"/>
        <v>30520</v>
      </c>
      <c r="H22753" s="49">
        <f t="shared" si="2"/>
        <v>30284</v>
      </c>
    </row>
    <row r="22754">
      <c r="A22754" s="48" t="s">
        <v>1487</v>
      </c>
      <c r="B22754" s="38">
        <v>37033.0</v>
      </c>
      <c r="C22754" s="38" t="s">
        <v>20980</v>
      </c>
      <c r="D22754" s="38" t="str">
        <f>IFERROR(__xludf.DUMMYFUNCTION("REGEXREPLACE(C22754,""-\d+(.*)|--\d+(.*)"","""")"),"BOUSSAY")</f>
        <v>BOUSSAY</v>
      </c>
      <c r="E22754" s="38" t="s">
        <v>205</v>
      </c>
      <c r="F22754" s="38" t="s">
        <v>123</v>
      </c>
      <c r="G22754" s="49" t="str">
        <f t="shared" si="1"/>
        <v>37290</v>
      </c>
      <c r="H22754" s="49">
        <f t="shared" si="2"/>
        <v>37033</v>
      </c>
    </row>
    <row r="22755">
      <c r="A22755" s="48" t="s">
        <v>1143</v>
      </c>
      <c r="B22755" s="38">
        <v>52547.0</v>
      </c>
      <c r="C22755" s="38" t="s">
        <v>27279</v>
      </c>
      <c r="D22755" s="38" t="str">
        <f>IFERROR(__xludf.DUMMYFUNCTION("REGEXREPLACE(C22755,""-\d+(.*)|--\d+(.*)"","""")"),"VOUECOURT")</f>
        <v>VOUECOURT</v>
      </c>
      <c r="E22755" s="38" t="s">
        <v>234</v>
      </c>
      <c r="F22755" s="38" t="s">
        <v>130</v>
      </c>
      <c r="G22755" s="49" t="str">
        <f t="shared" si="1"/>
        <v>52320</v>
      </c>
      <c r="H22755" s="49">
        <f t="shared" si="2"/>
        <v>52547</v>
      </c>
    </row>
    <row r="22756">
      <c r="A22756" s="48" t="s">
        <v>1241</v>
      </c>
      <c r="B22756" s="38">
        <v>71225.0</v>
      </c>
      <c r="C22756" s="38" t="s">
        <v>27280</v>
      </c>
      <c r="D22756" s="38" t="str">
        <f>IFERROR(__xludf.DUMMYFUNCTION("REGEXREPLACE(C22756,""-\d+(.*)|--\d+(.*)"","""")"),"GRANGES")</f>
        <v>GRANGES</v>
      </c>
      <c r="E22756" s="38" t="s">
        <v>344</v>
      </c>
      <c r="F22756" s="38" t="s">
        <v>106</v>
      </c>
      <c r="G22756" s="49" t="str">
        <f t="shared" si="1"/>
        <v>71390</v>
      </c>
      <c r="H22756" s="49">
        <f t="shared" si="2"/>
        <v>71225</v>
      </c>
    </row>
    <row r="22757">
      <c r="A22757" s="48" t="s">
        <v>2995</v>
      </c>
      <c r="B22757" s="38">
        <v>28281.0</v>
      </c>
      <c r="C22757" s="38" t="s">
        <v>27281</v>
      </c>
      <c r="D22757" s="38" t="str">
        <f>IFERROR(__xludf.DUMMYFUNCTION("REGEXREPLACE(C22757,""-\d+(.*)|--\d+(.*)"","""")"),"NOGENT-SUR-EURE")</f>
        <v>NOGENT-SUR-EURE</v>
      </c>
      <c r="E22757" s="38" t="s">
        <v>300</v>
      </c>
      <c r="F22757" s="38" t="s">
        <v>123</v>
      </c>
      <c r="G22757" s="49" t="str">
        <f t="shared" si="1"/>
        <v>28120</v>
      </c>
      <c r="H22757" s="49">
        <f t="shared" si="2"/>
        <v>28281</v>
      </c>
    </row>
    <row r="22758">
      <c r="A22758" s="48" t="s">
        <v>3469</v>
      </c>
      <c r="B22758" s="38">
        <v>74144.0</v>
      </c>
      <c r="C22758" s="38" t="s">
        <v>27282</v>
      </c>
      <c r="D22758" s="38" t="str">
        <f>IFERROR(__xludf.DUMMYFUNCTION("REGEXREPLACE(C22758,""-\d+(.*)|--\d+(.*)"","""")"),"JONZIER-EPAGNY")</f>
        <v>JONZIER-EPAGNY</v>
      </c>
      <c r="E22758" s="38" t="s">
        <v>319</v>
      </c>
      <c r="F22758" s="38" t="s">
        <v>102</v>
      </c>
      <c r="G22758" s="49" t="str">
        <f t="shared" si="1"/>
        <v>74520</v>
      </c>
      <c r="H22758" s="49">
        <f t="shared" si="2"/>
        <v>74144</v>
      </c>
    </row>
    <row r="22759">
      <c r="A22759" s="48" t="s">
        <v>5636</v>
      </c>
      <c r="B22759" s="38">
        <v>40090.0</v>
      </c>
      <c r="C22759" s="38" t="s">
        <v>27283</v>
      </c>
      <c r="D22759" s="38" t="str">
        <f>IFERROR(__xludf.DUMMYFUNCTION("REGEXREPLACE(C22759,""-\d+(.*)|--\d+(.*)"","""")"),"DONZACQ")</f>
        <v>DONZACQ</v>
      </c>
      <c r="E22759" s="38" t="s">
        <v>281</v>
      </c>
      <c r="F22759" s="38" t="s">
        <v>252</v>
      </c>
      <c r="G22759" s="49" t="str">
        <f t="shared" si="1"/>
        <v>40360</v>
      </c>
      <c r="H22759" s="49">
        <f t="shared" si="2"/>
        <v>40090</v>
      </c>
    </row>
    <row r="22760">
      <c r="A22760" s="48" t="s">
        <v>2540</v>
      </c>
      <c r="B22760" s="38">
        <v>2094.0</v>
      </c>
      <c r="C22760" s="38" t="s">
        <v>27284</v>
      </c>
      <c r="D22760" s="38" t="str">
        <f>IFERROR(__xludf.DUMMYFUNCTION("REGEXREPLACE(C22760,""-\d+(.*)|--\d+(.*)"","""")"),"BLESMES")</f>
        <v>BLESMES</v>
      </c>
      <c r="E22760" s="38" t="s">
        <v>191</v>
      </c>
      <c r="F22760" s="38" t="s">
        <v>113</v>
      </c>
      <c r="G22760" s="49" t="str">
        <f t="shared" si="1"/>
        <v>02400</v>
      </c>
      <c r="H22760" s="49" t="str">
        <f t="shared" si="2"/>
        <v>02094</v>
      </c>
    </row>
    <row r="22761">
      <c r="A22761" s="48" t="s">
        <v>4898</v>
      </c>
      <c r="B22761" s="38">
        <v>27194.0</v>
      </c>
      <c r="C22761" s="38" t="s">
        <v>22280</v>
      </c>
      <c r="D22761" s="38" t="str">
        <f>IFERROR(__xludf.DUMMYFUNCTION("REGEXREPLACE(C22761,""-\d+(.*)|--\d+(.*)"","""")"),"CUVERVILLE")</f>
        <v>CUVERVILLE</v>
      </c>
      <c r="E22761" s="38" t="s">
        <v>241</v>
      </c>
      <c r="F22761" s="38" t="s">
        <v>134</v>
      </c>
      <c r="G22761" s="49" t="str">
        <f t="shared" si="1"/>
        <v>27700</v>
      </c>
      <c r="H22761" s="49">
        <f t="shared" si="2"/>
        <v>27194</v>
      </c>
    </row>
    <row r="22762">
      <c r="A22762" s="48" t="s">
        <v>7231</v>
      </c>
      <c r="B22762" s="38">
        <v>54012.0</v>
      </c>
      <c r="C22762" s="38" t="s">
        <v>25746</v>
      </c>
      <c r="D22762" s="38" t="str">
        <f>IFERROR(__xludf.DUMMYFUNCTION("REGEXREPLACE(C22762,""-\d+(.*)|--\d+(.*)"","""")"),"AMANCE")</f>
        <v>AMANCE</v>
      </c>
      <c r="E22762" s="38" t="s">
        <v>548</v>
      </c>
      <c r="F22762" s="38" t="s">
        <v>195</v>
      </c>
      <c r="G22762" s="49" t="str">
        <f t="shared" si="1"/>
        <v>54770</v>
      </c>
      <c r="H22762" s="49">
        <f t="shared" si="2"/>
        <v>54012</v>
      </c>
    </row>
    <row r="22763">
      <c r="A22763" s="48" t="s">
        <v>27285</v>
      </c>
      <c r="B22763" s="38">
        <v>57529.0</v>
      </c>
      <c r="C22763" s="38" t="s">
        <v>27286</v>
      </c>
      <c r="D22763" s="38" t="str">
        <f>IFERROR(__xludf.DUMMYFUNCTION("REGEXREPLACE(C22763,""-\d+(.*)|--\d+(.*)"","""")"),"OTTANGE")</f>
        <v>OTTANGE</v>
      </c>
      <c r="E22763" s="38" t="s">
        <v>303</v>
      </c>
      <c r="F22763" s="38" t="s">
        <v>195</v>
      </c>
      <c r="G22763" s="49" t="str">
        <f t="shared" si="1"/>
        <v>57840</v>
      </c>
      <c r="H22763" s="49">
        <f t="shared" si="2"/>
        <v>57529</v>
      </c>
    </row>
    <row r="22764">
      <c r="A22764" s="48" t="s">
        <v>5683</v>
      </c>
      <c r="B22764" s="38">
        <v>4042.0</v>
      </c>
      <c r="C22764" s="38" t="s">
        <v>27287</v>
      </c>
      <c r="D22764" s="38" t="str">
        <f>IFERROR(__xludf.DUMMYFUNCTION("REGEXREPLACE(C22764,""-\d+(.*)|--\d+(.*)"","""")"),"CASTELLET-LES-SAUSSES")</f>
        <v>CASTELLET-LES-SAUSSES</v>
      </c>
      <c r="E22764" s="38" t="s">
        <v>662</v>
      </c>
      <c r="F22764" s="38" t="s">
        <v>228</v>
      </c>
      <c r="G22764" s="49" t="str">
        <f t="shared" si="1"/>
        <v>04320</v>
      </c>
      <c r="H22764" s="49" t="str">
        <f t="shared" si="2"/>
        <v>04042</v>
      </c>
    </row>
    <row r="22765">
      <c r="A22765" s="48" t="s">
        <v>12407</v>
      </c>
      <c r="B22765" s="38">
        <v>38252.0</v>
      </c>
      <c r="C22765" s="38" t="s">
        <v>27288</v>
      </c>
      <c r="D22765" s="38" t="str">
        <f>IFERROR(__xludf.DUMMYFUNCTION("REGEXREPLACE(C22765,""-\d+(.*)|--\d+(.*)"","""")"),"MONTCHABOUD")</f>
        <v>MONTCHABOUD</v>
      </c>
      <c r="E22765" s="38" t="s">
        <v>101</v>
      </c>
      <c r="F22765" s="38" t="s">
        <v>102</v>
      </c>
      <c r="G22765" s="49" t="str">
        <f t="shared" si="1"/>
        <v>38220</v>
      </c>
      <c r="H22765" s="49">
        <f t="shared" si="2"/>
        <v>38252</v>
      </c>
    </row>
    <row r="22766">
      <c r="A22766" s="48" t="s">
        <v>3450</v>
      </c>
      <c r="B22766" s="38">
        <v>60676.0</v>
      </c>
      <c r="C22766" s="38" t="s">
        <v>12745</v>
      </c>
      <c r="D22766" s="38" t="str">
        <f>IFERROR(__xludf.DUMMYFUNCTION("REGEXREPLACE(C22766,""-\d+(.*)|--\d+(.*)"","""")"),"VILLE")</f>
        <v>VILLE</v>
      </c>
      <c r="E22766" s="38" t="s">
        <v>112</v>
      </c>
      <c r="F22766" s="38" t="s">
        <v>113</v>
      </c>
      <c r="G22766" s="49" t="str">
        <f t="shared" si="1"/>
        <v>60400</v>
      </c>
      <c r="H22766" s="49">
        <f t="shared" si="2"/>
        <v>60676</v>
      </c>
    </row>
    <row r="22767">
      <c r="A22767" s="48" t="s">
        <v>3763</v>
      </c>
      <c r="B22767" s="38">
        <v>76700.0</v>
      </c>
      <c r="C22767" s="38" t="s">
        <v>27289</v>
      </c>
      <c r="D22767" s="38" t="str">
        <f>IFERROR(__xludf.DUMMYFUNCTION("REGEXREPLACE(C22767,""-\d+(.*)|--\d+(.*)"","""")"),"TOTES")</f>
        <v>TOTES</v>
      </c>
      <c r="E22767" s="38" t="s">
        <v>133</v>
      </c>
      <c r="F22767" s="38" t="s">
        <v>134</v>
      </c>
      <c r="G22767" s="49" t="str">
        <f t="shared" si="1"/>
        <v>76890</v>
      </c>
      <c r="H22767" s="49">
        <f t="shared" si="2"/>
        <v>76700</v>
      </c>
    </row>
    <row r="22768">
      <c r="A22768" s="48" t="s">
        <v>702</v>
      </c>
      <c r="B22768" s="38">
        <v>31314.0</v>
      </c>
      <c r="C22768" s="38" t="s">
        <v>27290</v>
      </c>
      <c r="D22768" s="38" t="str">
        <f>IFERROR(__xludf.DUMMYFUNCTION("REGEXREPLACE(C22768,""-\d+(.*)|--\d+(.*)"","""")"),"MANCIOUX")</f>
        <v>MANCIOUX</v>
      </c>
      <c r="E22768" s="38" t="s">
        <v>93</v>
      </c>
      <c r="F22768" s="38" t="s">
        <v>94</v>
      </c>
      <c r="G22768" s="49" t="str">
        <f t="shared" si="1"/>
        <v>31360</v>
      </c>
      <c r="H22768" s="49">
        <f t="shared" si="2"/>
        <v>31314</v>
      </c>
    </row>
    <row r="22769">
      <c r="A22769" s="48" t="s">
        <v>398</v>
      </c>
      <c r="B22769" s="38">
        <v>39298.0</v>
      </c>
      <c r="C22769" s="38" t="s">
        <v>27291</v>
      </c>
      <c r="D22769" s="38" t="str">
        <f>IFERROR(__xludf.DUMMYFUNCTION("REGEXREPLACE(C22769,""-\d+(.*)|--\d+(.*)"","""")"),"LONGCOCHON")</f>
        <v>LONGCOCHON</v>
      </c>
      <c r="E22769" s="38" t="s">
        <v>400</v>
      </c>
      <c r="F22769" s="38" t="s">
        <v>214</v>
      </c>
      <c r="G22769" s="49" t="str">
        <f t="shared" si="1"/>
        <v>39250</v>
      </c>
      <c r="H22769" s="49">
        <f t="shared" si="2"/>
        <v>39298</v>
      </c>
    </row>
    <row r="22770">
      <c r="A22770" s="48" t="s">
        <v>10131</v>
      </c>
      <c r="B22770" s="38">
        <v>22238.0</v>
      </c>
      <c r="C22770" s="38" t="s">
        <v>27292</v>
      </c>
      <c r="D22770" s="38" t="str">
        <f>IFERROR(__xludf.DUMMYFUNCTION("REGEXREPLACE(C22770,""-\d+(.*)|--\d+(.*)"","""")"),"PLUFUR")</f>
        <v>PLUFUR</v>
      </c>
      <c r="E22770" s="38" t="s">
        <v>89</v>
      </c>
      <c r="F22770" s="38" t="s">
        <v>90</v>
      </c>
      <c r="G22770" s="49" t="str">
        <f t="shared" si="1"/>
        <v>22310</v>
      </c>
      <c r="H22770" s="49">
        <f t="shared" si="2"/>
        <v>22238</v>
      </c>
    </row>
    <row r="22771">
      <c r="A22771" s="48" t="s">
        <v>6189</v>
      </c>
      <c r="B22771" s="38">
        <v>32326.0</v>
      </c>
      <c r="C22771" s="38" t="s">
        <v>27293</v>
      </c>
      <c r="D22771" s="38" t="str">
        <f>IFERROR(__xludf.DUMMYFUNCTION("REGEXREPLACE(C22771,""-\d+(.*)|--\d+(.*)"","""")"),"POUYLEBON")</f>
        <v>POUYLEBON</v>
      </c>
      <c r="E22771" s="38" t="s">
        <v>440</v>
      </c>
      <c r="F22771" s="38" t="s">
        <v>94</v>
      </c>
      <c r="G22771" s="49" t="str">
        <f t="shared" si="1"/>
        <v>32320</v>
      </c>
      <c r="H22771" s="49">
        <f t="shared" si="2"/>
        <v>32326</v>
      </c>
    </row>
    <row r="22772">
      <c r="A22772" s="48" t="s">
        <v>5712</v>
      </c>
      <c r="B22772" s="38">
        <v>89075.0</v>
      </c>
      <c r="C22772" s="38" t="s">
        <v>27294</v>
      </c>
      <c r="D22772" s="38" t="str">
        <f>IFERROR(__xludf.DUMMYFUNCTION("REGEXREPLACE(C22772,""-\d+(.*)|--\d+(.*)"","""")"),"CHAMPLAY")</f>
        <v>CHAMPLAY</v>
      </c>
      <c r="E22772" s="38" t="s">
        <v>275</v>
      </c>
      <c r="F22772" s="38" t="s">
        <v>106</v>
      </c>
      <c r="G22772" s="49" t="str">
        <f t="shared" si="1"/>
        <v>89300</v>
      </c>
      <c r="H22772" s="49">
        <f t="shared" si="2"/>
        <v>89075</v>
      </c>
    </row>
    <row r="22773">
      <c r="A22773" s="48" t="s">
        <v>1798</v>
      </c>
      <c r="B22773" s="38">
        <v>28077.0</v>
      </c>
      <c r="C22773" s="38" t="s">
        <v>27295</v>
      </c>
      <c r="D22773" s="38" t="str">
        <f>IFERROR(__xludf.DUMMYFUNCTION("REGEXREPLACE(C22773,""-\d+(.*)|--\d+(.*)"","""")"),"LA CHAPELLE-FORTIN")</f>
        <v>LA CHAPELLE-FORTIN</v>
      </c>
      <c r="E22773" s="38" t="s">
        <v>300</v>
      </c>
      <c r="F22773" s="38" t="s">
        <v>123</v>
      </c>
      <c r="G22773" s="49" t="str">
        <f t="shared" si="1"/>
        <v>28340</v>
      </c>
      <c r="H22773" s="49">
        <f t="shared" si="2"/>
        <v>28077</v>
      </c>
    </row>
    <row r="22774">
      <c r="A22774" s="48" t="s">
        <v>11123</v>
      </c>
      <c r="B22774" s="38">
        <v>38557.0</v>
      </c>
      <c r="C22774" s="38" t="s">
        <v>27296</v>
      </c>
      <c r="D22774" s="38" t="str">
        <f>IFERROR(__xludf.DUMMYFUNCTION("REGEXREPLACE(C22774,""-\d+(.*)|--\d+(.*)"","""")"),"VILLETTE-D'ANTHON")</f>
        <v>VILLETTE-D'ANTHON</v>
      </c>
      <c r="E22774" s="38" t="s">
        <v>101</v>
      </c>
      <c r="F22774" s="38" t="s">
        <v>102</v>
      </c>
      <c r="G22774" s="49" t="str">
        <f t="shared" si="1"/>
        <v>38280</v>
      </c>
      <c r="H22774" s="49">
        <f t="shared" si="2"/>
        <v>38557</v>
      </c>
    </row>
    <row r="22775">
      <c r="A22775" s="48" t="s">
        <v>4924</v>
      </c>
      <c r="B22775" s="38">
        <v>56032.0</v>
      </c>
      <c r="C22775" s="38" t="s">
        <v>27297</v>
      </c>
      <c r="D22775" s="38" t="str">
        <f>IFERROR(__xludf.DUMMYFUNCTION("REGEXREPLACE(C22775,""-\d+(.*)|--\d+(.*)"","""")"),"CAMPENEAC")</f>
        <v>CAMPENEAC</v>
      </c>
      <c r="E22775" s="38" t="s">
        <v>173</v>
      </c>
      <c r="F22775" s="38" t="s">
        <v>90</v>
      </c>
      <c r="G22775" s="49" t="str">
        <f t="shared" si="1"/>
        <v>56800</v>
      </c>
      <c r="H22775" s="49">
        <f t="shared" si="2"/>
        <v>56032</v>
      </c>
    </row>
    <row r="22776">
      <c r="A22776" s="48" t="s">
        <v>3175</v>
      </c>
      <c r="B22776" s="38">
        <v>65007.0</v>
      </c>
      <c r="C22776" s="38" t="s">
        <v>27298</v>
      </c>
      <c r="D22776" s="38" t="str">
        <f>IFERROR(__xludf.DUMMYFUNCTION("REGEXREPLACE(C22776,""-\d+(.*)|--\d+(.*)"","""")"),"ANDREST")</f>
        <v>ANDREST</v>
      </c>
      <c r="E22776" s="38" t="s">
        <v>200</v>
      </c>
      <c r="F22776" s="38" t="s">
        <v>94</v>
      </c>
      <c r="G22776" s="49" t="str">
        <f t="shared" si="1"/>
        <v>65390</v>
      </c>
      <c r="H22776" s="49">
        <f t="shared" si="2"/>
        <v>65007</v>
      </c>
    </row>
    <row r="22777">
      <c r="A22777" s="48" t="s">
        <v>12522</v>
      </c>
      <c r="B22777" s="38">
        <v>59313.0</v>
      </c>
      <c r="C22777" s="38" t="s">
        <v>27299</v>
      </c>
      <c r="D22777" s="38" t="str">
        <f>IFERROR(__xludf.DUMMYFUNCTION("REGEXREPLACE(C22777,""-\d+(.*)|--\d+(.*)"","""")"),"HORDAIN")</f>
        <v>HORDAIN</v>
      </c>
      <c r="E22777" s="38" t="s">
        <v>85</v>
      </c>
      <c r="F22777" s="38" t="s">
        <v>86</v>
      </c>
      <c r="G22777" s="49" t="str">
        <f t="shared" si="1"/>
        <v>59111</v>
      </c>
      <c r="H22777" s="49">
        <f t="shared" si="2"/>
        <v>59313</v>
      </c>
    </row>
    <row r="22778">
      <c r="A22778" s="48" t="s">
        <v>4199</v>
      </c>
      <c r="B22778" s="38">
        <v>17269.0</v>
      </c>
      <c r="C22778" s="38" t="s">
        <v>27300</v>
      </c>
      <c r="D22778" s="38" t="str">
        <f>IFERROR(__xludf.DUMMYFUNCTION("REGEXREPLACE(C22778,""-\d+(.*)|--\d+(.*)"","""")"),"ORIGNOLLES")</f>
        <v>ORIGNOLLES</v>
      </c>
      <c r="E22778" s="38" t="s">
        <v>488</v>
      </c>
      <c r="F22778" s="38" t="s">
        <v>338</v>
      </c>
      <c r="G22778" s="49" t="str">
        <f t="shared" si="1"/>
        <v>17210</v>
      </c>
      <c r="H22778" s="49">
        <f t="shared" si="2"/>
        <v>17269</v>
      </c>
    </row>
    <row r="22779">
      <c r="A22779" s="48" t="s">
        <v>15028</v>
      </c>
      <c r="B22779" s="38">
        <v>79325.0</v>
      </c>
      <c r="C22779" s="38" t="s">
        <v>27301</v>
      </c>
      <c r="D22779" s="38" t="str">
        <f>IFERROR(__xludf.DUMMYFUNCTION("REGEXREPLACE(C22779,""-\d+(.*)|--\d+(.*)"","""")"),"TESSONNIERE")</f>
        <v>TESSONNIERE</v>
      </c>
      <c r="E22779" s="38" t="s">
        <v>337</v>
      </c>
      <c r="F22779" s="38" t="s">
        <v>338</v>
      </c>
      <c r="G22779" s="49" t="str">
        <f t="shared" si="1"/>
        <v>79600</v>
      </c>
      <c r="H22779" s="49">
        <f t="shared" si="2"/>
        <v>79325</v>
      </c>
    </row>
    <row r="22780">
      <c r="A22780" s="48" t="s">
        <v>643</v>
      </c>
      <c r="B22780" s="38">
        <v>88090.0</v>
      </c>
      <c r="C22780" s="38" t="s">
        <v>1442</v>
      </c>
      <c r="D22780" s="38" t="str">
        <f>IFERROR(__xludf.DUMMYFUNCTION("REGEXREPLACE(C22780,""-\d+(.*)|--\d+(.*)"","""")"),"CHARMES")</f>
        <v>CHARMES</v>
      </c>
      <c r="E22780" s="38" t="s">
        <v>194</v>
      </c>
      <c r="F22780" s="38" t="s">
        <v>195</v>
      </c>
      <c r="G22780" s="49" t="str">
        <f t="shared" si="1"/>
        <v>88130</v>
      </c>
      <c r="H22780" s="49">
        <f t="shared" si="2"/>
        <v>88090</v>
      </c>
    </row>
    <row r="22781">
      <c r="A22781" s="48" t="s">
        <v>1740</v>
      </c>
      <c r="B22781" s="38">
        <v>26194.0</v>
      </c>
      <c r="C22781" s="38" t="s">
        <v>27302</v>
      </c>
      <c r="D22781" s="38" t="str">
        <f>IFERROR(__xludf.DUMMYFUNCTION("REGEXREPLACE(C22781,""-\d+(.*)|--\d+(.*)"","""")"),"MONTCHENU")</f>
        <v>MONTCHENU</v>
      </c>
      <c r="E22781" s="38" t="s">
        <v>126</v>
      </c>
      <c r="F22781" s="38" t="s">
        <v>102</v>
      </c>
      <c r="G22781" s="49" t="str">
        <f t="shared" si="1"/>
        <v>26350</v>
      </c>
      <c r="H22781" s="49">
        <f t="shared" si="2"/>
        <v>26194</v>
      </c>
    </row>
    <row r="22782">
      <c r="A22782" s="48" t="s">
        <v>1560</v>
      </c>
      <c r="B22782" s="38">
        <v>14625.0</v>
      </c>
      <c r="C22782" s="38" t="s">
        <v>27303</v>
      </c>
      <c r="D22782" s="38" t="str">
        <f>IFERROR(__xludf.DUMMYFUNCTION("REGEXREPLACE(C22782,""-\d+(.*)|--\d+(.*)"","""")"),"SAINT-MARTIN-DE-LA-LIEUE")</f>
        <v>SAINT-MARTIN-DE-LA-LIEUE</v>
      </c>
      <c r="E22782" s="38" t="s">
        <v>137</v>
      </c>
      <c r="F22782" s="38" t="s">
        <v>138</v>
      </c>
      <c r="G22782" s="49" t="str">
        <f t="shared" si="1"/>
        <v>14100</v>
      </c>
      <c r="H22782" s="49">
        <f t="shared" si="2"/>
        <v>14625</v>
      </c>
    </row>
    <row r="22783">
      <c r="A22783" s="48" t="s">
        <v>22577</v>
      </c>
      <c r="B22783" s="38">
        <v>50611.0</v>
      </c>
      <c r="C22783" s="38" t="s">
        <v>27304</v>
      </c>
      <c r="D22783" s="38" t="str">
        <f>IFERROR(__xludf.DUMMYFUNCTION("REGEXREPLACE(C22783,""-\d+(.*)|--\d+(.*)"","""")"),"URVILLE-NACQUEVILLE")</f>
        <v>URVILLE-NACQUEVILLE</v>
      </c>
      <c r="E22783" s="38" t="s">
        <v>157</v>
      </c>
      <c r="F22783" s="38" t="s">
        <v>138</v>
      </c>
      <c r="G22783" s="49" t="str">
        <f t="shared" si="1"/>
        <v>50460</v>
      </c>
      <c r="H22783" s="49">
        <f t="shared" si="2"/>
        <v>50611</v>
      </c>
    </row>
    <row r="22784">
      <c r="A22784" s="48" t="s">
        <v>14115</v>
      </c>
      <c r="B22784" s="38">
        <v>77435.0</v>
      </c>
      <c r="C22784" s="38" t="s">
        <v>27305</v>
      </c>
      <c r="D22784" s="38" t="str">
        <f>IFERROR(__xludf.DUMMYFUNCTION("REGEXREPLACE(C22784,""-\d+(.*)|--\d+(.*)"","""")"),"SAINT-SAUVEUR-SUR-ECOLE")</f>
        <v>SAINT-SAUVEUR-SUR-ECOLE</v>
      </c>
      <c r="E22784" s="38" t="s">
        <v>244</v>
      </c>
      <c r="F22784" s="38" t="s">
        <v>245</v>
      </c>
      <c r="G22784" s="49" t="str">
        <f t="shared" si="1"/>
        <v>77930</v>
      </c>
      <c r="H22784" s="49">
        <f t="shared" si="2"/>
        <v>77435</v>
      </c>
    </row>
    <row r="22785">
      <c r="A22785" s="48" t="s">
        <v>333</v>
      </c>
      <c r="B22785" s="38">
        <v>43250.0</v>
      </c>
      <c r="C22785" s="38" t="s">
        <v>27306</v>
      </c>
      <c r="D22785" s="38" t="str">
        <f>IFERROR(__xludf.DUMMYFUNCTION("REGEXREPLACE(C22785,""-\d+(.*)|--\d+(.*)"","""")"),"VALS-LE-CHASTEL")</f>
        <v>VALS-LE-CHASTEL</v>
      </c>
      <c r="E22785" s="38" t="s">
        <v>332</v>
      </c>
      <c r="F22785" s="38" t="s">
        <v>161</v>
      </c>
      <c r="G22785" s="49" t="str">
        <f t="shared" si="1"/>
        <v>43230</v>
      </c>
      <c r="H22785" s="49">
        <f t="shared" si="2"/>
        <v>43250</v>
      </c>
    </row>
    <row r="22786">
      <c r="A22786" s="48" t="s">
        <v>4882</v>
      </c>
      <c r="B22786" s="38">
        <v>89123.0</v>
      </c>
      <c r="C22786" s="38" t="s">
        <v>27307</v>
      </c>
      <c r="D22786" s="38" t="str">
        <f>IFERROR(__xludf.DUMMYFUNCTION("REGEXREPLACE(C22786,""-\d+(.*)|--\d+(.*)"","""")"),"COURGIS")</f>
        <v>COURGIS</v>
      </c>
      <c r="E22786" s="38" t="s">
        <v>275</v>
      </c>
      <c r="F22786" s="38" t="s">
        <v>106</v>
      </c>
      <c r="G22786" s="49" t="str">
        <f t="shared" si="1"/>
        <v>89800</v>
      </c>
      <c r="H22786" s="49">
        <f t="shared" si="2"/>
        <v>89123</v>
      </c>
    </row>
    <row r="22787">
      <c r="A22787" s="48" t="s">
        <v>8103</v>
      </c>
      <c r="B22787" s="38">
        <v>55551.0</v>
      </c>
      <c r="C22787" s="38" t="s">
        <v>27308</v>
      </c>
      <c r="D22787" s="38" t="str">
        <f>IFERROR(__xludf.DUMMYFUNCTION("REGEXREPLACE(C22787,""-\d+(.*)|--\d+(.*)"","""")"),"VIGNEULLES-LES-HATTONCHATEL")</f>
        <v>VIGNEULLES-LES-HATTONCHATEL</v>
      </c>
      <c r="E22787" s="38" t="s">
        <v>322</v>
      </c>
      <c r="F22787" s="38" t="s">
        <v>195</v>
      </c>
      <c r="G22787" s="49" t="str">
        <f t="shared" si="1"/>
        <v>55210</v>
      </c>
      <c r="H22787" s="49">
        <f t="shared" si="2"/>
        <v>55551</v>
      </c>
    </row>
    <row r="22788">
      <c r="A22788" s="48" t="s">
        <v>618</v>
      </c>
      <c r="B22788" s="38">
        <v>54237.0</v>
      </c>
      <c r="C22788" s="38" t="s">
        <v>27309</v>
      </c>
      <c r="D22788" s="38" t="str">
        <f>IFERROR(__xludf.DUMMYFUNCTION("REGEXREPLACE(C22788,""-\d+(.*)|--\d+(.*)"","""")"),"GRIMONVILLER")</f>
        <v>GRIMONVILLER</v>
      </c>
      <c r="E22788" s="38" t="s">
        <v>548</v>
      </c>
      <c r="F22788" s="38" t="s">
        <v>195</v>
      </c>
      <c r="G22788" s="49" t="str">
        <f t="shared" si="1"/>
        <v>54115</v>
      </c>
      <c r="H22788" s="49">
        <f t="shared" si="2"/>
        <v>54237</v>
      </c>
    </row>
    <row r="22789">
      <c r="A22789" s="48" t="s">
        <v>11428</v>
      </c>
      <c r="B22789" s="38">
        <v>42079.0</v>
      </c>
      <c r="C22789" s="38" t="s">
        <v>27310</v>
      </c>
      <c r="D22789" s="38" t="str">
        <f>IFERROR(__xludf.DUMMYFUNCTION("REGEXREPLACE(C22789,""-\d+(.*)|--\d+(.*)"","""")"),"CUINZIER")</f>
        <v>CUINZIER</v>
      </c>
      <c r="E22789" s="38" t="s">
        <v>166</v>
      </c>
      <c r="F22789" s="38" t="s">
        <v>102</v>
      </c>
      <c r="G22789" s="49" t="str">
        <f t="shared" si="1"/>
        <v>42460</v>
      </c>
      <c r="H22789" s="49">
        <f t="shared" si="2"/>
        <v>42079</v>
      </c>
    </row>
    <row r="22790">
      <c r="A22790" s="48" t="s">
        <v>1124</v>
      </c>
      <c r="B22790" s="38">
        <v>61028.0</v>
      </c>
      <c r="C22790" s="38" t="s">
        <v>27311</v>
      </c>
      <c r="D22790" s="38" t="str">
        <f>IFERROR(__xludf.DUMMYFUNCTION("REGEXREPLACE(C22790,""-\d+(.*)|--\d+(.*)"","""")"),"BAZOCHES-AU-HOULME")</f>
        <v>BAZOCHES-AU-HOULME</v>
      </c>
      <c r="E22790" s="38" t="s">
        <v>141</v>
      </c>
      <c r="F22790" s="38" t="s">
        <v>138</v>
      </c>
      <c r="G22790" s="49" t="str">
        <f t="shared" si="1"/>
        <v>61210</v>
      </c>
      <c r="H22790" s="49">
        <f t="shared" si="2"/>
        <v>61028</v>
      </c>
    </row>
    <row r="22791">
      <c r="A22791" s="48" t="s">
        <v>3618</v>
      </c>
      <c r="B22791" s="38">
        <v>31092.0</v>
      </c>
      <c r="C22791" s="38" t="s">
        <v>27312</v>
      </c>
      <c r="D22791" s="38" t="str">
        <f>IFERROR(__xludf.DUMMYFUNCTION("REGEXREPLACE(C22791,""-\d+(.*)|--\d+(.*)"","""")"),"BURGALAYS")</f>
        <v>BURGALAYS</v>
      </c>
      <c r="E22791" s="38" t="s">
        <v>93</v>
      </c>
      <c r="F22791" s="38" t="s">
        <v>94</v>
      </c>
      <c r="G22791" s="49" t="str">
        <f t="shared" si="1"/>
        <v>31440</v>
      </c>
      <c r="H22791" s="49">
        <f t="shared" si="2"/>
        <v>31092</v>
      </c>
    </row>
    <row r="22792">
      <c r="A22792" s="48" t="s">
        <v>3558</v>
      </c>
      <c r="B22792" s="38">
        <v>80342.0</v>
      </c>
      <c r="C22792" s="38" t="s">
        <v>27313</v>
      </c>
      <c r="D22792" s="38" t="str">
        <f>IFERROR(__xludf.DUMMYFUNCTION("REGEXREPLACE(C22792,""-\d+(.*)|--\d+(.*)"","""")"),"FRAMERVILLE-RAINECOURT")</f>
        <v>FRAMERVILLE-RAINECOURT</v>
      </c>
      <c r="E22792" s="38" t="s">
        <v>224</v>
      </c>
      <c r="F22792" s="38" t="s">
        <v>113</v>
      </c>
      <c r="G22792" s="49" t="str">
        <f t="shared" si="1"/>
        <v>80131</v>
      </c>
      <c r="H22792" s="49">
        <f t="shared" si="2"/>
        <v>80342</v>
      </c>
    </row>
    <row r="22793">
      <c r="A22793" s="48" t="s">
        <v>1926</v>
      </c>
      <c r="B22793" s="38">
        <v>28346.0</v>
      </c>
      <c r="C22793" s="38" t="s">
        <v>27314</v>
      </c>
      <c r="D22793" s="38" t="str">
        <f>IFERROR(__xludf.DUMMYFUNCTION("REGEXREPLACE(C22793,""-\d+(.*)|--\d+(.*)"","""")"),"SAINT-LUBIN-DE-CRAVANT")</f>
        <v>SAINT-LUBIN-DE-CRAVANT</v>
      </c>
      <c r="E22793" s="38" t="s">
        <v>300</v>
      </c>
      <c r="F22793" s="38" t="s">
        <v>123</v>
      </c>
      <c r="G22793" s="49" t="str">
        <f t="shared" si="1"/>
        <v>28270</v>
      </c>
      <c r="H22793" s="49">
        <f t="shared" si="2"/>
        <v>28346</v>
      </c>
    </row>
    <row r="22794">
      <c r="A22794" s="48" t="s">
        <v>12159</v>
      </c>
      <c r="B22794" s="38" t="s">
        <v>27315</v>
      </c>
      <c r="C22794" s="38" t="s">
        <v>27316</v>
      </c>
      <c r="D22794" s="38" t="str">
        <f>IFERROR(__xludf.DUMMYFUNCTION("REGEXREPLACE(C22794,""-\d+(.*)|--\d+(.*)"","""")"),"SANTA-LUCIA-DI-MERCURIO")</f>
        <v>SANTA-LUCIA-DI-MERCURIO</v>
      </c>
      <c r="E22794" s="38" t="s">
        <v>743</v>
      </c>
      <c r="F22794" s="38" t="s">
        <v>607</v>
      </c>
      <c r="G22794" s="49" t="str">
        <f t="shared" si="1"/>
        <v>20250</v>
      </c>
      <c r="H22794" s="49" t="str">
        <f t="shared" si="2"/>
        <v>2B306</v>
      </c>
    </row>
    <row r="22795">
      <c r="A22795" s="48" t="s">
        <v>27317</v>
      </c>
      <c r="B22795" s="38">
        <v>54215.0</v>
      </c>
      <c r="C22795" s="38" t="s">
        <v>27318</v>
      </c>
      <c r="D22795" s="38" t="str">
        <f>IFERROR(__xludf.DUMMYFUNCTION("REGEXREPLACE(C22795,""-\d+(.*)|--\d+(.*)"","""")"),"FROUARD")</f>
        <v>FROUARD</v>
      </c>
      <c r="E22795" s="38" t="s">
        <v>548</v>
      </c>
      <c r="F22795" s="38" t="s">
        <v>195</v>
      </c>
      <c r="G22795" s="49" t="str">
        <f t="shared" si="1"/>
        <v>54390</v>
      </c>
      <c r="H22795" s="49">
        <f t="shared" si="2"/>
        <v>54215</v>
      </c>
    </row>
    <row r="22796">
      <c r="A22796" s="48" t="s">
        <v>27319</v>
      </c>
      <c r="B22796" s="38">
        <v>28359.0</v>
      </c>
      <c r="C22796" s="38" t="s">
        <v>27320</v>
      </c>
      <c r="D22796" s="38" t="str">
        <f>IFERROR(__xludf.DUMMYFUNCTION("REGEXREPLACE(C22796,""-\d+(.*)|--\d+(.*)"","""")"),"SAINT-REMY-SUR-AVRE")</f>
        <v>SAINT-REMY-SUR-AVRE</v>
      </c>
      <c r="E22796" s="38" t="s">
        <v>300</v>
      </c>
      <c r="F22796" s="38" t="s">
        <v>123</v>
      </c>
      <c r="G22796" s="49" t="str">
        <f t="shared" si="1"/>
        <v>28380</v>
      </c>
      <c r="H22796" s="49">
        <f t="shared" si="2"/>
        <v>28359</v>
      </c>
    </row>
    <row r="22797">
      <c r="A22797" s="48" t="s">
        <v>15067</v>
      </c>
      <c r="B22797" s="38">
        <v>81105.0</v>
      </c>
      <c r="C22797" s="38" t="s">
        <v>27321</v>
      </c>
      <c r="D22797" s="38" t="str">
        <f>IFERROR(__xludf.DUMMYFUNCTION("REGEXREPLACE(C22797,""-\d+(.*)|--\d+(.*)"","""")"),"GRAULHET")</f>
        <v>GRAULHET</v>
      </c>
      <c r="E22797" s="38" t="s">
        <v>231</v>
      </c>
      <c r="F22797" s="38" t="s">
        <v>94</v>
      </c>
      <c r="G22797" s="49" t="str">
        <f t="shared" si="1"/>
        <v>81300</v>
      </c>
      <c r="H22797" s="49">
        <f t="shared" si="2"/>
        <v>81105</v>
      </c>
    </row>
    <row r="22798">
      <c r="A22798" s="48" t="s">
        <v>5622</v>
      </c>
      <c r="B22798" s="38">
        <v>45229.0</v>
      </c>
      <c r="C22798" s="38" t="s">
        <v>27322</v>
      </c>
      <c r="D22798" s="38" t="str">
        <f>IFERROR(__xludf.DUMMYFUNCTION("REGEXREPLACE(C22798,""-\d+(.*)|--\d+(.*)"","""")"),"NOGENT-SUR-VERNISSON")</f>
        <v>NOGENT-SUR-VERNISSON</v>
      </c>
      <c r="E22798" s="38" t="s">
        <v>122</v>
      </c>
      <c r="F22798" s="38" t="s">
        <v>123</v>
      </c>
      <c r="G22798" s="49" t="str">
        <f t="shared" si="1"/>
        <v>45290</v>
      </c>
      <c r="H22798" s="49">
        <f t="shared" si="2"/>
        <v>45229</v>
      </c>
    </row>
    <row r="22799">
      <c r="A22799" s="48" t="s">
        <v>3550</v>
      </c>
      <c r="B22799" s="38">
        <v>79039.0</v>
      </c>
      <c r="C22799" s="38" t="s">
        <v>27323</v>
      </c>
      <c r="D22799" s="38" t="str">
        <f>IFERROR(__xludf.DUMMYFUNCTION("REGEXREPLACE(C22799,""-\d+(.*)|--\d+(.*)"","""")"),"BOISSEROLLES")</f>
        <v>BOISSEROLLES</v>
      </c>
      <c r="E22799" s="38" t="s">
        <v>337</v>
      </c>
      <c r="F22799" s="38" t="s">
        <v>338</v>
      </c>
      <c r="G22799" s="49" t="str">
        <f t="shared" si="1"/>
        <v>79360</v>
      </c>
      <c r="H22799" s="49">
        <f t="shared" si="2"/>
        <v>79039</v>
      </c>
    </row>
    <row r="22800">
      <c r="A22800" s="48" t="s">
        <v>3246</v>
      </c>
      <c r="B22800" s="38">
        <v>9065.0</v>
      </c>
      <c r="C22800" s="38" t="s">
        <v>27324</v>
      </c>
      <c r="D22800" s="38" t="str">
        <f>IFERROR(__xludf.DUMMYFUNCTION("REGEXREPLACE(C22800,""-\d+(.*)|--\d+(.*)"","""")"),"BOUSSENAC")</f>
        <v>BOUSSENAC</v>
      </c>
      <c r="E22800" s="38" t="s">
        <v>238</v>
      </c>
      <c r="F22800" s="38" t="s">
        <v>94</v>
      </c>
      <c r="G22800" s="49" t="str">
        <f t="shared" si="1"/>
        <v>09320</v>
      </c>
      <c r="H22800" s="49" t="str">
        <f t="shared" si="2"/>
        <v>09065</v>
      </c>
    </row>
    <row r="22801">
      <c r="A22801" s="48" t="s">
        <v>1557</v>
      </c>
      <c r="B22801" s="38">
        <v>5182.0</v>
      </c>
      <c r="C22801" s="38" t="s">
        <v>27325</v>
      </c>
      <c r="D22801" s="38" t="str">
        <f>IFERROR(__xludf.DUMMYFUNCTION("REGEXREPLACE(C22801,""-\d+(.*)|--\d+(.*)"","""")"),"VILLAR-LOUBIERE")</f>
        <v>VILLAR-LOUBIERE</v>
      </c>
      <c r="E22801" s="38" t="s">
        <v>706</v>
      </c>
      <c r="F22801" s="38" t="s">
        <v>228</v>
      </c>
      <c r="G22801" s="49" t="str">
        <f t="shared" si="1"/>
        <v>05800</v>
      </c>
      <c r="H22801" s="49" t="str">
        <f t="shared" si="2"/>
        <v>05182</v>
      </c>
    </row>
    <row r="22802">
      <c r="A22802" s="48" t="s">
        <v>468</v>
      </c>
      <c r="B22802" s="38">
        <v>26175.0</v>
      </c>
      <c r="C22802" s="38" t="s">
        <v>27326</v>
      </c>
      <c r="D22802" s="38" t="str">
        <f>IFERROR(__xludf.DUMMYFUNCTION("REGEXREPLACE(C22802,""-\d+(.*)|--\d+(.*)"","""")"),"MARIGNAC-EN-DIOIS")</f>
        <v>MARIGNAC-EN-DIOIS</v>
      </c>
      <c r="E22802" s="38" t="s">
        <v>126</v>
      </c>
      <c r="F22802" s="38" t="s">
        <v>102</v>
      </c>
      <c r="G22802" s="49" t="str">
        <f t="shared" si="1"/>
        <v>26150</v>
      </c>
      <c r="H22802" s="49">
        <f t="shared" si="2"/>
        <v>26175</v>
      </c>
    </row>
    <row r="22803">
      <c r="A22803" s="48" t="s">
        <v>1345</v>
      </c>
      <c r="B22803" s="38">
        <v>46289.0</v>
      </c>
      <c r="C22803" s="38" t="s">
        <v>27327</v>
      </c>
      <c r="D22803" s="38" t="str">
        <f>IFERROR(__xludf.DUMMYFUNCTION("REGEXREPLACE(C22803,""-\d+(.*)|--\d+(.*)"","""")"),"SAINT-PIERRE-TOIRAC")</f>
        <v>SAINT-PIERRE-TOIRAC</v>
      </c>
      <c r="E22803" s="38" t="s">
        <v>185</v>
      </c>
      <c r="F22803" s="38" t="s">
        <v>94</v>
      </c>
      <c r="G22803" s="49" t="str">
        <f t="shared" si="1"/>
        <v>46160</v>
      </c>
      <c r="H22803" s="49">
        <f t="shared" si="2"/>
        <v>46289</v>
      </c>
    </row>
    <row r="22804">
      <c r="A22804" s="48" t="s">
        <v>4311</v>
      </c>
      <c r="B22804" s="38">
        <v>47005.0</v>
      </c>
      <c r="C22804" s="38" t="s">
        <v>27328</v>
      </c>
      <c r="D22804" s="38" t="str">
        <f>IFERROR(__xludf.DUMMYFUNCTION("REGEXREPLACE(C22804,""-\d+(.*)|--\d+(.*)"","""")"),"ALLEMANS-DU-DROPT")</f>
        <v>ALLEMANS-DU-DROPT</v>
      </c>
      <c r="E22804" s="38" t="s">
        <v>251</v>
      </c>
      <c r="F22804" s="38" t="s">
        <v>252</v>
      </c>
      <c r="G22804" s="49" t="str">
        <f t="shared" si="1"/>
        <v>47800</v>
      </c>
      <c r="H22804" s="49">
        <f t="shared" si="2"/>
        <v>47005</v>
      </c>
    </row>
    <row r="22805">
      <c r="A22805" s="48" t="s">
        <v>27329</v>
      </c>
      <c r="B22805" s="38">
        <v>30011.0</v>
      </c>
      <c r="C22805" s="38" t="s">
        <v>26177</v>
      </c>
      <c r="D22805" s="38" t="str">
        <f>IFERROR(__xludf.DUMMYFUNCTION("REGEXREPLACE(C22805,""-\d+(.*)|--\d+(.*)"","""")"),"LES ANGLES")</f>
        <v>LES ANGLES</v>
      </c>
      <c r="E22805" s="38" t="s">
        <v>526</v>
      </c>
      <c r="F22805" s="38" t="s">
        <v>119</v>
      </c>
      <c r="G22805" s="49" t="str">
        <f t="shared" si="1"/>
        <v>30133</v>
      </c>
      <c r="H22805" s="49">
        <f t="shared" si="2"/>
        <v>30011</v>
      </c>
    </row>
    <row r="22806">
      <c r="A22806" s="48" t="s">
        <v>27330</v>
      </c>
      <c r="B22806" s="38">
        <v>67066.0</v>
      </c>
      <c r="C22806" s="38" t="s">
        <v>27331</v>
      </c>
      <c r="D22806" s="38" t="str">
        <f>IFERROR(__xludf.DUMMYFUNCTION("REGEXREPLACE(C22806,""-\d+(.*)|--\d+(.*)"","""")"),"LA BROQUE")</f>
        <v>LA BROQUE</v>
      </c>
      <c r="E22806" s="38" t="s">
        <v>210</v>
      </c>
      <c r="F22806" s="38" t="s">
        <v>151</v>
      </c>
      <c r="G22806" s="49" t="str">
        <f t="shared" si="1"/>
        <v>67130/67570</v>
      </c>
      <c r="H22806" s="49">
        <f t="shared" si="2"/>
        <v>67066</v>
      </c>
    </row>
    <row r="22807">
      <c r="A22807" s="48" t="s">
        <v>12526</v>
      </c>
      <c r="B22807" s="38">
        <v>44083.0</v>
      </c>
      <c r="C22807" s="38" t="s">
        <v>27332</v>
      </c>
      <c r="D22807" s="38" t="str">
        <f>IFERROR(__xludf.DUMMYFUNCTION("REGEXREPLACE(C22807,""-\d+(.*)|--\d+(.*)"","""")"),"LA LIMOUZINIERE")</f>
        <v>LA LIMOUZINIERE</v>
      </c>
      <c r="E22807" s="38" t="s">
        <v>759</v>
      </c>
      <c r="F22807" s="38" t="s">
        <v>180</v>
      </c>
      <c r="G22807" s="49" t="str">
        <f t="shared" si="1"/>
        <v>44310</v>
      </c>
      <c r="H22807" s="49">
        <f t="shared" si="2"/>
        <v>44083</v>
      </c>
    </row>
    <row r="22808">
      <c r="A22808" s="48" t="s">
        <v>2294</v>
      </c>
      <c r="B22808" s="38">
        <v>87074.0</v>
      </c>
      <c r="C22808" s="38" t="s">
        <v>27333</v>
      </c>
      <c r="D22808" s="38" t="str">
        <f>IFERROR(__xludf.DUMMYFUNCTION("REGEXREPLACE(C22808,""-\d+(.*)|--\d+(.*)"","""")"),"LES GRANDS-CHEZEAUX")</f>
        <v>LES GRANDS-CHEZEAUX</v>
      </c>
      <c r="E22808" s="38" t="s">
        <v>897</v>
      </c>
      <c r="F22808" s="38" t="s">
        <v>98</v>
      </c>
      <c r="G22808" s="49" t="str">
        <f t="shared" si="1"/>
        <v>87160</v>
      </c>
      <c r="H22808" s="49">
        <f t="shared" si="2"/>
        <v>87074</v>
      </c>
    </row>
    <row r="22809">
      <c r="A22809" s="48" t="s">
        <v>16275</v>
      </c>
      <c r="B22809" s="38">
        <v>77344.0</v>
      </c>
      <c r="C22809" s="38" t="s">
        <v>27334</v>
      </c>
      <c r="D22809" s="38" t="str">
        <f>IFERROR(__xludf.DUMMYFUNCTION("REGEXREPLACE(C22809,""-\d+(.*)|--\d+(.*)"","""")"),"OISSERY")</f>
        <v>OISSERY</v>
      </c>
      <c r="E22809" s="38" t="s">
        <v>244</v>
      </c>
      <c r="F22809" s="38" t="s">
        <v>245</v>
      </c>
      <c r="G22809" s="49" t="str">
        <f t="shared" si="1"/>
        <v>77178</v>
      </c>
      <c r="H22809" s="49">
        <f t="shared" si="2"/>
        <v>77344</v>
      </c>
    </row>
    <row r="22810">
      <c r="A22810" s="48" t="s">
        <v>164</v>
      </c>
      <c r="B22810" s="38">
        <v>42071.0</v>
      </c>
      <c r="C22810" s="38" t="s">
        <v>27335</v>
      </c>
      <c r="D22810" s="38" t="str">
        <f>IFERROR(__xludf.DUMMYFUNCTION("REGEXREPLACE(C22810,""-\d+(.*)|--\d+(.*)"","""")"),"LE COTEAU")</f>
        <v>LE COTEAU</v>
      </c>
      <c r="E22810" s="38" t="s">
        <v>166</v>
      </c>
      <c r="F22810" s="38" t="s">
        <v>102</v>
      </c>
      <c r="G22810" s="49" t="str">
        <f t="shared" si="1"/>
        <v>42120</v>
      </c>
      <c r="H22810" s="49">
        <f t="shared" si="2"/>
        <v>42071</v>
      </c>
    </row>
    <row r="22811">
      <c r="A22811" s="48" t="s">
        <v>1800</v>
      </c>
      <c r="B22811" s="38">
        <v>88127.0</v>
      </c>
      <c r="C22811" s="38" t="s">
        <v>27336</v>
      </c>
      <c r="D22811" s="38" t="str">
        <f>IFERROR(__xludf.DUMMYFUNCTION("REGEXREPLACE(C22811,""-\d+(.*)|--\d+(.*)"","""")"),"DEINVILLERS")</f>
        <v>DEINVILLERS</v>
      </c>
      <c r="E22811" s="38" t="s">
        <v>194</v>
      </c>
      <c r="F22811" s="38" t="s">
        <v>195</v>
      </c>
      <c r="G22811" s="49" t="str">
        <f t="shared" si="1"/>
        <v>88700</v>
      </c>
      <c r="H22811" s="49">
        <f t="shared" si="2"/>
        <v>88127</v>
      </c>
    </row>
    <row r="22812">
      <c r="A22812" s="48" t="s">
        <v>773</v>
      </c>
      <c r="B22812" s="38">
        <v>27674.0</v>
      </c>
      <c r="C22812" s="38" t="s">
        <v>27337</v>
      </c>
      <c r="D22812" s="38" t="str">
        <f>IFERROR(__xludf.DUMMYFUNCTION("REGEXREPLACE(C22812,""-\d+(.*)|--\d+(.*)"","""")"),"VAUX-SUR-EURE")</f>
        <v>VAUX-SUR-EURE</v>
      </c>
      <c r="E22812" s="38" t="s">
        <v>241</v>
      </c>
      <c r="F22812" s="38" t="s">
        <v>134</v>
      </c>
      <c r="G22812" s="49" t="str">
        <f t="shared" si="1"/>
        <v>27120</v>
      </c>
      <c r="H22812" s="49">
        <f t="shared" si="2"/>
        <v>27674</v>
      </c>
    </row>
    <row r="22813">
      <c r="A22813" s="48" t="s">
        <v>2069</v>
      </c>
      <c r="B22813" s="38">
        <v>47284.0</v>
      </c>
      <c r="C22813" s="38" t="s">
        <v>1353</v>
      </c>
      <c r="D22813" s="38" t="str">
        <f>IFERROR(__xludf.DUMMYFUNCTION("REGEXREPLACE(C22813,""-\d+(.*)|--\d+(.*)"","""")"),"SALLES")</f>
        <v>SALLES</v>
      </c>
      <c r="E22813" s="38" t="s">
        <v>251</v>
      </c>
      <c r="F22813" s="38" t="s">
        <v>252</v>
      </c>
      <c r="G22813" s="49" t="str">
        <f t="shared" si="1"/>
        <v>47150</v>
      </c>
      <c r="H22813" s="49">
        <f t="shared" si="2"/>
        <v>47284</v>
      </c>
    </row>
    <row r="22814">
      <c r="A22814" s="48" t="s">
        <v>826</v>
      </c>
      <c r="B22814" s="38">
        <v>21086.0</v>
      </c>
      <c r="C22814" s="38" t="s">
        <v>27338</v>
      </c>
      <c r="D22814" s="38" t="str">
        <f>IFERROR(__xludf.DUMMYFUNCTION("REGEXREPLACE(C22814,""-\d+(.*)|--\d+(.*)"","""")"),"BLIGNY-LES-BEAUNE")</f>
        <v>BLIGNY-LES-BEAUNE</v>
      </c>
      <c r="E22814" s="38" t="s">
        <v>105</v>
      </c>
      <c r="F22814" s="38" t="s">
        <v>106</v>
      </c>
      <c r="G22814" s="49" t="str">
        <f t="shared" si="1"/>
        <v>21200</v>
      </c>
      <c r="H22814" s="49">
        <f t="shared" si="2"/>
        <v>21086</v>
      </c>
    </row>
    <row r="22815">
      <c r="A22815" s="48" t="s">
        <v>7954</v>
      </c>
      <c r="B22815" s="38">
        <v>40314.0</v>
      </c>
      <c r="C22815" s="38" t="s">
        <v>27339</v>
      </c>
      <c r="D22815" s="38" t="str">
        <f>IFERROR(__xludf.DUMMYFUNCTION("REGEXREPLACE(C22815,""-\d+(.*)|--\d+(.*)"","""")"),"TERCIS-LES-BAINS")</f>
        <v>TERCIS-LES-BAINS</v>
      </c>
      <c r="E22815" s="38" t="s">
        <v>281</v>
      </c>
      <c r="F22815" s="38" t="s">
        <v>252</v>
      </c>
      <c r="G22815" s="49" t="str">
        <f t="shared" si="1"/>
        <v>40180</v>
      </c>
      <c r="H22815" s="49">
        <f t="shared" si="2"/>
        <v>40314</v>
      </c>
    </row>
    <row r="22816">
      <c r="A22816" s="48" t="s">
        <v>2190</v>
      </c>
      <c r="B22816" s="38">
        <v>10153.0</v>
      </c>
      <c r="C22816" s="38" t="s">
        <v>27340</v>
      </c>
      <c r="D22816" s="38" t="str">
        <f>IFERROR(__xludf.DUMMYFUNCTION("REGEXREPLACE(C22816,""-\d+(.*)|--\d+(.*)"","""")"),"FONTAINE-MACON")</f>
        <v>FONTAINE-MACON</v>
      </c>
      <c r="E22816" s="38" t="s">
        <v>147</v>
      </c>
      <c r="F22816" s="38" t="s">
        <v>130</v>
      </c>
      <c r="G22816" s="49" t="str">
        <f t="shared" si="1"/>
        <v>10400</v>
      </c>
      <c r="H22816" s="49">
        <f t="shared" si="2"/>
        <v>10153</v>
      </c>
    </row>
    <row r="22817">
      <c r="A22817" s="48" t="s">
        <v>3375</v>
      </c>
      <c r="B22817" s="38">
        <v>24011.0</v>
      </c>
      <c r="C22817" s="38" t="s">
        <v>27341</v>
      </c>
      <c r="D22817" s="38" t="str">
        <f>IFERROR(__xludf.DUMMYFUNCTION("REGEXREPLACE(C22817,""-\d+(.*)|--\d+(.*)"","""")"),"ANTONNE-ET-TRIGONANT")</f>
        <v>ANTONNE-ET-TRIGONANT</v>
      </c>
      <c r="E22817" s="38" t="s">
        <v>261</v>
      </c>
      <c r="F22817" s="38" t="s">
        <v>252</v>
      </c>
      <c r="G22817" s="49" t="str">
        <f t="shared" si="1"/>
        <v>24420</v>
      </c>
      <c r="H22817" s="49">
        <f t="shared" si="2"/>
        <v>24011</v>
      </c>
    </row>
    <row r="22818">
      <c r="A22818" s="48" t="s">
        <v>23379</v>
      </c>
      <c r="B22818" s="38">
        <v>28079.0</v>
      </c>
      <c r="C22818" s="38" t="s">
        <v>27342</v>
      </c>
      <c r="D22818" s="38" t="str">
        <f>IFERROR(__xludf.DUMMYFUNCTION("REGEXREPLACE(C22818,""-\d+(.*)|--\d+(.*)"","""")"),"CHAPELLE-ROYALE")</f>
        <v>CHAPELLE-ROYALE</v>
      </c>
      <c r="E22818" s="38" t="s">
        <v>300</v>
      </c>
      <c r="F22818" s="38" t="s">
        <v>123</v>
      </c>
      <c r="G22818" s="49" t="str">
        <f t="shared" si="1"/>
        <v>28290</v>
      </c>
      <c r="H22818" s="49">
        <f t="shared" si="2"/>
        <v>28079</v>
      </c>
    </row>
    <row r="22819">
      <c r="A22819" s="48" t="s">
        <v>4642</v>
      </c>
      <c r="B22819" s="38">
        <v>21217.0</v>
      </c>
      <c r="C22819" s="38" t="s">
        <v>27343</v>
      </c>
      <c r="D22819" s="38" t="str">
        <f>IFERROR(__xludf.DUMMYFUNCTION("REGEXREPLACE(C22819,""-\d+(.*)|--\d+(.*)"","""")"),"CURLEY")</f>
        <v>CURLEY</v>
      </c>
      <c r="E22819" s="38" t="s">
        <v>105</v>
      </c>
      <c r="F22819" s="38" t="s">
        <v>106</v>
      </c>
      <c r="G22819" s="49" t="str">
        <f t="shared" si="1"/>
        <v>21220</v>
      </c>
      <c r="H22819" s="49">
        <f t="shared" si="2"/>
        <v>21217</v>
      </c>
    </row>
    <row r="22820">
      <c r="A22820" s="48" t="s">
        <v>3882</v>
      </c>
      <c r="B22820" s="38">
        <v>62295.0</v>
      </c>
      <c r="C22820" s="38" t="s">
        <v>27344</v>
      </c>
      <c r="D22820" s="38" t="str">
        <f>IFERROR(__xludf.DUMMYFUNCTION("REGEXREPLACE(C22820,""-\d+(.*)|--\d+(.*)"","""")"),"ENQUIN-LES-MINES")</f>
        <v>ENQUIN-LES-MINES</v>
      </c>
      <c r="E22820" s="38" t="s">
        <v>109</v>
      </c>
      <c r="F22820" s="38" t="s">
        <v>86</v>
      </c>
      <c r="G22820" s="49" t="str">
        <f t="shared" si="1"/>
        <v>62145</v>
      </c>
      <c r="H22820" s="49">
        <f t="shared" si="2"/>
        <v>62295</v>
      </c>
    </row>
    <row r="22821">
      <c r="A22821" s="48" t="s">
        <v>3346</v>
      </c>
      <c r="B22821" s="38">
        <v>65409.0</v>
      </c>
      <c r="C22821" s="38" t="s">
        <v>27345</v>
      </c>
      <c r="D22821" s="38" t="str">
        <f>IFERROR(__xludf.DUMMYFUNCTION("REGEXREPLACE(C22821,""-\d+(.*)|--\d+(.*)"","""")"),"SARRIAC-BIGORRE")</f>
        <v>SARRIAC-BIGORRE</v>
      </c>
      <c r="E22821" s="38" t="s">
        <v>200</v>
      </c>
      <c r="F22821" s="38" t="s">
        <v>94</v>
      </c>
      <c r="G22821" s="49" t="str">
        <f t="shared" si="1"/>
        <v>65140</v>
      </c>
      <c r="H22821" s="49">
        <f t="shared" si="2"/>
        <v>65409</v>
      </c>
    </row>
    <row r="22822">
      <c r="A22822" s="48" t="s">
        <v>2190</v>
      </c>
      <c r="B22822" s="38">
        <v>10334.0</v>
      </c>
      <c r="C22822" s="38" t="s">
        <v>2041</v>
      </c>
      <c r="D22822" s="38" t="str">
        <f>IFERROR(__xludf.DUMMYFUNCTION("REGEXREPLACE(C22822,""-\d+(.*)|--\d+(.*)"","""")"),"SAINT-AUBIN")</f>
        <v>SAINT-AUBIN</v>
      </c>
      <c r="E22822" s="38" t="s">
        <v>147</v>
      </c>
      <c r="F22822" s="38" t="s">
        <v>130</v>
      </c>
      <c r="G22822" s="49" t="str">
        <f t="shared" si="1"/>
        <v>10400</v>
      </c>
      <c r="H22822" s="49">
        <f t="shared" si="2"/>
        <v>10334</v>
      </c>
    </row>
    <row r="22823">
      <c r="A22823" s="48" t="s">
        <v>8145</v>
      </c>
      <c r="B22823" s="38">
        <v>9155.0</v>
      </c>
      <c r="C22823" s="38" t="s">
        <v>27346</v>
      </c>
      <c r="D22823" s="38" t="str">
        <f>IFERROR(__xludf.DUMMYFUNCTION("REGEXREPLACE(C22823,""-\d+(.*)|--\d+(.*)"","""")"),"LARCAT")</f>
        <v>LARCAT</v>
      </c>
      <c r="E22823" s="38" t="s">
        <v>238</v>
      </c>
      <c r="F22823" s="38" t="s">
        <v>94</v>
      </c>
      <c r="G22823" s="49" t="str">
        <f t="shared" si="1"/>
        <v>09310</v>
      </c>
      <c r="H22823" s="49" t="str">
        <f t="shared" si="2"/>
        <v>09155</v>
      </c>
    </row>
    <row r="22824">
      <c r="A22824" s="48" t="s">
        <v>576</v>
      </c>
      <c r="B22824" s="38">
        <v>54210.0</v>
      </c>
      <c r="C22824" s="38" t="s">
        <v>27347</v>
      </c>
      <c r="D22824" s="38" t="str">
        <f>IFERROR(__xludf.DUMMYFUNCTION("REGEXREPLACE(C22824,""-\d+(.*)|--\d+(.*)"","""")"),"FREMENIL")</f>
        <v>FREMENIL</v>
      </c>
      <c r="E22824" s="38" t="s">
        <v>548</v>
      </c>
      <c r="F22824" s="38" t="s">
        <v>195</v>
      </c>
      <c r="G22824" s="49" t="str">
        <f t="shared" si="1"/>
        <v>54450</v>
      </c>
      <c r="H22824" s="49">
        <f t="shared" si="2"/>
        <v>54210</v>
      </c>
    </row>
    <row r="22825">
      <c r="A22825" s="48" t="s">
        <v>5720</v>
      </c>
      <c r="B22825" s="38">
        <v>86180.0</v>
      </c>
      <c r="C22825" s="38" t="s">
        <v>27348</v>
      </c>
      <c r="D22825" s="38" t="str">
        <f>IFERROR(__xludf.DUMMYFUNCTION("REGEXREPLACE(C22825,""-\d+(.*)|--\d+(.*)"","""")"),"NOUAILLE-MAUPERTUIS")</f>
        <v>NOUAILLE-MAUPERTUIS</v>
      </c>
      <c r="E22825" s="38" t="s">
        <v>529</v>
      </c>
      <c r="F22825" s="38" t="s">
        <v>338</v>
      </c>
      <c r="G22825" s="49" t="str">
        <f t="shared" si="1"/>
        <v>86340</v>
      </c>
      <c r="H22825" s="49">
        <f t="shared" si="2"/>
        <v>86180</v>
      </c>
    </row>
    <row r="22826">
      <c r="A22826" s="48" t="s">
        <v>8453</v>
      </c>
      <c r="B22826" s="38">
        <v>8277.0</v>
      </c>
      <c r="C22826" s="38" t="s">
        <v>27349</v>
      </c>
      <c r="D22826" s="38" t="str">
        <f>IFERROR(__xludf.DUMMYFUNCTION("REGEXREPLACE(C22826,""-\d+(.*)|--\d+(.*)"","""")"),"MARLEMONT")</f>
        <v>MARLEMONT</v>
      </c>
      <c r="E22826" s="38" t="s">
        <v>327</v>
      </c>
      <c r="F22826" s="38" t="s">
        <v>130</v>
      </c>
      <c r="G22826" s="49" t="str">
        <f t="shared" si="1"/>
        <v>08290</v>
      </c>
      <c r="H22826" s="49" t="str">
        <f t="shared" si="2"/>
        <v>08277</v>
      </c>
    </row>
    <row r="22827">
      <c r="A22827" s="48" t="s">
        <v>8412</v>
      </c>
      <c r="B22827" s="38">
        <v>43225.0</v>
      </c>
      <c r="C22827" s="38" t="s">
        <v>27350</v>
      </c>
      <c r="D22827" s="38" t="str">
        <f>IFERROR(__xludf.DUMMYFUNCTION("REGEXREPLACE(C22827,""-\d+(.*)|--\d+(.*)"","""")"),"SAINT-VENERAND")</f>
        <v>SAINT-VENERAND</v>
      </c>
      <c r="E22827" s="38" t="s">
        <v>332</v>
      </c>
      <c r="F22827" s="38" t="s">
        <v>161</v>
      </c>
      <c r="G22827" s="49" t="str">
        <f t="shared" si="1"/>
        <v>43580</v>
      </c>
      <c r="H22827" s="49">
        <f t="shared" si="2"/>
        <v>43225</v>
      </c>
    </row>
    <row r="22828">
      <c r="A22828" s="48" t="s">
        <v>27351</v>
      </c>
      <c r="B22828" s="38">
        <v>59508.0</v>
      </c>
      <c r="C22828" s="38" t="s">
        <v>27352</v>
      </c>
      <c r="D22828" s="38" t="str">
        <f>IFERROR(__xludf.DUMMYFUNCTION("REGEXREPLACE(C22828,""-\d+(.*)|--\d+(.*)"","""")"),"RONCQ")</f>
        <v>RONCQ</v>
      </c>
      <c r="E22828" s="38" t="s">
        <v>85</v>
      </c>
      <c r="F22828" s="38" t="s">
        <v>86</v>
      </c>
      <c r="G22828" s="49" t="str">
        <f t="shared" si="1"/>
        <v>59223</v>
      </c>
      <c r="H22828" s="49">
        <f t="shared" si="2"/>
        <v>59508</v>
      </c>
    </row>
    <row r="22829">
      <c r="A22829" s="48" t="s">
        <v>1514</v>
      </c>
      <c r="B22829" s="38">
        <v>70579.0</v>
      </c>
      <c r="C22829" s="38" t="s">
        <v>27353</v>
      </c>
      <c r="D22829" s="38" t="str">
        <f>IFERROR(__xludf.DUMMYFUNCTION("REGEXREPLACE(C22829,""-\d+(.*)|--\d+(.*)"","""")"),"VYANS-LE-VAL")</f>
        <v>VYANS-LE-VAL</v>
      </c>
      <c r="E22829" s="38" t="s">
        <v>956</v>
      </c>
      <c r="F22829" s="38" t="s">
        <v>214</v>
      </c>
      <c r="G22829" s="49" t="str">
        <f t="shared" si="1"/>
        <v>70400</v>
      </c>
      <c r="H22829" s="49">
        <f t="shared" si="2"/>
        <v>70579</v>
      </c>
    </row>
    <row r="22830">
      <c r="A22830" s="48" t="s">
        <v>1038</v>
      </c>
      <c r="B22830" s="38">
        <v>50155.0</v>
      </c>
      <c r="C22830" s="38" t="s">
        <v>27354</v>
      </c>
      <c r="D22830" s="38" t="str">
        <f>IFERROR(__xludf.DUMMYFUNCTION("REGEXREPLACE(C22830,""-\d+(.*)|--\d+(.*)"","""")"),"CROLLON")</f>
        <v>CROLLON</v>
      </c>
      <c r="E22830" s="38" t="s">
        <v>157</v>
      </c>
      <c r="F22830" s="38" t="s">
        <v>138</v>
      </c>
      <c r="G22830" s="49" t="str">
        <f t="shared" si="1"/>
        <v>50220</v>
      </c>
      <c r="H22830" s="49">
        <f t="shared" si="2"/>
        <v>50155</v>
      </c>
    </row>
    <row r="22831">
      <c r="A22831" s="48" t="s">
        <v>1721</v>
      </c>
      <c r="B22831" s="38">
        <v>33432.0</v>
      </c>
      <c r="C22831" s="38" t="s">
        <v>27355</v>
      </c>
      <c r="D22831" s="38" t="str">
        <f>IFERROR(__xludf.DUMMYFUNCTION("REGEXREPLACE(C22831,""-\d+(.*)|--\d+(.*)"","""")"),"SAINT-LOUBERT")</f>
        <v>SAINT-LOUBERT</v>
      </c>
      <c r="E22831" s="38" t="s">
        <v>462</v>
      </c>
      <c r="F22831" s="38" t="s">
        <v>252</v>
      </c>
      <c r="G22831" s="49" t="str">
        <f t="shared" si="1"/>
        <v>33210</v>
      </c>
      <c r="H22831" s="49">
        <f t="shared" si="2"/>
        <v>33432</v>
      </c>
    </row>
    <row r="22832">
      <c r="A22832" s="48" t="s">
        <v>1964</v>
      </c>
      <c r="B22832" s="38">
        <v>26228.0</v>
      </c>
      <c r="C22832" s="38" t="s">
        <v>27356</v>
      </c>
      <c r="D22832" s="38" t="str">
        <f>IFERROR(__xludf.DUMMYFUNCTION("REGEXREPLACE(C22832,""-\d+(.*)|--\d+(.*)"","""")"),"PENNES-LE-SEC")</f>
        <v>PENNES-LE-SEC</v>
      </c>
      <c r="E22832" s="38" t="s">
        <v>126</v>
      </c>
      <c r="F22832" s="38" t="s">
        <v>102</v>
      </c>
      <c r="G22832" s="49" t="str">
        <f t="shared" si="1"/>
        <v>26340</v>
      </c>
      <c r="H22832" s="49">
        <f t="shared" si="2"/>
        <v>26228</v>
      </c>
    </row>
    <row r="22833">
      <c r="A22833" s="48" t="s">
        <v>5400</v>
      </c>
      <c r="B22833" s="38">
        <v>72200.0</v>
      </c>
      <c r="C22833" s="38" t="s">
        <v>27357</v>
      </c>
      <c r="D22833" s="38" t="str">
        <f>IFERROR(__xludf.DUMMYFUNCTION("REGEXREPLACE(C22833,""-\d+(.*)|--\d+(.*)"","""")"),"MONCE-EN-BELIN")</f>
        <v>MONCE-EN-BELIN</v>
      </c>
      <c r="E22833" s="38" t="s">
        <v>521</v>
      </c>
      <c r="F22833" s="38" t="s">
        <v>180</v>
      </c>
      <c r="G22833" s="49" t="str">
        <f t="shared" si="1"/>
        <v>72230</v>
      </c>
      <c r="H22833" s="49">
        <f t="shared" si="2"/>
        <v>72200</v>
      </c>
    </row>
    <row r="22834">
      <c r="A22834" s="48" t="s">
        <v>12281</v>
      </c>
      <c r="B22834" s="38">
        <v>54139.0</v>
      </c>
      <c r="C22834" s="38" t="s">
        <v>27358</v>
      </c>
      <c r="D22834" s="38" t="str">
        <f>IFERROR(__xludf.DUMMYFUNCTION("REGEXREPLACE(C22834,""-\d+(.*)|--\d+(.*)"","""")"),"COURBESSEAUX")</f>
        <v>COURBESSEAUX</v>
      </c>
      <c r="E22834" s="38" t="s">
        <v>548</v>
      </c>
      <c r="F22834" s="38" t="s">
        <v>195</v>
      </c>
      <c r="G22834" s="49" t="str">
        <f t="shared" si="1"/>
        <v>54110</v>
      </c>
      <c r="H22834" s="49">
        <f t="shared" si="2"/>
        <v>54139</v>
      </c>
    </row>
    <row r="22835">
      <c r="A22835" s="48" t="s">
        <v>27359</v>
      </c>
      <c r="B22835" s="38">
        <v>50403.0</v>
      </c>
      <c r="C22835" s="38" t="s">
        <v>27360</v>
      </c>
      <c r="D22835" s="38" t="str">
        <f>IFERROR(__xludf.DUMMYFUNCTION("REGEXREPLACE(C22835,""-\d+(.*)|--\d+(.*)"","""")"),"PIROU")</f>
        <v>PIROU</v>
      </c>
      <c r="E22835" s="38" t="s">
        <v>157</v>
      </c>
      <c r="F22835" s="38" t="s">
        <v>138</v>
      </c>
      <c r="G22835" s="49" t="str">
        <f t="shared" si="1"/>
        <v>50770</v>
      </c>
      <c r="H22835" s="49">
        <f t="shared" si="2"/>
        <v>50403</v>
      </c>
    </row>
    <row r="22836">
      <c r="A22836" s="48" t="s">
        <v>5230</v>
      </c>
      <c r="B22836" s="38">
        <v>25226.0</v>
      </c>
      <c r="C22836" s="38" t="s">
        <v>27361</v>
      </c>
      <c r="D22836" s="38" t="str">
        <f>IFERROR(__xludf.DUMMYFUNCTION("REGEXREPLACE(C22836,""-\d+(.*)|--\d+(.*)"","""")"),"ETRAPPE")</f>
        <v>ETRAPPE</v>
      </c>
      <c r="E22836" s="38" t="s">
        <v>213</v>
      </c>
      <c r="F22836" s="38" t="s">
        <v>214</v>
      </c>
      <c r="G22836" s="49" t="str">
        <f t="shared" si="1"/>
        <v>25250</v>
      </c>
      <c r="H22836" s="49">
        <f t="shared" si="2"/>
        <v>25226</v>
      </c>
    </row>
    <row r="22837">
      <c r="A22837" s="48" t="s">
        <v>2473</v>
      </c>
      <c r="B22837" s="38">
        <v>69179.0</v>
      </c>
      <c r="C22837" s="38" t="s">
        <v>27362</v>
      </c>
      <c r="D22837" s="38" t="str">
        <f>IFERROR(__xludf.DUMMYFUNCTION("REGEXREPLACE(C22837,""-\d+(.*)|--\d+(.*)"","""")"),"SAINT-ANDEOL-LE-CHATEAU")</f>
        <v>SAINT-ANDEOL-LE-CHATEAU</v>
      </c>
      <c r="E22837" s="38" t="s">
        <v>350</v>
      </c>
      <c r="F22837" s="38" t="s">
        <v>102</v>
      </c>
      <c r="G22837" s="49" t="str">
        <f t="shared" si="1"/>
        <v>69700</v>
      </c>
      <c r="H22837" s="49">
        <f t="shared" si="2"/>
        <v>69179</v>
      </c>
    </row>
    <row r="22838">
      <c r="A22838" s="48" t="s">
        <v>6945</v>
      </c>
      <c r="B22838" s="38">
        <v>80230.0</v>
      </c>
      <c r="C22838" s="38" t="s">
        <v>27363</v>
      </c>
      <c r="D22838" s="38" t="str">
        <f>IFERROR(__xludf.DUMMYFUNCTION("REGEXREPLACE(C22838,""-\d+(.*)|--\d+(.*)"","""")"),"CURCHY")</f>
        <v>CURCHY</v>
      </c>
      <c r="E22838" s="38" t="s">
        <v>224</v>
      </c>
      <c r="F22838" s="38" t="s">
        <v>113</v>
      </c>
      <c r="G22838" s="49" t="str">
        <f t="shared" si="1"/>
        <v>80190</v>
      </c>
      <c r="H22838" s="49">
        <f t="shared" si="2"/>
        <v>80230</v>
      </c>
    </row>
    <row r="22839">
      <c r="A22839" s="48" t="s">
        <v>5521</v>
      </c>
      <c r="B22839" s="38">
        <v>85297.0</v>
      </c>
      <c r="C22839" s="38" t="s">
        <v>27364</v>
      </c>
      <c r="D22839" s="38" t="str">
        <f>IFERROR(__xludf.DUMMYFUNCTION("REGEXREPLACE(C22839,""-\d+(.*)|--\d+(.*)"","""")"),"TRIAIZE")</f>
        <v>TRIAIZE</v>
      </c>
      <c r="E22839" s="38" t="s">
        <v>179</v>
      </c>
      <c r="F22839" s="38" t="s">
        <v>180</v>
      </c>
      <c r="G22839" s="49" t="str">
        <f t="shared" si="1"/>
        <v>85580</v>
      </c>
      <c r="H22839" s="49">
        <f t="shared" si="2"/>
        <v>85297</v>
      </c>
    </row>
    <row r="22840">
      <c r="A22840" s="48" t="s">
        <v>5785</v>
      </c>
      <c r="B22840" s="38">
        <v>32196.0</v>
      </c>
      <c r="C22840" s="38" t="s">
        <v>27365</v>
      </c>
      <c r="D22840" s="38" t="str">
        <f>IFERROR(__xludf.DUMMYFUNCTION("REGEXREPLACE(C22840,""-\d+(.*)|--\d+(.*)"","""")"),"LARROQUE-SAINT-SERNIN")</f>
        <v>LARROQUE-SAINT-SERNIN</v>
      </c>
      <c r="E22840" s="38" t="s">
        <v>440</v>
      </c>
      <c r="F22840" s="38" t="s">
        <v>94</v>
      </c>
      <c r="G22840" s="49" t="str">
        <f t="shared" si="1"/>
        <v>32410</v>
      </c>
      <c r="H22840" s="49">
        <f t="shared" si="2"/>
        <v>32196</v>
      </c>
    </row>
    <row r="22841">
      <c r="A22841" s="48" t="s">
        <v>232</v>
      </c>
      <c r="B22841" s="38">
        <v>52542.0</v>
      </c>
      <c r="C22841" s="38" t="s">
        <v>27366</v>
      </c>
      <c r="D22841" s="38" t="str">
        <f>IFERROR(__xludf.DUMMYFUNCTION("REGEXREPLACE(C22841,""-\d+(.*)|--\d+(.*)"","""")"),"VIVEY")</f>
        <v>VIVEY</v>
      </c>
      <c r="E22841" s="38" t="s">
        <v>234</v>
      </c>
      <c r="F22841" s="38" t="s">
        <v>130</v>
      </c>
      <c r="G22841" s="49" t="str">
        <f t="shared" si="1"/>
        <v>52160</v>
      </c>
      <c r="H22841" s="49">
        <f t="shared" si="2"/>
        <v>52542</v>
      </c>
    </row>
    <row r="22842">
      <c r="A22842" s="48" t="s">
        <v>307</v>
      </c>
      <c r="B22842" s="38">
        <v>88352.0</v>
      </c>
      <c r="C22842" s="38" t="s">
        <v>27367</v>
      </c>
      <c r="D22842" s="38" t="str">
        <f>IFERROR(__xludf.DUMMYFUNCTION("REGEXREPLACE(C22842,""-\d+(.*)|--\d+(.*)"","""")"),"POMPIERRE")</f>
        <v>POMPIERRE</v>
      </c>
      <c r="E22842" s="38" t="s">
        <v>194</v>
      </c>
      <c r="F22842" s="38" t="s">
        <v>195</v>
      </c>
      <c r="G22842" s="49" t="str">
        <f t="shared" si="1"/>
        <v>88300</v>
      </c>
      <c r="H22842" s="49">
        <f t="shared" si="2"/>
        <v>88352</v>
      </c>
    </row>
    <row r="22843">
      <c r="A22843" s="48" t="s">
        <v>12001</v>
      </c>
      <c r="B22843" s="38">
        <v>7122.0</v>
      </c>
      <c r="C22843" s="38" t="s">
        <v>27368</v>
      </c>
      <c r="D22843" s="38" t="str">
        <f>IFERROR(__xludf.DUMMYFUNCTION("REGEXREPLACE(C22843,""-\d+(.*)|--\d+(.*)"","""")"),"LACHAPELLE-SOUS-AUBENAS")</f>
        <v>LACHAPELLE-SOUS-AUBENAS</v>
      </c>
      <c r="E22843" s="38" t="s">
        <v>144</v>
      </c>
      <c r="F22843" s="38" t="s">
        <v>102</v>
      </c>
      <c r="G22843" s="49" t="str">
        <f t="shared" si="1"/>
        <v>07200</v>
      </c>
      <c r="H22843" s="49" t="str">
        <f t="shared" si="2"/>
        <v>07122</v>
      </c>
    </row>
    <row r="22844">
      <c r="A22844" s="48" t="s">
        <v>4354</v>
      </c>
      <c r="B22844" s="38">
        <v>72193.0</v>
      </c>
      <c r="C22844" s="38" t="s">
        <v>27369</v>
      </c>
      <c r="D22844" s="38" t="str">
        <f>IFERROR(__xludf.DUMMYFUNCTION("REGEXREPLACE(C22844,""-\d+(.*)|--\d+(.*)"","""")"),"MELLERAY")</f>
        <v>MELLERAY</v>
      </c>
      <c r="E22844" s="38" t="s">
        <v>521</v>
      </c>
      <c r="F22844" s="38" t="s">
        <v>180</v>
      </c>
      <c r="G22844" s="49" t="str">
        <f t="shared" si="1"/>
        <v>72320</v>
      </c>
      <c r="H22844" s="49">
        <f t="shared" si="2"/>
        <v>72193</v>
      </c>
    </row>
    <row r="22845">
      <c r="A22845" s="48" t="s">
        <v>5004</v>
      </c>
      <c r="B22845" s="38">
        <v>76191.0</v>
      </c>
      <c r="C22845" s="38" t="s">
        <v>27370</v>
      </c>
      <c r="D22845" s="38" t="str">
        <f>IFERROR(__xludf.DUMMYFUNCTION("REGEXREPLACE(C22845,""-\d+(.*)|--\d+(.*)"","""")"),"CRESSY")</f>
        <v>CRESSY</v>
      </c>
      <c r="E22845" s="38" t="s">
        <v>133</v>
      </c>
      <c r="F22845" s="38" t="s">
        <v>134</v>
      </c>
      <c r="G22845" s="49" t="str">
        <f t="shared" si="1"/>
        <v>76720</v>
      </c>
      <c r="H22845" s="49">
        <f t="shared" si="2"/>
        <v>76191</v>
      </c>
    </row>
    <row r="22846">
      <c r="A22846" s="48" t="s">
        <v>7641</v>
      </c>
      <c r="B22846" s="38">
        <v>3097.0</v>
      </c>
      <c r="C22846" s="38" t="s">
        <v>27371</v>
      </c>
      <c r="D22846" s="38" t="str">
        <f>IFERROR(__xludf.DUMMYFUNCTION("REGEXREPLACE(C22846,""-\d+(.*)|--\d+(.*)"","""")"),"DENEUILLE-LES-MINES")</f>
        <v>DENEUILLE-LES-MINES</v>
      </c>
      <c r="E22846" s="38" t="s">
        <v>160</v>
      </c>
      <c r="F22846" s="38" t="s">
        <v>161</v>
      </c>
      <c r="G22846" s="49" t="str">
        <f t="shared" si="1"/>
        <v>03170</v>
      </c>
      <c r="H22846" s="49" t="str">
        <f t="shared" si="2"/>
        <v>03097</v>
      </c>
    </row>
    <row r="22847">
      <c r="A22847" s="48" t="s">
        <v>6230</v>
      </c>
      <c r="B22847" s="38">
        <v>53046.0</v>
      </c>
      <c r="C22847" s="38" t="s">
        <v>27372</v>
      </c>
      <c r="D22847" s="38" t="str">
        <f>IFERROR(__xludf.DUMMYFUNCTION("REGEXREPLACE(C22847,""-\d+(.*)|--\d+(.*)"","""")"),"LE BURET")</f>
        <v>LE BURET</v>
      </c>
      <c r="E22847" s="38" t="s">
        <v>518</v>
      </c>
      <c r="F22847" s="38" t="s">
        <v>180</v>
      </c>
      <c r="G22847" s="49" t="str">
        <f t="shared" si="1"/>
        <v>53170</v>
      </c>
      <c r="H22847" s="49">
        <f t="shared" si="2"/>
        <v>53046</v>
      </c>
    </row>
    <row r="22848">
      <c r="A22848" s="48" t="s">
        <v>27373</v>
      </c>
      <c r="B22848" s="38">
        <v>97229.0</v>
      </c>
      <c r="C22848" s="38" t="s">
        <v>27374</v>
      </c>
      <c r="D22848" s="38" t="str">
        <f>IFERROR(__xludf.DUMMYFUNCTION("REGEXREPLACE(C22848,""-\d+(.*)|--\d+(.*)"","""")"),"SCHOELCHER")</f>
        <v>SCHOELCHER</v>
      </c>
      <c r="E22848" s="38" t="s">
        <v>2282</v>
      </c>
      <c r="F22848" s="38" t="s">
        <v>2282</v>
      </c>
      <c r="G22848" s="49" t="str">
        <f t="shared" si="1"/>
        <v>97233</v>
      </c>
      <c r="H22848" s="49">
        <f t="shared" si="2"/>
        <v>97229</v>
      </c>
    </row>
    <row r="22849">
      <c r="A22849" s="48" t="s">
        <v>8587</v>
      </c>
      <c r="B22849" s="38">
        <v>66166.0</v>
      </c>
      <c r="C22849" s="38" t="s">
        <v>27375</v>
      </c>
      <c r="D22849" s="38" t="str">
        <f>IFERROR(__xludf.DUMMYFUNCTION("REGEXREPLACE(C22849,""-\d+(.*)|--\d+(.*)"","""")"),"SAHORRE")</f>
        <v>SAHORRE</v>
      </c>
      <c r="E22849" s="38" t="s">
        <v>248</v>
      </c>
      <c r="F22849" s="38" t="s">
        <v>119</v>
      </c>
      <c r="G22849" s="49" t="str">
        <f t="shared" si="1"/>
        <v>66360</v>
      </c>
      <c r="H22849" s="49">
        <f t="shared" si="2"/>
        <v>66166</v>
      </c>
    </row>
    <row r="22850">
      <c r="A22850" s="48" t="s">
        <v>9991</v>
      </c>
      <c r="B22850" s="38">
        <v>9087.0</v>
      </c>
      <c r="C22850" s="38" t="s">
        <v>27376</v>
      </c>
      <c r="D22850" s="38" t="str">
        <f>IFERROR(__xludf.DUMMYFUNCTION("REGEXREPLACE(C22850,""-\d+(.*)|--\d+(.*)"","""")"),"CAUSSOU")</f>
        <v>CAUSSOU</v>
      </c>
      <c r="E22850" s="38" t="s">
        <v>238</v>
      </c>
      <c r="F22850" s="38" t="s">
        <v>94</v>
      </c>
      <c r="G22850" s="49" t="str">
        <f t="shared" si="1"/>
        <v>09250</v>
      </c>
      <c r="H22850" s="49" t="str">
        <f t="shared" si="2"/>
        <v>09087</v>
      </c>
    </row>
    <row r="22851">
      <c r="A22851" s="48" t="s">
        <v>1489</v>
      </c>
      <c r="B22851" s="38">
        <v>80633.0</v>
      </c>
      <c r="C22851" s="38" t="s">
        <v>27377</v>
      </c>
      <c r="D22851" s="38" t="str">
        <f>IFERROR(__xludf.DUMMYFUNCTION("REGEXREPLACE(C22851,""-\d+(.*)|--\d+(.*)"","""")"),"PONTHOILE")</f>
        <v>PONTHOILE</v>
      </c>
      <c r="E22851" s="38" t="s">
        <v>224</v>
      </c>
      <c r="F22851" s="38" t="s">
        <v>113</v>
      </c>
      <c r="G22851" s="49" t="str">
        <f t="shared" si="1"/>
        <v>80860</v>
      </c>
      <c r="H22851" s="49">
        <f t="shared" si="2"/>
        <v>80633</v>
      </c>
    </row>
    <row r="22852">
      <c r="A22852" s="48" t="s">
        <v>2033</v>
      </c>
      <c r="B22852" s="38">
        <v>18168.0</v>
      </c>
      <c r="C22852" s="38" t="s">
        <v>27378</v>
      </c>
      <c r="D22852" s="38" t="str">
        <f>IFERROR(__xludf.DUMMYFUNCTION("REGEXREPLACE(C22852,""-\d+(.*)|--\d+(.*)"","""")"),"LE NOYER")</f>
        <v>LE NOYER</v>
      </c>
      <c r="E22852" s="38" t="s">
        <v>504</v>
      </c>
      <c r="F22852" s="38" t="s">
        <v>123</v>
      </c>
      <c r="G22852" s="49" t="str">
        <f t="shared" si="1"/>
        <v>18260</v>
      </c>
      <c r="H22852" s="49">
        <f t="shared" si="2"/>
        <v>18168</v>
      </c>
    </row>
    <row r="22853">
      <c r="A22853" s="48" t="s">
        <v>27379</v>
      </c>
      <c r="B22853" s="38">
        <v>97108.0</v>
      </c>
      <c r="C22853" s="38" t="s">
        <v>27380</v>
      </c>
      <c r="D22853" s="38" t="str">
        <f>IFERROR(__xludf.DUMMYFUNCTION("REGEXREPLACE(C22853,""-\d+(.*)|--\d+(.*)"","""")"),"CAPESTERRE-DE-MARIE-GALANTE")</f>
        <v>CAPESTERRE-DE-MARIE-GALANTE</v>
      </c>
      <c r="E22853" s="38" t="s">
        <v>2023</v>
      </c>
      <c r="F22853" s="38" t="s">
        <v>2023</v>
      </c>
      <c r="G22853" s="49" t="str">
        <f t="shared" si="1"/>
        <v>97140</v>
      </c>
      <c r="H22853" s="49">
        <f t="shared" si="2"/>
        <v>97108</v>
      </c>
    </row>
    <row r="22854">
      <c r="A22854" s="48" t="s">
        <v>3125</v>
      </c>
      <c r="B22854" s="38">
        <v>12159.0</v>
      </c>
      <c r="C22854" s="38" t="s">
        <v>27381</v>
      </c>
      <c r="D22854" s="38" t="str">
        <f>IFERROR(__xludf.DUMMYFUNCTION("REGEXREPLACE(C22854,""-\d+(.*)|--\d+(.*)"","""")"),"MORLHON-LE-HAUT")</f>
        <v>MORLHON-LE-HAUT</v>
      </c>
      <c r="E22854" s="38" t="s">
        <v>465</v>
      </c>
      <c r="F22854" s="38" t="s">
        <v>94</v>
      </c>
      <c r="G22854" s="49" t="str">
        <f t="shared" si="1"/>
        <v>12200</v>
      </c>
      <c r="H22854" s="49">
        <f t="shared" si="2"/>
        <v>12159</v>
      </c>
    </row>
    <row r="22855">
      <c r="A22855" s="48" t="s">
        <v>1193</v>
      </c>
      <c r="B22855" s="38">
        <v>54228.0</v>
      </c>
      <c r="C22855" s="38" t="s">
        <v>27382</v>
      </c>
      <c r="D22855" s="38" t="str">
        <f>IFERROR(__xludf.DUMMYFUNCTION("REGEXREPLACE(C22855,""-\d+(.*)|--\d+(.*)"","""")"),"GIRIVILLER")</f>
        <v>GIRIVILLER</v>
      </c>
      <c r="E22855" s="38" t="s">
        <v>548</v>
      </c>
      <c r="F22855" s="38" t="s">
        <v>195</v>
      </c>
      <c r="G22855" s="49" t="str">
        <f t="shared" si="1"/>
        <v>54830</v>
      </c>
      <c r="H22855" s="49">
        <f t="shared" si="2"/>
        <v>54228</v>
      </c>
    </row>
    <row r="22856">
      <c r="A22856" s="48" t="s">
        <v>2974</v>
      </c>
      <c r="B22856" s="38">
        <v>40229.0</v>
      </c>
      <c r="C22856" s="38" t="s">
        <v>27383</v>
      </c>
      <c r="D22856" s="38" t="str">
        <f>IFERROR(__xludf.DUMMYFUNCTION("REGEXREPLACE(C22856,""-\d+(.*)|--\d+(.*)"","""")"),"PONTENX-LES-FORGES")</f>
        <v>PONTENX-LES-FORGES</v>
      </c>
      <c r="E22856" s="38" t="s">
        <v>281</v>
      </c>
      <c r="F22856" s="38" t="s">
        <v>252</v>
      </c>
      <c r="G22856" s="49" t="str">
        <f t="shared" si="1"/>
        <v>40200</v>
      </c>
      <c r="H22856" s="49">
        <f t="shared" si="2"/>
        <v>40229</v>
      </c>
    </row>
    <row r="22857">
      <c r="A22857" s="48" t="s">
        <v>26558</v>
      </c>
      <c r="B22857" s="38">
        <v>85151.0</v>
      </c>
      <c r="C22857" s="38" t="s">
        <v>27384</v>
      </c>
      <c r="D22857" s="38" t="str">
        <f>IFERROR(__xludf.DUMMYFUNCTION("REGEXREPLACE(C22857,""-\d+(.*)|--\d+(.*)"","""")"),"MORTAGNE-SUR-SEVRE")</f>
        <v>MORTAGNE-SUR-SEVRE</v>
      </c>
      <c r="E22857" s="38" t="s">
        <v>179</v>
      </c>
      <c r="F22857" s="38" t="s">
        <v>180</v>
      </c>
      <c r="G22857" s="49" t="str">
        <f t="shared" si="1"/>
        <v>85290</v>
      </c>
      <c r="H22857" s="49">
        <f t="shared" si="2"/>
        <v>85151</v>
      </c>
    </row>
    <row r="22858">
      <c r="A22858" s="48" t="s">
        <v>10889</v>
      </c>
      <c r="B22858" s="38">
        <v>57101.0</v>
      </c>
      <c r="C22858" s="38" t="s">
        <v>27385</v>
      </c>
      <c r="D22858" s="38" t="str">
        <f>IFERROR(__xludf.DUMMYFUNCTION("REGEXREPLACE(C22858,""-\d+(.*)|--\d+(.*)"","""")"),"BOUSBACH")</f>
        <v>BOUSBACH</v>
      </c>
      <c r="E22858" s="38" t="s">
        <v>303</v>
      </c>
      <c r="F22858" s="38" t="s">
        <v>195</v>
      </c>
      <c r="G22858" s="49" t="str">
        <f t="shared" si="1"/>
        <v>57460</v>
      </c>
      <c r="H22858" s="49">
        <f t="shared" si="2"/>
        <v>57101</v>
      </c>
    </row>
    <row r="22859">
      <c r="A22859" s="48" t="s">
        <v>7416</v>
      </c>
      <c r="B22859" s="38">
        <v>49315.0</v>
      </c>
      <c r="C22859" s="38" t="s">
        <v>27386</v>
      </c>
      <c r="D22859" s="38" t="str">
        <f>IFERROR(__xludf.DUMMYFUNCTION("REGEXREPLACE(C22859,""-\d+(.*)|--\d+(.*)"","""")"),"SAINT-QUENTIN-LES-BEAUREPAIRE")</f>
        <v>SAINT-QUENTIN-LES-BEAUREPAIRE</v>
      </c>
      <c r="E22859" s="38" t="s">
        <v>653</v>
      </c>
      <c r="F22859" s="38" t="s">
        <v>180</v>
      </c>
      <c r="G22859" s="49" t="str">
        <f t="shared" si="1"/>
        <v>49150</v>
      </c>
      <c r="H22859" s="49">
        <f t="shared" si="2"/>
        <v>49315</v>
      </c>
    </row>
    <row r="22860">
      <c r="A22860" s="48" t="s">
        <v>17512</v>
      </c>
      <c r="B22860" s="38">
        <v>72341.0</v>
      </c>
      <c r="C22860" s="38" t="s">
        <v>27387</v>
      </c>
      <c r="D22860" s="38" t="str">
        <f>IFERROR(__xludf.DUMMYFUNCTION("REGEXREPLACE(C22860,""-\d+(.*)|--\d+(.*)"","""")"),"SOULITRE")</f>
        <v>SOULITRE</v>
      </c>
      <c r="E22860" s="38" t="s">
        <v>521</v>
      </c>
      <c r="F22860" s="38" t="s">
        <v>180</v>
      </c>
      <c r="G22860" s="49" t="str">
        <f t="shared" si="1"/>
        <v>72370</v>
      </c>
      <c r="H22860" s="49">
        <f t="shared" si="2"/>
        <v>72341</v>
      </c>
    </row>
    <row r="22861">
      <c r="A22861" s="48" t="s">
        <v>8349</v>
      </c>
      <c r="B22861" s="38">
        <v>34105.0</v>
      </c>
      <c r="C22861" s="38" t="s">
        <v>27388</v>
      </c>
      <c r="D22861" s="38" t="str">
        <f>IFERROR(__xludf.DUMMYFUNCTION("REGEXREPLACE(C22861,""-\d+(.*)|--\d+(.*)"","""")"),"FOUZILHON")</f>
        <v>FOUZILHON</v>
      </c>
      <c r="E22861" s="38" t="s">
        <v>118</v>
      </c>
      <c r="F22861" s="38" t="s">
        <v>119</v>
      </c>
      <c r="G22861" s="49" t="str">
        <f t="shared" si="1"/>
        <v>34480</v>
      </c>
      <c r="H22861" s="49">
        <f t="shared" si="2"/>
        <v>34105</v>
      </c>
    </row>
    <row r="22862">
      <c r="A22862" s="48" t="s">
        <v>1354</v>
      </c>
      <c r="B22862" s="38">
        <v>28006.0</v>
      </c>
      <c r="C22862" s="38" t="s">
        <v>27389</v>
      </c>
      <c r="D22862" s="38" t="str">
        <f>IFERROR(__xludf.DUMMYFUNCTION("REGEXREPLACE(C22862,""-\d+(.*)|--\d+(.*)"","""")"),"AMILLY")</f>
        <v>AMILLY</v>
      </c>
      <c r="E22862" s="38" t="s">
        <v>300</v>
      </c>
      <c r="F22862" s="38" t="s">
        <v>123</v>
      </c>
      <c r="G22862" s="49" t="str">
        <f t="shared" si="1"/>
        <v>28300</v>
      </c>
      <c r="H22862" s="49">
        <f t="shared" si="2"/>
        <v>28006</v>
      </c>
    </row>
    <row r="22863">
      <c r="A22863" s="48" t="s">
        <v>9615</v>
      </c>
      <c r="B22863" s="38">
        <v>86119.0</v>
      </c>
      <c r="C22863" s="38" t="s">
        <v>27390</v>
      </c>
      <c r="D22863" s="38" t="str">
        <f>IFERROR(__xludf.DUMMYFUNCTION("REGEXREPLACE(C22863,""-\d+(.*)|--\d+(.*)"","""")"),"JOUSSE")</f>
        <v>JOUSSE</v>
      </c>
      <c r="E22863" s="38" t="s">
        <v>529</v>
      </c>
      <c r="F22863" s="38" t="s">
        <v>338</v>
      </c>
      <c r="G22863" s="49" t="str">
        <f t="shared" si="1"/>
        <v>86350</v>
      </c>
      <c r="H22863" s="49">
        <f t="shared" si="2"/>
        <v>86119</v>
      </c>
    </row>
    <row r="22864">
      <c r="A22864" s="48" t="s">
        <v>12047</v>
      </c>
      <c r="B22864" s="38">
        <v>66156.0</v>
      </c>
      <c r="C22864" s="38" t="s">
        <v>27391</v>
      </c>
      <c r="D22864" s="38" t="str">
        <f>IFERROR(__xludf.DUMMYFUNCTION("REGEXREPLACE(C22864,""-\d+(.*)|--\d+(.*)"","""")"),"RABOUILLET")</f>
        <v>RABOUILLET</v>
      </c>
      <c r="E22864" s="38" t="s">
        <v>248</v>
      </c>
      <c r="F22864" s="38" t="s">
        <v>119</v>
      </c>
      <c r="G22864" s="49" t="str">
        <f t="shared" si="1"/>
        <v>66730</v>
      </c>
      <c r="H22864" s="49">
        <f t="shared" si="2"/>
        <v>66156</v>
      </c>
    </row>
    <row r="22865">
      <c r="A22865" s="48" t="s">
        <v>4018</v>
      </c>
      <c r="B22865" s="38">
        <v>55531.0</v>
      </c>
      <c r="C22865" s="38" t="s">
        <v>27392</v>
      </c>
      <c r="D22865" s="38" t="str">
        <f>IFERROR(__xludf.DUMMYFUNCTION("REGEXREPLACE(C22865,""-\d+(.*)|--\d+(.*)"","""")"),"VASSINCOURT")</f>
        <v>VASSINCOURT</v>
      </c>
      <c r="E22865" s="38" t="s">
        <v>322</v>
      </c>
      <c r="F22865" s="38" t="s">
        <v>195</v>
      </c>
      <c r="G22865" s="49" t="str">
        <f t="shared" si="1"/>
        <v>55800</v>
      </c>
      <c r="H22865" s="49">
        <f t="shared" si="2"/>
        <v>55531</v>
      </c>
    </row>
    <row r="22866">
      <c r="A22866" s="48" t="s">
        <v>2955</v>
      </c>
      <c r="B22866" s="38">
        <v>76071.0</v>
      </c>
      <c r="C22866" s="38" t="s">
        <v>10969</v>
      </c>
      <c r="D22866" s="38" t="str">
        <f>IFERROR(__xludf.DUMMYFUNCTION("REGEXREPLACE(C22866,""-\d+(.*)|--\d+(.*)"","""")"),"BELLENGREVILLE")</f>
        <v>BELLENGREVILLE</v>
      </c>
      <c r="E22866" s="38" t="s">
        <v>133</v>
      </c>
      <c r="F22866" s="38" t="s">
        <v>134</v>
      </c>
      <c r="G22866" s="49" t="str">
        <f t="shared" si="1"/>
        <v>76630</v>
      </c>
      <c r="H22866" s="49">
        <f t="shared" si="2"/>
        <v>76071</v>
      </c>
    </row>
    <row r="22867">
      <c r="A22867" s="48" t="s">
        <v>454</v>
      </c>
      <c r="B22867" s="38">
        <v>71208.0</v>
      </c>
      <c r="C22867" s="38" t="s">
        <v>27393</v>
      </c>
      <c r="D22867" s="38" t="str">
        <f>IFERROR(__xludf.DUMMYFUNCTION("REGEXREPLACE(C22867,""-\d+(.*)|--\d+(.*)"","""")"),"FRONTENARD")</f>
        <v>FRONTENARD</v>
      </c>
      <c r="E22867" s="38" t="s">
        <v>344</v>
      </c>
      <c r="F22867" s="38" t="s">
        <v>106</v>
      </c>
      <c r="G22867" s="49" t="str">
        <f t="shared" si="1"/>
        <v>71270</v>
      </c>
      <c r="H22867" s="49">
        <f t="shared" si="2"/>
        <v>71208</v>
      </c>
    </row>
    <row r="22868">
      <c r="A22868" s="48" t="s">
        <v>4614</v>
      </c>
      <c r="B22868" s="38">
        <v>78307.0</v>
      </c>
      <c r="C22868" s="38" t="s">
        <v>27394</v>
      </c>
      <c r="D22868" s="38" t="str">
        <f>IFERROR(__xludf.DUMMYFUNCTION("REGEXREPLACE(C22868,""-\d+(.*)|--\d+(.*)"","""")"),"HERMERAY")</f>
        <v>HERMERAY</v>
      </c>
      <c r="E22868" s="38" t="s">
        <v>362</v>
      </c>
      <c r="F22868" s="38" t="s">
        <v>245</v>
      </c>
      <c r="G22868" s="49" t="str">
        <f t="shared" si="1"/>
        <v>78125</v>
      </c>
      <c r="H22868" s="49">
        <f t="shared" si="2"/>
        <v>78307</v>
      </c>
    </row>
    <row r="22869">
      <c r="A22869" s="48" t="s">
        <v>10299</v>
      </c>
      <c r="B22869" s="38">
        <v>67307.0</v>
      </c>
      <c r="C22869" s="38" t="s">
        <v>27395</v>
      </c>
      <c r="D22869" s="38" t="str">
        <f>IFERROR(__xludf.DUMMYFUNCTION("REGEXREPLACE(C22869,""-\d+(.*)|--\d+(.*)"","""")"),"MULHAUSEN")</f>
        <v>MULHAUSEN</v>
      </c>
      <c r="E22869" s="38" t="s">
        <v>210</v>
      </c>
      <c r="F22869" s="38" t="s">
        <v>151</v>
      </c>
      <c r="G22869" s="49" t="str">
        <f t="shared" si="1"/>
        <v>67350</v>
      </c>
      <c r="H22869" s="49">
        <f t="shared" si="2"/>
        <v>67307</v>
      </c>
    </row>
    <row r="22870">
      <c r="A22870" s="48" t="s">
        <v>1663</v>
      </c>
      <c r="B22870" s="38">
        <v>88465.0</v>
      </c>
      <c r="C22870" s="38" t="s">
        <v>27396</v>
      </c>
      <c r="D22870" s="38" t="str">
        <f>IFERROR(__xludf.DUMMYFUNCTION("REGEXREPLACE(C22870,""-\d+(.*)|--\d+(.*)"","""")"),"THAON-LES-VOSGES")</f>
        <v>THAON-LES-VOSGES</v>
      </c>
      <c r="E22870" s="38" t="s">
        <v>194</v>
      </c>
      <c r="F22870" s="38" t="s">
        <v>195</v>
      </c>
      <c r="G22870" s="49" t="str">
        <f t="shared" si="1"/>
        <v>88150</v>
      </c>
      <c r="H22870" s="49">
        <f t="shared" si="2"/>
        <v>88465</v>
      </c>
    </row>
    <row r="22871">
      <c r="A22871" s="48" t="s">
        <v>5820</v>
      </c>
      <c r="B22871" s="38">
        <v>22367.0</v>
      </c>
      <c r="C22871" s="38" t="s">
        <v>27397</v>
      </c>
      <c r="D22871" s="38" t="str">
        <f>IFERROR(__xludf.DUMMYFUNCTION("REGEXREPLACE(C22871,""-\d+(.*)|--\d+(.*)"","""")"),"TREMELOIR")</f>
        <v>TREMELOIR</v>
      </c>
      <c r="E22871" s="38" t="s">
        <v>89</v>
      </c>
      <c r="F22871" s="38" t="s">
        <v>90</v>
      </c>
      <c r="G22871" s="49" t="str">
        <f t="shared" si="1"/>
        <v>22590</v>
      </c>
      <c r="H22871" s="49">
        <f t="shared" si="2"/>
        <v>22367</v>
      </c>
    </row>
    <row r="22872">
      <c r="A22872" s="48" t="s">
        <v>3339</v>
      </c>
      <c r="B22872" s="38">
        <v>67189.0</v>
      </c>
      <c r="C22872" s="38" t="s">
        <v>27398</v>
      </c>
      <c r="D22872" s="38" t="str">
        <f>IFERROR(__xludf.DUMMYFUNCTION("REGEXREPLACE(C22872,""-\d+(.*)|--\d+(.*)"","""")"),"HEILIGENSTEIN")</f>
        <v>HEILIGENSTEIN</v>
      </c>
      <c r="E22872" s="38" t="s">
        <v>210</v>
      </c>
      <c r="F22872" s="38" t="s">
        <v>151</v>
      </c>
      <c r="G22872" s="49" t="str">
        <f t="shared" si="1"/>
        <v>67140</v>
      </c>
      <c r="H22872" s="49">
        <f t="shared" si="2"/>
        <v>67189</v>
      </c>
    </row>
    <row r="22873">
      <c r="A22873" s="48" t="s">
        <v>5956</v>
      </c>
      <c r="B22873" s="38">
        <v>62875.0</v>
      </c>
      <c r="C22873" s="38" t="s">
        <v>27399</v>
      </c>
      <c r="D22873" s="38" t="str">
        <f>IFERROR(__xludf.DUMMYFUNCTION("REGEXREPLACE(C22873,""-\d+(.*)|--\d+(.*)"","""")"),"WARDRECQUES")</f>
        <v>WARDRECQUES</v>
      </c>
      <c r="E22873" s="38" t="s">
        <v>109</v>
      </c>
      <c r="F22873" s="38" t="s">
        <v>86</v>
      </c>
      <c r="G22873" s="49" t="str">
        <f t="shared" si="1"/>
        <v>62120</v>
      </c>
      <c r="H22873" s="49">
        <f t="shared" si="2"/>
        <v>62875</v>
      </c>
    </row>
    <row r="22874">
      <c r="A22874" s="48" t="s">
        <v>8587</v>
      </c>
      <c r="B22874" s="38">
        <v>66036.0</v>
      </c>
      <c r="C22874" s="38" t="s">
        <v>27400</v>
      </c>
      <c r="D22874" s="38" t="str">
        <f>IFERROR(__xludf.DUMMYFUNCTION("REGEXREPLACE(C22874,""-\d+(.*)|--\d+(.*)"","""")"),"CANAVEILLES")</f>
        <v>CANAVEILLES</v>
      </c>
      <c r="E22874" s="38" t="s">
        <v>248</v>
      </c>
      <c r="F22874" s="38" t="s">
        <v>119</v>
      </c>
      <c r="G22874" s="49" t="str">
        <f t="shared" si="1"/>
        <v>66360</v>
      </c>
      <c r="H22874" s="49">
        <f t="shared" si="2"/>
        <v>66036</v>
      </c>
    </row>
    <row r="22875">
      <c r="A22875" s="48" t="s">
        <v>5212</v>
      </c>
      <c r="B22875" s="38">
        <v>41255.0</v>
      </c>
      <c r="C22875" s="38" t="s">
        <v>20116</v>
      </c>
      <c r="D22875" s="38" t="str">
        <f>IFERROR(__xludf.DUMMYFUNCTION("REGEXREPLACE(C22875,""-\d+(.*)|--\d+(.*)"","""")"),"TERNAY")</f>
        <v>TERNAY</v>
      </c>
      <c r="E22875" s="38" t="s">
        <v>188</v>
      </c>
      <c r="F22875" s="38" t="s">
        <v>123</v>
      </c>
      <c r="G22875" s="49" t="str">
        <f t="shared" si="1"/>
        <v>41800</v>
      </c>
      <c r="H22875" s="49">
        <f t="shared" si="2"/>
        <v>41255</v>
      </c>
    </row>
    <row r="22876">
      <c r="A22876" s="48" t="s">
        <v>10324</v>
      </c>
      <c r="B22876" s="38">
        <v>54264.0</v>
      </c>
      <c r="C22876" s="38" t="s">
        <v>27401</v>
      </c>
      <c r="D22876" s="38" t="str">
        <f>IFERROR(__xludf.DUMMYFUNCTION("REGEXREPLACE(C22876,""-\d+(.*)|--\d+(.*)"","""")"),"HOUDELMONT")</f>
        <v>HOUDELMONT</v>
      </c>
      <c r="E22876" s="38" t="s">
        <v>548</v>
      </c>
      <c r="F22876" s="38" t="s">
        <v>195</v>
      </c>
      <c r="G22876" s="49" t="str">
        <f t="shared" si="1"/>
        <v>54330</v>
      </c>
      <c r="H22876" s="49">
        <f t="shared" si="2"/>
        <v>54264</v>
      </c>
    </row>
    <row r="22877">
      <c r="A22877" s="48" t="s">
        <v>671</v>
      </c>
      <c r="B22877" s="38">
        <v>21689.0</v>
      </c>
      <c r="C22877" s="38" t="s">
        <v>27402</v>
      </c>
      <c r="D22877" s="38" t="str">
        <f>IFERROR(__xludf.DUMMYFUNCTION("REGEXREPLACE(C22877,""-\d+(.*)|--\d+(.*)"","""")"),"VILLARS-ET-VILLENOTTE")</f>
        <v>VILLARS-ET-VILLENOTTE</v>
      </c>
      <c r="E22877" s="38" t="s">
        <v>105</v>
      </c>
      <c r="F22877" s="38" t="s">
        <v>106</v>
      </c>
      <c r="G22877" s="49" t="str">
        <f t="shared" si="1"/>
        <v>21140</v>
      </c>
      <c r="H22877" s="49">
        <f t="shared" si="2"/>
        <v>21689</v>
      </c>
    </row>
    <row r="22878">
      <c r="A22878" s="48" t="s">
        <v>5028</v>
      </c>
      <c r="B22878" s="38">
        <v>25141.0</v>
      </c>
      <c r="C22878" s="38" t="s">
        <v>27403</v>
      </c>
      <c r="D22878" s="38" t="str">
        <f>IFERROR(__xludf.DUMMYFUNCTION("REGEXREPLACE(C22878,""-\d+(.*)|--\d+(.*)"","""")"),"CHAUX-LES-PASSAVANT")</f>
        <v>CHAUX-LES-PASSAVANT</v>
      </c>
      <c r="E22878" s="38" t="s">
        <v>213</v>
      </c>
      <c r="F22878" s="38" t="s">
        <v>214</v>
      </c>
      <c r="G22878" s="49" t="str">
        <f t="shared" si="1"/>
        <v>25530</v>
      </c>
      <c r="H22878" s="49">
        <f t="shared" si="2"/>
        <v>25141</v>
      </c>
    </row>
    <row r="22879">
      <c r="A22879" s="48" t="s">
        <v>1060</v>
      </c>
      <c r="B22879" s="38">
        <v>57087.0</v>
      </c>
      <c r="C22879" s="38" t="s">
        <v>27404</v>
      </c>
      <c r="D22879" s="38" t="str">
        <f>IFERROR(__xludf.DUMMYFUNCTION("REGEXREPLACE(C22879,""-\d+(.*)|--\d+(.*)"","""")"),"BISTEN-EN-LORRAINE")</f>
        <v>BISTEN-EN-LORRAINE</v>
      </c>
      <c r="E22879" s="38" t="s">
        <v>303</v>
      </c>
      <c r="F22879" s="38" t="s">
        <v>195</v>
      </c>
      <c r="G22879" s="49" t="str">
        <f t="shared" si="1"/>
        <v>57220</v>
      </c>
      <c r="H22879" s="49">
        <f t="shared" si="2"/>
        <v>57087</v>
      </c>
    </row>
    <row r="22880">
      <c r="A22880" s="48" t="s">
        <v>3366</v>
      </c>
      <c r="B22880" s="38">
        <v>47304.0</v>
      </c>
      <c r="C22880" s="38" t="s">
        <v>7611</v>
      </c>
      <c r="D22880" s="38" t="str">
        <f>IFERROR(__xludf.DUMMYFUNCTION("REGEXREPLACE(C22880,""-\d+(.*)|--\d+(.*)"","""")"),"TAILLEBOURG")</f>
        <v>TAILLEBOURG</v>
      </c>
      <c r="E22880" s="38" t="s">
        <v>251</v>
      </c>
      <c r="F22880" s="38" t="s">
        <v>252</v>
      </c>
      <c r="G22880" s="49" t="str">
        <f t="shared" si="1"/>
        <v>47200</v>
      </c>
      <c r="H22880" s="49">
        <f t="shared" si="2"/>
        <v>47304</v>
      </c>
    </row>
    <row r="22881">
      <c r="A22881" s="48" t="s">
        <v>732</v>
      </c>
      <c r="B22881" s="38">
        <v>10354.0</v>
      </c>
      <c r="C22881" s="38" t="s">
        <v>27405</v>
      </c>
      <c r="D22881" s="38" t="str">
        <f>IFERROR(__xludf.DUMMYFUNCTION("REGEXREPLACE(C22881,""-\d+(.*)|--\d+(.*)"","""")"),"SAINT-NABORD-SUR-AUBE")</f>
        <v>SAINT-NABORD-SUR-AUBE</v>
      </c>
      <c r="E22881" s="38" t="s">
        <v>147</v>
      </c>
      <c r="F22881" s="38" t="s">
        <v>130</v>
      </c>
      <c r="G22881" s="49" t="str">
        <f t="shared" si="1"/>
        <v>10700</v>
      </c>
      <c r="H22881" s="49">
        <f t="shared" si="2"/>
        <v>10354</v>
      </c>
    </row>
    <row r="22882">
      <c r="A22882" s="48" t="s">
        <v>2320</v>
      </c>
      <c r="B22882" s="38">
        <v>74235.0</v>
      </c>
      <c r="C22882" s="38" t="s">
        <v>27406</v>
      </c>
      <c r="D22882" s="38" t="str">
        <f>IFERROR(__xludf.DUMMYFUNCTION("REGEXREPLACE(C22882,""-\d+(.*)|--\d+(.*)"","""")"),"SAINT-GERMAIN-SUR-RHONE")</f>
        <v>SAINT-GERMAIN-SUR-RHONE</v>
      </c>
      <c r="E22882" s="38" t="s">
        <v>319</v>
      </c>
      <c r="F22882" s="38" t="s">
        <v>102</v>
      </c>
      <c r="G22882" s="49" t="str">
        <f t="shared" si="1"/>
        <v>74910</v>
      </c>
      <c r="H22882" s="49">
        <f t="shared" si="2"/>
        <v>74235</v>
      </c>
    </row>
    <row r="22883">
      <c r="A22883" s="48" t="s">
        <v>1485</v>
      </c>
      <c r="B22883" s="38">
        <v>21162.0</v>
      </c>
      <c r="C22883" s="38" t="s">
        <v>1282</v>
      </c>
      <c r="D22883" s="38" t="str">
        <f>IFERROR(__xludf.DUMMYFUNCTION("REGEXREPLACE(C22883,""-\d+(.*)|--\d+(.*)"","""")"),"CHAUX")</f>
        <v>CHAUX</v>
      </c>
      <c r="E22883" s="38" t="s">
        <v>105</v>
      </c>
      <c r="F22883" s="38" t="s">
        <v>106</v>
      </c>
      <c r="G22883" s="49" t="str">
        <f t="shared" si="1"/>
        <v>21700</v>
      </c>
      <c r="H22883" s="49">
        <f t="shared" si="2"/>
        <v>21162</v>
      </c>
    </row>
    <row r="22884">
      <c r="A22884" s="48" t="s">
        <v>7968</v>
      </c>
      <c r="B22884" s="38">
        <v>74043.0</v>
      </c>
      <c r="C22884" s="38" t="s">
        <v>27407</v>
      </c>
      <c r="D22884" s="38" t="str">
        <f>IFERROR(__xludf.DUMMYFUNCTION("REGEXREPLACE(C22884,""-\d+(.*)|--\d+(.*)"","""")"),"BONS-EN-CHABLAIS")</f>
        <v>BONS-EN-CHABLAIS</v>
      </c>
      <c r="E22884" s="38" t="s">
        <v>319</v>
      </c>
      <c r="F22884" s="38" t="s">
        <v>102</v>
      </c>
      <c r="G22884" s="49" t="str">
        <f t="shared" si="1"/>
        <v>74890</v>
      </c>
      <c r="H22884" s="49">
        <f t="shared" si="2"/>
        <v>74043</v>
      </c>
    </row>
    <row r="22885">
      <c r="A22885" s="48" t="s">
        <v>27408</v>
      </c>
      <c r="B22885" s="38">
        <v>84127.0</v>
      </c>
      <c r="C22885" s="38" t="s">
        <v>27409</v>
      </c>
      <c r="D22885" s="38" t="str">
        <f>IFERROR(__xludf.DUMMYFUNCTION("REGEXREPLACE(C22885,""-\d+(.*)|--\d+(.*)"","""")"),"SERIGNAN-DU-COMTAT")</f>
        <v>SERIGNAN-DU-COMTAT</v>
      </c>
      <c r="E22885" s="38" t="s">
        <v>1026</v>
      </c>
      <c r="F22885" s="38" t="s">
        <v>228</v>
      </c>
      <c r="G22885" s="49" t="str">
        <f t="shared" si="1"/>
        <v>84830</v>
      </c>
      <c r="H22885" s="49">
        <f t="shared" si="2"/>
        <v>84127</v>
      </c>
    </row>
    <row r="22886">
      <c r="A22886" s="48" t="s">
        <v>8414</v>
      </c>
      <c r="B22886" s="38">
        <v>60364.0</v>
      </c>
      <c r="C22886" s="38" t="s">
        <v>27410</v>
      </c>
      <c r="D22886" s="38" t="str">
        <f>IFERROR(__xludf.DUMMYFUNCTION("REGEXREPLACE(C22886,""-\d+(.*)|--\d+(.*)"","""")"),"LIEUVILLERS")</f>
        <v>LIEUVILLERS</v>
      </c>
      <c r="E22886" s="38" t="s">
        <v>112</v>
      </c>
      <c r="F22886" s="38" t="s">
        <v>113</v>
      </c>
      <c r="G22886" s="49" t="str">
        <f t="shared" si="1"/>
        <v>60130</v>
      </c>
      <c r="H22886" s="49">
        <f t="shared" si="2"/>
        <v>60364</v>
      </c>
    </row>
    <row r="22887">
      <c r="A22887" s="48" t="s">
        <v>4605</v>
      </c>
      <c r="B22887" s="38">
        <v>39233.0</v>
      </c>
      <c r="C22887" s="38" t="s">
        <v>25312</v>
      </c>
      <c r="D22887" s="38" t="str">
        <f>IFERROR(__xludf.DUMMYFUNCTION("REGEXREPLACE(C22887,""-\d+(.*)|--\d+(.*)"","""")"),"FOUCHERANS")</f>
        <v>FOUCHERANS</v>
      </c>
      <c r="E22887" s="38" t="s">
        <v>400</v>
      </c>
      <c r="F22887" s="38" t="s">
        <v>214</v>
      </c>
      <c r="G22887" s="49" t="str">
        <f t="shared" si="1"/>
        <v>39100</v>
      </c>
      <c r="H22887" s="49">
        <f t="shared" si="2"/>
        <v>39233</v>
      </c>
    </row>
    <row r="22888">
      <c r="A22888" s="48" t="s">
        <v>5706</v>
      </c>
      <c r="B22888" s="38">
        <v>63058.0</v>
      </c>
      <c r="C22888" s="38" t="s">
        <v>27411</v>
      </c>
      <c r="D22888" s="38" t="str">
        <f>IFERROR(__xludf.DUMMYFUNCTION("REGEXREPLACE(C22888,""-\d+(.*)|--\d+(.*)"","""")"),"BULHON")</f>
        <v>BULHON</v>
      </c>
      <c r="E22888" s="38" t="s">
        <v>353</v>
      </c>
      <c r="F22888" s="38" t="s">
        <v>161</v>
      </c>
      <c r="G22888" s="49" t="str">
        <f t="shared" si="1"/>
        <v>63350</v>
      </c>
      <c r="H22888" s="49">
        <f t="shared" si="2"/>
        <v>63058</v>
      </c>
    </row>
    <row r="22889">
      <c r="A22889" s="48" t="s">
        <v>2779</v>
      </c>
      <c r="B22889" s="38">
        <v>80060.0</v>
      </c>
      <c r="C22889" s="38" t="s">
        <v>27412</v>
      </c>
      <c r="D22889" s="38" t="str">
        <f>IFERROR(__xludf.DUMMYFUNCTION("REGEXREPLACE(C22889,""-\d+(.*)|--\d+(.*)"","""")"),"BEALCOURT")</f>
        <v>BEALCOURT</v>
      </c>
      <c r="E22889" s="38" t="s">
        <v>224</v>
      </c>
      <c r="F22889" s="38" t="s">
        <v>113</v>
      </c>
      <c r="G22889" s="49" t="str">
        <f t="shared" si="1"/>
        <v>80370</v>
      </c>
      <c r="H22889" s="49">
        <f t="shared" si="2"/>
        <v>80060</v>
      </c>
    </row>
    <row r="22890">
      <c r="A22890" s="48" t="s">
        <v>3488</v>
      </c>
      <c r="B22890" s="38">
        <v>67163.0</v>
      </c>
      <c r="C22890" s="38" t="s">
        <v>27413</v>
      </c>
      <c r="D22890" s="38" t="str">
        <f>IFERROR(__xludf.DUMMYFUNCTION("REGEXREPLACE(C22890,""-\d+(.*)|--\d+(.*)"","""")"),"GOUGENHEIM")</f>
        <v>GOUGENHEIM</v>
      </c>
      <c r="E22890" s="38" t="s">
        <v>210</v>
      </c>
      <c r="F22890" s="38" t="s">
        <v>151</v>
      </c>
      <c r="G22890" s="49" t="str">
        <f t="shared" si="1"/>
        <v>67270</v>
      </c>
      <c r="H22890" s="49">
        <f t="shared" si="2"/>
        <v>67163</v>
      </c>
    </row>
    <row r="22891">
      <c r="A22891" s="48" t="s">
        <v>970</v>
      </c>
      <c r="B22891" s="38">
        <v>2331.0</v>
      </c>
      <c r="C22891" s="38" t="s">
        <v>18246</v>
      </c>
      <c r="D22891" s="38" t="str">
        <f>IFERROR(__xludf.DUMMYFUNCTION("REGEXREPLACE(C22891,""-\d+(.*)|--\d+(.*)"","""")"),"FRANQUEVILLE")</f>
        <v>FRANQUEVILLE</v>
      </c>
      <c r="E22891" s="38" t="s">
        <v>191</v>
      </c>
      <c r="F22891" s="38" t="s">
        <v>113</v>
      </c>
      <c r="G22891" s="49" t="str">
        <f t="shared" si="1"/>
        <v>02140</v>
      </c>
      <c r="H22891" s="49" t="str">
        <f t="shared" si="2"/>
        <v>02331</v>
      </c>
    </row>
    <row r="22892">
      <c r="A22892" s="48" t="s">
        <v>6189</v>
      </c>
      <c r="B22892" s="38">
        <v>32033.0</v>
      </c>
      <c r="C22892" s="38" t="s">
        <v>27414</v>
      </c>
      <c r="D22892" s="38" t="str">
        <f>IFERROR(__xludf.DUMMYFUNCTION("REGEXREPLACE(C22892,""-\d+(.*)|--\d+(.*)"","""")"),"BAZIAN")</f>
        <v>BAZIAN</v>
      </c>
      <c r="E22892" s="38" t="s">
        <v>440</v>
      </c>
      <c r="F22892" s="38" t="s">
        <v>94</v>
      </c>
      <c r="G22892" s="49" t="str">
        <f t="shared" si="1"/>
        <v>32320</v>
      </c>
      <c r="H22892" s="49">
        <f t="shared" si="2"/>
        <v>32033</v>
      </c>
    </row>
    <row r="22893">
      <c r="A22893" s="48" t="s">
        <v>1190</v>
      </c>
      <c r="B22893" s="38">
        <v>41013.0</v>
      </c>
      <c r="C22893" s="38" t="s">
        <v>27415</v>
      </c>
      <c r="D22893" s="38" t="str">
        <f>IFERROR(__xludf.DUMMYFUNCTION("REGEXREPLACE(C22893,""-\d+(.*)|--\d+(.*)"","""")"),"BAUZY")</f>
        <v>BAUZY</v>
      </c>
      <c r="E22893" s="38" t="s">
        <v>188</v>
      </c>
      <c r="F22893" s="38" t="s">
        <v>123</v>
      </c>
      <c r="G22893" s="49" t="str">
        <f t="shared" si="1"/>
        <v>41250</v>
      </c>
      <c r="H22893" s="49">
        <f t="shared" si="2"/>
        <v>41013</v>
      </c>
    </row>
    <row r="22894">
      <c r="A22894" s="48" t="s">
        <v>27416</v>
      </c>
      <c r="B22894" s="38">
        <v>60430.0</v>
      </c>
      <c r="C22894" s="38" t="s">
        <v>27417</v>
      </c>
      <c r="D22894" s="38" t="str">
        <f>IFERROR(__xludf.DUMMYFUNCTION("REGEXREPLACE(C22894,""-\d+(.*)|--\d+(.*)"","""")"),"MORIENVAL")</f>
        <v>MORIENVAL</v>
      </c>
      <c r="E22894" s="38" t="s">
        <v>112</v>
      </c>
      <c r="F22894" s="38" t="s">
        <v>113</v>
      </c>
      <c r="G22894" s="49" t="str">
        <f t="shared" si="1"/>
        <v>60127</v>
      </c>
      <c r="H22894" s="49">
        <f t="shared" si="2"/>
        <v>60430</v>
      </c>
    </row>
    <row r="22895">
      <c r="A22895" s="48" t="s">
        <v>10970</v>
      </c>
      <c r="B22895" s="38">
        <v>59162.0</v>
      </c>
      <c r="C22895" s="38" t="s">
        <v>27418</v>
      </c>
      <c r="D22895" s="38" t="str">
        <f>IFERROR(__xludf.DUMMYFUNCTION("REGEXREPLACE(C22895,""-\d+(.*)|--\d+(.*)"","""")"),"CROCHTE")</f>
        <v>CROCHTE</v>
      </c>
      <c r="E22895" s="38" t="s">
        <v>85</v>
      </c>
      <c r="F22895" s="38" t="s">
        <v>86</v>
      </c>
      <c r="G22895" s="49" t="str">
        <f t="shared" si="1"/>
        <v>59380</v>
      </c>
      <c r="H22895" s="49">
        <f t="shared" si="2"/>
        <v>59162</v>
      </c>
    </row>
    <row r="22896">
      <c r="A22896" s="48" t="s">
        <v>2310</v>
      </c>
      <c r="B22896" s="38">
        <v>60064.0</v>
      </c>
      <c r="C22896" s="38" t="s">
        <v>27419</v>
      </c>
      <c r="D22896" s="38" t="str">
        <f>IFERROR(__xludf.DUMMYFUNCTION("REGEXREPLACE(C22896,""-\d+(.*)|--\d+(.*)"","""")"),"BERNEUIL-SUR-AISNE")</f>
        <v>BERNEUIL-SUR-AISNE</v>
      </c>
      <c r="E22896" s="38" t="s">
        <v>112</v>
      </c>
      <c r="F22896" s="38" t="s">
        <v>113</v>
      </c>
      <c r="G22896" s="49" t="str">
        <f t="shared" si="1"/>
        <v>60350</v>
      </c>
      <c r="H22896" s="49">
        <f t="shared" si="2"/>
        <v>60064</v>
      </c>
    </row>
    <row r="22897">
      <c r="A22897" s="48" t="s">
        <v>507</v>
      </c>
      <c r="B22897" s="38">
        <v>8401.0</v>
      </c>
      <c r="C22897" s="38" t="s">
        <v>27420</v>
      </c>
      <c r="D22897" s="38" t="str">
        <f>IFERROR(__xludf.DUMMYFUNCTION("REGEXREPLACE(C22897,""-\d+(.*)|--\d+(.*)"","""")"),"SAULCES-CHAMPENOISES")</f>
        <v>SAULCES-CHAMPENOISES</v>
      </c>
      <c r="E22897" s="38" t="s">
        <v>327</v>
      </c>
      <c r="F22897" s="38" t="s">
        <v>130</v>
      </c>
      <c r="G22897" s="49" t="str">
        <f t="shared" si="1"/>
        <v>08130</v>
      </c>
      <c r="H22897" s="49" t="str">
        <f t="shared" si="2"/>
        <v>08401</v>
      </c>
    </row>
    <row r="22898">
      <c r="A22898" s="48" t="s">
        <v>10107</v>
      </c>
      <c r="B22898" s="38" t="s">
        <v>27421</v>
      </c>
      <c r="C22898" s="38" t="s">
        <v>27422</v>
      </c>
      <c r="D22898" s="38" t="str">
        <f>IFERROR(__xludf.DUMMYFUNCTION("REGEXREPLACE(C22898,""-\d+(.*)|--\d+(.*)"","""")"),"VENZOLASCA")</f>
        <v>VENZOLASCA</v>
      </c>
      <c r="E22898" s="38" t="s">
        <v>743</v>
      </c>
      <c r="F22898" s="38" t="s">
        <v>607</v>
      </c>
      <c r="G22898" s="49" t="str">
        <f t="shared" si="1"/>
        <v>20215</v>
      </c>
      <c r="H22898" s="49" t="str">
        <f t="shared" si="2"/>
        <v>2B343</v>
      </c>
    </row>
    <row r="22899">
      <c r="A22899" s="48" t="s">
        <v>2993</v>
      </c>
      <c r="B22899" s="38">
        <v>66099.0</v>
      </c>
      <c r="C22899" s="38" t="s">
        <v>27423</v>
      </c>
      <c r="D22899" s="38" t="str">
        <f>IFERROR(__xludf.DUMMYFUNCTION("REGEXREPLACE(C22899,""-\d+(.*)|--\d+(.*)"","""")"),"LLAURO")</f>
        <v>LLAURO</v>
      </c>
      <c r="E22899" s="38" t="s">
        <v>248</v>
      </c>
      <c r="F22899" s="38" t="s">
        <v>119</v>
      </c>
      <c r="G22899" s="49" t="str">
        <f t="shared" si="1"/>
        <v>66300</v>
      </c>
      <c r="H22899" s="49">
        <f t="shared" si="2"/>
        <v>66099</v>
      </c>
    </row>
    <row r="22900">
      <c r="A22900" s="48" t="s">
        <v>5589</v>
      </c>
      <c r="B22900" s="38">
        <v>29263.0</v>
      </c>
      <c r="C22900" s="38" t="s">
        <v>27424</v>
      </c>
      <c r="D22900" s="38" t="str">
        <f>IFERROR(__xludf.DUMMYFUNCTION("REGEXREPLACE(C22900,""-\d+(.*)|--\d+(.*)"","""")"),"SAINT-SEGAL")</f>
        <v>SAINT-SEGAL</v>
      </c>
      <c r="E22900" s="38" t="s">
        <v>176</v>
      </c>
      <c r="F22900" s="38" t="s">
        <v>90</v>
      </c>
      <c r="G22900" s="49" t="str">
        <f t="shared" si="1"/>
        <v>29590</v>
      </c>
      <c r="H22900" s="49">
        <f t="shared" si="2"/>
        <v>29263</v>
      </c>
    </row>
    <row r="22901">
      <c r="A22901" s="48" t="s">
        <v>4706</v>
      </c>
      <c r="B22901" s="38">
        <v>74175.0</v>
      </c>
      <c r="C22901" s="38" t="s">
        <v>27425</v>
      </c>
      <c r="D22901" s="38" t="str">
        <f>IFERROR(__xludf.DUMMYFUNCTION("REGEXREPLACE(C22901,""-\d+(.*)|--\d+(.*)"","""")"),"MEILLERIE")</f>
        <v>MEILLERIE</v>
      </c>
      <c r="E22901" s="38" t="s">
        <v>319</v>
      </c>
      <c r="F22901" s="38" t="s">
        <v>102</v>
      </c>
      <c r="G22901" s="49" t="str">
        <f t="shared" si="1"/>
        <v>74500</v>
      </c>
      <c r="H22901" s="49">
        <f t="shared" si="2"/>
        <v>74175</v>
      </c>
    </row>
    <row r="22902">
      <c r="A22902" s="48" t="s">
        <v>1754</v>
      </c>
      <c r="B22902" s="38">
        <v>14580.0</v>
      </c>
      <c r="C22902" s="38" t="s">
        <v>27426</v>
      </c>
      <c r="D22902" s="38" t="str">
        <f>IFERROR(__xludf.DUMMYFUNCTION("REGEXREPLACE(C22902,""-\d+(.*)|--\d+(.*)"","""")"),"SAINT-GEORGES-EN-AUGE")</f>
        <v>SAINT-GEORGES-EN-AUGE</v>
      </c>
      <c r="E22902" s="38" t="s">
        <v>137</v>
      </c>
      <c r="F22902" s="38" t="s">
        <v>138</v>
      </c>
      <c r="G22902" s="49" t="str">
        <f t="shared" si="1"/>
        <v>14140</v>
      </c>
      <c r="H22902" s="49">
        <f t="shared" si="2"/>
        <v>14580</v>
      </c>
    </row>
    <row r="22903">
      <c r="A22903" s="48" t="s">
        <v>4354</v>
      </c>
      <c r="B22903" s="38">
        <v>72292.0</v>
      </c>
      <c r="C22903" s="38" t="s">
        <v>27427</v>
      </c>
      <c r="D22903" s="38" t="str">
        <f>IFERROR(__xludf.DUMMYFUNCTION("REGEXREPLACE(C22903,""-\d+(.*)|--\d+(.*)"","""")"),"SAINT-JEAN-DES-ECHELLES")</f>
        <v>SAINT-JEAN-DES-ECHELLES</v>
      </c>
      <c r="E22903" s="38" t="s">
        <v>521</v>
      </c>
      <c r="F22903" s="38" t="s">
        <v>180</v>
      </c>
      <c r="G22903" s="49" t="str">
        <f t="shared" si="1"/>
        <v>72320</v>
      </c>
      <c r="H22903" s="49">
        <f t="shared" si="2"/>
        <v>72292</v>
      </c>
    </row>
    <row r="22904">
      <c r="A22904" s="48" t="s">
        <v>9044</v>
      </c>
      <c r="B22904" s="38">
        <v>32396.0</v>
      </c>
      <c r="C22904" s="38" t="s">
        <v>27428</v>
      </c>
      <c r="D22904" s="38" t="str">
        <f>IFERROR(__xludf.DUMMYFUNCTION("REGEXREPLACE(C22904,""-\d+(.*)|--\d+(.*)"","""")"),"SAINT-MEZARD")</f>
        <v>SAINT-MEZARD</v>
      </c>
      <c r="E22904" s="38" t="s">
        <v>440</v>
      </c>
      <c r="F22904" s="38" t="s">
        <v>94</v>
      </c>
      <c r="G22904" s="49" t="str">
        <f t="shared" si="1"/>
        <v>32700</v>
      </c>
      <c r="H22904" s="49">
        <f t="shared" si="2"/>
        <v>32396</v>
      </c>
    </row>
    <row r="22905">
      <c r="A22905" s="48" t="s">
        <v>458</v>
      </c>
      <c r="B22905" s="38">
        <v>34343.0</v>
      </c>
      <c r="C22905" s="38" t="s">
        <v>27429</v>
      </c>
      <c r="D22905" s="38" t="str">
        <f>IFERROR(__xludf.DUMMYFUNCTION("REGEXREPLACE(C22905,""-\d+(.*)|--\d+(.*)"","""")"),"VIOLS-LE-FORT")</f>
        <v>VIOLS-LE-FORT</v>
      </c>
      <c r="E22905" s="38" t="s">
        <v>118</v>
      </c>
      <c r="F22905" s="38" t="s">
        <v>119</v>
      </c>
      <c r="G22905" s="49" t="str">
        <f t="shared" si="1"/>
        <v>34380</v>
      </c>
      <c r="H22905" s="49">
        <f t="shared" si="2"/>
        <v>34343</v>
      </c>
    </row>
    <row r="22906">
      <c r="A22906" s="48" t="s">
        <v>5759</v>
      </c>
      <c r="B22906" s="38">
        <v>59342.0</v>
      </c>
      <c r="C22906" s="38" t="s">
        <v>27430</v>
      </c>
      <c r="D22906" s="38" t="str">
        <f>IFERROR(__xludf.DUMMYFUNCTION("REGEXREPLACE(C22906,""-\d+(.*)|--\d+(.*)"","""")"),"LEZ-FONTAINE")</f>
        <v>LEZ-FONTAINE</v>
      </c>
      <c r="E22906" s="38" t="s">
        <v>85</v>
      </c>
      <c r="F22906" s="38" t="s">
        <v>86</v>
      </c>
      <c r="G22906" s="49" t="str">
        <f t="shared" si="1"/>
        <v>59740</v>
      </c>
      <c r="H22906" s="49">
        <f t="shared" si="2"/>
        <v>59342</v>
      </c>
    </row>
    <row r="22907">
      <c r="A22907" s="48" t="s">
        <v>7514</v>
      </c>
      <c r="B22907" s="38">
        <v>88194.0</v>
      </c>
      <c r="C22907" s="38" t="s">
        <v>27431</v>
      </c>
      <c r="D22907" s="38" t="str">
        <f>IFERROR(__xludf.DUMMYFUNCTION("REGEXREPLACE(C22907,""-\d+(.*)|--\d+(.*)"","""")"),"GEMMELAINCOURT")</f>
        <v>GEMMELAINCOURT</v>
      </c>
      <c r="E22907" s="38" t="s">
        <v>194</v>
      </c>
      <c r="F22907" s="38" t="s">
        <v>195</v>
      </c>
      <c r="G22907" s="49" t="str">
        <f t="shared" si="1"/>
        <v>88170</v>
      </c>
      <c r="H22907" s="49">
        <f t="shared" si="2"/>
        <v>88194</v>
      </c>
    </row>
    <row r="22908">
      <c r="A22908" s="48" t="s">
        <v>447</v>
      </c>
      <c r="B22908" s="38">
        <v>88388.0</v>
      </c>
      <c r="C22908" s="38" t="s">
        <v>27432</v>
      </c>
      <c r="D22908" s="38" t="str">
        <f>IFERROR(__xludf.DUMMYFUNCTION("REGEXREPLACE(C22908,""-\d+(.*)|--\d+(.*)"","""")"),"RENAUVOID")</f>
        <v>RENAUVOID</v>
      </c>
      <c r="E22908" s="38" t="s">
        <v>194</v>
      </c>
      <c r="F22908" s="38" t="s">
        <v>195</v>
      </c>
      <c r="G22908" s="49" t="str">
        <f t="shared" si="1"/>
        <v>88390</v>
      </c>
      <c r="H22908" s="49">
        <f t="shared" si="2"/>
        <v>88388</v>
      </c>
    </row>
    <row r="22909">
      <c r="A22909" s="48" t="s">
        <v>7988</v>
      </c>
      <c r="B22909" s="38">
        <v>24574.0</v>
      </c>
      <c r="C22909" s="38" t="s">
        <v>27433</v>
      </c>
      <c r="D22909" s="38" t="str">
        <f>IFERROR(__xludf.DUMMYFUNCTION("REGEXREPLACE(C22909,""-\d+(.*)|--\d+(.*)"","""")"),"VEYRIGNAC")</f>
        <v>VEYRIGNAC</v>
      </c>
      <c r="E22909" s="38" t="s">
        <v>261</v>
      </c>
      <c r="F22909" s="38" t="s">
        <v>252</v>
      </c>
      <c r="G22909" s="49" t="str">
        <f t="shared" si="1"/>
        <v>24370</v>
      </c>
      <c r="H22909" s="49">
        <f t="shared" si="2"/>
        <v>24574</v>
      </c>
    </row>
    <row r="22910">
      <c r="A22910" s="48" t="s">
        <v>4267</v>
      </c>
      <c r="B22910" s="38">
        <v>62453.0</v>
      </c>
      <c r="C22910" s="38" t="s">
        <v>27434</v>
      </c>
      <c r="D22910" s="38" t="str">
        <f>IFERROR(__xludf.DUMMYFUNCTION("REGEXREPLACE(C22910,""-\d+(.*)|--\d+(.*)"","""")"),"HEZECQUES")</f>
        <v>HEZECQUES</v>
      </c>
      <c r="E22910" s="38" t="s">
        <v>109</v>
      </c>
      <c r="F22910" s="38" t="s">
        <v>86</v>
      </c>
      <c r="G22910" s="49" t="str">
        <f t="shared" si="1"/>
        <v>62310</v>
      </c>
      <c r="H22910" s="49">
        <f t="shared" si="2"/>
        <v>62453</v>
      </c>
    </row>
    <row r="22911">
      <c r="A22911" s="48" t="s">
        <v>466</v>
      </c>
      <c r="B22911" s="38">
        <v>52440.0</v>
      </c>
      <c r="C22911" s="38" t="s">
        <v>27435</v>
      </c>
      <c r="D22911" s="38" t="str">
        <f>IFERROR(__xludf.DUMMYFUNCTION("REGEXREPLACE(C22911,""-\d+(.*)|--\d+(.*)"","""")"),"ROUVROY-SUR-MARNE")</f>
        <v>ROUVROY-SUR-MARNE</v>
      </c>
      <c r="E22911" s="38" t="s">
        <v>234</v>
      </c>
      <c r="F22911" s="38" t="s">
        <v>130</v>
      </c>
      <c r="G22911" s="49" t="str">
        <f t="shared" si="1"/>
        <v>52300</v>
      </c>
      <c r="H22911" s="49">
        <f t="shared" si="2"/>
        <v>52440</v>
      </c>
    </row>
    <row r="22912">
      <c r="A22912" s="48" t="s">
        <v>3675</v>
      </c>
      <c r="B22912" s="38">
        <v>58197.0</v>
      </c>
      <c r="C22912" s="38" t="s">
        <v>27436</v>
      </c>
      <c r="D22912" s="38" t="str">
        <f>IFERROR(__xludf.DUMMYFUNCTION("REGEXREPLACE(C22912,""-\d+(.*)|--\d+(.*)"","""")"),"NUARS")</f>
        <v>NUARS</v>
      </c>
      <c r="E22912" s="38" t="s">
        <v>219</v>
      </c>
      <c r="F22912" s="38" t="s">
        <v>106</v>
      </c>
      <c r="G22912" s="49" t="str">
        <f t="shared" si="1"/>
        <v>58190</v>
      </c>
      <c r="H22912" s="49">
        <f t="shared" si="2"/>
        <v>58197</v>
      </c>
    </row>
    <row r="22913">
      <c r="A22913" s="48" t="s">
        <v>27437</v>
      </c>
      <c r="B22913" s="38">
        <v>62261.0</v>
      </c>
      <c r="C22913" s="38" t="s">
        <v>27438</v>
      </c>
      <c r="D22913" s="38" t="str">
        <f>IFERROR(__xludf.DUMMYFUNCTION("REGEXREPLACE(C22913,""-\d+(.*)|--\d+(.*)"","""")"),"CUCQ")</f>
        <v>CUCQ</v>
      </c>
      <c r="E22913" s="38" t="s">
        <v>109</v>
      </c>
      <c r="F22913" s="38" t="s">
        <v>86</v>
      </c>
      <c r="G22913" s="49" t="str">
        <f t="shared" si="1"/>
        <v>62780</v>
      </c>
      <c r="H22913" s="49">
        <f t="shared" si="2"/>
        <v>62261</v>
      </c>
    </row>
    <row r="22914">
      <c r="A22914" s="48" t="s">
        <v>5200</v>
      </c>
      <c r="B22914" s="38">
        <v>45020.0</v>
      </c>
      <c r="C22914" s="38" t="s">
        <v>27439</v>
      </c>
      <c r="D22914" s="38" t="str">
        <f>IFERROR(__xludf.DUMMYFUNCTION("REGEXREPLACE(C22914,""-\d+(.*)|--\d+(.*)"","""")"),"LE BARDON")</f>
        <v>LE BARDON</v>
      </c>
      <c r="E22914" s="38" t="s">
        <v>122</v>
      </c>
      <c r="F22914" s="38" t="s">
        <v>123</v>
      </c>
      <c r="G22914" s="49" t="str">
        <f t="shared" si="1"/>
        <v>45130</v>
      </c>
      <c r="H22914" s="49">
        <f t="shared" si="2"/>
        <v>45020</v>
      </c>
    </row>
    <row r="22915">
      <c r="A22915" s="48" t="s">
        <v>27440</v>
      </c>
      <c r="B22915" s="38">
        <v>78531.0</v>
      </c>
      <c r="C22915" s="38" t="s">
        <v>27441</v>
      </c>
      <c r="D22915" s="38" t="str">
        <f>IFERROR(__xludf.DUMMYFUNCTION("REGEXREPLACE(C22915,""-\d+(.*)|--\d+(.*)"","""")"),"ROSNY-SUR-SEINE")</f>
        <v>ROSNY-SUR-SEINE</v>
      </c>
      <c r="E22915" s="38" t="s">
        <v>362</v>
      </c>
      <c r="F22915" s="38" t="s">
        <v>245</v>
      </c>
      <c r="G22915" s="49" t="str">
        <f t="shared" si="1"/>
        <v>78710</v>
      </c>
      <c r="H22915" s="49">
        <f t="shared" si="2"/>
        <v>78531</v>
      </c>
    </row>
    <row r="22916">
      <c r="A22916" s="48" t="s">
        <v>3311</v>
      </c>
      <c r="B22916" s="38">
        <v>19260.0</v>
      </c>
      <c r="C22916" s="38" t="s">
        <v>27442</v>
      </c>
      <c r="D22916" s="38" t="str">
        <f>IFERROR(__xludf.DUMMYFUNCTION("REGEXREPLACE(C22916,""-\d+(.*)|--\d+(.*)"","""")"),"SIONIAC")</f>
        <v>SIONIAC</v>
      </c>
      <c r="E22916" s="38" t="s">
        <v>271</v>
      </c>
      <c r="F22916" s="38" t="s">
        <v>98</v>
      </c>
      <c r="G22916" s="49" t="str">
        <f t="shared" si="1"/>
        <v>19120</v>
      </c>
      <c r="H22916" s="49">
        <f t="shared" si="2"/>
        <v>19260</v>
      </c>
    </row>
    <row r="22917">
      <c r="A22917" s="48" t="s">
        <v>1358</v>
      </c>
      <c r="B22917" s="38">
        <v>81133.0</v>
      </c>
      <c r="C22917" s="38" t="s">
        <v>27443</v>
      </c>
      <c r="D22917" s="38" t="str">
        <f>IFERROR(__xludf.DUMMYFUNCTION("REGEXREPLACE(C22917,""-\d+(.*)|--\d+(.*)"","""")"),"LAMILLARIE")</f>
        <v>LAMILLARIE</v>
      </c>
      <c r="E22917" s="38" t="s">
        <v>231</v>
      </c>
      <c r="F22917" s="38" t="s">
        <v>94</v>
      </c>
      <c r="G22917" s="49" t="str">
        <f t="shared" si="1"/>
        <v>81120</v>
      </c>
      <c r="H22917" s="49">
        <f t="shared" si="2"/>
        <v>81133</v>
      </c>
    </row>
    <row r="22918">
      <c r="A22918" s="48" t="s">
        <v>27444</v>
      </c>
      <c r="B22918" s="38">
        <v>23131.0</v>
      </c>
      <c r="C22918" s="38" t="s">
        <v>27445</v>
      </c>
      <c r="D22918" s="38" t="str">
        <f>IFERROR(__xludf.DUMMYFUNCTION("REGEXREPLACE(C22918,""-\d+(.*)|--\d+(.*)"","""")"),"MERINCHAL")</f>
        <v>MERINCHAL</v>
      </c>
      <c r="E22918" s="38" t="s">
        <v>97</v>
      </c>
      <c r="F22918" s="38" t="s">
        <v>98</v>
      </c>
      <c r="G22918" s="49" t="str">
        <f t="shared" si="1"/>
        <v>23420</v>
      </c>
      <c r="H22918" s="49">
        <f t="shared" si="2"/>
        <v>23131</v>
      </c>
    </row>
    <row r="22919">
      <c r="A22919" s="48" t="s">
        <v>1686</v>
      </c>
      <c r="B22919" s="38">
        <v>51249.0</v>
      </c>
      <c r="C22919" s="38" t="s">
        <v>27446</v>
      </c>
      <c r="D22919" s="38" t="str">
        <f>IFERROR(__xludf.DUMMYFUNCTION("REGEXREPLACE(C22919,""-\d+(.*)|--\d+(.*)"","""")"),"FESTIGNY")</f>
        <v>FESTIGNY</v>
      </c>
      <c r="E22919" s="38" t="s">
        <v>129</v>
      </c>
      <c r="F22919" s="38" t="s">
        <v>130</v>
      </c>
      <c r="G22919" s="49" t="str">
        <f t="shared" si="1"/>
        <v>51700</v>
      </c>
      <c r="H22919" s="49">
        <f t="shared" si="2"/>
        <v>51249</v>
      </c>
    </row>
    <row r="22920">
      <c r="A22920" s="48" t="s">
        <v>18553</v>
      </c>
      <c r="B22920" s="38">
        <v>57367.0</v>
      </c>
      <c r="C22920" s="38" t="s">
        <v>27447</v>
      </c>
      <c r="D22920" s="38" t="str">
        <f>IFERROR(__xludf.DUMMYFUNCTION("REGEXREPLACE(C22920,""-\d+(.*)|--\d+(.*)"","""")"),"KLANG")</f>
        <v>KLANG</v>
      </c>
      <c r="E22920" s="38" t="s">
        <v>303</v>
      </c>
      <c r="F22920" s="38" t="s">
        <v>195</v>
      </c>
      <c r="G22920" s="49" t="str">
        <f t="shared" si="1"/>
        <v>57920</v>
      </c>
      <c r="H22920" s="49">
        <f t="shared" si="2"/>
        <v>57367</v>
      </c>
    </row>
    <row r="22921">
      <c r="A22921" s="48" t="s">
        <v>3430</v>
      </c>
      <c r="B22921" s="38">
        <v>84040.0</v>
      </c>
      <c r="C22921" s="38" t="s">
        <v>27448</v>
      </c>
      <c r="D22921" s="38" t="str">
        <f>IFERROR(__xludf.DUMMYFUNCTION("REGEXREPLACE(C22921,""-\d+(.*)|--\d+(.*)"","""")"),"CRESTET")</f>
        <v>CRESTET</v>
      </c>
      <c r="E22921" s="38" t="s">
        <v>1026</v>
      </c>
      <c r="F22921" s="38" t="s">
        <v>228</v>
      </c>
      <c r="G22921" s="49" t="str">
        <f t="shared" si="1"/>
        <v>84110</v>
      </c>
      <c r="H22921" s="49">
        <f t="shared" si="2"/>
        <v>84040</v>
      </c>
    </row>
    <row r="22922">
      <c r="A22922" s="48" t="s">
        <v>4701</v>
      </c>
      <c r="B22922" s="38">
        <v>62664.0</v>
      </c>
      <c r="C22922" s="38" t="s">
        <v>27449</v>
      </c>
      <c r="D22922" s="38" t="str">
        <f>IFERROR(__xludf.DUMMYFUNCTION("REGEXREPLACE(C22922,""-\d+(.*)|--\d+(.*)"","""")"),"POMMIER")</f>
        <v>POMMIER</v>
      </c>
      <c r="E22922" s="38" t="s">
        <v>109</v>
      </c>
      <c r="F22922" s="38" t="s">
        <v>86</v>
      </c>
      <c r="G22922" s="49" t="str">
        <f t="shared" si="1"/>
        <v>62111</v>
      </c>
      <c r="H22922" s="49">
        <f t="shared" si="2"/>
        <v>62664</v>
      </c>
    </row>
    <row r="22923">
      <c r="A22923" s="48" t="s">
        <v>2136</v>
      </c>
      <c r="B22923" s="38">
        <v>52426.0</v>
      </c>
      <c r="C22923" s="38" t="s">
        <v>27450</v>
      </c>
      <c r="D22923" s="38" t="str">
        <f>IFERROR(__xludf.DUMMYFUNCTION("REGEXREPLACE(C22923,""-\d+(.*)|--\d+(.*)"","""")"),"RIZAUCOURT-BUCHEY")</f>
        <v>RIZAUCOURT-BUCHEY</v>
      </c>
      <c r="E22923" s="38" t="s">
        <v>234</v>
      </c>
      <c r="F22923" s="38" t="s">
        <v>130</v>
      </c>
      <c r="G22923" s="49" t="str">
        <f t="shared" si="1"/>
        <v>52330</v>
      </c>
      <c r="H22923" s="49">
        <f t="shared" si="2"/>
        <v>52426</v>
      </c>
    </row>
    <row r="22924">
      <c r="A22924" s="48" t="s">
        <v>1469</v>
      </c>
      <c r="B22924" s="38">
        <v>71170.0</v>
      </c>
      <c r="C22924" s="38" t="s">
        <v>27451</v>
      </c>
      <c r="D22924" s="38" t="str">
        <f>IFERROR(__xludf.DUMMYFUNCTION("REGEXREPLACE(C22924,""-\d+(.*)|--\d+(.*)"","""")"),"DEMIGNY")</f>
        <v>DEMIGNY</v>
      </c>
      <c r="E22924" s="38" t="s">
        <v>344</v>
      </c>
      <c r="F22924" s="38" t="s">
        <v>106</v>
      </c>
      <c r="G22924" s="49" t="str">
        <f t="shared" si="1"/>
        <v>71150</v>
      </c>
      <c r="H22924" s="49">
        <f t="shared" si="2"/>
        <v>71170</v>
      </c>
    </row>
    <row r="22925">
      <c r="A22925" s="48" t="s">
        <v>3428</v>
      </c>
      <c r="B22925" s="38">
        <v>64342.0</v>
      </c>
      <c r="C22925" s="38" t="s">
        <v>27452</v>
      </c>
      <c r="D22925" s="38" t="str">
        <f>IFERROR(__xludf.DUMMYFUNCTION("REGEXREPLACE(C22925,""-\d+(.*)|--\d+(.*)"","""")"),"LICQ-ATHEREY")</f>
        <v>LICQ-ATHEREY</v>
      </c>
      <c r="E22925" s="38" t="s">
        <v>268</v>
      </c>
      <c r="F22925" s="38" t="s">
        <v>252</v>
      </c>
      <c r="G22925" s="49" t="str">
        <f t="shared" si="1"/>
        <v>64560</v>
      </c>
      <c r="H22925" s="49">
        <f t="shared" si="2"/>
        <v>64342</v>
      </c>
    </row>
    <row r="22926">
      <c r="A22926" s="48" t="s">
        <v>1646</v>
      </c>
      <c r="B22926" s="38">
        <v>24365.0</v>
      </c>
      <c r="C22926" s="38" t="s">
        <v>27453</v>
      </c>
      <c r="D22926" s="38" t="str">
        <f>IFERROR(__xludf.DUMMYFUNCTION("REGEXREPLACE(C22926,""-\d+(.*)|--\d+(.*)"","""")"),"SAINT-AMAND-DE-VERGT")</f>
        <v>SAINT-AMAND-DE-VERGT</v>
      </c>
      <c r="E22926" s="38" t="s">
        <v>261</v>
      </c>
      <c r="F22926" s="38" t="s">
        <v>252</v>
      </c>
      <c r="G22926" s="49" t="str">
        <f t="shared" si="1"/>
        <v>24380</v>
      </c>
      <c r="H22926" s="49">
        <f t="shared" si="2"/>
        <v>24365</v>
      </c>
    </row>
    <row r="22927">
      <c r="A22927" s="48" t="s">
        <v>23957</v>
      </c>
      <c r="B22927" s="38">
        <v>30221.0</v>
      </c>
      <c r="C22927" s="38" t="s">
        <v>27454</v>
      </c>
      <c r="D22927" s="38" t="str">
        <f>IFERROR(__xludf.DUMMYFUNCTION("REGEXREPLACE(C22927,""-\d+(.*)|--\d+(.*)"","""")"),"ROQUEMAURE")</f>
        <v>ROQUEMAURE</v>
      </c>
      <c r="E22927" s="38" t="s">
        <v>526</v>
      </c>
      <c r="F22927" s="38" t="s">
        <v>119</v>
      </c>
      <c r="G22927" s="49" t="str">
        <f t="shared" si="1"/>
        <v>30150</v>
      </c>
      <c r="H22927" s="49">
        <f t="shared" si="2"/>
        <v>30221</v>
      </c>
    </row>
    <row r="22928">
      <c r="A22928" s="48" t="s">
        <v>3831</v>
      </c>
      <c r="B22928" s="38">
        <v>63177.0</v>
      </c>
      <c r="C22928" s="38" t="s">
        <v>27455</v>
      </c>
      <c r="D22928" s="38" t="str">
        <f>IFERROR(__xludf.DUMMYFUNCTION("REGEXREPLACE(C22928,""-\d+(.*)|--\d+(.*)"","""")"),"ISSERTEAUX")</f>
        <v>ISSERTEAUX</v>
      </c>
      <c r="E22928" s="38" t="s">
        <v>353</v>
      </c>
      <c r="F22928" s="38" t="s">
        <v>161</v>
      </c>
      <c r="G22928" s="49" t="str">
        <f t="shared" si="1"/>
        <v>63270</v>
      </c>
      <c r="H22928" s="49">
        <f t="shared" si="2"/>
        <v>63177</v>
      </c>
    </row>
    <row r="22929">
      <c r="A22929" s="48" t="s">
        <v>771</v>
      </c>
      <c r="B22929" s="38">
        <v>60011.0</v>
      </c>
      <c r="C22929" s="38" t="s">
        <v>27456</v>
      </c>
      <c r="D22929" s="38" t="str">
        <f>IFERROR(__xludf.DUMMYFUNCTION("REGEXREPLACE(C22929,""-\d+(.*)|--\d+(.*)"","""")"),"AMY")</f>
        <v>AMY</v>
      </c>
      <c r="E22929" s="38" t="s">
        <v>112</v>
      </c>
      <c r="F22929" s="38" t="s">
        <v>113</v>
      </c>
      <c r="G22929" s="49" t="str">
        <f t="shared" si="1"/>
        <v>60310</v>
      </c>
      <c r="H22929" s="49">
        <f t="shared" si="2"/>
        <v>60011</v>
      </c>
    </row>
    <row r="22930">
      <c r="A22930" s="48" t="s">
        <v>954</v>
      </c>
      <c r="B22930" s="38">
        <v>70417.0</v>
      </c>
      <c r="C22930" s="38" t="s">
        <v>27457</v>
      </c>
      <c r="D22930" s="38" t="str">
        <f>IFERROR(__xludf.DUMMYFUNCTION("REGEXREPLACE(C22930,""-\d+(.*)|--\d+(.*)"","""")"),"PONTCEY")</f>
        <v>PONTCEY</v>
      </c>
      <c r="E22930" s="38" t="s">
        <v>956</v>
      </c>
      <c r="F22930" s="38" t="s">
        <v>214</v>
      </c>
      <c r="G22930" s="49" t="str">
        <f t="shared" si="1"/>
        <v>70360</v>
      </c>
      <c r="H22930" s="49">
        <f t="shared" si="2"/>
        <v>70417</v>
      </c>
    </row>
    <row r="22931">
      <c r="A22931" s="48" t="s">
        <v>3404</v>
      </c>
      <c r="B22931" s="38">
        <v>39173.0</v>
      </c>
      <c r="C22931" s="38" t="s">
        <v>27458</v>
      </c>
      <c r="D22931" s="38" t="str">
        <f>IFERROR(__xludf.DUMMYFUNCTION("REGEXREPLACE(C22931,""-\d+(.*)|--\d+(.*)"","""")"),"COUSANCE")</f>
        <v>COUSANCE</v>
      </c>
      <c r="E22931" s="38" t="s">
        <v>400</v>
      </c>
      <c r="F22931" s="38" t="s">
        <v>214</v>
      </c>
      <c r="G22931" s="49" t="str">
        <f t="shared" si="1"/>
        <v>39190</v>
      </c>
      <c r="H22931" s="49">
        <f t="shared" si="2"/>
        <v>39173</v>
      </c>
    </row>
    <row r="22932">
      <c r="A22932" s="48" t="s">
        <v>2960</v>
      </c>
      <c r="B22932" s="38">
        <v>86106.0</v>
      </c>
      <c r="C22932" s="38" t="s">
        <v>27459</v>
      </c>
      <c r="D22932" s="38" t="str">
        <f>IFERROR(__xludf.DUMMYFUNCTION("REGEXREPLACE(C22932,""-\d+(.*)|--\d+(.*)"","""")"),"GLENOUZE")</f>
        <v>GLENOUZE</v>
      </c>
      <c r="E22932" s="38" t="s">
        <v>529</v>
      </c>
      <c r="F22932" s="38" t="s">
        <v>338</v>
      </c>
      <c r="G22932" s="49" t="str">
        <f t="shared" si="1"/>
        <v>86200</v>
      </c>
      <c r="H22932" s="49">
        <f t="shared" si="2"/>
        <v>86106</v>
      </c>
    </row>
    <row r="22933">
      <c r="A22933" s="48" t="s">
        <v>7239</v>
      </c>
      <c r="B22933" s="38">
        <v>24515.0</v>
      </c>
      <c r="C22933" s="38" t="s">
        <v>27460</v>
      </c>
      <c r="D22933" s="38" t="str">
        <f>IFERROR(__xludf.DUMMYFUNCTION("REGEXREPLACE(C22933,""-\d+(.*)|--\d+(.*)"","""")"),"SALAGNAC")</f>
        <v>SALAGNAC</v>
      </c>
      <c r="E22933" s="38" t="s">
        <v>261</v>
      </c>
      <c r="F22933" s="38" t="s">
        <v>252</v>
      </c>
      <c r="G22933" s="49" t="str">
        <f t="shared" si="1"/>
        <v>24160</v>
      </c>
      <c r="H22933" s="49">
        <f t="shared" si="2"/>
        <v>24515</v>
      </c>
    </row>
    <row r="22934">
      <c r="A22934" s="48" t="s">
        <v>27461</v>
      </c>
      <c r="B22934" s="38">
        <v>92024.0</v>
      </c>
      <c r="C22934" s="38" t="s">
        <v>27462</v>
      </c>
      <c r="D22934" s="38" t="str">
        <f>IFERROR(__xludf.DUMMYFUNCTION("REGEXREPLACE(C22934,""-\d+(.*)|--\d+(.*)"","""")"),"CLICHY")</f>
        <v>CLICHY</v>
      </c>
      <c r="E22934" s="38" t="s">
        <v>838</v>
      </c>
      <c r="F22934" s="38" t="s">
        <v>245</v>
      </c>
      <c r="G22934" s="49" t="str">
        <f t="shared" si="1"/>
        <v>92110</v>
      </c>
      <c r="H22934" s="49">
        <f t="shared" si="2"/>
        <v>92024</v>
      </c>
    </row>
    <row r="22935">
      <c r="A22935" s="48" t="s">
        <v>27463</v>
      </c>
      <c r="B22935" s="38">
        <v>80700.0</v>
      </c>
      <c r="C22935" s="38" t="s">
        <v>27464</v>
      </c>
      <c r="D22935" s="38" t="str">
        <f>IFERROR(__xludf.DUMMYFUNCTION("REGEXREPLACE(C22935,""-\d+(.*)|--\d+(.*)"","""")"),"SAINT-BLIMONT")</f>
        <v>SAINT-BLIMONT</v>
      </c>
      <c r="E22935" s="38" t="s">
        <v>224</v>
      </c>
      <c r="F22935" s="38" t="s">
        <v>113</v>
      </c>
      <c r="G22935" s="49" t="str">
        <f t="shared" si="1"/>
        <v>80960</v>
      </c>
      <c r="H22935" s="49">
        <f t="shared" si="2"/>
        <v>80700</v>
      </c>
    </row>
    <row r="22936">
      <c r="A22936" s="48" t="s">
        <v>1892</v>
      </c>
      <c r="B22936" s="38">
        <v>67511.0</v>
      </c>
      <c r="C22936" s="38" t="s">
        <v>27465</v>
      </c>
      <c r="D22936" s="38" t="str">
        <f>IFERROR(__xludf.DUMMYFUNCTION("REGEXREPLACE(C22936,""-\d+(.*)|--\d+(.*)"","""")"),"WALBOURG")</f>
        <v>WALBOURG</v>
      </c>
      <c r="E22936" s="38" t="s">
        <v>210</v>
      </c>
      <c r="F22936" s="38" t="s">
        <v>151</v>
      </c>
      <c r="G22936" s="49" t="str">
        <f t="shared" si="1"/>
        <v>67360</v>
      </c>
      <c r="H22936" s="49">
        <f t="shared" si="2"/>
        <v>67511</v>
      </c>
    </row>
    <row r="22937">
      <c r="A22937" s="48" t="s">
        <v>3087</v>
      </c>
      <c r="B22937" s="38">
        <v>64358.0</v>
      </c>
      <c r="C22937" s="38" t="s">
        <v>27466</v>
      </c>
      <c r="D22937" s="38" t="str">
        <f>IFERROR(__xludf.DUMMYFUNCTION("REGEXREPLACE(C22937,""-\d+(.*)|--\d+(.*)"","""")"),"LUCGARIER")</f>
        <v>LUCGARIER</v>
      </c>
      <c r="E22937" s="38" t="s">
        <v>268</v>
      </c>
      <c r="F22937" s="38" t="s">
        <v>252</v>
      </c>
      <c r="G22937" s="49" t="str">
        <f t="shared" si="1"/>
        <v>64420</v>
      </c>
      <c r="H22937" s="49">
        <f t="shared" si="2"/>
        <v>64358</v>
      </c>
    </row>
    <row r="22938">
      <c r="A22938" s="48" t="s">
        <v>3798</v>
      </c>
      <c r="B22938" s="38">
        <v>85051.0</v>
      </c>
      <c r="C22938" s="38" t="s">
        <v>27467</v>
      </c>
      <c r="D22938" s="38" t="str">
        <f>IFERROR(__xludf.DUMMYFUNCTION("REGEXREPLACE(C22938,""-\d+(.*)|--\d+(.*)"","""")"),"CHANTONNAY")</f>
        <v>CHANTONNAY</v>
      </c>
      <c r="E22938" s="38" t="s">
        <v>179</v>
      </c>
      <c r="F22938" s="38" t="s">
        <v>180</v>
      </c>
      <c r="G22938" s="49" t="str">
        <f t="shared" si="1"/>
        <v>85110</v>
      </c>
      <c r="H22938" s="49">
        <f t="shared" si="2"/>
        <v>85051</v>
      </c>
    </row>
    <row r="22939">
      <c r="A22939" s="48" t="s">
        <v>902</v>
      </c>
      <c r="B22939" s="38">
        <v>21213.0</v>
      </c>
      <c r="C22939" s="38" t="s">
        <v>27468</v>
      </c>
      <c r="D22939" s="38" t="str">
        <f>IFERROR(__xludf.DUMMYFUNCTION("REGEXREPLACE(C22939,""-\d+(.*)|--\d+(.*)"","""")"),"CRIMOLOIS")</f>
        <v>CRIMOLOIS</v>
      </c>
      <c r="E22939" s="38" t="s">
        <v>105</v>
      </c>
      <c r="F22939" s="38" t="s">
        <v>106</v>
      </c>
      <c r="G22939" s="49" t="str">
        <f t="shared" si="1"/>
        <v>21800</v>
      </c>
      <c r="H22939" s="49">
        <f t="shared" si="2"/>
        <v>21213</v>
      </c>
    </row>
    <row r="22940">
      <c r="A22940" s="48" t="s">
        <v>2485</v>
      </c>
      <c r="B22940" s="38">
        <v>78537.0</v>
      </c>
      <c r="C22940" s="38" t="s">
        <v>27469</v>
      </c>
      <c r="D22940" s="38" t="str">
        <f>IFERROR(__xludf.DUMMYFUNCTION("REGEXREPLACE(C22940,""-\d+(.*)|--\d+(.*)"","""")"),"SAINT-ARNOULT-EN-YVELINES")</f>
        <v>SAINT-ARNOULT-EN-YVELINES</v>
      </c>
      <c r="E22940" s="38" t="s">
        <v>362</v>
      </c>
      <c r="F22940" s="38" t="s">
        <v>245</v>
      </c>
      <c r="G22940" s="49" t="str">
        <f t="shared" si="1"/>
        <v>78730</v>
      </c>
      <c r="H22940" s="49">
        <f t="shared" si="2"/>
        <v>78537</v>
      </c>
    </row>
    <row r="22941">
      <c r="A22941" s="48" t="s">
        <v>1100</v>
      </c>
      <c r="B22941" s="38">
        <v>8286.0</v>
      </c>
      <c r="C22941" s="38" t="s">
        <v>27470</v>
      </c>
      <c r="D22941" s="38" t="str">
        <f>IFERROR(__xludf.DUMMYFUNCTION("REGEXREPLACE(C22941,""-\d+(.*)|--\d+(.*)"","""")"),"MENIL-ANNELLES")</f>
        <v>MENIL-ANNELLES</v>
      </c>
      <c r="E22941" s="38" t="s">
        <v>327</v>
      </c>
      <c r="F22941" s="38" t="s">
        <v>130</v>
      </c>
      <c r="G22941" s="49" t="str">
        <f t="shared" si="1"/>
        <v>08310</v>
      </c>
      <c r="H22941" s="49" t="str">
        <f t="shared" si="2"/>
        <v>08286</v>
      </c>
    </row>
    <row r="22942">
      <c r="A22942" s="48" t="s">
        <v>5320</v>
      </c>
      <c r="B22942" s="38">
        <v>74272.0</v>
      </c>
      <c r="C22942" s="38" t="s">
        <v>27471</v>
      </c>
      <c r="D22942" s="38" t="str">
        <f>IFERROR(__xludf.DUMMYFUNCTION("REGEXREPLACE(C22942,""-\d+(.*)|--\d+(.*)"","""")"),"SILLINGY")</f>
        <v>SILLINGY</v>
      </c>
      <c r="E22942" s="38" t="s">
        <v>319</v>
      </c>
      <c r="F22942" s="38" t="s">
        <v>102</v>
      </c>
      <c r="G22942" s="49" t="str">
        <f t="shared" si="1"/>
        <v>74330</v>
      </c>
      <c r="H22942" s="49">
        <f t="shared" si="2"/>
        <v>74272</v>
      </c>
    </row>
    <row r="22943">
      <c r="A22943" s="48" t="s">
        <v>1968</v>
      </c>
      <c r="B22943" s="38">
        <v>52265.0</v>
      </c>
      <c r="C22943" s="38" t="s">
        <v>27472</v>
      </c>
      <c r="D22943" s="38" t="str">
        <f>IFERROR(__xludf.DUMMYFUNCTION("REGEXREPLACE(C22943,""-\d+(.*)|--\d+(.*)"","""")"),"BAYARD-SUR-MARNE")</f>
        <v>BAYARD-SUR-MARNE</v>
      </c>
      <c r="E22943" s="38" t="s">
        <v>234</v>
      </c>
      <c r="F22943" s="38" t="s">
        <v>130</v>
      </c>
      <c r="G22943" s="49" t="str">
        <f t="shared" si="1"/>
        <v>52170</v>
      </c>
      <c r="H22943" s="49">
        <f t="shared" si="2"/>
        <v>52265</v>
      </c>
    </row>
    <row r="22944">
      <c r="A22944" s="48" t="s">
        <v>1562</v>
      </c>
      <c r="B22944" s="38">
        <v>24029.0</v>
      </c>
      <c r="C22944" s="38" t="s">
        <v>27473</v>
      </c>
      <c r="D22944" s="38" t="str">
        <f>IFERROR(__xludf.DUMMYFUNCTION("REGEXREPLACE(C22944,""-\d+(.*)|--\d+(.*)"","""")"),"BEAUPOUYET")</f>
        <v>BEAUPOUYET</v>
      </c>
      <c r="E22944" s="38" t="s">
        <v>261</v>
      </c>
      <c r="F22944" s="38" t="s">
        <v>252</v>
      </c>
      <c r="G22944" s="49" t="str">
        <f t="shared" si="1"/>
        <v>24400</v>
      </c>
      <c r="H22944" s="49">
        <f t="shared" si="2"/>
        <v>24029</v>
      </c>
    </row>
    <row r="22945">
      <c r="A22945" s="48" t="s">
        <v>807</v>
      </c>
      <c r="B22945" s="38">
        <v>68141.0</v>
      </c>
      <c r="C22945" s="38" t="s">
        <v>27474</v>
      </c>
      <c r="D22945" s="38" t="str">
        <f>IFERROR(__xludf.DUMMYFUNCTION("REGEXREPLACE(C22945,""-\d+(.*)|--\d+(.*)"","""")"),"HOCHSTATT")</f>
        <v>HOCHSTATT</v>
      </c>
      <c r="E22945" s="38" t="s">
        <v>150</v>
      </c>
      <c r="F22945" s="38" t="s">
        <v>151</v>
      </c>
      <c r="G22945" s="49" t="str">
        <f t="shared" si="1"/>
        <v>68720</v>
      </c>
      <c r="H22945" s="49">
        <f t="shared" si="2"/>
        <v>68141</v>
      </c>
    </row>
    <row r="22946">
      <c r="A22946" s="48" t="s">
        <v>2477</v>
      </c>
      <c r="B22946" s="38">
        <v>76392.0</v>
      </c>
      <c r="C22946" s="38" t="s">
        <v>27475</v>
      </c>
      <c r="D22946" s="38" t="str">
        <f>IFERROR(__xludf.DUMMYFUNCTION("REGEXREPLACE(C22946,""-\d+(.*)|--\d+(.*)"","""")"),"LONDINIERES")</f>
        <v>LONDINIERES</v>
      </c>
      <c r="E22946" s="38" t="s">
        <v>133</v>
      </c>
      <c r="F22946" s="38" t="s">
        <v>134</v>
      </c>
      <c r="G22946" s="49" t="str">
        <f t="shared" si="1"/>
        <v>76660</v>
      </c>
      <c r="H22946" s="49">
        <f t="shared" si="2"/>
        <v>76392</v>
      </c>
    </row>
    <row r="22947">
      <c r="A22947" s="48" t="s">
        <v>3609</v>
      </c>
      <c r="B22947" s="38">
        <v>22071.0</v>
      </c>
      <c r="C22947" s="38" t="s">
        <v>27476</v>
      </c>
      <c r="D22947" s="38" t="str">
        <f>IFERROR(__xludf.DUMMYFUNCTION("REGEXREPLACE(C22947,""-\d+(.*)|--\d+(.*)"","""")"),"GUITTE")</f>
        <v>GUITTE</v>
      </c>
      <c r="E22947" s="38" t="s">
        <v>89</v>
      </c>
      <c r="F22947" s="38" t="s">
        <v>90</v>
      </c>
      <c r="G22947" s="49" t="str">
        <f t="shared" si="1"/>
        <v>22350</v>
      </c>
      <c r="H22947" s="49">
        <f t="shared" si="2"/>
        <v>22071</v>
      </c>
    </row>
    <row r="22948">
      <c r="A22948" s="48" t="s">
        <v>27477</v>
      </c>
      <c r="B22948" s="38" t="s">
        <v>27478</v>
      </c>
      <c r="C22948" s="38" t="s">
        <v>27479</v>
      </c>
      <c r="D22948" s="38" t="str">
        <f>IFERROR(__xludf.DUMMYFUNCTION("REGEXREPLACE(C22948,""-\d+(.*)|--\d+(.*)"","""")"),"SERRA-DI-SCOPAMENE")</f>
        <v>SERRA-DI-SCOPAMENE</v>
      </c>
      <c r="E22948" s="38" t="s">
        <v>606</v>
      </c>
      <c r="F22948" s="38" t="s">
        <v>607</v>
      </c>
      <c r="G22948" s="49" t="str">
        <f t="shared" si="1"/>
        <v>20127</v>
      </c>
      <c r="H22948" s="49" t="str">
        <f t="shared" si="2"/>
        <v>2A278</v>
      </c>
    </row>
    <row r="22949">
      <c r="A22949" s="48" t="s">
        <v>1439</v>
      </c>
      <c r="B22949" s="38">
        <v>28054.0</v>
      </c>
      <c r="C22949" s="38" t="s">
        <v>27480</v>
      </c>
      <c r="D22949" s="38" t="str">
        <f>IFERROR(__xludf.DUMMYFUNCTION("REGEXREPLACE(C22949,""-\d+(.*)|--\d+(.*)"","""")"),"LE BOULLAY-MIVOYE")</f>
        <v>LE BOULLAY-MIVOYE</v>
      </c>
      <c r="E22949" s="38" t="s">
        <v>300</v>
      </c>
      <c r="F22949" s="38" t="s">
        <v>123</v>
      </c>
      <c r="G22949" s="49" t="str">
        <f t="shared" si="1"/>
        <v>28210</v>
      </c>
      <c r="H22949" s="49">
        <f t="shared" si="2"/>
        <v>28054</v>
      </c>
    </row>
    <row r="22950">
      <c r="A22950" s="48" t="s">
        <v>3541</v>
      </c>
      <c r="B22950" s="38">
        <v>32109.0</v>
      </c>
      <c r="C22950" s="38" t="s">
        <v>27481</v>
      </c>
      <c r="D22950" s="38" t="str">
        <f>IFERROR(__xludf.DUMMYFUNCTION("REGEXREPLACE(C22950,""-\d+(.*)|--\d+(.*)"","""")"),"COULOUME-MONDEBAT")</f>
        <v>COULOUME-MONDEBAT</v>
      </c>
      <c r="E22950" s="38" t="s">
        <v>440</v>
      </c>
      <c r="F22950" s="38" t="s">
        <v>94</v>
      </c>
      <c r="G22950" s="49" t="str">
        <f t="shared" si="1"/>
        <v>32160</v>
      </c>
      <c r="H22950" s="49">
        <f t="shared" si="2"/>
        <v>32109</v>
      </c>
    </row>
    <row r="22951">
      <c r="A22951" s="48" t="s">
        <v>5330</v>
      </c>
      <c r="B22951" s="38">
        <v>30329.0</v>
      </c>
      <c r="C22951" s="38" t="s">
        <v>27482</v>
      </c>
      <c r="D22951" s="38" t="str">
        <f>IFERROR(__xludf.DUMMYFUNCTION("REGEXREPLACE(C22951,""-\d+(.*)|--\d+(.*)"","""")"),"THOIRAS")</f>
        <v>THOIRAS</v>
      </c>
      <c r="E22951" s="38" t="s">
        <v>526</v>
      </c>
      <c r="F22951" s="38" t="s">
        <v>119</v>
      </c>
      <c r="G22951" s="49" t="str">
        <f t="shared" si="1"/>
        <v>30140</v>
      </c>
      <c r="H22951" s="49">
        <f t="shared" si="2"/>
        <v>30329</v>
      </c>
    </row>
    <row r="22952">
      <c r="A22952" s="48" t="s">
        <v>4270</v>
      </c>
      <c r="B22952" s="38">
        <v>76067.0</v>
      </c>
      <c r="C22952" s="38" t="s">
        <v>27483</v>
      </c>
      <c r="D22952" s="38" t="str">
        <f>IFERROR(__xludf.DUMMYFUNCTION("REGEXREPLACE(C22952,""-\d+(.*)|--\d+(.*)"","""")"),"BEAUVOIR-EN-LYONS")</f>
        <v>BEAUVOIR-EN-LYONS</v>
      </c>
      <c r="E22952" s="38" t="s">
        <v>133</v>
      </c>
      <c r="F22952" s="38" t="s">
        <v>134</v>
      </c>
      <c r="G22952" s="49" t="str">
        <f t="shared" si="1"/>
        <v>76220</v>
      </c>
      <c r="H22952" s="49">
        <f t="shared" si="2"/>
        <v>76067</v>
      </c>
    </row>
    <row r="22953">
      <c r="A22953" s="48" t="s">
        <v>844</v>
      </c>
      <c r="B22953" s="38">
        <v>72313.0</v>
      </c>
      <c r="C22953" s="38" t="s">
        <v>27484</v>
      </c>
      <c r="D22953" s="38" t="str">
        <f>IFERROR(__xludf.DUMMYFUNCTION("REGEXREPLACE(C22953,""-\d+(.*)|--\d+(.*)"","""")"),"SAINT-PIERRE-DES-ORMES")</f>
        <v>SAINT-PIERRE-DES-ORMES</v>
      </c>
      <c r="E22953" s="38" t="s">
        <v>521</v>
      </c>
      <c r="F22953" s="38" t="s">
        <v>180</v>
      </c>
      <c r="G22953" s="49" t="str">
        <f t="shared" si="1"/>
        <v>72600</v>
      </c>
      <c r="H22953" s="49">
        <f t="shared" si="2"/>
        <v>72313</v>
      </c>
    </row>
    <row r="22954">
      <c r="A22954" s="48" t="s">
        <v>12127</v>
      </c>
      <c r="B22954" s="38">
        <v>7132.0</v>
      </c>
      <c r="C22954" s="38" t="s">
        <v>27485</v>
      </c>
      <c r="D22954" s="38" t="str">
        <f>IFERROR(__xludf.DUMMYFUNCTION("REGEXREPLACE(C22954,""-\d+(.*)|--\d+(.*)"","""")"),"LARGENTIERE")</f>
        <v>LARGENTIERE</v>
      </c>
      <c r="E22954" s="38" t="s">
        <v>144</v>
      </c>
      <c r="F22954" s="38" t="s">
        <v>102</v>
      </c>
      <c r="G22954" s="49" t="str">
        <f t="shared" si="1"/>
        <v>07110</v>
      </c>
      <c r="H22954" s="49" t="str">
        <f t="shared" si="2"/>
        <v>07132</v>
      </c>
    </row>
    <row r="22955">
      <c r="A22955" s="48" t="s">
        <v>1475</v>
      </c>
      <c r="B22955" s="38">
        <v>50494.0</v>
      </c>
      <c r="C22955" s="38" t="s">
        <v>27486</v>
      </c>
      <c r="D22955" s="38" t="str">
        <f>IFERROR(__xludf.DUMMYFUNCTION("REGEXREPLACE(C22955,""-\d+(.*)|--\d+(.*)"","""")"),"SAINT-JEAN-DU-CORAIL")</f>
        <v>SAINT-JEAN-DU-CORAIL</v>
      </c>
      <c r="E22955" s="38" t="s">
        <v>157</v>
      </c>
      <c r="F22955" s="38" t="s">
        <v>138</v>
      </c>
      <c r="G22955" s="49" t="str">
        <f t="shared" si="1"/>
        <v>50140</v>
      </c>
      <c r="H22955" s="49">
        <f t="shared" si="2"/>
        <v>50494</v>
      </c>
    </row>
    <row r="22956">
      <c r="A22956" s="48" t="s">
        <v>276</v>
      </c>
      <c r="B22956" s="38">
        <v>11135.0</v>
      </c>
      <c r="C22956" s="38" t="s">
        <v>27487</v>
      </c>
      <c r="D22956" s="38" t="str">
        <f>IFERROR(__xludf.DUMMYFUNCTION("REGEXREPLACE(C22956,""-\d+(.*)|--\d+(.*)"","""")"),"LA FAJOLLE")</f>
        <v>LA FAJOLLE</v>
      </c>
      <c r="E22956" s="38" t="s">
        <v>278</v>
      </c>
      <c r="F22956" s="38" t="s">
        <v>119</v>
      </c>
      <c r="G22956" s="49" t="str">
        <f t="shared" si="1"/>
        <v>11140</v>
      </c>
      <c r="H22956" s="49">
        <f t="shared" si="2"/>
        <v>11135</v>
      </c>
    </row>
    <row r="22957">
      <c r="A22957" s="48" t="s">
        <v>7161</v>
      </c>
      <c r="B22957" s="38">
        <v>17089.0</v>
      </c>
      <c r="C22957" s="38" t="s">
        <v>27488</v>
      </c>
      <c r="D22957" s="38" t="str">
        <f>IFERROR(__xludf.DUMMYFUNCTION("REGEXREPLACE(C22957,""-\d+(.*)|--\d+(.*)"","""")"),"LA CHAPELLE-DES-POTS")</f>
        <v>LA CHAPELLE-DES-POTS</v>
      </c>
      <c r="E22957" s="38" t="s">
        <v>488</v>
      </c>
      <c r="F22957" s="38" t="s">
        <v>338</v>
      </c>
      <c r="G22957" s="49" t="str">
        <f t="shared" si="1"/>
        <v>17100</v>
      </c>
      <c r="H22957" s="49">
        <f t="shared" si="2"/>
        <v>17089</v>
      </c>
    </row>
    <row r="22958">
      <c r="A22958" s="48" t="s">
        <v>2779</v>
      </c>
      <c r="B22958" s="38">
        <v>80068.0</v>
      </c>
      <c r="C22958" s="38" t="s">
        <v>27489</v>
      </c>
      <c r="D22958" s="38" t="str">
        <f>IFERROR(__xludf.DUMMYFUNCTION("REGEXREPLACE(C22958,""-\d+(.*)|--\d+(.*)"","""")"),"BEAUMETZ")</f>
        <v>BEAUMETZ</v>
      </c>
      <c r="E22958" s="38" t="s">
        <v>224</v>
      </c>
      <c r="F22958" s="38" t="s">
        <v>113</v>
      </c>
      <c r="G22958" s="49" t="str">
        <f t="shared" si="1"/>
        <v>80370</v>
      </c>
      <c r="H22958" s="49">
        <f t="shared" si="2"/>
        <v>80068</v>
      </c>
    </row>
    <row r="22959">
      <c r="A22959" s="48" t="s">
        <v>239</v>
      </c>
      <c r="B22959" s="38">
        <v>27428.0</v>
      </c>
      <c r="C22959" s="38" t="s">
        <v>27490</v>
      </c>
      <c r="D22959" s="38" t="str">
        <f>IFERROR(__xludf.DUMMYFUNCTION("REGEXREPLACE(C22959,""-\d+(.*)|--\d+(.*)"","""")"),"LE NEUBOURG")</f>
        <v>LE NEUBOURG</v>
      </c>
      <c r="E22959" s="38" t="s">
        <v>241</v>
      </c>
      <c r="F22959" s="38" t="s">
        <v>134</v>
      </c>
      <c r="G22959" s="49" t="str">
        <f t="shared" si="1"/>
        <v>27110</v>
      </c>
      <c r="H22959" s="49">
        <f t="shared" si="2"/>
        <v>27428</v>
      </c>
    </row>
    <row r="22960">
      <c r="A22960" s="48" t="s">
        <v>12127</v>
      </c>
      <c r="B22960" s="38">
        <v>7329.0</v>
      </c>
      <c r="C22960" s="38" t="s">
        <v>27491</v>
      </c>
      <c r="D22960" s="38" t="str">
        <f>IFERROR(__xludf.DUMMYFUNCTION("REGEXREPLACE(C22960,""-\d+(.*)|--\d+(.*)"","""")"),"VALGORGE")</f>
        <v>VALGORGE</v>
      </c>
      <c r="E22960" s="38" t="s">
        <v>144</v>
      </c>
      <c r="F22960" s="38" t="s">
        <v>102</v>
      </c>
      <c r="G22960" s="49" t="str">
        <f t="shared" si="1"/>
        <v>07110</v>
      </c>
      <c r="H22960" s="49" t="str">
        <f t="shared" si="2"/>
        <v>07329</v>
      </c>
    </row>
    <row r="22961">
      <c r="A22961" s="48" t="s">
        <v>11385</v>
      </c>
      <c r="B22961" s="38">
        <v>44056.0</v>
      </c>
      <c r="C22961" s="38" t="s">
        <v>27492</v>
      </c>
      <c r="D22961" s="38" t="str">
        <f>IFERROR(__xludf.DUMMYFUNCTION("REGEXREPLACE(C22961,""-\d+(.*)|--\d+(.*)"","""")"),"FAY-DE-BRETAGNE")</f>
        <v>FAY-DE-BRETAGNE</v>
      </c>
      <c r="E22961" s="38" t="s">
        <v>759</v>
      </c>
      <c r="F22961" s="38" t="s">
        <v>180</v>
      </c>
      <c r="G22961" s="49" t="str">
        <f t="shared" si="1"/>
        <v>44130</v>
      </c>
      <c r="H22961" s="49">
        <f t="shared" si="2"/>
        <v>44056</v>
      </c>
    </row>
    <row r="22962">
      <c r="A22962" s="48" t="s">
        <v>24631</v>
      </c>
      <c r="B22962" s="38">
        <v>30008.0</v>
      </c>
      <c r="C22962" s="38" t="s">
        <v>27493</v>
      </c>
      <c r="D22962" s="38" t="str">
        <f>IFERROR(__xludf.DUMMYFUNCTION("REGEXREPLACE(C22962,""-\d+(.*)|--\d+(.*)"","""")"),"ALLEGRE-LES-FUMADES")</f>
        <v>ALLEGRE-LES-FUMADES</v>
      </c>
      <c r="E22962" s="38" t="s">
        <v>526</v>
      </c>
      <c r="F22962" s="38" t="s">
        <v>119</v>
      </c>
      <c r="G22962" s="49" t="str">
        <f t="shared" si="1"/>
        <v>30500</v>
      </c>
      <c r="H22962" s="49">
        <f t="shared" si="2"/>
        <v>30008</v>
      </c>
    </row>
    <row r="22963">
      <c r="A22963" s="48" t="s">
        <v>23069</v>
      </c>
      <c r="B22963" s="38">
        <v>19229.0</v>
      </c>
      <c r="C22963" s="38" t="s">
        <v>27494</v>
      </c>
      <c r="D22963" s="38" t="str">
        <f>IFERROR(__xludf.DUMMYFUNCTION("REGEXREPLACE(C22963,""-\d+(.*)|--\d+(.*)"","""")"),"SAINT-PANTALEON-DE-LARCHE")</f>
        <v>SAINT-PANTALEON-DE-LARCHE</v>
      </c>
      <c r="E22963" s="38" t="s">
        <v>271</v>
      </c>
      <c r="F22963" s="38" t="s">
        <v>98</v>
      </c>
      <c r="G22963" s="49" t="str">
        <f t="shared" si="1"/>
        <v>19600</v>
      </c>
      <c r="H22963" s="49">
        <f t="shared" si="2"/>
        <v>19229</v>
      </c>
    </row>
    <row r="22964">
      <c r="A22964" s="48" t="s">
        <v>7954</v>
      </c>
      <c r="B22964" s="38">
        <v>40300.0</v>
      </c>
      <c r="C22964" s="38" t="s">
        <v>27495</v>
      </c>
      <c r="D22964" s="38" t="str">
        <f>IFERROR(__xludf.DUMMYFUNCTION("REGEXREPLACE(C22964,""-\d+(.*)|--\d+(.*)"","""")"),"SEYRESSE")</f>
        <v>SEYRESSE</v>
      </c>
      <c r="E22964" s="38" t="s">
        <v>281</v>
      </c>
      <c r="F22964" s="38" t="s">
        <v>252</v>
      </c>
      <c r="G22964" s="49" t="str">
        <f t="shared" si="1"/>
        <v>40180</v>
      </c>
      <c r="H22964" s="49">
        <f t="shared" si="2"/>
        <v>40300</v>
      </c>
    </row>
    <row r="22965">
      <c r="A22965" s="48" t="s">
        <v>1514</v>
      </c>
      <c r="B22965" s="38">
        <v>70147.0</v>
      </c>
      <c r="C22965" s="38" t="s">
        <v>27496</v>
      </c>
      <c r="D22965" s="38" t="str">
        <f>IFERROR(__xludf.DUMMYFUNCTION("REGEXREPLACE(C22965,""-\d+(.*)|--\d+(.*)"","""")"),"CHAVANNE")</f>
        <v>CHAVANNE</v>
      </c>
      <c r="E22965" s="38" t="s">
        <v>956</v>
      </c>
      <c r="F22965" s="38" t="s">
        <v>214</v>
      </c>
      <c r="G22965" s="49" t="str">
        <f t="shared" si="1"/>
        <v>70400</v>
      </c>
      <c r="H22965" s="49">
        <f t="shared" si="2"/>
        <v>70147</v>
      </c>
    </row>
    <row r="22966">
      <c r="A22966" s="48" t="s">
        <v>1226</v>
      </c>
      <c r="B22966" s="38">
        <v>71300.0</v>
      </c>
      <c r="C22966" s="38" t="s">
        <v>27497</v>
      </c>
      <c r="D22966" s="38" t="str">
        <f>IFERROR(__xludf.DUMMYFUNCTION("REGEXREPLACE(C22966,""-\d+(.*)|--\d+(.*)"","""")"),"LE MIROIR")</f>
        <v>LE MIROIR</v>
      </c>
      <c r="E22966" s="38" t="s">
        <v>344</v>
      </c>
      <c r="F22966" s="38" t="s">
        <v>106</v>
      </c>
      <c r="G22966" s="49" t="str">
        <f t="shared" si="1"/>
        <v>71480</v>
      </c>
      <c r="H22966" s="49">
        <f t="shared" si="2"/>
        <v>71300</v>
      </c>
    </row>
    <row r="22967">
      <c r="A22967" s="48" t="s">
        <v>549</v>
      </c>
      <c r="B22967" s="38">
        <v>55421.0</v>
      </c>
      <c r="C22967" s="38" t="s">
        <v>27498</v>
      </c>
      <c r="D22967" s="38" t="str">
        <f>IFERROR(__xludf.DUMMYFUNCTION("REGEXREPLACE(C22967,""-\d+(.*)|--\d+(.*)"","""")"),"REFFROY")</f>
        <v>REFFROY</v>
      </c>
      <c r="E22967" s="38" t="s">
        <v>322</v>
      </c>
      <c r="F22967" s="38" t="s">
        <v>195</v>
      </c>
      <c r="G22967" s="49" t="str">
        <f t="shared" si="1"/>
        <v>55190</v>
      </c>
      <c r="H22967" s="49">
        <f t="shared" si="2"/>
        <v>55421</v>
      </c>
    </row>
    <row r="22968">
      <c r="A22968" s="48" t="s">
        <v>486</v>
      </c>
      <c r="B22968" s="38">
        <v>17253.0</v>
      </c>
      <c r="C22968" s="38" t="s">
        <v>27499</v>
      </c>
      <c r="D22968" s="38" t="str">
        <f>IFERROR(__xludf.DUMMYFUNCTION("REGEXREPLACE(C22968,""-\d+(.*)|--\d+(.*)"","""")"),"MURON")</f>
        <v>MURON</v>
      </c>
      <c r="E22968" s="38" t="s">
        <v>488</v>
      </c>
      <c r="F22968" s="38" t="s">
        <v>338</v>
      </c>
      <c r="G22968" s="49" t="str">
        <f t="shared" si="1"/>
        <v>17430</v>
      </c>
      <c r="H22968" s="49">
        <f t="shared" si="2"/>
        <v>17253</v>
      </c>
    </row>
    <row r="22969">
      <c r="A22969" s="48" t="s">
        <v>10536</v>
      </c>
      <c r="B22969" s="38">
        <v>72196.0</v>
      </c>
      <c r="C22969" s="38" t="s">
        <v>27500</v>
      </c>
      <c r="D22969" s="38" t="str">
        <f>IFERROR(__xludf.DUMMYFUNCTION("REGEXREPLACE(C22969,""-\d+(.*)|--\d+(.*)"","""")"),"MEZIERES-SUR-PONTHOUIN")</f>
        <v>MEZIERES-SUR-PONTHOUIN</v>
      </c>
      <c r="E22969" s="38" t="s">
        <v>521</v>
      </c>
      <c r="F22969" s="38" t="s">
        <v>180</v>
      </c>
      <c r="G22969" s="49" t="str">
        <f t="shared" si="1"/>
        <v>72290</v>
      </c>
      <c r="H22969" s="49">
        <f t="shared" si="2"/>
        <v>72196</v>
      </c>
    </row>
    <row r="22970">
      <c r="A22970" s="48" t="s">
        <v>2650</v>
      </c>
      <c r="B22970" s="38">
        <v>65213.0</v>
      </c>
      <c r="C22970" s="38" t="s">
        <v>27501</v>
      </c>
      <c r="D22970" s="38" t="str">
        <f>IFERROR(__xludf.DUMMYFUNCTION("REGEXREPLACE(C22970,""-\d+(.*)|--\d+(.*)"","""")"),"GUIZERIX")</f>
        <v>GUIZERIX</v>
      </c>
      <c r="E22970" s="38" t="s">
        <v>200</v>
      </c>
      <c r="F22970" s="38" t="s">
        <v>94</v>
      </c>
      <c r="G22970" s="49" t="str">
        <f t="shared" si="1"/>
        <v>65230</v>
      </c>
      <c r="H22970" s="49">
        <f t="shared" si="2"/>
        <v>65213</v>
      </c>
    </row>
    <row r="22971">
      <c r="A22971" s="48" t="s">
        <v>434</v>
      </c>
      <c r="B22971" s="38">
        <v>55552.0</v>
      </c>
      <c r="C22971" s="38" t="s">
        <v>27502</v>
      </c>
      <c r="D22971" s="38" t="str">
        <f>IFERROR(__xludf.DUMMYFUNCTION("REGEXREPLACE(C22971,""-\d+(.*)|--\d+(.*)"","""")"),"VIGNEUL-SOUS-MONTMEDY")</f>
        <v>VIGNEUL-SOUS-MONTMEDY</v>
      </c>
      <c r="E22971" s="38" t="s">
        <v>322</v>
      </c>
      <c r="F22971" s="38" t="s">
        <v>195</v>
      </c>
      <c r="G22971" s="49" t="str">
        <f t="shared" si="1"/>
        <v>55600</v>
      </c>
      <c r="H22971" s="49">
        <f t="shared" si="2"/>
        <v>55552</v>
      </c>
    </row>
    <row r="22972">
      <c r="A22972" s="48" t="s">
        <v>10965</v>
      </c>
      <c r="B22972" s="38">
        <v>80416.0</v>
      </c>
      <c r="C22972" s="38" t="s">
        <v>27503</v>
      </c>
      <c r="D22972" s="38" t="str">
        <f>IFERROR(__xludf.DUMMYFUNCTION("REGEXREPLACE(C22972,""-\d+(.*)|--\d+(.*)"","""")"),"HANGEST-SUR-SOMME")</f>
        <v>HANGEST-SUR-SOMME</v>
      </c>
      <c r="E22972" s="38" t="s">
        <v>224</v>
      </c>
      <c r="F22972" s="38" t="s">
        <v>113</v>
      </c>
      <c r="G22972" s="49" t="str">
        <f t="shared" si="1"/>
        <v>80310</v>
      </c>
      <c r="H22972" s="49">
        <f t="shared" si="2"/>
        <v>80416</v>
      </c>
    </row>
    <row r="22973">
      <c r="A22973" s="48" t="s">
        <v>5558</v>
      </c>
      <c r="B22973" s="38">
        <v>14124.0</v>
      </c>
      <c r="C22973" s="38" t="s">
        <v>27504</v>
      </c>
      <c r="D22973" s="38" t="str">
        <f>IFERROR(__xludf.DUMMYFUNCTION("REGEXREPLACE(C22973,""-\d+(.*)|--\d+(.*)"","""")"),"LA CAMBE")</f>
        <v>LA CAMBE</v>
      </c>
      <c r="E22973" s="38" t="s">
        <v>137</v>
      </c>
      <c r="F22973" s="38" t="s">
        <v>138</v>
      </c>
      <c r="G22973" s="49" t="str">
        <f t="shared" si="1"/>
        <v>14230</v>
      </c>
      <c r="H22973" s="49">
        <f t="shared" si="2"/>
        <v>14124</v>
      </c>
    </row>
    <row r="22974">
      <c r="A22974" s="48" t="s">
        <v>6097</v>
      </c>
      <c r="B22974" s="38">
        <v>33372.0</v>
      </c>
      <c r="C22974" s="38" t="s">
        <v>27505</v>
      </c>
      <c r="D22974" s="38" t="str">
        <f>IFERROR(__xludf.DUMMYFUNCTION("REGEXREPLACE(C22974,""-\d+(.*)|--\d+(.*)"","""")"),"SAINT-ANTOINE-DU-QUEYRET")</f>
        <v>SAINT-ANTOINE-DU-QUEYRET</v>
      </c>
      <c r="E22974" s="38" t="s">
        <v>462</v>
      </c>
      <c r="F22974" s="38" t="s">
        <v>252</v>
      </c>
      <c r="G22974" s="49" t="str">
        <f t="shared" si="1"/>
        <v>33790</v>
      </c>
      <c r="H22974" s="49">
        <f t="shared" si="2"/>
        <v>33372</v>
      </c>
    </row>
    <row r="22975">
      <c r="A22975" s="48" t="s">
        <v>4790</v>
      </c>
      <c r="B22975" s="38">
        <v>67313.0</v>
      </c>
      <c r="C22975" s="38" t="s">
        <v>27506</v>
      </c>
      <c r="D22975" s="38" t="str">
        <f>IFERROR(__xludf.DUMMYFUNCTION("REGEXREPLACE(C22975,""-\d+(.*)|--\d+(.*)"","""")"),"MUTZIG")</f>
        <v>MUTZIG</v>
      </c>
      <c r="E22975" s="38" t="s">
        <v>210</v>
      </c>
      <c r="F22975" s="38" t="s">
        <v>151</v>
      </c>
      <c r="G22975" s="49" t="str">
        <f t="shared" si="1"/>
        <v>67190</v>
      </c>
      <c r="H22975" s="49">
        <f t="shared" si="2"/>
        <v>67313</v>
      </c>
    </row>
    <row r="22976">
      <c r="A22976" s="48" t="s">
        <v>9451</v>
      </c>
      <c r="B22976" s="38">
        <v>22014.0</v>
      </c>
      <c r="C22976" s="38" t="s">
        <v>27507</v>
      </c>
      <c r="D22976" s="38" t="str">
        <f>IFERROR(__xludf.DUMMYFUNCTION("REGEXREPLACE(C22976,""-\d+(.*)|--\d+(.*)"","""")"),"BOURSEUL")</f>
        <v>BOURSEUL</v>
      </c>
      <c r="E22976" s="38" t="s">
        <v>89</v>
      </c>
      <c r="F22976" s="38" t="s">
        <v>90</v>
      </c>
      <c r="G22976" s="49" t="str">
        <f t="shared" si="1"/>
        <v>22130</v>
      </c>
      <c r="H22976" s="49">
        <f t="shared" si="2"/>
        <v>22014</v>
      </c>
    </row>
    <row r="22977">
      <c r="A22977" s="48" t="s">
        <v>27508</v>
      </c>
      <c r="B22977" s="38">
        <v>18205.0</v>
      </c>
      <c r="C22977" s="38" t="s">
        <v>27509</v>
      </c>
      <c r="D22977" s="38" t="str">
        <f>IFERROR(__xludf.DUMMYFUNCTION("REGEXREPLACE(C22977,""-\d+(.*)|--\d+(.*)"","""")"),"SAINT-DOULCHARD")</f>
        <v>SAINT-DOULCHARD</v>
      </c>
      <c r="E22977" s="38" t="s">
        <v>504</v>
      </c>
      <c r="F22977" s="38" t="s">
        <v>123</v>
      </c>
      <c r="G22977" s="49" t="str">
        <f t="shared" si="1"/>
        <v>18230</v>
      </c>
      <c r="H22977" s="49">
        <f t="shared" si="2"/>
        <v>18205</v>
      </c>
    </row>
    <row r="22978">
      <c r="A22978" s="48" t="s">
        <v>1903</v>
      </c>
      <c r="B22978" s="38">
        <v>10326.0</v>
      </c>
      <c r="C22978" s="38" t="s">
        <v>27510</v>
      </c>
      <c r="D22978" s="38" t="str">
        <f>IFERROR(__xludf.DUMMYFUNCTION("REGEXREPLACE(C22978,""-\d+(.*)|--\d+(.*)"","""")"),"ROSNAY-L'HOPITAL")</f>
        <v>ROSNAY-L'HOPITAL</v>
      </c>
      <c r="E22978" s="38" t="s">
        <v>147</v>
      </c>
      <c r="F22978" s="38" t="s">
        <v>130</v>
      </c>
      <c r="G22978" s="49" t="str">
        <f t="shared" si="1"/>
        <v>10500</v>
      </c>
      <c r="H22978" s="49">
        <f t="shared" si="2"/>
        <v>10326</v>
      </c>
    </row>
    <row r="22979">
      <c r="A22979" s="48" t="s">
        <v>6849</v>
      </c>
      <c r="B22979" s="38">
        <v>28024.0</v>
      </c>
      <c r="C22979" s="38" t="s">
        <v>27511</v>
      </c>
      <c r="D22979" s="38" t="str">
        <f>IFERROR(__xludf.DUMMYFUNCTION("REGEXREPLACE(C22979,""-\d+(.*)|--\d+(.*)"","""")"),"BARJOUVILLE")</f>
        <v>BARJOUVILLE</v>
      </c>
      <c r="E22979" s="38" t="s">
        <v>300</v>
      </c>
      <c r="F22979" s="38" t="s">
        <v>123</v>
      </c>
      <c r="G22979" s="49" t="str">
        <f t="shared" si="1"/>
        <v>28630</v>
      </c>
      <c r="H22979" s="49">
        <f t="shared" si="2"/>
        <v>28024</v>
      </c>
    </row>
    <row r="22980">
      <c r="A22980" s="48" t="s">
        <v>862</v>
      </c>
      <c r="B22980" s="38">
        <v>27163.0</v>
      </c>
      <c r="C22980" s="38" t="s">
        <v>27512</v>
      </c>
      <c r="D22980" s="38" t="str">
        <f>IFERROR(__xludf.DUMMYFUNCTION("REGEXREPLACE(C22980,""-\d+(.*)|--\d+(.*)"","""")"),"COLLETOT")</f>
        <v>COLLETOT</v>
      </c>
      <c r="E22980" s="38" t="s">
        <v>241</v>
      </c>
      <c r="F22980" s="38" t="s">
        <v>134</v>
      </c>
      <c r="G22980" s="49" t="str">
        <f t="shared" si="1"/>
        <v>27500</v>
      </c>
      <c r="H22980" s="49">
        <f t="shared" si="2"/>
        <v>27163</v>
      </c>
    </row>
    <row r="22981">
      <c r="A22981" s="48" t="s">
        <v>1400</v>
      </c>
      <c r="B22981" s="38">
        <v>21164.0</v>
      </c>
      <c r="C22981" s="38" t="s">
        <v>27513</v>
      </c>
      <c r="D22981" s="38" t="str">
        <f>IFERROR(__xludf.DUMMYFUNCTION("REGEXREPLACE(C22981,""-\d+(.*)|--\d+(.*)"","""")"),"CHAZILLY")</f>
        <v>CHAZILLY</v>
      </c>
      <c r="E22981" s="38" t="s">
        <v>105</v>
      </c>
      <c r="F22981" s="38" t="s">
        <v>106</v>
      </c>
      <c r="G22981" s="49" t="str">
        <f t="shared" si="1"/>
        <v>21320</v>
      </c>
      <c r="H22981" s="49">
        <f t="shared" si="2"/>
        <v>21164</v>
      </c>
    </row>
    <row r="22982">
      <c r="A22982" s="48" t="s">
        <v>6485</v>
      </c>
      <c r="B22982" s="38">
        <v>38059.0</v>
      </c>
      <c r="C22982" s="38" t="s">
        <v>27514</v>
      </c>
      <c r="D22982" s="38" t="str">
        <f>IFERROR(__xludf.DUMMYFUNCTION("REGEXREPLACE(C22982,""-\d+(.*)|--\d+(.*)"","""")"),"BRIE-ET-ANGONNES")</f>
        <v>BRIE-ET-ANGONNES</v>
      </c>
      <c r="E22982" s="38" t="s">
        <v>101</v>
      </c>
      <c r="F22982" s="38" t="s">
        <v>102</v>
      </c>
      <c r="G22982" s="49" t="str">
        <f t="shared" si="1"/>
        <v>38320</v>
      </c>
      <c r="H22982" s="49">
        <f t="shared" si="2"/>
        <v>38059</v>
      </c>
    </row>
    <row r="22983">
      <c r="A22983" s="48" t="s">
        <v>1716</v>
      </c>
      <c r="B22983" s="38">
        <v>38315.0</v>
      </c>
      <c r="C22983" s="38" t="s">
        <v>26134</v>
      </c>
      <c r="D22983" s="38" t="str">
        <f>IFERROR(__xludf.DUMMYFUNCTION("REGEXREPLACE(C22983,""-\d+(.*)|--\d+(.*)"","""")"),"LE PONT-DE-BEAUVOISIN")</f>
        <v>LE PONT-DE-BEAUVOISIN</v>
      </c>
      <c r="E22983" s="38" t="s">
        <v>101</v>
      </c>
      <c r="F22983" s="38" t="s">
        <v>102</v>
      </c>
      <c r="G22983" s="49" t="str">
        <f t="shared" si="1"/>
        <v>38480</v>
      </c>
      <c r="H22983" s="49">
        <f t="shared" si="2"/>
        <v>38315</v>
      </c>
    </row>
    <row r="22984">
      <c r="A22984" s="48" t="s">
        <v>3129</v>
      </c>
      <c r="B22984" s="38">
        <v>18261.0</v>
      </c>
      <c r="C22984" s="38" t="s">
        <v>27515</v>
      </c>
      <c r="D22984" s="38" t="str">
        <f>IFERROR(__xludf.DUMMYFUNCTION("REGEXREPLACE(C22984,""-\d+(.*)|--\d+(.*)"","""")"),"THAUMIERS")</f>
        <v>THAUMIERS</v>
      </c>
      <c r="E22984" s="38" t="s">
        <v>504</v>
      </c>
      <c r="F22984" s="38" t="s">
        <v>123</v>
      </c>
      <c r="G22984" s="49" t="str">
        <f t="shared" si="1"/>
        <v>18210</v>
      </c>
      <c r="H22984" s="49">
        <f t="shared" si="2"/>
        <v>18261</v>
      </c>
    </row>
    <row r="22985">
      <c r="A22985" s="48" t="s">
        <v>16959</v>
      </c>
      <c r="B22985" s="38">
        <v>77458.0</v>
      </c>
      <c r="C22985" s="38" t="s">
        <v>27516</v>
      </c>
      <c r="D22985" s="38" t="str">
        <f>IFERROR(__xludf.DUMMYFUNCTION("REGEXREPLACE(C22985,""-\d+(.*)|--\d+(.*)"","""")"),"SOUPPES-SUR-LOING")</f>
        <v>SOUPPES-SUR-LOING</v>
      </c>
      <c r="E22985" s="38" t="s">
        <v>244</v>
      </c>
      <c r="F22985" s="38" t="s">
        <v>245</v>
      </c>
      <c r="G22985" s="49" t="str">
        <f t="shared" si="1"/>
        <v>77460</v>
      </c>
      <c r="H22985" s="49">
        <f t="shared" si="2"/>
        <v>77458</v>
      </c>
    </row>
    <row r="22986">
      <c r="A22986" s="48" t="s">
        <v>549</v>
      </c>
      <c r="B22986" s="38">
        <v>55496.0</v>
      </c>
      <c r="C22986" s="38" t="s">
        <v>27517</v>
      </c>
      <c r="D22986" s="38" t="str">
        <f>IFERROR(__xludf.DUMMYFUNCTION("REGEXREPLACE(C22986,""-\d+(.*)|--\d+(.*)"","""")"),"SORCY-SAINT-MARTIN")</f>
        <v>SORCY-SAINT-MARTIN</v>
      </c>
      <c r="E22986" s="38" t="s">
        <v>322</v>
      </c>
      <c r="F22986" s="38" t="s">
        <v>195</v>
      </c>
      <c r="G22986" s="49" t="str">
        <f t="shared" si="1"/>
        <v>55190</v>
      </c>
      <c r="H22986" s="49">
        <f t="shared" si="2"/>
        <v>55496</v>
      </c>
    </row>
    <row r="22987">
      <c r="A22987" s="48" t="s">
        <v>5362</v>
      </c>
      <c r="B22987" s="38">
        <v>81010.0</v>
      </c>
      <c r="C22987" s="38" t="s">
        <v>27518</v>
      </c>
      <c r="D22987" s="38" t="str">
        <f>IFERROR(__xludf.DUMMYFUNCTION("REGEXREPLACE(C22987,""-\d+(.*)|--\d+(.*)"","""")"),"AMBIALET")</f>
        <v>AMBIALET</v>
      </c>
      <c r="E22987" s="38" t="s">
        <v>231</v>
      </c>
      <c r="F22987" s="38" t="s">
        <v>94</v>
      </c>
      <c r="G22987" s="49" t="str">
        <f t="shared" si="1"/>
        <v>81430</v>
      </c>
      <c r="H22987" s="49">
        <f t="shared" si="2"/>
        <v>81010</v>
      </c>
    </row>
    <row r="22988">
      <c r="A22988" s="48" t="s">
        <v>4116</v>
      </c>
      <c r="B22988" s="38">
        <v>18112.0</v>
      </c>
      <c r="C22988" s="38" t="s">
        <v>27519</v>
      </c>
      <c r="D22988" s="38" t="str">
        <f>IFERROR(__xludf.DUMMYFUNCTION("REGEXREPLACE(C22988,""-\d+(.*)|--\d+(.*)"","""")"),"IDS-SAINT-ROCH")</f>
        <v>IDS-SAINT-ROCH</v>
      </c>
      <c r="E22988" s="38" t="s">
        <v>504</v>
      </c>
      <c r="F22988" s="38" t="s">
        <v>123</v>
      </c>
      <c r="G22988" s="49" t="str">
        <f t="shared" si="1"/>
        <v>18170</v>
      </c>
      <c r="H22988" s="49">
        <f t="shared" si="2"/>
        <v>18112</v>
      </c>
    </row>
    <row r="22989">
      <c r="A22989" s="48" t="s">
        <v>1347</v>
      </c>
      <c r="B22989" s="38">
        <v>16148.0</v>
      </c>
      <c r="C22989" s="38" t="s">
        <v>27520</v>
      </c>
      <c r="D22989" s="38" t="str">
        <f>IFERROR(__xludf.DUMMYFUNCTION("REGEXREPLACE(C22989,""-\d+(.*)|--\d+(.*)"","""")"),"GENAC")</f>
        <v>GENAC</v>
      </c>
      <c r="E22989" s="38" t="s">
        <v>429</v>
      </c>
      <c r="F22989" s="38" t="s">
        <v>338</v>
      </c>
      <c r="G22989" s="49" t="str">
        <f t="shared" si="1"/>
        <v>16170</v>
      </c>
      <c r="H22989" s="49">
        <f t="shared" si="2"/>
        <v>16148</v>
      </c>
    </row>
    <row r="22990">
      <c r="A22990" s="48" t="s">
        <v>10369</v>
      </c>
      <c r="B22990" s="38">
        <v>88479.0</v>
      </c>
      <c r="C22990" s="38" t="s">
        <v>27521</v>
      </c>
      <c r="D22990" s="38" t="str">
        <f>IFERROR(__xludf.DUMMYFUNCTION("REGEXREPLACE(C22990,""-\d+(.*)|--\d+(.*)"","""")"),"TREMONZEY")</f>
        <v>TREMONZEY</v>
      </c>
      <c r="E22990" s="38" t="s">
        <v>194</v>
      </c>
      <c r="F22990" s="38" t="s">
        <v>195</v>
      </c>
      <c r="G22990" s="49" t="str">
        <f t="shared" si="1"/>
        <v>88240</v>
      </c>
      <c r="H22990" s="49">
        <f t="shared" si="2"/>
        <v>88479</v>
      </c>
    </row>
    <row r="22991">
      <c r="A22991" s="48" t="s">
        <v>19577</v>
      </c>
      <c r="B22991" s="38">
        <v>12047.0</v>
      </c>
      <c r="C22991" s="38" t="s">
        <v>6520</v>
      </c>
      <c r="D22991" s="38" t="str">
        <f>IFERROR(__xludf.DUMMYFUNCTION("REGEXREPLACE(C22991,""-\d+(.*)|--\d+(.*)"","""")"),"CAMPAGNAC")</f>
        <v>CAMPAGNAC</v>
      </c>
      <c r="E22991" s="38" t="s">
        <v>465</v>
      </c>
      <c r="F22991" s="38" t="s">
        <v>94</v>
      </c>
      <c r="G22991" s="49" t="str">
        <f t="shared" si="1"/>
        <v>12560</v>
      </c>
      <c r="H22991" s="49">
        <f t="shared" si="2"/>
        <v>12047</v>
      </c>
    </row>
    <row r="22992">
      <c r="A22992" s="48" t="s">
        <v>27522</v>
      </c>
      <c r="B22992" s="38">
        <v>13082.0</v>
      </c>
      <c r="C22992" s="38" t="s">
        <v>27523</v>
      </c>
      <c r="D22992" s="38" t="str">
        <f>IFERROR(__xludf.DUMMYFUNCTION("REGEXREPLACE(C22992,""-\d+(.*)|--\d+(.*)"","""")"),"ROGNES")</f>
        <v>ROGNES</v>
      </c>
      <c r="E22992" s="38" t="s">
        <v>980</v>
      </c>
      <c r="F22992" s="38" t="s">
        <v>228</v>
      </c>
      <c r="G22992" s="49" t="str">
        <f t="shared" si="1"/>
        <v>13840</v>
      </c>
      <c r="H22992" s="49">
        <f t="shared" si="2"/>
        <v>13082</v>
      </c>
    </row>
    <row r="22993">
      <c r="A22993" s="48" t="s">
        <v>4088</v>
      </c>
      <c r="B22993" s="38">
        <v>39063.0</v>
      </c>
      <c r="C22993" s="38" t="s">
        <v>27524</v>
      </c>
      <c r="D22993" s="38" t="str">
        <f>IFERROR(__xludf.DUMMYFUNCTION("REGEXREPLACE(C22993,""-\d+(.*)|--\d+(.*)"","""")"),"BONLIEU")</f>
        <v>BONLIEU</v>
      </c>
      <c r="E22993" s="38" t="s">
        <v>400</v>
      </c>
      <c r="F22993" s="38" t="s">
        <v>214</v>
      </c>
      <c r="G22993" s="49" t="str">
        <f t="shared" si="1"/>
        <v>39130</v>
      </c>
      <c r="H22993" s="49">
        <f t="shared" si="2"/>
        <v>39063</v>
      </c>
    </row>
    <row r="22994">
      <c r="A22994" s="48" t="s">
        <v>10965</v>
      </c>
      <c r="B22994" s="38">
        <v>80187.0</v>
      </c>
      <c r="C22994" s="38" t="s">
        <v>27525</v>
      </c>
      <c r="D22994" s="38" t="str">
        <f>IFERROR(__xludf.DUMMYFUNCTION("REGEXREPLACE(C22994,""-\d+(.*)|--\d+(.*)"","""")"),"LA CHAUSSEE-TIRANCOURT")</f>
        <v>LA CHAUSSEE-TIRANCOURT</v>
      </c>
      <c r="E22994" s="38" t="s">
        <v>224</v>
      </c>
      <c r="F22994" s="38" t="s">
        <v>113</v>
      </c>
      <c r="G22994" s="49" t="str">
        <f t="shared" si="1"/>
        <v>80310</v>
      </c>
      <c r="H22994" s="49">
        <f t="shared" si="2"/>
        <v>80187</v>
      </c>
    </row>
    <row r="22995">
      <c r="A22995" s="48" t="s">
        <v>8103</v>
      </c>
      <c r="B22995" s="38">
        <v>55245.0</v>
      </c>
      <c r="C22995" s="38" t="s">
        <v>27526</v>
      </c>
      <c r="D22995" s="38" t="str">
        <f>IFERROR(__xludf.DUMMYFUNCTION("REGEXREPLACE(C22995,""-\d+(.*)|--\d+(.*)"","""")"),"HEUDICOURT-SOUS-LES-COTES")</f>
        <v>HEUDICOURT-SOUS-LES-COTES</v>
      </c>
      <c r="E22995" s="38" t="s">
        <v>322</v>
      </c>
      <c r="F22995" s="38" t="s">
        <v>195</v>
      </c>
      <c r="G22995" s="49" t="str">
        <f t="shared" si="1"/>
        <v>55210</v>
      </c>
      <c r="H22995" s="49">
        <f t="shared" si="2"/>
        <v>55245</v>
      </c>
    </row>
    <row r="22996">
      <c r="A22996" s="48" t="s">
        <v>6651</v>
      </c>
      <c r="B22996" s="38">
        <v>31331.0</v>
      </c>
      <c r="C22996" s="38" t="s">
        <v>27527</v>
      </c>
      <c r="D22996" s="38" t="str">
        <f>IFERROR(__xludf.DUMMYFUNCTION("REGEXREPLACE(C22996,""-\d+(.*)|--\d+(.*)"","""")"),"MAUREVILLE")</f>
        <v>MAUREVILLE</v>
      </c>
      <c r="E22996" s="38" t="s">
        <v>93</v>
      </c>
      <c r="F22996" s="38" t="s">
        <v>94</v>
      </c>
      <c r="G22996" s="49" t="str">
        <f t="shared" si="1"/>
        <v>31460</v>
      </c>
      <c r="H22996" s="49">
        <f t="shared" si="2"/>
        <v>31331</v>
      </c>
    </row>
    <row r="22997">
      <c r="A22997" s="48" t="s">
        <v>26913</v>
      </c>
      <c r="B22997" s="38">
        <v>38126.0</v>
      </c>
      <c r="C22997" s="38" t="s">
        <v>27528</v>
      </c>
      <c r="D22997" s="38" t="str">
        <f>IFERROR(__xludf.DUMMYFUNCTION("REGEXREPLACE(C22997,""-\d+(.*)|--\d+(.*)"","""")"),"CORENC")</f>
        <v>CORENC</v>
      </c>
      <c r="E22997" s="38" t="s">
        <v>101</v>
      </c>
      <c r="F22997" s="38" t="s">
        <v>102</v>
      </c>
      <c r="G22997" s="49" t="str">
        <f t="shared" si="1"/>
        <v>38700</v>
      </c>
      <c r="H22997" s="49">
        <f t="shared" si="2"/>
        <v>38126</v>
      </c>
    </row>
    <row r="22998">
      <c r="A22998" s="48" t="s">
        <v>4065</v>
      </c>
      <c r="B22998" s="38">
        <v>21395.0</v>
      </c>
      <c r="C22998" s="38" t="s">
        <v>27529</v>
      </c>
      <c r="D22998" s="38" t="str">
        <f>IFERROR(__xludf.DUMMYFUNCTION("REGEXREPLACE(C22998,""-\d+(.*)|--\d+(.*)"","""")"),"MASSINGY-LES-VITTEAUX")</f>
        <v>MASSINGY-LES-VITTEAUX</v>
      </c>
      <c r="E22998" s="38" t="s">
        <v>105</v>
      </c>
      <c r="F22998" s="38" t="s">
        <v>106</v>
      </c>
      <c r="G22998" s="49" t="str">
        <f t="shared" si="1"/>
        <v>21350</v>
      </c>
      <c r="H22998" s="49">
        <f t="shared" si="2"/>
        <v>21395</v>
      </c>
    </row>
    <row r="22999">
      <c r="A22999" s="48" t="s">
        <v>10668</v>
      </c>
      <c r="B22999" s="38">
        <v>61455.0</v>
      </c>
      <c r="C22999" s="38" t="s">
        <v>4376</v>
      </c>
      <c r="D22999" s="38" t="str">
        <f>IFERROR(__xludf.DUMMYFUNCTION("REGEXREPLACE(C22999,""-\d+(.*)|--\d+(.*)"","""")"),"SAINT-SIMEON")</f>
        <v>SAINT-SIMEON</v>
      </c>
      <c r="E22999" s="38" t="s">
        <v>141</v>
      </c>
      <c r="F22999" s="38" t="s">
        <v>138</v>
      </c>
      <c r="G22999" s="49" t="str">
        <f t="shared" si="1"/>
        <v>61350</v>
      </c>
      <c r="H22999" s="49">
        <f t="shared" si="2"/>
        <v>61455</v>
      </c>
    </row>
    <row r="23000">
      <c r="A23000" s="48" t="s">
        <v>1226</v>
      </c>
      <c r="B23000" s="38">
        <v>71558.0</v>
      </c>
      <c r="C23000" s="38" t="s">
        <v>27530</v>
      </c>
      <c r="D23000" s="38" t="str">
        <f>IFERROR(__xludf.DUMMYFUNCTION("REGEXREPLACE(C23000,""-\d+(.*)|--\d+(.*)"","""")"),"VARENNES-SAINT-SAUVEUR")</f>
        <v>VARENNES-SAINT-SAUVEUR</v>
      </c>
      <c r="E23000" s="38" t="s">
        <v>344</v>
      </c>
      <c r="F23000" s="38" t="s">
        <v>106</v>
      </c>
      <c r="G23000" s="49" t="str">
        <f t="shared" si="1"/>
        <v>71480</v>
      </c>
      <c r="H23000" s="49">
        <f t="shared" si="2"/>
        <v>71558</v>
      </c>
    </row>
    <row r="23001">
      <c r="A23001" s="48" t="s">
        <v>3863</v>
      </c>
      <c r="B23001" s="38">
        <v>1363.0</v>
      </c>
      <c r="C23001" s="38" t="s">
        <v>780</v>
      </c>
      <c r="D23001" s="38" t="str">
        <f>IFERROR(__xludf.DUMMYFUNCTION("REGEXREPLACE(C23001,""-\d+(.*)|--\d+(.*)"","""")"),"SAINT-JEAN-LE-VIEUX")</f>
        <v>SAINT-JEAN-LE-VIEUX</v>
      </c>
      <c r="E23001" s="38" t="s">
        <v>255</v>
      </c>
      <c r="F23001" s="38" t="s">
        <v>102</v>
      </c>
      <c r="G23001" s="49" t="str">
        <f t="shared" si="1"/>
        <v>01640</v>
      </c>
      <c r="H23001" s="49" t="str">
        <f t="shared" si="2"/>
        <v>01363</v>
      </c>
    </row>
    <row r="23002">
      <c r="A23002" s="48" t="s">
        <v>1656</v>
      </c>
      <c r="B23002" s="38">
        <v>80691.0</v>
      </c>
      <c r="C23002" s="38" t="s">
        <v>27531</v>
      </c>
      <c r="D23002" s="38" t="str">
        <f>IFERROR(__xludf.DUMMYFUNCTION("REGEXREPLACE(C23002,""-\d+(.*)|--\d+(.*)"","""")"),"SAIGNEVILLE")</f>
        <v>SAIGNEVILLE</v>
      </c>
      <c r="E23002" s="38" t="s">
        <v>224</v>
      </c>
      <c r="F23002" s="38" t="s">
        <v>113</v>
      </c>
      <c r="G23002" s="49" t="str">
        <f t="shared" si="1"/>
        <v>80230</v>
      </c>
      <c r="H23002" s="49">
        <f t="shared" si="2"/>
        <v>80691</v>
      </c>
    </row>
    <row r="23003">
      <c r="A23003" s="48" t="s">
        <v>10578</v>
      </c>
      <c r="B23003" s="38">
        <v>79297.0</v>
      </c>
      <c r="C23003" s="38" t="s">
        <v>27532</v>
      </c>
      <c r="D23003" s="38" t="str">
        <f>IFERROR(__xludf.DUMMYFUNCTION("REGEXREPLACE(C23003,""-\d+(.*)|--\d+(.*)"","""")"),"SAINTE-SOLINE")</f>
        <v>SAINTE-SOLINE</v>
      </c>
      <c r="E23003" s="38" t="s">
        <v>337</v>
      </c>
      <c r="F23003" s="38" t="s">
        <v>338</v>
      </c>
      <c r="G23003" s="49" t="str">
        <f t="shared" si="1"/>
        <v>79120</v>
      </c>
      <c r="H23003" s="49">
        <f t="shared" si="2"/>
        <v>79297</v>
      </c>
    </row>
    <row r="23004">
      <c r="A23004" s="48" t="s">
        <v>27533</v>
      </c>
      <c r="B23004" s="38" t="s">
        <v>27534</v>
      </c>
      <c r="C23004" s="38" t="s">
        <v>27535</v>
      </c>
      <c r="D23004" s="38" t="str">
        <f>IFERROR(__xludf.DUMMYFUNCTION("REGEXREPLACE(C23004,""-\d+(.*)|--\d+(.*)"","""")"),"TOMINO")</f>
        <v>TOMINO</v>
      </c>
      <c r="E23004" s="38" t="s">
        <v>743</v>
      </c>
      <c r="F23004" s="38" t="s">
        <v>607</v>
      </c>
      <c r="G23004" s="49" t="str">
        <f t="shared" si="1"/>
        <v>20248</v>
      </c>
      <c r="H23004" s="49" t="str">
        <f t="shared" si="2"/>
        <v>2B327</v>
      </c>
    </row>
    <row r="23005">
      <c r="A23005" s="48" t="s">
        <v>27536</v>
      </c>
      <c r="B23005" s="38" t="s">
        <v>27537</v>
      </c>
      <c r="C23005" s="38" t="s">
        <v>27538</v>
      </c>
      <c r="D23005" s="38" t="str">
        <f>IFERROR(__xludf.DUMMYFUNCTION("REGEXREPLACE(C23005,""-\d+(.*)|--\d+(.*)"","""")"),"PANCHERACCIA")</f>
        <v>PANCHERACCIA</v>
      </c>
      <c r="E23005" s="38" t="s">
        <v>743</v>
      </c>
      <c r="F23005" s="38" t="s">
        <v>607</v>
      </c>
      <c r="G23005" s="49" t="str">
        <f t="shared" si="1"/>
        <v>20251/20270</v>
      </c>
      <c r="H23005" s="49" t="str">
        <f t="shared" si="2"/>
        <v>2B201</v>
      </c>
    </row>
    <row r="23006">
      <c r="A23006" s="48" t="s">
        <v>27539</v>
      </c>
      <c r="B23006" s="38">
        <v>38205.0</v>
      </c>
      <c r="C23006" s="38" t="s">
        <v>27540</v>
      </c>
      <c r="D23006" s="38" t="str">
        <f>IFERROR(__xludf.DUMMYFUNCTION("REGEXREPLACE(C23006,""-\d+(.*)|--\d+(.*)"","""")"),"LANS-EN-VERCORS")</f>
        <v>LANS-EN-VERCORS</v>
      </c>
      <c r="E23006" s="38" t="s">
        <v>101</v>
      </c>
      <c r="F23006" s="38" t="s">
        <v>102</v>
      </c>
      <c r="G23006" s="49" t="str">
        <f t="shared" si="1"/>
        <v>38250</v>
      </c>
      <c r="H23006" s="49">
        <f t="shared" si="2"/>
        <v>38205</v>
      </c>
    </row>
    <row r="23007">
      <c r="A23007" s="48" t="s">
        <v>2219</v>
      </c>
      <c r="B23007" s="38">
        <v>2591.0</v>
      </c>
      <c r="C23007" s="38" t="s">
        <v>27541</v>
      </c>
      <c r="D23007" s="38" t="str">
        <f>IFERROR(__xludf.DUMMYFUNCTION("REGEXREPLACE(C23007,""-\d+(.*)|--\d+(.*)"","""")"),"PARGNY-LES-BOIS")</f>
        <v>PARGNY-LES-BOIS</v>
      </c>
      <c r="E23007" s="38" t="s">
        <v>191</v>
      </c>
      <c r="F23007" s="38" t="s">
        <v>113</v>
      </c>
      <c r="G23007" s="49" t="str">
        <f t="shared" si="1"/>
        <v>02270</v>
      </c>
      <c r="H23007" s="49" t="str">
        <f t="shared" si="2"/>
        <v>02591</v>
      </c>
    </row>
    <row r="23008">
      <c r="A23008" s="48" t="s">
        <v>4945</v>
      </c>
      <c r="B23008" s="38" t="s">
        <v>27542</v>
      </c>
      <c r="C23008" s="38" t="s">
        <v>27543</v>
      </c>
      <c r="D23008" s="38" t="str">
        <f>IFERROR(__xludf.DUMMYFUNCTION("REGEXREPLACE(C23008,""-\d+(.*)|--\d+(.*)"","""")"),"GRANACE")</f>
        <v>GRANACE</v>
      </c>
      <c r="E23008" s="38" t="s">
        <v>606</v>
      </c>
      <c r="F23008" s="38" t="s">
        <v>607</v>
      </c>
      <c r="G23008" s="49" t="str">
        <f t="shared" si="1"/>
        <v>20100</v>
      </c>
      <c r="H23008" s="49" t="str">
        <f t="shared" si="2"/>
        <v>2A128</v>
      </c>
    </row>
    <row r="23009">
      <c r="A23009" s="48" t="s">
        <v>10348</v>
      </c>
      <c r="B23009" s="38">
        <v>61425.0</v>
      </c>
      <c r="C23009" s="38" t="s">
        <v>27544</v>
      </c>
      <c r="D23009" s="38" t="str">
        <f>IFERROR(__xludf.DUMMYFUNCTION("REGEXREPLACE(C23009,""-\d+(.*)|--\d+(.*)"","""")"),"SAINT-MARTIN-DES-PEZERITS")</f>
        <v>SAINT-MARTIN-DES-PEZERITS</v>
      </c>
      <c r="E23009" s="38" t="s">
        <v>141</v>
      </c>
      <c r="F23009" s="38" t="s">
        <v>138</v>
      </c>
      <c r="G23009" s="49" t="str">
        <f t="shared" si="1"/>
        <v>61380</v>
      </c>
      <c r="H23009" s="49">
        <f t="shared" si="2"/>
        <v>61425</v>
      </c>
    </row>
    <row r="23010">
      <c r="A23010" s="48" t="s">
        <v>10689</v>
      </c>
      <c r="B23010" s="38">
        <v>59619.0</v>
      </c>
      <c r="C23010" s="38" t="s">
        <v>15723</v>
      </c>
      <c r="D23010" s="38" t="str">
        <f>IFERROR(__xludf.DUMMYFUNCTION("REGEXREPLACE(C23010,""-\d+(.*)|--\d+(.*)"","""")"),"VILLEREAU")</f>
        <v>VILLEREAU</v>
      </c>
      <c r="E23010" s="38" t="s">
        <v>85</v>
      </c>
      <c r="F23010" s="38" t="s">
        <v>86</v>
      </c>
      <c r="G23010" s="49" t="str">
        <f t="shared" si="1"/>
        <v>59530</v>
      </c>
      <c r="H23010" s="49">
        <f t="shared" si="2"/>
        <v>59619</v>
      </c>
    </row>
    <row r="23011">
      <c r="A23011" s="48" t="s">
        <v>392</v>
      </c>
      <c r="B23011" s="38">
        <v>35245.0</v>
      </c>
      <c r="C23011" s="38" t="s">
        <v>27545</v>
      </c>
      <c r="D23011" s="38" t="str">
        <f>IFERROR(__xludf.DUMMYFUNCTION("REGEXREPLACE(C23011,""-\d+(.*)|--\d+(.*)"","""")"),"ROMILLE")</f>
        <v>ROMILLE</v>
      </c>
      <c r="E23011" s="38" t="s">
        <v>347</v>
      </c>
      <c r="F23011" s="38" t="s">
        <v>90</v>
      </c>
      <c r="G23011" s="49" t="str">
        <f t="shared" si="1"/>
        <v>35850</v>
      </c>
      <c r="H23011" s="49">
        <f t="shared" si="2"/>
        <v>35245</v>
      </c>
    </row>
    <row r="23012">
      <c r="A23012" s="48" t="s">
        <v>3783</v>
      </c>
      <c r="B23012" s="38">
        <v>62361.0</v>
      </c>
      <c r="C23012" s="38" t="s">
        <v>27546</v>
      </c>
      <c r="D23012" s="38" t="str">
        <f>IFERROR(__xludf.DUMMYFUNCTION("REGEXREPLACE(C23012,""-\d+(.*)|--\d+(.*)"","""")"),"FREVENT")</f>
        <v>FREVENT</v>
      </c>
      <c r="E23012" s="38" t="s">
        <v>109</v>
      </c>
      <c r="F23012" s="38" t="s">
        <v>86</v>
      </c>
      <c r="G23012" s="49" t="str">
        <f t="shared" si="1"/>
        <v>62270</v>
      </c>
      <c r="H23012" s="49">
        <f t="shared" si="2"/>
        <v>62361</v>
      </c>
    </row>
    <row r="23013">
      <c r="A23013" s="48" t="s">
        <v>11699</v>
      </c>
      <c r="B23013" s="38">
        <v>38356.0</v>
      </c>
      <c r="C23013" s="38" t="s">
        <v>27547</v>
      </c>
      <c r="D23013" s="38" t="str">
        <f>IFERROR(__xludf.DUMMYFUNCTION("REGEXREPLACE(C23013,""-\d+(.*)|--\d+(.*)"","""")"),"SAINT-ANDRE-EN-ROYANS")</f>
        <v>SAINT-ANDRE-EN-ROYANS</v>
      </c>
      <c r="E23013" s="38" t="s">
        <v>101</v>
      </c>
      <c r="F23013" s="38" t="s">
        <v>102</v>
      </c>
      <c r="G23013" s="49" t="str">
        <f t="shared" si="1"/>
        <v>38680</v>
      </c>
      <c r="H23013" s="49">
        <f t="shared" si="2"/>
        <v>38356</v>
      </c>
    </row>
    <row r="23014">
      <c r="A23014" s="48" t="s">
        <v>4131</v>
      </c>
      <c r="B23014" s="38">
        <v>27371.0</v>
      </c>
      <c r="C23014" s="38" t="s">
        <v>27548</v>
      </c>
      <c r="D23014" s="38" t="str">
        <f>IFERROR(__xludf.DUMMYFUNCTION("REGEXREPLACE(C23014,""-\d+(.*)|--\d+(.*)"","""")"),"LIVET-SUR-AUTHOU")</f>
        <v>LIVET-SUR-AUTHOU</v>
      </c>
      <c r="E23014" s="38" t="s">
        <v>241</v>
      </c>
      <c r="F23014" s="38" t="s">
        <v>134</v>
      </c>
      <c r="G23014" s="49" t="str">
        <f t="shared" si="1"/>
        <v>27800</v>
      </c>
      <c r="H23014" s="49">
        <f t="shared" si="2"/>
        <v>27371</v>
      </c>
    </row>
    <row r="23015">
      <c r="A23015" s="48" t="s">
        <v>8529</v>
      </c>
      <c r="B23015" s="38">
        <v>74143.0</v>
      </c>
      <c r="C23015" s="38" t="s">
        <v>27549</v>
      </c>
      <c r="D23015" s="38" t="str">
        <f>IFERROR(__xludf.DUMMYFUNCTION("REGEXREPLACE(C23015,""-\d+(.*)|--\d+(.*)"","""")"),"LES HOUCHES")</f>
        <v>LES HOUCHES</v>
      </c>
      <c r="E23015" s="38" t="s">
        <v>319</v>
      </c>
      <c r="F23015" s="38" t="s">
        <v>102</v>
      </c>
      <c r="G23015" s="49" t="str">
        <f t="shared" si="1"/>
        <v>74310</v>
      </c>
      <c r="H23015" s="49">
        <f t="shared" si="2"/>
        <v>74143</v>
      </c>
    </row>
    <row r="23016">
      <c r="A23016" s="48" t="s">
        <v>4840</v>
      </c>
      <c r="B23016" s="38">
        <v>16326.0</v>
      </c>
      <c r="C23016" s="38" t="s">
        <v>27550</v>
      </c>
      <c r="D23016" s="38" t="str">
        <f>IFERROR(__xludf.DUMMYFUNCTION("REGEXREPLACE(C23016,""-\d+(.*)|--\d+(.*)"","""")"),"SAINT-GROUX")</f>
        <v>SAINT-GROUX</v>
      </c>
      <c r="E23016" s="38" t="s">
        <v>429</v>
      </c>
      <c r="F23016" s="38" t="s">
        <v>338</v>
      </c>
      <c r="G23016" s="49" t="str">
        <f t="shared" si="1"/>
        <v>16230</v>
      </c>
      <c r="H23016" s="49">
        <f t="shared" si="2"/>
        <v>16326</v>
      </c>
    </row>
    <row r="23017">
      <c r="A23017" s="48" t="s">
        <v>27551</v>
      </c>
      <c r="B23017" s="38">
        <v>29191.0</v>
      </c>
      <c r="C23017" s="38" t="s">
        <v>27552</v>
      </c>
      <c r="D23017" s="38" t="str">
        <f>IFERROR(__xludf.DUMMYFUNCTION("REGEXREPLACE(C23017,""-\d+(.*)|--\d+(.*)"","""")"),"PLOUGONVEN")</f>
        <v>PLOUGONVEN</v>
      </c>
      <c r="E23017" s="38" t="s">
        <v>176</v>
      </c>
      <c r="F23017" s="38" t="s">
        <v>90</v>
      </c>
      <c r="G23017" s="49" t="str">
        <f t="shared" si="1"/>
        <v>29640</v>
      </c>
      <c r="H23017" s="49">
        <f t="shared" si="2"/>
        <v>29191</v>
      </c>
    </row>
    <row r="23018">
      <c r="A23018" s="48" t="s">
        <v>27553</v>
      </c>
      <c r="B23018" s="38">
        <v>34023.0</v>
      </c>
      <c r="C23018" s="38" t="s">
        <v>27554</v>
      </c>
      <c r="D23018" s="38" t="str">
        <f>IFERROR(__xludf.DUMMYFUNCTION("REGEXREPLACE(C23018,""-\d+(.*)|--\d+(.*)"","""")"),"BALARUC-LES-BAINS")</f>
        <v>BALARUC-LES-BAINS</v>
      </c>
      <c r="E23018" s="38" t="s">
        <v>118</v>
      </c>
      <c r="F23018" s="38" t="s">
        <v>119</v>
      </c>
      <c r="G23018" s="49" t="str">
        <f t="shared" si="1"/>
        <v>34540</v>
      </c>
      <c r="H23018" s="49">
        <f t="shared" si="2"/>
        <v>34023</v>
      </c>
    </row>
    <row r="23019">
      <c r="A23019" s="48" t="s">
        <v>5237</v>
      </c>
      <c r="B23019" s="38">
        <v>69174.0</v>
      </c>
      <c r="C23019" s="38" t="s">
        <v>27555</v>
      </c>
      <c r="D23019" s="38" t="str">
        <f>IFERROR(__xludf.DUMMYFUNCTION("REGEXREPLACE(C23019,""-\d+(.*)|--\d+(.*)"","""")"),"LES SAUVAGES")</f>
        <v>LES SAUVAGES</v>
      </c>
      <c r="E23019" s="38" t="s">
        <v>350</v>
      </c>
      <c r="F23019" s="38" t="s">
        <v>102</v>
      </c>
      <c r="G23019" s="49" t="str">
        <f t="shared" si="1"/>
        <v>69170</v>
      </c>
      <c r="H23019" s="49">
        <f t="shared" si="2"/>
        <v>69174</v>
      </c>
    </row>
    <row r="23020">
      <c r="A23020" s="48" t="s">
        <v>7065</v>
      </c>
      <c r="B23020" s="38">
        <v>3037.0</v>
      </c>
      <c r="C23020" s="38" t="s">
        <v>27556</v>
      </c>
      <c r="D23020" s="38" t="str">
        <f>IFERROR(__xludf.DUMMYFUNCTION("REGEXREPLACE(C23020,""-\d+(.*)|--\d+(.*)"","""")"),"BRAIZE")</f>
        <v>BRAIZE</v>
      </c>
      <c r="E23020" s="38" t="s">
        <v>160</v>
      </c>
      <c r="F23020" s="38" t="s">
        <v>161</v>
      </c>
      <c r="G23020" s="49" t="str">
        <f t="shared" si="1"/>
        <v>03360</v>
      </c>
      <c r="H23020" s="49" t="str">
        <f t="shared" si="2"/>
        <v>03037</v>
      </c>
    </row>
    <row r="23021">
      <c r="A23021" s="48" t="s">
        <v>9313</v>
      </c>
      <c r="B23021" s="38">
        <v>39562.0</v>
      </c>
      <c r="C23021" s="38" t="s">
        <v>27557</v>
      </c>
      <c r="D23021" s="38" t="str">
        <f>IFERROR(__xludf.DUMMYFUNCTION("REGEXREPLACE(C23021,""-\d+(.*)|--\d+(.*)"","""")"),"VILLARD-SUR-BIENNE")</f>
        <v>VILLARD-SUR-BIENNE</v>
      </c>
      <c r="E23021" s="38" t="s">
        <v>400</v>
      </c>
      <c r="F23021" s="38" t="s">
        <v>214</v>
      </c>
      <c r="G23021" s="49" t="str">
        <f t="shared" si="1"/>
        <v>39200</v>
      </c>
      <c r="H23021" s="49">
        <f t="shared" si="2"/>
        <v>39562</v>
      </c>
    </row>
    <row r="23022">
      <c r="A23022" s="48" t="s">
        <v>5634</v>
      </c>
      <c r="B23022" s="38">
        <v>72356.0</v>
      </c>
      <c r="C23022" s="38" t="s">
        <v>27558</v>
      </c>
      <c r="D23022" s="38" t="str">
        <f>IFERROR(__xludf.DUMMYFUNCTION("REGEXREPLACE(C23022,""-\d+(.*)|--\d+(.*)"","""")"),"THOIRE-SUR-DINAN")</f>
        <v>THOIRE-SUR-DINAN</v>
      </c>
      <c r="E23022" s="38" t="s">
        <v>521</v>
      </c>
      <c r="F23022" s="38" t="s">
        <v>180</v>
      </c>
      <c r="G23022" s="49" t="str">
        <f t="shared" si="1"/>
        <v>72500</v>
      </c>
      <c r="H23022" s="49">
        <f t="shared" si="2"/>
        <v>72356</v>
      </c>
    </row>
    <row r="23023">
      <c r="A23023" s="48" t="s">
        <v>131</v>
      </c>
      <c r="B23023" s="38">
        <v>76384.0</v>
      </c>
      <c r="C23023" s="38" t="s">
        <v>27559</v>
      </c>
      <c r="D23023" s="38" t="str">
        <f>IFERROR(__xludf.DUMMYFUNCTION("REGEXREPLACE(C23023,""-\d+(.*)|--\d+(.*)"","""")"),"LILLEBONNE")</f>
        <v>LILLEBONNE</v>
      </c>
      <c r="E23023" s="38" t="s">
        <v>133</v>
      </c>
      <c r="F23023" s="38" t="s">
        <v>134</v>
      </c>
      <c r="G23023" s="49" t="str">
        <f t="shared" si="1"/>
        <v>76170</v>
      </c>
      <c r="H23023" s="49">
        <f t="shared" si="2"/>
        <v>76384</v>
      </c>
    </row>
    <row r="23024">
      <c r="A23024" s="48" t="s">
        <v>1766</v>
      </c>
      <c r="B23024" s="38">
        <v>2219.0</v>
      </c>
      <c r="C23024" s="38" t="s">
        <v>27560</v>
      </c>
      <c r="D23024" s="38" t="str">
        <f>IFERROR(__xludf.DUMMYFUNCTION("REGEXREPLACE(C23024,""-\d+(.*)|--\d+(.*)"","""")"),"COUCY-LA-VILLE")</f>
        <v>COUCY-LA-VILLE</v>
      </c>
      <c r="E23024" s="38" t="s">
        <v>191</v>
      </c>
      <c r="F23024" s="38" t="s">
        <v>113</v>
      </c>
      <c r="G23024" s="49" t="str">
        <f t="shared" si="1"/>
        <v>02380</v>
      </c>
      <c r="H23024" s="49" t="str">
        <f t="shared" si="2"/>
        <v>02219</v>
      </c>
    </row>
    <row r="23025">
      <c r="A23025" s="48" t="s">
        <v>9556</v>
      </c>
      <c r="B23025" s="38">
        <v>60397.0</v>
      </c>
      <c r="C23025" s="38" t="s">
        <v>27561</v>
      </c>
      <c r="D23025" s="38" t="str">
        <f>IFERROR(__xludf.DUMMYFUNCTION("REGEXREPLACE(C23025,""-\d+(.*)|--\d+(.*)"","""")"),"LE MESNIL-CONTEVILLE")</f>
        <v>LE MESNIL-CONTEVILLE</v>
      </c>
      <c r="E23025" s="38" t="s">
        <v>112</v>
      </c>
      <c r="F23025" s="38" t="s">
        <v>113</v>
      </c>
      <c r="G23025" s="49" t="str">
        <f t="shared" si="1"/>
        <v>60210</v>
      </c>
      <c r="H23025" s="49">
        <f t="shared" si="2"/>
        <v>60397</v>
      </c>
    </row>
    <row r="23026">
      <c r="A23026" s="48" t="s">
        <v>8122</v>
      </c>
      <c r="B23026" s="38">
        <v>42199.0</v>
      </c>
      <c r="C23026" s="38" t="s">
        <v>27562</v>
      </c>
      <c r="D23026" s="38" t="str">
        <f>IFERROR(__xludf.DUMMYFUNCTION("REGEXREPLACE(C23026,""-\d+(.*)|--\d+(.*)"","""")"),"SAINT-ANDRE-D'APCHON")</f>
        <v>SAINT-ANDRE-D'APCHON</v>
      </c>
      <c r="E23026" s="38" t="s">
        <v>166</v>
      </c>
      <c r="F23026" s="38" t="s">
        <v>102</v>
      </c>
      <c r="G23026" s="49" t="str">
        <f t="shared" si="1"/>
        <v>42370</v>
      </c>
      <c r="H23026" s="49">
        <f t="shared" si="2"/>
        <v>42199</v>
      </c>
    </row>
    <row r="23027">
      <c r="A23027" s="48" t="s">
        <v>16765</v>
      </c>
      <c r="B23027" s="38">
        <v>76732.0</v>
      </c>
      <c r="C23027" s="38" t="s">
        <v>27563</v>
      </c>
      <c r="D23027" s="38" t="str">
        <f>IFERROR(__xludf.DUMMYFUNCTION("REGEXREPLACE(C23027,""-\d+(.*)|--\d+(.*)"","""")"),"BUTOT-VENESVILLE")</f>
        <v>BUTOT-VENESVILLE</v>
      </c>
      <c r="E23027" s="38" t="s">
        <v>133</v>
      </c>
      <c r="F23027" s="38" t="s">
        <v>134</v>
      </c>
      <c r="G23027" s="49" t="str">
        <f t="shared" si="1"/>
        <v>76450</v>
      </c>
      <c r="H23027" s="49">
        <f t="shared" si="2"/>
        <v>76732</v>
      </c>
    </row>
    <row r="23028">
      <c r="A23028" s="48" t="s">
        <v>5168</v>
      </c>
      <c r="B23028" s="38">
        <v>73201.0</v>
      </c>
      <c r="C23028" s="38" t="s">
        <v>25066</v>
      </c>
      <c r="D23028" s="38" t="str">
        <f>IFERROR(__xludf.DUMMYFUNCTION("REGEXREPLACE(C23028,""-\d+(.*)|--\d+(.*)"","""")"),"PLANAY")</f>
        <v>PLANAY</v>
      </c>
      <c r="E23028" s="38" t="s">
        <v>306</v>
      </c>
      <c r="F23028" s="38" t="s">
        <v>102</v>
      </c>
      <c r="G23028" s="49" t="str">
        <f t="shared" si="1"/>
        <v>73350</v>
      </c>
      <c r="H23028" s="49">
        <f t="shared" si="2"/>
        <v>73201</v>
      </c>
    </row>
    <row r="23029">
      <c r="A23029" s="48" t="s">
        <v>6549</v>
      </c>
      <c r="B23029" s="38">
        <v>33003.0</v>
      </c>
      <c r="C23029" s="38" t="s">
        <v>27564</v>
      </c>
      <c r="D23029" s="38" t="str">
        <f>IFERROR(__xludf.DUMMYFUNCTION("REGEXREPLACE(C23029,""-\d+(.*)|--\d+(.*)"","""")"),"AMBARES-ET-LAGRAVE")</f>
        <v>AMBARES-ET-LAGRAVE</v>
      </c>
      <c r="E23029" s="38" t="s">
        <v>462</v>
      </c>
      <c r="F23029" s="38" t="s">
        <v>252</v>
      </c>
      <c r="G23029" s="49" t="str">
        <f t="shared" si="1"/>
        <v>33440</v>
      </c>
      <c r="H23029" s="49">
        <f t="shared" si="2"/>
        <v>33003</v>
      </c>
    </row>
    <row r="23030">
      <c r="A23030" s="48" t="s">
        <v>2469</v>
      </c>
      <c r="B23030" s="38">
        <v>8257.0</v>
      </c>
      <c r="C23030" s="38" t="s">
        <v>27565</v>
      </c>
      <c r="D23030" s="38" t="str">
        <f>IFERROR(__xludf.DUMMYFUNCTION("REGEXREPLACE(C23030,""-\d+(.*)|--\d+(.*)"","""")"),"LOGNY-BOGNY")</f>
        <v>LOGNY-BOGNY</v>
      </c>
      <c r="E23030" s="38" t="s">
        <v>327</v>
      </c>
      <c r="F23030" s="38" t="s">
        <v>130</v>
      </c>
      <c r="G23030" s="49" t="str">
        <f t="shared" si="1"/>
        <v>08150</v>
      </c>
      <c r="H23030" s="49" t="str">
        <f t="shared" si="2"/>
        <v>08257</v>
      </c>
    </row>
    <row r="23031">
      <c r="A23031" s="48" t="s">
        <v>10710</v>
      </c>
      <c r="B23031" s="38">
        <v>77225.0</v>
      </c>
      <c r="C23031" s="38" t="s">
        <v>27566</v>
      </c>
      <c r="D23031" s="38" t="str">
        <f>IFERROR(__xludf.DUMMYFUNCTION("REGEXREPLACE(C23031,""-\d+(.*)|--\d+(.*)"","""")"),"LA HAUTE-MAISON")</f>
        <v>LA HAUTE-MAISON</v>
      </c>
      <c r="E23031" s="38" t="s">
        <v>244</v>
      </c>
      <c r="F23031" s="38" t="s">
        <v>245</v>
      </c>
      <c r="G23031" s="49" t="str">
        <f t="shared" si="1"/>
        <v>77580</v>
      </c>
      <c r="H23031" s="49">
        <f t="shared" si="2"/>
        <v>77225</v>
      </c>
    </row>
    <row r="23032">
      <c r="A23032" s="48" t="s">
        <v>27567</v>
      </c>
      <c r="B23032" s="38">
        <v>40328.0</v>
      </c>
      <c r="C23032" s="38" t="s">
        <v>27568</v>
      </c>
      <c r="D23032" s="38" t="str">
        <f>IFERROR(__xludf.DUMMYFUNCTION("REGEXREPLACE(C23032,""-\d+(.*)|--\d+(.*)"","""")"),"VIEUX-BOUCAU-LES-BAINS")</f>
        <v>VIEUX-BOUCAU-LES-BAINS</v>
      </c>
      <c r="E23032" s="38" t="s">
        <v>281</v>
      </c>
      <c r="F23032" s="38" t="s">
        <v>252</v>
      </c>
      <c r="G23032" s="49" t="str">
        <f t="shared" si="1"/>
        <v>40480</v>
      </c>
      <c r="H23032" s="49">
        <f t="shared" si="2"/>
        <v>40328</v>
      </c>
    </row>
    <row r="23033">
      <c r="A23033" s="48" t="s">
        <v>7645</v>
      </c>
      <c r="B23033" s="38">
        <v>34218.0</v>
      </c>
      <c r="C23033" s="38" t="s">
        <v>27569</v>
      </c>
      <c r="D23033" s="38" t="str">
        <f>IFERROR(__xludf.DUMMYFUNCTION("REGEXREPLACE(C23033,""-\d+(.*)|--\d+(.*)"","""")"),"PRADES-SUR-VERNAZOBRE")</f>
        <v>PRADES-SUR-VERNAZOBRE</v>
      </c>
      <c r="E23033" s="38" t="s">
        <v>118</v>
      </c>
      <c r="F23033" s="38" t="s">
        <v>119</v>
      </c>
      <c r="G23033" s="49" t="str">
        <f t="shared" si="1"/>
        <v>34360</v>
      </c>
      <c r="H23033" s="49">
        <f t="shared" si="2"/>
        <v>34218</v>
      </c>
    </row>
    <row r="23034">
      <c r="A23034" s="48" t="s">
        <v>8125</v>
      </c>
      <c r="B23034" s="38">
        <v>87041.0</v>
      </c>
      <c r="C23034" s="38" t="s">
        <v>27570</v>
      </c>
      <c r="D23034" s="38" t="str">
        <f>IFERROR(__xludf.DUMMYFUNCTION("REGEXREPLACE(C23034,""-\d+(.*)|--\d+(.*)"","""")"),"CHATEAUPONSAC")</f>
        <v>CHATEAUPONSAC</v>
      </c>
      <c r="E23034" s="38" t="s">
        <v>897</v>
      </c>
      <c r="F23034" s="38" t="s">
        <v>98</v>
      </c>
      <c r="G23034" s="49" t="str">
        <f t="shared" si="1"/>
        <v>87290</v>
      </c>
      <c r="H23034" s="49">
        <f t="shared" si="2"/>
        <v>87041</v>
      </c>
    </row>
    <row r="23035">
      <c r="A23035" s="48" t="s">
        <v>584</v>
      </c>
      <c r="B23035" s="38">
        <v>62103.0</v>
      </c>
      <c r="C23035" s="38" t="s">
        <v>27571</v>
      </c>
      <c r="D23035" s="38" t="str">
        <f>IFERROR(__xludf.DUMMYFUNCTION("REGEXREPLACE(C23035,""-\d+(.*)|--\d+(.*)"","""")"),"BEHAGNIES")</f>
        <v>BEHAGNIES</v>
      </c>
      <c r="E23035" s="38" t="s">
        <v>109</v>
      </c>
      <c r="F23035" s="38" t="s">
        <v>86</v>
      </c>
      <c r="G23035" s="49" t="str">
        <f t="shared" si="1"/>
        <v>62121</v>
      </c>
      <c r="H23035" s="49">
        <f t="shared" si="2"/>
        <v>62103</v>
      </c>
    </row>
    <row r="23036">
      <c r="A23036" s="48" t="s">
        <v>8698</v>
      </c>
      <c r="B23036" s="38">
        <v>11303.0</v>
      </c>
      <c r="C23036" s="38" t="s">
        <v>27572</v>
      </c>
      <c r="D23036" s="38" t="str">
        <f>IFERROR(__xludf.DUMMYFUNCTION("REGEXREPLACE(C23036,""-\d+(.*)|--\d+(.*)"","""")"),"PUIVERT")</f>
        <v>PUIVERT</v>
      </c>
      <c r="E23036" s="38" t="s">
        <v>278</v>
      </c>
      <c r="F23036" s="38" t="s">
        <v>119</v>
      </c>
      <c r="G23036" s="49" t="str">
        <f t="shared" si="1"/>
        <v>11230</v>
      </c>
      <c r="H23036" s="49">
        <f t="shared" si="2"/>
        <v>11303</v>
      </c>
    </row>
    <row r="23037">
      <c r="A23037" s="48" t="s">
        <v>1174</v>
      </c>
      <c r="B23037" s="38">
        <v>51649.0</v>
      </c>
      <c r="C23037" s="38" t="s">
        <v>27573</v>
      </c>
      <c r="D23037" s="38" t="str">
        <f>IFERROR(__xludf.DUMMYFUNCTION("REGEXREPLACE(C23037,""-\d+(.*)|--\d+(.*)"","""")"),"VITRY-LE-FRANCOIS")</f>
        <v>VITRY-LE-FRANCOIS</v>
      </c>
      <c r="E23037" s="38" t="s">
        <v>129</v>
      </c>
      <c r="F23037" s="38" t="s">
        <v>130</v>
      </c>
      <c r="G23037" s="49" t="str">
        <f t="shared" si="1"/>
        <v>51300</v>
      </c>
      <c r="H23037" s="49">
        <f t="shared" si="2"/>
        <v>51649</v>
      </c>
    </row>
    <row r="23038">
      <c r="A23038" s="48" t="s">
        <v>91</v>
      </c>
      <c r="B23038" s="38">
        <v>31272.0</v>
      </c>
      <c r="C23038" s="38" t="s">
        <v>27574</v>
      </c>
      <c r="D23038" s="38" t="str">
        <f>IFERROR(__xludf.DUMMYFUNCTION("REGEXREPLACE(C23038,""-\d+(.*)|--\d+(.*)"","""")"),"LAPEYRERE")</f>
        <v>LAPEYRERE</v>
      </c>
      <c r="E23038" s="38" t="s">
        <v>93</v>
      </c>
      <c r="F23038" s="38" t="s">
        <v>94</v>
      </c>
      <c r="G23038" s="49" t="str">
        <f t="shared" si="1"/>
        <v>31310</v>
      </c>
      <c r="H23038" s="49">
        <f t="shared" si="2"/>
        <v>31272</v>
      </c>
    </row>
    <row r="23039">
      <c r="A23039" s="48" t="s">
        <v>21650</v>
      </c>
      <c r="B23039" s="38">
        <v>83042.0</v>
      </c>
      <c r="C23039" s="38" t="s">
        <v>27575</v>
      </c>
      <c r="D23039" s="38" t="str">
        <f>IFERROR(__xludf.DUMMYFUNCTION("REGEXREPLACE(C23039,""-\d+(.*)|--\d+(.*)"","""")"),"COGOLIN")</f>
        <v>COGOLIN</v>
      </c>
      <c r="E23039" s="38" t="s">
        <v>813</v>
      </c>
      <c r="F23039" s="38" t="s">
        <v>228</v>
      </c>
      <c r="G23039" s="49" t="str">
        <f t="shared" si="1"/>
        <v>83310</v>
      </c>
      <c r="H23039" s="49">
        <f t="shared" si="2"/>
        <v>83042</v>
      </c>
    </row>
    <row r="23040">
      <c r="A23040" s="48" t="s">
        <v>7423</v>
      </c>
      <c r="B23040" s="38">
        <v>22161.0</v>
      </c>
      <c r="C23040" s="38" t="s">
        <v>27576</v>
      </c>
      <c r="D23040" s="38" t="str">
        <f>IFERROR(__xludf.DUMMYFUNCTION("REGEXREPLACE(C23040,""-\d+(.*)|--\d+(.*)"","""")"),"PABU")</f>
        <v>PABU</v>
      </c>
      <c r="E23040" s="38" t="s">
        <v>89</v>
      </c>
      <c r="F23040" s="38" t="s">
        <v>90</v>
      </c>
      <c r="G23040" s="49" t="str">
        <f t="shared" si="1"/>
        <v>22200</v>
      </c>
      <c r="H23040" s="49">
        <f t="shared" si="2"/>
        <v>22161</v>
      </c>
    </row>
    <row r="23041">
      <c r="A23041" s="48" t="s">
        <v>1598</v>
      </c>
      <c r="B23041" s="38">
        <v>77080.0</v>
      </c>
      <c r="C23041" s="38" t="s">
        <v>27577</v>
      </c>
      <c r="D23041" s="38" t="str">
        <f>IFERROR(__xludf.DUMMYFUNCTION("REGEXREPLACE(C23041,""-\d+(.*)|--\d+(.*)"","""")"),"CHAMPCENEST")</f>
        <v>CHAMPCENEST</v>
      </c>
      <c r="E23041" s="38" t="s">
        <v>244</v>
      </c>
      <c r="F23041" s="38" t="s">
        <v>245</v>
      </c>
      <c r="G23041" s="49" t="str">
        <f t="shared" si="1"/>
        <v>77560</v>
      </c>
      <c r="H23041" s="49">
        <f t="shared" si="2"/>
        <v>77080</v>
      </c>
    </row>
    <row r="23042">
      <c r="A23042" s="48" t="s">
        <v>2400</v>
      </c>
      <c r="B23042" s="38">
        <v>25498.0</v>
      </c>
      <c r="C23042" s="38" t="s">
        <v>27578</v>
      </c>
      <c r="D23042" s="38" t="str">
        <f>IFERROR(__xludf.DUMMYFUNCTION("REGEXREPLACE(C23042,""-\d+(.*)|--\d+(.*)"","""")"),"ROGNON")</f>
        <v>ROGNON</v>
      </c>
      <c r="E23042" s="38" t="s">
        <v>213</v>
      </c>
      <c r="F23042" s="38" t="s">
        <v>214</v>
      </c>
      <c r="G23042" s="49" t="str">
        <f t="shared" si="1"/>
        <v>25680</v>
      </c>
      <c r="H23042" s="49">
        <f t="shared" si="2"/>
        <v>25498</v>
      </c>
    </row>
    <row r="23043">
      <c r="A23043" s="48" t="s">
        <v>6704</v>
      </c>
      <c r="B23043" s="38">
        <v>12203.0</v>
      </c>
      <c r="C23043" s="38" t="s">
        <v>27579</v>
      </c>
      <c r="D23043" s="38" t="str">
        <f>IFERROR(__xludf.DUMMYFUNCTION("REGEXREPLACE(C23043,""-\d+(.*)|--\d+(.*)"","""")"),"ROQUEFORT-SUR-SOULZON")</f>
        <v>ROQUEFORT-SUR-SOULZON</v>
      </c>
      <c r="E23043" s="38" t="s">
        <v>465</v>
      </c>
      <c r="F23043" s="38" t="s">
        <v>94</v>
      </c>
      <c r="G23043" s="49" t="str">
        <f t="shared" si="1"/>
        <v>12250</v>
      </c>
      <c r="H23043" s="49">
        <f t="shared" si="2"/>
        <v>12203</v>
      </c>
    </row>
    <row r="23044">
      <c r="A23044" s="48" t="s">
        <v>3271</v>
      </c>
      <c r="B23044" s="38">
        <v>22198.0</v>
      </c>
      <c r="C23044" s="38" t="s">
        <v>27580</v>
      </c>
      <c r="D23044" s="38" t="str">
        <f>IFERROR(__xludf.DUMMYFUNCTION("REGEXREPLACE(C23044,""-\d+(.*)|--\d+(.*)"","""")"),"PLEUMEUR-BODOU")</f>
        <v>PLEUMEUR-BODOU</v>
      </c>
      <c r="E23044" s="38" t="s">
        <v>89</v>
      </c>
      <c r="F23044" s="38" t="s">
        <v>90</v>
      </c>
      <c r="G23044" s="49" t="str">
        <f t="shared" si="1"/>
        <v>22560</v>
      </c>
      <c r="H23044" s="49">
        <f t="shared" si="2"/>
        <v>22198</v>
      </c>
    </row>
    <row r="23045">
      <c r="A23045" s="48" t="s">
        <v>1056</v>
      </c>
      <c r="B23045" s="38">
        <v>11206.0</v>
      </c>
      <c r="C23045" s="38" t="s">
        <v>27581</v>
      </c>
      <c r="D23045" s="38" t="str">
        <f>IFERROR(__xludf.DUMMYFUNCTION("REGEXREPLACE(C23045,""-\d+(.*)|--\d+(.*)"","""")"),"LIMOUX")</f>
        <v>LIMOUX</v>
      </c>
      <c r="E23045" s="38" t="s">
        <v>278</v>
      </c>
      <c r="F23045" s="38" t="s">
        <v>119</v>
      </c>
      <c r="G23045" s="49" t="str">
        <f t="shared" si="1"/>
        <v>11300</v>
      </c>
      <c r="H23045" s="49">
        <f t="shared" si="2"/>
        <v>11206</v>
      </c>
    </row>
    <row r="23046">
      <c r="A23046" s="48" t="s">
        <v>4434</v>
      </c>
      <c r="B23046" s="38">
        <v>31063.0</v>
      </c>
      <c r="C23046" s="38" t="s">
        <v>27582</v>
      </c>
      <c r="D23046" s="38" t="str">
        <f>IFERROR(__xludf.DUMMYFUNCTION("REGEXREPLACE(C23046,""-\d+(.*)|--\d+(.*)"","""")"),"BENQUE")</f>
        <v>BENQUE</v>
      </c>
      <c r="E23046" s="38" t="s">
        <v>93</v>
      </c>
      <c r="F23046" s="38" t="s">
        <v>94</v>
      </c>
      <c r="G23046" s="49" t="str">
        <f t="shared" si="1"/>
        <v>31420</v>
      </c>
      <c r="H23046" s="49">
        <f t="shared" si="2"/>
        <v>31063</v>
      </c>
    </row>
    <row r="23047">
      <c r="A23047" s="48" t="s">
        <v>14095</v>
      </c>
      <c r="B23047" s="38">
        <v>1153.0</v>
      </c>
      <c r="C23047" s="38" t="s">
        <v>27583</v>
      </c>
      <c r="D23047" s="38" t="str">
        <f>IFERROR(__xludf.DUMMYFUNCTION("REGEXREPLACE(C23047,""-\d+(.*)|--\d+(.*)"","""")"),"ECHENEVEX")</f>
        <v>ECHENEVEX</v>
      </c>
      <c r="E23047" s="38" t="s">
        <v>255</v>
      </c>
      <c r="F23047" s="38" t="s">
        <v>102</v>
      </c>
      <c r="G23047" s="49" t="str">
        <f t="shared" si="1"/>
        <v>01170</v>
      </c>
      <c r="H23047" s="49" t="str">
        <f t="shared" si="2"/>
        <v>01153</v>
      </c>
    </row>
    <row r="23048">
      <c r="A23048" s="48" t="s">
        <v>2055</v>
      </c>
      <c r="B23048" s="38">
        <v>4169.0</v>
      </c>
      <c r="C23048" s="38" t="s">
        <v>27584</v>
      </c>
      <c r="D23048" s="38" t="str">
        <f>IFERROR(__xludf.DUMMYFUNCTION("REGEXREPLACE(C23048,""-\d+(.*)|--\d+(.*)"","""")"),"LA ROCHEGIRON")</f>
        <v>LA ROCHEGIRON</v>
      </c>
      <c r="E23048" s="38" t="s">
        <v>662</v>
      </c>
      <c r="F23048" s="38" t="s">
        <v>228</v>
      </c>
      <c r="G23048" s="49" t="str">
        <f t="shared" si="1"/>
        <v>04150</v>
      </c>
      <c r="H23048" s="49" t="str">
        <f t="shared" si="2"/>
        <v>04169</v>
      </c>
    </row>
    <row r="23049">
      <c r="A23049" s="48" t="s">
        <v>4880</v>
      </c>
      <c r="B23049" s="38">
        <v>89207.0</v>
      </c>
      <c r="C23049" s="38" t="s">
        <v>27585</v>
      </c>
      <c r="D23049" s="38" t="str">
        <f>IFERROR(__xludf.DUMMYFUNCTION("REGEXREPLACE(C23049,""-\d+(.*)|--\d+(.*)"","""")"),"JOUANCY")</f>
        <v>JOUANCY</v>
      </c>
      <c r="E23049" s="38" t="s">
        <v>275</v>
      </c>
      <c r="F23049" s="38" t="s">
        <v>106</v>
      </c>
      <c r="G23049" s="49" t="str">
        <f t="shared" si="1"/>
        <v>89310</v>
      </c>
      <c r="H23049" s="49">
        <f t="shared" si="2"/>
        <v>89207</v>
      </c>
    </row>
    <row r="23050">
      <c r="A23050" s="48" t="s">
        <v>2059</v>
      </c>
      <c r="B23050" s="38">
        <v>37140.0</v>
      </c>
      <c r="C23050" s="38" t="s">
        <v>27586</v>
      </c>
      <c r="D23050" s="38" t="str">
        <f>IFERROR(__xludf.DUMMYFUNCTION("REGEXREPLACE(C23050,""-\d+(.*)|--\d+(.*)"","""")"),"LUZE")</f>
        <v>LUZE</v>
      </c>
      <c r="E23050" s="38" t="s">
        <v>205</v>
      </c>
      <c r="F23050" s="38" t="s">
        <v>123</v>
      </c>
      <c r="G23050" s="49" t="str">
        <f t="shared" si="1"/>
        <v>37120</v>
      </c>
      <c r="H23050" s="49">
        <f t="shared" si="2"/>
        <v>37140</v>
      </c>
    </row>
    <row r="23051">
      <c r="A23051" s="48" t="s">
        <v>8145</v>
      </c>
      <c r="B23051" s="38">
        <v>9326.0</v>
      </c>
      <c r="C23051" s="38" t="s">
        <v>27587</v>
      </c>
      <c r="D23051" s="38" t="str">
        <f>IFERROR(__xludf.DUMMYFUNCTION("REGEXREPLACE(C23051,""-\d+(.*)|--\d+(.*)"","""")"),"VEBRE")</f>
        <v>VEBRE</v>
      </c>
      <c r="E23051" s="38" t="s">
        <v>238</v>
      </c>
      <c r="F23051" s="38" t="s">
        <v>94</v>
      </c>
      <c r="G23051" s="49" t="str">
        <f t="shared" si="1"/>
        <v>09310</v>
      </c>
      <c r="H23051" s="49" t="str">
        <f t="shared" si="2"/>
        <v>09326</v>
      </c>
    </row>
    <row r="23052">
      <c r="A23052" s="48" t="s">
        <v>9522</v>
      </c>
      <c r="B23052" s="38">
        <v>1104.0</v>
      </c>
      <c r="C23052" s="38" t="s">
        <v>27588</v>
      </c>
      <c r="D23052" s="38" t="str">
        <f>IFERROR(__xludf.DUMMYFUNCTION("REGEXREPLACE(C23052,""-\d+(.*)|--\d+(.*)"","""")"),"CHEZERY-FORENS")</f>
        <v>CHEZERY-FORENS</v>
      </c>
      <c r="E23052" s="38" t="s">
        <v>255</v>
      </c>
      <c r="F23052" s="38" t="s">
        <v>102</v>
      </c>
      <c r="G23052" s="49" t="str">
        <f t="shared" si="1"/>
        <v>01410</v>
      </c>
      <c r="H23052" s="49" t="str">
        <f t="shared" si="2"/>
        <v>01104</v>
      </c>
    </row>
    <row r="23053">
      <c r="A23053" s="48" t="s">
        <v>1829</v>
      </c>
      <c r="B23053" s="38">
        <v>59663.0</v>
      </c>
      <c r="C23053" s="38" t="s">
        <v>27589</v>
      </c>
      <c r="D23053" s="38" t="str">
        <f>IFERROR(__xludf.DUMMYFUNCTION("REGEXREPLACE(C23053,""-\d+(.*)|--\d+(.*)"","""")"),"WORMHOUT")</f>
        <v>WORMHOUT</v>
      </c>
      <c r="E23053" s="38" t="s">
        <v>85</v>
      </c>
      <c r="F23053" s="38" t="s">
        <v>86</v>
      </c>
      <c r="G23053" s="49" t="str">
        <f t="shared" si="1"/>
        <v>59470</v>
      </c>
      <c r="H23053" s="49">
        <f t="shared" si="2"/>
        <v>59663</v>
      </c>
    </row>
    <row r="23054">
      <c r="A23054" s="48" t="s">
        <v>2989</v>
      </c>
      <c r="B23054" s="38">
        <v>70239.0</v>
      </c>
      <c r="C23054" s="38" t="s">
        <v>27590</v>
      </c>
      <c r="D23054" s="38" t="str">
        <f>IFERROR(__xludf.DUMMYFUNCTION("REGEXREPLACE(C23054,""-\d+(.*)|--\d+(.*)"","""")"),"FONDREMAND")</f>
        <v>FONDREMAND</v>
      </c>
      <c r="E23054" s="38" t="s">
        <v>956</v>
      </c>
      <c r="F23054" s="38" t="s">
        <v>214</v>
      </c>
      <c r="G23054" s="49" t="str">
        <f t="shared" si="1"/>
        <v>70190</v>
      </c>
      <c r="H23054" s="49">
        <f t="shared" si="2"/>
        <v>70239</v>
      </c>
    </row>
    <row r="23055">
      <c r="A23055" s="48" t="s">
        <v>4071</v>
      </c>
      <c r="B23055" s="38">
        <v>66190.0</v>
      </c>
      <c r="C23055" s="38" t="s">
        <v>27591</v>
      </c>
      <c r="D23055" s="38" t="str">
        <f>IFERROR(__xludf.DUMMYFUNCTION("REGEXREPLACE(C23055,""-\d+(.*)|--\d+(.*)"","""")"),"SALSES-LE-CHATEAU")</f>
        <v>SALSES-LE-CHATEAU</v>
      </c>
      <c r="E23055" s="38" t="s">
        <v>248</v>
      </c>
      <c r="F23055" s="38" t="s">
        <v>119</v>
      </c>
      <c r="G23055" s="49" t="str">
        <f t="shared" si="1"/>
        <v>66600</v>
      </c>
      <c r="H23055" s="49">
        <f t="shared" si="2"/>
        <v>66190</v>
      </c>
    </row>
    <row r="23056">
      <c r="A23056" s="48" t="s">
        <v>5288</v>
      </c>
      <c r="B23056" s="38">
        <v>62016.0</v>
      </c>
      <c r="C23056" s="38" t="s">
        <v>27592</v>
      </c>
      <c r="D23056" s="38" t="str">
        <f>IFERROR(__xludf.DUMMYFUNCTION("REGEXREPLACE(C23056,""-\d+(.*)|--\d+(.*)"","""")"),"AIRON-SAINT-VAAST")</f>
        <v>AIRON-SAINT-VAAST</v>
      </c>
      <c r="E23056" s="38" t="s">
        <v>109</v>
      </c>
      <c r="F23056" s="38" t="s">
        <v>86</v>
      </c>
      <c r="G23056" s="49" t="str">
        <f t="shared" si="1"/>
        <v>62180</v>
      </c>
      <c r="H23056" s="49">
        <f t="shared" si="2"/>
        <v>62016</v>
      </c>
    </row>
    <row r="23057">
      <c r="A23057" s="48" t="s">
        <v>2710</v>
      </c>
      <c r="B23057" s="38">
        <v>68181.0</v>
      </c>
      <c r="C23057" s="38" t="s">
        <v>10781</v>
      </c>
      <c r="D23057" s="38" t="str">
        <f>IFERROR(__xludf.DUMMYFUNCTION("REGEXREPLACE(C23057,""-\d+(.*)|--\d+(.*)"","""")"),"LEVONCOURT")</f>
        <v>LEVONCOURT</v>
      </c>
      <c r="E23057" s="38" t="s">
        <v>150</v>
      </c>
      <c r="F23057" s="38" t="s">
        <v>151</v>
      </c>
      <c r="G23057" s="49" t="str">
        <f t="shared" si="1"/>
        <v>68480</v>
      </c>
      <c r="H23057" s="49">
        <f t="shared" si="2"/>
        <v>68181</v>
      </c>
    </row>
    <row r="23058">
      <c r="A23058" s="48" t="s">
        <v>12501</v>
      </c>
      <c r="B23058" s="38">
        <v>27264.0</v>
      </c>
      <c r="C23058" s="38" t="s">
        <v>27593</v>
      </c>
      <c r="D23058" s="38" t="str">
        <f>IFERROR(__xludf.DUMMYFUNCTION("REGEXREPLACE(C23058,""-\d+(.*)|--\d+(.*)"","""")"),"FOURS-EN-VEXIN")</f>
        <v>FOURS-EN-VEXIN</v>
      </c>
      <c r="E23058" s="38" t="s">
        <v>241</v>
      </c>
      <c r="F23058" s="38" t="s">
        <v>134</v>
      </c>
      <c r="G23058" s="49" t="str">
        <f t="shared" si="1"/>
        <v>27630</v>
      </c>
      <c r="H23058" s="49">
        <f t="shared" si="2"/>
        <v>27264</v>
      </c>
    </row>
    <row r="23059">
      <c r="A23059" s="48" t="s">
        <v>3831</v>
      </c>
      <c r="B23059" s="38">
        <v>63205.0</v>
      </c>
      <c r="C23059" s="38" t="s">
        <v>27594</v>
      </c>
      <c r="D23059" s="38" t="str">
        <f>IFERROR(__xludf.DUMMYFUNCTION("REGEXREPLACE(C23059,""-\d+(.*)|--\d+(.*)"","""")"),"MANGLIEU")</f>
        <v>MANGLIEU</v>
      </c>
      <c r="E23059" s="38" t="s">
        <v>353</v>
      </c>
      <c r="F23059" s="38" t="s">
        <v>161</v>
      </c>
      <c r="G23059" s="49" t="str">
        <f t="shared" si="1"/>
        <v>63270</v>
      </c>
      <c r="H23059" s="49">
        <f t="shared" si="2"/>
        <v>63205</v>
      </c>
    </row>
    <row r="23060">
      <c r="A23060" s="48" t="s">
        <v>5866</v>
      </c>
      <c r="B23060" s="38">
        <v>33421.0</v>
      </c>
      <c r="C23060" s="38" t="s">
        <v>27595</v>
      </c>
      <c r="D23060" s="38" t="str">
        <f>IFERROR(__xludf.DUMMYFUNCTION("REGEXREPLACE(C23060,""-\d+(.*)|--\d+(.*)"","""")"),"SAINT-JEAN-DE-BLAIGNAC")</f>
        <v>SAINT-JEAN-DE-BLAIGNAC</v>
      </c>
      <c r="E23060" s="38" t="s">
        <v>462</v>
      </c>
      <c r="F23060" s="38" t="s">
        <v>252</v>
      </c>
      <c r="G23060" s="49" t="str">
        <f t="shared" si="1"/>
        <v>33420</v>
      </c>
      <c r="H23060" s="49">
        <f t="shared" si="2"/>
        <v>33421</v>
      </c>
    </row>
    <row r="23061">
      <c r="A23061" s="48" t="s">
        <v>390</v>
      </c>
      <c r="B23061" s="38">
        <v>11082.0</v>
      </c>
      <c r="C23061" s="38" t="s">
        <v>27596</v>
      </c>
      <c r="D23061" s="38" t="str">
        <f>IFERROR(__xludf.DUMMYFUNCTION("REGEXREPLACE(C23061,""-\d+(.*)|--\d+(.*)"","""")"),"CAUNETTE-SUR-LAUQUET")</f>
        <v>CAUNETTE-SUR-LAUQUET</v>
      </c>
      <c r="E23061" s="38" t="s">
        <v>278</v>
      </c>
      <c r="F23061" s="38" t="s">
        <v>119</v>
      </c>
      <c r="G23061" s="49" t="str">
        <f t="shared" si="1"/>
        <v>11250</v>
      </c>
      <c r="H23061" s="49">
        <f t="shared" si="2"/>
        <v>11082</v>
      </c>
    </row>
    <row r="23062">
      <c r="A23062" s="48" t="s">
        <v>2848</v>
      </c>
      <c r="B23062" s="38">
        <v>51033.0</v>
      </c>
      <c r="C23062" s="38" t="s">
        <v>27597</v>
      </c>
      <c r="D23062" s="38" t="str">
        <f>IFERROR(__xludf.DUMMYFUNCTION("REGEXREPLACE(C23062,""-\d+(.*)|--\d+(.*)"","""")"),"LE BAIZIL")</f>
        <v>LE BAIZIL</v>
      </c>
      <c r="E23062" s="38" t="s">
        <v>129</v>
      </c>
      <c r="F23062" s="38" t="s">
        <v>130</v>
      </c>
      <c r="G23062" s="49" t="str">
        <f t="shared" si="1"/>
        <v>51270</v>
      </c>
      <c r="H23062" s="49">
        <f t="shared" si="2"/>
        <v>51033</v>
      </c>
    </row>
    <row r="23063">
      <c r="A23063" s="48" t="s">
        <v>1921</v>
      </c>
      <c r="B23063" s="38">
        <v>2371.0</v>
      </c>
      <c r="C23063" s="38" t="s">
        <v>27598</v>
      </c>
      <c r="D23063" s="38" t="str">
        <f>IFERROR(__xludf.DUMMYFUNCTION("REGEXREPLACE(C23063,""-\d+(.*)|--\d+(.*)"","""")"),"HARLY")</f>
        <v>HARLY</v>
      </c>
      <c r="E23063" s="38" t="s">
        <v>191</v>
      </c>
      <c r="F23063" s="38" t="s">
        <v>113</v>
      </c>
      <c r="G23063" s="49" t="str">
        <f t="shared" si="1"/>
        <v>02100</v>
      </c>
      <c r="H23063" s="49" t="str">
        <f t="shared" si="2"/>
        <v>02371</v>
      </c>
    </row>
    <row r="23064">
      <c r="A23064" s="48" t="s">
        <v>5091</v>
      </c>
      <c r="B23064" s="38">
        <v>41055.0</v>
      </c>
      <c r="C23064" s="38" t="s">
        <v>27599</v>
      </c>
      <c r="D23064" s="38" t="str">
        <f>IFERROR(__xludf.DUMMYFUNCTION("REGEXREPLACE(C23064,""-\d+(.*)|--\d+(.*)"","""")"),"CHOUZY-SUR-CISSE")</f>
        <v>CHOUZY-SUR-CISSE</v>
      </c>
      <c r="E23064" s="38" t="s">
        <v>188</v>
      </c>
      <c r="F23064" s="38" t="s">
        <v>123</v>
      </c>
      <c r="G23064" s="49" t="str">
        <f t="shared" si="1"/>
        <v>41150</v>
      </c>
      <c r="H23064" s="49">
        <f t="shared" si="2"/>
        <v>41055</v>
      </c>
    </row>
    <row r="23065">
      <c r="A23065" s="48" t="s">
        <v>12007</v>
      </c>
      <c r="B23065" s="38">
        <v>37027.0</v>
      </c>
      <c r="C23065" s="38" t="s">
        <v>27600</v>
      </c>
      <c r="D23065" s="38" t="str">
        <f>IFERROR(__xludf.DUMMYFUNCTION("REGEXREPLACE(C23065,""-\d+(.*)|--\d+(.*)"","""")"),"BLERE")</f>
        <v>BLERE</v>
      </c>
      <c r="E23065" s="38" t="s">
        <v>205</v>
      </c>
      <c r="F23065" s="38" t="s">
        <v>123</v>
      </c>
      <c r="G23065" s="49" t="str">
        <f t="shared" si="1"/>
        <v>37150</v>
      </c>
      <c r="H23065" s="49">
        <f t="shared" si="2"/>
        <v>37027</v>
      </c>
    </row>
    <row r="23066">
      <c r="A23066" s="48" t="s">
        <v>1518</v>
      </c>
      <c r="B23066" s="38">
        <v>88476.0</v>
      </c>
      <c r="C23066" s="38" t="s">
        <v>27601</v>
      </c>
      <c r="D23066" s="38" t="str">
        <f>IFERROR(__xludf.DUMMYFUNCTION("REGEXREPLACE(C23066,""-\d+(.*)|--\d+(.*)"","""")"),"TOTAINVILLE")</f>
        <v>TOTAINVILLE</v>
      </c>
      <c r="E23066" s="38" t="s">
        <v>194</v>
      </c>
      <c r="F23066" s="38" t="s">
        <v>195</v>
      </c>
      <c r="G23066" s="49" t="str">
        <f t="shared" si="1"/>
        <v>88500</v>
      </c>
      <c r="H23066" s="49">
        <f t="shared" si="2"/>
        <v>88476</v>
      </c>
    </row>
    <row r="23067">
      <c r="A23067" s="48" t="s">
        <v>5070</v>
      </c>
      <c r="B23067" s="38">
        <v>79330.0</v>
      </c>
      <c r="C23067" s="38" t="s">
        <v>27602</v>
      </c>
      <c r="D23067" s="38" t="str">
        <f>IFERROR(__xludf.DUMMYFUNCTION("REGEXREPLACE(C23067,""-\d+(.*)|--\d+(.*)"","""")"),"TILLOU")</f>
        <v>TILLOU</v>
      </c>
      <c r="E23067" s="38" t="s">
        <v>337</v>
      </c>
      <c r="F23067" s="38" t="s">
        <v>338</v>
      </c>
      <c r="G23067" s="49" t="str">
        <f t="shared" si="1"/>
        <v>79110</v>
      </c>
      <c r="H23067" s="49">
        <f t="shared" si="2"/>
        <v>79330</v>
      </c>
    </row>
    <row r="23068">
      <c r="A23068" s="48" t="s">
        <v>14540</v>
      </c>
      <c r="B23068" s="38">
        <v>34109.0</v>
      </c>
      <c r="C23068" s="38" t="s">
        <v>27603</v>
      </c>
      <c r="D23068" s="38" t="str">
        <f>IFERROR(__xludf.DUMMYFUNCTION("REGEXREPLACE(C23068,""-\d+(.*)|--\d+(.*)"","""")"),"GABIAN")</f>
        <v>GABIAN</v>
      </c>
      <c r="E23068" s="38" t="s">
        <v>118</v>
      </c>
      <c r="F23068" s="38" t="s">
        <v>119</v>
      </c>
      <c r="G23068" s="49" t="str">
        <f t="shared" si="1"/>
        <v>34320</v>
      </c>
      <c r="H23068" s="49">
        <f t="shared" si="2"/>
        <v>34109</v>
      </c>
    </row>
    <row r="23069">
      <c r="A23069" s="48" t="s">
        <v>2853</v>
      </c>
      <c r="B23069" s="38">
        <v>36194.0</v>
      </c>
      <c r="C23069" s="38" t="s">
        <v>27604</v>
      </c>
      <c r="D23069" s="38" t="str">
        <f>IFERROR(__xludf.DUMMYFUNCTION("REGEXREPLACE(C23069,""-\d+(.*)|--\d+(.*)"","""")"),"SAINT-GENOU")</f>
        <v>SAINT-GENOU</v>
      </c>
      <c r="E23069" s="38" t="s">
        <v>258</v>
      </c>
      <c r="F23069" s="38" t="s">
        <v>123</v>
      </c>
      <c r="G23069" s="49" t="str">
        <f t="shared" si="1"/>
        <v>36500</v>
      </c>
      <c r="H23069" s="49">
        <f t="shared" si="2"/>
        <v>36194</v>
      </c>
    </row>
    <row r="23070">
      <c r="A23070" s="48" t="s">
        <v>3439</v>
      </c>
      <c r="B23070" s="38">
        <v>86038.0</v>
      </c>
      <c r="C23070" s="38" t="s">
        <v>17120</v>
      </c>
      <c r="D23070" s="38" t="str">
        <f>IFERROR(__xludf.DUMMYFUNCTION("REGEXREPLACE(C23070,""-\d+(.*)|--\d+(.*)"","""")"),"BRION")</f>
        <v>BRION</v>
      </c>
      <c r="E23070" s="38" t="s">
        <v>529</v>
      </c>
      <c r="F23070" s="38" t="s">
        <v>338</v>
      </c>
      <c r="G23070" s="49" t="str">
        <f t="shared" si="1"/>
        <v>86160</v>
      </c>
      <c r="H23070" s="49">
        <f t="shared" si="2"/>
        <v>86038</v>
      </c>
    </row>
    <row r="23071">
      <c r="A23071" s="48" t="s">
        <v>11007</v>
      </c>
      <c r="B23071" s="38">
        <v>17469.0</v>
      </c>
      <c r="C23071" s="38" t="s">
        <v>27605</v>
      </c>
      <c r="D23071" s="38" t="str">
        <f>IFERROR(__xludf.DUMMYFUNCTION("REGEXREPLACE(C23071,""-\d+(.*)|--\d+(.*)"","""")"),"VILLARS-EN-PONS")</f>
        <v>VILLARS-EN-PONS</v>
      </c>
      <c r="E23071" s="38" t="s">
        <v>488</v>
      </c>
      <c r="F23071" s="38" t="s">
        <v>338</v>
      </c>
      <c r="G23071" s="49" t="str">
        <f t="shared" si="1"/>
        <v>17260</v>
      </c>
      <c r="H23071" s="49">
        <f t="shared" si="2"/>
        <v>17469</v>
      </c>
    </row>
    <row r="23072">
      <c r="A23072" s="48" t="s">
        <v>7292</v>
      </c>
      <c r="B23072" s="38">
        <v>49008.0</v>
      </c>
      <c r="C23072" s="38" t="s">
        <v>27606</v>
      </c>
      <c r="D23072" s="38" t="str">
        <f>IFERROR(__xludf.DUMMYFUNCTION("REGEXREPLACE(C23072,""-\d+(.*)|--\d+(.*)"","""")"),"ANGRIE")</f>
        <v>ANGRIE</v>
      </c>
      <c r="E23072" s="38" t="s">
        <v>653</v>
      </c>
      <c r="F23072" s="38" t="s">
        <v>180</v>
      </c>
      <c r="G23072" s="49" t="str">
        <f t="shared" si="1"/>
        <v>49440</v>
      </c>
      <c r="H23072" s="49">
        <f t="shared" si="2"/>
        <v>49008</v>
      </c>
    </row>
    <row r="23073">
      <c r="A23073" s="48" t="s">
        <v>3473</v>
      </c>
      <c r="B23073" s="38">
        <v>69240.0</v>
      </c>
      <c r="C23073" s="38" t="s">
        <v>27607</v>
      </c>
      <c r="D23073" s="38" t="str">
        <f>IFERROR(__xludf.DUMMYFUNCTION("REGEXREPLACE(C23073,""-\d+(.*)|--\d+(.*)"","""")"),"SAINT-VINCENT-DE-REINS")</f>
        <v>SAINT-VINCENT-DE-REINS</v>
      </c>
      <c r="E23073" s="38" t="s">
        <v>350</v>
      </c>
      <c r="F23073" s="38" t="s">
        <v>102</v>
      </c>
      <c r="G23073" s="49" t="str">
        <f t="shared" si="1"/>
        <v>69240</v>
      </c>
      <c r="H23073" s="49">
        <f t="shared" si="2"/>
        <v>69240</v>
      </c>
    </row>
    <row r="23074">
      <c r="A23074" s="48" t="s">
        <v>1475</v>
      </c>
      <c r="B23074" s="38">
        <v>50371.0</v>
      </c>
      <c r="C23074" s="38" t="s">
        <v>27608</v>
      </c>
      <c r="D23074" s="38" t="str">
        <f>IFERROR(__xludf.DUMMYFUNCTION("REGEXREPLACE(C23074,""-\d+(.*)|--\d+(.*)"","""")"),"LE NEUFBOURG")</f>
        <v>LE NEUFBOURG</v>
      </c>
      <c r="E23074" s="38" t="s">
        <v>157</v>
      </c>
      <c r="F23074" s="38" t="s">
        <v>138</v>
      </c>
      <c r="G23074" s="49" t="str">
        <f t="shared" si="1"/>
        <v>50140</v>
      </c>
      <c r="H23074" s="49">
        <f t="shared" si="2"/>
        <v>50371</v>
      </c>
    </row>
    <row r="23075">
      <c r="A23075" s="48" t="s">
        <v>3467</v>
      </c>
      <c r="B23075" s="38">
        <v>72236.0</v>
      </c>
      <c r="C23075" s="38" t="s">
        <v>27609</v>
      </c>
      <c r="D23075" s="38" t="str">
        <f>IFERROR(__xludf.DUMMYFUNCTION("REGEXREPLACE(C23075,""-\d+(.*)|--\d+(.*)"","""")"),"PINCE")</f>
        <v>PINCE</v>
      </c>
      <c r="E23075" s="38" t="s">
        <v>521</v>
      </c>
      <c r="F23075" s="38" t="s">
        <v>180</v>
      </c>
      <c r="G23075" s="49" t="str">
        <f t="shared" si="1"/>
        <v>72300</v>
      </c>
      <c r="H23075" s="49">
        <f t="shared" si="2"/>
        <v>72236</v>
      </c>
    </row>
    <row r="23076">
      <c r="A23076" s="48" t="s">
        <v>2868</v>
      </c>
      <c r="B23076" s="38">
        <v>80421.0</v>
      </c>
      <c r="C23076" s="38" t="s">
        <v>27610</v>
      </c>
      <c r="D23076" s="38" t="str">
        <f>IFERROR(__xludf.DUMMYFUNCTION("REGEXREPLACE(C23076,""-\d+(.*)|--\d+(.*)"","""")"),"HATTENCOURT")</f>
        <v>HATTENCOURT</v>
      </c>
      <c r="E23076" s="38" t="s">
        <v>224</v>
      </c>
      <c r="F23076" s="38" t="s">
        <v>113</v>
      </c>
      <c r="G23076" s="49" t="str">
        <f t="shared" si="1"/>
        <v>80700</v>
      </c>
      <c r="H23076" s="49">
        <f t="shared" si="2"/>
        <v>80421</v>
      </c>
    </row>
    <row r="23077">
      <c r="A23077" s="48" t="s">
        <v>10212</v>
      </c>
      <c r="B23077" s="38">
        <v>74198.0</v>
      </c>
      <c r="C23077" s="38" t="s">
        <v>27611</v>
      </c>
      <c r="D23077" s="38" t="str">
        <f>IFERROR(__xludf.DUMMYFUNCTION("REGEXREPLACE(C23077,""-\d+(.*)|--\d+(.*)"","""")"),"NAVES-PARMELAN")</f>
        <v>NAVES-PARMELAN</v>
      </c>
      <c r="E23077" s="38" t="s">
        <v>319</v>
      </c>
      <c r="F23077" s="38" t="s">
        <v>102</v>
      </c>
      <c r="G23077" s="49" t="str">
        <f t="shared" si="1"/>
        <v>74370</v>
      </c>
      <c r="H23077" s="49">
        <f t="shared" si="2"/>
        <v>74198</v>
      </c>
    </row>
    <row r="23078">
      <c r="A23078" s="48" t="s">
        <v>5223</v>
      </c>
      <c r="B23078" s="38">
        <v>65293.0</v>
      </c>
      <c r="C23078" s="38" t="s">
        <v>27612</v>
      </c>
      <c r="D23078" s="38" t="str">
        <f>IFERROR(__xludf.DUMMYFUNCTION("REGEXREPLACE(C23078,""-\d+(.*)|--\d+(.*)"","""")"),"LUSTAR")</f>
        <v>LUSTAR</v>
      </c>
      <c r="E23078" s="38" t="s">
        <v>200</v>
      </c>
      <c r="F23078" s="38" t="s">
        <v>94</v>
      </c>
      <c r="G23078" s="49" t="str">
        <f t="shared" si="1"/>
        <v>65220</v>
      </c>
      <c r="H23078" s="49">
        <f t="shared" si="2"/>
        <v>65293</v>
      </c>
    </row>
    <row r="23079">
      <c r="A23079" s="48" t="s">
        <v>15560</v>
      </c>
      <c r="B23079" s="38">
        <v>60009.0</v>
      </c>
      <c r="C23079" s="38" t="s">
        <v>27613</v>
      </c>
      <c r="D23079" s="38" t="str">
        <f>IFERROR(__xludf.DUMMYFUNCTION("REGEXREPLACE(C23079,""-\d+(.*)|--\d+(.*)"","""")"),"ALLONNE")</f>
        <v>ALLONNE</v>
      </c>
      <c r="E23079" s="38" t="s">
        <v>112</v>
      </c>
      <c r="F23079" s="38" t="s">
        <v>113</v>
      </c>
      <c r="G23079" s="49" t="str">
        <f t="shared" si="1"/>
        <v>60000</v>
      </c>
      <c r="H23079" s="49">
        <f t="shared" si="2"/>
        <v>60009</v>
      </c>
    </row>
    <row r="23080">
      <c r="A23080" s="48" t="s">
        <v>1611</v>
      </c>
      <c r="B23080" s="38">
        <v>51548.0</v>
      </c>
      <c r="C23080" s="38" t="s">
        <v>27614</v>
      </c>
      <c r="D23080" s="38" t="str">
        <f>IFERROR(__xludf.DUMMYFUNCTION("REGEXREPLACE(C23080,""-\d+(.*)|--\d+(.*)"","""")"),"SOMME-VESLE")</f>
        <v>SOMME-VESLE</v>
      </c>
      <c r="E23080" s="38" t="s">
        <v>129</v>
      </c>
      <c r="F23080" s="38" t="s">
        <v>130</v>
      </c>
      <c r="G23080" s="49" t="str">
        <f t="shared" si="1"/>
        <v>51460</v>
      </c>
      <c r="H23080" s="49">
        <f t="shared" si="2"/>
        <v>51548</v>
      </c>
    </row>
    <row r="23081">
      <c r="A23081" s="48" t="s">
        <v>3498</v>
      </c>
      <c r="B23081" s="38">
        <v>38531.0</v>
      </c>
      <c r="C23081" s="38" t="s">
        <v>27615</v>
      </c>
      <c r="D23081" s="38" t="str">
        <f>IFERROR(__xludf.DUMMYFUNCTION("REGEXREPLACE(C23081,""-\d+(.*)|--\d+(.*)"","""")"),"VELANNE")</f>
        <v>VELANNE</v>
      </c>
      <c r="E23081" s="38" t="s">
        <v>101</v>
      </c>
      <c r="F23081" s="38" t="s">
        <v>102</v>
      </c>
      <c r="G23081" s="49" t="str">
        <f t="shared" si="1"/>
        <v>38620</v>
      </c>
      <c r="H23081" s="49">
        <f t="shared" si="2"/>
        <v>38531</v>
      </c>
    </row>
    <row r="23082">
      <c r="A23082" s="48" t="s">
        <v>9021</v>
      </c>
      <c r="B23082" s="38">
        <v>88446.0</v>
      </c>
      <c r="C23082" s="38" t="s">
        <v>27616</v>
      </c>
      <c r="D23082" s="38" t="str">
        <f>IFERROR(__xludf.DUMMYFUNCTION("REGEXREPLACE(C23082,""-\d+(.*)|--\d+(.*)"","""")"),"SAULXURES-LES-BULGNEVILLE")</f>
        <v>SAULXURES-LES-BULGNEVILLE</v>
      </c>
      <c r="E23082" s="38" t="s">
        <v>194</v>
      </c>
      <c r="F23082" s="38" t="s">
        <v>195</v>
      </c>
      <c r="G23082" s="49" t="str">
        <f t="shared" si="1"/>
        <v>88140</v>
      </c>
      <c r="H23082" s="49">
        <f t="shared" si="2"/>
        <v>88446</v>
      </c>
    </row>
    <row r="23083">
      <c r="A23083" s="48" t="s">
        <v>1787</v>
      </c>
      <c r="B23083" s="38">
        <v>62812.0</v>
      </c>
      <c r="C23083" s="38" t="s">
        <v>27617</v>
      </c>
      <c r="D23083" s="38" t="str">
        <f>IFERROR(__xludf.DUMMYFUNCTION("REGEXREPLACE(C23083,""-\d+(.*)|--\d+(.*)"","""")"),"THIEMBRONNE")</f>
        <v>THIEMBRONNE</v>
      </c>
      <c r="E23083" s="38" t="s">
        <v>109</v>
      </c>
      <c r="F23083" s="38" t="s">
        <v>86</v>
      </c>
      <c r="G23083" s="49" t="str">
        <f t="shared" si="1"/>
        <v>62560</v>
      </c>
      <c r="H23083" s="49">
        <f t="shared" si="2"/>
        <v>62812</v>
      </c>
    </row>
    <row r="23084">
      <c r="A23084" s="48" t="s">
        <v>2501</v>
      </c>
      <c r="B23084" s="38">
        <v>31053.0</v>
      </c>
      <c r="C23084" s="38" t="s">
        <v>19419</v>
      </c>
      <c r="D23084" s="38" t="str">
        <f>IFERROR(__xludf.DUMMYFUNCTION("REGEXREPLACE(C23084,""-\d+(.*)|--\d+(.*)"","""")"),"BEAUPUY")</f>
        <v>BEAUPUY</v>
      </c>
      <c r="E23084" s="38" t="s">
        <v>93</v>
      </c>
      <c r="F23084" s="38" t="s">
        <v>94</v>
      </c>
      <c r="G23084" s="49" t="str">
        <f t="shared" si="1"/>
        <v>31850</v>
      </c>
      <c r="H23084" s="49">
        <f t="shared" si="2"/>
        <v>31053</v>
      </c>
    </row>
    <row r="23085">
      <c r="A23085" s="48" t="s">
        <v>1518</v>
      </c>
      <c r="B23085" s="38">
        <v>88357.0</v>
      </c>
      <c r="C23085" s="38" t="s">
        <v>27618</v>
      </c>
      <c r="D23085" s="38" t="str">
        <f>IFERROR(__xludf.DUMMYFUNCTION("REGEXREPLACE(C23085,""-\d+(.*)|--\d+(.*)"","""")"),"POUSSAY")</f>
        <v>POUSSAY</v>
      </c>
      <c r="E23085" s="38" t="s">
        <v>194</v>
      </c>
      <c r="F23085" s="38" t="s">
        <v>195</v>
      </c>
      <c r="G23085" s="49" t="str">
        <f t="shared" si="1"/>
        <v>88500</v>
      </c>
      <c r="H23085" s="49">
        <f t="shared" si="2"/>
        <v>88357</v>
      </c>
    </row>
    <row r="23086">
      <c r="A23086" s="48" t="s">
        <v>8005</v>
      </c>
      <c r="B23086" s="38">
        <v>23199.0</v>
      </c>
      <c r="C23086" s="38" t="s">
        <v>27619</v>
      </c>
      <c r="D23086" s="38" t="str">
        <f>IFERROR(__xludf.DUMMYFUNCTION("REGEXREPLACE(C23086,""-\d+(.*)|--\d+(.*)"","""")"),"SAINT-GERMAIN-BEAUPRE")</f>
        <v>SAINT-GERMAIN-BEAUPRE</v>
      </c>
      <c r="E23086" s="38" t="s">
        <v>97</v>
      </c>
      <c r="F23086" s="38" t="s">
        <v>98</v>
      </c>
      <c r="G23086" s="49" t="str">
        <f t="shared" si="1"/>
        <v>23160</v>
      </c>
      <c r="H23086" s="49">
        <f t="shared" si="2"/>
        <v>23199</v>
      </c>
    </row>
    <row r="23087">
      <c r="A23087" s="48" t="s">
        <v>2915</v>
      </c>
      <c r="B23087" s="38">
        <v>79335.0</v>
      </c>
      <c r="C23087" s="38" t="s">
        <v>27620</v>
      </c>
      <c r="D23087" s="38" t="str">
        <f>IFERROR(__xludf.DUMMYFUNCTION("REGEXREPLACE(C23087,""-\d+(.*)|--\d+(.*)"","""")"),"VALLANS")</f>
        <v>VALLANS</v>
      </c>
      <c r="E23087" s="38" t="s">
        <v>337</v>
      </c>
      <c r="F23087" s="38" t="s">
        <v>338</v>
      </c>
      <c r="G23087" s="49" t="str">
        <f t="shared" si="1"/>
        <v>79270</v>
      </c>
      <c r="H23087" s="49">
        <f t="shared" si="2"/>
        <v>79335</v>
      </c>
    </row>
    <row r="23088">
      <c r="A23088" s="48" t="s">
        <v>423</v>
      </c>
      <c r="B23088" s="38">
        <v>2628.0</v>
      </c>
      <c r="C23088" s="38" t="s">
        <v>27621</v>
      </c>
      <c r="D23088" s="38" t="str">
        <f>IFERROR(__xludf.DUMMYFUNCTION("REGEXREPLACE(C23088,""-\d+(.*)|--\d+(.*)"","""")"),"PUISEUX-EN-RETZ")</f>
        <v>PUISEUX-EN-RETZ</v>
      </c>
      <c r="E23088" s="38" t="s">
        <v>191</v>
      </c>
      <c r="F23088" s="38" t="s">
        <v>113</v>
      </c>
      <c r="G23088" s="49" t="str">
        <f t="shared" si="1"/>
        <v>02600</v>
      </c>
      <c r="H23088" s="49" t="str">
        <f t="shared" si="2"/>
        <v>02628</v>
      </c>
    </row>
    <row r="23089">
      <c r="A23089" s="48" t="s">
        <v>10324</v>
      </c>
      <c r="B23089" s="38">
        <v>54266.0</v>
      </c>
      <c r="C23089" s="38" t="s">
        <v>27622</v>
      </c>
      <c r="D23089" s="38" t="str">
        <f>IFERROR(__xludf.DUMMYFUNCTION("REGEXREPLACE(C23089,""-\d+(.*)|--\d+(.*)"","""")"),"HOUDREVILLE")</f>
        <v>HOUDREVILLE</v>
      </c>
      <c r="E23089" s="38" t="s">
        <v>548</v>
      </c>
      <c r="F23089" s="38" t="s">
        <v>195</v>
      </c>
      <c r="G23089" s="49" t="str">
        <f t="shared" si="1"/>
        <v>54330</v>
      </c>
      <c r="H23089" s="49">
        <f t="shared" si="2"/>
        <v>54266</v>
      </c>
    </row>
    <row r="23090">
      <c r="A23090" s="48" t="s">
        <v>6197</v>
      </c>
      <c r="B23090" s="38">
        <v>19240.0</v>
      </c>
      <c r="C23090" s="38" t="s">
        <v>27623</v>
      </c>
      <c r="D23090" s="38" t="str">
        <f>IFERROR(__xludf.DUMMYFUNCTION("REGEXREPLACE(C23090,""-\d+(.*)|--\d+(.*)"","""")"),"SAINT-SALVADOUR")</f>
        <v>SAINT-SALVADOUR</v>
      </c>
      <c r="E23090" s="38" t="s">
        <v>271</v>
      </c>
      <c r="F23090" s="38" t="s">
        <v>98</v>
      </c>
      <c r="G23090" s="49" t="str">
        <f t="shared" si="1"/>
        <v>19700</v>
      </c>
      <c r="H23090" s="49">
        <f t="shared" si="2"/>
        <v>19240</v>
      </c>
    </row>
    <row r="23091">
      <c r="A23091" s="48" t="s">
        <v>6521</v>
      </c>
      <c r="B23091" s="38">
        <v>34190.0</v>
      </c>
      <c r="C23091" s="38" t="s">
        <v>27624</v>
      </c>
      <c r="D23091" s="38" t="str">
        <f>IFERROR(__xludf.DUMMYFUNCTION("REGEXREPLACE(C23091,""-\d+(.*)|--\d+(.*)"","""")"),"OUPIA")</f>
        <v>OUPIA</v>
      </c>
      <c r="E23091" s="38" t="s">
        <v>118</v>
      </c>
      <c r="F23091" s="38" t="s">
        <v>119</v>
      </c>
      <c r="G23091" s="49" t="str">
        <f t="shared" si="1"/>
        <v>34210</v>
      </c>
      <c r="H23091" s="49">
        <f t="shared" si="2"/>
        <v>34190</v>
      </c>
    </row>
    <row r="23092">
      <c r="A23092" s="48" t="s">
        <v>18392</v>
      </c>
      <c r="B23092" s="38">
        <v>63334.0</v>
      </c>
      <c r="C23092" s="38" t="s">
        <v>27625</v>
      </c>
      <c r="D23092" s="38" t="str">
        <f>IFERROR(__xludf.DUMMYFUNCTION("REGEXREPLACE(C23092,""-\d+(.*)|--\d+(.*)"","""")"),"SAINT-DIER-D'AUVERGNE")</f>
        <v>SAINT-DIER-D'AUVERGNE</v>
      </c>
      <c r="E23092" s="38" t="s">
        <v>353</v>
      </c>
      <c r="F23092" s="38" t="s">
        <v>161</v>
      </c>
      <c r="G23092" s="49" t="str">
        <f t="shared" si="1"/>
        <v>63520</v>
      </c>
      <c r="H23092" s="49">
        <f t="shared" si="2"/>
        <v>63334</v>
      </c>
    </row>
    <row r="23093">
      <c r="A23093" s="48" t="s">
        <v>22697</v>
      </c>
      <c r="B23093" s="38">
        <v>45144.0</v>
      </c>
      <c r="C23093" s="38" t="s">
        <v>27626</v>
      </c>
      <c r="D23093" s="38" t="str">
        <f>IFERROR(__xludf.DUMMYFUNCTION("REGEXREPLACE(C23093,""-\d+(.*)|--\d+(.*)"","""")"),"FEROLLES")</f>
        <v>FEROLLES</v>
      </c>
      <c r="E23093" s="38" t="s">
        <v>122</v>
      </c>
      <c r="F23093" s="38" t="s">
        <v>123</v>
      </c>
      <c r="G23093" s="49" t="str">
        <f t="shared" si="1"/>
        <v>45150</v>
      </c>
      <c r="H23093" s="49">
        <f t="shared" si="2"/>
        <v>45144</v>
      </c>
    </row>
    <row r="23094">
      <c r="A23094" s="48" t="s">
        <v>394</v>
      </c>
      <c r="B23094" s="38">
        <v>41269.0</v>
      </c>
      <c r="C23094" s="38" t="s">
        <v>27627</v>
      </c>
      <c r="D23094" s="38" t="str">
        <f>IFERROR(__xludf.DUMMYFUNCTION("REGEXREPLACE(C23094,""-\d+(.*)|--\d+(.*)"","""")"),"VENDOME")</f>
        <v>VENDOME</v>
      </c>
      <c r="E23094" s="38" t="s">
        <v>188</v>
      </c>
      <c r="F23094" s="38" t="s">
        <v>123</v>
      </c>
      <c r="G23094" s="49" t="str">
        <f t="shared" si="1"/>
        <v>41100</v>
      </c>
      <c r="H23094" s="49">
        <f t="shared" si="2"/>
        <v>41269</v>
      </c>
    </row>
    <row r="23095">
      <c r="A23095" s="48" t="s">
        <v>5198</v>
      </c>
      <c r="B23095" s="38">
        <v>39527.0</v>
      </c>
      <c r="C23095" s="38" t="s">
        <v>27628</v>
      </c>
      <c r="D23095" s="38" t="str">
        <f>IFERROR(__xludf.DUMMYFUNCTION("REGEXREPLACE(C23095,""-\d+(.*)|--\d+(.*)"","""")"),"TAXENNE")</f>
        <v>TAXENNE</v>
      </c>
      <c r="E23095" s="38" t="s">
        <v>400</v>
      </c>
      <c r="F23095" s="38" t="s">
        <v>214</v>
      </c>
      <c r="G23095" s="49" t="str">
        <f t="shared" si="1"/>
        <v>39350</v>
      </c>
      <c r="H23095" s="49">
        <f t="shared" si="2"/>
        <v>39527</v>
      </c>
    </row>
    <row r="23096">
      <c r="A23096" s="48" t="s">
        <v>17049</v>
      </c>
      <c r="B23096" s="38">
        <v>60541.0</v>
      </c>
      <c r="C23096" s="38" t="s">
        <v>27629</v>
      </c>
      <c r="D23096" s="38" t="str">
        <f>IFERROR(__xludf.DUMMYFUNCTION("REGEXREPLACE(C23096,""-\d+(.*)|--\d+(.*)"","""")"),"ROBERVAL")</f>
        <v>ROBERVAL</v>
      </c>
      <c r="E23096" s="38" t="s">
        <v>112</v>
      </c>
      <c r="F23096" s="38" t="s">
        <v>113</v>
      </c>
      <c r="G23096" s="49" t="str">
        <f t="shared" si="1"/>
        <v>60410</v>
      </c>
      <c r="H23096" s="49">
        <f t="shared" si="2"/>
        <v>60541</v>
      </c>
    </row>
    <row r="23097">
      <c r="A23097" s="48" t="s">
        <v>2400</v>
      </c>
      <c r="B23097" s="38">
        <v>25567.0</v>
      </c>
      <c r="C23097" s="38" t="s">
        <v>27630</v>
      </c>
      <c r="D23097" s="38" t="str">
        <f>IFERROR(__xludf.DUMMYFUNCTION("REGEXREPLACE(C23097,""-\d+(.*)|--\d+(.*)"","""")"),"TOURNANS")</f>
        <v>TOURNANS</v>
      </c>
      <c r="E23097" s="38" t="s">
        <v>213</v>
      </c>
      <c r="F23097" s="38" t="s">
        <v>214</v>
      </c>
      <c r="G23097" s="49" t="str">
        <f t="shared" si="1"/>
        <v>25680</v>
      </c>
      <c r="H23097" s="49">
        <f t="shared" si="2"/>
        <v>25567</v>
      </c>
    </row>
    <row r="23098">
      <c r="A23098" s="48" t="s">
        <v>2417</v>
      </c>
      <c r="B23098" s="38">
        <v>73323.0</v>
      </c>
      <c r="C23098" s="38" t="s">
        <v>27631</v>
      </c>
      <c r="D23098" s="38" t="str">
        <f>IFERROR(__xludf.DUMMYFUNCTION("REGEXREPLACE(C23098,""-\d+(.*)|--\d+(.*)"","""")"),"VILLAROGER")</f>
        <v>VILLAROGER</v>
      </c>
      <c r="E23098" s="38" t="s">
        <v>306</v>
      </c>
      <c r="F23098" s="38" t="s">
        <v>102</v>
      </c>
      <c r="G23098" s="49" t="str">
        <f t="shared" si="1"/>
        <v>73640</v>
      </c>
      <c r="H23098" s="49">
        <f t="shared" si="2"/>
        <v>73323</v>
      </c>
    </row>
    <row r="23099">
      <c r="A23099" s="48" t="s">
        <v>114</v>
      </c>
      <c r="B23099" s="38">
        <v>62749.0</v>
      </c>
      <c r="C23099" s="38" t="s">
        <v>2856</v>
      </c>
      <c r="D23099" s="38" t="str">
        <f>IFERROR(__xludf.DUMMYFUNCTION("REGEXREPLACE(C23099,""-\d+(.*)|--\d+(.*)"","""")"),"SAINT-GEORGES")</f>
        <v>SAINT-GEORGES</v>
      </c>
      <c r="E23099" s="38" t="s">
        <v>109</v>
      </c>
      <c r="F23099" s="38" t="s">
        <v>86</v>
      </c>
      <c r="G23099" s="49" t="str">
        <f t="shared" si="1"/>
        <v>62770</v>
      </c>
      <c r="H23099" s="49">
        <f t="shared" si="2"/>
        <v>62749</v>
      </c>
    </row>
    <row r="23100">
      <c r="A23100" s="48" t="s">
        <v>5235</v>
      </c>
      <c r="B23100" s="38">
        <v>61506.0</v>
      </c>
      <c r="C23100" s="38" t="s">
        <v>27632</v>
      </c>
      <c r="D23100" s="38" t="str">
        <f>IFERROR(__xludf.DUMMYFUNCTION("REGEXREPLACE(C23100,""-\d+(.*)|--\d+(.*)"","""")"),"VILLERS-EN-OUCHE")</f>
        <v>VILLERS-EN-OUCHE</v>
      </c>
      <c r="E23100" s="38" t="s">
        <v>141</v>
      </c>
      <c r="F23100" s="38" t="s">
        <v>138</v>
      </c>
      <c r="G23100" s="49" t="str">
        <f t="shared" si="1"/>
        <v>61550</v>
      </c>
      <c r="H23100" s="49">
        <f t="shared" si="2"/>
        <v>61506</v>
      </c>
    </row>
    <row r="23101">
      <c r="A23101" s="48" t="s">
        <v>920</v>
      </c>
      <c r="B23101" s="38">
        <v>31449.0</v>
      </c>
      <c r="C23101" s="38" t="s">
        <v>27633</v>
      </c>
      <c r="D23101" s="38" t="str">
        <f>IFERROR(__xludf.DUMMYFUNCTION("REGEXREPLACE(C23101,""-\d+(.*)|--\d+(.*)"","""")"),"REGADES")</f>
        <v>REGADES</v>
      </c>
      <c r="E23101" s="38" t="s">
        <v>93</v>
      </c>
      <c r="F23101" s="38" t="s">
        <v>94</v>
      </c>
      <c r="G23101" s="49" t="str">
        <f t="shared" si="1"/>
        <v>31800</v>
      </c>
      <c r="H23101" s="49">
        <f t="shared" si="2"/>
        <v>31449</v>
      </c>
    </row>
    <row r="23102">
      <c r="A23102" s="48" t="s">
        <v>8669</v>
      </c>
      <c r="B23102" s="38">
        <v>50004.0</v>
      </c>
      <c r="C23102" s="38" t="s">
        <v>27634</v>
      </c>
      <c r="D23102" s="38" t="str">
        <f>IFERROR(__xludf.DUMMYFUNCTION("REGEXREPLACE(C23102,""-\d+(.*)|--\d+(.*)"","""")"),"AIREL")</f>
        <v>AIREL</v>
      </c>
      <c r="E23102" s="38" t="s">
        <v>157</v>
      </c>
      <c r="F23102" s="38" t="s">
        <v>138</v>
      </c>
      <c r="G23102" s="49" t="str">
        <f t="shared" si="1"/>
        <v>50680</v>
      </c>
      <c r="H23102" s="49">
        <f t="shared" si="2"/>
        <v>50004</v>
      </c>
    </row>
    <row r="23103">
      <c r="A23103" s="48" t="s">
        <v>6596</v>
      </c>
      <c r="B23103" s="38">
        <v>18185.0</v>
      </c>
      <c r="C23103" s="38" t="s">
        <v>27635</v>
      </c>
      <c r="D23103" s="38" t="str">
        <f>IFERROR(__xludf.DUMMYFUNCTION("REGEXREPLACE(C23103,""-\d+(.*)|--\d+(.*)"","""")"),"PRESLY")</f>
        <v>PRESLY</v>
      </c>
      <c r="E23103" s="38" t="s">
        <v>504</v>
      </c>
      <c r="F23103" s="38" t="s">
        <v>123</v>
      </c>
      <c r="G23103" s="49" t="str">
        <f t="shared" si="1"/>
        <v>18380</v>
      </c>
      <c r="H23103" s="49">
        <f t="shared" si="2"/>
        <v>18185</v>
      </c>
    </row>
    <row r="23104">
      <c r="A23104" s="48" t="s">
        <v>7119</v>
      </c>
      <c r="B23104" s="38">
        <v>68059.0</v>
      </c>
      <c r="C23104" s="38" t="s">
        <v>27636</v>
      </c>
      <c r="D23104" s="38" t="str">
        <f>IFERROR(__xludf.DUMMYFUNCTION("REGEXREPLACE(C23104,""-\d+(.*)|--\d+(.*)"","""")"),"BURNHAUPT-LE-BAS")</f>
        <v>BURNHAUPT-LE-BAS</v>
      </c>
      <c r="E23104" s="38" t="s">
        <v>150</v>
      </c>
      <c r="F23104" s="38" t="s">
        <v>151</v>
      </c>
      <c r="G23104" s="49" t="str">
        <f t="shared" si="1"/>
        <v>68520</v>
      </c>
      <c r="H23104" s="49">
        <f t="shared" si="2"/>
        <v>68059</v>
      </c>
    </row>
    <row r="23105">
      <c r="A23105" s="48" t="s">
        <v>3655</v>
      </c>
      <c r="B23105" s="38">
        <v>51183.0</v>
      </c>
      <c r="C23105" s="38" t="s">
        <v>4842</v>
      </c>
      <c r="D23105" s="38" t="str">
        <f>IFERROR(__xludf.DUMMYFUNCTION("REGEXREPLACE(C23105,""-\d+(.*)|--\d+(.*)"","""")"),"COURCY")</f>
        <v>COURCY</v>
      </c>
      <c r="E23105" s="38" t="s">
        <v>129</v>
      </c>
      <c r="F23105" s="38" t="s">
        <v>130</v>
      </c>
      <c r="G23105" s="49" t="str">
        <f t="shared" si="1"/>
        <v>51220</v>
      </c>
      <c r="H23105" s="49">
        <f t="shared" si="2"/>
        <v>51183</v>
      </c>
    </row>
    <row r="23106">
      <c r="A23106" s="48" t="s">
        <v>537</v>
      </c>
      <c r="B23106" s="38">
        <v>38221.0</v>
      </c>
      <c r="C23106" s="38" t="s">
        <v>27637</v>
      </c>
      <c r="D23106" s="38" t="str">
        <f>IFERROR(__xludf.DUMMYFUNCTION("REGEXREPLACE(C23106,""-\d+(.*)|--\d+(.*)"","""")"),"MARNANS")</f>
        <v>MARNANS</v>
      </c>
      <c r="E23106" s="38" t="s">
        <v>101</v>
      </c>
      <c r="F23106" s="38" t="s">
        <v>102</v>
      </c>
      <c r="G23106" s="49" t="str">
        <f t="shared" si="1"/>
        <v>38980</v>
      </c>
      <c r="H23106" s="49">
        <f t="shared" si="2"/>
        <v>38221</v>
      </c>
    </row>
    <row r="23107">
      <c r="A23107" s="48" t="s">
        <v>5200</v>
      </c>
      <c r="B23107" s="38">
        <v>45203.0</v>
      </c>
      <c r="C23107" s="38" t="s">
        <v>27638</v>
      </c>
      <c r="D23107" s="38" t="str">
        <f>IFERROR(__xludf.DUMMYFUNCTION("REGEXREPLACE(C23107,""-\d+(.*)|--\d+(.*)"","""")"),"MEUNG-SUR-LOIRE")</f>
        <v>MEUNG-SUR-LOIRE</v>
      </c>
      <c r="E23107" s="38" t="s">
        <v>122</v>
      </c>
      <c r="F23107" s="38" t="s">
        <v>123</v>
      </c>
      <c r="G23107" s="49" t="str">
        <f t="shared" si="1"/>
        <v>45130</v>
      </c>
      <c r="H23107" s="49">
        <f t="shared" si="2"/>
        <v>45203</v>
      </c>
    </row>
    <row r="23108">
      <c r="A23108" s="48" t="s">
        <v>1216</v>
      </c>
      <c r="B23108" s="38">
        <v>21050.0</v>
      </c>
      <c r="C23108" s="38" t="s">
        <v>27639</v>
      </c>
      <c r="D23108" s="38" t="str">
        <f>IFERROR(__xludf.DUMMYFUNCTION("REGEXREPLACE(C23108,""-\d+(.*)|--\d+(.*)"","""")"),"BAUBIGNY")</f>
        <v>BAUBIGNY</v>
      </c>
      <c r="E23108" s="38" t="s">
        <v>105</v>
      </c>
      <c r="F23108" s="38" t="s">
        <v>106</v>
      </c>
      <c r="G23108" s="49" t="str">
        <f t="shared" si="1"/>
        <v>21340</v>
      </c>
      <c r="H23108" s="49">
        <f t="shared" si="2"/>
        <v>21050</v>
      </c>
    </row>
    <row r="23109">
      <c r="A23109" s="48" t="s">
        <v>2254</v>
      </c>
      <c r="B23109" s="38">
        <v>62873.0</v>
      </c>
      <c r="C23109" s="38" t="s">
        <v>27640</v>
      </c>
      <c r="D23109" s="38" t="str">
        <f>IFERROR(__xludf.DUMMYFUNCTION("REGEXREPLACE(C23109,""-\d+(.*)|--\d+(.*)"","""")"),"WANCOURT")</f>
        <v>WANCOURT</v>
      </c>
      <c r="E23109" s="38" t="s">
        <v>109</v>
      </c>
      <c r="F23109" s="38" t="s">
        <v>86</v>
      </c>
      <c r="G23109" s="49" t="str">
        <f t="shared" si="1"/>
        <v>62128</v>
      </c>
      <c r="H23109" s="49">
        <f t="shared" si="2"/>
        <v>62873</v>
      </c>
    </row>
    <row r="23110">
      <c r="A23110" s="48" t="s">
        <v>27641</v>
      </c>
      <c r="B23110" s="38">
        <v>6006.0</v>
      </c>
      <c r="C23110" s="38" t="s">
        <v>6593</v>
      </c>
      <c r="D23110" s="38" t="str">
        <f>IFERROR(__xludf.DUMMYFUNCTION("REGEXREPLACE(C23110,""-\d+(.*)|--\d+(.*)"","""")"),"ASPREMONT")</f>
        <v>ASPREMONT</v>
      </c>
      <c r="E23110" s="38" t="s">
        <v>227</v>
      </c>
      <c r="F23110" s="38" t="s">
        <v>228</v>
      </c>
      <c r="G23110" s="49" t="str">
        <f t="shared" si="1"/>
        <v>06790</v>
      </c>
      <c r="H23110" s="49" t="str">
        <f t="shared" si="2"/>
        <v>06006</v>
      </c>
    </row>
    <row r="23111">
      <c r="A23111" s="48" t="s">
        <v>2268</v>
      </c>
      <c r="B23111" s="38">
        <v>55313.0</v>
      </c>
      <c r="C23111" s="38" t="s">
        <v>27642</v>
      </c>
      <c r="D23111" s="38" t="str">
        <f>IFERROR(__xludf.DUMMYFUNCTION("REGEXREPLACE(C23111,""-\d+(.*)|--\d+(.*)"","""")"),"MALANCOURT")</f>
        <v>MALANCOURT</v>
      </c>
      <c r="E23111" s="38" t="s">
        <v>322</v>
      </c>
      <c r="F23111" s="38" t="s">
        <v>195</v>
      </c>
      <c r="G23111" s="49" t="str">
        <f t="shared" si="1"/>
        <v>55270</v>
      </c>
      <c r="H23111" s="49">
        <f t="shared" si="2"/>
        <v>55313</v>
      </c>
    </row>
    <row r="23112">
      <c r="A23112" s="48" t="s">
        <v>10468</v>
      </c>
      <c r="B23112" s="38">
        <v>87119.0</v>
      </c>
      <c r="C23112" s="38" t="s">
        <v>27643</v>
      </c>
      <c r="D23112" s="38" t="str">
        <f>IFERROR(__xludf.DUMMYFUNCTION("REGEXREPLACE(C23112,""-\d+(.*)|--\d+(.*)"","""")"),"PIERRE-BUFFIERE")</f>
        <v>PIERRE-BUFFIERE</v>
      </c>
      <c r="E23112" s="38" t="s">
        <v>897</v>
      </c>
      <c r="F23112" s="38" t="s">
        <v>98</v>
      </c>
      <c r="G23112" s="49" t="str">
        <f t="shared" si="1"/>
        <v>87260</v>
      </c>
      <c r="H23112" s="49">
        <f t="shared" si="2"/>
        <v>87119</v>
      </c>
    </row>
    <row r="23113">
      <c r="A23113" s="48" t="s">
        <v>3397</v>
      </c>
      <c r="B23113" s="38">
        <v>52050.0</v>
      </c>
      <c r="C23113" s="38" t="s">
        <v>27644</v>
      </c>
      <c r="D23113" s="38" t="str">
        <f>IFERROR(__xludf.DUMMYFUNCTION("REGEXREPLACE(C23113,""-\d+(.*)|--\d+(.*)"","""")"),"BIESLES")</f>
        <v>BIESLES</v>
      </c>
      <c r="E23113" s="38" t="s">
        <v>234</v>
      </c>
      <c r="F23113" s="38" t="s">
        <v>130</v>
      </c>
      <c r="G23113" s="49" t="str">
        <f t="shared" si="1"/>
        <v>52340</v>
      </c>
      <c r="H23113" s="49">
        <f t="shared" si="2"/>
        <v>52050</v>
      </c>
    </row>
    <row r="23114">
      <c r="A23114" s="48" t="s">
        <v>2308</v>
      </c>
      <c r="B23114" s="38">
        <v>33431.0</v>
      </c>
      <c r="C23114" s="38" t="s">
        <v>17732</v>
      </c>
      <c r="D23114" s="38" t="str">
        <f>IFERROR(__xludf.DUMMYFUNCTION("REGEXREPLACE(C23114,""-\d+(.*)|--\d+(.*)"","""")"),"SAINT-LEON")</f>
        <v>SAINT-LEON</v>
      </c>
      <c r="E23114" s="38" t="s">
        <v>462</v>
      </c>
      <c r="F23114" s="38" t="s">
        <v>252</v>
      </c>
      <c r="G23114" s="49" t="str">
        <f t="shared" si="1"/>
        <v>33670</v>
      </c>
      <c r="H23114" s="49">
        <f t="shared" si="2"/>
        <v>33431</v>
      </c>
    </row>
    <row r="23115">
      <c r="A23115" s="48" t="s">
        <v>2861</v>
      </c>
      <c r="B23115" s="38">
        <v>62184.0</v>
      </c>
      <c r="C23115" s="38" t="s">
        <v>27645</v>
      </c>
      <c r="D23115" s="38" t="str">
        <f>IFERROR(__xludf.DUMMYFUNCTION("REGEXREPLACE(C23115,""-\d+(.*)|--\d+(.*)"","""")"),"BUISSY")</f>
        <v>BUISSY</v>
      </c>
      <c r="E23115" s="38" t="s">
        <v>109</v>
      </c>
      <c r="F23115" s="38" t="s">
        <v>86</v>
      </c>
      <c r="G23115" s="49" t="str">
        <f t="shared" si="1"/>
        <v>62860</v>
      </c>
      <c r="H23115" s="49">
        <f t="shared" si="2"/>
        <v>62184</v>
      </c>
    </row>
    <row r="23116">
      <c r="A23116" s="48" t="s">
        <v>20382</v>
      </c>
      <c r="B23116" s="38">
        <v>64348.0</v>
      </c>
      <c r="C23116" s="38" t="s">
        <v>27646</v>
      </c>
      <c r="D23116" s="38" t="str">
        <f>IFERROR(__xludf.DUMMYFUNCTION("REGEXREPLACE(C23116,""-\d+(.*)|--\d+(.*)"","""")"),"LONS")</f>
        <v>LONS</v>
      </c>
      <c r="E23116" s="38" t="s">
        <v>268</v>
      </c>
      <c r="F23116" s="38" t="s">
        <v>252</v>
      </c>
      <c r="G23116" s="49" t="str">
        <f t="shared" si="1"/>
        <v>64140</v>
      </c>
      <c r="H23116" s="49">
        <f t="shared" si="2"/>
        <v>64348</v>
      </c>
    </row>
    <row r="23117">
      <c r="A23117" s="48" t="s">
        <v>13834</v>
      </c>
      <c r="B23117" s="38">
        <v>36038.0</v>
      </c>
      <c r="C23117" s="38" t="s">
        <v>27647</v>
      </c>
      <c r="D23117" s="38" t="str">
        <f>IFERROR(__xludf.DUMMYFUNCTION("REGEXREPLACE(C23117,""-\d+(.*)|--\d+(.*)"","""")"),"CHAMPILLET")</f>
        <v>CHAMPILLET</v>
      </c>
      <c r="E23117" s="38" t="s">
        <v>258</v>
      </c>
      <c r="F23117" s="38" t="s">
        <v>123</v>
      </c>
      <c r="G23117" s="49" t="str">
        <f t="shared" si="1"/>
        <v>36160</v>
      </c>
      <c r="H23117" s="49">
        <f t="shared" si="2"/>
        <v>36038</v>
      </c>
    </row>
    <row r="23118">
      <c r="A23118" s="48" t="s">
        <v>4814</v>
      </c>
      <c r="B23118" s="38">
        <v>57234.0</v>
      </c>
      <c r="C23118" s="38" t="s">
        <v>27648</v>
      </c>
      <c r="D23118" s="38" t="str">
        <f>IFERROR(__xludf.DUMMYFUNCTION("REGEXREPLACE(C23118,""-\d+(.*)|--\d+(.*)"","""")"),"FRAUENBERG")</f>
        <v>FRAUENBERG</v>
      </c>
      <c r="E23118" s="38" t="s">
        <v>303</v>
      </c>
      <c r="F23118" s="38" t="s">
        <v>195</v>
      </c>
      <c r="G23118" s="49" t="str">
        <f t="shared" si="1"/>
        <v>57200</v>
      </c>
      <c r="H23118" s="49">
        <f t="shared" si="2"/>
        <v>57234</v>
      </c>
    </row>
    <row r="23119">
      <c r="A23119" s="48" t="s">
        <v>11602</v>
      </c>
      <c r="B23119" s="38">
        <v>5129.0</v>
      </c>
      <c r="C23119" s="38" t="s">
        <v>27649</v>
      </c>
      <c r="D23119" s="38" t="str">
        <f>IFERROR(__xludf.DUMMYFUNCTION("REGEXREPLACE(C23119,""-\d+(.*)|--\d+(.*)"","""")"),"SAINT-ANDRE-DE-ROSANS")</f>
        <v>SAINT-ANDRE-DE-ROSANS</v>
      </c>
      <c r="E23119" s="38" t="s">
        <v>706</v>
      </c>
      <c r="F23119" s="38" t="s">
        <v>228</v>
      </c>
      <c r="G23119" s="49" t="str">
        <f t="shared" si="1"/>
        <v>05150</v>
      </c>
      <c r="H23119" s="49" t="str">
        <f t="shared" si="2"/>
        <v>05129</v>
      </c>
    </row>
    <row r="23120">
      <c r="A23120" s="48" t="s">
        <v>3572</v>
      </c>
      <c r="B23120" s="38">
        <v>63418.0</v>
      </c>
      <c r="C23120" s="38" t="s">
        <v>27650</v>
      </c>
      <c r="D23120" s="38" t="str">
        <f>IFERROR(__xludf.DUMMYFUNCTION("REGEXREPLACE(C23120,""-\d+(.*)|--\d+(.*)"","""")"),"SERMENTIZON")</f>
        <v>SERMENTIZON</v>
      </c>
      <c r="E23120" s="38" t="s">
        <v>353</v>
      </c>
      <c r="F23120" s="38" t="s">
        <v>161</v>
      </c>
      <c r="G23120" s="49" t="str">
        <f t="shared" si="1"/>
        <v>63120</v>
      </c>
      <c r="H23120" s="49">
        <f t="shared" si="2"/>
        <v>63418</v>
      </c>
    </row>
    <row r="23121">
      <c r="A23121" s="48" t="s">
        <v>8069</v>
      </c>
      <c r="B23121" s="38">
        <v>60398.0</v>
      </c>
      <c r="C23121" s="38" t="s">
        <v>27651</v>
      </c>
      <c r="D23121" s="38" t="str">
        <f>IFERROR(__xludf.DUMMYFUNCTION("REGEXREPLACE(C23121,""-\d+(.*)|--\d+(.*)"","""")"),"LE MESNIL-EN-THELLE")</f>
        <v>LE MESNIL-EN-THELLE</v>
      </c>
      <c r="E23121" s="38" t="s">
        <v>112</v>
      </c>
      <c r="F23121" s="38" t="s">
        <v>113</v>
      </c>
      <c r="G23121" s="49" t="str">
        <f t="shared" si="1"/>
        <v>60530</v>
      </c>
      <c r="H23121" s="49">
        <f t="shared" si="2"/>
        <v>60398</v>
      </c>
    </row>
    <row r="23122">
      <c r="A23122" s="48" t="s">
        <v>8003</v>
      </c>
      <c r="B23122" s="38">
        <v>86031.0</v>
      </c>
      <c r="C23122" s="38" t="s">
        <v>27652</v>
      </c>
      <c r="D23122" s="38" t="str">
        <f>IFERROR(__xludf.DUMMYFUNCTION("REGEXREPLACE(C23122,""-\d+(.*)|--\d+(.*)"","""")"),"BONNES")</f>
        <v>BONNES</v>
      </c>
      <c r="E23122" s="38" t="s">
        <v>529</v>
      </c>
      <c r="F23122" s="38" t="s">
        <v>338</v>
      </c>
      <c r="G23122" s="49" t="str">
        <f t="shared" si="1"/>
        <v>86300</v>
      </c>
      <c r="H23122" s="49">
        <f t="shared" si="2"/>
        <v>86031</v>
      </c>
    </row>
    <row r="23123">
      <c r="A23123" s="48" t="s">
        <v>1812</v>
      </c>
      <c r="B23123" s="38">
        <v>51342.0</v>
      </c>
      <c r="C23123" s="38" t="s">
        <v>27653</v>
      </c>
      <c r="D23123" s="38" t="str">
        <f>IFERROR(__xludf.DUMMYFUNCTION("REGEXREPLACE(C23123,""-\d+(.*)|--\d+(.*)"","""")"),"MANCY")</f>
        <v>MANCY</v>
      </c>
      <c r="E23123" s="38" t="s">
        <v>129</v>
      </c>
      <c r="F23123" s="38" t="s">
        <v>130</v>
      </c>
      <c r="G23123" s="49" t="str">
        <f t="shared" si="1"/>
        <v>51530</v>
      </c>
      <c r="H23123" s="49">
        <f t="shared" si="2"/>
        <v>51342</v>
      </c>
    </row>
    <row r="23124">
      <c r="A23124" s="48" t="s">
        <v>717</v>
      </c>
      <c r="B23124" s="38">
        <v>31466.0</v>
      </c>
      <c r="C23124" s="38" t="s">
        <v>27654</v>
      </c>
      <c r="D23124" s="38" t="str">
        <f>IFERROR(__xludf.DUMMYFUNCTION("REGEXREPLACE(C23124,""-\d+(.*)|--\d+(.*)"","""")"),"SAIGUEDE")</f>
        <v>SAIGUEDE</v>
      </c>
      <c r="E23124" s="38" t="s">
        <v>93</v>
      </c>
      <c r="F23124" s="38" t="s">
        <v>94</v>
      </c>
      <c r="G23124" s="49" t="str">
        <f t="shared" si="1"/>
        <v>31470</v>
      </c>
      <c r="H23124" s="49">
        <f t="shared" si="2"/>
        <v>31466</v>
      </c>
    </row>
    <row r="23125">
      <c r="A23125" s="48" t="s">
        <v>1607</v>
      </c>
      <c r="B23125" s="38">
        <v>81016.0</v>
      </c>
      <c r="C23125" s="38" t="s">
        <v>27655</v>
      </c>
      <c r="D23125" s="38" t="str">
        <f>IFERROR(__xludf.DUMMYFUNCTION("REGEXREPLACE(C23125,""-\d+(.*)|--\d+(.*)"","""")"),"ARFONS")</f>
        <v>ARFONS</v>
      </c>
      <c r="E23125" s="38" t="s">
        <v>231</v>
      </c>
      <c r="F23125" s="38" t="s">
        <v>94</v>
      </c>
      <c r="G23125" s="49" t="str">
        <f t="shared" si="1"/>
        <v>81110</v>
      </c>
      <c r="H23125" s="49">
        <f t="shared" si="2"/>
        <v>81016</v>
      </c>
    </row>
    <row r="23126">
      <c r="A23126" s="48" t="s">
        <v>27656</v>
      </c>
      <c r="B23126" s="38">
        <v>47065.0</v>
      </c>
      <c r="C23126" s="38" t="s">
        <v>27657</v>
      </c>
      <c r="D23126" s="38" t="str">
        <f>IFERROR(__xludf.DUMMYFUNCTION("REGEXREPLACE(C23126,""-\d+(.*)|--\d+(.*)"","""")"),"CLAIRAC")</f>
        <v>CLAIRAC</v>
      </c>
      <c r="E23126" s="38" t="s">
        <v>251</v>
      </c>
      <c r="F23126" s="38" t="s">
        <v>252</v>
      </c>
      <c r="G23126" s="49" t="str">
        <f t="shared" si="1"/>
        <v>47320</v>
      </c>
      <c r="H23126" s="49">
        <f t="shared" si="2"/>
        <v>47065</v>
      </c>
    </row>
    <row r="23127">
      <c r="A23127" s="48" t="s">
        <v>2884</v>
      </c>
      <c r="B23127" s="38">
        <v>57144.0</v>
      </c>
      <c r="C23127" s="38" t="s">
        <v>27658</v>
      </c>
      <c r="D23127" s="38" t="str">
        <f>IFERROR(__xludf.DUMMYFUNCTION("REGEXREPLACE(C23127,""-\d+(.*)|--\d+(.*)"","""")"),"COCHEREN")</f>
        <v>COCHEREN</v>
      </c>
      <c r="E23127" s="38" t="s">
        <v>303</v>
      </c>
      <c r="F23127" s="38" t="s">
        <v>195</v>
      </c>
      <c r="G23127" s="49" t="str">
        <f t="shared" si="1"/>
        <v>57800</v>
      </c>
      <c r="H23127" s="49">
        <f t="shared" si="2"/>
        <v>57144</v>
      </c>
    </row>
    <row r="23128">
      <c r="A23128" s="48" t="s">
        <v>1908</v>
      </c>
      <c r="B23128" s="38">
        <v>62651.0</v>
      </c>
      <c r="C23128" s="38" t="s">
        <v>27659</v>
      </c>
      <c r="D23128" s="38" t="str">
        <f>IFERROR(__xludf.DUMMYFUNCTION("REGEXREPLACE(C23128,""-\d+(.*)|--\d+(.*)"","""")"),"PENIN")</f>
        <v>PENIN</v>
      </c>
      <c r="E23128" s="38" t="s">
        <v>109</v>
      </c>
      <c r="F23128" s="38" t="s">
        <v>86</v>
      </c>
      <c r="G23128" s="49" t="str">
        <f t="shared" si="1"/>
        <v>62127</v>
      </c>
      <c r="H23128" s="49">
        <f t="shared" si="2"/>
        <v>62651</v>
      </c>
    </row>
    <row r="23129">
      <c r="A23129" s="48" t="s">
        <v>9006</v>
      </c>
      <c r="B23129" s="38">
        <v>67226.0</v>
      </c>
      <c r="C23129" s="38" t="s">
        <v>27660</v>
      </c>
      <c r="D23129" s="38" t="str">
        <f>IFERROR(__xludf.DUMMYFUNCTION("REGEXREPLACE(C23129,""-\d+(.*)|--\d+(.*)"","""")"),"ITTENHEIM")</f>
        <v>ITTENHEIM</v>
      </c>
      <c r="E23129" s="38" t="s">
        <v>210</v>
      </c>
      <c r="F23129" s="38" t="s">
        <v>151</v>
      </c>
      <c r="G23129" s="49" t="str">
        <f t="shared" si="1"/>
        <v>67117</v>
      </c>
      <c r="H23129" s="49">
        <f t="shared" si="2"/>
        <v>67226</v>
      </c>
    </row>
    <row r="23130">
      <c r="A23130" s="48" t="s">
        <v>9311</v>
      </c>
      <c r="B23130" s="38">
        <v>24561.0</v>
      </c>
      <c r="C23130" s="38" t="s">
        <v>27661</v>
      </c>
      <c r="D23130" s="38" t="str">
        <f>IFERROR(__xludf.DUMMYFUNCTION("REGEXREPLACE(C23130,""-\d+(.*)|--\d+(.*)"","""")"),"VALEUIL")</f>
        <v>VALEUIL</v>
      </c>
      <c r="E23130" s="38" t="s">
        <v>261</v>
      </c>
      <c r="F23130" s="38" t="s">
        <v>252</v>
      </c>
      <c r="G23130" s="49" t="str">
        <f t="shared" si="1"/>
        <v>24310</v>
      </c>
      <c r="H23130" s="49">
        <f t="shared" si="2"/>
        <v>24561</v>
      </c>
    </row>
    <row r="23131">
      <c r="A23131" s="48" t="s">
        <v>883</v>
      </c>
      <c r="B23131" s="38">
        <v>71443.0</v>
      </c>
      <c r="C23131" s="38" t="s">
        <v>27662</v>
      </c>
      <c r="D23131" s="38" t="str">
        <f>IFERROR(__xludf.DUMMYFUNCTION("REGEXREPLACE(C23131,""-\d+(.*)|--\d+(.*)"","""")"),"SAINT-LOUP-GEANGES")</f>
        <v>SAINT-LOUP-GEANGES</v>
      </c>
      <c r="E23131" s="38" t="s">
        <v>344</v>
      </c>
      <c r="F23131" s="38" t="s">
        <v>106</v>
      </c>
      <c r="G23131" s="49" t="str">
        <f t="shared" si="1"/>
        <v>71350</v>
      </c>
      <c r="H23131" s="49">
        <f t="shared" si="2"/>
        <v>71443</v>
      </c>
    </row>
    <row r="23132">
      <c r="A23132" s="48" t="s">
        <v>658</v>
      </c>
      <c r="B23132" s="38">
        <v>62853.0</v>
      </c>
      <c r="C23132" s="38" t="s">
        <v>27663</v>
      </c>
      <c r="D23132" s="38" t="str">
        <f>IFERROR(__xludf.DUMMYFUNCTION("REGEXREPLACE(C23132,""-\d+(.*)|--\d+(.*)"","""")"),"VIEIL-MOUTIER")</f>
        <v>VIEIL-MOUTIER</v>
      </c>
      <c r="E23132" s="38" t="s">
        <v>109</v>
      </c>
      <c r="F23132" s="38" t="s">
        <v>86</v>
      </c>
      <c r="G23132" s="49" t="str">
        <f t="shared" si="1"/>
        <v>62240</v>
      </c>
      <c r="H23132" s="49">
        <f t="shared" si="2"/>
        <v>62853</v>
      </c>
    </row>
    <row r="23133">
      <c r="A23133" s="48" t="s">
        <v>2835</v>
      </c>
      <c r="B23133" s="38">
        <v>18132.0</v>
      </c>
      <c r="C23133" s="38" t="s">
        <v>27664</v>
      </c>
      <c r="D23133" s="38" t="str">
        <f>IFERROR(__xludf.DUMMYFUNCTION("REGEXREPLACE(C23133,""-\d+(.*)|--\d+(.*)"","""")"),"LUGNY-CHAMPAGNE")</f>
        <v>LUGNY-CHAMPAGNE</v>
      </c>
      <c r="E23133" s="38" t="s">
        <v>504</v>
      </c>
      <c r="F23133" s="38" t="s">
        <v>123</v>
      </c>
      <c r="G23133" s="49" t="str">
        <f t="shared" si="1"/>
        <v>18140</v>
      </c>
      <c r="H23133" s="49">
        <f t="shared" si="2"/>
        <v>18132</v>
      </c>
    </row>
    <row r="23134">
      <c r="A23134" s="48" t="s">
        <v>2746</v>
      </c>
      <c r="B23134" s="38">
        <v>38432.0</v>
      </c>
      <c r="C23134" s="38" t="s">
        <v>27665</v>
      </c>
      <c r="D23134" s="38" t="str">
        <f>IFERROR(__xludf.DUMMYFUNCTION("REGEXREPLACE(C23134,""-\d+(.*)|--\d+(.*)"","""")"),"SAINT-NICOLAS-DE-MACHERIN")</f>
        <v>SAINT-NICOLAS-DE-MACHERIN</v>
      </c>
      <c r="E23134" s="38" t="s">
        <v>101</v>
      </c>
      <c r="F23134" s="38" t="s">
        <v>102</v>
      </c>
      <c r="G23134" s="49" t="str">
        <f t="shared" si="1"/>
        <v>38500</v>
      </c>
      <c r="H23134" s="49">
        <f t="shared" si="2"/>
        <v>38432</v>
      </c>
    </row>
    <row r="23135">
      <c r="A23135" s="48" t="s">
        <v>6347</v>
      </c>
      <c r="B23135" s="38">
        <v>73038.0</v>
      </c>
      <c r="C23135" s="38" t="s">
        <v>27666</v>
      </c>
      <c r="D23135" s="38" t="str">
        <f>IFERROR(__xludf.DUMMYFUNCTION("REGEXREPLACE(C23135,""-\d+(.*)|--\d+(.*)"","""")"),"BELLENTRE")</f>
        <v>BELLENTRE</v>
      </c>
      <c r="E23135" s="38" t="s">
        <v>306</v>
      </c>
      <c r="F23135" s="38" t="s">
        <v>102</v>
      </c>
      <c r="G23135" s="49" t="str">
        <f t="shared" si="1"/>
        <v>73210</v>
      </c>
      <c r="H23135" s="49">
        <f t="shared" si="2"/>
        <v>73038</v>
      </c>
    </row>
    <row r="23136">
      <c r="A23136" s="48" t="s">
        <v>1783</v>
      </c>
      <c r="B23136" s="38">
        <v>60372.0</v>
      </c>
      <c r="C23136" s="38" t="s">
        <v>27667</v>
      </c>
      <c r="D23136" s="38" t="str">
        <f>IFERROR(__xludf.DUMMYFUNCTION("REGEXREPLACE(C23136,""-\d+(.*)|--\d+(.*)"","""")"),"LUCHY")</f>
        <v>LUCHY</v>
      </c>
      <c r="E23136" s="38" t="s">
        <v>112</v>
      </c>
      <c r="F23136" s="38" t="s">
        <v>113</v>
      </c>
      <c r="G23136" s="49" t="str">
        <f t="shared" si="1"/>
        <v>60360</v>
      </c>
      <c r="H23136" s="49">
        <f t="shared" si="2"/>
        <v>60372</v>
      </c>
    </row>
    <row r="23137">
      <c r="A23137" s="48" t="s">
        <v>27668</v>
      </c>
      <c r="B23137" s="38">
        <v>22360.0</v>
      </c>
      <c r="C23137" s="38" t="s">
        <v>27669</v>
      </c>
      <c r="D23137" s="38" t="str">
        <f>IFERROR(__xludf.DUMMYFUNCTION("REGEXREPLACE(C23137,""-\d+(.*)|--\d+(.*)"","""")"),"TREGUEUX")</f>
        <v>TREGUEUX</v>
      </c>
      <c r="E23137" s="38" t="s">
        <v>89</v>
      </c>
      <c r="F23137" s="38" t="s">
        <v>90</v>
      </c>
      <c r="G23137" s="49" t="str">
        <f t="shared" si="1"/>
        <v>22950</v>
      </c>
      <c r="H23137" s="49">
        <f t="shared" si="2"/>
        <v>22360</v>
      </c>
    </row>
    <row r="23138">
      <c r="A23138" s="48" t="s">
        <v>1889</v>
      </c>
      <c r="B23138" s="38">
        <v>25035.0</v>
      </c>
      <c r="C23138" s="38" t="s">
        <v>27670</v>
      </c>
      <c r="D23138" s="38" t="str">
        <f>IFERROR(__xludf.DUMMYFUNCTION("REGEXREPLACE(C23138,""-\d+(.*)|--\d+(.*)"","""")"),"AUXON-DESSUS")</f>
        <v>AUXON-DESSUS</v>
      </c>
      <c r="E23138" s="38" t="s">
        <v>213</v>
      </c>
      <c r="F23138" s="38" t="s">
        <v>214</v>
      </c>
      <c r="G23138" s="49" t="str">
        <f t="shared" si="1"/>
        <v>25870</v>
      </c>
      <c r="H23138" s="49">
        <f t="shared" si="2"/>
        <v>25035</v>
      </c>
    </row>
    <row r="23139">
      <c r="A23139" s="48" t="s">
        <v>7811</v>
      </c>
      <c r="B23139" s="38">
        <v>59424.0</v>
      </c>
      <c r="C23139" s="38" t="s">
        <v>27671</v>
      </c>
      <c r="D23139" s="38" t="str">
        <f>IFERROR(__xludf.DUMMYFUNCTION("REGEXREPLACE(C23139,""-\d+(.*)|--\d+(.*)"","""")"),"NEUF-MESNIL")</f>
        <v>NEUF-MESNIL</v>
      </c>
      <c r="E23139" s="38" t="s">
        <v>85</v>
      </c>
      <c r="F23139" s="38" t="s">
        <v>86</v>
      </c>
      <c r="G23139" s="49" t="str">
        <f t="shared" si="1"/>
        <v>59330</v>
      </c>
      <c r="H23139" s="49">
        <f t="shared" si="2"/>
        <v>59424</v>
      </c>
    </row>
    <row r="23140">
      <c r="A23140" s="48" t="s">
        <v>15350</v>
      </c>
      <c r="B23140" s="38">
        <v>49342.0</v>
      </c>
      <c r="C23140" s="38" t="s">
        <v>27672</v>
      </c>
      <c r="D23140" s="38" t="str">
        <f>IFERROR(__xludf.DUMMYFUNCTION("REGEXREPLACE(C23140,""-\d+(.*)|--\d+(.*)"","""")"),"TANCOIGNE")</f>
        <v>TANCOIGNE</v>
      </c>
      <c r="E23140" s="38" t="s">
        <v>653</v>
      </c>
      <c r="F23140" s="38" t="s">
        <v>180</v>
      </c>
      <c r="G23140" s="49" t="str">
        <f t="shared" si="1"/>
        <v>49310</v>
      </c>
      <c r="H23140" s="49">
        <f t="shared" si="2"/>
        <v>49342</v>
      </c>
    </row>
    <row r="23141">
      <c r="A23141" s="48" t="s">
        <v>8120</v>
      </c>
      <c r="B23141" s="38">
        <v>61210.0</v>
      </c>
      <c r="C23141" s="38" t="s">
        <v>27673</v>
      </c>
      <c r="D23141" s="38" t="str">
        <f>IFERROR(__xludf.DUMMYFUNCTION("REGEXREPLACE(C23141,""-\d+(.*)|--\d+(.*)"","""")"),"JOUE-DU-PLAIN")</f>
        <v>JOUE-DU-PLAIN</v>
      </c>
      <c r="E23141" s="38" t="s">
        <v>141</v>
      </c>
      <c r="F23141" s="38" t="s">
        <v>138</v>
      </c>
      <c r="G23141" s="49" t="str">
        <f t="shared" si="1"/>
        <v>61150</v>
      </c>
      <c r="H23141" s="49">
        <f t="shared" si="2"/>
        <v>61210</v>
      </c>
    </row>
    <row r="23142">
      <c r="A23142" s="48" t="s">
        <v>15080</v>
      </c>
      <c r="B23142" s="38">
        <v>19250.0</v>
      </c>
      <c r="C23142" s="38" t="s">
        <v>27674</v>
      </c>
      <c r="D23142" s="38" t="str">
        <f>IFERROR(__xludf.DUMMYFUNCTION("REGEXREPLACE(C23142,""-\d+(.*)|--\d+(.*)"","""")"),"SALON-LA-TOUR")</f>
        <v>SALON-LA-TOUR</v>
      </c>
      <c r="E23142" s="38" t="s">
        <v>271</v>
      </c>
      <c r="F23142" s="38" t="s">
        <v>98</v>
      </c>
      <c r="G23142" s="49" t="str">
        <f t="shared" si="1"/>
        <v>19510</v>
      </c>
      <c r="H23142" s="49">
        <f t="shared" si="2"/>
        <v>19250</v>
      </c>
    </row>
    <row r="23143">
      <c r="A23143" s="48" t="s">
        <v>2077</v>
      </c>
      <c r="B23143" s="38">
        <v>8160.0</v>
      </c>
      <c r="C23143" s="38" t="s">
        <v>27675</v>
      </c>
      <c r="D23143" s="38" t="str">
        <f>IFERROR(__xludf.DUMMYFUNCTION("REGEXREPLACE(C23143,""-\d+(.*)|--\d+(.*)"","""")"),"EVIGNY")</f>
        <v>EVIGNY</v>
      </c>
      <c r="E23143" s="38" t="s">
        <v>327</v>
      </c>
      <c r="F23143" s="38" t="s">
        <v>130</v>
      </c>
      <c r="G23143" s="49" t="str">
        <f t="shared" si="1"/>
        <v>08090</v>
      </c>
      <c r="H23143" s="49" t="str">
        <f t="shared" si="2"/>
        <v>08160</v>
      </c>
    </row>
    <row r="23144">
      <c r="A23144" s="48" t="s">
        <v>9600</v>
      </c>
      <c r="B23144" s="38">
        <v>7183.0</v>
      </c>
      <c r="C23144" s="38" t="s">
        <v>27676</v>
      </c>
      <c r="D23144" s="38" t="str">
        <f>IFERROR(__xludf.DUMMYFUNCTION("REGEXREPLACE(C23144,""-\d+(.*)|--\d+(.*)"","""")"),"PRADONS")</f>
        <v>PRADONS</v>
      </c>
      <c r="E23144" s="38" t="s">
        <v>144</v>
      </c>
      <c r="F23144" s="38" t="s">
        <v>102</v>
      </c>
      <c r="G23144" s="49" t="str">
        <f t="shared" si="1"/>
        <v>07120</v>
      </c>
      <c r="H23144" s="49" t="str">
        <f t="shared" si="2"/>
        <v>07183</v>
      </c>
    </row>
    <row r="23145">
      <c r="A23145" s="48" t="s">
        <v>14214</v>
      </c>
      <c r="B23145" s="38">
        <v>40108.0</v>
      </c>
      <c r="C23145" s="38" t="s">
        <v>27677</v>
      </c>
      <c r="D23145" s="38" t="str">
        <f>IFERROR(__xludf.DUMMYFUNCTION("REGEXREPLACE(C23145,""-\d+(.*)|--\d+(.*)"","""")"),"GASTES")</f>
        <v>GASTES</v>
      </c>
      <c r="E23145" s="38" t="s">
        <v>281</v>
      </c>
      <c r="F23145" s="38" t="s">
        <v>252</v>
      </c>
      <c r="G23145" s="49" t="str">
        <f t="shared" si="1"/>
        <v>40160</v>
      </c>
      <c r="H23145" s="49">
        <f t="shared" si="2"/>
        <v>40108</v>
      </c>
    </row>
    <row r="23146">
      <c r="A23146" s="48" t="s">
        <v>1040</v>
      </c>
      <c r="B23146" s="38">
        <v>62669.0</v>
      </c>
      <c r="C23146" s="38" t="s">
        <v>27678</v>
      </c>
      <c r="D23146" s="38" t="str">
        <f>IFERROR(__xludf.DUMMYFUNCTION("REGEXREPLACE(C23146,""-\d+(.*)|--\d+(.*)"","""")"),"PRESSY")</f>
        <v>PRESSY</v>
      </c>
      <c r="E23146" s="38" t="s">
        <v>109</v>
      </c>
      <c r="F23146" s="38" t="s">
        <v>86</v>
      </c>
      <c r="G23146" s="49" t="str">
        <f t="shared" si="1"/>
        <v>62550</v>
      </c>
      <c r="H23146" s="49">
        <f t="shared" si="2"/>
        <v>62669</v>
      </c>
    </row>
    <row r="23147">
      <c r="A23147" s="48" t="s">
        <v>3515</v>
      </c>
      <c r="B23147" s="38">
        <v>26140.0</v>
      </c>
      <c r="C23147" s="38" t="s">
        <v>27679</v>
      </c>
      <c r="D23147" s="38" t="str">
        <f>IFERROR(__xludf.DUMMYFUNCTION("REGEXREPLACE(C23147,""-\d+(.*)|--\d+(.*)"","""")"),"GEYSSANS")</f>
        <v>GEYSSANS</v>
      </c>
      <c r="E23147" s="38" t="s">
        <v>126</v>
      </c>
      <c r="F23147" s="38" t="s">
        <v>102</v>
      </c>
      <c r="G23147" s="49" t="str">
        <f t="shared" si="1"/>
        <v>26750</v>
      </c>
      <c r="H23147" s="49">
        <f t="shared" si="2"/>
        <v>26140</v>
      </c>
    </row>
    <row r="23148">
      <c r="A23148" s="48" t="s">
        <v>3506</v>
      </c>
      <c r="B23148" s="38">
        <v>16041.0</v>
      </c>
      <c r="C23148" s="38" t="s">
        <v>27680</v>
      </c>
      <c r="D23148" s="38" t="str">
        <f>IFERROR(__xludf.DUMMYFUNCTION("REGEXREPLACE(C23148,""-\d+(.*)|--\d+(.*)"","""")"),"BESSAC")</f>
        <v>BESSAC</v>
      </c>
      <c r="E23148" s="38" t="s">
        <v>429</v>
      </c>
      <c r="F23148" s="38" t="s">
        <v>338</v>
      </c>
      <c r="G23148" s="49" t="str">
        <f t="shared" si="1"/>
        <v>16250</v>
      </c>
      <c r="H23148" s="49">
        <f t="shared" si="2"/>
        <v>16041</v>
      </c>
    </row>
    <row r="23149">
      <c r="A23149" s="48" t="s">
        <v>27681</v>
      </c>
      <c r="B23149" s="38">
        <v>60686.0</v>
      </c>
      <c r="C23149" s="38" t="s">
        <v>27682</v>
      </c>
      <c r="D23149" s="38" t="str">
        <f>IFERROR(__xludf.DUMMYFUNCTION("REGEXREPLACE(C23149,""-\d+(.*)|--\d+(.*)"","""")"),"VILLERS-SOUS-SAINT-LEU")</f>
        <v>VILLERS-SOUS-SAINT-LEU</v>
      </c>
      <c r="E23149" s="38" t="s">
        <v>112</v>
      </c>
      <c r="F23149" s="38" t="s">
        <v>113</v>
      </c>
      <c r="G23149" s="49" t="str">
        <f t="shared" si="1"/>
        <v>60340</v>
      </c>
      <c r="H23149" s="49">
        <f t="shared" si="2"/>
        <v>60686</v>
      </c>
    </row>
    <row r="23150">
      <c r="A23150" s="48" t="s">
        <v>2419</v>
      </c>
      <c r="B23150" s="38">
        <v>58133.0</v>
      </c>
      <c r="C23150" s="38" t="s">
        <v>27683</v>
      </c>
      <c r="D23150" s="38" t="str">
        <f>IFERROR(__xludf.DUMMYFUNCTION("REGEXREPLACE(C23150,""-\d+(.*)|--\d+(.*)"","""")"),"HERY")</f>
        <v>HERY</v>
      </c>
      <c r="E23150" s="38" t="s">
        <v>219</v>
      </c>
      <c r="F23150" s="38" t="s">
        <v>106</v>
      </c>
      <c r="G23150" s="49" t="str">
        <f t="shared" si="1"/>
        <v>58800</v>
      </c>
      <c r="H23150" s="49">
        <f t="shared" si="2"/>
        <v>58133</v>
      </c>
    </row>
    <row r="23151">
      <c r="A23151" s="48" t="s">
        <v>3281</v>
      </c>
      <c r="B23151" s="38">
        <v>40123.0</v>
      </c>
      <c r="C23151" s="38" t="s">
        <v>27684</v>
      </c>
      <c r="D23151" s="38" t="str">
        <f>IFERROR(__xludf.DUMMYFUNCTION("REGEXREPLACE(C23151,""-\d+(.*)|--\d+(.*)"","""")"),"HERM")</f>
        <v>HERM</v>
      </c>
      <c r="E23151" s="38" t="s">
        <v>281</v>
      </c>
      <c r="F23151" s="38" t="s">
        <v>252</v>
      </c>
      <c r="G23151" s="49" t="str">
        <f t="shared" si="1"/>
        <v>40990</v>
      </c>
      <c r="H23151" s="49">
        <f t="shared" si="2"/>
        <v>40123</v>
      </c>
    </row>
    <row r="23152">
      <c r="A23152" s="48" t="s">
        <v>3190</v>
      </c>
      <c r="B23152" s="38">
        <v>70053.0</v>
      </c>
      <c r="C23152" s="38" t="s">
        <v>27685</v>
      </c>
      <c r="D23152" s="38" t="str">
        <f>IFERROR(__xludf.DUMMYFUNCTION("REGEXREPLACE(C23152,""-\d+(.*)|--\d+(.*)"","""")"),"LES BATIES")</f>
        <v>LES BATIES</v>
      </c>
      <c r="E23152" s="38" t="s">
        <v>956</v>
      </c>
      <c r="F23152" s="38" t="s">
        <v>214</v>
      </c>
      <c r="G23152" s="49" t="str">
        <f t="shared" si="1"/>
        <v>70130</v>
      </c>
      <c r="H23152" s="49">
        <f t="shared" si="2"/>
        <v>70053</v>
      </c>
    </row>
    <row r="23153">
      <c r="A23153" s="48" t="s">
        <v>1864</v>
      </c>
      <c r="B23153" s="38">
        <v>70219.0</v>
      </c>
      <c r="C23153" s="38" t="s">
        <v>27686</v>
      </c>
      <c r="D23153" s="38" t="str">
        <f>IFERROR(__xludf.DUMMYFUNCTION("REGEXREPLACE(C23153,""-\d+(.*)|--\d+(.*)"","""")"),"ESPRELS")</f>
        <v>ESPRELS</v>
      </c>
      <c r="E23153" s="38" t="s">
        <v>956</v>
      </c>
      <c r="F23153" s="38" t="s">
        <v>214</v>
      </c>
      <c r="G23153" s="49" t="str">
        <f t="shared" si="1"/>
        <v>70110</v>
      </c>
      <c r="H23153" s="49">
        <f t="shared" si="2"/>
        <v>70219</v>
      </c>
    </row>
    <row r="23154">
      <c r="A23154" s="48" t="s">
        <v>27687</v>
      </c>
      <c r="B23154" s="38">
        <v>75113.0</v>
      </c>
      <c r="C23154" s="38" t="s">
        <v>27688</v>
      </c>
      <c r="D23154" s="38" t="str">
        <f>IFERROR(__xludf.DUMMYFUNCTION("REGEXREPLACE(C23154,""-\d+(.*)|--\d+(.*)"","""")"),"PARIS")</f>
        <v>PARIS</v>
      </c>
      <c r="E23154" s="38" t="s">
        <v>823</v>
      </c>
      <c r="F23154" s="38" t="s">
        <v>245</v>
      </c>
      <c r="G23154" s="49" t="str">
        <f t="shared" si="1"/>
        <v>75013</v>
      </c>
      <c r="H23154" s="49">
        <f t="shared" si="2"/>
        <v>75113</v>
      </c>
    </row>
    <row r="23155">
      <c r="A23155" s="48" t="s">
        <v>1268</v>
      </c>
      <c r="B23155" s="38">
        <v>8289.0</v>
      </c>
      <c r="C23155" s="38" t="s">
        <v>27689</v>
      </c>
      <c r="D23155" s="38" t="str">
        <f>IFERROR(__xludf.DUMMYFUNCTION("REGEXREPLACE(C23155,""-\d+(.*)|--\d+(.*)"","""")"),"MESSINCOURT")</f>
        <v>MESSINCOURT</v>
      </c>
      <c r="E23155" s="38" t="s">
        <v>327</v>
      </c>
      <c r="F23155" s="38" t="s">
        <v>130</v>
      </c>
      <c r="G23155" s="49" t="str">
        <f t="shared" si="1"/>
        <v>08110</v>
      </c>
      <c r="H23155" s="49" t="str">
        <f t="shared" si="2"/>
        <v>08289</v>
      </c>
    </row>
    <row r="23156">
      <c r="A23156" s="48" t="s">
        <v>4722</v>
      </c>
      <c r="B23156" s="38">
        <v>81099.0</v>
      </c>
      <c r="C23156" s="38" t="s">
        <v>27690</v>
      </c>
      <c r="D23156" s="38" t="str">
        <f>IFERROR(__xludf.DUMMYFUNCTION("REGEXREPLACE(C23156,""-\d+(.*)|--\d+(.*)"","""")"),"GAILLAC")</f>
        <v>GAILLAC</v>
      </c>
      <c r="E23156" s="38" t="s">
        <v>231</v>
      </c>
      <c r="F23156" s="38" t="s">
        <v>94</v>
      </c>
      <c r="G23156" s="49" t="str">
        <f t="shared" si="1"/>
        <v>81600</v>
      </c>
      <c r="H23156" s="49">
        <f t="shared" si="2"/>
        <v>81099</v>
      </c>
    </row>
    <row r="23157">
      <c r="A23157" s="48" t="s">
        <v>11319</v>
      </c>
      <c r="B23157" s="38">
        <v>51445.0</v>
      </c>
      <c r="C23157" s="38" t="s">
        <v>27691</v>
      </c>
      <c r="D23157" s="38" t="str">
        <f>IFERROR(__xludf.DUMMYFUNCTION("REGEXREPLACE(C23157,""-\d+(.*)|--\d+(.*)"","""")"),"POURCY")</f>
        <v>POURCY</v>
      </c>
      <c r="E23157" s="38" t="s">
        <v>129</v>
      </c>
      <c r="F23157" s="38" t="s">
        <v>130</v>
      </c>
      <c r="G23157" s="49" t="str">
        <f t="shared" si="1"/>
        <v>51480</v>
      </c>
      <c r="H23157" s="49">
        <f t="shared" si="2"/>
        <v>51445</v>
      </c>
    </row>
    <row r="23158">
      <c r="A23158" s="48" t="s">
        <v>17859</v>
      </c>
      <c r="B23158" s="38">
        <v>40186.0</v>
      </c>
      <c r="C23158" s="38" t="s">
        <v>27692</v>
      </c>
      <c r="D23158" s="38" t="str">
        <f>IFERROR(__xludf.DUMMYFUNCTION("REGEXREPLACE(C23158,""-\d+(.*)|--\d+(.*)"","""")"),"MISSON")</f>
        <v>MISSON</v>
      </c>
      <c r="E23158" s="38" t="s">
        <v>281</v>
      </c>
      <c r="F23158" s="38" t="s">
        <v>252</v>
      </c>
      <c r="G23158" s="49" t="str">
        <f t="shared" si="1"/>
        <v>40290</v>
      </c>
      <c r="H23158" s="49">
        <f t="shared" si="2"/>
        <v>40186</v>
      </c>
    </row>
    <row r="23159">
      <c r="A23159" s="48" t="s">
        <v>9225</v>
      </c>
      <c r="B23159" s="38">
        <v>23261.0</v>
      </c>
      <c r="C23159" s="38" t="s">
        <v>27693</v>
      </c>
      <c r="D23159" s="38" t="str">
        <f>IFERROR(__xludf.DUMMYFUNCTION("REGEXREPLACE(C23159,""-\d+(.*)|--\d+(.*)"","""")"),"VIERSAT")</f>
        <v>VIERSAT</v>
      </c>
      <c r="E23159" s="38" t="s">
        <v>97</v>
      </c>
      <c r="F23159" s="38" t="s">
        <v>98</v>
      </c>
      <c r="G23159" s="49" t="str">
        <f t="shared" si="1"/>
        <v>23170</v>
      </c>
      <c r="H23159" s="49">
        <f t="shared" si="2"/>
        <v>23261</v>
      </c>
    </row>
    <row r="23160">
      <c r="A23160" s="48" t="s">
        <v>1100</v>
      </c>
      <c r="B23160" s="38">
        <v>8287.0</v>
      </c>
      <c r="C23160" s="38" t="s">
        <v>27694</v>
      </c>
      <c r="D23160" s="38" t="str">
        <f>IFERROR(__xludf.DUMMYFUNCTION("REGEXREPLACE(C23160,""-\d+(.*)|--\d+(.*)"","""")"),"MENIL-LEPINOIS")</f>
        <v>MENIL-LEPINOIS</v>
      </c>
      <c r="E23160" s="38" t="s">
        <v>327</v>
      </c>
      <c r="F23160" s="38" t="s">
        <v>130</v>
      </c>
      <c r="G23160" s="49" t="str">
        <f t="shared" si="1"/>
        <v>08310</v>
      </c>
      <c r="H23160" s="49" t="str">
        <f t="shared" si="2"/>
        <v>08287</v>
      </c>
    </row>
    <row r="23161">
      <c r="A23161" s="48" t="s">
        <v>1859</v>
      </c>
      <c r="B23161" s="38">
        <v>88343.0</v>
      </c>
      <c r="C23161" s="38" t="s">
        <v>27695</v>
      </c>
      <c r="D23161" s="38" t="str">
        <f>IFERROR(__xludf.DUMMYFUNCTION("REGEXREPLACE(C23161,""-\d+(.*)|--\d+(.*)"","""")"),"PAREY-SOUS-MONTFORT")</f>
        <v>PAREY-SOUS-MONTFORT</v>
      </c>
      <c r="E23161" s="38" t="s">
        <v>194</v>
      </c>
      <c r="F23161" s="38" t="s">
        <v>195</v>
      </c>
      <c r="G23161" s="49" t="str">
        <f t="shared" si="1"/>
        <v>88800</v>
      </c>
      <c r="H23161" s="49">
        <f t="shared" si="2"/>
        <v>88343</v>
      </c>
    </row>
    <row r="23162">
      <c r="A23162" s="48" t="s">
        <v>8134</v>
      </c>
      <c r="B23162" s="38">
        <v>47070.0</v>
      </c>
      <c r="C23162" s="38" t="s">
        <v>27696</v>
      </c>
      <c r="D23162" s="38" t="str">
        <f>IFERROR(__xludf.DUMMYFUNCTION("REGEXREPLACE(C23162,""-\d+(.*)|--\d+(.*)"","""")"),"CONDEZAYGUES")</f>
        <v>CONDEZAYGUES</v>
      </c>
      <c r="E23162" s="38" t="s">
        <v>251</v>
      </c>
      <c r="F23162" s="38" t="s">
        <v>252</v>
      </c>
      <c r="G23162" s="49" t="str">
        <f t="shared" si="1"/>
        <v>47500</v>
      </c>
      <c r="H23162" s="49">
        <f t="shared" si="2"/>
        <v>47070</v>
      </c>
    </row>
    <row r="23163">
      <c r="A23163" s="48" t="s">
        <v>282</v>
      </c>
      <c r="B23163" s="38">
        <v>46016.0</v>
      </c>
      <c r="C23163" s="38" t="s">
        <v>27697</v>
      </c>
      <c r="D23163" s="38" t="str">
        <f>IFERROR(__xludf.DUMMYFUNCTION("REGEXREPLACE(C23163,""-\d+(.*)|--\d+(.*)"","""")"),"BALADOU")</f>
        <v>BALADOU</v>
      </c>
      <c r="E23163" s="38" t="s">
        <v>185</v>
      </c>
      <c r="F23163" s="38" t="s">
        <v>94</v>
      </c>
      <c r="G23163" s="49" t="str">
        <f t="shared" si="1"/>
        <v>46600</v>
      </c>
      <c r="H23163" s="49">
        <f t="shared" si="2"/>
        <v>46016</v>
      </c>
    </row>
    <row r="23164">
      <c r="A23164" s="48" t="s">
        <v>27698</v>
      </c>
      <c r="B23164" s="38">
        <v>90039.0</v>
      </c>
      <c r="C23164" s="38" t="s">
        <v>27699</v>
      </c>
      <c r="D23164" s="38" t="str">
        <f>IFERROR(__xludf.DUMMYFUNCTION("REGEXREPLACE(C23164,""-\d+(.*)|--\d+(.*)"","""")"),"ESSERT")</f>
        <v>ESSERT</v>
      </c>
      <c r="E23164" s="38" t="s">
        <v>1283</v>
      </c>
      <c r="F23164" s="38" t="s">
        <v>214</v>
      </c>
      <c r="G23164" s="49" t="str">
        <f t="shared" si="1"/>
        <v>90850</v>
      </c>
      <c r="H23164" s="49">
        <f t="shared" si="2"/>
        <v>90039</v>
      </c>
    </row>
    <row r="23165">
      <c r="A23165" s="48" t="s">
        <v>21358</v>
      </c>
      <c r="B23165" s="38">
        <v>77505.0</v>
      </c>
      <c r="C23165" s="38" t="s">
        <v>27700</v>
      </c>
      <c r="D23165" s="38" t="str">
        <f>IFERROR(__xludf.DUMMYFUNCTION("REGEXREPLACE(C23165,""-\d+(.*)|--\d+(.*)"","""")"),"VILLEMAREUIL")</f>
        <v>VILLEMAREUIL</v>
      </c>
      <c r="E23165" s="38" t="s">
        <v>244</v>
      </c>
      <c r="F23165" s="38" t="s">
        <v>245</v>
      </c>
      <c r="G23165" s="49" t="str">
        <f t="shared" si="1"/>
        <v>77470</v>
      </c>
      <c r="H23165" s="49">
        <f t="shared" si="2"/>
        <v>77505</v>
      </c>
    </row>
    <row r="23166">
      <c r="A23166" s="48" t="s">
        <v>4203</v>
      </c>
      <c r="B23166" s="38">
        <v>77404.0</v>
      </c>
      <c r="C23166" s="38" t="s">
        <v>10166</v>
      </c>
      <c r="D23166" s="38" t="str">
        <f>IFERROR(__xludf.DUMMYFUNCTION("REGEXREPLACE(C23166,""-\d+(.*)|--\d+(.*)"","""")"),"SAINTE-COLOMBE")</f>
        <v>SAINTE-COLOMBE</v>
      </c>
      <c r="E23166" s="38" t="s">
        <v>244</v>
      </c>
      <c r="F23166" s="38" t="s">
        <v>245</v>
      </c>
      <c r="G23166" s="49" t="str">
        <f t="shared" si="1"/>
        <v>77650</v>
      </c>
      <c r="H23166" s="49">
        <f t="shared" si="2"/>
        <v>77404</v>
      </c>
    </row>
    <row r="23167">
      <c r="A23167" s="48" t="s">
        <v>987</v>
      </c>
      <c r="B23167" s="38">
        <v>40185.0</v>
      </c>
      <c r="C23167" s="38" t="s">
        <v>27701</v>
      </c>
      <c r="D23167" s="38" t="str">
        <f>IFERROR(__xludf.DUMMYFUNCTION("REGEXREPLACE(C23167,""-\d+(.*)|--\d+(.*)"","""")"),"MIRAMONT-SENSACQ")</f>
        <v>MIRAMONT-SENSACQ</v>
      </c>
      <c r="E23167" s="38" t="s">
        <v>281</v>
      </c>
      <c r="F23167" s="38" t="s">
        <v>252</v>
      </c>
      <c r="G23167" s="49" t="str">
        <f t="shared" si="1"/>
        <v>40320</v>
      </c>
      <c r="H23167" s="49">
        <f t="shared" si="2"/>
        <v>40185</v>
      </c>
    </row>
    <row r="23168">
      <c r="A23168" s="48" t="s">
        <v>4568</v>
      </c>
      <c r="B23168" s="38">
        <v>32381.0</v>
      </c>
      <c r="C23168" s="38" t="s">
        <v>27702</v>
      </c>
      <c r="D23168" s="38" t="str">
        <f>IFERROR(__xludf.DUMMYFUNCTION("REGEXREPLACE(C23168,""-\d+(.*)|--\d+(.*)"","""")"),"SAINT-JEAN-LE-COMTAL")</f>
        <v>SAINT-JEAN-LE-COMTAL</v>
      </c>
      <c r="E23168" s="38" t="s">
        <v>440</v>
      </c>
      <c r="F23168" s="38" t="s">
        <v>94</v>
      </c>
      <c r="G23168" s="49" t="str">
        <f t="shared" si="1"/>
        <v>32550</v>
      </c>
      <c r="H23168" s="49">
        <f t="shared" si="2"/>
        <v>32381</v>
      </c>
    </row>
    <row r="23169">
      <c r="A23169" s="48" t="s">
        <v>542</v>
      </c>
      <c r="B23169" s="38">
        <v>50565.0</v>
      </c>
      <c r="C23169" s="38" t="s">
        <v>27703</v>
      </c>
      <c r="D23169" s="38" t="str">
        <f>IFERROR(__xludf.DUMMYFUNCTION("REGEXREPLACE(C23169,""-\d+(.*)|--\d+(.*)"","""")"),"SARTILLY")</f>
        <v>SARTILLY</v>
      </c>
      <c r="E23169" s="38" t="s">
        <v>157</v>
      </c>
      <c r="F23169" s="38" t="s">
        <v>138</v>
      </c>
      <c r="G23169" s="49" t="str">
        <f t="shared" si="1"/>
        <v>50530</v>
      </c>
      <c r="H23169" s="49">
        <f t="shared" si="2"/>
        <v>50565</v>
      </c>
    </row>
    <row r="23170">
      <c r="A23170" s="48" t="s">
        <v>1241</v>
      </c>
      <c r="B23170" s="38">
        <v>71072.0</v>
      </c>
      <c r="C23170" s="38" t="s">
        <v>27704</v>
      </c>
      <c r="D23170" s="38" t="str">
        <f>IFERROR(__xludf.DUMMYFUNCTION("REGEXREPLACE(C23170,""-\d+(.*)|--\d+(.*)"","""")"),"CERSOT")</f>
        <v>CERSOT</v>
      </c>
      <c r="E23170" s="38" t="s">
        <v>344</v>
      </c>
      <c r="F23170" s="38" t="s">
        <v>106</v>
      </c>
      <c r="G23170" s="49" t="str">
        <f t="shared" si="1"/>
        <v>71390</v>
      </c>
      <c r="H23170" s="49">
        <f t="shared" si="2"/>
        <v>71072</v>
      </c>
    </row>
    <row r="23171">
      <c r="A23171" s="48" t="s">
        <v>9975</v>
      </c>
      <c r="B23171" s="38">
        <v>41068.0</v>
      </c>
      <c r="C23171" s="38" t="s">
        <v>27705</v>
      </c>
      <c r="D23171" s="38" t="str">
        <f>IFERROR(__xludf.DUMMYFUNCTION("REGEXREPLACE(C23171,""-\d+(.*)|--\d+(.*)"","""")"),"COURMEMIN")</f>
        <v>COURMEMIN</v>
      </c>
      <c r="E23171" s="38" t="s">
        <v>188</v>
      </c>
      <c r="F23171" s="38" t="s">
        <v>123</v>
      </c>
      <c r="G23171" s="49" t="str">
        <f t="shared" si="1"/>
        <v>41230</v>
      </c>
      <c r="H23171" s="49">
        <f t="shared" si="2"/>
        <v>41068</v>
      </c>
    </row>
    <row r="23172">
      <c r="A23172" s="48" t="s">
        <v>1974</v>
      </c>
      <c r="B23172" s="38">
        <v>59182.0</v>
      </c>
      <c r="C23172" s="38" t="s">
        <v>27706</v>
      </c>
      <c r="D23172" s="38" t="str">
        <f>IFERROR(__xludf.DUMMYFUNCTION("REGEXREPLACE(C23172,""-\d+(.*)|--\d+(.*)"","""")"),"DRINCHAM")</f>
        <v>DRINCHAM</v>
      </c>
      <c r="E23172" s="38" t="s">
        <v>85</v>
      </c>
      <c r="F23172" s="38" t="s">
        <v>86</v>
      </c>
      <c r="G23172" s="49" t="str">
        <f t="shared" si="1"/>
        <v>59630</v>
      </c>
      <c r="H23172" s="49">
        <f t="shared" si="2"/>
        <v>59182</v>
      </c>
    </row>
    <row r="23173">
      <c r="A23173" s="48" t="s">
        <v>27707</v>
      </c>
      <c r="B23173" s="38">
        <v>69154.0</v>
      </c>
      <c r="C23173" s="38" t="s">
        <v>27708</v>
      </c>
      <c r="D23173" s="38" t="str">
        <f>IFERROR(__xludf.DUMMYFUNCTION("REGEXREPLACE(C23173,""-\d+(.*)|--\d+(.*)"","""")"),"POLLIONNAY")</f>
        <v>POLLIONNAY</v>
      </c>
      <c r="E23173" s="38" t="s">
        <v>350</v>
      </c>
      <c r="F23173" s="38" t="s">
        <v>102</v>
      </c>
      <c r="G23173" s="49" t="str">
        <f t="shared" si="1"/>
        <v>69290</v>
      </c>
      <c r="H23173" s="49">
        <f t="shared" si="2"/>
        <v>69154</v>
      </c>
    </row>
    <row r="23174">
      <c r="A23174" s="48" t="s">
        <v>430</v>
      </c>
      <c r="B23174" s="38">
        <v>2137.0</v>
      </c>
      <c r="C23174" s="38" t="s">
        <v>27709</v>
      </c>
      <c r="D23174" s="38" t="str">
        <f>IFERROR(__xludf.DUMMYFUNCTION("REGEXREPLACE(C23174,""-\d+(.*)|--\d+(.*)"","""")"),"BUSSIARES")</f>
        <v>BUSSIARES</v>
      </c>
      <c r="E23174" s="38" t="s">
        <v>191</v>
      </c>
      <c r="F23174" s="38" t="s">
        <v>113</v>
      </c>
      <c r="G23174" s="49" t="str">
        <f t="shared" si="1"/>
        <v>02810</v>
      </c>
      <c r="H23174" s="49" t="str">
        <f t="shared" si="2"/>
        <v>02137</v>
      </c>
    </row>
    <row r="23175">
      <c r="A23175" s="48" t="s">
        <v>7758</v>
      </c>
      <c r="B23175" s="38">
        <v>63243.0</v>
      </c>
      <c r="C23175" s="38" t="s">
        <v>27710</v>
      </c>
      <c r="D23175" s="38" t="str">
        <f>IFERROR(__xludf.DUMMYFUNCTION("REGEXREPLACE(C23175,""-\d+(.*)|--\d+(.*)"","""")"),"MOUREUILLE")</f>
        <v>MOUREUILLE</v>
      </c>
      <c r="E23175" s="38" t="s">
        <v>353</v>
      </c>
      <c r="F23175" s="38" t="s">
        <v>161</v>
      </c>
      <c r="G23175" s="49" t="str">
        <f t="shared" si="1"/>
        <v>63700</v>
      </c>
      <c r="H23175" s="49">
        <f t="shared" si="2"/>
        <v>63243</v>
      </c>
    </row>
    <row r="23176">
      <c r="A23176" s="48" t="s">
        <v>12360</v>
      </c>
      <c r="B23176" s="38">
        <v>74159.0</v>
      </c>
      <c r="C23176" s="38" t="s">
        <v>27711</v>
      </c>
      <c r="D23176" s="38" t="str">
        <f>IFERROR(__xludf.DUMMYFUNCTION("REGEXREPLACE(C23176,""-\d+(.*)|--\d+(.*)"","""")"),"MAGLAND")</f>
        <v>MAGLAND</v>
      </c>
      <c r="E23176" s="38" t="s">
        <v>319</v>
      </c>
      <c r="F23176" s="38" t="s">
        <v>102</v>
      </c>
      <c r="G23176" s="49" t="str">
        <f t="shared" si="1"/>
        <v>74300</v>
      </c>
      <c r="H23176" s="49">
        <f t="shared" si="2"/>
        <v>74159</v>
      </c>
    </row>
    <row r="23177">
      <c r="A23177" s="48" t="s">
        <v>2411</v>
      </c>
      <c r="B23177" s="38">
        <v>37201.0</v>
      </c>
      <c r="C23177" s="38" t="s">
        <v>27712</v>
      </c>
      <c r="D23177" s="38" t="str">
        <f>IFERROR(__xludf.DUMMYFUNCTION("REGEXREPLACE(C23177,""-\d+(.*)|--\d+(.*)"","""")"),"RIVIERE")</f>
        <v>RIVIERE</v>
      </c>
      <c r="E23177" s="38" t="s">
        <v>205</v>
      </c>
      <c r="F23177" s="38" t="s">
        <v>123</v>
      </c>
      <c r="G23177" s="49" t="str">
        <f t="shared" si="1"/>
        <v>37500</v>
      </c>
      <c r="H23177" s="49">
        <f t="shared" si="2"/>
        <v>37201</v>
      </c>
    </row>
    <row r="23178">
      <c r="A23178" s="48" t="s">
        <v>1827</v>
      </c>
      <c r="B23178" s="38">
        <v>77421.0</v>
      </c>
      <c r="C23178" s="38" t="s">
        <v>27713</v>
      </c>
      <c r="D23178" s="38" t="str">
        <f>IFERROR(__xludf.DUMMYFUNCTION("REGEXREPLACE(C23178,""-\d+(.*)|--\d+(.*)"","""")"),"SAINT-MARS-VIEUX-MAISONS")</f>
        <v>SAINT-MARS-VIEUX-MAISONS</v>
      </c>
      <c r="E23178" s="38" t="s">
        <v>244</v>
      </c>
      <c r="F23178" s="38" t="s">
        <v>245</v>
      </c>
      <c r="G23178" s="49" t="str">
        <f t="shared" si="1"/>
        <v>77320</v>
      </c>
      <c r="H23178" s="49">
        <f t="shared" si="2"/>
        <v>77421</v>
      </c>
    </row>
    <row r="23179">
      <c r="A23179" s="48" t="s">
        <v>17004</v>
      </c>
      <c r="B23179" s="38">
        <v>91216.0</v>
      </c>
      <c r="C23179" s="38" t="s">
        <v>27714</v>
      </c>
      <c r="D23179" s="38" t="str">
        <f>IFERROR(__xludf.DUMMYFUNCTION("REGEXREPLACE(C23179,""-\d+(.*)|--\d+(.*)"","""")"),"EPINAY-SUR-ORGE")</f>
        <v>EPINAY-SUR-ORGE</v>
      </c>
      <c r="E23179" s="38" t="s">
        <v>756</v>
      </c>
      <c r="F23179" s="38" t="s">
        <v>245</v>
      </c>
      <c r="G23179" s="49" t="str">
        <f t="shared" si="1"/>
        <v>91360</v>
      </c>
      <c r="H23179" s="49">
        <f t="shared" si="2"/>
        <v>91216</v>
      </c>
    </row>
    <row r="23180">
      <c r="A23180" s="48" t="s">
        <v>5648</v>
      </c>
      <c r="B23180" s="38">
        <v>76372.0</v>
      </c>
      <c r="C23180" s="38" t="s">
        <v>27715</v>
      </c>
      <c r="D23180" s="38" t="str">
        <f>IFERROR(__xludf.DUMMYFUNCTION("REGEXREPLACE(C23180,""-\d+(.*)|--\d+(.*)"","""")"),"ILLOIS")</f>
        <v>ILLOIS</v>
      </c>
      <c r="E23180" s="38" t="s">
        <v>133</v>
      </c>
      <c r="F23180" s="38" t="s">
        <v>134</v>
      </c>
      <c r="G23180" s="49" t="str">
        <f t="shared" si="1"/>
        <v>76390</v>
      </c>
      <c r="H23180" s="49">
        <f t="shared" si="2"/>
        <v>76372</v>
      </c>
    </row>
    <row r="23181">
      <c r="A23181" s="48" t="s">
        <v>18155</v>
      </c>
      <c r="B23181" s="38">
        <v>47176.0</v>
      </c>
      <c r="C23181" s="38" t="s">
        <v>27716</v>
      </c>
      <c r="D23181" s="38" t="str">
        <f>IFERROR(__xludf.DUMMYFUNCTION("REGEXREPLACE(C23181,""-\d+(.*)|--\d+(.*)"","""")"),"MONGAILLARD")</f>
        <v>MONGAILLARD</v>
      </c>
      <c r="E23181" s="38" t="s">
        <v>251</v>
      </c>
      <c r="F23181" s="38" t="s">
        <v>252</v>
      </c>
      <c r="G23181" s="49" t="str">
        <f t="shared" si="1"/>
        <v>47230</v>
      </c>
      <c r="H23181" s="49">
        <f t="shared" si="2"/>
        <v>47176</v>
      </c>
    </row>
    <row r="23182">
      <c r="A23182" s="48" t="s">
        <v>533</v>
      </c>
      <c r="B23182" s="38">
        <v>50380.0</v>
      </c>
      <c r="C23182" s="38" t="s">
        <v>27717</v>
      </c>
      <c r="D23182" s="38" t="str">
        <f>IFERROR(__xludf.DUMMYFUNCTION("REGEXREPLACE(C23182,""-\d+(.*)|--\d+(.*)"","""")"),"NOTRE-DAME-D'ELLE")</f>
        <v>NOTRE-DAME-D'ELLE</v>
      </c>
      <c r="E23182" s="38" t="s">
        <v>157</v>
      </c>
      <c r="F23182" s="38" t="s">
        <v>138</v>
      </c>
      <c r="G23182" s="49" t="str">
        <f t="shared" si="1"/>
        <v>50810</v>
      </c>
      <c r="H23182" s="49">
        <f t="shared" si="2"/>
        <v>50380</v>
      </c>
    </row>
    <row r="23183">
      <c r="A23183" s="48" t="s">
        <v>3795</v>
      </c>
      <c r="B23183" s="38">
        <v>24525.0</v>
      </c>
      <c r="C23183" s="38" t="s">
        <v>27718</v>
      </c>
      <c r="D23183" s="38" t="str">
        <f>IFERROR(__xludf.DUMMYFUNCTION("REGEXREPLACE(C23183,""-\d+(.*)|--\d+(.*)"","""")"),"SAVIGNAC-DE-NONTRON")</f>
        <v>SAVIGNAC-DE-NONTRON</v>
      </c>
      <c r="E23183" s="38" t="s">
        <v>261</v>
      </c>
      <c r="F23183" s="38" t="s">
        <v>252</v>
      </c>
      <c r="G23183" s="49" t="str">
        <f t="shared" si="1"/>
        <v>24300</v>
      </c>
      <c r="H23183" s="49">
        <f t="shared" si="2"/>
        <v>24525</v>
      </c>
    </row>
    <row r="23184">
      <c r="A23184" s="48" t="s">
        <v>12931</v>
      </c>
      <c r="B23184" s="38">
        <v>57441.0</v>
      </c>
      <c r="C23184" s="38" t="s">
        <v>27719</v>
      </c>
      <c r="D23184" s="38" t="str">
        <f>IFERROR(__xludf.DUMMYFUNCTION("REGEXREPLACE(C23184,""-\d+(.*)|--\d+(.*)"","""")"),"MANOM")</f>
        <v>MANOM</v>
      </c>
      <c r="E23184" s="38" t="s">
        <v>303</v>
      </c>
      <c r="F23184" s="38" t="s">
        <v>195</v>
      </c>
      <c r="G23184" s="49" t="str">
        <f t="shared" si="1"/>
        <v>57100</v>
      </c>
      <c r="H23184" s="49">
        <f t="shared" si="2"/>
        <v>57441</v>
      </c>
    </row>
    <row r="23185">
      <c r="A23185" s="48" t="s">
        <v>16326</v>
      </c>
      <c r="B23185" s="38">
        <v>83115.0</v>
      </c>
      <c r="C23185" s="38" t="s">
        <v>27720</v>
      </c>
      <c r="D23185" s="38" t="str">
        <f>IFERROR(__xludf.DUMMYFUNCTION("REGEXREPLACE(C23185,""-\d+(.*)|--\d+(.*)"","""")"),"SAINTE-MAXIME")</f>
        <v>SAINTE-MAXIME</v>
      </c>
      <c r="E23185" s="38" t="s">
        <v>813</v>
      </c>
      <c r="F23185" s="38" t="s">
        <v>228</v>
      </c>
      <c r="G23185" s="49" t="str">
        <f t="shared" si="1"/>
        <v>83120</v>
      </c>
      <c r="H23185" s="49">
        <f t="shared" si="2"/>
        <v>83115</v>
      </c>
    </row>
    <row r="23186">
      <c r="A23186" s="48" t="s">
        <v>1112</v>
      </c>
      <c r="B23186" s="38">
        <v>18232.0</v>
      </c>
      <c r="C23186" s="38" t="s">
        <v>27721</v>
      </c>
      <c r="D23186" s="38" t="str">
        <f>IFERROR(__xludf.DUMMYFUNCTION("REGEXREPLACE(C23186,""-\d+(.*)|--\d+(.*)"","""")"),"SAINT-PRIEST-LA-MARCHE")</f>
        <v>SAINT-PRIEST-LA-MARCHE</v>
      </c>
      <c r="E23186" s="38" t="s">
        <v>504</v>
      </c>
      <c r="F23186" s="38" t="s">
        <v>123</v>
      </c>
      <c r="G23186" s="49" t="str">
        <f t="shared" si="1"/>
        <v>18370</v>
      </c>
      <c r="H23186" s="49">
        <f t="shared" si="2"/>
        <v>18232</v>
      </c>
    </row>
    <row r="23187">
      <c r="A23187" s="48" t="s">
        <v>5882</v>
      </c>
      <c r="B23187" s="38">
        <v>36197.0</v>
      </c>
      <c r="C23187" s="38" t="s">
        <v>27722</v>
      </c>
      <c r="D23187" s="38" t="str">
        <f>IFERROR(__xludf.DUMMYFUNCTION("REGEXREPLACE(C23187,""-\d+(.*)|--\d+(.*)"","""")"),"SAINT-HILAIRE-SUR-BENAIZE")</f>
        <v>SAINT-HILAIRE-SUR-BENAIZE</v>
      </c>
      <c r="E23187" s="38" t="s">
        <v>258</v>
      </c>
      <c r="F23187" s="38" t="s">
        <v>123</v>
      </c>
      <c r="G23187" s="49" t="str">
        <f t="shared" si="1"/>
        <v>36370</v>
      </c>
      <c r="H23187" s="49">
        <f t="shared" si="2"/>
        <v>36197</v>
      </c>
    </row>
    <row r="23188">
      <c r="A23188" s="48" t="s">
        <v>3359</v>
      </c>
      <c r="B23188" s="38">
        <v>9032.0</v>
      </c>
      <c r="C23188" s="38" t="s">
        <v>27723</v>
      </c>
      <c r="D23188" s="38" t="str">
        <f>IFERROR(__xludf.DUMMYFUNCTION("REGEXREPLACE(C23188,""-\d+(.*)|--\d+(.*)"","""")"),"AX-LES-THERMES")</f>
        <v>AX-LES-THERMES</v>
      </c>
      <c r="E23188" s="38" t="s">
        <v>238</v>
      </c>
      <c r="F23188" s="38" t="s">
        <v>94</v>
      </c>
      <c r="G23188" s="49" t="str">
        <f t="shared" si="1"/>
        <v>09110</v>
      </c>
      <c r="H23188" s="49" t="str">
        <f t="shared" si="2"/>
        <v>09032</v>
      </c>
    </row>
    <row r="23189">
      <c r="A23189" s="48" t="s">
        <v>3172</v>
      </c>
      <c r="B23189" s="38">
        <v>28396.0</v>
      </c>
      <c r="C23189" s="38" t="s">
        <v>27724</v>
      </c>
      <c r="D23189" s="38" t="str">
        <f>IFERROR(__xludf.DUMMYFUNCTION("REGEXREPLACE(C23189,""-\d+(.*)|--\d+(.*)"","""")"),"TRIZAY-LES-BONNEVAL")</f>
        <v>TRIZAY-LES-BONNEVAL</v>
      </c>
      <c r="E23189" s="38" t="s">
        <v>300</v>
      </c>
      <c r="F23189" s="38" t="s">
        <v>123</v>
      </c>
      <c r="G23189" s="49" t="str">
        <f t="shared" si="1"/>
        <v>28800</v>
      </c>
      <c r="H23189" s="49">
        <f t="shared" si="2"/>
        <v>28396</v>
      </c>
    </row>
    <row r="23190">
      <c r="A23190" s="48" t="s">
        <v>2671</v>
      </c>
      <c r="B23190" s="38">
        <v>65292.0</v>
      </c>
      <c r="C23190" s="38" t="s">
        <v>27725</v>
      </c>
      <c r="D23190" s="38" t="str">
        <f>IFERROR(__xludf.DUMMYFUNCTION("REGEXREPLACE(C23190,""-\d+(.*)|--\d+(.*)"","""")"),"LUQUET")</f>
        <v>LUQUET</v>
      </c>
      <c r="E23190" s="38" t="s">
        <v>200</v>
      </c>
      <c r="F23190" s="38" t="s">
        <v>94</v>
      </c>
      <c r="G23190" s="49" t="str">
        <f t="shared" si="1"/>
        <v>65320</v>
      </c>
      <c r="H23190" s="49">
        <f t="shared" si="2"/>
        <v>65292</v>
      </c>
    </row>
    <row r="23191">
      <c r="A23191" s="48" t="s">
        <v>27726</v>
      </c>
      <c r="B23191" s="38">
        <v>13096.0</v>
      </c>
      <c r="C23191" s="38" t="s">
        <v>27727</v>
      </c>
      <c r="D23191" s="38" t="str">
        <f>IFERROR(__xludf.DUMMYFUNCTION("REGEXREPLACE(C23191,""-\d+(.*)|--\d+(.*)"","""")"),"SAINTES-MARIES-DE-LA-MER")</f>
        <v>SAINTES-MARIES-DE-LA-MER</v>
      </c>
      <c r="E23191" s="38" t="s">
        <v>980</v>
      </c>
      <c r="F23191" s="38" t="s">
        <v>228</v>
      </c>
      <c r="G23191" s="49" t="str">
        <f t="shared" si="1"/>
        <v>13460</v>
      </c>
      <c r="H23191" s="49">
        <f t="shared" si="2"/>
        <v>13096</v>
      </c>
    </row>
    <row r="23192">
      <c r="A23192" s="48" t="s">
        <v>7639</v>
      </c>
      <c r="B23192" s="38">
        <v>11178.0</v>
      </c>
      <c r="C23192" s="38" t="s">
        <v>27728</v>
      </c>
      <c r="D23192" s="38" t="str">
        <f>IFERROR(__xludf.DUMMYFUNCTION("REGEXREPLACE(C23192,""-\d+(.*)|--\d+(.*)"","""")"),"LABASTIDE-D'ANJOU")</f>
        <v>LABASTIDE-D'ANJOU</v>
      </c>
      <c r="E23192" s="38" t="s">
        <v>278</v>
      </c>
      <c r="F23192" s="38" t="s">
        <v>119</v>
      </c>
      <c r="G23192" s="49" t="str">
        <f t="shared" si="1"/>
        <v>11320</v>
      </c>
      <c r="H23192" s="49">
        <f t="shared" si="2"/>
        <v>11178</v>
      </c>
    </row>
    <row r="23193">
      <c r="A23193" s="48" t="s">
        <v>9373</v>
      </c>
      <c r="B23193" s="38">
        <v>84121.0</v>
      </c>
      <c r="C23193" s="38" t="s">
        <v>27729</v>
      </c>
      <c r="D23193" s="38" t="str">
        <f>IFERROR(__xludf.DUMMYFUNCTION("REGEXREPLACE(C23193,""-\d+(.*)|--\d+(.*)"","""")"),"SANNES")</f>
        <v>SANNES</v>
      </c>
      <c r="E23193" s="38" t="s">
        <v>1026</v>
      </c>
      <c r="F23193" s="38" t="s">
        <v>228</v>
      </c>
      <c r="G23193" s="49" t="str">
        <f t="shared" si="1"/>
        <v>84240</v>
      </c>
      <c r="H23193" s="49">
        <f t="shared" si="2"/>
        <v>84121</v>
      </c>
    </row>
    <row r="23194">
      <c r="A23194" s="48" t="s">
        <v>2989</v>
      </c>
      <c r="B23194" s="38">
        <v>70189.0</v>
      </c>
      <c r="C23194" s="38" t="s">
        <v>27730</v>
      </c>
      <c r="D23194" s="38" t="str">
        <f>IFERROR(__xludf.DUMMYFUNCTION("REGEXREPLACE(C23194,""-\d+(.*)|--\d+(.*)"","""")"),"CROMARY")</f>
        <v>CROMARY</v>
      </c>
      <c r="E23194" s="38" t="s">
        <v>956</v>
      </c>
      <c r="F23194" s="38" t="s">
        <v>214</v>
      </c>
      <c r="G23194" s="49" t="str">
        <f t="shared" si="1"/>
        <v>70190</v>
      </c>
      <c r="H23194" s="49">
        <f t="shared" si="2"/>
        <v>70189</v>
      </c>
    </row>
    <row r="23195">
      <c r="A23195" s="48" t="s">
        <v>15222</v>
      </c>
      <c r="B23195" s="38">
        <v>56143.0</v>
      </c>
      <c r="C23195" s="38" t="s">
        <v>27731</v>
      </c>
      <c r="D23195" s="38" t="str">
        <f>IFERROR(__xludf.DUMMYFUNCTION("REGEXREPLACE(C23195,""-\d+(.*)|--\d+(.*)"","""")"),"MUZILLAC")</f>
        <v>MUZILLAC</v>
      </c>
      <c r="E23195" s="38" t="s">
        <v>173</v>
      </c>
      <c r="F23195" s="38" t="s">
        <v>90</v>
      </c>
      <c r="G23195" s="49" t="str">
        <f t="shared" si="1"/>
        <v>56190</v>
      </c>
      <c r="H23195" s="49">
        <f t="shared" si="2"/>
        <v>56143</v>
      </c>
    </row>
    <row r="23196">
      <c r="A23196" s="48" t="s">
        <v>1542</v>
      </c>
      <c r="B23196" s="38">
        <v>24067.0</v>
      </c>
      <c r="C23196" s="38" t="s">
        <v>27732</v>
      </c>
      <c r="D23196" s="38" t="str">
        <f>IFERROR(__xludf.DUMMYFUNCTION("REGEXREPLACE(C23196,""-\d+(.*)|--\d+(.*)"","""")"),"LE BUGUE")</f>
        <v>LE BUGUE</v>
      </c>
      <c r="E23196" s="38" t="s">
        <v>261</v>
      </c>
      <c r="F23196" s="38" t="s">
        <v>252</v>
      </c>
      <c r="G23196" s="49" t="str">
        <f t="shared" si="1"/>
        <v>24260</v>
      </c>
      <c r="H23196" s="49">
        <f t="shared" si="2"/>
        <v>24067</v>
      </c>
    </row>
    <row r="23197">
      <c r="A23197" s="48" t="s">
        <v>3711</v>
      </c>
      <c r="B23197" s="38">
        <v>21516.0</v>
      </c>
      <c r="C23197" s="38" t="s">
        <v>27733</v>
      </c>
      <c r="D23197" s="38" t="str">
        <f>IFERROR(__xludf.DUMMYFUNCTION("REGEXREPLACE(C23197,""-\d+(.*)|--\d+(.*)"","""")"),"QUINCEROT")</f>
        <v>QUINCEROT</v>
      </c>
      <c r="E23197" s="38" t="s">
        <v>105</v>
      </c>
      <c r="F23197" s="38" t="s">
        <v>106</v>
      </c>
      <c r="G23197" s="49" t="str">
        <f t="shared" si="1"/>
        <v>21500</v>
      </c>
      <c r="H23197" s="49">
        <f t="shared" si="2"/>
        <v>21516</v>
      </c>
    </row>
    <row r="23198">
      <c r="A23198" s="48" t="s">
        <v>1686</v>
      </c>
      <c r="B23198" s="38">
        <v>51192.0</v>
      </c>
      <c r="C23198" s="38" t="s">
        <v>27734</v>
      </c>
      <c r="D23198" s="38" t="str">
        <f>IFERROR(__xludf.DUMMYFUNCTION("REGEXREPLACE(C23198,""-\d+(.*)|--\d+(.*)"","""")"),"COURTHIEZY")</f>
        <v>COURTHIEZY</v>
      </c>
      <c r="E23198" s="38" t="s">
        <v>129</v>
      </c>
      <c r="F23198" s="38" t="s">
        <v>130</v>
      </c>
      <c r="G23198" s="49" t="str">
        <f t="shared" si="1"/>
        <v>51700</v>
      </c>
      <c r="H23198" s="49">
        <f t="shared" si="2"/>
        <v>51192</v>
      </c>
    </row>
    <row r="23199">
      <c r="A23199" s="48" t="s">
        <v>3802</v>
      </c>
      <c r="B23199" s="38">
        <v>90071.0</v>
      </c>
      <c r="C23199" s="38" t="s">
        <v>27735</v>
      </c>
      <c r="D23199" s="38" t="str">
        <f>IFERROR(__xludf.DUMMYFUNCTION("REGEXREPLACE(C23199,""-\d+(.*)|--\d+(.*)"","""")"),"MONTREUX-CHATEAU")</f>
        <v>MONTREUX-CHATEAU</v>
      </c>
      <c r="E23199" s="38" t="s">
        <v>1283</v>
      </c>
      <c r="F23199" s="38" t="s">
        <v>214</v>
      </c>
      <c r="G23199" s="49" t="str">
        <f t="shared" si="1"/>
        <v>90130</v>
      </c>
      <c r="H23199" s="49">
        <f t="shared" si="2"/>
        <v>90071</v>
      </c>
    </row>
    <row r="23200">
      <c r="A23200" s="48" t="s">
        <v>2241</v>
      </c>
      <c r="B23200" s="38">
        <v>3106.0</v>
      </c>
      <c r="C23200" s="38" t="s">
        <v>27736</v>
      </c>
      <c r="D23200" s="38" t="str">
        <f>IFERROR(__xludf.DUMMYFUNCTION("REGEXREPLACE(C23200,""-\d+(.*)|--\d+(.*)"","""")"),"DURDAT-LAREQUILLE")</f>
        <v>DURDAT-LAREQUILLE</v>
      </c>
      <c r="E23200" s="38" t="s">
        <v>160</v>
      </c>
      <c r="F23200" s="38" t="s">
        <v>161</v>
      </c>
      <c r="G23200" s="49" t="str">
        <f t="shared" si="1"/>
        <v>03310</v>
      </c>
      <c r="H23200" s="49" t="str">
        <f t="shared" si="2"/>
        <v>03106</v>
      </c>
    </row>
    <row r="23201">
      <c r="A23201" s="48" t="s">
        <v>8508</v>
      </c>
      <c r="B23201" s="38">
        <v>87018.0</v>
      </c>
      <c r="C23201" s="38" t="s">
        <v>27737</v>
      </c>
      <c r="D23201" s="38" t="str">
        <f>IFERROR(__xludf.DUMMYFUNCTION("REGEXREPLACE(C23201,""-\d+(.*)|--\d+(.*)"","""")"),"BLOND")</f>
        <v>BLOND</v>
      </c>
      <c r="E23201" s="38" t="s">
        <v>897</v>
      </c>
      <c r="F23201" s="38" t="s">
        <v>98</v>
      </c>
      <c r="G23201" s="49" t="str">
        <f t="shared" si="1"/>
        <v>87300</v>
      </c>
      <c r="H23201" s="49">
        <f t="shared" si="2"/>
        <v>87018</v>
      </c>
    </row>
    <row r="23202">
      <c r="A23202" s="48" t="s">
        <v>4926</v>
      </c>
      <c r="B23202" s="38">
        <v>14716.0</v>
      </c>
      <c r="C23202" s="38" t="s">
        <v>27738</v>
      </c>
      <c r="D23202" s="38" t="str">
        <f>IFERROR(__xludf.DUMMYFUNCTION("REGEXREPLACE(C23202,""-\d+(.*)|--\d+(.*)"","""")"),"TRUNGY")</f>
        <v>TRUNGY</v>
      </c>
      <c r="E23202" s="38" t="s">
        <v>137</v>
      </c>
      <c r="F23202" s="38" t="s">
        <v>138</v>
      </c>
      <c r="G23202" s="49" t="str">
        <f t="shared" si="1"/>
        <v>14490</v>
      </c>
      <c r="H23202" s="49">
        <f t="shared" si="2"/>
        <v>14716</v>
      </c>
    </row>
    <row r="23203">
      <c r="A23203" s="48" t="s">
        <v>13968</v>
      </c>
      <c r="B23203" s="38">
        <v>50483.0</v>
      </c>
      <c r="C23203" s="38" t="s">
        <v>2153</v>
      </c>
      <c r="D23203" s="38" t="str">
        <f>IFERROR(__xludf.DUMMYFUNCTION("REGEXREPLACE(C23203,""-\d+(.*)|--\d+(.*)"","""")"),"SAINT-GILLES")</f>
        <v>SAINT-GILLES</v>
      </c>
      <c r="E23203" s="38" t="s">
        <v>157</v>
      </c>
      <c r="F23203" s="38" t="s">
        <v>138</v>
      </c>
      <c r="G23203" s="49" t="str">
        <f t="shared" si="1"/>
        <v>50180</v>
      </c>
      <c r="H23203" s="49">
        <f t="shared" si="2"/>
        <v>50483</v>
      </c>
    </row>
    <row r="23204">
      <c r="A23204" s="48" t="s">
        <v>1864</v>
      </c>
      <c r="B23204" s="38">
        <v>70040.0</v>
      </c>
      <c r="C23204" s="38" t="s">
        <v>27739</v>
      </c>
      <c r="D23204" s="38" t="str">
        <f>IFERROR(__xludf.DUMMYFUNCTION("REGEXREPLACE(C23204,""-\d+(.*)|--\d+(.*)"","""")"),"AUTREY-LES-CERRE")</f>
        <v>AUTREY-LES-CERRE</v>
      </c>
      <c r="E23204" s="38" t="s">
        <v>956</v>
      </c>
      <c r="F23204" s="38" t="s">
        <v>214</v>
      </c>
      <c r="G23204" s="49" t="str">
        <f t="shared" si="1"/>
        <v>70110</v>
      </c>
      <c r="H23204" s="49">
        <f t="shared" si="2"/>
        <v>70040</v>
      </c>
    </row>
    <row r="23205">
      <c r="A23205" s="48" t="s">
        <v>1356</v>
      </c>
      <c r="B23205" s="38">
        <v>57377.0</v>
      </c>
      <c r="C23205" s="38" t="s">
        <v>27740</v>
      </c>
      <c r="D23205" s="38" t="str">
        <f>IFERROR(__xludf.DUMMYFUNCTION("REGEXREPLACE(C23205,""-\d+(.*)|--\d+(.*)"","""")"),"LANDANGE")</f>
        <v>LANDANGE</v>
      </c>
      <c r="E23205" s="38" t="s">
        <v>303</v>
      </c>
      <c r="F23205" s="38" t="s">
        <v>195</v>
      </c>
      <c r="G23205" s="49" t="str">
        <f t="shared" si="1"/>
        <v>57830</v>
      </c>
      <c r="H23205" s="49">
        <f t="shared" si="2"/>
        <v>57377</v>
      </c>
    </row>
    <row r="23206">
      <c r="A23206" s="48" t="s">
        <v>4738</v>
      </c>
      <c r="B23206" s="38">
        <v>53116.0</v>
      </c>
      <c r="C23206" s="38" t="s">
        <v>27741</v>
      </c>
      <c r="D23206" s="38" t="str">
        <f>IFERROR(__xludf.DUMMYFUNCTION("REGEXREPLACE(C23206,""-\d+(.*)|--\d+(.*)"","""")"),"LE HORPS")</f>
        <v>LE HORPS</v>
      </c>
      <c r="E23206" s="38" t="s">
        <v>518</v>
      </c>
      <c r="F23206" s="38" t="s">
        <v>180</v>
      </c>
      <c r="G23206" s="49" t="str">
        <f t="shared" si="1"/>
        <v>53640</v>
      </c>
      <c r="H23206" s="49">
        <f t="shared" si="2"/>
        <v>53116</v>
      </c>
    </row>
    <row r="23207">
      <c r="A23207" s="48" t="s">
        <v>8149</v>
      </c>
      <c r="B23207" s="38">
        <v>63349.0</v>
      </c>
      <c r="C23207" s="38" t="s">
        <v>27742</v>
      </c>
      <c r="D23207" s="38" t="str">
        <f>IFERROR(__xludf.DUMMYFUNCTION("REGEXREPLACE(C23207,""-\d+(.*)|--\d+(.*)"","""")"),"SAINT-GEORGES-DE-MONS")</f>
        <v>SAINT-GEORGES-DE-MONS</v>
      </c>
      <c r="E23207" s="38" t="s">
        <v>353</v>
      </c>
      <c r="F23207" s="38" t="s">
        <v>161</v>
      </c>
      <c r="G23207" s="49" t="str">
        <f t="shared" si="1"/>
        <v>63780</v>
      </c>
      <c r="H23207" s="49">
        <f t="shared" si="2"/>
        <v>63349</v>
      </c>
    </row>
    <row r="23208">
      <c r="A23208" s="48" t="s">
        <v>1437</v>
      </c>
      <c r="B23208" s="38">
        <v>39017.0</v>
      </c>
      <c r="C23208" s="38" t="s">
        <v>27743</v>
      </c>
      <c r="D23208" s="38" t="str">
        <f>IFERROR(__xludf.DUMMYFUNCTION("REGEXREPLACE(C23208,""-\d+(.*)|--\d+(.*)"","""")"),"ARLAY")</f>
        <v>ARLAY</v>
      </c>
      <c r="E23208" s="38" t="s">
        <v>400</v>
      </c>
      <c r="F23208" s="38" t="s">
        <v>214</v>
      </c>
      <c r="G23208" s="49" t="str">
        <f t="shared" si="1"/>
        <v>39140</v>
      </c>
      <c r="H23208" s="49">
        <f t="shared" si="2"/>
        <v>39017</v>
      </c>
    </row>
    <row r="23209">
      <c r="A23209" s="48" t="s">
        <v>1579</v>
      </c>
      <c r="B23209" s="38">
        <v>63170.0</v>
      </c>
      <c r="C23209" s="38" t="s">
        <v>27744</v>
      </c>
      <c r="D23209" s="38" t="str">
        <f>IFERROR(__xludf.DUMMYFUNCTION("REGEXREPLACE(C23209,""-\d+(.*)|--\d+(.*)"","""")"),"LA GOUTELLE")</f>
        <v>LA GOUTELLE</v>
      </c>
      <c r="E23209" s="38" t="s">
        <v>353</v>
      </c>
      <c r="F23209" s="38" t="s">
        <v>161</v>
      </c>
      <c r="G23209" s="49" t="str">
        <f t="shared" si="1"/>
        <v>63230</v>
      </c>
      <c r="H23209" s="49">
        <f t="shared" si="2"/>
        <v>63170</v>
      </c>
    </row>
    <row r="23210">
      <c r="A23210" s="48" t="s">
        <v>27745</v>
      </c>
      <c r="B23210" s="38">
        <v>93077.0</v>
      </c>
      <c r="C23210" s="38" t="s">
        <v>27746</v>
      </c>
      <c r="D23210" s="38" t="str">
        <f>IFERROR(__xludf.DUMMYFUNCTION("REGEXREPLACE(C23210,""-\d+(.*)|--\d+(.*)"","""")"),"VILLEMOMBLE")</f>
        <v>VILLEMOMBLE</v>
      </c>
      <c r="E23210" s="38" t="s">
        <v>341</v>
      </c>
      <c r="F23210" s="38" t="s">
        <v>245</v>
      </c>
      <c r="G23210" s="49" t="str">
        <f t="shared" si="1"/>
        <v>93250</v>
      </c>
      <c r="H23210" s="49">
        <f t="shared" si="2"/>
        <v>93077</v>
      </c>
    </row>
    <row r="23211">
      <c r="A23211" s="48" t="s">
        <v>25344</v>
      </c>
      <c r="B23211" s="38">
        <v>40246.0</v>
      </c>
      <c r="C23211" s="38" t="s">
        <v>27747</v>
      </c>
      <c r="D23211" s="38" t="str">
        <f>IFERROR(__xludf.DUMMYFUNCTION("REGEXREPLACE(C23211,""-\d+(.*)|--\d+(.*)"","""")"),"SABRES")</f>
        <v>SABRES</v>
      </c>
      <c r="E23211" s="38" t="s">
        <v>281</v>
      </c>
      <c r="F23211" s="38" t="s">
        <v>252</v>
      </c>
      <c r="G23211" s="49" t="str">
        <f t="shared" si="1"/>
        <v>40630</v>
      </c>
      <c r="H23211" s="49">
        <f t="shared" si="2"/>
        <v>40246</v>
      </c>
    </row>
    <row r="23212">
      <c r="A23212" s="48" t="s">
        <v>9257</v>
      </c>
      <c r="B23212" s="38">
        <v>11131.0</v>
      </c>
      <c r="C23212" s="38" t="s">
        <v>27748</v>
      </c>
      <c r="D23212" s="38" t="str">
        <f>IFERROR(__xludf.DUMMYFUNCTION("REGEXREPLACE(C23212,""-\d+(.*)|--\d+(.*)"","""")"),"FA")</f>
        <v>FA</v>
      </c>
      <c r="E23212" s="38" t="s">
        <v>278</v>
      </c>
      <c r="F23212" s="38" t="s">
        <v>119</v>
      </c>
      <c r="G23212" s="49" t="str">
        <f t="shared" si="1"/>
        <v>11260</v>
      </c>
      <c r="H23212" s="49">
        <f t="shared" si="2"/>
        <v>11131</v>
      </c>
    </row>
    <row r="23213">
      <c r="A23213" s="48" t="s">
        <v>1317</v>
      </c>
      <c r="B23213" s="38">
        <v>8500.0</v>
      </c>
      <c r="C23213" s="38" t="s">
        <v>27749</v>
      </c>
      <c r="D23213" s="38" t="str">
        <f>IFERROR(__xludf.DUMMYFUNCTION("REGEXREPLACE(C23213,""-\d+(.*)|--\d+(.*)"","""")"),"WIGNICOURT")</f>
        <v>WIGNICOURT</v>
      </c>
      <c r="E23213" s="38" t="s">
        <v>327</v>
      </c>
      <c r="F23213" s="38" t="s">
        <v>130</v>
      </c>
      <c r="G23213" s="49" t="str">
        <f t="shared" si="1"/>
        <v>08270</v>
      </c>
      <c r="H23213" s="49" t="str">
        <f t="shared" si="2"/>
        <v>08500</v>
      </c>
    </row>
    <row r="23214">
      <c r="A23214" s="48" t="s">
        <v>1274</v>
      </c>
      <c r="B23214" s="38">
        <v>33031.0</v>
      </c>
      <c r="C23214" s="38" t="s">
        <v>27750</v>
      </c>
      <c r="D23214" s="38" t="str">
        <f>IFERROR(__xludf.DUMMYFUNCTION("REGEXREPLACE(C23214,""-\d+(.*)|--\d+(.*)"","""")"),"BASSANNE")</f>
        <v>BASSANNE</v>
      </c>
      <c r="E23214" s="38" t="s">
        <v>462</v>
      </c>
      <c r="F23214" s="38" t="s">
        <v>252</v>
      </c>
      <c r="G23214" s="49" t="str">
        <f t="shared" si="1"/>
        <v>33190</v>
      </c>
      <c r="H23214" s="49">
        <f t="shared" si="2"/>
        <v>33031</v>
      </c>
    </row>
    <row r="23215">
      <c r="A23215" s="48" t="s">
        <v>5008</v>
      </c>
      <c r="B23215" s="38">
        <v>76688.0</v>
      </c>
      <c r="C23215" s="38" t="s">
        <v>27751</v>
      </c>
      <c r="D23215" s="38" t="str">
        <f>IFERROR(__xludf.DUMMYFUNCTION("REGEXREPLACE(C23215,""-\d+(.*)|--\d+(.*)"","""")"),"THIERGEVILLE")</f>
        <v>THIERGEVILLE</v>
      </c>
      <c r="E23215" s="38" t="s">
        <v>133</v>
      </c>
      <c r="F23215" s="38" t="s">
        <v>134</v>
      </c>
      <c r="G23215" s="49" t="str">
        <f t="shared" si="1"/>
        <v>76540</v>
      </c>
      <c r="H23215" s="49">
        <f t="shared" si="2"/>
        <v>76688</v>
      </c>
    </row>
    <row r="23216">
      <c r="A23216" s="48" t="s">
        <v>7712</v>
      </c>
      <c r="B23216" s="38">
        <v>9049.0</v>
      </c>
      <c r="C23216" s="38" t="s">
        <v>18543</v>
      </c>
      <c r="D23216" s="38" t="str">
        <f>IFERROR(__xludf.DUMMYFUNCTION("REGEXREPLACE(C23216,""-\d+(.*)|--\d+(.*)"","""")"),"BENAC")</f>
        <v>BENAC</v>
      </c>
      <c r="E23216" s="38" t="s">
        <v>238</v>
      </c>
      <c r="F23216" s="38" t="s">
        <v>94</v>
      </c>
      <c r="G23216" s="49" t="str">
        <f t="shared" si="1"/>
        <v>09000</v>
      </c>
      <c r="H23216" s="49" t="str">
        <f t="shared" si="2"/>
        <v>09049</v>
      </c>
    </row>
    <row r="23217">
      <c r="A23217" s="48" t="s">
        <v>2111</v>
      </c>
      <c r="B23217" s="38">
        <v>77464.0</v>
      </c>
      <c r="C23217" s="38" t="s">
        <v>27752</v>
      </c>
      <c r="D23217" s="38" t="str">
        <f>IFERROR(__xludf.DUMMYFUNCTION("REGEXREPLACE(C23217,""-\d+(.*)|--\d+(.*)"","""")"),"THORIGNY-SUR-MARNE")</f>
        <v>THORIGNY-SUR-MARNE</v>
      </c>
      <c r="E23217" s="38" t="s">
        <v>244</v>
      </c>
      <c r="F23217" s="38" t="s">
        <v>245</v>
      </c>
      <c r="G23217" s="49" t="str">
        <f t="shared" si="1"/>
        <v>77400</v>
      </c>
      <c r="H23217" s="49">
        <f t="shared" si="2"/>
        <v>77464</v>
      </c>
    </row>
    <row r="23218">
      <c r="A23218" s="48" t="s">
        <v>3618</v>
      </c>
      <c r="B23218" s="38">
        <v>31177.0</v>
      </c>
      <c r="C23218" s="38" t="s">
        <v>27753</v>
      </c>
      <c r="D23218" s="38" t="str">
        <f>IFERROR(__xludf.DUMMYFUNCTION("REGEXREPLACE(C23218,""-\d+(.*)|--\d+(.*)"","""")"),"EUP")</f>
        <v>EUP</v>
      </c>
      <c r="E23218" s="38" t="s">
        <v>93</v>
      </c>
      <c r="F23218" s="38" t="s">
        <v>94</v>
      </c>
      <c r="G23218" s="49" t="str">
        <f t="shared" si="1"/>
        <v>31440</v>
      </c>
      <c r="H23218" s="49">
        <f t="shared" si="2"/>
        <v>31177</v>
      </c>
    </row>
    <row r="23219">
      <c r="A23219" s="48" t="s">
        <v>27754</v>
      </c>
      <c r="B23219" s="38">
        <v>83036.0</v>
      </c>
      <c r="C23219" s="38" t="s">
        <v>27755</v>
      </c>
      <c r="D23219" s="38" t="str">
        <f>IFERROR(__xludf.DUMMYFUNCTION("REGEXREPLACE(C23219,""-\d+(.*)|--\d+(.*)"","""")"),"CAVALAIRE-SUR-MER")</f>
        <v>CAVALAIRE-SUR-MER</v>
      </c>
      <c r="E23219" s="38" t="s">
        <v>813</v>
      </c>
      <c r="F23219" s="38" t="s">
        <v>228</v>
      </c>
      <c r="G23219" s="49" t="str">
        <f t="shared" si="1"/>
        <v>83240</v>
      </c>
      <c r="H23219" s="49">
        <f t="shared" si="2"/>
        <v>83036</v>
      </c>
    </row>
    <row r="23220">
      <c r="A23220" s="48" t="s">
        <v>2349</v>
      </c>
      <c r="B23220" s="38">
        <v>62526.0</v>
      </c>
      <c r="C23220" s="38" t="s">
        <v>7168</v>
      </c>
      <c r="D23220" s="38" t="str">
        <f>IFERROR(__xludf.DUMMYFUNCTION("REGEXREPLACE(C23220,""-\d+(.*)|--\d+(.*)"","""")"),"LONGUEVILLE")</f>
        <v>LONGUEVILLE</v>
      </c>
      <c r="E23220" s="38" t="s">
        <v>109</v>
      </c>
      <c r="F23220" s="38" t="s">
        <v>86</v>
      </c>
      <c r="G23220" s="49" t="str">
        <f t="shared" si="1"/>
        <v>62142</v>
      </c>
      <c r="H23220" s="49">
        <f t="shared" si="2"/>
        <v>62526</v>
      </c>
    </row>
    <row r="23221">
      <c r="A23221" s="48" t="s">
        <v>1114</v>
      </c>
      <c r="B23221" s="38">
        <v>2362.0</v>
      </c>
      <c r="C23221" s="38" t="s">
        <v>27756</v>
      </c>
      <c r="D23221" s="38" t="str">
        <f>IFERROR(__xludf.DUMMYFUNCTION("REGEXREPLACE(C23221,""-\d+(.*)|--\d+(.*)"","""")"),"GUIVRY")</f>
        <v>GUIVRY</v>
      </c>
      <c r="E23221" s="38" t="s">
        <v>191</v>
      </c>
      <c r="F23221" s="38" t="s">
        <v>113</v>
      </c>
      <c r="G23221" s="49" t="str">
        <f t="shared" si="1"/>
        <v>02300</v>
      </c>
      <c r="H23221" s="49" t="str">
        <f t="shared" si="2"/>
        <v>02362</v>
      </c>
    </row>
    <row r="23222">
      <c r="A23222" s="48" t="s">
        <v>91</v>
      </c>
      <c r="B23222" s="38">
        <v>31047.0</v>
      </c>
      <c r="C23222" s="38" t="s">
        <v>27757</v>
      </c>
      <c r="D23222" s="38" t="str">
        <f>IFERROR(__xludf.DUMMYFUNCTION("REGEXREPLACE(C23222,""-\d+(.*)|--\d+(.*)"","""")"),"BAX")</f>
        <v>BAX</v>
      </c>
      <c r="E23222" s="38" t="s">
        <v>93</v>
      </c>
      <c r="F23222" s="38" t="s">
        <v>94</v>
      </c>
      <c r="G23222" s="49" t="str">
        <f t="shared" si="1"/>
        <v>31310</v>
      </c>
      <c r="H23222" s="49">
        <f t="shared" si="2"/>
        <v>31047</v>
      </c>
    </row>
    <row r="23223">
      <c r="A23223" s="48" t="s">
        <v>5477</v>
      </c>
      <c r="B23223" s="38">
        <v>74105.0</v>
      </c>
      <c r="C23223" s="38" t="s">
        <v>27758</v>
      </c>
      <c r="D23223" s="38" t="str">
        <f>IFERROR(__xludf.DUMMYFUNCTION("REGEXREPLACE(C23223,""-\d+(.*)|--\d+(.*)"","""")"),"DOUVAINE")</f>
        <v>DOUVAINE</v>
      </c>
      <c r="E23223" s="38" t="s">
        <v>319</v>
      </c>
      <c r="F23223" s="38" t="s">
        <v>102</v>
      </c>
      <c r="G23223" s="49" t="str">
        <f t="shared" si="1"/>
        <v>74140</v>
      </c>
      <c r="H23223" s="49">
        <f t="shared" si="2"/>
        <v>74105</v>
      </c>
    </row>
    <row r="23224">
      <c r="A23224" s="48" t="s">
        <v>4701</v>
      </c>
      <c r="B23224" s="38">
        <v>62800.0</v>
      </c>
      <c r="C23224" s="38" t="s">
        <v>27759</v>
      </c>
      <c r="D23224" s="38" t="str">
        <f>IFERROR(__xludf.DUMMYFUNCTION("REGEXREPLACE(C23224,""-\d+(.*)|--\d+(.*)"","""")"),"SOUASTRE")</f>
        <v>SOUASTRE</v>
      </c>
      <c r="E23224" s="38" t="s">
        <v>109</v>
      </c>
      <c r="F23224" s="38" t="s">
        <v>86</v>
      </c>
      <c r="G23224" s="49" t="str">
        <f t="shared" si="1"/>
        <v>62111</v>
      </c>
      <c r="H23224" s="49">
        <f t="shared" si="2"/>
        <v>62800</v>
      </c>
    </row>
    <row r="23225">
      <c r="A23225" s="48" t="s">
        <v>5063</v>
      </c>
      <c r="B23225" s="38">
        <v>24418.0</v>
      </c>
      <c r="C23225" s="38" t="s">
        <v>27760</v>
      </c>
      <c r="D23225" s="38" t="str">
        <f>IFERROR(__xludf.DUMMYFUNCTION("REGEXREPLACE(C23225,""-\d+(.*)|--\d+(.*)"","""")"),"SAINT-GERMAIN-DU-SALEMBRE")</f>
        <v>SAINT-GERMAIN-DU-SALEMBRE</v>
      </c>
      <c r="E23225" s="38" t="s">
        <v>261</v>
      </c>
      <c r="F23225" s="38" t="s">
        <v>252</v>
      </c>
      <c r="G23225" s="49" t="str">
        <f t="shared" si="1"/>
        <v>24190</v>
      </c>
      <c r="H23225" s="49">
        <f t="shared" si="2"/>
        <v>24418</v>
      </c>
    </row>
    <row r="23226">
      <c r="A23226" s="48" t="s">
        <v>16541</v>
      </c>
      <c r="B23226" s="38">
        <v>71206.0</v>
      </c>
      <c r="C23226" s="38" t="s">
        <v>10128</v>
      </c>
      <c r="D23226" s="38" t="str">
        <f>IFERROR(__xludf.DUMMYFUNCTION("REGEXREPLACE(C23226,""-\d+(.*)|--\d+(.*)"","""")"),"LA FRETTE")</f>
        <v>LA FRETTE</v>
      </c>
      <c r="E23226" s="38" t="s">
        <v>344</v>
      </c>
      <c r="F23226" s="38" t="s">
        <v>106</v>
      </c>
      <c r="G23226" s="49" t="str">
        <f t="shared" si="1"/>
        <v>71440</v>
      </c>
      <c r="H23226" s="49">
        <f t="shared" si="2"/>
        <v>71206</v>
      </c>
    </row>
    <row r="23227">
      <c r="A23227" s="48" t="s">
        <v>6038</v>
      </c>
      <c r="B23227" s="38">
        <v>88360.0</v>
      </c>
      <c r="C23227" s="38" t="s">
        <v>27761</v>
      </c>
      <c r="D23227" s="38" t="str">
        <f>IFERROR(__xludf.DUMMYFUNCTION("REGEXREPLACE(C23227,""-\d+(.*)|--\d+(.*)"","""")"),"PROVENCHERES-LES-DARNEY")</f>
        <v>PROVENCHERES-LES-DARNEY</v>
      </c>
      <c r="E23227" s="38" t="s">
        <v>194</v>
      </c>
      <c r="F23227" s="38" t="s">
        <v>195</v>
      </c>
      <c r="G23227" s="49" t="str">
        <f t="shared" si="1"/>
        <v>88260</v>
      </c>
      <c r="H23227" s="49">
        <f t="shared" si="2"/>
        <v>88360</v>
      </c>
    </row>
    <row r="23228">
      <c r="A23228" s="48" t="s">
        <v>1284</v>
      </c>
      <c r="B23228" s="38">
        <v>9215.0</v>
      </c>
      <c r="C23228" s="38" t="s">
        <v>27762</v>
      </c>
      <c r="D23228" s="38" t="str">
        <f>IFERROR(__xludf.DUMMYFUNCTION("REGEXREPLACE(C23228,""-\d+(.*)|--\d+(.*)"","""")"),"NALZEN")</f>
        <v>NALZEN</v>
      </c>
      <c r="E23228" s="38" t="s">
        <v>238</v>
      </c>
      <c r="F23228" s="38" t="s">
        <v>94</v>
      </c>
      <c r="G23228" s="49" t="str">
        <f t="shared" si="1"/>
        <v>09300</v>
      </c>
      <c r="H23228" s="49" t="str">
        <f t="shared" si="2"/>
        <v>09215</v>
      </c>
    </row>
    <row r="23229">
      <c r="A23229" s="48" t="s">
        <v>1695</v>
      </c>
      <c r="B23229" s="38">
        <v>80505.0</v>
      </c>
      <c r="C23229" s="38" t="s">
        <v>27763</v>
      </c>
      <c r="D23229" s="38" t="str">
        <f>IFERROR(__xludf.DUMMYFUNCTION("REGEXREPLACE(C23229,""-\d+(.*)|--\d+(.*)"","""")"),"MAMETZ")</f>
        <v>MAMETZ</v>
      </c>
      <c r="E23229" s="38" t="s">
        <v>224</v>
      </c>
      <c r="F23229" s="38" t="s">
        <v>113</v>
      </c>
      <c r="G23229" s="49" t="str">
        <f t="shared" si="1"/>
        <v>80300</v>
      </c>
      <c r="H23229" s="49">
        <f t="shared" si="2"/>
        <v>80505</v>
      </c>
    </row>
    <row r="23230">
      <c r="A23230" s="48" t="s">
        <v>2848</v>
      </c>
      <c r="B23230" s="38">
        <v>51560.0</v>
      </c>
      <c r="C23230" s="38" t="s">
        <v>27764</v>
      </c>
      <c r="D23230" s="38" t="str">
        <f>IFERROR(__xludf.DUMMYFUNCTION("REGEXREPLACE(C23230,""-\d+(.*)|--\d+(.*)"","""")"),"SUIZY-LE-FRANC")</f>
        <v>SUIZY-LE-FRANC</v>
      </c>
      <c r="E23230" s="38" t="s">
        <v>129</v>
      </c>
      <c r="F23230" s="38" t="s">
        <v>130</v>
      </c>
      <c r="G23230" s="49" t="str">
        <f t="shared" si="1"/>
        <v>51270</v>
      </c>
      <c r="H23230" s="49">
        <f t="shared" si="2"/>
        <v>51560</v>
      </c>
    </row>
    <row r="23231">
      <c r="A23231" s="48" t="s">
        <v>4340</v>
      </c>
      <c r="B23231" s="38">
        <v>33403.0</v>
      </c>
      <c r="C23231" s="38" t="s">
        <v>27765</v>
      </c>
      <c r="D23231" s="38" t="str">
        <f>IFERROR(__xludf.DUMMYFUNCTION("REGEXREPLACE(C23231,""-\d+(.*)|--\d+(.*)"","""")"),"SAINTE-FOY-LA-LONGUE")</f>
        <v>SAINTE-FOY-LA-LONGUE</v>
      </c>
      <c r="E23231" s="38" t="s">
        <v>462</v>
      </c>
      <c r="F23231" s="38" t="s">
        <v>252</v>
      </c>
      <c r="G23231" s="49" t="str">
        <f t="shared" si="1"/>
        <v>33490</v>
      </c>
      <c r="H23231" s="49">
        <f t="shared" si="2"/>
        <v>33403</v>
      </c>
    </row>
    <row r="23232">
      <c r="A23232" s="48" t="s">
        <v>15924</v>
      </c>
      <c r="B23232" s="38">
        <v>57616.0</v>
      </c>
      <c r="C23232" s="38" t="s">
        <v>27766</v>
      </c>
      <c r="D23232" s="38" t="str">
        <f>IFERROR(__xludf.DUMMYFUNCTION("REGEXREPLACE(C23232,""-\d+(.*)|--\d+(.*)"","""")"),"SAINT-JULIEN-LES-METZ")</f>
        <v>SAINT-JULIEN-LES-METZ</v>
      </c>
      <c r="E23232" s="38" t="s">
        <v>303</v>
      </c>
      <c r="F23232" s="38" t="s">
        <v>195</v>
      </c>
      <c r="G23232" s="49" t="str">
        <f t="shared" si="1"/>
        <v>57070</v>
      </c>
      <c r="H23232" s="49">
        <f t="shared" si="2"/>
        <v>57616</v>
      </c>
    </row>
    <row r="23233">
      <c r="A23233" s="48" t="s">
        <v>5563</v>
      </c>
      <c r="B23233" s="38">
        <v>32337.0</v>
      </c>
      <c r="C23233" s="38" t="s">
        <v>27767</v>
      </c>
      <c r="D23233" s="38" t="str">
        <f>IFERROR(__xludf.DUMMYFUNCTION("REGEXREPLACE(C23233,""-\d+(.*)|--\d+(.*)"","""")"),"PUYSEGUR")</f>
        <v>PUYSEGUR</v>
      </c>
      <c r="E23233" s="38" t="s">
        <v>440</v>
      </c>
      <c r="F23233" s="38" t="s">
        <v>94</v>
      </c>
      <c r="G23233" s="49" t="str">
        <f t="shared" si="1"/>
        <v>32390</v>
      </c>
      <c r="H23233" s="49">
        <f t="shared" si="2"/>
        <v>32337</v>
      </c>
    </row>
    <row r="23234">
      <c r="A23234" s="48" t="s">
        <v>6918</v>
      </c>
      <c r="B23234" s="38">
        <v>86027.0</v>
      </c>
      <c r="C23234" s="38" t="s">
        <v>27768</v>
      </c>
      <c r="D23234" s="38" t="str">
        <f>IFERROR(__xludf.DUMMYFUNCTION("REGEXREPLACE(C23234,""-\d+(.*)|--\d+(.*)"","""")"),"BIARD")</f>
        <v>BIARD</v>
      </c>
      <c r="E23234" s="38" t="s">
        <v>529</v>
      </c>
      <c r="F23234" s="38" t="s">
        <v>338</v>
      </c>
      <c r="G23234" s="49" t="str">
        <f t="shared" si="1"/>
        <v>86580</v>
      </c>
      <c r="H23234" s="49">
        <f t="shared" si="2"/>
        <v>86027</v>
      </c>
    </row>
    <row r="23235">
      <c r="A23235" s="48" t="s">
        <v>6019</v>
      </c>
      <c r="B23235" s="38">
        <v>39238.0</v>
      </c>
      <c r="C23235" s="38" t="s">
        <v>27769</v>
      </c>
      <c r="D23235" s="38" t="str">
        <f>IFERROR(__xludf.DUMMYFUNCTION("REGEXREPLACE(C23235,""-\d+(.*)|--\d+(.*)"","""")"),"FRASNE-LES-MEULIERES")</f>
        <v>FRASNE-LES-MEULIERES</v>
      </c>
      <c r="E23235" s="38" t="s">
        <v>400</v>
      </c>
      <c r="F23235" s="38" t="s">
        <v>214</v>
      </c>
      <c r="G23235" s="49" t="str">
        <f t="shared" si="1"/>
        <v>39290</v>
      </c>
      <c r="H23235" s="49">
        <f t="shared" si="2"/>
        <v>39238</v>
      </c>
    </row>
    <row r="23236">
      <c r="A23236" s="48" t="s">
        <v>5370</v>
      </c>
      <c r="B23236" s="38">
        <v>15040.0</v>
      </c>
      <c r="C23236" s="38" t="s">
        <v>27770</v>
      </c>
      <c r="D23236" s="38" t="str">
        <f>IFERROR(__xludf.DUMMYFUNCTION("REGEXREPLACE(C23236,""-\d+(.*)|--\d+(.*)"","""")"),"CHANTERELLE")</f>
        <v>CHANTERELLE</v>
      </c>
      <c r="E23236" s="38" t="s">
        <v>632</v>
      </c>
      <c r="F23236" s="38" t="s">
        <v>161</v>
      </c>
      <c r="G23236" s="49" t="str">
        <f t="shared" si="1"/>
        <v>15190</v>
      </c>
      <c r="H23236" s="49">
        <f t="shared" si="2"/>
        <v>15040</v>
      </c>
    </row>
    <row r="23237">
      <c r="A23237" s="48" t="s">
        <v>8950</v>
      </c>
      <c r="B23237" s="38">
        <v>53018.0</v>
      </c>
      <c r="C23237" s="38" t="s">
        <v>27771</v>
      </c>
      <c r="D23237" s="38" t="str">
        <f>IFERROR(__xludf.DUMMYFUNCTION("REGEXREPLACE(C23237,""-\d+(.*)|--\d+(.*)"","""")"),"BALLOTS")</f>
        <v>BALLOTS</v>
      </c>
      <c r="E23237" s="38" t="s">
        <v>518</v>
      </c>
      <c r="F23237" s="38" t="s">
        <v>180</v>
      </c>
      <c r="G23237" s="49" t="str">
        <f t="shared" si="1"/>
        <v>53350</v>
      </c>
      <c r="H23237" s="49">
        <f t="shared" si="2"/>
        <v>53018</v>
      </c>
    </row>
    <row r="23238">
      <c r="A23238" s="48" t="s">
        <v>2261</v>
      </c>
      <c r="B23238" s="38">
        <v>9058.0</v>
      </c>
      <c r="C23238" s="38" t="s">
        <v>24847</v>
      </c>
      <c r="D23238" s="38" t="str">
        <f>IFERROR(__xludf.DUMMYFUNCTION("REGEXREPLACE(C23238,""-\d+(.*)|--\d+(.*)"","""")"),"BOMPAS")</f>
        <v>BOMPAS</v>
      </c>
      <c r="E23238" s="38" t="s">
        <v>238</v>
      </c>
      <c r="F23238" s="38" t="s">
        <v>94</v>
      </c>
      <c r="G23238" s="49" t="str">
        <f t="shared" si="1"/>
        <v>09400</v>
      </c>
      <c r="H23238" s="49" t="str">
        <f t="shared" si="2"/>
        <v>09058</v>
      </c>
    </row>
    <row r="23239">
      <c r="A23239" s="48" t="s">
        <v>1195</v>
      </c>
      <c r="B23239" s="38">
        <v>80693.0</v>
      </c>
      <c r="C23239" s="38" t="s">
        <v>27772</v>
      </c>
      <c r="D23239" s="38" t="str">
        <f>IFERROR(__xludf.DUMMYFUNCTION("REGEXREPLACE(C23239,""-\d+(.*)|--\d+(.*)"","""")"),"SAILLY-LAURETTE")</f>
        <v>SAILLY-LAURETTE</v>
      </c>
      <c r="E23239" s="38" t="s">
        <v>224</v>
      </c>
      <c r="F23239" s="38" t="s">
        <v>113</v>
      </c>
      <c r="G23239" s="49" t="str">
        <f t="shared" si="1"/>
        <v>80800</v>
      </c>
      <c r="H23239" s="49">
        <f t="shared" si="2"/>
        <v>80693</v>
      </c>
    </row>
    <row r="23240">
      <c r="A23240" s="48" t="s">
        <v>1112</v>
      </c>
      <c r="B23240" s="38">
        <v>18217.0</v>
      </c>
      <c r="C23240" s="38" t="s">
        <v>27773</v>
      </c>
      <c r="D23240" s="38" t="str">
        <f>IFERROR(__xludf.DUMMYFUNCTION("REGEXREPLACE(C23240,""-\d+(.*)|--\d+(.*)"","""")"),"SAINT-JEANVRIN")</f>
        <v>SAINT-JEANVRIN</v>
      </c>
      <c r="E23240" s="38" t="s">
        <v>504</v>
      </c>
      <c r="F23240" s="38" t="s">
        <v>123</v>
      </c>
      <c r="G23240" s="49" t="str">
        <f t="shared" si="1"/>
        <v>18370</v>
      </c>
      <c r="H23240" s="49">
        <f t="shared" si="2"/>
        <v>18217</v>
      </c>
    </row>
    <row r="23241">
      <c r="A23241" s="48" t="s">
        <v>6034</v>
      </c>
      <c r="B23241" s="38">
        <v>69176.0</v>
      </c>
      <c r="C23241" s="38" t="s">
        <v>27774</v>
      </c>
      <c r="D23241" s="38" t="str">
        <f>IFERROR(__xludf.DUMMYFUNCTION("REGEXREPLACE(C23241,""-\d+(.*)|--\d+(.*)"","""")"),"SOUCIEU-EN-JARREST")</f>
        <v>SOUCIEU-EN-JARREST</v>
      </c>
      <c r="E23241" s="38" t="s">
        <v>350</v>
      </c>
      <c r="F23241" s="38" t="s">
        <v>102</v>
      </c>
      <c r="G23241" s="49" t="str">
        <f t="shared" si="1"/>
        <v>69510</v>
      </c>
      <c r="H23241" s="49">
        <f t="shared" si="2"/>
        <v>69176</v>
      </c>
    </row>
    <row r="23242">
      <c r="A23242" s="48" t="s">
        <v>24546</v>
      </c>
      <c r="B23242" s="38">
        <v>39341.0</v>
      </c>
      <c r="C23242" s="38" t="s">
        <v>27775</v>
      </c>
      <c r="D23242" s="38" t="str">
        <f>IFERROR(__xludf.DUMMYFUNCTION("REGEXREPLACE(C23242,""-\d+(.*)|--\d+(.*)"","""")"),"LES MOLUNES")</f>
        <v>LES MOLUNES</v>
      </c>
      <c r="E23242" s="38" t="s">
        <v>400</v>
      </c>
      <c r="F23242" s="38" t="s">
        <v>214</v>
      </c>
      <c r="G23242" s="49" t="str">
        <f t="shared" si="1"/>
        <v>39310</v>
      </c>
      <c r="H23242" s="49">
        <f t="shared" si="2"/>
        <v>39341</v>
      </c>
    </row>
    <row r="23243">
      <c r="A23243" s="48" t="s">
        <v>1473</v>
      </c>
      <c r="B23243" s="38">
        <v>50453.0</v>
      </c>
      <c r="C23243" s="38" t="s">
        <v>16261</v>
      </c>
      <c r="D23243" s="38" t="str">
        <f>IFERROR(__xludf.DUMMYFUNCTION("REGEXREPLACE(C23243,""-\d+(.*)|--\d+(.*)"","""")"),"SAINTE-CECILE")</f>
        <v>SAINTE-CECILE</v>
      </c>
      <c r="E23243" s="38" t="s">
        <v>157</v>
      </c>
      <c r="F23243" s="38" t="s">
        <v>138</v>
      </c>
      <c r="G23243" s="49" t="str">
        <f t="shared" si="1"/>
        <v>50800</v>
      </c>
      <c r="H23243" s="49">
        <f t="shared" si="2"/>
        <v>50453</v>
      </c>
    </row>
    <row r="23244">
      <c r="A23244" s="48" t="s">
        <v>4884</v>
      </c>
      <c r="B23244" s="38">
        <v>72291.0</v>
      </c>
      <c r="C23244" s="38" t="s">
        <v>27776</v>
      </c>
      <c r="D23244" s="38" t="str">
        <f>IFERROR(__xludf.DUMMYFUNCTION("REGEXREPLACE(C23244,""-\d+(.*)|--\d+(.*)"","""")"),"SAINT-JEAN-DE-LA-MOTTE")</f>
        <v>SAINT-JEAN-DE-LA-MOTTE</v>
      </c>
      <c r="E23244" s="38" t="s">
        <v>521</v>
      </c>
      <c r="F23244" s="38" t="s">
        <v>180</v>
      </c>
      <c r="G23244" s="49" t="str">
        <f t="shared" si="1"/>
        <v>72510</v>
      </c>
      <c r="H23244" s="49">
        <f t="shared" si="2"/>
        <v>72291</v>
      </c>
    </row>
    <row r="23245">
      <c r="A23245" s="48" t="s">
        <v>1686</v>
      </c>
      <c r="B23245" s="38">
        <v>51480.0</v>
      </c>
      <c r="C23245" s="38" t="s">
        <v>18365</v>
      </c>
      <c r="D23245" s="38" t="str">
        <f>IFERROR(__xludf.DUMMYFUNCTION("REGEXREPLACE(C23245,""-\d+(.*)|--\d+(.*)"","""")"),"SAINTE-GEMME")</f>
        <v>SAINTE-GEMME</v>
      </c>
      <c r="E23245" s="38" t="s">
        <v>129</v>
      </c>
      <c r="F23245" s="38" t="s">
        <v>130</v>
      </c>
      <c r="G23245" s="49" t="str">
        <f t="shared" si="1"/>
        <v>51700</v>
      </c>
      <c r="H23245" s="49">
        <f t="shared" si="2"/>
        <v>51480</v>
      </c>
    </row>
    <row r="23246">
      <c r="A23246" s="48" t="s">
        <v>239</v>
      </c>
      <c r="B23246" s="38">
        <v>27327.0</v>
      </c>
      <c r="C23246" s="38" t="s">
        <v>27777</v>
      </c>
      <c r="D23246" s="38" t="str">
        <f>IFERROR(__xludf.DUMMYFUNCTION("REGEXREPLACE(C23246,""-\d+(.*)|--\d+(.*)"","""")"),"HECTOMARE")</f>
        <v>HECTOMARE</v>
      </c>
      <c r="E23246" s="38" t="s">
        <v>241</v>
      </c>
      <c r="F23246" s="38" t="s">
        <v>134</v>
      </c>
      <c r="G23246" s="49" t="str">
        <f t="shared" si="1"/>
        <v>27110</v>
      </c>
      <c r="H23246" s="49">
        <f t="shared" si="2"/>
        <v>27327</v>
      </c>
    </row>
    <row r="23247">
      <c r="A23247" s="48" t="s">
        <v>8586</v>
      </c>
      <c r="B23247" s="38">
        <v>46329.0</v>
      </c>
      <c r="C23247" s="38" t="s">
        <v>27778</v>
      </c>
      <c r="D23247" s="38" t="str">
        <f>IFERROR(__xludf.DUMMYFUNCTION("REGEXREPLACE(C23247,""-\d+(.*)|--\d+(.*)"","""")"),"VAYLATS")</f>
        <v>VAYLATS</v>
      </c>
      <c r="E23247" s="38" t="s">
        <v>185</v>
      </c>
      <c r="F23247" s="38" t="s">
        <v>94</v>
      </c>
      <c r="G23247" s="49" t="str">
        <f t="shared" si="1"/>
        <v>46230</v>
      </c>
      <c r="H23247" s="49">
        <f t="shared" si="2"/>
        <v>46329</v>
      </c>
    </row>
    <row r="23248">
      <c r="A23248" s="48" t="s">
        <v>27779</v>
      </c>
      <c r="B23248" s="38">
        <v>60346.0</v>
      </c>
      <c r="C23248" s="38" t="s">
        <v>27780</v>
      </c>
      <c r="D23248" s="38" t="str">
        <f>IFERROR(__xludf.DUMMYFUNCTION("REGEXREPLACE(C23248,""-\d+(.*)|--\d+(.*)"","""")"),"LAMORLAYE")</f>
        <v>LAMORLAYE</v>
      </c>
      <c r="E23248" s="38" t="s">
        <v>112</v>
      </c>
      <c r="F23248" s="38" t="s">
        <v>113</v>
      </c>
      <c r="G23248" s="49" t="str">
        <f t="shared" si="1"/>
        <v>60260</v>
      </c>
      <c r="H23248" s="49">
        <f t="shared" si="2"/>
        <v>60346</v>
      </c>
    </row>
    <row r="23249">
      <c r="A23249" s="48" t="s">
        <v>1540</v>
      </c>
      <c r="B23249" s="38">
        <v>70433.0</v>
      </c>
      <c r="C23249" s="38" t="s">
        <v>27781</v>
      </c>
      <c r="D23249" s="38" t="str">
        <f>IFERROR(__xludf.DUMMYFUNCTION("REGEXREPLACE(C23249,""-\d+(.*)|--\d+(.*)"","""")"),"QUINCEY")</f>
        <v>QUINCEY</v>
      </c>
      <c r="E23249" s="38" t="s">
        <v>956</v>
      </c>
      <c r="F23249" s="38" t="s">
        <v>214</v>
      </c>
      <c r="G23249" s="49" t="str">
        <f t="shared" si="1"/>
        <v>70000</v>
      </c>
      <c r="H23249" s="49">
        <f t="shared" si="2"/>
        <v>70433</v>
      </c>
    </row>
    <row r="23250">
      <c r="A23250" s="48" t="s">
        <v>1783</v>
      </c>
      <c r="B23250" s="38">
        <v>60153.0</v>
      </c>
      <c r="C23250" s="38" t="s">
        <v>27782</v>
      </c>
      <c r="D23250" s="38" t="str">
        <f>IFERROR(__xludf.DUMMYFUNCTION("REGEXREPLACE(C23250,""-\d+(.*)|--\d+(.*)"","""")"),"CHOQUEUSE-LES-BENARDS")</f>
        <v>CHOQUEUSE-LES-BENARDS</v>
      </c>
      <c r="E23250" s="38" t="s">
        <v>112</v>
      </c>
      <c r="F23250" s="38" t="s">
        <v>113</v>
      </c>
      <c r="G23250" s="49" t="str">
        <f t="shared" si="1"/>
        <v>60360</v>
      </c>
      <c r="H23250" s="49">
        <f t="shared" si="2"/>
        <v>60153</v>
      </c>
    </row>
    <row r="23251">
      <c r="A23251" s="48" t="s">
        <v>3821</v>
      </c>
      <c r="B23251" s="38">
        <v>57687.0</v>
      </c>
      <c r="C23251" s="38" t="s">
        <v>27783</v>
      </c>
      <c r="D23251" s="38" t="str">
        <f>IFERROR(__xludf.DUMMYFUNCTION("REGEXREPLACE(C23251,""-\d+(.*)|--\d+(.*)"","""")"),"VALLERANGE")</f>
        <v>VALLERANGE</v>
      </c>
      <c r="E23251" s="38" t="s">
        <v>303</v>
      </c>
      <c r="F23251" s="38" t="s">
        <v>195</v>
      </c>
      <c r="G23251" s="49" t="str">
        <f t="shared" si="1"/>
        <v>57340</v>
      </c>
      <c r="H23251" s="49">
        <f t="shared" si="2"/>
        <v>57687</v>
      </c>
    </row>
    <row r="23252">
      <c r="A23252" s="48" t="s">
        <v>10857</v>
      </c>
      <c r="B23252" s="38">
        <v>22207.0</v>
      </c>
      <c r="C23252" s="38" t="s">
        <v>27784</v>
      </c>
      <c r="D23252" s="38" t="str">
        <f>IFERROR(__xludf.DUMMYFUNCTION("REGEXREPLACE(C23252,""-\d+(.*)|--\d+(.*)"","""")"),"PLOUARET")</f>
        <v>PLOUARET</v>
      </c>
      <c r="E23252" s="38" t="s">
        <v>89</v>
      </c>
      <c r="F23252" s="38" t="s">
        <v>90</v>
      </c>
      <c r="G23252" s="49" t="str">
        <f t="shared" si="1"/>
        <v>22420</v>
      </c>
      <c r="H23252" s="49">
        <f t="shared" si="2"/>
        <v>22207</v>
      </c>
    </row>
    <row r="23253">
      <c r="A23253" s="48" t="s">
        <v>6504</v>
      </c>
      <c r="B23253" s="38">
        <v>24136.0</v>
      </c>
      <c r="C23253" s="38" t="s">
        <v>27785</v>
      </c>
      <c r="D23253" s="38" t="str">
        <f>IFERROR(__xludf.DUMMYFUNCTION("REGEXREPLACE(C23253,""-\d+(.*)|--\d+(.*)"","""")"),"COUBJOURS")</f>
        <v>COUBJOURS</v>
      </c>
      <c r="E23253" s="38" t="s">
        <v>261</v>
      </c>
      <c r="F23253" s="38" t="s">
        <v>252</v>
      </c>
      <c r="G23253" s="49" t="str">
        <f t="shared" si="1"/>
        <v>24390</v>
      </c>
      <c r="H23253" s="49">
        <f t="shared" si="2"/>
        <v>24136</v>
      </c>
    </row>
    <row r="23254">
      <c r="A23254" s="48" t="s">
        <v>27786</v>
      </c>
      <c r="B23254" s="38">
        <v>33162.0</v>
      </c>
      <c r="C23254" s="38" t="s">
        <v>27787</v>
      </c>
      <c r="D23254" s="38" t="str">
        <f>IFERROR(__xludf.DUMMYFUNCTION("REGEXREPLACE(C23254,""-\d+(.*)|--\d+(.*)"","""")"),"EYSINES")</f>
        <v>EYSINES</v>
      </c>
      <c r="E23254" s="38" t="s">
        <v>462</v>
      </c>
      <c r="F23254" s="38" t="s">
        <v>252</v>
      </c>
      <c r="G23254" s="49" t="str">
        <f t="shared" si="1"/>
        <v>33320</v>
      </c>
      <c r="H23254" s="49">
        <f t="shared" si="2"/>
        <v>33162</v>
      </c>
    </row>
    <row r="23255">
      <c r="A23255" s="48" t="s">
        <v>27788</v>
      </c>
      <c r="B23255" s="38">
        <v>54138.0</v>
      </c>
      <c r="C23255" s="38" t="s">
        <v>27789</v>
      </c>
      <c r="D23255" s="38" t="str">
        <f>IFERROR(__xludf.DUMMYFUNCTION("REGEXREPLACE(C23255,""-\d+(.*)|--\d+(.*)"","""")"),"COSNES-ET-ROMAIN")</f>
        <v>COSNES-ET-ROMAIN</v>
      </c>
      <c r="E23255" s="38" t="s">
        <v>548</v>
      </c>
      <c r="F23255" s="38" t="s">
        <v>195</v>
      </c>
      <c r="G23255" s="49" t="str">
        <f t="shared" si="1"/>
        <v>54400</v>
      </c>
      <c r="H23255" s="49">
        <f t="shared" si="2"/>
        <v>54138</v>
      </c>
    </row>
    <row r="23256">
      <c r="A23256" s="48" t="s">
        <v>9402</v>
      </c>
      <c r="B23256" s="38">
        <v>14678.0</v>
      </c>
      <c r="C23256" s="38" t="s">
        <v>27790</v>
      </c>
      <c r="D23256" s="38" t="str">
        <f>IFERROR(__xludf.DUMMYFUNCTION("REGEXREPLACE(C23256,""-\d+(.*)|--\d+(.*)"","""")"),"SOUMONT-SAINT-QUENTIN")</f>
        <v>SOUMONT-SAINT-QUENTIN</v>
      </c>
      <c r="E23256" s="38" t="s">
        <v>137</v>
      </c>
      <c r="F23256" s="38" t="s">
        <v>138</v>
      </c>
      <c r="G23256" s="49" t="str">
        <f t="shared" si="1"/>
        <v>14420</v>
      </c>
      <c r="H23256" s="49">
        <f t="shared" si="2"/>
        <v>14678</v>
      </c>
    </row>
    <row r="23257">
      <c r="A23257" s="48" t="s">
        <v>7365</v>
      </c>
      <c r="B23257" s="38">
        <v>18044.0</v>
      </c>
      <c r="C23257" s="38" t="s">
        <v>27791</v>
      </c>
      <c r="D23257" s="38" t="str">
        <f>IFERROR(__xludf.DUMMYFUNCTION("REGEXREPLACE(C23257,""-\d+(.*)|--\d+(.*)"","""")"),"CERBOIS")</f>
        <v>CERBOIS</v>
      </c>
      <c r="E23257" s="38" t="s">
        <v>504</v>
      </c>
      <c r="F23257" s="38" t="s">
        <v>123</v>
      </c>
      <c r="G23257" s="49" t="str">
        <f t="shared" si="1"/>
        <v>18120</v>
      </c>
      <c r="H23257" s="49">
        <f t="shared" si="2"/>
        <v>18044</v>
      </c>
    </row>
    <row r="23258">
      <c r="A23258" s="48" t="s">
        <v>794</v>
      </c>
      <c r="B23258" s="38">
        <v>60082.0</v>
      </c>
      <c r="C23258" s="38" t="s">
        <v>27792</v>
      </c>
      <c r="D23258" s="38" t="str">
        <f>IFERROR(__xludf.DUMMYFUNCTION("REGEXREPLACE(C23258,""-\d+(.*)|--\d+(.*)"","""")"),"BONNEUIL-LES-EAUX")</f>
        <v>BONNEUIL-LES-EAUX</v>
      </c>
      <c r="E23258" s="38" t="s">
        <v>112</v>
      </c>
      <c r="F23258" s="38" t="s">
        <v>113</v>
      </c>
      <c r="G23258" s="49" t="str">
        <f t="shared" si="1"/>
        <v>60120</v>
      </c>
      <c r="H23258" s="49">
        <f t="shared" si="2"/>
        <v>60082</v>
      </c>
    </row>
    <row r="23259">
      <c r="A23259" s="48" t="s">
        <v>8480</v>
      </c>
      <c r="B23259" s="38">
        <v>8190.0</v>
      </c>
      <c r="C23259" s="38" t="s">
        <v>27793</v>
      </c>
      <c r="D23259" s="38" t="str">
        <f>IFERROR(__xludf.DUMMYFUNCTION("REGEXREPLACE(C23259,""-\d+(.*)|--\d+(.*)"","""")"),"GIVET")</f>
        <v>GIVET</v>
      </c>
      <c r="E23259" s="38" t="s">
        <v>327</v>
      </c>
      <c r="F23259" s="38" t="s">
        <v>130</v>
      </c>
      <c r="G23259" s="49" t="str">
        <f t="shared" si="1"/>
        <v>08600</v>
      </c>
      <c r="H23259" s="49" t="str">
        <f t="shared" si="2"/>
        <v>08190</v>
      </c>
    </row>
    <row r="23260">
      <c r="A23260" s="48" t="s">
        <v>1514</v>
      </c>
      <c r="B23260" s="38">
        <v>70149.0</v>
      </c>
      <c r="C23260" s="38" t="s">
        <v>27794</v>
      </c>
      <c r="D23260" s="38" t="str">
        <f>IFERROR(__xludf.DUMMYFUNCTION("REGEXREPLACE(C23260,""-\d+(.*)|--\d+(.*)"","""")"),"CHENEBIER")</f>
        <v>CHENEBIER</v>
      </c>
      <c r="E23260" s="38" t="s">
        <v>956</v>
      </c>
      <c r="F23260" s="38" t="s">
        <v>214</v>
      </c>
      <c r="G23260" s="49" t="str">
        <f t="shared" si="1"/>
        <v>70400</v>
      </c>
      <c r="H23260" s="49">
        <f t="shared" si="2"/>
        <v>70149</v>
      </c>
    </row>
    <row r="23261">
      <c r="A23261" s="48" t="s">
        <v>4766</v>
      </c>
      <c r="B23261" s="38">
        <v>64511.0</v>
      </c>
      <c r="C23261" s="38" t="s">
        <v>27795</v>
      </c>
      <c r="D23261" s="38" t="str">
        <f>IFERROR(__xludf.DUMMYFUNCTION("REGEXREPLACE(C23261,""-\d+(.*)|--\d+(.*)"","""")"),"SAUVAGNON")</f>
        <v>SAUVAGNON</v>
      </c>
      <c r="E23261" s="38" t="s">
        <v>268</v>
      </c>
      <c r="F23261" s="38" t="s">
        <v>252</v>
      </c>
      <c r="G23261" s="49" t="str">
        <f t="shared" si="1"/>
        <v>64230</v>
      </c>
      <c r="H23261" s="49">
        <f t="shared" si="2"/>
        <v>64511</v>
      </c>
    </row>
    <row r="23262">
      <c r="A23262" s="48" t="s">
        <v>1293</v>
      </c>
      <c r="B23262" s="38">
        <v>25476.0</v>
      </c>
      <c r="C23262" s="38" t="s">
        <v>27796</v>
      </c>
      <c r="D23262" s="38" t="str">
        <f>IFERROR(__xludf.DUMMYFUNCTION("REGEXREPLACE(C23262,""-\d+(.*)|--\d+(.*)"","""")"),"RAHON")</f>
        <v>RAHON</v>
      </c>
      <c r="E23262" s="38" t="s">
        <v>213</v>
      </c>
      <c r="F23262" s="38" t="s">
        <v>214</v>
      </c>
      <c r="G23262" s="49" t="str">
        <f t="shared" si="1"/>
        <v>25430</v>
      </c>
      <c r="H23262" s="49">
        <f t="shared" si="2"/>
        <v>25476</v>
      </c>
    </row>
    <row r="23263">
      <c r="A23263" s="48" t="s">
        <v>4697</v>
      </c>
      <c r="B23263" s="38">
        <v>67067.0</v>
      </c>
      <c r="C23263" s="38" t="s">
        <v>27797</v>
      </c>
      <c r="D23263" s="38" t="str">
        <f>IFERROR(__xludf.DUMMYFUNCTION("REGEXREPLACE(C23263,""-\d+(.*)|--\d+(.*)"","""")"),"BRUMATH")</f>
        <v>BRUMATH</v>
      </c>
      <c r="E23263" s="38" t="s">
        <v>210</v>
      </c>
      <c r="F23263" s="38" t="s">
        <v>151</v>
      </c>
      <c r="G23263" s="49" t="str">
        <f t="shared" si="1"/>
        <v>67170</v>
      </c>
      <c r="H23263" s="49">
        <f t="shared" si="2"/>
        <v>67067</v>
      </c>
    </row>
    <row r="23264">
      <c r="A23264" s="48" t="s">
        <v>8902</v>
      </c>
      <c r="B23264" s="38">
        <v>25180.0</v>
      </c>
      <c r="C23264" s="38" t="s">
        <v>27798</v>
      </c>
      <c r="D23264" s="38" t="str">
        <f>IFERROR(__xludf.DUMMYFUNCTION("REGEXREPLACE(C23264,""-\d+(.*)|--\d+(.*)"","""")"),"CROUZET-MIGETTE")</f>
        <v>CROUZET-MIGETTE</v>
      </c>
      <c r="E23264" s="38" t="s">
        <v>213</v>
      </c>
      <c r="F23264" s="38" t="s">
        <v>214</v>
      </c>
      <c r="G23264" s="49" t="str">
        <f t="shared" si="1"/>
        <v>25270</v>
      </c>
      <c r="H23264" s="49">
        <f t="shared" si="2"/>
        <v>25180</v>
      </c>
    </row>
    <row r="23265">
      <c r="A23265" s="48" t="s">
        <v>2141</v>
      </c>
      <c r="B23265" s="38">
        <v>80227.0</v>
      </c>
      <c r="C23265" s="38" t="s">
        <v>27799</v>
      </c>
      <c r="D23265" s="38" t="str">
        <f>IFERROR(__xludf.DUMMYFUNCTION("REGEXREPLACE(C23265,""-\d+(.*)|--\d+(.*)"","""")"),"CROIXRAULT")</f>
        <v>CROIXRAULT</v>
      </c>
      <c r="E23265" s="38" t="s">
        <v>224</v>
      </c>
      <c r="F23265" s="38" t="s">
        <v>113</v>
      </c>
      <c r="G23265" s="49" t="str">
        <f t="shared" si="1"/>
        <v>80290</v>
      </c>
      <c r="H23265" s="49">
        <f t="shared" si="2"/>
        <v>80227</v>
      </c>
    </row>
    <row r="23266">
      <c r="A23266" s="48" t="s">
        <v>1114</v>
      </c>
      <c r="B23266" s="38">
        <v>2461.0</v>
      </c>
      <c r="C23266" s="38" t="s">
        <v>27800</v>
      </c>
      <c r="D23266" s="38" t="str">
        <f>IFERROR(__xludf.DUMMYFUNCTION("REGEXREPLACE(C23266,""-\d+(.*)|--\d+(.*)"","""")"),"MAREST-DAMPCOURT")</f>
        <v>MAREST-DAMPCOURT</v>
      </c>
      <c r="E23266" s="38" t="s">
        <v>191</v>
      </c>
      <c r="F23266" s="38" t="s">
        <v>113</v>
      </c>
      <c r="G23266" s="49" t="str">
        <f t="shared" si="1"/>
        <v>02300</v>
      </c>
      <c r="H23266" s="49" t="str">
        <f t="shared" si="2"/>
        <v>02461</v>
      </c>
    </row>
    <row r="23267">
      <c r="A23267" s="48" t="s">
        <v>2326</v>
      </c>
      <c r="B23267" s="38">
        <v>54262.0</v>
      </c>
      <c r="C23267" s="38" t="s">
        <v>27801</v>
      </c>
      <c r="D23267" s="38" t="str">
        <f>IFERROR(__xludf.DUMMYFUNCTION("REGEXREPLACE(C23267,""-\d+(.*)|--\d+(.*)"","""")"),"HOEVILLE")</f>
        <v>HOEVILLE</v>
      </c>
      <c r="E23267" s="38" t="s">
        <v>548</v>
      </c>
      <c r="F23267" s="38" t="s">
        <v>195</v>
      </c>
      <c r="G23267" s="49" t="str">
        <f t="shared" si="1"/>
        <v>54370</v>
      </c>
      <c r="H23267" s="49">
        <f t="shared" si="2"/>
        <v>54262</v>
      </c>
    </row>
    <row r="23268">
      <c r="A23268" s="48" t="s">
        <v>7435</v>
      </c>
      <c r="B23268" s="38">
        <v>52072.0</v>
      </c>
      <c r="C23268" s="38" t="s">
        <v>27802</v>
      </c>
      <c r="D23268" s="38" t="str">
        <f>IFERROR(__xludf.DUMMYFUNCTION("REGEXREPLACE(C23268,""-\d+(.*)|--\d+(.*)"","""")"),"BRETHENAY")</f>
        <v>BRETHENAY</v>
      </c>
      <c r="E23268" s="38" t="s">
        <v>234</v>
      </c>
      <c r="F23268" s="38" t="s">
        <v>130</v>
      </c>
      <c r="G23268" s="49" t="str">
        <f t="shared" si="1"/>
        <v>52000</v>
      </c>
      <c r="H23268" s="49">
        <f t="shared" si="2"/>
        <v>52072</v>
      </c>
    </row>
    <row r="23269">
      <c r="A23269" s="48" t="s">
        <v>8089</v>
      </c>
      <c r="B23269" s="38">
        <v>45006.0</v>
      </c>
      <c r="C23269" s="38" t="s">
        <v>12168</v>
      </c>
      <c r="D23269" s="38" t="str">
        <f>IFERROR(__xludf.DUMMYFUNCTION("REGEXREPLACE(C23269,""-\d+(.*)|--\d+(.*)"","""")"),"ARDON")</f>
        <v>ARDON</v>
      </c>
      <c r="E23269" s="38" t="s">
        <v>122</v>
      </c>
      <c r="F23269" s="38" t="s">
        <v>123</v>
      </c>
      <c r="G23269" s="49" t="str">
        <f t="shared" si="1"/>
        <v>45160</v>
      </c>
      <c r="H23269" s="49">
        <f t="shared" si="2"/>
        <v>45006</v>
      </c>
    </row>
    <row r="23270">
      <c r="A23270" s="48" t="s">
        <v>7680</v>
      </c>
      <c r="B23270" s="38">
        <v>71093.0</v>
      </c>
      <c r="C23270" s="38" t="s">
        <v>27803</v>
      </c>
      <c r="D23270" s="38" t="str">
        <f>IFERROR(__xludf.DUMMYFUNCTION("REGEXREPLACE(C23270,""-\d+(.*)|--\d+(.*)"","""")"),"LA CHAPELLE-SAINT-SAUVEUR")</f>
        <v>LA CHAPELLE-SAINT-SAUVEUR</v>
      </c>
      <c r="E23270" s="38" t="s">
        <v>344</v>
      </c>
      <c r="F23270" s="38" t="s">
        <v>106</v>
      </c>
      <c r="G23270" s="49" t="str">
        <f t="shared" si="1"/>
        <v>71310</v>
      </c>
      <c r="H23270" s="49">
        <f t="shared" si="2"/>
        <v>71093</v>
      </c>
    </row>
    <row r="23271">
      <c r="A23271" s="48" t="s">
        <v>1216</v>
      </c>
      <c r="B23271" s="38">
        <v>21032.0</v>
      </c>
      <c r="C23271" s="38" t="s">
        <v>27804</v>
      </c>
      <c r="D23271" s="38" t="str">
        <f>IFERROR(__xludf.DUMMYFUNCTION("REGEXREPLACE(C23271,""-\d+(.*)|--\d+(.*)"","""")"),"AUBIGNY-LA-RONCE")</f>
        <v>AUBIGNY-LA-RONCE</v>
      </c>
      <c r="E23271" s="38" t="s">
        <v>105</v>
      </c>
      <c r="F23271" s="38" t="s">
        <v>106</v>
      </c>
      <c r="G23271" s="49" t="str">
        <f t="shared" si="1"/>
        <v>21340</v>
      </c>
      <c r="H23271" s="49">
        <f t="shared" si="2"/>
        <v>21032</v>
      </c>
    </row>
    <row r="23272">
      <c r="A23272" s="48" t="s">
        <v>2423</v>
      </c>
      <c r="B23272" s="38">
        <v>26193.0</v>
      </c>
      <c r="C23272" s="38" t="s">
        <v>27805</v>
      </c>
      <c r="D23272" s="38" t="str">
        <f>IFERROR(__xludf.DUMMYFUNCTION("REGEXREPLACE(C23272,""-\d+(.*)|--\d+(.*)"","""")"),"MONTBRUN-LES-BAINS")</f>
        <v>MONTBRUN-LES-BAINS</v>
      </c>
      <c r="E23272" s="38" t="s">
        <v>126</v>
      </c>
      <c r="F23272" s="38" t="s">
        <v>102</v>
      </c>
      <c r="G23272" s="49" t="str">
        <f t="shared" si="1"/>
        <v>26570</v>
      </c>
      <c r="H23272" s="49">
        <f t="shared" si="2"/>
        <v>26193</v>
      </c>
    </row>
    <row r="23273">
      <c r="A23273" s="48" t="s">
        <v>27806</v>
      </c>
      <c r="B23273" s="38">
        <v>87085.0</v>
      </c>
      <c r="C23273" s="38" t="s">
        <v>27807</v>
      </c>
      <c r="D23273" s="38" t="str">
        <f>IFERROR(__xludf.DUMMYFUNCTION("REGEXREPLACE(C23273,""-\d+(.*)|--\d+(.*)"","""")"),"LIMOGES")</f>
        <v>LIMOGES</v>
      </c>
      <c r="E23273" s="38" t="s">
        <v>897</v>
      </c>
      <c r="F23273" s="38" t="s">
        <v>98</v>
      </c>
      <c r="G23273" s="49" t="str">
        <f t="shared" si="1"/>
        <v>87000/87100/87280</v>
      </c>
      <c r="H23273" s="49">
        <f t="shared" si="2"/>
        <v>87085</v>
      </c>
    </row>
    <row r="23274">
      <c r="A23274" s="48" t="s">
        <v>22823</v>
      </c>
      <c r="B23274" s="38">
        <v>53056.0</v>
      </c>
      <c r="C23274" s="38" t="s">
        <v>27808</v>
      </c>
      <c r="D23274" s="38" t="str">
        <f>IFERROR(__xludf.DUMMYFUNCTION("REGEXREPLACE(C23274,""-\d+(.*)|--\d+(.*)"","""")"),"LA CHAPELLE-ANTHENAISE")</f>
        <v>LA CHAPELLE-ANTHENAISE</v>
      </c>
      <c r="E23274" s="38" t="s">
        <v>518</v>
      </c>
      <c r="F23274" s="38" t="s">
        <v>180</v>
      </c>
      <c r="G23274" s="49" t="str">
        <f t="shared" si="1"/>
        <v>53950</v>
      </c>
      <c r="H23274" s="49">
        <f t="shared" si="2"/>
        <v>53056</v>
      </c>
    </row>
    <row r="23275">
      <c r="A23275" s="48" t="s">
        <v>27809</v>
      </c>
      <c r="B23275" s="38" t="s">
        <v>27810</v>
      </c>
      <c r="C23275" s="38" t="s">
        <v>27811</v>
      </c>
      <c r="D23275" s="38" t="str">
        <f>IFERROR(__xludf.DUMMYFUNCTION("REGEXREPLACE(C23275,""-\d+(.*)|--\d+(.*)"","""")"),"GHISONI")</f>
        <v>GHISONI</v>
      </c>
      <c r="E23275" s="38" t="s">
        <v>743</v>
      </c>
      <c r="F23275" s="38" t="s">
        <v>607</v>
      </c>
      <c r="G23275" s="49" t="str">
        <f t="shared" si="1"/>
        <v>20227</v>
      </c>
      <c r="H23275" s="49" t="str">
        <f t="shared" si="2"/>
        <v>2B124</v>
      </c>
    </row>
    <row r="23276">
      <c r="A23276" s="48" t="s">
        <v>3448</v>
      </c>
      <c r="B23276" s="38">
        <v>65337.0</v>
      </c>
      <c r="C23276" s="38" t="s">
        <v>27812</v>
      </c>
      <c r="D23276" s="38" t="str">
        <f>IFERROR(__xludf.DUMMYFUNCTION("REGEXREPLACE(C23276,""-\d+(.*)|--\d+(.*)"","""")"),"ORIEUX")</f>
        <v>ORIEUX</v>
      </c>
      <c r="E23276" s="38" t="s">
        <v>200</v>
      </c>
      <c r="F23276" s="38" t="s">
        <v>94</v>
      </c>
      <c r="G23276" s="49" t="str">
        <f t="shared" si="1"/>
        <v>65190</v>
      </c>
      <c r="H23276" s="49">
        <f t="shared" si="2"/>
        <v>65337</v>
      </c>
    </row>
    <row r="23277">
      <c r="A23277" s="48" t="s">
        <v>16789</v>
      </c>
      <c r="B23277" s="38">
        <v>4122.0</v>
      </c>
      <c r="C23277" s="38" t="s">
        <v>12064</v>
      </c>
      <c r="D23277" s="38" t="str">
        <f>IFERROR(__xludf.DUMMYFUNCTION("REGEXREPLACE(C23277,""-\d+(.*)|--\d+(.*)"","""")"),"MIRABEAU")</f>
        <v>MIRABEAU</v>
      </c>
      <c r="E23277" s="38" t="s">
        <v>662</v>
      </c>
      <c r="F23277" s="38" t="s">
        <v>228</v>
      </c>
      <c r="G23277" s="49" t="str">
        <f t="shared" si="1"/>
        <v>04510</v>
      </c>
      <c r="H23277" s="49" t="str">
        <f t="shared" si="2"/>
        <v>04122</v>
      </c>
    </row>
    <row r="23278">
      <c r="A23278" s="48" t="s">
        <v>1896</v>
      </c>
      <c r="B23278" s="38">
        <v>51115.0</v>
      </c>
      <c r="C23278" s="38" t="s">
        <v>10662</v>
      </c>
      <c r="D23278" s="38" t="str">
        <f>IFERROR(__xludf.DUMMYFUNCTION("REGEXREPLACE(C23278,""-\d+(.*)|--\d+(.*)"","""")"),"CHAMPFLEURY")</f>
        <v>CHAMPFLEURY</v>
      </c>
      <c r="E23278" s="38" t="s">
        <v>129</v>
      </c>
      <c r="F23278" s="38" t="s">
        <v>130</v>
      </c>
      <c r="G23278" s="49" t="str">
        <f t="shared" si="1"/>
        <v>51500</v>
      </c>
      <c r="H23278" s="49">
        <f t="shared" si="2"/>
        <v>51115</v>
      </c>
    </row>
    <row r="23279">
      <c r="A23279" s="48" t="s">
        <v>27813</v>
      </c>
      <c r="B23279" s="38">
        <v>56090.0</v>
      </c>
      <c r="C23279" s="38" t="s">
        <v>27814</v>
      </c>
      <c r="D23279" s="38" t="str">
        <f>IFERROR(__xludf.DUMMYFUNCTION("REGEXREPLACE(C23279,""-\d+(.*)|--\d+(.*)"","""")"),"INZINZAC-LOCHRIST")</f>
        <v>INZINZAC-LOCHRIST</v>
      </c>
      <c r="E23279" s="38" t="s">
        <v>173</v>
      </c>
      <c r="F23279" s="38" t="s">
        <v>90</v>
      </c>
      <c r="G23279" s="49" t="str">
        <f t="shared" si="1"/>
        <v>56650</v>
      </c>
      <c r="H23279" s="49">
        <f t="shared" si="2"/>
        <v>56090</v>
      </c>
    </row>
    <row r="23280">
      <c r="A23280" s="48" t="s">
        <v>6323</v>
      </c>
      <c r="B23280" s="38">
        <v>50419.0</v>
      </c>
      <c r="C23280" s="38" t="s">
        <v>27815</v>
      </c>
      <c r="D23280" s="38" t="str">
        <f>IFERROR(__xludf.DUMMYFUNCTION("REGEXREPLACE(C23280,""-\d+(.*)|--\d+(.*)"","""")"),"QUETTREVILLE-SUR-SIENNE")</f>
        <v>QUETTREVILLE-SUR-SIENNE</v>
      </c>
      <c r="E23280" s="38" t="s">
        <v>157</v>
      </c>
      <c r="F23280" s="38" t="s">
        <v>138</v>
      </c>
      <c r="G23280" s="49" t="str">
        <f t="shared" si="1"/>
        <v>50660</v>
      </c>
      <c r="H23280" s="49">
        <f t="shared" si="2"/>
        <v>50419</v>
      </c>
    </row>
    <row r="23281">
      <c r="A23281" s="48" t="s">
        <v>671</v>
      </c>
      <c r="B23281" s="38">
        <v>21603.0</v>
      </c>
      <c r="C23281" s="38" t="s">
        <v>27816</v>
      </c>
      <c r="D23281" s="38" t="str">
        <f>IFERROR(__xludf.DUMMYFUNCTION("REGEXREPLACE(C23281,""-\d+(.*)|--\d+(.*)"","""")"),"SEMUR-EN-AUXOIS")</f>
        <v>SEMUR-EN-AUXOIS</v>
      </c>
      <c r="E23281" s="38" t="s">
        <v>105</v>
      </c>
      <c r="F23281" s="38" t="s">
        <v>106</v>
      </c>
      <c r="G23281" s="49" t="str">
        <f t="shared" si="1"/>
        <v>21140</v>
      </c>
      <c r="H23281" s="49">
        <f t="shared" si="2"/>
        <v>21603</v>
      </c>
    </row>
    <row r="23282">
      <c r="A23282" s="48" t="s">
        <v>7136</v>
      </c>
      <c r="B23282" s="38">
        <v>83130.0</v>
      </c>
      <c r="C23282" s="38" t="s">
        <v>27817</v>
      </c>
      <c r="D23282" s="38" t="str">
        <f>IFERROR(__xludf.DUMMYFUNCTION("REGEXREPLACE(C23282,""-\d+(.*)|--\d+(.*)"","""")"),"SOLLIES-PONT")</f>
        <v>SOLLIES-PONT</v>
      </c>
      <c r="E23282" s="38" t="s">
        <v>813</v>
      </c>
      <c r="F23282" s="38" t="s">
        <v>228</v>
      </c>
      <c r="G23282" s="49" t="str">
        <f t="shared" si="1"/>
        <v>83210</v>
      </c>
      <c r="H23282" s="49">
        <f t="shared" si="2"/>
        <v>83130</v>
      </c>
    </row>
    <row r="23283">
      <c r="A23283" s="48" t="s">
        <v>2052</v>
      </c>
      <c r="B23283" s="38">
        <v>80166.0</v>
      </c>
      <c r="C23283" s="38" t="s">
        <v>27818</v>
      </c>
      <c r="D23283" s="38" t="str">
        <f>IFERROR(__xludf.DUMMYFUNCTION("REGEXREPLACE(C23283,""-\d+(.*)|--\d+(.*)"","""")"),"CANAPLES")</f>
        <v>CANAPLES</v>
      </c>
      <c r="E23283" s="38" t="s">
        <v>224</v>
      </c>
      <c r="F23283" s="38" t="s">
        <v>113</v>
      </c>
      <c r="G23283" s="49" t="str">
        <f t="shared" si="1"/>
        <v>80670</v>
      </c>
      <c r="H23283" s="49">
        <f t="shared" si="2"/>
        <v>80166</v>
      </c>
    </row>
    <row r="23284">
      <c r="A23284" s="48" t="s">
        <v>13106</v>
      </c>
      <c r="B23284" s="38">
        <v>88477.0</v>
      </c>
      <c r="C23284" s="38" t="s">
        <v>27819</v>
      </c>
      <c r="D23284" s="38" t="str">
        <f>IFERROR(__xludf.DUMMYFUNCTION("REGEXREPLACE(C23284,""-\d+(.*)|--\d+(.*)"","""")"),"TRAMPOT")</f>
        <v>TRAMPOT</v>
      </c>
      <c r="E23284" s="38" t="s">
        <v>194</v>
      </c>
      <c r="F23284" s="38" t="s">
        <v>195</v>
      </c>
      <c r="G23284" s="49" t="str">
        <f t="shared" si="1"/>
        <v>88350</v>
      </c>
      <c r="H23284" s="49">
        <f t="shared" si="2"/>
        <v>88477</v>
      </c>
    </row>
    <row r="23285">
      <c r="A23285" s="48" t="s">
        <v>6753</v>
      </c>
      <c r="B23285" s="38">
        <v>42171.0</v>
      </c>
      <c r="C23285" s="38" t="s">
        <v>27820</v>
      </c>
      <c r="D23285" s="38" t="str">
        <f>IFERROR(__xludf.DUMMYFUNCTION("REGEXREPLACE(C23285,""-\d+(.*)|--\d+(.*)"","""")"),"PINAY")</f>
        <v>PINAY</v>
      </c>
      <c r="E23285" s="38" t="s">
        <v>166</v>
      </c>
      <c r="F23285" s="38" t="s">
        <v>102</v>
      </c>
      <c r="G23285" s="49" t="str">
        <f t="shared" si="1"/>
        <v>42590</v>
      </c>
      <c r="H23285" s="49">
        <f t="shared" si="2"/>
        <v>42171</v>
      </c>
    </row>
    <row r="23286">
      <c r="A23286" s="48" t="s">
        <v>4015</v>
      </c>
      <c r="B23286" s="38">
        <v>68016.0</v>
      </c>
      <c r="C23286" s="38" t="s">
        <v>27821</v>
      </c>
      <c r="D23286" s="38" t="str">
        <f>IFERROR(__xludf.DUMMYFUNCTION("REGEXREPLACE(C23286,""-\d+(.*)|--\d+(.*)"","""")"),"BALGAU")</f>
        <v>BALGAU</v>
      </c>
      <c r="E23286" s="38" t="s">
        <v>150</v>
      </c>
      <c r="F23286" s="38" t="s">
        <v>151</v>
      </c>
      <c r="G23286" s="49" t="str">
        <f t="shared" si="1"/>
        <v>68740</v>
      </c>
      <c r="H23286" s="49">
        <f t="shared" si="2"/>
        <v>68016</v>
      </c>
    </row>
    <row r="23287">
      <c r="A23287" s="48" t="s">
        <v>18259</v>
      </c>
      <c r="B23287" s="38">
        <v>14254.0</v>
      </c>
      <c r="C23287" s="38" t="s">
        <v>27822</v>
      </c>
      <c r="D23287" s="38" t="str">
        <f>IFERROR(__xludf.DUMMYFUNCTION("REGEXREPLACE(C23287,""-\d+(.*)|--\d+(.*)"","""")"),"ETERVILLE")</f>
        <v>ETERVILLE</v>
      </c>
      <c r="E23287" s="38" t="s">
        <v>137</v>
      </c>
      <c r="F23287" s="38" t="s">
        <v>138</v>
      </c>
      <c r="G23287" s="49" t="str">
        <f t="shared" si="1"/>
        <v>14930</v>
      </c>
      <c r="H23287" s="49">
        <f t="shared" si="2"/>
        <v>14254</v>
      </c>
    </row>
    <row r="23288">
      <c r="A23288" s="48" t="s">
        <v>10609</v>
      </c>
      <c r="B23288" s="38">
        <v>12171.0</v>
      </c>
      <c r="C23288" s="38" t="s">
        <v>27823</v>
      </c>
      <c r="D23288" s="38" t="str">
        <f>IFERROR(__xludf.DUMMYFUNCTION("REGEXREPLACE(C23288,""-\d+(.*)|--\d+(.*)"","""")"),"NAUVIALE")</f>
        <v>NAUVIALE</v>
      </c>
      <c r="E23288" s="38" t="s">
        <v>465</v>
      </c>
      <c r="F23288" s="38" t="s">
        <v>94</v>
      </c>
      <c r="G23288" s="49" t="str">
        <f t="shared" si="1"/>
        <v>12330</v>
      </c>
      <c r="H23288" s="49">
        <f t="shared" si="2"/>
        <v>12171</v>
      </c>
    </row>
    <row r="23289">
      <c r="A23289" s="48" t="s">
        <v>1118</v>
      </c>
      <c r="B23289" s="38">
        <v>50166.0</v>
      </c>
      <c r="C23289" s="38" t="s">
        <v>27824</v>
      </c>
      <c r="D23289" s="38" t="str">
        <f>IFERROR(__xludf.DUMMYFUNCTION("REGEXREPLACE(C23289,""-\d+(.*)|--\d+(.*)"","""")"),"DOVILLE")</f>
        <v>DOVILLE</v>
      </c>
      <c r="E23289" s="38" t="s">
        <v>157</v>
      </c>
      <c r="F23289" s="38" t="s">
        <v>138</v>
      </c>
      <c r="G23289" s="49" t="str">
        <f t="shared" si="1"/>
        <v>50250</v>
      </c>
      <c r="H23289" s="49">
        <f t="shared" si="2"/>
        <v>50166</v>
      </c>
    </row>
    <row r="23290">
      <c r="A23290" s="48" t="s">
        <v>16304</v>
      </c>
      <c r="B23290" s="38">
        <v>87081.0</v>
      </c>
      <c r="C23290" s="38" t="s">
        <v>27825</v>
      </c>
      <c r="D23290" s="38" t="str">
        <f>IFERROR(__xludf.DUMMYFUNCTION("REGEXREPLACE(C23290,""-\d+(.*)|--\d+(.*)"","""")"),"JOURGNAC")</f>
        <v>JOURGNAC</v>
      </c>
      <c r="E23290" s="38" t="s">
        <v>897</v>
      </c>
      <c r="F23290" s="38" t="s">
        <v>98</v>
      </c>
      <c r="G23290" s="49" t="str">
        <f t="shared" si="1"/>
        <v>87800</v>
      </c>
      <c r="H23290" s="49">
        <f t="shared" si="2"/>
        <v>87081</v>
      </c>
    </row>
    <row r="23291">
      <c r="A23291" s="48" t="s">
        <v>3992</v>
      </c>
      <c r="B23291" s="38">
        <v>46235.0</v>
      </c>
      <c r="C23291" s="38" t="s">
        <v>10732</v>
      </c>
      <c r="D23291" s="38" t="str">
        <f>IFERROR(__xludf.DUMMYFUNCTION("REGEXREPLACE(C23291,""-\d+(.*)|--\d+(.*)"","""")"),"REILHAC")</f>
        <v>REILHAC</v>
      </c>
      <c r="E23291" s="38" t="s">
        <v>185</v>
      </c>
      <c r="F23291" s="38" t="s">
        <v>94</v>
      </c>
      <c r="G23291" s="49" t="str">
        <f t="shared" si="1"/>
        <v>46500</v>
      </c>
      <c r="H23291" s="49">
        <f t="shared" si="2"/>
        <v>46235</v>
      </c>
    </row>
    <row r="23292">
      <c r="A23292" s="48" t="s">
        <v>970</v>
      </c>
      <c r="B23292" s="38">
        <v>2608.0</v>
      </c>
      <c r="C23292" s="38" t="s">
        <v>27826</v>
      </c>
      <c r="D23292" s="38" t="str">
        <f>IFERROR(__xludf.DUMMYFUNCTION("REGEXREPLACE(C23292,""-\d+(.*)|--\d+(.*)"","""")"),"PLOMION")</f>
        <v>PLOMION</v>
      </c>
      <c r="E23292" s="38" t="s">
        <v>191</v>
      </c>
      <c r="F23292" s="38" t="s">
        <v>113</v>
      </c>
      <c r="G23292" s="49" t="str">
        <f t="shared" si="1"/>
        <v>02140</v>
      </c>
      <c r="H23292" s="49" t="str">
        <f t="shared" si="2"/>
        <v>02608</v>
      </c>
    </row>
    <row r="23293">
      <c r="A23293" s="48" t="s">
        <v>27827</v>
      </c>
      <c r="B23293" s="38">
        <v>25400.0</v>
      </c>
      <c r="C23293" s="38" t="s">
        <v>27828</v>
      </c>
      <c r="D23293" s="38" t="str">
        <f>IFERROR(__xludf.DUMMYFUNCTION("REGEXREPLACE(C23293,""-\d+(.*)|--\d+(.*)"","""")"),"MONTGESOYE")</f>
        <v>MONTGESOYE</v>
      </c>
      <c r="E23293" s="38" t="s">
        <v>213</v>
      </c>
      <c r="F23293" s="38" t="s">
        <v>214</v>
      </c>
      <c r="G23293" s="49" t="str">
        <f t="shared" si="1"/>
        <v>25111</v>
      </c>
      <c r="H23293" s="49">
        <f t="shared" si="2"/>
        <v>25400</v>
      </c>
    </row>
    <row r="23294">
      <c r="A23294" s="48" t="s">
        <v>5358</v>
      </c>
      <c r="B23294" s="38">
        <v>23211.0</v>
      </c>
      <c r="C23294" s="38" t="s">
        <v>27829</v>
      </c>
      <c r="D23294" s="38" t="str">
        <f>IFERROR(__xludf.DUMMYFUNCTION("REGEXREPLACE(C23294,""-\d+(.*)|--\d+(.*)"","""")"),"SAINT-MARC-A-FRONGIER")</f>
        <v>SAINT-MARC-A-FRONGIER</v>
      </c>
      <c r="E23294" s="38" t="s">
        <v>97</v>
      </c>
      <c r="F23294" s="38" t="s">
        <v>98</v>
      </c>
      <c r="G23294" s="49" t="str">
        <f t="shared" si="1"/>
        <v>23200</v>
      </c>
      <c r="H23294" s="49">
        <f t="shared" si="2"/>
        <v>23211</v>
      </c>
    </row>
    <row r="23295">
      <c r="A23295" s="48" t="s">
        <v>2661</v>
      </c>
      <c r="B23295" s="38">
        <v>50248.0</v>
      </c>
      <c r="C23295" s="38" t="s">
        <v>27830</v>
      </c>
      <c r="D23295" s="38" t="str">
        <f>IFERROR(__xludf.DUMMYFUNCTION("REGEXREPLACE(C23295,""-\d+(.*)|--\d+(.*)"","""")"),"LE HOMMET-D'ARTHENAY")</f>
        <v>LE HOMMET-D'ARTHENAY</v>
      </c>
      <c r="E23295" s="38" t="s">
        <v>157</v>
      </c>
      <c r="F23295" s="38" t="s">
        <v>138</v>
      </c>
      <c r="G23295" s="49" t="str">
        <f t="shared" si="1"/>
        <v>50620</v>
      </c>
      <c r="H23295" s="49">
        <f t="shared" si="2"/>
        <v>50248</v>
      </c>
    </row>
    <row r="23296">
      <c r="A23296" s="48" t="s">
        <v>7416</v>
      </c>
      <c r="B23296" s="38">
        <v>49018.0</v>
      </c>
      <c r="C23296" s="38" t="s">
        <v>27831</v>
      </c>
      <c r="D23296" s="38" t="str">
        <f>IFERROR(__xludf.DUMMYFUNCTION("REGEXREPLACE(C23296,""-\d+(.*)|--\d+(.*)"","""")"),"BAUGE")</f>
        <v>BAUGE</v>
      </c>
      <c r="E23296" s="38" t="s">
        <v>653</v>
      </c>
      <c r="F23296" s="38" t="s">
        <v>180</v>
      </c>
      <c r="G23296" s="49" t="str">
        <f t="shared" si="1"/>
        <v>49150</v>
      </c>
      <c r="H23296" s="49">
        <f t="shared" si="2"/>
        <v>49018</v>
      </c>
    </row>
    <row r="23297">
      <c r="A23297" s="48" t="s">
        <v>3430</v>
      </c>
      <c r="B23297" s="38">
        <v>84146.0</v>
      </c>
      <c r="C23297" s="38" t="s">
        <v>24578</v>
      </c>
      <c r="D23297" s="38" t="str">
        <f>IFERROR(__xludf.DUMMYFUNCTION("REGEXREPLACE(C23297,""-\d+(.*)|--\d+(.*)"","""")"),"VILLEDIEU")</f>
        <v>VILLEDIEU</v>
      </c>
      <c r="E23297" s="38" t="s">
        <v>1026</v>
      </c>
      <c r="F23297" s="38" t="s">
        <v>228</v>
      </c>
      <c r="G23297" s="49" t="str">
        <f t="shared" si="1"/>
        <v>84110</v>
      </c>
      <c r="H23297" s="49">
        <f t="shared" si="2"/>
        <v>84146</v>
      </c>
    </row>
    <row r="23298">
      <c r="A23298" s="48" t="s">
        <v>466</v>
      </c>
      <c r="B23298" s="38">
        <v>52118.0</v>
      </c>
      <c r="C23298" s="38" t="s">
        <v>27832</v>
      </c>
      <c r="D23298" s="38" t="str">
        <f>IFERROR(__xludf.DUMMYFUNCTION("REGEXREPLACE(C23298,""-\d+(.*)|--\d+(.*)"","""")"),"CHATONRUPT-SOMMERMONT")</f>
        <v>CHATONRUPT-SOMMERMONT</v>
      </c>
      <c r="E23298" s="38" t="s">
        <v>234</v>
      </c>
      <c r="F23298" s="38" t="s">
        <v>130</v>
      </c>
      <c r="G23298" s="49" t="str">
        <f t="shared" si="1"/>
        <v>52300</v>
      </c>
      <c r="H23298" s="49">
        <f t="shared" si="2"/>
        <v>52118</v>
      </c>
    </row>
    <row r="23299">
      <c r="A23299" s="48" t="s">
        <v>8393</v>
      </c>
      <c r="B23299" s="38">
        <v>80143.0</v>
      </c>
      <c r="C23299" s="38" t="s">
        <v>27833</v>
      </c>
      <c r="D23299" s="38" t="str">
        <f>IFERROR(__xludf.DUMMYFUNCTION("REGEXREPLACE(C23299,""-\d+(.*)|--\d+(.*)"","""")"),"BROCOURT")</f>
        <v>BROCOURT</v>
      </c>
      <c r="E23299" s="38" t="s">
        <v>224</v>
      </c>
      <c r="F23299" s="38" t="s">
        <v>113</v>
      </c>
      <c r="G23299" s="49" t="str">
        <f t="shared" si="1"/>
        <v>80430</v>
      </c>
      <c r="H23299" s="49">
        <f t="shared" si="2"/>
        <v>80143</v>
      </c>
    </row>
    <row r="23300">
      <c r="A23300" s="48" t="s">
        <v>14237</v>
      </c>
      <c r="B23300" s="38">
        <v>41030.0</v>
      </c>
      <c r="C23300" s="38" t="s">
        <v>27834</v>
      </c>
      <c r="D23300" s="38" t="str">
        <f>IFERROR(__xludf.DUMMYFUNCTION("REGEXREPLACE(C23300,""-\d+(.*)|--\d+(.*)"","""")"),"CELLE")</f>
        <v>CELLE</v>
      </c>
      <c r="E23300" s="38" t="s">
        <v>188</v>
      </c>
      <c r="F23300" s="38" t="s">
        <v>123</v>
      </c>
      <c r="G23300" s="49" t="str">
        <f t="shared" si="1"/>
        <v>41360</v>
      </c>
      <c r="H23300" s="49">
        <f t="shared" si="2"/>
        <v>41030</v>
      </c>
    </row>
    <row r="23301">
      <c r="A23301" s="48" t="s">
        <v>15686</v>
      </c>
      <c r="B23301" s="38">
        <v>69282.0</v>
      </c>
      <c r="C23301" s="38" t="s">
        <v>27835</v>
      </c>
      <c r="D23301" s="38" t="str">
        <f>IFERROR(__xludf.DUMMYFUNCTION("REGEXREPLACE(C23301,""-\d+(.*)|--\d+(.*)"","""")"),"MEYZIEU")</f>
        <v>MEYZIEU</v>
      </c>
      <c r="E23301" s="38" t="s">
        <v>350</v>
      </c>
      <c r="F23301" s="38" t="s">
        <v>102</v>
      </c>
      <c r="G23301" s="49" t="str">
        <f t="shared" si="1"/>
        <v>69330</v>
      </c>
      <c r="H23301" s="49">
        <f t="shared" si="2"/>
        <v>69282</v>
      </c>
    </row>
    <row r="23302">
      <c r="A23302" s="48" t="s">
        <v>273</v>
      </c>
      <c r="B23302" s="38">
        <v>89003.0</v>
      </c>
      <c r="C23302" s="38" t="s">
        <v>27836</v>
      </c>
      <c r="D23302" s="38" t="str">
        <f>IFERROR(__xludf.DUMMYFUNCTION("REGEXREPLACE(C23302,""-\d+(.*)|--\d+(.*)"","""")"),"AILLANT-SUR-THOLON")</f>
        <v>AILLANT-SUR-THOLON</v>
      </c>
      <c r="E23302" s="38" t="s">
        <v>275</v>
      </c>
      <c r="F23302" s="38" t="s">
        <v>106</v>
      </c>
      <c r="G23302" s="49" t="str">
        <f t="shared" si="1"/>
        <v>89110</v>
      </c>
      <c r="H23302" s="49">
        <f t="shared" si="2"/>
        <v>89003</v>
      </c>
    </row>
    <row r="23303">
      <c r="A23303" s="48" t="s">
        <v>3125</v>
      </c>
      <c r="B23303" s="38">
        <v>12259.0</v>
      </c>
      <c r="C23303" s="38" t="s">
        <v>27837</v>
      </c>
      <c r="D23303" s="38" t="str">
        <f>IFERROR(__xludf.DUMMYFUNCTION("REGEXREPLACE(C23303,""-\d+(.*)|--\d+(.*)"","""")"),"SANVENSA")</f>
        <v>SANVENSA</v>
      </c>
      <c r="E23303" s="38" t="s">
        <v>465</v>
      </c>
      <c r="F23303" s="38" t="s">
        <v>94</v>
      </c>
      <c r="G23303" s="49" t="str">
        <f t="shared" si="1"/>
        <v>12200</v>
      </c>
      <c r="H23303" s="49">
        <f t="shared" si="2"/>
        <v>12259</v>
      </c>
    </row>
    <row r="23304">
      <c r="A23304" s="48" t="s">
        <v>1770</v>
      </c>
      <c r="B23304" s="38">
        <v>57350.0</v>
      </c>
      <c r="C23304" s="38" t="s">
        <v>27838</v>
      </c>
      <c r="D23304" s="38" t="str">
        <f>IFERROR(__xludf.DUMMYFUNCTION("REGEXREPLACE(C23304,""-\d+(.*)|--\d+(.*)"","""")"),"JOUY-AUX-ARCHES")</f>
        <v>JOUY-AUX-ARCHES</v>
      </c>
      <c r="E23304" s="38" t="s">
        <v>303</v>
      </c>
      <c r="F23304" s="38" t="s">
        <v>195</v>
      </c>
      <c r="G23304" s="49" t="str">
        <f t="shared" si="1"/>
        <v>57130</v>
      </c>
      <c r="H23304" s="49">
        <f t="shared" si="2"/>
        <v>57350</v>
      </c>
    </row>
    <row r="23305">
      <c r="A23305" s="48" t="s">
        <v>775</v>
      </c>
      <c r="B23305" s="38">
        <v>14590.0</v>
      </c>
      <c r="C23305" s="38" t="s">
        <v>27839</v>
      </c>
      <c r="D23305" s="38" t="str">
        <f>IFERROR(__xludf.DUMMYFUNCTION("REGEXREPLACE(C23305,""-\d+(.*)|--\d+(.*)"","""")"),"SAINTE-HONORINE-DE-DUCY")</f>
        <v>SAINTE-HONORINE-DE-DUCY</v>
      </c>
      <c r="E23305" s="38" t="s">
        <v>137</v>
      </c>
      <c r="F23305" s="38" t="s">
        <v>138</v>
      </c>
      <c r="G23305" s="49" t="str">
        <f t="shared" si="1"/>
        <v>14240</v>
      </c>
      <c r="H23305" s="49">
        <f t="shared" si="2"/>
        <v>14590</v>
      </c>
    </row>
    <row r="23306">
      <c r="A23306" s="48" t="s">
        <v>186</v>
      </c>
      <c r="B23306" s="38">
        <v>41105.0</v>
      </c>
      <c r="C23306" s="38" t="s">
        <v>27840</v>
      </c>
      <c r="D23306" s="38" t="str">
        <f>IFERROR(__xludf.DUMMYFUNCTION("REGEXREPLACE(C23306,""-\d+(.*)|--\d+(.*)"","""")"),"JOSNES")</f>
        <v>JOSNES</v>
      </c>
      <c r="E23306" s="38" t="s">
        <v>188</v>
      </c>
      <c r="F23306" s="38" t="s">
        <v>123</v>
      </c>
      <c r="G23306" s="49" t="str">
        <f t="shared" si="1"/>
        <v>41370</v>
      </c>
      <c r="H23306" s="49">
        <f t="shared" si="2"/>
        <v>41105</v>
      </c>
    </row>
    <row r="23307">
      <c r="A23307" s="48" t="s">
        <v>10847</v>
      </c>
      <c r="B23307" s="38">
        <v>77269.0</v>
      </c>
      <c r="C23307" s="38" t="s">
        <v>27841</v>
      </c>
      <c r="D23307" s="38" t="str">
        <f>IFERROR(__xludf.DUMMYFUNCTION("REGEXREPLACE(C23307,""-\d+(.*)|--\d+(.*)"","""")"),"MAINCY")</f>
        <v>MAINCY</v>
      </c>
      <c r="E23307" s="38" t="s">
        <v>244</v>
      </c>
      <c r="F23307" s="38" t="s">
        <v>245</v>
      </c>
      <c r="G23307" s="49" t="str">
        <f t="shared" si="1"/>
        <v>77950</v>
      </c>
      <c r="H23307" s="49">
        <f t="shared" si="2"/>
        <v>77269</v>
      </c>
    </row>
    <row r="23308">
      <c r="A23308" s="48" t="s">
        <v>3718</v>
      </c>
      <c r="B23308" s="38">
        <v>62796.0</v>
      </c>
      <c r="C23308" s="38" t="s">
        <v>27842</v>
      </c>
      <c r="D23308" s="38" t="str">
        <f>IFERROR(__xludf.DUMMYFUNCTION("REGEXREPLACE(C23308,""-\d+(.*)|--\d+(.*)"","""")"),"SIMENCOURT")</f>
        <v>SIMENCOURT</v>
      </c>
      <c r="E23308" s="38" t="s">
        <v>109</v>
      </c>
      <c r="F23308" s="38" t="s">
        <v>86</v>
      </c>
      <c r="G23308" s="49" t="str">
        <f t="shared" si="1"/>
        <v>62123</v>
      </c>
      <c r="H23308" s="49">
        <f t="shared" si="2"/>
        <v>62796</v>
      </c>
    </row>
    <row r="23309">
      <c r="A23309" s="48" t="s">
        <v>5104</v>
      </c>
      <c r="B23309" s="38">
        <v>29179.0</v>
      </c>
      <c r="C23309" s="38" t="s">
        <v>27843</v>
      </c>
      <c r="D23309" s="38" t="str">
        <f>IFERROR(__xludf.DUMMYFUNCTION("REGEXREPLACE(C23309,""-\d+(.*)|--\d+(.*)"","""")"),"PLOUDANIEL")</f>
        <v>PLOUDANIEL</v>
      </c>
      <c r="E23309" s="38" t="s">
        <v>176</v>
      </c>
      <c r="F23309" s="38" t="s">
        <v>90</v>
      </c>
      <c r="G23309" s="49" t="str">
        <f t="shared" si="1"/>
        <v>29260</v>
      </c>
      <c r="H23309" s="49">
        <f t="shared" si="2"/>
        <v>29179</v>
      </c>
    </row>
    <row r="23310">
      <c r="A23310" s="48" t="s">
        <v>721</v>
      </c>
      <c r="B23310" s="38">
        <v>14681.0</v>
      </c>
      <c r="C23310" s="38" t="s">
        <v>27844</v>
      </c>
      <c r="D23310" s="38" t="str">
        <f>IFERROR(__xludf.DUMMYFUNCTION("REGEXREPLACE(C23310,""-\d+(.*)|--\d+(.*)"","""")"),"SURRAIN")</f>
        <v>SURRAIN</v>
      </c>
      <c r="E23310" s="38" t="s">
        <v>137</v>
      </c>
      <c r="F23310" s="38" t="s">
        <v>138</v>
      </c>
      <c r="G23310" s="49" t="str">
        <f t="shared" si="1"/>
        <v>14710</v>
      </c>
      <c r="H23310" s="49">
        <f t="shared" si="2"/>
        <v>14681</v>
      </c>
    </row>
    <row r="23311">
      <c r="A23311" s="48" t="s">
        <v>1738</v>
      </c>
      <c r="B23311" s="38">
        <v>33208.0</v>
      </c>
      <c r="C23311" s="38" t="s">
        <v>27845</v>
      </c>
      <c r="D23311" s="38" t="str">
        <f>IFERROR(__xludf.DUMMYFUNCTION("REGEXREPLACE(C23311,""-\d+(.*)|--\d+(.*)"","""")"),"JAU-DIGNAC-ET-LOIRAC")</f>
        <v>JAU-DIGNAC-ET-LOIRAC</v>
      </c>
      <c r="E23311" s="38" t="s">
        <v>462</v>
      </c>
      <c r="F23311" s="38" t="s">
        <v>252</v>
      </c>
      <c r="G23311" s="49" t="str">
        <f t="shared" si="1"/>
        <v>33590</v>
      </c>
      <c r="H23311" s="49">
        <f t="shared" si="2"/>
        <v>33208</v>
      </c>
    </row>
    <row r="23312">
      <c r="A23312" s="48" t="s">
        <v>785</v>
      </c>
      <c r="B23312" s="38">
        <v>33150.0</v>
      </c>
      <c r="C23312" s="38" t="s">
        <v>27846</v>
      </c>
      <c r="D23312" s="38" t="str">
        <f>IFERROR(__xludf.DUMMYFUNCTION("REGEXREPLACE(C23312,""-\d+(.*)|--\d+(.*)"","""")"),"DIEULIVOL")</f>
        <v>DIEULIVOL</v>
      </c>
      <c r="E23312" s="38" t="s">
        <v>462</v>
      </c>
      <c r="F23312" s="38" t="s">
        <v>252</v>
      </c>
      <c r="G23312" s="49" t="str">
        <f t="shared" si="1"/>
        <v>33580</v>
      </c>
      <c r="H23312" s="49">
        <f t="shared" si="2"/>
        <v>33150</v>
      </c>
    </row>
    <row r="23313">
      <c r="A23313" s="48" t="s">
        <v>8125</v>
      </c>
      <c r="B23313" s="38">
        <v>87007.0</v>
      </c>
      <c r="C23313" s="38" t="s">
        <v>27847</v>
      </c>
      <c r="D23313" s="38" t="str">
        <f>IFERROR(__xludf.DUMMYFUNCTION("REGEXREPLACE(C23313,""-\d+(.*)|--\d+(.*)"","""")"),"BALLEDENT")</f>
        <v>BALLEDENT</v>
      </c>
      <c r="E23313" s="38" t="s">
        <v>897</v>
      </c>
      <c r="F23313" s="38" t="s">
        <v>98</v>
      </c>
      <c r="G23313" s="49" t="str">
        <f t="shared" si="1"/>
        <v>87290</v>
      </c>
      <c r="H23313" s="49">
        <f t="shared" si="2"/>
        <v>87007</v>
      </c>
    </row>
    <row r="23314">
      <c r="A23314" s="48" t="s">
        <v>4199</v>
      </c>
      <c r="B23314" s="38">
        <v>17061.0</v>
      </c>
      <c r="C23314" s="38" t="s">
        <v>27848</v>
      </c>
      <c r="D23314" s="38" t="str">
        <f>IFERROR(__xludf.DUMMYFUNCTION("REGEXREPLACE(C23314,""-\d+(.*)|--\d+(.*)"","""")"),"BRAN")</f>
        <v>BRAN</v>
      </c>
      <c r="E23314" s="38" t="s">
        <v>488</v>
      </c>
      <c r="F23314" s="38" t="s">
        <v>338</v>
      </c>
      <c r="G23314" s="49" t="str">
        <f t="shared" si="1"/>
        <v>17210</v>
      </c>
      <c r="H23314" s="49">
        <f t="shared" si="2"/>
        <v>17061</v>
      </c>
    </row>
    <row r="23315">
      <c r="A23315" s="48" t="s">
        <v>26724</v>
      </c>
      <c r="B23315" s="38">
        <v>48079.0</v>
      </c>
      <c r="C23315" s="38" t="s">
        <v>27849</v>
      </c>
      <c r="D23315" s="38" t="str">
        <f>IFERROR(__xludf.DUMMYFUNCTION("REGEXREPLACE(C23315,""-\d+(.*)|--\d+(.*)"","""")"),"LAJO")</f>
        <v>LAJO</v>
      </c>
      <c r="E23315" s="38" t="s">
        <v>154</v>
      </c>
      <c r="F23315" s="38" t="s">
        <v>119</v>
      </c>
      <c r="G23315" s="49" t="str">
        <f t="shared" si="1"/>
        <v>48120</v>
      </c>
      <c r="H23315" s="49">
        <f t="shared" si="2"/>
        <v>48079</v>
      </c>
    </row>
    <row r="23316">
      <c r="A23316" s="48" t="s">
        <v>2848</v>
      </c>
      <c r="B23316" s="38">
        <v>51186.0</v>
      </c>
      <c r="C23316" s="38" t="s">
        <v>27850</v>
      </c>
      <c r="D23316" s="38" t="str">
        <f>IFERROR(__xludf.DUMMYFUNCTION("REGEXREPLACE(C23316,""-\d+(.*)|--\d+(.*)"","""")"),"COURJEONNET")</f>
        <v>COURJEONNET</v>
      </c>
      <c r="E23316" s="38" t="s">
        <v>129</v>
      </c>
      <c r="F23316" s="38" t="s">
        <v>130</v>
      </c>
      <c r="G23316" s="49" t="str">
        <f t="shared" si="1"/>
        <v>51270</v>
      </c>
      <c r="H23316" s="49">
        <f t="shared" si="2"/>
        <v>51186</v>
      </c>
    </row>
    <row r="23317">
      <c r="A23317" s="48" t="s">
        <v>17439</v>
      </c>
      <c r="B23317" s="38">
        <v>3047.0</v>
      </c>
      <c r="C23317" s="38" t="s">
        <v>1498</v>
      </c>
      <c r="D23317" s="38" t="str">
        <f>IFERROR(__xludf.DUMMYFUNCTION("REGEXREPLACE(C23317,""-\d+(.*)|--\d+(.*)"","""")"),"LA CELLE")</f>
        <v>LA CELLE</v>
      </c>
      <c r="E23317" s="38" t="s">
        <v>160</v>
      </c>
      <c r="F23317" s="38" t="s">
        <v>161</v>
      </c>
      <c r="G23317" s="49" t="str">
        <f t="shared" si="1"/>
        <v>03600</v>
      </c>
      <c r="H23317" s="49" t="str">
        <f t="shared" si="2"/>
        <v>03047</v>
      </c>
    </row>
    <row r="23318">
      <c r="A23318" s="48" t="s">
        <v>13881</v>
      </c>
      <c r="B23318" s="38">
        <v>56236.0</v>
      </c>
      <c r="C23318" s="38" t="s">
        <v>27851</v>
      </c>
      <c r="D23318" s="38" t="str">
        <f>IFERROR(__xludf.DUMMYFUNCTION("REGEXREPLACE(C23318,""-\d+(.*)|--\d+(.*)"","""")"),"SAINT-SERVANT")</f>
        <v>SAINT-SERVANT</v>
      </c>
      <c r="E23318" s="38" t="s">
        <v>173</v>
      </c>
      <c r="F23318" s="38" t="s">
        <v>90</v>
      </c>
      <c r="G23318" s="49" t="str">
        <f t="shared" si="1"/>
        <v>56120</v>
      </c>
      <c r="H23318" s="49">
        <f t="shared" si="2"/>
        <v>56236</v>
      </c>
    </row>
    <row r="23319">
      <c r="A23319" s="48" t="s">
        <v>17216</v>
      </c>
      <c r="B23319" s="38">
        <v>76231.0</v>
      </c>
      <c r="C23319" s="38" t="s">
        <v>27852</v>
      </c>
      <c r="D23319" s="38" t="str">
        <f>IFERROR(__xludf.DUMMYFUNCTION("REGEXREPLACE(C23319,""-\d+(.*)|--\d+(.*)"","""")"),"ELBEUF")</f>
        <v>ELBEUF</v>
      </c>
      <c r="E23319" s="38" t="s">
        <v>133</v>
      </c>
      <c r="F23319" s="38" t="s">
        <v>134</v>
      </c>
      <c r="G23319" s="49" t="str">
        <f t="shared" si="1"/>
        <v>76500</v>
      </c>
      <c r="H23319" s="49">
        <f t="shared" si="2"/>
        <v>76231</v>
      </c>
    </row>
    <row r="23320">
      <c r="A23320" s="48" t="s">
        <v>489</v>
      </c>
      <c r="B23320" s="38">
        <v>9312.0</v>
      </c>
      <c r="C23320" s="38" t="s">
        <v>27853</v>
      </c>
      <c r="D23320" s="38" t="str">
        <f>IFERROR(__xludf.DUMMYFUNCTION("REGEXREPLACE(C23320,""-\d+(.*)|--\d+(.*)"","""")"),"LA TOUR-DU-CRIEU")</f>
        <v>LA TOUR-DU-CRIEU</v>
      </c>
      <c r="E23320" s="38" t="s">
        <v>238</v>
      </c>
      <c r="F23320" s="38" t="s">
        <v>94</v>
      </c>
      <c r="G23320" s="49" t="str">
        <f t="shared" si="1"/>
        <v>09100</v>
      </c>
      <c r="H23320" s="49" t="str">
        <f t="shared" si="2"/>
        <v>09312</v>
      </c>
    </row>
    <row r="23321">
      <c r="A23321" s="48" t="s">
        <v>1056</v>
      </c>
      <c r="B23321" s="38">
        <v>11216.0</v>
      </c>
      <c r="C23321" s="38" t="s">
        <v>27854</v>
      </c>
      <c r="D23321" s="38" t="str">
        <f>IFERROR(__xludf.DUMMYFUNCTION("REGEXREPLACE(C23321,""-\d+(.*)|--\d+(.*)"","""")"),"MALVIES")</f>
        <v>MALVIES</v>
      </c>
      <c r="E23321" s="38" t="s">
        <v>278</v>
      </c>
      <c r="F23321" s="38" t="s">
        <v>119</v>
      </c>
      <c r="G23321" s="49" t="str">
        <f t="shared" si="1"/>
        <v>11300</v>
      </c>
      <c r="H23321" s="49">
        <f t="shared" si="2"/>
        <v>11216</v>
      </c>
    </row>
    <row r="23322">
      <c r="A23322" s="48" t="s">
        <v>16765</v>
      </c>
      <c r="B23322" s="38">
        <v>76083.0</v>
      </c>
      <c r="C23322" s="38" t="s">
        <v>27855</v>
      </c>
      <c r="D23322" s="38" t="str">
        <f>IFERROR(__xludf.DUMMYFUNCTION("REGEXREPLACE(C23322,""-\d+(.*)|--\d+(.*)"","""")"),"BERTHEAUVILLE")</f>
        <v>BERTHEAUVILLE</v>
      </c>
      <c r="E23322" s="38" t="s">
        <v>133</v>
      </c>
      <c r="F23322" s="38" t="s">
        <v>134</v>
      </c>
      <c r="G23322" s="49" t="str">
        <f t="shared" si="1"/>
        <v>76450</v>
      </c>
      <c r="H23322" s="49">
        <f t="shared" si="2"/>
        <v>76083</v>
      </c>
    </row>
    <row r="23323">
      <c r="A23323" s="48" t="s">
        <v>13405</v>
      </c>
      <c r="B23323" s="38">
        <v>28217.0</v>
      </c>
      <c r="C23323" s="38" t="s">
        <v>27856</v>
      </c>
      <c r="D23323" s="38" t="str">
        <f>IFERROR(__xludf.DUMMYFUNCTION("REGEXREPLACE(C23323,""-\d+(.*)|--\d+(.*)"","""")"),"LOUVILLIERS-LES-PERCHE")</f>
        <v>LOUVILLIERS-LES-PERCHE</v>
      </c>
      <c r="E23323" s="38" t="s">
        <v>300</v>
      </c>
      <c r="F23323" s="38" t="s">
        <v>123</v>
      </c>
      <c r="G23323" s="49" t="str">
        <f t="shared" si="1"/>
        <v>28250</v>
      </c>
      <c r="H23323" s="49">
        <f t="shared" si="2"/>
        <v>28217</v>
      </c>
    </row>
    <row r="23324">
      <c r="A23324" s="48" t="s">
        <v>5575</v>
      </c>
      <c r="B23324" s="38">
        <v>62779.0</v>
      </c>
      <c r="C23324" s="38" t="s">
        <v>27857</v>
      </c>
      <c r="D23324" s="38" t="str">
        <f>IFERROR(__xludf.DUMMYFUNCTION("REGEXREPLACE(C23324,""-\d+(.*)|--\d+(.*)"","""")"),"SARTON")</f>
        <v>SARTON</v>
      </c>
      <c r="E23324" s="38" t="s">
        <v>109</v>
      </c>
      <c r="F23324" s="38" t="s">
        <v>86</v>
      </c>
      <c r="G23324" s="49" t="str">
        <f t="shared" si="1"/>
        <v>62760</v>
      </c>
      <c r="H23324" s="49">
        <f t="shared" si="2"/>
        <v>62779</v>
      </c>
    </row>
    <row r="23325">
      <c r="A23325" s="48" t="s">
        <v>8359</v>
      </c>
      <c r="B23325" s="38">
        <v>89479.0</v>
      </c>
      <c r="C23325" s="38" t="s">
        <v>27858</v>
      </c>
      <c r="D23325" s="38" t="str">
        <f>IFERROR(__xludf.DUMMYFUNCTION("REGEXREPLACE(C23325,""-\d+(.*)|--\d+(.*)"","""")"),"VINCELOTTES")</f>
        <v>VINCELOTTES</v>
      </c>
      <c r="E23325" s="38" t="s">
        <v>275</v>
      </c>
      <c r="F23325" s="38" t="s">
        <v>106</v>
      </c>
      <c r="G23325" s="49" t="str">
        <f t="shared" si="1"/>
        <v>89290</v>
      </c>
      <c r="H23325" s="49">
        <f t="shared" si="2"/>
        <v>89479</v>
      </c>
    </row>
    <row r="23326">
      <c r="A23326" s="48" t="s">
        <v>8966</v>
      </c>
      <c r="B23326" s="38">
        <v>38048.0</v>
      </c>
      <c r="C23326" s="38" t="s">
        <v>27859</v>
      </c>
      <c r="D23326" s="38" t="str">
        <f>IFERROR(__xludf.DUMMYFUNCTION("REGEXREPLACE(C23326,""-\d+(.*)|--\d+(.*)"","""")"),"BONNEFAMILLE")</f>
        <v>BONNEFAMILLE</v>
      </c>
      <c r="E23326" s="38" t="s">
        <v>101</v>
      </c>
      <c r="F23326" s="38" t="s">
        <v>102</v>
      </c>
      <c r="G23326" s="49" t="str">
        <f t="shared" si="1"/>
        <v>38090</v>
      </c>
      <c r="H23326" s="49">
        <f t="shared" si="2"/>
        <v>38048</v>
      </c>
    </row>
    <row r="23327">
      <c r="A23327" s="48" t="s">
        <v>1721</v>
      </c>
      <c r="B23327" s="38">
        <v>33343.0</v>
      </c>
      <c r="C23327" s="38" t="s">
        <v>27860</v>
      </c>
      <c r="D23327" s="38" t="str">
        <f>IFERROR(__xludf.DUMMYFUNCTION("REGEXREPLACE(C23327,""-\d+(.*)|--\d+(.*)"","""")"),"PUJOLS-SUR-CIRON")</f>
        <v>PUJOLS-SUR-CIRON</v>
      </c>
      <c r="E23327" s="38" t="s">
        <v>462</v>
      </c>
      <c r="F23327" s="38" t="s">
        <v>252</v>
      </c>
      <c r="G23327" s="49" t="str">
        <f t="shared" si="1"/>
        <v>33210</v>
      </c>
      <c r="H23327" s="49">
        <f t="shared" si="2"/>
        <v>33343</v>
      </c>
    </row>
    <row r="23328">
      <c r="A23328" s="48" t="s">
        <v>4684</v>
      </c>
      <c r="B23328" s="38">
        <v>91195.0</v>
      </c>
      <c r="C23328" s="38" t="s">
        <v>27861</v>
      </c>
      <c r="D23328" s="38" t="str">
        <f>IFERROR(__xludf.DUMMYFUNCTION("REGEXREPLACE(C23328,""-\d+(.*)|--\d+(.*)"","""")"),"DANNEMOIS")</f>
        <v>DANNEMOIS</v>
      </c>
      <c r="E23328" s="38" t="s">
        <v>756</v>
      </c>
      <c r="F23328" s="38" t="s">
        <v>245</v>
      </c>
      <c r="G23328" s="49" t="str">
        <f t="shared" si="1"/>
        <v>91490</v>
      </c>
      <c r="H23328" s="49">
        <f t="shared" si="2"/>
        <v>91195</v>
      </c>
    </row>
    <row r="23329">
      <c r="A23329" s="48" t="s">
        <v>14563</v>
      </c>
      <c r="B23329" s="38">
        <v>29134.0</v>
      </c>
      <c r="C23329" s="38" t="s">
        <v>27862</v>
      </c>
      <c r="D23329" s="38" t="str">
        <f>IFERROR(__xludf.DUMMYFUNCTION("REGEXREPLACE(C23329,""-\d+(.*)|--\d+(.*)"","""")"),"LOCRONAN")</f>
        <v>LOCRONAN</v>
      </c>
      <c r="E23329" s="38" t="s">
        <v>176</v>
      </c>
      <c r="F23329" s="38" t="s">
        <v>90</v>
      </c>
      <c r="G23329" s="49" t="str">
        <f t="shared" si="1"/>
        <v>29180</v>
      </c>
      <c r="H23329" s="49">
        <f t="shared" si="2"/>
        <v>29134</v>
      </c>
    </row>
    <row r="23330">
      <c r="A23330" s="48" t="s">
        <v>535</v>
      </c>
      <c r="B23330" s="38">
        <v>36014.0</v>
      </c>
      <c r="C23330" s="38" t="s">
        <v>27863</v>
      </c>
      <c r="D23330" s="38" t="str">
        <f>IFERROR(__xludf.DUMMYFUNCTION("REGEXREPLACE(C23330,""-\d+(.*)|--\d+(.*)"","""")"),"BAZAIGES")</f>
        <v>BAZAIGES</v>
      </c>
      <c r="E23330" s="38" t="s">
        <v>258</v>
      </c>
      <c r="F23330" s="38" t="s">
        <v>123</v>
      </c>
      <c r="G23330" s="49" t="str">
        <f t="shared" si="1"/>
        <v>36270</v>
      </c>
      <c r="H23330" s="49">
        <f t="shared" si="2"/>
        <v>36014</v>
      </c>
    </row>
    <row r="23331">
      <c r="A23331" s="48" t="s">
        <v>1396</v>
      </c>
      <c r="B23331" s="38">
        <v>29065.0</v>
      </c>
      <c r="C23331" s="38" t="s">
        <v>27864</v>
      </c>
      <c r="D23331" s="38" t="str">
        <f>IFERROR(__xludf.DUMMYFUNCTION("REGEXREPLACE(C23331,""-\d+(.*)|--\d+(.*)"","""")"),"GOURLIZON")</f>
        <v>GOURLIZON</v>
      </c>
      <c r="E23331" s="38" t="s">
        <v>176</v>
      </c>
      <c r="F23331" s="38" t="s">
        <v>90</v>
      </c>
      <c r="G23331" s="49" t="str">
        <f t="shared" si="1"/>
        <v>29710</v>
      </c>
      <c r="H23331" s="49">
        <f t="shared" si="2"/>
        <v>29065</v>
      </c>
    </row>
    <row r="23332">
      <c r="A23332" s="48" t="s">
        <v>15799</v>
      </c>
      <c r="B23332" s="38">
        <v>6026.0</v>
      </c>
      <c r="C23332" s="38" t="s">
        <v>27865</v>
      </c>
      <c r="D23332" s="38" t="str">
        <f>IFERROR(__xludf.DUMMYFUNCTION("REGEXREPLACE(C23332,""-\d+(.*)|--\d+(.*)"","""")"),"CABRIS")</f>
        <v>CABRIS</v>
      </c>
      <c r="E23332" s="38" t="s">
        <v>227</v>
      </c>
      <c r="F23332" s="38" t="s">
        <v>228</v>
      </c>
      <c r="G23332" s="49" t="str">
        <f t="shared" si="1"/>
        <v>06530</v>
      </c>
      <c r="H23332" s="49" t="str">
        <f t="shared" si="2"/>
        <v>06026</v>
      </c>
    </row>
    <row r="23333">
      <c r="A23333" s="48" t="s">
        <v>27866</v>
      </c>
      <c r="B23333" s="38">
        <v>95424.0</v>
      </c>
      <c r="C23333" s="38" t="s">
        <v>27867</v>
      </c>
      <c r="D23333" s="38" t="str">
        <f>IFERROR(__xludf.DUMMYFUNCTION("REGEXREPLACE(C23333,""-\d+(.*)|--\d+(.*)"","""")"),"MONTIGNY-LES-CORMEILLES")</f>
        <v>MONTIGNY-LES-CORMEILLES</v>
      </c>
      <c r="E23333" s="38" t="s">
        <v>541</v>
      </c>
      <c r="F23333" s="38" t="s">
        <v>245</v>
      </c>
      <c r="G23333" s="49" t="str">
        <f t="shared" si="1"/>
        <v>95370</v>
      </c>
      <c r="H23333" s="49">
        <f t="shared" si="2"/>
        <v>95424</v>
      </c>
    </row>
    <row r="23334">
      <c r="A23334" s="48" t="s">
        <v>425</v>
      </c>
      <c r="B23334" s="38">
        <v>88078.0</v>
      </c>
      <c r="C23334" s="38" t="s">
        <v>27868</v>
      </c>
      <c r="D23334" s="38" t="str">
        <f>IFERROR(__xludf.DUMMYFUNCTION("REGEXREPLACE(C23334,""-\d+(.*)|--\d+(.*)"","""")"),"BRUYERES")</f>
        <v>BRUYERES</v>
      </c>
      <c r="E23334" s="38" t="s">
        <v>194</v>
      </c>
      <c r="F23334" s="38" t="s">
        <v>195</v>
      </c>
      <c r="G23334" s="49" t="str">
        <f t="shared" si="1"/>
        <v>88600</v>
      </c>
      <c r="H23334" s="49">
        <f t="shared" si="2"/>
        <v>88078</v>
      </c>
    </row>
    <row r="23335">
      <c r="A23335" s="48" t="s">
        <v>12882</v>
      </c>
      <c r="B23335" s="38">
        <v>40163.0</v>
      </c>
      <c r="C23335" s="38" t="s">
        <v>27869</v>
      </c>
      <c r="D23335" s="38" t="str">
        <f>IFERROR(__xludf.DUMMYFUNCTION("REGEXREPLACE(C23335,""-\d+(.*)|--\d+(.*)"","""")"),"LUE")</f>
        <v>LUE</v>
      </c>
      <c r="E23335" s="38" t="s">
        <v>281</v>
      </c>
      <c r="F23335" s="38" t="s">
        <v>252</v>
      </c>
      <c r="G23335" s="49" t="str">
        <f t="shared" si="1"/>
        <v>40210</v>
      </c>
      <c r="H23335" s="49">
        <f t="shared" si="2"/>
        <v>40163</v>
      </c>
    </row>
    <row r="23336">
      <c r="A23336" s="48" t="s">
        <v>5648</v>
      </c>
      <c r="B23336" s="38">
        <v>76035.0</v>
      </c>
      <c r="C23336" s="38" t="s">
        <v>27870</v>
      </c>
      <c r="D23336" s="38" t="str">
        <f>IFERROR(__xludf.DUMMYFUNCTION("REGEXREPLACE(C23336,""-\d+(.*)|--\d+(.*)"","""")"),"AUMALE")</f>
        <v>AUMALE</v>
      </c>
      <c r="E23336" s="38" t="s">
        <v>133</v>
      </c>
      <c r="F23336" s="38" t="s">
        <v>134</v>
      </c>
      <c r="G23336" s="49" t="str">
        <f t="shared" si="1"/>
        <v>76390</v>
      </c>
      <c r="H23336" s="49">
        <f t="shared" si="2"/>
        <v>76035</v>
      </c>
    </row>
    <row r="23337">
      <c r="A23337" s="48" t="s">
        <v>8607</v>
      </c>
      <c r="B23337" s="38">
        <v>1381.0</v>
      </c>
      <c r="C23337" s="38" t="s">
        <v>27871</v>
      </c>
      <c r="D23337" s="38" t="str">
        <f>IFERROR(__xludf.DUMMYFUNCTION("REGEXREPLACE(C23337,""-\d+(.*)|--\d+(.*)"","""")"),"SAINT-NIZIER-LE-DESERT")</f>
        <v>SAINT-NIZIER-LE-DESERT</v>
      </c>
      <c r="E23337" s="38" t="s">
        <v>255</v>
      </c>
      <c r="F23337" s="38" t="s">
        <v>102</v>
      </c>
      <c r="G23337" s="49" t="str">
        <f t="shared" si="1"/>
        <v>01320</v>
      </c>
      <c r="H23337" s="49" t="str">
        <f t="shared" si="2"/>
        <v>01381</v>
      </c>
    </row>
    <row r="23338">
      <c r="A23338" s="48" t="s">
        <v>10299</v>
      </c>
      <c r="B23338" s="38">
        <v>67048.0</v>
      </c>
      <c r="C23338" s="38" t="s">
        <v>27872</v>
      </c>
      <c r="D23338" s="38" t="str">
        <f>IFERROR(__xludf.DUMMYFUNCTION("REGEXREPLACE(C23338,""-\d+(.*)|--\d+(.*)"","""")"),"BITSCHHOFFEN")</f>
        <v>BITSCHHOFFEN</v>
      </c>
      <c r="E23338" s="38" t="s">
        <v>210</v>
      </c>
      <c r="F23338" s="38" t="s">
        <v>151</v>
      </c>
      <c r="G23338" s="49" t="str">
        <f t="shared" si="1"/>
        <v>67350</v>
      </c>
      <c r="H23338" s="49">
        <f t="shared" si="2"/>
        <v>67048</v>
      </c>
    </row>
    <row r="23339">
      <c r="A23339" s="48" t="s">
        <v>4900</v>
      </c>
      <c r="B23339" s="38">
        <v>33082.0</v>
      </c>
      <c r="C23339" s="38" t="s">
        <v>27873</v>
      </c>
      <c r="D23339" s="38" t="str">
        <f>IFERROR(__xludf.DUMMYFUNCTION("REGEXREPLACE(C23339,""-\d+(.*)|--\d+(.*)"","""")"),"CADILLAC-EN-FRONSADAIS")</f>
        <v>CADILLAC-EN-FRONSADAIS</v>
      </c>
      <c r="E23339" s="38" t="s">
        <v>462</v>
      </c>
      <c r="F23339" s="38" t="s">
        <v>252</v>
      </c>
      <c r="G23339" s="49" t="str">
        <f t="shared" si="1"/>
        <v>33240</v>
      </c>
      <c r="H23339" s="49">
        <f t="shared" si="2"/>
        <v>33082</v>
      </c>
    </row>
    <row r="23340">
      <c r="A23340" s="48" t="s">
        <v>1609</v>
      </c>
      <c r="B23340" s="38">
        <v>30068.0</v>
      </c>
      <c r="C23340" s="38" t="s">
        <v>27874</v>
      </c>
      <c r="D23340" s="38" t="str">
        <f>IFERROR(__xludf.DUMMYFUNCTION("REGEXREPLACE(C23340,""-\d+(.*)|--\d+(.*)"","""")"),"CARDET")</f>
        <v>CARDET</v>
      </c>
      <c r="E23340" s="38" t="s">
        <v>526</v>
      </c>
      <c r="F23340" s="38" t="s">
        <v>119</v>
      </c>
      <c r="G23340" s="49" t="str">
        <f t="shared" si="1"/>
        <v>30350</v>
      </c>
      <c r="H23340" s="49">
        <f t="shared" si="2"/>
        <v>30068</v>
      </c>
    </row>
    <row r="23341">
      <c r="A23341" s="48" t="s">
        <v>1872</v>
      </c>
      <c r="B23341" s="38">
        <v>80832.0</v>
      </c>
      <c r="C23341" s="38" t="s">
        <v>27875</v>
      </c>
      <c r="D23341" s="38" t="str">
        <f>IFERROR(__xludf.DUMMYFUNCTION("REGEXREPLACE(C23341,""-\d+(.*)|--\d+(.*)"","""")"),"YVRENCH")</f>
        <v>YVRENCH</v>
      </c>
      <c r="E23341" s="38" t="s">
        <v>224</v>
      </c>
      <c r="F23341" s="38" t="s">
        <v>113</v>
      </c>
      <c r="G23341" s="49" t="str">
        <f t="shared" si="1"/>
        <v>80150</v>
      </c>
      <c r="H23341" s="49">
        <f t="shared" si="2"/>
        <v>80832</v>
      </c>
    </row>
    <row r="23342">
      <c r="A23342" s="48" t="s">
        <v>11115</v>
      </c>
      <c r="B23342" s="38">
        <v>34056.0</v>
      </c>
      <c r="C23342" s="38" t="s">
        <v>27876</v>
      </c>
      <c r="D23342" s="38" t="str">
        <f>IFERROR(__xludf.DUMMYFUNCTION("REGEXREPLACE(C23342,""-\d+(.*)|--\d+(.*)"","""")"),"CASTELNAU-DE-GUERS")</f>
        <v>CASTELNAU-DE-GUERS</v>
      </c>
      <c r="E23342" s="38" t="s">
        <v>118</v>
      </c>
      <c r="F23342" s="38" t="s">
        <v>119</v>
      </c>
      <c r="G23342" s="49" t="str">
        <f t="shared" si="1"/>
        <v>34120</v>
      </c>
      <c r="H23342" s="49">
        <f t="shared" si="2"/>
        <v>34056</v>
      </c>
    </row>
    <row r="23343">
      <c r="A23343" s="48" t="s">
        <v>906</v>
      </c>
      <c r="B23343" s="38">
        <v>59283.0</v>
      </c>
      <c r="C23343" s="38" t="s">
        <v>20770</v>
      </c>
      <c r="D23343" s="38" t="str">
        <f>IFERROR(__xludf.DUMMYFUNCTION("REGEXREPLACE(C23343,""-\d+(.*)|--\d+(.*)"","""")"),"HARGNIES")</f>
        <v>HARGNIES</v>
      </c>
      <c r="E23343" s="38" t="s">
        <v>85</v>
      </c>
      <c r="F23343" s="38" t="s">
        <v>86</v>
      </c>
      <c r="G23343" s="49" t="str">
        <f t="shared" si="1"/>
        <v>59138</v>
      </c>
      <c r="H23343" s="49">
        <f t="shared" si="2"/>
        <v>59283</v>
      </c>
    </row>
    <row r="23344">
      <c r="A23344" s="48" t="s">
        <v>196</v>
      </c>
      <c r="B23344" s="38">
        <v>2425.0</v>
      </c>
      <c r="C23344" s="38" t="s">
        <v>27877</v>
      </c>
      <c r="D23344" s="38" t="str">
        <f>IFERROR(__xludf.DUMMYFUNCTION("REGEXREPLACE(C23344,""-\d+(.*)|--\d+(.*)"","""")"),"LEUZE")</f>
        <v>LEUZE</v>
      </c>
      <c r="E23344" s="38" t="s">
        <v>191</v>
      </c>
      <c r="F23344" s="38" t="s">
        <v>113</v>
      </c>
      <c r="G23344" s="49" t="str">
        <f t="shared" si="1"/>
        <v>02500</v>
      </c>
      <c r="H23344" s="49" t="str">
        <f t="shared" si="2"/>
        <v>02425</v>
      </c>
    </row>
    <row r="23345">
      <c r="A23345" s="48" t="s">
        <v>10533</v>
      </c>
      <c r="B23345" s="38">
        <v>87072.0</v>
      </c>
      <c r="C23345" s="38" t="s">
        <v>27878</v>
      </c>
      <c r="D23345" s="38" t="str">
        <f>IFERROR(__xludf.DUMMYFUNCTION("REGEXREPLACE(C23345,""-\d+(.*)|--\d+(.*)"","""")"),"GLANGES")</f>
        <v>GLANGES</v>
      </c>
      <c r="E23345" s="38" t="s">
        <v>897</v>
      </c>
      <c r="F23345" s="38" t="s">
        <v>98</v>
      </c>
      <c r="G23345" s="49" t="str">
        <f t="shared" si="1"/>
        <v>87380</v>
      </c>
      <c r="H23345" s="49">
        <f t="shared" si="2"/>
        <v>87072</v>
      </c>
    </row>
    <row r="23346">
      <c r="A23346" s="48" t="s">
        <v>7700</v>
      </c>
      <c r="B23346" s="38">
        <v>23189.0</v>
      </c>
      <c r="C23346" s="38" t="s">
        <v>27879</v>
      </c>
      <c r="D23346" s="38" t="str">
        <f>IFERROR(__xludf.DUMMYFUNCTION("REGEXREPLACE(C23346,""-\d+(.*)|--\d+(.*)"","""")"),"SAINT-DIZIER-LEYRENNE")</f>
        <v>SAINT-DIZIER-LEYRENNE</v>
      </c>
      <c r="E23346" s="38" t="s">
        <v>97</v>
      </c>
      <c r="F23346" s="38" t="s">
        <v>98</v>
      </c>
      <c r="G23346" s="49" t="str">
        <f t="shared" si="1"/>
        <v>23400</v>
      </c>
      <c r="H23346" s="49">
        <f t="shared" si="2"/>
        <v>23189</v>
      </c>
    </row>
    <row r="23347">
      <c r="A23347" s="48" t="s">
        <v>3238</v>
      </c>
      <c r="B23347" s="38">
        <v>61422.0</v>
      </c>
      <c r="C23347" s="38" t="s">
        <v>27880</v>
      </c>
      <c r="D23347" s="38" t="str">
        <f>IFERROR(__xludf.DUMMYFUNCTION("REGEXREPLACE(C23347,""-\d+(.*)|--\d+(.*)"","""")"),"LES ASPRES")</f>
        <v>LES ASPRES</v>
      </c>
      <c r="E23347" s="38" t="s">
        <v>141</v>
      </c>
      <c r="F23347" s="38" t="s">
        <v>138</v>
      </c>
      <c r="G23347" s="49" t="str">
        <f t="shared" si="1"/>
        <v>61270</v>
      </c>
      <c r="H23347" s="49">
        <f t="shared" si="2"/>
        <v>61422</v>
      </c>
    </row>
    <row r="23348">
      <c r="A23348" s="48" t="s">
        <v>5840</v>
      </c>
      <c r="B23348" s="38">
        <v>71321.0</v>
      </c>
      <c r="C23348" s="38" t="s">
        <v>27881</v>
      </c>
      <c r="D23348" s="38" t="str">
        <f>IFERROR(__xludf.DUMMYFUNCTION("REGEXREPLACE(C23348,""-\d+(.*)|--\d+(.*)"","""")"),"MOREY")</f>
        <v>MOREY</v>
      </c>
      <c r="E23348" s="38" t="s">
        <v>344</v>
      </c>
      <c r="F23348" s="38" t="s">
        <v>106</v>
      </c>
      <c r="G23348" s="49" t="str">
        <f t="shared" si="1"/>
        <v>71510</v>
      </c>
      <c r="H23348" s="49">
        <f t="shared" si="2"/>
        <v>71321</v>
      </c>
    </row>
    <row r="23349">
      <c r="A23349" s="48" t="s">
        <v>1754</v>
      </c>
      <c r="B23349" s="38">
        <v>14265.0</v>
      </c>
      <c r="C23349" s="38" t="s">
        <v>27882</v>
      </c>
      <c r="D23349" s="38" t="str">
        <f>IFERROR(__xludf.DUMMYFUNCTION("REGEXREPLACE(C23349,""-\d+(.*)|--\d+(.*)"","""")"),"FERVAQUES")</f>
        <v>FERVAQUES</v>
      </c>
      <c r="E23349" s="38" t="s">
        <v>137</v>
      </c>
      <c r="F23349" s="38" t="s">
        <v>138</v>
      </c>
      <c r="G23349" s="49" t="str">
        <f t="shared" si="1"/>
        <v>14140</v>
      </c>
      <c r="H23349" s="49">
        <f t="shared" si="2"/>
        <v>14265</v>
      </c>
    </row>
    <row r="23350">
      <c r="A23350" s="48" t="s">
        <v>6704</v>
      </c>
      <c r="B23350" s="38">
        <v>12229.0</v>
      </c>
      <c r="C23350" s="38" t="s">
        <v>27883</v>
      </c>
      <c r="D23350" s="38" t="str">
        <f>IFERROR(__xludf.DUMMYFUNCTION("REGEXREPLACE(C23350,""-\d+(.*)|--\d+(.*)"","""")"),"SAINT-JEAN-D'ALCAPIES")</f>
        <v>SAINT-JEAN-D'ALCAPIES</v>
      </c>
      <c r="E23350" s="38" t="s">
        <v>465</v>
      </c>
      <c r="F23350" s="38" t="s">
        <v>94</v>
      </c>
      <c r="G23350" s="49" t="str">
        <f t="shared" si="1"/>
        <v>12250</v>
      </c>
      <c r="H23350" s="49">
        <f t="shared" si="2"/>
        <v>12229</v>
      </c>
    </row>
    <row r="23351">
      <c r="A23351" s="48" t="s">
        <v>1495</v>
      </c>
      <c r="B23351" s="38">
        <v>33461.0</v>
      </c>
      <c r="C23351" s="38" t="s">
        <v>27884</v>
      </c>
      <c r="D23351" s="38" t="str">
        <f>IFERROR(__xludf.DUMMYFUNCTION("REGEXREPLACE(C23351,""-\d+(.*)|--\d+(.*)"","""")"),"SAINT-PHILIPPE-D'AIGUILLE")</f>
        <v>SAINT-PHILIPPE-D'AIGUILLE</v>
      </c>
      <c r="E23351" s="38" t="s">
        <v>462</v>
      </c>
      <c r="F23351" s="38" t="s">
        <v>252</v>
      </c>
      <c r="G23351" s="49" t="str">
        <f t="shared" si="1"/>
        <v>33350</v>
      </c>
      <c r="H23351" s="49">
        <f t="shared" si="2"/>
        <v>33461</v>
      </c>
    </row>
    <row r="23352">
      <c r="A23352" s="48" t="s">
        <v>7758</v>
      </c>
      <c r="B23352" s="38">
        <v>63233.0</v>
      </c>
      <c r="C23352" s="38" t="s">
        <v>27885</v>
      </c>
      <c r="D23352" s="38" t="str">
        <f>IFERROR(__xludf.DUMMYFUNCTION("REGEXREPLACE(C23352,""-\d+(.*)|--\d+(.*)"","""")"),"MONTAIGUT")</f>
        <v>MONTAIGUT</v>
      </c>
      <c r="E23352" s="38" t="s">
        <v>353</v>
      </c>
      <c r="F23352" s="38" t="s">
        <v>161</v>
      </c>
      <c r="G23352" s="49" t="str">
        <f t="shared" si="1"/>
        <v>63700</v>
      </c>
      <c r="H23352" s="49">
        <f t="shared" si="2"/>
        <v>63233</v>
      </c>
    </row>
    <row r="23353">
      <c r="A23353" s="48" t="s">
        <v>1483</v>
      </c>
      <c r="B23353" s="38">
        <v>80836.0</v>
      </c>
      <c r="C23353" s="38" t="s">
        <v>27886</v>
      </c>
      <c r="D23353" s="38" t="str">
        <f>IFERROR(__xludf.DUMMYFUNCTION("REGEXREPLACE(C23353,""-\d+(.*)|--\d+(.*)"","""")"),"YONVAL")</f>
        <v>YONVAL</v>
      </c>
      <c r="E23353" s="38" t="s">
        <v>224</v>
      </c>
      <c r="F23353" s="38" t="s">
        <v>113</v>
      </c>
      <c r="G23353" s="49" t="str">
        <f t="shared" si="1"/>
        <v>80132</v>
      </c>
      <c r="H23353" s="49">
        <f t="shared" si="2"/>
        <v>80836</v>
      </c>
    </row>
    <row r="23354">
      <c r="A23354" s="48" t="s">
        <v>3978</v>
      </c>
      <c r="B23354" s="38">
        <v>21504.0</v>
      </c>
      <c r="C23354" s="38" t="s">
        <v>27887</v>
      </c>
      <c r="D23354" s="38" t="str">
        <f>IFERROR(__xludf.DUMMYFUNCTION("REGEXREPLACE(C23354,""-\d+(.*)|--\d+(.*)"","""")"),"PRALON")</f>
        <v>PRALON</v>
      </c>
      <c r="E23354" s="38" t="s">
        <v>105</v>
      </c>
      <c r="F23354" s="38" t="s">
        <v>106</v>
      </c>
      <c r="G23354" s="49" t="str">
        <f t="shared" si="1"/>
        <v>21410</v>
      </c>
      <c r="H23354" s="49">
        <f t="shared" si="2"/>
        <v>21504</v>
      </c>
    </row>
    <row r="23355">
      <c r="A23355" s="48" t="s">
        <v>3763</v>
      </c>
      <c r="B23355" s="38">
        <v>76274.0</v>
      </c>
      <c r="C23355" s="38" t="s">
        <v>27888</v>
      </c>
      <c r="D23355" s="38" t="str">
        <f>IFERROR(__xludf.DUMMYFUNCTION("REGEXREPLACE(C23355,""-\d+(.*)|--\d+(.*)"","""")"),"LA FONTELAYE")</f>
        <v>LA FONTELAYE</v>
      </c>
      <c r="E23355" s="38" t="s">
        <v>133</v>
      </c>
      <c r="F23355" s="38" t="s">
        <v>134</v>
      </c>
      <c r="G23355" s="49" t="str">
        <f t="shared" si="1"/>
        <v>76890</v>
      </c>
      <c r="H23355" s="49">
        <f t="shared" si="2"/>
        <v>76274</v>
      </c>
    </row>
    <row r="23356">
      <c r="A23356" s="48" t="s">
        <v>26514</v>
      </c>
      <c r="B23356" s="38">
        <v>78576.0</v>
      </c>
      <c r="C23356" s="38" t="s">
        <v>27889</v>
      </c>
      <c r="D23356" s="38" t="str">
        <f>IFERROR(__xludf.DUMMYFUNCTION("REGEXREPLACE(C23356,""-\d+(.*)|--\d+(.*)"","""")"),"SAINT-REMY-L'HONORE")</f>
        <v>SAINT-REMY-L'HONORE</v>
      </c>
      <c r="E23356" s="38" t="s">
        <v>362</v>
      </c>
      <c r="F23356" s="38" t="s">
        <v>245</v>
      </c>
      <c r="G23356" s="49" t="str">
        <f t="shared" si="1"/>
        <v>78690</v>
      </c>
      <c r="H23356" s="49">
        <f t="shared" si="2"/>
        <v>78576</v>
      </c>
    </row>
    <row r="23357">
      <c r="A23357" s="48" t="s">
        <v>8418</v>
      </c>
      <c r="B23357" s="38">
        <v>80013.0</v>
      </c>
      <c r="C23357" s="38" t="s">
        <v>27890</v>
      </c>
      <c r="D23357" s="38" t="str">
        <f>IFERROR(__xludf.DUMMYFUNCTION("REGEXREPLACE(C23357,""-\d+(.*)|--\d+(.*)"","""")"),"AIRAINES")</f>
        <v>AIRAINES</v>
      </c>
      <c r="E23357" s="38" t="s">
        <v>224</v>
      </c>
      <c r="F23357" s="38" t="s">
        <v>113</v>
      </c>
      <c r="G23357" s="49" t="str">
        <f t="shared" si="1"/>
        <v>80270</v>
      </c>
      <c r="H23357" s="49">
        <f t="shared" si="2"/>
        <v>80013</v>
      </c>
    </row>
    <row r="23358">
      <c r="A23358" s="48" t="s">
        <v>27891</v>
      </c>
      <c r="B23358" s="38">
        <v>15140.0</v>
      </c>
      <c r="C23358" s="38" t="s">
        <v>27892</v>
      </c>
      <c r="D23358" s="38" t="str">
        <f>IFERROR(__xludf.DUMMYFUNCTION("REGEXREPLACE(C23358,""-\d+(.*)|--\d+(.*)"","""")"),"NAUCELLES")</f>
        <v>NAUCELLES</v>
      </c>
      <c r="E23358" s="38" t="s">
        <v>632</v>
      </c>
      <c r="F23358" s="38" t="s">
        <v>161</v>
      </c>
      <c r="G23358" s="49" t="str">
        <f t="shared" si="1"/>
        <v>15000/15250</v>
      </c>
      <c r="H23358" s="49">
        <f t="shared" si="2"/>
        <v>15140</v>
      </c>
    </row>
    <row r="23359">
      <c r="A23359" s="48" t="s">
        <v>13060</v>
      </c>
      <c r="B23359" s="38">
        <v>45052.0</v>
      </c>
      <c r="C23359" s="38" t="s">
        <v>27893</v>
      </c>
      <c r="D23359" s="38" t="str">
        <f>IFERROR(__xludf.DUMMYFUNCTION("REGEXREPLACE(C23359,""-\d+(.*)|--\d+(.*)"","""")"),"BRETEAU")</f>
        <v>BRETEAU</v>
      </c>
      <c r="E23359" s="38" t="s">
        <v>122</v>
      </c>
      <c r="F23359" s="38" t="s">
        <v>123</v>
      </c>
      <c r="G23359" s="49" t="str">
        <f t="shared" si="1"/>
        <v>45250</v>
      </c>
      <c r="H23359" s="49">
        <f t="shared" si="2"/>
        <v>45052</v>
      </c>
    </row>
    <row r="23360">
      <c r="A23360" s="48" t="s">
        <v>10031</v>
      </c>
      <c r="B23360" s="38">
        <v>34081.0</v>
      </c>
      <c r="C23360" s="38" t="s">
        <v>8344</v>
      </c>
      <c r="D23360" s="38" t="str">
        <f>IFERROR(__xludf.DUMMYFUNCTION("REGEXREPLACE(C23360,""-\d+(.*)|--\d+(.*)"","""")"),"COLOMBIERS")</f>
        <v>COLOMBIERS</v>
      </c>
      <c r="E23360" s="38" t="s">
        <v>118</v>
      </c>
      <c r="F23360" s="38" t="s">
        <v>119</v>
      </c>
      <c r="G23360" s="49" t="str">
        <f t="shared" si="1"/>
        <v>34440</v>
      </c>
      <c r="H23360" s="49">
        <f t="shared" si="2"/>
        <v>34081</v>
      </c>
    </row>
    <row r="23361">
      <c r="A23361" s="48" t="s">
        <v>2678</v>
      </c>
      <c r="B23361" s="38">
        <v>8417.0</v>
      </c>
      <c r="C23361" s="38" t="s">
        <v>27894</v>
      </c>
      <c r="D23361" s="38" t="str">
        <f>IFERROR(__xludf.DUMMYFUNCTION("REGEXREPLACE(C23361,""-\d+(.*)|--\d+(.*)"","""")"),"SEVIGNY-LA-FORET")</f>
        <v>SEVIGNY-LA-FORET</v>
      </c>
      <c r="E23361" s="38" t="s">
        <v>327</v>
      </c>
      <c r="F23361" s="38" t="s">
        <v>130</v>
      </c>
      <c r="G23361" s="49" t="str">
        <f t="shared" si="1"/>
        <v>08230</v>
      </c>
      <c r="H23361" s="49" t="str">
        <f t="shared" si="2"/>
        <v>08417</v>
      </c>
    </row>
    <row r="23362">
      <c r="A23362" s="48" t="s">
        <v>1756</v>
      </c>
      <c r="B23362" s="38">
        <v>28215.0</v>
      </c>
      <c r="C23362" s="38" t="s">
        <v>27895</v>
      </c>
      <c r="D23362" s="38" t="str">
        <f>IFERROR(__xludf.DUMMYFUNCTION("REGEXREPLACE(C23362,""-\d+(.*)|--\d+(.*)"","""")"),"LOUVILLE-LA-CHENARD")</f>
        <v>LOUVILLE-LA-CHENARD</v>
      </c>
      <c r="E23362" s="38" t="s">
        <v>300</v>
      </c>
      <c r="F23362" s="38" t="s">
        <v>123</v>
      </c>
      <c r="G23362" s="49" t="str">
        <f t="shared" si="1"/>
        <v>28150</v>
      </c>
      <c r="H23362" s="49">
        <f t="shared" si="2"/>
        <v>28215</v>
      </c>
    </row>
    <row r="23363">
      <c r="A23363" s="48" t="s">
        <v>23841</v>
      </c>
      <c r="B23363" s="38">
        <v>84044.0</v>
      </c>
      <c r="C23363" s="38" t="s">
        <v>27896</v>
      </c>
      <c r="D23363" s="38" t="str">
        <f>IFERROR(__xludf.DUMMYFUNCTION("REGEXREPLACE(C23363,""-\d+(.*)|--\d+(.*)"","""")"),"ENTRECHAUX")</f>
        <v>ENTRECHAUX</v>
      </c>
      <c r="E23363" s="38" t="s">
        <v>1026</v>
      </c>
      <c r="F23363" s="38" t="s">
        <v>228</v>
      </c>
      <c r="G23363" s="49" t="str">
        <f t="shared" si="1"/>
        <v>84340</v>
      </c>
      <c r="H23363" s="49">
        <f t="shared" si="2"/>
        <v>84044</v>
      </c>
    </row>
    <row r="23364">
      <c r="A23364" s="48" t="s">
        <v>527</v>
      </c>
      <c r="B23364" s="38">
        <v>86011.0</v>
      </c>
      <c r="C23364" s="38" t="s">
        <v>27897</v>
      </c>
      <c r="D23364" s="38" t="str">
        <f>IFERROR(__xludf.DUMMYFUNCTION("REGEXREPLACE(C23364,""-\d+(.*)|--\d+(.*)"","""")"),"ASNIERES-SUR-BLOUR")</f>
        <v>ASNIERES-SUR-BLOUR</v>
      </c>
      <c r="E23364" s="38" t="s">
        <v>529</v>
      </c>
      <c r="F23364" s="38" t="s">
        <v>338</v>
      </c>
      <c r="G23364" s="49" t="str">
        <f t="shared" si="1"/>
        <v>86430</v>
      </c>
      <c r="H23364" s="49">
        <f t="shared" si="2"/>
        <v>86011</v>
      </c>
    </row>
    <row r="23365">
      <c r="A23365" s="48" t="s">
        <v>27898</v>
      </c>
      <c r="B23365" s="38">
        <v>30059.0</v>
      </c>
      <c r="C23365" s="38" t="s">
        <v>27899</v>
      </c>
      <c r="D23365" s="38" t="str">
        <f>IFERROR(__xludf.DUMMYFUNCTION("REGEXREPLACE(C23365,""-\d+(.*)|--\d+(.*)"","""")"),"LE CAILAR")</f>
        <v>LE CAILAR</v>
      </c>
      <c r="E23365" s="38" t="s">
        <v>526</v>
      </c>
      <c r="F23365" s="38" t="s">
        <v>119</v>
      </c>
      <c r="G23365" s="49" t="str">
        <f t="shared" si="1"/>
        <v>30740</v>
      </c>
      <c r="H23365" s="49">
        <f t="shared" si="2"/>
        <v>30059</v>
      </c>
    </row>
    <row r="23366">
      <c r="A23366" s="48" t="s">
        <v>3087</v>
      </c>
      <c r="B23366" s="38">
        <v>64507.0</v>
      </c>
      <c r="C23366" s="38" t="s">
        <v>27900</v>
      </c>
      <c r="D23366" s="38" t="str">
        <f>IFERROR(__xludf.DUMMYFUNCTION("REGEXREPLACE(C23366,""-\d+(.*)|--\d+(.*)"","""")"),"SAUBOLE")</f>
        <v>SAUBOLE</v>
      </c>
      <c r="E23366" s="38" t="s">
        <v>268</v>
      </c>
      <c r="F23366" s="38" t="s">
        <v>252</v>
      </c>
      <c r="G23366" s="49" t="str">
        <f t="shared" si="1"/>
        <v>64420</v>
      </c>
      <c r="H23366" s="49">
        <f t="shared" si="2"/>
        <v>64507</v>
      </c>
    </row>
    <row r="23367">
      <c r="A23367" s="48" t="s">
        <v>27901</v>
      </c>
      <c r="B23367" s="38">
        <v>94015.0</v>
      </c>
      <c r="C23367" s="38" t="s">
        <v>27902</v>
      </c>
      <c r="D23367" s="38" t="str">
        <f>IFERROR(__xludf.DUMMYFUNCTION("REGEXREPLACE(C23367,""-\d+(.*)|--\d+(.*)"","""")"),"BRY-SUR-MARNE")</f>
        <v>BRY-SUR-MARNE</v>
      </c>
      <c r="E23367" s="38" t="s">
        <v>561</v>
      </c>
      <c r="F23367" s="38" t="s">
        <v>245</v>
      </c>
      <c r="G23367" s="49" t="str">
        <f t="shared" si="1"/>
        <v>94360</v>
      </c>
      <c r="H23367" s="49">
        <f t="shared" si="2"/>
        <v>94015</v>
      </c>
    </row>
    <row r="23368">
      <c r="A23368" s="48" t="s">
        <v>2332</v>
      </c>
      <c r="B23368" s="38">
        <v>81126.0</v>
      </c>
      <c r="C23368" s="38" t="s">
        <v>27903</v>
      </c>
      <c r="D23368" s="38" t="str">
        <f>IFERROR(__xludf.DUMMYFUNCTION("REGEXREPLACE(C23368,""-\d+(.*)|--\d+(.*)"","""")"),"LACOUGOTTE-CADOUL")</f>
        <v>LACOUGOTTE-CADOUL</v>
      </c>
      <c r="E23368" s="38" t="s">
        <v>231</v>
      </c>
      <c r="F23368" s="38" t="s">
        <v>94</v>
      </c>
      <c r="G23368" s="49" t="str">
        <f t="shared" si="1"/>
        <v>81500</v>
      </c>
      <c r="H23368" s="49">
        <f t="shared" si="2"/>
        <v>81126</v>
      </c>
    </row>
    <row r="23369">
      <c r="A23369" s="48" t="s">
        <v>25624</v>
      </c>
      <c r="B23369" s="38">
        <v>57333.0</v>
      </c>
      <c r="C23369" s="38" t="s">
        <v>27904</v>
      </c>
      <c r="D23369" s="38" t="str">
        <f>IFERROR(__xludf.DUMMYFUNCTION("REGEXREPLACE(C23369,""-\d+(.*)|--\d+(.*)"","""")"),"HOMMARTING")</f>
        <v>HOMMARTING</v>
      </c>
      <c r="E23369" s="38" t="s">
        <v>303</v>
      </c>
      <c r="F23369" s="38" t="s">
        <v>195</v>
      </c>
      <c r="G23369" s="49" t="str">
        <f t="shared" si="1"/>
        <v>57405</v>
      </c>
      <c r="H23369" s="49">
        <f t="shared" si="2"/>
        <v>57333</v>
      </c>
    </row>
    <row r="23370">
      <c r="A23370" s="48" t="s">
        <v>3532</v>
      </c>
      <c r="B23370" s="38">
        <v>2592.0</v>
      </c>
      <c r="C23370" s="38" t="s">
        <v>27905</v>
      </c>
      <c r="D23370" s="38" t="str">
        <f>IFERROR(__xludf.DUMMYFUNCTION("REGEXREPLACE(C23370,""-\d+(.*)|--\d+(.*)"","""")"),"PARPEVILLE")</f>
        <v>PARPEVILLE</v>
      </c>
      <c r="E23370" s="38" t="s">
        <v>191</v>
      </c>
      <c r="F23370" s="38" t="s">
        <v>113</v>
      </c>
      <c r="G23370" s="49" t="str">
        <f t="shared" si="1"/>
        <v>02240</v>
      </c>
      <c r="H23370" s="49" t="str">
        <f t="shared" si="2"/>
        <v>02592</v>
      </c>
    </row>
    <row r="23371">
      <c r="A23371" s="48" t="s">
        <v>21650</v>
      </c>
      <c r="B23371" s="38">
        <v>83079.0</v>
      </c>
      <c r="C23371" s="38" t="s">
        <v>27906</v>
      </c>
      <c r="D23371" s="38" t="str">
        <f>IFERROR(__xludf.DUMMYFUNCTION("REGEXREPLACE(C23371,""-\d+(.*)|--\d+(.*)"","""")"),"LA MOLE")</f>
        <v>LA MOLE</v>
      </c>
      <c r="E23371" s="38" t="s">
        <v>813</v>
      </c>
      <c r="F23371" s="38" t="s">
        <v>228</v>
      </c>
      <c r="G23371" s="49" t="str">
        <f t="shared" si="1"/>
        <v>83310</v>
      </c>
      <c r="H23371" s="49">
        <f t="shared" si="2"/>
        <v>83079</v>
      </c>
    </row>
    <row r="23372">
      <c r="A23372" s="48" t="s">
        <v>2934</v>
      </c>
      <c r="B23372" s="38">
        <v>78285.0</v>
      </c>
      <c r="C23372" s="38" t="s">
        <v>27907</v>
      </c>
      <c r="D23372" s="38" t="str">
        <f>IFERROR(__xludf.DUMMYFUNCTION("REGEXREPLACE(C23372,""-\d+(.*)|--\d+(.*)"","""")"),"GRESSEY")</f>
        <v>GRESSEY</v>
      </c>
      <c r="E23372" s="38" t="s">
        <v>362</v>
      </c>
      <c r="F23372" s="38" t="s">
        <v>245</v>
      </c>
      <c r="G23372" s="49" t="str">
        <f t="shared" si="1"/>
        <v>78550</v>
      </c>
      <c r="H23372" s="49">
        <f t="shared" si="2"/>
        <v>78285</v>
      </c>
    </row>
    <row r="23373">
      <c r="A23373" s="48" t="s">
        <v>27908</v>
      </c>
      <c r="B23373" s="38">
        <v>75112.0</v>
      </c>
      <c r="C23373" s="38" t="s">
        <v>27909</v>
      </c>
      <c r="D23373" s="38" t="str">
        <f>IFERROR(__xludf.DUMMYFUNCTION("REGEXREPLACE(C23373,""-\d+(.*)|--\d+(.*)"","""")"),"PARIS")</f>
        <v>PARIS</v>
      </c>
      <c r="E23373" s="38" t="s">
        <v>823</v>
      </c>
      <c r="F23373" s="38" t="s">
        <v>245</v>
      </c>
      <c r="G23373" s="49" t="str">
        <f t="shared" si="1"/>
        <v>75012</v>
      </c>
      <c r="H23373" s="49">
        <f t="shared" si="2"/>
        <v>75112</v>
      </c>
    </row>
    <row r="23374">
      <c r="A23374" s="48" t="s">
        <v>12649</v>
      </c>
      <c r="B23374" s="38">
        <v>12298.0</v>
      </c>
      <c r="C23374" s="38" t="s">
        <v>27910</v>
      </c>
      <c r="D23374" s="38" t="str">
        <f>IFERROR(__xludf.DUMMYFUNCTION("REGEXREPLACE(C23374,""-\d+(.*)|--\d+(.*)"","""")"),"VILLECOMTAL")</f>
        <v>VILLECOMTAL</v>
      </c>
      <c r="E23374" s="38" t="s">
        <v>465</v>
      </c>
      <c r="F23374" s="38" t="s">
        <v>94</v>
      </c>
      <c r="G23374" s="49" t="str">
        <f t="shared" si="1"/>
        <v>12580</v>
      </c>
      <c r="H23374" s="49">
        <f t="shared" si="2"/>
        <v>12298</v>
      </c>
    </row>
    <row r="23375">
      <c r="A23375" s="48" t="s">
        <v>27911</v>
      </c>
      <c r="B23375" s="38">
        <v>63042.0</v>
      </c>
      <c r="C23375" s="38" t="s">
        <v>27912</v>
      </c>
      <c r="D23375" s="38" t="str">
        <f>IFERROR(__xludf.DUMMYFUNCTION("REGEXREPLACE(C23375,""-\d+(.*)|--\d+(.*)"","""")"),"BLANZAT")</f>
        <v>BLANZAT</v>
      </c>
      <c r="E23375" s="38" t="s">
        <v>353</v>
      </c>
      <c r="F23375" s="38" t="s">
        <v>161</v>
      </c>
      <c r="G23375" s="49" t="str">
        <f t="shared" si="1"/>
        <v>63112</v>
      </c>
      <c r="H23375" s="49">
        <f t="shared" si="2"/>
        <v>63042</v>
      </c>
    </row>
    <row r="23376">
      <c r="A23376" s="48" t="s">
        <v>9044</v>
      </c>
      <c r="B23376" s="38">
        <v>32364.0</v>
      </c>
      <c r="C23376" s="38" t="s">
        <v>27913</v>
      </c>
      <c r="D23376" s="38" t="str">
        <f>IFERROR(__xludf.DUMMYFUNCTION("REGEXREPLACE(C23376,""-\d+(.*)|--\d+(.*)"","""")"),"SAINT-AVIT-FRANDAT")</f>
        <v>SAINT-AVIT-FRANDAT</v>
      </c>
      <c r="E23376" s="38" t="s">
        <v>440</v>
      </c>
      <c r="F23376" s="38" t="s">
        <v>94</v>
      </c>
      <c r="G23376" s="49" t="str">
        <f t="shared" si="1"/>
        <v>32700</v>
      </c>
      <c r="H23376" s="49">
        <f t="shared" si="2"/>
        <v>32364</v>
      </c>
    </row>
    <row r="23377">
      <c r="A23377" s="48" t="s">
        <v>27914</v>
      </c>
      <c r="B23377" s="38">
        <v>89100.0</v>
      </c>
      <c r="C23377" s="38" t="s">
        <v>27915</v>
      </c>
      <c r="D23377" s="38" t="str">
        <f>IFERROR(__xludf.DUMMYFUNCTION("REGEXREPLACE(C23377,""-\d+(.*)|--\d+(.*)"","""")"),"CHEROY")</f>
        <v>CHEROY</v>
      </c>
      <c r="E23377" s="38" t="s">
        <v>275</v>
      </c>
      <c r="F23377" s="38" t="s">
        <v>106</v>
      </c>
      <c r="G23377" s="49" t="str">
        <f t="shared" si="1"/>
        <v>89690</v>
      </c>
      <c r="H23377" s="49">
        <f t="shared" si="2"/>
        <v>89100</v>
      </c>
    </row>
    <row r="23378">
      <c r="A23378" s="48" t="s">
        <v>1806</v>
      </c>
      <c r="B23378" s="38">
        <v>90001.0</v>
      </c>
      <c r="C23378" s="38" t="s">
        <v>27916</v>
      </c>
      <c r="D23378" s="38" t="str">
        <f>IFERROR(__xludf.DUMMYFUNCTION("REGEXREPLACE(C23378,""-\d+(.*)|--\d+(.*)"","""")"),"ANDELNANS")</f>
        <v>ANDELNANS</v>
      </c>
      <c r="E23378" s="38" t="s">
        <v>1283</v>
      </c>
      <c r="F23378" s="38" t="s">
        <v>214</v>
      </c>
      <c r="G23378" s="49" t="str">
        <f t="shared" si="1"/>
        <v>90400</v>
      </c>
      <c r="H23378" s="49">
        <f t="shared" si="2"/>
        <v>90001</v>
      </c>
    </row>
    <row r="23379">
      <c r="A23379" s="48" t="s">
        <v>3523</v>
      </c>
      <c r="B23379" s="38">
        <v>31361.0</v>
      </c>
      <c r="C23379" s="38" t="s">
        <v>2818</v>
      </c>
      <c r="D23379" s="38" t="str">
        <f>IFERROR(__xludf.DUMMYFUNCTION("REGEXREPLACE(C23379,""-\d+(.*)|--\d+(.*)"","""")"),"MONTAUT")</f>
        <v>MONTAUT</v>
      </c>
      <c r="E23379" s="38" t="s">
        <v>93</v>
      </c>
      <c r="F23379" s="38" t="s">
        <v>94</v>
      </c>
      <c r="G23379" s="49" t="str">
        <f t="shared" si="1"/>
        <v>31410</v>
      </c>
      <c r="H23379" s="49">
        <f t="shared" si="2"/>
        <v>31361</v>
      </c>
    </row>
    <row r="23380">
      <c r="A23380" s="48" t="s">
        <v>1190</v>
      </c>
      <c r="B23380" s="38">
        <v>41025.0</v>
      </c>
      <c r="C23380" s="38" t="s">
        <v>27917</v>
      </c>
      <c r="D23380" s="38" t="str">
        <f>IFERROR(__xludf.DUMMYFUNCTION("REGEXREPLACE(C23380,""-\d+(.*)|--\d+(.*)"","""")"),"BRACIEUX")</f>
        <v>BRACIEUX</v>
      </c>
      <c r="E23380" s="38" t="s">
        <v>188</v>
      </c>
      <c r="F23380" s="38" t="s">
        <v>123</v>
      </c>
      <c r="G23380" s="49" t="str">
        <f t="shared" si="1"/>
        <v>41250</v>
      </c>
      <c r="H23380" s="49">
        <f t="shared" si="2"/>
        <v>41025</v>
      </c>
    </row>
    <row r="23381">
      <c r="A23381" s="48" t="s">
        <v>12001</v>
      </c>
      <c r="B23381" s="38">
        <v>7229.0</v>
      </c>
      <c r="C23381" s="38" t="s">
        <v>27918</v>
      </c>
      <c r="D23381" s="38" t="str">
        <f>IFERROR(__xludf.DUMMYFUNCTION("REGEXREPLACE(C23381,""-\d+(.*)|--\d+(.*)"","""")"),"SAINT-DIDIER-SOUS-AUBENAS")</f>
        <v>SAINT-DIDIER-SOUS-AUBENAS</v>
      </c>
      <c r="E23381" s="38" t="s">
        <v>144</v>
      </c>
      <c r="F23381" s="38" t="s">
        <v>102</v>
      </c>
      <c r="G23381" s="49" t="str">
        <f t="shared" si="1"/>
        <v>07200</v>
      </c>
      <c r="H23381" s="49" t="str">
        <f t="shared" si="2"/>
        <v>07229</v>
      </c>
    </row>
    <row r="23382">
      <c r="A23382" s="48" t="s">
        <v>1728</v>
      </c>
      <c r="B23382" s="38">
        <v>45157.0</v>
      </c>
      <c r="C23382" s="38" t="s">
        <v>27919</v>
      </c>
      <c r="D23382" s="38" t="str">
        <f>IFERROR(__xludf.DUMMYFUNCTION("REGEXREPLACE(C23382,""-\d+(.*)|--\d+(.*)"","""")"),"GIVRAINES")</f>
        <v>GIVRAINES</v>
      </c>
      <c r="E23382" s="38" t="s">
        <v>122</v>
      </c>
      <c r="F23382" s="38" t="s">
        <v>123</v>
      </c>
      <c r="G23382" s="49" t="str">
        <f t="shared" si="1"/>
        <v>45300</v>
      </c>
      <c r="H23382" s="49">
        <f t="shared" si="2"/>
        <v>45157</v>
      </c>
    </row>
    <row r="23383">
      <c r="A23383" s="48" t="s">
        <v>2552</v>
      </c>
      <c r="B23383" s="38">
        <v>30190.0</v>
      </c>
      <c r="C23383" s="38" t="s">
        <v>27920</v>
      </c>
      <c r="D23383" s="38" t="str">
        <f>IFERROR(__xludf.DUMMYFUNCTION("REGEXREPLACE(C23383,""-\d+(.*)|--\d+(.*)"","""")"),"NOTRE-DAME-DE-LA-ROUVIERE")</f>
        <v>NOTRE-DAME-DE-LA-ROUVIERE</v>
      </c>
      <c r="E23383" s="38" t="s">
        <v>526</v>
      </c>
      <c r="F23383" s="38" t="s">
        <v>119</v>
      </c>
      <c r="G23383" s="49" t="str">
        <f t="shared" si="1"/>
        <v>30570</v>
      </c>
      <c r="H23383" s="49">
        <f t="shared" si="2"/>
        <v>30190</v>
      </c>
    </row>
    <row r="23384">
      <c r="A23384" s="48" t="s">
        <v>25648</v>
      </c>
      <c r="B23384" s="38">
        <v>14293.0</v>
      </c>
      <c r="C23384" s="38" t="s">
        <v>27921</v>
      </c>
      <c r="D23384" s="38" t="str">
        <f>IFERROR(__xludf.DUMMYFUNCTION("REGEXREPLACE(C23384,""-\d+(.*)|--\d+(.*)"","""")"),"FUMICHON")</f>
        <v>FUMICHON</v>
      </c>
      <c r="E23384" s="38" t="s">
        <v>137</v>
      </c>
      <c r="F23384" s="38" t="s">
        <v>138</v>
      </c>
      <c r="G23384" s="49" t="str">
        <f t="shared" si="1"/>
        <v>14590</v>
      </c>
      <c r="H23384" s="49">
        <f t="shared" si="2"/>
        <v>14293</v>
      </c>
    </row>
    <row r="23385">
      <c r="A23385" s="48" t="s">
        <v>17157</v>
      </c>
      <c r="B23385" s="38">
        <v>40276.0</v>
      </c>
      <c r="C23385" s="38" t="s">
        <v>27922</v>
      </c>
      <c r="D23385" s="38" t="str">
        <f>IFERROR(__xludf.DUMMYFUNCTION("REGEXREPLACE(C23385,""-\d+(.*)|--\d+(.*)"","""")"),"SAINT-MICHEL-ESCALUS")</f>
        <v>SAINT-MICHEL-ESCALUS</v>
      </c>
      <c r="E23385" s="38" t="s">
        <v>281</v>
      </c>
      <c r="F23385" s="38" t="s">
        <v>252</v>
      </c>
      <c r="G23385" s="49" t="str">
        <f t="shared" si="1"/>
        <v>40550</v>
      </c>
      <c r="H23385" s="49">
        <f t="shared" si="2"/>
        <v>40276</v>
      </c>
    </row>
    <row r="23386">
      <c r="A23386" s="48" t="s">
        <v>4013</v>
      </c>
      <c r="B23386" s="38">
        <v>9216.0</v>
      </c>
      <c r="C23386" s="38" t="s">
        <v>27923</v>
      </c>
      <c r="D23386" s="38" t="str">
        <f>IFERROR(__xludf.DUMMYFUNCTION("REGEXREPLACE(C23386,""-\d+(.*)|--\d+(.*)"","""")"),"NESCUS")</f>
        <v>NESCUS</v>
      </c>
      <c r="E23386" s="38" t="s">
        <v>238</v>
      </c>
      <c r="F23386" s="38" t="s">
        <v>94</v>
      </c>
      <c r="G23386" s="49" t="str">
        <f t="shared" si="1"/>
        <v>09240</v>
      </c>
      <c r="H23386" s="49" t="str">
        <f t="shared" si="2"/>
        <v>09216</v>
      </c>
    </row>
    <row r="23387">
      <c r="A23387" s="48" t="s">
        <v>5563</v>
      </c>
      <c r="B23387" s="38">
        <v>32329.0</v>
      </c>
      <c r="C23387" s="38" t="s">
        <v>6938</v>
      </c>
      <c r="D23387" s="38" t="str">
        <f>IFERROR(__xludf.DUMMYFUNCTION("REGEXREPLACE(C23387,""-\d+(.*)|--\d+(.*)"","""")"),"PRECHAC")</f>
        <v>PRECHAC</v>
      </c>
      <c r="E23387" s="38" t="s">
        <v>440</v>
      </c>
      <c r="F23387" s="38" t="s">
        <v>94</v>
      </c>
      <c r="G23387" s="49" t="str">
        <f t="shared" si="1"/>
        <v>32390</v>
      </c>
      <c r="H23387" s="49">
        <f t="shared" si="2"/>
        <v>32329</v>
      </c>
    </row>
    <row r="23388">
      <c r="A23388" s="48" t="s">
        <v>17340</v>
      </c>
      <c r="B23388" s="38">
        <v>62004.0</v>
      </c>
      <c r="C23388" s="38" t="s">
        <v>27924</v>
      </c>
      <c r="D23388" s="38" t="str">
        <f>IFERROR(__xludf.DUMMYFUNCTION("REGEXREPLACE(C23388,""-\d+(.*)|--\d+(.*)"","""")"),"ACHICOURT")</f>
        <v>ACHICOURT</v>
      </c>
      <c r="E23388" s="38" t="s">
        <v>109</v>
      </c>
      <c r="F23388" s="38" t="s">
        <v>86</v>
      </c>
      <c r="G23388" s="49" t="str">
        <f t="shared" si="1"/>
        <v>62217</v>
      </c>
      <c r="H23388" s="49">
        <f t="shared" si="2"/>
        <v>62004</v>
      </c>
    </row>
    <row r="23389">
      <c r="A23389" s="48" t="s">
        <v>6316</v>
      </c>
      <c r="B23389" s="38">
        <v>50138.0</v>
      </c>
      <c r="C23389" s="38" t="s">
        <v>27925</v>
      </c>
      <c r="D23389" s="38" t="str">
        <f>IFERROR(__xludf.DUMMYFUNCTION("REGEXREPLACE(C23389,""-\d+(.*)|--\d+(.*)"","""")"),"COLOMBY")</f>
        <v>COLOMBY</v>
      </c>
      <c r="E23389" s="38" t="s">
        <v>157</v>
      </c>
      <c r="F23389" s="38" t="s">
        <v>138</v>
      </c>
      <c r="G23389" s="49" t="str">
        <f t="shared" si="1"/>
        <v>50700</v>
      </c>
      <c r="H23389" s="49">
        <f t="shared" si="2"/>
        <v>50138</v>
      </c>
    </row>
    <row r="23390">
      <c r="A23390" s="48" t="s">
        <v>4768</v>
      </c>
      <c r="B23390" s="38">
        <v>6046.0</v>
      </c>
      <c r="C23390" s="38" t="s">
        <v>27926</v>
      </c>
      <c r="D23390" s="38" t="str">
        <f>IFERROR(__xludf.DUMMYFUNCTION("REGEXREPLACE(C23390,""-\d+(.*)|--\d+(.*)"","""")"),"COLOMARS")</f>
        <v>COLOMARS</v>
      </c>
      <c r="E23390" s="38" t="s">
        <v>227</v>
      </c>
      <c r="F23390" s="38" t="s">
        <v>228</v>
      </c>
      <c r="G23390" s="49" t="str">
        <f t="shared" si="1"/>
        <v>06670</v>
      </c>
      <c r="H23390" s="49" t="str">
        <f t="shared" si="2"/>
        <v>06046</v>
      </c>
    </row>
    <row r="23391">
      <c r="A23391" s="48" t="s">
        <v>13253</v>
      </c>
      <c r="B23391" s="38">
        <v>50602.0</v>
      </c>
      <c r="C23391" s="38" t="s">
        <v>27927</v>
      </c>
      <c r="D23391" s="38" t="str">
        <f>IFERROR(__xludf.DUMMYFUNCTION("REGEXREPLACE(C23391,""-\d+(.*)|--\d+(.*)"","""")"),"TOURLAVILLE")</f>
        <v>TOURLAVILLE</v>
      </c>
      <c r="E23391" s="38" t="s">
        <v>157</v>
      </c>
      <c r="F23391" s="38" t="s">
        <v>138</v>
      </c>
      <c r="G23391" s="49" t="str">
        <f t="shared" si="1"/>
        <v>50110</v>
      </c>
      <c r="H23391" s="49">
        <f t="shared" si="2"/>
        <v>50602</v>
      </c>
    </row>
    <row r="23392">
      <c r="A23392" s="48" t="s">
        <v>4158</v>
      </c>
      <c r="B23392" s="38">
        <v>38539.0</v>
      </c>
      <c r="C23392" s="38" t="s">
        <v>27928</v>
      </c>
      <c r="D23392" s="38" t="str">
        <f>IFERROR(__xludf.DUMMYFUNCTION("REGEXREPLACE(C23392,""-\d+(.*)|--\d+(.*)"","""")"),"VERTRIEU")</f>
        <v>VERTRIEU</v>
      </c>
      <c r="E23392" s="38" t="s">
        <v>101</v>
      </c>
      <c r="F23392" s="38" t="s">
        <v>102</v>
      </c>
      <c r="G23392" s="49" t="str">
        <f t="shared" si="1"/>
        <v>38390</v>
      </c>
      <c r="H23392" s="49">
        <f t="shared" si="2"/>
        <v>38539</v>
      </c>
    </row>
    <row r="23393">
      <c r="A23393" s="48" t="s">
        <v>1970</v>
      </c>
      <c r="B23393" s="38">
        <v>74225.0</v>
      </c>
      <c r="C23393" s="38" t="s">
        <v>2131</v>
      </c>
      <c r="D23393" s="38" t="str">
        <f>IFERROR(__xludf.DUMMYFUNCTION("REGEXREPLACE(C23393,""-\d+(.*)|--\d+(.*)"","""")"),"RUMILLY")</f>
        <v>RUMILLY</v>
      </c>
      <c r="E23393" s="38" t="s">
        <v>319</v>
      </c>
      <c r="F23393" s="38" t="s">
        <v>102</v>
      </c>
      <c r="G23393" s="49" t="str">
        <f t="shared" si="1"/>
        <v>74150</v>
      </c>
      <c r="H23393" s="49">
        <f t="shared" si="2"/>
        <v>74225</v>
      </c>
    </row>
    <row r="23394">
      <c r="A23394" s="48" t="s">
        <v>8603</v>
      </c>
      <c r="B23394" s="38">
        <v>68255.0</v>
      </c>
      <c r="C23394" s="38" t="s">
        <v>27929</v>
      </c>
      <c r="D23394" s="38" t="str">
        <f>IFERROR(__xludf.DUMMYFUNCTION("REGEXREPLACE(C23394,""-\d+(.*)|--\d+(.*)"","""")"),"PFAFFENHEIM")</f>
        <v>PFAFFENHEIM</v>
      </c>
      <c r="E23394" s="38" t="s">
        <v>150</v>
      </c>
      <c r="F23394" s="38" t="s">
        <v>151</v>
      </c>
      <c r="G23394" s="49" t="str">
        <f t="shared" si="1"/>
        <v>68250</v>
      </c>
      <c r="H23394" s="49">
        <f t="shared" si="2"/>
        <v>68255</v>
      </c>
    </row>
    <row r="23395">
      <c r="A23395" s="48" t="s">
        <v>19988</v>
      </c>
      <c r="B23395" s="38">
        <v>49265.0</v>
      </c>
      <c r="C23395" s="38" t="s">
        <v>27930</v>
      </c>
      <c r="D23395" s="38" t="str">
        <f>IFERROR(__xludf.DUMMYFUNCTION("REGEXREPLACE(C23395,""-\d+(.*)|--\d+(.*)"","""")"),"SAINT-AUBIN-DE-LUIGNE")</f>
        <v>SAINT-AUBIN-DE-LUIGNE</v>
      </c>
      <c r="E23395" s="38" t="s">
        <v>653</v>
      </c>
      <c r="F23395" s="38" t="s">
        <v>180</v>
      </c>
      <c r="G23395" s="49" t="str">
        <f t="shared" si="1"/>
        <v>49190</v>
      </c>
      <c r="H23395" s="49">
        <f t="shared" si="2"/>
        <v>49265</v>
      </c>
    </row>
    <row r="23396">
      <c r="A23396" s="48" t="s">
        <v>5466</v>
      </c>
      <c r="B23396" s="38">
        <v>88085.0</v>
      </c>
      <c r="C23396" s="38" t="s">
        <v>27931</v>
      </c>
      <c r="D23396" s="38" t="str">
        <f>IFERROR(__xludf.DUMMYFUNCTION("REGEXREPLACE(C23396,""-\d+(.*)|--\d+(.*)"","""")"),"CHAMPDRAY")</f>
        <v>CHAMPDRAY</v>
      </c>
      <c r="E23396" s="38" t="s">
        <v>194</v>
      </c>
      <c r="F23396" s="38" t="s">
        <v>195</v>
      </c>
      <c r="G23396" s="49" t="str">
        <f t="shared" si="1"/>
        <v>88640</v>
      </c>
      <c r="H23396" s="49">
        <f t="shared" si="2"/>
        <v>88085</v>
      </c>
    </row>
    <row r="23397">
      <c r="A23397" s="48" t="s">
        <v>6132</v>
      </c>
      <c r="B23397" s="38">
        <v>87152.0</v>
      </c>
      <c r="C23397" s="38" t="s">
        <v>27932</v>
      </c>
      <c r="D23397" s="38" t="str">
        <f>IFERROR(__xludf.DUMMYFUNCTION("REGEXREPLACE(C23397,""-\d+(.*)|--\d+(.*)"","""")"),"SAINT-JOUVENT")</f>
        <v>SAINT-JOUVENT</v>
      </c>
      <c r="E23397" s="38" t="s">
        <v>897</v>
      </c>
      <c r="F23397" s="38" t="s">
        <v>98</v>
      </c>
      <c r="G23397" s="49" t="str">
        <f t="shared" si="1"/>
        <v>87510</v>
      </c>
      <c r="H23397" s="49">
        <f t="shared" si="2"/>
        <v>87152</v>
      </c>
    </row>
    <row r="23398">
      <c r="A23398" s="48" t="s">
        <v>1681</v>
      </c>
      <c r="B23398" s="38">
        <v>80419.0</v>
      </c>
      <c r="C23398" s="38" t="s">
        <v>25463</v>
      </c>
      <c r="D23398" s="38" t="str">
        <f>IFERROR(__xludf.DUMMYFUNCTION("REGEXREPLACE(C23398,""-\d+(.*)|--\d+(.*)"","""")"),"HARGICOURT")</f>
        <v>HARGICOURT</v>
      </c>
      <c r="E23398" s="38" t="s">
        <v>224</v>
      </c>
      <c r="F23398" s="38" t="s">
        <v>113</v>
      </c>
      <c r="G23398" s="49" t="str">
        <f t="shared" si="1"/>
        <v>80500</v>
      </c>
      <c r="H23398" s="49">
        <f t="shared" si="2"/>
        <v>80419</v>
      </c>
    </row>
    <row r="23399">
      <c r="A23399" s="48" t="s">
        <v>1754</v>
      </c>
      <c r="B23399" s="38">
        <v>14371.0</v>
      </c>
      <c r="C23399" s="38" t="s">
        <v>27933</v>
      </c>
      <c r="D23399" s="38" t="str">
        <f>IFERROR(__xludf.DUMMYFUNCTION("REGEXREPLACE(C23399,""-\d+(.*)|--\d+(.*)"","""")"),"LIVAROT")</f>
        <v>LIVAROT</v>
      </c>
      <c r="E23399" s="38" t="s">
        <v>137</v>
      </c>
      <c r="F23399" s="38" t="s">
        <v>138</v>
      </c>
      <c r="G23399" s="49" t="str">
        <f t="shared" si="1"/>
        <v>14140</v>
      </c>
      <c r="H23399" s="49">
        <f t="shared" si="2"/>
        <v>14371</v>
      </c>
    </row>
    <row r="23400">
      <c r="A23400" s="48" t="s">
        <v>2582</v>
      </c>
      <c r="B23400" s="38">
        <v>14074.0</v>
      </c>
      <c r="C23400" s="38" t="s">
        <v>27934</v>
      </c>
      <c r="D23400" s="38" t="str">
        <f>IFERROR(__xludf.DUMMYFUNCTION("REGEXREPLACE(C23400,""-\d+(.*)|--\d+(.*)"","""")"),"BILLY")</f>
        <v>BILLY</v>
      </c>
      <c r="E23400" s="38" t="s">
        <v>137</v>
      </c>
      <c r="F23400" s="38" t="s">
        <v>138</v>
      </c>
      <c r="G23400" s="49" t="str">
        <f t="shared" si="1"/>
        <v>14370</v>
      </c>
      <c r="H23400" s="49">
        <f t="shared" si="2"/>
        <v>14074</v>
      </c>
    </row>
    <row r="23401">
      <c r="A23401" s="48" t="s">
        <v>5481</v>
      </c>
      <c r="B23401" s="38">
        <v>53178.0</v>
      </c>
      <c r="C23401" s="38" t="s">
        <v>27935</v>
      </c>
      <c r="D23401" s="38" t="str">
        <f>IFERROR(__xludf.DUMMYFUNCTION("REGEXREPLACE(C23401,""-\d+(.*)|--\d+(.*)"","""")"),"PEUTON")</f>
        <v>PEUTON</v>
      </c>
      <c r="E23401" s="38" t="s">
        <v>518</v>
      </c>
      <c r="F23401" s="38" t="s">
        <v>180</v>
      </c>
      <c r="G23401" s="49" t="str">
        <f t="shared" si="1"/>
        <v>53360</v>
      </c>
      <c r="H23401" s="49">
        <f t="shared" si="2"/>
        <v>53178</v>
      </c>
    </row>
    <row r="23402">
      <c r="A23402" s="48" t="s">
        <v>6097</v>
      </c>
      <c r="B23402" s="38">
        <v>33117.0</v>
      </c>
      <c r="C23402" s="38" t="s">
        <v>27936</v>
      </c>
      <c r="D23402" s="38" t="str">
        <f>IFERROR(__xludf.DUMMYFUNCTION("REGEXREPLACE(C23402,""-\d+(.*)|--\d+(.*)"","""")"),"CAZAUGITAT")</f>
        <v>CAZAUGITAT</v>
      </c>
      <c r="E23402" s="38" t="s">
        <v>462</v>
      </c>
      <c r="F23402" s="38" t="s">
        <v>252</v>
      </c>
      <c r="G23402" s="49" t="str">
        <f t="shared" si="1"/>
        <v>33790</v>
      </c>
      <c r="H23402" s="49">
        <f t="shared" si="2"/>
        <v>33117</v>
      </c>
    </row>
    <row r="23403">
      <c r="A23403" s="48" t="s">
        <v>91</v>
      </c>
      <c r="B23403" s="38">
        <v>31103.0</v>
      </c>
      <c r="C23403" s="38" t="s">
        <v>27937</v>
      </c>
      <c r="D23403" s="38" t="str">
        <f>IFERROR(__xludf.DUMMYFUNCTION("REGEXREPLACE(C23403,""-\d+(.*)|--\d+(.*)"","""")"),"CANENS")</f>
        <v>CANENS</v>
      </c>
      <c r="E23403" s="38" t="s">
        <v>93</v>
      </c>
      <c r="F23403" s="38" t="s">
        <v>94</v>
      </c>
      <c r="G23403" s="49" t="str">
        <f t="shared" si="1"/>
        <v>31310</v>
      </c>
      <c r="H23403" s="49">
        <f t="shared" si="2"/>
        <v>31103</v>
      </c>
    </row>
    <row r="23404">
      <c r="A23404" s="48" t="s">
        <v>997</v>
      </c>
      <c r="B23404" s="38">
        <v>55381.0</v>
      </c>
      <c r="C23404" s="38" t="s">
        <v>27938</v>
      </c>
      <c r="D23404" s="38" t="str">
        <f>IFERROR(__xludf.DUMMYFUNCTION("REGEXREPLACE(C23404,""-\d+(.*)|--\d+(.*)"","""")"),"NEUVILLE-LES-VAUCOULEURS")</f>
        <v>NEUVILLE-LES-VAUCOULEURS</v>
      </c>
      <c r="E23404" s="38" t="s">
        <v>322</v>
      </c>
      <c r="F23404" s="38" t="s">
        <v>195</v>
      </c>
      <c r="G23404" s="49" t="str">
        <f t="shared" si="1"/>
        <v>55140</v>
      </c>
      <c r="H23404" s="49">
        <f t="shared" si="2"/>
        <v>55381</v>
      </c>
    </row>
    <row r="23405">
      <c r="A23405" s="48" t="s">
        <v>4065</v>
      </c>
      <c r="B23405" s="38">
        <v>21690.0</v>
      </c>
      <c r="C23405" s="38" t="s">
        <v>27939</v>
      </c>
      <c r="D23405" s="38" t="str">
        <f>IFERROR(__xludf.DUMMYFUNCTION("REGEXREPLACE(C23405,""-\d+(.*)|--\d+(.*)"","""")"),"VILLEBERNY")</f>
        <v>VILLEBERNY</v>
      </c>
      <c r="E23405" s="38" t="s">
        <v>105</v>
      </c>
      <c r="F23405" s="38" t="s">
        <v>106</v>
      </c>
      <c r="G23405" s="49" t="str">
        <f t="shared" si="1"/>
        <v>21350</v>
      </c>
      <c r="H23405" s="49">
        <f t="shared" si="2"/>
        <v>21690</v>
      </c>
    </row>
    <row r="23406">
      <c r="A23406" s="48" t="s">
        <v>27940</v>
      </c>
      <c r="B23406" s="38">
        <v>29030.0</v>
      </c>
      <c r="C23406" s="38" t="s">
        <v>27941</v>
      </c>
      <c r="D23406" s="38" t="str">
        <f>IFERROR(__xludf.DUMMYFUNCTION("REGEXREPLACE(C23406,""-\d+(.*)|--\d+(.*)"","""")"),"CLEDER")</f>
        <v>CLEDER</v>
      </c>
      <c r="E23406" s="38" t="s">
        <v>176</v>
      </c>
      <c r="F23406" s="38" t="s">
        <v>90</v>
      </c>
      <c r="G23406" s="49" t="str">
        <f t="shared" si="1"/>
        <v>29233</v>
      </c>
      <c r="H23406" s="49">
        <f t="shared" si="2"/>
        <v>29030</v>
      </c>
    </row>
    <row r="23407">
      <c r="A23407" s="48" t="s">
        <v>5565</v>
      </c>
      <c r="B23407" s="38">
        <v>63447.0</v>
      </c>
      <c r="C23407" s="38" t="s">
        <v>27942</v>
      </c>
      <c r="D23407" s="38" t="str">
        <f>IFERROR(__xludf.DUMMYFUNCTION("REGEXREPLACE(C23407,""-\d+(.*)|--\d+(.*)"","""")"),"VERGHEAS")</f>
        <v>VERGHEAS</v>
      </c>
      <c r="E23407" s="38" t="s">
        <v>353</v>
      </c>
      <c r="F23407" s="38" t="s">
        <v>161</v>
      </c>
      <c r="G23407" s="49" t="str">
        <f t="shared" si="1"/>
        <v>63330</v>
      </c>
      <c r="H23407" s="49">
        <f t="shared" si="2"/>
        <v>63447</v>
      </c>
    </row>
    <row r="23408">
      <c r="A23408" s="48" t="s">
        <v>2419</v>
      </c>
      <c r="B23408" s="38">
        <v>58069.0</v>
      </c>
      <c r="C23408" s="38" t="s">
        <v>27943</v>
      </c>
      <c r="D23408" s="38" t="str">
        <f>IFERROR(__xludf.DUMMYFUNCTION("REGEXREPLACE(C23408,""-\d+(.*)|--\d+(.*)"","""")"),"CHAUMOT")</f>
        <v>CHAUMOT</v>
      </c>
      <c r="E23408" s="38" t="s">
        <v>219</v>
      </c>
      <c r="F23408" s="38" t="s">
        <v>106</v>
      </c>
      <c r="G23408" s="49" t="str">
        <f t="shared" si="1"/>
        <v>58800</v>
      </c>
      <c r="H23408" s="49">
        <f t="shared" si="2"/>
        <v>58069</v>
      </c>
    </row>
    <row r="23409">
      <c r="A23409" s="48" t="s">
        <v>3821</v>
      </c>
      <c r="B23409" s="38">
        <v>57451.0</v>
      </c>
      <c r="C23409" s="38" t="s">
        <v>27944</v>
      </c>
      <c r="D23409" s="38" t="str">
        <f>IFERROR(__xludf.DUMMYFUNCTION("REGEXREPLACE(C23409,""-\d+(.*)|--\d+(.*)"","""")"),"MARTHILLE")</f>
        <v>MARTHILLE</v>
      </c>
      <c r="E23409" s="38" t="s">
        <v>303</v>
      </c>
      <c r="F23409" s="38" t="s">
        <v>195</v>
      </c>
      <c r="G23409" s="49" t="str">
        <f t="shared" si="1"/>
        <v>57340</v>
      </c>
      <c r="H23409" s="49">
        <f t="shared" si="2"/>
        <v>57451</v>
      </c>
    </row>
    <row r="23410">
      <c r="A23410" s="48" t="s">
        <v>3226</v>
      </c>
      <c r="B23410" s="38">
        <v>61218.0</v>
      </c>
      <c r="C23410" s="38" t="s">
        <v>27945</v>
      </c>
      <c r="D23410" s="38" t="str">
        <f>IFERROR(__xludf.DUMMYFUNCTION("REGEXREPLACE(C23410,""-\d+(.*)|--\d+(.*)"","""")"),"LA LANDE-PATRY")</f>
        <v>LA LANDE-PATRY</v>
      </c>
      <c r="E23410" s="38" t="s">
        <v>141</v>
      </c>
      <c r="F23410" s="38" t="s">
        <v>138</v>
      </c>
      <c r="G23410" s="49" t="str">
        <f t="shared" si="1"/>
        <v>61100</v>
      </c>
      <c r="H23410" s="49">
        <f t="shared" si="2"/>
        <v>61218</v>
      </c>
    </row>
    <row r="23411">
      <c r="A23411" s="48" t="s">
        <v>6150</v>
      </c>
      <c r="B23411" s="38">
        <v>71310.0</v>
      </c>
      <c r="C23411" s="38" t="s">
        <v>27946</v>
      </c>
      <c r="D23411" s="38" t="str">
        <f>IFERROR(__xludf.DUMMYFUNCTION("REGEXREPLACE(C23411,""-\d+(.*)|--\d+(.*)"","""")"),"MONTCHANIN")</f>
        <v>MONTCHANIN</v>
      </c>
      <c r="E23411" s="38" t="s">
        <v>344</v>
      </c>
      <c r="F23411" s="38" t="s">
        <v>106</v>
      </c>
      <c r="G23411" s="49" t="str">
        <f t="shared" si="1"/>
        <v>71210</v>
      </c>
      <c r="H23411" s="49">
        <f t="shared" si="2"/>
        <v>71310</v>
      </c>
    </row>
    <row r="23412">
      <c r="A23412" s="48" t="s">
        <v>2332</v>
      </c>
      <c r="B23412" s="38">
        <v>81150.0</v>
      </c>
      <c r="C23412" s="38" t="s">
        <v>27947</v>
      </c>
      <c r="D23412" s="38" t="str">
        <f>IFERROR(__xludf.DUMMYFUNCTION("REGEXREPLACE(C23412,""-\d+(.*)|--\d+(.*)"","""")"),"LUGAN")</f>
        <v>LUGAN</v>
      </c>
      <c r="E23412" s="38" t="s">
        <v>231</v>
      </c>
      <c r="F23412" s="38" t="s">
        <v>94</v>
      </c>
      <c r="G23412" s="49" t="str">
        <f t="shared" si="1"/>
        <v>81500</v>
      </c>
      <c r="H23412" s="49">
        <f t="shared" si="2"/>
        <v>81150</v>
      </c>
    </row>
    <row r="23413">
      <c r="A23413" s="48" t="s">
        <v>8831</v>
      </c>
      <c r="B23413" s="38">
        <v>15161.0</v>
      </c>
      <c r="C23413" s="38" t="s">
        <v>27948</v>
      </c>
      <c r="D23413" s="38" t="str">
        <f>IFERROR(__xludf.DUMMYFUNCTION("REGEXREPLACE(C23413,""-\d+(.*)|--\d+(.*)"","""")"),"REZENTIERES")</f>
        <v>REZENTIERES</v>
      </c>
      <c r="E23413" s="38" t="s">
        <v>632</v>
      </c>
      <c r="F23413" s="38" t="s">
        <v>161</v>
      </c>
      <c r="G23413" s="49" t="str">
        <f t="shared" si="1"/>
        <v>15170</v>
      </c>
      <c r="H23413" s="49">
        <f t="shared" si="2"/>
        <v>15161</v>
      </c>
    </row>
    <row r="23414">
      <c r="A23414" s="48" t="s">
        <v>2554</v>
      </c>
      <c r="B23414" s="38">
        <v>95348.0</v>
      </c>
      <c r="C23414" s="38" t="s">
        <v>27949</v>
      </c>
      <c r="D23414" s="38" t="str">
        <f>IFERROR(__xludf.DUMMYFUNCTION("REGEXREPLACE(C23414,""-\d+(.*)|--\d+(.*)"","""")"),"LONGUESSE")</f>
        <v>LONGUESSE</v>
      </c>
      <c r="E23414" s="38" t="s">
        <v>541</v>
      </c>
      <c r="F23414" s="38" t="s">
        <v>245</v>
      </c>
      <c r="G23414" s="49" t="str">
        <f t="shared" si="1"/>
        <v>95450</v>
      </c>
      <c r="H23414" s="49">
        <f t="shared" si="2"/>
        <v>95348</v>
      </c>
    </row>
    <row r="23415">
      <c r="A23415" s="48" t="s">
        <v>983</v>
      </c>
      <c r="B23415" s="38">
        <v>52443.0</v>
      </c>
      <c r="C23415" s="38" t="s">
        <v>7977</v>
      </c>
      <c r="D23415" s="38" t="str">
        <f>IFERROR(__xludf.DUMMYFUNCTION("REGEXREPLACE(C23415,""-\d+(.*)|--\d+(.*)"","""")"),"SAILLY")</f>
        <v>SAILLY</v>
      </c>
      <c r="E23415" s="38" t="s">
        <v>234</v>
      </c>
      <c r="F23415" s="38" t="s">
        <v>130</v>
      </c>
      <c r="G23415" s="49" t="str">
        <f t="shared" si="1"/>
        <v>52230</v>
      </c>
      <c r="H23415" s="49">
        <f t="shared" si="2"/>
        <v>52443</v>
      </c>
    </row>
    <row r="23416">
      <c r="A23416" s="48" t="s">
        <v>9920</v>
      </c>
      <c r="B23416" s="38">
        <v>79123.0</v>
      </c>
      <c r="C23416" s="38" t="s">
        <v>27950</v>
      </c>
      <c r="D23416" s="38" t="str">
        <f>IFERROR(__xludf.DUMMYFUNCTION("REGEXREPLACE(C23416,""-\d+(.*)|--\d+(.*)"","""")"),"LA FORET-SUR-SEVRE")</f>
        <v>LA FORET-SUR-SEVRE</v>
      </c>
      <c r="E23416" s="38" t="s">
        <v>337</v>
      </c>
      <c r="F23416" s="38" t="s">
        <v>338</v>
      </c>
      <c r="G23416" s="49" t="str">
        <f t="shared" si="1"/>
        <v>79380</v>
      </c>
      <c r="H23416" s="49">
        <f t="shared" si="2"/>
        <v>79123</v>
      </c>
    </row>
    <row r="23417">
      <c r="A23417" s="48" t="s">
        <v>12477</v>
      </c>
      <c r="B23417" s="38">
        <v>27274.0</v>
      </c>
      <c r="C23417" s="38" t="s">
        <v>27951</v>
      </c>
      <c r="D23417" s="38" t="str">
        <f>IFERROR(__xludf.DUMMYFUNCTION("REGEXREPLACE(C23417,""-\d+(.*)|--\d+(.*)"","""")"),"GAILLARDBOIS-CRESSENVILLE")</f>
        <v>GAILLARDBOIS-CRESSENVILLE</v>
      </c>
      <c r="E23417" s="38" t="s">
        <v>241</v>
      </c>
      <c r="F23417" s="38" t="s">
        <v>134</v>
      </c>
      <c r="G23417" s="49" t="str">
        <f t="shared" si="1"/>
        <v>27440</v>
      </c>
      <c r="H23417" s="49">
        <f t="shared" si="2"/>
        <v>27274</v>
      </c>
    </row>
    <row r="23418">
      <c r="A23418" s="48" t="s">
        <v>1027</v>
      </c>
      <c r="B23418" s="38">
        <v>1061.0</v>
      </c>
      <c r="C23418" s="38" t="s">
        <v>27952</v>
      </c>
      <c r="D23418" s="38" t="str">
        <f>IFERROR(__xludf.DUMMYFUNCTION("REGEXREPLACE(C23418,""-\d+(.*)|--\d+(.*)"","""")"),"BRENS")</f>
        <v>BRENS</v>
      </c>
      <c r="E23418" s="38" t="s">
        <v>255</v>
      </c>
      <c r="F23418" s="38" t="s">
        <v>102</v>
      </c>
      <c r="G23418" s="49" t="str">
        <f t="shared" si="1"/>
        <v>01300</v>
      </c>
      <c r="H23418" s="49" t="str">
        <f t="shared" si="2"/>
        <v>01061</v>
      </c>
    </row>
    <row r="23419">
      <c r="A23419" s="48" t="s">
        <v>26573</v>
      </c>
      <c r="B23419" s="38">
        <v>59407.0</v>
      </c>
      <c r="C23419" s="38" t="s">
        <v>27953</v>
      </c>
      <c r="D23419" s="38" t="str">
        <f>IFERROR(__xludf.DUMMYFUNCTION("REGEXREPLACE(C23419,""-\d+(.*)|--\d+(.*)"","""")"),"MONCHAUX-SUR-ECAILLON")</f>
        <v>MONCHAUX-SUR-ECAILLON</v>
      </c>
      <c r="E23419" s="38" t="s">
        <v>85</v>
      </c>
      <c r="F23419" s="38" t="s">
        <v>86</v>
      </c>
      <c r="G23419" s="49" t="str">
        <f t="shared" si="1"/>
        <v>59224</v>
      </c>
      <c r="H23419" s="49">
        <f t="shared" si="2"/>
        <v>59407</v>
      </c>
    </row>
    <row r="23420">
      <c r="A23420" s="48" t="s">
        <v>2510</v>
      </c>
      <c r="B23420" s="38">
        <v>22257.0</v>
      </c>
      <c r="C23420" s="38" t="s">
        <v>27954</v>
      </c>
      <c r="D23420" s="38" t="str">
        <f>IFERROR(__xludf.DUMMYFUNCTION("REGEXREPLACE(C23420,""-\d+(.*)|--\d+(.*)"","""")"),"QUEMPERVEN")</f>
        <v>QUEMPERVEN</v>
      </c>
      <c r="E23420" s="38" t="s">
        <v>89</v>
      </c>
      <c r="F23420" s="38" t="s">
        <v>90</v>
      </c>
      <c r="G23420" s="49" t="str">
        <f t="shared" si="1"/>
        <v>22450</v>
      </c>
      <c r="H23420" s="49">
        <f t="shared" si="2"/>
        <v>22257</v>
      </c>
    </row>
    <row r="23421">
      <c r="A23421" s="48" t="s">
        <v>1999</v>
      </c>
      <c r="B23421" s="38">
        <v>2053.0</v>
      </c>
      <c r="C23421" s="38" t="s">
        <v>27955</v>
      </c>
      <c r="D23421" s="38" t="str">
        <f>IFERROR(__xludf.DUMMYFUNCTION("REGEXREPLACE(C23421,""-\d+(.*)|--\d+(.*)"","""")"),"BAULNE-EN-BRIE")</f>
        <v>BAULNE-EN-BRIE</v>
      </c>
      <c r="E23421" s="38" t="s">
        <v>191</v>
      </c>
      <c r="F23421" s="38" t="s">
        <v>113</v>
      </c>
      <c r="G23421" s="49" t="str">
        <f t="shared" si="1"/>
        <v>02330</v>
      </c>
      <c r="H23421" s="49" t="str">
        <f t="shared" si="2"/>
        <v>02053</v>
      </c>
    </row>
    <row r="23422">
      <c r="A23422" s="48" t="s">
        <v>17621</v>
      </c>
      <c r="B23422" s="38">
        <v>7055.0</v>
      </c>
      <c r="C23422" s="38" t="s">
        <v>27956</v>
      </c>
      <c r="D23422" s="38" t="str">
        <f>IFERROR(__xludf.DUMMYFUNCTION("REGEXREPLACE(C23422,""-\d+(.*)|--\d+(.*)"","""")"),"CHARMES-SUR-RHONE")</f>
        <v>CHARMES-SUR-RHONE</v>
      </c>
      <c r="E23422" s="38" t="s">
        <v>144</v>
      </c>
      <c r="F23422" s="38" t="s">
        <v>102</v>
      </c>
      <c r="G23422" s="49" t="str">
        <f t="shared" si="1"/>
        <v>07800</v>
      </c>
      <c r="H23422" s="49" t="str">
        <f t="shared" si="2"/>
        <v>07055</v>
      </c>
    </row>
    <row r="23423">
      <c r="A23423" s="48" t="s">
        <v>10463</v>
      </c>
      <c r="B23423" s="38">
        <v>50464.0</v>
      </c>
      <c r="C23423" s="38" t="s">
        <v>27957</v>
      </c>
      <c r="D23423" s="38" t="str">
        <f>IFERROR(__xludf.DUMMYFUNCTION("REGEXREPLACE(C23423,""-\d+(.*)|--\d+(.*)"","""")"),"SAINT-DENIS-LE-VETU")</f>
        <v>SAINT-DENIS-LE-VETU</v>
      </c>
      <c r="E23423" s="38" t="s">
        <v>157</v>
      </c>
      <c r="F23423" s="38" t="s">
        <v>138</v>
      </c>
      <c r="G23423" s="49" t="str">
        <f t="shared" si="1"/>
        <v>50210</v>
      </c>
      <c r="H23423" s="49">
        <f t="shared" si="2"/>
        <v>50464</v>
      </c>
    </row>
    <row r="23424">
      <c r="A23424" s="48" t="s">
        <v>12362</v>
      </c>
      <c r="B23424" s="38">
        <v>39047.0</v>
      </c>
      <c r="C23424" s="38" t="s">
        <v>7612</v>
      </c>
      <c r="D23424" s="38" t="str">
        <f>IFERROR(__xludf.DUMMYFUNCTION("REGEXREPLACE(C23424,""-\d+(.*)|--\d+(.*)"","""")"),"BELLEFONTAINE")</f>
        <v>BELLEFONTAINE</v>
      </c>
      <c r="E23424" s="38" t="s">
        <v>400</v>
      </c>
      <c r="F23424" s="38" t="s">
        <v>214</v>
      </c>
      <c r="G23424" s="49" t="str">
        <f t="shared" si="1"/>
        <v>39400</v>
      </c>
      <c r="H23424" s="49">
        <f t="shared" si="2"/>
        <v>39047</v>
      </c>
    </row>
    <row r="23425">
      <c r="A23425" s="48" t="s">
        <v>8883</v>
      </c>
      <c r="B23425" s="38">
        <v>39266.0</v>
      </c>
      <c r="C23425" s="38" t="s">
        <v>27958</v>
      </c>
      <c r="D23425" s="38" t="str">
        <f>IFERROR(__xludf.DUMMYFUNCTION("REGEXREPLACE(C23425,""-\d+(.*)|--\d+(.*)"","""")"),"LES HAYS")</f>
        <v>LES HAYS</v>
      </c>
      <c r="E23425" s="38" t="s">
        <v>400</v>
      </c>
      <c r="F23425" s="38" t="s">
        <v>214</v>
      </c>
      <c r="G23425" s="49" t="str">
        <f t="shared" si="1"/>
        <v>39120</v>
      </c>
      <c r="H23425" s="49">
        <f t="shared" si="2"/>
        <v>39266</v>
      </c>
    </row>
    <row r="23426">
      <c r="A23426" s="48" t="s">
        <v>12232</v>
      </c>
      <c r="B23426" s="38">
        <v>11436.0</v>
      </c>
      <c r="C23426" s="38" t="s">
        <v>27959</v>
      </c>
      <c r="D23426" s="38" t="str">
        <f>IFERROR(__xludf.DUMMYFUNCTION("REGEXREPLACE(C23426,""-\d+(.*)|--\d+(.*)"","""")"),"VILLESEQUE-DES-CORBIERES")</f>
        <v>VILLESEQUE-DES-CORBIERES</v>
      </c>
      <c r="E23426" s="38" t="s">
        <v>278</v>
      </c>
      <c r="F23426" s="38" t="s">
        <v>119</v>
      </c>
      <c r="G23426" s="49" t="str">
        <f t="shared" si="1"/>
        <v>11360</v>
      </c>
      <c r="H23426" s="49">
        <f t="shared" si="2"/>
        <v>11436</v>
      </c>
    </row>
    <row r="23427">
      <c r="A23427" s="48" t="s">
        <v>12029</v>
      </c>
      <c r="B23427" s="38">
        <v>84107.0</v>
      </c>
      <c r="C23427" s="38" t="s">
        <v>8874</v>
      </c>
      <c r="D23427" s="38" t="str">
        <f>IFERROR(__xludf.DUMMYFUNCTION("REGEXREPLACE(C23427,""-\d+(.*)|--\d+(.*)"","""")"),"SAINT-CHRISTOL")</f>
        <v>SAINT-CHRISTOL</v>
      </c>
      <c r="E23427" s="38" t="s">
        <v>1026</v>
      </c>
      <c r="F23427" s="38" t="s">
        <v>228</v>
      </c>
      <c r="G23427" s="49" t="str">
        <f t="shared" si="1"/>
        <v>84390</v>
      </c>
      <c r="H23427" s="49">
        <f t="shared" si="2"/>
        <v>84107</v>
      </c>
    </row>
    <row r="23428">
      <c r="A23428" s="48" t="s">
        <v>1332</v>
      </c>
      <c r="B23428" s="38">
        <v>51228.0</v>
      </c>
      <c r="C23428" s="38" t="s">
        <v>27960</v>
      </c>
      <c r="D23428" s="38" t="str">
        <f>IFERROR(__xludf.DUMMYFUNCTION("REGEXREPLACE(C23428,""-\d+(.*)|--\d+(.*)"","""")"),"ELISE-DAUCOURT")</f>
        <v>ELISE-DAUCOURT</v>
      </c>
      <c r="E23428" s="38" t="s">
        <v>129</v>
      </c>
      <c r="F23428" s="38" t="s">
        <v>130</v>
      </c>
      <c r="G23428" s="49" t="str">
        <f t="shared" si="1"/>
        <v>51800</v>
      </c>
      <c r="H23428" s="49">
        <f t="shared" si="2"/>
        <v>51228</v>
      </c>
    </row>
    <row r="23429">
      <c r="A23429" s="48" t="s">
        <v>6566</v>
      </c>
      <c r="B23429" s="38">
        <v>49377.0</v>
      </c>
      <c r="C23429" s="38" t="s">
        <v>27961</v>
      </c>
      <c r="D23429" s="38" t="str">
        <f>IFERROR(__xludf.DUMMYFUNCTION("REGEXREPLACE(C23429,""-\d+(.*)|--\d+(.*)"","""")"),"VILLEVEQUE")</f>
        <v>VILLEVEQUE</v>
      </c>
      <c r="E23429" s="38" t="s">
        <v>653</v>
      </c>
      <c r="F23429" s="38" t="s">
        <v>180</v>
      </c>
      <c r="G23429" s="49" t="str">
        <f t="shared" si="1"/>
        <v>49140</v>
      </c>
      <c r="H23429" s="49">
        <f t="shared" si="2"/>
        <v>49377</v>
      </c>
    </row>
    <row r="23430">
      <c r="A23430" s="48" t="s">
        <v>10970</v>
      </c>
      <c r="B23430" s="38">
        <v>59083.0</v>
      </c>
      <c r="C23430" s="38" t="s">
        <v>27962</v>
      </c>
      <c r="D23430" s="38" t="str">
        <f>IFERROR(__xludf.DUMMYFUNCTION("REGEXREPLACE(C23430,""-\d+(.*)|--\d+(.*)"","""")"),"BISSEZEELE")</f>
        <v>BISSEZEELE</v>
      </c>
      <c r="E23430" s="38" t="s">
        <v>85</v>
      </c>
      <c r="F23430" s="38" t="s">
        <v>86</v>
      </c>
      <c r="G23430" s="49" t="str">
        <f t="shared" si="1"/>
        <v>59380</v>
      </c>
      <c r="H23430" s="49">
        <f t="shared" si="2"/>
        <v>59083</v>
      </c>
    </row>
    <row r="23431">
      <c r="A23431" s="48" t="s">
        <v>15578</v>
      </c>
      <c r="B23431" s="38">
        <v>64496.0</v>
      </c>
      <c r="C23431" s="38" t="s">
        <v>27963</v>
      </c>
      <c r="D23431" s="38" t="str">
        <f>IFERROR(__xludf.DUMMYFUNCTION("REGEXREPLACE(C23431,""-\d+(.*)|--\d+(.*)"","""")"),"SAINT-PIERRE-D'IRUBE")</f>
        <v>SAINT-PIERRE-D'IRUBE</v>
      </c>
      <c r="E23431" s="38" t="s">
        <v>268</v>
      </c>
      <c r="F23431" s="38" t="s">
        <v>252</v>
      </c>
      <c r="G23431" s="49" t="str">
        <f t="shared" si="1"/>
        <v>64990</v>
      </c>
      <c r="H23431" s="49">
        <f t="shared" si="2"/>
        <v>64496</v>
      </c>
    </row>
    <row r="23432">
      <c r="A23432" s="48" t="s">
        <v>232</v>
      </c>
      <c r="B23432" s="38">
        <v>52028.0</v>
      </c>
      <c r="C23432" s="38" t="s">
        <v>27964</v>
      </c>
      <c r="D23432" s="38" t="str">
        <f>IFERROR(__xludf.DUMMYFUNCTION("REGEXREPLACE(C23432,""-\d+(.*)|--\d+(.*)"","""")"),"AULNOY-SUR-AUBE")</f>
        <v>AULNOY-SUR-AUBE</v>
      </c>
      <c r="E23432" s="38" t="s">
        <v>234</v>
      </c>
      <c r="F23432" s="38" t="s">
        <v>130</v>
      </c>
      <c r="G23432" s="49" t="str">
        <f t="shared" si="1"/>
        <v>52160</v>
      </c>
      <c r="H23432" s="49">
        <f t="shared" si="2"/>
        <v>52028</v>
      </c>
    </row>
    <row r="23433">
      <c r="A23433" s="48" t="s">
        <v>924</v>
      </c>
      <c r="B23433" s="38">
        <v>40031.0</v>
      </c>
      <c r="C23433" s="38" t="s">
        <v>27965</v>
      </c>
      <c r="D23433" s="38" t="str">
        <f>IFERROR(__xludf.DUMMYFUNCTION("REGEXREPLACE(C23433,""-\d+(.*)|--\d+(.*)"","""")"),"BEGAAR")</f>
        <v>BEGAAR</v>
      </c>
      <c r="E23433" s="38" t="s">
        <v>281</v>
      </c>
      <c r="F23433" s="38" t="s">
        <v>252</v>
      </c>
      <c r="G23433" s="49" t="str">
        <f t="shared" si="1"/>
        <v>40400</v>
      </c>
      <c r="H23433" s="49">
        <f t="shared" si="2"/>
        <v>40031</v>
      </c>
    </row>
    <row r="23434">
      <c r="A23434" s="48" t="s">
        <v>12732</v>
      </c>
      <c r="B23434" s="38">
        <v>29095.0</v>
      </c>
      <c r="C23434" s="38" t="s">
        <v>27966</v>
      </c>
      <c r="D23434" s="38" t="str">
        <f>IFERROR(__xludf.DUMMYFUNCTION("REGEXREPLACE(C23434,""-\d+(.*)|--\d+(.*)"","""")"),"KERSAINT-PLABENNEC")</f>
        <v>KERSAINT-PLABENNEC</v>
      </c>
      <c r="E23434" s="38" t="s">
        <v>176</v>
      </c>
      <c r="F23434" s="38" t="s">
        <v>90</v>
      </c>
      <c r="G23434" s="49" t="str">
        <f t="shared" si="1"/>
        <v>29860</v>
      </c>
      <c r="H23434" s="49">
        <f t="shared" si="2"/>
        <v>29095</v>
      </c>
    </row>
    <row r="23435">
      <c r="A23435" s="48" t="s">
        <v>6306</v>
      </c>
      <c r="B23435" s="38">
        <v>84032.0</v>
      </c>
      <c r="C23435" s="38" t="s">
        <v>27967</v>
      </c>
      <c r="D23435" s="38" t="str">
        <f>IFERROR(__xludf.DUMMYFUNCTION("REGEXREPLACE(C23435,""-\d+(.*)|--\d+(.*)"","""")"),"CASENEUVE")</f>
        <v>CASENEUVE</v>
      </c>
      <c r="E23435" s="38" t="s">
        <v>1026</v>
      </c>
      <c r="F23435" s="38" t="s">
        <v>228</v>
      </c>
      <c r="G23435" s="49" t="str">
        <f t="shared" si="1"/>
        <v>84750</v>
      </c>
      <c r="H23435" s="49">
        <f t="shared" si="2"/>
        <v>84032</v>
      </c>
    </row>
    <row r="23436">
      <c r="A23436" s="48" t="s">
        <v>27968</v>
      </c>
      <c r="B23436" s="38">
        <v>44184.0</v>
      </c>
      <c r="C23436" s="38" t="s">
        <v>5053</v>
      </c>
      <c r="D23436" s="38" t="str">
        <f>IFERROR(__xludf.DUMMYFUNCTION("REGEXREPLACE(C23436,""-\d+(.*)|--\d+(.*)"","""")"),"SAINT-NAZAIRE")</f>
        <v>SAINT-NAZAIRE</v>
      </c>
      <c r="E23436" s="38" t="s">
        <v>759</v>
      </c>
      <c r="F23436" s="38" t="s">
        <v>180</v>
      </c>
      <c r="G23436" s="49" t="str">
        <f t="shared" si="1"/>
        <v>44600</v>
      </c>
      <c r="H23436" s="49">
        <f t="shared" si="2"/>
        <v>44184</v>
      </c>
    </row>
    <row r="23437">
      <c r="A23437" s="48" t="s">
        <v>10827</v>
      </c>
      <c r="B23437" s="38">
        <v>27643.0</v>
      </c>
      <c r="C23437" s="38" t="s">
        <v>27969</v>
      </c>
      <c r="D23437" s="38" t="str">
        <f>IFERROR(__xludf.DUMMYFUNCTION("REGEXREPLACE(C23437,""-\d+(.*)|--\d+(.*)"","""")"),"TILLIERES-SUR-AVRE")</f>
        <v>TILLIERES-SUR-AVRE</v>
      </c>
      <c r="E23437" s="38" t="s">
        <v>241</v>
      </c>
      <c r="F23437" s="38" t="s">
        <v>134</v>
      </c>
      <c r="G23437" s="49" t="str">
        <f t="shared" si="1"/>
        <v>27570</v>
      </c>
      <c r="H23437" s="49">
        <f t="shared" si="2"/>
        <v>27643</v>
      </c>
    </row>
    <row r="23438">
      <c r="A23438" s="48" t="s">
        <v>6256</v>
      </c>
      <c r="B23438" s="38">
        <v>55170.0</v>
      </c>
      <c r="C23438" s="38" t="s">
        <v>27970</v>
      </c>
      <c r="D23438" s="38" t="str">
        <f>IFERROR(__xludf.DUMMYFUNCTION("REGEXREPLACE(C23438,""-\d+(.*)|--\d+(.*)"","""")"),"ECUREY-EN-VERDUNOIS")</f>
        <v>ECUREY-EN-VERDUNOIS</v>
      </c>
      <c r="E23438" s="38" t="s">
        <v>322</v>
      </c>
      <c r="F23438" s="38" t="s">
        <v>195</v>
      </c>
      <c r="G23438" s="49" t="str">
        <f t="shared" si="1"/>
        <v>55150</v>
      </c>
      <c r="H23438" s="49">
        <f t="shared" si="2"/>
        <v>55170</v>
      </c>
    </row>
    <row r="23439">
      <c r="A23439" s="48" t="s">
        <v>27971</v>
      </c>
      <c r="B23439" s="38">
        <v>88371.0</v>
      </c>
      <c r="C23439" s="38" t="s">
        <v>27972</v>
      </c>
      <c r="D23439" s="38" t="str">
        <f>IFERROR(__xludf.DUMMYFUNCTION("REGEXREPLACE(C23439,""-\d+(.*)|--\d+(.*)"","""")"),"RAON-AUX-BOIS")</f>
        <v>RAON-AUX-BOIS</v>
      </c>
      <c r="E23439" s="38" t="s">
        <v>194</v>
      </c>
      <c r="F23439" s="38" t="s">
        <v>195</v>
      </c>
      <c r="G23439" s="49" t="str">
        <f t="shared" si="1"/>
        <v>88220</v>
      </c>
      <c r="H23439" s="49">
        <f t="shared" si="2"/>
        <v>88371</v>
      </c>
    </row>
    <row r="23440">
      <c r="A23440" s="48" t="s">
        <v>5956</v>
      </c>
      <c r="B23440" s="38">
        <v>62543.0</v>
      </c>
      <c r="C23440" s="38" t="s">
        <v>27763</v>
      </c>
      <c r="D23440" s="38" t="str">
        <f>IFERROR(__xludf.DUMMYFUNCTION("REGEXREPLACE(C23440,""-\d+(.*)|--\d+(.*)"","""")"),"MAMETZ")</f>
        <v>MAMETZ</v>
      </c>
      <c r="E23440" s="38" t="s">
        <v>109</v>
      </c>
      <c r="F23440" s="38" t="s">
        <v>86</v>
      </c>
      <c r="G23440" s="49" t="str">
        <f t="shared" si="1"/>
        <v>62120</v>
      </c>
      <c r="H23440" s="49">
        <f t="shared" si="2"/>
        <v>62543</v>
      </c>
    </row>
    <row r="23441">
      <c r="A23441" s="48" t="s">
        <v>10854</v>
      </c>
      <c r="B23441" s="38">
        <v>42239.0</v>
      </c>
      <c r="C23441" s="38" t="s">
        <v>27973</v>
      </c>
      <c r="D23441" s="38" t="str">
        <f>IFERROR(__xludf.DUMMYFUNCTION("REGEXREPLACE(C23441,""-\d+(.*)|--\d+(.*)"","""")"),"SAINT-JEAN-SAINT-MAURICE-SUR-LOIRE")</f>
        <v>SAINT-JEAN-SAINT-MAURICE-SUR-LOIRE</v>
      </c>
      <c r="E23441" s="38" t="s">
        <v>166</v>
      </c>
      <c r="F23441" s="38" t="s">
        <v>102</v>
      </c>
      <c r="G23441" s="49" t="str">
        <f t="shared" si="1"/>
        <v>42155</v>
      </c>
      <c r="H23441" s="49">
        <f t="shared" si="2"/>
        <v>42239</v>
      </c>
    </row>
    <row r="23442">
      <c r="A23442" s="48" t="s">
        <v>139</v>
      </c>
      <c r="B23442" s="38">
        <v>61105.0</v>
      </c>
      <c r="C23442" s="38" t="s">
        <v>27974</v>
      </c>
      <c r="D23442" s="38" t="str">
        <f>IFERROR(__xludf.DUMMYFUNCTION("REGEXREPLACE(C23442,""-\d+(.*)|--\d+(.*)"","""")"),"CHEMILLI")</f>
        <v>CHEMILLI</v>
      </c>
      <c r="E23442" s="38" t="s">
        <v>141</v>
      </c>
      <c r="F23442" s="38" t="s">
        <v>138</v>
      </c>
      <c r="G23442" s="49" t="str">
        <f t="shared" si="1"/>
        <v>61360</v>
      </c>
      <c r="H23442" s="49">
        <f t="shared" si="2"/>
        <v>61105</v>
      </c>
    </row>
    <row r="23443">
      <c r="A23443" s="48" t="s">
        <v>10689</v>
      </c>
      <c r="B23443" s="38">
        <v>59251.0</v>
      </c>
      <c r="C23443" s="38" t="s">
        <v>27975</v>
      </c>
      <c r="D23443" s="38" t="str">
        <f>IFERROR(__xludf.DUMMYFUNCTION("REGEXREPLACE(C23443,""-\d+(.*)|--\d+(.*)"","""")"),"FRASNOY")</f>
        <v>FRASNOY</v>
      </c>
      <c r="E23443" s="38" t="s">
        <v>85</v>
      </c>
      <c r="F23443" s="38" t="s">
        <v>86</v>
      </c>
      <c r="G23443" s="49" t="str">
        <f t="shared" si="1"/>
        <v>59530</v>
      </c>
      <c r="H23443" s="49">
        <f t="shared" si="2"/>
        <v>59251</v>
      </c>
    </row>
    <row r="23444">
      <c r="A23444" s="48" t="s">
        <v>4526</v>
      </c>
      <c r="B23444" s="38">
        <v>23019.0</v>
      </c>
      <c r="C23444" s="38" t="s">
        <v>27976</v>
      </c>
      <c r="D23444" s="38" t="str">
        <f>IFERROR(__xludf.DUMMYFUNCTION("REGEXREPLACE(C23444,""-\d+(.*)|--\d+(.*)"","""")"),"BEISSAT")</f>
        <v>BEISSAT</v>
      </c>
      <c r="E23444" s="38" t="s">
        <v>97</v>
      </c>
      <c r="F23444" s="38" t="s">
        <v>98</v>
      </c>
      <c r="G23444" s="49" t="str">
        <f t="shared" si="1"/>
        <v>23260</v>
      </c>
      <c r="H23444" s="49">
        <f t="shared" si="2"/>
        <v>23019</v>
      </c>
    </row>
    <row r="23445">
      <c r="A23445" s="48" t="s">
        <v>2095</v>
      </c>
      <c r="B23445" s="38">
        <v>72097.0</v>
      </c>
      <c r="C23445" s="38" t="s">
        <v>23691</v>
      </c>
      <c r="D23445" s="38" t="str">
        <f>IFERROR(__xludf.DUMMYFUNCTION("REGEXREPLACE(C23445,""-\d+(.*)|--\d+(.*)"","""")"),"COULOMBIERS")</f>
        <v>COULOMBIERS</v>
      </c>
      <c r="E23445" s="38" t="s">
        <v>521</v>
      </c>
      <c r="F23445" s="38" t="s">
        <v>180</v>
      </c>
      <c r="G23445" s="49" t="str">
        <f t="shared" si="1"/>
        <v>72130</v>
      </c>
      <c r="H23445" s="49">
        <f t="shared" si="2"/>
        <v>72097</v>
      </c>
    </row>
    <row r="23446">
      <c r="A23446" s="48" t="s">
        <v>6872</v>
      </c>
      <c r="B23446" s="38">
        <v>45106.0</v>
      </c>
      <c r="C23446" s="38" t="s">
        <v>1109</v>
      </c>
      <c r="D23446" s="38" t="str">
        <f>IFERROR(__xludf.DUMMYFUNCTION("REGEXREPLACE(C23446,""-\d+(.*)|--\d+(.*)"","""")"),"COUDRAY")</f>
        <v>COUDRAY</v>
      </c>
      <c r="E23446" s="38" t="s">
        <v>122</v>
      </c>
      <c r="F23446" s="38" t="s">
        <v>123</v>
      </c>
      <c r="G23446" s="49" t="str">
        <f t="shared" si="1"/>
        <v>45330</v>
      </c>
      <c r="H23446" s="49">
        <f t="shared" si="2"/>
        <v>45106</v>
      </c>
    </row>
    <row r="23447">
      <c r="A23447" s="48" t="s">
        <v>2075</v>
      </c>
      <c r="B23447" s="38">
        <v>46143.0</v>
      </c>
      <c r="C23447" s="38" t="s">
        <v>27977</v>
      </c>
      <c r="D23447" s="38" t="str">
        <f>IFERROR(__xludf.DUMMYFUNCTION("REGEXREPLACE(C23447,""-\d+(.*)|--\d+(.*)"","""")"),"LACAPELLE-MARIVAL")</f>
        <v>LACAPELLE-MARIVAL</v>
      </c>
      <c r="E23447" s="38" t="s">
        <v>185</v>
      </c>
      <c r="F23447" s="38" t="s">
        <v>94</v>
      </c>
      <c r="G23447" s="49" t="str">
        <f t="shared" si="1"/>
        <v>46120</v>
      </c>
      <c r="H23447" s="49">
        <f t="shared" si="2"/>
        <v>46143</v>
      </c>
    </row>
    <row r="23448">
      <c r="A23448" s="48" t="s">
        <v>3545</v>
      </c>
      <c r="B23448" s="38">
        <v>17096.0</v>
      </c>
      <c r="C23448" s="38" t="s">
        <v>27978</v>
      </c>
      <c r="D23448" s="38" t="str">
        <f>IFERROR(__xludf.DUMMYFUNCTION("REGEXREPLACE(C23448,""-\d+(.*)|--\d+(.*)"","""")"),"CHAUNAC")</f>
        <v>CHAUNAC</v>
      </c>
      <c r="E23448" s="38" t="s">
        <v>488</v>
      </c>
      <c r="F23448" s="38" t="s">
        <v>338</v>
      </c>
      <c r="G23448" s="49" t="str">
        <f t="shared" si="1"/>
        <v>17130</v>
      </c>
      <c r="H23448" s="49">
        <f t="shared" si="2"/>
        <v>17096</v>
      </c>
    </row>
    <row r="23449">
      <c r="A23449" s="48" t="s">
        <v>4015</v>
      </c>
      <c r="B23449" s="38">
        <v>68140.0</v>
      </c>
      <c r="C23449" s="38" t="s">
        <v>27979</v>
      </c>
      <c r="D23449" s="38" t="str">
        <f>IFERROR(__xludf.DUMMYFUNCTION("REGEXREPLACE(C23449,""-\d+(.*)|--\d+(.*)"","""")"),"HIRTZFELDEN")</f>
        <v>HIRTZFELDEN</v>
      </c>
      <c r="E23449" s="38" t="s">
        <v>150</v>
      </c>
      <c r="F23449" s="38" t="s">
        <v>151</v>
      </c>
      <c r="G23449" s="49" t="str">
        <f t="shared" si="1"/>
        <v>68740</v>
      </c>
      <c r="H23449" s="49">
        <f t="shared" si="2"/>
        <v>68140</v>
      </c>
    </row>
    <row r="23450">
      <c r="A23450" s="48" t="s">
        <v>2681</v>
      </c>
      <c r="B23450" s="38">
        <v>67555.0</v>
      </c>
      <c r="C23450" s="38" t="s">
        <v>27980</v>
      </c>
      <c r="D23450" s="38" t="str">
        <f>IFERROR(__xludf.DUMMYFUNCTION("REGEXREPLACE(C23450,""-\d+(.*)|--\d+(.*)"","""")"),"ZEHNACKER")</f>
        <v>ZEHNACKER</v>
      </c>
      <c r="E23450" s="38" t="s">
        <v>210</v>
      </c>
      <c r="F23450" s="38" t="s">
        <v>151</v>
      </c>
      <c r="G23450" s="49" t="str">
        <f t="shared" si="1"/>
        <v>67310</v>
      </c>
      <c r="H23450" s="49">
        <f t="shared" si="2"/>
        <v>67555</v>
      </c>
    </row>
    <row r="23451">
      <c r="A23451" s="48" t="s">
        <v>12195</v>
      </c>
      <c r="B23451" s="38">
        <v>22139.0</v>
      </c>
      <c r="C23451" s="38" t="s">
        <v>27981</v>
      </c>
      <c r="D23451" s="38" t="str">
        <f>IFERROR(__xludf.DUMMYFUNCTION("REGEXREPLACE(C23451,""-\d+(.*)|--\d+(.*)"","""")"),"MAGOAR")</f>
        <v>MAGOAR</v>
      </c>
      <c r="E23451" s="38" t="s">
        <v>89</v>
      </c>
      <c r="F23451" s="38" t="s">
        <v>90</v>
      </c>
      <c r="G23451" s="49" t="str">
        <f t="shared" si="1"/>
        <v>22480</v>
      </c>
      <c r="H23451" s="49">
        <f t="shared" si="2"/>
        <v>22139</v>
      </c>
    </row>
    <row r="23452">
      <c r="A23452" s="48" t="s">
        <v>1570</v>
      </c>
      <c r="B23452" s="38">
        <v>16112.0</v>
      </c>
      <c r="C23452" s="38" t="s">
        <v>27982</v>
      </c>
      <c r="D23452" s="38" t="str">
        <f>IFERROR(__xludf.DUMMYFUNCTION("REGEXREPLACE(C23452,""-\d+(.*)|--\d+(.*)"","""")"),"COURLAC")</f>
        <v>COURLAC</v>
      </c>
      <c r="E23452" s="38" t="s">
        <v>429</v>
      </c>
      <c r="F23452" s="38" t="s">
        <v>338</v>
      </c>
      <c r="G23452" s="49" t="str">
        <f t="shared" si="1"/>
        <v>16210</v>
      </c>
      <c r="H23452" s="49">
        <f t="shared" si="2"/>
        <v>16112</v>
      </c>
    </row>
    <row r="23453">
      <c r="A23453" s="48" t="s">
        <v>1471</v>
      </c>
      <c r="B23453" s="38">
        <v>3186.0</v>
      </c>
      <c r="C23453" s="38" t="s">
        <v>27983</v>
      </c>
      <c r="D23453" s="38" t="str">
        <f>IFERROR(__xludf.DUMMYFUNCTION("REGEXREPLACE(C23453,""-\d+(.*)|--\d+(.*)"","""")"),"MONTMARAULT")</f>
        <v>MONTMARAULT</v>
      </c>
      <c r="E23453" s="38" t="s">
        <v>160</v>
      </c>
      <c r="F23453" s="38" t="s">
        <v>161</v>
      </c>
      <c r="G23453" s="49" t="str">
        <f t="shared" si="1"/>
        <v>03390</v>
      </c>
      <c r="H23453" s="49" t="str">
        <f t="shared" si="2"/>
        <v>03186</v>
      </c>
    </row>
    <row r="23454">
      <c r="A23454" s="48" t="s">
        <v>2083</v>
      </c>
      <c r="B23454" s="38">
        <v>17379.0</v>
      </c>
      <c r="C23454" s="38" t="s">
        <v>27984</v>
      </c>
      <c r="D23454" s="38" t="str">
        <f>IFERROR(__xludf.DUMMYFUNCTION("REGEXREPLACE(C23454,""-\d+(.*)|--\d+(.*)"","""")"),"SAINT-PALAIS-DE-PHIOLIN")</f>
        <v>SAINT-PALAIS-DE-PHIOLIN</v>
      </c>
      <c r="E23454" s="38" t="s">
        <v>488</v>
      </c>
      <c r="F23454" s="38" t="s">
        <v>338</v>
      </c>
      <c r="G23454" s="49" t="str">
        <f t="shared" si="1"/>
        <v>17800</v>
      </c>
      <c r="H23454" s="49">
        <f t="shared" si="2"/>
        <v>17379</v>
      </c>
    </row>
    <row r="23455">
      <c r="A23455" s="48" t="s">
        <v>7829</v>
      </c>
      <c r="B23455" s="38">
        <v>89169.0</v>
      </c>
      <c r="C23455" s="38" t="s">
        <v>27985</v>
      </c>
      <c r="D23455" s="38" t="str">
        <f>IFERROR(__xludf.DUMMYFUNCTION("REGEXREPLACE(C23455,""-\d+(.*)|--\d+(.*)"","""")"),"FLOGNY-LA-CHAPELLE")</f>
        <v>FLOGNY-LA-CHAPELLE</v>
      </c>
      <c r="E23455" s="38" t="s">
        <v>275</v>
      </c>
      <c r="F23455" s="38" t="s">
        <v>106</v>
      </c>
      <c r="G23455" s="49" t="str">
        <f t="shared" si="1"/>
        <v>89360</v>
      </c>
      <c r="H23455" s="49">
        <f t="shared" si="2"/>
        <v>89169</v>
      </c>
    </row>
    <row r="23456">
      <c r="A23456" s="48" t="s">
        <v>4354</v>
      </c>
      <c r="B23456" s="38">
        <v>72156.0</v>
      </c>
      <c r="C23456" s="38" t="s">
        <v>27986</v>
      </c>
      <c r="D23456" s="38" t="str">
        <f>IFERROR(__xludf.DUMMYFUNCTION("REGEXREPLACE(C23456,""-\d+(.*)|--\d+(.*)"","""")"),"LAMNAY")</f>
        <v>LAMNAY</v>
      </c>
      <c r="E23456" s="38" t="s">
        <v>521</v>
      </c>
      <c r="F23456" s="38" t="s">
        <v>180</v>
      </c>
      <c r="G23456" s="49" t="str">
        <f t="shared" si="1"/>
        <v>72320</v>
      </c>
      <c r="H23456" s="49">
        <f t="shared" si="2"/>
        <v>72156</v>
      </c>
    </row>
    <row r="23457">
      <c r="A23457" s="48" t="s">
        <v>17614</v>
      </c>
      <c r="B23457" s="38">
        <v>30090.0</v>
      </c>
      <c r="C23457" s="38" t="s">
        <v>27987</v>
      </c>
      <c r="D23457" s="38" t="str">
        <f>IFERROR(__xludf.DUMMYFUNCTION("REGEXREPLACE(C23457,""-\d+(.*)|--\d+(.*)"","""")"),"CONCOULES")</f>
        <v>CONCOULES</v>
      </c>
      <c r="E23457" s="38" t="s">
        <v>526</v>
      </c>
      <c r="F23457" s="38" t="s">
        <v>119</v>
      </c>
      <c r="G23457" s="49" t="str">
        <f t="shared" si="1"/>
        <v>30450</v>
      </c>
      <c r="H23457" s="49">
        <f t="shared" si="2"/>
        <v>30090</v>
      </c>
    </row>
    <row r="23458">
      <c r="A23458" s="48" t="s">
        <v>18308</v>
      </c>
      <c r="B23458" s="38">
        <v>78443.0</v>
      </c>
      <c r="C23458" s="38" t="s">
        <v>27988</v>
      </c>
      <c r="D23458" s="38" t="str">
        <f>IFERROR(__xludf.DUMMYFUNCTION("REGEXREPLACE(C23458,""-\d+(.*)|--\d+(.*)"","""")"),"NEAUPHLE-LE-VIEUX")</f>
        <v>NEAUPHLE-LE-VIEUX</v>
      </c>
      <c r="E23458" s="38" t="s">
        <v>362</v>
      </c>
      <c r="F23458" s="38" t="s">
        <v>245</v>
      </c>
      <c r="G23458" s="49" t="str">
        <f t="shared" si="1"/>
        <v>78640</v>
      </c>
      <c r="H23458" s="49">
        <f t="shared" si="2"/>
        <v>78443</v>
      </c>
    </row>
    <row r="23459">
      <c r="A23459" s="48" t="s">
        <v>4701</v>
      </c>
      <c r="B23459" s="38">
        <v>62733.0</v>
      </c>
      <c r="C23459" s="38" t="s">
        <v>27989</v>
      </c>
      <c r="D23459" s="38" t="str">
        <f>IFERROR(__xludf.DUMMYFUNCTION("REGEXREPLACE(C23459,""-\d+(.*)|--\d+(.*)"","""")"),"SAILLY-AU-BOIS")</f>
        <v>SAILLY-AU-BOIS</v>
      </c>
      <c r="E23459" s="38" t="s">
        <v>109</v>
      </c>
      <c r="F23459" s="38" t="s">
        <v>86</v>
      </c>
      <c r="G23459" s="49" t="str">
        <f t="shared" si="1"/>
        <v>62111</v>
      </c>
      <c r="H23459" s="49">
        <f t="shared" si="2"/>
        <v>62733</v>
      </c>
    </row>
    <row r="23460">
      <c r="A23460" s="48" t="s">
        <v>7569</v>
      </c>
      <c r="B23460" s="38">
        <v>73022.0</v>
      </c>
      <c r="C23460" s="38" t="s">
        <v>27990</v>
      </c>
      <c r="D23460" s="38" t="str">
        <f>IFERROR(__xludf.DUMMYFUNCTION("REGEXREPLACE(C23460,""-\d+(.*)|--\d+(.*)"","""")"),"ATTIGNAT-ONCIN")</f>
        <v>ATTIGNAT-ONCIN</v>
      </c>
      <c r="E23460" s="38" t="s">
        <v>306</v>
      </c>
      <c r="F23460" s="38" t="s">
        <v>102</v>
      </c>
      <c r="G23460" s="49" t="str">
        <f t="shared" si="1"/>
        <v>73610</v>
      </c>
      <c r="H23460" s="49">
        <f t="shared" si="2"/>
        <v>73022</v>
      </c>
    </row>
    <row r="23461">
      <c r="A23461" s="48" t="s">
        <v>2794</v>
      </c>
      <c r="B23461" s="38">
        <v>39336.0</v>
      </c>
      <c r="C23461" s="38" t="s">
        <v>2322</v>
      </c>
      <c r="D23461" s="38" t="str">
        <f>IFERROR(__xludf.DUMMYFUNCTION("REGEXREPLACE(C23461,""-\d+(.*)|--\d+(.*)"","""")"),"MOLAIN")</f>
        <v>MOLAIN</v>
      </c>
      <c r="E23461" s="38" t="s">
        <v>400</v>
      </c>
      <c r="F23461" s="38" t="s">
        <v>214</v>
      </c>
      <c r="G23461" s="49" t="str">
        <f t="shared" si="1"/>
        <v>39800</v>
      </c>
      <c r="H23461" s="49">
        <f t="shared" si="2"/>
        <v>39336</v>
      </c>
    </row>
    <row r="23462">
      <c r="A23462" s="48" t="s">
        <v>1970</v>
      </c>
      <c r="B23462" s="38">
        <v>74292.0</v>
      </c>
      <c r="C23462" s="38" t="s">
        <v>22534</v>
      </c>
      <c r="D23462" s="38" t="str">
        <f>IFERROR(__xludf.DUMMYFUNCTION("REGEXREPLACE(C23462,""-\d+(.*)|--\d+(.*)"","""")"),"VAULX")</f>
        <v>VAULX</v>
      </c>
      <c r="E23462" s="38" t="s">
        <v>319</v>
      </c>
      <c r="F23462" s="38" t="s">
        <v>102</v>
      </c>
      <c r="G23462" s="49" t="str">
        <f t="shared" si="1"/>
        <v>74150</v>
      </c>
      <c r="H23462" s="49">
        <f t="shared" si="2"/>
        <v>74292</v>
      </c>
    </row>
    <row r="23463">
      <c r="A23463" s="48" t="s">
        <v>1321</v>
      </c>
      <c r="B23463" s="38">
        <v>67246.0</v>
      </c>
      <c r="C23463" s="38" t="s">
        <v>27991</v>
      </c>
      <c r="D23463" s="38" t="str">
        <f>IFERROR(__xludf.DUMMYFUNCTION("REGEXREPLACE(C23463,""-\d+(.*)|--\d+(.*)"","""")"),"KOGENHEIM")</f>
        <v>KOGENHEIM</v>
      </c>
      <c r="E23463" s="38" t="s">
        <v>210</v>
      </c>
      <c r="F23463" s="38" t="s">
        <v>151</v>
      </c>
      <c r="G23463" s="49" t="str">
        <f t="shared" si="1"/>
        <v>67230</v>
      </c>
      <c r="H23463" s="49">
        <f t="shared" si="2"/>
        <v>67246</v>
      </c>
    </row>
    <row r="23464">
      <c r="A23464" s="48" t="s">
        <v>1254</v>
      </c>
      <c r="B23464" s="38">
        <v>72351.0</v>
      </c>
      <c r="C23464" s="38" t="s">
        <v>27992</v>
      </c>
      <c r="D23464" s="38" t="str">
        <f>IFERROR(__xludf.DUMMYFUNCTION("REGEXREPLACE(C23464,""-\d+(.*)|--\d+(.*)"","""")"),"TENNIE")</f>
        <v>TENNIE</v>
      </c>
      <c r="E23464" s="38" t="s">
        <v>521</v>
      </c>
      <c r="F23464" s="38" t="s">
        <v>180</v>
      </c>
      <c r="G23464" s="49" t="str">
        <f t="shared" si="1"/>
        <v>72240</v>
      </c>
      <c r="H23464" s="49">
        <f t="shared" si="2"/>
        <v>72351</v>
      </c>
    </row>
    <row r="23465">
      <c r="A23465" s="48" t="s">
        <v>2671</v>
      </c>
      <c r="B23465" s="38">
        <v>65341.0</v>
      </c>
      <c r="C23465" s="38" t="s">
        <v>27993</v>
      </c>
      <c r="D23465" s="38" t="str">
        <f>IFERROR(__xludf.DUMMYFUNCTION("REGEXREPLACE(C23465,""-\d+(.*)|--\d+(.*)"","""")"),"OROIX")</f>
        <v>OROIX</v>
      </c>
      <c r="E23465" s="38" t="s">
        <v>200</v>
      </c>
      <c r="F23465" s="38" t="s">
        <v>94</v>
      </c>
      <c r="G23465" s="49" t="str">
        <f t="shared" si="1"/>
        <v>65320</v>
      </c>
      <c r="H23465" s="49">
        <f t="shared" si="2"/>
        <v>65341</v>
      </c>
    </row>
    <row r="23466">
      <c r="A23466" s="48" t="s">
        <v>7501</v>
      </c>
      <c r="B23466" s="38">
        <v>9179.0</v>
      </c>
      <c r="C23466" s="38" t="s">
        <v>27994</v>
      </c>
      <c r="D23466" s="38" t="str">
        <f>IFERROR(__xludf.DUMMYFUNCTION("REGEXREPLACE(C23466,""-\d+(.*)|--\d+(.*)"","""")"),"MALLEON")</f>
        <v>MALLEON</v>
      </c>
      <c r="E23466" s="38" t="s">
        <v>238</v>
      </c>
      <c r="F23466" s="38" t="s">
        <v>94</v>
      </c>
      <c r="G23466" s="49" t="str">
        <f t="shared" si="1"/>
        <v>09120</v>
      </c>
      <c r="H23466" s="49" t="str">
        <f t="shared" si="2"/>
        <v>09179</v>
      </c>
    </row>
    <row r="23467">
      <c r="A23467" s="48" t="s">
        <v>27995</v>
      </c>
      <c r="B23467" s="38">
        <v>91573.0</v>
      </c>
      <c r="C23467" s="38" t="s">
        <v>27996</v>
      </c>
      <c r="D23467" s="38" t="str">
        <f>IFERROR(__xludf.DUMMYFUNCTION("REGEXREPLACE(C23467,""-\d+(.*)|--\d+(.*)"","""")"),"SAINT-PIERRE-DU-PERRAY")</f>
        <v>SAINT-PIERRE-DU-PERRAY</v>
      </c>
      <c r="E23467" s="38" t="s">
        <v>756</v>
      </c>
      <c r="F23467" s="38" t="s">
        <v>245</v>
      </c>
      <c r="G23467" s="49" t="str">
        <f t="shared" si="1"/>
        <v>91280</v>
      </c>
      <c r="H23467" s="49">
        <f t="shared" si="2"/>
        <v>91573</v>
      </c>
    </row>
    <row r="23468">
      <c r="A23468" s="48" t="s">
        <v>4566</v>
      </c>
      <c r="B23468" s="38">
        <v>24279.0</v>
      </c>
      <c r="C23468" s="38" t="s">
        <v>27997</v>
      </c>
      <c r="D23468" s="38" t="str">
        <f>IFERROR(__xludf.DUMMYFUNCTION("REGEXREPLACE(C23468,""-\d+(.*)|--\d+(.*)"","""")"),"MONMARVES")</f>
        <v>MONMARVES</v>
      </c>
      <c r="E23468" s="38" t="s">
        <v>261</v>
      </c>
      <c r="F23468" s="38" t="s">
        <v>252</v>
      </c>
      <c r="G23468" s="49" t="str">
        <f t="shared" si="1"/>
        <v>24560</v>
      </c>
      <c r="H23468" s="49">
        <f t="shared" si="2"/>
        <v>24279</v>
      </c>
    </row>
    <row r="23469">
      <c r="A23469" s="48" t="s">
        <v>434</v>
      </c>
      <c r="B23469" s="38">
        <v>55351.0</v>
      </c>
      <c r="C23469" s="38" t="s">
        <v>27998</v>
      </c>
      <c r="D23469" s="38" t="str">
        <f>IFERROR(__xludf.DUMMYFUNCTION("REGEXREPLACE(C23469,""-\d+(.*)|--\d+(.*)"","""")"),"MONTMEDY")</f>
        <v>MONTMEDY</v>
      </c>
      <c r="E23469" s="38" t="s">
        <v>322</v>
      </c>
      <c r="F23469" s="38" t="s">
        <v>195</v>
      </c>
      <c r="G23469" s="49" t="str">
        <f t="shared" si="1"/>
        <v>55600</v>
      </c>
      <c r="H23469" s="49">
        <f t="shared" si="2"/>
        <v>55351</v>
      </c>
    </row>
    <row r="23470">
      <c r="A23470" s="48" t="s">
        <v>27999</v>
      </c>
      <c r="B23470" s="38">
        <v>77034.0</v>
      </c>
      <c r="C23470" s="38" t="s">
        <v>28000</v>
      </c>
      <c r="D23470" s="38" t="str">
        <f>IFERROR(__xludf.DUMMYFUNCTION("REGEXREPLACE(C23470,""-\d+(.*)|--\d+(.*)"","""")"),"BLANDY")</f>
        <v>BLANDY</v>
      </c>
      <c r="E23470" s="38" t="s">
        <v>244</v>
      </c>
      <c r="F23470" s="38" t="s">
        <v>245</v>
      </c>
      <c r="G23470" s="49" t="str">
        <f t="shared" si="1"/>
        <v>77115</v>
      </c>
      <c r="H23470" s="49">
        <f t="shared" si="2"/>
        <v>77034</v>
      </c>
    </row>
    <row r="23471">
      <c r="A23471" s="48" t="s">
        <v>28001</v>
      </c>
      <c r="B23471" s="38">
        <v>43127.0</v>
      </c>
      <c r="C23471" s="38" t="s">
        <v>28002</v>
      </c>
      <c r="D23471" s="38" t="str">
        <f>IFERROR(__xludf.DUMMYFUNCTION("REGEXREPLACE(C23471,""-\d+(.*)|--\d+(.*)"","""")"),"MALVALETTE")</f>
        <v>MALVALETTE</v>
      </c>
      <c r="E23471" s="38" t="s">
        <v>332</v>
      </c>
      <c r="F23471" s="38" t="s">
        <v>161</v>
      </c>
      <c r="G23471" s="49" t="str">
        <f t="shared" si="1"/>
        <v>43210</v>
      </c>
      <c r="H23471" s="49">
        <f t="shared" si="2"/>
        <v>43127</v>
      </c>
    </row>
    <row r="23472">
      <c r="A23472" s="48" t="s">
        <v>5212</v>
      </c>
      <c r="B23472" s="38">
        <v>41149.0</v>
      </c>
      <c r="C23472" s="38" t="s">
        <v>28003</v>
      </c>
      <c r="D23472" s="38" t="str">
        <f>IFERROR(__xludf.DUMMYFUNCTION("REGEXREPLACE(C23472,""-\d+(.*)|--\d+(.*)"","""")"),"MONTOIRE-SUR-LE-LOIR")</f>
        <v>MONTOIRE-SUR-LE-LOIR</v>
      </c>
      <c r="E23472" s="38" t="s">
        <v>188</v>
      </c>
      <c r="F23472" s="38" t="s">
        <v>123</v>
      </c>
      <c r="G23472" s="49" t="str">
        <f t="shared" si="1"/>
        <v>41800</v>
      </c>
      <c r="H23472" s="49">
        <f t="shared" si="2"/>
        <v>41149</v>
      </c>
    </row>
    <row r="23473">
      <c r="A23473" s="48" t="s">
        <v>15152</v>
      </c>
      <c r="B23473" s="38">
        <v>67348.0</v>
      </c>
      <c r="C23473" s="38" t="s">
        <v>28004</v>
      </c>
      <c r="D23473" s="38" t="str">
        <f>IFERROR(__xludf.DUMMYFUNCTION("REGEXREPLACE(C23473,""-\d+(.*)|--\d+(.*)"","""")"),"OBERNAI")</f>
        <v>OBERNAI</v>
      </c>
      <c r="E23473" s="38" t="s">
        <v>210</v>
      </c>
      <c r="F23473" s="38" t="s">
        <v>151</v>
      </c>
      <c r="G23473" s="49" t="str">
        <f t="shared" si="1"/>
        <v>67210</v>
      </c>
      <c r="H23473" s="49">
        <f t="shared" si="2"/>
        <v>67348</v>
      </c>
    </row>
    <row r="23474">
      <c r="A23474" s="48" t="s">
        <v>2510</v>
      </c>
      <c r="B23474" s="38">
        <v>22042.0</v>
      </c>
      <c r="C23474" s="38" t="s">
        <v>28005</v>
      </c>
      <c r="D23474" s="38" t="str">
        <f>IFERROR(__xludf.DUMMYFUNCTION("REGEXREPLACE(C23474,""-\d+(.*)|--\d+(.*)"","""")"),"COATREVEN")</f>
        <v>COATREVEN</v>
      </c>
      <c r="E23474" s="38" t="s">
        <v>89</v>
      </c>
      <c r="F23474" s="38" t="s">
        <v>90</v>
      </c>
      <c r="G23474" s="49" t="str">
        <f t="shared" si="1"/>
        <v>22450</v>
      </c>
      <c r="H23474" s="49">
        <f t="shared" si="2"/>
        <v>22042</v>
      </c>
    </row>
    <row r="23475">
      <c r="A23475" s="48" t="s">
        <v>7926</v>
      </c>
      <c r="B23475" s="38">
        <v>71289.0</v>
      </c>
      <c r="C23475" s="38" t="s">
        <v>28006</v>
      </c>
      <c r="D23475" s="38" t="str">
        <f>IFERROR(__xludf.DUMMYFUNCTION("REGEXREPLACE(C23475,""-\d+(.*)|--\d+(.*)"","""")"),"MATOUR")</f>
        <v>MATOUR</v>
      </c>
      <c r="E23475" s="38" t="s">
        <v>344</v>
      </c>
      <c r="F23475" s="38" t="s">
        <v>106</v>
      </c>
      <c r="G23475" s="49" t="str">
        <f t="shared" si="1"/>
        <v>71520</v>
      </c>
      <c r="H23475" s="49">
        <f t="shared" si="2"/>
        <v>71289</v>
      </c>
    </row>
    <row r="23476">
      <c r="A23476" s="48" t="s">
        <v>5134</v>
      </c>
      <c r="B23476" s="38">
        <v>70566.0</v>
      </c>
      <c r="C23476" s="38" t="s">
        <v>28007</v>
      </c>
      <c r="D23476" s="38" t="str">
        <f>IFERROR(__xludf.DUMMYFUNCTION("REGEXREPLACE(C23476,""-\d+(.*)|--\d+(.*)"","""")"),"VILLERS-SUR-PORT")</f>
        <v>VILLERS-SUR-PORT</v>
      </c>
      <c r="E23476" s="38" t="s">
        <v>956</v>
      </c>
      <c r="F23476" s="38" t="s">
        <v>214</v>
      </c>
      <c r="G23476" s="49" t="str">
        <f t="shared" si="1"/>
        <v>70170</v>
      </c>
      <c r="H23476" s="49">
        <f t="shared" si="2"/>
        <v>70566</v>
      </c>
    </row>
    <row r="23477">
      <c r="A23477" s="48" t="s">
        <v>6495</v>
      </c>
      <c r="B23477" s="38">
        <v>23098.0</v>
      </c>
      <c r="C23477" s="38" t="s">
        <v>28008</v>
      </c>
      <c r="D23477" s="38" t="str">
        <f>IFERROR(__xludf.DUMMYFUNCTION("REGEXREPLACE(C23477,""-\d+(.*)|--\d+(.*)"","""")"),"JALESCHES")</f>
        <v>JALESCHES</v>
      </c>
      <c r="E23477" s="38" t="s">
        <v>97</v>
      </c>
      <c r="F23477" s="38" t="s">
        <v>98</v>
      </c>
      <c r="G23477" s="49" t="str">
        <f t="shared" si="1"/>
        <v>23270</v>
      </c>
      <c r="H23477" s="49">
        <f t="shared" si="2"/>
        <v>23098</v>
      </c>
    </row>
    <row r="23478">
      <c r="A23478" s="48" t="s">
        <v>1274</v>
      </c>
      <c r="B23478" s="38">
        <v>33418.0</v>
      </c>
      <c r="C23478" s="38" t="s">
        <v>28009</v>
      </c>
      <c r="D23478" s="38" t="str">
        <f>IFERROR(__xludf.DUMMYFUNCTION("REGEXREPLACE(C23478,""-\d+(.*)|--\d+(.*)"","""")"),"SAINT-HILAIRE-DE-LA-NOAILLE")</f>
        <v>SAINT-HILAIRE-DE-LA-NOAILLE</v>
      </c>
      <c r="E23478" s="38" t="s">
        <v>462</v>
      </c>
      <c r="F23478" s="38" t="s">
        <v>252</v>
      </c>
      <c r="G23478" s="49" t="str">
        <f t="shared" si="1"/>
        <v>33190</v>
      </c>
      <c r="H23478" s="49">
        <f t="shared" si="2"/>
        <v>33418</v>
      </c>
    </row>
    <row r="23479">
      <c r="A23479" s="48" t="s">
        <v>3655</v>
      </c>
      <c r="B23479" s="38">
        <v>51444.0</v>
      </c>
      <c r="C23479" s="38" t="s">
        <v>14012</v>
      </c>
      <c r="D23479" s="38" t="str">
        <f>IFERROR(__xludf.DUMMYFUNCTION("REGEXREPLACE(C23479,""-\d+(.*)|--\d+(.*)"","""")"),"POUILLON")</f>
        <v>POUILLON</v>
      </c>
      <c r="E23479" s="38" t="s">
        <v>129</v>
      </c>
      <c r="F23479" s="38" t="s">
        <v>130</v>
      </c>
      <c r="G23479" s="49" t="str">
        <f t="shared" si="1"/>
        <v>51220</v>
      </c>
      <c r="H23479" s="49">
        <f t="shared" si="2"/>
        <v>51444</v>
      </c>
    </row>
    <row r="23480">
      <c r="A23480" s="48" t="s">
        <v>8145</v>
      </c>
      <c r="B23480" s="38">
        <v>9296.0</v>
      </c>
      <c r="C23480" s="38" t="s">
        <v>28010</v>
      </c>
      <c r="D23480" s="38" t="str">
        <f>IFERROR(__xludf.DUMMYFUNCTION("REGEXREPLACE(C23480,""-\d+(.*)|--\d+(.*)"","""")"),"SINSAT")</f>
        <v>SINSAT</v>
      </c>
      <c r="E23480" s="38" t="s">
        <v>238</v>
      </c>
      <c r="F23480" s="38" t="s">
        <v>94</v>
      </c>
      <c r="G23480" s="49" t="str">
        <f t="shared" si="1"/>
        <v>09310</v>
      </c>
      <c r="H23480" s="49" t="str">
        <f t="shared" si="2"/>
        <v>09296</v>
      </c>
    </row>
    <row r="23481">
      <c r="A23481" s="48" t="s">
        <v>785</v>
      </c>
      <c r="B23481" s="38">
        <v>33353.0</v>
      </c>
      <c r="C23481" s="38" t="s">
        <v>28011</v>
      </c>
      <c r="D23481" s="38" t="str">
        <f>IFERROR(__xludf.DUMMYFUNCTION("REGEXREPLACE(C23481,""-\d+(.*)|--\d+(.*)"","""")"),"RIMONS")</f>
        <v>RIMONS</v>
      </c>
      <c r="E23481" s="38" t="s">
        <v>462</v>
      </c>
      <c r="F23481" s="38" t="s">
        <v>252</v>
      </c>
      <c r="G23481" s="49" t="str">
        <f t="shared" si="1"/>
        <v>33580</v>
      </c>
      <c r="H23481" s="49">
        <f t="shared" si="2"/>
        <v>33353</v>
      </c>
    </row>
    <row r="23482">
      <c r="A23482" s="48" t="s">
        <v>11670</v>
      </c>
      <c r="B23482" s="38">
        <v>31184.0</v>
      </c>
      <c r="C23482" s="38" t="s">
        <v>28012</v>
      </c>
      <c r="D23482" s="38" t="str">
        <f>IFERROR(__xludf.DUMMYFUNCTION("REGEXREPLACE(C23482,""-\d+(.*)|--\d+(.*)"","""")"),"FLOURENS")</f>
        <v>FLOURENS</v>
      </c>
      <c r="E23482" s="38" t="s">
        <v>93</v>
      </c>
      <c r="F23482" s="38" t="s">
        <v>94</v>
      </c>
      <c r="G23482" s="49" t="str">
        <f t="shared" si="1"/>
        <v>31130</v>
      </c>
      <c r="H23482" s="49">
        <f t="shared" si="2"/>
        <v>31184</v>
      </c>
    </row>
    <row r="23483">
      <c r="A23483" s="48" t="s">
        <v>8429</v>
      </c>
      <c r="B23483" s="38">
        <v>44189.0</v>
      </c>
      <c r="C23483" s="38" t="s">
        <v>28013</v>
      </c>
      <c r="D23483" s="38" t="str">
        <f>IFERROR(__xludf.DUMMYFUNCTION("REGEXREPLACE(C23483,""-\d+(.*)|--\d+(.*)"","""")"),"SAINTE-REINE-DE-BRETAGNE")</f>
        <v>SAINTE-REINE-DE-BRETAGNE</v>
      </c>
      <c r="E23483" s="38" t="s">
        <v>759</v>
      </c>
      <c r="F23483" s="38" t="s">
        <v>180</v>
      </c>
      <c r="G23483" s="49" t="str">
        <f t="shared" si="1"/>
        <v>44160</v>
      </c>
      <c r="H23483" s="49">
        <f t="shared" si="2"/>
        <v>44189</v>
      </c>
    </row>
    <row r="23484">
      <c r="A23484" s="48" t="s">
        <v>2668</v>
      </c>
      <c r="B23484" s="38">
        <v>55206.0</v>
      </c>
      <c r="C23484" s="38" t="s">
        <v>28014</v>
      </c>
      <c r="D23484" s="38" t="str">
        <f>IFERROR(__xludf.DUMMYFUNCTION("REGEXREPLACE(C23484,""-\d+(.*)|--\d+(.*)"","""")"),"GERCOURT-ET-DRILLANCOURT")</f>
        <v>GERCOURT-ET-DRILLANCOURT</v>
      </c>
      <c r="E23484" s="38" t="s">
        <v>322</v>
      </c>
      <c r="F23484" s="38" t="s">
        <v>195</v>
      </c>
      <c r="G23484" s="49" t="str">
        <f t="shared" si="1"/>
        <v>55110</v>
      </c>
      <c r="H23484" s="49">
        <f t="shared" si="2"/>
        <v>55206</v>
      </c>
    </row>
    <row r="23485">
      <c r="A23485" s="48" t="s">
        <v>28015</v>
      </c>
      <c r="B23485" s="38" t="s">
        <v>28016</v>
      </c>
      <c r="C23485" s="38" t="s">
        <v>28017</v>
      </c>
      <c r="D23485" s="38" t="str">
        <f>IFERROR(__xludf.DUMMYFUNCTION("REGEXREPLACE(C23485,""-\d+(.*)|--\d+(.*)"","""")"),"REZZA")</f>
        <v>REZZA</v>
      </c>
      <c r="E23485" s="38" t="s">
        <v>606</v>
      </c>
      <c r="F23485" s="38" t="s">
        <v>607</v>
      </c>
      <c r="G23485" s="49" t="str">
        <f t="shared" si="1"/>
        <v>20121</v>
      </c>
      <c r="H23485" s="49" t="str">
        <f t="shared" si="2"/>
        <v>2A259</v>
      </c>
    </row>
    <row r="23486">
      <c r="A23486" s="48" t="s">
        <v>4079</v>
      </c>
      <c r="B23486" s="38">
        <v>1013.0</v>
      </c>
      <c r="C23486" s="38" t="s">
        <v>28018</v>
      </c>
      <c r="D23486" s="38" t="str">
        <f>IFERROR(__xludf.DUMMYFUNCTION("REGEXREPLACE(C23486,""-\d+(.*)|--\d+(.*)"","""")"),"ARANDAS")</f>
        <v>ARANDAS</v>
      </c>
      <c r="E23486" s="38" t="s">
        <v>255</v>
      </c>
      <c r="F23486" s="38" t="s">
        <v>102</v>
      </c>
      <c r="G23486" s="49" t="str">
        <f t="shared" si="1"/>
        <v>01230</v>
      </c>
      <c r="H23486" s="49" t="str">
        <f t="shared" si="2"/>
        <v>01013</v>
      </c>
    </row>
    <row r="23487">
      <c r="A23487" s="48" t="s">
        <v>1404</v>
      </c>
      <c r="B23487" s="38">
        <v>30126.0</v>
      </c>
      <c r="C23487" s="38" t="s">
        <v>28019</v>
      </c>
      <c r="D23487" s="38" t="str">
        <f>IFERROR(__xludf.DUMMYFUNCTION("REGEXREPLACE(C23487,""-\d+(.*)|--\d+(.*)"","""")"),"GARRIGUES-SAINTE-EULALIE")</f>
        <v>GARRIGUES-SAINTE-EULALIE</v>
      </c>
      <c r="E23487" s="38" t="s">
        <v>526</v>
      </c>
      <c r="F23487" s="38" t="s">
        <v>119</v>
      </c>
      <c r="G23487" s="49" t="str">
        <f t="shared" si="1"/>
        <v>30190</v>
      </c>
      <c r="H23487" s="49">
        <f t="shared" si="2"/>
        <v>30126</v>
      </c>
    </row>
    <row r="23488">
      <c r="A23488" s="48" t="s">
        <v>7700</v>
      </c>
      <c r="B23488" s="38">
        <v>23122.0</v>
      </c>
      <c r="C23488" s="38" t="s">
        <v>28020</v>
      </c>
      <c r="D23488" s="38" t="str">
        <f>IFERROR(__xludf.DUMMYFUNCTION("REGEXREPLACE(C23488,""-\d+(.*)|--\d+(.*)"","""")"),"MANSAT-LA-COURRIERE")</f>
        <v>MANSAT-LA-COURRIERE</v>
      </c>
      <c r="E23488" s="38" t="s">
        <v>97</v>
      </c>
      <c r="F23488" s="38" t="s">
        <v>98</v>
      </c>
      <c r="G23488" s="49" t="str">
        <f t="shared" si="1"/>
        <v>23400</v>
      </c>
      <c r="H23488" s="49">
        <f t="shared" si="2"/>
        <v>23122</v>
      </c>
    </row>
    <row r="23489">
      <c r="A23489" s="48" t="s">
        <v>1972</v>
      </c>
      <c r="B23489" s="38">
        <v>57565.0</v>
      </c>
      <c r="C23489" s="38" t="s">
        <v>28021</v>
      </c>
      <c r="D23489" s="38" t="str">
        <f>IFERROR(__xludf.DUMMYFUNCTION("REGEXREPLACE(C23489,""-\d+(.*)|--\d+(.*)"","""")"),"REDANGE")</f>
        <v>REDANGE</v>
      </c>
      <c r="E23489" s="38" t="s">
        <v>303</v>
      </c>
      <c r="F23489" s="38" t="s">
        <v>195</v>
      </c>
      <c r="G23489" s="49" t="str">
        <f t="shared" si="1"/>
        <v>57390</v>
      </c>
      <c r="H23489" s="49">
        <f t="shared" si="2"/>
        <v>57565</v>
      </c>
    </row>
    <row r="23490">
      <c r="A23490" s="48" t="s">
        <v>28022</v>
      </c>
      <c r="B23490" s="38">
        <v>97357.0</v>
      </c>
      <c r="C23490" s="38" t="s">
        <v>28023</v>
      </c>
      <c r="D23490" s="38" t="str">
        <f>IFERROR(__xludf.DUMMYFUNCTION("REGEXREPLACE(C23490,""-\d+(.*)|--\d+(.*)"","""")"),"GRAND-SANTI")</f>
        <v>GRAND-SANTI</v>
      </c>
      <c r="E23490" s="38" t="s">
        <v>1737</v>
      </c>
      <c r="F23490" s="38" t="s">
        <v>1737</v>
      </c>
      <c r="G23490" s="49" t="str">
        <f t="shared" si="1"/>
        <v>97340</v>
      </c>
      <c r="H23490" s="49">
        <f t="shared" si="2"/>
        <v>97357</v>
      </c>
    </row>
    <row r="23491">
      <c r="A23491" s="48" t="s">
        <v>5313</v>
      </c>
      <c r="B23491" s="38">
        <v>60479.0</v>
      </c>
      <c r="C23491" s="38" t="s">
        <v>28024</v>
      </c>
      <c r="D23491" s="38" t="str">
        <f>IFERROR(__xludf.DUMMYFUNCTION("REGEXREPLACE(C23491,""-\d+(.*)|--\d+(.*)"","""")"),"ORMOY-VILLERS")</f>
        <v>ORMOY-VILLERS</v>
      </c>
      <c r="E23491" s="38" t="s">
        <v>112</v>
      </c>
      <c r="F23491" s="38" t="s">
        <v>113</v>
      </c>
      <c r="G23491" s="49" t="str">
        <f t="shared" si="1"/>
        <v>60800</v>
      </c>
      <c r="H23491" s="49">
        <f t="shared" si="2"/>
        <v>60479</v>
      </c>
    </row>
    <row r="23492">
      <c r="A23492" s="48" t="s">
        <v>4245</v>
      </c>
      <c r="B23492" s="38">
        <v>50013.0</v>
      </c>
      <c r="C23492" s="38" t="s">
        <v>28025</v>
      </c>
      <c r="D23492" s="38" t="str">
        <f>IFERROR(__xludf.DUMMYFUNCTION("REGEXREPLACE(C23492,""-\d+(.*)|--\d+(.*)"","""")"),"ANNEVILLE-EN-SAIRE")</f>
        <v>ANNEVILLE-EN-SAIRE</v>
      </c>
      <c r="E23492" s="38" t="s">
        <v>157</v>
      </c>
      <c r="F23492" s="38" t="s">
        <v>138</v>
      </c>
      <c r="G23492" s="49" t="str">
        <f t="shared" si="1"/>
        <v>50760</v>
      </c>
      <c r="H23492" s="49">
        <f t="shared" si="2"/>
        <v>50013</v>
      </c>
    </row>
    <row r="23493">
      <c r="A23493" s="48" t="s">
        <v>5958</v>
      </c>
      <c r="B23493" s="38">
        <v>68098.0</v>
      </c>
      <c r="C23493" s="38" t="s">
        <v>28026</v>
      </c>
      <c r="D23493" s="38" t="str">
        <f>IFERROR(__xludf.DUMMYFUNCTION("REGEXREPLACE(C23493,""-\d+(.*)|--\d+(.*)"","""")"),"FRIESEN")</f>
        <v>FRIESEN</v>
      </c>
      <c r="E23493" s="38" t="s">
        <v>150</v>
      </c>
      <c r="F23493" s="38" t="s">
        <v>151</v>
      </c>
      <c r="G23493" s="49" t="str">
        <f t="shared" si="1"/>
        <v>68580</v>
      </c>
      <c r="H23493" s="49">
        <f t="shared" si="2"/>
        <v>68098</v>
      </c>
    </row>
    <row r="23494">
      <c r="A23494" s="48" t="s">
        <v>28027</v>
      </c>
      <c r="B23494" s="38">
        <v>29051.0</v>
      </c>
      <c r="C23494" s="38" t="s">
        <v>28028</v>
      </c>
      <c r="D23494" s="38" t="str">
        <f>IFERROR(__xludf.DUMMYFUNCTION("REGEXREPLACE(C23494,""-\d+(.*)|--\d+(.*)"","""")"),"ERGUE-GABERIC")</f>
        <v>ERGUE-GABERIC</v>
      </c>
      <c r="E23494" s="38" t="s">
        <v>176</v>
      </c>
      <c r="F23494" s="38" t="s">
        <v>90</v>
      </c>
      <c r="G23494" s="49" t="str">
        <f t="shared" si="1"/>
        <v>29500</v>
      </c>
      <c r="H23494" s="49">
        <f t="shared" si="2"/>
        <v>29051</v>
      </c>
    </row>
    <row r="23495">
      <c r="A23495" s="48" t="s">
        <v>2963</v>
      </c>
      <c r="B23495" s="38">
        <v>34157.0</v>
      </c>
      <c r="C23495" s="38" t="s">
        <v>28029</v>
      </c>
      <c r="D23495" s="38" t="str">
        <f>IFERROR(__xludf.DUMMYFUNCTION("REGEXREPLACE(C23495,""-\d+(.*)|--\d+(.*)"","""")"),"MEZE")</f>
        <v>MEZE</v>
      </c>
      <c r="E23495" s="38" t="s">
        <v>118</v>
      </c>
      <c r="F23495" s="38" t="s">
        <v>119</v>
      </c>
      <c r="G23495" s="49" t="str">
        <f t="shared" si="1"/>
        <v>34140</v>
      </c>
      <c r="H23495" s="49">
        <f t="shared" si="2"/>
        <v>34157</v>
      </c>
    </row>
    <row r="23496">
      <c r="A23496" s="48" t="s">
        <v>3795</v>
      </c>
      <c r="B23496" s="38">
        <v>24248.0</v>
      </c>
      <c r="C23496" s="38" t="s">
        <v>28030</v>
      </c>
      <c r="D23496" s="38" t="str">
        <f>IFERROR(__xludf.DUMMYFUNCTION("REGEXREPLACE(C23496,""-\d+(.*)|--\d+(.*)"","""")"),"LUSSAS-ET-NONTRONNEAU")</f>
        <v>LUSSAS-ET-NONTRONNEAU</v>
      </c>
      <c r="E23496" s="38" t="s">
        <v>261</v>
      </c>
      <c r="F23496" s="38" t="s">
        <v>252</v>
      </c>
      <c r="G23496" s="49" t="str">
        <f t="shared" si="1"/>
        <v>24300</v>
      </c>
      <c r="H23496" s="49">
        <f t="shared" si="2"/>
        <v>24248</v>
      </c>
    </row>
    <row r="23497">
      <c r="A23497" s="48" t="s">
        <v>1286</v>
      </c>
      <c r="B23497" s="38">
        <v>47172.0</v>
      </c>
      <c r="C23497" s="38" t="s">
        <v>28031</v>
      </c>
      <c r="D23497" s="38" t="str">
        <f>IFERROR(__xludf.DUMMYFUNCTION("REGEXREPLACE(C23497,""-\d+(.*)|--\d+(.*)"","""")"),"MONCAUT")</f>
        <v>MONCAUT</v>
      </c>
      <c r="E23497" s="38" t="s">
        <v>251</v>
      </c>
      <c r="F23497" s="38" t="s">
        <v>252</v>
      </c>
      <c r="G23497" s="49" t="str">
        <f t="shared" si="1"/>
        <v>47310</v>
      </c>
      <c r="H23497" s="49">
        <f t="shared" si="2"/>
        <v>47172</v>
      </c>
    </row>
    <row r="23498">
      <c r="A23498" s="48" t="s">
        <v>14779</v>
      </c>
      <c r="B23498" s="38">
        <v>19010.0</v>
      </c>
      <c r="C23498" s="38" t="s">
        <v>28032</v>
      </c>
      <c r="D23498" s="38" t="str">
        <f>IFERROR(__xludf.DUMMYFUNCTION("REGEXREPLACE(C23498,""-\d+(.*)|--\d+(.*)"","""")"),"ARGENTAT")</f>
        <v>ARGENTAT</v>
      </c>
      <c r="E23498" s="38" t="s">
        <v>271</v>
      </c>
      <c r="F23498" s="38" t="s">
        <v>98</v>
      </c>
      <c r="G23498" s="49" t="str">
        <f t="shared" si="1"/>
        <v>19400</v>
      </c>
      <c r="H23498" s="49">
        <f t="shared" si="2"/>
        <v>19010</v>
      </c>
    </row>
    <row r="23499">
      <c r="A23499" s="48" t="s">
        <v>20186</v>
      </c>
      <c r="B23499" s="38">
        <v>23083.0</v>
      </c>
      <c r="C23499" s="38" t="s">
        <v>28033</v>
      </c>
      <c r="D23499" s="38" t="str">
        <f>IFERROR(__xludf.DUMMYFUNCTION("REGEXREPLACE(C23499,""-\d+(.*)|--\d+(.*)"","""")"),"FONTANIERES")</f>
        <v>FONTANIERES</v>
      </c>
      <c r="E23499" s="38" t="s">
        <v>97</v>
      </c>
      <c r="F23499" s="38" t="s">
        <v>98</v>
      </c>
      <c r="G23499" s="49" t="str">
        <f t="shared" si="1"/>
        <v>23110</v>
      </c>
      <c r="H23499" s="49">
        <f t="shared" si="2"/>
        <v>23083</v>
      </c>
    </row>
    <row r="23500">
      <c r="A23500" s="48" t="s">
        <v>1609</v>
      </c>
      <c r="B23500" s="38">
        <v>30147.0</v>
      </c>
      <c r="C23500" s="38" t="s">
        <v>28034</v>
      </c>
      <c r="D23500" s="38" t="str">
        <f>IFERROR(__xludf.DUMMYFUNCTION("REGEXREPLACE(C23500,""-\d+(.*)|--\d+(.*)"","""")"),"LEZAN")</f>
        <v>LEZAN</v>
      </c>
      <c r="E23500" s="38" t="s">
        <v>526</v>
      </c>
      <c r="F23500" s="38" t="s">
        <v>119</v>
      </c>
      <c r="G23500" s="49" t="str">
        <f t="shared" si="1"/>
        <v>30350</v>
      </c>
      <c r="H23500" s="49">
        <f t="shared" si="2"/>
        <v>30147</v>
      </c>
    </row>
    <row r="23501">
      <c r="A23501" s="48" t="s">
        <v>1540</v>
      </c>
      <c r="B23501" s="38">
        <v>70115.0</v>
      </c>
      <c r="C23501" s="38" t="s">
        <v>28035</v>
      </c>
      <c r="D23501" s="38" t="str">
        <f>IFERROR(__xludf.DUMMYFUNCTION("REGEXREPLACE(C23501,""-\d+(.*)|--\d+(.*)"","""")"),"CERRE-LES-NOROY")</f>
        <v>CERRE-LES-NOROY</v>
      </c>
      <c r="E23501" s="38" t="s">
        <v>956</v>
      </c>
      <c r="F23501" s="38" t="s">
        <v>214</v>
      </c>
      <c r="G23501" s="49" t="str">
        <f t="shared" si="1"/>
        <v>70000</v>
      </c>
      <c r="H23501" s="49">
        <f t="shared" si="2"/>
        <v>70115</v>
      </c>
    </row>
    <row r="23502">
      <c r="A23502" s="48" t="s">
        <v>6406</v>
      </c>
      <c r="B23502" s="38">
        <v>41022.0</v>
      </c>
      <c r="C23502" s="38" t="s">
        <v>28036</v>
      </c>
      <c r="D23502" s="38" t="str">
        <f>IFERROR(__xludf.DUMMYFUNCTION("REGEXREPLACE(C23502,""-\d+(.*)|--\d+(.*)"","""")"),"BOUFFRY")</f>
        <v>BOUFFRY</v>
      </c>
      <c r="E23502" s="38" t="s">
        <v>188</v>
      </c>
      <c r="F23502" s="38" t="s">
        <v>123</v>
      </c>
      <c r="G23502" s="49" t="str">
        <f t="shared" si="1"/>
        <v>41270</v>
      </c>
      <c r="H23502" s="49">
        <f t="shared" si="2"/>
        <v>41022</v>
      </c>
    </row>
    <row r="23503">
      <c r="A23503" s="48" t="s">
        <v>2159</v>
      </c>
      <c r="B23503" s="38">
        <v>57395.0</v>
      </c>
      <c r="C23503" s="38" t="s">
        <v>28037</v>
      </c>
      <c r="D23503" s="38" t="str">
        <f>IFERROR(__xludf.DUMMYFUNCTION("REGEXREPLACE(C23503,""-\d+(.*)|--\d+(.*)"","""")"),"LESSE")</f>
        <v>LESSE</v>
      </c>
      <c r="E23503" s="38" t="s">
        <v>303</v>
      </c>
      <c r="F23503" s="38" t="s">
        <v>195</v>
      </c>
      <c r="G23503" s="49" t="str">
        <f t="shared" si="1"/>
        <v>57580</v>
      </c>
      <c r="H23503" s="49">
        <f t="shared" si="2"/>
        <v>57395</v>
      </c>
    </row>
    <row r="23504">
      <c r="A23504" s="48" t="s">
        <v>28038</v>
      </c>
      <c r="B23504" s="38">
        <v>66011.0</v>
      </c>
      <c r="C23504" s="38" t="s">
        <v>10457</v>
      </c>
      <c r="D23504" s="38" t="str">
        <f>IFERROR(__xludf.DUMMYFUNCTION("REGEXREPLACE(C23504,""-\d+(.*)|--\d+(.*)"","""")"),"BAGES")</f>
        <v>BAGES</v>
      </c>
      <c r="E23504" s="38" t="s">
        <v>248</v>
      </c>
      <c r="F23504" s="38" t="s">
        <v>119</v>
      </c>
      <c r="G23504" s="49" t="str">
        <f t="shared" si="1"/>
        <v>66670</v>
      </c>
      <c r="H23504" s="49">
        <f t="shared" si="2"/>
        <v>66011</v>
      </c>
    </row>
    <row r="23505">
      <c r="A23505" s="48" t="s">
        <v>9231</v>
      </c>
      <c r="B23505" s="38">
        <v>76667.0</v>
      </c>
      <c r="C23505" s="38" t="s">
        <v>28039</v>
      </c>
      <c r="D23505" s="38" t="str">
        <f>IFERROR(__xludf.DUMMYFUNCTION("REGEXREPLACE(C23505,""-\d+(.*)|--\d+(.*)"","""")"),"SAUQUEVILLE")</f>
        <v>SAUQUEVILLE</v>
      </c>
      <c r="E23505" s="38" t="s">
        <v>133</v>
      </c>
      <c r="F23505" s="38" t="s">
        <v>134</v>
      </c>
      <c r="G23505" s="49" t="str">
        <f t="shared" si="1"/>
        <v>76550</v>
      </c>
      <c r="H23505" s="49">
        <f t="shared" si="2"/>
        <v>76667</v>
      </c>
    </row>
    <row r="23506">
      <c r="A23506" s="48" t="s">
        <v>5846</v>
      </c>
      <c r="B23506" s="38">
        <v>60046.0</v>
      </c>
      <c r="C23506" s="38" t="s">
        <v>28040</v>
      </c>
      <c r="D23506" s="38" t="str">
        <f>IFERROR(__xludf.DUMMYFUNCTION("REGEXREPLACE(C23506,""-\d+(.*)|--\d+(.*)"","""")"),"BARGNY")</f>
        <v>BARGNY</v>
      </c>
      <c r="E23506" s="38" t="s">
        <v>112</v>
      </c>
      <c r="F23506" s="38" t="s">
        <v>113</v>
      </c>
      <c r="G23506" s="49" t="str">
        <f t="shared" si="1"/>
        <v>60620</v>
      </c>
      <c r="H23506" s="49">
        <f t="shared" si="2"/>
        <v>60046</v>
      </c>
    </row>
    <row r="23507">
      <c r="A23507" s="48" t="s">
        <v>325</v>
      </c>
      <c r="B23507" s="38">
        <v>8366.0</v>
      </c>
      <c r="C23507" s="38" t="s">
        <v>11653</v>
      </c>
      <c r="D23507" s="38" t="str">
        <f>IFERROR(__xludf.DUMMYFUNCTION("REGEXREPLACE(C23507,""-\d+(.*)|--\d+(.*)"","""")"),"ROCQUIGNY")</f>
        <v>ROCQUIGNY</v>
      </c>
      <c r="E23507" s="38" t="s">
        <v>327</v>
      </c>
      <c r="F23507" s="38" t="s">
        <v>130</v>
      </c>
      <c r="G23507" s="49" t="str">
        <f t="shared" si="1"/>
        <v>08220</v>
      </c>
      <c r="H23507" s="49" t="str">
        <f t="shared" si="2"/>
        <v>08366</v>
      </c>
    </row>
    <row r="23508">
      <c r="A23508" s="48" t="s">
        <v>4445</v>
      </c>
      <c r="B23508" s="38">
        <v>30197.0</v>
      </c>
      <c r="C23508" s="38" t="s">
        <v>28041</v>
      </c>
      <c r="D23508" s="38" t="str">
        <f>IFERROR(__xludf.DUMMYFUNCTION("REGEXREPLACE(C23508,""-\d+(.*)|--\d+(.*)"","""")"),"LES PLANS")</f>
        <v>LES PLANS</v>
      </c>
      <c r="E23508" s="38" t="s">
        <v>526</v>
      </c>
      <c r="F23508" s="38" t="s">
        <v>119</v>
      </c>
      <c r="G23508" s="49" t="str">
        <f t="shared" si="1"/>
        <v>30340</v>
      </c>
      <c r="H23508" s="49">
        <f t="shared" si="2"/>
        <v>30197</v>
      </c>
    </row>
    <row r="23509">
      <c r="A23509" s="48" t="s">
        <v>7986</v>
      </c>
      <c r="B23509" s="38">
        <v>69111.0</v>
      </c>
      <c r="C23509" s="38" t="s">
        <v>28042</v>
      </c>
      <c r="D23509" s="38" t="str">
        <f>IFERROR(__xludf.DUMMYFUNCTION("REGEXREPLACE(C23509,""-\d+(.*)|--\d+(.*)"","""")"),"LEGNY")</f>
        <v>LEGNY</v>
      </c>
      <c r="E23509" s="38" t="s">
        <v>350</v>
      </c>
      <c r="F23509" s="38" t="s">
        <v>102</v>
      </c>
      <c r="G23509" s="49" t="str">
        <f t="shared" si="1"/>
        <v>69620</v>
      </c>
      <c r="H23509" s="49">
        <f t="shared" si="2"/>
        <v>69111</v>
      </c>
    </row>
    <row r="23510">
      <c r="A23510" s="48" t="s">
        <v>3036</v>
      </c>
      <c r="B23510" s="38">
        <v>61316.0</v>
      </c>
      <c r="C23510" s="38" t="s">
        <v>28043</v>
      </c>
      <c r="D23510" s="38" t="str">
        <f>IFERROR(__xludf.DUMMYFUNCTION("REGEXREPLACE(C23510,""-\d+(.*)|--\d+(.*)"","""")"),"OMMOY")</f>
        <v>OMMOY</v>
      </c>
      <c r="E23510" s="38" t="s">
        <v>141</v>
      </c>
      <c r="F23510" s="38" t="s">
        <v>138</v>
      </c>
      <c r="G23510" s="49" t="str">
        <f t="shared" si="1"/>
        <v>61160</v>
      </c>
      <c r="H23510" s="49">
        <f t="shared" si="2"/>
        <v>61316</v>
      </c>
    </row>
    <row r="23511">
      <c r="A23511" s="48" t="s">
        <v>3628</v>
      </c>
      <c r="B23511" s="38">
        <v>16256.0</v>
      </c>
      <c r="C23511" s="38" t="s">
        <v>28044</v>
      </c>
      <c r="D23511" s="38" t="str">
        <f>IFERROR(__xludf.DUMMYFUNCTION("REGEXREPLACE(C23511,""-\d+(.*)|--\d+(.*)"","""")"),"PASSIRAC")</f>
        <v>PASSIRAC</v>
      </c>
      <c r="E23511" s="38" t="s">
        <v>429</v>
      </c>
      <c r="F23511" s="38" t="s">
        <v>338</v>
      </c>
      <c r="G23511" s="49" t="str">
        <f t="shared" si="1"/>
        <v>16480</v>
      </c>
      <c r="H23511" s="49">
        <f t="shared" si="2"/>
        <v>16256</v>
      </c>
    </row>
    <row r="23512">
      <c r="A23512" s="48" t="s">
        <v>28015</v>
      </c>
      <c r="B23512" s="38" t="s">
        <v>28045</v>
      </c>
      <c r="C23512" s="38" t="s">
        <v>28046</v>
      </c>
      <c r="D23512" s="38" t="str">
        <f>IFERROR(__xludf.DUMMYFUNCTION("REGEXREPLACE(C23512,""-\d+(.*)|--\d+(.*)"","""")"),"SALICE")</f>
        <v>SALICE</v>
      </c>
      <c r="E23512" s="38" t="s">
        <v>606</v>
      </c>
      <c r="F23512" s="38" t="s">
        <v>607</v>
      </c>
      <c r="G23512" s="49" t="str">
        <f t="shared" si="1"/>
        <v>20121</v>
      </c>
      <c r="H23512" s="49" t="str">
        <f t="shared" si="2"/>
        <v>2A266</v>
      </c>
    </row>
    <row r="23513">
      <c r="A23513" s="48" t="s">
        <v>28047</v>
      </c>
      <c r="B23513" s="38">
        <v>67212.0</v>
      </c>
      <c r="C23513" s="38" t="s">
        <v>28048</v>
      </c>
      <c r="D23513" s="38" t="str">
        <f>IFERROR(__xludf.DUMMYFUNCTION("REGEXREPLACE(C23513,""-\d+(.*)|--\d+(.*)"","""")"),"HOLTZHEIM")</f>
        <v>HOLTZHEIM</v>
      </c>
      <c r="E23513" s="38" t="s">
        <v>210</v>
      </c>
      <c r="F23513" s="38" t="s">
        <v>151</v>
      </c>
      <c r="G23513" s="49" t="str">
        <f t="shared" si="1"/>
        <v>67810</v>
      </c>
      <c r="H23513" s="49">
        <f t="shared" si="2"/>
        <v>67212</v>
      </c>
    </row>
    <row r="23514">
      <c r="A23514" s="48" t="s">
        <v>696</v>
      </c>
      <c r="B23514" s="38">
        <v>9054.0</v>
      </c>
      <c r="C23514" s="38" t="s">
        <v>28049</v>
      </c>
      <c r="D23514" s="38" t="str">
        <f>IFERROR(__xludf.DUMMYFUNCTION("REGEXREPLACE(C23514,""-\d+(.*)|--\d+(.*)"","""")"),"BETCHAT")</f>
        <v>BETCHAT</v>
      </c>
      <c r="E23514" s="38" t="s">
        <v>238</v>
      </c>
      <c r="F23514" s="38" t="s">
        <v>94</v>
      </c>
      <c r="G23514" s="49" t="str">
        <f t="shared" si="1"/>
        <v>09160</v>
      </c>
      <c r="H23514" s="49" t="str">
        <f t="shared" si="2"/>
        <v>09054</v>
      </c>
    </row>
    <row r="23515">
      <c r="A23515" s="48" t="s">
        <v>28050</v>
      </c>
      <c r="B23515" s="38">
        <v>66129.0</v>
      </c>
      <c r="C23515" s="38" t="s">
        <v>28051</v>
      </c>
      <c r="D23515" s="38" t="str">
        <f>IFERROR(__xludf.DUMMYFUNCTION("REGEXREPLACE(C23515,""-\d+(.*)|--\d+(.*)"","""")"),"ORTAFFA")</f>
        <v>ORTAFFA</v>
      </c>
      <c r="E23515" s="38" t="s">
        <v>248</v>
      </c>
      <c r="F23515" s="38" t="s">
        <v>119</v>
      </c>
      <c r="G23515" s="49" t="str">
        <f t="shared" si="1"/>
        <v>66560</v>
      </c>
      <c r="H23515" s="49">
        <f t="shared" si="2"/>
        <v>66129</v>
      </c>
    </row>
    <row r="23516">
      <c r="A23516" s="48" t="s">
        <v>2924</v>
      </c>
      <c r="B23516" s="38">
        <v>8262.0</v>
      </c>
      <c r="C23516" s="38" t="s">
        <v>28052</v>
      </c>
      <c r="D23516" s="38" t="str">
        <f>IFERROR(__xludf.DUMMYFUNCTION("REGEXREPLACE(C23516,""-\d+(.*)|--\d+(.*)"","""")"),"LUCQUY")</f>
        <v>LUCQUY</v>
      </c>
      <c r="E23516" s="38" t="s">
        <v>327</v>
      </c>
      <c r="F23516" s="38" t="s">
        <v>130</v>
      </c>
      <c r="G23516" s="49" t="str">
        <f t="shared" si="1"/>
        <v>08300</v>
      </c>
      <c r="H23516" s="49" t="str">
        <f t="shared" si="2"/>
        <v>08262</v>
      </c>
    </row>
    <row r="23517">
      <c r="A23517" s="48" t="s">
        <v>1695</v>
      </c>
      <c r="B23517" s="38">
        <v>80266.0</v>
      </c>
      <c r="C23517" s="38" t="s">
        <v>28053</v>
      </c>
      <c r="D23517" s="38" t="str">
        <f>IFERROR(__xludf.DUMMYFUNCTION("REGEXREPLACE(C23517,""-\d+(.*)|--\d+(.*)"","""")"),"ENGLEBELMER")</f>
        <v>ENGLEBELMER</v>
      </c>
      <c r="E23517" s="38" t="s">
        <v>224</v>
      </c>
      <c r="F23517" s="38" t="s">
        <v>113</v>
      </c>
      <c r="G23517" s="49" t="str">
        <f t="shared" si="1"/>
        <v>80300</v>
      </c>
      <c r="H23517" s="49">
        <f t="shared" si="2"/>
        <v>80266</v>
      </c>
    </row>
    <row r="23518">
      <c r="A23518" s="48" t="s">
        <v>2538</v>
      </c>
      <c r="B23518" s="38">
        <v>12134.0</v>
      </c>
      <c r="C23518" s="38" t="s">
        <v>27947</v>
      </c>
      <c r="D23518" s="38" t="str">
        <f>IFERROR(__xludf.DUMMYFUNCTION("REGEXREPLACE(C23518,""-\d+(.*)|--\d+(.*)"","""")"),"LUGAN")</f>
        <v>LUGAN</v>
      </c>
      <c r="E23518" s="38" t="s">
        <v>465</v>
      </c>
      <c r="F23518" s="38" t="s">
        <v>94</v>
      </c>
      <c r="G23518" s="49" t="str">
        <f t="shared" si="1"/>
        <v>12220</v>
      </c>
      <c r="H23518" s="49">
        <f t="shared" si="2"/>
        <v>12134</v>
      </c>
    </row>
    <row r="23519">
      <c r="A23519" s="48" t="s">
        <v>13699</v>
      </c>
      <c r="B23519" s="38">
        <v>22025.0</v>
      </c>
      <c r="C23519" s="38" t="s">
        <v>28054</v>
      </c>
      <c r="D23519" s="38" t="str">
        <f>IFERROR(__xludf.DUMMYFUNCTION("REGEXREPLACE(C23519,""-\d+(.*)|--\d+(.*)"","""")"),"CALLAC")</f>
        <v>CALLAC</v>
      </c>
      <c r="E23519" s="38" t="s">
        <v>89</v>
      </c>
      <c r="F23519" s="38" t="s">
        <v>90</v>
      </c>
      <c r="G23519" s="49" t="str">
        <f t="shared" si="1"/>
        <v>22160</v>
      </c>
      <c r="H23519" s="49">
        <f t="shared" si="2"/>
        <v>22025</v>
      </c>
    </row>
    <row r="23520">
      <c r="A23520" s="48" t="s">
        <v>2905</v>
      </c>
      <c r="B23520" s="38">
        <v>21214.0</v>
      </c>
      <c r="C23520" s="38" t="s">
        <v>28055</v>
      </c>
      <c r="D23520" s="38" t="str">
        <f>IFERROR(__xludf.DUMMYFUNCTION("REGEXREPLACE(C23520,""-\d+(.*)|--\d+(.*)"","""")"),"CRUGEY")</f>
        <v>CRUGEY</v>
      </c>
      <c r="E23520" s="38" t="s">
        <v>105</v>
      </c>
      <c r="F23520" s="38" t="s">
        <v>106</v>
      </c>
      <c r="G23520" s="49" t="str">
        <f t="shared" si="1"/>
        <v>21360</v>
      </c>
      <c r="H23520" s="49">
        <f t="shared" si="2"/>
        <v>21214</v>
      </c>
    </row>
    <row r="23521">
      <c r="A23521" s="48" t="s">
        <v>4054</v>
      </c>
      <c r="B23521" s="38">
        <v>88345.0</v>
      </c>
      <c r="C23521" s="38" t="s">
        <v>28056</v>
      </c>
      <c r="D23521" s="38" t="str">
        <f>IFERROR(__xludf.DUMMYFUNCTION("REGEXREPLACE(C23521,""-\d+(.*)|--\d+(.*)"","""")"),"LA PETITE-FOSSE")</f>
        <v>LA PETITE-FOSSE</v>
      </c>
      <c r="E23521" s="38" t="s">
        <v>194</v>
      </c>
      <c r="F23521" s="38" t="s">
        <v>195</v>
      </c>
      <c r="G23521" s="49" t="str">
        <f t="shared" si="1"/>
        <v>88490</v>
      </c>
      <c r="H23521" s="49">
        <f t="shared" si="2"/>
        <v>88345</v>
      </c>
    </row>
    <row r="23522">
      <c r="A23522" s="48" t="s">
        <v>1774</v>
      </c>
      <c r="B23522" s="38">
        <v>28078.0</v>
      </c>
      <c r="C23522" s="38" t="s">
        <v>28057</v>
      </c>
      <c r="D23522" s="38" t="str">
        <f>IFERROR(__xludf.DUMMYFUNCTION("REGEXREPLACE(C23522,""-\d+(.*)|--\d+(.*)"","""")"),"CHAPELLE-GUILLAUME")</f>
        <v>CHAPELLE-GUILLAUME</v>
      </c>
      <c r="E23522" s="38" t="s">
        <v>300</v>
      </c>
      <c r="F23522" s="38" t="s">
        <v>123</v>
      </c>
      <c r="G23522" s="49" t="str">
        <f t="shared" si="1"/>
        <v>28330</v>
      </c>
      <c r="H23522" s="49">
        <f t="shared" si="2"/>
        <v>28078</v>
      </c>
    </row>
    <row r="23523">
      <c r="A23523" s="48" t="s">
        <v>1404</v>
      </c>
      <c r="B23523" s="38">
        <v>30102.0</v>
      </c>
      <c r="C23523" s="38" t="s">
        <v>28058</v>
      </c>
      <c r="D23523" s="38" t="str">
        <f>IFERROR(__xludf.DUMMYFUNCTION("REGEXREPLACE(C23523,""-\d+(.*)|--\d+(.*)"","""")"),"DIONS")</f>
        <v>DIONS</v>
      </c>
      <c r="E23523" s="38" t="s">
        <v>526</v>
      </c>
      <c r="F23523" s="38" t="s">
        <v>119</v>
      </c>
      <c r="G23523" s="49" t="str">
        <f t="shared" si="1"/>
        <v>30190</v>
      </c>
      <c r="H23523" s="49">
        <f t="shared" si="2"/>
        <v>30102</v>
      </c>
    </row>
    <row r="23524">
      <c r="A23524" s="48" t="s">
        <v>1796</v>
      </c>
      <c r="B23524" s="38">
        <v>31255.0</v>
      </c>
      <c r="C23524" s="38" t="s">
        <v>28059</v>
      </c>
      <c r="D23524" s="38" t="str">
        <f>IFERROR(__xludf.DUMMYFUNCTION("REGEXREPLACE(C23524,""-\d+(.*)|--\d+(.*)"","""")"),"LABROQUERE")</f>
        <v>LABROQUERE</v>
      </c>
      <c r="E23524" s="38" t="s">
        <v>93</v>
      </c>
      <c r="F23524" s="38" t="s">
        <v>94</v>
      </c>
      <c r="G23524" s="49" t="str">
        <f t="shared" si="1"/>
        <v>31510</v>
      </c>
      <c r="H23524" s="49">
        <f t="shared" si="2"/>
        <v>31255</v>
      </c>
    </row>
    <row r="23525">
      <c r="A23525" s="48" t="s">
        <v>1210</v>
      </c>
      <c r="B23525" s="38">
        <v>50268.0</v>
      </c>
      <c r="C23525" s="38" t="s">
        <v>28060</v>
      </c>
      <c r="D23525" s="38" t="str">
        <f>IFERROR(__xludf.DUMMYFUNCTION("REGEXREPLACE(C23525,""-\d+(.*)|--\d+(.*)"","""")"),"LESTRE")</f>
        <v>LESTRE</v>
      </c>
      <c r="E23525" s="38" t="s">
        <v>157</v>
      </c>
      <c r="F23525" s="38" t="s">
        <v>138</v>
      </c>
      <c r="G23525" s="49" t="str">
        <f t="shared" si="1"/>
        <v>50310</v>
      </c>
      <c r="H23525" s="49">
        <f t="shared" si="2"/>
        <v>50268</v>
      </c>
    </row>
    <row r="23526">
      <c r="A23526" s="48" t="s">
        <v>14518</v>
      </c>
      <c r="B23526" s="38">
        <v>7299.0</v>
      </c>
      <c r="C23526" s="38" t="s">
        <v>28061</v>
      </c>
      <c r="D23526" s="38" t="str">
        <f>IFERROR(__xludf.DUMMYFUNCTION("REGEXREPLACE(C23526,""-\d+(.*)|--\d+(.*)"","""")"),"SAINT-SYMPHORIEN-DE-MAHUN")</f>
        <v>SAINT-SYMPHORIEN-DE-MAHUN</v>
      </c>
      <c r="E23526" s="38" t="s">
        <v>144</v>
      </c>
      <c r="F23526" s="38" t="s">
        <v>102</v>
      </c>
      <c r="G23526" s="49" t="str">
        <f t="shared" si="1"/>
        <v>07290</v>
      </c>
      <c r="H23526" s="49" t="str">
        <f t="shared" si="2"/>
        <v>07299</v>
      </c>
    </row>
    <row r="23527">
      <c r="A23527" s="48" t="s">
        <v>8595</v>
      </c>
      <c r="B23527" s="38">
        <v>42083.0</v>
      </c>
      <c r="C23527" s="38" t="s">
        <v>28062</v>
      </c>
      <c r="D23527" s="38" t="str">
        <f>IFERROR(__xludf.DUMMYFUNCTION("REGEXREPLACE(C23527,""-\d+(.*)|--\d+(.*)"","""")"),"DARGOIRE")</f>
        <v>DARGOIRE</v>
      </c>
      <c r="E23527" s="38" t="s">
        <v>166</v>
      </c>
      <c r="F23527" s="38" t="s">
        <v>102</v>
      </c>
      <c r="G23527" s="49" t="str">
        <f t="shared" si="1"/>
        <v>42800</v>
      </c>
      <c r="H23527" s="49">
        <f t="shared" si="2"/>
        <v>42083</v>
      </c>
    </row>
    <row r="23528">
      <c r="A23528" s="48" t="s">
        <v>2391</v>
      </c>
      <c r="B23528" s="38">
        <v>51538.0</v>
      </c>
      <c r="C23528" s="38" t="s">
        <v>28063</v>
      </c>
      <c r="D23528" s="38" t="str">
        <f>IFERROR(__xludf.DUMMYFUNCTION("REGEXREPLACE(C23528,""-\d+(.*)|--\d+(.*)"","""")"),"SOGNY-AUX-MOULINS")</f>
        <v>SOGNY-AUX-MOULINS</v>
      </c>
      <c r="E23528" s="38" t="s">
        <v>129</v>
      </c>
      <c r="F23528" s="38" t="s">
        <v>130</v>
      </c>
      <c r="G23528" s="49" t="str">
        <f t="shared" si="1"/>
        <v>51520</v>
      </c>
      <c r="H23528" s="49">
        <f t="shared" si="2"/>
        <v>51538</v>
      </c>
    </row>
    <row r="23529">
      <c r="A23529" s="48" t="s">
        <v>5913</v>
      </c>
      <c r="B23529" s="38">
        <v>7335.0</v>
      </c>
      <c r="C23529" s="38" t="s">
        <v>28064</v>
      </c>
      <c r="D23529" s="38" t="str">
        <f>IFERROR(__xludf.DUMMYFUNCTION("REGEXREPLACE(C23529,""-\d+(.*)|--\d+(.*)"","""")"),"VAUDEVANT")</f>
        <v>VAUDEVANT</v>
      </c>
      <c r="E23529" s="38" t="s">
        <v>144</v>
      </c>
      <c r="F23529" s="38" t="s">
        <v>102</v>
      </c>
      <c r="G23529" s="49" t="str">
        <f t="shared" si="1"/>
        <v>07410</v>
      </c>
      <c r="H23529" s="49" t="str">
        <f t="shared" si="2"/>
        <v>07335</v>
      </c>
    </row>
    <row r="23530">
      <c r="A23530" s="48" t="s">
        <v>2989</v>
      </c>
      <c r="B23530" s="38">
        <v>70565.0</v>
      </c>
      <c r="C23530" s="38" t="s">
        <v>28065</v>
      </c>
      <c r="D23530" s="38" t="str">
        <f>IFERROR(__xludf.DUMMYFUNCTION("REGEXREPLACE(C23530,""-\d+(.*)|--\d+(.*)"","""")"),"VILLERS-PATER")</f>
        <v>VILLERS-PATER</v>
      </c>
      <c r="E23530" s="38" t="s">
        <v>956</v>
      </c>
      <c r="F23530" s="38" t="s">
        <v>214</v>
      </c>
      <c r="G23530" s="49" t="str">
        <f t="shared" si="1"/>
        <v>70190</v>
      </c>
      <c r="H23530" s="49">
        <f t="shared" si="2"/>
        <v>70565</v>
      </c>
    </row>
    <row r="23531">
      <c r="A23531" s="48" t="s">
        <v>6121</v>
      </c>
      <c r="B23531" s="38">
        <v>51357.0</v>
      </c>
      <c r="C23531" s="38" t="s">
        <v>28066</v>
      </c>
      <c r="D23531" s="38" t="str">
        <f>IFERROR(__xludf.DUMMYFUNCTION("REGEXREPLACE(C23531,""-\d+(.*)|--\d+(.*)"","""")"),"MATOUGUES")</f>
        <v>MATOUGUES</v>
      </c>
      <c r="E23531" s="38" t="s">
        <v>129</v>
      </c>
      <c r="F23531" s="38" t="s">
        <v>130</v>
      </c>
      <c r="G23531" s="49" t="str">
        <f t="shared" si="1"/>
        <v>51510</v>
      </c>
      <c r="H23531" s="49">
        <f t="shared" si="2"/>
        <v>51357</v>
      </c>
    </row>
    <row r="23532">
      <c r="A23532" s="48" t="s">
        <v>7462</v>
      </c>
      <c r="B23532" s="38">
        <v>25271.0</v>
      </c>
      <c r="C23532" s="38" t="s">
        <v>8319</v>
      </c>
      <c r="D23532" s="38" t="str">
        <f>IFERROR(__xludf.DUMMYFUNCTION("REGEXREPLACE(C23532,""-\d+(.*)|--\d+(.*)"","""")"),"GILLEY")</f>
        <v>GILLEY</v>
      </c>
      <c r="E23532" s="38" t="s">
        <v>213</v>
      </c>
      <c r="F23532" s="38" t="s">
        <v>214</v>
      </c>
      <c r="G23532" s="49" t="str">
        <f t="shared" si="1"/>
        <v>25650</v>
      </c>
      <c r="H23532" s="49">
        <f t="shared" si="2"/>
        <v>25271</v>
      </c>
    </row>
    <row r="23533">
      <c r="A23533" s="48" t="s">
        <v>8320</v>
      </c>
      <c r="B23533" s="38">
        <v>1331.0</v>
      </c>
      <c r="C23533" s="38" t="s">
        <v>11200</v>
      </c>
      <c r="D23533" s="38" t="str">
        <f>IFERROR(__xludf.DUMMYFUNCTION("REGEXREPLACE(C23533,""-\d+(.*)|--\d+(.*)"","""")"),"SAINT-ALBAN")</f>
        <v>SAINT-ALBAN</v>
      </c>
      <c r="E23533" s="38" t="s">
        <v>255</v>
      </c>
      <c r="F23533" s="38" t="s">
        <v>102</v>
      </c>
      <c r="G23533" s="49" t="str">
        <f t="shared" si="1"/>
        <v>01450</v>
      </c>
      <c r="H23533" s="49" t="str">
        <f t="shared" si="2"/>
        <v>01331</v>
      </c>
    </row>
    <row r="23534">
      <c r="A23534" s="48" t="s">
        <v>311</v>
      </c>
      <c r="B23534" s="38">
        <v>31575.0</v>
      </c>
      <c r="C23534" s="38" t="s">
        <v>28067</v>
      </c>
      <c r="D23534" s="38" t="str">
        <f>IFERROR(__xludf.DUMMYFUNCTION("REGEXREPLACE(C23534,""-\d+(.*)|--\d+(.*)"","""")"),"VIEILLE-TOULOUSE")</f>
        <v>VIEILLE-TOULOUSE</v>
      </c>
      <c r="E23534" s="38" t="s">
        <v>93</v>
      </c>
      <c r="F23534" s="38" t="s">
        <v>94</v>
      </c>
      <c r="G23534" s="49" t="str">
        <f t="shared" si="1"/>
        <v>31320</v>
      </c>
      <c r="H23534" s="49">
        <f t="shared" si="2"/>
        <v>31575</v>
      </c>
    </row>
    <row r="23535">
      <c r="A23535" s="48" t="s">
        <v>4805</v>
      </c>
      <c r="B23535" s="38">
        <v>31556.0</v>
      </c>
      <c r="C23535" s="38" t="s">
        <v>28068</v>
      </c>
      <c r="D23535" s="38" t="str">
        <f>IFERROR(__xludf.DUMMYFUNCTION("REGEXREPLACE(C23535,""-\d+(.*)|--\d+(.*)"","""")"),"LES TOURREILLES")</f>
        <v>LES TOURREILLES</v>
      </c>
      <c r="E23535" s="38" t="s">
        <v>93</v>
      </c>
      <c r="F23535" s="38" t="s">
        <v>94</v>
      </c>
      <c r="G23535" s="49" t="str">
        <f t="shared" si="1"/>
        <v>31210</v>
      </c>
      <c r="H23535" s="49">
        <f t="shared" si="2"/>
        <v>31556</v>
      </c>
    </row>
    <row r="23536">
      <c r="A23536" s="48" t="s">
        <v>719</v>
      </c>
      <c r="B23536" s="38">
        <v>8080.0</v>
      </c>
      <c r="C23536" s="38" t="s">
        <v>28069</v>
      </c>
      <c r="D23536" s="38" t="str">
        <f>IFERROR(__xludf.DUMMYFUNCTION("REGEXREPLACE(C23536,""-\d+(.*)|--\d+(.*)"","""")"),"BOUVELLEMONT")</f>
        <v>BOUVELLEMONT</v>
      </c>
      <c r="E23536" s="38" t="s">
        <v>327</v>
      </c>
      <c r="F23536" s="38" t="s">
        <v>130</v>
      </c>
      <c r="G23536" s="49" t="str">
        <f t="shared" si="1"/>
        <v>08430</v>
      </c>
      <c r="H23536" s="49" t="str">
        <f t="shared" si="2"/>
        <v>08080</v>
      </c>
    </row>
    <row r="23537">
      <c r="A23537" s="48" t="s">
        <v>388</v>
      </c>
      <c r="B23537" s="38">
        <v>19065.0</v>
      </c>
      <c r="C23537" s="38" t="s">
        <v>28070</v>
      </c>
      <c r="D23537" s="38" t="str">
        <f>IFERROR(__xludf.DUMMYFUNCTION("REGEXREPLACE(C23537,""-\d+(.*)|--\d+(.*)"","""")"),"COURTEIX")</f>
        <v>COURTEIX</v>
      </c>
      <c r="E23537" s="38" t="s">
        <v>271</v>
      </c>
      <c r="F23537" s="38" t="s">
        <v>98</v>
      </c>
      <c r="G23537" s="49" t="str">
        <f t="shared" si="1"/>
        <v>19340</v>
      </c>
      <c r="H23537" s="49">
        <f t="shared" si="2"/>
        <v>19065</v>
      </c>
    </row>
    <row r="23538">
      <c r="A23538" s="48" t="s">
        <v>15440</v>
      </c>
      <c r="B23538" s="38">
        <v>43157.0</v>
      </c>
      <c r="C23538" s="38" t="s">
        <v>28071</v>
      </c>
      <c r="D23538" s="38" t="str">
        <f>IFERROR(__xludf.DUMMYFUNCTION("REGEXREPLACE(C23538,""-\d+(.*)|--\d+(.*)"","""")"),"LE PUY-EN-VELAY")</f>
        <v>LE PUY-EN-VELAY</v>
      </c>
      <c r="E23538" s="38" t="s">
        <v>332</v>
      </c>
      <c r="F23538" s="38" t="s">
        <v>161</v>
      </c>
      <c r="G23538" s="49" t="str">
        <f t="shared" si="1"/>
        <v>43000</v>
      </c>
      <c r="H23538" s="49">
        <f t="shared" si="2"/>
        <v>43157</v>
      </c>
    </row>
    <row r="23539">
      <c r="A23539" s="48" t="s">
        <v>874</v>
      </c>
      <c r="B23539" s="38" t="s">
        <v>28072</v>
      </c>
      <c r="C23539" s="38" t="s">
        <v>28073</v>
      </c>
      <c r="D23539" s="38" t="str">
        <f>IFERROR(__xludf.DUMMYFUNCTION("REGEXREPLACE(C23539,""-\d+(.*)|--\d+(.*)"","""")"),"CARCHETO-BRUSTICO")</f>
        <v>CARCHETO-BRUSTICO</v>
      </c>
      <c r="E23539" s="38" t="s">
        <v>743</v>
      </c>
      <c r="F23539" s="38" t="s">
        <v>607</v>
      </c>
      <c r="G23539" s="49" t="str">
        <f t="shared" si="1"/>
        <v>20229</v>
      </c>
      <c r="H23539" s="49" t="str">
        <f t="shared" si="2"/>
        <v>2B063</v>
      </c>
    </row>
    <row r="23540">
      <c r="A23540" s="48" t="s">
        <v>16457</v>
      </c>
      <c r="B23540" s="38">
        <v>57207.0</v>
      </c>
      <c r="C23540" s="38" t="s">
        <v>28074</v>
      </c>
      <c r="D23540" s="38" t="str">
        <f>IFERROR(__xludf.DUMMYFUNCTION("REGEXREPLACE(C23540,""-\d+(.*)|--\d+(.*)"","""")"),"FAREBERSVILLER")</f>
        <v>FAREBERSVILLER</v>
      </c>
      <c r="E23540" s="38" t="s">
        <v>303</v>
      </c>
      <c r="F23540" s="38" t="s">
        <v>195</v>
      </c>
      <c r="G23540" s="49" t="str">
        <f t="shared" si="1"/>
        <v>57450</v>
      </c>
      <c r="H23540" s="49">
        <f t="shared" si="2"/>
        <v>57207</v>
      </c>
    </row>
    <row r="23541">
      <c r="A23541" s="48" t="s">
        <v>5250</v>
      </c>
      <c r="B23541" s="38">
        <v>27587.0</v>
      </c>
      <c r="C23541" s="38" t="s">
        <v>28075</v>
      </c>
      <c r="D23541" s="38" t="str">
        <f>IFERROR(__xludf.DUMMYFUNCTION("REGEXREPLACE(C23541,""-\d+(.*)|--\d+(.*)"","""")"),"SAINT-PHILBERT-SUR-RISLE")</f>
        <v>SAINT-PHILBERT-SUR-RISLE</v>
      </c>
      <c r="E23541" s="38" t="s">
        <v>241</v>
      </c>
      <c r="F23541" s="38" t="s">
        <v>134</v>
      </c>
      <c r="G23541" s="49" t="str">
        <f t="shared" si="1"/>
        <v>27290</v>
      </c>
      <c r="H23541" s="49">
        <f t="shared" si="2"/>
        <v>27587</v>
      </c>
    </row>
    <row r="23542">
      <c r="A23542" s="48" t="s">
        <v>3804</v>
      </c>
      <c r="B23542" s="38">
        <v>80743.0</v>
      </c>
      <c r="C23542" s="38" t="s">
        <v>11038</v>
      </c>
      <c r="D23542" s="38" t="str">
        <f>IFERROR(__xludf.DUMMYFUNCTION("REGEXREPLACE(C23542,""-\d+(.*)|--\d+(.*)"","""")"),"SUZANNE")</f>
        <v>SUZANNE</v>
      </c>
      <c r="E23542" s="38" t="s">
        <v>224</v>
      </c>
      <c r="F23542" s="38" t="s">
        <v>113</v>
      </c>
      <c r="G23542" s="49" t="str">
        <f t="shared" si="1"/>
        <v>80340</v>
      </c>
      <c r="H23542" s="49">
        <f t="shared" si="2"/>
        <v>80743</v>
      </c>
    </row>
    <row r="23543">
      <c r="A23543" s="48" t="s">
        <v>1903</v>
      </c>
      <c r="B23543" s="38">
        <v>10313.0</v>
      </c>
      <c r="C23543" s="38" t="s">
        <v>28076</v>
      </c>
      <c r="D23543" s="38" t="str">
        <f>IFERROR(__xludf.DUMMYFUNCTION("REGEXREPLACE(C23543,""-\d+(.*)|--\d+(.*)"","""")"),"RADONVILLIERS")</f>
        <v>RADONVILLIERS</v>
      </c>
      <c r="E23543" s="38" t="s">
        <v>147</v>
      </c>
      <c r="F23543" s="38" t="s">
        <v>130</v>
      </c>
      <c r="G23543" s="49" t="str">
        <f t="shared" si="1"/>
        <v>10500</v>
      </c>
      <c r="H23543" s="49">
        <f t="shared" si="2"/>
        <v>10313</v>
      </c>
    </row>
    <row r="23544">
      <c r="A23544" s="48" t="s">
        <v>19064</v>
      </c>
      <c r="B23544" s="38">
        <v>61395.0</v>
      </c>
      <c r="C23544" s="38" t="s">
        <v>28077</v>
      </c>
      <c r="D23544" s="38" t="str">
        <f>IFERROR(__xludf.DUMMYFUNCTION("REGEXREPLACE(C23544,""-\d+(.*)|--\d+(.*)"","""")"),"SAINT-GERMAIN-DES-GROIS")</f>
        <v>SAINT-GERMAIN-DES-GROIS</v>
      </c>
      <c r="E23544" s="38" t="s">
        <v>141</v>
      </c>
      <c r="F23544" s="38" t="s">
        <v>138</v>
      </c>
      <c r="G23544" s="49" t="str">
        <f t="shared" si="1"/>
        <v>61110</v>
      </c>
      <c r="H23544" s="49">
        <f t="shared" si="2"/>
        <v>61395</v>
      </c>
    </row>
    <row r="23545">
      <c r="A23545" s="48" t="s">
        <v>2292</v>
      </c>
      <c r="B23545" s="38">
        <v>76038.0</v>
      </c>
      <c r="C23545" s="38" t="s">
        <v>28078</v>
      </c>
      <c r="D23545" s="38" t="str">
        <f>IFERROR(__xludf.DUMMYFUNCTION("REGEXREPLACE(C23545,""-\d+(.*)|--\d+(.*)"","""")"),"AUTHIEUX-RATIEVILLE")</f>
        <v>AUTHIEUX-RATIEVILLE</v>
      </c>
      <c r="E23545" s="38" t="s">
        <v>133</v>
      </c>
      <c r="F23545" s="38" t="s">
        <v>134</v>
      </c>
      <c r="G23545" s="49" t="str">
        <f t="shared" si="1"/>
        <v>76690</v>
      </c>
      <c r="H23545" s="49">
        <f t="shared" si="2"/>
        <v>76038</v>
      </c>
    </row>
    <row r="23546">
      <c r="A23546" s="48" t="s">
        <v>16561</v>
      </c>
      <c r="B23546" s="38">
        <v>27292.0</v>
      </c>
      <c r="C23546" s="38" t="s">
        <v>1914</v>
      </c>
      <c r="D23546" s="38" t="str">
        <f>IFERROR(__xludf.DUMMYFUNCTION("REGEXREPLACE(C23546,""-\d+(.*)|--\d+(.*)"","""")"),"GOUTTIERES")</f>
        <v>GOUTTIERES</v>
      </c>
      <c r="E23546" s="38" t="s">
        <v>241</v>
      </c>
      <c r="F23546" s="38" t="s">
        <v>134</v>
      </c>
      <c r="G23546" s="49" t="str">
        <f t="shared" si="1"/>
        <v>27410</v>
      </c>
      <c r="H23546" s="49">
        <f t="shared" si="2"/>
        <v>27292</v>
      </c>
    </row>
    <row r="23547">
      <c r="A23547" s="48" t="s">
        <v>8196</v>
      </c>
      <c r="B23547" s="38">
        <v>23206.0</v>
      </c>
      <c r="C23547" s="38" t="s">
        <v>13532</v>
      </c>
      <c r="D23547" s="38" t="str">
        <f>IFERROR(__xludf.DUMMYFUNCTION("REGEXREPLACE(C23547,""-\d+(.*)|--\d+(.*)"","""")"),"SAINT-LAURENT")</f>
        <v>SAINT-LAURENT</v>
      </c>
      <c r="E23547" s="38" t="s">
        <v>97</v>
      </c>
      <c r="F23547" s="38" t="s">
        <v>98</v>
      </c>
      <c r="G23547" s="49" t="str">
        <f t="shared" si="1"/>
        <v>23000</v>
      </c>
      <c r="H23547" s="49">
        <f t="shared" si="2"/>
        <v>23206</v>
      </c>
    </row>
    <row r="23548">
      <c r="A23548" s="48" t="s">
        <v>28079</v>
      </c>
      <c r="B23548" s="38">
        <v>56003.0</v>
      </c>
      <c r="C23548" s="38" t="s">
        <v>28080</v>
      </c>
      <c r="D23548" s="38" t="str">
        <f>IFERROR(__xludf.DUMMYFUNCTION("REGEXREPLACE(C23548,""-\d+(.*)|--\d+(.*)"","""")"),"ARRADON")</f>
        <v>ARRADON</v>
      </c>
      <c r="E23548" s="38" t="s">
        <v>173</v>
      </c>
      <c r="F23548" s="38" t="s">
        <v>90</v>
      </c>
      <c r="G23548" s="49" t="str">
        <f t="shared" si="1"/>
        <v>56610</v>
      </c>
      <c r="H23548" s="49">
        <f t="shared" si="2"/>
        <v>56003</v>
      </c>
    </row>
    <row r="23549">
      <c r="A23549" s="48" t="s">
        <v>28081</v>
      </c>
      <c r="B23549" s="38">
        <v>63193.0</v>
      </c>
      <c r="C23549" s="38" t="s">
        <v>28082</v>
      </c>
      <c r="D23549" s="38" t="str">
        <f>IFERROR(__xludf.DUMMYFUNCTION("REGEXREPLACE(C23549,""-\d+(.*)|--\d+(.*)"","""")"),"LEMPDES")</f>
        <v>LEMPDES</v>
      </c>
      <c r="E23549" s="38" t="s">
        <v>353</v>
      </c>
      <c r="F23549" s="38" t="s">
        <v>161</v>
      </c>
      <c r="G23549" s="49" t="str">
        <f t="shared" si="1"/>
        <v>63370</v>
      </c>
      <c r="H23549" s="49">
        <f t="shared" si="2"/>
        <v>63193</v>
      </c>
    </row>
    <row r="23550">
      <c r="A23550" s="48" t="s">
        <v>8145</v>
      </c>
      <c r="B23550" s="38">
        <v>9024.0</v>
      </c>
      <c r="C23550" s="38" t="s">
        <v>28083</v>
      </c>
      <c r="D23550" s="38" t="str">
        <f>IFERROR(__xludf.DUMMYFUNCTION("REGEXREPLACE(C23550,""-\d+(.*)|--\d+(.*)"","""")"),"ASTON")</f>
        <v>ASTON</v>
      </c>
      <c r="E23550" s="38" t="s">
        <v>238</v>
      </c>
      <c r="F23550" s="38" t="s">
        <v>94</v>
      </c>
      <c r="G23550" s="49" t="str">
        <f t="shared" si="1"/>
        <v>09310</v>
      </c>
      <c r="H23550" s="49" t="str">
        <f t="shared" si="2"/>
        <v>09024</v>
      </c>
    </row>
    <row r="23551">
      <c r="A23551" s="48" t="s">
        <v>9602</v>
      </c>
      <c r="B23551" s="38">
        <v>72279.0</v>
      </c>
      <c r="C23551" s="38" t="s">
        <v>28084</v>
      </c>
      <c r="D23551" s="38" t="str">
        <f>IFERROR(__xludf.DUMMYFUNCTION("REGEXREPLACE(C23551,""-\d+(.*)|--\d+(.*)"","""")"),"SAINT-GEORGES-DE-LA-COUEE")</f>
        <v>SAINT-GEORGES-DE-LA-COUEE</v>
      </c>
      <c r="E23551" s="38" t="s">
        <v>521</v>
      </c>
      <c r="F23551" s="38" t="s">
        <v>180</v>
      </c>
      <c r="G23551" s="49" t="str">
        <f t="shared" si="1"/>
        <v>72150</v>
      </c>
      <c r="H23551" s="49">
        <f t="shared" si="2"/>
        <v>72279</v>
      </c>
    </row>
    <row r="23552">
      <c r="A23552" s="48" t="s">
        <v>948</v>
      </c>
      <c r="B23552" s="38">
        <v>68018.0</v>
      </c>
      <c r="C23552" s="38" t="s">
        <v>28085</v>
      </c>
      <c r="D23552" s="38" t="str">
        <f>IFERROR(__xludf.DUMMYFUNCTION("REGEXREPLACE(C23552,""-\d+(.*)|--\d+(.*)"","""")"),"BALSCHWILLER")</f>
        <v>BALSCHWILLER</v>
      </c>
      <c r="E23552" s="38" t="s">
        <v>150</v>
      </c>
      <c r="F23552" s="38" t="s">
        <v>151</v>
      </c>
      <c r="G23552" s="49" t="str">
        <f t="shared" si="1"/>
        <v>68210</v>
      </c>
      <c r="H23552" s="49">
        <f t="shared" si="2"/>
        <v>68018</v>
      </c>
    </row>
    <row r="23553">
      <c r="A23553" s="48" t="s">
        <v>12799</v>
      </c>
      <c r="B23553" s="38">
        <v>11296.0</v>
      </c>
      <c r="C23553" s="38" t="s">
        <v>28086</v>
      </c>
      <c r="D23553" s="38" t="str">
        <f>IFERROR(__xludf.DUMMYFUNCTION("REGEXREPLACE(C23553,""-\d+(.*)|--\d+(.*)"","""")"),"POUZOLS-MINERVOIS")</f>
        <v>POUZOLS-MINERVOIS</v>
      </c>
      <c r="E23553" s="38" t="s">
        <v>278</v>
      </c>
      <c r="F23553" s="38" t="s">
        <v>119</v>
      </c>
      <c r="G23553" s="49" t="str">
        <f t="shared" si="1"/>
        <v>11120</v>
      </c>
      <c r="H23553" s="49">
        <f t="shared" si="2"/>
        <v>11296</v>
      </c>
    </row>
    <row r="23554">
      <c r="A23554" s="48" t="s">
        <v>2508</v>
      </c>
      <c r="B23554" s="38">
        <v>1052.0</v>
      </c>
      <c r="C23554" s="38" t="s">
        <v>28087</v>
      </c>
      <c r="D23554" s="38" t="str">
        <f>IFERROR(__xludf.DUMMYFUNCTION("REGEXREPLACE(C23554,""-\d+(.*)|--\d+(.*)"","""")"),"BOULIGNEUX")</f>
        <v>BOULIGNEUX</v>
      </c>
      <c r="E23554" s="38" t="s">
        <v>255</v>
      </c>
      <c r="F23554" s="38" t="s">
        <v>102</v>
      </c>
      <c r="G23554" s="49" t="str">
        <f t="shared" si="1"/>
        <v>01330</v>
      </c>
      <c r="H23554" s="49" t="str">
        <f t="shared" si="2"/>
        <v>01052</v>
      </c>
    </row>
    <row r="23555">
      <c r="A23555" s="48" t="s">
        <v>2330</v>
      </c>
      <c r="B23555" s="38">
        <v>65056.0</v>
      </c>
      <c r="C23555" s="38" t="s">
        <v>28088</v>
      </c>
      <c r="D23555" s="38" t="str">
        <f>IFERROR(__xludf.DUMMYFUNCTION("REGEXREPLACE(C23555,""-\d+(.*)|--\d+(.*)"","""")"),"AYZAC-OST")</f>
        <v>AYZAC-OST</v>
      </c>
      <c r="E23555" s="38" t="s">
        <v>200</v>
      </c>
      <c r="F23555" s="38" t="s">
        <v>94</v>
      </c>
      <c r="G23555" s="49" t="str">
        <f t="shared" si="1"/>
        <v>65400</v>
      </c>
      <c r="H23555" s="49">
        <f t="shared" si="2"/>
        <v>65056</v>
      </c>
    </row>
    <row r="23556">
      <c r="A23556" s="48" t="s">
        <v>1695</v>
      </c>
      <c r="B23556" s="38">
        <v>80065.0</v>
      </c>
      <c r="C23556" s="38" t="s">
        <v>28089</v>
      </c>
      <c r="D23556" s="38" t="str">
        <f>IFERROR(__xludf.DUMMYFUNCTION("REGEXREPLACE(C23556,""-\d+(.*)|--\d+(.*)"","""")"),"BEAUCOURT-SUR-L'ANCRE")</f>
        <v>BEAUCOURT-SUR-L'ANCRE</v>
      </c>
      <c r="E23556" s="38" t="s">
        <v>224</v>
      </c>
      <c r="F23556" s="38" t="s">
        <v>113</v>
      </c>
      <c r="G23556" s="49" t="str">
        <f t="shared" si="1"/>
        <v>80300</v>
      </c>
      <c r="H23556" s="49">
        <f t="shared" si="2"/>
        <v>80065</v>
      </c>
    </row>
    <row r="23557">
      <c r="A23557" s="48" t="s">
        <v>26232</v>
      </c>
      <c r="B23557" s="38">
        <v>63019.0</v>
      </c>
      <c r="C23557" s="38" t="s">
        <v>28090</v>
      </c>
      <c r="D23557" s="38" t="str">
        <f>IFERROR(__xludf.DUMMYFUNCTION("REGEXREPLACE(C23557,""-\d+(.*)|--\d+(.*)"","""")"),"AULNAT")</f>
        <v>AULNAT</v>
      </c>
      <c r="E23557" s="38" t="s">
        <v>353</v>
      </c>
      <c r="F23557" s="38" t="s">
        <v>161</v>
      </c>
      <c r="G23557" s="49" t="str">
        <f t="shared" si="1"/>
        <v>63510</v>
      </c>
      <c r="H23557" s="49">
        <f t="shared" si="2"/>
        <v>63019</v>
      </c>
    </row>
    <row r="23558">
      <c r="A23558" s="48" t="s">
        <v>2362</v>
      </c>
      <c r="B23558" s="38">
        <v>14762.0</v>
      </c>
      <c r="C23558" s="38" t="s">
        <v>4858</v>
      </c>
      <c r="D23558" s="38" t="str">
        <f>IFERROR(__xludf.DUMMYFUNCTION("REGEXREPLACE(C23558,""-\d+(.*)|--\d+(.*)"","""")"),"VIRE")</f>
        <v>VIRE</v>
      </c>
      <c r="E23558" s="38" t="s">
        <v>137</v>
      </c>
      <c r="F23558" s="38" t="s">
        <v>138</v>
      </c>
      <c r="G23558" s="49" t="str">
        <f t="shared" si="1"/>
        <v>14500</v>
      </c>
      <c r="H23558" s="49">
        <f t="shared" si="2"/>
        <v>14762</v>
      </c>
    </row>
    <row r="23559">
      <c r="A23559" s="48" t="s">
        <v>23348</v>
      </c>
      <c r="B23559" s="38" t="s">
        <v>28091</v>
      </c>
      <c r="C23559" s="38" t="s">
        <v>28092</v>
      </c>
      <c r="D23559" s="38" t="str">
        <f>IFERROR(__xludf.DUMMYFUNCTION("REGEXREPLACE(C23559,""-\d+(.*)|--\d+(.*)"","""")"),"BARRETTALI")</f>
        <v>BARRETTALI</v>
      </c>
      <c r="E23559" s="38" t="s">
        <v>743</v>
      </c>
      <c r="F23559" s="38" t="s">
        <v>607</v>
      </c>
      <c r="G23559" s="49" t="str">
        <f t="shared" si="1"/>
        <v>20228</v>
      </c>
      <c r="H23559" s="49" t="str">
        <f t="shared" si="2"/>
        <v>2B030</v>
      </c>
    </row>
    <row r="23560">
      <c r="A23560" s="48" t="s">
        <v>10465</v>
      </c>
      <c r="B23560" s="38">
        <v>71142.0</v>
      </c>
      <c r="C23560" s="38" t="s">
        <v>28093</v>
      </c>
      <c r="D23560" s="38" t="str">
        <f>IFERROR(__xludf.DUMMYFUNCTION("REGEXREPLACE(C23560,""-\d+(.*)|--\d+(.*)"","""")"),"LA COMELLE")</f>
        <v>LA COMELLE</v>
      </c>
      <c r="E23560" s="38" t="s">
        <v>344</v>
      </c>
      <c r="F23560" s="38" t="s">
        <v>106</v>
      </c>
      <c r="G23560" s="49" t="str">
        <f t="shared" si="1"/>
        <v>71990</v>
      </c>
      <c r="H23560" s="49">
        <f t="shared" si="2"/>
        <v>71142</v>
      </c>
    </row>
    <row r="23561">
      <c r="A23561" s="48" t="s">
        <v>3624</v>
      </c>
      <c r="B23561" s="38">
        <v>39347.0</v>
      </c>
      <c r="C23561" s="38" t="s">
        <v>28094</v>
      </c>
      <c r="D23561" s="38" t="str">
        <f>IFERROR(__xludf.DUMMYFUNCTION("REGEXREPLACE(C23561,""-\d+(.*)|--\d+(.*)"","""")"),"MONTAGNA-LE-TEMPLIER")</f>
        <v>MONTAGNA-LE-TEMPLIER</v>
      </c>
      <c r="E23561" s="38" t="s">
        <v>400</v>
      </c>
      <c r="F23561" s="38" t="s">
        <v>214</v>
      </c>
      <c r="G23561" s="49" t="str">
        <f t="shared" si="1"/>
        <v>39320</v>
      </c>
      <c r="H23561" s="49">
        <f t="shared" si="2"/>
        <v>39347</v>
      </c>
    </row>
    <row r="23562">
      <c r="A23562" s="48" t="s">
        <v>1233</v>
      </c>
      <c r="B23562" s="38">
        <v>60030.0</v>
      </c>
      <c r="C23562" s="38" t="s">
        <v>16035</v>
      </c>
      <c r="D23562" s="38" t="str">
        <f>IFERROR(__xludf.DUMMYFUNCTION("REGEXREPLACE(C23562,""-\d+(.*)|--\d+(.*)"","""")"),"AUTEUIL")</f>
        <v>AUTEUIL</v>
      </c>
      <c r="E23562" s="38" t="s">
        <v>112</v>
      </c>
      <c r="F23562" s="38" t="s">
        <v>113</v>
      </c>
      <c r="G23562" s="49" t="str">
        <f t="shared" si="1"/>
        <v>60390</v>
      </c>
      <c r="H23562" s="49">
        <f t="shared" si="2"/>
        <v>60030</v>
      </c>
    </row>
    <row r="23563">
      <c r="A23563" s="48" t="s">
        <v>116</v>
      </c>
      <c r="B23563" s="38">
        <v>34317.0</v>
      </c>
      <c r="C23563" s="38" t="s">
        <v>28095</v>
      </c>
      <c r="D23563" s="38" t="str">
        <f>IFERROR(__xludf.DUMMYFUNCTION("REGEXREPLACE(C23563,""-\d+(.*)|--\d+(.*)"","""")"),"LA VACQUERIE-ET-SAINT-MARTIN-DE-CASTRIES")</f>
        <v>LA VACQUERIE-ET-SAINT-MARTIN-DE-CASTRIES</v>
      </c>
      <c r="E23563" s="38" t="s">
        <v>118</v>
      </c>
      <c r="F23563" s="38" t="s">
        <v>119</v>
      </c>
      <c r="G23563" s="49" t="str">
        <f t="shared" si="1"/>
        <v>34520</v>
      </c>
      <c r="H23563" s="49">
        <f t="shared" si="2"/>
        <v>34317</v>
      </c>
    </row>
    <row r="23564">
      <c r="A23564" s="48" t="s">
        <v>3691</v>
      </c>
      <c r="B23564" s="38">
        <v>64554.0</v>
      </c>
      <c r="C23564" s="38" t="s">
        <v>28096</v>
      </c>
      <c r="D23564" s="38" t="str">
        <f>IFERROR(__xludf.DUMMYFUNCTION("REGEXREPLACE(C23564,""-\d+(.*)|--\d+(.*)"","""")"),"VIELLENAVE-D'ARTHEZ")</f>
        <v>VIELLENAVE-D'ARTHEZ</v>
      </c>
      <c r="E23564" s="38" t="s">
        <v>268</v>
      </c>
      <c r="F23564" s="38" t="s">
        <v>252</v>
      </c>
      <c r="G23564" s="49" t="str">
        <f t="shared" si="1"/>
        <v>64170</v>
      </c>
      <c r="H23564" s="49">
        <f t="shared" si="2"/>
        <v>64554</v>
      </c>
    </row>
    <row r="23565">
      <c r="A23565" s="48" t="s">
        <v>2029</v>
      </c>
      <c r="B23565" s="38">
        <v>50059.0</v>
      </c>
      <c r="C23565" s="38" t="s">
        <v>28097</v>
      </c>
      <c r="D23565" s="38" t="str">
        <f>IFERROR(__xludf.DUMMYFUNCTION("REGEXREPLACE(C23565,""-\d+(.*)|--\d+(.*)"","""")"),"BLOSVILLE")</f>
        <v>BLOSVILLE</v>
      </c>
      <c r="E23565" s="38" t="s">
        <v>157</v>
      </c>
      <c r="F23565" s="38" t="s">
        <v>138</v>
      </c>
      <c r="G23565" s="49" t="str">
        <f t="shared" si="1"/>
        <v>50480</v>
      </c>
      <c r="H23565" s="49">
        <f t="shared" si="2"/>
        <v>50059</v>
      </c>
    </row>
    <row r="23566">
      <c r="A23566" s="48" t="s">
        <v>22242</v>
      </c>
      <c r="B23566" s="38">
        <v>63446.0</v>
      </c>
      <c r="C23566" s="38" t="s">
        <v>28098</v>
      </c>
      <c r="D23566" s="38" t="str">
        <f>IFERROR(__xludf.DUMMYFUNCTION("REGEXREPLACE(C23566,""-\d+(.*)|--\d+(.*)"","""")"),"VENSAT")</f>
        <v>VENSAT</v>
      </c>
      <c r="E23566" s="38" t="s">
        <v>353</v>
      </c>
      <c r="F23566" s="38" t="s">
        <v>161</v>
      </c>
      <c r="G23566" s="49" t="str">
        <f t="shared" si="1"/>
        <v>63260</v>
      </c>
      <c r="H23566" s="49">
        <f t="shared" si="2"/>
        <v>63446</v>
      </c>
    </row>
    <row r="23567">
      <c r="A23567" s="48" t="s">
        <v>28099</v>
      </c>
      <c r="B23567" s="38">
        <v>89263.0</v>
      </c>
      <c r="C23567" s="38" t="s">
        <v>28100</v>
      </c>
      <c r="D23567" s="38" t="str">
        <f>IFERROR(__xludf.DUMMYFUNCTION("REGEXREPLACE(C23567,""-\d+(.*)|--\d+(.*)"","""")"),"MONETEAU")</f>
        <v>MONETEAU</v>
      </c>
      <c r="E23567" s="38" t="s">
        <v>275</v>
      </c>
      <c r="F23567" s="38" t="s">
        <v>106</v>
      </c>
      <c r="G23567" s="49" t="str">
        <f t="shared" si="1"/>
        <v>89470</v>
      </c>
      <c r="H23567" s="49">
        <f t="shared" si="2"/>
        <v>89263</v>
      </c>
    </row>
    <row r="23568">
      <c r="A23568" s="48" t="s">
        <v>21039</v>
      </c>
      <c r="B23568" s="38">
        <v>33417.0</v>
      </c>
      <c r="C23568" s="38" t="s">
        <v>14695</v>
      </c>
      <c r="D23568" s="38" t="str">
        <f>IFERROR(__xludf.DUMMYFUNCTION("REGEXREPLACE(C23568,""-\d+(.*)|--\d+(.*)"","""")"),"SAINTE-HELENE")</f>
        <v>SAINTE-HELENE</v>
      </c>
      <c r="E23568" s="38" t="s">
        <v>462</v>
      </c>
      <c r="F23568" s="38" t="s">
        <v>252</v>
      </c>
      <c r="G23568" s="49" t="str">
        <f t="shared" si="1"/>
        <v>33480</v>
      </c>
      <c r="H23568" s="49">
        <f t="shared" si="2"/>
        <v>33417</v>
      </c>
    </row>
    <row r="23569">
      <c r="A23569" s="48" t="s">
        <v>1332</v>
      </c>
      <c r="B23569" s="38">
        <v>51139.0</v>
      </c>
      <c r="C23569" s="38" t="s">
        <v>28101</v>
      </c>
      <c r="D23569" s="38" t="str">
        <f>IFERROR(__xludf.DUMMYFUNCTION("REGEXREPLACE(C23569,""-\d+(.*)|--\d+(.*)"","""")"),"CHAUDEFONTAINE")</f>
        <v>CHAUDEFONTAINE</v>
      </c>
      <c r="E23569" s="38" t="s">
        <v>129</v>
      </c>
      <c r="F23569" s="38" t="s">
        <v>130</v>
      </c>
      <c r="G23569" s="49" t="str">
        <f t="shared" si="1"/>
        <v>51800</v>
      </c>
      <c r="H23569" s="49">
        <f t="shared" si="2"/>
        <v>51139</v>
      </c>
    </row>
    <row r="23570">
      <c r="A23570" s="48" t="s">
        <v>11624</v>
      </c>
      <c r="B23570" s="38">
        <v>77042.0</v>
      </c>
      <c r="C23570" s="38" t="s">
        <v>28102</v>
      </c>
      <c r="D23570" s="38" t="str">
        <f>IFERROR(__xludf.DUMMYFUNCTION("REGEXREPLACE(C23570,""-\d+(.*)|--\d+(.*)"","""")"),"BOISSY-LE-CHATEL")</f>
        <v>BOISSY-LE-CHATEL</v>
      </c>
      <c r="E23570" s="38" t="s">
        <v>244</v>
      </c>
      <c r="F23570" s="38" t="s">
        <v>245</v>
      </c>
      <c r="G23570" s="49" t="str">
        <f t="shared" si="1"/>
        <v>77169</v>
      </c>
      <c r="H23570" s="49">
        <f t="shared" si="2"/>
        <v>77042</v>
      </c>
    </row>
    <row r="23571">
      <c r="A23571" s="48" t="s">
        <v>13075</v>
      </c>
      <c r="B23571" s="38">
        <v>85100.0</v>
      </c>
      <c r="C23571" s="38" t="s">
        <v>28103</v>
      </c>
      <c r="D23571" s="38" t="str">
        <f>IFERROR(__xludf.DUMMYFUNCTION("REGEXREPLACE(C23571,""-\d+(.*)|--\d+(.*)"","""")"),"GIVRAND")</f>
        <v>GIVRAND</v>
      </c>
      <c r="E23571" s="38" t="s">
        <v>179</v>
      </c>
      <c r="F23571" s="38" t="s">
        <v>180</v>
      </c>
      <c r="G23571" s="49" t="str">
        <f t="shared" si="1"/>
        <v>85800</v>
      </c>
      <c r="H23571" s="49">
        <f t="shared" si="2"/>
        <v>85100</v>
      </c>
    </row>
    <row r="23572">
      <c r="A23572" s="48" t="s">
        <v>5016</v>
      </c>
      <c r="B23572" s="38">
        <v>34279.0</v>
      </c>
      <c r="C23572" s="38" t="s">
        <v>28104</v>
      </c>
      <c r="D23572" s="38" t="str">
        <f>IFERROR(__xludf.DUMMYFUNCTION("REGEXREPLACE(C23572,""-\d+(.*)|--\d+(.*)"","""")"),"SAINT-NAZAIRE-DE-LADAREZ")</f>
        <v>SAINT-NAZAIRE-DE-LADAREZ</v>
      </c>
      <c r="E23572" s="38" t="s">
        <v>118</v>
      </c>
      <c r="F23572" s="38" t="s">
        <v>119</v>
      </c>
      <c r="G23572" s="49" t="str">
        <f t="shared" si="1"/>
        <v>34490</v>
      </c>
      <c r="H23572" s="49">
        <f t="shared" si="2"/>
        <v>34279</v>
      </c>
    </row>
    <row r="23573">
      <c r="A23573" s="48" t="s">
        <v>3226</v>
      </c>
      <c r="B23573" s="38">
        <v>61058.0</v>
      </c>
      <c r="C23573" s="38" t="s">
        <v>28105</v>
      </c>
      <c r="D23573" s="38" t="str">
        <f>IFERROR(__xludf.DUMMYFUNCTION("REGEXREPLACE(C23573,""-\d+(.*)|--\d+(.*)"","""")"),"BREEL")</f>
        <v>BREEL</v>
      </c>
      <c r="E23573" s="38" t="s">
        <v>141</v>
      </c>
      <c r="F23573" s="38" t="s">
        <v>138</v>
      </c>
      <c r="G23573" s="49" t="str">
        <f t="shared" si="1"/>
        <v>61100</v>
      </c>
      <c r="H23573" s="49">
        <f t="shared" si="2"/>
        <v>61058</v>
      </c>
    </row>
    <row r="23574">
      <c r="A23574" s="48" t="s">
        <v>28106</v>
      </c>
      <c r="B23574" s="38">
        <v>94016.0</v>
      </c>
      <c r="C23574" s="38" t="s">
        <v>28107</v>
      </c>
      <c r="D23574" s="38" t="str">
        <f>IFERROR(__xludf.DUMMYFUNCTION("REGEXREPLACE(C23574,""-\d+(.*)|--\d+(.*)"","""")"),"CACHAN")</f>
        <v>CACHAN</v>
      </c>
      <c r="E23574" s="38" t="s">
        <v>561</v>
      </c>
      <c r="F23574" s="38" t="s">
        <v>245</v>
      </c>
      <c r="G23574" s="49" t="str">
        <f t="shared" si="1"/>
        <v>94230</v>
      </c>
      <c r="H23574" s="49">
        <f t="shared" si="2"/>
        <v>94016</v>
      </c>
    </row>
    <row r="23575">
      <c r="A23575" s="48" t="s">
        <v>1029</v>
      </c>
      <c r="B23575" s="38">
        <v>9134.0</v>
      </c>
      <c r="C23575" s="38" t="s">
        <v>28108</v>
      </c>
      <c r="D23575" s="38" t="str">
        <f>IFERROR(__xludf.DUMMYFUNCTION("REGEXREPLACE(C23575,""-\d+(.*)|--\d+(.*)"","""")"),"GESTIES")</f>
        <v>GESTIES</v>
      </c>
      <c r="E23575" s="38" t="s">
        <v>238</v>
      </c>
      <c r="F23575" s="38" t="s">
        <v>94</v>
      </c>
      <c r="G23575" s="49" t="str">
        <f t="shared" si="1"/>
        <v>09220</v>
      </c>
      <c r="H23575" s="49" t="str">
        <f t="shared" si="2"/>
        <v>09134</v>
      </c>
    </row>
    <row r="23576">
      <c r="A23576" s="48" t="s">
        <v>5358</v>
      </c>
      <c r="B23576" s="38">
        <v>23228.0</v>
      </c>
      <c r="C23576" s="38" t="s">
        <v>28109</v>
      </c>
      <c r="D23576" s="38" t="str">
        <f>IFERROR(__xludf.DUMMYFUNCTION("REGEXREPLACE(C23576,""-\d+(.*)|--\d+(.*)"","""")"),"SAINT-PARDOUX-LE-NEUF")</f>
        <v>SAINT-PARDOUX-LE-NEUF</v>
      </c>
      <c r="E23576" s="38" t="s">
        <v>97</v>
      </c>
      <c r="F23576" s="38" t="s">
        <v>98</v>
      </c>
      <c r="G23576" s="49" t="str">
        <f t="shared" si="1"/>
        <v>23200</v>
      </c>
      <c r="H23576" s="49">
        <f t="shared" si="2"/>
        <v>23228</v>
      </c>
    </row>
    <row r="23577">
      <c r="A23577" s="48" t="s">
        <v>4733</v>
      </c>
      <c r="B23577" s="38">
        <v>38024.0</v>
      </c>
      <c r="C23577" s="38" t="s">
        <v>28110</v>
      </c>
      <c r="D23577" s="38" t="str">
        <f>IFERROR(__xludf.DUMMYFUNCTION("REGEXREPLACE(C23577,""-\d+(.*)|--\d+(.*)"","""")"),"BADINIERES")</f>
        <v>BADINIERES</v>
      </c>
      <c r="E23577" s="38" t="s">
        <v>101</v>
      </c>
      <c r="F23577" s="38" t="s">
        <v>102</v>
      </c>
      <c r="G23577" s="49" t="str">
        <f t="shared" si="1"/>
        <v>38300</v>
      </c>
      <c r="H23577" s="49">
        <f t="shared" si="2"/>
        <v>38024</v>
      </c>
    </row>
    <row r="23578">
      <c r="A23578" s="48" t="s">
        <v>1178</v>
      </c>
      <c r="B23578" s="38">
        <v>1140.0</v>
      </c>
      <c r="C23578" s="38" t="s">
        <v>28111</v>
      </c>
      <c r="D23578" s="38" t="str">
        <f>IFERROR(__xludf.DUMMYFUNCTION("REGEXREPLACE(C23578,""-\d+(.*)|--\d+(.*)"","""")"),"CURTAFOND")</f>
        <v>CURTAFOND</v>
      </c>
      <c r="E23578" s="38" t="s">
        <v>255</v>
      </c>
      <c r="F23578" s="38" t="s">
        <v>102</v>
      </c>
      <c r="G23578" s="49" t="str">
        <f t="shared" si="1"/>
        <v>01310</v>
      </c>
      <c r="H23578" s="49" t="str">
        <f t="shared" si="2"/>
        <v>01140</v>
      </c>
    </row>
    <row r="23579">
      <c r="A23579" s="48" t="s">
        <v>15350</v>
      </c>
      <c r="B23579" s="38">
        <v>49325.0</v>
      </c>
      <c r="C23579" s="38" t="s">
        <v>28112</v>
      </c>
      <c r="D23579" s="38" t="str">
        <f>IFERROR(__xludf.DUMMYFUNCTION("REGEXREPLACE(C23579,""-\d+(.*)|--\d+(.*)"","""")"),"LA SALLE-DE-VIHIERS")</f>
        <v>LA SALLE-DE-VIHIERS</v>
      </c>
      <c r="E23579" s="38" t="s">
        <v>653</v>
      </c>
      <c r="F23579" s="38" t="s">
        <v>180</v>
      </c>
      <c r="G23579" s="49" t="str">
        <f t="shared" si="1"/>
        <v>49310</v>
      </c>
      <c r="H23579" s="49">
        <f t="shared" si="2"/>
        <v>49325</v>
      </c>
    </row>
    <row r="23580">
      <c r="A23580" s="48" t="s">
        <v>1588</v>
      </c>
      <c r="B23580" s="38">
        <v>9018.0</v>
      </c>
      <c r="C23580" s="38" t="s">
        <v>28113</v>
      </c>
      <c r="D23580" s="38" t="str">
        <f>IFERROR(__xludf.DUMMYFUNCTION("REGEXREPLACE(C23580,""-\d+(.*)|--\d+(.*)"","""")"),"ARROUT")</f>
        <v>ARROUT</v>
      </c>
      <c r="E23580" s="38" t="s">
        <v>238</v>
      </c>
      <c r="F23580" s="38" t="s">
        <v>94</v>
      </c>
      <c r="G23580" s="49" t="str">
        <f t="shared" si="1"/>
        <v>09800</v>
      </c>
      <c r="H23580" s="49" t="str">
        <f t="shared" si="2"/>
        <v>09018</v>
      </c>
    </row>
    <row r="23581">
      <c r="A23581" s="48" t="s">
        <v>2903</v>
      </c>
      <c r="B23581" s="38">
        <v>85071.0</v>
      </c>
      <c r="C23581" s="38" t="s">
        <v>28114</v>
      </c>
      <c r="D23581" s="38" t="str">
        <f>IFERROR(__xludf.DUMMYFUNCTION("REGEXREPLACE(C23581,""-\d+(.*)|--\d+(.*)"","""")"),"COMMEQUIERS")</f>
        <v>COMMEQUIERS</v>
      </c>
      <c r="E23581" s="38" t="s">
        <v>179</v>
      </c>
      <c r="F23581" s="38" t="s">
        <v>180</v>
      </c>
      <c r="G23581" s="49" t="str">
        <f t="shared" si="1"/>
        <v>85220</v>
      </c>
      <c r="H23581" s="49">
        <f t="shared" si="2"/>
        <v>85071</v>
      </c>
    </row>
    <row r="23582">
      <c r="A23582" s="48" t="s">
        <v>3154</v>
      </c>
      <c r="B23582" s="38">
        <v>15165.0</v>
      </c>
      <c r="C23582" s="38" t="s">
        <v>4950</v>
      </c>
      <c r="D23582" s="38" t="str">
        <f>IFERROR(__xludf.DUMMYFUNCTION("REGEXREPLACE(C23582,""-\d+(.*)|--\d+(.*)"","""")"),"ROUFFIAC")</f>
        <v>ROUFFIAC</v>
      </c>
      <c r="E23582" s="38" t="s">
        <v>632</v>
      </c>
      <c r="F23582" s="38" t="s">
        <v>161</v>
      </c>
      <c r="G23582" s="49" t="str">
        <f t="shared" si="1"/>
        <v>15150</v>
      </c>
      <c r="H23582" s="49">
        <f t="shared" si="2"/>
        <v>15165</v>
      </c>
    </row>
    <row r="23583">
      <c r="A23583" s="48" t="s">
        <v>26168</v>
      </c>
      <c r="B23583" s="38">
        <v>12187.0</v>
      </c>
      <c r="C23583" s="38" t="s">
        <v>28115</v>
      </c>
      <c r="D23583" s="38" t="str">
        <f>IFERROR(__xludf.DUMMYFUNCTION("REGEXREPLACE(C23583,""-\d+(.*)|--\d+(.*)"","""")"),"PRADES-D'AUBRAC")</f>
        <v>PRADES-D'AUBRAC</v>
      </c>
      <c r="E23583" s="38" t="s">
        <v>465</v>
      </c>
      <c r="F23583" s="38" t="s">
        <v>94</v>
      </c>
      <c r="G23583" s="49" t="str">
        <f t="shared" si="1"/>
        <v>12470</v>
      </c>
      <c r="H23583" s="49">
        <f t="shared" si="2"/>
        <v>12187</v>
      </c>
    </row>
    <row r="23584">
      <c r="A23584" s="48" t="s">
        <v>3711</v>
      </c>
      <c r="B23584" s="38">
        <v>21456.0</v>
      </c>
      <c r="C23584" s="38" t="s">
        <v>28116</v>
      </c>
      <c r="D23584" s="38" t="str">
        <f>IFERROR(__xludf.DUMMYFUNCTION("REGEXREPLACE(C23584,""-\d+(.*)|--\d+(.*)"","""")"),"NOGENT-LES-MONTBARD")</f>
        <v>NOGENT-LES-MONTBARD</v>
      </c>
      <c r="E23584" s="38" t="s">
        <v>105</v>
      </c>
      <c r="F23584" s="38" t="s">
        <v>106</v>
      </c>
      <c r="G23584" s="49" t="str">
        <f t="shared" si="1"/>
        <v>21500</v>
      </c>
      <c r="H23584" s="49">
        <f t="shared" si="2"/>
        <v>21456</v>
      </c>
    </row>
    <row r="23585">
      <c r="A23585" s="48" t="s">
        <v>10433</v>
      </c>
      <c r="B23585" s="38">
        <v>46201.0</v>
      </c>
      <c r="C23585" s="38" t="s">
        <v>28117</v>
      </c>
      <c r="D23585" s="38" t="str">
        <f>IFERROR(__xludf.DUMMYFUNCTION("REGEXREPLACE(C23585,""-\d+(.*)|--\d+(.*)"","""")"),"MONTCUQ")</f>
        <v>MONTCUQ</v>
      </c>
      <c r="E23585" s="38" t="s">
        <v>185</v>
      </c>
      <c r="F23585" s="38" t="s">
        <v>94</v>
      </c>
      <c r="G23585" s="49" t="str">
        <f t="shared" si="1"/>
        <v>46800</v>
      </c>
      <c r="H23585" s="49">
        <f t="shared" si="2"/>
        <v>46201</v>
      </c>
    </row>
    <row r="23586">
      <c r="A23586" s="48" t="s">
        <v>5243</v>
      </c>
      <c r="B23586" s="38">
        <v>18263.0</v>
      </c>
      <c r="C23586" s="38" t="s">
        <v>28118</v>
      </c>
      <c r="D23586" s="38" t="str">
        <f>IFERROR(__xludf.DUMMYFUNCTION("REGEXREPLACE(C23586,""-\d+(.*)|--\d+(.*)"","""")"),"THENIOUX")</f>
        <v>THENIOUX</v>
      </c>
      <c r="E23586" s="38" t="s">
        <v>504</v>
      </c>
      <c r="F23586" s="38" t="s">
        <v>123</v>
      </c>
      <c r="G23586" s="49" t="str">
        <f t="shared" si="1"/>
        <v>18100</v>
      </c>
      <c r="H23586" s="49">
        <f t="shared" si="2"/>
        <v>18263</v>
      </c>
    </row>
    <row r="23587">
      <c r="A23587" s="48" t="s">
        <v>2736</v>
      </c>
      <c r="B23587" s="38">
        <v>89236.0</v>
      </c>
      <c r="C23587" s="38" t="s">
        <v>28119</v>
      </c>
      <c r="D23587" s="38" t="str">
        <f>IFERROR(__xludf.DUMMYFUNCTION("REGEXREPLACE(C23587,""-\d+(.*)|--\d+(.*)"","""")"),"MAILLOT")</f>
        <v>MAILLOT</v>
      </c>
      <c r="E23587" s="38" t="s">
        <v>275</v>
      </c>
      <c r="F23587" s="38" t="s">
        <v>106</v>
      </c>
      <c r="G23587" s="49" t="str">
        <f t="shared" si="1"/>
        <v>89100</v>
      </c>
      <c r="H23587" s="49">
        <f t="shared" si="2"/>
        <v>89236</v>
      </c>
    </row>
    <row r="23588">
      <c r="A23588" s="48" t="s">
        <v>2820</v>
      </c>
      <c r="B23588" s="38">
        <v>2762.0</v>
      </c>
      <c r="C23588" s="38" t="s">
        <v>28120</v>
      </c>
      <c r="D23588" s="38" t="str">
        <f>IFERROR(__xludf.DUMMYFUNCTION("REGEXREPLACE(C23588,""-\d+(.*)|--\d+(.*)"","""")"),"VASSENS")</f>
        <v>VASSENS</v>
      </c>
      <c r="E23588" s="38" t="s">
        <v>191</v>
      </c>
      <c r="F23588" s="38" t="s">
        <v>113</v>
      </c>
      <c r="G23588" s="49" t="str">
        <f t="shared" si="1"/>
        <v>02290</v>
      </c>
      <c r="H23588" s="49" t="str">
        <f t="shared" si="2"/>
        <v>02762</v>
      </c>
    </row>
    <row r="23589">
      <c r="A23589" s="48" t="s">
        <v>2300</v>
      </c>
      <c r="B23589" s="38">
        <v>28357.0</v>
      </c>
      <c r="C23589" s="38" t="s">
        <v>28121</v>
      </c>
      <c r="D23589" s="38" t="str">
        <f>IFERROR(__xludf.DUMMYFUNCTION("REGEXREPLACE(C23589,""-\d+(.*)|--\d+(.*)"","""")"),"SAINT-PIAT")</f>
        <v>SAINT-PIAT</v>
      </c>
      <c r="E23589" s="38" t="s">
        <v>300</v>
      </c>
      <c r="F23589" s="38" t="s">
        <v>123</v>
      </c>
      <c r="G23589" s="49" t="str">
        <f t="shared" si="1"/>
        <v>28130</v>
      </c>
      <c r="H23589" s="49">
        <f t="shared" si="2"/>
        <v>28357</v>
      </c>
    </row>
    <row r="23590">
      <c r="A23590" s="48" t="s">
        <v>8527</v>
      </c>
      <c r="B23590" s="38">
        <v>44004.0</v>
      </c>
      <c r="C23590" s="38" t="s">
        <v>28122</v>
      </c>
      <c r="D23590" s="38" t="str">
        <f>IFERROR(__xludf.DUMMYFUNCTION("REGEXREPLACE(C23590,""-\d+(.*)|--\d+(.*)"","""")"),"ANETZ")</f>
        <v>ANETZ</v>
      </c>
      <c r="E23590" s="38" t="s">
        <v>759</v>
      </c>
      <c r="F23590" s="38" t="s">
        <v>180</v>
      </c>
      <c r="G23590" s="49" t="str">
        <f t="shared" si="1"/>
        <v>44150</v>
      </c>
      <c r="H23590" s="49">
        <f t="shared" si="2"/>
        <v>44004</v>
      </c>
    </row>
    <row r="23591">
      <c r="A23591" s="48" t="s">
        <v>8365</v>
      </c>
      <c r="B23591" s="38">
        <v>39026.0</v>
      </c>
      <c r="C23591" s="38" t="s">
        <v>28123</v>
      </c>
      <c r="D23591" s="38" t="str">
        <f>IFERROR(__xludf.DUMMYFUNCTION("REGEXREPLACE(C23591,""-\d+(.*)|--\d+(.*)"","""")"),"AUGERANS")</f>
        <v>AUGERANS</v>
      </c>
      <c r="E23591" s="38" t="s">
        <v>400</v>
      </c>
      <c r="F23591" s="38" t="s">
        <v>214</v>
      </c>
      <c r="G23591" s="49" t="str">
        <f t="shared" si="1"/>
        <v>39380</v>
      </c>
      <c r="H23591" s="49">
        <f t="shared" si="2"/>
        <v>39026</v>
      </c>
    </row>
    <row r="23592">
      <c r="A23592" s="48" t="s">
        <v>775</v>
      </c>
      <c r="B23592" s="38">
        <v>14664.0</v>
      </c>
      <c r="C23592" s="38" t="s">
        <v>28124</v>
      </c>
      <c r="D23592" s="38" t="str">
        <f>IFERROR(__xludf.DUMMYFUNCTION("REGEXREPLACE(C23592,""-\d+(.*)|--\d+(.*)"","""")"),"SALLEN")</f>
        <v>SALLEN</v>
      </c>
      <c r="E23592" s="38" t="s">
        <v>137</v>
      </c>
      <c r="F23592" s="38" t="s">
        <v>138</v>
      </c>
      <c r="G23592" s="49" t="str">
        <f t="shared" si="1"/>
        <v>14240</v>
      </c>
      <c r="H23592" s="49">
        <f t="shared" si="2"/>
        <v>14664</v>
      </c>
    </row>
    <row r="23593">
      <c r="A23593" s="48" t="s">
        <v>7918</v>
      </c>
      <c r="B23593" s="38">
        <v>17395.0</v>
      </c>
      <c r="C23593" s="38" t="s">
        <v>28125</v>
      </c>
      <c r="D23593" s="38" t="str">
        <f>IFERROR(__xludf.DUMMYFUNCTION("REGEXREPLACE(C23593,""-\d+(.*)|--\d+(.*)"","""")"),"SAINT-SAUVANT")</f>
        <v>SAINT-SAUVANT</v>
      </c>
      <c r="E23593" s="38" t="s">
        <v>488</v>
      </c>
      <c r="F23593" s="38" t="s">
        <v>338</v>
      </c>
      <c r="G23593" s="49" t="str">
        <f t="shared" si="1"/>
        <v>17610</v>
      </c>
      <c r="H23593" s="49">
        <f t="shared" si="2"/>
        <v>17395</v>
      </c>
    </row>
    <row r="23594">
      <c r="A23594" s="48" t="s">
        <v>1738</v>
      </c>
      <c r="B23594" s="38">
        <v>33490.0</v>
      </c>
      <c r="C23594" s="38" t="s">
        <v>28126</v>
      </c>
      <c r="D23594" s="38" t="str">
        <f>IFERROR(__xludf.DUMMYFUNCTION("REGEXREPLACE(C23594,""-\d+(.*)|--\d+(.*)"","""")"),"SAINT-VIVIEN-DE-MEDOC")</f>
        <v>SAINT-VIVIEN-DE-MEDOC</v>
      </c>
      <c r="E23594" s="38" t="s">
        <v>462</v>
      </c>
      <c r="F23594" s="38" t="s">
        <v>252</v>
      </c>
      <c r="G23594" s="49" t="str">
        <f t="shared" si="1"/>
        <v>33590</v>
      </c>
      <c r="H23594" s="49">
        <f t="shared" si="2"/>
        <v>33490</v>
      </c>
    </row>
    <row r="23595">
      <c r="A23595" s="48" t="s">
        <v>273</v>
      </c>
      <c r="B23595" s="38">
        <v>89356.0</v>
      </c>
      <c r="C23595" s="38" t="s">
        <v>28127</v>
      </c>
      <c r="D23595" s="38" t="str">
        <f>IFERROR(__xludf.DUMMYFUNCTION("REGEXREPLACE(C23595,""-\d+(.*)|--\d+(.*)"","""")"),"SAINT-MARTIN-SUR-OCRE")</f>
        <v>SAINT-MARTIN-SUR-OCRE</v>
      </c>
      <c r="E23595" s="38" t="s">
        <v>275</v>
      </c>
      <c r="F23595" s="38" t="s">
        <v>106</v>
      </c>
      <c r="G23595" s="49" t="str">
        <f t="shared" si="1"/>
        <v>89110</v>
      </c>
      <c r="H23595" s="49">
        <f t="shared" si="2"/>
        <v>89356</v>
      </c>
    </row>
    <row r="23596">
      <c r="A23596" s="48" t="s">
        <v>3009</v>
      </c>
      <c r="B23596" s="38">
        <v>11137.0</v>
      </c>
      <c r="C23596" s="38" t="s">
        <v>28128</v>
      </c>
      <c r="D23596" s="38" t="str">
        <f>IFERROR(__xludf.DUMMYFUNCTION("REGEXREPLACE(C23596,""-\d+(.*)|--\d+(.*)"","""")"),"FELINES-TERMENES")</f>
        <v>FELINES-TERMENES</v>
      </c>
      <c r="E23596" s="38" t="s">
        <v>278</v>
      </c>
      <c r="F23596" s="38" t="s">
        <v>119</v>
      </c>
      <c r="G23596" s="49" t="str">
        <f t="shared" si="1"/>
        <v>11330</v>
      </c>
      <c r="H23596" s="49">
        <f t="shared" si="2"/>
        <v>11137</v>
      </c>
    </row>
    <row r="23597">
      <c r="A23597" s="48" t="s">
        <v>7122</v>
      </c>
      <c r="B23597" s="38">
        <v>57046.0</v>
      </c>
      <c r="C23597" s="38" t="s">
        <v>28129</v>
      </c>
      <c r="D23597" s="38" t="str">
        <f>IFERROR(__xludf.DUMMYFUNCTION("REGEXREPLACE(C23597,""-\d+(.*)|--\d+(.*)"","""")"),"BAERENTHAL")</f>
        <v>BAERENTHAL</v>
      </c>
      <c r="E23597" s="38" t="s">
        <v>303</v>
      </c>
      <c r="F23597" s="38" t="s">
        <v>195</v>
      </c>
      <c r="G23597" s="49" t="str">
        <f t="shared" si="1"/>
        <v>57230</v>
      </c>
      <c r="H23597" s="49">
        <f t="shared" si="2"/>
        <v>57046</v>
      </c>
    </row>
    <row r="23598">
      <c r="A23598" s="48" t="s">
        <v>16765</v>
      </c>
      <c r="B23598" s="38">
        <v>76736.0</v>
      </c>
      <c r="C23598" s="38" t="s">
        <v>28130</v>
      </c>
      <c r="D23598" s="38" t="str">
        <f>IFERROR(__xludf.DUMMYFUNCTION("REGEXREPLACE(C23598,""-\d+(.*)|--\d+(.*)"","""")"),"VEULETTES-SUR-MER")</f>
        <v>VEULETTES-SUR-MER</v>
      </c>
      <c r="E23598" s="38" t="s">
        <v>133</v>
      </c>
      <c r="F23598" s="38" t="s">
        <v>134</v>
      </c>
      <c r="G23598" s="49" t="str">
        <f t="shared" si="1"/>
        <v>76450</v>
      </c>
      <c r="H23598" s="49">
        <f t="shared" si="2"/>
        <v>76736</v>
      </c>
    </row>
    <row r="23599">
      <c r="A23599" s="48" t="s">
        <v>407</v>
      </c>
      <c r="B23599" s="38">
        <v>71505.0</v>
      </c>
      <c r="C23599" s="38" t="s">
        <v>28131</v>
      </c>
      <c r="D23599" s="38" t="str">
        <f>IFERROR(__xludf.DUMMYFUNCTION("REGEXREPLACE(C23599,""-\d+(.*)|--\d+(.*)"","""")"),"SAVIANGES")</f>
        <v>SAVIANGES</v>
      </c>
      <c r="E23599" s="38" t="s">
        <v>344</v>
      </c>
      <c r="F23599" s="38" t="s">
        <v>106</v>
      </c>
      <c r="G23599" s="49" t="str">
        <f t="shared" si="1"/>
        <v>71460</v>
      </c>
      <c r="H23599" s="49">
        <f t="shared" si="2"/>
        <v>71505</v>
      </c>
    </row>
    <row r="23600">
      <c r="A23600" s="48" t="s">
        <v>9621</v>
      </c>
      <c r="B23600" s="38">
        <v>43202.0</v>
      </c>
      <c r="C23600" s="38" t="s">
        <v>28132</v>
      </c>
      <c r="D23600" s="38" t="str">
        <f>IFERROR(__xludf.DUMMYFUNCTION("REGEXREPLACE(C23600,""-\d+(.*)|--\d+(.*)"","""")"),"SAINT-JULIEN-DES-CHAZES")</f>
        <v>SAINT-JULIEN-DES-CHAZES</v>
      </c>
      <c r="E23600" s="38" t="s">
        <v>332</v>
      </c>
      <c r="F23600" s="38" t="s">
        <v>161</v>
      </c>
      <c r="G23600" s="49" t="str">
        <f t="shared" si="1"/>
        <v>43300</v>
      </c>
      <c r="H23600" s="49">
        <f t="shared" si="2"/>
        <v>43202</v>
      </c>
    </row>
    <row r="23601">
      <c r="A23601" s="48" t="s">
        <v>13112</v>
      </c>
      <c r="B23601" s="38">
        <v>40218.0</v>
      </c>
      <c r="C23601" s="38" t="s">
        <v>28133</v>
      </c>
      <c r="D23601" s="38" t="str">
        <f>IFERROR(__xludf.DUMMYFUNCTION("REGEXREPLACE(C23601,""-\d+(.*)|--\d+(.*)"","""")"),"PARLEBOSCQ")</f>
        <v>PARLEBOSCQ</v>
      </c>
      <c r="E23601" s="38" t="s">
        <v>281</v>
      </c>
      <c r="F23601" s="38" t="s">
        <v>252</v>
      </c>
      <c r="G23601" s="49" t="str">
        <f t="shared" si="1"/>
        <v>40310</v>
      </c>
      <c r="H23601" s="49">
        <f t="shared" si="2"/>
        <v>40218</v>
      </c>
    </row>
    <row r="23602">
      <c r="A23602" s="48" t="s">
        <v>5732</v>
      </c>
      <c r="B23602" s="38">
        <v>12042.0</v>
      </c>
      <c r="C23602" s="38" t="s">
        <v>28134</v>
      </c>
      <c r="D23602" s="38" t="str">
        <f>IFERROR(__xludf.DUMMYFUNCTION("REGEXREPLACE(C23602,""-\d+(.*)|--\d+(.*)"","""")"),"CALMELS-ET-LE-VIALA")</f>
        <v>CALMELS-ET-LE-VIALA</v>
      </c>
      <c r="E23602" s="38" t="s">
        <v>465</v>
      </c>
      <c r="F23602" s="38" t="s">
        <v>94</v>
      </c>
      <c r="G23602" s="49" t="str">
        <f t="shared" si="1"/>
        <v>12400</v>
      </c>
      <c r="H23602" s="49">
        <f t="shared" si="2"/>
        <v>12042</v>
      </c>
    </row>
    <row r="23603">
      <c r="A23603" s="48" t="s">
        <v>2989</v>
      </c>
      <c r="B23603" s="38">
        <v>70038.0</v>
      </c>
      <c r="C23603" s="38" t="s">
        <v>28135</v>
      </c>
      <c r="D23603" s="38" t="str">
        <f>IFERROR(__xludf.DUMMYFUNCTION("REGEXREPLACE(C23603,""-\d+(.*)|--\d+(.*)"","""")"),"AUTHOISON")</f>
        <v>AUTHOISON</v>
      </c>
      <c r="E23603" s="38" t="s">
        <v>956</v>
      </c>
      <c r="F23603" s="38" t="s">
        <v>214</v>
      </c>
      <c r="G23603" s="49" t="str">
        <f t="shared" si="1"/>
        <v>70190</v>
      </c>
      <c r="H23603" s="49">
        <f t="shared" si="2"/>
        <v>70038</v>
      </c>
    </row>
    <row r="23604">
      <c r="A23604" s="48" t="s">
        <v>1989</v>
      </c>
      <c r="B23604" s="38">
        <v>60702.0</v>
      </c>
      <c r="C23604" s="38" t="s">
        <v>28136</v>
      </c>
      <c r="D23604" s="38" t="str">
        <f>IFERROR(__xludf.DUMMYFUNCTION("REGEXREPLACE(C23604,""-\d+(.*)|--\d+(.*)"","""")"),"WELLES-PERENNES")</f>
        <v>WELLES-PERENNES</v>
      </c>
      <c r="E23604" s="38" t="s">
        <v>112</v>
      </c>
      <c r="F23604" s="38" t="s">
        <v>113</v>
      </c>
      <c r="G23604" s="49" t="str">
        <f t="shared" si="1"/>
        <v>60420</v>
      </c>
      <c r="H23604" s="49">
        <f t="shared" si="2"/>
        <v>60702</v>
      </c>
    </row>
    <row r="23605">
      <c r="A23605" s="48" t="s">
        <v>2457</v>
      </c>
      <c r="B23605" s="38">
        <v>17234.0</v>
      </c>
      <c r="C23605" s="38" t="s">
        <v>28137</v>
      </c>
      <c r="D23605" s="38" t="str">
        <f>IFERROR(__xludf.DUMMYFUNCTION("REGEXREPLACE(C23605,""-\d+(.*)|--\d+(.*)"","""")"),"MIGRE")</f>
        <v>MIGRE</v>
      </c>
      <c r="E23605" s="38" t="s">
        <v>488</v>
      </c>
      <c r="F23605" s="38" t="s">
        <v>338</v>
      </c>
      <c r="G23605" s="49" t="str">
        <f t="shared" si="1"/>
        <v>17330</v>
      </c>
      <c r="H23605" s="49">
        <f t="shared" si="2"/>
        <v>17234</v>
      </c>
    </row>
    <row r="23606">
      <c r="A23606" s="48" t="s">
        <v>794</v>
      </c>
      <c r="B23606" s="38">
        <v>60615.0</v>
      </c>
      <c r="C23606" s="38" t="s">
        <v>28138</v>
      </c>
      <c r="D23606" s="38" t="str">
        <f>IFERROR(__xludf.DUMMYFUNCTION("REGEXREPLACE(C23606,""-\d+(.*)|--\d+(.*)"","""")"),"SEREVILLERS")</f>
        <v>SEREVILLERS</v>
      </c>
      <c r="E23606" s="38" t="s">
        <v>112</v>
      </c>
      <c r="F23606" s="38" t="s">
        <v>113</v>
      </c>
      <c r="G23606" s="49" t="str">
        <f t="shared" si="1"/>
        <v>60120</v>
      </c>
      <c r="H23606" s="49">
        <f t="shared" si="2"/>
        <v>60615</v>
      </c>
    </row>
    <row r="23607">
      <c r="A23607" s="48" t="s">
        <v>7670</v>
      </c>
      <c r="B23607" s="38">
        <v>88165.0</v>
      </c>
      <c r="C23607" s="38" t="s">
        <v>28139</v>
      </c>
      <c r="D23607" s="38" t="str">
        <f>IFERROR(__xludf.DUMMYFUNCTION("REGEXREPLACE(C23607,""-\d+(.*)|--\d+(.*)"","""")"),"ETIVAL-CLAIREFONTAINE")</f>
        <v>ETIVAL-CLAIREFONTAINE</v>
      </c>
      <c r="E23607" s="38" t="s">
        <v>194</v>
      </c>
      <c r="F23607" s="38" t="s">
        <v>195</v>
      </c>
      <c r="G23607" s="49" t="str">
        <f t="shared" si="1"/>
        <v>88480</v>
      </c>
      <c r="H23607" s="49">
        <f t="shared" si="2"/>
        <v>88165</v>
      </c>
    </row>
    <row r="23608">
      <c r="A23608" s="48" t="s">
        <v>3659</v>
      </c>
      <c r="B23608" s="38">
        <v>40105.0</v>
      </c>
      <c r="C23608" s="38" t="s">
        <v>28140</v>
      </c>
      <c r="D23608" s="38" t="str">
        <f>IFERROR(__xludf.DUMMYFUNCTION("REGEXREPLACE(C23608,""-\d+(.*)|--\d+(.*)"","""")"),"GAREIN")</f>
        <v>GAREIN</v>
      </c>
      <c r="E23608" s="38" t="s">
        <v>281</v>
      </c>
      <c r="F23608" s="38" t="s">
        <v>252</v>
      </c>
      <c r="G23608" s="49" t="str">
        <f t="shared" si="1"/>
        <v>40420</v>
      </c>
      <c r="H23608" s="49">
        <f t="shared" si="2"/>
        <v>40105</v>
      </c>
    </row>
    <row r="23609">
      <c r="A23609" s="48" t="s">
        <v>2532</v>
      </c>
      <c r="B23609" s="38">
        <v>51151.0</v>
      </c>
      <c r="C23609" s="38" t="s">
        <v>28141</v>
      </c>
      <c r="D23609" s="38" t="str">
        <f>IFERROR(__xludf.DUMMYFUNCTION("REGEXREPLACE(C23609,""-\d+(.*)|--\d+(.*)"","""")"),"CHICHEY")</f>
        <v>CHICHEY</v>
      </c>
      <c r="E23609" s="38" t="s">
        <v>129</v>
      </c>
      <c r="F23609" s="38" t="s">
        <v>130</v>
      </c>
      <c r="G23609" s="49" t="str">
        <f t="shared" si="1"/>
        <v>51120</v>
      </c>
      <c r="H23609" s="49">
        <f t="shared" si="2"/>
        <v>51151</v>
      </c>
    </row>
    <row r="23610">
      <c r="A23610" s="48" t="s">
        <v>930</v>
      </c>
      <c r="B23610" s="38">
        <v>32016.0</v>
      </c>
      <c r="C23610" s="38" t="s">
        <v>28142</v>
      </c>
      <c r="D23610" s="38" t="str">
        <f>IFERROR(__xludf.DUMMYFUNCTION("REGEXREPLACE(C23610,""-\d+(.*)|--\d+(.*)"","""")"),"AURADE")</f>
        <v>AURADE</v>
      </c>
      <c r="E23610" s="38" t="s">
        <v>440</v>
      </c>
      <c r="F23610" s="38" t="s">
        <v>94</v>
      </c>
      <c r="G23610" s="49" t="str">
        <f t="shared" si="1"/>
        <v>32600</v>
      </c>
      <c r="H23610" s="49">
        <f t="shared" si="2"/>
        <v>32016</v>
      </c>
    </row>
    <row r="23611">
      <c r="A23611" s="48" t="s">
        <v>3022</v>
      </c>
      <c r="B23611" s="38">
        <v>14688.0</v>
      </c>
      <c r="C23611" s="38" t="s">
        <v>28143</v>
      </c>
      <c r="D23611" s="38" t="str">
        <f>IFERROR(__xludf.DUMMYFUNCTION("REGEXREPLACE(C23611,""-\d+(.*)|--\d+(.*)"","""")"),"THIEVILLE")</f>
        <v>THIEVILLE</v>
      </c>
      <c r="E23611" s="38" t="s">
        <v>137</v>
      </c>
      <c r="F23611" s="38" t="s">
        <v>138</v>
      </c>
      <c r="G23611" s="49" t="str">
        <f t="shared" si="1"/>
        <v>14170</v>
      </c>
      <c r="H23611" s="49">
        <f t="shared" si="2"/>
        <v>14688</v>
      </c>
    </row>
    <row r="23612">
      <c r="A23612" s="48" t="s">
        <v>3430</v>
      </c>
      <c r="B23612" s="38">
        <v>84104.0</v>
      </c>
      <c r="C23612" s="38" t="s">
        <v>28144</v>
      </c>
      <c r="D23612" s="38" t="str">
        <f>IFERROR(__xludf.DUMMYFUNCTION("REGEXREPLACE(C23612,""-\d+(.*)|--\d+(.*)"","""")"),"SABLET")</f>
        <v>SABLET</v>
      </c>
      <c r="E23612" s="38" t="s">
        <v>1026</v>
      </c>
      <c r="F23612" s="38" t="s">
        <v>228</v>
      </c>
      <c r="G23612" s="49" t="str">
        <f t="shared" si="1"/>
        <v>84110</v>
      </c>
      <c r="H23612" s="49">
        <f t="shared" si="2"/>
        <v>84104</v>
      </c>
    </row>
    <row r="23613">
      <c r="A23613" s="48" t="s">
        <v>8349</v>
      </c>
      <c r="B23613" s="38">
        <v>34223.0</v>
      </c>
      <c r="C23613" s="38" t="s">
        <v>28145</v>
      </c>
      <c r="D23613" s="38" t="str">
        <f>IFERROR(__xludf.DUMMYFUNCTION("REGEXREPLACE(C23613,""-\d+(.*)|--\d+(.*)"","""")"),"PUIMISSON")</f>
        <v>PUIMISSON</v>
      </c>
      <c r="E23613" s="38" t="s">
        <v>118</v>
      </c>
      <c r="F23613" s="38" t="s">
        <v>119</v>
      </c>
      <c r="G23613" s="49" t="str">
        <f t="shared" si="1"/>
        <v>34480</v>
      </c>
      <c r="H23613" s="49">
        <f t="shared" si="2"/>
        <v>34223</v>
      </c>
    </row>
    <row r="23614">
      <c r="A23614" s="48" t="s">
        <v>9297</v>
      </c>
      <c r="B23614" s="38">
        <v>41213.0</v>
      </c>
      <c r="C23614" s="38" t="s">
        <v>28146</v>
      </c>
      <c r="D23614" s="38" t="str">
        <f>IFERROR(__xludf.DUMMYFUNCTION("REGEXREPLACE(C23614,""-\d+(.*)|--\d+(.*)"","""")"),"SAINT-GOURGON")</f>
        <v>SAINT-GOURGON</v>
      </c>
      <c r="E23614" s="38" t="s">
        <v>188</v>
      </c>
      <c r="F23614" s="38" t="s">
        <v>123</v>
      </c>
      <c r="G23614" s="49" t="str">
        <f t="shared" si="1"/>
        <v>41310</v>
      </c>
      <c r="H23614" s="49">
        <f t="shared" si="2"/>
        <v>41213</v>
      </c>
    </row>
    <row r="23615">
      <c r="A23615" s="48" t="s">
        <v>1930</v>
      </c>
      <c r="B23615" s="38">
        <v>28386.0</v>
      </c>
      <c r="C23615" s="38" t="s">
        <v>28147</v>
      </c>
      <c r="D23615" s="38" t="str">
        <f>IFERROR(__xludf.DUMMYFUNCTION("REGEXREPLACE(C23615,""-\d+(.*)|--\d+(.*)"","""")"),"THIMERT-GATELLES")</f>
        <v>THIMERT-GATELLES</v>
      </c>
      <c r="E23615" s="38" t="s">
        <v>300</v>
      </c>
      <c r="F23615" s="38" t="s">
        <v>123</v>
      </c>
      <c r="G23615" s="49" t="str">
        <f t="shared" si="1"/>
        <v>28170</v>
      </c>
      <c r="H23615" s="49">
        <f t="shared" si="2"/>
        <v>28386</v>
      </c>
    </row>
    <row r="23616">
      <c r="A23616" s="48" t="s">
        <v>4659</v>
      </c>
      <c r="B23616" s="38">
        <v>32018.0</v>
      </c>
      <c r="C23616" s="38" t="s">
        <v>28148</v>
      </c>
      <c r="D23616" s="38" t="str">
        <f>IFERROR(__xludf.DUMMYFUNCTION("REGEXREPLACE(C23616,""-\d+(.*)|--\d+(.*)"","""")"),"AURIMONT")</f>
        <v>AURIMONT</v>
      </c>
      <c r="E23616" s="38" t="s">
        <v>440</v>
      </c>
      <c r="F23616" s="38" t="s">
        <v>94</v>
      </c>
      <c r="G23616" s="49" t="str">
        <f t="shared" si="1"/>
        <v>32450</v>
      </c>
      <c r="H23616" s="49">
        <f t="shared" si="2"/>
        <v>32018</v>
      </c>
    </row>
    <row r="23617">
      <c r="A23617" s="48" t="s">
        <v>28149</v>
      </c>
      <c r="B23617" s="38">
        <v>15145.0</v>
      </c>
      <c r="C23617" s="38" t="s">
        <v>28150</v>
      </c>
      <c r="D23617" s="38" t="str">
        <f>IFERROR(__xludf.DUMMYFUNCTION("REGEXREPLACE(C23617,""-\d+(.*)|--\d+(.*)"","""")"),"ORADOUR")</f>
        <v>ORADOUR</v>
      </c>
      <c r="E23617" s="38" t="s">
        <v>632</v>
      </c>
      <c r="F23617" s="38" t="s">
        <v>161</v>
      </c>
      <c r="G23617" s="49" t="str">
        <f t="shared" si="1"/>
        <v>15260</v>
      </c>
      <c r="H23617" s="49">
        <f t="shared" si="2"/>
        <v>15145</v>
      </c>
    </row>
    <row r="23618">
      <c r="A23618" s="48" t="s">
        <v>1027</v>
      </c>
      <c r="B23618" s="38">
        <v>1015.0</v>
      </c>
      <c r="C23618" s="38" t="s">
        <v>28151</v>
      </c>
      <c r="D23618" s="38" t="str">
        <f>IFERROR(__xludf.DUMMYFUNCTION("REGEXREPLACE(C23618,""-\d+(.*)|--\d+(.*)"","""")"),"ARBIGNIEU")</f>
        <v>ARBIGNIEU</v>
      </c>
      <c r="E23618" s="38" t="s">
        <v>255</v>
      </c>
      <c r="F23618" s="38" t="s">
        <v>102</v>
      </c>
      <c r="G23618" s="49" t="str">
        <f t="shared" si="1"/>
        <v>01300</v>
      </c>
      <c r="H23618" s="49" t="str">
        <f t="shared" si="2"/>
        <v>01015</v>
      </c>
    </row>
    <row r="23619">
      <c r="A23619" s="48" t="s">
        <v>28152</v>
      </c>
      <c r="B23619" s="38">
        <v>72335.0</v>
      </c>
      <c r="C23619" s="38" t="s">
        <v>28153</v>
      </c>
      <c r="D23619" s="38" t="str">
        <f>IFERROR(__xludf.DUMMYFUNCTION("REGEXREPLACE(C23619,""-\d+(.*)|--\d+(.*)"","""")"),"SILLE-LE-PHILIPPE")</f>
        <v>SILLE-LE-PHILIPPE</v>
      </c>
      <c r="E23619" s="38" t="s">
        <v>521</v>
      </c>
      <c r="F23619" s="38" t="s">
        <v>180</v>
      </c>
      <c r="G23619" s="49" t="str">
        <f t="shared" si="1"/>
        <v>72460</v>
      </c>
      <c r="H23619" s="49">
        <f t="shared" si="2"/>
        <v>72335</v>
      </c>
    </row>
    <row r="23620">
      <c r="A23620" s="48" t="s">
        <v>844</v>
      </c>
      <c r="B23620" s="38">
        <v>72258.0</v>
      </c>
      <c r="C23620" s="38" t="s">
        <v>28154</v>
      </c>
      <c r="D23620" s="38" t="str">
        <f>IFERROR(__xludf.DUMMYFUNCTION("REGEXREPLACE(C23620,""-\d+(.*)|--\d+(.*)"","""")"),"ROULLEE")</f>
        <v>ROULLEE</v>
      </c>
      <c r="E23620" s="38" t="s">
        <v>521</v>
      </c>
      <c r="F23620" s="38" t="s">
        <v>180</v>
      </c>
      <c r="G23620" s="49" t="str">
        <f t="shared" si="1"/>
        <v>72600</v>
      </c>
      <c r="H23620" s="49">
        <f t="shared" si="2"/>
        <v>72258</v>
      </c>
    </row>
    <row r="23621">
      <c r="A23621" s="48" t="s">
        <v>1161</v>
      </c>
      <c r="B23621" s="38">
        <v>45345.0</v>
      </c>
      <c r="C23621" s="38" t="s">
        <v>28155</v>
      </c>
      <c r="D23621" s="38" t="str">
        <f>IFERROR(__xludf.DUMMYFUNCTION("REGEXREPLACE(C23621,""-\d+(.*)|--\d+(.*)"","""")"),"VIMORY")</f>
        <v>VIMORY</v>
      </c>
      <c r="E23621" s="38" t="s">
        <v>122</v>
      </c>
      <c r="F23621" s="38" t="s">
        <v>123</v>
      </c>
      <c r="G23621" s="49" t="str">
        <f t="shared" si="1"/>
        <v>45700</v>
      </c>
      <c r="H23621" s="49">
        <f t="shared" si="2"/>
        <v>45345</v>
      </c>
    </row>
    <row r="23622">
      <c r="A23622" s="48" t="s">
        <v>1636</v>
      </c>
      <c r="B23622" s="38">
        <v>14229.0</v>
      </c>
      <c r="C23622" s="38" t="s">
        <v>28156</v>
      </c>
      <c r="D23622" s="38" t="str">
        <f>IFERROR(__xludf.DUMMYFUNCTION("REGEXREPLACE(C23622,""-\d+(.*)|--\d+(.*)"","""")"),"DOZULE")</f>
        <v>DOZULE</v>
      </c>
      <c r="E23622" s="38" t="s">
        <v>137</v>
      </c>
      <c r="F23622" s="38" t="s">
        <v>138</v>
      </c>
      <c r="G23622" s="49" t="str">
        <f t="shared" si="1"/>
        <v>14430</v>
      </c>
      <c r="H23622" s="49">
        <f t="shared" si="2"/>
        <v>14229</v>
      </c>
    </row>
    <row r="23623">
      <c r="A23623" s="48" t="s">
        <v>2278</v>
      </c>
      <c r="B23623" s="38">
        <v>80466.0</v>
      </c>
      <c r="C23623" s="38" t="s">
        <v>28157</v>
      </c>
      <c r="D23623" s="38" t="str">
        <f>IFERROR(__xludf.DUMMYFUNCTION("REGEXREPLACE(C23623,""-\d+(.*)|--\d+(.*)"","""")"),"LANCHES-SAINT-HILAIRE")</f>
        <v>LANCHES-SAINT-HILAIRE</v>
      </c>
      <c r="E23623" s="38" t="s">
        <v>224</v>
      </c>
      <c r="F23623" s="38" t="s">
        <v>113</v>
      </c>
      <c r="G23623" s="49" t="str">
        <f t="shared" si="1"/>
        <v>80620</v>
      </c>
      <c r="H23623" s="49">
        <f t="shared" si="2"/>
        <v>80466</v>
      </c>
    </row>
    <row r="23624">
      <c r="A23624" s="48" t="s">
        <v>2447</v>
      </c>
      <c r="B23624" s="38">
        <v>42243.0</v>
      </c>
      <c r="C23624" s="38" t="s">
        <v>28158</v>
      </c>
      <c r="D23624" s="38" t="str">
        <f>IFERROR(__xludf.DUMMYFUNCTION("REGEXREPLACE(C23624,""-\d+(.*)|--\d+(.*)"","""")"),"SAINT-JULIEN-D'ODDES")</f>
        <v>SAINT-JULIEN-D'ODDES</v>
      </c>
      <c r="E23624" s="38" t="s">
        <v>166</v>
      </c>
      <c r="F23624" s="38" t="s">
        <v>102</v>
      </c>
      <c r="G23624" s="49" t="str">
        <f t="shared" si="1"/>
        <v>42260</v>
      </c>
      <c r="H23624" s="49">
        <f t="shared" si="2"/>
        <v>42243</v>
      </c>
    </row>
    <row r="23625">
      <c r="A23625" s="48" t="s">
        <v>443</v>
      </c>
      <c r="B23625" s="38">
        <v>24247.0</v>
      </c>
      <c r="C23625" s="38" t="s">
        <v>28159</v>
      </c>
      <c r="D23625" s="38" t="str">
        <f>IFERROR(__xludf.DUMMYFUNCTION("REGEXREPLACE(C23625,""-\d+(.*)|--\d+(.*)"","""")"),"LUSIGNAC")</f>
        <v>LUSIGNAC</v>
      </c>
      <c r="E23625" s="38" t="s">
        <v>261</v>
      </c>
      <c r="F23625" s="38" t="s">
        <v>252</v>
      </c>
      <c r="G23625" s="49" t="str">
        <f t="shared" si="1"/>
        <v>24320</v>
      </c>
      <c r="H23625" s="49">
        <f t="shared" si="2"/>
        <v>24247</v>
      </c>
    </row>
    <row r="23626">
      <c r="A23626" s="48" t="s">
        <v>5603</v>
      </c>
      <c r="B23626" s="38">
        <v>41101.0</v>
      </c>
      <c r="C23626" s="38" t="s">
        <v>28160</v>
      </c>
      <c r="D23626" s="38" t="str">
        <f>IFERROR(__xludf.DUMMYFUNCTION("REGEXREPLACE(C23626,""-\d+(.*)|--\d+(.*)"","""")"),"HERBAULT")</f>
        <v>HERBAULT</v>
      </c>
      <c r="E23626" s="38" t="s">
        <v>188</v>
      </c>
      <c r="F23626" s="38" t="s">
        <v>123</v>
      </c>
      <c r="G23626" s="49" t="str">
        <f t="shared" si="1"/>
        <v>41190</v>
      </c>
      <c r="H23626" s="49">
        <f t="shared" si="2"/>
        <v>41101</v>
      </c>
    </row>
    <row r="23627">
      <c r="A23627" s="48" t="s">
        <v>15599</v>
      </c>
      <c r="B23627" s="38">
        <v>5038.0</v>
      </c>
      <c r="C23627" s="38" t="s">
        <v>28161</v>
      </c>
      <c r="D23627" s="38" t="str">
        <f>IFERROR(__xludf.DUMMYFUNCTION("REGEXREPLACE(C23627,""-\d+(.*)|--\d+(.*)"","""")"),"CHATEAU-VILLE-VIEILLE")</f>
        <v>CHATEAU-VILLE-VIEILLE</v>
      </c>
      <c r="E23627" s="38" t="s">
        <v>706</v>
      </c>
      <c r="F23627" s="38" t="s">
        <v>228</v>
      </c>
      <c r="G23627" s="49" t="str">
        <f t="shared" si="1"/>
        <v>05350</v>
      </c>
      <c r="H23627" s="49" t="str">
        <f t="shared" si="2"/>
        <v>05038</v>
      </c>
    </row>
    <row r="23628">
      <c r="A23628" s="48" t="s">
        <v>28162</v>
      </c>
      <c r="B23628" s="38">
        <v>5133.0</v>
      </c>
      <c r="C23628" s="38" t="s">
        <v>28163</v>
      </c>
      <c r="D23628" s="38" t="str">
        <f>IFERROR(__xludf.DUMMYFUNCTION("REGEXREPLACE(C23628,""-\d+(.*)|--\d+(.*)"","""")"),"SAINT-CHAFFREY")</f>
        <v>SAINT-CHAFFREY</v>
      </c>
      <c r="E23628" s="38" t="s">
        <v>706</v>
      </c>
      <c r="F23628" s="38" t="s">
        <v>228</v>
      </c>
      <c r="G23628" s="49" t="str">
        <f t="shared" si="1"/>
        <v>05330</v>
      </c>
      <c r="H23628" s="49" t="str">
        <f t="shared" si="2"/>
        <v>05133</v>
      </c>
    </row>
    <row r="23629">
      <c r="A23629" s="48" t="s">
        <v>16073</v>
      </c>
      <c r="B23629" s="38">
        <v>25289.0</v>
      </c>
      <c r="C23629" s="38" t="s">
        <v>28164</v>
      </c>
      <c r="D23629" s="38" t="str">
        <f>IFERROR(__xludf.DUMMYFUNCTION("REGEXREPLACE(C23629,""-\d+(.*)|--\d+(.*)"","""")"),"GRANDFONTAINE-SUR-CREUSE")</f>
        <v>GRANDFONTAINE-SUR-CREUSE</v>
      </c>
      <c r="E23629" s="38" t="s">
        <v>213</v>
      </c>
      <c r="F23629" s="38" t="s">
        <v>214</v>
      </c>
      <c r="G23629" s="49" t="str">
        <f t="shared" si="1"/>
        <v>25510</v>
      </c>
      <c r="H23629" s="49">
        <f t="shared" si="2"/>
        <v>25289</v>
      </c>
    </row>
    <row r="23630">
      <c r="A23630" s="48" t="s">
        <v>5601</v>
      </c>
      <c r="B23630" s="38">
        <v>71271.0</v>
      </c>
      <c r="C23630" s="38" t="s">
        <v>28165</v>
      </c>
      <c r="D23630" s="38" t="str">
        <f>IFERROR(__xludf.DUMMYFUNCTION("REGEXREPLACE(C23630,""-\d+(.*)|--\d+(.*)"","""")"),"MAILLY")</f>
        <v>MAILLY</v>
      </c>
      <c r="E23630" s="38" t="s">
        <v>344</v>
      </c>
      <c r="F23630" s="38" t="s">
        <v>106</v>
      </c>
      <c r="G23630" s="49" t="str">
        <f t="shared" si="1"/>
        <v>71340</v>
      </c>
      <c r="H23630" s="49">
        <f t="shared" si="2"/>
        <v>71271</v>
      </c>
    </row>
    <row r="23631">
      <c r="A23631" s="48" t="s">
        <v>12742</v>
      </c>
      <c r="B23631" s="38">
        <v>56210.0</v>
      </c>
      <c r="C23631" s="38" t="s">
        <v>28166</v>
      </c>
      <c r="D23631" s="38" t="str">
        <f>IFERROR(__xludf.DUMMYFUNCTION("REGEXREPLACE(C23631,""-\d+(.*)|--\d+(.*)"","""")"),"SAINT-CARADEC-TREGOMEL")</f>
        <v>SAINT-CARADEC-TREGOMEL</v>
      </c>
      <c r="E23631" s="38" t="s">
        <v>173</v>
      </c>
      <c r="F23631" s="38" t="s">
        <v>90</v>
      </c>
      <c r="G23631" s="49" t="str">
        <f t="shared" si="1"/>
        <v>56540</v>
      </c>
      <c r="H23631" s="49">
        <f t="shared" si="2"/>
        <v>56210</v>
      </c>
    </row>
    <row r="23632">
      <c r="A23632" s="48" t="s">
        <v>3783</v>
      </c>
      <c r="B23632" s="38">
        <v>62833.0</v>
      </c>
      <c r="C23632" s="38" t="s">
        <v>28167</v>
      </c>
      <c r="D23632" s="38" t="str">
        <f>IFERROR(__xludf.DUMMYFUNCTION("REGEXREPLACE(C23632,""-\d+(.*)|--\d+(.*)"","""")"),"VACQUERIE-LE-BOUCQ")</f>
        <v>VACQUERIE-LE-BOUCQ</v>
      </c>
      <c r="E23632" s="38" t="s">
        <v>109</v>
      </c>
      <c r="F23632" s="38" t="s">
        <v>86</v>
      </c>
      <c r="G23632" s="49" t="str">
        <f t="shared" si="1"/>
        <v>62270</v>
      </c>
      <c r="H23632" s="49">
        <f t="shared" si="2"/>
        <v>62833</v>
      </c>
    </row>
    <row r="23633">
      <c r="A23633" s="48" t="s">
        <v>28168</v>
      </c>
      <c r="B23633" s="38">
        <v>13099.0</v>
      </c>
      <c r="C23633" s="38" t="s">
        <v>28169</v>
      </c>
      <c r="D23633" s="38" t="str">
        <f>IFERROR(__xludf.DUMMYFUNCTION("REGEXREPLACE(C23633,""-\d+(.*)|--\d+(.*)"","""")"),"SAINT-PAUL-LES-DURANCE")</f>
        <v>SAINT-PAUL-LES-DURANCE</v>
      </c>
      <c r="E23633" s="38" t="s">
        <v>980</v>
      </c>
      <c r="F23633" s="38" t="s">
        <v>228</v>
      </c>
      <c r="G23633" s="49" t="str">
        <f t="shared" si="1"/>
        <v>13115</v>
      </c>
      <c r="H23633" s="49">
        <f t="shared" si="2"/>
        <v>13099</v>
      </c>
    </row>
    <row r="23634">
      <c r="A23634" s="48" t="s">
        <v>10383</v>
      </c>
      <c r="B23634" s="38">
        <v>38513.0</v>
      </c>
      <c r="C23634" s="38" t="s">
        <v>28170</v>
      </c>
      <c r="D23634" s="38" t="str">
        <f>IFERROR(__xludf.DUMMYFUNCTION("REGEXREPLACE(C23634,""-\d+(.*)|--\d+(.*)"","""")"),"TREFFORT")</f>
        <v>TREFFORT</v>
      </c>
      <c r="E23634" s="38" t="s">
        <v>101</v>
      </c>
      <c r="F23634" s="38" t="s">
        <v>102</v>
      </c>
      <c r="G23634" s="49" t="str">
        <f t="shared" si="1"/>
        <v>38650</v>
      </c>
      <c r="H23634" s="49">
        <f t="shared" si="2"/>
        <v>38513</v>
      </c>
    </row>
    <row r="23635">
      <c r="A23635" s="48" t="s">
        <v>28171</v>
      </c>
      <c r="B23635" s="38">
        <v>14221.0</v>
      </c>
      <c r="C23635" s="38" t="s">
        <v>28172</v>
      </c>
      <c r="D23635" s="38" t="str">
        <f>IFERROR(__xludf.DUMMYFUNCTION("REGEXREPLACE(C23635,""-\d+(.*)|--\d+(.*)"","""")"),"DEMOUVILLE")</f>
        <v>DEMOUVILLE</v>
      </c>
      <c r="E23635" s="38" t="s">
        <v>137</v>
      </c>
      <c r="F23635" s="38" t="s">
        <v>138</v>
      </c>
      <c r="G23635" s="49" t="str">
        <f t="shared" si="1"/>
        <v>14840</v>
      </c>
      <c r="H23635" s="49">
        <f t="shared" si="2"/>
        <v>14221</v>
      </c>
    </row>
    <row r="23636">
      <c r="A23636" s="48" t="s">
        <v>3812</v>
      </c>
      <c r="B23636" s="38">
        <v>71016.0</v>
      </c>
      <c r="C23636" s="38" t="s">
        <v>18520</v>
      </c>
      <c r="D23636" s="38" t="str">
        <f>IFERROR(__xludf.DUMMYFUNCTION("REGEXREPLACE(C23636,""-\d+(.*)|--\d+(.*)"","""")"),"AZE")</f>
        <v>AZE</v>
      </c>
      <c r="E23636" s="38" t="s">
        <v>344</v>
      </c>
      <c r="F23636" s="38" t="s">
        <v>106</v>
      </c>
      <c r="G23636" s="49" t="str">
        <f t="shared" si="1"/>
        <v>71260</v>
      </c>
      <c r="H23636" s="49">
        <f t="shared" si="2"/>
        <v>71016</v>
      </c>
    </row>
    <row r="23637">
      <c r="A23637" s="48" t="s">
        <v>28173</v>
      </c>
      <c r="B23637" s="38">
        <v>58046.0</v>
      </c>
      <c r="C23637" s="38" t="s">
        <v>28174</v>
      </c>
      <c r="D23637" s="38" t="str">
        <f>IFERROR(__xludf.DUMMYFUNCTION("REGEXREPLACE(C23637,""-\d+(.*)|--\d+(.*)"","""")"),"CERCY-LA-TOUR")</f>
        <v>CERCY-LA-TOUR</v>
      </c>
      <c r="E23637" s="38" t="s">
        <v>219</v>
      </c>
      <c r="F23637" s="38" t="s">
        <v>106</v>
      </c>
      <c r="G23637" s="49" t="str">
        <f t="shared" si="1"/>
        <v>58340</v>
      </c>
      <c r="H23637" s="49">
        <f t="shared" si="2"/>
        <v>58046</v>
      </c>
    </row>
    <row r="23638">
      <c r="A23638" s="48" t="s">
        <v>2794</v>
      </c>
      <c r="B23638" s="38">
        <v>39386.0</v>
      </c>
      <c r="C23638" s="38" t="s">
        <v>28175</v>
      </c>
      <c r="D23638" s="38" t="str">
        <f>IFERROR(__xludf.DUMMYFUNCTION("REGEXREPLACE(C23638,""-\d+(.*)|--\d+(.*)"","""")"),"NEUVILLEY")</f>
        <v>NEUVILLEY</v>
      </c>
      <c r="E23638" s="38" t="s">
        <v>400</v>
      </c>
      <c r="F23638" s="38" t="s">
        <v>214</v>
      </c>
      <c r="G23638" s="49" t="str">
        <f t="shared" si="1"/>
        <v>39800</v>
      </c>
      <c r="H23638" s="49">
        <f t="shared" si="2"/>
        <v>39386</v>
      </c>
    </row>
    <row r="23639">
      <c r="A23639" s="48" t="s">
        <v>4434</v>
      </c>
      <c r="B23639" s="38">
        <v>31134.0</v>
      </c>
      <c r="C23639" s="38" t="s">
        <v>28176</v>
      </c>
      <c r="D23639" s="38" t="str">
        <f>IFERROR(__xludf.DUMMYFUNCTION("REGEXREPLACE(C23639,""-\d+(.*)|--\d+(.*)"","""")"),"CAZENEUVE-MONTAUT")</f>
        <v>CAZENEUVE-MONTAUT</v>
      </c>
      <c r="E23639" s="38" t="s">
        <v>93</v>
      </c>
      <c r="F23639" s="38" t="s">
        <v>94</v>
      </c>
      <c r="G23639" s="49" t="str">
        <f t="shared" si="1"/>
        <v>31420</v>
      </c>
      <c r="H23639" s="49">
        <f t="shared" si="2"/>
        <v>31134</v>
      </c>
    </row>
    <row r="23640">
      <c r="A23640" s="48" t="s">
        <v>6247</v>
      </c>
      <c r="B23640" s="38">
        <v>26219.0</v>
      </c>
      <c r="C23640" s="38" t="s">
        <v>28177</v>
      </c>
      <c r="D23640" s="38" t="str">
        <f>IFERROR(__xludf.DUMMYFUNCTION("REGEXREPLACE(C23640,""-\d+(.*)|--\d+(.*)"","""")"),"MUREILS")</f>
        <v>MUREILS</v>
      </c>
      <c r="E23640" s="38" t="s">
        <v>126</v>
      </c>
      <c r="F23640" s="38" t="s">
        <v>102</v>
      </c>
      <c r="G23640" s="49" t="str">
        <f t="shared" si="1"/>
        <v>26240</v>
      </c>
      <c r="H23640" s="49">
        <f t="shared" si="2"/>
        <v>26219</v>
      </c>
    </row>
    <row r="23641">
      <c r="A23641" s="48" t="s">
        <v>18646</v>
      </c>
      <c r="B23641" s="38">
        <v>3008.0</v>
      </c>
      <c r="C23641" s="38" t="s">
        <v>28178</v>
      </c>
      <c r="D23641" s="38" t="str">
        <f>IFERROR(__xludf.DUMMYFUNCTION("REGEXREPLACE(C23641,""-\d+(.*)|--\d+(.*)"","""")"),"ARRONNES")</f>
        <v>ARRONNES</v>
      </c>
      <c r="E23641" s="38" t="s">
        <v>160</v>
      </c>
      <c r="F23641" s="38" t="s">
        <v>161</v>
      </c>
      <c r="G23641" s="49" t="str">
        <f t="shared" si="1"/>
        <v>03250</v>
      </c>
      <c r="H23641" s="49" t="str">
        <f t="shared" si="2"/>
        <v>03008</v>
      </c>
    </row>
    <row r="23642">
      <c r="A23642" s="48" t="s">
        <v>25197</v>
      </c>
      <c r="B23642" s="38">
        <v>78049.0</v>
      </c>
      <c r="C23642" s="38" t="s">
        <v>28179</v>
      </c>
      <c r="D23642" s="38" t="str">
        <f>IFERROR(__xludf.DUMMYFUNCTION("REGEXREPLACE(C23642,""-\d+(.*)|--\d+(.*)"","""")"),"BAZEMONT")</f>
        <v>BAZEMONT</v>
      </c>
      <c r="E23642" s="38" t="s">
        <v>362</v>
      </c>
      <c r="F23642" s="38" t="s">
        <v>245</v>
      </c>
      <c r="G23642" s="49" t="str">
        <f t="shared" si="1"/>
        <v>78580</v>
      </c>
      <c r="H23642" s="49">
        <f t="shared" si="2"/>
        <v>78049</v>
      </c>
    </row>
    <row r="23643">
      <c r="A23643" s="48" t="s">
        <v>4386</v>
      </c>
      <c r="B23643" s="38">
        <v>5058.0</v>
      </c>
      <c r="C23643" s="38" t="s">
        <v>28180</v>
      </c>
      <c r="D23643" s="38" t="str">
        <f>IFERROR(__xludf.DUMMYFUNCTION("REGEXREPLACE(C23643,""-\d+(.*)|--\d+(.*)"","""")"),"FREISSINIERES")</f>
        <v>FREISSINIERES</v>
      </c>
      <c r="E23643" s="38" t="s">
        <v>706</v>
      </c>
      <c r="F23643" s="38" t="s">
        <v>228</v>
      </c>
      <c r="G23643" s="49" t="str">
        <f t="shared" si="1"/>
        <v>05310</v>
      </c>
      <c r="H23643" s="49" t="str">
        <f t="shared" si="2"/>
        <v>05058</v>
      </c>
    </row>
    <row r="23644">
      <c r="A23644" s="48" t="s">
        <v>13041</v>
      </c>
      <c r="B23644" s="38">
        <v>27250.0</v>
      </c>
      <c r="C23644" s="38" t="s">
        <v>28181</v>
      </c>
      <c r="D23644" s="38" t="str">
        <f>IFERROR(__xludf.DUMMYFUNCTION("REGEXREPLACE(C23644,""-\d+(.*)|--\d+(.*)"","""")"),"FONTAINE-HEUDEBOURG")</f>
        <v>FONTAINE-HEUDEBOURG</v>
      </c>
      <c r="E23644" s="38" t="s">
        <v>241</v>
      </c>
      <c r="F23644" s="38" t="s">
        <v>134</v>
      </c>
      <c r="G23644" s="49" t="str">
        <f t="shared" si="1"/>
        <v>27490</v>
      </c>
      <c r="H23644" s="49">
        <f t="shared" si="2"/>
        <v>27250</v>
      </c>
    </row>
    <row r="23645">
      <c r="A23645" s="48" t="s">
        <v>3283</v>
      </c>
      <c r="B23645" s="38">
        <v>52133.0</v>
      </c>
      <c r="C23645" s="38" t="s">
        <v>28182</v>
      </c>
      <c r="D23645" s="38" t="str">
        <f>IFERROR(__xludf.DUMMYFUNCTION("REGEXREPLACE(C23645,""-\d+(.*)|--\d+(.*)"","""")"),"CLINCHAMP")</f>
        <v>CLINCHAMP</v>
      </c>
      <c r="E23645" s="38" t="s">
        <v>234</v>
      </c>
      <c r="F23645" s="38" t="s">
        <v>130</v>
      </c>
      <c r="G23645" s="49" t="str">
        <f t="shared" si="1"/>
        <v>52700</v>
      </c>
      <c r="H23645" s="49">
        <f t="shared" si="2"/>
        <v>52133</v>
      </c>
    </row>
    <row r="23646">
      <c r="A23646" s="48" t="s">
        <v>9850</v>
      </c>
      <c r="B23646" s="38">
        <v>67283.0</v>
      </c>
      <c r="C23646" s="38" t="s">
        <v>28183</v>
      </c>
      <c r="D23646" s="38" t="str">
        <f>IFERROR(__xludf.DUMMYFUNCTION("REGEXREPLACE(C23646,""-\d+(.*)|--\d+(.*)"","""")"),"MARMOUTIER")</f>
        <v>MARMOUTIER</v>
      </c>
      <c r="E23646" s="38" t="s">
        <v>210</v>
      </c>
      <c r="F23646" s="38" t="s">
        <v>151</v>
      </c>
      <c r="G23646" s="49" t="str">
        <f t="shared" si="1"/>
        <v>67440</v>
      </c>
      <c r="H23646" s="49">
        <f t="shared" si="2"/>
        <v>67283</v>
      </c>
    </row>
    <row r="23647">
      <c r="A23647" s="48" t="s">
        <v>1827</v>
      </c>
      <c r="B23647" s="38">
        <v>77197.0</v>
      </c>
      <c r="C23647" s="38" t="s">
        <v>28184</v>
      </c>
      <c r="D23647" s="38" t="str">
        <f>IFERROR(__xludf.DUMMYFUNCTION("REGEXREPLACE(C23647,""-\d+(.*)|--\d+(.*)"","""")"),"FRETOY")</f>
        <v>FRETOY</v>
      </c>
      <c r="E23647" s="38" t="s">
        <v>244</v>
      </c>
      <c r="F23647" s="38" t="s">
        <v>245</v>
      </c>
      <c r="G23647" s="49" t="str">
        <f t="shared" si="1"/>
        <v>77320</v>
      </c>
      <c r="H23647" s="49">
        <f t="shared" si="2"/>
        <v>77197</v>
      </c>
    </row>
    <row r="23648">
      <c r="A23648" s="48" t="s">
        <v>1305</v>
      </c>
      <c r="B23648" s="38">
        <v>36140.0</v>
      </c>
      <c r="C23648" s="38" t="s">
        <v>28185</v>
      </c>
      <c r="D23648" s="38" t="str">
        <f>IFERROR(__xludf.DUMMYFUNCTION("REGEXREPLACE(C23648,""-\d+(.*)|--\d+(.*)"","""")"),"NEUVY-PAILLOUX")</f>
        <v>NEUVY-PAILLOUX</v>
      </c>
      <c r="E23648" s="38" t="s">
        <v>258</v>
      </c>
      <c r="F23648" s="38" t="s">
        <v>123</v>
      </c>
      <c r="G23648" s="49" t="str">
        <f t="shared" si="1"/>
        <v>36100</v>
      </c>
      <c r="H23648" s="49">
        <f t="shared" si="2"/>
        <v>36140</v>
      </c>
    </row>
    <row r="23649">
      <c r="A23649" s="48" t="s">
        <v>3750</v>
      </c>
      <c r="B23649" s="38">
        <v>47033.0</v>
      </c>
      <c r="C23649" s="38" t="s">
        <v>28186</v>
      </c>
      <c r="D23649" s="38" t="str">
        <f>IFERROR(__xludf.DUMMYFUNCTION("REGEXREPLACE(C23649,""-\d+(.*)|--\d+(.*)"","""")"),"BOUDY-DE-BEAUREGARD")</f>
        <v>BOUDY-DE-BEAUREGARD</v>
      </c>
      <c r="E23649" s="38" t="s">
        <v>251</v>
      </c>
      <c r="F23649" s="38" t="s">
        <v>252</v>
      </c>
      <c r="G23649" s="49" t="str">
        <f t="shared" si="1"/>
        <v>47290</v>
      </c>
      <c r="H23649" s="49">
        <f t="shared" si="2"/>
        <v>47033</v>
      </c>
    </row>
    <row r="23650">
      <c r="A23650" s="48" t="s">
        <v>10892</v>
      </c>
      <c r="B23650" s="38">
        <v>47182.0</v>
      </c>
      <c r="C23650" s="38" t="s">
        <v>22763</v>
      </c>
      <c r="D23650" s="38" t="str">
        <f>IFERROR(__xludf.DUMMYFUNCTION("REGEXREPLACE(C23650,""-\d+(.*)|--\d+(.*)"","""")"),"MONTASTRUC")</f>
        <v>MONTASTRUC</v>
      </c>
      <c r="E23650" s="38" t="s">
        <v>251</v>
      </c>
      <c r="F23650" s="38" t="s">
        <v>252</v>
      </c>
      <c r="G23650" s="49" t="str">
        <f t="shared" si="1"/>
        <v>47380</v>
      </c>
      <c r="H23650" s="49">
        <f t="shared" si="2"/>
        <v>47182</v>
      </c>
    </row>
    <row r="23651">
      <c r="A23651" s="48" t="s">
        <v>4170</v>
      </c>
      <c r="B23651" s="38">
        <v>37120.0</v>
      </c>
      <c r="C23651" s="38" t="s">
        <v>28187</v>
      </c>
      <c r="D23651" s="38" t="str">
        <f>IFERROR(__xludf.DUMMYFUNCTION("REGEXREPLACE(C23651,""-\d+(.*)|--\d+(.*)"","""")"),"INGRANDES-DE-TOURAINE")</f>
        <v>INGRANDES-DE-TOURAINE</v>
      </c>
      <c r="E23651" s="38" t="s">
        <v>205</v>
      </c>
      <c r="F23651" s="38" t="s">
        <v>123</v>
      </c>
      <c r="G23651" s="49" t="str">
        <f t="shared" si="1"/>
        <v>37140</v>
      </c>
      <c r="H23651" s="49">
        <f t="shared" si="2"/>
        <v>37120</v>
      </c>
    </row>
    <row r="23652">
      <c r="A23652" s="48" t="s">
        <v>28188</v>
      </c>
      <c r="B23652" s="38">
        <v>48073.0</v>
      </c>
      <c r="C23652" s="38" t="s">
        <v>28189</v>
      </c>
      <c r="D23652" s="38" t="str">
        <f>IFERROR(__xludf.DUMMYFUNCTION("REGEXREPLACE(C23652,""-\d+(.*)|--\d+(.*)"","""")"),"LES HERMAUX")</f>
        <v>LES HERMAUX</v>
      </c>
      <c r="E23652" s="38" t="s">
        <v>154</v>
      </c>
      <c r="F23652" s="38" t="s">
        <v>119</v>
      </c>
      <c r="G23652" s="49" t="str">
        <f t="shared" si="1"/>
        <v>48340</v>
      </c>
      <c r="H23652" s="49">
        <f t="shared" si="2"/>
        <v>48073</v>
      </c>
    </row>
    <row r="23653">
      <c r="A23653" s="48" t="s">
        <v>1000</v>
      </c>
      <c r="B23653" s="38">
        <v>70216.0</v>
      </c>
      <c r="C23653" s="38" t="s">
        <v>28190</v>
      </c>
      <c r="D23653" s="38" t="str">
        <f>IFERROR(__xludf.DUMMYFUNCTION("REGEXREPLACE(C23653,""-\d+(.*)|--\d+(.*)"","""")"),"ESBOZ-BREST")</f>
        <v>ESBOZ-BREST</v>
      </c>
      <c r="E23653" s="38" t="s">
        <v>956</v>
      </c>
      <c r="F23653" s="38" t="s">
        <v>214</v>
      </c>
      <c r="G23653" s="49" t="str">
        <f t="shared" si="1"/>
        <v>70300</v>
      </c>
      <c r="H23653" s="49">
        <f t="shared" si="2"/>
        <v>70216</v>
      </c>
    </row>
    <row r="23654">
      <c r="A23654" s="48" t="s">
        <v>325</v>
      </c>
      <c r="B23654" s="38">
        <v>8418.0</v>
      </c>
      <c r="C23654" s="38" t="s">
        <v>28191</v>
      </c>
      <c r="D23654" s="38" t="str">
        <f>IFERROR(__xludf.DUMMYFUNCTION("REGEXREPLACE(C23654,""-\d+(.*)|--\d+(.*)"","""")"),"SEVIGNY-WALEPPE")</f>
        <v>SEVIGNY-WALEPPE</v>
      </c>
      <c r="E23654" s="38" t="s">
        <v>327</v>
      </c>
      <c r="F23654" s="38" t="s">
        <v>130</v>
      </c>
      <c r="G23654" s="49" t="str">
        <f t="shared" si="1"/>
        <v>08220</v>
      </c>
      <c r="H23654" s="49" t="str">
        <f t="shared" si="2"/>
        <v>08418</v>
      </c>
    </row>
    <row r="23655">
      <c r="A23655" s="48" t="s">
        <v>5207</v>
      </c>
      <c r="B23655" s="38">
        <v>85180.0</v>
      </c>
      <c r="C23655" s="38" t="s">
        <v>28192</v>
      </c>
      <c r="D23655" s="38" t="str">
        <f>IFERROR(__xludf.DUMMYFUNCTION("REGEXREPLACE(C23655,""-\d+(.*)|--\d+(.*)"","""")"),"LA POMMERAIE-SUR-SEVRE")</f>
        <v>LA POMMERAIE-SUR-SEVRE</v>
      </c>
      <c r="E23655" s="38" t="s">
        <v>179</v>
      </c>
      <c r="F23655" s="38" t="s">
        <v>180</v>
      </c>
      <c r="G23655" s="49" t="str">
        <f t="shared" si="1"/>
        <v>85700</v>
      </c>
      <c r="H23655" s="49">
        <f t="shared" si="2"/>
        <v>85180</v>
      </c>
    </row>
    <row r="23656">
      <c r="A23656" s="48" t="s">
        <v>13370</v>
      </c>
      <c r="B23656" s="38">
        <v>22136.0</v>
      </c>
      <c r="C23656" s="38" t="s">
        <v>28193</v>
      </c>
      <c r="D23656" s="38" t="str">
        <f>IFERROR(__xludf.DUMMYFUNCTION("REGEXREPLACE(C23656,""-\d+(.*)|--\d+(.*)"","""")"),"LOUDEAC")</f>
        <v>LOUDEAC</v>
      </c>
      <c r="E23656" s="38" t="s">
        <v>89</v>
      </c>
      <c r="F23656" s="38" t="s">
        <v>90</v>
      </c>
      <c r="G23656" s="49" t="str">
        <f t="shared" si="1"/>
        <v>22600</v>
      </c>
      <c r="H23656" s="49">
        <f t="shared" si="2"/>
        <v>22136</v>
      </c>
    </row>
    <row r="23657">
      <c r="A23657" s="48" t="s">
        <v>7600</v>
      </c>
      <c r="B23657" s="38">
        <v>69002.0</v>
      </c>
      <c r="C23657" s="38" t="s">
        <v>28194</v>
      </c>
      <c r="D23657" s="38" t="str">
        <f>IFERROR(__xludf.DUMMYFUNCTION("REGEXREPLACE(C23657,""-\d+(.*)|--\d+(.*)"","""")"),"AIGUEPERSE")</f>
        <v>AIGUEPERSE</v>
      </c>
      <c r="E23657" s="38" t="s">
        <v>350</v>
      </c>
      <c r="F23657" s="38" t="s">
        <v>102</v>
      </c>
      <c r="G23657" s="49" t="str">
        <f t="shared" si="1"/>
        <v>69790</v>
      </c>
      <c r="H23657" s="49">
        <f t="shared" si="2"/>
        <v>69002</v>
      </c>
    </row>
    <row r="23658">
      <c r="A23658" s="48" t="s">
        <v>4573</v>
      </c>
      <c r="B23658" s="38">
        <v>73114.0</v>
      </c>
      <c r="C23658" s="38" t="s">
        <v>28195</v>
      </c>
      <c r="D23658" s="38" t="str">
        <f>IFERROR(__xludf.DUMMYFUNCTION("REGEXREPLACE(C23658,""-\d+(.*)|--\d+(.*)"","""")"),"FLUMET")</f>
        <v>FLUMET</v>
      </c>
      <c r="E23658" s="38" t="s">
        <v>306</v>
      </c>
      <c r="F23658" s="38" t="s">
        <v>102</v>
      </c>
      <c r="G23658" s="49" t="str">
        <f t="shared" si="1"/>
        <v>73590</v>
      </c>
      <c r="H23658" s="49">
        <f t="shared" si="2"/>
        <v>73114</v>
      </c>
    </row>
    <row r="23659">
      <c r="A23659" s="48" t="s">
        <v>28196</v>
      </c>
      <c r="B23659" s="38">
        <v>82039.0</v>
      </c>
      <c r="C23659" s="38" t="s">
        <v>28197</v>
      </c>
      <c r="D23659" s="38" t="str">
        <f>IFERROR(__xludf.DUMMYFUNCTION("REGEXREPLACE(C23659,""-\d+(.*)|--\d+(.*)"","""")"),"CAYRAC")</f>
        <v>CAYRAC</v>
      </c>
      <c r="E23659" s="38" t="s">
        <v>570</v>
      </c>
      <c r="F23659" s="38" t="s">
        <v>94</v>
      </c>
      <c r="G23659" s="49" t="str">
        <f t="shared" si="1"/>
        <v>82440</v>
      </c>
      <c r="H23659" s="49">
        <f t="shared" si="2"/>
        <v>82039</v>
      </c>
    </row>
    <row r="23660">
      <c r="A23660" s="48" t="s">
        <v>8120</v>
      </c>
      <c r="B23660" s="38">
        <v>61441.0</v>
      </c>
      <c r="C23660" s="38" t="s">
        <v>28198</v>
      </c>
      <c r="D23660" s="38" t="str">
        <f>IFERROR(__xludf.DUMMYFUNCTION("REGEXREPLACE(C23660,""-\d+(.*)|--\d+(.*)"","""")"),"SAINT-OUEN-SUR-MAIRE")</f>
        <v>SAINT-OUEN-SUR-MAIRE</v>
      </c>
      <c r="E23660" s="38" t="s">
        <v>141</v>
      </c>
      <c r="F23660" s="38" t="s">
        <v>138</v>
      </c>
      <c r="G23660" s="49" t="str">
        <f t="shared" si="1"/>
        <v>61150</v>
      </c>
      <c r="H23660" s="49">
        <f t="shared" si="2"/>
        <v>61441</v>
      </c>
    </row>
    <row r="23661">
      <c r="A23661" s="48" t="s">
        <v>773</v>
      </c>
      <c r="B23661" s="38">
        <v>27004.0</v>
      </c>
      <c r="C23661" s="38" t="s">
        <v>28199</v>
      </c>
      <c r="D23661" s="38" t="str">
        <f>IFERROR(__xludf.DUMMYFUNCTION("REGEXREPLACE(C23661,""-\d+(.*)|--\d+(.*)"","""")"),"AIGLEVILLE")</f>
        <v>AIGLEVILLE</v>
      </c>
      <c r="E23661" s="38" t="s">
        <v>241</v>
      </c>
      <c r="F23661" s="38" t="s">
        <v>134</v>
      </c>
      <c r="G23661" s="49" t="str">
        <f t="shared" si="1"/>
        <v>27120</v>
      </c>
      <c r="H23661" s="49">
        <f t="shared" si="2"/>
        <v>27004</v>
      </c>
    </row>
    <row r="23662">
      <c r="A23662" s="48" t="s">
        <v>6651</v>
      </c>
      <c r="B23662" s="38">
        <v>31441.0</v>
      </c>
      <c r="C23662" s="38" t="s">
        <v>26591</v>
      </c>
      <c r="D23662" s="38" t="str">
        <f>IFERROR(__xludf.DUMMYFUNCTION("REGEXREPLACE(C23662,""-\d+(.*)|--\d+(.*)"","""")"),"PRUNET")</f>
        <v>PRUNET</v>
      </c>
      <c r="E23662" s="38" t="s">
        <v>93</v>
      </c>
      <c r="F23662" s="38" t="s">
        <v>94</v>
      </c>
      <c r="G23662" s="49" t="str">
        <f t="shared" si="1"/>
        <v>31460</v>
      </c>
      <c r="H23662" s="49">
        <f t="shared" si="2"/>
        <v>31441</v>
      </c>
    </row>
    <row r="23663">
      <c r="A23663" s="48" t="s">
        <v>3048</v>
      </c>
      <c r="B23663" s="38">
        <v>21417.0</v>
      </c>
      <c r="C23663" s="38" t="s">
        <v>28200</v>
      </c>
      <c r="D23663" s="38" t="str">
        <f>IFERROR(__xludf.DUMMYFUNCTION("REGEXREPLACE(C23663,""-\d+(.*)|--\d+(.*)"","""")"),"MISSERY")</f>
        <v>MISSERY</v>
      </c>
      <c r="E23663" s="38" t="s">
        <v>105</v>
      </c>
      <c r="F23663" s="38" t="s">
        <v>106</v>
      </c>
      <c r="G23663" s="49" t="str">
        <f t="shared" si="1"/>
        <v>21210</v>
      </c>
      <c r="H23663" s="49">
        <f t="shared" si="2"/>
        <v>21417</v>
      </c>
    </row>
    <row r="23664">
      <c r="A23664" s="48" t="s">
        <v>28201</v>
      </c>
      <c r="B23664" s="38">
        <v>30077.0</v>
      </c>
      <c r="C23664" s="38" t="s">
        <v>28202</v>
      </c>
      <c r="D23664" s="38" t="str">
        <f>IFERROR(__xludf.DUMMYFUNCTION("REGEXREPLACE(C23664,""-\d+(.*)|--\d+(.*)"","""")"),"CENDRAS")</f>
        <v>CENDRAS</v>
      </c>
      <c r="E23664" s="38" t="s">
        <v>526</v>
      </c>
      <c r="F23664" s="38" t="s">
        <v>119</v>
      </c>
      <c r="G23664" s="49" t="str">
        <f t="shared" si="1"/>
        <v>30480</v>
      </c>
      <c r="H23664" s="49">
        <f t="shared" si="2"/>
        <v>30077</v>
      </c>
    </row>
    <row r="23665">
      <c r="A23665" s="48" t="s">
        <v>8439</v>
      </c>
      <c r="B23665" s="38">
        <v>89398.0</v>
      </c>
      <c r="C23665" s="38" t="s">
        <v>28203</v>
      </c>
      <c r="D23665" s="38" t="str">
        <f>IFERROR(__xludf.DUMMYFUNCTION("REGEXREPLACE(C23665,""-\d+(.*)|--\d+(.*)"","""")"),"SORMERY")</f>
        <v>SORMERY</v>
      </c>
      <c r="E23665" s="38" t="s">
        <v>275</v>
      </c>
      <c r="F23665" s="38" t="s">
        <v>106</v>
      </c>
      <c r="G23665" s="49" t="str">
        <f t="shared" si="1"/>
        <v>89570</v>
      </c>
      <c r="H23665" s="49">
        <f t="shared" si="2"/>
        <v>89398</v>
      </c>
    </row>
    <row r="23666">
      <c r="A23666" s="48" t="s">
        <v>10025</v>
      </c>
      <c r="B23666" s="38">
        <v>66118.0</v>
      </c>
      <c r="C23666" s="38" t="s">
        <v>28204</v>
      </c>
      <c r="D23666" s="38" t="str">
        <f>IFERROR(__xludf.DUMMYFUNCTION("REGEXREPLACE(C23666,""-\d+(.*)|--\d+(.*)"","""")"),"MONTNER")</f>
        <v>MONTNER</v>
      </c>
      <c r="E23666" s="38" t="s">
        <v>248</v>
      </c>
      <c r="F23666" s="38" t="s">
        <v>119</v>
      </c>
      <c r="G23666" s="49" t="str">
        <f t="shared" si="1"/>
        <v>66720</v>
      </c>
      <c r="H23666" s="49">
        <f t="shared" si="2"/>
        <v>66118</v>
      </c>
    </row>
    <row r="23667">
      <c r="A23667" s="48" t="s">
        <v>1590</v>
      </c>
      <c r="B23667" s="38">
        <v>33163.0</v>
      </c>
      <c r="C23667" s="38" t="s">
        <v>28205</v>
      </c>
      <c r="D23667" s="38" t="str">
        <f>IFERROR(__xludf.DUMMYFUNCTION("REGEXREPLACE(C23667,""-\d+(.*)|--\d+(.*)"","""")"),"FALEYRAS")</f>
        <v>FALEYRAS</v>
      </c>
      <c r="E23667" s="38" t="s">
        <v>462</v>
      </c>
      <c r="F23667" s="38" t="s">
        <v>252</v>
      </c>
      <c r="G23667" s="49" t="str">
        <f t="shared" si="1"/>
        <v>33760</v>
      </c>
      <c r="H23667" s="49">
        <f t="shared" si="2"/>
        <v>33163</v>
      </c>
    </row>
    <row r="23668">
      <c r="A23668" s="48" t="s">
        <v>4589</v>
      </c>
      <c r="B23668" s="38">
        <v>41139.0</v>
      </c>
      <c r="C23668" s="38" t="s">
        <v>28206</v>
      </c>
      <c r="D23668" s="38" t="str">
        <f>IFERROR(__xludf.DUMMYFUNCTION("REGEXREPLACE(C23668,""-\d+(.*)|--\d+(.*)"","""")"),"MEUSNES")</f>
        <v>MEUSNES</v>
      </c>
      <c r="E23668" s="38" t="s">
        <v>188</v>
      </c>
      <c r="F23668" s="38" t="s">
        <v>123</v>
      </c>
      <c r="G23668" s="49" t="str">
        <f t="shared" si="1"/>
        <v>41130</v>
      </c>
      <c r="H23668" s="49">
        <f t="shared" si="2"/>
        <v>41139</v>
      </c>
    </row>
    <row r="23669">
      <c r="A23669" s="48" t="s">
        <v>11149</v>
      </c>
      <c r="B23669" s="38">
        <v>43099.0</v>
      </c>
      <c r="C23669" s="38" t="s">
        <v>28207</v>
      </c>
      <c r="D23669" s="38" t="str">
        <f>IFERROR(__xludf.DUMMYFUNCTION("REGEXREPLACE(C23669,""-\d+(.*)|--\d+(.*)"","""")"),"FRUGERES-LES-MINES")</f>
        <v>FRUGERES-LES-MINES</v>
      </c>
      <c r="E23669" s="38" t="s">
        <v>332</v>
      </c>
      <c r="F23669" s="38" t="s">
        <v>161</v>
      </c>
      <c r="G23669" s="49" t="str">
        <f t="shared" si="1"/>
        <v>43250</v>
      </c>
      <c r="H23669" s="49">
        <f t="shared" si="2"/>
        <v>43099</v>
      </c>
    </row>
    <row r="23670">
      <c r="A23670" s="48" t="s">
        <v>7278</v>
      </c>
      <c r="B23670" s="38">
        <v>61075.0</v>
      </c>
      <c r="C23670" s="38" t="s">
        <v>28208</v>
      </c>
      <c r="D23670" s="38" t="str">
        <f>IFERROR(__xludf.DUMMYFUNCTION("REGEXREPLACE(C23670,""-\d+(.*)|--\d+(.*)"","""")"),"CEAUCE")</f>
        <v>CEAUCE</v>
      </c>
      <c r="E23670" s="38" t="s">
        <v>141</v>
      </c>
      <c r="F23670" s="38" t="s">
        <v>138</v>
      </c>
      <c r="G23670" s="49" t="str">
        <f t="shared" si="1"/>
        <v>61330</v>
      </c>
      <c r="H23670" s="49">
        <f t="shared" si="2"/>
        <v>61075</v>
      </c>
    </row>
    <row r="23671">
      <c r="A23671" s="48" t="s">
        <v>2029</v>
      </c>
      <c r="B23671" s="38">
        <v>50051.0</v>
      </c>
      <c r="C23671" s="38" t="s">
        <v>28209</v>
      </c>
      <c r="D23671" s="38" t="str">
        <f>IFERROR(__xludf.DUMMYFUNCTION("REGEXREPLACE(C23671,""-\d+(.*)|--\d+(.*)"","""")"),"BEUZEVILLE-AU-PLAIN")</f>
        <v>BEUZEVILLE-AU-PLAIN</v>
      </c>
      <c r="E23671" s="38" t="s">
        <v>157</v>
      </c>
      <c r="F23671" s="38" t="s">
        <v>138</v>
      </c>
      <c r="G23671" s="49" t="str">
        <f t="shared" si="1"/>
        <v>50480</v>
      </c>
      <c r="H23671" s="49">
        <f t="shared" si="2"/>
        <v>50051</v>
      </c>
    </row>
    <row r="23672">
      <c r="A23672" s="48" t="s">
        <v>14258</v>
      </c>
      <c r="B23672" s="38">
        <v>34144.0</v>
      </c>
      <c r="C23672" s="38" t="s">
        <v>28210</v>
      </c>
      <c r="D23672" s="38" t="str">
        <f>IFERROR(__xludf.DUMMYFUNCTION("REGEXREPLACE(C23672,""-\d+(.*)|--\d+(.*)"","""")"),"LUNAS")</f>
        <v>LUNAS</v>
      </c>
      <c r="E23672" s="38" t="s">
        <v>118</v>
      </c>
      <c r="F23672" s="38" t="s">
        <v>119</v>
      </c>
      <c r="G23672" s="49" t="str">
        <f t="shared" si="1"/>
        <v>34650</v>
      </c>
      <c r="H23672" s="49">
        <f t="shared" si="2"/>
        <v>34144</v>
      </c>
    </row>
    <row r="23673">
      <c r="A23673" s="48" t="s">
        <v>1534</v>
      </c>
      <c r="B23673" s="38">
        <v>19002.0</v>
      </c>
      <c r="C23673" s="38" t="s">
        <v>28211</v>
      </c>
      <c r="D23673" s="38" t="str">
        <f>IFERROR(__xludf.DUMMYFUNCTION("REGEXREPLACE(C23673,""-\d+(.*)|--\d+(.*)"","""")"),"AIX")</f>
        <v>AIX</v>
      </c>
      <c r="E23673" s="38" t="s">
        <v>271</v>
      </c>
      <c r="F23673" s="38" t="s">
        <v>98</v>
      </c>
      <c r="G23673" s="49" t="str">
        <f t="shared" si="1"/>
        <v>19200</v>
      </c>
      <c r="H23673" s="49">
        <f t="shared" si="2"/>
        <v>19002</v>
      </c>
    </row>
    <row r="23674">
      <c r="A23674" s="48" t="s">
        <v>28212</v>
      </c>
      <c r="B23674" s="38">
        <v>78146.0</v>
      </c>
      <c r="C23674" s="38" t="s">
        <v>28213</v>
      </c>
      <c r="D23674" s="38" t="str">
        <f>IFERROR(__xludf.DUMMYFUNCTION("REGEXREPLACE(C23674,""-\d+(.*)|--\d+(.*)"","""")"),"CHATOU")</f>
        <v>CHATOU</v>
      </c>
      <c r="E23674" s="38" t="s">
        <v>362</v>
      </c>
      <c r="F23674" s="38" t="s">
        <v>245</v>
      </c>
      <c r="G23674" s="49" t="str">
        <f t="shared" si="1"/>
        <v>78400</v>
      </c>
      <c r="H23674" s="49">
        <f t="shared" si="2"/>
        <v>78146</v>
      </c>
    </row>
    <row r="23675">
      <c r="A23675" s="48" t="s">
        <v>6694</v>
      </c>
      <c r="B23675" s="38">
        <v>16328.0</v>
      </c>
      <c r="C23675" s="38" t="s">
        <v>28214</v>
      </c>
      <c r="D23675" s="38" t="str">
        <f>IFERROR(__xludf.DUMMYFUNCTION("REGEXREPLACE(C23675,""-\d+(.*)|--\d+(.*)"","""")"),"SAINT-LAURENT-DE-BELZAGOT")</f>
        <v>SAINT-LAURENT-DE-BELZAGOT</v>
      </c>
      <c r="E23675" s="38" t="s">
        <v>429</v>
      </c>
      <c r="F23675" s="38" t="s">
        <v>338</v>
      </c>
      <c r="G23675" s="49" t="str">
        <f t="shared" si="1"/>
        <v>16190</v>
      </c>
      <c r="H23675" s="49">
        <f t="shared" si="2"/>
        <v>16328</v>
      </c>
    </row>
    <row r="23676">
      <c r="A23676" s="48" t="s">
        <v>5405</v>
      </c>
      <c r="B23676" s="38">
        <v>85306.0</v>
      </c>
      <c r="C23676" s="38" t="s">
        <v>28215</v>
      </c>
      <c r="D23676" s="38" t="str">
        <f>IFERROR(__xludf.DUMMYFUNCTION("REGEXREPLACE(C23676,""-\d+(.*)|--\d+(.*)"","""")"),"XANTON-CHASSENON")</f>
        <v>XANTON-CHASSENON</v>
      </c>
      <c r="E23676" s="38" t="s">
        <v>179</v>
      </c>
      <c r="F23676" s="38" t="s">
        <v>180</v>
      </c>
      <c r="G23676" s="49" t="str">
        <f t="shared" si="1"/>
        <v>85240</v>
      </c>
      <c r="H23676" s="49">
        <f t="shared" si="2"/>
        <v>85306</v>
      </c>
    </row>
    <row r="23677">
      <c r="A23677" s="48" t="s">
        <v>6495</v>
      </c>
      <c r="B23677" s="38">
        <v>23162.0</v>
      </c>
      <c r="C23677" s="38" t="s">
        <v>28216</v>
      </c>
      <c r="D23677" s="38" t="str">
        <f>IFERROR(__xludf.DUMMYFUNCTION("REGEXREPLACE(C23677,""-\d+(.*)|--\d+(.*)"","""")"),"ROCHES")</f>
        <v>ROCHES</v>
      </c>
      <c r="E23677" s="38" t="s">
        <v>97</v>
      </c>
      <c r="F23677" s="38" t="s">
        <v>98</v>
      </c>
      <c r="G23677" s="49" t="str">
        <f t="shared" si="1"/>
        <v>23270</v>
      </c>
      <c r="H23677" s="49">
        <f t="shared" si="2"/>
        <v>23162</v>
      </c>
    </row>
    <row r="23678">
      <c r="A23678" s="48" t="s">
        <v>21639</v>
      </c>
      <c r="B23678" s="38">
        <v>23257.0</v>
      </c>
      <c r="C23678" s="38" t="s">
        <v>28217</v>
      </c>
      <c r="D23678" s="38" t="str">
        <f>IFERROR(__xludf.DUMMYFUNCTION("REGEXREPLACE(C23678,""-\d+(.*)|--\d+(.*)"","""")"),"VALLIERE")</f>
        <v>VALLIERE</v>
      </c>
      <c r="E23678" s="38" t="s">
        <v>97</v>
      </c>
      <c r="F23678" s="38" t="s">
        <v>98</v>
      </c>
      <c r="G23678" s="49" t="str">
        <f t="shared" si="1"/>
        <v>23120</v>
      </c>
      <c r="H23678" s="49">
        <f t="shared" si="2"/>
        <v>23257</v>
      </c>
    </row>
    <row r="23679">
      <c r="A23679" s="48" t="s">
        <v>3379</v>
      </c>
      <c r="B23679" s="38">
        <v>54293.0</v>
      </c>
      <c r="C23679" s="38" t="s">
        <v>28218</v>
      </c>
      <c r="D23679" s="38" t="str">
        <f>IFERROR(__xludf.DUMMYFUNCTION("REGEXREPLACE(C23679,""-\d+(.*)|--\d+(.*)"","""")"),"LANDECOURT")</f>
        <v>LANDECOURT</v>
      </c>
      <c r="E23679" s="38" t="s">
        <v>548</v>
      </c>
      <c r="F23679" s="38" t="s">
        <v>195</v>
      </c>
      <c r="G23679" s="49" t="str">
        <f t="shared" si="1"/>
        <v>54360</v>
      </c>
      <c r="H23679" s="49">
        <f t="shared" si="2"/>
        <v>54293</v>
      </c>
    </row>
    <row r="23680">
      <c r="A23680" s="48" t="s">
        <v>6016</v>
      </c>
      <c r="B23680" s="38">
        <v>57152.0</v>
      </c>
      <c r="C23680" s="38" t="s">
        <v>28219</v>
      </c>
      <c r="D23680" s="38" t="str">
        <f>IFERROR(__xludf.DUMMYFUNCTION("REGEXREPLACE(C23680,""-\d+(.*)|--\d+(.*)"","""")"),"CONTZ-LES-BAINS")</f>
        <v>CONTZ-LES-BAINS</v>
      </c>
      <c r="E23680" s="38" t="s">
        <v>303</v>
      </c>
      <c r="F23680" s="38" t="s">
        <v>195</v>
      </c>
      <c r="G23680" s="49" t="str">
        <f t="shared" si="1"/>
        <v>57480</v>
      </c>
      <c r="H23680" s="49">
        <f t="shared" si="2"/>
        <v>57152</v>
      </c>
    </row>
    <row r="23681">
      <c r="A23681" s="48" t="s">
        <v>4267</v>
      </c>
      <c r="B23681" s="38">
        <v>62790.0</v>
      </c>
      <c r="C23681" s="38" t="s">
        <v>24568</v>
      </c>
      <c r="D23681" s="38" t="str">
        <f>IFERROR(__xludf.DUMMYFUNCTION("REGEXREPLACE(C23681,""-\d+(.*)|--\d+(.*)"","""")"),"SENLIS")</f>
        <v>SENLIS</v>
      </c>
      <c r="E23681" s="38" t="s">
        <v>109</v>
      </c>
      <c r="F23681" s="38" t="s">
        <v>86</v>
      </c>
      <c r="G23681" s="49" t="str">
        <f t="shared" si="1"/>
        <v>62310</v>
      </c>
      <c r="H23681" s="49">
        <f t="shared" si="2"/>
        <v>62790</v>
      </c>
    </row>
    <row r="23682">
      <c r="A23682" s="48" t="s">
        <v>28220</v>
      </c>
      <c r="B23682" s="38">
        <v>27365.0</v>
      </c>
      <c r="C23682" s="38" t="s">
        <v>2385</v>
      </c>
      <c r="D23682" s="38" t="str">
        <f>IFERROR(__xludf.DUMMYFUNCTION("REGEXREPLACE(C23682,""-\d+(.*)|--\d+(.*)"","""")"),"LERY")</f>
        <v>LERY</v>
      </c>
      <c r="E23682" s="38" t="s">
        <v>241</v>
      </c>
      <c r="F23682" s="38" t="s">
        <v>134</v>
      </c>
      <c r="G23682" s="49" t="str">
        <f t="shared" si="1"/>
        <v>27690</v>
      </c>
      <c r="H23682" s="49">
        <f t="shared" si="2"/>
        <v>27365</v>
      </c>
    </row>
    <row r="23683">
      <c r="A23683" s="48" t="s">
        <v>198</v>
      </c>
      <c r="B23683" s="38">
        <v>65429.0</v>
      </c>
      <c r="C23683" s="38" t="s">
        <v>28221</v>
      </c>
      <c r="D23683" s="38" t="str">
        <f>IFERROR(__xludf.DUMMYFUNCTION("REGEXREPLACE(C23683,""-\d+(.*)|--\d+(.*)"","""")"),"SOMBRUN")</f>
        <v>SOMBRUN</v>
      </c>
      <c r="E23683" s="38" t="s">
        <v>200</v>
      </c>
      <c r="F23683" s="38" t="s">
        <v>94</v>
      </c>
      <c r="G23683" s="49" t="str">
        <f t="shared" si="1"/>
        <v>65700</v>
      </c>
      <c r="H23683" s="49">
        <f t="shared" si="2"/>
        <v>65429</v>
      </c>
    </row>
    <row r="23684">
      <c r="A23684" s="48" t="s">
        <v>1143</v>
      </c>
      <c r="B23684" s="38">
        <v>52230.0</v>
      </c>
      <c r="C23684" s="38" t="s">
        <v>28222</v>
      </c>
      <c r="D23684" s="38" t="str">
        <f>IFERROR(__xludf.DUMMYFUNCTION("REGEXREPLACE(C23684,""-\d+(.*)|--\d+(.*)"","""")"),"GUDMONT-VILLIERS")</f>
        <v>GUDMONT-VILLIERS</v>
      </c>
      <c r="E23684" s="38" t="s">
        <v>234</v>
      </c>
      <c r="F23684" s="38" t="s">
        <v>130</v>
      </c>
      <c r="G23684" s="49" t="str">
        <f t="shared" si="1"/>
        <v>52320</v>
      </c>
      <c r="H23684" s="49">
        <f t="shared" si="2"/>
        <v>52230</v>
      </c>
    </row>
    <row r="23685">
      <c r="A23685" s="48" t="s">
        <v>2631</v>
      </c>
      <c r="B23685" s="38">
        <v>64050.0</v>
      </c>
      <c r="C23685" s="38" t="s">
        <v>28223</v>
      </c>
      <c r="D23685" s="38" t="str">
        <f>IFERROR(__xludf.DUMMYFUNCTION("REGEXREPLACE(C23685,""-\d+(.*)|--\d+(.*)"","""")"),"ARRAST-LARREBIEU")</f>
        <v>ARRAST-LARREBIEU</v>
      </c>
      <c r="E23685" s="38" t="s">
        <v>268</v>
      </c>
      <c r="F23685" s="38" t="s">
        <v>252</v>
      </c>
      <c r="G23685" s="49" t="str">
        <f t="shared" si="1"/>
        <v>64130</v>
      </c>
      <c r="H23685" s="49">
        <f t="shared" si="2"/>
        <v>64050</v>
      </c>
    </row>
    <row r="23686">
      <c r="A23686" s="48" t="s">
        <v>10358</v>
      </c>
      <c r="B23686" s="38">
        <v>42045.0</v>
      </c>
      <c r="C23686" s="38" t="s">
        <v>28224</v>
      </c>
      <c r="D23686" s="38" t="str">
        <f>IFERROR(__xludf.DUMMYFUNCTION("REGEXREPLACE(C23686,""-\d+(.*)|--\d+(.*)"","""")"),"LA CHAMBONIE")</f>
        <v>LA CHAMBONIE</v>
      </c>
      <c r="E23686" s="38" t="s">
        <v>166</v>
      </c>
      <c r="F23686" s="38" t="s">
        <v>102</v>
      </c>
      <c r="G23686" s="49" t="str">
        <f t="shared" si="1"/>
        <v>42440</v>
      </c>
      <c r="H23686" s="49">
        <f t="shared" si="2"/>
        <v>42045</v>
      </c>
    </row>
    <row r="23687">
      <c r="A23687" s="48" t="s">
        <v>1864</v>
      </c>
      <c r="B23687" s="38">
        <v>70271.0</v>
      </c>
      <c r="C23687" s="38" t="s">
        <v>28225</v>
      </c>
      <c r="D23687" s="38" t="str">
        <f>IFERROR(__xludf.DUMMYFUNCTION("REGEXREPLACE(C23687,""-\d+(.*)|--\d+(.*)"","""")"),"GOUHENANS")</f>
        <v>GOUHENANS</v>
      </c>
      <c r="E23687" s="38" t="s">
        <v>956</v>
      </c>
      <c r="F23687" s="38" t="s">
        <v>214</v>
      </c>
      <c r="G23687" s="49" t="str">
        <f t="shared" si="1"/>
        <v>70110</v>
      </c>
      <c r="H23687" s="49">
        <f t="shared" si="2"/>
        <v>70271</v>
      </c>
    </row>
    <row r="23688">
      <c r="A23688" s="48" t="s">
        <v>380</v>
      </c>
      <c r="B23688" s="38">
        <v>80148.0</v>
      </c>
      <c r="C23688" s="38" t="s">
        <v>28226</v>
      </c>
      <c r="D23688" s="38" t="str">
        <f>IFERROR(__xludf.DUMMYFUNCTION("REGEXREPLACE(C23688,""-\d+(.*)|--\d+(.*)"","""")"),"BUIGNY-LES-GAMACHES")</f>
        <v>BUIGNY-LES-GAMACHES</v>
      </c>
      <c r="E23688" s="38" t="s">
        <v>224</v>
      </c>
      <c r="F23688" s="38" t="s">
        <v>113</v>
      </c>
      <c r="G23688" s="49" t="str">
        <f t="shared" si="1"/>
        <v>80220</v>
      </c>
      <c r="H23688" s="49">
        <f t="shared" si="2"/>
        <v>80148</v>
      </c>
    </row>
    <row r="23689">
      <c r="A23689" s="48" t="s">
        <v>12639</v>
      </c>
      <c r="B23689" s="38">
        <v>81197.0</v>
      </c>
      <c r="C23689" s="38" t="s">
        <v>13025</v>
      </c>
      <c r="D23689" s="38" t="str">
        <f>IFERROR(__xludf.DUMMYFUNCTION("REGEXREPLACE(C23689,""-\d+(.*)|--\d+(.*)"","""")"),"NOAILLES")</f>
        <v>NOAILLES</v>
      </c>
      <c r="E23689" s="38" t="s">
        <v>231</v>
      </c>
      <c r="F23689" s="38" t="s">
        <v>94</v>
      </c>
      <c r="G23689" s="49" t="str">
        <f t="shared" si="1"/>
        <v>81170</v>
      </c>
      <c r="H23689" s="49">
        <f t="shared" si="2"/>
        <v>81197</v>
      </c>
    </row>
    <row r="23690">
      <c r="A23690" s="48" t="s">
        <v>12200</v>
      </c>
      <c r="B23690" s="38">
        <v>74021.0</v>
      </c>
      <c r="C23690" s="38" t="s">
        <v>28227</v>
      </c>
      <c r="D23690" s="38" t="str">
        <f>IFERROR(__xludf.DUMMYFUNCTION("REGEXREPLACE(C23690,""-\d+(.*)|--\d+(.*)"","""")"),"ARTHAZ-PONT-NOTRE-DAME")</f>
        <v>ARTHAZ-PONT-NOTRE-DAME</v>
      </c>
      <c r="E23690" s="38" t="s">
        <v>319</v>
      </c>
      <c r="F23690" s="38" t="s">
        <v>102</v>
      </c>
      <c r="G23690" s="49" t="str">
        <f t="shared" si="1"/>
        <v>74380</v>
      </c>
      <c r="H23690" s="49">
        <f t="shared" si="2"/>
        <v>74021</v>
      </c>
    </row>
    <row r="23691">
      <c r="A23691" s="48" t="s">
        <v>1974</v>
      </c>
      <c r="B23691" s="38">
        <v>59110.0</v>
      </c>
      <c r="C23691" s="38" t="s">
        <v>28228</v>
      </c>
      <c r="D23691" s="38" t="str">
        <f>IFERROR(__xludf.DUMMYFUNCTION("REGEXREPLACE(C23691,""-\d+(.*)|--\d+(.*)"","""")"),"BROUCKERQUE")</f>
        <v>BROUCKERQUE</v>
      </c>
      <c r="E23691" s="38" t="s">
        <v>85</v>
      </c>
      <c r="F23691" s="38" t="s">
        <v>86</v>
      </c>
      <c r="G23691" s="49" t="str">
        <f t="shared" si="1"/>
        <v>59630</v>
      </c>
      <c r="H23691" s="49">
        <f t="shared" si="2"/>
        <v>59110</v>
      </c>
    </row>
    <row r="23692">
      <c r="A23692" s="48" t="s">
        <v>524</v>
      </c>
      <c r="B23692" s="38">
        <v>30340.0</v>
      </c>
      <c r="C23692" s="38" t="s">
        <v>28229</v>
      </c>
      <c r="D23692" s="38" t="str">
        <f>IFERROR(__xludf.DUMMYFUNCTION("REGEXREPLACE(C23692,""-\d+(.*)|--\d+(.*)"","""")"),"VALLIGUIERES")</f>
        <v>VALLIGUIERES</v>
      </c>
      <c r="E23692" s="38" t="s">
        <v>526</v>
      </c>
      <c r="F23692" s="38" t="s">
        <v>119</v>
      </c>
      <c r="G23692" s="49" t="str">
        <f t="shared" si="1"/>
        <v>30210</v>
      </c>
      <c r="H23692" s="49">
        <f t="shared" si="2"/>
        <v>30340</v>
      </c>
    </row>
    <row r="23693">
      <c r="A23693" s="48" t="s">
        <v>1270</v>
      </c>
      <c r="B23693" s="38">
        <v>57264.0</v>
      </c>
      <c r="C23693" s="38" t="s">
        <v>28230</v>
      </c>
      <c r="D23693" s="38" t="str">
        <f>IFERROR(__xludf.DUMMYFUNCTION("REGEXREPLACE(C23693,""-\d+(.*)|--\d+(.*)"","""")"),"GUEBENHOUSE")</f>
        <v>GUEBENHOUSE</v>
      </c>
      <c r="E23693" s="38" t="s">
        <v>303</v>
      </c>
      <c r="F23693" s="38" t="s">
        <v>195</v>
      </c>
      <c r="G23693" s="49" t="str">
        <f t="shared" si="1"/>
        <v>57510</v>
      </c>
      <c r="H23693" s="49">
        <f t="shared" si="2"/>
        <v>57264</v>
      </c>
    </row>
    <row r="23694">
      <c r="A23694" s="48" t="s">
        <v>3002</v>
      </c>
      <c r="B23694" s="38">
        <v>43029.0</v>
      </c>
      <c r="C23694" s="38" t="s">
        <v>28231</v>
      </c>
      <c r="D23694" s="38" t="str">
        <f>IFERROR(__xludf.DUMMYFUNCTION("REGEXREPLACE(C23694,""-\d+(.*)|--\d+(.*)"","""")"),"LA BESSEYRE-SAINT-MARY")</f>
        <v>LA BESSEYRE-SAINT-MARY</v>
      </c>
      <c r="E23694" s="38" t="s">
        <v>332</v>
      </c>
      <c r="F23694" s="38" t="s">
        <v>161</v>
      </c>
      <c r="G23694" s="49" t="str">
        <f t="shared" si="1"/>
        <v>43170</v>
      </c>
      <c r="H23694" s="49">
        <f t="shared" si="2"/>
        <v>43029</v>
      </c>
    </row>
    <row r="23695">
      <c r="A23695" s="48" t="s">
        <v>3458</v>
      </c>
      <c r="B23695" s="38">
        <v>52056.0</v>
      </c>
      <c r="C23695" s="38" t="s">
        <v>28232</v>
      </c>
      <c r="D23695" s="38" t="str">
        <f>IFERROR(__xludf.DUMMYFUNCTION("REGEXREPLACE(C23695,""-\d+(.*)|--\d+(.*)"","""")"),"BLESSONVILLE")</f>
        <v>BLESSONVILLE</v>
      </c>
      <c r="E23695" s="38" t="s">
        <v>234</v>
      </c>
      <c r="F23695" s="38" t="s">
        <v>130</v>
      </c>
      <c r="G23695" s="49" t="str">
        <f t="shared" si="1"/>
        <v>52120</v>
      </c>
      <c r="H23695" s="49">
        <f t="shared" si="2"/>
        <v>52056</v>
      </c>
    </row>
    <row r="23696">
      <c r="A23696" s="48" t="s">
        <v>2188</v>
      </c>
      <c r="B23696" s="38">
        <v>18001.0</v>
      </c>
      <c r="C23696" s="38" t="s">
        <v>18080</v>
      </c>
      <c r="D23696" s="38" t="str">
        <f>IFERROR(__xludf.DUMMYFUNCTION("REGEXREPLACE(C23696,""-\d+(.*)|--\d+(.*)"","""")"),"ACHERES")</f>
        <v>ACHERES</v>
      </c>
      <c r="E23696" s="38" t="s">
        <v>504</v>
      </c>
      <c r="F23696" s="38" t="s">
        <v>123</v>
      </c>
      <c r="G23696" s="49" t="str">
        <f t="shared" si="1"/>
        <v>18250</v>
      </c>
      <c r="H23696" s="49">
        <f t="shared" si="2"/>
        <v>18001</v>
      </c>
    </row>
    <row r="23697">
      <c r="A23697" s="48" t="s">
        <v>19898</v>
      </c>
      <c r="B23697" s="38">
        <v>69033.0</v>
      </c>
      <c r="C23697" s="38" t="s">
        <v>28233</v>
      </c>
      <c r="D23697" s="38" t="str">
        <f>IFERROR(__xludf.DUMMYFUNCTION("REGEXREPLACE(C23697,""-\d+(.*)|--\d+(.*)"","""")"),"CAILLOUX-SUR-FONTAINES")</f>
        <v>CAILLOUX-SUR-FONTAINES</v>
      </c>
      <c r="E23697" s="38" t="s">
        <v>350</v>
      </c>
      <c r="F23697" s="38" t="s">
        <v>102</v>
      </c>
      <c r="G23697" s="49" t="str">
        <f t="shared" si="1"/>
        <v>69270</v>
      </c>
      <c r="H23697" s="49">
        <f t="shared" si="2"/>
        <v>69033</v>
      </c>
    </row>
    <row r="23698">
      <c r="A23698" s="48" t="s">
        <v>3819</v>
      </c>
      <c r="B23698" s="38">
        <v>38195.0</v>
      </c>
      <c r="C23698" s="38" t="s">
        <v>28234</v>
      </c>
      <c r="D23698" s="38" t="str">
        <f>IFERROR(__xludf.DUMMYFUNCTION("REGEXREPLACE(C23698,""-\d+(.*)|--\d+(.*)"","""")"),"IZERON")</f>
        <v>IZERON</v>
      </c>
      <c r="E23698" s="38" t="s">
        <v>101</v>
      </c>
      <c r="F23698" s="38" t="s">
        <v>102</v>
      </c>
      <c r="G23698" s="49" t="str">
        <f t="shared" si="1"/>
        <v>38160</v>
      </c>
      <c r="H23698" s="49">
        <f t="shared" si="2"/>
        <v>38195</v>
      </c>
    </row>
    <row r="23699">
      <c r="A23699" s="48" t="s">
        <v>8199</v>
      </c>
      <c r="B23699" s="38">
        <v>63400.0</v>
      </c>
      <c r="C23699" s="38" t="s">
        <v>28235</v>
      </c>
      <c r="D23699" s="38" t="str">
        <f>IFERROR(__xludf.DUMMYFUNCTION("REGEXREPLACE(C23699,""-\d+(.*)|--\d+(.*)"","""")"),"SAINT-SYLVESTRE-PRAGOULIN")</f>
        <v>SAINT-SYLVESTRE-PRAGOULIN</v>
      </c>
      <c r="E23699" s="38" t="s">
        <v>353</v>
      </c>
      <c r="F23699" s="38" t="s">
        <v>161</v>
      </c>
      <c r="G23699" s="49" t="str">
        <f t="shared" si="1"/>
        <v>63310</v>
      </c>
      <c r="H23699" s="49">
        <f t="shared" si="2"/>
        <v>63400</v>
      </c>
    </row>
    <row r="23700">
      <c r="A23700" s="48" t="s">
        <v>9755</v>
      </c>
      <c r="B23700" s="38">
        <v>51137.0</v>
      </c>
      <c r="C23700" s="38" t="s">
        <v>28236</v>
      </c>
      <c r="D23700" s="38" t="str">
        <f>IFERROR(__xludf.DUMMYFUNCTION("REGEXREPLACE(C23700,""-\d+(.*)|--\d+(.*)"","""")"),"CHATILLON-SUR-MORIN")</f>
        <v>CHATILLON-SUR-MORIN</v>
      </c>
      <c r="E23700" s="38" t="s">
        <v>129</v>
      </c>
      <c r="F23700" s="38" t="s">
        <v>130</v>
      </c>
      <c r="G23700" s="49" t="str">
        <f t="shared" si="1"/>
        <v>51310</v>
      </c>
      <c r="H23700" s="49">
        <f t="shared" si="2"/>
        <v>51137</v>
      </c>
    </row>
    <row r="23701">
      <c r="A23701" s="48" t="s">
        <v>1135</v>
      </c>
      <c r="B23701" s="38">
        <v>79178.0</v>
      </c>
      <c r="C23701" s="38" t="s">
        <v>28237</v>
      </c>
      <c r="D23701" s="38" t="str">
        <f>IFERROR(__xludf.DUMMYFUNCTION("REGEXREPLACE(C23701,""-\d+(.*)|--\d+(.*)"","""")"),"MISSE")</f>
        <v>MISSE</v>
      </c>
      <c r="E23701" s="38" t="s">
        <v>337</v>
      </c>
      <c r="F23701" s="38" t="s">
        <v>338</v>
      </c>
      <c r="G23701" s="49" t="str">
        <f t="shared" si="1"/>
        <v>79100</v>
      </c>
      <c r="H23701" s="49">
        <f t="shared" si="2"/>
        <v>79178</v>
      </c>
    </row>
    <row r="23702">
      <c r="A23702" s="48" t="s">
        <v>28238</v>
      </c>
      <c r="B23702" s="38">
        <v>17207.0</v>
      </c>
      <c r="C23702" s="38" t="s">
        <v>28239</v>
      </c>
      <c r="D23702" s="38" t="str">
        <f>IFERROR(__xludf.DUMMYFUNCTION("REGEXREPLACE(C23702,""-\d+(.*)|--\d+(.*)"","""")"),"LOIX")</f>
        <v>LOIX</v>
      </c>
      <c r="E23702" s="38" t="s">
        <v>488</v>
      </c>
      <c r="F23702" s="38" t="s">
        <v>338</v>
      </c>
      <c r="G23702" s="49" t="str">
        <f t="shared" si="1"/>
        <v>17111</v>
      </c>
      <c r="H23702" s="49">
        <f t="shared" si="2"/>
        <v>17207</v>
      </c>
    </row>
    <row r="23703">
      <c r="A23703" s="48" t="s">
        <v>3532</v>
      </c>
      <c r="B23703" s="38">
        <v>2009.0</v>
      </c>
      <c r="C23703" s="38" t="s">
        <v>2709</v>
      </c>
      <c r="D23703" s="38" t="str">
        <f>IFERROR(__xludf.DUMMYFUNCTION("REGEXREPLACE(C23703,""-\d+(.*)|--\d+(.*)"","""")"),"ALAINCOURT")</f>
        <v>ALAINCOURT</v>
      </c>
      <c r="E23703" s="38" t="s">
        <v>191</v>
      </c>
      <c r="F23703" s="38" t="s">
        <v>113</v>
      </c>
      <c r="G23703" s="49" t="str">
        <f t="shared" si="1"/>
        <v>02240</v>
      </c>
      <c r="H23703" s="49" t="str">
        <f t="shared" si="2"/>
        <v>02009</v>
      </c>
    </row>
    <row r="23704">
      <c r="A23704" s="48" t="s">
        <v>18499</v>
      </c>
      <c r="B23704" s="38">
        <v>37019.0</v>
      </c>
      <c r="C23704" s="38" t="s">
        <v>28240</v>
      </c>
      <c r="D23704" s="38" t="str">
        <f>IFERROR(__xludf.DUMMYFUNCTION("REGEXREPLACE(C23704,""-\d+(.*)|--\d+(.*)"","""")"),"BARROU")</f>
        <v>BARROU</v>
      </c>
      <c r="E23704" s="38" t="s">
        <v>205</v>
      </c>
      <c r="F23704" s="38" t="s">
        <v>123</v>
      </c>
      <c r="G23704" s="49" t="str">
        <f t="shared" si="1"/>
        <v>37350</v>
      </c>
      <c r="H23704" s="49">
        <f t="shared" si="2"/>
        <v>37019</v>
      </c>
    </row>
    <row r="23705">
      <c r="A23705" s="48" t="s">
        <v>2368</v>
      </c>
      <c r="B23705" s="38">
        <v>65050.0</v>
      </c>
      <c r="C23705" s="38" t="s">
        <v>28241</v>
      </c>
      <c r="D23705" s="38" t="str">
        <f>IFERROR(__xludf.DUMMYFUNCTION("REGEXREPLACE(C23705,""-\d+(.*)|--\d+(.*)"","""")"),"AVAJAN")</f>
        <v>AVAJAN</v>
      </c>
      <c r="E23705" s="38" t="s">
        <v>200</v>
      </c>
      <c r="F23705" s="38" t="s">
        <v>94</v>
      </c>
      <c r="G23705" s="49" t="str">
        <f t="shared" si="1"/>
        <v>65240</v>
      </c>
      <c r="H23705" s="49">
        <f t="shared" si="2"/>
        <v>65050</v>
      </c>
    </row>
    <row r="23706">
      <c r="A23706" s="48" t="s">
        <v>639</v>
      </c>
      <c r="B23706" s="38">
        <v>16083.0</v>
      </c>
      <c r="C23706" s="38" t="s">
        <v>28242</v>
      </c>
      <c r="D23706" s="38" t="str">
        <f>IFERROR(__xludf.DUMMYFUNCTION("REGEXREPLACE(C23706,""-\d+(.*)|--\d+(.*)"","""")"),"CHARME")</f>
        <v>CHARME</v>
      </c>
      <c r="E23706" s="38" t="s">
        <v>429</v>
      </c>
      <c r="F23706" s="38" t="s">
        <v>338</v>
      </c>
      <c r="G23706" s="49" t="str">
        <f t="shared" si="1"/>
        <v>16140</v>
      </c>
      <c r="H23706" s="49">
        <f t="shared" si="2"/>
        <v>16083</v>
      </c>
    </row>
    <row r="23707">
      <c r="A23707" s="48" t="s">
        <v>9639</v>
      </c>
      <c r="B23707" s="38">
        <v>85008.0</v>
      </c>
      <c r="C23707" s="38" t="s">
        <v>8395</v>
      </c>
      <c r="D23707" s="38" t="str">
        <f>IFERROR(__xludf.DUMMYFUNCTION("REGEXREPLACE(C23707,""-\d+(.*)|--\d+(.*)"","""")"),"AUBIGNY")</f>
        <v>AUBIGNY</v>
      </c>
      <c r="E23707" s="38" t="s">
        <v>179</v>
      </c>
      <c r="F23707" s="38" t="s">
        <v>180</v>
      </c>
      <c r="G23707" s="49" t="str">
        <f t="shared" si="1"/>
        <v>85430</v>
      </c>
      <c r="H23707" s="49">
        <f t="shared" si="2"/>
        <v>85008</v>
      </c>
    </row>
    <row r="23708">
      <c r="A23708" s="48" t="s">
        <v>4517</v>
      </c>
      <c r="B23708" s="38">
        <v>58094.0</v>
      </c>
      <c r="C23708" s="38" t="s">
        <v>28243</v>
      </c>
      <c r="D23708" s="38" t="str">
        <f>IFERROR(__xludf.DUMMYFUNCTION("REGEXREPLACE(C23708,""-\d+(.*)|--\d+(.*)"","""")"),"DAMPIERRE-SOUS-BOUHY")</f>
        <v>DAMPIERRE-SOUS-BOUHY</v>
      </c>
      <c r="E23708" s="38" t="s">
        <v>219</v>
      </c>
      <c r="F23708" s="38" t="s">
        <v>106</v>
      </c>
      <c r="G23708" s="49" t="str">
        <f t="shared" si="1"/>
        <v>58310</v>
      </c>
      <c r="H23708" s="49">
        <f t="shared" si="2"/>
        <v>58094</v>
      </c>
    </row>
    <row r="23709">
      <c r="A23709" s="48" t="s">
        <v>938</v>
      </c>
      <c r="B23709" s="38">
        <v>9123.0</v>
      </c>
      <c r="C23709" s="38" t="s">
        <v>28244</v>
      </c>
      <c r="D23709" s="38" t="str">
        <f>IFERROR(__xludf.DUMMYFUNCTION("REGEXREPLACE(C23709,""-\d+(.*)|--\d+(.*)"","""")"),"FORNEX")</f>
        <v>FORNEX</v>
      </c>
      <c r="E23709" s="38" t="s">
        <v>238</v>
      </c>
      <c r="F23709" s="38" t="s">
        <v>94</v>
      </c>
      <c r="G23709" s="49" t="str">
        <f t="shared" si="1"/>
        <v>09350</v>
      </c>
      <c r="H23709" s="49" t="str">
        <f t="shared" si="2"/>
        <v>09123</v>
      </c>
    </row>
    <row r="23710">
      <c r="A23710" s="48" t="s">
        <v>1108</v>
      </c>
      <c r="B23710" s="38">
        <v>27617.0</v>
      </c>
      <c r="C23710" s="38" t="s">
        <v>28245</v>
      </c>
      <c r="D23710" s="38" t="str">
        <f>IFERROR(__xludf.DUMMYFUNCTION("REGEXREPLACE(C23710,""-\d+(.*)|--\d+(.*)"","""")"),"SAUSSAY-LA-CAMPAGNE")</f>
        <v>SAUSSAY-LA-CAMPAGNE</v>
      </c>
      <c r="E23710" s="38" t="s">
        <v>241</v>
      </c>
      <c r="F23710" s="38" t="s">
        <v>134</v>
      </c>
      <c r="G23710" s="49" t="str">
        <f t="shared" si="1"/>
        <v>27150</v>
      </c>
      <c r="H23710" s="49">
        <f t="shared" si="2"/>
        <v>27617</v>
      </c>
    </row>
    <row r="23711">
      <c r="A23711" s="48" t="s">
        <v>5195</v>
      </c>
      <c r="B23711" s="38">
        <v>47305.0</v>
      </c>
      <c r="C23711" s="38" t="s">
        <v>28246</v>
      </c>
      <c r="D23711" s="38" t="str">
        <f>IFERROR(__xludf.DUMMYFUNCTION("REGEXREPLACE(C23711,""-\d+(.*)|--\d+(.*)"","""")"),"TAYRAC")</f>
        <v>TAYRAC</v>
      </c>
      <c r="E23711" s="38" t="s">
        <v>251</v>
      </c>
      <c r="F23711" s="38" t="s">
        <v>252</v>
      </c>
      <c r="G23711" s="49" t="str">
        <f t="shared" si="1"/>
        <v>47270</v>
      </c>
      <c r="H23711" s="49">
        <f t="shared" si="2"/>
        <v>47305</v>
      </c>
    </row>
    <row r="23712">
      <c r="A23712" s="48" t="s">
        <v>7080</v>
      </c>
      <c r="B23712" s="38">
        <v>86080.0</v>
      </c>
      <c r="C23712" s="38" t="s">
        <v>28247</v>
      </c>
      <c r="D23712" s="38" t="str">
        <f>IFERROR(__xludf.DUMMYFUNCTION("REGEXREPLACE(C23712,""-\d+(.*)|--\d+(.*)"","""")"),"CLOUE")</f>
        <v>CLOUE</v>
      </c>
      <c r="E23712" s="38" t="s">
        <v>529</v>
      </c>
      <c r="F23712" s="38" t="s">
        <v>338</v>
      </c>
      <c r="G23712" s="49" t="str">
        <f t="shared" si="1"/>
        <v>86600</v>
      </c>
      <c r="H23712" s="49">
        <f t="shared" si="2"/>
        <v>86080</v>
      </c>
    </row>
    <row r="23713">
      <c r="A23713" s="48" t="s">
        <v>1042</v>
      </c>
      <c r="B23713" s="38">
        <v>60562.0</v>
      </c>
      <c r="C23713" s="38" t="s">
        <v>28248</v>
      </c>
      <c r="D23713" s="38" t="str">
        <f>IFERROR(__xludf.DUMMYFUNCTION("REGEXREPLACE(C23713,""-\d+(.*)|--\d+(.*)"","""")"),"SACY-LE-GRAND")</f>
        <v>SACY-LE-GRAND</v>
      </c>
      <c r="E23713" s="38" t="s">
        <v>112</v>
      </c>
      <c r="F23713" s="38" t="s">
        <v>113</v>
      </c>
      <c r="G23713" s="49" t="str">
        <f t="shared" si="1"/>
        <v>60700</v>
      </c>
      <c r="H23713" s="49">
        <f t="shared" si="2"/>
        <v>60562</v>
      </c>
    </row>
    <row r="23714">
      <c r="A23714" s="48" t="s">
        <v>28249</v>
      </c>
      <c r="B23714" s="38">
        <v>78502.0</v>
      </c>
      <c r="C23714" s="38" t="s">
        <v>28250</v>
      </c>
      <c r="D23714" s="38" t="str">
        <f>IFERROR(__xludf.DUMMYFUNCTION("REGEXREPLACE(C23714,""-\d+(.*)|--\d+(.*)"","""")"),"LE PORT-MARLY")</f>
        <v>LE PORT-MARLY</v>
      </c>
      <c r="E23714" s="38" t="s">
        <v>362</v>
      </c>
      <c r="F23714" s="38" t="s">
        <v>245</v>
      </c>
      <c r="G23714" s="49" t="str">
        <f t="shared" si="1"/>
        <v>78560</v>
      </c>
      <c r="H23714" s="49">
        <f t="shared" si="2"/>
        <v>78502</v>
      </c>
    </row>
    <row r="23715">
      <c r="A23715" s="48" t="s">
        <v>5687</v>
      </c>
      <c r="B23715" s="38">
        <v>3059.0</v>
      </c>
      <c r="C23715" s="38" t="s">
        <v>28251</v>
      </c>
      <c r="D23715" s="38" t="str">
        <f>IFERROR(__xludf.DUMMYFUNCTION("REGEXREPLACE(C23715,""-\d+(.*)|--\d+(.*)"","""")"),"CHAREIL-CINTRAT")</f>
        <v>CHAREIL-CINTRAT</v>
      </c>
      <c r="E23715" s="38" t="s">
        <v>160</v>
      </c>
      <c r="F23715" s="38" t="s">
        <v>161</v>
      </c>
      <c r="G23715" s="49" t="str">
        <f t="shared" si="1"/>
        <v>03140</v>
      </c>
      <c r="H23715" s="49" t="str">
        <f t="shared" si="2"/>
        <v>03059</v>
      </c>
    </row>
    <row r="23716">
      <c r="A23716" s="48" t="s">
        <v>28252</v>
      </c>
      <c r="B23716" s="38">
        <v>30179.0</v>
      </c>
      <c r="C23716" s="38" t="s">
        <v>28253</v>
      </c>
      <c r="D23716" s="38" t="str">
        <f>IFERROR(__xludf.DUMMYFUNCTION("REGEXREPLACE(C23716,""-\d+(.*)|--\d+(.*)"","""")"),"MONTFRIN")</f>
        <v>MONTFRIN</v>
      </c>
      <c r="E23716" s="38" t="s">
        <v>526</v>
      </c>
      <c r="F23716" s="38" t="s">
        <v>119</v>
      </c>
      <c r="G23716" s="49" t="str">
        <f t="shared" si="1"/>
        <v>30490</v>
      </c>
      <c r="H23716" s="49">
        <f t="shared" si="2"/>
        <v>30179</v>
      </c>
    </row>
    <row r="23717">
      <c r="A23717" s="48" t="s">
        <v>3120</v>
      </c>
      <c r="B23717" s="38">
        <v>10392.0</v>
      </c>
      <c r="C23717" s="38" t="s">
        <v>28254</v>
      </c>
      <c r="D23717" s="38" t="str">
        <f>IFERROR(__xludf.DUMMYFUNCTION("REGEXREPLACE(C23717,""-\d+(.*)|--\d+(.*)"","""")"),"VALLANT-SAINT-GEORGES")</f>
        <v>VALLANT-SAINT-GEORGES</v>
      </c>
      <c r="E23717" s="38" t="s">
        <v>147</v>
      </c>
      <c r="F23717" s="38" t="s">
        <v>130</v>
      </c>
      <c r="G23717" s="49" t="str">
        <f t="shared" si="1"/>
        <v>10170</v>
      </c>
      <c r="H23717" s="49">
        <f t="shared" si="2"/>
        <v>10392</v>
      </c>
    </row>
    <row r="23718">
      <c r="A23718" s="48" t="s">
        <v>9221</v>
      </c>
      <c r="B23718" s="38">
        <v>34202.0</v>
      </c>
      <c r="C23718" s="38" t="s">
        <v>28255</v>
      </c>
      <c r="D23718" s="38" t="str">
        <f>IFERROR(__xludf.DUMMYFUNCTION("REGEXREPLACE(C23718,""-\d+(.*)|--\d+(.*)"","""")"),"PIGNAN")</f>
        <v>PIGNAN</v>
      </c>
      <c r="E23718" s="38" t="s">
        <v>118</v>
      </c>
      <c r="F23718" s="38" t="s">
        <v>119</v>
      </c>
      <c r="G23718" s="49" t="str">
        <f t="shared" si="1"/>
        <v>34570</v>
      </c>
      <c r="H23718" s="49">
        <f t="shared" si="2"/>
        <v>34202</v>
      </c>
    </row>
    <row r="23719">
      <c r="A23719" s="48" t="s">
        <v>2328</v>
      </c>
      <c r="B23719" s="38">
        <v>57177.0</v>
      </c>
      <c r="C23719" s="38" t="s">
        <v>28256</v>
      </c>
      <c r="D23719" s="38" t="str">
        <f>IFERROR(__xludf.DUMMYFUNCTION("REGEXREPLACE(C23719,""-\d+(.*)|--\d+(.*)"","""")"),"DIEUZE")</f>
        <v>DIEUZE</v>
      </c>
      <c r="E23719" s="38" t="s">
        <v>303</v>
      </c>
      <c r="F23719" s="38" t="s">
        <v>195</v>
      </c>
      <c r="G23719" s="49" t="str">
        <f t="shared" si="1"/>
        <v>57260</v>
      </c>
      <c r="H23719" s="49">
        <f t="shared" si="2"/>
        <v>57177</v>
      </c>
    </row>
    <row r="23720">
      <c r="A23720" s="48" t="s">
        <v>2290</v>
      </c>
      <c r="B23720" s="38">
        <v>38536.0</v>
      </c>
      <c r="C23720" s="38" t="s">
        <v>28257</v>
      </c>
      <c r="D23720" s="38" t="str">
        <f>IFERROR(__xludf.DUMMYFUNCTION("REGEXREPLACE(C23720,""-\d+(.*)|--\d+(.*)"","""")"),"VERNIOZ")</f>
        <v>VERNIOZ</v>
      </c>
      <c r="E23720" s="38" t="s">
        <v>101</v>
      </c>
      <c r="F23720" s="38" t="s">
        <v>102</v>
      </c>
      <c r="G23720" s="49" t="str">
        <f t="shared" si="1"/>
        <v>38150</v>
      </c>
      <c r="H23720" s="49">
        <f t="shared" si="2"/>
        <v>38536</v>
      </c>
    </row>
    <row r="23721">
      <c r="A23721" s="48" t="s">
        <v>2408</v>
      </c>
      <c r="B23721" s="38">
        <v>30148.0</v>
      </c>
      <c r="C23721" s="38" t="s">
        <v>28258</v>
      </c>
      <c r="D23721" s="38" t="str">
        <f>IFERROR(__xludf.DUMMYFUNCTION("REGEXREPLACE(C23721,""-\d+(.*)|--\d+(.*)"","""")"),"LIOUC")</f>
        <v>LIOUC</v>
      </c>
      <c r="E23721" s="38" t="s">
        <v>526</v>
      </c>
      <c r="F23721" s="38" t="s">
        <v>119</v>
      </c>
      <c r="G23721" s="49" t="str">
        <f t="shared" si="1"/>
        <v>30260</v>
      </c>
      <c r="H23721" s="49">
        <f t="shared" si="2"/>
        <v>30148</v>
      </c>
    </row>
    <row r="23722">
      <c r="A23722" s="48" t="s">
        <v>3920</v>
      </c>
      <c r="B23722" s="38">
        <v>50445.0</v>
      </c>
      <c r="C23722" s="38" t="s">
        <v>28259</v>
      </c>
      <c r="D23722" s="38" t="str">
        <f>IFERROR(__xludf.DUMMYFUNCTION("REGEXREPLACE(C23722,""-\d+(.*)|--\d+(.*)"","""")"),"SAINT-ANDRE-DE-BOHON")</f>
        <v>SAINT-ANDRE-DE-BOHON</v>
      </c>
      <c r="E23722" s="38" t="s">
        <v>157</v>
      </c>
      <c r="F23722" s="38" t="s">
        <v>138</v>
      </c>
      <c r="G23722" s="49" t="str">
        <f t="shared" si="1"/>
        <v>50500</v>
      </c>
      <c r="H23722" s="49">
        <f t="shared" si="2"/>
        <v>50445</v>
      </c>
    </row>
    <row r="23723">
      <c r="A23723" s="48" t="s">
        <v>834</v>
      </c>
      <c r="B23723" s="38">
        <v>25195.0</v>
      </c>
      <c r="C23723" s="38" t="s">
        <v>28260</v>
      </c>
      <c r="D23723" s="38" t="str">
        <f>IFERROR(__xludf.DUMMYFUNCTION("REGEXREPLACE(C23723,""-\d+(.*)|--\d+(.*)"","""")"),"DANNEMARIE-SUR-CRETE")</f>
        <v>DANNEMARIE-SUR-CRETE</v>
      </c>
      <c r="E23723" s="38" t="s">
        <v>213</v>
      </c>
      <c r="F23723" s="38" t="s">
        <v>214</v>
      </c>
      <c r="G23723" s="49" t="str">
        <f t="shared" si="1"/>
        <v>25410</v>
      </c>
      <c r="H23723" s="49">
        <f t="shared" si="2"/>
        <v>25195</v>
      </c>
    </row>
    <row r="23724">
      <c r="A23724" s="48" t="s">
        <v>5589</v>
      </c>
      <c r="B23724" s="38">
        <v>29139.0</v>
      </c>
      <c r="C23724" s="38" t="s">
        <v>28261</v>
      </c>
      <c r="D23724" s="38" t="str">
        <f>IFERROR(__xludf.DUMMYFUNCTION("REGEXREPLACE(C23724,""-\d+(.*)|--\d+(.*)"","""")"),"LOPEREC")</f>
        <v>LOPEREC</v>
      </c>
      <c r="E23724" s="38" t="s">
        <v>176</v>
      </c>
      <c r="F23724" s="38" t="s">
        <v>90</v>
      </c>
      <c r="G23724" s="49" t="str">
        <f t="shared" si="1"/>
        <v>29590</v>
      </c>
      <c r="H23724" s="49">
        <f t="shared" si="2"/>
        <v>29139</v>
      </c>
    </row>
    <row r="23725">
      <c r="A23725" s="48" t="s">
        <v>8892</v>
      </c>
      <c r="B23725" s="38">
        <v>60628.0</v>
      </c>
      <c r="C23725" s="38" t="s">
        <v>28262</v>
      </c>
      <c r="D23725" s="38" t="str">
        <f>IFERROR(__xludf.DUMMYFUNCTION("REGEXREPLACE(C23725,""-\d+(.*)|--\d+(.*)"","""")"),"THERDONNE")</f>
        <v>THERDONNE</v>
      </c>
      <c r="E23725" s="38" t="s">
        <v>112</v>
      </c>
      <c r="F23725" s="38" t="s">
        <v>113</v>
      </c>
      <c r="G23725" s="49" t="str">
        <f t="shared" si="1"/>
        <v>60510</v>
      </c>
      <c r="H23725" s="49">
        <f t="shared" si="2"/>
        <v>60628</v>
      </c>
    </row>
    <row r="23726">
      <c r="A23726" s="48" t="s">
        <v>1812</v>
      </c>
      <c r="B23726" s="38">
        <v>51663.0</v>
      </c>
      <c r="C23726" s="38" t="s">
        <v>28263</v>
      </c>
      <c r="D23726" s="38" t="str">
        <f>IFERROR(__xludf.DUMMYFUNCTION("REGEXREPLACE(C23726,""-\d+(.*)|--\d+(.*)"","""")"),"MAGENTA")</f>
        <v>MAGENTA</v>
      </c>
      <c r="E23726" s="38" t="s">
        <v>129</v>
      </c>
      <c r="F23726" s="38" t="s">
        <v>130</v>
      </c>
      <c r="G23726" s="49" t="str">
        <f t="shared" si="1"/>
        <v>51530</v>
      </c>
      <c r="H23726" s="49">
        <f t="shared" si="2"/>
        <v>51663</v>
      </c>
    </row>
    <row r="23727">
      <c r="A23727" s="48" t="s">
        <v>16561</v>
      </c>
      <c r="B23727" s="38">
        <v>27356.0</v>
      </c>
      <c r="C23727" s="38" t="s">
        <v>28264</v>
      </c>
      <c r="D23727" s="38" t="str">
        <f>IFERROR(__xludf.DUMMYFUNCTION("REGEXREPLACE(C23727,""-\d+(.*)|--\d+(.*)"","""")"),"JONQUERETS-DE-LIVET")</f>
        <v>JONQUERETS-DE-LIVET</v>
      </c>
      <c r="E23727" s="38" t="s">
        <v>241</v>
      </c>
      <c r="F23727" s="38" t="s">
        <v>134</v>
      </c>
      <c r="G23727" s="49" t="str">
        <f t="shared" si="1"/>
        <v>27410</v>
      </c>
      <c r="H23727" s="49">
        <f t="shared" si="2"/>
        <v>27356</v>
      </c>
    </row>
    <row r="23728">
      <c r="A23728" s="48" t="s">
        <v>2438</v>
      </c>
      <c r="B23728" s="38">
        <v>64533.0</v>
      </c>
      <c r="C23728" s="38" t="s">
        <v>28265</v>
      </c>
      <c r="D23728" s="38" t="str">
        <f>IFERROR(__xludf.DUMMYFUNCTION("REGEXREPLACE(C23728,""-\d+(.*)|--\d+(.*)"","""")"),"TARDETS-SORHOLUS")</f>
        <v>TARDETS-SORHOLUS</v>
      </c>
      <c r="E23728" s="38" t="s">
        <v>268</v>
      </c>
      <c r="F23728" s="38" t="s">
        <v>252</v>
      </c>
      <c r="G23728" s="49" t="str">
        <f t="shared" si="1"/>
        <v>64470</v>
      </c>
      <c r="H23728" s="49">
        <f t="shared" si="2"/>
        <v>64533</v>
      </c>
    </row>
    <row r="23729">
      <c r="A23729" s="48" t="s">
        <v>2332</v>
      </c>
      <c r="B23729" s="38">
        <v>81310.0</v>
      </c>
      <c r="C23729" s="38" t="s">
        <v>28266</v>
      </c>
      <c r="D23729" s="38" t="str">
        <f>IFERROR(__xludf.DUMMYFUNCTION("REGEXREPLACE(C23729,""-\d+(.*)|--\d+(.*)"","""")"),"VEILHES")</f>
        <v>VEILHES</v>
      </c>
      <c r="E23729" s="38" t="s">
        <v>231</v>
      </c>
      <c r="F23729" s="38" t="s">
        <v>94</v>
      </c>
      <c r="G23729" s="49" t="str">
        <f t="shared" si="1"/>
        <v>81500</v>
      </c>
      <c r="H23729" s="49">
        <f t="shared" si="2"/>
        <v>81310</v>
      </c>
    </row>
    <row r="23730">
      <c r="A23730" s="48" t="s">
        <v>5451</v>
      </c>
      <c r="B23730" s="38">
        <v>19159.0</v>
      </c>
      <c r="C23730" s="38" t="s">
        <v>28267</v>
      </c>
      <c r="D23730" s="38" t="str">
        <f>IFERROR(__xludf.DUMMYFUNCTION("REGEXREPLACE(C23730,""-\d+(.*)|--\d+(.*)"","""")"),"PERET-BEL-AIR")</f>
        <v>PERET-BEL-AIR</v>
      </c>
      <c r="E23730" s="38" t="s">
        <v>271</v>
      </c>
      <c r="F23730" s="38" t="s">
        <v>98</v>
      </c>
      <c r="G23730" s="49" t="str">
        <f t="shared" si="1"/>
        <v>19300</v>
      </c>
      <c r="H23730" s="49">
        <f t="shared" si="2"/>
        <v>19159</v>
      </c>
    </row>
    <row r="23731">
      <c r="A23731" s="48" t="s">
        <v>4766</v>
      </c>
      <c r="B23731" s="38">
        <v>64080.0</v>
      </c>
      <c r="C23731" s="38" t="s">
        <v>28268</v>
      </c>
      <c r="D23731" s="38" t="str">
        <f>IFERROR(__xludf.DUMMYFUNCTION("REGEXREPLACE(C23731,""-\d+(.*)|--\d+(.*)"","""")"),"AUSSEVIELLE")</f>
        <v>AUSSEVIELLE</v>
      </c>
      <c r="E23731" s="38" t="s">
        <v>268</v>
      </c>
      <c r="F23731" s="38" t="s">
        <v>252</v>
      </c>
      <c r="G23731" s="49" t="str">
        <f t="shared" si="1"/>
        <v>64230</v>
      </c>
      <c r="H23731" s="49">
        <f t="shared" si="2"/>
        <v>64080</v>
      </c>
    </row>
    <row r="23732">
      <c r="A23732" s="48" t="s">
        <v>5038</v>
      </c>
      <c r="B23732" s="38">
        <v>17482.0</v>
      </c>
      <c r="C23732" s="38" t="s">
        <v>26819</v>
      </c>
      <c r="D23732" s="38" t="str">
        <f>IFERROR(__xludf.DUMMYFUNCTION("REGEXREPLACE(C23732,""-\d+(.*)|--\d+(.*)"","""")"),"VOUHE")</f>
        <v>VOUHE</v>
      </c>
      <c r="E23732" s="38" t="s">
        <v>488</v>
      </c>
      <c r="F23732" s="38" t="s">
        <v>338</v>
      </c>
      <c r="G23732" s="49" t="str">
        <f t="shared" si="1"/>
        <v>17700</v>
      </c>
      <c r="H23732" s="49">
        <f t="shared" si="2"/>
        <v>17482</v>
      </c>
    </row>
    <row r="23733">
      <c r="A23733" s="48" t="s">
        <v>11688</v>
      </c>
      <c r="B23733" s="38">
        <v>95151.0</v>
      </c>
      <c r="C23733" s="38" t="s">
        <v>28269</v>
      </c>
      <c r="D23733" s="38" t="str">
        <f>IFERROR(__xludf.DUMMYFUNCTION("REGEXREPLACE(C23733,""-\d+(.*)|--\d+(.*)"","""")"),"CHAUVRY")</f>
        <v>CHAUVRY</v>
      </c>
      <c r="E23733" s="38" t="s">
        <v>541</v>
      </c>
      <c r="F23733" s="38" t="s">
        <v>245</v>
      </c>
      <c r="G23733" s="49" t="str">
        <f t="shared" si="1"/>
        <v>95560</v>
      </c>
      <c r="H23733" s="49">
        <f t="shared" si="2"/>
        <v>95151</v>
      </c>
    </row>
    <row r="23734">
      <c r="A23734" s="48" t="s">
        <v>1848</v>
      </c>
      <c r="B23734" s="38">
        <v>15093.0</v>
      </c>
      <c r="C23734" s="38" t="s">
        <v>28270</v>
      </c>
      <c r="D23734" s="38" t="str">
        <f>IFERROR(__xludf.DUMMYFUNCTION("REGEXREPLACE(C23734,""-\d+(.*)|--\d+(.*)"","""")"),"LAPEYRUGUE")</f>
        <v>LAPEYRUGUE</v>
      </c>
      <c r="E23734" s="38" t="s">
        <v>632</v>
      </c>
      <c r="F23734" s="38" t="s">
        <v>161</v>
      </c>
      <c r="G23734" s="49" t="str">
        <f t="shared" si="1"/>
        <v>15120</v>
      </c>
      <c r="H23734" s="49">
        <f t="shared" si="2"/>
        <v>15093</v>
      </c>
    </row>
    <row r="23735">
      <c r="A23735" s="48" t="s">
        <v>28271</v>
      </c>
      <c r="B23735" s="38">
        <v>13076.0</v>
      </c>
      <c r="C23735" s="38" t="s">
        <v>28272</v>
      </c>
      <c r="D23735" s="38" t="str">
        <f>IFERROR(__xludf.DUMMYFUNCTION("REGEXREPLACE(C23735,""-\d+(.*)|--\d+(.*)"","""")"),"PLAN-D'ORGON")</f>
        <v>PLAN-D'ORGON</v>
      </c>
      <c r="E23735" s="38" t="s">
        <v>980</v>
      </c>
      <c r="F23735" s="38" t="s">
        <v>228</v>
      </c>
      <c r="G23735" s="49" t="str">
        <f t="shared" si="1"/>
        <v>13750</v>
      </c>
      <c r="H23735" s="49">
        <f t="shared" si="2"/>
        <v>13076</v>
      </c>
    </row>
    <row r="23736">
      <c r="A23736" s="48" t="s">
        <v>183</v>
      </c>
      <c r="B23736" s="38">
        <v>46241.0</v>
      </c>
      <c r="C23736" s="38" t="s">
        <v>28273</v>
      </c>
      <c r="D23736" s="38" t="str">
        <f>IFERROR(__xludf.DUMMYFUNCTION("REGEXREPLACE(C23736,""-\d+(.*)|--\d+(.*)"","""")"),"ROUFFILHAC")</f>
        <v>ROUFFILHAC</v>
      </c>
      <c r="E23736" s="38" t="s">
        <v>185</v>
      </c>
      <c r="F23736" s="38" t="s">
        <v>94</v>
      </c>
      <c r="G23736" s="49" t="str">
        <f t="shared" si="1"/>
        <v>46300</v>
      </c>
      <c r="H23736" s="49">
        <f t="shared" si="2"/>
        <v>46241</v>
      </c>
    </row>
    <row r="23737">
      <c r="A23737" s="48" t="s">
        <v>6615</v>
      </c>
      <c r="B23737" s="38">
        <v>65318.0</v>
      </c>
      <c r="C23737" s="38" t="s">
        <v>22763</v>
      </c>
      <c r="D23737" s="38" t="str">
        <f>IFERROR(__xludf.DUMMYFUNCTION("REGEXREPLACE(C23737,""-\d+(.*)|--\d+(.*)"","""")"),"MONTASTRUC")</f>
        <v>MONTASTRUC</v>
      </c>
      <c r="E23737" s="38" t="s">
        <v>200</v>
      </c>
      <c r="F23737" s="38" t="s">
        <v>94</v>
      </c>
      <c r="G23737" s="49" t="str">
        <f t="shared" si="1"/>
        <v>65330</v>
      </c>
      <c r="H23737" s="49">
        <f t="shared" si="2"/>
        <v>65318</v>
      </c>
    </row>
    <row r="23738">
      <c r="A23738" s="48" t="s">
        <v>2019</v>
      </c>
      <c r="B23738" s="38">
        <v>90090.0</v>
      </c>
      <c r="C23738" s="38" t="s">
        <v>28274</v>
      </c>
      <c r="D23738" s="38" t="str">
        <f>IFERROR(__xludf.DUMMYFUNCTION("REGEXREPLACE(C23738,""-\d+(.*)|--\d+(.*)"","""")"),"SAINT-DIZIER-L'EVEQUE")</f>
        <v>SAINT-DIZIER-L'EVEQUE</v>
      </c>
      <c r="E23738" s="38" t="s">
        <v>1283</v>
      </c>
      <c r="F23738" s="38" t="s">
        <v>214</v>
      </c>
      <c r="G23738" s="49" t="str">
        <f t="shared" si="1"/>
        <v>90100</v>
      </c>
      <c r="H23738" s="49">
        <f t="shared" si="2"/>
        <v>90090</v>
      </c>
    </row>
    <row r="23739">
      <c r="A23739" s="48" t="s">
        <v>28275</v>
      </c>
      <c r="B23739" s="38">
        <v>95585.0</v>
      </c>
      <c r="C23739" s="38" t="s">
        <v>28276</v>
      </c>
      <c r="D23739" s="38" t="str">
        <f>IFERROR(__xludf.DUMMYFUNCTION("REGEXREPLACE(C23739,""-\d+(.*)|--\d+(.*)"","""")"),"SARCELLES")</f>
        <v>SARCELLES</v>
      </c>
      <c r="E23739" s="38" t="s">
        <v>541</v>
      </c>
      <c r="F23739" s="38" t="s">
        <v>245</v>
      </c>
      <c r="G23739" s="49" t="str">
        <f t="shared" si="1"/>
        <v>95200</v>
      </c>
      <c r="H23739" s="49">
        <f t="shared" si="2"/>
        <v>95585</v>
      </c>
    </row>
    <row r="23740">
      <c r="A23740" s="48" t="s">
        <v>1422</v>
      </c>
      <c r="B23740" s="38">
        <v>14473.0</v>
      </c>
      <c r="C23740" s="38" t="s">
        <v>28277</v>
      </c>
      <c r="D23740" s="38" t="str">
        <f>IFERROR(__xludf.DUMMYFUNCTION("REGEXREPLACE(C23740,""-\d+(.*)|--\d+(.*)"","""")"),"NOTRE-DAME-DE-LIVAYE")</f>
        <v>NOTRE-DAME-DE-LIVAYE</v>
      </c>
      <c r="E23740" s="38" t="s">
        <v>137</v>
      </c>
      <c r="F23740" s="38" t="s">
        <v>138</v>
      </c>
      <c r="G23740" s="49" t="str">
        <f t="shared" si="1"/>
        <v>14340</v>
      </c>
      <c r="H23740" s="49">
        <f t="shared" si="2"/>
        <v>14473</v>
      </c>
    </row>
    <row r="23741">
      <c r="A23741" s="48" t="s">
        <v>1031</v>
      </c>
      <c r="B23741" s="38">
        <v>2180.0</v>
      </c>
      <c r="C23741" s="38" t="s">
        <v>28278</v>
      </c>
      <c r="D23741" s="38" t="str">
        <f>IFERROR(__xludf.DUMMYFUNCTION("REGEXREPLACE(C23741,""-\d+(.*)|--\d+(.*)"","""")"),"CHERY-LES-POUILLY")</f>
        <v>CHERY-LES-POUILLY</v>
      </c>
      <c r="E23741" s="38" t="s">
        <v>191</v>
      </c>
      <c r="F23741" s="38" t="s">
        <v>113</v>
      </c>
      <c r="G23741" s="49" t="str">
        <f t="shared" si="1"/>
        <v>02000</v>
      </c>
      <c r="H23741" s="49" t="str">
        <f t="shared" si="2"/>
        <v>02180</v>
      </c>
    </row>
    <row r="23742">
      <c r="A23742" s="48" t="s">
        <v>6256</v>
      </c>
      <c r="B23742" s="38">
        <v>55183.0</v>
      </c>
      <c r="C23742" s="38" t="s">
        <v>28279</v>
      </c>
      <c r="D23742" s="38" t="str">
        <f>IFERROR(__xludf.DUMMYFUNCTION("REGEXREPLACE(C23742,""-\d+(.*)|--\d+(.*)"","""")"),"ETRAYE")</f>
        <v>ETRAYE</v>
      </c>
      <c r="E23742" s="38" t="s">
        <v>322</v>
      </c>
      <c r="F23742" s="38" t="s">
        <v>195</v>
      </c>
      <c r="G23742" s="49" t="str">
        <f t="shared" si="1"/>
        <v>55150</v>
      </c>
      <c r="H23742" s="49">
        <f t="shared" si="2"/>
        <v>55183</v>
      </c>
    </row>
    <row r="23743">
      <c r="A23743" s="48" t="s">
        <v>19967</v>
      </c>
      <c r="B23743" s="38">
        <v>4036.0</v>
      </c>
      <c r="C23743" s="38" t="s">
        <v>28280</v>
      </c>
      <c r="D23743" s="38" t="str">
        <f>IFERROR(__xludf.DUMMYFUNCTION("REGEXREPLACE(C23743,""-\d+(.*)|--\d+(.*)"","""")"),"LE BRUSQUET")</f>
        <v>LE BRUSQUET</v>
      </c>
      <c r="E23743" s="38" t="s">
        <v>662</v>
      </c>
      <c r="F23743" s="38" t="s">
        <v>228</v>
      </c>
      <c r="G23743" s="49" t="str">
        <f t="shared" si="1"/>
        <v>04420</v>
      </c>
      <c r="H23743" s="49" t="str">
        <f t="shared" si="2"/>
        <v>04036</v>
      </c>
    </row>
    <row r="23744">
      <c r="A23744" s="48" t="s">
        <v>1896</v>
      </c>
      <c r="B23744" s="38">
        <v>51536.0</v>
      </c>
      <c r="C23744" s="38" t="s">
        <v>28281</v>
      </c>
      <c r="D23744" s="38" t="str">
        <f>IFERROR(__xludf.DUMMYFUNCTION("REGEXREPLACE(C23744,""-\d+(.*)|--\d+(.*)"","""")"),"SILLERY")</f>
        <v>SILLERY</v>
      </c>
      <c r="E23744" s="38" t="s">
        <v>129</v>
      </c>
      <c r="F23744" s="38" t="s">
        <v>130</v>
      </c>
      <c r="G23744" s="49" t="str">
        <f t="shared" si="1"/>
        <v>51500</v>
      </c>
      <c r="H23744" s="49">
        <f t="shared" si="2"/>
        <v>51536</v>
      </c>
    </row>
    <row r="23745">
      <c r="A23745" s="48" t="s">
        <v>5221</v>
      </c>
      <c r="B23745" s="38">
        <v>56131.0</v>
      </c>
      <c r="C23745" s="38" t="s">
        <v>28282</v>
      </c>
      <c r="D23745" s="38" t="str">
        <f>IFERROR(__xludf.DUMMYFUNCTION("REGEXREPLACE(C23745,""-\d+(.*)|--\d+(.*)"","""")"),"MESLAN")</f>
        <v>MESLAN</v>
      </c>
      <c r="E23745" s="38" t="s">
        <v>173</v>
      </c>
      <c r="F23745" s="38" t="s">
        <v>90</v>
      </c>
      <c r="G23745" s="49" t="str">
        <f t="shared" si="1"/>
        <v>56320</v>
      </c>
      <c r="H23745" s="49">
        <f t="shared" si="2"/>
        <v>56131</v>
      </c>
    </row>
    <row r="23746">
      <c r="A23746" s="48" t="s">
        <v>7799</v>
      </c>
      <c r="B23746" s="38">
        <v>7186.0</v>
      </c>
      <c r="C23746" s="38" t="s">
        <v>28283</v>
      </c>
      <c r="D23746" s="38" t="str">
        <f>IFERROR(__xludf.DUMMYFUNCTION("REGEXREPLACE(C23746,""-\d+(.*)|--\d+(.*)"","""")"),"PRIVAS")</f>
        <v>PRIVAS</v>
      </c>
      <c r="E23746" s="38" t="s">
        <v>144</v>
      </c>
      <c r="F23746" s="38" t="s">
        <v>102</v>
      </c>
      <c r="G23746" s="49" t="str">
        <f t="shared" si="1"/>
        <v>07000</v>
      </c>
      <c r="H23746" s="49" t="str">
        <f t="shared" si="2"/>
        <v>07186</v>
      </c>
    </row>
    <row r="23747">
      <c r="A23747" s="48" t="s">
        <v>12805</v>
      </c>
      <c r="B23747" s="38">
        <v>87049.0</v>
      </c>
      <c r="C23747" s="38" t="s">
        <v>28284</v>
      </c>
      <c r="D23747" s="38" t="str">
        <f>IFERROR(__xludf.DUMMYFUNCTION("REGEXREPLACE(C23747,""-\d+(.*)|--\d+(.*)"","""")"),"COUSSAC-BONNEVAL")</f>
        <v>COUSSAC-BONNEVAL</v>
      </c>
      <c r="E23747" s="38" t="s">
        <v>897</v>
      </c>
      <c r="F23747" s="38" t="s">
        <v>98</v>
      </c>
      <c r="G23747" s="49" t="str">
        <f t="shared" si="1"/>
        <v>87500</v>
      </c>
      <c r="H23747" s="49">
        <f t="shared" si="2"/>
        <v>87049</v>
      </c>
    </row>
    <row r="23748">
      <c r="A23748" s="48" t="s">
        <v>3814</v>
      </c>
      <c r="B23748" s="38">
        <v>71529.0</v>
      </c>
      <c r="C23748" s="38" t="s">
        <v>28285</v>
      </c>
      <c r="D23748" s="38" t="str">
        <f>IFERROR(__xludf.DUMMYFUNCTION("REGEXREPLACE(C23748,""-\d+(.*)|--\d+(.*)"","""")"),"SUIN")</f>
        <v>SUIN</v>
      </c>
      <c r="E23748" s="38" t="s">
        <v>344</v>
      </c>
      <c r="F23748" s="38" t="s">
        <v>106</v>
      </c>
      <c r="G23748" s="49" t="str">
        <f t="shared" si="1"/>
        <v>71220</v>
      </c>
      <c r="H23748" s="49">
        <f t="shared" si="2"/>
        <v>71529</v>
      </c>
    </row>
    <row r="23749">
      <c r="A23749" s="48" t="s">
        <v>14518</v>
      </c>
      <c r="B23749" s="38">
        <v>7188.0</v>
      </c>
      <c r="C23749" s="38" t="s">
        <v>28286</v>
      </c>
      <c r="D23749" s="38" t="str">
        <f>IFERROR(__xludf.DUMMYFUNCTION("REGEXREPLACE(C23749,""-\d+(.*)|--\d+(.*)"","""")"),"QUINTENAS")</f>
        <v>QUINTENAS</v>
      </c>
      <c r="E23749" s="38" t="s">
        <v>144</v>
      </c>
      <c r="F23749" s="38" t="s">
        <v>102</v>
      </c>
      <c r="G23749" s="49" t="str">
        <f t="shared" si="1"/>
        <v>07290</v>
      </c>
      <c r="H23749" s="49" t="str">
        <f t="shared" si="2"/>
        <v>07188</v>
      </c>
    </row>
    <row r="23750">
      <c r="A23750" s="48" t="s">
        <v>4434</v>
      </c>
      <c r="B23750" s="38">
        <v>31529.0</v>
      </c>
      <c r="C23750" s="38" t="s">
        <v>28287</v>
      </c>
      <c r="D23750" s="38" t="str">
        <f>IFERROR(__xludf.DUMMYFUNCTION("REGEXREPLACE(C23750,""-\d+(.*)|--\d+(.*)"","""")"),"SAMOUILLAN")</f>
        <v>SAMOUILLAN</v>
      </c>
      <c r="E23750" s="38" t="s">
        <v>93</v>
      </c>
      <c r="F23750" s="38" t="s">
        <v>94</v>
      </c>
      <c r="G23750" s="49" t="str">
        <f t="shared" si="1"/>
        <v>31420</v>
      </c>
      <c r="H23750" s="49">
        <f t="shared" si="2"/>
        <v>31529</v>
      </c>
    </row>
    <row r="23751">
      <c r="A23751" s="48" t="s">
        <v>6572</v>
      </c>
      <c r="B23751" s="38">
        <v>31189.0</v>
      </c>
      <c r="C23751" s="38" t="s">
        <v>28288</v>
      </c>
      <c r="D23751" s="38" t="str">
        <f>IFERROR(__xludf.DUMMYFUNCTION("REGEXREPLACE(C23751,""-\d+(.*)|--\d+(.*)"","""")"),"FORGUES")</f>
        <v>FORGUES</v>
      </c>
      <c r="E23751" s="38" t="s">
        <v>93</v>
      </c>
      <c r="F23751" s="38" t="s">
        <v>94</v>
      </c>
      <c r="G23751" s="49" t="str">
        <f t="shared" si="1"/>
        <v>31370</v>
      </c>
      <c r="H23751" s="49">
        <f t="shared" si="2"/>
        <v>31189</v>
      </c>
    </row>
    <row r="23752">
      <c r="A23752" s="48" t="s">
        <v>7954</v>
      </c>
      <c r="B23752" s="38">
        <v>40334.0</v>
      </c>
      <c r="C23752" s="38" t="s">
        <v>28289</v>
      </c>
      <c r="D23752" s="38" t="str">
        <f>IFERROR(__xludf.DUMMYFUNCTION("REGEXREPLACE(C23752,""-\d+(.*)|--\d+(.*)"","""")"),"YZOSSE")</f>
        <v>YZOSSE</v>
      </c>
      <c r="E23752" s="38" t="s">
        <v>281</v>
      </c>
      <c r="F23752" s="38" t="s">
        <v>252</v>
      </c>
      <c r="G23752" s="49" t="str">
        <f t="shared" si="1"/>
        <v>40180</v>
      </c>
      <c r="H23752" s="49">
        <f t="shared" si="2"/>
        <v>40334</v>
      </c>
    </row>
    <row r="23753">
      <c r="A23753" s="48" t="s">
        <v>3009</v>
      </c>
      <c r="B23753" s="38">
        <v>11187.0</v>
      </c>
      <c r="C23753" s="38" t="s">
        <v>28290</v>
      </c>
      <c r="D23753" s="38" t="str">
        <f>IFERROR(__xludf.DUMMYFUNCTION("REGEXREPLACE(C23753,""-\d+(.*)|--\d+(.*)"","""")"),"LANET")</f>
        <v>LANET</v>
      </c>
      <c r="E23753" s="38" t="s">
        <v>278</v>
      </c>
      <c r="F23753" s="38" t="s">
        <v>119</v>
      </c>
      <c r="G23753" s="49" t="str">
        <f t="shared" si="1"/>
        <v>11330</v>
      </c>
      <c r="H23753" s="49">
        <f t="shared" si="2"/>
        <v>11187</v>
      </c>
    </row>
    <row r="23754">
      <c r="A23754" s="48" t="s">
        <v>10892</v>
      </c>
      <c r="B23754" s="38">
        <v>47239.0</v>
      </c>
      <c r="C23754" s="38" t="s">
        <v>28291</v>
      </c>
      <c r="D23754" s="38" t="str">
        <f>IFERROR(__xludf.DUMMYFUNCTION("REGEXREPLACE(C23754,""-\d+(.*)|--\d+(.*)"","""")"),"SAINT-ETIENNE-DE-FOUGERES")</f>
        <v>SAINT-ETIENNE-DE-FOUGERES</v>
      </c>
      <c r="E23754" s="38" t="s">
        <v>251</v>
      </c>
      <c r="F23754" s="38" t="s">
        <v>252</v>
      </c>
      <c r="G23754" s="49" t="str">
        <f t="shared" si="1"/>
        <v>47380</v>
      </c>
      <c r="H23754" s="49">
        <f t="shared" si="2"/>
        <v>47239</v>
      </c>
    </row>
    <row r="23755">
      <c r="A23755" s="48" t="s">
        <v>11061</v>
      </c>
      <c r="B23755" s="38">
        <v>16084.0</v>
      </c>
      <c r="C23755" s="38" t="s">
        <v>28292</v>
      </c>
      <c r="D23755" s="38" t="str">
        <f>IFERROR(__xludf.DUMMYFUNCTION("REGEXREPLACE(C23755,""-\d+(.*)|--\d+(.*)"","""")"),"CHARRAS")</f>
        <v>CHARRAS</v>
      </c>
      <c r="E23755" s="38" t="s">
        <v>429</v>
      </c>
      <c r="F23755" s="38" t="s">
        <v>338</v>
      </c>
      <c r="G23755" s="49" t="str">
        <f t="shared" si="1"/>
        <v>16380</v>
      </c>
      <c r="H23755" s="49">
        <f t="shared" si="2"/>
        <v>16084</v>
      </c>
    </row>
    <row r="23756">
      <c r="A23756" s="48" t="s">
        <v>5288</v>
      </c>
      <c r="B23756" s="38">
        <v>62233.0</v>
      </c>
      <c r="C23756" s="38" t="s">
        <v>28293</v>
      </c>
      <c r="D23756" s="38" t="str">
        <f>IFERROR(__xludf.DUMMYFUNCTION("REGEXREPLACE(C23756,""-\d+(.*)|--\d+(.*)"","""")"),"CONCHIL-LE-TEMPLE")</f>
        <v>CONCHIL-LE-TEMPLE</v>
      </c>
      <c r="E23756" s="38" t="s">
        <v>109</v>
      </c>
      <c r="F23756" s="38" t="s">
        <v>86</v>
      </c>
      <c r="G23756" s="49" t="str">
        <f t="shared" si="1"/>
        <v>62180</v>
      </c>
      <c r="H23756" s="49">
        <f t="shared" si="2"/>
        <v>62233</v>
      </c>
    </row>
    <row r="23757">
      <c r="A23757" s="48" t="s">
        <v>6406</v>
      </c>
      <c r="B23757" s="38">
        <v>41277.0</v>
      </c>
      <c r="C23757" s="38" t="s">
        <v>28294</v>
      </c>
      <c r="D23757" s="38" t="str">
        <f>IFERROR(__xludf.DUMMYFUNCTION("REGEXREPLACE(C23757,""-\d+(.*)|--\d+(.*)"","""")"),"VILLEBOUT")</f>
        <v>VILLEBOUT</v>
      </c>
      <c r="E23757" s="38" t="s">
        <v>188</v>
      </c>
      <c r="F23757" s="38" t="s">
        <v>123</v>
      </c>
      <c r="G23757" s="49" t="str">
        <f t="shared" si="1"/>
        <v>41270</v>
      </c>
      <c r="H23757" s="49">
        <f t="shared" si="2"/>
        <v>41277</v>
      </c>
    </row>
    <row r="23758">
      <c r="A23758" s="48" t="s">
        <v>1831</v>
      </c>
      <c r="B23758" s="38">
        <v>30159.0</v>
      </c>
      <c r="C23758" s="38" t="s">
        <v>28295</v>
      </c>
      <c r="D23758" s="38" t="str">
        <f>IFERROR(__xludf.DUMMYFUNCTION("REGEXREPLACE(C23758,""-\d+(.*)|--\d+(.*)"","""")"),"LE MARTINET")</f>
        <v>LE MARTINET</v>
      </c>
      <c r="E23758" s="38" t="s">
        <v>526</v>
      </c>
      <c r="F23758" s="38" t="s">
        <v>119</v>
      </c>
      <c r="G23758" s="49" t="str">
        <f t="shared" si="1"/>
        <v>30960</v>
      </c>
      <c r="H23758" s="49">
        <f t="shared" si="2"/>
        <v>30159</v>
      </c>
    </row>
    <row r="23759">
      <c r="A23759" s="48" t="s">
        <v>10651</v>
      </c>
      <c r="B23759" s="38">
        <v>81086.0</v>
      </c>
      <c r="C23759" s="38" t="s">
        <v>28296</v>
      </c>
      <c r="D23759" s="38" t="str">
        <f>IFERROR(__xludf.DUMMYFUNCTION("REGEXREPLACE(C23759,""-\d+(.*)|--\d+(.*)"","""")"),"ESPERAUSSES")</f>
        <v>ESPERAUSSES</v>
      </c>
      <c r="E23759" s="38" t="s">
        <v>231</v>
      </c>
      <c r="F23759" s="38" t="s">
        <v>94</v>
      </c>
      <c r="G23759" s="49" t="str">
        <f t="shared" si="1"/>
        <v>81260</v>
      </c>
      <c r="H23759" s="49">
        <f t="shared" si="2"/>
        <v>81086</v>
      </c>
    </row>
    <row r="23760">
      <c r="A23760" s="48" t="s">
        <v>4292</v>
      </c>
      <c r="B23760" s="38">
        <v>74065.0</v>
      </c>
      <c r="C23760" s="38" t="s">
        <v>3369</v>
      </c>
      <c r="D23760" s="38" t="str">
        <f>IFERROR(__xludf.DUMMYFUNCTION("REGEXREPLACE(C23760,""-\d+(.*)|--\d+(.*)"","""")"),"CHAUMONT")</f>
        <v>CHAUMONT</v>
      </c>
      <c r="E23760" s="38" t="s">
        <v>319</v>
      </c>
      <c r="F23760" s="38" t="s">
        <v>102</v>
      </c>
      <c r="G23760" s="49" t="str">
        <f t="shared" si="1"/>
        <v>74270</v>
      </c>
      <c r="H23760" s="49">
        <f t="shared" si="2"/>
        <v>74065</v>
      </c>
    </row>
    <row r="23761">
      <c r="A23761" s="48" t="s">
        <v>1728</v>
      </c>
      <c r="B23761" s="38">
        <v>45050.0</v>
      </c>
      <c r="C23761" s="38" t="s">
        <v>28297</v>
      </c>
      <c r="D23761" s="38" t="str">
        <f>IFERROR(__xludf.DUMMYFUNCTION("REGEXREPLACE(C23761,""-\d+(.*)|--\d+(.*)"","""")"),"BOYNES")</f>
        <v>BOYNES</v>
      </c>
      <c r="E23761" s="38" t="s">
        <v>122</v>
      </c>
      <c r="F23761" s="38" t="s">
        <v>123</v>
      </c>
      <c r="G23761" s="49" t="str">
        <f t="shared" si="1"/>
        <v>45300</v>
      </c>
      <c r="H23761" s="49">
        <f t="shared" si="2"/>
        <v>45050</v>
      </c>
    </row>
    <row r="23762">
      <c r="A23762" s="48" t="s">
        <v>5047</v>
      </c>
      <c r="B23762" s="38">
        <v>6100.0</v>
      </c>
      <c r="C23762" s="38" t="s">
        <v>28298</v>
      </c>
      <c r="D23762" s="38" t="str">
        <f>IFERROR(__xludf.DUMMYFUNCTION("REGEXREPLACE(C23762,""-\d+(.*)|--\d+(.*)"","""")"),"REVEST-LES-ROCHES")</f>
        <v>REVEST-LES-ROCHES</v>
      </c>
      <c r="E23762" s="38" t="s">
        <v>227</v>
      </c>
      <c r="F23762" s="38" t="s">
        <v>228</v>
      </c>
      <c r="G23762" s="49" t="str">
        <f t="shared" si="1"/>
        <v>06830</v>
      </c>
      <c r="H23762" s="49" t="str">
        <f t="shared" si="2"/>
        <v>06100</v>
      </c>
    </row>
    <row r="23763">
      <c r="A23763" s="48" t="s">
        <v>11770</v>
      </c>
      <c r="B23763" s="38">
        <v>74038.0</v>
      </c>
      <c r="C23763" s="38" t="s">
        <v>28299</v>
      </c>
      <c r="D23763" s="38" t="str">
        <f>IFERROR(__xludf.DUMMYFUNCTION("REGEXREPLACE(C23763,""-\d+(.*)|--\d+(.*)"","""")"),"BOGEVE")</f>
        <v>BOGEVE</v>
      </c>
      <c r="E23763" s="38" t="s">
        <v>319</v>
      </c>
      <c r="F23763" s="38" t="s">
        <v>102</v>
      </c>
      <c r="G23763" s="49" t="str">
        <f t="shared" si="1"/>
        <v>74250</v>
      </c>
      <c r="H23763" s="49">
        <f t="shared" si="2"/>
        <v>74038</v>
      </c>
    </row>
    <row r="23764">
      <c r="A23764" s="48" t="s">
        <v>2812</v>
      </c>
      <c r="B23764" s="38">
        <v>61230.0</v>
      </c>
      <c r="C23764" s="38" t="s">
        <v>28300</v>
      </c>
      <c r="D23764" s="38" t="str">
        <f>IFERROR(__xludf.DUMMYFUNCTION("REGEXREPLACE(C23764,""-\d+(.*)|--\d+(.*)"","""")"),"LONGNY-AU-PERCHE")</f>
        <v>LONGNY-AU-PERCHE</v>
      </c>
      <c r="E23764" s="38" t="s">
        <v>141</v>
      </c>
      <c r="F23764" s="38" t="s">
        <v>138</v>
      </c>
      <c r="G23764" s="49" t="str">
        <f t="shared" si="1"/>
        <v>61290</v>
      </c>
      <c r="H23764" s="49">
        <f t="shared" si="2"/>
        <v>61230</v>
      </c>
    </row>
    <row r="23765">
      <c r="A23765" s="48" t="s">
        <v>807</v>
      </c>
      <c r="B23765" s="38">
        <v>68127.0</v>
      </c>
      <c r="C23765" s="38" t="s">
        <v>28301</v>
      </c>
      <c r="D23765" s="38" t="str">
        <f>IFERROR(__xludf.DUMMYFUNCTION("REGEXREPLACE(C23765,""-\d+(.*)|--\d+(.*)"","""")"),"HEIDWILLER")</f>
        <v>HEIDWILLER</v>
      </c>
      <c r="E23765" s="38" t="s">
        <v>150</v>
      </c>
      <c r="F23765" s="38" t="s">
        <v>151</v>
      </c>
      <c r="G23765" s="49" t="str">
        <f t="shared" si="1"/>
        <v>68720</v>
      </c>
      <c r="H23765" s="49">
        <f t="shared" si="2"/>
        <v>68127</v>
      </c>
    </row>
    <row r="23766">
      <c r="A23766" s="48" t="s">
        <v>28302</v>
      </c>
      <c r="B23766" s="38">
        <v>59533.0</v>
      </c>
      <c r="C23766" s="38" t="s">
        <v>28303</v>
      </c>
      <c r="D23766" s="38" t="str">
        <f>IFERROR(__xludf.DUMMYFUNCTION("REGEXREPLACE(C23766,""-\d+(.*)|--\d+(.*)"","""")"),"SAINT-HILAIRE-LEZ-CAMBRAI")</f>
        <v>SAINT-HILAIRE-LEZ-CAMBRAI</v>
      </c>
      <c r="E23766" s="38" t="s">
        <v>85</v>
      </c>
      <c r="F23766" s="38" t="s">
        <v>86</v>
      </c>
      <c r="G23766" s="49" t="str">
        <f t="shared" si="1"/>
        <v>59292</v>
      </c>
      <c r="H23766" s="49">
        <f t="shared" si="2"/>
        <v>59533</v>
      </c>
    </row>
    <row r="23767">
      <c r="A23767" s="48" t="s">
        <v>7059</v>
      </c>
      <c r="B23767" s="38">
        <v>35133.0</v>
      </c>
      <c r="C23767" s="38" t="s">
        <v>28304</v>
      </c>
      <c r="D23767" s="38" t="str">
        <f>IFERROR(__xludf.DUMMYFUNCTION("REGEXREPLACE(C23767,""-\d+(.*)|--\d+(.*)"","""")"),"IFFENDIC")</f>
        <v>IFFENDIC</v>
      </c>
      <c r="E23767" s="38" t="s">
        <v>347</v>
      </c>
      <c r="F23767" s="38" t="s">
        <v>90</v>
      </c>
      <c r="G23767" s="49" t="str">
        <f t="shared" si="1"/>
        <v>35750</v>
      </c>
      <c r="H23767" s="49">
        <f t="shared" si="2"/>
        <v>35133</v>
      </c>
    </row>
    <row r="23768">
      <c r="A23768" s="48" t="s">
        <v>6849</v>
      </c>
      <c r="B23768" s="38">
        <v>28253.0</v>
      </c>
      <c r="C23768" s="38" t="s">
        <v>28305</v>
      </c>
      <c r="D23768" s="38" t="str">
        <f>IFERROR(__xludf.DUMMYFUNCTION("REGEXREPLACE(C23768,""-\d+(.*)|--\d+(.*)"","""")"),"MIGNIERES")</f>
        <v>MIGNIERES</v>
      </c>
      <c r="E23768" s="38" t="s">
        <v>300</v>
      </c>
      <c r="F23768" s="38" t="s">
        <v>123</v>
      </c>
      <c r="G23768" s="49" t="str">
        <f t="shared" si="1"/>
        <v>28630</v>
      </c>
      <c r="H23768" s="49">
        <f t="shared" si="2"/>
        <v>28253</v>
      </c>
    </row>
    <row r="23769">
      <c r="A23769" s="48" t="s">
        <v>1195</v>
      </c>
      <c r="B23769" s="38">
        <v>80774.0</v>
      </c>
      <c r="C23769" s="38" t="s">
        <v>28306</v>
      </c>
      <c r="D23769" s="38" t="str">
        <f>IFERROR(__xludf.DUMMYFUNCTION("REGEXREPLACE(C23769,""-\d+(.*)|--\d+(.*)"","""")"),"VAIRE-SOUS-CORBIE")</f>
        <v>VAIRE-SOUS-CORBIE</v>
      </c>
      <c r="E23769" s="38" t="s">
        <v>224</v>
      </c>
      <c r="F23769" s="38" t="s">
        <v>113</v>
      </c>
      <c r="G23769" s="49" t="str">
        <f t="shared" si="1"/>
        <v>80800</v>
      </c>
      <c r="H23769" s="49">
        <f t="shared" si="2"/>
        <v>80774</v>
      </c>
    </row>
    <row r="23770">
      <c r="A23770" s="48" t="s">
        <v>4215</v>
      </c>
      <c r="B23770" s="38">
        <v>27588.0</v>
      </c>
      <c r="C23770" s="38" t="s">
        <v>28307</v>
      </c>
      <c r="D23770" s="38" t="str">
        <f>IFERROR(__xludf.DUMMYFUNCTION("REGEXREPLACE(C23770,""-\d+(.*)|--\d+(.*)"","""")"),"SAINT-PIERRE-D'AUTILS")</f>
        <v>SAINT-PIERRE-D'AUTILS</v>
      </c>
      <c r="E23770" s="38" t="s">
        <v>241</v>
      </c>
      <c r="F23770" s="38" t="s">
        <v>134</v>
      </c>
      <c r="G23770" s="49" t="str">
        <f t="shared" si="1"/>
        <v>27950</v>
      </c>
      <c r="H23770" s="49">
        <f t="shared" si="2"/>
        <v>27588</v>
      </c>
    </row>
    <row r="23771">
      <c r="A23771" s="48" t="s">
        <v>1518</v>
      </c>
      <c r="B23771" s="38">
        <v>88254.0</v>
      </c>
      <c r="C23771" s="38" t="s">
        <v>28308</v>
      </c>
      <c r="D23771" s="38" t="str">
        <f>IFERROR(__xludf.DUMMYFUNCTION("REGEXREPLACE(C23771,""-\d+(.*)|--\d+(.*)"","""")"),"JORXEY")</f>
        <v>JORXEY</v>
      </c>
      <c r="E23771" s="38" t="s">
        <v>194</v>
      </c>
      <c r="F23771" s="38" t="s">
        <v>195</v>
      </c>
      <c r="G23771" s="49" t="str">
        <f t="shared" si="1"/>
        <v>88500</v>
      </c>
      <c r="H23771" s="49">
        <f t="shared" si="2"/>
        <v>88254</v>
      </c>
    </row>
    <row r="23772">
      <c r="A23772" s="48" t="s">
        <v>27971</v>
      </c>
      <c r="B23772" s="38">
        <v>88484.0</v>
      </c>
      <c r="C23772" s="38" t="s">
        <v>28309</v>
      </c>
      <c r="D23772" s="38" t="str">
        <f>IFERROR(__xludf.DUMMYFUNCTION("REGEXREPLACE(C23772,""-\d+(.*)|--\d+(.*)"","""")"),"UZEMAIN")</f>
        <v>UZEMAIN</v>
      </c>
      <c r="E23772" s="38" t="s">
        <v>194</v>
      </c>
      <c r="F23772" s="38" t="s">
        <v>195</v>
      </c>
      <c r="G23772" s="49" t="str">
        <f t="shared" si="1"/>
        <v>88220</v>
      </c>
      <c r="H23772" s="49">
        <f t="shared" si="2"/>
        <v>88484</v>
      </c>
    </row>
    <row r="23773">
      <c r="A23773" s="48" t="s">
        <v>114</v>
      </c>
      <c r="B23773" s="38">
        <v>62850.0</v>
      </c>
      <c r="C23773" s="38" t="s">
        <v>28310</v>
      </c>
      <c r="D23773" s="38" t="str">
        <f>IFERROR(__xludf.DUMMYFUNCTION("REGEXREPLACE(C23773,""-\d+(.*)|--\d+(.*)"","""")"),"VIEIL-HESDIN")</f>
        <v>VIEIL-HESDIN</v>
      </c>
      <c r="E23773" s="38" t="s">
        <v>109</v>
      </c>
      <c r="F23773" s="38" t="s">
        <v>86</v>
      </c>
      <c r="G23773" s="49" t="str">
        <f t="shared" si="1"/>
        <v>62770</v>
      </c>
      <c r="H23773" s="49">
        <f t="shared" si="2"/>
        <v>62850</v>
      </c>
    </row>
    <row r="23774">
      <c r="A23774" s="48" t="s">
        <v>1601</v>
      </c>
      <c r="B23774" s="38">
        <v>72273.0</v>
      </c>
      <c r="C23774" s="38" t="s">
        <v>28311</v>
      </c>
      <c r="D23774" s="38" t="str">
        <f>IFERROR(__xludf.DUMMYFUNCTION("REGEXREPLACE(C23774,""-\d+(.*)|--\d+(.*)"","""")"),"SAINT-CHRISTOPHE-DU-JAMBET")</f>
        <v>SAINT-CHRISTOPHE-DU-JAMBET</v>
      </c>
      <c r="E23774" s="38" t="s">
        <v>521</v>
      </c>
      <c r="F23774" s="38" t="s">
        <v>180</v>
      </c>
      <c r="G23774" s="49" t="str">
        <f t="shared" si="1"/>
        <v>72170</v>
      </c>
      <c r="H23774" s="49">
        <f t="shared" si="2"/>
        <v>72273</v>
      </c>
    </row>
    <row r="23775">
      <c r="A23775" s="48" t="s">
        <v>28312</v>
      </c>
      <c r="B23775" s="38">
        <v>43012.0</v>
      </c>
      <c r="C23775" s="38" t="s">
        <v>28313</v>
      </c>
      <c r="D23775" s="38" t="str">
        <f>IFERROR(__xludf.DUMMYFUNCTION("REGEXREPLACE(C23775,""-\d+(.*)|--\d+(.*)"","""")"),"AUREC-SUR-LOIRE")</f>
        <v>AUREC-SUR-LOIRE</v>
      </c>
      <c r="E23775" s="38" t="s">
        <v>332</v>
      </c>
      <c r="F23775" s="38" t="s">
        <v>161</v>
      </c>
      <c r="G23775" s="49" t="str">
        <f t="shared" si="1"/>
        <v>43110</v>
      </c>
      <c r="H23775" s="49">
        <f t="shared" si="2"/>
        <v>43012</v>
      </c>
    </row>
    <row r="23776">
      <c r="A23776" s="48" t="s">
        <v>13605</v>
      </c>
      <c r="B23776" s="38">
        <v>49346.0</v>
      </c>
      <c r="C23776" s="38" t="s">
        <v>28314</v>
      </c>
      <c r="D23776" s="38" t="str">
        <f>IFERROR(__xludf.DUMMYFUNCTION("REGEXREPLACE(C23776,""-\d+(.*)|--\d+(.*)"","""")"),"LE THOUREIL")</f>
        <v>LE THOUREIL</v>
      </c>
      <c r="E23776" s="38" t="s">
        <v>653</v>
      </c>
      <c r="F23776" s="38" t="s">
        <v>180</v>
      </c>
      <c r="G23776" s="49" t="str">
        <f t="shared" si="1"/>
        <v>49350</v>
      </c>
      <c r="H23776" s="49">
        <f t="shared" si="2"/>
        <v>49346</v>
      </c>
    </row>
    <row r="23777">
      <c r="A23777" s="48" t="s">
        <v>7245</v>
      </c>
      <c r="B23777" s="38">
        <v>53147.0</v>
      </c>
      <c r="C23777" s="38" t="s">
        <v>28315</v>
      </c>
      <c r="D23777" s="38" t="str">
        <f>IFERROR(__xludf.DUMMYFUNCTION("REGEXREPLACE(C23777,""-\d+(.*)|--\d+(.*)"","""")"),"MAYENNE")</f>
        <v>MAYENNE</v>
      </c>
      <c r="E23777" s="38" t="s">
        <v>518</v>
      </c>
      <c r="F23777" s="38" t="s">
        <v>180</v>
      </c>
      <c r="G23777" s="49" t="str">
        <f t="shared" si="1"/>
        <v>53100</v>
      </c>
      <c r="H23777" s="49">
        <f t="shared" si="2"/>
        <v>53147</v>
      </c>
    </row>
    <row r="23778">
      <c r="A23778" s="48" t="s">
        <v>13577</v>
      </c>
      <c r="B23778" s="38">
        <v>21478.0</v>
      </c>
      <c r="C23778" s="38" t="s">
        <v>28316</v>
      </c>
      <c r="D23778" s="38" t="str">
        <f>IFERROR(__xludf.DUMMYFUNCTION("REGEXREPLACE(C23778,""-\d+(.*)|--\d+(.*)"","""")"),"PASQUES")</f>
        <v>PASQUES</v>
      </c>
      <c r="E23778" s="38" t="s">
        <v>105</v>
      </c>
      <c r="F23778" s="38" t="s">
        <v>106</v>
      </c>
      <c r="G23778" s="49" t="str">
        <f t="shared" si="1"/>
        <v>21370</v>
      </c>
      <c r="H23778" s="49">
        <f t="shared" si="2"/>
        <v>21478</v>
      </c>
    </row>
    <row r="23779">
      <c r="A23779" s="48" t="s">
        <v>4617</v>
      </c>
      <c r="B23779" s="38">
        <v>15185.0</v>
      </c>
      <c r="C23779" s="38" t="s">
        <v>28317</v>
      </c>
      <c r="D23779" s="38" t="str">
        <f>IFERROR(__xludf.DUMMYFUNCTION("REGEXREPLACE(C23779,""-\d+(.*)|--\d+(.*)"","""")"),"SAINT-ETIENNE-DE-CHOMEIL")</f>
        <v>SAINT-ETIENNE-DE-CHOMEIL</v>
      </c>
      <c r="E23779" s="38" t="s">
        <v>632</v>
      </c>
      <c r="F23779" s="38" t="s">
        <v>161</v>
      </c>
      <c r="G23779" s="49" t="str">
        <f t="shared" si="1"/>
        <v>15400</v>
      </c>
      <c r="H23779" s="49">
        <f t="shared" si="2"/>
        <v>15185</v>
      </c>
    </row>
    <row r="23780">
      <c r="A23780" s="48" t="s">
        <v>28015</v>
      </c>
      <c r="B23780" s="38" t="s">
        <v>28318</v>
      </c>
      <c r="C23780" s="38" t="s">
        <v>28319</v>
      </c>
      <c r="D23780" s="38" t="str">
        <f>IFERROR(__xludf.DUMMYFUNCTION("REGEXREPLACE(C23780,""-\d+(.*)|--\d+(.*)"","""")"),"AZZANA")</f>
        <v>AZZANA</v>
      </c>
      <c r="E23780" s="38" t="s">
        <v>606</v>
      </c>
      <c r="F23780" s="38" t="s">
        <v>607</v>
      </c>
      <c r="G23780" s="49" t="str">
        <f t="shared" si="1"/>
        <v>20121</v>
      </c>
      <c r="H23780" s="49" t="str">
        <f t="shared" si="2"/>
        <v>2A027</v>
      </c>
    </row>
    <row r="23781">
      <c r="A23781" s="48" t="s">
        <v>4924</v>
      </c>
      <c r="B23781" s="38">
        <v>56006.0</v>
      </c>
      <c r="C23781" s="38" t="s">
        <v>28320</v>
      </c>
      <c r="D23781" s="38" t="str">
        <f>IFERROR(__xludf.DUMMYFUNCTION("REGEXREPLACE(C23781,""-\d+(.*)|--\d+(.*)"","""")"),"AUGAN")</f>
        <v>AUGAN</v>
      </c>
      <c r="E23781" s="38" t="s">
        <v>173</v>
      </c>
      <c r="F23781" s="38" t="s">
        <v>90</v>
      </c>
      <c r="G23781" s="49" t="str">
        <f t="shared" si="1"/>
        <v>56800</v>
      </c>
      <c r="H23781" s="49">
        <f t="shared" si="2"/>
        <v>56006</v>
      </c>
    </row>
    <row r="23782">
      <c r="A23782" s="48" t="s">
        <v>4314</v>
      </c>
      <c r="B23782" s="38">
        <v>7034.0</v>
      </c>
      <c r="C23782" s="38" t="s">
        <v>28321</v>
      </c>
      <c r="D23782" s="38" t="str">
        <f>IFERROR(__xludf.DUMMYFUNCTION("REGEXREPLACE(C23782,""-\d+(.*)|--\d+(.*)"","""")"),"BIDON")</f>
        <v>BIDON</v>
      </c>
      <c r="E23782" s="38" t="s">
        <v>144</v>
      </c>
      <c r="F23782" s="38" t="s">
        <v>102</v>
      </c>
      <c r="G23782" s="49" t="str">
        <f t="shared" si="1"/>
        <v>07700</v>
      </c>
      <c r="H23782" s="49" t="str">
        <f t="shared" si="2"/>
        <v>07034</v>
      </c>
    </row>
    <row r="23783">
      <c r="A23783" s="48" t="s">
        <v>734</v>
      </c>
      <c r="B23783" s="38">
        <v>54231.0</v>
      </c>
      <c r="C23783" s="38" t="s">
        <v>28322</v>
      </c>
      <c r="D23783" s="38" t="str">
        <f>IFERROR(__xludf.DUMMYFUNCTION("REGEXREPLACE(C23783,""-\d+(.*)|--\d+(.*)"","""")"),"GONDRECOURT-AIX")</f>
        <v>GONDRECOURT-AIX</v>
      </c>
      <c r="E23783" s="38" t="s">
        <v>548</v>
      </c>
      <c r="F23783" s="38" t="s">
        <v>195</v>
      </c>
      <c r="G23783" s="49" t="str">
        <f t="shared" si="1"/>
        <v>54800</v>
      </c>
      <c r="H23783" s="49">
        <f t="shared" si="2"/>
        <v>54231</v>
      </c>
    </row>
    <row r="23784">
      <c r="A23784" s="48" t="s">
        <v>1817</v>
      </c>
      <c r="B23784" s="38">
        <v>31450.0</v>
      </c>
      <c r="C23784" s="38" t="s">
        <v>6588</v>
      </c>
      <c r="D23784" s="38" t="str">
        <f>IFERROR(__xludf.DUMMYFUNCTION("REGEXREPLACE(C23784,""-\d+(.*)|--\d+(.*)"","""")"),"RENNEVILLE")</f>
        <v>RENNEVILLE</v>
      </c>
      <c r="E23784" s="38" t="s">
        <v>93</v>
      </c>
      <c r="F23784" s="38" t="s">
        <v>94</v>
      </c>
      <c r="G23784" s="49" t="str">
        <f t="shared" si="1"/>
        <v>31290</v>
      </c>
      <c r="H23784" s="49">
        <f t="shared" si="2"/>
        <v>31450</v>
      </c>
    </row>
    <row r="23785">
      <c r="A23785" s="48" t="s">
        <v>7659</v>
      </c>
      <c r="B23785" s="38">
        <v>53113.0</v>
      </c>
      <c r="C23785" s="38" t="s">
        <v>28323</v>
      </c>
      <c r="D23785" s="38" t="str">
        <f>IFERROR(__xludf.DUMMYFUNCTION("REGEXREPLACE(C23785,""-\d+(.*)|--\d+(.*)"","""")"),"HAMBERS")</f>
        <v>HAMBERS</v>
      </c>
      <c r="E23785" s="38" t="s">
        <v>518</v>
      </c>
      <c r="F23785" s="38" t="s">
        <v>180</v>
      </c>
      <c r="G23785" s="49" t="str">
        <f t="shared" si="1"/>
        <v>53160</v>
      </c>
      <c r="H23785" s="49">
        <f t="shared" si="2"/>
        <v>53113</v>
      </c>
    </row>
    <row r="23786">
      <c r="A23786" s="48" t="s">
        <v>7153</v>
      </c>
      <c r="B23786" s="38">
        <v>30188.0</v>
      </c>
      <c r="C23786" s="38" t="s">
        <v>28324</v>
      </c>
      <c r="D23786" s="38" t="str">
        <f>IFERROR(__xludf.DUMMYFUNCTION("REGEXREPLACE(C23786,""-\d+(.*)|--\d+(.*)"","""")"),"NERS")</f>
        <v>NERS</v>
      </c>
      <c r="E23786" s="38" t="s">
        <v>526</v>
      </c>
      <c r="F23786" s="38" t="s">
        <v>119</v>
      </c>
      <c r="G23786" s="49" t="str">
        <f t="shared" si="1"/>
        <v>30360</v>
      </c>
      <c r="H23786" s="49">
        <f t="shared" si="2"/>
        <v>30188</v>
      </c>
    </row>
    <row r="23787">
      <c r="A23787" s="48" t="s">
        <v>637</v>
      </c>
      <c r="B23787" s="38">
        <v>1149.0</v>
      </c>
      <c r="C23787" s="38" t="s">
        <v>28325</v>
      </c>
      <c r="D23787" s="38" t="str">
        <f>IFERROR(__xludf.DUMMYFUNCTION("REGEXREPLACE(C23787,""-\d+(.*)|--\d+(.*)"","""")"),"DOUVRES")</f>
        <v>DOUVRES</v>
      </c>
      <c r="E23787" s="38" t="s">
        <v>255</v>
      </c>
      <c r="F23787" s="38" t="s">
        <v>102</v>
      </c>
      <c r="G23787" s="49" t="str">
        <f t="shared" si="1"/>
        <v>01500</v>
      </c>
      <c r="H23787" s="49" t="str">
        <f t="shared" si="2"/>
        <v>01149</v>
      </c>
    </row>
    <row r="23788">
      <c r="A23788" s="48" t="s">
        <v>2877</v>
      </c>
      <c r="B23788" s="38">
        <v>4025.0</v>
      </c>
      <c r="C23788" s="38" t="s">
        <v>28326</v>
      </c>
      <c r="D23788" s="38" t="str">
        <f>IFERROR(__xludf.DUMMYFUNCTION("REGEXREPLACE(C23788,""-\d+(.*)|--\d+(.*)"","""")"),"BEAUVEZER")</f>
        <v>BEAUVEZER</v>
      </c>
      <c r="E23788" s="38" t="s">
        <v>662</v>
      </c>
      <c r="F23788" s="38" t="s">
        <v>228</v>
      </c>
      <c r="G23788" s="49" t="str">
        <f t="shared" si="1"/>
        <v>04370</v>
      </c>
      <c r="H23788" s="49" t="str">
        <f t="shared" si="2"/>
        <v>04025</v>
      </c>
    </row>
    <row r="23789">
      <c r="A23789" s="48" t="s">
        <v>3755</v>
      </c>
      <c r="B23789" s="38">
        <v>76001.0</v>
      </c>
      <c r="C23789" s="38" t="s">
        <v>28327</v>
      </c>
      <c r="D23789" s="38" t="str">
        <f>IFERROR(__xludf.DUMMYFUNCTION("REGEXREPLACE(C23789,""-\d+(.*)|--\d+(.*)"","""")"),"ALLOUVILLE-BELLEFOSSE")</f>
        <v>ALLOUVILLE-BELLEFOSSE</v>
      </c>
      <c r="E23789" s="38" t="s">
        <v>133</v>
      </c>
      <c r="F23789" s="38" t="s">
        <v>134</v>
      </c>
      <c r="G23789" s="49" t="str">
        <f t="shared" si="1"/>
        <v>76190</v>
      </c>
      <c r="H23789" s="49">
        <f t="shared" si="2"/>
        <v>76001</v>
      </c>
    </row>
    <row r="23790">
      <c r="A23790" s="48" t="s">
        <v>12300</v>
      </c>
      <c r="B23790" s="38">
        <v>37221.0</v>
      </c>
      <c r="C23790" s="38" t="s">
        <v>5910</v>
      </c>
      <c r="D23790" s="38" t="str">
        <f>IFERROR(__xludf.DUMMYFUNCTION("REGEXREPLACE(C23790,""-\d+(.*)|--\d+(.*)"","""")"),"SAINT-HIPPOLYTE")</f>
        <v>SAINT-HIPPOLYTE</v>
      </c>
      <c r="E23790" s="38" t="s">
        <v>205</v>
      </c>
      <c r="F23790" s="38" t="s">
        <v>123</v>
      </c>
      <c r="G23790" s="49" t="str">
        <f t="shared" si="1"/>
        <v>37600</v>
      </c>
      <c r="H23790" s="49">
        <f t="shared" si="2"/>
        <v>37221</v>
      </c>
    </row>
    <row r="23791">
      <c r="A23791" s="48" t="s">
        <v>2190</v>
      </c>
      <c r="B23791" s="38">
        <v>10031.0</v>
      </c>
      <c r="C23791" s="38" t="s">
        <v>28328</v>
      </c>
      <c r="D23791" s="38" t="str">
        <f>IFERROR(__xludf.DUMMYFUNCTION("REGEXREPLACE(C23791,""-\d+(.*)|--\d+(.*)"","""")"),"BARBUISE")</f>
        <v>BARBUISE</v>
      </c>
      <c r="E23791" s="38" t="s">
        <v>147</v>
      </c>
      <c r="F23791" s="38" t="s">
        <v>130</v>
      </c>
      <c r="G23791" s="49" t="str">
        <f t="shared" si="1"/>
        <v>10400</v>
      </c>
      <c r="H23791" s="49">
        <f t="shared" si="2"/>
        <v>10031</v>
      </c>
    </row>
    <row r="23792">
      <c r="A23792" s="48" t="s">
        <v>7107</v>
      </c>
      <c r="B23792" s="38">
        <v>10062.0</v>
      </c>
      <c r="C23792" s="38" t="s">
        <v>28329</v>
      </c>
      <c r="D23792" s="38" t="str">
        <f>IFERROR(__xludf.DUMMYFUNCTION("REGEXREPLACE(C23792,""-\d+(.*)|--\d+(.*)"","""")"),"BRIEL-SUR-BARSE")</f>
        <v>BRIEL-SUR-BARSE</v>
      </c>
      <c r="E23792" s="38" t="s">
        <v>147</v>
      </c>
      <c r="F23792" s="38" t="s">
        <v>130</v>
      </c>
      <c r="G23792" s="49" t="str">
        <f t="shared" si="1"/>
        <v>10140</v>
      </c>
      <c r="H23792" s="49">
        <f t="shared" si="2"/>
        <v>10062</v>
      </c>
    </row>
    <row r="23793">
      <c r="A23793" s="48" t="s">
        <v>9828</v>
      </c>
      <c r="B23793" s="38">
        <v>89346.0</v>
      </c>
      <c r="C23793" s="38" t="s">
        <v>28330</v>
      </c>
      <c r="D23793" s="38" t="str">
        <f>IFERROR(__xludf.DUMMYFUNCTION("REGEXREPLACE(C23793,""-\d+(.*)|--\d+(.*)"","""")"),"SAINT-GEORGES-SUR-BAULCHE")</f>
        <v>SAINT-GEORGES-SUR-BAULCHE</v>
      </c>
      <c r="E23793" s="38" t="s">
        <v>275</v>
      </c>
      <c r="F23793" s="38" t="s">
        <v>106</v>
      </c>
      <c r="G23793" s="49" t="str">
        <f t="shared" si="1"/>
        <v>89000</v>
      </c>
      <c r="H23793" s="49">
        <f t="shared" si="2"/>
        <v>89346</v>
      </c>
    </row>
    <row r="23794">
      <c r="A23794" s="48" t="s">
        <v>6734</v>
      </c>
      <c r="B23794" s="38">
        <v>28347.0</v>
      </c>
      <c r="C23794" s="38" t="s">
        <v>28331</v>
      </c>
      <c r="D23794" s="38" t="str">
        <f>IFERROR(__xludf.DUMMYFUNCTION("REGEXREPLACE(C23794,""-\d+(.*)|--\d+(.*)"","""")"),"SAINT-LUBIN-DE-LA-HAYE")</f>
        <v>SAINT-LUBIN-DE-LA-HAYE</v>
      </c>
      <c r="E23794" s="38" t="s">
        <v>300</v>
      </c>
      <c r="F23794" s="38" t="s">
        <v>123</v>
      </c>
      <c r="G23794" s="49" t="str">
        <f t="shared" si="1"/>
        <v>28410</v>
      </c>
      <c r="H23794" s="49">
        <f t="shared" si="2"/>
        <v>28347</v>
      </c>
    </row>
    <row r="23795">
      <c r="A23795" s="48" t="s">
        <v>8845</v>
      </c>
      <c r="B23795" s="38">
        <v>8084.0</v>
      </c>
      <c r="C23795" s="38" t="s">
        <v>28332</v>
      </c>
      <c r="D23795" s="38" t="str">
        <f>IFERROR(__xludf.DUMMYFUNCTION("REGEXREPLACE(C23795,""-\d+(.*)|--\d+(.*)"","""")"),"BRIENNE-SUR-AISNE")</f>
        <v>BRIENNE-SUR-AISNE</v>
      </c>
      <c r="E23795" s="38" t="s">
        <v>327</v>
      </c>
      <c r="F23795" s="38" t="s">
        <v>130</v>
      </c>
      <c r="G23795" s="49" t="str">
        <f t="shared" si="1"/>
        <v>08190</v>
      </c>
      <c r="H23795" s="49" t="str">
        <f t="shared" si="2"/>
        <v>08084</v>
      </c>
    </row>
    <row r="23796">
      <c r="A23796" s="48" t="s">
        <v>220</v>
      </c>
      <c r="B23796" s="38">
        <v>67027.0</v>
      </c>
      <c r="C23796" s="38" t="s">
        <v>10049</v>
      </c>
      <c r="D23796" s="38" t="str">
        <f>IFERROR(__xludf.DUMMYFUNCTION("REGEXREPLACE(C23796,""-\d+(.*)|--\d+(.*)"","""")"),"BELMONT")</f>
        <v>BELMONT</v>
      </c>
      <c r="E23796" s="38" t="s">
        <v>210</v>
      </c>
      <c r="F23796" s="38" t="s">
        <v>151</v>
      </c>
      <c r="G23796" s="49" t="str">
        <f t="shared" si="1"/>
        <v>67130</v>
      </c>
      <c r="H23796" s="49">
        <f t="shared" si="2"/>
        <v>67027</v>
      </c>
    </row>
    <row r="23797">
      <c r="A23797" s="48" t="s">
        <v>7175</v>
      </c>
      <c r="B23797" s="38">
        <v>88409.0</v>
      </c>
      <c r="C23797" s="38" t="s">
        <v>28333</v>
      </c>
      <c r="D23797" s="38" t="str">
        <f>IFERROR(__xludf.DUMMYFUNCTION("REGEXREPLACE(C23797,""-\d+(.*)|--\d+(.*)"","""")"),"SAINT-AME")</f>
        <v>SAINT-AME</v>
      </c>
      <c r="E23797" s="38" t="s">
        <v>194</v>
      </c>
      <c r="F23797" s="38" t="s">
        <v>195</v>
      </c>
      <c r="G23797" s="49" t="str">
        <f t="shared" si="1"/>
        <v>88120</v>
      </c>
      <c r="H23797" s="49">
        <f t="shared" si="2"/>
        <v>88409</v>
      </c>
    </row>
    <row r="23798">
      <c r="A23798" s="48" t="s">
        <v>4210</v>
      </c>
      <c r="B23798" s="38">
        <v>71239.0</v>
      </c>
      <c r="C23798" s="38" t="s">
        <v>28334</v>
      </c>
      <c r="D23798" s="38" t="str">
        <f>IFERROR(__xludf.DUMMYFUNCTION("REGEXREPLACE(C23798,""-\d+(.*)|--\d+(.*)"","""")"),"ISSY-L'EVEQUE")</f>
        <v>ISSY-L'EVEQUE</v>
      </c>
      <c r="E23798" s="38" t="s">
        <v>344</v>
      </c>
      <c r="F23798" s="38" t="s">
        <v>106</v>
      </c>
      <c r="G23798" s="49" t="str">
        <f t="shared" si="1"/>
        <v>71760</v>
      </c>
      <c r="H23798" s="49">
        <f t="shared" si="2"/>
        <v>71239</v>
      </c>
    </row>
    <row r="23799">
      <c r="A23799" s="48" t="s">
        <v>4185</v>
      </c>
      <c r="B23799" s="38">
        <v>30272.0</v>
      </c>
      <c r="C23799" s="38" t="s">
        <v>28335</v>
      </c>
      <c r="D23799" s="38" t="str">
        <f>IFERROR(__xludf.DUMMYFUNCTION("REGEXREPLACE(C23799,""-\d+(.*)|--\d+(.*)"","""")"),"SAINT-JULIEN-DE-LA-NEF")</f>
        <v>SAINT-JULIEN-DE-LA-NEF</v>
      </c>
      <c r="E23799" s="38" t="s">
        <v>526</v>
      </c>
      <c r="F23799" s="38" t="s">
        <v>119</v>
      </c>
      <c r="G23799" s="49" t="str">
        <f t="shared" si="1"/>
        <v>30440</v>
      </c>
      <c r="H23799" s="49">
        <f t="shared" si="2"/>
        <v>30272</v>
      </c>
    </row>
    <row r="23800">
      <c r="A23800" s="48" t="s">
        <v>22667</v>
      </c>
      <c r="B23800" s="38">
        <v>90076.0</v>
      </c>
      <c r="C23800" s="38" t="s">
        <v>28336</v>
      </c>
      <c r="D23800" s="38" t="str">
        <f>IFERROR(__xludf.DUMMYFUNCTION("REGEXREPLACE(C23800,""-\d+(.*)|--\d+(.*)"","""")"),"PEROUSE")</f>
        <v>PEROUSE</v>
      </c>
      <c r="E23800" s="38" t="s">
        <v>1283</v>
      </c>
      <c r="F23800" s="38" t="s">
        <v>214</v>
      </c>
      <c r="G23800" s="49" t="str">
        <f t="shared" si="1"/>
        <v>90160</v>
      </c>
      <c r="H23800" s="49">
        <f t="shared" si="2"/>
        <v>90076</v>
      </c>
    </row>
    <row r="23801">
      <c r="A23801" s="48" t="s">
        <v>13455</v>
      </c>
      <c r="B23801" s="38">
        <v>68260.0</v>
      </c>
      <c r="C23801" s="38" t="s">
        <v>28337</v>
      </c>
      <c r="D23801" s="38" t="str">
        <f>IFERROR(__xludf.DUMMYFUNCTION("REGEXREPLACE(C23801,""-\d+(.*)|--\d+(.*)"","""")"),"RAEDERSHEIM")</f>
        <v>RAEDERSHEIM</v>
      </c>
      <c r="E23801" s="38" t="s">
        <v>150</v>
      </c>
      <c r="F23801" s="38" t="s">
        <v>151</v>
      </c>
      <c r="G23801" s="49" t="str">
        <f t="shared" si="1"/>
        <v>68190</v>
      </c>
      <c r="H23801" s="49">
        <f t="shared" si="2"/>
        <v>68260</v>
      </c>
    </row>
    <row r="23802">
      <c r="A23802" s="48" t="s">
        <v>3080</v>
      </c>
      <c r="B23802" s="38">
        <v>71483.0</v>
      </c>
      <c r="C23802" s="38" t="s">
        <v>28338</v>
      </c>
      <c r="D23802" s="38" t="str">
        <f>IFERROR(__xludf.DUMMYFUNCTION("REGEXREPLACE(C23802,""-\d+(.*)|--\d+(.*)"","""")"),"SAINT-SYMPHORIEN-DES-BOIS")</f>
        <v>SAINT-SYMPHORIEN-DES-BOIS</v>
      </c>
      <c r="E23802" s="38" t="s">
        <v>344</v>
      </c>
      <c r="F23802" s="38" t="s">
        <v>106</v>
      </c>
      <c r="G23802" s="49" t="str">
        <f t="shared" si="1"/>
        <v>71800</v>
      </c>
      <c r="H23802" s="49">
        <f t="shared" si="2"/>
        <v>71483</v>
      </c>
    </row>
    <row r="23803">
      <c r="A23803" s="48" t="s">
        <v>4292</v>
      </c>
      <c r="B23803" s="38">
        <v>74291.0</v>
      </c>
      <c r="C23803" s="38" t="s">
        <v>28339</v>
      </c>
      <c r="D23803" s="38" t="str">
        <f>IFERROR(__xludf.DUMMYFUNCTION("REGEXREPLACE(C23803,""-\d+(.*)|--\d+(.*)"","""")"),"VANZY")</f>
        <v>VANZY</v>
      </c>
      <c r="E23803" s="38" t="s">
        <v>319</v>
      </c>
      <c r="F23803" s="38" t="s">
        <v>102</v>
      </c>
      <c r="G23803" s="49" t="str">
        <f t="shared" si="1"/>
        <v>74270</v>
      </c>
      <c r="H23803" s="49">
        <f t="shared" si="2"/>
        <v>74291</v>
      </c>
    </row>
    <row r="23804">
      <c r="A23804" s="48" t="s">
        <v>11910</v>
      </c>
      <c r="B23804" s="38">
        <v>46136.0</v>
      </c>
      <c r="C23804" s="38" t="s">
        <v>28340</v>
      </c>
      <c r="D23804" s="38" t="str">
        <f>IFERROR(__xludf.DUMMYFUNCTION("REGEXREPLACE(C23804,""-\d+(.*)|--\d+(.*)"","""")"),"LABASTIDE-DU-VERT")</f>
        <v>LABASTIDE-DU-VERT</v>
      </c>
      <c r="E23804" s="38" t="s">
        <v>185</v>
      </c>
      <c r="F23804" s="38" t="s">
        <v>94</v>
      </c>
      <c r="G23804" s="49" t="str">
        <f t="shared" si="1"/>
        <v>46150</v>
      </c>
      <c r="H23804" s="49">
        <f t="shared" si="2"/>
        <v>46136</v>
      </c>
    </row>
    <row r="23805">
      <c r="A23805" s="48" t="s">
        <v>2057</v>
      </c>
      <c r="B23805" s="38">
        <v>89453.0</v>
      </c>
      <c r="C23805" s="38" t="s">
        <v>28341</v>
      </c>
      <c r="D23805" s="38" t="str">
        <f>IFERROR(__xludf.DUMMYFUNCTION("REGEXREPLACE(C23805,""-\d+(.*)|--\d+(.*)"","""")"),"VILLEFARGEAU")</f>
        <v>VILLEFARGEAU</v>
      </c>
      <c r="E23805" s="38" t="s">
        <v>275</v>
      </c>
      <c r="F23805" s="38" t="s">
        <v>106</v>
      </c>
      <c r="G23805" s="49" t="str">
        <f t="shared" si="1"/>
        <v>89240</v>
      </c>
      <c r="H23805" s="49">
        <f t="shared" si="2"/>
        <v>89453</v>
      </c>
    </row>
    <row r="23806">
      <c r="A23806" s="48" t="s">
        <v>6728</v>
      </c>
      <c r="B23806" s="38">
        <v>89481.0</v>
      </c>
      <c r="C23806" s="38" t="s">
        <v>28342</v>
      </c>
      <c r="D23806" s="38" t="str">
        <f>IFERROR(__xludf.DUMMYFUNCTION("REGEXREPLACE(C23806,""-\d+(.*)|--\d+(.*)"","""")"),"VIREAUX")</f>
        <v>VIREAUX</v>
      </c>
      <c r="E23806" s="38" t="s">
        <v>275</v>
      </c>
      <c r="F23806" s="38" t="s">
        <v>106</v>
      </c>
      <c r="G23806" s="49" t="str">
        <f t="shared" si="1"/>
        <v>89160</v>
      </c>
      <c r="H23806" s="49">
        <f t="shared" si="2"/>
        <v>89481</v>
      </c>
    </row>
    <row r="23807">
      <c r="A23807" s="48" t="s">
        <v>19542</v>
      </c>
      <c r="B23807" s="38">
        <v>17291.0</v>
      </c>
      <c r="C23807" s="38" t="s">
        <v>28343</v>
      </c>
      <c r="D23807" s="38" t="str">
        <f>IFERROR(__xludf.DUMMYFUNCTION("REGEXREPLACE(C23807,""-\d+(.*)|--\d+(.*)"","""")"),"PUILBOREAU")</f>
        <v>PUILBOREAU</v>
      </c>
      <c r="E23807" s="38" t="s">
        <v>488</v>
      </c>
      <c r="F23807" s="38" t="s">
        <v>338</v>
      </c>
      <c r="G23807" s="49" t="str">
        <f t="shared" si="1"/>
        <v>17138</v>
      </c>
      <c r="H23807" s="49">
        <f t="shared" si="2"/>
        <v>17291</v>
      </c>
    </row>
    <row r="23808">
      <c r="A23808" s="48" t="s">
        <v>5933</v>
      </c>
      <c r="B23808" s="38">
        <v>64185.0</v>
      </c>
      <c r="C23808" s="38" t="s">
        <v>28344</v>
      </c>
      <c r="D23808" s="38" t="str">
        <f>IFERROR(__xludf.DUMMYFUNCTION("REGEXREPLACE(C23808,""-\d+(.*)|--\d+(.*)"","""")"),"CETTE-EYGUN")</f>
        <v>CETTE-EYGUN</v>
      </c>
      <c r="E23808" s="38" t="s">
        <v>268</v>
      </c>
      <c r="F23808" s="38" t="s">
        <v>252</v>
      </c>
      <c r="G23808" s="49" t="str">
        <f t="shared" si="1"/>
        <v>64490</v>
      </c>
      <c r="H23808" s="49">
        <f t="shared" si="2"/>
        <v>64185</v>
      </c>
    </row>
    <row r="23809">
      <c r="A23809" s="48" t="s">
        <v>13466</v>
      </c>
      <c r="B23809" s="38">
        <v>3269.0</v>
      </c>
      <c r="C23809" s="38" t="s">
        <v>28345</v>
      </c>
      <c r="D23809" s="38" t="str">
        <f>IFERROR(__xludf.DUMMYFUNCTION("REGEXREPLACE(C23809,""-\d+(.*)|--\d+(.*)"","""")"),"SAUVAGNY")</f>
        <v>SAUVAGNY</v>
      </c>
      <c r="E23809" s="38" t="s">
        <v>160</v>
      </c>
      <c r="F23809" s="38" t="s">
        <v>161</v>
      </c>
      <c r="G23809" s="49" t="str">
        <f t="shared" si="1"/>
        <v>03430</v>
      </c>
      <c r="H23809" s="49" t="str">
        <f t="shared" si="2"/>
        <v>03269</v>
      </c>
    </row>
    <row r="23810">
      <c r="A23810" s="48" t="s">
        <v>394</v>
      </c>
      <c r="B23810" s="38">
        <v>41209.0</v>
      </c>
      <c r="C23810" s="38" t="s">
        <v>28346</v>
      </c>
      <c r="D23810" s="38" t="str">
        <f>IFERROR(__xludf.DUMMYFUNCTION("REGEXREPLACE(C23810,""-\d+(.*)|--\d+(.*)"","""")"),"SAINT-FIRMIN-DES-PRES")</f>
        <v>SAINT-FIRMIN-DES-PRES</v>
      </c>
      <c r="E23810" s="38" t="s">
        <v>188</v>
      </c>
      <c r="F23810" s="38" t="s">
        <v>123</v>
      </c>
      <c r="G23810" s="49" t="str">
        <f t="shared" si="1"/>
        <v>41100</v>
      </c>
      <c r="H23810" s="49">
        <f t="shared" si="2"/>
        <v>41209</v>
      </c>
    </row>
    <row r="23811">
      <c r="A23811" s="48" t="s">
        <v>28347</v>
      </c>
      <c r="B23811" s="38">
        <v>42039.0</v>
      </c>
      <c r="C23811" s="38" t="s">
        <v>28348</v>
      </c>
      <c r="D23811" s="38" t="str">
        <f>IFERROR(__xludf.DUMMYFUNCTION("REGEXREPLACE(C23811,""-\d+(.*)|--\d+(.*)"","""")"),"CHALMAZEL")</f>
        <v>CHALMAZEL</v>
      </c>
      <c r="E23811" s="38" t="s">
        <v>166</v>
      </c>
      <c r="F23811" s="38" t="s">
        <v>102</v>
      </c>
      <c r="G23811" s="49" t="str">
        <f t="shared" si="1"/>
        <v>42920</v>
      </c>
      <c r="H23811" s="49">
        <f t="shared" si="2"/>
        <v>42039</v>
      </c>
    </row>
    <row r="23812">
      <c r="A23812" s="48" t="s">
        <v>2937</v>
      </c>
      <c r="B23812" s="38">
        <v>73316.0</v>
      </c>
      <c r="C23812" s="38" t="s">
        <v>28349</v>
      </c>
      <c r="D23812" s="38" t="str">
        <f>IFERROR(__xludf.DUMMYFUNCTION("REGEXREPLACE(C23812,""-\d+(.*)|--\d+(.*)"","""")"),"VILLARD-SALLET")</f>
        <v>VILLARD-SALLET</v>
      </c>
      <c r="E23812" s="38" t="s">
        <v>306</v>
      </c>
      <c r="F23812" s="38" t="s">
        <v>102</v>
      </c>
      <c r="G23812" s="49" t="str">
        <f t="shared" si="1"/>
        <v>73110</v>
      </c>
      <c r="H23812" s="49">
        <f t="shared" si="2"/>
        <v>73316</v>
      </c>
    </row>
    <row r="23813">
      <c r="A23813" s="48" t="s">
        <v>7431</v>
      </c>
      <c r="B23813" s="38">
        <v>77281.0</v>
      </c>
      <c r="C23813" s="38" t="s">
        <v>28350</v>
      </c>
      <c r="D23813" s="38" t="str">
        <f>IFERROR(__xludf.DUMMYFUNCTION("REGEXREPLACE(C23813,""-\d+(.*)|--\d+(.*)"","""")"),"MAUPERTHUIS")</f>
        <v>MAUPERTHUIS</v>
      </c>
      <c r="E23813" s="38" t="s">
        <v>244</v>
      </c>
      <c r="F23813" s="38" t="s">
        <v>245</v>
      </c>
      <c r="G23813" s="49" t="str">
        <f t="shared" si="1"/>
        <v>77120</v>
      </c>
      <c r="H23813" s="49">
        <f t="shared" si="2"/>
        <v>77281</v>
      </c>
    </row>
    <row r="23814">
      <c r="A23814" s="48" t="s">
        <v>2170</v>
      </c>
      <c r="B23814" s="38">
        <v>80304.0</v>
      </c>
      <c r="C23814" s="38" t="s">
        <v>18115</v>
      </c>
      <c r="D23814" s="38" t="str">
        <f>IFERROR(__xludf.DUMMYFUNCTION("REGEXREPLACE(C23814,""-\d+(.*)|--\d+(.*)"","""")"),"FAY")</f>
        <v>FAY</v>
      </c>
      <c r="E23814" s="38" t="s">
        <v>224</v>
      </c>
      <c r="F23814" s="38" t="s">
        <v>113</v>
      </c>
      <c r="G23814" s="49" t="str">
        <f t="shared" si="1"/>
        <v>80200</v>
      </c>
      <c r="H23814" s="49">
        <f t="shared" si="2"/>
        <v>80304</v>
      </c>
    </row>
    <row r="23815">
      <c r="A23815" s="48" t="s">
        <v>993</v>
      </c>
      <c r="B23815" s="38">
        <v>73128.0</v>
      </c>
      <c r="C23815" s="38" t="s">
        <v>28351</v>
      </c>
      <c r="D23815" s="38" t="str">
        <f>IFERROR(__xludf.DUMMYFUNCTION("REGEXREPLACE(C23815,""-\d+(.*)|--\d+(.*)"","""")"),"GRESY-SUR-AIX")</f>
        <v>GRESY-SUR-AIX</v>
      </c>
      <c r="E23815" s="38" t="s">
        <v>306</v>
      </c>
      <c r="F23815" s="38" t="s">
        <v>102</v>
      </c>
      <c r="G23815" s="49" t="str">
        <f t="shared" si="1"/>
        <v>73100</v>
      </c>
      <c r="H23815" s="49">
        <f t="shared" si="2"/>
        <v>73128</v>
      </c>
    </row>
    <row r="23816">
      <c r="A23816" s="48" t="s">
        <v>3846</v>
      </c>
      <c r="B23816" s="38">
        <v>19183.0</v>
      </c>
      <c r="C23816" s="38" t="s">
        <v>28352</v>
      </c>
      <c r="D23816" s="38" t="str">
        <f>IFERROR(__xludf.DUMMYFUNCTION("REGEXREPLACE(C23816,""-\d+(.*)|--\d+(.*)"","""")"),"SAINT-BAZILE-DE-LA-ROCHE")</f>
        <v>SAINT-BAZILE-DE-LA-ROCHE</v>
      </c>
      <c r="E23816" s="38" t="s">
        <v>271</v>
      </c>
      <c r="F23816" s="38" t="s">
        <v>98</v>
      </c>
      <c r="G23816" s="49" t="str">
        <f t="shared" si="1"/>
        <v>19320</v>
      </c>
      <c r="H23816" s="49">
        <f t="shared" si="2"/>
        <v>19183</v>
      </c>
    </row>
    <row r="23817">
      <c r="A23817" s="48" t="s">
        <v>5198</v>
      </c>
      <c r="B23817" s="38">
        <v>39464.0</v>
      </c>
      <c r="C23817" s="38" t="s">
        <v>3380</v>
      </c>
      <c r="D23817" s="38" t="str">
        <f>IFERROR(__xludf.DUMMYFUNCTION("REGEXREPLACE(C23817,""-\d+(.*)|--\d+(.*)"","""")"),"ROMAIN")</f>
        <v>ROMAIN</v>
      </c>
      <c r="E23817" s="38" t="s">
        <v>400</v>
      </c>
      <c r="F23817" s="38" t="s">
        <v>214</v>
      </c>
      <c r="G23817" s="49" t="str">
        <f t="shared" si="1"/>
        <v>39350</v>
      </c>
      <c r="H23817" s="49">
        <f t="shared" si="2"/>
        <v>39464</v>
      </c>
    </row>
    <row r="23818">
      <c r="A23818" s="48" t="s">
        <v>2775</v>
      </c>
      <c r="B23818" s="38">
        <v>59531.0</v>
      </c>
      <c r="C23818" s="38" t="s">
        <v>28353</v>
      </c>
      <c r="D23818" s="38" t="str">
        <f>IFERROR(__xludf.DUMMYFUNCTION("REGEXREPLACE(C23818,""-\d+(.*)|--\d+(.*)"","""")"),"SAINT-BENIN")</f>
        <v>SAINT-BENIN</v>
      </c>
      <c r="E23818" s="38" t="s">
        <v>85</v>
      </c>
      <c r="F23818" s="38" t="s">
        <v>86</v>
      </c>
      <c r="G23818" s="49" t="str">
        <f t="shared" si="1"/>
        <v>59360</v>
      </c>
      <c r="H23818" s="49">
        <f t="shared" si="2"/>
        <v>59531</v>
      </c>
    </row>
    <row r="23819">
      <c r="A23819" s="48" t="s">
        <v>28354</v>
      </c>
      <c r="B23819" s="38">
        <v>83058.0</v>
      </c>
      <c r="C23819" s="38" t="s">
        <v>28355</v>
      </c>
      <c r="D23819" s="38" t="str">
        <f>IFERROR(__xludf.DUMMYFUNCTION("REGEXREPLACE(C23819,""-\d+(.*)|--\d+(.*)"","""")"),"FLAYOSC")</f>
        <v>FLAYOSC</v>
      </c>
      <c r="E23819" s="38" t="s">
        <v>813</v>
      </c>
      <c r="F23819" s="38" t="s">
        <v>228</v>
      </c>
      <c r="G23819" s="49" t="str">
        <f t="shared" si="1"/>
        <v>83780</v>
      </c>
      <c r="H23819" s="49">
        <f t="shared" si="2"/>
        <v>83058</v>
      </c>
    </row>
    <row r="23820">
      <c r="A23820" s="48" t="s">
        <v>2957</v>
      </c>
      <c r="B23820" s="38">
        <v>86077.0</v>
      </c>
      <c r="C23820" s="38" t="s">
        <v>28356</v>
      </c>
      <c r="D23820" s="38" t="str">
        <f>IFERROR(__xludf.DUMMYFUNCTION("REGEXREPLACE(C23820,""-\d+(.*)|--\d+(.*)"","""")"),"CIVAUX")</f>
        <v>CIVAUX</v>
      </c>
      <c r="E23820" s="38" t="s">
        <v>529</v>
      </c>
      <c r="F23820" s="38" t="s">
        <v>338</v>
      </c>
      <c r="G23820" s="49" t="str">
        <f t="shared" si="1"/>
        <v>86320</v>
      </c>
      <c r="H23820" s="49">
        <f t="shared" si="2"/>
        <v>86077</v>
      </c>
    </row>
    <row r="23821">
      <c r="A23821" s="48" t="s">
        <v>4108</v>
      </c>
      <c r="B23821" s="38" t="s">
        <v>28357</v>
      </c>
      <c r="C23821" s="38" t="s">
        <v>28358</v>
      </c>
      <c r="D23821" s="38" t="str">
        <f>IFERROR(__xludf.DUMMYFUNCTION("REGEXREPLACE(C23821,""-\d+(.*)|--\d+(.*)"","""")"),"AREGNO")</f>
        <v>AREGNO</v>
      </c>
      <c r="E23821" s="38" t="s">
        <v>743</v>
      </c>
      <c r="F23821" s="38" t="s">
        <v>607</v>
      </c>
      <c r="G23821" s="49" t="str">
        <f t="shared" si="1"/>
        <v>20220</v>
      </c>
      <c r="H23821" s="49" t="str">
        <f t="shared" si="2"/>
        <v>2B020</v>
      </c>
    </row>
    <row r="23822">
      <c r="A23822" s="48" t="s">
        <v>12195</v>
      </c>
      <c r="B23822" s="38">
        <v>22169.0</v>
      </c>
      <c r="C23822" s="38" t="s">
        <v>28359</v>
      </c>
      <c r="D23822" s="38" t="str">
        <f>IFERROR(__xludf.DUMMYFUNCTION("REGEXREPLACE(C23822,""-\d+(.*)|--\d+(.*)"","""")"),"PEUMERIT-QUINTIN")</f>
        <v>PEUMERIT-QUINTIN</v>
      </c>
      <c r="E23822" s="38" t="s">
        <v>89</v>
      </c>
      <c r="F23822" s="38" t="s">
        <v>90</v>
      </c>
      <c r="G23822" s="49" t="str">
        <f t="shared" si="1"/>
        <v>22480</v>
      </c>
      <c r="H23822" s="49">
        <f t="shared" si="2"/>
        <v>22169</v>
      </c>
    </row>
    <row r="23823">
      <c r="A23823" s="48" t="s">
        <v>11477</v>
      </c>
      <c r="B23823" s="38">
        <v>33274.0</v>
      </c>
      <c r="C23823" s="38" t="s">
        <v>28360</v>
      </c>
      <c r="D23823" s="38" t="str">
        <f>IFERROR(__xludf.DUMMYFUNCTION("REGEXREPLACE(C23823,""-\d+(.*)|--\d+(.*)"","""")"),"MARTILLAC")</f>
        <v>MARTILLAC</v>
      </c>
      <c r="E23823" s="38" t="s">
        <v>462</v>
      </c>
      <c r="F23823" s="38" t="s">
        <v>252</v>
      </c>
      <c r="G23823" s="49" t="str">
        <f t="shared" si="1"/>
        <v>33650</v>
      </c>
      <c r="H23823" s="49">
        <f t="shared" si="2"/>
        <v>33274</v>
      </c>
    </row>
    <row r="23824">
      <c r="A23824" s="48" t="s">
        <v>5706</v>
      </c>
      <c r="B23824" s="38">
        <v>63372.0</v>
      </c>
      <c r="C23824" s="38" t="s">
        <v>28361</v>
      </c>
      <c r="D23824" s="38" t="str">
        <f>IFERROR(__xludf.DUMMYFUNCTION("REGEXREPLACE(C23824,""-\d+(.*)|--\d+(.*)"","""")"),"SAINT-LAURE")</f>
        <v>SAINT-LAURE</v>
      </c>
      <c r="E23824" s="38" t="s">
        <v>353</v>
      </c>
      <c r="F23824" s="38" t="s">
        <v>161</v>
      </c>
      <c r="G23824" s="49" t="str">
        <f t="shared" si="1"/>
        <v>63350</v>
      </c>
      <c r="H23824" s="49">
        <f t="shared" si="2"/>
        <v>63372</v>
      </c>
    </row>
    <row r="23825">
      <c r="A23825" s="48" t="s">
        <v>2888</v>
      </c>
      <c r="B23825" s="38">
        <v>2359.0</v>
      </c>
      <c r="C23825" s="38" t="s">
        <v>28362</v>
      </c>
      <c r="D23825" s="38" t="str">
        <f>IFERROR(__xludf.DUMMYFUNCTION("REGEXREPLACE(C23825,""-\d+(.*)|--\d+(.*)"","""")"),"GRUGIES")</f>
        <v>GRUGIES</v>
      </c>
      <c r="E23825" s="38" t="s">
        <v>191</v>
      </c>
      <c r="F23825" s="38" t="s">
        <v>113</v>
      </c>
      <c r="G23825" s="49" t="str">
        <f t="shared" si="1"/>
        <v>02680</v>
      </c>
      <c r="H23825" s="49" t="str">
        <f t="shared" si="2"/>
        <v>02359</v>
      </c>
    </row>
    <row r="23826">
      <c r="A23826" s="48" t="s">
        <v>2047</v>
      </c>
      <c r="B23826" s="38">
        <v>62079.0</v>
      </c>
      <c r="C23826" s="38" t="s">
        <v>28363</v>
      </c>
      <c r="D23826" s="38" t="str">
        <f>IFERROR(__xludf.DUMMYFUNCTION("REGEXREPLACE(C23826,""-\d+(.*)|--\d+(.*)"","""")"),"BANCOURT")</f>
        <v>BANCOURT</v>
      </c>
      <c r="E23826" s="38" t="s">
        <v>109</v>
      </c>
      <c r="F23826" s="38" t="s">
        <v>86</v>
      </c>
      <c r="G23826" s="49" t="str">
        <f t="shared" si="1"/>
        <v>62450</v>
      </c>
      <c r="H23826" s="49">
        <f t="shared" si="2"/>
        <v>62079</v>
      </c>
    </row>
    <row r="23827">
      <c r="A23827" s="48" t="s">
        <v>217</v>
      </c>
      <c r="B23827" s="38">
        <v>58234.0</v>
      </c>
      <c r="C23827" s="38" t="s">
        <v>28364</v>
      </c>
      <c r="D23827" s="38" t="str">
        <f>IFERROR(__xludf.DUMMYFUNCTION("REGEXREPLACE(C23827,""-\d+(.*)|--\d+(.*)"","""")"),"SAINT-BONNOT")</f>
        <v>SAINT-BONNOT</v>
      </c>
      <c r="E23827" s="38" t="s">
        <v>219</v>
      </c>
      <c r="F23827" s="38" t="s">
        <v>106</v>
      </c>
      <c r="G23827" s="49" t="str">
        <f t="shared" si="1"/>
        <v>58700</v>
      </c>
      <c r="H23827" s="49">
        <f t="shared" si="2"/>
        <v>58234</v>
      </c>
    </row>
    <row r="23828">
      <c r="A23828" s="48" t="s">
        <v>12807</v>
      </c>
      <c r="B23828" s="38">
        <v>42108.0</v>
      </c>
      <c r="C23828" s="38" t="s">
        <v>28365</v>
      </c>
      <c r="D23828" s="38" t="str">
        <f>IFERROR(__xludf.DUMMYFUNCTION("REGEXREPLACE(C23828,""-\d+(.*)|--\d+(.*)"","""")"),"L'HOPITAL-LE-GRAND")</f>
        <v>L'HOPITAL-LE-GRAND</v>
      </c>
      <c r="E23828" s="38" t="s">
        <v>166</v>
      </c>
      <c r="F23828" s="38" t="s">
        <v>102</v>
      </c>
      <c r="G23828" s="49" t="str">
        <f t="shared" si="1"/>
        <v>42210</v>
      </c>
      <c r="H23828" s="49">
        <f t="shared" si="2"/>
        <v>42108</v>
      </c>
    </row>
    <row r="23829">
      <c r="A23829" s="48" t="s">
        <v>25654</v>
      </c>
      <c r="B23829" s="38">
        <v>58302.0</v>
      </c>
      <c r="C23829" s="38" t="s">
        <v>28366</v>
      </c>
      <c r="D23829" s="38" t="str">
        <f>IFERROR(__xludf.DUMMYFUNCTION("REGEXREPLACE(C23829,""-\d+(.*)|--\d+(.*)"","""")"),"VARENNES-LES-NARCY")</f>
        <v>VARENNES-LES-NARCY</v>
      </c>
      <c r="E23829" s="38" t="s">
        <v>219</v>
      </c>
      <c r="F23829" s="38" t="s">
        <v>106</v>
      </c>
      <c r="G23829" s="49" t="str">
        <f t="shared" si="1"/>
        <v>58400</v>
      </c>
      <c r="H23829" s="49">
        <f t="shared" si="2"/>
        <v>58302</v>
      </c>
    </row>
    <row r="23830">
      <c r="A23830" s="48" t="s">
        <v>7684</v>
      </c>
      <c r="B23830" s="38">
        <v>1127.0</v>
      </c>
      <c r="C23830" s="38" t="s">
        <v>28367</v>
      </c>
      <c r="D23830" s="38" t="str">
        <f>IFERROR(__xludf.DUMMYFUNCTION("REGEXREPLACE(C23830,""-\d+(.*)|--\d+(.*)"","""")"),"COURMANGOUX")</f>
        <v>COURMANGOUX</v>
      </c>
      <c r="E23830" s="38" t="s">
        <v>255</v>
      </c>
      <c r="F23830" s="38" t="s">
        <v>102</v>
      </c>
      <c r="G23830" s="49" t="str">
        <f t="shared" si="1"/>
        <v>01370</v>
      </c>
      <c r="H23830" s="49" t="str">
        <f t="shared" si="2"/>
        <v>01127</v>
      </c>
    </row>
    <row r="23831">
      <c r="A23831" s="48" t="s">
        <v>10052</v>
      </c>
      <c r="B23831" s="38">
        <v>39579.0</v>
      </c>
      <c r="C23831" s="38" t="s">
        <v>23916</v>
      </c>
      <c r="D23831" s="38" t="str">
        <f>IFERROR(__xludf.DUMMYFUNCTION("REGEXREPLACE(C23831,""-\d+(.*)|--\d+(.*)"","""")"),"VIRY")</f>
        <v>VIRY</v>
      </c>
      <c r="E23831" s="38" t="s">
        <v>400</v>
      </c>
      <c r="F23831" s="38" t="s">
        <v>214</v>
      </c>
      <c r="G23831" s="49" t="str">
        <f t="shared" si="1"/>
        <v>39360</v>
      </c>
      <c r="H23831" s="49">
        <f t="shared" si="2"/>
        <v>39579</v>
      </c>
    </row>
    <row r="23832">
      <c r="A23832" s="48" t="s">
        <v>1199</v>
      </c>
      <c r="B23832" s="38">
        <v>55150.0</v>
      </c>
      <c r="C23832" s="38" t="s">
        <v>28368</v>
      </c>
      <c r="D23832" s="38" t="str">
        <f>IFERROR(__xludf.DUMMYFUNCTION("REGEXREPLACE(C23832,""-\d+(.*)|--\d+(.*)"","""")"),"DEMANGE-AUX-EAUX")</f>
        <v>DEMANGE-AUX-EAUX</v>
      </c>
      <c r="E23832" s="38" t="s">
        <v>322</v>
      </c>
      <c r="F23832" s="38" t="s">
        <v>195</v>
      </c>
      <c r="G23832" s="49" t="str">
        <f t="shared" si="1"/>
        <v>55130</v>
      </c>
      <c r="H23832" s="49">
        <f t="shared" si="2"/>
        <v>55150</v>
      </c>
    </row>
    <row r="23833">
      <c r="A23833" s="48" t="s">
        <v>12159</v>
      </c>
      <c r="B23833" s="38" t="s">
        <v>28369</v>
      </c>
      <c r="C23833" s="38" t="s">
        <v>28370</v>
      </c>
      <c r="D23833" s="38" t="str">
        <f>IFERROR(__xludf.DUMMYFUNCTION("REGEXREPLACE(C23833,""-\d+(.*)|--\d+(.*)"","""")"),"RIVENTOSA")</f>
        <v>RIVENTOSA</v>
      </c>
      <c r="E23833" s="38" t="s">
        <v>743</v>
      </c>
      <c r="F23833" s="38" t="s">
        <v>607</v>
      </c>
      <c r="G23833" s="49" t="str">
        <f t="shared" si="1"/>
        <v>20250</v>
      </c>
      <c r="H23833" s="49" t="str">
        <f t="shared" si="2"/>
        <v>2B260</v>
      </c>
    </row>
    <row r="23834">
      <c r="A23834" s="48" t="s">
        <v>789</v>
      </c>
      <c r="B23834" s="38">
        <v>10388.0</v>
      </c>
      <c r="C23834" s="38" t="s">
        <v>28371</v>
      </c>
      <c r="D23834" s="38" t="str">
        <f>IFERROR(__xludf.DUMMYFUNCTION("REGEXREPLACE(C23834,""-\d+(.*)|--\d+(.*)"","""")"),"TURGY")</f>
        <v>TURGY</v>
      </c>
      <c r="E23834" s="38" t="s">
        <v>147</v>
      </c>
      <c r="F23834" s="38" t="s">
        <v>130</v>
      </c>
      <c r="G23834" s="49" t="str">
        <f t="shared" si="1"/>
        <v>10210</v>
      </c>
      <c r="H23834" s="49">
        <f t="shared" si="2"/>
        <v>10388</v>
      </c>
    </row>
    <row r="23835">
      <c r="A23835" s="48" t="s">
        <v>1898</v>
      </c>
      <c r="B23835" s="38">
        <v>31396.0</v>
      </c>
      <c r="C23835" s="38" t="s">
        <v>28372</v>
      </c>
      <c r="D23835" s="38" t="str">
        <f>IFERROR(__xludf.DUMMYFUNCTION("REGEXREPLACE(C23835,""-\d+(.*)|--\d+(.*)"","""")"),"NAILLOUX")</f>
        <v>NAILLOUX</v>
      </c>
      <c r="E23835" s="38" t="s">
        <v>93</v>
      </c>
      <c r="F23835" s="38" t="s">
        <v>94</v>
      </c>
      <c r="G23835" s="49" t="str">
        <f t="shared" si="1"/>
        <v>31560</v>
      </c>
      <c r="H23835" s="49">
        <f t="shared" si="2"/>
        <v>31396</v>
      </c>
    </row>
    <row r="23836">
      <c r="A23836" s="48" t="s">
        <v>1029</v>
      </c>
      <c r="B23836" s="38">
        <v>9222.0</v>
      </c>
      <c r="C23836" s="38" t="s">
        <v>28373</v>
      </c>
      <c r="D23836" s="38" t="str">
        <f>IFERROR(__xludf.DUMMYFUNCTION("REGEXREPLACE(C23836,""-\d+(.*)|--\d+(.*)"","""")"),"ORUS")</f>
        <v>ORUS</v>
      </c>
      <c r="E23836" s="38" t="s">
        <v>238</v>
      </c>
      <c r="F23836" s="38" t="s">
        <v>94</v>
      </c>
      <c r="G23836" s="49" t="str">
        <f t="shared" si="1"/>
        <v>09220</v>
      </c>
      <c r="H23836" s="49" t="str">
        <f t="shared" si="2"/>
        <v>09222</v>
      </c>
    </row>
    <row r="23837">
      <c r="A23837" s="48" t="s">
        <v>1027</v>
      </c>
      <c r="B23837" s="38">
        <v>1141.0</v>
      </c>
      <c r="C23837" s="38" t="s">
        <v>22597</v>
      </c>
      <c r="D23837" s="38" t="str">
        <f>IFERROR(__xludf.DUMMYFUNCTION("REGEXREPLACE(C23837,""-\d+(.*)|--\d+(.*)"","""")"),"CUZIEU")</f>
        <v>CUZIEU</v>
      </c>
      <c r="E23837" s="38" t="s">
        <v>255</v>
      </c>
      <c r="F23837" s="38" t="s">
        <v>102</v>
      </c>
      <c r="G23837" s="49" t="str">
        <f t="shared" si="1"/>
        <v>01300</v>
      </c>
      <c r="H23837" s="49" t="str">
        <f t="shared" si="2"/>
        <v>01141</v>
      </c>
    </row>
    <row r="23838">
      <c r="A23838" s="48" t="s">
        <v>384</v>
      </c>
      <c r="B23838" s="38">
        <v>55366.0</v>
      </c>
      <c r="C23838" s="38" t="s">
        <v>28374</v>
      </c>
      <c r="D23838" s="38" t="str">
        <f>IFERROR(__xludf.DUMMYFUNCTION("REGEXREPLACE(C23838,""-\d+(.*)|--\d+(.*)"","""")"),"VAL-D'ORNAIN")</f>
        <v>VAL-D'ORNAIN</v>
      </c>
      <c r="E23838" s="38" t="s">
        <v>322</v>
      </c>
      <c r="F23838" s="38" t="s">
        <v>195</v>
      </c>
      <c r="G23838" s="49" t="str">
        <f t="shared" si="1"/>
        <v>55000</v>
      </c>
      <c r="H23838" s="49">
        <f t="shared" si="2"/>
        <v>55366</v>
      </c>
    </row>
    <row r="23839">
      <c r="A23839" s="48" t="s">
        <v>6805</v>
      </c>
      <c r="B23839" s="38">
        <v>79276.0</v>
      </c>
      <c r="C23839" s="38" t="s">
        <v>28375</v>
      </c>
      <c r="D23839" s="38" t="str">
        <f>IFERROR(__xludf.DUMMYFUNCTION("REGEXREPLACE(C23839,""-\d+(.*)|--\d+(.*)"","""")"),"SAINT-MARTIN-DE-SAINT-MAIXENT")</f>
        <v>SAINT-MARTIN-DE-SAINT-MAIXENT</v>
      </c>
      <c r="E23839" s="38" t="s">
        <v>337</v>
      </c>
      <c r="F23839" s="38" t="s">
        <v>338</v>
      </c>
      <c r="G23839" s="49" t="str">
        <f t="shared" si="1"/>
        <v>79400</v>
      </c>
      <c r="H23839" s="49">
        <f t="shared" si="2"/>
        <v>79276</v>
      </c>
    </row>
    <row r="23840">
      <c r="A23840" s="48" t="s">
        <v>8371</v>
      </c>
      <c r="B23840" s="38">
        <v>57034.0</v>
      </c>
      <c r="C23840" s="38" t="s">
        <v>28376</v>
      </c>
      <c r="D23840" s="38" t="str">
        <f>IFERROR(__xludf.DUMMYFUNCTION("REGEXREPLACE(C23840,""-\d+(.*)|--\d+(.*)"","""")"),"ASPACH")</f>
        <v>ASPACH</v>
      </c>
      <c r="E23840" s="38" t="s">
        <v>303</v>
      </c>
      <c r="F23840" s="38" t="s">
        <v>195</v>
      </c>
      <c r="G23840" s="49" t="str">
        <f t="shared" si="1"/>
        <v>57790</v>
      </c>
      <c r="H23840" s="49">
        <f t="shared" si="2"/>
        <v>57034</v>
      </c>
    </row>
    <row r="23841">
      <c r="A23841" s="48" t="s">
        <v>10358</v>
      </c>
      <c r="B23841" s="38">
        <v>42295.0</v>
      </c>
      <c r="C23841" s="38" t="s">
        <v>28377</v>
      </c>
      <c r="D23841" s="38" t="str">
        <f>IFERROR(__xludf.DUMMYFUNCTION("REGEXREPLACE(C23841,""-\d+(.*)|--\d+(.*)"","""")"),"LES SALLES")</f>
        <v>LES SALLES</v>
      </c>
      <c r="E23841" s="38" t="s">
        <v>166</v>
      </c>
      <c r="F23841" s="38" t="s">
        <v>102</v>
      </c>
      <c r="G23841" s="49" t="str">
        <f t="shared" si="1"/>
        <v>42440</v>
      </c>
      <c r="H23841" s="49">
        <f t="shared" si="2"/>
        <v>42295</v>
      </c>
    </row>
    <row r="23842">
      <c r="A23842" s="48" t="s">
        <v>2995</v>
      </c>
      <c r="B23842" s="38">
        <v>28095.0</v>
      </c>
      <c r="C23842" s="38" t="s">
        <v>28378</v>
      </c>
      <c r="D23842" s="38" t="str">
        <f>IFERROR(__xludf.DUMMYFUNCTION("REGEXREPLACE(C23842,""-\d+(.*)|--\d+(.*)"","""")"),"CHAUFFOURS")</f>
        <v>CHAUFFOURS</v>
      </c>
      <c r="E23842" s="38" t="s">
        <v>300</v>
      </c>
      <c r="F23842" s="38" t="s">
        <v>123</v>
      </c>
      <c r="G23842" s="49" t="str">
        <f t="shared" si="1"/>
        <v>28120</v>
      </c>
      <c r="H23842" s="49">
        <f t="shared" si="2"/>
        <v>28095</v>
      </c>
    </row>
    <row r="23843">
      <c r="A23843" s="48" t="s">
        <v>9028</v>
      </c>
      <c r="B23843" s="38">
        <v>65044.0</v>
      </c>
      <c r="C23843" s="38" t="s">
        <v>28379</v>
      </c>
      <c r="D23843" s="38" t="str">
        <f>IFERROR(__xludf.DUMMYFUNCTION("REGEXREPLACE(C23843,""-\d+(.*)|--\d+(.*)"","""")"),"AUBAREDE")</f>
        <v>AUBAREDE</v>
      </c>
      <c r="E23843" s="38" t="s">
        <v>200</v>
      </c>
      <c r="F23843" s="38" t="s">
        <v>94</v>
      </c>
      <c r="G23843" s="49" t="str">
        <f t="shared" si="1"/>
        <v>65350</v>
      </c>
      <c r="H23843" s="49">
        <f t="shared" si="2"/>
        <v>65044</v>
      </c>
    </row>
    <row r="23844">
      <c r="A23844" s="48" t="s">
        <v>7082</v>
      </c>
      <c r="B23844" s="38">
        <v>79120.0</v>
      </c>
      <c r="C23844" s="38" t="s">
        <v>28380</v>
      </c>
      <c r="D23844" s="38" t="str">
        <f>IFERROR(__xludf.DUMMYFUNCTION("REGEXREPLACE(C23844,""-\d+(.*)|--\d+(.*)"","""")"),"LA FERRIERE-EN-PARTHENAY")</f>
        <v>LA FERRIERE-EN-PARTHENAY</v>
      </c>
      <c r="E23844" s="38" t="s">
        <v>337</v>
      </c>
      <c r="F23844" s="38" t="s">
        <v>338</v>
      </c>
      <c r="G23844" s="49" t="str">
        <f t="shared" si="1"/>
        <v>79390</v>
      </c>
      <c r="H23844" s="49">
        <f t="shared" si="2"/>
        <v>79120</v>
      </c>
    </row>
    <row r="23845">
      <c r="A23845" s="48" t="s">
        <v>1632</v>
      </c>
      <c r="B23845" s="38">
        <v>63074.0</v>
      </c>
      <c r="C23845" s="38" t="s">
        <v>8672</v>
      </c>
      <c r="D23845" s="38" t="str">
        <f>IFERROR(__xludf.DUMMYFUNCTION("REGEXREPLACE(C23845,""-\d+(.*)|--\d+(.*)"","""")"),"CHALUS")</f>
        <v>CHALUS</v>
      </c>
      <c r="E23845" s="38" t="s">
        <v>353</v>
      </c>
      <c r="F23845" s="38" t="s">
        <v>161</v>
      </c>
      <c r="G23845" s="49" t="str">
        <f t="shared" si="1"/>
        <v>63340</v>
      </c>
      <c r="H23845" s="49">
        <f t="shared" si="2"/>
        <v>63074</v>
      </c>
    </row>
    <row r="23846">
      <c r="A23846" s="48" t="s">
        <v>2705</v>
      </c>
      <c r="B23846" s="38">
        <v>77198.0</v>
      </c>
      <c r="C23846" s="38" t="s">
        <v>28381</v>
      </c>
      <c r="D23846" s="38" t="str">
        <f>IFERROR(__xludf.DUMMYFUNCTION("REGEXREPLACE(C23846,""-\d+(.*)|--\d+(.*)"","""")"),"FROMONT")</f>
        <v>FROMONT</v>
      </c>
      <c r="E23846" s="38" t="s">
        <v>244</v>
      </c>
      <c r="F23846" s="38" t="s">
        <v>245</v>
      </c>
      <c r="G23846" s="49" t="str">
        <f t="shared" si="1"/>
        <v>77760</v>
      </c>
      <c r="H23846" s="49">
        <f t="shared" si="2"/>
        <v>77198</v>
      </c>
    </row>
    <row r="23847">
      <c r="A23847" s="48" t="s">
        <v>3651</v>
      </c>
      <c r="B23847" s="38">
        <v>19205.0</v>
      </c>
      <c r="C23847" s="38" t="s">
        <v>28382</v>
      </c>
      <c r="D23847" s="38" t="str">
        <f>IFERROR(__xludf.DUMMYFUNCTION("REGEXREPLACE(C23847,""-\d+(.*)|--\d+(.*)"","""")"),"SAINT-GENIEZ-O-MERLE")</f>
        <v>SAINT-GENIEZ-O-MERLE</v>
      </c>
      <c r="E23847" s="38" t="s">
        <v>271</v>
      </c>
      <c r="F23847" s="38" t="s">
        <v>98</v>
      </c>
      <c r="G23847" s="49" t="str">
        <f t="shared" si="1"/>
        <v>19220</v>
      </c>
      <c r="H23847" s="49">
        <f t="shared" si="2"/>
        <v>19205</v>
      </c>
    </row>
    <row r="23848">
      <c r="A23848" s="48" t="s">
        <v>5020</v>
      </c>
      <c r="B23848" s="38">
        <v>51264.0</v>
      </c>
      <c r="C23848" s="38" t="s">
        <v>28383</v>
      </c>
      <c r="D23848" s="38" t="str">
        <f>IFERROR(__xludf.DUMMYFUNCTION("REGEXREPLACE(C23848,""-\d+(.*)|--\d+(.*)"","""")"),"LE GAULT-SOIGNY")</f>
        <v>LE GAULT-SOIGNY</v>
      </c>
      <c r="E23848" s="38" t="s">
        <v>129</v>
      </c>
      <c r="F23848" s="38" t="s">
        <v>130</v>
      </c>
      <c r="G23848" s="49" t="str">
        <f t="shared" si="1"/>
        <v>51210</v>
      </c>
      <c r="H23848" s="49">
        <f t="shared" si="2"/>
        <v>51264</v>
      </c>
    </row>
    <row r="23849">
      <c r="A23849" s="48" t="s">
        <v>9623</v>
      </c>
      <c r="B23849" s="38">
        <v>5180.0</v>
      </c>
      <c r="C23849" s="38" t="s">
        <v>28384</v>
      </c>
      <c r="D23849" s="38" t="str">
        <f>IFERROR(__xludf.DUMMYFUNCTION("REGEXREPLACE(C23849,""-\d+(.*)|--\d+(.*)"","""")"),"LES VIGNEAUX")</f>
        <v>LES VIGNEAUX</v>
      </c>
      <c r="E23849" s="38" t="s">
        <v>706</v>
      </c>
      <c r="F23849" s="38" t="s">
        <v>228</v>
      </c>
      <c r="G23849" s="49" t="str">
        <f t="shared" si="1"/>
        <v>05120</v>
      </c>
      <c r="H23849" s="49" t="str">
        <f t="shared" si="2"/>
        <v>05180</v>
      </c>
    </row>
    <row r="23850">
      <c r="A23850" s="48" t="s">
        <v>13858</v>
      </c>
      <c r="B23850" s="38">
        <v>85062.0</v>
      </c>
      <c r="C23850" s="38" t="s">
        <v>12622</v>
      </c>
      <c r="D23850" s="38" t="str">
        <f>IFERROR(__xludf.DUMMYFUNCTION("REGEXREPLACE(C23850,""-\d+(.*)|--\d+(.*)"","""")"),"CHATEAUNEUF")</f>
        <v>CHATEAUNEUF</v>
      </c>
      <c r="E23850" s="38" t="s">
        <v>179</v>
      </c>
      <c r="F23850" s="38" t="s">
        <v>180</v>
      </c>
      <c r="G23850" s="49" t="str">
        <f t="shared" si="1"/>
        <v>85710</v>
      </c>
      <c r="H23850" s="49">
        <f t="shared" si="2"/>
        <v>85062</v>
      </c>
    </row>
    <row r="23851">
      <c r="A23851" s="48" t="s">
        <v>3545</v>
      </c>
      <c r="B23851" s="38">
        <v>17282.0</v>
      </c>
      <c r="C23851" s="38" t="s">
        <v>28385</v>
      </c>
      <c r="D23851" s="38" t="str">
        <f>IFERROR(__xludf.DUMMYFUNCTION("REGEXREPLACE(C23851,""-\d+(.*)|--\d+(.*)"","""")"),"POMMIERS-MOULONS")</f>
        <v>POMMIERS-MOULONS</v>
      </c>
      <c r="E23851" s="38" t="s">
        <v>488</v>
      </c>
      <c r="F23851" s="38" t="s">
        <v>338</v>
      </c>
      <c r="G23851" s="49" t="str">
        <f t="shared" si="1"/>
        <v>17130</v>
      </c>
      <c r="H23851" s="49">
        <f t="shared" si="2"/>
        <v>17282</v>
      </c>
    </row>
    <row r="23852">
      <c r="A23852" s="48" t="s">
        <v>1018</v>
      </c>
      <c r="B23852" s="38">
        <v>60038.0</v>
      </c>
      <c r="C23852" s="38" t="s">
        <v>28386</v>
      </c>
      <c r="D23852" s="38" t="str">
        <f>IFERROR(__xludf.DUMMYFUNCTION("REGEXREPLACE(C23852,""-\d+(.*)|--\d+(.*)"","""")"),"BACHIVILLERS")</f>
        <v>BACHIVILLERS</v>
      </c>
      <c r="E23852" s="38" t="s">
        <v>112</v>
      </c>
      <c r="F23852" s="38" t="s">
        <v>113</v>
      </c>
      <c r="G23852" s="49" t="str">
        <f t="shared" si="1"/>
        <v>60240</v>
      </c>
      <c r="H23852" s="49">
        <f t="shared" si="2"/>
        <v>60038</v>
      </c>
    </row>
    <row r="23853">
      <c r="A23853" s="48" t="s">
        <v>434</v>
      </c>
      <c r="B23853" s="38">
        <v>55255.0</v>
      </c>
      <c r="C23853" s="38" t="s">
        <v>28387</v>
      </c>
      <c r="D23853" s="38" t="str">
        <f>IFERROR(__xludf.DUMMYFUNCTION("REGEXREPLACE(C23853,""-\d+(.*)|--\d+(.*)"","""")"),"JAMETZ")</f>
        <v>JAMETZ</v>
      </c>
      <c r="E23853" s="38" t="s">
        <v>322</v>
      </c>
      <c r="F23853" s="38" t="s">
        <v>195</v>
      </c>
      <c r="G23853" s="49" t="str">
        <f t="shared" si="1"/>
        <v>55600</v>
      </c>
      <c r="H23853" s="49">
        <f t="shared" si="2"/>
        <v>55255</v>
      </c>
    </row>
    <row r="23854">
      <c r="A23854" s="48" t="s">
        <v>9481</v>
      </c>
      <c r="B23854" s="38">
        <v>15072.0</v>
      </c>
      <c r="C23854" s="38" t="s">
        <v>28388</v>
      </c>
      <c r="D23854" s="38" t="str">
        <f>IFERROR(__xludf.DUMMYFUNCTION("REGEXREPLACE(C23854,""-\d+(.*)|--\d+(.*)"","""")"),"FREIX-ANGLARDS")</f>
        <v>FREIX-ANGLARDS</v>
      </c>
      <c r="E23854" s="38" t="s">
        <v>632</v>
      </c>
      <c r="F23854" s="38" t="s">
        <v>161</v>
      </c>
      <c r="G23854" s="49" t="str">
        <f t="shared" si="1"/>
        <v>15310</v>
      </c>
      <c r="H23854" s="49">
        <f t="shared" si="2"/>
        <v>15072</v>
      </c>
    </row>
    <row r="23855">
      <c r="A23855" s="48" t="s">
        <v>20979</v>
      </c>
      <c r="B23855" s="38">
        <v>44064.0</v>
      </c>
      <c r="C23855" s="38" t="s">
        <v>6821</v>
      </c>
      <c r="D23855" s="38" t="str">
        <f>IFERROR(__xludf.DUMMYFUNCTION("REGEXREPLACE(C23855,""-\d+(.*)|--\d+(.*)"","""")"),"GORGES")</f>
        <v>GORGES</v>
      </c>
      <c r="E23855" s="38" t="s">
        <v>759</v>
      </c>
      <c r="F23855" s="38" t="s">
        <v>180</v>
      </c>
      <c r="G23855" s="49" t="str">
        <f t="shared" si="1"/>
        <v>44190</v>
      </c>
      <c r="H23855" s="49">
        <f t="shared" si="2"/>
        <v>44064</v>
      </c>
    </row>
    <row r="23856">
      <c r="A23856" s="48" t="s">
        <v>10725</v>
      </c>
      <c r="B23856" s="38">
        <v>62156.0</v>
      </c>
      <c r="C23856" s="38" t="s">
        <v>28389</v>
      </c>
      <c r="D23856" s="38" t="str">
        <f>IFERROR(__xludf.DUMMYFUNCTION("REGEXREPLACE(C23856,""-\d+(.*)|--\d+(.*)"","""")"),"BONNINGUES-LES-CALAIS")</f>
        <v>BONNINGUES-LES-CALAIS</v>
      </c>
      <c r="E23856" s="38" t="s">
        <v>109</v>
      </c>
      <c r="F23856" s="38" t="s">
        <v>86</v>
      </c>
      <c r="G23856" s="49" t="str">
        <f t="shared" si="1"/>
        <v>62340</v>
      </c>
      <c r="H23856" s="49">
        <f t="shared" si="2"/>
        <v>62156</v>
      </c>
    </row>
    <row r="23857">
      <c r="A23857" s="48" t="s">
        <v>28390</v>
      </c>
      <c r="B23857" s="38">
        <v>95678.0</v>
      </c>
      <c r="C23857" s="38" t="s">
        <v>28391</v>
      </c>
      <c r="D23857" s="38" t="str">
        <f>IFERROR(__xludf.DUMMYFUNCTION("REGEXREPLACE(C23857,""-\d+(.*)|--\d+(.*)"","""")"),"VILLIERS-ADAM")</f>
        <v>VILLIERS-ADAM</v>
      </c>
      <c r="E23857" s="38" t="s">
        <v>541</v>
      </c>
      <c r="F23857" s="38" t="s">
        <v>245</v>
      </c>
      <c r="G23857" s="49" t="str">
        <f t="shared" si="1"/>
        <v>95840</v>
      </c>
      <c r="H23857" s="49">
        <f t="shared" si="2"/>
        <v>95678</v>
      </c>
    </row>
    <row r="23858">
      <c r="A23858" s="48" t="s">
        <v>4902</v>
      </c>
      <c r="B23858" s="38">
        <v>61133.0</v>
      </c>
      <c r="C23858" s="38" t="s">
        <v>3703</v>
      </c>
      <c r="D23858" s="38" t="str">
        <f>IFERROR(__xludf.DUMMYFUNCTION("REGEXREPLACE(C23858,""-\d+(.*)|--\d+(.*)"","""")"),"COURTOMER")</f>
        <v>COURTOMER</v>
      </c>
      <c r="E23858" s="38" t="s">
        <v>141</v>
      </c>
      <c r="F23858" s="38" t="s">
        <v>138</v>
      </c>
      <c r="G23858" s="49" t="str">
        <f t="shared" si="1"/>
        <v>61390</v>
      </c>
      <c r="H23858" s="49">
        <f t="shared" si="2"/>
        <v>61133</v>
      </c>
    </row>
    <row r="23859">
      <c r="A23859" s="48" t="s">
        <v>28392</v>
      </c>
      <c r="B23859" s="38">
        <v>91243.0</v>
      </c>
      <c r="C23859" s="38" t="s">
        <v>28393</v>
      </c>
      <c r="D23859" s="38" t="str">
        <f>IFERROR(__xludf.DUMMYFUNCTION("REGEXREPLACE(C23859,""-\d+(.*)|--\d+(.*)"","""")"),"FONTENAY-LES-BRIIS")</f>
        <v>FONTENAY-LES-BRIIS</v>
      </c>
      <c r="E23859" s="38" t="s">
        <v>756</v>
      </c>
      <c r="F23859" s="38" t="s">
        <v>245</v>
      </c>
      <c r="G23859" s="49" t="str">
        <f t="shared" si="1"/>
        <v>91640</v>
      </c>
      <c r="H23859" s="49">
        <f t="shared" si="2"/>
        <v>91243</v>
      </c>
    </row>
    <row r="23860">
      <c r="A23860" s="48" t="s">
        <v>17789</v>
      </c>
      <c r="B23860" s="38">
        <v>81275.0</v>
      </c>
      <c r="C23860" s="38" t="s">
        <v>1353</v>
      </c>
      <c r="D23860" s="38" t="str">
        <f>IFERROR(__xludf.DUMMYFUNCTION("REGEXREPLACE(C23860,""-\d+(.*)|--\d+(.*)"","""")"),"SALLES")</f>
        <v>SALLES</v>
      </c>
      <c r="E23860" s="38" t="s">
        <v>231</v>
      </c>
      <c r="F23860" s="38" t="s">
        <v>94</v>
      </c>
      <c r="G23860" s="49" t="str">
        <f t="shared" si="1"/>
        <v>81640</v>
      </c>
      <c r="H23860" s="49">
        <f t="shared" si="2"/>
        <v>81275</v>
      </c>
    </row>
    <row r="23861">
      <c r="A23861" s="48" t="s">
        <v>8810</v>
      </c>
      <c r="B23861" s="38">
        <v>63044.0</v>
      </c>
      <c r="C23861" s="38" t="s">
        <v>28394</v>
      </c>
      <c r="D23861" s="38" t="str">
        <f>IFERROR(__xludf.DUMMYFUNCTION("REGEXREPLACE(C23861,""-\d+(.*)|--\d+(.*)"","""")"),"BONGHEAT")</f>
        <v>BONGHEAT</v>
      </c>
      <c r="E23861" s="38" t="s">
        <v>353</v>
      </c>
      <c r="F23861" s="38" t="s">
        <v>161</v>
      </c>
      <c r="G23861" s="49" t="str">
        <f t="shared" si="1"/>
        <v>63160</v>
      </c>
      <c r="H23861" s="49">
        <f t="shared" si="2"/>
        <v>63044</v>
      </c>
    </row>
    <row r="23862">
      <c r="A23862" s="48" t="s">
        <v>3467</v>
      </c>
      <c r="B23862" s="38">
        <v>72244.0</v>
      </c>
      <c r="C23862" s="38" t="s">
        <v>28395</v>
      </c>
      <c r="D23862" s="38" t="str">
        <f>IFERROR(__xludf.DUMMYFUNCTION("REGEXREPLACE(C23862,""-\d+(.*)|--\d+(.*)"","""")"),"PRECIGNE")</f>
        <v>PRECIGNE</v>
      </c>
      <c r="E23862" s="38" t="s">
        <v>521</v>
      </c>
      <c r="F23862" s="38" t="s">
        <v>180</v>
      </c>
      <c r="G23862" s="49" t="str">
        <f t="shared" si="1"/>
        <v>72300</v>
      </c>
      <c r="H23862" s="49">
        <f t="shared" si="2"/>
        <v>72244</v>
      </c>
    </row>
    <row r="23863">
      <c r="A23863" s="48" t="s">
        <v>3662</v>
      </c>
      <c r="B23863" s="38">
        <v>80022.0</v>
      </c>
      <c r="C23863" s="38" t="s">
        <v>28396</v>
      </c>
      <c r="D23863" s="38" t="str">
        <f>IFERROR(__xludf.DUMMYFUNCTION("REGEXREPLACE(C23863,""-\d+(.*)|--\d+(.*)"","""")"),"ANDAINVILLE")</f>
        <v>ANDAINVILLE</v>
      </c>
      <c r="E23863" s="38" t="s">
        <v>224</v>
      </c>
      <c r="F23863" s="38" t="s">
        <v>113</v>
      </c>
      <c r="G23863" s="49" t="str">
        <f t="shared" si="1"/>
        <v>80140</v>
      </c>
      <c r="H23863" s="49">
        <f t="shared" si="2"/>
        <v>80022</v>
      </c>
    </row>
    <row r="23864">
      <c r="A23864" s="48" t="s">
        <v>2837</v>
      </c>
      <c r="B23864" s="38">
        <v>17476.0</v>
      </c>
      <c r="C23864" s="38" t="s">
        <v>28397</v>
      </c>
      <c r="D23864" s="38" t="str">
        <f>IFERROR(__xludf.DUMMYFUNCTION("REGEXREPLACE(C23864,""-\d+(.*)|--\d+(.*)"","""")"),"VILLEXAVIER")</f>
        <v>VILLEXAVIER</v>
      </c>
      <c r="E23864" s="38" t="s">
        <v>488</v>
      </c>
      <c r="F23864" s="38" t="s">
        <v>338</v>
      </c>
      <c r="G23864" s="49" t="str">
        <f t="shared" si="1"/>
        <v>17500</v>
      </c>
      <c r="H23864" s="49">
        <f t="shared" si="2"/>
        <v>17476</v>
      </c>
    </row>
    <row r="23865">
      <c r="A23865" s="48" t="s">
        <v>386</v>
      </c>
      <c r="B23865" s="38">
        <v>21486.0</v>
      </c>
      <c r="C23865" s="38" t="s">
        <v>28398</v>
      </c>
      <c r="D23865" s="38" t="str">
        <f>IFERROR(__xludf.DUMMYFUNCTION("REGEXREPLACE(C23865,""-\d+(.*)|--\d+(.*)"","""")"),"PLUVAULT")</f>
        <v>PLUVAULT</v>
      </c>
      <c r="E23865" s="38" t="s">
        <v>105</v>
      </c>
      <c r="F23865" s="38" t="s">
        <v>106</v>
      </c>
      <c r="G23865" s="49" t="str">
        <f t="shared" si="1"/>
        <v>21110</v>
      </c>
      <c r="H23865" s="49">
        <f t="shared" si="2"/>
        <v>21486</v>
      </c>
    </row>
    <row r="23866">
      <c r="A23866" s="48" t="s">
        <v>15194</v>
      </c>
      <c r="B23866" s="38">
        <v>24491.0</v>
      </c>
      <c r="C23866" s="38" t="s">
        <v>28399</v>
      </c>
      <c r="D23866" s="38" t="str">
        <f>IFERROR(__xludf.DUMMYFUNCTION("REGEXREPLACE(C23866,""-\d+(.*)|--\d+(.*)"","""")"),"SAINT-RABIER")</f>
        <v>SAINT-RABIER</v>
      </c>
      <c r="E23866" s="38" t="s">
        <v>261</v>
      </c>
      <c r="F23866" s="38" t="s">
        <v>252</v>
      </c>
      <c r="G23866" s="49" t="str">
        <f t="shared" si="1"/>
        <v>24210</v>
      </c>
      <c r="H23866" s="49">
        <f t="shared" si="2"/>
        <v>24491</v>
      </c>
    </row>
    <row r="23867">
      <c r="A23867" s="48" t="s">
        <v>13057</v>
      </c>
      <c r="B23867" s="38">
        <v>58124.0</v>
      </c>
      <c r="C23867" s="38" t="s">
        <v>28400</v>
      </c>
      <c r="D23867" s="38" t="str">
        <f>IFERROR(__xludf.DUMMYFUNCTION("REGEXREPLACE(C23867,""-\d+(.*)|--\d+(.*)"","""")"),"GERMIGNY-SUR-LOIRE")</f>
        <v>GERMIGNY-SUR-LOIRE</v>
      </c>
      <c r="E23867" s="38" t="s">
        <v>219</v>
      </c>
      <c r="F23867" s="38" t="s">
        <v>106</v>
      </c>
      <c r="G23867" s="49" t="str">
        <f t="shared" si="1"/>
        <v>58320</v>
      </c>
      <c r="H23867" s="49">
        <f t="shared" si="2"/>
        <v>58124</v>
      </c>
    </row>
    <row r="23868">
      <c r="A23868" s="48" t="s">
        <v>328</v>
      </c>
      <c r="B23868" s="38">
        <v>2400.0</v>
      </c>
      <c r="C23868" s="38" t="s">
        <v>28401</v>
      </c>
      <c r="D23868" s="38" t="str">
        <f>IFERROR(__xludf.DUMMYFUNCTION("REGEXREPLACE(C23868,""-\d+(.*)|--\d+(.*)"","""")"),"LAFFAUX")</f>
        <v>LAFFAUX</v>
      </c>
      <c r="E23868" s="38" t="s">
        <v>191</v>
      </c>
      <c r="F23868" s="38" t="s">
        <v>113</v>
      </c>
      <c r="G23868" s="49" t="str">
        <f t="shared" si="1"/>
        <v>02880</v>
      </c>
      <c r="H23868" s="49" t="str">
        <f t="shared" si="2"/>
        <v>02400</v>
      </c>
    </row>
    <row r="23869">
      <c r="A23869" s="48" t="s">
        <v>3570</v>
      </c>
      <c r="B23869" s="38">
        <v>76598.0</v>
      </c>
      <c r="C23869" s="38" t="s">
        <v>16224</v>
      </c>
      <c r="D23869" s="38" t="str">
        <f>IFERROR(__xludf.DUMMYFUNCTION("REGEXREPLACE(C23869,""-\d+(.*)|--\d+(.*)"","""")"),"SAINT-LEGER-AUX-BOIS")</f>
        <v>SAINT-LEGER-AUX-BOIS</v>
      </c>
      <c r="E23869" s="38" t="s">
        <v>133</v>
      </c>
      <c r="F23869" s="38" t="s">
        <v>134</v>
      </c>
      <c r="G23869" s="49" t="str">
        <f t="shared" si="1"/>
        <v>76340</v>
      </c>
      <c r="H23869" s="49">
        <f t="shared" si="2"/>
        <v>76598</v>
      </c>
    </row>
    <row r="23870">
      <c r="A23870" s="48" t="s">
        <v>8620</v>
      </c>
      <c r="B23870" s="38">
        <v>45315.0</v>
      </c>
      <c r="C23870" s="38" t="s">
        <v>28402</v>
      </c>
      <c r="D23870" s="38" t="str">
        <f>IFERROR(__xludf.DUMMYFUNCTION("REGEXREPLACE(C23870,""-\d+(.*)|--\d+(.*)"","""")"),"SULLY-SUR-LOIRE")</f>
        <v>SULLY-SUR-LOIRE</v>
      </c>
      <c r="E23870" s="38" t="s">
        <v>122</v>
      </c>
      <c r="F23870" s="38" t="s">
        <v>123</v>
      </c>
      <c r="G23870" s="49" t="str">
        <f t="shared" si="1"/>
        <v>45600</v>
      </c>
      <c r="H23870" s="49">
        <f t="shared" si="2"/>
        <v>45315</v>
      </c>
    </row>
    <row r="23871">
      <c r="A23871" s="48" t="s">
        <v>26042</v>
      </c>
      <c r="B23871" s="38">
        <v>26172.0</v>
      </c>
      <c r="C23871" s="38" t="s">
        <v>28403</v>
      </c>
      <c r="D23871" s="38" t="str">
        <f>IFERROR(__xludf.DUMMYFUNCTION("REGEXREPLACE(C23871,""-\d+(.*)|--\d+(.*)"","""")"),"MANTHES")</f>
        <v>MANTHES</v>
      </c>
      <c r="E23871" s="38" t="s">
        <v>126</v>
      </c>
      <c r="F23871" s="38" t="s">
        <v>102</v>
      </c>
      <c r="G23871" s="49" t="str">
        <f t="shared" si="1"/>
        <v>26210</v>
      </c>
      <c r="H23871" s="49">
        <f t="shared" si="2"/>
        <v>26172</v>
      </c>
    </row>
    <row r="23872">
      <c r="A23872" s="48" t="s">
        <v>1905</v>
      </c>
      <c r="B23872" s="38">
        <v>29116.0</v>
      </c>
      <c r="C23872" s="38" t="s">
        <v>28404</v>
      </c>
      <c r="D23872" s="38" t="str">
        <f>IFERROR(__xludf.DUMMYFUNCTION("REGEXREPLACE(C23872,""-\d+(.*)|--\d+(.*)"","""")"),"LANNEUFFRET")</f>
        <v>LANNEUFFRET</v>
      </c>
      <c r="E23872" s="38" t="s">
        <v>176</v>
      </c>
      <c r="F23872" s="38" t="s">
        <v>90</v>
      </c>
      <c r="G23872" s="49" t="str">
        <f t="shared" si="1"/>
        <v>29400</v>
      </c>
      <c r="H23872" s="49">
        <f t="shared" si="2"/>
        <v>29116</v>
      </c>
    </row>
    <row r="23873">
      <c r="A23873" s="48" t="s">
        <v>3583</v>
      </c>
      <c r="B23873" s="38">
        <v>7220.0</v>
      </c>
      <c r="C23873" s="38" t="s">
        <v>8874</v>
      </c>
      <c r="D23873" s="38" t="str">
        <f>IFERROR(__xludf.DUMMYFUNCTION("REGEXREPLACE(C23873,""-\d+(.*)|--\d+(.*)"","""")"),"SAINT-CHRISTOL")</f>
        <v>SAINT-CHRISTOL</v>
      </c>
      <c r="E23873" s="38" t="s">
        <v>144</v>
      </c>
      <c r="F23873" s="38" t="s">
        <v>102</v>
      </c>
      <c r="G23873" s="49" t="str">
        <f t="shared" si="1"/>
        <v>07160</v>
      </c>
      <c r="H23873" s="49" t="str">
        <f t="shared" si="2"/>
        <v>07220</v>
      </c>
    </row>
    <row r="23874">
      <c r="A23874" s="48" t="s">
        <v>286</v>
      </c>
      <c r="B23874" s="38">
        <v>68265.0</v>
      </c>
      <c r="C23874" s="38" t="s">
        <v>28405</v>
      </c>
      <c r="D23874" s="38" t="str">
        <f>IFERROR(__xludf.DUMMYFUNCTION("REGEXREPLACE(C23874,""-\d+(.*)|--\d+(.*)"","""")"),"RANTZWILLER")</f>
        <v>RANTZWILLER</v>
      </c>
      <c r="E23874" s="38" t="s">
        <v>150</v>
      </c>
      <c r="F23874" s="38" t="s">
        <v>151</v>
      </c>
      <c r="G23874" s="49" t="str">
        <f t="shared" si="1"/>
        <v>68510</v>
      </c>
      <c r="H23874" s="49">
        <f t="shared" si="2"/>
        <v>68265</v>
      </c>
    </row>
    <row r="23875">
      <c r="A23875" s="48" t="s">
        <v>3683</v>
      </c>
      <c r="B23875" s="38">
        <v>58025.0</v>
      </c>
      <c r="C23875" s="38" t="s">
        <v>28406</v>
      </c>
      <c r="D23875" s="38" t="str">
        <f>IFERROR(__xludf.DUMMYFUNCTION("REGEXREPLACE(C23875,""-\d+(.*)|--\d+(.*)"","""")"),"BEARD")</f>
        <v>BEARD</v>
      </c>
      <c r="E23875" s="38" t="s">
        <v>219</v>
      </c>
      <c r="F23875" s="38" t="s">
        <v>106</v>
      </c>
      <c r="G23875" s="49" t="str">
        <f t="shared" si="1"/>
        <v>58160</v>
      </c>
      <c r="H23875" s="49">
        <f t="shared" si="2"/>
        <v>58025</v>
      </c>
    </row>
    <row r="23876">
      <c r="A23876" s="48" t="s">
        <v>12001</v>
      </c>
      <c r="B23876" s="38">
        <v>7348.0</v>
      </c>
      <c r="C23876" s="38" t="s">
        <v>28407</v>
      </c>
      <c r="D23876" s="38" t="str">
        <f>IFERROR(__xludf.DUMMYFUNCTION("REGEXREPLACE(C23876,""-\d+(.*)|--\d+(.*)"","""")"),"VOGUE")</f>
        <v>VOGUE</v>
      </c>
      <c r="E23876" s="38" t="s">
        <v>144</v>
      </c>
      <c r="F23876" s="38" t="s">
        <v>102</v>
      </c>
      <c r="G23876" s="49" t="str">
        <f t="shared" si="1"/>
        <v>07200</v>
      </c>
      <c r="H23876" s="49" t="str">
        <f t="shared" si="2"/>
        <v>07348</v>
      </c>
    </row>
    <row r="23877">
      <c r="A23877" s="48" t="s">
        <v>12007</v>
      </c>
      <c r="B23877" s="38">
        <v>37096.0</v>
      </c>
      <c r="C23877" s="38" t="s">
        <v>28408</v>
      </c>
      <c r="D23877" s="38" t="str">
        <f>IFERROR(__xludf.DUMMYFUNCTION("REGEXREPLACE(C23877,""-\d+(.*)|--\d+(.*)"","""")"),"DIERRE")</f>
        <v>DIERRE</v>
      </c>
      <c r="E23877" s="38" t="s">
        <v>205</v>
      </c>
      <c r="F23877" s="38" t="s">
        <v>123</v>
      </c>
      <c r="G23877" s="49" t="str">
        <f t="shared" si="1"/>
        <v>37150</v>
      </c>
      <c r="H23877" s="49">
        <f t="shared" si="2"/>
        <v>37096</v>
      </c>
    </row>
    <row r="23878">
      <c r="A23878" s="48" t="s">
        <v>1147</v>
      </c>
      <c r="B23878" s="38">
        <v>37130.0</v>
      </c>
      <c r="C23878" s="38" t="s">
        <v>28409</v>
      </c>
      <c r="D23878" s="38" t="str">
        <f>IFERROR(__xludf.DUMMYFUNCTION("REGEXREPLACE(C23878,""-\d+(.*)|--\d+(.*)"","""")"),"LIGUEIL")</f>
        <v>LIGUEIL</v>
      </c>
      <c r="E23878" s="38" t="s">
        <v>205</v>
      </c>
      <c r="F23878" s="38" t="s">
        <v>123</v>
      </c>
      <c r="G23878" s="49" t="str">
        <f t="shared" si="1"/>
        <v>37240</v>
      </c>
      <c r="H23878" s="49">
        <f t="shared" si="2"/>
        <v>37130</v>
      </c>
    </row>
    <row r="23879">
      <c r="A23879" s="48" t="s">
        <v>14277</v>
      </c>
      <c r="B23879" s="38">
        <v>18030.0</v>
      </c>
      <c r="C23879" s="38" t="s">
        <v>28410</v>
      </c>
      <c r="D23879" s="38" t="str">
        <f>IFERROR(__xludf.DUMMYFUNCTION("REGEXREPLACE(C23879,""-\d+(.*)|--\d+(.*)"","""")"),"BLANCAFORT")</f>
        <v>BLANCAFORT</v>
      </c>
      <c r="E23879" s="38" t="s">
        <v>504</v>
      </c>
      <c r="F23879" s="38" t="s">
        <v>123</v>
      </c>
      <c r="G23879" s="49" t="str">
        <f t="shared" si="1"/>
        <v>18410</v>
      </c>
      <c r="H23879" s="49">
        <f t="shared" si="2"/>
        <v>18030</v>
      </c>
    </row>
    <row r="23880">
      <c r="A23880" s="48" t="s">
        <v>10827</v>
      </c>
      <c r="B23880" s="38">
        <v>27341.0</v>
      </c>
      <c r="C23880" s="38" t="s">
        <v>28411</v>
      </c>
      <c r="D23880" s="38" t="str">
        <f>IFERROR(__xludf.DUMMYFUNCTION("REGEXREPLACE(C23880,""-\d+(.*)|--\d+(.*)"","""")"),"L'HOSMES")</f>
        <v>L'HOSMES</v>
      </c>
      <c r="E23880" s="38" t="s">
        <v>241</v>
      </c>
      <c r="F23880" s="38" t="s">
        <v>134</v>
      </c>
      <c r="G23880" s="49" t="str">
        <f t="shared" si="1"/>
        <v>27570</v>
      </c>
      <c r="H23880" s="49">
        <f t="shared" si="2"/>
        <v>27341</v>
      </c>
    </row>
    <row r="23881">
      <c r="A23881" s="48" t="s">
        <v>4101</v>
      </c>
      <c r="B23881" s="38">
        <v>30135.0</v>
      </c>
      <c r="C23881" s="38" t="s">
        <v>28412</v>
      </c>
      <c r="D23881" s="38" t="str">
        <f>IFERROR(__xludf.DUMMYFUNCTION("REGEXREPLACE(C23881,""-\d+(.*)|--\d+(.*)"","""")"),"JONQUIERES-SAINT-VINCENT")</f>
        <v>JONQUIERES-SAINT-VINCENT</v>
      </c>
      <c r="E23881" s="38" t="s">
        <v>526</v>
      </c>
      <c r="F23881" s="38" t="s">
        <v>119</v>
      </c>
      <c r="G23881" s="49" t="str">
        <f t="shared" si="1"/>
        <v>30300</v>
      </c>
      <c r="H23881" s="49">
        <f t="shared" si="2"/>
        <v>30135</v>
      </c>
    </row>
    <row r="23882">
      <c r="A23882" s="48" t="s">
        <v>10609</v>
      </c>
      <c r="B23882" s="38">
        <v>12215.0</v>
      </c>
      <c r="C23882" s="38" t="s">
        <v>28413</v>
      </c>
      <c r="D23882" s="38" t="str">
        <f>IFERROR(__xludf.DUMMYFUNCTION("REGEXREPLACE(C23882,""-\d+(.*)|--\d+(.*)"","""")"),"SAINT-CHRISTOPHE-VALLON")</f>
        <v>SAINT-CHRISTOPHE-VALLON</v>
      </c>
      <c r="E23882" s="38" t="s">
        <v>465</v>
      </c>
      <c r="F23882" s="38" t="s">
        <v>94</v>
      </c>
      <c r="G23882" s="49" t="str">
        <f t="shared" si="1"/>
        <v>12330</v>
      </c>
      <c r="H23882" s="49">
        <f t="shared" si="2"/>
        <v>12215</v>
      </c>
    </row>
    <row r="23883">
      <c r="A23883" s="48" t="s">
        <v>2141</v>
      </c>
      <c r="B23883" s="38">
        <v>80479.0</v>
      </c>
      <c r="C23883" s="38" t="s">
        <v>28414</v>
      </c>
      <c r="D23883" s="38" t="str">
        <f>IFERROR(__xludf.DUMMYFUNCTION("REGEXREPLACE(C23883,""-\d+(.*)|--\d+(.*)"","""")"),"LIGNIERES-CHATELAIN")</f>
        <v>LIGNIERES-CHATELAIN</v>
      </c>
      <c r="E23883" s="38" t="s">
        <v>224</v>
      </c>
      <c r="F23883" s="38" t="s">
        <v>113</v>
      </c>
      <c r="G23883" s="49" t="str">
        <f t="shared" si="1"/>
        <v>80290</v>
      </c>
      <c r="H23883" s="49">
        <f t="shared" si="2"/>
        <v>80479</v>
      </c>
    </row>
    <row r="23884">
      <c r="A23884" s="48" t="s">
        <v>3725</v>
      </c>
      <c r="B23884" s="38">
        <v>50393.0</v>
      </c>
      <c r="C23884" s="38" t="s">
        <v>28415</v>
      </c>
      <c r="D23884" s="38" t="str">
        <f>IFERROR(__xludf.DUMMYFUNCTION("REGEXREPLACE(C23884,""-\d+(.*)|--\d+(.*)"","""")"),"PERCY")</f>
        <v>PERCY</v>
      </c>
      <c r="E23884" s="38" t="s">
        <v>157</v>
      </c>
      <c r="F23884" s="38" t="s">
        <v>138</v>
      </c>
      <c r="G23884" s="49" t="str">
        <f t="shared" si="1"/>
        <v>50410</v>
      </c>
      <c r="H23884" s="49">
        <f t="shared" si="2"/>
        <v>50393</v>
      </c>
    </row>
    <row r="23885">
      <c r="A23885" s="48" t="s">
        <v>1686</v>
      </c>
      <c r="B23885" s="38">
        <v>51136.0</v>
      </c>
      <c r="C23885" s="38" t="s">
        <v>28416</v>
      </c>
      <c r="D23885" s="38" t="str">
        <f>IFERROR(__xludf.DUMMYFUNCTION("REGEXREPLACE(C23885,""-\d+(.*)|--\d+(.*)"","""")"),"CHATILLON-SUR-MARNE")</f>
        <v>CHATILLON-SUR-MARNE</v>
      </c>
      <c r="E23885" s="38" t="s">
        <v>129</v>
      </c>
      <c r="F23885" s="38" t="s">
        <v>130</v>
      </c>
      <c r="G23885" s="49" t="str">
        <f t="shared" si="1"/>
        <v>51700</v>
      </c>
      <c r="H23885" s="49">
        <f t="shared" si="2"/>
        <v>51136</v>
      </c>
    </row>
    <row r="23886">
      <c r="A23886" s="48" t="s">
        <v>4283</v>
      </c>
      <c r="B23886" s="38">
        <v>7051.0</v>
      </c>
      <c r="C23886" s="38" t="s">
        <v>13740</v>
      </c>
      <c r="D23886" s="38" t="str">
        <f>IFERROR(__xludf.DUMMYFUNCTION("REGEXREPLACE(C23886,""-\d+(.*)|--\d+(.*)"","""")"),"CHAMPAGNE")</f>
        <v>CHAMPAGNE</v>
      </c>
      <c r="E23886" s="38" t="s">
        <v>144</v>
      </c>
      <c r="F23886" s="38" t="s">
        <v>102</v>
      </c>
      <c r="G23886" s="49" t="str">
        <f t="shared" si="1"/>
        <v>07340</v>
      </c>
      <c r="H23886" s="49" t="str">
        <f t="shared" si="2"/>
        <v>07051</v>
      </c>
    </row>
    <row r="23887">
      <c r="A23887" s="48" t="s">
        <v>730</v>
      </c>
      <c r="B23887" s="38">
        <v>48186.0</v>
      </c>
      <c r="C23887" s="38" t="s">
        <v>28417</v>
      </c>
      <c r="D23887" s="38" t="str">
        <f>IFERROR(__xludf.DUMMYFUNCTION("REGEXREPLACE(C23887,""-\d+(.*)|--\d+(.*)"","""")"),"LA SALLE-PRUNET")</f>
        <v>LA SALLE-PRUNET</v>
      </c>
      <c r="E23887" s="38" t="s">
        <v>154</v>
      </c>
      <c r="F23887" s="38" t="s">
        <v>119</v>
      </c>
      <c r="G23887" s="49" t="str">
        <f t="shared" si="1"/>
        <v>48400</v>
      </c>
      <c r="H23887" s="49">
        <f t="shared" si="2"/>
        <v>48186</v>
      </c>
    </row>
    <row r="23888">
      <c r="A23888" s="48" t="s">
        <v>28418</v>
      </c>
      <c r="B23888" s="38">
        <v>68283.0</v>
      </c>
      <c r="C23888" s="38" t="s">
        <v>28419</v>
      </c>
      <c r="D23888" s="38" t="str">
        <f>IFERROR(__xludf.DUMMYFUNCTION("REGEXREPLACE(C23888,""-\d+(.*)|--\d+(.*)"","""")"),"ROMBACH-LE-FRANC")</f>
        <v>ROMBACH-LE-FRANC</v>
      </c>
      <c r="E23888" s="38" t="s">
        <v>150</v>
      </c>
      <c r="F23888" s="38" t="s">
        <v>151</v>
      </c>
      <c r="G23888" s="49" t="str">
        <f t="shared" si="1"/>
        <v>68660</v>
      </c>
      <c r="H23888" s="49">
        <f t="shared" si="2"/>
        <v>68283</v>
      </c>
    </row>
    <row r="23889">
      <c r="A23889" s="48" t="s">
        <v>1870</v>
      </c>
      <c r="B23889" s="38">
        <v>37060.0</v>
      </c>
      <c r="C23889" s="38" t="s">
        <v>28420</v>
      </c>
      <c r="D23889" s="38" t="str">
        <f>IFERROR(__xludf.DUMMYFUNCTION("REGEXREPLACE(C23889,""-\d+(.*)|--\d+(.*)"","""")"),"CHARGE")</f>
        <v>CHARGE</v>
      </c>
      <c r="E23889" s="38" t="s">
        <v>205</v>
      </c>
      <c r="F23889" s="38" t="s">
        <v>123</v>
      </c>
      <c r="G23889" s="49" t="str">
        <f t="shared" si="1"/>
        <v>37530</v>
      </c>
      <c r="H23889" s="49">
        <f t="shared" si="2"/>
        <v>37060</v>
      </c>
    </row>
    <row r="23890">
      <c r="A23890" s="48" t="s">
        <v>5212</v>
      </c>
      <c r="B23890" s="38">
        <v>41279.0</v>
      </c>
      <c r="C23890" s="38" t="s">
        <v>28421</v>
      </c>
      <c r="D23890" s="38" t="str">
        <f>IFERROR(__xludf.DUMMYFUNCTION("REGEXREPLACE(C23890,""-\d+(.*)|--\d+(.*)"","""")"),"VILLEDIEU-LE-CHATEAU")</f>
        <v>VILLEDIEU-LE-CHATEAU</v>
      </c>
      <c r="E23890" s="38" t="s">
        <v>188</v>
      </c>
      <c r="F23890" s="38" t="s">
        <v>123</v>
      </c>
      <c r="G23890" s="49" t="str">
        <f t="shared" si="1"/>
        <v>41800</v>
      </c>
      <c r="H23890" s="49">
        <f t="shared" si="2"/>
        <v>41279</v>
      </c>
    </row>
    <row r="23891">
      <c r="A23891" s="48" t="s">
        <v>2170</v>
      </c>
      <c r="B23891" s="38">
        <v>80034.0</v>
      </c>
      <c r="C23891" s="38" t="s">
        <v>12416</v>
      </c>
      <c r="D23891" s="38" t="str">
        <f>IFERROR(__xludf.DUMMYFUNCTION("REGEXREPLACE(C23891,""-\d+(.*)|--\d+(.*)"","""")"),"ATHIES")</f>
        <v>ATHIES</v>
      </c>
      <c r="E23891" s="38" t="s">
        <v>224</v>
      </c>
      <c r="F23891" s="38" t="s">
        <v>113</v>
      </c>
      <c r="G23891" s="49" t="str">
        <f t="shared" si="1"/>
        <v>80200</v>
      </c>
      <c r="H23891" s="49">
        <f t="shared" si="2"/>
        <v>80034</v>
      </c>
    </row>
    <row r="23892">
      <c r="A23892" s="48" t="s">
        <v>445</v>
      </c>
      <c r="B23892" s="38">
        <v>76407.0</v>
      </c>
      <c r="C23892" s="38" t="s">
        <v>28422</v>
      </c>
      <c r="D23892" s="38" t="str">
        <f>IFERROR(__xludf.DUMMYFUNCTION("REGEXREPLACE(C23892,""-\d+(.*)|--\d+(.*)"","""")"),"MANNEVILLE-ES-PLAINS")</f>
        <v>MANNEVILLE-ES-PLAINS</v>
      </c>
      <c r="E23892" s="38" t="s">
        <v>133</v>
      </c>
      <c r="F23892" s="38" t="s">
        <v>134</v>
      </c>
      <c r="G23892" s="49" t="str">
        <f t="shared" si="1"/>
        <v>76460</v>
      </c>
      <c r="H23892" s="49">
        <f t="shared" si="2"/>
        <v>76407</v>
      </c>
    </row>
    <row r="23893">
      <c r="A23893" s="48" t="s">
        <v>28423</v>
      </c>
      <c r="B23893" s="38">
        <v>22233.0</v>
      </c>
      <c r="C23893" s="38" t="s">
        <v>28424</v>
      </c>
      <c r="D23893" s="38" t="str">
        <f>IFERROR(__xludf.DUMMYFUNCTION("REGEXREPLACE(C23893,""-\d+(.*)|--\d+(.*)"","""")"),"PLOURIVO")</f>
        <v>PLOURIVO</v>
      </c>
      <c r="E23893" s="38" t="s">
        <v>89</v>
      </c>
      <c r="F23893" s="38" t="s">
        <v>90</v>
      </c>
      <c r="G23893" s="49" t="str">
        <f t="shared" si="1"/>
        <v>22860</v>
      </c>
      <c r="H23893" s="49">
        <f t="shared" si="2"/>
        <v>22233</v>
      </c>
    </row>
    <row r="23894">
      <c r="A23894" s="48" t="s">
        <v>9653</v>
      </c>
      <c r="B23894" s="38">
        <v>5042.0</v>
      </c>
      <c r="C23894" s="38" t="s">
        <v>28425</v>
      </c>
      <c r="D23894" s="38" t="str">
        <f>IFERROR(__xludf.DUMMYFUNCTION("REGEXREPLACE(C23894,""-\d+(.*)|--\d+(.*)"","""")"),"LA CLUSE")</f>
        <v>LA CLUSE</v>
      </c>
      <c r="E23894" s="38" t="s">
        <v>706</v>
      </c>
      <c r="F23894" s="38" t="s">
        <v>228</v>
      </c>
      <c r="G23894" s="49" t="str">
        <f t="shared" si="1"/>
        <v>05250</v>
      </c>
      <c r="H23894" s="49" t="str">
        <f t="shared" si="2"/>
        <v>05042</v>
      </c>
    </row>
    <row r="23895">
      <c r="A23895" s="48" t="s">
        <v>4676</v>
      </c>
      <c r="B23895" s="38">
        <v>48044.0</v>
      </c>
      <c r="C23895" s="38" t="s">
        <v>28426</v>
      </c>
      <c r="D23895" s="38" t="str">
        <f>IFERROR(__xludf.DUMMYFUNCTION("REGEXREPLACE(C23895,""-\d+(.*)|--\d+(.*)"","""")"),"CHAUCHAILLES")</f>
        <v>CHAUCHAILLES</v>
      </c>
      <c r="E23895" s="38" t="s">
        <v>154</v>
      </c>
      <c r="F23895" s="38" t="s">
        <v>119</v>
      </c>
      <c r="G23895" s="49" t="str">
        <f t="shared" si="1"/>
        <v>48310</v>
      </c>
      <c r="H23895" s="49">
        <f t="shared" si="2"/>
        <v>48044</v>
      </c>
    </row>
    <row r="23896">
      <c r="A23896" s="48" t="s">
        <v>1697</v>
      </c>
      <c r="B23896" s="38">
        <v>39534.0</v>
      </c>
      <c r="C23896" s="38" t="s">
        <v>28427</v>
      </c>
      <c r="D23896" s="38" t="str">
        <f>IFERROR(__xludf.DUMMYFUNCTION("REGEXREPLACE(C23896,""-\d+(.*)|--\d+(.*)"","""")"),"LA TOUR-DU-MEIX")</f>
        <v>LA TOUR-DU-MEIX</v>
      </c>
      <c r="E23896" s="38" t="s">
        <v>400</v>
      </c>
      <c r="F23896" s="38" t="s">
        <v>214</v>
      </c>
      <c r="G23896" s="49" t="str">
        <f t="shared" si="1"/>
        <v>39270</v>
      </c>
      <c r="H23896" s="49">
        <f t="shared" si="2"/>
        <v>39534</v>
      </c>
    </row>
    <row r="23897">
      <c r="A23897" s="48" t="s">
        <v>15219</v>
      </c>
      <c r="B23897" s="38">
        <v>56067.0</v>
      </c>
      <c r="C23897" s="38" t="s">
        <v>28428</v>
      </c>
      <c r="D23897" s="38" t="str">
        <f>IFERROR(__xludf.DUMMYFUNCTION("REGEXREPLACE(C23897,""-\d+(.*)|--\d+(.*)"","""")"),"GRAND-CHAMP")</f>
        <v>GRAND-CHAMP</v>
      </c>
      <c r="E23897" s="38" t="s">
        <v>173</v>
      </c>
      <c r="F23897" s="38" t="s">
        <v>90</v>
      </c>
      <c r="G23897" s="49" t="str">
        <f t="shared" si="1"/>
        <v>56390</v>
      </c>
      <c r="H23897" s="49">
        <f t="shared" si="2"/>
        <v>56067</v>
      </c>
    </row>
    <row r="23898">
      <c r="A23898" s="48" t="s">
        <v>10177</v>
      </c>
      <c r="B23898" s="38">
        <v>80333.0</v>
      </c>
      <c r="C23898" s="38" t="s">
        <v>28429</v>
      </c>
      <c r="D23898" s="38" t="str">
        <f>IFERROR(__xludf.DUMMYFUNCTION("REGEXREPLACE(C23898,""-\d+(.*)|--\d+(.*)"","""")"),"FORT-MAHON-PLAGE")</f>
        <v>FORT-MAHON-PLAGE</v>
      </c>
      <c r="E23898" s="38" t="s">
        <v>224</v>
      </c>
      <c r="F23898" s="38" t="s">
        <v>113</v>
      </c>
      <c r="G23898" s="49" t="str">
        <f t="shared" si="1"/>
        <v>80120</v>
      </c>
      <c r="H23898" s="49">
        <f t="shared" si="2"/>
        <v>80333</v>
      </c>
    </row>
    <row r="23899">
      <c r="A23899" s="48" t="s">
        <v>28430</v>
      </c>
      <c r="B23899" s="38">
        <v>97401.0</v>
      </c>
      <c r="C23899" s="38" t="s">
        <v>28431</v>
      </c>
      <c r="D23899" s="38" t="str">
        <f>IFERROR(__xludf.DUMMYFUNCTION("REGEXREPLACE(C23899,""-\d+(.*)|--\d+(.*)"","""")"),"LES AVIRONS")</f>
        <v>LES AVIRONS</v>
      </c>
      <c r="E23899" s="38" t="s">
        <v>7739</v>
      </c>
      <c r="F23899" s="38" t="s">
        <v>7739</v>
      </c>
      <c r="G23899" s="49" t="str">
        <f t="shared" si="1"/>
        <v>97425</v>
      </c>
      <c r="H23899" s="49">
        <f t="shared" si="2"/>
        <v>97401</v>
      </c>
    </row>
    <row r="23900">
      <c r="A23900" s="48" t="s">
        <v>5111</v>
      </c>
      <c r="B23900" s="38">
        <v>47287.0</v>
      </c>
      <c r="C23900" s="38" t="s">
        <v>28432</v>
      </c>
      <c r="D23900" s="38" t="str">
        <f>IFERROR(__xludf.DUMMYFUNCTION("REGEXREPLACE(C23900,""-\d+(.*)|--\d+(.*)"","""")"),"SAUMONT")</f>
        <v>SAUMONT</v>
      </c>
      <c r="E23900" s="38" t="s">
        <v>251</v>
      </c>
      <c r="F23900" s="38" t="s">
        <v>252</v>
      </c>
      <c r="G23900" s="49" t="str">
        <f t="shared" si="1"/>
        <v>47600</v>
      </c>
      <c r="H23900" s="49">
        <f t="shared" si="2"/>
        <v>47287</v>
      </c>
    </row>
    <row r="23901">
      <c r="A23901" s="48" t="s">
        <v>1864</v>
      </c>
      <c r="B23901" s="38">
        <v>70562.0</v>
      </c>
      <c r="C23901" s="38" t="s">
        <v>28433</v>
      </c>
      <c r="D23901" s="38" t="str">
        <f>IFERROR(__xludf.DUMMYFUNCTION("REGEXREPLACE(C23901,""-\d+(.*)|--\d+(.*)"","""")"),"VILLERS-LA-VILLE")</f>
        <v>VILLERS-LA-VILLE</v>
      </c>
      <c r="E23901" s="38" t="s">
        <v>956</v>
      </c>
      <c r="F23901" s="38" t="s">
        <v>214</v>
      </c>
      <c r="G23901" s="49" t="str">
        <f t="shared" si="1"/>
        <v>70110</v>
      </c>
      <c r="H23901" s="49">
        <f t="shared" si="2"/>
        <v>70562</v>
      </c>
    </row>
    <row r="23902">
      <c r="A23902" s="48" t="s">
        <v>4314</v>
      </c>
      <c r="B23902" s="38">
        <v>7291.0</v>
      </c>
      <c r="C23902" s="38" t="s">
        <v>28434</v>
      </c>
      <c r="D23902" s="38" t="str">
        <f>IFERROR(__xludf.DUMMYFUNCTION("REGEXREPLACE(C23902,""-\d+(.*)|--\d+(.*)"","""")"),"SAINT-REMEZE")</f>
        <v>SAINT-REMEZE</v>
      </c>
      <c r="E23902" s="38" t="s">
        <v>144</v>
      </c>
      <c r="F23902" s="38" t="s">
        <v>102</v>
      </c>
      <c r="G23902" s="49" t="str">
        <f t="shared" si="1"/>
        <v>07700</v>
      </c>
      <c r="H23902" s="49" t="str">
        <f t="shared" si="2"/>
        <v>07291</v>
      </c>
    </row>
    <row r="23903">
      <c r="A23903" s="48" t="s">
        <v>546</v>
      </c>
      <c r="B23903" s="38">
        <v>54079.0</v>
      </c>
      <c r="C23903" s="38" t="s">
        <v>28435</v>
      </c>
      <c r="D23903" s="38" t="str">
        <f>IFERROR(__xludf.DUMMYFUNCTION("REGEXREPLACE(C23903,""-\d+(.*)|--\d+(.*)"","""")"),"BLENOD-LES-PONT-A-MOUSSON")</f>
        <v>BLENOD-LES-PONT-A-MOUSSON</v>
      </c>
      <c r="E23903" s="38" t="s">
        <v>548</v>
      </c>
      <c r="F23903" s="38" t="s">
        <v>195</v>
      </c>
      <c r="G23903" s="49" t="str">
        <f t="shared" si="1"/>
        <v>54700</v>
      </c>
      <c r="H23903" s="49">
        <f t="shared" si="2"/>
        <v>54079</v>
      </c>
    </row>
    <row r="23904">
      <c r="A23904" s="48" t="s">
        <v>12573</v>
      </c>
      <c r="B23904" s="38">
        <v>7274.0</v>
      </c>
      <c r="C23904" s="38" t="s">
        <v>28436</v>
      </c>
      <c r="D23904" s="38" t="str">
        <f>IFERROR(__xludf.DUMMYFUNCTION("REGEXREPLACE(C23904,""-\d+(.*)|--\d+(.*)"","""")"),"SAINT-MAURICE-EN-CHALENCON")</f>
        <v>SAINT-MAURICE-EN-CHALENCON</v>
      </c>
      <c r="E23904" s="38" t="s">
        <v>144</v>
      </c>
      <c r="F23904" s="38" t="s">
        <v>102</v>
      </c>
      <c r="G23904" s="49" t="str">
        <f t="shared" si="1"/>
        <v>07190</v>
      </c>
      <c r="H23904" s="49" t="str">
        <f t="shared" si="2"/>
        <v>07274</v>
      </c>
    </row>
    <row r="23905">
      <c r="A23905" s="48" t="s">
        <v>7239</v>
      </c>
      <c r="B23905" s="38">
        <v>24476.0</v>
      </c>
      <c r="C23905" s="38" t="s">
        <v>28437</v>
      </c>
      <c r="D23905" s="38" t="str">
        <f>IFERROR(__xludf.DUMMYFUNCTION("REGEXREPLACE(C23905,""-\d+(.*)|--\d+(.*)"","""")"),"SAINT-PANTALY-D'EXCIDEUIL")</f>
        <v>SAINT-PANTALY-D'EXCIDEUIL</v>
      </c>
      <c r="E23905" s="38" t="s">
        <v>261</v>
      </c>
      <c r="F23905" s="38" t="s">
        <v>252</v>
      </c>
      <c r="G23905" s="49" t="str">
        <f t="shared" si="1"/>
        <v>24160</v>
      </c>
      <c r="H23905" s="49">
        <f t="shared" si="2"/>
        <v>24476</v>
      </c>
    </row>
    <row r="23906">
      <c r="A23906" s="48" t="s">
        <v>3036</v>
      </c>
      <c r="B23906" s="38">
        <v>61315.0</v>
      </c>
      <c r="C23906" s="38" t="s">
        <v>28438</v>
      </c>
      <c r="D23906" s="38" t="str">
        <f>IFERROR(__xludf.DUMMYFUNCTION("REGEXREPLACE(C23906,""-\d+(.*)|--\d+(.*)"","""")"),"OMMEEL")</f>
        <v>OMMEEL</v>
      </c>
      <c r="E23906" s="38" t="s">
        <v>141</v>
      </c>
      <c r="F23906" s="38" t="s">
        <v>138</v>
      </c>
      <c r="G23906" s="49" t="str">
        <f t="shared" si="1"/>
        <v>61160</v>
      </c>
      <c r="H23906" s="49">
        <f t="shared" si="2"/>
        <v>61315</v>
      </c>
    </row>
    <row r="23907">
      <c r="A23907" s="48" t="s">
        <v>1274</v>
      </c>
      <c r="B23907" s="38">
        <v>33066.0</v>
      </c>
      <c r="C23907" s="38" t="s">
        <v>28439</v>
      </c>
      <c r="D23907" s="38" t="str">
        <f>IFERROR(__xludf.DUMMYFUNCTION("REGEXREPLACE(C23907,""-\d+(.*)|--\d+(.*)"","""")"),"BOURDELLES")</f>
        <v>BOURDELLES</v>
      </c>
      <c r="E23907" s="38" t="s">
        <v>462</v>
      </c>
      <c r="F23907" s="38" t="s">
        <v>252</v>
      </c>
      <c r="G23907" s="49" t="str">
        <f t="shared" si="1"/>
        <v>33190</v>
      </c>
      <c r="H23907" s="49">
        <f t="shared" si="2"/>
        <v>33066</v>
      </c>
    </row>
    <row r="23908">
      <c r="A23908" s="48" t="s">
        <v>618</v>
      </c>
      <c r="B23908" s="38">
        <v>54068.0</v>
      </c>
      <c r="C23908" s="38" t="s">
        <v>28440</v>
      </c>
      <c r="D23908" s="38" t="str">
        <f>IFERROR(__xludf.DUMMYFUNCTION("REGEXREPLACE(C23908,""-\d+(.*)|--\d+(.*)"","""")"),"BEUVEZIN")</f>
        <v>BEUVEZIN</v>
      </c>
      <c r="E23908" s="38" t="s">
        <v>548</v>
      </c>
      <c r="F23908" s="38" t="s">
        <v>195</v>
      </c>
      <c r="G23908" s="49" t="str">
        <f t="shared" si="1"/>
        <v>54115</v>
      </c>
      <c r="H23908" s="49">
        <f t="shared" si="2"/>
        <v>54068</v>
      </c>
    </row>
    <row r="23909">
      <c r="A23909" s="48" t="s">
        <v>9905</v>
      </c>
      <c r="B23909" s="38">
        <v>65287.0</v>
      </c>
      <c r="C23909" s="38" t="s">
        <v>28441</v>
      </c>
      <c r="D23909" s="38" t="str">
        <f>IFERROR(__xludf.DUMMYFUNCTION("REGEXREPLACE(C23909,""-\d+(.*)|--\d+(.*)"","""")"),"LOURES-BAROUSSE")</f>
        <v>LOURES-BAROUSSE</v>
      </c>
      <c r="E23909" s="38" t="s">
        <v>200</v>
      </c>
      <c r="F23909" s="38" t="s">
        <v>94</v>
      </c>
      <c r="G23909" s="49" t="str">
        <f t="shared" si="1"/>
        <v>65370</v>
      </c>
      <c r="H23909" s="49">
        <f t="shared" si="2"/>
        <v>65287</v>
      </c>
    </row>
    <row r="23910">
      <c r="A23910" s="48" t="s">
        <v>7416</v>
      </c>
      <c r="B23910" s="38">
        <v>49245.0</v>
      </c>
      <c r="C23910" s="38" t="s">
        <v>28442</v>
      </c>
      <c r="D23910" s="38" t="str">
        <f>IFERROR(__xludf.DUMMYFUNCTION("REGEXREPLACE(C23910,""-\d+(.*)|--\d+(.*)"","""")"),"PONTIGNE")</f>
        <v>PONTIGNE</v>
      </c>
      <c r="E23910" s="38" t="s">
        <v>653</v>
      </c>
      <c r="F23910" s="38" t="s">
        <v>180</v>
      </c>
      <c r="G23910" s="49" t="str">
        <f t="shared" si="1"/>
        <v>49150</v>
      </c>
      <c r="H23910" s="49">
        <f t="shared" si="2"/>
        <v>49245</v>
      </c>
    </row>
    <row r="23911">
      <c r="A23911" s="48" t="s">
        <v>5545</v>
      </c>
      <c r="B23911" s="38">
        <v>22154.0</v>
      </c>
      <c r="C23911" s="38" t="s">
        <v>28443</v>
      </c>
      <c r="D23911" s="38" t="str">
        <f>IFERROR(__xludf.DUMMYFUNCTION("REGEXREPLACE(C23911,""-\d+(.*)|--\d+(.*)"","""")"),"MORIEUX")</f>
        <v>MORIEUX</v>
      </c>
      <c r="E23911" s="38" t="s">
        <v>89</v>
      </c>
      <c r="F23911" s="38" t="s">
        <v>90</v>
      </c>
      <c r="G23911" s="49" t="str">
        <f t="shared" si="1"/>
        <v>22400</v>
      </c>
      <c r="H23911" s="49">
        <f t="shared" si="2"/>
        <v>22154</v>
      </c>
    </row>
    <row r="23912">
      <c r="A23912" s="48" t="s">
        <v>276</v>
      </c>
      <c r="B23912" s="38">
        <v>11317.0</v>
      </c>
      <c r="C23912" s="38" t="s">
        <v>28444</v>
      </c>
      <c r="D23912" s="38" t="str">
        <f>IFERROR(__xludf.DUMMYFUNCTION("REGEXREPLACE(C23912,""-\d+(.*)|--\d+(.*)"","""")"),"RODOME")</f>
        <v>RODOME</v>
      </c>
      <c r="E23912" s="38" t="s">
        <v>278</v>
      </c>
      <c r="F23912" s="38" t="s">
        <v>119</v>
      </c>
      <c r="G23912" s="49" t="str">
        <f t="shared" si="1"/>
        <v>11140</v>
      </c>
      <c r="H23912" s="49">
        <f t="shared" si="2"/>
        <v>11317</v>
      </c>
    </row>
    <row r="23913">
      <c r="A23913" s="48" t="s">
        <v>3125</v>
      </c>
      <c r="B23913" s="38">
        <v>12140.0</v>
      </c>
      <c r="C23913" s="38" t="s">
        <v>28445</v>
      </c>
      <c r="D23913" s="38" t="str">
        <f>IFERROR(__xludf.DUMMYFUNCTION("REGEXREPLACE(C23913,""-\d+(.*)|--\d+(.*)"","""")"),"MARTIEL")</f>
        <v>MARTIEL</v>
      </c>
      <c r="E23913" s="38" t="s">
        <v>465</v>
      </c>
      <c r="F23913" s="38" t="s">
        <v>94</v>
      </c>
      <c r="G23913" s="49" t="str">
        <f t="shared" si="1"/>
        <v>12200</v>
      </c>
      <c r="H23913" s="49">
        <f t="shared" si="2"/>
        <v>12140</v>
      </c>
    </row>
    <row r="23914">
      <c r="A23914" s="48" t="s">
        <v>5687</v>
      </c>
      <c r="B23914" s="38">
        <v>3096.0</v>
      </c>
      <c r="C23914" s="38" t="s">
        <v>28446</v>
      </c>
      <c r="D23914" s="38" t="str">
        <f>IFERROR(__xludf.DUMMYFUNCTION("REGEXREPLACE(C23914,""-\d+(.*)|--\d+(.*)"","""")"),"DENEUILLE-LES-CHANTELLE")</f>
        <v>DENEUILLE-LES-CHANTELLE</v>
      </c>
      <c r="E23914" s="38" t="s">
        <v>160</v>
      </c>
      <c r="F23914" s="38" t="s">
        <v>161</v>
      </c>
      <c r="G23914" s="49" t="str">
        <f t="shared" si="1"/>
        <v>03140</v>
      </c>
      <c r="H23914" s="49" t="str">
        <f t="shared" si="2"/>
        <v>03096</v>
      </c>
    </row>
    <row r="23915">
      <c r="A23915" s="48" t="s">
        <v>11009</v>
      </c>
      <c r="B23915" s="38">
        <v>33348.0</v>
      </c>
      <c r="C23915" s="38" t="s">
        <v>28447</v>
      </c>
      <c r="D23915" s="38" t="str">
        <f>IFERROR(__xludf.DUMMYFUNCTION("REGEXREPLACE(C23915,""-\d+(.*)|--\d+(.*)"","""")"),"QUEYRAC")</f>
        <v>QUEYRAC</v>
      </c>
      <c r="E23915" s="38" t="s">
        <v>462</v>
      </c>
      <c r="F23915" s="38" t="s">
        <v>252</v>
      </c>
      <c r="G23915" s="49" t="str">
        <f t="shared" si="1"/>
        <v>33340</v>
      </c>
      <c r="H23915" s="49">
        <f t="shared" si="2"/>
        <v>33348</v>
      </c>
    </row>
    <row r="23916">
      <c r="A23916" s="48" t="s">
        <v>9028</v>
      </c>
      <c r="B23916" s="38">
        <v>65332.0</v>
      </c>
      <c r="C23916" s="38" t="s">
        <v>28448</v>
      </c>
      <c r="D23916" s="38" t="str">
        <f>IFERROR(__xludf.DUMMYFUNCTION("REGEXREPLACE(C23916,""-\d+(.*)|--\d+(.*)"","""")"),"OLEAC-DEBAT")</f>
        <v>OLEAC-DEBAT</v>
      </c>
      <c r="E23916" s="38" t="s">
        <v>200</v>
      </c>
      <c r="F23916" s="38" t="s">
        <v>94</v>
      </c>
      <c r="G23916" s="49" t="str">
        <f t="shared" si="1"/>
        <v>65350</v>
      </c>
      <c r="H23916" s="49">
        <f t="shared" si="2"/>
        <v>65332</v>
      </c>
    </row>
    <row r="23917">
      <c r="A23917" s="48" t="s">
        <v>4596</v>
      </c>
      <c r="B23917" s="38">
        <v>2693.0</v>
      </c>
      <c r="C23917" s="38" t="s">
        <v>28449</v>
      </c>
      <c r="D23917" s="38" t="str">
        <f>IFERROR(__xludf.DUMMYFUNCTION("REGEXREPLACE(C23917,""-\d+(.*)|--\d+(.*)"","""")"),"SAINT-REMY-BLANZY")</f>
        <v>SAINT-REMY-BLANZY</v>
      </c>
      <c r="E23917" s="38" t="s">
        <v>191</v>
      </c>
      <c r="F23917" s="38" t="s">
        <v>113</v>
      </c>
      <c r="G23917" s="49" t="str">
        <f t="shared" si="1"/>
        <v>02210</v>
      </c>
      <c r="H23917" s="49" t="str">
        <f t="shared" si="2"/>
        <v>02693</v>
      </c>
    </row>
    <row r="23918">
      <c r="A23918" s="48" t="s">
        <v>28450</v>
      </c>
      <c r="B23918" s="38">
        <v>24354.0</v>
      </c>
      <c r="C23918" s="38" t="s">
        <v>28451</v>
      </c>
      <c r="D23918" s="38" t="str">
        <f>IFERROR(__xludf.DUMMYFUNCTION("REGEXREPLACE(C23918,""-\d+(.*)|--\d+(.*)"","""")"),"LA ROCHE-CHALAIS")</f>
        <v>LA ROCHE-CHALAIS</v>
      </c>
      <c r="E23918" s="38" t="s">
        <v>261</v>
      </c>
      <c r="F23918" s="38" t="s">
        <v>252</v>
      </c>
      <c r="G23918" s="49" t="str">
        <f t="shared" si="1"/>
        <v>24490</v>
      </c>
      <c r="H23918" s="49">
        <f t="shared" si="2"/>
        <v>24354</v>
      </c>
    </row>
    <row r="23919">
      <c r="A23919" s="48" t="s">
        <v>3303</v>
      </c>
      <c r="B23919" s="38">
        <v>55063.0</v>
      </c>
      <c r="C23919" s="38" t="s">
        <v>28452</v>
      </c>
      <c r="D23919" s="38" t="str">
        <f>IFERROR(__xludf.DUMMYFUNCTION("REGEXREPLACE(C23919,""-\d+(.*)|--\d+(.*)"","""")"),"BOULIGNY")</f>
        <v>BOULIGNY</v>
      </c>
      <c r="E23919" s="38" t="s">
        <v>322</v>
      </c>
      <c r="F23919" s="38" t="s">
        <v>195</v>
      </c>
      <c r="G23919" s="49" t="str">
        <f t="shared" si="1"/>
        <v>55240</v>
      </c>
      <c r="H23919" s="49">
        <f t="shared" si="2"/>
        <v>55063</v>
      </c>
    </row>
    <row r="23920">
      <c r="A23920" s="48" t="s">
        <v>3755</v>
      </c>
      <c r="B23920" s="38">
        <v>76610.0</v>
      </c>
      <c r="C23920" s="38" t="s">
        <v>28453</v>
      </c>
      <c r="D23920" s="38" t="str">
        <f>IFERROR(__xludf.DUMMYFUNCTION("REGEXREPLACE(C23920,""-\d+(.*)|--\d+(.*)"","""")"),"SAINTE-MARIE-DES-CHAMPS")</f>
        <v>SAINTE-MARIE-DES-CHAMPS</v>
      </c>
      <c r="E23920" s="38" t="s">
        <v>133</v>
      </c>
      <c r="F23920" s="38" t="s">
        <v>134</v>
      </c>
      <c r="G23920" s="49" t="str">
        <f t="shared" si="1"/>
        <v>76190</v>
      </c>
      <c r="H23920" s="49">
        <f t="shared" si="2"/>
        <v>76610</v>
      </c>
    </row>
    <row r="23921">
      <c r="A23921" s="48" t="s">
        <v>7355</v>
      </c>
      <c r="B23921" s="38">
        <v>33036.0</v>
      </c>
      <c r="C23921" s="38" t="s">
        <v>28454</v>
      </c>
      <c r="D23921" s="38" t="str">
        <f>IFERROR(__xludf.DUMMYFUNCTION("REGEXREPLACE(C23921,""-\d+(.*)|--\d+(.*)"","""")"),"BAZAS")</f>
        <v>BAZAS</v>
      </c>
      <c r="E23921" s="38" t="s">
        <v>462</v>
      </c>
      <c r="F23921" s="38" t="s">
        <v>252</v>
      </c>
      <c r="G23921" s="49" t="str">
        <f t="shared" si="1"/>
        <v>33430</v>
      </c>
      <c r="H23921" s="49">
        <f t="shared" si="2"/>
        <v>33036</v>
      </c>
    </row>
    <row r="23922">
      <c r="A23922" s="48" t="s">
        <v>4596</v>
      </c>
      <c r="B23922" s="38">
        <v>2272.0</v>
      </c>
      <c r="C23922" s="38" t="s">
        <v>28455</v>
      </c>
      <c r="D23922" s="38" t="str">
        <f>IFERROR(__xludf.DUMMYFUNCTION("REGEXREPLACE(C23922,""-\d+(.*)|--\d+(.*)"","""")"),"DROIZY")</f>
        <v>DROIZY</v>
      </c>
      <c r="E23922" s="38" t="s">
        <v>191</v>
      </c>
      <c r="F23922" s="38" t="s">
        <v>113</v>
      </c>
      <c r="G23922" s="49" t="str">
        <f t="shared" si="1"/>
        <v>02210</v>
      </c>
      <c r="H23922" s="49" t="str">
        <f t="shared" si="2"/>
        <v>02272</v>
      </c>
    </row>
    <row r="23923">
      <c r="A23923" s="48" t="s">
        <v>10578</v>
      </c>
      <c r="B23923" s="38">
        <v>79177.0</v>
      </c>
      <c r="C23923" s="38" t="s">
        <v>28456</v>
      </c>
      <c r="D23923" s="38" t="str">
        <f>IFERROR(__xludf.DUMMYFUNCTION("REGEXREPLACE(C23923,""-\d+(.*)|--\d+(.*)"","""")"),"MESSE")</f>
        <v>MESSE</v>
      </c>
      <c r="E23923" s="38" t="s">
        <v>337</v>
      </c>
      <c r="F23923" s="38" t="s">
        <v>338</v>
      </c>
      <c r="G23923" s="49" t="str">
        <f t="shared" si="1"/>
        <v>79120</v>
      </c>
      <c r="H23923" s="49">
        <f t="shared" si="2"/>
        <v>79177</v>
      </c>
    </row>
    <row r="23924">
      <c r="A23924" s="48" t="s">
        <v>6372</v>
      </c>
      <c r="B23924" s="38">
        <v>79332.0</v>
      </c>
      <c r="C23924" s="38" t="s">
        <v>28457</v>
      </c>
      <c r="D23924" s="38" t="str">
        <f>IFERROR(__xludf.DUMMYFUNCTION("REGEXREPLACE(C23924,""-\d+(.*)|--\d+(.*)"","""")"),"TRAYES")</f>
        <v>TRAYES</v>
      </c>
      <c r="E23924" s="38" t="s">
        <v>337</v>
      </c>
      <c r="F23924" s="38" t="s">
        <v>338</v>
      </c>
      <c r="G23924" s="49" t="str">
        <f t="shared" si="1"/>
        <v>79240</v>
      </c>
      <c r="H23924" s="49">
        <f t="shared" si="2"/>
        <v>79332</v>
      </c>
    </row>
    <row r="23925">
      <c r="A23925" s="48" t="s">
        <v>3129</v>
      </c>
      <c r="B23925" s="38">
        <v>18021.0</v>
      </c>
      <c r="C23925" s="38" t="s">
        <v>28458</v>
      </c>
      <c r="D23925" s="38" t="str">
        <f>IFERROR(__xludf.DUMMYFUNCTION("REGEXREPLACE(C23925,""-\d+(.*)|--\d+(.*)"","""")"),"BANNEGON")</f>
        <v>BANNEGON</v>
      </c>
      <c r="E23925" s="38" t="s">
        <v>504</v>
      </c>
      <c r="F23925" s="38" t="s">
        <v>123</v>
      </c>
      <c r="G23925" s="49" t="str">
        <f t="shared" si="1"/>
        <v>18210</v>
      </c>
      <c r="H23925" s="49">
        <f t="shared" si="2"/>
        <v>18021</v>
      </c>
    </row>
    <row r="23926">
      <c r="A23926" s="48" t="s">
        <v>14362</v>
      </c>
      <c r="B23926" s="38">
        <v>56110.0</v>
      </c>
      <c r="C23926" s="38" t="s">
        <v>28459</v>
      </c>
      <c r="D23926" s="38" t="str">
        <f>IFERROR(__xludf.DUMMYFUNCTION("REGEXREPLACE(C23926,""-\d+(.*)|--\d+(.*)"","""")"),"LIGNOL")</f>
        <v>LIGNOL</v>
      </c>
      <c r="E23926" s="38" t="s">
        <v>173</v>
      </c>
      <c r="F23926" s="38" t="s">
        <v>90</v>
      </c>
      <c r="G23926" s="49" t="str">
        <f t="shared" si="1"/>
        <v>56160</v>
      </c>
      <c r="H23926" s="49">
        <f t="shared" si="2"/>
        <v>56110</v>
      </c>
    </row>
    <row r="23927">
      <c r="A23927" s="48" t="s">
        <v>4557</v>
      </c>
      <c r="B23927" s="38">
        <v>46130.0</v>
      </c>
      <c r="C23927" s="38" t="s">
        <v>28460</v>
      </c>
      <c r="D23927" s="38" t="str">
        <f>IFERROR(__xludf.DUMMYFUNCTION("REGEXREPLACE(C23927,""-\d+(.*)|--\d+(.*)"","""")"),"GREZELS")</f>
        <v>GREZELS</v>
      </c>
      <c r="E23927" s="38" t="s">
        <v>185</v>
      </c>
      <c r="F23927" s="38" t="s">
        <v>94</v>
      </c>
      <c r="G23927" s="49" t="str">
        <f t="shared" si="1"/>
        <v>46700</v>
      </c>
      <c r="H23927" s="49">
        <f t="shared" si="2"/>
        <v>46130</v>
      </c>
    </row>
    <row r="23928">
      <c r="A23928" s="48" t="s">
        <v>6521</v>
      </c>
      <c r="B23928" s="38">
        <v>34158.0</v>
      </c>
      <c r="C23928" s="38" t="s">
        <v>28461</v>
      </c>
      <c r="D23928" s="38" t="str">
        <f>IFERROR(__xludf.DUMMYFUNCTION("REGEXREPLACE(C23928,""-\d+(.*)|--\d+(.*)"","""")"),"MINERVE")</f>
        <v>MINERVE</v>
      </c>
      <c r="E23928" s="38" t="s">
        <v>118</v>
      </c>
      <c r="F23928" s="38" t="s">
        <v>119</v>
      </c>
      <c r="G23928" s="49" t="str">
        <f t="shared" si="1"/>
        <v>34210</v>
      </c>
      <c r="H23928" s="49">
        <f t="shared" si="2"/>
        <v>34158</v>
      </c>
    </row>
    <row r="23929">
      <c r="A23929" s="48" t="s">
        <v>1738</v>
      </c>
      <c r="B23929" s="38">
        <v>33193.0</v>
      </c>
      <c r="C23929" s="38" t="s">
        <v>28462</v>
      </c>
      <c r="D23929" s="38" t="str">
        <f>IFERROR(__xludf.DUMMYFUNCTION("REGEXREPLACE(C23929,""-\d+(.*)|--\d+(.*)"","""")"),"GRAYAN-ET-L'HOPITAL")</f>
        <v>GRAYAN-ET-L'HOPITAL</v>
      </c>
      <c r="E23929" s="38" t="s">
        <v>462</v>
      </c>
      <c r="F23929" s="38" t="s">
        <v>252</v>
      </c>
      <c r="G23929" s="49" t="str">
        <f t="shared" si="1"/>
        <v>33590</v>
      </c>
      <c r="H23929" s="49">
        <f t="shared" si="2"/>
        <v>33193</v>
      </c>
    </row>
    <row r="23930">
      <c r="A23930" s="48" t="s">
        <v>1161</v>
      </c>
      <c r="B23930" s="38">
        <v>45312.0</v>
      </c>
      <c r="C23930" s="38" t="s">
        <v>28463</v>
      </c>
      <c r="D23930" s="38" t="str">
        <f>IFERROR(__xludf.DUMMYFUNCTION("REGEXREPLACE(C23930,""-\d+(.*)|--\d+(.*)"","""")"),"SOLTERRE")</f>
        <v>SOLTERRE</v>
      </c>
      <c r="E23930" s="38" t="s">
        <v>122</v>
      </c>
      <c r="F23930" s="38" t="s">
        <v>123</v>
      </c>
      <c r="G23930" s="49" t="str">
        <f t="shared" si="1"/>
        <v>45700</v>
      </c>
      <c r="H23930" s="49">
        <f t="shared" si="2"/>
        <v>45312</v>
      </c>
    </row>
    <row r="23931">
      <c r="A23931" s="48" t="s">
        <v>425</v>
      </c>
      <c r="B23931" s="38">
        <v>88169.0</v>
      </c>
      <c r="C23931" s="38" t="s">
        <v>17468</v>
      </c>
      <c r="D23931" s="38" t="str">
        <f>IFERROR(__xludf.DUMMYFUNCTION("REGEXREPLACE(C23931,""-\d+(.*)|--\d+(.*)"","""")"),"FAYS")</f>
        <v>FAYS</v>
      </c>
      <c r="E23931" s="38" t="s">
        <v>194</v>
      </c>
      <c r="F23931" s="38" t="s">
        <v>195</v>
      </c>
      <c r="G23931" s="49" t="str">
        <f t="shared" si="1"/>
        <v>88600</v>
      </c>
      <c r="H23931" s="49">
        <f t="shared" si="2"/>
        <v>88169</v>
      </c>
    </row>
    <row r="23932">
      <c r="A23932" s="48" t="s">
        <v>28464</v>
      </c>
      <c r="B23932" s="38">
        <v>89332.0</v>
      </c>
      <c r="C23932" s="38" t="s">
        <v>2000</v>
      </c>
      <c r="D23932" s="38" t="str">
        <f>IFERROR(__xludf.DUMMYFUNCTION("REGEXREPLACE(C23932,""-\d+(.*)|--\d+(.*)"","""")"),"SAINT-AGNAN")</f>
        <v>SAINT-AGNAN</v>
      </c>
      <c r="E23932" s="38" t="s">
        <v>275</v>
      </c>
      <c r="F23932" s="38" t="s">
        <v>106</v>
      </c>
      <c r="G23932" s="49" t="str">
        <f t="shared" si="1"/>
        <v>89340</v>
      </c>
      <c r="H23932" s="49">
        <f t="shared" si="2"/>
        <v>89332</v>
      </c>
    </row>
    <row r="23933">
      <c r="A23933" s="48" t="s">
        <v>3755</v>
      </c>
      <c r="B23933" s="38">
        <v>76702.0</v>
      </c>
      <c r="C23933" s="38" t="s">
        <v>28465</v>
      </c>
      <c r="D23933" s="38" t="str">
        <f>IFERROR(__xludf.DUMMYFUNCTION("REGEXREPLACE(C23933,""-\d+(.*)|--\d+(.*)"","""")"),"TOUFFREVILLE-LA-CORBELINE")</f>
        <v>TOUFFREVILLE-LA-CORBELINE</v>
      </c>
      <c r="E23933" s="38" t="s">
        <v>133</v>
      </c>
      <c r="F23933" s="38" t="s">
        <v>134</v>
      </c>
      <c r="G23933" s="49" t="str">
        <f t="shared" si="1"/>
        <v>76190</v>
      </c>
      <c r="H23933" s="49">
        <f t="shared" si="2"/>
        <v>76702</v>
      </c>
    </row>
    <row r="23934">
      <c r="A23934" s="48" t="s">
        <v>2868</v>
      </c>
      <c r="B23934" s="38">
        <v>80393.0</v>
      </c>
      <c r="C23934" s="38" t="s">
        <v>28466</v>
      </c>
      <c r="D23934" s="38" t="str">
        <f>IFERROR(__xludf.DUMMYFUNCTION("REGEXREPLACE(C23934,""-\d+(.*)|--\d+(.*)"","""")"),"GRUNY")</f>
        <v>GRUNY</v>
      </c>
      <c r="E23934" s="38" t="s">
        <v>224</v>
      </c>
      <c r="F23934" s="38" t="s">
        <v>113</v>
      </c>
      <c r="G23934" s="49" t="str">
        <f t="shared" si="1"/>
        <v>80700</v>
      </c>
      <c r="H23934" s="49">
        <f t="shared" si="2"/>
        <v>80393</v>
      </c>
    </row>
    <row r="23935">
      <c r="A23935" s="48" t="s">
        <v>441</v>
      </c>
      <c r="B23935" s="38">
        <v>42061.0</v>
      </c>
      <c r="C23935" s="38" t="s">
        <v>28467</v>
      </c>
      <c r="D23935" s="38" t="str">
        <f>IFERROR(__xludf.DUMMYFUNCTION("REGEXREPLACE(C23935,""-\d+(.*)|--\d+(.*)"","""")"),"CHERIER")</f>
        <v>CHERIER</v>
      </c>
      <c r="E23935" s="38" t="s">
        <v>166</v>
      </c>
      <c r="F23935" s="38" t="s">
        <v>102</v>
      </c>
      <c r="G23935" s="49" t="str">
        <f t="shared" si="1"/>
        <v>42430</v>
      </c>
      <c r="H23935" s="49">
        <f t="shared" si="2"/>
        <v>42061</v>
      </c>
    </row>
    <row r="23936">
      <c r="A23936" s="48" t="s">
        <v>5020</v>
      </c>
      <c r="B23936" s="38">
        <v>51460.0</v>
      </c>
      <c r="C23936" s="38" t="s">
        <v>25885</v>
      </c>
      <c r="D23936" s="38" t="str">
        <f>IFERROR(__xludf.DUMMYFUNCTION("REGEXREPLACE(C23936,""-\d+(.*)|--\d+(.*)"","""")"),"RIEUX")</f>
        <v>RIEUX</v>
      </c>
      <c r="E23936" s="38" t="s">
        <v>129</v>
      </c>
      <c r="F23936" s="38" t="s">
        <v>130</v>
      </c>
      <c r="G23936" s="49" t="str">
        <f t="shared" si="1"/>
        <v>51210</v>
      </c>
      <c r="H23936" s="49">
        <f t="shared" si="2"/>
        <v>51460</v>
      </c>
    </row>
    <row r="23937">
      <c r="A23937" s="48" t="s">
        <v>28468</v>
      </c>
      <c r="B23937" s="38">
        <v>13107.0</v>
      </c>
      <c r="C23937" s="38" t="s">
        <v>28469</v>
      </c>
      <c r="D23937" s="38" t="str">
        <f>IFERROR(__xludf.DUMMYFUNCTION("REGEXREPLACE(C23937,""-\d+(.*)|--\d+(.*)"","""")"),"SIMIANE-COLLONGUE")</f>
        <v>SIMIANE-COLLONGUE</v>
      </c>
      <c r="E23937" s="38" t="s">
        <v>980</v>
      </c>
      <c r="F23937" s="38" t="s">
        <v>228</v>
      </c>
      <c r="G23937" s="49" t="str">
        <f t="shared" si="1"/>
        <v>13109</v>
      </c>
      <c r="H23937" s="49">
        <f t="shared" si="2"/>
        <v>13107</v>
      </c>
    </row>
    <row r="23938">
      <c r="A23938" s="48" t="s">
        <v>222</v>
      </c>
      <c r="B23938" s="38">
        <v>80207.0</v>
      </c>
      <c r="C23938" s="38" t="s">
        <v>28470</v>
      </c>
      <c r="D23938" s="38" t="str">
        <f>IFERROR(__xludf.DUMMYFUNCTION("REGEXREPLACE(C23938,""-\d+(.*)|--\d+(.*)"","""")"),"CONTAY")</f>
        <v>CONTAY</v>
      </c>
      <c r="E23938" s="38" t="s">
        <v>224</v>
      </c>
      <c r="F23938" s="38" t="s">
        <v>113</v>
      </c>
      <c r="G23938" s="49" t="str">
        <f t="shared" si="1"/>
        <v>80560</v>
      </c>
      <c r="H23938" s="49">
        <f t="shared" si="2"/>
        <v>80207</v>
      </c>
    </row>
    <row r="23939">
      <c r="A23939" s="48" t="s">
        <v>571</v>
      </c>
      <c r="B23939" s="38">
        <v>55362.0</v>
      </c>
      <c r="C23939" s="38" t="s">
        <v>28471</v>
      </c>
      <c r="D23939" s="38" t="str">
        <f>IFERROR(__xludf.DUMMYFUNCTION("REGEXREPLACE(C23939,""-\d+(.*)|--\d+(.*)"","""")"),"MOULINS-SAINT-HUBERT")</f>
        <v>MOULINS-SAINT-HUBERT</v>
      </c>
      <c r="E23939" s="38" t="s">
        <v>322</v>
      </c>
      <c r="F23939" s="38" t="s">
        <v>195</v>
      </c>
      <c r="G23939" s="49" t="str">
        <f t="shared" si="1"/>
        <v>55700</v>
      </c>
      <c r="H23939" s="49">
        <f t="shared" si="2"/>
        <v>55362</v>
      </c>
    </row>
    <row r="23940">
      <c r="A23940" s="48" t="s">
        <v>5311</v>
      </c>
      <c r="B23940" s="38">
        <v>55246.0</v>
      </c>
      <c r="C23940" s="38" t="s">
        <v>28472</v>
      </c>
      <c r="D23940" s="38" t="str">
        <f>IFERROR(__xludf.DUMMYFUNCTION("REGEXREPLACE(C23940,""-\d+(.*)|--\d+(.*)"","""")"),"HEVILLIERS")</f>
        <v>HEVILLIERS</v>
      </c>
      <c r="E23940" s="38" t="s">
        <v>322</v>
      </c>
      <c r="F23940" s="38" t="s">
        <v>195</v>
      </c>
      <c r="G23940" s="49" t="str">
        <f t="shared" si="1"/>
        <v>55290</v>
      </c>
      <c r="H23940" s="49">
        <f t="shared" si="2"/>
        <v>55246</v>
      </c>
    </row>
    <row r="23941">
      <c r="A23941" s="48" t="s">
        <v>6736</v>
      </c>
      <c r="B23941" s="38">
        <v>31004.0</v>
      </c>
      <c r="C23941" s="38" t="s">
        <v>28473</v>
      </c>
      <c r="D23941" s="38" t="str">
        <f>IFERROR(__xludf.DUMMYFUNCTION("REGEXREPLACE(C23941,""-\d+(.*)|--\d+(.*)"","""")"),"AYGUESVIVES")</f>
        <v>AYGUESVIVES</v>
      </c>
      <c r="E23941" s="38" t="s">
        <v>93</v>
      </c>
      <c r="F23941" s="38" t="s">
        <v>94</v>
      </c>
      <c r="G23941" s="49" t="str">
        <f t="shared" si="1"/>
        <v>31450</v>
      </c>
      <c r="H23941" s="49">
        <f t="shared" si="2"/>
        <v>31004</v>
      </c>
    </row>
    <row r="23942">
      <c r="A23942" s="48" t="s">
        <v>2234</v>
      </c>
      <c r="B23942" s="38">
        <v>30331.0</v>
      </c>
      <c r="C23942" s="38" t="s">
        <v>28474</v>
      </c>
      <c r="D23942" s="38" t="str">
        <f>IFERROR(__xludf.DUMMYFUNCTION("REGEXREPLACE(C23942,""-\d+(.*)|--\d+(.*)"","""")"),"TRESQUES")</f>
        <v>TRESQUES</v>
      </c>
      <c r="E23942" s="38" t="s">
        <v>526</v>
      </c>
      <c r="F23942" s="38" t="s">
        <v>119</v>
      </c>
      <c r="G23942" s="49" t="str">
        <f t="shared" si="1"/>
        <v>30330</v>
      </c>
      <c r="H23942" s="49">
        <f t="shared" si="2"/>
        <v>30331</v>
      </c>
    </row>
    <row r="23943">
      <c r="A23943" s="48" t="s">
        <v>4586</v>
      </c>
      <c r="B23943" s="38">
        <v>40172.0</v>
      </c>
      <c r="C23943" s="38" t="s">
        <v>28475</v>
      </c>
      <c r="D23943" s="38" t="str">
        <f>IFERROR(__xludf.DUMMYFUNCTION("REGEXREPLACE(C23943,""-\d+(.*)|--\d+(.*)"","""")"),"MANT")</f>
        <v>MANT</v>
      </c>
      <c r="E23943" s="38" t="s">
        <v>281</v>
      </c>
      <c r="F23943" s="38" t="s">
        <v>252</v>
      </c>
      <c r="G23943" s="49" t="str">
        <f t="shared" si="1"/>
        <v>40700</v>
      </c>
      <c r="H23943" s="49">
        <f t="shared" si="2"/>
        <v>40172</v>
      </c>
    </row>
    <row r="23944">
      <c r="A23944" s="48" t="s">
        <v>7858</v>
      </c>
      <c r="B23944" s="38">
        <v>47257.0</v>
      </c>
      <c r="C23944" s="38" t="s">
        <v>28476</v>
      </c>
      <c r="D23944" s="38" t="str">
        <f>IFERROR(__xludf.DUMMYFUNCTION("REGEXREPLACE(C23944,""-\d+(.*)|--\d+(.*)"","""")"),"SAINT-MARTIN-PETIT")</f>
        <v>SAINT-MARTIN-PETIT</v>
      </c>
      <c r="E23944" s="38" t="s">
        <v>251</v>
      </c>
      <c r="F23944" s="38" t="s">
        <v>252</v>
      </c>
      <c r="G23944" s="49" t="str">
        <f t="shared" si="1"/>
        <v>47180</v>
      </c>
      <c r="H23944" s="49">
        <f t="shared" si="2"/>
        <v>47257</v>
      </c>
    </row>
    <row r="23945">
      <c r="A23945" s="48" t="s">
        <v>6107</v>
      </c>
      <c r="B23945" s="38">
        <v>61336.0</v>
      </c>
      <c r="C23945" s="38" t="s">
        <v>28477</v>
      </c>
      <c r="D23945" s="38" t="str">
        <f>IFERROR(__xludf.DUMMYFUNCTION("REGEXREPLACE(C23945,""-\d+(.*)|--\d+(.*)"","""")"),"POUVRAI")</f>
        <v>POUVRAI</v>
      </c>
      <c r="E23945" s="38" t="s">
        <v>141</v>
      </c>
      <c r="F23945" s="38" t="s">
        <v>138</v>
      </c>
      <c r="G23945" s="49" t="str">
        <f t="shared" si="1"/>
        <v>61130</v>
      </c>
      <c r="H23945" s="49">
        <f t="shared" si="2"/>
        <v>61336</v>
      </c>
    </row>
    <row r="23946">
      <c r="A23946" s="48" t="s">
        <v>2909</v>
      </c>
      <c r="B23946" s="38">
        <v>44139.0</v>
      </c>
      <c r="C23946" s="38" t="s">
        <v>10057</v>
      </c>
      <c r="D23946" s="38" t="str">
        <f>IFERROR(__xludf.DUMMYFUNCTION("REGEXREPLACE(C23946,""-\d+(.*)|--\d+(.*)"","""")"),"QUILLY")</f>
        <v>QUILLY</v>
      </c>
      <c r="E23946" s="38" t="s">
        <v>759</v>
      </c>
      <c r="F23946" s="38" t="s">
        <v>180</v>
      </c>
      <c r="G23946" s="49" t="str">
        <f t="shared" si="1"/>
        <v>44750</v>
      </c>
      <c r="H23946" s="49">
        <f t="shared" si="2"/>
        <v>44139</v>
      </c>
    </row>
    <row r="23947">
      <c r="A23947" s="48" t="s">
        <v>1302</v>
      </c>
      <c r="B23947" s="38">
        <v>38413.0</v>
      </c>
      <c r="C23947" s="38" t="s">
        <v>28478</v>
      </c>
      <c r="D23947" s="38" t="str">
        <f>IFERROR(__xludf.DUMMYFUNCTION("REGEXREPLACE(C23947,""-\d+(.*)|--\d+(.*)"","""")"),"SAINT-LAURENT-EN-BEAUMONT")</f>
        <v>SAINT-LAURENT-EN-BEAUMONT</v>
      </c>
      <c r="E23947" s="38" t="s">
        <v>101</v>
      </c>
      <c r="F23947" s="38" t="s">
        <v>102</v>
      </c>
      <c r="G23947" s="49" t="str">
        <f t="shared" si="1"/>
        <v>38350</v>
      </c>
      <c r="H23947" s="49">
        <f t="shared" si="2"/>
        <v>38413</v>
      </c>
    </row>
    <row r="23948">
      <c r="A23948" s="48" t="s">
        <v>2008</v>
      </c>
      <c r="B23948" s="38">
        <v>46221.0</v>
      </c>
      <c r="C23948" s="38" t="s">
        <v>28479</v>
      </c>
      <c r="D23948" s="38" t="str">
        <f>IFERROR(__xludf.DUMMYFUNCTION("REGEXREPLACE(C23948,""-\d+(.*)|--\d+(.*)"","""")"),"PLANIOLES")</f>
        <v>PLANIOLES</v>
      </c>
      <c r="E23948" s="38" t="s">
        <v>185</v>
      </c>
      <c r="F23948" s="38" t="s">
        <v>94</v>
      </c>
      <c r="G23948" s="49" t="str">
        <f t="shared" si="1"/>
        <v>46100</v>
      </c>
      <c r="H23948" s="49">
        <f t="shared" si="2"/>
        <v>46221</v>
      </c>
    </row>
    <row r="23949">
      <c r="A23949" s="48" t="s">
        <v>12539</v>
      </c>
      <c r="B23949" s="38">
        <v>14702.0</v>
      </c>
      <c r="C23949" s="38" t="s">
        <v>28480</v>
      </c>
      <c r="D23949" s="38" t="str">
        <f>IFERROR(__xludf.DUMMYFUNCTION("REGEXREPLACE(C23949,""-\d+(.*)|--\d+(.*)"","""")"),"TOURNAY-SUR-ODON")</f>
        <v>TOURNAY-SUR-ODON</v>
      </c>
      <c r="E23949" s="38" t="s">
        <v>137</v>
      </c>
      <c r="F23949" s="38" t="s">
        <v>138</v>
      </c>
      <c r="G23949" s="49" t="str">
        <f t="shared" si="1"/>
        <v>14310</v>
      </c>
      <c r="H23949" s="49">
        <f t="shared" si="2"/>
        <v>14702</v>
      </c>
    </row>
    <row r="23950">
      <c r="A23950" s="48" t="s">
        <v>6264</v>
      </c>
      <c r="B23950" s="38">
        <v>77090.0</v>
      </c>
      <c r="C23950" s="38" t="s">
        <v>28481</v>
      </c>
      <c r="D23950" s="38" t="str">
        <f>IFERROR(__xludf.DUMMYFUNCTION("REGEXREPLACE(C23950,""-\d+(.*)|--\d+(.*)"","""")"),"LA CHAPELLE-SAINT-SULPICE")</f>
        <v>LA CHAPELLE-SAINT-SULPICE</v>
      </c>
      <c r="E23950" s="38" t="s">
        <v>244</v>
      </c>
      <c r="F23950" s="38" t="s">
        <v>245</v>
      </c>
      <c r="G23950" s="49" t="str">
        <f t="shared" si="1"/>
        <v>77160</v>
      </c>
      <c r="H23950" s="49">
        <f t="shared" si="2"/>
        <v>77090</v>
      </c>
    </row>
    <row r="23951">
      <c r="A23951" s="48" t="s">
        <v>6890</v>
      </c>
      <c r="B23951" s="38">
        <v>51587.0</v>
      </c>
      <c r="C23951" s="38" t="s">
        <v>28482</v>
      </c>
      <c r="D23951" s="38" t="str">
        <f>IFERROR(__xludf.DUMMYFUNCTION("REGEXREPLACE(C23951,""-\d+(.*)|--\d+(.*)"","""")"),"VADENAY")</f>
        <v>VADENAY</v>
      </c>
      <c r="E23951" s="38" t="s">
        <v>129</v>
      </c>
      <c r="F23951" s="38" t="s">
        <v>130</v>
      </c>
      <c r="G23951" s="49" t="str">
        <f t="shared" si="1"/>
        <v>51400</v>
      </c>
      <c r="H23951" s="49">
        <f t="shared" si="2"/>
        <v>51587</v>
      </c>
    </row>
    <row r="23952">
      <c r="A23952" s="48" t="s">
        <v>11240</v>
      </c>
      <c r="B23952" s="38">
        <v>51046.0</v>
      </c>
      <c r="C23952" s="38" t="s">
        <v>28483</v>
      </c>
      <c r="D23952" s="38" t="str">
        <f>IFERROR(__xludf.DUMMYFUNCTION("REGEXREPLACE(C23952,""-\d+(.*)|--\d+(.*)"","""")"),"BEINE-NAUROY")</f>
        <v>BEINE-NAUROY</v>
      </c>
      <c r="E23952" s="38" t="s">
        <v>129</v>
      </c>
      <c r="F23952" s="38" t="s">
        <v>130</v>
      </c>
      <c r="G23952" s="49" t="str">
        <f t="shared" si="1"/>
        <v>51490</v>
      </c>
      <c r="H23952" s="49">
        <f t="shared" si="2"/>
        <v>51046</v>
      </c>
    </row>
    <row r="23953">
      <c r="A23953" s="48" t="s">
        <v>262</v>
      </c>
      <c r="B23953" s="38">
        <v>9342.0</v>
      </c>
      <c r="C23953" s="38" t="s">
        <v>6659</v>
      </c>
      <c r="D23953" s="38" t="str">
        <f>IFERROR(__xludf.DUMMYFUNCTION("REGEXREPLACE(C23953,""-\d+(.*)|--\d+(.*)"","""")"),"SAINTE-SUZANNE")</f>
        <v>SAINTE-SUZANNE</v>
      </c>
      <c r="E23953" s="38" t="s">
        <v>238</v>
      </c>
      <c r="F23953" s="38" t="s">
        <v>94</v>
      </c>
      <c r="G23953" s="49" t="str">
        <f t="shared" si="1"/>
        <v>09130</v>
      </c>
      <c r="H23953" s="49" t="str">
        <f t="shared" si="2"/>
        <v>09342</v>
      </c>
    </row>
    <row r="23954">
      <c r="A23954" s="48" t="s">
        <v>3418</v>
      </c>
      <c r="B23954" s="38">
        <v>47245.0</v>
      </c>
      <c r="C23954" s="38" t="s">
        <v>28484</v>
      </c>
      <c r="D23954" s="38" t="str">
        <f>IFERROR(__xludf.DUMMYFUNCTION("REGEXREPLACE(C23954,""-\d+(.*)|--\d+(.*)"","""")"),"SAINT-GERAUD")</f>
        <v>SAINT-GERAUD</v>
      </c>
      <c r="E23954" s="38" t="s">
        <v>251</v>
      </c>
      <c r="F23954" s="38" t="s">
        <v>252</v>
      </c>
      <c r="G23954" s="49" t="str">
        <f t="shared" si="1"/>
        <v>47120</v>
      </c>
      <c r="H23954" s="49">
        <f t="shared" si="2"/>
        <v>47245</v>
      </c>
    </row>
    <row r="23955">
      <c r="A23955" s="48" t="s">
        <v>21368</v>
      </c>
      <c r="B23955" s="38">
        <v>7128.0</v>
      </c>
      <c r="C23955" s="38" t="s">
        <v>28485</v>
      </c>
      <c r="D23955" s="38" t="str">
        <f>IFERROR(__xludf.DUMMYFUNCTION("REGEXREPLACE(C23955,""-\d+(.*)|--\d+(.*)"","""")"),"LALOUVESC")</f>
        <v>LALOUVESC</v>
      </c>
      <c r="E23955" s="38" t="s">
        <v>144</v>
      </c>
      <c r="F23955" s="38" t="s">
        <v>102</v>
      </c>
      <c r="G23955" s="49" t="str">
        <f t="shared" si="1"/>
        <v>07520</v>
      </c>
      <c r="H23955" s="49" t="str">
        <f t="shared" si="2"/>
        <v>07128</v>
      </c>
    </row>
    <row r="23956">
      <c r="A23956" s="48" t="s">
        <v>9585</v>
      </c>
      <c r="B23956" s="38">
        <v>25092.0</v>
      </c>
      <c r="C23956" s="38" t="s">
        <v>22467</v>
      </c>
      <c r="D23956" s="38" t="str">
        <f>IFERROR(__xludf.DUMMYFUNCTION("REGEXREPLACE(C23956,""-\d+(.*)|--\d+(.*)"","""")"),"LA BRETENIERE")</f>
        <v>LA BRETENIERE</v>
      </c>
      <c r="E23956" s="38" t="s">
        <v>213</v>
      </c>
      <c r="F23956" s="38" t="s">
        <v>214</v>
      </c>
      <c r="G23956" s="49" t="str">
        <f t="shared" si="1"/>
        <v>25640</v>
      </c>
      <c r="H23956" s="49">
        <f t="shared" si="2"/>
        <v>25092</v>
      </c>
    </row>
    <row r="23957">
      <c r="A23957" s="48" t="s">
        <v>11177</v>
      </c>
      <c r="B23957" s="38">
        <v>12126.0</v>
      </c>
      <c r="C23957" s="38" t="s">
        <v>28486</v>
      </c>
      <c r="D23957" s="38" t="str">
        <f>IFERROR(__xludf.DUMMYFUNCTION("REGEXREPLACE(C23957,""-\d+(.*)|--\d+(.*)"","""")"),"LAVERNHE")</f>
        <v>LAVERNHE</v>
      </c>
      <c r="E23957" s="38" t="s">
        <v>465</v>
      </c>
      <c r="F23957" s="38" t="s">
        <v>94</v>
      </c>
      <c r="G23957" s="49" t="str">
        <f t="shared" si="1"/>
        <v>12150</v>
      </c>
      <c r="H23957" s="49">
        <f t="shared" si="2"/>
        <v>12126</v>
      </c>
    </row>
    <row r="23958">
      <c r="A23958" s="48" t="s">
        <v>4316</v>
      </c>
      <c r="B23958" s="38">
        <v>49151.0</v>
      </c>
      <c r="C23958" s="38" t="s">
        <v>28487</v>
      </c>
      <c r="D23958" s="38" t="str">
        <f>IFERROR(__xludf.DUMMYFUNCTION("REGEXREPLACE(C23958,""-\d+(.*)|--\d+(.*)"","""")"),"GESTE")</f>
        <v>GESTE</v>
      </c>
      <c r="E23958" s="38" t="s">
        <v>653</v>
      </c>
      <c r="F23958" s="38" t="s">
        <v>180</v>
      </c>
      <c r="G23958" s="49" t="str">
        <f t="shared" si="1"/>
        <v>49600</v>
      </c>
      <c r="H23958" s="49">
        <f t="shared" si="2"/>
        <v>49151</v>
      </c>
    </row>
    <row r="23959">
      <c r="A23959" s="48" t="s">
        <v>2673</v>
      </c>
      <c r="B23959" s="38">
        <v>3074.0</v>
      </c>
      <c r="C23959" s="38" t="s">
        <v>28488</v>
      </c>
      <c r="D23959" s="38" t="str">
        <f>IFERROR(__xludf.DUMMYFUNCTION("REGEXREPLACE(C23959,""-\d+(.*)|--\d+(.*)"","""")"),"CHEVAGNES")</f>
        <v>CHEVAGNES</v>
      </c>
      <c r="E23959" s="38" t="s">
        <v>160</v>
      </c>
      <c r="F23959" s="38" t="s">
        <v>161</v>
      </c>
      <c r="G23959" s="49" t="str">
        <f t="shared" si="1"/>
        <v>03230</v>
      </c>
      <c r="H23959" s="49" t="str">
        <f t="shared" si="2"/>
        <v>03074</v>
      </c>
    </row>
    <row r="23960">
      <c r="A23960" s="48" t="s">
        <v>290</v>
      </c>
      <c r="B23960" s="38">
        <v>85158.0</v>
      </c>
      <c r="C23960" s="38" t="s">
        <v>28489</v>
      </c>
      <c r="D23960" s="38" t="str">
        <f>IFERROR(__xludf.DUMMYFUNCTION("REGEXREPLACE(C23960,""-\d+(.*)|--\d+(.*)"","""")"),"MOUZEUIL-SAINT-MARTIN")</f>
        <v>MOUZEUIL-SAINT-MARTIN</v>
      </c>
      <c r="E23960" s="38" t="s">
        <v>179</v>
      </c>
      <c r="F23960" s="38" t="s">
        <v>180</v>
      </c>
      <c r="G23960" s="49" t="str">
        <f t="shared" si="1"/>
        <v>85370</v>
      </c>
      <c r="H23960" s="49">
        <f t="shared" si="2"/>
        <v>85158</v>
      </c>
    </row>
    <row r="23961">
      <c r="A23961" s="48" t="s">
        <v>1286</v>
      </c>
      <c r="B23961" s="38">
        <v>47282.0</v>
      </c>
      <c r="C23961" s="38" t="s">
        <v>28490</v>
      </c>
      <c r="D23961" s="38" t="str">
        <f>IFERROR(__xludf.DUMMYFUNCTION("REGEXREPLACE(C23961,""-\d+(.*)|--\d+(.*)"","""")"),"SAINT-VINCENT-DE-LAMONTJOIE")</f>
        <v>SAINT-VINCENT-DE-LAMONTJOIE</v>
      </c>
      <c r="E23961" s="38" t="s">
        <v>251</v>
      </c>
      <c r="F23961" s="38" t="s">
        <v>252</v>
      </c>
      <c r="G23961" s="49" t="str">
        <f t="shared" si="1"/>
        <v>47310</v>
      </c>
      <c r="H23961" s="49">
        <f t="shared" si="2"/>
        <v>47282</v>
      </c>
    </row>
    <row r="23962">
      <c r="A23962" s="48" t="s">
        <v>7161</v>
      </c>
      <c r="B23962" s="38">
        <v>17462.0</v>
      </c>
      <c r="C23962" s="38" t="s">
        <v>28491</v>
      </c>
      <c r="D23962" s="38" t="str">
        <f>IFERROR(__xludf.DUMMYFUNCTION("REGEXREPLACE(C23962,""-\d+(.*)|--\d+(.*)"","""")"),"VENERAND")</f>
        <v>VENERAND</v>
      </c>
      <c r="E23962" s="38" t="s">
        <v>488</v>
      </c>
      <c r="F23962" s="38" t="s">
        <v>338</v>
      </c>
      <c r="G23962" s="49" t="str">
        <f t="shared" si="1"/>
        <v>17100</v>
      </c>
      <c r="H23962" s="49">
        <f t="shared" si="2"/>
        <v>17462</v>
      </c>
    </row>
    <row r="23963">
      <c r="A23963" s="48" t="s">
        <v>3532</v>
      </c>
      <c r="B23963" s="38">
        <v>2149.0</v>
      </c>
      <c r="C23963" s="38" t="s">
        <v>28492</v>
      </c>
      <c r="D23963" s="38" t="str">
        <f>IFERROR(__xludf.DUMMYFUNCTION("REGEXREPLACE(C23963,""-\d+(.*)|--\d+(.*)"","""")"),"CERIZY")</f>
        <v>CERIZY</v>
      </c>
      <c r="E23963" s="38" t="s">
        <v>191</v>
      </c>
      <c r="F23963" s="38" t="s">
        <v>113</v>
      </c>
      <c r="G23963" s="49" t="str">
        <f t="shared" si="1"/>
        <v>02240</v>
      </c>
      <c r="H23963" s="49" t="str">
        <f t="shared" si="2"/>
        <v>02149</v>
      </c>
    </row>
    <row r="23964">
      <c r="A23964" s="48" t="s">
        <v>1526</v>
      </c>
      <c r="B23964" s="38">
        <v>60128.0</v>
      </c>
      <c r="C23964" s="38" t="s">
        <v>28493</v>
      </c>
      <c r="D23964" s="38" t="str">
        <f>IFERROR(__xludf.DUMMYFUNCTION("REGEXREPLACE(C23964,""-\d+(.*)|--\d+(.*)"","""")"),"CANNY-SUR-THERAIN")</f>
        <v>CANNY-SUR-THERAIN</v>
      </c>
      <c r="E23964" s="38" t="s">
        <v>112</v>
      </c>
      <c r="F23964" s="38" t="s">
        <v>113</v>
      </c>
      <c r="G23964" s="49" t="str">
        <f t="shared" si="1"/>
        <v>60220</v>
      </c>
      <c r="H23964" s="49">
        <f t="shared" si="2"/>
        <v>60128</v>
      </c>
    </row>
    <row r="23965">
      <c r="A23965" s="48" t="s">
        <v>198</v>
      </c>
      <c r="B23965" s="38">
        <v>65412.0</v>
      </c>
      <c r="C23965" s="38" t="s">
        <v>677</v>
      </c>
      <c r="D23965" s="38" t="str">
        <f>IFERROR(__xludf.DUMMYFUNCTION("REGEXREPLACE(C23965,""-\d+(.*)|--\d+(.*)"","""")"),"SAUVETERRE")</f>
        <v>SAUVETERRE</v>
      </c>
      <c r="E23965" s="38" t="s">
        <v>200</v>
      </c>
      <c r="F23965" s="38" t="s">
        <v>94</v>
      </c>
      <c r="G23965" s="49" t="str">
        <f t="shared" si="1"/>
        <v>65700</v>
      </c>
      <c r="H23965" s="49">
        <f t="shared" si="2"/>
        <v>65412</v>
      </c>
    </row>
    <row r="23966">
      <c r="A23966" s="48" t="s">
        <v>27656</v>
      </c>
      <c r="B23966" s="38">
        <v>47038.0</v>
      </c>
      <c r="C23966" s="38" t="s">
        <v>28494</v>
      </c>
      <c r="D23966" s="38" t="str">
        <f>IFERROR(__xludf.DUMMYFUNCTION("REGEXREPLACE(C23966,""-\d+(.*)|--\d+(.*)"","""")"),"BOURRAN")</f>
        <v>BOURRAN</v>
      </c>
      <c r="E23966" s="38" t="s">
        <v>251</v>
      </c>
      <c r="F23966" s="38" t="s">
        <v>252</v>
      </c>
      <c r="G23966" s="49" t="str">
        <f t="shared" si="1"/>
        <v>47320</v>
      </c>
      <c r="H23966" s="49">
        <f t="shared" si="2"/>
        <v>47038</v>
      </c>
    </row>
    <row r="23967">
      <c r="A23967" s="48" t="s">
        <v>3346</v>
      </c>
      <c r="B23967" s="38">
        <v>65269.0</v>
      </c>
      <c r="C23967" s="38" t="s">
        <v>28495</v>
      </c>
      <c r="D23967" s="38" t="str">
        <f>IFERROR(__xludf.DUMMYFUNCTION("REGEXREPLACE(C23967,""-\d+(.*)|--\d+(.*)"","""")"),"LESCURRY")</f>
        <v>LESCURRY</v>
      </c>
      <c r="E23967" s="38" t="s">
        <v>200</v>
      </c>
      <c r="F23967" s="38" t="s">
        <v>94</v>
      </c>
      <c r="G23967" s="49" t="str">
        <f t="shared" si="1"/>
        <v>65140</v>
      </c>
      <c r="H23967" s="49">
        <f t="shared" si="2"/>
        <v>65269</v>
      </c>
    </row>
    <row r="23968">
      <c r="A23968" s="48" t="s">
        <v>3666</v>
      </c>
      <c r="B23968" s="38">
        <v>21047.0</v>
      </c>
      <c r="C23968" s="38" t="s">
        <v>28496</v>
      </c>
      <c r="D23968" s="38" t="str">
        <f>IFERROR(__xludf.DUMMYFUNCTION("REGEXREPLACE(C23968,""-\d+(.*)|--\d+(.*)"","""")"),"BARD-LES-EPOISSES")</f>
        <v>BARD-LES-EPOISSES</v>
      </c>
      <c r="E23968" s="38" t="s">
        <v>105</v>
      </c>
      <c r="F23968" s="38" t="s">
        <v>106</v>
      </c>
      <c r="G23968" s="49" t="str">
        <f t="shared" si="1"/>
        <v>21460</v>
      </c>
      <c r="H23968" s="49">
        <f t="shared" si="2"/>
        <v>21047</v>
      </c>
    </row>
    <row r="23969">
      <c r="A23969" s="48" t="s">
        <v>7237</v>
      </c>
      <c r="B23969" s="38">
        <v>17408.0</v>
      </c>
      <c r="C23969" s="38" t="s">
        <v>28497</v>
      </c>
      <c r="D23969" s="38" t="str">
        <f>IFERROR(__xludf.DUMMYFUNCTION("REGEXREPLACE(C23969,""-\d+(.*)|--\d+(.*)"","""")"),"SAINT-SULPICE-D'ARNOULT")</f>
        <v>SAINT-SULPICE-D'ARNOULT</v>
      </c>
      <c r="E23969" s="38" t="s">
        <v>488</v>
      </c>
      <c r="F23969" s="38" t="s">
        <v>338</v>
      </c>
      <c r="G23969" s="49" t="str">
        <f t="shared" si="1"/>
        <v>17250</v>
      </c>
      <c r="H23969" s="49">
        <f t="shared" si="2"/>
        <v>17408</v>
      </c>
    </row>
    <row r="23970">
      <c r="A23970" s="48" t="s">
        <v>3198</v>
      </c>
      <c r="B23970" s="38">
        <v>32088.0</v>
      </c>
      <c r="C23970" s="38" t="s">
        <v>28498</v>
      </c>
      <c r="D23970" s="38" t="str">
        <f>IFERROR(__xludf.DUMMYFUNCTION("REGEXREPLACE(C23970,""-\d+(.*)|--\d+(.*)"","""")"),"CASTILLON-DEBATS")</f>
        <v>CASTILLON-DEBATS</v>
      </c>
      <c r="E23970" s="38" t="s">
        <v>440</v>
      </c>
      <c r="F23970" s="38" t="s">
        <v>94</v>
      </c>
      <c r="G23970" s="49" t="str">
        <f t="shared" si="1"/>
        <v>32190</v>
      </c>
      <c r="H23970" s="49">
        <f t="shared" si="2"/>
        <v>32088</v>
      </c>
    </row>
    <row r="23971">
      <c r="A23971" s="48" t="s">
        <v>505</v>
      </c>
      <c r="B23971" s="38">
        <v>12301.0</v>
      </c>
      <c r="C23971" s="38" t="s">
        <v>9167</v>
      </c>
      <c r="D23971" s="38" t="str">
        <f>IFERROR(__xludf.DUMMYFUNCTION("REGEXREPLACE(C23971,""-\d+(.*)|--\d+(.*)"","""")"),"VILLENEUVE")</f>
        <v>VILLENEUVE</v>
      </c>
      <c r="E23971" s="38" t="s">
        <v>465</v>
      </c>
      <c r="F23971" s="38" t="s">
        <v>94</v>
      </c>
      <c r="G23971" s="49" t="str">
        <f t="shared" si="1"/>
        <v>12260</v>
      </c>
      <c r="H23971" s="49">
        <f t="shared" si="2"/>
        <v>12301</v>
      </c>
    </row>
    <row r="23972">
      <c r="A23972" s="48" t="s">
        <v>5777</v>
      </c>
      <c r="B23972" s="38">
        <v>74254.0</v>
      </c>
      <c r="C23972" s="38" t="s">
        <v>21156</v>
      </c>
      <c r="D23972" s="38" t="str">
        <f>IFERROR(__xludf.DUMMYFUNCTION("REGEXREPLACE(C23972,""-\d+(.*)|--\d+(.*)"","""")"),"SAINT-SYLVESTRE")</f>
        <v>SAINT-SYLVESTRE</v>
      </c>
      <c r="E23972" s="38" t="s">
        <v>319</v>
      </c>
      <c r="F23972" s="38" t="s">
        <v>102</v>
      </c>
      <c r="G23972" s="49" t="str">
        <f t="shared" si="1"/>
        <v>74540</v>
      </c>
      <c r="H23972" s="49">
        <f t="shared" si="2"/>
        <v>74254</v>
      </c>
    </row>
    <row r="23973">
      <c r="A23973" s="48" t="s">
        <v>21801</v>
      </c>
      <c r="B23973" s="38">
        <v>81244.0</v>
      </c>
      <c r="C23973" s="38" t="s">
        <v>28499</v>
      </c>
      <c r="D23973" s="38" t="str">
        <f>IFERROR(__xludf.DUMMYFUNCTION("REGEXREPLACE(C23973,""-\d+(.*)|--\d+(.*)"","""")"),"SAINT-BENOIT-DE-CARMAUX")</f>
        <v>SAINT-BENOIT-DE-CARMAUX</v>
      </c>
      <c r="E23973" s="38" t="s">
        <v>231</v>
      </c>
      <c r="F23973" s="38" t="s">
        <v>94</v>
      </c>
      <c r="G23973" s="49" t="str">
        <f t="shared" si="1"/>
        <v>81400</v>
      </c>
      <c r="H23973" s="49">
        <f t="shared" si="2"/>
        <v>81244</v>
      </c>
    </row>
    <row r="23974">
      <c r="A23974" s="48" t="s">
        <v>3266</v>
      </c>
      <c r="B23974" s="38">
        <v>55335.0</v>
      </c>
      <c r="C23974" s="38" t="s">
        <v>28500</v>
      </c>
      <c r="D23974" s="38" t="str">
        <f>IFERROR(__xludf.DUMMYFUNCTION("REGEXREPLACE(C23974,""-\d+(.*)|--\d+(.*)"","""")"),"MENIL-SUR-SAULX")</f>
        <v>MENIL-SUR-SAULX</v>
      </c>
      <c r="E23974" s="38" t="s">
        <v>322</v>
      </c>
      <c r="F23974" s="38" t="s">
        <v>195</v>
      </c>
      <c r="G23974" s="49" t="str">
        <f t="shared" si="1"/>
        <v>55500</v>
      </c>
      <c r="H23974" s="49">
        <f t="shared" si="2"/>
        <v>55335</v>
      </c>
    </row>
    <row r="23975">
      <c r="A23975" s="48" t="s">
        <v>16016</v>
      </c>
      <c r="B23975" s="38">
        <v>21172.0</v>
      </c>
      <c r="C23975" s="38" t="s">
        <v>28501</v>
      </c>
      <c r="D23975" s="38" t="str">
        <f>IFERROR(__xludf.DUMMYFUNCTION("REGEXREPLACE(C23975,""-\d+(.*)|--\d+(.*)"","""")"),"CHIVRES")</f>
        <v>CHIVRES</v>
      </c>
      <c r="E23975" s="38" t="s">
        <v>105</v>
      </c>
      <c r="F23975" s="38" t="s">
        <v>106</v>
      </c>
      <c r="G23975" s="49" t="str">
        <f t="shared" si="1"/>
        <v>21820</v>
      </c>
      <c r="H23975" s="49">
        <f t="shared" si="2"/>
        <v>21172</v>
      </c>
    </row>
    <row r="23976">
      <c r="A23976" s="48" t="s">
        <v>1611</v>
      </c>
      <c r="B23976" s="38">
        <v>51572.0</v>
      </c>
      <c r="C23976" s="38" t="s">
        <v>28502</v>
      </c>
      <c r="D23976" s="38" t="str">
        <f>IFERROR(__xludf.DUMMYFUNCTION("REGEXREPLACE(C23976,""-\d+(.*)|--\d+(.*)"","""")"),"TILLOY-ET-BELLAY")</f>
        <v>TILLOY-ET-BELLAY</v>
      </c>
      <c r="E23976" s="38" t="s">
        <v>129</v>
      </c>
      <c r="F23976" s="38" t="s">
        <v>130</v>
      </c>
      <c r="G23976" s="49" t="str">
        <f t="shared" si="1"/>
        <v>51460</v>
      </c>
      <c r="H23976" s="49">
        <f t="shared" si="2"/>
        <v>51572</v>
      </c>
    </row>
    <row r="23977">
      <c r="A23977" s="48" t="s">
        <v>28503</v>
      </c>
      <c r="B23977" s="38">
        <v>78239.0</v>
      </c>
      <c r="C23977" s="38" t="s">
        <v>28504</v>
      </c>
      <c r="D23977" s="38" t="str">
        <f>IFERROR(__xludf.DUMMYFUNCTION("REGEXREPLACE(C23977,""-\d+(.*)|--\d+(.*)"","""")"),"FOLLAINVILLE-DENNEMONT")</f>
        <v>FOLLAINVILLE-DENNEMONT</v>
      </c>
      <c r="E23977" s="38" t="s">
        <v>362</v>
      </c>
      <c r="F23977" s="38" t="s">
        <v>245</v>
      </c>
      <c r="G23977" s="49" t="str">
        <f t="shared" si="1"/>
        <v>78520</v>
      </c>
      <c r="H23977" s="49">
        <f t="shared" si="2"/>
        <v>78239</v>
      </c>
    </row>
    <row r="23978">
      <c r="A23978" s="48" t="s">
        <v>12573</v>
      </c>
      <c r="B23978" s="38">
        <v>7149.0</v>
      </c>
      <c r="C23978" s="38" t="s">
        <v>28505</v>
      </c>
      <c r="D23978" s="38" t="str">
        <f>IFERROR(__xludf.DUMMYFUNCTION("REGEXREPLACE(C23978,""-\d+(.*)|--\d+(.*)"","""")"),"MARCOLS-LES-EAUX")</f>
        <v>MARCOLS-LES-EAUX</v>
      </c>
      <c r="E23978" s="38" t="s">
        <v>144</v>
      </c>
      <c r="F23978" s="38" t="s">
        <v>102</v>
      </c>
      <c r="G23978" s="49" t="str">
        <f t="shared" si="1"/>
        <v>07190</v>
      </c>
      <c r="H23978" s="49" t="str">
        <f t="shared" si="2"/>
        <v>07149</v>
      </c>
    </row>
    <row r="23979">
      <c r="A23979" s="48" t="s">
        <v>5012</v>
      </c>
      <c r="B23979" s="38">
        <v>55285.0</v>
      </c>
      <c r="C23979" s="38" t="s">
        <v>28506</v>
      </c>
      <c r="D23979" s="38" t="str">
        <f>IFERROR(__xludf.DUMMYFUNCTION("REGEXREPLACE(C23979,""-\d+(.*)|--\d+(.*)"","""")"),"LAVOYE")</f>
        <v>LAVOYE</v>
      </c>
      <c r="E23979" s="38" t="s">
        <v>322</v>
      </c>
      <c r="F23979" s="38" t="s">
        <v>195</v>
      </c>
      <c r="G23979" s="49" t="str">
        <f t="shared" si="1"/>
        <v>55120</v>
      </c>
      <c r="H23979" s="49">
        <f t="shared" si="2"/>
        <v>55285</v>
      </c>
    </row>
    <row r="23980">
      <c r="A23980" s="48" t="s">
        <v>3022</v>
      </c>
      <c r="B23980" s="38">
        <v>14497.0</v>
      </c>
      <c r="C23980" s="38" t="s">
        <v>28507</v>
      </c>
      <c r="D23980" s="38" t="str">
        <f>IFERROR(__xludf.DUMMYFUNCTION("REGEXREPLACE(C23980,""-\d+(.*)|--\d+(.*)"","""")"),"PERRIERES")</f>
        <v>PERRIERES</v>
      </c>
      <c r="E23980" s="38" t="s">
        <v>137</v>
      </c>
      <c r="F23980" s="38" t="s">
        <v>138</v>
      </c>
      <c r="G23980" s="49" t="str">
        <f t="shared" si="1"/>
        <v>14170</v>
      </c>
      <c r="H23980" s="49">
        <f t="shared" si="2"/>
        <v>14497</v>
      </c>
    </row>
    <row r="23981">
      <c r="A23981" s="48" t="s">
        <v>5203</v>
      </c>
      <c r="B23981" s="38">
        <v>88273.0</v>
      </c>
      <c r="C23981" s="38" t="s">
        <v>24487</v>
      </c>
      <c r="D23981" s="38" t="str">
        <f>IFERROR(__xludf.DUMMYFUNCTION("REGEXREPLACE(C23981,""-\d+(.*)|--\d+(.*)"","""")"),"LONGCHAMP")</f>
        <v>LONGCHAMP</v>
      </c>
      <c r="E23981" s="38" t="s">
        <v>194</v>
      </c>
      <c r="F23981" s="38" t="s">
        <v>195</v>
      </c>
      <c r="G23981" s="49" t="str">
        <f t="shared" si="1"/>
        <v>88000</v>
      </c>
      <c r="H23981" s="49">
        <f t="shared" si="2"/>
        <v>88273</v>
      </c>
    </row>
    <row r="23982">
      <c r="A23982" s="48" t="s">
        <v>5515</v>
      </c>
      <c r="B23982" s="38">
        <v>72107.0</v>
      </c>
      <c r="C23982" s="38" t="s">
        <v>28508</v>
      </c>
      <c r="D23982" s="38" t="str">
        <f>IFERROR(__xludf.DUMMYFUNCTION("REGEXREPLACE(C23982,""-\d+(.*)|--\d+(.*)"","""")"),"CRANNES-EN-CHAMPAGNE")</f>
        <v>CRANNES-EN-CHAMPAGNE</v>
      </c>
      <c r="E23982" s="38" t="s">
        <v>521</v>
      </c>
      <c r="F23982" s="38" t="s">
        <v>180</v>
      </c>
      <c r="G23982" s="49" t="str">
        <f t="shared" si="1"/>
        <v>72540</v>
      </c>
      <c r="H23982" s="49">
        <f t="shared" si="2"/>
        <v>72107</v>
      </c>
    </row>
    <row r="23983">
      <c r="A23983" s="48" t="s">
        <v>9824</v>
      </c>
      <c r="B23983" s="38">
        <v>68311.0</v>
      </c>
      <c r="C23983" s="38" t="s">
        <v>28509</v>
      </c>
      <c r="D23983" s="38" t="str">
        <f>IFERROR(__xludf.DUMMYFUNCTION("REGEXREPLACE(C23983,""-\d+(.*)|--\d+(.*)"","""")"),"SONDERNACH")</f>
        <v>SONDERNACH</v>
      </c>
      <c r="E23983" s="38" t="s">
        <v>150</v>
      </c>
      <c r="F23983" s="38" t="s">
        <v>151</v>
      </c>
      <c r="G23983" s="49" t="str">
        <f t="shared" si="1"/>
        <v>68380</v>
      </c>
      <c r="H23983" s="49">
        <f t="shared" si="2"/>
        <v>68311</v>
      </c>
    </row>
    <row r="23984">
      <c r="A23984" s="48" t="s">
        <v>3009</v>
      </c>
      <c r="B23984" s="38">
        <v>11007.0</v>
      </c>
      <c r="C23984" s="38" t="s">
        <v>28510</v>
      </c>
      <c r="D23984" s="38" t="str">
        <f>IFERROR(__xludf.DUMMYFUNCTION("REGEXREPLACE(C23984,""-\d+(.*)|--\d+(.*)"","""")"),"ALBIERES")</f>
        <v>ALBIERES</v>
      </c>
      <c r="E23984" s="38" t="s">
        <v>278</v>
      </c>
      <c r="F23984" s="38" t="s">
        <v>119</v>
      </c>
      <c r="G23984" s="49" t="str">
        <f t="shared" si="1"/>
        <v>11330</v>
      </c>
      <c r="H23984" s="49">
        <f t="shared" si="2"/>
        <v>11007</v>
      </c>
    </row>
    <row r="23985">
      <c r="A23985" s="48" t="s">
        <v>5840</v>
      </c>
      <c r="B23985" s="38">
        <v>71005.0</v>
      </c>
      <c r="C23985" s="38" t="s">
        <v>28511</v>
      </c>
      <c r="D23985" s="38" t="str">
        <f>IFERROR(__xludf.DUMMYFUNCTION("REGEXREPLACE(C23985,""-\d+(.*)|--\d+(.*)"","""")"),"ALUZE")</f>
        <v>ALUZE</v>
      </c>
      <c r="E23985" s="38" t="s">
        <v>344</v>
      </c>
      <c r="F23985" s="38" t="s">
        <v>106</v>
      </c>
      <c r="G23985" s="49" t="str">
        <f t="shared" si="1"/>
        <v>71510</v>
      </c>
      <c r="H23985" s="49">
        <f t="shared" si="2"/>
        <v>71005</v>
      </c>
    </row>
    <row r="23986">
      <c r="A23986" s="48" t="s">
        <v>9585</v>
      </c>
      <c r="B23986" s="38">
        <v>25242.0</v>
      </c>
      <c r="C23986" s="38" t="s">
        <v>28512</v>
      </c>
      <c r="D23986" s="38" t="str">
        <f>IFERROR(__xludf.DUMMYFUNCTION("REGEXREPLACE(C23986,""-\d+(.*)|--\d+(.*)"","""")"),"FLAGEY-RIGNEY")</f>
        <v>FLAGEY-RIGNEY</v>
      </c>
      <c r="E23986" s="38" t="s">
        <v>213</v>
      </c>
      <c r="F23986" s="38" t="s">
        <v>214</v>
      </c>
      <c r="G23986" s="49" t="str">
        <f t="shared" si="1"/>
        <v>25640</v>
      </c>
      <c r="H23986" s="49">
        <f t="shared" si="2"/>
        <v>25242</v>
      </c>
    </row>
    <row r="23987">
      <c r="A23987" s="48" t="s">
        <v>2668</v>
      </c>
      <c r="B23987" s="38">
        <v>55118.0</v>
      </c>
      <c r="C23987" s="38" t="s">
        <v>28513</v>
      </c>
      <c r="D23987" s="38" t="str">
        <f>IFERROR(__xludf.DUMMYFUNCTION("REGEXREPLACE(C23987,""-\d+(.*)|--\d+(.*)"","""")"),"CLERY-LE-GRAND")</f>
        <v>CLERY-LE-GRAND</v>
      </c>
      <c r="E23987" s="38" t="s">
        <v>322</v>
      </c>
      <c r="F23987" s="38" t="s">
        <v>195</v>
      </c>
      <c r="G23987" s="49" t="str">
        <f t="shared" si="1"/>
        <v>55110</v>
      </c>
      <c r="H23987" s="49">
        <f t="shared" si="2"/>
        <v>55118</v>
      </c>
    </row>
    <row r="23988">
      <c r="A23988" s="48" t="s">
        <v>7377</v>
      </c>
      <c r="B23988" s="38">
        <v>49190.0</v>
      </c>
      <c r="C23988" s="38" t="s">
        <v>28514</v>
      </c>
      <c r="D23988" s="38" t="str">
        <f>IFERROR(__xludf.DUMMYFUNCTION("REGEXREPLACE(C23988,""-\d+(.*)|--\d+(.*)"","""")"),"LE MARILLAIS")</f>
        <v>LE MARILLAIS</v>
      </c>
      <c r="E23988" s="38" t="s">
        <v>653</v>
      </c>
      <c r="F23988" s="38" t="s">
        <v>180</v>
      </c>
      <c r="G23988" s="49" t="str">
        <f t="shared" si="1"/>
        <v>49410</v>
      </c>
      <c r="H23988" s="49">
        <f t="shared" si="2"/>
        <v>49190</v>
      </c>
    </row>
    <row r="23989">
      <c r="A23989" s="48" t="s">
        <v>13060</v>
      </c>
      <c r="B23989" s="38">
        <v>45053.0</v>
      </c>
      <c r="C23989" s="38" t="s">
        <v>28515</v>
      </c>
      <c r="D23989" s="38" t="str">
        <f>IFERROR(__xludf.DUMMYFUNCTION("REGEXREPLACE(C23989,""-\d+(.*)|--\d+(.*)"","""")"),"BRIARE")</f>
        <v>BRIARE</v>
      </c>
      <c r="E23989" s="38" t="s">
        <v>122</v>
      </c>
      <c r="F23989" s="38" t="s">
        <v>123</v>
      </c>
      <c r="G23989" s="49" t="str">
        <f t="shared" si="1"/>
        <v>45250</v>
      </c>
      <c r="H23989" s="49">
        <f t="shared" si="2"/>
        <v>45053</v>
      </c>
    </row>
    <row r="23990">
      <c r="A23990" s="48" t="s">
        <v>28516</v>
      </c>
      <c r="B23990" s="38">
        <v>84083.0</v>
      </c>
      <c r="C23990" s="38" t="s">
        <v>28517</v>
      </c>
      <c r="D23990" s="38" t="str">
        <f>IFERROR(__xludf.DUMMYFUNCTION("REGEXREPLACE(C23990,""-\d+(.*)|--\d+(.*)"","""")"),"MORNAS")</f>
        <v>MORNAS</v>
      </c>
      <c r="E23990" s="38" t="s">
        <v>1026</v>
      </c>
      <c r="F23990" s="38" t="s">
        <v>228</v>
      </c>
      <c r="G23990" s="49" t="str">
        <f t="shared" si="1"/>
        <v>84550</v>
      </c>
      <c r="H23990" s="49">
        <f t="shared" si="2"/>
        <v>84083</v>
      </c>
    </row>
    <row r="23991">
      <c r="A23991" s="48" t="s">
        <v>5661</v>
      </c>
      <c r="B23991" s="38">
        <v>63149.0</v>
      </c>
      <c r="C23991" s="38" t="s">
        <v>20214</v>
      </c>
      <c r="D23991" s="38" t="str">
        <f>IFERROR(__xludf.DUMMYFUNCTION("REGEXREPLACE(C23991,""-\d+(.*)|--\d+(.*)"","""")"),"ENTRAIGUES")</f>
        <v>ENTRAIGUES</v>
      </c>
      <c r="E23991" s="38" t="s">
        <v>353</v>
      </c>
      <c r="F23991" s="38" t="s">
        <v>161</v>
      </c>
      <c r="G23991" s="49" t="str">
        <f t="shared" si="1"/>
        <v>63720</v>
      </c>
      <c r="H23991" s="49">
        <f t="shared" si="2"/>
        <v>63149</v>
      </c>
    </row>
    <row r="23992">
      <c r="A23992" s="48" t="s">
        <v>987</v>
      </c>
      <c r="B23992" s="38">
        <v>40136.0</v>
      </c>
      <c r="C23992" s="38" t="s">
        <v>28518</v>
      </c>
      <c r="D23992" s="38" t="str">
        <f>IFERROR(__xludf.DUMMYFUNCTION("REGEXREPLACE(C23992,""-\d+(.*)|--\d+(.*)"","""")"),"LACAJUNTE")</f>
        <v>LACAJUNTE</v>
      </c>
      <c r="E23992" s="38" t="s">
        <v>281</v>
      </c>
      <c r="F23992" s="38" t="s">
        <v>252</v>
      </c>
      <c r="G23992" s="49" t="str">
        <f t="shared" si="1"/>
        <v>40320</v>
      </c>
      <c r="H23992" s="49">
        <f t="shared" si="2"/>
        <v>40136</v>
      </c>
    </row>
    <row r="23993">
      <c r="A23993" s="48" t="s">
        <v>1270</v>
      </c>
      <c r="B23993" s="38">
        <v>57581.0</v>
      </c>
      <c r="C23993" s="38" t="s">
        <v>28519</v>
      </c>
      <c r="D23993" s="38" t="str">
        <f>IFERROR(__xludf.DUMMYFUNCTION("REGEXREPLACE(C23993,""-\d+(.*)|--\d+(.*)"","""")"),"RICHELING")</f>
        <v>RICHELING</v>
      </c>
      <c r="E23993" s="38" t="s">
        <v>303</v>
      </c>
      <c r="F23993" s="38" t="s">
        <v>195</v>
      </c>
      <c r="G23993" s="49" t="str">
        <f t="shared" si="1"/>
        <v>57510</v>
      </c>
      <c r="H23993" s="49">
        <f t="shared" si="2"/>
        <v>57581</v>
      </c>
    </row>
    <row r="23994">
      <c r="A23994" s="48" t="s">
        <v>5693</v>
      </c>
      <c r="B23994" s="38">
        <v>50271.0</v>
      </c>
      <c r="C23994" s="38" t="s">
        <v>28520</v>
      </c>
      <c r="D23994" s="38" t="str">
        <f>IFERROR(__xludf.DUMMYFUNCTION("REGEXREPLACE(C23994,""-\d+(.*)|--\d+(.*)"","""")"),"LINGEARD")</f>
        <v>LINGEARD</v>
      </c>
      <c r="E23994" s="38" t="s">
        <v>157</v>
      </c>
      <c r="F23994" s="38" t="s">
        <v>138</v>
      </c>
      <c r="G23994" s="49" t="str">
        <f t="shared" si="1"/>
        <v>50670</v>
      </c>
      <c r="H23994" s="49">
        <f t="shared" si="2"/>
        <v>50271</v>
      </c>
    </row>
    <row r="23995">
      <c r="A23995" s="48" t="s">
        <v>5200</v>
      </c>
      <c r="B23995" s="38">
        <v>45134.0</v>
      </c>
      <c r="C23995" s="38" t="s">
        <v>28521</v>
      </c>
      <c r="D23995" s="38" t="str">
        <f>IFERROR(__xludf.DUMMYFUNCTION("REGEXREPLACE(C23995,""-\d+(.*)|--\d+(.*)"","""")"),"EPIEDS-EN-BEAUCE")</f>
        <v>EPIEDS-EN-BEAUCE</v>
      </c>
      <c r="E23995" s="38" t="s">
        <v>122</v>
      </c>
      <c r="F23995" s="38" t="s">
        <v>123</v>
      </c>
      <c r="G23995" s="49" t="str">
        <f t="shared" si="1"/>
        <v>45130</v>
      </c>
      <c r="H23995" s="49">
        <f t="shared" si="2"/>
        <v>45134</v>
      </c>
    </row>
    <row r="23996">
      <c r="A23996" s="48" t="s">
        <v>7966</v>
      </c>
      <c r="B23996" s="38">
        <v>56041.0</v>
      </c>
      <c r="C23996" s="38" t="s">
        <v>28522</v>
      </c>
      <c r="D23996" s="38" t="str">
        <f>IFERROR(__xludf.DUMMYFUNCTION("REGEXREPLACE(C23996,""-\d+(.*)|--\d+(.*)"","""")"),"CLEGUEREC")</f>
        <v>CLEGUEREC</v>
      </c>
      <c r="E23996" s="38" t="s">
        <v>173</v>
      </c>
      <c r="F23996" s="38" t="s">
        <v>90</v>
      </c>
      <c r="G23996" s="49" t="str">
        <f t="shared" si="1"/>
        <v>56480</v>
      </c>
      <c r="H23996" s="49">
        <f t="shared" si="2"/>
        <v>56041</v>
      </c>
    </row>
    <row r="23997">
      <c r="A23997" s="48" t="s">
        <v>10066</v>
      </c>
      <c r="B23997" s="38">
        <v>1185.0</v>
      </c>
      <c r="C23997" s="38" t="s">
        <v>28523</v>
      </c>
      <c r="D23997" s="38" t="str">
        <f>IFERROR(__xludf.DUMMYFUNCTION("REGEXREPLACE(C23997,""-\d+(.*)|--\d+(.*)"","""")"),"HAUTEVILLE-LOMPNES")</f>
        <v>HAUTEVILLE-LOMPNES</v>
      </c>
      <c r="E23997" s="38" t="s">
        <v>255</v>
      </c>
      <c r="F23997" s="38" t="s">
        <v>102</v>
      </c>
      <c r="G23997" s="49" t="str">
        <f t="shared" si="1"/>
        <v>01110</v>
      </c>
      <c r="H23997" s="49" t="str">
        <f t="shared" si="2"/>
        <v>01185</v>
      </c>
    </row>
    <row r="23998">
      <c r="A23998" s="48" t="s">
        <v>3838</v>
      </c>
      <c r="B23998" s="38">
        <v>27522.0</v>
      </c>
      <c r="C23998" s="38" t="s">
        <v>28524</v>
      </c>
      <c r="D23998" s="38" t="str">
        <f>IFERROR(__xludf.DUMMYFUNCTION("REGEXREPLACE(C23998,""-\d+(.*)|--\d+(.*)"","""")"),"SAINT-CHRISTOPHE-SUR-CONDE")</f>
        <v>SAINT-CHRISTOPHE-SUR-CONDE</v>
      </c>
      <c r="E23998" s="38" t="s">
        <v>241</v>
      </c>
      <c r="F23998" s="38" t="s">
        <v>134</v>
      </c>
      <c r="G23998" s="49" t="str">
        <f t="shared" si="1"/>
        <v>27450</v>
      </c>
      <c r="H23998" s="49">
        <f t="shared" si="2"/>
        <v>27522</v>
      </c>
    </row>
    <row r="23999">
      <c r="A23999" s="48" t="s">
        <v>1540</v>
      </c>
      <c r="B23999" s="38">
        <v>70203.0</v>
      </c>
      <c r="C23999" s="38" t="s">
        <v>28525</v>
      </c>
      <c r="D23999" s="38" t="str">
        <f>IFERROR(__xludf.DUMMYFUNCTION("REGEXREPLACE(C23999,""-\d+(.*)|--\d+(.*)"","""")"),"LA DEMIE")</f>
        <v>LA DEMIE</v>
      </c>
      <c r="E23999" s="38" t="s">
        <v>956</v>
      </c>
      <c r="F23999" s="38" t="s">
        <v>214</v>
      </c>
      <c r="G23999" s="49" t="str">
        <f t="shared" si="1"/>
        <v>70000</v>
      </c>
      <c r="H23999" s="49">
        <f t="shared" si="2"/>
        <v>70203</v>
      </c>
    </row>
    <row r="24000">
      <c r="A24000" s="48" t="s">
        <v>14940</v>
      </c>
      <c r="B24000" s="38">
        <v>17441.0</v>
      </c>
      <c r="C24000" s="38" t="s">
        <v>28526</v>
      </c>
      <c r="D24000" s="38" t="str">
        <f>IFERROR(__xludf.DUMMYFUNCTION("REGEXREPLACE(C24000,""-\d+(.*)|--\d+(.*)"","""")"),"TESSON")</f>
        <v>TESSON</v>
      </c>
      <c r="E24000" s="38" t="s">
        <v>488</v>
      </c>
      <c r="F24000" s="38" t="s">
        <v>338</v>
      </c>
      <c r="G24000" s="49" t="str">
        <f t="shared" si="1"/>
        <v>17460</v>
      </c>
      <c r="H24000" s="49">
        <f t="shared" si="2"/>
        <v>17441</v>
      </c>
    </row>
    <row r="24001">
      <c r="A24001" s="48" t="s">
        <v>3244</v>
      </c>
      <c r="B24001" s="38">
        <v>27652.0</v>
      </c>
      <c r="C24001" s="38" t="s">
        <v>28527</v>
      </c>
      <c r="D24001" s="38" t="str">
        <f>IFERROR(__xludf.DUMMYFUNCTION("REGEXREPLACE(C24001,""-\d+(.*)|--\d+(.*)"","""")"),"TOURNEVILLE")</f>
        <v>TOURNEVILLE</v>
      </c>
      <c r="E24001" s="38" t="s">
        <v>241</v>
      </c>
      <c r="F24001" s="38" t="s">
        <v>134</v>
      </c>
      <c r="G24001" s="49" t="str">
        <f t="shared" si="1"/>
        <v>27930</v>
      </c>
      <c r="H24001" s="49">
        <f t="shared" si="2"/>
        <v>27652</v>
      </c>
    </row>
    <row r="24002">
      <c r="A24002" s="48" t="s">
        <v>4459</v>
      </c>
      <c r="B24002" s="38">
        <v>63413.0</v>
      </c>
      <c r="C24002" s="38" t="s">
        <v>22277</v>
      </c>
      <c r="D24002" s="38" t="str">
        <f>IFERROR(__xludf.DUMMYFUNCTION("REGEXREPLACE(C24002,""-\d+(.*)|--\d+(.*)"","""")"),"LA SAUVETAT")</f>
        <v>LA SAUVETAT</v>
      </c>
      <c r="E24002" s="38" t="s">
        <v>353</v>
      </c>
      <c r="F24002" s="38" t="s">
        <v>161</v>
      </c>
      <c r="G24002" s="49" t="str">
        <f t="shared" si="1"/>
        <v>63730</v>
      </c>
      <c r="H24002" s="49">
        <f t="shared" si="2"/>
        <v>63413</v>
      </c>
    </row>
    <row r="24003">
      <c r="A24003" s="48" t="s">
        <v>683</v>
      </c>
      <c r="B24003" s="38">
        <v>64428.0</v>
      </c>
      <c r="C24003" s="38" t="s">
        <v>28528</v>
      </c>
      <c r="D24003" s="38" t="str">
        <f>IFERROR(__xludf.DUMMYFUNCTION("REGEXREPLACE(C24003,""-\d+(.*)|--\d+(.*)"","""")"),"ORRIULE")</f>
        <v>ORRIULE</v>
      </c>
      <c r="E24003" s="38" t="s">
        <v>268</v>
      </c>
      <c r="F24003" s="38" t="s">
        <v>252</v>
      </c>
      <c r="G24003" s="49" t="str">
        <f t="shared" si="1"/>
        <v>64390</v>
      </c>
      <c r="H24003" s="49">
        <f t="shared" si="2"/>
        <v>64428</v>
      </c>
    </row>
    <row r="24004">
      <c r="A24004" s="48" t="s">
        <v>2619</v>
      </c>
      <c r="B24004" s="38">
        <v>71061.0</v>
      </c>
      <c r="C24004" s="38" t="s">
        <v>28529</v>
      </c>
      <c r="D24004" s="38" t="str">
        <f>IFERROR(__xludf.DUMMYFUNCTION("REGEXREPLACE(C24004,""-\d+(.*)|--\d+(.*)"","""")"),"BRIENNE")</f>
        <v>BRIENNE</v>
      </c>
      <c r="E24004" s="38" t="s">
        <v>344</v>
      </c>
      <c r="F24004" s="38" t="s">
        <v>106</v>
      </c>
      <c r="G24004" s="49" t="str">
        <f t="shared" si="1"/>
        <v>71290</v>
      </c>
      <c r="H24004" s="49">
        <f t="shared" si="2"/>
        <v>71061</v>
      </c>
    </row>
    <row r="24005">
      <c r="A24005" s="48" t="s">
        <v>2170</v>
      </c>
      <c r="B24005" s="38">
        <v>80555.0</v>
      </c>
      <c r="C24005" s="38" t="s">
        <v>28530</v>
      </c>
      <c r="D24005" s="38" t="str">
        <f>IFERROR(__xludf.DUMMYFUNCTION("REGEXREPLACE(C24005,""-\d+(.*)|--\d+(.*)"","""")"),"MONCHY-LAGACHE")</f>
        <v>MONCHY-LAGACHE</v>
      </c>
      <c r="E24005" s="38" t="s">
        <v>224</v>
      </c>
      <c r="F24005" s="38" t="s">
        <v>113</v>
      </c>
      <c r="G24005" s="49" t="str">
        <f t="shared" si="1"/>
        <v>80200</v>
      </c>
      <c r="H24005" s="49">
        <f t="shared" si="2"/>
        <v>80555</v>
      </c>
    </row>
    <row r="24006">
      <c r="A24006" s="48" t="s">
        <v>8665</v>
      </c>
      <c r="B24006" s="38">
        <v>83060.0</v>
      </c>
      <c r="C24006" s="38" t="s">
        <v>28531</v>
      </c>
      <c r="D24006" s="38" t="str">
        <f>IFERROR(__xludf.DUMMYFUNCTION("REGEXREPLACE(C24006,""-\d+(.*)|--\d+(.*)"","""")"),"FOX-AMPHOUX")</f>
        <v>FOX-AMPHOUX</v>
      </c>
      <c r="E24006" s="38" t="s">
        <v>813</v>
      </c>
      <c r="F24006" s="38" t="s">
        <v>228</v>
      </c>
      <c r="G24006" s="49" t="str">
        <f t="shared" si="1"/>
        <v>83670</v>
      </c>
      <c r="H24006" s="49">
        <f t="shared" si="2"/>
        <v>83060</v>
      </c>
    </row>
    <row r="24007">
      <c r="A24007" s="48" t="s">
        <v>24546</v>
      </c>
      <c r="B24007" s="38">
        <v>39373.0</v>
      </c>
      <c r="C24007" s="38" t="s">
        <v>28532</v>
      </c>
      <c r="D24007" s="38" t="str">
        <f>IFERROR(__xludf.DUMMYFUNCTION("REGEXREPLACE(C24007,""-\d+(.*)|--\d+(.*)"","""")"),"LES MOUSSIERES")</f>
        <v>LES MOUSSIERES</v>
      </c>
      <c r="E24007" s="38" t="s">
        <v>400</v>
      </c>
      <c r="F24007" s="38" t="s">
        <v>214</v>
      </c>
      <c r="G24007" s="49" t="str">
        <f t="shared" si="1"/>
        <v>39310</v>
      </c>
      <c r="H24007" s="49">
        <f t="shared" si="2"/>
        <v>39373</v>
      </c>
    </row>
    <row r="24008">
      <c r="A24008" s="48" t="s">
        <v>10697</v>
      </c>
      <c r="B24008" s="38">
        <v>54435.0</v>
      </c>
      <c r="C24008" s="38" t="s">
        <v>28533</v>
      </c>
      <c r="D24008" s="38" t="str">
        <f>IFERROR(__xludf.DUMMYFUNCTION("REGEXREPLACE(C24008,""-\d+(.*)|--\d+(.*)"","""")"),"PRENY")</f>
        <v>PRENY</v>
      </c>
      <c r="E24008" s="38" t="s">
        <v>548</v>
      </c>
      <c r="F24008" s="38" t="s">
        <v>195</v>
      </c>
      <c r="G24008" s="49" t="str">
        <f t="shared" si="1"/>
        <v>54530</v>
      </c>
      <c r="H24008" s="49">
        <f t="shared" si="2"/>
        <v>54435</v>
      </c>
    </row>
    <row r="24009">
      <c r="A24009" s="48" t="s">
        <v>18646</v>
      </c>
      <c r="B24009" s="38">
        <v>3125.0</v>
      </c>
      <c r="C24009" s="38" t="s">
        <v>28534</v>
      </c>
      <c r="D24009" s="38" t="str">
        <f>IFERROR(__xludf.DUMMYFUNCTION("REGEXREPLACE(C24009,""-\d+(.*)|--\d+(.*)"","""")"),"LA GUILLERMIE")</f>
        <v>LA GUILLERMIE</v>
      </c>
      <c r="E24009" s="38" t="s">
        <v>160</v>
      </c>
      <c r="F24009" s="38" t="s">
        <v>161</v>
      </c>
      <c r="G24009" s="49" t="str">
        <f t="shared" si="1"/>
        <v>03250</v>
      </c>
      <c r="H24009" s="49" t="str">
        <f t="shared" si="2"/>
        <v>03125</v>
      </c>
    </row>
    <row r="24010">
      <c r="A24010" s="48" t="s">
        <v>7073</v>
      </c>
      <c r="B24010" s="38">
        <v>38374.0</v>
      </c>
      <c r="C24010" s="38" t="s">
        <v>28535</v>
      </c>
      <c r="D24010" s="38" t="str">
        <f>IFERROR(__xludf.DUMMYFUNCTION("REGEXREPLACE(C24010,""-\d+(.*)|--\d+(.*)"","""")"),"SAINT-CHEF")</f>
        <v>SAINT-CHEF</v>
      </c>
      <c r="E24010" s="38" t="s">
        <v>101</v>
      </c>
      <c r="F24010" s="38" t="s">
        <v>102</v>
      </c>
      <c r="G24010" s="49" t="str">
        <f t="shared" si="1"/>
        <v>38890</v>
      </c>
      <c r="H24010" s="49">
        <f t="shared" si="2"/>
        <v>38374</v>
      </c>
    </row>
    <row r="24011">
      <c r="A24011" s="48" t="s">
        <v>28536</v>
      </c>
      <c r="B24011" s="38">
        <v>3250.0</v>
      </c>
      <c r="C24011" s="38" t="s">
        <v>28537</v>
      </c>
      <c r="D24011" s="38" t="str">
        <f>IFERROR(__xludf.DUMMYFUNCTION("REGEXREPLACE(C24011,""-\d+(.*)|--\d+(.*)"","""")"),"SAINT-PIERRE-LAVAL")</f>
        <v>SAINT-PIERRE-LAVAL</v>
      </c>
      <c r="E24011" s="38" t="s">
        <v>160</v>
      </c>
      <c r="F24011" s="38" t="s">
        <v>161</v>
      </c>
      <c r="G24011" s="49" t="str">
        <f t="shared" si="1"/>
        <v>42620</v>
      </c>
      <c r="H24011" s="49" t="str">
        <f t="shared" si="2"/>
        <v>03250</v>
      </c>
    </row>
    <row r="24012">
      <c r="A24012" s="48" t="s">
        <v>744</v>
      </c>
      <c r="B24012" s="38">
        <v>14096.0</v>
      </c>
      <c r="C24012" s="38" t="s">
        <v>28538</v>
      </c>
      <c r="D24012" s="38" t="str">
        <f>IFERROR(__xludf.DUMMYFUNCTION("REGEXREPLACE(C24012,""-\d+(.*)|--\d+(.*)"","""")"),"BREMOY")</f>
        <v>BREMOY</v>
      </c>
      <c r="E24012" s="38" t="s">
        <v>137</v>
      </c>
      <c r="F24012" s="38" t="s">
        <v>138</v>
      </c>
      <c r="G24012" s="49" t="str">
        <f t="shared" si="1"/>
        <v>14260</v>
      </c>
      <c r="H24012" s="49">
        <f t="shared" si="2"/>
        <v>14096</v>
      </c>
    </row>
    <row r="24013">
      <c r="A24013" s="48" t="s">
        <v>2833</v>
      </c>
      <c r="B24013" s="38">
        <v>77381.0</v>
      </c>
      <c r="C24013" s="38" t="s">
        <v>28539</v>
      </c>
      <c r="D24013" s="38" t="str">
        <f>IFERROR(__xludf.DUMMYFUNCTION("REGEXREPLACE(C24013,""-\d+(.*)|--\d+(.*)"","""")"),"QUIERS")</f>
        <v>QUIERS</v>
      </c>
      <c r="E24013" s="38" t="s">
        <v>244</v>
      </c>
      <c r="F24013" s="38" t="s">
        <v>245</v>
      </c>
      <c r="G24013" s="49" t="str">
        <f t="shared" si="1"/>
        <v>77720</v>
      </c>
      <c r="H24013" s="49">
        <f t="shared" si="2"/>
        <v>77381</v>
      </c>
    </row>
    <row r="24014">
      <c r="A24014" s="48" t="s">
        <v>3048</v>
      </c>
      <c r="B24014" s="38">
        <v>21629.0</v>
      </c>
      <c r="C24014" s="38" t="s">
        <v>28540</v>
      </c>
      <c r="D24014" s="38" t="str">
        <f>IFERROR(__xludf.DUMMYFUNCTION("REGEXREPLACE(C24014,""-\d+(.*)|--\d+(.*)"","""")"),"THOISY-LA-BERCHERE")</f>
        <v>THOISY-LA-BERCHERE</v>
      </c>
      <c r="E24014" s="38" t="s">
        <v>105</v>
      </c>
      <c r="F24014" s="38" t="s">
        <v>106</v>
      </c>
      <c r="G24014" s="49" t="str">
        <f t="shared" si="1"/>
        <v>21210</v>
      </c>
      <c r="H24014" s="49">
        <f t="shared" si="2"/>
        <v>21629</v>
      </c>
    </row>
    <row r="24015">
      <c r="A24015" s="48" t="s">
        <v>5230</v>
      </c>
      <c r="B24015" s="38">
        <v>25059.0</v>
      </c>
      <c r="C24015" s="38" t="s">
        <v>28541</v>
      </c>
      <c r="D24015" s="38" t="str">
        <f>IFERROR(__xludf.DUMMYFUNCTION("REGEXREPLACE(C24015,""-\d+(.*)|--\d+(.*)"","""")"),"BEUTAL")</f>
        <v>BEUTAL</v>
      </c>
      <c r="E24015" s="38" t="s">
        <v>213</v>
      </c>
      <c r="F24015" s="38" t="s">
        <v>214</v>
      </c>
      <c r="G24015" s="49" t="str">
        <f t="shared" si="1"/>
        <v>25250</v>
      </c>
      <c r="H24015" s="49">
        <f t="shared" si="2"/>
        <v>25059</v>
      </c>
    </row>
    <row r="24016">
      <c r="A24016" s="48" t="s">
        <v>4644</v>
      </c>
      <c r="B24016" s="38">
        <v>46060.0</v>
      </c>
      <c r="C24016" s="38" t="s">
        <v>28542</v>
      </c>
      <c r="D24016" s="38" t="str">
        <f>IFERROR(__xludf.DUMMYFUNCTION("REGEXREPLACE(C24016,""-\d+(.*)|--\d+(.*)"","""")"),"CARNAC-ROUFFIAC")</f>
        <v>CARNAC-ROUFFIAC</v>
      </c>
      <c r="E24016" s="38" t="s">
        <v>185</v>
      </c>
      <c r="F24016" s="38" t="s">
        <v>94</v>
      </c>
      <c r="G24016" s="49" t="str">
        <f t="shared" si="1"/>
        <v>46140</v>
      </c>
      <c r="H24016" s="49">
        <f t="shared" si="2"/>
        <v>46060</v>
      </c>
    </row>
    <row r="24017">
      <c r="A24017" s="48" t="s">
        <v>28543</v>
      </c>
      <c r="B24017" s="38">
        <v>13074.0</v>
      </c>
      <c r="C24017" s="38" t="s">
        <v>28544</v>
      </c>
      <c r="D24017" s="38" t="str">
        <f>IFERROR(__xludf.DUMMYFUNCTION("REGEXREPLACE(C24017,""-\d+(.*)|--\d+(.*)"","""")"),"PEYROLLES-EN-PROVENCE")</f>
        <v>PEYROLLES-EN-PROVENCE</v>
      </c>
      <c r="E24017" s="38" t="s">
        <v>980</v>
      </c>
      <c r="F24017" s="38" t="s">
        <v>228</v>
      </c>
      <c r="G24017" s="49" t="str">
        <f t="shared" si="1"/>
        <v>13860</v>
      </c>
      <c r="H24017" s="49">
        <f t="shared" si="2"/>
        <v>13074</v>
      </c>
    </row>
    <row r="24018">
      <c r="A24018" s="48" t="s">
        <v>28545</v>
      </c>
      <c r="B24018" s="38">
        <v>44012.0</v>
      </c>
      <c r="C24018" s="38" t="s">
        <v>28546</v>
      </c>
      <c r="D24018" s="38" t="str">
        <f>IFERROR(__xludf.DUMMYFUNCTION("REGEXREPLACE(C24018,""-\d+(.*)|--\d+(.*)"","""")"),"LA BERNERIE-EN-RETZ")</f>
        <v>LA BERNERIE-EN-RETZ</v>
      </c>
      <c r="E24018" s="38" t="s">
        <v>759</v>
      </c>
      <c r="F24018" s="38" t="s">
        <v>180</v>
      </c>
      <c r="G24018" s="49" t="str">
        <f t="shared" si="1"/>
        <v>44760</v>
      </c>
      <c r="H24018" s="49">
        <f t="shared" si="2"/>
        <v>44012</v>
      </c>
    </row>
    <row r="24019">
      <c r="A24019" s="48" t="s">
        <v>1781</v>
      </c>
      <c r="B24019" s="38">
        <v>27398.0</v>
      </c>
      <c r="C24019" s="38" t="s">
        <v>28547</v>
      </c>
      <c r="D24019" s="38" t="str">
        <f>IFERROR(__xludf.DUMMYFUNCTION("REGEXREPLACE(C24019,""-\d+(.*)|--\d+(.*)"","""")"),"MENNEVAL")</f>
        <v>MENNEVAL</v>
      </c>
      <c r="E24019" s="38" t="s">
        <v>241</v>
      </c>
      <c r="F24019" s="38" t="s">
        <v>134</v>
      </c>
      <c r="G24019" s="49" t="str">
        <f t="shared" si="1"/>
        <v>27300</v>
      </c>
      <c r="H24019" s="49">
        <f t="shared" si="2"/>
        <v>27398</v>
      </c>
    </row>
    <row r="24020">
      <c r="A24020" s="48" t="s">
        <v>19737</v>
      </c>
      <c r="B24020" s="38">
        <v>24098.0</v>
      </c>
      <c r="C24020" s="38" t="s">
        <v>28548</v>
      </c>
      <c r="D24020" s="38" t="str">
        <f>IFERROR(__xludf.DUMMYFUNCTION("REGEXREPLACE(C24020,""-\d+(.*)|--\d+(.*)"","""")"),"CHAMPCEVINEL")</f>
        <v>CHAMPCEVINEL</v>
      </c>
      <c r="E24020" s="38" t="s">
        <v>261</v>
      </c>
      <c r="F24020" s="38" t="s">
        <v>252</v>
      </c>
      <c r="G24020" s="49" t="str">
        <f t="shared" si="1"/>
        <v>24750</v>
      </c>
      <c r="H24020" s="49">
        <f t="shared" si="2"/>
        <v>24098</v>
      </c>
    </row>
    <row r="24021">
      <c r="A24021" s="48" t="s">
        <v>28464</v>
      </c>
      <c r="B24021" s="38">
        <v>89074.0</v>
      </c>
      <c r="C24021" s="38" t="s">
        <v>17177</v>
      </c>
      <c r="D24021" s="38" t="str">
        <f>IFERROR(__xludf.DUMMYFUNCTION("REGEXREPLACE(C24021,""-\d+(.*)|--\d+(.*)"","""")"),"CHAMPIGNY")</f>
        <v>CHAMPIGNY</v>
      </c>
      <c r="E24021" s="38" t="s">
        <v>275</v>
      </c>
      <c r="F24021" s="38" t="s">
        <v>106</v>
      </c>
      <c r="G24021" s="49" t="str">
        <f t="shared" si="1"/>
        <v>89340</v>
      </c>
      <c r="H24021" s="49">
        <f t="shared" si="2"/>
        <v>89074</v>
      </c>
    </row>
    <row r="24022">
      <c r="A24022" s="48" t="s">
        <v>5237</v>
      </c>
      <c r="B24022" s="38">
        <v>69254.0</v>
      </c>
      <c r="C24022" s="38" t="s">
        <v>28549</v>
      </c>
      <c r="D24022" s="38" t="str">
        <f>IFERROR(__xludf.DUMMYFUNCTION("REGEXREPLACE(C24022,""-\d+(.*)|--\d+(.*)"","""")"),"VALSONNE")</f>
        <v>VALSONNE</v>
      </c>
      <c r="E24022" s="38" t="s">
        <v>350</v>
      </c>
      <c r="F24022" s="38" t="s">
        <v>102</v>
      </c>
      <c r="G24022" s="49" t="str">
        <f t="shared" si="1"/>
        <v>69170</v>
      </c>
      <c r="H24022" s="49">
        <f t="shared" si="2"/>
        <v>69254</v>
      </c>
    </row>
    <row r="24023">
      <c r="A24023" s="48" t="s">
        <v>28550</v>
      </c>
      <c r="B24023" s="38">
        <v>83003.0</v>
      </c>
      <c r="C24023" s="38" t="s">
        <v>28551</v>
      </c>
      <c r="D24023" s="38" t="str">
        <f>IFERROR(__xludf.DUMMYFUNCTION("REGEXREPLACE(C24023,""-\d+(.*)|--\d+(.*)"","""")"),"AMPUS")</f>
        <v>AMPUS</v>
      </c>
      <c r="E24023" s="38" t="s">
        <v>813</v>
      </c>
      <c r="F24023" s="38" t="s">
        <v>228</v>
      </c>
      <c r="G24023" s="49" t="str">
        <f t="shared" si="1"/>
        <v>83111</v>
      </c>
      <c r="H24023" s="49">
        <f t="shared" si="2"/>
        <v>83003</v>
      </c>
    </row>
    <row r="24024">
      <c r="A24024" s="48" t="s">
        <v>1102</v>
      </c>
      <c r="B24024" s="38">
        <v>35274.0</v>
      </c>
      <c r="C24024" s="38" t="s">
        <v>28552</v>
      </c>
      <c r="D24024" s="38" t="str">
        <f>IFERROR(__xludf.DUMMYFUNCTION("REGEXREPLACE(C24024,""-\d+(.*)|--\d+(.*)"","""")"),"SAINT-GERMAIN-SUR-ILLE")</f>
        <v>SAINT-GERMAIN-SUR-ILLE</v>
      </c>
      <c r="E24024" s="38" t="s">
        <v>347</v>
      </c>
      <c r="F24024" s="38" t="s">
        <v>90</v>
      </c>
      <c r="G24024" s="49" t="str">
        <f t="shared" si="1"/>
        <v>35250</v>
      </c>
      <c r="H24024" s="49">
        <f t="shared" si="2"/>
        <v>35274</v>
      </c>
    </row>
    <row r="24025">
      <c r="A24025" s="48" t="s">
        <v>580</v>
      </c>
      <c r="B24025" s="38">
        <v>31242.0</v>
      </c>
      <c r="C24025" s="38" t="s">
        <v>28553</v>
      </c>
      <c r="D24025" s="38" t="str">
        <f>IFERROR(__xludf.DUMMYFUNCTION("REGEXREPLACE(C24025,""-\d+(.*)|--\d+(.*)"","""")"),"JURVIELLE")</f>
        <v>JURVIELLE</v>
      </c>
      <c r="E24025" s="38" t="s">
        <v>93</v>
      </c>
      <c r="F24025" s="38" t="s">
        <v>94</v>
      </c>
      <c r="G24025" s="49" t="str">
        <f t="shared" si="1"/>
        <v>31110</v>
      </c>
      <c r="H24025" s="49">
        <f t="shared" si="2"/>
        <v>31242</v>
      </c>
    </row>
    <row r="24026">
      <c r="A24026" s="48" t="s">
        <v>28554</v>
      </c>
      <c r="B24026" s="38">
        <v>35116.0</v>
      </c>
      <c r="C24026" s="38" t="s">
        <v>28555</v>
      </c>
      <c r="D24026" s="38" t="str">
        <f>IFERROR(__xludf.DUMMYFUNCTION("REGEXREPLACE(C24026,""-\d+(.*)|--\d+(.*)"","""")"),"LA FRESNAIS")</f>
        <v>LA FRESNAIS</v>
      </c>
      <c r="E24026" s="38" t="s">
        <v>347</v>
      </c>
      <c r="F24026" s="38" t="s">
        <v>90</v>
      </c>
      <c r="G24026" s="49" t="str">
        <f t="shared" si="1"/>
        <v>35111</v>
      </c>
      <c r="H24026" s="49">
        <f t="shared" si="2"/>
        <v>35116</v>
      </c>
    </row>
    <row r="24027">
      <c r="A24027" s="48" t="s">
        <v>12692</v>
      </c>
      <c r="B24027" s="38">
        <v>47212.0</v>
      </c>
      <c r="C24027" s="38" t="s">
        <v>28556</v>
      </c>
      <c r="D24027" s="38" t="str">
        <f>IFERROR(__xludf.DUMMYFUNCTION("REGEXREPLACE(C24027,""-\d+(.*)|--\d+(.*)"","""")"),"POUSSIGNAC")</f>
        <v>POUSSIGNAC</v>
      </c>
      <c r="E24027" s="38" t="s">
        <v>251</v>
      </c>
      <c r="F24027" s="38" t="s">
        <v>252</v>
      </c>
      <c r="G24027" s="49" t="str">
        <f t="shared" si="1"/>
        <v>47700</v>
      </c>
      <c r="H24027" s="49">
        <f t="shared" si="2"/>
        <v>47212</v>
      </c>
    </row>
    <row r="24028">
      <c r="A24028" s="48" t="s">
        <v>7122</v>
      </c>
      <c r="B24028" s="38">
        <v>57089.0</v>
      </c>
      <c r="C24028" s="38" t="s">
        <v>28557</v>
      </c>
      <c r="D24028" s="38" t="str">
        <f>IFERROR(__xludf.DUMMYFUNCTION("REGEXREPLACE(C24028,""-\d+(.*)|--\d+(.*)"","""")"),"BITCHE")</f>
        <v>BITCHE</v>
      </c>
      <c r="E24028" s="38" t="s">
        <v>303</v>
      </c>
      <c r="F24028" s="38" t="s">
        <v>195</v>
      </c>
      <c r="G24028" s="49" t="str">
        <f t="shared" si="1"/>
        <v>57230</v>
      </c>
      <c r="H24028" s="49">
        <f t="shared" si="2"/>
        <v>57089</v>
      </c>
    </row>
    <row r="24029">
      <c r="A24029" s="48" t="s">
        <v>10689</v>
      </c>
      <c r="B24029" s="38">
        <v>59518.0</v>
      </c>
      <c r="C24029" s="38" t="s">
        <v>28558</v>
      </c>
      <c r="D24029" s="38" t="str">
        <f>IFERROR(__xludf.DUMMYFUNCTION("REGEXREPLACE(C24029,""-\d+(.*)|--\d+(.*)"","""")"),"RUESNES")</f>
        <v>RUESNES</v>
      </c>
      <c r="E24029" s="38" t="s">
        <v>85</v>
      </c>
      <c r="F24029" s="38" t="s">
        <v>86</v>
      </c>
      <c r="G24029" s="49" t="str">
        <f t="shared" si="1"/>
        <v>59530</v>
      </c>
      <c r="H24029" s="49">
        <f t="shared" si="2"/>
        <v>59518</v>
      </c>
    </row>
    <row r="24030">
      <c r="A24030" s="48" t="s">
        <v>495</v>
      </c>
      <c r="B24030" s="38">
        <v>40043.0</v>
      </c>
      <c r="C24030" s="38" t="s">
        <v>26260</v>
      </c>
      <c r="D24030" s="38" t="str">
        <f>IFERROR(__xludf.DUMMYFUNCTION("REGEXREPLACE(C24030,""-\d+(.*)|--\d+(.*)"","""")"),"BIAS")</f>
        <v>BIAS</v>
      </c>
      <c r="E24030" s="38" t="s">
        <v>281</v>
      </c>
      <c r="F24030" s="38" t="s">
        <v>252</v>
      </c>
      <c r="G24030" s="49" t="str">
        <f t="shared" si="1"/>
        <v>40170</v>
      </c>
      <c r="H24030" s="49">
        <f t="shared" si="2"/>
        <v>40043</v>
      </c>
    </row>
    <row r="24031">
      <c r="A24031" s="48" t="s">
        <v>15975</v>
      </c>
      <c r="B24031" s="38">
        <v>72063.0</v>
      </c>
      <c r="C24031" s="38" t="s">
        <v>28559</v>
      </c>
      <c r="D24031" s="38" t="str">
        <f>IFERROR(__xludf.DUMMYFUNCTION("REGEXREPLACE(C24031,""-\d+(.*)|--\d+(.*)"","""")"),"LA CHAPELLE-GAUGAIN")</f>
        <v>LA CHAPELLE-GAUGAIN</v>
      </c>
      <c r="E24031" s="38" t="s">
        <v>521</v>
      </c>
      <c r="F24031" s="38" t="s">
        <v>180</v>
      </c>
      <c r="G24031" s="49" t="str">
        <f t="shared" si="1"/>
        <v>72310</v>
      </c>
      <c r="H24031" s="49">
        <f t="shared" si="2"/>
        <v>72063</v>
      </c>
    </row>
    <row r="24032">
      <c r="A24032" s="48" t="s">
        <v>2176</v>
      </c>
      <c r="B24032" s="38">
        <v>62767.0</v>
      </c>
      <c r="C24032" s="38" t="s">
        <v>28560</v>
      </c>
      <c r="D24032" s="38" t="str">
        <f>IFERROR(__xludf.DUMMYFUNCTION("REGEXREPLACE(C24032,""-\d+(.*)|--\d+(.*)"","""")"),"SAINT-POL-SUR-TERNOISE")</f>
        <v>SAINT-POL-SUR-TERNOISE</v>
      </c>
      <c r="E24032" s="38" t="s">
        <v>109</v>
      </c>
      <c r="F24032" s="38" t="s">
        <v>86</v>
      </c>
      <c r="G24032" s="49" t="str">
        <f t="shared" si="1"/>
        <v>62130</v>
      </c>
      <c r="H24032" s="49">
        <f t="shared" si="2"/>
        <v>62767</v>
      </c>
    </row>
    <row r="24033">
      <c r="A24033" s="48" t="s">
        <v>398</v>
      </c>
      <c r="B24033" s="38">
        <v>39393.0</v>
      </c>
      <c r="C24033" s="38" t="s">
        <v>28561</v>
      </c>
      <c r="D24033" s="38" t="str">
        <f>IFERROR(__xludf.DUMMYFUNCTION("REGEXREPLACE(C24033,""-\d+(.*)|--\d+(.*)"","""")"),"ONGLIERES")</f>
        <v>ONGLIERES</v>
      </c>
      <c r="E24033" s="38" t="s">
        <v>400</v>
      </c>
      <c r="F24033" s="38" t="s">
        <v>214</v>
      </c>
      <c r="G24033" s="49" t="str">
        <f t="shared" si="1"/>
        <v>39250</v>
      </c>
      <c r="H24033" s="49">
        <f t="shared" si="2"/>
        <v>39393</v>
      </c>
    </row>
    <row r="24034">
      <c r="A24034" s="48" t="s">
        <v>1574</v>
      </c>
      <c r="B24034" s="38">
        <v>10054.0</v>
      </c>
      <c r="C24034" s="38" t="s">
        <v>28562</v>
      </c>
      <c r="D24034" s="38" t="str">
        <f>IFERROR(__xludf.DUMMYFUNCTION("REGEXREPLACE(C24034,""-\d+(.*)|--\d+(.*)"","""")"),"BOURDENAY")</f>
        <v>BOURDENAY</v>
      </c>
      <c r="E24034" s="38" t="s">
        <v>147</v>
      </c>
      <c r="F24034" s="38" t="s">
        <v>130</v>
      </c>
      <c r="G24034" s="49" t="str">
        <f t="shared" si="1"/>
        <v>10290</v>
      </c>
      <c r="H24034" s="49">
        <f t="shared" si="2"/>
        <v>10054</v>
      </c>
    </row>
    <row r="24035">
      <c r="A24035" s="48" t="s">
        <v>2927</v>
      </c>
      <c r="B24035" s="38">
        <v>29166.0</v>
      </c>
      <c r="C24035" s="38" t="s">
        <v>28563</v>
      </c>
      <c r="D24035" s="38" t="str">
        <f>IFERROR(__xludf.DUMMYFUNCTION("REGEXREPLACE(C24035,""-\d+(.*)|--\d+(.*)"","""")"),"PLOEVEN")</f>
        <v>PLOEVEN</v>
      </c>
      <c r="E24035" s="38" t="s">
        <v>176</v>
      </c>
      <c r="F24035" s="38" t="s">
        <v>90</v>
      </c>
      <c r="G24035" s="49" t="str">
        <f t="shared" si="1"/>
        <v>29550</v>
      </c>
      <c r="H24035" s="49">
        <f t="shared" si="2"/>
        <v>29166</v>
      </c>
    </row>
    <row r="24036">
      <c r="A24036" s="48" t="s">
        <v>12997</v>
      </c>
      <c r="B24036" s="38">
        <v>65119.0</v>
      </c>
      <c r="C24036" s="38" t="s">
        <v>28564</v>
      </c>
      <c r="D24036" s="38" t="str">
        <f>IFERROR(__xludf.DUMMYFUNCTION("REGEXREPLACE(C24036,""-\d+(.*)|--\d+(.*)"","""")"),"CAIXON")</f>
        <v>CAIXON</v>
      </c>
      <c r="E24036" s="38" t="s">
        <v>200</v>
      </c>
      <c r="F24036" s="38" t="s">
        <v>94</v>
      </c>
      <c r="G24036" s="49" t="str">
        <f t="shared" si="1"/>
        <v>65500</v>
      </c>
      <c r="H24036" s="49">
        <f t="shared" si="2"/>
        <v>65119</v>
      </c>
    </row>
    <row r="24037">
      <c r="A24037" s="48" t="s">
        <v>719</v>
      </c>
      <c r="B24037" s="38">
        <v>8479.0</v>
      </c>
      <c r="C24037" s="38" t="s">
        <v>28565</v>
      </c>
      <c r="D24037" s="38" t="str">
        <f>IFERROR(__xludf.DUMMYFUNCTION("REGEXREPLACE(C24037,""-\d+(.*)|--\d+(.*)"","""")"),"VILLERS-LE-TOURNEUR")</f>
        <v>VILLERS-LE-TOURNEUR</v>
      </c>
      <c r="E24037" s="38" t="s">
        <v>327</v>
      </c>
      <c r="F24037" s="38" t="s">
        <v>130</v>
      </c>
      <c r="G24037" s="49" t="str">
        <f t="shared" si="1"/>
        <v>08430</v>
      </c>
      <c r="H24037" s="49" t="str">
        <f t="shared" si="2"/>
        <v>08479</v>
      </c>
    </row>
    <row r="24038">
      <c r="A24038" s="48" t="s">
        <v>5503</v>
      </c>
      <c r="B24038" s="38">
        <v>78237.0</v>
      </c>
      <c r="C24038" s="38" t="s">
        <v>28566</v>
      </c>
      <c r="D24038" s="38" t="str">
        <f>IFERROR(__xludf.DUMMYFUNCTION("REGEXREPLACE(C24038,""-\d+(.*)|--\d+(.*)"","""")"),"FLINS-NEUVE-EGLISE")</f>
        <v>FLINS-NEUVE-EGLISE</v>
      </c>
      <c r="E24038" s="38" t="s">
        <v>362</v>
      </c>
      <c r="F24038" s="38" t="s">
        <v>245</v>
      </c>
      <c r="G24038" s="49" t="str">
        <f t="shared" si="1"/>
        <v>78790</v>
      </c>
      <c r="H24038" s="49">
        <f t="shared" si="2"/>
        <v>78237</v>
      </c>
    </row>
    <row r="24039">
      <c r="A24039" s="48" t="s">
        <v>8398</v>
      </c>
      <c r="B24039" s="38">
        <v>21599.0</v>
      </c>
      <c r="C24039" s="38" t="s">
        <v>28567</v>
      </c>
      <c r="D24039" s="38" t="str">
        <f>IFERROR(__xludf.DUMMYFUNCTION("REGEXREPLACE(C24039,""-\d+(.*)|--\d+(.*)"","""")"),"SELONGEY")</f>
        <v>SELONGEY</v>
      </c>
      <c r="E24039" s="38" t="s">
        <v>105</v>
      </c>
      <c r="F24039" s="38" t="s">
        <v>106</v>
      </c>
      <c r="G24039" s="49" t="str">
        <f t="shared" si="1"/>
        <v>21260</v>
      </c>
      <c r="H24039" s="49">
        <f t="shared" si="2"/>
        <v>21599</v>
      </c>
    </row>
    <row r="24040">
      <c r="A24040" s="48" t="s">
        <v>3753</v>
      </c>
      <c r="B24040" s="38">
        <v>18045.0</v>
      </c>
      <c r="C24040" s="38" t="s">
        <v>28568</v>
      </c>
      <c r="D24040" s="38" t="str">
        <f>IFERROR(__xludf.DUMMYFUNCTION("REGEXREPLACE(C24040,""-\d+(.*)|--\d+(.*)"","""")"),"CHALIVOY-MILON")</f>
        <v>CHALIVOY-MILON</v>
      </c>
      <c r="E24040" s="38" t="s">
        <v>504</v>
      </c>
      <c r="F24040" s="38" t="s">
        <v>123</v>
      </c>
      <c r="G24040" s="49" t="str">
        <f t="shared" si="1"/>
        <v>18130</v>
      </c>
      <c r="H24040" s="49">
        <f t="shared" si="2"/>
        <v>18045</v>
      </c>
    </row>
    <row r="24041">
      <c r="A24041" s="48" t="s">
        <v>22635</v>
      </c>
      <c r="B24041" s="38">
        <v>56208.0</v>
      </c>
      <c r="C24041" s="38" t="s">
        <v>28569</v>
      </c>
      <c r="D24041" s="38" t="str">
        <f>IFERROR(__xludf.DUMMYFUNCTION("REGEXREPLACE(C24041,""-\d+(.*)|--\d+(.*)"","""")"),"SAINT-BRIEUC-DE-MAURON")</f>
        <v>SAINT-BRIEUC-DE-MAURON</v>
      </c>
      <c r="E24041" s="38" t="s">
        <v>173</v>
      </c>
      <c r="F24041" s="38" t="s">
        <v>90</v>
      </c>
      <c r="G24041" s="49" t="str">
        <f t="shared" si="1"/>
        <v>56430</v>
      </c>
      <c r="H24041" s="49">
        <f t="shared" si="2"/>
        <v>56208</v>
      </c>
    </row>
    <row r="24042">
      <c r="A24042" s="48" t="s">
        <v>924</v>
      </c>
      <c r="B24042" s="38">
        <v>40151.0</v>
      </c>
      <c r="C24042" s="38" t="s">
        <v>28570</v>
      </c>
      <c r="D24042" s="38" t="str">
        <f>IFERROR(__xludf.DUMMYFUNCTION("REGEXREPLACE(C24042,""-\d+(.*)|--\d+(.*)"","""")"),"LESGOR")</f>
        <v>LESGOR</v>
      </c>
      <c r="E24042" s="38" t="s">
        <v>281</v>
      </c>
      <c r="F24042" s="38" t="s">
        <v>252</v>
      </c>
      <c r="G24042" s="49" t="str">
        <f t="shared" si="1"/>
        <v>40400</v>
      </c>
      <c r="H24042" s="49">
        <f t="shared" si="2"/>
        <v>40151</v>
      </c>
    </row>
    <row r="24043">
      <c r="A24043" s="48" t="s">
        <v>2219</v>
      </c>
      <c r="B24043" s="38">
        <v>2638.0</v>
      </c>
      <c r="C24043" s="38" t="s">
        <v>28571</v>
      </c>
      <c r="D24043" s="38" t="str">
        <f>IFERROR(__xludf.DUMMYFUNCTION("REGEXREPLACE(C24043,""-\d+(.*)|--\d+(.*)"","""")"),"REMIES")</f>
        <v>REMIES</v>
      </c>
      <c r="E24043" s="38" t="s">
        <v>191</v>
      </c>
      <c r="F24043" s="38" t="s">
        <v>113</v>
      </c>
      <c r="G24043" s="49" t="str">
        <f t="shared" si="1"/>
        <v>02270</v>
      </c>
      <c r="H24043" s="49" t="str">
        <f t="shared" si="2"/>
        <v>02638</v>
      </c>
    </row>
    <row r="24044">
      <c r="A24044" s="48" t="s">
        <v>3800</v>
      </c>
      <c r="B24044" s="38">
        <v>35057.0</v>
      </c>
      <c r="C24044" s="38" t="s">
        <v>28572</v>
      </c>
      <c r="D24044" s="38" t="str">
        <f>IFERROR(__xludf.DUMMYFUNCTION("REGEXREPLACE(C24044,""-\d+(.*)|--\d+(.*)"","""")"),"LA CHAPELLE-BOUEXIC")</f>
        <v>LA CHAPELLE-BOUEXIC</v>
      </c>
      <c r="E24044" s="38" t="s">
        <v>347</v>
      </c>
      <c r="F24044" s="38" t="s">
        <v>90</v>
      </c>
      <c r="G24044" s="49" t="str">
        <f t="shared" si="1"/>
        <v>35330</v>
      </c>
      <c r="H24044" s="49">
        <f t="shared" si="2"/>
        <v>35057</v>
      </c>
    </row>
    <row r="24045">
      <c r="A24045" s="48" t="s">
        <v>9821</v>
      </c>
      <c r="B24045" s="38">
        <v>52516.0</v>
      </c>
      <c r="C24045" s="38" t="s">
        <v>28573</v>
      </c>
      <c r="D24045" s="38" t="str">
        <f>IFERROR(__xludf.DUMMYFUNCTION("REGEXREPLACE(C24045,""-\d+(.*)|--\d+(.*)"","""")"),"VERSEILLES-LE-HAUT")</f>
        <v>VERSEILLES-LE-HAUT</v>
      </c>
      <c r="E24045" s="38" t="s">
        <v>234</v>
      </c>
      <c r="F24045" s="38" t="s">
        <v>130</v>
      </c>
      <c r="G24045" s="49" t="str">
        <f t="shared" si="1"/>
        <v>52250</v>
      </c>
      <c r="H24045" s="49">
        <f t="shared" si="2"/>
        <v>52516</v>
      </c>
    </row>
    <row r="24046">
      <c r="A24046" s="48" t="s">
        <v>6734</v>
      </c>
      <c r="B24046" s="38">
        <v>28056.0</v>
      </c>
      <c r="C24046" s="38" t="s">
        <v>28574</v>
      </c>
      <c r="D24046" s="38" t="str">
        <f>IFERROR(__xludf.DUMMYFUNCTION("REGEXREPLACE(C24046,""-\d+(.*)|--\d+(.*)"","""")"),"BOUTIGNY-PROUAIS")</f>
        <v>BOUTIGNY-PROUAIS</v>
      </c>
      <c r="E24046" s="38" t="s">
        <v>300</v>
      </c>
      <c r="F24046" s="38" t="s">
        <v>123</v>
      </c>
      <c r="G24046" s="49" t="str">
        <f t="shared" si="1"/>
        <v>28410</v>
      </c>
      <c r="H24046" s="49">
        <f t="shared" si="2"/>
        <v>28056</v>
      </c>
    </row>
    <row r="24047">
      <c r="A24047" s="48" t="s">
        <v>28575</v>
      </c>
      <c r="B24047" s="38">
        <v>13043.0</v>
      </c>
      <c r="C24047" s="38" t="s">
        <v>28576</v>
      </c>
      <c r="D24047" s="38" t="str">
        <f>IFERROR(__xludf.DUMMYFUNCTION("REGEXREPLACE(C24047,""-\d+(.*)|--\d+(.*)"","""")"),"GIGNAC-LA-NERTHE")</f>
        <v>GIGNAC-LA-NERTHE</v>
      </c>
      <c r="E24047" s="38" t="s">
        <v>980</v>
      </c>
      <c r="F24047" s="38" t="s">
        <v>228</v>
      </c>
      <c r="G24047" s="49" t="str">
        <f t="shared" si="1"/>
        <v>13180</v>
      </c>
      <c r="H24047" s="49">
        <f t="shared" si="2"/>
        <v>13043</v>
      </c>
    </row>
    <row r="24048">
      <c r="A24048" s="48" t="s">
        <v>3009</v>
      </c>
      <c r="B24048" s="38">
        <v>11260.0</v>
      </c>
      <c r="C24048" s="38" t="s">
        <v>28577</v>
      </c>
      <c r="D24048" s="38" t="str">
        <f>IFERROR(__xludf.DUMMYFUNCTION("REGEXREPLACE(C24048,""-\d+(.*)|--\d+(.*)"","""")"),"MOUTHOUMET")</f>
        <v>MOUTHOUMET</v>
      </c>
      <c r="E24048" s="38" t="s">
        <v>278</v>
      </c>
      <c r="F24048" s="38" t="s">
        <v>119</v>
      </c>
      <c r="G24048" s="49" t="str">
        <f t="shared" si="1"/>
        <v>11330</v>
      </c>
      <c r="H24048" s="49">
        <f t="shared" si="2"/>
        <v>11260</v>
      </c>
    </row>
    <row r="24049">
      <c r="A24049" s="48" t="s">
        <v>3450</v>
      </c>
      <c r="B24049" s="38">
        <v>60655.0</v>
      </c>
      <c r="C24049" s="38" t="s">
        <v>28578</v>
      </c>
      <c r="D24049" s="38" t="str">
        <f>IFERROR(__xludf.DUMMYFUNCTION("REGEXREPLACE(C24049,""-\d+(.*)|--\d+(.*)"","""")"),"VARESNES")</f>
        <v>VARESNES</v>
      </c>
      <c r="E24049" s="38" t="s">
        <v>112</v>
      </c>
      <c r="F24049" s="38" t="s">
        <v>113</v>
      </c>
      <c r="G24049" s="49" t="str">
        <f t="shared" si="1"/>
        <v>60400</v>
      </c>
      <c r="H24049" s="49">
        <f t="shared" si="2"/>
        <v>60655</v>
      </c>
    </row>
    <row r="24050">
      <c r="A24050" s="48" t="s">
        <v>18292</v>
      </c>
      <c r="B24050" s="38">
        <v>22242.0</v>
      </c>
      <c r="C24050" s="38" t="s">
        <v>28579</v>
      </c>
      <c r="D24050" s="38" t="str">
        <f>IFERROR(__xludf.DUMMYFUNCTION("REGEXREPLACE(C24050,""-\d+(.*)|--\d+(.*)"","""")"),"PLURIEN")</f>
        <v>PLURIEN</v>
      </c>
      <c r="E24050" s="38" t="s">
        <v>89</v>
      </c>
      <c r="F24050" s="38" t="s">
        <v>90</v>
      </c>
      <c r="G24050" s="49" t="str">
        <f t="shared" si="1"/>
        <v>22240</v>
      </c>
      <c r="H24050" s="49">
        <f t="shared" si="2"/>
        <v>22242</v>
      </c>
    </row>
    <row r="24051">
      <c r="A24051" s="48" t="s">
        <v>9890</v>
      </c>
      <c r="B24051" s="38">
        <v>21109.0</v>
      </c>
      <c r="C24051" s="38" t="s">
        <v>28580</v>
      </c>
      <c r="D24051" s="38" t="str">
        <f>IFERROR(__xludf.DUMMYFUNCTION("REGEXREPLACE(C24051,""-\d+(.*)|--\d+(.*)"","""")"),"BRION-SUR-OURCE")</f>
        <v>BRION-SUR-OURCE</v>
      </c>
      <c r="E24051" s="38" t="s">
        <v>105</v>
      </c>
      <c r="F24051" s="38" t="s">
        <v>106</v>
      </c>
      <c r="G24051" s="49" t="str">
        <f t="shared" si="1"/>
        <v>21570</v>
      </c>
      <c r="H24051" s="49">
        <f t="shared" si="2"/>
        <v>21109</v>
      </c>
    </row>
    <row r="24052">
      <c r="A24052" s="48" t="s">
        <v>2019</v>
      </c>
      <c r="B24052" s="38">
        <v>90055.0</v>
      </c>
      <c r="C24052" s="38" t="s">
        <v>28581</v>
      </c>
      <c r="D24052" s="38" t="str">
        <f>IFERROR(__xludf.DUMMYFUNCTION("REGEXREPLACE(C24052,""-\d+(.*)|--\d+(.*)"","""")"),"GROSNE")</f>
        <v>GROSNE</v>
      </c>
      <c r="E24052" s="38" t="s">
        <v>1283</v>
      </c>
      <c r="F24052" s="38" t="s">
        <v>214</v>
      </c>
      <c r="G24052" s="49" t="str">
        <f t="shared" si="1"/>
        <v>90100</v>
      </c>
      <c r="H24052" s="49">
        <f t="shared" si="2"/>
        <v>90055</v>
      </c>
    </row>
    <row r="24053">
      <c r="A24053" s="48" t="s">
        <v>19898</v>
      </c>
      <c r="B24053" s="38">
        <v>69233.0</v>
      </c>
      <c r="C24053" s="38" t="s">
        <v>28582</v>
      </c>
      <c r="D24053" s="38" t="str">
        <f>IFERROR(__xludf.DUMMYFUNCTION("REGEXREPLACE(C24053,""-\d+(.*)|--\d+(.*)"","""")"),"SAINT-ROMAIN-AU-MONT-D'OR")</f>
        <v>SAINT-ROMAIN-AU-MONT-D'OR</v>
      </c>
      <c r="E24053" s="38" t="s">
        <v>350</v>
      </c>
      <c r="F24053" s="38" t="s">
        <v>102</v>
      </c>
      <c r="G24053" s="49" t="str">
        <f t="shared" si="1"/>
        <v>69270</v>
      </c>
      <c r="H24053" s="49">
        <f t="shared" si="2"/>
        <v>69233</v>
      </c>
    </row>
    <row r="24054">
      <c r="A24054" s="48" t="s">
        <v>8298</v>
      </c>
      <c r="B24054" s="38">
        <v>54225.0</v>
      </c>
      <c r="C24054" s="38" t="s">
        <v>28583</v>
      </c>
      <c r="D24054" s="38" t="str">
        <f>IFERROR(__xludf.DUMMYFUNCTION("REGEXREPLACE(C24054,""-\d+(.*)|--\d+(.*)"","""")"),"GEZONCOURT")</f>
        <v>GEZONCOURT</v>
      </c>
      <c r="E24054" s="38" t="s">
        <v>548</v>
      </c>
      <c r="F24054" s="38" t="s">
        <v>195</v>
      </c>
      <c r="G24054" s="49" t="str">
        <f t="shared" si="1"/>
        <v>54380</v>
      </c>
      <c r="H24054" s="49">
        <f t="shared" si="2"/>
        <v>54225</v>
      </c>
    </row>
    <row r="24055">
      <c r="A24055" s="48" t="s">
        <v>2384</v>
      </c>
      <c r="B24055" s="38">
        <v>21489.0</v>
      </c>
      <c r="C24055" s="38" t="s">
        <v>28584</v>
      </c>
      <c r="D24055" s="38" t="str">
        <f>IFERROR(__xludf.DUMMYFUNCTION("REGEXREPLACE(C24055,""-\d+(.*)|--\d+(.*)"","""")"),"POISEUL-LA-GRANGE")</f>
        <v>POISEUL-LA-GRANGE</v>
      </c>
      <c r="E24055" s="38" t="s">
        <v>105</v>
      </c>
      <c r="F24055" s="38" t="s">
        <v>106</v>
      </c>
      <c r="G24055" s="49" t="str">
        <f t="shared" si="1"/>
        <v>21440</v>
      </c>
      <c r="H24055" s="49">
        <f t="shared" si="2"/>
        <v>21489</v>
      </c>
    </row>
    <row r="24056">
      <c r="A24056" s="48" t="s">
        <v>3244</v>
      </c>
      <c r="B24056" s="38">
        <v>27118.0</v>
      </c>
      <c r="C24056" s="38" t="s">
        <v>28585</v>
      </c>
      <c r="D24056" s="38" t="str">
        <f>IFERROR(__xludf.DUMMYFUNCTION("REGEXREPLACE(C24056,""-\d+(.*)|--\d+(.*)"","""")"),"BROSVILLE")</f>
        <v>BROSVILLE</v>
      </c>
      <c r="E24056" s="38" t="s">
        <v>241</v>
      </c>
      <c r="F24056" s="38" t="s">
        <v>134</v>
      </c>
      <c r="G24056" s="49" t="str">
        <f t="shared" si="1"/>
        <v>27930</v>
      </c>
      <c r="H24056" s="49">
        <f t="shared" si="2"/>
        <v>27118</v>
      </c>
    </row>
    <row r="24057">
      <c r="A24057" s="48" t="s">
        <v>3198</v>
      </c>
      <c r="B24057" s="38">
        <v>32115.0</v>
      </c>
      <c r="C24057" s="38" t="s">
        <v>28586</v>
      </c>
      <c r="D24057" s="38" t="str">
        <f>IFERROR(__xludf.DUMMYFUNCTION("REGEXREPLACE(C24057,""-\d+(.*)|--\d+(.*)"","""")"),"DEMU")</f>
        <v>DEMU</v>
      </c>
      <c r="E24057" s="38" t="s">
        <v>440</v>
      </c>
      <c r="F24057" s="38" t="s">
        <v>94</v>
      </c>
      <c r="G24057" s="49" t="str">
        <f t="shared" si="1"/>
        <v>32190</v>
      </c>
      <c r="H24057" s="49">
        <f t="shared" si="2"/>
        <v>32115</v>
      </c>
    </row>
    <row r="24058">
      <c r="A24058" s="48" t="s">
        <v>11853</v>
      </c>
      <c r="B24058" s="38">
        <v>38001.0</v>
      </c>
      <c r="C24058" s="38" t="s">
        <v>28587</v>
      </c>
      <c r="D24058" s="38" t="str">
        <f>IFERROR(__xludf.DUMMYFUNCTION("REGEXREPLACE(C24058,""-\d+(.*)|--\d+(.*)"","""")"),"LES ABRETS")</f>
        <v>LES ABRETS</v>
      </c>
      <c r="E24058" s="38" t="s">
        <v>101</v>
      </c>
      <c r="F24058" s="38" t="s">
        <v>102</v>
      </c>
      <c r="G24058" s="49" t="str">
        <f t="shared" si="1"/>
        <v>38490</v>
      </c>
      <c r="H24058" s="49">
        <f t="shared" si="2"/>
        <v>38001</v>
      </c>
    </row>
    <row r="24059">
      <c r="A24059" s="48" t="s">
        <v>28588</v>
      </c>
      <c r="B24059" s="38">
        <v>49140.0</v>
      </c>
      <c r="C24059" s="38" t="s">
        <v>28589</v>
      </c>
      <c r="D24059" s="38" t="str">
        <f>IFERROR(__xludf.DUMMYFUNCTION("REGEXREPLACE(C24059,""-\d+(.*)|--\d+(.*)"","""")"),"FONTEVRAUD-L'ABBAYE")</f>
        <v>FONTEVRAUD-L'ABBAYE</v>
      </c>
      <c r="E24059" s="38" t="s">
        <v>653</v>
      </c>
      <c r="F24059" s="38" t="s">
        <v>180</v>
      </c>
      <c r="G24059" s="49" t="str">
        <f t="shared" si="1"/>
        <v>49590</v>
      </c>
      <c r="H24059" s="49">
        <f t="shared" si="2"/>
        <v>49140</v>
      </c>
    </row>
    <row r="24060">
      <c r="A24060" s="48" t="s">
        <v>5070</v>
      </c>
      <c r="B24060" s="38">
        <v>79107.0</v>
      </c>
      <c r="C24060" s="38" t="s">
        <v>28590</v>
      </c>
      <c r="D24060" s="38" t="str">
        <f>IFERROR(__xludf.DUMMYFUNCTION("REGEXREPLACE(C24060,""-\d+(.*)|--\d+(.*)"","""")"),"CREZIERES")</f>
        <v>CREZIERES</v>
      </c>
      <c r="E24060" s="38" t="s">
        <v>337</v>
      </c>
      <c r="F24060" s="38" t="s">
        <v>338</v>
      </c>
      <c r="G24060" s="49" t="str">
        <f t="shared" si="1"/>
        <v>79110</v>
      </c>
      <c r="H24060" s="49">
        <f t="shared" si="2"/>
        <v>79107</v>
      </c>
    </row>
    <row r="24061">
      <c r="A24061" s="48" t="s">
        <v>1220</v>
      </c>
      <c r="B24061" s="38">
        <v>76524.0</v>
      </c>
      <c r="C24061" s="38" t="s">
        <v>28591</v>
      </c>
      <c r="D24061" s="38" t="str">
        <f>IFERROR(__xludf.DUMMYFUNCTION("REGEXREPLACE(C24061,""-\d+(.*)|--\d+(.*)"","""")"),"REUVILLE")</f>
        <v>REUVILLE</v>
      </c>
      <c r="E24061" s="38" t="s">
        <v>133</v>
      </c>
      <c r="F24061" s="38" t="s">
        <v>134</v>
      </c>
      <c r="G24061" s="49" t="str">
        <f t="shared" si="1"/>
        <v>76560</v>
      </c>
      <c r="H24061" s="49">
        <f t="shared" si="2"/>
        <v>76524</v>
      </c>
    </row>
    <row r="24062">
      <c r="A24062" s="48" t="s">
        <v>3093</v>
      </c>
      <c r="B24062" s="38">
        <v>57183.0</v>
      </c>
      <c r="C24062" s="38" t="s">
        <v>28592</v>
      </c>
      <c r="D24062" s="38" t="str">
        <f>IFERROR(__xludf.DUMMYFUNCTION("REGEXREPLACE(C24062,""-\d+(.*)|--\d+(.*)"","""")"),"DONNELAY")</f>
        <v>DONNELAY</v>
      </c>
      <c r="E24062" s="38" t="s">
        <v>303</v>
      </c>
      <c r="F24062" s="38" t="s">
        <v>195</v>
      </c>
      <c r="G24062" s="49" t="str">
        <f t="shared" si="1"/>
        <v>57810</v>
      </c>
      <c r="H24062" s="49">
        <f t="shared" si="2"/>
        <v>57183</v>
      </c>
    </row>
    <row r="24063">
      <c r="A24063" s="48" t="s">
        <v>28593</v>
      </c>
      <c r="B24063" s="38">
        <v>15256.0</v>
      </c>
      <c r="C24063" s="38" t="s">
        <v>28594</v>
      </c>
      <c r="D24063" s="38" t="str">
        <f>IFERROR(__xludf.DUMMYFUNCTION("REGEXREPLACE(C24063,""-\d+(.*)|--\d+(.*)"","""")"),"VEZE")</f>
        <v>VEZE</v>
      </c>
      <c r="E24063" s="38" t="s">
        <v>632</v>
      </c>
      <c r="F24063" s="38" t="s">
        <v>161</v>
      </c>
      <c r="G24063" s="49" t="str">
        <f t="shared" si="1"/>
        <v>15160</v>
      </c>
      <c r="H24063" s="49">
        <f t="shared" si="2"/>
        <v>15256</v>
      </c>
    </row>
    <row r="24064">
      <c r="A24064" s="48" t="s">
        <v>10392</v>
      </c>
      <c r="B24064" s="38">
        <v>64364.0</v>
      </c>
      <c r="C24064" s="38" t="s">
        <v>28595</v>
      </c>
      <c r="D24064" s="38" t="str">
        <f>IFERROR(__xludf.DUMMYFUNCTION("REGEXREPLACE(C24064,""-\d+(.*)|--\d+(.*)"","""")"),"MACAYE")</f>
        <v>MACAYE</v>
      </c>
      <c r="E24064" s="38" t="s">
        <v>268</v>
      </c>
      <c r="F24064" s="38" t="s">
        <v>252</v>
      </c>
      <c r="G24064" s="49" t="str">
        <f t="shared" si="1"/>
        <v>64240</v>
      </c>
      <c r="H24064" s="49">
        <f t="shared" si="2"/>
        <v>64364</v>
      </c>
    </row>
    <row r="24065">
      <c r="A24065" s="48" t="s">
        <v>3747</v>
      </c>
      <c r="B24065" s="38">
        <v>52513.0</v>
      </c>
      <c r="C24065" s="38" t="s">
        <v>18195</v>
      </c>
      <c r="D24065" s="38" t="str">
        <f>IFERROR(__xludf.DUMMYFUNCTION("REGEXREPLACE(C24065,""-\d+(.*)|--\d+(.*)"","""")"),"VELLES")</f>
        <v>VELLES</v>
      </c>
      <c r="E24065" s="38" t="s">
        <v>234</v>
      </c>
      <c r="F24065" s="38" t="s">
        <v>130</v>
      </c>
      <c r="G24065" s="49" t="str">
        <f t="shared" si="1"/>
        <v>52500</v>
      </c>
      <c r="H24065" s="49">
        <f t="shared" si="2"/>
        <v>52513</v>
      </c>
    </row>
    <row r="24066">
      <c r="A24066" s="48" t="s">
        <v>4728</v>
      </c>
      <c r="B24066" s="38">
        <v>37082.0</v>
      </c>
      <c r="C24066" s="38" t="s">
        <v>28596</v>
      </c>
      <c r="D24066" s="38" t="str">
        <f>IFERROR(__xludf.DUMMYFUNCTION("REGEXREPLACE(C24066,""-\d+(.*)|--\d+(.*)"","""")"),"CONTINVOIR")</f>
        <v>CONTINVOIR</v>
      </c>
      <c r="E24066" s="38" t="s">
        <v>205</v>
      </c>
      <c r="F24066" s="38" t="s">
        <v>123</v>
      </c>
      <c r="G24066" s="49" t="str">
        <f t="shared" si="1"/>
        <v>37340</v>
      </c>
      <c r="H24066" s="49">
        <f t="shared" si="2"/>
        <v>37082</v>
      </c>
    </row>
    <row r="24067">
      <c r="A24067" s="48" t="s">
        <v>2907</v>
      </c>
      <c r="B24067" s="38">
        <v>22255.0</v>
      </c>
      <c r="C24067" s="38" t="s">
        <v>28597</v>
      </c>
      <c r="D24067" s="38" t="str">
        <f>IFERROR(__xludf.DUMMYFUNCTION("REGEXREPLACE(C24067,""-\d+(.*)|--\d+(.*)"","""")"),"LA PRENESSAYE")</f>
        <v>LA PRENESSAYE</v>
      </c>
      <c r="E24067" s="38" t="s">
        <v>89</v>
      </c>
      <c r="F24067" s="38" t="s">
        <v>90</v>
      </c>
      <c r="G24067" s="49" t="str">
        <f t="shared" si="1"/>
        <v>22210</v>
      </c>
      <c r="H24067" s="49">
        <f t="shared" si="2"/>
        <v>22255</v>
      </c>
    </row>
    <row r="24068">
      <c r="A24068" s="48" t="s">
        <v>3696</v>
      </c>
      <c r="B24068" s="38">
        <v>78013.0</v>
      </c>
      <c r="C24068" s="38" t="s">
        <v>28598</v>
      </c>
      <c r="D24068" s="38" t="str">
        <f>IFERROR(__xludf.DUMMYFUNCTION("REGEXREPLACE(C24068,""-\d+(.*)|--\d+(.*)"","""")"),"ANDELU")</f>
        <v>ANDELU</v>
      </c>
      <c r="E24068" s="38" t="s">
        <v>362</v>
      </c>
      <c r="F24068" s="38" t="s">
        <v>245</v>
      </c>
      <c r="G24068" s="49" t="str">
        <f t="shared" si="1"/>
        <v>78770</v>
      </c>
      <c r="H24068" s="49">
        <f t="shared" si="2"/>
        <v>78013</v>
      </c>
    </row>
    <row r="24069">
      <c r="A24069" s="48" t="s">
        <v>4217</v>
      </c>
      <c r="B24069" s="38">
        <v>7083.0</v>
      </c>
      <c r="C24069" s="38" t="s">
        <v>28599</v>
      </c>
      <c r="D24069" s="38" t="str">
        <f>IFERROR(__xludf.DUMMYFUNCTION("REGEXREPLACE(C24069,""-\d+(.*)|--\d+(.*)"","""")"),"DUNIERE-SUR-EYRIEUX")</f>
        <v>DUNIERE-SUR-EYRIEUX</v>
      </c>
      <c r="E24069" s="38" t="s">
        <v>144</v>
      </c>
      <c r="F24069" s="38" t="s">
        <v>102</v>
      </c>
      <c r="G24069" s="49" t="str">
        <f t="shared" si="1"/>
        <v>07360</v>
      </c>
      <c r="H24069" s="49" t="str">
        <f t="shared" si="2"/>
        <v>07083</v>
      </c>
    </row>
    <row r="24070">
      <c r="A24070" s="48" t="s">
        <v>4340</v>
      </c>
      <c r="B24070" s="38">
        <v>33438.0</v>
      </c>
      <c r="C24070" s="38" t="s">
        <v>28600</v>
      </c>
      <c r="D24070" s="38" t="str">
        <f>IFERROR(__xludf.DUMMYFUNCTION("REGEXREPLACE(C24070,""-\d+(.*)|--\d+(.*)"","""")"),"SAINT-MAIXANT")</f>
        <v>SAINT-MAIXANT</v>
      </c>
      <c r="E24070" s="38" t="s">
        <v>462</v>
      </c>
      <c r="F24070" s="38" t="s">
        <v>252</v>
      </c>
      <c r="G24070" s="49" t="str">
        <f t="shared" si="1"/>
        <v>33490</v>
      </c>
      <c r="H24070" s="49">
        <f t="shared" si="2"/>
        <v>33438</v>
      </c>
    </row>
    <row r="24071">
      <c r="A24071" s="48" t="s">
        <v>1135</v>
      </c>
      <c r="B24071" s="38">
        <v>79259.0</v>
      </c>
      <c r="C24071" s="38" t="s">
        <v>28601</v>
      </c>
      <c r="D24071" s="38" t="str">
        <f>IFERROR(__xludf.DUMMYFUNCTION("REGEXREPLACE(C24071,""-\d+(.*)|--\d+(.*)"","""")"),"SAINT-JEAN-DE-THOUARS")</f>
        <v>SAINT-JEAN-DE-THOUARS</v>
      </c>
      <c r="E24071" s="38" t="s">
        <v>337</v>
      </c>
      <c r="F24071" s="38" t="s">
        <v>338</v>
      </c>
      <c r="G24071" s="49" t="str">
        <f t="shared" si="1"/>
        <v>79100</v>
      </c>
      <c r="H24071" s="49">
        <f t="shared" si="2"/>
        <v>79259</v>
      </c>
    </row>
    <row r="24072">
      <c r="A24072" s="48" t="s">
        <v>5381</v>
      </c>
      <c r="B24072" s="38">
        <v>38311.0</v>
      </c>
      <c r="C24072" s="38" t="s">
        <v>28602</v>
      </c>
      <c r="D24072" s="38" t="str">
        <f>IFERROR(__xludf.DUMMYFUNCTION("REGEXREPLACE(C24072,""-\d+(.*)|--\d+(.*)"","""")"),"POMMIER-DE-BEAUREPAIRE")</f>
        <v>POMMIER-DE-BEAUREPAIRE</v>
      </c>
      <c r="E24072" s="38" t="s">
        <v>101</v>
      </c>
      <c r="F24072" s="38" t="s">
        <v>102</v>
      </c>
      <c r="G24072" s="49" t="str">
        <f t="shared" si="1"/>
        <v>38260</v>
      </c>
      <c r="H24072" s="49">
        <f t="shared" si="2"/>
        <v>38311</v>
      </c>
    </row>
    <row r="24073">
      <c r="A24073" s="48" t="s">
        <v>1538</v>
      </c>
      <c r="B24073" s="38">
        <v>27289.0</v>
      </c>
      <c r="C24073" s="38" t="s">
        <v>28603</v>
      </c>
      <c r="D24073" s="38" t="str">
        <f>IFERROR(__xludf.DUMMYFUNCTION("REGEXREPLACE(C24073,""-\d+(.*)|--\d+(.*)"","""")"),"LA GOULAFRIERE")</f>
        <v>LA GOULAFRIERE</v>
      </c>
      <c r="E24073" s="38" t="s">
        <v>241</v>
      </c>
      <c r="F24073" s="38" t="s">
        <v>134</v>
      </c>
      <c r="G24073" s="49" t="str">
        <f t="shared" si="1"/>
        <v>27390</v>
      </c>
      <c r="H24073" s="49">
        <f t="shared" si="2"/>
        <v>27289</v>
      </c>
    </row>
    <row r="24074">
      <c r="A24074" s="48" t="s">
        <v>4455</v>
      </c>
      <c r="B24074" s="38">
        <v>1105.0</v>
      </c>
      <c r="C24074" s="38" t="s">
        <v>28604</v>
      </c>
      <c r="D24074" s="38" t="str">
        <f>IFERROR(__xludf.DUMMYFUNCTION("REGEXREPLACE(C24074,""-\d+(.*)|--\d+(.*)"","""")"),"CIVRIEUX")</f>
        <v>CIVRIEUX</v>
      </c>
      <c r="E24074" s="38" t="s">
        <v>255</v>
      </c>
      <c r="F24074" s="38" t="s">
        <v>102</v>
      </c>
      <c r="G24074" s="49" t="str">
        <f t="shared" si="1"/>
        <v>01390</v>
      </c>
      <c r="H24074" s="49" t="str">
        <f t="shared" si="2"/>
        <v>01105</v>
      </c>
    </row>
    <row r="24075">
      <c r="A24075" s="48" t="s">
        <v>2302</v>
      </c>
      <c r="B24075" s="38">
        <v>47235.0</v>
      </c>
      <c r="C24075" s="38" t="s">
        <v>28605</v>
      </c>
      <c r="D24075" s="38" t="str">
        <f>IFERROR(__xludf.DUMMYFUNCTION("REGEXREPLACE(C24075,""-\d+(.*)|--\d+(.*)"","""")"),"SAINT-COLOMB-DE-LAUZUN")</f>
        <v>SAINT-COLOMB-DE-LAUZUN</v>
      </c>
      <c r="E24075" s="38" t="s">
        <v>251</v>
      </c>
      <c r="F24075" s="38" t="s">
        <v>252</v>
      </c>
      <c r="G24075" s="49" t="str">
        <f t="shared" si="1"/>
        <v>47410</v>
      </c>
      <c r="H24075" s="49">
        <f t="shared" si="2"/>
        <v>47235</v>
      </c>
    </row>
    <row r="24076">
      <c r="A24076" s="48" t="s">
        <v>5938</v>
      </c>
      <c r="B24076" s="38">
        <v>58212.0</v>
      </c>
      <c r="C24076" s="38" t="s">
        <v>28606</v>
      </c>
      <c r="D24076" s="38" t="str">
        <f>IFERROR(__xludf.DUMMYFUNCTION("REGEXREPLACE(C24076,""-\d+(.*)|--\d+(.*)"","""")"),"POISEUX")</f>
        <v>POISEUX</v>
      </c>
      <c r="E24076" s="38" t="s">
        <v>219</v>
      </c>
      <c r="F24076" s="38" t="s">
        <v>106</v>
      </c>
      <c r="G24076" s="49" t="str">
        <f t="shared" si="1"/>
        <v>58130</v>
      </c>
      <c r="H24076" s="49">
        <f t="shared" si="2"/>
        <v>58212</v>
      </c>
    </row>
    <row r="24077">
      <c r="A24077" s="48" t="s">
        <v>2408</v>
      </c>
      <c r="B24077" s="38">
        <v>30054.0</v>
      </c>
      <c r="C24077" s="38" t="s">
        <v>28607</v>
      </c>
      <c r="D24077" s="38" t="str">
        <f>IFERROR(__xludf.DUMMYFUNCTION("REGEXREPLACE(C24077,""-\d+(.*)|--\d+(.*)"","""")"),"BROUZET-LES-QUISSAC")</f>
        <v>BROUZET-LES-QUISSAC</v>
      </c>
      <c r="E24077" s="38" t="s">
        <v>526</v>
      </c>
      <c r="F24077" s="38" t="s">
        <v>119</v>
      </c>
      <c r="G24077" s="49" t="str">
        <f t="shared" si="1"/>
        <v>30260</v>
      </c>
      <c r="H24077" s="49">
        <f t="shared" si="2"/>
        <v>30054</v>
      </c>
    </row>
    <row r="24078">
      <c r="A24078" s="48" t="s">
        <v>2924</v>
      </c>
      <c r="B24078" s="38">
        <v>8048.0</v>
      </c>
      <c r="C24078" s="38" t="s">
        <v>28608</v>
      </c>
      <c r="D24078" s="38" t="str">
        <f>IFERROR(__xludf.DUMMYFUNCTION("REGEXREPLACE(C24078,""-\d+(.*)|--\d+(.*)"","""")"),"BARBY")</f>
        <v>BARBY</v>
      </c>
      <c r="E24078" s="38" t="s">
        <v>327</v>
      </c>
      <c r="F24078" s="38" t="s">
        <v>130</v>
      </c>
      <c r="G24078" s="49" t="str">
        <f t="shared" si="1"/>
        <v>08300</v>
      </c>
      <c r="H24078" s="49" t="str">
        <f t="shared" si="2"/>
        <v>08048</v>
      </c>
    </row>
    <row r="24079">
      <c r="A24079" s="48" t="s">
        <v>1056</v>
      </c>
      <c r="B24079" s="38">
        <v>11053.0</v>
      </c>
      <c r="C24079" s="38" t="s">
        <v>28609</v>
      </c>
      <c r="D24079" s="38" t="str">
        <f>IFERROR(__xludf.DUMMYFUNCTION("REGEXREPLACE(C24079,""-\d+(.*)|--\d+(.*)"","""")"),"BRUGAIROLLES")</f>
        <v>BRUGAIROLLES</v>
      </c>
      <c r="E24079" s="38" t="s">
        <v>278</v>
      </c>
      <c r="F24079" s="38" t="s">
        <v>119</v>
      </c>
      <c r="G24079" s="49" t="str">
        <f t="shared" si="1"/>
        <v>11300</v>
      </c>
      <c r="H24079" s="49">
        <f t="shared" si="2"/>
        <v>11053</v>
      </c>
    </row>
    <row r="24080">
      <c r="A24080" s="48" t="s">
        <v>7752</v>
      </c>
      <c r="B24080" s="38">
        <v>69141.0</v>
      </c>
      <c r="C24080" s="38" t="s">
        <v>28610</v>
      </c>
      <c r="D24080" s="38" t="str">
        <f>IFERROR(__xludf.DUMMYFUNCTION("REGEXREPLACE(C24080,""-\d+(.*)|--\d+(.*)"","""")"),"MORNANT")</f>
        <v>MORNANT</v>
      </c>
      <c r="E24080" s="38" t="s">
        <v>350</v>
      </c>
      <c r="F24080" s="38" t="s">
        <v>102</v>
      </c>
      <c r="G24080" s="49" t="str">
        <f t="shared" si="1"/>
        <v>69440</v>
      </c>
      <c r="H24080" s="49">
        <f t="shared" si="2"/>
        <v>69141</v>
      </c>
    </row>
    <row r="24081">
      <c r="A24081" s="48" t="s">
        <v>10118</v>
      </c>
      <c r="B24081" s="38">
        <v>85001.0</v>
      </c>
      <c r="C24081" s="38" t="s">
        <v>28611</v>
      </c>
      <c r="D24081" s="38" t="str">
        <f>IFERROR(__xludf.DUMMYFUNCTION("REGEXREPLACE(C24081,""-\d+(.*)|--\d+(.*)"","""")"),"L'AIGUILLON-SUR-MER")</f>
        <v>L'AIGUILLON-SUR-MER</v>
      </c>
      <c r="E24081" s="38" t="s">
        <v>179</v>
      </c>
      <c r="F24081" s="38" t="s">
        <v>180</v>
      </c>
      <c r="G24081" s="49" t="str">
        <f t="shared" si="1"/>
        <v>85460</v>
      </c>
      <c r="H24081" s="49">
        <f t="shared" si="2"/>
        <v>85001</v>
      </c>
    </row>
    <row r="24082">
      <c r="A24082" s="48" t="s">
        <v>3530</v>
      </c>
      <c r="B24082" s="38">
        <v>44107.0</v>
      </c>
      <c r="C24082" s="38" t="s">
        <v>28612</v>
      </c>
      <c r="D24082" s="38" t="str">
        <f>IFERROR(__xludf.DUMMYFUNCTION("REGEXREPLACE(C24082,""-\d+(.*)|--\d+(.*)"","""")"),"MOUZEIL")</f>
        <v>MOUZEIL</v>
      </c>
      <c r="E24082" s="38" t="s">
        <v>759</v>
      </c>
      <c r="F24082" s="38" t="s">
        <v>180</v>
      </c>
      <c r="G24082" s="49" t="str">
        <f t="shared" si="1"/>
        <v>44850</v>
      </c>
      <c r="H24082" s="49">
        <f t="shared" si="2"/>
        <v>44107</v>
      </c>
    </row>
    <row r="24083">
      <c r="A24083" s="48" t="s">
        <v>1010</v>
      </c>
      <c r="B24083" s="38">
        <v>27132.0</v>
      </c>
      <c r="C24083" s="38" t="s">
        <v>28613</v>
      </c>
      <c r="D24083" s="38" t="str">
        <f>IFERROR(__xludf.DUMMYFUNCTION("REGEXREPLACE(C24083,""-\d+(.*)|--\d+(.*)"","""")"),"CAUGE")</f>
        <v>CAUGE</v>
      </c>
      <c r="E24083" s="38" t="s">
        <v>241</v>
      </c>
      <c r="F24083" s="38" t="s">
        <v>134</v>
      </c>
      <c r="G24083" s="49" t="str">
        <f t="shared" si="1"/>
        <v>27180</v>
      </c>
      <c r="H24083" s="49">
        <f t="shared" si="2"/>
        <v>27132</v>
      </c>
    </row>
    <row r="24084">
      <c r="A24084" s="48" t="s">
        <v>2172</v>
      </c>
      <c r="B24084" s="38">
        <v>73257.0</v>
      </c>
      <c r="C24084" s="38" t="s">
        <v>28614</v>
      </c>
      <c r="D24084" s="38" t="str">
        <f>IFERROR(__xludf.DUMMYFUNCTION("REGEXREPLACE(C24084,""-\d+(.*)|--\d+(.*)"","""")"),"SAINT-MARTIN-DE-BELLEVILLE")</f>
        <v>SAINT-MARTIN-DE-BELLEVILLE</v>
      </c>
      <c r="E24084" s="38" t="s">
        <v>306</v>
      </c>
      <c r="F24084" s="38" t="s">
        <v>102</v>
      </c>
      <c r="G24084" s="49" t="str">
        <f t="shared" si="1"/>
        <v>73440</v>
      </c>
      <c r="H24084" s="49">
        <f t="shared" si="2"/>
        <v>73257</v>
      </c>
    </row>
    <row r="24085">
      <c r="A24085" s="48" t="s">
        <v>10778</v>
      </c>
      <c r="B24085" s="38">
        <v>21076.0</v>
      </c>
      <c r="C24085" s="38" t="s">
        <v>28615</v>
      </c>
      <c r="D24085" s="38" t="str">
        <f>IFERROR(__xludf.DUMMYFUNCTION("REGEXREPLACE(C24085,""-\d+(.*)|--\d+(.*)"","""")"),"BINGES")</f>
        <v>BINGES</v>
      </c>
      <c r="E24085" s="38" t="s">
        <v>105</v>
      </c>
      <c r="F24085" s="38" t="s">
        <v>106</v>
      </c>
      <c r="G24085" s="49" t="str">
        <f t="shared" si="1"/>
        <v>21270</v>
      </c>
      <c r="H24085" s="49">
        <f t="shared" si="2"/>
        <v>21076</v>
      </c>
    </row>
    <row r="24086">
      <c r="A24086" s="48" t="s">
        <v>4013</v>
      </c>
      <c r="B24086" s="38">
        <v>9009.0</v>
      </c>
      <c r="C24086" s="38" t="s">
        <v>28616</v>
      </c>
      <c r="D24086" s="38" t="str">
        <f>IFERROR(__xludf.DUMMYFUNCTION("REGEXREPLACE(C24086,""-\d+(.*)|--\d+(.*)"","""")"),"ALZEN")</f>
        <v>ALZEN</v>
      </c>
      <c r="E24086" s="38" t="s">
        <v>238</v>
      </c>
      <c r="F24086" s="38" t="s">
        <v>94</v>
      </c>
      <c r="G24086" s="49" t="str">
        <f t="shared" si="1"/>
        <v>09240</v>
      </c>
      <c r="H24086" s="49" t="str">
        <f t="shared" si="2"/>
        <v>09009</v>
      </c>
    </row>
    <row r="24087">
      <c r="A24087" s="48" t="s">
        <v>3662</v>
      </c>
      <c r="B24087" s="38">
        <v>80663.0</v>
      </c>
      <c r="C24087" s="38" t="s">
        <v>28617</v>
      </c>
      <c r="D24087" s="38" t="str">
        <f>IFERROR(__xludf.DUMMYFUNCTION("REGEXREPLACE(C24087,""-\d+(.*)|--\d+(.*)"","""")"),"RAMBURES")</f>
        <v>RAMBURES</v>
      </c>
      <c r="E24087" s="38" t="s">
        <v>224</v>
      </c>
      <c r="F24087" s="38" t="s">
        <v>113</v>
      </c>
      <c r="G24087" s="49" t="str">
        <f t="shared" si="1"/>
        <v>80140</v>
      </c>
      <c r="H24087" s="49">
        <f t="shared" si="2"/>
        <v>80663</v>
      </c>
    </row>
    <row r="24088">
      <c r="A24088" s="48" t="s">
        <v>3924</v>
      </c>
      <c r="B24088" s="38">
        <v>81219.0</v>
      </c>
      <c r="C24088" s="38" t="s">
        <v>28618</v>
      </c>
      <c r="D24088" s="38" t="str">
        <f>IFERROR(__xludf.DUMMYFUNCTION("REGEXREPLACE(C24088,""-\d+(.*)|--\d+(.*)"","""")"),"PUYLAURENS")</f>
        <v>PUYLAURENS</v>
      </c>
      <c r="E24088" s="38" t="s">
        <v>231</v>
      </c>
      <c r="F24088" s="38" t="s">
        <v>94</v>
      </c>
      <c r="G24088" s="49" t="str">
        <f t="shared" si="1"/>
        <v>81700</v>
      </c>
      <c r="H24088" s="49">
        <f t="shared" si="2"/>
        <v>81219</v>
      </c>
    </row>
    <row r="24089">
      <c r="A24089" s="48" t="s">
        <v>19170</v>
      </c>
      <c r="B24089" s="38">
        <v>53214.0</v>
      </c>
      <c r="C24089" s="38" t="s">
        <v>24381</v>
      </c>
      <c r="D24089" s="38" t="str">
        <f>IFERROR(__xludf.DUMMYFUNCTION("REGEXREPLACE(C24089,""-\d+(.*)|--\d+(.*)"","""")"),"SAINT-ERBLON")</f>
        <v>SAINT-ERBLON</v>
      </c>
      <c r="E24089" s="38" t="s">
        <v>518</v>
      </c>
      <c r="F24089" s="38" t="s">
        <v>180</v>
      </c>
      <c r="G24089" s="49" t="str">
        <f t="shared" si="1"/>
        <v>53390</v>
      </c>
      <c r="H24089" s="49">
        <f t="shared" si="2"/>
        <v>53214</v>
      </c>
    </row>
    <row r="24090">
      <c r="A24090" s="48" t="s">
        <v>372</v>
      </c>
      <c r="B24090" s="38">
        <v>29129.0</v>
      </c>
      <c r="C24090" s="38" t="s">
        <v>28619</v>
      </c>
      <c r="D24090" s="38" t="str">
        <f>IFERROR(__xludf.DUMMYFUNCTION("REGEXREPLACE(C24090,""-\d+(.*)|--\d+(.*)"","""")"),"LOCMARIA-BERRIEN")</f>
        <v>LOCMARIA-BERRIEN</v>
      </c>
      <c r="E24090" s="38" t="s">
        <v>176</v>
      </c>
      <c r="F24090" s="38" t="s">
        <v>90</v>
      </c>
      <c r="G24090" s="49" t="str">
        <f t="shared" si="1"/>
        <v>29690</v>
      </c>
      <c r="H24090" s="49">
        <f t="shared" si="2"/>
        <v>29129</v>
      </c>
    </row>
    <row r="24091">
      <c r="A24091" s="48" t="s">
        <v>27551</v>
      </c>
      <c r="B24091" s="38">
        <v>29114.0</v>
      </c>
      <c r="C24091" s="38" t="s">
        <v>28620</v>
      </c>
      <c r="D24091" s="38" t="str">
        <f>IFERROR(__xludf.DUMMYFUNCTION("REGEXREPLACE(C24091,""-\d+(.*)|--\d+(.*)"","""")"),"LANNEANOU")</f>
        <v>LANNEANOU</v>
      </c>
      <c r="E24091" s="38" t="s">
        <v>176</v>
      </c>
      <c r="F24091" s="38" t="s">
        <v>90</v>
      </c>
      <c r="G24091" s="49" t="str">
        <f t="shared" si="1"/>
        <v>29640</v>
      </c>
      <c r="H24091" s="49">
        <f t="shared" si="2"/>
        <v>29114</v>
      </c>
    </row>
    <row r="24092">
      <c r="A24092" s="48" t="s">
        <v>966</v>
      </c>
      <c r="B24092" s="38">
        <v>70048.0</v>
      </c>
      <c r="C24092" s="38" t="s">
        <v>28621</v>
      </c>
      <c r="D24092" s="38" t="str">
        <f>IFERROR(__xludf.DUMMYFUNCTION("REGEXREPLACE(C24092,""-\d+(.*)|--\d+(.*)"","""")"),"BARD-LES-PESMES")</f>
        <v>BARD-LES-PESMES</v>
      </c>
      <c r="E24092" s="38" t="s">
        <v>956</v>
      </c>
      <c r="F24092" s="38" t="s">
        <v>214</v>
      </c>
      <c r="G24092" s="49" t="str">
        <f t="shared" si="1"/>
        <v>70140</v>
      </c>
      <c r="H24092" s="49">
        <f t="shared" si="2"/>
        <v>70048</v>
      </c>
    </row>
    <row r="24093">
      <c r="A24093" s="48" t="s">
        <v>4447</v>
      </c>
      <c r="B24093" s="38">
        <v>39084.0</v>
      </c>
      <c r="C24093" s="38" t="s">
        <v>28622</v>
      </c>
      <c r="D24093" s="38" t="str">
        <f>IFERROR(__xludf.DUMMYFUNCTION("REGEXREPLACE(C24093,""-\d+(.*)|--\d+(.*)"","""")"),"CERNANS")</f>
        <v>CERNANS</v>
      </c>
      <c r="E24093" s="38" t="s">
        <v>400</v>
      </c>
      <c r="F24093" s="38" t="s">
        <v>214</v>
      </c>
      <c r="G24093" s="49" t="str">
        <f t="shared" si="1"/>
        <v>39110</v>
      </c>
      <c r="H24093" s="49">
        <f t="shared" si="2"/>
        <v>39084</v>
      </c>
    </row>
    <row r="24094">
      <c r="A24094" s="48" t="s">
        <v>28623</v>
      </c>
      <c r="B24094" s="38">
        <v>17306.0</v>
      </c>
      <c r="C24094" s="38" t="s">
        <v>28624</v>
      </c>
      <c r="D24094" s="38" t="str">
        <f>IFERROR(__xludf.DUMMYFUNCTION("REGEXREPLACE(C24094,""-\d+(.*)|--\d+(.*)"","""")"),"ROYAN")</f>
        <v>ROYAN</v>
      </c>
      <c r="E24094" s="38" t="s">
        <v>488</v>
      </c>
      <c r="F24094" s="38" t="s">
        <v>338</v>
      </c>
      <c r="G24094" s="49" t="str">
        <f t="shared" si="1"/>
        <v>17200</v>
      </c>
      <c r="H24094" s="49">
        <f t="shared" si="2"/>
        <v>17306</v>
      </c>
    </row>
    <row r="24095">
      <c r="A24095" s="48" t="s">
        <v>4086</v>
      </c>
      <c r="B24095" s="38">
        <v>79113.0</v>
      </c>
      <c r="C24095" s="38" t="s">
        <v>28625</v>
      </c>
      <c r="D24095" s="38" t="str">
        <f>IFERROR(__xludf.DUMMYFUNCTION("REGEXREPLACE(C24095,""-\d+(.*)|--\d+(.*)"","""")"),"ETUSSON")</f>
        <v>ETUSSON</v>
      </c>
      <c r="E24095" s="38" t="s">
        <v>337</v>
      </c>
      <c r="F24095" s="38" t="s">
        <v>338</v>
      </c>
      <c r="G24095" s="49" t="str">
        <f t="shared" si="1"/>
        <v>79150</v>
      </c>
      <c r="H24095" s="49">
        <f t="shared" si="2"/>
        <v>79113</v>
      </c>
    </row>
    <row r="24096">
      <c r="A24096" s="48" t="s">
        <v>3264</v>
      </c>
      <c r="B24096" s="38">
        <v>69015.0</v>
      </c>
      <c r="C24096" s="38" t="s">
        <v>28626</v>
      </c>
      <c r="D24096" s="38" t="str">
        <f>IFERROR(__xludf.DUMMYFUNCTION("REGEXREPLACE(C24096,""-\d+(.*)|--\d+(.*)"","""")"),"AVENAS")</f>
        <v>AVENAS</v>
      </c>
      <c r="E24096" s="38" t="s">
        <v>350</v>
      </c>
      <c r="F24096" s="38" t="s">
        <v>102</v>
      </c>
      <c r="G24096" s="49" t="str">
        <f t="shared" si="1"/>
        <v>69430</v>
      </c>
      <c r="H24096" s="49">
        <f t="shared" si="2"/>
        <v>69015</v>
      </c>
    </row>
    <row r="24097">
      <c r="A24097" s="48" t="s">
        <v>3677</v>
      </c>
      <c r="B24097" s="38">
        <v>89327.0</v>
      </c>
      <c r="C24097" s="38" t="s">
        <v>21406</v>
      </c>
      <c r="D24097" s="38" t="str">
        <f>IFERROR(__xludf.DUMMYFUNCTION("REGEXREPLACE(C24097,""-\d+(.*)|--\d+(.*)"","""")"),"ROUSSON")</f>
        <v>ROUSSON</v>
      </c>
      <c r="E24097" s="38" t="s">
        <v>275</v>
      </c>
      <c r="F24097" s="38" t="s">
        <v>106</v>
      </c>
      <c r="G24097" s="49" t="str">
        <f t="shared" si="1"/>
        <v>89500</v>
      </c>
      <c r="H24097" s="49">
        <f t="shared" si="2"/>
        <v>89327</v>
      </c>
    </row>
    <row r="24098">
      <c r="A24098" s="48" t="s">
        <v>7895</v>
      </c>
      <c r="B24098" s="38">
        <v>57299.0</v>
      </c>
      <c r="C24098" s="38" t="s">
        <v>28627</v>
      </c>
      <c r="D24098" s="38" t="str">
        <f>IFERROR(__xludf.DUMMYFUNCTION("REGEXREPLACE(C24098,""-\d+(.*)|--\d+(.*)"","""")"),"HARTZVILLER")</f>
        <v>HARTZVILLER</v>
      </c>
      <c r="E24098" s="38" t="s">
        <v>303</v>
      </c>
      <c r="F24098" s="38" t="s">
        <v>195</v>
      </c>
      <c r="G24098" s="49" t="str">
        <f t="shared" si="1"/>
        <v>57870</v>
      </c>
      <c r="H24098" s="49">
        <f t="shared" si="2"/>
        <v>57299</v>
      </c>
    </row>
    <row r="24099">
      <c r="A24099" s="48" t="s">
        <v>7263</v>
      </c>
      <c r="B24099" s="38">
        <v>88121.0</v>
      </c>
      <c r="C24099" s="38" t="s">
        <v>28628</v>
      </c>
      <c r="D24099" s="38" t="str">
        <f>IFERROR(__xludf.DUMMYFUNCTION("REGEXREPLACE(C24099,""-\d+(.*)|--\d+(.*)"","""")"),"DAMAS-AUX-BOIS")</f>
        <v>DAMAS-AUX-BOIS</v>
      </c>
      <c r="E24099" s="38" t="s">
        <v>194</v>
      </c>
      <c r="F24099" s="38" t="s">
        <v>195</v>
      </c>
      <c r="G24099" s="49" t="str">
        <f t="shared" si="1"/>
        <v>88330</v>
      </c>
      <c r="H24099" s="49">
        <f t="shared" si="2"/>
        <v>88121</v>
      </c>
    </row>
    <row r="24100">
      <c r="A24100" s="48" t="s">
        <v>2261</v>
      </c>
      <c r="B24100" s="38">
        <v>9240.0</v>
      </c>
      <c r="C24100" s="38" t="s">
        <v>28629</v>
      </c>
      <c r="D24100" s="38" t="str">
        <f>IFERROR(__xludf.DUMMYFUNCTION("REGEXREPLACE(C24100,""-\d+(.*)|--\d+(.*)"","""")"),"QUIE")</f>
        <v>QUIE</v>
      </c>
      <c r="E24100" s="38" t="s">
        <v>238</v>
      </c>
      <c r="F24100" s="38" t="s">
        <v>94</v>
      </c>
      <c r="G24100" s="49" t="str">
        <f t="shared" si="1"/>
        <v>09400</v>
      </c>
      <c r="H24100" s="49" t="str">
        <f t="shared" si="2"/>
        <v>09240</v>
      </c>
    </row>
    <row r="24101">
      <c r="A24101" s="48" t="s">
        <v>28630</v>
      </c>
      <c r="B24101" s="38" t="s">
        <v>28631</v>
      </c>
      <c r="C24101" s="38" t="s">
        <v>28632</v>
      </c>
      <c r="D24101" s="38" t="str">
        <f>IFERROR(__xludf.DUMMYFUNCTION("REGEXREPLACE(C24101,""-\d+(.*)|--\d+(.*)"","""")"),"GALERIA")</f>
        <v>GALERIA</v>
      </c>
      <c r="E24101" s="38" t="s">
        <v>743</v>
      </c>
      <c r="F24101" s="38" t="s">
        <v>607</v>
      </c>
      <c r="G24101" s="49" t="str">
        <f t="shared" si="1"/>
        <v>20245</v>
      </c>
      <c r="H24101" s="49" t="str">
        <f t="shared" si="2"/>
        <v>2B121</v>
      </c>
    </row>
    <row r="24102">
      <c r="A24102" s="48" t="s">
        <v>7175</v>
      </c>
      <c r="B24102" s="38">
        <v>88442.0</v>
      </c>
      <c r="C24102" s="38" t="s">
        <v>10674</v>
      </c>
      <c r="D24102" s="38" t="str">
        <f>IFERROR(__xludf.DUMMYFUNCTION("REGEXREPLACE(C24102,""-\d+(.*)|--\d+(.*)"","""")"),"SAPOIS")</f>
        <v>SAPOIS</v>
      </c>
      <c r="E24102" s="38" t="s">
        <v>194</v>
      </c>
      <c r="F24102" s="38" t="s">
        <v>195</v>
      </c>
      <c r="G24102" s="49" t="str">
        <f t="shared" si="1"/>
        <v>88120</v>
      </c>
      <c r="H24102" s="49">
        <f t="shared" si="2"/>
        <v>88442</v>
      </c>
    </row>
    <row r="24103">
      <c r="A24103" s="48" t="s">
        <v>1008</v>
      </c>
      <c r="B24103" s="38">
        <v>2683.0</v>
      </c>
      <c r="C24103" s="38" t="s">
        <v>28633</v>
      </c>
      <c r="D24103" s="38" t="str">
        <f>IFERROR(__xludf.DUMMYFUNCTION("REGEXREPLACE(C24103,""-\d+(.*)|--\d+(.*)"","""")"),"SAINT-MARTIN-RIVIERE")</f>
        <v>SAINT-MARTIN-RIVIERE</v>
      </c>
      <c r="E24103" s="38" t="s">
        <v>191</v>
      </c>
      <c r="F24103" s="38" t="s">
        <v>113</v>
      </c>
      <c r="G24103" s="49" t="str">
        <f t="shared" si="1"/>
        <v>02110</v>
      </c>
      <c r="H24103" s="49" t="str">
        <f t="shared" si="2"/>
        <v>02683</v>
      </c>
    </row>
    <row r="24104">
      <c r="A24104" s="48" t="s">
        <v>4748</v>
      </c>
      <c r="B24104" s="38">
        <v>77157.0</v>
      </c>
      <c r="C24104" s="38" t="s">
        <v>28634</v>
      </c>
      <c r="D24104" s="38" t="str">
        <f>IFERROR(__xludf.DUMMYFUNCTION("REGEXREPLACE(C24104,""-\d+(.*)|--\d+(.*)"","""")"),"DHUISY")</f>
        <v>DHUISY</v>
      </c>
      <c r="E24104" s="38" t="s">
        <v>244</v>
      </c>
      <c r="F24104" s="38" t="s">
        <v>245</v>
      </c>
      <c r="G24104" s="49" t="str">
        <f t="shared" si="1"/>
        <v>77440</v>
      </c>
      <c r="H24104" s="49">
        <f t="shared" si="2"/>
        <v>77157</v>
      </c>
    </row>
    <row r="24105">
      <c r="A24105" s="48" t="s">
        <v>7265</v>
      </c>
      <c r="B24105" s="38">
        <v>68061.0</v>
      </c>
      <c r="C24105" s="38" t="s">
        <v>28635</v>
      </c>
      <c r="D24105" s="38" t="str">
        <f>IFERROR(__xludf.DUMMYFUNCTION("REGEXREPLACE(C24105,""-\d+(.*)|--\d+(.*)"","""")"),"BUSCHWILLER")</f>
        <v>BUSCHWILLER</v>
      </c>
      <c r="E24105" s="38" t="s">
        <v>150</v>
      </c>
      <c r="F24105" s="38" t="s">
        <v>151</v>
      </c>
      <c r="G24105" s="49" t="str">
        <f t="shared" si="1"/>
        <v>68220</v>
      </c>
      <c r="H24105" s="49">
        <f t="shared" si="2"/>
        <v>68061</v>
      </c>
    </row>
    <row r="24106">
      <c r="A24106" s="48" t="s">
        <v>2714</v>
      </c>
      <c r="B24106" s="38">
        <v>61026.0</v>
      </c>
      <c r="C24106" s="38" t="s">
        <v>7691</v>
      </c>
      <c r="D24106" s="38" t="str">
        <f>IFERROR(__xludf.DUMMYFUNCTION("REGEXREPLACE(C24106,""-\d+(.*)|--\d+(.*)"","""")"),"BARVILLE")</f>
        <v>BARVILLE</v>
      </c>
      <c r="E24106" s="38" t="s">
        <v>141</v>
      </c>
      <c r="F24106" s="38" t="s">
        <v>138</v>
      </c>
      <c r="G24106" s="49" t="str">
        <f t="shared" si="1"/>
        <v>61170</v>
      </c>
      <c r="H24106" s="49">
        <f t="shared" si="2"/>
        <v>61026</v>
      </c>
    </row>
    <row r="24107">
      <c r="A24107" s="48" t="s">
        <v>28636</v>
      </c>
      <c r="B24107" s="38">
        <v>54090.0</v>
      </c>
      <c r="C24107" s="38" t="s">
        <v>28637</v>
      </c>
      <c r="D24107" s="38" t="str">
        <f>IFERROR(__xludf.DUMMYFUNCTION("REGEXREPLACE(C24107,""-\d+(.*)|--\d+(.*)"","""")"),"BOUXIERES-AUX-DAMES")</f>
        <v>BOUXIERES-AUX-DAMES</v>
      </c>
      <c r="E24107" s="38" t="s">
        <v>548</v>
      </c>
      <c r="F24107" s="38" t="s">
        <v>195</v>
      </c>
      <c r="G24107" s="49" t="str">
        <f t="shared" si="1"/>
        <v>54136</v>
      </c>
      <c r="H24107" s="49">
        <f t="shared" si="2"/>
        <v>54090</v>
      </c>
    </row>
    <row r="24108">
      <c r="A24108" s="48" t="s">
        <v>384</v>
      </c>
      <c r="B24108" s="38">
        <v>55302.0</v>
      </c>
      <c r="C24108" s="38" t="s">
        <v>28638</v>
      </c>
      <c r="D24108" s="38" t="str">
        <f>IFERROR(__xludf.DUMMYFUNCTION("REGEXREPLACE(C24108,""-\d+(.*)|--\d+(.*)"","""")"),"LONGEVILLE-EN-BARROIS")</f>
        <v>LONGEVILLE-EN-BARROIS</v>
      </c>
      <c r="E24108" s="38" t="s">
        <v>322</v>
      </c>
      <c r="F24108" s="38" t="s">
        <v>195</v>
      </c>
      <c r="G24108" s="49" t="str">
        <f t="shared" si="1"/>
        <v>55000</v>
      </c>
      <c r="H24108" s="49">
        <f t="shared" si="2"/>
        <v>55302</v>
      </c>
    </row>
    <row r="24109">
      <c r="A24109" s="48" t="s">
        <v>6261</v>
      </c>
      <c r="B24109" s="38">
        <v>76014.0</v>
      </c>
      <c r="C24109" s="38" t="s">
        <v>28639</v>
      </c>
      <c r="D24109" s="38" t="str">
        <f>IFERROR(__xludf.DUMMYFUNCTION("REGEXREPLACE(C24109,""-\d+(.*)|--\d+(.*)"","""")"),"ANGERVILLE-L'ORCHER")</f>
        <v>ANGERVILLE-L'ORCHER</v>
      </c>
      <c r="E24109" s="38" t="s">
        <v>133</v>
      </c>
      <c r="F24109" s="38" t="s">
        <v>134</v>
      </c>
      <c r="G24109" s="49" t="str">
        <f t="shared" si="1"/>
        <v>76280</v>
      </c>
      <c r="H24109" s="49">
        <f t="shared" si="2"/>
        <v>76014</v>
      </c>
    </row>
    <row r="24110">
      <c r="A24110" s="48" t="s">
        <v>4270</v>
      </c>
      <c r="B24110" s="38">
        <v>76093.0</v>
      </c>
      <c r="C24110" s="38" t="s">
        <v>28640</v>
      </c>
      <c r="D24110" s="38" t="str">
        <f>IFERROR(__xludf.DUMMYFUNCTION("REGEXREPLACE(C24110,""-\d+(.*)|--\d+(.*)"","""")"),"BEZANCOURT")</f>
        <v>BEZANCOURT</v>
      </c>
      <c r="E24110" s="38" t="s">
        <v>133</v>
      </c>
      <c r="F24110" s="38" t="s">
        <v>134</v>
      </c>
      <c r="G24110" s="49" t="str">
        <f t="shared" si="1"/>
        <v>76220</v>
      </c>
      <c r="H24110" s="49">
        <f t="shared" si="2"/>
        <v>76093</v>
      </c>
    </row>
    <row r="24111">
      <c r="A24111" s="48" t="s">
        <v>10416</v>
      </c>
      <c r="B24111" s="38">
        <v>50090.0</v>
      </c>
      <c r="C24111" s="38" t="s">
        <v>28641</v>
      </c>
      <c r="D24111" s="38" t="str">
        <f>IFERROR(__xludf.DUMMYFUNCTION("REGEXREPLACE(C24111,""-\d+(.*)|--\d+(.*)"","""")"),"BUAIS")</f>
        <v>BUAIS</v>
      </c>
      <c r="E24111" s="38" t="s">
        <v>157</v>
      </c>
      <c r="F24111" s="38" t="s">
        <v>138</v>
      </c>
      <c r="G24111" s="49" t="str">
        <f t="shared" si="1"/>
        <v>50640</v>
      </c>
      <c r="H24111" s="49">
        <f t="shared" si="2"/>
        <v>50090</v>
      </c>
    </row>
    <row r="24112">
      <c r="A24112" s="48" t="s">
        <v>18494</v>
      </c>
      <c r="B24112" s="38">
        <v>82127.0</v>
      </c>
      <c r="C24112" s="38" t="s">
        <v>21695</v>
      </c>
      <c r="D24112" s="38" t="str">
        <f>IFERROR(__xludf.DUMMYFUNCTION("REGEXREPLACE(C24112,""-\d+(.*)|--\d+(.*)"","""")"),"MONTESQUIEU")</f>
        <v>MONTESQUIEU</v>
      </c>
      <c r="E24112" s="38" t="s">
        <v>570</v>
      </c>
      <c r="F24112" s="38" t="s">
        <v>94</v>
      </c>
      <c r="G24112" s="49" t="str">
        <f t="shared" si="1"/>
        <v>82200</v>
      </c>
      <c r="H24112" s="49">
        <f t="shared" si="2"/>
        <v>82127</v>
      </c>
    </row>
    <row r="24113">
      <c r="A24113" s="48" t="s">
        <v>5785</v>
      </c>
      <c r="B24113" s="38">
        <v>32024.0</v>
      </c>
      <c r="C24113" s="38" t="s">
        <v>28642</v>
      </c>
      <c r="D24113" s="38" t="str">
        <f>IFERROR(__xludf.DUMMYFUNCTION("REGEXREPLACE(C24113,""-\d+(.*)|--\d+(.*)"","""")"),"AYGUETINTE")</f>
        <v>AYGUETINTE</v>
      </c>
      <c r="E24113" s="38" t="s">
        <v>440</v>
      </c>
      <c r="F24113" s="38" t="s">
        <v>94</v>
      </c>
      <c r="G24113" s="49" t="str">
        <f t="shared" si="1"/>
        <v>32410</v>
      </c>
      <c r="H24113" s="49">
        <f t="shared" si="2"/>
        <v>32024</v>
      </c>
    </row>
    <row r="24114">
      <c r="A24114" s="48" t="s">
        <v>2159</v>
      </c>
      <c r="B24114" s="38">
        <v>57138.0</v>
      </c>
      <c r="C24114" s="38" t="s">
        <v>28643</v>
      </c>
      <c r="D24114" s="38" t="str">
        <f>IFERROR(__xludf.DUMMYFUNCTION("REGEXREPLACE(C24114,""-\d+(.*)|--\d+(.*)"","""")"),"CHENOIS")</f>
        <v>CHENOIS</v>
      </c>
      <c r="E24114" s="38" t="s">
        <v>303</v>
      </c>
      <c r="F24114" s="38" t="s">
        <v>195</v>
      </c>
      <c r="G24114" s="49" t="str">
        <f t="shared" si="1"/>
        <v>57580</v>
      </c>
      <c r="H24114" s="49">
        <f t="shared" si="2"/>
        <v>57138</v>
      </c>
    </row>
    <row r="24115">
      <c r="A24115" s="48" t="s">
        <v>25836</v>
      </c>
      <c r="B24115" s="38">
        <v>29148.0</v>
      </c>
      <c r="C24115" s="38" t="s">
        <v>28644</v>
      </c>
      <c r="D24115" s="38" t="str">
        <f>IFERROR(__xludf.DUMMYFUNCTION("REGEXREPLACE(C24115,""-\d+(.*)|--\d+(.*)"","""")"),"MESPAUL")</f>
        <v>MESPAUL</v>
      </c>
      <c r="E24115" s="38" t="s">
        <v>176</v>
      </c>
      <c r="F24115" s="38" t="s">
        <v>90</v>
      </c>
      <c r="G24115" s="49" t="str">
        <f t="shared" si="1"/>
        <v>29420</v>
      </c>
      <c r="H24115" s="49">
        <f t="shared" si="2"/>
        <v>29148</v>
      </c>
    </row>
    <row r="24116">
      <c r="A24116" s="48" t="s">
        <v>11364</v>
      </c>
      <c r="B24116" s="38">
        <v>59390.0</v>
      </c>
      <c r="C24116" s="38" t="s">
        <v>28645</v>
      </c>
      <c r="D24116" s="38" t="str">
        <f>IFERROR(__xludf.DUMMYFUNCTION("REGEXREPLACE(C24116,""-\d+(.*)|--\d+(.*)"","""")"),"MASNY")</f>
        <v>MASNY</v>
      </c>
      <c r="E24116" s="38" t="s">
        <v>85</v>
      </c>
      <c r="F24116" s="38" t="s">
        <v>86</v>
      </c>
      <c r="G24116" s="49" t="str">
        <f t="shared" si="1"/>
        <v>59176</v>
      </c>
      <c r="H24116" s="49">
        <f t="shared" si="2"/>
        <v>59390</v>
      </c>
    </row>
    <row r="24117">
      <c r="A24117" s="48" t="s">
        <v>5398</v>
      </c>
      <c r="B24117" s="38">
        <v>64372.0</v>
      </c>
      <c r="C24117" s="38" t="s">
        <v>28646</v>
      </c>
      <c r="D24117" s="38" t="str">
        <f>IFERROR(__xludf.DUMMYFUNCTION("REGEXREPLACE(C24117,""-\d+(.*)|--\d+(.*)"","""")"),"MAURE")</f>
        <v>MAURE</v>
      </c>
      <c r="E24117" s="38" t="s">
        <v>268</v>
      </c>
      <c r="F24117" s="38" t="s">
        <v>252</v>
      </c>
      <c r="G24117" s="49" t="str">
        <f t="shared" si="1"/>
        <v>64460</v>
      </c>
      <c r="H24117" s="49">
        <f t="shared" si="2"/>
        <v>64372</v>
      </c>
    </row>
    <row r="24118">
      <c r="A24118" s="48" t="s">
        <v>28647</v>
      </c>
      <c r="B24118" s="38">
        <v>97607.0</v>
      </c>
      <c r="C24118" s="38" t="s">
        <v>28648</v>
      </c>
      <c r="D24118" s="38" t="str">
        <f>IFERROR(__xludf.DUMMYFUNCTION("REGEXREPLACE(C24118,""-\d+(.*)|--\d+(.*)"","""")"),"DEMBENI")</f>
        <v>DEMBENI</v>
      </c>
      <c r="E24118" s="38" t="s">
        <v>2865</v>
      </c>
      <c r="F24118" s="38" t="s">
        <v>2865</v>
      </c>
      <c r="G24118" s="49" t="str">
        <f t="shared" si="1"/>
        <v>97660</v>
      </c>
      <c r="H24118" s="49">
        <f t="shared" si="2"/>
        <v>97607</v>
      </c>
    </row>
    <row r="24119">
      <c r="A24119" s="48" t="s">
        <v>2886</v>
      </c>
      <c r="B24119" s="38">
        <v>89390.0</v>
      </c>
      <c r="C24119" s="38" t="s">
        <v>28649</v>
      </c>
      <c r="D24119" s="38" t="str">
        <f>IFERROR(__xludf.DUMMYFUNCTION("REGEXREPLACE(C24119,""-\d+(.*)|--\d+(.*)"","""")"),"SERBONNES")</f>
        <v>SERBONNES</v>
      </c>
      <c r="E24119" s="38" t="s">
        <v>275</v>
      </c>
      <c r="F24119" s="38" t="s">
        <v>106</v>
      </c>
      <c r="G24119" s="49" t="str">
        <f t="shared" si="1"/>
        <v>89140</v>
      </c>
      <c r="H24119" s="49">
        <f t="shared" si="2"/>
        <v>89390</v>
      </c>
    </row>
    <row r="24120">
      <c r="A24120" s="48" t="s">
        <v>4088</v>
      </c>
      <c r="B24120" s="38">
        <v>39230.0</v>
      </c>
      <c r="C24120" s="38" t="s">
        <v>28650</v>
      </c>
      <c r="D24120" s="38" t="str">
        <f>IFERROR(__xludf.DUMMYFUNCTION("REGEXREPLACE(C24120,""-\d+(.*)|--\d+(.*)"","""")"),"FONTENU")</f>
        <v>FONTENU</v>
      </c>
      <c r="E24120" s="38" t="s">
        <v>400</v>
      </c>
      <c r="F24120" s="38" t="s">
        <v>214</v>
      </c>
      <c r="G24120" s="49" t="str">
        <f t="shared" si="1"/>
        <v>39130</v>
      </c>
      <c r="H24120" s="49">
        <f t="shared" si="2"/>
        <v>39230</v>
      </c>
    </row>
    <row r="24121">
      <c r="A24121" s="48" t="s">
        <v>895</v>
      </c>
      <c r="B24121" s="38">
        <v>87170.0</v>
      </c>
      <c r="C24121" s="38" t="s">
        <v>28651</v>
      </c>
      <c r="D24121" s="38" t="str">
        <f>IFERROR(__xludf.DUMMYFUNCTION("REGEXREPLACE(C24121,""-\d+(.*)|--\d+(.*)"","""")"),"SAINT-MEARD")</f>
        <v>SAINT-MEARD</v>
      </c>
      <c r="E24121" s="38" t="s">
        <v>897</v>
      </c>
      <c r="F24121" s="38" t="s">
        <v>98</v>
      </c>
      <c r="G24121" s="49" t="str">
        <f t="shared" si="1"/>
        <v>87130</v>
      </c>
      <c r="H24121" s="49">
        <f t="shared" si="2"/>
        <v>87170</v>
      </c>
    </row>
    <row r="24122">
      <c r="A24122" s="48" t="s">
        <v>635</v>
      </c>
      <c r="B24122" s="38">
        <v>15013.0</v>
      </c>
      <c r="C24122" s="38" t="s">
        <v>28652</v>
      </c>
      <c r="D24122" s="38" t="str">
        <f>IFERROR(__xludf.DUMMYFUNCTION("REGEXREPLACE(C24122,""-\d+(.*)|--\d+(.*)"","""")"),"AURIAC-L'EGLISE")</f>
        <v>AURIAC-L'EGLISE</v>
      </c>
      <c r="E24122" s="38" t="s">
        <v>632</v>
      </c>
      <c r="F24122" s="38" t="s">
        <v>161</v>
      </c>
      <c r="G24122" s="49" t="str">
        <f t="shared" si="1"/>
        <v>15500</v>
      </c>
      <c r="H24122" s="49">
        <f t="shared" si="2"/>
        <v>15013</v>
      </c>
    </row>
    <row r="24123">
      <c r="A24123" s="48" t="s">
        <v>5125</v>
      </c>
      <c r="B24123" s="38">
        <v>49044.0</v>
      </c>
      <c r="C24123" s="38" t="s">
        <v>28653</v>
      </c>
      <c r="D24123" s="38" t="str">
        <f>IFERROR(__xludf.DUMMYFUNCTION("REGEXREPLACE(C24123,""-\d+(.*)|--\d+(.*)"","""")"),"BREIL")</f>
        <v>BREIL</v>
      </c>
      <c r="E24123" s="38" t="s">
        <v>653</v>
      </c>
      <c r="F24123" s="38" t="s">
        <v>180</v>
      </c>
      <c r="G24123" s="49" t="str">
        <f t="shared" si="1"/>
        <v>49490</v>
      </c>
      <c r="H24123" s="49">
        <f t="shared" si="2"/>
        <v>49044</v>
      </c>
    </row>
    <row r="24124">
      <c r="A24124" s="48" t="s">
        <v>11199</v>
      </c>
      <c r="B24124" s="38">
        <v>31022.0</v>
      </c>
      <c r="C24124" s="38" t="s">
        <v>28654</v>
      </c>
      <c r="D24124" s="38" t="str">
        <f>IFERROR(__xludf.DUMMYFUNCTION("REGEXREPLACE(C24124,""-\d+(.*)|--\d+(.*)"","""")"),"AUCAMVILLE")</f>
        <v>AUCAMVILLE</v>
      </c>
      <c r="E24124" s="38" t="s">
        <v>93</v>
      </c>
      <c r="F24124" s="38" t="s">
        <v>94</v>
      </c>
      <c r="G24124" s="49" t="str">
        <f t="shared" si="1"/>
        <v>31140</v>
      </c>
      <c r="H24124" s="49">
        <f t="shared" si="2"/>
        <v>31022</v>
      </c>
    </row>
    <row r="24125">
      <c r="A24125" s="48" t="s">
        <v>2655</v>
      </c>
      <c r="B24125" s="38">
        <v>52360.0</v>
      </c>
      <c r="C24125" s="38" t="s">
        <v>28655</v>
      </c>
      <c r="D24125" s="38" t="str">
        <f>IFERROR(__xludf.DUMMYFUNCTION("REGEXREPLACE(C24125,""-\d+(.*)|--\d+(.*)"","""")"),"OCCEY")</f>
        <v>OCCEY</v>
      </c>
      <c r="E24125" s="38" t="s">
        <v>234</v>
      </c>
      <c r="F24125" s="38" t="s">
        <v>130</v>
      </c>
      <c r="G24125" s="49" t="str">
        <f t="shared" si="1"/>
        <v>52190</v>
      </c>
      <c r="H24125" s="49">
        <f t="shared" si="2"/>
        <v>52360</v>
      </c>
    </row>
    <row r="24126">
      <c r="A24126" s="48" t="s">
        <v>15556</v>
      </c>
      <c r="B24126" s="38">
        <v>86048.0</v>
      </c>
      <c r="C24126" s="38" t="s">
        <v>28656</v>
      </c>
      <c r="D24126" s="38" t="str">
        <f>IFERROR(__xludf.DUMMYFUNCTION("REGEXREPLACE(C24126,""-\d+(.*)|--\d+(.*)"","""")"),"CHABOURNAY")</f>
        <v>CHABOURNAY</v>
      </c>
      <c r="E24126" s="38" t="s">
        <v>529</v>
      </c>
      <c r="F24126" s="38" t="s">
        <v>338</v>
      </c>
      <c r="G24126" s="49" t="str">
        <f t="shared" si="1"/>
        <v>86380</v>
      </c>
      <c r="H24126" s="49">
        <f t="shared" si="2"/>
        <v>86048</v>
      </c>
    </row>
    <row r="24127">
      <c r="A24127" s="48" t="s">
        <v>288</v>
      </c>
      <c r="B24127" s="38">
        <v>3150.0</v>
      </c>
      <c r="C24127" s="38" t="s">
        <v>28657</v>
      </c>
      <c r="D24127" s="38" t="str">
        <f>IFERROR(__xludf.DUMMYFUNCTION("REGEXREPLACE(C24127,""-\d+(.*)|--\d+(.*)"","""")"),"LOUROUX-BOURBONNAIS")</f>
        <v>LOUROUX-BOURBONNAIS</v>
      </c>
      <c r="E24127" s="38" t="s">
        <v>160</v>
      </c>
      <c r="F24127" s="38" t="s">
        <v>161</v>
      </c>
      <c r="G24127" s="49" t="str">
        <f t="shared" si="1"/>
        <v>03350</v>
      </c>
      <c r="H24127" s="49" t="str">
        <f t="shared" si="2"/>
        <v>03150</v>
      </c>
    </row>
    <row r="24128">
      <c r="A24128" s="48" t="s">
        <v>7986</v>
      </c>
      <c r="B24128" s="38">
        <v>69134.0</v>
      </c>
      <c r="C24128" s="38" t="s">
        <v>28658</v>
      </c>
      <c r="D24128" s="38" t="str">
        <f>IFERROR(__xludf.DUMMYFUNCTION("REGEXREPLACE(C24128,""-\d+(.*)|--\d+(.*)"","""")"),"MOIRE")</f>
        <v>MOIRE</v>
      </c>
      <c r="E24128" s="38" t="s">
        <v>350</v>
      </c>
      <c r="F24128" s="38" t="s">
        <v>102</v>
      </c>
      <c r="G24128" s="49" t="str">
        <f t="shared" si="1"/>
        <v>69620</v>
      </c>
      <c r="H24128" s="49">
        <f t="shared" si="2"/>
        <v>69134</v>
      </c>
    </row>
    <row r="24129">
      <c r="A24129" s="48" t="s">
        <v>1332</v>
      </c>
      <c r="B24129" s="38">
        <v>51253.0</v>
      </c>
      <c r="C24129" s="38" t="s">
        <v>28659</v>
      </c>
      <c r="D24129" s="38" t="str">
        <f>IFERROR(__xludf.DUMMYFUNCTION("REGEXREPLACE(C24129,""-\d+(.*)|--\d+(.*)"","""")"),"FLORENT-EN-ARGONNE")</f>
        <v>FLORENT-EN-ARGONNE</v>
      </c>
      <c r="E24129" s="38" t="s">
        <v>129</v>
      </c>
      <c r="F24129" s="38" t="s">
        <v>130</v>
      </c>
      <c r="G24129" s="49" t="str">
        <f t="shared" si="1"/>
        <v>51800</v>
      </c>
      <c r="H24129" s="49">
        <f t="shared" si="2"/>
        <v>51253</v>
      </c>
    </row>
    <row r="24130">
      <c r="A24130" s="48" t="s">
        <v>12539</v>
      </c>
      <c r="B24130" s="38">
        <v>14491.0</v>
      </c>
      <c r="C24130" s="38" t="s">
        <v>28660</v>
      </c>
      <c r="D24130" s="38" t="str">
        <f>IFERROR(__xludf.DUMMYFUNCTION("REGEXREPLACE(C24130,""-\d+(.*)|--\d+(.*)"","""")"),"PARFOURU-SUR-ODON")</f>
        <v>PARFOURU-SUR-ODON</v>
      </c>
      <c r="E24130" s="38" t="s">
        <v>137</v>
      </c>
      <c r="F24130" s="38" t="s">
        <v>138</v>
      </c>
      <c r="G24130" s="49" t="str">
        <f t="shared" si="1"/>
        <v>14310</v>
      </c>
      <c r="H24130" s="49">
        <f t="shared" si="2"/>
        <v>14491</v>
      </c>
    </row>
    <row r="24131">
      <c r="A24131" s="48" t="s">
        <v>186</v>
      </c>
      <c r="B24131" s="38">
        <v>41027.0</v>
      </c>
      <c r="C24131" s="38" t="s">
        <v>28661</v>
      </c>
      <c r="D24131" s="38" t="str">
        <f>IFERROR(__xludf.DUMMYFUNCTION("REGEXREPLACE(C24131,""-\d+(.*)|--\d+(.*)"","""")"),"BRIOU")</f>
        <v>BRIOU</v>
      </c>
      <c r="E24131" s="38" t="s">
        <v>188</v>
      </c>
      <c r="F24131" s="38" t="s">
        <v>123</v>
      </c>
      <c r="G24131" s="49" t="str">
        <f t="shared" si="1"/>
        <v>41370</v>
      </c>
      <c r="H24131" s="49">
        <f t="shared" si="2"/>
        <v>41027</v>
      </c>
    </row>
    <row r="24132">
      <c r="A24132" s="48" t="s">
        <v>2602</v>
      </c>
      <c r="B24132" s="38">
        <v>42070.0</v>
      </c>
      <c r="C24132" s="38" t="s">
        <v>28662</v>
      </c>
      <c r="D24132" s="38" t="str">
        <f>IFERROR(__xludf.DUMMYFUNCTION("REGEXREPLACE(C24132,""-\d+(.*)|--\d+(.*)"","""")"),"CORDELLE")</f>
        <v>CORDELLE</v>
      </c>
      <c r="E24132" s="38" t="s">
        <v>166</v>
      </c>
      <c r="F24132" s="38" t="s">
        <v>102</v>
      </c>
      <c r="G24132" s="49" t="str">
        <f t="shared" si="1"/>
        <v>42123</v>
      </c>
      <c r="H24132" s="49">
        <f t="shared" si="2"/>
        <v>42070</v>
      </c>
    </row>
    <row r="24133">
      <c r="A24133" s="48" t="s">
        <v>6492</v>
      </c>
      <c r="B24133" s="38">
        <v>5089.0</v>
      </c>
      <c r="C24133" s="38" t="s">
        <v>1837</v>
      </c>
      <c r="D24133" s="38" t="str">
        <f>IFERROR(__xludf.DUMMYFUNCTION("REGEXREPLACE(C24133,""-\d+(.*)|--\d+(.*)"","""")"),"MONTROND")</f>
        <v>MONTROND</v>
      </c>
      <c r="E24133" s="38" t="s">
        <v>706</v>
      </c>
      <c r="F24133" s="38" t="s">
        <v>228</v>
      </c>
      <c r="G24133" s="49" t="str">
        <f t="shared" si="1"/>
        <v>05700</v>
      </c>
      <c r="H24133" s="49" t="str">
        <f t="shared" si="2"/>
        <v>05089</v>
      </c>
    </row>
    <row r="24134">
      <c r="A24134" s="48" t="s">
        <v>28663</v>
      </c>
      <c r="B24134" s="38">
        <v>63370.0</v>
      </c>
      <c r="C24134" s="38" t="s">
        <v>28664</v>
      </c>
      <c r="D24134" s="38" t="str">
        <f>IFERROR(__xludf.DUMMYFUNCTION("REGEXREPLACE(C24134,""-\d+(.*)|--\d+(.*)"","""")"),"SAINT-JULIEN-PUY-LAVEZE")</f>
        <v>SAINT-JULIEN-PUY-LAVEZE</v>
      </c>
      <c r="E24134" s="38" t="s">
        <v>353</v>
      </c>
      <c r="F24134" s="38" t="s">
        <v>161</v>
      </c>
      <c r="G24134" s="49" t="str">
        <f t="shared" si="1"/>
        <v>63820</v>
      </c>
      <c r="H24134" s="49">
        <f t="shared" si="2"/>
        <v>63370</v>
      </c>
    </row>
    <row r="24135">
      <c r="A24135" s="48" t="s">
        <v>2605</v>
      </c>
      <c r="B24135" s="38">
        <v>39204.0</v>
      </c>
      <c r="C24135" s="38" t="s">
        <v>28665</v>
      </c>
      <c r="D24135" s="38" t="str">
        <f>IFERROR(__xludf.DUMMYFUNCTION("REGEXREPLACE(C24135,""-\d+(.*)|--\d+(.*)"","""")"),"DRAMELAY")</f>
        <v>DRAMELAY</v>
      </c>
      <c r="E24135" s="38" t="s">
        <v>400</v>
      </c>
      <c r="F24135" s="38" t="s">
        <v>214</v>
      </c>
      <c r="G24135" s="49" t="str">
        <f t="shared" si="1"/>
        <v>39240</v>
      </c>
      <c r="H24135" s="49">
        <f t="shared" si="2"/>
        <v>39204</v>
      </c>
    </row>
    <row r="24136">
      <c r="A24136" s="48" t="s">
        <v>28666</v>
      </c>
      <c r="B24136" s="38">
        <v>43186.0</v>
      </c>
      <c r="C24136" s="38" t="s">
        <v>9364</v>
      </c>
      <c r="D24136" s="38" t="str">
        <f>IFERROR(__xludf.DUMMYFUNCTION("REGEXREPLACE(C24136,""-\d+(.*)|--\d+(.*)"","""")"),"SAINT-FRONT")</f>
        <v>SAINT-FRONT</v>
      </c>
      <c r="E24136" s="38" t="s">
        <v>332</v>
      </c>
      <c r="F24136" s="38" t="s">
        <v>161</v>
      </c>
      <c r="G24136" s="49" t="str">
        <f t="shared" si="1"/>
        <v>43550</v>
      </c>
      <c r="H24136" s="49">
        <f t="shared" si="2"/>
        <v>43186</v>
      </c>
    </row>
    <row r="24137">
      <c r="A24137" s="48" t="s">
        <v>1772</v>
      </c>
      <c r="B24137" s="38">
        <v>53045.0</v>
      </c>
      <c r="C24137" s="38" t="s">
        <v>28667</v>
      </c>
      <c r="D24137" s="38" t="str">
        <f>IFERROR(__xludf.DUMMYFUNCTION("REGEXREPLACE(C24137,""-\d+(.*)|--\d+(.*)"","""")"),"LA BRULATTE")</f>
        <v>LA BRULATTE</v>
      </c>
      <c r="E24137" s="38" t="s">
        <v>518</v>
      </c>
      <c r="F24137" s="38" t="s">
        <v>180</v>
      </c>
      <c r="G24137" s="49" t="str">
        <f t="shared" si="1"/>
        <v>53410</v>
      </c>
      <c r="H24137" s="49">
        <f t="shared" si="2"/>
        <v>53045</v>
      </c>
    </row>
    <row r="24138">
      <c r="A24138" s="48" t="s">
        <v>19694</v>
      </c>
      <c r="B24138" s="38">
        <v>71356.0</v>
      </c>
      <c r="C24138" s="38" t="s">
        <v>28668</v>
      </c>
      <c r="D24138" s="38" t="str">
        <f>IFERROR(__xludf.DUMMYFUNCTION("REGEXREPLACE(C24138,""-\d+(.*)|--\d+(.*)"","""")"),"POUILLOUX")</f>
        <v>POUILLOUX</v>
      </c>
      <c r="E24138" s="38" t="s">
        <v>344</v>
      </c>
      <c r="F24138" s="38" t="s">
        <v>106</v>
      </c>
      <c r="G24138" s="49" t="str">
        <f t="shared" si="1"/>
        <v>71230</v>
      </c>
      <c r="H24138" s="49">
        <f t="shared" si="2"/>
        <v>71356</v>
      </c>
    </row>
    <row r="24139">
      <c r="A24139" s="48" t="s">
        <v>7005</v>
      </c>
      <c r="B24139" s="38">
        <v>82094.0</v>
      </c>
      <c r="C24139" s="38" t="s">
        <v>28669</v>
      </c>
      <c r="D24139" s="38" t="str">
        <f>IFERROR(__xludf.DUMMYFUNCTION("REGEXREPLACE(C24139,""-\d+(.*)|--\d+(.*)"","""")"),"LAUZERTE")</f>
        <v>LAUZERTE</v>
      </c>
      <c r="E24139" s="38" t="s">
        <v>570</v>
      </c>
      <c r="F24139" s="38" t="s">
        <v>94</v>
      </c>
      <c r="G24139" s="49" t="str">
        <f t="shared" si="1"/>
        <v>82110</v>
      </c>
      <c r="H24139" s="49">
        <f t="shared" si="2"/>
        <v>82094</v>
      </c>
    </row>
    <row r="24140">
      <c r="A24140" s="48" t="s">
        <v>4316</v>
      </c>
      <c r="B24140" s="38">
        <v>49137.0</v>
      </c>
      <c r="C24140" s="38" t="s">
        <v>28670</v>
      </c>
      <c r="D24140" s="38" t="str">
        <f>IFERROR(__xludf.DUMMYFUNCTION("REGEXREPLACE(C24140,""-\d+(.*)|--\d+(.*)"","""")"),"LE FIEF-SAUVIN")</f>
        <v>LE FIEF-SAUVIN</v>
      </c>
      <c r="E24140" s="38" t="s">
        <v>653</v>
      </c>
      <c r="F24140" s="38" t="s">
        <v>180</v>
      </c>
      <c r="G24140" s="49" t="str">
        <f t="shared" si="1"/>
        <v>49600</v>
      </c>
      <c r="H24140" s="49">
        <f t="shared" si="2"/>
        <v>49137</v>
      </c>
    </row>
    <row r="24141">
      <c r="A24141" s="48" t="s">
        <v>3631</v>
      </c>
      <c r="B24141" s="38">
        <v>38270.0</v>
      </c>
      <c r="C24141" s="38" t="s">
        <v>28671</v>
      </c>
      <c r="D24141" s="38" t="str">
        <f>IFERROR(__xludf.DUMMYFUNCTION("REGEXREPLACE(C24141,""-\d+(.*)|--\d+(.*)"","""")"),"LA MURETTE")</f>
        <v>LA MURETTE</v>
      </c>
      <c r="E24141" s="38" t="s">
        <v>101</v>
      </c>
      <c r="F24141" s="38" t="s">
        <v>102</v>
      </c>
      <c r="G24141" s="49" t="str">
        <f t="shared" si="1"/>
        <v>38140</v>
      </c>
      <c r="H24141" s="49">
        <f t="shared" si="2"/>
        <v>38270</v>
      </c>
    </row>
    <row r="24142">
      <c r="A24142" s="48" t="s">
        <v>8586</v>
      </c>
      <c r="B24142" s="38">
        <v>46091.0</v>
      </c>
      <c r="C24142" s="38" t="s">
        <v>28672</v>
      </c>
      <c r="D24142" s="38" t="str">
        <f>IFERROR(__xludf.DUMMYFUNCTION("REGEXREPLACE(C24142,""-\d+(.*)|--\d+(.*)"","""")"),"ESCAMPS")</f>
        <v>ESCAMPS</v>
      </c>
      <c r="E24142" s="38" t="s">
        <v>185</v>
      </c>
      <c r="F24142" s="38" t="s">
        <v>94</v>
      </c>
      <c r="G24142" s="49" t="str">
        <f t="shared" si="1"/>
        <v>46230</v>
      </c>
      <c r="H24142" s="49">
        <f t="shared" si="2"/>
        <v>46091</v>
      </c>
    </row>
    <row r="24143">
      <c r="A24143" s="48" t="s">
        <v>3835</v>
      </c>
      <c r="B24143" s="38">
        <v>25459.0</v>
      </c>
      <c r="C24143" s="38" t="s">
        <v>28673</v>
      </c>
      <c r="D24143" s="38" t="str">
        <f>IFERROR(__xludf.DUMMYFUNCTION("REGEXREPLACE(C24143,""-\d+(.*)|--\d+(.*)"","""")"),"LA PLANEE")</f>
        <v>LA PLANEE</v>
      </c>
      <c r="E24143" s="38" t="s">
        <v>213</v>
      </c>
      <c r="F24143" s="38" t="s">
        <v>214</v>
      </c>
      <c r="G24143" s="49" t="str">
        <f t="shared" si="1"/>
        <v>25160</v>
      </c>
      <c r="H24143" s="49">
        <f t="shared" si="2"/>
        <v>25459</v>
      </c>
    </row>
    <row r="24144">
      <c r="A24144" s="48" t="s">
        <v>4095</v>
      </c>
      <c r="B24144" s="38">
        <v>23063.0</v>
      </c>
      <c r="C24144" s="38" t="s">
        <v>28674</v>
      </c>
      <c r="D24144" s="38" t="str">
        <f>IFERROR(__xludf.DUMMYFUNCTION("REGEXREPLACE(C24144,""-\d+(.*)|--\d+(.*)"","""")"),"CLAIRAVAUX")</f>
        <v>CLAIRAVAUX</v>
      </c>
      <c r="E24144" s="38" t="s">
        <v>97</v>
      </c>
      <c r="F24144" s="38" t="s">
        <v>98</v>
      </c>
      <c r="G24144" s="49" t="str">
        <f t="shared" si="1"/>
        <v>23500</v>
      </c>
      <c r="H24144" s="49">
        <f t="shared" si="2"/>
        <v>23063</v>
      </c>
    </row>
    <row r="24145">
      <c r="A24145" s="48" t="s">
        <v>6647</v>
      </c>
      <c r="B24145" s="38">
        <v>58310.0</v>
      </c>
      <c r="C24145" s="38" t="s">
        <v>3549</v>
      </c>
      <c r="D24145" s="38" t="str">
        <f>IFERROR(__xludf.DUMMYFUNCTION("REGEXREPLACE(C24145,""-\d+(.*)|--\d+(.*)"","""")"),"VILLIERS-LE-SEC")</f>
        <v>VILLIERS-LE-SEC</v>
      </c>
      <c r="E24145" s="38" t="s">
        <v>219</v>
      </c>
      <c r="F24145" s="38" t="s">
        <v>106</v>
      </c>
      <c r="G24145" s="49" t="str">
        <f t="shared" si="1"/>
        <v>58210</v>
      </c>
      <c r="H24145" s="49">
        <f t="shared" si="2"/>
        <v>58310</v>
      </c>
    </row>
    <row r="24146">
      <c r="A24146" s="48" t="s">
        <v>28675</v>
      </c>
      <c r="B24146" s="38">
        <v>93072.0</v>
      </c>
      <c r="C24146" s="38" t="s">
        <v>28676</v>
      </c>
      <c r="D24146" s="38" t="str">
        <f>IFERROR(__xludf.DUMMYFUNCTION("REGEXREPLACE(C24146,""-\d+(.*)|--\d+(.*)"","""")"),"STAINS")</f>
        <v>STAINS</v>
      </c>
      <c r="E24146" s="38" t="s">
        <v>341</v>
      </c>
      <c r="F24146" s="38" t="s">
        <v>245</v>
      </c>
      <c r="G24146" s="49" t="str">
        <f t="shared" si="1"/>
        <v>93240</v>
      </c>
      <c r="H24146" s="49">
        <f t="shared" si="2"/>
        <v>93072</v>
      </c>
    </row>
    <row r="24147">
      <c r="A24147" s="48" t="s">
        <v>284</v>
      </c>
      <c r="B24147" s="38">
        <v>60379.0</v>
      </c>
      <c r="C24147" s="38" t="s">
        <v>28677</v>
      </c>
      <c r="D24147" s="38" t="str">
        <f>IFERROR(__xludf.DUMMYFUNCTION("REGEXREPLACE(C24147,""-\d+(.*)|--\d+(.*)"","""")"),"MAREUIL-LA-MOTTE")</f>
        <v>MAREUIL-LA-MOTTE</v>
      </c>
      <c r="E24147" s="38" t="s">
        <v>112</v>
      </c>
      <c r="F24147" s="38" t="s">
        <v>113</v>
      </c>
      <c r="G24147" s="49" t="str">
        <f t="shared" si="1"/>
        <v>60490</v>
      </c>
      <c r="H24147" s="49">
        <f t="shared" si="2"/>
        <v>60379</v>
      </c>
    </row>
    <row r="24148">
      <c r="A24148" s="48" t="s">
        <v>26909</v>
      </c>
      <c r="B24148" s="38">
        <v>76402.0</v>
      </c>
      <c r="C24148" s="38" t="s">
        <v>28678</v>
      </c>
      <c r="D24148" s="38" t="str">
        <f>IFERROR(__xludf.DUMMYFUNCTION("REGEXREPLACE(C24148,""-\d+(.*)|--\d+(.*)"","""")"),"MALAUNAY")</f>
        <v>MALAUNAY</v>
      </c>
      <c r="E24148" s="38" t="s">
        <v>133</v>
      </c>
      <c r="F24148" s="38" t="s">
        <v>134</v>
      </c>
      <c r="G24148" s="49" t="str">
        <f t="shared" si="1"/>
        <v>76770</v>
      </c>
      <c r="H24148" s="49">
        <f t="shared" si="2"/>
        <v>76402</v>
      </c>
    </row>
    <row r="24149">
      <c r="A24149" s="48" t="s">
        <v>28679</v>
      </c>
      <c r="B24149" s="38">
        <v>59648.0</v>
      </c>
      <c r="C24149" s="38" t="s">
        <v>28680</v>
      </c>
      <c r="D24149" s="38" t="str">
        <f>IFERROR(__xludf.DUMMYFUNCTION("REGEXREPLACE(C24149,""-\d+(.*)|--\d+(.*)"","""")"),"WATTIGNIES")</f>
        <v>WATTIGNIES</v>
      </c>
      <c r="E24149" s="38" t="s">
        <v>85</v>
      </c>
      <c r="F24149" s="38" t="s">
        <v>86</v>
      </c>
      <c r="G24149" s="49" t="str">
        <f t="shared" si="1"/>
        <v>59139</v>
      </c>
      <c r="H24149" s="49">
        <f t="shared" si="2"/>
        <v>59648</v>
      </c>
    </row>
    <row r="24150">
      <c r="A24150" s="48" t="s">
        <v>256</v>
      </c>
      <c r="B24150" s="38">
        <v>36017.0</v>
      </c>
      <c r="C24150" s="38" t="s">
        <v>28681</v>
      </c>
      <c r="D24150" s="38" t="str">
        <f>IFERROR(__xludf.DUMMYFUNCTION("REGEXREPLACE(C24150,""-\d+(.*)|--\d+(.*)"","""")"),"LA BERTHENOUX")</f>
        <v>LA BERTHENOUX</v>
      </c>
      <c r="E24150" s="38" t="s">
        <v>258</v>
      </c>
      <c r="F24150" s="38" t="s">
        <v>123</v>
      </c>
      <c r="G24150" s="49" t="str">
        <f t="shared" si="1"/>
        <v>36400</v>
      </c>
      <c r="H24150" s="49">
        <f t="shared" si="2"/>
        <v>36017</v>
      </c>
    </row>
    <row r="24151">
      <c r="A24151" s="48" t="s">
        <v>6533</v>
      </c>
      <c r="B24151" s="38">
        <v>91131.0</v>
      </c>
      <c r="C24151" s="38" t="s">
        <v>28682</v>
      </c>
      <c r="D24151" s="38" t="str">
        <f>IFERROR(__xludf.DUMMYFUNCTION("REGEXREPLACE(C24151,""-\d+(.*)|--\d+(.*)"","""")"),"CHALOU-MOULINEUX")</f>
        <v>CHALOU-MOULINEUX</v>
      </c>
      <c r="E24151" s="38" t="s">
        <v>756</v>
      </c>
      <c r="F24151" s="38" t="s">
        <v>245</v>
      </c>
      <c r="G24151" s="49" t="str">
        <f t="shared" si="1"/>
        <v>91740</v>
      </c>
      <c r="H24151" s="49">
        <f t="shared" si="2"/>
        <v>91131</v>
      </c>
    </row>
    <row r="24152">
      <c r="A24152" s="48" t="s">
        <v>1766</v>
      </c>
      <c r="B24152" s="38">
        <v>2423.0</v>
      </c>
      <c r="C24152" s="38" t="s">
        <v>28683</v>
      </c>
      <c r="D24152" s="38" t="str">
        <f>IFERROR(__xludf.DUMMYFUNCTION("REGEXREPLACE(C24152,""-\d+(.*)|--\d+(.*)"","""")"),"LEUILLY-SOUS-COUCY")</f>
        <v>LEUILLY-SOUS-COUCY</v>
      </c>
      <c r="E24152" s="38" t="s">
        <v>191</v>
      </c>
      <c r="F24152" s="38" t="s">
        <v>113</v>
      </c>
      <c r="G24152" s="49" t="str">
        <f t="shared" si="1"/>
        <v>02380</v>
      </c>
      <c r="H24152" s="49" t="str">
        <f t="shared" si="2"/>
        <v>02423</v>
      </c>
    </row>
    <row r="24153">
      <c r="A24153" s="48" t="s">
        <v>28684</v>
      </c>
      <c r="B24153" s="38">
        <v>66141.0</v>
      </c>
      <c r="C24153" s="38" t="s">
        <v>28685</v>
      </c>
      <c r="D24153" s="38" t="str">
        <f>IFERROR(__xludf.DUMMYFUNCTION("REGEXREPLACE(C24153,""-\d+(.*)|--\d+(.*)"","""")"),"PIA")</f>
        <v>PIA</v>
      </c>
      <c r="E24153" s="38" t="s">
        <v>248</v>
      </c>
      <c r="F24153" s="38" t="s">
        <v>119</v>
      </c>
      <c r="G24153" s="49" t="str">
        <f t="shared" si="1"/>
        <v>66380</v>
      </c>
      <c r="H24153" s="49">
        <f t="shared" si="2"/>
        <v>66141</v>
      </c>
    </row>
    <row r="24154">
      <c r="A24154" s="48" t="s">
        <v>968</v>
      </c>
      <c r="B24154" s="38">
        <v>16423.0</v>
      </c>
      <c r="C24154" s="38" t="s">
        <v>28686</v>
      </c>
      <c r="D24154" s="38" t="str">
        <f>IFERROR(__xludf.DUMMYFUNCTION("REGEXREPLACE(C24154,""-\d+(.*)|--\d+(.*)"","""")"),"XAMBES")</f>
        <v>XAMBES</v>
      </c>
      <c r="E24154" s="38" t="s">
        <v>429</v>
      </c>
      <c r="F24154" s="38" t="s">
        <v>338</v>
      </c>
      <c r="G24154" s="49" t="str">
        <f t="shared" si="1"/>
        <v>16330</v>
      </c>
      <c r="H24154" s="49">
        <f t="shared" si="2"/>
        <v>16423</v>
      </c>
    </row>
    <row r="24155">
      <c r="A24155" s="48" t="s">
        <v>6256</v>
      </c>
      <c r="B24155" s="38">
        <v>55580.0</v>
      </c>
      <c r="C24155" s="38" t="s">
        <v>28687</v>
      </c>
      <c r="D24155" s="38" t="str">
        <f>IFERROR(__xludf.DUMMYFUNCTION("REGEXREPLACE(C24155,""-\d+(.*)|--\d+(.*)"","""")"),"WAVRILLE")</f>
        <v>WAVRILLE</v>
      </c>
      <c r="E24155" s="38" t="s">
        <v>322</v>
      </c>
      <c r="F24155" s="38" t="s">
        <v>195</v>
      </c>
      <c r="G24155" s="49" t="str">
        <f t="shared" si="1"/>
        <v>55150</v>
      </c>
      <c r="H24155" s="49">
        <f t="shared" si="2"/>
        <v>55580</v>
      </c>
    </row>
    <row r="24156">
      <c r="A24156" s="48" t="s">
        <v>5250</v>
      </c>
      <c r="B24156" s="38">
        <v>27413.0</v>
      </c>
      <c r="C24156" s="38" t="s">
        <v>28688</v>
      </c>
      <c r="D24156" s="38" t="str">
        <f>IFERROR(__xludf.DUMMYFUNCTION("REGEXREPLACE(C24156,""-\d+(.*)|--\d+(.*)"","""")"),"MONTFORT-SUR-RISLE")</f>
        <v>MONTFORT-SUR-RISLE</v>
      </c>
      <c r="E24156" s="38" t="s">
        <v>241</v>
      </c>
      <c r="F24156" s="38" t="s">
        <v>134</v>
      </c>
      <c r="G24156" s="49" t="str">
        <f t="shared" si="1"/>
        <v>27290</v>
      </c>
      <c r="H24156" s="49">
        <f t="shared" si="2"/>
        <v>27413</v>
      </c>
    </row>
    <row r="24157">
      <c r="A24157" s="48" t="s">
        <v>4882</v>
      </c>
      <c r="B24157" s="38">
        <v>89104.0</v>
      </c>
      <c r="C24157" s="38" t="s">
        <v>28689</v>
      </c>
      <c r="D24157" s="38" t="str">
        <f>IFERROR(__xludf.DUMMYFUNCTION("REGEXREPLACE(C24157,""-\d+(.*)|--\d+(.*)"","""")"),"CHICHEE")</f>
        <v>CHICHEE</v>
      </c>
      <c r="E24157" s="38" t="s">
        <v>275</v>
      </c>
      <c r="F24157" s="38" t="s">
        <v>106</v>
      </c>
      <c r="G24157" s="49" t="str">
        <f t="shared" si="1"/>
        <v>89800</v>
      </c>
      <c r="H24157" s="49">
        <f t="shared" si="2"/>
        <v>89104</v>
      </c>
    </row>
    <row r="24158">
      <c r="A24158" s="48" t="s">
        <v>2560</v>
      </c>
      <c r="B24158" s="38">
        <v>73293.0</v>
      </c>
      <c r="C24158" s="38" t="s">
        <v>24007</v>
      </c>
      <c r="D24158" s="38" t="str">
        <f>IFERROR(__xludf.DUMMYFUNCTION("REGEXREPLACE(C24158,""-\d+(.*)|--\d+(.*)"","""")"),"THOIRY")</f>
        <v>THOIRY</v>
      </c>
      <c r="E24158" s="38" t="s">
        <v>306</v>
      </c>
      <c r="F24158" s="38" t="s">
        <v>102</v>
      </c>
      <c r="G24158" s="49" t="str">
        <f t="shared" si="1"/>
        <v>73230</v>
      </c>
      <c r="H24158" s="49">
        <f t="shared" si="2"/>
        <v>73293</v>
      </c>
    </row>
    <row r="24159">
      <c r="A24159" s="48" t="s">
        <v>3681</v>
      </c>
      <c r="B24159" s="38">
        <v>39447.0</v>
      </c>
      <c r="C24159" s="38" t="s">
        <v>28690</v>
      </c>
      <c r="D24159" s="38" t="str">
        <f>IFERROR(__xludf.DUMMYFUNCTION("REGEXREPLACE(C24159,""-\d+(.*)|--\d+(.*)"","""")"),"QUINTIGNY")</f>
        <v>QUINTIGNY</v>
      </c>
      <c r="E24159" s="38" t="s">
        <v>400</v>
      </c>
      <c r="F24159" s="38" t="s">
        <v>214</v>
      </c>
      <c r="G24159" s="49" t="str">
        <f t="shared" si="1"/>
        <v>39570</v>
      </c>
      <c r="H24159" s="49">
        <f t="shared" si="2"/>
        <v>39447</v>
      </c>
    </row>
    <row r="24160">
      <c r="A24160" s="48" t="s">
        <v>4663</v>
      </c>
      <c r="B24160" s="38">
        <v>12152.0</v>
      </c>
      <c r="C24160" s="38" t="s">
        <v>28691</v>
      </c>
      <c r="D24160" s="38" t="str">
        <f>IFERROR(__xludf.DUMMYFUNCTION("REGEXREPLACE(C24160,""-\d+(.*)|--\d+(.*)"","""")"),"MONTFRANC")</f>
        <v>MONTFRANC</v>
      </c>
      <c r="E24160" s="38" t="s">
        <v>465</v>
      </c>
      <c r="F24160" s="38" t="s">
        <v>94</v>
      </c>
      <c r="G24160" s="49" t="str">
        <f t="shared" si="1"/>
        <v>12380</v>
      </c>
      <c r="H24160" s="49">
        <f t="shared" si="2"/>
        <v>12152</v>
      </c>
    </row>
    <row r="24161">
      <c r="A24161" s="48" t="s">
        <v>4121</v>
      </c>
      <c r="B24161" s="38">
        <v>11340.0</v>
      </c>
      <c r="C24161" s="38" t="s">
        <v>20493</v>
      </c>
      <c r="D24161" s="38" t="str">
        <f>IFERROR(__xludf.DUMMYFUNCTION("REGEXREPLACE(C24161,""-\d+(.*)|--\d+(.*)"","""")"),"SAINTE-EULALIE")</f>
        <v>SAINTE-EULALIE</v>
      </c>
      <c r="E24161" s="38" t="s">
        <v>278</v>
      </c>
      <c r="F24161" s="38" t="s">
        <v>119</v>
      </c>
      <c r="G24161" s="49" t="str">
        <f t="shared" si="1"/>
        <v>11170</v>
      </c>
      <c r="H24161" s="49">
        <f t="shared" si="2"/>
        <v>11340</v>
      </c>
    </row>
    <row r="24162">
      <c r="A24162" s="48" t="s">
        <v>794</v>
      </c>
      <c r="B24162" s="38">
        <v>60299.0</v>
      </c>
      <c r="C24162" s="38" t="s">
        <v>28692</v>
      </c>
      <c r="D24162" s="38" t="str">
        <f>IFERROR(__xludf.DUMMYFUNCTION("REGEXREPLACE(C24162,""-\d+(.*)|--\d+(.*)"","""")"),"HARDIVILLERS")</f>
        <v>HARDIVILLERS</v>
      </c>
      <c r="E24162" s="38" t="s">
        <v>112</v>
      </c>
      <c r="F24162" s="38" t="s">
        <v>113</v>
      </c>
      <c r="G24162" s="49" t="str">
        <f t="shared" si="1"/>
        <v>60120</v>
      </c>
      <c r="H24162" s="49">
        <f t="shared" si="2"/>
        <v>60299</v>
      </c>
    </row>
    <row r="24163">
      <c r="A24163" s="48" t="s">
        <v>9565</v>
      </c>
      <c r="B24163" s="38">
        <v>71228.0</v>
      </c>
      <c r="C24163" s="38" t="s">
        <v>28693</v>
      </c>
      <c r="D24163" s="38" t="str">
        <f>IFERROR(__xludf.DUMMYFUNCTION("REGEXREPLACE(C24163,""-\d+(.*)|--\d+(.*)"","""")"),"GUERFAND")</f>
        <v>GUERFAND</v>
      </c>
      <c r="E24163" s="38" t="s">
        <v>344</v>
      </c>
      <c r="F24163" s="38" t="s">
        <v>106</v>
      </c>
      <c r="G24163" s="49" t="str">
        <f t="shared" si="1"/>
        <v>71620</v>
      </c>
      <c r="H24163" s="49">
        <f t="shared" si="2"/>
        <v>71228</v>
      </c>
    </row>
    <row r="24164">
      <c r="A24164" s="48" t="s">
        <v>6572</v>
      </c>
      <c r="B24164" s="38">
        <v>31359.0</v>
      </c>
      <c r="C24164" s="38" t="s">
        <v>28694</v>
      </c>
      <c r="D24164" s="38" t="str">
        <f>IFERROR(__xludf.DUMMYFUNCTION("REGEXREPLACE(C24164,""-\d+(.*)|--\d+(.*)"","""")"),"MONTASTRUC-SAVES")</f>
        <v>MONTASTRUC-SAVES</v>
      </c>
      <c r="E24164" s="38" t="s">
        <v>93</v>
      </c>
      <c r="F24164" s="38" t="s">
        <v>94</v>
      </c>
      <c r="G24164" s="49" t="str">
        <f t="shared" si="1"/>
        <v>31370</v>
      </c>
      <c r="H24164" s="49">
        <f t="shared" si="2"/>
        <v>31359</v>
      </c>
    </row>
    <row r="24165">
      <c r="A24165" s="48" t="s">
        <v>4867</v>
      </c>
      <c r="B24165" s="38">
        <v>82034.0</v>
      </c>
      <c r="C24165" s="38" t="s">
        <v>28695</v>
      </c>
      <c r="D24165" s="38" t="str">
        <f>IFERROR(__xludf.DUMMYFUNCTION("REGEXREPLACE(C24165,""-\d+(.*)|--\d+(.*)"","""")"),"CASTERA-BOUZET")</f>
        <v>CASTERA-BOUZET</v>
      </c>
      <c r="E24165" s="38" t="s">
        <v>570</v>
      </c>
      <c r="F24165" s="38" t="s">
        <v>94</v>
      </c>
      <c r="G24165" s="49" t="str">
        <f t="shared" si="1"/>
        <v>82120</v>
      </c>
      <c r="H24165" s="49">
        <f t="shared" si="2"/>
        <v>82034</v>
      </c>
    </row>
    <row r="24166">
      <c r="A24166" s="48" t="s">
        <v>28696</v>
      </c>
      <c r="B24166" s="38">
        <v>6084.0</v>
      </c>
      <c r="C24166" s="38" t="s">
        <v>28697</v>
      </c>
      <c r="D24166" s="38" t="str">
        <f>IFERROR(__xludf.DUMMYFUNCTION("REGEXREPLACE(C24166,""-\d+(.*)|--\d+(.*)"","""")"),"MOUANS-SARTOUX")</f>
        <v>MOUANS-SARTOUX</v>
      </c>
      <c r="E24166" s="38" t="s">
        <v>227</v>
      </c>
      <c r="F24166" s="38" t="s">
        <v>228</v>
      </c>
      <c r="G24166" s="49" t="str">
        <f t="shared" si="1"/>
        <v>06370</v>
      </c>
      <c r="H24166" s="49" t="str">
        <f t="shared" si="2"/>
        <v>06084</v>
      </c>
    </row>
    <row r="24167">
      <c r="A24167" s="48" t="s">
        <v>3458</v>
      </c>
      <c r="B24167" s="38">
        <v>52168.0</v>
      </c>
      <c r="C24167" s="38" t="s">
        <v>28698</v>
      </c>
      <c r="D24167" s="38" t="str">
        <f>IFERROR(__xludf.DUMMYFUNCTION("REGEXREPLACE(C24167,""-\d+(.*)|--\d+(.*)"","""")"),"DINTEVILLE")</f>
        <v>DINTEVILLE</v>
      </c>
      <c r="E24167" s="38" t="s">
        <v>234</v>
      </c>
      <c r="F24167" s="38" t="s">
        <v>130</v>
      </c>
      <c r="G24167" s="49" t="str">
        <f t="shared" si="1"/>
        <v>52120</v>
      </c>
      <c r="H24167" s="49">
        <f t="shared" si="2"/>
        <v>52168</v>
      </c>
    </row>
    <row r="24168">
      <c r="A24168" s="48" t="s">
        <v>3842</v>
      </c>
      <c r="B24168" s="38">
        <v>88463.0</v>
      </c>
      <c r="C24168" s="38" t="s">
        <v>28699</v>
      </c>
      <c r="D24168" s="38" t="str">
        <f>IFERROR(__xludf.DUMMYFUNCTION("REGEXREPLACE(C24168,""-\d+(.*)|--\d+(.*)"","""")"),"TAINTRUX")</f>
        <v>TAINTRUX</v>
      </c>
      <c r="E24168" s="38" t="s">
        <v>194</v>
      </c>
      <c r="F24168" s="38" t="s">
        <v>195</v>
      </c>
      <c r="G24168" s="49" t="str">
        <f t="shared" si="1"/>
        <v>88100</v>
      </c>
      <c r="H24168" s="49">
        <f t="shared" si="2"/>
        <v>88463</v>
      </c>
    </row>
    <row r="24169">
      <c r="A24169" s="48" t="s">
        <v>3009</v>
      </c>
      <c r="B24169" s="38">
        <v>11374.0</v>
      </c>
      <c r="C24169" s="38" t="s">
        <v>28700</v>
      </c>
      <c r="D24169" s="38" t="str">
        <f>IFERROR(__xludf.DUMMYFUNCTION("REGEXREPLACE(C24169,""-\d+(.*)|--\d+(.*)"","""")"),"SALZA")</f>
        <v>SALZA</v>
      </c>
      <c r="E24169" s="38" t="s">
        <v>278</v>
      </c>
      <c r="F24169" s="38" t="s">
        <v>119</v>
      </c>
      <c r="G24169" s="49" t="str">
        <f t="shared" si="1"/>
        <v>11330</v>
      </c>
      <c r="H24169" s="49">
        <f t="shared" si="2"/>
        <v>11374</v>
      </c>
    </row>
    <row r="24170">
      <c r="A24170" s="48" t="s">
        <v>7409</v>
      </c>
      <c r="B24170" s="38">
        <v>59156.0</v>
      </c>
      <c r="C24170" s="38" t="s">
        <v>28701</v>
      </c>
      <c r="D24170" s="38" t="str">
        <f>IFERROR(__xludf.DUMMYFUNCTION("REGEXREPLACE(C24170,""-\d+(.*)|--\d+(.*)"","""")"),"COURCHELETTES")</f>
        <v>COURCHELETTES</v>
      </c>
      <c r="E24170" s="38" t="s">
        <v>85</v>
      </c>
      <c r="F24170" s="38" t="s">
        <v>86</v>
      </c>
      <c r="G24170" s="49" t="str">
        <f t="shared" si="1"/>
        <v>59552</v>
      </c>
      <c r="H24170" s="49">
        <f t="shared" si="2"/>
        <v>59156</v>
      </c>
    </row>
    <row r="24171">
      <c r="A24171" s="48" t="s">
        <v>2132</v>
      </c>
      <c r="B24171" s="38">
        <v>61007.0</v>
      </c>
      <c r="C24171" s="38" t="s">
        <v>28702</v>
      </c>
      <c r="D24171" s="38" t="str">
        <f>IFERROR(__xludf.DUMMYFUNCTION("REGEXREPLACE(C24171,""-\d+(.*)|--\d+(.*)"","""")"),"ATHIS-DE-L'ORNE")</f>
        <v>ATHIS-DE-L'ORNE</v>
      </c>
      <c r="E24171" s="38" t="s">
        <v>141</v>
      </c>
      <c r="F24171" s="38" t="s">
        <v>138</v>
      </c>
      <c r="G24171" s="49" t="str">
        <f t="shared" si="1"/>
        <v>61430</v>
      </c>
      <c r="H24171" s="49">
        <f t="shared" si="2"/>
        <v>61007</v>
      </c>
    </row>
    <row r="24172">
      <c r="A24172" s="48" t="s">
        <v>28703</v>
      </c>
      <c r="B24172" s="38">
        <v>57443.0</v>
      </c>
      <c r="C24172" s="38" t="s">
        <v>28704</v>
      </c>
      <c r="D24172" s="38" t="str">
        <f>IFERROR(__xludf.DUMMYFUNCTION("REGEXREPLACE(C24172,""-\d+(.*)|--\d+(.*)"","""")"),"MARANGE-SILVANGE")</f>
        <v>MARANGE-SILVANGE</v>
      </c>
      <c r="E24172" s="38" t="s">
        <v>303</v>
      </c>
      <c r="F24172" s="38" t="s">
        <v>195</v>
      </c>
      <c r="G24172" s="49" t="str">
        <f t="shared" si="1"/>
        <v>57535</v>
      </c>
      <c r="H24172" s="49">
        <f t="shared" si="2"/>
        <v>57443</v>
      </c>
    </row>
    <row r="24173">
      <c r="A24173" s="48" t="s">
        <v>502</v>
      </c>
      <c r="B24173" s="38">
        <v>18236.0</v>
      </c>
      <c r="C24173" s="38" t="s">
        <v>863</v>
      </c>
      <c r="D24173" s="38" t="str">
        <f>IFERROR(__xludf.DUMMYFUNCTION("REGEXREPLACE(C24173,""-\d+(.*)|--\d+(.*)"","""")"),"SAINT-SYMPHORIEN")</f>
        <v>SAINT-SYMPHORIEN</v>
      </c>
      <c r="E24173" s="38" t="s">
        <v>504</v>
      </c>
      <c r="F24173" s="38" t="s">
        <v>123</v>
      </c>
      <c r="G24173" s="49" t="str">
        <f t="shared" si="1"/>
        <v>18190</v>
      </c>
      <c r="H24173" s="49">
        <f t="shared" si="2"/>
        <v>18236</v>
      </c>
    </row>
    <row r="24174">
      <c r="A24174" s="48" t="s">
        <v>2296</v>
      </c>
      <c r="B24174" s="38">
        <v>47216.0</v>
      </c>
      <c r="C24174" s="38" t="s">
        <v>28705</v>
      </c>
      <c r="D24174" s="38" t="str">
        <f>IFERROR(__xludf.DUMMYFUNCTION("REGEXREPLACE(C24174,""-\d+(.*)|--\d+(.*)"","""")"),"PUYMICLAN")</f>
        <v>PUYMICLAN</v>
      </c>
      <c r="E24174" s="38" t="s">
        <v>251</v>
      </c>
      <c r="F24174" s="38" t="s">
        <v>252</v>
      </c>
      <c r="G24174" s="49" t="str">
        <f t="shared" si="1"/>
        <v>47350</v>
      </c>
      <c r="H24174" s="49">
        <f t="shared" si="2"/>
        <v>47216</v>
      </c>
    </row>
    <row r="24175">
      <c r="A24175" s="48" t="s">
        <v>20717</v>
      </c>
      <c r="B24175" s="38">
        <v>59602.0</v>
      </c>
      <c r="C24175" s="38" t="s">
        <v>28706</v>
      </c>
      <c r="D24175" s="38" t="str">
        <f>IFERROR(__xludf.DUMMYFUNCTION("REGEXREPLACE(C24175,""-\d+(.*)|--\d+(.*)"","""")"),"TRESSIN")</f>
        <v>TRESSIN</v>
      </c>
      <c r="E24175" s="38" t="s">
        <v>85</v>
      </c>
      <c r="F24175" s="38" t="s">
        <v>86</v>
      </c>
      <c r="G24175" s="49" t="str">
        <f t="shared" si="1"/>
        <v>59152</v>
      </c>
      <c r="H24175" s="49">
        <f t="shared" si="2"/>
        <v>59602</v>
      </c>
    </row>
    <row r="24176">
      <c r="A24176" s="48" t="s">
        <v>6519</v>
      </c>
      <c r="B24176" s="38">
        <v>81217.0</v>
      </c>
      <c r="C24176" s="38" t="s">
        <v>28707</v>
      </c>
      <c r="D24176" s="38" t="str">
        <f>IFERROR(__xludf.DUMMYFUNCTION("REGEXREPLACE(C24176,""-\d+(.*)|--\d+(.*)"","""")"),"PUYCELSI")</f>
        <v>PUYCELSI</v>
      </c>
      <c r="E24176" s="38" t="s">
        <v>231</v>
      </c>
      <c r="F24176" s="38" t="s">
        <v>94</v>
      </c>
      <c r="G24176" s="49" t="str">
        <f t="shared" si="1"/>
        <v>81140</v>
      </c>
      <c r="H24176" s="49">
        <f t="shared" si="2"/>
        <v>81217</v>
      </c>
    </row>
    <row r="24177">
      <c r="A24177" s="48" t="s">
        <v>4646</v>
      </c>
      <c r="B24177" s="38">
        <v>79092.0</v>
      </c>
      <c r="C24177" s="38" t="s">
        <v>28708</v>
      </c>
      <c r="D24177" s="38" t="str">
        <f>IFERROR(__xludf.DUMMYFUNCTION("REGEXREPLACE(C24177,""-\d+(.*)|--\d+(.*)"","""")"),"CLAVE")</f>
        <v>CLAVE</v>
      </c>
      <c r="E24177" s="38" t="s">
        <v>337</v>
      </c>
      <c r="F24177" s="38" t="s">
        <v>338</v>
      </c>
      <c r="G24177" s="49" t="str">
        <f t="shared" si="1"/>
        <v>79420</v>
      </c>
      <c r="H24177" s="49">
        <f t="shared" si="2"/>
        <v>79092</v>
      </c>
    </row>
    <row r="24178">
      <c r="A24178" s="48" t="s">
        <v>1887</v>
      </c>
      <c r="B24178" s="38">
        <v>88473.0</v>
      </c>
      <c r="C24178" s="38" t="s">
        <v>28709</v>
      </c>
      <c r="D24178" s="38" t="str">
        <f>IFERROR(__xludf.DUMMYFUNCTION("REGEXREPLACE(C24178,""-\d+(.*)|--\d+(.*)"","""")"),"TIGNECOURT")</f>
        <v>TIGNECOURT</v>
      </c>
      <c r="E24178" s="38" t="s">
        <v>194</v>
      </c>
      <c r="F24178" s="38" t="s">
        <v>195</v>
      </c>
      <c r="G24178" s="49" t="str">
        <f t="shared" si="1"/>
        <v>88320</v>
      </c>
      <c r="H24178" s="49">
        <f t="shared" si="2"/>
        <v>88473</v>
      </c>
    </row>
    <row r="24179">
      <c r="A24179" s="48" t="s">
        <v>2040</v>
      </c>
      <c r="B24179" s="38">
        <v>59036.0</v>
      </c>
      <c r="C24179" s="38" t="s">
        <v>28710</v>
      </c>
      <c r="D24179" s="38" t="str">
        <f>IFERROR(__xludf.DUMMYFUNCTION("REGEXREPLACE(C24179,""-\d+(.*)|--\d+(.*)"","""")"),"AVESNES-SUR-HELPE")</f>
        <v>AVESNES-SUR-HELPE</v>
      </c>
      <c r="E24179" s="38" t="s">
        <v>85</v>
      </c>
      <c r="F24179" s="38" t="s">
        <v>86</v>
      </c>
      <c r="G24179" s="49" t="str">
        <f t="shared" si="1"/>
        <v>59440</v>
      </c>
      <c r="H24179" s="49">
        <f t="shared" si="2"/>
        <v>59036</v>
      </c>
    </row>
    <row r="24180">
      <c r="A24180" s="48" t="s">
        <v>11336</v>
      </c>
      <c r="B24180" s="38">
        <v>10083.0</v>
      </c>
      <c r="C24180" s="38" t="s">
        <v>9121</v>
      </c>
      <c r="D24180" s="38" t="str">
        <f>IFERROR(__xludf.DUMMYFUNCTION("REGEXREPLACE(C24180,""-\d+(.*)|--\d+(.*)"","""")"),"CHAPPES")</f>
        <v>CHAPPES</v>
      </c>
      <c r="E24180" s="38" t="s">
        <v>147</v>
      </c>
      <c r="F24180" s="38" t="s">
        <v>130</v>
      </c>
      <c r="G24180" s="49" t="str">
        <f t="shared" si="1"/>
        <v>10260</v>
      </c>
      <c r="H24180" s="49">
        <f t="shared" si="2"/>
        <v>10083</v>
      </c>
    </row>
    <row r="24181">
      <c r="A24181" s="48" t="s">
        <v>983</v>
      </c>
      <c r="B24181" s="38">
        <v>52398.0</v>
      </c>
      <c r="C24181" s="38" t="s">
        <v>28711</v>
      </c>
      <c r="D24181" s="38" t="str">
        <f>IFERROR(__xludf.DUMMYFUNCTION("REGEXREPLACE(C24181,""-\d+(.*)|--\d+(.*)"","""")"),"POISSONS")</f>
        <v>POISSONS</v>
      </c>
      <c r="E24181" s="38" t="s">
        <v>234</v>
      </c>
      <c r="F24181" s="38" t="s">
        <v>130</v>
      </c>
      <c r="G24181" s="49" t="str">
        <f t="shared" si="1"/>
        <v>52230</v>
      </c>
      <c r="H24181" s="49">
        <f t="shared" si="2"/>
        <v>52398</v>
      </c>
    </row>
    <row r="24182">
      <c r="A24182" s="48" t="s">
        <v>765</v>
      </c>
      <c r="B24182" s="38">
        <v>89432.0</v>
      </c>
      <c r="C24182" s="38" t="s">
        <v>28712</v>
      </c>
      <c r="D24182" s="38" t="str">
        <f>IFERROR(__xludf.DUMMYFUNCTION("REGEXREPLACE(C24182,""-\d+(.*)|--\d+(.*)"","""")"),"VAUDEURS")</f>
        <v>VAUDEURS</v>
      </c>
      <c r="E24182" s="38" t="s">
        <v>275</v>
      </c>
      <c r="F24182" s="38" t="s">
        <v>106</v>
      </c>
      <c r="G24182" s="49" t="str">
        <f t="shared" si="1"/>
        <v>89320</v>
      </c>
      <c r="H24182" s="49">
        <f t="shared" si="2"/>
        <v>89432</v>
      </c>
    </row>
    <row r="24183">
      <c r="A24183" s="48" t="s">
        <v>1056</v>
      </c>
      <c r="B24183" s="38">
        <v>11355.0</v>
      </c>
      <c r="C24183" s="38" t="s">
        <v>28713</v>
      </c>
      <c r="D24183" s="38" t="str">
        <f>IFERROR(__xludf.DUMMYFUNCTION("REGEXREPLACE(C24183,""-\d+(.*)|--\d+(.*)"","""")"),"SAINT-MARTIN-DE-VILLEREGLAN")</f>
        <v>SAINT-MARTIN-DE-VILLEREGLAN</v>
      </c>
      <c r="E24183" s="38" t="s">
        <v>278</v>
      </c>
      <c r="F24183" s="38" t="s">
        <v>119</v>
      </c>
      <c r="G24183" s="49" t="str">
        <f t="shared" si="1"/>
        <v>11300</v>
      </c>
      <c r="H24183" s="49">
        <f t="shared" si="2"/>
        <v>11355</v>
      </c>
    </row>
    <row r="24184">
      <c r="A24184" s="48" t="s">
        <v>651</v>
      </c>
      <c r="B24184" s="38">
        <v>49100.0</v>
      </c>
      <c r="C24184" s="38" t="s">
        <v>28714</v>
      </c>
      <c r="D24184" s="38" t="str">
        <f>IFERROR(__xludf.DUMMYFUNCTION("REGEXREPLACE(C24184,""-\d+(.*)|--\d+(.*)"","""")"),"CIZAY-LA-MADELEINE")</f>
        <v>CIZAY-LA-MADELEINE</v>
      </c>
      <c r="E24184" s="38" t="s">
        <v>653</v>
      </c>
      <c r="F24184" s="38" t="s">
        <v>180</v>
      </c>
      <c r="G24184" s="49" t="str">
        <f t="shared" si="1"/>
        <v>49700</v>
      </c>
      <c r="H24184" s="49">
        <f t="shared" si="2"/>
        <v>49100</v>
      </c>
    </row>
    <row r="24185">
      <c r="A24185" s="48" t="s">
        <v>3226</v>
      </c>
      <c r="B24185" s="38">
        <v>61221.0</v>
      </c>
      <c r="C24185" s="38" t="s">
        <v>28715</v>
      </c>
      <c r="D24185" s="38" t="str">
        <f>IFERROR(__xludf.DUMMYFUNCTION("REGEXREPLACE(C24185,""-\d+(.*)|--\d+(.*)"","""")"),"LANDIGOU")</f>
        <v>LANDIGOU</v>
      </c>
      <c r="E24185" s="38" t="s">
        <v>141</v>
      </c>
      <c r="F24185" s="38" t="s">
        <v>138</v>
      </c>
      <c r="G24185" s="49" t="str">
        <f t="shared" si="1"/>
        <v>61100</v>
      </c>
      <c r="H24185" s="49">
        <f t="shared" si="2"/>
        <v>61221</v>
      </c>
    </row>
    <row r="24186">
      <c r="A24186" s="48" t="s">
        <v>9556</v>
      </c>
      <c r="B24186" s="38">
        <v>60136.0</v>
      </c>
      <c r="C24186" s="38" t="s">
        <v>28716</v>
      </c>
      <c r="D24186" s="38" t="str">
        <f>IFERROR(__xludf.DUMMYFUNCTION("REGEXREPLACE(C24186,""-\d+(.*)|--\d+(.*)"","""")"),"CEMPUIS")</f>
        <v>CEMPUIS</v>
      </c>
      <c r="E24186" s="38" t="s">
        <v>112</v>
      </c>
      <c r="F24186" s="38" t="s">
        <v>113</v>
      </c>
      <c r="G24186" s="49" t="str">
        <f t="shared" si="1"/>
        <v>60210</v>
      </c>
      <c r="H24186" s="49">
        <f t="shared" si="2"/>
        <v>60136</v>
      </c>
    </row>
    <row r="24187">
      <c r="A24187" s="48" t="s">
        <v>28717</v>
      </c>
      <c r="B24187" s="38">
        <v>8491.0</v>
      </c>
      <c r="C24187" s="38" t="s">
        <v>28718</v>
      </c>
      <c r="D24187" s="38" t="str">
        <f>IFERROR(__xludf.DUMMYFUNCTION("REGEXREPLACE(C24187,""-\d+(.*)|--\d+(.*)"","""")"),"VRIGNE-AUX-BOIS")</f>
        <v>VRIGNE-AUX-BOIS</v>
      </c>
      <c r="E24187" s="38" t="s">
        <v>327</v>
      </c>
      <c r="F24187" s="38" t="s">
        <v>130</v>
      </c>
      <c r="G24187" s="49" t="str">
        <f t="shared" si="1"/>
        <v>08330</v>
      </c>
      <c r="H24187" s="49" t="str">
        <f t="shared" si="2"/>
        <v>08491</v>
      </c>
    </row>
    <row r="24188">
      <c r="A24188" s="48" t="s">
        <v>18556</v>
      </c>
      <c r="B24188" s="38">
        <v>62192.0</v>
      </c>
      <c r="C24188" s="38" t="s">
        <v>28719</v>
      </c>
      <c r="D24188" s="38" t="str">
        <f>IFERROR(__xludf.DUMMYFUNCTION("REGEXREPLACE(C24188,""-\d+(.*)|--\d+(.*)"","""")"),"CAGNICOURT")</f>
        <v>CAGNICOURT</v>
      </c>
      <c r="E24188" s="38" t="s">
        <v>109</v>
      </c>
      <c r="F24188" s="38" t="s">
        <v>86</v>
      </c>
      <c r="G24188" s="49" t="str">
        <f t="shared" si="1"/>
        <v>62182</v>
      </c>
      <c r="H24188" s="49">
        <f t="shared" si="2"/>
        <v>62192</v>
      </c>
    </row>
    <row r="24189">
      <c r="A24189" s="48" t="s">
        <v>1781</v>
      </c>
      <c r="B24189" s="38">
        <v>27463.0</v>
      </c>
      <c r="C24189" s="38" t="s">
        <v>28720</v>
      </c>
      <c r="D24189" s="38" t="str">
        <f>IFERROR(__xludf.DUMMYFUNCTION("REGEXREPLACE(C24189,""-\d+(.*)|--\d+(.*)"","""")"),"PLASNES")</f>
        <v>PLASNES</v>
      </c>
      <c r="E24189" s="38" t="s">
        <v>241</v>
      </c>
      <c r="F24189" s="38" t="s">
        <v>134</v>
      </c>
      <c r="G24189" s="49" t="str">
        <f t="shared" si="1"/>
        <v>27300</v>
      </c>
      <c r="H24189" s="49">
        <f t="shared" si="2"/>
        <v>27463</v>
      </c>
    </row>
    <row r="24190">
      <c r="A24190" s="48" t="s">
        <v>3898</v>
      </c>
      <c r="B24190" s="38">
        <v>65339.0</v>
      </c>
      <c r="C24190" s="38" t="s">
        <v>28721</v>
      </c>
      <c r="D24190" s="38" t="str">
        <f>IFERROR(__xludf.DUMMYFUNCTION("REGEXREPLACE(C24190,""-\d+(.*)|--\d+(.*)"","""")"),"ORINCLES")</f>
        <v>ORINCLES</v>
      </c>
      <c r="E24190" s="38" t="s">
        <v>200</v>
      </c>
      <c r="F24190" s="38" t="s">
        <v>94</v>
      </c>
      <c r="G24190" s="49" t="str">
        <f t="shared" si="1"/>
        <v>65380</v>
      </c>
      <c r="H24190" s="49">
        <f t="shared" si="2"/>
        <v>65339</v>
      </c>
    </row>
    <row r="24191">
      <c r="A24191" s="48" t="s">
        <v>7393</v>
      </c>
      <c r="B24191" s="38">
        <v>42124.0</v>
      </c>
      <c r="C24191" s="38" t="s">
        <v>28722</v>
      </c>
      <c r="D24191" s="38" t="str">
        <f>IFERROR(__xludf.DUMMYFUNCTION("REGEXREPLACE(C24191,""-\d+(.*)|--\d+(.*)"","""")"),"LUPE")</f>
        <v>LUPE</v>
      </c>
      <c r="E24191" s="38" t="s">
        <v>166</v>
      </c>
      <c r="F24191" s="38" t="s">
        <v>102</v>
      </c>
      <c r="G24191" s="49" t="str">
        <f t="shared" si="1"/>
        <v>42520</v>
      </c>
      <c r="H24191" s="49">
        <f t="shared" si="2"/>
        <v>42124</v>
      </c>
    </row>
    <row r="24192">
      <c r="A24192" s="48" t="s">
        <v>1603</v>
      </c>
      <c r="B24192" s="38">
        <v>25103.0</v>
      </c>
      <c r="C24192" s="38" t="s">
        <v>28723</v>
      </c>
      <c r="D24192" s="38" t="str">
        <f>IFERROR(__xludf.DUMMYFUNCTION("REGEXREPLACE(C24192,""-\d+(.*)|--\d+(.*)"","""")"),"BUSY")</f>
        <v>BUSY</v>
      </c>
      <c r="E24192" s="38" t="s">
        <v>213</v>
      </c>
      <c r="F24192" s="38" t="s">
        <v>214</v>
      </c>
      <c r="G24192" s="49" t="str">
        <f t="shared" si="1"/>
        <v>25320</v>
      </c>
      <c r="H24192" s="49">
        <f t="shared" si="2"/>
        <v>25103</v>
      </c>
    </row>
    <row r="24193">
      <c r="A24193" s="48" t="s">
        <v>4900</v>
      </c>
      <c r="B24193" s="38">
        <v>33425.0</v>
      </c>
      <c r="C24193" s="38" t="s">
        <v>28724</v>
      </c>
      <c r="D24193" s="38" t="str">
        <f>IFERROR(__xludf.DUMMYFUNCTION("REGEXREPLACE(C24193,""-\d+(.*)|--\d+(.*)"","""")"),"SAINT-LAURENT-D'ARCE")</f>
        <v>SAINT-LAURENT-D'ARCE</v>
      </c>
      <c r="E24193" s="38" t="s">
        <v>462</v>
      </c>
      <c r="F24193" s="38" t="s">
        <v>252</v>
      </c>
      <c r="G24193" s="49" t="str">
        <f t="shared" si="1"/>
        <v>33240</v>
      </c>
      <c r="H24193" s="49">
        <f t="shared" si="2"/>
        <v>33425</v>
      </c>
    </row>
    <row r="24194">
      <c r="A24194" s="48" t="s">
        <v>7821</v>
      </c>
      <c r="B24194" s="38">
        <v>8155.0</v>
      </c>
      <c r="C24194" s="38" t="s">
        <v>28725</v>
      </c>
      <c r="D24194" s="38" t="str">
        <f>IFERROR(__xludf.DUMMYFUNCTION("REGEXREPLACE(C24194,""-\d+(.*)|--\d+(.*)"","""")"),"ETALLE")</f>
        <v>ETALLE</v>
      </c>
      <c r="E24194" s="38" t="s">
        <v>327</v>
      </c>
      <c r="F24194" s="38" t="s">
        <v>130</v>
      </c>
      <c r="G24194" s="49" t="str">
        <f t="shared" si="1"/>
        <v>08260</v>
      </c>
      <c r="H24194" s="49" t="str">
        <f t="shared" si="2"/>
        <v>08155</v>
      </c>
    </row>
    <row r="24195">
      <c r="A24195" s="48" t="s">
        <v>2087</v>
      </c>
      <c r="B24195" s="38">
        <v>88492.0</v>
      </c>
      <c r="C24195" s="38" t="s">
        <v>28726</v>
      </c>
      <c r="D24195" s="38" t="str">
        <f>IFERROR(__xludf.DUMMYFUNCTION("REGEXREPLACE(C24195,""-\d+(.*)|--\d+(.*)"","""")"),"LE VALTIN")</f>
        <v>LE VALTIN</v>
      </c>
      <c r="E24195" s="38" t="s">
        <v>194</v>
      </c>
      <c r="F24195" s="38" t="s">
        <v>195</v>
      </c>
      <c r="G24195" s="49" t="str">
        <f t="shared" si="1"/>
        <v>88230</v>
      </c>
      <c r="H24195" s="49">
        <f t="shared" si="2"/>
        <v>88492</v>
      </c>
    </row>
    <row r="24196">
      <c r="A24196" s="48" t="s">
        <v>16767</v>
      </c>
      <c r="B24196" s="38">
        <v>21297.0</v>
      </c>
      <c r="C24196" s="38" t="s">
        <v>28727</v>
      </c>
      <c r="D24196" s="38" t="str">
        <f>IFERROR(__xludf.DUMMYFUNCTION("REGEXREPLACE(C24196,""-\d+(.*)|--\d+(.*)"","""")"),"GILLY-LES-CITEAUX")</f>
        <v>GILLY-LES-CITEAUX</v>
      </c>
      <c r="E24196" s="38" t="s">
        <v>105</v>
      </c>
      <c r="F24196" s="38" t="s">
        <v>106</v>
      </c>
      <c r="G24196" s="49" t="str">
        <f t="shared" si="1"/>
        <v>21640</v>
      </c>
      <c r="H24196" s="49">
        <f t="shared" si="2"/>
        <v>21297</v>
      </c>
    </row>
    <row r="24197">
      <c r="A24197" s="48" t="s">
        <v>16436</v>
      </c>
      <c r="B24197" s="38">
        <v>11079.0</v>
      </c>
      <c r="C24197" s="38" t="s">
        <v>28728</v>
      </c>
      <c r="D24197" s="38" t="str">
        <f>IFERROR(__xludf.DUMMYFUNCTION("REGEXREPLACE(C24197,""-\d+(.*)|--\d+(.*)"","""")"),"CAUDEBRONDE")</f>
        <v>CAUDEBRONDE</v>
      </c>
      <c r="E24197" s="38" t="s">
        <v>278</v>
      </c>
      <c r="F24197" s="38" t="s">
        <v>119</v>
      </c>
      <c r="G24197" s="49" t="str">
        <f t="shared" si="1"/>
        <v>11390</v>
      </c>
      <c r="H24197" s="49">
        <f t="shared" si="2"/>
        <v>11079</v>
      </c>
    </row>
    <row r="24198">
      <c r="A24198" s="48" t="s">
        <v>5481</v>
      </c>
      <c r="B24198" s="38">
        <v>53172.0</v>
      </c>
      <c r="C24198" s="38" t="s">
        <v>5673</v>
      </c>
      <c r="D24198" s="38" t="str">
        <f>IFERROR(__xludf.DUMMYFUNCTION("REGEXREPLACE(C24198,""-\d+(.*)|--\d+(.*)"","""")"),"ORIGNE")</f>
        <v>ORIGNE</v>
      </c>
      <c r="E24198" s="38" t="s">
        <v>518</v>
      </c>
      <c r="F24198" s="38" t="s">
        <v>180</v>
      </c>
      <c r="G24198" s="49" t="str">
        <f t="shared" si="1"/>
        <v>53360</v>
      </c>
      <c r="H24198" s="49">
        <f t="shared" si="2"/>
        <v>53172</v>
      </c>
    </row>
    <row r="24199">
      <c r="A24199" s="48" t="s">
        <v>2905</v>
      </c>
      <c r="B24199" s="38">
        <v>21634.0</v>
      </c>
      <c r="C24199" s="38" t="s">
        <v>28729</v>
      </c>
      <c r="D24199" s="38" t="str">
        <f>IFERROR(__xludf.DUMMYFUNCTION("REGEXREPLACE(C24199,""-\d+(.*)|--\d+(.*)"","""")"),"THOREY-SUR-OUCHE")</f>
        <v>THOREY-SUR-OUCHE</v>
      </c>
      <c r="E24199" s="38" t="s">
        <v>105</v>
      </c>
      <c r="F24199" s="38" t="s">
        <v>106</v>
      </c>
      <c r="G24199" s="49" t="str">
        <f t="shared" si="1"/>
        <v>21360</v>
      </c>
      <c r="H24199" s="49">
        <f t="shared" si="2"/>
        <v>21634</v>
      </c>
    </row>
    <row r="24200">
      <c r="A24200" s="48" t="s">
        <v>5330</v>
      </c>
      <c r="B24200" s="38">
        <v>30010.0</v>
      </c>
      <c r="C24200" s="38" t="s">
        <v>28730</v>
      </c>
      <c r="D24200" s="38" t="str">
        <f>IFERROR(__xludf.DUMMYFUNCTION("REGEXREPLACE(C24200,""-\d+(.*)|--\d+(.*)"","""")"),"ANDUZE")</f>
        <v>ANDUZE</v>
      </c>
      <c r="E24200" s="38" t="s">
        <v>526</v>
      </c>
      <c r="F24200" s="38" t="s">
        <v>119</v>
      </c>
      <c r="G24200" s="49" t="str">
        <f t="shared" si="1"/>
        <v>30140</v>
      </c>
      <c r="H24200" s="49">
        <f t="shared" si="2"/>
        <v>30010</v>
      </c>
    </row>
    <row r="24201">
      <c r="A24201" s="48" t="s">
        <v>1524</v>
      </c>
      <c r="B24201" s="38">
        <v>25051.0</v>
      </c>
      <c r="C24201" s="38" t="s">
        <v>28731</v>
      </c>
      <c r="D24201" s="38" t="str">
        <f>IFERROR(__xludf.DUMMYFUNCTION("REGEXREPLACE(C24201,""-\d+(.*)|--\d+(.*)"","""")"),"BELLEHERBE")</f>
        <v>BELLEHERBE</v>
      </c>
      <c r="E24201" s="38" t="s">
        <v>213</v>
      </c>
      <c r="F24201" s="38" t="s">
        <v>214</v>
      </c>
      <c r="G24201" s="49" t="str">
        <f t="shared" si="1"/>
        <v>25380</v>
      </c>
      <c r="H24201" s="49">
        <f t="shared" si="2"/>
        <v>25051</v>
      </c>
    </row>
    <row r="24202">
      <c r="A24202" s="48" t="s">
        <v>5846</v>
      </c>
      <c r="B24202" s="38">
        <v>60548.0</v>
      </c>
      <c r="C24202" s="38" t="s">
        <v>28732</v>
      </c>
      <c r="D24202" s="38" t="str">
        <f>IFERROR(__xludf.DUMMYFUNCTION("REGEXREPLACE(C24202,""-\d+(.*)|--\d+(.*)"","""")"),"ROSOY-EN-MULTIEN")</f>
        <v>ROSOY-EN-MULTIEN</v>
      </c>
      <c r="E24202" s="38" t="s">
        <v>112</v>
      </c>
      <c r="F24202" s="38" t="s">
        <v>113</v>
      </c>
      <c r="G24202" s="49" t="str">
        <f t="shared" si="1"/>
        <v>60620</v>
      </c>
      <c r="H24202" s="49">
        <f t="shared" si="2"/>
        <v>60548</v>
      </c>
    </row>
    <row r="24203">
      <c r="A24203" s="48" t="s">
        <v>3264</v>
      </c>
      <c r="B24203" s="38">
        <v>69261.0</v>
      </c>
      <c r="C24203" s="38" t="s">
        <v>28733</v>
      </c>
      <c r="D24203" s="38" t="str">
        <f>IFERROR(__xludf.DUMMYFUNCTION("REGEXREPLACE(C24203,""-\d+(.*)|--\d+(.*)"","""")"),"VERNAY")</f>
        <v>VERNAY</v>
      </c>
      <c r="E24203" s="38" t="s">
        <v>350</v>
      </c>
      <c r="F24203" s="38" t="s">
        <v>102</v>
      </c>
      <c r="G24203" s="49" t="str">
        <f t="shared" si="1"/>
        <v>69430</v>
      </c>
      <c r="H24203" s="49">
        <f t="shared" si="2"/>
        <v>69261</v>
      </c>
    </row>
    <row r="24204">
      <c r="A24204" s="48" t="s">
        <v>11310</v>
      </c>
      <c r="B24204" s="38">
        <v>50395.0</v>
      </c>
      <c r="C24204" s="38" t="s">
        <v>28734</v>
      </c>
      <c r="D24204" s="38" t="str">
        <f>IFERROR(__xludf.DUMMYFUNCTION("REGEXREPLACE(C24204,""-\d+(.*)|--\d+(.*)"","""")"),"LA PERNELLE")</f>
        <v>LA PERNELLE</v>
      </c>
      <c r="E24204" s="38" t="s">
        <v>157</v>
      </c>
      <c r="F24204" s="38" t="s">
        <v>138</v>
      </c>
      <c r="G24204" s="49" t="str">
        <f t="shared" si="1"/>
        <v>50630</v>
      </c>
      <c r="H24204" s="49">
        <f t="shared" si="2"/>
        <v>50395</v>
      </c>
    </row>
    <row r="24205">
      <c r="A24205" s="48" t="s">
        <v>4203</v>
      </c>
      <c r="B24205" s="38">
        <v>77456.0</v>
      </c>
      <c r="C24205" s="38" t="s">
        <v>28735</v>
      </c>
      <c r="D24205" s="38" t="str">
        <f>IFERROR(__xludf.DUMMYFUNCTION("REGEXREPLACE(C24205,""-\d+(.*)|--\d+(.*)"","""")"),"SOISY-BOUY")</f>
        <v>SOISY-BOUY</v>
      </c>
      <c r="E24205" s="38" t="s">
        <v>244</v>
      </c>
      <c r="F24205" s="38" t="s">
        <v>245</v>
      </c>
      <c r="G24205" s="49" t="str">
        <f t="shared" si="1"/>
        <v>77650</v>
      </c>
      <c r="H24205" s="49">
        <f t="shared" si="2"/>
        <v>77456</v>
      </c>
    </row>
    <row r="24206">
      <c r="A24206" s="48" t="s">
        <v>16195</v>
      </c>
      <c r="B24206" s="38">
        <v>25473.0</v>
      </c>
      <c r="C24206" s="38" t="s">
        <v>28736</v>
      </c>
      <c r="D24206" s="38" t="str">
        <f>IFERROR(__xludf.DUMMYFUNCTION("REGEXREPLACE(C24206,""-\d+(.*)|--\d+(.*)"","""")"),"PUGEY")</f>
        <v>PUGEY</v>
      </c>
      <c r="E24206" s="38" t="s">
        <v>213</v>
      </c>
      <c r="F24206" s="38" t="s">
        <v>214</v>
      </c>
      <c r="G24206" s="49" t="str">
        <f t="shared" si="1"/>
        <v>25720</v>
      </c>
      <c r="H24206" s="49">
        <f t="shared" si="2"/>
        <v>25473</v>
      </c>
    </row>
    <row r="24207">
      <c r="A24207" s="48" t="s">
        <v>9484</v>
      </c>
      <c r="B24207" s="38">
        <v>61362.0</v>
      </c>
      <c r="C24207" s="38" t="s">
        <v>28737</v>
      </c>
      <c r="D24207" s="38" t="str">
        <f>IFERROR(__xludf.DUMMYFUNCTION("REGEXREPLACE(C24207,""-\d+(.*)|--\d+(.*)"","""")"),"SAINT-ANDRE-DE-MESSEI")</f>
        <v>SAINT-ANDRE-DE-MESSEI</v>
      </c>
      <c r="E24207" s="38" t="s">
        <v>141</v>
      </c>
      <c r="F24207" s="38" t="s">
        <v>138</v>
      </c>
      <c r="G24207" s="49" t="str">
        <f t="shared" si="1"/>
        <v>61440</v>
      </c>
      <c r="H24207" s="49">
        <f t="shared" si="2"/>
        <v>61362</v>
      </c>
    </row>
    <row r="24208">
      <c r="A24208" s="48" t="s">
        <v>12834</v>
      </c>
      <c r="B24208" s="38">
        <v>73260.0</v>
      </c>
      <c r="C24208" s="38" t="s">
        <v>28738</v>
      </c>
      <c r="D24208" s="38" t="str">
        <f>IFERROR(__xludf.DUMMYFUNCTION("REGEXREPLACE(C24208,""-\d+(.*)|--\d+(.*)"","""")"),"SAINT-MAURICE-DE-ROTHERENS")</f>
        <v>SAINT-MAURICE-DE-ROTHERENS</v>
      </c>
      <c r="E24208" s="38" t="s">
        <v>306</v>
      </c>
      <c r="F24208" s="38" t="s">
        <v>102</v>
      </c>
      <c r="G24208" s="49" t="str">
        <f t="shared" si="1"/>
        <v>73240</v>
      </c>
      <c r="H24208" s="49">
        <f t="shared" si="2"/>
        <v>73260</v>
      </c>
    </row>
    <row r="24209">
      <c r="A24209" s="48" t="s">
        <v>5223</v>
      </c>
      <c r="B24209" s="38">
        <v>65474.0</v>
      </c>
      <c r="C24209" s="38" t="s">
        <v>28739</v>
      </c>
      <c r="D24209" s="38" t="str">
        <f>IFERROR(__xludf.DUMMYFUNCTION("REGEXREPLACE(C24209,""-\d+(.*)|--\d+(.*)"","""")"),"VILLEMBITS")</f>
        <v>VILLEMBITS</v>
      </c>
      <c r="E24209" s="38" t="s">
        <v>200</v>
      </c>
      <c r="F24209" s="38" t="s">
        <v>94</v>
      </c>
      <c r="G24209" s="49" t="str">
        <f t="shared" si="1"/>
        <v>65220</v>
      </c>
      <c r="H24209" s="49">
        <f t="shared" si="2"/>
        <v>65474</v>
      </c>
    </row>
    <row r="24210">
      <c r="A24210" s="48" t="s">
        <v>1540</v>
      </c>
      <c r="B24210" s="38">
        <v>70207.0</v>
      </c>
      <c r="C24210" s="38" t="s">
        <v>28740</v>
      </c>
      <c r="D24210" s="38" t="str">
        <f>IFERROR(__xludf.DUMMYFUNCTION("REGEXREPLACE(C24210,""-\d+(.*)|--\d+(.*)"","""")"),"ECHENOZ-LA-MELINE")</f>
        <v>ECHENOZ-LA-MELINE</v>
      </c>
      <c r="E24210" s="38" t="s">
        <v>956</v>
      </c>
      <c r="F24210" s="38" t="s">
        <v>214</v>
      </c>
      <c r="G24210" s="49" t="str">
        <f t="shared" si="1"/>
        <v>70000</v>
      </c>
      <c r="H24210" s="49">
        <f t="shared" si="2"/>
        <v>70207</v>
      </c>
    </row>
    <row r="24211">
      <c r="A24211" s="48" t="s">
        <v>1239</v>
      </c>
      <c r="B24211" s="38">
        <v>2262.0</v>
      </c>
      <c r="C24211" s="38" t="s">
        <v>28741</v>
      </c>
      <c r="D24211" s="38" t="str">
        <f>IFERROR(__xludf.DUMMYFUNCTION("REGEXREPLACE(C24211,""-\d+(.*)|--\d+(.*)"","""")"),"DEUILLET")</f>
        <v>DEUILLET</v>
      </c>
      <c r="E24211" s="38" t="s">
        <v>191</v>
      </c>
      <c r="F24211" s="38" t="s">
        <v>113</v>
      </c>
      <c r="G24211" s="49" t="str">
        <f t="shared" si="1"/>
        <v>02700</v>
      </c>
      <c r="H24211" s="49" t="str">
        <f t="shared" si="2"/>
        <v>02262</v>
      </c>
    </row>
    <row r="24212">
      <c r="A24212" s="48" t="s">
        <v>6316</v>
      </c>
      <c r="B24212" s="38">
        <v>50478.0</v>
      </c>
      <c r="C24212" s="38" t="s">
        <v>28742</v>
      </c>
      <c r="D24212" s="38" t="str">
        <f>IFERROR(__xludf.DUMMYFUNCTION("REGEXREPLACE(C24212,""-\d+(.*)|--\d+(.*)"","""")"),"SAINT-GERMAIN-DE-TOURNEBUT")</f>
        <v>SAINT-GERMAIN-DE-TOURNEBUT</v>
      </c>
      <c r="E24212" s="38" t="s">
        <v>157</v>
      </c>
      <c r="F24212" s="38" t="s">
        <v>138</v>
      </c>
      <c r="G24212" s="49" t="str">
        <f t="shared" si="1"/>
        <v>50700</v>
      </c>
      <c r="H24212" s="49">
        <f t="shared" si="2"/>
        <v>50478</v>
      </c>
    </row>
    <row r="24213">
      <c r="A24213" s="48" t="s">
        <v>28743</v>
      </c>
      <c r="B24213" s="38">
        <v>2749.0</v>
      </c>
      <c r="C24213" s="38" t="s">
        <v>28744</v>
      </c>
      <c r="D24213" s="38" t="str">
        <f>IFERROR(__xludf.DUMMYFUNCTION("REGEXREPLACE(C24213,""-\d+(.*)|--\d+(.*)"","""")"),"TROESNES")</f>
        <v>TROESNES</v>
      </c>
      <c r="E24213" s="38" t="s">
        <v>191</v>
      </c>
      <c r="F24213" s="38" t="s">
        <v>113</v>
      </c>
      <c r="G24213" s="49" t="str">
        <f t="shared" si="1"/>
        <v>02460</v>
      </c>
      <c r="H24213" s="49" t="str">
        <f t="shared" si="2"/>
        <v>02749</v>
      </c>
    </row>
    <row r="24214">
      <c r="A24214" s="48" t="s">
        <v>5743</v>
      </c>
      <c r="B24214" s="38">
        <v>52549.0</v>
      </c>
      <c r="C24214" s="38" t="s">
        <v>28745</v>
      </c>
      <c r="D24214" s="38" t="str">
        <f>IFERROR(__xludf.DUMMYFUNCTION("REGEXREPLACE(C24214,""-\d+(.*)|--\d+(.*)"","""")"),"VRONCOURT-LA-COTE")</f>
        <v>VRONCOURT-LA-COTE</v>
      </c>
      <c r="E24214" s="38" t="s">
        <v>234</v>
      </c>
      <c r="F24214" s="38" t="s">
        <v>130</v>
      </c>
      <c r="G24214" s="49" t="str">
        <f t="shared" si="1"/>
        <v>52240</v>
      </c>
      <c r="H24214" s="49">
        <f t="shared" si="2"/>
        <v>52549</v>
      </c>
    </row>
    <row r="24215">
      <c r="A24215" s="48" t="s">
        <v>15941</v>
      </c>
      <c r="B24215" s="38">
        <v>71413.0</v>
      </c>
      <c r="C24215" s="38" t="s">
        <v>3456</v>
      </c>
      <c r="D24215" s="38" t="str">
        <f>IFERROR(__xludf.DUMMYFUNCTION("REGEXREPLACE(C24215,""-\d+(.*)|--\d+(.*)"","""")"),"SAINT-FIRMIN")</f>
        <v>SAINT-FIRMIN</v>
      </c>
      <c r="E24215" s="38" t="s">
        <v>344</v>
      </c>
      <c r="F24215" s="38" t="s">
        <v>106</v>
      </c>
      <c r="G24215" s="49" t="str">
        <f t="shared" si="1"/>
        <v>71670</v>
      </c>
      <c r="H24215" s="49">
        <f t="shared" si="2"/>
        <v>71413</v>
      </c>
    </row>
    <row r="24216">
      <c r="A24216" s="48" t="s">
        <v>2757</v>
      </c>
      <c r="B24216" s="38">
        <v>24380.0</v>
      </c>
      <c r="C24216" s="38" t="s">
        <v>28746</v>
      </c>
      <c r="D24216" s="38" t="str">
        <f>IFERROR(__xludf.DUMMYFUNCTION("REGEXREPLACE(C24216,""-\d+(.*)|--\d+(.*)"","""")"),"SAINT-BARTHELEMY-DE-BELLEGARDE")</f>
        <v>SAINT-BARTHELEMY-DE-BELLEGARDE</v>
      </c>
      <c r="E24216" s="38" t="s">
        <v>261</v>
      </c>
      <c r="F24216" s="38" t="s">
        <v>252</v>
      </c>
      <c r="G24216" s="49" t="str">
        <f t="shared" si="1"/>
        <v>24700</v>
      </c>
      <c r="H24216" s="49">
        <f t="shared" si="2"/>
        <v>24380</v>
      </c>
    </row>
    <row r="24217">
      <c r="A24217" s="48" t="s">
        <v>378</v>
      </c>
      <c r="B24217" s="38">
        <v>37178.0</v>
      </c>
      <c r="C24217" s="38" t="s">
        <v>28747</v>
      </c>
      <c r="D24217" s="38" t="str">
        <f>IFERROR(__xludf.DUMMYFUNCTION("REGEXREPLACE(C24217,""-\d+(.*)|--\d+(.*)"","""")"),"PANZOULT")</f>
        <v>PANZOULT</v>
      </c>
      <c r="E24217" s="38" t="s">
        <v>205</v>
      </c>
      <c r="F24217" s="38" t="s">
        <v>123</v>
      </c>
      <c r="G24217" s="49" t="str">
        <f t="shared" si="1"/>
        <v>37220</v>
      </c>
      <c r="H24217" s="49">
        <f t="shared" si="2"/>
        <v>37178</v>
      </c>
    </row>
    <row r="24218">
      <c r="A24218" s="48" t="s">
        <v>1387</v>
      </c>
      <c r="B24218" s="38">
        <v>42213.0</v>
      </c>
      <c r="C24218" s="38" t="s">
        <v>28748</v>
      </c>
      <c r="D24218" s="38" t="str">
        <f>IFERROR(__xludf.DUMMYFUNCTION("REGEXREPLACE(C24218,""-\d+(.*)|--\d+(.*)"","""")"),"SAINT-CYR-DE-VALORGES")</f>
        <v>SAINT-CYR-DE-VALORGES</v>
      </c>
      <c r="E24218" s="38" t="s">
        <v>166</v>
      </c>
      <c r="F24218" s="38" t="s">
        <v>102</v>
      </c>
      <c r="G24218" s="49" t="str">
        <f t="shared" si="1"/>
        <v>42114</v>
      </c>
      <c r="H24218" s="49">
        <f t="shared" si="2"/>
        <v>42213</v>
      </c>
    </row>
    <row r="24219">
      <c r="A24219" s="48" t="s">
        <v>4867</v>
      </c>
      <c r="B24219" s="38">
        <v>82102.0</v>
      </c>
      <c r="C24219" s="38" t="s">
        <v>28749</v>
      </c>
      <c r="D24219" s="38" t="str">
        <f>IFERROR(__xludf.DUMMYFUNCTION("REGEXREPLACE(C24219,""-\d+(.*)|--\d+(.*)"","""")"),"MANSONVILLE")</f>
        <v>MANSONVILLE</v>
      </c>
      <c r="E24219" s="38" t="s">
        <v>570</v>
      </c>
      <c r="F24219" s="38" t="s">
        <v>94</v>
      </c>
      <c r="G24219" s="49" t="str">
        <f t="shared" si="1"/>
        <v>82120</v>
      </c>
      <c r="H24219" s="49">
        <f t="shared" si="2"/>
        <v>82102</v>
      </c>
    </row>
    <row r="24220">
      <c r="A24220" s="48" t="s">
        <v>229</v>
      </c>
      <c r="B24220" s="38">
        <v>81293.0</v>
      </c>
      <c r="C24220" s="38" t="s">
        <v>28750</v>
      </c>
      <c r="D24220" s="38" t="str">
        <f>IFERROR(__xludf.DUMMYFUNCTION("REGEXREPLACE(C24220,""-\d+(.*)|--\d+(.*)"","""")"),"TAURIAC")</f>
        <v>TAURIAC</v>
      </c>
      <c r="E24220" s="38" t="s">
        <v>231</v>
      </c>
      <c r="F24220" s="38" t="s">
        <v>94</v>
      </c>
      <c r="G24220" s="49" t="str">
        <f t="shared" si="1"/>
        <v>81630</v>
      </c>
      <c r="H24220" s="49">
        <f t="shared" si="2"/>
        <v>81293</v>
      </c>
    </row>
    <row r="24221">
      <c r="A24221" s="48" t="s">
        <v>2619</v>
      </c>
      <c r="B24221" s="38">
        <v>71366.0</v>
      </c>
      <c r="C24221" s="38" t="s">
        <v>28751</v>
      </c>
      <c r="D24221" s="38" t="str">
        <f>IFERROR(__xludf.DUMMYFUNCTION("REGEXREPLACE(C24221,""-\d+(.*)|--\d+(.*)"","""")"),"RATENELLE")</f>
        <v>RATENELLE</v>
      </c>
      <c r="E24221" s="38" t="s">
        <v>344</v>
      </c>
      <c r="F24221" s="38" t="s">
        <v>106</v>
      </c>
      <c r="G24221" s="49" t="str">
        <f t="shared" si="1"/>
        <v>71290</v>
      </c>
      <c r="H24221" s="49">
        <f t="shared" si="2"/>
        <v>71366</v>
      </c>
    </row>
    <row r="24222">
      <c r="A24222" s="48" t="s">
        <v>2290</v>
      </c>
      <c r="B24222" s="38">
        <v>38077.0</v>
      </c>
      <c r="C24222" s="38" t="s">
        <v>28752</v>
      </c>
      <c r="D24222" s="38" t="str">
        <f>IFERROR(__xludf.DUMMYFUNCTION("REGEXREPLACE(C24222,""-\d+(.*)|--\d+(.*)"","""")"),"LA CHAPELLE-DE-SURIEU")</f>
        <v>LA CHAPELLE-DE-SURIEU</v>
      </c>
      <c r="E24222" s="38" t="s">
        <v>101</v>
      </c>
      <c r="F24222" s="38" t="s">
        <v>102</v>
      </c>
      <c r="G24222" s="49" t="str">
        <f t="shared" si="1"/>
        <v>38150</v>
      </c>
      <c r="H24222" s="49">
        <f t="shared" si="2"/>
        <v>38077</v>
      </c>
    </row>
    <row r="24223">
      <c r="A24223" s="48" t="s">
        <v>8100</v>
      </c>
      <c r="B24223" s="38">
        <v>91553.0</v>
      </c>
      <c r="C24223" s="38" t="s">
        <v>28753</v>
      </c>
      <c r="D24223" s="38" t="str">
        <f>IFERROR(__xludf.DUMMYFUNCTION("REGEXREPLACE(C24223,""-\d+(.*)|--\d+(.*)"","""")"),"SAINT-GERMAIN-LES-CORBEIL")</f>
        <v>SAINT-GERMAIN-LES-CORBEIL</v>
      </c>
      <c r="E24223" s="38" t="s">
        <v>756</v>
      </c>
      <c r="F24223" s="38" t="s">
        <v>245</v>
      </c>
      <c r="G24223" s="49" t="str">
        <f t="shared" si="1"/>
        <v>91250</v>
      </c>
      <c r="H24223" s="49">
        <f t="shared" si="2"/>
        <v>91553</v>
      </c>
    </row>
    <row r="24224">
      <c r="A24224" s="48" t="s">
        <v>12433</v>
      </c>
      <c r="B24224" s="38">
        <v>18157.0</v>
      </c>
      <c r="C24224" s="38" t="s">
        <v>28754</v>
      </c>
      <c r="D24224" s="38" t="str">
        <f>IFERROR(__xludf.DUMMYFUNCTION("REGEXREPLACE(C24224,""-\d+(.*)|--\d+(.*)"","""")"),"MORTHOMIERS")</f>
        <v>MORTHOMIERS</v>
      </c>
      <c r="E24224" s="38" t="s">
        <v>504</v>
      </c>
      <c r="F24224" s="38" t="s">
        <v>123</v>
      </c>
      <c r="G24224" s="49" t="str">
        <f t="shared" si="1"/>
        <v>18570</v>
      </c>
      <c r="H24224" s="49">
        <f t="shared" si="2"/>
        <v>18157</v>
      </c>
    </row>
    <row r="24225">
      <c r="A24225" s="48" t="s">
        <v>1174</v>
      </c>
      <c r="B24225" s="38">
        <v>51446.0</v>
      </c>
      <c r="C24225" s="38" t="s">
        <v>14107</v>
      </c>
      <c r="D24225" s="38" t="str">
        <f>IFERROR(__xludf.DUMMYFUNCTION("REGEXREPLACE(C24225,""-\d+(.*)|--\d+(.*)"","""")"),"PRINGY")</f>
        <v>PRINGY</v>
      </c>
      <c r="E24225" s="38" t="s">
        <v>129</v>
      </c>
      <c r="F24225" s="38" t="s">
        <v>130</v>
      </c>
      <c r="G24225" s="49" t="str">
        <f t="shared" si="1"/>
        <v>51300</v>
      </c>
      <c r="H24225" s="49">
        <f t="shared" si="2"/>
        <v>51446</v>
      </c>
    </row>
    <row r="24226">
      <c r="A24226" s="48" t="s">
        <v>386</v>
      </c>
      <c r="B24226" s="38">
        <v>21183.0</v>
      </c>
      <c r="C24226" s="38" t="s">
        <v>28755</v>
      </c>
      <c r="D24226" s="38" t="str">
        <f>IFERROR(__xludf.DUMMYFUNCTION("REGEXREPLACE(C24226,""-\d+(.*)|--\d+(.*)"","""")"),"COLLONGES-LES-PREMIERES")</f>
        <v>COLLONGES-LES-PREMIERES</v>
      </c>
      <c r="E24226" s="38" t="s">
        <v>105</v>
      </c>
      <c r="F24226" s="38" t="s">
        <v>106</v>
      </c>
      <c r="G24226" s="49" t="str">
        <f t="shared" si="1"/>
        <v>21110</v>
      </c>
      <c r="H24226" s="49">
        <f t="shared" si="2"/>
        <v>21183</v>
      </c>
    </row>
    <row r="24227">
      <c r="A24227" s="48" t="s">
        <v>28756</v>
      </c>
      <c r="B24227" s="38">
        <v>16400.0</v>
      </c>
      <c r="C24227" s="38" t="s">
        <v>28757</v>
      </c>
      <c r="D24227" s="38" t="str">
        <f>IFERROR(__xludf.DUMMYFUNCTION("REGEXREPLACE(C24227,""-\d+(.*)|--\d+(.*)"","""")"),"VERTEUIL-SUR-CHARENTE")</f>
        <v>VERTEUIL-SUR-CHARENTE</v>
      </c>
      <c r="E24227" s="38" t="s">
        <v>429</v>
      </c>
      <c r="F24227" s="38" t="s">
        <v>338</v>
      </c>
      <c r="G24227" s="49" t="str">
        <f t="shared" si="1"/>
        <v>16510</v>
      </c>
      <c r="H24227" s="49">
        <f t="shared" si="2"/>
        <v>16400</v>
      </c>
    </row>
    <row r="24228">
      <c r="A24228" s="48" t="s">
        <v>2272</v>
      </c>
      <c r="B24228" s="38">
        <v>27626.0</v>
      </c>
      <c r="C24228" s="38" t="s">
        <v>28758</v>
      </c>
      <c r="D24228" s="38" t="str">
        <f>IFERROR(__xludf.DUMMYFUNCTION("REGEXREPLACE(C24228,""-\d+(.*)|--\d+(.*)"","""")"),"THEILLEMENT")</f>
        <v>THEILLEMENT</v>
      </c>
      <c r="E24228" s="38" t="s">
        <v>241</v>
      </c>
      <c r="F24228" s="38" t="s">
        <v>134</v>
      </c>
      <c r="G24228" s="49" t="str">
        <f t="shared" si="1"/>
        <v>27520</v>
      </c>
      <c r="H24228" s="49">
        <f t="shared" si="2"/>
        <v>27626</v>
      </c>
    </row>
    <row r="24229">
      <c r="A24229" s="48" t="s">
        <v>8584</v>
      </c>
      <c r="B24229" s="38">
        <v>59169.0</v>
      </c>
      <c r="C24229" s="38" t="s">
        <v>28759</v>
      </c>
      <c r="D24229" s="38" t="str">
        <f>IFERROR(__xludf.DUMMYFUNCTION("REGEXREPLACE(C24229,""-\d+(.*)|--\d+(.*)"","""")"),"DAMOUSIES")</f>
        <v>DAMOUSIES</v>
      </c>
      <c r="E24229" s="38" t="s">
        <v>85</v>
      </c>
      <c r="F24229" s="38" t="s">
        <v>86</v>
      </c>
      <c r="G24229" s="49" t="str">
        <f t="shared" si="1"/>
        <v>59680</v>
      </c>
      <c r="H24229" s="49">
        <f t="shared" si="2"/>
        <v>59169</v>
      </c>
    </row>
    <row r="24230">
      <c r="A24230" s="48" t="s">
        <v>7048</v>
      </c>
      <c r="B24230" s="38">
        <v>71282.0</v>
      </c>
      <c r="C24230" s="38" t="s">
        <v>18222</v>
      </c>
      <c r="D24230" s="38" t="str">
        <f>IFERROR(__xludf.DUMMYFUNCTION("REGEXREPLACE(C24230,""-\d+(.*)|--\d+(.*)"","""")"),"MARMAGNE")</f>
        <v>MARMAGNE</v>
      </c>
      <c r="E24230" s="38" t="s">
        <v>344</v>
      </c>
      <c r="F24230" s="38" t="s">
        <v>106</v>
      </c>
      <c r="G24230" s="49" t="str">
        <f t="shared" si="1"/>
        <v>71710</v>
      </c>
      <c r="H24230" s="49">
        <f t="shared" si="2"/>
        <v>71282</v>
      </c>
    </row>
    <row r="24231">
      <c r="A24231" s="48" t="s">
        <v>4099</v>
      </c>
      <c r="B24231" s="38">
        <v>12170.0</v>
      </c>
      <c r="C24231" s="38" t="s">
        <v>28760</v>
      </c>
      <c r="D24231" s="38" t="str">
        <f>IFERROR(__xludf.DUMMYFUNCTION("REGEXREPLACE(C24231,""-\d+(.*)|--\d+(.*)"","""")"),"NAUSSAC")</f>
        <v>NAUSSAC</v>
      </c>
      <c r="E24231" s="38" t="s">
        <v>465</v>
      </c>
      <c r="F24231" s="38" t="s">
        <v>94</v>
      </c>
      <c r="G24231" s="49" t="str">
        <f t="shared" si="1"/>
        <v>12700</v>
      </c>
      <c r="H24231" s="49">
        <f t="shared" si="2"/>
        <v>12170</v>
      </c>
    </row>
    <row r="24232">
      <c r="A24232" s="48" t="s">
        <v>20175</v>
      </c>
      <c r="B24232" s="38">
        <v>33356.0</v>
      </c>
      <c r="C24232" s="38" t="s">
        <v>16259</v>
      </c>
      <c r="D24232" s="38" t="str">
        <f>IFERROR(__xludf.DUMMYFUNCTION("REGEXREPLACE(C24232,""-\d+(.*)|--\d+(.*)"","""")"),"LA RIVIERE")</f>
        <v>LA RIVIERE</v>
      </c>
      <c r="E24232" s="38" t="s">
        <v>462</v>
      </c>
      <c r="F24232" s="38" t="s">
        <v>252</v>
      </c>
      <c r="G24232" s="49" t="str">
        <f t="shared" si="1"/>
        <v>33126</v>
      </c>
      <c r="H24232" s="49">
        <f t="shared" si="2"/>
        <v>33356</v>
      </c>
    </row>
    <row r="24233">
      <c r="A24233" s="48" t="s">
        <v>3321</v>
      </c>
      <c r="B24233" s="38">
        <v>47311.0</v>
      </c>
      <c r="C24233" s="38" t="s">
        <v>28761</v>
      </c>
      <c r="D24233" s="38" t="str">
        <f>IFERROR(__xludf.DUMMYFUNCTION("REGEXREPLACE(C24233,""-\d+(.*)|--\d+(.*)"","""")"),"TOURLIAC")</f>
        <v>TOURLIAC</v>
      </c>
      <c r="E24233" s="38" t="s">
        <v>251</v>
      </c>
      <c r="F24233" s="38" t="s">
        <v>252</v>
      </c>
      <c r="G24233" s="49" t="str">
        <f t="shared" si="1"/>
        <v>47210</v>
      </c>
      <c r="H24233" s="49">
        <f t="shared" si="2"/>
        <v>47311</v>
      </c>
    </row>
    <row r="24234">
      <c r="A24234" s="48" t="s">
        <v>4238</v>
      </c>
      <c r="B24234" s="38">
        <v>54315.0</v>
      </c>
      <c r="C24234" s="38" t="s">
        <v>28762</v>
      </c>
      <c r="D24234" s="38" t="str">
        <f>IFERROR(__xludf.DUMMYFUNCTION("REGEXREPLACE(C24234,""-\d+(.*)|--\d+(.*)"","""")"),"LEYR")</f>
        <v>LEYR</v>
      </c>
      <c r="E24234" s="38" t="s">
        <v>548</v>
      </c>
      <c r="F24234" s="38" t="s">
        <v>195</v>
      </c>
      <c r="G24234" s="49" t="str">
        <f t="shared" si="1"/>
        <v>54760</v>
      </c>
      <c r="H24234" s="49">
        <f t="shared" si="2"/>
        <v>54315</v>
      </c>
    </row>
    <row r="24235">
      <c r="A24235" s="48" t="s">
        <v>2259</v>
      </c>
      <c r="B24235" s="38">
        <v>22386.0</v>
      </c>
      <c r="C24235" s="38" t="s">
        <v>28763</v>
      </c>
      <c r="D24235" s="38" t="str">
        <f>IFERROR(__xludf.DUMMYFUNCTION("REGEXREPLACE(C24235,""-\d+(.*)|--\d+(.*)"","""")"),"LE VIEUX-BOURG")</f>
        <v>LE VIEUX-BOURG</v>
      </c>
      <c r="E24235" s="38" t="s">
        <v>89</v>
      </c>
      <c r="F24235" s="38" t="s">
        <v>90</v>
      </c>
      <c r="G24235" s="49" t="str">
        <f t="shared" si="1"/>
        <v>22800</v>
      </c>
      <c r="H24235" s="49">
        <f t="shared" si="2"/>
        <v>22386</v>
      </c>
    </row>
    <row r="24236">
      <c r="A24236" s="48" t="s">
        <v>9430</v>
      </c>
      <c r="B24236" s="38">
        <v>24174.0</v>
      </c>
      <c r="C24236" s="38" t="s">
        <v>28764</v>
      </c>
      <c r="D24236" s="38" t="str">
        <f>IFERROR(__xludf.DUMMYFUNCTION("REGEXREPLACE(C24236,""-\d+(.*)|--\d+(.*)"","""")"),"FANLAC")</f>
        <v>FANLAC</v>
      </c>
      <c r="E24236" s="38" t="s">
        <v>261</v>
      </c>
      <c r="F24236" s="38" t="s">
        <v>252</v>
      </c>
      <c r="G24236" s="49" t="str">
        <f t="shared" si="1"/>
        <v>24290</v>
      </c>
      <c r="H24236" s="49">
        <f t="shared" si="2"/>
        <v>24174</v>
      </c>
    </row>
    <row r="24237">
      <c r="A24237" s="48" t="s">
        <v>9373</v>
      </c>
      <c r="B24237" s="38">
        <v>84002.0</v>
      </c>
      <c r="C24237" s="38" t="s">
        <v>28765</v>
      </c>
      <c r="D24237" s="38" t="str">
        <f>IFERROR(__xludf.DUMMYFUNCTION("REGEXREPLACE(C24237,""-\d+(.*)|--\d+(.*)"","""")"),"ANSOUIS")</f>
        <v>ANSOUIS</v>
      </c>
      <c r="E24237" s="38" t="s">
        <v>1026</v>
      </c>
      <c r="F24237" s="38" t="s">
        <v>228</v>
      </c>
      <c r="G24237" s="49" t="str">
        <f t="shared" si="1"/>
        <v>84240</v>
      </c>
      <c r="H24237" s="49">
        <f t="shared" si="2"/>
        <v>84002</v>
      </c>
    </row>
    <row r="24238">
      <c r="A24238" s="48" t="s">
        <v>28663</v>
      </c>
      <c r="B24238" s="38">
        <v>63053.0</v>
      </c>
      <c r="C24238" s="38" t="s">
        <v>28766</v>
      </c>
      <c r="D24238" s="38" t="str">
        <f>IFERROR(__xludf.DUMMYFUNCTION("REGEXREPLACE(C24238,""-\d+(.*)|--\d+(.*)"","""")"),"BRIFFONS")</f>
        <v>BRIFFONS</v>
      </c>
      <c r="E24238" s="38" t="s">
        <v>353</v>
      </c>
      <c r="F24238" s="38" t="s">
        <v>161</v>
      </c>
      <c r="G24238" s="49" t="str">
        <f t="shared" si="1"/>
        <v>63820</v>
      </c>
      <c r="H24238" s="49">
        <f t="shared" si="2"/>
        <v>63053</v>
      </c>
    </row>
    <row r="24239">
      <c r="A24239" s="48" t="s">
        <v>4733</v>
      </c>
      <c r="B24239" s="38">
        <v>38102.0</v>
      </c>
      <c r="C24239" s="38" t="s">
        <v>28767</v>
      </c>
      <c r="D24239" s="38" t="str">
        <f>IFERROR(__xludf.DUMMYFUNCTION("REGEXREPLACE(C24239,""-\d+(.*)|--\d+(.*)"","""")"),"CHEZENEUVE")</f>
        <v>CHEZENEUVE</v>
      </c>
      <c r="E24239" s="38" t="s">
        <v>101</v>
      </c>
      <c r="F24239" s="38" t="s">
        <v>102</v>
      </c>
      <c r="G24239" s="49" t="str">
        <f t="shared" si="1"/>
        <v>38300</v>
      </c>
      <c r="H24239" s="49">
        <f t="shared" si="2"/>
        <v>38102</v>
      </c>
    </row>
    <row r="24240">
      <c r="A24240" s="48" t="s">
        <v>1327</v>
      </c>
      <c r="B24240" s="38">
        <v>51523.0</v>
      </c>
      <c r="C24240" s="38" t="s">
        <v>28768</v>
      </c>
      <c r="D24240" s="38" t="str">
        <f>IFERROR(__xludf.DUMMYFUNCTION("REGEXREPLACE(C24240,""-\d+(.*)|--\d+(.*)"","""")"),"SARCY")</f>
        <v>SARCY</v>
      </c>
      <c r="E24240" s="38" t="s">
        <v>129</v>
      </c>
      <c r="F24240" s="38" t="s">
        <v>130</v>
      </c>
      <c r="G24240" s="49" t="str">
        <f t="shared" si="1"/>
        <v>51170</v>
      </c>
      <c r="H24240" s="49">
        <f t="shared" si="2"/>
        <v>51523</v>
      </c>
    </row>
    <row r="24241">
      <c r="A24241" s="48" t="s">
        <v>14379</v>
      </c>
      <c r="B24241" s="38">
        <v>35229.0</v>
      </c>
      <c r="C24241" s="38" t="s">
        <v>28769</v>
      </c>
      <c r="D24241" s="38" t="str">
        <f>IFERROR(__xludf.DUMMYFUNCTION("REGEXREPLACE(C24241,""-\d+(.*)|--\d+(.*)"","""")"),"POCE-LES-BOIS")</f>
        <v>POCE-LES-BOIS</v>
      </c>
      <c r="E24241" s="38" t="s">
        <v>347</v>
      </c>
      <c r="F24241" s="38" t="s">
        <v>90</v>
      </c>
      <c r="G24241" s="49" t="str">
        <f t="shared" si="1"/>
        <v>35500</v>
      </c>
      <c r="H24241" s="49">
        <f t="shared" si="2"/>
        <v>35229</v>
      </c>
    </row>
    <row r="24242">
      <c r="A24242" s="48" t="s">
        <v>3287</v>
      </c>
      <c r="B24242" s="38">
        <v>1139.0</v>
      </c>
      <c r="C24242" s="38" t="s">
        <v>28770</v>
      </c>
      <c r="D24242" s="38" t="str">
        <f>IFERROR(__xludf.DUMMYFUNCTION("REGEXREPLACE(C24242,""-\d+(.*)|--\d+(.*)"","""")"),"CURCIAT-DONGALON")</f>
        <v>CURCIAT-DONGALON</v>
      </c>
      <c r="E24242" s="38" t="s">
        <v>255</v>
      </c>
      <c r="F24242" s="38" t="s">
        <v>102</v>
      </c>
      <c r="G24242" s="49" t="str">
        <f t="shared" si="1"/>
        <v>01560</v>
      </c>
      <c r="H24242" s="49" t="str">
        <f t="shared" si="2"/>
        <v>01139</v>
      </c>
    </row>
    <row r="24243">
      <c r="A24243" s="48" t="s">
        <v>4121</v>
      </c>
      <c r="B24243" s="38">
        <v>11288.0</v>
      </c>
      <c r="C24243" s="38" t="s">
        <v>28771</v>
      </c>
      <c r="D24243" s="38" t="str">
        <f>IFERROR(__xludf.DUMMYFUNCTION("REGEXREPLACE(C24243,""-\d+(.*)|--\d+(.*)"","""")"),"PEZENS")</f>
        <v>PEZENS</v>
      </c>
      <c r="E24243" s="38" t="s">
        <v>278</v>
      </c>
      <c r="F24243" s="38" t="s">
        <v>119</v>
      </c>
      <c r="G24243" s="49" t="str">
        <f t="shared" si="1"/>
        <v>11170</v>
      </c>
      <c r="H24243" s="49">
        <f t="shared" si="2"/>
        <v>11288</v>
      </c>
    </row>
    <row r="24244">
      <c r="A24244" s="48" t="s">
        <v>5257</v>
      </c>
      <c r="B24244" s="38">
        <v>15086.0</v>
      </c>
      <c r="C24244" s="38" t="s">
        <v>28772</v>
      </c>
      <c r="D24244" s="38" t="str">
        <f>IFERROR(__xludf.DUMMYFUNCTION("REGEXREPLACE(C24244,""-\d+(.*)|--\d+(.*)"","""")"),"LACAPELLE-BARRES")</f>
        <v>LACAPELLE-BARRES</v>
      </c>
      <c r="E24244" s="38" t="s">
        <v>632</v>
      </c>
      <c r="F24244" s="38" t="s">
        <v>161</v>
      </c>
      <c r="G24244" s="49" t="str">
        <f t="shared" si="1"/>
        <v>15230</v>
      </c>
      <c r="H24244" s="49">
        <f t="shared" si="2"/>
        <v>15086</v>
      </c>
    </row>
    <row r="24245">
      <c r="A24245" s="48" t="s">
        <v>342</v>
      </c>
      <c r="B24245" s="38">
        <v>71518.0</v>
      </c>
      <c r="C24245" s="38" t="s">
        <v>25043</v>
      </c>
      <c r="D24245" s="38" t="str">
        <f>IFERROR(__xludf.DUMMYFUNCTION("REGEXREPLACE(C24245,""-\d+(.*)|--\d+(.*)"","""")"),"SERRIERES")</f>
        <v>SERRIERES</v>
      </c>
      <c r="E24245" s="38" t="s">
        <v>344</v>
      </c>
      <c r="F24245" s="38" t="s">
        <v>106</v>
      </c>
      <c r="G24245" s="49" t="str">
        <f t="shared" si="1"/>
        <v>71960</v>
      </c>
      <c r="H24245" s="49">
        <f t="shared" si="2"/>
        <v>71518</v>
      </c>
    </row>
    <row r="24246">
      <c r="A24246" s="48" t="s">
        <v>6271</v>
      </c>
      <c r="B24246" s="38">
        <v>66153.0</v>
      </c>
      <c r="C24246" s="38" t="s">
        <v>28773</v>
      </c>
      <c r="D24246" s="38" t="str">
        <f>IFERROR(__xludf.DUMMYFUNCTION("REGEXREPLACE(C24246,""-\d+(.*)|--\d+(.*)"","""")"),"PRUNET-ET-BELPUIG")</f>
        <v>PRUNET-ET-BELPUIG</v>
      </c>
      <c r="E24246" s="38" t="s">
        <v>248</v>
      </c>
      <c r="F24246" s="38" t="s">
        <v>119</v>
      </c>
      <c r="G24246" s="49" t="str">
        <f t="shared" si="1"/>
        <v>66130</v>
      </c>
      <c r="H24246" s="49">
        <f t="shared" si="2"/>
        <v>66153</v>
      </c>
    </row>
    <row r="24247">
      <c r="A24247" s="48" t="s">
        <v>5063</v>
      </c>
      <c r="B24247" s="38">
        <v>24309.0</v>
      </c>
      <c r="C24247" s="38" t="s">
        <v>28774</v>
      </c>
      <c r="D24247" s="38" t="str">
        <f>IFERROR(__xludf.DUMMYFUNCTION("REGEXREPLACE(C24247,""-\d+(.*)|--\d+(.*)"","""")"),"NEUVIC")</f>
        <v>NEUVIC</v>
      </c>
      <c r="E24247" s="38" t="s">
        <v>261</v>
      </c>
      <c r="F24247" s="38" t="s">
        <v>252</v>
      </c>
      <c r="G24247" s="49" t="str">
        <f t="shared" si="1"/>
        <v>24190</v>
      </c>
      <c r="H24247" s="49">
        <f t="shared" si="2"/>
        <v>24309</v>
      </c>
    </row>
    <row r="24248">
      <c r="A24248" s="48" t="s">
        <v>9940</v>
      </c>
      <c r="B24248" s="38">
        <v>62277.0</v>
      </c>
      <c r="C24248" s="38" t="s">
        <v>28775</v>
      </c>
      <c r="D24248" s="38" t="str">
        <f>IFERROR(__xludf.DUMMYFUNCTION("REGEXREPLACE(C24248,""-\d+(.*)|--\d+(.*)"","""")"),"DROCOURT")</f>
        <v>DROCOURT</v>
      </c>
      <c r="E24248" s="38" t="s">
        <v>109</v>
      </c>
      <c r="F24248" s="38" t="s">
        <v>86</v>
      </c>
      <c r="G24248" s="49" t="str">
        <f t="shared" si="1"/>
        <v>62320</v>
      </c>
      <c r="H24248" s="49">
        <f t="shared" si="2"/>
        <v>62277</v>
      </c>
    </row>
    <row r="24249">
      <c r="A24249" s="48" t="s">
        <v>201</v>
      </c>
      <c r="B24249" s="38">
        <v>2541.0</v>
      </c>
      <c r="C24249" s="38" t="s">
        <v>28776</v>
      </c>
      <c r="D24249" s="38" t="str">
        <f>IFERROR(__xludf.DUMMYFUNCTION("REGEXREPLACE(C24249,""-\d+(.*)|--\d+(.*)"","""")"),"NEUFCHATEL-SUR-AISNE")</f>
        <v>NEUFCHATEL-SUR-AISNE</v>
      </c>
      <c r="E24249" s="38" t="s">
        <v>191</v>
      </c>
      <c r="F24249" s="38" t="s">
        <v>113</v>
      </c>
      <c r="G24249" s="49" t="str">
        <f t="shared" si="1"/>
        <v>02190</v>
      </c>
      <c r="H24249" s="49" t="str">
        <f t="shared" si="2"/>
        <v>02541</v>
      </c>
    </row>
    <row r="24250">
      <c r="A24250" s="48" t="s">
        <v>2734</v>
      </c>
      <c r="B24250" s="38">
        <v>89209.0</v>
      </c>
      <c r="C24250" s="38" t="s">
        <v>28777</v>
      </c>
      <c r="D24250" s="38" t="str">
        <f>IFERROR(__xludf.DUMMYFUNCTION("REGEXREPLACE(C24250,""-\d+(.*)|--\d+(.*)"","""")"),"JOUY")</f>
        <v>JOUY</v>
      </c>
      <c r="E24250" s="38" t="s">
        <v>275</v>
      </c>
      <c r="F24250" s="38" t="s">
        <v>106</v>
      </c>
      <c r="G24250" s="49" t="str">
        <f t="shared" si="1"/>
        <v>89150</v>
      </c>
      <c r="H24250" s="49">
        <f t="shared" si="2"/>
        <v>89209</v>
      </c>
    </row>
    <row r="24251">
      <c r="A24251" s="48" t="s">
        <v>3226</v>
      </c>
      <c r="B24251" s="38">
        <v>61148.0</v>
      </c>
      <c r="C24251" s="38" t="s">
        <v>28778</v>
      </c>
      <c r="D24251" s="38" t="str">
        <f>IFERROR(__xludf.DUMMYFUNCTION("REGEXREPLACE(C24251,""-\d+(.*)|--\d+(.*)"","""")"),"DURCET")</f>
        <v>DURCET</v>
      </c>
      <c r="E24251" s="38" t="s">
        <v>141</v>
      </c>
      <c r="F24251" s="38" t="s">
        <v>138</v>
      </c>
      <c r="G24251" s="49" t="str">
        <f t="shared" si="1"/>
        <v>61100</v>
      </c>
      <c r="H24251" s="49">
        <f t="shared" si="2"/>
        <v>61148</v>
      </c>
    </row>
    <row r="24252">
      <c r="A24252" s="48" t="s">
        <v>1132</v>
      </c>
      <c r="B24252" s="38">
        <v>2179.0</v>
      </c>
      <c r="C24252" s="38" t="s">
        <v>28779</v>
      </c>
      <c r="D24252" s="38" t="str">
        <f>IFERROR(__xludf.DUMMYFUNCTION("REGEXREPLACE(C24252,""-\d+(.*)|--\d+(.*)"","""")"),"CHERY-CHARTREUVE")</f>
        <v>CHERY-CHARTREUVE</v>
      </c>
      <c r="E24252" s="38" t="s">
        <v>191</v>
      </c>
      <c r="F24252" s="38" t="s">
        <v>113</v>
      </c>
      <c r="G24252" s="49" t="str">
        <f t="shared" si="1"/>
        <v>02220</v>
      </c>
      <c r="H24252" s="49" t="str">
        <f t="shared" si="2"/>
        <v>02179</v>
      </c>
    </row>
    <row r="24253">
      <c r="A24253" s="48" t="s">
        <v>4235</v>
      </c>
      <c r="B24253" s="38">
        <v>50451.0</v>
      </c>
      <c r="C24253" s="38" t="s">
        <v>6811</v>
      </c>
      <c r="D24253" s="38" t="str">
        <f>IFERROR(__xludf.DUMMYFUNCTION("REGEXREPLACE(C24253,""-\d+(.*)|--\d+(.*)"","""")"),"SAINT-BRICE")</f>
        <v>SAINT-BRICE</v>
      </c>
      <c r="E24253" s="38" t="s">
        <v>157</v>
      </c>
      <c r="F24253" s="38" t="s">
        <v>138</v>
      </c>
      <c r="G24253" s="49" t="str">
        <f t="shared" si="1"/>
        <v>50300</v>
      </c>
      <c r="H24253" s="49">
        <f t="shared" si="2"/>
        <v>50451</v>
      </c>
    </row>
    <row r="24254">
      <c r="A24254" s="48" t="s">
        <v>3254</v>
      </c>
      <c r="B24254" s="38">
        <v>43087.0</v>
      </c>
      <c r="C24254" s="38" t="s">
        <v>28780</v>
      </c>
      <c r="D24254" s="38" t="str">
        <f>IFERROR(__xludf.DUMMYFUNCTION("REGEXREPLACE(C24254,""-\d+(.*)|--\d+(.*)"","""")"),"DUNIERES")</f>
        <v>DUNIERES</v>
      </c>
      <c r="E24254" s="38" t="s">
        <v>332</v>
      </c>
      <c r="F24254" s="38" t="s">
        <v>161</v>
      </c>
      <c r="G24254" s="49" t="str">
        <f t="shared" si="1"/>
        <v>43220</v>
      </c>
      <c r="H24254" s="49">
        <f t="shared" si="2"/>
        <v>43087</v>
      </c>
    </row>
    <row r="24255">
      <c r="A24255" s="48" t="s">
        <v>441</v>
      </c>
      <c r="B24255" s="38">
        <v>42255.0</v>
      </c>
      <c r="C24255" s="38" t="s">
        <v>28781</v>
      </c>
      <c r="D24255" s="38" t="str">
        <f>IFERROR(__xludf.DUMMYFUNCTION("REGEXREPLACE(C24255,""-\d+(.*)|--\d+(.*)"","""")"),"SAINT-MARCEL-D'URFE")</f>
        <v>SAINT-MARCEL-D'URFE</v>
      </c>
      <c r="E24255" s="38" t="s">
        <v>166</v>
      </c>
      <c r="F24255" s="38" t="s">
        <v>102</v>
      </c>
      <c r="G24255" s="49" t="str">
        <f t="shared" si="1"/>
        <v>42430</v>
      </c>
      <c r="H24255" s="49">
        <f t="shared" si="2"/>
        <v>42255</v>
      </c>
    </row>
    <row r="24256">
      <c r="A24256" s="48" t="s">
        <v>6334</v>
      </c>
      <c r="B24256" s="38">
        <v>43010.0</v>
      </c>
      <c r="C24256" s="38" t="s">
        <v>28782</v>
      </c>
      <c r="D24256" s="38" t="str">
        <f>IFERROR(__xludf.DUMMYFUNCTION("REGEXREPLACE(C24256,""-\d+(.*)|--\d+(.*)"","""")"),"ARSAC-EN-VELAY")</f>
        <v>ARSAC-EN-VELAY</v>
      </c>
      <c r="E24256" s="38" t="s">
        <v>332</v>
      </c>
      <c r="F24256" s="38" t="s">
        <v>161</v>
      </c>
      <c r="G24256" s="49" t="str">
        <f t="shared" si="1"/>
        <v>43700</v>
      </c>
      <c r="H24256" s="49">
        <f t="shared" si="2"/>
        <v>43010</v>
      </c>
    </row>
    <row r="24257">
      <c r="A24257" s="48" t="s">
        <v>8979</v>
      </c>
      <c r="B24257" s="38">
        <v>17194.0</v>
      </c>
      <c r="C24257" s="38" t="s">
        <v>28783</v>
      </c>
      <c r="D24257" s="38" t="str">
        <f>IFERROR(__xludf.DUMMYFUNCTION("REGEXREPLACE(C24257,""-\d+(.*)|--\d+(.*)"","""")"),"LA JARRIE")</f>
        <v>LA JARRIE</v>
      </c>
      <c r="E24257" s="38" t="s">
        <v>488</v>
      </c>
      <c r="F24257" s="38" t="s">
        <v>338</v>
      </c>
      <c r="G24257" s="49" t="str">
        <f t="shared" si="1"/>
        <v>17220</v>
      </c>
      <c r="H24257" s="49">
        <f t="shared" si="2"/>
        <v>17194</v>
      </c>
    </row>
    <row r="24258">
      <c r="A24258" s="48" t="s">
        <v>12692</v>
      </c>
      <c r="B24258" s="38">
        <v>47254.0</v>
      </c>
      <c r="C24258" s="38" t="s">
        <v>28784</v>
      </c>
      <c r="D24258" s="38" t="str">
        <f>IFERROR(__xludf.DUMMYFUNCTION("REGEXREPLACE(C24258,""-\d+(.*)|--\d+(.*)"","""")"),"SAINT-MARTIN-CURTON")</f>
        <v>SAINT-MARTIN-CURTON</v>
      </c>
      <c r="E24258" s="38" t="s">
        <v>251</v>
      </c>
      <c r="F24258" s="38" t="s">
        <v>252</v>
      </c>
      <c r="G24258" s="49" t="str">
        <f t="shared" si="1"/>
        <v>47700</v>
      </c>
      <c r="H24258" s="49">
        <f t="shared" si="2"/>
        <v>47254</v>
      </c>
    </row>
    <row r="24259">
      <c r="A24259" s="48" t="s">
        <v>1422</v>
      </c>
      <c r="B24259" s="38">
        <v>14231.0</v>
      </c>
      <c r="C24259" s="38" t="s">
        <v>28785</v>
      </c>
      <c r="D24259" s="38" t="str">
        <f>IFERROR(__xludf.DUMMYFUNCTION("REGEXREPLACE(C24259,""-\d+(.*)|--\d+(.*)"","""")"),"BEAUFOUR-DRUVAL")</f>
        <v>BEAUFOUR-DRUVAL</v>
      </c>
      <c r="E24259" s="38" t="s">
        <v>137</v>
      </c>
      <c r="F24259" s="38" t="s">
        <v>138</v>
      </c>
      <c r="G24259" s="49" t="str">
        <f t="shared" si="1"/>
        <v>14340</v>
      </c>
      <c r="H24259" s="49">
        <f t="shared" si="2"/>
        <v>14231</v>
      </c>
    </row>
    <row r="24260">
      <c r="A24260" s="48" t="s">
        <v>17909</v>
      </c>
      <c r="B24260" s="38">
        <v>25041.0</v>
      </c>
      <c r="C24260" s="38" t="s">
        <v>28786</v>
      </c>
      <c r="D24260" s="38" t="str">
        <f>IFERROR(__xludf.DUMMYFUNCTION("REGEXREPLACE(C24260,""-\d+(.*)|--\d+(.*)"","""")"),"BANNANS")</f>
        <v>BANNANS</v>
      </c>
      <c r="E24260" s="38" t="s">
        <v>213</v>
      </c>
      <c r="F24260" s="38" t="s">
        <v>214</v>
      </c>
      <c r="G24260" s="49" t="str">
        <f t="shared" si="1"/>
        <v>25560</v>
      </c>
      <c r="H24260" s="49">
        <f t="shared" si="2"/>
        <v>25041</v>
      </c>
    </row>
    <row r="24261">
      <c r="A24261" s="48" t="s">
        <v>5070</v>
      </c>
      <c r="B24261" s="38">
        <v>79045.0</v>
      </c>
      <c r="C24261" s="38" t="s">
        <v>27069</v>
      </c>
      <c r="D24261" s="38" t="str">
        <f>IFERROR(__xludf.DUMMYFUNCTION("REGEXREPLACE(C24261,""-\d+(.*)|--\d+(.*)"","""")"),"BOUIN")</f>
        <v>BOUIN</v>
      </c>
      <c r="E24261" s="38" t="s">
        <v>337</v>
      </c>
      <c r="F24261" s="38" t="s">
        <v>338</v>
      </c>
      <c r="G24261" s="49" t="str">
        <f t="shared" si="1"/>
        <v>79110</v>
      </c>
      <c r="H24261" s="49">
        <f t="shared" si="2"/>
        <v>79045</v>
      </c>
    </row>
    <row r="24262">
      <c r="A24262" s="48" t="s">
        <v>8738</v>
      </c>
      <c r="B24262" s="38">
        <v>56248.0</v>
      </c>
      <c r="C24262" s="38" t="s">
        <v>28787</v>
      </c>
      <c r="D24262" s="38" t="str">
        <f>IFERROR(__xludf.DUMMYFUNCTION("REGEXREPLACE(C24262,""-\d+(.*)|--\d+(.*)"","""")"),"SURZUR")</f>
        <v>SURZUR</v>
      </c>
      <c r="E24262" s="38" t="s">
        <v>173</v>
      </c>
      <c r="F24262" s="38" t="s">
        <v>90</v>
      </c>
      <c r="G24262" s="49" t="str">
        <f t="shared" si="1"/>
        <v>56450</v>
      </c>
      <c r="H24262" s="49">
        <f t="shared" si="2"/>
        <v>56248</v>
      </c>
    </row>
    <row r="24263">
      <c r="A24263" s="48" t="s">
        <v>1481</v>
      </c>
      <c r="B24263" s="38">
        <v>2777.0</v>
      </c>
      <c r="C24263" s="38" t="s">
        <v>28788</v>
      </c>
      <c r="D24263" s="38" t="str">
        <f>IFERROR(__xludf.DUMMYFUNCTION("REGEXREPLACE(C24263,""-\d+(.*)|--\d+(.*)"","""")"),"VENDIERES")</f>
        <v>VENDIERES</v>
      </c>
      <c r="E24263" s="38" t="s">
        <v>191</v>
      </c>
      <c r="F24263" s="38" t="s">
        <v>113</v>
      </c>
      <c r="G24263" s="49" t="str">
        <f t="shared" si="1"/>
        <v>02540</v>
      </c>
      <c r="H24263" s="49" t="str">
        <f t="shared" si="2"/>
        <v>02777</v>
      </c>
    </row>
    <row r="24264">
      <c r="A24264" s="48" t="s">
        <v>6271</v>
      </c>
      <c r="B24264" s="38">
        <v>66185.0</v>
      </c>
      <c r="C24264" s="38" t="s">
        <v>28789</v>
      </c>
      <c r="D24264" s="38" t="str">
        <f>IFERROR(__xludf.DUMMYFUNCTION("REGEXREPLACE(C24264,""-\d+(.*)|--\d+(.*)"","""")"),"SAINT-MICHEL-DE-LLOTES")</f>
        <v>SAINT-MICHEL-DE-LLOTES</v>
      </c>
      <c r="E24264" s="38" t="s">
        <v>248</v>
      </c>
      <c r="F24264" s="38" t="s">
        <v>119</v>
      </c>
      <c r="G24264" s="49" t="str">
        <f t="shared" si="1"/>
        <v>66130</v>
      </c>
      <c r="H24264" s="49">
        <f t="shared" si="2"/>
        <v>66185</v>
      </c>
    </row>
    <row r="24265">
      <c r="A24265" s="48" t="s">
        <v>10255</v>
      </c>
      <c r="B24265" s="38">
        <v>87055.0</v>
      </c>
      <c r="C24265" s="38" t="s">
        <v>28790</v>
      </c>
      <c r="D24265" s="38" t="str">
        <f>IFERROR(__xludf.DUMMYFUNCTION("REGEXREPLACE(C24265,""-\d+(.*)|--\d+(.*)"","""")"),"DARNAC")</f>
        <v>DARNAC</v>
      </c>
      <c r="E24265" s="38" t="s">
        <v>897</v>
      </c>
      <c r="F24265" s="38" t="s">
        <v>98</v>
      </c>
      <c r="G24265" s="49" t="str">
        <f t="shared" si="1"/>
        <v>87320</v>
      </c>
      <c r="H24265" s="49">
        <f t="shared" si="2"/>
        <v>87055</v>
      </c>
    </row>
    <row r="24266">
      <c r="A24266" s="48" t="s">
        <v>12009</v>
      </c>
      <c r="B24266" s="38">
        <v>71367.0</v>
      </c>
      <c r="C24266" s="38" t="s">
        <v>28791</v>
      </c>
      <c r="D24266" s="38" t="str">
        <f>IFERROR(__xludf.DUMMYFUNCTION("REGEXREPLACE(C24266,""-\d+(.*)|--\d+(.*)"","""")"),"RATTE")</f>
        <v>RATTE</v>
      </c>
      <c r="E24266" s="38" t="s">
        <v>344</v>
      </c>
      <c r="F24266" s="38" t="s">
        <v>106</v>
      </c>
      <c r="G24266" s="49" t="str">
        <f t="shared" si="1"/>
        <v>71500</v>
      </c>
      <c r="H24266" s="49">
        <f t="shared" si="2"/>
        <v>71367</v>
      </c>
    </row>
    <row r="24267">
      <c r="A24267" s="48" t="s">
        <v>28792</v>
      </c>
      <c r="B24267" s="38">
        <v>69206.0</v>
      </c>
      <c r="C24267" s="38" t="s">
        <v>28793</v>
      </c>
      <c r="D24267" s="38" t="str">
        <f>IFERROR(__xludf.DUMMYFUNCTION("REGEXREPLACE(C24267,""-\d+(.*)|--\d+(.*)"","""")"),"SAINT-GEORGES-DE-RENEINS")</f>
        <v>SAINT-GEORGES-DE-RENEINS</v>
      </c>
      <c r="E24267" s="38" t="s">
        <v>350</v>
      </c>
      <c r="F24267" s="38" t="s">
        <v>102</v>
      </c>
      <c r="G24267" s="49" t="str">
        <f t="shared" si="1"/>
        <v>69830</v>
      </c>
      <c r="H24267" s="49">
        <f t="shared" si="2"/>
        <v>69206</v>
      </c>
    </row>
    <row r="24268">
      <c r="A24268" s="48" t="s">
        <v>28794</v>
      </c>
      <c r="B24268" s="38">
        <v>92032.0</v>
      </c>
      <c r="C24268" s="38" t="s">
        <v>28795</v>
      </c>
      <c r="D24268" s="38" t="str">
        <f>IFERROR(__xludf.DUMMYFUNCTION("REGEXREPLACE(C24268,""-\d+(.*)|--\d+(.*)"","""")"),"FONTENAY-AUX-ROSES")</f>
        <v>FONTENAY-AUX-ROSES</v>
      </c>
      <c r="E24268" s="38" t="s">
        <v>838</v>
      </c>
      <c r="F24268" s="38" t="s">
        <v>245</v>
      </c>
      <c r="G24268" s="49" t="str">
        <f t="shared" si="1"/>
        <v>92260</v>
      </c>
      <c r="H24268" s="49">
        <f t="shared" si="2"/>
        <v>92032</v>
      </c>
    </row>
    <row r="24269">
      <c r="A24269" s="48" t="s">
        <v>5848</v>
      </c>
      <c r="B24269" s="38">
        <v>50174.0</v>
      </c>
      <c r="C24269" s="38" t="s">
        <v>28796</v>
      </c>
      <c r="D24269" s="38" t="str">
        <f>IFERROR(__xludf.DUMMYFUNCTION("REGEXREPLACE(C24269,""-\d+(.*)|--\d+(.*)"","""")"),"EQUILLY")</f>
        <v>EQUILLY</v>
      </c>
      <c r="E24269" s="38" t="s">
        <v>157</v>
      </c>
      <c r="F24269" s="38" t="s">
        <v>138</v>
      </c>
      <c r="G24269" s="49" t="str">
        <f t="shared" si="1"/>
        <v>50320</v>
      </c>
      <c r="H24269" s="49">
        <f t="shared" si="2"/>
        <v>50174</v>
      </c>
    </row>
    <row r="24270">
      <c r="A24270" s="48" t="s">
        <v>6761</v>
      </c>
      <c r="B24270" s="38">
        <v>1166.0</v>
      </c>
      <c r="C24270" s="38" t="s">
        <v>28797</v>
      </c>
      <c r="D24270" s="38" t="str">
        <f>IFERROR(__xludf.DUMMYFUNCTION("REGEXREPLACE(C24270,""-\d+(.*)|--\d+(.*)"","""")"),"FRANS")</f>
        <v>FRANS</v>
      </c>
      <c r="E24270" s="38" t="s">
        <v>255</v>
      </c>
      <c r="F24270" s="38" t="s">
        <v>102</v>
      </c>
      <c r="G24270" s="49" t="str">
        <f t="shared" si="1"/>
        <v>01480</v>
      </c>
      <c r="H24270" s="49" t="str">
        <f t="shared" si="2"/>
        <v>01166</v>
      </c>
    </row>
    <row r="24271">
      <c r="A24271" s="48" t="s">
        <v>3857</v>
      </c>
      <c r="B24271" s="38">
        <v>12168.0</v>
      </c>
      <c r="C24271" s="38" t="s">
        <v>28798</v>
      </c>
      <c r="D24271" s="38" t="str">
        <f>IFERROR(__xludf.DUMMYFUNCTION("REGEXREPLACE(C24271,""-\d+(.*)|--\d+(.*)"","""")"),"NANT")</f>
        <v>NANT</v>
      </c>
      <c r="E24271" s="38" t="s">
        <v>465</v>
      </c>
      <c r="F24271" s="38" t="s">
        <v>94</v>
      </c>
      <c r="G24271" s="49" t="str">
        <f t="shared" si="1"/>
        <v>12230</v>
      </c>
      <c r="H24271" s="49">
        <f t="shared" si="2"/>
        <v>12168</v>
      </c>
    </row>
    <row r="24272">
      <c r="A24272" s="48" t="s">
        <v>1823</v>
      </c>
      <c r="B24272" s="38">
        <v>48147.0</v>
      </c>
      <c r="C24272" s="38" t="s">
        <v>28799</v>
      </c>
      <c r="D24272" s="38" t="str">
        <f>IFERROR(__xludf.DUMMYFUNCTION("REGEXREPLACE(C24272,""-\d+(.*)|--\d+(.*)"","""")"),"SAINT-ETIENNE-DU-VALDONNEZ")</f>
        <v>SAINT-ETIENNE-DU-VALDONNEZ</v>
      </c>
      <c r="E24272" s="38" t="s">
        <v>154</v>
      </c>
      <c r="F24272" s="38" t="s">
        <v>119</v>
      </c>
      <c r="G24272" s="49" t="str">
        <f t="shared" si="1"/>
        <v>48000</v>
      </c>
      <c r="H24272" s="49">
        <f t="shared" si="2"/>
        <v>48147</v>
      </c>
    </row>
    <row r="24273">
      <c r="A24273" s="48" t="s">
        <v>28800</v>
      </c>
      <c r="B24273" s="38">
        <v>13052.0</v>
      </c>
      <c r="C24273" s="38" t="s">
        <v>28801</v>
      </c>
      <c r="D24273" s="38" t="str">
        <f>IFERROR(__xludf.DUMMYFUNCTION("REGEXREPLACE(C24273,""-\d+(.*)|--\d+(.*)"","""")"),"MAILLANE")</f>
        <v>MAILLANE</v>
      </c>
      <c r="E24273" s="38" t="s">
        <v>980</v>
      </c>
      <c r="F24273" s="38" t="s">
        <v>228</v>
      </c>
      <c r="G24273" s="49" t="str">
        <f t="shared" si="1"/>
        <v>13910</v>
      </c>
      <c r="H24273" s="49">
        <f t="shared" si="2"/>
        <v>13052</v>
      </c>
    </row>
    <row r="24274">
      <c r="A24274" s="48" t="s">
        <v>3196</v>
      </c>
      <c r="B24274" s="38">
        <v>1172.0</v>
      </c>
      <c r="C24274" s="38" t="s">
        <v>28802</v>
      </c>
      <c r="D24274" s="38" t="str">
        <f>IFERROR(__xludf.DUMMYFUNCTION("REGEXREPLACE(C24274,""-\d+(.*)|--\d+(.*)"","""")"),"GERMAGNAT")</f>
        <v>GERMAGNAT</v>
      </c>
      <c r="E24274" s="38" t="s">
        <v>255</v>
      </c>
      <c r="F24274" s="38" t="s">
        <v>102</v>
      </c>
      <c r="G24274" s="49" t="str">
        <f t="shared" si="1"/>
        <v>01250</v>
      </c>
      <c r="H24274" s="49" t="str">
        <f t="shared" si="2"/>
        <v>01172</v>
      </c>
    </row>
    <row r="24275">
      <c r="A24275" s="48" t="s">
        <v>19293</v>
      </c>
      <c r="B24275" s="38">
        <v>18286.0</v>
      </c>
      <c r="C24275" s="38" t="s">
        <v>28803</v>
      </c>
      <c r="D24275" s="38" t="str">
        <f>IFERROR(__xludf.DUMMYFUNCTION("REGEXREPLACE(C24275,""-\d+(.*)|--\d+(.*)"","""")"),"VILLEQUIERS")</f>
        <v>VILLEQUIERS</v>
      </c>
      <c r="E24275" s="38" t="s">
        <v>504</v>
      </c>
      <c r="F24275" s="38" t="s">
        <v>123</v>
      </c>
      <c r="G24275" s="49" t="str">
        <f t="shared" si="1"/>
        <v>18800</v>
      </c>
      <c r="H24275" s="49">
        <f t="shared" si="2"/>
        <v>18286</v>
      </c>
    </row>
    <row r="24276">
      <c r="A24276" s="48" t="s">
        <v>6856</v>
      </c>
      <c r="B24276" s="38">
        <v>59590.0</v>
      </c>
      <c r="C24276" s="38" t="s">
        <v>28804</v>
      </c>
      <c r="D24276" s="38" t="str">
        <f>IFERROR(__xludf.DUMMYFUNCTION("REGEXREPLACE(C24276,""-\d+(.*)|--\d+(.*)"","""")"),"THIENNES")</f>
        <v>THIENNES</v>
      </c>
      <c r="E24276" s="38" t="s">
        <v>85</v>
      </c>
      <c r="F24276" s="38" t="s">
        <v>86</v>
      </c>
      <c r="G24276" s="49" t="str">
        <f t="shared" si="1"/>
        <v>59189</v>
      </c>
      <c r="H24276" s="49">
        <f t="shared" si="2"/>
        <v>59590</v>
      </c>
    </row>
    <row r="24277">
      <c r="A24277" s="48" t="s">
        <v>1208</v>
      </c>
      <c r="B24277" s="38">
        <v>32398.0</v>
      </c>
      <c r="C24277" s="38" t="s">
        <v>28805</v>
      </c>
      <c r="D24277" s="38" t="str">
        <f>IFERROR(__xludf.DUMMYFUNCTION("REGEXREPLACE(C24277,""-\d+(.*)|--\d+(.*)"","""")"),"SAINT-MONT")</f>
        <v>SAINT-MONT</v>
      </c>
      <c r="E24277" s="38" t="s">
        <v>440</v>
      </c>
      <c r="F24277" s="38" t="s">
        <v>94</v>
      </c>
      <c r="G24277" s="49" t="str">
        <f t="shared" si="1"/>
        <v>32400</v>
      </c>
      <c r="H24277" s="49">
        <f t="shared" si="2"/>
        <v>32398</v>
      </c>
    </row>
    <row r="24278">
      <c r="A24278" s="48" t="s">
        <v>5045</v>
      </c>
      <c r="B24278" s="38">
        <v>24349.0</v>
      </c>
      <c r="C24278" s="38" t="s">
        <v>28806</v>
      </c>
      <c r="D24278" s="38" t="str">
        <f>IFERROR(__xludf.DUMMYFUNCTION("REGEXREPLACE(C24278,""-\d+(.*)|--\d+(.*)"","""")"),"RAZAC-DE-SAUSSIGNAC")</f>
        <v>RAZAC-DE-SAUSSIGNAC</v>
      </c>
      <c r="E24278" s="38" t="s">
        <v>261</v>
      </c>
      <c r="F24278" s="38" t="s">
        <v>252</v>
      </c>
      <c r="G24278" s="49" t="str">
        <f t="shared" si="1"/>
        <v>24240</v>
      </c>
      <c r="H24278" s="49">
        <f t="shared" si="2"/>
        <v>24349</v>
      </c>
    </row>
    <row r="24279">
      <c r="A24279" s="48" t="s">
        <v>1120</v>
      </c>
      <c r="B24279" s="38">
        <v>64406.0</v>
      </c>
      <c r="C24279" s="38" t="s">
        <v>28807</v>
      </c>
      <c r="D24279" s="38" t="str">
        <f>IFERROR(__xludf.DUMMYFUNCTION("REGEXREPLACE(C24279,""-\d+(.*)|--\d+(.*)"","""")"),"MORLANNE")</f>
        <v>MORLANNE</v>
      </c>
      <c r="E24279" s="38" t="s">
        <v>268</v>
      </c>
      <c r="F24279" s="38" t="s">
        <v>252</v>
      </c>
      <c r="G24279" s="49" t="str">
        <f t="shared" si="1"/>
        <v>64370</v>
      </c>
      <c r="H24279" s="49">
        <f t="shared" si="2"/>
        <v>64406</v>
      </c>
    </row>
    <row r="24280">
      <c r="A24280" s="48" t="s">
        <v>6261</v>
      </c>
      <c r="B24280" s="38">
        <v>76734.0</v>
      </c>
      <c r="C24280" s="38" t="s">
        <v>28808</v>
      </c>
      <c r="D24280" s="38" t="str">
        <f>IFERROR(__xludf.DUMMYFUNCTION("REGEXREPLACE(C24280,""-\d+(.*)|--\d+(.*)"","""")"),"VERGETOT")</f>
        <v>VERGETOT</v>
      </c>
      <c r="E24280" s="38" t="s">
        <v>133</v>
      </c>
      <c r="F24280" s="38" t="s">
        <v>134</v>
      </c>
      <c r="G24280" s="49" t="str">
        <f t="shared" si="1"/>
        <v>76280</v>
      </c>
      <c r="H24280" s="49">
        <f t="shared" si="2"/>
        <v>76734</v>
      </c>
    </row>
    <row r="24281">
      <c r="A24281" s="48" t="s">
        <v>4568</v>
      </c>
      <c r="B24281" s="38">
        <v>32307.0</v>
      </c>
      <c r="C24281" s="38" t="s">
        <v>28809</v>
      </c>
      <c r="D24281" s="38" t="str">
        <f>IFERROR(__xludf.DUMMYFUNCTION("REGEXREPLACE(C24281,""-\d+(.*)|--\d+(.*)"","""")"),"PAVIE")</f>
        <v>PAVIE</v>
      </c>
      <c r="E24281" s="38" t="s">
        <v>440</v>
      </c>
      <c r="F24281" s="38" t="s">
        <v>94</v>
      </c>
      <c r="G24281" s="49" t="str">
        <f t="shared" si="1"/>
        <v>32550</v>
      </c>
      <c r="H24281" s="49">
        <f t="shared" si="2"/>
        <v>32307</v>
      </c>
    </row>
    <row r="24282">
      <c r="A24282" s="48" t="s">
        <v>3156</v>
      </c>
      <c r="B24282" s="38">
        <v>77030.0</v>
      </c>
      <c r="C24282" s="38" t="s">
        <v>28810</v>
      </c>
      <c r="D24282" s="38" t="str">
        <f>IFERROR(__xludf.DUMMYFUNCTION("REGEXREPLACE(C24282,""-\d+(.*)|--\d+(.*)"","""")"),"BELLOT")</f>
        <v>BELLOT</v>
      </c>
      <c r="E24282" s="38" t="s">
        <v>244</v>
      </c>
      <c r="F24282" s="38" t="s">
        <v>245</v>
      </c>
      <c r="G24282" s="49" t="str">
        <f t="shared" si="1"/>
        <v>77510</v>
      </c>
      <c r="H24282" s="49">
        <f t="shared" si="2"/>
        <v>77030</v>
      </c>
    </row>
    <row r="24283">
      <c r="A24283" s="48" t="s">
        <v>8084</v>
      </c>
      <c r="B24283" s="38">
        <v>16412.0</v>
      </c>
      <c r="C24283" s="38" t="s">
        <v>28811</v>
      </c>
      <c r="D24283" s="38" t="str">
        <f>IFERROR(__xludf.DUMMYFUNCTION("REGEXREPLACE(C24283,""-\d+(.*)|--\d+(.*)"","""")"),"VILLEJOUBERT")</f>
        <v>VILLEJOUBERT</v>
      </c>
      <c r="E24283" s="38" t="s">
        <v>429</v>
      </c>
      <c r="F24283" s="38" t="s">
        <v>338</v>
      </c>
      <c r="G24283" s="49" t="str">
        <f t="shared" si="1"/>
        <v>16560</v>
      </c>
      <c r="H24283" s="49">
        <f t="shared" si="2"/>
        <v>16412</v>
      </c>
    </row>
    <row r="24284">
      <c r="A24284" s="48" t="s">
        <v>8414</v>
      </c>
      <c r="B24284" s="38">
        <v>60653.0</v>
      </c>
      <c r="C24284" s="38" t="s">
        <v>28812</v>
      </c>
      <c r="D24284" s="38" t="str">
        <f>IFERROR(__xludf.DUMMYFUNCTION("REGEXREPLACE(C24284,""-\d+(.*)|--\d+(.*)"","""")"),"VALESCOURT")</f>
        <v>VALESCOURT</v>
      </c>
      <c r="E24284" s="38" t="s">
        <v>112</v>
      </c>
      <c r="F24284" s="38" t="s">
        <v>113</v>
      </c>
      <c r="G24284" s="49" t="str">
        <f t="shared" si="1"/>
        <v>60130</v>
      </c>
      <c r="H24284" s="49">
        <f t="shared" si="2"/>
        <v>60653</v>
      </c>
    </row>
    <row r="24285">
      <c r="A24285" s="48" t="s">
        <v>6937</v>
      </c>
      <c r="B24285" s="38">
        <v>33537.0</v>
      </c>
      <c r="C24285" s="38" t="s">
        <v>28813</v>
      </c>
      <c r="D24285" s="38" t="str">
        <f>IFERROR(__xludf.DUMMYFUNCTION("REGEXREPLACE(C24285,""-\d+(.*)|--\d+(.*)"","""")"),"UZESTE")</f>
        <v>UZESTE</v>
      </c>
      <c r="E24285" s="38" t="s">
        <v>462</v>
      </c>
      <c r="F24285" s="38" t="s">
        <v>252</v>
      </c>
      <c r="G24285" s="49" t="str">
        <f t="shared" si="1"/>
        <v>33730</v>
      </c>
      <c r="H24285" s="49">
        <f t="shared" si="2"/>
        <v>33537</v>
      </c>
    </row>
    <row r="24286">
      <c r="A24286" s="48" t="s">
        <v>6230</v>
      </c>
      <c r="B24286" s="38">
        <v>53030.0</v>
      </c>
      <c r="C24286" s="38" t="s">
        <v>28814</v>
      </c>
      <c r="D24286" s="38" t="str">
        <f>IFERROR(__xludf.DUMMYFUNCTION("REGEXREPLACE(C24286,""-\d+(.*)|--\d+(.*)"","""")"),"LE BIGNON-DU-MAINE")</f>
        <v>LE BIGNON-DU-MAINE</v>
      </c>
      <c r="E24286" s="38" t="s">
        <v>518</v>
      </c>
      <c r="F24286" s="38" t="s">
        <v>180</v>
      </c>
      <c r="G24286" s="49" t="str">
        <f t="shared" si="1"/>
        <v>53170</v>
      </c>
      <c r="H24286" s="49">
        <f t="shared" si="2"/>
        <v>53030</v>
      </c>
    </row>
    <row r="24287">
      <c r="A24287" s="48" t="s">
        <v>2532</v>
      </c>
      <c r="B24287" s="38">
        <v>51129.0</v>
      </c>
      <c r="C24287" s="38" t="s">
        <v>28815</v>
      </c>
      <c r="D24287" s="38" t="str">
        <f>IFERROR(__xludf.DUMMYFUNCTION("REGEXREPLACE(C24287,""-\d+(.*)|--\d+(.*)"","""")"),"CHARLEVILLE")</f>
        <v>CHARLEVILLE</v>
      </c>
      <c r="E24287" s="38" t="s">
        <v>129</v>
      </c>
      <c r="F24287" s="38" t="s">
        <v>130</v>
      </c>
      <c r="G24287" s="49" t="str">
        <f t="shared" si="1"/>
        <v>51120</v>
      </c>
      <c r="H24287" s="49">
        <f t="shared" si="2"/>
        <v>51129</v>
      </c>
    </row>
    <row r="24288">
      <c r="A24288" s="48" t="s">
        <v>1018</v>
      </c>
      <c r="B24288" s="38">
        <v>60412.0</v>
      </c>
      <c r="C24288" s="38" t="s">
        <v>28816</v>
      </c>
      <c r="D24288" s="38" t="str">
        <f>IFERROR(__xludf.DUMMYFUNCTION("REGEXREPLACE(C24288,""-\d+(.*)|--\d+(.*)"","""")"),"MONTAGNY-EN-VEXIN")</f>
        <v>MONTAGNY-EN-VEXIN</v>
      </c>
      <c r="E24288" s="38" t="s">
        <v>112</v>
      </c>
      <c r="F24288" s="38" t="s">
        <v>113</v>
      </c>
      <c r="G24288" s="49" t="str">
        <f t="shared" si="1"/>
        <v>60240</v>
      </c>
      <c r="H24288" s="49">
        <f t="shared" si="2"/>
        <v>60412</v>
      </c>
    </row>
    <row r="24289">
      <c r="A24289" s="48" t="s">
        <v>24036</v>
      </c>
      <c r="B24289" s="38">
        <v>59558.0</v>
      </c>
      <c r="C24289" s="38" t="s">
        <v>28817</v>
      </c>
      <c r="D24289" s="38" t="str">
        <f>IFERROR(__xludf.DUMMYFUNCTION("REGEXREPLACE(C24289,""-\d+(.*)|--\d+(.*)"","""")"),"SAULZOIR")</f>
        <v>SAULZOIR</v>
      </c>
      <c r="E24289" s="38" t="s">
        <v>85</v>
      </c>
      <c r="F24289" s="38" t="s">
        <v>86</v>
      </c>
      <c r="G24289" s="49" t="str">
        <f t="shared" si="1"/>
        <v>59227</v>
      </c>
      <c r="H24289" s="49">
        <f t="shared" si="2"/>
        <v>59558</v>
      </c>
    </row>
    <row r="24290">
      <c r="A24290" s="48" t="s">
        <v>2276</v>
      </c>
      <c r="B24290" s="38">
        <v>47244.0</v>
      </c>
      <c r="C24290" s="38" t="s">
        <v>28818</v>
      </c>
      <c r="D24290" s="38" t="str">
        <f>IFERROR(__xludf.DUMMYFUNCTION("REGEXREPLACE(C24290,""-\d+(.*)|--\d+(.*)"","""")"),"SAINTE-GEMME-MARTAILLAC")</f>
        <v>SAINTE-GEMME-MARTAILLAC</v>
      </c>
      <c r="E24290" s="38" t="s">
        <v>251</v>
      </c>
      <c r="F24290" s="38" t="s">
        <v>252</v>
      </c>
      <c r="G24290" s="49" t="str">
        <f t="shared" si="1"/>
        <v>47250</v>
      </c>
      <c r="H24290" s="49">
        <f t="shared" si="2"/>
        <v>47244</v>
      </c>
    </row>
    <row r="24291">
      <c r="A24291" s="48" t="s">
        <v>5020</v>
      </c>
      <c r="B24291" s="38">
        <v>51263.0</v>
      </c>
      <c r="C24291" s="38" t="s">
        <v>9339</v>
      </c>
      <c r="D24291" s="38" t="str">
        <f>IFERROR(__xludf.DUMMYFUNCTION("REGEXREPLACE(C24291,""-\d+(.*)|--\d+(.*)"","""")"),"FROMENTIERES")</f>
        <v>FROMENTIERES</v>
      </c>
      <c r="E24291" s="38" t="s">
        <v>129</v>
      </c>
      <c r="F24291" s="38" t="s">
        <v>130</v>
      </c>
      <c r="G24291" s="49" t="str">
        <f t="shared" si="1"/>
        <v>51210</v>
      </c>
      <c r="H24291" s="49">
        <f t="shared" si="2"/>
        <v>51263</v>
      </c>
    </row>
    <row r="24292">
      <c r="A24292" s="48" t="s">
        <v>1872</v>
      </c>
      <c r="B24292" s="38">
        <v>80810.0</v>
      </c>
      <c r="C24292" s="38" t="s">
        <v>28819</v>
      </c>
      <c r="D24292" s="38" t="str">
        <f>IFERROR(__xludf.DUMMYFUNCTION("REGEXREPLACE(C24292,""-\d+(.*)|--\d+(.*)"","""")"),"VITZ-SUR-AUTHIE")</f>
        <v>VITZ-SUR-AUTHIE</v>
      </c>
      <c r="E24292" s="38" t="s">
        <v>224</v>
      </c>
      <c r="F24292" s="38" t="s">
        <v>113</v>
      </c>
      <c r="G24292" s="49" t="str">
        <f t="shared" si="1"/>
        <v>80150</v>
      </c>
      <c r="H24292" s="49">
        <f t="shared" si="2"/>
        <v>80810</v>
      </c>
    </row>
    <row r="24293">
      <c r="A24293" s="48" t="s">
        <v>5894</v>
      </c>
      <c r="B24293" s="38">
        <v>69050.0</v>
      </c>
      <c r="C24293" s="38" t="s">
        <v>2752</v>
      </c>
      <c r="D24293" s="38" t="str">
        <f>IFERROR(__xludf.DUMMYFUNCTION("REGEXREPLACE(C24293,""-\d+(.*)|--\d+(.*)"","""")"),"CHATILLON")</f>
        <v>CHATILLON</v>
      </c>
      <c r="E24293" s="38" t="s">
        <v>350</v>
      </c>
      <c r="F24293" s="38" t="s">
        <v>102</v>
      </c>
      <c r="G24293" s="49" t="str">
        <f t="shared" si="1"/>
        <v>69380</v>
      </c>
      <c r="H24293" s="49">
        <f t="shared" si="2"/>
        <v>69050</v>
      </c>
    </row>
    <row r="24294">
      <c r="A24294" s="48" t="s">
        <v>3735</v>
      </c>
      <c r="B24294" s="38">
        <v>28424.0</v>
      </c>
      <c r="C24294" s="38" t="s">
        <v>28820</v>
      </c>
      <c r="D24294" s="38" t="str">
        <f>IFERROR(__xludf.DUMMYFUNCTION("REGEXREPLACE(C24294,""-\d+(.*)|--\d+(.*)"","""")"),"YEVRES")</f>
        <v>YEVRES</v>
      </c>
      <c r="E24294" s="38" t="s">
        <v>300</v>
      </c>
      <c r="F24294" s="38" t="s">
        <v>123</v>
      </c>
      <c r="G24294" s="49" t="str">
        <f t="shared" si="1"/>
        <v>28160</v>
      </c>
      <c r="H24294" s="49">
        <f t="shared" si="2"/>
        <v>28424</v>
      </c>
    </row>
    <row r="24295">
      <c r="A24295" s="48" t="s">
        <v>2517</v>
      </c>
      <c r="B24295" s="38">
        <v>6106.0</v>
      </c>
      <c r="C24295" s="38" t="s">
        <v>28821</v>
      </c>
      <c r="D24295" s="38" t="str">
        <f>IFERROR(__xludf.DUMMYFUNCTION("REGEXREPLACE(C24295,""-\d+(.*)|--\d+(.*)"","""")"),"ROQUESTERON")</f>
        <v>ROQUESTERON</v>
      </c>
      <c r="E24295" s="38" t="s">
        <v>227</v>
      </c>
      <c r="F24295" s="38" t="s">
        <v>228</v>
      </c>
      <c r="G24295" s="49" t="str">
        <f t="shared" si="1"/>
        <v>06910</v>
      </c>
      <c r="H24295" s="49" t="str">
        <f t="shared" si="2"/>
        <v>06106</v>
      </c>
    </row>
    <row r="24296">
      <c r="A24296" s="48" t="s">
        <v>522</v>
      </c>
      <c r="B24296" s="38">
        <v>39210.0</v>
      </c>
      <c r="C24296" s="38" t="s">
        <v>28822</v>
      </c>
      <c r="D24296" s="38" t="str">
        <f>IFERROR(__xludf.DUMMYFUNCTION("REGEXREPLACE(C24296,""-\d+(.*)|--\d+(.*)"","""")"),"EQUEVILLON")</f>
        <v>EQUEVILLON</v>
      </c>
      <c r="E24296" s="38" t="s">
        <v>400</v>
      </c>
      <c r="F24296" s="38" t="s">
        <v>214</v>
      </c>
      <c r="G24296" s="49" t="str">
        <f t="shared" si="1"/>
        <v>39300</v>
      </c>
      <c r="H24296" s="49">
        <f t="shared" si="2"/>
        <v>39210</v>
      </c>
    </row>
    <row r="24297">
      <c r="A24297" s="48" t="s">
        <v>13884</v>
      </c>
      <c r="B24297" s="38">
        <v>14536.0</v>
      </c>
      <c r="C24297" s="38" t="s">
        <v>28823</v>
      </c>
      <c r="D24297" s="38" t="str">
        <f>IFERROR(__xludf.DUMMYFUNCTION("REGEXREPLACE(C24297,""-\d+(.*)|--\d+(.*)"","""")"),"LA RIVIERE-SAINT-SAUVEUR")</f>
        <v>LA RIVIERE-SAINT-SAUVEUR</v>
      </c>
      <c r="E24297" s="38" t="s">
        <v>137</v>
      </c>
      <c r="F24297" s="38" t="s">
        <v>138</v>
      </c>
      <c r="G24297" s="49" t="str">
        <f t="shared" si="1"/>
        <v>14600</v>
      </c>
      <c r="H24297" s="49">
        <f t="shared" si="2"/>
        <v>14536</v>
      </c>
    </row>
    <row r="24298">
      <c r="A24298" s="48" t="s">
        <v>18871</v>
      </c>
      <c r="B24298" s="38">
        <v>42329.0</v>
      </c>
      <c r="C24298" s="38" t="s">
        <v>28824</v>
      </c>
      <c r="D24298" s="38" t="str">
        <f>IFERROR(__xludf.DUMMYFUNCTION("REGEXREPLACE(C24298,""-\d+(.*)|--\d+(.*)"","""")"),"LA VERSANNE")</f>
        <v>LA VERSANNE</v>
      </c>
      <c r="E24298" s="38" t="s">
        <v>166</v>
      </c>
      <c r="F24298" s="38" t="s">
        <v>102</v>
      </c>
      <c r="G24298" s="49" t="str">
        <f t="shared" si="1"/>
        <v>42220</v>
      </c>
      <c r="H24298" s="49">
        <f t="shared" si="2"/>
        <v>42329</v>
      </c>
    </row>
    <row r="24299">
      <c r="A24299" s="48" t="s">
        <v>18144</v>
      </c>
      <c r="B24299" s="38">
        <v>3286.0</v>
      </c>
      <c r="C24299" s="38" t="s">
        <v>28825</v>
      </c>
      <c r="D24299" s="38" t="str">
        <f>IFERROR(__xludf.DUMMYFUNCTION("REGEXREPLACE(C24299,""-\d+(.*)|--\d+(.*)"","""")"),"TOULON-SUR-ALLIER")</f>
        <v>TOULON-SUR-ALLIER</v>
      </c>
      <c r="E24299" s="38" t="s">
        <v>160</v>
      </c>
      <c r="F24299" s="38" t="s">
        <v>161</v>
      </c>
      <c r="G24299" s="49" t="str">
        <f t="shared" si="1"/>
        <v>03400</v>
      </c>
      <c r="H24299" s="49" t="str">
        <f t="shared" si="2"/>
        <v>03286</v>
      </c>
    </row>
    <row r="24300">
      <c r="A24300" s="48" t="s">
        <v>4018</v>
      </c>
      <c r="B24300" s="38">
        <v>55560.0</v>
      </c>
      <c r="C24300" s="38" t="s">
        <v>28826</v>
      </c>
      <c r="D24300" s="38" t="str">
        <f>IFERROR(__xludf.DUMMYFUNCTION("REGEXREPLACE(C24300,""-\d+(.*)|--\d+(.*)"","""")"),"VILLERS-AUX-VENTS")</f>
        <v>VILLERS-AUX-VENTS</v>
      </c>
      <c r="E24300" s="38" t="s">
        <v>322</v>
      </c>
      <c r="F24300" s="38" t="s">
        <v>195</v>
      </c>
      <c r="G24300" s="49" t="str">
        <f t="shared" si="1"/>
        <v>55800</v>
      </c>
      <c r="H24300" s="49">
        <f t="shared" si="2"/>
        <v>55560</v>
      </c>
    </row>
    <row r="24301">
      <c r="A24301" s="48" t="s">
        <v>7829</v>
      </c>
      <c r="B24301" s="38">
        <v>89292.0</v>
      </c>
      <c r="C24301" s="38" t="s">
        <v>28827</v>
      </c>
      <c r="D24301" s="38" t="str">
        <f>IFERROR(__xludf.DUMMYFUNCTION("REGEXREPLACE(C24301,""-\d+(.*)|--\d+(.*)"","""")"),"PERCEY")</f>
        <v>PERCEY</v>
      </c>
      <c r="E24301" s="38" t="s">
        <v>275</v>
      </c>
      <c r="F24301" s="38" t="s">
        <v>106</v>
      </c>
      <c r="G24301" s="49" t="str">
        <f t="shared" si="1"/>
        <v>89360</v>
      </c>
      <c r="H24301" s="49">
        <f t="shared" si="2"/>
        <v>89292</v>
      </c>
    </row>
    <row r="24302">
      <c r="A24302" s="48" t="s">
        <v>2664</v>
      </c>
      <c r="B24302" s="38">
        <v>87158.0</v>
      </c>
      <c r="C24302" s="38" t="s">
        <v>28828</v>
      </c>
      <c r="D24302" s="38" t="str">
        <f>IFERROR(__xludf.DUMMYFUNCTION("REGEXREPLACE(C24302,""-\d+(.*)|--\d+(.*)"","""")"),"SAINT-LAURENT-SUR-GORRE")</f>
        <v>SAINT-LAURENT-SUR-GORRE</v>
      </c>
      <c r="E24302" s="38" t="s">
        <v>897</v>
      </c>
      <c r="F24302" s="38" t="s">
        <v>98</v>
      </c>
      <c r="G24302" s="49" t="str">
        <f t="shared" si="1"/>
        <v>87310</v>
      </c>
      <c r="H24302" s="49">
        <f t="shared" si="2"/>
        <v>87158</v>
      </c>
    </row>
    <row r="24303">
      <c r="A24303" s="48" t="s">
        <v>11310</v>
      </c>
      <c r="B24303" s="38">
        <v>50593.0</v>
      </c>
      <c r="C24303" s="38" t="s">
        <v>28829</v>
      </c>
      <c r="D24303" s="38" t="str">
        <f>IFERROR(__xludf.DUMMYFUNCTION("REGEXREPLACE(C24303,""-\d+(.*)|--\d+(.*)"","""")"),"TEURTHEVILLE-BOCAGE")</f>
        <v>TEURTHEVILLE-BOCAGE</v>
      </c>
      <c r="E24303" s="38" t="s">
        <v>157</v>
      </c>
      <c r="F24303" s="38" t="s">
        <v>138</v>
      </c>
      <c r="G24303" s="49" t="str">
        <f t="shared" si="1"/>
        <v>50630</v>
      </c>
      <c r="H24303" s="49">
        <f t="shared" si="2"/>
        <v>50593</v>
      </c>
    </row>
    <row r="24304">
      <c r="A24304" s="48" t="s">
        <v>8453</v>
      </c>
      <c r="B24304" s="38">
        <v>8069.0</v>
      </c>
      <c r="C24304" s="38" t="s">
        <v>28830</v>
      </c>
      <c r="D24304" s="38" t="str">
        <f>IFERROR(__xludf.DUMMYFUNCTION("REGEXREPLACE(C24304,""-\d+(.*)|--\d+(.*)"","""")"),"BLANCHEFOSSE-ET-BAY")</f>
        <v>BLANCHEFOSSE-ET-BAY</v>
      </c>
      <c r="E24304" s="38" t="s">
        <v>327</v>
      </c>
      <c r="F24304" s="38" t="s">
        <v>130</v>
      </c>
      <c r="G24304" s="49" t="str">
        <f t="shared" si="1"/>
        <v>08290</v>
      </c>
      <c r="H24304" s="49" t="str">
        <f t="shared" si="2"/>
        <v>08069</v>
      </c>
    </row>
    <row r="24305">
      <c r="A24305" s="48" t="s">
        <v>10765</v>
      </c>
      <c r="B24305" s="38">
        <v>36067.0</v>
      </c>
      <c r="C24305" s="38" t="s">
        <v>28831</v>
      </c>
      <c r="D24305" s="38" t="str">
        <f>IFERROR(__xludf.DUMMYFUNCTION("REGEXREPLACE(C24305,""-\d+(.*)|--\d+(.*)"","""")"),"DUNET")</f>
        <v>DUNET</v>
      </c>
      <c r="E24305" s="38" t="s">
        <v>258</v>
      </c>
      <c r="F24305" s="38" t="s">
        <v>123</v>
      </c>
      <c r="G24305" s="49" t="str">
        <f t="shared" si="1"/>
        <v>36310</v>
      </c>
      <c r="H24305" s="49">
        <f t="shared" si="2"/>
        <v>36067</v>
      </c>
    </row>
    <row r="24306">
      <c r="A24306" s="48" t="s">
        <v>1199</v>
      </c>
      <c r="B24306" s="38">
        <v>55059.0</v>
      </c>
      <c r="C24306" s="38" t="s">
        <v>28832</v>
      </c>
      <c r="D24306" s="38" t="str">
        <f>IFERROR(__xludf.DUMMYFUNCTION("REGEXREPLACE(C24306,""-\d+(.*)|--\d+(.*)"","""")"),"BONNET")</f>
        <v>BONNET</v>
      </c>
      <c r="E24306" s="38" t="s">
        <v>322</v>
      </c>
      <c r="F24306" s="38" t="s">
        <v>195</v>
      </c>
      <c r="G24306" s="49" t="str">
        <f t="shared" si="1"/>
        <v>55130</v>
      </c>
      <c r="H24306" s="49">
        <f t="shared" si="2"/>
        <v>55059</v>
      </c>
    </row>
    <row r="24307">
      <c r="A24307" s="48" t="s">
        <v>28833</v>
      </c>
      <c r="B24307" s="38">
        <v>69277.0</v>
      </c>
      <c r="C24307" s="38" t="s">
        <v>28834</v>
      </c>
      <c r="D24307" s="38" t="str">
        <f>IFERROR(__xludf.DUMMYFUNCTION("REGEXREPLACE(C24307,""-\d+(.*)|--\d+(.*)"","""")"),"GENAS")</f>
        <v>GENAS</v>
      </c>
      <c r="E24307" s="38" t="s">
        <v>350</v>
      </c>
      <c r="F24307" s="38" t="s">
        <v>102</v>
      </c>
      <c r="G24307" s="49" t="str">
        <f t="shared" si="1"/>
        <v>69740</v>
      </c>
      <c r="H24307" s="49">
        <f t="shared" si="2"/>
        <v>69277</v>
      </c>
    </row>
    <row r="24308">
      <c r="A24308" s="48" t="s">
        <v>1796</v>
      </c>
      <c r="B24308" s="38">
        <v>31472.0</v>
      </c>
      <c r="C24308" s="38" t="s">
        <v>28835</v>
      </c>
      <c r="D24308" s="38" t="str">
        <f>IFERROR(__xludf.DUMMYFUNCTION("REGEXREPLACE(C24308,""-\d+(.*)|--\d+(.*)"","""")"),"SAINT-BERTRAND-DE-COMMINGES")</f>
        <v>SAINT-BERTRAND-DE-COMMINGES</v>
      </c>
      <c r="E24308" s="38" t="s">
        <v>93</v>
      </c>
      <c r="F24308" s="38" t="s">
        <v>94</v>
      </c>
      <c r="G24308" s="49" t="str">
        <f t="shared" si="1"/>
        <v>31510</v>
      </c>
      <c r="H24308" s="49">
        <f t="shared" si="2"/>
        <v>31472</v>
      </c>
    </row>
    <row r="24309">
      <c r="A24309" s="48" t="s">
        <v>9378</v>
      </c>
      <c r="B24309" s="38">
        <v>11391.0</v>
      </c>
      <c r="C24309" s="38" t="s">
        <v>28836</v>
      </c>
      <c r="D24309" s="38" t="str">
        <f>IFERROR(__xludf.DUMMYFUNCTION("REGEXREPLACE(C24309,""-\d+(.*)|--\d+(.*)"","""")"),"LA TOURETTE-CABARDES")</f>
        <v>LA TOURETTE-CABARDES</v>
      </c>
      <c r="E24309" s="38" t="s">
        <v>278</v>
      </c>
      <c r="F24309" s="38" t="s">
        <v>119</v>
      </c>
      <c r="G24309" s="49" t="str">
        <f t="shared" si="1"/>
        <v>11380</v>
      </c>
      <c r="H24309" s="49">
        <f t="shared" si="2"/>
        <v>11391</v>
      </c>
    </row>
    <row r="24310">
      <c r="A24310" s="48" t="s">
        <v>3628</v>
      </c>
      <c r="B24310" s="38">
        <v>16354.0</v>
      </c>
      <c r="C24310" s="38" t="s">
        <v>28837</v>
      </c>
      <c r="D24310" s="38" t="str">
        <f>IFERROR(__xludf.DUMMYFUNCTION("REGEXREPLACE(C24310,""-\d+(.*)|--\d+(.*)"","""")"),"SAINTE-SOULINE")</f>
        <v>SAINTE-SOULINE</v>
      </c>
      <c r="E24310" s="38" t="s">
        <v>429</v>
      </c>
      <c r="F24310" s="38" t="s">
        <v>338</v>
      </c>
      <c r="G24310" s="49" t="str">
        <f t="shared" si="1"/>
        <v>16480</v>
      </c>
      <c r="H24310" s="49">
        <f t="shared" si="2"/>
        <v>16354</v>
      </c>
    </row>
    <row r="24311">
      <c r="A24311" s="48" t="s">
        <v>11428</v>
      </c>
      <c r="B24311" s="38">
        <v>42007.0</v>
      </c>
      <c r="C24311" s="38" t="s">
        <v>28838</v>
      </c>
      <c r="D24311" s="38" t="str">
        <f>IFERROR(__xludf.DUMMYFUNCTION("REGEXREPLACE(C24311,""-\d+(.*)|--\d+(.*)"","""")"),"ARCINGES")</f>
        <v>ARCINGES</v>
      </c>
      <c r="E24311" s="38" t="s">
        <v>166</v>
      </c>
      <c r="F24311" s="38" t="s">
        <v>102</v>
      </c>
      <c r="G24311" s="49" t="str">
        <f t="shared" si="1"/>
        <v>42460</v>
      </c>
      <c r="H24311" s="49">
        <f t="shared" si="2"/>
        <v>42007</v>
      </c>
    </row>
    <row r="24312">
      <c r="A24312" s="48" t="s">
        <v>1918</v>
      </c>
      <c r="B24312" s="38">
        <v>10335.0</v>
      </c>
      <c r="C24312" s="38" t="s">
        <v>28839</v>
      </c>
      <c r="D24312" s="38" t="str">
        <f>IFERROR(__xludf.DUMMYFUNCTION("REGEXREPLACE(C24312,""-\d+(.*)|--\d+(.*)"","""")"),"SAINT-BENOIST-SUR-VANNE")</f>
        <v>SAINT-BENOIST-SUR-VANNE</v>
      </c>
      <c r="E24312" s="38" t="s">
        <v>147</v>
      </c>
      <c r="F24312" s="38" t="s">
        <v>130</v>
      </c>
      <c r="G24312" s="49" t="str">
        <f t="shared" si="1"/>
        <v>10160</v>
      </c>
      <c r="H24312" s="49">
        <f t="shared" si="2"/>
        <v>10335</v>
      </c>
    </row>
    <row r="24313">
      <c r="A24313" s="48" t="s">
        <v>2029</v>
      </c>
      <c r="B24313" s="38">
        <v>50509.0</v>
      </c>
      <c r="C24313" s="38" t="s">
        <v>26756</v>
      </c>
      <c r="D24313" s="38" t="str">
        <f>IFERROR(__xludf.DUMMYFUNCTION("REGEXREPLACE(C24313,""-\d+(.*)|--\d+(.*)"","""")"),"SAINTE-MARIE-DU-MONT")</f>
        <v>SAINTE-MARIE-DU-MONT</v>
      </c>
      <c r="E24313" s="38" t="s">
        <v>157</v>
      </c>
      <c r="F24313" s="38" t="s">
        <v>138</v>
      </c>
      <c r="G24313" s="49" t="str">
        <f t="shared" si="1"/>
        <v>50480</v>
      </c>
      <c r="H24313" s="49">
        <f t="shared" si="2"/>
        <v>50509</v>
      </c>
    </row>
    <row r="24314">
      <c r="A24314" s="48" t="s">
        <v>7355</v>
      </c>
      <c r="B24314" s="38">
        <v>33178.0</v>
      </c>
      <c r="C24314" s="38" t="s">
        <v>28840</v>
      </c>
      <c r="D24314" s="38" t="str">
        <f>IFERROR(__xludf.DUMMYFUNCTION("REGEXREPLACE(C24314,""-\d+(.*)|--\d+(.*)"","""")"),"GAJAC")</f>
        <v>GAJAC</v>
      </c>
      <c r="E24314" s="38" t="s">
        <v>462</v>
      </c>
      <c r="F24314" s="38" t="s">
        <v>252</v>
      </c>
      <c r="G24314" s="49" t="str">
        <f t="shared" si="1"/>
        <v>33430</v>
      </c>
      <c r="H24314" s="49">
        <f t="shared" si="2"/>
        <v>33178</v>
      </c>
    </row>
    <row r="24315">
      <c r="A24315" s="48" t="s">
        <v>2824</v>
      </c>
      <c r="B24315" s="38">
        <v>25511.0</v>
      </c>
      <c r="C24315" s="38" t="s">
        <v>28841</v>
      </c>
      <c r="D24315" s="38" t="str">
        <f>IFERROR(__xludf.DUMMYFUNCTION("REGEXREPLACE(C24315,""-\d+(.*)|--\d+(.*)"","""")"),"RUREY")</f>
        <v>RUREY</v>
      </c>
      <c r="E24315" s="38" t="s">
        <v>213</v>
      </c>
      <c r="F24315" s="38" t="s">
        <v>214</v>
      </c>
      <c r="G24315" s="49" t="str">
        <f t="shared" si="1"/>
        <v>25290</v>
      </c>
      <c r="H24315" s="49">
        <f t="shared" si="2"/>
        <v>25511</v>
      </c>
    </row>
    <row r="24316">
      <c r="A24316" s="48" t="s">
        <v>242</v>
      </c>
      <c r="B24316" s="38">
        <v>77382.0</v>
      </c>
      <c r="C24316" s="38" t="s">
        <v>28842</v>
      </c>
      <c r="D24316" s="38" t="str">
        <f>IFERROR(__xludf.DUMMYFUNCTION("REGEXREPLACE(C24316,""-\d+(.*)|--\d+(.*)"","""")"),"QUINCY-VOISINS")</f>
        <v>QUINCY-VOISINS</v>
      </c>
      <c r="E24316" s="38" t="s">
        <v>244</v>
      </c>
      <c r="F24316" s="38" t="s">
        <v>245</v>
      </c>
      <c r="G24316" s="49" t="str">
        <f t="shared" si="1"/>
        <v>77860</v>
      </c>
      <c r="H24316" s="49">
        <f t="shared" si="2"/>
        <v>77382</v>
      </c>
    </row>
    <row r="24317">
      <c r="A24317" s="48" t="s">
        <v>13638</v>
      </c>
      <c r="B24317" s="38">
        <v>56108.0</v>
      </c>
      <c r="C24317" s="38" t="s">
        <v>11004</v>
      </c>
      <c r="D24317" s="38" t="str">
        <f>IFERROR(__xludf.DUMMYFUNCTION("REGEXREPLACE(C24317,""-\d+(.*)|--\d+(.*)"","""")"),"LARRE")</f>
        <v>LARRE</v>
      </c>
      <c r="E24317" s="38" t="s">
        <v>173</v>
      </c>
      <c r="F24317" s="38" t="s">
        <v>90</v>
      </c>
      <c r="G24317" s="49" t="str">
        <f t="shared" si="1"/>
        <v>56230</v>
      </c>
      <c r="H24317" s="49">
        <f t="shared" si="2"/>
        <v>56108</v>
      </c>
    </row>
    <row r="24318">
      <c r="A24318" s="48" t="s">
        <v>6038</v>
      </c>
      <c r="B24318" s="38">
        <v>88452.0</v>
      </c>
      <c r="C24318" s="38" t="s">
        <v>28843</v>
      </c>
      <c r="D24318" s="38" t="str">
        <f>IFERROR(__xludf.DUMMYFUNCTION("REGEXREPLACE(C24318,""-\d+(.*)|--\d+(.*)"","""")"),"SENONGES")</f>
        <v>SENONGES</v>
      </c>
      <c r="E24318" s="38" t="s">
        <v>194</v>
      </c>
      <c r="F24318" s="38" t="s">
        <v>195</v>
      </c>
      <c r="G24318" s="49" t="str">
        <f t="shared" si="1"/>
        <v>88260</v>
      </c>
      <c r="H24318" s="49">
        <f t="shared" si="2"/>
        <v>88452</v>
      </c>
    </row>
    <row r="24319">
      <c r="A24319" s="48" t="s">
        <v>28844</v>
      </c>
      <c r="B24319" s="38">
        <v>34057.0</v>
      </c>
      <c r="C24319" s="38" t="s">
        <v>28845</v>
      </c>
      <c r="D24319" s="38" t="str">
        <f>IFERROR(__xludf.DUMMYFUNCTION("REGEXREPLACE(C24319,""-\d+(.*)|--\d+(.*)"","""")"),"CASTELNAU-LE-LEZ")</f>
        <v>CASTELNAU-LE-LEZ</v>
      </c>
      <c r="E24319" s="38" t="s">
        <v>118</v>
      </c>
      <c r="F24319" s="38" t="s">
        <v>119</v>
      </c>
      <c r="G24319" s="49" t="str">
        <f t="shared" si="1"/>
        <v>34170</v>
      </c>
      <c r="H24319" s="49">
        <f t="shared" si="2"/>
        <v>34057</v>
      </c>
    </row>
    <row r="24320">
      <c r="A24320" s="48" t="s">
        <v>1986</v>
      </c>
      <c r="B24320" s="38">
        <v>79139.0</v>
      </c>
      <c r="C24320" s="38" t="s">
        <v>28846</v>
      </c>
      <c r="D24320" s="38" t="str">
        <f>IFERROR(__xludf.DUMMYFUNCTION("REGEXREPLACE(C24320,""-\d+(.*)|--\d+(.*)"","""")"),"LES GROSEILLERS")</f>
        <v>LES GROSEILLERS</v>
      </c>
      <c r="E24320" s="38" t="s">
        <v>337</v>
      </c>
      <c r="F24320" s="38" t="s">
        <v>338</v>
      </c>
      <c r="G24320" s="49" t="str">
        <f t="shared" si="1"/>
        <v>79220</v>
      </c>
      <c r="H24320" s="49">
        <f t="shared" si="2"/>
        <v>79139</v>
      </c>
    </row>
    <row r="24321">
      <c r="A24321" s="48" t="s">
        <v>1585</v>
      </c>
      <c r="B24321" s="38">
        <v>12169.0</v>
      </c>
      <c r="C24321" s="38" t="s">
        <v>28847</v>
      </c>
      <c r="D24321" s="38" t="str">
        <f>IFERROR(__xludf.DUMMYFUNCTION("REGEXREPLACE(C24321,""-\d+(.*)|--\d+(.*)"","""")"),"NAUCELLE")</f>
        <v>NAUCELLE</v>
      </c>
      <c r="E24321" s="38" t="s">
        <v>465</v>
      </c>
      <c r="F24321" s="38" t="s">
        <v>94</v>
      </c>
      <c r="G24321" s="49" t="str">
        <f t="shared" si="1"/>
        <v>12800</v>
      </c>
      <c r="H24321" s="49">
        <f t="shared" si="2"/>
        <v>12169</v>
      </c>
    </row>
    <row r="24322">
      <c r="A24322" s="48" t="s">
        <v>171</v>
      </c>
      <c r="B24322" s="38">
        <v>56035.0</v>
      </c>
      <c r="C24322" s="38" t="s">
        <v>24859</v>
      </c>
      <c r="D24322" s="38" t="str">
        <f>IFERROR(__xludf.DUMMYFUNCTION("REGEXREPLACE(C24322,""-\d+(.*)|--\d+(.*)"","""")"),"CARO")</f>
        <v>CARO</v>
      </c>
      <c r="E24322" s="38" t="s">
        <v>173</v>
      </c>
      <c r="F24322" s="38" t="s">
        <v>90</v>
      </c>
      <c r="G24322" s="49" t="str">
        <f t="shared" si="1"/>
        <v>56140</v>
      </c>
      <c r="H24322" s="49">
        <f t="shared" si="2"/>
        <v>56035</v>
      </c>
    </row>
    <row r="24323">
      <c r="A24323" s="48" t="s">
        <v>171</v>
      </c>
      <c r="B24323" s="38">
        <v>56133.0</v>
      </c>
      <c r="C24323" s="38" t="s">
        <v>28848</v>
      </c>
      <c r="D24323" s="38" t="str">
        <f>IFERROR(__xludf.DUMMYFUNCTION("REGEXREPLACE(C24323,""-\d+(.*)|--\d+(.*)"","""")"),"MISSIRIAC")</f>
        <v>MISSIRIAC</v>
      </c>
      <c r="E24323" s="38" t="s">
        <v>173</v>
      </c>
      <c r="F24323" s="38" t="s">
        <v>90</v>
      </c>
      <c r="G24323" s="49" t="str">
        <f t="shared" si="1"/>
        <v>56140</v>
      </c>
      <c r="H24323" s="49">
        <f t="shared" si="2"/>
        <v>56133</v>
      </c>
    </row>
    <row r="24324">
      <c r="A24324" s="48" t="s">
        <v>993</v>
      </c>
      <c r="B24324" s="38">
        <v>73264.0</v>
      </c>
      <c r="C24324" s="38" t="s">
        <v>28849</v>
      </c>
      <c r="D24324" s="38" t="str">
        <f>IFERROR(__xludf.DUMMYFUNCTION("REGEXREPLACE(C24324,""-\d+(.*)|--\d+(.*)"","""")"),"SAINT-OFFENGE-DESSUS")</f>
        <v>SAINT-OFFENGE-DESSUS</v>
      </c>
      <c r="E24324" s="38" t="s">
        <v>306</v>
      </c>
      <c r="F24324" s="38" t="s">
        <v>102</v>
      </c>
      <c r="G24324" s="49" t="str">
        <f t="shared" si="1"/>
        <v>73100</v>
      </c>
      <c r="H24324" s="49">
        <f t="shared" si="2"/>
        <v>73264</v>
      </c>
    </row>
    <row r="24325">
      <c r="A24325" s="48" t="s">
        <v>5230</v>
      </c>
      <c r="B24325" s="38">
        <v>25266.0</v>
      </c>
      <c r="C24325" s="38" t="s">
        <v>28850</v>
      </c>
      <c r="D24325" s="38" t="str">
        <f>IFERROR(__xludf.DUMMYFUNCTION("REGEXREPLACE(C24325,""-\d+(.*)|--\d+(.*)"","""")"),"GENEY")</f>
        <v>GENEY</v>
      </c>
      <c r="E24325" s="38" t="s">
        <v>213</v>
      </c>
      <c r="F24325" s="38" t="s">
        <v>214</v>
      </c>
      <c r="G24325" s="49" t="str">
        <f t="shared" si="1"/>
        <v>25250</v>
      </c>
      <c r="H24325" s="49">
        <f t="shared" si="2"/>
        <v>25266</v>
      </c>
    </row>
    <row r="24326">
      <c r="A24326" s="48" t="s">
        <v>296</v>
      </c>
      <c r="B24326" s="38">
        <v>41231.0</v>
      </c>
      <c r="C24326" s="38" t="s">
        <v>28851</v>
      </c>
      <c r="D24326" s="38" t="str">
        <f>IFERROR(__xludf.DUMMYFUNCTION("REGEXREPLACE(C24326,""-\d+(.*)|--\d+(.*)"","""")"),"SAINT-VIATRE")</f>
        <v>SAINT-VIATRE</v>
      </c>
      <c r="E24326" s="38" t="s">
        <v>188</v>
      </c>
      <c r="F24326" s="38" t="s">
        <v>123</v>
      </c>
      <c r="G24326" s="49" t="str">
        <f t="shared" si="1"/>
        <v>41210</v>
      </c>
      <c r="H24326" s="49">
        <f t="shared" si="2"/>
        <v>41231</v>
      </c>
    </row>
    <row r="24327">
      <c r="A24327" s="48" t="s">
        <v>12258</v>
      </c>
      <c r="B24327" s="38">
        <v>69157.0</v>
      </c>
      <c r="C24327" s="38" t="s">
        <v>28852</v>
      </c>
      <c r="D24327" s="38" t="str">
        <f>IFERROR(__xludf.DUMMYFUNCTION("REGEXREPLACE(C24327,""-\d+(.*)|--\d+(.*)"","""")"),"PONTCHARRA-SUR-TURDINE")</f>
        <v>PONTCHARRA-SUR-TURDINE</v>
      </c>
      <c r="E24327" s="38" t="s">
        <v>350</v>
      </c>
      <c r="F24327" s="38" t="s">
        <v>102</v>
      </c>
      <c r="G24327" s="49" t="str">
        <f t="shared" si="1"/>
        <v>69490</v>
      </c>
      <c r="H24327" s="49">
        <f t="shared" si="2"/>
        <v>69157</v>
      </c>
    </row>
    <row r="24328">
      <c r="A24328" s="48" t="s">
        <v>6570</v>
      </c>
      <c r="B24328" s="38">
        <v>33555.0</v>
      </c>
      <c r="C24328" s="38" t="s">
        <v>28853</v>
      </c>
      <c r="D24328" s="38" t="str">
        <f>IFERROR(__xludf.DUMMYFUNCTION("REGEXREPLACE(C24328,""-\d+(.*)|--\d+(.*)"","""")"),"MARCHEPRIME")</f>
        <v>MARCHEPRIME</v>
      </c>
      <c r="E24328" s="38" t="s">
        <v>462</v>
      </c>
      <c r="F24328" s="38" t="s">
        <v>252</v>
      </c>
      <c r="G24328" s="49" t="str">
        <f t="shared" si="1"/>
        <v>33380</v>
      </c>
      <c r="H24328" s="49">
        <f t="shared" si="2"/>
        <v>33555</v>
      </c>
    </row>
    <row r="24329">
      <c r="A24329" s="48" t="s">
        <v>9871</v>
      </c>
      <c r="B24329" s="38">
        <v>22188.0</v>
      </c>
      <c r="C24329" s="38" t="s">
        <v>28854</v>
      </c>
      <c r="D24329" s="38" t="str">
        <f>IFERROR(__xludf.DUMMYFUNCTION("REGEXREPLACE(C24329,""-\d+(.*)|--\d+(.*)"","""")"),"PLERNEUF")</f>
        <v>PLERNEUF</v>
      </c>
      <c r="E24329" s="38" t="s">
        <v>89</v>
      </c>
      <c r="F24329" s="38" t="s">
        <v>90</v>
      </c>
      <c r="G24329" s="49" t="str">
        <f t="shared" si="1"/>
        <v>22170</v>
      </c>
      <c r="H24329" s="49">
        <f t="shared" si="2"/>
        <v>22188</v>
      </c>
    </row>
    <row r="24330">
      <c r="A24330" s="48" t="s">
        <v>754</v>
      </c>
      <c r="B24330" s="38">
        <v>91247.0</v>
      </c>
      <c r="C24330" s="38" t="s">
        <v>28855</v>
      </c>
      <c r="D24330" s="38" t="str">
        <f>IFERROR(__xludf.DUMMYFUNCTION("REGEXREPLACE(C24330,""-\d+(.*)|--\d+(.*)"","""")"),"LA FORET-LE-ROI")</f>
        <v>LA FORET-LE-ROI</v>
      </c>
      <c r="E24330" s="38" t="s">
        <v>756</v>
      </c>
      <c r="F24330" s="38" t="s">
        <v>245</v>
      </c>
      <c r="G24330" s="49" t="str">
        <f t="shared" si="1"/>
        <v>91410</v>
      </c>
      <c r="H24330" s="49">
        <f t="shared" si="2"/>
        <v>91247</v>
      </c>
    </row>
    <row r="24331">
      <c r="A24331" s="48" t="s">
        <v>2744</v>
      </c>
      <c r="B24331" s="38">
        <v>17183.0</v>
      </c>
      <c r="C24331" s="38" t="s">
        <v>28856</v>
      </c>
      <c r="D24331" s="38" t="str">
        <f>IFERROR(__xludf.DUMMYFUNCTION("REGEXREPLACE(C24331,""-\d+(.*)|--\d+(.*)"","""")"),"GREZAC")</f>
        <v>GREZAC</v>
      </c>
      <c r="E24331" s="38" t="s">
        <v>488</v>
      </c>
      <c r="F24331" s="38" t="s">
        <v>338</v>
      </c>
      <c r="G24331" s="49" t="str">
        <f t="shared" si="1"/>
        <v>17120</v>
      </c>
      <c r="H24331" s="49">
        <f t="shared" si="2"/>
        <v>17183</v>
      </c>
    </row>
    <row r="24332">
      <c r="A24332" s="48" t="s">
        <v>26234</v>
      </c>
      <c r="B24332" s="38">
        <v>38527.0</v>
      </c>
      <c r="C24332" s="38" t="s">
        <v>28857</v>
      </c>
      <c r="D24332" s="38" t="str">
        <f>IFERROR(__xludf.DUMMYFUNCTION("REGEXREPLACE(C24332,""-\d+(.*)|--\d+(.*)"","""")"),"VAUJANY")</f>
        <v>VAUJANY</v>
      </c>
      <c r="E24332" s="38" t="s">
        <v>101</v>
      </c>
      <c r="F24332" s="38" t="s">
        <v>102</v>
      </c>
      <c r="G24332" s="49" t="str">
        <f t="shared" si="1"/>
        <v>38114</v>
      </c>
      <c r="H24332" s="49">
        <f t="shared" si="2"/>
        <v>38527</v>
      </c>
    </row>
    <row r="24333">
      <c r="A24333" s="48" t="s">
        <v>2893</v>
      </c>
      <c r="B24333" s="38">
        <v>27484.0</v>
      </c>
      <c r="C24333" s="38" t="s">
        <v>28858</v>
      </c>
      <c r="D24333" s="38" t="str">
        <f>IFERROR(__xludf.DUMMYFUNCTION("REGEXREPLACE(C24333,""-\d+(.*)|--\d+(.*)"","""")"),"QUESSIGNY")</f>
        <v>QUESSIGNY</v>
      </c>
      <c r="E24333" s="38" t="s">
        <v>241</v>
      </c>
      <c r="F24333" s="38" t="s">
        <v>134</v>
      </c>
      <c r="G24333" s="49" t="str">
        <f t="shared" si="1"/>
        <v>27220</v>
      </c>
      <c r="H24333" s="49">
        <f t="shared" si="2"/>
        <v>27484</v>
      </c>
    </row>
    <row r="24334">
      <c r="A24334" s="48" t="s">
        <v>8586</v>
      </c>
      <c r="B24334" s="38">
        <v>46148.0</v>
      </c>
      <c r="C24334" s="38" t="s">
        <v>28859</v>
      </c>
      <c r="D24334" s="38" t="str">
        <f>IFERROR(__xludf.DUMMYFUNCTION("REGEXREPLACE(C24334,""-\d+(.*)|--\d+(.*)"","""")"),"LALBENQUE")</f>
        <v>LALBENQUE</v>
      </c>
      <c r="E24334" s="38" t="s">
        <v>185</v>
      </c>
      <c r="F24334" s="38" t="s">
        <v>94</v>
      </c>
      <c r="G24334" s="49" t="str">
        <f t="shared" si="1"/>
        <v>46230</v>
      </c>
      <c r="H24334" s="49">
        <f t="shared" si="2"/>
        <v>46148</v>
      </c>
    </row>
    <row r="24335">
      <c r="A24335" s="48" t="s">
        <v>17203</v>
      </c>
      <c r="B24335" s="38" t="s">
        <v>28860</v>
      </c>
      <c r="C24335" s="38" t="s">
        <v>28861</v>
      </c>
      <c r="D24335" s="38" t="str">
        <f>IFERROR(__xludf.DUMMYFUNCTION("REGEXREPLACE(C24335,""-\d+(.*)|--\d+(.*)"","""")"),"FELICETO")</f>
        <v>FELICETO</v>
      </c>
      <c r="E24335" s="38" t="s">
        <v>743</v>
      </c>
      <c r="F24335" s="38" t="s">
        <v>607</v>
      </c>
      <c r="G24335" s="49" t="str">
        <f t="shared" si="1"/>
        <v>20225</v>
      </c>
      <c r="H24335" s="49" t="str">
        <f t="shared" si="2"/>
        <v>2B112</v>
      </c>
    </row>
    <row r="24336">
      <c r="A24336" s="48" t="s">
        <v>8252</v>
      </c>
      <c r="B24336" s="38">
        <v>60345.0</v>
      </c>
      <c r="C24336" s="38" t="s">
        <v>28862</v>
      </c>
      <c r="D24336" s="38" t="str">
        <f>IFERROR(__xludf.DUMMYFUNCTION("REGEXREPLACE(C24336,""-\d+(.*)|--\d+(.*)"","""")"),"LAMECOURT")</f>
        <v>LAMECOURT</v>
      </c>
      <c r="E24336" s="38" t="s">
        <v>112</v>
      </c>
      <c r="F24336" s="38" t="s">
        <v>113</v>
      </c>
      <c r="G24336" s="49" t="str">
        <f t="shared" si="1"/>
        <v>60600</v>
      </c>
      <c r="H24336" s="49">
        <f t="shared" si="2"/>
        <v>60345</v>
      </c>
    </row>
    <row r="24337">
      <c r="A24337" s="48" t="s">
        <v>5205</v>
      </c>
      <c r="B24337" s="38">
        <v>59664.0</v>
      </c>
      <c r="C24337" s="38" t="s">
        <v>28863</v>
      </c>
      <c r="D24337" s="38" t="str">
        <f>IFERROR(__xludf.DUMMYFUNCTION("REGEXREPLACE(C24337,""-\d+(.*)|--\d+(.*)"","""")"),"WULVERDINGHE")</f>
        <v>WULVERDINGHE</v>
      </c>
      <c r="E24337" s="38" t="s">
        <v>85</v>
      </c>
      <c r="F24337" s="38" t="s">
        <v>86</v>
      </c>
      <c r="G24337" s="49" t="str">
        <f t="shared" si="1"/>
        <v>59143</v>
      </c>
      <c r="H24337" s="49">
        <f t="shared" si="2"/>
        <v>59664</v>
      </c>
    </row>
    <row r="24338">
      <c r="A24338" s="48" t="s">
        <v>95</v>
      </c>
      <c r="B24338" s="38">
        <v>23029.0</v>
      </c>
      <c r="C24338" s="38" t="s">
        <v>28864</v>
      </c>
      <c r="D24338" s="38" t="str">
        <f>IFERROR(__xludf.DUMMYFUNCTION("REGEXREPLACE(C24338,""-\d+(.*)|--\d+(.*)"","""")"),"LE BOURG-D'HEM")</f>
        <v>LE BOURG-D'HEM</v>
      </c>
      <c r="E24338" s="38" t="s">
        <v>97</v>
      </c>
      <c r="F24338" s="38" t="s">
        <v>98</v>
      </c>
      <c r="G24338" s="49" t="str">
        <f t="shared" si="1"/>
        <v>23220</v>
      </c>
      <c r="H24338" s="49">
        <f t="shared" si="2"/>
        <v>23029</v>
      </c>
    </row>
    <row r="24339">
      <c r="A24339" s="48" t="s">
        <v>6323</v>
      </c>
      <c r="B24339" s="38">
        <v>50015.0</v>
      </c>
      <c r="C24339" s="38" t="s">
        <v>28865</v>
      </c>
      <c r="D24339" s="38" t="str">
        <f>IFERROR(__xludf.DUMMYFUNCTION("REGEXREPLACE(C24339,""-\d+(.*)|--\d+(.*)"","""")"),"ANNOVILLE")</f>
        <v>ANNOVILLE</v>
      </c>
      <c r="E24339" s="38" t="s">
        <v>157</v>
      </c>
      <c r="F24339" s="38" t="s">
        <v>138</v>
      </c>
      <c r="G24339" s="49" t="str">
        <f t="shared" si="1"/>
        <v>50660</v>
      </c>
      <c r="H24339" s="49">
        <f t="shared" si="2"/>
        <v>50015</v>
      </c>
    </row>
    <row r="24340">
      <c r="A24340" s="48" t="s">
        <v>9769</v>
      </c>
      <c r="B24340" s="38">
        <v>46009.0</v>
      </c>
      <c r="C24340" s="38" t="s">
        <v>28866</v>
      </c>
      <c r="D24340" s="38" t="str">
        <f>IFERROR(__xludf.DUMMYFUNCTION("REGEXREPLACE(C24340,""-\d+(.*)|--\d+(.*)"","""")"),"ASSIER")</f>
        <v>ASSIER</v>
      </c>
      <c r="E24340" s="38" t="s">
        <v>185</v>
      </c>
      <c r="F24340" s="38" t="s">
        <v>94</v>
      </c>
      <c r="G24340" s="49" t="str">
        <f t="shared" si="1"/>
        <v>46320</v>
      </c>
      <c r="H24340" s="49">
        <f t="shared" si="2"/>
        <v>46009</v>
      </c>
    </row>
    <row r="24341">
      <c r="A24341" s="48" t="s">
        <v>28536</v>
      </c>
      <c r="B24341" s="38">
        <v>42257.0</v>
      </c>
      <c r="C24341" s="38" t="s">
        <v>28867</v>
      </c>
      <c r="D24341" s="38" t="str">
        <f>IFERROR(__xludf.DUMMYFUNCTION("REGEXREPLACE(C24341,""-\d+(.*)|--\d+(.*)"","""")"),"SAINT-MARTIN-D'ESTREAUX")</f>
        <v>SAINT-MARTIN-D'ESTREAUX</v>
      </c>
      <c r="E24341" s="38" t="s">
        <v>166</v>
      </c>
      <c r="F24341" s="38" t="s">
        <v>102</v>
      </c>
      <c r="G24341" s="49" t="str">
        <f t="shared" si="1"/>
        <v>42620</v>
      </c>
      <c r="H24341" s="49">
        <f t="shared" si="2"/>
        <v>42257</v>
      </c>
    </row>
    <row r="24342">
      <c r="A24342" s="48" t="s">
        <v>1383</v>
      </c>
      <c r="B24342" s="38">
        <v>72377.0</v>
      </c>
      <c r="C24342" s="38" t="s">
        <v>28868</v>
      </c>
      <c r="D24342" s="38" t="str">
        <f>IFERROR(__xludf.DUMMYFUNCTION("REGEXREPLACE(C24342,""-\d+(.*)|--\d+(.*)"","""")"),"VILLAINES-SOUS-MALICORNE")</f>
        <v>VILLAINES-SOUS-MALICORNE</v>
      </c>
      <c r="E24342" s="38" t="s">
        <v>521</v>
      </c>
      <c r="F24342" s="38" t="s">
        <v>180</v>
      </c>
      <c r="G24342" s="49" t="str">
        <f t="shared" si="1"/>
        <v>72270</v>
      </c>
      <c r="H24342" s="49">
        <f t="shared" si="2"/>
        <v>72377</v>
      </c>
    </row>
    <row r="24343">
      <c r="A24343" s="48" t="s">
        <v>1327</v>
      </c>
      <c r="B24343" s="38">
        <v>51089.0</v>
      </c>
      <c r="C24343" s="38" t="s">
        <v>28869</v>
      </c>
      <c r="D24343" s="38" t="str">
        <f>IFERROR(__xludf.DUMMYFUNCTION("REGEXREPLACE(C24343,""-\d+(.*)|--\d+(.*)"","""")"),"BROUILLET")</f>
        <v>BROUILLET</v>
      </c>
      <c r="E24343" s="38" t="s">
        <v>129</v>
      </c>
      <c r="F24343" s="38" t="s">
        <v>130</v>
      </c>
      <c r="G24343" s="49" t="str">
        <f t="shared" si="1"/>
        <v>51170</v>
      </c>
      <c r="H24343" s="49">
        <f t="shared" si="2"/>
        <v>51089</v>
      </c>
    </row>
    <row r="24344">
      <c r="A24344" s="48" t="s">
        <v>22807</v>
      </c>
      <c r="B24344" s="38">
        <v>68296.0</v>
      </c>
      <c r="C24344" s="38" t="s">
        <v>5910</v>
      </c>
      <c r="D24344" s="38" t="str">
        <f>IFERROR(__xludf.DUMMYFUNCTION("REGEXREPLACE(C24344,""-\d+(.*)|--\d+(.*)"","""")"),"SAINT-HIPPOLYTE")</f>
        <v>SAINT-HIPPOLYTE</v>
      </c>
      <c r="E24344" s="38" t="s">
        <v>150</v>
      </c>
      <c r="F24344" s="38" t="s">
        <v>151</v>
      </c>
      <c r="G24344" s="49" t="str">
        <f t="shared" si="1"/>
        <v>68590</v>
      </c>
      <c r="H24344" s="49">
        <f t="shared" si="2"/>
        <v>68296</v>
      </c>
    </row>
    <row r="24345">
      <c r="A24345" s="48" t="s">
        <v>2833</v>
      </c>
      <c r="B24345" s="38">
        <v>77086.0</v>
      </c>
      <c r="C24345" s="38" t="s">
        <v>24408</v>
      </c>
      <c r="D24345" s="38" t="str">
        <f>IFERROR(__xludf.DUMMYFUNCTION("REGEXREPLACE(C24345,""-\d+(.*)|--\d+(.*)"","""")"),"LA CHAPELLE-GAUTHIER")</f>
        <v>LA CHAPELLE-GAUTHIER</v>
      </c>
      <c r="E24345" s="38" t="s">
        <v>244</v>
      </c>
      <c r="F24345" s="38" t="s">
        <v>245</v>
      </c>
      <c r="G24345" s="49" t="str">
        <f t="shared" si="1"/>
        <v>77720</v>
      </c>
      <c r="H24345" s="49">
        <f t="shared" si="2"/>
        <v>77086</v>
      </c>
    </row>
    <row r="24346">
      <c r="A24346" s="48" t="s">
        <v>985</v>
      </c>
      <c r="B24346" s="38">
        <v>13089.0</v>
      </c>
      <c r="C24346" s="38" t="s">
        <v>28870</v>
      </c>
      <c r="D24346" s="38" t="str">
        <f>IFERROR(__xludf.DUMMYFUNCTION("REGEXREPLACE(C24346,""-\d+(.*)|--\d+(.*)"","""")"),"SAINT-ANDIOL")</f>
        <v>SAINT-ANDIOL</v>
      </c>
      <c r="E24346" s="38" t="s">
        <v>980</v>
      </c>
      <c r="F24346" s="38" t="s">
        <v>228</v>
      </c>
      <c r="G24346" s="49" t="str">
        <f t="shared" si="1"/>
        <v>13670</v>
      </c>
      <c r="H24346" s="49">
        <f t="shared" si="2"/>
        <v>13089</v>
      </c>
    </row>
    <row r="24347">
      <c r="A24347" s="48" t="s">
        <v>3727</v>
      </c>
      <c r="B24347" s="38">
        <v>59253.0</v>
      </c>
      <c r="C24347" s="38" t="s">
        <v>28871</v>
      </c>
      <c r="D24347" s="38" t="str">
        <f>IFERROR(__xludf.DUMMYFUNCTION("REGEXREPLACE(C24347,""-\d+(.*)|--\d+(.*)"","""")"),"FRESNES-SUR-ESCAUT")</f>
        <v>FRESNES-SUR-ESCAUT</v>
      </c>
      <c r="E24347" s="38" t="s">
        <v>85</v>
      </c>
      <c r="F24347" s="38" t="s">
        <v>86</v>
      </c>
      <c r="G24347" s="49" t="str">
        <f t="shared" si="1"/>
        <v>59970</v>
      </c>
      <c r="H24347" s="49">
        <f t="shared" si="2"/>
        <v>59253</v>
      </c>
    </row>
    <row r="24348">
      <c r="A24348" s="48" t="s">
        <v>576</v>
      </c>
      <c r="B24348" s="38">
        <v>54259.0</v>
      </c>
      <c r="C24348" s="38" t="s">
        <v>28872</v>
      </c>
      <c r="D24348" s="38" t="str">
        <f>IFERROR(__xludf.DUMMYFUNCTION("REGEXREPLACE(C24348,""-\d+(.*)|--\d+(.*)"","""")"),"HERBEVILLER")</f>
        <v>HERBEVILLER</v>
      </c>
      <c r="E24348" s="38" t="s">
        <v>548</v>
      </c>
      <c r="F24348" s="38" t="s">
        <v>195</v>
      </c>
      <c r="G24348" s="49" t="str">
        <f t="shared" si="1"/>
        <v>54450</v>
      </c>
      <c r="H24348" s="49">
        <f t="shared" si="2"/>
        <v>54259</v>
      </c>
    </row>
    <row r="24349">
      <c r="A24349" s="48" t="s">
        <v>5162</v>
      </c>
      <c r="B24349" s="38">
        <v>47064.0</v>
      </c>
      <c r="C24349" s="38" t="s">
        <v>28873</v>
      </c>
      <c r="D24349" s="38" t="str">
        <f>IFERROR(__xludf.DUMMYFUNCTION("REGEXREPLACE(C24349,""-\d+(.*)|--\d+(.*)"","""")"),"CAZIDEROQUE")</f>
        <v>CAZIDEROQUE</v>
      </c>
      <c r="E24349" s="38" t="s">
        <v>251</v>
      </c>
      <c r="F24349" s="38" t="s">
        <v>252</v>
      </c>
      <c r="G24349" s="49" t="str">
        <f t="shared" si="1"/>
        <v>47370</v>
      </c>
      <c r="H24349" s="49">
        <f t="shared" si="2"/>
        <v>47064</v>
      </c>
    </row>
    <row r="24350">
      <c r="A24350" s="48" t="s">
        <v>6542</v>
      </c>
      <c r="B24350" s="38">
        <v>40143.0</v>
      </c>
      <c r="C24350" s="38" t="s">
        <v>13442</v>
      </c>
      <c r="D24350" s="38" t="str">
        <f>IFERROR(__xludf.DUMMYFUNCTION("REGEXREPLACE(C24350,""-\d+(.*)|--\d+(.*)"","""")"),"LAMOTHE")</f>
        <v>LAMOTHE</v>
      </c>
      <c r="E24350" s="38" t="s">
        <v>281</v>
      </c>
      <c r="F24350" s="38" t="s">
        <v>252</v>
      </c>
      <c r="G24350" s="49" t="str">
        <f t="shared" si="1"/>
        <v>40250</v>
      </c>
      <c r="H24350" s="49">
        <f t="shared" si="2"/>
        <v>40143</v>
      </c>
    </row>
    <row r="24351">
      <c r="A24351" s="48" t="s">
        <v>28874</v>
      </c>
      <c r="B24351" s="38">
        <v>80793.0</v>
      </c>
      <c r="C24351" s="38" t="s">
        <v>28875</v>
      </c>
      <c r="D24351" s="38" t="str">
        <f>IFERROR(__xludf.DUMMYFUNCTION("REGEXREPLACE(C24351,""-\d+(.*)|--\d+(.*)"","""")"),"VIGNACOURT")</f>
        <v>VIGNACOURT</v>
      </c>
      <c r="E24351" s="38" t="s">
        <v>224</v>
      </c>
      <c r="F24351" s="38" t="s">
        <v>113</v>
      </c>
      <c r="G24351" s="49" t="str">
        <f t="shared" si="1"/>
        <v>80650</v>
      </c>
      <c r="H24351" s="49">
        <f t="shared" si="2"/>
        <v>80793</v>
      </c>
    </row>
    <row r="24352">
      <c r="A24352" s="48" t="s">
        <v>1180</v>
      </c>
      <c r="B24352" s="38">
        <v>60265.0</v>
      </c>
      <c r="C24352" s="38" t="s">
        <v>28876</v>
      </c>
      <c r="D24352" s="38" t="str">
        <f>IFERROR(__xludf.DUMMYFUNCTION("REGEXREPLACE(C24352,""-\d+(.*)|--\d+(.*)"","""")"),"FROISSY")</f>
        <v>FROISSY</v>
      </c>
      <c r="E24352" s="38" t="s">
        <v>112</v>
      </c>
      <c r="F24352" s="38" t="s">
        <v>113</v>
      </c>
      <c r="G24352" s="49" t="str">
        <f t="shared" si="1"/>
        <v>60480</v>
      </c>
      <c r="H24352" s="49">
        <f t="shared" si="2"/>
        <v>60265</v>
      </c>
    </row>
    <row r="24353">
      <c r="A24353" s="48" t="s">
        <v>9737</v>
      </c>
      <c r="B24353" s="38">
        <v>89164.0</v>
      </c>
      <c r="C24353" s="38" t="s">
        <v>27446</v>
      </c>
      <c r="D24353" s="38" t="str">
        <f>IFERROR(__xludf.DUMMYFUNCTION("REGEXREPLACE(C24353,""-\d+(.*)|--\d+(.*)"","""")"),"FESTIGNY")</f>
        <v>FESTIGNY</v>
      </c>
      <c r="E24353" s="38" t="s">
        <v>275</v>
      </c>
      <c r="F24353" s="38" t="s">
        <v>106</v>
      </c>
      <c r="G24353" s="49" t="str">
        <f t="shared" si="1"/>
        <v>89480</v>
      </c>
      <c r="H24353" s="49">
        <f t="shared" si="2"/>
        <v>89164</v>
      </c>
    </row>
    <row r="24354">
      <c r="A24354" s="48" t="s">
        <v>1938</v>
      </c>
      <c r="B24354" s="38">
        <v>55566.0</v>
      </c>
      <c r="C24354" s="38" t="s">
        <v>28877</v>
      </c>
      <c r="D24354" s="38" t="str">
        <f>IFERROR(__xludf.DUMMYFUNCTION("REGEXREPLACE(C24354,""-\d+(.*)|--\d+(.*)"","""")"),"VILLERS-SUR-MEUSE")</f>
        <v>VILLERS-SUR-MEUSE</v>
      </c>
      <c r="E24354" s="38" t="s">
        <v>322</v>
      </c>
      <c r="F24354" s="38" t="s">
        <v>195</v>
      </c>
      <c r="G24354" s="49" t="str">
        <f t="shared" si="1"/>
        <v>55220</v>
      </c>
      <c r="H24354" s="49">
        <f t="shared" si="2"/>
        <v>55566</v>
      </c>
    </row>
    <row r="24355">
      <c r="A24355" s="48" t="s">
        <v>378</v>
      </c>
      <c r="B24355" s="38">
        <v>37256.0</v>
      </c>
      <c r="C24355" s="38" t="s">
        <v>28878</v>
      </c>
      <c r="D24355" s="38" t="str">
        <f>IFERROR(__xludf.DUMMYFUNCTION("REGEXREPLACE(C24355,""-\d+(.*)|--\d+(.*)"","""")"),"THENEUIL")</f>
        <v>THENEUIL</v>
      </c>
      <c r="E24355" s="38" t="s">
        <v>205</v>
      </c>
      <c r="F24355" s="38" t="s">
        <v>123</v>
      </c>
      <c r="G24355" s="49" t="str">
        <f t="shared" si="1"/>
        <v>37220</v>
      </c>
      <c r="H24355" s="49">
        <f t="shared" si="2"/>
        <v>37256</v>
      </c>
    </row>
    <row r="24356">
      <c r="A24356" s="48" t="s">
        <v>28879</v>
      </c>
      <c r="B24356" s="38">
        <v>91215.0</v>
      </c>
      <c r="C24356" s="38" t="s">
        <v>28880</v>
      </c>
      <c r="D24356" s="38" t="str">
        <f>IFERROR(__xludf.DUMMYFUNCTION("REGEXREPLACE(C24356,""-\d+(.*)|--\d+(.*)"","""")"),"EPINAY-SOUS-SENART")</f>
        <v>EPINAY-SOUS-SENART</v>
      </c>
      <c r="E24356" s="38" t="s">
        <v>756</v>
      </c>
      <c r="F24356" s="38" t="s">
        <v>245</v>
      </c>
      <c r="G24356" s="49" t="str">
        <f t="shared" si="1"/>
        <v>91860</v>
      </c>
      <c r="H24356" s="49">
        <f t="shared" si="2"/>
        <v>91215</v>
      </c>
    </row>
    <row r="24357">
      <c r="A24357" s="48" t="s">
        <v>618</v>
      </c>
      <c r="B24357" s="38">
        <v>54291.0</v>
      </c>
      <c r="C24357" s="38" t="s">
        <v>28881</v>
      </c>
      <c r="D24357" s="38" t="str">
        <f>IFERROR(__xludf.DUMMYFUNCTION("REGEXREPLACE(C24357,""-\d+(.*)|--\d+(.*)"","""")"),"LALOEUF")</f>
        <v>LALOEUF</v>
      </c>
      <c r="E24357" s="38" t="s">
        <v>548</v>
      </c>
      <c r="F24357" s="38" t="s">
        <v>195</v>
      </c>
      <c r="G24357" s="49" t="str">
        <f t="shared" si="1"/>
        <v>54115</v>
      </c>
      <c r="H24357" s="49">
        <f t="shared" si="2"/>
        <v>54291</v>
      </c>
    </row>
    <row r="24358">
      <c r="A24358" s="48" t="s">
        <v>1970</v>
      </c>
      <c r="B24358" s="38">
        <v>74255.0</v>
      </c>
      <c r="C24358" s="38" t="s">
        <v>28882</v>
      </c>
      <c r="D24358" s="38" t="str">
        <f>IFERROR(__xludf.DUMMYFUNCTION("REGEXREPLACE(C24358,""-\d+(.*)|--\d+(.*)"","""")"),"SALES")</f>
        <v>SALES</v>
      </c>
      <c r="E24358" s="38" t="s">
        <v>319</v>
      </c>
      <c r="F24358" s="38" t="s">
        <v>102</v>
      </c>
      <c r="G24358" s="49" t="str">
        <f t="shared" si="1"/>
        <v>74150</v>
      </c>
      <c r="H24358" s="49">
        <f t="shared" si="2"/>
        <v>74255</v>
      </c>
    </row>
    <row r="24359">
      <c r="A24359" s="48" t="s">
        <v>11240</v>
      </c>
      <c r="B24359" s="38">
        <v>51529.0</v>
      </c>
      <c r="C24359" s="38" t="s">
        <v>659</v>
      </c>
      <c r="D24359" s="38" t="str">
        <f>IFERROR(__xludf.DUMMYFUNCTION("REGEXREPLACE(C24359,""-\d+(.*)|--\d+(.*)"","""")"),"SELLES")</f>
        <v>SELLES</v>
      </c>
      <c r="E24359" s="38" t="s">
        <v>129</v>
      </c>
      <c r="F24359" s="38" t="s">
        <v>130</v>
      </c>
      <c r="G24359" s="49" t="str">
        <f t="shared" si="1"/>
        <v>51490</v>
      </c>
      <c r="H24359" s="49">
        <f t="shared" si="2"/>
        <v>51529</v>
      </c>
    </row>
    <row r="24360">
      <c r="A24360" s="48" t="s">
        <v>13379</v>
      </c>
      <c r="B24360" s="38">
        <v>77296.0</v>
      </c>
      <c r="C24360" s="38" t="s">
        <v>28883</v>
      </c>
      <c r="D24360" s="38" t="str">
        <f>IFERROR(__xludf.DUMMYFUNCTION("REGEXREPLACE(C24360,""-\d+(.*)|--\d+(.*)"","""")"),"MOISSY-CRAMAYEL")</f>
        <v>MOISSY-CRAMAYEL</v>
      </c>
      <c r="E24360" s="38" t="s">
        <v>244</v>
      </c>
      <c r="F24360" s="38" t="s">
        <v>245</v>
      </c>
      <c r="G24360" s="49" t="str">
        <f t="shared" si="1"/>
        <v>77550</v>
      </c>
      <c r="H24360" s="49">
        <f t="shared" si="2"/>
        <v>77296</v>
      </c>
    </row>
    <row r="24361">
      <c r="A24361" s="48" t="s">
        <v>19821</v>
      </c>
      <c r="B24361" s="38">
        <v>53057.0</v>
      </c>
      <c r="C24361" s="38" t="s">
        <v>28884</v>
      </c>
      <c r="D24361" s="38" t="str">
        <f>IFERROR(__xludf.DUMMYFUNCTION("REGEXREPLACE(C24361,""-\d+(.*)|--\d+(.*)"","""")"),"LA CHAPELLE-AU-RIBOUL")</f>
        <v>LA CHAPELLE-AU-RIBOUL</v>
      </c>
      <c r="E24361" s="38" t="s">
        <v>518</v>
      </c>
      <c r="F24361" s="38" t="s">
        <v>180</v>
      </c>
      <c r="G24361" s="49" t="str">
        <f t="shared" si="1"/>
        <v>53440</v>
      </c>
      <c r="H24361" s="49">
        <f t="shared" si="2"/>
        <v>53057</v>
      </c>
    </row>
    <row r="24362">
      <c r="A24362" s="48" t="s">
        <v>1368</v>
      </c>
      <c r="B24362" s="38">
        <v>8325.0</v>
      </c>
      <c r="C24362" s="38" t="s">
        <v>28885</v>
      </c>
      <c r="D24362" s="38" t="str">
        <f>IFERROR(__xludf.DUMMYFUNCTION("REGEXREPLACE(C24362,""-\d+(.*)|--\d+(.*)"","""")"),"NOIRVAL")</f>
        <v>NOIRVAL</v>
      </c>
      <c r="E24362" s="38" t="s">
        <v>327</v>
      </c>
      <c r="F24362" s="38" t="s">
        <v>130</v>
      </c>
      <c r="G24362" s="49" t="str">
        <f t="shared" si="1"/>
        <v>08400</v>
      </c>
      <c r="H24362" s="49" t="str">
        <f t="shared" si="2"/>
        <v>08325</v>
      </c>
    </row>
    <row r="24363">
      <c r="A24363" s="48" t="s">
        <v>28886</v>
      </c>
      <c r="B24363" s="38">
        <v>77463.0</v>
      </c>
      <c r="C24363" s="38" t="s">
        <v>28887</v>
      </c>
      <c r="D24363" s="38" t="str">
        <f>IFERROR(__xludf.DUMMYFUNCTION("REGEXREPLACE(C24363,""-\d+(.*)|--\d+(.*)"","""")"),"THOMERY")</f>
        <v>THOMERY</v>
      </c>
      <c r="E24363" s="38" t="s">
        <v>244</v>
      </c>
      <c r="F24363" s="38" t="s">
        <v>245</v>
      </c>
      <c r="G24363" s="49" t="str">
        <f t="shared" si="1"/>
        <v>77810</v>
      </c>
      <c r="H24363" s="49">
        <f t="shared" si="2"/>
        <v>77463</v>
      </c>
    </row>
    <row r="24364">
      <c r="A24364" s="48" t="s">
        <v>4447</v>
      </c>
      <c r="B24364" s="38">
        <v>39495.0</v>
      </c>
      <c r="C24364" s="38" t="s">
        <v>28888</v>
      </c>
      <c r="D24364" s="38" t="str">
        <f>IFERROR(__xludf.DUMMYFUNCTION("REGEXREPLACE(C24364,""-\d+(.*)|--\d+(.*)"","""")"),"SAINT-THIEBAUD")</f>
        <v>SAINT-THIEBAUD</v>
      </c>
      <c r="E24364" s="38" t="s">
        <v>400</v>
      </c>
      <c r="F24364" s="38" t="s">
        <v>214</v>
      </c>
      <c r="G24364" s="49" t="str">
        <f t="shared" si="1"/>
        <v>39110</v>
      </c>
      <c r="H24364" s="49">
        <f t="shared" si="2"/>
        <v>39495</v>
      </c>
    </row>
    <row r="24365">
      <c r="A24365" s="48" t="s">
        <v>1220</v>
      </c>
      <c r="B24365" s="38">
        <v>76309.0</v>
      </c>
      <c r="C24365" s="38" t="s">
        <v>28889</v>
      </c>
      <c r="D24365" s="38" t="str">
        <f>IFERROR(__xludf.DUMMYFUNCTION("REGEXREPLACE(C24365,""-\d+(.*)|--\d+(.*)"","""")"),"GONZEVILLE")</f>
        <v>GONZEVILLE</v>
      </c>
      <c r="E24365" s="38" t="s">
        <v>133</v>
      </c>
      <c r="F24365" s="38" t="s">
        <v>134</v>
      </c>
      <c r="G24365" s="49" t="str">
        <f t="shared" si="1"/>
        <v>76560</v>
      </c>
      <c r="H24365" s="49">
        <f t="shared" si="2"/>
        <v>76309</v>
      </c>
    </row>
    <row r="24366">
      <c r="A24366" s="48" t="s">
        <v>1027</v>
      </c>
      <c r="B24366" s="38">
        <v>1294.0</v>
      </c>
      <c r="C24366" s="38" t="s">
        <v>28890</v>
      </c>
      <c r="D24366" s="38" t="str">
        <f>IFERROR(__xludf.DUMMYFUNCTION("REGEXREPLACE(C24366,""-\d+(.*)|--\d+(.*)"","""")"),"PEYRIEU")</f>
        <v>PEYRIEU</v>
      </c>
      <c r="E24366" s="38" t="s">
        <v>255</v>
      </c>
      <c r="F24366" s="38" t="s">
        <v>102</v>
      </c>
      <c r="G24366" s="49" t="str">
        <f t="shared" si="1"/>
        <v>01300</v>
      </c>
      <c r="H24366" s="49" t="str">
        <f t="shared" si="2"/>
        <v>01294</v>
      </c>
    </row>
    <row r="24367">
      <c r="A24367" s="48" t="s">
        <v>17500</v>
      </c>
      <c r="B24367" s="38">
        <v>9308.0</v>
      </c>
      <c r="C24367" s="38" t="s">
        <v>28891</v>
      </c>
      <c r="D24367" s="38" t="str">
        <f>IFERROR(__xludf.DUMMYFUNCTION("REGEXREPLACE(C24367,""-\d+(.*)|--\d+(.*)"","""")"),"TAURIGNAN-VIEUX")</f>
        <v>TAURIGNAN-VIEUX</v>
      </c>
      <c r="E24367" s="38" t="s">
        <v>238</v>
      </c>
      <c r="F24367" s="38" t="s">
        <v>94</v>
      </c>
      <c r="G24367" s="49" t="str">
        <f t="shared" si="1"/>
        <v>09190</v>
      </c>
      <c r="H24367" s="49" t="str">
        <f t="shared" si="2"/>
        <v>09308</v>
      </c>
    </row>
    <row r="24368">
      <c r="A24368" s="48" t="s">
        <v>2067</v>
      </c>
      <c r="B24368" s="38">
        <v>18081.0</v>
      </c>
      <c r="C24368" s="38" t="s">
        <v>28892</v>
      </c>
      <c r="D24368" s="38" t="str">
        <f>IFERROR(__xludf.DUMMYFUNCTION("REGEXREPLACE(C24368,""-\d+(.*)|--\d+(.*)"","""")"),"CROSSES")</f>
        <v>CROSSES</v>
      </c>
      <c r="E24368" s="38" t="s">
        <v>504</v>
      </c>
      <c r="F24368" s="38" t="s">
        <v>123</v>
      </c>
      <c r="G24368" s="49" t="str">
        <f t="shared" si="1"/>
        <v>18340</v>
      </c>
      <c r="H24368" s="49">
        <f t="shared" si="2"/>
        <v>18081</v>
      </c>
    </row>
    <row r="24369">
      <c r="A24369" s="48" t="s">
        <v>28893</v>
      </c>
      <c r="B24369" s="38">
        <v>77265.0</v>
      </c>
      <c r="C24369" s="38" t="s">
        <v>28894</v>
      </c>
      <c r="D24369" s="38" t="str">
        <f>IFERROR(__xludf.DUMMYFUNCTION("REGEXREPLACE(C24369,""-\d+(.*)|--\d+(.*)"","""")"),"LUZANCY")</f>
        <v>LUZANCY</v>
      </c>
      <c r="E24369" s="38" t="s">
        <v>244</v>
      </c>
      <c r="F24369" s="38" t="s">
        <v>245</v>
      </c>
      <c r="G24369" s="49" t="str">
        <f t="shared" si="1"/>
        <v>77138</v>
      </c>
      <c r="H24369" s="49">
        <f t="shared" si="2"/>
        <v>77265</v>
      </c>
    </row>
    <row r="24370">
      <c r="A24370" s="48" t="s">
        <v>4779</v>
      </c>
      <c r="B24370" s="38">
        <v>28187.0</v>
      </c>
      <c r="C24370" s="38" t="s">
        <v>28895</v>
      </c>
      <c r="D24370" s="38" t="str">
        <f>IFERROR(__xludf.DUMMYFUNCTION("REGEXREPLACE(C24370,""-\d+(.*)|--\d+(.*)"","""")"),"GUAINVILLE")</f>
        <v>GUAINVILLE</v>
      </c>
      <c r="E24370" s="38" t="s">
        <v>300</v>
      </c>
      <c r="F24370" s="38" t="s">
        <v>123</v>
      </c>
      <c r="G24370" s="49" t="str">
        <f t="shared" si="1"/>
        <v>28260</v>
      </c>
      <c r="H24370" s="49">
        <f t="shared" si="2"/>
        <v>28187</v>
      </c>
    </row>
    <row r="24371">
      <c r="A24371" s="48" t="s">
        <v>6767</v>
      </c>
      <c r="B24371" s="38">
        <v>15187.0</v>
      </c>
      <c r="C24371" s="38" t="s">
        <v>28896</v>
      </c>
      <c r="D24371" s="38" t="str">
        <f>IFERROR(__xludf.DUMMYFUNCTION("REGEXREPLACE(C24371,""-\d+(.*)|--\d+(.*)"","""")"),"SAINT-FLOUR")</f>
        <v>SAINT-FLOUR</v>
      </c>
      <c r="E24371" s="38" t="s">
        <v>632</v>
      </c>
      <c r="F24371" s="38" t="s">
        <v>161</v>
      </c>
      <c r="G24371" s="49" t="str">
        <f t="shared" si="1"/>
        <v>15100</v>
      </c>
      <c r="H24371" s="49">
        <f t="shared" si="2"/>
        <v>15187</v>
      </c>
    </row>
    <row r="24372">
      <c r="A24372" s="48" t="s">
        <v>1547</v>
      </c>
      <c r="B24372" s="38">
        <v>24344.0</v>
      </c>
      <c r="C24372" s="38" t="s">
        <v>28897</v>
      </c>
      <c r="D24372" s="38" t="str">
        <f>IFERROR(__xludf.DUMMYFUNCTION("REGEXREPLACE(C24372,""-\d+(.*)|--\d+(.*)"","""")"),"PUYRENIER")</f>
        <v>PUYRENIER</v>
      </c>
      <c r="E24372" s="38" t="s">
        <v>261</v>
      </c>
      <c r="F24372" s="38" t="s">
        <v>252</v>
      </c>
      <c r="G24372" s="49" t="str">
        <f t="shared" si="1"/>
        <v>24340</v>
      </c>
      <c r="H24372" s="49">
        <f t="shared" si="2"/>
        <v>24344</v>
      </c>
    </row>
    <row r="24373">
      <c r="A24373" s="48" t="s">
        <v>6016</v>
      </c>
      <c r="B24373" s="38">
        <v>57576.0</v>
      </c>
      <c r="C24373" s="38" t="s">
        <v>28898</v>
      </c>
      <c r="D24373" s="38" t="str">
        <f>IFERROR(__xludf.DUMMYFUNCTION("REGEXREPLACE(C24373,""-\d+(.*)|--\d+(.*)"","""")"),"RETTEL")</f>
        <v>RETTEL</v>
      </c>
      <c r="E24373" s="38" t="s">
        <v>303</v>
      </c>
      <c r="F24373" s="38" t="s">
        <v>195</v>
      </c>
      <c r="G24373" s="49" t="str">
        <f t="shared" si="1"/>
        <v>57480</v>
      </c>
      <c r="H24373" s="49">
        <f t="shared" si="2"/>
        <v>57576</v>
      </c>
    </row>
    <row r="24374">
      <c r="A24374" s="48" t="s">
        <v>1054</v>
      </c>
      <c r="B24374" s="38">
        <v>46038.0</v>
      </c>
      <c r="C24374" s="38" t="s">
        <v>28899</v>
      </c>
      <c r="D24374" s="38" t="str">
        <f>IFERROR(__xludf.DUMMYFUNCTION("REGEXREPLACE(C24374,""-\d+(.*)|--\d+(.*)"","""")"),"BRETENOUX")</f>
        <v>BRETENOUX</v>
      </c>
      <c r="E24374" s="38" t="s">
        <v>185</v>
      </c>
      <c r="F24374" s="38" t="s">
        <v>94</v>
      </c>
      <c r="G24374" s="49" t="str">
        <f t="shared" si="1"/>
        <v>46130</v>
      </c>
      <c r="H24374" s="49">
        <f t="shared" si="2"/>
        <v>46038</v>
      </c>
    </row>
    <row r="24375">
      <c r="A24375" s="48" t="s">
        <v>23947</v>
      </c>
      <c r="B24375" s="38">
        <v>80650.0</v>
      </c>
      <c r="C24375" s="38" t="s">
        <v>28900</v>
      </c>
      <c r="D24375" s="38" t="str">
        <f>IFERROR(__xludf.DUMMYFUNCTION("REGEXREPLACE(C24375,""-\d+(.*)|--\d+(.*)"","""")"),"QUERRIEU")</f>
        <v>QUERRIEU</v>
      </c>
      <c r="E24375" s="38" t="s">
        <v>224</v>
      </c>
      <c r="F24375" s="38" t="s">
        <v>113</v>
      </c>
      <c r="G24375" s="49" t="str">
        <f t="shared" si="1"/>
        <v>80115</v>
      </c>
      <c r="H24375" s="49">
        <f t="shared" si="2"/>
        <v>80650</v>
      </c>
    </row>
    <row r="24376">
      <c r="A24376" s="48" t="s">
        <v>2495</v>
      </c>
      <c r="B24376" s="38">
        <v>41145.0</v>
      </c>
      <c r="C24376" s="38" t="s">
        <v>28901</v>
      </c>
      <c r="D24376" s="38" t="str">
        <f>IFERROR(__xludf.DUMMYFUNCTION("REGEXREPLACE(C24376,""-\d+(.*)|--\d+(.*)"","""")"),"MONTHOU-SUR-BIEVRE")</f>
        <v>MONTHOU-SUR-BIEVRE</v>
      </c>
      <c r="E24376" s="38" t="s">
        <v>188</v>
      </c>
      <c r="F24376" s="38" t="s">
        <v>123</v>
      </c>
      <c r="G24376" s="49" t="str">
        <f t="shared" si="1"/>
        <v>41120</v>
      </c>
      <c r="H24376" s="49">
        <f t="shared" si="2"/>
        <v>41145</v>
      </c>
    </row>
    <row r="24377">
      <c r="A24377" s="48" t="s">
        <v>495</v>
      </c>
      <c r="B24377" s="38">
        <v>40322.0</v>
      </c>
      <c r="C24377" s="38" t="s">
        <v>28902</v>
      </c>
      <c r="D24377" s="38" t="str">
        <f>IFERROR(__xludf.DUMMYFUNCTION("REGEXREPLACE(C24377,""-\d+(.*)|--\d+(.*)"","""")"),"UZA")</f>
        <v>UZA</v>
      </c>
      <c r="E24377" s="38" t="s">
        <v>281</v>
      </c>
      <c r="F24377" s="38" t="s">
        <v>252</v>
      </c>
      <c r="G24377" s="49" t="str">
        <f t="shared" si="1"/>
        <v>40170</v>
      </c>
      <c r="H24377" s="49">
        <f t="shared" si="2"/>
        <v>40322</v>
      </c>
    </row>
    <row r="24378">
      <c r="A24378" s="48" t="s">
        <v>4945</v>
      </c>
      <c r="B24378" s="38" t="s">
        <v>28903</v>
      </c>
      <c r="C24378" s="38" t="s">
        <v>28904</v>
      </c>
      <c r="D24378" s="38" t="str">
        <f>IFERROR(__xludf.DUMMYFUNCTION("REGEXREPLACE(C24378,""-\d+(.*)|--\d+(.*)"","""")"),"BILIA")</f>
        <v>BILIA</v>
      </c>
      <c r="E24378" s="38" t="s">
        <v>606</v>
      </c>
      <c r="F24378" s="38" t="s">
        <v>607</v>
      </c>
      <c r="G24378" s="49" t="str">
        <f t="shared" si="1"/>
        <v>20100</v>
      </c>
      <c r="H24378" s="49" t="str">
        <f t="shared" si="2"/>
        <v>2A038</v>
      </c>
    </row>
    <row r="24379">
      <c r="A24379" s="48" t="s">
        <v>734</v>
      </c>
      <c r="B24379" s="38">
        <v>54171.0</v>
      </c>
      <c r="C24379" s="38" t="s">
        <v>28905</v>
      </c>
      <c r="D24379" s="38" t="str">
        <f>IFERROR(__xludf.DUMMYFUNCTION("REGEXREPLACE(C24379,""-\d+(.*)|--\d+(.*)"","""")"),"DONCOURT-LES-CONFLANS")</f>
        <v>DONCOURT-LES-CONFLANS</v>
      </c>
      <c r="E24379" s="38" t="s">
        <v>548</v>
      </c>
      <c r="F24379" s="38" t="s">
        <v>195</v>
      </c>
      <c r="G24379" s="49" t="str">
        <f t="shared" si="1"/>
        <v>54800</v>
      </c>
      <c r="H24379" s="49">
        <f t="shared" si="2"/>
        <v>54171</v>
      </c>
    </row>
    <row r="24380">
      <c r="A24380" s="48" t="s">
        <v>1825</v>
      </c>
      <c r="B24380" s="38">
        <v>64520.0</v>
      </c>
      <c r="C24380" s="38" t="s">
        <v>28906</v>
      </c>
      <c r="D24380" s="38" t="str">
        <f>IFERROR(__xludf.DUMMYFUNCTION("REGEXREPLACE(C24380,""-\d+(.*)|--\d+(.*)"","""")"),"SERRES-MORLAAS")</f>
        <v>SERRES-MORLAAS</v>
      </c>
      <c r="E24380" s="38" t="s">
        <v>268</v>
      </c>
      <c r="F24380" s="38" t="s">
        <v>252</v>
      </c>
      <c r="G24380" s="49" t="str">
        <f t="shared" si="1"/>
        <v>64160</v>
      </c>
      <c r="H24380" s="49">
        <f t="shared" si="2"/>
        <v>64520</v>
      </c>
    </row>
    <row r="24381">
      <c r="A24381" s="48" t="s">
        <v>781</v>
      </c>
      <c r="B24381" s="38">
        <v>65065.0</v>
      </c>
      <c r="C24381" s="38" t="s">
        <v>28907</v>
      </c>
      <c r="D24381" s="38" t="str">
        <f>IFERROR(__xludf.DUMMYFUNCTION("REGEXREPLACE(C24381,""-\d+(.*)|--\d+(.*)"","""")"),"BARLEST")</f>
        <v>BARLEST</v>
      </c>
      <c r="E24381" s="38" t="s">
        <v>200</v>
      </c>
      <c r="F24381" s="38" t="s">
        <v>94</v>
      </c>
      <c r="G24381" s="49" t="str">
        <f t="shared" si="1"/>
        <v>65100</v>
      </c>
      <c r="H24381" s="49">
        <f t="shared" si="2"/>
        <v>65065</v>
      </c>
    </row>
    <row r="24382">
      <c r="A24382" s="48" t="s">
        <v>1872</v>
      </c>
      <c r="B24382" s="38">
        <v>80501.0</v>
      </c>
      <c r="C24382" s="38" t="s">
        <v>28908</v>
      </c>
      <c r="D24382" s="38" t="str">
        <f>IFERROR(__xludf.DUMMYFUNCTION("REGEXREPLACE(C24382,""-\d+(.*)|--\d+(.*)"","""")"),"MAISON-PONTHIEU")</f>
        <v>MAISON-PONTHIEU</v>
      </c>
      <c r="E24382" s="38" t="s">
        <v>224</v>
      </c>
      <c r="F24382" s="38" t="s">
        <v>113</v>
      </c>
      <c r="G24382" s="49" t="str">
        <f t="shared" si="1"/>
        <v>80150</v>
      </c>
      <c r="H24382" s="49">
        <f t="shared" si="2"/>
        <v>80501</v>
      </c>
    </row>
    <row r="24383">
      <c r="A24383" s="48" t="s">
        <v>10535</v>
      </c>
      <c r="B24383" s="38">
        <v>81128.0</v>
      </c>
      <c r="C24383" s="38" t="s">
        <v>28909</v>
      </c>
      <c r="D24383" s="38" t="str">
        <f>IFERROR(__xludf.DUMMYFUNCTION("REGEXREPLACE(C24383,""-\d+(.*)|--\d+(.*)"","""")"),"LACROUZETTE")</f>
        <v>LACROUZETTE</v>
      </c>
      <c r="E24383" s="38" t="s">
        <v>231</v>
      </c>
      <c r="F24383" s="38" t="s">
        <v>94</v>
      </c>
      <c r="G24383" s="49" t="str">
        <f t="shared" si="1"/>
        <v>81210</v>
      </c>
      <c r="H24383" s="49">
        <f t="shared" si="2"/>
        <v>81128</v>
      </c>
    </row>
    <row r="24384">
      <c r="A24384" s="48" t="s">
        <v>5596</v>
      </c>
      <c r="B24384" s="38">
        <v>25449.0</v>
      </c>
      <c r="C24384" s="38" t="s">
        <v>28910</v>
      </c>
      <c r="D24384" s="38" t="str">
        <f>IFERROR(__xludf.DUMMYFUNCTION("REGEXREPLACE(C24384,""-\d+(.*)|--\d+(.*)"","""")"),"PESEUX")</f>
        <v>PESEUX</v>
      </c>
      <c r="E24384" s="38" t="s">
        <v>213</v>
      </c>
      <c r="F24384" s="38" t="s">
        <v>214</v>
      </c>
      <c r="G24384" s="49" t="str">
        <f t="shared" si="1"/>
        <v>25190</v>
      </c>
      <c r="H24384" s="49">
        <f t="shared" si="2"/>
        <v>25449</v>
      </c>
    </row>
    <row r="24385">
      <c r="A24385" s="48" t="s">
        <v>1616</v>
      </c>
      <c r="B24385" s="38">
        <v>10002.0</v>
      </c>
      <c r="C24385" s="38" t="s">
        <v>28911</v>
      </c>
      <c r="D24385" s="38" t="str">
        <f>IFERROR(__xludf.DUMMYFUNCTION("REGEXREPLACE(C24385,""-\d+(.*)|--\d+(.*)"","""")"),"AILLEVILLE")</f>
        <v>AILLEVILLE</v>
      </c>
      <c r="E24385" s="38" t="s">
        <v>147</v>
      </c>
      <c r="F24385" s="38" t="s">
        <v>130</v>
      </c>
      <c r="G24385" s="49" t="str">
        <f t="shared" si="1"/>
        <v>10200</v>
      </c>
      <c r="H24385" s="49">
        <f t="shared" si="2"/>
        <v>10002</v>
      </c>
    </row>
    <row r="24386">
      <c r="A24386" s="48" t="s">
        <v>9381</v>
      </c>
      <c r="B24386" s="38">
        <v>68350.0</v>
      </c>
      <c r="C24386" s="38" t="s">
        <v>28912</v>
      </c>
      <c r="D24386" s="38" t="str">
        <f>IFERROR(__xludf.DUMMYFUNCTION("REGEXREPLACE(C24386,""-\d+(.*)|--\d+(.*)"","""")"),"VOEGTLINSHOFFEN")</f>
        <v>VOEGTLINSHOFFEN</v>
      </c>
      <c r="E24386" s="38" t="s">
        <v>150</v>
      </c>
      <c r="F24386" s="38" t="s">
        <v>151</v>
      </c>
      <c r="G24386" s="49" t="str">
        <f t="shared" si="1"/>
        <v>68420</v>
      </c>
      <c r="H24386" s="49">
        <f t="shared" si="2"/>
        <v>68350</v>
      </c>
    </row>
    <row r="24387">
      <c r="A24387" s="48" t="s">
        <v>5882</v>
      </c>
      <c r="B24387" s="38">
        <v>36168.0</v>
      </c>
      <c r="C24387" s="38" t="s">
        <v>28913</v>
      </c>
      <c r="D24387" s="38" t="str">
        <f>IFERROR(__xludf.DUMMYFUNCTION("REGEXREPLACE(C24387,""-\d+(.*)|--\d+(.*)"","""")"),"PRISSAC")</f>
        <v>PRISSAC</v>
      </c>
      <c r="E24387" s="38" t="s">
        <v>258</v>
      </c>
      <c r="F24387" s="38" t="s">
        <v>123</v>
      </c>
      <c r="G24387" s="49" t="str">
        <f t="shared" si="1"/>
        <v>36370</v>
      </c>
      <c r="H24387" s="49">
        <f t="shared" si="2"/>
        <v>36168</v>
      </c>
    </row>
    <row r="24388">
      <c r="A24388" s="48" t="s">
        <v>1940</v>
      </c>
      <c r="B24388" s="38">
        <v>51248.0</v>
      </c>
      <c r="C24388" s="38" t="s">
        <v>28914</v>
      </c>
      <c r="D24388" s="38" t="str">
        <f>IFERROR(__xludf.DUMMYFUNCTION("REGEXREPLACE(C24388,""-\d+(.*)|--\d+(.*)"","""")"),"FERE-CHAMPENOISE")</f>
        <v>FERE-CHAMPENOISE</v>
      </c>
      <c r="E24388" s="38" t="s">
        <v>129</v>
      </c>
      <c r="F24388" s="38" t="s">
        <v>130</v>
      </c>
      <c r="G24388" s="49" t="str">
        <f t="shared" si="1"/>
        <v>51230</v>
      </c>
      <c r="H24388" s="49">
        <f t="shared" si="2"/>
        <v>51248</v>
      </c>
    </row>
    <row r="24389">
      <c r="A24389" s="48" t="s">
        <v>3315</v>
      </c>
      <c r="B24389" s="38">
        <v>12179.0</v>
      </c>
      <c r="C24389" s="38" t="s">
        <v>28915</v>
      </c>
      <c r="D24389" s="38" t="str">
        <f>IFERROR(__xludf.DUMMYFUNCTION("REGEXREPLACE(C24389,""-\d+(.*)|--\d+(.*)"","""")"),"PEUX-ET-COUFFOULEUX")</f>
        <v>PEUX-ET-COUFFOULEUX</v>
      </c>
      <c r="E24389" s="38" t="s">
        <v>465</v>
      </c>
      <c r="F24389" s="38" t="s">
        <v>94</v>
      </c>
      <c r="G24389" s="49" t="str">
        <f t="shared" si="1"/>
        <v>12360</v>
      </c>
      <c r="H24389" s="49">
        <f t="shared" si="2"/>
        <v>12179</v>
      </c>
    </row>
    <row r="24390">
      <c r="A24390" s="48" t="s">
        <v>2019</v>
      </c>
      <c r="B24390" s="38">
        <v>90024.0</v>
      </c>
      <c r="C24390" s="38" t="s">
        <v>28916</v>
      </c>
      <c r="D24390" s="38" t="str">
        <f>IFERROR(__xludf.DUMMYFUNCTION("REGEXREPLACE(C24390,""-\d+(.*)|--\d+(.*)"","""")"),"CHAVANATTE")</f>
        <v>CHAVANATTE</v>
      </c>
      <c r="E24390" s="38" t="s">
        <v>1283</v>
      </c>
      <c r="F24390" s="38" t="s">
        <v>214</v>
      </c>
      <c r="G24390" s="49" t="str">
        <f t="shared" si="1"/>
        <v>90100</v>
      </c>
      <c r="H24390" s="49">
        <f t="shared" si="2"/>
        <v>90024</v>
      </c>
    </row>
    <row r="24391">
      <c r="A24391" s="48" t="s">
        <v>28917</v>
      </c>
      <c r="B24391" s="38">
        <v>29155.0</v>
      </c>
      <c r="C24391" s="38" t="s">
        <v>28918</v>
      </c>
      <c r="D24391" s="38" t="str">
        <f>IFERROR(__xludf.DUMMYFUNCTION("REGEXREPLACE(C24391,""-\d+(.*)|--\d+(.*)"","""")"),"OUESSANT")</f>
        <v>OUESSANT</v>
      </c>
      <c r="E24391" s="38" t="s">
        <v>176</v>
      </c>
      <c r="F24391" s="38" t="s">
        <v>90</v>
      </c>
      <c r="G24391" s="49" t="str">
        <f t="shared" si="1"/>
        <v>29242</v>
      </c>
      <c r="H24391" s="49">
        <f t="shared" si="2"/>
        <v>29155</v>
      </c>
    </row>
    <row r="24392">
      <c r="A24392" s="48" t="s">
        <v>5432</v>
      </c>
      <c r="B24392" s="38">
        <v>33093.0</v>
      </c>
      <c r="C24392" s="38" t="s">
        <v>28919</v>
      </c>
      <c r="D24392" s="38" t="str">
        <f>IFERROR(__xludf.DUMMYFUNCTION("REGEXREPLACE(C24392,""-\d+(.*)|--\d+(.*)"","""")"),"CAPIAN")</f>
        <v>CAPIAN</v>
      </c>
      <c r="E24392" s="38" t="s">
        <v>462</v>
      </c>
      <c r="F24392" s="38" t="s">
        <v>252</v>
      </c>
      <c r="G24392" s="49" t="str">
        <f t="shared" si="1"/>
        <v>33550</v>
      </c>
      <c r="H24392" s="49">
        <f t="shared" si="2"/>
        <v>33093</v>
      </c>
    </row>
    <row r="24393">
      <c r="A24393" s="48" t="s">
        <v>14859</v>
      </c>
      <c r="B24393" s="38">
        <v>59149.0</v>
      </c>
      <c r="C24393" s="38" t="s">
        <v>28920</v>
      </c>
      <c r="D24393" s="38" t="str">
        <f>IFERROR(__xludf.DUMMYFUNCTION("REGEXREPLACE(C24393,""-\d+(.*)|--\d+(.*)"","""")"),"CLARY")</f>
        <v>CLARY</v>
      </c>
      <c r="E24393" s="38" t="s">
        <v>85</v>
      </c>
      <c r="F24393" s="38" t="s">
        <v>86</v>
      </c>
      <c r="G24393" s="49" t="str">
        <f t="shared" si="1"/>
        <v>59225</v>
      </c>
      <c r="H24393" s="49">
        <f t="shared" si="2"/>
        <v>59149</v>
      </c>
    </row>
    <row r="24394">
      <c r="A24394" s="48" t="s">
        <v>2510</v>
      </c>
      <c r="B24394" s="38">
        <v>22078.0</v>
      </c>
      <c r="C24394" s="38" t="s">
        <v>28921</v>
      </c>
      <c r="D24394" s="38" t="str">
        <f>IFERROR(__xludf.DUMMYFUNCTION("REGEXREPLACE(C24394,""-\d+(.*)|--\d+(.*)"","""")"),"HENGOAT")</f>
        <v>HENGOAT</v>
      </c>
      <c r="E24394" s="38" t="s">
        <v>89</v>
      </c>
      <c r="F24394" s="38" t="s">
        <v>90</v>
      </c>
      <c r="G24394" s="49" t="str">
        <f t="shared" si="1"/>
        <v>22450</v>
      </c>
      <c r="H24394" s="49">
        <f t="shared" si="2"/>
        <v>22078</v>
      </c>
    </row>
    <row r="24395">
      <c r="A24395" s="48" t="s">
        <v>3572</v>
      </c>
      <c r="B24395" s="38">
        <v>63414.0</v>
      </c>
      <c r="C24395" s="38" t="s">
        <v>28922</v>
      </c>
      <c r="D24395" s="38" t="str">
        <f>IFERROR(__xludf.DUMMYFUNCTION("REGEXREPLACE(C24395,""-\d+(.*)|--\d+(.*)"","""")"),"SAUVIAT")</f>
        <v>SAUVIAT</v>
      </c>
      <c r="E24395" s="38" t="s">
        <v>353</v>
      </c>
      <c r="F24395" s="38" t="s">
        <v>161</v>
      </c>
      <c r="G24395" s="49" t="str">
        <f t="shared" si="1"/>
        <v>63120</v>
      </c>
      <c r="H24395" s="49">
        <f t="shared" si="2"/>
        <v>63414</v>
      </c>
    </row>
    <row r="24396">
      <c r="A24396" s="48" t="s">
        <v>5179</v>
      </c>
      <c r="B24396" s="38">
        <v>10149.0</v>
      </c>
      <c r="C24396" s="38" t="s">
        <v>28923</v>
      </c>
      <c r="D24396" s="38" t="str">
        <f>IFERROR(__xludf.DUMMYFUNCTION("REGEXREPLACE(C24396,""-\d+(.*)|--\d+(.*)"","""")"),"FEUGES")</f>
        <v>FEUGES</v>
      </c>
      <c r="E24396" s="38" t="s">
        <v>147</v>
      </c>
      <c r="F24396" s="38" t="s">
        <v>130</v>
      </c>
      <c r="G24396" s="49" t="str">
        <f t="shared" si="1"/>
        <v>10150</v>
      </c>
      <c r="H24396" s="49">
        <f t="shared" si="2"/>
        <v>10149</v>
      </c>
    </row>
    <row r="24397">
      <c r="A24397" s="48" t="s">
        <v>2503</v>
      </c>
      <c r="B24397" s="38">
        <v>33006.0</v>
      </c>
      <c r="C24397" s="38" t="s">
        <v>28924</v>
      </c>
      <c r="D24397" s="38" t="str">
        <f>IFERROR(__xludf.DUMMYFUNCTION("REGEXREPLACE(C24397,""-\d+(.*)|--\d+(.*)"","""")"),"ANGLADE")</f>
        <v>ANGLADE</v>
      </c>
      <c r="E24397" s="38" t="s">
        <v>462</v>
      </c>
      <c r="F24397" s="38" t="s">
        <v>252</v>
      </c>
      <c r="G24397" s="49" t="str">
        <f t="shared" si="1"/>
        <v>33390</v>
      </c>
      <c r="H24397" s="49">
        <f t="shared" si="2"/>
        <v>33006</v>
      </c>
    </row>
    <row r="24398">
      <c r="A24398" s="48" t="s">
        <v>8059</v>
      </c>
      <c r="B24398" s="38">
        <v>70164.0</v>
      </c>
      <c r="C24398" s="38" t="s">
        <v>28925</v>
      </c>
      <c r="D24398" s="38" t="str">
        <f>IFERROR(__xludf.DUMMYFUNCTION("REGEXREPLACE(C24398,""-\d+(.*)|--\d+(.*)"","""")"),"COLOMBOTTE")</f>
        <v>COLOMBOTTE</v>
      </c>
      <c r="E24398" s="38" t="s">
        <v>956</v>
      </c>
      <c r="F24398" s="38" t="s">
        <v>214</v>
      </c>
      <c r="G24398" s="49" t="str">
        <f t="shared" si="1"/>
        <v>70240</v>
      </c>
      <c r="H24398" s="49">
        <f t="shared" si="2"/>
        <v>70164</v>
      </c>
    </row>
    <row r="24399">
      <c r="A24399" s="48" t="s">
        <v>5332</v>
      </c>
      <c r="B24399" s="38">
        <v>1409.0</v>
      </c>
      <c r="C24399" s="38" t="s">
        <v>28926</v>
      </c>
      <c r="D24399" s="38" t="str">
        <f>IFERROR(__xludf.DUMMYFUNCTION("REGEXREPLACE(C24399,""-\d+(.*)|--\d+(.*)"","""")"),"SONGIEU")</f>
        <v>SONGIEU</v>
      </c>
      <c r="E24399" s="38" t="s">
        <v>255</v>
      </c>
      <c r="F24399" s="38" t="s">
        <v>102</v>
      </c>
      <c r="G24399" s="49" t="str">
        <f t="shared" si="1"/>
        <v>01260</v>
      </c>
      <c r="H24399" s="49" t="str">
        <f t="shared" si="2"/>
        <v>01409</v>
      </c>
    </row>
    <row r="24400">
      <c r="A24400" s="48" t="s">
        <v>2920</v>
      </c>
      <c r="B24400" s="38">
        <v>62481.0</v>
      </c>
      <c r="C24400" s="38" t="s">
        <v>28927</v>
      </c>
      <c r="D24400" s="38" t="str">
        <f>IFERROR(__xludf.DUMMYFUNCTION("REGEXREPLACE(C24400,""-\d+(.*)|--\d+(.*)"","""")"),"LABROYE")</f>
        <v>LABROYE</v>
      </c>
      <c r="E24400" s="38" t="s">
        <v>109</v>
      </c>
      <c r="F24400" s="38" t="s">
        <v>86</v>
      </c>
      <c r="G24400" s="49" t="str">
        <f t="shared" si="1"/>
        <v>62140</v>
      </c>
      <c r="H24400" s="49">
        <f t="shared" si="2"/>
        <v>62481</v>
      </c>
    </row>
    <row r="24401">
      <c r="A24401" s="48" t="s">
        <v>2379</v>
      </c>
      <c r="B24401" s="38">
        <v>65172.0</v>
      </c>
      <c r="C24401" s="38" t="s">
        <v>28928</v>
      </c>
      <c r="D24401" s="38" t="str">
        <f>IFERROR(__xludf.DUMMYFUNCTION("REGEXREPLACE(C24401,""-\d+(.*)|--\d+(.*)"","""")"),"ESTENSAN")</f>
        <v>ESTENSAN</v>
      </c>
      <c r="E24401" s="38" t="s">
        <v>200</v>
      </c>
      <c r="F24401" s="38" t="s">
        <v>94</v>
      </c>
      <c r="G24401" s="49" t="str">
        <f t="shared" si="1"/>
        <v>65170</v>
      </c>
      <c r="H24401" s="49">
        <f t="shared" si="2"/>
        <v>65172</v>
      </c>
    </row>
    <row r="24402">
      <c r="A24402" s="48" t="s">
        <v>9362</v>
      </c>
      <c r="B24402" s="38">
        <v>1143.0</v>
      </c>
      <c r="C24402" s="38" t="s">
        <v>28929</v>
      </c>
      <c r="D24402" s="38" t="str">
        <f>IFERROR(__xludf.DUMMYFUNCTION("REGEXREPLACE(C24402,""-\d+(.*)|--\d+(.*)"","""")"),"DIVONNE-LES-BAINS")</f>
        <v>DIVONNE-LES-BAINS</v>
      </c>
      <c r="E24402" s="38" t="s">
        <v>255</v>
      </c>
      <c r="F24402" s="38" t="s">
        <v>102</v>
      </c>
      <c r="G24402" s="49" t="str">
        <f t="shared" si="1"/>
        <v>01220</v>
      </c>
      <c r="H24402" s="49" t="str">
        <f t="shared" si="2"/>
        <v>01143</v>
      </c>
    </row>
    <row r="24403">
      <c r="A24403" s="48" t="s">
        <v>781</v>
      </c>
      <c r="B24403" s="38">
        <v>65366.0</v>
      </c>
      <c r="C24403" s="38" t="s">
        <v>28930</v>
      </c>
      <c r="D24403" s="38" t="str">
        <f>IFERROR(__xludf.DUMMYFUNCTION("REGEXREPLACE(C24403,""-\d+(.*)|--\d+(.*)"","""")"),"POUEYFERRE")</f>
        <v>POUEYFERRE</v>
      </c>
      <c r="E24403" s="38" t="s">
        <v>200</v>
      </c>
      <c r="F24403" s="38" t="s">
        <v>94</v>
      </c>
      <c r="G24403" s="49" t="str">
        <f t="shared" si="1"/>
        <v>65100</v>
      </c>
      <c r="H24403" s="49">
        <f t="shared" si="2"/>
        <v>65366</v>
      </c>
    </row>
    <row r="24404">
      <c r="A24404" s="48" t="s">
        <v>2710</v>
      </c>
      <c r="B24404" s="38">
        <v>68347.0</v>
      </c>
      <c r="C24404" s="38" t="s">
        <v>28931</v>
      </c>
      <c r="D24404" s="38" t="str">
        <f>IFERROR(__xludf.DUMMYFUNCTION("REGEXREPLACE(C24404,""-\d+(.*)|--\d+(.*)"","""")"),"VIEUX-FERRETTE")</f>
        <v>VIEUX-FERRETTE</v>
      </c>
      <c r="E24404" s="38" t="s">
        <v>150</v>
      </c>
      <c r="F24404" s="38" t="s">
        <v>151</v>
      </c>
      <c r="G24404" s="49" t="str">
        <f t="shared" si="1"/>
        <v>68480</v>
      </c>
      <c r="H24404" s="49">
        <f t="shared" si="2"/>
        <v>68347</v>
      </c>
    </row>
    <row r="24405">
      <c r="A24405" s="48" t="s">
        <v>9585</v>
      </c>
      <c r="B24405" s="38">
        <v>25137.0</v>
      </c>
      <c r="C24405" s="38" t="s">
        <v>28101</v>
      </c>
      <c r="D24405" s="38" t="str">
        <f>IFERROR(__xludf.DUMMYFUNCTION("REGEXREPLACE(C24405,""-\d+(.*)|--\d+(.*)"","""")"),"CHAUDEFONTAINE")</f>
        <v>CHAUDEFONTAINE</v>
      </c>
      <c r="E24405" s="38" t="s">
        <v>213</v>
      </c>
      <c r="F24405" s="38" t="s">
        <v>214</v>
      </c>
      <c r="G24405" s="49" t="str">
        <f t="shared" si="1"/>
        <v>25640</v>
      </c>
      <c r="H24405" s="49">
        <f t="shared" si="2"/>
        <v>25137</v>
      </c>
    </row>
    <row r="24406">
      <c r="A24406" s="48" t="s">
        <v>3506</v>
      </c>
      <c r="B24406" s="38">
        <v>16257.0</v>
      </c>
      <c r="C24406" s="38" t="s">
        <v>28932</v>
      </c>
      <c r="D24406" s="38" t="str">
        <f>IFERROR(__xludf.DUMMYFUNCTION("REGEXREPLACE(C24406,""-\d+(.*)|--\d+(.*)"","""")"),"PEREUIL")</f>
        <v>PEREUIL</v>
      </c>
      <c r="E24406" s="38" t="s">
        <v>429</v>
      </c>
      <c r="F24406" s="38" t="s">
        <v>338</v>
      </c>
      <c r="G24406" s="49" t="str">
        <f t="shared" si="1"/>
        <v>16250</v>
      </c>
      <c r="H24406" s="49">
        <f t="shared" si="2"/>
        <v>16257</v>
      </c>
    </row>
    <row r="24407">
      <c r="A24407" s="48" t="s">
        <v>25654</v>
      </c>
      <c r="B24407" s="38">
        <v>58155.0</v>
      </c>
      <c r="C24407" s="38" t="s">
        <v>28933</v>
      </c>
      <c r="D24407" s="38" t="str">
        <f>IFERROR(__xludf.DUMMYFUNCTION("REGEXREPLACE(C24407,""-\d+(.*)|--\d+(.*)"","""")"),"LA MARCHE")</f>
        <v>LA MARCHE</v>
      </c>
      <c r="E24407" s="38" t="s">
        <v>219</v>
      </c>
      <c r="F24407" s="38" t="s">
        <v>106</v>
      </c>
      <c r="G24407" s="49" t="str">
        <f t="shared" si="1"/>
        <v>58400</v>
      </c>
      <c r="H24407" s="49">
        <f t="shared" si="2"/>
        <v>58155</v>
      </c>
    </row>
    <row r="24408">
      <c r="A24408" s="48" t="s">
        <v>2382</v>
      </c>
      <c r="B24408" s="38">
        <v>54405.0</v>
      </c>
      <c r="C24408" s="38" t="s">
        <v>28934</v>
      </c>
      <c r="D24408" s="38" t="str">
        <f>IFERROR(__xludf.DUMMYFUNCTION("REGEXREPLACE(C24408,""-\d+(.*)|--\d+(.*)"","""")"),"OCHEY")</f>
        <v>OCHEY</v>
      </c>
      <c r="E24408" s="38" t="s">
        <v>548</v>
      </c>
      <c r="F24408" s="38" t="s">
        <v>195</v>
      </c>
      <c r="G24408" s="49" t="str">
        <f t="shared" si="1"/>
        <v>54170</v>
      </c>
      <c r="H24408" s="49">
        <f t="shared" si="2"/>
        <v>54405</v>
      </c>
    </row>
    <row r="24409">
      <c r="A24409" s="48" t="s">
        <v>12410</v>
      </c>
      <c r="B24409" s="38">
        <v>66188.0</v>
      </c>
      <c r="C24409" s="38" t="s">
        <v>28935</v>
      </c>
      <c r="D24409" s="38" t="str">
        <f>IFERROR(__xludf.DUMMYFUNCTION("REGEXREPLACE(C24409,""-\d+(.*)|--\d+(.*)"","""")"),"SAINT-PIERRE-DELS-FORCATS")</f>
        <v>SAINT-PIERRE-DELS-FORCATS</v>
      </c>
      <c r="E24409" s="38" t="s">
        <v>248</v>
      </c>
      <c r="F24409" s="38" t="s">
        <v>119</v>
      </c>
      <c r="G24409" s="49" t="str">
        <f t="shared" si="1"/>
        <v>66210</v>
      </c>
      <c r="H24409" s="49">
        <f t="shared" si="2"/>
        <v>66188</v>
      </c>
    </row>
    <row r="24410">
      <c r="A24410" s="48" t="s">
        <v>730</v>
      </c>
      <c r="B24410" s="38">
        <v>48022.0</v>
      </c>
      <c r="C24410" s="38" t="s">
        <v>28936</v>
      </c>
      <c r="D24410" s="38" t="str">
        <f>IFERROR(__xludf.DUMMYFUNCTION("REGEXREPLACE(C24410,""-\d+(.*)|--\d+(.*)"","""")"),"BEDOUES")</f>
        <v>BEDOUES</v>
      </c>
      <c r="E24410" s="38" t="s">
        <v>154</v>
      </c>
      <c r="F24410" s="38" t="s">
        <v>119</v>
      </c>
      <c r="G24410" s="49" t="str">
        <f t="shared" si="1"/>
        <v>48400</v>
      </c>
      <c r="H24410" s="49">
        <f t="shared" si="2"/>
        <v>48022</v>
      </c>
    </row>
    <row r="24411">
      <c r="A24411" s="48" t="s">
        <v>4568</v>
      </c>
      <c r="B24411" s="38">
        <v>32312.0</v>
      </c>
      <c r="C24411" s="38" t="s">
        <v>28937</v>
      </c>
      <c r="D24411" s="38" t="str">
        <f>IFERROR(__xludf.DUMMYFUNCTION("REGEXREPLACE(C24411,""-\d+(.*)|--\d+(.*)"","""")"),"PESSAN")</f>
        <v>PESSAN</v>
      </c>
      <c r="E24411" s="38" t="s">
        <v>440</v>
      </c>
      <c r="F24411" s="38" t="s">
        <v>94</v>
      </c>
      <c r="G24411" s="49" t="str">
        <f t="shared" si="1"/>
        <v>32550</v>
      </c>
      <c r="H24411" s="49">
        <f t="shared" si="2"/>
        <v>32312</v>
      </c>
    </row>
    <row r="24412">
      <c r="A24412" s="48" t="s">
        <v>2817</v>
      </c>
      <c r="B24412" s="38">
        <v>64101.0</v>
      </c>
      <c r="C24412" s="38" t="s">
        <v>28938</v>
      </c>
      <c r="D24412" s="38" t="str">
        <f>IFERROR(__xludf.DUMMYFUNCTION("REGEXREPLACE(C24412,""-\d+(.*)|--\d+(.*)"","""")"),"BAUDREIX")</f>
        <v>BAUDREIX</v>
      </c>
      <c r="E24412" s="38" t="s">
        <v>268</v>
      </c>
      <c r="F24412" s="38" t="s">
        <v>252</v>
      </c>
      <c r="G24412" s="49" t="str">
        <f t="shared" si="1"/>
        <v>64800</v>
      </c>
      <c r="H24412" s="49">
        <f t="shared" si="2"/>
        <v>64101</v>
      </c>
    </row>
    <row r="24413">
      <c r="A24413" s="48" t="s">
        <v>12501</v>
      </c>
      <c r="B24413" s="38">
        <v>27213.0</v>
      </c>
      <c r="C24413" s="38" t="s">
        <v>28939</v>
      </c>
      <c r="D24413" s="38" t="str">
        <f>IFERROR(__xludf.DUMMYFUNCTION("REGEXREPLACE(C24413,""-\d+(.*)|--\d+(.*)"","""")"),"ECOS")</f>
        <v>ECOS</v>
      </c>
      <c r="E24413" s="38" t="s">
        <v>241</v>
      </c>
      <c r="F24413" s="38" t="s">
        <v>134</v>
      </c>
      <c r="G24413" s="49" t="str">
        <f t="shared" si="1"/>
        <v>27630</v>
      </c>
      <c r="H24413" s="49">
        <f t="shared" si="2"/>
        <v>27213</v>
      </c>
    </row>
    <row r="24414">
      <c r="A24414" s="48" t="s">
        <v>3167</v>
      </c>
      <c r="B24414" s="38">
        <v>33015.0</v>
      </c>
      <c r="C24414" s="38" t="s">
        <v>28940</v>
      </c>
      <c r="D24414" s="38" t="str">
        <f>IFERROR(__xludf.DUMMYFUNCTION("REGEXREPLACE(C24414,""-\d+(.*)|--\d+(.*)"","""")"),"ARVEYRES")</f>
        <v>ARVEYRES</v>
      </c>
      <c r="E24414" s="38" t="s">
        <v>462</v>
      </c>
      <c r="F24414" s="38" t="s">
        <v>252</v>
      </c>
      <c r="G24414" s="49" t="str">
        <f t="shared" si="1"/>
        <v>33500</v>
      </c>
      <c r="H24414" s="49">
        <f t="shared" si="2"/>
        <v>33015</v>
      </c>
    </row>
    <row r="24415">
      <c r="A24415" s="48" t="s">
        <v>1903</v>
      </c>
      <c r="B24415" s="38">
        <v>10337.0</v>
      </c>
      <c r="C24415" s="38" t="s">
        <v>28941</v>
      </c>
      <c r="D24415" s="38" t="str">
        <f>IFERROR(__xludf.DUMMYFUNCTION("REGEXREPLACE(C24415,""-\d+(.*)|--\d+(.*)"","""")"),"SAINT-CHRISTOPHE-DODINICOURT")</f>
        <v>SAINT-CHRISTOPHE-DODINICOURT</v>
      </c>
      <c r="E24415" s="38" t="s">
        <v>147</v>
      </c>
      <c r="F24415" s="38" t="s">
        <v>130</v>
      </c>
      <c r="G24415" s="49" t="str">
        <f t="shared" si="1"/>
        <v>10500</v>
      </c>
      <c r="H24415" s="49">
        <f t="shared" si="2"/>
        <v>10337</v>
      </c>
    </row>
    <row r="24416">
      <c r="A24416" s="48" t="s">
        <v>8979</v>
      </c>
      <c r="B24416" s="38">
        <v>17059.0</v>
      </c>
      <c r="C24416" s="38" t="s">
        <v>28942</v>
      </c>
      <c r="D24416" s="38" t="str">
        <f>IFERROR(__xludf.DUMMYFUNCTION("REGEXREPLACE(C24416,""-\d+(.*)|--\d+(.*)"","""")"),"BOURGNEUF")</f>
        <v>BOURGNEUF</v>
      </c>
      <c r="E24416" s="38" t="s">
        <v>488</v>
      </c>
      <c r="F24416" s="38" t="s">
        <v>338</v>
      </c>
      <c r="G24416" s="49" t="str">
        <f t="shared" si="1"/>
        <v>17220</v>
      </c>
      <c r="H24416" s="49">
        <f t="shared" si="2"/>
        <v>17059</v>
      </c>
    </row>
    <row r="24417">
      <c r="A24417" s="48" t="s">
        <v>3077</v>
      </c>
      <c r="B24417" s="38">
        <v>32366.0</v>
      </c>
      <c r="C24417" s="38" t="s">
        <v>24515</v>
      </c>
      <c r="D24417" s="38" t="str">
        <f>IFERROR(__xludf.DUMMYFUNCTION("REGEXREPLACE(C24417,""-\d+(.*)|--\d+(.*)"","""")"),"SAINT-BRES")</f>
        <v>SAINT-BRES</v>
      </c>
      <c r="E24417" s="38" t="s">
        <v>440</v>
      </c>
      <c r="F24417" s="38" t="s">
        <v>94</v>
      </c>
      <c r="G24417" s="49" t="str">
        <f t="shared" si="1"/>
        <v>32120</v>
      </c>
      <c r="H24417" s="49">
        <f t="shared" si="2"/>
        <v>32366</v>
      </c>
    </row>
    <row r="24418">
      <c r="A24418" s="48" t="s">
        <v>667</v>
      </c>
      <c r="B24418" s="38">
        <v>64013.0</v>
      </c>
      <c r="C24418" s="38" t="s">
        <v>28943</v>
      </c>
      <c r="D24418" s="38" t="str">
        <f>IFERROR(__xludf.DUMMYFUNCTION("REGEXREPLACE(C24418,""-\d+(.*)|--\d+(.*)"","""")"),"AINHICE-MONGELOS")</f>
        <v>AINHICE-MONGELOS</v>
      </c>
      <c r="E24418" s="38" t="s">
        <v>268</v>
      </c>
      <c r="F24418" s="38" t="s">
        <v>252</v>
      </c>
      <c r="G24418" s="49" t="str">
        <f t="shared" si="1"/>
        <v>64220</v>
      </c>
      <c r="H24418" s="49">
        <f t="shared" si="2"/>
        <v>64013</v>
      </c>
    </row>
    <row r="24419">
      <c r="A24419" s="48" t="s">
        <v>23486</v>
      </c>
      <c r="B24419" s="38">
        <v>63394.0</v>
      </c>
      <c r="C24419" s="38" t="s">
        <v>11348</v>
      </c>
      <c r="D24419" s="38" t="str">
        <f>IFERROR(__xludf.DUMMYFUNCTION("REGEXREPLACE(C24419,""-\d+(.*)|--\d+(.*)"","""")"),"SAINT-ROMAIN")</f>
        <v>SAINT-ROMAIN</v>
      </c>
      <c r="E24419" s="38" t="s">
        <v>353</v>
      </c>
      <c r="F24419" s="38" t="s">
        <v>161</v>
      </c>
      <c r="G24419" s="49" t="str">
        <f t="shared" si="1"/>
        <v>63660</v>
      </c>
      <c r="H24419" s="49">
        <f t="shared" si="2"/>
        <v>63394</v>
      </c>
    </row>
    <row r="24420">
      <c r="A24420" s="48" t="s">
        <v>1900</v>
      </c>
      <c r="B24420" s="38">
        <v>45205.0</v>
      </c>
      <c r="C24420" s="38" t="s">
        <v>28944</v>
      </c>
      <c r="D24420" s="38" t="str">
        <f>IFERROR(__xludf.DUMMYFUNCTION("REGEXREPLACE(C24420,""-\d+(.*)|--\d+(.*)"","""")"),"MEZIERES-EN-GATINAIS")</f>
        <v>MEZIERES-EN-GATINAIS</v>
      </c>
      <c r="E24420" s="38" t="s">
        <v>122</v>
      </c>
      <c r="F24420" s="38" t="s">
        <v>123</v>
      </c>
      <c r="G24420" s="49" t="str">
        <f t="shared" si="1"/>
        <v>45270</v>
      </c>
      <c r="H24420" s="49">
        <f t="shared" si="2"/>
        <v>45205</v>
      </c>
    </row>
    <row r="24421">
      <c r="A24421" s="48" t="s">
        <v>15038</v>
      </c>
      <c r="B24421" s="38">
        <v>22147.0</v>
      </c>
      <c r="C24421" s="38" t="s">
        <v>28945</v>
      </c>
      <c r="D24421" s="38" t="str">
        <f>IFERROR(__xludf.DUMMYFUNCTION("REGEXREPLACE(C24421,""-\d+(.*)|--\d+(.*)"","""")"),"MERDRIGNAC")</f>
        <v>MERDRIGNAC</v>
      </c>
      <c r="E24421" s="38" t="s">
        <v>89</v>
      </c>
      <c r="F24421" s="38" t="s">
        <v>90</v>
      </c>
      <c r="G24421" s="49" t="str">
        <f t="shared" si="1"/>
        <v>22230</v>
      </c>
      <c r="H24421" s="49">
        <f t="shared" si="2"/>
        <v>22147</v>
      </c>
    </row>
    <row r="24422">
      <c r="A24422" s="48" t="s">
        <v>284</v>
      </c>
      <c r="B24422" s="38">
        <v>60483.0</v>
      </c>
      <c r="C24422" s="38" t="s">
        <v>28946</v>
      </c>
      <c r="D24422" s="38" t="str">
        <f>IFERROR(__xludf.DUMMYFUNCTION("REGEXREPLACE(C24422,""-\d+(.*)|--\d+(.*)"","""")"),"ORVILLERS-SOREL")</f>
        <v>ORVILLERS-SOREL</v>
      </c>
      <c r="E24422" s="38" t="s">
        <v>112</v>
      </c>
      <c r="F24422" s="38" t="s">
        <v>113</v>
      </c>
      <c r="G24422" s="49" t="str">
        <f t="shared" si="1"/>
        <v>60490</v>
      </c>
      <c r="H24422" s="49">
        <f t="shared" si="2"/>
        <v>60483</v>
      </c>
    </row>
    <row r="24423">
      <c r="A24423" s="48" t="s">
        <v>15617</v>
      </c>
      <c r="B24423" s="38">
        <v>82174.0</v>
      </c>
      <c r="C24423" s="38" t="s">
        <v>17805</v>
      </c>
      <c r="D24423" s="38" t="str">
        <f>IFERROR(__xludf.DUMMYFUNCTION("REGEXREPLACE(C24423,""-\d+(.*)|--\d+(.*)"","""")"),"SAINT-VINCENT")</f>
        <v>SAINT-VINCENT</v>
      </c>
      <c r="E24423" s="38" t="s">
        <v>570</v>
      </c>
      <c r="F24423" s="38" t="s">
        <v>94</v>
      </c>
      <c r="G24423" s="49" t="str">
        <f t="shared" si="1"/>
        <v>82300</v>
      </c>
      <c r="H24423" s="49">
        <f t="shared" si="2"/>
        <v>82174</v>
      </c>
    </row>
    <row r="24424">
      <c r="A24424" s="48" t="s">
        <v>5008</v>
      </c>
      <c r="B24424" s="38">
        <v>76689.0</v>
      </c>
      <c r="C24424" s="38" t="s">
        <v>28947</v>
      </c>
      <c r="D24424" s="38" t="str">
        <f>IFERROR(__xludf.DUMMYFUNCTION("REGEXREPLACE(C24424,""-\d+(.*)|--\d+(.*)"","""")"),"THIETREVILLE")</f>
        <v>THIETREVILLE</v>
      </c>
      <c r="E24424" s="38" t="s">
        <v>133</v>
      </c>
      <c r="F24424" s="38" t="s">
        <v>134</v>
      </c>
      <c r="G24424" s="49" t="str">
        <f t="shared" si="1"/>
        <v>76540</v>
      </c>
      <c r="H24424" s="49">
        <f t="shared" si="2"/>
        <v>76689</v>
      </c>
    </row>
    <row r="24425">
      <c r="A24425" s="48" t="s">
        <v>3743</v>
      </c>
      <c r="B24425" s="38">
        <v>27669.0</v>
      </c>
      <c r="C24425" s="38" t="s">
        <v>28948</v>
      </c>
      <c r="D24425" s="38" t="str">
        <f>IFERROR(__xludf.DUMMYFUNCTION("REGEXREPLACE(C24425,""-\d+(.*)|--\d+(.*)"","""")"),"VALLETOT")</f>
        <v>VALLETOT</v>
      </c>
      <c r="E24425" s="38" t="s">
        <v>241</v>
      </c>
      <c r="F24425" s="38" t="s">
        <v>134</v>
      </c>
      <c r="G24425" s="49" t="str">
        <f t="shared" si="1"/>
        <v>27350</v>
      </c>
      <c r="H24425" s="49">
        <f t="shared" si="2"/>
        <v>27669</v>
      </c>
    </row>
    <row r="24426">
      <c r="A24426" s="48" t="s">
        <v>997</v>
      </c>
      <c r="B24426" s="38">
        <v>55088.0</v>
      </c>
      <c r="C24426" s="38" t="s">
        <v>28949</v>
      </c>
      <c r="D24426" s="38" t="str">
        <f>IFERROR(__xludf.DUMMYFUNCTION("REGEXREPLACE(C24426,""-\d+(.*)|--\d+(.*)"","""")"),"BUREY-EN-VAUX")</f>
        <v>BUREY-EN-VAUX</v>
      </c>
      <c r="E24426" s="38" t="s">
        <v>322</v>
      </c>
      <c r="F24426" s="38" t="s">
        <v>195</v>
      </c>
      <c r="G24426" s="49" t="str">
        <f t="shared" si="1"/>
        <v>55140</v>
      </c>
      <c r="H24426" s="49">
        <f t="shared" si="2"/>
        <v>55088</v>
      </c>
    </row>
    <row r="24427">
      <c r="A24427" s="48" t="s">
        <v>415</v>
      </c>
      <c r="B24427" s="38">
        <v>21354.0</v>
      </c>
      <c r="C24427" s="38" t="s">
        <v>28950</v>
      </c>
      <c r="D24427" s="38" t="str">
        <f>IFERROR(__xludf.DUMMYFUNCTION("REGEXREPLACE(C24427,""-\d+(.*)|--\d+(.*)"","""")"),"LONGECOURT-LES-CULETRE")</f>
        <v>LONGECOURT-LES-CULETRE</v>
      </c>
      <c r="E24427" s="38" t="s">
        <v>105</v>
      </c>
      <c r="F24427" s="38" t="s">
        <v>106</v>
      </c>
      <c r="G24427" s="49" t="str">
        <f t="shared" si="1"/>
        <v>21230</v>
      </c>
      <c r="H24427" s="49">
        <f t="shared" si="2"/>
        <v>21354</v>
      </c>
    </row>
    <row r="24428">
      <c r="A24428" s="48" t="s">
        <v>1892</v>
      </c>
      <c r="B24428" s="38">
        <v>67037.0</v>
      </c>
      <c r="C24428" s="38" t="s">
        <v>28951</v>
      </c>
      <c r="D24428" s="38" t="str">
        <f>IFERROR(__xludf.DUMMYFUNCTION("REGEXREPLACE(C24428,""-\d+(.*)|--\d+(.*)"","""")"),"BIBLISHEIM")</f>
        <v>BIBLISHEIM</v>
      </c>
      <c r="E24428" s="38" t="s">
        <v>210</v>
      </c>
      <c r="F24428" s="38" t="s">
        <v>151</v>
      </c>
      <c r="G24428" s="49" t="str">
        <f t="shared" si="1"/>
        <v>67360</v>
      </c>
      <c r="H24428" s="49">
        <f t="shared" si="2"/>
        <v>67037</v>
      </c>
    </row>
    <row r="24429">
      <c r="A24429" s="48" t="s">
        <v>3137</v>
      </c>
      <c r="B24429" s="38">
        <v>67311.0</v>
      </c>
      <c r="C24429" s="38" t="s">
        <v>28952</v>
      </c>
      <c r="D24429" s="38" t="str">
        <f>IFERROR(__xludf.DUMMYFUNCTION("REGEXREPLACE(C24429,""-\d+(.*)|--\d+(.*)"","""")"),"MUTTERSHOLTZ")</f>
        <v>MUTTERSHOLTZ</v>
      </c>
      <c r="E24429" s="38" t="s">
        <v>210</v>
      </c>
      <c r="F24429" s="38" t="s">
        <v>151</v>
      </c>
      <c r="G24429" s="49" t="str">
        <f t="shared" si="1"/>
        <v>67600</v>
      </c>
      <c r="H24429" s="49">
        <f t="shared" si="2"/>
        <v>67311</v>
      </c>
    </row>
    <row r="24430">
      <c r="A24430" s="48" t="s">
        <v>1966</v>
      </c>
      <c r="B24430" s="38">
        <v>2260.0</v>
      </c>
      <c r="C24430" s="38" t="s">
        <v>28953</v>
      </c>
      <c r="D24430" s="38" t="str">
        <f>IFERROR(__xludf.DUMMYFUNCTION("REGEXREPLACE(C24430,""-\d+(.*)|--\d+(.*)"","""")"),"DANIZY")</f>
        <v>DANIZY</v>
      </c>
      <c r="E24430" s="38" t="s">
        <v>191</v>
      </c>
      <c r="F24430" s="38" t="s">
        <v>113</v>
      </c>
      <c r="G24430" s="49" t="str">
        <f t="shared" si="1"/>
        <v>02800</v>
      </c>
      <c r="H24430" s="49" t="str">
        <f t="shared" si="2"/>
        <v>02260</v>
      </c>
    </row>
    <row r="24431">
      <c r="A24431" s="48" t="s">
        <v>1364</v>
      </c>
      <c r="B24431" s="38">
        <v>64078.0</v>
      </c>
      <c r="C24431" s="38" t="s">
        <v>16984</v>
      </c>
      <c r="D24431" s="38" t="str">
        <f>IFERROR(__xludf.DUMMYFUNCTION("REGEXREPLACE(C24431,""-\d+(.*)|--\d+(.*)"","""")"),"AURIAC")</f>
        <v>AURIAC</v>
      </c>
      <c r="E24431" s="38" t="s">
        <v>268</v>
      </c>
      <c r="F24431" s="38" t="s">
        <v>252</v>
      </c>
      <c r="G24431" s="49" t="str">
        <f t="shared" si="1"/>
        <v>64450</v>
      </c>
      <c r="H24431" s="49">
        <f t="shared" si="2"/>
        <v>64078</v>
      </c>
    </row>
    <row r="24432">
      <c r="A24432" s="48" t="s">
        <v>1540</v>
      </c>
      <c r="B24432" s="38">
        <v>70162.0</v>
      </c>
      <c r="C24432" s="38" t="s">
        <v>28954</v>
      </c>
      <c r="D24432" s="38" t="str">
        <f>IFERROR(__xludf.DUMMYFUNCTION("REGEXREPLACE(C24432,""-\d+(.*)|--\d+(.*)"","""")"),"COLOMBE-LES-VESOUL")</f>
        <v>COLOMBE-LES-VESOUL</v>
      </c>
      <c r="E24432" s="38" t="s">
        <v>956</v>
      </c>
      <c r="F24432" s="38" t="s">
        <v>214</v>
      </c>
      <c r="G24432" s="49" t="str">
        <f t="shared" si="1"/>
        <v>70000</v>
      </c>
      <c r="H24432" s="49">
        <f t="shared" si="2"/>
        <v>70162</v>
      </c>
    </row>
    <row r="24433">
      <c r="A24433" s="48" t="s">
        <v>394</v>
      </c>
      <c r="B24433" s="38">
        <v>41072.0</v>
      </c>
      <c r="C24433" s="38" t="s">
        <v>28955</v>
      </c>
      <c r="D24433" s="38" t="str">
        <f>IFERROR(__xludf.DUMMYFUNCTION("REGEXREPLACE(C24433,""-\d+(.*)|--\d+(.*)"","""")"),"CRUCHERAY")</f>
        <v>CRUCHERAY</v>
      </c>
      <c r="E24433" s="38" t="s">
        <v>188</v>
      </c>
      <c r="F24433" s="38" t="s">
        <v>123</v>
      </c>
      <c r="G24433" s="49" t="str">
        <f t="shared" si="1"/>
        <v>41100</v>
      </c>
      <c r="H24433" s="49">
        <f t="shared" si="2"/>
        <v>41072</v>
      </c>
    </row>
    <row r="24434">
      <c r="A24434" s="48" t="s">
        <v>633</v>
      </c>
      <c r="B24434" s="38">
        <v>85247.0</v>
      </c>
      <c r="C24434" s="38" t="s">
        <v>28956</v>
      </c>
      <c r="D24434" s="38" t="str">
        <f>IFERROR(__xludf.DUMMYFUNCTION("REGEXREPLACE(C24434,""-\d+(.*)|--\d+(.*)"","""")"),"SAINT-MARTIN-DES-TILLEULS")</f>
        <v>SAINT-MARTIN-DES-TILLEULS</v>
      </c>
      <c r="E24434" s="38" t="s">
        <v>179</v>
      </c>
      <c r="F24434" s="38" t="s">
        <v>180</v>
      </c>
      <c r="G24434" s="49" t="str">
        <f t="shared" si="1"/>
        <v>85130</v>
      </c>
      <c r="H24434" s="49">
        <f t="shared" si="2"/>
        <v>85247</v>
      </c>
    </row>
    <row r="24435">
      <c r="A24435" s="48" t="s">
        <v>28957</v>
      </c>
      <c r="B24435" s="38">
        <v>68249.0</v>
      </c>
      <c r="C24435" s="38" t="s">
        <v>28958</v>
      </c>
      <c r="D24435" s="38" t="str">
        <f>IFERROR(__xludf.DUMMYFUNCTION("REGEXREPLACE(C24435,""-\d+(.*)|--\d+(.*)"","""")"),"ORBEY")</f>
        <v>ORBEY</v>
      </c>
      <c r="E24435" s="38" t="s">
        <v>150</v>
      </c>
      <c r="F24435" s="38" t="s">
        <v>151</v>
      </c>
      <c r="G24435" s="49" t="str">
        <f t="shared" si="1"/>
        <v>68370</v>
      </c>
      <c r="H24435" s="49">
        <f t="shared" si="2"/>
        <v>68249</v>
      </c>
    </row>
    <row r="24436">
      <c r="A24436" s="48" t="s">
        <v>28959</v>
      </c>
      <c r="B24436" s="38">
        <v>25367.0</v>
      </c>
      <c r="C24436" s="38" t="s">
        <v>28960</v>
      </c>
      <c r="D24436" s="38" t="str">
        <f>IFERROR(__xludf.DUMMYFUNCTION("REGEXREPLACE(C24436,""-\d+(.*)|--\d+(.*)"","""")"),"MANDEURE")</f>
        <v>MANDEURE</v>
      </c>
      <c r="E24436" s="38" t="s">
        <v>213</v>
      </c>
      <c r="F24436" s="38" t="s">
        <v>214</v>
      </c>
      <c r="G24436" s="49" t="str">
        <f t="shared" si="1"/>
        <v>25350</v>
      </c>
      <c r="H24436" s="49">
        <f t="shared" si="2"/>
        <v>25367</v>
      </c>
    </row>
    <row r="24437">
      <c r="A24437" s="48" t="s">
        <v>2469</v>
      </c>
      <c r="B24437" s="38">
        <v>8358.0</v>
      </c>
      <c r="C24437" s="38" t="s">
        <v>28961</v>
      </c>
      <c r="D24437" s="38" t="str">
        <f>IFERROR(__xludf.DUMMYFUNCTION("REGEXREPLACE(C24437,""-\d+(.*)|--\d+(.*)"","""")"),"REMILLY-LES-POTHEES")</f>
        <v>REMILLY-LES-POTHEES</v>
      </c>
      <c r="E24437" s="38" t="s">
        <v>327</v>
      </c>
      <c r="F24437" s="38" t="s">
        <v>130</v>
      </c>
      <c r="G24437" s="49" t="str">
        <f t="shared" si="1"/>
        <v>08150</v>
      </c>
      <c r="H24437" s="49" t="str">
        <f t="shared" si="2"/>
        <v>08358</v>
      </c>
    </row>
    <row r="24438">
      <c r="A24438" s="48" t="s">
        <v>4805</v>
      </c>
      <c r="B24438" s="38">
        <v>31323.0</v>
      </c>
      <c r="C24438" s="38" t="s">
        <v>28962</v>
      </c>
      <c r="D24438" s="38" t="str">
        <f>IFERROR(__xludf.DUMMYFUNCTION("REGEXREPLACE(C24438,""-\d+(.*)|--\d+(.*)"","""")"),"MARTRES-DE-RIVIERE")</f>
        <v>MARTRES-DE-RIVIERE</v>
      </c>
      <c r="E24438" s="38" t="s">
        <v>93</v>
      </c>
      <c r="F24438" s="38" t="s">
        <v>94</v>
      </c>
      <c r="G24438" s="49" t="str">
        <f t="shared" si="1"/>
        <v>31210</v>
      </c>
      <c r="H24438" s="49">
        <f t="shared" si="2"/>
        <v>31323</v>
      </c>
    </row>
    <row r="24439">
      <c r="A24439" s="48" t="s">
        <v>2249</v>
      </c>
      <c r="B24439" s="38">
        <v>14700.0</v>
      </c>
      <c r="C24439" s="38" t="s">
        <v>28963</v>
      </c>
      <c r="D24439" s="38" t="str">
        <f>IFERROR(__xludf.DUMMYFUNCTION("REGEXREPLACE(C24439,""-\d+(.*)|--\d+(.*)"","""")"),"TOUR-EN-BESSIN")</f>
        <v>TOUR-EN-BESSIN</v>
      </c>
      <c r="E24439" s="38" t="s">
        <v>137</v>
      </c>
      <c r="F24439" s="38" t="s">
        <v>138</v>
      </c>
      <c r="G24439" s="49" t="str">
        <f t="shared" si="1"/>
        <v>14400</v>
      </c>
      <c r="H24439" s="49">
        <f t="shared" si="2"/>
        <v>14700</v>
      </c>
    </row>
    <row r="24440">
      <c r="A24440" s="48" t="s">
        <v>6021</v>
      </c>
      <c r="B24440" s="38">
        <v>30256.0</v>
      </c>
      <c r="C24440" s="38" t="s">
        <v>20940</v>
      </c>
      <c r="D24440" s="38" t="str">
        <f>IFERROR(__xludf.DUMMYFUNCTION("REGEXREPLACE(C24440,""-\d+(.*)|--\d+(.*)"","""")"),"SAINT-GERVAIS")</f>
        <v>SAINT-GERVAIS</v>
      </c>
      <c r="E24440" s="38" t="s">
        <v>526</v>
      </c>
      <c r="F24440" s="38" t="s">
        <v>119</v>
      </c>
      <c r="G24440" s="49" t="str">
        <f t="shared" si="1"/>
        <v>30200</v>
      </c>
      <c r="H24440" s="49">
        <f t="shared" si="2"/>
        <v>30256</v>
      </c>
    </row>
    <row r="24441">
      <c r="A24441" s="48" t="s">
        <v>2170</v>
      </c>
      <c r="B24441" s="38">
        <v>80536.0</v>
      </c>
      <c r="C24441" s="38" t="s">
        <v>28964</v>
      </c>
      <c r="D24441" s="38" t="str">
        <f>IFERROR(__xludf.DUMMYFUNCTION("REGEXREPLACE(C24441,""-\d+(.*)|--\d+(.*)"","""")"),"MESNIL-BRUNTEL")</f>
        <v>MESNIL-BRUNTEL</v>
      </c>
      <c r="E24441" s="38" t="s">
        <v>224</v>
      </c>
      <c r="F24441" s="38" t="s">
        <v>113</v>
      </c>
      <c r="G24441" s="49" t="str">
        <f t="shared" si="1"/>
        <v>80200</v>
      </c>
      <c r="H24441" s="49">
        <f t="shared" si="2"/>
        <v>80536</v>
      </c>
    </row>
    <row r="24442">
      <c r="A24442" s="48" t="s">
        <v>28965</v>
      </c>
      <c r="B24442" s="38">
        <v>59332.0</v>
      </c>
      <c r="C24442" s="38" t="s">
        <v>28966</v>
      </c>
      <c r="D24442" s="38" t="str">
        <f>IFERROR(__xludf.DUMMYFUNCTION("REGEXREPLACE(C24442,""-\d+(.*)|--\d+(.*)"","""")"),"LANNOY")</f>
        <v>LANNOY</v>
      </c>
      <c r="E24442" s="38" t="s">
        <v>85</v>
      </c>
      <c r="F24442" s="38" t="s">
        <v>86</v>
      </c>
      <c r="G24442" s="49" t="str">
        <f t="shared" si="1"/>
        <v>59390</v>
      </c>
      <c r="H24442" s="49">
        <f t="shared" si="2"/>
        <v>59332</v>
      </c>
    </row>
    <row r="24443">
      <c r="A24443" s="48" t="s">
        <v>7712</v>
      </c>
      <c r="B24443" s="38">
        <v>9269.0</v>
      </c>
      <c r="C24443" s="38" t="s">
        <v>28967</v>
      </c>
      <c r="D24443" s="38" t="str">
        <f>IFERROR(__xludf.DUMMYFUNCTION("REGEXREPLACE(C24443,""-\d+(.*)|--\d+(.*)"","""")"),"SAINT-MARTIN-DE-CARALP")</f>
        <v>SAINT-MARTIN-DE-CARALP</v>
      </c>
      <c r="E24443" s="38" t="s">
        <v>238</v>
      </c>
      <c r="F24443" s="38" t="s">
        <v>94</v>
      </c>
      <c r="G24443" s="49" t="str">
        <f t="shared" si="1"/>
        <v>09000</v>
      </c>
      <c r="H24443" s="49" t="str">
        <f t="shared" si="2"/>
        <v>09269</v>
      </c>
    </row>
    <row r="24444">
      <c r="A24444" s="48" t="s">
        <v>6734</v>
      </c>
      <c r="B24444" s="38">
        <v>28069.0</v>
      </c>
      <c r="C24444" s="38" t="s">
        <v>13740</v>
      </c>
      <c r="D24444" s="38" t="str">
        <f>IFERROR(__xludf.DUMMYFUNCTION("REGEXREPLACE(C24444,""-\d+(.*)|--\d+(.*)"","""")"),"CHAMPAGNE")</f>
        <v>CHAMPAGNE</v>
      </c>
      <c r="E24444" s="38" t="s">
        <v>300</v>
      </c>
      <c r="F24444" s="38" t="s">
        <v>123</v>
      </c>
      <c r="G24444" s="49" t="str">
        <f t="shared" si="1"/>
        <v>28410</v>
      </c>
      <c r="H24444" s="49">
        <f t="shared" si="2"/>
        <v>28069</v>
      </c>
    </row>
    <row r="24445">
      <c r="A24445" s="48" t="s">
        <v>14207</v>
      </c>
      <c r="B24445" s="38">
        <v>29060.0</v>
      </c>
      <c r="C24445" s="38" t="s">
        <v>28968</v>
      </c>
      <c r="D24445" s="38" t="str">
        <f>IFERROR(__xludf.DUMMYFUNCTION("REGEXREPLACE(C24445,""-\d+(.*)|--\d+(.*)"","""")"),"GOUESNACH")</f>
        <v>GOUESNACH</v>
      </c>
      <c r="E24445" s="38" t="s">
        <v>176</v>
      </c>
      <c r="F24445" s="38" t="s">
        <v>90</v>
      </c>
      <c r="G24445" s="49" t="str">
        <f t="shared" si="1"/>
        <v>29950</v>
      </c>
      <c r="H24445" s="49">
        <f t="shared" si="2"/>
        <v>29060</v>
      </c>
    </row>
    <row r="24446">
      <c r="A24446" s="48" t="s">
        <v>3335</v>
      </c>
      <c r="B24446" s="38">
        <v>53270.0</v>
      </c>
      <c r="C24446" s="38" t="s">
        <v>28969</v>
      </c>
      <c r="D24446" s="38" t="str">
        <f>IFERROR(__xludf.DUMMYFUNCTION("REGEXREPLACE(C24446,""-\d+(.*)|--\d+(.*)"","""")"),"VIEUVY")</f>
        <v>VIEUVY</v>
      </c>
      <c r="E24446" s="38" t="s">
        <v>518</v>
      </c>
      <c r="F24446" s="38" t="s">
        <v>180</v>
      </c>
      <c r="G24446" s="49" t="str">
        <f t="shared" si="1"/>
        <v>53120</v>
      </c>
      <c r="H24446" s="49">
        <f t="shared" si="2"/>
        <v>53270</v>
      </c>
    </row>
    <row r="24447">
      <c r="A24447" s="48" t="s">
        <v>8003</v>
      </c>
      <c r="B24447" s="38">
        <v>86126.0</v>
      </c>
      <c r="C24447" s="38" t="s">
        <v>28970</v>
      </c>
      <c r="D24447" s="38" t="str">
        <f>IFERROR(__xludf.DUMMYFUNCTION("REGEXREPLACE(C24447,""-\d+(.*)|--\d+(.*)"","""")"),"LEIGNES-SUR-FONTAINE")</f>
        <v>LEIGNES-SUR-FONTAINE</v>
      </c>
      <c r="E24447" s="38" t="s">
        <v>529</v>
      </c>
      <c r="F24447" s="38" t="s">
        <v>338</v>
      </c>
      <c r="G24447" s="49" t="str">
        <f t="shared" si="1"/>
        <v>86300</v>
      </c>
      <c r="H24447" s="49">
        <f t="shared" si="2"/>
        <v>86126</v>
      </c>
    </row>
    <row r="24448">
      <c r="A24448" s="48" t="s">
        <v>1817</v>
      </c>
      <c r="B24448" s="38">
        <v>31210.0</v>
      </c>
      <c r="C24448" s="38" t="s">
        <v>28971</v>
      </c>
      <c r="D24448" s="38" t="str">
        <f>IFERROR(__xludf.DUMMYFUNCTION("REGEXREPLACE(C24448,""-\d+(.*)|--\d+(.*)"","""")"),"GARDOUCH")</f>
        <v>GARDOUCH</v>
      </c>
      <c r="E24448" s="38" t="s">
        <v>93</v>
      </c>
      <c r="F24448" s="38" t="s">
        <v>94</v>
      </c>
      <c r="G24448" s="49" t="str">
        <f t="shared" si="1"/>
        <v>31290</v>
      </c>
      <c r="H24448" s="49">
        <f t="shared" si="2"/>
        <v>31210</v>
      </c>
    </row>
    <row r="24449">
      <c r="A24449" s="48" t="s">
        <v>564</v>
      </c>
      <c r="B24449" s="38">
        <v>73156.0</v>
      </c>
      <c r="C24449" s="38" t="s">
        <v>28972</v>
      </c>
      <c r="D24449" s="38" t="str">
        <f>IFERROR(__xludf.DUMMYFUNCTION("REGEXREPLACE(C24449,""-\d+(.*)|--\d+(.*)"","""")"),"MEYRIEUX-TROUET")</f>
        <v>MEYRIEUX-TROUET</v>
      </c>
      <c r="E24449" s="38" t="s">
        <v>306</v>
      </c>
      <c r="F24449" s="38" t="s">
        <v>102</v>
      </c>
      <c r="G24449" s="49" t="str">
        <f t="shared" si="1"/>
        <v>73170</v>
      </c>
      <c r="H24449" s="49">
        <f t="shared" si="2"/>
        <v>73156</v>
      </c>
    </row>
    <row r="24450">
      <c r="A24450" s="48" t="s">
        <v>11428</v>
      </c>
      <c r="B24450" s="38">
        <v>42025.0</v>
      </c>
      <c r="C24450" s="38" t="s">
        <v>24331</v>
      </c>
      <c r="D24450" s="38" t="str">
        <f>IFERROR(__xludf.DUMMYFUNCTION("REGEXREPLACE(C24450,""-\d+(.*)|--\d+(.*)"","""")"),"BOYER")</f>
        <v>BOYER</v>
      </c>
      <c r="E24450" s="38" t="s">
        <v>166</v>
      </c>
      <c r="F24450" s="38" t="s">
        <v>102</v>
      </c>
      <c r="G24450" s="49" t="str">
        <f t="shared" si="1"/>
        <v>42460</v>
      </c>
      <c r="H24450" s="49">
        <f t="shared" si="2"/>
        <v>42025</v>
      </c>
    </row>
    <row r="24451">
      <c r="A24451" s="48" t="s">
        <v>6789</v>
      </c>
      <c r="B24451" s="38">
        <v>30037.0</v>
      </c>
      <c r="C24451" s="38" t="s">
        <v>28973</v>
      </c>
      <c r="D24451" s="38" t="str">
        <f>IFERROR(__xludf.DUMMYFUNCTION("REGEXREPLACE(C24451,""-\d+(.*)|--\d+(.*)"","""")"),"BESSEGES")</f>
        <v>BESSEGES</v>
      </c>
      <c r="E24451" s="38" t="s">
        <v>526</v>
      </c>
      <c r="F24451" s="38" t="s">
        <v>119</v>
      </c>
      <c r="G24451" s="49" t="str">
        <f t="shared" si="1"/>
        <v>30160</v>
      </c>
      <c r="H24451" s="49">
        <f t="shared" si="2"/>
        <v>30037</v>
      </c>
    </row>
    <row r="24452">
      <c r="A24452" s="48" t="s">
        <v>8371</v>
      </c>
      <c r="B24452" s="38">
        <v>57302.0</v>
      </c>
      <c r="C24452" s="38" t="s">
        <v>28974</v>
      </c>
      <c r="D24452" s="38" t="str">
        <f>IFERROR(__xludf.DUMMYFUNCTION("REGEXREPLACE(C24452,""-\d+(.*)|--\d+(.*)"","""")"),"HATTIGNY")</f>
        <v>HATTIGNY</v>
      </c>
      <c r="E24452" s="38" t="s">
        <v>303</v>
      </c>
      <c r="F24452" s="38" t="s">
        <v>195</v>
      </c>
      <c r="G24452" s="49" t="str">
        <f t="shared" si="1"/>
        <v>57790</v>
      </c>
      <c r="H24452" s="49">
        <f t="shared" si="2"/>
        <v>57302</v>
      </c>
    </row>
    <row r="24453">
      <c r="A24453" s="48" t="s">
        <v>8634</v>
      </c>
      <c r="B24453" s="38">
        <v>1263.0</v>
      </c>
      <c r="C24453" s="38" t="s">
        <v>28975</v>
      </c>
      <c r="D24453" s="38" t="str">
        <f>IFERROR(__xludf.DUMMYFUNCTION("REGEXREPLACE(C24453,""-\d+(.*)|--\d+(.*)"","""")"),"MONTMERLE-SUR-SAONE")</f>
        <v>MONTMERLE-SUR-SAONE</v>
      </c>
      <c r="E24453" s="38" t="s">
        <v>255</v>
      </c>
      <c r="F24453" s="38" t="s">
        <v>102</v>
      </c>
      <c r="G24453" s="49" t="str">
        <f t="shared" si="1"/>
        <v>01090</v>
      </c>
      <c r="H24453" s="49" t="str">
        <f t="shared" si="2"/>
        <v>01263</v>
      </c>
    </row>
    <row r="24454">
      <c r="A24454" s="48" t="s">
        <v>1081</v>
      </c>
      <c r="B24454" s="38">
        <v>14531.0</v>
      </c>
      <c r="C24454" s="38" t="s">
        <v>28976</v>
      </c>
      <c r="D24454" s="38" t="str">
        <f>IFERROR(__xludf.DUMMYFUNCTION("REGEXREPLACE(C24454,""-\d+(.*)|--\d+(.*)"","""")"),"RAPILLY")</f>
        <v>RAPILLY</v>
      </c>
      <c r="E24454" s="38" t="s">
        <v>137</v>
      </c>
      <c r="F24454" s="38" t="s">
        <v>138</v>
      </c>
      <c r="G24454" s="49" t="str">
        <f t="shared" si="1"/>
        <v>14690</v>
      </c>
      <c r="H24454" s="49">
        <f t="shared" si="2"/>
        <v>14531</v>
      </c>
    </row>
    <row r="24455">
      <c r="A24455" s="48" t="s">
        <v>1926</v>
      </c>
      <c r="B24455" s="38">
        <v>28037.0</v>
      </c>
      <c r="C24455" s="38" t="s">
        <v>28977</v>
      </c>
      <c r="D24455" s="38" t="str">
        <f>IFERROR(__xludf.DUMMYFUNCTION("REGEXREPLACE(C24455,""-\d+(.*)|--\d+(.*)"","""")"),"BEROU-LA-MULOTIERE")</f>
        <v>BEROU-LA-MULOTIERE</v>
      </c>
      <c r="E24455" s="38" t="s">
        <v>300</v>
      </c>
      <c r="F24455" s="38" t="s">
        <v>123</v>
      </c>
      <c r="G24455" s="49" t="str">
        <f t="shared" si="1"/>
        <v>28270</v>
      </c>
      <c r="H24455" s="49">
        <f t="shared" si="2"/>
        <v>28037</v>
      </c>
    </row>
    <row r="24456">
      <c r="A24456" s="48" t="s">
        <v>5842</v>
      </c>
      <c r="B24456" s="38">
        <v>61382.0</v>
      </c>
      <c r="C24456" s="38" t="s">
        <v>28978</v>
      </c>
      <c r="D24456" s="38" t="str">
        <f>IFERROR(__xludf.DUMMYFUNCTION("REGEXREPLACE(C24456,""-\d+(.*)|--\d+(.*)"","""")"),"SAINT-DENIS-SUR-SARTHON")</f>
        <v>SAINT-DENIS-SUR-SARTHON</v>
      </c>
      <c r="E24456" s="38" t="s">
        <v>141</v>
      </c>
      <c r="F24456" s="38" t="s">
        <v>138</v>
      </c>
      <c r="G24456" s="49" t="str">
        <f t="shared" si="1"/>
        <v>61420</v>
      </c>
      <c r="H24456" s="49">
        <f t="shared" si="2"/>
        <v>61382</v>
      </c>
    </row>
    <row r="24457">
      <c r="A24457" s="48" t="s">
        <v>21119</v>
      </c>
      <c r="B24457" s="38">
        <v>81228.0</v>
      </c>
      <c r="C24457" s="38" t="s">
        <v>27454</v>
      </c>
      <c r="D24457" s="38" t="str">
        <f>IFERROR(__xludf.DUMMYFUNCTION("REGEXREPLACE(C24457,""-\d+(.*)|--\d+(.*)"","""")"),"ROQUEMAURE")</f>
        <v>ROQUEMAURE</v>
      </c>
      <c r="E24457" s="38" t="s">
        <v>231</v>
      </c>
      <c r="F24457" s="38" t="s">
        <v>94</v>
      </c>
      <c r="G24457" s="49" t="str">
        <f t="shared" si="1"/>
        <v>81800</v>
      </c>
      <c r="H24457" s="49">
        <f t="shared" si="2"/>
        <v>81228</v>
      </c>
    </row>
    <row r="24458">
      <c r="A24458" s="48" t="s">
        <v>635</v>
      </c>
      <c r="B24458" s="38">
        <v>15032.0</v>
      </c>
      <c r="C24458" s="38" t="s">
        <v>28979</v>
      </c>
      <c r="D24458" s="38" t="str">
        <f>IFERROR(__xludf.DUMMYFUNCTION("REGEXREPLACE(C24458,""-\d+(.*)|--\d+(.*)"","""")"),"CELOUX")</f>
        <v>CELOUX</v>
      </c>
      <c r="E24458" s="38" t="s">
        <v>632</v>
      </c>
      <c r="F24458" s="38" t="s">
        <v>161</v>
      </c>
      <c r="G24458" s="49" t="str">
        <f t="shared" si="1"/>
        <v>15500</v>
      </c>
      <c r="H24458" s="49">
        <f t="shared" si="2"/>
        <v>15032</v>
      </c>
    </row>
    <row r="24459">
      <c r="A24459" s="48" t="s">
        <v>3059</v>
      </c>
      <c r="B24459" s="38">
        <v>89170.0</v>
      </c>
      <c r="C24459" s="38" t="s">
        <v>28980</v>
      </c>
      <c r="D24459" s="38" t="str">
        <f>IFERROR(__xludf.DUMMYFUNCTION("REGEXREPLACE(C24459,""-\d+(.*)|--\d+(.*)"","""")"),"FOISSY-LES-VEZELAY")</f>
        <v>FOISSY-LES-VEZELAY</v>
      </c>
      <c r="E24459" s="38" t="s">
        <v>275</v>
      </c>
      <c r="F24459" s="38" t="s">
        <v>106</v>
      </c>
      <c r="G24459" s="49" t="str">
        <f t="shared" si="1"/>
        <v>89450</v>
      </c>
      <c r="H24459" s="49">
        <f t="shared" si="2"/>
        <v>89170</v>
      </c>
    </row>
    <row r="24460">
      <c r="A24460" s="48" t="s">
        <v>2631</v>
      </c>
      <c r="B24460" s="38">
        <v>64268.0</v>
      </c>
      <c r="C24460" s="38" t="s">
        <v>28981</v>
      </c>
      <c r="D24460" s="38" t="str">
        <f>IFERROR(__xludf.DUMMYFUNCTION("REGEXREPLACE(C24460,""-\d+(.*)|--\d+(.*)"","""")"),"IDAUX-MENDY")</f>
        <v>IDAUX-MENDY</v>
      </c>
      <c r="E24460" s="38" t="s">
        <v>268</v>
      </c>
      <c r="F24460" s="38" t="s">
        <v>252</v>
      </c>
      <c r="G24460" s="49" t="str">
        <f t="shared" si="1"/>
        <v>64130</v>
      </c>
      <c r="H24460" s="49">
        <f t="shared" si="2"/>
        <v>64268</v>
      </c>
    </row>
    <row r="24461">
      <c r="A24461" s="48" t="s">
        <v>3013</v>
      </c>
      <c r="B24461" s="38">
        <v>48133.0</v>
      </c>
      <c r="C24461" s="38" t="s">
        <v>18166</v>
      </c>
      <c r="D24461" s="38" t="str">
        <f>IFERROR(__xludf.DUMMYFUNCTION("REGEXREPLACE(C24461,""-\d+(.*)|--\d+(.*)"","""")"),"SAINT-AMANS")</f>
        <v>SAINT-AMANS</v>
      </c>
      <c r="E24461" s="38" t="s">
        <v>154</v>
      </c>
      <c r="F24461" s="38" t="s">
        <v>119</v>
      </c>
      <c r="G24461" s="49" t="str">
        <f t="shared" si="1"/>
        <v>48700</v>
      </c>
      <c r="H24461" s="49">
        <f t="shared" si="2"/>
        <v>48133</v>
      </c>
    </row>
    <row r="24462">
      <c r="A24462" s="48" t="s">
        <v>15067</v>
      </c>
      <c r="B24462" s="38">
        <v>81138.0</v>
      </c>
      <c r="C24462" s="38" t="s">
        <v>28982</v>
      </c>
      <c r="D24462" s="38" t="str">
        <f>IFERROR(__xludf.DUMMYFUNCTION("REGEXREPLACE(C24462,""-\d+(.*)|--\d+(.*)"","""")"),"LASGRAISSES")</f>
        <v>LASGRAISSES</v>
      </c>
      <c r="E24462" s="38" t="s">
        <v>231</v>
      </c>
      <c r="F24462" s="38" t="s">
        <v>94</v>
      </c>
      <c r="G24462" s="49" t="str">
        <f t="shared" si="1"/>
        <v>81300</v>
      </c>
      <c r="H24462" s="49">
        <f t="shared" si="2"/>
        <v>81138</v>
      </c>
    </row>
    <row r="24463">
      <c r="A24463" s="48" t="s">
        <v>28983</v>
      </c>
      <c r="B24463" s="38">
        <v>59157.0</v>
      </c>
      <c r="C24463" s="38" t="s">
        <v>28984</v>
      </c>
      <c r="D24463" s="38" t="str">
        <f>IFERROR(__xludf.DUMMYFUNCTION("REGEXREPLACE(C24463,""-\d+(.*)|--\d+(.*)"","""")"),"COUSOLRE")</f>
        <v>COUSOLRE</v>
      </c>
      <c r="E24463" s="38" t="s">
        <v>85</v>
      </c>
      <c r="F24463" s="38" t="s">
        <v>86</v>
      </c>
      <c r="G24463" s="49" t="str">
        <f t="shared" si="1"/>
        <v>59149</v>
      </c>
      <c r="H24463" s="49">
        <f t="shared" si="2"/>
        <v>59157</v>
      </c>
    </row>
    <row r="24464">
      <c r="A24464" s="48" t="s">
        <v>6078</v>
      </c>
      <c r="B24464" s="38">
        <v>10121.0</v>
      </c>
      <c r="C24464" s="38" t="s">
        <v>11780</v>
      </c>
      <c r="D24464" s="38" t="str">
        <f>IFERROR(__xludf.DUMMYFUNCTION("REGEXREPLACE(C24464,""-\d+(.*)|--\d+(.*)"","""")"),"DAMPIERRE")</f>
        <v>DAMPIERRE</v>
      </c>
      <c r="E24464" s="38" t="s">
        <v>147</v>
      </c>
      <c r="F24464" s="38" t="s">
        <v>130</v>
      </c>
      <c r="G24464" s="49" t="str">
        <f t="shared" si="1"/>
        <v>10240</v>
      </c>
      <c r="H24464" s="49">
        <f t="shared" si="2"/>
        <v>10121</v>
      </c>
    </row>
    <row r="24465">
      <c r="A24465" s="48" t="s">
        <v>1268</v>
      </c>
      <c r="B24465" s="38">
        <v>8349.0</v>
      </c>
      <c r="C24465" s="38" t="s">
        <v>28985</v>
      </c>
      <c r="D24465" s="38" t="str">
        <f>IFERROR(__xludf.DUMMYFUNCTION("REGEXREPLACE(C24465,""-\d+(.*)|--\d+(.*)"","""")"),"PURE")</f>
        <v>PURE</v>
      </c>
      <c r="E24465" s="38" t="s">
        <v>327</v>
      </c>
      <c r="F24465" s="38" t="s">
        <v>130</v>
      </c>
      <c r="G24465" s="49" t="str">
        <f t="shared" si="1"/>
        <v>08110</v>
      </c>
      <c r="H24465" s="49" t="str">
        <f t="shared" si="2"/>
        <v>08349</v>
      </c>
    </row>
    <row r="24466">
      <c r="A24466" s="48" t="s">
        <v>2526</v>
      </c>
      <c r="B24466" s="38">
        <v>70201.0</v>
      </c>
      <c r="C24466" s="38" t="s">
        <v>28986</v>
      </c>
      <c r="D24466" s="38" t="str">
        <f>IFERROR(__xludf.DUMMYFUNCTION("REGEXREPLACE(C24466,""-\d+(.*)|--\d+(.*)"","""")"),"DELAIN")</f>
        <v>DELAIN</v>
      </c>
      <c r="E24466" s="38" t="s">
        <v>956</v>
      </c>
      <c r="F24466" s="38" t="s">
        <v>214</v>
      </c>
      <c r="G24466" s="49" t="str">
        <f t="shared" si="1"/>
        <v>70180</v>
      </c>
      <c r="H24466" s="49">
        <f t="shared" si="2"/>
        <v>70201</v>
      </c>
    </row>
    <row r="24467">
      <c r="A24467" s="48" t="s">
        <v>1218</v>
      </c>
      <c r="B24467" s="38">
        <v>9257.0</v>
      </c>
      <c r="C24467" s="38" t="s">
        <v>28987</v>
      </c>
      <c r="D24467" s="38" t="str">
        <f>IFERROR(__xludf.DUMMYFUNCTION("REGEXREPLACE(C24467,""-\d+(.*)|--\d+(.*)"","""")"),"SAINTE-CROIX-VOLVESTRE")</f>
        <v>SAINTE-CROIX-VOLVESTRE</v>
      </c>
      <c r="E24467" s="38" t="s">
        <v>238</v>
      </c>
      <c r="F24467" s="38" t="s">
        <v>94</v>
      </c>
      <c r="G24467" s="49" t="str">
        <f t="shared" si="1"/>
        <v>09230</v>
      </c>
      <c r="H24467" s="49" t="str">
        <f t="shared" si="2"/>
        <v>09257</v>
      </c>
    </row>
    <row r="24468">
      <c r="A24468" s="48" t="s">
        <v>6773</v>
      </c>
      <c r="B24468" s="38">
        <v>48110.0</v>
      </c>
      <c r="C24468" s="38" t="s">
        <v>28988</v>
      </c>
      <c r="D24468" s="38" t="str">
        <f>IFERROR(__xludf.DUMMYFUNCTION("REGEXREPLACE(C24468,""-\d+(.*)|--\d+(.*)"","""")"),"PAULHAC-EN-MARGERIDE")</f>
        <v>PAULHAC-EN-MARGERIDE</v>
      </c>
      <c r="E24468" s="38" t="s">
        <v>154</v>
      </c>
      <c r="F24468" s="38" t="s">
        <v>119</v>
      </c>
      <c r="G24468" s="49" t="str">
        <f t="shared" si="1"/>
        <v>48140</v>
      </c>
      <c r="H24468" s="49">
        <f t="shared" si="2"/>
        <v>48110</v>
      </c>
    </row>
    <row r="24469">
      <c r="A24469" s="48" t="s">
        <v>4877</v>
      </c>
      <c r="B24469" s="38">
        <v>61019.0</v>
      </c>
      <c r="C24469" s="38" t="s">
        <v>28989</v>
      </c>
      <c r="D24469" s="38" t="str">
        <f>IFERROR(__xludf.DUMMYFUNCTION("REGEXREPLACE(C24469,""-\d+(.*)|--\d+(.*)"","""")"),"AVERNES-SOUS-EXMES")</f>
        <v>AVERNES-SOUS-EXMES</v>
      </c>
      <c r="E24469" s="38" t="s">
        <v>141</v>
      </c>
      <c r="F24469" s="38" t="s">
        <v>138</v>
      </c>
      <c r="G24469" s="49" t="str">
        <f t="shared" si="1"/>
        <v>61310</v>
      </c>
      <c r="H24469" s="49">
        <f t="shared" si="2"/>
        <v>61019</v>
      </c>
    </row>
    <row r="24470">
      <c r="A24470" s="48" t="s">
        <v>3504</v>
      </c>
      <c r="B24470" s="38">
        <v>42288.0</v>
      </c>
      <c r="C24470" s="38" t="s">
        <v>16609</v>
      </c>
      <c r="D24470" s="38" t="str">
        <f>IFERROR(__xludf.DUMMYFUNCTION("REGEXREPLACE(C24470,""-\d+(.*)|--\d+(.*)"","""")"),"SAINT-SIXTE")</f>
        <v>SAINT-SIXTE</v>
      </c>
      <c r="E24470" s="38" t="s">
        <v>166</v>
      </c>
      <c r="F24470" s="38" t="s">
        <v>102</v>
      </c>
      <c r="G24470" s="49" t="str">
        <f t="shared" si="1"/>
        <v>42130</v>
      </c>
      <c r="H24470" s="49">
        <f t="shared" si="2"/>
        <v>42288</v>
      </c>
    </row>
    <row r="24471">
      <c r="A24471" s="48" t="s">
        <v>2016</v>
      </c>
      <c r="B24471" s="38">
        <v>50512.0</v>
      </c>
      <c r="C24471" s="38" t="s">
        <v>28990</v>
      </c>
      <c r="D24471" s="38" t="str">
        <f>IFERROR(__xludf.DUMMYFUNCTION("REGEXREPLACE(C24471,""-\d+(.*)|--\d+(.*)"","""")"),"SAINT-MARTIN-DE-BONFOSSE")</f>
        <v>SAINT-MARTIN-DE-BONFOSSE</v>
      </c>
      <c r="E24471" s="38" t="s">
        <v>157</v>
      </c>
      <c r="F24471" s="38" t="s">
        <v>138</v>
      </c>
      <c r="G24471" s="49" t="str">
        <f t="shared" si="1"/>
        <v>50750</v>
      </c>
      <c r="H24471" s="49">
        <f t="shared" si="2"/>
        <v>50512</v>
      </c>
    </row>
    <row r="24472">
      <c r="A24472" s="48" t="s">
        <v>6522</v>
      </c>
      <c r="B24472" s="38" t="s">
        <v>28991</v>
      </c>
      <c r="C24472" s="38" t="s">
        <v>28992</v>
      </c>
      <c r="D24472" s="38" t="str">
        <f>IFERROR(__xludf.DUMMYFUNCTION("REGEXREPLACE(C24472,""-\d+(.*)|--\d+(.*)"","""")"),"SANTO-PIETRO-DI-TENDA")</f>
        <v>SANTO-PIETRO-DI-TENDA</v>
      </c>
      <c r="E24472" s="38" t="s">
        <v>743</v>
      </c>
      <c r="F24472" s="38" t="s">
        <v>607</v>
      </c>
      <c r="G24472" s="49" t="str">
        <f t="shared" si="1"/>
        <v>20246</v>
      </c>
      <c r="H24472" s="49" t="str">
        <f t="shared" si="2"/>
        <v>2B314</v>
      </c>
    </row>
    <row r="24473">
      <c r="A24473" s="48" t="s">
        <v>3816</v>
      </c>
      <c r="B24473" s="38">
        <v>25565.0</v>
      </c>
      <c r="C24473" s="38" t="s">
        <v>28993</v>
      </c>
      <c r="D24473" s="38" t="str">
        <f>IFERROR(__xludf.DUMMYFUNCTION("REGEXREPLACE(C24473,""-\d+(.*)|--\d+(.*)"","""")"),"TOUILLON-ET-LOUTELET")</f>
        <v>TOUILLON-ET-LOUTELET</v>
      </c>
      <c r="E24473" s="38" t="s">
        <v>213</v>
      </c>
      <c r="F24473" s="38" t="s">
        <v>214</v>
      </c>
      <c r="G24473" s="49" t="str">
        <f t="shared" si="1"/>
        <v>25370</v>
      </c>
      <c r="H24473" s="49">
        <f t="shared" si="2"/>
        <v>25565</v>
      </c>
    </row>
    <row r="24474">
      <c r="A24474" s="48" t="s">
        <v>597</v>
      </c>
      <c r="B24474" s="38">
        <v>31251.0</v>
      </c>
      <c r="C24474" s="38" t="s">
        <v>28994</v>
      </c>
      <c r="D24474" s="38" t="str">
        <f>IFERROR(__xludf.DUMMYFUNCTION("REGEXREPLACE(C24474,""-\d+(.*)|--\d+(.*)"","""")"),"LABASTIDE-PAUMES")</f>
        <v>LABASTIDE-PAUMES</v>
      </c>
      <c r="E24474" s="38" t="s">
        <v>93</v>
      </c>
      <c r="F24474" s="38" t="s">
        <v>94</v>
      </c>
      <c r="G24474" s="49" t="str">
        <f t="shared" si="1"/>
        <v>31230</v>
      </c>
      <c r="H24474" s="49">
        <f t="shared" si="2"/>
        <v>31251</v>
      </c>
    </row>
    <row r="24475">
      <c r="A24475" s="48" t="s">
        <v>4941</v>
      </c>
      <c r="B24475" s="38">
        <v>89138.0</v>
      </c>
      <c r="C24475" s="38" t="s">
        <v>28995</v>
      </c>
      <c r="D24475" s="38" t="str">
        <f>IFERROR(__xludf.DUMMYFUNCTION("REGEXREPLACE(C24475,""-\d+(.*)|--\d+(.*)"","""")"),"DICY")</f>
        <v>DICY</v>
      </c>
      <c r="E24475" s="38" t="s">
        <v>275</v>
      </c>
      <c r="F24475" s="38" t="s">
        <v>106</v>
      </c>
      <c r="G24475" s="49" t="str">
        <f t="shared" si="1"/>
        <v>89120</v>
      </c>
      <c r="H24475" s="49">
        <f t="shared" si="2"/>
        <v>89138</v>
      </c>
    </row>
    <row r="24476">
      <c r="A24476" s="48" t="s">
        <v>2563</v>
      </c>
      <c r="B24476" s="38">
        <v>76502.0</v>
      </c>
      <c r="C24476" s="38" t="s">
        <v>28996</v>
      </c>
      <c r="D24476" s="38" t="str">
        <f>IFERROR(__xludf.DUMMYFUNCTION("REGEXREPLACE(C24476,""-\d+(.*)|--\d+(.*)"","""")"),"PIERREVAL")</f>
        <v>PIERREVAL</v>
      </c>
      <c r="E24476" s="38" t="s">
        <v>133</v>
      </c>
      <c r="F24476" s="38" t="s">
        <v>134</v>
      </c>
      <c r="G24476" s="49" t="str">
        <f t="shared" si="1"/>
        <v>76750</v>
      </c>
      <c r="H24476" s="49">
        <f t="shared" si="2"/>
        <v>76502</v>
      </c>
    </row>
    <row r="24477">
      <c r="A24477" s="48" t="s">
        <v>3080</v>
      </c>
      <c r="B24477" s="38">
        <v>71006.0</v>
      </c>
      <c r="C24477" s="38" t="s">
        <v>28997</v>
      </c>
      <c r="D24477" s="38" t="str">
        <f>IFERROR(__xludf.DUMMYFUNCTION("REGEXREPLACE(C24477,""-\d+(.*)|--\d+(.*)"","""")"),"AMANZE")</f>
        <v>AMANZE</v>
      </c>
      <c r="E24477" s="38" t="s">
        <v>344</v>
      </c>
      <c r="F24477" s="38" t="s">
        <v>106</v>
      </c>
      <c r="G24477" s="49" t="str">
        <f t="shared" si="1"/>
        <v>71800</v>
      </c>
      <c r="H24477" s="49">
        <f t="shared" si="2"/>
        <v>71006</v>
      </c>
    </row>
    <row r="24478">
      <c r="A24478" s="48" t="s">
        <v>28998</v>
      </c>
      <c r="B24478" s="38">
        <v>83112.0</v>
      </c>
      <c r="C24478" s="38" t="s">
        <v>28999</v>
      </c>
      <c r="D24478" s="38" t="str">
        <f>IFERROR(__xludf.DUMMYFUNCTION("REGEXREPLACE(C24478,""-\d+(.*)|--\d+(.*)"","""")"),"SAINT-CYR-SUR-MER")</f>
        <v>SAINT-CYR-SUR-MER</v>
      </c>
      <c r="E24478" s="38" t="s">
        <v>813</v>
      </c>
      <c r="F24478" s="38" t="s">
        <v>228</v>
      </c>
      <c r="G24478" s="49" t="str">
        <f t="shared" si="1"/>
        <v>83270</v>
      </c>
      <c r="H24478" s="49">
        <f t="shared" si="2"/>
        <v>83112</v>
      </c>
    </row>
    <row r="24479">
      <c r="A24479" s="48" t="s">
        <v>3747</v>
      </c>
      <c r="B24479" s="38">
        <v>52298.0</v>
      </c>
      <c r="C24479" s="38" t="s">
        <v>29000</v>
      </c>
      <c r="D24479" s="38" t="str">
        <f>IFERROR(__xludf.DUMMYFUNCTION("REGEXREPLACE(C24479,""-\d+(.*)|--\d+(.*)"","""")"),"MAATZ")</f>
        <v>MAATZ</v>
      </c>
      <c r="E24479" s="38" t="s">
        <v>234</v>
      </c>
      <c r="F24479" s="38" t="s">
        <v>130</v>
      </c>
      <c r="G24479" s="49" t="str">
        <f t="shared" si="1"/>
        <v>52500</v>
      </c>
      <c r="H24479" s="49">
        <f t="shared" si="2"/>
        <v>52298</v>
      </c>
    </row>
    <row r="24480">
      <c r="A24480" s="48" t="s">
        <v>2803</v>
      </c>
      <c r="B24480" s="38">
        <v>80275.0</v>
      </c>
      <c r="C24480" s="38" t="s">
        <v>29001</v>
      </c>
      <c r="D24480" s="38" t="str">
        <f>IFERROR(__xludf.DUMMYFUNCTION("REGEXREPLACE(C24480,""-\d+(.*)|--\d+(.*)"","""")"),"EQUANCOURT")</f>
        <v>EQUANCOURT</v>
      </c>
      <c r="E24480" s="38" t="s">
        <v>224</v>
      </c>
      <c r="F24480" s="38" t="s">
        <v>113</v>
      </c>
      <c r="G24480" s="49" t="str">
        <f t="shared" si="1"/>
        <v>80360</v>
      </c>
      <c r="H24480" s="49">
        <f t="shared" si="2"/>
        <v>80275</v>
      </c>
    </row>
    <row r="24481">
      <c r="A24481" s="48" t="s">
        <v>8752</v>
      </c>
      <c r="B24481" s="38">
        <v>6056.0</v>
      </c>
      <c r="C24481" s="38" t="s">
        <v>29002</v>
      </c>
      <c r="D24481" s="38" t="str">
        <f>IFERROR(__xludf.DUMMYFUNCTION("REGEXREPLACE(C24481,""-\d+(.*)|--\d+(.*)"","""")"),"ENTRAUNES")</f>
        <v>ENTRAUNES</v>
      </c>
      <c r="E24481" s="38" t="s">
        <v>227</v>
      </c>
      <c r="F24481" s="38" t="s">
        <v>228</v>
      </c>
      <c r="G24481" s="49" t="str">
        <f t="shared" si="1"/>
        <v>06470</v>
      </c>
      <c r="H24481" s="49" t="str">
        <f t="shared" si="2"/>
        <v>06056</v>
      </c>
    </row>
    <row r="24482">
      <c r="A24482" s="48" t="s">
        <v>4926</v>
      </c>
      <c r="B24482" s="38">
        <v>14468.0</v>
      </c>
      <c r="C24482" s="38" t="s">
        <v>29003</v>
      </c>
      <c r="D24482" s="38" t="str">
        <f>IFERROR(__xludf.DUMMYFUNCTION("REGEXREPLACE(C24482,""-\d+(.*)|--\d+(.*)"","""")"),"NORON-LA-POTERIE")</f>
        <v>NORON-LA-POTERIE</v>
      </c>
      <c r="E24482" s="38" t="s">
        <v>137</v>
      </c>
      <c r="F24482" s="38" t="s">
        <v>138</v>
      </c>
      <c r="G24482" s="49" t="str">
        <f t="shared" si="1"/>
        <v>14490</v>
      </c>
      <c r="H24482" s="49">
        <f t="shared" si="2"/>
        <v>14468</v>
      </c>
    </row>
    <row r="24483">
      <c r="A24483" s="48" t="s">
        <v>2316</v>
      </c>
      <c r="B24483" s="38">
        <v>25313.0</v>
      </c>
      <c r="C24483" s="38" t="s">
        <v>29004</v>
      </c>
      <c r="D24483" s="38" t="str">
        <f>IFERROR(__xludf.DUMMYFUNCTION("REGEXREPLACE(C24483,""-\d+(.*)|--\d+(.*)"","""")"),"HYEVRE-PAROISSE")</f>
        <v>HYEVRE-PAROISSE</v>
      </c>
      <c r="E24483" s="38" t="s">
        <v>213</v>
      </c>
      <c r="F24483" s="38" t="s">
        <v>214</v>
      </c>
      <c r="G24483" s="49" t="str">
        <f t="shared" si="1"/>
        <v>25110</v>
      </c>
      <c r="H24483" s="49">
        <f t="shared" si="2"/>
        <v>25313</v>
      </c>
    </row>
    <row r="24484">
      <c r="A24484" s="48" t="s">
        <v>8506</v>
      </c>
      <c r="B24484" s="38">
        <v>79095.0</v>
      </c>
      <c r="C24484" s="38" t="s">
        <v>29005</v>
      </c>
      <c r="D24484" s="38" t="str">
        <f>IFERROR(__xludf.DUMMYFUNCTION("REGEXREPLACE(C24484,""-\d+(.*)|--\d+(.*)"","""")"),"CLUSSAIS-LA-POMMERAIE")</f>
        <v>CLUSSAIS-LA-POMMERAIE</v>
      </c>
      <c r="E24484" s="38" t="s">
        <v>337</v>
      </c>
      <c r="F24484" s="38" t="s">
        <v>338</v>
      </c>
      <c r="G24484" s="49" t="str">
        <f t="shared" si="1"/>
        <v>79190</v>
      </c>
      <c r="H24484" s="49">
        <f t="shared" si="2"/>
        <v>79095</v>
      </c>
    </row>
    <row r="24485">
      <c r="A24485" s="48" t="s">
        <v>5565</v>
      </c>
      <c r="B24485" s="38">
        <v>63304.0</v>
      </c>
      <c r="C24485" s="38" t="s">
        <v>29006</v>
      </c>
      <c r="D24485" s="38" t="str">
        <f>IFERROR(__xludf.DUMMYFUNCTION("REGEXREPLACE(C24485,""-\d+(.*)|--\d+(.*)"","""")"),"ROCHE-D'AGOUX")</f>
        <v>ROCHE-D'AGOUX</v>
      </c>
      <c r="E24485" s="38" t="s">
        <v>353</v>
      </c>
      <c r="F24485" s="38" t="s">
        <v>161</v>
      </c>
      <c r="G24485" s="49" t="str">
        <f t="shared" si="1"/>
        <v>63330</v>
      </c>
      <c r="H24485" s="49">
        <f t="shared" si="2"/>
        <v>63304</v>
      </c>
    </row>
    <row r="24486">
      <c r="A24486" s="48" t="s">
        <v>4882</v>
      </c>
      <c r="B24486" s="38">
        <v>89341.0</v>
      </c>
      <c r="C24486" s="38" t="s">
        <v>29007</v>
      </c>
      <c r="D24486" s="38" t="str">
        <f>IFERROR(__xludf.DUMMYFUNCTION("REGEXREPLACE(C24486,""-\d+(.*)|--\d+(.*)"","""")"),"SAINT-CYR-LES-COLONS")</f>
        <v>SAINT-CYR-LES-COLONS</v>
      </c>
      <c r="E24486" s="38" t="s">
        <v>275</v>
      </c>
      <c r="F24486" s="38" t="s">
        <v>106</v>
      </c>
      <c r="G24486" s="49" t="str">
        <f t="shared" si="1"/>
        <v>89800</v>
      </c>
      <c r="H24486" s="49">
        <f t="shared" si="2"/>
        <v>89341</v>
      </c>
    </row>
    <row r="24487">
      <c r="A24487" s="48" t="s">
        <v>5325</v>
      </c>
      <c r="B24487" s="38">
        <v>60307.0</v>
      </c>
      <c r="C24487" s="38" t="s">
        <v>29008</v>
      </c>
      <c r="D24487" s="38" t="str">
        <f>IFERROR(__xludf.DUMMYFUNCTION("REGEXREPLACE(C24487,""-\d+(.*)|--\d+(.*)"","""")"),"HEILLES")</f>
        <v>HEILLES</v>
      </c>
      <c r="E24487" s="38" t="s">
        <v>112</v>
      </c>
      <c r="F24487" s="38" t="s">
        <v>113</v>
      </c>
      <c r="G24487" s="49" t="str">
        <f t="shared" si="1"/>
        <v>60250</v>
      </c>
      <c r="H24487" s="49">
        <f t="shared" si="2"/>
        <v>60307</v>
      </c>
    </row>
    <row r="24488">
      <c r="A24488" s="48" t="s">
        <v>2868</v>
      </c>
      <c r="B24488" s="38">
        <v>80685.0</v>
      </c>
      <c r="C24488" s="38" t="s">
        <v>29009</v>
      </c>
      <c r="D24488" s="38" t="str">
        <f>IFERROR(__xludf.DUMMYFUNCTION("REGEXREPLACE(C24488,""-\d+(.*)|--\d+(.*)"","""")"),"ROYE")</f>
        <v>ROYE</v>
      </c>
      <c r="E24488" s="38" t="s">
        <v>224</v>
      </c>
      <c r="F24488" s="38" t="s">
        <v>113</v>
      </c>
      <c r="G24488" s="49" t="str">
        <f t="shared" si="1"/>
        <v>80700</v>
      </c>
      <c r="H24488" s="49">
        <f t="shared" si="2"/>
        <v>80685</v>
      </c>
    </row>
    <row r="24489">
      <c r="A24489" s="48" t="s">
        <v>2882</v>
      </c>
      <c r="B24489" s="38">
        <v>76283.0</v>
      </c>
      <c r="C24489" s="38" t="s">
        <v>29010</v>
      </c>
      <c r="D24489" s="38" t="str">
        <f>IFERROR(__xludf.DUMMYFUNCTION("REGEXREPLACE(C24489,""-\d+(.*)|--\d+(.*)"","""")"),"FRESLES")</f>
        <v>FRESLES</v>
      </c>
      <c r="E24489" s="38" t="s">
        <v>133</v>
      </c>
      <c r="F24489" s="38" t="s">
        <v>134</v>
      </c>
      <c r="G24489" s="49" t="str">
        <f t="shared" si="1"/>
        <v>76270</v>
      </c>
      <c r="H24489" s="49">
        <f t="shared" si="2"/>
        <v>76283</v>
      </c>
    </row>
    <row r="24490">
      <c r="A24490" s="48" t="s">
        <v>8680</v>
      </c>
      <c r="B24490" s="38">
        <v>72131.0</v>
      </c>
      <c r="C24490" s="38" t="s">
        <v>29011</v>
      </c>
      <c r="D24490" s="38" t="str">
        <f>IFERROR(__xludf.DUMMYFUNCTION("REGEXREPLACE(C24490,""-\d+(.*)|--\d+(.*)"","""")"),"FERCE-SUR-SARTHE")</f>
        <v>FERCE-SUR-SARTHE</v>
      </c>
      <c r="E24490" s="38" t="s">
        <v>521</v>
      </c>
      <c r="F24490" s="38" t="s">
        <v>180</v>
      </c>
      <c r="G24490" s="49" t="str">
        <f t="shared" si="1"/>
        <v>72430</v>
      </c>
      <c r="H24490" s="49">
        <f t="shared" si="2"/>
        <v>72131</v>
      </c>
    </row>
    <row r="24491">
      <c r="A24491" s="48" t="s">
        <v>553</v>
      </c>
      <c r="B24491" s="38">
        <v>85047.0</v>
      </c>
      <c r="C24491" s="38" t="s">
        <v>29012</v>
      </c>
      <c r="D24491" s="38" t="str">
        <f>IFERROR(__xludf.DUMMYFUNCTION("REGEXREPLACE(C24491,""-\d+(.*)|--\d+(.*)"","""")"),"CHALLANS")</f>
        <v>CHALLANS</v>
      </c>
      <c r="E24491" s="38" t="s">
        <v>179</v>
      </c>
      <c r="F24491" s="38" t="s">
        <v>180</v>
      </c>
      <c r="G24491" s="49" t="str">
        <f t="shared" si="1"/>
        <v>85300</v>
      </c>
      <c r="H24491" s="49">
        <f t="shared" si="2"/>
        <v>85047</v>
      </c>
    </row>
    <row r="24492">
      <c r="A24492" s="48" t="s">
        <v>5490</v>
      </c>
      <c r="B24492" s="38">
        <v>22263.0</v>
      </c>
      <c r="C24492" s="38" t="s">
        <v>29013</v>
      </c>
      <c r="D24492" s="38" t="str">
        <f>IFERROR(__xludf.DUMMYFUNCTION("REGEXREPLACE(C24492,""-\d+(.*)|--\d+(.*)"","""")"),"LE QUIOU")</f>
        <v>LE QUIOU</v>
      </c>
      <c r="E24492" s="38" t="s">
        <v>89</v>
      </c>
      <c r="F24492" s="38" t="s">
        <v>90</v>
      </c>
      <c r="G24492" s="49" t="str">
        <f t="shared" si="1"/>
        <v>22630</v>
      </c>
      <c r="H24492" s="49">
        <f t="shared" si="2"/>
        <v>22263</v>
      </c>
    </row>
    <row r="24493">
      <c r="A24493" s="48" t="s">
        <v>9613</v>
      </c>
      <c r="B24493" s="38">
        <v>16055.0</v>
      </c>
      <c r="C24493" s="38" t="s">
        <v>29014</v>
      </c>
      <c r="D24493" s="38" t="str">
        <f>IFERROR(__xludf.DUMMYFUNCTION("REGEXREPLACE(C24493,""-\d+(.*)|--\d+(.*)"","""")"),"BOUEX")</f>
        <v>BOUEX</v>
      </c>
      <c r="E24493" s="38" t="s">
        <v>429</v>
      </c>
      <c r="F24493" s="38" t="s">
        <v>338</v>
      </c>
      <c r="G24493" s="49" t="str">
        <f t="shared" si="1"/>
        <v>16410</v>
      </c>
      <c r="H24493" s="49">
        <f t="shared" si="2"/>
        <v>16055</v>
      </c>
    </row>
    <row r="24494">
      <c r="A24494" s="48" t="s">
        <v>17909</v>
      </c>
      <c r="B24494" s="38">
        <v>25100.0</v>
      </c>
      <c r="C24494" s="38" t="s">
        <v>29015</v>
      </c>
      <c r="D24494" s="38" t="str">
        <f>IFERROR(__xludf.DUMMYFUNCTION("REGEXREPLACE(C24494,""-\d+(.*)|--\d+(.*)"","""")"),"BULLE")</f>
        <v>BULLE</v>
      </c>
      <c r="E24494" s="38" t="s">
        <v>213</v>
      </c>
      <c r="F24494" s="38" t="s">
        <v>214</v>
      </c>
      <c r="G24494" s="49" t="str">
        <f t="shared" si="1"/>
        <v>25560</v>
      </c>
      <c r="H24494" s="49">
        <f t="shared" si="2"/>
        <v>25100</v>
      </c>
    </row>
    <row r="24495">
      <c r="A24495" s="48" t="s">
        <v>5612</v>
      </c>
      <c r="B24495" s="38">
        <v>52366.0</v>
      </c>
      <c r="C24495" s="38" t="s">
        <v>29016</v>
      </c>
      <c r="D24495" s="38" t="str">
        <f>IFERROR(__xludf.DUMMYFUNCTION("REGEXREPLACE(C24495,""-\d+(.*)|--\d+(.*)"","""")"),"ORMANCEY")</f>
        <v>ORMANCEY</v>
      </c>
      <c r="E24495" s="38" t="s">
        <v>234</v>
      </c>
      <c r="F24495" s="38" t="s">
        <v>130</v>
      </c>
      <c r="G24495" s="49" t="str">
        <f t="shared" si="1"/>
        <v>52200</v>
      </c>
      <c r="H24495" s="49">
        <f t="shared" si="2"/>
        <v>52366</v>
      </c>
    </row>
    <row r="24496">
      <c r="A24496" s="48" t="s">
        <v>323</v>
      </c>
      <c r="B24496" s="38">
        <v>52169.0</v>
      </c>
      <c r="C24496" s="38" t="s">
        <v>29017</v>
      </c>
      <c r="D24496" s="38" t="str">
        <f>IFERROR(__xludf.DUMMYFUNCTION("REGEXREPLACE(C24496,""-\d+(.*)|--\d+(.*)"","""")"),"DOMBLAIN")</f>
        <v>DOMBLAIN</v>
      </c>
      <c r="E24496" s="38" t="s">
        <v>234</v>
      </c>
      <c r="F24496" s="38" t="s">
        <v>130</v>
      </c>
      <c r="G24496" s="49" t="str">
        <f t="shared" si="1"/>
        <v>52130</v>
      </c>
      <c r="H24496" s="49">
        <f t="shared" si="2"/>
        <v>52169</v>
      </c>
    </row>
    <row r="24497">
      <c r="A24497" s="48" t="s">
        <v>6628</v>
      </c>
      <c r="B24497" s="38">
        <v>1325.0</v>
      </c>
      <c r="C24497" s="38" t="s">
        <v>29018</v>
      </c>
      <c r="D24497" s="38" t="str">
        <f>IFERROR(__xludf.DUMMYFUNCTION("REGEXREPLACE(C24497,""-\d+(.*)|--\d+(.*)"","""")"),"RIGNIEUX-LE-FRANC")</f>
        <v>RIGNIEUX-LE-FRANC</v>
      </c>
      <c r="E24497" s="38" t="s">
        <v>255</v>
      </c>
      <c r="F24497" s="38" t="s">
        <v>102</v>
      </c>
      <c r="G24497" s="49" t="str">
        <f t="shared" si="1"/>
        <v>01800</v>
      </c>
      <c r="H24497" s="49" t="str">
        <f t="shared" si="2"/>
        <v>01325</v>
      </c>
    </row>
    <row r="24498">
      <c r="A24498" s="48" t="s">
        <v>2487</v>
      </c>
      <c r="B24498" s="38">
        <v>70159.0</v>
      </c>
      <c r="C24498" s="38" t="s">
        <v>29019</v>
      </c>
      <c r="D24498" s="38" t="str">
        <f>IFERROR(__xludf.DUMMYFUNCTION("REGEXREPLACE(C24498,""-\d+(.*)|--\d+(.*)"","""")"),"COGNIERES")</f>
        <v>COGNIERES</v>
      </c>
      <c r="E24498" s="38" t="s">
        <v>956</v>
      </c>
      <c r="F24498" s="38" t="s">
        <v>214</v>
      </c>
      <c r="G24498" s="49" t="str">
        <f t="shared" si="1"/>
        <v>70230</v>
      </c>
      <c r="H24498" s="49">
        <f t="shared" si="2"/>
        <v>70159</v>
      </c>
    </row>
    <row r="24499">
      <c r="A24499" s="48" t="s">
        <v>26333</v>
      </c>
      <c r="B24499" s="38">
        <v>2575.0</v>
      </c>
      <c r="C24499" s="38" t="s">
        <v>29020</v>
      </c>
      <c r="D24499" s="38" t="str">
        <f>IFERROR(__xludf.DUMMYFUNCTION("REGEXREPLACE(C24499,""-\d+(.*)|--\d+(.*)"","""")"),"ORIGNY-SAINTE-BENOITE")</f>
        <v>ORIGNY-SAINTE-BENOITE</v>
      </c>
      <c r="E24499" s="38" t="s">
        <v>191</v>
      </c>
      <c r="F24499" s="38" t="s">
        <v>113</v>
      </c>
      <c r="G24499" s="49" t="str">
        <f t="shared" si="1"/>
        <v>02390</v>
      </c>
      <c r="H24499" s="49" t="str">
        <f t="shared" si="2"/>
        <v>02575</v>
      </c>
    </row>
    <row r="24500">
      <c r="A24500" s="48" t="s">
        <v>7906</v>
      </c>
      <c r="B24500" s="38">
        <v>44011.0</v>
      </c>
      <c r="C24500" s="38" t="s">
        <v>29021</v>
      </c>
      <c r="D24500" s="38" t="str">
        <f>IFERROR(__xludf.DUMMYFUNCTION("REGEXREPLACE(C24500,""-\d+(.*)|--\d+(.*)"","""")"),"BELLIGNE")</f>
        <v>BELLIGNE</v>
      </c>
      <c r="E24500" s="38" t="s">
        <v>759</v>
      </c>
      <c r="F24500" s="38" t="s">
        <v>180</v>
      </c>
      <c r="G24500" s="49" t="str">
        <f t="shared" si="1"/>
        <v>44370</v>
      </c>
      <c r="H24500" s="49">
        <f t="shared" si="2"/>
        <v>44011</v>
      </c>
    </row>
    <row r="24501">
      <c r="A24501" s="48" t="s">
        <v>29022</v>
      </c>
      <c r="B24501" s="38">
        <v>1232.0</v>
      </c>
      <c r="C24501" s="38" t="s">
        <v>29023</v>
      </c>
      <c r="D24501" s="38" t="str">
        <f>IFERROR(__xludf.DUMMYFUNCTION("REGEXREPLACE(C24501,""-\d+(.*)|--\d+(.*)"","""")"),"MARBOZ")</f>
        <v>MARBOZ</v>
      </c>
      <c r="E24501" s="38" t="s">
        <v>255</v>
      </c>
      <c r="F24501" s="38" t="s">
        <v>102</v>
      </c>
      <c r="G24501" s="49" t="str">
        <f t="shared" si="1"/>
        <v>01851</v>
      </c>
      <c r="H24501" s="49" t="str">
        <f t="shared" si="2"/>
        <v>01232</v>
      </c>
    </row>
    <row r="24502">
      <c r="A24502" s="48" t="s">
        <v>29024</v>
      </c>
      <c r="B24502" s="38">
        <v>95119.0</v>
      </c>
      <c r="C24502" s="38" t="s">
        <v>29025</v>
      </c>
      <c r="D24502" s="38" t="str">
        <f>IFERROR(__xludf.DUMMYFUNCTION("REGEXREPLACE(C24502,""-\d+(.*)|--\d+(.*)"","""")"),"BUHY")</f>
        <v>BUHY</v>
      </c>
      <c r="E24502" s="38" t="s">
        <v>541</v>
      </c>
      <c r="F24502" s="38" t="s">
        <v>245</v>
      </c>
      <c r="G24502" s="49" t="str">
        <f t="shared" si="1"/>
        <v>95770</v>
      </c>
      <c r="H24502" s="49">
        <f t="shared" si="2"/>
        <v>95119</v>
      </c>
    </row>
    <row r="24503">
      <c r="A24503" s="48" t="s">
        <v>2120</v>
      </c>
      <c r="B24503" s="38">
        <v>50222.0</v>
      </c>
      <c r="C24503" s="38" t="s">
        <v>29026</v>
      </c>
      <c r="D24503" s="38" t="str">
        <f>IFERROR(__xludf.DUMMYFUNCTION("REGEXREPLACE(C24503,""-\d+(.*)|--\d+(.*)"","""")"),"GROSVILLE")</f>
        <v>GROSVILLE</v>
      </c>
      <c r="E24503" s="38" t="s">
        <v>157</v>
      </c>
      <c r="F24503" s="38" t="s">
        <v>138</v>
      </c>
      <c r="G24503" s="49" t="str">
        <f t="shared" si="1"/>
        <v>50340</v>
      </c>
      <c r="H24503" s="49">
        <f t="shared" si="2"/>
        <v>50222</v>
      </c>
    </row>
    <row r="24504">
      <c r="A24504" s="48" t="s">
        <v>14840</v>
      </c>
      <c r="B24504" s="38">
        <v>73166.0</v>
      </c>
      <c r="C24504" s="38" t="s">
        <v>29027</v>
      </c>
      <c r="D24504" s="38" t="str">
        <f>IFERROR(__xludf.DUMMYFUNCTION("REGEXREPLACE(C24504,""-\d+(.*)|--\d+(.*)"","""")"),"MONTENDRY")</f>
        <v>MONTENDRY</v>
      </c>
      <c r="E24504" s="38" t="s">
        <v>306</v>
      </c>
      <c r="F24504" s="38" t="s">
        <v>102</v>
      </c>
      <c r="G24504" s="49" t="str">
        <f t="shared" si="1"/>
        <v>73390</v>
      </c>
      <c r="H24504" s="49">
        <f t="shared" si="2"/>
        <v>73166</v>
      </c>
    </row>
    <row r="24505">
      <c r="A24505" s="48" t="s">
        <v>3967</v>
      </c>
      <c r="B24505" s="38">
        <v>50257.0</v>
      </c>
      <c r="C24505" s="38" t="s">
        <v>29028</v>
      </c>
      <c r="D24505" s="38" t="str">
        <f>IFERROR(__xludf.DUMMYFUNCTION("REGEXREPLACE(C24505,""-\d+(.*)|--\d+(.*)"","""")"),"JOBOURG")</f>
        <v>JOBOURG</v>
      </c>
      <c r="E24505" s="38" t="s">
        <v>157</v>
      </c>
      <c r="F24505" s="38" t="s">
        <v>138</v>
      </c>
      <c r="G24505" s="49" t="str">
        <f t="shared" si="1"/>
        <v>50440</v>
      </c>
      <c r="H24505" s="49">
        <f t="shared" si="2"/>
        <v>50257</v>
      </c>
    </row>
    <row r="24506">
      <c r="A24506" s="48" t="s">
        <v>1921</v>
      </c>
      <c r="B24506" s="38">
        <v>2355.0</v>
      </c>
      <c r="C24506" s="38" t="s">
        <v>29029</v>
      </c>
      <c r="D24506" s="38" t="str">
        <f>IFERROR(__xludf.DUMMYFUNCTION("REGEXREPLACE(C24506,""-\d+(.*)|--\d+(.*)"","""")"),"GRICOURT")</f>
        <v>GRICOURT</v>
      </c>
      <c r="E24506" s="38" t="s">
        <v>191</v>
      </c>
      <c r="F24506" s="38" t="s">
        <v>113</v>
      </c>
      <c r="G24506" s="49" t="str">
        <f t="shared" si="1"/>
        <v>02100</v>
      </c>
      <c r="H24506" s="49" t="str">
        <f t="shared" si="2"/>
        <v>02355</v>
      </c>
    </row>
    <row r="24507">
      <c r="A24507" s="48" t="s">
        <v>12221</v>
      </c>
      <c r="B24507" s="38">
        <v>41252.0</v>
      </c>
      <c r="C24507" s="38" t="s">
        <v>29030</v>
      </c>
      <c r="D24507" s="38" t="str">
        <f>IFERROR(__xludf.DUMMYFUNCTION("REGEXREPLACE(C24507,""-\d+(.*)|--\d+(.*)"","""")"),"SUEVRES")</f>
        <v>SUEVRES</v>
      </c>
      <c r="E24507" s="38" t="s">
        <v>188</v>
      </c>
      <c r="F24507" s="38" t="s">
        <v>123</v>
      </c>
      <c r="G24507" s="49" t="str">
        <f t="shared" si="1"/>
        <v>41500</v>
      </c>
      <c r="H24507" s="49">
        <f t="shared" si="2"/>
        <v>41252</v>
      </c>
    </row>
    <row r="24508">
      <c r="A24508" s="48" t="s">
        <v>4119</v>
      </c>
      <c r="B24508" s="38">
        <v>36148.0</v>
      </c>
      <c r="C24508" s="38" t="s">
        <v>29031</v>
      </c>
      <c r="D24508" s="38" t="str">
        <f>IFERROR(__xludf.DUMMYFUNCTION("REGEXREPLACE(C24508,""-\d+(.*)|--\d+(.*)"","""")"),"OULCHES")</f>
        <v>OULCHES</v>
      </c>
      <c r="E24508" s="38" t="s">
        <v>258</v>
      </c>
      <c r="F24508" s="38" t="s">
        <v>123</v>
      </c>
      <c r="G24508" s="49" t="str">
        <f t="shared" si="1"/>
        <v>36800</v>
      </c>
      <c r="H24508" s="49">
        <f t="shared" si="2"/>
        <v>36148</v>
      </c>
    </row>
    <row r="24509">
      <c r="A24509" s="48" t="s">
        <v>12283</v>
      </c>
      <c r="B24509" s="38">
        <v>81163.0</v>
      </c>
      <c r="C24509" s="38" t="s">
        <v>29032</v>
      </c>
      <c r="D24509" s="38" t="str">
        <f>IFERROR(__xludf.DUMMYFUNCTION("REGEXREPLACE(C24509,""-\d+(.*)|--\d+(.*)"","""")"),"MAZAMET")</f>
        <v>MAZAMET</v>
      </c>
      <c r="E24509" s="38" t="s">
        <v>231</v>
      </c>
      <c r="F24509" s="38" t="s">
        <v>94</v>
      </c>
      <c r="G24509" s="49" t="str">
        <f t="shared" si="1"/>
        <v>81200</v>
      </c>
      <c r="H24509" s="49">
        <f t="shared" si="2"/>
        <v>81163</v>
      </c>
    </row>
    <row r="24510">
      <c r="A24510" s="48" t="s">
        <v>622</v>
      </c>
      <c r="B24510" s="38">
        <v>14375.0</v>
      </c>
      <c r="C24510" s="38" t="s">
        <v>29033</v>
      </c>
      <c r="D24510" s="38" t="str">
        <f>IFERROR(__xludf.DUMMYFUNCTION("REGEXREPLACE(C24510,""-\d+(.*)|--\d+(.*)"","""")"),"LES LOGES-SAULCES")</f>
        <v>LES LOGES-SAULCES</v>
      </c>
      <c r="E24510" s="38" t="s">
        <v>137</v>
      </c>
      <c r="F24510" s="38" t="s">
        <v>138</v>
      </c>
      <c r="G24510" s="49" t="str">
        <f t="shared" si="1"/>
        <v>14700</v>
      </c>
      <c r="H24510" s="49">
        <f t="shared" si="2"/>
        <v>14375</v>
      </c>
    </row>
    <row r="24511">
      <c r="A24511" s="48" t="s">
        <v>11050</v>
      </c>
      <c r="B24511" s="38">
        <v>38019.0</v>
      </c>
      <c r="C24511" s="38" t="s">
        <v>29034</v>
      </c>
      <c r="D24511" s="38" t="str">
        <f>IFERROR(__xludf.DUMMYFUNCTION("REGEXREPLACE(C24511,""-\d+(.*)|--\d+(.*)"","""")"),"AUBERIVES-SUR-VAREZE")</f>
        <v>AUBERIVES-SUR-VAREZE</v>
      </c>
      <c r="E24511" s="38" t="s">
        <v>101</v>
      </c>
      <c r="F24511" s="38" t="s">
        <v>102</v>
      </c>
      <c r="G24511" s="49" t="str">
        <f t="shared" si="1"/>
        <v>38550</v>
      </c>
      <c r="H24511" s="49">
        <f t="shared" si="2"/>
        <v>38019</v>
      </c>
    </row>
    <row r="24512">
      <c r="A24512" s="48" t="s">
        <v>724</v>
      </c>
      <c r="B24512" s="38">
        <v>32030.0</v>
      </c>
      <c r="C24512" s="38" t="s">
        <v>15195</v>
      </c>
      <c r="D24512" s="38" t="str">
        <f>IFERROR(__xludf.DUMMYFUNCTION("REGEXREPLACE(C24512,""-\d+(.*)|--\d+(.*)"","""")"),"BARS")</f>
        <v>BARS</v>
      </c>
      <c r="E24512" s="38" t="s">
        <v>440</v>
      </c>
      <c r="F24512" s="38" t="s">
        <v>94</v>
      </c>
      <c r="G24512" s="49" t="str">
        <f t="shared" si="1"/>
        <v>32300</v>
      </c>
      <c r="H24512" s="49">
        <f t="shared" si="2"/>
        <v>32030</v>
      </c>
    </row>
    <row r="24513">
      <c r="A24513" s="48" t="s">
        <v>3224</v>
      </c>
      <c r="B24513" s="38">
        <v>54553.0</v>
      </c>
      <c r="C24513" s="38" t="s">
        <v>6834</v>
      </c>
      <c r="D24513" s="38" t="str">
        <f>IFERROR(__xludf.DUMMYFUNCTION("REGEXREPLACE(C24513,""-\d+(.*)|--\d+(.*)"","""")"),"VAUDEVILLE")</f>
        <v>VAUDEVILLE</v>
      </c>
      <c r="E24513" s="38" t="s">
        <v>548</v>
      </c>
      <c r="F24513" s="38" t="s">
        <v>195</v>
      </c>
      <c r="G24513" s="49" t="str">
        <f t="shared" si="1"/>
        <v>54740</v>
      </c>
      <c r="H24513" s="49">
        <f t="shared" si="2"/>
        <v>54553</v>
      </c>
    </row>
    <row r="24514">
      <c r="A24514" s="48" t="s">
        <v>2773</v>
      </c>
      <c r="B24514" s="38">
        <v>21134.0</v>
      </c>
      <c r="C24514" s="38" t="s">
        <v>29035</v>
      </c>
      <c r="D24514" s="38" t="str">
        <f>IFERROR(__xludf.DUMMYFUNCTION("REGEXREPLACE(C24514,""-\d+(.*)|--\d+(.*)"","""")"),"CHAMESSON")</f>
        <v>CHAMESSON</v>
      </c>
      <c r="E24514" s="38" t="s">
        <v>105</v>
      </c>
      <c r="F24514" s="38" t="s">
        <v>106</v>
      </c>
      <c r="G24514" s="49" t="str">
        <f t="shared" si="1"/>
        <v>21400</v>
      </c>
      <c r="H24514" s="49">
        <f t="shared" si="2"/>
        <v>21134</v>
      </c>
    </row>
    <row r="24515">
      <c r="A24515" s="48" t="s">
        <v>17116</v>
      </c>
      <c r="B24515" s="38">
        <v>31284.0</v>
      </c>
      <c r="C24515" s="38" t="s">
        <v>29036</v>
      </c>
      <c r="D24515" s="38" t="str">
        <f>IFERROR(__xludf.DUMMYFUNCTION("REGEXREPLACE(C24515,""-\d+(.*)|--\d+(.*)"","""")"),"LAUZERVILLE")</f>
        <v>LAUZERVILLE</v>
      </c>
      <c r="E24515" s="38" t="s">
        <v>93</v>
      </c>
      <c r="F24515" s="38" t="s">
        <v>94</v>
      </c>
      <c r="G24515" s="49" t="str">
        <f t="shared" si="1"/>
        <v>31650</v>
      </c>
      <c r="H24515" s="49">
        <f t="shared" si="2"/>
        <v>31284</v>
      </c>
    </row>
    <row r="24516">
      <c r="A24516" s="48" t="s">
        <v>922</v>
      </c>
      <c r="B24516" s="38">
        <v>76544.0</v>
      </c>
      <c r="C24516" s="38" t="s">
        <v>29037</v>
      </c>
      <c r="D24516" s="38" t="str">
        <f>IFERROR(__xludf.DUMMYFUNCTION("REGEXREPLACE(C24516,""-\d+(.*)|--\d+(.*)"","""")"),"ROUVRAY-CATILLON")</f>
        <v>ROUVRAY-CATILLON</v>
      </c>
      <c r="E24516" s="38" t="s">
        <v>133</v>
      </c>
      <c r="F24516" s="38" t="s">
        <v>134</v>
      </c>
      <c r="G24516" s="49" t="str">
        <f t="shared" si="1"/>
        <v>76440</v>
      </c>
      <c r="H24516" s="49">
        <f t="shared" si="2"/>
        <v>76544</v>
      </c>
    </row>
    <row r="24517">
      <c r="A24517" s="48" t="s">
        <v>2800</v>
      </c>
      <c r="B24517" s="38">
        <v>77473.0</v>
      </c>
      <c r="C24517" s="38" t="s">
        <v>29038</v>
      </c>
      <c r="D24517" s="38" t="str">
        <f>IFERROR(__xludf.DUMMYFUNCTION("REGEXREPLACE(C24517,""-\d+(.*)|--\d+(.*)"","""")"),"TREUZY-LEVELAY")</f>
        <v>TREUZY-LEVELAY</v>
      </c>
      <c r="E24517" s="38" t="s">
        <v>244</v>
      </c>
      <c r="F24517" s="38" t="s">
        <v>245</v>
      </c>
      <c r="G24517" s="49" t="str">
        <f t="shared" si="1"/>
        <v>77710</v>
      </c>
      <c r="H24517" s="49">
        <f t="shared" si="2"/>
        <v>77473</v>
      </c>
    </row>
    <row r="24518">
      <c r="A24518" s="48" t="s">
        <v>4642</v>
      </c>
      <c r="B24518" s="38">
        <v>21113.0</v>
      </c>
      <c r="C24518" s="38" t="s">
        <v>29039</v>
      </c>
      <c r="D24518" s="38" t="str">
        <f>IFERROR(__xludf.DUMMYFUNCTION("REGEXREPLACE(C24518,""-\d+(.*)|--\d+(.*)"","""")"),"BROINDON")</f>
        <v>BROINDON</v>
      </c>
      <c r="E24518" s="38" t="s">
        <v>105</v>
      </c>
      <c r="F24518" s="38" t="s">
        <v>106</v>
      </c>
      <c r="G24518" s="49" t="str">
        <f t="shared" si="1"/>
        <v>21220</v>
      </c>
      <c r="H24518" s="49">
        <f t="shared" si="2"/>
        <v>21113</v>
      </c>
    </row>
    <row r="24519">
      <c r="A24519" s="48" t="s">
        <v>2162</v>
      </c>
      <c r="B24519" s="38">
        <v>26343.0</v>
      </c>
      <c r="C24519" s="38" t="s">
        <v>29040</v>
      </c>
      <c r="D24519" s="38" t="str">
        <f>IFERROR(__xludf.DUMMYFUNCTION("REGEXREPLACE(C24519,""-\d+(.*)|--\d+(.*)"","""")"),"SOUSPIERRE")</f>
        <v>SOUSPIERRE</v>
      </c>
      <c r="E24519" s="38" t="s">
        <v>126</v>
      </c>
      <c r="F24519" s="38" t="s">
        <v>102</v>
      </c>
      <c r="G24519" s="49" t="str">
        <f t="shared" si="1"/>
        <v>26160</v>
      </c>
      <c r="H24519" s="49">
        <f t="shared" si="2"/>
        <v>26343</v>
      </c>
    </row>
    <row r="24520">
      <c r="A24520" s="48" t="s">
        <v>1054</v>
      </c>
      <c r="B24520" s="38">
        <v>46124.0</v>
      </c>
      <c r="C24520" s="38" t="s">
        <v>29041</v>
      </c>
      <c r="D24520" s="38" t="str">
        <f>IFERROR(__xludf.DUMMYFUNCTION("REGEXREPLACE(C24520,""-\d+(.*)|--\d+(.*)"","""")"),"GLANES")</f>
        <v>GLANES</v>
      </c>
      <c r="E24520" s="38" t="s">
        <v>185</v>
      </c>
      <c r="F24520" s="38" t="s">
        <v>94</v>
      </c>
      <c r="G24520" s="49" t="str">
        <f t="shared" si="1"/>
        <v>46130</v>
      </c>
      <c r="H24520" s="49">
        <f t="shared" si="2"/>
        <v>46124</v>
      </c>
    </row>
    <row r="24521">
      <c r="A24521" s="48" t="s">
        <v>9207</v>
      </c>
      <c r="B24521" s="38">
        <v>57762.0</v>
      </c>
      <c r="C24521" s="38" t="s">
        <v>29042</v>
      </c>
      <c r="D24521" s="38" t="str">
        <f>IFERROR(__xludf.DUMMYFUNCTION("REGEXREPLACE(C24521,""-\d+(.*)|--\d+(.*)"","""")"),"ZIMMING")</f>
        <v>ZIMMING</v>
      </c>
      <c r="E24521" s="38" t="s">
        <v>303</v>
      </c>
      <c r="F24521" s="38" t="s">
        <v>195</v>
      </c>
      <c r="G24521" s="49" t="str">
        <f t="shared" si="1"/>
        <v>57690</v>
      </c>
      <c r="H24521" s="49">
        <f t="shared" si="2"/>
        <v>57762</v>
      </c>
    </row>
    <row r="24522">
      <c r="A24522" s="48" t="s">
        <v>3992</v>
      </c>
      <c r="B24522" s="38">
        <v>46078.0</v>
      </c>
      <c r="C24522" s="38" t="s">
        <v>29043</v>
      </c>
      <c r="D24522" s="38" t="str">
        <f>IFERROR(__xludf.DUMMYFUNCTION("REGEXREPLACE(C24522,""-\d+(.*)|--\d+(.*)"","""")"),"COUZOU")</f>
        <v>COUZOU</v>
      </c>
      <c r="E24522" s="38" t="s">
        <v>185</v>
      </c>
      <c r="F24522" s="38" t="s">
        <v>94</v>
      </c>
      <c r="G24522" s="49" t="str">
        <f t="shared" si="1"/>
        <v>46500</v>
      </c>
      <c r="H24522" s="49">
        <f t="shared" si="2"/>
        <v>46078</v>
      </c>
    </row>
    <row r="24523">
      <c r="A24523" s="48" t="s">
        <v>7250</v>
      </c>
      <c r="B24523" s="38">
        <v>89299.0</v>
      </c>
      <c r="C24523" s="38" t="s">
        <v>29044</v>
      </c>
      <c r="D24523" s="38" t="str">
        <f>IFERROR(__xludf.DUMMYFUNCTION("REGEXREPLACE(C24523,""-\d+(.*)|--\d+(.*)"","""")"),"PIMELLES")</f>
        <v>PIMELLES</v>
      </c>
      <c r="E24523" s="38" t="s">
        <v>275</v>
      </c>
      <c r="F24523" s="38" t="s">
        <v>106</v>
      </c>
      <c r="G24523" s="49" t="str">
        <f t="shared" si="1"/>
        <v>89740</v>
      </c>
      <c r="H24523" s="49">
        <f t="shared" si="2"/>
        <v>89299</v>
      </c>
    </row>
    <row r="24524">
      <c r="A24524" s="48" t="s">
        <v>12300</v>
      </c>
      <c r="B24524" s="38">
        <v>37026.0</v>
      </c>
      <c r="C24524" s="38" t="s">
        <v>29045</v>
      </c>
      <c r="D24524" s="38" t="str">
        <f>IFERROR(__xludf.DUMMYFUNCTION("REGEXREPLACE(C24524,""-\d+(.*)|--\d+(.*)"","""")"),"BETZ-LE-CHATEAU")</f>
        <v>BETZ-LE-CHATEAU</v>
      </c>
      <c r="E24524" s="38" t="s">
        <v>205</v>
      </c>
      <c r="F24524" s="38" t="s">
        <v>123</v>
      </c>
      <c r="G24524" s="49" t="str">
        <f t="shared" si="1"/>
        <v>37600</v>
      </c>
      <c r="H24524" s="49">
        <f t="shared" si="2"/>
        <v>37026</v>
      </c>
    </row>
    <row r="24525">
      <c r="A24525" s="48" t="s">
        <v>425</v>
      </c>
      <c r="B24525" s="38">
        <v>88076.0</v>
      </c>
      <c r="C24525" s="38" t="s">
        <v>29046</v>
      </c>
      <c r="D24525" s="38" t="str">
        <f>IFERROR(__xludf.DUMMYFUNCTION("REGEXREPLACE(C24525,""-\d+(.*)|--\d+(.*)"","""")"),"BROUVELIEURES")</f>
        <v>BROUVELIEURES</v>
      </c>
      <c r="E24525" s="38" t="s">
        <v>194</v>
      </c>
      <c r="F24525" s="38" t="s">
        <v>195</v>
      </c>
      <c r="G24525" s="49" t="str">
        <f t="shared" si="1"/>
        <v>88600</v>
      </c>
      <c r="H24525" s="49">
        <f t="shared" si="2"/>
        <v>88076</v>
      </c>
    </row>
    <row r="24526">
      <c r="A24526" s="48" t="s">
        <v>2538</v>
      </c>
      <c r="B24526" s="38">
        <v>12206.0</v>
      </c>
      <c r="C24526" s="38" t="s">
        <v>29047</v>
      </c>
      <c r="D24526" s="38" t="str">
        <f>IFERROR(__xludf.DUMMYFUNCTION("REGEXREPLACE(C24526,""-\d+(.*)|--\d+(.*)"","""")"),"ROUSSENNAC")</f>
        <v>ROUSSENNAC</v>
      </c>
      <c r="E24526" s="38" t="s">
        <v>465</v>
      </c>
      <c r="F24526" s="38" t="s">
        <v>94</v>
      </c>
      <c r="G24526" s="49" t="str">
        <f t="shared" si="1"/>
        <v>12220</v>
      </c>
      <c r="H24526" s="49">
        <f t="shared" si="2"/>
        <v>12206</v>
      </c>
    </row>
    <row r="24527">
      <c r="A24527" s="48" t="s">
        <v>16961</v>
      </c>
      <c r="B24527" s="38">
        <v>86245.0</v>
      </c>
      <c r="C24527" s="38" t="s">
        <v>4403</v>
      </c>
      <c r="D24527" s="38" t="str">
        <f>IFERROR(__xludf.DUMMYFUNCTION("REGEXREPLACE(C24527,""-\d+(.*)|--\d+(.*)"","""")"),"SAINT-SAUVEUR")</f>
        <v>SAINT-SAUVEUR</v>
      </c>
      <c r="E24527" s="38" t="s">
        <v>529</v>
      </c>
      <c r="F24527" s="38" t="s">
        <v>338</v>
      </c>
      <c r="G24527" s="49" t="str">
        <f t="shared" si="1"/>
        <v>86100</v>
      </c>
      <c r="H24527" s="49">
        <f t="shared" si="2"/>
        <v>86245</v>
      </c>
    </row>
    <row r="24528">
      <c r="A24528" s="48" t="s">
        <v>1420</v>
      </c>
      <c r="B24528" s="38">
        <v>4101.0</v>
      </c>
      <c r="C24528" s="38" t="s">
        <v>29048</v>
      </c>
      <c r="D24528" s="38" t="str">
        <f>IFERROR(__xludf.DUMMYFUNCTION("REGEXREPLACE(C24528,""-\d+(.*)|--\d+(.*)"","""")"),"LARDIERS")</f>
        <v>LARDIERS</v>
      </c>
      <c r="E24528" s="38" t="s">
        <v>662</v>
      </c>
      <c r="F24528" s="38" t="s">
        <v>228</v>
      </c>
      <c r="G24528" s="49" t="str">
        <f t="shared" si="1"/>
        <v>04230</v>
      </c>
      <c r="H24528" s="49" t="str">
        <f t="shared" si="2"/>
        <v>04101</v>
      </c>
    </row>
    <row r="24529">
      <c r="A24529" s="48" t="s">
        <v>1744</v>
      </c>
      <c r="B24529" s="38">
        <v>31265.0</v>
      </c>
      <c r="C24529" s="38" t="s">
        <v>29049</v>
      </c>
      <c r="D24529" s="38" t="str">
        <f>IFERROR(__xludf.DUMMYFUNCTION("REGEXREPLACE(C24529,""-\d+(.*)|--\d+(.*)"","""")"),"LAGRAULET-SAINT-NICOLAS")</f>
        <v>LAGRAULET-SAINT-NICOLAS</v>
      </c>
      <c r="E24529" s="38" t="s">
        <v>93</v>
      </c>
      <c r="F24529" s="38" t="s">
        <v>94</v>
      </c>
      <c r="G24529" s="49" t="str">
        <f t="shared" si="1"/>
        <v>31480</v>
      </c>
      <c r="H24529" s="49">
        <f t="shared" si="2"/>
        <v>31265</v>
      </c>
    </row>
    <row r="24530">
      <c r="A24530" s="48" t="s">
        <v>1347</v>
      </c>
      <c r="B24530" s="38">
        <v>16156.0</v>
      </c>
      <c r="C24530" s="38" t="s">
        <v>29050</v>
      </c>
      <c r="D24530" s="38" t="str">
        <f>IFERROR(__xludf.DUMMYFUNCTION("REGEXREPLACE(C24530,""-\d+(.*)|--\d+(.*)"","""")"),"GOURVILLE")</f>
        <v>GOURVILLE</v>
      </c>
      <c r="E24530" s="38" t="s">
        <v>429</v>
      </c>
      <c r="F24530" s="38" t="s">
        <v>338</v>
      </c>
      <c r="G24530" s="49" t="str">
        <f t="shared" si="1"/>
        <v>16170</v>
      </c>
      <c r="H24530" s="49">
        <f t="shared" si="2"/>
        <v>16156</v>
      </c>
    </row>
    <row r="24531">
      <c r="A24531" s="48" t="s">
        <v>6521</v>
      </c>
      <c r="B24531" s="38">
        <v>34302.0</v>
      </c>
      <c r="C24531" s="38" t="s">
        <v>3155</v>
      </c>
      <c r="D24531" s="38" t="str">
        <f>IFERROR(__xludf.DUMMYFUNCTION("REGEXREPLACE(C24531,""-\d+(.*)|--\d+(.*)"","""")"),"SIRAN")</f>
        <v>SIRAN</v>
      </c>
      <c r="E24531" s="38" t="s">
        <v>118</v>
      </c>
      <c r="F24531" s="38" t="s">
        <v>119</v>
      </c>
      <c r="G24531" s="49" t="str">
        <f t="shared" si="1"/>
        <v>34210</v>
      </c>
      <c r="H24531" s="49">
        <f t="shared" si="2"/>
        <v>34302</v>
      </c>
    </row>
    <row r="24532">
      <c r="A24532" s="48" t="s">
        <v>124</v>
      </c>
      <c r="B24532" s="38">
        <v>26157.0</v>
      </c>
      <c r="C24532" s="38" t="s">
        <v>29051</v>
      </c>
      <c r="D24532" s="38" t="str">
        <f>IFERROR(__xludf.DUMMYFUNCTION("REGEXREPLACE(C24532,""-\d+(.*)|--\d+(.*)"","""")"),"LA LAUPIE")</f>
        <v>LA LAUPIE</v>
      </c>
      <c r="E24532" s="38" t="s">
        <v>126</v>
      </c>
      <c r="F24532" s="38" t="s">
        <v>102</v>
      </c>
      <c r="G24532" s="49" t="str">
        <f t="shared" si="1"/>
        <v>26740</v>
      </c>
      <c r="H24532" s="49">
        <f t="shared" si="2"/>
        <v>26157</v>
      </c>
    </row>
    <row r="24533">
      <c r="A24533" s="48" t="s">
        <v>474</v>
      </c>
      <c r="B24533" s="38">
        <v>76329.0</v>
      </c>
      <c r="C24533" s="38" t="s">
        <v>29052</v>
      </c>
      <c r="D24533" s="38" t="str">
        <f>IFERROR(__xludf.DUMMYFUNCTION("REGEXREPLACE(C24533,""-\d+(.*)|--\d+(.*)"","""")"),"GRUCHET-LE-VALASSE")</f>
        <v>GRUCHET-LE-VALASSE</v>
      </c>
      <c r="E24533" s="38" t="s">
        <v>133</v>
      </c>
      <c r="F24533" s="38" t="s">
        <v>134</v>
      </c>
      <c r="G24533" s="49" t="str">
        <f t="shared" si="1"/>
        <v>76210</v>
      </c>
      <c r="H24533" s="49">
        <f t="shared" si="2"/>
        <v>76329</v>
      </c>
    </row>
    <row r="24534">
      <c r="A24534" s="48" t="s">
        <v>13555</v>
      </c>
      <c r="B24534" s="38">
        <v>57433.0</v>
      </c>
      <c r="C24534" s="38" t="s">
        <v>29053</v>
      </c>
      <c r="D24534" s="38" t="str">
        <f>IFERROR(__xludf.DUMMYFUNCTION("REGEXREPLACE(C24534,""-\d+(.*)|--\d+(.*)"","""")"),"MAIZIERES-LES-METZ")</f>
        <v>MAIZIERES-LES-METZ</v>
      </c>
      <c r="E24534" s="38" t="s">
        <v>303</v>
      </c>
      <c r="F24534" s="38" t="s">
        <v>195</v>
      </c>
      <c r="G24534" s="49" t="str">
        <f t="shared" si="1"/>
        <v>57280</v>
      </c>
      <c r="H24534" s="49">
        <f t="shared" si="2"/>
        <v>57433</v>
      </c>
    </row>
    <row r="24535">
      <c r="A24535" s="48" t="s">
        <v>3655</v>
      </c>
      <c r="B24535" s="38">
        <v>51291.0</v>
      </c>
      <c r="C24535" s="38" t="s">
        <v>29054</v>
      </c>
      <c r="D24535" s="38" t="str">
        <f>IFERROR(__xludf.DUMMYFUNCTION("REGEXREPLACE(C24535,""-\d+(.*)|--\d+(.*)"","""")"),"HERMONVILLE")</f>
        <v>HERMONVILLE</v>
      </c>
      <c r="E24535" s="38" t="s">
        <v>129</v>
      </c>
      <c r="F24535" s="38" t="s">
        <v>130</v>
      </c>
      <c r="G24535" s="49" t="str">
        <f t="shared" si="1"/>
        <v>51220</v>
      </c>
      <c r="H24535" s="49">
        <f t="shared" si="2"/>
        <v>51291</v>
      </c>
    </row>
    <row r="24536">
      <c r="A24536" s="48" t="s">
        <v>26000</v>
      </c>
      <c r="B24536" s="38">
        <v>64065.0</v>
      </c>
      <c r="C24536" s="38" t="s">
        <v>29055</v>
      </c>
      <c r="D24536" s="38" t="str">
        <f>IFERROR(__xludf.DUMMYFUNCTION("REGEXREPLACE(C24536,""-\d+(.*)|--\d+(.*)"","""")"),"ASCAIN")</f>
        <v>ASCAIN</v>
      </c>
      <c r="E24536" s="38" t="s">
        <v>268</v>
      </c>
      <c r="F24536" s="38" t="s">
        <v>252</v>
      </c>
      <c r="G24536" s="49" t="str">
        <f t="shared" si="1"/>
        <v>64310</v>
      </c>
      <c r="H24536" s="49">
        <f t="shared" si="2"/>
        <v>64065</v>
      </c>
    </row>
    <row r="24537">
      <c r="A24537" s="48" t="s">
        <v>12639</v>
      </c>
      <c r="B24537" s="38">
        <v>81123.0</v>
      </c>
      <c r="C24537" s="38" t="s">
        <v>29056</v>
      </c>
      <c r="D24537" s="38" t="str">
        <f>IFERROR(__xludf.DUMMYFUNCTION("REGEXREPLACE(C24537,""-\d+(.*)|--\d+(.*)"","""")"),"LACAPELLE-SEGALAR")</f>
        <v>LACAPELLE-SEGALAR</v>
      </c>
      <c r="E24537" s="38" t="s">
        <v>231</v>
      </c>
      <c r="F24537" s="38" t="s">
        <v>94</v>
      </c>
      <c r="G24537" s="49" t="str">
        <f t="shared" si="1"/>
        <v>81170</v>
      </c>
      <c r="H24537" s="49">
        <f t="shared" si="2"/>
        <v>81123</v>
      </c>
    </row>
    <row r="24538">
      <c r="A24538" s="48" t="s">
        <v>4880</v>
      </c>
      <c r="B24538" s="38">
        <v>89290.0</v>
      </c>
      <c r="C24538" s="38" t="s">
        <v>29057</v>
      </c>
      <c r="D24538" s="38" t="str">
        <f>IFERROR(__xludf.DUMMYFUNCTION("REGEXREPLACE(C24538,""-\d+(.*)|--\d+(.*)"","""")"),"PASILLY")</f>
        <v>PASILLY</v>
      </c>
      <c r="E24538" s="38" t="s">
        <v>275</v>
      </c>
      <c r="F24538" s="38" t="s">
        <v>106</v>
      </c>
      <c r="G24538" s="49" t="str">
        <f t="shared" si="1"/>
        <v>89310</v>
      </c>
      <c r="H24538" s="49">
        <f t="shared" si="2"/>
        <v>89290</v>
      </c>
    </row>
    <row r="24539">
      <c r="A24539" s="48" t="s">
        <v>2710</v>
      </c>
      <c r="B24539" s="38">
        <v>68049.0</v>
      </c>
      <c r="C24539" s="38" t="s">
        <v>3876</v>
      </c>
      <c r="D24539" s="38" t="str">
        <f>IFERROR(__xludf.DUMMYFUNCTION("REGEXREPLACE(C24539,""-\d+(.*)|--\d+(.*)"","""")"),"BOUXWILLER")</f>
        <v>BOUXWILLER</v>
      </c>
      <c r="E24539" s="38" t="s">
        <v>150</v>
      </c>
      <c r="F24539" s="38" t="s">
        <v>151</v>
      </c>
      <c r="G24539" s="49" t="str">
        <f t="shared" si="1"/>
        <v>68480</v>
      </c>
      <c r="H24539" s="49">
        <f t="shared" si="2"/>
        <v>68049</v>
      </c>
    </row>
    <row r="24540">
      <c r="A24540" s="48" t="s">
        <v>2868</v>
      </c>
      <c r="B24540" s="38">
        <v>80383.0</v>
      </c>
      <c r="C24540" s="38" t="s">
        <v>29058</v>
      </c>
      <c r="D24540" s="38" t="str">
        <f>IFERROR(__xludf.DUMMYFUNCTION("REGEXREPLACE(C24540,""-\d+(.*)|--\d+(.*)"","""")"),"GOYENCOURT")</f>
        <v>GOYENCOURT</v>
      </c>
      <c r="E24540" s="38" t="s">
        <v>224</v>
      </c>
      <c r="F24540" s="38" t="s">
        <v>113</v>
      </c>
      <c r="G24540" s="49" t="str">
        <f t="shared" si="1"/>
        <v>80700</v>
      </c>
      <c r="H24540" s="49">
        <f t="shared" si="2"/>
        <v>80383</v>
      </c>
    </row>
    <row r="24541">
      <c r="A24541" s="48" t="s">
        <v>16706</v>
      </c>
      <c r="B24541" s="38">
        <v>82029.0</v>
      </c>
      <c r="C24541" s="38" t="s">
        <v>29059</v>
      </c>
      <c r="D24541" s="38" t="str">
        <f>IFERROR(__xludf.DUMMYFUNCTION("REGEXREPLACE(C24541,""-\d+(.*)|--\d+(.*)"","""")"),"CASTANET")</f>
        <v>CASTANET</v>
      </c>
      <c r="E24541" s="38" t="s">
        <v>570</v>
      </c>
      <c r="F24541" s="38" t="s">
        <v>94</v>
      </c>
      <c r="G24541" s="49" t="str">
        <f t="shared" si="1"/>
        <v>82160</v>
      </c>
      <c r="H24541" s="49">
        <f t="shared" si="2"/>
        <v>82029</v>
      </c>
    </row>
    <row r="24542">
      <c r="A24542" s="48" t="s">
        <v>16599</v>
      </c>
      <c r="B24542" s="38">
        <v>76457.0</v>
      </c>
      <c r="C24542" s="38" t="s">
        <v>29060</v>
      </c>
      <c r="D24542" s="38" t="str">
        <f>IFERROR(__xludf.DUMMYFUNCTION("REGEXREPLACE(C24542,""-\d+(.*)|--\d+(.*)"","""")"),"MOULINEAUX")</f>
        <v>MOULINEAUX</v>
      </c>
      <c r="E24542" s="38" t="s">
        <v>133</v>
      </c>
      <c r="F24542" s="38" t="s">
        <v>134</v>
      </c>
      <c r="G24542" s="49" t="str">
        <f t="shared" si="1"/>
        <v>76530</v>
      </c>
      <c r="H24542" s="49">
        <f t="shared" si="2"/>
        <v>76457</v>
      </c>
    </row>
    <row r="24543">
      <c r="A24543" s="48" t="s">
        <v>23584</v>
      </c>
      <c r="B24543" s="38">
        <v>7045.0</v>
      </c>
      <c r="C24543" s="38" t="s">
        <v>29061</v>
      </c>
      <c r="D24543" s="38" t="str">
        <f>IFERROR(__xludf.DUMMYFUNCTION("REGEXREPLACE(C24543,""-\d+(.*)|--\d+(.*)"","""")"),"BURZET")</f>
        <v>BURZET</v>
      </c>
      <c r="E24543" s="38" t="s">
        <v>144</v>
      </c>
      <c r="F24543" s="38" t="s">
        <v>102</v>
      </c>
      <c r="G24543" s="49" t="str">
        <f t="shared" si="1"/>
        <v>07450</v>
      </c>
      <c r="H24543" s="49" t="str">
        <f t="shared" si="2"/>
        <v>07045</v>
      </c>
    </row>
    <row r="24544">
      <c r="A24544" s="48" t="s">
        <v>13750</v>
      </c>
      <c r="B24544" s="38">
        <v>79025.0</v>
      </c>
      <c r="C24544" s="38" t="s">
        <v>29062</v>
      </c>
      <c r="D24544" s="38" t="str">
        <f>IFERROR(__xludf.DUMMYFUNCTION("REGEXREPLACE(C24544,""-\d+(.*)|--\d+(.*)"","""")"),"AZAY-SUR-THOUET")</f>
        <v>AZAY-SUR-THOUET</v>
      </c>
      <c r="E24544" s="38" t="s">
        <v>337</v>
      </c>
      <c r="F24544" s="38" t="s">
        <v>338</v>
      </c>
      <c r="G24544" s="49" t="str">
        <f t="shared" si="1"/>
        <v>79130</v>
      </c>
      <c r="H24544" s="49">
        <f t="shared" si="2"/>
        <v>79025</v>
      </c>
    </row>
    <row r="24545">
      <c r="A24545" s="48" t="s">
        <v>198</v>
      </c>
      <c r="B24545" s="38">
        <v>65432.0</v>
      </c>
      <c r="C24545" s="38" t="s">
        <v>29063</v>
      </c>
      <c r="D24545" s="38" t="str">
        <f>IFERROR(__xludf.DUMMYFUNCTION("REGEXREPLACE(C24545,""-\d+(.*)|--\d+(.*)"","""")"),"SOUBLECAUSE")</f>
        <v>SOUBLECAUSE</v>
      </c>
      <c r="E24545" s="38" t="s">
        <v>200</v>
      </c>
      <c r="F24545" s="38" t="s">
        <v>94</v>
      </c>
      <c r="G24545" s="49" t="str">
        <f t="shared" si="1"/>
        <v>65700</v>
      </c>
      <c r="H24545" s="49">
        <f t="shared" si="2"/>
        <v>65432</v>
      </c>
    </row>
    <row r="24546">
      <c r="A24546" s="48" t="s">
        <v>862</v>
      </c>
      <c r="B24546" s="38">
        <v>27467.0</v>
      </c>
      <c r="C24546" s="38" t="s">
        <v>29064</v>
      </c>
      <c r="D24546" s="38" t="str">
        <f>IFERROR(__xludf.DUMMYFUNCTION("REGEXREPLACE(C24546,""-\d+(.*)|--\d+(.*)"","""")"),"PONT-AUDEMER")</f>
        <v>PONT-AUDEMER</v>
      </c>
      <c r="E24546" s="38" t="s">
        <v>241</v>
      </c>
      <c r="F24546" s="38" t="s">
        <v>134</v>
      </c>
      <c r="G24546" s="49" t="str">
        <f t="shared" si="1"/>
        <v>27500</v>
      </c>
      <c r="H24546" s="49">
        <f t="shared" si="2"/>
        <v>27467</v>
      </c>
    </row>
    <row r="24547">
      <c r="A24547" s="48" t="s">
        <v>792</v>
      </c>
      <c r="B24547" s="38">
        <v>2220.0</v>
      </c>
      <c r="C24547" s="38" t="s">
        <v>29065</v>
      </c>
      <c r="D24547" s="38" t="str">
        <f>IFERROR(__xludf.DUMMYFUNCTION("REGEXREPLACE(C24547,""-\d+(.*)|--\d+(.*)"","""")"),"COULONGES-COHAN")</f>
        <v>COULONGES-COHAN</v>
      </c>
      <c r="E24547" s="38" t="s">
        <v>191</v>
      </c>
      <c r="F24547" s="38" t="s">
        <v>113</v>
      </c>
      <c r="G24547" s="49" t="str">
        <f t="shared" si="1"/>
        <v>02130</v>
      </c>
      <c r="H24547" s="49" t="str">
        <f t="shared" si="2"/>
        <v>02220</v>
      </c>
    </row>
    <row r="24548">
      <c r="A24548" s="48" t="s">
        <v>4381</v>
      </c>
      <c r="B24548" s="38">
        <v>82044.0</v>
      </c>
      <c r="C24548" s="38" t="s">
        <v>29066</v>
      </c>
      <c r="D24548" s="38" t="str">
        <f>IFERROR(__xludf.DUMMYFUNCTION("REGEXREPLACE(C24548,""-\d+(.*)|--\d+(.*)"","""")"),"CORBARIEU")</f>
        <v>CORBARIEU</v>
      </c>
      <c r="E24548" s="38" t="s">
        <v>570</v>
      </c>
      <c r="F24548" s="38" t="s">
        <v>94</v>
      </c>
      <c r="G24548" s="49" t="str">
        <f t="shared" si="1"/>
        <v>82370</v>
      </c>
      <c r="H24548" s="49">
        <f t="shared" si="2"/>
        <v>82044</v>
      </c>
    </row>
    <row r="24549">
      <c r="A24549" s="48" t="s">
        <v>91</v>
      </c>
      <c r="B24549" s="38">
        <v>31219.0</v>
      </c>
      <c r="C24549" s="38" t="s">
        <v>29067</v>
      </c>
      <c r="D24549" s="38" t="str">
        <f>IFERROR(__xludf.DUMMYFUNCTION("REGEXREPLACE(C24549,""-\d+(.*)|--\d+(.*)"","""")"),"GENSAC-SUR-GARONNE")</f>
        <v>GENSAC-SUR-GARONNE</v>
      </c>
      <c r="E24549" s="38" t="s">
        <v>93</v>
      </c>
      <c r="F24549" s="38" t="s">
        <v>94</v>
      </c>
      <c r="G24549" s="49" t="str">
        <f t="shared" si="1"/>
        <v>31310</v>
      </c>
      <c r="H24549" s="49">
        <f t="shared" si="2"/>
        <v>31219</v>
      </c>
    </row>
    <row r="24550">
      <c r="A24550" s="48" t="s">
        <v>5056</v>
      </c>
      <c r="B24550" s="38">
        <v>85107.0</v>
      </c>
      <c r="C24550" s="38" t="s">
        <v>29068</v>
      </c>
      <c r="D24550" s="38" t="str">
        <f>IFERROR(__xludf.DUMMYFUNCTION("REGEXREPLACE(C24550,""-\d+(.*)|--\d+(.*)"","""")"),"LA GUYONNIERE")</f>
        <v>LA GUYONNIERE</v>
      </c>
      <c r="E24550" s="38" t="s">
        <v>179</v>
      </c>
      <c r="F24550" s="38" t="s">
        <v>180</v>
      </c>
      <c r="G24550" s="49" t="str">
        <f t="shared" si="1"/>
        <v>85600</v>
      </c>
      <c r="H24550" s="49">
        <f t="shared" si="2"/>
        <v>85107</v>
      </c>
    </row>
    <row r="24551">
      <c r="A24551" s="48" t="s">
        <v>5738</v>
      </c>
      <c r="B24551" s="38">
        <v>77294.0</v>
      </c>
      <c r="C24551" s="38" t="s">
        <v>29069</v>
      </c>
      <c r="D24551" s="38" t="str">
        <f>IFERROR(__xludf.DUMMYFUNCTION("REGEXREPLACE(C24551,""-\d+(.*)|--\d+(.*)"","""")"),"MITRY-MORY")</f>
        <v>MITRY-MORY</v>
      </c>
      <c r="E24551" s="38" t="s">
        <v>244</v>
      </c>
      <c r="F24551" s="38" t="s">
        <v>245</v>
      </c>
      <c r="G24551" s="49" t="str">
        <f t="shared" si="1"/>
        <v>77290</v>
      </c>
      <c r="H24551" s="49">
        <f t="shared" si="2"/>
        <v>77294</v>
      </c>
    </row>
    <row r="24552">
      <c r="A24552" s="48" t="s">
        <v>8579</v>
      </c>
      <c r="B24552" s="38">
        <v>32113.0</v>
      </c>
      <c r="C24552" s="38" t="s">
        <v>29070</v>
      </c>
      <c r="D24552" s="38" t="str">
        <f>IFERROR(__xludf.DUMMYFUNCTION("REGEXREPLACE(C24552,""-\d+(.*)|--\d+(.*)"","""")"),"CRAVENCERES")</f>
        <v>CRAVENCERES</v>
      </c>
      <c r="E24552" s="38" t="s">
        <v>440</v>
      </c>
      <c r="F24552" s="38" t="s">
        <v>94</v>
      </c>
      <c r="G24552" s="49" t="str">
        <f t="shared" si="1"/>
        <v>32110</v>
      </c>
      <c r="H24552" s="49">
        <f t="shared" si="2"/>
        <v>32113</v>
      </c>
    </row>
    <row r="24553">
      <c r="A24553" s="48" t="s">
        <v>16314</v>
      </c>
      <c r="B24553" s="38">
        <v>10408.0</v>
      </c>
      <c r="C24553" s="38" t="s">
        <v>29071</v>
      </c>
      <c r="D24553" s="38" t="str">
        <f>IFERROR(__xludf.DUMMYFUNCTION("REGEXREPLACE(C24553,""-\d+(.*)|--\d+(.*)"","""")"),"VIAPRES-LE-PETIT")</f>
        <v>VIAPRES-LE-PETIT</v>
      </c>
      <c r="E24553" s="38" t="s">
        <v>147</v>
      </c>
      <c r="F24553" s="38" t="s">
        <v>130</v>
      </c>
      <c r="G24553" s="49" t="str">
        <f t="shared" si="1"/>
        <v>10380</v>
      </c>
      <c r="H24553" s="49">
        <f t="shared" si="2"/>
        <v>10408</v>
      </c>
    </row>
    <row r="24554">
      <c r="A24554" s="48" t="s">
        <v>5862</v>
      </c>
      <c r="B24554" s="38">
        <v>63464.0</v>
      </c>
      <c r="C24554" s="38" t="s">
        <v>24171</v>
      </c>
      <c r="D24554" s="38" t="str">
        <f>IFERROR(__xludf.DUMMYFUNCTION("REGEXREPLACE(C24554,""-\d+(.*)|--\d+(.*)"","""")"),"VITRAC")</f>
        <v>VITRAC</v>
      </c>
      <c r="E24554" s="38" t="s">
        <v>353</v>
      </c>
      <c r="F24554" s="38" t="s">
        <v>161</v>
      </c>
      <c r="G24554" s="49" t="str">
        <f t="shared" si="1"/>
        <v>63410</v>
      </c>
      <c r="H24554" s="49">
        <f t="shared" si="2"/>
        <v>63464</v>
      </c>
    </row>
    <row r="24555">
      <c r="A24555" s="48" t="s">
        <v>1157</v>
      </c>
      <c r="B24555" s="38">
        <v>16405.0</v>
      </c>
      <c r="C24555" s="38" t="s">
        <v>29072</v>
      </c>
      <c r="D24555" s="38" t="str">
        <f>IFERROR(__xludf.DUMMYFUNCTION("REGEXREPLACE(C24555,""-\d+(.*)|--\d+(.*)"","""")"),"VIGNOLLES")</f>
        <v>VIGNOLLES</v>
      </c>
      <c r="E24555" s="38" t="s">
        <v>429</v>
      </c>
      <c r="F24555" s="38" t="s">
        <v>338</v>
      </c>
      <c r="G24555" s="49" t="str">
        <f t="shared" si="1"/>
        <v>16300</v>
      </c>
      <c r="H24555" s="49">
        <f t="shared" si="2"/>
        <v>16405</v>
      </c>
    </row>
    <row r="24556">
      <c r="A24556" s="48" t="s">
        <v>715</v>
      </c>
      <c r="B24556" s="38">
        <v>88437.0</v>
      </c>
      <c r="C24556" s="38" t="s">
        <v>16226</v>
      </c>
      <c r="D24556" s="38" t="str">
        <f>IFERROR(__xludf.DUMMYFUNCTION("REGEXREPLACE(C24556,""-\d+(.*)|--\d+(.*)"","""")"),"SAINT-VALLIER")</f>
        <v>SAINT-VALLIER</v>
      </c>
      <c r="E24556" s="38" t="s">
        <v>194</v>
      </c>
      <c r="F24556" s="38" t="s">
        <v>195</v>
      </c>
      <c r="G24556" s="49" t="str">
        <f t="shared" si="1"/>
        <v>88270</v>
      </c>
      <c r="H24556" s="49">
        <f t="shared" si="2"/>
        <v>88437</v>
      </c>
    </row>
    <row r="24557">
      <c r="A24557" s="48" t="s">
        <v>12501</v>
      </c>
      <c r="B24557" s="38">
        <v>27262.0</v>
      </c>
      <c r="C24557" s="38" t="s">
        <v>29073</v>
      </c>
      <c r="D24557" s="38" t="str">
        <f>IFERROR(__xludf.DUMMYFUNCTION("REGEXREPLACE(C24557,""-\d+(.*)|--\d+(.*)"","""")"),"FOURGES")</f>
        <v>FOURGES</v>
      </c>
      <c r="E24557" s="38" t="s">
        <v>241</v>
      </c>
      <c r="F24557" s="38" t="s">
        <v>134</v>
      </c>
      <c r="G24557" s="49" t="str">
        <f t="shared" si="1"/>
        <v>27630</v>
      </c>
      <c r="H24557" s="49">
        <f t="shared" si="2"/>
        <v>27262</v>
      </c>
    </row>
    <row r="24558">
      <c r="A24558" s="48" t="s">
        <v>7760</v>
      </c>
      <c r="B24558" s="38">
        <v>54065.0</v>
      </c>
      <c r="C24558" s="38" t="s">
        <v>29074</v>
      </c>
      <c r="D24558" s="38" t="str">
        <f>IFERROR(__xludf.DUMMYFUNCTION("REGEXREPLACE(C24558,""-\d+(.*)|--\d+(.*)"","""")"),"BERTRICHAMPS")</f>
        <v>BERTRICHAMPS</v>
      </c>
      <c r="E24558" s="38" t="s">
        <v>548</v>
      </c>
      <c r="F24558" s="38" t="s">
        <v>195</v>
      </c>
      <c r="G24558" s="49" t="str">
        <f t="shared" si="1"/>
        <v>54120</v>
      </c>
      <c r="H24558" s="49">
        <f t="shared" si="2"/>
        <v>54065</v>
      </c>
    </row>
    <row r="24559">
      <c r="A24559" s="48" t="s">
        <v>5775</v>
      </c>
      <c r="B24559" s="38">
        <v>73056.0</v>
      </c>
      <c r="C24559" s="38" t="s">
        <v>29075</v>
      </c>
      <c r="D24559" s="38" t="str">
        <f>IFERROR(__xludf.DUMMYFUNCTION("REGEXREPLACE(C24559,""-\d+(.*)|--\d+(.*)"","""")"),"BRAMANS")</f>
        <v>BRAMANS</v>
      </c>
      <c r="E24559" s="38" t="s">
        <v>306</v>
      </c>
      <c r="F24559" s="38" t="s">
        <v>102</v>
      </c>
      <c r="G24559" s="49" t="str">
        <f t="shared" si="1"/>
        <v>73500</v>
      </c>
      <c r="H24559" s="49">
        <f t="shared" si="2"/>
        <v>73056</v>
      </c>
    </row>
    <row r="24560">
      <c r="A24560" s="48" t="s">
        <v>3900</v>
      </c>
      <c r="B24560" s="38">
        <v>2128.0</v>
      </c>
      <c r="C24560" s="38" t="s">
        <v>29076</v>
      </c>
      <c r="D24560" s="38" t="str">
        <f>IFERROR(__xludf.DUMMYFUNCTION("REGEXREPLACE(C24560,""-\d+(.*)|--\d+(.*)"","""")"),"BRUYERES-ET-MONTBERAULT")</f>
        <v>BRUYERES-ET-MONTBERAULT</v>
      </c>
      <c r="E24560" s="38" t="s">
        <v>191</v>
      </c>
      <c r="F24560" s="38" t="s">
        <v>113</v>
      </c>
      <c r="G24560" s="49" t="str">
        <f t="shared" si="1"/>
        <v>02860</v>
      </c>
      <c r="H24560" s="49" t="str">
        <f t="shared" si="2"/>
        <v>02128</v>
      </c>
    </row>
    <row r="24561">
      <c r="A24561" s="48" t="s">
        <v>1913</v>
      </c>
      <c r="B24561" s="38">
        <v>63152.0</v>
      </c>
      <c r="C24561" s="38" t="s">
        <v>25758</v>
      </c>
      <c r="D24561" s="38" t="str">
        <f>IFERROR(__xludf.DUMMYFUNCTION("REGEXREPLACE(C24561,""-\d+(.*)|--\d+(.*)"","""")"),"ESPINASSE")</f>
        <v>ESPINASSE</v>
      </c>
      <c r="E24561" s="38" t="s">
        <v>353</v>
      </c>
      <c r="F24561" s="38" t="s">
        <v>161</v>
      </c>
      <c r="G24561" s="49" t="str">
        <f t="shared" si="1"/>
        <v>63390</v>
      </c>
      <c r="H24561" s="49">
        <f t="shared" si="2"/>
        <v>63152</v>
      </c>
    </row>
    <row r="24562">
      <c r="A24562" s="48" t="s">
        <v>5212</v>
      </c>
      <c r="B24562" s="38">
        <v>41153.0</v>
      </c>
      <c r="C24562" s="38" t="s">
        <v>29077</v>
      </c>
      <c r="D24562" s="38" t="str">
        <f>IFERROR(__xludf.DUMMYFUNCTION("REGEXREPLACE(C24562,""-\d+(.*)|--\d+(.*)"","""")"),"MONTROUVEAU")</f>
        <v>MONTROUVEAU</v>
      </c>
      <c r="E24562" s="38" t="s">
        <v>188</v>
      </c>
      <c r="F24562" s="38" t="s">
        <v>123</v>
      </c>
      <c r="G24562" s="49" t="str">
        <f t="shared" si="1"/>
        <v>41800</v>
      </c>
      <c r="H24562" s="49">
        <f t="shared" si="2"/>
        <v>41153</v>
      </c>
    </row>
    <row r="24563">
      <c r="A24563" s="48" t="s">
        <v>15028</v>
      </c>
      <c r="B24563" s="38">
        <v>79016.0</v>
      </c>
      <c r="C24563" s="38" t="s">
        <v>29078</v>
      </c>
      <c r="D24563" s="38" t="str">
        <f>IFERROR(__xludf.DUMMYFUNCTION("REGEXREPLACE(C24563,""-\d+(.*)|--\d+(.*)"","""")"),"ASSAIS-LES-JUMEAUX")</f>
        <v>ASSAIS-LES-JUMEAUX</v>
      </c>
      <c r="E24563" s="38" t="s">
        <v>337</v>
      </c>
      <c r="F24563" s="38" t="s">
        <v>338</v>
      </c>
      <c r="G24563" s="49" t="str">
        <f t="shared" si="1"/>
        <v>79600</v>
      </c>
      <c r="H24563" s="49">
        <f t="shared" si="2"/>
        <v>79016</v>
      </c>
    </row>
    <row r="24564">
      <c r="A24564" s="48" t="s">
        <v>5503</v>
      </c>
      <c r="B24564" s="38">
        <v>78300.0</v>
      </c>
      <c r="C24564" s="38" t="s">
        <v>29079</v>
      </c>
      <c r="D24564" s="38" t="str">
        <f>IFERROR(__xludf.DUMMYFUNCTION("REGEXREPLACE(C24564,""-\d+(.*)|--\d+(.*)"","""")"),"HARGEVILLE")</f>
        <v>HARGEVILLE</v>
      </c>
      <c r="E24564" s="38" t="s">
        <v>362</v>
      </c>
      <c r="F24564" s="38" t="s">
        <v>245</v>
      </c>
      <c r="G24564" s="49" t="str">
        <f t="shared" si="1"/>
        <v>78790</v>
      </c>
      <c r="H24564" s="49">
        <f t="shared" si="2"/>
        <v>78300</v>
      </c>
    </row>
    <row r="24565">
      <c r="A24565" s="48" t="s">
        <v>3545</v>
      </c>
      <c r="B24565" s="38">
        <v>17092.0</v>
      </c>
      <c r="C24565" s="38" t="s">
        <v>29080</v>
      </c>
      <c r="D24565" s="38" t="str">
        <f>IFERROR(__xludf.DUMMYFUNCTION("REGEXREPLACE(C24565,""-\d+(.*)|--\d+(.*)"","""")"),"CHARTUZAC")</f>
        <v>CHARTUZAC</v>
      </c>
      <c r="E24565" s="38" t="s">
        <v>488</v>
      </c>
      <c r="F24565" s="38" t="s">
        <v>338</v>
      </c>
      <c r="G24565" s="49" t="str">
        <f t="shared" si="1"/>
        <v>17130</v>
      </c>
      <c r="H24565" s="49">
        <f t="shared" si="2"/>
        <v>17092</v>
      </c>
    </row>
    <row r="24566">
      <c r="A24566" s="48" t="s">
        <v>573</v>
      </c>
      <c r="B24566" s="38">
        <v>65167.0</v>
      </c>
      <c r="C24566" s="38" t="s">
        <v>29081</v>
      </c>
      <c r="D24566" s="38" t="str">
        <f>IFERROR(__xludf.DUMMYFUNCTION("REGEXREPLACE(C24566,""-\d+(.*)|--\d+(.*)"","""")"),"ESPIEILH")</f>
        <v>ESPIEILH</v>
      </c>
      <c r="E24566" s="38" t="s">
        <v>200</v>
      </c>
      <c r="F24566" s="38" t="s">
        <v>94</v>
      </c>
      <c r="G24566" s="49" t="str">
        <f t="shared" si="1"/>
        <v>65130</v>
      </c>
      <c r="H24566" s="49">
        <f t="shared" si="2"/>
        <v>65167</v>
      </c>
    </row>
    <row r="24567">
      <c r="A24567" s="48" t="s">
        <v>398</v>
      </c>
      <c r="B24567" s="38">
        <v>39213.0</v>
      </c>
      <c r="C24567" s="38" t="s">
        <v>29082</v>
      </c>
      <c r="D24567" s="38" t="str">
        <f>IFERROR(__xludf.DUMMYFUNCTION("REGEXREPLACE(C24567,""-\d+(.*)|--\d+(.*)"","""")"),"ESSERVAL-COMBE")</f>
        <v>ESSERVAL-COMBE</v>
      </c>
      <c r="E24567" s="38" t="s">
        <v>400</v>
      </c>
      <c r="F24567" s="38" t="s">
        <v>214</v>
      </c>
      <c r="G24567" s="49" t="str">
        <f t="shared" si="1"/>
        <v>39250</v>
      </c>
      <c r="H24567" s="49">
        <f t="shared" si="2"/>
        <v>39213</v>
      </c>
    </row>
    <row r="24568">
      <c r="A24568" s="48" t="s">
        <v>2264</v>
      </c>
      <c r="B24568" s="38">
        <v>45335.0</v>
      </c>
      <c r="C24568" s="38" t="s">
        <v>29083</v>
      </c>
      <c r="D24568" s="38" t="str">
        <f>IFERROR(__xludf.DUMMYFUNCTION("REGEXREPLACE(C24568,""-\d+(.*)|--\d+(.*)"","""")"),"VIENNE-EN-VAL")</f>
        <v>VIENNE-EN-VAL</v>
      </c>
      <c r="E24568" s="38" t="s">
        <v>122</v>
      </c>
      <c r="F24568" s="38" t="s">
        <v>123</v>
      </c>
      <c r="G24568" s="49" t="str">
        <f t="shared" si="1"/>
        <v>45510</v>
      </c>
      <c r="H24568" s="49">
        <f t="shared" si="2"/>
        <v>45335</v>
      </c>
    </row>
    <row r="24569">
      <c r="A24569" s="48" t="s">
        <v>1557</v>
      </c>
      <c r="B24569" s="38">
        <v>5152.0</v>
      </c>
      <c r="C24569" s="38" t="s">
        <v>29084</v>
      </c>
      <c r="D24569" s="38" t="str">
        <f>IFERROR(__xludf.DUMMYFUNCTION("REGEXREPLACE(C24569,""-\d+(.*)|--\d+(.*)"","""")"),"SAINT-MAURICE-EN-VALGODEMARD")</f>
        <v>SAINT-MAURICE-EN-VALGODEMARD</v>
      </c>
      <c r="E24569" s="38" t="s">
        <v>706</v>
      </c>
      <c r="F24569" s="38" t="s">
        <v>228</v>
      </c>
      <c r="G24569" s="49" t="str">
        <f t="shared" si="1"/>
        <v>05800</v>
      </c>
      <c r="H24569" s="49" t="str">
        <f t="shared" si="2"/>
        <v>05152</v>
      </c>
    </row>
    <row r="24570">
      <c r="A24570" s="48" t="s">
        <v>16304</v>
      </c>
      <c r="B24570" s="38">
        <v>87096.0</v>
      </c>
      <c r="C24570" s="38" t="s">
        <v>29085</v>
      </c>
      <c r="D24570" s="38" t="str">
        <f>IFERROR(__xludf.DUMMYFUNCTION("REGEXREPLACE(C24570,""-\d+(.*)|--\d+(.*)"","""")"),"LA MEYZE")</f>
        <v>LA MEYZE</v>
      </c>
      <c r="E24570" s="38" t="s">
        <v>897</v>
      </c>
      <c r="F24570" s="38" t="s">
        <v>98</v>
      </c>
      <c r="G24570" s="49" t="str">
        <f t="shared" si="1"/>
        <v>87800</v>
      </c>
      <c r="H24570" s="49">
        <f t="shared" si="2"/>
        <v>87096</v>
      </c>
    </row>
    <row r="24571">
      <c r="A24571" s="48" t="s">
        <v>29086</v>
      </c>
      <c r="B24571" s="38">
        <v>89004.0</v>
      </c>
      <c r="C24571" s="38" t="s">
        <v>29087</v>
      </c>
      <c r="D24571" s="38" t="str">
        <f>IFERROR(__xludf.DUMMYFUNCTION("REGEXREPLACE(C24571,""-\d+(.*)|--\d+(.*)"","""")"),"AISY-SUR-ARMANCON")</f>
        <v>AISY-SUR-ARMANCON</v>
      </c>
      <c r="E24571" s="38" t="s">
        <v>275</v>
      </c>
      <c r="F24571" s="38" t="s">
        <v>106</v>
      </c>
      <c r="G24571" s="49" t="str">
        <f t="shared" si="1"/>
        <v>89390</v>
      </c>
      <c r="H24571" s="49">
        <f t="shared" si="2"/>
        <v>89004</v>
      </c>
    </row>
    <row r="24572">
      <c r="A24572" s="48" t="s">
        <v>29088</v>
      </c>
      <c r="B24572" s="38">
        <v>62328.0</v>
      </c>
      <c r="C24572" s="38" t="s">
        <v>29089</v>
      </c>
      <c r="D24572" s="38" t="str">
        <f>IFERROR(__xludf.DUMMYFUNCTION("REGEXREPLACE(C24572,""-\d+(.*)|--\d+(.*)"","""")"),"FERFAY")</f>
        <v>FERFAY</v>
      </c>
      <c r="E24572" s="38" t="s">
        <v>109</v>
      </c>
      <c r="F24572" s="38" t="s">
        <v>86</v>
      </c>
      <c r="G24572" s="49" t="str">
        <f t="shared" si="1"/>
        <v>62260</v>
      </c>
      <c r="H24572" s="49">
        <f t="shared" si="2"/>
        <v>62328</v>
      </c>
    </row>
    <row r="24573">
      <c r="A24573" s="48" t="s">
        <v>29090</v>
      </c>
      <c r="B24573" s="38">
        <v>78327.0</v>
      </c>
      <c r="C24573" s="38" t="s">
        <v>29091</v>
      </c>
      <c r="D24573" s="38" t="str">
        <f>IFERROR(__xludf.DUMMYFUNCTION("REGEXREPLACE(C24573,""-\d+(.*)|--\d+(.*)"","""")"),"JUZIERS")</f>
        <v>JUZIERS</v>
      </c>
      <c r="E24573" s="38" t="s">
        <v>362</v>
      </c>
      <c r="F24573" s="38" t="s">
        <v>245</v>
      </c>
      <c r="G24573" s="49" t="str">
        <f t="shared" si="1"/>
        <v>78820</v>
      </c>
      <c r="H24573" s="49">
        <f t="shared" si="2"/>
        <v>78327</v>
      </c>
    </row>
    <row r="24574">
      <c r="A24574" s="48" t="s">
        <v>15666</v>
      </c>
      <c r="B24574" s="38">
        <v>71009.0</v>
      </c>
      <c r="C24574" s="38" t="s">
        <v>29092</v>
      </c>
      <c r="D24574" s="38" t="str">
        <f>IFERROR(__xludf.DUMMYFUNCTION("REGEXREPLACE(C24574,""-\d+(.*)|--\d+(.*)"","""")"),"ANOST")</f>
        <v>ANOST</v>
      </c>
      <c r="E24574" s="38" t="s">
        <v>344</v>
      </c>
      <c r="F24574" s="38" t="s">
        <v>106</v>
      </c>
      <c r="G24574" s="49" t="str">
        <f t="shared" si="1"/>
        <v>71550</v>
      </c>
      <c r="H24574" s="49">
        <f t="shared" si="2"/>
        <v>71009</v>
      </c>
    </row>
    <row r="24575">
      <c r="A24575" s="48" t="s">
        <v>273</v>
      </c>
      <c r="B24575" s="38">
        <v>89361.0</v>
      </c>
      <c r="C24575" s="38" t="s">
        <v>29093</v>
      </c>
      <c r="D24575" s="38" t="str">
        <f>IFERROR(__xludf.DUMMYFUNCTION("REGEXREPLACE(C24575,""-\d+(.*)|--\d+(.*)"","""")"),"SAINT-MAURICE-THIZOUAILLE")</f>
        <v>SAINT-MAURICE-THIZOUAILLE</v>
      </c>
      <c r="E24575" s="38" t="s">
        <v>275</v>
      </c>
      <c r="F24575" s="38" t="s">
        <v>106</v>
      </c>
      <c r="G24575" s="49" t="str">
        <f t="shared" si="1"/>
        <v>89110</v>
      </c>
      <c r="H24575" s="49">
        <f t="shared" si="2"/>
        <v>89361</v>
      </c>
    </row>
    <row r="24576">
      <c r="A24576" s="48" t="s">
        <v>29094</v>
      </c>
      <c r="B24576" s="38">
        <v>69388.0</v>
      </c>
      <c r="C24576" s="38" t="s">
        <v>29095</v>
      </c>
      <c r="D24576" s="38" t="str">
        <f>IFERROR(__xludf.DUMMYFUNCTION("REGEXREPLACE(C24576,""-\d+(.*)|--\d+(.*)"","""")"),"LYON")</f>
        <v>LYON</v>
      </c>
      <c r="E24576" s="38" t="s">
        <v>350</v>
      </c>
      <c r="F24576" s="38" t="s">
        <v>102</v>
      </c>
      <c r="G24576" s="49" t="str">
        <f t="shared" si="1"/>
        <v>69008</v>
      </c>
      <c r="H24576" s="49">
        <f t="shared" si="2"/>
        <v>69388</v>
      </c>
    </row>
    <row r="24577">
      <c r="A24577" s="48" t="s">
        <v>8634</v>
      </c>
      <c r="B24577" s="38">
        <v>1165.0</v>
      </c>
      <c r="C24577" s="38" t="s">
        <v>29096</v>
      </c>
      <c r="D24577" s="38" t="str">
        <f>IFERROR(__xludf.DUMMYFUNCTION("REGEXREPLACE(C24577,""-\d+(.*)|--\d+(.*)"","""")"),"FRANCHELEINS")</f>
        <v>FRANCHELEINS</v>
      </c>
      <c r="E24577" s="38" t="s">
        <v>255</v>
      </c>
      <c r="F24577" s="38" t="s">
        <v>102</v>
      </c>
      <c r="G24577" s="49" t="str">
        <f t="shared" si="1"/>
        <v>01090</v>
      </c>
      <c r="H24577" s="49" t="str">
        <f t="shared" si="2"/>
        <v>01165</v>
      </c>
    </row>
    <row r="24578">
      <c r="A24578" s="48" t="s">
        <v>14375</v>
      </c>
      <c r="B24578" s="38">
        <v>74302.0</v>
      </c>
      <c r="C24578" s="38" t="s">
        <v>29097</v>
      </c>
      <c r="D24578" s="38" t="str">
        <f>IFERROR(__xludf.DUMMYFUNCTION("REGEXREPLACE(C24578,""-\d+(.*)|--\d+(.*)"","""")"),"LES VILLARDS-SUR-THONES")</f>
        <v>LES VILLARDS-SUR-THONES</v>
      </c>
      <c r="E24578" s="38" t="s">
        <v>319</v>
      </c>
      <c r="F24578" s="38" t="s">
        <v>102</v>
      </c>
      <c r="G24578" s="49" t="str">
        <f t="shared" si="1"/>
        <v>74230</v>
      </c>
      <c r="H24578" s="49">
        <f t="shared" si="2"/>
        <v>74302</v>
      </c>
    </row>
    <row r="24579">
      <c r="A24579" s="48" t="s">
        <v>1991</v>
      </c>
      <c r="B24579" s="38">
        <v>54564.0</v>
      </c>
      <c r="C24579" s="38" t="s">
        <v>29098</v>
      </c>
      <c r="D24579" s="38" t="str">
        <f>IFERROR(__xludf.DUMMYFUNCTION("REGEXREPLACE(C24579,""-\d+(.*)|--\d+(.*)"","""")"),"VIEVILLE-EN-HAYE")</f>
        <v>VIEVILLE-EN-HAYE</v>
      </c>
      <c r="E24579" s="38" t="s">
        <v>548</v>
      </c>
      <c r="F24579" s="38" t="s">
        <v>195</v>
      </c>
      <c r="G24579" s="49" t="str">
        <f t="shared" si="1"/>
        <v>54470</v>
      </c>
      <c r="H24579" s="49">
        <f t="shared" si="2"/>
        <v>54564</v>
      </c>
    </row>
    <row r="24580">
      <c r="A24580" s="48" t="s">
        <v>3422</v>
      </c>
      <c r="B24580" s="38">
        <v>32276.0</v>
      </c>
      <c r="C24580" s="38" t="s">
        <v>29099</v>
      </c>
      <c r="D24580" s="38" t="str">
        <f>IFERROR(__xludf.DUMMYFUNCTION("REGEXREPLACE(C24580,""-\d+(.*)|--\d+(.*)"","""")"),"MONTADET")</f>
        <v>MONTADET</v>
      </c>
      <c r="E24580" s="38" t="s">
        <v>440</v>
      </c>
      <c r="F24580" s="38" t="s">
        <v>94</v>
      </c>
      <c r="G24580" s="49" t="str">
        <f t="shared" si="1"/>
        <v>32220</v>
      </c>
      <c r="H24580" s="49">
        <f t="shared" si="2"/>
        <v>32276</v>
      </c>
    </row>
    <row r="24581">
      <c r="A24581" s="48" t="s">
        <v>17602</v>
      </c>
      <c r="B24581" s="38">
        <v>22368.0</v>
      </c>
      <c r="C24581" s="38" t="s">
        <v>29100</v>
      </c>
      <c r="D24581" s="38" t="str">
        <f>IFERROR(__xludf.DUMMYFUNCTION("REGEXREPLACE(C24581,""-\d+(.*)|--\d+(.*)"","""")"),"TREMEREUC")</f>
        <v>TREMEREUC</v>
      </c>
      <c r="E24581" s="38" t="s">
        <v>89</v>
      </c>
      <c r="F24581" s="38" t="s">
        <v>90</v>
      </c>
      <c r="G24581" s="49" t="str">
        <f t="shared" si="1"/>
        <v>22490</v>
      </c>
      <c r="H24581" s="49">
        <f t="shared" si="2"/>
        <v>22368</v>
      </c>
    </row>
    <row r="24582">
      <c r="A24582" s="48" t="s">
        <v>8586</v>
      </c>
      <c r="B24582" s="38">
        <v>46202.0</v>
      </c>
      <c r="C24582" s="38" t="s">
        <v>29101</v>
      </c>
      <c r="D24582" s="38" t="str">
        <f>IFERROR(__xludf.DUMMYFUNCTION("REGEXREPLACE(C24582,""-\d+(.*)|--\d+(.*)"","""")"),"MONTDOUMERC")</f>
        <v>MONTDOUMERC</v>
      </c>
      <c r="E24582" s="38" t="s">
        <v>185</v>
      </c>
      <c r="F24582" s="38" t="s">
        <v>94</v>
      </c>
      <c r="G24582" s="49" t="str">
        <f t="shared" si="1"/>
        <v>46230</v>
      </c>
      <c r="H24582" s="49">
        <f t="shared" si="2"/>
        <v>46202</v>
      </c>
    </row>
    <row r="24583">
      <c r="A24583" s="48" t="s">
        <v>29102</v>
      </c>
      <c r="B24583" s="38">
        <v>59022.0</v>
      </c>
      <c r="C24583" s="38" t="s">
        <v>29103</v>
      </c>
      <c r="D24583" s="38" t="str">
        <f>IFERROR(__xludf.DUMMYFUNCTION("REGEXREPLACE(C24583,""-\d+(.*)|--\d+(.*)"","""")"),"ATTICHES")</f>
        <v>ATTICHES</v>
      </c>
      <c r="E24583" s="38" t="s">
        <v>85</v>
      </c>
      <c r="F24583" s="38" t="s">
        <v>86</v>
      </c>
      <c r="G24583" s="49" t="str">
        <f t="shared" si="1"/>
        <v>59551</v>
      </c>
      <c r="H24583" s="49">
        <f t="shared" si="2"/>
        <v>59022</v>
      </c>
    </row>
    <row r="24584">
      <c r="A24584" s="48" t="s">
        <v>6256</v>
      </c>
      <c r="B24584" s="38">
        <v>55156.0</v>
      </c>
      <c r="C24584" s="38" t="s">
        <v>29104</v>
      </c>
      <c r="D24584" s="38" t="str">
        <f>IFERROR(__xludf.DUMMYFUNCTION("REGEXREPLACE(C24584,""-\d+(.*)|--\d+(.*)"","""")"),"DOMBRAS")</f>
        <v>DOMBRAS</v>
      </c>
      <c r="E24584" s="38" t="s">
        <v>322</v>
      </c>
      <c r="F24584" s="38" t="s">
        <v>195</v>
      </c>
      <c r="G24584" s="49" t="str">
        <f t="shared" si="1"/>
        <v>55150</v>
      </c>
      <c r="H24584" s="49">
        <f t="shared" si="2"/>
        <v>55156</v>
      </c>
    </row>
    <row r="24585">
      <c r="A24585" s="48" t="s">
        <v>239</v>
      </c>
      <c r="B24585" s="38">
        <v>27187.0</v>
      </c>
      <c r="C24585" s="38" t="s">
        <v>29105</v>
      </c>
      <c r="D24585" s="38" t="str">
        <f>IFERROR(__xludf.DUMMYFUNCTION("REGEXREPLACE(C24585,""-\d+(.*)|--\d+(.*)"","""")"),"CRIQUEBEUF-LA-CAMPAGNE")</f>
        <v>CRIQUEBEUF-LA-CAMPAGNE</v>
      </c>
      <c r="E24585" s="38" t="s">
        <v>241</v>
      </c>
      <c r="F24585" s="38" t="s">
        <v>134</v>
      </c>
      <c r="G24585" s="49" t="str">
        <f t="shared" si="1"/>
        <v>27110</v>
      </c>
      <c r="H24585" s="49">
        <f t="shared" si="2"/>
        <v>27187</v>
      </c>
    </row>
    <row r="24586">
      <c r="A24586" s="48" t="s">
        <v>2868</v>
      </c>
      <c r="B24586" s="38">
        <v>80322.0</v>
      </c>
      <c r="C24586" s="38" t="s">
        <v>29106</v>
      </c>
      <c r="D24586" s="38" t="str">
        <f>IFERROR(__xludf.DUMMYFUNCTION("REGEXREPLACE(C24586,""-\d+(.*)|--\d+(.*)"","""")"),"FONCHES-FONCHETTE")</f>
        <v>FONCHES-FONCHETTE</v>
      </c>
      <c r="E24586" s="38" t="s">
        <v>224</v>
      </c>
      <c r="F24586" s="38" t="s">
        <v>113</v>
      </c>
      <c r="G24586" s="49" t="str">
        <f t="shared" si="1"/>
        <v>80700</v>
      </c>
      <c r="H24586" s="49">
        <f t="shared" si="2"/>
        <v>80322</v>
      </c>
    </row>
    <row r="24587">
      <c r="A24587" s="48" t="s">
        <v>2530</v>
      </c>
      <c r="B24587" s="38">
        <v>79282.0</v>
      </c>
      <c r="C24587" s="38" t="s">
        <v>9699</v>
      </c>
      <c r="D24587" s="38" t="str">
        <f>IFERROR(__xludf.DUMMYFUNCTION("REGEXREPLACE(C24587,""-\d+(.*)|--\d+(.*)"","""")"),"SAINT-MEDARD")</f>
        <v>SAINT-MEDARD</v>
      </c>
      <c r="E24587" s="38" t="s">
        <v>337</v>
      </c>
      <c r="F24587" s="38" t="s">
        <v>338</v>
      </c>
      <c r="G24587" s="49" t="str">
        <f t="shared" si="1"/>
        <v>79370</v>
      </c>
      <c r="H24587" s="49">
        <f t="shared" si="2"/>
        <v>79282</v>
      </c>
    </row>
    <row r="24588">
      <c r="A24588" s="48" t="s">
        <v>709</v>
      </c>
      <c r="B24588" s="38">
        <v>43093.0</v>
      </c>
      <c r="C24588" s="38" t="s">
        <v>27207</v>
      </c>
      <c r="D24588" s="38" t="str">
        <f>IFERROR(__xludf.DUMMYFUNCTION("REGEXREPLACE(C24588,""-\d+(.*)|--\d+(.*)"","""")"),"FELINES")</f>
        <v>FELINES</v>
      </c>
      <c r="E24588" s="38" t="s">
        <v>332</v>
      </c>
      <c r="F24588" s="38" t="s">
        <v>161</v>
      </c>
      <c r="G24588" s="49" t="str">
        <f t="shared" si="1"/>
        <v>43160</v>
      </c>
      <c r="H24588" s="49">
        <f t="shared" si="2"/>
        <v>43093</v>
      </c>
    </row>
    <row r="24589">
      <c r="A24589" s="48" t="s">
        <v>1887</v>
      </c>
      <c r="B24589" s="38">
        <v>88062.0</v>
      </c>
      <c r="C24589" s="38" t="s">
        <v>29107</v>
      </c>
      <c r="D24589" s="38" t="str">
        <f>IFERROR(__xludf.DUMMYFUNCTION("REGEXREPLACE(C24589,""-\d+(.*)|--\d+(.*)"","""")"),"BLEVAINCOURT")</f>
        <v>BLEVAINCOURT</v>
      </c>
      <c r="E24589" s="38" t="s">
        <v>194</v>
      </c>
      <c r="F24589" s="38" t="s">
        <v>195</v>
      </c>
      <c r="G24589" s="49" t="str">
        <f t="shared" si="1"/>
        <v>88320</v>
      </c>
      <c r="H24589" s="49">
        <f t="shared" si="2"/>
        <v>88062</v>
      </c>
    </row>
    <row r="24590">
      <c r="A24590" s="48" t="s">
        <v>8287</v>
      </c>
      <c r="B24590" s="38">
        <v>31259.0</v>
      </c>
      <c r="C24590" s="38" t="s">
        <v>29108</v>
      </c>
      <c r="D24590" s="38" t="str">
        <f>IFERROR(__xludf.DUMMYFUNCTION("REGEXREPLACE(C24590,""-\d+(.*)|--\d+(.*)"","""")"),"LACROIX-FALGARDE")</f>
        <v>LACROIX-FALGARDE</v>
      </c>
      <c r="E24590" s="38" t="s">
        <v>93</v>
      </c>
      <c r="F24590" s="38" t="s">
        <v>94</v>
      </c>
      <c r="G24590" s="49" t="str">
        <f t="shared" si="1"/>
        <v>31120</v>
      </c>
      <c r="H24590" s="49">
        <f t="shared" si="2"/>
        <v>31259</v>
      </c>
    </row>
    <row r="24591">
      <c r="A24591" s="48" t="s">
        <v>1991</v>
      </c>
      <c r="B24591" s="38">
        <v>54316.0</v>
      </c>
      <c r="C24591" s="38" t="s">
        <v>29109</v>
      </c>
      <c r="D24591" s="38" t="str">
        <f>IFERROR(__xludf.DUMMYFUNCTION("REGEXREPLACE(C24591,""-\d+(.*)|--\d+(.*)"","""")"),"LIMEY-REMENAUVILLE")</f>
        <v>LIMEY-REMENAUVILLE</v>
      </c>
      <c r="E24591" s="38" t="s">
        <v>548</v>
      </c>
      <c r="F24591" s="38" t="s">
        <v>195</v>
      </c>
      <c r="G24591" s="49" t="str">
        <f t="shared" si="1"/>
        <v>54470</v>
      </c>
      <c r="H24591" s="49">
        <f t="shared" si="2"/>
        <v>54316</v>
      </c>
    </row>
    <row r="24592">
      <c r="A24592" s="48" t="s">
        <v>5953</v>
      </c>
      <c r="B24592" s="38">
        <v>76638.0</v>
      </c>
      <c r="C24592" s="38" t="s">
        <v>29110</v>
      </c>
      <c r="D24592" s="38" t="str">
        <f>IFERROR(__xludf.DUMMYFUNCTION("REGEXREPLACE(C24592,""-\d+(.*)|--\d+(.*)"","""")"),"SAINT-PIERRE-EN-VAL")</f>
        <v>SAINT-PIERRE-EN-VAL</v>
      </c>
      <c r="E24592" s="38" t="s">
        <v>133</v>
      </c>
      <c r="F24592" s="38" t="s">
        <v>134</v>
      </c>
      <c r="G24592" s="49" t="str">
        <f t="shared" si="1"/>
        <v>76260</v>
      </c>
      <c r="H24592" s="49">
        <f t="shared" si="2"/>
        <v>76638</v>
      </c>
    </row>
    <row r="24593">
      <c r="A24593" s="48" t="s">
        <v>7968</v>
      </c>
      <c r="B24593" s="38">
        <v>74048.0</v>
      </c>
      <c r="C24593" s="38" t="s">
        <v>29111</v>
      </c>
      <c r="D24593" s="38" t="str">
        <f>IFERROR(__xludf.DUMMYFUNCTION("REGEXREPLACE(C24593,""-\d+(.*)|--\d+(.*)"","""")"),"BRENTHONNE")</f>
        <v>BRENTHONNE</v>
      </c>
      <c r="E24593" s="38" t="s">
        <v>319</v>
      </c>
      <c r="F24593" s="38" t="s">
        <v>102</v>
      </c>
      <c r="G24593" s="49" t="str">
        <f t="shared" si="1"/>
        <v>74890</v>
      </c>
      <c r="H24593" s="49">
        <f t="shared" si="2"/>
        <v>74048</v>
      </c>
    </row>
    <row r="24594">
      <c r="A24594" s="48" t="s">
        <v>10578</v>
      </c>
      <c r="B24594" s="38">
        <v>79336.0</v>
      </c>
      <c r="C24594" s="38" t="s">
        <v>29112</v>
      </c>
      <c r="D24594" s="38" t="str">
        <f>IFERROR(__xludf.DUMMYFUNCTION("REGEXREPLACE(C24594,""-\d+(.*)|--\d+(.*)"","""")"),"VANCAIS")</f>
        <v>VANCAIS</v>
      </c>
      <c r="E24594" s="38" t="s">
        <v>337</v>
      </c>
      <c r="F24594" s="38" t="s">
        <v>338</v>
      </c>
      <c r="G24594" s="49" t="str">
        <f t="shared" si="1"/>
        <v>79120</v>
      </c>
      <c r="H24594" s="49">
        <f t="shared" si="2"/>
        <v>79336</v>
      </c>
    </row>
    <row r="24595">
      <c r="A24595" s="48" t="s">
        <v>1616</v>
      </c>
      <c r="B24595" s="38">
        <v>10176.0</v>
      </c>
      <c r="C24595" s="38" t="s">
        <v>29113</v>
      </c>
      <c r="D24595" s="38" t="str">
        <f>IFERROR(__xludf.DUMMYFUNCTION("REGEXREPLACE(C24595,""-\d+(.*)|--\d+(.*)"","""")"),"JAUCOURT")</f>
        <v>JAUCOURT</v>
      </c>
      <c r="E24595" s="38" t="s">
        <v>147</v>
      </c>
      <c r="F24595" s="38" t="s">
        <v>130</v>
      </c>
      <c r="G24595" s="49" t="str">
        <f t="shared" si="1"/>
        <v>10200</v>
      </c>
      <c r="H24595" s="49">
        <f t="shared" si="2"/>
        <v>10176</v>
      </c>
    </row>
    <row r="24596">
      <c r="A24596" s="48" t="s">
        <v>4079</v>
      </c>
      <c r="B24596" s="38">
        <v>1279.0</v>
      </c>
      <c r="C24596" s="38" t="s">
        <v>29114</v>
      </c>
      <c r="D24596" s="38" t="str">
        <f>IFERROR(__xludf.DUMMYFUNCTION("REGEXREPLACE(C24596,""-\d+(.*)|--\d+(.*)"","""")"),"ONCIEU")</f>
        <v>ONCIEU</v>
      </c>
      <c r="E24596" s="38" t="s">
        <v>255</v>
      </c>
      <c r="F24596" s="38" t="s">
        <v>102</v>
      </c>
      <c r="G24596" s="49" t="str">
        <f t="shared" si="1"/>
        <v>01230</v>
      </c>
      <c r="H24596" s="49" t="str">
        <f t="shared" si="2"/>
        <v>01279</v>
      </c>
    </row>
    <row r="24597">
      <c r="A24597" s="48" t="s">
        <v>5545</v>
      </c>
      <c r="B24597" s="38">
        <v>22151.0</v>
      </c>
      <c r="C24597" s="38" t="s">
        <v>29115</v>
      </c>
      <c r="D24597" s="38" t="str">
        <f>IFERROR(__xludf.DUMMYFUNCTION("REGEXREPLACE(C24597,""-\d+(.*)|--\d+(.*)"","""")"),"MESLIN")</f>
        <v>MESLIN</v>
      </c>
      <c r="E24597" s="38" t="s">
        <v>89</v>
      </c>
      <c r="F24597" s="38" t="s">
        <v>90</v>
      </c>
      <c r="G24597" s="49" t="str">
        <f t="shared" si="1"/>
        <v>22400</v>
      </c>
      <c r="H24597" s="49">
        <f t="shared" si="2"/>
        <v>22151</v>
      </c>
    </row>
    <row r="24598">
      <c r="A24598" s="48" t="s">
        <v>2300</v>
      </c>
      <c r="B24598" s="38">
        <v>28191.0</v>
      </c>
      <c r="C24598" s="38" t="s">
        <v>29116</v>
      </c>
      <c r="D24598" s="38" t="str">
        <f>IFERROR(__xludf.DUMMYFUNCTION("REGEXREPLACE(C24598,""-\d+(.*)|--\d+(.*)"","""")"),"HANCHES")</f>
        <v>HANCHES</v>
      </c>
      <c r="E24598" s="38" t="s">
        <v>300</v>
      </c>
      <c r="F24598" s="38" t="s">
        <v>123</v>
      </c>
      <c r="G24598" s="49" t="str">
        <f t="shared" si="1"/>
        <v>28130</v>
      </c>
      <c r="H24598" s="49">
        <f t="shared" si="2"/>
        <v>28191</v>
      </c>
    </row>
    <row r="24599">
      <c r="A24599" s="48" t="s">
        <v>2567</v>
      </c>
      <c r="B24599" s="38">
        <v>6080.0</v>
      </c>
      <c r="C24599" s="38" t="s">
        <v>29117</v>
      </c>
      <c r="D24599" s="38" t="str">
        <f>IFERROR(__xludf.DUMMYFUNCTION("REGEXREPLACE(C24599,""-\d+(.*)|--\d+(.*)"","""")"),"MARIE")</f>
        <v>MARIE</v>
      </c>
      <c r="E24599" s="38" t="s">
        <v>227</v>
      </c>
      <c r="F24599" s="38" t="s">
        <v>228</v>
      </c>
      <c r="G24599" s="49" t="str">
        <f t="shared" si="1"/>
        <v>06420</v>
      </c>
      <c r="H24599" s="49" t="str">
        <f t="shared" si="2"/>
        <v>06080</v>
      </c>
    </row>
    <row r="24600">
      <c r="A24600" s="48" t="s">
        <v>5501</v>
      </c>
      <c r="B24600" s="38">
        <v>62350.0</v>
      </c>
      <c r="C24600" s="38" t="s">
        <v>29118</v>
      </c>
      <c r="D24600" s="38" t="str">
        <f>IFERROR(__xludf.DUMMYFUNCTION("REGEXREPLACE(C24600,""-\d+(.*)|--\d+(.*)"","""")"),"FOUQUIERES-LES-BETHUNE")</f>
        <v>FOUQUIERES-LES-BETHUNE</v>
      </c>
      <c r="E24600" s="38" t="s">
        <v>109</v>
      </c>
      <c r="F24600" s="38" t="s">
        <v>86</v>
      </c>
      <c r="G24600" s="49" t="str">
        <f t="shared" si="1"/>
        <v>62232</v>
      </c>
      <c r="H24600" s="49">
        <f t="shared" si="2"/>
        <v>62350</v>
      </c>
    </row>
    <row r="24601">
      <c r="A24601" s="48" t="s">
        <v>183</v>
      </c>
      <c r="B24601" s="38">
        <v>46334.0</v>
      </c>
      <c r="C24601" s="38" t="s">
        <v>26568</v>
      </c>
      <c r="D24601" s="38" t="str">
        <f>IFERROR(__xludf.DUMMYFUNCTION("REGEXREPLACE(C24601,""-\d+(.*)|--\d+(.*)"","""")"),"LE VIGAN")</f>
        <v>LE VIGAN</v>
      </c>
      <c r="E24601" s="38" t="s">
        <v>185</v>
      </c>
      <c r="F24601" s="38" t="s">
        <v>94</v>
      </c>
      <c r="G24601" s="49" t="str">
        <f t="shared" si="1"/>
        <v>46300</v>
      </c>
      <c r="H24601" s="49">
        <f t="shared" si="2"/>
        <v>46334</v>
      </c>
    </row>
    <row r="24602">
      <c r="A24602" s="48" t="s">
        <v>3212</v>
      </c>
      <c r="B24602" s="38">
        <v>64460.0</v>
      </c>
      <c r="C24602" s="38" t="s">
        <v>29119</v>
      </c>
      <c r="D24602" s="38" t="str">
        <f>IFERROR(__xludf.DUMMYFUNCTION("REGEXREPLACE(C24602,""-\d+(.*)|--\d+(.*)"","""")"),"PRECILHON")</f>
        <v>PRECILHON</v>
      </c>
      <c r="E24602" s="38" t="s">
        <v>268</v>
      </c>
      <c r="F24602" s="38" t="s">
        <v>252</v>
      </c>
      <c r="G24602" s="49" t="str">
        <f t="shared" si="1"/>
        <v>64400</v>
      </c>
      <c r="H24602" s="49">
        <f t="shared" si="2"/>
        <v>64460</v>
      </c>
    </row>
    <row r="24603">
      <c r="A24603" s="48" t="s">
        <v>4499</v>
      </c>
      <c r="B24603" s="38">
        <v>25399.0</v>
      </c>
      <c r="C24603" s="38" t="s">
        <v>20762</v>
      </c>
      <c r="D24603" s="38" t="str">
        <f>IFERROR(__xludf.DUMMYFUNCTION("REGEXREPLACE(C24603,""-\d+(.*)|--\d+(.*)"","""")"),"MONTFORT")</f>
        <v>MONTFORT</v>
      </c>
      <c r="E24603" s="38" t="s">
        <v>213</v>
      </c>
      <c r="F24603" s="38" t="s">
        <v>214</v>
      </c>
      <c r="G24603" s="49" t="str">
        <f t="shared" si="1"/>
        <v>25440</v>
      </c>
      <c r="H24603" s="49">
        <f t="shared" si="2"/>
        <v>25399</v>
      </c>
    </row>
    <row r="24604">
      <c r="A24604" s="48" t="s">
        <v>3806</v>
      </c>
      <c r="B24604" s="38">
        <v>7135.0</v>
      </c>
      <c r="C24604" s="38" t="s">
        <v>29120</v>
      </c>
      <c r="D24604" s="38" t="str">
        <f>IFERROR(__xludf.DUMMYFUNCTION("REGEXREPLACE(C24604,""-\d+(.*)|--\d+(.*)"","""")"),"LAVAL-D'AURELLE")</f>
        <v>LAVAL-D'AURELLE</v>
      </c>
      <c r="E24604" s="38" t="s">
        <v>144</v>
      </c>
      <c r="F24604" s="38" t="s">
        <v>102</v>
      </c>
      <c r="G24604" s="49" t="str">
        <f t="shared" si="1"/>
        <v>07590</v>
      </c>
      <c r="H24604" s="49" t="str">
        <f t="shared" si="2"/>
        <v>07135</v>
      </c>
    </row>
    <row r="24605">
      <c r="A24605" s="48" t="s">
        <v>5700</v>
      </c>
      <c r="B24605" s="38">
        <v>36096.0</v>
      </c>
      <c r="C24605" s="38" t="s">
        <v>29121</v>
      </c>
      <c r="D24605" s="38" t="str">
        <f>IFERROR(__xludf.DUMMYFUNCTION("REGEXREPLACE(C24605,""-\d+(.*)|--\d+(.*)"","""")"),"LINGE")</f>
        <v>LINGE</v>
      </c>
      <c r="E24605" s="38" t="s">
        <v>258</v>
      </c>
      <c r="F24605" s="38" t="s">
        <v>123</v>
      </c>
      <c r="G24605" s="49" t="str">
        <f t="shared" si="1"/>
        <v>36220</v>
      </c>
      <c r="H24605" s="49">
        <f t="shared" si="2"/>
        <v>36096</v>
      </c>
    </row>
    <row r="24606">
      <c r="A24606" s="48" t="s">
        <v>3075</v>
      </c>
      <c r="B24606" s="38">
        <v>46309.0</v>
      </c>
      <c r="C24606" s="38" t="s">
        <v>29122</v>
      </c>
      <c r="D24606" s="38" t="str">
        <f>IFERROR(__xludf.DUMMYFUNCTION("REGEXREPLACE(C24606,""-\d+(.*)|--\d+(.*)"","""")"),"SOUILLAC")</f>
        <v>SOUILLAC</v>
      </c>
      <c r="E24606" s="38" t="s">
        <v>185</v>
      </c>
      <c r="F24606" s="38" t="s">
        <v>94</v>
      </c>
      <c r="G24606" s="49" t="str">
        <f t="shared" si="1"/>
        <v>46200</v>
      </c>
      <c r="H24606" s="49">
        <f t="shared" si="2"/>
        <v>46309</v>
      </c>
    </row>
    <row r="24607">
      <c r="A24607" s="48" t="s">
        <v>19663</v>
      </c>
      <c r="B24607" s="38">
        <v>77102.0</v>
      </c>
      <c r="C24607" s="38" t="s">
        <v>12330</v>
      </c>
      <c r="D24607" s="38" t="str">
        <f>IFERROR(__xludf.DUMMYFUNCTION("REGEXREPLACE(C24607,""-\d+(.*)|--\d+(.*)"","""")"),"CHATENOY")</f>
        <v>CHATENOY</v>
      </c>
      <c r="E24607" s="38" t="s">
        <v>244</v>
      </c>
      <c r="F24607" s="38" t="s">
        <v>245</v>
      </c>
      <c r="G24607" s="49" t="str">
        <f t="shared" si="1"/>
        <v>77167</v>
      </c>
      <c r="H24607" s="49">
        <f t="shared" si="2"/>
        <v>77102</v>
      </c>
    </row>
    <row r="24608">
      <c r="A24608" s="48" t="s">
        <v>3583</v>
      </c>
      <c r="B24608" s="38">
        <v>7209.0</v>
      </c>
      <c r="C24608" s="38" t="s">
        <v>29123</v>
      </c>
      <c r="D24608" s="38" t="str">
        <f>IFERROR(__xludf.DUMMYFUNCTION("REGEXREPLACE(C24608,""-\d+(.*)|--\d+(.*)"","""")"),"SAINT-ANDEOL-DE-FOURCHADES")</f>
        <v>SAINT-ANDEOL-DE-FOURCHADES</v>
      </c>
      <c r="E24608" s="38" t="s">
        <v>144</v>
      </c>
      <c r="F24608" s="38" t="s">
        <v>102</v>
      </c>
      <c r="G24608" s="49" t="str">
        <f t="shared" si="1"/>
        <v>07160</v>
      </c>
      <c r="H24608" s="49" t="str">
        <f t="shared" si="2"/>
        <v>07209</v>
      </c>
    </row>
    <row r="24609">
      <c r="A24609" s="48" t="s">
        <v>1016</v>
      </c>
      <c r="B24609" s="38">
        <v>28099.0</v>
      </c>
      <c r="C24609" s="38" t="s">
        <v>29124</v>
      </c>
      <c r="D24609" s="38" t="str">
        <f>IFERROR(__xludf.DUMMYFUNCTION("REGEXREPLACE(C24609,""-\d+(.*)|--\d+(.*)"","""")"),"CHUISNES")</f>
        <v>CHUISNES</v>
      </c>
      <c r="E24609" s="38" t="s">
        <v>300</v>
      </c>
      <c r="F24609" s="38" t="s">
        <v>123</v>
      </c>
      <c r="G24609" s="49" t="str">
        <f t="shared" si="1"/>
        <v>28190</v>
      </c>
      <c r="H24609" s="49">
        <f t="shared" si="2"/>
        <v>28099</v>
      </c>
    </row>
    <row r="24610">
      <c r="A24610" s="48" t="s">
        <v>20717</v>
      </c>
      <c r="B24610" s="38">
        <v>59013.0</v>
      </c>
      <c r="C24610" s="38" t="s">
        <v>29125</v>
      </c>
      <c r="D24610" s="38" t="str">
        <f>IFERROR(__xludf.DUMMYFUNCTION("REGEXREPLACE(C24610,""-\d+(.*)|--\d+(.*)"","""")"),"ANSTAING")</f>
        <v>ANSTAING</v>
      </c>
      <c r="E24610" s="38" t="s">
        <v>85</v>
      </c>
      <c r="F24610" s="38" t="s">
        <v>86</v>
      </c>
      <c r="G24610" s="49" t="str">
        <f t="shared" si="1"/>
        <v>59152</v>
      </c>
      <c r="H24610" s="49">
        <f t="shared" si="2"/>
        <v>59013</v>
      </c>
    </row>
    <row r="24611">
      <c r="A24611" s="48" t="s">
        <v>3930</v>
      </c>
      <c r="B24611" s="38">
        <v>12209.0</v>
      </c>
      <c r="C24611" s="38" t="s">
        <v>29126</v>
      </c>
      <c r="D24611" s="38" t="str">
        <f>IFERROR(__xludf.DUMMYFUNCTION("REGEXREPLACE(C24611,""-\d+(.*)|--\d+(.*)"","""")"),"SAINT-AMANS-DES-COTS")</f>
        <v>SAINT-AMANS-DES-COTS</v>
      </c>
      <c r="E24611" s="38" t="s">
        <v>465</v>
      </c>
      <c r="F24611" s="38" t="s">
        <v>94</v>
      </c>
      <c r="G24611" s="49" t="str">
        <f t="shared" si="1"/>
        <v>12460</v>
      </c>
      <c r="H24611" s="49">
        <f t="shared" si="2"/>
        <v>12209</v>
      </c>
    </row>
    <row r="24612">
      <c r="A24612" s="48" t="s">
        <v>4191</v>
      </c>
      <c r="B24612" s="38">
        <v>77288.0</v>
      </c>
      <c r="C24612" s="38" t="s">
        <v>29127</v>
      </c>
      <c r="D24612" s="38" t="str">
        <f>IFERROR(__xludf.DUMMYFUNCTION("REGEXREPLACE(C24612,""-\d+(.*)|--\d+(.*)"","""")"),"MELUN")</f>
        <v>MELUN</v>
      </c>
      <c r="E24612" s="38" t="s">
        <v>244</v>
      </c>
      <c r="F24612" s="38" t="s">
        <v>245</v>
      </c>
      <c r="G24612" s="49" t="str">
        <f t="shared" si="1"/>
        <v>77000</v>
      </c>
      <c r="H24612" s="49">
        <f t="shared" si="2"/>
        <v>77288</v>
      </c>
    </row>
    <row r="24613">
      <c r="A24613" s="48" t="s">
        <v>2188</v>
      </c>
      <c r="B24613" s="38">
        <v>18111.0</v>
      </c>
      <c r="C24613" s="38" t="s">
        <v>29128</v>
      </c>
      <c r="D24613" s="38" t="str">
        <f>IFERROR(__xludf.DUMMYFUNCTION("REGEXREPLACE(C24613,""-\d+(.*)|--\d+(.*)"","""")"),"HUMBLIGNY")</f>
        <v>HUMBLIGNY</v>
      </c>
      <c r="E24613" s="38" t="s">
        <v>504</v>
      </c>
      <c r="F24613" s="38" t="s">
        <v>123</v>
      </c>
      <c r="G24613" s="49" t="str">
        <f t="shared" si="1"/>
        <v>18250</v>
      </c>
      <c r="H24613" s="49">
        <f t="shared" si="2"/>
        <v>18111</v>
      </c>
    </row>
    <row r="24614">
      <c r="A24614" s="48" t="s">
        <v>874</v>
      </c>
      <c r="B24614" s="38" t="s">
        <v>29129</v>
      </c>
      <c r="C24614" s="38" t="s">
        <v>29130</v>
      </c>
      <c r="D24614" s="38" t="str">
        <f>IFERROR(__xludf.DUMMYFUNCTION("REGEXREPLACE(C24614,""-\d+(.*)|--\d+(.*)"","""")"),"NOCARIO")</f>
        <v>NOCARIO</v>
      </c>
      <c r="E24614" s="38" t="s">
        <v>743</v>
      </c>
      <c r="F24614" s="38" t="s">
        <v>607</v>
      </c>
      <c r="G24614" s="49" t="str">
        <f t="shared" si="1"/>
        <v>20229</v>
      </c>
      <c r="H24614" s="49" t="str">
        <f t="shared" si="2"/>
        <v>2B176</v>
      </c>
    </row>
    <row r="24615">
      <c r="A24615" s="48" t="s">
        <v>6334</v>
      </c>
      <c r="B24615" s="38">
        <v>43078.0</v>
      </c>
      <c r="C24615" s="38" t="s">
        <v>29131</v>
      </c>
      <c r="D24615" s="38" t="str">
        <f>IFERROR(__xludf.DUMMYFUNCTION("REGEXREPLACE(C24615,""-\d+(.*)|--\d+(.*)"","""")"),"COUBON")</f>
        <v>COUBON</v>
      </c>
      <c r="E24615" s="38" t="s">
        <v>332</v>
      </c>
      <c r="F24615" s="38" t="s">
        <v>161</v>
      </c>
      <c r="G24615" s="49" t="str">
        <f t="shared" si="1"/>
        <v>43700</v>
      </c>
      <c r="H24615" s="49">
        <f t="shared" si="2"/>
        <v>43078</v>
      </c>
    </row>
    <row r="24616">
      <c r="A24616" s="48" t="s">
        <v>2477</v>
      </c>
      <c r="B24616" s="38">
        <v>76749.0</v>
      </c>
      <c r="C24616" s="38" t="s">
        <v>29132</v>
      </c>
      <c r="D24616" s="38" t="str">
        <f>IFERROR(__xludf.DUMMYFUNCTION("REGEXREPLACE(C24616,""-\d+(.*)|--\d+(.*)"","""")"),"WANCHY-CAPVAL")</f>
        <v>WANCHY-CAPVAL</v>
      </c>
      <c r="E24616" s="38" t="s">
        <v>133</v>
      </c>
      <c r="F24616" s="38" t="s">
        <v>134</v>
      </c>
      <c r="G24616" s="49" t="str">
        <f t="shared" si="1"/>
        <v>76660</v>
      </c>
      <c r="H24616" s="49">
        <f t="shared" si="2"/>
        <v>76749</v>
      </c>
    </row>
    <row r="24617">
      <c r="A24617" s="48" t="s">
        <v>8510</v>
      </c>
      <c r="B24617" s="38">
        <v>39553.0</v>
      </c>
      <c r="C24617" s="38" t="s">
        <v>29133</v>
      </c>
      <c r="D24617" s="38" t="str">
        <f>IFERROR(__xludf.DUMMYFUNCTION("REGEXREPLACE(C24617,""-\d+(.*)|--\d+(.*)"","""")"),"LE VERNOIS")</f>
        <v>LE VERNOIS</v>
      </c>
      <c r="E24617" s="38" t="s">
        <v>400</v>
      </c>
      <c r="F24617" s="38" t="s">
        <v>214</v>
      </c>
      <c r="G24617" s="49" t="str">
        <f t="shared" si="1"/>
        <v>39210</v>
      </c>
      <c r="H24617" s="49">
        <f t="shared" si="2"/>
        <v>39553</v>
      </c>
    </row>
    <row r="24618">
      <c r="A24618" s="48" t="s">
        <v>20545</v>
      </c>
      <c r="B24618" s="38">
        <v>47051.0</v>
      </c>
      <c r="C24618" s="38" t="s">
        <v>29134</v>
      </c>
      <c r="D24618" s="38" t="str">
        <f>IFERROR(__xludf.DUMMYFUNCTION("REGEXREPLACE(C24618,""-\d+(.*)|--\d+(.*)"","""")"),"CASTELCULIER")</f>
        <v>CASTELCULIER</v>
      </c>
      <c r="E24618" s="38" t="s">
        <v>251</v>
      </c>
      <c r="F24618" s="38" t="s">
        <v>252</v>
      </c>
      <c r="G24618" s="49" t="str">
        <f t="shared" si="1"/>
        <v>47240</v>
      </c>
      <c r="H24618" s="49">
        <f t="shared" si="2"/>
        <v>47051</v>
      </c>
    </row>
    <row r="24619">
      <c r="A24619" s="48" t="s">
        <v>582</v>
      </c>
      <c r="B24619" s="38">
        <v>39140.0</v>
      </c>
      <c r="C24619" s="38" t="s">
        <v>29135</v>
      </c>
      <c r="D24619" s="38" t="str">
        <f>IFERROR(__xludf.DUMMYFUNCTION("REGEXREPLACE(C24619,""-\d+(.*)|--\d+(.*)"","""")"),"CHENE-SEC")</f>
        <v>CHENE-SEC</v>
      </c>
      <c r="E24619" s="38" t="s">
        <v>400</v>
      </c>
      <c r="F24619" s="38" t="s">
        <v>214</v>
      </c>
      <c r="G24619" s="49" t="str">
        <f t="shared" si="1"/>
        <v>39230</v>
      </c>
      <c r="H24619" s="49">
        <f t="shared" si="2"/>
        <v>39140</v>
      </c>
    </row>
    <row r="24620">
      <c r="A24620" s="48" t="s">
        <v>20465</v>
      </c>
      <c r="B24620" s="38">
        <v>87002.0</v>
      </c>
      <c r="C24620" s="38" t="s">
        <v>29136</v>
      </c>
      <c r="D24620" s="38" t="str">
        <f>IFERROR(__xludf.DUMMYFUNCTION("REGEXREPLACE(C24620,""-\d+(.*)|--\d+(.*)"","""")"),"AMBAZAC")</f>
        <v>AMBAZAC</v>
      </c>
      <c r="E24620" s="38" t="s">
        <v>897</v>
      </c>
      <c r="F24620" s="38" t="s">
        <v>98</v>
      </c>
      <c r="G24620" s="49" t="str">
        <f t="shared" si="1"/>
        <v>87240</v>
      </c>
      <c r="H24620" s="49">
        <f t="shared" si="2"/>
        <v>87002</v>
      </c>
    </row>
    <row r="24621">
      <c r="A24621" s="48" t="s">
        <v>3015</v>
      </c>
      <c r="B24621" s="38">
        <v>16396.0</v>
      </c>
      <c r="C24621" s="38" t="s">
        <v>29137</v>
      </c>
      <c r="D24621" s="38" t="str">
        <f>IFERROR(__xludf.DUMMYFUNCTION("REGEXREPLACE(C24621,""-\d+(.*)|--\d+(.*)"","""")"),"VENTOUSE")</f>
        <v>VENTOUSE</v>
      </c>
      <c r="E24621" s="38" t="s">
        <v>429</v>
      </c>
      <c r="F24621" s="38" t="s">
        <v>338</v>
      </c>
      <c r="G24621" s="49" t="str">
        <f t="shared" si="1"/>
        <v>16460</v>
      </c>
      <c r="H24621" s="49">
        <f t="shared" si="2"/>
        <v>16396</v>
      </c>
    </row>
    <row r="24622">
      <c r="A24622" s="48" t="s">
        <v>1592</v>
      </c>
      <c r="B24622" s="38">
        <v>40159.0</v>
      </c>
      <c r="C24622" s="38" t="s">
        <v>29138</v>
      </c>
      <c r="D24622" s="38" t="str">
        <f>IFERROR(__xludf.DUMMYFUNCTION("REGEXREPLACE(C24622,""-\d+(.*)|--\d+(.*)"","""")"),"LOUER")</f>
        <v>LOUER</v>
      </c>
      <c r="E24622" s="38" t="s">
        <v>281</v>
      </c>
      <c r="F24622" s="38" t="s">
        <v>252</v>
      </c>
      <c r="G24622" s="49" t="str">
        <f t="shared" si="1"/>
        <v>40380</v>
      </c>
      <c r="H24622" s="49">
        <f t="shared" si="2"/>
        <v>40159</v>
      </c>
    </row>
    <row r="24623">
      <c r="A24623" s="48" t="s">
        <v>14133</v>
      </c>
      <c r="B24623" s="38">
        <v>45049.0</v>
      </c>
      <c r="C24623" s="38" t="s">
        <v>29139</v>
      </c>
      <c r="D24623" s="38" t="str">
        <f>IFERROR(__xludf.DUMMYFUNCTION("REGEXREPLACE(C24623,""-\d+(.*)|--\d+(.*)"","""")"),"BOUZY-LA-FORET")</f>
        <v>BOUZY-LA-FORET</v>
      </c>
      <c r="E24623" s="38" t="s">
        <v>122</v>
      </c>
      <c r="F24623" s="38" t="s">
        <v>123</v>
      </c>
      <c r="G24623" s="49" t="str">
        <f t="shared" si="1"/>
        <v>45460</v>
      </c>
      <c r="H24623" s="49">
        <f t="shared" si="2"/>
        <v>45049</v>
      </c>
    </row>
    <row r="24624">
      <c r="A24624" s="48" t="s">
        <v>3609</v>
      </c>
      <c r="B24624" s="38">
        <v>22305.0</v>
      </c>
      <c r="C24624" s="38" t="s">
        <v>29140</v>
      </c>
      <c r="D24624" s="38" t="str">
        <f>IFERROR(__xludf.DUMMYFUNCTION("REGEXREPLACE(C24624,""-\d+(.*)|--\d+(.*)"","""")"),"SAINT-JOUAN-DE-L'ISLE")</f>
        <v>SAINT-JOUAN-DE-L'ISLE</v>
      </c>
      <c r="E24624" s="38" t="s">
        <v>89</v>
      </c>
      <c r="F24624" s="38" t="s">
        <v>90</v>
      </c>
      <c r="G24624" s="49" t="str">
        <f t="shared" si="1"/>
        <v>22350</v>
      </c>
      <c r="H24624" s="49">
        <f t="shared" si="2"/>
        <v>22305</v>
      </c>
    </row>
    <row r="24625">
      <c r="A24625" s="48" t="s">
        <v>4011</v>
      </c>
      <c r="B24625" s="38">
        <v>80757.0</v>
      </c>
      <c r="C24625" s="38" t="s">
        <v>29141</v>
      </c>
      <c r="D24625" s="38" t="str">
        <f>IFERROR(__xludf.DUMMYFUNCTION("REGEXREPLACE(C24625,""-\d+(.*)|--\d+(.*)"","""")"),"THOIX")</f>
        <v>THOIX</v>
      </c>
      <c r="E24625" s="38" t="s">
        <v>224</v>
      </c>
      <c r="F24625" s="38" t="s">
        <v>113</v>
      </c>
      <c r="G24625" s="49" t="str">
        <f t="shared" si="1"/>
        <v>80160</v>
      </c>
      <c r="H24625" s="49">
        <f t="shared" si="2"/>
        <v>80757</v>
      </c>
    </row>
    <row r="24626">
      <c r="A24626" s="48" t="s">
        <v>2190</v>
      </c>
      <c r="B24626" s="38">
        <v>10208.0</v>
      </c>
      <c r="C24626" s="38" t="s">
        <v>29142</v>
      </c>
      <c r="D24626" s="38" t="str">
        <f>IFERROR(__xludf.DUMMYFUNCTION("REGEXREPLACE(C24626,""-\d+(.*)|--\d+(.*)"","""")"),"LA LOUPTIERE-THENARD")</f>
        <v>LA LOUPTIERE-THENARD</v>
      </c>
      <c r="E24626" s="38" t="s">
        <v>147</v>
      </c>
      <c r="F24626" s="38" t="s">
        <v>130</v>
      </c>
      <c r="G24626" s="49" t="str">
        <f t="shared" si="1"/>
        <v>10400</v>
      </c>
      <c r="H24626" s="49">
        <f t="shared" si="2"/>
        <v>10208</v>
      </c>
    </row>
    <row r="24627">
      <c r="A24627" s="48" t="s">
        <v>5257</v>
      </c>
      <c r="B24627" s="38">
        <v>15198.0</v>
      </c>
      <c r="C24627" s="38" t="s">
        <v>7412</v>
      </c>
      <c r="D24627" s="38" t="str">
        <f>IFERROR(__xludf.DUMMYFUNCTION("REGEXREPLACE(C24627,""-\d+(.*)|--\d+(.*)"","""")"),"SAINTE-MARIE")</f>
        <v>SAINTE-MARIE</v>
      </c>
      <c r="E24627" s="38" t="s">
        <v>632</v>
      </c>
      <c r="F24627" s="38" t="s">
        <v>161</v>
      </c>
      <c r="G24627" s="49" t="str">
        <f t="shared" si="1"/>
        <v>15230</v>
      </c>
      <c r="H24627" s="49">
        <f t="shared" si="2"/>
        <v>15198</v>
      </c>
    </row>
    <row r="24628">
      <c r="A24628" s="48" t="s">
        <v>384</v>
      </c>
      <c r="B24628" s="38">
        <v>55123.0</v>
      </c>
      <c r="C24628" s="38" t="s">
        <v>29143</v>
      </c>
      <c r="D24628" s="38" t="str">
        <f>IFERROR(__xludf.DUMMYFUNCTION("REGEXREPLACE(C24628,""-\d+(.*)|--\d+(.*)"","""")"),"LES HAUTS-DE-CHEE")</f>
        <v>LES HAUTS-DE-CHEE</v>
      </c>
      <c r="E24628" s="38" t="s">
        <v>322</v>
      </c>
      <c r="F24628" s="38" t="s">
        <v>195</v>
      </c>
      <c r="G24628" s="49" t="str">
        <f t="shared" si="1"/>
        <v>55000</v>
      </c>
      <c r="H24628" s="49">
        <f t="shared" si="2"/>
        <v>55123</v>
      </c>
    </row>
    <row r="24629">
      <c r="A24629" s="48" t="s">
        <v>9625</v>
      </c>
      <c r="B24629" s="38">
        <v>11223.0</v>
      </c>
      <c r="C24629" s="38" t="s">
        <v>29144</v>
      </c>
      <c r="D24629" s="38" t="str">
        <f>IFERROR(__xludf.DUMMYFUNCTION("REGEXREPLACE(C24629,""-\d+(.*)|--\d+(.*)"","""")"),"MAS-DES-COURS")</f>
        <v>MAS-DES-COURS</v>
      </c>
      <c r="E24629" s="38" t="s">
        <v>278</v>
      </c>
      <c r="F24629" s="38" t="s">
        <v>119</v>
      </c>
      <c r="G24629" s="49" t="str">
        <f t="shared" si="1"/>
        <v>11570</v>
      </c>
      <c r="H24629" s="49">
        <f t="shared" si="2"/>
        <v>11223</v>
      </c>
    </row>
    <row r="24630">
      <c r="A24630" s="48" t="s">
        <v>7223</v>
      </c>
      <c r="B24630" s="38">
        <v>63412.0</v>
      </c>
      <c r="C24630" s="38" t="s">
        <v>29145</v>
      </c>
      <c r="D24630" s="38" t="str">
        <f>IFERROR(__xludf.DUMMYFUNCTION("REGEXREPLACE(C24630,""-\d+(.*)|--\d+(.*)"","""")"),"SAUVESSANGES")</f>
        <v>SAUVESSANGES</v>
      </c>
      <c r="E24630" s="38" t="s">
        <v>353</v>
      </c>
      <c r="F24630" s="38" t="s">
        <v>161</v>
      </c>
      <c r="G24630" s="49" t="str">
        <f t="shared" si="1"/>
        <v>63840</v>
      </c>
      <c r="H24630" s="49">
        <f t="shared" si="2"/>
        <v>63412</v>
      </c>
    </row>
    <row r="24631">
      <c r="A24631" s="48" t="s">
        <v>22612</v>
      </c>
      <c r="B24631" s="38">
        <v>59211.0</v>
      </c>
      <c r="C24631" s="38" t="s">
        <v>29146</v>
      </c>
      <c r="D24631" s="38" t="str">
        <f>IFERROR(__xludf.DUMMYFUNCTION("REGEXREPLACE(C24631,""-\d+(.*)|--\d+(.*)"","""")"),"ESQUERCHIN")</f>
        <v>ESQUERCHIN</v>
      </c>
      <c r="E24631" s="38" t="s">
        <v>85</v>
      </c>
      <c r="F24631" s="38" t="s">
        <v>86</v>
      </c>
      <c r="G24631" s="49" t="str">
        <f t="shared" si="1"/>
        <v>59553</v>
      </c>
      <c r="H24631" s="49">
        <f t="shared" si="2"/>
        <v>59211</v>
      </c>
    </row>
    <row r="24632">
      <c r="A24632" s="48" t="s">
        <v>201</v>
      </c>
      <c r="B24632" s="38">
        <v>2440.0</v>
      </c>
      <c r="C24632" s="38" t="s">
        <v>29147</v>
      </c>
      <c r="D24632" s="38" t="str">
        <f>IFERROR(__xludf.DUMMYFUNCTION("REGEXREPLACE(C24632,""-\d+(.*)|--\d+(.*)"","""")"),"LOR")</f>
        <v>LOR</v>
      </c>
      <c r="E24632" s="38" t="s">
        <v>191</v>
      </c>
      <c r="F24632" s="38" t="s">
        <v>113</v>
      </c>
      <c r="G24632" s="49" t="str">
        <f t="shared" si="1"/>
        <v>02190</v>
      </c>
      <c r="H24632" s="49" t="str">
        <f t="shared" si="2"/>
        <v>02440</v>
      </c>
    </row>
    <row r="24633">
      <c r="A24633" s="48" t="s">
        <v>3716</v>
      </c>
      <c r="B24633" s="38">
        <v>57079.0</v>
      </c>
      <c r="C24633" s="38" t="s">
        <v>29148</v>
      </c>
      <c r="D24633" s="38" t="str">
        <f>IFERROR(__xludf.DUMMYFUNCTION("REGEXREPLACE(C24633,""-\d+(.*)|--\d+(.*)"","""")"),"BIBICHE")</f>
        <v>BIBICHE</v>
      </c>
      <c r="E24633" s="38" t="s">
        <v>303</v>
      </c>
      <c r="F24633" s="38" t="s">
        <v>195</v>
      </c>
      <c r="G24633" s="49" t="str">
        <f t="shared" si="1"/>
        <v>57320</v>
      </c>
      <c r="H24633" s="49">
        <f t="shared" si="2"/>
        <v>57079</v>
      </c>
    </row>
    <row r="24634">
      <c r="A24634" s="48" t="s">
        <v>1022</v>
      </c>
      <c r="B24634" s="38">
        <v>2361.0</v>
      </c>
      <c r="C24634" s="38" t="s">
        <v>29149</v>
      </c>
      <c r="D24634" s="38" t="str">
        <f>IFERROR(__xludf.DUMMYFUNCTION("REGEXREPLACE(C24634,""-\d+(.*)|--\d+(.*)"","""")"),"GUISE")</f>
        <v>GUISE</v>
      </c>
      <c r="E24634" s="38" t="s">
        <v>191</v>
      </c>
      <c r="F24634" s="38" t="s">
        <v>113</v>
      </c>
      <c r="G24634" s="49" t="str">
        <f t="shared" si="1"/>
        <v>02120</v>
      </c>
      <c r="H24634" s="49" t="str">
        <f t="shared" si="2"/>
        <v>02361</v>
      </c>
    </row>
    <row r="24635">
      <c r="A24635" s="48" t="s">
        <v>18025</v>
      </c>
      <c r="B24635" s="38">
        <v>82048.0</v>
      </c>
      <c r="C24635" s="38" t="s">
        <v>29150</v>
      </c>
      <c r="D24635" s="38" t="str">
        <f>IFERROR(__xludf.DUMMYFUNCTION("REGEXREPLACE(C24635,""-\d+(.*)|--\d+(.*)"","""")"),"DIEUPENTALE")</f>
        <v>DIEUPENTALE</v>
      </c>
      <c r="E24635" s="38" t="s">
        <v>570</v>
      </c>
      <c r="F24635" s="38" t="s">
        <v>94</v>
      </c>
      <c r="G24635" s="49" t="str">
        <f t="shared" si="1"/>
        <v>82170</v>
      </c>
      <c r="H24635" s="49">
        <f t="shared" si="2"/>
        <v>82048</v>
      </c>
    </row>
    <row r="24636">
      <c r="A24636" s="48" t="s">
        <v>6311</v>
      </c>
      <c r="B24636" s="38">
        <v>89233.0</v>
      </c>
      <c r="C24636" s="38" t="s">
        <v>29151</v>
      </c>
      <c r="D24636" s="38" t="str">
        <f>IFERROR(__xludf.DUMMYFUNCTION("REGEXREPLACE(C24636,""-\d+(.*)|--\d+(.*)"","""")"),"LUCY-SUR-CURE")</f>
        <v>LUCY-SUR-CURE</v>
      </c>
      <c r="E24636" s="38" t="s">
        <v>275</v>
      </c>
      <c r="F24636" s="38" t="s">
        <v>106</v>
      </c>
      <c r="G24636" s="49" t="str">
        <f t="shared" si="1"/>
        <v>89270</v>
      </c>
      <c r="H24636" s="49">
        <f t="shared" si="2"/>
        <v>89233</v>
      </c>
    </row>
    <row r="24637">
      <c r="A24637" s="48" t="s">
        <v>1833</v>
      </c>
      <c r="B24637" s="38">
        <v>31512.0</v>
      </c>
      <c r="C24637" s="38" t="s">
        <v>29152</v>
      </c>
      <c r="D24637" s="38" t="str">
        <f>IFERROR(__xludf.DUMMYFUNCTION("REGEXREPLACE(C24637,""-\d+(.*)|--\d+(.*)"","""")"),"SAINT-PIERRE-DE-LAGES")</f>
        <v>SAINT-PIERRE-DE-LAGES</v>
      </c>
      <c r="E24637" s="38" t="s">
        <v>93</v>
      </c>
      <c r="F24637" s="38" t="s">
        <v>94</v>
      </c>
      <c r="G24637" s="49" t="str">
        <f t="shared" si="1"/>
        <v>31570</v>
      </c>
      <c r="H24637" s="49">
        <f t="shared" si="2"/>
        <v>31512</v>
      </c>
    </row>
    <row r="24638">
      <c r="A24638" s="48" t="s">
        <v>3900</v>
      </c>
      <c r="B24638" s="38">
        <v>2429.0</v>
      </c>
      <c r="C24638" s="38" t="s">
        <v>29153</v>
      </c>
      <c r="D24638" s="38" t="str">
        <f>IFERROR(__xludf.DUMMYFUNCTION("REGEXREPLACE(C24638,""-\d+(.*)|--\d+(.*)"","""")"),"LIERVAL")</f>
        <v>LIERVAL</v>
      </c>
      <c r="E24638" s="38" t="s">
        <v>191</v>
      </c>
      <c r="F24638" s="38" t="s">
        <v>113</v>
      </c>
      <c r="G24638" s="49" t="str">
        <f t="shared" si="1"/>
        <v>02860</v>
      </c>
      <c r="H24638" s="49" t="str">
        <f t="shared" si="2"/>
        <v>02429</v>
      </c>
    </row>
    <row r="24639">
      <c r="A24639" s="48" t="s">
        <v>22051</v>
      </c>
      <c r="B24639" s="38">
        <v>56177.0</v>
      </c>
      <c r="C24639" s="38" t="s">
        <v>29154</v>
      </c>
      <c r="D24639" s="38" t="str">
        <f>IFERROR(__xludf.DUMMYFUNCTION("REGEXREPLACE(C24639,""-\d+(.*)|--\d+(.*)"","""")"),"PLUVIGNER")</f>
        <v>PLUVIGNER</v>
      </c>
      <c r="E24639" s="38" t="s">
        <v>173</v>
      </c>
      <c r="F24639" s="38" t="s">
        <v>90</v>
      </c>
      <c r="G24639" s="49" t="str">
        <f t="shared" si="1"/>
        <v>56330</v>
      </c>
      <c r="H24639" s="49">
        <f t="shared" si="2"/>
        <v>56177</v>
      </c>
    </row>
    <row r="24640">
      <c r="A24640" s="48" t="s">
        <v>507</v>
      </c>
      <c r="B24640" s="38">
        <v>8025.0</v>
      </c>
      <c r="C24640" s="38" t="s">
        <v>22427</v>
      </c>
      <c r="D24640" s="38" t="str">
        <f>IFERROR(__xludf.DUMMYFUNCTION("REGEXREPLACE(C24640,""-\d+(.*)|--\d+(.*)"","""")"),"ATTIGNY")</f>
        <v>ATTIGNY</v>
      </c>
      <c r="E24640" s="38" t="s">
        <v>327</v>
      </c>
      <c r="F24640" s="38" t="s">
        <v>130</v>
      </c>
      <c r="G24640" s="49" t="str">
        <f t="shared" si="1"/>
        <v>08130</v>
      </c>
      <c r="H24640" s="49" t="str">
        <f t="shared" si="2"/>
        <v>08025</v>
      </c>
    </row>
    <row r="24641">
      <c r="A24641" s="48" t="s">
        <v>6775</v>
      </c>
      <c r="B24641" s="38">
        <v>79294.0</v>
      </c>
      <c r="C24641" s="38" t="s">
        <v>29155</v>
      </c>
      <c r="D24641" s="38" t="str">
        <f>IFERROR(__xludf.DUMMYFUNCTION("REGEXREPLACE(C24641,""-\d+(.*)|--\d+(.*)"","""")"),"SAINT-ROMANS-DES-CHAMPS")</f>
        <v>SAINT-ROMANS-DES-CHAMPS</v>
      </c>
      <c r="E24641" s="38" t="s">
        <v>337</v>
      </c>
      <c r="F24641" s="38" t="s">
        <v>338</v>
      </c>
      <c r="G24641" s="49" t="str">
        <f t="shared" si="1"/>
        <v>79230</v>
      </c>
      <c r="H24641" s="49">
        <f t="shared" si="2"/>
        <v>79294</v>
      </c>
    </row>
    <row r="24642">
      <c r="A24642" s="48" t="s">
        <v>15350</v>
      </c>
      <c r="B24642" s="38">
        <v>49211.0</v>
      </c>
      <c r="C24642" s="38" t="s">
        <v>29156</v>
      </c>
      <c r="D24642" s="38" t="str">
        <f>IFERROR(__xludf.DUMMYFUNCTION("REGEXREPLACE(C24642,""-\d+(.*)|--\d+(.*)"","""")"),"MONTILLIERS")</f>
        <v>MONTILLIERS</v>
      </c>
      <c r="E24642" s="38" t="s">
        <v>653</v>
      </c>
      <c r="F24642" s="38" t="s">
        <v>180</v>
      </c>
      <c r="G24642" s="49" t="str">
        <f t="shared" si="1"/>
        <v>49310</v>
      </c>
      <c r="H24642" s="49">
        <f t="shared" si="2"/>
        <v>49211</v>
      </c>
    </row>
    <row r="24643">
      <c r="A24643" s="48" t="s">
        <v>781</v>
      </c>
      <c r="B24643" s="38">
        <v>65070.0</v>
      </c>
      <c r="C24643" s="38" t="s">
        <v>29157</v>
      </c>
      <c r="D24643" s="38" t="str">
        <f>IFERROR(__xludf.DUMMYFUNCTION("REGEXREPLACE(C24643,""-\d+(.*)|--\d+(.*)"","""")"),"BARTRES")</f>
        <v>BARTRES</v>
      </c>
      <c r="E24643" s="38" t="s">
        <v>200</v>
      </c>
      <c r="F24643" s="38" t="s">
        <v>94</v>
      </c>
      <c r="G24643" s="49" t="str">
        <f t="shared" si="1"/>
        <v>65100</v>
      </c>
      <c r="H24643" s="49">
        <f t="shared" si="2"/>
        <v>65070</v>
      </c>
    </row>
    <row r="24644">
      <c r="A24644" s="48" t="s">
        <v>2882</v>
      </c>
      <c r="B24644" s="38">
        <v>76424.0</v>
      </c>
      <c r="C24644" s="38" t="s">
        <v>29158</v>
      </c>
      <c r="D24644" s="38" t="str">
        <f>IFERROR(__xludf.DUMMYFUNCTION("REGEXREPLACE(C24644,""-\d+(.*)|--\d+(.*)"","""")"),"MENONVAL")</f>
        <v>MENONVAL</v>
      </c>
      <c r="E24644" s="38" t="s">
        <v>133</v>
      </c>
      <c r="F24644" s="38" t="s">
        <v>134</v>
      </c>
      <c r="G24644" s="49" t="str">
        <f t="shared" si="1"/>
        <v>76270</v>
      </c>
      <c r="H24644" s="49">
        <f t="shared" si="2"/>
        <v>76424</v>
      </c>
    </row>
    <row r="24645">
      <c r="A24645" s="48" t="s">
        <v>2156</v>
      </c>
      <c r="B24645" s="38">
        <v>26013.0</v>
      </c>
      <c r="C24645" s="38" t="s">
        <v>29159</v>
      </c>
      <c r="D24645" s="38" t="str">
        <f>IFERROR(__xludf.DUMMYFUNCTION("REGEXREPLACE(C24645,""-\d+(.*)|--\d+(.*)"","""")"),"ARPAVON")</f>
        <v>ARPAVON</v>
      </c>
      <c r="E24645" s="38" t="s">
        <v>126</v>
      </c>
      <c r="F24645" s="38" t="s">
        <v>102</v>
      </c>
      <c r="G24645" s="49" t="str">
        <f t="shared" si="1"/>
        <v>26110</v>
      </c>
      <c r="H24645" s="49">
        <f t="shared" si="2"/>
        <v>26013</v>
      </c>
    </row>
    <row r="24646">
      <c r="A24646" s="48" t="s">
        <v>2136</v>
      </c>
      <c r="B24646" s="38">
        <v>52472.0</v>
      </c>
      <c r="C24646" s="38" t="s">
        <v>29160</v>
      </c>
      <c r="D24646" s="38" t="str">
        <f>IFERROR(__xludf.DUMMYFUNCTION("REGEXREPLACE(C24646,""-\d+(.*)|--\d+(.*)"","""")"),"SEXFONTAINES")</f>
        <v>SEXFONTAINES</v>
      </c>
      <c r="E24646" s="38" t="s">
        <v>234</v>
      </c>
      <c r="F24646" s="38" t="s">
        <v>130</v>
      </c>
      <c r="G24646" s="49" t="str">
        <f t="shared" si="1"/>
        <v>52330</v>
      </c>
      <c r="H24646" s="49">
        <f t="shared" si="2"/>
        <v>52472</v>
      </c>
    </row>
    <row r="24647">
      <c r="A24647" s="48" t="s">
        <v>3541</v>
      </c>
      <c r="B24647" s="38">
        <v>32163.0</v>
      </c>
      <c r="C24647" s="38" t="s">
        <v>29161</v>
      </c>
      <c r="D24647" s="38" t="str">
        <f>IFERROR(__xludf.DUMMYFUNCTION("REGEXREPLACE(C24647,""-\d+(.*)|--\d+(.*)"","""")"),"JU-BELLOC")</f>
        <v>JU-BELLOC</v>
      </c>
      <c r="E24647" s="38" t="s">
        <v>440</v>
      </c>
      <c r="F24647" s="38" t="s">
        <v>94</v>
      </c>
      <c r="G24647" s="49" t="str">
        <f t="shared" si="1"/>
        <v>32160</v>
      </c>
      <c r="H24647" s="49">
        <f t="shared" si="2"/>
        <v>32163</v>
      </c>
    </row>
    <row r="24648">
      <c r="A24648" s="48" t="s">
        <v>11131</v>
      </c>
      <c r="B24648" s="38">
        <v>53272.0</v>
      </c>
      <c r="C24648" s="38" t="s">
        <v>29162</v>
      </c>
      <c r="D24648" s="38" t="str">
        <f>IFERROR(__xludf.DUMMYFUNCTION("REGEXREPLACE(C24648,""-\d+(.*)|--\d+(.*)"","""")"),"VILLEPAIL")</f>
        <v>VILLEPAIL</v>
      </c>
      <c r="E24648" s="38" t="s">
        <v>518</v>
      </c>
      <c r="F24648" s="38" t="s">
        <v>180</v>
      </c>
      <c r="G24648" s="49" t="str">
        <f t="shared" si="1"/>
        <v>53250</v>
      </c>
      <c r="H24648" s="49">
        <f t="shared" si="2"/>
        <v>53272</v>
      </c>
    </row>
    <row r="24649">
      <c r="A24649" s="48" t="s">
        <v>698</v>
      </c>
      <c r="B24649" s="38">
        <v>11251.0</v>
      </c>
      <c r="C24649" s="38" t="s">
        <v>7962</v>
      </c>
      <c r="D24649" s="38" t="str">
        <f>IFERROR(__xludf.DUMMYFUNCTION("REGEXREPLACE(C24649,""-\d+(.*)|--\d+(.*)"","""")"),"MONTLAUR")</f>
        <v>MONTLAUR</v>
      </c>
      <c r="E24649" s="38" t="s">
        <v>278</v>
      </c>
      <c r="F24649" s="38" t="s">
        <v>119</v>
      </c>
      <c r="G24649" s="49" t="str">
        <f t="shared" si="1"/>
        <v>11220</v>
      </c>
      <c r="H24649" s="49">
        <f t="shared" si="2"/>
        <v>11251</v>
      </c>
    </row>
    <row r="24650">
      <c r="A24650" s="48" t="s">
        <v>522</v>
      </c>
      <c r="B24650" s="38">
        <v>39366.0</v>
      </c>
      <c r="C24650" s="38" t="s">
        <v>29163</v>
      </c>
      <c r="D24650" s="38" t="str">
        <f>IFERROR(__xludf.DUMMYFUNCTION("REGEXREPLACE(C24650,""-\d+(.*)|--\d+(.*)"","""")"),"MONT-SUR-MONNET")</f>
        <v>MONT-SUR-MONNET</v>
      </c>
      <c r="E24650" s="38" t="s">
        <v>400</v>
      </c>
      <c r="F24650" s="38" t="s">
        <v>214</v>
      </c>
      <c r="G24650" s="49" t="str">
        <f t="shared" si="1"/>
        <v>39300</v>
      </c>
      <c r="H24650" s="49">
        <f t="shared" si="2"/>
        <v>39366</v>
      </c>
    </row>
    <row r="24651">
      <c r="A24651" s="48" t="s">
        <v>29164</v>
      </c>
      <c r="B24651" s="38">
        <v>64545.0</v>
      </c>
      <c r="C24651" s="38" t="s">
        <v>29165</v>
      </c>
      <c r="D24651" s="38" t="str">
        <f>IFERROR(__xludf.DUMMYFUNCTION("REGEXREPLACE(C24651,""-\d+(.*)|--\d+(.*)"","""")"),"URRUGNE")</f>
        <v>URRUGNE</v>
      </c>
      <c r="E24651" s="38" t="s">
        <v>268</v>
      </c>
      <c r="F24651" s="38" t="s">
        <v>252</v>
      </c>
      <c r="G24651" s="49" t="str">
        <f t="shared" si="1"/>
        <v>64122/64700</v>
      </c>
      <c r="H24651" s="49">
        <f t="shared" si="2"/>
        <v>64545</v>
      </c>
    </row>
    <row r="24652">
      <c r="A24652" s="48" t="s">
        <v>1638</v>
      </c>
      <c r="B24652" s="38">
        <v>70097.0</v>
      </c>
      <c r="C24652" s="38" t="s">
        <v>29166</v>
      </c>
      <c r="D24652" s="38" t="str">
        <f>IFERROR(__xludf.DUMMYFUNCTION("REGEXREPLACE(C24652,""-\d+(.*)|--\d+(.*)"","""")"),"BRIAUCOURT")</f>
        <v>BRIAUCOURT</v>
      </c>
      <c r="E24652" s="38" t="s">
        <v>956</v>
      </c>
      <c r="F24652" s="38" t="s">
        <v>214</v>
      </c>
      <c r="G24652" s="49" t="str">
        <f t="shared" si="1"/>
        <v>70800</v>
      </c>
      <c r="H24652" s="49">
        <f t="shared" si="2"/>
        <v>70097</v>
      </c>
    </row>
    <row r="24653">
      <c r="A24653" s="48" t="s">
        <v>1422</v>
      </c>
      <c r="B24653" s="38">
        <v>14083.0</v>
      </c>
      <c r="C24653" s="38" t="s">
        <v>29167</v>
      </c>
      <c r="D24653" s="38" t="str">
        <f>IFERROR(__xludf.DUMMYFUNCTION("REGEXREPLACE(C24653,""-\d+(.*)|--\d+(.*)"","""")"),"BONNEBOSQ")</f>
        <v>BONNEBOSQ</v>
      </c>
      <c r="E24653" s="38" t="s">
        <v>137</v>
      </c>
      <c r="F24653" s="38" t="s">
        <v>138</v>
      </c>
      <c r="G24653" s="49" t="str">
        <f t="shared" si="1"/>
        <v>14340</v>
      </c>
      <c r="H24653" s="49">
        <f t="shared" si="2"/>
        <v>14083</v>
      </c>
    </row>
    <row r="24654">
      <c r="A24654" s="48" t="s">
        <v>17047</v>
      </c>
      <c r="B24654" s="38">
        <v>60427.0</v>
      </c>
      <c r="C24654" s="38" t="s">
        <v>29168</v>
      </c>
      <c r="D24654" s="38" t="str">
        <f>IFERROR(__xludf.DUMMYFUNCTION("REGEXREPLACE(C24654,""-\d+(.*)|--\d+(.*)"","""")"),"MONTS")</f>
        <v>MONTS</v>
      </c>
      <c r="E24654" s="38" t="s">
        <v>112</v>
      </c>
      <c r="F24654" s="38" t="s">
        <v>113</v>
      </c>
      <c r="G24654" s="49" t="str">
        <f t="shared" si="1"/>
        <v>60119</v>
      </c>
      <c r="H24654" s="49">
        <f t="shared" si="2"/>
        <v>60427</v>
      </c>
    </row>
    <row r="24655">
      <c r="A24655" s="48" t="s">
        <v>3071</v>
      </c>
      <c r="B24655" s="38">
        <v>59396.0</v>
      </c>
      <c r="C24655" s="38" t="s">
        <v>29169</v>
      </c>
      <c r="D24655" s="38" t="str">
        <f>IFERROR(__xludf.DUMMYFUNCTION("REGEXREPLACE(C24655,""-\d+(.*)|--\d+(.*)"","""")"),"MECQUIGNIES")</f>
        <v>MECQUIGNIES</v>
      </c>
      <c r="E24655" s="38" t="s">
        <v>85</v>
      </c>
      <c r="F24655" s="38" t="s">
        <v>86</v>
      </c>
      <c r="G24655" s="49" t="str">
        <f t="shared" si="1"/>
        <v>59570</v>
      </c>
      <c r="H24655" s="49">
        <f t="shared" si="2"/>
        <v>59396</v>
      </c>
    </row>
    <row r="24656">
      <c r="A24656" s="48" t="s">
        <v>19967</v>
      </c>
      <c r="B24656" s="38">
        <v>4024.0</v>
      </c>
      <c r="C24656" s="38" t="s">
        <v>25721</v>
      </c>
      <c r="D24656" s="38" t="str">
        <f>IFERROR(__xludf.DUMMYFUNCTION("REGEXREPLACE(C24656,""-\d+(.*)|--\d+(.*)"","""")"),"BEAUJEU")</f>
        <v>BEAUJEU</v>
      </c>
      <c r="E24656" s="38" t="s">
        <v>662</v>
      </c>
      <c r="F24656" s="38" t="s">
        <v>228</v>
      </c>
      <c r="G24656" s="49" t="str">
        <f t="shared" si="1"/>
        <v>04420</v>
      </c>
      <c r="H24656" s="49" t="str">
        <f t="shared" si="2"/>
        <v>04024</v>
      </c>
    </row>
    <row r="24657">
      <c r="A24657" s="48" t="s">
        <v>4870</v>
      </c>
      <c r="B24657" s="38">
        <v>85142.0</v>
      </c>
      <c r="C24657" s="38" t="s">
        <v>29170</v>
      </c>
      <c r="D24657" s="38" t="str">
        <f>IFERROR(__xludf.DUMMYFUNCTION("REGEXREPLACE(C24657,""-\d+(.*)|--\d+(.*)"","""")"),"LA MERLATIERE")</f>
        <v>LA MERLATIERE</v>
      </c>
      <c r="E24657" s="38" t="s">
        <v>179</v>
      </c>
      <c r="F24657" s="38" t="s">
        <v>180</v>
      </c>
      <c r="G24657" s="49" t="str">
        <f t="shared" si="1"/>
        <v>85140</v>
      </c>
      <c r="H24657" s="49">
        <f t="shared" si="2"/>
        <v>85142</v>
      </c>
    </row>
    <row r="24658">
      <c r="A24658" s="48" t="s">
        <v>27257</v>
      </c>
      <c r="B24658" s="38">
        <v>56258.0</v>
      </c>
      <c r="C24658" s="38" t="s">
        <v>29171</v>
      </c>
      <c r="D24658" s="38" t="str">
        <f>IFERROR(__xludf.DUMMYFUNCTION("REGEXREPLACE(C24658,""-\d+(.*)|--\d+(.*)"","""")"),"LA TRINITE-SUR-MER")</f>
        <v>LA TRINITE-SUR-MER</v>
      </c>
      <c r="E24658" s="38" t="s">
        <v>173</v>
      </c>
      <c r="F24658" s="38" t="s">
        <v>90</v>
      </c>
      <c r="G24658" s="49" t="str">
        <f t="shared" si="1"/>
        <v>56470</v>
      </c>
      <c r="H24658" s="49">
        <f t="shared" si="2"/>
        <v>56258</v>
      </c>
    </row>
    <row r="24659">
      <c r="A24659" s="48" t="s">
        <v>3198</v>
      </c>
      <c r="B24659" s="38">
        <v>32097.0</v>
      </c>
      <c r="C24659" s="38" t="s">
        <v>29172</v>
      </c>
      <c r="D24659" s="38" t="str">
        <f>IFERROR(__xludf.DUMMYFUNCTION("REGEXREPLACE(C24659,""-\d+(.*)|--\d+(.*)"","""")"),"CAZAUX-D'ANGLES")</f>
        <v>CAZAUX-D'ANGLES</v>
      </c>
      <c r="E24659" s="38" t="s">
        <v>440</v>
      </c>
      <c r="F24659" s="38" t="s">
        <v>94</v>
      </c>
      <c r="G24659" s="49" t="str">
        <f t="shared" si="1"/>
        <v>32190</v>
      </c>
      <c r="H24659" s="49">
        <f t="shared" si="2"/>
        <v>32097</v>
      </c>
    </row>
    <row r="24660">
      <c r="A24660" s="48" t="s">
        <v>7657</v>
      </c>
      <c r="B24660" s="38">
        <v>80070.0</v>
      </c>
      <c r="C24660" s="38" t="s">
        <v>29173</v>
      </c>
      <c r="D24660" s="38" t="str">
        <f>IFERROR(__xludf.DUMMYFUNCTION("REGEXREPLACE(C24660,""-\d+(.*)|--\d+(.*)"","""")"),"BEAUQUESNE")</f>
        <v>BEAUQUESNE</v>
      </c>
      <c r="E24660" s="38" t="s">
        <v>224</v>
      </c>
      <c r="F24660" s="38" t="s">
        <v>113</v>
      </c>
      <c r="G24660" s="49" t="str">
        <f t="shared" si="1"/>
        <v>80600</v>
      </c>
      <c r="H24660" s="49">
        <f t="shared" si="2"/>
        <v>80070</v>
      </c>
    </row>
    <row r="24661">
      <c r="A24661" s="48" t="s">
        <v>4553</v>
      </c>
      <c r="B24661" s="38">
        <v>56117.0</v>
      </c>
      <c r="C24661" s="38" t="s">
        <v>29174</v>
      </c>
      <c r="D24661" s="38" t="str">
        <f>IFERROR(__xludf.DUMMYFUNCTION("REGEXREPLACE(C24661,""-\d+(.*)|--\d+(.*)"","""")"),"LOCMINE")</f>
        <v>LOCMINE</v>
      </c>
      <c r="E24661" s="38" t="s">
        <v>173</v>
      </c>
      <c r="F24661" s="38" t="s">
        <v>90</v>
      </c>
      <c r="G24661" s="49" t="str">
        <f t="shared" si="1"/>
        <v>56500</v>
      </c>
      <c r="H24661" s="49">
        <f t="shared" si="2"/>
        <v>56117</v>
      </c>
    </row>
    <row r="24662">
      <c r="A24662" s="48" t="s">
        <v>2924</v>
      </c>
      <c r="B24662" s="38">
        <v>8362.0</v>
      </c>
      <c r="C24662" s="38" t="s">
        <v>29175</v>
      </c>
      <c r="D24662" s="38" t="str">
        <f>IFERROR(__xludf.DUMMYFUNCTION("REGEXREPLACE(C24662,""-\d+(.*)|--\d+(.*)"","""")"),"RETHEL")</f>
        <v>RETHEL</v>
      </c>
      <c r="E24662" s="38" t="s">
        <v>327</v>
      </c>
      <c r="F24662" s="38" t="s">
        <v>130</v>
      </c>
      <c r="G24662" s="49" t="str">
        <f t="shared" si="1"/>
        <v>08300</v>
      </c>
      <c r="H24662" s="49" t="str">
        <f t="shared" si="2"/>
        <v>08362</v>
      </c>
    </row>
    <row r="24663">
      <c r="A24663" s="48" t="s">
        <v>20901</v>
      </c>
      <c r="B24663" s="38">
        <v>3252.0</v>
      </c>
      <c r="C24663" s="38" t="s">
        <v>29176</v>
      </c>
      <c r="D24663" s="38" t="str">
        <f>IFERROR(__xludf.DUMMYFUNCTION("REGEXREPLACE(C24663,""-\d+(.*)|--\d+(.*)"","""")"),"SAINT-PONT")</f>
        <v>SAINT-PONT</v>
      </c>
      <c r="E24663" s="38" t="s">
        <v>160</v>
      </c>
      <c r="F24663" s="38" t="s">
        <v>161</v>
      </c>
      <c r="G24663" s="49" t="str">
        <f t="shared" si="1"/>
        <v>03110</v>
      </c>
      <c r="H24663" s="49" t="str">
        <f t="shared" si="2"/>
        <v>03252</v>
      </c>
    </row>
    <row r="24664">
      <c r="A24664" s="48" t="s">
        <v>148</v>
      </c>
      <c r="B24664" s="38">
        <v>68333.0</v>
      </c>
      <c r="C24664" s="38" t="s">
        <v>29177</v>
      </c>
      <c r="D24664" s="38" t="str">
        <f>IFERROR(__xludf.DUMMYFUNCTION("REGEXREPLACE(C24664,""-\d+(.*)|--\d+(.*)"","""")"),"TAGSDORF")</f>
        <v>TAGSDORF</v>
      </c>
      <c r="E24664" s="38" t="s">
        <v>150</v>
      </c>
      <c r="F24664" s="38" t="s">
        <v>151</v>
      </c>
      <c r="G24664" s="49" t="str">
        <f t="shared" si="1"/>
        <v>68130</v>
      </c>
      <c r="H24664" s="49">
        <f t="shared" si="2"/>
        <v>68333</v>
      </c>
    </row>
    <row r="24665">
      <c r="A24665" s="48" t="s">
        <v>29178</v>
      </c>
      <c r="B24665" s="38">
        <v>29217.0</v>
      </c>
      <c r="C24665" s="38" t="s">
        <v>29179</v>
      </c>
      <c r="D24665" s="38" t="str">
        <f>IFERROR(__xludf.DUMMYFUNCTION("REGEXREPLACE(C24665,""-\d+(.*)|--\d+(.*)"","""")"),"PONT-AVEN")</f>
        <v>PONT-AVEN</v>
      </c>
      <c r="E24665" s="38" t="s">
        <v>176</v>
      </c>
      <c r="F24665" s="38" t="s">
        <v>90</v>
      </c>
      <c r="G24665" s="49" t="str">
        <f t="shared" si="1"/>
        <v>29930</v>
      </c>
      <c r="H24665" s="49">
        <f t="shared" si="2"/>
        <v>29217</v>
      </c>
    </row>
    <row r="24666">
      <c r="A24666" s="48" t="s">
        <v>698</v>
      </c>
      <c r="B24666" s="38">
        <v>11227.0</v>
      </c>
      <c r="C24666" s="38" t="s">
        <v>29180</v>
      </c>
      <c r="D24666" s="38" t="str">
        <f>IFERROR(__xludf.DUMMYFUNCTION("REGEXREPLACE(C24666,""-\d+(.*)|--\d+(.*)"","""")"),"MAYRONNES")</f>
        <v>MAYRONNES</v>
      </c>
      <c r="E24666" s="38" t="s">
        <v>278</v>
      </c>
      <c r="F24666" s="38" t="s">
        <v>119</v>
      </c>
      <c r="G24666" s="49" t="str">
        <f t="shared" si="1"/>
        <v>11220</v>
      </c>
      <c r="H24666" s="49">
        <f t="shared" si="2"/>
        <v>11227</v>
      </c>
    </row>
    <row r="24667">
      <c r="A24667" s="48" t="s">
        <v>1609</v>
      </c>
      <c r="B24667" s="38">
        <v>30267.0</v>
      </c>
      <c r="C24667" s="38" t="s">
        <v>29181</v>
      </c>
      <c r="D24667" s="38" t="str">
        <f>IFERROR(__xludf.DUMMYFUNCTION("REGEXREPLACE(C24667,""-\d+(.*)|--\d+(.*)"","""")"),"SAINT-JEAN-DE-SERRES")</f>
        <v>SAINT-JEAN-DE-SERRES</v>
      </c>
      <c r="E24667" s="38" t="s">
        <v>526</v>
      </c>
      <c r="F24667" s="38" t="s">
        <v>119</v>
      </c>
      <c r="G24667" s="49" t="str">
        <f t="shared" si="1"/>
        <v>30350</v>
      </c>
      <c r="H24667" s="49">
        <f t="shared" si="2"/>
        <v>30267</v>
      </c>
    </row>
    <row r="24668">
      <c r="A24668" s="48" t="s">
        <v>1991</v>
      </c>
      <c r="B24668" s="38">
        <v>54119.0</v>
      </c>
      <c r="C24668" s="38" t="s">
        <v>29182</v>
      </c>
      <c r="D24668" s="38" t="str">
        <f>IFERROR(__xludf.DUMMYFUNCTION("REGEXREPLACE(C24668,""-\d+(.*)|--\d+(.*)"","""")"),"CHAREY")</f>
        <v>CHAREY</v>
      </c>
      <c r="E24668" s="38" t="s">
        <v>548</v>
      </c>
      <c r="F24668" s="38" t="s">
        <v>195</v>
      </c>
      <c r="G24668" s="49" t="str">
        <f t="shared" si="1"/>
        <v>54470</v>
      </c>
      <c r="H24668" s="49">
        <f t="shared" si="2"/>
        <v>54119</v>
      </c>
    </row>
    <row r="24669">
      <c r="A24669" s="48" t="s">
        <v>7736</v>
      </c>
      <c r="B24669" s="38">
        <v>11198.0</v>
      </c>
      <c r="C24669" s="38" t="s">
        <v>29183</v>
      </c>
      <c r="D24669" s="38" t="str">
        <f>IFERROR(__xludf.DUMMYFUNCTION("REGEXREPLACE(C24669,""-\d+(.*)|--\d+(.*)"","""")"),"LAURE-MINERVOIS")</f>
        <v>LAURE-MINERVOIS</v>
      </c>
      <c r="E24669" s="38" t="s">
        <v>278</v>
      </c>
      <c r="F24669" s="38" t="s">
        <v>119</v>
      </c>
      <c r="G24669" s="49" t="str">
        <f t="shared" si="1"/>
        <v>11800</v>
      </c>
      <c r="H24669" s="49">
        <f t="shared" si="2"/>
        <v>11198</v>
      </c>
    </row>
    <row r="24670">
      <c r="A24670" s="48" t="s">
        <v>2128</v>
      </c>
      <c r="B24670" s="38">
        <v>2771.0</v>
      </c>
      <c r="C24670" s="38" t="s">
        <v>29184</v>
      </c>
      <c r="D24670" s="38" t="str">
        <f>IFERROR(__xludf.DUMMYFUNCTION("REGEXREPLACE(C24670,""-\d+(.*)|--\d+(.*)"","""")"),"VAUXCERE")</f>
        <v>VAUXCERE</v>
      </c>
      <c r="E24670" s="38" t="s">
        <v>191</v>
      </c>
      <c r="F24670" s="38" t="s">
        <v>113</v>
      </c>
      <c r="G24670" s="49" t="str">
        <f t="shared" si="1"/>
        <v>02160</v>
      </c>
      <c r="H24670" s="49" t="str">
        <f t="shared" si="2"/>
        <v>02771</v>
      </c>
    </row>
    <row r="24671">
      <c r="A24671" s="48" t="s">
        <v>9067</v>
      </c>
      <c r="B24671" s="38">
        <v>73267.0</v>
      </c>
      <c r="C24671" s="38" t="s">
        <v>22630</v>
      </c>
      <c r="D24671" s="38" t="str">
        <f>IFERROR(__xludf.DUMMYFUNCTION("REGEXREPLACE(C24671,""-\d+(.*)|--\d+(.*)"","""")"),"SAINT-PANCRACE")</f>
        <v>SAINT-PANCRACE</v>
      </c>
      <c r="E24671" s="38" t="s">
        <v>306</v>
      </c>
      <c r="F24671" s="38" t="s">
        <v>102</v>
      </c>
      <c r="G24671" s="49" t="str">
        <f t="shared" si="1"/>
        <v>73300</v>
      </c>
      <c r="H24671" s="49">
        <f t="shared" si="2"/>
        <v>73267</v>
      </c>
    </row>
    <row r="24672">
      <c r="A24672" s="48" t="s">
        <v>3046</v>
      </c>
      <c r="B24672" s="38">
        <v>70100.0</v>
      </c>
      <c r="C24672" s="38" t="s">
        <v>29185</v>
      </c>
      <c r="D24672" s="38" t="str">
        <f>IFERROR(__xludf.DUMMYFUNCTION("REGEXREPLACE(C24672,""-\d+(.*)|--\d+(.*)"","""")"),"BROYE-LES-LOUPS-ET-VERFONTAINE")</f>
        <v>BROYE-LES-LOUPS-ET-VERFONTAINE</v>
      </c>
      <c r="E24672" s="38" t="s">
        <v>956</v>
      </c>
      <c r="F24672" s="38" t="s">
        <v>214</v>
      </c>
      <c r="G24672" s="49" t="str">
        <f t="shared" si="1"/>
        <v>70100</v>
      </c>
      <c r="H24672" s="49">
        <f t="shared" si="2"/>
        <v>70100</v>
      </c>
    </row>
    <row r="24673">
      <c r="A24673" s="48" t="s">
        <v>8129</v>
      </c>
      <c r="B24673" s="38">
        <v>70425.0</v>
      </c>
      <c r="C24673" s="38" t="s">
        <v>29186</v>
      </c>
      <c r="D24673" s="38" t="str">
        <f>IFERROR(__xludf.DUMMYFUNCTION("REGEXREPLACE(C24673,""-\d+(.*)|--\d+(.*)"","""")"),"LA PROISELIERE-ET-LANGLE")</f>
        <v>LA PROISELIERE-ET-LANGLE</v>
      </c>
      <c r="E24673" s="38" t="s">
        <v>956</v>
      </c>
      <c r="F24673" s="38" t="s">
        <v>214</v>
      </c>
      <c r="G24673" s="49" t="str">
        <f t="shared" si="1"/>
        <v>70310</v>
      </c>
      <c r="H24673" s="49">
        <f t="shared" si="2"/>
        <v>70425</v>
      </c>
    </row>
    <row r="24674">
      <c r="A24674" s="48" t="s">
        <v>3182</v>
      </c>
      <c r="B24674" s="38">
        <v>80413.0</v>
      </c>
      <c r="C24674" s="38" t="s">
        <v>29187</v>
      </c>
      <c r="D24674" s="38" t="str">
        <f>IFERROR(__xludf.DUMMYFUNCTION("REGEXREPLACE(C24674,""-\d+(.*)|--\d+(.*)"","""")"),"HANCOURT")</f>
        <v>HANCOURT</v>
      </c>
      <c r="E24674" s="38" t="s">
        <v>224</v>
      </c>
      <c r="F24674" s="38" t="s">
        <v>113</v>
      </c>
      <c r="G24674" s="49" t="str">
        <f t="shared" si="1"/>
        <v>80240</v>
      </c>
      <c r="H24674" s="49">
        <f t="shared" si="2"/>
        <v>80413</v>
      </c>
    </row>
    <row r="24675">
      <c r="A24675" s="48" t="s">
        <v>1452</v>
      </c>
      <c r="B24675" s="38">
        <v>55164.0</v>
      </c>
      <c r="C24675" s="38" t="s">
        <v>29188</v>
      </c>
      <c r="D24675" s="38" t="str">
        <f>IFERROR(__xludf.DUMMYFUNCTION("REGEXREPLACE(C24675,""-\d+(.*)|--\d+(.*)"","""")"),"DOUAUMONT")</f>
        <v>DOUAUMONT</v>
      </c>
      <c r="E24675" s="38" t="s">
        <v>322</v>
      </c>
      <c r="F24675" s="38" t="s">
        <v>195</v>
      </c>
      <c r="G24675" s="49" t="str">
        <f t="shared" si="1"/>
        <v>55100</v>
      </c>
      <c r="H24675" s="49">
        <f t="shared" si="2"/>
        <v>55164</v>
      </c>
    </row>
    <row r="24676">
      <c r="A24676" s="48" t="s">
        <v>1628</v>
      </c>
      <c r="B24676" s="38">
        <v>70114.0</v>
      </c>
      <c r="C24676" s="38" t="s">
        <v>29189</v>
      </c>
      <c r="D24676" s="38" t="str">
        <f>IFERROR(__xludf.DUMMYFUNCTION("REGEXREPLACE(C24676,""-\d+(.*)|--\d+(.*)"","""")"),"CENDRECOURT")</f>
        <v>CENDRECOURT</v>
      </c>
      <c r="E24676" s="38" t="s">
        <v>956</v>
      </c>
      <c r="F24676" s="38" t="s">
        <v>214</v>
      </c>
      <c r="G24676" s="49" t="str">
        <f t="shared" si="1"/>
        <v>70500</v>
      </c>
      <c r="H24676" s="49">
        <f t="shared" si="2"/>
        <v>70114</v>
      </c>
    </row>
    <row r="24677">
      <c r="A24677" s="48" t="s">
        <v>1991</v>
      </c>
      <c r="B24677" s="38">
        <v>54244.0</v>
      </c>
      <c r="C24677" s="38" t="s">
        <v>29190</v>
      </c>
      <c r="D24677" s="38" t="str">
        <f>IFERROR(__xludf.DUMMYFUNCTION("REGEXREPLACE(C24677,""-\d+(.*)|--\d+(.*)"","""")"),"HAGEVILLE")</f>
        <v>HAGEVILLE</v>
      </c>
      <c r="E24677" s="38" t="s">
        <v>548</v>
      </c>
      <c r="F24677" s="38" t="s">
        <v>195</v>
      </c>
      <c r="G24677" s="49" t="str">
        <f t="shared" si="1"/>
        <v>54470</v>
      </c>
      <c r="H24677" s="49">
        <f t="shared" si="2"/>
        <v>54244</v>
      </c>
    </row>
    <row r="24678">
      <c r="A24678" s="48" t="s">
        <v>2905</v>
      </c>
      <c r="B24678" s="38">
        <v>21677.0</v>
      </c>
      <c r="C24678" s="38" t="s">
        <v>29191</v>
      </c>
      <c r="D24678" s="38" t="str">
        <f>IFERROR(__xludf.DUMMYFUNCTION("REGEXREPLACE(C24678,""-\d+(.*)|--\d+(.*)"","""")"),"VIC-DES-PRES")</f>
        <v>VIC-DES-PRES</v>
      </c>
      <c r="E24678" s="38" t="s">
        <v>105</v>
      </c>
      <c r="F24678" s="38" t="s">
        <v>106</v>
      </c>
      <c r="G24678" s="49" t="str">
        <f t="shared" si="1"/>
        <v>21360</v>
      </c>
      <c r="H24678" s="49">
        <f t="shared" si="2"/>
        <v>21677</v>
      </c>
    </row>
    <row r="24679">
      <c r="A24679" s="48" t="s">
        <v>781</v>
      </c>
      <c r="B24679" s="38">
        <v>65033.0</v>
      </c>
      <c r="C24679" s="38" t="s">
        <v>29192</v>
      </c>
      <c r="D24679" s="38" t="str">
        <f>IFERROR(__xludf.DUMMYFUNCTION("REGEXREPLACE(C24679,""-\d+(.*)|--\d+(.*)"","""")"),"ARRODETS-EZ-ANGLES")</f>
        <v>ARRODETS-EZ-ANGLES</v>
      </c>
      <c r="E24679" s="38" t="s">
        <v>200</v>
      </c>
      <c r="F24679" s="38" t="s">
        <v>94</v>
      </c>
      <c r="G24679" s="49" t="str">
        <f t="shared" si="1"/>
        <v>65100</v>
      </c>
      <c r="H24679" s="49">
        <f t="shared" si="2"/>
        <v>65033</v>
      </c>
    </row>
    <row r="24680">
      <c r="A24680" s="48" t="s">
        <v>1354</v>
      </c>
      <c r="B24680" s="38">
        <v>28201.0</v>
      </c>
      <c r="C24680" s="38" t="s">
        <v>28777</v>
      </c>
      <c r="D24680" s="38" t="str">
        <f>IFERROR(__xludf.DUMMYFUNCTION("REGEXREPLACE(C24680,""-\d+(.*)|--\d+(.*)"","""")"),"JOUY")</f>
        <v>JOUY</v>
      </c>
      <c r="E24680" s="38" t="s">
        <v>300</v>
      </c>
      <c r="F24680" s="38" t="s">
        <v>123</v>
      </c>
      <c r="G24680" s="49" t="str">
        <f t="shared" si="1"/>
        <v>28300</v>
      </c>
      <c r="H24680" s="49">
        <f t="shared" si="2"/>
        <v>28201</v>
      </c>
    </row>
    <row r="24681">
      <c r="A24681" s="48" t="s">
        <v>4215</v>
      </c>
      <c r="B24681" s="38">
        <v>27562.0</v>
      </c>
      <c r="C24681" s="38" t="s">
        <v>7456</v>
      </c>
      <c r="D24681" s="38" t="str">
        <f>IFERROR(__xludf.DUMMYFUNCTION("REGEXREPLACE(C24681,""-\d+(.*)|--\d+(.*)"","""")"),"SAINT-MARCEL")</f>
        <v>SAINT-MARCEL</v>
      </c>
      <c r="E24681" s="38" t="s">
        <v>241</v>
      </c>
      <c r="F24681" s="38" t="s">
        <v>134</v>
      </c>
      <c r="G24681" s="49" t="str">
        <f t="shared" si="1"/>
        <v>27950</v>
      </c>
      <c r="H24681" s="49">
        <f t="shared" si="2"/>
        <v>27562</v>
      </c>
    </row>
    <row r="24682">
      <c r="A24682" s="48" t="s">
        <v>1368</v>
      </c>
      <c r="B24682" s="38">
        <v>8455.0</v>
      </c>
      <c r="C24682" s="38" t="s">
        <v>29193</v>
      </c>
      <c r="D24682" s="38" t="str">
        <f>IFERROR(__xludf.DUMMYFUNCTION("REGEXREPLACE(C24682,""-\d+(.*)|--\d+(.*)"","""")"),"TOURCELLES-CHAUMONT")</f>
        <v>TOURCELLES-CHAUMONT</v>
      </c>
      <c r="E24682" s="38" t="s">
        <v>327</v>
      </c>
      <c r="F24682" s="38" t="s">
        <v>130</v>
      </c>
      <c r="G24682" s="49" t="str">
        <f t="shared" si="1"/>
        <v>08400</v>
      </c>
      <c r="H24682" s="49" t="str">
        <f t="shared" si="2"/>
        <v>08455</v>
      </c>
    </row>
    <row r="24683">
      <c r="A24683" s="48" t="s">
        <v>10965</v>
      </c>
      <c r="B24683" s="38">
        <v>80341.0</v>
      </c>
      <c r="C24683" s="38" t="s">
        <v>29194</v>
      </c>
      <c r="D24683" s="38" t="str">
        <f>IFERROR(__xludf.DUMMYFUNCTION("REGEXREPLACE(C24683,""-\d+(.*)|--\d+(.*)"","""")"),"FOURDRINOY")</f>
        <v>FOURDRINOY</v>
      </c>
      <c r="E24683" s="38" t="s">
        <v>224</v>
      </c>
      <c r="F24683" s="38" t="s">
        <v>113</v>
      </c>
      <c r="G24683" s="49" t="str">
        <f t="shared" si="1"/>
        <v>80310</v>
      </c>
      <c r="H24683" s="49">
        <f t="shared" si="2"/>
        <v>80341</v>
      </c>
    </row>
    <row r="24684">
      <c r="A24684" s="48" t="s">
        <v>2886</v>
      </c>
      <c r="B24684" s="38">
        <v>89255.0</v>
      </c>
      <c r="C24684" s="38" t="s">
        <v>29195</v>
      </c>
      <c r="D24684" s="38" t="str">
        <f>IFERROR(__xludf.DUMMYFUNCTION("REGEXREPLACE(C24684,""-\d+(.*)|--\d+(.*)"","""")"),"MICHERY")</f>
        <v>MICHERY</v>
      </c>
      <c r="E24684" s="38" t="s">
        <v>275</v>
      </c>
      <c r="F24684" s="38" t="s">
        <v>106</v>
      </c>
      <c r="G24684" s="49" t="str">
        <f t="shared" si="1"/>
        <v>89140</v>
      </c>
      <c r="H24684" s="49">
        <f t="shared" si="2"/>
        <v>89255</v>
      </c>
    </row>
    <row r="24685">
      <c r="A24685" s="48" t="s">
        <v>573</v>
      </c>
      <c r="B24685" s="38">
        <v>65071.0</v>
      </c>
      <c r="C24685" s="38" t="s">
        <v>29196</v>
      </c>
      <c r="D24685" s="38" t="str">
        <f>IFERROR(__xludf.DUMMYFUNCTION("REGEXREPLACE(C24685,""-\d+(.*)|--\d+(.*)"","""")"),"BATSERE")</f>
        <v>BATSERE</v>
      </c>
      <c r="E24685" s="38" t="s">
        <v>200</v>
      </c>
      <c r="F24685" s="38" t="s">
        <v>94</v>
      </c>
      <c r="G24685" s="49" t="str">
        <f t="shared" si="1"/>
        <v>65130</v>
      </c>
      <c r="H24685" s="49">
        <f t="shared" si="2"/>
        <v>65071</v>
      </c>
    </row>
    <row r="24686">
      <c r="A24686" s="48" t="s">
        <v>5513</v>
      </c>
      <c r="B24686" s="38">
        <v>57725.0</v>
      </c>
      <c r="C24686" s="38" t="s">
        <v>29197</v>
      </c>
      <c r="D24686" s="38" t="str">
        <f>IFERROR(__xludf.DUMMYFUNCTION("REGEXREPLACE(C24686,""-\d+(.*)|--\d+(.*)"","""")"),"VITTERSBOURG")</f>
        <v>VITTERSBOURG</v>
      </c>
      <c r="E24686" s="38" t="s">
        <v>303</v>
      </c>
      <c r="F24686" s="38" t="s">
        <v>195</v>
      </c>
      <c r="G24686" s="49" t="str">
        <f t="shared" si="1"/>
        <v>57670</v>
      </c>
      <c r="H24686" s="49">
        <f t="shared" si="2"/>
        <v>57725</v>
      </c>
    </row>
    <row r="24687">
      <c r="A24687" s="48" t="s">
        <v>5358</v>
      </c>
      <c r="B24687" s="38">
        <v>23210.0</v>
      </c>
      <c r="C24687" s="38" t="s">
        <v>28600</v>
      </c>
      <c r="D24687" s="38" t="str">
        <f>IFERROR(__xludf.DUMMYFUNCTION("REGEXREPLACE(C24687,""-\d+(.*)|--\d+(.*)"","""")"),"SAINT-MAIXANT")</f>
        <v>SAINT-MAIXANT</v>
      </c>
      <c r="E24687" s="38" t="s">
        <v>97</v>
      </c>
      <c r="F24687" s="38" t="s">
        <v>98</v>
      </c>
      <c r="G24687" s="49" t="str">
        <f t="shared" si="1"/>
        <v>23200</v>
      </c>
      <c r="H24687" s="49">
        <f t="shared" si="2"/>
        <v>23210</v>
      </c>
    </row>
    <row r="24688">
      <c r="A24688" s="48" t="s">
        <v>12681</v>
      </c>
      <c r="B24688" s="38">
        <v>2639.0</v>
      </c>
      <c r="C24688" s="38" t="s">
        <v>24729</v>
      </c>
      <c r="D24688" s="38" t="str">
        <f>IFERROR(__xludf.DUMMYFUNCTION("REGEXREPLACE(C24688,""-\d+(.*)|--\d+(.*)"","""")"),"REMIGNY")</f>
        <v>REMIGNY</v>
      </c>
      <c r="E24688" s="38" t="s">
        <v>191</v>
      </c>
      <c r="F24688" s="38" t="s">
        <v>113</v>
      </c>
      <c r="G24688" s="49" t="str">
        <f t="shared" si="1"/>
        <v>02440</v>
      </c>
      <c r="H24688" s="49" t="str">
        <f t="shared" si="2"/>
        <v>02639</v>
      </c>
    </row>
    <row r="24689">
      <c r="A24689" s="48" t="s">
        <v>1038</v>
      </c>
      <c r="B24689" s="38">
        <v>50407.0</v>
      </c>
      <c r="C24689" s="38" t="s">
        <v>5191</v>
      </c>
      <c r="D24689" s="38" t="str">
        <f>IFERROR(__xludf.DUMMYFUNCTION("REGEXREPLACE(C24689,""-\d+(.*)|--\d+(.*)"","""")"),"POILLEY")</f>
        <v>POILLEY</v>
      </c>
      <c r="E24689" s="38" t="s">
        <v>157</v>
      </c>
      <c r="F24689" s="38" t="s">
        <v>138</v>
      </c>
      <c r="G24689" s="49" t="str">
        <f t="shared" si="1"/>
        <v>50220</v>
      </c>
      <c r="H24689" s="49">
        <f t="shared" si="2"/>
        <v>50407</v>
      </c>
    </row>
    <row r="24690">
      <c r="A24690" s="48" t="s">
        <v>9315</v>
      </c>
      <c r="B24690" s="38">
        <v>68157.0</v>
      </c>
      <c r="C24690" s="38" t="s">
        <v>29198</v>
      </c>
      <c r="D24690" s="38" t="str">
        <f>IFERROR(__xludf.DUMMYFUNCTION("REGEXREPLACE(C24690,""-\d+(.*)|--\d+(.*)"","""")"),"JEBSHEIM")</f>
        <v>JEBSHEIM</v>
      </c>
      <c r="E24690" s="38" t="s">
        <v>150</v>
      </c>
      <c r="F24690" s="38" t="s">
        <v>151</v>
      </c>
      <c r="G24690" s="49" t="str">
        <f t="shared" si="1"/>
        <v>68320</v>
      </c>
      <c r="H24690" s="49">
        <f t="shared" si="2"/>
        <v>68157</v>
      </c>
    </row>
    <row r="24691">
      <c r="A24691" s="48" t="s">
        <v>4851</v>
      </c>
      <c r="B24691" s="38">
        <v>33502.0</v>
      </c>
      <c r="C24691" s="38" t="s">
        <v>29199</v>
      </c>
      <c r="D24691" s="38" t="str">
        <f>IFERROR(__xludf.DUMMYFUNCTION("REGEXREPLACE(C24691,""-\d+(.*)|--\d+(.*)"","""")"),"SAUGON")</f>
        <v>SAUGON</v>
      </c>
      <c r="E24691" s="38" t="s">
        <v>462</v>
      </c>
      <c r="F24691" s="38" t="s">
        <v>252</v>
      </c>
      <c r="G24691" s="49" t="str">
        <f t="shared" si="1"/>
        <v>33920</v>
      </c>
      <c r="H24691" s="49">
        <f t="shared" si="2"/>
        <v>33502</v>
      </c>
    </row>
    <row r="24692">
      <c r="A24692" s="48" t="s">
        <v>29200</v>
      </c>
      <c r="B24692" s="38">
        <v>59456.0</v>
      </c>
      <c r="C24692" s="38" t="s">
        <v>29201</v>
      </c>
      <c r="D24692" s="38" t="str">
        <f>IFERROR(__xludf.DUMMYFUNCTION("REGEXREPLACE(C24692,""-\d+(.*)|--\d+(.*)"","""")"),"PECQUENCOURT")</f>
        <v>PECQUENCOURT</v>
      </c>
      <c r="E24692" s="38" t="s">
        <v>85</v>
      </c>
      <c r="F24692" s="38" t="s">
        <v>86</v>
      </c>
      <c r="G24692" s="49" t="str">
        <f t="shared" si="1"/>
        <v>59146</v>
      </c>
      <c r="H24692" s="49">
        <f t="shared" si="2"/>
        <v>59456</v>
      </c>
    </row>
    <row r="24693">
      <c r="A24693" s="48" t="s">
        <v>13112</v>
      </c>
      <c r="B24693" s="38">
        <v>40030.0</v>
      </c>
      <c r="C24693" s="38" t="s">
        <v>29202</v>
      </c>
      <c r="D24693" s="38" t="str">
        <f>IFERROR(__xludf.DUMMYFUNCTION("REGEXREPLACE(C24693,""-\d+(.*)|--\d+(.*)"","""")"),"BAUDIGNAN")</f>
        <v>BAUDIGNAN</v>
      </c>
      <c r="E24693" s="38" t="s">
        <v>281</v>
      </c>
      <c r="F24693" s="38" t="s">
        <v>252</v>
      </c>
      <c r="G24693" s="49" t="str">
        <f t="shared" si="1"/>
        <v>40310</v>
      </c>
      <c r="H24693" s="49">
        <f t="shared" si="2"/>
        <v>40030</v>
      </c>
    </row>
    <row r="24694">
      <c r="A24694" s="48" t="s">
        <v>5041</v>
      </c>
      <c r="B24694" s="38">
        <v>3092.0</v>
      </c>
      <c r="C24694" s="38" t="s">
        <v>29203</v>
      </c>
      <c r="D24694" s="38" t="str">
        <f>IFERROR(__xludf.DUMMYFUNCTION("REGEXREPLACE(C24694,""-\d+(.*)|--\d+(.*)"","""")"),"CRESSANGES")</f>
        <v>CRESSANGES</v>
      </c>
      <c r="E24694" s="38" t="s">
        <v>160</v>
      </c>
      <c r="F24694" s="38" t="s">
        <v>161</v>
      </c>
      <c r="G24694" s="49" t="str">
        <f t="shared" si="1"/>
        <v>03240</v>
      </c>
      <c r="H24694" s="49" t="str">
        <f t="shared" si="2"/>
        <v>03092</v>
      </c>
    </row>
    <row r="24695">
      <c r="A24695" s="48" t="s">
        <v>4884</v>
      </c>
      <c r="B24695" s="38">
        <v>72072.0</v>
      </c>
      <c r="C24695" s="38" t="s">
        <v>29204</v>
      </c>
      <c r="D24695" s="38" t="str">
        <f>IFERROR(__xludf.DUMMYFUNCTION("REGEXREPLACE(C24695,""-\d+(.*)|--\d+(.*)"","""")"),"CHATEAU-L'HERMITAGE")</f>
        <v>CHATEAU-L'HERMITAGE</v>
      </c>
      <c r="E24695" s="38" t="s">
        <v>521</v>
      </c>
      <c r="F24695" s="38" t="s">
        <v>180</v>
      </c>
      <c r="G24695" s="49" t="str">
        <f t="shared" si="1"/>
        <v>72510</v>
      </c>
      <c r="H24695" s="49">
        <f t="shared" si="2"/>
        <v>72072</v>
      </c>
    </row>
    <row r="24696">
      <c r="A24696" s="48" t="s">
        <v>20399</v>
      </c>
      <c r="B24696" s="38">
        <v>81145.0</v>
      </c>
      <c r="C24696" s="38" t="s">
        <v>29205</v>
      </c>
      <c r="D24696" s="38" t="str">
        <f>IFERROR(__xludf.DUMMYFUNCTION("REGEXREPLACE(C24696,""-\d+(.*)|--\d+(.*)"","""")"),"LISLE-SUR-TARN")</f>
        <v>LISLE-SUR-TARN</v>
      </c>
      <c r="E24696" s="38" t="s">
        <v>231</v>
      </c>
      <c r="F24696" s="38" t="s">
        <v>94</v>
      </c>
      <c r="G24696" s="49" t="str">
        <f t="shared" si="1"/>
        <v>81310</v>
      </c>
      <c r="H24696" s="49">
        <f t="shared" si="2"/>
        <v>81145</v>
      </c>
    </row>
    <row r="24697">
      <c r="A24697" s="48" t="s">
        <v>3668</v>
      </c>
      <c r="B24697" s="38">
        <v>65261.0</v>
      </c>
      <c r="C24697" s="38" t="s">
        <v>29206</v>
      </c>
      <c r="D24697" s="38" t="str">
        <f>IFERROR(__xludf.DUMMYFUNCTION("REGEXREPLACE(C24697,""-\d+(.*)|--\d+(.*)"","""")"),"LARAN")</f>
        <v>LARAN</v>
      </c>
      <c r="E24697" s="38" t="s">
        <v>200</v>
      </c>
      <c r="F24697" s="38" t="s">
        <v>94</v>
      </c>
      <c r="G24697" s="49" t="str">
        <f t="shared" si="1"/>
        <v>65670</v>
      </c>
      <c r="H24697" s="49">
        <f t="shared" si="2"/>
        <v>65261</v>
      </c>
    </row>
    <row r="24698">
      <c r="A24698" s="48" t="s">
        <v>10066</v>
      </c>
      <c r="B24698" s="38">
        <v>1121.0</v>
      </c>
      <c r="C24698" s="38" t="s">
        <v>29207</v>
      </c>
      <c r="D24698" s="38" t="str">
        <f>IFERROR(__xludf.DUMMYFUNCTION("REGEXREPLACE(C24698,""-\d+(.*)|--\d+(.*)"","""")"),"CORLIER")</f>
        <v>CORLIER</v>
      </c>
      <c r="E24698" s="38" t="s">
        <v>255</v>
      </c>
      <c r="F24698" s="38" t="s">
        <v>102</v>
      </c>
      <c r="G24698" s="49" t="str">
        <f t="shared" si="1"/>
        <v>01110</v>
      </c>
      <c r="H24698" s="49" t="str">
        <f t="shared" si="2"/>
        <v>01121</v>
      </c>
    </row>
    <row r="24699">
      <c r="A24699" s="48" t="s">
        <v>3152</v>
      </c>
      <c r="B24699" s="38">
        <v>7218.0</v>
      </c>
      <c r="C24699" s="38" t="s">
        <v>29208</v>
      </c>
      <c r="D24699" s="38" t="str">
        <f>IFERROR(__xludf.DUMMYFUNCTION("REGEXREPLACE(C24699,""-\d+(.*)|--\d+(.*)"","""")"),"SAINT-BASILE")</f>
        <v>SAINT-BASILE</v>
      </c>
      <c r="E24699" s="38" t="s">
        <v>144</v>
      </c>
      <c r="F24699" s="38" t="s">
        <v>102</v>
      </c>
      <c r="G24699" s="49" t="str">
        <f t="shared" si="1"/>
        <v>07270</v>
      </c>
      <c r="H24699" s="49" t="str">
        <f t="shared" si="2"/>
        <v>07218</v>
      </c>
    </row>
    <row r="24700">
      <c r="A24700" s="48" t="s">
        <v>2217</v>
      </c>
      <c r="B24700" s="38">
        <v>24184.0</v>
      </c>
      <c r="C24700" s="38" t="s">
        <v>29209</v>
      </c>
      <c r="D24700" s="38" t="str">
        <f>IFERROR(__xludf.DUMMYFUNCTION("REGEXREPLACE(C24700,""-\d+(.*)|--\d+(.*)"","""")"),"FLORIMONT-GAUMIER")</f>
        <v>FLORIMONT-GAUMIER</v>
      </c>
      <c r="E24700" s="38" t="s">
        <v>261</v>
      </c>
      <c r="F24700" s="38" t="s">
        <v>252</v>
      </c>
      <c r="G24700" s="49" t="str">
        <f t="shared" si="1"/>
        <v>24250</v>
      </c>
      <c r="H24700" s="49">
        <f t="shared" si="2"/>
        <v>24184</v>
      </c>
    </row>
    <row r="24701">
      <c r="A24701" s="48" t="s">
        <v>10008</v>
      </c>
      <c r="B24701" s="38">
        <v>36022.0</v>
      </c>
      <c r="C24701" s="38" t="s">
        <v>29210</v>
      </c>
      <c r="D24701" s="38" t="str">
        <f>IFERROR(__xludf.DUMMYFUNCTION("REGEXREPLACE(C24701,""-\d+(.*)|--\d+(.*)"","""")"),"BOUESSE")</f>
        <v>BOUESSE</v>
      </c>
      <c r="E24701" s="38" t="s">
        <v>258</v>
      </c>
      <c r="F24701" s="38" t="s">
        <v>123</v>
      </c>
      <c r="G24701" s="49" t="str">
        <f t="shared" si="1"/>
        <v>36200</v>
      </c>
      <c r="H24701" s="49">
        <f t="shared" si="2"/>
        <v>36022</v>
      </c>
    </row>
    <row r="24702">
      <c r="A24702" s="48" t="s">
        <v>1325</v>
      </c>
      <c r="B24702" s="38">
        <v>7204.0</v>
      </c>
      <c r="C24702" s="38" t="s">
        <v>29211</v>
      </c>
      <c r="D24702" s="38" t="str">
        <f>IFERROR(__xludf.DUMMYFUNCTION("REGEXREPLACE(C24702,""-\d+(.*)|--\d+(.*)"","""")"),"SAINT-AGREVE")</f>
        <v>SAINT-AGREVE</v>
      </c>
      <c r="E24702" s="38" t="s">
        <v>144</v>
      </c>
      <c r="F24702" s="38" t="s">
        <v>102</v>
      </c>
      <c r="G24702" s="49" t="str">
        <f t="shared" si="1"/>
        <v>07320</v>
      </c>
      <c r="H24702" s="49" t="str">
        <f t="shared" si="2"/>
        <v>07204</v>
      </c>
    </row>
    <row r="24703">
      <c r="A24703" s="48" t="s">
        <v>2659</v>
      </c>
      <c r="B24703" s="38">
        <v>80704.0</v>
      </c>
      <c r="C24703" s="38" t="s">
        <v>29212</v>
      </c>
      <c r="D24703" s="38" t="str">
        <f>IFERROR(__xludf.DUMMYFUNCTION("REGEXREPLACE(C24703,""-\d+(.*)|--\d+(.*)"","""")"),"SAINT-GRATIEN")</f>
        <v>SAINT-GRATIEN</v>
      </c>
      <c r="E24703" s="38" t="s">
        <v>224</v>
      </c>
      <c r="F24703" s="38" t="s">
        <v>113</v>
      </c>
      <c r="G24703" s="49" t="str">
        <f t="shared" si="1"/>
        <v>80260</v>
      </c>
      <c r="H24703" s="49">
        <f t="shared" si="2"/>
        <v>80704</v>
      </c>
    </row>
    <row r="24704">
      <c r="A24704" s="48" t="s">
        <v>7375</v>
      </c>
      <c r="B24704" s="38">
        <v>91047.0</v>
      </c>
      <c r="C24704" s="38" t="s">
        <v>29213</v>
      </c>
      <c r="D24704" s="38" t="str">
        <f>IFERROR(__xludf.DUMMYFUNCTION("REGEXREPLACE(C24704,""-\d+(.*)|--\d+(.*)"","""")"),"BAULNE")</f>
        <v>BAULNE</v>
      </c>
      <c r="E24704" s="38" t="s">
        <v>756</v>
      </c>
      <c r="F24704" s="38" t="s">
        <v>245</v>
      </c>
      <c r="G24704" s="49" t="str">
        <f t="shared" si="1"/>
        <v>91590</v>
      </c>
      <c r="H24704" s="49">
        <f t="shared" si="2"/>
        <v>91047</v>
      </c>
    </row>
    <row r="24705">
      <c r="A24705" s="48" t="s">
        <v>29214</v>
      </c>
      <c r="B24705" s="38">
        <v>78418.0</v>
      </c>
      <c r="C24705" s="38" t="s">
        <v>29215</v>
      </c>
      <c r="D24705" s="38" t="str">
        <f>IFERROR(__xludf.DUMMYFUNCTION("REGEXREPLACE(C24705,""-\d+(.*)|--\d+(.*)"","""")"),"MONTESSON")</f>
        <v>MONTESSON</v>
      </c>
      <c r="E24705" s="38" t="s">
        <v>362</v>
      </c>
      <c r="F24705" s="38" t="s">
        <v>245</v>
      </c>
      <c r="G24705" s="49" t="str">
        <f t="shared" si="1"/>
        <v>78360</v>
      </c>
      <c r="H24705" s="49">
        <f t="shared" si="2"/>
        <v>78418</v>
      </c>
    </row>
    <row r="24706">
      <c r="A24706" s="48" t="s">
        <v>2435</v>
      </c>
      <c r="B24706" s="38">
        <v>7084.0</v>
      </c>
      <c r="C24706" s="38" t="s">
        <v>29216</v>
      </c>
      <c r="D24706" s="38" t="str">
        <f>IFERROR(__xludf.DUMMYFUNCTION("REGEXREPLACE(C24706,""-\d+(.*)|--\d+(.*)"","""")"),"ECLASSAN")</f>
        <v>ECLASSAN</v>
      </c>
      <c r="E24706" s="38" t="s">
        <v>144</v>
      </c>
      <c r="F24706" s="38" t="s">
        <v>102</v>
      </c>
      <c r="G24706" s="49" t="str">
        <f t="shared" si="1"/>
        <v>07370</v>
      </c>
      <c r="H24706" s="49" t="str">
        <f t="shared" si="2"/>
        <v>07084</v>
      </c>
    </row>
    <row r="24707">
      <c r="A24707" s="48" t="s">
        <v>4459</v>
      </c>
      <c r="B24707" s="38">
        <v>63214.0</v>
      </c>
      <c r="C24707" s="38" t="s">
        <v>29217</v>
      </c>
      <c r="D24707" s="38" t="str">
        <f>IFERROR(__xludf.DUMMYFUNCTION("REGEXREPLACE(C24707,""-\d+(.*)|--\d+(.*)"","""")"),"LES MARTRES-DE-VEYRE")</f>
        <v>LES MARTRES-DE-VEYRE</v>
      </c>
      <c r="E24707" s="38" t="s">
        <v>353</v>
      </c>
      <c r="F24707" s="38" t="s">
        <v>161</v>
      </c>
      <c r="G24707" s="49" t="str">
        <f t="shared" si="1"/>
        <v>63730</v>
      </c>
      <c r="H24707" s="49">
        <f t="shared" si="2"/>
        <v>63214</v>
      </c>
    </row>
    <row r="24708">
      <c r="A24708" s="48" t="s">
        <v>2010</v>
      </c>
      <c r="B24708" s="38">
        <v>49218.0</v>
      </c>
      <c r="C24708" s="38" t="s">
        <v>29218</v>
      </c>
      <c r="D24708" s="38" t="str">
        <f>IFERROR(__xludf.DUMMYFUNCTION("REGEXREPLACE(C24708,""-\d+(.*)|--\d+(.*)"","""")"),"MONTREVAULT")</f>
        <v>MONTREVAULT</v>
      </c>
      <c r="E24708" s="38" t="s">
        <v>653</v>
      </c>
      <c r="F24708" s="38" t="s">
        <v>180</v>
      </c>
      <c r="G24708" s="49" t="str">
        <f t="shared" si="1"/>
        <v>49110</v>
      </c>
      <c r="H24708" s="49">
        <f t="shared" si="2"/>
        <v>49218</v>
      </c>
    </row>
    <row r="24709">
      <c r="A24709" s="48" t="s">
        <v>7097</v>
      </c>
      <c r="B24709" s="38">
        <v>10381.0</v>
      </c>
      <c r="C24709" s="38" t="s">
        <v>29219</v>
      </c>
      <c r="D24709" s="38" t="str">
        <f>IFERROR(__xludf.DUMMYFUNCTION("REGEXREPLACE(C24709,""-\d+(.*)|--\d+(.*)"","""")"),"TORVILLIERS")</f>
        <v>TORVILLIERS</v>
      </c>
      <c r="E24709" s="38" t="s">
        <v>147</v>
      </c>
      <c r="F24709" s="38" t="s">
        <v>130</v>
      </c>
      <c r="G24709" s="49" t="str">
        <f t="shared" si="1"/>
        <v>10440</v>
      </c>
      <c r="H24709" s="49">
        <f t="shared" si="2"/>
        <v>10381</v>
      </c>
    </row>
    <row r="24710">
      <c r="A24710" s="48" t="s">
        <v>2156</v>
      </c>
      <c r="B24710" s="38">
        <v>26238.0</v>
      </c>
      <c r="C24710" s="38" t="s">
        <v>29220</v>
      </c>
      <c r="D24710" s="38" t="str">
        <f>IFERROR(__xludf.DUMMYFUNCTION("REGEXREPLACE(C24710,""-\d+(.*)|--\d+(.*)"","""")"),"LES PILLES")</f>
        <v>LES PILLES</v>
      </c>
      <c r="E24710" s="38" t="s">
        <v>126</v>
      </c>
      <c r="F24710" s="38" t="s">
        <v>102</v>
      </c>
      <c r="G24710" s="49" t="str">
        <f t="shared" si="1"/>
        <v>26110</v>
      </c>
      <c r="H24710" s="49">
        <f t="shared" si="2"/>
        <v>26238</v>
      </c>
    </row>
    <row r="24711">
      <c r="A24711" s="48" t="s">
        <v>1940</v>
      </c>
      <c r="B24711" s="38">
        <v>51164.0</v>
      </c>
      <c r="C24711" s="38" t="s">
        <v>29221</v>
      </c>
      <c r="D24711" s="38" t="str">
        <f>IFERROR(__xludf.DUMMYFUNCTION("REGEXREPLACE(C24711,""-\d+(.*)|--\d+(.*)"","""")"),"CONNANTRAY-VAUREFROY")</f>
        <v>CONNANTRAY-VAUREFROY</v>
      </c>
      <c r="E24711" s="38" t="s">
        <v>129</v>
      </c>
      <c r="F24711" s="38" t="s">
        <v>130</v>
      </c>
      <c r="G24711" s="49" t="str">
        <f t="shared" si="1"/>
        <v>51230</v>
      </c>
      <c r="H24711" s="49">
        <f t="shared" si="2"/>
        <v>51164</v>
      </c>
    </row>
    <row r="24712">
      <c r="A24712" s="48" t="s">
        <v>2393</v>
      </c>
      <c r="B24712" s="38">
        <v>38526.0</v>
      </c>
      <c r="C24712" s="38" t="s">
        <v>29222</v>
      </c>
      <c r="D24712" s="38" t="str">
        <f>IFERROR(__xludf.DUMMYFUNCTION("REGEXREPLACE(C24712,""-\d+(.*)|--\d+(.*)"","""")"),"VATILIEU")</f>
        <v>VATILIEU</v>
      </c>
      <c r="E24712" s="38" t="s">
        <v>101</v>
      </c>
      <c r="F24712" s="38" t="s">
        <v>102</v>
      </c>
      <c r="G24712" s="49" t="str">
        <f t="shared" si="1"/>
        <v>38470</v>
      </c>
      <c r="H24712" s="49">
        <f t="shared" si="2"/>
        <v>38526</v>
      </c>
    </row>
    <row r="24713">
      <c r="A24713" s="48" t="s">
        <v>26042</v>
      </c>
      <c r="B24713" s="38">
        <v>26155.0</v>
      </c>
      <c r="C24713" s="38" t="s">
        <v>29223</v>
      </c>
      <c r="D24713" s="38" t="str">
        <f>IFERROR(__xludf.DUMMYFUNCTION("REGEXREPLACE(C24713,""-\d+(.*)|--\d+(.*)"","""")"),"LAPEYROUSE-MORNAY")</f>
        <v>LAPEYROUSE-MORNAY</v>
      </c>
      <c r="E24713" s="38" t="s">
        <v>126</v>
      </c>
      <c r="F24713" s="38" t="s">
        <v>102</v>
      </c>
      <c r="G24713" s="49" t="str">
        <f t="shared" si="1"/>
        <v>26210</v>
      </c>
      <c r="H24713" s="49">
        <f t="shared" si="2"/>
        <v>26155</v>
      </c>
    </row>
    <row r="24714">
      <c r="A24714" s="48" t="s">
        <v>1487</v>
      </c>
      <c r="B24714" s="38">
        <v>37259.0</v>
      </c>
      <c r="C24714" s="38" t="s">
        <v>29224</v>
      </c>
      <c r="D24714" s="38" t="str">
        <f>IFERROR(__xludf.DUMMYFUNCTION("REGEXREPLACE(C24714,""-\d+(.*)|--\d+(.*)"","""")"),"TOURNON-SAINT-PIERRE")</f>
        <v>TOURNON-SAINT-PIERRE</v>
      </c>
      <c r="E24714" s="38" t="s">
        <v>205</v>
      </c>
      <c r="F24714" s="38" t="s">
        <v>123</v>
      </c>
      <c r="G24714" s="49" t="str">
        <f t="shared" si="1"/>
        <v>37290</v>
      </c>
      <c r="H24714" s="49">
        <f t="shared" si="2"/>
        <v>37259</v>
      </c>
    </row>
    <row r="24715">
      <c r="A24715" s="48" t="s">
        <v>4274</v>
      </c>
      <c r="B24715" s="38">
        <v>52470.0</v>
      </c>
      <c r="C24715" s="38" t="s">
        <v>29225</v>
      </c>
      <c r="D24715" s="38" t="str">
        <f>IFERROR(__xludf.DUMMYFUNCTION("REGEXREPLACE(C24715,""-\d+(.*)|--\d+(.*)"","""")"),"SERQUEUX")</f>
        <v>SERQUEUX</v>
      </c>
      <c r="E24715" s="38" t="s">
        <v>234</v>
      </c>
      <c r="F24715" s="38" t="s">
        <v>130</v>
      </c>
      <c r="G24715" s="49" t="str">
        <f t="shared" si="1"/>
        <v>52400</v>
      </c>
      <c r="H24715" s="49">
        <f t="shared" si="2"/>
        <v>52470</v>
      </c>
    </row>
    <row r="24716">
      <c r="A24716" s="48" t="s">
        <v>1779</v>
      </c>
      <c r="B24716" s="38">
        <v>90021.0</v>
      </c>
      <c r="C24716" s="38" t="s">
        <v>11858</v>
      </c>
      <c r="D24716" s="38" t="str">
        <f>IFERROR(__xludf.DUMMYFUNCTION("REGEXREPLACE(C24716,""-\d+(.*)|--\d+(.*)"","""")"),"CHARMOIS")</f>
        <v>CHARMOIS</v>
      </c>
      <c r="E24716" s="38" t="s">
        <v>1283</v>
      </c>
      <c r="F24716" s="38" t="s">
        <v>214</v>
      </c>
      <c r="G24716" s="49" t="str">
        <f t="shared" si="1"/>
        <v>90140</v>
      </c>
      <c r="H24716" s="49">
        <f t="shared" si="2"/>
        <v>90021</v>
      </c>
    </row>
    <row r="24717">
      <c r="A24717" s="48" t="s">
        <v>29226</v>
      </c>
      <c r="B24717" s="38">
        <v>71105.0</v>
      </c>
      <c r="C24717" s="38" t="s">
        <v>29227</v>
      </c>
      <c r="D24717" s="38" t="str">
        <f>IFERROR(__xludf.DUMMYFUNCTION("REGEXREPLACE(C24717,""-\d+(.*)|--\d+(.*)"","""")"),"CHARNAY-LES-MACON")</f>
        <v>CHARNAY-LES-MACON</v>
      </c>
      <c r="E24717" s="38" t="s">
        <v>344</v>
      </c>
      <c r="F24717" s="38" t="s">
        <v>106</v>
      </c>
      <c r="G24717" s="49" t="str">
        <f t="shared" si="1"/>
        <v>71850</v>
      </c>
      <c r="H24717" s="49">
        <f t="shared" si="2"/>
        <v>71105</v>
      </c>
    </row>
    <row r="24718">
      <c r="A24718" s="48" t="s">
        <v>23069</v>
      </c>
      <c r="B24718" s="38">
        <v>19047.0</v>
      </c>
      <c r="C24718" s="38" t="s">
        <v>29228</v>
      </c>
      <c r="D24718" s="38" t="str">
        <f>IFERROR(__xludf.DUMMYFUNCTION("REGEXREPLACE(C24718,""-\d+(.*)|--\d+(.*)"","""")"),"CHARTRIER-FERRIERE")</f>
        <v>CHARTRIER-FERRIERE</v>
      </c>
      <c r="E24718" s="38" t="s">
        <v>271</v>
      </c>
      <c r="F24718" s="38" t="s">
        <v>98</v>
      </c>
      <c r="G24718" s="49" t="str">
        <f t="shared" si="1"/>
        <v>19600</v>
      </c>
      <c r="H24718" s="49">
        <f t="shared" si="2"/>
        <v>19047</v>
      </c>
    </row>
    <row r="24719">
      <c r="A24719" s="48" t="s">
        <v>5640</v>
      </c>
      <c r="B24719" s="38">
        <v>2343.0</v>
      </c>
      <c r="C24719" s="38" t="s">
        <v>29229</v>
      </c>
      <c r="D24719" s="38" t="str">
        <f>IFERROR(__xludf.DUMMYFUNCTION("REGEXREPLACE(C24719,""-\d+(.*)|--\d+(.*)"","""")"),"GERMAINE")</f>
        <v>GERMAINE</v>
      </c>
      <c r="E24719" s="38" t="s">
        <v>191</v>
      </c>
      <c r="F24719" s="38" t="s">
        <v>113</v>
      </c>
      <c r="G24719" s="49" t="str">
        <f t="shared" si="1"/>
        <v>02590</v>
      </c>
      <c r="H24719" s="49" t="str">
        <f t="shared" si="2"/>
        <v>02343</v>
      </c>
    </row>
    <row r="24720">
      <c r="A24720" s="48" t="s">
        <v>2229</v>
      </c>
      <c r="B24720" s="38">
        <v>64380.0</v>
      </c>
      <c r="C24720" s="38" t="s">
        <v>29230</v>
      </c>
      <c r="D24720" s="38" t="str">
        <f>IFERROR(__xludf.DUMMYFUNCTION("REGEXREPLACE(C24720,""-\d+(.*)|--\d+(.*)"","""")"),"MERACQ")</f>
        <v>MERACQ</v>
      </c>
      <c r="E24720" s="38" t="s">
        <v>268</v>
      </c>
      <c r="F24720" s="38" t="s">
        <v>252</v>
      </c>
      <c r="G24720" s="49" t="str">
        <f t="shared" si="1"/>
        <v>64410</v>
      </c>
      <c r="H24720" s="49">
        <f t="shared" si="2"/>
        <v>64380</v>
      </c>
    </row>
    <row r="24721">
      <c r="A24721" s="48" t="s">
        <v>2128</v>
      </c>
      <c r="B24721" s="38">
        <v>2479.0</v>
      </c>
      <c r="C24721" s="38" t="s">
        <v>29231</v>
      </c>
      <c r="D24721" s="38" t="str">
        <f>IFERROR(__xludf.DUMMYFUNCTION("REGEXREPLACE(C24721,""-\d+(.*)|--\d+(.*)"","""")"),"MERVAL")</f>
        <v>MERVAL</v>
      </c>
      <c r="E24721" s="38" t="s">
        <v>191</v>
      </c>
      <c r="F24721" s="38" t="s">
        <v>113</v>
      </c>
      <c r="G24721" s="49" t="str">
        <f t="shared" si="1"/>
        <v>02160</v>
      </c>
      <c r="H24721" s="49" t="str">
        <f t="shared" si="2"/>
        <v>02479</v>
      </c>
    </row>
    <row r="24722">
      <c r="A24722" s="48" t="s">
        <v>732</v>
      </c>
      <c r="B24722" s="38">
        <v>10293.0</v>
      </c>
      <c r="C24722" s="38" t="s">
        <v>29232</v>
      </c>
      <c r="D24722" s="38" t="str">
        <f>IFERROR(__xludf.DUMMYFUNCTION("REGEXREPLACE(C24722,""-\d+(.*)|--\d+(.*)"","""")"),"POIVRES")</f>
        <v>POIVRES</v>
      </c>
      <c r="E24722" s="38" t="s">
        <v>147</v>
      </c>
      <c r="F24722" s="38" t="s">
        <v>130</v>
      </c>
      <c r="G24722" s="49" t="str">
        <f t="shared" si="1"/>
        <v>10700</v>
      </c>
      <c r="H24722" s="49">
        <f t="shared" si="2"/>
        <v>10293</v>
      </c>
    </row>
    <row r="24723">
      <c r="A24723" s="48" t="s">
        <v>2519</v>
      </c>
      <c r="B24723" s="38">
        <v>80214.0</v>
      </c>
      <c r="C24723" s="38" t="s">
        <v>29233</v>
      </c>
      <c r="D24723" s="38" t="str">
        <f>IFERROR(__xludf.DUMMYFUNCTION("REGEXREPLACE(C24723,""-\d+(.*)|--\d+(.*)"","""")"),"COULLEMELLE")</f>
        <v>COULLEMELLE</v>
      </c>
      <c r="E24723" s="38" t="s">
        <v>224</v>
      </c>
      <c r="F24723" s="38" t="s">
        <v>113</v>
      </c>
      <c r="G24723" s="49" t="str">
        <f t="shared" si="1"/>
        <v>80250</v>
      </c>
      <c r="H24723" s="49">
        <f t="shared" si="2"/>
        <v>80214</v>
      </c>
    </row>
    <row r="24724">
      <c r="A24724" s="48" t="s">
        <v>2761</v>
      </c>
      <c r="B24724" s="38">
        <v>7017.0</v>
      </c>
      <c r="C24724" s="38" t="s">
        <v>29234</v>
      </c>
      <c r="D24724" s="38" t="str">
        <f>IFERROR(__xludf.DUMMYFUNCTION("REGEXREPLACE(C24724,""-\d+(.*)|--\d+(.*)"","""")"),"LES ASSIONS")</f>
        <v>LES ASSIONS</v>
      </c>
      <c r="E24724" s="38" t="s">
        <v>144</v>
      </c>
      <c r="F24724" s="38" t="s">
        <v>102</v>
      </c>
      <c r="G24724" s="49" t="str">
        <f t="shared" si="1"/>
        <v>07140</v>
      </c>
      <c r="H24724" s="49" t="str">
        <f t="shared" si="2"/>
        <v>07017</v>
      </c>
    </row>
    <row r="24725">
      <c r="A24725" s="48" t="s">
        <v>1174</v>
      </c>
      <c r="B24725" s="38">
        <v>51472.0</v>
      </c>
      <c r="C24725" s="38" t="s">
        <v>29235</v>
      </c>
      <c r="D24725" s="38" t="str">
        <f>IFERROR(__xludf.DUMMYFUNCTION("REGEXREPLACE(C24725,""-\d+(.*)|--\d+(.*)"","""")"),"SAINT-AMAND-SUR-FION")</f>
        <v>SAINT-AMAND-SUR-FION</v>
      </c>
      <c r="E24725" s="38" t="s">
        <v>129</v>
      </c>
      <c r="F24725" s="38" t="s">
        <v>130</v>
      </c>
      <c r="G24725" s="49" t="str">
        <f t="shared" si="1"/>
        <v>51300</v>
      </c>
      <c r="H24725" s="49">
        <f t="shared" si="2"/>
        <v>51472</v>
      </c>
    </row>
    <row r="24726">
      <c r="A24726" s="48" t="s">
        <v>29236</v>
      </c>
      <c r="B24726" s="38">
        <v>56121.0</v>
      </c>
      <c r="C24726" s="38" t="s">
        <v>29237</v>
      </c>
      <c r="D24726" s="38" t="str">
        <f>IFERROR(__xludf.DUMMYFUNCTION("REGEXREPLACE(C24726,""-\d+(.*)|--\d+(.*)"","""")"),"LORIENT")</f>
        <v>LORIENT</v>
      </c>
      <c r="E24726" s="38" t="s">
        <v>173</v>
      </c>
      <c r="F24726" s="38" t="s">
        <v>90</v>
      </c>
      <c r="G24726" s="49" t="str">
        <f t="shared" si="1"/>
        <v>56100</v>
      </c>
      <c r="H24726" s="49">
        <f t="shared" si="2"/>
        <v>56121</v>
      </c>
    </row>
    <row r="24727">
      <c r="A24727" s="48" t="s">
        <v>29238</v>
      </c>
      <c r="B24727" s="38">
        <v>95371.0</v>
      </c>
      <c r="C24727" s="38" t="s">
        <v>29239</v>
      </c>
      <c r="D24727" s="38" t="str">
        <f>IFERROR(__xludf.DUMMYFUNCTION("REGEXREPLACE(C24727,""-\d+(.*)|--\d+(.*)"","""")"),"MARLY-LA-VILLE")</f>
        <v>MARLY-LA-VILLE</v>
      </c>
      <c r="E24727" s="38" t="s">
        <v>541</v>
      </c>
      <c r="F24727" s="38" t="s">
        <v>245</v>
      </c>
      <c r="G24727" s="49" t="str">
        <f t="shared" si="1"/>
        <v>95670</v>
      </c>
      <c r="H24727" s="49">
        <f t="shared" si="2"/>
        <v>95371</v>
      </c>
    </row>
    <row r="24728">
      <c r="A24728" s="48" t="s">
        <v>3914</v>
      </c>
      <c r="B24728" s="38">
        <v>34034.0</v>
      </c>
      <c r="C24728" s="38" t="s">
        <v>20963</v>
      </c>
      <c r="D24728" s="38" t="str">
        <f>IFERROR(__xludf.DUMMYFUNCTION("REGEXREPLACE(C24728,""-\d+(.*)|--\d+(.*)"","""")"),"BOISSET")</f>
        <v>BOISSET</v>
      </c>
      <c r="E24728" s="38" t="s">
        <v>118</v>
      </c>
      <c r="F24728" s="38" t="s">
        <v>119</v>
      </c>
      <c r="G24728" s="49" t="str">
        <f t="shared" si="1"/>
        <v>34220</v>
      </c>
      <c r="H24728" s="49">
        <f t="shared" si="2"/>
        <v>34034</v>
      </c>
    </row>
    <row r="24729">
      <c r="A24729" s="48" t="s">
        <v>3545</v>
      </c>
      <c r="B24729" s="38">
        <v>17199.0</v>
      </c>
      <c r="C24729" s="38" t="s">
        <v>29240</v>
      </c>
      <c r="D24729" s="38" t="str">
        <f>IFERROR(__xludf.DUMMYFUNCTION("REGEXREPLACE(C24729,""-\d+(.*)|--\d+(.*)"","""")"),"JUSSAS")</f>
        <v>JUSSAS</v>
      </c>
      <c r="E24729" s="38" t="s">
        <v>488</v>
      </c>
      <c r="F24729" s="38" t="s">
        <v>338</v>
      </c>
      <c r="G24729" s="49" t="str">
        <f t="shared" si="1"/>
        <v>17130</v>
      </c>
      <c r="H24729" s="49">
        <f t="shared" si="2"/>
        <v>17199</v>
      </c>
    </row>
    <row r="24730">
      <c r="A24730" s="48" t="s">
        <v>19257</v>
      </c>
      <c r="B24730" s="38">
        <v>69085.0</v>
      </c>
      <c r="C24730" s="38" t="s">
        <v>29241</v>
      </c>
      <c r="D24730" s="38" t="str">
        <f>IFERROR(__xludf.DUMMYFUNCTION("REGEXREPLACE(C24730,""-\d+(.*)|--\d+(.*)"","""")"),"FLEURIEU-SUR-SAONE")</f>
        <v>FLEURIEU-SUR-SAONE</v>
      </c>
      <c r="E24730" s="38" t="s">
        <v>350</v>
      </c>
      <c r="F24730" s="38" t="s">
        <v>102</v>
      </c>
      <c r="G24730" s="49" t="str">
        <f t="shared" si="1"/>
        <v>69250</v>
      </c>
      <c r="H24730" s="49">
        <f t="shared" si="2"/>
        <v>69085</v>
      </c>
    </row>
    <row r="24731">
      <c r="A24731" s="48" t="s">
        <v>14151</v>
      </c>
      <c r="B24731" s="38">
        <v>53095.0</v>
      </c>
      <c r="C24731" s="38" t="s">
        <v>29242</v>
      </c>
      <c r="D24731" s="38" t="str">
        <f>IFERROR(__xludf.DUMMYFUNCTION("REGEXREPLACE(C24731,""-\d+(.*)|--\d+(.*)"","""")"),"EPINEUX-LE-SEGUIN")</f>
        <v>EPINEUX-LE-SEGUIN</v>
      </c>
      <c r="E24731" s="38" t="s">
        <v>518</v>
      </c>
      <c r="F24731" s="38" t="s">
        <v>180</v>
      </c>
      <c r="G24731" s="49" t="str">
        <f t="shared" si="1"/>
        <v>53340</v>
      </c>
      <c r="H24731" s="49">
        <f t="shared" si="2"/>
        <v>53095</v>
      </c>
    </row>
    <row r="24732">
      <c r="A24732" s="48" t="s">
        <v>1252</v>
      </c>
      <c r="B24732" s="38">
        <v>72204.0</v>
      </c>
      <c r="C24732" s="38" t="s">
        <v>29243</v>
      </c>
      <c r="D24732" s="38" t="str">
        <f>IFERROR(__xludf.DUMMYFUNCTION("REGEXREPLACE(C24732,""-\d+(.*)|--\d+(.*)"","""")"),"MONTAILLE")</f>
        <v>MONTAILLE</v>
      </c>
      <c r="E24732" s="38" t="s">
        <v>521</v>
      </c>
      <c r="F24732" s="38" t="s">
        <v>180</v>
      </c>
      <c r="G24732" s="49" t="str">
        <f t="shared" si="1"/>
        <v>72120</v>
      </c>
      <c r="H24732" s="49">
        <f t="shared" si="2"/>
        <v>72204</v>
      </c>
    </row>
    <row r="24733">
      <c r="A24733" s="48" t="s">
        <v>7657</v>
      </c>
      <c r="B24733" s="38">
        <v>80042.0</v>
      </c>
      <c r="C24733" s="38" t="s">
        <v>29244</v>
      </c>
      <c r="D24733" s="38" t="str">
        <f>IFERROR(__xludf.DUMMYFUNCTION("REGEXREPLACE(C24733,""-\d+(.*)|--\d+(.*)"","""")"),"AUTHEUX")</f>
        <v>AUTHEUX</v>
      </c>
      <c r="E24733" s="38" t="s">
        <v>224</v>
      </c>
      <c r="F24733" s="38" t="s">
        <v>113</v>
      </c>
      <c r="G24733" s="49" t="str">
        <f t="shared" si="1"/>
        <v>80600</v>
      </c>
      <c r="H24733" s="49">
        <f t="shared" si="2"/>
        <v>80042</v>
      </c>
    </row>
    <row r="24734">
      <c r="A24734" s="48" t="s">
        <v>11050</v>
      </c>
      <c r="B24734" s="38">
        <v>38114.0</v>
      </c>
      <c r="C24734" s="38" t="s">
        <v>29245</v>
      </c>
      <c r="D24734" s="38" t="str">
        <f>IFERROR(__xludf.DUMMYFUNCTION("REGEXREPLACE(C24734,""-\d+(.*)|--\d+(.*)"","""")"),"CLONAS-SUR-VAREZE")</f>
        <v>CLONAS-SUR-VAREZE</v>
      </c>
      <c r="E24734" s="38" t="s">
        <v>101</v>
      </c>
      <c r="F24734" s="38" t="s">
        <v>102</v>
      </c>
      <c r="G24734" s="49" t="str">
        <f t="shared" si="1"/>
        <v>38550</v>
      </c>
      <c r="H24734" s="49">
        <f t="shared" si="2"/>
        <v>38114</v>
      </c>
    </row>
    <row r="24735">
      <c r="A24735" s="48" t="s">
        <v>2031</v>
      </c>
      <c r="B24735" s="38">
        <v>62756.0</v>
      </c>
      <c r="C24735" s="38" t="s">
        <v>29246</v>
      </c>
      <c r="D24735" s="38" t="str">
        <f>IFERROR(__xludf.DUMMYFUNCTION("REGEXREPLACE(C24735,""-\d+(.*)|--\d+(.*)"","""")"),"SAINTE-MARIE-KERQUE")</f>
        <v>SAINTE-MARIE-KERQUE</v>
      </c>
      <c r="E24735" s="38" t="s">
        <v>109</v>
      </c>
      <c r="F24735" s="38" t="s">
        <v>86</v>
      </c>
      <c r="G24735" s="49" t="str">
        <f t="shared" si="1"/>
        <v>62370</v>
      </c>
      <c r="H24735" s="49">
        <f t="shared" si="2"/>
        <v>62756</v>
      </c>
    </row>
    <row r="24736">
      <c r="A24736" s="48" t="s">
        <v>522</v>
      </c>
      <c r="B24736" s="38">
        <v>39153.0</v>
      </c>
      <c r="C24736" s="38" t="s">
        <v>4653</v>
      </c>
      <c r="D24736" s="38" t="str">
        <f>IFERROR(__xludf.DUMMYFUNCTION("REGEXREPLACE(C24736,""-\d+(.*)|--\d+(.*)"","""")"),"CIZE")</f>
        <v>CIZE</v>
      </c>
      <c r="E24736" s="38" t="s">
        <v>400</v>
      </c>
      <c r="F24736" s="38" t="s">
        <v>214</v>
      </c>
      <c r="G24736" s="49" t="str">
        <f t="shared" si="1"/>
        <v>39300</v>
      </c>
      <c r="H24736" s="49">
        <f t="shared" si="2"/>
        <v>39153</v>
      </c>
    </row>
    <row r="24737">
      <c r="A24737" s="48" t="s">
        <v>562</v>
      </c>
      <c r="B24737" s="38">
        <v>54208.0</v>
      </c>
      <c r="C24737" s="38" t="s">
        <v>2945</v>
      </c>
      <c r="D24737" s="38" t="str">
        <f>IFERROR(__xludf.DUMMYFUNCTION("REGEXREPLACE(C24737,""-\d+(.*)|--\d+(.*)"","""")"),"FRANCHEVILLE")</f>
        <v>FRANCHEVILLE</v>
      </c>
      <c r="E24737" s="38" t="s">
        <v>548</v>
      </c>
      <c r="F24737" s="38" t="s">
        <v>195</v>
      </c>
      <c r="G24737" s="49" t="str">
        <f t="shared" si="1"/>
        <v>54200</v>
      </c>
      <c r="H24737" s="49">
        <f t="shared" si="2"/>
        <v>54208</v>
      </c>
    </row>
    <row r="24738">
      <c r="A24738" s="48" t="s">
        <v>1896</v>
      </c>
      <c r="B24738" s="38">
        <v>51461.0</v>
      </c>
      <c r="C24738" s="38" t="s">
        <v>29247</v>
      </c>
      <c r="D24738" s="38" t="str">
        <f>IFERROR(__xludf.DUMMYFUNCTION("REGEXREPLACE(C24738,""-\d+(.*)|--\d+(.*)"","""")"),"RILLY-LA-MONTAGNE")</f>
        <v>RILLY-LA-MONTAGNE</v>
      </c>
      <c r="E24738" s="38" t="s">
        <v>129</v>
      </c>
      <c r="F24738" s="38" t="s">
        <v>130</v>
      </c>
      <c r="G24738" s="49" t="str">
        <f t="shared" si="1"/>
        <v>51500</v>
      </c>
      <c r="H24738" s="49">
        <f t="shared" si="2"/>
        <v>51461</v>
      </c>
    </row>
    <row r="24739">
      <c r="A24739" s="48" t="s">
        <v>2270</v>
      </c>
      <c r="B24739" s="38">
        <v>32300.0</v>
      </c>
      <c r="C24739" s="38" t="s">
        <v>29248</v>
      </c>
      <c r="D24739" s="38" t="str">
        <f>IFERROR(__xludf.DUMMYFUNCTION("REGEXREPLACE(C24739,""-\d+(.*)|--\d+(.*)"","""")"),"ORBESSAN")</f>
        <v>ORBESSAN</v>
      </c>
      <c r="E24739" s="38" t="s">
        <v>440</v>
      </c>
      <c r="F24739" s="38" t="s">
        <v>94</v>
      </c>
      <c r="G24739" s="49" t="str">
        <f t="shared" si="1"/>
        <v>32260</v>
      </c>
      <c r="H24739" s="49">
        <f t="shared" si="2"/>
        <v>32300</v>
      </c>
    </row>
    <row r="24740">
      <c r="A24740" s="48" t="s">
        <v>1278</v>
      </c>
      <c r="B24740" s="38">
        <v>83108.0</v>
      </c>
      <c r="C24740" s="38" t="s">
        <v>29249</v>
      </c>
      <c r="D24740" s="38" t="str">
        <f>IFERROR(__xludf.DUMMYFUNCTION("REGEXREPLACE(C24740,""-\d+(.*)|--\d+(.*)"","""")"),"LA ROQUEBRUSSANNE")</f>
        <v>LA ROQUEBRUSSANNE</v>
      </c>
      <c r="E24740" s="38" t="s">
        <v>813</v>
      </c>
      <c r="F24740" s="38" t="s">
        <v>228</v>
      </c>
      <c r="G24740" s="49" t="str">
        <f t="shared" si="1"/>
        <v>83136</v>
      </c>
      <c r="H24740" s="49">
        <f t="shared" si="2"/>
        <v>83108</v>
      </c>
    </row>
    <row r="24741">
      <c r="A24741" s="48" t="s">
        <v>1254</v>
      </c>
      <c r="B24741" s="38">
        <v>72216.0</v>
      </c>
      <c r="C24741" s="38" t="s">
        <v>29250</v>
      </c>
      <c r="D24741" s="38" t="str">
        <f>IFERROR(__xludf.DUMMYFUNCTION("REGEXREPLACE(C24741,""-\d+(.*)|--\d+(.*)"","""")"),"NEUVILLALAIS")</f>
        <v>NEUVILLALAIS</v>
      </c>
      <c r="E24741" s="38" t="s">
        <v>521</v>
      </c>
      <c r="F24741" s="38" t="s">
        <v>180</v>
      </c>
      <c r="G24741" s="49" t="str">
        <f t="shared" si="1"/>
        <v>72240</v>
      </c>
      <c r="H24741" s="49">
        <f t="shared" si="2"/>
        <v>72216</v>
      </c>
    </row>
    <row r="24742">
      <c r="A24742" s="48" t="s">
        <v>9991</v>
      </c>
      <c r="B24742" s="38">
        <v>9287.0</v>
      </c>
      <c r="C24742" s="38" t="s">
        <v>29251</v>
      </c>
      <c r="D24742" s="38" t="str">
        <f>IFERROR(__xludf.DUMMYFUNCTION("REGEXREPLACE(C24742,""-\d+(.*)|--\d+(.*)"","""")"),"SENCONAC")</f>
        <v>SENCONAC</v>
      </c>
      <c r="E24742" s="38" t="s">
        <v>238</v>
      </c>
      <c r="F24742" s="38" t="s">
        <v>94</v>
      </c>
      <c r="G24742" s="49" t="str">
        <f t="shared" si="1"/>
        <v>09250</v>
      </c>
      <c r="H24742" s="49" t="str">
        <f t="shared" si="2"/>
        <v>09287</v>
      </c>
    </row>
    <row r="24743">
      <c r="A24743" s="48" t="s">
        <v>8199</v>
      </c>
      <c r="B24743" s="38">
        <v>63030.0</v>
      </c>
      <c r="C24743" s="38" t="s">
        <v>29252</v>
      </c>
      <c r="D24743" s="38" t="str">
        <f>IFERROR(__xludf.DUMMYFUNCTION("REGEXREPLACE(C24743,""-\d+(.*)|--\d+(.*)"","""")"),"BAS-ET-LEZAT")</f>
        <v>BAS-ET-LEZAT</v>
      </c>
      <c r="E24743" s="38" t="s">
        <v>353</v>
      </c>
      <c r="F24743" s="38" t="s">
        <v>161</v>
      </c>
      <c r="G24743" s="49" t="str">
        <f t="shared" si="1"/>
        <v>63310</v>
      </c>
      <c r="H24743" s="49">
        <f t="shared" si="2"/>
        <v>63030</v>
      </c>
    </row>
    <row r="24744">
      <c r="A24744" s="48" t="s">
        <v>1426</v>
      </c>
      <c r="B24744" s="38">
        <v>61396.0</v>
      </c>
      <c r="C24744" s="38" t="s">
        <v>29253</v>
      </c>
      <c r="D24744" s="38" t="str">
        <f>IFERROR(__xludf.DUMMYFUNCTION("REGEXREPLACE(C24744,""-\d+(.*)|--\d+(.*)"","""")"),"SAINT-GERMAIN-DE-MARTIGNY")</f>
        <v>SAINT-GERMAIN-DE-MARTIGNY</v>
      </c>
      <c r="E24744" s="38" t="s">
        <v>141</v>
      </c>
      <c r="F24744" s="38" t="s">
        <v>138</v>
      </c>
      <c r="G24744" s="49" t="str">
        <f t="shared" si="1"/>
        <v>61560</v>
      </c>
      <c r="H24744" s="49">
        <f t="shared" si="2"/>
        <v>61396</v>
      </c>
    </row>
    <row r="24745">
      <c r="A24745" s="48" t="s">
        <v>3434</v>
      </c>
      <c r="B24745" s="38">
        <v>11030.0</v>
      </c>
      <c r="C24745" s="38" t="s">
        <v>29254</v>
      </c>
      <c r="D24745" s="38" t="str">
        <f>IFERROR(__xludf.DUMMYFUNCTION("REGEXREPLACE(C24745,""-\d+(.*)|--\d+(.*)"","""")"),"BELFLOU")</f>
        <v>BELFLOU</v>
      </c>
      <c r="E24745" s="38" t="s">
        <v>278</v>
      </c>
      <c r="F24745" s="38" t="s">
        <v>119</v>
      </c>
      <c r="G24745" s="49" t="str">
        <f t="shared" si="1"/>
        <v>11410</v>
      </c>
      <c r="H24745" s="49">
        <f t="shared" si="2"/>
        <v>11030</v>
      </c>
    </row>
    <row r="24746">
      <c r="A24746" s="48" t="s">
        <v>509</v>
      </c>
      <c r="B24746" s="38">
        <v>28391.0</v>
      </c>
      <c r="C24746" s="38" t="s">
        <v>29255</v>
      </c>
      <c r="D24746" s="38" t="str">
        <f>IFERROR(__xludf.DUMMYFUNCTION("REGEXREPLACE(C24746,""-\d+(.*)|--\d+(.*)"","""")"),"TOURY")</f>
        <v>TOURY</v>
      </c>
      <c r="E24746" s="38" t="s">
        <v>300</v>
      </c>
      <c r="F24746" s="38" t="s">
        <v>123</v>
      </c>
      <c r="G24746" s="49" t="str">
        <f t="shared" si="1"/>
        <v>28310</v>
      </c>
      <c r="H24746" s="49">
        <f t="shared" si="2"/>
        <v>28391</v>
      </c>
    </row>
    <row r="24747">
      <c r="A24747" s="48" t="s">
        <v>1526</v>
      </c>
      <c r="B24747" s="38">
        <v>60521.0</v>
      </c>
      <c r="C24747" s="38" t="s">
        <v>29256</v>
      </c>
      <c r="D24747" s="38" t="str">
        <f>IFERROR(__xludf.DUMMYFUNCTION("REGEXREPLACE(C24747,""-\d+(.*)|--\d+(.*)"","""")"),"QUINCAMPOIX-FLEUZY")</f>
        <v>QUINCAMPOIX-FLEUZY</v>
      </c>
      <c r="E24747" s="38" t="s">
        <v>112</v>
      </c>
      <c r="F24747" s="38" t="s">
        <v>113</v>
      </c>
      <c r="G24747" s="49" t="str">
        <f t="shared" si="1"/>
        <v>60220</v>
      </c>
      <c r="H24747" s="49">
        <f t="shared" si="2"/>
        <v>60521</v>
      </c>
    </row>
    <row r="24748">
      <c r="A24748" s="48" t="s">
        <v>4499</v>
      </c>
      <c r="B24748" s="38">
        <v>25253.0</v>
      </c>
      <c r="C24748" s="38" t="s">
        <v>29257</v>
      </c>
      <c r="D24748" s="38" t="str">
        <f>IFERROR(__xludf.DUMMYFUNCTION("REGEXREPLACE(C24748,""-\d+(.*)|--\d+(.*)"","""")"),"FOURG")</f>
        <v>FOURG</v>
      </c>
      <c r="E24748" s="38" t="s">
        <v>213</v>
      </c>
      <c r="F24748" s="38" t="s">
        <v>214</v>
      </c>
      <c r="G24748" s="49" t="str">
        <f t="shared" si="1"/>
        <v>25440</v>
      </c>
      <c r="H24748" s="49">
        <f t="shared" si="2"/>
        <v>25253</v>
      </c>
    </row>
    <row r="24749">
      <c r="A24749" s="48" t="s">
        <v>1827</v>
      </c>
      <c r="B24749" s="38">
        <v>77402.0</v>
      </c>
      <c r="C24749" s="38" t="s">
        <v>10322</v>
      </c>
      <c r="D24749" s="38" t="str">
        <f>IFERROR(__xludf.DUMMYFUNCTION("REGEXREPLACE(C24749,""-\d+(.*)|--\d+(.*)"","""")"),"SAINT-BARTHELEMY")</f>
        <v>SAINT-BARTHELEMY</v>
      </c>
      <c r="E24749" s="38" t="s">
        <v>244</v>
      </c>
      <c r="F24749" s="38" t="s">
        <v>245</v>
      </c>
      <c r="G24749" s="49" t="str">
        <f t="shared" si="1"/>
        <v>77320</v>
      </c>
      <c r="H24749" s="49">
        <f t="shared" si="2"/>
        <v>77402</v>
      </c>
    </row>
    <row r="24750">
      <c r="A24750" s="48" t="s">
        <v>7602</v>
      </c>
      <c r="B24750" s="38">
        <v>11276.0</v>
      </c>
      <c r="C24750" s="38" t="s">
        <v>29258</v>
      </c>
      <c r="D24750" s="38" t="str">
        <f>IFERROR(__xludf.DUMMYFUNCTION("REGEXREPLACE(C24750,""-\d+(.*)|--\d+(.*)"","""")"),"PAZIOLS")</f>
        <v>PAZIOLS</v>
      </c>
      <c r="E24750" s="38" t="s">
        <v>278</v>
      </c>
      <c r="F24750" s="38" t="s">
        <v>119</v>
      </c>
      <c r="G24750" s="49" t="str">
        <f t="shared" si="1"/>
        <v>11350</v>
      </c>
      <c r="H24750" s="49">
        <f t="shared" si="2"/>
        <v>11276</v>
      </c>
    </row>
    <row r="24751">
      <c r="A24751" s="48" t="s">
        <v>1439</v>
      </c>
      <c r="B24751" s="38">
        <v>28349.0</v>
      </c>
      <c r="C24751" s="38" t="s">
        <v>29259</v>
      </c>
      <c r="D24751" s="38" t="str">
        <f>IFERROR(__xludf.DUMMYFUNCTION("REGEXREPLACE(C24751,""-\d+(.*)|--\d+(.*)"","""")"),"SAINT-LUCIEN")</f>
        <v>SAINT-LUCIEN</v>
      </c>
      <c r="E24751" s="38" t="s">
        <v>300</v>
      </c>
      <c r="F24751" s="38" t="s">
        <v>123</v>
      </c>
      <c r="G24751" s="49" t="str">
        <f t="shared" si="1"/>
        <v>28210</v>
      </c>
      <c r="H24751" s="49">
        <f t="shared" si="2"/>
        <v>28349</v>
      </c>
    </row>
    <row r="24752">
      <c r="A24752" s="48" t="s">
        <v>2411</v>
      </c>
      <c r="B24752" s="38">
        <v>37089.0</v>
      </c>
      <c r="C24752" s="38" t="s">
        <v>29260</v>
      </c>
      <c r="D24752" s="38" t="str">
        <f>IFERROR(__xludf.DUMMYFUNCTION("REGEXREPLACE(C24752,""-\d+(.*)|--\d+(.*)"","""")"),"CRAVANT-LES-COTEAUX")</f>
        <v>CRAVANT-LES-COTEAUX</v>
      </c>
      <c r="E24752" s="38" t="s">
        <v>205</v>
      </c>
      <c r="F24752" s="38" t="s">
        <v>123</v>
      </c>
      <c r="G24752" s="49" t="str">
        <f t="shared" si="1"/>
        <v>37500</v>
      </c>
      <c r="H24752" s="49">
        <f t="shared" si="2"/>
        <v>37089</v>
      </c>
    </row>
    <row r="24753">
      <c r="A24753" s="48" t="s">
        <v>6121</v>
      </c>
      <c r="B24753" s="38">
        <v>51160.0</v>
      </c>
      <c r="C24753" s="38" t="s">
        <v>29261</v>
      </c>
      <c r="D24753" s="38" t="str">
        <f>IFERROR(__xludf.DUMMYFUNCTION("REGEXREPLACE(C24753,""-\d+(.*)|--\d+(.*)"","""")"),"COMPERTRIX")</f>
        <v>COMPERTRIX</v>
      </c>
      <c r="E24753" s="38" t="s">
        <v>129</v>
      </c>
      <c r="F24753" s="38" t="s">
        <v>130</v>
      </c>
      <c r="G24753" s="49" t="str">
        <f t="shared" si="1"/>
        <v>51510</v>
      </c>
      <c r="H24753" s="49">
        <f t="shared" si="2"/>
        <v>51160</v>
      </c>
    </row>
    <row r="24754">
      <c r="A24754" s="48" t="s">
        <v>794</v>
      </c>
      <c r="B24754" s="38">
        <v>60544.0</v>
      </c>
      <c r="C24754" s="38" t="s">
        <v>25000</v>
      </c>
      <c r="D24754" s="38" t="str">
        <f>IFERROR(__xludf.DUMMYFUNCTION("REGEXREPLACE(C24754,""-\d+(.*)|--\d+(.*)"","""")"),"ROCQUENCOURT")</f>
        <v>ROCQUENCOURT</v>
      </c>
      <c r="E24754" s="38" t="s">
        <v>112</v>
      </c>
      <c r="F24754" s="38" t="s">
        <v>113</v>
      </c>
      <c r="G24754" s="49" t="str">
        <f t="shared" si="1"/>
        <v>60120</v>
      </c>
      <c r="H24754" s="49">
        <f t="shared" si="2"/>
        <v>60544</v>
      </c>
    </row>
    <row r="24755">
      <c r="A24755" s="48" t="s">
        <v>1758</v>
      </c>
      <c r="B24755" s="38">
        <v>65089.0</v>
      </c>
      <c r="C24755" s="38" t="s">
        <v>29262</v>
      </c>
      <c r="D24755" s="38" t="str">
        <f>IFERROR(__xludf.DUMMYFUNCTION("REGEXREPLACE(C24755,""-\d+(.*)|--\d+(.*)"","""")"),"BETPOUEY")</f>
        <v>BETPOUEY</v>
      </c>
      <c r="E24755" s="38" t="s">
        <v>200</v>
      </c>
      <c r="F24755" s="38" t="s">
        <v>94</v>
      </c>
      <c r="G24755" s="49" t="str">
        <f t="shared" si="1"/>
        <v>65120</v>
      </c>
      <c r="H24755" s="49">
        <f t="shared" si="2"/>
        <v>65089</v>
      </c>
    </row>
    <row r="24756">
      <c r="A24756" s="48" t="s">
        <v>3628</v>
      </c>
      <c r="B24756" s="38">
        <v>16357.0</v>
      </c>
      <c r="C24756" s="38" t="s">
        <v>16226</v>
      </c>
      <c r="D24756" s="38" t="str">
        <f>IFERROR(__xludf.DUMMYFUNCTION("REGEXREPLACE(C24756,""-\d+(.*)|--\d+(.*)"","""")"),"SAINT-VALLIER")</f>
        <v>SAINT-VALLIER</v>
      </c>
      <c r="E24756" s="38" t="s">
        <v>429</v>
      </c>
      <c r="F24756" s="38" t="s">
        <v>338</v>
      </c>
      <c r="G24756" s="49" t="str">
        <f t="shared" si="1"/>
        <v>16480</v>
      </c>
      <c r="H24756" s="49">
        <f t="shared" si="2"/>
        <v>16357</v>
      </c>
    </row>
    <row r="24757">
      <c r="A24757" s="48" t="s">
        <v>8695</v>
      </c>
      <c r="B24757" s="38">
        <v>62068.0</v>
      </c>
      <c r="C24757" s="38" t="s">
        <v>29263</v>
      </c>
      <c r="D24757" s="38" t="str">
        <f>IFERROR(__xludf.DUMMYFUNCTION("REGEXREPLACE(C24757,""-\d+(.*)|--\d+(.*)"","""")"),"AYETTE")</f>
        <v>AYETTE</v>
      </c>
      <c r="E24757" s="38" t="s">
        <v>109</v>
      </c>
      <c r="F24757" s="38" t="s">
        <v>86</v>
      </c>
      <c r="G24757" s="49" t="str">
        <f t="shared" si="1"/>
        <v>62116</v>
      </c>
      <c r="H24757" s="49">
        <f t="shared" si="2"/>
        <v>62068</v>
      </c>
    </row>
    <row r="24758">
      <c r="A24758" s="48" t="s">
        <v>1241</v>
      </c>
      <c r="B24758" s="38">
        <v>71503.0</v>
      </c>
      <c r="C24758" s="38" t="s">
        <v>29264</v>
      </c>
      <c r="D24758" s="38" t="str">
        <f>IFERROR(__xludf.DUMMYFUNCTION("REGEXREPLACE(C24758,""-\d+(.*)|--\d+(.*)"","""")"),"SAULES")</f>
        <v>SAULES</v>
      </c>
      <c r="E24758" s="38" t="s">
        <v>344</v>
      </c>
      <c r="F24758" s="38" t="s">
        <v>106</v>
      </c>
      <c r="G24758" s="49" t="str">
        <f t="shared" si="1"/>
        <v>71390</v>
      </c>
      <c r="H24758" s="49">
        <f t="shared" si="2"/>
        <v>71503</v>
      </c>
    </row>
    <row r="24759">
      <c r="A24759" s="48" t="s">
        <v>2683</v>
      </c>
      <c r="B24759" s="38">
        <v>81269.0</v>
      </c>
      <c r="C24759" s="38" t="s">
        <v>29265</v>
      </c>
      <c r="D24759" s="38" t="str">
        <f>IFERROR(__xludf.DUMMYFUNCTION("REGEXREPLACE(C24759,""-\d+(.*)|--\d+(.*)"","""")"),"SAINT-SALVY-DE-LA-BALME")</f>
        <v>SAINT-SALVY-DE-LA-BALME</v>
      </c>
      <c r="E24759" s="38" t="s">
        <v>231</v>
      </c>
      <c r="F24759" s="38" t="s">
        <v>94</v>
      </c>
      <c r="G24759" s="49" t="str">
        <f t="shared" si="1"/>
        <v>81490</v>
      </c>
      <c r="H24759" s="49">
        <f t="shared" si="2"/>
        <v>81269</v>
      </c>
    </row>
    <row r="24760">
      <c r="A24760" s="48" t="s">
        <v>1903</v>
      </c>
      <c r="B24760" s="38">
        <v>10123.0</v>
      </c>
      <c r="C24760" s="38" t="s">
        <v>29266</v>
      </c>
      <c r="D24760" s="38" t="str">
        <f>IFERROR(__xludf.DUMMYFUNCTION("REGEXREPLACE(C24760,""-\d+(.*)|--\d+(.*)"","""")"),"DIENVILLE")</f>
        <v>DIENVILLE</v>
      </c>
      <c r="E24760" s="38" t="s">
        <v>147</v>
      </c>
      <c r="F24760" s="38" t="s">
        <v>130</v>
      </c>
      <c r="G24760" s="49" t="str">
        <f t="shared" si="1"/>
        <v>10500</v>
      </c>
      <c r="H24760" s="49">
        <f t="shared" si="2"/>
        <v>10123</v>
      </c>
    </row>
    <row r="24761">
      <c r="A24761" s="48" t="s">
        <v>1636</v>
      </c>
      <c r="B24761" s="38">
        <v>14329.0</v>
      </c>
      <c r="C24761" s="38" t="s">
        <v>29267</v>
      </c>
      <c r="D24761" s="38" t="str">
        <f>IFERROR(__xludf.DUMMYFUNCTION("REGEXREPLACE(C24761,""-\d+(.*)|--\d+(.*)"","""")"),"HEULAND")</f>
        <v>HEULAND</v>
      </c>
      <c r="E24761" s="38" t="s">
        <v>137</v>
      </c>
      <c r="F24761" s="38" t="s">
        <v>138</v>
      </c>
      <c r="G24761" s="49" t="str">
        <f t="shared" si="1"/>
        <v>14430</v>
      </c>
      <c r="H24761" s="49">
        <f t="shared" si="2"/>
        <v>14329</v>
      </c>
    </row>
    <row r="24762">
      <c r="A24762" s="48" t="s">
        <v>401</v>
      </c>
      <c r="B24762" s="38">
        <v>24012.0</v>
      </c>
      <c r="C24762" s="38" t="s">
        <v>29268</v>
      </c>
      <c r="D24762" s="38" t="str">
        <f>IFERROR(__xludf.DUMMYFUNCTION("REGEXREPLACE(C24762,""-\d+(.*)|--\d+(.*)"","""")"),"ARCHIGNAC")</f>
        <v>ARCHIGNAC</v>
      </c>
      <c r="E24762" s="38" t="s">
        <v>261</v>
      </c>
      <c r="F24762" s="38" t="s">
        <v>252</v>
      </c>
      <c r="G24762" s="49" t="str">
        <f t="shared" si="1"/>
        <v>24590</v>
      </c>
      <c r="H24762" s="49">
        <f t="shared" si="2"/>
        <v>24012</v>
      </c>
    </row>
    <row r="24763">
      <c r="A24763" s="48" t="s">
        <v>8892</v>
      </c>
      <c r="B24763" s="38">
        <v>60302.0</v>
      </c>
      <c r="C24763" s="38" t="s">
        <v>29269</v>
      </c>
      <c r="D24763" s="38" t="str">
        <f>IFERROR(__xludf.DUMMYFUNCTION("REGEXREPLACE(C24763,""-\d+(.*)|--\d+(.*)"","""")"),"HAUDIVILLERS")</f>
        <v>HAUDIVILLERS</v>
      </c>
      <c r="E24763" s="38" t="s">
        <v>112</v>
      </c>
      <c r="F24763" s="38" t="s">
        <v>113</v>
      </c>
      <c r="G24763" s="49" t="str">
        <f t="shared" si="1"/>
        <v>60510</v>
      </c>
      <c r="H24763" s="49">
        <f t="shared" si="2"/>
        <v>60302</v>
      </c>
    </row>
    <row r="24764">
      <c r="A24764" s="48" t="s">
        <v>304</v>
      </c>
      <c r="B24764" s="38">
        <v>73218.0</v>
      </c>
      <c r="C24764" s="38" t="s">
        <v>29270</v>
      </c>
      <c r="D24764" s="38" t="str">
        <f>IFERROR(__xludf.DUMMYFUNCTION("REGEXREPLACE(C24764,""-\d+(.*)|--\d+(.*)"","""")"),"RUFFIEUX")</f>
        <v>RUFFIEUX</v>
      </c>
      <c r="E24764" s="38" t="s">
        <v>306</v>
      </c>
      <c r="F24764" s="38" t="s">
        <v>102</v>
      </c>
      <c r="G24764" s="49" t="str">
        <f t="shared" si="1"/>
        <v>73310</v>
      </c>
      <c r="H24764" s="49">
        <f t="shared" si="2"/>
        <v>73218</v>
      </c>
    </row>
    <row r="24765">
      <c r="A24765" s="48" t="s">
        <v>29271</v>
      </c>
      <c r="B24765" s="38">
        <v>9181.0</v>
      </c>
      <c r="C24765" s="38" t="s">
        <v>29272</v>
      </c>
      <c r="D24765" s="38" t="str">
        <f>IFERROR(__xludf.DUMMYFUNCTION("REGEXREPLACE(C24765,""-\d+(.*)|--\d+(.*)"","""")"),"LE MAS-D'AZIL")</f>
        <v>LE MAS-D'AZIL</v>
      </c>
      <c r="E24765" s="38" t="s">
        <v>238</v>
      </c>
      <c r="F24765" s="38" t="s">
        <v>94</v>
      </c>
      <c r="G24765" s="49" t="str">
        <f t="shared" si="1"/>
        <v>09290</v>
      </c>
      <c r="H24765" s="49" t="str">
        <f t="shared" si="2"/>
        <v>09181</v>
      </c>
    </row>
    <row r="24766">
      <c r="A24766" s="48" t="s">
        <v>12396</v>
      </c>
      <c r="B24766" s="38">
        <v>49045.0</v>
      </c>
      <c r="C24766" s="38" t="s">
        <v>29273</v>
      </c>
      <c r="D24766" s="38" t="str">
        <f>IFERROR(__xludf.DUMMYFUNCTION("REGEXREPLACE(C24766,""-\d+(.*)|--\d+(.*)"","""")"),"LA BREILLE-LES-PINS")</f>
        <v>LA BREILLE-LES-PINS</v>
      </c>
      <c r="E24766" s="38" t="s">
        <v>653</v>
      </c>
      <c r="F24766" s="38" t="s">
        <v>180</v>
      </c>
      <c r="G24766" s="49" t="str">
        <f t="shared" si="1"/>
        <v>49390</v>
      </c>
      <c r="H24766" s="49">
        <f t="shared" si="2"/>
        <v>49045</v>
      </c>
    </row>
    <row r="24767">
      <c r="A24767" s="48" t="s">
        <v>6736</v>
      </c>
      <c r="B24767" s="38">
        <v>31171.0</v>
      </c>
      <c r="C24767" s="38" t="s">
        <v>29274</v>
      </c>
      <c r="D24767" s="38" t="str">
        <f>IFERROR(__xludf.DUMMYFUNCTION("REGEXREPLACE(C24767,""-\d+(.*)|--\d+(.*)"","""")"),"ESPANES")</f>
        <v>ESPANES</v>
      </c>
      <c r="E24767" s="38" t="s">
        <v>93</v>
      </c>
      <c r="F24767" s="38" t="s">
        <v>94</v>
      </c>
      <c r="G24767" s="49" t="str">
        <f t="shared" si="1"/>
        <v>31450</v>
      </c>
      <c r="H24767" s="49">
        <f t="shared" si="2"/>
        <v>31171</v>
      </c>
    </row>
    <row r="24768">
      <c r="A24768" s="48" t="s">
        <v>29275</v>
      </c>
      <c r="B24768" s="38">
        <v>4116.0</v>
      </c>
      <c r="C24768" s="38" t="s">
        <v>24693</v>
      </c>
      <c r="D24768" s="38" t="str">
        <f>IFERROR(__xludf.DUMMYFUNCTION("REGEXREPLACE(C24768,""-\d+(.*)|--\d+(.*)"","""")"),"LES MEES")</f>
        <v>LES MEES</v>
      </c>
      <c r="E24768" s="38" t="s">
        <v>662</v>
      </c>
      <c r="F24768" s="38" t="s">
        <v>228</v>
      </c>
      <c r="G24768" s="49" t="str">
        <f t="shared" si="1"/>
        <v>04190</v>
      </c>
      <c r="H24768" s="49" t="str">
        <f t="shared" si="2"/>
        <v>04116</v>
      </c>
    </row>
    <row r="24769">
      <c r="A24769" s="48" t="s">
        <v>29276</v>
      </c>
      <c r="B24769" s="38">
        <v>91687.0</v>
      </c>
      <c r="C24769" s="38" t="s">
        <v>29277</v>
      </c>
      <c r="D24769" s="38" t="str">
        <f>IFERROR(__xludf.DUMMYFUNCTION("REGEXREPLACE(C24769,""-\d+(.*)|--\d+(.*)"","""")"),"VIRY-CHATILLON")</f>
        <v>VIRY-CHATILLON</v>
      </c>
      <c r="E24769" s="38" t="s">
        <v>756</v>
      </c>
      <c r="F24769" s="38" t="s">
        <v>245</v>
      </c>
      <c r="G24769" s="49" t="str">
        <f t="shared" si="1"/>
        <v>91170</v>
      </c>
      <c r="H24769" s="49">
        <f t="shared" si="2"/>
        <v>91687</v>
      </c>
    </row>
    <row r="24770">
      <c r="A24770" s="48" t="s">
        <v>1033</v>
      </c>
      <c r="B24770" s="38">
        <v>67548.0</v>
      </c>
      <c r="C24770" s="38" t="s">
        <v>29278</v>
      </c>
      <c r="D24770" s="38" t="str">
        <f>IFERROR(__xludf.DUMMYFUNCTION("REGEXREPLACE(C24770,""-\d+(.*)|--\d+(.*)"","""")"),"WIWERSHEIM")</f>
        <v>WIWERSHEIM</v>
      </c>
      <c r="E24770" s="38" t="s">
        <v>210</v>
      </c>
      <c r="F24770" s="38" t="s">
        <v>151</v>
      </c>
      <c r="G24770" s="49" t="str">
        <f t="shared" si="1"/>
        <v>67370</v>
      </c>
      <c r="H24770" s="49">
        <f t="shared" si="2"/>
        <v>67548</v>
      </c>
    </row>
    <row r="24771">
      <c r="A24771" s="48" t="s">
        <v>3109</v>
      </c>
      <c r="B24771" s="38">
        <v>9040.0</v>
      </c>
      <c r="C24771" s="38" t="s">
        <v>29279</v>
      </c>
      <c r="D24771" s="38" t="str">
        <f>IFERROR(__xludf.DUMMYFUNCTION("REGEXREPLACE(C24771,""-\d+(.*)|--\d+(.*)"","""")"),"LA BASTIDE-DE-LORDAT")</f>
        <v>LA BASTIDE-DE-LORDAT</v>
      </c>
      <c r="E24771" s="38" t="s">
        <v>238</v>
      </c>
      <c r="F24771" s="38" t="s">
        <v>94</v>
      </c>
      <c r="G24771" s="49" t="str">
        <f t="shared" si="1"/>
        <v>09700</v>
      </c>
      <c r="H24771" s="49" t="str">
        <f t="shared" si="2"/>
        <v>09040</v>
      </c>
    </row>
    <row r="24772">
      <c r="A24772" s="48" t="s">
        <v>10299</v>
      </c>
      <c r="B24772" s="38">
        <v>67372.0</v>
      </c>
      <c r="C24772" s="38" t="s">
        <v>29280</v>
      </c>
      <c r="D24772" s="38" t="str">
        <f>IFERROR(__xludf.DUMMYFUNCTION("REGEXREPLACE(C24772,""-\d+(.*)|--\d+(.*)"","""")"),"PFAFFENHOFFEN")</f>
        <v>PFAFFENHOFFEN</v>
      </c>
      <c r="E24772" s="38" t="s">
        <v>210</v>
      </c>
      <c r="F24772" s="38" t="s">
        <v>151</v>
      </c>
      <c r="G24772" s="49" t="str">
        <f t="shared" si="1"/>
        <v>67350</v>
      </c>
      <c r="H24772" s="49">
        <f t="shared" si="2"/>
        <v>67372</v>
      </c>
    </row>
    <row r="24773">
      <c r="A24773" s="48" t="s">
        <v>20901</v>
      </c>
      <c r="B24773" s="38">
        <v>3110.0</v>
      </c>
      <c r="C24773" s="38" t="s">
        <v>29281</v>
      </c>
      <c r="D24773" s="38" t="str">
        <f>IFERROR(__xludf.DUMMYFUNCTION("REGEXREPLACE(C24773,""-\d+(.*)|--\d+(.*)"","""")"),"ESPINASSE-VOZELLE")</f>
        <v>ESPINASSE-VOZELLE</v>
      </c>
      <c r="E24773" s="38" t="s">
        <v>160</v>
      </c>
      <c r="F24773" s="38" t="s">
        <v>161</v>
      </c>
      <c r="G24773" s="49" t="str">
        <f t="shared" si="1"/>
        <v>03110</v>
      </c>
      <c r="H24773" s="49" t="str">
        <f t="shared" si="2"/>
        <v>03110</v>
      </c>
    </row>
    <row r="24774">
      <c r="A24774" s="48" t="s">
        <v>3508</v>
      </c>
      <c r="B24774" s="38">
        <v>51107.0</v>
      </c>
      <c r="C24774" s="38" t="s">
        <v>29282</v>
      </c>
      <c r="D24774" s="38" t="str">
        <f>IFERROR(__xludf.DUMMYFUNCTION("REGEXREPLACE(C24774,""-\d+(.*)|--\d+(.*)"","""")"),"CHAINTRIX-BIERGES")</f>
        <v>CHAINTRIX-BIERGES</v>
      </c>
      <c r="E24774" s="38" t="s">
        <v>129</v>
      </c>
      <c r="F24774" s="38" t="s">
        <v>130</v>
      </c>
      <c r="G24774" s="49" t="str">
        <f t="shared" si="1"/>
        <v>51130</v>
      </c>
      <c r="H24774" s="49">
        <f t="shared" si="2"/>
        <v>51107</v>
      </c>
    </row>
    <row r="24775">
      <c r="A24775" s="48" t="s">
        <v>10557</v>
      </c>
      <c r="B24775" s="38">
        <v>85022.0</v>
      </c>
      <c r="C24775" s="38" t="s">
        <v>29283</v>
      </c>
      <c r="D24775" s="38" t="str">
        <f>IFERROR(__xludf.DUMMYFUNCTION("REGEXREPLACE(C24775,""-\d+(.*)|--\d+(.*)"","""")"),"LE BERNARD")</f>
        <v>LE BERNARD</v>
      </c>
      <c r="E24775" s="38" t="s">
        <v>179</v>
      </c>
      <c r="F24775" s="38" t="s">
        <v>180</v>
      </c>
      <c r="G24775" s="49" t="str">
        <f t="shared" si="1"/>
        <v>85560</v>
      </c>
      <c r="H24775" s="49">
        <f t="shared" si="2"/>
        <v>85022</v>
      </c>
    </row>
    <row r="24776">
      <c r="A24776" s="48" t="s">
        <v>7799</v>
      </c>
      <c r="B24776" s="38">
        <v>7179.0</v>
      </c>
      <c r="C24776" s="38" t="s">
        <v>29284</v>
      </c>
      <c r="D24776" s="38" t="str">
        <f>IFERROR(__xludf.DUMMYFUNCTION("REGEXREPLACE(C24776,""-\d+(.*)|--\d+(.*)"","""")"),"POURCHERES")</f>
        <v>POURCHERES</v>
      </c>
      <c r="E24776" s="38" t="s">
        <v>144</v>
      </c>
      <c r="F24776" s="38" t="s">
        <v>102</v>
      </c>
      <c r="G24776" s="49" t="str">
        <f t="shared" si="1"/>
        <v>07000</v>
      </c>
      <c r="H24776" s="49" t="str">
        <f t="shared" si="2"/>
        <v>07179</v>
      </c>
    </row>
    <row r="24777">
      <c r="A24777" s="48" t="s">
        <v>29285</v>
      </c>
      <c r="B24777" s="38">
        <v>71499.0</v>
      </c>
      <c r="C24777" s="38" t="s">
        <v>29286</v>
      </c>
      <c r="D24777" s="38" t="str">
        <f>IFERROR(__xludf.DUMMYFUNCTION("REGEXREPLACE(C24777,""-\d+(.*)|--\d+(.*)"","""")"),"SANVIGNES-LES-MINES")</f>
        <v>SANVIGNES-LES-MINES</v>
      </c>
      <c r="E24777" s="38" t="s">
        <v>344</v>
      </c>
      <c r="F24777" s="38" t="s">
        <v>106</v>
      </c>
      <c r="G24777" s="49" t="str">
        <f t="shared" si="1"/>
        <v>71410</v>
      </c>
      <c r="H24777" s="49">
        <f t="shared" si="2"/>
        <v>71499</v>
      </c>
    </row>
    <row r="24778">
      <c r="A24778" s="48" t="s">
        <v>3212</v>
      </c>
      <c r="B24778" s="38">
        <v>64039.0</v>
      </c>
      <c r="C24778" s="38" t="s">
        <v>29287</v>
      </c>
      <c r="D24778" s="38" t="str">
        <f>IFERROR(__xludf.DUMMYFUNCTION("REGEXREPLACE(C24778,""-\d+(.*)|--\d+(.*)"","""")"),"AREN")</f>
        <v>AREN</v>
      </c>
      <c r="E24778" s="38" t="s">
        <v>268</v>
      </c>
      <c r="F24778" s="38" t="s">
        <v>252</v>
      </c>
      <c r="G24778" s="49" t="str">
        <f t="shared" si="1"/>
        <v>64400</v>
      </c>
      <c r="H24778" s="49">
        <f t="shared" si="2"/>
        <v>64039</v>
      </c>
    </row>
    <row r="24779">
      <c r="A24779" s="48" t="s">
        <v>1327</v>
      </c>
      <c r="B24779" s="38">
        <v>51314.0</v>
      </c>
      <c r="C24779" s="38" t="s">
        <v>29288</v>
      </c>
      <c r="D24779" s="38" t="str">
        <f>IFERROR(__xludf.DUMMYFUNCTION("REGEXREPLACE(C24779,""-\d+(.*)|--\d+(.*)"","""")"),"LAGERY")</f>
        <v>LAGERY</v>
      </c>
      <c r="E24779" s="38" t="s">
        <v>129</v>
      </c>
      <c r="F24779" s="38" t="s">
        <v>130</v>
      </c>
      <c r="G24779" s="49" t="str">
        <f t="shared" si="1"/>
        <v>51170</v>
      </c>
      <c r="H24779" s="49">
        <f t="shared" si="2"/>
        <v>51314</v>
      </c>
    </row>
    <row r="24780">
      <c r="A24780" s="48" t="s">
        <v>5882</v>
      </c>
      <c r="B24780" s="38">
        <v>36036.0</v>
      </c>
      <c r="C24780" s="38" t="s">
        <v>19225</v>
      </c>
      <c r="D24780" s="38" t="str">
        <f>IFERROR(__xludf.DUMMYFUNCTION("REGEXREPLACE(C24780,""-\d+(.*)|--\d+(.*)"","""")"),"CHALAIS")</f>
        <v>CHALAIS</v>
      </c>
      <c r="E24780" s="38" t="s">
        <v>258</v>
      </c>
      <c r="F24780" s="38" t="s">
        <v>123</v>
      </c>
      <c r="G24780" s="49" t="str">
        <f t="shared" si="1"/>
        <v>36370</v>
      </c>
      <c r="H24780" s="49">
        <f t="shared" si="2"/>
        <v>36036</v>
      </c>
    </row>
    <row r="24781">
      <c r="A24781" s="48" t="s">
        <v>3432</v>
      </c>
      <c r="B24781" s="38">
        <v>64360.0</v>
      </c>
      <c r="C24781" s="38" t="s">
        <v>29289</v>
      </c>
      <c r="D24781" s="38" t="str">
        <f>IFERROR(__xludf.DUMMYFUNCTION("REGEXREPLACE(C24781,""-\d+(.*)|--\d+(.*)"","""")"),"LURBE-SAINT-CHRISTAU")</f>
        <v>LURBE-SAINT-CHRISTAU</v>
      </c>
      <c r="E24781" s="38" t="s">
        <v>268</v>
      </c>
      <c r="F24781" s="38" t="s">
        <v>252</v>
      </c>
      <c r="G24781" s="49" t="str">
        <f t="shared" si="1"/>
        <v>64660</v>
      </c>
      <c r="H24781" s="49">
        <f t="shared" si="2"/>
        <v>64360</v>
      </c>
    </row>
    <row r="24782">
      <c r="A24782" s="48" t="s">
        <v>4589</v>
      </c>
      <c r="B24782" s="38">
        <v>41043.0</v>
      </c>
      <c r="C24782" s="38" t="s">
        <v>29290</v>
      </c>
      <c r="D24782" s="38" t="str">
        <f>IFERROR(__xludf.DUMMYFUNCTION("REGEXREPLACE(C24782,""-\d+(.*)|--\d+(.*)"","""")"),"CHATILLON-SUR-CHER")</f>
        <v>CHATILLON-SUR-CHER</v>
      </c>
      <c r="E24782" s="38" t="s">
        <v>188</v>
      </c>
      <c r="F24782" s="38" t="s">
        <v>123</v>
      </c>
      <c r="G24782" s="49" t="str">
        <f t="shared" si="1"/>
        <v>41130</v>
      </c>
      <c r="H24782" s="49">
        <f t="shared" si="2"/>
        <v>41043</v>
      </c>
    </row>
    <row r="24783">
      <c r="A24783" s="48" t="s">
        <v>5911</v>
      </c>
      <c r="B24783" s="38">
        <v>54338.0</v>
      </c>
      <c r="C24783" s="38" t="s">
        <v>29291</v>
      </c>
      <c r="D24783" s="38" t="str">
        <f>IFERROR(__xludf.DUMMYFUNCTION("REGEXREPLACE(C24783,""-\d+(.*)|--\d+(.*)"","""")"),"MALLELOY")</f>
        <v>MALLELOY</v>
      </c>
      <c r="E24783" s="38" t="s">
        <v>548</v>
      </c>
      <c r="F24783" s="38" t="s">
        <v>195</v>
      </c>
      <c r="G24783" s="49" t="str">
        <f t="shared" si="1"/>
        <v>54670</v>
      </c>
      <c r="H24783" s="49">
        <f t="shared" si="2"/>
        <v>54338</v>
      </c>
    </row>
    <row r="24784">
      <c r="A24784" s="48" t="s">
        <v>2400</v>
      </c>
      <c r="B24784" s="38">
        <v>25408.0</v>
      </c>
      <c r="C24784" s="38" t="s">
        <v>29292</v>
      </c>
      <c r="D24784" s="38" t="str">
        <f>IFERROR(__xludf.DUMMYFUNCTION("REGEXREPLACE(C24784,""-\d+(.*)|--\d+(.*)"","""")"),"MONTUSSAINT")</f>
        <v>MONTUSSAINT</v>
      </c>
      <c r="E24784" s="38" t="s">
        <v>213</v>
      </c>
      <c r="F24784" s="38" t="s">
        <v>214</v>
      </c>
      <c r="G24784" s="49" t="str">
        <f t="shared" si="1"/>
        <v>25680</v>
      </c>
      <c r="H24784" s="49">
        <f t="shared" si="2"/>
        <v>25408</v>
      </c>
    </row>
    <row r="24785">
      <c r="A24785" s="48" t="s">
        <v>3295</v>
      </c>
      <c r="B24785" s="38">
        <v>76137.0</v>
      </c>
      <c r="C24785" s="38" t="s">
        <v>29293</v>
      </c>
      <c r="D24785" s="38" t="str">
        <f>IFERROR(__xludf.DUMMYFUNCTION("REGEXREPLACE(C24785,""-\d+(.*)|--\d+(.*)"","""")"),"BRACQUEMONT")</f>
        <v>BRACQUEMONT</v>
      </c>
      <c r="E24785" s="38" t="s">
        <v>133</v>
      </c>
      <c r="F24785" s="38" t="s">
        <v>134</v>
      </c>
      <c r="G24785" s="49" t="str">
        <f t="shared" si="1"/>
        <v>76370</v>
      </c>
      <c r="H24785" s="49">
        <f t="shared" si="2"/>
        <v>76137</v>
      </c>
    </row>
    <row r="24786">
      <c r="A24786" s="48" t="s">
        <v>4902</v>
      </c>
      <c r="B24786" s="38">
        <v>61481.0</v>
      </c>
      <c r="C24786" s="38" t="s">
        <v>29294</v>
      </c>
      <c r="D24786" s="38" t="str">
        <f>IFERROR(__xludf.DUMMYFUNCTION("REGEXREPLACE(C24786,""-\d+(.*)|--\d+(.*)"","""")"),"TELLIERES-LE-PLESSIS")</f>
        <v>TELLIERES-LE-PLESSIS</v>
      </c>
      <c r="E24786" s="38" t="s">
        <v>141</v>
      </c>
      <c r="F24786" s="38" t="s">
        <v>138</v>
      </c>
      <c r="G24786" s="49" t="str">
        <f t="shared" si="1"/>
        <v>61390</v>
      </c>
      <c r="H24786" s="49">
        <f t="shared" si="2"/>
        <v>61481</v>
      </c>
    </row>
    <row r="24787">
      <c r="A24787" s="48" t="s">
        <v>5905</v>
      </c>
      <c r="B24787" s="38">
        <v>7323.0</v>
      </c>
      <c r="C24787" s="38" t="s">
        <v>29295</v>
      </c>
      <c r="D24787" s="38" t="str">
        <f>IFERROR(__xludf.DUMMYFUNCTION("REGEXREPLACE(C24787,""-\d+(.*)|--\d+(.*)"","""")"),"TOULAUD")</f>
        <v>TOULAUD</v>
      </c>
      <c r="E24787" s="38" t="s">
        <v>144</v>
      </c>
      <c r="F24787" s="38" t="s">
        <v>102</v>
      </c>
      <c r="G24787" s="49" t="str">
        <f t="shared" si="1"/>
        <v>07130</v>
      </c>
      <c r="H24787" s="49" t="str">
        <f t="shared" si="2"/>
        <v>07323</v>
      </c>
    </row>
    <row r="24788">
      <c r="A24788" s="48" t="s">
        <v>2141</v>
      </c>
      <c r="B24788" s="38">
        <v>80365.0</v>
      </c>
      <c r="C24788" s="38" t="s">
        <v>29296</v>
      </c>
      <c r="D24788" s="38" t="str">
        <f>IFERROR(__xludf.DUMMYFUNCTION("REGEXREPLACE(C24788,""-\d+(.*)|--\d+(.*)"","""")"),"FRICAMPS")</f>
        <v>FRICAMPS</v>
      </c>
      <c r="E24788" s="38" t="s">
        <v>224</v>
      </c>
      <c r="F24788" s="38" t="s">
        <v>113</v>
      </c>
      <c r="G24788" s="49" t="str">
        <f t="shared" si="1"/>
        <v>80290</v>
      </c>
      <c r="H24788" s="49">
        <f t="shared" si="2"/>
        <v>80365</v>
      </c>
    </row>
    <row r="24789">
      <c r="A24789" s="48" t="s">
        <v>13265</v>
      </c>
      <c r="B24789" s="38">
        <v>77515.0</v>
      </c>
      <c r="C24789" s="38" t="s">
        <v>17143</v>
      </c>
      <c r="D24789" s="38" t="str">
        <f>IFERROR(__xludf.DUMMYFUNCTION("REGEXREPLACE(C24789,""-\d+(.*)|--\d+(.*)"","""")"),"VILLEROY")</f>
        <v>VILLEROY</v>
      </c>
      <c r="E24789" s="38" t="s">
        <v>244</v>
      </c>
      <c r="F24789" s="38" t="s">
        <v>245</v>
      </c>
      <c r="G24789" s="49" t="str">
        <f t="shared" si="1"/>
        <v>77410</v>
      </c>
      <c r="H24789" s="49">
        <f t="shared" si="2"/>
        <v>77515</v>
      </c>
    </row>
    <row r="24790">
      <c r="A24790" s="48" t="s">
        <v>6909</v>
      </c>
      <c r="B24790" s="38">
        <v>14055.0</v>
      </c>
      <c r="C24790" s="38" t="s">
        <v>29297</v>
      </c>
      <c r="D24790" s="38" t="str">
        <f>IFERROR(__xludf.DUMMYFUNCTION("REGEXREPLACE(C24790,""-\d+(.*)|--\d+(.*)"","""")"),"BEAUMONT-EN-AUGE")</f>
        <v>BEAUMONT-EN-AUGE</v>
      </c>
      <c r="E24790" s="38" t="s">
        <v>137</v>
      </c>
      <c r="F24790" s="38" t="s">
        <v>138</v>
      </c>
      <c r="G24790" s="49" t="str">
        <f t="shared" si="1"/>
        <v>14950</v>
      </c>
      <c r="H24790" s="49">
        <f t="shared" si="2"/>
        <v>14055</v>
      </c>
    </row>
    <row r="24791">
      <c r="A24791" s="48" t="s">
        <v>17834</v>
      </c>
      <c r="B24791" s="38">
        <v>83044.0</v>
      </c>
      <c r="C24791" s="38" t="s">
        <v>29298</v>
      </c>
      <c r="D24791" s="38" t="str">
        <f>IFERROR(__xludf.DUMMYFUNCTION("REGEXREPLACE(C24791,""-\d+(.*)|--\d+(.*)"","""")"),"COMPS-SUR-ARTUBY")</f>
        <v>COMPS-SUR-ARTUBY</v>
      </c>
      <c r="E24791" s="38" t="s">
        <v>813</v>
      </c>
      <c r="F24791" s="38" t="s">
        <v>228</v>
      </c>
      <c r="G24791" s="49" t="str">
        <f t="shared" si="1"/>
        <v>83840</v>
      </c>
      <c r="H24791" s="49">
        <f t="shared" si="2"/>
        <v>83044</v>
      </c>
    </row>
    <row r="24792">
      <c r="A24792" s="48" t="s">
        <v>5134</v>
      </c>
      <c r="B24792" s="38">
        <v>70133.0</v>
      </c>
      <c r="C24792" s="38" t="s">
        <v>29299</v>
      </c>
      <c r="D24792" s="38" t="str">
        <f>IFERROR(__xludf.DUMMYFUNCTION("REGEXREPLACE(C24792,""-\d+(.*)|--\d+(.*)"","""")"),"CHARGEY-LES-PORT")</f>
        <v>CHARGEY-LES-PORT</v>
      </c>
      <c r="E24792" s="38" t="s">
        <v>956</v>
      </c>
      <c r="F24792" s="38" t="s">
        <v>214</v>
      </c>
      <c r="G24792" s="49" t="str">
        <f t="shared" si="1"/>
        <v>70170</v>
      </c>
      <c r="H24792" s="49">
        <f t="shared" si="2"/>
        <v>70133</v>
      </c>
    </row>
    <row r="24793">
      <c r="A24793" s="48" t="s">
        <v>9264</v>
      </c>
      <c r="B24793" s="38">
        <v>32340.0</v>
      </c>
      <c r="C24793" s="38" t="s">
        <v>29300</v>
      </c>
      <c r="D24793" s="38" t="str">
        <f>IFERROR(__xludf.DUMMYFUNCTION("REGEXREPLACE(C24793,""-\d+(.*)|--\d+(.*)"","""")"),"REANS")</f>
        <v>REANS</v>
      </c>
      <c r="E24793" s="38" t="s">
        <v>440</v>
      </c>
      <c r="F24793" s="38" t="s">
        <v>94</v>
      </c>
      <c r="G24793" s="49" t="str">
        <f t="shared" si="1"/>
        <v>32800</v>
      </c>
      <c r="H24793" s="49">
        <f t="shared" si="2"/>
        <v>32340</v>
      </c>
    </row>
    <row r="24794">
      <c r="A24794" s="48" t="s">
        <v>4722</v>
      </c>
      <c r="B24794" s="38">
        <v>81041.0</v>
      </c>
      <c r="C24794" s="38" t="s">
        <v>29301</v>
      </c>
      <c r="D24794" s="38" t="str">
        <f>IFERROR(__xludf.DUMMYFUNCTION("REGEXREPLACE(C24794,""-\d+(.*)|--\d+(.*)"","""")"),"BROZE")</f>
        <v>BROZE</v>
      </c>
      <c r="E24794" s="38" t="s">
        <v>231</v>
      </c>
      <c r="F24794" s="38" t="s">
        <v>94</v>
      </c>
      <c r="G24794" s="49" t="str">
        <f t="shared" si="1"/>
        <v>81600</v>
      </c>
      <c r="H24794" s="49">
        <f t="shared" si="2"/>
        <v>81041</v>
      </c>
    </row>
    <row r="24795">
      <c r="A24795" s="48" t="s">
        <v>9481</v>
      </c>
      <c r="B24795" s="38">
        <v>15191.0</v>
      </c>
      <c r="C24795" s="38" t="s">
        <v>29302</v>
      </c>
      <c r="D24795" s="38" t="str">
        <f>IFERROR(__xludf.DUMMYFUNCTION("REGEXREPLACE(C24795,""-\d+(.*)|--\d+(.*)"","""")"),"SAINT-ILLIDE")</f>
        <v>SAINT-ILLIDE</v>
      </c>
      <c r="E24795" s="38" t="s">
        <v>632</v>
      </c>
      <c r="F24795" s="38" t="s">
        <v>161</v>
      </c>
      <c r="G24795" s="49" t="str">
        <f t="shared" si="1"/>
        <v>15310</v>
      </c>
      <c r="H24795" s="49">
        <f t="shared" si="2"/>
        <v>15191</v>
      </c>
    </row>
    <row r="24796">
      <c r="A24796" s="48" t="s">
        <v>29303</v>
      </c>
      <c r="B24796" s="38">
        <v>63004.0</v>
      </c>
      <c r="C24796" s="38" t="s">
        <v>29304</v>
      </c>
      <c r="D24796" s="38" t="str">
        <f>IFERROR(__xludf.DUMMYFUNCTION("REGEXREPLACE(C24796,""-\d+(.*)|--\d+(.*)"","""")"),"LES ANCIZES-COMPS")</f>
        <v>LES ANCIZES-COMPS</v>
      </c>
      <c r="E24796" s="38" t="s">
        <v>353</v>
      </c>
      <c r="F24796" s="38" t="s">
        <v>161</v>
      </c>
      <c r="G24796" s="49" t="str">
        <f t="shared" si="1"/>
        <v>63770</v>
      </c>
      <c r="H24796" s="49">
        <f t="shared" si="2"/>
        <v>63004</v>
      </c>
    </row>
    <row r="24797">
      <c r="A24797" s="48" t="s">
        <v>4834</v>
      </c>
      <c r="B24797" s="38">
        <v>27269.0</v>
      </c>
      <c r="C24797" s="38" t="s">
        <v>29305</v>
      </c>
      <c r="D24797" s="38" t="str">
        <f>IFERROR(__xludf.DUMMYFUNCTION("REGEXREPLACE(C24797,""-\d+(.*)|--\d+(.*)"","""")"),"FRESNE-CAUVERVILLE")</f>
        <v>FRESNE-CAUVERVILLE</v>
      </c>
      <c r="E24797" s="38" t="s">
        <v>241</v>
      </c>
      <c r="F24797" s="38" t="s">
        <v>134</v>
      </c>
      <c r="G24797" s="49" t="str">
        <f t="shared" si="1"/>
        <v>27260</v>
      </c>
      <c r="H24797" s="49">
        <f t="shared" si="2"/>
        <v>27269</v>
      </c>
    </row>
    <row r="24798">
      <c r="A24798" s="48" t="s">
        <v>29306</v>
      </c>
      <c r="B24798" s="38">
        <v>36044.0</v>
      </c>
      <c r="C24798" s="38" t="s">
        <v>29307</v>
      </c>
      <c r="D24798" s="38" t="str">
        <f>IFERROR(__xludf.DUMMYFUNCTION("REGEXREPLACE(C24798,""-\d+(.*)|--\d+(.*)"","""")"),"CHATEAUROUX")</f>
        <v>CHATEAUROUX</v>
      </c>
      <c r="E24798" s="38" t="s">
        <v>258</v>
      </c>
      <c r="F24798" s="38" t="s">
        <v>123</v>
      </c>
      <c r="G24798" s="49" t="str">
        <f t="shared" si="1"/>
        <v>36000</v>
      </c>
      <c r="H24798" s="49">
        <f t="shared" si="2"/>
        <v>36044</v>
      </c>
    </row>
    <row r="24799">
      <c r="A24799" s="48" t="s">
        <v>16641</v>
      </c>
      <c r="B24799" s="38">
        <v>56033.0</v>
      </c>
      <c r="C24799" s="38" t="s">
        <v>29308</v>
      </c>
      <c r="D24799" s="38" t="str">
        <f>IFERROR(__xludf.DUMMYFUNCTION("REGEXREPLACE(C24799,""-\d+(.*)|--\d+(.*)"","""")"),"CARENTOIR")</f>
        <v>CARENTOIR</v>
      </c>
      <c r="E24799" s="38" t="s">
        <v>173</v>
      </c>
      <c r="F24799" s="38" t="s">
        <v>90</v>
      </c>
      <c r="G24799" s="49" t="str">
        <f t="shared" si="1"/>
        <v>56910</v>
      </c>
      <c r="H24799" s="49">
        <f t="shared" si="2"/>
        <v>56033</v>
      </c>
    </row>
    <row r="24800">
      <c r="A24800" s="48" t="s">
        <v>1695</v>
      </c>
      <c r="B24800" s="38">
        <v>80807.0</v>
      </c>
      <c r="C24800" s="38" t="s">
        <v>29309</v>
      </c>
      <c r="D24800" s="38" t="str">
        <f>IFERROR(__xludf.DUMMYFUNCTION("REGEXREPLACE(C24800,""-\d+(.*)|--\d+(.*)"","""")"),"VILLE-SUR-ANCRE")</f>
        <v>VILLE-SUR-ANCRE</v>
      </c>
      <c r="E24800" s="38" t="s">
        <v>224</v>
      </c>
      <c r="F24800" s="38" t="s">
        <v>113</v>
      </c>
      <c r="G24800" s="49" t="str">
        <f t="shared" si="1"/>
        <v>80300</v>
      </c>
      <c r="H24800" s="49">
        <f t="shared" si="2"/>
        <v>80807</v>
      </c>
    </row>
    <row r="24801">
      <c r="A24801" s="48" t="s">
        <v>5608</v>
      </c>
      <c r="B24801" s="38">
        <v>57209.0</v>
      </c>
      <c r="C24801" s="38" t="s">
        <v>29310</v>
      </c>
      <c r="D24801" s="38" t="str">
        <f>IFERROR(__xludf.DUMMYFUNCTION("REGEXREPLACE(C24801,""-\d+(.*)|--\d+(.*)"","""")"),"FAULQUEMONT")</f>
        <v>FAULQUEMONT</v>
      </c>
      <c r="E24801" s="38" t="s">
        <v>303</v>
      </c>
      <c r="F24801" s="38" t="s">
        <v>195</v>
      </c>
      <c r="G24801" s="49" t="str">
        <f t="shared" si="1"/>
        <v>57380</v>
      </c>
      <c r="H24801" s="49">
        <f t="shared" si="2"/>
        <v>57209</v>
      </c>
    </row>
    <row r="24802">
      <c r="A24802" s="48" t="s">
        <v>3061</v>
      </c>
      <c r="B24802" s="38">
        <v>71439.0</v>
      </c>
      <c r="C24802" s="38" t="s">
        <v>29311</v>
      </c>
      <c r="D24802" s="38" t="str">
        <f>IFERROR(__xludf.DUMMYFUNCTION("REGEXREPLACE(C24802,""-\d+(.*)|--\d+(.*)"","""")"),"SAINT-LEGER-LES-PARAY")</f>
        <v>SAINT-LEGER-LES-PARAY</v>
      </c>
      <c r="E24802" s="38" t="s">
        <v>344</v>
      </c>
      <c r="F24802" s="38" t="s">
        <v>106</v>
      </c>
      <c r="G24802" s="49" t="str">
        <f t="shared" si="1"/>
        <v>71600</v>
      </c>
      <c r="H24802" s="49">
        <f t="shared" si="2"/>
        <v>71439</v>
      </c>
    </row>
    <row r="24803">
      <c r="A24803" s="48" t="s">
        <v>5428</v>
      </c>
      <c r="B24803" s="38">
        <v>74006.0</v>
      </c>
      <c r="C24803" s="38" t="s">
        <v>29312</v>
      </c>
      <c r="D24803" s="38" t="str">
        <f>IFERROR(__xludf.DUMMYFUNCTION("REGEXREPLACE(C24803,""-\d+(.*)|--\d+(.*)"","""")"),"ALLONZIER-LA-CAILLE")</f>
        <v>ALLONZIER-LA-CAILLE</v>
      </c>
      <c r="E24803" s="38" t="s">
        <v>319</v>
      </c>
      <c r="F24803" s="38" t="s">
        <v>102</v>
      </c>
      <c r="G24803" s="49" t="str">
        <f t="shared" si="1"/>
        <v>74350</v>
      </c>
      <c r="H24803" s="49">
        <f t="shared" si="2"/>
        <v>74006</v>
      </c>
    </row>
    <row r="24804">
      <c r="A24804" s="48" t="s">
        <v>3129</v>
      </c>
      <c r="B24804" s="38">
        <v>18277.0</v>
      </c>
      <c r="C24804" s="38" t="s">
        <v>8296</v>
      </c>
      <c r="D24804" s="38" t="str">
        <f>IFERROR(__xludf.DUMMYFUNCTION("REGEXREPLACE(C24804,""-\d+(.*)|--\d+(.*)"","""")"),"VERNEUIL")</f>
        <v>VERNEUIL</v>
      </c>
      <c r="E24804" s="38" t="s">
        <v>504</v>
      </c>
      <c r="F24804" s="38" t="s">
        <v>123</v>
      </c>
      <c r="G24804" s="49" t="str">
        <f t="shared" si="1"/>
        <v>18210</v>
      </c>
      <c r="H24804" s="49">
        <f t="shared" si="2"/>
        <v>18277</v>
      </c>
    </row>
    <row r="24805">
      <c r="A24805" s="48" t="s">
        <v>3036</v>
      </c>
      <c r="B24805" s="38">
        <v>61494.0</v>
      </c>
      <c r="C24805" s="38" t="s">
        <v>29313</v>
      </c>
      <c r="D24805" s="38" t="str">
        <f>IFERROR(__xludf.DUMMYFUNCTION("REGEXREPLACE(C24805,""-\d+(.*)|--\d+(.*)"","""")"),"TRUN")</f>
        <v>TRUN</v>
      </c>
      <c r="E24805" s="38" t="s">
        <v>141</v>
      </c>
      <c r="F24805" s="38" t="s">
        <v>138</v>
      </c>
      <c r="G24805" s="49" t="str">
        <f t="shared" si="1"/>
        <v>61160</v>
      </c>
      <c r="H24805" s="49">
        <f t="shared" si="2"/>
        <v>61494</v>
      </c>
    </row>
    <row r="24806">
      <c r="A24806" s="48" t="s">
        <v>29314</v>
      </c>
      <c r="B24806" s="38">
        <v>54339.0</v>
      </c>
      <c r="C24806" s="38" t="s">
        <v>29315</v>
      </c>
      <c r="D24806" s="38" t="str">
        <f>IFERROR(__xludf.DUMMYFUNCTION("REGEXREPLACE(C24806,""-\d+(.*)|--\d+(.*)"","""")"),"MALZEVILLE")</f>
        <v>MALZEVILLE</v>
      </c>
      <c r="E24806" s="38" t="s">
        <v>548</v>
      </c>
      <c r="F24806" s="38" t="s">
        <v>195</v>
      </c>
      <c r="G24806" s="49" t="str">
        <f t="shared" si="1"/>
        <v>54220</v>
      </c>
      <c r="H24806" s="49">
        <f t="shared" si="2"/>
        <v>54339</v>
      </c>
    </row>
    <row r="24807">
      <c r="A24807" s="48" t="s">
        <v>9315</v>
      </c>
      <c r="B24807" s="38">
        <v>68345.0</v>
      </c>
      <c r="C24807" s="38" t="s">
        <v>29316</v>
      </c>
      <c r="D24807" s="38" t="str">
        <f>IFERROR(__xludf.DUMMYFUNCTION("REGEXREPLACE(C24807,""-\d+(.*)|--\d+(.*)"","""")"),"URSCHENHEIM")</f>
        <v>URSCHENHEIM</v>
      </c>
      <c r="E24807" s="38" t="s">
        <v>150</v>
      </c>
      <c r="F24807" s="38" t="s">
        <v>151</v>
      </c>
      <c r="G24807" s="49" t="str">
        <f t="shared" si="1"/>
        <v>68320</v>
      </c>
      <c r="H24807" s="49">
        <f t="shared" si="2"/>
        <v>68345</v>
      </c>
    </row>
    <row r="24808">
      <c r="A24808" s="48" t="s">
        <v>29317</v>
      </c>
      <c r="B24808" s="38">
        <v>6159.0</v>
      </c>
      <c r="C24808" s="38" t="s">
        <v>29318</v>
      </c>
      <c r="D24808" s="38" t="str">
        <f>IFERROR(__xludf.DUMMYFUNCTION("REGEXREPLACE(C24808,""-\d+(.*)|--\d+(.*)"","""")"),"VILLEFRANCHE-SUR-MER")</f>
        <v>VILLEFRANCHE-SUR-MER</v>
      </c>
      <c r="E24808" s="38" t="s">
        <v>227</v>
      </c>
      <c r="F24808" s="38" t="s">
        <v>228</v>
      </c>
      <c r="G24808" s="49" t="str">
        <f t="shared" si="1"/>
        <v>06230</v>
      </c>
      <c r="H24808" s="49" t="str">
        <f t="shared" si="2"/>
        <v>06159</v>
      </c>
    </row>
    <row r="24809">
      <c r="A24809" s="48" t="s">
        <v>4752</v>
      </c>
      <c r="B24809" s="38">
        <v>33349.0</v>
      </c>
      <c r="C24809" s="38" t="s">
        <v>12706</v>
      </c>
      <c r="D24809" s="38" t="str">
        <f>IFERROR(__xludf.DUMMYFUNCTION("REGEXREPLACE(C24809,""-\d+(.*)|--\d+(.*)"","""")"),"QUINSAC")</f>
        <v>QUINSAC</v>
      </c>
      <c r="E24809" s="38" t="s">
        <v>462</v>
      </c>
      <c r="F24809" s="38" t="s">
        <v>252</v>
      </c>
      <c r="G24809" s="49" t="str">
        <f t="shared" si="1"/>
        <v>33360</v>
      </c>
      <c r="H24809" s="49">
        <f t="shared" si="2"/>
        <v>33349</v>
      </c>
    </row>
    <row r="24810">
      <c r="A24810" s="48" t="s">
        <v>26615</v>
      </c>
      <c r="B24810" s="38">
        <v>19262.0</v>
      </c>
      <c r="C24810" s="38" t="s">
        <v>29319</v>
      </c>
      <c r="D24810" s="38" t="str">
        <f>IFERROR(__xludf.DUMMYFUNCTION("REGEXREPLACE(C24810,""-\d+(.*)|--\d+(.*)"","""")"),"SOUDAINE-LAVINADIERE")</f>
        <v>SOUDAINE-LAVINADIERE</v>
      </c>
      <c r="E24810" s="38" t="s">
        <v>271</v>
      </c>
      <c r="F24810" s="38" t="s">
        <v>98</v>
      </c>
      <c r="G24810" s="49" t="str">
        <f t="shared" si="1"/>
        <v>19370</v>
      </c>
      <c r="H24810" s="49">
        <f t="shared" si="2"/>
        <v>19262</v>
      </c>
    </row>
    <row r="24811">
      <c r="A24811" s="48" t="s">
        <v>2905</v>
      </c>
      <c r="B24811" s="38">
        <v>21660.0</v>
      </c>
      <c r="C24811" s="38" t="s">
        <v>29320</v>
      </c>
      <c r="D24811" s="38" t="str">
        <f>IFERROR(__xludf.DUMMYFUNCTION("REGEXREPLACE(C24811,""-\d+(.*)|--\d+(.*)"","""")"),"VEILLY")</f>
        <v>VEILLY</v>
      </c>
      <c r="E24811" s="38" t="s">
        <v>105</v>
      </c>
      <c r="F24811" s="38" t="s">
        <v>106</v>
      </c>
      <c r="G24811" s="49" t="str">
        <f t="shared" si="1"/>
        <v>21360</v>
      </c>
      <c r="H24811" s="49">
        <f t="shared" si="2"/>
        <v>21660</v>
      </c>
    </row>
    <row r="24812">
      <c r="A24812" s="48" t="s">
        <v>6301</v>
      </c>
      <c r="B24812" s="38">
        <v>81253.0</v>
      </c>
      <c r="C24812" s="38" t="s">
        <v>25251</v>
      </c>
      <c r="D24812" s="38" t="str">
        <f>IFERROR(__xludf.DUMMYFUNCTION("REGEXREPLACE(C24812,""-\d+(.*)|--\d+(.*)"","""")"),"SAINT-GREGOIRE")</f>
        <v>SAINT-GREGOIRE</v>
      </c>
      <c r="E24812" s="38" t="s">
        <v>231</v>
      </c>
      <c r="F24812" s="38" t="s">
        <v>94</v>
      </c>
      <c r="G24812" s="49" t="str">
        <f t="shared" si="1"/>
        <v>81350</v>
      </c>
      <c r="H24812" s="49">
        <f t="shared" si="2"/>
        <v>81253</v>
      </c>
    </row>
    <row r="24813">
      <c r="A24813" s="48" t="s">
        <v>1630</v>
      </c>
      <c r="B24813" s="38">
        <v>57384.0</v>
      </c>
      <c r="C24813" s="38" t="s">
        <v>29321</v>
      </c>
      <c r="D24813" s="38" t="str">
        <f>IFERROR(__xludf.DUMMYFUNCTION("REGEXREPLACE(C24813,""-\d+(.*)|--\d+(.*)"","""")"),"LANING")</f>
        <v>LANING</v>
      </c>
      <c r="E24813" s="38" t="s">
        <v>303</v>
      </c>
      <c r="F24813" s="38" t="s">
        <v>195</v>
      </c>
      <c r="G24813" s="49" t="str">
        <f t="shared" si="1"/>
        <v>57660</v>
      </c>
      <c r="H24813" s="49">
        <f t="shared" si="2"/>
        <v>57384</v>
      </c>
    </row>
    <row r="24814">
      <c r="A24814" s="48" t="s">
        <v>2141</v>
      </c>
      <c r="B24814" s="38">
        <v>80218.0</v>
      </c>
      <c r="C24814" s="38" t="s">
        <v>29322</v>
      </c>
      <c r="D24814" s="38" t="str">
        <f>IFERROR(__xludf.DUMMYFUNCTION("REGEXREPLACE(C24814,""-\d+(.*)|--\d+(.*)"","""")"),"COURCELLES-SOUS-MOYENCOURT")</f>
        <v>COURCELLES-SOUS-MOYENCOURT</v>
      </c>
      <c r="E24814" s="38" t="s">
        <v>224</v>
      </c>
      <c r="F24814" s="38" t="s">
        <v>113</v>
      </c>
      <c r="G24814" s="49" t="str">
        <f t="shared" si="1"/>
        <v>80290</v>
      </c>
      <c r="H24814" s="49">
        <f t="shared" si="2"/>
        <v>80218</v>
      </c>
    </row>
    <row r="24815">
      <c r="A24815" s="48" t="s">
        <v>2100</v>
      </c>
      <c r="B24815" s="38">
        <v>14278.0</v>
      </c>
      <c r="C24815" s="38" t="s">
        <v>29323</v>
      </c>
      <c r="D24815" s="38" t="str">
        <f>IFERROR(__xludf.DUMMYFUNCTION("REGEXREPLACE(C24815,""-\d+(.*)|--\d+(.*)"","""")"),"FONTENAY-LE-PESNEL")</f>
        <v>FONTENAY-LE-PESNEL</v>
      </c>
      <c r="E24815" s="38" t="s">
        <v>137</v>
      </c>
      <c r="F24815" s="38" t="s">
        <v>138</v>
      </c>
      <c r="G24815" s="49" t="str">
        <f t="shared" si="1"/>
        <v>14250</v>
      </c>
      <c r="H24815" s="49">
        <f t="shared" si="2"/>
        <v>14278</v>
      </c>
    </row>
    <row r="24816">
      <c r="A24816" s="48" t="s">
        <v>7071</v>
      </c>
      <c r="B24816" s="38">
        <v>59409.0</v>
      </c>
      <c r="C24816" s="38" t="s">
        <v>29324</v>
      </c>
      <c r="D24816" s="38" t="str">
        <f>IFERROR(__xludf.DUMMYFUNCTION("REGEXREPLACE(C24816,""-\d+(.*)|--\d+(.*)"","""")"),"MONCHECOURT")</f>
        <v>MONCHECOURT</v>
      </c>
      <c r="E24816" s="38" t="s">
        <v>85</v>
      </c>
      <c r="F24816" s="38" t="s">
        <v>86</v>
      </c>
      <c r="G24816" s="49" t="str">
        <f t="shared" si="1"/>
        <v>59234</v>
      </c>
      <c r="H24816" s="49">
        <f t="shared" si="2"/>
        <v>59409</v>
      </c>
    </row>
    <row r="24817">
      <c r="A24817" s="48" t="s">
        <v>3934</v>
      </c>
      <c r="B24817" s="38">
        <v>3251.0</v>
      </c>
      <c r="C24817" s="38" t="s">
        <v>29325</v>
      </c>
      <c r="D24817" s="38" t="str">
        <f>IFERROR(__xludf.DUMMYFUNCTION("REGEXREPLACE(C24817,""-\d+(.*)|--\d+(.*)"","""")"),"SAINT-PLAISIR")</f>
        <v>SAINT-PLAISIR</v>
      </c>
      <c r="E24817" s="38" t="s">
        <v>160</v>
      </c>
      <c r="F24817" s="38" t="s">
        <v>161</v>
      </c>
      <c r="G24817" s="49" t="str">
        <f t="shared" si="1"/>
        <v>03160</v>
      </c>
      <c r="H24817" s="49" t="str">
        <f t="shared" si="2"/>
        <v>03251</v>
      </c>
    </row>
    <row r="24818">
      <c r="A24818" s="48" t="s">
        <v>2814</v>
      </c>
      <c r="B24818" s="38">
        <v>45076.0</v>
      </c>
      <c r="C24818" s="38" t="s">
        <v>29326</v>
      </c>
      <c r="D24818" s="38" t="str">
        <f>IFERROR(__xludf.DUMMYFUNCTION("REGEXREPLACE(C24818,""-\d+(.*)|--\d+(.*)"","""")"),"LA CHAPELLE-SAINT-SEPULCRE")</f>
        <v>LA CHAPELLE-SAINT-SEPULCRE</v>
      </c>
      <c r="E24818" s="38" t="s">
        <v>122</v>
      </c>
      <c r="F24818" s="38" t="s">
        <v>123</v>
      </c>
      <c r="G24818" s="49" t="str">
        <f t="shared" si="1"/>
        <v>45210</v>
      </c>
      <c r="H24818" s="49">
        <f t="shared" si="2"/>
        <v>45076</v>
      </c>
    </row>
    <row r="24819">
      <c r="A24819" s="48" t="s">
        <v>11261</v>
      </c>
      <c r="B24819" s="38">
        <v>38035.0</v>
      </c>
      <c r="C24819" s="38" t="s">
        <v>29327</v>
      </c>
      <c r="D24819" s="38" t="str">
        <f>IFERROR(__xludf.DUMMYFUNCTION("REGEXREPLACE(C24819,""-\d+(.*)|--\d+(.*)"","""")"),"BEAUVOIR-DE-MARC")</f>
        <v>BEAUVOIR-DE-MARC</v>
      </c>
      <c r="E24819" s="38" t="s">
        <v>101</v>
      </c>
      <c r="F24819" s="38" t="s">
        <v>102</v>
      </c>
      <c r="G24819" s="49" t="str">
        <f t="shared" si="1"/>
        <v>38440</v>
      </c>
      <c r="H24819" s="49">
        <f t="shared" si="2"/>
        <v>38035</v>
      </c>
    </row>
    <row r="24820">
      <c r="A24820" s="48" t="s">
        <v>4002</v>
      </c>
      <c r="B24820" s="38">
        <v>51043.0</v>
      </c>
      <c r="C24820" s="38" t="s">
        <v>7991</v>
      </c>
      <c r="D24820" s="38" t="str">
        <f>IFERROR(__xludf.DUMMYFUNCTION("REGEXREPLACE(C24820,""-\d+(.*)|--\d+(.*)"","""")"),"BAZANCOURT")</f>
        <v>BAZANCOURT</v>
      </c>
      <c r="E24820" s="38" t="s">
        <v>129</v>
      </c>
      <c r="F24820" s="38" t="s">
        <v>130</v>
      </c>
      <c r="G24820" s="49" t="str">
        <f t="shared" si="1"/>
        <v>51110</v>
      </c>
      <c r="H24820" s="49">
        <f t="shared" si="2"/>
        <v>51043</v>
      </c>
    </row>
    <row r="24821">
      <c r="A24821" s="48" t="s">
        <v>29328</v>
      </c>
      <c r="B24821" s="38">
        <v>54025.0</v>
      </c>
      <c r="C24821" s="38" t="s">
        <v>29329</v>
      </c>
      <c r="D24821" s="38" t="str">
        <f>IFERROR(__xludf.DUMMYFUNCTION("REGEXREPLACE(C24821,""-\d+(.*)|--\d+(.*)"","""")"),"ART-SUR-MEURTHE")</f>
        <v>ART-SUR-MEURTHE</v>
      </c>
      <c r="E24821" s="38" t="s">
        <v>548</v>
      </c>
      <c r="F24821" s="38" t="s">
        <v>195</v>
      </c>
      <c r="G24821" s="49" t="str">
        <f t="shared" si="1"/>
        <v>54510</v>
      </c>
      <c r="H24821" s="49">
        <f t="shared" si="2"/>
        <v>54025</v>
      </c>
    </row>
    <row r="24822">
      <c r="A24822" s="48" t="s">
        <v>1785</v>
      </c>
      <c r="B24822" s="38">
        <v>42169.0</v>
      </c>
      <c r="C24822" s="38" t="s">
        <v>29330</v>
      </c>
      <c r="D24822" s="38" t="str">
        <f>IFERROR(__xludf.DUMMYFUNCTION("REGEXREPLACE(C24822,""-\d+(.*)|--\d+(.*)"","""")"),"PERIGNEUX")</f>
        <v>PERIGNEUX</v>
      </c>
      <c r="E24822" s="38" t="s">
        <v>166</v>
      </c>
      <c r="F24822" s="38" t="s">
        <v>102</v>
      </c>
      <c r="G24822" s="49" t="str">
        <f t="shared" si="1"/>
        <v>42380</v>
      </c>
      <c r="H24822" s="49">
        <f t="shared" si="2"/>
        <v>42169</v>
      </c>
    </row>
    <row r="24823">
      <c r="A24823" s="48" t="s">
        <v>29331</v>
      </c>
      <c r="B24823" s="38">
        <v>34209.0</v>
      </c>
      <c r="C24823" s="38" t="s">
        <v>29332</v>
      </c>
      <c r="D24823" s="38" t="str">
        <f>IFERROR(__xludf.DUMMYFUNCTION("REGEXREPLACE(C24823,""-\d+(.*)|--\d+(.*)"","""")"),"PORTIRAGNES")</f>
        <v>PORTIRAGNES</v>
      </c>
      <c r="E24823" s="38" t="s">
        <v>118</v>
      </c>
      <c r="F24823" s="38" t="s">
        <v>119</v>
      </c>
      <c r="G24823" s="49" t="str">
        <f t="shared" si="1"/>
        <v>34420</v>
      </c>
      <c r="H24823" s="49">
        <f t="shared" si="2"/>
        <v>34209</v>
      </c>
    </row>
    <row r="24824">
      <c r="A24824" s="48" t="s">
        <v>1534</v>
      </c>
      <c r="B24824" s="38">
        <v>19190.0</v>
      </c>
      <c r="C24824" s="38" t="s">
        <v>29333</v>
      </c>
      <c r="D24824" s="38" t="str">
        <f>IFERROR(__xludf.DUMMYFUNCTION("REGEXREPLACE(C24824,""-\d+(.*)|--\d+(.*)"","""")"),"SAINT-BONNET-PRES-BORT")</f>
        <v>SAINT-BONNET-PRES-BORT</v>
      </c>
      <c r="E24824" s="38" t="s">
        <v>271</v>
      </c>
      <c r="F24824" s="38" t="s">
        <v>98</v>
      </c>
      <c r="G24824" s="49" t="str">
        <f t="shared" si="1"/>
        <v>19200</v>
      </c>
      <c r="H24824" s="49">
        <f t="shared" si="2"/>
        <v>19190</v>
      </c>
    </row>
    <row r="24825">
      <c r="A24825" s="48" t="s">
        <v>3283</v>
      </c>
      <c r="B24825" s="38">
        <v>52517.0</v>
      </c>
      <c r="C24825" s="38" t="s">
        <v>29334</v>
      </c>
      <c r="D24825" s="38" t="str">
        <f>IFERROR(__xludf.DUMMYFUNCTION("REGEXREPLACE(C24825,""-\d+(.*)|--\d+(.*)"","""")"),"VESAIGNES-SOUS-LAFAUCHE")</f>
        <v>VESAIGNES-SOUS-LAFAUCHE</v>
      </c>
      <c r="E24825" s="38" t="s">
        <v>234</v>
      </c>
      <c r="F24825" s="38" t="s">
        <v>130</v>
      </c>
      <c r="G24825" s="49" t="str">
        <f t="shared" si="1"/>
        <v>52700</v>
      </c>
      <c r="H24825" s="49">
        <f t="shared" si="2"/>
        <v>52517</v>
      </c>
    </row>
    <row r="24826">
      <c r="A24826" s="48" t="s">
        <v>9064</v>
      </c>
      <c r="B24826" s="38">
        <v>15196.0</v>
      </c>
      <c r="C24826" s="38" t="s">
        <v>29335</v>
      </c>
      <c r="D24826" s="38" t="str">
        <f>IFERROR(__xludf.DUMMYFUNCTION("REGEXREPLACE(C24826,""-\d+(.*)|--\d+(.*)"","""")"),"SAINT-MAMET-LA-SALVETAT")</f>
        <v>SAINT-MAMET-LA-SALVETAT</v>
      </c>
      <c r="E24826" s="38" t="s">
        <v>632</v>
      </c>
      <c r="F24826" s="38" t="s">
        <v>161</v>
      </c>
      <c r="G24826" s="49" t="str">
        <f t="shared" si="1"/>
        <v>15220</v>
      </c>
      <c r="H24826" s="49">
        <f t="shared" si="2"/>
        <v>15196</v>
      </c>
    </row>
    <row r="24827">
      <c r="A24827" s="48" t="s">
        <v>5594</v>
      </c>
      <c r="B24827" s="38">
        <v>60370.0</v>
      </c>
      <c r="C24827" s="38" t="s">
        <v>29336</v>
      </c>
      <c r="D24827" s="38" t="str">
        <f>IFERROR(__xludf.DUMMYFUNCTION("REGEXREPLACE(C24827,""-\d+(.*)|--\d+(.*)"","""")"),"LORMAISON")</f>
        <v>LORMAISON</v>
      </c>
      <c r="E24827" s="38" t="s">
        <v>112</v>
      </c>
      <c r="F24827" s="38" t="s">
        <v>113</v>
      </c>
      <c r="G24827" s="49" t="str">
        <f t="shared" si="1"/>
        <v>60110</v>
      </c>
      <c r="H24827" s="49">
        <f t="shared" si="2"/>
        <v>60370</v>
      </c>
    </row>
    <row r="24828">
      <c r="A24828" s="48" t="s">
        <v>8969</v>
      </c>
      <c r="B24828" s="38">
        <v>19045.0</v>
      </c>
      <c r="C24828" s="38" t="s">
        <v>29337</v>
      </c>
      <c r="D24828" s="38" t="str">
        <f>IFERROR(__xludf.DUMMYFUNCTION("REGEXREPLACE(C24828,""-\d+(.*)|--\d+(.*)"","""")"),"LA CHAPELLE-SAINT-GERAUD")</f>
        <v>LA CHAPELLE-SAINT-GERAUD</v>
      </c>
      <c r="E24828" s="38" t="s">
        <v>271</v>
      </c>
      <c r="F24828" s="38" t="s">
        <v>98</v>
      </c>
      <c r="G24828" s="49" t="str">
        <f t="shared" si="1"/>
        <v>19430</v>
      </c>
      <c r="H24828" s="49">
        <f t="shared" si="2"/>
        <v>19045</v>
      </c>
    </row>
    <row r="24829">
      <c r="A24829" s="48" t="s">
        <v>2708</v>
      </c>
      <c r="B24829" s="38">
        <v>70202.0</v>
      </c>
      <c r="C24829" s="38" t="s">
        <v>29338</v>
      </c>
      <c r="D24829" s="38" t="str">
        <f>IFERROR(__xludf.DUMMYFUNCTION("REGEXREPLACE(C24829,""-\d+(.*)|--\d+(.*)"","""")"),"DEMANGEVELLE")</f>
        <v>DEMANGEVELLE</v>
      </c>
      <c r="E24829" s="38" t="s">
        <v>956</v>
      </c>
      <c r="F24829" s="38" t="s">
        <v>214</v>
      </c>
      <c r="G24829" s="49" t="str">
        <f t="shared" si="1"/>
        <v>70210</v>
      </c>
      <c r="H24829" s="49">
        <f t="shared" si="2"/>
        <v>70202</v>
      </c>
    </row>
    <row r="24830">
      <c r="A24830" s="48" t="s">
        <v>11099</v>
      </c>
      <c r="B24830" s="38">
        <v>1252.0</v>
      </c>
      <c r="C24830" s="38" t="s">
        <v>29339</v>
      </c>
      <c r="D24830" s="38" t="str">
        <f>IFERROR(__xludf.DUMMYFUNCTION("REGEXREPLACE(C24830,""-\d+(.*)|--\d+(.*)"","""")"),"MOGNENEINS")</f>
        <v>MOGNENEINS</v>
      </c>
      <c r="E24830" s="38" t="s">
        <v>255</v>
      </c>
      <c r="F24830" s="38" t="s">
        <v>102</v>
      </c>
      <c r="G24830" s="49" t="str">
        <f t="shared" si="1"/>
        <v>01140</v>
      </c>
      <c r="H24830" s="49" t="str">
        <f t="shared" si="2"/>
        <v>01252</v>
      </c>
    </row>
    <row r="24831">
      <c r="A24831" s="48" t="s">
        <v>1592</v>
      </c>
      <c r="B24831" s="38">
        <v>40205.0</v>
      </c>
      <c r="C24831" s="38" t="s">
        <v>29340</v>
      </c>
      <c r="D24831" s="38" t="str">
        <f>IFERROR(__xludf.DUMMYFUNCTION("REGEXREPLACE(C24831,""-\d+(.*)|--\d+(.*)"","""")"),"NOUSSE")</f>
        <v>NOUSSE</v>
      </c>
      <c r="E24831" s="38" t="s">
        <v>281</v>
      </c>
      <c r="F24831" s="38" t="s">
        <v>252</v>
      </c>
      <c r="G24831" s="49" t="str">
        <f t="shared" si="1"/>
        <v>40380</v>
      </c>
      <c r="H24831" s="49">
        <f t="shared" si="2"/>
        <v>40205</v>
      </c>
    </row>
    <row r="24832">
      <c r="A24832" s="48" t="s">
        <v>1524</v>
      </c>
      <c r="B24832" s="38">
        <v>25344.0</v>
      </c>
      <c r="C24832" s="38" t="s">
        <v>29341</v>
      </c>
      <c r="D24832" s="38" t="str">
        <f>IFERROR(__xludf.DUMMYFUNCTION("REGEXREPLACE(C24832,""-\d+(.*)|--\d+(.*)"","""")"),"LONGEVELLE-LES-RUSSEY")</f>
        <v>LONGEVELLE-LES-RUSSEY</v>
      </c>
      <c r="E24832" s="38" t="s">
        <v>213</v>
      </c>
      <c r="F24832" s="38" t="s">
        <v>214</v>
      </c>
      <c r="G24832" s="49" t="str">
        <f t="shared" si="1"/>
        <v>25380</v>
      </c>
      <c r="H24832" s="49">
        <f t="shared" si="2"/>
        <v>25344</v>
      </c>
    </row>
    <row r="24833">
      <c r="A24833" s="48" t="s">
        <v>10668</v>
      </c>
      <c r="B24833" s="38">
        <v>61155.0</v>
      </c>
      <c r="C24833" s="38" t="s">
        <v>29342</v>
      </c>
      <c r="D24833" s="38" t="str">
        <f>IFERROR(__xludf.DUMMYFUNCTION("REGEXREPLACE(C24833,""-\d+(.*)|--\d+(.*)"","""")"),"L'EPINAY-LE-COMTE")</f>
        <v>L'EPINAY-LE-COMTE</v>
      </c>
      <c r="E24833" s="38" t="s">
        <v>141</v>
      </c>
      <c r="F24833" s="38" t="s">
        <v>138</v>
      </c>
      <c r="G24833" s="49" t="str">
        <f t="shared" si="1"/>
        <v>61350</v>
      </c>
      <c r="H24833" s="49">
        <f t="shared" si="2"/>
        <v>61155</v>
      </c>
    </row>
    <row r="24834">
      <c r="A24834" s="48" t="s">
        <v>1679</v>
      </c>
      <c r="B24834" s="38">
        <v>51556.0</v>
      </c>
      <c r="C24834" s="38" t="s">
        <v>29343</v>
      </c>
      <c r="D24834" s="38" t="str">
        <f>IFERROR(__xludf.DUMMYFUNCTION("REGEXREPLACE(C24834,""-\d+(.*)|--\d+(.*)"","""")"),"SOUDRON")</f>
        <v>SOUDRON</v>
      </c>
      <c r="E24834" s="38" t="s">
        <v>129</v>
      </c>
      <c r="F24834" s="38" t="s">
        <v>130</v>
      </c>
      <c r="G24834" s="49" t="str">
        <f t="shared" si="1"/>
        <v>51320</v>
      </c>
      <c r="H24834" s="49">
        <f t="shared" si="2"/>
        <v>51556</v>
      </c>
    </row>
    <row r="24835">
      <c r="A24835" s="48" t="s">
        <v>17181</v>
      </c>
      <c r="B24835" s="38">
        <v>35155.0</v>
      </c>
      <c r="C24835" s="38" t="s">
        <v>29344</v>
      </c>
      <c r="D24835" s="38" t="str">
        <f>IFERROR(__xludf.DUMMYFUNCTION("REGEXREPLACE(C24835,""-\d+(.*)|--\d+(.*)"","""")"),"LOHEAC")</f>
        <v>LOHEAC</v>
      </c>
      <c r="E24835" s="38" t="s">
        <v>347</v>
      </c>
      <c r="F24835" s="38" t="s">
        <v>90</v>
      </c>
      <c r="G24835" s="49" t="str">
        <f t="shared" si="1"/>
        <v>35550</v>
      </c>
      <c r="H24835" s="49">
        <f t="shared" si="2"/>
        <v>35155</v>
      </c>
    </row>
    <row r="24836">
      <c r="A24836" s="48" t="s">
        <v>7988</v>
      </c>
      <c r="B24836" s="38">
        <v>24089.0</v>
      </c>
      <c r="C24836" s="38" t="s">
        <v>29345</v>
      </c>
      <c r="D24836" s="38" t="str">
        <f>IFERROR(__xludf.DUMMYFUNCTION("REGEXREPLACE(C24836,""-\d+(.*)|--\d+(.*)"","""")"),"CAZOULES")</f>
        <v>CAZOULES</v>
      </c>
      <c r="E24836" s="38" t="s">
        <v>261</v>
      </c>
      <c r="F24836" s="38" t="s">
        <v>252</v>
      </c>
      <c r="G24836" s="49" t="str">
        <f t="shared" si="1"/>
        <v>24370</v>
      </c>
      <c r="H24836" s="49">
        <f t="shared" si="2"/>
        <v>24089</v>
      </c>
    </row>
    <row r="24837">
      <c r="A24837" s="48" t="s">
        <v>2166</v>
      </c>
      <c r="B24837" s="38">
        <v>86015.0</v>
      </c>
      <c r="C24837" s="38" t="s">
        <v>29346</v>
      </c>
      <c r="D24837" s="38" t="str">
        <f>IFERROR(__xludf.DUMMYFUNCTION("REGEXREPLACE(C24837,""-\d+(.*)|--\d+(.*)"","""")"),"AVAILLES-LIMOUZINE")</f>
        <v>AVAILLES-LIMOUZINE</v>
      </c>
      <c r="E24837" s="38" t="s">
        <v>529</v>
      </c>
      <c r="F24837" s="38" t="s">
        <v>338</v>
      </c>
      <c r="G24837" s="49" t="str">
        <f t="shared" si="1"/>
        <v>86460</v>
      </c>
      <c r="H24837" s="49">
        <f t="shared" si="2"/>
        <v>86015</v>
      </c>
    </row>
    <row r="24838">
      <c r="A24838" s="48" t="s">
        <v>5956</v>
      </c>
      <c r="B24838" s="38">
        <v>62676.0</v>
      </c>
      <c r="C24838" s="38" t="s">
        <v>29347</v>
      </c>
      <c r="D24838" s="38" t="str">
        <f>IFERROR(__xludf.DUMMYFUNCTION("REGEXREPLACE(C24838,""-\d+(.*)|--\d+(.*)"","""")"),"QUERNES")</f>
        <v>QUERNES</v>
      </c>
      <c r="E24838" s="38" t="s">
        <v>109</v>
      </c>
      <c r="F24838" s="38" t="s">
        <v>86</v>
      </c>
      <c r="G24838" s="49" t="str">
        <f t="shared" si="1"/>
        <v>62120</v>
      </c>
      <c r="H24838" s="49">
        <f t="shared" si="2"/>
        <v>62676</v>
      </c>
    </row>
    <row r="24839">
      <c r="A24839" s="48" t="s">
        <v>1018</v>
      </c>
      <c r="B24839" s="38">
        <v>60322.0</v>
      </c>
      <c r="C24839" s="38" t="s">
        <v>29348</v>
      </c>
      <c r="D24839" s="38" t="str">
        <f>IFERROR(__xludf.DUMMYFUNCTION("REGEXREPLACE(C24839,""-\d+(.*)|--\d+(.*)"","""")"),"JAMERICOURT")</f>
        <v>JAMERICOURT</v>
      </c>
      <c r="E24839" s="38" t="s">
        <v>112</v>
      </c>
      <c r="F24839" s="38" t="s">
        <v>113</v>
      </c>
      <c r="G24839" s="49" t="str">
        <f t="shared" si="1"/>
        <v>60240</v>
      </c>
      <c r="H24839" s="49">
        <f t="shared" si="2"/>
        <v>60322</v>
      </c>
    </row>
    <row r="24840">
      <c r="A24840" s="48" t="s">
        <v>3892</v>
      </c>
      <c r="B24840" s="38">
        <v>42336.0</v>
      </c>
      <c r="C24840" s="38" t="s">
        <v>29349</v>
      </c>
      <c r="D24840" s="38" t="str">
        <f>IFERROR(__xludf.DUMMYFUNCTION("REGEXREPLACE(C24840,""-\d+(.*)|--\d+(.*)"","""")"),"VIRIGNEUX")</f>
        <v>VIRIGNEUX</v>
      </c>
      <c r="E24840" s="38" t="s">
        <v>166</v>
      </c>
      <c r="F24840" s="38" t="s">
        <v>102</v>
      </c>
      <c r="G24840" s="49" t="str">
        <f t="shared" si="1"/>
        <v>42140</v>
      </c>
      <c r="H24840" s="49">
        <f t="shared" si="2"/>
        <v>42336</v>
      </c>
    </row>
    <row r="24841">
      <c r="A24841" s="48" t="s">
        <v>5584</v>
      </c>
      <c r="B24841" s="38">
        <v>41095.0</v>
      </c>
      <c r="C24841" s="38" t="s">
        <v>29350</v>
      </c>
      <c r="D24841" s="38" t="str">
        <f>IFERROR(__xludf.DUMMYFUNCTION("REGEXREPLACE(C24841,""-\d+(.*)|--\d+(.*)"","""")"),"FRETEVAL")</f>
        <v>FRETEVAL</v>
      </c>
      <c r="E24841" s="38" t="s">
        <v>188</v>
      </c>
      <c r="F24841" s="38" t="s">
        <v>123</v>
      </c>
      <c r="G24841" s="49" t="str">
        <f t="shared" si="1"/>
        <v>41160</v>
      </c>
      <c r="H24841" s="49">
        <f t="shared" si="2"/>
        <v>41095</v>
      </c>
    </row>
    <row r="24842">
      <c r="A24842" s="48" t="s">
        <v>9181</v>
      </c>
      <c r="B24842" s="38">
        <v>41297.0</v>
      </c>
      <c r="C24842" s="38" t="s">
        <v>29351</v>
      </c>
      <c r="D24842" s="38" t="str">
        <f>IFERROR(__xludf.DUMMYFUNCTION("REGEXREPLACE(C24842,""-\d+(.*)|--\d+(.*)"","""")"),"YVOY-LE-MARRON")</f>
        <v>YVOY-LE-MARRON</v>
      </c>
      <c r="E24842" s="38" t="s">
        <v>188</v>
      </c>
      <c r="F24842" s="38" t="s">
        <v>123</v>
      </c>
      <c r="G24842" s="49" t="str">
        <f t="shared" si="1"/>
        <v>41600</v>
      </c>
      <c r="H24842" s="49">
        <f t="shared" si="2"/>
        <v>41297</v>
      </c>
    </row>
    <row r="24843">
      <c r="A24843" s="48" t="s">
        <v>5332</v>
      </c>
      <c r="B24843" s="38">
        <v>1221.0</v>
      </c>
      <c r="C24843" s="38" t="s">
        <v>29352</v>
      </c>
      <c r="D24843" s="38" t="str">
        <f>IFERROR(__xludf.DUMMYFUNCTION("REGEXREPLACE(C24843,""-\d+(.*)|--\d+(.*)"","""")"),"LOMPNIEU")</f>
        <v>LOMPNIEU</v>
      </c>
      <c r="E24843" s="38" t="s">
        <v>255</v>
      </c>
      <c r="F24843" s="38" t="s">
        <v>102</v>
      </c>
      <c r="G24843" s="49" t="str">
        <f t="shared" si="1"/>
        <v>01260</v>
      </c>
      <c r="H24843" s="49" t="str">
        <f t="shared" si="2"/>
        <v>01221</v>
      </c>
    </row>
    <row r="24844">
      <c r="A24844" s="48" t="s">
        <v>29353</v>
      </c>
      <c r="B24844" s="38">
        <v>85012.0</v>
      </c>
      <c r="C24844" s="38" t="s">
        <v>29354</v>
      </c>
      <c r="D24844" s="38" t="str">
        <f>IFERROR(__xludf.DUMMYFUNCTION("REGEXREPLACE(C24844,""-\d+(.*)|--\d+(.*)"","""")"),"LA BARRE-DE-MONTS")</f>
        <v>LA BARRE-DE-MONTS</v>
      </c>
      <c r="E24844" s="38" t="s">
        <v>179</v>
      </c>
      <c r="F24844" s="38" t="s">
        <v>180</v>
      </c>
      <c r="G24844" s="49" t="str">
        <f t="shared" si="1"/>
        <v>85550</v>
      </c>
      <c r="H24844" s="49">
        <f t="shared" si="2"/>
        <v>85012</v>
      </c>
    </row>
    <row r="24845">
      <c r="A24845" s="48" t="s">
        <v>9778</v>
      </c>
      <c r="B24845" s="38">
        <v>23075.0</v>
      </c>
      <c r="C24845" s="38" t="s">
        <v>29355</v>
      </c>
      <c r="D24845" s="38" t="str">
        <f>IFERROR(__xludf.DUMMYFUNCTION("REGEXREPLACE(C24845,""-\d+(.*)|--\d+(.*)"","""")"),"DUN-LE-PALESTEL")</f>
        <v>DUN-LE-PALESTEL</v>
      </c>
      <c r="E24845" s="38" t="s">
        <v>97</v>
      </c>
      <c r="F24845" s="38" t="s">
        <v>98</v>
      </c>
      <c r="G24845" s="49" t="str">
        <f t="shared" si="1"/>
        <v>23800</v>
      </c>
      <c r="H24845" s="49">
        <f t="shared" si="2"/>
        <v>23075</v>
      </c>
    </row>
    <row r="24846">
      <c r="A24846" s="48" t="s">
        <v>10270</v>
      </c>
      <c r="B24846" s="38">
        <v>37006.0</v>
      </c>
      <c r="C24846" s="38" t="s">
        <v>29356</v>
      </c>
      <c r="D24846" s="38" t="str">
        <f>IFERROR(__xludf.DUMMYFUNCTION("REGEXREPLACE(C24846,""-\d+(.*)|--\d+(.*)"","""")"),"ARTANNES-SUR-INDRE")</f>
        <v>ARTANNES-SUR-INDRE</v>
      </c>
      <c r="E24846" s="38" t="s">
        <v>205</v>
      </c>
      <c r="F24846" s="38" t="s">
        <v>123</v>
      </c>
      <c r="G24846" s="49" t="str">
        <f t="shared" si="1"/>
        <v>37260</v>
      </c>
      <c r="H24846" s="49">
        <f t="shared" si="2"/>
        <v>37006</v>
      </c>
    </row>
    <row r="24847">
      <c r="A24847" s="48" t="s">
        <v>7082</v>
      </c>
      <c r="B24847" s="38">
        <v>79326.0</v>
      </c>
      <c r="C24847" s="38" t="s">
        <v>29357</v>
      </c>
      <c r="D24847" s="38" t="str">
        <f>IFERROR(__xludf.DUMMYFUNCTION("REGEXREPLACE(C24847,""-\d+(.*)|--\d+(.*)"","""")"),"THENEZAY")</f>
        <v>THENEZAY</v>
      </c>
      <c r="E24847" s="38" t="s">
        <v>337</v>
      </c>
      <c r="F24847" s="38" t="s">
        <v>338</v>
      </c>
      <c r="G24847" s="49" t="str">
        <f t="shared" si="1"/>
        <v>79390</v>
      </c>
      <c r="H24847" s="49">
        <f t="shared" si="2"/>
        <v>79326</v>
      </c>
    </row>
    <row r="24848">
      <c r="A24848" s="48" t="s">
        <v>16480</v>
      </c>
      <c r="B24848" s="38">
        <v>71189.0</v>
      </c>
      <c r="C24848" s="38" t="s">
        <v>29358</v>
      </c>
      <c r="D24848" s="38" t="str">
        <f>IFERROR(__xludf.DUMMYFUNCTION("REGEXREPLACE(C24848,""-\d+(.*)|--\d+(.*)"","""")"),"EPERVANS")</f>
        <v>EPERVANS</v>
      </c>
      <c r="E24848" s="38" t="s">
        <v>344</v>
      </c>
      <c r="F24848" s="38" t="s">
        <v>106</v>
      </c>
      <c r="G24848" s="49" t="str">
        <f t="shared" si="1"/>
        <v>71380</v>
      </c>
      <c r="H24848" s="49">
        <f t="shared" si="2"/>
        <v>71189</v>
      </c>
    </row>
    <row r="24849">
      <c r="A24849" s="48" t="s">
        <v>145</v>
      </c>
      <c r="B24849" s="38">
        <v>10247.0</v>
      </c>
      <c r="C24849" s="38" t="s">
        <v>29359</v>
      </c>
      <c r="D24849" s="38" t="str">
        <f>IFERROR(__xludf.DUMMYFUNCTION("REGEXREPLACE(C24849,""-\d+(.*)|--\d+(.*)"","""")"),"MONTFEY")</f>
        <v>MONTFEY</v>
      </c>
      <c r="E24849" s="38" t="s">
        <v>147</v>
      </c>
      <c r="F24849" s="38" t="s">
        <v>130</v>
      </c>
      <c r="G24849" s="49" t="str">
        <f t="shared" si="1"/>
        <v>10130</v>
      </c>
      <c r="H24849" s="49">
        <f t="shared" si="2"/>
        <v>10247</v>
      </c>
    </row>
    <row r="24850">
      <c r="A24850" s="48" t="s">
        <v>20319</v>
      </c>
      <c r="B24850" s="38">
        <v>29117.0</v>
      </c>
      <c r="C24850" s="38" t="s">
        <v>29360</v>
      </c>
      <c r="D24850" s="38" t="str">
        <f>IFERROR(__xludf.DUMMYFUNCTION("REGEXREPLACE(C24850,""-\d+(.*)|--\d+(.*)"","""")"),"LANNILIS")</f>
        <v>LANNILIS</v>
      </c>
      <c r="E24850" s="38" t="s">
        <v>176</v>
      </c>
      <c r="F24850" s="38" t="s">
        <v>90</v>
      </c>
      <c r="G24850" s="49" t="str">
        <f t="shared" si="1"/>
        <v>29870</v>
      </c>
      <c r="H24850" s="49">
        <f t="shared" si="2"/>
        <v>29117</v>
      </c>
    </row>
    <row r="24851">
      <c r="A24851" s="48" t="s">
        <v>28983</v>
      </c>
      <c r="B24851" s="38">
        <v>59003.0</v>
      </c>
      <c r="C24851" s="38" t="s">
        <v>29361</v>
      </c>
      <c r="D24851" s="38" t="str">
        <f>IFERROR(__xludf.DUMMYFUNCTION("REGEXREPLACE(C24851,""-\d+(.*)|--\d+(.*)"","""")"),"AIBES")</f>
        <v>AIBES</v>
      </c>
      <c r="E24851" s="38" t="s">
        <v>85</v>
      </c>
      <c r="F24851" s="38" t="s">
        <v>86</v>
      </c>
      <c r="G24851" s="49" t="str">
        <f t="shared" si="1"/>
        <v>59149</v>
      </c>
      <c r="H24851" s="49">
        <f t="shared" si="2"/>
        <v>59003</v>
      </c>
    </row>
    <row r="24852">
      <c r="A24852" s="48" t="s">
        <v>2817</v>
      </c>
      <c r="B24852" s="38">
        <v>64469.0</v>
      </c>
      <c r="C24852" s="38" t="s">
        <v>29362</v>
      </c>
      <c r="D24852" s="38" t="str">
        <f>IFERROR(__xludf.DUMMYFUNCTION("REGEXREPLACE(C24852,""-\d+(.*)|--\d+(.*)"","""")"),"SAINT-ABIT")</f>
        <v>SAINT-ABIT</v>
      </c>
      <c r="E24852" s="38" t="s">
        <v>268</v>
      </c>
      <c r="F24852" s="38" t="s">
        <v>252</v>
      </c>
      <c r="G24852" s="49" t="str">
        <f t="shared" si="1"/>
        <v>64800</v>
      </c>
      <c r="H24852" s="49">
        <f t="shared" si="2"/>
        <v>64469</v>
      </c>
    </row>
    <row r="24853">
      <c r="A24853" s="48" t="s">
        <v>2495</v>
      </c>
      <c r="B24853" s="38">
        <v>41031.0</v>
      </c>
      <c r="C24853" s="38" t="s">
        <v>17880</v>
      </c>
      <c r="D24853" s="38" t="str">
        <f>IFERROR(__xludf.DUMMYFUNCTION("REGEXREPLACE(C24853,""-\d+(.*)|--\d+(.*)"","""")"),"CELLETTES")</f>
        <v>CELLETTES</v>
      </c>
      <c r="E24853" s="38" t="s">
        <v>188</v>
      </c>
      <c r="F24853" s="38" t="s">
        <v>123</v>
      </c>
      <c r="G24853" s="49" t="str">
        <f t="shared" si="1"/>
        <v>41120</v>
      </c>
      <c r="H24853" s="49">
        <f t="shared" si="2"/>
        <v>41031</v>
      </c>
    </row>
    <row r="24854">
      <c r="A24854" s="48" t="s">
        <v>7954</v>
      </c>
      <c r="B24854" s="38">
        <v>40106.0</v>
      </c>
      <c r="C24854" s="38" t="s">
        <v>29363</v>
      </c>
      <c r="D24854" s="38" t="str">
        <f>IFERROR(__xludf.DUMMYFUNCTION("REGEXREPLACE(C24854,""-\d+(.*)|--\d+(.*)"","""")"),"GARREY")</f>
        <v>GARREY</v>
      </c>
      <c r="E24854" s="38" t="s">
        <v>281</v>
      </c>
      <c r="F24854" s="38" t="s">
        <v>252</v>
      </c>
      <c r="G24854" s="49" t="str">
        <f t="shared" si="1"/>
        <v>40180</v>
      </c>
      <c r="H24854" s="49">
        <f t="shared" si="2"/>
        <v>40106</v>
      </c>
    </row>
    <row r="24855">
      <c r="A24855" s="48" t="s">
        <v>392</v>
      </c>
      <c r="B24855" s="38">
        <v>35135.0</v>
      </c>
      <c r="C24855" s="38" t="s">
        <v>29364</v>
      </c>
      <c r="D24855" s="38" t="str">
        <f>IFERROR(__xludf.DUMMYFUNCTION("REGEXREPLACE(C24855,""-\d+(.*)|--\d+(.*)"","""")"),"IRODOUER")</f>
        <v>IRODOUER</v>
      </c>
      <c r="E24855" s="38" t="s">
        <v>347</v>
      </c>
      <c r="F24855" s="38" t="s">
        <v>90</v>
      </c>
      <c r="G24855" s="49" t="str">
        <f t="shared" si="1"/>
        <v>35850</v>
      </c>
      <c r="H24855" s="49">
        <f t="shared" si="2"/>
        <v>35135</v>
      </c>
    </row>
    <row r="24856">
      <c r="A24856" s="48" t="s">
        <v>4340</v>
      </c>
      <c r="B24856" s="38">
        <v>33440.0</v>
      </c>
      <c r="C24856" s="38" t="s">
        <v>8391</v>
      </c>
      <c r="D24856" s="38" t="str">
        <f>IFERROR(__xludf.DUMMYFUNCTION("REGEXREPLACE(C24856,""-\d+(.*)|--\d+(.*)"","""")"),"SAINT-MARTIAL")</f>
        <v>SAINT-MARTIAL</v>
      </c>
      <c r="E24856" s="38" t="s">
        <v>462</v>
      </c>
      <c r="F24856" s="38" t="s">
        <v>252</v>
      </c>
      <c r="G24856" s="49" t="str">
        <f t="shared" si="1"/>
        <v>33490</v>
      </c>
      <c r="H24856" s="49">
        <f t="shared" si="2"/>
        <v>33440</v>
      </c>
    </row>
    <row r="24857">
      <c r="A24857" s="48" t="s">
        <v>2861</v>
      </c>
      <c r="B24857" s="38">
        <v>62284.0</v>
      </c>
      <c r="C24857" s="38" t="s">
        <v>29365</v>
      </c>
      <c r="D24857" s="38" t="str">
        <f>IFERROR(__xludf.DUMMYFUNCTION("REGEXREPLACE(C24857,""-\d+(.*)|--\d+(.*)"","""")"),"ECOURT-SAINT-QUENTIN")</f>
        <v>ECOURT-SAINT-QUENTIN</v>
      </c>
      <c r="E24857" s="38" t="s">
        <v>109</v>
      </c>
      <c r="F24857" s="38" t="s">
        <v>86</v>
      </c>
      <c r="G24857" s="49" t="str">
        <f t="shared" si="1"/>
        <v>62860</v>
      </c>
      <c r="H24857" s="49">
        <f t="shared" si="2"/>
        <v>62284</v>
      </c>
    </row>
    <row r="24858">
      <c r="A24858" s="48" t="s">
        <v>2159</v>
      </c>
      <c r="B24858" s="38">
        <v>57319.0</v>
      </c>
      <c r="C24858" s="38" t="s">
        <v>29366</v>
      </c>
      <c r="D24858" s="38" t="str">
        <f>IFERROR(__xludf.DUMMYFUNCTION("REGEXREPLACE(C24858,""-\d+(.*)|--\d+(.*)"","""")"),"HERNY")</f>
        <v>HERNY</v>
      </c>
      <c r="E24858" s="38" t="s">
        <v>303</v>
      </c>
      <c r="F24858" s="38" t="s">
        <v>195</v>
      </c>
      <c r="G24858" s="49" t="str">
        <f t="shared" si="1"/>
        <v>57580</v>
      </c>
      <c r="H24858" s="49">
        <f t="shared" si="2"/>
        <v>57319</v>
      </c>
    </row>
    <row r="24859">
      <c r="A24859" s="48" t="s">
        <v>3305</v>
      </c>
      <c r="B24859" s="38">
        <v>24438.0</v>
      </c>
      <c r="C24859" s="38" t="s">
        <v>29367</v>
      </c>
      <c r="D24859" s="38" t="str">
        <f>IFERROR(__xludf.DUMMYFUNCTION("REGEXREPLACE(C24859,""-\d+(.*)|--\d+(.*)"","""")"),"SAINT-LAURENT-LA-VALLEE")</f>
        <v>SAINT-LAURENT-LA-VALLEE</v>
      </c>
      <c r="E24859" s="38" t="s">
        <v>261</v>
      </c>
      <c r="F24859" s="38" t="s">
        <v>252</v>
      </c>
      <c r="G24859" s="49" t="str">
        <f t="shared" si="1"/>
        <v>24170</v>
      </c>
      <c r="H24859" s="49">
        <f t="shared" si="2"/>
        <v>24438</v>
      </c>
    </row>
    <row r="24860">
      <c r="A24860" s="48" t="s">
        <v>10916</v>
      </c>
      <c r="B24860" s="38">
        <v>40034.0</v>
      </c>
      <c r="C24860" s="38" t="s">
        <v>29368</v>
      </c>
      <c r="D24860" s="38" t="str">
        <f>IFERROR(__xludf.DUMMYFUNCTION("REGEXREPLACE(C24860,""-\d+(.*)|--\d+(.*)"","""")"),"BELUS")</f>
        <v>BELUS</v>
      </c>
      <c r="E24860" s="38" t="s">
        <v>281</v>
      </c>
      <c r="F24860" s="38" t="s">
        <v>252</v>
      </c>
      <c r="G24860" s="49" t="str">
        <f t="shared" si="1"/>
        <v>40300</v>
      </c>
      <c r="H24860" s="49">
        <f t="shared" si="2"/>
        <v>40034</v>
      </c>
    </row>
    <row r="24861">
      <c r="A24861" s="48" t="s">
        <v>860</v>
      </c>
      <c r="B24861" s="38">
        <v>80130.0</v>
      </c>
      <c r="C24861" s="38" t="s">
        <v>29369</v>
      </c>
      <c r="D24861" s="38" t="str">
        <f>IFERROR(__xludf.DUMMYFUNCTION("REGEXREPLACE(C24861,""-\d+(.*)|--\d+(.*)"","""")"),"BOVELLES")</f>
        <v>BOVELLES</v>
      </c>
      <c r="E24861" s="38" t="s">
        <v>224</v>
      </c>
      <c r="F24861" s="38" t="s">
        <v>113</v>
      </c>
      <c r="G24861" s="49" t="str">
        <f t="shared" si="1"/>
        <v>80540</v>
      </c>
      <c r="H24861" s="49">
        <f t="shared" si="2"/>
        <v>80130</v>
      </c>
    </row>
    <row r="24862">
      <c r="A24862" s="48" t="s">
        <v>1056</v>
      </c>
      <c r="B24862" s="38">
        <v>11427.0</v>
      </c>
      <c r="C24862" s="38" t="s">
        <v>29370</v>
      </c>
      <c r="D24862" s="38" t="str">
        <f>IFERROR(__xludf.DUMMYFUNCTION("REGEXREPLACE(C24862,""-\d+(.*)|--\d+(.*)"","""")"),"VILLELONGUE-D'AUDE")</f>
        <v>VILLELONGUE-D'AUDE</v>
      </c>
      <c r="E24862" s="38" t="s">
        <v>278</v>
      </c>
      <c r="F24862" s="38" t="s">
        <v>119</v>
      </c>
      <c r="G24862" s="49" t="str">
        <f t="shared" si="1"/>
        <v>11300</v>
      </c>
      <c r="H24862" s="49">
        <f t="shared" si="2"/>
        <v>11427</v>
      </c>
    </row>
    <row r="24863">
      <c r="A24863" s="48" t="s">
        <v>12407</v>
      </c>
      <c r="B24863" s="38">
        <v>38445.0</v>
      </c>
      <c r="C24863" s="38" t="s">
        <v>29371</v>
      </c>
      <c r="D24863" s="38" t="str">
        <f>IFERROR(__xludf.DUMMYFUNCTION("REGEXREPLACE(C24863,""-\d+(.*)|--\d+(.*)"","""")"),"SAINT-PIERRE-DE-MESAGE")</f>
        <v>SAINT-PIERRE-DE-MESAGE</v>
      </c>
      <c r="E24863" s="38" t="s">
        <v>101</v>
      </c>
      <c r="F24863" s="38" t="s">
        <v>102</v>
      </c>
      <c r="G24863" s="49" t="str">
        <f t="shared" si="1"/>
        <v>38220</v>
      </c>
      <c r="H24863" s="49">
        <f t="shared" si="2"/>
        <v>38445</v>
      </c>
    </row>
    <row r="24864">
      <c r="A24864" s="48" t="s">
        <v>1006</v>
      </c>
      <c r="B24864" s="38">
        <v>16097.0</v>
      </c>
      <c r="C24864" s="38" t="s">
        <v>29372</v>
      </c>
      <c r="D24864" s="38" t="str">
        <f>IFERROR(__xludf.DUMMYFUNCTION("REGEXREPLACE(C24864,""-\d+(.*)|--\d+(.*)"","""")"),"CHERVES-RICHEMONT")</f>
        <v>CHERVES-RICHEMONT</v>
      </c>
      <c r="E24864" s="38" t="s">
        <v>429</v>
      </c>
      <c r="F24864" s="38" t="s">
        <v>338</v>
      </c>
      <c r="G24864" s="49" t="str">
        <f t="shared" si="1"/>
        <v>16370</v>
      </c>
      <c r="H24864" s="49">
        <f t="shared" si="2"/>
        <v>16097</v>
      </c>
    </row>
    <row r="24865">
      <c r="A24865" s="48" t="s">
        <v>1058</v>
      </c>
      <c r="B24865" s="38">
        <v>21340.0</v>
      </c>
      <c r="C24865" s="38" t="s">
        <v>29373</v>
      </c>
      <c r="D24865" s="38" t="str">
        <f>IFERROR(__xludf.DUMMYFUNCTION("REGEXREPLACE(C24865,""-\d+(.*)|--\d+(.*)"","""")"),"LANTHES")</f>
        <v>LANTHES</v>
      </c>
      <c r="E24865" s="38" t="s">
        <v>105</v>
      </c>
      <c r="F24865" s="38" t="s">
        <v>106</v>
      </c>
      <c r="G24865" s="49" t="str">
        <f t="shared" si="1"/>
        <v>21250</v>
      </c>
      <c r="H24865" s="49">
        <f t="shared" si="2"/>
        <v>21340</v>
      </c>
    </row>
    <row r="24866">
      <c r="A24866" s="48" t="s">
        <v>4316</v>
      </c>
      <c r="B24866" s="38">
        <v>49085.0</v>
      </c>
      <c r="C24866" s="38" t="s">
        <v>29374</v>
      </c>
      <c r="D24866" s="38" t="str">
        <f>IFERROR(__xludf.DUMMYFUNCTION("REGEXREPLACE(C24866,""-\d+(.*)|--\d+(.*)"","""")"),"LA CHAUSSAIRE")</f>
        <v>LA CHAUSSAIRE</v>
      </c>
      <c r="E24866" s="38" t="s">
        <v>653</v>
      </c>
      <c r="F24866" s="38" t="s">
        <v>180</v>
      </c>
      <c r="G24866" s="49" t="str">
        <f t="shared" si="1"/>
        <v>49600</v>
      </c>
      <c r="H24866" s="49">
        <f t="shared" si="2"/>
        <v>49085</v>
      </c>
    </row>
    <row r="24867">
      <c r="A24867" s="48" t="s">
        <v>2558</v>
      </c>
      <c r="B24867" s="38">
        <v>16352.0</v>
      </c>
      <c r="C24867" s="38" t="s">
        <v>12675</v>
      </c>
      <c r="D24867" s="38" t="str">
        <f>IFERROR(__xludf.DUMMYFUNCTION("REGEXREPLACE(C24867,""-\d+(.*)|--\d+(.*)"","""")"),"SAINT-SIMON")</f>
        <v>SAINT-SIMON</v>
      </c>
      <c r="E24867" s="38" t="s">
        <v>429</v>
      </c>
      <c r="F24867" s="38" t="s">
        <v>338</v>
      </c>
      <c r="G24867" s="49" t="str">
        <f t="shared" si="1"/>
        <v>16120</v>
      </c>
      <c r="H24867" s="49">
        <f t="shared" si="2"/>
        <v>16352</v>
      </c>
    </row>
    <row r="24868">
      <c r="A24868" s="48" t="s">
        <v>8199</v>
      </c>
      <c r="B24868" s="38">
        <v>63033.0</v>
      </c>
      <c r="C24868" s="38" t="s">
        <v>29375</v>
      </c>
      <c r="D24868" s="38" t="str">
        <f>IFERROR(__xludf.DUMMYFUNCTION("REGEXREPLACE(C24868,""-\d+(.*)|--\d+(.*)"","""")"),"BEAUMONT-LES-RANDAN")</f>
        <v>BEAUMONT-LES-RANDAN</v>
      </c>
      <c r="E24868" s="38" t="s">
        <v>353</v>
      </c>
      <c r="F24868" s="38" t="s">
        <v>161</v>
      </c>
      <c r="G24868" s="49" t="str">
        <f t="shared" si="1"/>
        <v>63310</v>
      </c>
      <c r="H24868" s="49">
        <f t="shared" si="2"/>
        <v>63033</v>
      </c>
    </row>
    <row r="24869">
      <c r="A24869" s="48" t="s">
        <v>10861</v>
      </c>
      <c r="B24869" s="38">
        <v>35359.0</v>
      </c>
      <c r="C24869" s="38" t="s">
        <v>29376</v>
      </c>
      <c r="D24869" s="38" t="str">
        <f>IFERROR(__xludf.DUMMYFUNCTION("REGEXREPLACE(C24869,""-\d+(.*)|--\d+(.*)"","""")"),"VISSEICHE")</f>
        <v>VISSEICHE</v>
      </c>
      <c r="E24869" s="38" t="s">
        <v>347</v>
      </c>
      <c r="F24869" s="38" t="s">
        <v>90</v>
      </c>
      <c r="G24869" s="49" t="str">
        <f t="shared" si="1"/>
        <v>35130</v>
      </c>
      <c r="H24869" s="49">
        <f t="shared" si="2"/>
        <v>35359</v>
      </c>
    </row>
    <row r="24870">
      <c r="A24870" s="48" t="s">
        <v>1861</v>
      </c>
      <c r="B24870" s="38">
        <v>46027.0</v>
      </c>
      <c r="C24870" s="38" t="s">
        <v>29377</v>
      </c>
      <c r="D24870" s="38" t="str">
        <f>IFERROR(__xludf.DUMMYFUNCTION("REGEXREPLACE(C24870,""-\d+(.*)|--\d+(.*)"","""")"),"BERGANTY")</f>
        <v>BERGANTY</v>
      </c>
      <c r="E24870" s="38" t="s">
        <v>185</v>
      </c>
      <c r="F24870" s="38" t="s">
        <v>94</v>
      </c>
      <c r="G24870" s="49" t="str">
        <f t="shared" si="1"/>
        <v>46090</v>
      </c>
      <c r="H24870" s="49">
        <f t="shared" si="2"/>
        <v>46027</v>
      </c>
    </row>
    <row r="24871">
      <c r="A24871" s="48" t="s">
        <v>1564</v>
      </c>
      <c r="B24871" s="38">
        <v>45233.0</v>
      </c>
      <c r="C24871" s="38" t="s">
        <v>29378</v>
      </c>
      <c r="D24871" s="38" t="str">
        <f>IFERROR(__xludf.DUMMYFUNCTION("REGEXREPLACE(C24871,""-\d+(.*)|--\d+(.*)"","""")"),"ONDREVILLE-SUR-ESSONNE")</f>
        <v>ONDREVILLE-SUR-ESSONNE</v>
      </c>
      <c r="E24871" s="38" t="s">
        <v>122</v>
      </c>
      <c r="F24871" s="38" t="s">
        <v>123</v>
      </c>
      <c r="G24871" s="49" t="str">
        <f t="shared" si="1"/>
        <v>45390</v>
      </c>
      <c r="H24871" s="49">
        <f t="shared" si="2"/>
        <v>45233</v>
      </c>
    </row>
    <row r="24872">
      <c r="A24872" s="48" t="s">
        <v>4065</v>
      </c>
      <c r="B24872" s="38">
        <v>21544.0</v>
      </c>
      <c r="C24872" s="38" t="s">
        <v>10166</v>
      </c>
      <c r="D24872" s="38" t="str">
        <f>IFERROR(__xludf.DUMMYFUNCTION("REGEXREPLACE(C24872,""-\d+(.*)|--\d+(.*)"","""")"),"SAINTE-COLOMBE")</f>
        <v>SAINTE-COLOMBE</v>
      </c>
      <c r="E24872" s="38" t="s">
        <v>105</v>
      </c>
      <c r="F24872" s="38" t="s">
        <v>106</v>
      </c>
      <c r="G24872" s="49" t="str">
        <f t="shared" si="1"/>
        <v>21350</v>
      </c>
      <c r="H24872" s="49">
        <f t="shared" si="2"/>
        <v>21544</v>
      </c>
    </row>
    <row r="24873">
      <c r="A24873" s="48" t="s">
        <v>4566</v>
      </c>
      <c r="B24873" s="38">
        <v>24278.0</v>
      </c>
      <c r="C24873" s="38" t="s">
        <v>29379</v>
      </c>
      <c r="D24873" s="38" t="str">
        <f>IFERROR(__xludf.DUMMYFUNCTION("REGEXREPLACE(C24873,""-\d+(.*)|--\d+(.*)"","""")"),"MONMADALES")</f>
        <v>MONMADALES</v>
      </c>
      <c r="E24873" s="38" t="s">
        <v>261</v>
      </c>
      <c r="F24873" s="38" t="s">
        <v>252</v>
      </c>
      <c r="G24873" s="49" t="str">
        <f t="shared" si="1"/>
        <v>24560</v>
      </c>
      <c r="H24873" s="49">
        <f t="shared" si="2"/>
        <v>24278</v>
      </c>
    </row>
    <row r="24874">
      <c r="A24874" s="48" t="s">
        <v>18499</v>
      </c>
      <c r="B24874" s="38">
        <v>37107.0</v>
      </c>
      <c r="C24874" s="38" t="s">
        <v>29380</v>
      </c>
      <c r="D24874" s="38" t="str">
        <f>IFERROR(__xludf.DUMMYFUNCTION("REGEXREPLACE(C24874,""-\d+(.*)|--\d+(.*)"","""")"),"FERRIERE-LARCON")</f>
        <v>FERRIERE-LARCON</v>
      </c>
      <c r="E24874" s="38" t="s">
        <v>205</v>
      </c>
      <c r="F24874" s="38" t="s">
        <v>123</v>
      </c>
      <c r="G24874" s="49" t="str">
        <f t="shared" si="1"/>
        <v>37350</v>
      </c>
      <c r="H24874" s="49">
        <f t="shared" si="2"/>
        <v>37107</v>
      </c>
    </row>
    <row r="24875">
      <c r="A24875" s="48" t="s">
        <v>1695</v>
      </c>
      <c r="B24875" s="38">
        <v>80206.0</v>
      </c>
      <c r="C24875" s="38" t="s">
        <v>29381</v>
      </c>
      <c r="D24875" s="38" t="str">
        <f>IFERROR(__xludf.DUMMYFUNCTION("REGEXREPLACE(C24875,""-\d+(.*)|--\d+(.*)"","""")"),"CONTALMAISON")</f>
        <v>CONTALMAISON</v>
      </c>
      <c r="E24875" s="38" t="s">
        <v>224</v>
      </c>
      <c r="F24875" s="38" t="s">
        <v>113</v>
      </c>
      <c r="G24875" s="49" t="str">
        <f t="shared" si="1"/>
        <v>80300</v>
      </c>
      <c r="H24875" s="49">
        <f t="shared" si="2"/>
        <v>80206</v>
      </c>
    </row>
    <row r="24876">
      <c r="A24876" s="48" t="s">
        <v>16765</v>
      </c>
      <c r="B24876" s="38">
        <v>76159.0</v>
      </c>
      <c r="C24876" s="38" t="s">
        <v>29382</v>
      </c>
      <c r="D24876" s="38" t="str">
        <f>IFERROR(__xludf.DUMMYFUNCTION("REGEXREPLACE(C24876,""-\d+(.*)|--\d+(.*)"","""")"),"CANY-BARVILLE")</f>
        <v>CANY-BARVILLE</v>
      </c>
      <c r="E24876" s="38" t="s">
        <v>133</v>
      </c>
      <c r="F24876" s="38" t="s">
        <v>134</v>
      </c>
      <c r="G24876" s="49" t="str">
        <f t="shared" si="1"/>
        <v>76450</v>
      </c>
      <c r="H24876" s="49">
        <f t="shared" si="2"/>
        <v>76159</v>
      </c>
    </row>
    <row r="24877">
      <c r="A24877" s="48" t="s">
        <v>719</v>
      </c>
      <c r="B24877" s="38">
        <v>8478.0</v>
      </c>
      <c r="C24877" s="38" t="s">
        <v>29383</v>
      </c>
      <c r="D24877" s="38" t="str">
        <f>IFERROR(__xludf.DUMMYFUNCTION("REGEXREPLACE(C24877,""-\d+(.*)|--\d+(.*)"","""")"),"VILLERS-LE-TILLEUL")</f>
        <v>VILLERS-LE-TILLEUL</v>
      </c>
      <c r="E24877" s="38" t="s">
        <v>327</v>
      </c>
      <c r="F24877" s="38" t="s">
        <v>130</v>
      </c>
      <c r="G24877" s="49" t="str">
        <f t="shared" si="1"/>
        <v>08430</v>
      </c>
      <c r="H24877" s="49" t="str">
        <f t="shared" si="2"/>
        <v>08478</v>
      </c>
    </row>
    <row r="24878">
      <c r="A24878" s="48" t="s">
        <v>220</v>
      </c>
      <c r="B24878" s="38">
        <v>67306.0</v>
      </c>
      <c r="C24878" s="38" t="s">
        <v>29384</v>
      </c>
      <c r="D24878" s="38" t="str">
        <f>IFERROR(__xludf.DUMMYFUNCTION("REGEXREPLACE(C24878,""-\d+(.*)|--\d+(.*)"","""")"),"MUHLBACH-SUR-BRUCHE")</f>
        <v>MUHLBACH-SUR-BRUCHE</v>
      </c>
      <c r="E24878" s="38" t="s">
        <v>210</v>
      </c>
      <c r="F24878" s="38" t="s">
        <v>151</v>
      </c>
      <c r="G24878" s="49" t="str">
        <f t="shared" si="1"/>
        <v>67130</v>
      </c>
      <c r="H24878" s="49">
        <f t="shared" si="2"/>
        <v>67306</v>
      </c>
    </row>
    <row r="24879">
      <c r="A24879" s="48" t="s">
        <v>2736</v>
      </c>
      <c r="B24879" s="38">
        <v>89342.0</v>
      </c>
      <c r="C24879" s="38" t="s">
        <v>29385</v>
      </c>
      <c r="D24879" s="38" t="str">
        <f>IFERROR(__xludf.DUMMYFUNCTION("REGEXREPLACE(C24879,""-\d+(.*)|--\d+(.*)"","""")"),"SAINT-DENIS-LES-SENS")</f>
        <v>SAINT-DENIS-LES-SENS</v>
      </c>
      <c r="E24879" s="38" t="s">
        <v>275</v>
      </c>
      <c r="F24879" s="38" t="s">
        <v>106</v>
      </c>
      <c r="G24879" s="49" t="str">
        <f t="shared" si="1"/>
        <v>89100</v>
      </c>
      <c r="H24879" s="49">
        <f t="shared" si="2"/>
        <v>89342</v>
      </c>
    </row>
    <row r="24880">
      <c r="A24880" s="48" t="s">
        <v>7712</v>
      </c>
      <c r="B24880" s="38">
        <v>9121.0</v>
      </c>
      <c r="C24880" s="38" t="s">
        <v>29386</v>
      </c>
      <c r="D24880" s="38" t="str">
        <f>IFERROR(__xludf.DUMMYFUNCTION("REGEXREPLACE(C24880,""-\d+(.*)|--\d+(.*)"","""")"),"FERRIERES-SUR-ARIEGE")</f>
        <v>FERRIERES-SUR-ARIEGE</v>
      </c>
      <c r="E24880" s="38" t="s">
        <v>238</v>
      </c>
      <c r="F24880" s="38" t="s">
        <v>94</v>
      </c>
      <c r="G24880" s="49" t="str">
        <f t="shared" si="1"/>
        <v>09000</v>
      </c>
      <c r="H24880" s="49" t="str">
        <f t="shared" si="2"/>
        <v>09121</v>
      </c>
    </row>
    <row r="24881">
      <c r="A24881" s="48" t="s">
        <v>10390</v>
      </c>
      <c r="B24881" s="38">
        <v>74176.0</v>
      </c>
      <c r="C24881" s="38" t="s">
        <v>29387</v>
      </c>
      <c r="D24881" s="38" t="str">
        <f>IFERROR(__xludf.DUMMYFUNCTION("REGEXREPLACE(C24881,""-\d+(.*)|--\d+(.*)"","""")"),"MENTHON-SAINT-BERNARD")</f>
        <v>MENTHON-SAINT-BERNARD</v>
      </c>
      <c r="E24881" s="38" t="s">
        <v>319</v>
      </c>
      <c r="F24881" s="38" t="s">
        <v>102</v>
      </c>
      <c r="G24881" s="49" t="str">
        <f t="shared" si="1"/>
        <v>74290</v>
      </c>
      <c r="H24881" s="49">
        <f t="shared" si="2"/>
        <v>74176</v>
      </c>
    </row>
    <row r="24882">
      <c r="A24882" s="48" t="s">
        <v>993</v>
      </c>
      <c r="B24882" s="38">
        <v>73263.0</v>
      </c>
      <c r="C24882" s="38" t="s">
        <v>29388</v>
      </c>
      <c r="D24882" s="38" t="str">
        <f>IFERROR(__xludf.DUMMYFUNCTION("REGEXREPLACE(C24882,""-\d+(.*)|--\d+(.*)"","""")"),"SAINT-OFFENGE-DESSOUS")</f>
        <v>SAINT-OFFENGE-DESSOUS</v>
      </c>
      <c r="E24882" s="38" t="s">
        <v>306</v>
      </c>
      <c r="F24882" s="38" t="s">
        <v>102</v>
      </c>
      <c r="G24882" s="49" t="str">
        <f t="shared" si="1"/>
        <v>73100</v>
      </c>
      <c r="H24882" s="49">
        <f t="shared" si="2"/>
        <v>73263</v>
      </c>
    </row>
    <row r="24883">
      <c r="A24883" s="48" t="s">
        <v>1522</v>
      </c>
      <c r="B24883" s="38">
        <v>32313.0</v>
      </c>
      <c r="C24883" s="38" t="s">
        <v>29389</v>
      </c>
      <c r="D24883" s="38" t="str">
        <f>IFERROR(__xludf.DUMMYFUNCTION("REGEXREPLACE(C24883,""-\d+(.*)|--\d+(.*)"","""")"),"PESSOULENS")</f>
        <v>PESSOULENS</v>
      </c>
      <c r="E24883" s="38" t="s">
        <v>440</v>
      </c>
      <c r="F24883" s="38" t="s">
        <v>94</v>
      </c>
      <c r="G24883" s="49" t="str">
        <f t="shared" si="1"/>
        <v>32380</v>
      </c>
      <c r="H24883" s="49">
        <f t="shared" si="2"/>
        <v>32313</v>
      </c>
    </row>
    <row r="24884">
      <c r="A24884" s="48" t="s">
        <v>17834</v>
      </c>
      <c r="B24884" s="38">
        <v>83013.0</v>
      </c>
      <c r="C24884" s="38" t="s">
        <v>8417</v>
      </c>
      <c r="D24884" s="38" t="str">
        <f>IFERROR(__xludf.DUMMYFUNCTION("REGEXREPLACE(C24884,""-\d+(.*)|--\d+(.*)"","""")"),"LA BASTIDE")</f>
        <v>LA BASTIDE</v>
      </c>
      <c r="E24884" s="38" t="s">
        <v>813</v>
      </c>
      <c r="F24884" s="38" t="s">
        <v>228</v>
      </c>
      <c r="G24884" s="49" t="str">
        <f t="shared" si="1"/>
        <v>83840</v>
      </c>
      <c r="H24884" s="49">
        <f t="shared" si="2"/>
        <v>83013</v>
      </c>
    </row>
    <row r="24885">
      <c r="A24885" s="48" t="s">
        <v>3696</v>
      </c>
      <c r="B24885" s="38">
        <v>78364.0</v>
      </c>
      <c r="C24885" s="38" t="s">
        <v>29390</v>
      </c>
      <c r="D24885" s="38" t="str">
        <f>IFERROR(__xludf.DUMMYFUNCTION("REGEXREPLACE(C24885,""-\d+(.*)|--\d+(.*)"","""")"),"MARCQ")</f>
        <v>MARCQ</v>
      </c>
      <c r="E24885" s="38" t="s">
        <v>362</v>
      </c>
      <c r="F24885" s="38" t="s">
        <v>245</v>
      </c>
      <c r="G24885" s="49" t="str">
        <f t="shared" si="1"/>
        <v>78770</v>
      </c>
      <c r="H24885" s="49">
        <f t="shared" si="2"/>
        <v>78364</v>
      </c>
    </row>
    <row r="24886">
      <c r="A24886" s="48" t="s">
        <v>1358</v>
      </c>
      <c r="B24886" s="38">
        <v>81295.0</v>
      </c>
      <c r="C24886" s="38" t="s">
        <v>29391</v>
      </c>
      <c r="D24886" s="38" t="str">
        <f>IFERROR(__xludf.DUMMYFUNCTION("REGEXREPLACE(C24886,""-\d+(.*)|--\d+(.*)"","""")"),"TEILLET")</f>
        <v>TEILLET</v>
      </c>
      <c r="E24886" s="38" t="s">
        <v>231</v>
      </c>
      <c r="F24886" s="38" t="s">
        <v>94</v>
      </c>
      <c r="G24886" s="49" t="str">
        <f t="shared" si="1"/>
        <v>81120</v>
      </c>
      <c r="H24886" s="49">
        <f t="shared" si="2"/>
        <v>81295</v>
      </c>
    </row>
    <row r="24887">
      <c r="A24887" s="48" t="s">
        <v>29392</v>
      </c>
      <c r="B24887" s="38">
        <v>17155.0</v>
      </c>
      <c r="C24887" s="38" t="s">
        <v>29393</v>
      </c>
      <c r="D24887" s="38" t="str">
        <f>IFERROR(__xludf.DUMMYFUNCTION("REGEXREPLACE(C24887,""-\d+(.*)|--\d+(.*)"","""")"),"ETAULES")</f>
        <v>ETAULES</v>
      </c>
      <c r="E24887" s="38" t="s">
        <v>488</v>
      </c>
      <c r="F24887" s="38" t="s">
        <v>338</v>
      </c>
      <c r="G24887" s="49" t="str">
        <f t="shared" si="1"/>
        <v>17750</v>
      </c>
      <c r="H24887" s="49">
        <f t="shared" si="2"/>
        <v>17155</v>
      </c>
    </row>
    <row r="24888">
      <c r="A24888" s="48" t="s">
        <v>29394</v>
      </c>
      <c r="B24888" s="38">
        <v>74011.0</v>
      </c>
      <c r="C24888" s="38" t="s">
        <v>29395</v>
      </c>
      <c r="D24888" s="38" t="str">
        <f>IFERROR(__xludf.DUMMYFUNCTION("REGEXREPLACE(C24888,""-\d+(.*)|--\d+(.*)"","""")"),"ANNECY-LE-VIEUX")</f>
        <v>ANNECY-LE-VIEUX</v>
      </c>
      <c r="E24888" s="38" t="s">
        <v>319</v>
      </c>
      <c r="F24888" s="38" t="s">
        <v>102</v>
      </c>
      <c r="G24888" s="49" t="str">
        <f t="shared" si="1"/>
        <v>74940</v>
      </c>
      <c r="H24888" s="49">
        <f t="shared" si="2"/>
        <v>74011</v>
      </c>
    </row>
    <row r="24889">
      <c r="A24889" s="48" t="s">
        <v>456</v>
      </c>
      <c r="B24889" s="38">
        <v>63036.0</v>
      </c>
      <c r="C24889" s="38" t="s">
        <v>29396</v>
      </c>
      <c r="D24889" s="38" t="str">
        <f>IFERROR(__xludf.DUMMYFUNCTION("REGEXREPLACE(C24889,""-\d+(.*)|--\d+(.*)"","""")"),"BERGONNE")</f>
        <v>BERGONNE</v>
      </c>
      <c r="E24889" s="38" t="s">
        <v>353</v>
      </c>
      <c r="F24889" s="38" t="s">
        <v>161</v>
      </c>
      <c r="G24889" s="49" t="str">
        <f t="shared" si="1"/>
        <v>63500</v>
      </c>
      <c r="H24889" s="49">
        <f t="shared" si="2"/>
        <v>63036</v>
      </c>
    </row>
    <row r="24890">
      <c r="A24890" s="48" t="s">
        <v>423</v>
      </c>
      <c r="B24890" s="38">
        <v>2267.0</v>
      </c>
      <c r="C24890" s="38" t="s">
        <v>29397</v>
      </c>
      <c r="D24890" s="38" t="str">
        <f>IFERROR(__xludf.DUMMYFUNCTION("REGEXREPLACE(C24890,""-\d+(.*)|--\d+(.*)"","""")"),"DOMMIERS")</f>
        <v>DOMMIERS</v>
      </c>
      <c r="E24890" s="38" t="s">
        <v>191</v>
      </c>
      <c r="F24890" s="38" t="s">
        <v>113</v>
      </c>
      <c r="G24890" s="49" t="str">
        <f t="shared" si="1"/>
        <v>02600</v>
      </c>
      <c r="H24890" s="49" t="str">
        <f t="shared" si="2"/>
        <v>02267</v>
      </c>
    </row>
    <row r="24891">
      <c r="A24891" s="48" t="s">
        <v>4334</v>
      </c>
      <c r="B24891" s="38">
        <v>3207.0</v>
      </c>
      <c r="C24891" s="38" t="s">
        <v>29398</v>
      </c>
      <c r="D24891" s="38" t="str">
        <f>IFERROR(__xludf.DUMMYFUNCTION("REGEXREPLACE(C24891,""-\d+(.*)|--\d+(.*)"","""")"),"PIERREFITTE-SUR-LOIRE")</f>
        <v>PIERREFITTE-SUR-LOIRE</v>
      </c>
      <c r="E24891" s="38" t="s">
        <v>160</v>
      </c>
      <c r="F24891" s="38" t="s">
        <v>161</v>
      </c>
      <c r="G24891" s="49" t="str">
        <f t="shared" si="1"/>
        <v>03470</v>
      </c>
      <c r="H24891" s="49" t="str">
        <f t="shared" si="2"/>
        <v>03207</v>
      </c>
    </row>
    <row r="24892">
      <c r="A24892" s="48" t="s">
        <v>1060</v>
      </c>
      <c r="B24892" s="38">
        <v>57112.0</v>
      </c>
      <c r="C24892" s="38" t="s">
        <v>29399</v>
      </c>
      <c r="D24892" s="38" t="str">
        <f>IFERROR(__xludf.DUMMYFUNCTION("REGEXREPLACE(C24892,""-\d+(.*)|--\d+(.*)"","""")"),"BROUCK")</f>
        <v>BROUCK</v>
      </c>
      <c r="E24892" s="38" t="s">
        <v>303</v>
      </c>
      <c r="F24892" s="38" t="s">
        <v>195</v>
      </c>
      <c r="G24892" s="49" t="str">
        <f t="shared" si="1"/>
        <v>57220</v>
      </c>
      <c r="H24892" s="49">
        <f t="shared" si="2"/>
        <v>57112</v>
      </c>
    </row>
    <row r="24893">
      <c r="A24893" s="48" t="s">
        <v>24394</v>
      </c>
      <c r="B24893" s="38">
        <v>12051.0</v>
      </c>
      <c r="C24893" s="38" t="s">
        <v>29400</v>
      </c>
      <c r="D24893" s="38" t="str">
        <f>IFERROR(__xludf.DUMMYFUNCTION("REGEXREPLACE(C24893,""-\d+(.*)|--\d+(.*)"","""")"),"CANTOIN")</f>
        <v>CANTOIN</v>
      </c>
      <c r="E24893" s="38" t="s">
        <v>465</v>
      </c>
      <c r="F24893" s="38" t="s">
        <v>94</v>
      </c>
      <c r="G24893" s="49" t="str">
        <f t="shared" si="1"/>
        <v>12420</v>
      </c>
      <c r="H24893" s="49">
        <f t="shared" si="2"/>
        <v>12051</v>
      </c>
    </row>
    <row r="24894">
      <c r="A24894" s="48" t="s">
        <v>2083</v>
      </c>
      <c r="B24894" s="38">
        <v>17078.0</v>
      </c>
      <c r="C24894" s="38" t="s">
        <v>29401</v>
      </c>
      <c r="D24894" s="38" t="str">
        <f>IFERROR(__xludf.DUMMYFUNCTION("REGEXREPLACE(C24894,""-\d+(.*)|--\d+(.*)"","""")"),"CHADENAC")</f>
        <v>CHADENAC</v>
      </c>
      <c r="E24894" s="38" t="s">
        <v>488</v>
      </c>
      <c r="F24894" s="38" t="s">
        <v>338</v>
      </c>
      <c r="G24894" s="49" t="str">
        <f t="shared" si="1"/>
        <v>17800</v>
      </c>
      <c r="H24894" s="49">
        <f t="shared" si="2"/>
        <v>17078</v>
      </c>
    </row>
    <row r="24895">
      <c r="A24895" s="48" t="s">
        <v>16666</v>
      </c>
      <c r="B24895" s="38">
        <v>49200.0</v>
      </c>
      <c r="C24895" s="38" t="s">
        <v>29402</v>
      </c>
      <c r="D24895" s="38" t="str">
        <f>IFERROR(__xludf.DUMMYFUNCTION("REGEXREPLACE(C24895,""-\d+(.*)|--\d+(.*)"","""")"),"LA MEMBROLLE-SUR-LONGUENEE")</f>
        <v>LA MEMBROLLE-SUR-LONGUENEE</v>
      </c>
      <c r="E24895" s="38" t="s">
        <v>653</v>
      </c>
      <c r="F24895" s="38" t="s">
        <v>180</v>
      </c>
      <c r="G24895" s="49" t="str">
        <f t="shared" si="1"/>
        <v>49770</v>
      </c>
      <c r="H24895" s="49">
        <f t="shared" si="2"/>
        <v>49200</v>
      </c>
    </row>
    <row r="24896">
      <c r="A24896" s="48" t="s">
        <v>12692</v>
      </c>
      <c r="B24896" s="38">
        <v>47148.0</v>
      </c>
      <c r="C24896" s="38" t="s">
        <v>29403</v>
      </c>
      <c r="D24896" s="38" t="str">
        <f>IFERROR(__xludf.DUMMYFUNCTION("REGEXREPLACE(C24896,""-\d+(.*)|--\d+(.*)"","""")"),"LEYRITZ-MONCASSIN")</f>
        <v>LEYRITZ-MONCASSIN</v>
      </c>
      <c r="E24896" s="38" t="s">
        <v>251</v>
      </c>
      <c r="F24896" s="38" t="s">
        <v>252</v>
      </c>
      <c r="G24896" s="49" t="str">
        <f t="shared" si="1"/>
        <v>47700</v>
      </c>
      <c r="H24896" s="49">
        <f t="shared" si="2"/>
        <v>47148</v>
      </c>
    </row>
    <row r="24897">
      <c r="A24897" s="48" t="s">
        <v>5237</v>
      </c>
      <c r="B24897" s="38">
        <v>69075.0</v>
      </c>
      <c r="C24897" s="38" t="s">
        <v>29404</v>
      </c>
      <c r="D24897" s="38" t="str">
        <f>IFERROR(__xludf.DUMMYFUNCTION("REGEXREPLACE(C24897,""-\d+(.*)|--\d+(.*)"","""")"),"DIEME")</f>
        <v>DIEME</v>
      </c>
      <c r="E24897" s="38" t="s">
        <v>350</v>
      </c>
      <c r="F24897" s="38" t="s">
        <v>102</v>
      </c>
      <c r="G24897" s="49" t="str">
        <f t="shared" si="1"/>
        <v>69170</v>
      </c>
      <c r="H24897" s="49">
        <f t="shared" si="2"/>
        <v>69075</v>
      </c>
    </row>
    <row r="24898">
      <c r="A24898" s="48" t="s">
        <v>7901</v>
      </c>
      <c r="B24898" s="38">
        <v>35316.0</v>
      </c>
      <c r="C24898" s="38" t="s">
        <v>29405</v>
      </c>
      <c r="D24898" s="38" t="str">
        <f>IFERROR(__xludf.DUMMYFUNCTION("REGEXREPLACE(C24898,""-\d+(.*)|--\d+(.*)"","""")"),"SAINT-SULPICE-DES-LANDES")</f>
        <v>SAINT-SULPICE-DES-LANDES</v>
      </c>
      <c r="E24898" s="38" t="s">
        <v>347</v>
      </c>
      <c r="F24898" s="38" t="s">
        <v>90</v>
      </c>
      <c r="G24898" s="49" t="str">
        <f t="shared" si="1"/>
        <v>35390</v>
      </c>
      <c r="H24898" s="49">
        <f t="shared" si="2"/>
        <v>35316</v>
      </c>
    </row>
    <row r="24899">
      <c r="A24899" s="48" t="s">
        <v>29406</v>
      </c>
      <c r="B24899" s="38">
        <v>73107.0</v>
      </c>
      <c r="C24899" s="38" t="s">
        <v>29407</v>
      </c>
      <c r="D24899" s="38" t="str">
        <f>IFERROR(__xludf.DUMMYFUNCTION("REGEXREPLACE(C24899,""-\d+(.*)|--\d+(.*)"","""")"),"ENTREMONT-LE-VIEUX")</f>
        <v>ENTREMONT-LE-VIEUX</v>
      </c>
      <c r="E24899" s="38" t="s">
        <v>306</v>
      </c>
      <c r="F24899" s="38" t="s">
        <v>102</v>
      </c>
      <c r="G24899" s="49" t="str">
        <f t="shared" si="1"/>
        <v>73670</v>
      </c>
      <c r="H24899" s="49">
        <f t="shared" si="2"/>
        <v>73107</v>
      </c>
    </row>
    <row r="24900">
      <c r="A24900" s="48" t="s">
        <v>3436</v>
      </c>
      <c r="B24900" s="38">
        <v>33001.0</v>
      </c>
      <c r="C24900" s="38" t="s">
        <v>29408</v>
      </c>
      <c r="D24900" s="38" t="str">
        <f>IFERROR(__xludf.DUMMYFUNCTION("REGEXREPLACE(C24900,""-\d+(.*)|--\d+(.*)"","""")"),"ABZAC")</f>
        <v>ABZAC</v>
      </c>
      <c r="E24900" s="38" t="s">
        <v>462</v>
      </c>
      <c r="F24900" s="38" t="s">
        <v>252</v>
      </c>
      <c r="G24900" s="49" t="str">
        <f t="shared" si="1"/>
        <v>33230</v>
      </c>
      <c r="H24900" s="49">
        <f t="shared" si="2"/>
        <v>33001</v>
      </c>
    </row>
    <row r="24901">
      <c r="A24901" s="48" t="s">
        <v>2989</v>
      </c>
      <c r="B24901" s="38">
        <v>70405.0</v>
      </c>
      <c r="C24901" s="38" t="s">
        <v>29409</v>
      </c>
      <c r="D24901" s="38" t="str">
        <f>IFERROR(__xludf.DUMMYFUNCTION("REGEXREPLACE(C24901,""-\d+(.*)|--\d+(.*)"","""")"),"PENNESIERES")</f>
        <v>PENNESIERES</v>
      </c>
      <c r="E24901" s="38" t="s">
        <v>956</v>
      </c>
      <c r="F24901" s="38" t="s">
        <v>214</v>
      </c>
      <c r="G24901" s="49" t="str">
        <f t="shared" si="1"/>
        <v>70190</v>
      </c>
      <c r="H24901" s="49">
        <f t="shared" si="2"/>
        <v>70405</v>
      </c>
    </row>
    <row r="24902">
      <c r="A24902" s="48" t="s">
        <v>948</v>
      </c>
      <c r="B24902" s="38">
        <v>68017.0</v>
      </c>
      <c r="C24902" s="38" t="s">
        <v>29410</v>
      </c>
      <c r="D24902" s="38" t="str">
        <f>IFERROR(__xludf.DUMMYFUNCTION("REGEXREPLACE(C24902,""-\d+(.*)|--\d+(.*)"","""")"),"BALLERSDORF")</f>
        <v>BALLERSDORF</v>
      </c>
      <c r="E24902" s="38" t="s">
        <v>150</v>
      </c>
      <c r="F24902" s="38" t="s">
        <v>151</v>
      </c>
      <c r="G24902" s="49" t="str">
        <f t="shared" si="1"/>
        <v>68210</v>
      </c>
      <c r="H24902" s="49">
        <f t="shared" si="2"/>
        <v>68017</v>
      </c>
    </row>
    <row r="24903">
      <c r="A24903" s="48" t="s">
        <v>622</v>
      </c>
      <c r="B24903" s="38">
        <v>14759.0</v>
      </c>
      <c r="C24903" s="38" t="s">
        <v>29411</v>
      </c>
      <c r="D24903" s="38" t="str">
        <f>IFERROR(__xludf.DUMMYFUNCTION("REGEXREPLACE(C24903,""-\d+(.*)|--\d+(.*)"","""")"),"VILLY-LEZ-FALAISE")</f>
        <v>VILLY-LEZ-FALAISE</v>
      </c>
      <c r="E24903" s="38" t="s">
        <v>137</v>
      </c>
      <c r="F24903" s="38" t="s">
        <v>138</v>
      </c>
      <c r="G24903" s="49" t="str">
        <f t="shared" si="1"/>
        <v>14700</v>
      </c>
      <c r="H24903" s="49">
        <f t="shared" si="2"/>
        <v>14759</v>
      </c>
    </row>
    <row r="24904">
      <c r="A24904" s="48" t="s">
        <v>29412</v>
      </c>
      <c r="B24904" s="38">
        <v>76065.0</v>
      </c>
      <c r="C24904" s="38" t="s">
        <v>29413</v>
      </c>
      <c r="D24904" s="38" t="str">
        <f>IFERROR(__xludf.DUMMYFUNCTION("REGEXREPLACE(C24904,""-\d+(.*)|--\d+(.*)"","""")"),"BEAUSSAULT")</f>
        <v>BEAUSSAULT</v>
      </c>
      <c r="E24904" s="38" t="s">
        <v>133</v>
      </c>
      <c r="F24904" s="38" t="s">
        <v>134</v>
      </c>
      <c r="G24904" s="49" t="str">
        <f t="shared" si="1"/>
        <v>76870</v>
      </c>
      <c r="H24904" s="49">
        <f t="shared" si="2"/>
        <v>76065</v>
      </c>
    </row>
    <row r="24905">
      <c r="A24905" s="48" t="s">
        <v>29414</v>
      </c>
      <c r="B24905" s="38">
        <v>56047.0</v>
      </c>
      <c r="C24905" s="38" t="s">
        <v>29415</v>
      </c>
      <c r="D24905" s="38" t="str">
        <f>IFERROR(__xludf.DUMMYFUNCTION("REGEXREPLACE(C24905,""-\d+(.*)|--\d+(.*)"","""")"),"CREDIN")</f>
        <v>CREDIN</v>
      </c>
      <c r="E24905" s="38" t="s">
        <v>173</v>
      </c>
      <c r="F24905" s="38" t="s">
        <v>90</v>
      </c>
      <c r="G24905" s="49" t="str">
        <f t="shared" si="1"/>
        <v>56580</v>
      </c>
      <c r="H24905" s="49">
        <f t="shared" si="2"/>
        <v>56047</v>
      </c>
    </row>
    <row r="24906">
      <c r="A24906" s="48" t="s">
        <v>7821</v>
      </c>
      <c r="B24906" s="38">
        <v>8015.0</v>
      </c>
      <c r="C24906" s="38" t="s">
        <v>29416</v>
      </c>
      <c r="D24906" s="38" t="str">
        <f>IFERROR(__xludf.DUMMYFUNCTION("REGEXREPLACE(C24906,""-\d+(.*)|--\d+(.*)"","""")"),"ANTHENY")</f>
        <v>ANTHENY</v>
      </c>
      <c r="E24906" s="38" t="s">
        <v>327</v>
      </c>
      <c r="F24906" s="38" t="s">
        <v>130</v>
      </c>
      <c r="G24906" s="49" t="str">
        <f t="shared" si="1"/>
        <v>08260</v>
      </c>
      <c r="H24906" s="49" t="str">
        <f t="shared" si="2"/>
        <v>08015</v>
      </c>
    </row>
    <row r="24907">
      <c r="A24907" s="48" t="s">
        <v>29417</v>
      </c>
      <c r="B24907" s="38">
        <v>3098.0</v>
      </c>
      <c r="C24907" s="38" t="s">
        <v>23969</v>
      </c>
      <c r="D24907" s="38" t="str">
        <f>IFERROR(__xludf.DUMMYFUNCTION("REGEXREPLACE(C24907,""-\d+(.*)|--\d+(.*)"","""")"),"DESERTINES")</f>
        <v>DESERTINES</v>
      </c>
      <c r="E24907" s="38" t="s">
        <v>160</v>
      </c>
      <c r="F24907" s="38" t="s">
        <v>161</v>
      </c>
      <c r="G24907" s="49" t="str">
        <f t="shared" si="1"/>
        <v>03630</v>
      </c>
      <c r="H24907" s="49" t="str">
        <f t="shared" si="2"/>
        <v>03098</v>
      </c>
    </row>
    <row r="24908">
      <c r="A24908" s="48" t="s">
        <v>23486</v>
      </c>
      <c r="B24908" s="38">
        <v>63319.0</v>
      </c>
      <c r="C24908" s="38" t="s">
        <v>29418</v>
      </c>
      <c r="D24908" s="38" t="str">
        <f>IFERROR(__xludf.DUMMYFUNCTION("REGEXREPLACE(C24908,""-\d+(.*)|--\d+(.*)"","""")"),"SAINT-ANTHEME")</f>
        <v>SAINT-ANTHEME</v>
      </c>
      <c r="E24908" s="38" t="s">
        <v>353</v>
      </c>
      <c r="F24908" s="38" t="s">
        <v>161</v>
      </c>
      <c r="G24908" s="49" t="str">
        <f t="shared" si="1"/>
        <v>63660</v>
      </c>
      <c r="H24908" s="49">
        <f t="shared" si="2"/>
        <v>63319</v>
      </c>
    </row>
    <row r="24909">
      <c r="A24909" s="48" t="s">
        <v>19492</v>
      </c>
      <c r="B24909" s="38">
        <v>71336.0</v>
      </c>
      <c r="C24909" s="38" t="s">
        <v>29419</v>
      </c>
      <c r="D24909" s="38" t="str">
        <f>IFERROR(__xludf.DUMMYFUNCTION("REGEXREPLACE(C24909,""-\d+(.*)|--\d+(.*)"","""")"),"OUROUX-SUR-SAONE")</f>
        <v>OUROUX-SUR-SAONE</v>
      </c>
      <c r="E24909" s="38" t="s">
        <v>344</v>
      </c>
      <c r="F24909" s="38" t="s">
        <v>106</v>
      </c>
      <c r="G24909" s="49" t="str">
        <f t="shared" si="1"/>
        <v>71370</v>
      </c>
      <c r="H24909" s="49">
        <f t="shared" si="2"/>
        <v>71336</v>
      </c>
    </row>
    <row r="24910">
      <c r="A24910" s="48" t="s">
        <v>2170</v>
      </c>
      <c r="B24910" s="38">
        <v>80288.0</v>
      </c>
      <c r="C24910" s="38" t="s">
        <v>29420</v>
      </c>
      <c r="D24910" s="38" t="str">
        <f>IFERROR(__xludf.DUMMYFUNCTION("REGEXREPLACE(C24910,""-\d+(.*)|--\d+(.*)"","""")"),"ESTREES-DENIECOURT")</f>
        <v>ESTREES-DENIECOURT</v>
      </c>
      <c r="E24910" s="38" t="s">
        <v>224</v>
      </c>
      <c r="F24910" s="38" t="s">
        <v>113</v>
      </c>
      <c r="G24910" s="49" t="str">
        <f t="shared" si="1"/>
        <v>80200</v>
      </c>
      <c r="H24910" s="49">
        <f t="shared" si="2"/>
        <v>80288</v>
      </c>
    </row>
    <row r="24911">
      <c r="A24911" s="48" t="s">
        <v>29421</v>
      </c>
      <c r="B24911" s="38">
        <v>60413.0</v>
      </c>
      <c r="C24911" s="38" t="s">
        <v>29422</v>
      </c>
      <c r="D24911" s="38" t="str">
        <f>IFERROR(__xludf.DUMMYFUNCTION("REGEXREPLACE(C24911,""-\d+(.*)|--\d+(.*)"","""")"),"MONTAGNY-SAINTE-FELICITE")</f>
        <v>MONTAGNY-SAINTE-FELICITE</v>
      </c>
      <c r="E24911" s="38" t="s">
        <v>112</v>
      </c>
      <c r="F24911" s="38" t="s">
        <v>113</v>
      </c>
      <c r="G24911" s="49" t="str">
        <f t="shared" si="1"/>
        <v>60950</v>
      </c>
      <c r="H24911" s="49">
        <f t="shared" si="2"/>
        <v>60413</v>
      </c>
    </row>
    <row r="24912">
      <c r="A24912" s="48" t="s">
        <v>29423</v>
      </c>
      <c r="B24912" s="38">
        <v>68258.0</v>
      </c>
      <c r="C24912" s="38" t="s">
        <v>29424</v>
      </c>
      <c r="D24912" s="38" t="str">
        <f>IFERROR(__xludf.DUMMYFUNCTION("REGEXREPLACE(C24912,""-\d+(.*)|--\d+(.*)"","""")"),"PULVERSHEIM")</f>
        <v>PULVERSHEIM</v>
      </c>
      <c r="E24912" s="38" t="s">
        <v>150</v>
      </c>
      <c r="F24912" s="38" t="s">
        <v>151</v>
      </c>
      <c r="G24912" s="49" t="str">
        <f t="shared" si="1"/>
        <v>68840</v>
      </c>
      <c r="H24912" s="49">
        <f t="shared" si="2"/>
        <v>68258</v>
      </c>
    </row>
    <row r="24913">
      <c r="A24913" s="48" t="s">
        <v>9074</v>
      </c>
      <c r="B24913" s="38">
        <v>84148.0</v>
      </c>
      <c r="C24913" s="38" t="s">
        <v>29425</v>
      </c>
      <c r="D24913" s="38" t="str">
        <f>IFERROR(__xludf.DUMMYFUNCTION("REGEXREPLACE(C24913,""-\d+(.*)|--\d+(.*)"","""")"),"VILLES-SUR-AUZON")</f>
        <v>VILLES-SUR-AUZON</v>
      </c>
      <c r="E24913" s="38" t="s">
        <v>1026</v>
      </c>
      <c r="F24913" s="38" t="s">
        <v>228</v>
      </c>
      <c r="G24913" s="49" t="str">
        <f t="shared" si="1"/>
        <v>84570</v>
      </c>
      <c r="H24913" s="49">
        <f t="shared" si="2"/>
        <v>84148</v>
      </c>
    </row>
    <row r="24914">
      <c r="A24914" s="48" t="s">
        <v>3252</v>
      </c>
      <c r="B24914" s="38">
        <v>63371.0</v>
      </c>
      <c r="C24914" s="38" t="s">
        <v>13965</v>
      </c>
      <c r="D24914" s="38" t="str">
        <f>IFERROR(__xludf.DUMMYFUNCTION("REGEXREPLACE(C24914,""-\d+(.*)|--\d+(.*)"","""")"),"SAINT-JUST")</f>
        <v>SAINT-JUST</v>
      </c>
      <c r="E24914" s="38" t="s">
        <v>353</v>
      </c>
      <c r="F24914" s="38" t="s">
        <v>161</v>
      </c>
      <c r="G24914" s="49" t="str">
        <f t="shared" si="1"/>
        <v>63600</v>
      </c>
      <c r="H24914" s="49">
        <f t="shared" si="2"/>
        <v>63371</v>
      </c>
    </row>
    <row r="24915">
      <c r="A24915" s="48" t="s">
        <v>29426</v>
      </c>
      <c r="B24915" s="38">
        <v>13110.0</v>
      </c>
      <c r="C24915" s="38" t="s">
        <v>29427</v>
      </c>
      <c r="D24915" s="38" t="str">
        <f>IFERROR(__xludf.DUMMYFUNCTION("REGEXREPLACE(C24915,""-\d+(.*)|--\d+(.*)"","""")"),"TRETS")</f>
        <v>TRETS</v>
      </c>
      <c r="E24915" s="38" t="s">
        <v>980</v>
      </c>
      <c r="F24915" s="38" t="s">
        <v>228</v>
      </c>
      <c r="G24915" s="49" t="str">
        <f t="shared" si="1"/>
        <v>13530</v>
      </c>
      <c r="H24915" s="49">
        <f t="shared" si="2"/>
        <v>13110</v>
      </c>
    </row>
    <row r="24916">
      <c r="A24916" s="48" t="s">
        <v>4499</v>
      </c>
      <c r="B24916" s="38">
        <v>25185.0</v>
      </c>
      <c r="C24916" s="38" t="s">
        <v>29428</v>
      </c>
      <c r="D24916" s="38" t="str">
        <f>IFERROR(__xludf.DUMMYFUNCTION("REGEXREPLACE(C24916,""-\d+(.*)|--\d+(.*)"","""")"),"CUSSEY-SUR-LISON")</f>
        <v>CUSSEY-SUR-LISON</v>
      </c>
      <c r="E24916" s="38" t="s">
        <v>213</v>
      </c>
      <c r="F24916" s="38" t="s">
        <v>214</v>
      </c>
      <c r="G24916" s="49" t="str">
        <f t="shared" si="1"/>
        <v>25440</v>
      </c>
      <c r="H24916" s="49">
        <f t="shared" si="2"/>
        <v>25185</v>
      </c>
    </row>
    <row r="24917">
      <c r="A24917" s="48" t="s">
        <v>1724</v>
      </c>
      <c r="B24917" s="38">
        <v>26250.0</v>
      </c>
      <c r="C24917" s="38" t="s">
        <v>29429</v>
      </c>
      <c r="D24917" s="38" t="str">
        <f>IFERROR(__xludf.DUMMYFUNCTION("REGEXREPLACE(C24917,""-\d+(.*)|--\d+(.*)"","""")"),"PONT-DE-L'ISERE")</f>
        <v>PONT-DE-L'ISERE</v>
      </c>
      <c r="E24917" s="38" t="s">
        <v>126</v>
      </c>
      <c r="F24917" s="38" t="s">
        <v>102</v>
      </c>
      <c r="G24917" s="49" t="str">
        <f t="shared" si="1"/>
        <v>26600</v>
      </c>
      <c r="H24917" s="49">
        <f t="shared" si="2"/>
        <v>26250</v>
      </c>
    </row>
    <row r="24918">
      <c r="A24918" s="48" t="s">
        <v>744</v>
      </c>
      <c r="B24918" s="38">
        <v>14073.0</v>
      </c>
      <c r="C24918" s="38" t="s">
        <v>29430</v>
      </c>
      <c r="D24918" s="38" t="str">
        <f>IFERROR(__xludf.DUMMYFUNCTION("REGEXREPLACE(C24918,""-\d+(.*)|--\d+(.*)"","""")"),"LA BIGNE")</f>
        <v>LA BIGNE</v>
      </c>
      <c r="E24918" s="38" t="s">
        <v>137</v>
      </c>
      <c r="F24918" s="38" t="s">
        <v>138</v>
      </c>
      <c r="G24918" s="49" t="str">
        <f t="shared" si="1"/>
        <v>14260</v>
      </c>
      <c r="H24918" s="49">
        <f t="shared" si="2"/>
        <v>14073</v>
      </c>
    </row>
    <row r="24919">
      <c r="A24919" s="48" t="s">
        <v>20370</v>
      </c>
      <c r="B24919" s="38">
        <v>67354.0</v>
      </c>
      <c r="C24919" s="38" t="s">
        <v>29431</v>
      </c>
      <c r="D24919" s="38" t="str">
        <f>IFERROR(__xludf.DUMMYFUNCTION("REGEXREPLACE(C24919,""-\d+(.*)|--\d+(.*)"","""")"),"ODRATZHEIM")</f>
        <v>ODRATZHEIM</v>
      </c>
      <c r="E24919" s="38" t="s">
        <v>210</v>
      </c>
      <c r="F24919" s="38" t="s">
        <v>151</v>
      </c>
      <c r="G24919" s="49" t="str">
        <f t="shared" si="1"/>
        <v>67520</v>
      </c>
      <c r="H24919" s="49">
        <f t="shared" si="2"/>
        <v>67354</v>
      </c>
    </row>
    <row r="24920">
      <c r="A24920" s="48" t="s">
        <v>2166</v>
      </c>
      <c r="B24920" s="38">
        <v>86200.0</v>
      </c>
      <c r="C24920" s="38" t="s">
        <v>29432</v>
      </c>
      <c r="D24920" s="38" t="str">
        <f>IFERROR(__xludf.DUMMYFUNCTION("REGEXREPLACE(C24920,""-\d+(.*)|--\d+(.*)"","""")"),"PRESSAC")</f>
        <v>PRESSAC</v>
      </c>
      <c r="E24920" s="38" t="s">
        <v>529</v>
      </c>
      <c r="F24920" s="38" t="s">
        <v>338</v>
      </c>
      <c r="G24920" s="49" t="str">
        <f t="shared" si="1"/>
        <v>86460</v>
      </c>
      <c r="H24920" s="49">
        <f t="shared" si="2"/>
        <v>86200</v>
      </c>
    </row>
    <row r="24921">
      <c r="A24921" s="48" t="s">
        <v>29433</v>
      </c>
      <c r="B24921" s="38">
        <v>77146.0</v>
      </c>
      <c r="C24921" s="38" t="s">
        <v>29434</v>
      </c>
      <c r="D24921" s="38" t="str">
        <f>IFERROR(__xludf.DUMMYFUNCTION("REGEXREPLACE(C24921,""-\d+(.*)|--\d+(.*)"","""")"),"CROISSY-BEAUBOURG")</f>
        <v>CROISSY-BEAUBOURG</v>
      </c>
      <c r="E24921" s="38" t="s">
        <v>244</v>
      </c>
      <c r="F24921" s="38" t="s">
        <v>245</v>
      </c>
      <c r="G24921" s="49" t="str">
        <f t="shared" si="1"/>
        <v>77183</v>
      </c>
      <c r="H24921" s="49">
        <f t="shared" si="2"/>
        <v>77146</v>
      </c>
    </row>
    <row r="24922">
      <c r="A24922" s="48" t="s">
        <v>15015</v>
      </c>
      <c r="B24922" s="38">
        <v>9322.0</v>
      </c>
      <c r="C24922" s="38" t="s">
        <v>29435</v>
      </c>
      <c r="D24922" s="38" t="str">
        <f>IFERROR(__xludf.DUMMYFUNCTION("REGEXREPLACE(C24922,""-\d+(.*)|--\d+(.*)"","""")"),"USTOU")</f>
        <v>USTOU</v>
      </c>
      <c r="E24922" s="38" t="s">
        <v>238</v>
      </c>
      <c r="F24922" s="38" t="s">
        <v>94</v>
      </c>
      <c r="G24922" s="49" t="str">
        <f t="shared" si="1"/>
        <v>09140</v>
      </c>
      <c r="H24922" s="49" t="str">
        <f t="shared" si="2"/>
        <v>09322</v>
      </c>
    </row>
    <row r="24923">
      <c r="A24923" s="48" t="s">
        <v>1964</v>
      </c>
      <c r="B24923" s="38">
        <v>26019.0</v>
      </c>
      <c r="C24923" s="38" t="s">
        <v>12038</v>
      </c>
      <c r="D24923" s="38" t="str">
        <f>IFERROR(__xludf.DUMMYFUNCTION("REGEXREPLACE(C24923,""-\d+(.*)|--\d+(.*)"","""")"),"AUREL")</f>
        <v>AUREL</v>
      </c>
      <c r="E24923" s="38" t="s">
        <v>126</v>
      </c>
      <c r="F24923" s="38" t="s">
        <v>102</v>
      </c>
      <c r="G24923" s="49" t="str">
        <f t="shared" si="1"/>
        <v>26340</v>
      </c>
      <c r="H24923" s="49">
        <f t="shared" si="2"/>
        <v>26019</v>
      </c>
    </row>
    <row r="24924">
      <c r="A24924" s="48" t="s">
        <v>6890</v>
      </c>
      <c r="B24924" s="38">
        <v>51078.0</v>
      </c>
      <c r="C24924" s="38" t="s">
        <v>29436</v>
      </c>
      <c r="D24924" s="38" t="str">
        <f>IFERROR(__xludf.DUMMYFUNCTION("REGEXREPLACE(C24924,""-\d+(.*)|--\d+(.*)"","""")"),"BOUY")</f>
        <v>BOUY</v>
      </c>
      <c r="E24924" s="38" t="s">
        <v>129</v>
      </c>
      <c r="F24924" s="38" t="s">
        <v>130</v>
      </c>
      <c r="G24924" s="49" t="str">
        <f t="shared" si="1"/>
        <v>51400</v>
      </c>
      <c r="H24924" s="49">
        <f t="shared" si="2"/>
        <v>51078</v>
      </c>
    </row>
    <row r="24925">
      <c r="A24925" s="48" t="s">
        <v>8354</v>
      </c>
      <c r="B24925" s="38">
        <v>19278.0</v>
      </c>
      <c r="C24925" s="38" t="s">
        <v>29437</v>
      </c>
      <c r="D24925" s="38" t="str">
        <f>IFERROR(__xludf.DUMMYFUNCTION("REGEXREPLACE(C24925,""-\d+(.*)|--\d+(.*)"","""")"),"VARETZ")</f>
        <v>VARETZ</v>
      </c>
      <c r="E24925" s="38" t="s">
        <v>271</v>
      </c>
      <c r="F24925" s="38" t="s">
        <v>98</v>
      </c>
      <c r="G24925" s="49" t="str">
        <f t="shared" si="1"/>
        <v>19240</v>
      </c>
      <c r="H24925" s="49">
        <f t="shared" si="2"/>
        <v>19278</v>
      </c>
    </row>
    <row r="24926">
      <c r="A24926" s="48" t="s">
        <v>6038</v>
      </c>
      <c r="B24926" s="38">
        <v>88161.0</v>
      </c>
      <c r="C24926" s="38" t="s">
        <v>29438</v>
      </c>
      <c r="D24926" s="38" t="str">
        <f>IFERROR(__xludf.DUMMYFUNCTION("REGEXREPLACE(C24926,""-\d+(.*)|--\d+(.*)"","""")"),"ESCLES")</f>
        <v>ESCLES</v>
      </c>
      <c r="E24926" s="38" t="s">
        <v>194</v>
      </c>
      <c r="F24926" s="38" t="s">
        <v>195</v>
      </c>
      <c r="G24926" s="49" t="str">
        <f t="shared" si="1"/>
        <v>88260</v>
      </c>
      <c r="H24926" s="49">
        <f t="shared" si="2"/>
        <v>88161</v>
      </c>
    </row>
    <row r="24927">
      <c r="A24927" s="48" t="s">
        <v>9883</v>
      </c>
      <c r="B24927" s="38">
        <v>24227.0</v>
      </c>
      <c r="C24927" s="38" t="s">
        <v>29439</v>
      </c>
      <c r="D24927" s="38" t="str">
        <f>IFERROR(__xludf.DUMMYFUNCTION("REGEXREPLACE(C24927,""-\d+(.*)|--\d+(.*)"","""")"),"LANOUAILLE")</f>
        <v>LANOUAILLE</v>
      </c>
      <c r="E24927" s="38" t="s">
        <v>261</v>
      </c>
      <c r="F24927" s="38" t="s">
        <v>252</v>
      </c>
      <c r="G24927" s="49" t="str">
        <f t="shared" si="1"/>
        <v>24270</v>
      </c>
      <c r="H24927" s="49">
        <f t="shared" si="2"/>
        <v>24227</v>
      </c>
    </row>
    <row r="24928">
      <c r="A24928" s="48" t="s">
        <v>13263</v>
      </c>
      <c r="B24928" s="38">
        <v>50368.0</v>
      </c>
      <c r="C24928" s="38" t="s">
        <v>13910</v>
      </c>
      <c r="D24928" s="38" t="str">
        <f>IFERROR(__xludf.DUMMYFUNCTION("REGEXREPLACE(C24928,""-\d+(.*)|--\d+(.*)"","""")"),"NAY")</f>
        <v>NAY</v>
      </c>
      <c r="E24928" s="38" t="s">
        <v>157</v>
      </c>
      <c r="F24928" s="38" t="s">
        <v>138</v>
      </c>
      <c r="G24928" s="49" t="str">
        <f t="shared" si="1"/>
        <v>50190</v>
      </c>
      <c r="H24928" s="49">
        <f t="shared" si="2"/>
        <v>50368</v>
      </c>
    </row>
    <row r="24929">
      <c r="A24929" s="48" t="s">
        <v>1008</v>
      </c>
      <c r="B24929" s="38">
        <v>2769.0</v>
      </c>
      <c r="C24929" s="38" t="s">
        <v>29440</v>
      </c>
      <c r="D24929" s="38" t="str">
        <f>IFERROR(__xludf.DUMMYFUNCTION("REGEXREPLACE(C24929,""-\d+(.*)|--\d+(.*)"","""")"),"VAUX-ANDIGNY")</f>
        <v>VAUX-ANDIGNY</v>
      </c>
      <c r="E24929" s="38" t="s">
        <v>191</v>
      </c>
      <c r="F24929" s="38" t="s">
        <v>113</v>
      </c>
      <c r="G24929" s="49" t="str">
        <f t="shared" si="1"/>
        <v>02110</v>
      </c>
      <c r="H24929" s="49" t="str">
        <f t="shared" si="2"/>
        <v>02769</v>
      </c>
    </row>
    <row r="24930">
      <c r="A24930" s="48" t="s">
        <v>4328</v>
      </c>
      <c r="B24930" s="38">
        <v>70557.0</v>
      </c>
      <c r="C24930" s="38" t="s">
        <v>29441</v>
      </c>
      <c r="D24930" s="38" t="str">
        <f>IFERROR(__xludf.DUMMYFUNCTION("REGEXREPLACE(C24930,""-\d+(.*)|--\d+(.*)"","""")"),"VILLEFRANCON")</f>
        <v>VILLEFRANCON</v>
      </c>
      <c r="E24930" s="38" t="s">
        <v>956</v>
      </c>
      <c r="F24930" s="38" t="s">
        <v>214</v>
      </c>
      <c r="G24930" s="49" t="str">
        <f t="shared" si="1"/>
        <v>70700</v>
      </c>
      <c r="H24930" s="49">
        <f t="shared" si="2"/>
        <v>70557</v>
      </c>
    </row>
    <row r="24931">
      <c r="A24931" s="48" t="s">
        <v>8945</v>
      </c>
      <c r="B24931" s="38">
        <v>72307.0</v>
      </c>
      <c r="C24931" s="38" t="s">
        <v>29442</v>
      </c>
      <c r="D24931" s="38" t="str">
        <f>IFERROR(__xludf.DUMMYFUNCTION("REGEXREPLACE(C24931,""-\d+(.*)|--\d+(.*)"","""")"),"SAINT-OUEN-EN-CHAMPAGNE")</f>
        <v>SAINT-OUEN-EN-CHAMPAGNE</v>
      </c>
      <c r="E24931" s="38" t="s">
        <v>521</v>
      </c>
      <c r="F24931" s="38" t="s">
        <v>180</v>
      </c>
      <c r="G24931" s="49" t="str">
        <f t="shared" si="1"/>
        <v>72350</v>
      </c>
      <c r="H24931" s="49">
        <f t="shared" si="2"/>
        <v>72307</v>
      </c>
    </row>
    <row r="24932">
      <c r="A24932" s="48" t="s">
        <v>1993</v>
      </c>
      <c r="B24932" s="38">
        <v>2101.0</v>
      </c>
      <c r="C24932" s="38" t="s">
        <v>29443</v>
      </c>
      <c r="D24932" s="38" t="str">
        <f>IFERROR(__xludf.DUMMYFUNCTION("REGEXREPLACE(C24932,""-\d+(.*)|--\d+(.*)"","""")"),"BOSMONT-SUR-SERRE")</f>
        <v>BOSMONT-SUR-SERRE</v>
      </c>
      <c r="E24932" s="38" t="s">
        <v>191</v>
      </c>
      <c r="F24932" s="38" t="s">
        <v>113</v>
      </c>
      <c r="G24932" s="49" t="str">
        <f t="shared" si="1"/>
        <v>02250</v>
      </c>
      <c r="H24932" s="49" t="str">
        <f t="shared" si="2"/>
        <v>02101</v>
      </c>
    </row>
    <row r="24933">
      <c r="A24933" s="48" t="s">
        <v>29444</v>
      </c>
      <c r="B24933" s="38">
        <v>6105.0</v>
      </c>
      <c r="C24933" s="38" t="s">
        <v>29445</v>
      </c>
      <c r="D24933" s="38" t="str">
        <f>IFERROR(__xludf.DUMMYFUNCTION("REGEXREPLACE(C24933,""-\d+(.*)|--\d+(.*)"","""")"),"ROQUEFORT-LES-PINS")</f>
        <v>ROQUEFORT-LES-PINS</v>
      </c>
      <c r="E24933" s="38" t="s">
        <v>227</v>
      </c>
      <c r="F24933" s="38" t="s">
        <v>228</v>
      </c>
      <c r="G24933" s="49" t="str">
        <f t="shared" si="1"/>
        <v>06330</v>
      </c>
      <c r="H24933" s="49" t="str">
        <f t="shared" si="2"/>
        <v>06105</v>
      </c>
    </row>
    <row r="24934">
      <c r="A24934" s="48" t="s">
        <v>6508</v>
      </c>
      <c r="B24934" s="38">
        <v>15096.0</v>
      </c>
      <c r="C24934" s="38" t="s">
        <v>29446</v>
      </c>
      <c r="D24934" s="38" t="str">
        <f>IFERROR(__xludf.DUMMYFUNCTION("REGEXREPLACE(C24934,""-\d+(.*)|--\d+(.*)"","""")"),"LASCELLE")</f>
        <v>LASCELLE</v>
      </c>
      <c r="E24934" s="38" t="s">
        <v>632</v>
      </c>
      <c r="F24934" s="38" t="s">
        <v>161</v>
      </c>
      <c r="G24934" s="49" t="str">
        <f t="shared" si="1"/>
        <v>15590</v>
      </c>
      <c r="H24934" s="49">
        <f t="shared" si="2"/>
        <v>15096</v>
      </c>
    </row>
    <row r="24935">
      <c r="A24935" s="48" t="s">
        <v>1358</v>
      </c>
      <c r="B24935" s="38">
        <v>81147.0</v>
      </c>
      <c r="C24935" s="38" t="s">
        <v>29447</v>
      </c>
      <c r="D24935" s="38" t="str">
        <f>IFERROR(__xludf.DUMMYFUNCTION("REGEXREPLACE(C24935,""-\d+(.*)|--\d+(.*)"","""")"),"LOMBERS")</f>
        <v>LOMBERS</v>
      </c>
      <c r="E24935" s="38" t="s">
        <v>231</v>
      </c>
      <c r="F24935" s="38" t="s">
        <v>94</v>
      </c>
      <c r="G24935" s="49" t="str">
        <f t="shared" si="1"/>
        <v>81120</v>
      </c>
      <c r="H24935" s="49">
        <f t="shared" si="2"/>
        <v>81147</v>
      </c>
    </row>
    <row r="24936">
      <c r="A24936" s="48" t="s">
        <v>16304</v>
      </c>
      <c r="B24936" s="38">
        <v>87169.0</v>
      </c>
      <c r="C24936" s="38" t="s">
        <v>29448</v>
      </c>
      <c r="D24936" s="38" t="str">
        <f>IFERROR(__xludf.DUMMYFUNCTION("REGEXREPLACE(C24936,""-\d+(.*)|--\d+(.*)"","""")"),"SAINT-MAURICE-LES-BROUSSES")</f>
        <v>SAINT-MAURICE-LES-BROUSSES</v>
      </c>
      <c r="E24936" s="38" t="s">
        <v>897</v>
      </c>
      <c r="F24936" s="38" t="s">
        <v>98</v>
      </c>
      <c r="G24936" s="49" t="str">
        <f t="shared" si="1"/>
        <v>87800</v>
      </c>
      <c r="H24936" s="49">
        <f t="shared" si="2"/>
        <v>87169</v>
      </c>
    </row>
    <row r="24937">
      <c r="A24937" s="48" t="s">
        <v>4701</v>
      </c>
      <c r="B24937" s="38">
        <v>62579.0</v>
      </c>
      <c r="C24937" s="38" t="s">
        <v>29449</v>
      </c>
      <c r="D24937" s="38" t="str">
        <f>IFERROR(__xludf.DUMMYFUNCTION("REGEXREPLACE(C24937,""-\d+(.*)|--\d+(.*)"","""")"),"MONCHY-AU-BOIS")</f>
        <v>MONCHY-AU-BOIS</v>
      </c>
      <c r="E24937" s="38" t="s">
        <v>109</v>
      </c>
      <c r="F24937" s="38" t="s">
        <v>86</v>
      </c>
      <c r="G24937" s="49" t="str">
        <f t="shared" si="1"/>
        <v>62111</v>
      </c>
      <c r="H24937" s="49">
        <f t="shared" si="2"/>
        <v>62579</v>
      </c>
    </row>
    <row r="24938">
      <c r="A24938" s="48" t="s">
        <v>22889</v>
      </c>
      <c r="B24938" s="38">
        <v>13013.0</v>
      </c>
      <c r="C24938" s="38" t="s">
        <v>29450</v>
      </c>
      <c r="D24938" s="38" t="str">
        <f>IFERROR(__xludf.DUMMYFUNCTION("REGEXREPLACE(C24938,""-\d+(.*)|--\d+(.*)"","""")"),"BELCODENE")</f>
        <v>BELCODENE</v>
      </c>
      <c r="E24938" s="38" t="s">
        <v>980</v>
      </c>
      <c r="F24938" s="38" t="s">
        <v>228</v>
      </c>
      <c r="G24938" s="49" t="str">
        <f t="shared" si="1"/>
        <v>13720</v>
      </c>
      <c r="H24938" s="49">
        <f t="shared" si="2"/>
        <v>13013</v>
      </c>
    </row>
    <row r="24939">
      <c r="A24939" s="48" t="s">
        <v>1781</v>
      </c>
      <c r="B24939" s="38">
        <v>27179.0</v>
      </c>
      <c r="C24939" s="38" t="s">
        <v>29451</v>
      </c>
      <c r="D24939" s="38" t="str">
        <f>IFERROR(__xludf.DUMMYFUNCTION("REGEXREPLACE(C24939,""-\d+(.*)|--\d+(.*)"","""")"),"COURBEPINE")</f>
        <v>COURBEPINE</v>
      </c>
      <c r="E24939" s="38" t="s">
        <v>241</v>
      </c>
      <c r="F24939" s="38" t="s">
        <v>134</v>
      </c>
      <c r="G24939" s="49" t="str">
        <f t="shared" si="1"/>
        <v>27300</v>
      </c>
      <c r="H24939" s="49">
        <f t="shared" si="2"/>
        <v>27179</v>
      </c>
    </row>
    <row r="24940">
      <c r="A24940" s="48" t="s">
        <v>1686</v>
      </c>
      <c r="B24940" s="38">
        <v>51217.0</v>
      </c>
      <c r="C24940" s="38" t="s">
        <v>29452</v>
      </c>
      <c r="D24940" s="38" t="str">
        <f>IFERROR(__xludf.DUMMYFUNCTION("REGEXREPLACE(C24940,""-\d+(.*)|--\d+(.*)"","""")"),"DORMANS")</f>
        <v>DORMANS</v>
      </c>
      <c r="E24940" s="38" t="s">
        <v>129</v>
      </c>
      <c r="F24940" s="38" t="s">
        <v>130</v>
      </c>
      <c r="G24940" s="49" t="str">
        <f t="shared" si="1"/>
        <v>51700</v>
      </c>
      <c r="H24940" s="49">
        <f t="shared" si="2"/>
        <v>51217</v>
      </c>
    </row>
    <row r="24941">
      <c r="A24941" s="48" t="s">
        <v>3624</v>
      </c>
      <c r="B24941" s="38">
        <v>39295.0</v>
      </c>
      <c r="C24941" s="38" t="s">
        <v>29453</v>
      </c>
      <c r="D24941" s="38" t="str">
        <f>IFERROR(__xludf.DUMMYFUNCTION("REGEXREPLACE(C24941,""-\d+(.*)|--\d+(.*)"","""")"),"LOISIA")</f>
        <v>LOISIA</v>
      </c>
      <c r="E24941" s="38" t="s">
        <v>400</v>
      </c>
      <c r="F24941" s="38" t="s">
        <v>214</v>
      </c>
      <c r="G24941" s="49" t="str">
        <f t="shared" si="1"/>
        <v>39320</v>
      </c>
      <c r="H24941" s="49">
        <f t="shared" si="2"/>
        <v>39295</v>
      </c>
    </row>
    <row r="24942">
      <c r="A24942" s="48" t="s">
        <v>5612</v>
      </c>
      <c r="B24942" s="38">
        <v>52383.0</v>
      </c>
      <c r="C24942" s="38" t="s">
        <v>29454</v>
      </c>
      <c r="D24942" s="38" t="str">
        <f>IFERROR(__xludf.DUMMYFUNCTION("REGEXREPLACE(C24942,""-\d+(.*)|--\d+(.*)"","""")"),"PERRANCEY-LES-VIEUX-MOULINS")</f>
        <v>PERRANCEY-LES-VIEUX-MOULINS</v>
      </c>
      <c r="E24942" s="38" t="s">
        <v>234</v>
      </c>
      <c r="F24942" s="38" t="s">
        <v>130</v>
      </c>
      <c r="G24942" s="49" t="str">
        <f t="shared" si="1"/>
        <v>52200</v>
      </c>
      <c r="H24942" s="49">
        <f t="shared" si="2"/>
        <v>52383</v>
      </c>
    </row>
    <row r="24943">
      <c r="A24943" s="48" t="s">
        <v>1955</v>
      </c>
      <c r="B24943" s="38">
        <v>40168.0</v>
      </c>
      <c r="C24943" s="38" t="s">
        <v>29455</v>
      </c>
      <c r="D24943" s="38" t="str">
        <f>IFERROR(__xludf.DUMMYFUNCTION("REGEXREPLACE(C24943,""-\d+(.*)|--\d+(.*)"","""")"),"MAGESCQ")</f>
        <v>MAGESCQ</v>
      </c>
      <c r="E24943" s="38" t="s">
        <v>281</v>
      </c>
      <c r="F24943" s="38" t="s">
        <v>252</v>
      </c>
      <c r="G24943" s="49" t="str">
        <f t="shared" si="1"/>
        <v>40140</v>
      </c>
      <c r="H24943" s="49">
        <f t="shared" si="2"/>
        <v>40168</v>
      </c>
    </row>
    <row r="24944">
      <c r="A24944" s="48" t="s">
        <v>29456</v>
      </c>
      <c r="B24944" s="38">
        <v>11285.0</v>
      </c>
      <c r="C24944" s="38" t="s">
        <v>29457</v>
      </c>
      <c r="D24944" s="38" t="str">
        <f>IFERROR(__xludf.DUMMYFUNCTION("REGEXREPLACE(C24944,""-\d+(.*)|--\d+(.*)"","""")"),"PEYRIAC-DE-MER")</f>
        <v>PEYRIAC-DE-MER</v>
      </c>
      <c r="E24944" s="38" t="s">
        <v>278</v>
      </c>
      <c r="F24944" s="38" t="s">
        <v>119</v>
      </c>
      <c r="G24944" s="49" t="str">
        <f t="shared" si="1"/>
        <v>11440</v>
      </c>
      <c r="H24944" s="49">
        <f t="shared" si="2"/>
        <v>11285</v>
      </c>
    </row>
    <row r="24945">
      <c r="A24945" s="48" t="s">
        <v>5428</v>
      </c>
      <c r="B24945" s="38">
        <v>74177.0</v>
      </c>
      <c r="C24945" s="38" t="s">
        <v>29458</v>
      </c>
      <c r="D24945" s="38" t="str">
        <f>IFERROR(__xludf.DUMMYFUNCTION("REGEXREPLACE(C24945,""-\d+(.*)|--\d+(.*)"","""")"),"MENTHONNEX-EN-BORNES")</f>
        <v>MENTHONNEX-EN-BORNES</v>
      </c>
      <c r="E24945" s="38" t="s">
        <v>319</v>
      </c>
      <c r="F24945" s="38" t="s">
        <v>102</v>
      </c>
      <c r="G24945" s="49" t="str">
        <f t="shared" si="1"/>
        <v>74350</v>
      </c>
      <c r="H24945" s="49">
        <f t="shared" si="2"/>
        <v>74177</v>
      </c>
    </row>
    <row r="24946">
      <c r="A24946" s="48" t="s">
        <v>4323</v>
      </c>
      <c r="B24946" s="38">
        <v>30124.0</v>
      </c>
      <c r="C24946" s="38" t="s">
        <v>29459</v>
      </c>
      <c r="D24946" s="38" t="str">
        <f>IFERROR(__xludf.DUMMYFUNCTION("REGEXREPLACE(C24946,""-\d+(.*)|--\d+(.*)"","""")"),"LE GARN")</f>
        <v>LE GARN</v>
      </c>
      <c r="E24946" s="38" t="s">
        <v>526</v>
      </c>
      <c r="F24946" s="38" t="s">
        <v>119</v>
      </c>
      <c r="G24946" s="49" t="str">
        <f t="shared" si="1"/>
        <v>30760</v>
      </c>
      <c r="H24946" s="49">
        <f t="shared" si="2"/>
        <v>30124</v>
      </c>
    </row>
    <row r="24947">
      <c r="A24947" s="48" t="s">
        <v>1368</v>
      </c>
      <c r="B24947" s="38">
        <v>8461.0</v>
      </c>
      <c r="C24947" s="38" t="s">
        <v>29460</v>
      </c>
      <c r="D24947" s="38" t="str">
        <f>IFERROR(__xludf.DUMMYFUNCTION("REGEXREPLACE(C24947,""-\d+(.*)|--\d+(.*)"","""")"),"VANDY")</f>
        <v>VANDY</v>
      </c>
      <c r="E24947" s="38" t="s">
        <v>327</v>
      </c>
      <c r="F24947" s="38" t="s">
        <v>130</v>
      </c>
      <c r="G24947" s="49" t="str">
        <f t="shared" si="1"/>
        <v>08400</v>
      </c>
      <c r="H24947" s="49" t="str">
        <f t="shared" si="2"/>
        <v>08461</v>
      </c>
    </row>
    <row r="24948">
      <c r="A24948" s="48" t="s">
        <v>1827</v>
      </c>
      <c r="B24948" s="38">
        <v>77423.0</v>
      </c>
      <c r="C24948" s="38" t="s">
        <v>11682</v>
      </c>
      <c r="D24948" s="38" t="str">
        <f>IFERROR(__xludf.DUMMYFUNCTION("REGEXREPLACE(C24948,""-\d+(.*)|--\d+(.*)"","""")"),"SAINT-MARTIN-DES-CHAMPS")</f>
        <v>SAINT-MARTIN-DES-CHAMPS</v>
      </c>
      <c r="E24948" s="38" t="s">
        <v>244</v>
      </c>
      <c r="F24948" s="38" t="s">
        <v>245</v>
      </c>
      <c r="G24948" s="49" t="str">
        <f t="shared" si="1"/>
        <v>77320</v>
      </c>
      <c r="H24948" s="49">
        <f t="shared" si="2"/>
        <v>77423</v>
      </c>
    </row>
    <row r="24949">
      <c r="A24949" s="48" t="s">
        <v>9621</v>
      </c>
      <c r="B24949" s="38">
        <v>43132.0</v>
      </c>
      <c r="C24949" s="38" t="s">
        <v>29461</v>
      </c>
      <c r="D24949" s="38" t="str">
        <f>IFERROR(__xludf.DUMMYFUNCTION("REGEXREPLACE(C24949,""-\d+(.*)|--\d+(.*)"","""")"),"MAZEYRAT-D'ALLIER")</f>
        <v>MAZEYRAT-D'ALLIER</v>
      </c>
      <c r="E24949" s="38" t="s">
        <v>332</v>
      </c>
      <c r="F24949" s="38" t="s">
        <v>161</v>
      </c>
      <c r="G24949" s="49" t="str">
        <f t="shared" si="1"/>
        <v>43300</v>
      </c>
      <c r="H24949" s="49">
        <f t="shared" si="2"/>
        <v>43132</v>
      </c>
    </row>
    <row r="24950">
      <c r="A24950" s="48" t="s">
        <v>3206</v>
      </c>
      <c r="B24950" s="38">
        <v>40087.0</v>
      </c>
      <c r="C24950" s="38" t="s">
        <v>29462</v>
      </c>
      <c r="D24950" s="38" t="str">
        <f>IFERROR(__xludf.DUMMYFUNCTION("REGEXREPLACE(C24950,""-\d+(.*)|--\d+(.*)"","""")"),"CREON-D'ARMAGNAC")</f>
        <v>CREON-D'ARMAGNAC</v>
      </c>
      <c r="E24950" s="38" t="s">
        <v>281</v>
      </c>
      <c r="F24950" s="38" t="s">
        <v>252</v>
      </c>
      <c r="G24950" s="49" t="str">
        <f t="shared" si="1"/>
        <v>40240</v>
      </c>
      <c r="H24950" s="49">
        <f t="shared" si="2"/>
        <v>40087</v>
      </c>
    </row>
    <row r="24951">
      <c r="A24951" s="48" t="s">
        <v>2433</v>
      </c>
      <c r="B24951" s="38">
        <v>70406.0</v>
      </c>
      <c r="C24951" s="38" t="s">
        <v>29463</v>
      </c>
      <c r="D24951" s="38" t="str">
        <f>IFERROR(__xludf.DUMMYFUNCTION("REGEXREPLACE(C24951,""-\d+(.*)|--\d+(.*)"","""")"),"PERCEY-LE-GRAND")</f>
        <v>PERCEY-LE-GRAND</v>
      </c>
      <c r="E24951" s="38" t="s">
        <v>956</v>
      </c>
      <c r="F24951" s="38" t="s">
        <v>214</v>
      </c>
      <c r="G24951" s="49" t="str">
        <f t="shared" si="1"/>
        <v>70600</v>
      </c>
      <c r="H24951" s="49">
        <f t="shared" si="2"/>
        <v>70406</v>
      </c>
    </row>
    <row r="24952">
      <c r="A24952" s="48" t="s">
        <v>3488</v>
      </c>
      <c r="B24952" s="38">
        <v>67236.0</v>
      </c>
      <c r="C24952" s="38" t="s">
        <v>29464</v>
      </c>
      <c r="D24952" s="38" t="str">
        <f>IFERROR(__xludf.DUMMYFUNCTION("REGEXREPLACE(C24952,""-\d+(.*)|--\d+(.*)"","""")"),"KIENHEIM")</f>
        <v>KIENHEIM</v>
      </c>
      <c r="E24952" s="38" t="s">
        <v>210</v>
      </c>
      <c r="F24952" s="38" t="s">
        <v>151</v>
      </c>
      <c r="G24952" s="49" t="str">
        <f t="shared" si="1"/>
        <v>67270</v>
      </c>
      <c r="H24952" s="49">
        <f t="shared" si="2"/>
        <v>67236</v>
      </c>
    </row>
    <row r="24953">
      <c r="A24953" s="48" t="s">
        <v>7598</v>
      </c>
      <c r="B24953" s="38">
        <v>32195.0</v>
      </c>
      <c r="C24953" s="38" t="s">
        <v>29465</v>
      </c>
      <c r="D24953" s="38" t="str">
        <f>IFERROR(__xludf.DUMMYFUNCTION("REGEXREPLACE(C24953,""-\d+(.*)|--\d+(.*)"","""")"),"LARROQUE-ENGALIN")</f>
        <v>LARROQUE-ENGALIN</v>
      </c>
      <c r="E24953" s="38" t="s">
        <v>440</v>
      </c>
      <c r="F24953" s="38" t="s">
        <v>94</v>
      </c>
      <c r="G24953" s="49" t="str">
        <f t="shared" si="1"/>
        <v>32480</v>
      </c>
      <c r="H24953" s="49">
        <f t="shared" si="2"/>
        <v>32195</v>
      </c>
    </row>
    <row r="24954">
      <c r="A24954" s="48" t="s">
        <v>18817</v>
      </c>
      <c r="B24954" s="38">
        <v>97610.0</v>
      </c>
      <c r="C24954" s="38" t="s">
        <v>29466</v>
      </c>
      <c r="D24954" s="38" t="str">
        <f>IFERROR(__xludf.DUMMYFUNCTION("REGEXREPLACE(C24954,""-\d+(.*)|--\d+(.*)"","""")"),"KOUNGOU")</f>
        <v>KOUNGOU</v>
      </c>
      <c r="E24954" s="38" t="s">
        <v>2865</v>
      </c>
      <c r="F24954" s="38" t="s">
        <v>2865</v>
      </c>
      <c r="G24954" s="49" t="str">
        <f t="shared" si="1"/>
        <v>97600</v>
      </c>
      <c r="H24954" s="49">
        <f t="shared" si="2"/>
        <v>97610</v>
      </c>
    </row>
    <row r="24955">
      <c r="A24955" s="48" t="s">
        <v>7265</v>
      </c>
      <c r="B24955" s="38">
        <v>68120.0</v>
      </c>
      <c r="C24955" s="38" t="s">
        <v>29467</v>
      </c>
      <c r="D24955" s="38" t="str">
        <f>IFERROR(__xludf.DUMMYFUNCTION("REGEXREPLACE(C24955,""-\d+(.*)|--\d+(.*)"","""")"),"HAGENTHAL-LE-BAS")</f>
        <v>HAGENTHAL-LE-BAS</v>
      </c>
      <c r="E24955" s="38" t="s">
        <v>150</v>
      </c>
      <c r="F24955" s="38" t="s">
        <v>151</v>
      </c>
      <c r="G24955" s="49" t="str">
        <f t="shared" si="1"/>
        <v>68220</v>
      </c>
      <c r="H24955" s="49">
        <f t="shared" si="2"/>
        <v>68120</v>
      </c>
    </row>
    <row r="24956">
      <c r="A24956" s="48" t="s">
        <v>29468</v>
      </c>
      <c r="B24956" s="38">
        <v>64445.0</v>
      </c>
      <c r="C24956" s="38" t="s">
        <v>29469</v>
      </c>
      <c r="D24956" s="38" t="str">
        <f>IFERROR(__xludf.DUMMYFUNCTION("REGEXREPLACE(C24956,""-\d+(.*)|--\d+(.*)"","""")"),"PAU")</f>
        <v>PAU</v>
      </c>
      <c r="E24956" s="38" t="s">
        <v>268</v>
      </c>
      <c r="F24956" s="38" t="s">
        <v>252</v>
      </c>
      <c r="G24956" s="49" t="str">
        <f t="shared" si="1"/>
        <v>64000</v>
      </c>
      <c r="H24956" s="49">
        <f t="shared" si="2"/>
        <v>64445</v>
      </c>
    </row>
    <row r="24957">
      <c r="A24957" s="48" t="s">
        <v>7852</v>
      </c>
      <c r="B24957" s="38">
        <v>38159.0</v>
      </c>
      <c r="C24957" s="38" t="s">
        <v>29470</v>
      </c>
      <c r="D24957" s="38" t="str">
        <f>IFERROR(__xludf.DUMMYFUNCTION("REGEXREPLACE(C24957,""-\d+(.*)|--\d+(.*)"","""")"),"EYDOCHE")</f>
        <v>EYDOCHE</v>
      </c>
      <c r="E24957" s="38" t="s">
        <v>101</v>
      </c>
      <c r="F24957" s="38" t="s">
        <v>102</v>
      </c>
      <c r="G24957" s="49" t="str">
        <f t="shared" si="1"/>
        <v>38690</v>
      </c>
      <c r="H24957" s="49">
        <f t="shared" si="2"/>
        <v>38159</v>
      </c>
    </row>
    <row r="24958">
      <c r="A24958" s="48" t="s">
        <v>1112</v>
      </c>
      <c r="B24958" s="38">
        <v>18057.0</v>
      </c>
      <c r="C24958" s="38" t="s">
        <v>29471</v>
      </c>
      <c r="D24958" s="38" t="str">
        <f>IFERROR(__xludf.DUMMYFUNCTION("REGEXREPLACE(C24958,""-\d+(.*)|--\d+(.*)"","""")"),"CHATEAUMEILLANT")</f>
        <v>CHATEAUMEILLANT</v>
      </c>
      <c r="E24958" s="38" t="s">
        <v>504</v>
      </c>
      <c r="F24958" s="38" t="s">
        <v>123</v>
      </c>
      <c r="G24958" s="49" t="str">
        <f t="shared" si="1"/>
        <v>18370</v>
      </c>
      <c r="H24958" s="49">
        <f t="shared" si="2"/>
        <v>18057</v>
      </c>
    </row>
    <row r="24959">
      <c r="A24959" s="48" t="s">
        <v>2451</v>
      </c>
      <c r="B24959" s="38">
        <v>31320.0</v>
      </c>
      <c r="C24959" s="38" t="s">
        <v>29472</v>
      </c>
      <c r="D24959" s="38" t="str">
        <f>IFERROR(__xludf.DUMMYFUNCTION("REGEXREPLACE(C24959,""-\d+(.*)|--\d+(.*)"","""")"),"MARQUEFAVE")</f>
        <v>MARQUEFAVE</v>
      </c>
      <c r="E24959" s="38" t="s">
        <v>93</v>
      </c>
      <c r="F24959" s="38" t="s">
        <v>94</v>
      </c>
      <c r="G24959" s="49" t="str">
        <f t="shared" si="1"/>
        <v>31390</v>
      </c>
      <c r="H24959" s="49">
        <f t="shared" si="2"/>
        <v>31320</v>
      </c>
    </row>
    <row r="24960">
      <c r="A24960" s="48" t="s">
        <v>2893</v>
      </c>
      <c r="B24960" s="38">
        <v>27144.0</v>
      </c>
      <c r="C24960" s="38" t="s">
        <v>29473</v>
      </c>
      <c r="D24960" s="38" t="str">
        <f>IFERROR(__xludf.DUMMYFUNCTION("REGEXREPLACE(C24960,""-\d+(.*)|--\d+(.*)"","""")"),"CHAMPIGNY-LA-FUTELAYE")</f>
        <v>CHAMPIGNY-LA-FUTELAYE</v>
      </c>
      <c r="E24960" s="38" t="s">
        <v>241</v>
      </c>
      <c r="F24960" s="38" t="s">
        <v>134</v>
      </c>
      <c r="G24960" s="49" t="str">
        <f t="shared" si="1"/>
        <v>27220</v>
      </c>
      <c r="H24960" s="49">
        <f t="shared" si="2"/>
        <v>27144</v>
      </c>
    </row>
    <row r="24961">
      <c r="A24961" s="48" t="s">
        <v>7399</v>
      </c>
      <c r="B24961" s="38">
        <v>28387.0</v>
      </c>
      <c r="C24961" s="38" t="s">
        <v>29474</v>
      </c>
      <c r="D24961" s="38" t="str">
        <f>IFERROR(__xludf.DUMMYFUNCTION("REGEXREPLACE(C24961,""-\d+(.*)|--\d+(.*)"","""")"),"THIRON-GARDAIS")</f>
        <v>THIRON-GARDAIS</v>
      </c>
      <c r="E24961" s="38" t="s">
        <v>300</v>
      </c>
      <c r="F24961" s="38" t="s">
        <v>123</v>
      </c>
      <c r="G24961" s="49" t="str">
        <f t="shared" si="1"/>
        <v>28480</v>
      </c>
      <c r="H24961" s="49">
        <f t="shared" si="2"/>
        <v>28387</v>
      </c>
    </row>
    <row r="24962">
      <c r="A24962" s="48" t="s">
        <v>9737</v>
      </c>
      <c r="B24962" s="38">
        <v>89007.0</v>
      </c>
      <c r="C24962" s="38" t="s">
        <v>29475</v>
      </c>
      <c r="D24962" s="38" t="str">
        <f>IFERROR(__xludf.DUMMYFUNCTION("REGEXREPLACE(C24962,""-\d+(.*)|--\d+(.*)"","""")"),"ANDRYES")</f>
        <v>ANDRYES</v>
      </c>
      <c r="E24962" s="38" t="s">
        <v>275</v>
      </c>
      <c r="F24962" s="38" t="s">
        <v>106</v>
      </c>
      <c r="G24962" s="49" t="str">
        <f t="shared" si="1"/>
        <v>89480</v>
      </c>
      <c r="H24962" s="49">
        <f t="shared" si="2"/>
        <v>89007</v>
      </c>
    </row>
    <row r="24963">
      <c r="A24963" s="48" t="s">
        <v>29476</v>
      </c>
      <c r="B24963" s="38">
        <v>59477.0</v>
      </c>
      <c r="C24963" s="38" t="s">
        <v>29477</v>
      </c>
      <c r="D24963" s="38" t="str">
        <f>IFERROR(__xludf.DUMMYFUNCTION("REGEXREPLACE(C24963,""-\d+(.*)|--\d+(.*)"","""")"),"PROVIN")</f>
        <v>PROVIN</v>
      </c>
      <c r="E24963" s="38" t="s">
        <v>85</v>
      </c>
      <c r="F24963" s="38" t="s">
        <v>86</v>
      </c>
      <c r="G24963" s="49" t="str">
        <f t="shared" si="1"/>
        <v>59185</v>
      </c>
      <c r="H24963" s="49">
        <f t="shared" si="2"/>
        <v>59477</v>
      </c>
    </row>
    <row r="24964">
      <c r="A24964" s="48" t="s">
        <v>2814</v>
      </c>
      <c r="B24964" s="38">
        <v>45306.0</v>
      </c>
      <c r="C24964" s="38" t="s">
        <v>29478</v>
      </c>
      <c r="D24964" s="38" t="str">
        <f>IFERROR(__xludf.DUMMYFUNCTION("REGEXREPLACE(C24964,""-\d+(.*)|--\d+(.*)"","""")"),"LA SELLE-EN-HERMOY")</f>
        <v>LA SELLE-EN-HERMOY</v>
      </c>
      <c r="E24964" s="38" t="s">
        <v>122</v>
      </c>
      <c r="F24964" s="38" t="s">
        <v>123</v>
      </c>
      <c r="G24964" s="49" t="str">
        <f t="shared" si="1"/>
        <v>45210</v>
      </c>
      <c r="H24964" s="49">
        <f t="shared" si="2"/>
        <v>45306</v>
      </c>
    </row>
    <row r="24965">
      <c r="A24965" s="48" t="s">
        <v>2510</v>
      </c>
      <c r="B24965" s="38">
        <v>22264.0</v>
      </c>
      <c r="C24965" s="38" t="s">
        <v>29479</v>
      </c>
      <c r="D24965" s="38" t="str">
        <f>IFERROR(__xludf.DUMMYFUNCTION("REGEXREPLACE(C24965,""-\d+(.*)|--\d+(.*)"","""")"),"LA ROCHE-DERRIEN")</f>
        <v>LA ROCHE-DERRIEN</v>
      </c>
      <c r="E24965" s="38" t="s">
        <v>89</v>
      </c>
      <c r="F24965" s="38" t="s">
        <v>90</v>
      </c>
      <c r="G24965" s="49" t="str">
        <f t="shared" si="1"/>
        <v>22450</v>
      </c>
      <c r="H24965" s="49">
        <f t="shared" si="2"/>
        <v>22264</v>
      </c>
    </row>
    <row r="24966">
      <c r="A24966" s="48" t="s">
        <v>3914</v>
      </c>
      <c r="B24966" s="38">
        <v>34284.0</v>
      </c>
      <c r="C24966" s="38" t="s">
        <v>29480</v>
      </c>
      <c r="D24966" s="38" t="str">
        <f>IFERROR(__xludf.DUMMYFUNCTION("REGEXREPLACE(C24966,""-\d+(.*)|--\d+(.*)"","""")"),"SAINT-PONS-DE-THOMIERES")</f>
        <v>SAINT-PONS-DE-THOMIERES</v>
      </c>
      <c r="E24966" s="38" t="s">
        <v>118</v>
      </c>
      <c r="F24966" s="38" t="s">
        <v>119</v>
      </c>
      <c r="G24966" s="49" t="str">
        <f t="shared" si="1"/>
        <v>34220</v>
      </c>
      <c r="H24966" s="49">
        <f t="shared" si="2"/>
        <v>34284</v>
      </c>
    </row>
    <row r="24967">
      <c r="A24967" s="48" t="s">
        <v>19215</v>
      </c>
      <c r="B24967" s="38">
        <v>5110.0</v>
      </c>
      <c r="C24967" s="38" t="s">
        <v>29481</v>
      </c>
      <c r="D24967" s="38" t="str">
        <f>IFERROR(__xludf.DUMMYFUNCTION("REGEXREPLACE(C24967,""-\d+(.*)|--\d+(.*)"","""")"),"PUY-SAINT-VINCENT")</f>
        <v>PUY-SAINT-VINCENT</v>
      </c>
      <c r="E24967" s="38" t="s">
        <v>706</v>
      </c>
      <c r="F24967" s="38" t="s">
        <v>228</v>
      </c>
      <c r="G24967" s="49" t="str">
        <f t="shared" si="1"/>
        <v>05290</v>
      </c>
      <c r="H24967" s="49" t="str">
        <f t="shared" si="2"/>
        <v>05110</v>
      </c>
    </row>
    <row r="24968">
      <c r="A24968" s="48" t="s">
        <v>29482</v>
      </c>
      <c r="B24968" s="38">
        <v>97418.0</v>
      </c>
      <c r="C24968" s="38" t="s">
        <v>7412</v>
      </c>
      <c r="D24968" s="38" t="str">
        <f>IFERROR(__xludf.DUMMYFUNCTION("REGEXREPLACE(C24968,""-\d+(.*)|--\d+(.*)"","""")"),"SAINTE-MARIE")</f>
        <v>SAINTE-MARIE</v>
      </c>
      <c r="E24968" s="38" t="s">
        <v>7739</v>
      </c>
      <c r="F24968" s="38" t="s">
        <v>7739</v>
      </c>
      <c r="G24968" s="49" t="str">
        <f t="shared" si="1"/>
        <v>97438</v>
      </c>
      <c r="H24968" s="49">
        <f t="shared" si="2"/>
        <v>97418</v>
      </c>
    </row>
    <row r="24969">
      <c r="A24969" s="48" t="s">
        <v>12671</v>
      </c>
      <c r="B24969" s="38">
        <v>60417.0</v>
      </c>
      <c r="C24969" s="38" t="s">
        <v>29483</v>
      </c>
      <c r="D24969" s="38" t="str">
        <f>IFERROR(__xludf.DUMMYFUNCTION("REGEXREPLACE(C24969,""-\d+(.*)|--\d+(.*)"","""")"),"MONTHERLANT")</f>
        <v>MONTHERLANT</v>
      </c>
      <c r="E24969" s="38" t="s">
        <v>112</v>
      </c>
      <c r="F24969" s="38" t="s">
        <v>113</v>
      </c>
      <c r="G24969" s="49" t="str">
        <f t="shared" si="1"/>
        <v>60790</v>
      </c>
      <c r="H24969" s="49">
        <f t="shared" si="2"/>
        <v>60417</v>
      </c>
    </row>
    <row r="24970">
      <c r="A24970" s="48" t="s">
        <v>29484</v>
      </c>
      <c r="B24970" s="38">
        <v>33540.0</v>
      </c>
      <c r="C24970" s="38" t="s">
        <v>29485</v>
      </c>
      <c r="D24970" s="38" t="str">
        <f>IFERROR(__xludf.DUMMYFUNCTION("REGEXREPLACE(C24970,""-\d+(.*)|--\d+(.*)"","""")"),"VENDAYS-MONTALIVET")</f>
        <v>VENDAYS-MONTALIVET</v>
      </c>
      <c r="E24970" s="38" t="s">
        <v>462</v>
      </c>
      <c r="F24970" s="38" t="s">
        <v>252</v>
      </c>
      <c r="G24970" s="49" t="str">
        <f t="shared" si="1"/>
        <v>33930</v>
      </c>
      <c r="H24970" s="49">
        <f t="shared" si="2"/>
        <v>33540</v>
      </c>
    </row>
    <row r="24971">
      <c r="A24971" s="48" t="s">
        <v>9556</v>
      </c>
      <c r="B24971" s="38">
        <v>60303.0</v>
      </c>
      <c r="C24971" s="38" t="s">
        <v>29486</v>
      </c>
      <c r="D24971" s="38" t="str">
        <f>IFERROR(__xludf.DUMMYFUNCTION("REGEXREPLACE(C24971,""-\d+(.*)|--\d+(.*)"","""")"),"HAUTBOS")</f>
        <v>HAUTBOS</v>
      </c>
      <c r="E24971" s="38" t="s">
        <v>112</v>
      </c>
      <c r="F24971" s="38" t="s">
        <v>113</v>
      </c>
      <c r="G24971" s="49" t="str">
        <f t="shared" si="1"/>
        <v>60210</v>
      </c>
      <c r="H24971" s="49">
        <f t="shared" si="2"/>
        <v>60303</v>
      </c>
    </row>
    <row r="24972">
      <c r="A24972" s="48" t="s">
        <v>1756</v>
      </c>
      <c r="B24972" s="38">
        <v>28426.0</v>
      </c>
      <c r="C24972" s="38" t="s">
        <v>29487</v>
      </c>
      <c r="D24972" s="38" t="str">
        <f>IFERROR(__xludf.DUMMYFUNCTION("REGEXREPLACE(C24972,""-\d+(.*)|--\d+(.*)"","""")"),"YMONVILLE")</f>
        <v>YMONVILLE</v>
      </c>
      <c r="E24972" s="38" t="s">
        <v>300</v>
      </c>
      <c r="F24972" s="38" t="s">
        <v>123</v>
      </c>
      <c r="G24972" s="49" t="str">
        <f t="shared" si="1"/>
        <v>28150</v>
      </c>
      <c r="H24972" s="49">
        <f t="shared" si="2"/>
        <v>28426</v>
      </c>
    </row>
    <row r="24973">
      <c r="A24973" s="48" t="s">
        <v>4400</v>
      </c>
      <c r="B24973" s="38">
        <v>66075.0</v>
      </c>
      <c r="C24973" s="38" t="s">
        <v>29488</v>
      </c>
      <c r="D24973" s="38" t="str">
        <f>IFERROR(__xludf.DUMMYFUNCTION("REGEXREPLACE(C24973,""-\d+(.*)|--\d+(.*)"","""")"),"EYNE")</f>
        <v>EYNE</v>
      </c>
      <c r="E24973" s="38" t="s">
        <v>248</v>
      </c>
      <c r="F24973" s="38" t="s">
        <v>119</v>
      </c>
      <c r="G24973" s="49" t="str">
        <f t="shared" si="1"/>
        <v>66800</v>
      </c>
      <c r="H24973" s="49">
        <f t="shared" si="2"/>
        <v>66075</v>
      </c>
    </row>
    <row r="24974">
      <c r="A24974" s="48" t="s">
        <v>6928</v>
      </c>
      <c r="B24974" s="38">
        <v>25600.0</v>
      </c>
      <c r="C24974" s="38" t="s">
        <v>29489</v>
      </c>
      <c r="D24974" s="38" t="str">
        <f>IFERROR(__xludf.DUMMYFUNCTION("REGEXREPLACE(C24974,""-\d+(.*)|--\d+(.*)"","""")"),"VENNES")</f>
        <v>VENNES</v>
      </c>
      <c r="E24974" s="38" t="s">
        <v>213</v>
      </c>
      <c r="F24974" s="38" t="s">
        <v>214</v>
      </c>
      <c r="G24974" s="49" t="str">
        <f t="shared" si="1"/>
        <v>25390</v>
      </c>
      <c r="H24974" s="49">
        <f t="shared" si="2"/>
        <v>25600</v>
      </c>
    </row>
    <row r="24975">
      <c r="A24975" s="48" t="s">
        <v>2619</v>
      </c>
      <c r="B24975" s="38">
        <v>71332.0</v>
      </c>
      <c r="C24975" s="38" t="s">
        <v>21385</v>
      </c>
      <c r="D24975" s="38" t="str">
        <f>IFERROR(__xludf.DUMMYFUNCTION("REGEXREPLACE(C24975,""-\d+(.*)|--\d+(.*)"","""")"),"ORMES")</f>
        <v>ORMES</v>
      </c>
      <c r="E24975" s="38" t="s">
        <v>344</v>
      </c>
      <c r="F24975" s="38" t="s">
        <v>106</v>
      </c>
      <c r="G24975" s="49" t="str">
        <f t="shared" si="1"/>
        <v>71290</v>
      </c>
      <c r="H24975" s="49">
        <f t="shared" si="2"/>
        <v>71332</v>
      </c>
    </row>
    <row r="24976">
      <c r="A24976" s="48" t="s">
        <v>29490</v>
      </c>
      <c r="B24976" s="38">
        <v>76374.0</v>
      </c>
      <c r="C24976" s="38" t="s">
        <v>29491</v>
      </c>
      <c r="D24976" s="38" t="str">
        <f>IFERROR(__xludf.DUMMYFUNCTION("REGEXREPLACE(C24976,""-\d+(.*)|--\d+(.*)"","""")"),"INCHEVILLE")</f>
        <v>INCHEVILLE</v>
      </c>
      <c r="E24976" s="38" t="s">
        <v>133</v>
      </c>
      <c r="F24976" s="38" t="s">
        <v>134</v>
      </c>
      <c r="G24976" s="49" t="str">
        <f t="shared" si="1"/>
        <v>76117</v>
      </c>
      <c r="H24976" s="49">
        <f t="shared" si="2"/>
        <v>76374</v>
      </c>
    </row>
    <row r="24977">
      <c r="A24977" s="48" t="s">
        <v>2290</v>
      </c>
      <c r="B24977" s="38">
        <v>38344.0</v>
      </c>
      <c r="C24977" s="38" t="s">
        <v>24011</v>
      </c>
      <c r="D24977" s="38" t="str">
        <f>IFERROR(__xludf.DUMMYFUNCTION("REGEXREPLACE(C24977,""-\d+(.*)|--\d+(.*)"","""")"),"ROUSSILLON")</f>
        <v>ROUSSILLON</v>
      </c>
      <c r="E24977" s="38" t="s">
        <v>101</v>
      </c>
      <c r="F24977" s="38" t="s">
        <v>102</v>
      </c>
      <c r="G24977" s="49" t="str">
        <f t="shared" si="1"/>
        <v>38150</v>
      </c>
      <c r="H24977" s="49">
        <f t="shared" si="2"/>
        <v>38344</v>
      </c>
    </row>
    <row r="24978">
      <c r="A24978" s="48" t="s">
        <v>2019</v>
      </c>
      <c r="B24978" s="38">
        <v>90064.0</v>
      </c>
      <c r="C24978" s="38" t="s">
        <v>29492</v>
      </c>
      <c r="D24978" s="38" t="str">
        <f>IFERROR(__xludf.DUMMYFUNCTION("REGEXREPLACE(C24978,""-\d+(.*)|--\d+(.*)"","""")"),"LEPUIX-NEUF")</f>
        <v>LEPUIX-NEUF</v>
      </c>
      <c r="E24978" s="38" t="s">
        <v>1283</v>
      </c>
      <c r="F24978" s="38" t="s">
        <v>214</v>
      </c>
      <c r="G24978" s="49" t="str">
        <f t="shared" si="1"/>
        <v>90100</v>
      </c>
      <c r="H24978" s="49">
        <f t="shared" si="2"/>
        <v>90064</v>
      </c>
    </row>
    <row r="24979">
      <c r="A24979" s="48" t="s">
        <v>1841</v>
      </c>
      <c r="B24979" s="38">
        <v>27217.0</v>
      </c>
      <c r="C24979" s="38" t="s">
        <v>29493</v>
      </c>
      <c r="D24979" s="38" t="str">
        <f>IFERROR(__xludf.DUMMYFUNCTION("REGEXREPLACE(C24979,""-\d+(.*)|--\d+(.*)"","""")"),"EMANVILLE")</f>
        <v>EMANVILLE</v>
      </c>
      <c r="E24979" s="38" t="s">
        <v>241</v>
      </c>
      <c r="F24979" s="38" t="s">
        <v>134</v>
      </c>
      <c r="G24979" s="49" t="str">
        <f t="shared" si="1"/>
        <v>27190</v>
      </c>
      <c r="H24979" s="49">
        <f t="shared" si="2"/>
        <v>27217</v>
      </c>
    </row>
    <row r="24980">
      <c r="A24980" s="48" t="s">
        <v>9405</v>
      </c>
      <c r="B24980" s="38">
        <v>15269.0</v>
      </c>
      <c r="C24980" s="38" t="s">
        <v>22672</v>
      </c>
      <c r="D24980" s="38" t="str">
        <f>IFERROR(__xludf.DUMMYFUNCTION("REGEXREPLACE(C24980,""-\d+(.*)|--\d+(.*)"","""")"),"BESSE")</f>
        <v>BESSE</v>
      </c>
      <c r="E24980" s="38" t="s">
        <v>632</v>
      </c>
      <c r="F24980" s="38" t="s">
        <v>161</v>
      </c>
      <c r="G24980" s="49" t="str">
        <f t="shared" si="1"/>
        <v>15140</v>
      </c>
      <c r="H24980" s="49">
        <f t="shared" si="2"/>
        <v>15269</v>
      </c>
    </row>
    <row r="24981">
      <c r="A24981" s="48" t="s">
        <v>18553</v>
      </c>
      <c r="B24981" s="38">
        <v>57117.0</v>
      </c>
      <c r="C24981" s="38" t="s">
        <v>29494</v>
      </c>
      <c r="D24981" s="38" t="str">
        <f>IFERROR(__xludf.DUMMYFUNCTION("REGEXREPLACE(C24981,""-\d+(.*)|--\d+(.*)"","""")"),"BUDING")</f>
        <v>BUDING</v>
      </c>
      <c r="E24981" s="38" t="s">
        <v>303</v>
      </c>
      <c r="F24981" s="38" t="s">
        <v>195</v>
      </c>
      <c r="G24981" s="49" t="str">
        <f t="shared" si="1"/>
        <v>57920</v>
      </c>
      <c r="H24981" s="49">
        <f t="shared" si="2"/>
        <v>57117</v>
      </c>
    </row>
    <row r="24982">
      <c r="A24982" s="48" t="s">
        <v>4071</v>
      </c>
      <c r="B24982" s="38">
        <v>66030.0</v>
      </c>
      <c r="C24982" s="38" t="s">
        <v>29495</v>
      </c>
      <c r="D24982" s="38" t="str">
        <f>IFERROR(__xludf.DUMMYFUNCTION("REGEXREPLACE(C24982,""-\d+(.*)|--\d+(.*)"","""")"),"CALCE")</f>
        <v>CALCE</v>
      </c>
      <c r="E24982" s="38" t="s">
        <v>248</v>
      </c>
      <c r="F24982" s="38" t="s">
        <v>119</v>
      </c>
      <c r="G24982" s="49" t="str">
        <f t="shared" si="1"/>
        <v>66600</v>
      </c>
      <c r="H24982" s="49">
        <f t="shared" si="2"/>
        <v>66030</v>
      </c>
    </row>
    <row r="24983">
      <c r="A24983" s="48" t="s">
        <v>8742</v>
      </c>
      <c r="B24983" s="38">
        <v>27625.0</v>
      </c>
      <c r="C24983" s="38" t="s">
        <v>29496</v>
      </c>
      <c r="D24983" s="38" t="str">
        <f>IFERROR(__xludf.DUMMYFUNCTION("REGEXREPLACE(C24983,""-\d+(.*)|--\d+(.*)"","""")"),"SUZAY")</f>
        <v>SUZAY</v>
      </c>
      <c r="E24983" s="38" t="s">
        <v>241</v>
      </c>
      <c r="F24983" s="38" t="s">
        <v>134</v>
      </c>
      <c r="G24983" s="49" t="str">
        <f t="shared" si="1"/>
        <v>27420</v>
      </c>
      <c r="H24983" s="49">
        <f t="shared" si="2"/>
        <v>27625</v>
      </c>
    </row>
    <row r="24984">
      <c r="A24984" s="48" t="s">
        <v>95</v>
      </c>
      <c r="B24984" s="38">
        <v>23044.0</v>
      </c>
      <c r="C24984" s="38" t="s">
        <v>29497</v>
      </c>
      <c r="D24984" s="38" t="str">
        <f>IFERROR(__xludf.DUMMYFUNCTION("REGEXREPLACE(C24984,""-\d+(.*)|--\d+(.*)"","""")"),"CHAMBON-SAINTE-CROIX")</f>
        <v>CHAMBON-SAINTE-CROIX</v>
      </c>
      <c r="E24984" s="38" t="s">
        <v>97</v>
      </c>
      <c r="F24984" s="38" t="s">
        <v>98</v>
      </c>
      <c r="G24984" s="49" t="str">
        <f t="shared" si="1"/>
        <v>23220</v>
      </c>
      <c r="H24984" s="49">
        <f t="shared" si="2"/>
        <v>23044</v>
      </c>
    </row>
    <row r="24985">
      <c r="A24985" s="48" t="s">
        <v>9649</v>
      </c>
      <c r="B24985" s="38">
        <v>43141.0</v>
      </c>
      <c r="C24985" s="38" t="s">
        <v>29498</v>
      </c>
      <c r="D24985" s="38" t="str">
        <f>IFERROR(__xludf.DUMMYFUNCTION("REGEXREPLACE(C24985,""-\d+(.*)|--\d+(.*)"","""")"),"MONTFAUCON-EN-VELAY")</f>
        <v>MONTFAUCON-EN-VELAY</v>
      </c>
      <c r="E24985" s="38" t="s">
        <v>332</v>
      </c>
      <c r="F24985" s="38" t="s">
        <v>161</v>
      </c>
      <c r="G24985" s="49" t="str">
        <f t="shared" si="1"/>
        <v>43290</v>
      </c>
      <c r="H24985" s="49">
        <f t="shared" si="2"/>
        <v>43141</v>
      </c>
    </row>
    <row r="24986">
      <c r="A24986" s="48" t="s">
        <v>4814</v>
      </c>
      <c r="B24986" s="38">
        <v>57568.0</v>
      </c>
      <c r="C24986" s="38" t="s">
        <v>29499</v>
      </c>
      <c r="D24986" s="38" t="str">
        <f>IFERROR(__xludf.DUMMYFUNCTION("REGEXREPLACE(C24986,""-\d+(.*)|--\d+(.*)"","""")"),"REMELFING")</f>
        <v>REMELFING</v>
      </c>
      <c r="E24986" s="38" t="s">
        <v>303</v>
      </c>
      <c r="F24986" s="38" t="s">
        <v>195</v>
      </c>
      <c r="G24986" s="49" t="str">
        <f t="shared" si="1"/>
        <v>57200</v>
      </c>
      <c r="H24986" s="49">
        <f t="shared" si="2"/>
        <v>57568</v>
      </c>
    </row>
    <row r="24987">
      <c r="A24987" s="48" t="s">
        <v>19399</v>
      </c>
      <c r="B24987" s="38">
        <v>64122.0</v>
      </c>
      <c r="C24987" s="38" t="s">
        <v>29500</v>
      </c>
      <c r="D24987" s="38" t="str">
        <f>IFERROR(__xludf.DUMMYFUNCTION("REGEXREPLACE(C24987,""-\d+(.*)|--\d+(.*)"","""")"),"BIARRITZ")</f>
        <v>BIARRITZ</v>
      </c>
      <c r="E24987" s="38" t="s">
        <v>268</v>
      </c>
      <c r="F24987" s="38" t="s">
        <v>252</v>
      </c>
      <c r="G24987" s="49" t="str">
        <f t="shared" si="1"/>
        <v>64200</v>
      </c>
      <c r="H24987" s="49">
        <f t="shared" si="2"/>
        <v>64122</v>
      </c>
    </row>
    <row r="24988">
      <c r="A24988" s="48" t="s">
        <v>1471</v>
      </c>
      <c r="B24988" s="38">
        <v>3058.0</v>
      </c>
      <c r="C24988" s="38" t="s">
        <v>9121</v>
      </c>
      <c r="D24988" s="38" t="str">
        <f>IFERROR(__xludf.DUMMYFUNCTION("REGEXREPLACE(C24988,""-\d+(.*)|--\d+(.*)"","""")"),"CHAPPES")</f>
        <v>CHAPPES</v>
      </c>
      <c r="E24988" s="38" t="s">
        <v>160</v>
      </c>
      <c r="F24988" s="38" t="s">
        <v>161</v>
      </c>
      <c r="G24988" s="49" t="str">
        <f t="shared" si="1"/>
        <v>03390</v>
      </c>
      <c r="H24988" s="49" t="str">
        <f t="shared" si="2"/>
        <v>03058</v>
      </c>
    </row>
    <row r="24989">
      <c r="A24989" s="48" t="s">
        <v>3675</v>
      </c>
      <c r="B24989" s="38">
        <v>58154.0</v>
      </c>
      <c r="C24989" s="38" t="s">
        <v>29501</v>
      </c>
      <c r="D24989" s="38" t="str">
        <f>IFERROR(__xludf.DUMMYFUNCTION("REGEXREPLACE(C24989,""-\d+(.*)|--\d+(.*)"","""")"),"LA MAISON-DIEU")</f>
        <v>LA MAISON-DIEU</v>
      </c>
      <c r="E24989" s="38" t="s">
        <v>219</v>
      </c>
      <c r="F24989" s="38" t="s">
        <v>106</v>
      </c>
      <c r="G24989" s="49" t="str">
        <f t="shared" si="1"/>
        <v>58190</v>
      </c>
      <c r="H24989" s="49">
        <f t="shared" si="2"/>
        <v>58154</v>
      </c>
    </row>
    <row r="24990">
      <c r="A24990" s="48" t="s">
        <v>18140</v>
      </c>
      <c r="B24990" s="38">
        <v>14059.0</v>
      </c>
      <c r="C24990" s="38" t="s">
        <v>29502</v>
      </c>
      <c r="D24990" s="38" t="str">
        <f>IFERROR(__xludf.DUMMYFUNCTION("REGEXREPLACE(C24990,""-\d+(.*)|--\d+(.*)"","""")"),"BENERVILLE-SUR-MER")</f>
        <v>BENERVILLE-SUR-MER</v>
      </c>
      <c r="E24990" s="38" t="s">
        <v>137</v>
      </c>
      <c r="F24990" s="38" t="s">
        <v>138</v>
      </c>
      <c r="G24990" s="49" t="str">
        <f t="shared" si="1"/>
        <v>14910</v>
      </c>
      <c r="H24990" s="49">
        <f t="shared" si="2"/>
        <v>14059</v>
      </c>
    </row>
    <row r="24991">
      <c r="A24991" s="48" t="s">
        <v>4022</v>
      </c>
      <c r="B24991" s="38">
        <v>62723.0</v>
      </c>
      <c r="C24991" s="38" t="s">
        <v>29503</v>
      </c>
      <c r="D24991" s="38" t="str">
        <f>IFERROR(__xludf.DUMMYFUNCTION("REGEXREPLACE(C24991,""-\d+(.*)|--\d+(.*)"","""")"),"ROUSSENT")</f>
        <v>ROUSSENT</v>
      </c>
      <c r="E24991" s="38" t="s">
        <v>109</v>
      </c>
      <c r="F24991" s="38" t="s">
        <v>86</v>
      </c>
      <c r="G24991" s="49" t="str">
        <f t="shared" si="1"/>
        <v>62870</v>
      </c>
      <c r="H24991" s="49">
        <f t="shared" si="2"/>
        <v>62723</v>
      </c>
    </row>
    <row r="24992">
      <c r="A24992" s="48" t="s">
        <v>3924</v>
      </c>
      <c r="B24992" s="38">
        <v>81142.0</v>
      </c>
      <c r="C24992" s="38" t="s">
        <v>29504</v>
      </c>
      <c r="D24992" s="38" t="str">
        <f>IFERROR(__xludf.DUMMYFUNCTION("REGEXREPLACE(C24992,""-\d+(.*)|--\d+(.*)"","""")"),"LEMPAUT")</f>
        <v>LEMPAUT</v>
      </c>
      <c r="E24992" s="38" t="s">
        <v>231</v>
      </c>
      <c r="F24992" s="38" t="s">
        <v>94</v>
      </c>
      <c r="G24992" s="49" t="str">
        <f t="shared" si="1"/>
        <v>81700</v>
      </c>
      <c r="H24992" s="49">
        <f t="shared" si="2"/>
        <v>81142</v>
      </c>
    </row>
    <row r="24993">
      <c r="A24993" s="48" t="s">
        <v>1124</v>
      </c>
      <c r="B24993" s="38">
        <v>61408.0</v>
      </c>
      <c r="C24993" s="38" t="s">
        <v>29505</v>
      </c>
      <c r="D24993" s="38" t="str">
        <f>IFERROR(__xludf.DUMMYFUNCTION("REGEXREPLACE(C24993,""-\d+(.*)|--\d+(.*)"","""")"),"SAINTE-HONORINE-LA-GUILLAUME")</f>
        <v>SAINTE-HONORINE-LA-GUILLAUME</v>
      </c>
      <c r="E24993" s="38" t="s">
        <v>141</v>
      </c>
      <c r="F24993" s="38" t="s">
        <v>138</v>
      </c>
      <c r="G24993" s="49" t="str">
        <f t="shared" si="1"/>
        <v>61210</v>
      </c>
      <c r="H24993" s="49">
        <f t="shared" si="2"/>
        <v>61408</v>
      </c>
    </row>
    <row r="24994">
      <c r="A24994" s="48" t="s">
        <v>10369</v>
      </c>
      <c r="B24994" s="38">
        <v>88235.0</v>
      </c>
      <c r="C24994" s="38" t="s">
        <v>29506</v>
      </c>
      <c r="D24994" s="38" t="str">
        <f>IFERROR(__xludf.DUMMYFUNCTION("REGEXREPLACE(C24994,""-\d+(.*)|--\d+(.*)"","""")"),"HAUTMOUGEY")</f>
        <v>HAUTMOUGEY</v>
      </c>
      <c r="E24994" s="38" t="s">
        <v>194</v>
      </c>
      <c r="F24994" s="38" t="s">
        <v>195</v>
      </c>
      <c r="G24994" s="49" t="str">
        <f t="shared" si="1"/>
        <v>88240</v>
      </c>
      <c r="H24994" s="49">
        <f t="shared" si="2"/>
        <v>88235</v>
      </c>
    </row>
    <row r="24995">
      <c r="A24995" s="48" t="s">
        <v>12300</v>
      </c>
      <c r="B24995" s="38">
        <v>37265.0</v>
      </c>
      <c r="C24995" s="38" t="s">
        <v>13130</v>
      </c>
      <c r="D24995" s="38" t="str">
        <f>IFERROR(__xludf.DUMMYFUNCTION("REGEXREPLACE(C24995,""-\d+(.*)|--\d+(.*)"","""")"),"VARENNES")</f>
        <v>VARENNES</v>
      </c>
      <c r="E24995" s="38" t="s">
        <v>205</v>
      </c>
      <c r="F24995" s="38" t="s">
        <v>123</v>
      </c>
      <c r="G24995" s="49" t="str">
        <f t="shared" si="1"/>
        <v>37600</v>
      </c>
      <c r="H24995" s="49">
        <f t="shared" si="2"/>
        <v>37265</v>
      </c>
    </row>
    <row r="24996">
      <c r="A24996" s="48" t="s">
        <v>702</v>
      </c>
      <c r="B24996" s="38">
        <v>31034.0</v>
      </c>
      <c r="C24996" s="38" t="s">
        <v>29507</v>
      </c>
      <c r="D24996" s="38" t="str">
        <f>IFERROR(__xludf.DUMMYFUNCTION("REGEXREPLACE(C24996,""-\d+(.*)|--\d+(.*)"","""")"),"AUZAS")</f>
        <v>AUZAS</v>
      </c>
      <c r="E24996" s="38" t="s">
        <v>93</v>
      </c>
      <c r="F24996" s="38" t="s">
        <v>94</v>
      </c>
      <c r="G24996" s="49" t="str">
        <f t="shared" si="1"/>
        <v>31360</v>
      </c>
      <c r="H24996" s="49">
        <f t="shared" si="2"/>
        <v>31034</v>
      </c>
    </row>
    <row r="24997">
      <c r="A24997" s="48" t="s">
        <v>8922</v>
      </c>
      <c r="B24997" s="38">
        <v>27488.0</v>
      </c>
      <c r="C24997" s="38" t="s">
        <v>6588</v>
      </c>
      <c r="D24997" s="38" t="str">
        <f>IFERROR(__xludf.DUMMYFUNCTION("REGEXREPLACE(C24997,""-\d+(.*)|--\d+(.*)"","""")"),"RENNEVILLE")</f>
        <v>RENNEVILLE</v>
      </c>
      <c r="E24997" s="38" t="s">
        <v>241</v>
      </c>
      <c r="F24997" s="38" t="s">
        <v>134</v>
      </c>
      <c r="G24997" s="49" t="str">
        <f t="shared" si="1"/>
        <v>27910</v>
      </c>
      <c r="H24997" s="49">
        <f t="shared" si="2"/>
        <v>27488</v>
      </c>
    </row>
    <row r="24998">
      <c r="A24998" s="48" t="s">
        <v>423</v>
      </c>
      <c r="B24998" s="38">
        <v>2316.0</v>
      </c>
      <c r="C24998" s="38" t="s">
        <v>1076</v>
      </c>
      <c r="D24998" s="38" t="str">
        <f>IFERROR(__xludf.DUMMYFUNCTION("REGEXREPLACE(C24998,""-\d+(.*)|--\d+(.*)"","""")"),"FLEURY")</f>
        <v>FLEURY</v>
      </c>
      <c r="E24998" s="38" t="s">
        <v>191</v>
      </c>
      <c r="F24998" s="38" t="s">
        <v>113</v>
      </c>
      <c r="G24998" s="49" t="str">
        <f t="shared" si="1"/>
        <v>02600</v>
      </c>
      <c r="H24998" s="49" t="str">
        <f t="shared" si="2"/>
        <v>02316</v>
      </c>
    </row>
    <row r="24999">
      <c r="A24999" s="48" t="s">
        <v>5996</v>
      </c>
      <c r="B24999" s="38">
        <v>67415.0</v>
      </c>
      <c r="C24999" s="38" t="s">
        <v>29508</v>
      </c>
      <c r="D24999" s="38" t="str">
        <f>IFERROR(__xludf.DUMMYFUNCTION("REGEXREPLACE(C24999,""-\d+(.*)|--\d+(.*)"","""")"),"ROTHBACH")</f>
        <v>ROTHBACH</v>
      </c>
      <c r="E24999" s="38" t="s">
        <v>210</v>
      </c>
      <c r="F24999" s="38" t="s">
        <v>151</v>
      </c>
      <c r="G24999" s="49" t="str">
        <f t="shared" si="1"/>
        <v>67340</v>
      </c>
      <c r="H24999" s="49">
        <f t="shared" si="2"/>
        <v>67415</v>
      </c>
    </row>
    <row r="25000">
      <c r="A25000" s="48" t="s">
        <v>9660</v>
      </c>
      <c r="B25000" s="38">
        <v>89312.0</v>
      </c>
      <c r="C25000" s="38" t="s">
        <v>29509</v>
      </c>
      <c r="D25000" s="38" t="str">
        <f>IFERROR(__xludf.DUMMYFUNCTION("REGEXREPLACE(C25000,""-\d+(.*)|--\d+(.*)"","""")"),"PRECY-LE-SEC")</f>
        <v>PRECY-LE-SEC</v>
      </c>
      <c r="E25000" s="38" t="s">
        <v>275</v>
      </c>
      <c r="F25000" s="38" t="s">
        <v>106</v>
      </c>
      <c r="G25000" s="49" t="str">
        <f t="shared" si="1"/>
        <v>89440</v>
      </c>
      <c r="H25000" s="49">
        <f t="shared" si="2"/>
        <v>89312</v>
      </c>
    </row>
    <row r="25001">
      <c r="A25001" s="48" t="s">
        <v>576</v>
      </c>
      <c r="B25001" s="38">
        <v>54044.0</v>
      </c>
      <c r="C25001" s="38" t="s">
        <v>29510</v>
      </c>
      <c r="D25001" s="38" t="str">
        <f>IFERROR(__xludf.DUMMYFUNCTION("REGEXREPLACE(C25001,""-\d+(.*)|--\d+(.*)"","""")"),"BARBAS")</f>
        <v>BARBAS</v>
      </c>
      <c r="E25001" s="38" t="s">
        <v>548</v>
      </c>
      <c r="F25001" s="38" t="s">
        <v>195</v>
      </c>
      <c r="G25001" s="49" t="str">
        <f t="shared" si="1"/>
        <v>54450</v>
      </c>
      <c r="H25001" s="49">
        <f t="shared" si="2"/>
        <v>54044</v>
      </c>
    </row>
    <row r="25002">
      <c r="A25002" s="48" t="s">
        <v>6668</v>
      </c>
      <c r="B25002" s="38">
        <v>89046.0</v>
      </c>
      <c r="C25002" s="38" t="s">
        <v>29511</v>
      </c>
      <c r="D25002" s="38" t="str">
        <f>IFERROR(__xludf.DUMMYFUNCTION("REGEXREPLACE(C25002,""-\d+(.*)|--\d+(.*)"","""")"),"BLENEAU")</f>
        <v>BLENEAU</v>
      </c>
      <c r="E25002" s="38" t="s">
        <v>275</v>
      </c>
      <c r="F25002" s="38" t="s">
        <v>106</v>
      </c>
      <c r="G25002" s="49" t="str">
        <f t="shared" si="1"/>
        <v>89220</v>
      </c>
      <c r="H25002" s="49">
        <f t="shared" si="2"/>
        <v>89046</v>
      </c>
    </row>
    <row r="25003">
      <c r="A25003" s="48" t="s">
        <v>1930</v>
      </c>
      <c r="B25003" s="38">
        <v>28312.0</v>
      </c>
      <c r="C25003" s="38" t="s">
        <v>29512</v>
      </c>
      <c r="D25003" s="38" t="str">
        <f>IFERROR(__xludf.DUMMYFUNCTION("REGEXREPLACE(C25003,""-\d+(.*)|--\d+(.*)"","""")"),"PUISEUX")</f>
        <v>PUISEUX</v>
      </c>
      <c r="E25003" s="38" t="s">
        <v>300</v>
      </c>
      <c r="F25003" s="38" t="s">
        <v>123</v>
      </c>
      <c r="G25003" s="49" t="str">
        <f t="shared" si="1"/>
        <v>28170</v>
      </c>
      <c r="H25003" s="49">
        <f t="shared" si="2"/>
        <v>28312</v>
      </c>
    </row>
    <row r="25004">
      <c r="A25004" s="48" t="s">
        <v>1332</v>
      </c>
      <c r="B25004" s="38">
        <v>51519.0</v>
      </c>
      <c r="C25004" s="38" t="s">
        <v>29513</v>
      </c>
      <c r="D25004" s="38" t="str">
        <f>IFERROR(__xludf.DUMMYFUNCTION("REGEXREPLACE(C25004,""-\d+(.*)|--\d+(.*)"","""")"),"SAINT-THOMAS-EN-ARGONNE")</f>
        <v>SAINT-THOMAS-EN-ARGONNE</v>
      </c>
      <c r="E25004" s="38" t="s">
        <v>129</v>
      </c>
      <c r="F25004" s="38" t="s">
        <v>130</v>
      </c>
      <c r="G25004" s="49" t="str">
        <f t="shared" si="1"/>
        <v>51800</v>
      </c>
      <c r="H25004" s="49">
        <f t="shared" si="2"/>
        <v>51519</v>
      </c>
    </row>
    <row r="25005">
      <c r="A25005" s="48" t="s">
        <v>2141</v>
      </c>
      <c r="B25005" s="38">
        <v>80728.0</v>
      </c>
      <c r="C25005" s="38" t="s">
        <v>29514</v>
      </c>
      <c r="D25005" s="38" t="str">
        <f>IFERROR(__xludf.DUMMYFUNCTION("REGEXREPLACE(C25005,""-\d+(.*)|--\d+(.*)"","""")"),"SAULCHOY-SOUS-POIX")</f>
        <v>SAULCHOY-SOUS-POIX</v>
      </c>
      <c r="E25005" s="38" t="s">
        <v>224</v>
      </c>
      <c r="F25005" s="38" t="s">
        <v>113</v>
      </c>
      <c r="G25005" s="49" t="str">
        <f t="shared" si="1"/>
        <v>80290</v>
      </c>
      <c r="H25005" s="49">
        <f t="shared" si="2"/>
        <v>80728</v>
      </c>
    </row>
    <row r="25006">
      <c r="A25006" s="48" t="s">
        <v>8600</v>
      </c>
      <c r="B25006" s="38">
        <v>68011.0</v>
      </c>
      <c r="C25006" s="38" t="s">
        <v>29515</v>
      </c>
      <c r="D25006" s="38" t="str">
        <f>IFERROR(__xludf.DUMMYFUNCTION("REGEXREPLACE(C25006,""-\d+(.*)|--\d+(.*)"","""")"),"ASPACH-LE-BAS")</f>
        <v>ASPACH-LE-BAS</v>
      </c>
      <c r="E25006" s="38" t="s">
        <v>150</v>
      </c>
      <c r="F25006" s="38" t="s">
        <v>151</v>
      </c>
      <c r="G25006" s="49" t="str">
        <f t="shared" si="1"/>
        <v>68700</v>
      </c>
      <c r="H25006" s="49">
        <f t="shared" si="2"/>
        <v>68011</v>
      </c>
    </row>
    <row r="25007">
      <c r="A25007" s="48" t="s">
        <v>6073</v>
      </c>
      <c r="B25007" s="38">
        <v>40098.0</v>
      </c>
      <c r="C25007" s="38" t="s">
        <v>29516</v>
      </c>
      <c r="D25007" s="38" t="str">
        <f>IFERROR(__xludf.DUMMYFUNCTION("REGEXREPLACE(C25007,""-\d+(.*)|--\d+(.*)"","""")"),"EYRES-MONCUBE")</f>
        <v>EYRES-MONCUBE</v>
      </c>
      <c r="E25007" s="38" t="s">
        <v>281</v>
      </c>
      <c r="F25007" s="38" t="s">
        <v>252</v>
      </c>
      <c r="G25007" s="49" t="str">
        <f t="shared" si="1"/>
        <v>40500</v>
      </c>
      <c r="H25007" s="49">
        <f t="shared" si="2"/>
        <v>40098</v>
      </c>
    </row>
    <row r="25008">
      <c r="A25008" s="48" t="s">
        <v>499</v>
      </c>
      <c r="B25008" s="38">
        <v>57374.0</v>
      </c>
      <c r="C25008" s="38" t="s">
        <v>29517</v>
      </c>
      <c r="D25008" s="38" t="str">
        <f>IFERROR(__xludf.DUMMYFUNCTION("REGEXREPLACE(C25008,""-\d+(.*)|--\d+(.*)"","""")"),"LAFRIMBOLLE")</f>
        <v>LAFRIMBOLLE</v>
      </c>
      <c r="E25008" s="38" t="s">
        <v>303</v>
      </c>
      <c r="F25008" s="38" t="s">
        <v>195</v>
      </c>
      <c r="G25008" s="49" t="str">
        <f t="shared" si="1"/>
        <v>57560</v>
      </c>
      <c r="H25008" s="49">
        <f t="shared" si="2"/>
        <v>57374</v>
      </c>
    </row>
    <row r="25009">
      <c r="A25009" s="48" t="s">
        <v>15493</v>
      </c>
      <c r="B25009" s="38">
        <v>18108.0</v>
      </c>
      <c r="C25009" s="38" t="s">
        <v>29518</v>
      </c>
      <c r="D25009" s="38" t="str">
        <f>IFERROR(__xludf.DUMMYFUNCTION("REGEXREPLACE(C25009,""-\d+(.*)|--\d+(.*)"","""")"),"LA GUERCHE-SUR-L'AUBOIS")</f>
        <v>LA GUERCHE-SUR-L'AUBOIS</v>
      </c>
      <c r="E25009" s="38" t="s">
        <v>504</v>
      </c>
      <c r="F25009" s="38" t="s">
        <v>123</v>
      </c>
      <c r="G25009" s="49" t="str">
        <f t="shared" si="1"/>
        <v>18150</v>
      </c>
      <c r="H25009" s="49">
        <f t="shared" si="2"/>
        <v>18108</v>
      </c>
    </row>
    <row r="25010">
      <c r="A25010" s="48" t="s">
        <v>4873</v>
      </c>
      <c r="B25010" s="38">
        <v>67381.0</v>
      </c>
      <c r="C25010" s="38" t="s">
        <v>29519</v>
      </c>
      <c r="D25010" s="38" t="str">
        <f>IFERROR(__xludf.DUMMYFUNCTION("REGEXREPLACE(C25010,""-\d+(.*)|--\d+(.*)"","""")"),"PUBERG")</f>
        <v>PUBERG</v>
      </c>
      <c r="E25010" s="38" t="s">
        <v>210</v>
      </c>
      <c r="F25010" s="38" t="s">
        <v>151</v>
      </c>
      <c r="G25010" s="49" t="str">
        <f t="shared" si="1"/>
        <v>67290</v>
      </c>
      <c r="H25010" s="49">
        <f t="shared" si="2"/>
        <v>67381</v>
      </c>
    </row>
    <row r="25011">
      <c r="A25011" s="48" t="s">
        <v>8883</v>
      </c>
      <c r="B25011" s="38">
        <v>39412.0</v>
      </c>
      <c r="C25011" s="38" t="s">
        <v>28910</v>
      </c>
      <c r="D25011" s="38" t="str">
        <f>IFERROR(__xludf.DUMMYFUNCTION("REGEXREPLACE(C25011,""-\d+(.*)|--\d+(.*)"","""")"),"PESEUX")</f>
        <v>PESEUX</v>
      </c>
      <c r="E25011" s="38" t="s">
        <v>400</v>
      </c>
      <c r="F25011" s="38" t="s">
        <v>214</v>
      </c>
      <c r="G25011" s="49" t="str">
        <f t="shared" si="1"/>
        <v>39120</v>
      </c>
      <c r="H25011" s="49">
        <f t="shared" si="2"/>
        <v>39412</v>
      </c>
    </row>
    <row r="25012">
      <c r="A25012" s="48" t="s">
        <v>14348</v>
      </c>
      <c r="B25012" s="38">
        <v>12173.0</v>
      </c>
      <c r="C25012" s="38" t="s">
        <v>2684</v>
      </c>
      <c r="D25012" s="38" t="str">
        <f>IFERROR(__xludf.DUMMYFUNCTION("REGEXREPLACE(C25012,""-\d+(.*)|--\d+(.*)"","""")"),"NOAILHAC")</f>
        <v>NOAILHAC</v>
      </c>
      <c r="E25012" s="38" t="s">
        <v>465</v>
      </c>
      <c r="F25012" s="38" t="s">
        <v>94</v>
      </c>
      <c r="G25012" s="49" t="str">
        <f t="shared" si="1"/>
        <v>12320</v>
      </c>
      <c r="H25012" s="49">
        <f t="shared" si="2"/>
        <v>12173</v>
      </c>
    </row>
    <row r="25013">
      <c r="A25013" s="48" t="s">
        <v>19257</v>
      </c>
      <c r="B25013" s="38">
        <v>69071.0</v>
      </c>
      <c r="C25013" s="38" t="s">
        <v>29520</v>
      </c>
      <c r="D25013" s="38" t="str">
        <f>IFERROR(__xludf.DUMMYFUNCTION("REGEXREPLACE(C25013,""-\d+(.*)|--\d+(.*)"","""")"),"CURIS-AU-MONT-D'OR")</f>
        <v>CURIS-AU-MONT-D'OR</v>
      </c>
      <c r="E25013" s="38" t="s">
        <v>350</v>
      </c>
      <c r="F25013" s="38" t="s">
        <v>102</v>
      </c>
      <c r="G25013" s="49" t="str">
        <f t="shared" si="1"/>
        <v>69250</v>
      </c>
      <c r="H25013" s="49">
        <f t="shared" si="2"/>
        <v>69071</v>
      </c>
    </row>
    <row r="25014">
      <c r="A25014" s="48" t="s">
        <v>5423</v>
      </c>
      <c r="B25014" s="38">
        <v>31371.0</v>
      </c>
      <c r="C25014" s="38" t="s">
        <v>29521</v>
      </c>
      <c r="D25014" s="38" t="str">
        <f>IFERROR(__xludf.DUMMYFUNCTION("REGEXREPLACE(C25014,""-\d+(.*)|--\d+(.*)"","""")"),"MONTEGUT-LAURAGAIS")</f>
        <v>MONTEGUT-LAURAGAIS</v>
      </c>
      <c r="E25014" s="38" t="s">
        <v>93</v>
      </c>
      <c r="F25014" s="38" t="s">
        <v>94</v>
      </c>
      <c r="G25014" s="49" t="str">
        <f t="shared" si="1"/>
        <v>31540</v>
      </c>
      <c r="H25014" s="49">
        <f t="shared" si="2"/>
        <v>31371</v>
      </c>
    </row>
    <row r="25015">
      <c r="A25015" s="48" t="s">
        <v>4328</v>
      </c>
      <c r="B25015" s="38">
        <v>70076.0</v>
      </c>
      <c r="C25015" s="38" t="s">
        <v>29522</v>
      </c>
      <c r="D25015" s="38" t="str">
        <f>IFERROR(__xludf.DUMMYFUNCTION("REGEXREPLACE(C25015,""-\d+(.*)|--\d+(.*)"","""")"),"BONNEVENT-VELLOREILLE")</f>
        <v>BONNEVENT-VELLOREILLE</v>
      </c>
      <c r="E25015" s="38" t="s">
        <v>956</v>
      </c>
      <c r="F25015" s="38" t="s">
        <v>214</v>
      </c>
      <c r="G25015" s="49" t="str">
        <f t="shared" si="1"/>
        <v>70700</v>
      </c>
      <c r="H25015" s="49">
        <f t="shared" si="2"/>
        <v>70076</v>
      </c>
    </row>
    <row r="25016">
      <c r="A25016" s="48" t="s">
        <v>17340</v>
      </c>
      <c r="B25016" s="38">
        <v>62568.0</v>
      </c>
      <c r="C25016" s="38" t="s">
        <v>29523</v>
      </c>
      <c r="D25016" s="38" t="str">
        <f>IFERROR(__xludf.DUMMYFUNCTION("REGEXREPLACE(C25016,""-\d+(.*)|--\d+(.*)"","""")"),"MERCATEL")</f>
        <v>MERCATEL</v>
      </c>
      <c r="E25016" s="38" t="s">
        <v>109</v>
      </c>
      <c r="F25016" s="38" t="s">
        <v>86</v>
      </c>
      <c r="G25016" s="49" t="str">
        <f t="shared" si="1"/>
        <v>62217</v>
      </c>
      <c r="H25016" s="49">
        <f t="shared" si="2"/>
        <v>62568</v>
      </c>
    </row>
    <row r="25017">
      <c r="A25017" s="48" t="s">
        <v>21801</v>
      </c>
      <c r="B25017" s="38">
        <v>81230.0</v>
      </c>
      <c r="C25017" s="38" t="s">
        <v>14547</v>
      </c>
      <c r="D25017" s="38" t="str">
        <f>IFERROR(__xludf.DUMMYFUNCTION("REGEXREPLACE(C25017,""-\d+(.*)|--\d+(.*)"","""")"),"ROSIERES")</f>
        <v>ROSIERES</v>
      </c>
      <c r="E25017" s="38" t="s">
        <v>231</v>
      </c>
      <c r="F25017" s="38" t="s">
        <v>94</v>
      </c>
      <c r="G25017" s="49" t="str">
        <f t="shared" si="1"/>
        <v>81400</v>
      </c>
      <c r="H25017" s="49">
        <f t="shared" si="2"/>
        <v>81230</v>
      </c>
    </row>
    <row r="25018">
      <c r="A25018" s="48" t="s">
        <v>12047</v>
      </c>
      <c r="B25018" s="38">
        <v>66035.0</v>
      </c>
      <c r="C25018" s="38" t="s">
        <v>29524</v>
      </c>
      <c r="D25018" s="38" t="str">
        <f>IFERROR(__xludf.DUMMYFUNCTION("REGEXREPLACE(C25018,""-\d+(.*)|--\d+(.*)"","""")"),"CAMPOUSSY")</f>
        <v>CAMPOUSSY</v>
      </c>
      <c r="E25018" s="38" t="s">
        <v>248</v>
      </c>
      <c r="F25018" s="38" t="s">
        <v>119</v>
      </c>
      <c r="G25018" s="49" t="str">
        <f t="shared" si="1"/>
        <v>66730</v>
      </c>
      <c r="H25018" s="49">
        <f t="shared" si="2"/>
        <v>66035</v>
      </c>
    </row>
    <row r="25019">
      <c r="A25019" s="48" t="s">
        <v>127</v>
      </c>
      <c r="B25019" s="38">
        <v>51589.0</v>
      </c>
      <c r="C25019" s="38" t="s">
        <v>29525</v>
      </c>
      <c r="D25019" s="38" t="str">
        <f>IFERROR(__xludf.DUMMYFUNCTION("REGEXREPLACE(C25019,""-\d+(.*)|--\d+(.*)"","""")"),"VANAULT-LE-CHATEL")</f>
        <v>VANAULT-LE-CHATEL</v>
      </c>
      <c r="E25019" s="38" t="s">
        <v>129</v>
      </c>
      <c r="F25019" s="38" t="s">
        <v>130</v>
      </c>
      <c r="G25019" s="49" t="str">
        <f t="shared" si="1"/>
        <v>51330</v>
      </c>
      <c r="H25019" s="49">
        <f t="shared" si="2"/>
        <v>51589</v>
      </c>
    </row>
    <row r="25020">
      <c r="A25020" s="48" t="s">
        <v>13968</v>
      </c>
      <c r="B25020" s="38">
        <v>50002.0</v>
      </c>
      <c r="C25020" s="38" t="s">
        <v>29526</v>
      </c>
      <c r="D25020" s="38" t="str">
        <f>IFERROR(__xludf.DUMMYFUNCTION("REGEXREPLACE(C25020,""-\d+(.*)|--\d+(.*)"","""")"),"AGNEAUX")</f>
        <v>AGNEAUX</v>
      </c>
      <c r="E25020" s="38" t="s">
        <v>157</v>
      </c>
      <c r="F25020" s="38" t="s">
        <v>138</v>
      </c>
      <c r="G25020" s="49" t="str">
        <f t="shared" si="1"/>
        <v>50180</v>
      </c>
      <c r="H25020" s="49">
        <f t="shared" si="2"/>
        <v>50002</v>
      </c>
    </row>
    <row r="25021">
      <c r="A25021" s="48" t="s">
        <v>3283</v>
      </c>
      <c r="B25021" s="38">
        <v>52084.0</v>
      </c>
      <c r="C25021" s="38" t="s">
        <v>29527</v>
      </c>
      <c r="D25021" s="38" t="str">
        <f>IFERROR(__xludf.DUMMYFUNCTION("REGEXREPLACE(C25021,""-\d+(.*)|--\d+(.*)"","""")"),"BUSSON")</f>
        <v>BUSSON</v>
      </c>
      <c r="E25021" s="38" t="s">
        <v>234</v>
      </c>
      <c r="F25021" s="38" t="s">
        <v>130</v>
      </c>
      <c r="G25021" s="49" t="str">
        <f t="shared" si="1"/>
        <v>52700</v>
      </c>
      <c r="H25021" s="49">
        <f t="shared" si="2"/>
        <v>52084</v>
      </c>
    </row>
    <row r="25022">
      <c r="A25022" s="48" t="s">
        <v>15157</v>
      </c>
      <c r="B25022" s="38">
        <v>91482.0</v>
      </c>
      <c r="C25022" s="38" t="s">
        <v>29528</v>
      </c>
      <c r="D25022" s="38" t="str">
        <f>IFERROR(__xludf.DUMMYFUNCTION("REGEXREPLACE(C25022,""-\d+(.*)|--\d+(.*)"","""")"),"PECQUEUSE")</f>
        <v>PECQUEUSE</v>
      </c>
      <c r="E25022" s="38" t="s">
        <v>756</v>
      </c>
      <c r="F25022" s="38" t="s">
        <v>245</v>
      </c>
      <c r="G25022" s="49" t="str">
        <f t="shared" si="1"/>
        <v>91470</v>
      </c>
      <c r="H25022" s="49">
        <f t="shared" si="2"/>
        <v>91482</v>
      </c>
    </row>
    <row r="25023">
      <c r="A25023" s="48" t="s">
        <v>2692</v>
      </c>
      <c r="B25023" s="38">
        <v>67174.0</v>
      </c>
      <c r="C25023" s="38" t="s">
        <v>29529</v>
      </c>
      <c r="D25023" s="38" t="str">
        <f>IFERROR(__xludf.DUMMYFUNCTION("REGEXREPLACE(C25023,""-\d+(.*)|--\d+(.*)"","""")"),"GUMBRECHTSHOFFEN")</f>
        <v>GUMBRECHTSHOFFEN</v>
      </c>
      <c r="E25023" s="38" t="s">
        <v>210</v>
      </c>
      <c r="F25023" s="38" t="s">
        <v>151</v>
      </c>
      <c r="G25023" s="49" t="str">
        <f t="shared" si="1"/>
        <v>67110</v>
      </c>
      <c r="H25023" s="49">
        <f t="shared" si="2"/>
        <v>67174</v>
      </c>
    </row>
    <row r="25024">
      <c r="A25024" s="48" t="s">
        <v>10346</v>
      </c>
      <c r="B25024" s="38">
        <v>59255.0</v>
      </c>
      <c r="C25024" s="38" t="s">
        <v>29530</v>
      </c>
      <c r="D25024" s="38" t="str">
        <f>IFERROR(__xludf.DUMMYFUNCTION("REGEXREPLACE(C25024,""-\d+(.*)|--\d+(.*)"","""")"),"FRESSIES")</f>
        <v>FRESSIES</v>
      </c>
      <c r="E25024" s="38" t="s">
        <v>85</v>
      </c>
      <c r="F25024" s="38" t="s">
        <v>86</v>
      </c>
      <c r="G25024" s="49" t="str">
        <f t="shared" si="1"/>
        <v>59268</v>
      </c>
      <c r="H25024" s="49">
        <f t="shared" si="2"/>
        <v>59255</v>
      </c>
    </row>
    <row r="25025">
      <c r="A25025" s="48" t="s">
        <v>5810</v>
      </c>
      <c r="B25025" s="38">
        <v>54140.0</v>
      </c>
      <c r="C25025" s="38" t="s">
        <v>4680</v>
      </c>
      <c r="D25025" s="38" t="str">
        <f>IFERROR(__xludf.DUMMYFUNCTION("REGEXREPLACE(C25025,""-\d+(.*)|--\d+(.*)"","""")"),"COURCELLES")</f>
        <v>COURCELLES</v>
      </c>
      <c r="E25025" s="38" t="s">
        <v>548</v>
      </c>
      <c r="F25025" s="38" t="s">
        <v>195</v>
      </c>
      <c r="G25025" s="49" t="str">
        <f t="shared" si="1"/>
        <v>54930</v>
      </c>
      <c r="H25025" s="49">
        <f t="shared" si="2"/>
        <v>54140</v>
      </c>
    </row>
    <row r="25026">
      <c r="A25026" s="48" t="s">
        <v>2937</v>
      </c>
      <c r="B25026" s="38">
        <v>73324.0</v>
      </c>
      <c r="C25026" s="38" t="s">
        <v>29531</v>
      </c>
      <c r="D25026" s="38" t="str">
        <f>IFERROR(__xludf.DUMMYFUNCTION("REGEXREPLACE(C25026,""-\d+(.*)|--\d+(.*)"","""")"),"VILLAROUX")</f>
        <v>VILLAROUX</v>
      </c>
      <c r="E25026" s="38" t="s">
        <v>306</v>
      </c>
      <c r="F25026" s="38" t="s">
        <v>102</v>
      </c>
      <c r="G25026" s="49" t="str">
        <f t="shared" si="1"/>
        <v>73110</v>
      </c>
      <c r="H25026" s="49">
        <f t="shared" si="2"/>
        <v>73324</v>
      </c>
    </row>
    <row r="25027">
      <c r="A25027" s="48" t="s">
        <v>571</v>
      </c>
      <c r="B25027" s="38">
        <v>55095.0</v>
      </c>
      <c r="C25027" s="38" t="s">
        <v>29532</v>
      </c>
      <c r="D25027" s="38" t="str">
        <f>IFERROR(__xludf.DUMMYFUNCTION("REGEXREPLACE(C25027,""-\d+(.*)|--\d+(.*)"","""")"),"CESSE")</f>
        <v>CESSE</v>
      </c>
      <c r="E25027" s="38" t="s">
        <v>322</v>
      </c>
      <c r="F25027" s="38" t="s">
        <v>195</v>
      </c>
      <c r="G25027" s="49" t="str">
        <f t="shared" si="1"/>
        <v>55700</v>
      </c>
      <c r="H25027" s="49">
        <f t="shared" si="2"/>
        <v>55095</v>
      </c>
    </row>
    <row r="25028">
      <c r="A25028" s="48" t="s">
        <v>4088</v>
      </c>
      <c r="B25028" s="38">
        <v>39038.0</v>
      </c>
      <c r="C25028" s="38" t="s">
        <v>29533</v>
      </c>
      <c r="D25028" s="38" t="str">
        <f>IFERROR(__xludf.DUMMYFUNCTION("REGEXREPLACE(C25028,""-\d+(.*)|--\d+(.*)"","""")"),"BARESIA-SUR-L'AIN")</f>
        <v>BARESIA-SUR-L'AIN</v>
      </c>
      <c r="E25028" s="38" t="s">
        <v>400</v>
      </c>
      <c r="F25028" s="38" t="s">
        <v>214</v>
      </c>
      <c r="G25028" s="49" t="str">
        <f t="shared" si="1"/>
        <v>39130</v>
      </c>
      <c r="H25028" s="49">
        <f t="shared" si="2"/>
        <v>39038</v>
      </c>
    </row>
    <row r="25029">
      <c r="A25029" s="48" t="s">
        <v>13331</v>
      </c>
      <c r="B25029" s="38">
        <v>12201.0</v>
      </c>
      <c r="C25029" s="38" t="s">
        <v>29534</v>
      </c>
      <c r="D25029" s="38" t="str">
        <f>IFERROR(__xludf.DUMMYFUNCTION("REGEXREPLACE(C25029,""-\d+(.*)|--\d+(.*)"","""")"),"RODELLE")</f>
        <v>RODELLE</v>
      </c>
      <c r="E25029" s="38" t="s">
        <v>465</v>
      </c>
      <c r="F25029" s="38" t="s">
        <v>94</v>
      </c>
      <c r="G25029" s="49" t="str">
        <f t="shared" si="1"/>
        <v>12340</v>
      </c>
      <c r="H25029" s="49">
        <f t="shared" si="2"/>
        <v>12201</v>
      </c>
    </row>
    <row r="25030">
      <c r="A25030" s="48" t="s">
        <v>4773</v>
      </c>
      <c r="B25030" s="38">
        <v>87054.0</v>
      </c>
      <c r="C25030" s="38" t="s">
        <v>16868</v>
      </c>
      <c r="D25030" s="38" t="str">
        <f>IFERROR(__xludf.DUMMYFUNCTION("REGEXREPLACE(C25030,""-\d+(.*)|--\d+(.*)"","""")"),"CUSSAC")</f>
        <v>CUSSAC</v>
      </c>
      <c r="E25030" s="38" t="s">
        <v>897</v>
      </c>
      <c r="F25030" s="38" t="s">
        <v>98</v>
      </c>
      <c r="G25030" s="49" t="str">
        <f t="shared" si="1"/>
        <v>87150</v>
      </c>
      <c r="H25030" s="49">
        <f t="shared" si="2"/>
        <v>87054</v>
      </c>
    </row>
    <row r="25031">
      <c r="A25031" s="48" t="s">
        <v>5104</v>
      </c>
      <c r="B25031" s="38">
        <v>29094.0</v>
      </c>
      <c r="C25031" s="38" t="s">
        <v>29535</v>
      </c>
      <c r="D25031" s="38" t="str">
        <f>IFERROR(__xludf.DUMMYFUNCTION("REGEXREPLACE(C25031,""-\d+(.*)|--\d+(.*)"","""")"),"KERNOUES")</f>
        <v>KERNOUES</v>
      </c>
      <c r="E25031" s="38" t="s">
        <v>176</v>
      </c>
      <c r="F25031" s="38" t="s">
        <v>90</v>
      </c>
      <c r="G25031" s="49" t="str">
        <f t="shared" si="1"/>
        <v>29260</v>
      </c>
      <c r="H25031" s="49">
        <f t="shared" si="2"/>
        <v>29094</v>
      </c>
    </row>
    <row r="25032">
      <c r="A25032" s="48" t="s">
        <v>10970</v>
      </c>
      <c r="B25032" s="38">
        <v>59154.0</v>
      </c>
      <c r="C25032" s="38" t="s">
        <v>29536</v>
      </c>
      <c r="D25032" s="38" t="str">
        <f>IFERROR(__xludf.DUMMYFUNCTION("REGEXREPLACE(C25032,""-\d+(.*)|--\d+(.*)"","""")"),"COUDEKERQUE-VILLAGE")</f>
        <v>COUDEKERQUE-VILLAGE</v>
      </c>
      <c r="E25032" s="38" t="s">
        <v>85</v>
      </c>
      <c r="F25032" s="38" t="s">
        <v>86</v>
      </c>
      <c r="G25032" s="49" t="str">
        <f t="shared" si="1"/>
        <v>59380</v>
      </c>
      <c r="H25032" s="49">
        <f t="shared" si="2"/>
        <v>59154</v>
      </c>
    </row>
    <row r="25033">
      <c r="A25033" s="48" t="s">
        <v>2249</v>
      </c>
      <c r="B25033" s="38">
        <v>14214.0</v>
      </c>
      <c r="C25033" s="38" t="s">
        <v>29537</v>
      </c>
      <c r="D25033" s="38" t="str">
        <f>IFERROR(__xludf.DUMMYFUNCTION("REGEXREPLACE(C25033,""-\d+(.*)|--\d+(.*)"","""")"),"CUSSY")</f>
        <v>CUSSY</v>
      </c>
      <c r="E25033" s="38" t="s">
        <v>137</v>
      </c>
      <c r="F25033" s="38" t="s">
        <v>138</v>
      </c>
      <c r="G25033" s="49" t="str">
        <f t="shared" si="1"/>
        <v>14400</v>
      </c>
      <c r="H25033" s="49">
        <f t="shared" si="2"/>
        <v>14214</v>
      </c>
    </row>
    <row r="25034">
      <c r="A25034" s="48" t="s">
        <v>946</v>
      </c>
      <c r="B25034" s="38">
        <v>81141.0</v>
      </c>
      <c r="C25034" s="38" t="s">
        <v>29538</v>
      </c>
      <c r="D25034" s="38" t="str">
        <f>IFERROR(__xludf.DUMMYFUNCTION("REGEXREPLACE(C25034,""-\d+(.*)|--\d+(.*)"","""")"),"LEDAS-ET-PENTHIES")</f>
        <v>LEDAS-ET-PENTHIES</v>
      </c>
      <c r="E25034" s="38" t="s">
        <v>231</v>
      </c>
      <c r="F25034" s="38" t="s">
        <v>94</v>
      </c>
      <c r="G25034" s="49" t="str">
        <f t="shared" si="1"/>
        <v>81340</v>
      </c>
      <c r="H25034" s="49">
        <f t="shared" si="2"/>
        <v>81141</v>
      </c>
    </row>
    <row r="25035">
      <c r="A25035" s="48" t="s">
        <v>4626</v>
      </c>
      <c r="B25035" s="38">
        <v>16098.0</v>
      </c>
      <c r="C25035" s="38" t="s">
        <v>29539</v>
      </c>
      <c r="D25035" s="38" t="str">
        <f>IFERROR(__xludf.DUMMYFUNCTION("REGEXREPLACE(C25035,""-\d+(.*)|--\d+(.*)"","""")"),"LA CHEVRERIE")</f>
        <v>LA CHEVRERIE</v>
      </c>
      <c r="E25035" s="38" t="s">
        <v>429</v>
      </c>
      <c r="F25035" s="38" t="s">
        <v>338</v>
      </c>
      <c r="G25035" s="49" t="str">
        <f t="shared" si="1"/>
        <v>16240</v>
      </c>
      <c r="H25035" s="49">
        <f t="shared" si="2"/>
        <v>16098</v>
      </c>
    </row>
    <row r="25036">
      <c r="A25036" s="48" t="s">
        <v>23826</v>
      </c>
      <c r="B25036" s="38">
        <v>30333.0</v>
      </c>
      <c r="C25036" s="38" t="s">
        <v>29540</v>
      </c>
      <c r="D25036" s="38" t="str">
        <f>IFERROR(__xludf.DUMMYFUNCTION("REGEXREPLACE(C25036,""-\d+(.*)|--\d+(.*)"","""")"),"UCHAUD")</f>
        <v>UCHAUD</v>
      </c>
      <c r="E25036" s="38" t="s">
        <v>526</v>
      </c>
      <c r="F25036" s="38" t="s">
        <v>119</v>
      </c>
      <c r="G25036" s="49" t="str">
        <f t="shared" si="1"/>
        <v>30620</v>
      </c>
      <c r="H25036" s="49">
        <f t="shared" si="2"/>
        <v>30333</v>
      </c>
    </row>
    <row r="25037">
      <c r="A25037" s="48" t="s">
        <v>1592</v>
      </c>
      <c r="B25037" s="38">
        <v>40216.0</v>
      </c>
      <c r="C25037" s="38" t="s">
        <v>29541</v>
      </c>
      <c r="D25037" s="38" t="str">
        <f>IFERROR(__xludf.DUMMYFUNCTION("REGEXREPLACE(C25037,""-\d+(.*)|--\d+(.*)"","""")"),"OZOURT")</f>
        <v>OZOURT</v>
      </c>
      <c r="E25037" s="38" t="s">
        <v>281</v>
      </c>
      <c r="F25037" s="38" t="s">
        <v>252</v>
      </c>
      <c r="G25037" s="49" t="str">
        <f t="shared" si="1"/>
        <v>40380</v>
      </c>
      <c r="H25037" s="49">
        <f t="shared" si="2"/>
        <v>40216</v>
      </c>
    </row>
    <row r="25038">
      <c r="A25038" s="48" t="s">
        <v>12221</v>
      </c>
      <c r="B25038" s="38">
        <v>41114.0</v>
      </c>
      <c r="C25038" s="38" t="s">
        <v>29542</v>
      </c>
      <c r="D25038" s="38" t="str">
        <f>IFERROR(__xludf.DUMMYFUNCTION("REGEXREPLACE(C25038,""-\d+(.*)|--\d+(.*)"","""")"),"LESTIOU")</f>
        <v>LESTIOU</v>
      </c>
      <c r="E25038" s="38" t="s">
        <v>188</v>
      </c>
      <c r="F25038" s="38" t="s">
        <v>123</v>
      </c>
      <c r="G25038" s="49" t="str">
        <f t="shared" si="1"/>
        <v>41500</v>
      </c>
      <c r="H25038" s="49">
        <f t="shared" si="2"/>
        <v>41114</v>
      </c>
    </row>
    <row r="25039">
      <c r="A25039" s="48" t="s">
        <v>18932</v>
      </c>
      <c r="B25039" s="38">
        <v>44196.0</v>
      </c>
      <c r="C25039" s="38" t="s">
        <v>29543</v>
      </c>
      <c r="D25039" s="38" t="str">
        <f>IFERROR(__xludf.DUMMYFUNCTION("REGEXREPLACE(C25039,""-\d+(.*)|--\d+(.*)"","""")"),"SEVERAC")</f>
        <v>SEVERAC</v>
      </c>
      <c r="E25039" s="38" t="s">
        <v>759</v>
      </c>
      <c r="F25039" s="38" t="s">
        <v>180</v>
      </c>
      <c r="G25039" s="49" t="str">
        <f t="shared" si="1"/>
        <v>44530</v>
      </c>
      <c r="H25039" s="49">
        <f t="shared" si="2"/>
        <v>44196</v>
      </c>
    </row>
    <row r="25040">
      <c r="A25040" s="48" t="s">
        <v>4434</v>
      </c>
      <c r="B25040" s="38">
        <v>31086.0</v>
      </c>
      <c r="C25040" s="38" t="s">
        <v>29544</v>
      </c>
      <c r="D25040" s="38" t="str">
        <f>IFERROR(__xludf.DUMMYFUNCTION("REGEXREPLACE(C25040,""-\d+(.*)|--\d+(.*)"","""")"),"BOUZIN")</f>
        <v>BOUZIN</v>
      </c>
      <c r="E25040" s="38" t="s">
        <v>93</v>
      </c>
      <c r="F25040" s="38" t="s">
        <v>94</v>
      </c>
      <c r="G25040" s="49" t="str">
        <f t="shared" si="1"/>
        <v>31420</v>
      </c>
      <c r="H25040" s="49">
        <f t="shared" si="2"/>
        <v>31086</v>
      </c>
    </row>
    <row r="25041">
      <c r="A25041" s="48" t="s">
        <v>29545</v>
      </c>
      <c r="B25041" s="38">
        <v>84036.0</v>
      </c>
      <c r="C25041" s="38" t="s">
        <v>29546</v>
      </c>
      <c r="D25041" s="38" t="str">
        <f>IFERROR(__xludf.DUMMYFUNCTION("REGEXREPLACE(C25041,""-\d+(.*)|--\d+(.*)"","""")"),"CHATEAUNEUF-DE-GADAGNE")</f>
        <v>CHATEAUNEUF-DE-GADAGNE</v>
      </c>
      <c r="E25041" s="38" t="s">
        <v>1026</v>
      </c>
      <c r="F25041" s="38" t="s">
        <v>228</v>
      </c>
      <c r="G25041" s="49" t="str">
        <f t="shared" si="1"/>
        <v>84470</v>
      </c>
      <c r="H25041" s="49">
        <f t="shared" si="2"/>
        <v>84036</v>
      </c>
    </row>
    <row r="25042">
      <c r="A25042" s="48" t="s">
        <v>1908</v>
      </c>
      <c r="B25042" s="38">
        <v>62070.0</v>
      </c>
      <c r="C25042" s="38" t="s">
        <v>29547</v>
      </c>
      <c r="D25042" s="38" t="str">
        <f>IFERROR(__xludf.DUMMYFUNCTION("REGEXREPLACE(C25042,""-\d+(.*)|--\d+(.*)"","""")"),"BAILLEUL-AUX-CORNAILLES")</f>
        <v>BAILLEUL-AUX-CORNAILLES</v>
      </c>
      <c r="E25042" s="38" t="s">
        <v>109</v>
      </c>
      <c r="F25042" s="38" t="s">
        <v>86</v>
      </c>
      <c r="G25042" s="49" t="str">
        <f t="shared" si="1"/>
        <v>62127</v>
      </c>
      <c r="H25042" s="49">
        <f t="shared" si="2"/>
        <v>62070</v>
      </c>
    </row>
    <row r="25043">
      <c r="A25043" s="48" t="s">
        <v>5288</v>
      </c>
      <c r="B25043" s="38">
        <v>62866.0</v>
      </c>
      <c r="C25043" s="38" t="s">
        <v>29548</v>
      </c>
      <c r="D25043" s="38" t="str">
        <f>IFERROR(__xludf.DUMMYFUNCTION("REGEXREPLACE(C25043,""-\d+(.*)|--\d+(.*)"","""")"),"WABEN")</f>
        <v>WABEN</v>
      </c>
      <c r="E25043" s="38" t="s">
        <v>109</v>
      </c>
      <c r="F25043" s="38" t="s">
        <v>86</v>
      </c>
      <c r="G25043" s="49" t="str">
        <f t="shared" si="1"/>
        <v>62180</v>
      </c>
      <c r="H25043" s="49">
        <f t="shared" si="2"/>
        <v>62866</v>
      </c>
    </row>
    <row r="25044">
      <c r="A25044" s="48" t="s">
        <v>2592</v>
      </c>
      <c r="B25044" s="38">
        <v>34313.0</v>
      </c>
      <c r="C25044" s="38" t="s">
        <v>29549</v>
      </c>
      <c r="D25044" s="38" t="str">
        <f>IFERROR(__xludf.DUMMYFUNCTION("REGEXREPLACE(C25044,""-\d+(.*)|--\d+(.*)"","""")"),"TRESSAN")</f>
        <v>TRESSAN</v>
      </c>
      <c r="E25044" s="38" t="s">
        <v>118</v>
      </c>
      <c r="F25044" s="38" t="s">
        <v>119</v>
      </c>
      <c r="G25044" s="49" t="str">
        <f t="shared" si="1"/>
        <v>34230</v>
      </c>
      <c r="H25044" s="49">
        <f t="shared" si="2"/>
        <v>34313</v>
      </c>
    </row>
    <row r="25045">
      <c r="A25045" s="48" t="s">
        <v>7702</v>
      </c>
      <c r="B25045" s="38">
        <v>57613.0</v>
      </c>
      <c r="C25045" s="38" t="s">
        <v>29550</v>
      </c>
      <c r="D25045" s="38" t="str">
        <f>IFERROR(__xludf.DUMMYFUNCTION("REGEXREPLACE(C25045,""-\d+(.*)|--\d+(.*)"","""")"),"SAINT-JEAN-DE-BASSEL")</f>
        <v>SAINT-JEAN-DE-BASSEL</v>
      </c>
      <c r="E25045" s="38" t="s">
        <v>303</v>
      </c>
      <c r="F25045" s="38" t="s">
        <v>195</v>
      </c>
      <c r="G25045" s="49" t="str">
        <f t="shared" si="1"/>
        <v>57930</v>
      </c>
      <c r="H25045" s="49">
        <f t="shared" si="2"/>
        <v>57613</v>
      </c>
    </row>
    <row r="25046">
      <c r="A25046" s="48" t="s">
        <v>2705</v>
      </c>
      <c r="B25046" s="38">
        <v>77395.0</v>
      </c>
      <c r="C25046" s="38" t="s">
        <v>29551</v>
      </c>
      <c r="D25046" s="38" t="str">
        <f>IFERROR(__xludf.DUMMYFUNCTION("REGEXREPLACE(C25046,""-\d+(.*)|--\d+(.*)"","""")"),"RUMONT")</f>
        <v>RUMONT</v>
      </c>
      <c r="E25046" s="38" t="s">
        <v>244</v>
      </c>
      <c r="F25046" s="38" t="s">
        <v>245</v>
      </c>
      <c r="G25046" s="49" t="str">
        <f t="shared" si="1"/>
        <v>77760</v>
      </c>
      <c r="H25046" s="49">
        <f t="shared" si="2"/>
        <v>77395</v>
      </c>
    </row>
    <row r="25047">
      <c r="A25047" s="48" t="s">
        <v>18855</v>
      </c>
      <c r="B25047" s="38">
        <v>86217.0</v>
      </c>
      <c r="C25047" s="38" t="s">
        <v>6001</v>
      </c>
      <c r="D25047" s="38" t="str">
        <f>IFERROR(__xludf.DUMMYFUNCTION("REGEXREPLACE(C25047,""-\d+(.*)|--\d+(.*)"","""")"),"SAINT-CHRISTOPHE")</f>
        <v>SAINT-CHRISTOPHE</v>
      </c>
      <c r="E25047" s="38" t="s">
        <v>529</v>
      </c>
      <c r="F25047" s="38" t="s">
        <v>338</v>
      </c>
      <c r="G25047" s="49" t="str">
        <f t="shared" si="1"/>
        <v>86230</v>
      </c>
      <c r="H25047" s="49">
        <f t="shared" si="2"/>
        <v>86217</v>
      </c>
    </row>
    <row r="25048">
      <c r="A25048" s="48" t="s">
        <v>217</v>
      </c>
      <c r="B25048" s="38">
        <v>58184.0</v>
      </c>
      <c r="C25048" s="38" t="s">
        <v>29552</v>
      </c>
      <c r="D25048" s="38" t="str">
        <f>IFERROR(__xludf.DUMMYFUNCTION("REGEXREPLACE(C25048,""-\d+(.*)|--\d+(.*)"","""")"),"MOUSSY")</f>
        <v>MOUSSY</v>
      </c>
      <c r="E25048" s="38" t="s">
        <v>219</v>
      </c>
      <c r="F25048" s="38" t="s">
        <v>106</v>
      </c>
      <c r="G25048" s="49" t="str">
        <f t="shared" si="1"/>
        <v>58700</v>
      </c>
      <c r="H25048" s="49">
        <f t="shared" si="2"/>
        <v>58184</v>
      </c>
    </row>
    <row r="25049">
      <c r="A25049" s="48" t="s">
        <v>10177</v>
      </c>
      <c r="B25049" s="38">
        <v>80806.0</v>
      </c>
      <c r="C25049" s="38" t="s">
        <v>29553</v>
      </c>
      <c r="D25049" s="38" t="str">
        <f>IFERROR(__xludf.DUMMYFUNCTION("REGEXREPLACE(C25049,""-\d+(.*)|--\d+(.*)"","""")"),"VILLERS-SUR-AUTHIE")</f>
        <v>VILLERS-SUR-AUTHIE</v>
      </c>
      <c r="E25049" s="38" t="s">
        <v>224</v>
      </c>
      <c r="F25049" s="38" t="s">
        <v>113</v>
      </c>
      <c r="G25049" s="49" t="str">
        <f t="shared" si="1"/>
        <v>80120</v>
      </c>
      <c r="H25049" s="49">
        <f t="shared" si="2"/>
        <v>80806</v>
      </c>
    </row>
    <row r="25050">
      <c r="A25050" s="48" t="s">
        <v>7048</v>
      </c>
      <c r="B25050" s="38">
        <v>71309.0</v>
      </c>
      <c r="C25050" s="38" t="s">
        <v>29554</v>
      </c>
      <c r="D25050" s="38" t="str">
        <f>IFERROR(__xludf.DUMMYFUNCTION("REGEXREPLACE(C25050,""-\d+(.*)|--\d+(.*)"","""")"),"MONTCENIS")</f>
        <v>MONTCENIS</v>
      </c>
      <c r="E25050" s="38" t="s">
        <v>344</v>
      </c>
      <c r="F25050" s="38" t="s">
        <v>106</v>
      </c>
      <c r="G25050" s="49" t="str">
        <f t="shared" si="1"/>
        <v>71710</v>
      </c>
      <c r="H25050" s="49">
        <f t="shared" si="2"/>
        <v>71309</v>
      </c>
    </row>
    <row r="25051">
      <c r="A25051" s="48" t="s">
        <v>862</v>
      </c>
      <c r="B25051" s="38">
        <v>27549.0</v>
      </c>
      <c r="C25051" s="38" t="s">
        <v>29555</v>
      </c>
      <c r="D25051" s="38" t="str">
        <f>IFERROR(__xludf.DUMMYFUNCTION("REGEXREPLACE(C25051,""-\d+(.*)|--\d+(.*)"","""")"),"SAINT-GERMAIN-VILLAGE")</f>
        <v>SAINT-GERMAIN-VILLAGE</v>
      </c>
      <c r="E25051" s="38" t="s">
        <v>241</v>
      </c>
      <c r="F25051" s="38" t="s">
        <v>134</v>
      </c>
      <c r="G25051" s="49" t="str">
        <f t="shared" si="1"/>
        <v>27500</v>
      </c>
      <c r="H25051" s="49">
        <f t="shared" si="2"/>
        <v>27549</v>
      </c>
    </row>
    <row r="25052">
      <c r="A25052" s="48" t="s">
        <v>2429</v>
      </c>
      <c r="B25052" s="38">
        <v>63105.0</v>
      </c>
      <c r="C25052" s="38" t="s">
        <v>29556</v>
      </c>
      <c r="D25052" s="38" t="str">
        <f>IFERROR(__xludf.DUMMYFUNCTION("REGEXREPLACE(C25052,""-\d+(.*)|--\d+(.*)"","""")"),"CHAUMONT-LE-BOURG")</f>
        <v>CHAUMONT-LE-BOURG</v>
      </c>
      <c r="E25052" s="38" t="s">
        <v>353</v>
      </c>
      <c r="F25052" s="38" t="s">
        <v>161</v>
      </c>
      <c r="G25052" s="49" t="str">
        <f t="shared" si="1"/>
        <v>63220</v>
      </c>
      <c r="H25052" s="49">
        <f t="shared" si="2"/>
        <v>63105</v>
      </c>
    </row>
    <row r="25053">
      <c r="A25053" s="48" t="s">
        <v>7148</v>
      </c>
      <c r="B25053" s="38">
        <v>44024.0</v>
      </c>
      <c r="C25053" s="38" t="s">
        <v>29557</v>
      </c>
      <c r="D25053" s="38" t="str">
        <f>IFERROR(__xludf.DUMMYFUNCTION("REGEXREPLACE(C25053,""-\d+(.*)|--\d+(.*)"","""")"),"BRAINS")</f>
        <v>BRAINS</v>
      </c>
      <c r="E25053" s="38" t="s">
        <v>759</v>
      </c>
      <c r="F25053" s="38" t="s">
        <v>180</v>
      </c>
      <c r="G25053" s="49" t="str">
        <f t="shared" si="1"/>
        <v>44830</v>
      </c>
      <c r="H25053" s="49">
        <f t="shared" si="2"/>
        <v>44024</v>
      </c>
    </row>
    <row r="25054">
      <c r="A25054" s="48" t="s">
        <v>9737</v>
      </c>
      <c r="B25054" s="38">
        <v>89158.0</v>
      </c>
      <c r="C25054" s="38" t="s">
        <v>29558</v>
      </c>
      <c r="D25054" s="38" t="str">
        <f>IFERROR(__xludf.DUMMYFUNCTION("REGEXREPLACE(C25054,""-\d+(.*)|--\d+(.*)"","""")"),"ETAIS-LA-SAUVIN")</f>
        <v>ETAIS-LA-SAUVIN</v>
      </c>
      <c r="E25054" s="38" t="s">
        <v>275</v>
      </c>
      <c r="F25054" s="38" t="s">
        <v>106</v>
      </c>
      <c r="G25054" s="49" t="str">
        <f t="shared" si="1"/>
        <v>89480</v>
      </c>
      <c r="H25054" s="49">
        <f t="shared" si="2"/>
        <v>89158</v>
      </c>
    </row>
    <row r="25055">
      <c r="A25055" s="48" t="s">
        <v>8752</v>
      </c>
      <c r="B25055" s="38">
        <v>6053.0</v>
      </c>
      <c r="C25055" s="38" t="s">
        <v>29559</v>
      </c>
      <c r="D25055" s="38" t="str">
        <f>IFERROR(__xludf.DUMMYFUNCTION("REGEXREPLACE(C25055,""-\d+(.*)|--\d+(.*)"","""")"),"DALUIS")</f>
        <v>DALUIS</v>
      </c>
      <c r="E25055" s="38" t="s">
        <v>227</v>
      </c>
      <c r="F25055" s="38" t="s">
        <v>228</v>
      </c>
      <c r="G25055" s="49" t="str">
        <f t="shared" si="1"/>
        <v>06470</v>
      </c>
      <c r="H25055" s="49" t="str">
        <f t="shared" si="2"/>
        <v>06053</v>
      </c>
    </row>
    <row r="25056">
      <c r="A25056" s="48" t="s">
        <v>19739</v>
      </c>
      <c r="B25056" s="38">
        <v>60635.0</v>
      </c>
      <c r="C25056" s="38" t="s">
        <v>29560</v>
      </c>
      <c r="D25056" s="38" t="str">
        <f>IFERROR(__xludf.DUMMYFUNCTION("REGEXREPLACE(C25056,""-\d+(.*)|--\d+(.*)"","""")"),"THIVERNY")</f>
        <v>THIVERNY</v>
      </c>
      <c r="E25056" s="38" t="s">
        <v>112</v>
      </c>
      <c r="F25056" s="38" t="s">
        <v>113</v>
      </c>
      <c r="G25056" s="49" t="str">
        <f t="shared" si="1"/>
        <v>60160</v>
      </c>
      <c r="H25056" s="49">
        <f t="shared" si="2"/>
        <v>60635</v>
      </c>
    </row>
    <row r="25057">
      <c r="A25057" s="48" t="s">
        <v>1341</v>
      </c>
      <c r="B25057" s="38">
        <v>14548.0</v>
      </c>
      <c r="C25057" s="38" t="s">
        <v>29561</v>
      </c>
      <c r="D25057" s="38" t="str">
        <f>IFERROR(__xludf.DUMMYFUNCTION("REGEXREPLACE(C25057,""-\d+(.*)|--\d+(.*)"","""")"),"RUCQUEVILLE")</f>
        <v>RUCQUEVILLE</v>
      </c>
      <c r="E25057" s="38" t="s">
        <v>137</v>
      </c>
      <c r="F25057" s="38" t="s">
        <v>138</v>
      </c>
      <c r="G25057" s="49" t="str">
        <f t="shared" si="1"/>
        <v>14480</v>
      </c>
      <c r="H25057" s="49">
        <f t="shared" si="2"/>
        <v>14548</v>
      </c>
    </row>
    <row r="25058">
      <c r="A25058" s="48" t="s">
        <v>1420</v>
      </c>
      <c r="B25058" s="38">
        <v>4087.0</v>
      </c>
      <c r="C25058" s="38" t="s">
        <v>29562</v>
      </c>
      <c r="D25058" s="38" t="str">
        <f>IFERROR(__xludf.DUMMYFUNCTION("REGEXREPLACE(C25058,""-\d+(.*)|--\d+(.*)"","""")"),"FONTIENNE")</f>
        <v>FONTIENNE</v>
      </c>
      <c r="E25058" s="38" t="s">
        <v>662</v>
      </c>
      <c r="F25058" s="38" t="s">
        <v>228</v>
      </c>
      <c r="G25058" s="49" t="str">
        <f t="shared" si="1"/>
        <v>04230</v>
      </c>
      <c r="H25058" s="49" t="str">
        <f t="shared" si="2"/>
        <v>04087</v>
      </c>
    </row>
    <row r="25059">
      <c r="A25059" s="48" t="s">
        <v>29563</v>
      </c>
      <c r="B25059" s="38">
        <v>93050.0</v>
      </c>
      <c r="C25059" s="38" t="s">
        <v>29564</v>
      </c>
      <c r="D25059" s="38" t="str">
        <f>IFERROR(__xludf.DUMMYFUNCTION("REGEXREPLACE(C25059,""-\d+(.*)|--\d+(.*)"","""")"),"NEUILLY-SUR-MARNE")</f>
        <v>NEUILLY-SUR-MARNE</v>
      </c>
      <c r="E25059" s="38" t="s">
        <v>341</v>
      </c>
      <c r="F25059" s="38" t="s">
        <v>245</v>
      </c>
      <c r="G25059" s="49" t="str">
        <f t="shared" si="1"/>
        <v>93330</v>
      </c>
      <c r="H25059" s="49">
        <f t="shared" si="2"/>
        <v>93050</v>
      </c>
    </row>
    <row r="25060">
      <c r="A25060" s="48" t="s">
        <v>3368</v>
      </c>
      <c r="B25060" s="38">
        <v>61385.0</v>
      </c>
      <c r="C25060" s="38" t="s">
        <v>29565</v>
      </c>
      <c r="D25060" s="38" t="str">
        <f>IFERROR(__xludf.DUMMYFUNCTION("REGEXREPLACE(C25060,""-\d+(.*)|--\d+(.*)"","""")"),"SAINT-EVROULT-DE-MONTFORT")</f>
        <v>SAINT-EVROULT-DE-MONTFORT</v>
      </c>
      <c r="E25060" s="38" t="s">
        <v>141</v>
      </c>
      <c r="F25060" s="38" t="s">
        <v>138</v>
      </c>
      <c r="G25060" s="49" t="str">
        <f t="shared" si="1"/>
        <v>61230</v>
      </c>
      <c r="H25060" s="49">
        <f t="shared" si="2"/>
        <v>61385</v>
      </c>
    </row>
    <row r="25061">
      <c r="A25061" s="48" t="s">
        <v>4142</v>
      </c>
      <c r="B25061" s="38">
        <v>16172.0</v>
      </c>
      <c r="C25061" s="38" t="s">
        <v>29566</v>
      </c>
      <c r="D25061" s="38" t="str">
        <f>IFERROR(__xludf.DUMMYFUNCTION("REGEXREPLACE(C25061,""-\d+(.*)|--\d+(.*)"","""")"),"JUILLAGUET")</f>
        <v>JUILLAGUET</v>
      </c>
      <c r="E25061" s="38" t="s">
        <v>429</v>
      </c>
      <c r="F25061" s="38" t="s">
        <v>338</v>
      </c>
      <c r="G25061" s="49" t="str">
        <f t="shared" si="1"/>
        <v>16320</v>
      </c>
      <c r="H25061" s="49">
        <f t="shared" si="2"/>
        <v>16172</v>
      </c>
    </row>
    <row r="25062">
      <c r="A25062" s="48" t="s">
        <v>3928</v>
      </c>
      <c r="B25062" s="38">
        <v>78478.0</v>
      </c>
      <c r="C25062" s="38" t="s">
        <v>29567</v>
      </c>
      <c r="D25062" s="38" t="str">
        <f>IFERROR(__xludf.DUMMYFUNCTION("REGEXREPLACE(C25062,""-\d+(.*)|--\d+(.*)"","""")"),"PARAY-DOUAVILLE")</f>
        <v>PARAY-DOUAVILLE</v>
      </c>
      <c r="E25062" s="38" t="s">
        <v>362</v>
      </c>
      <c r="F25062" s="38" t="s">
        <v>245</v>
      </c>
      <c r="G25062" s="49" t="str">
        <f t="shared" si="1"/>
        <v>78660</v>
      </c>
      <c r="H25062" s="49">
        <f t="shared" si="2"/>
        <v>78478</v>
      </c>
    </row>
    <row r="25063">
      <c r="A25063" s="48" t="s">
        <v>1810</v>
      </c>
      <c r="B25063" s="38">
        <v>23250.0</v>
      </c>
      <c r="C25063" s="38" t="s">
        <v>29568</v>
      </c>
      <c r="D25063" s="38" t="str">
        <f>IFERROR(__xludf.DUMMYFUNCTION("REGEXREPLACE(C25063,""-\d+(.*)|--\d+(.*)"","""")"),"SAINT-YRIEIX-LES-BOIS")</f>
        <v>SAINT-YRIEIX-LES-BOIS</v>
      </c>
      <c r="E25063" s="38" t="s">
        <v>97</v>
      </c>
      <c r="F25063" s="38" t="s">
        <v>98</v>
      </c>
      <c r="G25063" s="49" t="str">
        <f t="shared" si="1"/>
        <v>23150</v>
      </c>
      <c r="H25063" s="49">
        <f t="shared" si="2"/>
        <v>23250</v>
      </c>
    </row>
    <row r="25064">
      <c r="A25064" s="48" t="s">
        <v>2861</v>
      </c>
      <c r="B25064" s="38">
        <v>62646.0</v>
      </c>
      <c r="C25064" s="38" t="s">
        <v>29569</v>
      </c>
      <c r="D25064" s="38" t="str">
        <f>IFERROR(__xludf.DUMMYFUNCTION("REGEXREPLACE(C25064,""-\d+(.*)|--\d+(.*)"","""")"),"PALLUEL")</f>
        <v>PALLUEL</v>
      </c>
      <c r="E25064" s="38" t="s">
        <v>109</v>
      </c>
      <c r="F25064" s="38" t="s">
        <v>86</v>
      </c>
      <c r="G25064" s="49" t="str">
        <f t="shared" si="1"/>
        <v>62860</v>
      </c>
      <c r="H25064" s="49">
        <f t="shared" si="2"/>
        <v>62646</v>
      </c>
    </row>
    <row r="25065">
      <c r="A25065" s="48" t="s">
        <v>5334</v>
      </c>
      <c r="B25065" s="38" t="s">
        <v>29570</v>
      </c>
      <c r="C25065" s="38" t="s">
        <v>29571</v>
      </c>
      <c r="D25065" s="38" t="str">
        <f>IFERROR(__xludf.DUMMYFUNCTION("REGEXREPLACE(C25065,""-\d+(.*)|--\d+(.*)"","""")"),"CASTIFAO")</f>
        <v>CASTIFAO</v>
      </c>
      <c r="E25065" s="38" t="s">
        <v>743</v>
      </c>
      <c r="F25065" s="38" t="s">
        <v>607</v>
      </c>
      <c r="G25065" s="49" t="str">
        <f t="shared" si="1"/>
        <v>20218</v>
      </c>
      <c r="H25065" s="49" t="str">
        <f t="shared" si="2"/>
        <v>2B080</v>
      </c>
    </row>
    <row r="25066">
      <c r="A25066" s="48" t="s">
        <v>2519</v>
      </c>
      <c r="B25066" s="38">
        <v>80758.0</v>
      </c>
      <c r="C25066" s="38" t="s">
        <v>617</v>
      </c>
      <c r="D25066" s="38" t="str">
        <f>IFERROR(__xludf.DUMMYFUNCTION("REGEXREPLACE(C25066,""-\d+(.*)|--\d+(.*)"","""")"),"THORY")</f>
        <v>THORY</v>
      </c>
      <c r="E25066" s="38" t="s">
        <v>224</v>
      </c>
      <c r="F25066" s="38" t="s">
        <v>113</v>
      </c>
      <c r="G25066" s="49" t="str">
        <f t="shared" si="1"/>
        <v>80250</v>
      </c>
      <c r="H25066" s="49">
        <f t="shared" si="2"/>
        <v>80758</v>
      </c>
    </row>
    <row r="25067">
      <c r="A25067" s="48" t="s">
        <v>4079</v>
      </c>
      <c r="B25067" s="38">
        <v>1107.0</v>
      </c>
      <c r="C25067" s="38" t="s">
        <v>29572</v>
      </c>
      <c r="D25067" s="38" t="str">
        <f>IFERROR(__xludf.DUMMYFUNCTION("REGEXREPLACE(C25067,""-\d+(.*)|--\d+(.*)"","""")"),"CLEYZIEU")</f>
        <v>CLEYZIEU</v>
      </c>
      <c r="E25067" s="38" t="s">
        <v>255</v>
      </c>
      <c r="F25067" s="38" t="s">
        <v>102</v>
      </c>
      <c r="G25067" s="49" t="str">
        <f t="shared" si="1"/>
        <v>01230</v>
      </c>
      <c r="H25067" s="49" t="str">
        <f t="shared" si="2"/>
        <v>01107</v>
      </c>
    </row>
    <row r="25068">
      <c r="A25068" s="48" t="s">
        <v>7752</v>
      </c>
      <c r="B25068" s="38">
        <v>69219.0</v>
      </c>
      <c r="C25068" s="38" t="s">
        <v>29573</v>
      </c>
      <c r="D25068" s="38" t="str">
        <f>IFERROR(__xludf.DUMMYFUNCTION("REGEXREPLACE(C25068,""-\d+(.*)|--\d+(.*)"","""")"),"SAINT-LAURENT-D'AGNY")</f>
        <v>SAINT-LAURENT-D'AGNY</v>
      </c>
      <c r="E25068" s="38" t="s">
        <v>350</v>
      </c>
      <c r="F25068" s="38" t="s">
        <v>102</v>
      </c>
      <c r="G25068" s="49" t="str">
        <f t="shared" si="1"/>
        <v>69440</v>
      </c>
      <c r="H25068" s="49">
        <f t="shared" si="2"/>
        <v>69219</v>
      </c>
    </row>
    <row r="25069">
      <c r="A25069" s="48" t="s">
        <v>1940</v>
      </c>
      <c r="B25069" s="38">
        <v>51176.0</v>
      </c>
      <c r="C25069" s="38" t="s">
        <v>29574</v>
      </c>
      <c r="D25069" s="38" t="str">
        <f>IFERROR(__xludf.DUMMYFUNCTION("REGEXREPLACE(C25069,""-\d+(.*)|--\d+(.*)"","""")"),"CORROY")</f>
        <v>CORROY</v>
      </c>
      <c r="E25069" s="38" t="s">
        <v>129</v>
      </c>
      <c r="F25069" s="38" t="s">
        <v>130</v>
      </c>
      <c r="G25069" s="49" t="str">
        <f t="shared" si="1"/>
        <v>51230</v>
      </c>
      <c r="H25069" s="49">
        <f t="shared" si="2"/>
        <v>51176</v>
      </c>
    </row>
    <row r="25070">
      <c r="A25070" s="48" t="s">
        <v>29575</v>
      </c>
      <c r="B25070" s="38">
        <v>86113.0</v>
      </c>
      <c r="C25070" s="38" t="s">
        <v>29576</v>
      </c>
      <c r="D25070" s="38" t="str">
        <f>IFERROR(__xludf.DUMMYFUNCTION("REGEXREPLACE(C25070,""-\d+(.*)|--\d+(.*)"","""")"),"ITEUIL")</f>
        <v>ITEUIL</v>
      </c>
      <c r="E25070" s="38" t="s">
        <v>529</v>
      </c>
      <c r="F25070" s="38" t="s">
        <v>338</v>
      </c>
      <c r="G25070" s="49" t="str">
        <f t="shared" si="1"/>
        <v>86240</v>
      </c>
      <c r="H25070" s="49">
        <f t="shared" si="2"/>
        <v>86113</v>
      </c>
    </row>
    <row r="25071">
      <c r="A25071" s="48" t="s">
        <v>4267</v>
      </c>
      <c r="B25071" s="38">
        <v>62257.0</v>
      </c>
      <c r="C25071" s="38" t="s">
        <v>29577</v>
      </c>
      <c r="D25071" s="38" t="str">
        <f>IFERROR(__xludf.DUMMYFUNCTION("REGEXREPLACE(C25071,""-\d+(.*)|--\d+(.*)"","""")"),"CREQUY")</f>
        <v>CREQUY</v>
      </c>
      <c r="E25071" s="38" t="s">
        <v>109</v>
      </c>
      <c r="F25071" s="38" t="s">
        <v>86</v>
      </c>
      <c r="G25071" s="49" t="str">
        <f t="shared" si="1"/>
        <v>62310</v>
      </c>
      <c r="H25071" s="49">
        <f t="shared" si="2"/>
        <v>62257</v>
      </c>
    </row>
    <row r="25072">
      <c r="A25072" s="48" t="s">
        <v>2467</v>
      </c>
      <c r="B25072" s="38">
        <v>35344.0</v>
      </c>
      <c r="C25072" s="38" t="s">
        <v>29578</v>
      </c>
      <c r="D25072" s="38" t="str">
        <f>IFERROR(__xludf.DUMMYFUNCTION("REGEXREPLACE(C25072,""-\d+(.*)|--\d+(.*)"","""")"),"TRESSE")</f>
        <v>TRESSE</v>
      </c>
      <c r="E25072" s="38" t="s">
        <v>347</v>
      </c>
      <c r="F25072" s="38" t="s">
        <v>90</v>
      </c>
      <c r="G25072" s="49" t="str">
        <f t="shared" si="1"/>
        <v>35720</v>
      </c>
      <c r="H25072" s="49">
        <f t="shared" si="2"/>
        <v>35344</v>
      </c>
    </row>
    <row r="25073">
      <c r="A25073" s="48" t="s">
        <v>942</v>
      </c>
      <c r="B25073" s="38">
        <v>2226.0</v>
      </c>
      <c r="C25073" s="38" t="s">
        <v>29579</v>
      </c>
      <c r="D25073" s="38" t="str">
        <f>IFERROR(__xludf.DUMMYFUNCTION("REGEXREPLACE(C25073,""-\d+(.*)|--\d+(.*)"","""")"),"COURMELLES")</f>
        <v>COURMELLES</v>
      </c>
      <c r="E25073" s="38" t="s">
        <v>191</v>
      </c>
      <c r="F25073" s="38" t="s">
        <v>113</v>
      </c>
      <c r="G25073" s="49" t="str">
        <f t="shared" si="1"/>
        <v>02200</v>
      </c>
      <c r="H25073" s="49" t="str">
        <f t="shared" si="2"/>
        <v>02226</v>
      </c>
    </row>
    <row r="25074">
      <c r="A25074" s="48" t="s">
        <v>6266</v>
      </c>
      <c r="B25074" s="38">
        <v>76636.0</v>
      </c>
      <c r="C25074" s="38" t="s">
        <v>29580</v>
      </c>
      <c r="D25074" s="38" t="str">
        <f>IFERROR(__xludf.DUMMYFUNCTION("REGEXREPLACE(C25074,""-\d+(.*)|--\d+(.*)"","""")"),"SAINT-PIERRE-DE-VARENGEVILLE")</f>
        <v>SAINT-PIERRE-DE-VARENGEVILLE</v>
      </c>
      <c r="E25074" s="38" t="s">
        <v>133</v>
      </c>
      <c r="F25074" s="38" t="s">
        <v>134</v>
      </c>
      <c r="G25074" s="49" t="str">
        <f t="shared" si="1"/>
        <v>76480</v>
      </c>
      <c r="H25074" s="49">
        <f t="shared" si="2"/>
        <v>76636</v>
      </c>
    </row>
    <row r="25075">
      <c r="A25075" s="48" t="s">
        <v>28201</v>
      </c>
      <c r="B25075" s="38">
        <v>30291.0</v>
      </c>
      <c r="C25075" s="38" t="s">
        <v>29581</v>
      </c>
      <c r="D25075" s="38" t="str">
        <f>IFERROR(__xludf.DUMMYFUNCTION("REGEXREPLACE(C25075,""-\d+(.*)|--\d+(.*)"","""")"),"SAINT-PAUL-LA-COSTE")</f>
        <v>SAINT-PAUL-LA-COSTE</v>
      </c>
      <c r="E25075" s="38" t="s">
        <v>526</v>
      </c>
      <c r="F25075" s="38" t="s">
        <v>119</v>
      </c>
      <c r="G25075" s="49" t="str">
        <f t="shared" si="1"/>
        <v>30480</v>
      </c>
      <c r="H25075" s="49">
        <f t="shared" si="2"/>
        <v>30291</v>
      </c>
    </row>
    <row r="25076">
      <c r="A25076" s="48" t="s">
        <v>4679</v>
      </c>
      <c r="B25076" s="38">
        <v>17226.0</v>
      </c>
      <c r="C25076" s="38" t="s">
        <v>29582</v>
      </c>
      <c r="D25076" s="38" t="str">
        <f>IFERROR(__xludf.DUMMYFUNCTION("REGEXREPLACE(C25076,""-\d+(.*)|--\d+(.*)"","""")"),"MAZERAY")</f>
        <v>MAZERAY</v>
      </c>
      <c r="E25076" s="38" t="s">
        <v>488</v>
      </c>
      <c r="F25076" s="38" t="s">
        <v>338</v>
      </c>
      <c r="G25076" s="49" t="str">
        <f t="shared" si="1"/>
        <v>17400</v>
      </c>
      <c r="H25076" s="49">
        <f t="shared" si="2"/>
        <v>17226</v>
      </c>
    </row>
    <row r="25077">
      <c r="A25077" s="48" t="s">
        <v>1439</v>
      </c>
      <c r="B25077" s="38">
        <v>28299.0</v>
      </c>
      <c r="C25077" s="38" t="s">
        <v>29583</v>
      </c>
      <c r="D25077" s="38" t="str">
        <f>IFERROR(__xludf.DUMMYFUNCTION("REGEXREPLACE(C25077,""-\d+(.*)|--\d+(.*)"","""")"),"LES PINTHIERES")</f>
        <v>LES PINTHIERES</v>
      </c>
      <c r="E25077" s="38" t="s">
        <v>300</v>
      </c>
      <c r="F25077" s="38" t="s">
        <v>123</v>
      </c>
      <c r="G25077" s="49" t="str">
        <f t="shared" si="1"/>
        <v>28210</v>
      </c>
      <c r="H25077" s="49">
        <f t="shared" si="2"/>
        <v>28299</v>
      </c>
    </row>
    <row r="25078">
      <c r="A25078" s="48" t="s">
        <v>1693</v>
      </c>
      <c r="B25078" s="38">
        <v>24428.0</v>
      </c>
      <c r="C25078" s="38" t="s">
        <v>29584</v>
      </c>
      <c r="D25078" s="38" t="str">
        <f>IFERROR(__xludf.DUMMYFUNCTION("REGEXREPLACE(C25078,""-\d+(.*)|--\d+(.*)"","""")"),"SAINT-JORY-DE-CHALAIS")</f>
        <v>SAINT-JORY-DE-CHALAIS</v>
      </c>
      <c r="E25078" s="38" t="s">
        <v>261</v>
      </c>
      <c r="F25078" s="38" t="s">
        <v>252</v>
      </c>
      <c r="G25078" s="49" t="str">
        <f t="shared" si="1"/>
        <v>24800</v>
      </c>
      <c r="H25078" s="49">
        <f t="shared" si="2"/>
        <v>24428</v>
      </c>
    </row>
    <row r="25079">
      <c r="A25079" s="48" t="s">
        <v>17340</v>
      </c>
      <c r="B25079" s="38">
        <v>62869.0</v>
      </c>
      <c r="C25079" s="38" t="s">
        <v>29585</v>
      </c>
      <c r="D25079" s="38" t="str">
        <f>IFERROR(__xludf.DUMMYFUNCTION("REGEXREPLACE(C25079,""-\d+(.*)|--\d+(.*)"","""")"),"WAILLY")</f>
        <v>WAILLY</v>
      </c>
      <c r="E25079" s="38" t="s">
        <v>109</v>
      </c>
      <c r="F25079" s="38" t="s">
        <v>86</v>
      </c>
      <c r="G25079" s="49" t="str">
        <f t="shared" si="1"/>
        <v>62217</v>
      </c>
      <c r="H25079" s="49">
        <f t="shared" si="2"/>
        <v>62869</v>
      </c>
    </row>
    <row r="25080">
      <c r="A25080" s="48" t="s">
        <v>116</v>
      </c>
      <c r="B25080" s="38">
        <v>34064.0</v>
      </c>
      <c r="C25080" s="38" t="s">
        <v>29586</v>
      </c>
      <c r="D25080" s="38" t="str">
        <f>IFERROR(__xludf.DUMMYFUNCTION("REGEXREPLACE(C25080,""-\d+(.*)|--\d+(.*)"","""")"),"LE CAYLAR")</f>
        <v>LE CAYLAR</v>
      </c>
      <c r="E25080" s="38" t="s">
        <v>118</v>
      </c>
      <c r="F25080" s="38" t="s">
        <v>119</v>
      </c>
      <c r="G25080" s="49" t="str">
        <f t="shared" si="1"/>
        <v>34520</v>
      </c>
      <c r="H25080" s="49">
        <f t="shared" si="2"/>
        <v>34064</v>
      </c>
    </row>
    <row r="25081">
      <c r="A25081" s="48" t="s">
        <v>29086</v>
      </c>
      <c r="B25081" s="38">
        <v>89321.0</v>
      </c>
      <c r="C25081" s="38" t="s">
        <v>29587</v>
      </c>
      <c r="D25081" s="38" t="str">
        <f>IFERROR(__xludf.DUMMYFUNCTION("REGEXREPLACE(C25081,""-\d+(.*)|--\d+(.*)"","""")"),"RAVIERES")</f>
        <v>RAVIERES</v>
      </c>
      <c r="E25081" s="38" t="s">
        <v>275</v>
      </c>
      <c r="F25081" s="38" t="s">
        <v>106</v>
      </c>
      <c r="G25081" s="49" t="str">
        <f t="shared" si="1"/>
        <v>89390</v>
      </c>
      <c r="H25081" s="49">
        <f t="shared" si="2"/>
        <v>89321</v>
      </c>
    </row>
    <row r="25082">
      <c r="A25082" s="48" t="s">
        <v>29588</v>
      </c>
      <c r="B25082" s="38">
        <v>97118.0</v>
      </c>
      <c r="C25082" s="38" t="s">
        <v>29589</v>
      </c>
      <c r="D25082" s="38" t="str">
        <f>IFERROR(__xludf.DUMMYFUNCTION("REGEXREPLACE(C25082,""-\d+(.*)|--\d+(.*)"","""")"),"PETIT-BOURG")</f>
        <v>PETIT-BOURG</v>
      </c>
      <c r="E25082" s="38" t="s">
        <v>2023</v>
      </c>
      <c r="F25082" s="38" t="s">
        <v>2023</v>
      </c>
      <c r="G25082" s="49" t="str">
        <f t="shared" si="1"/>
        <v>97170</v>
      </c>
      <c r="H25082" s="49">
        <f t="shared" si="2"/>
        <v>97118</v>
      </c>
    </row>
    <row r="25083">
      <c r="A25083" s="48" t="s">
        <v>29590</v>
      </c>
      <c r="B25083" s="38">
        <v>94069.0</v>
      </c>
      <c r="C25083" s="38" t="s">
        <v>209</v>
      </c>
      <c r="D25083" s="38" t="str">
        <f>IFERROR(__xludf.DUMMYFUNCTION("REGEXREPLACE(C25083,""-\d+(.*)|--\d+(.*)"","""")"),"SAINT-MAURICE")</f>
        <v>SAINT-MAURICE</v>
      </c>
      <c r="E25083" s="38" t="s">
        <v>561</v>
      </c>
      <c r="F25083" s="38" t="s">
        <v>245</v>
      </c>
      <c r="G25083" s="49" t="str">
        <f t="shared" si="1"/>
        <v>94410</v>
      </c>
      <c r="H25083" s="49">
        <f t="shared" si="2"/>
        <v>94069</v>
      </c>
    </row>
    <row r="25084">
      <c r="A25084" s="48" t="s">
        <v>11859</v>
      </c>
      <c r="B25084" s="38">
        <v>71556.0</v>
      </c>
      <c r="C25084" s="38" t="s">
        <v>29591</v>
      </c>
      <c r="D25084" s="38" t="str">
        <f>IFERROR(__xludf.DUMMYFUNCTION("REGEXREPLACE(C25084,""-\d+(.*)|--\d+(.*)"","""")"),"VARENNES-LES-MACON")</f>
        <v>VARENNES-LES-MACON</v>
      </c>
      <c r="E25084" s="38" t="s">
        <v>344</v>
      </c>
      <c r="F25084" s="38" t="s">
        <v>106</v>
      </c>
      <c r="G25084" s="49" t="str">
        <f t="shared" si="1"/>
        <v>71000</v>
      </c>
      <c r="H25084" s="49">
        <f t="shared" si="2"/>
        <v>71556</v>
      </c>
    </row>
    <row r="25085">
      <c r="A25085" s="48" t="s">
        <v>10916</v>
      </c>
      <c r="B25085" s="38">
        <v>40077.0</v>
      </c>
      <c r="C25085" s="38" t="s">
        <v>29592</v>
      </c>
      <c r="D25085" s="38" t="str">
        <f>IFERROR(__xludf.DUMMYFUNCTION("REGEXREPLACE(C25085,""-\d+(.*)|--\d+(.*)"","""")"),"CAUNEILLE")</f>
        <v>CAUNEILLE</v>
      </c>
      <c r="E25085" s="38" t="s">
        <v>281</v>
      </c>
      <c r="F25085" s="38" t="s">
        <v>252</v>
      </c>
      <c r="G25085" s="49" t="str">
        <f t="shared" si="1"/>
        <v>40300</v>
      </c>
      <c r="H25085" s="49">
        <f t="shared" si="2"/>
        <v>40077</v>
      </c>
    </row>
    <row r="25086">
      <c r="A25086" s="48" t="s">
        <v>279</v>
      </c>
      <c r="B25086" s="38">
        <v>40012.0</v>
      </c>
      <c r="C25086" s="38" t="s">
        <v>29593</v>
      </c>
      <c r="D25086" s="38" t="str">
        <f>IFERROR(__xludf.DUMMYFUNCTION("REGEXREPLACE(C25086,""-\d+(.*)|--\d+(.*)"","""")"),"ARTASSENX")</f>
        <v>ARTASSENX</v>
      </c>
      <c r="E25086" s="38" t="s">
        <v>281</v>
      </c>
      <c r="F25086" s="38" t="s">
        <v>252</v>
      </c>
      <c r="G25086" s="49" t="str">
        <f t="shared" si="1"/>
        <v>40090</v>
      </c>
      <c r="H25086" s="49">
        <f t="shared" si="2"/>
        <v>40012</v>
      </c>
    </row>
    <row r="25087">
      <c r="A25087" s="48" t="s">
        <v>13129</v>
      </c>
      <c r="B25087" s="38">
        <v>24027.0</v>
      </c>
      <c r="C25087" s="38" t="s">
        <v>29594</v>
      </c>
      <c r="D25087" s="38" t="str">
        <f>IFERROR(__xludf.DUMMYFUNCTION("REGEXREPLACE(C25087,""-\d+(.*)|--\d+(.*)"","""")"),"BAYAC")</f>
        <v>BAYAC</v>
      </c>
      <c r="E25087" s="38" t="s">
        <v>261</v>
      </c>
      <c r="F25087" s="38" t="s">
        <v>252</v>
      </c>
      <c r="G25087" s="49" t="str">
        <f t="shared" si="1"/>
        <v>24150</v>
      </c>
      <c r="H25087" s="49">
        <f t="shared" si="2"/>
        <v>24027</v>
      </c>
    </row>
    <row r="25088">
      <c r="A25088" s="48" t="s">
        <v>328</v>
      </c>
      <c r="B25088" s="38">
        <v>2243.0</v>
      </c>
      <c r="C25088" s="38" t="s">
        <v>29595</v>
      </c>
      <c r="D25088" s="38" t="str">
        <f>IFERROR(__xludf.DUMMYFUNCTION("REGEXREPLACE(C25088,""-\d+(.*)|--\d+(.*)"","""")"),"CROUY")</f>
        <v>CROUY</v>
      </c>
      <c r="E25088" s="38" t="s">
        <v>191</v>
      </c>
      <c r="F25088" s="38" t="s">
        <v>113</v>
      </c>
      <c r="G25088" s="49" t="str">
        <f t="shared" si="1"/>
        <v>02880</v>
      </c>
      <c r="H25088" s="49" t="str">
        <f t="shared" si="2"/>
        <v>02243</v>
      </c>
    </row>
    <row r="25089">
      <c r="A25089" s="48" t="s">
        <v>12997</v>
      </c>
      <c r="B25089" s="38">
        <v>65438.0</v>
      </c>
      <c r="C25089" s="38" t="s">
        <v>29596</v>
      </c>
      <c r="D25089" s="38" t="str">
        <f>IFERROR(__xludf.DUMMYFUNCTION("REGEXREPLACE(C25089,""-\d+(.*)|--\d+(.*)"","""")"),"TALAZAC")</f>
        <v>TALAZAC</v>
      </c>
      <c r="E25089" s="38" t="s">
        <v>200</v>
      </c>
      <c r="F25089" s="38" t="s">
        <v>94</v>
      </c>
      <c r="G25089" s="49" t="str">
        <f t="shared" si="1"/>
        <v>65500</v>
      </c>
      <c r="H25089" s="49">
        <f t="shared" si="2"/>
        <v>65438</v>
      </c>
    </row>
    <row r="25090">
      <c r="A25090" s="48" t="s">
        <v>544</v>
      </c>
      <c r="B25090" s="38">
        <v>57100.0</v>
      </c>
      <c r="C25090" s="38" t="s">
        <v>29597</v>
      </c>
      <c r="D25090" s="38" t="str">
        <f>IFERROR(__xludf.DUMMYFUNCTION("REGEXREPLACE(C25090,""-\d+(.*)|--\d+(.*)"","""")"),"BOURSCHEID")</f>
        <v>BOURSCHEID</v>
      </c>
      <c r="E25090" s="38" t="s">
        <v>303</v>
      </c>
      <c r="F25090" s="38" t="s">
        <v>195</v>
      </c>
      <c r="G25090" s="49" t="str">
        <f t="shared" si="1"/>
        <v>57370</v>
      </c>
      <c r="H25090" s="49">
        <f t="shared" si="2"/>
        <v>57100</v>
      </c>
    </row>
    <row r="25091">
      <c r="A25091" s="48" t="s">
        <v>1222</v>
      </c>
      <c r="B25091" s="38">
        <v>47251.0</v>
      </c>
      <c r="C25091" s="38" t="s">
        <v>17732</v>
      </c>
      <c r="D25091" s="38" t="str">
        <f>IFERROR(__xludf.DUMMYFUNCTION("REGEXREPLACE(C25091,""-\d+(.*)|--\d+(.*)"","""")"),"SAINT-LEON")</f>
        <v>SAINT-LEON</v>
      </c>
      <c r="E25091" s="38" t="s">
        <v>251</v>
      </c>
      <c r="F25091" s="38" t="s">
        <v>252</v>
      </c>
      <c r="G25091" s="49" t="str">
        <f t="shared" si="1"/>
        <v>47160</v>
      </c>
      <c r="H25091" s="49">
        <f t="shared" si="2"/>
        <v>47251</v>
      </c>
    </row>
    <row r="25092">
      <c r="A25092" s="48" t="s">
        <v>7926</v>
      </c>
      <c r="B25092" s="38">
        <v>71470.0</v>
      </c>
      <c r="C25092" s="38" t="s">
        <v>29598</v>
      </c>
      <c r="D25092" s="38" t="str">
        <f>IFERROR(__xludf.DUMMYFUNCTION("REGEXREPLACE(C25092,""-\d+(.*)|--\d+(.*)"","""")"),"SAINT-POINT")</f>
        <v>SAINT-POINT</v>
      </c>
      <c r="E25092" s="38" t="s">
        <v>344</v>
      </c>
      <c r="F25092" s="38" t="s">
        <v>106</v>
      </c>
      <c r="G25092" s="49" t="str">
        <f t="shared" si="1"/>
        <v>71520</v>
      </c>
      <c r="H25092" s="49">
        <f t="shared" si="2"/>
        <v>71470</v>
      </c>
    </row>
    <row r="25093">
      <c r="A25093" s="48" t="s">
        <v>14133</v>
      </c>
      <c r="B25093" s="38">
        <v>45042.0</v>
      </c>
      <c r="C25093" s="38" t="s">
        <v>15515</v>
      </c>
      <c r="D25093" s="38" t="str">
        <f>IFERROR(__xludf.DUMMYFUNCTION("REGEXREPLACE(C25093,""-\d+(.*)|--\d+(.*)"","""")"),"LES BORDES")</f>
        <v>LES BORDES</v>
      </c>
      <c r="E25093" s="38" t="s">
        <v>122</v>
      </c>
      <c r="F25093" s="38" t="s">
        <v>123</v>
      </c>
      <c r="G25093" s="49" t="str">
        <f t="shared" si="1"/>
        <v>45460</v>
      </c>
      <c r="H25093" s="49">
        <f t="shared" si="2"/>
        <v>45042</v>
      </c>
    </row>
    <row r="25094">
      <c r="A25094" s="48" t="s">
        <v>407</v>
      </c>
      <c r="B25094" s="38">
        <v>71446.0</v>
      </c>
      <c r="C25094" s="38" t="s">
        <v>29599</v>
      </c>
      <c r="D25094" s="38" t="str">
        <f>IFERROR(__xludf.DUMMYFUNCTION("REGEXREPLACE(C25094,""-\d+(.*)|--\d+(.*)"","""")"),"SAINT-MARCELIN-DE-CRAY")</f>
        <v>SAINT-MARCELIN-DE-CRAY</v>
      </c>
      <c r="E25094" s="38" t="s">
        <v>344</v>
      </c>
      <c r="F25094" s="38" t="s">
        <v>106</v>
      </c>
      <c r="G25094" s="49" t="str">
        <f t="shared" si="1"/>
        <v>71460</v>
      </c>
      <c r="H25094" s="49">
        <f t="shared" si="2"/>
        <v>71446</v>
      </c>
    </row>
    <row r="25095">
      <c r="A25095" s="48" t="s">
        <v>2981</v>
      </c>
      <c r="B25095" s="38">
        <v>21059.0</v>
      </c>
      <c r="C25095" s="38" t="s">
        <v>29600</v>
      </c>
      <c r="D25095" s="38" t="str">
        <f>IFERROR(__xludf.DUMMYFUNCTION("REGEXREPLACE(C25095,""-\d+(.*)|--\d+(.*)"","""")"),"BELLEFOND")</f>
        <v>BELLEFOND</v>
      </c>
      <c r="E25095" s="38" t="s">
        <v>105</v>
      </c>
      <c r="F25095" s="38" t="s">
        <v>106</v>
      </c>
      <c r="G25095" s="49" t="str">
        <f t="shared" si="1"/>
        <v>21490</v>
      </c>
      <c r="H25095" s="49">
        <f t="shared" si="2"/>
        <v>21059</v>
      </c>
    </row>
    <row r="25096">
      <c r="A25096" s="48" t="s">
        <v>1272</v>
      </c>
      <c r="B25096" s="38">
        <v>51552.0</v>
      </c>
      <c r="C25096" s="38" t="s">
        <v>29601</v>
      </c>
      <c r="D25096" s="38" t="str">
        <f>IFERROR(__xludf.DUMMYFUNCTION("REGEXREPLACE(C25096,""-\d+(.*)|--\d+(.*)"","""")"),"SONGY")</f>
        <v>SONGY</v>
      </c>
      <c r="E25096" s="38" t="s">
        <v>129</v>
      </c>
      <c r="F25096" s="38" t="s">
        <v>130</v>
      </c>
      <c r="G25096" s="49" t="str">
        <f t="shared" si="1"/>
        <v>51240</v>
      </c>
      <c r="H25096" s="49">
        <f t="shared" si="2"/>
        <v>51552</v>
      </c>
    </row>
    <row r="25097">
      <c r="A25097" s="48" t="s">
        <v>1106</v>
      </c>
      <c r="B25097" s="38">
        <v>14324.0</v>
      </c>
      <c r="C25097" s="38" t="s">
        <v>29602</v>
      </c>
      <c r="D25097" s="38" t="str">
        <f>IFERROR(__xludf.DUMMYFUNCTION("REGEXREPLACE(C25097,""-\d+(.*)|--\d+(.*)"","""")"),"HAMARS")</f>
        <v>HAMARS</v>
      </c>
      <c r="E25097" s="38" t="s">
        <v>137</v>
      </c>
      <c r="F25097" s="38" t="s">
        <v>138</v>
      </c>
      <c r="G25097" s="49" t="str">
        <f t="shared" si="1"/>
        <v>14220</v>
      </c>
      <c r="H25097" s="49">
        <f t="shared" si="2"/>
        <v>14324</v>
      </c>
    </row>
    <row r="25098">
      <c r="A25098" s="48" t="s">
        <v>1428</v>
      </c>
      <c r="B25098" s="38">
        <v>31108.0</v>
      </c>
      <c r="C25098" s="38" t="s">
        <v>29603</v>
      </c>
      <c r="D25098" s="38" t="str">
        <f>IFERROR(__xludf.DUMMYFUNCTION("REGEXREPLACE(C25098,""-\d+(.*)|--\d+(.*)"","""")"),"CARDEILHAC")</f>
        <v>CARDEILHAC</v>
      </c>
      <c r="E25098" s="38" t="s">
        <v>93</v>
      </c>
      <c r="F25098" s="38" t="s">
        <v>94</v>
      </c>
      <c r="G25098" s="49" t="str">
        <f t="shared" si="1"/>
        <v>31350</v>
      </c>
      <c r="H25098" s="49">
        <f t="shared" si="2"/>
        <v>31108</v>
      </c>
    </row>
    <row r="25099">
      <c r="A25099" s="48" t="s">
        <v>1220</v>
      </c>
      <c r="B25099" s="38">
        <v>76219.0</v>
      </c>
      <c r="C25099" s="38" t="s">
        <v>29604</v>
      </c>
      <c r="D25099" s="38" t="str">
        <f>IFERROR(__xludf.DUMMYFUNCTION("REGEXREPLACE(C25099,""-\d+(.*)|--\d+(.*)"","""")"),"DOUDEVILLE")</f>
        <v>DOUDEVILLE</v>
      </c>
      <c r="E25099" s="38" t="s">
        <v>133</v>
      </c>
      <c r="F25099" s="38" t="s">
        <v>134</v>
      </c>
      <c r="G25099" s="49" t="str">
        <f t="shared" si="1"/>
        <v>76560</v>
      </c>
      <c r="H25099" s="49">
        <f t="shared" si="2"/>
        <v>76219</v>
      </c>
    </row>
    <row r="25100">
      <c r="A25100" s="48" t="s">
        <v>12660</v>
      </c>
      <c r="B25100" s="38">
        <v>29048.0</v>
      </c>
      <c r="C25100" s="38" t="s">
        <v>29605</v>
      </c>
      <c r="D25100" s="38" t="str">
        <f>IFERROR(__xludf.DUMMYFUNCTION("REGEXREPLACE(C25100,""-\d+(.*)|--\d+(.*)"","""")"),"EDERN")</f>
        <v>EDERN</v>
      </c>
      <c r="E25100" s="38" t="s">
        <v>176</v>
      </c>
      <c r="F25100" s="38" t="s">
        <v>90</v>
      </c>
      <c r="G25100" s="49" t="str">
        <f t="shared" si="1"/>
        <v>29510</v>
      </c>
      <c r="H25100" s="49">
        <f t="shared" si="2"/>
        <v>29048</v>
      </c>
    </row>
    <row r="25101">
      <c r="A25101" s="48" t="s">
        <v>21697</v>
      </c>
      <c r="B25101" s="38">
        <v>29273.0</v>
      </c>
      <c r="C25101" s="38" t="s">
        <v>29606</v>
      </c>
      <c r="D25101" s="38" t="str">
        <f>IFERROR(__xludf.DUMMYFUNCTION("REGEXREPLACE(C25101,""-\d+(.*)|--\d+(.*)"","""")"),"SANTEC")</f>
        <v>SANTEC</v>
      </c>
      <c r="E25101" s="38" t="s">
        <v>176</v>
      </c>
      <c r="F25101" s="38" t="s">
        <v>90</v>
      </c>
      <c r="G25101" s="49" t="str">
        <f t="shared" si="1"/>
        <v>29250</v>
      </c>
      <c r="H25101" s="49">
        <f t="shared" si="2"/>
        <v>29273</v>
      </c>
    </row>
    <row r="25102">
      <c r="A25102" s="48" t="s">
        <v>29607</v>
      </c>
      <c r="B25102" s="38">
        <v>6062.0</v>
      </c>
      <c r="C25102" s="38" t="s">
        <v>29608</v>
      </c>
      <c r="D25102" s="38" t="str">
        <f>IFERROR(__xludf.DUMMYFUNCTION("REGEXREPLACE(C25102,""-\d+(.*)|--\d+(.*)"","""")"),"FONTAN")</f>
        <v>FONTAN</v>
      </c>
      <c r="E25102" s="38" t="s">
        <v>227</v>
      </c>
      <c r="F25102" s="38" t="s">
        <v>228</v>
      </c>
      <c r="G25102" s="49" t="str">
        <f t="shared" si="1"/>
        <v>06540</v>
      </c>
      <c r="H25102" s="49" t="str">
        <f t="shared" si="2"/>
        <v>06062</v>
      </c>
    </row>
    <row r="25103">
      <c r="A25103" s="48" t="s">
        <v>29609</v>
      </c>
      <c r="B25103" s="38">
        <v>67519.0</v>
      </c>
      <c r="C25103" s="38" t="s">
        <v>29610</v>
      </c>
      <c r="D25103" s="38" t="str">
        <f>IFERROR(__xludf.DUMMYFUNCTION("REGEXREPLACE(C25103,""-\d+(.*)|--\d+(.*)"","""")"),"LA WANTZENAU")</f>
        <v>LA WANTZENAU</v>
      </c>
      <c r="E25103" s="38" t="s">
        <v>210</v>
      </c>
      <c r="F25103" s="38" t="s">
        <v>151</v>
      </c>
      <c r="G25103" s="49" t="str">
        <f t="shared" si="1"/>
        <v>67610</v>
      </c>
      <c r="H25103" s="49">
        <f t="shared" si="2"/>
        <v>67519</v>
      </c>
    </row>
    <row r="25104">
      <c r="A25104" s="48" t="s">
        <v>3240</v>
      </c>
      <c r="B25104" s="38">
        <v>27607.0</v>
      </c>
      <c r="C25104" s="38" t="s">
        <v>6933</v>
      </c>
      <c r="D25104" s="38" t="str">
        <f>IFERROR(__xludf.DUMMYFUNCTION("REGEXREPLACE(C25104,""-\d+(.*)|--\d+(.*)"","""")"),"SAINT-THURIEN")</f>
        <v>SAINT-THURIEN</v>
      </c>
      <c r="E25104" s="38" t="s">
        <v>241</v>
      </c>
      <c r="F25104" s="38" t="s">
        <v>134</v>
      </c>
      <c r="G25104" s="49" t="str">
        <f t="shared" si="1"/>
        <v>27680</v>
      </c>
      <c r="H25104" s="49">
        <f t="shared" si="2"/>
        <v>27607</v>
      </c>
    </row>
    <row r="25105">
      <c r="A25105" s="48" t="s">
        <v>220</v>
      </c>
      <c r="B25105" s="38">
        <v>67531.0</v>
      </c>
      <c r="C25105" s="38" t="s">
        <v>29611</v>
      </c>
      <c r="D25105" s="38" t="str">
        <f>IFERROR(__xludf.DUMMYFUNCTION("REGEXREPLACE(C25105,""-\d+(.*)|--\d+(.*)"","""")"),"WILDERSBACH")</f>
        <v>WILDERSBACH</v>
      </c>
      <c r="E25105" s="38" t="s">
        <v>210</v>
      </c>
      <c r="F25105" s="38" t="s">
        <v>151</v>
      </c>
      <c r="G25105" s="49" t="str">
        <f t="shared" si="1"/>
        <v>67130</v>
      </c>
      <c r="H25105" s="49">
        <f t="shared" si="2"/>
        <v>67531</v>
      </c>
    </row>
    <row r="25106">
      <c r="A25106" s="48" t="s">
        <v>1695</v>
      </c>
      <c r="B25106" s="38">
        <v>80640.0</v>
      </c>
      <c r="C25106" s="38" t="s">
        <v>29612</v>
      </c>
      <c r="D25106" s="38" t="str">
        <f>IFERROR(__xludf.DUMMYFUNCTION("REGEXREPLACE(C25106,""-\d+(.*)|--\d+(.*)"","""")"),"POZIERES")</f>
        <v>POZIERES</v>
      </c>
      <c r="E25106" s="38" t="s">
        <v>224</v>
      </c>
      <c r="F25106" s="38" t="s">
        <v>113</v>
      </c>
      <c r="G25106" s="49" t="str">
        <f t="shared" si="1"/>
        <v>80300</v>
      </c>
      <c r="H25106" s="49">
        <f t="shared" si="2"/>
        <v>80640</v>
      </c>
    </row>
    <row r="25107">
      <c r="A25107" s="48" t="s">
        <v>2946</v>
      </c>
      <c r="B25107" s="38">
        <v>51559.0</v>
      </c>
      <c r="C25107" s="38" t="s">
        <v>29613</v>
      </c>
      <c r="D25107" s="38" t="str">
        <f>IFERROR(__xludf.DUMMYFUNCTION("REGEXREPLACE(C25107,""-\d+(.*)|--\d+(.*)"","""")"),"SUIPPES")</f>
        <v>SUIPPES</v>
      </c>
      <c r="E25107" s="38" t="s">
        <v>129</v>
      </c>
      <c r="F25107" s="38" t="s">
        <v>130</v>
      </c>
      <c r="G25107" s="49" t="str">
        <f t="shared" si="1"/>
        <v>51600</v>
      </c>
      <c r="H25107" s="49">
        <f t="shared" si="2"/>
        <v>51559</v>
      </c>
    </row>
    <row r="25108">
      <c r="A25108" s="48" t="s">
        <v>6301</v>
      </c>
      <c r="B25108" s="38">
        <v>81277.0</v>
      </c>
      <c r="C25108" s="38" t="s">
        <v>29614</v>
      </c>
      <c r="D25108" s="38" t="str">
        <f>IFERROR(__xludf.DUMMYFUNCTION("REGEXREPLACE(C25108,""-\d+(.*)|--\d+(.*)"","""")"),"SAUSSENAC")</f>
        <v>SAUSSENAC</v>
      </c>
      <c r="E25108" s="38" t="s">
        <v>231</v>
      </c>
      <c r="F25108" s="38" t="s">
        <v>94</v>
      </c>
      <c r="G25108" s="49" t="str">
        <f t="shared" si="1"/>
        <v>81350</v>
      </c>
      <c r="H25108" s="49">
        <f t="shared" si="2"/>
        <v>81277</v>
      </c>
    </row>
    <row r="25109">
      <c r="A25109" s="48" t="s">
        <v>5076</v>
      </c>
      <c r="B25109" s="38">
        <v>14316.0</v>
      </c>
      <c r="C25109" s="38" t="s">
        <v>29615</v>
      </c>
      <c r="D25109" s="38" t="str">
        <f>IFERROR(__xludf.DUMMYFUNCTION("REGEXREPLACE(C25109,""-\d+(.*)|--\d+(.*)"","""")"),"GRANGUES")</f>
        <v>GRANGUES</v>
      </c>
      <c r="E25109" s="38" t="s">
        <v>137</v>
      </c>
      <c r="F25109" s="38" t="s">
        <v>138</v>
      </c>
      <c r="G25109" s="49" t="str">
        <f t="shared" si="1"/>
        <v>14160</v>
      </c>
      <c r="H25109" s="49">
        <f t="shared" si="2"/>
        <v>14316</v>
      </c>
    </row>
    <row r="25110">
      <c r="A25110" s="48" t="s">
        <v>10390</v>
      </c>
      <c r="B25110" s="38">
        <v>74003.0</v>
      </c>
      <c r="C25110" s="38" t="s">
        <v>29616</v>
      </c>
      <c r="D25110" s="38" t="str">
        <f>IFERROR(__xludf.DUMMYFUNCTION("REGEXREPLACE(C25110,""-\d+(.*)|--\d+(.*)"","""")"),"ALEX")</f>
        <v>ALEX</v>
      </c>
      <c r="E25110" s="38" t="s">
        <v>319</v>
      </c>
      <c r="F25110" s="38" t="s">
        <v>102</v>
      </c>
      <c r="G25110" s="49" t="str">
        <f t="shared" si="1"/>
        <v>74290</v>
      </c>
      <c r="H25110" s="49">
        <f t="shared" si="2"/>
        <v>74003</v>
      </c>
    </row>
    <row r="25111">
      <c r="A25111" s="48" t="s">
        <v>489</v>
      </c>
      <c r="B25111" s="38">
        <v>9225.0</v>
      </c>
      <c r="C25111" s="38" t="s">
        <v>29617</v>
      </c>
      <c r="D25111" s="38" t="str">
        <f>IFERROR(__xludf.DUMMYFUNCTION("REGEXREPLACE(C25111,""-\d+(.*)|--\d+(.*)"","""")"),"PAMIERS")</f>
        <v>PAMIERS</v>
      </c>
      <c r="E25111" s="38" t="s">
        <v>238</v>
      </c>
      <c r="F25111" s="38" t="s">
        <v>94</v>
      </c>
      <c r="G25111" s="49" t="str">
        <f t="shared" si="1"/>
        <v>09100</v>
      </c>
      <c r="H25111" s="49" t="str">
        <f t="shared" si="2"/>
        <v>09225</v>
      </c>
    </row>
    <row r="25112">
      <c r="A25112" s="48" t="s">
        <v>9821</v>
      </c>
      <c r="B25112" s="38">
        <v>52364.0</v>
      </c>
      <c r="C25112" s="38" t="s">
        <v>29618</v>
      </c>
      <c r="D25112" s="38" t="str">
        <f>IFERROR(__xludf.DUMMYFUNCTION("REGEXREPLACE(C25112,""-\d+(.*)|--\d+(.*)"","""")"),"ORCEVAUX")</f>
        <v>ORCEVAUX</v>
      </c>
      <c r="E25112" s="38" t="s">
        <v>234</v>
      </c>
      <c r="F25112" s="38" t="s">
        <v>130</v>
      </c>
      <c r="G25112" s="49" t="str">
        <f t="shared" si="1"/>
        <v>52250</v>
      </c>
      <c r="H25112" s="49">
        <f t="shared" si="2"/>
        <v>52364</v>
      </c>
    </row>
    <row r="25113">
      <c r="A25113" s="48" t="s">
        <v>2368</v>
      </c>
      <c r="B25113" s="38">
        <v>65317.0</v>
      </c>
      <c r="C25113" s="38" t="s">
        <v>7625</v>
      </c>
      <c r="D25113" s="38" t="str">
        <f>IFERROR(__xludf.DUMMYFUNCTION("REGEXREPLACE(C25113,""-\d+(.*)|--\d+(.*)"","""")"),"MONT")</f>
        <v>MONT</v>
      </c>
      <c r="E25113" s="38" t="s">
        <v>200</v>
      </c>
      <c r="F25113" s="38" t="s">
        <v>94</v>
      </c>
      <c r="G25113" s="49" t="str">
        <f t="shared" si="1"/>
        <v>65240</v>
      </c>
      <c r="H25113" s="49">
        <f t="shared" si="2"/>
        <v>65317</v>
      </c>
    </row>
    <row r="25114">
      <c r="A25114" s="48" t="s">
        <v>2710</v>
      </c>
      <c r="B25114" s="38">
        <v>68187.0</v>
      </c>
      <c r="C25114" s="38" t="s">
        <v>29619</v>
      </c>
      <c r="D25114" s="38" t="str">
        <f>IFERROR(__xludf.DUMMYFUNCTION("REGEXREPLACE(C25114,""-\d+(.*)|--\d+(.*)"","""")"),"LINSDORF")</f>
        <v>LINSDORF</v>
      </c>
      <c r="E25114" s="38" t="s">
        <v>150</v>
      </c>
      <c r="F25114" s="38" t="s">
        <v>151</v>
      </c>
      <c r="G25114" s="49" t="str">
        <f t="shared" si="1"/>
        <v>68480</v>
      </c>
      <c r="H25114" s="49">
        <f t="shared" si="2"/>
        <v>68187</v>
      </c>
    </row>
    <row r="25115">
      <c r="A25115" s="48" t="s">
        <v>15846</v>
      </c>
      <c r="B25115" s="38">
        <v>79231.0</v>
      </c>
      <c r="C25115" s="38" t="s">
        <v>4982</v>
      </c>
      <c r="D25115" s="38" t="str">
        <f>IFERROR(__xludf.DUMMYFUNCTION("REGEXREPLACE(C25115,""-\d+(.*)|--\d+(.*)"","""")"),"ROMANS")</f>
        <v>ROMANS</v>
      </c>
      <c r="E25115" s="38" t="s">
        <v>337</v>
      </c>
      <c r="F25115" s="38" t="s">
        <v>338</v>
      </c>
      <c r="G25115" s="49" t="str">
        <f t="shared" si="1"/>
        <v>79260</v>
      </c>
      <c r="H25115" s="49">
        <f t="shared" si="2"/>
        <v>79231</v>
      </c>
    </row>
    <row r="25116">
      <c r="A25116" s="48" t="s">
        <v>9021</v>
      </c>
      <c r="B25116" s="38">
        <v>88496.0</v>
      </c>
      <c r="C25116" s="38" t="s">
        <v>20416</v>
      </c>
      <c r="D25116" s="38" t="str">
        <f>IFERROR(__xludf.DUMMYFUNCTION("REGEXREPLACE(C25116,""-\d+(.*)|--\d+(.*)"","""")"),"VAUDONCOURT")</f>
        <v>VAUDONCOURT</v>
      </c>
      <c r="E25116" s="38" t="s">
        <v>194</v>
      </c>
      <c r="F25116" s="38" t="s">
        <v>195</v>
      </c>
      <c r="G25116" s="49" t="str">
        <f t="shared" si="1"/>
        <v>88140</v>
      </c>
      <c r="H25116" s="49">
        <f t="shared" si="2"/>
        <v>88496</v>
      </c>
    </row>
    <row r="25117">
      <c r="A25117" s="48" t="s">
        <v>1018</v>
      </c>
      <c r="B25117" s="38">
        <v>60143.0</v>
      </c>
      <c r="C25117" s="38" t="s">
        <v>29620</v>
      </c>
      <c r="D25117" s="38" t="str">
        <f>IFERROR(__xludf.DUMMYFUNCTION("REGEXREPLACE(C25117,""-\d+(.*)|--\d+(.*)"","""")"),"CHAUMONT-EN-VEXIN")</f>
        <v>CHAUMONT-EN-VEXIN</v>
      </c>
      <c r="E25117" s="38" t="s">
        <v>112</v>
      </c>
      <c r="F25117" s="38" t="s">
        <v>113</v>
      </c>
      <c r="G25117" s="49" t="str">
        <f t="shared" si="1"/>
        <v>60240</v>
      </c>
      <c r="H25117" s="49">
        <f t="shared" si="2"/>
        <v>60143</v>
      </c>
    </row>
    <row r="25118">
      <c r="A25118" s="48" t="s">
        <v>505</v>
      </c>
      <c r="B25118" s="38">
        <v>12158.0</v>
      </c>
      <c r="C25118" s="38" t="s">
        <v>29621</v>
      </c>
      <c r="D25118" s="38" t="str">
        <f>IFERROR(__xludf.DUMMYFUNCTION("REGEXREPLACE(C25118,""-\d+(.*)|--\d+(.*)"","""")"),"MONTSALES")</f>
        <v>MONTSALES</v>
      </c>
      <c r="E25118" s="38" t="s">
        <v>465</v>
      </c>
      <c r="F25118" s="38" t="s">
        <v>94</v>
      </c>
      <c r="G25118" s="49" t="str">
        <f t="shared" si="1"/>
        <v>12260</v>
      </c>
      <c r="H25118" s="49">
        <f t="shared" si="2"/>
        <v>12158</v>
      </c>
    </row>
    <row r="25119">
      <c r="A25119" s="48" t="s">
        <v>24467</v>
      </c>
      <c r="B25119" s="38">
        <v>30347.0</v>
      </c>
      <c r="C25119" s="38" t="s">
        <v>29622</v>
      </c>
      <c r="D25119" s="38" t="str">
        <f>IFERROR(__xludf.DUMMYFUNCTION("REGEXREPLACE(C25119,""-\d+(.*)|--\d+(.*)"","""")"),"VESTRIC-ET-CANDIAC")</f>
        <v>VESTRIC-ET-CANDIAC</v>
      </c>
      <c r="E25119" s="38" t="s">
        <v>526</v>
      </c>
      <c r="F25119" s="38" t="s">
        <v>119</v>
      </c>
      <c r="G25119" s="49" t="str">
        <f t="shared" si="1"/>
        <v>30600</v>
      </c>
      <c r="H25119" s="49">
        <f t="shared" si="2"/>
        <v>30347</v>
      </c>
    </row>
    <row r="25120">
      <c r="A25120" s="48" t="s">
        <v>789</v>
      </c>
      <c r="B25120" s="38">
        <v>10241.0</v>
      </c>
      <c r="C25120" s="38" t="s">
        <v>29623</v>
      </c>
      <c r="D25120" s="38" t="str">
        <f>IFERROR(__xludf.DUMMYFUNCTION("REGEXREPLACE(C25120,""-\d+(.*)|--\d+(.*)"","""")"),"METZ-ROBERT")</f>
        <v>METZ-ROBERT</v>
      </c>
      <c r="E25120" s="38" t="s">
        <v>147</v>
      </c>
      <c r="F25120" s="38" t="s">
        <v>130</v>
      </c>
      <c r="G25120" s="49" t="str">
        <f t="shared" si="1"/>
        <v>10210</v>
      </c>
      <c r="H25120" s="49">
        <f t="shared" si="2"/>
        <v>10241</v>
      </c>
    </row>
    <row r="25121">
      <c r="A25121" s="48" t="s">
        <v>1588</v>
      </c>
      <c r="B25121" s="38">
        <v>9014.0</v>
      </c>
      <c r="C25121" s="38" t="s">
        <v>29624</v>
      </c>
      <c r="D25121" s="38" t="str">
        <f>IFERROR(__xludf.DUMMYFUNCTION("REGEXREPLACE(C25121,""-\d+(.*)|--\d+(.*)"","""")"),"ARGEIN")</f>
        <v>ARGEIN</v>
      </c>
      <c r="E25121" s="38" t="s">
        <v>238</v>
      </c>
      <c r="F25121" s="38" t="s">
        <v>94</v>
      </c>
      <c r="G25121" s="49" t="str">
        <f t="shared" si="1"/>
        <v>09800</v>
      </c>
      <c r="H25121" s="49" t="str">
        <f t="shared" si="2"/>
        <v>09014</v>
      </c>
    </row>
    <row r="25122">
      <c r="A25122" s="48" t="s">
        <v>18871</v>
      </c>
      <c r="B25122" s="38">
        <v>42287.0</v>
      </c>
      <c r="C25122" s="38" t="s">
        <v>29625</v>
      </c>
      <c r="D25122" s="38" t="str">
        <f>IFERROR(__xludf.DUMMYFUNCTION("REGEXREPLACE(C25122,""-\d+(.*)|--\d+(.*)"","""")"),"SAINT-SAUVEUR-EN-RUE")</f>
        <v>SAINT-SAUVEUR-EN-RUE</v>
      </c>
      <c r="E25122" s="38" t="s">
        <v>166</v>
      </c>
      <c r="F25122" s="38" t="s">
        <v>102</v>
      </c>
      <c r="G25122" s="49" t="str">
        <f t="shared" si="1"/>
        <v>42220</v>
      </c>
      <c r="H25122" s="49">
        <f t="shared" si="2"/>
        <v>42287</v>
      </c>
    </row>
    <row r="25123">
      <c r="A25123" s="48" t="s">
        <v>970</v>
      </c>
      <c r="B25123" s="38">
        <v>2116.0</v>
      </c>
      <c r="C25123" s="38" t="s">
        <v>29626</v>
      </c>
      <c r="D25123" s="38" t="str">
        <f>IFERROR(__xludf.DUMMYFUNCTION("REGEXREPLACE(C25123,""-\d+(.*)|--\d+(.*)"","""")"),"BRAYE-EN-THIERACHE")</f>
        <v>BRAYE-EN-THIERACHE</v>
      </c>
      <c r="E25123" s="38" t="s">
        <v>191</v>
      </c>
      <c r="F25123" s="38" t="s">
        <v>113</v>
      </c>
      <c r="G25123" s="49" t="str">
        <f t="shared" si="1"/>
        <v>02140</v>
      </c>
      <c r="H25123" s="49" t="str">
        <f t="shared" si="2"/>
        <v>02116</v>
      </c>
    </row>
    <row r="25124">
      <c r="A25124" s="48" t="s">
        <v>1246</v>
      </c>
      <c r="B25124" s="38">
        <v>62904.0</v>
      </c>
      <c r="C25124" s="38" t="s">
        <v>29627</v>
      </c>
      <c r="D25124" s="38" t="str">
        <f>IFERROR(__xludf.DUMMYFUNCTION("REGEXREPLACE(C25124,""-\d+(.*)|--\d+(.*)"","""")"),"ZOUAFQUES")</f>
        <v>ZOUAFQUES</v>
      </c>
      <c r="E25124" s="38" t="s">
        <v>109</v>
      </c>
      <c r="F25124" s="38" t="s">
        <v>86</v>
      </c>
      <c r="G25124" s="49" t="str">
        <f t="shared" si="1"/>
        <v>62890</v>
      </c>
      <c r="H25124" s="49">
        <f t="shared" si="2"/>
        <v>62904</v>
      </c>
    </row>
    <row r="25125">
      <c r="A25125" s="48" t="s">
        <v>8779</v>
      </c>
      <c r="B25125" s="38">
        <v>45099.0</v>
      </c>
      <c r="C25125" s="38" t="s">
        <v>29628</v>
      </c>
      <c r="D25125" s="38" t="str">
        <f>IFERROR(__xludf.DUMMYFUNCTION("REGEXREPLACE(C25125,""-\d+(.*)|--\d+(.*)"","""")"),"COINCES")</f>
        <v>COINCES</v>
      </c>
      <c r="E25125" s="38" t="s">
        <v>122</v>
      </c>
      <c r="F25125" s="38" t="s">
        <v>123</v>
      </c>
      <c r="G25125" s="49" t="str">
        <f t="shared" si="1"/>
        <v>45310</v>
      </c>
      <c r="H25125" s="49">
        <f t="shared" si="2"/>
        <v>45099</v>
      </c>
    </row>
    <row r="25126">
      <c r="A25126" s="48" t="s">
        <v>582</v>
      </c>
      <c r="B25126" s="38">
        <v>39577.0</v>
      </c>
      <c r="C25126" s="38" t="s">
        <v>29629</v>
      </c>
      <c r="D25126" s="38" t="str">
        <f>IFERROR(__xludf.DUMMYFUNCTION("REGEXREPLACE(C25126,""-\d+(.*)|--\d+(.*)"","""")"),"VINCENT")</f>
        <v>VINCENT</v>
      </c>
      <c r="E25126" s="38" t="s">
        <v>400</v>
      </c>
      <c r="F25126" s="38" t="s">
        <v>214</v>
      </c>
      <c r="G25126" s="49" t="str">
        <f t="shared" si="1"/>
        <v>39230</v>
      </c>
      <c r="H25126" s="49">
        <f t="shared" si="2"/>
        <v>39577</v>
      </c>
    </row>
    <row r="25127">
      <c r="A25127" s="48" t="s">
        <v>651</v>
      </c>
      <c r="B25127" s="38">
        <v>49282.0</v>
      </c>
      <c r="C25127" s="38" t="s">
        <v>29630</v>
      </c>
      <c r="D25127" s="38" t="str">
        <f>IFERROR(__xludf.DUMMYFUNCTION("REGEXREPLACE(C25127,""-\d+(.*)|--\d+(.*)"","""")"),"SAINT-GEORGES-SUR-LAYON")</f>
        <v>SAINT-GEORGES-SUR-LAYON</v>
      </c>
      <c r="E25127" s="38" t="s">
        <v>653</v>
      </c>
      <c r="F25127" s="38" t="s">
        <v>180</v>
      </c>
      <c r="G25127" s="49" t="str">
        <f t="shared" si="1"/>
        <v>49700</v>
      </c>
      <c r="H25127" s="49">
        <f t="shared" si="2"/>
        <v>49282</v>
      </c>
    </row>
    <row r="25128">
      <c r="A25128" s="48" t="s">
        <v>12221</v>
      </c>
      <c r="B25128" s="38">
        <v>41207.0</v>
      </c>
      <c r="C25128" s="38" t="s">
        <v>29631</v>
      </c>
      <c r="D25128" s="38" t="str">
        <f>IFERROR(__xludf.DUMMYFUNCTION("REGEXREPLACE(C25128,""-\d+(.*)|--\d+(.*)"","""")"),"SAINT-DYE-SUR-LOIRE")</f>
        <v>SAINT-DYE-SUR-LOIRE</v>
      </c>
      <c r="E25128" s="38" t="s">
        <v>188</v>
      </c>
      <c r="F25128" s="38" t="s">
        <v>123</v>
      </c>
      <c r="G25128" s="49" t="str">
        <f t="shared" si="1"/>
        <v>41500</v>
      </c>
      <c r="H25128" s="49">
        <f t="shared" si="2"/>
        <v>41207</v>
      </c>
    </row>
    <row r="25129">
      <c r="A25129" s="48" t="s">
        <v>2479</v>
      </c>
      <c r="B25129" s="38">
        <v>45107.0</v>
      </c>
      <c r="C25129" s="38" t="s">
        <v>29632</v>
      </c>
      <c r="D25129" s="38" t="str">
        <f>IFERROR(__xludf.DUMMYFUNCTION("REGEXREPLACE(C25129,""-\d+(.*)|--\d+(.*)"","""")"),"COUDROY")</f>
        <v>COUDROY</v>
      </c>
      <c r="E25129" s="38" t="s">
        <v>122</v>
      </c>
      <c r="F25129" s="38" t="s">
        <v>123</v>
      </c>
      <c r="G25129" s="49" t="str">
        <f t="shared" si="1"/>
        <v>45260</v>
      </c>
      <c r="H25129" s="49">
        <f t="shared" si="2"/>
        <v>45107</v>
      </c>
    </row>
    <row r="25130">
      <c r="A25130" s="48" t="s">
        <v>1091</v>
      </c>
      <c r="B25130" s="38">
        <v>57385.0</v>
      </c>
      <c r="C25130" s="38" t="s">
        <v>29633</v>
      </c>
      <c r="D25130" s="38" t="str">
        <f>IFERROR(__xludf.DUMMYFUNCTION("REGEXREPLACE(C25130,""-\d+(.*)|--\d+(.*)"","""")"),"LAQUENEXY")</f>
        <v>LAQUENEXY</v>
      </c>
      <c r="E25130" s="38" t="s">
        <v>303</v>
      </c>
      <c r="F25130" s="38" t="s">
        <v>195</v>
      </c>
      <c r="G25130" s="49" t="str">
        <f t="shared" si="1"/>
        <v>57530</v>
      </c>
      <c r="H25130" s="49">
        <f t="shared" si="2"/>
        <v>57385</v>
      </c>
    </row>
    <row r="25131">
      <c r="A25131" s="48" t="s">
        <v>2579</v>
      </c>
      <c r="B25131" s="38">
        <v>32185.0</v>
      </c>
      <c r="C25131" s="38" t="s">
        <v>29634</v>
      </c>
      <c r="D25131" s="38" t="str">
        <f>IFERROR(__xludf.DUMMYFUNCTION("REGEXREPLACE(C25131,""-\d+(.*)|--\d+(.*)"","""")"),"LALANNE-ARQUE")</f>
        <v>LALANNE-ARQUE</v>
      </c>
      <c r="E25131" s="38" t="s">
        <v>440</v>
      </c>
      <c r="F25131" s="38" t="s">
        <v>94</v>
      </c>
      <c r="G25131" s="49" t="str">
        <f t="shared" si="1"/>
        <v>32140</v>
      </c>
      <c r="H25131" s="49">
        <f t="shared" si="2"/>
        <v>32185</v>
      </c>
    </row>
    <row r="25132">
      <c r="A25132" s="48" t="s">
        <v>19465</v>
      </c>
      <c r="B25132" s="38">
        <v>16049.0</v>
      </c>
      <c r="C25132" s="38" t="s">
        <v>27652</v>
      </c>
      <c r="D25132" s="38" t="str">
        <f>IFERROR(__xludf.DUMMYFUNCTION("REGEXREPLACE(C25132,""-\d+(.*)|--\d+(.*)"","""")"),"BONNES")</f>
        <v>BONNES</v>
      </c>
      <c r="E25132" s="38" t="s">
        <v>429</v>
      </c>
      <c r="F25132" s="38" t="s">
        <v>338</v>
      </c>
      <c r="G25132" s="49" t="str">
        <f t="shared" si="1"/>
        <v>16390</v>
      </c>
      <c r="H25132" s="49">
        <f t="shared" si="2"/>
        <v>16049</v>
      </c>
    </row>
    <row r="25133">
      <c r="A25133" s="48" t="s">
        <v>20678</v>
      </c>
      <c r="B25133" s="38">
        <v>23090.0</v>
      </c>
      <c r="C25133" s="38" t="s">
        <v>29635</v>
      </c>
      <c r="D25133" s="38" t="str">
        <f>IFERROR(__xludf.DUMMYFUNCTION("REGEXREPLACE(C25133,""-\d+(.*)|--\d+(.*)"","""")"),"GENTIOUX-PIGEROLLES")</f>
        <v>GENTIOUX-PIGEROLLES</v>
      </c>
      <c r="E25133" s="38" t="s">
        <v>97</v>
      </c>
      <c r="F25133" s="38" t="s">
        <v>98</v>
      </c>
      <c r="G25133" s="49" t="str">
        <f t="shared" si="1"/>
        <v>23340</v>
      </c>
      <c r="H25133" s="49">
        <f t="shared" si="2"/>
        <v>23090</v>
      </c>
    </row>
    <row r="25134">
      <c r="A25134" s="48" t="s">
        <v>2451</v>
      </c>
      <c r="B25134" s="38">
        <v>31416.0</v>
      </c>
      <c r="C25134" s="38" t="s">
        <v>29636</v>
      </c>
      <c r="D25134" s="38" t="str">
        <f>IFERROR(__xludf.DUMMYFUNCTION("REGEXREPLACE(C25134,""-\d+(.*)|--\d+(.*)"","""")"),"PEYSSIES")</f>
        <v>PEYSSIES</v>
      </c>
      <c r="E25134" s="38" t="s">
        <v>93</v>
      </c>
      <c r="F25134" s="38" t="s">
        <v>94</v>
      </c>
      <c r="G25134" s="49" t="str">
        <f t="shared" si="1"/>
        <v>31390</v>
      </c>
      <c r="H25134" s="49">
        <f t="shared" si="2"/>
        <v>31416</v>
      </c>
    </row>
    <row r="25135">
      <c r="A25135" s="48" t="s">
        <v>2983</v>
      </c>
      <c r="B25135" s="38">
        <v>86020.0</v>
      </c>
      <c r="C25135" s="38" t="s">
        <v>29637</v>
      </c>
      <c r="D25135" s="38" t="str">
        <f>IFERROR(__xludf.DUMMYFUNCTION("REGEXREPLACE(C25135,""-\d+(.*)|--\d+(.*)"","""")"),"BELLEFONDS")</f>
        <v>BELLEFONDS</v>
      </c>
      <c r="E25135" s="38" t="s">
        <v>529</v>
      </c>
      <c r="F25135" s="38" t="s">
        <v>338</v>
      </c>
      <c r="G25135" s="49" t="str">
        <f t="shared" si="1"/>
        <v>86210</v>
      </c>
      <c r="H25135" s="49">
        <f t="shared" si="2"/>
        <v>86020</v>
      </c>
    </row>
    <row r="25136">
      <c r="A25136" s="48" t="s">
        <v>4272</v>
      </c>
      <c r="B25136" s="38">
        <v>76070.0</v>
      </c>
      <c r="C25136" s="38" t="s">
        <v>29638</v>
      </c>
      <c r="D25136" s="38" t="str">
        <f>IFERROR(__xludf.DUMMYFUNCTION("REGEXREPLACE(C25136,""-\d+(.*)|--\d+(.*)"","""")"),"BELLENCOMBRE")</f>
        <v>BELLENCOMBRE</v>
      </c>
      <c r="E25136" s="38" t="s">
        <v>133</v>
      </c>
      <c r="F25136" s="38" t="s">
        <v>134</v>
      </c>
      <c r="G25136" s="49" t="str">
        <f t="shared" si="1"/>
        <v>76680</v>
      </c>
      <c r="H25136" s="49">
        <f t="shared" si="2"/>
        <v>76070</v>
      </c>
    </row>
    <row r="25137">
      <c r="A25137" s="48" t="s">
        <v>21808</v>
      </c>
      <c r="B25137" s="38">
        <v>14741.0</v>
      </c>
      <c r="C25137" s="38" t="s">
        <v>29639</v>
      </c>
      <c r="D25137" s="38" t="str">
        <f>IFERROR(__xludf.DUMMYFUNCTION("REGEXREPLACE(C25137,""-\d+(.*)|--\d+(.*)"","""")"),"LE VEY")</f>
        <v>LE VEY</v>
      </c>
      <c r="E25137" s="38" t="s">
        <v>137</v>
      </c>
      <c r="F25137" s="38" t="s">
        <v>138</v>
      </c>
      <c r="G25137" s="49" t="str">
        <f t="shared" si="1"/>
        <v>14570</v>
      </c>
      <c r="H25137" s="49">
        <f t="shared" si="2"/>
        <v>14741</v>
      </c>
    </row>
    <row r="25138">
      <c r="A25138" s="48" t="s">
        <v>1991</v>
      </c>
      <c r="B25138" s="38">
        <v>54063.0</v>
      </c>
      <c r="C25138" s="38" t="s">
        <v>29640</v>
      </c>
      <c r="D25138" s="38" t="str">
        <f>IFERROR(__xludf.DUMMYFUNCTION("REGEXREPLACE(C25138,""-\d+(.*)|--\d+(.*)"","""")"),"BERNECOURT")</f>
        <v>BERNECOURT</v>
      </c>
      <c r="E25138" s="38" t="s">
        <v>548</v>
      </c>
      <c r="F25138" s="38" t="s">
        <v>195</v>
      </c>
      <c r="G25138" s="49" t="str">
        <f t="shared" si="1"/>
        <v>54470</v>
      </c>
      <c r="H25138" s="49">
        <f t="shared" si="2"/>
        <v>54063</v>
      </c>
    </row>
    <row r="25139">
      <c r="A25139" s="48" t="s">
        <v>2744</v>
      </c>
      <c r="B25139" s="38">
        <v>17160.0</v>
      </c>
      <c r="C25139" s="38" t="s">
        <v>25825</v>
      </c>
      <c r="D25139" s="38" t="str">
        <f>IFERROR(__xludf.DUMMYFUNCTION("REGEXREPLACE(C25139,""-\d+(.*)|--\d+(.*)"","""")"),"FLOIRAC")</f>
        <v>FLOIRAC</v>
      </c>
      <c r="E25139" s="38" t="s">
        <v>488</v>
      </c>
      <c r="F25139" s="38" t="s">
        <v>338</v>
      </c>
      <c r="G25139" s="49" t="str">
        <f t="shared" si="1"/>
        <v>17120</v>
      </c>
      <c r="H25139" s="49">
        <f t="shared" si="2"/>
        <v>17160</v>
      </c>
    </row>
    <row r="25140">
      <c r="A25140" s="48" t="s">
        <v>573</v>
      </c>
      <c r="B25140" s="38">
        <v>65127.0</v>
      </c>
      <c r="C25140" s="38" t="s">
        <v>29641</v>
      </c>
      <c r="D25140" s="38" t="str">
        <f>IFERROR(__xludf.DUMMYFUNCTION("REGEXREPLACE(C25140,""-\d+(.*)|--\d+(.*)"","""")"),"CAPVERN")</f>
        <v>CAPVERN</v>
      </c>
      <c r="E25140" s="38" t="s">
        <v>200</v>
      </c>
      <c r="F25140" s="38" t="s">
        <v>94</v>
      </c>
      <c r="G25140" s="49" t="str">
        <f t="shared" si="1"/>
        <v>65130</v>
      </c>
      <c r="H25140" s="49">
        <f t="shared" si="2"/>
        <v>65127</v>
      </c>
    </row>
    <row r="25141">
      <c r="A25141" s="48" t="s">
        <v>29642</v>
      </c>
      <c r="B25141" s="38">
        <v>13075.0</v>
      </c>
      <c r="C25141" s="38" t="s">
        <v>29643</v>
      </c>
      <c r="D25141" s="38" t="str">
        <f>IFERROR(__xludf.DUMMYFUNCTION("REGEXREPLACE(C25141,""-\d+(.*)|--\d+(.*)"","""")"),"PLAN-DE-CUQUES")</f>
        <v>PLAN-DE-CUQUES</v>
      </c>
      <c r="E25141" s="38" t="s">
        <v>980</v>
      </c>
      <c r="F25141" s="38" t="s">
        <v>228</v>
      </c>
      <c r="G25141" s="49" t="str">
        <f t="shared" si="1"/>
        <v>13380</v>
      </c>
      <c r="H25141" s="49">
        <f t="shared" si="2"/>
        <v>13075</v>
      </c>
    </row>
    <row r="25142">
      <c r="A25142" s="48" t="s">
        <v>19588</v>
      </c>
      <c r="B25142" s="38">
        <v>78513.0</v>
      </c>
      <c r="C25142" s="38" t="s">
        <v>29644</v>
      </c>
      <c r="D25142" s="38" t="str">
        <f>IFERROR(__xludf.DUMMYFUNCTION("REGEXREPLACE(C25142,""-\d+(.*)|--\d+(.*)"","""")"),"LA QUEUE-LES-YVELINES")</f>
        <v>LA QUEUE-LES-YVELINES</v>
      </c>
      <c r="E25142" s="38" t="s">
        <v>362</v>
      </c>
      <c r="F25142" s="38" t="s">
        <v>245</v>
      </c>
      <c r="G25142" s="49" t="str">
        <f t="shared" si="1"/>
        <v>78940</v>
      </c>
      <c r="H25142" s="49">
        <f t="shared" si="2"/>
        <v>78513</v>
      </c>
    </row>
    <row r="25143">
      <c r="A25143" s="48" t="s">
        <v>616</v>
      </c>
      <c r="B25143" s="38">
        <v>89203.0</v>
      </c>
      <c r="C25143" s="38" t="s">
        <v>29645</v>
      </c>
      <c r="D25143" s="38" t="str">
        <f>IFERROR(__xludf.DUMMYFUNCTION("REGEXREPLACE(C25143,""-\d+(.*)|--\d+(.*)"","""")"),"ISLAND")</f>
        <v>ISLAND</v>
      </c>
      <c r="E25143" s="38" t="s">
        <v>275</v>
      </c>
      <c r="F25143" s="38" t="s">
        <v>106</v>
      </c>
      <c r="G25143" s="49" t="str">
        <f t="shared" si="1"/>
        <v>89200</v>
      </c>
      <c r="H25143" s="49">
        <f t="shared" si="2"/>
        <v>89203</v>
      </c>
    </row>
    <row r="25144">
      <c r="A25144" s="48" t="s">
        <v>5423</v>
      </c>
      <c r="B25144" s="38">
        <v>31060.0</v>
      </c>
      <c r="C25144" s="38" t="s">
        <v>29646</v>
      </c>
      <c r="D25144" s="38" t="str">
        <f>IFERROR(__xludf.DUMMYFUNCTION("REGEXREPLACE(C25144,""-\d+(.*)|--\d+(.*)"","""")"),"BELESTA-EN-LAURAGAIS")</f>
        <v>BELESTA-EN-LAURAGAIS</v>
      </c>
      <c r="E25144" s="38" t="s">
        <v>93</v>
      </c>
      <c r="F25144" s="38" t="s">
        <v>94</v>
      </c>
      <c r="G25144" s="49" t="str">
        <f t="shared" si="1"/>
        <v>31540</v>
      </c>
      <c r="H25144" s="49">
        <f t="shared" si="2"/>
        <v>31060</v>
      </c>
    </row>
    <row r="25145">
      <c r="A25145" s="48" t="s">
        <v>3190</v>
      </c>
      <c r="B25145" s="38">
        <v>70492.0</v>
      </c>
      <c r="C25145" s="38" t="s">
        <v>29647</v>
      </c>
      <c r="D25145" s="38" t="str">
        <f>IFERROR(__xludf.DUMMYFUNCTION("REGEXREPLACE(C25145,""-\d+(.*)|--\d+(.*)"","""")"),"SOING-CUBRY-CHARENTENAY")</f>
        <v>SOING-CUBRY-CHARENTENAY</v>
      </c>
      <c r="E25145" s="38" t="s">
        <v>956</v>
      </c>
      <c r="F25145" s="38" t="s">
        <v>214</v>
      </c>
      <c r="G25145" s="49" t="str">
        <f t="shared" si="1"/>
        <v>70130</v>
      </c>
      <c r="H25145" s="49">
        <f t="shared" si="2"/>
        <v>70492</v>
      </c>
    </row>
    <row r="25146">
      <c r="A25146" s="48" t="s">
        <v>5038</v>
      </c>
      <c r="B25146" s="38">
        <v>17221.0</v>
      </c>
      <c r="C25146" s="38" t="s">
        <v>29648</v>
      </c>
      <c r="D25146" s="38" t="str">
        <f>IFERROR(__xludf.DUMMYFUNCTION("REGEXREPLACE(C25146,""-\d+(.*)|--\d+(.*)"","""")"),"MARSAIS")</f>
        <v>MARSAIS</v>
      </c>
      <c r="E25146" s="38" t="s">
        <v>488</v>
      </c>
      <c r="F25146" s="38" t="s">
        <v>338</v>
      </c>
      <c r="G25146" s="49" t="str">
        <f t="shared" si="1"/>
        <v>17700</v>
      </c>
      <c r="H25146" s="49">
        <f t="shared" si="2"/>
        <v>17221</v>
      </c>
    </row>
    <row r="25147">
      <c r="A25147" s="48" t="s">
        <v>7365</v>
      </c>
      <c r="B25147" s="38">
        <v>18036.0</v>
      </c>
      <c r="C25147" s="38" t="s">
        <v>29649</v>
      </c>
      <c r="D25147" s="38" t="str">
        <f>IFERROR(__xludf.DUMMYFUNCTION("REGEXREPLACE(C25147,""-\d+(.*)|--\d+(.*)"","""")"),"BRINAY")</f>
        <v>BRINAY</v>
      </c>
      <c r="E25147" s="38" t="s">
        <v>504</v>
      </c>
      <c r="F25147" s="38" t="s">
        <v>123</v>
      </c>
      <c r="G25147" s="49" t="str">
        <f t="shared" si="1"/>
        <v>18120</v>
      </c>
      <c r="H25147" s="49">
        <f t="shared" si="2"/>
        <v>18036</v>
      </c>
    </row>
    <row r="25148">
      <c r="A25148" s="48" t="s">
        <v>16223</v>
      </c>
      <c r="B25148" s="38">
        <v>60642.0</v>
      </c>
      <c r="C25148" s="38" t="s">
        <v>29650</v>
      </c>
      <c r="D25148" s="38" t="str">
        <f>IFERROR(__xludf.DUMMYFUNCTION("REGEXREPLACE(C25148,""-\d+(.*)|--\d+(.*)"","""")"),"TRACY-LE-VAL")</f>
        <v>TRACY-LE-VAL</v>
      </c>
      <c r="E25148" s="38" t="s">
        <v>112</v>
      </c>
      <c r="F25148" s="38" t="s">
        <v>113</v>
      </c>
      <c r="G25148" s="49" t="str">
        <f t="shared" si="1"/>
        <v>60170</v>
      </c>
      <c r="H25148" s="49">
        <f t="shared" si="2"/>
        <v>60642</v>
      </c>
    </row>
    <row r="25149">
      <c r="A25149" s="48" t="s">
        <v>22292</v>
      </c>
      <c r="B25149" s="38">
        <v>29049.0</v>
      </c>
      <c r="C25149" s="38" t="s">
        <v>29651</v>
      </c>
      <c r="D25149" s="38" t="str">
        <f>IFERROR(__xludf.DUMMYFUNCTION("REGEXREPLACE(C25149,""-\d+(.*)|--\d+(.*)"","""")"),"ELLIANT")</f>
        <v>ELLIANT</v>
      </c>
      <c r="E25149" s="38" t="s">
        <v>176</v>
      </c>
      <c r="F25149" s="38" t="s">
        <v>90</v>
      </c>
      <c r="G25149" s="49" t="str">
        <f t="shared" si="1"/>
        <v>29370</v>
      </c>
      <c r="H25149" s="49">
        <f t="shared" si="2"/>
        <v>29049</v>
      </c>
    </row>
    <row r="25150">
      <c r="A25150" s="48" t="s">
        <v>773</v>
      </c>
      <c r="B25150" s="38">
        <v>27136.0</v>
      </c>
      <c r="C25150" s="38" t="s">
        <v>29652</v>
      </c>
      <c r="D25150" s="38" t="str">
        <f>IFERROR(__xludf.DUMMYFUNCTION("REGEXREPLACE(C25150,""-\d+(.*)|--\d+(.*)"","""")"),"CHAIGNES")</f>
        <v>CHAIGNES</v>
      </c>
      <c r="E25150" s="38" t="s">
        <v>241</v>
      </c>
      <c r="F25150" s="38" t="s">
        <v>134</v>
      </c>
      <c r="G25150" s="49" t="str">
        <f t="shared" si="1"/>
        <v>27120</v>
      </c>
      <c r="H25150" s="49">
        <f t="shared" si="2"/>
        <v>27136</v>
      </c>
    </row>
    <row r="25151">
      <c r="A25151" s="48" t="s">
        <v>29653</v>
      </c>
      <c r="B25151" s="38">
        <v>75101.0</v>
      </c>
      <c r="C25151" s="38" t="s">
        <v>29654</v>
      </c>
      <c r="D25151" s="38" t="str">
        <f>IFERROR(__xludf.DUMMYFUNCTION("REGEXREPLACE(C25151,""-\d+(.*)|--\d+(.*)"","""")"),"PARIS")</f>
        <v>PARIS</v>
      </c>
      <c r="E25151" s="38" t="s">
        <v>823</v>
      </c>
      <c r="F25151" s="38" t="s">
        <v>245</v>
      </c>
      <c r="G25151" s="49" t="str">
        <f t="shared" si="1"/>
        <v>75001</v>
      </c>
      <c r="H25151" s="49">
        <f t="shared" si="2"/>
        <v>75101</v>
      </c>
    </row>
    <row r="25152">
      <c r="A25152" s="48" t="s">
        <v>282</v>
      </c>
      <c r="B25152" s="38">
        <v>46298.0</v>
      </c>
      <c r="C25152" s="38" t="s">
        <v>24131</v>
      </c>
      <c r="D25152" s="38" t="str">
        <f>IFERROR(__xludf.DUMMYFUNCTION("REGEXREPLACE(C25152,""-\d+(.*)|--\d+(.*)"","""")"),"SARRAZAC")</f>
        <v>SARRAZAC</v>
      </c>
      <c r="E25152" s="38" t="s">
        <v>185</v>
      </c>
      <c r="F25152" s="38" t="s">
        <v>94</v>
      </c>
      <c r="G25152" s="49" t="str">
        <f t="shared" si="1"/>
        <v>46600</v>
      </c>
      <c r="H25152" s="49">
        <f t="shared" si="2"/>
        <v>46298</v>
      </c>
    </row>
    <row r="25153">
      <c r="A25153" s="48" t="s">
        <v>3934</v>
      </c>
      <c r="B25153" s="38">
        <v>3036.0</v>
      </c>
      <c r="C25153" s="38" t="s">
        <v>29655</v>
      </c>
      <c r="D25153" s="38" t="str">
        <f>IFERROR(__xludf.DUMMYFUNCTION("REGEXREPLACE(C25153,""-\d+(.*)|--\d+(.*)"","""")"),"BOURBON-L'ARCHAMBAULT")</f>
        <v>BOURBON-L'ARCHAMBAULT</v>
      </c>
      <c r="E25153" s="38" t="s">
        <v>160</v>
      </c>
      <c r="F25153" s="38" t="s">
        <v>161</v>
      </c>
      <c r="G25153" s="49" t="str">
        <f t="shared" si="1"/>
        <v>03160</v>
      </c>
      <c r="H25153" s="49" t="str">
        <f t="shared" si="2"/>
        <v>03036</v>
      </c>
    </row>
    <row r="25154">
      <c r="A25154" s="48" t="s">
        <v>781</v>
      </c>
      <c r="B25154" s="38">
        <v>65291.0</v>
      </c>
      <c r="C25154" s="38" t="s">
        <v>29656</v>
      </c>
      <c r="D25154" s="38" t="str">
        <f>IFERROR(__xludf.DUMMYFUNCTION("REGEXREPLACE(C25154,""-\d+(.*)|--\d+(.*)"","""")"),"LUGAGNAN")</f>
        <v>LUGAGNAN</v>
      </c>
      <c r="E25154" s="38" t="s">
        <v>200</v>
      </c>
      <c r="F25154" s="38" t="s">
        <v>94</v>
      </c>
      <c r="G25154" s="49" t="str">
        <f t="shared" si="1"/>
        <v>65100</v>
      </c>
      <c r="H25154" s="49">
        <f t="shared" si="2"/>
        <v>65291</v>
      </c>
    </row>
    <row r="25155">
      <c r="A25155" s="48" t="s">
        <v>10202</v>
      </c>
      <c r="B25155" s="38">
        <v>33206.0</v>
      </c>
      <c r="C25155" s="38" t="s">
        <v>29657</v>
      </c>
      <c r="D25155" s="38" t="str">
        <f>IFERROR(__xludf.DUMMYFUNCTION("REGEXREPLACE(C25155,""-\d+(.*)|--\d+(.*)"","""")"),"ISLE-SAINT-GEORGES")</f>
        <v>ISLE-SAINT-GEORGES</v>
      </c>
      <c r="E25155" s="38" t="s">
        <v>462</v>
      </c>
      <c r="F25155" s="38" t="s">
        <v>252</v>
      </c>
      <c r="G25155" s="49" t="str">
        <f t="shared" si="1"/>
        <v>33640</v>
      </c>
      <c r="H25155" s="49">
        <f t="shared" si="2"/>
        <v>33206</v>
      </c>
    </row>
    <row r="25156">
      <c r="A25156" s="48" t="s">
        <v>1930</v>
      </c>
      <c r="B25156" s="38">
        <v>28351.0</v>
      </c>
      <c r="C25156" s="38" t="s">
        <v>29658</v>
      </c>
      <c r="D25156" s="38" t="str">
        <f>IFERROR(__xludf.DUMMYFUNCTION("REGEXREPLACE(C25156,""-\d+(.*)|--\d+(.*)"","""")"),"SAINT-MAIXME-HAUTERIVE")</f>
        <v>SAINT-MAIXME-HAUTERIVE</v>
      </c>
      <c r="E25156" s="38" t="s">
        <v>300</v>
      </c>
      <c r="F25156" s="38" t="s">
        <v>123</v>
      </c>
      <c r="G25156" s="49" t="str">
        <f t="shared" si="1"/>
        <v>28170</v>
      </c>
      <c r="H25156" s="49">
        <f t="shared" si="2"/>
        <v>28351</v>
      </c>
    </row>
    <row r="25157">
      <c r="A25157" s="48" t="s">
        <v>2465</v>
      </c>
      <c r="B25157" s="38">
        <v>35248.0</v>
      </c>
      <c r="C25157" s="38" t="s">
        <v>29659</v>
      </c>
      <c r="D25157" s="38" t="str">
        <f>IFERROR(__xludf.DUMMYFUNCTION("REGEXREPLACE(C25157,""-\d+(.*)|--\d+(.*)"","""")"),"SAINS")</f>
        <v>SAINS</v>
      </c>
      <c r="E25157" s="38" t="s">
        <v>347</v>
      </c>
      <c r="F25157" s="38" t="s">
        <v>90</v>
      </c>
      <c r="G25157" s="49" t="str">
        <f t="shared" si="1"/>
        <v>35610</v>
      </c>
      <c r="H25157" s="49">
        <f t="shared" si="2"/>
        <v>35248</v>
      </c>
    </row>
    <row r="25158">
      <c r="A25158" s="48" t="s">
        <v>10212</v>
      </c>
      <c r="B25158" s="38">
        <v>74204.0</v>
      </c>
      <c r="C25158" s="38" t="s">
        <v>29660</v>
      </c>
      <c r="D25158" s="38" t="str">
        <f>IFERROR(__xludf.DUMMYFUNCTION("REGEXREPLACE(C25158,""-\d+(.*)|--\d+(.*)"","""")"),"LES OLLIERES")</f>
        <v>LES OLLIERES</v>
      </c>
      <c r="E25158" s="38" t="s">
        <v>319</v>
      </c>
      <c r="F25158" s="38" t="s">
        <v>102</v>
      </c>
      <c r="G25158" s="49" t="str">
        <f t="shared" si="1"/>
        <v>74370</v>
      </c>
      <c r="H25158" s="49">
        <f t="shared" si="2"/>
        <v>74204</v>
      </c>
    </row>
    <row r="25159">
      <c r="A25159" s="48" t="s">
        <v>12573</v>
      </c>
      <c r="B25159" s="38">
        <v>7239.0</v>
      </c>
      <c r="C25159" s="38" t="s">
        <v>29661</v>
      </c>
      <c r="D25159" s="38" t="str">
        <f>IFERROR(__xludf.DUMMYFUNCTION("REGEXREPLACE(C25159,""-\d+(.*)|--\d+(.*)"","""")"),"SAINT-GENEST-LACHAMP")</f>
        <v>SAINT-GENEST-LACHAMP</v>
      </c>
      <c r="E25159" s="38" t="s">
        <v>144</v>
      </c>
      <c r="F25159" s="38" t="s">
        <v>102</v>
      </c>
      <c r="G25159" s="49" t="str">
        <f t="shared" si="1"/>
        <v>07190</v>
      </c>
      <c r="H25159" s="49" t="str">
        <f t="shared" si="2"/>
        <v>07239</v>
      </c>
    </row>
    <row r="25160">
      <c r="A25160" s="48" t="s">
        <v>13139</v>
      </c>
      <c r="B25160" s="38">
        <v>62095.0</v>
      </c>
      <c r="C25160" s="38" t="s">
        <v>29662</v>
      </c>
      <c r="D25160" s="38" t="str">
        <f>IFERROR(__xludf.DUMMYFUNCTION("REGEXREPLACE(C25160,""-\d+(.*)|--\d+(.*)"","""")"),"BEAUMETZ-LES-AIRE")</f>
        <v>BEAUMETZ-LES-AIRE</v>
      </c>
      <c r="E25160" s="38" t="s">
        <v>109</v>
      </c>
      <c r="F25160" s="38" t="s">
        <v>86</v>
      </c>
      <c r="G25160" s="49" t="str">
        <f t="shared" si="1"/>
        <v>62960</v>
      </c>
      <c r="H25160" s="49">
        <f t="shared" si="2"/>
        <v>62095</v>
      </c>
    </row>
    <row r="25161">
      <c r="A25161" s="48" t="s">
        <v>13605</v>
      </c>
      <c r="B25161" s="38">
        <v>49279.0</v>
      </c>
      <c r="C25161" s="38" t="s">
        <v>29663</v>
      </c>
      <c r="D25161" s="38" t="str">
        <f>IFERROR(__xludf.DUMMYFUNCTION("REGEXREPLACE(C25161,""-\d+(.*)|--\d+(.*)"","""")"),"SAINT-GEORGES-DES-SEPT-VOIES")</f>
        <v>SAINT-GEORGES-DES-SEPT-VOIES</v>
      </c>
      <c r="E25161" s="38" t="s">
        <v>653</v>
      </c>
      <c r="F25161" s="38" t="s">
        <v>180</v>
      </c>
      <c r="G25161" s="49" t="str">
        <f t="shared" si="1"/>
        <v>49350</v>
      </c>
      <c r="H25161" s="49">
        <f t="shared" si="2"/>
        <v>49279</v>
      </c>
    </row>
    <row r="25162">
      <c r="A25162" s="48" t="s">
        <v>17266</v>
      </c>
      <c r="B25162" s="38">
        <v>59406.0</v>
      </c>
      <c r="C25162" s="38" t="s">
        <v>29664</v>
      </c>
      <c r="D25162" s="38" t="str">
        <f>IFERROR(__xludf.DUMMYFUNCTION("REGEXREPLACE(C25162,""-\d+(.*)|--\d+(.*)"","""")"),"MONCEAU-SAINT-WAAST")</f>
        <v>MONCEAU-SAINT-WAAST</v>
      </c>
      <c r="E25162" s="38" t="s">
        <v>85</v>
      </c>
      <c r="F25162" s="38" t="s">
        <v>86</v>
      </c>
      <c r="G25162" s="49" t="str">
        <f t="shared" si="1"/>
        <v>59620</v>
      </c>
      <c r="H25162" s="49">
        <f t="shared" si="2"/>
        <v>59406</v>
      </c>
    </row>
    <row r="25163">
      <c r="A25163" s="48" t="s">
        <v>29665</v>
      </c>
      <c r="B25163" s="38">
        <v>14118.0</v>
      </c>
      <c r="C25163" s="38" t="s">
        <v>29666</v>
      </c>
      <c r="D25163" s="38" t="str">
        <f>IFERROR(__xludf.DUMMYFUNCTION("REGEXREPLACE(C25163,""-\d+(.*)|--\d+(.*)"","""")"),"CAEN")</f>
        <v>CAEN</v>
      </c>
      <c r="E25163" s="38" t="s">
        <v>137</v>
      </c>
      <c r="F25163" s="38" t="s">
        <v>138</v>
      </c>
      <c r="G25163" s="49" t="str">
        <f t="shared" si="1"/>
        <v>14000</v>
      </c>
      <c r="H25163" s="49">
        <f t="shared" si="2"/>
        <v>14118</v>
      </c>
    </row>
    <row r="25164">
      <c r="A25164" s="48" t="s">
        <v>239</v>
      </c>
      <c r="B25164" s="38">
        <v>27695.0</v>
      </c>
      <c r="C25164" s="38" t="s">
        <v>29667</v>
      </c>
      <c r="D25164" s="38" t="str">
        <f>IFERROR(__xludf.DUMMYFUNCTION("REGEXREPLACE(C25164,""-\d+(.*)|--\d+(.*)"","""")"),"VILLEZ-SUR-LE-NEUBOURG")</f>
        <v>VILLEZ-SUR-LE-NEUBOURG</v>
      </c>
      <c r="E25164" s="38" t="s">
        <v>241</v>
      </c>
      <c r="F25164" s="38" t="s">
        <v>134</v>
      </c>
      <c r="G25164" s="49" t="str">
        <f t="shared" si="1"/>
        <v>27110</v>
      </c>
      <c r="H25164" s="49">
        <f t="shared" si="2"/>
        <v>27695</v>
      </c>
    </row>
    <row r="25165">
      <c r="A25165" s="48" t="s">
        <v>16965</v>
      </c>
      <c r="B25165" s="38">
        <v>24560.0</v>
      </c>
      <c r="C25165" s="38" t="s">
        <v>29668</v>
      </c>
      <c r="D25165" s="38" t="str">
        <f>IFERROR(__xludf.DUMMYFUNCTION("REGEXREPLACE(C25165,""-\d+(.*)|--\d+(.*)"","""")"),"URVAL")</f>
        <v>URVAL</v>
      </c>
      <c r="E25165" s="38" t="s">
        <v>261</v>
      </c>
      <c r="F25165" s="38" t="s">
        <v>252</v>
      </c>
      <c r="G25165" s="49" t="str">
        <f t="shared" si="1"/>
        <v>24480</v>
      </c>
      <c r="H25165" s="49">
        <f t="shared" si="2"/>
        <v>24560</v>
      </c>
    </row>
    <row r="25166">
      <c r="A25166" s="48" t="s">
        <v>6125</v>
      </c>
      <c r="B25166" s="38">
        <v>38226.0</v>
      </c>
      <c r="C25166" s="38" t="s">
        <v>29669</v>
      </c>
      <c r="D25166" s="38" t="str">
        <f>IFERROR(__xludf.DUMMYFUNCTION("REGEXREPLACE(C25166,""-\d+(.*)|--\d+(.*)"","""")"),"MENS")</f>
        <v>MENS</v>
      </c>
      <c r="E25166" s="38" t="s">
        <v>101</v>
      </c>
      <c r="F25166" s="38" t="s">
        <v>102</v>
      </c>
      <c r="G25166" s="49" t="str">
        <f t="shared" si="1"/>
        <v>38710</v>
      </c>
      <c r="H25166" s="49">
        <f t="shared" si="2"/>
        <v>38226</v>
      </c>
    </row>
    <row r="25167">
      <c r="A25167" s="48" t="s">
        <v>29271</v>
      </c>
      <c r="B25167" s="38">
        <v>9127.0</v>
      </c>
      <c r="C25167" s="38" t="s">
        <v>29670</v>
      </c>
      <c r="D25167" s="38" t="str">
        <f>IFERROR(__xludf.DUMMYFUNCTION("REGEXREPLACE(C25167,""-\d+(.*)|--\d+(.*)"","""")"),"GABRE")</f>
        <v>GABRE</v>
      </c>
      <c r="E25167" s="38" t="s">
        <v>238</v>
      </c>
      <c r="F25167" s="38" t="s">
        <v>94</v>
      </c>
      <c r="G25167" s="49" t="str">
        <f t="shared" si="1"/>
        <v>09290</v>
      </c>
      <c r="H25167" s="49" t="str">
        <f t="shared" si="2"/>
        <v>09127</v>
      </c>
    </row>
    <row r="25168">
      <c r="A25168" s="48" t="s">
        <v>5203</v>
      </c>
      <c r="B25168" s="38">
        <v>88136.0</v>
      </c>
      <c r="C25168" s="38" t="s">
        <v>29671</v>
      </c>
      <c r="D25168" s="38" t="str">
        <f>IFERROR(__xludf.DUMMYFUNCTION("REGEXREPLACE(C25168,""-\d+(.*)|--\d+(.*)"","""")"),"DOGNEVILLE")</f>
        <v>DOGNEVILLE</v>
      </c>
      <c r="E25168" s="38" t="s">
        <v>194</v>
      </c>
      <c r="F25168" s="38" t="s">
        <v>195</v>
      </c>
      <c r="G25168" s="49" t="str">
        <f t="shared" si="1"/>
        <v>88000</v>
      </c>
      <c r="H25168" s="49">
        <f t="shared" si="2"/>
        <v>88136</v>
      </c>
    </row>
    <row r="25169">
      <c r="A25169" s="48" t="s">
        <v>438</v>
      </c>
      <c r="B25169" s="38">
        <v>32141.0</v>
      </c>
      <c r="C25169" s="38" t="s">
        <v>29672</v>
      </c>
      <c r="D25169" s="38" t="str">
        <f>IFERROR(__xludf.DUMMYFUNCTION("REGEXREPLACE(C25169,""-\d+(.*)|--\d+(.*)"","""")"),"GAUJAN")</f>
        <v>GAUJAN</v>
      </c>
      <c r="E25169" s="38" t="s">
        <v>440</v>
      </c>
      <c r="F25169" s="38" t="s">
        <v>94</v>
      </c>
      <c r="G25169" s="49" t="str">
        <f t="shared" si="1"/>
        <v>32420</v>
      </c>
      <c r="H25169" s="49">
        <f t="shared" si="2"/>
        <v>32141</v>
      </c>
    </row>
    <row r="25170">
      <c r="A25170" s="48" t="s">
        <v>279</v>
      </c>
      <c r="B25170" s="38">
        <v>40139.0</v>
      </c>
      <c r="C25170" s="38" t="s">
        <v>29673</v>
      </c>
      <c r="D25170" s="38" t="str">
        <f>IFERROR(__xludf.DUMMYFUNCTION("REGEXREPLACE(C25170,""-\d+(.*)|--\d+(.*)"","""")"),"LAGLORIEUSE")</f>
        <v>LAGLORIEUSE</v>
      </c>
      <c r="E25170" s="38" t="s">
        <v>281</v>
      </c>
      <c r="F25170" s="38" t="s">
        <v>252</v>
      </c>
      <c r="G25170" s="49" t="str">
        <f t="shared" si="1"/>
        <v>40090</v>
      </c>
      <c r="H25170" s="49">
        <f t="shared" si="2"/>
        <v>40139</v>
      </c>
    </row>
    <row r="25171">
      <c r="A25171" s="48" t="s">
        <v>509</v>
      </c>
      <c r="B25171" s="38">
        <v>28392.0</v>
      </c>
      <c r="C25171" s="38" t="s">
        <v>29674</v>
      </c>
      <c r="D25171" s="38" t="str">
        <f>IFERROR(__xludf.DUMMYFUNCTION("REGEXREPLACE(C25171,""-\d+(.*)|--\d+(.*)"","""")"),"TRANCRAINVILLE")</f>
        <v>TRANCRAINVILLE</v>
      </c>
      <c r="E25171" s="38" t="s">
        <v>300</v>
      </c>
      <c r="F25171" s="38" t="s">
        <v>123</v>
      </c>
      <c r="G25171" s="49" t="str">
        <f t="shared" si="1"/>
        <v>28310</v>
      </c>
      <c r="H25171" s="49">
        <f t="shared" si="2"/>
        <v>28392</v>
      </c>
    </row>
    <row r="25172">
      <c r="A25172" s="48" t="s">
        <v>1241</v>
      </c>
      <c r="B25172" s="38">
        <v>71501.0</v>
      </c>
      <c r="C25172" s="38" t="s">
        <v>29675</v>
      </c>
      <c r="D25172" s="38" t="str">
        <f>IFERROR(__xludf.DUMMYFUNCTION("REGEXREPLACE(C25172,""-\d+(.*)|--\d+(.*)"","""")"),"SASSANGY")</f>
        <v>SASSANGY</v>
      </c>
      <c r="E25172" s="38" t="s">
        <v>344</v>
      </c>
      <c r="F25172" s="38" t="s">
        <v>106</v>
      </c>
      <c r="G25172" s="49" t="str">
        <f t="shared" si="1"/>
        <v>71390</v>
      </c>
      <c r="H25172" s="49">
        <f t="shared" si="2"/>
        <v>71501</v>
      </c>
    </row>
    <row r="25173">
      <c r="A25173" s="48" t="s">
        <v>9981</v>
      </c>
      <c r="B25173" s="38">
        <v>59387.0</v>
      </c>
      <c r="C25173" s="38" t="s">
        <v>29676</v>
      </c>
      <c r="D25173" s="38" t="str">
        <f>IFERROR(__xludf.DUMMYFUNCTION("REGEXREPLACE(C25173,""-\d+(.*)|--\d+(.*)"","""")"),"MARQUETTE-EN-OSTREVANT")</f>
        <v>MARQUETTE-EN-OSTREVANT</v>
      </c>
      <c r="E25173" s="38" t="s">
        <v>85</v>
      </c>
      <c r="F25173" s="38" t="s">
        <v>86</v>
      </c>
      <c r="G25173" s="49" t="str">
        <f t="shared" si="1"/>
        <v>59252</v>
      </c>
      <c r="H25173" s="49">
        <f t="shared" si="2"/>
        <v>59387</v>
      </c>
    </row>
    <row r="25174">
      <c r="A25174" s="48" t="s">
        <v>3932</v>
      </c>
      <c r="B25174" s="38">
        <v>61314.0</v>
      </c>
      <c r="C25174" s="38" t="s">
        <v>29677</v>
      </c>
      <c r="D25174" s="38" t="str">
        <f>IFERROR(__xludf.DUMMYFUNCTION("REGEXREPLACE(C25174,""-\d+(.*)|--\d+(.*)"","""")"),"OCCAGNES")</f>
        <v>OCCAGNES</v>
      </c>
      <c r="E25174" s="38" t="s">
        <v>141</v>
      </c>
      <c r="F25174" s="38" t="s">
        <v>138</v>
      </c>
      <c r="G25174" s="49" t="str">
        <f t="shared" si="1"/>
        <v>61200</v>
      </c>
      <c r="H25174" s="49">
        <f t="shared" si="2"/>
        <v>61314</v>
      </c>
    </row>
    <row r="25175">
      <c r="A25175" s="48" t="s">
        <v>8620</v>
      </c>
      <c r="B25175" s="38">
        <v>45164.0</v>
      </c>
      <c r="C25175" s="38" t="s">
        <v>9410</v>
      </c>
      <c r="D25175" s="38" t="str">
        <f>IFERROR(__xludf.DUMMYFUNCTION("REGEXREPLACE(C25175,""-\d+(.*)|--\d+(.*)"","""")"),"GUILLY")</f>
        <v>GUILLY</v>
      </c>
      <c r="E25175" s="38" t="s">
        <v>122</v>
      </c>
      <c r="F25175" s="38" t="s">
        <v>123</v>
      </c>
      <c r="G25175" s="49" t="str">
        <f t="shared" si="1"/>
        <v>45600</v>
      </c>
      <c r="H25175" s="49">
        <f t="shared" si="2"/>
        <v>45164</v>
      </c>
    </row>
    <row r="25176">
      <c r="A25176" s="48" t="s">
        <v>1997</v>
      </c>
      <c r="B25176" s="38">
        <v>21277.0</v>
      </c>
      <c r="C25176" s="38" t="s">
        <v>29678</v>
      </c>
      <c r="D25176" s="38" t="str">
        <f>IFERROR(__xludf.DUMMYFUNCTION("REGEXREPLACE(C25176,""-\d+(.*)|--\d+(.*)"","""")"),"FONTAINE-FRANCAISE")</f>
        <v>FONTAINE-FRANCAISE</v>
      </c>
      <c r="E25176" s="38" t="s">
        <v>105</v>
      </c>
      <c r="F25176" s="38" t="s">
        <v>106</v>
      </c>
      <c r="G25176" s="49" t="str">
        <f t="shared" si="1"/>
        <v>21610</v>
      </c>
      <c r="H25176" s="49">
        <f t="shared" si="2"/>
        <v>21277</v>
      </c>
    </row>
    <row r="25177">
      <c r="A25177" s="48" t="s">
        <v>5212</v>
      </c>
      <c r="B25177" s="38">
        <v>41274.0</v>
      </c>
      <c r="C25177" s="38" t="s">
        <v>29679</v>
      </c>
      <c r="D25177" s="38" t="str">
        <f>IFERROR(__xludf.DUMMYFUNCTION("REGEXREPLACE(C25177,""-\d+(.*)|--\d+(.*)"","""")"),"VILLAVARD")</f>
        <v>VILLAVARD</v>
      </c>
      <c r="E25177" s="38" t="s">
        <v>188</v>
      </c>
      <c r="F25177" s="38" t="s">
        <v>123</v>
      </c>
      <c r="G25177" s="49" t="str">
        <f t="shared" si="1"/>
        <v>41800</v>
      </c>
      <c r="H25177" s="49">
        <f t="shared" si="2"/>
        <v>41274</v>
      </c>
    </row>
    <row r="25178">
      <c r="A25178" s="48" t="s">
        <v>14721</v>
      </c>
      <c r="B25178" s="38">
        <v>27244.0</v>
      </c>
      <c r="C25178" s="38" t="s">
        <v>29680</v>
      </c>
      <c r="D25178" s="38" t="str">
        <f>IFERROR(__xludf.DUMMYFUNCTION("REGEXREPLACE(C25178,""-\d+(.*)|--\d+(.*)"","""")"),"FLANCOURT-CATELON")</f>
        <v>FLANCOURT-CATELON</v>
      </c>
      <c r="E25178" s="38" t="s">
        <v>241</v>
      </c>
      <c r="F25178" s="38" t="s">
        <v>134</v>
      </c>
      <c r="G25178" s="49" t="str">
        <f t="shared" si="1"/>
        <v>27310</v>
      </c>
      <c r="H25178" s="49">
        <f t="shared" si="2"/>
        <v>27244</v>
      </c>
    </row>
    <row r="25179">
      <c r="A25179" s="48" t="s">
        <v>11884</v>
      </c>
      <c r="B25179" s="38">
        <v>37133.0</v>
      </c>
      <c r="C25179" s="38" t="s">
        <v>29681</v>
      </c>
      <c r="D25179" s="38" t="str">
        <f>IFERROR(__xludf.DUMMYFUNCTION("REGEXREPLACE(C25179,""-\d+(.*)|--\d+(.*)"","""")"),"LOCHE-SUR-INDROIS")</f>
        <v>LOCHE-SUR-INDROIS</v>
      </c>
      <c r="E25179" s="38" t="s">
        <v>205</v>
      </c>
      <c r="F25179" s="38" t="s">
        <v>123</v>
      </c>
      <c r="G25179" s="49" t="str">
        <f t="shared" si="1"/>
        <v>37460</v>
      </c>
      <c r="H25179" s="49">
        <f t="shared" si="2"/>
        <v>37133</v>
      </c>
    </row>
    <row r="25180">
      <c r="A25180" s="48" t="s">
        <v>643</v>
      </c>
      <c r="B25180" s="38">
        <v>88260.0</v>
      </c>
      <c r="C25180" s="38" t="s">
        <v>29682</v>
      </c>
      <c r="D25180" s="38" t="str">
        <f>IFERROR(__xludf.DUMMYFUNCTION("REGEXREPLACE(C25180,""-\d+(.*)|--\d+(.*)"","""")"),"LANGLEY")</f>
        <v>LANGLEY</v>
      </c>
      <c r="E25180" s="38" t="s">
        <v>194</v>
      </c>
      <c r="F25180" s="38" t="s">
        <v>195</v>
      </c>
      <c r="G25180" s="49" t="str">
        <f t="shared" si="1"/>
        <v>88130</v>
      </c>
      <c r="H25180" s="49">
        <f t="shared" si="2"/>
        <v>88260</v>
      </c>
    </row>
    <row r="25181">
      <c r="A25181" s="48" t="s">
        <v>4605</v>
      </c>
      <c r="B25181" s="38">
        <v>39078.0</v>
      </c>
      <c r="C25181" s="38" t="s">
        <v>29683</v>
      </c>
      <c r="D25181" s="38" t="str">
        <f>IFERROR(__xludf.DUMMYFUNCTION("REGEXREPLACE(C25181,""-\d+(.*)|--\d+(.*)"","""")"),"BREVANS")</f>
        <v>BREVANS</v>
      </c>
      <c r="E25181" s="38" t="s">
        <v>400</v>
      </c>
      <c r="F25181" s="38" t="s">
        <v>214</v>
      </c>
      <c r="G25181" s="49" t="str">
        <f t="shared" si="1"/>
        <v>39100</v>
      </c>
      <c r="H25181" s="49">
        <f t="shared" si="2"/>
        <v>39078</v>
      </c>
    </row>
    <row r="25182">
      <c r="A25182" s="48" t="s">
        <v>1754</v>
      </c>
      <c r="B25182" s="38">
        <v>14696.0</v>
      </c>
      <c r="C25182" s="38" t="s">
        <v>29684</v>
      </c>
      <c r="D25182" s="38" t="str">
        <f>IFERROR(__xludf.DUMMYFUNCTION("REGEXREPLACE(C25182,""-\d+(.*)|--\d+(.*)"","""")"),"TORTISAMBERT")</f>
        <v>TORTISAMBERT</v>
      </c>
      <c r="E25182" s="38" t="s">
        <v>137</v>
      </c>
      <c r="F25182" s="38" t="s">
        <v>138</v>
      </c>
      <c r="G25182" s="49" t="str">
        <f t="shared" si="1"/>
        <v>14140</v>
      </c>
      <c r="H25182" s="49">
        <f t="shared" si="2"/>
        <v>14696</v>
      </c>
    </row>
    <row r="25183">
      <c r="A25183" s="48" t="s">
        <v>11804</v>
      </c>
      <c r="B25183" s="38">
        <v>85131.0</v>
      </c>
      <c r="C25183" s="38" t="s">
        <v>29685</v>
      </c>
      <c r="D25183" s="38" t="str">
        <f>IFERROR(__xludf.DUMMYFUNCTION("REGEXREPLACE(C25183,""-\d+(.*)|--\d+(.*)"","""")"),"LES MAGNILS-REIGNIERS")</f>
        <v>LES MAGNILS-REIGNIERS</v>
      </c>
      <c r="E25183" s="38" t="s">
        <v>179</v>
      </c>
      <c r="F25183" s="38" t="s">
        <v>180</v>
      </c>
      <c r="G25183" s="49" t="str">
        <f t="shared" si="1"/>
        <v>85400</v>
      </c>
      <c r="H25183" s="49">
        <f t="shared" si="2"/>
        <v>85131</v>
      </c>
    </row>
    <row r="25184">
      <c r="A25184" s="48" t="s">
        <v>2433</v>
      </c>
      <c r="B25184" s="38">
        <v>70409.0</v>
      </c>
      <c r="C25184" s="38" t="s">
        <v>26091</v>
      </c>
      <c r="D25184" s="38" t="str">
        <f>IFERROR(__xludf.DUMMYFUNCTION("REGEXREPLACE(C25184,""-\d+(.*)|--\d+(.*)"","""")"),"PIERRECOURT")</f>
        <v>PIERRECOURT</v>
      </c>
      <c r="E25184" s="38" t="s">
        <v>956</v>
      </c>
      <c r="F25184" s="38" t="s">
        <v>214</v>
      </c>
      <c r="G25184" s="49" t="str">
        <f t="shared" si="1"/>
        <v>70600</v>
      </c>
      <c r="H25184" s="49">
        <f t="shared" si="2"/>
        <v>70409</v>
      </c>
    </row>
    <row r="25185">
      <c r="A25185" s="48" t="s">
        <v>18878</v>
      </c>
      <c r="B25185" s="38">
        <v>14009.0</v>
      </c>
      <c r="C25185" s="38" t="s">
        <v>19145</v>
      </c>
      <c r="D25185" s="38" t="str">
        <f>IFERROR(__xludf.DUMMYFUNCTION("REGEXREPLACE(C25185,""-\d+(.*)|--\d+(.*)"","""")"),"AMFREVILLE")</f>
        <v>AMFREVILLE</v>
      </c>
      <c r="E25185" s="38" t="s">
        <v>137</v>
      </c>
      <c r="F25185" s="38" t="s">
        <v>138</v>
      </c>
      <c r="G25185" s="49" t="str">
        <f t="shared" si="1"/>
        <v>14860</v>
      </c>
      <c r="H25185" s="49">
        <f t="shared" si="2"/>
        <v>14009</v>
      </c>
    </row>
    <row r="25186">
      <c r="A25186" s="48" t="s">
        <v>5787</v>
      </c>
      <c r="B25186" s="38">
        <v>19161.0</v>
      </c>
      <c r="C25186" s="38" t="s">
        <v>29686</v>
      </c>
      <c r="D25186" s="38" t="str">
        <f>IFERROR(__xludf.DUMMYFUNCTION("REGEXREPLACE(C25186,""-\d+(.*)|--\d+(.*)"","""")"),"PERPEZAC-LE-BLANC")</f>
        <v>PERPEZAC-LE-BLANC</v>
      </c>
      <c r="E25186" s="38" t="s">
        <v>271</v>
      </c>
      <c r="F25186" s="38" t="s">
        <v>98</v>
      </c>
      <c r="G25186" s="49" t="str">
        <f t="shared" si="1"/>
        <v>19310</v>
      </c>
      <c r="H25186" s="49">
        <f t="shared" si="2"/>
        <v>19161</v>
      </c>
    </row>
    <row r="25187">
      <c r="A25187" s="48" t="s">
        <v>6818</v>
      </c>
      <c r="B25187" s="38">
        <v>40203.0</v>
      </c>
      <c r="C25187" s="38" t="s">
        <v>29687</v>
      </c>
      <c r="D25187" s="38" t="str">
        <f>IFERROR(__xludf.DUMMYFUNCTION("REGEXREPLACE(C25187,""-\d+(.*)|--\d+(.*)"","""")"),"NASSIET")</f>
        <v>NASSIET</v>
      </c>
      <c r="E25187" s="38" t="s">
        <v>281</v>
      </c>
      <c r="F25187" s="38" t="s">
        <v>252</v>
      </c>
      <c r="G25187" s="49" t="str">
        <f t="shared" si="1"/>
        <v>40330</v>
      </c>
      <c r="H25187" s="49">
        <f t="shared" si="2"/>
        <v>40203</v>
      </c>
    </row>
    <row r="25188">
      <c r="A25188" s="48" t="s">
        <v>537</v>
      </c>
      <c r="B25188" s="38">
        <v>38561.0</v>
      </c>
      <c r="C25188" s="38" t="s">
        <v>29688</v>
      </c>
      <c r="D25188" s="38" t="str">
        <f>IFERROR(__xludf.DUMMYFUNCTION("REGEXREPLACE(C25188,""-\d+(.*)|--\d+(.*)"","""")"),"VIRIVILLE")</f>
        <v>VIRIVILLE</v>
      </c>
      <c r="E25188" s="38" t="s">
        <v>101</v>
      </c>
      <c r="F25188" s="38" t="s">
        <v>102</v>
      </c>
      <c r="G25188" s="49" t="str">
        <f t="shared" si="1"/>
        <v>38980</v>
      </c>
      <c r="H25188" s="49">
        <f t="shared" si="2"/>
        <v>38561</v>
      </c>
    </row>
    <row r="25189">
      <c r="A25189" s="48" t="s">
        <v>9795</v>
      </c>
      <c r="B25189" s="38">
        <v>33160.0</v>
      </c>
      <c r="C25189" s="38" t="s">
        <v>29689</v>
      </c>
      <c r="D25189" s="38" t="str">
        <f>IFERROR(__xludf.DUMMYFUNCTION("REGEXREPLACE(C25189,""-\d+(.*)|--\d+(.*)"","""")"),"EYNESSE")</f>
        <v>EYNESSE</v>
      </c>
      <c r="E25189" s="38" t="s">
        <v>462</v>
      </c>
      <c r="F25189" s="38" t="s">
        <v>252</v>
      </c>
      <c r="G25189" s="49" t="str">
        <f t="shared" si="1"/>
        <v>33220</v>
      </c>
      <c r="H25189" s="49">
        <f t="shared" si="2"/>
        <v>33160</v>
      </c>
    </row>
    <row r="25190">
      <c r="A25190" s="48" t="s">
        <v>124</v>
      </c>
      <c r="B25190" s="38">
        <v>26338.0</v>
      </c>
      <c r="C25190" s="38" t="s">
        <v>4645</v>
      </c>
      <c r="D25190" s="38" t="str">
        <f>IFERROR(__xludf.DUMMYFUNCTION("REGEXREPLACE(C25190,""-\d+(.*)|--\d+(.*)"","""")"),"SAUZET")</f>
        <v>SAUZET</v>
      </c>
      <c r="E25190" s="38" t="s">
        <v>126</v>
      </c>
      <c r="F25190" s="38" t="s">
        <v>102</v>
      </c>
      <c r="G25190" s="49" t="str">
        <f t="shared" si="1"/>
        <v>26740</v>
      </c>
      <c r="H25190" s="49">
        <f t="shared" si="2"/>
        <v>26338</v>
      </c>
    </row>
    <row r="25191">
      <c r="A25191" s="48" t="s">
        <v>29690</v>
      </c>
      <c r="B25191" s="38">
        <v>11379.0</v>
      </c>
      <c r="C25191" s="38" t="s">
        <v>29691</v>
      </c>
      <c r="D25191" s="38" t="str">
        <f>IFERROR(__xludf.DUMMYFUNCTION("REGEXREPLACE(C25191,""-\d+(.*)|--\d+(.*)"","""")"),"SIGEAN")</f>
        <v>SIGEAN</v>
      </c>
      <c r="E25191" s="38" t="s">
        <v>278</v>
      </c>
      <c r="F25191" s="38" t="s">
        <v>119</v>
      </c>
      <c r="G25191" s="49" t="str">
        <f t="shared" si="1"/>
        <v>11130</v>
      </c>
      <c r="H25191" s="49">
        <f t="shared" si="2"/>
        <v>11379</v>
      </c>
    </row>
    <row r="25192">
      <c r="A25192" s="48" t="s">
        <v>1940</v>
      </c>
      <c r="B25192" s="38">
        <v>51432.0</v>
      </c>
      <c r="C25192" s="38" t="s">
        <v>29692</v>
      </c>
      <c r="D25192" s="38" t="str">
        <f>IFERROR(__xludf.DUMMYFUNCTION("REGEXREPLACE(C25192,""-\d+(.*)|--\d+(.*)"","""")"),"PLEURS")</f>
        <v>PLEURS</v>
      </c>
      <c r="E25192" s="38" t="s">
        <v>129</v>
      </c>
      <c r="F25192" s="38" t="s">
        <v>130</v>
      </c>
      <c r="G25192" s="49" t="str">
        <f t="shared" si="1"/>
        <v>51230</v>
      </c>
      <c r="H25192" s="49">
        <f t="shared" si="2"/>
        <v>51432</v>
      </c>
    </row>
    <row r="25193">
      <c r="A25193" s="48" t="s">
        <v>9138</v>
      </c>
      <c r="B25193" s="38">
        <v>80488.0</v>
      </c>
      <c r="C25193" s="38" t="s">
        <v>29693</v>
      </c>
      <c r="D25193" s="38" t="str">
        <f>IFERROR(__xludf.DUMMYFUNCTION("REGEXREPLACE(C25193,""-\d+(.*)|--\d+(.*)"","""")"),"LONGPRE-LES-CORPS-SAINTS")</f>
        <v>LONGPRE-LES-CORPS-SAINTS</v>
      </c>
      <c r="E25193" s="38" t="s">
        <v>224</v>
      </c>
      <c r="F25193" s="38" t="s">
        <v>113</v>
      </c>
      <c r="G25193" s="49" t="str">
        <f t="shared" si="1"/>
        <v>80510</v>
      </c>
      <c r="H25193" s="49">
        <f t="shared" si="2"/>
        <v>80488</v>
      </c>
    </row>
    <row r="25194">
      <c r="A25194" s="48" t="s">
        <v>3266</v>
      </c>
      <c r="B25194" s="38">
        <v>55214.0</v>
      </c>
      <c r="C25194" s="38" t="s">
        <v>29694</v>
      </c>
      <c r="D25194" s="38" t="str">
        <f>IFERROR(__xludf.DUMMYFUNCTION("REGEXREPLACE(C25194,""-\d+(.*)|--\d+(.*)"","""")"),"GIVRAUVAL")</f>
        <v>GIVRAUVAL</v>
      </c>
      <c r="E25194" s="38" t="s">
        <v>322</v>
      </c>
      <c r="F25194" s="38" t="s">
        <v>195</v>
      </c>
      <c r="G25194" s="49" t="str">
        <f t="shared" si="1"/>
        <v>55500</v>
      </c>
      <c r="H25194" s="49">
        <f t="shared" si="2"/>
        <v>55214</v>
      </c>
    </row>
    <row r="25195">
      <c r="A25195" s="48" t="s">
        <v>17340</v>
      </c>
      <c r="B25195" s="38">
        <v>62099.0</v>
      </c>
      <c r="C25195" s="38" t="s">
        <v>29695</v>
      </c>
      <c r="D25195" s="38" t="str">
        <f>IFERROR(__xludf.DUMMYFUNCTION("REGEXREPLACE(C25195,""-\d+(.*)|--\d+(.*)"","""")"),"BEAURAINS")</f>
        <v>BEAURAINS</v>
      </c>
      <c r="E25195" s="38" t="s">
        <v>109</v>
      </c>
      <c r="F25195" s="38" t="s">
        <v>86</v>
      </c>
      <c r="G25195" s="49" t="str">
        <f t="shared" si="1"/>
        <v>62217</v>
      </c>
      <c r="H25195" s="49">
        <f t="shared" si="2"/>
        <v>62099</v>
      </c>
    </row>
    <row r="25196">
      <c r="A25196" s="48" t="s">
        <v>14148</v>
      </c>
      <c r="B25196" s="38">
        <v>31033.0</v>
      </c>
      <c r="C25196" s="38" t="s">
        <v>14836</v>
      </c>
      <c r="D25196" s="38" t="str">
        <f>IFERROR(__xludf.DUMMYFUNCTION("REGEXREPLACE(C25196,""-\d+(.*)|--\d+(.*)"","""")"),"AUTERIVE")</f>
        <v>AUTERIVE</v>
      </c>
      <c r="E25196" s="38" t="s">
        <v>93</v>
      </c>
      <c r="F25196" s="38" t="s">
        <v>94</v>
      </c>
      <c r="G25196" s="49" t="str">
        <f t="shared" si="1"/>
        <v>31190</v>
      </c>
      <c r="H25196" s="49">
        <f t="shared" si="2"/>
        <v>31033</v>
      </c>
    </row>
    <row r="25197">
      <c r="A25197" s="48" t="s">
        <v>1180</v>
      </c>
      <c r="B25197" s="38">
        <v>60565.0</v>
      </c>
      <c r="C25197" s="38" t="s">
        <v>29696</v>
      </c>
      <c r="D25197" s="38" t="str">
        <f>IFERROR(__xludf.DUMMYFUNCTION("REGEXREPLACE(C25197,""-\d+(.*)|--\d+(.*)"","""")"),"SAINT-ANDRE-FARIVILLERS")</f>
        <v>SAINT-ANDRE-FARIVILLERS</v>
      </c>
      <c r="E25197" s="38" t="s">
        <v>112</v>
      </c>
      <c r="F25197" s="38" t="s">
        <v>113</v>
      </c>
      <c r="G25197" s="49" t="str">
        <f t="shared" si="1"/>
        <v>60480</v>
      </c>
      <c r="H25197" s="49">
        <f t="shared" si="2"/>
        <v>60565</v>
      </c>
    </row>
    <row r="25198">
      <c r="A25198" s="48" t="s">
        <v>12826</v>
      </c>
      <c r="B25198" s="38">
        <v>45118.0</v>
      </c>
      <c r="C25198" s="38" t="s">
        <v>29697</v>
      </c>
      <c r="D25198" s="38" t="str">
        <f>IFERROR(__xludf.DUMMYFUNCTION("REGEXREPLACE(C25198,""-\d+(.*)|--\d+(.*)"","""")"),"CROTTES-EN-PITHIVERAIS")</f>
        <v>CROTTES-EN-PITHIVERAIS</v>
      </c>
      <c r="E25198" s="38" t="s">
        <v>122</v>
      </c>
      <c r="F25198" s="38" t="s">
        <v>123</v>
      </c>
      <c r="G25198" s="49" t="str">
        <f t="shared" si="1"/>
        <v>45170</v>
      </c>
      <c r="H25198" s="49">
        <f t="shared" si="2"/>
        <v>45118</v>
      </c>
    </row>
    <row r="25199">
      <c r="A25199" s="48" t="s">
        <v>3574</v>
      </c>
      <c r="B25199" s="38">
        <v>19279.0</v>
      </c>
      <c r="C25199" s="38" t="s">
        <v>29698</v>
      </c>
      <c r="D25199" s="38" t="str">
        <f>IFERROR(__xludf.DUMMYFUNCTION("REGEXREPLACE(C25199,""-\d+(.*)|--\d+(.*)"","""")"),"VARS-SUR-ROSEIX")</f>
        <v>VARS-SUR-ROSEIX</v>
      </c>
      <c r="E25199" s="38" t="s">
        <v>271</v>
      </c>
      <c r="F25199" s="38" t="s">
        <v>98</v>
      </c>
      <c r="G25199" s="49" t="str">
        <f t="shared" si="1"/>
        <v>19130</v>
      </c>
      <c r="H25199" s="49">
        <f t="shared" si="2"/>
        <v>19279</v>
      </c>
    </row>
    <row r="25200">
      <c r="A25200" s="48" t="s">
        <v>29699</v>
      </c>
      <c r="B25200" s="38">
        <v>63133.0</v>
      </c>
      <c r="C25200" s="38" t="s">
        <v>29700</v>
      </c>
      <c r="D25200" s="38" t="str">
        <f>IFERROR(__xludf.DUMMYFUNCTION("REGEXREPLACE(C25200,""-\d+(.*)|--\d+(.*)"","""")"),"DALLET")</f>
        <v>DALLET</v>
      </c>
      <c r="E25200" s="38" t="s">
        <v>353</v>
      </c>
      <c r="F25200" s="38" t="s">
        <v>161</v>
      </c>
      <c r="G25200" s="49" t="str">
        <f t="shared" si="1"/>
        <v>63111</v>
      </c>
      <c r="H25200" s="49">
        <f t="shared" si="2"/>
        <v>63133</v>
      </c>
    </row>
    <row r="25201">
      <c r="A25201" s="48" t="s">
        <v>13129</v>
      </c>
      <c r="B25201" s="38">
        <v>24260.0</v>
      </c>
      <c r="C25201" s="38" t="s">
        <v>29701</v>
      </c>
      <c r="D25201" s="38" t="str">
        <f>IFERROR(__xludf.DUMMYFUNCTION("REGEXREPLACE(C25201,""-\d+(.*)|--\d+(.*)"","""")"),"MAUZAC-ET-GRAND-CASTANG")</f>
        <v>MAUZAC-ET-GRAND-CASTANG</v>
      </c>
      <c r="E25201" s="38" t="s">
        <v>261</v>
      </c>
      <c r="F25201" s="38" t="s">
        <v>252</v>
      </c>
      <c r="G25201" s="49" t="str">
        <f t="shared" si="1"/>
        <v>24150</v>
      </c>
      <c r="H25201" s="49">
        <f t="shared" si="2"/>
        <v>24260</v>
      </c>
    </row>
    <row r="25202">
      <c r="A25202" s="48" t="s">
        <v>29702</v>
      </c>
      <c r="B25202" s="38">
        <v>29019.0</v>
      </c>
      <c r="C25202" s="38" t="s">
        <v>29703</v>
      </c>
      <c r="D25202" s="38" t="str">
        <f>IFERROR(__xludf.DUMMYFUNCTION("REGEXREPLACE(C25202,""-\d+(.*)|--\d+(.*)"","""")"),"BREST")</f>
        <v>BREST</v>
      </c>
      <c r="E25202" s="38" t="s">
        <v>176</v>
      </c>
      <c r="F25202" s="38" t="s">
        <v>90</v>
      </c>
      <c r="G25202" s="49" t="str">
        <f t="shared" si="1"/>
        <v>29200</v>
      </c>
      <c r="H25202" s="49">
        <f t="shared" si="2"/>
        <v>29019</v>
      </c>
    </row>
    <row r="25203">
      <c r="A25203" s="48" t="s">
        <v>10677</v>
      </c>
      <c r="B25203" s="38">
        <v>29111.0</v>
      </c>
      <c r="C25203" s="38" t="s">
        <v>29704</v>
      </c>
      <c r="D25203" s="38" t="str">
        <f>IFERROR(__xludf.DUMMYFUNCTION("REGEXREPLACE(C25203,""-\d+(.*)|--\d+(.*)"","""")"),"LANHOUARNEAU")</f>
        <v>LANHOUARNEAU</v>
      </c>
      <c r="E25203" s="38" t="s">
        <v>176</v>
      </c>
      <c r="F25203" s="38" t="s">
        <v>90</v>
      </c>
      <c r="G25203" s="49" t="str">
        <f t="shared" si="1"/>
        <v>29430</v>
      </c>
      <c r="H25203" s="49">
        <f t="shared" si="2"/>
        <v>29111</v>
      </c>
    </row>
    <row r="25204">
      <c r="A25204" s="48" t="s">
        <v>15501</v>
      </c>
      <c r="B25204" s="38">
        <v>19264.0</v>
      </c>
      <c r="C25204" s="38" t="s">
        <v>29705</v>
      </c>
      <c r="D25204" s="38" t="str">
        <f>IFERROR(__xludf.DUMMYFUNCTION("REGEXREPLACE(C25204,""-\d+(.*)|--\d+(.*)"","""")"),"SOURSAC")</f>
        <v>SOURSAC</v>
      </c>
      <c r="E25204" s="38" t="s">
        <v>271</v>
      </c>
      <c r="F25204" s="38" t="s">
        <v>98</v>
      </c>
      <c r="G25204" s="49" t="str">
        <f t="shared" si="1"/>
        <v>19550</v>
      </c>
      <c r="H25204" s="49">
        <f t="shared" si="2"/>
        <v>19264</v>
      </c>
    </row>
    <row r="25205">
      <c r="A25205" s="48" t="s">
        <v>5127</v>
      </c>
      <c r="B25205" s="38">
        <v>26074.0</v>
      </c>
      <c r="C25205" s="38" t="s">
        <v>29706</v>
      </c>
      <c r="D25205" s="38" t="str">
        <f>IFERROR(__xludf.DUMMYFUNCTION("REGEXREPLACE(C25205,""-\d+(.*)|--\d+(.*)"","""")"),"LA CHAPELLE-EN-VERCORS")</f>
        <v>LA CHAPELLE-EN-VERCORS</v>
      </c>
      <c r="E25205" s="38" t="s">
        <v>126</v>
      </c>
      <c r="F25205" s="38" t="s">
        <v>102</v>
      </c>
      <c r="G25205" s="49" t="str">
        <f t="shared" si="1"/>
        <v>26420</v>
      </c>
      <c r="H25205" s="49">
        <f t="shared" si="2"/>
        <v>26074</v>
      </c>
    </row>
    <row r="25206">
      <c r="A25206" s="48" t="s">
        <v>1332</v>
      </c>
      <c r="B25206" s="38">
        <v>51222.0</v>
      </c>
      <c r="C25206" s="38" t="s">
        <v>29707</v>
      </c>
      <c r="D25206" s="38" t="str">
        <f>IFERROR(__xludf.DUMMYFUNCTION("REGEXREPLACE(C25206,""-\d+(.*)|--\d+(.*)"","""")"),"ECLAIRES")</f>
        <v>ECLAIRES</v>
      </c>
      <c r="E25206" s="38" t="s">
        <v>129</v>
      </c>
      <c r="F25206" s="38" t="s">
        <v>130</v>
      </c>
      <c r="G25206" s="49" t="str">
        <f t="shared" si="1"/>
        <v>51800</v>
      </c>
      <c r="H25206" s="49">
        <f t="shared" si="2"/>
        <v>51222</v>
      </c>
    </row>
    <row r="25207">
      <c r="A25207" s="48" t="s">
        <v>5525</v>
      </c>
      <c r="B25207" s="38">
        <v>10418.0</v>
      </c>
      <c r="C25207" s="38" t="s">
        <v>29708</v>
      </c>
      <c r="D25207" s="38" t="str">
        <f>IFERROR(__xludf.DUMMYFUNCTION("REGEXREPLACE(C25207,""-\d+(.*)|--\d+(.*)"","""")"),"VILLEMORIEN")</f>
        <v>VILLEMORIEN</v>
      </c>
      <c r="E25207" s="38" t="s">
        <v>147</v>
      </c>
      <c r="F25207" s="38" t="s">
        <v>130</v>
      </c>
      <c r="G25207" s="49" t="str">
        <f t="shared" si="1"/>
        <v>10110</v>
      </c>
      <c r="H25207" s="49">
        <f t="shared" si="2"/>
        <v>10418</v>
      </c>
    </row>
    <row r="25208">
      <c r="A25208" s="48" t="s">
        <v>4158</v>
      </c>
      <c r="B25208" s="38">
        <v>38247.0</v>
      </c>
      <c r="C25208" s="38" t="s">
        <v>29709</v>
      </c>
      <c r="D25208" s="38" t="str">
        <f>IFERROR(__xludf.DUMMYFUNCTION("REGEXREPLACE(C25208,""-\d+(.*)|--\d+(.*)"","""")"),"MONTALIEU-VERCIEU")</f>
        <v>MONTALIEU-VERCIEU</v>
      </c>
      <c r="E25208" s="38" t="s">
        <v>101</v>
      </c>
      <c r="F25208" s="38" t="s">
        <v>102</v>
      </c>
      <c r="G25208" s="49" t="str">
        <f t="shared" si="1"/>
        <v>38390</v>
      </c>
      <c r="H25208" s="49">
        <f t="shared" si="2"/>
        <v>38247</v>
      </c>
    </row>
    <row r="25209">
      <c r="A25209" s="48" t="s">
        <v>6557</v>
      </c>
      <c r="B25209" s="38">
        <v>82005.0</v>
      </c>
      <c r="C25209" s="38" t="s">
        <v>28654</v>
      </c>
      <c r="D25209" s="38" t="str">
        <f>IFERROR(__xludf.DUMMYFUNCTION("REGEXREPLACE(C25209,""-\d+(.*)|--\d+(.*)"","""")"),"AUCAMVILLE")</f>
        <v>AUCAMVILLE</v>
      </c>
      <c r="E25209" s="38" t="s">
        <v>570</v>
      </c>
      <c r="F25209" s="38" t="s">
        <v>94</v>
      </c>
      <c r="G25209" s="49" t="str">
        <f t="shared" si="1"/>
        <v>82600</v>
      </c>
      <c r="H25209" s="49">
        <f t="shared" si="2"/>
        <v>82005</v>
      </c>
    </row>
    <row r="25210">
      <c r="A25210" s="48" t="s">
        <v>1358</v>
      </c>
      <c r="B25210" s="38">
        <v>81226.0</v>
      </c>
      <c r="C25210" s="38" t="s">
        <v>29710</v>
      </c>
      <c r="D25210" s="38" t="str">
        <f>IFERROR(__xludf.DUMMYFUNCTION("REGEXREPLACE(C25210,""-\d+(.*)|--\d+(.*)"","""")"),"RONEL")</f>
        <v>RONEL</v>
      </c>
      <c r="E25210" s="38" t="s">
        <v>231</v>
      </c>
      <c r="F25210" s="38" t="s">
        <v>94</v>
      </c>
      <c r="G25210" s="49" t="str">
        <f t="shared" si="1"/>
        <v>81120</v>
      </c>
      <c r="H25210" s="49">
        <f t="shared" si="2"/>
        <v>81226</v>
      </c>
    </row>
    <row r="25211">
      <c r="A25211" s="48" t="s">
        <v>3937</v>
      </c>
      <c r="B25211" s="38">
        <v>18247.0</v>
      </c>
      <c r="C25211" s="38" t="s">
        <v>29711</v>
      </c>
      <c r="D25211" s="38" t="str">
        <f>IFERROR(__xludf.DUMMYFUNCTION("REGEXREPLACE(C25211,""-\d+(.*)|--\d+(.*)"","""")"),"SAVIGNY-EN-SEPTAINE")</f>
        <v>SAVIGNY-EN-SEPTAINE</v>
      </c>
      <c r="E25211" s="38" t="s">
        <v>504</v>
      </c>
      <c r="F25211" s="38" t="s">
        <v>123</v>
      </c>
      <c r="G25211" s="49" t="str">
        <f t="shared" si="1"/>
        <v>18390</v>
      </c>
      <c r="H25211" s="49">
        <f t="shared" si="2"/>
        <v>18247</v>
      </c>
    </row>
    <row r="25212">
      <c r="A25212" s="48" t="s">
        <v>9871</v>
      </c>
      <c r="B25212" s="38">
        <v>22182.0</v>
      </c>
      <c r="C25212" s="38" t="s">
        <v>29712</v>
      </c>
      <c r="D25212" s="38" t="str">
        <f>IFERROR(__xludf.DUMMYFUNCTION("REGEXREPLACE(C25212,""-\d+(.*)|--\d+(.*)"","""")"),"PLELO")</f>
        <v>PLELO</v>
      </c>
      <c r="E25212" s="38" t="s">
        <v>89</v>
      </c>
      <c r="F25212" s="38" t="s">
        <v>90</v>
      </c>
      <c r="G25212" s="49" t="str">
        <f t="shared" si="1"/>
        <v>22170</v>
      </c>
      <c r="H25212" s="49">
        <f t="shared" si="2"/>
        <v>22182</v>
      </c>
    </row>
    <row r="25213">
      <c r="A25213" s="48" t="s">
        <v>9376</v>
      </c>
      <c r="B25213" s="38">
        <v>14194.0</v>
      </c>
      <c r="C25213" s="38" t="s">
        <v>29713</v>
      </c>
      <c r="D25213" s="38" t="str">
        <f>IFERROR(__xludf.DUMMYFUNCTION("REGEXREPLACE(C25213,""-\d+(.*)|--\d+(.*)"","""")"),"COURTONNE-LES-DEUX-EGLISES")</f>
        <v>COURTONNE-LES-DEUX-EGLISES</v>
      </c>
      <c r="E25213" s="38" t="s">
        <v>137</v>
      </c>
      <c r="F25213" s="38" t="s">
        <v>138</v>
      </c>
      <c r="G25213" s="49" t="str">
        <f t="shared" si="1"/>
        <v>14290</v>
      </c>
      <c r="H25213" s="49">
        <f t="shared" si="2"/>
        <v>14194</v>
      </c>
    </row>
    <row r="25214">
      <c r="A25214" s="48" t="s">
        <v>8964</v>
      </c>
      <c r="B25214" s="38">
        <v>70295.0</v>
      </c>
      <c r="C25214" s="38" t="s">
        <v>29714</v>
      </c>
      <c r="D25214" s="38" t="str">
        <f>IFERROR(__xludf.DUMMYFUNCTION("REGEXREPLACE(C25214,""-\d+(.*)|--\d+(.*)"","""")"),"LA LANTERNE-ET-LES-ARMONTS")</f>
        <v>LA LANTERNE-ET-LES-ARMONTS</v>
      </c>
      <c r="E25214" s="38" t="s">
        <v>956</v>
      </c>
      <c r="F25214" s="38" t="s">
        <v>214</v>
      </c>
      <c r="G25214" s="49" t="str">
        <f t="shared" si="1"/>
        <v>70270</v>
      </c>
      <c r="H25214" s="49">
        <f t="shared" si="2"/>
        <v>70295</v>
      </c>
    </row>
    <row r="25215">
      <c r="A25215" s="48" t="s">
        <v>748</v>
      </c>
      <c r="B25215" s="38">
        <v>60166.0</v>
      </c>
      <c r="C25215" s="38" t="s">
        <v>29715</v>
      </c>
      <c r="D25215" s="38" t="str">
        <f>IFERROR(__xludf.DUMMYFUNCTION("REGEXREPLACE(C25215,""-\d+(.*)|--\d+(.*)"","""")"),"COUDUN")</f>
        <v>COUDUN</v>
      </c>
      <c r="E25215" s="38" t="s">
        <v>112</v>
      </c>
      <c r="F25215" s="38" t="s">
        <v>113</v>
      </c>
      <c r="G25215" s="49" t="str">
        <f t="shared" si="1"/>
        <v>60150</v>
      </c>
      <c r="H25215" s="49">
        <f t="shared" si="2"/>
        <v>60166</v>
      </c>
    </row>
    <row r="25216">
      <c r="A25216" s="48" t="s">
        <v>5223</v>
      </c>
      <c r="B25216" s="38">
        <v>65250.0</v>
      </c>
      <c r="C25216" s="38" t="s">
        <v>29716</v>
      </c>
      <c r="D25216" s="38" t="str">
        <f>IFERROR(__xludf.DUMMYFUNCTION("REGEXREPLACE(C25216,""-\d+(.*)|--\d+(.*)"","""")"),"LALANNE-TRIE")</f>
        <v>LALANNE-TRIE</v>
      </c>
      <c r="E25216" s="38" t="s">
        <v>200</v>
      </c>
      <c r="F25216" s="38" t="s">
        <v>94</v>
      </c>
      <c r="G25216" s="49" t="str">
        <f t="shared" si="1"/>
        <v>65220</v>
      </c>
      <c r="H25216" s="49">
        <f t="shared" si="2"/>
        <v>65250</v>
      </c>
    </row>
    <row r="25217">
      <c r="A25217" s="48" t="s">
        <v>4642</v>
      </c>
      <c r="B25217" s="38">
        <v>21601.0</v>
      </c>
      <c r="C25217" s="38" t="s">
        <v>29717</v>
      </c>
      <c r="D25217" s="38" t="str">
        <f>IFERROR(__xludf.DUMMYFUNCTION("REGEXREPLACE(C25217,""-\d+(.*)|--\d+(.*)"","""")"),"SEMEZANGES")</f>
        <v>SEMEZANGES</v>
      </c>
      <c r="E25217" s="38" t="s">
        <v>105</v>
      </c>
      <c r="F25217" s="38" t="s">
        <v>106</v>
      </c>
      <c r="G25217" s="49" t="str">
        <f t="shared" si="1"/>
        <v>21220</v>
      </c>
      <c r="H25217" s="49">
        <f t="shared" si="2"/>
        <v>21601</v>
      </c>
    </row>
    <row r="25218">
      <c r="A25218" s="48" t="s">
        <v>2116</v>
      </c>
      <c r="B25218" s="38">
        <v>26239.0</v>
      </c>
      <c r="C25218" s="38" t="s">
        <v>29718</v>
      </c>
      <c r="D25218" s="38" t="str">
        <f>IFERROR(__xludf.DUMMYFUNCTION("REGEXREPLACE(C25218,""-\d+(.*)|--\d+(.*)"","""")"),"PLAISIANS")</f>
        <v>PLAISIANS</v>
      </c>
      <c r="E25218" s="38" t="s">
        <v>126</v>
      </c>
      <c r="F25218" s="38" t="s">
        <v>102</v>
      </c>
      <c r="G25218" s="49" t="str">
        <f t="shared" si="1"/>
        <v>26170</v>
      </c>
      <c r="H25218" s="49">
        <f t="shared" si="2"/>
        <v>26239</v>
      </c>
    </row>
    <row r="25219">
      <c r="A25219" s="48" t="s">
        <v>5101</v>
      </c>
      <c r="B25219" s="38">
        <v>54130.0</v>
      </c>
      <c r="C25219" s="38" t="s">
        <v>29719</v>
      </c>
      <c r="D25219" s="38" t="str">
        <f>IFERROR(__xludf.DUMMYFUNCTION("REGEXREPLACE(C25219,""-\d+(.*)|--\d+(.*)"","""")"),"CLAYEURES")</f>
        <v>CLAYEURES</v>
      </c>
      <c r="E25219" s="38" t="s">
        <v>548</v>
      </c>
      <c r="F25219" s="38" t="s">
        <v>195</v>
      </c>
      <c r="G25219" s="49" t="str">
        <f t="shared" si="1"/>
        <v>54290</v>
      </c>
      <c r="H25219" s="49">
        <f t="shared" si="2"/>
        <v>54130</v>
      </c>
    </row>
    <row r="25220">
      <c r="A25220" s="48" t="s">
        <v>3400</v>
      </c>
      <c r="B25220" s="38">
        <v>89117.0</v>
      </c>
      <c r="C25220" s="38" t="s">
        <v>29720</v>
      </c>
      <c r="D25220" s="38" t="str">
        <f>IFERROR(__xludf.DUMMYFUNCTION("REGEXREPLACE(C25220,""-\d+(.*)|--\d+(.*)"","""")"),"COULANGERON")</f>
        <v>COULANGERON</v>
      </c>
      <c r="E25220" s="38" t="s">
        <v>275</v>
      </c>
      <c r="F25220" s="38" t="s">
        <v>106</v>
      </c>
      <c r="G25220" s="49" t="str">
        <f t="shared" si="1"/>
        <v>89580</v>
      </c>
      <c r="H25220" s="49">
        <f t="shared" si="2"/>
        <v>89117</v>
      </c>
    </row>
    <row r="25221">
      <c r="A25221" s="48" t="s">
        <v>1272</v>
      </c>
      <c r="B25221" s="38">
        <v>51179.0</v>
      </c>
      <c r="C25221" s="38" t="s">
        <v>29721</v>
      </c>
      <c r="D25221" s="38" t="str">
        <f>IFERROR(__xludf.DUMMYFUNCTION("REGEXREPLACE(C25221,""-\d+(.*)|--\d+(.*)"","""")"),"COUPEVILLE")</f>
        <v>COUPEVILLE</v>
      </c>
      <c r="E25221" s="38" t="s">
        <v>129</v>
      </c>
      <c r="F25221" s="38" t="s">
        <v>130</v>
      </c>
      <c r="G25221" s="49" t="str">
        <f t="shared" si="1"/>
        <v>51240</v>
      </c>
      <c r="H25221" s="49">
        <f t="shared" si="2"/>
        <v>51179</v>
      </c>
    </row>
    <row r="25222">
      <c r="A25222" s="48" t="s">
        <v>1368</v>
      </c>
      <c r="B25222" s="38">
        <v>8259.0</v>
      </c>
      <c r="C25222" s="38" t="s">
        <v>29722</v>
      </c>
      <c r="D25222" s="38" t="str">
        <f>IFERROR(__xludf.DUMMYFUNCTION("REGEXREPLACE(C25222,""-\d+(.*)|--\d+(.*)"","""")"),"LONGWE")</f>
        <v>LONGWE</v>
      </c>
      <c r="E25222" s="38" t="s">
        <v>327</v>
      </c>
      <c r="F25222" s="38" t="s">
        <v>130</v>
      </c>
      <c r="G25222" s="49" t="str">
        <f t="shared" si="1"/>
        <v>08400</v>
      </c>
      <c r="H25222" s="49" t="str">
        <f t="shared" si="2"/>
        <v>08259</v>
      </c>
    </row>
    <row r="25223">
      <c r="A25223" s="48" t="s">
        <v>5661</v>
      </c>
      <c r="B25223" s="38">
        <v>63424.0</v>
      </c>
      <c r="C25223" s="38" t="s">
        <v>29723</v>
      </c>
      <c r="D25223" s="38" t="str">
        <f>IFERROR(__xludf.DUMMYFUNCTION("REGEXREPLACE(C25223,""-\d+(.*)|--\d+(.*)"","""")"),"SURAT")</f>
        <v>SURAT</v>
      </c>
      <c r="E25223" s="38" t="s">
        <v>353</v>
      </c>
      <c r="F25223" s="38" t="s">
        <v>161</v>
      </c>
      <c r="G25223" s="49" t="str">
        <f t="shared" si="1"/>
        <v>63720</v>
      </c>
      <c r="H25223" s="49">
        <f t="shared" si="2"/>
        <v>63424</v>
      </c>
    </row>
    <row r="25224">
      <c r="A25224" s="48" t="s">
        <v>5775</v>
      </c>
      <c r="B25224" s="38">
        <v>73287.0</v>
      </c>
      <c r="C25224" s="38" t="s">
        <v>29724</v>
      </c>
      <c r="D25224" s="38" t="str">
        <f>IFERROR(__xludf.DUMMYFUNCTION("REGEXREPLACE(C25224,""-\d+(.*)|--\d+(.*)"","""")"),"SOLLIERES-SARDIERES")</f>
        <v>SOLLIERES-SARDIERES</v>
      </c>
      <c r="E25224" s="38" t="s">
        <v>306</v>
      </c>
      <c r="F25224" s="38" t="s">
        <v>102</v>
      </c>
      <c r="G25224" s="49" t="str">
        <f t="shared" si="1"/>
        <v>73500</v>
      </c>
      <c r="H25224" s="49">
        <f t="shared" si="2"/>
        <v>73287</v>
      </c>
    </row>
    <row r="25225">
      <c r="A25225" s="48" t="s">
        <v>8300</v>
      </c>
      <c r="B25225" s="38">
        <v>39184.0</v>
      </c>
      <c r="C25225" s="38" t="s">
        <v>29725</v>
      </c>
      <c r="D25225" s="38" t="str">
        <f>IFERROR(__xludf.DUMMYFUNCTION("REGEXREPLACE(C25225,""-\d+(.*)|--\d+(.*)"","""")"),"LES CROZETS")</f>
        <v>LES CROZETS</v>
      </c>
      <c r="E25225" s="38" t="s">
        <v>400</v>
      </c>
      <c r="F25225" s="38" t="s">
        <v>214</v>
      </c>
      <c r="G25225" s="49" t="str">
        <f t="shared" si="1"/>
        <v>39260</v>
      </c>
      <c r="H25225" s="49">
        <f t="shared" si="2"/>
        <v>39184</v>
      </c>
    </row>
    <row r="25226">
      <c r="A25226" s="48" t="s">
        <v>15154</v>
      </c>
      <c r="B25226" s="38">
        <v>21589.0</v>
      </c>
      <c r="C25226" s="38" t="s">
        <v>29726</v>
      </c>
      <c r="D25226" s="38" t="str">
        <f>IFERROR(__xludf.DUMMYFUNCTION("REGEXREPLACE(C25226,""-\d+(.*)|--\d+(.*)"","""")"),"SAUSSY")</f>
        <v>SAUSSY</v>
      </c>
      <c r="E25226" s="38" t="s">
        <v>105</v>
      </c>
      <c r="F25226" s="38" t="s">
        <v>106</v>
      </c>
      <c r="G25226" s="49" t="str">
        <f t="shared" si="1"/>
        <v>21380</v>
      </c>
      <c r="H25226" s="49">
        <f t="shared" si="2"/>
        <v>21589</v>
      </c>
    </row>
    <row r="25227">
      <c r="A25227" s="48" t="s">
        <v>1415</v>
      </c>
      <c r="B25227" s="38">
        <v>5114.0</v>
      </c>
      <c r="C25227" s="38" t="s">
        <v>29727</v>
      </c>
      <c r="D25227" s="38" t="str">
        <f>IFERROR(__xludf.DUMMYFUNCTION("REGEXREPLACE(C25227,""-\d+(.*)|--\d+(.*)"","""")"),"REALLON")</f>
        <v>REALLON</v>
      </c>
      <c r="E25227" s="38" t="s">
        <v>706</v>
      </c>
      <c r="F25227" s="38" t="s">
        <v>228</v>
      </c>
      <c r="G25227" s="49" t="str">
        <f t="shared" si="1"/>
        <v>05160</v>
      </c>
      <c r="H25227" s="49" t="str">
        <f t="shared" si="2"/>
        <v>05114</v>
      </c>
    </row>
    <row r="25228">
      <c r="A25228" s="48" t="s">
        <v>3980</v>
      </c>
      <c r="B25228" s="38">
        <v>71352.0</v>
      </c>
      <c r="C25228" s="38" t="s">
        <v>29728</v>
      </c>
      <c r="D25228" s="38" t="str">
        <f>IFERROR(__xludf.DUMMYFUNCTION("REGEXREPLACE(C25228,""-\d+(.*)|--\d+(.*)"","""")"),"LE PLANOIS")</f>
        <v>LE PLANOIS</v>
      </c>
      <c r="E25228" s="38" t="s">
        <v>344</v>
      </c>
      <c r="F25228" s="38" t="s">
        <v>106</v>
      </c>
      <c r="G25228" s="49" t="str">
        <f t="shared" si="1"/>
        <v>71330</v>
      </c>
      <c r="H25228" s="49">
        <f t="shared" si="2"/>
        <v>71352</v>
      </c>
    </row>
    <row r="25229">
      <c r="A25229" s="48" t="s">
        <v>4267</v>
      </c>
      <c r="B25229" s="38">
        <v>62246.0</v>
      </c>
      <c r="C25229" s="38" t="s">
        <v>29729</v>
      </c>
      <c r="D25229" s="38" t="str">
        <f>IFERROR(__xludf.DUMMYFUNCTION("REGEXREPLACE(C25229,""-\d+(.*)|--\d+(.*)"","""")"),"COUPELLE-NEUVE")</f>
        <v>COUPELLE-NEUVE</v>
      </c>
      <c r="E25229" s="38" t="s">
        <v>109</v>
      </c>
      <c r="F25229" s="38" t="s">
        <v>86</v>
      </c>
      <c r="G25229" s="49" t="str">
        <f t="shared" si="1"/>
        <v>62310</v>
      </c>
      <c r="H25229" s="49">
        <f t="shared" si="2"/>
        <v>62246</v>
      </c>
    </row>
    <row r="25230">
      <c r="A25230" s="48" t="s">
        <v>29730</v>
      </c>
      <c r="B25230" s="38">
        <v>37109.0</v>
      </c>
      <c r="C25230" s="38" t="s">
        <v>29731</v>
      </c>
      <c r="D25230" s="38" t="str">
        <f>IFERROR(__xludf.DUMMYFUNCTION("REGEXREPLACE(C25230,""-\d+(.*)|--\d+(.*)"","""")"),"FONDETTES")</f>
        <v>FONDETTES</v>
      </c>
      <c r="E25230" s="38" t="s">
        <v>205</v>
      </c>
      <c r="F25230" s="38" t="s">
        <v>123</v>
      </c>
      <c r="G25230" s="49" t="str">
        <f t="shared" si="1"/>
        <v>37230</v>
      </c>
      <c r="H25230" s="49">
        <f t="shared" si="2"/>
        <v>37109</v>
      </c>
    </row>
    <row r="25231">
      <c r="A25231" s="48" t="s">
        <v>3928</v>
      </c>
      <c r="B25231" s="38">
        <v>78071.0</v>
      </c>
      <c r="C25231" s="38" t="s">
        <v>29732</v>
      </c>
      <c r="D25231" s="38" t="str">
        <f>IFERROR(__xludf.DUMMYFUNCTION("REGEXREPLACE(C25231,""-\d+(.*)|--\d+(.*)"","""")"),"BOINVILLE-LE-GAILLARD")</f>
        <v>BOINVILLE-LE-GAILLARD</v>
      </c>
      <c r="E25231" s="38" t="s">
        <v>362</v>
      </c>
      <c r="F25231" s="38" t="s">
        <v>245</v>
      </c>
      <c r="G25231" s="49" t="str">
        <f t="shared" si="1"/>
        <v>78660</v>
      </c>
      <c r="H25231" s="49">
        <f t="shared" si="2"/>
        <v>78071</v>
      </c>
    </row>
    <row r="25232">
      <c r="A25232" s="48" t="s">
        <v>21208</v>
      </c>
      <c r="B25232" s="38">
        <v>38043.0</v>
      </c>
      <c r="C25232" s="38" t="s">
        <v>29733</v>
      </c>
      <c r="D25232" s="38" t="str">
        <f>IFERROR(__xludf.DUMMYFUNCTION("REGEXREPLACE(C25232,""-\d+(.*)|--\d+(.*)"","""")"),"BILIEU")</f>
        <v>BILIEU</v>
      </c>
      <c r="E25232" s="38" t="s">
        <v>101</v>
      </c>
      <c r="F25232" s="38" t="s">
        <v>102</v>
      </c>
      <c r="G25232" s="49" t="str">
        <f t="shared" si="1"/>
        <v>38850</v>
      </c>
      <c r="H25232" s="49">
        <f t="shared" si="2"/>
        <v>38043</v>
      </c>
    </row>
    <row r="25233">
      <c r="A25233" s="48" t="s">
        <v>1681</v>
      </c>
      <c r="B25233" s="38">
        <v>80121.0</v>
      </c>
      <c r="C25233" s="38" t="s">
        <v>29734</v>
      </c>
      <c r="D25233" s="38" t="str">
        <f>IFERROR(__xludf.DUMMYFUNCTION("REGEXREPLACE(C25233,""-\d+(.*)|--\d+(.*)"","""")"),"BOUILLANCOURT-LA-BATAILLE")</f>
        <v>BOUILLANCOURT-LA-BATAILLE</v>
      </c>
      <c r="E25233" s="38" t="s">
        <v>224</v>
      </c>
      <c r="F25233" s="38" t="s">
        <v>113</v>
      </c>
      <c r="G25233" s="49" t="str">
        <f t="shared" si="1"/>
        <v>80500</v>
      </c>
      <c r="H25233" s="49">
        <f t="shared" si="2"/>
        <v>80121</v>
      </c>
    </row>
    <row r="25234">
      <c r="A25234" s="48" t="s">
        <v>12952</v>
      </c>
      <c r="B25234" s="38" t="s">
        <v>29735</v>
      </c>
      <c r="C25234" s="38" t="s">
        <v>29736</v>
      </c>
      <c r="D25234" s="38" t="str">
        <f>IFERROR(__xludf.DUMMYFUNCTION("REGEXREPLACE(C25234,""-\d+(.*)|--\d+(.*)"","""")"),"ANTISANTI")</f>
        <v>ANTISANTI</v>
      </c>
      <c r="E25234" s="38" t="s">
        <v>743</v>
      </c>
      <c r="F25234" s="38" t="s">
        <v>607</v>
      </c>
      <c r="G25234" s="49" t="str">
        <f t="shared" si="1"/>
        <v>20270</v>
      </c>
      <c r="H25234" s="49" t="str">
        <f t="shared" si="2"/>
        <v>2B016</v>
      </c>
    </row>
    <row r="25235">
      <c r="A25235" s="48" t="s">
        <v>8371</v>
      </c>
      <c r="B25235" s="38">
        <v>57414.0</v>
      </c>
      <c r="C25235" s="38" t="s">
        <v>29737</v>
      </c>
      <c r="D25235" s="38" t="str">
        <f>IFERROR(__xludf.DUMMYFUNCTION("REGEXREPLACE(C25235,""-\d+(.*)|--\d+(.*)"","""")"),"LORQUIN")</f>
        <v>LORQUIN</v>
      </c>
      <c r="E25235" s="38" t="s">
        <v>303</v>
      </c>
      <c r="F25235" s="38" t="s">
        <v>195</v>
      </c>
      <c r="G25235" s="49" t="str">
        <f t="shared" si="1"/>
        <v>57790</v>
      </c>
      <c r="H25235" s="49">
        <f t="shared" si="2"/>
        <v>57414</v>
      </c>
    </row>
    <row r="25236">
      <c r="A25236" s="48" t="s">
        <v>21883</v>
      </c>
      <c r="B25236" s="38">
        <v>62240.0</v>
      </c>
      <c r="C25236" s="38" t="s">
        <v>29738</v>
      </c>
      <c r="D25236" s="38" t="str">
        <f>IFERROR(__xludf.DUMMYFUNCTION("REGEXREPLACE(C25236,""-\d+(.*)|--\d+(.*)"","""")"),"CORBEHEM")</f>
        <v>CORBEHEM</v>
      </c>
      <c r="E25236" s="38" t="s">
        <v>109</v>
      </c>
      <c r="F25236" s="38" t="s">
        <v>86</v>
      </c>
      <c r="G25236" s="49" t="str">
        <f t="shared" si="1"/>
        <v>62112</v>
      </c>
      <c r="H25236" s="49">
        <f t="shared" si="2"/>
        <v>62240</v>
      </c>
    </row>
    <row r="25237">
      <c r="A25237" s="48" t="s">
        <v>1544</v>
      </c>
      <c r="B25237" s="38">
        <v>2584.0</v>
      </c>
      <c r="C25237" s="38" t="s">
        <v>29739</v>
      </c>
      <c r="D25237" s="38" t="str">
        <f>IFERROR(__xludf.DUMMYFUNCTION("REGEXREPLACE(C25237,""-\d+(.*)|--\d+(.*)"","""")"),"PAPLEUX")</f>
        <v>PAPLEUX</v>
      </c>
      <c r="E25237" s="38" t="s">
        <v>191</v>
      </c>
      <c r="F25237" s="38" t="s">
        <v>113</v>
      </c>
      <c r="G25237" s="49" t="str">
        <f t="shared" si="1"/>
        <v>02260</v>
      </c>
      <c r="H25237" s="49" t="str">
        <f t="shared" si="2"/>
        <v>02584</v>
      </c>
    </row>
    <row r="25238">
      <c r="A25238" s="48" t="s">
        <v>20673</v>
      </c>
      <c r="B25238" s="38">
        <v>22131.0</v>
      </c>
      <c r="C25238" s="38" t="s">
        <v>29740</v>
      </c>
      <c r="D25238" s="38" t="str">
        <f>IFERROR(__xludf.DUMMYFUNCTION("REGEXREPLACE(C25238,""-\d+(.*)|--\d+(.*)"","""")"),"LOGUIVY-PLOUGRAS")</f>
        <v>LOGUIVY-PLOUGRAS</v>
      </c>
      <c r="E25238" s="38" t="s">
        <v>89</v>
      </c>
      <c r="F25238" s="38" t="s">
        <v>90</v>
      </c>
      <c r="G25238" s="49" t="str">
        <f t="shared" si="1"/>
        <v>22780</v>
      </c>
      <c r="H25238" s="49">
        <f t="shared" si="2"/>
        <v>22131</v>
      </c>
    </row>
    <row r="25239">
      <c r="A25239" s="48" t="s">
        <v>7477</v>
      </c>
      <c r="B25239" s="38">
        <v>4136.0</v>
      </c>
      <c r="C25239" s="38" t="s">
        <v>29741</v>
      </c>
      <c r="D25239" s="38" t="str">
        <f>IFERROR(__xludf.DUMMYFUNCTION("REGEXREPLACE(C25239,""-\d+(.*)|--\d+(.*)"","""")"),"LA MURE-ARGENS")</f>
        <v>LA MURE-ARGENS</v>
      </c>
      <c r="E25239" s="38" t="s">
        <v>662</v>
      </c>
      <c r="F25239" s="38" t="s">
        <v>228</v>
      </c>
      <c r="G25239" s="49" t="str">
        <f t="shared" si="1"/>
        <v>04170</v>
      </c>
      <c r="H25239" s="49" t="str">
        <f t="shared" si="2"/>
        <v>04136</v>
      </c>
    </row>
    <row r="25240">
      <c r="A25240" s="48" t="s">
        <v>748</v>
      </c>
      <c r="B25240" s="38">
        <v>60368.0</v>
      </c>
      <c r="C25240" s="38" t="s">
        <v>29742</v>
      </c>
      <c r="D25240" s="38" t="str">
        <f>IFERROR(__xludf.DUMMYFUNCTION("REGEXREPLACE(C25240,""-\d+(.*)|--\d+(.*)"","""")"),"LONGUEIL-ANNEL")</f>
        <v>LONGUEIL-ANNEL</v>
      </c>
      <c r="E25240" s="38" t="s">
        <v>112</v>
      </c>
      <c r="F25240" s="38" t="s">
        <v>113</v>
      </c>
      <c r="G25240" s="49" t="str">
        <f t="shared" si="1"/>
        <v>60150</v>
      </c>
      <c r="H25240" s="49">
        <f t="shared" si="2"/>
        <v>60368</v>
      </c>
    </row>
    <row r="25241">
      <c r="A25241" s="48" t="s">
        <v>9091</v>
      </c>
      <c r="B25241" s="38">
        <v>46186.0</v>
      </c>
      <c r="C25241" s="38" t="s">
        <v>29743</v>
      </c>
      <c r="D25241" s="38" t="str">
        <f>IFERROR(__xludf.DUMMYFUNCTION("REGEXREPLACE(C25241,""-\d+(.*)|--\d+(.*)"","""")"),"MASCLAT")</f>
        <v>MASCLAT</v>
      </c>
      <c r="E25241" s="38" t="s">
        <v>185</v>
      </c>
      <c r="F25241" s="38" t="s">
        <v>94</v>
      </c>
      <c r="G25241" s="49" t="str">
        <f t="shared" si="1"/>
        <v>46350</v>
      </c>
      <c r="H25241" s="49">
        <f t="shared" si="2"/>
        <v>46186</v>
      </c>
    </row>
    <row r="25242">
      <c r="A25242" s="48" t="s">
        <v>3570</v>
      </c>
      <c r="B25242" s="38">
        <v>76520.0</v>
      </c>
      <c r="C25242" s="38" t="s">
        <v>29744</v>
      </c>
      <c r="D25242" s="38" t="str">
        <f>IFERROR(__xludf.DUMMYFUNCTION("REGEXREPLACE(C25242,""-\d+(.*)|--\d+(.*)"","""")"),"REALCAMP")</f>
        <v>REALCAMP</v>
      </c>
      <c r="E25242" s="38" t="s">
        <v>133</v>
      </c>
      <c r="F25242" s="38" t="s">
        <v>134</v>
      </c>
      <c r="G25242" s="49" t="str">
        <f t="shared" si="1"/>
        <v>76340</v>
      </c>
      <c r="H25242" s="49">
        <f t="shared" si="2"/>
        <v>76520</v>
      </c>
    </row>
    <row r="25243">
      <c r="A25243" s="48" t="s">
        <v>7904</v>
      </c>
      <c r="B25243" s="38">
        <v>62516.0</v>
      </c>
      <c r="C25243" s="38" t="s">
        <v>29745</v>
      </c>
      <c r="D25243" s="38" t="str">
        <f>IFERROR(__xludf.DUMMYFUNCTION("REGEXREPLACE(C25243,""-\d+(.*)|--\d+(.*)"","""")"),"LILLERS")</f>
        <v>LILLERS</v>
      </c>
      <c r="E25243" s="38" t="s">
        <v>109</v>
      </c>
      <c r="F25243" s="38" t="s">
        <v>86</v>
      </c>
      <c r="G25243" s="49" t="str">
        <f t="shared" si="1"/>
        <v>62190</v>
      </c>
      <c r="H25243" s="49">
        <f t="shared" si="2"/>
        <v>62516</v>
      </c>
    </row>
    <row r="25244">
      <c r="A25244" s="48" t="s">
        <v>3675</v>
      </c>
      <c r="B25244" s="38">
        <v>58170.0</v>
      </c>
      <c r="C25244" s="38" t="s">
        <v>29746</v>
      </c>
      <c r="D25244" s="38" t="str">
        <f>IFERROR(__xludf.DUMMYFUNCTION("REGEXREPLACE(C25244,""-\d+(.*)|--\d+(.*)"","""")"),"MONCEAUX-LE-COMTE")</f>
        <v>MONCEAUX-LE-COMTE</v>
      </c>
      <c r="E25244" s="38" t="s">
        <v>219</v>
      </c>
      <c r="F25244" s="38" t="s">
        <v>106</v>
      </c>
      <c r="G25244" s="49" t="str">
        <f t="shared" si="1"/>
        <v>58190</v>
      </c>
      <c r="H25244" s="49">
        <f t="shared" si="2"/>
        <v>58170</v>
      </c>
    </row>
    <row r="25245">
      <c r="A25245" s="48" t="s">
        <v>10904</v>
      </c>
      <c r="B25245" s="38">
        <v>74122.0</v>
      </c>
      <c r="C25245" s="38" t="s">
        <v>29747</v>
      </c>
      <c r="D25245" s="38" t="str">
        <f>IFERROR(__xludf.DUMMYFUNCTION("REGEXREPLACE(C25245,""-\d+(.*)|--\d+(.*)"","""")"),"FAUCIGNY")</f>
        <v>FAUCIGNY</v>
      </c>
      <c r="E25245" s="38" t="s">
        <v>319</v>
      </c>
      <c r="F25245" s="38" t="s">
        <v>102</v>
      </c>
      <c r="G25245" s="49" t="str">
        <f t="shared" si="1"/>
        <v>74130</v>
      </c>
      <c r="H25245" s="49">
        <f t="shared" si="2"/>
        <v>74122</v>
      </c>
    </row>
    <row r="25246">
      <c r="A25246" s="48" t="s">
        <v>12001</v>
      </c>
      <c r="B25246" s="38">
        <v>7116.0</v>
      </c>
      <c r="C25246" s="38" t="s">
        <v>29748</v>
      </c>
      <c r="D25246" s="38" t="str">
        <f>IFERROR(__xludf.DUMMYFUNCTION("REGEXREPLACE(C25246,""-\d+(.*)|--\d+(.*)"","""")"),"LABEGUDE")</f>
        <v>LABEGUDE</v>
      </c>
      <c r="E25246" s="38" t="s">
        <v>144</v>
      </c>
      <c r="F25246" s="38" t="s">
        <v>102</v>
      </c>
      <c r="G25246" s="49" t="str">
        <f t="shared" si="1"/>
        <v>07200</v>
      </c>
      <c r="H25246" s="49" t="str">
        <f t="shared" si="2"/>
        <v>07116</v>
      </c>
    </row>
    <row r="25247">
      <c r="A25247" s="48" t="s">
        <v>15038</v>
      </c>
      <c r="B25247" s="38">
        <v>22062.0</v>
      </c>
      <c r="C25247" s="38" t="s">
        <v>29749</v>
      </c>
      <c r="D25247" s="38" t="str">
        <f>IFERROR(__xludf.DUMMYFUNCTION("REGEXREPLACE(C25247,""-\d+(.*)|--\d+(.*)"","""")"),"GOMENE")</f>
        <v>GOMENE</v>
      </c>
      <c r="E25247" s="38" t="s">
        <v>89</v>
      </c>
      <c r="F25247" s="38" t="s">
        <v>90</v>
      </c>
      <c r="G25247" s="49" t="str">
        <f t="shared" si="1"/>
        <v>22230</v>
      </c>
      <c r="H25247" s="49">
        <f t="shared" si="2"/>
        <v>22062</v>
      </c>
    </row>
    <row r="25248">
      <c r="A25248" s="48" t="s">
        <v>325</v>
      </c>
      <c r="B25248" s="38">
        <v>8143.0</v>
      </c>
      <c r="C25248" s="38" t="s">
        <v>29750</v>
      </c>
      <c r="D25248" s="38" t="str">
        <f>IFERROR(__xludf.DUMMYFUNCTION("REGEXREPLACE(C25248,""-\d+(.*)|--\d+(.*)"","""")"),"DOUMELY-BEGNY")</f>
        <v>DOUMELY-BEGNY</v>
      </c>
      <c r="E25248" s="38" t="s">
        <v>327</v>
      </c>
      <c r="F25248" s="38" t="s">
        <v>130</v>
      </c>
      <c r="G25248" s="49" t="str">
        <f t="shared" si="1"/>
        <v>08220</v>
      </c>
      <c r="H25248" s="49" t="str">
        <f t="shared" si="2"/>
        <v>08143</v>
      </c>
    </row>
    <row r="25249">
      <c r="A25249" s="48" t="s">
        <v>19006</v>
      </c>
      <c r="B25249" s="38">
        <v>51662.0</v>
      </c>
      <c r="C25249" s="38" t="s">
        <v>29751</v>
      </c>
      <c r="D25249" s="38" t="str">
        <f>IFERROR(__xludf.DUMMYFUNCTION("REGEXREPLACE(C25249,""-\d+(.*)|--\d+(.*)"","""")"),"WITRY-LES-REIMS")</f>
        <v>WITRY-LES-REIMS</v>
      </c>
      <c r="E25249" s="38" t="s">
        <v>129</v>
      </c>
      <c r="F25249" s="38" t="s">
        <v>130</v>
      </c>
      <c r="G25249" s="49" t="str">
        <f t="shared" si="1"/>
        <v>51420</v>
      </c>
      <c r="H25249" s="49">
        <f t="shared" si="2"/>
        <v>51662</v>
      </c>
    </row>
    <row r="25250">
      <c r="A25250" s="48" t="s">
        <v>8089</v>
      </c>
      <c r="B25250" s="38">
        <v>45282.0</v>
      </c>
      <c r="C25250" s="38" t="s">
        <v>29752</v>
      </c>
      <c r="D25250" s="38" t="str">
        <f>IFERROR(__xludf.DUMMYFUNCTION("REGEXREPLACE(C25250,""-\d+(.*)|--\d+(.*)"","""")"),"SAINT-HILAIRE-SAINT-MESMIN")</f>
        <v>SAINT-HILAIRE-SAINT-MESMIN</v>
      </c>
      <c r="E25250" s="38" t="s">
        <v>122</v>
      </c>
      <c r="F25250" s="38" t="s">
        <v>123</v>
      </c>
      <c r="G25250" s="49" t="str">
        <f t="shared" si="1"/>
        <v>45160</v>
      </c>
      <c r="H25250" s="49">
        <f t="shared" si="2"/>
        <v>45282</v>
      </c>
    </row>
    <row r="25251">
      <c r="A25251" s="48" t="s">
        <v>5203</v>
      </c>
      <c r="B25251" s="38">
        <v>88160.0</v>
      </c>
      <c r="C25251" s="38" t="s">
        <v>29753</v>
      </c>
      <c r="D25251" s="38" t="str">
        <f>IFERROR(__xludf.DUMMYFUNCTION("REGEXREPLACE(C25251,""-\d+(.*)|--\d+(.*)"","""")"),"EPINAL")</f>
        <v>EPINAL</v>
      </c>
      <c r="E25251" s="38" t="s">
        <v>194</v>
      </c>
      <c r="F25251" s="38" t="s">
        <v>195</v>
      </c>
      <c r="G25251" s="49" t="str">
        <f t="shared" si="1"/>
        <v>88000</v>
      </c>
      <c r="H25251" s="49">
        <f t="shared" si="2"/>
        <v>88160</v>
      </c>
    </row>
    <row r="25252">
      <c r="A25252" s="48" t="s">
        <v>1984</v>
      </c>
      <c r="B25252" s="38">
        <v>76135.0</v>
      </c>
      <c r="C25252" s="38" t="s">
        <v>26007</v>
      </c>
      <c r="D25252" s="38" t="str">
        <f>IFERROR(__xludf.DUMMYFUNCTION("REGEXREPLACE(C25252,""-\d+(.*)|--\d+(.*)"","""")"),"BOUVILLE")</f>
        <v>BOUVILLE</v>
      </c>
      <c r="E25252" s="38" t="s">
        <v>133</v>
      </c>
      <c r="F25252" s="38" t="s">
        <v>134</v>
      </c>
      <c r="G25252" s="49" t="str">
        <f t="shared" si="1"/>
        <v>76360</v>
      </c>
      <c r="H25252" s="49">
        <f t="shared" si="2"/>
        <v>76135</v>
      </c>
    </row>
    <row r="25253">
      <c r="A25253" s="48" t="s">
        <v>700</v>
      </c>
      <c r="B25253" s="38">
        <v>56014.0</v>
      </c>
      <c r="C25253" s="38" t="s">
        <v>29754</v>
      </c>
      <c r="D25253" s="38" t="str">
        <f>IFERROR(__xludf.DUMMYFUNCTION("REGEXREPLACE(C25253,""-\d+(.*)|--\d+(.*)"","""")"),"BERNE")</f>
        <v>BERNE</v>
      </c>
      <c r="E25253" s="38" t="s">
        <v>173</v>
      </c>
      <c r="F25253" s="38" t="s">
        <v>90</v>
      </c>
      <c r="G25253" s="49" t="str">
        <f t="shared" si="1"/>
        <v>56240</v>
      </c>
      <c r="H25253" s="49">
        <f t="shared" si="2"/>
        <v>56014</v>
      </c>
    </row>
    <row r="25254">
      <c r="A25254" s="48" t="s">
        <v>16724</v>
      </c>
      <c r="B25254" s="38">
        <v>10415.0</v>
      </c>
      <c r="C25254" s="38" t="s">
        <v>29755</v>
      </c>
      <c r="D25254" s="38" t="str">
        <f>IFERROR(__xludf.DUMMYFUNCTION("REGEXREPLACE(C25254,""-\d+(.*)|--\d+(.*)"","""")"),"VILLEMAUR-SUR-VANNE")</f>
        <v>VILLEMAUR-SUR-VANNE</v>
      </c>
      <c r="E25254" s="38" t="s">
        <v>147</v>
      </c>
      <c r="F25254" s="38" t="s">
        <v>130</v>
      </c>
      <c r="G25254" s="49" t="str">
        <f t="shared" si="1"/>
        <v>10190</v>
      </c>
      <c r="H25254" s="49">
        <f t="shared" si="2"/>
        <v>10415</v>
      </c>
    </row>
    <row r="25255">
      <c r="A25255" s="48" t="s">
        <v>3755</v>
      </c>
      <c r="B25255" s="38">
        <v>76223.0</v>
      </c>
      <c r="C25255" s="38" t="s">
        <v>29756</v>
      </c>
      <c r="D25255" s="38" t="str">
        <f>IFERROR(__xludf.DUMMYFUNCTION("REGEXREPLACE(C25255,""-\d+(.*)|--\d+(.*)"","""")"),"ECALLES-ALIX")</f>
        <v>ECALLES-ALIX</v>
      </c>
      <c r="E25255" s="38" t="s">
        <v>133</v>
      </c>
      <c r="F25255" s="38" t="s">
        <v>134</v>
      </c>
      <c r="G25255" s="49" t="str">
        <f t="shared" si="1"/>
        <v>76190</v>
      </c>
      <c r="H25255" s="49">
        <f t="shared" si="2"/>
        <v>76223</v>
      </c>
    </row>
    <row r="25256">
      <c r="A25256" s="48" t="s">
        <v>29757</v>
      </c>
      <c r="B25256" s="38" t="s">
        <v>29758</v>
      </c>
      <c r="C25256" s="38" t="s">
        <v>29759</v>
      </c>
      <c r="D25256" s="38" t="str">
        <f>IFERROR(__xludf.DUMMYFUNCTION("REGEXREPLACE(C25256,""-\d+(.*)|--\d+(.*)"","""")"),"VERO")</f>
        <v>VERO</v>
      </c>
      <c r="E25256" s="38" t="s">
        <v>606</v>
      </c>
      <c r="F25256" s="38" t="s">
        <v>607</v>
      </c>
      <c r="G25256" s="49" t="str">
        <f t="shared" si="1"/>
        <v>20172</v>
      </c>
      <c r="H25256" s="49" t="str">
        <f t="shared" si="2"/>
        <v>2A345</v>
      </c>
    </row>
    <row r="25257">
      <c r="A25257" s="48" t="s">
        <v>8806</v>
      </c>
      <c r="B25257" s="38">
        <v>5147.0</v>
      </c>
      <c r="C25257" s="38" t="s">
        <v>29760</v>
      </c>
      <c r="D25257" s="38" t="str">
        <f>IFERROR(__xludf.DUMMYFUNCTION("REGEXREPLACE(C25257,""-\d+(.*)|--\d+(.*)"","""")"),"SAINT-JULIEN-EN-CHAMPSAUR")</f>
        <v>SAINT-JULIEN-EN-CHAMPSAUR</v>
      </c>
      <c r="E25257" s="38" t="s">
        <v>706</v>
      </c>
      <c r="F25257" s="38" t="s">
        <v>228</v>
      </c>
      <c r="G25257" s="49" t="str">
        <f t="shared" si="1"/>
        <v>05500</v>
      </c>
      <c r="H25257" s="49" t="str">
        <f t="shared" si="2"/>
        <v>05147</v>
      </c>
    </row>
    <row r="25258">
      <c r="A25258" s="48" t="s">
        <v>4596</v>
      </c>
      <c r="B25258" s="38">
        <v>2192.0</v>
      </c>
      <c r="C25258" s="38" t="s">
        <v>29761</v>
      </c>
      <c r="D25258" s="38" t="str">
        <f>IFERROR(__xludf.DUMMYFUNCTION("REGEXREPLACE(C25258,""-\d+(.*)|--\d+(.*)"","""")"),"CHOUY")</f>
        <v>CHOUY</v>
      </c>
      <c r="E25258" s="38" t="s">
        <v>191</v>
      </c>
      <c r="F25258" s="38" t="s">
        <v>113</v>
      </c>
      <c r="G25258" s="49" t="str">
        <f t="shared" si="1"/>
        <v>02210</v>
      </c>
      <c r="H25258" s="49" t="str">
        <f t="shared" si="2"/>
        <v>02192</v>
      </c>
    </row>
    <row r="25259">
      <c r="A25259" s="48" t="s">
        <v>2547</v>
      </c>
      <c r="B25259" s="38">
        <v>8086.0</v>
      </c>
      <c r="C25259" s="38" t="s">
        <v>29762</v>
      </c>
      <c r="D25259" s="38" t="str">
        <f>IFERROR(__xludf.DUMMYFUNCTION("REGEXREPLACE(C25259,""-\d+(.*)|--\d+(.*)"","""")"),"BRIQUENAY")</f>
        <v>BRIQUENAY</v>
      </c>
      <c r="E25259" s="38" t="s">
        <v>327</v>
      </c>
      <c r="F25259" s="38" t="s">
        <v>130</v>
      </c>
      <c r="G25259" s="49" t="str">
        <f t="shared" si="1"/>
        <v>08240</v>
      </c>
      <c r="H25259" s="49" t="str">
        <f t="shared" si="2"/>
        <v>08086</v>
      </c>
    </row>
    <row r="25260">
      <c r="A25260" s="48" t="s">
        <v>6858</v>
      </c>
      <c r="B25260" s="38">
        <v>71264.0</v>
      </c>
      <c r="C25260" s="38" t="s">
        <v>29763</v>
      </c>
      <c r="D25260" s="38" t="str">
        <f>IFERROR(__xludf.DUMMYFUNCTION("REGEXREPLACE(C25260,""-\d+(.*)|--\d+(.*)"","""")"),"LOURNAND")</f>
        <v>LOURNAND</v>
      </c>
      <c r="E25260" s="38" t="s">
        <v>344</v>
      </c>
      <c r="F25260" s="38" t="s">
        <v>106</v>
      </c>
      <c r="G25260" s="49" t="str">
        <f t="shared" si="1"/>
        <v>71250</v>
      </c>
      <c r="H25260" s="49">
        <f t="shared" si="2"/>
        <v>71264</v>
      </c>
    </row>
    <row r="25261">
      <c r="A25261" s="48" t="s">
        <v>8652</v>
      </c>
      <c r="B25261" s="38">
        <v>64219.0</v>
      </c>
      <c r="C25261" s="38" t="s">
        <v>29764</v>
      </c>
      <c r="D25261" s="38" t="str">
        <f>IFERROR(__xludf.DUMMYFUNCTION("REGEXREPLACE(C25261,""-\d+(.*)|--\d+(.*)"","""")"),"ESTIALESCQ")</f>
        <v>ESTIALESCQ</v>
      </c>
      <c r="E25261" s="38" t="s">
        <v>268</v>
      </c>
      <c r="F25261" s="38" t="s">
        <v>252</v>
      </c>
      <c r="G25261" s="49" t="str">
        <f t="shared" si="1"/>
        <v>64290</v>
      </c>
      <c r="H25261" s="49">
        <f t="shared" si="2"/>
        <v>64219</v>
      </c>
    </row>
    <row r="25262">
      <c r="A25262" s="48" t="s">
        <v>13699</v>
      </c>
      <c r="B25262" s="38">
        <v>22052.0</v>
      </c>
      <c r="C25262" s="38" t="s">
        <v>29765</v>
      </c>
      <c r="D25262" s="38" t="str">
        <f>IFERROR(__xludf.DUMMYFUNCTION("REGEXREPLACE(C25262,""-\d+(.*)|--\d+(.*)"","""")"),"DUAULT")</f>
        <v>DUAULT</v>
      </c>
      <c r="E25262" s="38" t="s">
        <v>89</v>
      </c>
      <c r="F25262" s="38" t="s">
        <v>90</v>
      </c>
      <c r="G25262" s="49" t="str">
        <f t="shared" si="1"/>
        <v>22160</v>
      </c>
      <c r="H25262" s="49">
        <f t="shared" si="2"/>
        <v>22052</v>
      </c>
    </row>
    <row r="25263">
      <c r="A25263" s="48" t="s">
        <v>6728</v>
      </c>
      <c r="B25263" s="38">
        <v>89210.0</v>
      </c>
      <c r="C25263" s="38" t="s">
        <v>29766</v>
      </c>
      <c r="D25263" s="38" t="str">
        <f>IFERROR(__xludf.DUMMYFUNCTION("REGEXREPLACE(C25263,""-\d+(.*)|--\d+(.*)"","""")"),"JULLY")</f>
        <v>JULLY</v>
      </c>
      <c r="E25263" s="38" t="s">
        <v>275</v>
      </c>
      <c r="F25263" s="38" t="s">
        <v>106</v>
      </c>
      <c r="G25263" s="49" t="str">
        <f t="shared" si="1"/>
        <v>89160</v>
      </c>
      <c r="H25263" s="49">
        <f t="shared" si="2"/>
        <v>89210</v>
      </c>
    </row>
    <row r="25264">
      <c r="A25264" s="48" t="s">
        <v>2748</v>
      </c>
      <c r="B25264" s="38">
        <v>32273.0</v>
      </c>
      <c r="C25264" s="38" t="s">
        <v>29767</v>
      </c>
      <c r="D25264" s="38" t="str">
        <f>IFERROR(__xludf.DUMMYFUNCTION("REGEXREPLACE(C25264,""-\d+(.*)|--\d+(.*)"","""")"),"MONLEZUN")</f>
        <v>MONLEZUN</v>
      </c>
      <c r="E25264" s="38" t="s">
        <v>440</v>
      </c>
      <c r="F25264" s="38" t="s">
        <v>94</v>
      </c>
      <c r="G25264" s="49" t="str">
        <f t="shared" si="1"/>
        <v>32230</v>
      </c>
      <c r="H25264" s="49">
        <f t="shared" si="2"/>
        <v>32273</v>
      </c>
    </row>
    <row r="25265">
      <c r="A25265" s="48" t="s">
        <v>8757</v>
      </c>
      <c r="B25265" s="38">
        <v>84128.0</v>
      </c>
      <c r="C25265" s="38" t="s">
        <v>29768</v>
      </c>
      <c r="D25265" s="38" t="str">
        <f>IFERROR(__xludf.DUMMYFUNCTION("REGEXREPLACE(C25265,""-\d+(.*)|--\d+(.*)"","""")"),"SIVERGUES")</f>
        <v>SIVERGUES</v>
      </c>
      <c r="E25265" s="38" t="s">
        <v>1026</v>
      </c>
      <c r="F25265" s="38" t="s">
        <v>228</v>
      </c>
      <c r="G25265" s="49" t="str">
        <f t="shared" si="1"/>
        <v>84400</v>
      </c>
      <c r="H25265" s="49">
        <f t="shared" si="2"/>
        <v>84128</v>
      </c>
    </row>
    <row r="25266">
      <c r="A25266" s="48" t="s">
        <v>4832</v>
      </c>
      <c r="B25266" s="38">
        <v>18141.0</v>
      </c>
      <c r="C25266" s="38" t="s">
        <v>29769</v>
      </c>
      <c r="D25266" s="38" t="str">
        <f>IFERROR(__xludf.DUMMYFUNCTION("REGEXREPLACE(C25266,""-\d+(.*)|--\d+(.*)"","""")"),"MEHUN-SUR-YEVRE")</f>
        <v>MEHUN-SUR-YEVRE</v>
      </c>
      <c r="E25266" s="38" t="s">
        <v>504</v>
      </c>
      <c r="F25266" s="38" t="s">
        <v>123</v>
      </c>
      <c r="G25266" s="49" t="str">
        <f t="shared" si="1"/>
        <v>18500</v>
      </c>
      <c r="H25266" s="49">
        <f t="shared" si="2"/>
        <v>18141</v>
      </c>
    </row>
    <row r="25267">
      <c r="A25267" s="48" t="s">
        <v>5775</v>
      </c>
      <c r="B25267" s="38">
        <v>73223.0</v>
      </c>
      <c r="C25267" s="38" t="s">
        <v>1952</v>
      </c>
      <c r="D25267" s="38" t="str">
        <f>IFERROR(__xludf.DUMMYFUNCTION("REGEXREPLACE(C25267,""-\d+(.*)|--\d+(.*)"","""")"),"SAINT-ANDRE")</f>
        <v>SAINT-ANDRE</v>
      </c>
      <c r="E25267" s="38" t="s">
        <v>306</v>
      </c>
      <c r="F25267" s="38" t="s">
        <v>102</v>
      </c>
      <c r="G25267" s="49" t="str">
        <f t="shared" si="1"/>
        <v>73500</v>
      </c>
      <c r="H25267" s="49">
        <f t="shared" si="2"/>
        <v>73223</v>
      </c>
    </row>
    <row r="25268">
      <c r="A25268" s="48" t="s">
        <v>7760</v>
      </c>
      <c r="B25268" s="38">
        <v>54101.0</v>
      </c>
      <c r="C25268" s="38" t="s">
        <v>29770</v>
      </c>
      <c r="D25268" s="38" t="str">
        <f>IFERROR(__xludf.DUMMYFUNCTION("REGEXREPLACE(C25268,""-\d+(.*)|--\d+(.*)"","""")"),"BROUVILLE")</f>
        <v>BROUVILLE</v>
      </c>
      <c r="E25268" s="38" t="s">
        <v>548</v>
      </c>
      <c r="F25268" s="38" t="s">
        <v>195</v>
      </c>
      <c r="G25268" s="49" t="str">
        <f t="shared" si="1"/>
        <v>54120</v>
      </c>
      <c r="H25268" s="49">
        <f t="shared" si="2"/>
        <v>54101</v>
      </c>
    </row>
    <row r="25269">
      <c r="A25269" s="48" t="s">
        <v>2276</v>
      </c>
      <c r="B25269" s="38">
        <v>47285.0</v>
      </c>
      <c r="C25269" s="38" t="s">
        <v>29771</v>
      </c>
      <c r="D25269" s="38" t="str">
        <f>IFERROR(__xludf.DUMMYFUNCTION("REGEXREPLACE(C25269,""-\d+(.*)|--\d+(.*)"","""")"),"SAMAZAN")</f>
        <v>SAMAZAN</v>
      </c>
      <c r="E25269" s="38" t="s">
        <v>251</v>
      </c>
      <c r="F25269" s="38" t="s">
        <v>252</v>
      </c>
      <c r="G25269" s="49" t="str">
        <f t="shared" si="1"/>
        <v>47250</v>
      </c>
      <c r="H25269" s="49">
        <f t="shared" si="2"/>
        <v>47285</v>
      </c>
    </row>
    <row r="25270">
      <c r="A25270" s="48" t="s">
        <v>1609</v>
      </c>
      <c r="B25270" s="38">
        <v>30234.0</v>
      </c>
      <c r="C25270" s="38" t="s">
        <v>29772</v>
      </c>
      <c r="D25270" s="38" t="str">
        <f>IFERROR(__xludf.DUMMYFUNCTION("REGEXREPLACE(C25270,""-\d+(.*)|--\d+(.*)"","""")"),"SAINT-BENEZET")</f>
        <v>SAINT-BENEZET</v>
      </c>
      <c r="E25270" s="38" t="s">
        <v>526</v>
      </c>
      <c r="F25270" s="38" t="s">
        <v>119</v>
      </c>
      <c r="G25270" s="49" t="str">
        <f t="shared" si="1"/>
        <v>30350</v>
      </c>
      <c r="H25270" s="49">
        <f t="shared" si="2"/>
        <v>30234</v>
      </c>
    </row>
    <row r="25271">
      <c r="A25271" s="48" t="s">
        <v>15617</v>
      </c>
      <c r="B25271" s="38">
        <v>82159.0</v>
      </c>
      <c r="C25271" s="38" t="s">
        <v>23135</v>
      </c>
      <c r="D25271" s="38" t="str">
        <f>IFERROR(__xludf.DUMMYFUNCTION("REGEXREPLACE(C25271,""-\d+(.*)|--\d+(.*)"","""")"),"SAINT-CIRQ")</f>
        <v>SAINT-CIRQ</v>
      </c>
      <c r="E25271" s="38" t="s">
        <v>570</v>
      </c>
      <c r="F25271" s="38" t="s">
        <v>94</v>
      </c>
      <c r="G25271" s="49" t="str">
        <f t="shared" si="1"/>
        <v>82300</v>
      </c>
      <c r="H25271" s="49">
        <f t="shared" si="2"/>
        <v>82159</v>
      </c>
    </row>
    <row r="25272">
      <c r="A25272" s="48" t="s">
        <v>805</v>
      </c>
      <c r="B25272" s="38">
        <v>62376.0</v>
      </c>
      <c r="C25272" s="38" t="s">
        <v>29773</v>
      </c>
      <c r="D25272" s="38" t="str">
        <f>IFERROR(__xludf.DUMMYFUNCTION("REGEXREPLACE(C25272,""-\d+(.*)|--\d+(.*)"","""")"),"GONNEHEM")</f>
        <v>GONNEHEM</v>
      </c>
      <c r="E25272" s="38" t="s">
        <v>109</v>
      </c>
      <c r="F25272" s="38" t="s">
        <v>86</v>
      </c>
      <c r="G25272" s="49" t="str">
        <f t="shared" si="1"/>
        <v>62920</v>
      </c>
      <c r="H25272" s="49">
        <f t="shared" si="2"/>
        <v>62376</v>
      </c>
    </row>
    <row r="25273">
      <c r="A25273" s="48" t="s">
        <v>11481</v>
      </c>
      <c r="B25273" s="38">
        <v>33262.0</v>
      </c>
      <c r="C25273" s="38" t="s">
        <v>29774</v>
      </c>
      <c r="D25273" s="38" t="str">
        <f>IFERROR(__xludf.DUMMYFUNCTION("REGEXREPLACE(C25273,""-\d+(.*)|--\d+(.*)"","""")"),"MACAU")</f>
        <v>MACAU</v>
      </c>
      <c r="E25273" s="38" t="s">
        <v>462</v>
      </c>
      <c r="F25273" s="38" t="s">
        <v>252</v>
      </c>
      <c r="G25273" s="49" t="str">
        <f t="shared" si="1"/>
        <v>33460</v>
      </c>
      <c r="H25273" s="49">
        <f t="shared" si="2"/>
        <v>33262</v>
      </c>
    </row>
    <row r="25274">
      <c r="A25274" s="48" t="s">
        <v>4695</v>
      </c>
      <c r="B25274" s="38">
        <v>36056.0</v>
      </c>
      <c r="C25274" s="38" t="s">
        <v>29775</v>
      </c>
      <c r="D25274" s="38" t="str">
        <f>IFERROR(__xludf.DUMMYFUNCTION("REGEXREPLACE(C25274,""-\d+(.*)|--\d+(.*)"","""")"),"CLUIS")</f>
        <v>CLUIS</v>
      </c>
      <c r="E25274" s="38" t="s">
        <v>258</v>
      </c>
      <c r="F25274" s="38" t="s">
        <v>123</v>
      </c>
      <c r="G25274" s="49" t="str">
        <f t="shared" si="1"/>
        <v>36340</v>
      </c>
      <c r="H25274" s="49">
        <f t="shared" si="2"/>
        <v>36056</v>
      </c>
    </row>
    <row r="25275">
      <c r="A25275" s="48" t="s">
        <v>6275</v>
      </c>
      <c r="B25275" s="38">
        <v>8152.0</v>
      </c>
      <c r="C25275" s="38" t="s">
        <v>29776</v>
      </c>
      <c r="D25275" s="38" t="str">
        <f>IFERROR(__xludf.DUMMYFUNCTION("REGEXREPLACE(C25275,""-\d+(.*)|--\d+(.*)"","""")"),"ELAN")</f>
        <v>ELAN</v>
      </c>
      <c r="E25275" s="38" t="s">
        <v>327</v>
      </c>
      <c r="F25275" s="38" t="s">
        <v>130</v>
      </c>
      <c r="G25275" s="49" t="str">
        <f t="shared" si="1"/>
        <v>08160</v>
      </c>
      <c r="H25275" s="49" t="str">
        <f t="shared" si="2"/>
        <v>08152</v>
      </c>
    </row>
    <row r="25276">
      <c r="A25276" s="48" t="s">
        <v>3297</v>
      </c>
      <c r="B25276" s="38">
        <v>41080.0</v>
      </c>
      <c r="C25276" s="38" t="s">
        <v>29777</v>
      </c>
      <c r="D25276" s="38" t="str">
        <f>IFERROR(__xludf.DUMMYFUNCTION("REGEXREPLACE(C25276,""-\d+(.*)|--\d+(.*)"","""")"),"FAVEROLLES-SUR-CHER")</f>
        <v>FAVEROLLES-SUR-CHER</v>
      </c>
      <c r="E25276" s="38" t="s">
        <v>188</v>
      </c>
      <c r="F25276" s="38" t="s">
        <v>123</v>
      </c>
      <c r="G25276" s="49" t="str">
        <f t="shared" si="1"/>
        <v>41400</v>
      </c>
      <c r="H25276" s="49">
        <f t="shared" si="2"/>
        <v>41080</v>
      </c>
    </row>
    <row r="25277">
      <c r="A25277" s="48" t="s">
        <v>19788</v>
      </c>
      <c r="B25277" s="38">
        <v>17416.0</v>
      </c>
      <c r="C25277" s="38" t="s">
        <v>29778</v>
      </c>
      <c r="D25277" s="38" t="str">
        <f>IFERROR(__xludf.DUMMYFUNCTION("REGEXREPLACE(C25277,""-\d+(.*)|--\d+(.*)"","""")"),"SALEIGNES")</f>
        <v>SALEIGNES</v>
      </c>
      <c r="E25277" s="38" t="s">
        <v>488</v>
      </c>
      <c r="F25277" s="38" t="s">
        <v>338</v>
      </c>
      <c r="G25277" s="49" t="str">
        <f t="shared" si="1"/>
        <v>17510</v>
      </c>
      <c r="H25277" s="49">
        <f t="shared" si="2"/>
        <v>17416</v>
      </c>
    </row>
    <row r="25278">
      <c r="A25278" s="48" t="s">
        <v>938</v>
      </c>
      <c r="B25278" s="38">
        <v>9061.0</v>
      </c>
      <c r="C25278" s="38" t="s">
        <v>29779</v>
      </c>
      <c r="D25278" s="38" t="str">
        <f>IFERROR(__xludf.DUMMYFUNCTION("REGEXREPLACE(C25278,""-\d+(.*)|--\d+(.*)"","""")"),"LES BORDES-SUR-ARIZE")</f>
        <v>LES BORDES-SUR-ARIZE</v>
      </c>
      <c r="E25278" s="38" t="s">
        <v>238</v>
      </c>
      <c r="F25278" s="38" t="s">
        <v>94</v>
      </c>
      <c r="G25278" s="49" t="str">
        <f t="shared" si="1"/>
        <v>09350</v>
      </c>
      <c r="H25278" s="49" t="str">
        <f t="shared" si="2"/>
        <v>09061</v>
      </c>
    </row>
    <row r="25279">
      <c r="A25279" s="48" t="s">
        <v>28965</v>
      </c>
      <c r="B25279" s="38">
        <v>59367.0</v>
      </c>
      <c r="C25279" s="38" t="s">
        <v>29780</v>
      </c>
      <c r="D25279" s="38" t="str">
        <f>IFERROR(__xludf.DUMMYFUNCTION("REGEXREPLACE(C25279,""-\d+(.*)|--\d+(.*)"","""")"),"LYS-LEZ-LANNOY")</f>
        <v>LYS-LEZ-LANNOY</v>
      </c>
      <c r="E25279" s="38" t="s">
        <v>85</v>
      </c>
      <c r="F25279" s="38" t="s">
        <v>86</v>
      </c>
      <c r="G25279" s="49" t="str">
        <f t="shared" si="1"/>
        <v>59390</v>
      </c>
      <c r="H25279" s="49">
        <f t="shared" si="2"/>
        <v>59367</v>
      </c>
    </row>
    <row r="25280">
      <c r="A25280" s="48" t="s">
        <v>2540</v>
      </c>
      <c r="B25280" s="38">
        <v>2292.0</v>
      </c>
      <c r="C25280" s="38" t="s">
        <v>29781</v>
      </c>
      <c r="D25280" s="38" t="str">
        <f>IFERROR(__xludf.DUMMYFUNCTION("REGEXREPLACE(C25280,""-\d+(.*)|--\d+(.*)"","""")"),"ETAMPES-SUR-MARNE")</f>
        <v>ETAMPES-SUR-MARNE</v>
      </c>
      <c r="E25280" s="38" t="s">
        <v>191</v>
      </c>
      <c r="F25280" s="38" t="s">
        <v>113</v>
      </c>
      <c r="G25280" s="49" t="str">
        <f t="shared" si="1"/>
        <v>02400</v>
      </c>
      <c r="H25280" s="49" t="str">
        <f t="shared" si="2"/>
        <v>02292</v>
      </c>
    </row>
    <row r="25281">
      <c r="A25281" s="48" t="s">
        <v>12960</v>
      </c>
      <c r="B25281" s="38" t="s">
        <v>29782</v>
      </c>
      <c r="C25281" s="38" t="s">
        <v>29783</v>
      </c>
      <c r="D25281" s="38" t="str">
        <f>IFERROR(__xludf.DUMMYFUNCTION("REGEXREPLACE(C25281,""-\d+(.*)|--\d+(.*)"","""")"),"SAN-MARTINO-DI-LOTA")</f>
        <v>SAN-MARTINO-DI-LOTA</v>
      </c>
      <c r="E25281" s="38" t="s">
        <v>743</v>
      </c>
      <c r="F25281" s="38" t="s">
        <v>607</v>
      </c>
      <c r="G25281" s="49" t="str">
        <f t="shared" si="1"/>
        <v>20200</v>
      </c>
      <c r="H25281" s="49" t="str">
        <f t="shared" si="2"/>
        <v>2B305</v>
      </c>
    </row>
    <row r="25282">
      <c r="A25282" s="48" t="s">
        <v>29784</v>
      </c>
      <c r="B25282" s="38">
        <v>65051.0</v>
      </c>
      <c r="C25282" s="38" t="s">
        <v>29785</v>
      </c>
      <c r="D25282" s="38" t="str">
        <f>IFERROR(__xludf.DUMMYFUNCTION("REGEXREPLACE(C25282,""-\d+(.*)|--\d+(.*)"","""")"),"AVENTIGNAN")</f>
        <v>AVENTIGNAN</v>
      </c>
      <c r="E25282" s="38" t="s">
        <v>200</v>
      </c>
      <c r="F25282" s="38" t="s">
        <v>94</v>
      </c>
      <c r="G25282" s="49" t="str">
        <f t="shared" si="1"/>
        <v>65660</v>
      </c>
      <c r="H25282" s="49">
        <f t="shared" si="2"/>
        <v>65051</v>
      </c>
    </row>
    <row r="25283">
      <c r="A25283" s="48" t="s">
        <v>2532</v>
      </c>
      <c r="B25283" s="38">
        <v>51542.0</v>
      </c>
      <c r="C25283" s="38" t="s">
        <v>29786</v>
      </c>
      <c r="D25283" s="38" t="str">
        <f>IFERROR(__xludf.DUMMYFUNCTION("REGEXREPLACE(C25283,""-\d+(.*)|--\d+(.*)"","""")"),"SOIZY-AUX-BOIS")</f>
        <v>SOIZY-AUX-BOIS</v>
      </c>
      <c r="E25283" s="38" t="s">
        <v>129</v>
      </c>
      <c r="F25283" s="38" t="s">
        <v>130</v>
      </c>
      <c r="G25283" s="49" t="str">
        <f t="shared" si="1"/>
        <v>51120</v>
      </c>
      <c r="H25283" s="49">
        <f t="shared" si="2"/>
        <v>51542</v>
      </c>
    </row>
    <row r="25284">
      <c r="A25284" s="48" t="s">
        <v>29787</v>
      </c>
      <c r="B25284" s="38">
        <v>30128.0</v>
      </c>
      <c r="C25284" s="38" t="s">
        <v>4852</v>
      </c>
      <c r="D25284" s="38" t="str">
        <f>IFERROR(__xludf.DUMMYFUNCTION("REGEXREPLACE(C25284,""-\d+(.*)|--\d+(.*)"","""")"),"GENERAC")</f>
        <v>GENERAC</v>
      </c>
      <c r="E25284" s="38" t="s">
        <v>526</v>
      </c>
      <c r="F25284" s="38" t="s">
        <v>119</v>
      </c>
      <c r="G25284" s="49" t="str">
        <f t="shared" si="1"/>
        <v>30510</v>
      </c>
      <c r="H25284" s="49">
        <f t="shared" si="2"/>
        <v>30128</v>
      </c>
    </row>
    <row r="25285">
      <c r="A25285" s="48" t="s">
        <v>3925</v>
      </c>
      <c r="B25285" s="38">
        <v>41054.0</v>
      </c>
      <c r="C25285" s="38" t="s">
        <v>29788</v>
      </c>
      <c r="D25285" s="38" t="str">
        <f>IFERROR(__xludf.DUMMYFUNCTION("REGEXREPLACE(C25285,""-\d+(.*)|--\d+(.*)"","""")"),"CHOUSSY")</f>
        <v>CHOUSSY</v>
      </c>
      <c r="E25285" s="38" t="s">
        <v>188</v>
      </c>
      <c r="F25285" s="38" t="s">
        <v>123</v>
      </c>
      <c r="G25285" s="49" t="str">
        <f t="shared" si="1"/>
        <v>41700</v>
      </c>
      <c r="H25285" s="49">
        <f t="shared" si="2"/>
        <v>41054</v>
      </c>
    </row>
    <row r="25286">
      <c r="A25286" s="48" t="s">
        <v>29789</v>
      </c>
      <c r="B25286" s="38">
        <v>6114.0</v>
      </c>
      <c r="C25286" s="38" t="s">
        <v>29790</v>
      </c>
      <c r="D25286" s="38" t="str">
        <f>IFERROR(__xludf.DUMMYFUNCTION("REGEXREPLACE(C25286,""-\d+(.*)|--\d+(.*)"","""")"),"SAINT-ANDRE-DE-LA-ROCHE")</f>
        <v>SAINT-ANDRE-DE-LA-ROCHE</v>
      </c>
      <c r="E25286" s="38" t="s">
        <v>227</v>
      </c>
      <c r="F25286" s="38" t="s">
        <v>228</v>
      </c>
      <c r="G25286" s="49" t="str">
        <f t="shared" si="1"/>
        <v>06730</v>
      </c>
      <c r="H25286" s="49" t="str">
        <f t="shared" si="2"/>
        <v>06114</v>
      </c>
    </row>
    <row r="25287">
      <c r="A25287" s="48" t="s">
        <v>2955</v>
      </c>
      <c r="B25287" s="38">
        <v>76220.0</v>
      </c>
      <c r="C25287" s="38" t="s">
        <v>29791</v>
      </c>
      <c r="D25287" s="38" t="str">
        <f>IFERROR(__xludf.DUMMYFUNCTION("REGEXREPLACE(C25287,""-\d+(.*)|--\d+(.*)"","""")"),"DOUVREND")</f>
        <v>DOUVREND</v>
      </c>
      <c r="E25287" s="38" t="s">
        <v>133</v>
      </c>
      <c r="F25287" s="38" t="s">
        <v>134</v>
      </c>
      <c r="G25287" s="49" t="str">
        <f t="shared" si="1"/>
        <v>76630</v>
      </c>
      <c r="H25287" s="49">
        <f t="shared" si="2"/>
        <v>76220</v>
      </c>
    </row>
    <row r="25288">
      <c r="A25288" s="48" t="s">
        <v>7702</v>
      </c>
      <c r="B25288" s="38">
        <v>57066.0</v>
      </c>
      <c r="C25288" s="38" t="s">
        <v>29792</v>
      </c>
      <c r="D25288" s="38" t="str">
        <f>IFERROR(__xludf.DUMMYFUNCTION("REGEXREPLACE(C25288,""-\d+(.*)|--\d+(.*)"","""")"),"BERTHELMING")</f>
        <v>BERTHELMING</v>
      </c>
      <c r="E25288" s="38" t="s">
        <v>303</v>
      </c>
      <c r="F25288" s="38" t="s">
        <v>195</v>
      </c>
      <c r="G25288" s="49" t="str">
        <f t="shared" si="1"/>
        <v>57930</v>
      </c>
      <c r="H25288" s="49">
        <f t="shared" si="2"/>
        <v>57066</v>
      </c>
    </row>
    <row r="25289">
      <c r="A25289" s="48" t="s">
        <v>4805</v>
      </c>
      <c r="B25289" s="38">
        <v>31238.0</v>
      </c>
      <c r="C25289" s="38" t="s">
        <v>29793</v>
      </c>
      <c r="D25289" s="38" t="str">
        <f>IFERROR(__xludf.DUMMYFUNCTION("REGEXREPLACE(C25289,""-\d+(.*)|--\d+(.*)"","""")"),"HUOS")</f>
        <v>HUOS</v>
      </c>
      <c r="E25289" s="38" t="s">
        <v>93</v>
      </c>
      <c r="F25289" s="38" t="s">
        <v>94</v>
      </c>
      <c r="G25289" s="49" t="str">
        <f t="shared" si="1"/>
        <v>31210</v>
      </c>
      <c r="H25289" s="49">
        <f t="shared" si="2"/>
        <v>31238</v>
      </c>
    </row>
    <row r="25290">
      <c r="A25290" s="48" t="s">
        <v>2016</v>
      </c>
      <c r="B25290" s="38">
        <v>50546.0</v>
      </c>
      <c r="C25290" s="38" t="s">
        <v>29794</v>
      </c>
      <c r="D25290" s="38" t="str">
        <f>IFERROR(__xludf.DUMMYFUNCTION("REGEXREPLACE(C25290,""-\d+(.*)|--\d+(.*)"","""")"),"SAINT-SAMSON-DE-BONFOSSE")</f>
        <v>SAINT-SAMSON-DE-BONFOSSE</v>
      </c>
      <c r="E25290" s="38" t="s">
        <v>157</v>
      </c>
      <c r="F25290" s="38" t="s">
        <v>138</v>
      </c>
      <c r="G25290" s="49" t="str">
        <f t="shared" si="1"/>
        <v>50750</v>
      </c>
      <c r="H25290" s="49">
        <f t="shared" si="2"/>
        <v>50546</v>
      </c>
    </row>
    <row r="25291">
      <c r="A25291" s="48" t="s">
        <v>1758</v>
      </c>
      <c r="B25291" s="38">
        <v>65295.0</v>
      </c>
      <c r="C25291" s="38" t="s">
        <v>29795</v>
      </c>
      <c r="D25291" s="38" t="str">
        <f>IFERROR(__xludf.DUMMYFUNCTION("REGEXREPLACE(C25291,""-\d+(.*)|--\d+(.*)"","""")"),"LUZ-SAINT-SAUVEUR")</f>
        <v>LUZ-SAINT-SAUVEUR</v>
      </c>
      <c r="E25291" s="38" t="s">
        <v>200</v>
      </c>
      <c r="F25291" s="38" t="s">
        <v>94</v>
      </c>
      <c r="G25291" s="49" t="str">
        <f t="shared" si="1"/>
        <v>65120</v>
      </c>
      <c r="H25291" s="49">
        <f t="shared" si="2"/>
        <v>65295</v>
      </c>
    </row>
    <row r="25292">
      <c r="A25292" s="48" t="s">
        <v>6602</v>
      </c>
      <c r="B25292" s="38">
        <v>68237.0</v>
      </c>
      <c r="C25292" s="38" t="s">
        <v>29796</v>
      </c>
      <c r="D25292" s="38" t="str">
        <f>IFERROR(__xludf.DUMMYFUNCTION("REGEXREPLACE(C25292,""-\d+(.*)|--\d+(.*)"","""")"),"NIEDERMORSCHWIHR")</f>
        <v>NIEDERMORSCHWIHR</v>
      </c>
      <c r="E25292" s="38" t="s">
        <v>150</v>
      </c>
      <c r="F25292" s="38" t="s">
        <v>151</v>
      </c>
      <c r="G25292" s="49" t="str">
        <f t="shared" si="1"/>
        <v>68230</v>
      </c>
      <c r="H25292" s="49">
        <f t="shared" si="2"/>
        <v>68237</v>
      </c>
    </row>
    <row r="25293">
      <c r="A25293" s="48" t="s">
        <v>9405</v>
      </c>
      <c r="B25293" s="38">
        <v>15176.0</v>
      </c>
      <c r="C25293" s="38" t="s">
        <v>29797</v>
      </c>
      <c r="D25293" s="38" t="str">
        <f>IFERROR(__xludf.DUMMYFUNCTION("REGEXREPLACE(C25293,""-\d+(.*)|--\d+(.*)"","""")"),"SAINT-CHAMANT")</f>
        <v>SAINT-CHAMANT</v>
      </c>
      <c r="E25293" s="38" t="s">
        <v>632</v>
      </c>
      <c r="F25293" s="38" t="s">
        <v>161</v>
      </c>
      <c r="G25293" s="49" t="str">
        <f t="shared" si="1"/>
        <v>15140</v>
      </c>
      <c r="H25293" s="49">
        <f t="shared" si="2"/>
        <v>15176</v>
      </c>
    </row>
    <row r="25294">
      <c r="A25294" s="48" t="s">
        <v>5094</v>
      </c>
      <c r="B25294" s="38">
        <v>32004.0</v>
      </c>
      <c r="C25294" s="38" t="s">
        <v>29798</v>
      </c>
      <c r="D25294" s="38" t="str">
        <f>IFERROR(__xludf.DUMMYFUNCTION("REGEXREPLACE(C25294,""-\d+(.*)|--\d+(.*)"","""")"),"ARBLADE-LE-BAS")</f>
        <v>ARBLADE-LE-BAS</v>
      </c>
      <c r="E25294" s="38" t="s">
        <v>440</v>
      </c>
      <c r="F25294" s="38" t="s">
        <v>94</v>
      </c>
      <c r="G25294" s="49" t="str">
        <f t="shared" si="1"/>
        <v>32720</v>
      </c>
      <c r="H25294" s="49">
        <f t="shared" si="2"/>
        <v>32004</v>
      </c>
    </row>
    <row r="25295">
      <c r="A25295" s="48" t="s">
        <v>1085</v>
      </c>
      <c r="B25295" s="38">
        <v>55449.0</v>
      </c>
      <c r="C25295" s="38" t="s">
        <v>29799</v>
      </c>
      <c r="D25295" s="38" t="str">
        <f>IFERROR(__xludf.DUMMYFUNCTION("REGEXREPLACE(C25295,""-\d+(.*)|--\d+(.*)"","""")"),"RUPT-EN-WOEVRE")</f>
        <v>RUPT-EN-WOEVRE</v>
      </c>
      <c r="E25295" s="38" t="s">
        <v>322</v>
      </c>
      <c r="F25295" s="38" t="s">
        <v>195</v>
      </c>
      <c r="G25295" s="49" t="str">
        <f t="shared" si="1"/>
        <v>55320</v>
      </c>
      <c r="H25295" s="49">
        <f t="shared" si="2"/>
        <v>55449</v>
      </c>
    </row>
    <row r="25296">
      <c r="A25296" s="48" t="s">
        <v>29800</v>
      </c>
      <c r="B25296" s="38">
        <v>54536.0</v>
      </c>
      <c r="C25296" s="38" t="s">
        <v>29801</v>
      </c>
      <c r="D25296" s="38" t="str">
        <f>IFERROR(__xludf.DUMMYFUNCTION("REGEXREPLACE(C25296,""-\d+(.*)|--\d+(.*)"","""")"),"TUCQUEGNIEUX")</f>
        <v>TUCQUEGNIEUX</v>
      </c>
      <c r="E25296" s="38" t="s">
        <v>548</v>
      </c>
      <c r="F25296" s="38" t="s">
        <v>195</v>
      </c>
      <c r="G25296" s="49" t="str">
        <f t="shared" si="1"/>
        <v>54640</v>
      </c>
      <c r="H25296" s="49">
        <f t="shared" si="2"/>
        <v>54536</v>
      </c>
    </row>
    <row r="25297">
      <c r="A25297" s="48" t="s">
        <v>276</v>
      </c>
      <c r="B25297" s="38">
        <v>11219.0</v>
      </c>
      <c r="C25297" s="38" t="s">
        <v>29802</v>
      </c>
      <c r="D25297" s="38" t="str">
        <f>IFERROR(__xludf.DUMMYFUNCTION("REGEXREPLACE(C25297,""-\d+(.*)|--\d+(.*)"","""")"),"MARSA")</f>
        <v>MARSA</v>
      </c>
      <c r="E25297" s="38" t="s">
        <v>278</v>
      </c>
      <c r="F25297" s="38" t="s">
        <v>119</v>
      </c>
      <c r="G25297" s="49" t="str">
        <f t="shared" si="1"/>
        <v>11140</v>
      </c>
      <c r="H25297" s="49">
        <f t="shared" si="2"/>
        <v>11219</v>
      </c>
    </row>
    <row r="25298">
      <c r="A25298" s="48" t="s">
        <v>3231</v>
      </c>
      <c r="B25298" s="38">
        <v>67256.0</v>
      </c>
      <c r="C25298" s="38" t="s">
        <v>29803</v>
      </c>
      <c r="D25298" s="38" t="str">
        <f>IFERROR(__xludf.DUMMYFUNCTION("REGEXREPLACE(C25298,""-\d+(.*)|--\d+(.*)"","""")"),"LAMPERTHEIM")</f>
        <v>LAMPERTHEIM</v>
      </c>
      <c r="E25298" s="38" t="s">
        <v>210</v>
      </c>
      <c r="F25298" s="38" t="s">
        <v>151</v>
      </c>
      <c r="G25298" s="49" t="str">
        <f t="shared" si="1"/>
        <v>67450</v>
      </c>
      <c r="H25298" s="49">
        <f t="shared" si="2"/>
        <v>67256</v>
      </c>
    </row>
    <row r="25299">
      <c r="A25299" s="48" t="s">
        <v>26062</v>
      </c>
      <c r="B25299" s="38">
        <v>59229.0</v>
      </c>
      <c r="C25299" s="38" t="s">
        <v>29804</v>
      </c>
      <c r="D25299" s="38" t="str">
        <f>IFERROR(__xludf.DUMMYFUNCTION("REGEXREPLACE(C25299,""-\d+(.*)|--\d+(.*)"","""")"),"FERON")</f>
        <v>FERON</v>
      </c>
      <c r="E25299" s="38" t="s">
        <v>85</v>
      </c>
      <c r="F25299" s="38" t="s">
        <v>86</v>
      </c>
      <c r="G25299" s="49" t="str">
        <f t="shared" si="1"/>
        <v>59610</v>
      </c>
      <c r="H25299" s="49">
        <f t="shared" si="2"/>
        <v>59229</v>
      </c>
    </row>
    <row r="25300">
      <c r="A25300" s="48" t="s">
        <v>6338</v>
      </c>
      <c r="B25300" s="38">
        <v>79199.0</v>
      </c>
      <c r="C25300" s="38" t="s">
        <v>29805</v>
      </c>
      <c r="D25300" s="38" t="str">
        <f>IFERROR(__xludf.DUMMYFUNCTION("REGEXREPLACE(C25300,""-\d+(.*)|--\d+(.*)"","""")"),"PAIZAY-LE-TORT")</f>
        <v>PAIZAY-LE-TORT</v>
      </c>
      <c r="E25300" s="38" t="s">
        <v>337</v>
      </c>
      <c r="F25300" s="38" t="s">
        <v>338</v>
      </c>
      <c r="G25300" s="49" t="str">
        <f t="shared" si="1"/>
        <v>79500</v>
      </c>
      <c r="H25300" s="49">
        <f t="shared" si="2"/>
        <v>79199</v>
      </c>
    </row>
    <row r="25301">
      <c r="A25301" s="48" t="s">
        <v>29806</v>
      </c>
      <c r="B25301" s="38">
        <v>57226.0</v>
      </c>
      <c r="C25301" s="38" t="s">
        <v>29807</v>
      </c>
      <c r="D25301" s="38" t="str">
        <f>IFERROR(__xludf.DUMMYFUNCTION("REGEXREPLACE(C25301,""-\d+(.*)|--\d+(.*)"","""")"),"FONTOY")</f>
        <v>FONTOY</v>
      </c>
      <c r="E25301" s="38" t="s">
        <v>303</v>
      </c>
      <c r="F25301" s="38" t="s">
        <v>195</v>
      </c>
      <c r="G25301" s="49" t="str">
        <f t="shared" si="1"/>
        <v>57650</v>
      </c>
      <c r="H25301" s="49">
        <f t="shared" si="2"/>
        <v>57226</v>
      </c>
    </row>
    <row r="25302">
      <c r="A25302" s="48" t="s">
        <v>16724</v>
      </c>
      <c r="B25302" s="38">
        <v>10156.0</v>
      </c>
      <c r="C25302" s="38" t="s">
        <v>29808</v>
      </c>
      <c r="D25302" s="38" t="str">
        <f>IFERROR(__xludf.DUMMYFUNCTION("REGEXREPLACE(C25302,""-\d+(.*)|--\d+(.*)"","""")"),"FONTVANNES")</f>
        <v>FONTVANNES</v>
      </c>
      <c r="E25302" s="38" t="s">
        <v>147</v>
      </c>
      <c r="F25302" s="38" t="s">
        <v>130</v>
      </c>
      <c r="G25302" s="49" t="str">
        <f t="shared" si="1"/>
        <v>10190</v>
      </c>
      <c r="H25302" s="49">
        <f t="shared" si="2"/>
        <v>10156</v>
      </c>
    </row>
    <row r="25303">
      <c r="A25303" s="48" t="s">
        <v>29809</v>
      </c>
      <c r="B25303" s="38">
        <v>13073.0</v>
      </c>
      <c r="C25303" s="38" t="s">
        <v>29810</v>
      </c>
      <c r="D25303" s="38" t="str">
        <f>IFERROR(__xludf.DUMMYFUNCTION("REGEXREPLACE(C25303,""-\d+(.*)|--\d+(.*)"","""")"),"PEYPIN")</f>
        <v>PEYPIN</v>
      </c>
      <c r="E25303" s="38" t="s">
        <v>980</v>
      </c>
      <c r="F25303" s="38" t="s">
        <v>228</v>
      </c>
      <c r="G25303" s="49" t="str">
        <f t="shared" si="1"/>
        <v>13124</v>
      </c>
      <c r="H25303" s="49">
        <f t="shared" si="2"/>
        <v>13073</v>
      </c>
    </row>
    <row r="25304">
      <c r="A25304" s="48" t="s">
        <v>1195</v>
      </c>
      <c r="B25304" s="38">
        <v>80192.0</v>
      </c>
      <c r="C25304" s="38" t="s">
        <v>29811</v>
      </c>
      <c r="D25304" s="38" t="str">
        <f>IFERROR(__xludf.DUMMYFUNCTION("REGEXREPLACE(C25304,""-\d+(.*)|--\d+(.*)"","""")"),"CHIPILLY")</f>
        <v>CHIPILLY</v>
      </c>
      <c r="E25304" s="38" t="s">
        <v>224</v>
      </c>
      <c r="F25304" s="38" t="s">
        <v>113</v>
      </c>
      <c r="G25304" s="49" t="str">
        <f t="shared" si="1"/>
        <v>80800</v>
      </c>
      <c r="H25304" s="49">
        <f t="shared" si="2"/>
        <v>80192</v>
      </c>
    </row>
    <row r="25305">
      <c r="A25305" s="48" t="s">
        <v>9221</v>
      </c>
      <c r="B25305" s="38">
        <v>34282.0</v>
      </c>
      <c r="C25305" s="38" t="s">
        <v>29812</v>
      </c>
      <c r="D25305" s="38" t="str">
        <f>IFERROR(__xludf.DUMMYFUNCTION("REGEXREPLACE(C25305,""-\d+(.*)|--\d+(.*)"","""")"),"SAINT-PAUL-ET-VALMALLE")</f>
        <v>SAINT-PAUL-ET-VALMALLE</v>
      </c>
      <c r="E25305" s="38" t="s">
        <v>118</v>
      </c>
      <c r="F25305" s="38" t="s">
        <v>119</v>
      </c>
      <c r="G25305" s="49" t="str">
        <f t="shared" si="1"/>
        <v>34570</v>
      </c>
      <c r="H25305" s="49">
        <f t="shared" si="2"/>
        <v>34282</v>
      </c>
    </row>
    <row r="25306">
      <c r="A25306" s="48" t="s">
        <v>466</v>
      </c>
      <c r="B25306" s="38">
        <v>52456.0</v>
      </c>
      <c r="C25306" s="38" t="s">
        <v>29813</v>
      </c>
      <c r="D25306" s="38" t="str">
        <f>IFERROR(__xludf.DUMMYFUNCTION("REGEXREPLACE(C25306,""-\d+(.*)|--\d+(.*)"","""")"),"SAINT-URBAIN-MACONCOURT")</f>
        <v>SAINT-URBAIN-MACONCOURT</v>
      </c>
      <c r="E25306" s="38" t="s">
        <v>234</v>
      </c>
      <c r="F25306" s="38" t="s">
        <v>130</v>
      </c>
      <c r="G25306" s="49" t="str">
        <f t="shared" si="1"/>
        <v>52300</v>
      </c>
      <c r="H25306" s="49">
        <f t="shared" si="2"/>
        <v>52456</v>
      </c>
    </row>
    <row r="25307">
      <c r="A25307" s="48" t="s">
        <v>2783</v>
      </c>
      <c r="B25307" s="38">
        <v>31011.0</v>
      </c>
      <c r="C25307" s="38" t="s">
        <v>29814</v>
      </c>
      <c r="D25307" s="38" t="str">
        <f>IFERROR(__xludf.DUMMYFUNCTION("REGEXREPLACE(C25307,""-\d+(.*)|--\d+(.*)"","""")"),"ARBAS")</f>
        <v>ARBAS</v>
      </c>
      <c r="E25307" s="38" t="s">
        <v>93</v>
      </c>
      <c r="F25307" s="38" t="s">
        <v>94</v>
      </c>
      <c r="G25307" s="49" t="str">
        <f t="shared" si="1"/>
        <v>31160</v>
      </c>
      <c r="H25307" s="49">
        <f t="shared" si="2"/>
        <v>31011</v>
      </c>
    </row>
    <row r="25308">
      <c r="A25308" s="48" t="s">
        <v>1452</v>
      </c>
      <c r="B25308" s="38">
        <v>55045.0</v>
      </c>
      <c r="C25308" s="38" t="s">
        <v>29815</v>
      </c>
      <c r="D25308" s="38" t="str">
        <f>IFERROR(__xludf.DUMMYFUNCTION("REGEXREPLACE(C25308,""-\d+(.*)|--\d+(.*)"","""")"),"BELRUPT-EN-VERDUNOIS")</f>
        <v>BELRUPT-EN-VERDUNOIS</v>
      </c>
      <c r="E25308" s="38" t="s">
        <v>322</v>
      </c>
      <c r="F25308" s="38" t="s">
        <v>195</v>
      </c>
      <c r="G25308" s="49" t="str">
        <f t="shared" si="1"/>
        <v>55100</v>
      </c>
      <c r="H25308" s="49">
        <f t="shared" si="2"/>
        <v>55045</v>
      </c>
    </row>
    <row r="25309">
      <c r="A25309" s="48" t="s">
        <v>5302</v>
      </c>
      <c r="B25309" s="38">
        <v>14658.0</v>
      </c>
      <c r="C25309" s="38" t="s">
        <v>29816</v>
      </c>
      <c r="D25309" s="38" t="str">
        <f>IFERROR(__xludf.DUMMYFUNCTION("REGEXREPLACE(C25309,""-\d+(.*)|--\d+(.*)"","""")"),"SAINT-SEVER-CALVADOS")</f>
        <v>SAINT-SEVER-CALVADOS</v>
      </c>
      <c r="E25309" s="38" t="s">
        <v>137</v>
      </c>
      <c r="F25309" s="38" t="s">
        <v>138</v>
      </c>
      <c r="G25309" s="49" t="str">
        <f t="shared" si="1"/>
        <v>14380</v>
      </c>
      <c r="H25309" s="49">
        <f t="shared" si="2"/>
        <v>14658</v>
      </c>
    </row>
    <row r="25310">
      <c r="A25310" s="48" t="s">
        <v>1588</v>
      </c>
      <c r="B25310" s="38">
        <v>9011.0</v>
      </c>
      <c r="C25310" s="38" t="s">
        <v>19957</v>
      </c>
      <c r="D25310" s="38" t="str">
        <f>IFERROR(__xludf.DUMMYFUNCTION("REGEXREPLACE(C25310,""-\d+(.*)|--\d+(.*)"","""")"),"ANTRAS")</f>
        <v>ANTRAS</v>
      </c>
      <c r="E25310" s="38" t="s">
        <v>238</v>
      </c>
      <c r="F25310" s="38" t="s">
        <v>94</v>
      </c>
      <c r="G25310" s="49" t="str">
        <f t="shared" si="1"/>
        <v>09800</v>
      </c>
      <c r="H25310" s="49" t="str">
        <f t="shared" si="2"/>
        <v>09011</v>
      </c>
    </row>
    <row r="25311">
      <c r="A25311" s="48" t="s">
        <v>7546</v>
      </c>
      <c r="B25311" s="38">
        <v>35279.0</v>
      </c>
      <c r="C25311" s="38" t="s">
        <v>29817</v>
      </c>
      <c r="D25311" s="38" t="str">
        <f>IFERROR(__xludf.DUMMYFUNCTION("REGEXREPLACE(C25311,""-\d+(.*)|--\d+(.*)"","""")"),"SAINT-GUINOUX")</f>
        <v>SAINT-GUINOUX</v>
      </c>
      <c r="E25311" s="38" t="s">
        <v>347</v>
      </c>
      <c r="F25311" s="38" t="s">
        <v>90</v>
      </c>
      <c r="G25311" s="49" t="str">
        <f t="shared" si="1"/>
        <v>35430</v>
      </c>
      <c r="H25311" s="49">
        <f t="shared" si="2"/>
        <v>35279</v>
      </c>
    </row>
    <row r="25312">
      <c r="A25312" s="48" t="s">
        <v>3475</v>
      </c>
      <c r="B25312" s="38">
        <v>35196.0</v>
      </c>
      <c r="C25312" s="38" t="s">
        <v>29818</v>
      </c>
      <c r="D25312" s="38" t="str">
        <f>IFERROR(__xludf.DUMMYFUNCTION("REGEXREPLACE(C25312,""-\d+(.*)|--\d+(.*)"","""")"),"MORDELLES")</f>
        <v>MORDELLES</v>
      </c>
      <c r="E25312" s="38" t="s">
        <v>347</v>
      </c>
      <c r="F25312" s="38" t="s">
        <v>90</v>
      </c>
      <c r="G25312" s="49" t="str">
        <f t="shared" si="1"/>
        <v>35310</v>
      </c>
      <c r="H25312" s="49">
        <f t="shared" si="2"/>
        <v>35196</v>
      </c>
    </row>
    <row r="25313">
      <c r="A25313" s="48" t="s">
        <v>1681</v>
      </c>
      <c r="B25313" s="38">
        <v>80667.0</v>
      </c>
      <c r="C25313" s="38" t="s">
        <v>29819</v>
      </c>
      <c r="D25313" s="38" t="str">
        <f>IFERROR(__xludf.DUMMYFUNCTION("REGEXREPLACE(C25313,""-\d+(.*)|--\d+(.*)"","""")"),"REMAUGIES")</f>
        <v>REMAUGIES</v>
      </c>
      <c r="E25313" s="38" t="s">
        <v>224</v>
      </c>
      <c r="F25313" s="38" t="s">
        <v>113</v>
      </c>
      <c r="G25313" s="49" t="str">
        <f t="shared" si="1"/>
        <v>80500</v>
      </c>
      <c r="H25313" s="49">
        <f t="shared" si="2"/>
        <v>80667</v>
      </c>
    </row>
    <row r="25314">
      <c r="A25314" s="48" t="s">
        <v>5091</v>
      </c>
      <c r="B25314" s="38">
        <v>41272.0</v>
      </c>
      <c r="C25314" s="38" t="s">
        <v>29820</v>
      </c>
      <c r="D25314" s="38" t="str">
        <f>IFERROR(__xludf.DUMMYFUNCTION("REGEXREPLACE(C25314,""-\d+(.*)|--\d+(.*)"","""")"),"VEUVES")</f>
        <v>VEUVES</v>
      </c>
      <c r="E25314" s="38" t="s">
        <v>188</v>
      </c>
      <c r="F25314" s="38" t="s">
        <v>123</v>
      </c>
      <c r="G25314" s="49" t="str">
        <f t="shared" si="1"/>
        <v>41150</v>
      </c>
      <c r="H25314" s="49">
        <f t="shared" si="2"/>
        <v>41272</v>
      </c>
    </row>
    <row r="25315">
      <c r="A25315" s="48" t="s">
        <v>3948</v>
      </c>
      <c r="B25315" s="38">
        <v>21438.0</v>
      </c>
      <c r="C25315" s="38" t="s">
        <v>29821</v>
      </c>
      <c r="D25315" s="38" t="str">
        <f>IFERROR(__xludf.DUMMYFUNCTION("REGEXREPLACE(C25315,""-\d+(.*)|--\d+(.*)"","""")"),"MONTMOYEN")</f>
        <v>MONTMOYEN</v>
      </c>
      <c r="E25315" s="38" t="s">
        <v>105</v>
      </c>
      <c r="F25315" s="38" t="s">
        <v>106</v>
      </c>
      <c r="G25315" s="49" t="str">
        <f t="shared" si="1"/>
        <v>21290</v>
      </c>
      <c r="H25315" s="49">
        <f t="shared" si="2"/>
        <v>21438</v>
      </c>
    </row>
    <row r="25316">
      <c r="A25316" s="48" t="s">
        <v>715</v>
      </c>
      <c r="B25316" s="38">
        <v>88030.0</v>
      </c>
      <c r="C25316" s="38" t="s">
        <v>29822</v>
      </c>
      <c r="D25316" s="38" t="str">
        <f>IFERROR(__xludf.DUMMYFUNCTION("REGEXREPLACE(C25316,""-\d+(.*)|--\d+(.*)"","""")"),"BAINVILLE-AUX-SAULES")</f>
        <v>BAINVILLE-AUX-SAULES</v>
      </c>
      <c r="E25316" s="38" t="s">
        <v>194</v>
      </c>
      <c r="F25316" s="38" t="s">
        <v>195</v>
      </c>
      <c r="G25316" s="49" t="str">
        <f t="shared" si="1"/>
        <v>88270</v>
      </c>
      <c r="H25316" s="49">
        <f t="shared" si="2"/>
        <v>88030</v>
      </c>
    </row>
    <row r="25317">
      <c r="A25317" s="48" t="s">
        <v>5101</v>
      </c>
      <c r="B25317" s="38">
        <v>54344.0</v>
      </c>
      <c r="C25317" s="38" t="s">
        <v>29823</v>
      </c>
      <c r="D25317" s="38" t="str">
        <f>IFERROR(__xludf.DUMMYFUNCTION("REGEXREPLACE(C25317,""-\d+(.*)|--\d+(.*)"","""")"),"MANGONVILLE")</f>
        <v>MANGONVILLE</v>
      </c>
      <c r="E25317" s="38" t="s">
        <v>548</v>
      </c>
      <c r="F25317" s="38" t="s">
        <v>195</v>
      </c>
      <c r="G25317" s="49" t="str">
        <f t="shared" si="1"/>
        <v>54290</v>
      </c>
      <c r="H25317" s="49">
        <f t="shared" si="2"/>
        <v>54344</v>
      </c>
    </row>
    <row r="25318">
      <c r="A25318" s="48" t="s">
        <v>1908</v>
      </c>
      <c r="B25318" s="38">
        <v>62809.0</v>
      </c>
      <c r="C25318" s="38" t="s">
        <v>29824</v>
      </c>
      <c r="D25318" s="38" t="str">
        <f>IFERROR(__xludf.DUMMYFUNCTION("REGEXREPLACE(C25318,""-\d+(.*)|--\d+(.*)"","""")"),"TERNAS")</f>
        <v>TERNAS</v>
      </c>
      <c r="E25318" s="38" t="s">
        <v>109</v>
      </c>
      <c r="F25318" s="38" t="s">
        <v>86</v>
      </c>
      <c r="G25318" s="49" t="str">
        <f t="shared" si="1"/>
        <v>62127</v>
      </c>
      <c r="H25318" s="49">
        <f t="shared" si="2"/>
        <v>62809</v>
      </c>
    </row>
    <row r="25319">
      <c r="A25319" s="48" t="s">
        <v>702</v>
      </c>
      <c r="B25319" s="38">
        <v>31084.0</v>
      </c>
      <c r="C25319" s="38" t="s">
        <v>29825</v>
      </c>
      <c r="D25319" s="38" t="str">
        <f>IFERROR(__xludf.DUMMYFUNCTION("REGEXREPLACE(C25319,""-\d+(.*)|--\d+(.*)"","""")"),"BOUSSENS")</f>
        <v>BOUSSENS</v>
      </c>
      <c r="E25319" s="38" t="s">
        <v>93</v>
      </c>
      <c r="F25319" s="38" t="s">
        <v>94</v>
      </c>
      <c r="G25319" s="49" t="str">
        <f t="shared" si="1"/>
        <v>31360</v>
      </c>
      <c r="H25319" s="49">
        <f t="shared" si="2"/>
        <v>31084</v>
      </c>
    </row>
    <row r="25320">
      <c r="A25320" s="48" t="s">
        <v>2100</v>
      </c>
      <c r="B25320" s="38">
        <v>14734.0</v>
      </c>
      <c r="C25320" s="38" t="s">
        <v>29826</v>
      </c>
      <c r="D25320" s="38" t="str">
        <f>IFERROR(__xludf.DUMMYFUNCTION("REGEXREPLACE(C25320,""-\d+(.*)|--\d+(.*)"","""")"),"VENDES")</f>
        <v>VENDES</v>
      </c>
      <c r="E25320" s="38" t="s">
        <v>137</v>
      </c>
      <c r="F25320" s="38" t="s">
        <v>138</v>
      </c>
      <c r="G25320" s="49" t="str">
        <f t="shared" si="1"/>
        <v>14250</v>
      </c>
      <c r="H25320" s="49">
        <f t="shared" si="2"/>
        <v>14734</v>
      </c>
    </row>
    <row r="25321">
      <c r="A25321" s="48" t="s">
        <v>5268</v>
      </c>
      <c r="B25321" s="38">
        <v>49305.0</v>
      </c>
      <c r="C25321" s="38" t="s">
        <v>29827</v>
      </c>
      <c r="D25321" s="38" t="str">
        <f>IFERROR(__xludf.DUMMYFUNCTION("REGEXREPLACE(C25321,""-\d+(.*)|--\d+(.*)"","""")"),"SAINT-MARTIN-DU-BOIS")</f>
        <v>SAINT-MARTIN-DU-BOIS</v>
      </c>
      <c r="E25321" s="38" t="s">
        <v>653</v>
      </c>
      <c r="F25321" s="38" t="s">
        <v>180</v>
      </c>
      <c r="G25321" s="49" t="str">
        <f t="shared" si="1"/>
        <v>49500</v>
      </c>
      <c r="H25321" s="49">
        <f t="shared" si="2"/>
        <v>49305</v>
      </c>
    </row>
    <row r="25322">
      <c r="A25322" s="48" t="s">
        <v>3452</v>
      </c>
      <c r="B25322" s="38">
        <v>36019.0</v>
      </c>
      <c r="C25322" s="38" t="s">
        <v>29828</v>
      </c>
      <c r="D25322" s="38" t="str">
        <f>IFERROR(__xludf.DUMMYFUNCTION("REGEXREPLACE(C25322,""-\d+(.*)|--\d+(.*)"","""")"),"BOMMIERS")</f>
        <v>BOMMIERS</v>
      </c>
      <c r="E25322" s="38" t="s">
        <v>258</v>
      </c>
      <c r="F25322" s="38" t="s">
        <v>123</v>
      </c>
      <c r="G25322" s="49" t="str">
        <f t="shared" si="1"/>
        <v>36120</v>
      </c>
      <c r="H25322" s="49">
        <f t="shared" si="2"/>
        <v>36019</v>
      </c>
    </row>
    <row r="25323">
      <c r="A25323" s="48" t="s">
        <v>2266</v>
      </c>
      <c r="B25323" s="38">
        <v>55265.0</v>
      </c>
      <c r="C25323" s="38" t="s">
        <v>29829</v>
      </c>
      <c r="D25323" s="38" t="str">
        <f>IFERROR(__xludf.DUMMYFUNCTION("REGEXREPLACE(C25323,""-\d+(.*)|--\d+(.*)"","""")"),"LABEUVILLE")</f>
        <v>LABEUVILLE</v>
      </c>
      <c r="E25323" s="38" t="s">
        <v>322</v>
      </c>
      <c r="F25323" s="38" t="s">
        <v>195</v>
      </c>
      <c r="G25323" s="49" t="str">
        <f t="shared" si="1"/>
        <v>55160</v>
      </c>
      <c r="H25323" s="49">
        <f t="shared" si="2"/>
        <v>55265</v>
      </c>
    </row>
    <row r="25324">
      <c r="A25324" s="48" t="s">
        <v>145</v>
      </c>
      <c r="B25324" s="38">
        <v>10251.0</v>
      </c>
      <c r="C25324" s="38" t="s">
        <v>29830</v>
      </c>
      <c r="D25324" s="38" t="str">
        <f>IFERROR(__xludf.DUMMYFUNCTION("REGEXREPLACE(C25324,""-\d+(.*)|--\d+(.*)"","""")"),"MONTIGNY-LES-MONTS")</f>
        <v>MONTIGNY-LES-MONTS</v>
      </c>
      <c r="E25324" s="38" t="s">
        <v>147</v>
      </c>
      <c r="F25324" s="38" t="s">
        <v>130</v>
      </c>
      <c r="G25324" s="49" t="str">
        <f t="shared" si="1"/>
        <v>10130</v>
      </c>
      <c r="H25324" s="49">
        <f t="shared" si="2"/>
        <v>10251</v>
      </c>
    </row>
    <row r="25325">
      <c r="A25325" s="48" t="s">
        <v>1968</v>
      </c>
      <c r="B25325" s="38">
        <v>52123.0</v>
      </c>
      <c r="C25325" s="38" t="s">
        <v>6300</v>
      </c>
      <c r="D25325" s="38" t="str">
        <f>IFERROR(__xludf.DUMMYFUNCTION("REGEXREPLACE(C25325,""-\d+(.*)|--\d+(.*)"","""")"),"CHEVILLON")</f>
        <v>CHEVILLON</v>
      </c>
      <c r="E25325" s="38" t="s">
        <v>234</v>
      </c>
      <c r="F25325" s="38" t="s">
        <v>130</v>
      </c>
      <c r="G25325" s="49" t="str">
        <f t="shared" si="1"/>
        <v>52170</v>
      </c>
      <c r="H25325" s="49">
        <f t="shared" si="2"/>
        <v>52123</v>
      </c>
    </row>
    <row r="25326">
      <c r="A25326" s="48" t="s">
        <v>2532</v>
      </c>
      <c r="B25326" s="38">
        <v>51511.0</v>
      </c>
      <c r="C25326" s="38" t="s">
        <v>29831</v>
      </c>
      <c r="D25326" s="38" t="str">
        <f>IFERROR(__xludf.DUMMYFUNCTION("REGEXREPLACE(C25326,""-\d+(.*)|--\d+(.*)"","""")"),"SAINT-QUENTIN-LE-VERGER")</f>
        <v>SAINT-QUENTIN-LE-VERGER</v>
      </c>
      <c r="E25326" s="38" t="s">
        <v>129</v>
      </c>
      <c r="F25326" s="38" t="s">
        <v>130</v>
      </c>
      <c r="G25326" s="49" t="str">
        <f t="shared" si="1"/>
        <v>51120</v>
      </c>
      <c r="H25326" s="49">
        <f t="shared" si="2"/>
        <v>51511</v>
      </c>
    </row>
    <row r="25327">
      <c r="A25327" s="48" t="s">
        <v>622</v>
      </c>
      <c r="B25327" s="38">
        <v>14498.0</v>
      </c>
      <c r="C25327" s="38" t="s">
        <v>29832</v>
      </c>
      <c r="D25327" s="38" t="str">
        <f>IFERROR(__xludf.DUMMYFUNCTION("REGEXREPLACE(C25327,""-\d+(.*)|--\d+(.*)"","""")"),"PERTHEVILLE-NERS")</f>
        <v>PERTHEVILLE-NERS</v>
      </c>
      <c r="E25327" s="38" t="s">
        <v>137</v>
      </c>
      <c r="F25327" s="38" t="s">
        <v>138</v>
      </c>
      <c r="G25327" s="49" t="str">
        <f t="shared" si="1"/>
        <v>14700</v>
      </c>
      <c r="H25327" s="49">
        <f t="shared" si="2"/>
        <v>14498</v>
      </c>
    </row>
    <row r="25328">
      <c r="A25328" s="48" t="s">
        <v>3346</v>
      </c>
      <c r="B25328" s="38">
        <v>65242.0</v>
      </c>
      <c r="C25328" s="38" t="s">
        <v>29833</v>
      </c>
      <c r="D25328" s="38" t="str">
        <f>IFERROR(__xludf.DUMMYFUNCTION("REGEXREPLACE(C25328,""-\d+(.*)|--\d+(.*)"","""")"),"LACASSAGNE")</f>
        <v>LACASSAGNE</v>
      </c>
      <c r="E25328" s="38" t="s">
        <v>200</v>
      </c>
      <c r="F25328" s="38" t="s">
        <v>94</v>
      </c>
      <c r="G25328" s="49" t="str">
        <f t="shared" si="1"/>
        <v>65140</v>
      </c>
      <c r="H25328" s="49">
        <f t="shared" si="2"/>
        <v>65242</v>
      </c>
    </row>
    <row r="25329">
      <c r="A25329" s="48" t="s">
        <v>29834</v>
      </c>
      <c r="B25329" s="38">
        <v>77114.0</v>
      </c>
      <c r="C25329" s="38" t="s">
        <v>29835</v>
      </c>
      <c r="D25329" s="38" t="str">
        <f>IFERROR(__xludf.DUMMYFUNCTION("REGEXREPLACE(C25329,""-\d+(.*)|--\d+(.*)"","""")"),"CHEVRY-COSSIGNY")</f>
        <v>CHEVRY-COSSIGNY</v>
      </c>
      <c r="E25329" s="38" t="s">
        <v>244</v>
      </c>
      <c r="F25329" s="38" t="s">
        <v>245</v>
      </c>
      <c r="G25329" s="49" t="str">
        <f t="shared" si="1"/>
        <v>77173</v>
      </c>
      <c r="H25329" s="49">
        <f t="shared" si="2"/>
        <v>77114</v>
      </c>
    </row>
    <row r="25330">
      <c r="A25330" s="48" t="s">
        <v>2266</v>
      </c>
      <c r="B25330" s="38">
        <v>55311.0</v>
      </c>
      <c r="C25330" s="38" t="s">
        <v>29836</v>
      </c>
      <c r="D25330" s="38" t="str">
        <f>IFERROR(__xludf.DUMMYFUNCTION("REGEXREPLACE(C25330,""-\d+(.*)|--\d+(.*)"","""")"),"MAIZERAY")</f>
        <v>MAIZERAY</v>
      </c>
      <c r="E25330" s="38" t="s">
        <v>322</v>
      </c>
      <c r="F25330" s="38" t="s">
        <v>195</v>
      </c>
      <c r="G25330" s="49" t="str">
        <f t="shared" si="1"/>
        <v>55160</v>
      </c>
      <c r="H25330" s="49">
        <f t="shared" si="2"/>
        <v>55311</v>
      </c>
    </row>
    <row r="25331">
      <c r="A25331" s="48" t="s">
        <v>1536</v>
      </c>
      <c r="B25331" s="38">
        <v>43241.0</v>
      </c>
      <c r="C25331" s="38" t="s">
        <v>29837</v>
      </c>
      <c r="D25331" s="38" t="str">
        <f>IFERROR(__xludf.DUMMYFUNCTION("REGEXREPLACE(C25331,""-\d+(.*)|--\d+(.*)"","""")"),"SOLIGNAC-SUR-LOIRE")</f>
        <v>SOLIGNAC-SUR-LOIRE</v>
      </c>
      <c r="E25331" s="38" t="s">
        <v>332</v>
      </c>
      <c r="F25331" s="38" t="s">
        <v>161</v>
      </c>
      <c r="G25331" s="49" t="str">
        <f t="shared" si="1"/>
        <v>43370</v>
      </c>
      <c r="H25331" s="49">
        <f t="shared" si="2"/>
        <v>43241</v>
      </c>
    </row>
    <row r="25332">
      <c r="A25332" s="48" t="s">
        <v>12232</v>
      </c>
      <c r="B25332" s="38">
        <v>11305.0</v>
      </c>
      <c r="C25332" s="38" t="s">
        <v>29838</v>
      </c>
      <c r="D25332" s="38" t="str">
        <f>IFERROR(__xludf.DUMMYFUNCTION("REGEXREPLACE(C25332,""-\d+(.*)|--\d+(.*)"","""")"),"QUINTILLAN")</f>
        <v>QUINTILLAN</v>
      </c>
      <c r="E25332" s="38" t="s">
        <v>278</v>
      </c>
      <c r="F25332" s="38" t="s">
        <v>119</v>
      </c>
      <c r="G25332" s="49" t="str">
        <f t="shared" si="1"/>
        <v>11360</v>
      </c>
      <c r="H25332" s="49">
        <f t="shared" si="2"/>
        <v>11305</v>
      </c>
    </row>
    <row r="25333">
      <c r="A25333" s="48" t="s">
        <v>3821</v>
      </c>
      <c r="B25333" s="38">
        <v>57130.0</v>
      </c>
      <c r="C25333" s="38" t="s">
        <v>29839</v>
      </c>
      <c r="D25333" s="38" t="str">
        <f>IFERROR(__xludf.DUMMYFUNCTION("REGEXREPLACE(C25333,""-\d+(.*)|--\d+(.*)"","""")"),"CHATEAU-BREHAIN")</f>
        <v>CHATEAU-BREHAIN</v>
      </c>
      <c r="E25333" s="38" t="s">
        <v>303</v>
      </c>
      <c r="F25333" s="38" t="s">
        <v>195</v>
      </c>
      <c r="G25333" s="49" t="str">
        <f t="shared" si="1"/>
        <v>57340</v>
      </c>
      <c r="H25333" s="49">
        <f t="shared" si="2"/>
        <v>57130</v>
      </c>
    </row>
    <row r="25334">
      <c r="A25334" s="48" t="s">
        <v>8287</v>
      </c>
      <c r="B25334" s="38">
        <v>31420.0</v>
      </c>
      <c r="C25334" s="38" t="s">
        <v>29840</v>
      </c>
      <c r="D25334" s="38" t="str">
        <f>IFERROR(__xludf.DUMMYFUNCTION("REGEXREPLACE(C25334,""-\d+(.*)|--\d+(.*)"","""")"),"PINSAGUEL")</f>
        <v>PINSAGUEL</v>
      </c>
      <c r="E25334" s="38" t="s">
        <v>93</v>
      </c>
      <c r="F25334" s="38" t="s">
        <v>94</v>
      </c>
      <c r="G25334" s="49" t="str">
        <f t="shared" si="1"/>
        <v>31120</v>
      </c>
      <c r="H25334" s="49">
        <f t="shared" si="2"/>
        <v>31420</v>
      </c>
    </row>
    <row r="25335">
      <c r="A25335" s="48" t="s">
        <v>26328</v>
      </c>
      <c r="B25335" s="38" t="s">
        <v>29841</v>
      </c>
      <c r="C25335" s="38" t="s">
        <v>29842</v>
      </c>
      <c r="D25335" s="38" t="str">
        <f>IFERROR(__xludf.DUMMYFUNCTION("REGEXREPLACE(C25335,""-\d+(.*)|--\d+(.*)"","""")"),"OCCHIATANA")</f>
        <v>OCCHIATANA</v>
      </c>
      <c r="E25335" s="38" t="s">
        <v>743</v>
      </c>
      <c r="F25335" s="38" t="s">
        <v>607</v>
      </c>
      <c r="G25335" s="49" t="str">
        <f t="shared" si="1"/>
        <v>20226</v>
      </c>
      <c r="H25335" s="49" t="str">
        <f t="shared" si="2"/>
        <v>2B182</v>
      </c>
    </row>
    <row r="25336">
      <c r="A25336" s="48" t="s">
        <v>2809</v>
      </c>
      <c r="B25336" s="38">
        <v>77124.0</v>
      </c>
      <c r="C25336" s="38" t="s">
        <v>29843</v>
      </c>
      <c r="D25336" s="38" t="str">
        <f>IFERROR(__xludf.DUMMYFUNCTION("REGEXREPLACE(C25336,""-\d+(.*)|--\d+(.*)"","""")"),"CONCHES-SUR-GONDOIRE")</f>
        <v>CONCHES-SUR-GONDOIRE</v>
      </c>
      <c r="E25336" s="38" t="s">
        <v>244</v>
      </c>
      <c r="F25336" s="38" t="s">
        <v>245</v>
      </c>
      <c r="G25336" s="49" t="str">
        <f t="shared" si="1"/>
        <v>77600</v>
      </c>
      <c r="H25336" s="49">
        <f t="shared" si="2"/>
        <v>77124</v>
      </c>
    </row>
    <row r="25337">
      <c r="A25337" s="48" t="s">
        <v>4711</v>
      </c>
      <c r="B25337" s="38">
        <v>88014.0</v>
      </c>
      <c r="C25337" s="38" t="s">
        <v>29844</v>
      </c>
      <c r="D25337" s="38" t="str">
        <f>IFERROR(__xludf.DUMMYFUNCTION("REGEXREPLACE(C25337,""-\d+(.*)|--\d+(.*)"","""")"),"ARRENTES-DE-CORCIEUX")</f>
        <v>ARRENTES-DE-CORCIEUX</v>
      </c>
      <c r="E25337" s="38" t="s">
        <v>194</v>
      </c>
      <c r="F25337" s="38" t="s">
        <v>195</v>
      </c>
      <c r="G25337" s="49" t="str">
        <f t="shared" si="1"/>
        <v>88430</v>
      </c>
      <c r="H25337" s="49">
        <f t="shared" si="2"/>
        <v>88014</v>
      </c>
    </row>
    <row r="25338">
      <c r="A25338" s="48" t="s">
        <v>21112</v>
      </c>
      <c r="B25338" s="38">
        <v>67260.0</v>
      </c>
      <c r="C25338" s="38" t="s">
        <v>29845</v>
      </c>
      <c r="D25338" s="38" t="str">
        <f>IFERROR(__xludf.DUMMYFUNCTION("REGEXREPLACE(C25338,""-\d+(.*)|--\d+(.*)"","""")"),"LAUBACH")</f>
        <v>LAUBACH</v>
      </c>
      <c r="E25338" s="38" t="s">
        <v>210</v>
      </c>
      <c r="F25338" s="38" t="s">
        <v>151</v>
      </c>
      <c r="G25338" s="49" t="str">
        <f t="shared" si="1"/>
        <v>67580</v>
      </c>
      <c r="H25338" s="49">
        <f t="shared" si="2"/>
        <v>67260</v>
      </c>
    </row>
    <row r="25339">
      <c r="A25339" s="48" t="s">
        <v>29846</v>
      </c>
      <c r="B25339" s="38">
        <v>6104.0</v>
      </c>
      <c r="C25339" s="38" t="s">
        <v>29847</v>
      </c>
      <c r="D25339" s="38" t="str">
        <f>IFERROR(__xludf.DUMMYFUNCTION("REGEXREPLACE(C25339,""-\d+(.*)|--\d+(.*)"","""")"),"ROQUEBRUNE-CAP-MARTIN")</f>
        <v>ROQUEBRUNE-CAP-MARTIN</v>
      </c>
      <c r="E25339" s="38" t="s">
        <v>227</v>
      </c>
      <c r="F25339" s="38" t="s">
        <v>228</v>
      </c>
      <c r="G25339" s="49" t="str">
        <f t="shared" si="1"/>
        <v>06190</v>
      </c>
      <c r="H25339" s="49" t="str">
        <f t="shared" si="2"/>
        <v>06104</v>
      </c>
    </row>
    <row r="25340">
      <c r="A25340" s="48" t="s">
        <v>10861</v>
      </c>
      <c r="B25340" s="38">
        <v>35102.0</v>
      </c>
      <c r="C25340" s="38" t="s">
        <v>29848</v>
      </c>
      <c r="D25340" s="38" t="str">
        <f>IFERROR(__xludf.DUMMYFUNCTION("REGEXREPLACE(C25340,""-\d+(.*)|--\d+(.*)"","""")"),"DROUGES")</f>
        <v>DROUGES</v>
      </c>
      <c r="E25340" s="38" t="s">
        <v>347</v>
      </c>
      <c r="F25340" s="38" t="s">
        <v>90</v>
      </c>
      <c r="G25340" s="49" t="str">
        <f t="shared" si="1"/>
        <v>35130</v>
      </c>
      <c r="H25340" s="49">
        <f t="shared" si="2"/>
        <v>35102</v>
      </c>
    </row>
    <row r="25341">
      <c r="A25341" s="48" t="s">
        <v>6997</v>
      </c>
      <c r="B25341" s="38">
        <v>62821.0</v>
      </c>
      <c r="C25341" s="38" t="s">
        <v>29849</v>
      </c>
      <c r="D25341" s="38" t="str">
        <f>IFERROR(__xludf.DUMMYFUNCTION("REGEXREPLACE(C25341,""-\d+(.*)|--\d+(.*)"","""")"),"TINGRY")</f>
        <v>TINGRY</v>
      </c>
      <c r="E25341" s="38" t="s">
        <v>109</v>
      </c>
      <c r="F25341" s="38" t="s">
        <v>86</v>
      </c>
      <c r="G25341" s="49" t="str">
        <f t="shared" si="1"/>
        <v>62830</v>
      </c>
      <c r="H25341" s="49">
        <f t="shared" si="2"/>
        <v>62821</v>
      </c>
    </row>
    <row r="25342">
      <c r="A25342" s="48" t="s">
        <v>2631</v>
      </c>
      <c r="B25342" s="38">
        <v>64115.0</v>
      </c>
      <c r="C25342" s="38" t="s">
        <v>29850</v>
      </c>
      <c r="D25342" s="38" t="str">
        <f>IFERROR(__xludf.DUMMYFUNCTION("REGEXREPLACE(C25342,""-\d+(.*)|--\d+(.*)"","""")"),"BERROGAIN-LARUNS")</f>
        <v>BERROGAIN-LARUNS</v>
      </c>
      <c r="E25342" s="38" t="s">
        <v>268</v>
      </c>
      <c r="F25342" s="38" t="s">
        <v>252</v>
      </c>
      <c r="G25342" s="49" t="str">
        <f t="shared" si="1"/>
        <v>64130</v>
      </c>
      <c r="H25342" s="49">
        <f t="shared" si="2"/>
        <v>64115</v>
      </c>
    </row>
    <row r="25343">
      <c r="A25343" s="48" t="s">
        <v>6937</v>
      </c>
      <c r="B25343" s="38">
        <v>33026.0</v>
      </c>
      <c r="C25343" s="38" t="s">
        <v>29851</v>
      </c>
      <c r="D25343" s="38" t="str">
        <f>IFERROR(__xludf.DUMMYFUNCTION("REGEXREPLACE(C25343,""-\d+(.*)|--\d+(.*)"","""")"),"BALIZAC")</f>
        <v>BALIZAC</v>
      </c>
      <c r="E25343" s="38" t="s">
        <v>462</v>
      </c>
      <c r="F25343" s="38" t="s">
        <v>252</v>
      </c>
      <c r="G25343" s="49" t="str">
        <f t="shared" si="1"/>
        <v>33730</v>
      </c>
      <c r="H25343" s="49">
        <f t="shared" si="2"/>
        <v>33026</v>
      </c>
    </row>
    <row r="25344">
      <c r="A25344" s="48" t="s">
        <v>17512</v>
      </c>
      <c r="B25344" s="38">
        <v>72007.0</v>
      </c>
      <c r="C25344" s="38" t="s">
        <v>29852</v>
      </c>
      <c r="D25344" s="38" t="str">
        <f>IFERROR(__xludf.DUMMYFUNCTION("REGEXREPLACE(C25344,""-\d+(.*)|--\d+(.*)"","""")"),"ARDENAY-SUR-MERIZE")</f>
        <v>ARDENAY-SUR-MERIZE</v>
      </c>
      <c r="E25344" s="38" t="s">
        <v>521</v>
      </c>
      <c r="F25344" s="38" t="s">
        <v>180</v>
      </c>
      <c r="G25344" s="49" t="str">
        <f t="shared" si="1"/>
        <v>72370</v>
      </c>
      <c r="H25344" s="49">
        <f t="shared" si="2"/>
        <v>72007</v>
      </c>
    </row>
    <row r="25345">
      <c r="A25345" s="48" t="s">
        <v>6951</v>
      </c>
      <c r="B25345" s="38">
        <v>58171.0</v>
      </c>
      <c r="C25345" s="38" t="s">
        <v>29853</v>
      </c>
      <c r="D25345" s="38" t="str">
        <f>IFERROR(__xludf.DUMMYFUNCTION("REGEXREPLACE(C25345,""-\d+(.*)|--\d+(.*)"","""")"),"MONTAPAS")</f>
        <v>MONTAPAS</v>
      </c>
      <c r="E25345" s="38" t="s">
        <v>219</v>
      </c>
      <c r="F25345" s="38" t="s">
        <v>106</v>
      </c>
      <c r="G25345" s="49" t="str">
        <f t="shared" si="1"/>
        <v>58110</v>
      </c>
      <c r="H25345" s="49">
        <f t="shared" si="2"/>
        <v>58171</v>
      </c>
    </row>
    <row r="25346">
      <c r="A25346" s="48" t="s">
        <v>3500</v>
      </c>
      <c r="B25346" s="38">
        <v>38244.0</v>
      </c>
      <c r="C25346" s="38" t="s">
        <v>29854</v>
      </c>
      <c r="D25346" s="38" t="str">
        <f>IFERROR(__xludf.DUMMYFUNCTION("REGEXREPLACE(C25346,""-\d+(.*)|--\d+(.*)"","""")"),"MONSTEROUX-MILIEU")</f>
        <v>MONSTEROUX-MILIEU</v>
      </c>
      <c r="E25346" s="38" t="s">
        <v>101</v>
      </c>
      <c r="F25346" s="38" t="s">
        <v>102</v>
      </c>
      <c r="G25346" s="49" t="str">
        <f t="shared" si="1"/>
        <v>38122</v>
      </c>
      <c r="H25346" s="49">
        <f t="shared" si="2"/>
        <v>38244</v>
      </c>
    </row>
    <row r="25347">
      <c r="A25347" s="48" t="s">
        <v>10066</v>
      </c>
      <c r="B25347" s="38">
        <v>1012.0</v>
      </c>
      <c r="C25347" s="38" t="s">
        <v>29855</v>
      </c>
      <c r="D25347" s="38" t="str">
        <f>IFERROR(__xludf.DUMMYFUNCTION("REGEXREPLACE(C25347,""-\d+(.*)|--\d+(.*)"","""")"),"ARANC")</f>
        <v>ARANC</v>
      </c>
      <c r="E25347" s="38" t="s">
        <v>255</v>
      </c>
      <c r="F25347" s="38" t="s">
        <v>102</v>
      </c>
      <c r="G25347" s="49" t="str">
        <f t="shared" si="1"/>
        <v>01110</v>
      </c>
      <c r="H25347" s="49" t="str">
        <f t="shared" si="2"/>
        <v>01012</v>
      </c>
    </row>
    <row r="25348">
      <c r="A25348" s="48" t="s">
        <v>3305</v>
      </c>
      <c r="B25348" s="38">
        <v>24230.0</v>
      </c>
      <c r="C25348" s="38" t="s">
        <v>29856</v>
      </c>
      <c r="D25348" s="38" t="str">
        <f>IFERROR(__xludf.DUMMYFUNCTION("REGEXREPLACE(C25348,""-\d+(.*)|--\d+(.*)"","""")"),"LARZAC")</f>
        <v>LARZAC</v>
      </c>
      <c r="E25348" s="38" t="s">
        <v>261</v>
      </c>
      <c r="F25348" s="38" t="s">
        <v>252</v>
      </c>
      <c r="G25348" s="49" t="str">
        <f t="shared" si="1"/>
        <v>24170</v>
      </c>
      <c r="H25348" s="49">
        <f t="shared" si="2"/>
        <v>24230</v>
      </c>
    </row>
    <row r="25349">
      <c r="A25349" s="48" t="s">
        <v>671</v>
      </c>
      <c r="B25349" s="38">
        <v>21612.0</v>
      </c>
      <c r="C25349" s="38" t="s">
        <v>29857</v>
      </c>
      <c r="D25349" s="38" t="str">
        <f>IFERROR(__xludf.DUMMYFUNCTION("REGEXREPLACE(C25349,""-\d+(.*)|--\d+(.*)"","""")"),"SOUHEY")</f>
        <v>SOUHEY</v>
      </c>
      <c r="E25349" s="38" t="s">
        <v>105</v>
      </c>
      <c r="F25349" s="38" t="s">
        <v>106</v>
      </c>
      <c r="G25349" s="49" t="str">
        <f t="shared" si="1"/>
        <v>21140</v>
      </c>
      <c r="H25349" s="49">
        <f t="shared" si="2"/>
        <v>21612</v>
      </c>
    </row>
    <row r="25350">
      <c r="A25350" s="48" t="s">
        <v>2389</v>
      </c>
      <c r="B25350" s="38">
        <v>64403.0</v>
      </c>
      <c r="C25350" s="38" t="s">
        <v>20762</v>
      </c>
      <c r="D25350" s="38" t="str">
        <f>IFERROR(__xludf.DUMMYFUNCTION("REGEXREPLACE(C25350,""-\d+(.*)|--\d+(.*)"","""")"),"MONTFORT")</f>
        <v>MONTFORT</v>
      </c>
      <c r="E25350" s="38" t="s">
        <v>268</v>
      </c>
      <c r="F25350" s="38" t="s">
        <v>252</v>
      </c>
      <c r="G25350" s="49" t="str">
        <f t="shared" si="1"/>
        <v>64190</v>
      </c>
      <c r="H25350" s="49">
        <f t="shared" si="2"/>
        <v>64403</v>
      </c>
    </row>
    <row r="25351">
      <c r="A25351" s="48" t="s">
        <v>2532</v>
      </c>
      <c r="B25351" s="38">
        <v>51036.0</v>
      </c>
      <c r="C25351" s="38" t="s">
        <v>29858</v>
      </c>
      <c r="D25351" s="38" t="str">
        <f>IFERROR(__xludf.DUMMYFUNCTION("REGEXREPLACE(C25351,""-\d+(.*)|--\d+(.*)"","""")"),"BARBONNE-FAYEL")</f>
        <v>BARBONNE-FAYEL</v>
      </c>
      <c r="E25351" s="38" t="s">
        <v>129</v>
      </c>
      <c r="F25351" s="38" t="s">
        <v>130</v>
      </c>
      <c r="G25351" s="49" t="str">
        <f t="shared" si="1"/>
        <v>51120</v>
      </c>
      <c r="H25351" s="49">
        <f t="shared" si="2"/>
        <v>51036</v>
      </c>
    </row>
    <row r="25352">
      <c r="A25352" s="48" t="s">
        <v>3203</v>
      </c>
      <c r="B25352" s="38">
        <v>35075.0</v>
      </c>
      <c r="C25352" s="38" t="s">
        <v>29859</v>
      </c>
      <c r="D25352" s="38" t="str">
        <f>IFERROR(__xludf.DUMMYFUNCTION("REGEXREPLACE(C25352,""-\d+(.*)|--\d+(.*)"","""")"),"CHAUVIGNE")</f>
        <v>CHAUVIGNE</v>
      </c>
      <c r="E25352" s="38" t="s">
        <v>347</v>
      </c>
      <c r="F25352" s="38" t="s">
        <v>90</v>
      </c>
      <c r="G25352" s="49" t="str">
        <f t="shared" si="1"/>
        <v>35490</v>
      </c>
      <c r="H25352" s="49">
        <f t="shared" si="2"/>
        <v>35075</v>
      </c>
    </row>
    <row r="25353">
      <c r="A25353" s="48" t="s">
        <v>348</v>
      </c>
      <c r="B25353" s="38">
        <v>69107.0</v>
      </c>
      <c r="C25353" s="38" t="s">
        <v>29860</v>
      </c>
      <c r="D25353" s="38" t="str">
        <f>IFERROR(__xludf.DUMMYFUNCTION("REGEXREPLACE(C25353,""-\d+(.*)|--\d+(.*)"","""")"),"LAMURE-SUR-AZERGUES")</f>
        <v>LAMURE-SUR-AZERGUES</v>
      </c>
      <c r="E25353" s="38" t="s">
        <v>350</v>
      </c>
      <c r="F25353" s="38" t="s">
        <v>102</v>
      </c>
      <c r="G25353" s="49" t="str">
        <f t="shared" si="1"/>
        <v>69870</v>
      </c>
      <c r="H25353" s="49">
        <f t="shared" si="2"/>
        <v>69107</v>
      </c>
    </row>
    <row r="25354">
      <c r="A25354" s="48" t="s">
        <v>14097</v>
      </c>
      <c r="B25354" s="38">
        <v>10279.0</v>
      </c>
      <c r="C25354" s="38" t="s">
        <v>29861</v>
      </c>
      <c r="D25354" s="38" t="str">
        <f>IFERROR(__xludf.DUMMYFUNCTION("REGEXREPLACE(C25354,""-\d+(.*)|--\d+(.*)"","""")"),"PARS-LES-CHAVANGES")</f>
        <v>PARS-LES-CHAVANGES</v>
      </c>
      <c r="E25354" s="38" t="s">
        <v>147</v>
      </c>
      <c r="F25354" s="38" t="s">
        <v>130</v>
      </c>
      <c r="G25354" s="49" t="str">
        <f t="shared" si="1"/>
        <v>10330</v>
      </c>
      <c r="H25354" s="49">
        <f t="shared" si="2"/>
        <v>10279</v>
      </c>
    </row>
    <row r="25355">
      <c r="A25355" s="48" t="s">
        <v>4388</v>
      </c>
      <c r="B25355" s="38">
        <v>31422.0</v>
      </c>
      <c r="C25355" s="38" t="s">
        <v>26414</v>
      </c>
      <c r="D25355" s="38" t="str">
        <f>IFERROR(__xludf.DUMMYFUNCTION("REGEXREPLACE(C25355,""-\d+(.*)|--\d+(.*)"","""")"),"PLAGNE")</f>
        <v>PLAGNE</v>
      </c>
      <c r="E25355" s="38" t="s">
        <v>93</v>
      </c>
      <c r="F25355" s="38" t="s">
        <v>94</v>
      </c>
      <c r="G25355" s="49" t="str">
        <f t="shared" si="1"/>
        <v>31220</v>
      </c>
      <c r="H25355" s="49">
        <f t="shared" si="2"/>
        <v>31422</v>
      </c>
    </row>
    <row r="25356">
      <c r="A25356" s="48" t="s">
        <v>9888</v>
      </c>
      <c r="B25356" s="38">
        <v>64279.0</v>
      </c>
      <c r="C25356" s="38" t="s">
        <v>29862</v>
      </c>
      <c r="D25356" s="38" t="str">
        <f>IFERROR(__xludf.DUMMYFUNCTION("REGEXREPLACE(C25356,""-\d+(.*)|--\d+(.*)"","""")"),"ITXASSOU")</f>
        <v>ITXASSOU</v>
      </c>
      <c r="E25356" s="38" t="s">
        <v>268</v>
      </c>
      <c r="F25356" s="38" t="s">
        <v>252</v>
      </c>
      <c r="G25356" s="49" t="str">
        <f t="shared" si="1"/>
        <v>64250</v>
      </c>
      <c r="H25356" s="49">
        <f t="shared" si="2"/>
        <v>64279</v>
      </c>
    </row>
    <row r="25357">
      <c r="A25357" s="48" t="s">
        <v>5690</v>
      </c>
      <c r="B25357" s="38">
        <v>8040.0</v>
      </c>
      <c r="C25357" s="38" t="s">
        <v>29863</v>
      </c>
      <c r="D25357" s="38" t="str">
        <f>IFERROR(__xludf.DUMMYFUNCTION("REGEXREPLACE(C25357,""-\d+(.*)|--\d+(.*)"","""")"),"LES AYVELLES")</f>
        <v>LES AYVELLES</v>
      </c>
      <c r="E25357" s="38" t="s">
        <v>327</v>
      </c>
      <c r="F25357" s="38" t="s">
        <v>130</v>
      </c>
      <c r="G25357" s="49" t="str">
        <f t="shared" si="1"/>
        <v>08000</v>
      </c>
      <c r="H25357" s="49" t="str">
        <f t="shared" si="2"/>
        <v>08040</v>
      </c>
    </row>
    <row r="25358">
      <c r="A25358" s="48" t="s">
        <v>378</v>
      </c>
      <c r="B25358" s="38">
        <v>37090.0</v>
      </c>
      <c r="C25358" s="38" t="s">
        <v>29864</v>
      </c>
      <c r="D25358" s="38" t="str">
        <f>IFERROR(__xludf.DUMMYFUNCTION("REGEXREPLACE(C25358,""-\d+(.*)|--\d+(.*)"","""")"),"CRISSAY-SUR-MANSE")</f>
        <v>CRISSAY-SUR-MANSE</v>
      </c>
      <c r="E25358" s="38" t="s">
        <v>205</v>
      </c>
      <c r="F25358" s="38" t="s">
        <v>123</v>
      </c>
      <c r="G25358" s="49" t="str">
        <f t="shared" si="1"/>
        <v>37220</v>
      </c>
      <c r="H25358" s="49">
        <f t="shared" si="2"/>
        <v>37090</v>
      </c>
    </row>
    <row r="25359">
      <c r="A25359" s="48" t="s">
        <v>3804</v>
      </c>
      <c r="B25359" s="38">
        <v>80295.0</v>
      </c>
      <c r="C25359" s="38" t="s">
        <v>29865</v>
      </c>
      <c r="D25359" s="38" t="str">
        <f>IFERROR(__xludf.DUMMYFUNCTION("REGEXREPLACE(C25359,""-\d+(.*)|--\d+(.*)"","""")"),"ETINEHEM")</f>
        <v>ETINEHEM</v>
      </c>
      <c r="E25359" s="38" t="s">
        <v>224</v>
      </c>
      <c r="F25359" s="38" t="s">
        <v>113</v>
      </c>
      <c r="G25359" s="49" t="str">
        <f t="shared" si="1"/>
        <v>80340</v>
      </c>
      <c r="H25359" s="49">
        <f t="shared" si="2"/>
        <v>80295</v>
      </c>
    </row>
    <row r="25360">
      <c r="A25360" s="48" t="s">
        <v>6923</v>
      </c>
      <c r="B25360" s="38">
        <v>33013.0</v>
      </c>
      <c r="C25360" s="38" t="s">
        <v>29866</v>
      </c>
      <c r="D25360" s="38" t="str">
        <f>IFERROR(__xludf.DUMMYFUNCTION("REGEXREPLACE(C25360,""-\d+(.*)|--\d+(.*)"","""")"),"ARTIGUES-PRES-BORDEAUX")</f>
        <v>ARTIGUES-PRES-BORDEAUX</v>
      </c>
      <c r="E25360" s="38" t="s">
        <v>462</v>
      </c>
      <c r="F25360" s="38" t="s">
        <v>252</v>
      </c>
      <c r="G25360" s="49" t="str">
        <f t="shared" si="1"/>
        <v>33370</v>
      </c>
      <c r="H25360" s="49">
        <f t="shared" si="2"/>
        <v>33013</v>
      </c>
    </row>
    <row r="25361">
      <c r="A25361" s="48" t="s">
        <v>6132</v>
      </c>
      <c r="B25361" s="38">
        <v>87118.0</v>
      </c>
      <c r="C25361" s="38" t="s">
        <v>29867</v>
      </c>
      <c r="D25361" s="38" t="str">
        <f>IFERROR(__xludf.DUMMYFUNCTION("REGEXREPLACE(C25361,""-\d+(.*)|--\d+(.*)"","""")"),"PEYRILHAC")</f>
        <v>PEYRILHAC</v>
      </c>
      <c r="E25361" s="38" t="s">
        <v>897</v>
      </c>
      <c r="F25361" s="38" t="s">
        <v>98</v>
      </c>
      <c r="G25361" s="49" t="str">
        <f t="shared" si="1"/>
        <v>87510</v>
      </c>
      <c r="H25361" s="49">
        <f t="shared" si="2"/>
        <v>87118</v>
      </c>
    </row>
    <row r="25362">
      <c r="A25362" s="48" t="s">
        <v>1970</v>
      </c>
      <c r="B25362" s="38">
        <v>74046.0</v>
      </c>
      <c r="C25362" s="38" t="s">
        <v>29868</v>
      </c>
      <c r="D25362" s="38" t="str">
        <f>IFERROR(__xludf.DUMMYFUNCTION("REGEXREPLACE(C25362,""-\d+(.*)|--\d+(.*)"","""")"),"BOUSSY")</f>
        <v>BOUSSY</v>
      </c>
      <c r="E25362" s="38" t="s">
        <v>319</v>
      </c>
      <c r="F25362" s="38" t="s">
        <v>102</v>
      </c>
      <c r="G25362" s="49" t="str">
        <f t="shared" si="1"/>
        <v>74150</v>
      </c>
      <c r="H25362" s="49">
        <f t="shared" si="2"/>
        <v>74046</v>
      </c>
    </row>
    <row r="25363">
      <c r="A25363" s="48" t="s">
        <v>7986</v>
      </c>
      <c r="B25363" s="38">
        <v>69039.0</v>
      </c>
      <c r="C25363" s="38" t="s">
        <v>29869</v>
      </c>
      <c r="D25363" s="38" t="str">
        <f>IFERROR(__xludf.DUMMYFUNCTION("REGEXREPLACE(C25363,""-\d+(.*)|--\d+(.*)"","""")"),"CHAMELET")</f>
        <v>CHAMELET</v>
      </c>
      <c r="E25363" s="38" t="s">
        <v>350</v>
      </c>
      <c r="F25363" s="38" t="s">
        <v>102</v>
      </c>
      <c r="G25363" s="49" t="str">
        <f t="shared" si="1"/>
        <v>69620</v>
      </c>
      <c r="H25363" s="49">
        <f t="shared" si="2"/>
        <v>69039</v>
      </c>
    </row>
    <row r="25364">
      <c r="A25364" s="48" t="s">
        <v>3539</v>
      </c>
      <c r="B25364" s="38">
        <v>54017.0</v>
      </c>
      <c r="C25364" s="38" t="s">
        <v>29870</v>
      </c>
      <c r="D25364" s="38" t="str">
        <f>IFERROR(__xludf.DUMMYFUNCTION("REGEXREPLACE(C25364,""-\d+(.*)|--\d+(.*)"","""")"),"ANGOMONT")</f>
        <v>ANGOMONT</v>
      </c>
      <c r="E25364" s="38" t="s">
        <v>548</v>
      </c>
      <c r="F25364" s="38" t="s">
        <v>195</v>
      </c>
      <c r="G25364" s="49" t="str">
        <f t="shared" si="1"/>
        <v>54540</v>
      </c>
      <c r="H25364" s="49">
        <f t="shared" si="2"/>
        <v>54017</v>
      </c>
    </row>
    <row r="25365">
      <c r="A25365" s="48" t="s">
        <v>2957</v>
      </c>
      <c r="B25365" s="38">
        <v>86262.0</v>
      </c>
      <c r="C25365" s="38" t="s">
        <v>29871</v>
      </c>
      <c r="D25365" s="38" t="str">
        <f>IFERROR(__xludf.DUMMYFUNCTION("REGEXREPLACE(C25365,""-\d+(.*)|--\d+(.*)"","""")"),"SILLARS")</f>
        <v>SILLARS</v>
      </c>
      <c r="E25365" s="38" t="s">
        <v>529</v>
      </c>
      <c r="F25365" s="38" t="s">
        <v>338</v>
      </c>
      <c r="G25365" s="49" t="str">
        <f t="shared" si="1"/>
        <v>86320</v>
      </c>
      <c r="H25365" s="49">
        <f t="shared" si="2"/>
        <v>86262</v>
      </c>
    </row>
    <row r="25366">
      <c r="A25366" s="48" t="s">
        <v>1673</v>
      </c>
      <c r="B25366" s="38">
        <v>5158.0</v>
      </c>
      <c r="C25366" s="38" t="s">
        <v>29872</v>
      </c>
      <c r="D25366" s="38" t="str">
        <f>IFERROR(__xludf.DUMMYFUNCTION("REGEXREPLACE(C25366,""-\d+(.*)|--\d+(.*)"","""")"),"LE SAIX")</f>
        <v>LE SAIX</v>
      </c>
      <c r="E25366" s="38" t="s">
        <v>706</v>
      </c>
      <c r="F25366" s="38" t="s">
        <v>228</v>
      </c>
      <c r="G25366" s="49" t="str">
        <f t="shared" si="1"/>
        <v>05400</v>
      </c>
      <c r="H25366" s="49" t="str">
        <f t="shared" si="2"/>
        <v>05158</v>
      </c>
    </row>
    <row r="25367">
      <c r="A25367" s="48" t="s">
        <v>5372</v>
      </c>
      <c r="B25367" s="38">
        <v>73024.0</v>
      </c>
      <c r="C25367" s="38" t="s">
        <v>29873</v>
      </c>
      <c r="D25367" s="38" t="str">
        <f>IFERROR(__xludf.DUMMYFUNCTION("REGEXREPLACE(C25367,""-\d+(.*)|--\d+(.*)"","""")"),"LES AVANCHERS-VALMOREL")</f>
        <v>LES AVANCHERS-VALMOREL</v>
      </c>
      <c r="E25367" s="38" t="s">
        <v>306</v>
      </c>
      <c r="F25367" s="38" t="s">
        <v>102</v>
      </c>
      <c r="G25367" s="49" t="str">
        <f t="shared" si="1"/>
        <v>73260</v>
      </c>
      <c r="H25367" s="49">
        <f t="shared" si="2"/>
        <v>73024</v>
      </c>
    </row>
    <row r="25368">
      <c r="A25368" s="48" t="s">
        <v>4340</v>
      </c>
      <c r="B25368" s="38">
        <v>33435.0</v>
      </c>
      <c r="C25368" s="38" t="s">
        <v>29874</v>
      </c>
      <c r="D25368" s="38" t="str">
        <f>IFERROR(__xludf.DUMMYFUNCTION("REGEXREPLACE(C25368,""-\d+(.*)|--\d+(.*)"","""")"),"SAINT-MACAIRE")</f>
        <v>SAINT-MACAIRE</v>
      </c>
      <c r="E25368" s="38" t="s">
        <v>462</v>
      </c>
      <c r="F25368" s="38" t="s">
        <v>252</v>
      </c>
      <c r="G25368" s="49" t="str">
        <f t="shared" si="1"/>
        <v>33490</v>
      </c>
      <c r="H25368" s="49">
        <f t="shared" si="2"/>
        <v>33435</v>
      </c>
    </row>
    <row r="25369">
      <c r="A25369" s="48" t="s">
        <v>1418</v>
      </c>
      <c r="B25369" s="38">
        <v>36237.0</v>
      </c>
      <c r="C25369" s="38" t="s">
        <v>29875</v>
      </c>
      <c r="D25369" s="38" t="str">
        <f>IFERROR(__xludf.DUMMYFUNCTION("REGEXREPLACE(C25369,""-\d+(.*)|--\d+(.*)"","""")"),"VICQ-SUR-NAHON")</f>
        <v>VICQ-SUR-NAHON</v>
      </c>
      <c r="E25369" s="38" t="s">
        <v>258</v>
      </c>
      <c r="F25369" s="38" t="s">
        <v>123</v>
      </c>
      <c r="G25369" s="49" t="str">
        <f t="shared" si="1"/>
        <v>36600</v>
      </c>
      <c r="H25369" s="49">
        <f t="shared" si="2"/>
        <v>36237</v>
      </c>
    </row>
    <row r="25370">
      <c r="A25370" s="48" t="s">
        <v>1114</v>
      </c>
      <c r="B25370" s="38">
        <v>2456.0</v>
      </c>
      <c r="C25370" s="38" t="s">
        <v>29876</v>
      </c>
      <c r="D25370" s="38" t="str">
        <f>IFERROR(__xludf.DUMMYFUNCTION("REGEXREPLACE(C25370,""-\d+(.*)|--\d+(.*)"","""")"),"MANICAMP")</f>
        <v>MANICAMP</v>
      </c>
      <c r="E25370" s="38" t="s">
        <v>191</v>
      </c>
      <c r="F25370" s="38" t="s">
        <v>113</v>
      </c>
      <c r="G25370" s="49" t="str">
        <f t="shared" si="1"/>
        <v>02300</v>
      </c>
      <c r="H25370" s="49" t="str">
        <f t="shared" si="2"/>
        <v>02456</v>
      </c>
    </row>
    <row r="25371">
      <c r="A25371" s="48" t="s">
        <v>2093</v>
      </c>
      <c r="B25371" s="38">
        <v>69215.0</v>
      </c>
      <c r="C25371" s="38" t="s">
        <v>812</v>
      </c>
      <c r="D25371" s="38" t="str">
        <f>IFERROR(__xludf.DUMMYFUNCTION("REGEXREPLACE(C25371,""-\d+(.*)|--\d+(.*)"","""")"),"SAINT-JULIEN")</f>
        <v>SAINT-JULIEN</v>
      </c>
      <c r="E25371" s="38" t="s">
        <v>350</v>
      </c>
      <c r="F25371" s="38" t="s">
        <v>102</v>
      </c>
      <c r="G25371" s="49" t="str">
        <f t="shared" si="1"/>
        <v>69640</v>
      </c>
      <c r="H25371" s="49">
        <f t="shared" si="2"/>
        <v>69215</v>
      </c>
    </row>
    <row r="25372">
      <c r="A25372" s="48" t="s">
        <v>5831</v>
      </c>
      <c r="B25372" s="38">
        <v>5118.0</v>
      </c>
      <c r="C25372" s="38" t="s">
        <v>29877</v>
      </c>
      <c r="D25372" s="38" t="str">
        <f>IFERROR(__xludf.DUMMYFUNCTION("REGEXREPLACE(C25372,""-\d+(.*)|--\d+(.*)"","""")"),"RIBIERS")</f>
        <v>RIBIERS</v>
      </c>
      <c r="E25372" s="38" t="s">
        <v>706</v>
      </c>
      <c r="F25372" s="38" t="s">
        <v>228</v>
      </c>
      <c r="G25372" s="49" t="str">
        <f t="shared" si="1"/>
        <v>05300</v>
      </c>
      <c r="H25372" s="49" t="str">
        <f t="shared" si="2"/>
        <v>05118</v>
      </c>
    </row>
    <row r="25373">
      <c r="A25373" s="48" t="s">
        <v>4676</v>
      </c>
      <c r="B25373" s="38">
        <v>48058.0</v>
      </c>
      <c r="C25373" s="38" t="s">
        <v>29878</v>
      </c>
      <c r="D25373" s="38" t="str">
        <f>IFERROR(__xludf.DUMMYFUNCTION("REGEXREPLACE(C25373,""-\d+(.*)|--\d+(.*)"","""")"),"LA FAGE-MONTIVERNOUX")</f>
        <v>LA FAGE-MONTIVERNOUX</v>
      </c>
      <c r="E25373" s="38" t="s">
        <v>154</v>
      </c>
      <c r="F25373" s="38" t="s">
        <v>119</v>
      </c>
      <c r="G25373" s="49" t="str">
        <f t="shared" si="1"/>
        <v>48310</v>
      </c>
      <c r="H25373" s="49">
        <f t="shared" si="2"/>
        <v>48058</v>
      </c>
    </row>
    <row r="25374">
      <c r="A25374" s="48" t="s">
        <v>23139</v>
      </c>
      <c r="B25374" s="38" t="s">
        <v>29879</v>
      </c>
      <c r="C25374" s="38" t="s">
        <v>29880</v>
      </c>
      <c r="D25374" s="38" t="str">
        <f>IFERROR(__xludf.DUMMYFUNCTION("REGEXREPLACE(C25374,""-\d+(.*)|--\d+(.*)"","""")"),"AMBIEGNA")</f>
        <v>AMBIEGNA</v>
      </c>
      <c r="E25374" s="38" t="s">
        <v>606</v>
      </c>
      <c r="F25374" s="38" t="s">
        <v>607</v>
      </c>
      <c r="G25374" s="49" t="str">
        <f t="shared" si="1"/>
        <v>20151</v>
      </c>
      <c r="H25374" s="49" t="str">
        <f t="shared" si="2"/>
        <v>2A014</v>
      </c>
    </row>
    <row r="25375">
      <c r="A25375" s="48" t="s">
        <v>9074</v>
      </c>
      <c r="B25375" s="38">
        <v>84075.0</v>
      </c>
      <c r="C25375" s="38" t="s">
        <v>29881</v>
      </c>
      <c r="D25375" s="38" t="str">
        <f>IFERROR(__xludf.DUMMYFUNCTION("REGEXREPLACE(C25375,""-\d+(.*)|--\d+(.*)"","""")"),"METHAMIS")</f>
        <v>METHAMIS</v>
      </c>
      <c r="E25375" s="38" t="s">
        <v>1026</v>
      </c>
      <c r="F25375" s="38" t="s">
        <v>228</v>
      </c>
      <c r="G25375" s="49" t="str">
        <f t="shared" si="1"/>
        <v>84570</v>
      </c>
      <c r="H25375" s="49">
        <f t="shared" si="2"/>
        <v>84075</v>
      </c>
    </row>
    <row r="25376">
      <c r="A25376" s="48" t="s">
        <v>6316</v>
      </c>
      <c r="B25376" s="38">
        <v>50270.0</v>
      </c>
      <c r="C25376" s="38" t="s">
        <v>29882</v>
      </c>
      <c r="D25376" s="38" t="str">
        <f>IFERROR(__xludf.DUMMYFUNCTION("REGEXREPLACE(C25376,""-\d+(.*)|--\d+(.*)"","""")"),"LIEUSAINT")</f>
        <v>LIEUSAINT</v>
      </c>
      <c r="E25376" s="38" t="s">
        <v>157</v>
      </c>
      <c r="F25376" s="38" t="s">
        <v>138</v>
      </c>
      <c r="G25376" s="49" t="str">
        <f t="shared" si="1"/>
        <v>50700</v>
      </c>
      <c r="H25376" s="49">
        <f t="shared" si="2"/>
        <v>50270</v>
      </c>
    </row>
    <row r="25377">
      <c r="A25377" s="48" t="s">
        <v>5850</v>
      </c>
      <c r="B25377" s="38">
        <v>22326.0</v>
      </c>
      <c r="C25377" s="38" t="s">
        <v>29883</v>
      </c>
      <c r="D25377" s="38" t="str">
        <f>IFERROR(__xludf.DUMMYFUNCTION("REGEXREPLACE(C25377,""-\d+(.*)|--\d+(.*)"","""")"),"SAINT-RIEUL")</f>
        <v>SAINT-RIEUL</v>
      </c>
      <c r="E25377" s="38" t="s">
        <v>89</v>
      </c>
      <c r="F25377" s="38" t="s">
        <v>90</v>
      </c>
      <c r="G25377" s="49" t="str">
        <f t="shared" si="1"/>
        <v>22270</v>
      </c>
      <c r="H25377" s="49">
        <f t="shared" si="2"/>
        <v>22326</v>
      </c>
    </row>
    <row r="25378">
      <c r="A25378" s="48" t="s">
        <v>4044</v>
      </c>
      <c r="B25378" s="38">
        <v>52487.0</v>
      </c>
      <c r="C25378" s="38" t="s">
        <v>29884</v>
      </c>
      <c r="D25378" s="38" t="str">
        <f>IFERROR(__xludf.DUMMYFUNCTION("REGEXREPLACE(C25378,""-\d+(.*)|--\d+(.*)"","""")"),"THILLEUX")</f>
        <v>THILLEUX</v>
      </c>
      <c r="E25378" s="38" t="s">
        <v>234</v>
      </c>
      <c r="F25378" s="38" t="s">
        <v>130</v>
      </c>
      <c r="G25378" s="49" t="str">
        <f t="shared" si="1"/>
        <v>52220</v>
      </c>
      <c r="H25378" s="49">
        <f t="shared" si="2"/>
        <v>52487</v>
      </c>
    </row>
    <row r="25379">
      <c r="A25379" s="48" t="s">
        <v>1706</v>
      </c>
      <c r="B25379" s="38">
        <v>50614.0</v>
      </c>
      <c r="C25379" s="38" t="s">
        <v>29885</v>
      </c>
      <c r="D25379" s="38" t="str">
        <f>IFERROR(__xludf.DUMMYFUNCTION("REGEXREPLACE(C25379,""-\d+(.*)|--\d+(.*)"","""")"),"LE VALDECIE")</f>
        <v>LE VALDECIE</v>
      </c>
      <c r="E25379" s="38" t="s">
        <v>157</v>
      </c>
      <c r="F25379" s="38" t="s">
        <v>138</v>
      </c>
      <c r="G25379" s="49" t="str">
        <f t="shared" si="1"/>
        <v>50260</v>
      </c>
      <c r="H25379" s="49">
        <f t="shared" si="2"/>
        <v>50614</v>
      </c>
    </row>
    <row r="25380">
      <c r="A25380" s="48" t="s">
        <v>5555</v>
      </c>
      <c r="B25380" s="38">
        <v>82091.0</v>
      </c>
      <c r="C25380" s="38" t="s">
        <v>29886</v>
      </c>
      <c r="D25380" s="38" t="str">
        <f>IFERROR(__xludf.DUMMYFUNCTION("REGEXREPLACE(C25380,""-\d+(.*)|--\d+(.*)"","""")"),"LAMOTHE-CUMONT")</f>
        <v>LAMOTHE-CUMONT</v>
      </c>
      <c r="E25380" s="38" t="s">
        <v>570</v>
      </c>
      <c r="F25380" s="38" t="s">
        <v>94</v>
      </c>
      <c r="G25380" s="49" t="str">
        <f t="shared" si="1"/>
        <v>82500</v>
      </c>
      <c r="H25380" s="49">
        <f t="shared" si="2"/>
        <v>82091</v>
      </c>
    </row>
    <row r="25381">
      <c r="A25381" s="48" t="s">
        <v>5025</v>
      </c>
      <c r="B25381" s="38">
        <v>77025.0</v>
      </c>
      <c r="C25381" s="38" t="s">
        <v>29887</v>
      </c>
      <c r="D25381" s="38" t="str">
        <f>IFERROR(__xludf.DUMMYFUNCTION("REGEXREPLACE(C25381,""-\d+(.*)|--\d+(.*)"","""")"),"BAZOCHES-LES-BRAY")</f>
        <v>BAZOCHES-LES-BRAY</v>
      </c>
      <c r="E25381" s="38" t="s">
        <v>244</v>
      </c>
      <c r="F25381" s="38" t="s">
        <v>245</v>
      </c>
      <c r="G25381" s="49" t="str">
        <f t="shared" si="1"/>
        <v>77118</v>
      </c>
      <c r="H25381" s="49">
        <f t="shared" si="2"/>
        <v>77025</v>
      </c>
    </row>
    <row r="25382">
      <c r="A25382" s="48" t="s">
        <v>5463</v>
      </c>
      <c r="B25382" s="38">
        <v>26375.0</v>
      </c>
      <c r="C25382" s="38" t="s">
        <v>29888</v>
      </c>
      <c r="D25382" s="38" t="str">
        <f>IFERROR(__xludf.DUMMYFUNCTION("REGEXREPLACE(C25382,""-\d+(.*)|--\d+(.*)"","""")"),"VILLEFRANCHE-LE-CHATEAU")</f>
        <v>VILLEFRANCHE-LE-CHATEAU</v>
      </c>
      <c r="E25382" s="38" t="s">
        <v>126</v>
      </c>
      <c r="F25382" s="38" t="s">
        <v>102</v>
      </c>
      <c r="G25382" s="49" t="str">
        <f t="shared" si="1"/>
        <v>26560</v>
      </c>
      <c r="H25382" s="49">
        <f t="shared" si="2"/>
        <v>26375</v>
      </c>
    </row>
    <row r="25383">
      <c r="A25383" s="48" t="s">
        <v>1562</v>
      </c>
      <c r="B25383" s="38">
        <v>24032.0</v>
      </c>
      <c r="C25383" s="38" t="s">
        <v>29889</v>
      </c>
      <c r="D25383" s="38" t="str">
        <f>IFERROR(__xludf.DUMMYFUNCTION("REGEXREPLACE(C25383,""-\d+(.*)|--\d+(.*)"","""")"),"BEAURONNE")</f>
        <v>BEAURONNE</v>
      </c>
      <c r="E25383" s="38" t="s">
        <v>261</v>
      </c>
      <c r="F25383" s="38" t="s">
        <v>252</v>
      </c>
      <c r="G25383" s="49" t="str">
        <f t="shared" si="1"/>
        <v>24400</v>
      </c>
      <c r="H25383" s="49">
        <f t="shared" si="2"/>
        <v>24032</v>
      </c>
    </row>
    <row r="25384">
      <c r="A25384" s="48" t="s">
        <v>476</v>
      </c>
      <c r="B25384" s="38">
        <v>35104.0</v>
      </c>
      <c r="C25384" s="38" t="s">
        <v>29890</v>
      </c>
      <c r="D25384" s="38" t="str">
        <f>IFERROR(__xludf.DUMMYFUNCTION("REGEXREPLACE(C25384,""-\d+(.*)|--\d+(.*)"","""")"),"EPINIAC")</f>
        <v>EPINIAC</v>
      </c>
      <c r="E25384" s="38" t="s">
        <v>347</v>
      </c>
      <c r="F25384" s="38" t="s">
        <v>90</v>
      </c>
      <c r="G25384" s="49" t="str">
        <f t="shared" si="1"/>
        <v>35120</v>
      </c>
      <c r="H25384" s="49">
        <f t="shared" si="2"/>
        <v>35104</v>
      </c>
    </row>
    <row r="25385">
      <c r="A25385" s="48" t="s">
        <v>2779</v>
      </c>
      <c r="B25385" s="38">
        <v>80245.0</v>
      </c>
      <c r="C25385" s="38" t="s">
        <v>29891</v>
      </c>
      <c r="D25385" s="38" t="str">
        <f>IFERROR(__xludf.DUMMYFUNCTION("REGEXREPLACE(C25385,""-\d+(.*)|--\d+(.*)"","""")"),"DOMLEGER-LONGVILLERS")</f>
        <v>DOMLEGER-LONGVILLERS</v>
      </c>
      <c r="E25385" s="38" t="s">
        <v>224</v>
      </c>
      <c r="F25385" s="38" t="s">
        <v>113</v>
      </c>
      <c r="G25385" s="49" t="str">
        <f t="shared" si="1"/>
        <v>80370</v>
      </c>
      <c r="H25385" s="49">
        <f t="shared" si="2"/>
        <v>80245</v>
      </c>
    </row>
    <row r="25386">
      <c r="A25386" s="48" t="s">
        <v>10202</v>
      </c>
      <c r="B25386" s="38">
        <v>33109.0</v>
      </c>
      <c r="C25386" s="38" t="s">
        <v>29892</v>
      </c>
      <c r="D25386" s="38" t="str">
        <f>IFERROR(__xludf.DUMMYFUNCTION("REGEXREPLACE(C25386,""-\d+(.*)|--\d+(.*)"","""")"),"CASTRES-GIRONDE")</f>
        <v>CASTRES-GIRONDE</v>
      </c>
      <c r="E25386" s="38" t="s">
        <v>462</v>
      </c>
      <c r="F25386" s="38" t="s">
        <v>252</v>
      </c>
      <c r="G25386" s="49" t="str">
        <f t="shared" si="1"/>
        <v>33640</v>
      </c>
      <c r="H25386" s="49">
        <f t="shared" si="2"/>
        <v>33109</v>
      </c>
    </row>
    <row r="25387">
      <c r="A25387" s="48" t="s">
        <v>601</v>
      </c>
      <c r="B25387" s="38">
        <v>51068.0</v>
      </c>
      <c r="C25387" s="38" t="s">
        <v>29893</v>
      </c>
      <c r="D25387" s="38" t="str">
        <f>IFERROR(__xludf.DUMMYFUNCTION("REGEXREPLACE(C25387,""-\d+(.*)|--\d+(.*)"","""")"),"BLESME")</f>
        <v>BLESME</v>
      </c>
      <c r="E25387" s="38" t="s">
        <v>129</v>
      </c>
      <c r="F25387" s="38" t="s">
        <v>130</v>
      </c>
      <c r="G25387" s="49" t="str">
        <f t="shared" si="1"/>
        <v>51340</v>
      </c>
      <c r="H25387" s="49">
        <f t="shared" si="2"/>
        <v>51068</v>
      </c>
    </row>
    <row r="25388">
      <c r="A25388" s="48" t="s">
        <v>1777</v>
      </c>
      <c r="B25388" s="38">
        <v>10116.0</v>
      </c>
      <c r="C25388" s="38" t="s">
        <v>29894</v>
      </c>
      <c r="D25388" s="38" t="str">
        <f>IFERROR(__xludf.DUMMYFUNCTION("REGEXREPLACE(C25388,""-\d+(.*)|--\d+(.*)"","""")"),"CRESANTIGNES")</f>
        <v>CRESANTIGNES</v>
      </c>
      <c r="E25388" s="38" t="s">
        <v>147</v>
      </c>
      <c r="F25388" s="38" t="s">
        <v>130</v>
      </c>
      <c r="G25388" s="49" t="str">
        <f t="shared" si="1"/>
        <v>10320</v>
      </c>
      <c r="H25388" s="49">
        <f t="shared" si="2"/>
        <v>10116</v>
      </c>
    </row>
    <row r="25389">
      <c r="A25389" s="48" t="s">
        <v>4867</v>
      </c>
      <c r="B25389" s="38">
        <v>82097.0</v>
      </c>
      <c r="C25389" s="38" t="s">
        <v>29895</v>
      </c>
      <c r="D25389" s="38" t="str">
        <f>IFERROR(__xludf.DUMMYFUNCTION("REGEXREPLACE(C25389,""-\d+(.*)|--\d+(.*)"","""")"),"LAVIT")</f>
        <v>LAVIT</v>
      </c>
      <c r="E25389" s="38" t="s">
        <v>570</v>
      </c>
      <c r="F25389" s="38" t="s">
        <v>94</v>
      </c>
      <c r="G25389" s="49" t="str">
        <f t="shared" si="1"/>
        <v>82120</v>
      </c>
      <c r="H25389" s="49">
        <f t="shared" si="2"/>
        <v>82097</v>
      </c>
    </row>
    <row r="25390">
      <c r="A25390" s="48" t="s">
        <v>1777</v>
      </c>
      <c r="B25390" s="38">
        <v>10147.0</v>
      </c>
      <c r="C25390" s="38" t="s">
        <v>29896</v>
      </c>
      <c r="D25390" s="38" t="str">
        <f>IFERROR(__xludf.DUMMYFUNCTION("REGEXREPLACE(C25390,""-\d+(.*)|--\d+(.*)"","""")"),"FAYS-LA-CHAPELLE")</f>
        <v>FAYS-LA-CHAPELLE</v>
      </c>
      <c r="E25390" s="38" t="s">
        <v>147</v>
      </c>
      <c r="F25390" s="38" t="s">
        <v>130</v>
      </c>
      <c r="G25390" s="49" t="str">
        <f t="shared" si="1"/>
        <v>10320</v>
      </c>
      <c r="H25390" s="49">
        <f t="shared" si="2"/>
        <v>10147</v>
      </c>
    </row>
    <row r="25391">
      <c r="A25391" s="48" t="s">
        <v>10463</v>
      </c>
      <c r="B25391" s="38">
        <v>50094.0</v>
      </c>
      <c r="C25391" s="38" t="s">
        <v>29897</v>
      </c>
      <c r="D25391" s="38" t="str">
        <f>IFERROR(__xludf.DUMMYFUNCTION("REGEXREPLACE(C25391,""-\d+(.*)|--\d+(.*)"","""")"),"CAMPROND")</f>
        <v>CAMPROND</v>
      </c>
      <c r="E25391" s="38" t="s">
        <v>157</v>
      </c>
      <c r="F25391" s="38" t="s">
        <v>138</v>
      </c>
      <c r="G25391" s="49" t="str">
        <f t="shared" si="1"/>
        <v>50210</v>
      </c>
      <c r="H25391" s="49">
        <f t="shared" si="2"/>
        <v>50094</v>
      </c>
    </row>
    <row r="25392">
      <c r="A25392" s="48" t="s">
        <v>2272</v>
      </c>
      <c r="B25392" s="38">
        <v>27637.0</v>
      </c>
      <c r="C25392" s="38" t="s">
        <v>29898</v>
      </c>
      <c r="D25392" s="38" t="str">
        <f>IFERROR(__xludf.DUMMYFUNCTION("REGEXREPLACE(C25392,""-\d+(.*)|--\d+(.*)"","""")"),"THUIT-HEBERT")</f>
        <v>THUIT-HEBERT</v>
      </c>
      <c r="E25392" s="38" t="s">
        <v>241</v>
      </c>
      <c r="F25392" s="38" t="s">
        <v>134</v>
      </c>
      <c r="G25392" s="49" t="str">
        <f t="shared" si="1"/>
        <v>27520</v>
      </c>
      <c r="H25392" s="49">
        <f t="shared" si="2"/>
        <v>27637</v>
      </c>
    </row>
    <row r="25393">
      <c r="A25393" s="48" t="s">
        <v>3948</v>
      </c>
      <c r="B25393" s="38">
        <v>21346.0</v>
      </c>
      <c r="C25393" s="38" t="s">
        <v>29899</v>
      </c>
      <c r="D25393" s="38" t="str">
        <f>IFERROR(__xludf.DUMMYFUNCTION("REGEXREPLACE(C25393,""-\d+(.*)|--\d+(.*)"","""")"),"LEUGLAY")</f>
        <v>LEUGLAY</v>
      </c>
      <c r="E25393" s="38" t="s">
        <v>105</v>
      </c>
      <c r="F25393" s="38" t="s">
        <v>106</v>
      </c>
      <c r="G25393" s="49" t="str">
        <f t="shared" si="1"/>
        <v>21290</v>
      </c>
      <c r="H25393" s="49">
        <f t="shared" si="2"/>
        <v>21346</v>
      </c>
    </row>
    <row r="25394">
      <c r="A25394" s="48" t="s">
        <v>3711</v>
      </c>
      <c r="B25394" s="38">
        <v>21530.0</v>
      </c>
      <c r="C25394" s="38" t="s">
        <v>14954</v>
      </c>
      <c r="D25394" s="38" t="str">
        <f>IFERROR(__xludf.DUMMYFUNCTION("REGEXREPLACE(C25394,""-\d+(.*)|--\d+(.*)"","""")"),"ROUGEMONT")</f>
        <v>ROUGEMONT</v>
      </c>
      <c r="E25394" s="38" t="s">
        <v>105</v>
      </c>
      <c r="F25394" s="38" t="s">
        <v>106</v>
      </c>
      <c r="G25394" s="49" t="str">
        <f t="shared" si="1"/>
        <v>21500</v>
      </c>
      <c r="H25394" s="49">
        <f t="shared" si="2"/>
        <v>21530</v>
      </c>
    </row>
    <row r="25395">
      <c r="A25395" s="48" t="s">
        <v>736</v>
      </c>
      <c r="B25395" s="38">
        <v>57212.0</v>
      </c>
      <c r="C25395" s="38" t="s">
        <v>29900</v>
      </c>
      <c r="D25395" s="38" t="str">
        <f>IFERROR(__xludf.DUMMYFUNCTION("REGEXREPLACE(C25395,""-\d+(.*)|--\d+(.*)"","""")"),"FEY")</f>
        <v>FEY</v>
      </c>
      <c r="E25395" s="38" t="s">
        <v>303</v>
      </c>
      <c r="F25395" s="38" t="s">
        <v>195</v>
      </c>
      <c r="G25395" s="49" t="str">
        <f t="shared" si="1"/>
        <v>57420</v>
      </c>
      <c r="H25395" s="49">
        <f t="shared" si="2"/>
        <v>57212</v>
      </c>
    </row>
    <row r="25396">
      <c r="A25396" s="48" t="s">
        <v>323</v>
      </c>
      <c r="B25396" s="38">
        <v>52550.0</v>
      </c>
      <c r="C25396" s="38" t="s">
        <v>29901</v>
      </c>
      <c r="D25396" s="38" t="str">
        <f>IFERROR(__xludf.DUMMYFUNCTION("REGEXREPLACE(C25396,""-\d+(.*)|--\d+(.*)"","""")"),"WASSY")</f>
        <v>WASSY</v>
      </c>
      <c r="E25396" s="38" t="s">
        <v>234</v>
      </c>
      <c r="F25396" s="38" t="s">
        <v>130</v>
      </c>
      <c r="G25396" s="49" t="str">
        <f t="shared" si="1"/>
        <v>52130</v>
      </c>
      <c r="H25396" s="49">
        <f t="shared" si="2"/>
        <v>52550</v>
      </c>
    </row>
    <row r="25397">
      <c r="A25397" s="48" t="s">
        <v>486</v>
      </c>
      <c r="B25397" s="38">
        <v>17449.0</v>
      </c>
      <c r="C25397" s="38" t="s">
        <v>29902</v>
      </c>
      <c r="D25397" s="38" t="str">
        <f>IFERROR(__xludf.DUMMYFUNCTION("REGEXREPLACE(C25397,""-\d+(.*)|--\d+(.*)"","""")"),"TONNAY-CHARENTE")</f>
        <v>TONNAY-CHARENTE</v>
      </c>
      <c r="E25397" s="38" t="s">
        <v>488</v>
      </c>
      <c r="F25397" s="38" t="s">
        <v>338</v>
      </c>
      <c r="G25397" s="49" t="str">
        <f t="shared" si="1"/>
        <v>17430</v>
      </c>
      <c r="H25397" s="49">
        <f t="shared" si="2"/>
        <v>17449</v>
      </c>
    </row>
    <row r="25398">
      <c r="A25398" s="48" t="s">
        <v>2655</v>
      </c>
      <c r="B25398" s="38">
        <v>52519.0</v>
      </c>
      <c r="C25398" s="38" t="s">
        <v>29903</v>
      </c>
      <c r="D25398" s="38" t="str">
        <f>IFERROR(__xludf.DUMMYFUNCTION("REGEXREPLACE(C25398,""-\d+(.*)|--\d+(.*)"","""")"),"VESVRES-SOUS-CHALANCEY")</f>
        <v>VESVRES-SOUS-CHALANCEY</v>
      </c>
      <c r="E25398" s="38" t="s">
        <v>234</v>
      </c>
      <c r="F25398" s="38" t="s">
        <v>130</v>
      </c>
      <c r="G25398" s="49" t="str">
        <f t="shared" si="1"/>
        <v>52190</v>
      </c>
      <c r="H25398" s="49">
        <f t="shared" si="2"/>
        <v>52519</v>
      </c>
    </row>
    <row r="25399">
      <c r="A25399" s="48" t="s">
        <v>11754</v>
      </c>
      <c r="B25399" s="38">
        <v>4177.0</v>
      </c>
      <c r="C25399" s="38" t="s">
        <v>29904</v>
      </c>
      <c r="D25399" s="38" t="str">
        <f>IFERROR(__xludf.DUMMYFUNCTION("REGEXREPLACE(C25399,""-\d+(.*)|--\d+(.*)"","""")"),"HAUTES-DUYES")</f>
        <v>HAUTES-DUYES</v>
      </c>
      <c r="E25399" s="38" t="s">
        <v>662</v>
      </c>
      <c r="F25399" s="38" t="s">
        <v>228</v>
      </c>
      <c r="G25399" s="49" t="str">
        <f t="shared" si="1"/>
        <v>04380</v>
      </c>
      <c r="H25399" s="49" t="str">
        <f t="shared" si="2"/>
        <v>04177</v>
      </c>
    </row>
    <row r="25400">
      <c r="A25400" s="48" t="s">
        <v>1143</v>
      </c>
      <c r="B25400" s="38">
        <v>52310.0</v>
      </c>
      <c r="C25400" s="38" t="s">
        <v>29905</v>
      </c>
      <c r="D25400" s="38" t="str">
        <f>IFERROR(__xludf.DUMMYFUNCTION("REGEXREPLACE(C25400,""-\d+(.*)|--\d+(.*)"","""")"),"MARBEVILLE")</f>
        <v>MARBEVILLE</v>
      </c>
      <c r="E25400" s="38" t="s">
        <v>234</v>
      </c>
      <c r="F25400" s="38" t="s">
        <v>130</v>
      </c>
      <c r="G25400" s="49" t="str">
        <f t="shared" si="1"/>
        <v>52320</v>
      </c>
      <c r="H25400" s="49">
        <f t="shared" si="2"/>
        <v>52310</v>
      </c>
    </row>
    <row r="25401">
      <c r="A25401" s="48" t="s">
        <v>19293</v>
      </c>
      <c r="B25401" s="38">
        <v>18239.0</v>
      </c>
      <c r="C25401" s="38" t="s">
        <v>29906</v>
      </c>
      <c r="D25401" s="38" t="str">
        <f>IFERROR(__xludf.DUMMYFUNCTION("REGEXREPLACE(C25401,""-\d+(.*)|--\d+(.*)"","""")"),"SALIGNY-LE-VIF")</f>
        <v>SALIGNY-LE-VIF</v>
      </c>
      <c r="E25401" s="38" t="s">
        <v>504</v>
      </c>
      <c r="F25401" s="38" t="s">
        <v>123</v>
      </c>
      <c r="G25401" s="49" t="str">
        <f t="shared" si="1"/>
        <v>18800</v>
      </c>
      <c r="H25401" s="49">
        <f t="shared" si="2"/>
        <v>18239</v>
      </c>
    </row>
    <row r="25402">
      <c r="A25402" s="48" t="s">
        <v>29907</v>
      </c>
      <c r="B25402" s="38">
        <v>35106.0</v>
      </c>
      <c r="C25402" s="38" t="s">
        <v>29908</v>
      </c>
      <c r="D25402" s="38" t="str">
        <f>IFERROR(__xludf.DUMMYFUNCTION("REGEXREPLACE(C25402,""-\d+(.*)|--\d+(.*)"","""")"),"ERCE-EN-LAMEE")</f>
        <v>ERCE-EN-LAMEE</v>
      </c>
      <c r="E25402" s="38" t="s">
        <v>347</v>
      </c>
      <c r="F25402" s="38" t="s">
        <v>90</v>
      </c>
      <c r="G25402" s="49" t="str">
        <f t="shared" si="1"/>
        <v>35620</v>
      </c>
      <c r="H25402" s="49">
        <f t="shared" si="2"/>
        <v>35106</v>
      </c>
    </row>
    <row r="25403">
      <c r="A25403" s="48" t="s">
        <v>9345</v>
      </c>
      <c r="B25403" s="38">
        <v>22047.0</v>
      </c>
      <c r="C25403" s="38" t="s">
        <v>29909</v>
      </c>
      <c r="D25403" s="38" t="str">
        <f>IFERROR(__xludf.DUMMYFUNCTION("REGEXREPLACE(C25403,""-\d+(.*)|--\d+(.*)"","""")"),"CORLAY")</f>
        <v>CORLAY</v>
      </c>
      <c r="E25403" s="38" t="s">
        <v>89</v>
      </c>
      <c r="F25403" s="38" t="s">
        <v>90</v>
      </c>
      <c r="G25403" s="49" t="str">
        <f t="shared" si="1"/>
        <v>22320</v>
      </c>
      <c r="H25403" s="49">
        <f t="shared" si="2"/>
        <v>22047</v>
      </c>
    </row>
    <row r="25404">
      <c r="A25404" s="48" t="s">
        <v>8005</v>
      </c>
      <c r="B25404" s="38">
        <v>23050.0</v>
      </c>
      <c r="C25404" s="38" t="s">
        <v>29910</v>
      </c>
      <c r="D25404" s="38" t="str">
        <f>IFERROR(__xludf.DUMMYFUNCTION("REGEXREPLACE(C25404,""-\d+(.*)|--\d+(.*)"","""")"),"LA CHAPELLE-BALOUE")</f>
        <v>LA CHAPELLE-BALOUE</v>
      </c>
      <c r="E25404" s="38" t="s">
        <v>97</v>
      </c>
      <c r="F25404" s="38" t="s">
        <v>98</v>
      </c>
      <c r="G25404" s="49" t="str">
        <f t="shared" si="1"/>
        <v>23160</v>
      </c>
      <c r="H25404" s="49">
        <f t="shared" si="2"/>
        <v>23050</v>
      </c>
    </row>
    <row r="25405">
      <c r="A25405" s="48" t="s">
        <v>1467</v>
      </c>
      <c r="B25405" s="38">
        <v>7158.0</v>
      </c>
      <c r="C25405" s="38" t="s">
        <v>29911</v>
      </c>
      <c r="D25405" s="38" t="str">
        <f>IFERROR(__xludf.DUMMYFUNCTION("REGEXREPLACE(C25405,""-\d+(.*)|--\d+(.*)"","""")"),"MEZILHAC")</f>
        <v>MEZILHAC</v>
      </c>
      <c r="E25405" s="38" t="s">
        <v>144</v>
      </c>
      <c r="F25405" s="38" t="s">
        <v>102</v>
      </c>
      <c r="G25405" s="49" t="str">
        <f t="shared" si="1"/>
        <v>07530</v>
      </c>
      <c r="H25405" s="49" t="str">
        <f t="shared" si="2"/>
        <v>07158</v>
      </c>
    </row>
    <row r="25406">
      <c r="A25406" s="48" t="s">
        <v>2208</v>
      </c>
      <c r="B25406" s="38">
        <v>55201.0</v>
      </c>
      <c r="C25406" s="38" t="s">
        <v>29912</v>
      </c>
      <c r="D25406" s="38" t="str">
        <f>IFERROR(__xludf.DUMMYFUNCTION("REGEXREPLACE(C25406,""-\d+(.*)|--\d+(.*)"","""")"),"FROMEZEY")</f>
        <v>FROMEZEY</v>
      </c>
      <c r="E25406" s="38" t="s">
        <v>322</v>
      </c>
      <c r="F25406" s="38" t="s">
        <v>195</v>
      </c>
      <c r="G25406" s="49" t="str">
        <f t="shared" si="1"/>
        <v>55400</v>
      </c>
      <c r="H25406" s="49">
        <f t="shared" si="2"/>
        <v>55201</v>
      </c>
    </row>
    <row r="25407">
      <c r="A25407" s="48" t="s">
        <v>8586</v>
      </c>
      <c r="B25407" s="38">
        <v>46140.0</v>
      </c>
      <c r="C25407" s="38" t="s">
        <v>29913</v>
      </c>
      <c r="D25407" s="38" t="str">
        <f>IFERROR(__xludf.DUMMYFUNCTION("REGEXREPLACE(C25407,""-\d+(.*)|--\d+(.*)"","""")"),"LABURGADE")</f>
        <v>LABURGADE</v>
      </c>
      <c r="E25407" s="38" t="s">
        <v>185</v>
      </c>
      <c r="F25407" s="38" t="s">
        <v>94</v>
      </c>
      <c r="G25407" s="49" t="str">
        <f t="shared" si="1"/>
        <v>46230</v>
      </c>
      <c r="H25407" s="49">
        <f t="shared" si="2"/>
        <v>46140</v>
      </c>
    </row>
    <row r="25408">
      <c r="A25408" s="48" t="s">
        <v>2786</v>
      </c>
      <c r="B25408" s="38">
        <v>14495.0</v>
      </c>
      <c r="C25408" s="38" t="s">
        <v>29914</v>
      </c>
      <c r="D25408" s="38" t="str">
        <f>IFERROR(__xludf.DUMMYFUNCTION("REGEXREPLACE(C25408,""-\d+(.*)|--\d+(.*)"","""")"),"PERIERS-SUR-LE-DAN")</f>
        <v>PERIERS-SUR-LE-DAN</v>
      </c>
      <c r="E25408" s="38" t="s">
        <v>137</v>
      </c>
      <c r="F25408" s="38" t="s">
        <v>138</v>
      </c>
      <c r="G25408" s="49" t="str">
        <f t="shared" si="1"/>
        <v>14112</v>
      </c>
      <c r="H25408" s="49">
        <f t="shared" si="2"/>
        <v>14495</v>
      </c>
    </row>
    <row r="25409">
      <c r="A25409" s="48" t="s">
        <v>932</v>
      </c>
      <c r="B25409" s="38">
        <v>17428.0</v>
      </c>
      <c r="C25409" s="38" t="s">
        <v>29915</v>
      </c>
      <c r="D25409" s="38" t="str">
        <f>IFERROR(__xludf.DUMMYFUNCTION("REGEXREPLACE(C25409,""-\d+(.*)|--\d+(.*)"","""")"),"SONNAC")</f>
        <v>SONNAC</v>
      </c>
      <c r="E25409" s="38" t="s">
        <v>488</v>
      </c>
      <c r="F25409" s="38" t="s">
        <v>338</v>
      </c>
      <c r="G25409" s="49" t="str">
        <f t="shared" si="1"/>
        <v>17160</v>
      </c>
      <c r="H25409" s="49">
        <f t="shared" si="2"/>
        <v>17428</v>
      </c>
    </row>
    <row r="25410">
      <c r="A25410" s="48" t="s">
        <v>7933</v>
      </c>
      <c r="B25410" s="38">
        <v>27164.0</v>
      </c>
      <c r="C25410" s="38" t="s">
        <v>29916</v>
      </c>
      <c r="D25410" s="38" t="str">
        <f>IFERROR(__xludf.DUMMYFUNCTION("REGEXREPLACE(C25410,""-\d+(.*)|--\d+(.*)"","""")"),"COMBON")</f>
        <v>COMBON</v>
      </c>
      <c r="E25410" s="38" t="s">
        <v>241</v>
      </c>
      <c r="F25410" s="38" t="s">
        <v>134</v>
      </c>
      <c r="G25410" s="49" t="str">
        <f t="shared" si="1"/>
        <v>27170</v>
      </c>
      <c r="H25410" s="49">
        <f t="shared" si="2"/>
        <v>27164</v>
      </c>
    </row>
    <row r="25411">
      <c r="A25411" s="48" t="s">
        <v>1857</v>
      </c>
      <c r="B25411" s="38">
        <v>4207.0</v>
      </c>
      <c r="C25411" s="38" t="s">
        <v>13970</v>
      </c>
      <c r="D25411" s="38" t="str">
        <f>IFERROR(__xludf.DUMMYFUNCTION("REGEXREPLACE(C25411,""-\d+(.*)|--\d+(.*)"","""")"),"SIGOYER")</f>
        <v>SIGOYER</v>
      </c>
      <c r="E25411" s="38" t="s">
        <v>662</v>
      </c>
      <c r="F25411" s="38" t="s">
        <v>228</v>
      </c>
      <c r="G25411" s="49" t="str">
        <f t="shared" si="1"/>
        <v>04200</v>
      </c>
      <c r="H25411" s="49" t="str">
        <f t="shared" si="2"/>
        <v>04207</v>
      </c>
    </row>
    <row r="25412">
      <c r="A25412" s="48" t="s">
        <v>3955</v>
      </c>
      <c r="B25412" s="38">
        <v>62345.0</v>
      </c>
      <c r="C25412" s="38" t="s">
        <v>29917</v>
      </c>
      <c r="D25412" s="38" t="str">
        <f>IFERROR(__xludf.DUMMYFUNCTION("REGEXREPLACE(C25412,""-\d+(.*)|--\d+(.*)"","""")"),"FONTAINE-L'ETALON")</f>
        <v>FONTAINE-L'ETALON</v>
      </c>
      <c r="E25412" s="38" t="s">
        <v>109</v>
      </c>
      <c r="F25412" s="38" t="s">
        <v>86</v>
      </c>
      <c r="G25412" s="49" t="str">
        <f t="shared" si="1"/>
        <v>62390</v>
      </c>
      <c r="H25412" s="49">
        <f t="shared" si="2"/>
        <v>62345</v>
      </c>
    </row>
    <row r="25413">
      <c r="A25413" s="48" t="s">
        <v>7494</v>
      </c>
      <c r="B25413" s="38">
        <v>81274.0</v>
      </c>
      <c r="C25413" s="38" t="s">
        <v>29918</v>
      </c>
      <c r="D25413" s="38" t="str">
        <f>IFERROR(__xludf.DUMMYFUNCTION("REGEXREPLACE(C25413,""-\d+(.*)|--\d+(.*)"","""")"),"SALIES")</f>
        <v>SALIES</v>
      </c>
      <c r="E25413" s="38" t="s">
        <v>231</v>
      </c>
      <c r="F25413" s="38" t="s">
        <v>94</v>
      </c>
      <c r="G25413" s="49" t="str">
        <f t="shared" si="1"/>
        <v>81990</v>
      </c>
      <c r="H25413" s="49">
        <f t="shared" si="2"/>
        <v>81274</v>
      </c>
    </row>
    <row r="25414">
      <c r="A25414" s="48" t="s">
        <v>7592</v>
      </c>
      <c r="B25414" s="38">
        <v>86135.0</v>
      </c>
      <c r="C25414" s="38" t="s">
        <v>29919</v>
      </c>
      <c r="D25414" s="38" t="str">
        <f>IFERROR(__xludf.DUMMYFUNCTION("REGEXREPLACE(C25414,""-\d+(.*)|--\d+(.*)"","""")"),"LINIERS")</f>
        <v>LINIERS</v>
      </c>
      <c r="E25414" s="38" t="s">
        <v>529</v>
      </c>
      <c r="F25414" s="38" t="s">
        <v>338</v>
      </c>
      <c r="G25414" s="49" t="str">
        <f t="shared" si="1"/>
        <v>86800</v>
      </c>
      <c r="H25414" s="49">
        <f t="shared" si="2"/>
        <v>86135</v>
      </c>
    </row>
    <row r="25415">
      <c r="A25415" s="48" t="s">
        <v>1302</v>
      </c>
      <c r="B25415" s="38">
        <v>38264.0</v>
      </c>
      <c r="C25415" s="38" t="s">
        <v>29920</v>
      </c>
      <c r="D25415" s="38" t="str">
        <f>IFERROR(__xludf.DUMMYFUNCTION("REGEXREPLACE(C25415,""-\d+(.*)|--\d+(.*)"","""")"),"LA MORTE")</f>
        <v>LA MORTE</v>
      </c>
      <c r="E25415" s="38" t="s">
        <v>101</v>
      </c>
      <c r="F25415" s="38" t="s">
        <v>102</v>
      </c>
      <c r="G25415" s="49" t="str">
        <f t="shared" si="1"/>
        <v>38350</v>
      </c>
      <c r="H25415" s="49">
        <f t="shared" si="2"/>
        <v>38264</v>
      </c>
    </row>
    <row r="25416">
      <c r="A25416" s="48" t="s">
        <v>4840</v>
      </c>
      <c r="B25416" s="38">
        <v>16196.0</v>
      </c>
      <c r="C25416" s="38" t="s">
        <v>29921</v>
      </c>
      <c r="D25416" s="38" t="str">
        <f>IFERROR(__xludf.DUMMYFUNCTION("REGEXREPLACE(C25416,""-\d+(.*)|--\d+(.*)"","""")"),"LUXE")</f>
        <v>LUXE</v>
      </c>
      <c r="E25416" s="38" t="s">
        <v>429</v>
      </c>
      <c r="F25416" s="38" t="s">
        <v>338</v>
      </c>
      <c r="G25416" s="49" t="str">
        <f t="shared" si="1"/>
        <v>16230</v>
      </c>
      <c r="H25416" s="49">
        <f t="shared" si="2"/>
        <v>16196</v>
      </c>
    </row>
    <row r="25417">
      <c r="A25417" s="48" t="s">
        <v>2837</v>
      </c>
      <c r="B25417" s="38">
        <v>17002.0</v>
      </c>
      <c r="C25417" s="38" t="s">
        <v>29922</v>
      </c>
      <c r="D25417" s="38" t="str">
        <f>IFERROR(__xludf.DUMMYFUNCTION("REGEXREPLACE(C25417,""-\d+(.*)|--\d+(.*)"","""")"),"AGUDELLE")</f>
        <v>AGUDELLE</v>
      </c>
      <c r="E25417" s="38" t="s">
        <v>488</v>
      </c>
      <c r="F25417" s="38" t="s">
        <v>338</v>
      </c>
      <c r="G25417" s="49" t="str">
        <f t="shared" si="1"/>
        <v>17500</v>
      </c>
      <c r="H25417" s="49">
        <f t="shared" si="2"/>
        <v>17002</v>
      </c>
    </row>
    <row r="25418">
      <c r="A25418" s="48" t="s">
        <v>10919</v>
      </c>
      <c r="B25418" s="38">
        <v>24133.0</v>
      </c>
      <c r="C25418" s="38" t="s">
        <v>29923</v>
      </c>
      <c r="D25418" s="38" t="str">
        <f>IFERROR(__xludf.DUMMYFUNCTION("REGEXREPLACE(C25418,""-\d+(.*)|--\d+(.*)"","""")"),"LA COQUILLE")</f>
        <v>LA COQUILLE</v>
      </c>
      <c r="E25418" s="38" t="s">
        <v>261</v>
      </c>
      <c r="F25418" s="38" t="s">
        <v>252</v>
      </c>
      <c r="G25418" s="49" t="str">
        <f t="shared" si="1"/>
        <v>24450</v>
      </c>
      <c r="H25418" s="49">
        <f t="shared" si="2"/>
        <v>24133</v>
      </c>
    </row>
    <row r="25419">
      <c r="A25419" s="48" t="s">
        <v>2903</v>
      </c>
      <c r="B25419" s="38">
        <v>85268.0</v>
      </c>
      <c r="C25419" s="38" t="s">
        <v>29924</v>
      </c>
      <c r="D25419" s="38" t="str">
        <f>IFERROR(__xludf.DUMMYFUNCTION("REGEXREPLACE(C25419,""-\d+(.*)|--\d+(.*)"","""")"),"SAINT-REVEREND")</f>
        <v>SAINT-REVEREND</v>
      </c>
      <c r="E25419" s="38" t="s">
        <v>179</v>
      </c>
      <c r="F25419" s="38" t="s">
        <v>180</v>
      </c>
      <c r="G25419" s="49" t="str">
        <f t="shared" si="1"/>
        <v>85220</v>
      </c>
      <c r="H25419" s="49">
        <f t="shared" si="2"/>
        <v>85268</v>
      </c>
    </row>
    <row r="25420">
      <c r="A25420" s="48" t="s">
        <v>4434</v>
      </c>
      <c r="B25420" s="38">
        <v>31477.0</v>
      </c>
      <c r="C25420" s="38" t="s">
        <v>29925</v>
      </c>
      <c r="D25420" s="38" t="str">
        <f>IFERROR(__xludf.DUMMYFUNCTION("REGEXREPLACE(C25420,""-\d+(.*)|--\d+(.*)"","""")"),"SAINT-ELIX-SEGLAN")</f>
        <v>SAINT-ELIX-SEGLAN</v>
      </c>
      <c r="E25420" s="38" t="s">
        <v>93</v>
      </c>
      <c r="F25420" s="38" t="s">
        <v>94</v>
      </c>
      <c r="G25420" s="49" t="str">
        <f t="shared" si="1"/>
        <v>31420</v>
      </c>
      <c r="H25420" s="49">
        <f t="shared" si="2"/>
        <v>31477</v>
      </c>
    </row>
    <row r="25421">
      <c r="A25421" s="48" t="s">
        <v>7702</v>
      </c>
      <c r="B25421" s="38">
        <v>57551.0</v>
      </c>
      <c r="C25421" s="38" t="s">
        <v>29926</v>
      </c>
      <c r="D25421" s="38" t="str">
        <f>IFERROR(__xludf.DUMMYFUNCTION("REGEXREPLACE(C25421,""-\d+(.*)|--\d+(.*)"","""")"),"POSTROFF")</f>
        <v>POSTROFF</v>
      </c>
      <c r="E25421" s="38" t="s">
        <v>303</v>
      </c>
      <c r="F25421" s="38" t="s">
        <v>195</v>
      </c>
      <c r="G25421" s="49" t="str">
        <f t="shared" si="1"/>
        <v>57930</v>
      </c>
      <c r="H25421" s="49">
        <f t="shared" si="2"/>
        <v>57551</v>
      </c>
    </row>
    <row r="25422">
      <c r="A25422" s="48" t="s">
        <v>358</v>
      </c>
      <c r="B25422" s="38">
        <v>10239.0</v>
      </c>
      <c r="C25422" s="38" t="s">
        <v>29927</v>
      </c>
      <c r="D25422" s="38" t="str">
        <f>IFERROR(__xludf.DUMMYFUNCTION("REGEXREPLACE(C25422,""-\d+(.*)|--\d+(.*)"","""")"),"MESNIL-SELLIERES")</f>
        <v>MESNIL-SELLIERES</v>
      </c>
      <c r="E25422" s="38" t="s">
        <v>147</v>
      </c>
      <c r="F25422" s="38" t="s">
        <v>130</v>
      </c>
      <c r="G25422" s="49" t="str">
        <f t="shared" si="1"/>
        <v>10220</v>
      </c>
      <c r="H25422" s="49">
        <f t="shared" si="2"/>
        <v>10239</v>
      </c>
    </row>
    <row r="25423">
      <c r="A25423" s="48" t="s">
        <v>7657</v>
      </c>
      <c r="B25423" s="38">
        <v>80749.0</v>
      </c>
      <c r="C25423" s="38" t="s">
        <v>29928</v>
      </c>
      <c r="D25423" s="38" t="str">
        <f>IFERROR(__xludf.DUMMYFUNCTION("REGEXREPLACE(C25423,""-\d+(.*)|--\d+(.*)"","""")"),"TERRAMESNIL")</f>
        <v>TERRAMESNIL</v>
      </c>
      <c r="E25423" s="38" t="s">
        <v>224</v>
      </c>
      <c r="F25423" s="38" t="s">
        <v>113</v>
      </c>
      <c r="G25423" s="49" t="str">
        <f t="shared" si="1"/>
        <v>80600</v>
      </c>
      <c r="H25423" s="49">
        <f t="shared" si="2"/>
        <v>80749</v>
      </c>
    </row>
    <row r="25424">
      <c r="A25424" s="48" t="s">
        <v>4941</v>
      </c>
      <c r="B25424" s="38">
        <v>89358.0</v>
      </c>
      <c r="C25424" s="38" t="s">
        <v>29929</v>
      </c>
      <c r="D25424" s="38" t="str">
        <f>IFERROR(__xludf.DUMMYFUNCTION("REGEXREPLACE(C25424,""-\d+(.*)|--\d+(.*)"","""")"),"SAINT-MARTIN-SUR-OUANNE")</f>
        <v>SAINT-MARTIN-SUR-OUANNE</v>
      </c>
      <c r="E25424" s="38" t="s">
        <v>275</v>
      </c>
      <c r="F25424" s="38" t="s">
        <v>106</v>
      </c>
      <c r="G25424" s="49" t="str">
        <f t="shared" si="1"/>
        <v>89120</v>
      </c>
      <c r="H25424" s="49">
        <f t="shared" si="2"/>
        <v>89358</v>
      </c>
    </row>
    <row r="25425">
      <c r="A25425" s="48" t="s">
        <v>5381</v>
      </c>
      <c r="B25425" s="38">
        <v>38479.0</v>
      </c>
      <c r="C25425" s="38" t="s">
        <v>29930</v>
      </c>
      <c r="D25425" s="38" t="str">
        <f>IFERROR(__xludf.DUMMYFUNCTION("REGEXREPLACE(C25425,""-\d+(.*)|--\d+(.*)"","""")"),"SEMONS")</f>
        <v>SEMONS</v>
      </c>
      <c r="E25425" s="38" t="s">
        <v>101</v>
      </c>
      <c r="F25425" s="38" t="s">
        <v>102</v>
      </c>
      <c r="G25425" s="49" t="str">
        <f t="shared" si="1"/>
        <v>38260</v>
      </c>
      <c r="H25425" s="49">
        <f t="shared" si="2"/>
        <v>38479</v>
      </c>
    </row>
    <row r="25426">
      <c r="A25426" s="48" t="s">
        <v>1172</v>
      </c>
      <c r="B25426" s="38">
        <v>76563.0</v>
      </c>
      <c r="C25426" s="38" t="s">
        <v>29931</v>
      </c>
      <c r="D25426" s="38" t="str">
        <f>IFERROR(__xludf.DUMMYFUNCTION("REGEXREPLACE(C25426,""-\d+(.*)|--\d+(.*)"","""")"),"SAINT-AUBIN-ROUTOT")</f>
        <v>SAINT-AUBIN-ROUTOT</v>
      </c>
      <c r="E25426" s="38" t="s">
        <v>133</v>
      </c>
      <c r="F25426" s="38" t="s">
        <v>134</v>
      </c>
      <c r="G25426" s="49" t="str">
        <f t="shared" si="1"/>
        <v>76430</v>
      </c>
      <c r="H25426" s="49">
        <f t="shared" si="2"/>
        <v>76563</v>
      </c>
    </row>
    <row r="25427">
      <c r="A25427" s="48" t="s">
        <v>9141</v>
      </c>
      <c r="B25427" s="38">
        <v>1238.0</v>
      </c>
      <c r="C25427" s="38" t="s">
        <v>29932</v>
      </c>
      <c r="D25427" s="38" t="str">
        <f>IFERROR(__xludf.DUMMYFUNCTION("REGEXREPLACE(C25427,""-\d+(.*)|--\d+(.*)"","""")"),"MASSIEUX")</f>
        <v>MASSIEUX</v>
      </c>
      <c r="E25427" s="38" t="s">
        <v>255</v>
      </c>
      <c r="F25427" s="38" t="s">
        <v>102</v>
      </c>
      <c r="G25427" s="49" t="str">
        <f t="shared" si="1"/>
        <v>01600</v>
      </c>
      <c r="H25427" s="49" t="str">
        <f t="shared" si="2"/>
        <v>01238</v>
      </c>
    </row>
    <row r="25428">
      <c r="A25428" s="48" t="s">
        <v>4701</v>
      </c>
      <c r="B25428" s="38">
        <v>62341.0</v>
      </c>
      <c r="C25428" s="38" t="s">
        <v>29933</v>
      </c>
      <c r="D25428" s="38" t="str">
        <f>IFERROR(__xludf.DUMMYFUNCTION("REGEXREPLACE(C25428,""-\d+(.*)|--\d+(.*)"","""")"),"FONCQUEVILLERS")</f>
        <v>FONCQUEVILLERS</v>
      </c>
      <c r="E25428" s="38" t="s">
        <v>109</v>
      </c>
      <c r="F25428" s="38" t="s">
        <v>86</v>
      </c>
      <c r="G25428" s="49" t="str">
        <f t="shared" si="1"/>
        <v>62111</v>
      </c>
      <c r="H25428" s="49">
        <f t="shared" si="2"/>
        <v>62341</v>
      </c>
    </row>
    <row r="25429">
      <c r="A25429" s="48" t="s">
        <v>7078</v>
      </c>
      <c r="B25429" s="38">
        <v>7326.0</v>
      </c>
      <c r="C25429" s="38" t="s">
        <v>29934</v>
      </c>
      <c r="D25429" s="38" t="str">
        <f>IFERROR(__xludf.DUMMYFUNCTION("REGEXREPLACE(C25429,""-\d+(.*)|--\d+(.*)"","""")"),"USCLADES-ET-RIEUTORD")</f>
        <v>USCLADES-ET-RIEUTORD</v>
      </c>
      <c r="E25429" s="38" t="s">
        <v>144</v>
      </c>
      <c r="F25429" s="38" t="s">
        <v>102</v>
      </c>
      <c r="G25429" s="49" t="str">
        <f t="shared" si="1"/>
        <v>07510</v>
      </c>
      <c r="H25429" s="49" t="str">
        <f t="shared" si="2"/>
        <v>07326</v>
      </c>
    </row>
    <row r="25430">
      <c r="A25430" s="48" t="s">
        <v>11754</v>
      </c>
      <c r="B25430" s="38">
        <v>4021.0</v>
      </c>
      <c r="C25430" s="38" t="s">
        <v>29935</v>
      </c>
      <c r="D25430" s="38" t="str">
        <f>IFERROR(__xludf.DUMMYFUNCTION("REGEXREPLACE(C25430,""-\d+(.*)|--\d+(.*)"","""")"),"BARRAS")</f>
        <v>BARRAS</v>
      </c>
      <c r="E25430" s="38" t="s">
        <v>662</v>
      </c>
      <c r="F25430" s="38" t="s">
        <v>228</v>
      </c>
      <c r="G25430" s="49" t="str">
        <f t="shared" si="1"/>
        <v>04380</v>
      </c>
      <c r="H25430" s="49" t="str">
        <f t="shared" si="2"/>
        <v>04021</v>
      </c>
    </row>
    <row r="25431">
      <c r="A25431" s="48" t="s">
        <v>3339</v>
      </c>
      <c r="B25431" s="38">
        <v>67227.0</v>
      </c>
      <c r="C25431" s="38" t="s">
        <v>29936</v>
      </c>
      <c r="D25431" s="38" t="str">
        <f>IFERROR(__xludf.DUMMYFUNCTION("REGEXREPLACE(C25431,""-\d+(.*)|--\d+(.*)"","""")"),"ITTERSWILLER")</f>
        <v>ITTERSWILLER</v>
      </c>
      <c r="E25431" s="38" t="s">
        <v>210</v>
      </c>
      <c r="F25431" s="38" t="s">
        <v>151</v>
      </c>
      <c r="G25431" s="49" t="str">
        <f t="shared" si="1"/>
        <v>67140</v>
      </c>
      <c r="H25431" s="49">
        <f t="shared" si="2"/>
        <v>67227</v>
      </c>
    </row>
    <row r="25432">
      <c r="A25432" s="48" t="s">
        <v>1132</v>
      </c>
      <c r="B25432" s="38">
        <v>2249.0</v>
      </c>
      <c r="C25432" s="38" t="s">
        <v>29937</v>
      </c>
      <c r="D25432" s="38" t="str">
        <f>IFERROR(__xludf.DUMMYFUNCTION("REGEXREPLACE(C25432,""-\d+(.*)|--\d+(.*)"","""")"),"CUIRY-HOUSSE")</f>
        <v>CUIRY-HOUSSE</v>
      </c>
      <c r="E25432" s="38" t="s">
        <v>191</v>
      </c>
      <c r="F25432" s="38" t="s">
        <v>113</v>
      </c>
      <c r="G25432" s="49" t="str">
        <f t="shared" si="1"/>
        <v>02220</v>
      </c>
      <c r="H25432" s="49" t="str">
        <f t="shared" si="2"/>
        <v>02249</v>
      </c>
    </row>
    <row r="25433">
      <c r="A25433" s="48" t="s">
        <v>29938</v>
      </c>
      <c r="B25433" s="38">
        <v>60099.0</v>
      </c>
      <c r="C25433" s="38" t="s">
        <v>29939</v>
      </c>
      <c r="D25433" s="38" t="str">
        <f>IFERROR(__xludf.DUMMYFUNCTION("REGEXREPLACE(C25433,""-\d+(.*)|--\d+(.*)"","""")"),"BRAISNES-SUR-ARONDE")</f>
        <v>BRAISNES-SUR-ARONDE</v>
      </c>
      <c r="E25433" s="38" t="s">
        <v>112</v>
      </c>
      <c r="F25433" s="38" t="s">
        <v>113</v>
      </c>
      <c r="G25433" s="49" t="str">
        <f t="shared" si="1"/>
        <v>60113</v>
      </c>
      <c r="H25433" s="49">
        <f t="shared" si="2"/>
        <v>60099</v>
      </c>
    </row>
    <row r="25434">
      <c r="A25434" s="48" t="s">
        <v>5014</v>
      </c>
      <c r="B25434" s="38">
        <v>57754.0</v>
      </c>
      <c r="C25434" s="38" t="s">
        <v>29940</v>
      </c>
      <c r="D25434" s="38" t="str">
        <f>IFERROR(__xludf.DUMMYFUNCTION("REGEXREPLACE(C25434,""-\d+(.*)|--\d+(.*)"","""")"),"XANREY")</f>
        <v>XANREY</v>
      </c>
      <c r="E25434" s="38" t="s">
        <v>303</v>
      </c>
      <c r="F25434" s="38" t="s">
        <v>195</v>
      </c>
      <c r="G25434" s="49" t="str">
        <f t="shared" si="1"/>
        <v>57630</v>
      </c>
      <c r="H25434" s="49">
        <f t="shared" si="2"/>
        <v>57754</v>
      </c>
    </row>
    <row r="25435">
      <c r="A25435" s="48" t="s">
        <v>29806</v>
      </c>
      <c r="B25435" s="38">
        <v>57305.0</v>
      </c>
      <c r="C25435" s="38" t="s">
        <v>29941</v>
      </c>
      <c r="D25435" s="38" t="str">
        <f>IFERROR(__xludf.DUMMYFUNCTION("REGEXREPLACE(C25435,""-\d+(.*)|--\d+(.*)"","""")"),"HAVANGE")</f>
        <v>HAVANGE</v>
      </c>
      <c r="E25435" s="38" t="s">
        <v>303</v>
      </c>
      <c r="F25435" s="38" t="s">
        <v>195</v>
      </c>
      <c r="G25435" s="49" t="str">
        <f t="shared" si="1"/>
        <v>57650</v>
      </c>
      <c r="H25435" s="49">
        <f t="shared" si="2"/>
        <v>57305</v>
      </c>
    </row>
    <row r="25436">
      <c r="A25436" s="48" t="s">
        <v>6767</v>
      </c>
      <c r="B25436" s="38">
        <v>15002.0</v>
      </c>
      <c r="C25436" s="38" t="s">
        <v>29942</v>
      </c>
      <c r="D25436" s="38" t="str">
        <f>IFERROR(__xludf.DUMMYFUNCTION("REGEXREPLACE(C25436,""-\d+(.*)|--\d+(.*)"","""")"),"ALLEUZE")</f>
        <v>ALLEUZE</v>
      </c>
      <c r="E25436" s="38" t="s">
        <v>632</v>
      </c>
      <c r="F25436" s="38" t="s">
        <v>161</v>
      </c>
      <c r="G25436" s="49" t="str">
        <f t="shared" si="1"/>
        <v>15100</v>
      </c>
      <c r="H25436" s="49">
        <f t="shared" si="2"/>
        <v>15002</v>
      </c>
    </row>
    <row r="25437">
      <c r="A25437" s="48" t="s">
        <v>6982</v>
      </c>
      <c r="B25437" s="38">
        <v>14566.0</v>
      </c>
      <c r="C25437" s="38" t="s">
        <v>29943</v>
      </c>
      <c r="D25437" s="38" t="str">
        <f>IFERROR(__xludf.DUMMYFUNCTION("REGEXREPLACE(C25437,""-\d+(.*)|--\d+(.*)"","""")"),"SAINT-CONTEST")</f>
        <v>SAINT-CONTEST</v>
      </c>
      <c r="E25437" s="38" t="s">
        <v>137</v>
      </c>
      <c r="F25437" s="38" t="s">
        <v>138</v>
      </c>
      <c r="G25437" s="49" t="str">
        <f t="shared" si="1"/>
        <v>14280</v>
      </c>
      <c r="H25437" s="49">
        <f t="shared" si="2"/>
        <v>14566</v>
      </c>
    </row>
    <row r="25438">
      <c r="A25438" s="48" t="s">
        <v>6328</v>
      </c>
      <c r="B25438" s="38">
        <v>30110.0</v>
      </c>
      <c r="C25438" s="38" t="s">
        <v>29944</v>
      </c>
      <c r="D25438" s="38" t="str">
        <f>IFERROR(__xludf.DUMMYFUNCTION("REGEXREPLACE(C25438,""-\d+(.*)|--\d+(.*)"","""")"),"FLAUX")</f>
        <v>FLAUX</v>
      </c>
      <c r="E25438" s="38" t="s">
        <v>526</v>
      </c>
      <c r="F25438" s="38" t="s">
        <v>119</v>
      </c>
      <c r="G25438" s="49" t="str">
        <f t="shared" si="1"/>
        <v>30700</v>
      </c>
      <c r="H25438" s="49">
        <f t="shared" si="2"/>
        <v>30110</v>
      </c>
    </row>
    <row r="25439">
      <c r="A25439" s="48" t="s">
        <v>1605</v>
      </c>
      <c r="B25439" s="38">
        <v>17201.0</v>
      </c>
      <c r="C25439" s="38" t="s">
        <v>29945</v>
      </c>
      <c r="D25439" s="38" t="str">
        <f>IFERROR(__xludf.DUMMYFUNCTION("REGEXREPLACE(C25439,""-\d+(.*)|--\d+(.*)"","""")"),"LA LAIGNE")</f>
        <v>LA LAIGNE</v>
      </c>
      <c r="E25439" s="38" t="s">
        <v>488</v>
      </c>
      <c r="F25439" s="38" t="s">
        <v>338</v>
      </c>
      <c r="G25439" s="49" t="str">
        <f t="shared" si="1"/>
        <v>17170</v>
      </c>
      <c r="H25439" s="49">
        <f t="shared" si="2"/>
        <v>17201</v>
      </c>
    </row>
    <row r="25440">
      <c r="A25440" s="48" t="s">
        <v>7712</v>
      </c>
      <c r="B25440" s="38">
        <v>9236.0</v>
      </c>
      <c r="C25440" s="38" t="s">
        <v>29946</v>
      </c>
      <c r="D25440" s="38" t="str">
        <f>IFERROR(__xludf.DUMMYFUNCTION("REGEXREPLACE(C25440,""-\d+(.*)|--\d+(.*)"","""")"),"PRAYOLS")</f>
        <v>PRAYOLS</v>
      </c>
      <c r="E25440" s="38" t="s">
        <v>238</v>
      </c>
      <c r="F25440" s="38" t="s">
        <v>94</v>
      </c>
      <c r="G25440" s="49" t="str">
        <f t="shared" si="1"/>
        <v>09000</v>
      </c>
      <c r="H25440" s="49" t="str">
        <f t="shared" si="2"/>
        <v>09236</v>
      </c>
    </row>
    <row r="25441">
      <c r="A25441" s="48" t="s">
        <v>1609</v>
      </c>
      <c r="B25441" s="38">
        <v>30183.0</v>
      </c>
      <c r="C25441" s="38" t="s">
        <v>29947</v>
      </c>
      <c r="D25441" s="38" t="str">
        <f>IFERROR(__xludf.DUMMYFUNCTION("REGEXREPLACE(C25441,""-\d+(.*)|--\d+(.*)"","""")"),"MOULEZAN")</f>
        <v>MOULEZAN</v>
      </c>
      <c r="E25441" s="38" t="s">
        <v>526</v>
      </c>
      <c r="F25441" s="38" t="s">
        <v>119</v>
      </c>
      <c r="G25441" s="49" t="str">
        <f t="shared" si="1"/>
        <v>30350</v>
      </c>
      <c r="H25441" s="49">
        <f t="shared" si="2"/>
        <v>30183</v>
      </c>
    </row>
    <row r="25442">
      <c r="A25442" s="48" t="s">
        <v>7845</v>
      </c>
      <c r="B25442" s="38">
        <v>12130.0</v>
      </c>
      <c r="C25442" s="38" t="s">
        <v>29948</v>
      </c>
      <c r="D25442" s="38" t="str">
        <f>IFERROR(__xludf.DUMMYFUNCTION("REGEXREPLACE(C25442,""-\d+(.*)|--\d+(.*)"","""")"),"LIVINHAC-LE-HAUT")</f>
        <v>LIVINHAC-LE-HAUT</v>
      </c>
      <c r="E25442" s="38" t="s">
        <v>465</v>
      </c>
      <c r="F25442" s="38" t="s">
        <v>94</v>
      </c>
      <c r="G25442" s="49" t="str">
        <f t="shared" si="1"/>
        <v>12300</v>
      </c>
      <c r="H25442" s="49">
        <f t="shared" si="2"/>
        <v>12130</v>
      </c>
    </row>
    <row r="25443">
      <c r="A25443" s="48" t="s">
        <v>1728</v>
      </c>
      <c r="B25443" s="38">
        <v>45310.0</v>
      </c>
      <c r="C25443" s="38" t="s">
        <v>29949</v>
      </c>
      <c r="D25443" s="38" t="str">
        <f>IFERROR(__xludf.DUMMYFUNCTION("REGEXREPLACE(C25443,""-\d+(.*)|--\d+(.*)"","""")"),"SERMAISES")</f>
        <v>SERMAISES</v>
      </c>
      <c r="E25443" s="38" t="s">
        <v>122</v>
      </c>
      <c r="F25443" s="38" t="s">
        <v>123</v>
      </c>
      <c r="G25443" s="49" t="str">
        <f t="shared" si="1"/>
        <v>45300</v>
      </c>
      <c r="H25443" s="49">
        <f t="shared" si="2"/>
        <v>45310</v>
      </c>
    </row>
    <row r="25444">
      <c r="A25444" s="48" t="s">
        <v>29950</v>
      </c>
      <c r="B25444" s="38">
        <v>50316.0</v>
      </c>
      <c r="C25444" s="38" t="s">
        <v>29951</v>
      </c>
      <c r="D25444" s="38" t="str">
        <f>IFERROR(__xludf.DUMMYFUNCTION("REGEXREPLACE(C25444,""-\d+(.*)|--\d+(.*)"","""")"),"LE MESNIL-OPAC")</f>
        <v>LE MESNIL-OPAC</v>
      </c>
      <c r="E25444" s="38" t="s">
        <v>157</v>
      </c>
      <c r="F25444" s="38" t="s">
        <v>138</v>
      </c>
      <c r="G25444" s="49" t="str">
        <f t="shared" si="1"/>
        <v>50860</v>
      </c>
      <c r="H25444" s="49">
        <f t="shared" si="2"/>
        <v>50316</v>
      </c>
    </row>
    <row r="25445">
      <c r="A25445" s="48" t="s">
        <v>1590</v>
      </c>
      <c r="B25445" s="38">
        <v>33044.0</v>
      </c>
      <c r="C25445" s="38" t="s">
        <v>29600</v>
      </c>
      <c r="D25445" s="38" t="str">
        <f>IFERROR(__xludf.DUMMYFUNCTION("REGEXREPLACE(C25445,""-\d+(.*)|--\d+(.*)"","""")"),"BELLEFOND")</f>
        <v>BELLEFOND</v>
      </c>
      <c r="E25445" s="38" t="s">
        <v>462</v>
      </c>
      <c r="F25445" s="38" t="s">
        <v>252</v>
      </c>
      <c r="G25445" s="49" t="str">
        <f t="shared" si="1"/>
        <v>33760</v>
      </c>
      <c r="H25445" s="49">
        <f t="shared" si="2"/>
        <v>33044</v>
      </c>
    </row>
    <row r="25446">
      <c r="A25446" s="48" t="s">
        <v>8204</v>
      </c>
      <c r="B25446" s="38">
        <v>78031.0</v>
      </c>
      <c r="C25446" s="38" t="s">
        <v>29952</v>
      </c>
      <c r="D25446" s="38" t="str">
        <f>IFERROR(__xludf.DUMMYFUNCTION("REGEXREPLACE(C25446,""-\d+(.*)|--\d+(.*)"","""")"),"AUFFREVILLE-BRASSEUIL")</f>
        <v>AUFFREVILLE-BRASSEUIL</v>
      </c>
      <c r="E25446" s="38" t="s">
        <v>362</v>
      </c>
      <c r="F25446" s="38" t="s">
        <v>245</v>
      </c>
      <c r="G25446" s="49" t="str">
        <f t="shared" si="1"/>
        <v>78930</v>
      </c>
      <c r="H25446" s="49">
        <f t="shared" si="2"/>
        <v>78031</v>
      </c>
    </row>
    <row r="25447">
      <c r="A25447" s="48" t="s">
        <v>6923</v>
      </c>
      <c r="B25447" s="38">
        <v>33496.0</v>
      </c>
      <c r="C25447" s="38" t="s">
        <v>29953</v>
      </c>
      <c r="D25447" s="38" t="str">
        <f>IFERROR(__xludf.DUMMYFUNCTION("REGEXREPLACE(C25447,""-\d+(.*)|--\d+(.*)"","""")"),"SALLEBOEUF")</f>
        <v>SALLEBOEUF</v>
      </c>
      <c r="E25447" s="38" t="s">
        <v>462</v>
      </c>
      <c r="F25447" s="38" t="s">
        <v>252</v>
      </c>
      <c r="G25447" s="49" t="str">
        <f t="shared" si="1"/>
        <v>33370</v>
      </c>
      <c r="H25447" s="49">
        <f t="shared" si="2"/>
        <v>33496</v>
      </c>
    </row>
    <row r="25448">
      <c r="A25448" s="48" t="s">
        <v>3783</v>
      </c>
      <c r="B25448" s="38">
        <v>62537.0</v>
      </c>
      <c r="C25448" s="38" t="s">
        <v>29954</v>
      </c>
      <c r="D25448" s="38" t="str">
        <f>IFERROR(__xludf.DUMMYFUNCTION("REGEXREPLACE(C25448,""-\d+(.*)|--\d+(.*)"","""")"),"MAGNICOURT-SUR-CANCHE")</f>
        <v>MAGNICOURT-SUR-CANCHE</v>
      </c>
      <c r="E25448" s="38" t="s">
        <v>109</v>
      </c>
      <c r="F25448" s="38" t="s">
        <v>86</v>
      </c>
      <c r="G25448" s="49" t="str">
        <f t="shared" si="1"/>
        <v>62270</v>
      </c>
      <c r="H25448" s="49">
        <f t="shared" si="2"/>
        <v>62537</v>
      </c>
    </row>
    <row r="25449">
      <c r="A25449" s="48" t="s">
        <v>12175</v>
      </c>
      <c r="B25449" s="38">
        <v>80476.0</v>
      </c>
      <c r="C25449" s="38" t="s">
        <v>29955</v>
      </c>
      <c r="D25449" s="38" t="str">
        <f>IFERROR(__xludf.DUMMYFUNCTION("REGEXREPLACE(C25449,""-\d+(.*)|--\d+(.*)"","""")"),"LIERCOURT")</f>
        <v>LIERCOURT</v>
      </c>
      <c r="E25449" s="38" t="s">
        <v>224</v>
      </c>
      <c r="F25449" s="38" t="s">
        <v>113</v>
      </c>
      <c r="G25449" s="49" t="str">
        <f t="shared" si="1"/>
        <v>80580</v>
      </c>
      <c r="H25449" s="49">
        <f t="shared" si="2"/>
        <v>80476</v>
      </c>
    </row>
    <row r="25450">
      <c r="A25450" s="48" t="s">
        <v>11472</v>
      </c>
      <c r="B25450" s="38">
        <v>30249.0</v>
      </c>
      <c r="C25450" s="38" t="s">
        <v>29956</v>
      </c>
      <c r="D25450" s="38" t="str">
        <f>IFERROR(__xludf.DUMMYFUNCTION("REGEXREPLACE(C25450,""-\d+(.*)|--\d+(.*)"","""")"),"SAINT-DIONISY")</f>
        <v>SAINT-DIONISY</v>
      </c>
      <c r="E25450" s="38" t="s">
        <v>526</v>
      </c>
      <c r="F25450" s="38" t="s">
        <v>119</v>
      </c>
      <c r="G25450" s="49" t="str">
        <f t="shared" si="1"/>
        <v>30980</v>
      </c>
      <c r="H25450" s="49">
        <f t="shared" si="2"/>
        <v>30249</v>
      </c>
    </row>
    <row r="25451">
      <c r="A25451" s="48" t="s">
        <v>1446</v>
      </c>
      <c r="B25451" s="38">
        <v>76708.0</v>
      </c>
      <c r="C25451" s="38" t="s">
        <v>29957</v>
      </c>
      <c r="D25451" s="38" t="str">
        <f>IFERROR(__xludf.DUMMYFUNCTION("REGEXREPLACE(C25451,""-\d+(.*)|--\d+(.*)"","""")"),"TOUSSAINT")</f>
        <v>TOUSSAINT</v>
      </c>
      <c r="E25451" s="38" t="s">
        <v>133</v>
      </c>
      <c r="F25451" s="38" t="s">
        <v>134</v>
      </c>
      <c r="G25451" s="49" t="str">
        <f t="shared" si="1"/>
        <v>76400</v>
      </c>
      <c r="H25451" s="49">
        <f t="shared" si="2"/>
        <v>76708</v>
      </c>
    </row>
    <row r="25452">
      <c r="A25452" s="48" t="s">
        <v>1700</v>
      </c>
      <c r="B25452" s="38">
        <v>35029.0</v>
      </c>
      <c r="C25452" s="38" t="s">
        <v>29958</v>
      </c>
      <c r="D25452" s="38" t="str">
        <f>IFERROR(__xludf.DUMMYFUNCTION("REGEXREPLACE(C25452,""-\d+(.*)|--\d+(.*)"","""")"),"BONNEMAIN")</f>
        <v>BONNEMAIN</v>
      </c>
      <c r="E25452" s="38" t="s">
        <v>347</v>
      </c>
      <c r="F25452" s="38" t="s">
        <v>90</v>
      </c>
      <c r="G25452" s="49" t="str">
        <f t="shared" si="1"/>
        <v>35270</v>
      </c>
      <c r="H25452" s="49">
        <f t="shared" si="2"/>
        <v>35029</v>
      </c>
    </row>
    <row r="25453">
      <c r="A25453" s="48" t="s">
        <v>1286</v>
      </c>
      <c r="B25453" s="38">
        <v>47040.0</v>
      </c>
      <c r="C25453" s="38" t="s">
        <v>20829</v>
      </c>
      <c r="D25453" s="38" t="str">
        <f>IFERROR(__xludf.DUMMYFUNCTION("REGEXREPLACE(C25453,""-\d+(.*)|--\d+(.*)"","""")"),"BRAX")</f>
        <v>BRAX</v>
      </c>
      <c r="E25453" s="38" t="s">
        <v>251</v>
      </c>
      <c r="F25453" s="38" t="s">
        <v>252</v>
      </c>
      <c r="G25453" s="49" t="str">
        <f t="shared" si="1"/>
        <v>47310</v>
      </c>
      <c r="H25453" s="49">
        <f t="shared" si="2"/>
        <v>47040</v>
      </c>
    </row>
    <row r="25454">
      <c r="A25454" s="48" t="s">
        <v>384</v>
      </c>
      <c r="B25454" s="38">
        <v>55029.0</v>
      </c>
      <c r="C25454" s="38" t="s">
        <v>29959</v>
      </c>
      <c r="D25454" s="38" t="str">
        <f>IFERROR(__xludf.DUMMYFUNCTION("REGEXREPLACE(C25454,""-\d+(.*)|--\d+(.*)"","""")"),"BAR-LE-DUC")</f>
        <v>BAR-LE-DUC</v>
      </c>
      <c r="E25454" s="38" t="s">
        <v>322</v>
      </c>
      <c r="F25454" s="38" t="s">
        <v>195</v>
      </c>
      <c r="G25454" s="49" t="str">
        <f t="shared" si="1"/>
        <v>55000</v>
      </c>
      <c r="H25454" s="49">
        <f t="shared" si="2"/>
        <v>55029</v>
      </c>
    </row>
    <row r="25455">
      <c r="A25455" s="48" t="s">
        <v>2069</v>
      </c>
      <c r="B25455" s="38">
        <v>47202.0</v>
      </c>
      <c r="C25455" s="38" t="s">
        <v>29960</v>
      </c>
      <c r="D25455" s="38" t="str">
        <f>IFERROR(__xludf.DUMMYFUNCTION("REGEXREPLACE(C25455,""-\d+(.*)|--\d+(.*)"","""")"),"PAULHIAC")</f>
        <v>PAULHIAC</v>
      </c>
      <c r="E25455" s="38" t="s">
        <v>251</v>
      </c>
      <c r="F25455" s="38" t="s">
        <v>252</v>
      </c>
      <c r="G25455" s="49" t="str">
        <f t="shared" si="1"/>
        <v>47150</v>
      </c>
      <c r="H25455" s="49">
        <f t="shared" si="2"/>
        <v>47202</v>
      </c>
    </row>
    <row r="25456">
      <c r="A25456" s="48" t="s">
        <v>693</v>
      </c>
      <c r="B25456" s="38">
        <v>23072.0</v>
      </c>
      <c r="C25456" s="38" t="s">
        <v>29961</v>
      </c>
      <c r="D25456" s="38" t="str">
        <f>IFERROR(__xludf.DUMMYFUNCTION("REGEXREPLACE(C25456,""-\d+(.*)|--\d+(.*)"","""")"),"DOMEYROT")</f>
        <v>DOMEYROT</v>
      </c>
      <c r="E25456" s="38" t="s">
        <v>97</v>
      </c>
      <c r="F25456" s="38" t="s">
        <v>98</v>
      </c>
      <c r="G25456" s="49" t="str">
        <f t="shared" si="1"/>
        <v>23140</v>
      </c>
      <c r="H25456" s="49">
        <f t="shared" si="2"/>
        <v>23072</v>
      </c>
    </row>
    <row r="25457">
      <c r="A25457" s="48" t="s">
        <v>6651</v>
      </c>
      <c r="B25457" s="38">
        <v>31304.0</v>
      </c>
      <c r="C25457" s="38" t="s">
        <v>29962</v>
      </c>
      <c r="D25457" s="38" t="str">
        <f>IFERROR(__xludf.DUMMYFUNCTION("REGEXREPLACE(C25457,""-\d+(.*)|--\d+(.*)"","""")"),"LOUBENS-LAURAGAIS")</f>
        <v>LOUBENS-LAURAGAIS</v>
      </c>
      <c r="E25457" s="38" t="s">
        <v>93</v>
      </c>
      <c r="F25457" s="38" t="s">
        <v>94</v>
      </c>
      <c r="G25457" s="49" t="str">
        <f t="shared" si="1"/>
        <v>31460</v>
      </c>
      <c r="H25457" s="49">
        <f t="shared" si="2"/>
        <v>31304</v>
      </c>
    </row>
    <row r="25458">
      <c r="A25458" s="48" t="s">
        <v>12642</v>
      </c>
      <c r="B25458" s="38">
        <v>50340.0</v>
      </c>
      <c r="C25458" s="38" t="s">
        <v>29963</v>
      </c>
      <c r="D25458" s="38" t="str">
        <f>IFERROR(__xludf.DUMMYFUNCTION("REGEXREPLACE(C25458,""-\d+(.*)|--\d+(.*)"","""")"),"MONTCUIT")</f>
        <v>MONTCUIT</v>
      </c>
      <c r="E25458" s="38" t="s">
        <v>157</v>
      </c>
      <c r="F25458" s="38" t="s">
        <v>138</v>
      </c>
      <c r="G25458" s="49" t="str">
        <f t="shared" si="1"/>
        <v>50490</v>
      </c>
      <c r="H25458" s="49">
        <f t="shared" si="2"/>
        <v>50340</v>
      </c>
    </row>
    <row r="25459">
      <c r="A25459" s="48" t="s">
        <v>4676</v>
      </c>
      <c r="B25459" s="38">
        <v>48161.0</v>
      </c>
      <c r="C25459" s="38" t="s">
        <v>5439</v>
      </c>
      <c r="D25459" s="38" t="str">
        <f>IFERROR(__xludf.DUMMYFUNCTION("REGEXREPLACE(C25459,""-\d+(.*)|--\d+(.*)"","""")"),"SAINT-JUERY")</f>
        <v>SAINT-JUERY</v>
      </c>
      <c r="E25459" s="38" t="s">
        <v>154</v>
      </c>
      <c r="F25459" s="38" t="s">
        <v>119</v>
      </c>
      <c r="G25459" s="49" t="str">
        <f t="shared" si="1"/>
        <v>48310</v>
      </c>
      <c r="H25459" s="49">
        <f t="shared" si="2"/>
        <v>48161</v>
      </c>
    </row>
    <row r="25460">
      <c r="A25460" s="48" t="s">
        <v>2077</v>
      </c>
      <c r="B25460" s="38">
        <v>8216.0</v>
      </c>
      <c r="C25460" s="38" t="s">
        <v>29964</v>
      </c>
      <c r="D25460" s="38" t="str">
        <f>IFERROR(__xludf.DUMMYFUNCTION("REGEXREPLACE(C25460,""-\d+(.*)|--\d+(.*)"","""")"),"HAUDRECY")</f>
        <v>HAUDRECY</v>
      </c>
      <c r="E25460" s="38" t="s">
        <v>327</v>
      </c>
      <c r="F25460" s="38" t="s">
        <v>130</v>
      </c>
      <c r="G25460" s="49" t="str">
        <f t="shared" si="1"/>
        <v>08090</v>
      </c>
      <c r="H25460" s="49" t="str">
        <f t="shared" si="2"/>
        <v>08216</v>
      </c>
    </row>
    <row r="25461">
      <c r="A25461" s="48" t="s">
        <v>2770</v>
      </c>
      <c r="B25461" s="38">
        <v>25455.0</v>
      </c>
      <c r="C25461" s="38" t="s">
        <v>29965</v>
      </c>
      <c r="D25461" s="38" t="str">
        <f>IFERROR(__xludf.DUMMYFUNCTION("REGEXREPLACE(C25461,""-\d+(.*)|--\d+(.*)"","""")"),"PLACEY")</f>
        <v>PLACEY</v>
      </c>
      <c r="E25461" s="38" t="s">
        <v>213</v>
      </c>
      <c r="F25461" s="38" t="s">
        <v>214</v>
      </c>
      <c r="G25461" s="49" t="str">
        <f t="shared" si="1"/>
        <v>25170</v>
      </c>
      <c r="H25461" s="49">
        <f t="shared" si="2"/>
        <v>25455</v>
      </c>
    </row>
    <row r="25462">
      <c r="A25462" s="48" t="s">
        <v>29966</v>
      </c>
      <c r="B25462" s="38">
        <v>49199.0</v>
      </c>
      <c r="C25462" s="38" t="s">
        <v>4275</v>
      </c>
      <c r="D25462" s="38" t="str">
        <f>IFERROR(__xludf.DUMMYFUNCTION("REGEXREPLACE(C25462,""-\d+(.*)|--\d+(.*)"","""")"),"MELAY")</f>
        <v>MELAY</v>
      </c>
      <c r="E25462" s="38" t="s">
        <v>653</v>
      </c>
      <c r="F25462" s="38" t="s">
        <v>180</v>
      </c>
      <c r="G25462" s="49" t="str">
        <f t="shared" si="1"/>
        <v>49199</v>
      </c>
      <c r="H25462" s="49">
        <f t="shared" si="2"/>
        <v>49199</v>
      </c>
    </row>
    <row r="25463">
      <c r="A25463" s="48" t="s">
        <v>12662</v>
      </c>
      <c r="B25463" s="38">
        <v>85303.0</v>
      </c>
      <c r="C25463" s="38" t="s">
        <v>29967</v>
      </c>
      <c r="D25463" s="38" t="str">
        <f>IFERROR(__xludf.DUMMYFUNCTION("REGEXREPLACE(C25463,""-\d+(.*)|--\d+(.*)"","""")"),"VIX")</f>
        <v>VIX</v>
      </c>
      <c r="E25463" s="38" t="s">
        <v>179</v>
      </c>
      <c r="F25463" s="38" t="s">
        <v>180</v>
      </c>
      <c r="G25463" s="49" t="str">
        <f t="shared" si="1"/>
        <v>85770</v>
      </c>
      <c r="H25463" s="49">
        <f t="shared" si="2"/>
        <v>85303</v>
      </c>
    </row>
    <row r="25464">
      <c r="A25464" s="48" t="s">
        <v>5370</v>
      </c>
      <c r="B25464" s="38">
        <v>15213.0</v>
      </c>
      <c r="C25464" s="38" t="s">
        <v>1113</v>
      </c>
      <c r="D25464" s="38" t="str">
        <f>IFERROR(__xludf.DUMMYFUNCTION("REGEXREPLACE(C25464,""-\d+(.*)|--\d+(.*)"","""")"),"SAINT-SATURNIN")</f>
        <v>SAINT-SATURNIN</v>
      </c>
      <c r="E25464" s="38" t="s">
        <v>632</v>
      </c>
      <c r="F25464" s="38" t="s">
        <v>161</v>
      </c>
      <c r="G25464" s="49" t="str">
        <f t="shared" si="1"/>
        <v>15190</v>
      </c>
      <c r="H25464" s="49">
        <f t="shared" si="2"/>
        <v>15213</v>
      </c>
    </row>
    <row r="25465">
      <c r="A25465" s="48" t="s">
        <v>5575</v>
      </c>
      <c r="B25465" s="38">
        <v>62389.0</v>
      </c>
      <c r="C25465" s="38" t="s">
        <v>29968</v>
      </c>
      <c r="D25465" s="38" t="str">
        <f>IFERROR(__xludf.DUMMYFUNCTION("REGEXREPLACE(C25465,""-\d+(.*)|--\d+(.*)"","""")"),"GRINCOURT-LES-PAS")</f>
        <v>GRINCOURT-LES-PAS</v>
      </c>
      <c r="E25465" s="38" t="s">
        <v>109</v>
      </c>
      <c r="F25465" s="38" t="s">
        <v>86</v>
      </c>
      <c r="G25465" s="49" t="str">
        <f t="shared" si="1"/>
        <v>62760</v>
      </c>
      <c r="H25465" s="49">
        <f t="shared" si="2"/>
        <v>62389</v>
      </c>
    </row>
    <row r="25466">
      <c r="A25466" s="48" t="s">
        <v>1646</v>
      </c>
      <c r="B25466" s="38">
        <v>24065.0</v>
      </c>
      <c r="C25466" s="38" t="s">
        <v>29969</v>
      </c>
      <c r="D25466" s="38" t="str">
        <f>IFERROR(__xludf.DUMMYFUNCTION("REGEXREPLACE(C25466,""-\d+(.*)|--\d+(.*)"","""")"),"BREUILH")</f>
        <v>BREUILH</v>
      </c>
      <c r="E25466" s="38" t="s">
        <v>261</v>
      </c>
      <c r="F25466" s="38" t="s">
        <v>252</v>
      </c>
      <c r="G25466" s="49" t="str">
        <f t="shared" si="1"/>
        <v>24380</v>
      </c>
      <c r="H25466" s="49">
        <f t="shared" si="2"/>
        <v>24065</v>
      </c>
    </row>
    <row r="25467">
      <c r="A25467" s="48" t="s">
        <v>2057</v>
      </c>
      <c r="B25467" s="38">
        <v>89033.0</v>
      </c>
      <c r="C25467" s="38" t="s">
        <v>14081</v>
      </c>
      <c r="D25467" s="38" t="str">
        <f>IFERROR(__xludf.DUMMYFUNCTION("REGEXREPLACE(C25467,""-\d+(.*)|--\d+(.*)"","""")"),"BEAUVOIR")</f>
        <v>BEAUVOIR</v>
      </c>
      <c r="E25467" s="38" t="s">
        <v>275</v>
      </c>
      <c r="F25467" s="38" t="s">
        <v>106</v>
      </c>
      <c r="G25467" s="49" t="str">
        <f t="shared" si="1"/>
        <v>89240</v>
      </c>
      <c r="H25467" s="49">
        <f t="shared" si="2"/>
        <v>89033</v>
      </c>
    </row>
    <row r="25468">
      <c r="A25468" s="48" t="s">
        <v>3723</v>
      </c>
      <c r="B25468" s="38">
        <v>54424.0</v>
      </c>
      <c r="C25468" s="38" t="s">
        <v>29970</v>
      </c>
      <c r="D25468" s="38" t="str">
        <f>IFERROR(__xludf.DUMMYFUNCTION("REGEXREPLACE(C25468,""-\d+(.*)|--\d+(.*)"","""")"),"PHLIN")</f>
        <v>PHLIN</v>
      </c>
      <c r="E25468" s="38" t="s">
        <v>548</v>
      </c>
      <c r="F25468" s="38" t="s">
        <v>195</v>
      </c>
      <c r="G25468" s="49" t="str">
        <f t="shared" si="1"/>
        <v>54610</v>
      </c>
      <c r="H25468" s="49">
        <f t="shared" si="2"/>
        <v>54424</v>
      </c>
    </row>
    <row r="25469">
      <c r="A25469" s="48" t="s">
        <v>436</v>
      </c>
      <c r="B25469" s="38">
        <v>51316.0</v>
      </c>
      <c r="C25469" s="38" t="s">
        <v>29971</v>
      </c>
      <c r="D25469" s="38" t="str">
        <f>IFERROR(__xludf.DUMMYFUNCTION("REGEXREPLACE(C25469,""-\d+(.*)|--\d+(.*)"","""")"),"LARZICOURT")</f>
        <v>LARZICOURT</v>
      </c>
      <c r="E25469" s="38" t="s">
        <v>129</v>
      </c>
      <c r="F25469" s="38" t="s">
        <v>130</v>
      </c>
      <c r="G25469" s="49" t="str">
        <f t="shared" si="1"/>
        <v>51290</v>
      </c>
      <c r="H25469" s="49">
        <f t="shared" si="2"/>
        <v>51316</v>
      </c>
    </row>
    <row r="25470">
      <c r="A25470" s="48" t="s">
        <v>9293</v>
      </c>
      <c r="B25470" s="38">
        <v>9052.0</v>
      </c>
      <c r="C25470" s="38" t="s">
        <v>29972</v>
      </c>
      <c r="D25470" s="38" t="str">
        <f>IFERROR(__xludf.DUMMYFUNCTION("REGEXREPLACE(C25470,""-\d+(.*)|--\d+(.*)"","""")"),"BESSET")</f>
        <v>BESSET</v>
      </c>
      <c r="E25470" s="38" t="s">
        <v>238</v>
      </c>
      <c r="F25470" s="38" t="s">
        <v>94</v>
      </c>
      <c r="G25470" s="49" t="str">
        <f t="shared" si="1"/>
        <v>09500</v>
      </c>
      <c r="H25470" s="49" t="str">
        <f t="shared" si="2"/>
        <v>09052</v>
      </c>
    </row>
    <row r="25471">
      <c r="A25471" s="48" t="s">
        <v>2326</v>
      </c>
      <c r="B25471" s="38">
        <v>54297.0</v>
      </c>
      <c r="C25471" s="38" t="s">
        <v>29973</v>
      </c>
      <c r="D25471" s="38" t="str">
        <f>IFERROR(__xludf.DUMMYFUNCTION("REGEXREPLACE(C25471,""-\d+(.*)|--\d+(.*)"","""")"),"LANEUVEVILLE-AUX-BOIS")</f>
        <v>LANEUVEVILLE-AUX-BOIS</v>
      </c>
      <c r="E25471" s="38" t="s">
        <v>548</v>
      </c>
      <c r="F25471" s="38" t="s">
        <v>195</v>
      </c>
      <c r="G25471" s="49" t="str">
        <f t="shared" si="1"/>
        <v>54370</v>
      </c>
      <c r="H25471" s="49">
        <f t="shared" si="2"/>
        <v>54297</v>
      </c>
    </row>
    <row r="25472">
      <c r="A25472" s="48" t="s">
        <v>3277</v>
      </c>
      <c r="B25472" s="38">
        <v>29024.0</v>
      </c>
      <c r="C25472" s="38" t="s">
        <v>29974</v>
      </c>
      <c r="D25472" s="38" t="str">
        <f>IFERROR(__xludf.DUMMYFUNCTION("REGEXREPLACE(C25472,""-\d+(.*)|--\d+(.*)"","""")"),"CARHAIX-PLOUGUER")</f>
        <v>CARHAIX-PLOUGUER</v>
      </c>
      <c r="E25472" s="38" t="s">
        <v>176</v>
      </c>
      <c r="F25472" s="38" t="s">
        <v>90</v>
      </c>
      <c r="G25472" s="49" t="str">
        <f t="shared" si="1"/>
        <v>29270</v>
      </c>
      <c r="H25472" s="49">
        <f t="shared" si="2"/>
        <v>29024</v>
      </c>
    </row>
    <row r="25473">
      <c r="A25473" s="48" t="s">
        <v>1511</v>
      </c>
      <c r="B25473" s="38">
        <v>22211.0</v>
      </c>
      <c r="C25473" s="38" t="s">
        <v>29975</v>
      </c>
      <c r="D25473" s="38" t="str">
        <f>IFERROR(__xludf.DUMMYFUNCTION("REGEXREPLACE(C25473,""-\d+(.*)|--\d+(.*)"","""")"),"PLOUBEZRE")</f>
        <v>PLOUBEZRE</v>
      </c>
      <c r="E25473" s="38" t="s">
        <v>89</v>
      </c>
      <c r="F25473" s="38" t="s">
        <v>90</v>
      </c>
      <c r="G25473" s="49" t="str">
        <f t="shared" si="1"/>
        <v>22300</v>
      </c>
      <c r="H25473" s="49">
        <f t="shared" si="2"/>
        <v>22211</v>
      </c>
    </row>
    <row r="25474">
      <c r="A25474" s="48" t="s">
        <v>524</v>
      </c>
      <c r="B25474" s="38">
        <v>30207.0</v>
      </c>
      <c r="C25474" s="38" t="s">
        <v>29976</v>
      </c>
      <c r="D25474" s="38" t="str">
        <f>IFERROR(__xludf.DUMMYFUNCTION("REGEXREPLACE(C25474,""-\d+(.*)|--\d+(.*)"","""")"),"POUZILHAC")</f>
        <v>POUZILHAC</v>
      </c>
      <c r="E25474" s="38" t="s">
        <v>526</v>
      </c>
      <c r="F25474" s="38" t="s">
        <v>119</v>
      </c>
      <c r="G25474" s="49" t="str">
        <f t="shared" si="1"/>
        <v>30210</v>
      </c>
      <c r="H25474" s="49">
        <f t="shared" si="2"/>
        <v>30207</v>
      </c>
    </row>
    <row r="25475">
      <c r="A25475" s="48" t="s">
        <v>14840</v>
      </c>
      <c r="B25475" s="38">
        <v>73068.0</v>
      </c>
      <c r="C25475" s="38" t="s">
        <v>29977</v>
      </c>
      <c r="D25475" s="38" t="str">
        <f>IFERROR(__xludf.DUMMYFUNCTION("REGEXREPLACE(C25475,""-\d+(.*)|--\d+(.*)"","""")"),"CHAMOUSSET")</f>
        <v>CHAMOUSSET</v>
      </c>
      <c r="E25475" s="38" t="s">
        <v>306</v>
      </c>
      <c r="F25475" s="38" t="s">
        <v>102</v>
      </c>
      <c r="G25475" s="49" t="str">
        <f t="shared" si="1"/>
        <v>73390</v>
      </c>
      <c r="H25475" s="49">
        <f t="shared" si="2"/>
        <v>73068</v>
      </c>
    </row>
    <row r="25476">
      <c r="A25476" s="48" t="s">
        <v>4682</v>
      </c>
      <c r="B25476" s="38">
        <v>50049.0</v>
      </c>
      <c r="C25476" s="38" t="s">
        <v>29978</v>
      </c>
      <c r="D25476" s="38" t="str">
        <f>IFERROR(__xludf.DUMMYFUNCTION("REGEXREPLACE(C25476,""-\d+(.*)|--\d+(.*)"","""")"),"BESNEVILLE")</f>
        <v>BESNEVILLE</v>
      </c>
      <c r="E25476" s="38" t="s">
        <v>157</v>
      </c>
      <c r="F25476" s="38" t="s">
        <v>138</v>
      </c>
      <c r="G25476" s="49" t="str">
        <f t="shared" si="1"/>
        <v>50390</v>
      </c>
      <c r="H25476" s="49">
        <f t="shared" si="2"/>
        <v>50049</v>
      </c>
    </row>
    <row r="25477">
      <c r="A25477" s="48" t="s">
        <v>3590</v>
      </c>
      <c r="B25477" s="38">
        <v>76477.0</v>
      </c>
      <c r="C25477" s="38" t="s">
        <v>29979</v>
      </c>
      <c r="D25477" s="38" t="str">
        <f>IFERROR(__xludf.DUMMYFUNCTION("REGEXREPLACE(C25477,""-\d+(.*)|--\d+(.*)"","""")"),"NOTRE-DAME-DU-BEC")</f>
        <v>NOTRE-DAME-DU-BEC</v>
      </c>
      <c r="E25477" s="38" t="s">
        <v>133</v>
      </c>
      <c r="F25477" s="38" t="s">
        <v>134</v>
      </c>
      <c r="G25477" s="49" t="str">
        <f t="shared" si="1"/>
        <v>76133</v>
      </c>
      <c r="H25477" s="49">
        <f t="shared" si="2"/>
        <v>76477</v>
      </c>
    </row>
    <row r="25478">
      <c r="A25478" s="48" t="s">
        <v>8429</v>
      </c>
      <c r="B25478" s="38">
        <v>44129.0</v>
      </c>
      <c r="C25478" s="38" t="s">
        <v>29980</v>
      </c>
      <c r="D25478" s="38" t="str">
        <f>IFERROR(__xludf.DUMMYFUNCTION("REGEXREPLACE(C25478,""-\d+(.*)|--\d+(.*)"","""")"),"PONTCHATEAU")</f>
        <v>PONTCHATEAU</v>
      </c>
      <c r="E25478" s="38" t="s">
        <v>759</v>
      </c>
      <c r="F25478" s="38" t="s">
        <v>180</v>
      </c>
      <c r="G25478" s="49" t="str">
        <f t="shared" si="1"/>
        <v>44160</v>
      </c>
      <c r="H25478" s="49">
        <f t="shared" si="2"/>
        <v>44129</v>
      </c>
    </row>
    <row r="25479">
      <c r="A25479" s="48" t="s">
        <v>1656</v>
      </c>
      <c r="B25479" s="38">
        <v>80464.0</v>
      </c>
      <c r="C25479" s="38" t="s">
        <v>29981</v>
      </c>
      <c r="D25479" s="38" t="str">
        <f>IFERROR(__xludf.DUMMYFUNCTION("REGEXREPLACE(C25479,""-\d+(.*)|--\d+(.*)"","""")"),"LANCHERES")</f>
        <v>LANCHERES</v>
      </c>
      <c r="E25479" s="38" t="s">
        <v>224</v>
      </c>
      <c r="F25479" s="38" t="s">
        <v>113</v>
      </c>
      <c r="G25479" s="49" t="str">
        <f t="shared" si="1"/>
        <v>80230</v>
      </c>
      <c r="H25479" s="49">
        <f t="shared" si="2"/>
        <v>80464</v>
      </c>
    </row>
    <row r="25480">
      <c r="A25480" s="48" t="s">
        <v>386</v>
      </c>
      <c r="B25480" s="38">
        <v>21370.0</v>
      </c>
      <c r="C25480" s="38" t="s">
        <v>29982</v>
      </c>
      <c r="D25480" s="38" t="str">
        <f>IFERROR(__xludf.DUMMYFUNCTION("REGEXREPLACE(C25480,""-\d+(.*)|--\d+(.*)"","""")"),"MAGNY-SUR-TILLE")</f>
        <v>MAGNY-SUR-TILLE</v>
      </c>
      <c r="E25480" s="38" t="s">
        <v>105</v>
      </c>
      <c r="F25480" s="38" t="s">
        <v>106</v>
      </c>
      <c r="G25480" s="49" t="str">
        <f t="shared" si="1"/>
        <v>21110</v>
      </c>
      <c r="H25480" s="49">
        <f t="shared" si="2"/>
        <v>21370</v>
      </c>
    </row>
    <row r="25481">
      <c r="A25481" s="48" t="s">
        <v>1210</v>
      </c>
      <c r="B25481" s="38">
        <v>50421.0</v>
      </c>
      <c r="C25481" s="38" t="s">
        <v>29983</v>
      </c>
      <c r="D25481" s="38" t="str">
        <f>IFERROR(__xludf.DUMMYFUNCTION("REGEXREPLACE(C25481,""-\d+(.*)|--\d+(.*)"","""")"),"QUINEVILLE")</f>
        <v>QUINEVILLE</v>
      </c>
      <c r="E25481" s="38" t="s">
        <v>157</v>
      </c>
      <c r="F25481" s="38" t="s">
        <v>138</v>
      </c>
      <c r="G25481" s="49" t="str">
        <f t="shared" si="1"/>
        <v>50310</v>
      </c>
      <c r="H25481" s="49">
        <f t="shared" si="2"/>
        <v>50421</v>
      </c>
    </row>
    <row r="25482">
      <c r="A25482" s="48" t="s">
        <v>29984</v>
      </c>
      <c r="B25482" s="38">
        <v>73058.0</v>
      </c>
      <c r="C25482" s="38" t="s">
        <v>29985</v>
      </c>
      <c r="D25482" s="38" t="str">
        <f>IFERROR(__xludf.DUMMYFUNCTION("REGEXREPLACE(C25482,""-\d+(.*)|--\d+(.*)"","""")"),"LA BRIDOIRE")</f>
        <v>LA BRIDOIRE</v>
      </c>
      <c r="E25482" s="38" t="s">
        <v>306</v>
      </c>
      <c r="F25482" s="38" t="s">
        <v>102</v>
      </c>
      <c r="G25482" s="49" t="str">
        <f t="shared" si="1"/>
        <v>73520</v>
      </c>
      <c r="H25482" s="49">
        <f t="shared" si="2"/>
        <v>73058</v>
      </c>
    </row>
    <row r="25483">
      <c r="A25483" s="48" t="s">
        <v>724</v>
      </c>
      <c r="B25483" s="38">
        <v>32466.0</v>
      </c>
      <c r="C25483" s="38" t="s">
        <v>29986</v>
      </c>
      <c r="D25483" s="38" t="str">
        <f>IFERROR(__xludf.DUMMYFUNCTION("REGEXREPLACE(C25483,""-\d+(.*)|--\d+(.*)"","""")"),"VIOZAN")</f>
        <v>VIOZAN</v>
      </c>
      <c r="E25483" s="38" t="s">
        <v>440</v>
      </c>
      <c r="F25483" s="38" t="s">
        <v>94</v>
      </c>
      <c r="G25483" s="49" t="str">
        <f t="shared" si="1"/>
        <v>32300</v>
      </c>
      <c r="H25483" s="49">
        <f t="shared" si="2"/>
        <v>32466</v>
      </c>
    </row>
    <row r="25484">
      <c r="A25484" s="48" t="s">
        <v>29987</v>
      </c>
      <c r="B25484" s="38" t="s">
        <v>29988</v>
      </c>
      <c r="C25484" s="38" t="s">
        <v>29989</v>
      </c>
      <c r="D25484" s="38" t="str">
        <f>IFERROR(__xludf.DUMMYFUNCTION("REGEXREPLACE(C25484,""-\d+(.*)|--\d+(.*)"","""")"),"SOTTA")</f>
        <v>SOTTA</v>
      </c>
      <c r="E25484" s="38" t="s">
        <v>606</v>
      </c>
      <c r="F25484" s="38" t="s">
        <v>607</v>
      </c>
      <c r="G25484" s="49" t="str">
        <f t="shared" si="1"/>
        <v>20146</v>
      </c>
      <c r="H25484" s="49" t="str">
        <f t="shared" si="2"/>
        <v>2A288</v>
      </c>
    </row>
    <row r="25485">
      <c r="A25485" s="48" t="s">
        <v>19064</v>
      </c>
      <c r="B25485" s="38">
        <v>61115.0</v>
      </c>
      <c r="C25485" s="38" t="s">
        <v>29990</v>
      </c>
      <c r="D25485" s="38" t="str">
        <f>IFERROR(__xludf.DUMMYFUNCTION("REGEXREPLACE(C25485,""-\d+(.*)|--\d+(.*)"","""")"),"CONDEAU")</f>
        <v>CONDEAU</v>
      </c>
      <c r="E25485" s="38" t="s">
        <v>141</v>
      </c>
      <c r="F25485" s="38" t="s">
        <v>138</v>
      </c>
      <c r="G25485" s="49" t="str">
        <f t="shared" si="1"/>
        <v>61110</v>
      </c>
      <c r="H25485" s="49">
        <f t="shared" si="2"/>
        <v>61115</v>
      </c>
    </row>
    <row r="25486">
      <c r="A25486" s="48" t="s">
        <v>8577</v>
      </c>
      <c r="B25486" s="38">
        <v>3206.0</v>
      </c>
      <c r="C25486" s="38" t="s">
        <v>29991</v>
      </c>
      <c r="D25486" s="38" t="str">
        <f>IFERROR(__xludf.DUMMYFUNCTION("REGEXREPLACE(C25486,""-\d+(.*)|--\d+(.*)"","""")"),"LA PETITE-MARCHE")</f>
        <v>LA PETITE-MARCHE</v>
      </c>
      <c r="E25486" s="38" t="s">
        <v>160</v>
      </c>
      <c r="F25486" s="38" t="s">
        <v>161</v>
      </c>
      <c r="G25486" s="49" t="str">
        <f t="shared" si="1"/>
        <v>03420</v>
      </c>
      <c r="H25486" s="49" t="str">
        <f t="shared" si="2"/>
        <v>03206</v>
      </c>
    </row>
    <row r="25487">
      <c r="A25487" s="48" t="s">
        <v>29992</v>
      </c>
      <c r="B25487" s="38">
        <v>91191.0</v>
      </c>
      <c r="C25487" s="38" t="s">
        <v>29993</v>
      </c>
      <c r="D25487" s="38" t="str">
        <f>IFERROR(__xludf.DUMMYFUNCTION("REGEXREPLACE(C25487,""-\d+(.*)|--\d+(.*)"","""")"),"CROSNE")</f>
        <v>CROSNE</v>
      </c>
      <c r="E25487" s="38" t="s">
        <v>756</v>
      </c>
      <c r="F25487" s="38" t="s">
        <v>245</v>
      </c>
      <c r="G25487" s="49" t="str">
        <f t="shared" si="1"/>
        <v>91560</v>
      </c>
      <c r="H25487" s="49">
        <f t="shared" si="2"/>
        <v>91191</v>
      </c>
    </row>
    <row r="25488">
      <c r="A25488" s="48" t="s">
        <v>15219</v>
      </c>
      <c r="B25488" s="38">
        <v>56022.0</v>
      </c>
      <c r="C25488" s="38" t="s">
        <v>29994</v>
      </c>
      <c r="D25488" s="38" t="str">
        <f>IFERROR(__xludf.DUMMYFUNCTION("REGEXREPLACE(C25488,""-\d+(.*)|--\d+(.*)"","""")"),"BRANDIVY")</f>
        <v>BRANDIVY</v>
      </c>
      <c r="E25488" s="38" t="s">
        <v>173</v>
      </c>
      <c r="F25488" s="38" t="s">
        <v>90</v>
      </c>
      <c r="G25488" s="49" t="str">
        <f t="shared" si="1"/>
        <v>56390</v>
      </c>
      <c r="H25488" s="49">
        <f t="shared" si="2"/>
        <v>56022</v>
      </c>
    </row>
    <row r="25489">
      <c r="A25489" s="48" t="s">
        <v>3359</v>
      </c>
      <c r="B25489" s="38">
        <v>9283.0</v>
      </c>
      <c r="C25489" s="38" t="s">
        <v>29995</v>
      </c>
      <c r="D25489" s="38" t="str">
        <f>IFERROR(__xludf.DUMMYFUNCTION("REGEXREPLACE(C25489,""-\d+(.*)|--\d+(.*)"","""")"),"SAVIGNAC-LES-ORMEAUX")</f>
        <v>SAVIGNAC-LES-ORMEAUX</v>
      </c>
      <c r="E25489" s="38" t="s">
        <v>238</v>
      </c>
      <c r="F25489" s="38" t="s">
        <v>94</v>
      </c>
      <c r="G25489" s="49" t="str">
        <f t="shared" si="1"/>
        <v>09110</v>
      </c>
      <c r="H25489" s="49" t="str">
        <f t="shared" si="2"/>
        <v>09283</v>
      </c>
    </row>
    <row r="25490">
      <c r="A25490" s="48" t="s">
        <v>2176</v>
      </c>
      <c r="B25490" s="38">
        <v>62717.0</v>
      </c>
      <c r="C25490" s="38" t="s">
        <v>29996</v>
      </c>
      <c r="D25490" s="38" t="str">
        <f>IFERROR(__xludf.DUMMYFUNCTION("REGEXREPLACE(C25490,""-\d+(.*)|--\d+(.*)"","""")"),"ROELLECOURT")</f>
        <v>ROELLECOURT</v>
      </c>
      <c r="E25490" s="38" t="s">
        <v>109</v>
      </c>
      <c r="F25490" s="38" t="s">
        <v>86</v>
      </c>
      <c r="G25490" s="49" t="str">
        <f t="shared" si="1"/>
        <v>62130</v>
      </c>
      <c r="H25490" s="49">
        <f t="shared" si="2"/>
        <v>62717</v>
      </c>
    </row>
    <row r="25491">
      <c r="A25491" s="48" t="s">
        <v>2208</v>
      </c>
      <c r="B25491" s="38">
        <v>55181.0</v>
      </c>
      <c r="C25491" s="38" t="s">
        <v>29997</v>
      </c>
      <c r="D25491" s="38" t="str">
        <f>IFERROR(__xludf.DUMMYFUNCTION("REGEXREPLACE(C25491,""-\d+(.*)|--\d+(.*)"","""")"),"ETAIN")</f>
        <v>ETAIN</v>
      </c>
      <c r="E25491" s="38" t="s">
        <v>322</v>
      </c>
      <c r="F25491" s="38" t="s">
        <v>195</v>
      </c>
      <c r="G25491" s="49" t="str">
        <f t="shared" si="1"/>
        <v>55400</v>
      </c>
      <c r="H25491" s="49">
        <f t="shared" si="2"/>
        <v>55181</v>
      </c>
    </row>
    <row r="25492">
      <c r="A25492" s="48" t="s">
        <v>2400</v>
      </c>
      <c r="B25492" s="38">
        <v>25279.0</v>
      </c>
      <c r="C25492" s="38" t="s">
        <v>29998</v>
      </c>
      <c r="D25492" s="38" t="str">
        <f>IFERROR(__xludf.DUMMYFUNCTION("REGEXREPLACE(C25492,""-\d+(.*)|--\d+(.*)"","""")"),"GOUHELANS")</f>
        <v>GOUHELANS</v>
      </c>
      <c r="E25492" s="38" t="s">
        <v>213</v>
      </c>
      <c r="F25492" s="38" t="s">
        <v>214</v>
      </c>
      <c r="G25492" s="49" t="str">
        <f t="shared" si="1"/>
        <v>25680</v>
      </c>
      <c r="H25492" s="49">
        <f t="shared" si="2"/>
        <v>25279</v>
      </c>
    </row>
    <row r="25493">
      <c r="A25493" s="48" t="s">
        <v>13752</v>
      </c>
      <c r="B25493" s="38">
        <v>72065.0</v>
      </c>
      <c r="C25493" s="38" t="s">
        <v>29999</v>
      </c>
      <c r="D25493" s="38" t="str">
        <f>IFERROR(__xludf.DUMMYFUNCTION("REGEXREPLACE(C25493,""-\d+(.*)|--\d+(.*)"","""")"),"LA CHAPELLE-SAINT-AUBIN")</f>
        <v>LA CHAPELLE-SAINT-AUBIN</v>
      </c>
      <c r="E25493" s="38" t="s">
        <v>521</v>
      </c>
      <c r="F25493" s="38" t="s">
        <v>180</v>
      </c>
      <c r="G25493" s="49" t="str">
        <f t="shared" si="1"/>
        <v>72650</v>
      </c>
      <c r="H25493" s="49">
        <f t="shared" si="2"/>
        <v>72065</v>
      </c>
    </row>
    <row r="25494">
      <c r="A25494" s="48" t="s">
        <v>2989</v>
      </c>
      <c r="B25494" s="38">
        <v>70383.0</v>
      </c>
      <c r="C25494" s="38" t="s">
        <v>30000</v>
      </c>
      <c r="D25494" s="38" t="str">
        <f>IFERROR(__xludf.DUMMYFUNCTION("REGEXREPLACE(C25494,""-\d+(.*)|--\d+(.*)"","""")"),"NEUVELLE-LES-CROMARY")</f>
        <v>NEUVELLE-LES-CROMARY</v>
      </c>
      <c r="E25494" s="38" t="s">
        <v>956</v>
      </c>
      <c r="F25494" s="38" t="s">
        <v>214</v>
      </c>
      <c r="G25494" s="49" t="str">
        <f t="shared" si="1"/>
        <v>70190</v>
      </c>
      <c r="H25494" s="49">
        <f t="shared" si="2"/>
        <v>70383</v>
      </c>
    </row>
    <row r="25495">
      <c r="A25495" s="48" t="s">
        <v>1408</v>
      </c>
      <c r="B25495" s="38">
        <v>88346.0</v>
      </c>
      <c r="C25495" s="38" t="s">
        <v>30001</v>
      </c>
      <c r="D25495" s="38" t="str">
        <f>IFERROR(__xludf.DUMMYFUNCTION("REGEXREPLACE(C25495,""-\d+(.*)|--\d+(.*)"","""")"),"LA PETITE-RAON")</f>
        <v>LA PETITE-RAON</v>
      </c>
      <c r="E25495" s="38" t="s">
        <v>194</v>
      </c>
      <c r="F25495" s="38" t="s">
        <v>195</v>
      </c>
      <c r="G25495" s="49" t="str">
        <f t="shared" si="1"/>
        <v>88210</v>
      </c>
      <c r="H25495" s="49">
        <f t="shared" si="2"/>
        <v>88346</v>
      </c>
    </row>
    <row r="25496">
      <c r="A25496" s="48" t="s">
        <v>11884</v>
      </c>
      <c r="B25496" s="38">
        <v>37023.0</v>
      </c>
      <c r="C25496" s="38" t="s">
        <v>30002</v>
      </c>
      <c r="D25496" s="38" t="str">
        <f>IFERROR(__xludf.DUMMYFUNCTION("REGEXREPLACE(C25496,""-\d+(.*)|--\d+(.*)"","""")"),"BEAUMONT-VILLAGE")</f>
        <v>BEAUMONT-VILLAGE</v>
      </c>
      <c r="E25496" s="38" t="s">
        <v>205</v>
      </c>
      <c r="F25496" s="38" t="s">
        <v>123</v>
      </c>
      <c r="G25496" s="49" t="str">
        <f t="shared" si="1"/>
        <v>37460</v>
      </c>
      <c r="H25496" s="49">
        <f t="shared" si="2"/>
        <v>37023</v>
      </c>
    </row>
    <row r="25497">
      <c r="A25497" s="48" t="s">
        <v>3190</v>
      </c>
      <c r="B25497" s="38">
        <v>70551.0</v>
      </c>
      <c r="C25497" s="38" t="s">
        <v>30003</v>
      </c>
      <c r="D25497" s="38" t="str">
        <f>IFERROR(__xludf.DUMMYFUNCTION("REGEXREPLACE(C25497,""-\d+(.*)|--\d+(.*)"","""")"),"VEZET")</f>
        <v>VEZET</v>
      </c>
      <c r="E25497" s="38" t="s">
        <v>956</v>
      </c>
      <c r="F25497" s="38" t="s">
        <v>214</v>
      </c>
      <c r="G25497" s="49" t="str">
        <f t="shared" si="1"/>
        <v>70130</v>
      </c>
      <c r="H25497" s="49">
        <f t="shared" si="2"/>
        <v>70551</v>
      </c>
    </row>
    <row r="25498">
      <c r="A25498" s="48" t="s">
        <v>18076</v>
      </c>
      <c r="B25498" s="38">
        <v>49070.0</v>
      </c>
      <c r="C25498" s="38" t="s">
        <v>30004</v>
      </c>
      <c r="D25498" s="38" t="str">
        <f>IFERROR(__xludf.DUMMYFUNCTION("REGEXREPLACE(C25498,""-\d+(.*)|--\d+(.*)"","""")"),"CHANTELOUP-LES-BOIS")</f>
        <v>CHANTELOUP-LES-BOIS</v>
      </c>
      <c r="E25498" s="38" t="s">
        <v>653</v>
      </c>
      <c r="F25498" s="38" t="s">
        <v>180</v>
      </c>
      <c r="G25498" s="49" t="str">
        <f t="shared" si="1"/>
        <v>49340</v>
      </c>
      <c r="H25498" s="49">
        <f t="shared" si="2"/>
        <v>49070</v>
      </c>
    </row>
    <row r="25499">
      <c r="A25499" s="48" t="s">
        <v>12715</v>
      </c>
      <c r="B25499" s="38">
        <v>29046.0</v>
      </c>
      <c r="C25499" s="38" t="s">
        <v>30005</v>
      </c>
      <c r="D25499" s="38" t="str">
        <f>IFERROR(__xludf.DUMMYFUNCTION("REGEXREPLACE(C25499,""-\d+(.*)|--\d+(.*)"","""")"),"DOUARNENEZ")</f>
        <v>DOUARNENEZ</v>
      </c>
      <c r="E25499" s="38" t="s">
        <v>176</v>
      </c>
      <c r="F25499" s="38" t="s">
        <v>90</v>
      </c>
      <c r="G25499" s="49" t="str">
        <f t="shared" si="1"/>
        <v>29100</v>
      </c>
      <c r="H25499" s="49">
        <f t="shared" si="2"/>
        <v>29046</v>
      </c>
    </row>
    <row r="25500">
      <c r="A25500" s="48" t="s">
        <v>1448</v>
      </c>
      <c r="B25500" s="38">
        <v>29056.0</v>
      </c>
      <c r="C25500" s="38" t="s">
        <v>30006</v>
      </c>
      <c r="D25500" s="38" t="str">
        <f>IFERROR(__xludf.DUMMYFUNCTION("REGEXREPLACE(C25500,""-\d+(.*)|--\d+(.*)"","""")"),"LA FOREST-LANDERNEAU")</f>
        <v>LA FOREST-LANDERNEAU</v>
      </c>
      <c r="E25500" s="38" t="s">
        <v>176</v>
      </c>
      <c r="F25500" s="38" t="s">
        <v>90</v>
      </c>
      <c r="G25500" s="49" t="str">
        <f t="shared" si="1"/>
        <v>29800</v>
      </c>
      <c r="H25500" s="49">
        <f t="shared" si="2"/>
        <v>29056</v>
      </c>
    </row>
    <row r="25501">
      <c r="A25501" s="48" t="s">
        <v>9556</v>
      </c>
      <c r="B25501" s="38">
        <v>60297.0</v>
      </c>
      <c r="C25501" s="38" t="s">
        <v>30007</v>
      </c>
      <c r="D25501" s="38" t="str">
        <f>IFERROR(__xludf.DUMMYFUNCTION("REGEXREPLACE(C25501,""-\d+(.*)|--\d+(.*)"","""")"),"LE HAMEL")</f>
        <v>LE HAMEL</v>
      </c>
      <c r="E25501" s="38" t="s">
        <v>112</v>
      </c>
      <c r="F25501" s="38" t="s">
        <v>113</v>
      </c>
      <c r="G25501" s="49" t="str">
        <f t="shared" si="1"/>
        <v>60210</v>
      </c>
      <c r="H25501" s="49">
        <f t="shared" si="2"/>
        <v>60297</v>
      </c>
    </row>
    <row r="25502">
      <c r="A25502" s="48" t="s">
        <v>3071</v>
      </c>
      <c r="B25502" s="38">
        <v>59232.0</v>
      </c>
      <c r="C25502" s="38" t="s">
        <v>9971</v>
      </c>
      <c r="D25502" s="38" t="str">
        <f>IFERROR(__xludf.DUMMYFUNCTION("REGEXREPLACE(C25502,""-\d+(.*)|--\d+(.*)"","""")"),"LA FLAMENGRIE")</f>
        <v>LA FLAMENGRIE</v>
      </c>
      <c r="E25502" s="38" t="s">
        <v>85</v>
      </c>
      <c r="F25502" s="38" t="s">
        <v>86</v>
      </c>
      <c r="G25502" s="49" t="str">
        <f t="shared" si="1"/>
        <v>59570</v>
      </c>
      <c r="H25502" s="49">
        <f t="shared" si="2"/>
        <v>59232</v>
      </c>
    </row>
    <row r="25503">
      <c r="A25503" s="48" t="s">
        <v>8892</v>
      </c>
      <c r="B25503" s="38">
        <v>60103.0</v>
      </c>
      <c r="C25503" s="38" t="s">
        <v>30008</v>
      </c>
      <c r="D25503" s="38" t="str">
        <f>IFERROR(__xludf.DUMMYFUNCTION("REGEXREPLACE(C25503,""-\d+(.*)|--\d+(.*)"","""")"),"BRESLES")</f>
        <v>BRESLES</v>
      </c>
      <c r="E25503" s="38" t="s">
        <v>112</v>
      </c>
      <c r="F25503" s="38" t="s">
        <v>113</v>
      </c>
      <c r="G25503" s="49" t="str">
        <f t="shared" si="1"/>
        <v>60510</v>
      </c>
      <c r="H25503" s="49">
        <f t="shared" si="2"/>
        <v>60103</v>
      </c>
    </row>
    <row r="25504">
      <c r="A25504" s="48" t="s">
        <v>256</v>
      </c>
      <c r="B25504" s="38">
        <v>36143.0</v>
      </c>
      <c r="C25504" s="38" t="s">
        <v>30009</v>
      </c>
      <c r="D25504" s="38" t="str">
        <f>IFERROR(__xludf.DUMMYFUNCTION("REGEXREPLACE(C25504,""-\d+(.*)|--\d+(.*)"","""")"),"NOHANT-VIC")</f>
        <v>NOHANT-VIC</v>
      </c>
      <c r="E25504" s="38" t="s">
        <v>258</v>
      </c>
      <c r="F25504" s="38" t="s">
        <v>123</v>
      </c>
      <c r="G25504" s="49" t="str">
        <f t="shared" si="1"/>
        <v>36400</v>
      </c>
      <c r="H25504" s="49">
        <f t="shared" si="2"/>
        <v>36143</v>
      </c>
    </row>
    <row r="25505">
      <c r="A25505" s="48" t="s">
        <v>8821</v>
      </c>
      <c r="B25505" s="38">
        <v>26357.0</v>
      </c>
      <c r="C25505" s="38" t="s">
        <v>30010</v>
      </c>
      <c r="D25505" s="38" t="str">
        <f>IFERROR(__xludf.DUMMYFUNCTION("REGEXREPLACE(C25505,""-\d+(.*)|--\d+(.*)"","""")"),"TULETTE")</f>
        <v>TULETTE</v>
      </c>
      <c r="E25505" s="38" t="s">
        <v>126</v>
      </c>
      <c r="F25505" s="38" t="s">
        <v>102</v>
      </c>
      <c r="G25505" s="49" t="str">
        <f t="shared" si="1"/>
        <v>26790</v>
      </c>
      <c r="H25505" s="49">
        <f t="shared" si="2"/>
        <v>26357</v>
      </c>
    </row>
    <row r="25506">
      <c r="A25506" s="48" t="s">
        <v>30011</v>
      </c>
      <c r="B25506" s="38">
        <v>97117.0</v>
      </c>
      <c r="C25506" s="38" t="s">
        <v>30012</v>
      </c>
      <c r="D25506" s="38" t="str">
        <f>IFERROR(__xludf.DUMMYFUNCTION("REGEXREPLACE(C25506,""-\d+(.*)|--\d+(.*)"","""")"),"LE MOULE")</f>
        <v>LE MOULE</v>
      </c>
      <c r="E25506" s="38" t="s">
        <v>2023</v>
      </c>
      <c r="F25506" s="38" t="s">
        <v>2023</v>
      </c>
      <c r="G25506" s="49" t="str">
        <f t="shared" si="1"/>
        <v>97160</v>
      </c>
      <c r="H25506" s="49">
        <f t="shared" si="2"/>
        <v>97117</v>
      </c>
    </row>
    <row r="25507">
      <c r="A25507" s="48" t="s">
        <v>1841</v>
      </c>
      <c r="B25507" s="38">
        <v>27082.0</v>
      </c>
      <c r="C25507" s="38" t="s">
        <v>30013</v>
      </c>
      <c r="D25507" s="38" t="str">
        <f>IFERROR(__xludf.DUMMYFUNCTION("REGEXREPLACE(C25507,""-\d+(.*)|--\d+(.*)"","""")"),"LA BONNEVILLE-SUR-ITON")</f>
        <v>LA BONNEVILLE-SUR-ITON</v>
      </c>
      <c r="E25507" s="38" t="s">
        <v>241</v>
      </c>
      <c r="F25507" s="38" t="s">
        <v>134</v>
      </c>
      <c r="G25507" s="49" t="str">
        <f t="shared" si="1"/>
        <v>27190</v>
      </c>
      <c r="H25507" s="49">
        <f t="shared" si="2"/>
        <v>27082</v>
      </c>
    </row>
    <row r="25508">
      <c r="A25508" s="48" t="s">
        <v>3618</v>
      </c>
      <c r="B25508" s="38">
        <v>31190.0</v>
      </c>
      <c r="C25508" s="38" t="s">
        <v>30014</v>
      </c>
      <c r="D25508" s="38" t="str">
        <f>IFERROR(__xludf.DUMMYFUNCTION("REGEXREPLACE(C25508,""-\d+(.*)|--\d+(.*)"","""")"),"FOS")</f>
        <v>FOS</v>
      </c>
      <c r="E25508" s="38" t="s">
        <v>93</v>
      </c>
      <c r="F25508" s="38" t="s">
        <v>94</v>
      </c>
      <c r="G25508" s="49" t="str">
        <f t="shared" si="1"/>
        <v>31440</v>
      </c>
      <c r="H25508" s="49">
        <f t="shared" si="2"/>
        <v>31190</v>
      </c>
    </row>
    <row r="25509">
      <c r="A25509" s="48" t="s">
        <v>4586</v>
      </c>
      <c r="B25509" s="38">
        <v>40232.0</v>
      </c>
      <c r="C25509" s="38" t="s">
        <v>30015</v>
      </c>
      <c r="D25509" s="38" t="str">
        <f>IFERROR(__xludf.DUMMYFUNCTION("REGEXREPLACE(C25509,""-\d+(.*)|--\d+(.*)"","""")"),"POUDENX")</f>
        <v>POUDENX</v>
      </c>
      <c r="E25509" s="38" t="s">
        <v>281</v>
      </c>
      <c r="F25509" s="38" t="s">
        <v>252</v>
      </c>
      <c r="G25509" s="49" t="str">
        <f t="shared" si="1"/>
        <v>40700</v>
      </c>
      <c r="H25509" s="49">
        <f t="shared" si="2"/>
        <v>40232</v>
      </c>
    </row>
    <row r="25510">
      <c r="A25510" s="48" t="s">
        <v>4428</v>
      </c>
      <c r="B25510" s="38">
        <v>72005.0</v>
      </c>
      <c r="C25510" s="38" t="s">
        <v>30016</v>
      </c>
      <c r="D25510" s="38" t="str">
        <f>IFERROR(__xludf.DUMMYFUNCTION("REGEXREPLACE(C25510,""-\d+(.*)|--\d+(.*)"","""")"),"ANCINNES")</f>
        <v>ANCINNES</v>
      </c>
      <c r="E25510" s="38" t="s">
        <v>521</v>
      </c>
      <c r="F25510" s="38" t="s">
        <v>180</v>
      </c>
      <c r="G25510" s="49" t="str">
        <f t="shared" si="1"/>
        <v>72610</v>
      </c>
      <c r="H25510" s="49">
        <f t="shared" si="2"/>
        <v>72005</v>
      </c>
    </row>
    <row r="25511">
      <c r="A25511" s="48" t="s">
        <v>1499</v>
      </c>
      <c r="B25511" s="38">
        <v>49022.0</v>
      </c>
      <c r="C25511" s="38" t="s">
        <v>30017</v>
      </c>
      <c r="D25511" s="38" t="str">
        <f>IFERROR(__xludf.DUMMYFUNCTION("REGEXREPLACE(C25511,""-\d+(.*)|--\d+(.*)"","""")"),"BEAULIEU-SUR-LAYON")</f>
        <v>BEAULIEU-SUR-LAYON</v>
      </c>
      <c r="E25511" s="38" t="s">
        <v>653</v>
      </c>
      <c r="F25511" s="38" t="s">
        <v>180</v>
      </c>
      <c r="G25511" s="49" t="str">
        <f t="shared" si="1"/>
        <v>49750</v>
      </c>
      <c r="H25511" s="49">
        <f t="shared" si="2"/>
        <v>49022</v>
      </c>
    </row>
    <row r="25512">
      <c r="A25512" s="48" t="s">
        <v>2469</v>
      </c>
      <c r="B25512" s="38">
        <v>8468.0</v>
      </c>
      <c r="C25512" s="38" t="s">
        <v>30018</v>
      </c>
      <c r="D25512" s="38" t="str">
        <f>IFERROR(__xludf.DUMMYFUNCTION("REGEXREPLACE(C25512,""-\d+(.*)|--\d+(.*)"","""")"),"VAUX-VILLAINE")</f>
        <v>VAUX-VILLAINE</v>
      </c>
      <c r="E25512" s="38" t="s">
        <v>327</v>
      </c>
      <c r="F25512" s="38" t="s">
        <v>130</v>
      </c>
      <c r="G25512" s="49" t="str">
        <f t="shared" si="1"/>
        <v>08150</v>
      </c>
      <c r="H25512" s="49" t="str">
        <f t="shared" si="2"/>
        <v>08468</v>
      </c>
    </row>
    <row r="25513">
      <c r="A25513" s="48" t="s">
        <v>142</v>
      </c>
      <c r="B25513" s="38">
        <v>7048.0</v>
      </c>
      <c r="C25513" s="38" t="s">
        <v>30019</v>
      </c>
      <c r="D25513" s="38" t="str">
        <f>IFERROR(__xludf.DUMMYFUNCTION("REGEXREPLACE(C25513,""-\d+(.*)|--\d+(.*)"","""")"),"CHALENCON")</f>
        <v>CHALENCON</v>
      </c>
      <c r="E25513" s="38" t="s">
        <v>144</v>
      </c>
      <c r="F25513" s="38" t="s">
        <v>102</v>
      </c>
      <c r="G25513" s="49" t="str">
        <f t="shared" si="1"/>
        <v>07240</v>
      </c>
      <c r="H25513" s="49" t="str">
        <f t="shared" si="2"/>
        <v>07048</v>
      </c>
    </row>
    <row r="25514">
      <c r="A25514" s="48" t="s">
        <v>3450</v>
      </c>
      <c r="B25514" s="38">
        <v>60270.0</v>
      </c>
      <c r="C25514" s="38" t="s">
        <v>30020</v>
      </c>
      <c r="D25514" s="38" t="str">
        <f>IFERROR(__xludf.DUMMYFUNCTION("REGEXREPLACE(C25514,""-\d+(.*)|--\d+(.*)"","""")"),"GENVRY")</f>
        <v>GENVRY</v>
      </c>
      <c r="E25514" s="38" t="s">
        <v>112</v>
      </c>
      <c r="F25514" s="38" t="s">
        <v>113</v>
      </c>
      <c r="G25514" s="49" t="str">
        <f t="shared" si="1"/>
        <v>60400</v>
      </c>
      <c r="H25514" s="49">
        <f t="shared" si="2"/>
        <v>60270</v>
      </c>
    </row>
    <row r="25515">
      <c r="A25515" s="48" t="s">
        <v>2579</v>
      </c>
      <c r="B25515" s="38">
        <v>32067.0</v>
      </c>
      <c r="C25515" s="38" t="s">
        <v>30021</v>
      </c>
      <c r="D25515" s="38" t="str">
        <f>IFERROR(__xludf.DUMMYFUNCTION("REGEXREPLACE(C25515,""-\d+(.*)|--\d+(.*)"","""")"),"CABAS-LOUMASSES")</f>
        <v>CABAS-LOUMASSES</v>
      </c>
      <c r="E25515" s="38" t="s">
        <v>440</v>
      </c>
      <c r="F25515" s="38" t="s">
        <v>94</v>
      </c>
      <c r="G25515" s="49" t="str">
        <f t="shared" si="1"/>
        <v>32140</v>
      </c>
      <c r="H25515" s="49">
        <f t="shared" si="2"/>
        <v>32067</v>
      </c>
    </row>
    <row r="25516">
      <c r="A25516" s="48" t="s">
        <v>4267</v>
      </c>
      <c r="B25516" s="38">
        <v>62256.0</v>
      </c>
      <c r="C25516" s="38" t="s">
        <v>7021</v>
      </c>
      <c r="D25516" s="38" t="str">
        <f>IFERROR(__xludf.DUMMYFUNCTION("REGEXREPLACE(C25516,""-\d+(.*)|--\d+(.*)"","""")"),"CREPY")</f>
        <v>CREPY</v>
      </c>
      <c r="E25516" s="38" t="s">
        <v>109</v>
      </c>
      <c r="F25516" s="38" t="s">
        <v>86</v>
      </c>
      <c r="G25516" s="49" t="str">
        <f t="shared" si="1"/>
        <v>62310</v>
      </c>
      <c r="H25516" s="49">
        <f t="shared" si="2"/>
        <v>62256</v>
      </c>
    </row>
    <row r="25517">
      <c r="A25517" s="48" t="s">
        <v>3333</v>
      </c>
      <c r="B25517" s="38">
        <v>44091.0</v>
      </c>
      <c r="C25517" s="38" t="s">
        <v>30022</v>
      </c>
      <c r="D25517" s="38" t="str">
        <f>IFERROR(__xludf.DUMMYFUNCTION("REGEXREPLACE(C25517,""-\d+(.*)|--\d+(.*)"","""")"),"MARSAC-SUR-DON")</f>
        <v>MARSAC-SUR-DON</v>
      </c>
      <c r="E25517" s="38" t="s">
        <v>759</v>
      </c>
      <c r="F25517" s="38" t="s">
        <v>180</v>
      </c>
      <c r="G25517" s="49" t="str">
        <f t="shared" si="1"/>
        <v>44170</v>
      </c>
      <c r="H25517" s="49">
        <f t="shared" si="2"/>
        <v>44091</v>
      </c>
    </row>
    <row r="25518">
      <c r="A25518" s="48" t="s">
        <v>12001</v>
      </c>
      <c r="B25518" s="38">
        <v>7141.0</v>
      </c>
      <c r="C25518" s="38" t="s">
        <v>30023</v>
      </c>
      <c r="D25518" s="38" t="str">
        <f>IFERROR(__xludf.DUMMYFUNCTION("REGEXREPLACE(C25518,""-\d+(.*)|--\d+(.*)"","""")"),"LENTILLERES")</f>
        <v>LENTILLERES</v>
      </c>
      <c r="E25518" s="38" t="s">
        <v>144</v>
      </c>
      <c r="F25518" s="38" t="s">
        <v>102</v>
      </c>
      <c r="G25518" s="49" t="str">
        <f t="shared" si="1"/>
        <v>07200</v>
      </c>
      <c r="H25518" s="49" t="str">
        <f t="shared" si="2"/>
        <v>07141</v>
      </c>
    </row>
    <row r="25519">
      <c r="A25519" s="48" t="s">
        <v>732</v>
      </c>
      <c r="B25519" s="38">
        <v>10429.0</v>
      </c>
      <c r="C25519" s="38" t="s">
        <v>30024</v>
      </c>
      <c r="D25519" s="38" t="str">
        <f>IFERROR(__xludf.DUMMYFUNCTION("REGEXREPLACE(C25519,""-\d+(.*)|--\d+(.*)"","""")"),"VILLETTE-SUR-AUBE")</f>
        <v>VILLETTE-SUR-AUBE</v>
      </c>
      <c r="E25519" s="38" t="s">
        <v>147</v>
      </c>
      <c r="F25519" s="38" t="s">
        <v>130</v>
      </c>
      <c r="G25519" s="49" t="str">
        <f t="shared" si="1"/>
        <v>10700</v>
      </c>
      <c r="H25519" s="49">
        <f t="shared" si="2"/>
        <v>10429</v>
      </c>
    </row>
    <row r="25520">
      <c r="A25520" s="48" t="s">
        <v>5702</v>
      </c>
      <c r="B25520" s="38">
        <v>26012.0</v>
      </c>
      <c r="C25520" s="38" t="s">
        <v>30025</v>
      </c>
      <c r="D25520" s="38" t="str">
        <f>IFERROR(__xludf.DUMMYFUNCTION("REGEXREPLACE(C25520,""-\d+(.*)|--\d+(.*)"","""")"),"ARNAYON")</f>
        <v>ARNAYON</v>
      </c>
      <c r="E25520" s="38" t="s">
        <v>126</v>
      </c>
      <c r="F25520" s="38" t="s">
        <v>102</v>
      </c>
      <c r="G25520" s="49" t="str">
        <f t="shared" si="1"/>
        <v>26470</v>
      </c>
      <c r="H25520" s="49">
        <f t="shared" si="2"/>
        <v>26012</v>
      </c>
    </row>
    <row r="25521">
      <c r="A25521" s="48" t="s">
        <v>4873</v>
      </c>
      <c r="B25521" s="38">
        <v>67491.0</v>
      </c>
      <c r="C25521" s="38" t="s">
        <v>30026</v>
      </c>
      <c r="D25521" s="38" t="str">
        <f>IFERROR(__xludf.DUMMYFUNCTION("REGEXREPLACE(C25521,""-\d+(.*)|--\d+(.*)"","""")"),"TIEFFENBACH")</f>
        <v>TIEFFENBACH</v>
      </c>
      <c r="E25521" s="38" t="s">
        <v>210</v>
      </c>
      <c r="F25521" s="38" t="s">
        <v>151</v>
      </c>
      <c r="G25521" s="49" t="str">
        <f t="shared" si="1"/>
        <v>67290</v>
      </c>
      <c r="H25521" s="49">
        <f t="shared" si="2"/>
        <v>67491</v>
      </c>
    </row>
    <row r="25522">
      <c r="A25522" s="48" t="s">
        <v>3711</v>
      </c>
      <c r="B25522" s="38">
        <v>21287.0</v>
      </c>
      <c r="C25522" s="38" t="s">
        <v>1767</v>
      </c>
      <c r="D25522" s="38" t="str">
        <f>IFERROR(__xludf.DUMMYFUNCTION("REGEXREPLACE(C25522,""-\d+(.*)|--\d+(.*)"","""")"),"FRESNES")</f>
        <v>FRESNES</v>
      </c>
      <c r="E25522" s="38" t="s">
        <v>105</v>
      </c>
      <c r="F25522" s="38" t="s">
        <v>106</v>
      </c>
      <c r="G25522" s="49" t="str">
        <f t="shared" si="1"/>
        <v>21500</v>
      </c>
      <c r="H25522" s="49">
        <f t="shared" si="2"/>
        <v>21287</v>
      </c>
    </row>
    <row r="25523">
      <c r="A25523" s="48" t="s">
        <v>10578</v>
      </c>
      <c r="B25523" s="38">
        <v>79148.0</v>
      </c>
      <c r="C25523" s="38" t="s">
        <v>30027</v>
      </c>
      <c r="D25523" s="38" t="str">
        <f>IFERROR(__xludf.DUMMYFUNCTION("REGEXREPLACE(C25523,""-\d+(.*)|--\d+(.*)"","""")"),"LEZAY")</f>
        <v>LEZAY</v>
      </c>
      <c r="E25523" s="38" t="s">
        <v>337</v>
      </c>
      <c r="F25523" s="38" t="s">
        <v>338</v>
      </c>
      <c r="G25523" s="49" t="str">
        <f t="shared" si="1"/>
        <v>79120</v>
      </c>
      <c r="H25523" s="49">
        <f t="shared" si="2"/>
        <v>79148</v>
      </c>
    </row>
    <row r="25524">
      <c r="A25524" s="48" t="s">
        <v>215</v>
      </c>
      <c r="B25524" s="38">
        <v>2502.0</v>
      </c>
      <c r="C25524" s="38" t="s">
        <v>14213</v>
      </c>
      <c r="D25524" s="38" t="str">
        <f>IFERROR(__xludf.DUMMYFUNCTION("REGEXREPLACE(C25524,""-\d+(.*)|--\d+(.*)"","""")"),"MONTCORNET")</f>
        <v>MONTCORNET</v>
      </c>
      <c r="E25524" s="38" t="s">
        <v>191</v>
      </c>
      <c r="F25524" s="38" t="s">
        <v>113</v>
      </c>
      <c r="G25524" s="49" t="str">
        <f t="shared" si="1"/>
        <v>02340</v>
      </c>
      <c r="H25524" s="49" t="str">
        <f t="shared" si="2"/>
        <v>02502</v>
      </c>
    </row>
    <row r="25525">
      <c r="A25525" s="48" t="s">
        <v>29102</v>
      </c>
      <c r="B25525" s="38">
        <v>59600.0</v>
      </c>
      <c r="C25525" s="38" t="s">
        <v>30028</v>
      </c>
      <c r="D25525" s="38" t="str">
        <f>IFERROR(__xludf.DUMMYFUNCTION("REGEXREPLACE(C25525,""-\d+(.*)|--\d+(.*)"","""")"),"TOURMIGNIES")</f>
        <v>TOURMIGNIES</v>
      </c>
      <c r="E25525" s="38" t="s">
        <v>85</v>
      </c>
      <c r="F25525" s="38" t="s">
        <v>86</v>
      </c>
      <c r="G25525" s="49" t="str">
        <f t="shared" si="1"/>
        <v>59551</v>
      </c>
      <c r="H25525" s="49">
        <f t="shared" si="2"/>
        <v>59600</v>
      </c>
    </row>
    <row r="25526">
      <c r="A25526" s="48" t="s">
        <v>794</v>
      </c>
      <c r="B25526" s="38">
        <v>60627.0</v>
      </c>
      <c r="C25526" s="38" t="s">
        <v>30029</v>
      </c>
      <c r="D25526" s="38" t="str">
        <f>IFERROR(__xludf.DUMMYFUNCTION("REGEXREPLACE(C25526,""-\d+(.*)|--\d+(.*)"","""")"),"TARTIGNY")</f>
        <v>TARTIGNY</v>
      </c>
      <c r="E25526" s="38" t="s">
        <v>112</v>
      </c>
      <c r="F25526" s="38" t="s">
        <v>113</v>
      </c>
      <c r="G25526" s="49" t="str">
        <f t="shared" si="1"/>
        <v>60120</v>
      </c>
      <c r="H25526" s="49">
        <f t="shared" si="2"/>
        <v>60627</v>
      </c>
    </row>
    <row r="25527">
      <c r="A25527" s="48" t="s">
        <v>4969</v>
      </c>
      <c r="B25527" s="38">
        <v>14592.0</v>
      </c>
      <c r="C25527" s="38" t="s">
        <v>30030</v>
      </c>
      <c r="D25527" s="38" t="str">
        <f>IFERROR(__xludf.DUMMYFUNCTION("REGEXREPLACE(C25527,""-\d+(.*)|--\d+(.*)"","""")"),"SAINTE-HONORINE-DU-FAY")</f>
        <v>SAINTE-HONORINE-DU-FAY</v>
      </c>
      <c r="E25527" s="38" t="s">
        <v>137</v>
      </c>
      <c r="F25527" s="38" t="s">
        <v>138</v>
      </c>
      <c r="G25527" s="49" t="str">
        <f t="shared" si="1"/>
        <v>14210</v>
      </c>
      <c r="H25527" s="49">
        <f t="shared" si="2"/>
        <v>14592</v>
      </c>
    </row>
    <row r="25528">
      <c r="A25528" s="48" t="s">
        <v>4220</v>
      </c>
      <c r="B25528" s="38">
        <v>35040.0</v>
      </c>
      <c r="C25528" s="38" t="s">
        <v>30031</v>
      </c>
      <c r="D25528" s="38" t="str">
        <f>IFERROR(__xludf.DUMMYFUNCTION("REGEXREPLACE(C25528,""-\d+(.*)|--\d+(.*)"","""")"),"BRETEIL")</f>
        <v>BRETEIL</v>
      </c>
      <c r="E25528" s="38" t="s">
        <v>347</v>
      </c>
      <c r="F25528" s="38" t="s">
        <v>90</v>
      </c>
      <c r="G25528" s="49" t="str">
        <f t="shared" si="1"/>
        <v>35160</v>
      </c>
      <c r="H25528" s="49">
        <f t="shared" si="2"/>
        <v>35040</v>
      </c>
    </row>
    <row r="25529">
      <c r="A25529" s="48" t="s">
        <v>10025</v>
      </c>
      <c r="B25529" s="38">
        <v>66039.0</v>
      </c>
      <c r="C25529" s="38" t="s">
        <v>30032</v>
      </c>
      <c r="D25529" s="38" t="str">
        <f>IFERROR(__xludf.DUMMYFUNCTION("REGEXREPLACE(C25529,""-\d+(.*)|--\d+(.*)"","""")"),"CARAMANY")</f>
        <v>CARAMANY</v>
      </c>
      <c r="E25529" s="38" t="s">
        <v>248</v>
      </c>
      <c r="F25529" s="38" t="s">
        <v>119</v>
      </c>
      <c r="G25529" s="49" t="str">
        <f t="shared" si="1"/>
        <v>66720</v>
      </c>
      <c r="H25529" s="49">
        <f t="shared" si="2"/>
        <v>66039</v>
      </c>
    </row>
    <row r="25530">
      <c r="A25530" s="48" t="s">
        <v>7192</v>
      </c>
      <c r="B25530" s="38">
        <v>61034.0</v>
      </c>
      <c r="C25530" s="38" t="s">
        <v>867</v>
      </c>
      <c r="D25530" s="38" t="str">
        <f>IFERROR(__xludf.DUMMYFUNCTION("REGEXREPLACE(C25530,""-\d+(.*)|--\d+(.*)"","""")"),"BEAULIEU")</f>
        <v>BEAULIEU</v>
      </c>
      <c r="E25530" s="38" t="s">
        <v>141</v>
      </c>
      <c r="F25530" s="38" t="s">
        <v>138</v>
      </c>
      <c r="G25530" s="49" t="str">
        <f t="shared" si="1"/>
        <v>61190</v>
      </c>
      <c r="H25530" s="49">
        <f t="shared" si="2"/>
        <v>61034</v>
      </c>
    </row>
    <row r="25531">
      <c r="A25531" s="48" t="s">
        <v>2186</v>
      </c>
      <c r="B25531" s="38">
        <v>26049.0</v>
      </c>
      <c r="C25531" s="38" t="s">
        <v>30033</v>
      </c>
      <c r="D25531" s="38" t="str">
        <f>IFERROR(__xludf.DUMMYFUNCTION("REGEXREPLACE(C25531,""-\d+(.*)|--\d+(.*)"","""")"),"BESAYES")</f>
        <v>BESAYES</v>
      </c>
      <c r="E25531" s="38" t="s">
        <v>126</v>
      </c>
      <c r="F25531" s="38" t="s">
        <v>102</v>
      </c>
      <c r="G25531" s="49" t="str">
        <f t="shared" si="1"/>
        <v>26300</v>
      </c>
      <c r="H25531" s="49">
        <f t="shared" si="2"/>
        <v>26049</v>
      </c>
    </row>
    <row r="25532">
      <c r="A25532" s="48" t="s">
        <v>1307</v>
      </c>
      <c r="B25532" s="38">
        <v>43168.0</v>
      </c>
      <c r="C25532" s="38" t="s">
        <v>30034</v>
      </c>
      <c r="D25532" s="38" t="str">
        <f>IFERROR(__xludf.DUMMYFUNCTION("REGEXREPLACE(C25532,""-\d+(.*)|--\d+(.*)"","""")"),"SAINT-ARCONS-DE-BARGES")</f>
        <v>SAINT-ARCONS-DE-BARGES</v>
      </c>
      <c r="E25532" s="38" t="s">
        <v>332</v>
      </c>
      <c r="F25532" s="38" t="s">
        <v>161</v>
      </c>
      <c r="G25532" s="49" t="str">
        <f t="shared" si="1"/>
        <v>43420</v>
      </c>
      <c r="H25532" s="49">
        <f t="shared" si="2"/>
        <v>43168</v>
      </c>
    </row>
    <row r="25533">
      <c r="A25533" s="48" t="s">
        <v>1688</v>
      </c>
      <c r="B25533" s="38">
        <v>76304.0</v>
      </c>
      <c r="C25533" s="38" t="s">
        <v>30035</v>
      </c>
      <c r="D25533" s="38" t="str">
        <f>IFERROR(__xludf.DUMMYFUNCTION("REGEXREPLACE(C25533,""-\d+(.*)|--\d+(.*)"","""")"),"GONFREVILLE-CAILLOT")</f>
        <v>GONFREVILLE-CAILLOT</v>
      </c>
      <c r="E25533" s="38" t="s">
        <v>133</v>
      </c>
      <c r="F25533" s="38" t="s">
        <v>134</v>
      </c>
      <c r="G25533" s="49" t="str">
        <f t="shared" si="1"/>
        <v>76110</v>
      </c>
      <c r="H25533" s="49">
        <f t="shared" si="2"/>
        <v>76304</v>
      </c>
    </row>
    <row r="25534">
      <c r="A25534" s="48" t="s">
        <v>732</v>
      </c>
      <c r="B25534" s="38">
        <v>10235.0</v>
      </c>
      <c r="C25534" s="38" t="s">
        <v>30036</v>
      </c>
      <c r="D25534" s="38" t="str">
        <f>IFERROR(__xludf.DUMMYFUNCTION("REGEXREPLACE(C25534,""-\d+(.*)|--\d+(.*)"","""")"),"MESNIL-LA-COMTESSE")</f>
        <v>MESNIL-LA-COMTESSE</v>
      </c>
      <c r="E25534" s="38" t="s">
        <v>147</v>
      </c>
      <c r="F25534" s="38" t="s">
        <v>130</v>
      </c>
      <c r="G25534" s="49" t="str">
        <f t="shared" si="1"/>
        <v>10700</v>
      </c>
      <c r="H25534" s="49">
        <f t="shared" si="2"/>
        <v>10235</v>
      </c>
    </row>
    <row r="25535">
      <c r="A25535" s="48" t="s">
        <v>28173</v>
      </c>
      <c r="B25535" s="38">
        <v>58243.0</v>
      </c>
      <c r="C25535" s="38" t="s">
        <v>30037</v>
      </c>
      <c r="D25535" s="38" t="str">
        <f>IFERROR(__xludf.DUMMYFUNCTION("REGEXREPLACE(C25535,""-\d+(.*)|--\d+(.*)"","""")"),"SAINT-GRATIEN-SAVIGNY")</f>
        <v>SAINT-GRATIEN-SAVIGNY</v>
      </c>
      <c r="E25535" s="38" t="s">
        <v>219</v>
      </c>
      <c r="F25535" s="38" t="s">
        <v>106</v>
      </c>
      <c r="G25535" s="49" t="str">
        <f t="shared" si="1"/>
        <v>58340</v>
      </c>
      <c r="H25535" s="49">
        <f t="shared" si="2"/>
        <v>58243</v>
      </c>
    </row>
    <row r="25536">
      <c r="A25536" s="48" t="s">
        <v>8889</v>
      </c>
      <c r="B25536" s="38">
        <v>32080.0</v>
      </c>
      <c r="C25536" s="38" t="s">
        <v>30038</v>
      </c>
      <c r="D25536" s="38" t="str">
        <f>IFERROR(__xludf.DUMMYFUNCTION("REGEXREPLACE(C25536,""-\d+(.*)|--\d+(.*)"","""")"),"CASTELNAU-SUR-L'AUVIGNON")</f>
        <v>CASTELNAU-SUR-L'AUVIGNON</v>
      </c>
      <c r="E25536" s="38" t="s">
        <v>440</v>
      </c>
      <c r="F25536" s="38" t="s">
        <v>94</v>
      </c>
      <c r="G25536" s="49" t="str">
        <f t="shared" si="1"/>
        <v>32100</v>
      </c>
      <c r="H25536" s="49">
        <f t="shared" si="2"/>
        <v>32080</v>
      </c>
    </row>
    <row r="25537">
      <c r="A25537" s="48" t="s">
        <v>30039</v>
      </c>
      <c r="B25537" s="38">
        <v>43227.0</v>
      </c>
      <c r="C25537" s="38" t="s">
        <v>30040</v>
      </c>
      <c r="D25537" s="38" t="str">
        <f>IFERROR(__xludf.DUMMYFUNCTION("REGEXREPLACE(C25537,""-\d+(.*)|--\d+(.*)"","""")"),"SAINT-VICTOR-MALESCOURS")</f>
        <v>SAINT-VICTOR-MALESCOURS</v>
      </c>
      <c r="E25537" s="38" t="s">
        <v>332</v>
      </c>
      <c r="F25537" s="38" t="s">
        <v>161</v>
      </c>
      <c r="G25537" s="49" t="str">
        <f t="shared" si="1"/>
        <v>43140</v>
      </c>
      <c r="H25537" s="49">
        <f t="shared" si="2"/>
        <v>43227</v>
      </c>
    </row>
    <row r="25538">
      <c r="A25538" s="48" t="s">
        <v>895</v>
      </c>
      <c r="B25538" s="38">
        <v>87040.0</v>
      </c>
      <c r="C25538" s="38" t="s">
        <v>30041</v>
      </c>
      <c r="D25538" s="38" t="str">
        <f>IFERROR(__xludf.DUMMYFUNCTION("REGEXREPLACE(C25538,""-\d+(.*)|--\d+(.*)"","""")"),"CHATEAUNEUF-LA-FORET")</f>
        <v>CHATEAUNEUF-LA-FORET</v>
      </c>
      <c r="E25538" s="38" t="s">
        <v>897</v>
      </c>
      <c r="F25538" s="38" t="s">
        <v>98</v>
      </c>
      <c r="G25538" s="49" t="str">
        <f t="shared" si="1"/>
        <v>87130</v>
      </c>
      <c r="H25538" s="49">
        <f t="shared" si="2"/>
        <v>87040</v>
      </c>
    </row>
    <row r="25539">
      <c r="A25539" s="48" t="s">
        <v>5241</v>
      </c>
      <c r="B25539" s="38">
        <v>36135.0</v>
      </c>
      <c r="C25539" s="38" t="s">
        <v>30042</v>
      </c>
      <c r="D25539" s="38" t="str">
        <f>IFERROR(__xludf.DUMMYFUNCTION("REGEXREPLACE(C25539,""-\d+(.*)|--\d+(.*)"","""")"),"MOULINS-SUR-CEPHONS")</f>
        <v>MOULINS-SUR-CEPHONS</v>
      </c>
      <c r="E25539" s="38" t="s">
        <v>258</v>
      </c>
      <c r="F25539" s="38" t="s">
        <v>123</v>
      </c>
      <c r="G25539" s="49" t="str">
        <f t="shared" si="1"/>
        <v>36110</v>
      </c>
      <c r="H25539" s="49">
        <f t="shared" si="2"/>
        <v>36135</v>
      </c>
    </row>
    <row r="25540">
      <c r="A25540" s="48" t="s">
        <v>2575</v>
      </c>
      <c r="B25540" s="38">
        <v>91001.0</v>
      </c>
      <c r="C25540" s="38" t="s">
        <v>30043</v>
      </c>
      <c r="D25540" s="38" t="str">
        <f>IFERROR(__xludf.DUMMYFUNCTION("REGEXREPLACE(C25540,""-\d+(.*)|--\d+(.*)"","""")"),"ABBEVILLE-LA-RIVIERE")</f>
        <v>ABBEVILLE-LA-RIVIERE</v>
      </c>
      <c r="E25540" s="38" t="s">
        <v>756</v>
      </c>
      <c r="F25540" s="38" t="s">
        <v>245</v>
      </c>
      <c r="G25540" s="49" t="str">
        <f t="shared" si="1"/>
        <v>91150</v>
      </c>
      <c r="H25540" s="49">
        <f t="shared" si="2"/>
        <v>91001</v>
      </c>
    </row>
    <row r="25541">
      <c r="A25541" s="48" t="s">
        <v>3878</v>
      </c>
      <c r="B25541" s="38">
        <v>80018.0</v>
      </c>
      <c r="C25541" s="38" t="s">
        <v>30044</v>
      </c>
      <c r="D25541" s="38" t="str">
        <f>IFERROR(__xludf.DUMMYFUNCTION("REGEXREPLACE(C25541,""-\d+(.*)|--\d+(.*)"","""")"),"ALLENAY")</f>
        <v>ALLENAY</v>
      </c>
      <c r="E25541" s="38" t="s">
        <v>224</v>
      </c>
      <c r="F25541" s="38" t="s">
        <v>113</v>
      </c>
      <c r="G25541" s="49" t="str">
        <f t="shared" si="1"/>
        <v>80130</v>
      </c>
      <c r="H25541" s="49">
        <f t="shared" si="2"/>
        <v>80018</v>
      </c>
    </row>
    <row r="25542">
      <c r="A25542" s="48" t="s">
        <v>124</v>
      </c>
      <c r="B25542" s="38">
        <v>26353.0</v>
      </c>
      <c r="C25542" s="38" t="s">
        <v>30045</v>
      </c>
      <c r="D25542" s="38" t="str">
        <f>IFERROR(__xludf.DUMMYFUNCTION("REGEXREPLACE(C25542,""-\d+(.*)|--\d+(.*)"","""")"),"LES TOURRETTES")</f>
        <v>LES TOURRETTES</v>
      </c>
      <c r="E25542" s="38" t="s">
        <v>126</v>
      </c>
      <c r="F25542" s="38" t="s">
        <v>102</v>
      </c>
      <c r="G25542" s="49" t="str">
        <f t="shared" si="1"/>
        <v>26740</v>
      </c>
      <c r="H25542" s="49">
        <f t="shared" si="2"/>
        <v>26353</v>
      </c>
    </row>
    <row r="25543">
      <c r="A25543" s="48" t="s">
        <v>1012</v>
      </c>
      <c r="B25543" s="38">
        <v>21177.0</v>
      </c>
      <c r="C25543" s="38" t="s">
        <v>30046</v>
      </c>
      <c r="D25543" s="38" t="str">
        <f>IFERROR(__xludf.DUMMYFUNCTION("REGEXREPLACE(C25543,""-\d+(.*)|--\d+(.*)"","""")"),"CLAMEREY")</f>
        <v>CLAMEREY</v>
      </c>
      <c r="E25543" s="38" t="s">
        <v>105</v>
      </c>
      <c r="F25543" s="38" t="s">
        <v>106</v>
      </c>
      <c r="G25543" s="49" t="str">
        <f t="shared" si="1"/>
        <v>21390</v>
      </c>
      <c r="H25543" s="49">
        <f t="shared" si="2"/>
        <v>21177</v>
      </c>
    </row>
    <row r="25544">
      <c r="A25544" s="48" t="s">
        <v>9879</v>
      </c>
      <c r="B25544" s="38">
        <v>85186.0</v>
      </c>
      <c r="C25544" s="38" t="s">
        <v>30047</v>
      </c>
      <c r="D25544" s="38" t="str">
        <f>IFERROR(__xludf.DUMMYFUNCTION("REGEXREPLACE(C25544,""-\d+(.*)|--\d+(.*)"","""")"),"LA RABATELIERE")</f>
        <v>LA RABATELIERE</v>
      </c>
      <c r="E25544" s="38" t="s">
        <v>179</v>
      </c>
      <c r="F25544" s="38" t="s">
        <v>180</v>
      </c>
      <c r="G25544" s="49" t="str">
        <f t="shared" si="1"/>
        <v>85250</v>
      </c>
      <c r="H25544" s="49">
        <f t="shared" si="2"/>
        <v>85186</v>
      </c>
    </row>
    <row r="25545">
      <c r="A25545" s="48" t="s">
        <v>3675</v>
      </c>
      <c r="B25545" s="38">
        <v>58230.0</v>
      </c>
      <c r="C25545" s="38" t="s">
        <v>30048</v>
      </c>
      <c r="D25545" s="38" t="str">
        <f>IFERROR(__xludf.DUMMYFUNCTION("REGEXREPLACE(C25545,""-\d+(.*)|--\d+(.*)"","""")"),"SAINT-AUBIN-DES-CHAUMES")</f>
        <v>SAINT-AUBIN-DES-CHAUMES</v>
      </c>
      <c r="E25545" s="38" t="s">
        <v>219</v>
      </c>
      <c r="F25545" s="38" t="s">
        <v>106</v>
      </c>
      <c r="G25545" s="49" t="str">
        <f t="shared" si="1"/>
        <v>58190</v>
      </c>
      <c r="H25545" s="49">
        <f t="shared" si="2"/>
        <v>58230</v>
      </c>
    </row>
    <row r="25546">
      <c r="A25546" s="48" t="s">
        <v>5322</v>
      </c>
      <c r="B25546" s="38">
        <v>32147.0</v>
      </c>
      <c r="C25546" s="38" t="s">
        <v>30049</v>
      </c>
      <c r="D25546" s="38" t="str">
        <f>IFERROR(__xludf.DUMMYFUNCTION("REGEXREPLACE(C25546,""-\d+(.*)|--\d+(.*)"","""")"),"GIMONT")</f>
        <v>GIMONT</v>
      </c>
      <c r="E25546" s="38" t="s">
        <v>440</v>
      </c>
      <c r="F25546" s="38" t="s">
        <v>94</v>
      </c>
      <c r="G25546" s="49" t="str">
        <f t="shared" si="1"/>
        <v>32200</v>
      </c>
      <c r="H25546" s="49">
        <f t="shared" si="2"/>
        <v>32147</v>
      </c>
    </row>
    <row r="25547">
      <c r="A25547" s="48" t="s">
        <v>1130</v>
      </c>
      <c r="B25547" s="38">
        <v>71184.0</v>
      </c>
      <c r="C25547" s="38" t="s">
        <v>30050</v>
      </c>
      <c r="D25547" s="38" t="str">
        <f>IFERROR(__xludf.DUMMYFUNCTION("REGEXREPLACE(C25547,""-\d+(.*)|--\d+(.*)"","""")"),"DRACY-SAINT-LOUP")</f>
        <v>DRACY-SAINT-LOUP</v>
      </c>
      <c r="E25547" s="38" t="s">
        <v>344</v>
      </c>
      <c r="F25547" s="38" t="s">
        <v>106</v>
      </c>
      <c r="G25547" s="49" t="str">
        <f t="shared" si="1"/>
        <v>71400</v>
      </c>
      <c r="H25547" s="49">
        <f t="shared" si="2"/>
        <v>71184</v>
      </c>
    </row>
    <row r="25548">
      <c r="A25548" s="48" t="s">
        <v>6626</v>
      </c>
      <c r="B25548" s="38">
        <v>58173.0</v>
      </c>
      <c r="C25548" s="38" t="s">
        <v>30051</v>
      </c>
      <c r="D25548" s="38" t="str">
        <f>IFERROR(__xludf.DUMMYFUNCTION("REGEXREPLACE(C25548,""-\d+(.*)|--\d+(.*)"","""")"),"MONTARON")</f>
        <v>MONTARON</v>
      </c>
      <c r="E25548" s="38" t="s">
        <v>219</v>
      </c>
      <c r="F25548" s="38" t="s">
        <v>106</v>
      </c>
      <c r="G25548" s="49" t="str">
        <f t="shared" si="1"/>
        <v>58250</v>
      </c>
      <c r="H25548" s="49">
        <f t="shared" si="2"/>
        <v>58173</v>
      </c>
    </row>
    <row r="25549">
      <c r="A25549" s="48" t="s">
        <v>1520</v>
      </c>
      <c r="B25549" s="38">
        <v>16044.0</v>
      </c>
      <c r="C25549" s="38" t="s">
        <v>30052</v>
      </c>
      <c r="D25549" s="38" t="str">
        <f>IFERROR(__xludf.DUMMYFUNCTION("REGEXREPLACE(C25549,""-\d+(.*)|--\d+(.*)"","""")"),"BIOUSSAC")</f>
        <v>BIOUSSAC</v>
      </c>
      <c r="E25549" s="38" t="s">
        <v>429</v>
      </c>
      <c r="F25549" s="38" t="s">
        <v>338</v>
      </c>
      <c r="G25549" s="49" t="str">
        <f t="shared" si="1"/>
        <v>16700</v>
      </c>
      <c r="H25549" s="49">
        <f t="shared" si="2"/>
        <v>16044</v>
      </c>
    </row>
    <row r="25550">
      <c r="A25550" s="48" t="s">
        <v>1621</v>
      </c>
      <c r="B25550" s="38">
        <v>64522.0</v>
      </c>
      <c r="C25550" s="38" t="s">
        <v>30053</v>
      </c>
      <c r="D25550" s="38" t="str">
        <f>IFERROR(__xludf.DUMMYFUNCTION("REGEXREPLACE(C25550,""-\d+(.*)|--\d+(.*)"","""")"),"SEVIGNACQ-MEYRACQ")</f>
        <v>SEVIGNACQ-MEYRACQ</v>
      </c>
      <c r="E25550" s="38" t="s">
        <v>268</v>
      </c>
      <c r="F25550" s="38" t="s">
        <v>252</v>
      </c>
      <c r="G25550" s="49" t="str">
        <f t="shared" si="1"/>
        <v>64260</v>
      </c>
      <c r="H25550" s="49">
        <f t="shared" si="2"/>
        <v>64522</v>
      </c>
    </row>
    <row r="25551">
      <c r="A25551" s="48" t="s">
        <v>4108</v>
      </c>
      <c r="B25551" s="38" t="s">
        <v>30054</v>
      </c>
      <c r="C25551" s="38" t="s">
        <v>30055</v>
      </c>
      <c r="D25551" s="38" t="str">
        <f>IFERROR(__xludf.DUMMYFUNCTION("REGEXREPLACE(C25551,""-\d+(.*)|--\d+(.*)"","""")"),"SANTA-REPARATA-DI-BALAGNA")</f>
        <v>SANTA-REPARATA-DI-BALAGNA</v>
      </c>
      <c r="E25551" s="38" t="s">
        <v>743</v>
      </c>
      <c r="F25551" s="38" t="s">
        <v>607</v>
      </c>
      <c r="G25551" s="49" t="str">
        <f t="shared" si="1"/>
        <v>20220</v>
      </c>
      <c r="H25551" s="49" t="str">
        <f t="shared" si="2"/>
        <v>2B316</v>
      </c>
    </row>
    <row r="25552">
      <c r="A25552" s="48" t="s">
        <v>14679</v>
      </c>
      <c r="B25552" s="38">
        <v>73033.0</v>
      </c>
      <c r="C25552" s="38" t="s">
        <v>30056</v>
      </c>
      <c r="D25552" s="38" t="str">
        <f>IFERROR(__xludf.DUMMYFUNCTION("REGEXREPLACE(C25552,""-\d+(.*)|--\d+(.*)"","""")"),"LA BAUCHE")</f>
        <v>LA BAUCHE</v>
      </c>
      <c r="E25552" s="38" t="s">
        <v>306</v>
      </c>
      <c r="F25552" s="38" t="s">
        <v>102</v>
      </c>
      <c r="G25552" s="49" t="str">
        <f t="shared" si="1"/>
        <v>73360</v>
      </c>
      <c r="H25552" s="49">
        <f t="shared" si="2"/>
        <v>73033</v>
      </c>
    </row>
    <row r="25553">
      <c r="A25553" s="48" t="s">
        <v>5207</v>
      </c>
      <c r="B25553" s="38">
        <v>85141.0</v>
      </c>
      <c r="C25553" s="38" t="s">
        <v>30057</v>
      </c>
      <c r="D25553" s="38" t="str">
        <f>IFERROR(__xludf.DUMMYFUNCTION("REGEXREPLACE(C25553,""-\d+(.*)|--\d+(.*)"","""")"),"MENOMBLET")</f>
        <v>MENOMBLET</v>
      </c>
      <c r="E25553" s="38" t="s">
        <v>179</v>
      </c>
      <c r="F25553" s="38" t="s">
        <v>180</v>
      </c>
      <c r="G25553" s="49" t="str">
        <f t="shared" si="1"/>
        <v>85700</v>
      </c>
      <c r="H25553" s="49">
        <f t="shared" si="2"/>
        <v>85141</v>
      </c>
    </row>
    <row r="25554">
      <c r="A25554" s="48" t="s">
        <v>6078</v>
      </c>
      <c r="B25554" s="38">
        <v>10214.0</v>
      </c>
      <c r="C25554" s="38" t="s">
        <v>30058</v>
      </c>
      <c r="D25554" s="38" t="str">
        <f>IFERROR(__xludf.DUMMYFUNCTION("REGEXREPLACE(C25554,""-\d+(.*)|--\d+(.*)"","""")"),"MAGNICOURT")</f>
        <v>MAGNICOURT</v>
      </c>
      <c r="E25554" s="38" t="s">
        <v>147</v>
      </c>
      <c r="F25554" s="38" t="s">
        <v>130</v>
      </c>
      <c r="G25554" s="49" t="str">
        <f t="shared" si="1"/>
        <v>10240</v>
      </c>
      <c r="H25554" s="49">
        <f t="shared" si="2"/>
        <v>10214</v>
      </c>
    </row>
    <row r="25555">
      <c r="A25555" s="48" t="s">
        <v>30059</v>
      </c>
      <c r="B25555" s="38">
        <v>44020.0</v>
      </c>
      <c r="C25555" s="38" t="s">
        <v>30060</v>
      </c>
      <c r="D25555" s="38" t="str">
        <f>IFERROR(__xludf.DUMMYFUNCTION("REGEXREPLACE(C25555,""-\d+(.*)|--\d+(.*)"","""")"),"BOUGUENAIS")</f>
        <v>BOUGUENAIS</v>
      </c>
      <c r="E25555" s="38" t="s">
        <v>759</v>
      </c>
      <c r="F25555" s="38" t="s">
        <v>180</v>
      </c>
      <c r="G25555" s="49" t="str">
        <f t="shared" si="1"/>
        <v>44340</v>
      </c>
      <c r="H25555" s="49">
        <f t="shared" si="2"/>
        <v>44020</v>
      </c>
    </row>
    <row r="25556">
      <c r="A25556" s="48" t="s">
        <v>4292</v>
      </c>
      <c r="B25556" s="38">
        <v>74086.0</v>
      </c>
      <c r="C25556" s="38" t="s">
        <v>30061</v>
      </c>
      <c r="D25556" s="38" t="str">
        <f>IFERROR(__xludf.DUMMYFUNCTION("REGEXREPLACE(C25556,""-\d+(.*)|--\d+(.*)"","""")"),"CONTAMINE-SARZIN")</f>
        <v>CONTAMINE-SARZIN</v>
      </c>
      <c r="E25556" s="38" t="s">
        <v>319</v>
      </c>
      <c r="F25556" s="38" t="s">
        <v>102</v>
      </c>
      <c r="G25556" s="49" t="str">
        <f t="shared" si="1"/>
        <v>74270</v>
      </c>
      <c r="H25556" s="49">
        <f t="shared" si="2"/>
        <v>74086</v>
      </c>
    </row>
    <row r="25557">
      <c r="A25557" s="48" t="s">
        <v>3978</v>
      </c>
      <c r="B25557" s="38">
        <v>21051.0</v>
      </c>
      <c r="C25557" s="38" t="s">
        <v>30062</v>
      </c>
      <c r="D25557" s="38" t="str">
        <f>IFERROR(__xludf.DUMMYFUNCTION("REGEXREPLACE(C25557,""-\d+(.*)|--\d+(.*)"","""")"),"BAULME-LA-ROCHE")</f>
        <v>BAULME-LA-ROCHE</v>
      </c>
      <c r="E25557" s="38" t="s">
        <v>105</v>
      </c>
      <c r="F25557" s="38" t="s">
        <v>106</v>
      </c>
      <c r="G25557" s="49" t="str">
        <f t="shared" si="1"/>
        <v>21410</v>
      </c>
      <c r="H25557" s="49">
        <f t="shared" si="2"/>
        <v>21051</v>
      </c>
    </row>
    <row r="25558">
      <c r="A25558" s="48" t="s">
        <v>3339</v>
      </c>
      <c r="B25558" s="38">
        <v>67481.0</v>
      </c>
      <c r="C25558" s="38" t="s">
        <v>30063</v>
      </c>
      <c r="D25558" s="38" t="str">
        <f>IFERROR(__xludf.DUMMYFUNCTION("REGEXREPLACE(C25558,""-\d+(.*)|--\d+(.*)"","""")"),"STOTZHEIM")</f>
        <v>STOTZHEIM</v>
      </c>
      <c r="E25558" s="38" t="s">
        <v>210</v>
      </c>
      <c r="F25558" s="38" t="s">
        <v>151</v>
      </c>
      <c r="G25558" s="49" t="str">
        <f t="shared" si="1"/>
        <v>67140</v>
      </c>
      <c r="H25558" s="49">
        <f t="shared" si="2"/>
        <v>67481</v>
      </c>
    </row>
    <row r="25559">
      <c r="A25559" s="48" t="s">
        <v>5596</v>
      </c>
      <c r="B25559" s="38">
        <v>25551.0</v>
      </c>
      <c r="C25559" s="38" t="s">
        <v>30064</v>
      </c>
      <c r="D25559" s="38" t="str">
        <f>IFERROR(__xludf.DUMMYFUNCTION("REGEXREPLACE(C25559,""-\d+(.*)|--\d+(.*)"","""")"),"SOULCE-CERNAY")</f>
        <v>SOULCE-CERNAY</v>
      </c>
      <c r="E25559" s="38" t="s">
        <v>213</v>
      </c>
      <c r="F25559" s="38" t="s">
        <v>214</v>
      </c>
      <c r="G25559" s="49" t="str">
        <f t="shared" si="1"/>
        <v>25190</v>
      </c>
      <c r="H25559" s="49">
        <f t="shared" si="2"/>
        <v>25551</v>
      </c>
    </row>
    <row r="25560">
      <c r="A25560" s="48" t="s">
        <v>8167</v>
      </c>
      <c r="B25560" s="38">
        <v>41165.0</v>
      </c>
      <c r="C25560" s="38" t="s">
        <v>8099</v>
      </c>
      <c r="D25560" s="38" t="str">
        <f>IFERROR(__xludf.DUMMYFUNCTION("REGEXREPLACE(C25560,""-\d+(.*)|--\d+(.*)"","""")"),"OIGNY")</f>
        <v>OIGNY</v>
      </c>
      <c r="E25560" s="38" t="s">
        <v>188</v>
      </c>
      <c r="F25560" s="38" t="s">
        <v>123</v>
      </c>
      <c r="G25560" s="49" t="str">
        <f t="shared" si="1"/>
        <v>41170</v>
      </c>
      <c r="H25560" s="49">
        <f t="shared" si="2"/>
        <v>41165</v>
      </c>
    </row>
    <row r="25561">
      <c r="A25561" s="48" t="s">
        <v>4283</v>
      </c>
      <c r="B25561" s="38">
        <v>7056.0</v>
      </c>
      <c r="C25561" s="38" t="s">
        <v>30065</v>
      </c>
      <c r="D25561" s="38" t="str">
        <f>IFERROR(__xludf.DUMMYFUNCTION("REGEXREPLACE(C25561,""-\d+(.*)|--\d+(.*)"","""")"),"CHARNAS")</f>
        <v>CHARNAS</v>
      </c>
      <c r="E25561" s="38" t="s">
        <v>144</v>
      </c>
      <c r="F25561" s="38" t="s">
        <v>102</v>
      </c>
      <c r="G25561" s="49" t="str">
        <f t="shared" si="1"/>
        <v>07340</v>
      </c>
      <c r="H25561" s="49" t="str">
        <f t="shared" si="2"/>
        <v>07056</v>
      </c>
    </row>
    <row r="25562">
      <c r="A25562" s="48" t="s">
        <v>4519</v>
      </c>
      <c r="B25562" s="38">
        <v>26376.0</v>
      </c>
      <c r="C25562" s="38" t="s">
        <v>30066</v>
      </c>
      <c r="D25562" s="38" t="str">
        <f>IFERROR(__xludf.DUMMYFUNCTION("REGEXREPLACE(C25562,""-\d+(.*)|--\d+(.*)"","""")"),"VILLEPERDRIX")</f>
        <v>VILLEPERDRIX</v>
      </c>
      <c r="E25562" s="38" t="s">
        <v>126</v>
      </c>
      <c r="F25562" s="38" t="s">
        <v>102</v>
      </c>
      <c r="G25562" s="49" t="str">
        <f t="shared" si="1"/>
        <v>26510</v>
      </c>
      <c r="H25562" s="49">
        <f t="shared" si="2"/>
        <v>26376</v>
      </c>
    </row>
    <row r="25563">
      <c r="A25563" s="48" t="s">
        <v>9769</v>
      </c>
      <c r="B25563" s="38">
        <v>46237.0</v>
      </c>
      <c r="C25563" s="38" t="s">
        <v>30067</v>
      </c>
      <c r="D25563" s="38" t="str">
        <f>IFERROR(__xludf.DUMMYFUNCTION("REGEXREPLACE(C25563,""-\d+(.*)|--\d+(.*)"","""")"),"REYREVIGNES")</f>
        <v>REYREVIGNES</v>
      </c>
      <c r="E25563" s="38" t="s">
        <v>185</v>
      </c>
      <c r="F25563" s="38" t="s">
        <v>94</v>
      </c>
      <c r="G25563" s="49" t="str">
        <f t="shared" si="1"/>
        <v>46320</v>
      </c>
      <c r="H25563" s="49">
        <f t="shared" si="2"/>
        <v>46237</v>
      </c>
    </row>
    <row r="25564">
      <c r="A25564" s="48" t="s">
        <v>1036</v>
      </c>
      <c r="B25564" s="38">
        <v>57555.0</v>
      </c>
      <c r="C25564" s="38" t="s">
        <v>30068</v>
      </c>
      <c r="D25564" s="38" t="str">
        <f>IFERROR(__xludf.DUMMYFUNCTION("REGEXREPLACE(C25564,""-\d+(.*)|--\d+(.*)"","""")"),"PREVOCOURT")</f>
        <v>PREVOCOURT</v>
      </c>
      <c r="E25564" s="38" t="s">
        <v>303</v>
      </c>
      <c r="F25564" s="38" t="s">
        <v>195</v>
      </c>
      <c r="G25564" s="49" t="str">
        <f t="shared" si="1"/>
        <v>57590</v>
      </c>
      <c r="H25564" s="49">
        <f t="shared" si="2"/>
        <v>57555</v>
      </c>
    </row>
    <row r="25565">
      <c r="A25565" s="48" t="s">
        <v>14151</v>
      </c>
      <c r="B25565" s="38">
        <v>53257.0</v>
      </c>
      <c r="C25565" s="38" t="s">
        <v>30069</v>
      </c>
      <c r="D25565" s="38" t="str">
        <f>IFERROR(__xludf.DUMMYFUNCTION("REGEXREPLACE(C25565,""-\d+(.*)|--\d+(.*)"","""")"),"SAULGES")</f>
        <v>SAULGES</v>
      </c>
      <c r="E25565" s="38" t="s">
        <v>518</v>
      </c>
      <c r="F25565" s="38" t="s">
        <v>180</v>
      </c>
      <c r="G25565" s="49" t="str">
        <f t="shared" si="1"/>
        <v>53340</v>
      </c>
      <c r="H25565" s="49">
        <f t="shared" si="2"/>
        <v>53257</v>
      </c>
    </row>
    <row r="25566">
      <c r="A25566" s="48" t="s">
        <v>3404</v>
      </c>
      <c r="B25566" s="38">
        <v>39466.0</v>
      </c>
      <c r="C25566" s="38" t="s">
        <v>10185</v>
      </c>
      <c r="D25566" s="38" t="str">
        <f>IFERROR(__xludf.DUMMYFUNCTION("REGEXREPLACE(C25566,""-\d+(.*)|--\d+(.*)"","""")"),"ROSAY")</f>
        <v>ROSAY</v>
      </c>
      <c r="E25566" s="38" t="s">
        <v>400</v>
      </c>
      <c r="F25566" s="38" t="s">
        <v>214</v>
      </c>
      <c r="G25566" s="49" t="str">
        <f t="shared" si="1"/>
        <v>39190</v>
      </c>
      <c r="H25566" s="49">
        <f t="shared" si="2"/>
        <v>39466</v>
      </c>
    </row>
    <row r="25567">
      <c r="A25567" s="48" t="s">
        <v>2159</v>
      </c>
      <c r="B25567" s="38">
        <v>57075.0</v>
      </c>
      <c r="C25567" s="38" t="s">
        <v>30070</v>
      </c>
      <c r="D25567" s="38" t="str">
        <f>IFERROR(__xludf.DUMMYFUNCTION("REGEXREPLACE(C25567,""-\d+(.*)|--\d+(.*)"","""")"),"BEUX")</f>
        <v>BEUX</v>
      </c>
      <c r="E25567" s="38" t="s">
        <v>303</v>
      </c>
      <c r="F25567" s="38" t="s">
        <v>195</v>
      </c>
      <c r="G25567" s="49" t="str">
        <f t="shared" si="1"/>
        <v>57580</v>
      </c>
      <c r="H25567" s="49">
        <f t="shared" si="2"/>
        <v>57075</v>
      </c>
    </row>
    <row r="25568">
      <c r="A25568" s="48" t="s">
        <v>3009</v>
      </c>
      <c r="B25568" s="38">
        <v>11118.0</v>
      </c>
      <c r="C25568" s="38" t="s">
        <v>30071</v>
      </c>
      <c r="D25568" s="38" t="str">
        <f>IFERROR(__xludf.DUMMYFUNCTION("REGEXREPLACE(C25568,""-\d+(.*)|--\d+(.*)"","""")"),"DERNACUEILLETTE")</f>
        <v>DERNACUEILLETTE</v>
      </c>
      <c r="E25568" s="38" t="s">
        <v>278</v>
      </c>
      <c r="F25568" s="38" t="s">
        <v>119</v>
      </c>
      <c r="G25568" s="49" t="str">
        <f t="shared" si="1"/>
        <v>11330</v>
      </c>
      <c r="H25568" s="49">
        <f t="shared" si="2"/>
        <v>11118</v>
      </c>
    </row>
    <row r="25569">
      <c r="A25569" s="48" t="s">
        <v>7926</v>
      </c>
      <c r="B25569" s="38">
        <v>71163.0</v>
      </c>
      <c r="C25569" s="38" t="s">
        <v>30072</v>
      </c>
      <c r="D25569" s="38" t="str">
        <f>IFERROR(__xludf.DUMMYFUNCTION("REGEXREPLACE(C25569,""-\d+(.*)|--\d+(.*)"","""")"),"CURTIL-SOUS-BUFFIERES")</f>
        <v>CURTIL-SOUS-BUFFIERES</v>
      </c>
      <c r="E25569" s="38" t="s">
        <v>344</v>
      </c>
      <c r="F25569" s="38" t="s">
        <v>106</v>
      </c>
      <c r="G25569" s="49" t="str">
        <f t="shared" si="1"/>
        <v>71520</v>
      </c>
      <c r="H25569" s="49">
        <f t="shared" si="2"/>
        <v>71163</v>
      </c>
    </row>
    <row r="25570">
      <c r="A25570" s="48" t="s">
        <v>1947</v>
      </c>
      <c r="B25570" s="38">
        <v>52455.0</v>
      </c>
      <c r="C25570" s="38" t="s">
        <v>30073</v>
      </c>
      <c r="D25570" s="38" t="str">
        <f>IFERROR(__xludf.DUMMYFUNCTION("REGEXREPLACE(C25570,""-\d+(.*)|--\d+(.*)"","""")"),"SAINT-THIEBAULT")</f>
        <v>SAINT-THIEBAULT</v>
      </c>
      <c r="E25570" s="38" t="s">
        <v>234</v>
      </c>
      <c r="F25570" s="38" t="s">
        <v>130</v>
      </c>
      <c r="G25570" s="49" t="str">
        <f t="shared" si="1"/>
        <v>52150</v>
      </c>
      <c r="H25570" s="49">
        <f t="shared" si="2"/>
        <v>52455</v>
      </c>
    </row>
    <row r="25571">
      <c r="A25571" s="48" t="s">
        <v>24075</v>
      </c>
      <c r="B25571" s="38">
        <v>73153.0</v>
      </c>
      <c r="C25571" s="38" t="s">
        <v>30074</v>
      </c>
      <c r="D25571" s="38" t="str">
        <f>IFERROR(__xludf.DUMMYFUNCTION("REGEXREPLACE(C25571,""-\d+(.*)|--\d+(.*)"","""")"),"MARTHOD")</f>
        <v>MARTHOD</v>
      </c>
      <c r="E25571" s="38" t="s">
        <v>306</v>
      </c>
      <c r="F25571" s="38" t="s">
        <v>102</v>
      </c>
      <c r="G25571" s="49" t="str">
        <f t="shared" si="1"/>
        <v>73400</v>
      </c>
      <c r="H25571" s="49">
        <f t="shared" si="2"/>
        <v>73153</v>
      </c>
    </row>
    <row r="25572">
      <c r="A25572" s="48" t="s">
        <v>24631</v>
      </c>
      <c r="B25572" s="38">
        <v>30247.0</v>
      </c>
      <c r="C25572" s="38" t="s">
        <v>13659</v>
      </c>
      <c r="D25572" s="38" t="str">
        <f>IFERROR(__xludf.DUMMYFUNCTION("REGEXREPLACE(C25572,""-\d+(.*)|--\d+(.*)"","""")"),"SAINT-DENIS")</f>
        <v>SAINT-DENIS</v>
      </c>
      <c r="E25572" s="38" t="s">
        <v>526</v>
      </c>
      <c r="F25572" s="38" t="s">
        <v>119</v>
      </c>
      <c r="G25572" s="49" t="str">
        <f t="shared" si="1"/>
        <v>30500</v>
      </c>
      <c r="H25572" s="49">
        <f t="shared" si="2"/>
        <v>30247</v>
      </c>
    </row>
    <row r="25573">
      <c r="A25573" s="48" t="s">
        <v>12960</v>
      </c>
      <c r="B25573" s="38" t="s">
        <v>30075</v>
      </c>
      <c r="C25573" s="38" t="s">
        <v>30076</v>
      </c>
      <c r="D25573" s="38" t="str">
        <f>IFERROR(__xludf.DUMMYFUNCTION("REGEXREPLACE(C25573,""-\d+(.*)|--\d+(.*)"","""")"),"SANTA-MARIA-DI-LOTA")</f>
        <v>SANTA-MARIA-DI-LOTA</v>
      </c>
      <c r="E25573" s="38" t="s">
        <v>743</v>
      </c>
      <c r="F25573" s="38" t="s">
        <v>607</v>
      </c>
      <c r="G25573" s="49" t="str">
        <f t="shared" si="1"/>
        <v>20200</v>
      </c>
      <c r="H25573" s="49" t="str">
        <f t="shared" si="2"/>
        <v>2B309</v>
      </c>
    </row>
    <row r="25574">
      <c r="A25574" s="48" t="s">
        <v>11555</v>
      </c>
      <c r="B25574" s="38">
        <v>6113.0</v>
      </c>
      <c r="C25574" s="38" t="s">
        <v>14581</v>
      </c>
      <c r="D25574" s="38" t="str">
        <f>IFERROR(__xludf.DUMMYFUNCTION("REGEXREPLACE(C25574,""-\d+(.*)|--\d+(.*)"","""")"),"SAINTE-AGNES")</f>
        <v>SAINTE-AGNES</v>
      </c>
      <c r="E25574" s="38" t="s">
        <v>227</v>
      </c>
      <c r="F25574" s="38" t="s">
        <v>228</v>
      </c>
      <c r="G25574" s="49" t="str">
        <f t="shared" si="1"/>
        <v>06500</v>
      </c>
      <c r="H25574" s="49" t="str">
        <f t="shared" si="2"/>
        <v>06113</v>
      </c>
    </row>
    <row r="25575">
      <c r="A25575" s="48" t="s">
        <v>10346</v>
      </c>
      <c r="B25575" s="38">
        <v>59167.0</v>
      </c>
      <c r="C25575" s="38" t="s">
        <v>30077</v>
      </c>
      <c r="D25575" s="38" t="str">
        <f>IFERROR(__xludf.DUMMYFUNCTION("REGEXREPLACE(C25575,""-\d+(.*)|--\d+(.*)"","""")"),"CUVILLERS")</f>
        <v>CUVILLERS</v>
      </c>
      <c r="E25575" s="38" t="s">
        <v>85</v>
      </c>
      <c r="F25575" s="38" t="s">
        <v>86</v>
      </c>
      <c r="G25575" s="49" t="str">
        <f t="shared" si="1"/>
        <v>59268</v>
      </c>
      <c r="H25575" s="49">
        <f t="shared" si="2"/>
        <v>59167</v>
      </c>
    </row>
    <row r="25576">
      <c r="A25576" s="48" t="s">
        <v>2744</v>
      </c>
      <c r="B25576" s="38">
        <v>17068.0</v>
      </c>
      <c r="C25576" s="38" t="s">
        <v>30078</v>
      </c>
      <c r="D25576" s="38" t="str">
        <f>IFERROR(__xludf.DUMMYFUNCTION("REGEXREPLACE(C25576,""-\d+(.*)|--\d+(.*)"","""")"),"BRIE-SOUS-MORTAGNE")</f>
        <v>BRIE-SOUS-MORTAGNE</v>
      </c>
      <c r="E25576" s="38" t="s">
        <v>488</v>
      </c>
      <c r="F25576" s="38" t="s">
        <v>338</v>
      </c>
      <c r="G25576" s="49" t="str">
        <f t="shared" si="1"/>
        <v>17120</v>
      </c>
      <c r="H25576" s="49">
        <f t="shared" si="2"/>
        <v>17068</v>
      </c>
    </row>
    <row r="25577">
      <c r="A25577" s="48" t="s">
        <v>9309</v>
      </c>
      <c r="B25577" s="38">
        <v>60597.0</v>
      </c>
      <c r="C25577" s="38" t="s">
        <v>4403</v>
      </c>
      <c r="D25577" s="38" t="str">
        <f>IFERROR(__xludf.DUMMYFUNCTION("REGEXREPLACE(C25577,""-\d+(.*)|--\d+(.*)"","""")"),"SAINT-SAUVEUR")</f>
        <v>SAINT-SAUVEUR</v>
      </c>
      <c r="E25577" s="38" t="s">
        <v>112</v>
      </c>
      <c r="F25577" s="38" t="s">
        <v>113</v>
      </c>
      <c r="G25577" s="49" t="str">
        <f t="shared" si="1"/>
        <v>60320</v>
      </c>
      <c r="H25577" s="49">
        <f t="shared" si="2"/>
        <v>60597</v>
      </c>
    </row>
    <row r="25578">
      <c r="A25578" s="48" t="s">
        <v>6298</v>
      </c>
      <c r="B25578" s="38">
        <v>26285.0</v>
      </c>
      <c r="C25578" s="38" t="s">
        <v>30079</v>
      </c>
      <c r="D25578" s="38" t="str">
        <f>IFERROR(__xludf.DUMMYFUNCTION("REGEXREPLACE(C25578,""-\d+(.*)|--\d+(.*)"","""")"),"ROUSSET-LES-VIGNES")</f>
        <v>ROUSSET-LES-VIGNES</v>
      </c>
      <c r="E25578" s="38" t="s">
        <v>126</v>
      </c>
      <c r="F25578" s="38" t="s">
        <v>102</v>
      </c>
      <c r="G25578" s="49" t="str">
        <f t="shared" si="1"/>
        <v>26770</v>
      </c>
      <c r="H25578" s="49">
        <f t="shared" si="2"/>
        <v>26285</v>
      </c>
    </row>
    <row r="25579">
      <c r="A25579" s="48" t="s">
        <v>1857</v>
      </c>
      <c r="B25579" s="38">
        <v>4067.0</v>
      </c>
      <c r="C25579" s="38" t="s">
        <v>467</v>
      </c>
      <c r="D25579" s="38" t="str">
        <f>IFERROR(__xludf.DUMMYFUNCTION("REGEXREPLACE(C25579,""-\d+(.*)|--\d+(.*)"","""")"),"CUREL")</f>
        <v>CUREL</v>
      </c>
      <c r="E25579" s="38" t="s">
        <v>662</v>
      </c>
      <c r="F25579" s="38" t="s">
        <v>228</v>
      </c>
      <c r="G25579" s="49" t="str">
        <f t="shared" si="1"/>
        <v>04200</v>
      </c>
      <c r="H25579" s="49" t="str">
        <f t="shared" si="2"/>
        <v>04067</v>
      </c>
    </row>
    <row r="25580">
      <c r="A25580" s="48" t="s">
        <v>1222</v>
      </c>
      <c r="B25580" s="38">
        <v>47250.0</v>
      </c>
      <c r="C25580" s="38" t="s">
        <v>11669</v>
      </c>
      <c r="D25580" s="38" t="str">
        <f>IFERROR(__xludf.DUMMYFUNCTION("REGEXREPLACE(C25580,""-\d+(.*)|--\d+(.*)"","""")"),"SAINT-LEGER")</f>
        <v>SAINT-LEGER</v>
      </c>
      <c r="E25580" s="38" t="s">
        <v>251</v>
      </c>
      <c r="F25580" s="38" t="s">
        <v>252</v>
      </c>
      <c r="G25580" s="49" t="str">
        <f t="shared" si="1"/>
        <v>47160</v>
      </c>
      <c r="H25580" s="49">
        <f t="shared" si="2"/>
        <v>47250</v>
      </c>
    </row>
    <row r="25581">
      <c r="A25581" s="48" t="s">
        <v>239</v>
      </c>
      <c r="B25581" s="38">
        <v>27692.0</v>
      </c>
      <c r="C25581" s="38" t="s">
        <v>30080</v>
      </c>
      <c r="D25581" s="38" t="str">
        <f>IFERROR(__xludf.DUMMYFUNCTION("REGEXREPLACE(C25581,""-\d+(.*)|--\d+(.*)"","""")"),"VILLETTES")</f>
        <v>VILLETTES</v>
      </c>
      <c r="E25581" s="38" t="s">
        <v>241</v>
      </c>
      <c r="F25581" s="38" t="s">
        <v>134</v>
      </c>
      <c r="G25581" s="49" t="str">
        <f t="shared" si="1"/>
        <v>27110</v>
      </c>
      <c r="H25581" s="49">
        <f t="shared" si="2"/>
        <v>27692</v>
      </c>
    </row>
    <row r="25582">
      <c r="A25582" s="48" t="s">
        <v>1180</v>
      </c>
      <c r="B25582" s="38">
        <v>60465.0</v>
      </c>
      <c r="C25582" s="38" t="s">
        <v>30081</v>
      </c>
      <c r="D25582" s="38" t="str">
        <f>IFERROR(__xludf.DUMMYFUNCTION("REGEXREPLACE(C25582,""-\d+(.*)|--\d+(.*)"","""")"),"NOIREMONT")</f>
        <v>NOIREMONT</v>
      </c>
      <c r="E25582" s="38" t="s">
        <v>112</v>
      </c>
      <c r="F25582" s="38" t="s">
        <v>113</v>
      </c>
      <c r="G25582" s="49" t="str">
        <f t="shared" si="1"/>
        <v>60480</v>
      </c>
      <c r="H25582" s="49">
        <f t="shared" si="2"/>
        <v>60465</v>
      </c>
    </row>
    <row r="25583">
      <c r="A25583" s="48" t="s">
        <v>2619</v>
      </c>
      <c r="B25583" s="38">
        <v>71261.0</v>
      </c>
      <c r="C25583" s="38" t="s">
        <v>12933</v>
      </c>
      <c r="D25583" s="38" t="str">
        <f>IFERROR(__xludf.DUMMYFUNCTION("REGEXREPLACE(C25583,""-\d+(.*)|--\d+(.*)"","""")"),"LOISY")</f>
        <v>LOISY</v>
      </c>
      <c r="E25583" s="38" t="s">
        <v>344</v>
      </c>
      <c r="F25583" s="38" t="s">
        <v>106</v>
      </c>
      <c r="G25583" s="49" t="str">
        <f t="shared" si="1"/>
        <v>71290</v>
      </c>
      <c r="H25583" s="49">
        <f t="shared" si="2"/>
        <v>71261</v>
      </c>
    </row>
    <row r="25584">
      <c r="A25584" s="48" t="s">
        <v>1096</v>
      </c>
      <c r="B25584" s="38">
        <v>63301.0</v>
      </c>
      <c r="C25584" s="38" t="s">
        <v>30082</v>
      </c>
      <c r="D25584" s="38" t="str">
        <f>IFERROR(__xludf.DUMMYFUNCTION("REGEXREPLACE(C25584,""-\d+(.*)|--\d+(.*)"","""")"),"RIS")</f>
        <v>RIS</v>
      </c>
      <c r="E25584" s="38" t="s">
        <v>353</v>
      </c>
      <c r="F25584" s="38" t="s">
        <v>161</v>
      </c>
      <c r="G25584" s="49" t="str">
        <f t="shared" si="1"/>
        <v>63290</v>
      </c>
      <c r="H25584" s="49">
        <f t="shared" si="2"/>
        <v>63301</v>
      </c>
    </row>
    <row r="25585">
      <c r="A25585" s="48" t="s">
        <v>1262</v>
      </c>
      <c r="B25585" s="38">
        <v>11192.0</v>
      </c>
      <c r="C25585" s="38" t="s">
        <v>30083</v>
      </c>
      <c r="D25585" s="38" t="str">
        <f>IFERROR(__xludf.DUMMYFUNCTION("REGEXREPLACE(C25585,""-\d+(.*)|--\d+(.*)"","""")"),"LASBORDES")</f>
        <v>LASBORDES</v>
      </c>
      <c r="E25585" s="38" t="s">
        <v>278</v>
      </c>
      <c r="F25585" s="38" t="s">
        <v>119</v>
      </c>
      <c r="G25585" s="49" t="str">
        <f t="shared" si="1"/>
        <v>11400</v>
      </c>
      <c r="H25585" s="49">
        <f t="shared" si="2"/>
        <v>11192</v>
      </c>
    </row>
    <row r="25586">
      <c r="A25586" s="48" t="s">
        <v>9615</v>
      </c>
      <c r="B25586" s="38">
        <v>86276.0</v>
      </c>
      <c r="C25586" s="38" t="s">
        <v>30084</v>
      </c>
      <c r="D25586" s="38" t="str">
        <f>IFERROR(__xludf.DUMMYFUNCTION("REGEXREPLACE(C25586,""-\d+(.*)|--\d+(.*)"","""")"),"USSON-DU-POITOU")</f>
        <v>USSON-DU-POITOU</v>
      </c>
      <c r="E25586" s="38" t="s">
        <v>529</v>
      </c>
      <c r="F25586" s="38" t="s">
        <v>338</v>
      </c>
      <c r="G25586" s="49" t="str">
        <f t="shared" si="1"/>
        <v>86350</v>
      </c>
      <c r="H25586" s="49">
        <f t="shared" si="2"/>
        <v>86276</v>
      </c>
    </row>
    <row r="25587">
      <c r="A25587" s="48" t="s">
        <v>1002</v>
      </c>
      <c r="B25587" s="38">
        <v>46272.0</v>
      </c>
      <c r="C25587" s="38" t="s">
        <v>30085</v>
      </c>
      <c r="D25587" s="38" t="str">
        <f>IFERROR(__xludf.DUMMYFUNCTION("REGEXREPLACE(C25587,""-\d+(.*)|--\d+(.*)"","""")"),"SAINT-JEAN-MIRABEL")</f>
        <v>SAINT-JEAN-MIRABEL</v>
      </c>
      <c r="E25587" s="38" t="s">
        <v>185</v>
      </c>
      <c r="F25587" s="38" t="s">
        <v>94</v>
      </c>
      <c r="G25587" s="49" t="str">
        <f t="shared" si="1"/>
        <v>46270</v>
      </c>
      <c r="H25587" s="49">
        <f t="shared" si="2"/>
        <v>46272</v>
      </c>
    </row>
    <row r="25588">
      <c r="A25588" s="48" t="s">
        <v>7377</v>
      </c>
      <c r="B25588" s="38">
        <v>49276.0</v>
      </c>
      <c r="C25588" s="38" t="s">
        <v>30086</v>
      </c>
      <c r="D25588" s="38" t="str">
        <f>IFERROR(__xludf.DUMMYFUNCTION("REGEXREPLACE(C25588,""-\d+(.*)|--\d+(.*)"","""")"),"SAINT-FLORENT-LE-VIEIL")</f>
        <v>SAINT-FLORENT-LE-VIEIL</v>
      </c>
      <c r="E25588" s="38" t="s">
        <v>653</v>
      </c>
      <c r="F25588" s="38" t="s">
        <v>180</v>
      </c>
      <c r="G25588" s="49" t="str">
        <f t="shared" si="1"/>
        <v>49410</v>
      </c>
      <c r="H25588" s="49">
        <f t="shared" si="2"/>
        <v>49276</v>
      </c>
    </row>
    <row r="25589">
      <c r="A25589" s="48" t="s">
        <v>10063</v>
      </c>
      <c r="B25589" s="38">
        <v>18171.0</v>
      </c>
      <c r="C25589" s="38" t="s">
        <v>30087</v>
      </c>
      <c r="D25589" s="38" t="str">
        <f>IFERROR(__xludf.DUMMYFUNCTION("REGEXREPLACE(C25589,""-\d+(.*)|--\d+(.*)"","""")"),"ORCENAIS")</f>
        <v>ORCENAIS</v>
      </c>
      <c r="E25589" s="38" t="s">
        <v>504</v>
      </c>
      <c r="F25589" s="38" t="s">
        <v>123</v>
      </c>
      <c r="G25589" s="49" t="str">
        <f t="shared" si="1"/>
        <v>18200</v>
      </c>
      <c r="H25589" s="49">
        <f t="shared" si="2"/>
        <v>18171</v>
      </c>
    </row>
    <row r="25590">
      <c r="A25590" s="48" t="s">
        <v>3677</v>
      </c>
      <c r="B25590" s="38">
        <v>89151.0</v>
      </c>
      <c r="C25590" s="38" t="s">
        <v>30088</v>
      </c>
      <c r="D25590" s="38" t="str">
        <f>IFERROR(__xludf.DUMMYFUNCTION("REGEXREPLACE(C25590,""-\d+(.*)|--\d+(.*)"","""")"),"EGRISELLES-LE-BOCAGE")</f>
        <v>EGRISELLES-LE-BOCAGE</v>
      </c>
      <c r="E25590" s="38" t="s">
        <v>275</v>
      </c>
      <c r="F25590" s="38" t="s">
        <v>106</v>
      </c>
      <c r="G25590" s="49" t="str">
        <f t="shared" si="1"/>
        <v>89500</v>
      </c>
      <c r="H25590" s="49">
        <f t="shared" si="2"/>
        <v>89151</v>
      </c>
    </row>
    <row r="25591">
      <c r="A25591" s="48" t="s">
        <v>7799</v>
      </c>
      <c r="B25591" s="38">
        <v>7004.0</v>
      </c>
      <c r="C25591" s="38" t="s">
        <v>30089</v>
      </c>
      <c r="D25591" s="38" t="str">
        <f>IFERROR(__xludf.DUMMYFUNCTION("REGEXREPLACE(C25591,""-\d+(.*)|--\d+(.*)"","""")"),"AJOUX")</f>
        <v>AJOUX</v>
      </c>
      <c r="E25591" s="38" t="s">
        <v>144</v>
      </c>
      <c r="F25591" s="38" t="s">
        <v>102</v>
      </c>
      <c r="G25591" s="49" t="str">
        <f t="shared" si="1"/>
        <v>07000</v>
      </c>
      <c r="H25591" s="49" t="str">
        <f t="shared" si="2"/>
        <v>07004</v>
      </c>
    </row>
    <row r="25592">
      <c r="A25592" s="48" t="s">
        <v>1485</v>
      </c>
      <c r="B25592" s="38">
        <v>21088.0</v>
      </c>
      <c r="C25592" s="38" t="s">
        <v>30090</v>
      </c>
      <c r="D25592" s="38" t="str">
        <f>IFERROR(__xludf.DUMMYFUNCTION("REGEXREPLACE(C25592,""-\d+(.*)|--\d+(.*)"","""")"),"BONCOURT-LE-BOIS")</f>
        <v>BONCOURT-LE-BOIS</v>
      </c>
      <c r="E25592" s="38" t="s">
        <v>105</v>
      </c>
      <c r="F25592" s="38" t="s">
        <v>106</v>
      </c>
      <c r="G25592" s="49" t="str">
        <f t="shared" si="1"/>
        <v>21700</v>
      </c>
      <c r="H25592" s="49">
        <f t="shared" si="2"/>
        <v>21088</v>
      </c>
    </row>
    <row r="25593">
      <c r="A25593" s="48" t="s">
        <v>6909</v>
      </c>
      <c r="B25593" s="38">
        <v>14645.0</v>
      </c>
      <c r="C25593" s="38" t="s">
        <v>30091</v>
      </c>
      <c r="D25593" s="38" t="str">
        <f>IFERROR(__xludf.DUMMYFUNCTION("REGEXREPLACE(C25593,""-\d+(.*)|--\d+(.*)"","""")"),"SAINT-PIERRE-AZIF")</f>
        <v>SAINT-PIERRE-AZIF</v>
      </c>
      <c r="E25593" s="38" t="s">
        <v>137</v>
      </c>
      <c r="F25593" s="38" t="s">
        <v>138</v>
      </c>
      <c r="G25593" s="49" t="str">
        <f t="shared" si="1"/>
        <v>14950</v>
      </c>
      <c r="H25593" s="49">
        <f t="shared" si="2"/>
        <v>14645</v>
      </c>
    </row>
    <row r="25594">
      <c r="A25594" s="48" t="s">
        <v>5163</v>
      </c>
      <c r="B25594" s="38">
        <v>76380.0</v>
      </c>
      <c r="C25594" s="38" t="s">
        <v>30092</v>
      </c>
      <c r="D25594" s="38" t="str">
        <f>IFERROR(__xludf.DUMMYFUNCTION("REGEXREPLACE(C25594,""-\d+(.*)|--\d+(.*)"","""")"),"LAMMERVILLE")</f>
        <v>LAMMERVILLE</v>
      </c>
      <c r="E25594" s="38" t="s">
        <v>133</v>
      </c>
      <c r="F25594" s="38" t="s">
        <v>134</v>
      </c>
      <c r="G25594" s="49" t="str">
        <f t="shared" si="1"/>
        <v>76730</v>
      </c>
      <c r="H25594" s="49">
        <f t="shared" si="2"/>
        <v>76380</v>
      </c>
    </row>
    <row r="25595">
      <c r="A25595" s="48" t="s">
        <v>1932</v>
      </c>
      <c r="B25595" s="38">
        <v>70403.0</v>
      </c>
      <c r="C25595" s="38" t="s">
        <v>30093</v>
      </c>
      <c r="D25595" s="38" t="str">
        <f>IFERROR(__xludf.DUMMYFUNCTION("REGEXREPLACE(C25595,""-\d+(.*)|--\d+(.*)"","""")"),"PALANTE")</f>
        <v>PALANTE</v>
      </c>
      <c r="E25595" s="38" t="s">
        <v>956</v>
      </c>
      <c r="F25595" s="38" t="s">
        <v>214</v>
      </c>
      <c r="G25595" s="49" t="str">
        <f t="shared" si="1"/>
        <v>70200</v>
      </c>
      <c r="H25595" s="49">
        <f t="shared" si="2"/>
        <v>70403</v>
      </c>
    </row>
    <row r="25596">
      <c r="A25596" s="48" t="s">
        <v>9795</v>
      </c>
      <c r="B25596" s="38">
        <v>33246.0</v>
      </c>
      <c r="C25596" s="38" t="s">
        <v>30094</v>
      </c>
      <c r="D25596" s="38" t="str">
        <f>IFERROR(__xludf.DUMMYFUNCTION("REGEXREPLACE(C25596,""-\d+(.*)|--\d+(.*)"","""")"),"LIGUEUX")</f>
        <v>LIGUEUX</v>
      </c>
      <c r="E25596" s="38" t="s">
        <v>462</v>
      </c>
      <c r="F25596" s="38" t="s">
        <v>252</v>
      </c>
      <c r="G25596" s="49" t="str">
        <f t="shared" si="1"/>
        <v>33220</v>
      </c>
      <c r="H25596" s="49">
        <f t="shared" si="2"/>
        <v>33246</v>
      </c>
    </row>
    <row r="25597">
      <c r="A25597" s="48" t="s">
        <v>997</v>
      </c>
      <c r="B25597" s="38">
        <v>55474.0</v>
      </c>
      <c r="C25597" s="38" t="s">
        <v>30095</v>
      </c>
      <c r="D25597" s="38" t="str">
        <f>IFERROR(__xludf.DUMMYFUNCTION("REGEXREPLACE(C25597,""-\d+(.*)|--\d+(.*)"","""")"),"SAUVIGNY")</f>
        <v>SAUVIGNY</v>
      </c>
      <c r="E25597" s="38" t="s">
        <v>322</v>
      </c>
      <c r="F25597" s="38" t="s">
        <v>195</v>
      </c>
      <c r="G25597" s="49" t="str">
        <f t="shared" si="1"/>
        <v>55140</v>
      </c>
      <c r="H25597" s="49">
        <f t="shared" si="2"/>
        <v>55474</v>
      </c>
    </row>
    <row r="25598">
      <c r="A25598" s="48" t="s">
        <v>7416</v>
      </c>
      <c r="B25598" s="38">
        <v>49101.0</v>
      </c>
      <c r="C25598" s="38" t="s">
        <v>30096</v>
      </c>
      <c r="D25598" s="38" t="str">
        <f>IFERROR(__xludf.DUMMYFUNCTION("REGEXREPLACE(C25598,""-\d+(.*)|--\d+(.*)"","""")"),"CLEFS")</f>
        <v>CLEFS</v>
      </c>
      <c r="E25598" s="38" t="s">
        <v>653</v>
      </c>
      <c r="F25598" s="38" t="s">
        <v>180</v>
      </c>
      <c r="G25598" s="49" t="str">
        <f t="shared" si="1"/>
        <v>49150</v>
      </c>
      <c r="H25598" s="49">
        <f t="shared" si="2"/>
        <v>49101</v>
      </c>
    </row>
    <row r="25599">
      <c r="A25599" s="48" t="s">
        <v>19664</v>
      </c>
      <c r="B25599" s="38">
        <v>57216.0</v>
      </c>
      <c r="C25599" s="38" t="s">
        <v>30097</v>
      </c>
      <c r="D25599" s="38" t="str">
        <f>IFERROR(__xludf.DUMMYFUNCTION("REGEXREPLACE(C25599,""-\d+(.*)|--\d+(.*)"","""")"),"FLEISHEIM")</f>
        <v>FLEISHEIM</v>
      </c>
      <c r="E25599" s="38" t="s">
        <v>303</v>
      </c>
      <c r="F25599" s="38" t="s">
        <v>195</v>
      </c>
      <c r="G25599" s="49" t="str">
        <f t="shared" si="1"/>
        <v>57635</v>
      </c>
      <c r="H25599" s="49">
        <f t="shared" si="2"/>
        <v>57216</v>
      </c>
    </row>
    <row r="25600">
      <c r="A25600" s="48" t="s">
        <v>2487</v>
      </c>
      <c r="B25600" s="38">
        <v>70082.0</v>
      </c>
      <c r="C25600" s="38" t="s">
        <v>30098</v>
      </c>
      <c r="D25600" s="38" t="str">
        <f>IFERROR(__xludf.DUMMYFUNCTION("REGEXREPLACE(C25600,""-\d+(.*)|--\d+(.*)"","""")"),"BOUHANS-LES-MONTBOZON")</f>
        <v>BOUHANS-LES-MONTBOZON</v>
      </c>
      <c r="E25600" s="38" t="s">
        <v>956</v>
      </c>
      <c r="F25600" s="38" t="s">
        <v>214</v>
      </c>
      <c r="G25600" s="49" t="str">
        <f t="shared" si="1"/>
        <v>70230</v>
      </c>
      <c r="H25600" s="49">
        <f t="shared" si="2"/>
        <v>70082</v>
      </c>
    </row>
    <row r="25601">
      <c r="A25601" s="48" t="s">
        <v>6557</v>
      </c>
      <c r="B25601" s="38">
        <v>82020.0</v>
      </c>
      <c r="C25601" s="38" t="s">
        <v>13602</v>
      </c>
      <c r="D25601" s="38" t="str">
        <f>IFERROR(__xludf.DUMMYFUNCTION("REGEXREPLACE(C25601,""-\d+(.*)|--\d+(.*)"","""")"),"BOUILLAC")</f>
        <v>BOUILLAC</v>
      </c>
      <c r="E25601" s="38" t="s">
        <v>570</v>
      </c>
      <c r="F25601" s="38" t="s">
        <v>94</v>
      </c>
      <c r="G25601" s="49" t="str">
        <f t="shared" si="1"/>
        <v>82600</v>
      </c>
      <c r="H25601" s="49">
        <f t="shared" si="2"/>
        <v>82020</v>
      </c>
    </row>
    <row r="25602">
      <c r="A25602" s="48" t="s">
        <v>4661</v>
      </c>
      <c r="B25602" s="38">
        <v>62432.0</v>
      </c>
      <c r="C25602" s="38" t="s">
        <v>30099</v>
      </c>
      <c r="D25602" s="38" t="str">
        <f>IFERROR(__xludf.DUMMYFUNCTION("REGEXREPLACE(C25602,""-\d+(.*)|--\d+(.*)"","""")"),"HERBINGHEN")</f>
        <v>HERBINGHEN</v>
      </c>
      <c r="E25602" s="38" t="s">
        <v>109</v>
      </c>
      <c r="F25602" s="38" t="s">
        <v>86</v>
      </c>
      <c r="G25602" s="49" t="str">
        <f t="shared" si="1"/>
        <v>62850</v>
      </c>
      <c r="H25602" s="49">
        <f t="shared" si="2"/>
        <v>62432</v>
      </c>
    </row>
    <row r="25603">
      <c r="A25603" s="48" t="s">
        <v>1859</v>
      </c>
      <c r="B25603" s="38">
        <v>88231.0</v>
      </c>
      <c r="C25603" s="38" t="s">
        <v>30100</v>
      </c>
      <c r="D25603" s="38" t="str">
        <f>IFERROR(__xludf.DUMMYFUNCTION("REGEXREPLACE(C25603,""-\d+(.*)|--\d+(.*)"","""")"),"HAREVILLE")</f>
        <v>HAREVILLE</v>
      </c>
      <c r="E25603" s="38" t="s">
        <v>194</v>
      </c>
      <c r="F25603" s="38" t="s">
        <v>195</v>
      </c>
      <c r="G25603" s="49" t="str">
        <f t="shared" si="1"/>
        <v>88800</v>
      </c>
      <c r="H25603" s="49">
        <f t="shared" si="2"/>
        <v>88231</v>
      </c>
    </row>
    <row r="25604">
      <c r="A25604" s="48" t="s">
        <v>3780</v>
      </c>
      <c r="B25604" s="38">
        <v>50626.0</v>
      </c>
      <c r="C25604" s="38" t="s">
        <v>30101</v>
      </c>
      <c r="D25604" s="38" t="str">
        <f>IFERROR(__xludf.DUMMYFUNCTION("REGEXREPLACE(C25604,""-\d+(.*)|--\d+(.*)"","""")"),"VER")</f>
        <v>VER</v>
      </c>
      <c r="E25604" s="38" t="s">
        <v>157</v>
      </c>
      <c r="F25604" s="38" t="s">
        <v>138</v>
      </c>
      <c r="G25604" s="49" t="str">
        <f t="shared" si="1"/>
        <v>50450</v>
      </c>
      <c r="H25604" s="49">
        <f t="shared" si="2"/>
        <v>50626</v>
      </c>
    </row>
    <row r="25605">
      <c r="A25605" s="48" t="s">
        <v>14960</v>
      </c>
      <c r="B25605" s="38" t="s">
        <v>30102</v>
      </c>
      <c r="C25605" s="38" t="s">
        <v>30103</v>
      </c>
      <c r="D25605" s="38" t="str">
        <f>IFERROR(__xludf.DUMMYFUNCTION("REGEXREPLACE(C25605,""-\d+(.*)|--\d+(.*)"","""")"),"UCCIANI")</f>
        <v>UCCIANI</v>
      </c>
      <c r="E25605" s="38" t="s">
        <v>606</v>
      </c>
      <c r="F25605" s="38" t="s">
        <v>607</v>
      </c>
      <c r="G25605" s="49" t="str">
        <f t="shared" si="1"/>
        <v>20133</v>
      </c>
      <c r="H25605" s="49" t="str">
        <f t="shared" si="2"/>
        <v>2A330</v>
      </c>
    </row>
    <row r="25606">
      <c r="A25606" s="48" t="s">
        <v>717</v>
      </c>
      <c r="B25606" s="38">
        <v>31166.0</v>
      </c>
      <c r="C25606" s="38" t="s">
        <v>30104</v>
      </c>
      <c r="D25606" s="38" t="str">
        <f>IFERROR(__xludf.DUMMYFUNCTION("REGEXREPLACE(C25606,""-\d+(.*)|--\d+(.*)"","""")"),"EMPEAUX")</f>
        <v>EMPEAUX</v>
      </c>
      <c r="E25606" s="38" t="s">
        <v>93</v>
      </c>
      <c r="F25606" s="38" t="s">
        <v>94</v>
      </c>
      <c r="G25606" s="49" t="str">
        <f t="shared" si="1"/>
        <v>31470</v>
      </c>
      <c r="H25606" s="49">
        <f t="shared" si="2"/>
        <v>31166</v>
      </c>
    </row>
    <row r="25607">
      <c r="A25607" s="48" t="s">
        <v>14721</v>
      </c>
      <c r="B25607" s="38">
        <v>27103.0</v>
      </c>
      <c r="C25607" s="38" t="s">
        <v>30105</v>
      </c>
      <c r="D25607" s="38" t="str">
        <f>IFERROR(__xludf.DUMMYFUNCTION("REGEXREPLACE(C25607,""-\d+(.*)|--\d+(.*)"","""")"),"BOURG-ACHARD")</f>
        <v>BOURG-ACHARD</v>
      </c>
      <c r="E25607" s="38" t="s">
        <v>241</v>
      </c>
      <c r="F25607" s="38" t="s">
        <v>134</v>
      </c>
      <c r="G25607" s="49" t="str">
        <f t="shared" si="1"/>
        <v>27310</v>
      </c>
      <c r="H25607" s="49">
        <f t="shared" si="2"/>
        <v>27103</v>
      </c>
    </row>
    <row r="25608">
      <c r="A25608" s="48" t="s">
        <v>2773</v>
      </c>
      <c r="B25608" s="38">
        <v>21653.0</v>
      </c>
      <c r="C25608" s="38" t="s">
        <v>30106</v>
      </c>
      <c r="D25608" s="38" t="str">
        <f>IFERROR(__xludf.DUMMYFUNCTION("REGEXREPLACE(C25608,""-\d+(.*)|--\d+(.*)"","""")"),"VANNAIRE")</f>
        <v>VANNAIRE</v>
      </c>
      <c r="E25608" s="38" t="s">
        <v>105</v>
      </c>
      <c r="F25608" s="38" t="s">
        <v>106</v>
      </c>
      <c r="G25608" s="49" t="str">
        <f t="shared" si="1"/>
        <v>21400</v>
      </c>
      <c r="H25608" s="49">
        <f t="shared" si="2"/>
        <v>21653</v>
      </c>
    </row>
    <row r="25609">
      <c r="A25609" s="48" t="s">
        <v>8665</v>
      </c>
      <c r="B25609" s="38">
        <v>83039.0</v>
      </c>
      <c r="C25609" s="38" t="s">
        <v>30107</v>
      </c>
      <c r="D25609" s="38" t="str">
        <f>IFERROR(__xludf.DUMMYFUNCTION("REGEXREPLACE(C25609,""-\d+(.*)|--\d+(.*)"","""")"),"CHATEAUVERT")</f>
        <v>CHATEAUVERT</v>
      </c>
      <c r="E25609" s="38" t="s">
        <v>813</v>
      </c>
      <c r="F25609" s="38" t="s">
        <v>228</v>
      </c>
      <c r="G25609" s="49" t="str">
        <f t="shared" si="1"/>
        <v>83670</v>
      </c>
      <c r="H25609" s="49">
        <f t="shared" si="2"/>
        <v>83039</v>
      </c>
    </row>
    <row r="25610">
      <c r="A25610" s="48" t="s">
        <v>3568</v>
      </c>
      <c r="B25610" s="38">
        <v>89337.0</v>
      </c>
      <c r="C25610" s="38" t="s">
        <v>30108</v>
      </c>
      <c r="D25610" s="38" t="str">
        <f>IFERROR(__xludf.DUMMYFUNCTION("REGEXREPLACE(C25610,""-\d+(.*)|--\d+(.*)"","""")"),"SAINT-BRIS-LE-VINEUX")</f>
        <v>SAINT-BRIS-LE-VINEUX</v>
      </c>
      <c r="E25610" s="38" t="s">
        <v>275</v>
      </c>
      <c r="F25610" s="38" t="s">
        <v>106</v>
      </c>
      <c r="G25610" s="49" t="str">
        <f t="shared" si="1"/>
        <v>89530</v>
      </c>
      <c r="H25610" s="49">
        <f t="shared" si="2"/>
        <v>89337</v>
      </c>
    </row>
    <row r="25611">
      <c r="A25611" s="48" t="s">
        <v>28149</v>
      </c>
      <c r="B25611" s="38">
        <v>15099.0</v>
      </c>
      <c r="C25611" s="38" t="s">
        <v>30109</v>
      </c>
      <c r="D25611" s="38" t="str">
        <f>IFERROR(__xludf.DUMMYFUNCTION("REGEXREPLACE(C25611,""-\d+(.*)|--\d+(.*)"","""")"),"LAVASTRIE")</f>
        <v>LAVASTRIE</v>
      </c>
      <c r="E25611" s="38" t="s">
        <v>632</v>
      </c>
      <c r="F25611" s="38" t="s">
        <v>161</v>
      </c>
      <c r="G25611" s="49" t="str">
        <f t="shared" si="1"/>
        <v>15260</v>
      </c>
      <c r="H25611" s="49">
        <f t="shared" si="2"/>
        <v>15099</v>
      </c>
    </row>
    <row r="25612">
      <c r="A25612" s="48" t="s">
        <v>591</v>
      </c>
      <c r="B25612" s="38">
        <v>85281.0</v>
      </c>
      <c r="C25612" s="38" t="s">
        <v>30110</v>
      </c>
      <c r="D25612" s="38" t="str">
        <f>IFERROR(__xludf.DUMMYFUNCTION("REGEXREPLACE(C25612,""-\d+(.*)|--\d+(.*)"","""")"),"SERIGNE")</f>
        <v>SERIGNE</v>
      </c>
      <c r="E25612" s="38" t="s">
        <v>179</v>
      </c>
      <c r="F25612" s="38" t="s">
        <v>180</v>
      </c>
      <c r="G25612" s="49" t="str">
        <f t="shared" si="1"/>
        <v>85200</v>
      </c>
      <c r="H25612" s="49">
        <f t="shared" si="2"/>
        <v>85281</v>
      </c>
    </row>
    <row r="25613">
      <c r="A25613" s="48" t="s">
        <v>962</v>
      </c>
      <c r="B25613" s="38">
        <v>24345.0</v>
      </c>
      <c r="C25613" s="38" t="s">
        <v>30111</v>
      </c>
      <c r="D25613" s="38" t="str">
        <f>IFERROR(__xludf.DUMMYFUNCTION("REGEXREPLACE(C25613,""-\d+(.*)|--\d+(.*)"","""")"),"QUEYSSAC")</f>
        <v>QUEYSSAC</v>
      </c>
      <c r="E25613" s="38" t="s">
        <v>261</v>
      </c>
      <c r="F25613" s="38" t="s">
        <v>252</v>
      </c>
      <c r="G25613" s="49" t="str">
        <f t="shared" si="1"/>
        <v>24140</v>
      </c>
      <c r="H25613" s="49">
        <f t="shared" si="2"/>
        <v>24345</v>
      </c>
    </row>
    <row r="25614">
      <c r="A25614" s="48" t="s">
        <v>3283</v>
      </c>
      <c r="B25614" s="38">
        <v>52286.0</v>
      </c>
      <c r="C25614" s="38" t="s">
        <v>30112</v>
      </c>
      <c r="D25614" s="38" t="str">
        <f>IFERROR(__xludf.DUMMYFUNCTION("REGEXREPLACE(C25614,""-\d+(.*)|--\d+(.*)"","""")"),"LEURVILLE")</f>
        <v>LEURVILLE</v>
      </c>
      <c r="E25614" s="38" t="s">
        <v>234</v>
      </c>
      <c r="F25614" s="38" t="s">
        <v>130</v>
      </c>
      <c r="G25614" s="49" t="str">
        <f t="shared" si="1"/>
        <v>52700</v>
      </c>
      <c r="H25614" s="49">
        <f t="shared" si="2"/>
        <v>52286</v>
      </c>
    </row>
    <row r="25615">
      <c r="A25615" s="48" t="s">
        <v>2204</v>
      </c>
      <c r="B25615" s="38">
        <v>42167.0</v>
      </c>
      <c r="C25615" s="38" t="s">
        <v>30113</v>
      </c>
      <c r="D25615" s="38" t="str">
        <f>IFERROR(__xludf.DUMMYFUNCTION("REGEXREPLACE(C25615,""-\d+(.*)|--\d+(.*)"","""")"),"PAVEZIN")</f>
        <v>PAVEZIN</v>
      </c>
      <c r="E25615" s="38" t="s">
        <v>166</v>
      </c>
      <c r="F25615" s="38" t="s">
        <v>102</v>
      </c>
      <c r="G25615" s="49" t="str">
        <f t="shared" si="1"/>
        <v>42410</v>
      </c>
      <c r="H25615" s="49">
        <f t="shared" si="2"/>
        <v>42167</v>
      </c>
    </row>
    <row r="25616">
      <c r="A25616" s="48" t="s">
        <v>2389</v>
      </c>
      <c r="B25616" s="38">
        <v>64099.0</v>
      </c>
      <c r="C25616" s="38" t="s">
        <v>30114</v>
      </c>
      <c r="D25616" s="38" t="str">
        <f>IFERROR(__xludf.DUMMYFUNCTION("REGEXREPLACE(C25616,""-\d+(.*)|--\d+(.*)"","""")"),"BASTANES")</f>
        <v>BASTANES</v>
      </c>
      <c r="E25616" s="38" t="s">
        <v>268</v>
      </c>
      <c r="F25616" s="38" t="s">
        <v>252</v>
      </c>
      <c r="G25616" s="49" t="str">
        <f t="shared" si="1"/>
        <v>64190</v>
      </c>
      <c r="H25616" s="49">
        <f t="shared" si="2"/>
        <v>64099</v>
      </c>
    </row>
    <row r="25617">
      <c r="A25617" s="48" t="s">
        <v>5045</v>
      </c>
      <c r="B25617" s="38">
        <v>24267.0</v>
      </c>
      <c r="C25617" s="38" t="s">
        <v>30115</v>
      </c>
      <c r="D25617" s="38" t="str">
        <f>IFERROR(__xludf.DUMMYFUNCTION("REGEXREPLACE(C25617,""-\d+(.*)|--\d+(.*)"","""")"),"MESCOULES")</f>
        <v>MESCOULES</v>
      </c>
      <c r="E25617" s="38" t="s">
        <v>261</v>
      </c>
      <c r="F25617" s="38" t="s">
        <v>252</v>
      </c>
      <c r="G25617" s="49" t="str">
        <f t="shared" si="1"/>
        <v>24240</v>
      </c>
      <c r="H25617" s="49">
        <f t="shared" si="2"/>
        <v>24267</v>
      </c>
    </row>
    <row r="25618">
      <c r="A25618" s="48" t="s">
        <v>954</v>
      </c>
      <c r="B25618" s="38">
        <v>70386.0</v>
      </c>
      <c r="C25618" s="38" t="s">
        <v>30116</v>
      </c>
      <c r="D25618" s="38" t="str">
        <f>IFERROR(__xludf.DUMMYFUNCTION("REGEXREPLACE(C25618,""-\d+(.*)|--\d+(.*)"","""")"),"LA NEUVELLE-LES-SCEY")</f>
        <v>LA NEUVELLE-LES-SCEY</v>
      </c>
      <c r="E25618" s="38" t="s">
        <v>956</v>
      </c>
      <c r="F25618" s="38" t="s">
        <v>214</v>
      </c>
      <c r="G25618" s="49" t="str">
        <f t="shared" si="1"/>
        <v>70360</v>
      </c>
      <c r="H25618" s="49">
        <f t="shared" si="2"/>
        <v>70386</v>
      </c>
    </row>
    <row r="25619">
      <c r="A25619" s="48" t="s">
        <v>4287</v>
      </c>
      <c r="B25619" s="38">
        <v>62680.0</v>
      </c>
      <c r="C25619" s="38" t="s">
        <v>30117</v>
      </c>
      <c r="D25619" s="38" t="str">
        <f>IFERROR(__xludf.DUMMYFUNCTION("REGEXREPLACE(C25619,""-\d+(.*)|--\d+(.*)"","""")"),"QUIERY-LA-MOTTE")</f>
        <v>QUIERY-LA-MOTTE</v>
      </c>
      <c r="E25619" s="38" t="s">
        <v>109</v>
      </c>
      <c r="F25619" s="38" t="s">
        <v>86</v>
      </c>
      <c r="G25619" s="49" t="str">
        <f t="shared" si="1"/>
        <v>62490</v>
      </c>
      <c r="H25619" s="49">
        <f t="shared" si="2"/>
        <v>62680</v>
      </c>
    </row>
    <row r="25620">
      <c r="A25620" s="48" t="s">
        <v>3046</v>
      </c>
      <c r="B25620" s="38">
        <v>70220.0</v>
      </c>
      <c r="C25620" s="38" t="s">
        <v>30118</v>
      </c>
      <c r="D25620" s="38" t="str">
        <f>IFERROR(__xludf.DUMMYFUNCTION("REGEXREPLACE(C25620,""-\d+(.*)|--\d+(.*)"","""")"),"ESSERTENNE-ET-CECEY")</f>
        <v>ESSERTENNE-ET-CECEY</v>
      </c>
      <c r="E25620" s="38" t="s">
        <v>956</v>
      </c>
      <c r="F25620" s="38" t="s">
        <v>214</v>
      </c>
      <c r="G25620" s="49" t="str">
        <f t="shared" si="1"/>
        <v>70100</v>
      </c>
      <c r="H25620" s="49">
        <f t="shared" si="2"/>
        <v>70220</v>
      </c>
    </row>
    <row r="25621">
      <c r="A25621" s="48" t="s">
        <v>12639</v>
      </c>
      <c r="B25621" s="38">
        <v>81191.0</v>
      </c>
      <c r="C25621" s="38" t="s">
        <v>30119</v>
      </c>
      <c r="D25621" s="38" t="str">
        <f>IFERROR(__xludf.DUMMYFUNCTION("REGEXREPLACE(C25621,""-\d+(.*)|--\d+(.*)"","""")"),"MOUZIEYS-PANENS")</f>
        <v>MOUZIEYS-PANENS</v>
      </c>
      <c r="E25621" s="38" t="s">
        <v>231</v>
      </c>
      <c r="F25621" s="38" t="s">
        <v>94</v>
      </c>
      <c r="G25621" s="49" t="str">
        <f t="shared" si="1"/>
        <v>81170</v>
      </c>
      <c r="H25621" s="49">
        <f t="shared" si="2"/>
        <v>81191</v>
      </c>
    </row>
    <row r="25622">
      <c r="A25622" s="48" t="s">
        <v>3075</v>
      </c>
      <c r="B25622" s="38">
        <v>46192.0</v>
      </c>
      <c r="C25622" s="38" t="s">
        <v>30120</v>
      </c>
      <c r="D25622" s="38" t="str">
        <f>IFERROR(__xludf.DUMMYFUNCTION("REGEXREPLACE(C25622,""-\d+(.*)|--\d+(.*)"","""")"),"MEYRONNE")</f>
        <v>MEYRONNE</v>
      </c>
      <c r="E25622" s="38" t="s">
        <v>185</v>
      </c>
      <c r="F25622" s="38" t="s">
        <v>94</v>
      </c>
      <c r="G25622" s="49" t="str">
        <f t="shared" si="1"/>
        <v>46200</v>
      </c>
      <c r="H25622" s="49">
        <f t="shared" si="2"/>
        <v>46192</v>
      </c>
    </row>
    <row r="25623">
      <c r="A25623" s="48" t="s">
        <v>30121</v>
      </c>
      <c r="B25623" s="38">
        <v>78624.0</v>
      </c>
      <c r="C25623" s="38" t="s">
        <v>30122</v>
      </c>
      <c r="D25623" s="38" t="str">
        <f>IFERROR(__xludf.DUMMYFUNCTION("REGEXREPLACE(C25623,""-\d+(.*)|--\d+(.*)"","""")"),"TRIEL-SUR-SEINE")</f>
        <v>TRIEL-SUR-SEINE</v>
      </c>
      <c r="E25623" s="38" t="s">
        <v>362</v>
      </c>
      <c r="F25623" s="38" t="s">
        <v>245</v>
      </c>
      <c r="G25623" s="49" t="str">
        <f t="shared" si="1"/>
        <v>78510</v>
      </c>
      <c r="H25623" s="49">
        <f t="shared" si="2"/>
        <v>78624</v>
      </c>
    </row>
    <row r="25624">
      <c r="A25624" s="48" t="s">
        <v>14590</v>
      </c>
      <c r="B25624" s="38">
        <v>80725.0</v>
      </c>
      <c r="C25624" s="38" t="s">
        <v>30123</v>
      </c>
      <c r="D25624" s="38" t="str">
        <f>IFERROR(__xludf.DUMMYFUNCTION("REGEXREPLACE(C25624,""-\d+(.*)|--\d+(.*)"","""")"),"SALOUEL")</f>
        <v>SALOUEL</v>
      </c>
      <c r="E25624" s="38" t="s">
        <v>224</v>
      </c>
      <c r="F25624" s="38" t="s">
        <v>113</v>
      </c>
      <c r="G25624" s="49" t="str">
        <f t="shared" si="1"/>
        <v>80480</v>
      </c>
      <c r="H25624" s="49">
        <f t="shared" si="2"/>
        <v>80725</v>
      </c>
    </row>
    <row r="25625">
      <c r="A25625" s="48" t="s">
        <v>1825</v>
      </c>
      <c r="B25625" s="38">
        <v>64152.0</v>
      </c>
      <c r="C25625" s="38" t="s">
        <v>30124</v>
      </c>
      <c r="D25625" s="38" t="str">
        <f>IFERROR(__xludf.DUMMYFUNCTION("REGEXREPLACE(C25625,""-\d+(.*)|--\d+(.*)"","""")"),"BUROS")</f>
        <v>BUROS</v>
      </c>
      <c r="E25625" s="38" t="s">
        <v>268</v>
      </c>
      <c r="F25625" s="38" t="s">
        <v>252</v>
      </c>
      <c r="G25625" s="49" t="str">
        <f t="shared" si="1"/>
        <v>64160</v>
      </c>
      <c r="H25625" s="49">
        <f t="shared" si="2"/>
        <v>64152</v>
      </c>
    </row>
    <row r="25626">
      <c r="A25626" s="48" t="s">
        <v>4340</v>
      </c>
      <c r="B25626" s="38">
        <v>33367.0</v>
      </c>
      <c r="C25626" s="38" t="s">
        <v>30125</v>
      </c>
      <c r="D25626" s="38" t="str">
        <f>IFERROR(__xludf.DUMMYFUNCTION("REGEXREPLACE(C25626,""-\d+(.*)|--\d+(.*)"","""")"),"SAINT-ANDRE-DU-BOIS")</f>
        <v>SAINT-ANDRE-DU-BOIS</v>
      </c>
      <c r="E25626" s="38" t="s">
        <v>462</v>
      </c>
      <c r="F25626" s="38" t="s">
        <v>252</v>
      </c>
      <c r="G25626" s="49" t="str">
        <f t="shared" si="1"/>
        <v>33490</v>
      </c>
      <c r="H25626" s="49">
        <f t="shared" si="2"/>
        <v>33367</v>
      </c>
    </row>
    <row r="25627">
      <c r="A25627" s="48" t="s">
        <v>940</v>
      </c>
      <c r="B25627" s="38">
        <v>51429.0</v>
      </c>
      <c r="C25627" s="38" t="s">
        <v>30126</v>
      </c>
      <c r="D25627" s="38" t="str">
        <f>IFERROR(__xludf.DUMMYFUNCTION("REGEXREPLACE(C25627,""-\d+(.*)|--\d+(.*)"","""")"),"PEVY")</f>
        <v>PEVY</v>
      </c>
      <c r="E25627" s="38" t="s">
        <v>129</v>
      </c>
      <c r="F25627" s="38" t="s">
        <v>130</v>
      </c>
      <c r="G25627" s="49" t="str">
        <f t="shared" si="1"/>
        <v>51140</v>
      </c>
      <c r="H25627" s="49">
        <f t="shared" si="2"/>
        <v>51429</v>
      </c>
    </row>
    <row r="25628">
      <c r="A25628" s="48" t="s">
        <v>13232</v>
      </c>
      <c r="B25628" s="38">
        <v>8420.0</v>
      </c>
      <c r="C25628" s="38" t="s">
        <v>30127</v>
      </c>
      <c r="D25628" s="38" t="str">
        <f>IFERROR(__xludf.DUMMYFUNCTION("REGEXREPLACE(C25628,""-\d+(.*)|--\d+(.*)"","""")"),"SIGNY-LE-PETIT")</f>
        <v>SIGNY-LE-PETIT</v>
      </c>
      <c r="E25628" s="38" t="s">
        <v>327</v>
      </c>
      <c r="F25628" s="38" t="s">
        <v>130</v>
      </c>
      <c r="G25628" s="49" t="str">
        <f t="shared" si="1"/>
        <v>08380</v>
      </c>
      <c r="H25628" s="49" t="str">
        <f t="shared" si="2"/>
        <v>08420</v>
      </c>
    </row>
    <row r="25629">
      <c r="A25629" s="48" t="s">
        <v>7749</v>
      </c>
      <c r="B25629" s="38">
        <v>85157.0</v>
      </c>
      <c r="C25629" s="38" t="s">
        <v>30128</v>
      </c>
      <c r="D25629" s="38" t="str">
        <f>IFERROR(__xludf.DUMMYFUNCTION("REGEXREPLACE(C25629,""-\d+(.*)|--\d+(.*)"","""")"),"MOUTIERS-SUR-LE-LAY")</f>
        <v>MOUTIERS-SUR-LE-LAY</v>
      </c>
      <c r="E25629" s="38" t="s">
        <v>179</v>
      </c>
      <c r="F25629" s="38" t="s">
        <v>180</v>
      </c>
      <c r="G25629" s="49" t="str">
        <f t="shared" si="1"/>
        <v>85320</v>
      </c>
      <c r="H25629" s="49">
        <f t="shared" si="2"/>
        <v>85157</v>
      </c>
    </row>
    <row r="25630">
      <c r="A25630" s="48" t="s">
        <v>2613</v>
      </c>
      <c r="B25630" s="38">
        <v>47094.0</v>
      </c>
      <c r="C25630" s="38" t="s">
        <v>30129</v>
      </c>
      <c r="D25630" s="38" t="str">
        <f>IFERROR(__xludf.DUMMYFUNCTION("REGEXREPLACE(C25630,""-\d+(.*)|--\d+(.*)"","""")"),"FAUGUEROLLES")</f>
        <v>FAUGUEROLLES</v>
      </c>
      <c r="E25630" s="38" t="s">
        <v>251</v>
      </c>
      <c r="F25630" s="38" t="s">
        <v>252</v>
      </c>
      <c r="G25630" s="49" t="str">
        <f t="shared" si="1"/>
        <v>47400</v>
      </c>
      <c r="H25630" s="49">
        <f t="shared" si="2"/>
        <v>47094</v>
      </c>
    </row>
    <row r="25631">
      <c r="A25631" s="48" t="s">
        <v>3821</v>
      </c>
      <c r="B25631" s="38">
        <v>57692.0</v>
      </c>
      <c r="C25631" s="38" t="s">
        <v>30130</v>
      </c>
      <c r="D25631" s="38" t="str">
        <f>IFERROR(__xludf.DUMMYFUNCTION("REGEXREPLACE(C25631,""-\d+(.*)|--\d+(.*)"","""")"),"VANNECOURT")</f>
        <v>VANNECOURT</v>
      </c>
      <c r="E25631" s="38" t="s">
        <v>303</v>
      </c>
      <c r="F25631" s="38" t="s">
        <v>195</v>
      </c>
      <c r="G25631" s="49" t="str">
        <f t="shared" si="1"/>
        <v>57340</v>
      </c>
      <c r="H25631" s="49">
        <f t="shared" si="2"/>
        <v>57692</v>
      </c>
    </row>
    <row r="25632">
      <c r="A25632" s="48" t="s">
        <v>15222</v>
      </c>
      <c r="B25632" s="38">
        <v>56109.0</v>
      </c>
      <c r="C25632" s="38" t="s">
        <v>30131</v>
      </c>
      <c r="D25632" s="38" t="str">
        <f>IFERROR(__xludf.DUMMYFUNCTION("REGEXREPLACE(C25632,""-\d+(.*)|--\d+(.*)"","""")"),"LAUZACH")</f>
        <v>LAUZACH</v>
      </c>
      <c r="E25632" s="38" t="s">
        <v>173</v>
      </c>
      <c r="F25632" s="38" t="s">
        <v>90</v>
      </c>
      <c r="G25632" s="49" t="str">
        <f t="shared" si="1"/>
        <v>56190</v>
      </c>
      <c r="H25632" s="49">
        <f t="shared" si="2"/>
        <v>56109</v>
      </c>
    </row>
    <row r="25633">
      <c r="A25633" s="48" t="s">
        <v>1841</v>
      </c>
      <c r="B25633" s="38">
        <v>27447.0</v>
      </c>
      <c r="C25633" s="38" t="s">
        <v>30132</v>
      </c>
      <c r="D25633" s="38" t="str">
        <f>IFERROR(__xludf.DUMMYFUNCTION("REGEXREPLACE(C25633,""-\d+(.*)|--\d+(.*)"","""")"),"ORVAUX")</f>
        <v>ORVAUX</v>
      </c>
      <c r="E25633" s="38" t="s">
        <v>241</v>
      </c>
      <c r="F25633" s="38" t="s">
        <v>134</v>
      </c>
      <c r="G25633" s="49" t="str">
        <f t="shared" si="1"/>
        <v>27190</v>
      </c>
      <c r="H25633" s="49">
        <f t="shared" si="2"/>
        <v>27447</v>
      </c>
    </row>
    <row r="25634">
      <c r="A25634" s="48" t="s">
        <v>6997</v>
      </c>
      <c r="B25634" s="38">
        <v>62888.0</v>
      </c>
      <c r="C25634" s="38" t="s">
        <v>30133</v>
      </c>
      <c r="D25634" s="38" t="str">
        <f>IFERROR(__xludf.DUMMYFUNCTION("REGEXREPLACE(C25634,""-\d+(.*)|--\d+(.*)"","""")"),"WIERRE-AU-BOIS")</f>
        <v>WIERRE-AU-BOIS</v>
      </c>
      <c r="E25634" s="38" t="s">
        <v>109</v>
      </c>
      <c r="F25634" s="38" t="s">
        <v>86</v>
      </c>
      <c r="G25634" s="49" t="str">
        <f t="shared" si="1"/>
        <v>62830</v>
      </c>
      <c r="H25634" s="49">
        <f t="shared" si="2"/>
        <v>62888</v>
      </c>
    </row>
    <row r="25635">
      <c r="A25635" s="48" t="s">
        <v>898</v>
      </c>
      <c r="B25635" s="38">
        <v>54590.0</v>
      </c>
      <c r="C25635" s="38" t="s">
        <v>30134</v>
      </c>
      <c r="D25635" s="38" t="str">
        <f>IFERROR(__xludf.DUMMYFUNCTION("REGEXREPLACE(C25635,""-\d+(.*)|--\d+(.*)"","""")"),"VIVIERS-SUR-CHIERS")</f>
        <v>VIVIERS-SUR-CHIERS</v>
      </c>
      <c r="E25635" s="38" t="s">
        <v>548</v>
      </c>
      <c r="F25635" s="38" t="s">
        <v>195</v>
      </c>
      <c r="G25635" s="49" t="str">
        <f t="shared" si="1"/>
        <v>54260</v>
      </c>
      <c r="H25635" s="49">
        <f t="shared" si="2"/>
        <v>54590</v>
      </c>
    </row>
    <row r="25636">
      <c r="A25636" s="48" t="s">
        <v>4235</v>
      </c>
      <c r="B25636" s="38">
        <v>50288.0</v>
      </c>
      <c r="C25636" s="38" t="s">
        <v>30135</v>
      </c>
      <c r="D25636" s="38" t="str">
        <f>IFERROR(__xludf.DUMMYFUNCTION("REGEXREPLACE(C25636,""-\d+(.*)|--\d+(.*)"","""")"),"MARCEY-LES-GREVES")</f>
        <v>MARCEY-LES-GREVES</v>
      </c>
      <c r="E25636" s="38" t="s">
        <v>157</v>
      </c>
      <c r="F25636" s="38" t="s">
        <v>138</v>
      </c>
      <c r="G25636" s="49" t="str">
        <f t="shared" si="1"/>
        <v>50300</v>
      </c>
      <c r="H25636" s="49">
        <f t="shared" si="2"/>
        <v>50288</v>
      </c>
    </row>
    <row r="25637">
      <c r="A25637" s="48" t="s">
        <v>1018</v>
      </c>
      <c r="B25637" s="38">
        <v>60327.0</v>
      </c>
      <c r="C25637" s="38" t="s">
        <v>30136</v>
      </c>
      <c r="D25637" s="38" t="str">
        <f>IFERROR(__xludf.DUMMYFUNCTION("REGEXREPLACE(C25637,""-\d+(.*)|--\d+(.*)"","""")"),"JOUY-SOUS-THELLE")</f>
        <v>JOUY-SOUS-THELLE</v>
      </c>
      <c r="E25637" s="38" t="s">
        <v>112</v>
      </c>
      <c r="F25637" s="38" t="s">
        <v>113</v>
      </c>
      <c r="G25637" s="49" t="str">
        <f t="shared" si="1"/>
        <v>60240</v>
      </c>
      <c r="H25637" s="49">
        <f t="shared" si="2"/>
        <v>60327</v>
      </c>
    </row>
    <row r="25638">
      <c r="A25638" s="48" t="s">
        <v>6674</v>
      </c>
      <c r="B25638" s="38">
        <v>27508.0</v>
      </c>
      <c r="C25638" s="38" t="s">
        <v>30137</v>
      </c>
      <c r="D25638" s="38" t="str">
        <f>IFERROR(__xludf.DUMMYFUNCTION("REGEXREPLACE(C25638,""-\d+(.*)|--\d+(.*)"","""")"),"SAINT-ANTONIN-DE-SOMMAIRE")</f>
        <v>SAINT-ANTONIN-DE-SOMMAIRE</v>
      </c>
      <c r="E25638" s="38" t="s">
        <v>241</v>
      </c>
      <c r="F25638" s="38" t="s">
        <v>134</v>
      </c>
      <c r="G25638" s="49" t="str">
        <f t="shared" si="1"/>
        <v>27250</v>
      </c>
      <c r="H25638" s="49">
        <f t="shared" si="2"/>
        <v>27508</v>
      </c>
    </row>
    <row r="25639">
      <c r="A25639" s="48" t="s">
        <v>30138</v>
      </c>
      <c r="B25639" s="38">
        <v>49015.0</v>
      </c>
      <c r="C25639" s="38" t="s">
        <v>30139</v>
      </c>
      <c r="D25639" s="38" t="str">
        <f>IFERROR(__xludf.DUMMYFUNCTION("REGEXREPLACE(C25639,""-\d+(.*)|--\d+(.*)"","""")"),"AVRILLE")</f>
        <v>AVRILLE</v>
      </c>
      <c r="E25639" s="38" t="s">
        <v>653</v>
      </c>
      <c r="F25639" s="38" t="s">
        <v>180</v>
      </c>
      <c r="G25639" s="49" t="str">
        <f t="shared" si="1"/>
        <v>49240</v>
      </c>
      <c r="H25639" s="49">
        <f t="shared" si="2"/>
        <v>49015</v>
      </c>
    </row>
    <row r="25640">
      <c r="A25640" s="48" t="s">
        <v>30140</v>
      </c>
      <c r="B25640" s="38">
        <v>52244.0</v>
      </c>
      <c r="C25640" s="38" t="s">
        <v>30141</v>
      </c>
      <c r="D25640" s="38" t="str">
        <f>IFERROR(__xludf.DUMMYFUNCTION("REGEXREPLACE(C25640,""-\d+(.*)|--\d+(.*)"","""")"),"HUMBECOURT")</f>
        <v>HUMBECOURT</v>
      </c>
      <c r="E25640" s="38" t="s">
        <v>234</v>
      </c>
      <c r="F25640" s="38" t="s">
        <v>130</v>
      </c>
      <c r="G25640" s="49" t="str">
        <f t="shared" si="1"/>
        <v>52290</v>
      </c>
      <c r="H25640" s="49">
        <f t="shared" si="2"/>
        <v>52244</v>
      </c>
    </row>
    <row r="25641">
      <c r="A25641" s="48" t="s">
        <v>345</v>
      </c>
      <c r="B25641" s="38">
        <v>35122.0</v>
      </c>
      <c r="C25641" s="38" t="s">
        <v>30142</v>
      </c>
      <c r="D25641" s="38" t="str">
        <f>IFERROR(__xludf.DUMMYFUNCTION("REGEXREPLACE(C25641,""-\d+(.*)|--\d+(.*)"","""")"),"LA GOUESNIERE")</f>
        <v>LA GOUESNIERE</v>
      </c>
      <c r="E25641" s="38" t="s">
        <v>347</v>
      </c>
      <c r="F25641" s="38" t="s">
        <v>90</v>
      </c>
      <c r="G25641" s="49" t="str">
        <f t="shared" si="1"/>
        <v>35350</v>
      </c>
      <c r="H25641" s="49">
        <f t="shared" si="2"/>
        <v>35122</v>
      </c>
    </row>
    <row r="25642">
      <c r="A25642" s="48" t="s">
        <v>11086</v>
      </c>
      <c r="B25642" s="38">
        <v>7225.0</v>
      </c>
      <c r="C25642" s="38" t="s">
        <v>5402</v>
      </c>
      <c r="D25642" s="38" t="str">
        <f>IFERROR(__xludf.DUMMYFUNCTION("REGEXREPLACE(C25642,""-\d+(.*)|--\d+(.*)"","""")"),"SAINT-CLAIR")</f>
        <v>SAINT-CLAIR</v>
      </c>
      <c r="E25642" s="38" t="s">
        <v>144</v>
      </c>
      <c r="F25642" s="38" t="s">
        <v>102</v>
      </c>
      <c r="G25642" s="49" t="str">
        <f t="shared" si="1"/>
        <v>07430</v>
      </c>
      <c r="H25642" s="49" t="str">
        <f t="shared" si="2"/>
        <v>07225</v>
      </c>
    </row>
    <row r="25643">
      <c r="A25643" s="48" t="s">
        <v>6298</v>
      </c>
      <c r="B25643" s="38">
        <v>26003.0</v>
      </c>
      <c r="C25643" s="38" t="s">
        <v>30143</v>
      </c>
      <c r="D25643" s="38" t="str">
        <f>IFERROR(__xludf.DUMMYFUNCTION("REGEXREPLACE(C25643,""-\d+(.*)|--\d+(.*)"","""")"),"ALEYRAC")</f>
        <v>ALEYRAC</v>
      </c>
      <c r="E25643" s="38" t="s">
        <v>126</v>
      </c>
      <c r="F25643" s="38" t="s">
        <v>102</v>
      </c>
      <c r="G25643" s="49" t="str">
        <f t="shared" si="1"/>
        <v>26770</v>
      </c>
      <c r="H25643" s="49">
        <f t="shared" si="2"/>
        <v>26003</v>
      </c>
    </row>
    <row r="25644">
      <c r="A25644" s="48" t="s">
        <v>591</v>
      </c>
      <c r="B25644" s="38">
        <v>85256.0</v>
      </c>
      <c r="C25644" s="38" t="s">
        <v>30144</v>
      </c>
      <c r="D25644" s="38" t="str">
        <f>IFERROR(__xludf.DUMMYFUNCTION("REGEXREPLACE(C25644,""-\d+(.*)|--\d+(.*)"","""")"),"SAINT-MICHEL-LE-CLOUCQ")</f>
        <v>SAINT-MICHEL-LE-CLOUCQ</v>
      </c>
      <c r="E25644" s="38" t="s">
        <v>179</v>
      </c>
      <c r="F25644" s="38" t="s">
        <v>180</v>
      </c>
      <c r="G25644" s="49" t="str">
        <f t="shared" si="1"/>
        <v>85200</v>
      </c>
      <c r="H25644" s="49">
        <f t="shared" si="2"/>
        <v>85256</v>
      </c>
    </row>
    <row r="25645">
      <c r="A25645" s="48" t="s">
        <v>6107</v>
      </c>
      <c r="B25645" s="38">
        <v>61437.0</v>
      </c>
      <c r="C25645" s="38" t="s">
        <v>30145</v>
      </c>
      <c r="D25645" s="38" t="str">
        <f>IFERROR(__xludf.DUMMYFUNCTION("REGEXREPLACE(C25645,""-\d+(.*)|--\d+(.*)"","""")"),"SAINT-OUEN-DE-LA-COUR")</f>
        <v>SAINT-OUEN-DE-LA-COUR</v>
      </c>
      <c r="E25645" s="38" t="s">
        <v>141</v>
      </c>
      <c r="F25645" s="38" t="s">
        <v>138</v>
      </c>
      <c r="G25645" s="49" t="str">
        <f t="shared" si="1"/>
        <v>61130</v>
      </c>
      <c r="H25645" s="49">
        <f t="shared" si="2"/>
        <v>61437</v>
      </c>
    </row>
    <row r="25646">
      <c r="A25646" s="48" t="s">
        <v>5477</v>
      </c>
      <c r="B25646" s="38">
        <v>74025.0</v>
      </c>
      <c r="C25646" s="38" t="s">
        <v>30146</v>
      </c>
      <c r="D25646" s="38" t="str">
        <f>IFERROR(__xludf.DUMMYFUNCTION("REGEXREPLACE(C25646,""-\d+(.*)|--\d+(.*)"","""")"),"BALLAISON")</f>
        <v>BALLAISON</v>
      </c>
      <c r="E25646" s="38" t="s">
        <v>319</v>
      </c>
      <c r="F25646" s="38" t="s">
        <v>102</v>
      </c>
      <c r="G25646" s="49" t="str">
        <f t="shared" si="1"/>
        <v>74140</v>
      </c>
      <c r="H25646" s="49">
        <f t="shared" si="2"/>
        <v>74025</v>
      </c>
    </row>
    <row r="25647">
      <c r="A25647" s="48" t="s">
        <v>792</v>
      </c>
      <c r="B25647" s="38">
        <v>2271.0</v>
      </c>
      <c r="C25647" s="38" t="s">
        <v>30147</v>
      </c>
      <c r="D25647" s="38" t="str">
        <f>IFERROR(__xludf.DUMMYFUNCTION("REGEXREPLACE(C25647,""-\d+(.*)|--\d+(.*)"","""")"),"DRAVEGNY")</f>
        <v>DRAVEGNY</v>
      </c>
      <c r="E25647" s="38" t="s">
        <v>191</v>
      </c>
      <c r="F25647" s="38" t="s">
        <v>113</v>
      </c>
      <c r="G25647" s="49" t="str">
        <f t="shared" si="1"/>
        <v>02130</v>
      </c>
      <c r="H25647" s="49" t="str">
        <f t="shared" si="2"/>
        <v>02271</v>
      </c>
    </row>
    <row r="25648">
      <c r="A25648" s="48" t="s">
        <v>15207</v>
      </c>
      <c r="B25648" s="38">
        <v>74222.0</v>
      </c>
      <c r="C25648" s="38" t="s">
        <v>30148</v>
      </c>
      <c r="D25648" s="38" t="str">
        <f>IFERROR(__xludf.DUMMYFUNCTION("REGEXREPLACE(C25648,""-\d+(.*)|--\d+(.*)"","""")"),"REYVROZ")</f>
        <v>REYVROZ</v>
      </c>
      <c r="E25648" s="38" t="s">
        <v>319</v>
      </c>
      <c r="F25648" s="38" t="s">
        <v>102</v>
      </c>
      <c r="G25648" s="49" t="str">
        <f t="shared" si="1"/>
        <v>74200</v>
      </c>
      <c r="H25648" s="49">
        <f t="shared" si="2"/>
        <v>74222</v>
      </c>
    </row>
    <row r="25649">
      <c r="A25649" s="48" t="s">
        <v>7954</v>
      </c>
      <c r="B25649" s="38">
        <v>40125.0</v>
      </c>
      <c r="C25649" s="38" t="s">
        <v>30149</v>
      </c>
      <c r="D25649" s="38" t="str">
        <f>IFERROR(__xludf.DUMMYFUNCTION("REGEXREPLACE(C25649,""-\d+(.*)|--\d+(.*)"","""")"),"HEUGAS")</f>
        <v>HEUGAS</v>
      </c>
      <c r="E25649" s="38" t="s">
        <v>281</v>
      </c>
      <c r="F25649" s="38" t="s">
        <v>252</v>
      </c>
      <c r="G25649" s="49" t="str">
        <f t="shared" si="1"/>
        <v>40180</v>
      </c>
      <c r="H25649" s="49">
        <f t="shared" si="2"/>
        <v>40125</v>
      </c>
    </row>
    <row r="25650">
      <c r="A25650" s="48" t="s">
        <v>8052</v>
      </c>
      <c r="B25650" s="38">
        <v>57288.0</v>
      </c>
      <c r="C25650" s="38" t="s">
        <v>30150</v>
      </c>
      <c r="D25650" s="38" t="str">
        <f>IFERROR(__xludf.DUMMYFUNCTION("REGEXREPLACE(C25650,""-\d+(.*)|--\d+(.*)"","""")"),"HAM-SOUS-VARSBERG")</f>
        <v>HAM-SOUS-VARSBERG</v>
      </c>
      <c r="E25650" s="38" t="s">
        <v>303</v>
      </c>
      <c r="F25650" s="38" t="s">
        <v>195</v>
      </c>
      <c r="G25650" s="49" t="str">
        <f t="shared" si="1"/>
        <v>57880</v>
      </c>
      <c r="H25650" s="49">
        <f t="shared" si="2"/>
        <v>57288</v>
      </c>
    </row>
    <row r="25651">
      <c r="A25651" s="48" t="s">
        <v>7416</v>
      </c>
      <c r="B25651" s="38">
        <v>49171.0</v>
      </c>
      <c r="C25651" s="38" t="s">
        <v>30151</v>
      </c>
      <c r="D25651" s="38" t="str">
        <f>IFERROR(__xludf.DUMMYFUNCTION("REGEXREPLACE(C25651,""-\d+(.*)|--\d+(.*)"","""")"),"LA LANDE-CHASLES")</f>
        <v>LA LANDE-CHASLES</v>
      </c>
      <c r="E25651" s="38" t="s">
        <v>653</v>
      </c>
      <c r="F25651" s="38" t="s">
        <v>180</v>
      </c>
      <c r="G25651" s="49" t="str">
        <f t="shared" si="1"/>
        <v>49150</v>
      </c>
      <c r="H25651" s="49">
        <f t="shared" si="2"/>
        <v>49171</v>
      </c>
    </row>
    <row r="25652">
      <c r="A25652" s="48" t="s">
        <v>1315</v>
      </c>
      <c r="B25652" s="38">
        <v>19238.0</v>
      </c>
      <c r="C25652" s="38" t="s">
        <v>2361</v>
      </c>
      <c r="D25652" s="38" t="str">
        <f>IFERROR(__xludf.DUMMYFUNCTION("REGEXREPLACE(C25652,""-\d+(.*)|--\d+(.*)"","""")"),"SAINT-REMY")</f>
        <v>SAINT-REMY</v>
      </c>
      <c r="E25652" s="38" t="s">
        <v>271</v>
      </c>
      <c r="F25652" s="38" t="s">
        <v>98</v>
      </c>
      <c r="G25652" s="49" t="str">
        <f t="shared" si="1"/>
        <v>19290</v>
      </c>
      <c r="H25652" s="49">
        <f t="shared" si="2"/>
        <v>19238</v>
      </c>
    </row>
    <row r="25653">
      <c r="A25653" s="48" t="s">
        <v>7926</v>
      </c>
      <c r="B25653" s="38">
        <v>71217.0</v>
      </c>
      <c r="C25653" s="38" t="s">
        <v>30152</v>
      </c>
      <c r="D25653" s="38" t="str">
        <f>IFERROR(__xludf.DUMMYFUNCTION("REGEXREPLACE(C25653,""-\d+(.*)|--\d+(.*)"","""")"),"GERMOLLES-SUR-GROSNE")</f>
        <v>GERMOLLES-SUR-GROSNE</v>
      </c>
      <c r="E25653" s="38" t="s">
        <v>344</v>
      </c>
      <c r="F25653" s="38" t="s">
        <v>106</v>
      </c>
      <c r="G25653" s="49" t="str">
        <f t="shared" si="1"/>
        <v>71520</v>
      </c>
      <c r="H25653" s="49">
        <f t="shared" si="2"/>
        <v>71217</v>
      </c>
    </row>
    <row r="25654">
      <c r="A25654" s="48" t="s">
        <v>5783</v>
      </c>
      <c r="B25654" s="38">
        <v>37123.0</v>
      </c>
      <c r="C25654" s="38" t="s">
        <v>30153</v>
      </c>
      <c r="D25654" s="38" t="str">
        <f>IFERROR(__xludf.DUMMYFUNCTION("REGEXREPLACE(C25654,""-\d+(.*)|--\d+(.*)"","""")"),"LANGEAIS")</f>
        <v>LANGEAIS</v>
      </c>
      <c r="E25654" s="38" t="s">
        <v>205</v>
      </c>
      <c r="F25654" s="38" t="s">
        <v>123</v>
      </c>
      <c r="G25654" s="49" t="str">
        <f t="shared" si="1"/>
        <v>37130</v>
      </c>
      <c r="H25654" s="49">
        <f t="shared" si="2"/>
        <v>37123</v>
      </c>
    </row>
    <row r="25655">
      <c r="A25655" s="48" t="s">
        <v>9376</v>
      </c>
      <c r="B25655" s="38">
        <v>14647.0</v>
      </c>
      <c r="C25655" s="38" t="s">
        <v>30154</v>
      </c>
      <c r="D25655" s="38" t="str">
        <f>IFERROR(__xludf.DUMMYFUNCTION("REGEXREPLACE(C25655,""-\d+(.*)|--\d+(.*)"","""")"),"SAINT-PIERRE-DE-MAILLOC")</f>
        <v>SAINT-PIERRE-DE-MAILLOC</v>
      </c>
      <c r="E25655" s="38" t="s">
        <v>137</v>
      </c>
      <c r="F25655" s="38" t="s">
        <v>138</v>
      </c>
      <c r="G25655" s="49" t="str">
        <f t="shared" si="1"/>
        <v>14290</v>
      </c>
      <c r="H25655" s="49">
        <f t="shared" si="2"/>
        <v>14647</v>
      </c>
    </row>
    <row r="25656">
      <c r="A25656" s="48" t="s">
        <v>18675</v>
      </c>
      <c r="B25656" s="38">
        <v>19281.0</v>
      </c>
      <c r="C25656" s="38" t="s">
        <v>30155</v>
      </c>
      <c r="D25656" s="38" t="str">
        <f>IFERROR(__xludf.DUMMYFUNCTION("REGEXREPLACE(C25656,""-\d+(.*)|--\d+(.*)"","""")"),"VEIX")</f>
        <v>VEIX</v>
      </c>
      <c r="E25656" s="38" t="s">
        <v>271</v>
      </c>
      <c r="F25656" s="38" t="s">
        <v>98</v>
      </c>
      <c r="G25656" s="49" t="str">
        <f t="shared" si="1"/>
        <v>19260</v>
      </c>
      <c r="H25656" s="49">
        <f t="shared" si="2"/>
        <v>19281</v>
      </c>
    </row>
    <row r="25657">
      <c r="A25657" s="48" t="s">
        <v>1074</v>
      </c>
      <c r="B25657" s="38">
        <v>27172.0</v>
      </c>
      <c r="C25657" s="38" t="s">
        <v>30156</v>
      </c>
      <c r="D25657" s="38" t="str">
        <f>IFERROR(__xludf.DUMMYFUNCTION("REGEXREPLACE(C25657,""-\d+(.*)|--\d+(.*)"","""")"),"CORNEUIL")</f>
        <v>CORNEUIL</v>
      </c>
      <c r="E25657" s="38" t="s">
        <v>241</v>
      </c>
      <c r="F25657" s="38" t="s">
        <v>134</v>
      </c>
      <c r="G25657" s="49" t="str">
        <f t="shared" si="1"/>
        <v>27240</v>
      </c>
      <c r="H25657" s="49">
        <f t="shared" si="2"/>
        <v>27172</v>
      </c>
    </row>
    <row r="25658">
      <c r="A25658" s="48" t="s">
        <v>1949</v>
      </c>
      <c r="B25658" s="38">
        <v>32298.0</v>
      </c>
      <c r="C25658" s="38" t="s">
        <v>30157</v>
      </c>
      <c r="D25658" s="38" t="str">
        <f>IFERROR(__xludf.DUMMYFUNCTION("REGEXREPLACE(C25658,""-\d+(.*)|--\d+(.*)"","""")"),"NOUGAROULET")</f>
        <v>NOUGAROULET</v>
      </c>
      <c r="E25658" s="38" t="s">
        <v>440</v>
      </c>
      <c r="F25658" s="38" t="s">
        <v>94</v>
      </c>
      <c r="G25658" s="49" t="str">
        <f t="shared" si="1"/>
        <v>32270</v>
      </c>
      <c r="H25658" s="49">
        <f t="shared" si="2"/>
        <v>32298</v>
      </c>
    </row>
    <row r="25659">
      <c r="A25659" s="48" t="s">
        <v>4473</v>
      </c>
      <c r="B25659" s="38">
        <v>5092.0</v>
      </c>
      <c r="C25659" s="38" t="s">
        <v>30158</v>
      </c>
      <c r="D25659" s="38" t="str">
        <f>IFERROR(__xludf.DUMMYFUNCTION("REGEXREPLACE(C25659,""-\d+(.*)|--\d+(.*)"","""")"),"NEFFES")</f>
        <v>NEFFES</v>
      </c>
      <c r="E25659" s="38" t="s">
        <v>706</v>
      </c>
      <c r="F25659" s="38" t="s">
        <v>228</v>
      </c>
      <c r="G25659" s="49" t="str">
        <f t="shared" si="1"/>
        <v>05000</v>
      </c>
      <c r="H25659" s="49" t="str">
        <f t="shared" si="2"/>
        <v>05092</v>
      </c>
    </row>
    <row r="25660">
      <c r="A25660" s="48" t="s">
        <v>307</v>
      </c>
      <c r="B25660" s="38">
        <v>88227.0</v>
      </c>
      <c r="C25660" s="38" t="s">
        <v>30159</v>
      </c>
      <c r="D25660" s="38" t="str">
        <f>IFERROR(__xludf.DUMMYFUNCTION("REGEXREPLACE(C25660,""-\d+(.*)|--\d+(.*)"","""")"),"HAGNEVILLE-ET-RONCOURT")</f>
        <v>HAGNEVILLE-ET-RONCOURT</v>
      </c>
      <c r="E25660" s="38" t="s">
        <v>194</v>
      </c>
      <c r="F25660" s="38" t="s">
        <v>195</v>
      </c>
      <c r="G25660" s="49" t="str">
        <f t="shared" si="1"/>
        <v>88300</v>
      </c>
      <c r="H25660" s="49">
        <f t="shared" si="2"/>
        <v>88227</v>
      </c>
    </row>
    <row r="25661">
      <c r="A25661" s="48" t="s">
        <v>30160</v>
      </c>
      <c r="B25661" s="38">
        <v>83062.0</v>
      </c>
      <c r="C25661" s="38" t="s">
        <v>8050</v>
      </c>
      <c r="D25661" s="38" t="str">
        <f>IFERROR(__xludf.DUMMYFUNCTION("REGEXREPLACE(C25661,""-\d+(.*)|--\d+(.*)"","""")"),"LA GARDE")</f>
        <v>LA GARDE</v>
      </c>
      <c r="E25661" s="38" t="s">
        <v>813</v>
      </c>
      <c r="F25661" s="38" t="s">
        <v>228</v>
      </c>
      <c r="G25661" s="49" t="str">
        <f t="shared" si="1"/>
        <v>83130</v>
      </c>
      <c r="H25661" s="49">
        <f t="shared" si="2"/>
        <v>83062</v>
      </c>
    </row>
    <row r="25662">
      <c r="A25662" s="48" t="s">
        <v>6875</v>
      </c>
      <c r="B25662" s="38">
        <v>2642.0</v>
      </c>
      <c r="C25662" s="38" t="s">
        <v>30161</v>
      </c>
      <c r="D25662" s="38" t="str">
        <f>IFERROR(__xludf.DUMMYFUNCTION("REGEXREPLACE(C25662,""-\d+(.*)|--\d+(.*)"","""")"),"RESIGNY")</f>
        <v>RESIGNY</v>
      </c>
      <c r="E25662" s="38" t="s">
        <v>191</v>
      </c>
      <c r="F25662" s="38" t="s">
        <v>113</v>
      </c>
      <c r="G25662" s="49" t="str">
        <f t="shared" si="1"/>
        <v>02360</v>
      </c>
      <c r="H25662" s="49" t="str">
        <f t="shared" si="2"/>
        <v>02642</v>
      </c>
    </row>
    <row r="25663">
      <c r="A25663" s="48" t="s">
        <v>4071</v>
      </c>
      <c r="B25663" s="38">
        <v>66069.0</v>
      </c>
      <c r="C25663" s="38" t="s">
        <v>30162</v>
      </c>
      <c r="D25663" s="38" t="str">
        <f>IFERROR(__xludf.DUMMYFUNCTION("REGEXREPLACE(C25663,""-\d+(.*)|--\d+(.*)"","""")"),"ESPIRA-DE-L'AGLY")</f>
        <v>ESPIRA-DE-L'AGLY</v>
      </c>
      <c r="E25663" s="38" t="s">
        <v>248</v>
      </c>
      <c r="F25663" s="38" t="s">
        <v>119</v>
      </c>
      <c r="G25663" s="49" t="str">
        <f t="shared" si="1"/>
        <v>66600</v>
      </c>
      <c r="H25663" s="49">
        <f t="shared" si="2"/>
        <v>66069</v>
      </c>
    </row>
    <row r="25664">
      <c r="A25664" s="48" t="s">
        <v>30163</v>
      </c>
      <c r="B25664" s="38">
        <v>53048.0</v>
      </c>
      <c r="C25664" s="38" t="s">
        <v>30164</v>
      </c>
      <c r="D25664" s="38" t="str">
        <f>IFERROR(__xludf.DUMMYFUNCTION("REGEXREPLACE(C25664,""-\d+(.*)|--\d+(.*)"","""")"),"CHAILLAND")</f>
        <v>CHAILLAND</v>
      </c>
      <c r="E25664" s="38" t="s">
        <v>518</v>
      </c>
      <c r="F25664" s="38" t="s">
        <v>180</v>
      </c>
      <c r="G25664" s="49" t="str">
        <f t="shared" si="1"/>
        <v>53420</v>
      </c>
      <c r="H25664" s="49">
        <f t="shared" si="2"/>
        <v>53048</v>
      </c>
    </row>
    <row r="25665">
      <c r="A25665" s="48" t="s">
        <v>3702</v>
      </c>
      <c r="B25665" s="38">
        <v>77222.0</v>
      </c>
      <c r="C25665" s="38" t="s">
        <v>30165</v>
      </c>
      <c r="D25665" s="38" t="str">
        <f>IFERROR(__xludf.DUMMYFUNCTION("REGEXREPLACE(C25665,""-\d+(.*)|--\d+(.*)"","""")"),"GUIGNES")</f>
        <v>GUIGNES</v>
      </c>
      <c r="E25665" s="38" t="s">
        <v>244</v>
      </c>
      <c r="F25665" s="38" t="s">
        <v>245</v>
      </c>
      <c r="G25665" s="49" t="str">
        <f t="shared" si="1"/>
        <v>77390</v>
      </c>
      <c r="H25665" s="49">
        <f t="shared" si="2"/>
        <v>77222</v>
      </c>
    </row>
    <row r="25666">
      <c r="A25666" s="48" t="s">
        <v>683</v>
      </c>
      <c r="B25666" s="38">
        <v>64151.0</v>
      </c>
      <c r="C25666" s="38" t="s">
        <v>30166</v>
      </c>
      <c r="D25666" s="38" t="str">
        <f>IFERROR(__xludf.DUMMYFUNCTION("REGEXREPLACE(C25666,""-\d+(.*)|--\d+(.*)"","""")"),"BURGARONNE")</f>
        <v>BURGARONNE</v>
      </c>
      <c r="E25666" s="38" t="s">
        <v>268</v>
      </c>
      <c r="F25666" s="38" t="s">
        <v>252</v>
      </c>
      <c r="G25666" s="49" t="str">
        <f t="shared" si="1"/>
        <v>64390</v>
      </c>
      <c r="H25666" s="49">
        <f t="shared" si="2"/>
        <v>64151</v>
      </c>
    </row>
    <row r="25667">
      <c r="A25667" s="48" t="s">
        <v>30167</v>
      </c>
      <c r="B25667" s="38">
        <v>59592.0</v>
      </c>
      <c r="C25667" s="38" t="s">
        <v>30168</v>
      </c>
      <c r="D25667" s="38" t="str">
        <f>IFERROR(__xludf.DUMMYFUNCTION("REGEXREPLACE(C25667,""-\d+(.*)|--\d+(.*)"","""")"),"THUMERIES")</f>
        <v>THUMERIES</v>
      </c>
      <c r="E25667" s="38" t="s">
        <v>85</v>
      </c>
      <c r="F25667" s="38" t="s">
        <v>86</v>
      </c>
      <c r="G25667" s="49" t="str">
        <f t="shared" si="1"/>
        <v>59239</v>
      </c>
      <c r="H25667" s="49">
        <f t="shared" si="2"/>
        <v>59592</v>
      </c>
    </row>
    <row r="25668">
      <c r="A25668" s="48" t="s">
        <v>1616</v>
      </c>
      <c r="B25668" s="38">
        <v>10011.0</v>
      </c>
      <c r="C25668" s="38" t="s">
        <v>30169</v>
      </c>
      <c r="D25668" s="38" t="str">
        <f>IFERROR(__xludf.DUMMYFUNCTION("REGEXREPLACE(C25668,""-\d+(.*)|--\d+(.*)"","""")"),"ARRENTIERES")</f>
        <v>ARRENTIERES</v>
      </c>
      <c r="E25668" s="38" t="s">
        <v>147</v>
      </c>
      <c r="F25668" s="38" t="s">
        <v>130</v>
      </c>
      <c r="G25668" s="49" t="str">
        <f t="shared" si="1"/>
        <v>10200</v>
      </c>
      <c r="H25668" s="49">
        <f t="shared" si="2"/>
        <v>10011</v>
      </c>
    </row>
    <row r="25669">
      <c r="A25669" s="48" t="s">
        <v>3013</v>
      </c>
      <c r="B25669" s="38">
        <v>48197.0</v>
      </c>
      <c r="C25669" s="38" t="s">
        <v>2244</v>
      </c>
      <c r="D25669" s="38" t="str">
        <f>IFERROR(__xludf.DUMMYFUNCTION("REGEXREPLACE(C25669,""-\d+(.*)|--\d+(.*)"","""")"),"LA VILLEDIEU")</f>
        <v>LA VILLEDIEU</v>
      </c>
      <c r="E25669" s="38" t="s">
        <v>154</v>
      </c>
      <c r="F25669" s="38" t="s">
        <v>119</v>
      </c>
      <c r="G25669" s="49" t="str">
        <f t="shared" si="1"/>
        <v>48700</v>
      </c>
      <c r="H25669" s="49">
        <f t="shared" si="2"/>
        <v>48197</v>
      </c>
    </row>
    <row r="25670">
      <c r="A25670" s="48" t="s">
        <v>2974</v>
      </c>
      <c r="B25670" s="38">
        <v>40257.0</v>
      </c>
      <c r="C25670" s="38" t="s">
        <v>30170</v>
      </c>
      <c r="D25670" s="38" t="str">
        <f>IFERROR(__xludf.DUMMYFUNCTION("REGEXREPLACE(C25670,""-\d+(.*)|--\d+(.*)"","""")"),"SAINTE-EULALIE-EN-BORN")</f>
        <v>SAINTE-EULALIE-EN-BORN</v>
      </c>
      <c r="E25670" s="38" t="s">
        <v>281</v>
      </c>
      <c r="F25670" s="38" t="s">
        <v>252</v>
      </c>
      <c r="G25670" s="49" t="str">
        <f t="shared" si="1"/>
        <v>40200</v>
      </c>
      <c r="H25670" s="49">
        <f t="shared" si="2"/>
        <v>40257</v>
      </c>
    </row>
    <row r="25671">
      <c r="A25671" s="48" t="s">
        <v>12175</v>
      </c>
      <c r="B25671" s="38">
        <v>80135.0</v>
      </c>
      <c r="C25671" s="38" t="s">
        <v>30171</v>
      </c>
      <c r="D25671" s="38" t="str">
        <f>IFERROR(__xludf.DUMMYFUNCTION("REGEXREPLACE(C25671,""-\d+(.*)|--\d+(.*)"","""")"),"BRAY-LES-MAREUIL")</f>
        <v>BRAY-LES-MAREUIL</v>
      </c>
      <c r="E25671" s="38" t="s">
        <v>224</v>
      </c>
      <c r="F25671" s="38" t="s">
        <v>113</v>
      </c>
      <c r="G25671" s="49" t="str">
        <f t="shared" si="1"/>
        <v>80580</v>
      </c>
      <c r="H25671" s="49">
        <f t="shared" si="2"/>
        <v>80135</v>
      </c>
    </row>
    <row r="25672">
      <c r="A25672" s="48" t="s">
        <v>918</v>
      </c>
      <c r="B25672" s="38">
        <v>59582.0</v>
      </c>
      <c r="C25672" s="38" t="s">
        <v>30172</v>
      </c>
      <c r="D25672" s="38" t="str">
        <f>IFERROR(__xludf.DUMMYFUNCTION("REGEXREPLACE(C25672,""-\d+(.*)|--\d+(.*)"","""")"),"STRAZEELE")</f>
        <v>STRAZEELE</v>
      </c>
      <c r="E25672" s="38" t="s">
        <v>85</v>
      </c>
      <c r="F25672" s="38" t="s">
        <v>86</v>
      </c>
      <c r="G25672" s="49" t="str">
        <f t="shared" si="1"/>
        <v>59270</v>
      </c>
      <c r="H25672" s="49">
        <f t="shared" si="2"/>
        <v>59582</v>
      </c>
    </row>
    <row r="25673">
      <c r="A25673" s="48" t="s">
        <v>3370</v>
      </c>
      <c r="B25673" s="38">
        <v>72302.0</v>
      </c>
      <c r="C25673" s="38" t="s">
        <v>30173</v>
      </c>
      <c r="D25673" s="38" t="str">
        <f>IFERROR(__xludf.DUMMYFUNCTION("REGEXREPLACE(C25673,""-\d+(.*)|--\d+(.*)"","""")"),"SAINT-MARTIN-DES-MONTS")</f>
        <v>SAINT-MARTIN-DES-MONTS</v>
      </c>
      <c r="E25673" s="38" t="s">
        <v>521</v>
      </c>
      <c r="F25673" s="38" t="s">
        <v>180</v>
      </c>
      <c r="G25673" s="49" t="str">
        <f t="shared" si="1"/>
        <v>72400</v>
      </c>
      <c r="H25673" s="49">
        <f t="shared" si="2"/>
        <v>72302</v>
      </c>
    </row>
    <row r="25674">
      <c r="A25674" s="48" t="s">
        <v>1892</v>
      </c>
      <c r="B25674" s="38">
        <v>67132.0</v>
      </c>
      <c r="C25674" s="38" t="s">
        <v>30174</v>
      </c>
      <c r="D25674" s="38" t="str">
        <f>IFERROR(__xludf.DUMMYFUNCTION("REGEXREPLACE(C25674,""-\d+(.*)|--\d+(.*)"","""")"),"ESCHBACH")</f>
        <v>ESCHBACH</v>
      </c>
      <c r="E25674" s="38" t="s">
        <v>210</v>
      </c>
      <c r="F25674" s="38" t="s">
        <v>151</v>
      </c>
      <c r="G25674" s="49" t="str">
        <f t="shared" si="1"/>
        <v>67360</v>
      </c>
      <c r="H25674" s="49">
        <f t="shared" si="2"/>
        <v>67132</v>
      </c>
    </row>
    <row r="25675">
      <c r="A25675" s="48" t="s">
        <v>11068</v>
      </c>
      <c r="B25675" s="38">
        <v>7112.0</v>
      </c>
      <c r="C25675" s="38" t="s">
        <v>30175</v>
      </c>
      <c r="D25675" s="38" t="str">
        <f>IFERROR(__xludf.DUMMYFUNCTION("REGEXREPLACE(C25675,""-\d+(.*)|--\d+(.*)"","""")"),"LABASTIDE-SUR-BESORGUES")</f>
        <v>LABASTIDE-SUR-BESORGUES</v>
      </c>
      <c r="E25675" s="38" t="s">
        <v>144</v>
      </c>
      <c r="F25675" s="38" t="s">
        <v>102</v>
      </c>
      <c r="G25675" s="49" t="str">
        <f t="shared" si="1"/>
        <v>07600</v>
      </c>
      <c r="H25675" s="49" t="str">
        <f t="shared" si="2"/>
        <v>07112</v>
      </c>
    </row>
    <row r="25676">
      <c r="A25676" s="48" t="s">
        <v>4002</v>
      </c>
      <c r="B25676" s="38">
        <v>51293.0</v>
      </c>
      <c r="C25676" s="38" t="s">
        <v>30176</v>
      </c>
      <c r="D25676" s="38" t="str">
        <f>IFERROR(__xludf.DUMMYFUNCTION("REGEXREPLACE(C25676,""-\d+(.*)|--\d+(.*)"","""")"),"HEUTREGIVILLE")</f>
        <v>HEUTREGIVILLE</v>
      </c>
      <c r="E25676" s="38" t="s">
        <v>129</v>
      </c>
      <c r="F25676" s="38" t="s">
        <v>130</v>
      </c>
      <c r="G25676" s="49" t="str">
        <f t="shared" si="1"/>
        <v>51110</v>
      </c>
      <c r="H25676" s="49">
        <f t="shared" si="2"/>
        <v>51293</v>
      </c>
    </row>
    <row r="25677">
      <c r="A25677" s="48" t="s">
        <v>30177</v>
      </c>
      <c r="B25677" s="38">
        <v>58039.0</v>
      </c>
      <c r="C25677" s="38" t="s">
        <v>30178</v>
      </c>
      <c r="D25677" s="38" t="str">
        <f>IFERROR(__xludf.DUMMYFUNCTION("REGEXREPLACE(C25677,""-\d+(.*)|--\d+(.*)"","""")"),"BREVES")</f>
        <v>BREVES</v>
      </c>
      <c r="E25677" s="38" t="s">
        <v>219</v>
      </c>
      <c r="F25677" s="38" t="s">
        <v>106</v>
      </c>
      <c r="G25677" s="49" t="str">
        <f t="shared" si="1"/>
        <v>58530</v>
      </c>
      <c r="H25677" s="49">
        <f t="shared" si="2"/>
        <v>58039</v>
      </c>
    </row>
    <row r="25678">
      <c r="A25678" s="48" t="s">
        <v>4131</v>
      </c>
      <c r="B25678" s="38">
        <v>27095.0</v>
      </c>
      <c r="C25678" s="38" t="s">
        <v>30179</v>
      </c>
      <c r="D25678" s="38" t="str">
        <f>IFERROR(__xludf.DUMMYFUNCTION("REGEXREPLACE(C25678,""-\d+(.*)|--\d+(.*)"","""")"),"BOSROBERT")</f>
        <v>BOSROBERT</v>
      </c>
      <c r="E25678" s="38" t="s">
        <v>241</v>
      </c>
      <c r="F25678" s="38" t="s">
        <v>134</v>
      </c>
      <c r="G25678" s="49" t="str">
        <f t="shared" si="1"/>
        <v>27800</v>
      </c>
      <c r="H25678" s="49">
        <f t="shared" si="2"/>
        <v>27095</v>
      </c>
    </row>
    <row r="25679">
      <c r="A25679" s="48" t="s">
        <v>658</v>
      </c>
      <c r="B25679" s="38">
        <v>62759.0</v>
      </c>
      <c r="C25679" s="38" t="s">
        <v>30180</v>
      </c>
      <c r="D25679" s="38" t="str">
        <f>IFERROR(__xludf.DUMMYFUNCTION("REGEXREPLACE(C25679,""-\d+(.*)|--\d+(.*)"","""")"),"SAINT-MARTIN-CHOQUEL")</f>
        <v>SAINT-MARTIN-CHOQUEL</v>
      </c>
      <c r="E25679" s="38" t="s">
        <v>109</v>
      </c>
      <c r="F25679" s="38" t="s">
        <v>86</v>
      </c>
      <c r="G25679" s="49" t="str">
        <f t="shared" si="1"/>
        <v>62240</v>
      </c>
      <c r="H25679" s="49">
        <f t="shared" si="2"/>
        <v>62759</v>
      </c>
    </row>
    <row r="25680">
      <c r="A25680" s="48" t="s">
        <v>18596</v>
      </c>
      <c r="B25680" s="38">
        <v>15230.0</v>
      </c>
      <c r="C25680" s="38" t="s">
        <v>30181</v>
      </c>
      <c r="D25680" s="38" t="str">
        <f>IFERROR(__xludf.DUMMYFUNCTION("REGEXREPLACE(C25680,""-\d+(.*)|--\d+(.*)"","""")"),"SOURNIAC")</f>
        <v>SOURNIAC</v>
      </c>
      <c r="E25680" s="38" t="s">
        <v>632</v>
      </c>
      <c r="F25680" s="38" t="s">
        <v>161</v>
      </c>
      <c r="G25680" s="49" t="str">
        <f t="shared" si="1"/>
        <v>15200</v>
      </c>
      <c r="H25680" s="49">
        <f t="shared" si="2"/>
        <v>15230</v>
      </c>
    </row>
    <row r="25681">
      <c r="A25681" s="48" t="s">
        <v>6224</v>
      </c>
      <c r="B25681" s="38">
        <v>38504.0</v>
      </c>
      <c r="C25681" s="38" t="s">
        <v>30182</v>
      </c>
      <c r="D25681" s="38" t="str">
        <f>IFERROR(__xludf.DUMMYFUNCTION("REGEXREPLACE(C25681,""-\d+(.*)|--\d+(.*)"","""")"),"THEYS")</f>
        <v>THEYS</v>
      </c>
      <c r="E25681" s="38" t="s">
        <v>101</v>
      </c>
      <c r="F25681" s="38" t="s">
        <v>102</v>
      </c>
      <c r="G25681" s="49" t="str">
        <f t="shared" si="1"/>
        <v>38570</v>
      </c>
      <c r="H25681" s="49">
        <f t="shared" si="2"/>
        <v>38504</v>
      </c>
    </row>
    <row r="25682">
      <c r="A25682" s="48" t="s">
        <v>6937</v>
      </c>
      <c r="B25682" s="38">
        <v>33329.0</v>
      </c>
      <c r="C25682" s="38" t="s">
        <v>30183</v>
      </c>
      <c r="D25682" s="38" t="str">
        <f>IFERROR(__xludf.DUMMYFUNCTION("REGEXREPLACE(C25682,""-\d+(.*)|--\d+(.*)"","""")"),"POMPEJAC")</f>
        <v>POMPEJAC</v>
      </c>
      <c r="E25682" s="38" t="s">
        <v>462</v>
      </c>
      <c r="F25682" s="38" t="s">
        <v>252</v>
      </c>
      <c r="G25682" s="49" t="str">
        <f t="shared" si="1"/>
        <v>33730</v>
      </c>
      <c r="H25682" s="49">
        <f t="shared" si="2"/>
        <v>33329</v>
      </c>
    </row>
    <row r="25683">
      <c r="A25683" s="48" t="s">
        <v>30184</v>
      </c>
      <c r="B25683" s="38">
        <v>59352.0</v>
      </c>
      <c r="C25683" s="38" t="s">
        <v>30185</v>
      </c>
      <c r="D25683" s="38" t="str">
        <f>IFERROR(__xludf.DUMMYFUNCTION("REGEXREPLACE(C25683,""-\d+(.*)|--\d+(.*)"","""")"),"LINSELLES")</f>
        <v>LINSELLES</v>
      </c>
      <c r="E25683" s="38" t="s">
        <v>85</v>
      </c>
      <c r="F25683" s="38" t="s">
        <v>86</v>
      </c>
      <c r="G25683" s="49" t="str">
        <f t="shared" si="1"/>
        <v>59126</v>
      </c>
      <c r="H25683" s="49">
        <f t="shared" si="2"/>
        <v>59352</v>
      </c>
    </row>
    <row r="25684">
      <c r="A25684" s="48" t="s">
        <v>1883</v>
      </c>
      <c r="B25684" s="38">
        <v>39219.0</v>
      </c>
      <c r="C25684" s="38" t="s">
        <v>30186</v>
      </c>
      <c r="D25684" s="38" t="str">
        <f>IFERROR(__xludf.DUMMYFUNCTION("REGEXREPLACE(C25684,""-\d+(.*)|--\d+(.*)"","""")"),"EVANS")</f>
        <v>EVANS</v>
      </c>
      <c r="E25684" s="38" t="s">
        <v>400</v>
      </c>
      <c r="F25684" s="38" t="s">
        <v>214</v>
      </c>
      <c r="G25684" s="49" t="str">
        <f t="shared" si="1"/>
        <v>39700</v>
      </c>
      <c r="H25684" s="49">
        <f t="shared" si="2"/>
        <v>39219</v>
      </c>
    </row>
    <row r="25685">
      <c r="A25685" s="48" t="s">
        <v>4853</v>
      </c>
      <c r="B25685" s="38">
        <v>32188.0</v>
      </c>
      <c r="C25685" s="38" t="s">
        <v>30187</v>
      </c>
      <c r="D25685" s="38" t="str">
        <f>IFERROR(__xludf.DUMMYFUNCTION("REGEXREPLACE(C25685,""-\d+(.*)|--\d+(.*)"","""")"),"LAMOTHE-GOAS")</f>
        <v>LAMOTHE-GOAS</v>
      </c>
      <c r="E25685" s="38" t="s">
        <v>440</v>
      </c>
      <c r="F25685" s="38" t="s">
        <v>94</v>
      </c>
      <c r="G25685" s="49" t="str">
        <f t="shared" si="1"/>
        <v>32500</v>
      </c>
      <c r="H25685" s="49">
        <f t="shared" si="2"/>
        <v>32188</v>
      </c>
    </row>
    <row r="25686">
      <c r="A25686" s="48" t="s">
        <v>4125</v>
      </c>
      <c r="B25686" s="38">
        <v>19099.0</v>
      </c>
      <c r="C25686" s="38" t="s">
        <v>30188</v>
      </c>
      <c r="D25686" s="38" t="str">
        <f>IFERROR(__xludf.DUMMYFUNCTION("REGEXREPLACE(C25686,""-\d+(.*)|--\d+(.*)"","""")"),"LAGLEYGEOLLE")</f>
        <v>LAGLEYGEOLLE</v>
      </c>
      <c r="E25686" s="38" t="s">
        <v>271</v>
      </c>
      <c r="F25686" s="38" t="s">
        <v>98</v>
      </c>
      <c r="G25686" s="49" t="str">
        <f t="shared" si="1"/>
        <v>19500</v>
      </c>
      <c r="H25686" s="49">
        <f t="shared" si="2"/>
        <v>19099</v>
      </c>
    </row>
    <row r="25687">
      <c r="A25687" s="48" t="s">
        <v>3612</v>
      </c>
      <c r="B25687" s="38">
        <v>60422.0</v>
      </c>
      <c r="C25687" s="38" t="s">
        <v>30189</v>
      </c>
      <c r="D25687" s="38" t="str">
        <f>IFERROR(__xludf.DUMMYFUNCTION("REGEXREPLACE(C25687,""-\d+(.*)|--\d+(.*)"","""")"),"MONTLOGNON")</f>
        <v>MONTLOGNON</v>
      </c>
      <c r="E25687" s="38" t="s">
        <v>112</v>
      </c>
      <c r="F25687" s="38" t="s">
        <v>113</v>
      </c>
      <c r="G25687" s="49" t="str">
        <f t="shared" si="1"/>
        <v>60300</v>
      </c>
      <c r="H25687" s="49">
        <f t="shared" si="2"/>
        <v>60422</v>
      </c>
    </row>
    <row r="25688">
      <c r="A25688" s="48" t="s">
        <v>2882</v>
      </c>
      <c r="B25688" s="38">
        <v>76262.0</v>
      </c>
      <c r="C25688" s="38" t="s">
        <v>30190</v>
      </c>
      <c r="D25688" s="38" t="str">
        <f>IFERROR(__xludf.DUMMYFUNCTION("REGEXREPLACE(C25688,""-\d+(.*)|--\d+(.*)"","""")"),"FESQUES")</f>
        <v>FESQUES</v>
      </c>
      <c r="E25688" s="38" t="s">
        <v>133</v>
      </c>
      <c r="F25688" s="38" t="s">
        <v>134</v>
      </c>
      <c r="G25688" s="49" t="str">
        <f t="shared" si="1"/>
        <v>76270</v>
      </c>
      <c r="H25688" s="49">
        <f t="shared" si="2"/>
        <v>76262</v>
      </c>
    </row>
    <row r="25689">
      <c r="A25689" s="48" t="s">
        <v>15934</v>
      </c>
      <c r="B25689" s="38">
        <v>5004.0</v>
      </c>
      <c r="C25689" s="38" t="s">
        <v>30191</v>
      </c>
      <c r="D25689" s="38" t="str">
        <f>IFERROR(__xludf.DUMMYFUNCTION("REGEXREPLACE(C25689,""-\d+(.*)|--\d+(.*)"","""")"),"ANCELLE")</f>
        <v>ANCELLE</v>
      </c>
      <c r="E25689" s="38" t="s">
        <v>706</v>
      </c>
      <c r="F25689" s="38" t="s">
        <v>228</v>
      </c>
      <c r="G25689" s="49" t="str">
        <f t="shared" si="1"/>
        <v>05260</v>
      </c>
      <c r="H25689" s="49" t="str">
        <f t="shared" si="2"/>
        <v>05004</v>
      </c>
    </row>
    <row r="25690">
      <c r="A25690" s="48" t="s">
        <v>6264</v>
      </c>
      <c r="B25690" s="38">
        <v>77368.0</v>
      </c>
      <c r="C25690" s="38" t="s">
        <v>30192</v>
      </c>
      <c r="D25690" s="38" t="str">
        <f>IFERROR(__xludf.DUMMYFUNCTION("REGEXREPLACE(C25690,""-\d+(.*)|--\d+(.*)"","""")"),"POIGNY")</f>
        <v>POIGNY</v>
      </c>
      <c r="E25690" s="38" t="s">
        <v>244</v>
      </c>
      <c r="F25690" s="38" t="s">
        <v>245</v>
      </c>
      <c r="G25690" s="49" t="str">
        <f t="shared" si="1"/>
        <v>77160</v>
      </c>
      <c r="H25690" s="49">
        <f t="shared" si="2"/>
        <v>77368</v>
      </c>
    </row>
    <row r="25691">
      <c r="A25691" s="48" t="s">
        <v>5996</v>
      </c>
      <c r="B25691" s="38">
        <v>67289.0</v>
      </c>
      <c r="C25691" s="38" t="s">
        <v>30193</v>
      </c>
      <c r="D25691" s="38" t="str">
        <f>IFERROR(__xludf.DUMMYFUNCTION("REGEXREPLACE(C25691,""-\d+(.*)|--\d+(.*)"","""")"),"MENCHHOFFEN")</f>
        <v>MENCHHOFFEN</v>
      </c>
      <c r="E25691" s="38" t="s">
        <v>210</v>
      </c>
      <c r="F25691" s="38" t="s">
        <v>151</v>
      </c>
      <c r="G25691" s="49" t="str">
        <f t="shared" si="1"/>
        <v>67340</v>
      </c>
      <c r="H25691" s="49">
        <f t="shared" si="2"/>
        <v>67289</v>
      </c>
    </row>
    <row r="25692">
      <c r="A25692" s="48" t="s">
        <v>10299</v>
      </c>
      <c r="B25692" s="38">
        <v>67512.0</v>
      </c>
      <c r="C25692" s="38" t="s">
        <v>30194</v>
      </c>
      <c r="D25692" s="38" t="str">
        <f>IFERROR(__xludf.DUMMYFUNCTION("REGEXREPLACE(C25692,""-\d+(.*)|--\d+(.*)"","""")"),"LA WALCK")</f>
        <v>LA WALCK</v>
      </c>
      <c r="E25692" s="38" t="s">
        <v>210</v>
      </c>
      <c r="F25692" s="38" t="s">
        <v>151</v>
      </c>
      <c r="G25692" s="49" t="str">
        <f t="shared" si="1"/>
        <v>67350</v>
      </c>
      <c r="H25692" s="49">
        <f t="shared" si="2"/>
        <v>67512</v>
      </c>
    </row>
    <row r="25693">
      <c r="A25693" s="48" t="s">
        <v>1609</v>
      </c>
      <c r="B25693" s="38">
        <v>30354.0</v>
      </c>
      <c r="C25693" s="38" t="s">
        <v>30195</v>
      </c>
      <c r="D25693" s="38" t="str">
        <f>IFERROR(__xludf.DUMMYFUNCTION("REGEXREPLACE(C25693,""-\d+(.*)|--\d+(.*)"","""")"),"MONTAGNAC")</f>
        <v>MONTAGNAC</v>
      </c>
      <c r="E25693" s="38" t="s">
        <v>526</v>
      </c>
      <c r="F25693" s="38" t="s">
        <v>119</v>
      </c>
      <c r="G25693" s="49" t="str">
        <f t="shared" si="1"/>
        <v>30350</v>
      </c>
      <c r="H25693" s="49">
        <f t="shared" si="2"/>
        <v>30354</v>
      </c>
    </row>
    <row r="25694">
      <c r="A25694" s="48" t="s">
        <v>8510</v>
      </c>
      <c r="B25694" s="38">
        <v>39304.0</v>
      </c>
      <c r="C25694" s="38" t="s">
        <v>30196</v>
      </c>
      <c r="D25694" s="38" t="str">
        <f>IFERROR(__xludf.DUMMYFUNCTION("REGEXREPLACE(C25694,""-\d+(.*)|--\d+(.*)"","""")"),"LE LOUVEROT")</f>
        <v>LE LOUVEROT</v>
      </c>
      <c r="E25694" s="38" t="s">
        <v>400</v>
      </c>
      <c r="F25694" s="38" t="s">
        <v>214</v>
      </c>
      <c r="G25694" s="49" t="str">
        <f t="shared" si="1"/>
        <v>39210</v>
      </c>
      <c r="H25694" s="49">
        <f t="shared" si="2"/>
        <v>39304</v>
      </c>
    </row>
    <row r="25695">
      <c r="A25695" s="48" t="s">
        <v>30197</v>
      </c>
      <c r="B25695" s="38">
        <v>25614.0</v>
      </c>
      <c r="C25695" s="38" t="s">
        <v>30198</v>
      </c>
      <c r="D25695" s="38" t="str">
        <f>IFERROR(__xludf.DUMMYFUNCTION("REGEXREPLACE(C25695,""-\d+(.*)|--\d+(.*)"","""")"),"VIEUX-CHARMONT")</f>
        <v>VIEUX-CHARMONT</v>
      </c>
      <c r="E25695" s="38" t="s">
        <v>213</v>
      </c>
      <c r="F25695" s="38" t="s">
        <v>214</v>
      </c>
      <c r="G25695" s="49" t="str">
        <f t="shared" si="1"/>
        <v>25600</v>
      </c>
      <c r="H25695" s="49">
        <f t="shared" si="2"/>
        <v>25614</v>
      </c>
    </row>
    <row r="25696">
      <c r="A25696" s="48" t="s">
        <v>12007</v>
      </c>
      <c r="B25696" s="38">
        <v>37073.0</v>
      </c>
      <c r="C25696" s="38" t="s">
        <v>30199</v>
      </c>
      <c r="D25696" s="38" t="str">
        <f>IFERROR(__xludf.DUMMYFUNCTION("REGEXREPLACE(C25696,""-\d+(.*)|--\d+(.*)"","""")"),"CHISSEAUX")</f>
        <v>CHISSEAUX</v>
      </c>
      <c r="E25696" s="38" t="s">
        <v>205</v>
      </c>
      <c r="F25696" s="38" t="s">
        <v>123</v>
      </c>
      <c r="G25696" s="49" t="str">
        <f t="shared" si="1"/>
        <v>37150</v>
      </c>
      <c r="H25696" s="49">
        <f t="shared" si="2"/>
        <v>37073</v>
      </c>
    </row>
    <row r="25697">
      <c r="A25697" s="48" t="s">
        <v>30200</v>
      </c>
      <c r="B25697" s="38">
        <v>14060.0</v>
      </c>
      <c r="C25697" s="38" t="s">
        <v>6081</v>
      </c>
      <c r="D25697" s="38" t="str">
        <f>IFERROR(__xludf.DUMMYFUNCTION("REGEXREPLACE(C25697,""-\d+(.*)|--\d+(.*)"","""")"),"BENOUVILLE")</f>
        <v>BENOUVILLE</v>
      </c>
      <c r="E25697" s="38" t="s">
        <v>137</v>
      </c>
      <c r="F25697" s="38" t="s">
        <v>138</v>
      </c>
      <c r="G25697" s="49" t="str">
        <f t="shared" si="1"/>
        <v>14970</v>
      </c>
      <c r="H25697" s="49">
        <f t="shared" si="2"/>
        <v>14060</v>
      </c>
    </row>
    <row r="25698">
      <c r="A25698" s="48" t="s">
        <v>4292</v>
      </c>
      <c r="B25698" s="38">
        <v>74066.0</v>
      </c>
      <c r="C25698" s="38" t="s">
        <v>30201</v>
      </c>
      <c r="D25698" s="38" t="str">
        <f>IFERROR(__xludf.DUMMYFUNCTION("REGEXREPLACE(C25698,""-\d+(.*)|--\d+(.*)"","""")"),"CHAVANNAZ")</f>
        <v>CHAVANNAZ</v>
      </c>
      <c r="E25698" s="38" t="s">
        <v>319</v>
      </c>
      <c r="F25698" s="38" t="s">
        <v>102</v>
      </c>
      <c r="G25698" s="49" t="str">
        <f t="shared" si="1"/>
        <v>74270</v>
      </c>
      <c r="H25698" s="49">
        <f t="shared" si="2"/>
        <v>74066</v>
      </c>
    </row>
    <row r="25699">
      <c r="A25699" s="48" t="s">
        <v>1475</v>
      </c>
      <c r="B25699" s="38">
        <v>50381.0</v>
      </c>
      <c r="C25699" s="38" t="s">
        <v>30202</v>
      </c>
      <c r="D25699" s="38" t="str">
        <f>IFERROR(__xludf.DUMMYFUNCTION("REGEXREPLACE(C25699,""-\d+(.*)|--\d+(.*)"","""")"),"NOTRE-DAME-DU-TOUCHET")</f>
        <v>NOTRE-DAME-DU-TOUCHET</v>
      </c>
      <c r="E25699" s="38" t="s">
        <v>157</v>
      </c>
      <c r="F25699" s="38" t="s">
        <v>138</v>
      </c>
      <c r="G25699" s="49" t="str">
        <f t="shared" si="1"/>
        <v>50140</v>
      </c>
      <c r="H25699" s="49">
        <f t="shared" si="2"/>
        <v>50381</v>
      </c>
    </row>
    <row r="25700">
      <c r="A25700" s="48" t="s">
        <v>20901</v>
      </c>
      <c r="B25700" s="38">
        <v>3109.0</v>
      </c>
      <c r="C25700" s="38" t="s">
        <v>30203</v>
      </c>
      <c r="D25700" s="38" t="str">
        <f>IFERROR(__xludf.DUMMYFUNCTION("REGEXREPLACE(C25700,""-\d+(.*)|--\d+(.*)"","""")"),"ESCUROLLES")</f>
        <v>ESCUROLLES</v>
      </c>
      <c r="E25700" s="38" t="s">
        <v>160</v>
      </c>
      <c r="F25700" s="38" t="s">
        <v>161</v>
      </c>
      <c r="G25700" s="49" t="str">
        <f t="shared" si="1"/>
        <v>03110</v>
      </c>
      <c r="H25700" s="49" t="str">
        <f t="shared" si="2"/>
        <v>03109</v>
      </c>
    </row>
    <row r="25701">
      <c r="A25701" s="48" t="s">
        <v>386</v>
      </c>
      <c r="B25701" s="38">
        <v>21352.0</v>
      </c>
      <c r="C25701" s="38" t="s">
        <v>30204</v>
      </c>
      <c r="D25701" s="38" t="str">
        <f>IFERROR(__xludf.DUMMYFUNCTION("REGEXREPLACE(C25701,""-\d+(.*)|--\d+(.*)"","""")"),"LONGEAULT")</f>
        <v>LONGEAULT</v>
      </c>
      <c r="E25701" s="38" t="s">
        <v>105</v>
      </c>
      <c r="F25701" s="38" t="s">
        <v>106</v>
      </c>
      <c r="G25701" s="49" t="str">
        <f t="shared" si="1"/>
        <v>21110</v>
      </c>
      <c r="H25701" s="49">
        <f t="shared" si="2"/>
        <v>21352</v>
      </c>
    </row>
    <row r="25702">
      <c r="A25702" s="48" t="s">
        <v>7382</v>
      </c>
      <c r="B25702" s="38">
        <v>59113.0</v>
      </c>
      <c r="C25702" s="38" t="s">
        <v>30205</v>
      </c>
      <c r="D25702" s="38" t="str">
        <f>IFERROR(__xludf.DUMMYFUNCTION("REGEXREPLACE(C25702,""-\d+(.*)|--\d+(.*)"","""")"),"BRUILLE-LEZ-MARCHIENNES")</f>
        <v>BRUILLE-LEZ-MARCHIENNES</v>
      </c>
      <c r="E25702" s="38" t="s">
        <v>85</v>
      </c>
      <c r="F25702" s="38" t="s">
        <v>86</v>
      </c>
      <c r="G25702" s="49" t="str">
        <f t="shared" si="1"/>
        <v>59490</v>
      </c>
      <c r="H25702" s="49">
        <f t="shared" si="2"/>
        <v>59113</v>
      </c>
    </row>
    <row r="25703">
      <c r="A25703" s="48" t="s">
        <v>30206</v>
      </c>
      <c r="B25703" s="38">
        <v>42256.0</v>
      </c>
      <c r="C25703" s="38" t="s">
        <v>30207</v>
      </c>
      <c r="D25703" s="38" t="str">
        <f>IFERROR(__xludf.DUMMYFUNCTION("REGEXREPLACE(C25703,""-\d+(.*)|--\d+(.*)"","""")"),"SAINT-MARCELLIN-EN-FOREZ")</f>
        <v>SAINT-MARCELLIN-EN-FOREZ</v>
      </c>
      <c r="E25703" s="38" t="s">
        <v>166</v>
      </c>
      <c r="F25703" s="38" t="s">
        <v>102</v>
      </c>
      <c r="G25703" s="49" t="str">
        <f t="shared" si="1"/>
        <v>42680</v>
      </c>
      <c r="H25703" s="49">
        <f t="shared" si="2"/>
        <v>42256</v>
      </c>
    </row>
    <row r="25704">
      <c r="A25704" s="48" t="s">
        <v>2229</v>
      </c>
      <c r="B25704" s="38">
        <v>64318.0</v>
      </c>
      <c r="C25704" s="38" t="s">
        <v>23366</v>
      </c>
      <c r="D25704" s="38" t="str">
        <f>IFERROR(__xludf.DUMMYFUNCTION("REGEXREPLACE(C25704,""-\d+(.*)|--\d+(.*)"","""")"),"LARREULE")</f>
        <v>LARREULE</v>
      </c>
      <c r="E25704" s="38" t="s">
        <v>268</v>
      </c>
      <c r="F25704" s="38" t="s">
        <v>252</v>
      </c>
      <c r="G25704" s="49" t="str">
        <f t="shared" si="1"/>
        <v>64410</v>
      </c>
      <c r="H25704" s="49">
        <f t="shared" si="2"/>
        <v>64318</v>
      </c>
    </row>
    <row r="25705">
      <c r="A25705" s="48" t="s">
        <v>19293</v>
      </c>
      <c r="B25705" s="38">
        <v>18092.0</v>
      </c>
      <c r="C25705" s="38" t="s">
        <v>30208</v>
      </c>
      <c r="D25705" s="38" t="str">
        <f>IFERROR(__xludf.DUMMYFUNCTION("REGEXREPLACE(C25705,""-\d+(.*)|--\d+(.*)"","""")"),"FARGES-EN-SEPTAINE")</f>
        <v>FARGES-EN-SEPTAINE</v>
      </c>
      <c r="E25705" s="38" t="s">
        <v>504</v>
      </c>
      <c r="F25705" s="38" t="s">
        <v>123</v>
      </c>
      <c r="G25705" s="49" t="str">
        <f t="shared" si="1"/>
        <v>18800</v>
      </c>
      <c r="H25705" s="49">
        <f t="shared" si="2"/>
        <v>18092</v>
      </c>
    </row>
    <row r="25706">
      <c r="A25706" s="48" t="s">
        <v>11310</v>
      </c>
      <c r="B25706" s="38">
        <v>50634.0</v>
      </c>
      <c r="C25706" s="38" t="s">
        <v>30209</v>
      </c>
      <c r="D25706" s="38" t="str">
        <f>IFERROR(__xludf.DUMMYFUNCTION("REGEXREPLACE(C25706,""-\d+(.*)|--\d+(.*)"","""")"),"VIDECOSVILLE")</f>
        <v>VIDECOSVILLE</v>
      </c>
      <c r="E25706" s="38" t="s">
        <v>157</v>
      </c>
      <c r="F25706" s="38" t="s">
        <v>138</v>
      </c>
      <c r="G25706" s="49" t="str">
        <f t="shared" si="1"/>
        <v>50630</v>
      </c>
      <c r="H25706" s="49">
        <f t="shared" si="2"/>
        <v>50634</v>
      </c>
    </row>
    <row r="25707">
      <c r="A25707" s="48" t="s">
        <v>1054</v>
      </c>
      <c r="B25707" s="38">
        <v>46043.0</v>
      </c>
      <c r="C25707" s="38" t="s">
        <v>30210</v>
      </c>
      <c r="D25707" s="38" t="str">
        <f>IFERROR(__xludf.DUMMYFUNCTION("REGEXREPLACE(C25707,""-\d+(.*)|--\d+(.*)"","""")"),"CAHUS")</f>
        <v>CAHUS</v>
      </c>
      <c r="E25707" s="38" t="s">
        <v>185</v>
      </c>
      <c r="F25707" s="38" t="s">
        <v>94</v>
      </c>
      <c r="G25707" s="49" t="str">
        <f t="shared" si="1"/>
        <v>46130</v>
      </c>
      <c r="H25707" s="49">
        <f t="shared" si="2"/>
        <v>46043</v>
      </c>
    </row>
    <row r="25708">
      <c r="A25708" s="48" t="s">
        <v>7986</v>
      </c>
      <c r="B25708" s="38">
        <v>69024.0</v>
      </c>
      <c r="C25708" s="38" t="s">
        <v>30211</v>
      </c>
      <c r="D25708" s="38" t="str">
        <f>IFERROR(__xludf.DUMMYFUNCTION("REGEXREPLACE(C25708,""-\d+(.*)|--\d+(.*)"","""")"),"LE BOIS-D'OINGT")</f>
        <v>LE BOIS-D'OINGT</v>
      </c>
      <c r="E25708" s="38" t="s">
        <v>350</v>
      </c>
      <c r="F25708" s="38" t="s">
        <v>102</v>
      </c>
      <c r="G25708" s="49" t="str">
        <f t="shared" si="1"/>
        <v>69620</v>
      </c>
      <c r="H25708" s="49">
        <f t="shared" si="2"/>
        <v>69024</v>
      </c>
    </row>
    <row r="25709">
      <c r="A25709" s="48" t="s">
        <v>14540</v>
      </c>
      <c r="B25709" s="38">
        <v>34237.0</v>
      </c>
      <c r="C25709" s="38" t="s">
        <v>30212</v>
      </c>
      <c r="D25709" s="38" t="str">
        <f>IFERROR(__xludf.DUMMYFUNCTION("REGEXREPLACE(C25709,""-\d+(.*)|--\d+(.*)"","""")"),"ROUJAN")</f>
        <v>ROUJAN</v>
      </c>
      <c r="E25709" s="38" t="s">
        <v>118</v>
      </c>
      <c r="F25709" s="38" t="s">
        <v>119</v>
      </c>
      <c r="G25709" s="49" t="str">
        <f t="shared" si="1"/>
        <v>34320</v>
      </c>
      <c r="H25709" s="49">
        <f t="shared" si="2"/>
        <v>34237</v>
      </c>
    </row>
    <row r="25710">
      <c r="A25710" s="48" t="s">
        <v>1872</v>
      </c>
      <c r="B25710" s="38">
        <v>80167.0</v>
      </c>
      <c r="C25710" s="38" t="s">
        <v>24079</v>
      </c>
      <c r="D25710" s="38" t="str">
        <f>IFERROR(__xludf.DUMMYFUNCTION("REGEXREPLACE(C25710,""-\d+(.*)|--\d+(.*)"","""")"),"CANCHY")</f>
        <v>CANCHY</v>
      </c>
      <c r="E25710" s="38" t="s">
        <v>224</v>
      </c>
      <c r="F25710" s="38" t="s">
        <v>113</v>
      </c>
      <c r="G25710" s="49" t="str">
        <f t="shared" si="1"/>
        <v>80150</v>
      </c>
      <c r="H25710" s="49">
        <f t="shared" si="2"/>
        <v>80167</v>
      </c>
    </row>
    <row r="25711">
      <c r="A25711" s="48" t="s">
        <v>2688</v>
      </c>
      <c r="B25711" s="38">
        <v>36174.0</v>
      </c>
      <c r="C25711" s="38" t="s">
        <v>9098</v>
      </c>
      <c r="D25711" s="38" t="str">
        <f>IFERROR(__xludf.DUMMYFUNCTION("REGEXREPLACE(C25711,""-\d+(.*)|--\d+(.*)"","""")"),"ROUSSINES")</f>
        <v>ROUSSINES</v>
      </c>
      <c r="E25711" s="38" t="s">
        <v>258</v>
      </c>
      <c r="F25711" s="38" t="s">
        <v>123</v>
      </c>
      <c r="G25711" s="49" t="str">
        <f t="shared" si="1"/>
        <v>36170</v>
      </c>
      <c r="H25711" s="49">
        <f t="shared" si="2"/>
        <v>36174</v>
      </c>
    </row>
    <row r="25712">
      <c r="A25712" s="48" t="s">
        <v>5551</v>
      </c>
      <c r="B25712" s="38">
        <v>71368.0</v>
      </c>
      <c r="C25712" s="38" t="s">
        <v>30213</v>
      </c>
      <c r="D25712" s="38" t="str">
        <f>IFERROR(__xludf.DUMMYFUNCTION("REGEXREPLACE(C25712,""-\d+(.*)|--\d+(.*)"","""")"),"RECLESNE")</f>
        <v>RECLESNE</v>
      </c>
      <c r="E25712" s="38" t="s">
        <v>344</v>
      </c>
      <c r="F25712" s="38" t="s">
        <v>106</v>
      </c>
      <c r="G25712" s="49" t="str">
        <f t="shared" si="1"/>
        <v>71540</v>
      </c>
      <c r="H25712" s="49">
        <f t="shared" si="2"/>
        <v>71368</v>
      </c>
    </row>
    <row r="25713">
      <c r="A25713" s="48" t="s">
        <v>10388</v>
      </c>
      <c r="B25713" s="38">
        <v>21241.0</v>
      </c>
      <c r="C25713" s="38" t="s">
        <v>30214</v>
      </c>
      <c r="D25713" s="38" t="str">
        <f>IFERROR(__xludf.DUMMYFUNCTION("REGEXREPLACE(C25713,""-\d+(.*)|--\d+(.*)"","""")"),"ECHEVRONNE")</f>
        <v>ECHEVRONNE</v>
      </c>
      <c r="E25713" s="38" t="s">
        <v>105</v>
      </c>
      <c r="F25713" s="38" t="s">
        <v>106</v>
      </c>
      <c r="G25713" s="49" t="str">
        <f t="shared" si="1"/>
        <v>21420</v>
      </c>
      <c r="H25713" s="49">
        <f t="shared" si="2"/>
        <v>21241</v>
      </c>
    </row>
    <row r="25714">
      <c r="A25714" s="48" t="s">
        <v>8502</v>
      </c>
      <c r="B25714" s="38">
        <v>67191.0</v>
      </c>
      <c r="C25714" s="38" t="s">
        <v>30215</v>
      </c>
      <c r="D25714" s="38" t="str">
        <f>IFERROR(__xludf.DUMMYFUNCTION("REGEXREPLACE(C25714,""-\d+(.*)|--\d+(.*)"","""")"),"HERBITZHEIM")</f>
        <v>HERBITZHEIM</v>
      </c>
      <c r="E25714" s="38" t="s">
        <v>210</v>
      </c>
      <c r="F25714" s="38" t="s">
        <v>151</v>
      </c>
      <c r="G25714" s="49" t="str">
        <f t="shared" si="1"/>
        <v>67260</v>
      </c>
      <c r="H25714" s="49">
        <f t="shared" si="2"/>
        <v>67191</v>
      </c>
    </row>
    <row r="25715">
      <c r="A25715" s="48" t="s">
        <v>9795</v>
      </c>
      <c r="B25715" s="38">
        <v>33402.0</v>
      </c>
      <c r="C25715" s="38" t="s">
        <v>30216</v>
      </c>
      <c r="D25715" s="38" t="str">
        <f>IFERROR(__xludf.DUMMYFUNCTION("REGEXREPLACE(C25715,""-\d+(.*)|--\d+(.*)"","""")"),"SAINTE-FOY-LA-GRANDE")</f>
        <v>SAINTE-FOY-LA-GRANDE</v>
      </c>
      <c r="E25715" s="38" t="s">
        <v>462</v>
      </c>
      <c r="F25715" s="38" t="s">
        <v>252</v>
      </c>
      <c r="G25715" s="49" t="str">
        <f t="shared" si="1"/>
        <v>33220</v>
      </c>
      <c r="H25715" s="49">
        <f t="shared" si="2"/>
        <v>33402</v>
      </c>
    </row>
    <row r="25716">
      <c r="A25716" s="48" t="s">
        <v>1932</v>
      </c>
      <c r="B25716" s="38">
        <v>70348.0</v>
      </c>
      <c r="C25716" s="38" t="s">
        <v>30217</v>
      </c>
      <c r="D25716" s="38" t="str">
        <f>IFERROR(__xludf.DUMMYFUNCTION("REGEXREPLACE(C25716,""-\d+(.*)|--\d+(.*)"","""")"),"MOFFANS-ET-VACHERESSE")</f>
        <v>MOFFANS-ET-VACHERESSE</v>
      </c>
      <c r="E25716" s="38" t="s">
        <v>956</v>
      </c>
      <c r="F25716" s="38" t="s">
        <v>214</v>
      </c>
      <c r="G25716" s="49" t="str">
        <f t="shared" si="1"/>
        <v>70200</v>
      </c>
      <c r="H25716" s="49">
        <f t="shared" si="2"/>
        <v>70348</v>
      </c>
    </row>
    <row r="25717">
      <c r="A25717" s="48" t="s">
        <v>2736</v>
      </c>
      <c r="B25717" s="38">
        <v>89195.0</v>
      </c>
      <c r="C25717" s="38" t="s">
        <v>19941</v>
      </c>
      <c r="D25717" s="38" t="str">
        <f>IFERROR(__xludf.DUMMYFUNCTION("REGEXREPLACE(C25717,""-\d+(.*)|--\d+(.*)"","""")"),"GRON")</f>
        <v>GRON</v>
      </c>
      <c r="E25717" s="38" t="s">
        <v>275</v>
      </c>
      <c r="F25717" s="38" t="s">
        <v>106</v>
      </c>
      <c r="G25717" s="49" t="str">
        <f t="shared" si="1"/>
        <v>89100</v>
      </c>
      <c r="H25717" s="49">
        <f t="shared" si="2"/>
        <v>89195</v>
      </c>
    </row>
    <row r="25718">
      <c r="A25718" s="48" t="s">
        <v>578</v>
      </c>
      <c r="B25718" s="38">
        <v>52162.0</v>
      </c>
      <c r="C25718" s="38" t="s">
        <v>30218</v>
      </c>
      <c r="D25718" s="38" t="str">
        <f>IFERROR(__xludf.DUMMYFUNCTION("REGEXREPLACE(C25718,""-\d+(.*)|--\d+(.*)"","""")"),"DAMMARTIN-SUR-MEUSE")</f>
        <v>DAMMARTIN-SUR-MEUSE</v>
      </c>
      <c r="E25718" s="38" t="s">
        <v>234</v>
      </c>
      <c r="F25718" s="38" t="s">
        <v>130</v>
      </c>
      <c r="G25718" s="49" t="str">
        <f t="shared" si="1"/>
        <v>52140</v>
      </c>
      <c r="H25718" s="49">
        <f t="shared" si="2"/>
        <v>52162</v>
      </c>
    </row>
    <row r="25719">
      <c r="A25719" s="48" t="s">
        <v>15560</v>
      </c>
      <c r="B25719" s="38">
        <v>60264.0</v>
      </c>
      <c r="C25719" s="38" t="s">
        <v>30219</v>
      </c>
      <c r="D25719" s="38" t="str">
        <f>IFERROR(__xludf.DUMMYFUNCTION("REGEXREPLACE(C25719,""-\d+(.*)|--\d+(.*)"","""")"),"FROCOURT")</f>
        <v>FROCOURT</v>
      </c>
      <c r="E25719" s="38" t="s">
        <v>112</v>
      </c>
      <c r="F25719" s="38" t="s">
        <v>113</v>
      </c>
      <c r="G25719" s="49" t="str">
        <f t="shared" si="1"/>
        <v>60000</v>
      </c>
      <c r="H25719" s="49">
        <f t="shared" si="2"/>
        <v>60264</v>
      </c>
    </row>
    <row r="25720">
      <c r="A25720" s="48" t="s">
        <v>11076</v>
      </c>
      <c r="B25720" s="38">
        <v>49349.0</v>
      </c>
      <c r="C25720" s="38" t="s">
        <v>30220</v>
      </c>
      <c r="D25720" s="38" t="str">
        <f>IFERROR(__xludf.DUMMYFUNCTION("REGEXREPLACE(C25720,""-\d+(.*)|--\d+(.*)"","""")"),"TILLIERES")</f>
        <v>TILLIERES</v>
      </c>
      <c r="E25720" s="38" t="s">
        <v>653</v>
      </c>
      <c r="F25720" s="38" t="s">
        <v>180</v>
      </c>
      <c r="G25720" s="49" t="str">
        <f t="shared" si="1"/>
        <v>49230</v>
      </c>
      <c r="H25720" s="49">
        <f t="shared" si="2"/>
        <v>49349</v>
      </c>
    </row>
    <row r="25721">
      <c r="A25721" s="48" t="s">
        <v>12897</v>
      </c>
      <c r="B25721" s="38">
        <v>67449.0</v>
      </c>
      <c r="C25721" s="38" t="s">
        <v>30221</v>
      </c>
      <c r="D25721" s="38" t="str">
        <f>IFERROR(__xludf.DUMMYFUNCTION("REGEXREPLACE(C25721,""-\d+(.*)|--\d+(.*)"","""")"),"SCHIRRHEIN")</f>
        <v>SCHIRRHEIN</v>
      </c>
      <c r="E25721" s="38" t="s">
        <v>210</v>
      </c>
      <c r="F25721" s="38" t="s">
        <v>151</v>
      </c>
      <c r="G25721" s="49" t="str">
        <f t="shared" si="1"/>
        <v>67240</v>
      </c>
      <c r="H25721" s="49">
        <f t="shared" si="2"/>
        <v>67449</v>
      </c>
    </row>
    <row r="25722">
      <c r="A25722" s="48" t="s">
        <v>1903</v>
      </c>
      <c r="B25722" s="38">
        <v>10345.0</v>
      </c>
      <c r="C25722" s="38" t="s">
        <v>30222</v>
      </c>
      <c r="D25722" s="38" t="str">
        <f>IFERROR(__xludf.DUMMYFUNCTION("REGEXREPLACE(C25722,""-\d+(.*)|--\d+(.*)"","""")"),"SAINT-LEGER-SOUS-BRIENNE")</f>
        <v>SAINT-LEGER-SOUS-BRIENNE</v>
      </c>
      <c r="E25722" s="38" t="s">
        <v>147</v>
      </c>
      <c r="F25722" s="38" t="s">
        <v>130</v>
      </c>
      <c r="G25722" s="49" t="str">
        <f t="shared" si="1"/>
        <v>10500</v>
      </c>
      <c r="H25722" s="49">
        <f t="shared" si="2"/>
        <v>10345</v>
      </c>
    </row>
    <row r="25723">
      <c r="A25723" s="48" t="s">
        <v>1777</v>
      </c>
      <c r="B25723" s="38">
        <v>10229.0</v>
      </c>
      <c r="C25723" s="38" t="s">
        <v>14797</v>
      </c>
      <c r="D25723" s="38" t="str">
        <f>IFERROR(__xludf.DUMMYFUNCTION("REGEXREPLACE(C25723,""-\d+(.*)|--\d+(.*)"","""")"),"MAUPAS")</f>
        <v>MAUPAS</v>
      </c>
      <c r="E25723" s="38" t="s">
        <v>147</v>
      </c>
      <c r="F25723" s="38" t="s">
        <v>130</v>
      </c>
      <c r="G25723" s="49" t="str">
        <f t="shared" si="1"/>
        <v>10320</v>
      </c>
      <c r="H25723" s="49">
        <f t="shared" si="2"/>
        <v>10229</v>
      </c>
    </row>
    <row r="25724">
      <c r="A25724" s="48" t="s">
        <v>24036</v>
      </c>
      <c r="B25724" s="38">
        <v>59415.0</v>
      </c>
      <c r="C25724" s="38" t="s">
        <v>30223</v>
      </c>
      <c r="D25724" s="38" t="str">
        <f>IFERROR(__xludf.DUMMYFUNCTION("REGEXREPLACE(C25724,""-\d+(.*)|--\d+(.*)"","""")"),"MONTRECOURT")</f>
        <v>MONTRECOURT</v>
      </c>
      <c r="E25724" s="38" t="s">
        <v>85</v>
      </c>
      <c r="F25724" s="38" t="s">
        <v>86</v>
      </c>
      <c r="G25724" s="49" t="str">
        <f t="shared" si="1"/>
        <v>59227</v>
      </c>
      <c r="H25724" s="49">
        <f t="shared" si="2"/>
        <v>59415</v>
      </c>
    </row>
    <row r="25725">
      <c r="A25725" s="48" t="s">
        <v>2605</v>
      </c>
      <c r="B25725" s="38">
        <v>39018.0</v>
      </c>
      <c r="C25725" s="38" t="s">
        <v>30224</v>
      </c>
      <c r="D25725" s="38" t="str">
        <f>IFERROR(__xludf.DUMMYFUNCTION("REGEXREPLACE(C25725,""-\d+(.*)|--\d+(.*)"","""")"),"AROMAS")</f>
        <v>AROMAS</v>
      </c>
      <c r="E25725" s="38" t="s">
        <v>400</v>
      </c>
      <c r="F25725" s="38" t="s">
        <v>214</v>
      </c>
      <c r="G25725" s="49" t="str">
        <f t="shared" si="1"/>
        <v>39240</v>
      </c>
      <c r="H25725" s="49">
        <f t="shared" si="2"/>
        <v>39018</v>
      </c>
    </row>
    <row r="25726">
      <c r="A25726" s="48" t="s">
        <v>2384</v>
      </c>
      <c r="B25726" s="38">
        <v>21142.0</v>
      </c>
      <c r="C25726" s="38" t="s">
        <v>30225</v>
      </c>
      <c r="D25726" s="38" t="str">
        <f>IFERROR(__xludf.DUMMYFUNCTION("REGEXREPLACE(C25726,""-\d+(.*)|--\d+(.*)"","""")"),"CHANCEAUX")</f>
        <v>CHANCEAUX</v>
      </c>
      <c r="E25726" s="38" t="s">
        <v>105</v>
      </c>
      <c r="F25726" s="38" t="s">
        <v>106</v>
      </c>
      <c r="G25726" s="49" t="str">
        <f t="shared" si="1"/>
        <v>21440</v>
      </c>
      <c r="H25726" s="49">
        <f t="shared" si="2"/>
        <v>21142</v>
      </c>
    </row>
    <row r="25727">
      <c r="A25727" s="48" t="s">
        <v>7657</v>
      </c>
      <c r="B25727" s="38">
        <v>80614.0</v>
      </c>
      <c r="C25727" s="38" t="s">
        <v>30226</v>
      </c>
      <c r="D25727" s="38" t="str">
        <f>IFERROR(__xludf.DUMMYFUNCTION("REGEXREPLACE(C25727,""-\d+(.*)|--\d+(.*)"","""")"),"OUTREBOIS")</f>
        <v>OUTREBOIS</v>
      </c>
      <c r="E25727" s="38" t="s">
        <v>224</v>
      </c>
      <c r="F25727" s="38" t="s">
        <v>113</v>
      </c>
      <c r="G25727" s="49" t="str">
        <f t="shared" si="1"/>
        <v>80600</v>
      </c>
      <c r="H25727" s="49">
        <f t="shared" si="2"/>
        <v>80614</v>
      </c>
    </row>
    <row r="25728">
      <c r="A25728" s="48" t="s">
        <v>8293</v>
      </c>
      <c r="B25728" s="38">
        <v>62373.0</v>
      </c>
      <c r="C25728" s="38" t="s">
        <v>30227</v>
      </c>
      <c r="D25728" s="38" t="str">
        <f>IFERROR(__xludf.DUMMYFUNCTION("REGEXREPLACE(C25728,""-\d+(.*)|--\d+(.*)"","""")"),"GIVENCHY-LES-LA-BASSEE")</f>
        <v>GIVENCHY-LES-LA-BASSEE</v>
      </c>
      <c r="E25728" s="38" t="s">
        <v>109</v>
      </c>
      <c r="F25728" s="38" t="s">
        <v>86</v>
      </c>
      <c r="G25728" s="49" t="str">
        <f t="shared" si="1"/>
        <v>62149</v>
      </c>
      <c r="H25728" s="49">
        <f t="shared" si="2"/>
        <v>62373</v>
      </c>
    </row>
    <row r="25729">
      <c r="A25729" s="48" t="s">
        <v>18911</v>
      </c>
      <c r="B25729" s="38">
        <v>14361.0</v>
      </c>
      <c r="C25729" s="38" t="s">
        <v>30228</v>
      </c>
      <c r="D25729" s="38" t="str">
        <f>IFERROR(__xludf.DUMMYFUNCTION("REGEXREPLACE(C25729,""-\d+(.*)|--\d+(.*)"","""")"),"LENAULT")</f>
        <v>LENAULT</v>
      </c>
      <c r="E25729" s="38" t="s">
        <v>137</v>
      </c>
      <c r="F25729" s="38" t="s">
        <v>138</v>
      </c>
      <c r="G25729" s="49" t="str">
        <f t="shared" si="1"/>
        <v>14770</v>
      </c>
      <c r="H25729" s="49">
        <f t="shared" si="2"/>
        <v>14361</v>
      </c>
    </row>
    <row r="25730">
      <c r="A25730" s="48" t="s">
        <v>5485</v>
      </c>
      <c r="B25730" s="38">
        <v>27015.0</v>
      </c>
      <c r="C25730" s="38" t="s">
        <v>30229</v>
      </c>
      <c r="D25730" s="38" t="str">
        <f>IFERROR(__xludf.DUMMYFUNCTION("REGEXREPLACE(C25730,""-\d+(.*)|--\d+(.*)"","""")"),"ANDE")</f>
        <v>ANDE</v>
      </c>
      <c r="E25730" s="38" t="s">
        <v>241</v>
      </c>
      <c r="F25730" s="38" t="s">
        <v>134</v>
      </c>
      <c r="G25730" s="49" t="str">
        <f t="shared" si="1"/>
        <v>27430</v>
      </c>
      <c r="H25730" s="49">
        <f t="shared" si="2"/>
        <v>27015</v>
      </c>
    </row>
    <row r="25731">
      <c r="A25731" s="48" t="s">
        <v>1800</v>
      </c>
      <c r="B25731" s="38">
        <v>88080.0</v>
      </c>
      <c r="C25731" s="38" t="s">
        <v>30230</v>
      </c>
      <c r="D25731" s="38" t="str">
        <f>IFERROR(__xludf.DUMMYFUNCTION("REGEXREPLACE(C25731,""-\d+(.*)|--\d+(.*)"","""")"),"BULT")</f>
        <v>BULT</v>
      </c>
      <c r="E25731" s="38" t="s">
        <v>194</v>
      </c>
      <c r="F25731" s="38" t="s">
        <v>195</v>
      </c>
      <c r="G25731" s="49" t="str">
        <f t="shared" si="1"/>
        <v>88700</v>
      </c>
      <c r="H25731" s="49">
        <f t="shared" si="2"/>
        <v>88080</v>
      </c>
    </row>
    <row r="25732">
      <c r="A25732" s="48" t="s">
        <v>6715</v>
      </c>
      <c r="B25732" s="38">
        <v>62440.0</v>
      </c>
      <c r="C25732" s="38" t="s">
        <v>30231</v>
      </c>
      <c r="D25732" s="38" t="str">
        <f>IFERROR(__xludf.DUMMYFUNCTION("REGEXREPLACE(C25732,""-\d+(.*)|--\d+(.*)"","""")"),"HERMIES")</f>
        <v>HERMIES</v>
      </c>
      <c r="E25732" s="38" t="s">
        <v>109</v>
      </c>
      <c r="F25732" s="38" t="s">
        <v>86</v>
      </c>
      <c r="G25732" s="49" t="str">
        <f t="shared" si="1"/>
        <v>62147</v>
      </c>
      <c r="H25732" s="49">
        <f t="shared" si="2"/>
        <v>62440</v>
      </c>
    </row>
    <row r="25733">
      <c r="A25733" s="48" t="s">
        <v>17020</v>
      </c>
      <c r="B25733" s="38">
        <v>88177.0</v>
      </c>
      <c r="C25733" s="38" t="s">
        <v>30232</v>
      </c>
      <c r="D25733" s="38" t="str">
        <f>IFERROR(__xludf.DUMMYFUNCTION("REGEXREPLACE(C25733,""-\d+(.*)|--\d+(.*)"","""")"),"LA FORGE")</f>
        <v>LA FORGE</v>
      </c>
      <c r="E25733" s="38" t="s">
        <v>194</v>
      </c>
      <c r="F25733" s="38" t="s">
        <v>195</v>
      </c>
      <c r="G25733" s="49" t="str">
        <f t="shared" si="1"/>
        <v>88530</v>
      </c>
      <c r="H25733" s="49">
        <f t="shared" si="2"/>
        <v>88177</v>
      </c>
    </row>
    <row r="25734">
      <c r="A25734" s="48" t="s">
        <v>9436</v>
      </c>
      <c r="B25734" s="38">
        <v>63097.0</v>
      </c>
      <c r="C25734" s="38" t="s">
        <v>30233</v>
      </c>
      <c r="D25734" s="38" t="str">
        <f>IFERROR(__xludf.DUMMYFUNCTION("REGEXREPLACE(C25734,""-\d+(.*)|--\d+(.*)"","""")"),"CHASSAGNE")</f>
        <v>CHASSAGNE</v>
      </c>
      <c r="E25734" s="38" t="s">
        <v>353</v>
      </c>
      <c r="F25734" s="38" t="s">
        <v>161</v>
      </c>
      <c r="G25734" s="49" t="str">
        <f t="shared" si="1"/>
        <v>63320</v>
      </c>
      <c r="H25734" s="49">
        <f t="shared" si="2"/>
        <v>63097</v>
      </c>
    </row>
    <row r="25735">
      <c r="A25735" s="48" t="s">
        <v>1210</v>
      </c>
      <c r="B25735" s="38">
        <v>50511.0</v>
      </c>
      <c r="C25735" s="38" t="s">
        <v>30234</v>
      </c>
      <c r="D25735" s="38" t="str">
        <f>IFERROR(__xludf.DUMMYFUNCTION("REGEXREPLACE(C25735,""-\d+(.*)|--\d+(.*)"","""")"),"SAINT-MARTIN-D'AUDOUVILLE")</f>
        <v>SAINT-MARTIN-D'AUDOUVILLE</v>
      </c>
      <c r="E25735" s="38" t="s">
        <v>157</v>
      </c>
      <c r="F25735" s="38" t="s">
        <v>138</v>
      </c>
      <c r="G25735" s="49" t="str">
        <f t="shared" si="1"/>
        <v>50310</v>
      </c>
      <c r="H25735" s="49">
        <f t="shared" si="2"/>
        <v>50511</v>
      </c>
    </row>
    <row r="25736">
      <c r="A25736" s="48" t="s">
        <v>30235</v>
      </c>
      <c r="B25736" s="38">
        <v>54305.0</v>
      </c>
      <c r="C25736" s="38" t="s">
        <v>30236</v>
      </c>
      <c r="D25736" s="38" t="str">
        <f>IFERROR(__xludf.DUMMYFUNCTION("REGEXREPLACE(C25736,""-\d+(.*)|--\d+(.*)"","""")"),"LAY-SAINT-CHRISTOPHE")</f>
        <v>LAY-SAINT-CHRISTOPHE</v>
      </c>
      <c r="E25736" s="38" t="s">
        <v>548</v>
      </c>
      <c r="F25736" s="38" t="s">
        <v>195</v>
      </c>
      <c r="G25736" s="49" t="str">
        <f t="shared" si="1"/>
        <v>54690</v>
      </c>
      <c r="H25736" s="49">
        <f t="shared" si="2"/>
        <v>54305</v>
      </c>
    </row>
    <row r="25737">
      <c r="A25737" s="48" t="s">
        <v>335</v>
      </c>
      <c r="B25737" s="38">
        <v>79080.0</v>
      </c>
      <c r="C25737" s="38" t="s">
        <v>30237</v>
      </c>
      <c r="D25737" s="38" t="str">
        <f>IFERROR(__xludf.DUMMYFUNCTION("REGEXREPLACE(C25737,""-\d+(.*)|--\d+(.*)"","""")"),"CHATILLON-SUR-THOUET")</f>
        <v>CHATILLON-SUR-THOUET</v>
      </c>
      <c r="E25737" s="38" t="s">
        <v>337</v>
      </c>
      <c r="F25737" s="38" t="s">
        <v>338</v>
      </c>
      <c r="G25737" s="49" t="str">
        <f t="shared" si="1"/>
        <v>79200</v>
      </c>
      <c r="H25737" s="49">
        <f t="shared" si="2"/>
        <v>79080</v>
      </c>
    </row>
    <row r="25738">
      <c r="A25738" s="48" t="s">
        <v>17466</v>
      </c>
      <c r="B25738" s="38">
        <v>63262.0</v>
      </c>
      <c r="C25738" s="38" t="s">
        <v>30238</v>
      </c>
      <c r="D25738" s="38" t="str">
        <f>IFERROR(__xludf.DUMMYFUNCTION("REGEXREPLACE(C25738,""-\d+(.*)|--\d+(.*)"","""")"),"ORCET")</f>
        <v>ORCET</v>
      </c>
      <c r="E25738" s="38" t="s">
        <v>353</v>
      </c>
      <c r="F25738" s="38" t="s">
        <v>161</v>
      </c>
      <c r="G25738" s="49" t="str">
        <f t="shared" si="1"/>
        <v>63670</v>
      </c>
      <c r="H25738" s="49">
        <f t="shared" si="2"/>
        <v>63262</v>
      </c>
    </row>
    <row r="25739">
      <c r="A25739" s="48" t="s">
        <v>16223</v>
      </c>
      <c r="B25739" s="38">
        <v>60569.0</v>
      </c>
      <c r="C25739" s="38" t="s">
        <v>30239</v>
      </c>
      <c r="D25739" s="38" t="str">
        <f>IFERROR(__xludf.DUMMYFUNCTION("REGEXREPLACE(C25739,""-\d+(.*)|--\d+(.*)"","""")"),"SAINT-CREPIN-AUX-BOIS")</f>
        <v>SAINT-CREPIN-AUX-BOIS</v>
      </c>
      <c r="E25739" s="38" t="s">
        <v>112</v>
      </c>
      <c r="F25739" s="38" t="s">
        <v>113</v>
      </c>
      <c r="G25739" s="49" t="str">
        <f t="shared" si="1"/>
        <v>60170</v>
      </c>
      <c r="H25739" s="49">
        <f t="shared" si="2"/>
        <v>60569</v>
      </c>
    </row>
    <row r="25740">
      <c r="A25740" s="48" t="s">
        <v>895</v>
      </c>
      <c r="B25740" s="38">
        <v>87093.0</v>
      </c>
      <c r="C25740" s="38" t="s">
        <v>30240</v>
      </c>
      <c r="D25740" s="38" t="str">
        <f>IFERROR(__xludf.DUMMYFUNCTION("REGEXREPLACE(C25740,""-\d+(.*)|--\d+(.*)"","""")"),"MASLEON")</f>
        <v>MASLEON</v>
      </c>
      <c r="E25740" s="38" t="s">
        <v>897</v>
      </c>
      <c r="F25740" s="38" t="s">
        <v>98</v>
      </c>
      <c r="G25740" s="49" t="str">
        <f t="shared" si="1"/>
        <v>87130</v>
      </c>
      <c r="H25740" s="49">
        <f t="shared" si="2"/>
        <v>87093</v>
      </c>
    </row>
    <row r="25741">
      <c r="A25741" s="48" t="s">
        <v>2473</v>
      </c>
      <c r="B25741" s="38">
        <v>69080.0</v>
      </c>
      <c r="C25741" s="38" t="s">
        <v>30241</v>
      </c>
      <c r="D25741" s="38" t="str">
        <f>IFERROR(__xludf.DUMMYFUNCTION("REGEXREPLACE(C25741,""-\d+(.*)|--\d+(.*)"","""")"),"ECHALAS")</f>
        <v>ECHALAS</v>
      </c>
      <c r="E25741" s="38" t="s">
        <v>350</v>
      </c>
      <c r="F25741" s="38" t="s">
        <v>102</v>
      </c>
      <c r="G25741" s="49" t="str">
        <f t="shared" si="1"/>
        <v>69700</v>
      </c>
      <c r="H25741" s="49">
        <f t="shared" si="2"/>
        <v>69080</v>
      </c>
    </row>
    <row r="25742">
      <c r="A25742" s="48" t="s">
        <v>328</v>
      </c>
      <c r="B25742" s="38">
        <v>2698.0</v>
      </c>
      <c r="C25742" s="38" t="s">
        <v>30242</v>
      </c>
      <c r="D25742" s="38" t="str">
        <f>IFERROR(__xludf.DUMMYFUNCTION("REGEXREPLACE(C25742,""-\d+(.*)|--\d+(.*)"","""")"),"SANCY-LES-CHEMINOTS")</f>
        <v>SANCY-LES-CHEMINOTS</v>
      </c>
      <c r="E25742" s="38" t="s">
        <v>191</v>
      </c>
      <c r="F25742" s="38" t="s">
        <v>113</v>
      </c>
      <c r="G25742" s="49" t="str">
        <f t="shared" si="1"/>
        <v>02880</v>
      </c>
      <c r="H25742" s="49" t="str">
        <f t="shared" si="2"/>
        <v>02698</v>
      </c>
    </row>
    <row r="25743">
      <c r="A25743" s="48" t="s">
        <v>4481</v>
      </c>
      <c r="B25743" s="38">
        <v>66218.0</v>
      </c>
      <c r="C25743" s="38" t="s">
        <v>30243</v>
      </c>
      <c r="D25743" s="38" t="str">
        <f>IFERROR(__xludf.DUMMYFUNCTION("REGEXREPLACE(C25743,""-\d+(.*)|--\d+(.*)"","""")"),"UR")</f>
        <v>UR</v>
      </c>
      <c r="E25743" s="38" t="s">
        <v>248</v>
      </c>
      <c r="F25743" s="38" t="s">
        <v>119</v>
      </c>
      <c r="G25743" s="49" t="str">
        <f t="shared" si="1"/>
        <v>66760</v>
      </c>
      <c r="H25743" s="49">
        <f t="shared" si="2"/>
        <v>66218</v>
      </c>
    </row>
    <row r="25744">
      <c r="A25744" s="48" t="s">
        <v>3955</v>
      </c>
      <c r="B25744" s="38">
        <v>62665.0</v>
      </c>
      <c r="C25744" s="38" t="s">
        <v>30244</v>
      </c>
      <c r="D25744" s="38" t="str">
        <f>IFERROR(__xludf.DUMMYFUNCTION("REGEXREPLACE(C25744,""-\d+(.*)|--\d+(.*)"","""")"),"LE PONCHEL")</f>
        <v>LE PONCHEL</v>
      </c>
      <c r="E25744" s="38" t="s">
        <v>109</v>
      </c>
      <c r="F25744" s="38" t="s">
        <v>86</v>
      </c>
      <c r="G25744" s="49" t="str">
        <f t="shared" si="1"/>
        <v>62390</v>
      </c>
      <c r="H25744" s="49">
        <f t="shared" si="2"/>
        <v>62665</v>
      </c>
    </row>
    <row r="25745">
      <c r="A25745" s="48" t="s">
        <v>2170</v>
      </c>
      <c r="B25745" s="38">
        <v>80509.0</v>
      </c>
      <c r="C25745" s="38" t="s">
        <v>30245</v>
      </c>
      <c r="D25745" s="38" t="str">
        <f>IFERROR(__xludf.DUMMYFUNCTION("REGEXREPLACE(C25745,""-\d+(.*)|--\d+(.*)"","""")"),"MARCHELEPOT")</f>
        <v>MARCHELEPOT</v>
      </c>
      <c r="E25745" s="38" t="s">
        <v>224</v>
      </c>
      <c r="F25745" s="38" t="s">
        <v>113</v>
      </c>
      <c r="G25745" s="49" t="str">
        <f t="shared" si="1"/>
        <v>80200</v>
      </c>
      <c r="H25745" s="49">
        <f t="shared" si="2"/>
        <v>80509</v>
      </c>
    </row>
    <row r="25746">
      <c r="A25746" s="48" t="s">
        <v>4612</v>
      </c>
      <c r="B25746" s="38">
        <v>3085.0</v>
      </c>
      <c r="C25746" s="38" t="s">
        <v>30246</v>
      </c>
      <c r="D25746" s="38" t="str">
        <f>IFERROR(__xludf.DUMMYFUNCTION("REGEXREPLACE(C25746,""-\d+(.*)|--\d+(.*)"","""")"),"COULANDON")</f>
        <v>COULANDON</v>
      </c>
      <c r="E25746" s="38" t="s">
        <v>160</v>
      </c>
      <c r="F25746" s="38" t="s">
        <v>161</v>
      </c>
      <c r="G25746" s="49" t="str">
        <f t="shared" si="1"/>
        <v>03000</v>
      </c>
      <c r="H25746" s="49" t="str">
        <f t="shared" si="2"/>
        <v>03085</v>
      </c>
    </row>
    <row r="25747">
      <c r="A25747" s="48" t="s">
        <v>6256</v>
      </c>
      <c r="B25747" s="38">
        <v>55461.0</v>
      </c>
      <c r="C25747" s="38" t="s">
        <v>30247</v>
      </c>
      <c r="D25747" s="38" t="str">
        <f>IFERROR(__xludf.DUMMYFUNCTION("REGEXREPLACE(C25747,""-\d+(.*)|--\d+(.*)"","""")"),"SAINT-LAURENT-SUR-OTHAIN")</f>
        <v>SAINT-LAURENT-SUR-OTHAIN</v>
      </c>
      <c r="E25747" s="38" t="s">
        <v>322</v>
      </c>
      <c r="F25747" s="38" t="s">
        <v>195</v>
      </c>
      <c r="G25747" s="49" t="str">
        <f t="shared" si="1"/>
        <v>55150</v>
      </c>
      <c r="H25747" s="49">
        <f t="shared" si="2"/>
        <v>55461</v>
      </c>
    </row>
    <row r="25748">
      <c r="A25748" s="48" t="s">
        <v>2631</v>
      </c>
      <c r="B25748" s="38">
        <v>64188.0</v>
      </c>
      <c r="C25748" s="38" t="s">
        <v>30248</v>
      </c>
      <c r="D25748" s="38" t="str">
        <f>IFERROR(__xludf.DUMMYFUNCTION("REGEXREPLACE(C25748,""-\d+(.*)|--\d+(.*)"","""")"),"CHERAUTE")</f>
        <v>CHERAUTE</v>
      </c>
      <c r="E25748" s="38" t="s">
        <v>268</v>
      </c>
      <c r="F25748" s="38" t="s">
        <v>252</v>
      </c>
      <c r="G25748" s="49" t="str">
        <f t="shared" si="1"/>
        <v>64130</v>
      </c>
      <c r="H25748" s="49">
        <f t="shared" si="2"/>
        <v>64188</v>
      </c>
    </row>
    <row r="25749">
      <c r="A25749" s="48" t="s">
        <v>1881</v>
      </c>
      <c r="B25749" s="38">
        <v>69208.0</v>
      </c>
      <c r="C25749" s="38" t="s">
        <v>30249</v>
      </c>
      <c r="D25749" s="38" t="str">
        <f>IFERROR(__xludf.DUMMYFUNCTION("REGEXREPLACE(C25749,""-\d+(.*)|--\d+(.*)"","""")"),"SAINT-GERMAIN-SUR-L'ARBRESLE")</f>
        <v>SAINT-GERMAIN-SUR-L'ARBRESLE</v>
      </c>
      <c r="E25749" s="38" t="s">
        <v>350</v>
      </c>
      <c r="F25749" s="38" t="s">
        <v>102</v>
      </c>
      <c r="G25749" s="49" t="str">
        <f t="shared" si="1"/>
        <v>69210</v>
      </c>
      <c r="H25749" s="49">
        <f t="shared" si="2"/>
        <v>69208</v>
      </c>
    </row>
    <row r="25750">
      <c r="A25750" s="48" t="s">
        <v>12322</v>
      </c>
      <c r="B25750" s="38">
        <v>89029.0</v>
      </c>
      <c r="C25750" s="38" t="s">
        <v>30250</v>
      </c>
      <c r="D25750" s="38" t="str">
        <f>IFERROR(__xludf.DUMMYFUNCTION("REGEXREPLACE(C25750,""-\d+(.*)|--\d+(.*)"","""")"),"BASSOU")</f>
        <v>BASSOU</v>
      </c>
      <c r="E25750" s="38" t="s">
        <v>275</v>
      </c>
      <c r="F25750" s="38" t="s">
        <v>106</v>
      </c>
      <c r="G25750" s="49" t="str">
        <f t="shared" si="1"/>
        <v>89400</v>
      </c>
      <c r="H25750" s="49">
        <f t="shared" si="2"/>
        <v>89029</v>
      </c>
    </row>
    <row r="25751">
      <c r="A25751" s="48" t="s">
        <v>1085</v>
      </c>
      <c r="B25751" s="38">
        <v>55009.0</v>
      </c>
      <c r="C25751" s="38" t="s">
        <v>30251</v>
      </c>
      <c r="D25751" s="38" t="str">
        <f>IFERROR(__xludf.DUMMYFUNCTION("REGEXREPLACE(C25751,""-\d+(.*)|--\d+(.*)"","""")"),"ANCEMONT")</f>
        <v>ANCEMONT</v>
      </c>
      <c r="E25751" s="38" t="s">
        <v>322</v>
      </c>
      <c r="F25751" s="38" t="s">
        <v>195</v>
      </c>
      <c r="G25751" s="49" t="str">
        <f t="shared" si="1"/>
        <v>55320</v>
      </c>
      <c r="H25751" s="49">
        <f t="shared" si="2"/>
        <v>55009</v>
      </c>
    </row>
    <row r="25752">
      <c r="A25752" s="48" t="s">
        <v>3467</v>
      </c>
      <c r="B25752" s="38">
        <v>72264.0</v>
      </c>
      <c r="C25752" s="38" t="s">
        <v>30252</v>
      </c>
      <c r="D25752" s="38" t="str">
        <f>IFERROR(__xludf.DUMMYFUNCTION("REGEXREPLACE(C25752,""-\d+(.*)|--\d+(.*)"","""")"),"SABLE-SUR-SARTHE")</f>
        <v>SABLE-SUR-SARTHE</v>
      </c>
      <c r="E25752" s="38" t="s">
        <v>521</v>
      </c>
      <c r="F25752" s="38" t="s">
        <v>180</v>
      </c>
      <c r="G25752" s="49" t="str">
        <f t="shared" si="1"/>
        <v>72300</v>
      </c>
      <c r="H25752" s="49">
        <f t="shared" si="2"/>
        <v>72264</v>
      </c>
    </row>
    <row r="25753">
      <c r="A25753" s="48" t="s">
        <v>2261</v>
      </c>
      <c r="B25753" s="38">
        <v>9152.0</v>
      </c>
      <c r="C25753" s="38" t="s">
        <v>30253</v>
      </c>
      <c r="D25753" s="38" t="str">
        <f>IFERROR(__xludf.DUMMYFUNCTION("REGEXREPLACE(C25753,""-\d+(.*)|--\d+(.*)"","""")"),"LAPEGE")</f>
        <v>LAPEGE</v>
      </c>
      <c r="E25753" s="38" t="s">
        <v>238</v>
      </c>
      <c r="F25753" s="38" t="s">
        <v>94</v>
      </c>
      <c r="G25753" s="49" t="str">
        <f t="shared" si="1"/>
        <v>09400</v>
      </c>
      <c r="H25753" s="49" t="str">
        <f t="shared" si="2"/>
        <v>09152</v>
      </c>
    </row>
    <row r="25754">
      <c r="A25754" s="48" t="s">
        <v>16875</v>
      </c>
      <c r="B25754" s="38">
        <v>59591.0</v>
      </c>
      <c r="C25754" s="38" t="s">
        <v>30254</v>
      </c>
      <c r="D25754" s="38" t="str">
        <f>IFERROR(__xludf.DUMMYFUNCTION("REGEXREPLACE(C25754,""-\d+(.*)|--\d+(.*)"","""")"),"THIVENCELLE")</f>
        <v>THIVENCELLE</v>
      </c>
      <c r="E25754" s="38" t="s">
        <v>85</v>
      </c>
      <c r="F25754" s="38" t="s">
        <v>86</v>
      </c>
      <c r="G25754" s="49" t="str">
        <f t="shared" si="1"/>
        <v>59163</v>
      </c>
      <c r="H25754" s="49">
        <f t="shared" si="2"/>
        <v>59591</v>
      </c>
    </row>
    <row r="25755">
      <c r="A25755" s="48" t="s">
        <v>17153</v>
      </c>
      <c r="B25755" s="38">
        <v>74041.0</v>
      </c>
      <c r="C25755" s="38" t="s">
        <v>21029</v>
      </c>
      <c r="D25755" s="38" t="str">
        <f>IFERROR(__xludf.DUMMYFUNCTION("REGEXREPLACE(C25755,""-\d+(.*)|--\d+(.*)"","""")"),"BONNEVAUX")</f>
        <v>BONNEVAUX</v>
      </c>
      <c r="E25755" s="38" t="s">
        <v>319</v>
      </c>
      <c r="F25755" s="38" t="s">
        <v>102</v>
      </c>
      <c r="G25755" s="49" t="str">
        <f t="shared" si="1"/>
        <v>74360</v>
      </c>
      <c r="H25755" s="49">
        <f t="shared" si="2"/>
        <v>74041</v>
      </c>
    </row>
    <row r="25756">
      <c r="A25756" s="48" t="s">
        <v>1564</v>
      </c>
      <c r="B25756" s="38">
        <v>45125.0</v>
      </c>
      <c r="C25756" s="38" t="s">
        <v>30255</v>
      </c>
      <c r="D25756" s="38" t="str">
        <f>IFERROR(__xludf.DUMMYFUNCTION("REGEXREPLACE(C25756,""-\d+(.*)|--\d+(.*)"","""")"),"DIMANCHEVILLE")</f>
        <v>DIMANCHEVILLE</v>
      </c>
      <c r="E25756" s="38" t="s">
        <v>122</v>
      </c>
      <c r="F25756" s="38" t="s">
        <v>123</v>
      </c>
      <c r="G25756" s="49" t="str">
        <f t="shared" si="1"/>
        <v>45390</v>
      </c>
      <c r="H25756" s="49">
        <f t="shared" si="2"/>
        <v>45125</v>
      </c>
    </row>
    <row r="25757">
      <c r="A25757" s="48" t="s">
        <v>4722</v>
      </c>
      <c r="B25757" s="38">
        <v>81020.0</v>
      </c>
      <c r="C25757" s="38" t="s">
        <v>30256</v>
      </c>
      <c r="D25757" s="38" t="str">
        <f>IFERROR(__xludf.DUMMYFUNCTION("REGEXREPLACE(C25757,""-\d+(.*)|--\d+(.*)"","""")"),"AUSSAC")</f>
        <v>AUSSAC</v>
      </c>
      <c r="E25757" s="38" t="s">
        <v>231</v>
      </c>
      <c r="F25757" s="38" t="s">
        <v>94</v>
      </c>
      <c r="G25757" s="49" t="str">
        <f t="shared" si="1"/>
        <v>81600</v>
      </c>
      <c r="H25757" s="49">
        <f t="shared" si="2"/>
        <v>81020</v>
      </c>
    </row>
    <row r="25758">
      <c r="A25758" s="48" t="s">
        <v>2608</v>
      </c>
      <c r="B25758" s="38">
        <v>24582.0</v>
      </c>
      <c r="C25758" s="38" t="s">
        <v>12657</v>
      </c>
      <c r="D25758" s="38" t="str">
        <f>IFERROR(__xludf.DUMMYFUNCTION("REGEXREPLACE(C25758,""-\d+(.*)|--\d+(.*)"","""")"),"VILLARS")</f>
        <v>VILLARS</v>
      </c>
      <c r="E25758" s="38" t="s">
        <v>261</v>
      </c>
      <c r="F25758" s="38" t="s">
        <v>252</v>
      </c>
      <c r="G25758" s="49" t="str">
        <f t="shared" si="1"/>
        <v>24530</v>
      </c>
      <c r="H25758" s="49">
        <f t="shared" si="2"/>
        <v>24582</v>
      </c>
    </row>
    <row r="25759">
      <c r="A25759" s="48" t="s">
        <v>30257</v>
      </c>
      <c r="B25759" s="38">
        <v>93005.0</v>
      </c>
      <c r="C25759" s="38" t="s">
        <v>30258</v>
      </c>
      <c r="D25759" s="38" t="str">
        <f>IFERROR(__xludf.DUMMYFUNCTION("REGEXREPLACE(C25759,""-\d+(.*)|--\d+(.*)"","""")"),"AULNAY-SOUS-BOIS")</f>
        <v>AULNAY-SOUS-BOIS</v>
      </c>
      <c r="E25759" s="38" t="s">
        <v>341</v>
      </c>
      <c r="F25759" s="38" t="s">
        <v>245</v>
      </c>
      <c r="G25759" s="49" t="str">
        <f t="shared" si="1"/>
        <v>93600</v>
      </c>
      <c r="H25759" s="49">
        <f t="shared" si="2"/>
        <v>93005</v>
      </c>
    </row>
    <row r="25760">
      <c r="A25760" s="48" t="s">
        <v>834</v>
      </c>
      <c r="B25760" s="38">
        <v>25594.0</v>
      </c>
      <c r="C25760" s="38" t="s">
        <v>30259</v>
      </c>
      <c r="D25760" s="38" t="str">
        <f>IFERROR(__xludf.DUMMYFUNCTION("REGEXREPLACE(C25760,""-\d+(.*)|--\d+(.*)"","""")"),"VELESMES-ESSARTS")</f>
        <v>VELESMES-ESSARTS</v>
      </c>
      <c r="E25760" s="38" t="s">
        <v>213</v>
      </c>
      <c r="F25760" s="38" t="s">
        <v>214</v>
      </c>
      <c r="G25760" s="49" t="str">
        <f t="shared" si="1"/>
        <v>25410</v>
      </c>
      <c r="H25760" s="49">
        <f t="shared" si="2"/>
        <v>25594</v>
      </c>
    </row>
    <row r="25761">
      <c r="A25761" s="48" t="s">
        <v>9451</v>
      </c>
      <c r="B25761" s="38">
        <v>22096.0</v>
      </c>
      <c r="C25761" s="38" t="s">
        <v>30260</v>
      </c>
      <c r="D25761" s="38" t="str">
        <f>IFERROR(__xludf.DUMMYFUNCTION("REGEXREPLACE(C25761,""-\d+(.*)|--\d+(.*)"","""")"),"LANDEBIA")</f>
        <v>LANDEBIA</v>
      </c>
      <c r="E25761" s="38" t="s">
        <v>89</v>
      </c>
      <c r="F25761" s="38" t="s">
        <v>90</v>
      </c>
      <c r="G25761" s="49" t="str">
        <f t="shared" si="1"/>
        <v>22130</v>
      </c>
      <c r="H25761" s="49">
        <f t="shared" si="2"/>
        <v>22096</v>
      </c>
    </row>
    <row r="25762">
      <c r="A25762" s="48" t="s">
        <v>2465</v>
      </c>
      <c r="B25762" s="38">
        <v>35247.0</v>
      </c>
      <c r="C25762" s="38" t="s">
        <v>30261</v>
      </c>
      <c r="D25762" s="38" t="str">
        <f>IFERROR(__xludf.DUMMYFUNCTION("REGEXREPLACE(C25762,""-\d+(.*)|--\d+(.*)"","""")"),"ROZ-SUR-COUESNON")</f>
        <v>ROZ-SUR-COUESNON</v>
      </c>
      <c r="E25762" s="38" t="s">
        <v>347</v>
      </c>
      <c r="F25762" s="38" t="s">
        <v>90</v>
      </c>
      <c r="G25762" s="49" t="str">
        <f t="shared" si="1"/>
        <v>35610</v>
      </c>
      <c r="H25762" s="49">
        <f t="shared" si="2"/>
        <v>35247</v>
      </c>
    </row>
    <row r="25763">
      <c r="A25763" s="48" t="s">
        <v>7388</v>
      </c>
      <c r="B25763" s="38">
        <v>42049.0</v>
      </c>
      <c r="C25763" s="38" t="s">
        <v>12371</v>
      </c>
      <c r="D25763" s="38" t="str">
        <f>IFERROR(__xludf.DUMMYFUNCTION("REGEXREPLACE(C25763,""-\d+(.*)|--\d+(.*)"","""")"),"CHANGY")</f>
        <v>CHANGY</v>
      </c>
      <c r="E25763" s="38" t="s">
        <v>166</v>
      </c>
      <c r="F25763" s="38" t="s">
        <v>102</v>
      </c>
      <c r="G25763" s="49" t="str">
        <f t="shared" si="1"/>
        <v>42310</v>
      </c>
      <c r="H25763" s="49">
        <f t="shared" si="2"/>
        <v>42049</v>
      </c>
    </row>
    <row r="25764">
      <c r="A25764" s="48" t="s">
        <v>28743</v>
      </c>
      <c r="B25764" s="38">
        <v>2307.0</v>
      </c>
      <c r="C25764" s="38" t="s">
        <v>30262</v>
      </c>
      <c r="D25764" s="38" t="str">
        <f>IFERROR(__xludf.DUMMYFUNCTION("REGEXREPLACE(C25764,""-\d+(.*)|--\d+(.*)"","""")"),"LA FERTE-MILON")</f>
        <v>LA FERTE-MILON</v>
      </c>
      <c r="E25764" s="38" t="s">
        <v>191</v>
      </c>
      <c r="F25764" s="38" t="s">
        <v>113</v>
      </c>
      <c r="G25764" s="49" t="str">
        <f t="shared" si="1"/>
        <v>02460</v>
      </c>
      <c r="H25764" s="49" t="str">
        <f t="shared" si="2"/>
        <v>02307</v>
      </c>
    </row>
    <row r="25765">
      <c r="A25765" s="48" t="s">
        <v>30263</v>
      </c>
      <c r="B25765" s="38">
        <v>95323.0</v>
      </c>
      <c r="C25765" s="38" t="s">
        <v>30264</v>
      </c>
      <c r="D25765" s="38" t="str">
        <f>IFERROR(__xludf.DUMMYFUNCTION("REGEXREPLACE(C25765,""-\d+(.*)|--\d+(.*)"","""")"),"JOUY-LE-MOUTIER")</f>
        <v>JOUY-LE-MOUTIER</v>
      </c>
      <c r="E25765" s="38" t="s">
        <v>541</v>
      </c>
      <c r="F25765" s="38" t="s">
        <v>245</v>
      </c>
      <c r="G25765" s="49" t="str">
        <f t="shared" si="1"/>
        <v>95280</v>
      </c>
      <c r="H25765" s="49">
        <f t="shared" si="2"/>
        <v>95323</v>
      </c>
    </row>
    <row r="25766">
      <c r="A25766" s="48" t="s">
        <v>3071</v>
      </c>
      <c r="B25766" s="38">
        <v>59315.0</v>
      </c>
      <c r="C25766" s="38" t="s">
        <v>30265</v>
      </c>
      <c r="D25766" s="38" t="str">
        <f>IFERROR(__xludf.DUMMYFUNCTION("REGEXREPLACE(C25766,""-\d+(.*)|--\d+(.*)"","""")"),"HOUDAIN-LEZ-BAVAY")</f>
        <v>HOUDAIN-LEZ-BAVAY</v>
      </c>
      <c r="E25766" s="38" t="s">
        <v>85</v>
      </c>
      <c r="F25766" s="38" t="s">
        <v>86</v>
      </c>
      <c r="G25766" s="49" t="str">
        <f t="shared" si="1"/>
        <v>59570</v>
      </c>
      <c r="H25766" s="49">
        <f t="shared" si="2"/>
        <v>59315</v>
      </c>
    </row>
    <row r="25767">
      <c r="A25767" s="48" t="s">
        <v>794</v>
      </c>
      <c r="B25767" s="38">
        <v>60692.0</v>
      </c>
      <c r="C25767" s="38" t="s">
        <v>30266</v>
      </c>
      <c r="D25767" s="38" t="str">
        <f>IFERROR(__xludf.DUMMYFUNCTION("REGEXREPLACE(C25767,""-\d+(.*)|--\d+(.*)"","""")"),"VILLERS-VICOMTE")</f>
        <v>VILLERS-VICOMTE</v>
      </c>
      <c r="E25767" s="38" t="s">
        <v>112</v>
      </c>
      <c r="F25767" s="38" t="s">
        <v>113</v>
      </c>
      <c r="G25767" s="49" t="str">
        <f t="shared" si="1"/>
        <v>60120</v>
      </c>
      <c r="H25767" s="49">
        <f t="shared" si="2"/>
        <v>60692</v>
      </c>
    </row>
    <row r="25768">
      <c r="A25768" s="48" t="s">
        <v>2349</v>
      </c>
      <c r="B25768" s="38">
        <v>62599.0</v>
      </c>
      <c r="C25768" s="38" t="s">
        <v>30267</v>
      </c>
      <c r="D25768" s="38" t="str">
        <f>IFERROR(__xludf.DUMMYFUNCTION("REGEXREPLACE(C25768,""-\d+(.*)|--\d+(.*)"","""")"),"NABRINGHEN")</f>
        <v>NABRINGHEN</v>
      </c>
      <c r="E25768" s="38" t="s">
        <v>109</v>
      </c>
      <c r="F25768" s="38" t="s">
        <v>86</v>
      </c>
      <c r="G25768" s="49" t="str">
        <f t="shared" si="1"/>
        <v>62142</v>
      </c>
      <c r="H25768" s="49">
        <f t="shared" si="2"/>
        <v>62599</v>
      </c>
    </row>
    <row r="25769">
      <c r="A25769" s="48" t="s">
        <v>6275</v>
      </c>
      <c r="B25769" s="38">
        <v>8096.0</v>
      </c>
      <c r="C25769" s="38" t="s">
        <v>30268</v>
      </c>
      <c r="D25769" s="38" t="str">
        <f>IFERROR(__xludf.DUMMYFUNCTION("REGEXREPLACE(C25769,""-\d+(.*)|--\d+(.*)"","""")"),"CHALANDRY-ELAIRE")</f>
        <v>CHALANDRY-ELAIRE</v>
      </c>
      <c r="E25769" s="38" t="s">
        <v>327</v>
      </c>
      <c r="F25769" s="38" t="s">
        <v>130</v>
      </c>
      <c r="G25769" s="49" t="str">
        <f t="shared" si="1"/>
        <v>08160</v>
      </c>
      <c r="H25769" s="49" t="str">
        <f t="shared" si="2"/>
        <v>08096</v>
      </c>
    </row>
    <row r="25770">
      <c r="A25770" s="48" t="s">
        <v>19883</v>
      </c>
      <c r="B25770" s="38">
        <v>38237.0</v>
      </c>
      <c r="C25770" s="38" t="s">
        <v>30269</v>
      </c>
      <c r="D25770" s="38" t="str">
        <f>IFERROR(__xludf.DUMMYFUNCTION("REGEXREPLACE(C25770,""-\d+(.*)|--\d+(.*)"","""")"),"MIZOEN")</f>
        <v>MIZOEN</v>
      </c>
      <c r="E25770" s="38" t="s">
        <v>101</v>
      </c>
      <c r="F25770" s="38" t="s">
        <v>102</v>
      </c>
      <c r="G25770" s="49" t="str">
        <f t="shared" si="1"/>
        <v>38142</v>
      </c>
      <c r="H25770" s="49">
        <f t="shared" si="2"/>
        <v>38237</v>
      </c>
    </row>
    <row r="25771">
      <c r="A25771" s="48" t="s">
        <v>30270</v>
      </c>
      <c r="B25771" s="38" t="s">
        <v>30271</v>
      </c>
      <c r="C25771" s="38" t="s">
        <v>30272</v>
      </c>
      <c r="D25771" s="38" t="str">
        <f>IFERROR(__xludf.DUMMYFUNCTION("REGEXREPLACE(C25771,""-\d+(.*)|--\d+(.*)"","""")"),"QUENZA")</f>
        <v>QUENZA</v>
      </c>
      <c r="E25771" s="38" t="s">
        <v>606</v>
      </c>
      <c r="F25771" s="38" t="s">
        <v>607</v>
      </c>
      <c r="G25771" s="49" t="str">
        <f t="shared" si="1"/>
        <v>20122</v>
      </c>
      <c r="H25771" s="49" t="str">
        <f t="shared" si="2"/>
        <v>2A254</v>
      </c>
    </row>
    <row r="25772">
      <c r="A25772" s="48" t="s">
        <v>4002</v>
      </c>
      <c r="B25772" s="38">
        <v>51477.0</v>
      </c>
      <c r="C25772" s="38" t="s">
        <v>30273</v>
      </c>
      <c r="D25772" s="38" t="str">
        <f>IFERROR(__xludf.DUMMYFUNCTION("REGEXREPLACE(C25772,""-\d+(.*)|--\d+(.*)"","""")"),"SAINT-ETIENNE-SUR-SUIPPE")</f>
        <v>SAINT-ETIENNE-SUR-SUIPPE</v>
      </c>
      <c r="E25772" s="38" t="s">
        <v>129</v>
      </c>
      <c r="F25772" s="38" t="s">
        <v>130</v>
      </c>
      <c r="G25772" s="49" t="str">
        <f t="shared" si="1"/>
        <v>51110</v>
      </c>
      <c r="H25772" s="49">
        <f t="shared" si="2"/>
        <v>51477</v>
      </c>
    </row>
    <row r="25773">
      <c r="A25773" s="48" t="s">
        <v>9044</v>
      </c>
      <c r="B25773" s="38">
        <v>32241.0</v>
      </c>
      <c r="C25773" s="38" t="s">
        <v>30274</v>
      </c>
      <c r="D25773" s="38" t="str">
        <f>IFERROR(__xludf.DUMMYFUNCTION("REGEXREPLACE(C25773,""-\d+(.*)|--\d+(.*)"","""")"),"MAS-D'AUVIGNON")</f>
        <v>MAS-D'AUVIGNON</v>
      </c>
      <c r="E25773" s="38" t="s">
        <v>440</v>
      </c>
      <c r="F25773" s="38" t="s">
        <v>94</v>
      </c>
      <c r="G25773" s="49" t="str">
        <f t="shared" si="1"/>
        <v>32700</v>
      </c>
      <c r="H25773" s="49">
        <f t="shared" si="2"/>
        <v>32241</v>
      </c>
    </row>
    <row r="25774">
      <c r="A25774" s="48" t="s">
        <v>30275</v>
      </c>
      <c r="B25774" s="38">
        <v>66107.0</v>
      </c>
      <c r="C25774" s="38" t="s">
        <v>30276</v>
      </c>
      <c r="D25774" s="38" t="str">
        <f>IFERROR(__xludf.DUMMYFUNCTION("REGEXREPLACE(C25774,""-\d+(.*)|--\d+(.*)"","""")"),"MAURY")</f>
        <v>MAURY</v>
      </c>
      <c r="E25774" s="38" t="s">
        <v>248</v>
      </c>
      <c r="F25774" s="38" t="s">
        <v>119</v>
      </c>
      <c r="G25774" s="49" t="str">
        <f t="shared" si="1"/>
        <v>66460</v>
      </c>
      <c r="H25774" s="49">
        <f t="shared" si="2"/>
        <v>66107</v>
      </c>
    </row>
    <row r="25775">
      <c r="A25775" s="48" t="s">
        <v>6387</v>
      </c>
      <c r="B25775" s="38">
        <v>2645.0</v>
      </c>
      <c r="C25775" s="38" t="s">
        <v>30277</v>
      </c>
      <c r="D25775" s="38" t="str">
        <f>IFERROR(__xludf.DUMMYFUNCTION("REGEXREPLACE(C25775,""-\d+(.*)|--\d+(.*)"","""")"),"REUILLY-SAUVIGNY")</f>
        <v>REUILLY-SAUVIGNY</v>
      </c>
      <c r="E25775" s="38" t="s">
        <v>191</v>
      </c>
      <c r="F25775" s="38" t="s">
        <v>113</v>
      </c>
      <c r="G25775" s="49" t="str">
        <f t="shared" si="1"/>
        <v>02850</v>
      </c>
      <c r="H25775" s="49" t="str">
        <f t="shared" si="2"/>
        <v>02645</v>
      </c>
    </row>
    <row r="25776">
      <c r="A25776" s="48" t="s">
        <v>232</v>
      </c>
      <c r="B25776" s="38">
        <v>52403.0</v>
      </c>
      <c r="C25776" s="38" t="s">
        <v>30278</v>
      </c>
      <c r="D25776" s="38" t="str">
        <f>IFERROR(__xludf.DUMMYFUNCTION("REGEXREPLACE(C25776,""-\d+(.*)|--\d+(.*)"","""")"),"PRASLAY")</f>
        <v>PRASLAY</v>
      </c>
      <c r="E25776" s="38" t="s">
        <v>234</v>
      </c>
      <c r="F25776" s="38" t="s">
        <v>130</v>
      </c>
      <c r="G25776" s="49" t="str">
        <f t="shared" si="1"/>
        <v>52160</v>
      </c>
      <c r="H25776" s="49">
        <f t="shared" si="2"/>
        <v>52403</v>
      </c>
    </row>
    <row r="25777">
      <c r="A25777" s="48" t="s">
        <v>22233</v>
      </c>
      <c r="B25777" s="38">
        <v>59605.0</v>
      </c>
      <c r="C25777" s="38" t="s">
        <v>30279</v>
      </c>
      <c r="D25777" s="38" t="str">
        <f>IFERROR(__xludf.DUMMYFUNCTION("REGEXREPLACE(C25777,""-\d+(.*)|--\d+(.*)"","""")"),"UXEM")</f>
        <v>UXEM</v>
      </c>
      <c r="E25777" s="38" t="s">
        <v>85</v>
      </c>
      <c r="F25777" s="38" t="s">
        <v>86</v>
      </c>
      <c r="G25777" s="49" t="str">
        <f t="shared" si="1"/>
        <v>59229</v>
      </c>
      <c r="H25777" s="49">
        <f t="shared" si="2"/>
        <v>59605</v>
      </c>
    </row>
    <row r="25778">
      <c r="A25778" s="48" t="s">
        <v>5166</v>
      </c>
      <c r="B25778" s="38">
        <v>26136.0</v>
      </c>
      <c r="C25778" s="38" t="s">
        <v>30280</v>
      </c>
      <c r="D25778" s="38" t="str">
        <f>IFERROR(__xludf.DUMMYFUNCTION("REGEXREPLACE(C25778,""-\d+(.*)|--\d+(.*)"","""")"),"VAL-MARAVEL")</f>
        <v>VAL-MARAVEL</v>
      </c>
      <c r="E25778" s="38" t="s">
        <v>126</v>
      </c>
      <c r="F25778" s="38" t="s">
        <v>102</v>
      </c>
      <c r="G25778" s="49" t="str">
        <f t="shared" si="1"/>
        <v>26310</v>
      </c>
      <c r="H25778" s="49">
        <f t="shared" si="2"/>
        <v>26136</v>
      </c>
    </row>
    <row r="25779">
      <c r="A25779" s="48" t="s">
        <v>30281</v>
      </c>
      <c r="B25779" s="38">
        <v>74067.0</v>
      </c>
      <c r="C25779" s="38" t="s">
        <v>30282</v>
      </c>
      <c r="D25779" s="38" t="str">
        <f>IFERROR(__xludf.DUMMYFUNCTION("REGEXREPLACE(C25779,""-\d+(.*)|--\d+(.*)"","""")"),"CHAVANOD")</f>
        <v>CHAVANOD</v>
      </c>
      <c r="E25779" s="38" t="s">
        <v>319</v>
      </c>
      <c r="F25779" s="38" t="s">
        <v>102</v>
      </c>
      <c r="G25779" s="49" t="str">
        <f t="shared" si="1"/>
        <v>74650</v>
      </c>
      <c r="H25779" s="49">
        <f t="shared" si="2"/>
        <v>74067</v>
      </c>
    </row>
    <row r="25780">
      <c r="A25780" s="48" t="s">
        <v>3161</v>
      </c>
      <c r="B25780" s="38">
        <v>70499.0</v>
      </c>
      <c r="C25780" s="38" t="s">
        <v>30283</v>
      </c>
      <c r="D25780" s="38" t="str">
        <f>IFERROR(__xludf.DUMMYFUNCTION("REGEXREPLACE(C25780,""-\d+(.*)|--\d+(.*)"","""")"),"THEULEY")</f>
        <v>THEULEY</v>
      </c>
      <c r="E25780" s="38" t="s">
        <v>956</v>
      </c>
      <c r="F25780" s="38" t="s">
        <v>214</v>
      </c>
      <c r="G25780" s="49" t="str">
        <f t="shared" si="1"/>
        <v>70120</v>
      </c>
      <c r="H25780" s="49">
        <f t="shared" si="2"/>
        <v>70499</v>
      </c>
    </row>
    <row r="25781">
      <c r="A25781" s="48" t="s">
        <v>10536</v>
      </c>
      <c r="B25781" s="38">
        <v>72340.0</v>
      </c>
      <c r="C25781" s="38" t="s">
        <v>30284</v>
      </c>
      <c r="D25781" s="38" t="str">
        <f>IFERROR(__xludf.DUMMYFUNCTION("REGEXREPLACE(C25781,""-\d+(.*)|--\d+(.*)"","""")"),"SOULIGNE-SOUS-BALLON")</f>
        <v>SOULIGNE-SOUS-BALLON</v>
      </c>
      <c r="E25781" s="38" t="s">
        <v>521</v>
      </c>
      <c r="F25781" s="38" t="s">
        <v>180</v>
      </c>
      <c r="G25781" s="49" t="str">
        <f t="shared" si="1"/>
        <v>72290</v>
      </c>
      <c r="H25781" s="49">
        <f t="shared" si="2"/>
        <v>72340</v>
      </c>
    </row>
    <row r="25782">
      <c r="A25782" s="48" t="s">
        <v>11853</v>
      </c>
      <c r="B25782" s="38">
        <v>38080.0</v>
      </c>
      <c r="C25782" s="38" t="s">
        <v>30285</v>
      </c>
      <c r="D25782" s="38" t="str">
        <f>IFERROR(__xludf.DUMMYFUNCTION("REGEXREPLACE(C25782,""-\d+(.*)|--\d+(.*)"","""")"),"CHARANCIEU")</f>
        <v>CHARANCIEU</v>
      </c>
      <c r="E25782" s="38" t="s">
        <v>101</v>
      </c>
      <c r="F25782" s="38" t="s">
        <v>102</v>
      </c>
      <c r="G25782" s="49" t="str">
        <f t="shared" si="1"/>
        <v>38490</v>
      </c>
      <c r="H25782" s="49">
        <f t="shared" si="2"/>
        <v>38080</v>
      </c>
    </row>
    <row r="25783">
      <c r="A25783" s="48" t="s">
        <v>8999</v>
      </c>
      <c r="B25783" s="38">
        <v>49264.0</v>
      </c>
      <c r="C25783" s="38" t="s">
        <v>30286</v>
      </c>
      <c r="D25783" s="38" t="str">
        <f>IFERROR(__xludf.DUMMYFUNCTION("REGEXREPLACE(C25783,""-\d+(.*)|--\d+(.*)"","""")"),"SAINT-ANDRE-DE-LA-MARCHE")</f>
        <v>SAINT-ANDRE-DE-LA-MARCHE</v>
      </c>
      <c r="E25783" s="38" t="s">
        <v>653</v>
      </c>
      <c r="F25783" s="38" t="s">
        <v>180</v>
      </c>
      <c r="G25783" s="49" t="str">
        <f t="shared" si="1"/>
        <v>49450</v>
      </c>
      <c r="H25783" s="49">
        <f t="shared" si="2"/>
        <v>49264</v>
      </c>
    </row>
    <row r="25784">
      <c r="A25784" s="48" t="s">
        <v>30287</v>
      </c>
      <c r="B25784" s="38">
        <v>97415.0</v>
      </c>
      <c r="C25784" s="38" t="s">
        <v>5044</v>
      </c>
      <c r="D25784" s="38" t="str">
        <f>IFERROR(__xludf.DUMMYFUNCTION("REGEXREPLACE(C25784,""-\d+(.*)|--\d+(.*)"","""")"),"SAINT-PAUL")</f>
        <v>SAINT-PAUL</v>
      </c>
      <c r="E25784" s="38" t="s">
        <v>7739</v>
      </c>
      <c r="F25784" s="38" t="s">
        <v>7739</v>
      </c>
      <c r="G25784" s="49" t="str">
        <f t="shared" si="1"/>
        <v>97460</v>
      </c>
      <c r="H25784" s="49">
        <f t="shared" si="2"/>
        <v>97415</v>
      </c>
    </row>
    <row r="25785">
      <c r="A25785" s="48" t="s">
        <v>4295</v>
      </c>
      <c r="B25785" s="38">
        <v>40009.0</v>
      </c>
      <c r="C25785" s="38" t="s">
        <v>30288</v>
      </c>
      <c r="D25785" s="38" t="str">
        <f>IFERROR(__xludf.DUMMYFUNCTION("REGEXREPLACE(C25785,""-\d+(.*)|--\d+(.*)"","""")"),"ARJUZANX")</f>
        <v>ARJUZANX</v>
      </c>
      <c r="E25785" s="38" t="s">
        <v>281</v>
      </c>
      <c r="F25785" s="38" t="s">
        <v>252</v>
      </c>
      <c r="G25785" s="49" t="str">
        <f t="shared" si="1"/>
        <v>40110</v>
      </c>
      <c r="H25785" s="49">
        <f t="shared" si="2"/>
        <v>40009</v>
      </c>
    </row>
    <row r="25786">
      <c r="A25786" s="48" t="s">
        <v>932</v>
      </c>
      <c r="B25786" s="38">
        <v>17031.0</v>
      </c>
      <c r="C25786" s="38" t="s">
        <v>30289</v>
      </c>
      <c r="D25786" s="38" t="str">
        <f>IFERROR(__xludf.DUMMYFUNCTION("REGEXREPLACE(C25786,""-\d+(.*)|--\d+(.*)"","""")"),"BALLANS")</f>
        <v>BALLANS</v>
      </c>
      <c r="E25786" s="38" t="s">
        <v>488</v>
      </c>
      <c r="F25786" s="38" t="s">
        <v>338</v>
      </c>
      <c r="G25786" s="49" t="str">
        <f t="shared" si="1"/>
        <v>17160</v>
      </c>
      <c r="H25786" s="49">
        <f t="shared" si="2"/>
        <v>17031</v>
      </c>
    </row>
    <row r="25787">
      <c r="A25787" s="48" t="s">
        <v>2812</v>
      </c>
      <c r="B25787" s="38">
        <v>61242.0</v>
      </c>
      <c r="C25787" s="38" t="s">
        <v>30290</v>
      </c>
      <c r="D25787" s="38" t="str">
        <f>IFERROR(__xludf.DUMMYFUNCTION("REGEXREPLACE(C25787,""-\d+(.*)|--\d+(.*)"","""")"),"LE MAGE")</f>
        <v>LE MAGE</v>
      </c>
      <c r="E25787" s="38" t="s">
        <v>141</v>
      </c>
      <c r="F25787" s="38" t="s">
        <v>138</v>
      </c>
      <c r="G25787" s="49" t="str">
        <f t="shared" si="1"/>
        <v>61290</v>
      </c>
      <c r="H25787" s="49">
        <f t="shared" si="2"/>
        <v>61242</v>
      </c>
    </row>
    <row r="25788">
      <c r="A25788" s="48" t="s">
        <v>192</v>
      </c>
      <c r="B25788" s="38">
        <v>88280.0</v>
      </c>
      <c r="C25788" s="38" t="s">
        <v>30291</v>
      </c>
      <c r="D25788" s="38" t="str">
        <f>IFERROR(__xludf.DUMMYFUNCTION("REGEXREPLACE(C25788,""-\d+(.*)|--\d+(.*)"","""")"),"MADEGNEY")</f>
        <v>MADEGNEY</v>
      </c>
      <c r="E25788" s="38" t="s">
        <v>194</v>
      </c>
      <c r="F25788" s="38" t="s">
        <v>195</v>
      </c>
      <c r="G25788" s="49" t="str">
        <f t="shared" si="1"/>
        <v>88450</v>
      </c>
      <c r="H25788" s="49">
        <f t="shared" si="2"/>
        <v>88280</v>
      </c>
    </row>
    <row r="25789">
      <c r="A25789" s="48" t="s">
        <v>11437</v>
      </c>
      <c r="B25789" s="38">
        <v>71565.0</v>
      </c>
      <c r="C25789" s="38" t="s">
        <v>30292</v>
      </c>
      <c r="D25789" s="38" t="str">
        <f>IFERROR(__xludf.DUMMYFUNCTION("REGEXREPLACE(C25789,""-\d+(.*)|--\d+(.*)"","""")"),"VENDENESSE-SUR-ARROUX")</f>
        <v>VENDENESSE-SUR-ARROUX</v>
      </c>
      <c r="E25789" s="38" t="s">
        <v>344</v>
      </c>
      <c r="F25789" s="38" t="s">
        <v>106</v>
      </c>
      <c r="G25789" s="49" t="str">
        <f t="shared" si="1"/>
        <v>71130</v>
      </c>
      <c r="H25789" s="49">
        <f t="shared" si="2"/>
        <v>71565</v>
      </c>
    </row>
    <row r="25790">
      <c r="A25790" s="48" t="s">
        <v>972</v>
      </c>
      <c r="B25790" s="38">
        <v>37142.0</v>
      </c>
      <c r="C25790" s="38" t="s">
        <v>7407</v>
      </c>
      <c r="D25790" s="38" t="str">
        <f>IFERROR(__xludf.DUMMYFUNCTION("REGEXREPLACE(C25790,""-\d+(.*)|--\d+(.*)"","""")"),"MAILLE")</f>
        <v>MAILLE</v>
      </c>
      <c r="E25790" s="38" t="s">
        <v>205</v>
      </c>
      <c r="F25790" s="38" t="s">
        <v>123</v>
      </c>
      <c r="G25790" s="49" t="str">
        <f t="shared" si="1"/>
        <v>37800</v>
      </c>
      <c r="H25790" s="49">
        <f t="shared" si="2"/>
        <v>37142</v>
      </c>
    </row>
    <row r="25791">
      <c r="A25791" s="48" t="s">
        <v>1475</v>
      </c>
      <c r="B25791" s="38">
        <v>50450.0</v>
      </c>
      <c r="C25791" s="38" t="s">
        <v>10322</v>
      </c>
      <c r="D25791" s="38" t="str">
        <f>IFERROR(__xludf.DUMMYFUNCTION("REGEXREPLACE(C25791,""-\d+(.*)|--\d+(.*)"","""")"),"SAINT-BARTHELEMY")</f>
        <v>SAINT-BARTHELEMY</v>
      </c>
      <c r="E25791" s="38" t="s">
        <v>157</v>
      </c>
      <c r="F25791" s="38" t="s">
        <v>138</v>
      </c>
      <c r="G25791" s="49" t="str">
        <f t="shared" si="1"/>
        <v>50140</v>
      </c>
      <c r="H25791" s="49">
        <f t="shared" si="2"/>
        <v>50450</v>
      </c>
    </row>
    <row r="25792">
      <c r="A25792" s="48" t="s">
        <v>19249</v>
      </c>
      <c r="B25792" s="38">
        <v>77415.0</v>
      </c>
      <c r="C25792" s="38" t="s">
        <v>30293</v>
      </c>
      <c r="D25792" s="38" t="str">
        <f>IFERROR(__xludf.DUMMYFUNCTION("REGEXREPLACE(C25792,""-\d+(.*)|--\d+(.*)"","""")"),"SAINT-JEAN-LES-DEUX-JUMEAUX")</f>
        <v>SAINT-JEAN-LES-DEUX-JUMEAUX</v>
      </c>
      <c r="E25792" s="38" t="s">
        <v>244</v>
      </c>
      <c r="F25792" s="38" t="s">
        <v>245</v>
      </c>
      <c r="G25792" s="49" t="str">
        <f t="shared" si="1"/>
        <v>77660</v>
      </c>
      <c r="H25792" s="49">
        <f t="shared" si="2"/>
        <v>77415</v>
      </c>
    </row>
    <row r="25793">
      <c r="A25793" s="48" t="s">
        <v>4682</v>
      </c>
      <c r="B25793" s="38">
        <v>50233.0</v>
      </c>
      <c r="C25793" s="38" t="s">
        <v>30294</v>
      </c>
      <c r="D25793" s="38" t="str">
        <f>IFERROR(__xludf.DUMMYFUNCTION("REGEXREPLACE(C25793,""-\d+(.*)|--\d+(.*)"","""")"),"HAUTTEVILLE-BOCAGE")</f>
        <v>HAUTTEVILLE-BOCAGE</v>
      </c>
      <c r="E25793" s="38" t="s">
        <v>157</v>
      </c>
      <c r="F25793" s="38" t="s">
        <v>138</v>
      </c>
      <c r="G25793" s="49" t="str">
        <f t="shared" si="1"/>
        <v>50390</v>
      </c>
      <c r="H25793" s="49">
        <f t="shared" si="2"/>
        <v>50233</v>
      </c>
    </row>
    <row r="25794">
      <c r="A25794" s="48" t="s">
        <v>7494</v>
      </c>
      <c r="B25794" s="38">
        <v>81059.0</v>
      </c>
      <c r="C25794" s="38" t="s">
        <v>30295</v>
      </c>
      <c r="D25794" s="38" t="str">
        <f>IFERROR(__xludf.DUMMYFUNCTION("REGEXREPLACE(C25794,""-\d+(.*)|--\d+(.*)"","""")"),"CARLUS")</f>
        <v>CARLUS</v>
      </c>
      <c r="E25794" s="38" t="s">
        <v>231</v>
      </c>
      <c r="F25794" s="38" t="s">
        <v>94</v>
      </c>
      <c r="G25794" s="49" t="str">
        <f t="shared" si="1"/>
        <v>81990</v>
      </c>
      <c r="H25794" s="49">
        <f t="shared" si="2"/>
        <v>81059</v>
      </c>
    </row>
    <row r="25795">
      <c r="A25795" s="48" t="s">
        <v>519</v>
      </c>
      <c r="B25795" s="38">
        <v>72045.0</v>
      </c>
      <c r="C25795" s="38" t="s">
        <v>30296</v>
      </c>
      <c r="D25795" s="38" t="str">
        <f>IFERROR(__xludf.DUMMYFUNCTION("REGEXREPLACE(C25795,""-\d+(.*)|--\d+(.*)"","""")"),"BRAINS-SUR-GEE")</f>
        <v>BRAINS-SUR-GEE</v>
      </c>
      <c r="E25795" s="38" t="s">
        <v>521</v>
      </c>
      <c r="F25795" s="38" t="s">
        <v>180</v>
      </c>
      <c r="G25795" s="49" t="str">
        <f t="shared" si="1"/>
        <v>72550</v>
      </c>
      <c r="H25795" s="49">
        <f t="shared" si="2"/>
        <v>72045</v>
      </c>
    </row>
    <row r="25796">
      <c r="A25796" s="48" t="s">
        <v>3626</v>
      </c>
      <c r="B25796" s="38">
        <v>57612.0</v>
      </c>
      <c r="C25796" s="38" t="s">
        <v>30297</v>
      </c>
      <c r="D25796" s="38" t="str">
        <f>IFERROR(__xludf.DUMMYFUNCTION("REGEXREPLACE(C25796,""-\d+(.*)|--\d+(.*)"","""")"),"SAINT-HUBERT")</f>
        <v>SAINT-HUBERT</v>
      </c>
      <c r="E25796" s="38" t="s">
        <v>303</v>
      </c>
      <c r="F25796" s="38" t="s">
        <v>195</v>
      </c>
      <c r="G25796" s="49" t="str">
        <f t="shared" si="1"/>
        <v>57640</v>
      </c>
      <c r="H25796" s="49">
        <f t="shared" si="2"/>
        <v>57612</v>
      </c>
    </row>
    <row r="25797">
      <c r="A25797" s="48" t="s">
        <v>4561</v>
      </c>
      <c r="B25797" s="38">
        <v>79352.0</v>
      </c>
      <c r="C25797" s="38" t="s">
        <v>30298</v>
      </c>
      <c r="D25797" s="38" t="str">
        <f>IFERROR(__xludf.DUMMYFUNCTION("REGEXREPLACE(C25797,""-\d+(.*)|--\d+(.*)"","""")"),"VILLIERS-SUR-CHIZE")</f>
        <v>VILLIERS-SUR-CHIZE</v>
      </c>
      <c r="E25797" s="38" t="s">
        <v>337</v>
      </c>
      <c r="F25797" s="38" t="s">
        <v>338</v>
      </c>
      <c r="G25797" s="49" t="str">
        <f t="shared" si="1"/>
        <v>79170</v>
      </c>
      <c r="H25797" s="49">
        <f t="shared" si="2"/>
        <v>79352</v>
      </c>
    </row>
    <row r="25798">
      <c r="A25798" s="48" t="s">
        <v>10677</v>
      </c>
      <c r="B25798" s="38">
        <v>29206.0</v>
      </c>
      <c r="C25798" s="38" t="s">
        <v>30299</v>
      </c>
      <c r="D25798" s="38" t="str">
        <f>IFERROR(__xludf.DUMMYFUNCTION("REGEXREPLACE(C25798,""-\d+(.*)|--\d+(.*)"","""")"),"PLOUNEVEZ-LOCHRIST")</f>
        <v>PLOUNEVEZ-LOCHRIST</v>
      </c>
      <c r="E25798" s="38" t="s">
        <v>176</v>
      </c>
      <c r="F25798" s="38" t="s">
        <v>90</v>
      </c>
      <c r="G25798" s="49" t="str">
        <f t="shared" si="1"/>
        <v>29430</v>
      </c>
      <c r="H25798" s="49">
        <f t="shared" si="2"/>
        <v>29206</v>
      </c>
    </row>
    <row r="25799">
      <c r="A25799" s="48" t="s">
        <v>1706</v>
      </c>
      <c r="B25799" s="38">
        <v>50176.0</v>
      </c>
      <c r="C25799" s="38" t="s">
        <v>30300</v>
      </c>
      <c r="D25799" s="38" t="str">
        <f>IFERROR(__xludf.DUMMYFUNCTION("REGEXREPLACE(C25799,""-\d+(.*)|--\d+(.*)"","""")"),"L'ETANG-BERTRAND")</f>
        <v>L'ETANG-BERTRAND</v>
      </c>
      <c r="E25799" s="38" t="s">
        <v>157</v>
      </c>
      <c r="F25799" s="38" t="s">
        <v>138</v>
      </c>
      <c r="G25799" s="49" t="str">
        <f t="shared" si="1"/>
        <v>50260</v>
      </c>
      <c r="H25799" s="49">
        <f t="shared" si="2"/>
        <v>50176</v>
      </c>
    </row>
    <row r="25800">
      <c r="A25800" s="48" t="s">
        <v>2619</v>
      </c>
      <c r="B25800" s="38">
        <v>71001.0</v>
      </c>
      <c r="C25800" s="38" t="s">
        <v>30301</v>
      </c>
      <c r="D25800" s="38" t="str">
        <f>IFERROR(__xludf.DUMMYFUNCTION("REGEXREPLACE(C25800,""-\d+(.*)|--\d+(.*)"","""")"),"L'ABERGEMENT-DE-CUISERY")</f>
        <v>L'ABERGEMENT-DE-CUISERY</v>
      </c>
      <c r="E25800" s="38" t="s">
        <v>344</v>
      </c>
      <c r="F25800" s="38" t="s">
        <v>106</v>
      </c>
      <c r="G25800" s="49" t="str">
        <f t="shared" si="1"/>
        <v>71290</v>
      </c>
      <c r="H25800" s="49">
        <f t="shared" si="2"/>
        <v>71001</v>
      </c>
    </row>
    <row r="25801">
      <c r="A25801" s="48" t="s">
        <v>1949</v>
      </c>
      <c r="B25801" s="38">
        <v>32221.0</v>
      </c>
      <c r="C25801" s="38" t="s">
        <v>2626</v>
      </c>
      <c r="D25801" s="38" t="str">
        <f>IFERROR(__xludf.DUMMYFUNCTION("REGEXREPLACE(C25801,""-\d+(.*)|--\d+(.*)"","""")"),"LUSSAN")</f>
        <v>LUSSAN</v>
      </c>
      <c r="E25801" s="38" t="s">
        <v>440</v>
      </c>
      <c r="F25801" s="38" t="s">
        <v>94</v>
      </c>
      <c r="G25801" s="49" t="str">
        <f t="shared" si="1"/>
        <v>32270</v>
      </c>
      <c r="H25801" s="49">
        <f t="shared" si="2"/>
        <v>32221</v>
      </c>
    </row>
    <row r="25802">
      <c r="A25802" s="48" t="s">
        <v>5028</v>
      </c>
      <c r="B25802" s="38">
        <v>25623.0</v>
      </c>
      <c r="C25802" s="38" t="s">
        <v>30302</v>
      </c>
      <c r="D25802" s="38" t="str">
        <f>IFERROR(__xludf.DUMMYFUNCTION("REGEXREPLACE(C25802,""-\d+(.*)|--\d+(.*)"","""")"),"VILLERS-CHIEF")</f>
        <v>VILLERS-CHIEF</v>
      </c>
      <c r="E25802" s="38" t="s">
        <v>213</v>
      </c>
      <c r="F25802" s="38" t="s">
        <v>214</v>
      </c>
      <c r="G25802" s="49" t="str">
        <f t="shared" si="1"/>
        <v>25530</v>
      </c>
      <c r="H25802" s="49">
        <f t="shared" si="2"/>
        <v>25623</v>
      </c>
    </row>
    <row r="25803">
      <c r="A25803" s="48" t="s">
        <v>7386</v>
      </c>
      <c r="B25803" s="38">
        <v>64260.0</v>
      </c>
      <c r="C25803" s="38" t="s">
        <v>30303</v>
      </c>
      <c r="D25803" s="38" t="str">
        <f>IFERROR(__xludf.DUMMYFUNCTION("REGEXREPLACE(C25803,""-\d+(.*)|--\d+(.*)"","""")"),"HENDAYE")</f>
        <v>HENDAYE</v>
      </c>
      <c r="E25803" s="38" t="s">
        <v>268</v>
      </c>
      <c r="F25803" s="38" t="s">
        <v>252</v>
      </c>
      <c r="G25803" s="49" t="str">
        <f t="shared" si="1"/>
        <v>64700</v>
      </c>
      <c r="H25803" s="49">
        <f t="shared" si="2"/>
        <v>64260</v>
      </c>
    </row>
    <row r="25804">
      <c r="A25804" s="48" t="s">
        <v>11602</v>
      </c>
      <c r="B25804" s="38">
        <v>5117.0</v>
      </c>
      <c r="C25804" s="38" t="s">
        <v>30304</v>
      </c>
      <c r="D25804" s="38" t="str">
        <f>IFERROR(__xludf.DUMMYFUNCTION("REGEXREPLACE(C25804,""-\d+(.*)|--\d+(.*)"","""")"),"RIBEYRET")</f>
        <v>RIBEYRET</v>
      </c>
      <c r="E25804" s="38" t="s">
        <v>706</v>
      </c>
      <c r="F25804" s="38" t="s">
        <v>228</v>
      </c>
      <c r="G25804" s="49" t="str">
        <f t="shared" si="1"/>
        <v>05150</v>
      </c>
      <c r="H25804" s="49" t="str">
        <f t="shared" si="2"/>
        <v>05117</v>
      </c>
    </row>
    <row r="25805">
      <c r="A25805" s="48" t="s">
        <v>14759</v>
      </c>
      <c r="B25805" s="38">
        <v>19198.0</v>
      </c>
      <c r="C25805" s="38" t="s">
        <v>30305</v>
      </c>
      <c r="D25805" s="38" t="str">
        <f>IFERROR(__xludf.DUMMYFUNCTION("REGEXREPLACE(C25805,""-\d+(.*)|--\d+(.*)"","""")"),"SAINT-ELOY-LES-TUILERIES")</f>
        <v>SAINT-ELOY-LES-TUILERIES</v>
      </c>
      <c r="E25805" s="38" t="s">
        <v>271</v>
      </c>
      <c r="F25805" s="38" t="s">
        <v>98</v>
      </c>
      <c r="G25805" s="49" t="str">
        <f t="shared" si="1"/>
        <v>19210</v>
      </c>
      <c r="H25805" s="49">
        <f t="shared" si="2"/>
        <v>19198</v>
      </c>
    </row>
    <row r="25806">
      <c r="A25806" s="48" t="s">
        <v>19153</v>
      </c>
      <c r="B25806" s="38">
        <v>78601.0</v>
      </c>
      <c r="C25806" s="38" t="s">
        <v>30306</v>
      </c>
      <c r="D25806" s="38" t="str">
        <f>IFERROR(__xludf.DUMMYFUNCTION("REGEXREPLACE(C25806,""-\d+(.*)|--\d+(.*)"","""")"),"SONCHAMP")</f>
        <v>SONCHAMP</v>
      </c>
      <c r="E25806" s="38" t="s">
        <v>362</v>
      </c>
      <c r="F25806" s="38" t="s">
        <v>245</v>
      </c>
      <c r="G25806" s="49" t="str">
        <f t="shared" si="1"/>
        <v>78120</v>
      </c>
      <c r="H25806" s="49">
        <f t="shared" si="2"/>
        <v>78601</v>
      </c>
    </row>
    <row r="25807">
      <c r="A25807" s="48" t="s">
        <v>30307</v>
      </c>
      <c r="B25807" s="38">
        <v>97356.0</v>
      </c>
      <c r="C25807" s="38" t="s">
        <v>30308</v>
      </c>
      <c r="D25807" s="38" t="str">
        <f>IFERROR(__xludf.DUMMYFUNCTION("REGEXREPLACE(C25807,""-\d+(.*)|--\d+(.*)"","""")"),"CAMOPI")</f>
        <v>CAMOPI</v>
      </c>
      <c r="E25807" s="38" t="s">
        <v>1737</v>
      </c>
      <c r="F25807" s="38" t="s">
        <v>1737</v>
      </c>
      <c r="G25807" s="49" t="str">
        <f t="shared" si="1"/>
        <v>97330</v>
      </c>
      <c r="H25807" s="49">
        <f t="shared" si="2"/>
        <v>97356</v>
      </c>
    </row>
    <row r="25808">
      <c r="A25808" s="48" t="s">
        <v>1091</v>
      </c>
      <c r="B25808" s="38">
        <v>57156.0</v>
      </c>
      <c r="C25808" s="38" t="s">
        <v>30309</v>
      </c>
      <c r="D25808" s="38" t="str">
        <f>IFERROR(__xludf.DUMMYFUNCTION("REGEXREPLACE(C25808,""-\d+(.*)|--\d+(.*)"","""")"),"COURCELLES-SUR-NIED")</f>
        <v>COURCELLES-SUR-NIED</v>
      </c>
      <c r="E25808" s="38" t="s">
        <v>303</v>
      </c>
      <c r="F25808" s="38" t="s">
        <v>195</v>
      </c>
      <c r="G25808" s="49" t="str">
        <f t="shared" si="1"/>
        <v>57530</v>
      </c>
      <c r="H25808" s="49">
        <f t="shared" si="2"/>
        <v>57156</v>
      </c>
    </row>
    <row r="25809">
      <c r="A25809" s="48" t="s">
        <v>1989</v>
      </c>
      <c r="B25809" s="38">
        <v>60374.0</v>
      </c>
      <c r="C25809" s="38" t="s">
        <v>30310</v>
      </c>
      <c r="D25809" s="38" t="str">
        <f>IFERROR(__xludf.DUMMYFUNCTION("REGEXREPLACE(C25809,""-\d+(.*)|--\d+(.*)"","""")"),"MAIGNELAY-MONTIGNY")</f>
        <v>MAIGNELAY-MONTIGNY</v>
      </c>
      <c r="E25809" s="38" t="s">
        <v>112</v>
      </c>
      <c r="F25809" s="38" t="s">
        <v>113</v>
      </c>
      <c r="G25809" s="49" t="str">
        <f t="shared" si="1"/>
        <v>60420</v>
      </c>
      <c r="H25809" s="49">
        <f t="shared" si="2"/>
        <v>60374</v>
      </c>
    </row>
    <row r="25810">
      <c r="A25810" s="48" t="s">
        <v>10861</v>
      </c>
      <c r="B25810" s="38">
        <v>35125.0</v>
      </c>
      <c r="C25810" s="38" t="s">
        <v>30311</v>
      </c>
      <c r="D25810" s="38" t="str">
        <f>IFERROR(__xludf.DUMMYFUNCTION("REGEXREPLACE(C25810,""-\d+(.*)|--\d+(.*)"","""")"),"LA GUERCHE-DE-BRETAGNE")</f>
        <v>LA GUERCHE-DE-BRETAGNE</v>
      </c>
      <c r="E25810" s="38" t="s">
        <v>347</v>
      </c>
      <c r="F25810" s="38" t="s">
        <v>90</v>
      </c>
      <c r="G25810" s="49" t="str">
        <f t="shared" si="1"/>
        <v>35130</v>
      </c>
      <c r="H25810" s="49">
        <f t="shared" si="2"/>
        <v>35125</v>
      </c>
    </row>
    <row r="25811">
      <c r="A25811" s="48" t="s">
        <v>7351</v>
      </c>
      <c r="B25811" s="38">
        <v>56188.0</v>
      </c>
      <c r="C25811" s="38" t="s">
        <v>30312</v>
      </c>
      <c r="D25811" s="38" t="str">
        <f>IFERROR(__xludf.DUMMYFUNCTION("REGEXREPLACE(C25811,""-\d+(.*)|--\d+(.*)"","""")"),"QUISTINIC")</f>
        <v>QUISTINIC</v>
      </c>
      <c r="E25811" s="38" t="s">
        <v>173</v>
      </c>
      <c r="F25811" s="38" t="s">
        <v>90</v>
      </c>
      <c r="G25811" s="49" t="str">
        <f t="shared" si="1"/>
        <v>56310</v>
      </c>
      <c r="H25811" s="49">
        <f t="shared" si="2"/>
        <v>56188</v>
      </c>
    </row>
    <row r="25812">
      <c r="A25812" s="48" t="s">
        <v>2817</v>
      </c>
      <c r="B25812" s="38">
        <v>64270.0</v>
      </c>
      <c r="C25812" s="38" t="s">
        <v>30313</v>
      </c>
      <c r="D25812" s="38" t="str">
        <f>IFERROR(__xludf.DUMMYFUNCTION("REGEXREPLACE(C25812,""-\d+(.*)|--\d+(.*)"","""")"),"IGON")</f>
        <v>IGON</v>
      </c>
      <c r="E25812" s="38" t="s">
        <v>268</v>
      </c>
      <c r="F25812" s="38" t="s">
        <v>252</v>
      </c>
      <c r="G25812" s="49" t="str">
        <f t="shared" si="1"/>
        <v>64800</v>
      </c>
      <c r="H25812" s="49">
        <f t="shared" si="2"/>
        <v>64270</v>
      </c>
    </row>
    <row r="25813">
      <c r="A25813" s="48" t="s">
        <v>12460</v>
      </c>
      <c r="B25813" s="38">
        <v>64261.0</v>
      </c>
      <c r="C25813" s="38" t="s">
        <v>30314</v>
      </c>
      <c r="D25813" s="38" t="str">
        <f>IFERROR(__xludf.DUMMYFUNCTION("REGEXREPLACE(C25813,""-\d+(.*)|--\d+(.*)"","""")"),"HERRERE")</f>
        <v>HERRERE</v>
      </c>
      <c r="E25813" s="38" t="s">
        <v>268</v>
      </c>
      <c r="F25813" s="38" t="s">
        <v>252</v>
      </c>
      <c r="G25813" s="49" t="str">
        <f t="shared" si="1"/>
        <v>64680</v>
      </c>
      <c r="H25813" s="49">
        <f t="shared" si="2"/>
        <v>64261</v>
      </c>
    </row>
    <row r="25814">
      <c r="A25814" s="48" t="s">
        <v>2128</v>
      </c>
      <c r="B25814" s="38">
        <v>2565.0</v>
      </c>
      <c r="C25814" s="38" t="s">
        <v>18273</v>
      </c>
      <c r="D25814" s="38" t="str">
        <f>IFERROR(__xludf.DUMMYFUNCTION("REGEXREPLACE(C25814,""-\d+(.*)|--\d+(.*)"","""")"),"OEUILLY")</f>
        <v>OEUILLY</v>
      </c>
      <c r="E25814" s="38" t="s">
        <v>191</v>
      </c>
      <c r="F25814" s="38" t="s">
        <v>113</v>
      </c>
      <c r="G25814" s="49" t="str">
        <f t="shared" si="1"/>
        <v>02160</v>
      </c>
      <c r="H25814" s="49" t="str">
        <f t="shared" si="2"/>
        <v>02565</v>
      </c>
    </row>
    <row r="25815">
      <c r="A25815" s="48" t="s">
        <v>6795</v>
      </c>
      <c r="B25815" s="38">
        <v>37166.0</v>
      </c>
      <c r="C25815" s="38" t="s">
        <v>30315</v>
      </c>
      <c r="D25815" s="38" t="str">
        <f>IFERROR(__xludf.DUMMYFUNCTION("REGEXREPLACE(C25815,""-\d+(.*)|--\d+(.*)"","""")"),"NEUILLE-LE-LIERRE")</f>
        <v>NEUILLE-LE-LIERRE</v>
      </c>
      <c r="E25815" s="38" t="s">
        <v>205</v>
      </c>
      <c r="F25815" s="38" t="s">
        <v>123</v>
      </c>
      <c r="G25815" s="49" t="str">
        <f t="shared" si="1"/>
        <v>37380</v>
      </c>
      <c r="H25815" s="49">
        <f t="shared" si="2"/>
        <v>37166</v>
      </c>
    </row>
    <row r="25816">
      <c r="A25816" s="48" t="s">
        <v>5212</v>
      </c>
      <c r="B25816" s="38">
        <v>41201.0</v>
      </c>
      <c r="C25816" s="38" t="s">
        <v>4913</v>
      </c>
      <c r="D25816" s="38" t="str">
        <f>IFERROR(__xludf.DUMMYFUNCTION("REGEXREPLACE(C25816,""-\d+(.*)|--\d+(.*)"","""")"),"SAINT-ARNOULT")</f>
        <v>SAINT-ARNOULT</v>
      </c>
      <c r="E25816" s="38" t="s">
        <v>188</v>
      </c>
      <c r="F25816" s="38" t="s">
        <v>123</v>
      </c>
      <c r="G25816" s="49" t="str">
        <f t="shared" si="1"/>
        <v>41800</v>
      </c>
      <c r="H25816" s="49">
        <f t="shared" si="2"/>
        <v>41201</v>
      </c>
    </row>
    <row r="25817">
      <c r="A25817" s="48" t="s">
        <v>29907</v>
      </c>
      <c r="B25817" s="38">
        <v>35332.0</v>
      </c>
      <c r="C25817" s="38" t="s">
        <v>30316</v>
      </c>
      <c r="D25817" s="38" t="str">
        <f>IFERROR(__xludf.DUMMYFUNCTION("REGEXREPLACE(C25817,""-\d+(.*)|--\d+(.*)"","""")"),"TEILLAY")</f>
        <v>TEILLAY</v>
      </c>
      <c r="E25817" s="38" t="s">
        <v>347</v>
      </c>
      <c r="F25817" s="38" t="s">
        <v>90</v>
      </c>
      <c r="G25817" s="49" t="str">
        <f t="shared" si="1"/>
        <v>35620</v>
      </c>
      <c r="H25817" s="49">
        <f t="shared" si="2"/>
        <v>35332</v>
      </c>
    </row>
    <row r="25818">
      <c r="A25818" s="48" t="s">
        <v>6184</v>
      </c>
      <c r="B25818" s="38">
        <v>7275.0</v>
      </c>
      <c r="C25818" s="38" t="s">
        <v>30317</v>
      </c>
      <c r="D25818" s="38" t="str">
        <f>IFERROR(__xludf.DUMMYFUNCTION("REGEXREPLACE(C25818,""-\d+(.*)|--\d+(.*)"","""")"),"SAINT-MELANY")</f>
        <v>SAINT-MELANY</v>
      </c>
      <c r="E25818" s="38" t="s">
        <v>144</v>
      </c>
      <c r="F25818" s="38" t="s">
        <v>102</v>
      </c>
      <c r="G25818" s="49" t="str">
        <f t="shared" si="1"/>
        <v>07260</v>
      </c>
      <c r="H25818" s="49" t="str">
        <f t="shared" si="2"/>
        <v>07275</v>
      </c>
    </row>
    <row r="25819">
      <c r="A25819" s="48" t="s">
        <v>2449</v>
      </c>
      <c r="B25819" s="38">
        <v>12086.0</v>
      </c>
      <c r="C25819" s="38" t="s">
        <v>30318</v>
      </c>
      <c r="D25819" s="38" t="str">
        <f>IFERROR(__xludf.DUMMYFUNCTION("REGEXREPLACE(C25819,""-\d+(.*)|--\d+(.*)"","""")"),"LA CRESSE")</f>
        <v>LA CRESSE</v>
      </c>
      <c r="E25819" s="38" t="s">
        <v>465</v>
      </c>
      <c r="F25819" s="38" t="s">
        <v>94</v>
      </c>
      <c r="G25819" s="49" t="str">
        <f t="shared" si="1"/>
        <v>12640</v>
      </c>
      <c r="H25819" s="49">
        <f t="shared" si="2"/>
        <v>12086</v>
      </c>
    </row>
    <row r="25820">
      <c r="A25820" s="48" t="s">
        <v>3026</v>
      </c>
      <c r="B25820" s="38">
        <v>2007.0</v>
      </c>
      <c r="C25820" s="38" t="s">
        <v>30319</v>
      </c>
      <c r="D25820" s="38" t="str">
        <f>IFERROR(__xludf.DUMMYFUNCTION("REGEXREPLACE(C25820,""-\d+(.*)|--\d+(.*)"","""")"),"AIZELLES")</f>
        <v>AIZELLES</v>
      </c>
      <c r="E25820" s="38" t="s">
        <v>191</v>
      </c>
      <c r="F25820" s="38" t="s">
        <v>113</v>
      </c>
      <c r="G25820" s="49" t="str">
        <f t="shared" si="1"/>
        <v>02820</v>
      </c>
      <c r="H25820" s="49" t="str">
        <f t="shared" si="2"/>
        <v>02007</v>
      </c>
    </row>
    <row r="25821">
      <c r="A25821" s="48" t="s">
        <v>6572</v>
      </c>
      <c r="B25821" s="38">
        <v>31266.0</v>
      </c>
      <c r="C25821" s="38" t="s">
        <v>30320</v>
      </c>
      <c r="D25821" s="38" t="str">
        <f>IFERROR(__xludf.DUMMYFUNCTION("REGEXREPLACE(C25821,""-\d+(.*)|--\d+(.*)"","""")"),"LAHAGE")</f>
        <v>LAHAGE</v>
      </c>
      <c r="E25821" s="38" t="s">
        <v>93</v>
      </c>
      <c r="F25821" s="38" t="s">
        <v>94</v>
      </c>
      <c r="G25821" s="49" t="str">
        <f t="shared" si="1"/>
        <v>31370</v>
      </c>
      <c r="H25821" s="49">
        <f t="shared" si="2"/>
        <v>31266</v>
      </c>
    </row>
    <row r="25822">
      <c r="A25822" s="48" t="s">
        <v>663</v>
      </c>
      <c r="B25822" s="38">
        <v>86055.0</v>
      </c>
      <c r="C25822" s="38" t="s">
        <v>2615</v>
      </c>
      <c r="D25822" s="38" t="str">
        <f>IFERROR(__xludf.DUMMYFUNCTION("REGEXREPLACE(C25822,""-\d+(.*)|--\d+(.*)"","""")"),"LA CHAPELLE-BATON")</f>
        <v>LA CHAPELLE-BATON</v>
      </c>
      <c r="E25822" s="38" t="s">
        <v>529</v>
      </c>
      <c r="F25822" s="38" t="s">
        <v>338</v>
      </c>
      <c r="G25822" s="49" t="str">
        <f t="shared" si="1"/>
        <v>86250</v>
      </c>
      <c r="H25822" s="49">
        <f t="shared" si="2"/>
        <v>86055</v>
      </c>
    </row>
    <row r="25823">
      <c r="A25823" s="48" t="s">
        <v>30321</v>
      </c>
      <c r="B25823" s="38">
        <v>83019.0</v>
      </c>
      <c r="C25823" s="38" t="s">
        <v>30322</v>
      </c>
      <c r="D25823" s="38" t="str">
        <f>IFERROR(__xludf.DUMMYFUNCTION("REGEXREPLACE(C25823,""-\d+(.*)|--\d+(.*)"","""")"),"BORMES-LES-MIMOSAS")</f>
        <v>BORMES-LES-MIMOSAS</v>
      </c>
      <c r="E25823" s="38" t="s">
        <v>813</v>
      </c>
      <c r="F25823" s="38" t="s">
        <v>228</v>
      </c>
      <c r="G25823" s="49" t="str">
        <f t="shared" si="1"/>
        <v>83230</v>
      </c>
      <c r="H25823" s="49">
        <f t="shared" si="2"/>
        <v>83019</v>
      </c>
    </row>
    <row r="25824">
      <c r="A25824" s="48" t="s">
        <v>8510</v>
      </c>
      <c r="B25824" s="38">
        <v>39114.0</v>
      </c>
      <c r="C25824" s="38" t="s">
        <v>30323</v>
      </c>
      <c r="D25824" s="38" t="str">
        <f>IFERROR(__xludf.DUMMYFUNCTION("REGEXREPLACE(C25824,""-\d+(.*)|--\d+(.*)"","""")"),"CHATEAU-CHALON")</f>
        <v>CHATEAU-CHALON</v>
      </c>
      <c r="E25824" s="38" t="s">
        <v>400</v>
      </c>
      <c r="F25824" s="38" t="s">
        <v>214</v>
      </c>
      <c r="G25824" s="49" t="str">
        <f t="shared" si="1"/>
        <v>39210</v>
      </c>
      <c r="H25824" s="49">
        <f t="shared" si="2"/>
        <v>39114</v>
      </c>
    </row>
    <row r="25825">
      <c r="A25825" s="48" t="s">
        <v>8107</v>
      </c>
      <c r="B25825" s="38">
        <v>86082.0</v>
      </c>
      <c r="C25825" s="38" t="s">
        <v>30324</v>
      </c>
      <c r="D25825" s="38" t="str">
        <f>IFERROR(__xludf.DUMMYFUNCTION("REGEXREPLACE(C25825,""-\d+(.*)|--\d+(.*)"","""")"),"COUHE")</f>
        <v>COUHE</v>
      </c>
      <c r="E25825" s="38" t="s">
        <v>529</v>
      </c>
      <c r="F25825" s="38" t="s">
        <v>338</v>
      </c>
      <c r="G25825" s="49" t="str">
        <f t="shared" si="1"/>
        <v>86700</v>
      </c>
      <c r="H25825" s="49">
        <f t="shared" si="2"/>
        <v>86082</v>
      </c>
    </row>
    <row r="25826">
      <c r="A25826" s="48" t="s">
        <v>14837</v>
      </c>
      <c r="B25826" s="38">
        <v>43008.0</v>
      </c>
      <c r="C25826" s="38" t="s">
        <v>30325</v>
      </c>
      <c r="D25826" s="38" t="str">
        <f>IFERROR(__xludf.DUMMYFUNCTION("REGEXREPLACE(C25826,""-\d+(.*)|--\d+(.*)"","""")"),"ARLEMPDES")</f>
        <v>ARLEMPDES</v>
      </c>
      <c r="E25826" s="38" t="s">
        <v>332</v>
      </c>
      <c r="F25826" s="38" t="s">
        <v>161</v>
      </c>
      <c r="G25826" s="49" t="str">
        <f t="shared" si="1"/>
        <v>43490</v>
      </c>
      <c r="H25826" s="49">
        <f t="shared" si="2"/>
        <v>43008</v>
      </c>
    </row>
    <row r="25827">
      <c r="A25827" s="48" t="s">
        <v>1428</v>
      </c>
      <c r="B25827" s="38">
        <v>31307.0</v>
      </c>
      <c r="C25827" s="38" t="s">
        <v>30326</v>
      </c>
      <c r="D25827" s="38" t="str">
        <f>IFERROR(__xludf.DUMMYFUNCTION("REGEXREPLACE(C25827,""-\d+(.*)|--\d+(.*)"","""")"),"LUNAX")</f>
        <v>LUNAX</v>
      </c>
      <c r="E25827" s="38" t="s">
        <v>93</v>
      </c>
      <c r="F25827" s="38" t="s">
        <v>94</v>
      </c>
      <c r="G25827" s="49" t="str">
        <f t="shared" si="1"/>
        <v>31350</v>
      </c>
      <c r="H25827" s="49">
        <f t="shared" si="2"/>
        <v>31307</v>
      </c>
    </row>
    <row r="25828">
      <c r="A25828" s="48" t="s">
        <v>30327</v>
      </c>
      <c r="B25828" s="38">
        <v>74221.0</v>
      </c>
      <c r="C25828" s="38" t="s">
        <v>30328</v>
      </c>
      <c r="D25828" s="38" t="str">
        <f>IFERROR(__xludf.DUMMYFUNCTION("REGEXREPLACE(C25828,""-\d+(.*)|--\d+(.*)"","""")"),"LE REPOSOIR")</f>
        <v>LE REPOSOIR</v>
      </c>
      <c r="E25828" s="38" t="s">
        <v>319</v>
      </c>
      <c r="F25828" s="38" t="s">
        <v>102</v>
      </c>
      <c r="G25828" s="49" t="str">
        <f t="shared" si="1"/>
        <v>74950</v>
      </c>
      <c r="H25828" s="49">
        <f t="shared" si="2"/>
        <v>74221</v>
      </c>
    </row>
    <row r="25829">
      <c r="A25829" s="48" t="s">
        <v>3618</v>
      </c>
      <c r="B25829" s="38">
        <v>31235.0</v>
      </c>
      <c r="C25829" s="38" t="s">
        <v>30329</v>
      </c>
      <c r="D25829" s="38" t="str">
        <f>IFERROR(__xludf.DUMMYFUNCTION("REGEXREPLACE(C25829,""-\d+(.*)|--\d+(.*)"","""")"),"GURAN")</f>
        <v>GURAN</v>
      </c>
      <c r="E25829" s="38" t="s">
        <v>93</v>
      </c>
      <c r="F25829" s="38" t="s">
        <v>94</v>
      </c>
      <c r="G25829" s="49" t="str">
        <f t="shared" si="1"/>
        <v>31440</v>
      </c>
      <c r="H25829" s="49">
        <f t="shared" si="2"/>
        <v>31235</v>
      </c>
    </row>
    <row r="25830">
      <c r="A25830" s="48" t="s">
        <v>3329</v>
      </c>
      <c r="B25830" s="38">
        <v>60594.0</v>
      </c>
      <c r="C25830" s="38" t="s">
        <v>30330</v>
      </c>
      <c r="D25830" s="38" t="str">
        <f>IFERROR(__xludf.DUMMYFUNCTION("REGEXREPLACE(C25830,""-\d+(.*)|--\d+(.*)"","""")"),"SAINT-QUENTIN-DES-PRES")</f>
        <v>SAINT-QUENTIN-DES-PRES</v>
      </c>
      <c r="E25830" s="38" t="s">
        <v>112</v>
      </c>
      <c r="F25830" s="38" t="s">
        <v>113</v>
      </c>
      <c r="G25830" s="49" t="str">
        <f t="shared" si="1"/>
        <v>60380</v>
      </c>
      <c r="H25830" s="49">
        <f t="shared" si="2"/>
        <v>60594</v>
      </c>
    </row>
    <row r="25831">
      <c r="A25831" s="48" t="s">
        <v>3125</v>
      </c>
      <c r="B25831" s="38">
        <v>12150.0</v>
      </c>
      <c r="C25831" s="38" t="s">
        <v>30331</v>
      </c>
      <c r="D25831" s="38" t="str">
        <f>IFERROR(__xludf.DUMMYFUNCTION("REGEXREPLACE(C25831,""-\d+(.*)|--\d+(.*)"","""")"),"MONTEILS")</f>
        <v>MONTEILS</v>
      </c>
      <c r="E25831" s="38" t="s">
        <v>465</v>
      </c>
      <c r="F25831" s="38" t="s">
        <v>94</v>
      </c>
      <c r="G25831" s="49" t="str">
        <f t="shared" si="1"/>
        <v>12200</v>
      </c>
      <c r="H25831" s="49">
        <f t="shared" si="2"/>
        <v>12150</v>
      </c>
    </row>
    <row r="25832">
      <c r="A25832" s="48" t="s">
        <v>7477</v>
      </c>
      <c r="B25832" s="38">
        <v>4007.0</v>
      </c>
      <c r="C25832" s="38" t="s">
        <v>21977</v>
      </c>
      <c r="D25832" s="38" t="str">
        <f>IFERROR(__xludf.DUMMYFUNCTION("REGEXREPLACE(C25832,""-\d+(.*)|--\d+(.*)"","""")"),"ANGLES")</f>
        <v>ANGLES</v>
      </c>
      <c r="E25832" s="38" t="s">
        <v>662</v>
      </c>
      <c r="F25832" s="38" t="s">
        <v>228</v>
      </c>
      <c r="G25832" s="49" t="str">
        <f t="shared" si="1"/>
        <v>04170</v>
      </c>
      <c r="H25832" s="49" t="str">
        <f t="shared" si="2"/>
        <v>04007</v>
      </c>
    </row>
    <row r="25833">
      <c r="A25833" s="48" t="s">
        <v>3835</v>
      </c>
      <c r="B25833" s="38">
        <v>25525.0</v>
      </c>
      <c r="C25833" s="38" t="s">
        <v>30332</v>
      </c>
      <c r="D25833" s="38" t="str">
        <f>IFERROR(__xludf.DUMMYFUNCTION("REGEXREPLACE(C25833,""-\d+(.*)|--\d+(.*)"","""")"),"SAINT-POINT-LAC")</f>
        <v>SAINT-POINT-LAC</v>
      </c>
      <c r="E25833" s="38" t="s">
        <v>213</v>
      </c>
      <c r="F25833" s="38" t="s">
        <v>214</v>
      </c>
      <c r="G25833" s="49" t="str">
        <f t="shared" si="1"/>
        <v>25160</v>
      </c>
      <c r="H25833" s="49">
        <f t="shared" si="2"/>
        <v>25525</v>
      </c>
    </row>
    <row r="25834">
      <c r="A25834" s="48" t="s">
        <v>724</v>
      </c>
      <c r="B25834" s="38">
        <v>32215.0</v>
      </c>
      <c r="C25834" s="38" t="s">
        <v>30333</v>
      </c>
      <c r="D25834" s="38" t="str">
        <f>IFERROR(__xludf.DUMMYFUNCTION("REGEXREPLACE(C25834,""-\d+(.*)|--\d+(.*)"","""")"),"LOUBERSAN")</f>
        <v>LOUBERSAN</v>
      </c>
      <c r="E25834" s="38" t="s">
        <v>440</v>
      </c>
      <c r="F25834" s="38" t="s">
        <v>94</v>
      </c>
      <c r="G25834" s="49" t="str">
        <f t="shared" si="1"/>
        <v>32300</v>
      </c>
      <c r="H25834" s="49">
        <f t="shared" si="2"/>
        <v>32215</v>
      </c>
    </row>
    <row r="25835">
      <c r="A25835" s="48" t="s">
        <v>11319</v>
      </c>
      <c r="B25835" s="38">
        <v>51048.0</v>
      </c>
      <c r="C25835" s="38" t="s">
        <v>30334</v>
      </c>
      <c r="D25835" s="38" t="str">
        <f>IFERROR(__xludf.DUMMYFUNCTION("REGEXREPLACE(C25835,""-\d+(.*)|--\d+(.*)"","""")"),"BELVAL-SOUS-CHATILLON")</f>
        <v>BELVAL-SOUS-CHATILLON</v>
      </c>
      <c r="E25835" s="38" t="s">
        <v>129</v>
      </c>
      <c r="F25835" s="38" t="s">
        <v>130</v>
      </c>
      <c r="G25835" s="49" t="str">
        <f t="shared" si="1"/>
        <v>51480</v>
      </c>
      <c r="H25835" s="49">
        <f t="shared" si="2"/>
        <v>51048</v>
      </c>
    </row>
    <row r="25836">
      <c r="A25836" s="48" t="s">
        <v>9688</v>
      </c>
      <c r="B25836" s="38">
        <v>23212.0</v>
      </c>
      <c r="C25836" s="38" t="s">
        <v>30335</v>
      </c>
      <c r="D25836" s="38" t="str">
        <f>IFERROR(__xludf.DUMMYFUNCTION("REGEXREPLACE(C25836,""-\d+(.*)|--\d+(.*)"","""")"),"SAINT-MARC-A-LOUBAUD")</f>
        <v>SAINT-MARC-A-LOUBAUD</v>
      </c>
      <c r="E25836" s="38" t="s">
        <v>97</v>
      </c>
      <c r="F25836" s="38" t="s">
        <v>98</v>
      </c>
      <c r="G25836" s="49" t="str">
        <f t="shared" si="1"/>
        <v>23460</v>
      </c>
      <c r="H25836" s="49">
        <f t="shared" si="2"/>
        <v>23212</v>
      </c>
    </row>
    <row r="25837">
      <c r="A25837" s="48" t="s">
        <v>1056</v>
      </c>
      <c r="B25837" s="38">
        <v>11214.0</v>
      </c>
      <c r="C25837" s="38" t="s">
        <v>30336</v>
      </c>
      <c r="D25837" s="38" t="str">
        <f>IFERROR(__xludf.DUMMYFUNCTION("REGEXREPLACE(C25837,""-\d+(.*)|--\d+(.*)"","""")"),"MALRAS")</f>
        <v>MALRAS</v>
      </c>
      <c r="E25837" s="38" t="s">
        <v>278</v>
      </c>
      <c r="F25837" s="38" t="s">
        <v>119</v>
      </c>
      <c r="G25837" s="49" t="str">
        <f t="shared" si="1"/>
        <v>11300</v>
      </c>
      <c r="H25837" s="49">
        <f t="shared" si="2"/>
        <v>11214</v>
      </c>
    </row>
    <row r="25838">
      <c r="A25838" s="48" t="s">
        <v>7655</v>
      </c>
      <c r="B25838" s="38">
        <v>37272.0</v>
      </c>
      <c r="C25838" s="38" t="s">
        <v>30337</v>
      </c>
      <c r="D25838" s="38" t="str">
        <f>IFERROR(__xludf.DUMMYFUNCTION("REGEXREPLACE(C25838,""-\d+(.*)|--\d+(.*)"","""")"),"VILLANDRY")</f>
        <v>VILLANDRY</v>
      </c>
      <c r="E25838" s="38" t="s">
        <v>205</v>
      </c>
      <c r="F25838" s="38" t="s">
        <v>123</v>
      </c>
      <c r="G25838" s="49" t="str">
        <f t="shared" si="1"/>
        <v>37510</v>
      </c>
      <c r="H25838" s="49">
        <f t="shared" si="2"/>
        <v>37272</v>
      </c>
    </row>
    <row r="25839">
      <c r="A25839" s="48" t="s">
        <v>2254</v>
      </c>
      <c r="B25839" s="38">
        <v>62619.0</v>
      </c>
      <c r="C25839" s="38" t="s">
        <v>30338</v>
      </c>
      <c r="D25839" s="38" t="str">
        <f>IFERROR(__xludf.DUMMYFUNCTION("REGEXREPLACE(C25839,""-\d+(.*)|--\d+(.*)"","""")"),"NOREUIL")</f>
        <v>NOREUIL</v>
      </c>
      <c r="E25839" s="38" t="s">
        <v>109</v>
      </c>
      <c r="F25839" s="38" t="s">
        <v>86</v>
      </c>
      <c r="G25839" s="49" t="str">
        <f t="shared" si="1"/>
        <v>62128</v>
      </c>
      <c r="H25839" s="49">
        <f t="shared" si="2"/>
        <v>62619</v>
      </c>
    </row>
    <row r="25840">
      <c r="A25840" s="48" t="s">
        <v>2579</v>
      </c>
      <c r="B25840" s="38">
        <v>32409.0</v>
      </c>
      <c r="C25840" s="38" t="s">
        <v>30339</v>
      </c>
      <c r="D25840" s="38" t="str">
        <f>IFERROR(__xludf.DUMMYFUNCTION("REGEXREPLACE(C25840,""-\d+(.*)|--\d+(.*)"","""")"),"SAMARAN")</f>
        <v>SAMARAN</v>
      </c>
      <c r="E25840" s="38" t="s">
        <v>440</v>
      </c>
      <c r="F25840" s="38" t="s">
        <v>94</v>
      </c>
      <c r="G25840" s="49" t="str">
        <f t="shared" si="1"/>
        <v>32140</v>
      </c>
      <c r="H25840" s="49">
        <f t="shared" si="2"/>
        <v>32409</v>
      </c>
    </row>
    <row r="25841">
      <c r="A25841" s="48" t="s">
        <v>13577</v>
      </c>
      <c r="B25841" s="38">
        <v>21485.0</v>
      </c>
      <c r="C25841" s="38" t="s">
        <v>30340</v>
      </c>
      <c r="D25841" s="38" t="str">
        <f>IFERROR(__xludf.DUMMYFUNCTION("REGEXREPLACE(C25841,""-\d+(.*)|--\d+(.*)"","""")"),"PLOMBIERES-LES-DIJON")</f>
        <v>PLOMBIERES-LES-DIJON</v>
      </c>
      <c r="E25841" s="38" t="s">
        <v>105</v>
      </c>
      <c r="F25841" s="38" t="s">
        <v>106</v>
      </c>
      <c r="G25841" s="49" t="str">
        <f t="shared" si="1"/>
        <v>21370</v>
      </c>
      <c r="H25841" s="49">
        <f t="shared" si="2"/>
        <v>21485</v>
      </c>
    </row>
    <row r="25842">
      <c r="A25842" s="48" t="s">
        <v>1435</v>
      </c>
      <c r="B25842" s="38">
        <v>14185.0</v>
      </c>
      <c r="C25842" s="38" t="s">
        <v>30341</v>
      </c>
      <c r="D25842" s="38" t="str">
        <f>IFERROR(__xludf.DUMMYFUNCTION("REGEXREPLACE(C25842,""-\d+(.*)|--\d+(.*)"","""")"),"COUDRAY-RABUT")</f>
        <v>COUDRAY-RABUT</v>
      </c>
      <c r="E25842" s="38" t="s">
        <v>137</v>
      </c>
      <c r="F25842" s="38" t="s">
        <v>138</v>
      </c>
      <c r="G25842" s="49" t="str">
        <f t="shared" si="1"/>
        <v>14130</v>
      </c>
      <c r="H25842" s="49">
        <f t="shared" si="2"/>
        <v>14185</v>
      </c>
    </row>
    <row r="25843">
      <c r="A25843" s="48" t="s">
        <v>6387</v>
      </c>
      <c r="B25843" s="38">
        <v>2164.0</v>
      </c>
      <c r="C25843" s="38" t="s">
        <v>30342</v>
      </c>
      <c r="D25843" s="38" t="str">
        <f>IFERROR(__xludf.DUMMYFUNCTION("REGEXREPLACE(C25843,""-\d+(.*)|--\d+(.*)"","""")"),"LE CHARMEL")</f>
        <v>LE CHARMEL</v>
      </c>
      <c r="E25843" s="38" t="s">
        <v>191</v>
      </c>
      <c r="F25843" s="38" t="s">
        <v>113</v>
      </c>
      <c r="G25843" s="49" t="str">
        <f t="shared" si="1"/>
        <v>02850</v>
      </c>
      <c r="H25843" s="49" t="str">
        <f t="shared" si="2"/>
        <v>02164</v>
      </c>
    </row>
    <row r="25844">
      <c r="A25844" s="48" t="s">
        <v>3118</v>
      </c>
      <c r="B25844" s="38">
        <v>46162.0</v>
      </c>
      <c r="C25844" s="38" t="s">
        <v>30343</v>
      </c>
      <c r="D25844" s="38" t="str">
        <f>IFERROR(__xludf.DUMMYFUNCTION("REGEXREPLACE(C25844,""-\d+(.*)|--\d+(.*)"","""")"),"LAUZES")</f>
        <v>LAUZES</v>
      </c>
      <c r="E25844" s="38" t="s">
        <v>185</v>
      </c>
      <c r="F25844" s="38" t="s">
        <v>94</v>
      </c>
      <c r="G25844" s="49" t="str">
        <f t="shared" si="1"/>
        <v>46360</v>
      </c>
      <c r="H25844" s="49">
        <f t="shared" si="2"/>
        <v>46162</v>
      </c>
    </row>
    <row r="25845">
      <c r="A25845" s="48" t="s">
        <v>23792</v>
      </c>
      <c r="B25845" s="38">
        <v>3101.0</v>
      </c>
      <c r="C25845" s="38" t="s">
        <v>30344</v>
      </c>
      <c r="D25845" s="38" t="str">
        <f>IFERROR(__xludf.DUMMYFUNCTION("REGEXREPLACE(C25845,""-\d+(.*)|--\d+(.*)"","""")"),"DOMERAT")</f>
        <v>DOMERAT</v>
      </c>
      <c r="E25845" s="38" t="s">
        <v>160</v>
      </c>
      <c r="F25845" s="38" t="s">
        <v>161</v>
      </c>
      <c r="G25845" s="49" t="str">
        <f t="shared" si="1"/>
        <v>03410</v>
      </c>
      <c r="H25845" s="49" t="str">
        <f t="shared" si="2"/>
        <v>03101</v>
      </c>
    </row>
    <row r="25846">
      <c r="A25846" s="48" t="s">
        <v>30140</v>
      </c>
      <c r="B25846" s="38">
        <v>52182.0</v>
      </c>
      <c r="C25846" s="38" t="s">
        <v>30345</v>
      </c>
      <c r="D25846" s="38" t="str">
        <f>IFERROR(__xludf.DUMMYFUNCTION("REGEXREPLACE(C25846,""-\d+(.*)|--\d+(.*)"","""")"),"ECLARON-BRAUCOURT-SAINTE-LIVIERE")</f>
        <v>ECLARON-BRAUCOURT-SAINTE-LIVIERE</v>
      </c>
      <c r="E25846" s="38" t="s">
        <v>234</v>
      </c>
      <c r="F25846" s="38" t="s">
        <v>130</v>
      </c>
      <c r="G25846" s="49" t="str">
        <f t="shared" si="1"/>
        <v>52290</v>
      </c>
      <c r="H25846" s="49">
        <f t="shared" si="2"/>
        <v>52182</v>
      </c>
    </row>
    <row r="25847">
      <c r="A25847" s="48" t="s">
        <v>14148</v>
      </c>
      <c r="B25847" s="38">
        <v>31264.0</v>
      </c>
      <c r="C25847" s="38" t="s">
        <v>30346</v>
      </c>
      <c r="D25847" s="38" t="str">
        <f>IFERROR(__xludf.DUMMYFUNCTION("REGEXREPLACE(C25847,""-\d+(.*)|--\d+(.*)"","""")"),"LAGRACE-DIEU")</f>
        <v>LAGRACE-DIEU</v>
      </c>
      <c r="E25847" s="38" t="s">
        <v>93</v>
      </c>
      <c r="F25847" s="38" t="s">
        <v>94</v>
      </c>
      <c r="G25847" s="49" t="str">
        <f t="shared" si="1"/>
        <v>31190</v>
      </c>
      <c r="H25847" s="49">
        <f t="shared" si="2"/>
        <v>31264</v>
      </c>
    </row>
    <row r="25848">
      <c r="A25848" s="48" t="s">
        <v>10433</v>
      </c>
      <c r="B25848" s="38">
        <v>46158.0</v>
      </c>
      <c r="C25848" s="38" t="s">
        <v>30347</v>
      </c>
      <c r="D25848" s="38" t="str">
        <f>IFERROR(__xludf.DUMMYFUNCTION("REGEXREPLACE(C25848,""-\d+(.*)|--\d+(.*)"","""")"),"LASCABANES")</f>
        <v>LASCABANES</v>
      </c>
      <c r="E25848" s="38" t="s">
        <v>185</v>
      </c>
      <c r="F25848" s="38" t="s">
        <v>94</v>
      </c>
      <c r="G25848" s="49" t="str">
        <f t="shared" si="1"/>
        <v>46800</v>
      </c>
      <c r="H25848" s="49">
        <f t="shared" si="2"/>
        <v>46158</v>
      </c>
    </row>
    <row r="25849">
      <c r="A25849" s="48" t="s">
        <v>4907</v>
      </c>
      <c r="B25849" s="38">
        <v>73124.0</v>
      </c>
      <c r="C25849" s="38" t="s">
        <v>30348</v>
      </c>
      <c r="D25849" s="38" t="str">
        <f>IFERROR(__xludf.DUMMYFUNCTION("REGEXREPLACE(C25849,""-\d+(.*)|--\d+(.*)"","""")"),"GILLY-SUR-ISERE")</f>
        <v>GILLY-SUR-ISERE</v>
      </c>
      <c r="E25849" s="38" t="s">
        <v>306</v>
      </c>
      <c r="F25849" s="38" t="s">
        <v>102</v>
      </c>
      <c r="G25849" s="49" t="str">
        <f t="shared" si="1"/>
        <v>73200</v>
      </c>
      <c r="H25849" s="49">
        <f t="shared" si="2"/>
        <v>73124</v>
      </c>
    </row>
    <row r="25850">
      <c r="A25850" s="48" t="s">
        <v>2312</v>
      </c>
      <c r="B25850" s="38">
        <v>67225.0</v>
      </c>
      <c r="C25850" s="38" t="s">
        <v>30349</v>
      </c>
      <c r="D25850" s="38" t="str">
        <f>IFERROR(__xludf.DUMMYFUNCTION("REGEXREPLACE(C25850,""-\d+(.*)|--\d+(.*)"","""")"),"ISSENHAUSEN")</f>
        <v>ISSENHAUSEN</v>
      </c>
      <c r="E25850" s="38" t="s">
        <v>210</v>
      </c>
      <c r="F25850" s="38" t="s">
        <v>151</v>
      </c>
      <c r="G25850" s="49" t="str">
        <f t="shared" si="1"/>
        <v>67330</v>
      </c>
      <c r="H25850" s="49">
        <f t="shared" si="2"/>
        <v>67225</v>
      </c>
    </row>
    <row r="25851">
      <c r="A25851" s="48" t="s">
        <v>6207</v>
      </c>
      <c r="B25851" s="38">
        <v>23007.0</v>
      </c>
      <c r="C25851" s="38" t="s">
        <v>30350</v>
      </c>
      <c r="D25851" s="38" t="str">
        <f>IFERROR(__xludf.DUMMYFUNCTION("REGEXREPLACE(C25851,""-\d+(.*)|--\d+(.*)"","""")"),"ARS")</f>
        <v>ARS</v>
      </c>
      <c r="E25851" s="38" t="s">
        <v>97</v>
      </c>
      <c r="F25851" s="38" t="s">
        <v>98</v>
      </c>
      <c r="G25851" s="49" t="str">
        <f t="shared" si="1"/>
        <v>23480</v>
      </c>
      <c r="H25851" s="49">
        <f t="shared" si="2"/>
        <v>23007</v>
      </c>
    </row>
    <row r="25852">
      <c r="A25852" s="48" t="s">
        <v>3244</v>
      </c>
      <c r="B25852" s="38">
        <v>27684.0</v>
      </c>
      <c r="C25852" s="38" t="s">
        <v>30351</v>
      </c>
      <c r="D25852" s="38" t="str">
        <f>IFERROR(__xludf.DUMMYFUNCTION("REGEXREPLACE(C25852,""-\d+(.*)|--\d+(.*)"","""")"),"LE VIEIL-EVREUX")</f>
        <v>LE VIEIL-EVREUX</v>
      </c>
      <c r="E25852" s="38" t="s">
        <v>241</v>
      </c>
      <c r="F25852" s="38" t="s">
        <v>134</v>
      </c>
      <c r="G25852" s="49" t="str">
        <f t="shared" si="1"/>
        <v>27930</v>
      </c>
      <c r="H25852" s="49">
        <f t="shared" si="2"/>
        <v>27684</v>
      </c>
    </row>
    <row r="25853">
      <c r="A25853" s="48" t="s">
        <v>8806</v>
      </c>
      <c r="B25853" s="38">
        <v>5095.0</v>
      </c>
      <c r="C25853" s="38" t="s">
        <v>27378</v>
      </c>
      <c r="D25853" s="38" t="str">
        <f>IFERROR(__xludf.DUMMYFUNCTION("REGEXREPLACE(C25853,""-\d+(.*)|--\d+(.*)"","""")"),"LE NOYER")</f>
        <v>LE NOYER</v>
      </c>
      <c r="E25853" s="38" t="s">
        <v>706</v>
      </c>
      <c r="F25853" s="38" t="s">
        <v>228</v>
      </c>
      <c r="G25853" s="49" t="str">
        <f t="shared" si="1"/>
        <v>05500</v>
      </c>
      <c r="H25853" s="49" t="str">
        <f t="shared" si="2"/>
        <v>05095</v>
      </c>
    </row>
    <row r="25854">
      <c r="A25854" s="48" t="s">
        <v>2332</v>
      </c>
      <c r="B25854" s="38">
        <v>81324.0</v>
      </c>
      <c r="C25854" s="38" t="s">
        <v>30352</v>
      </c>
      <c r="D25854" s="38" t="str">
        <f>IFERROR(__xludf.DUMMYFUNCTION("REGEXREPLACE(C25854,""-\d+(.*)|--\d+(.*)"","""")"),"VIVIERS-LES-LAVAUR")</f>
        <v>VIVIERS-LES-LAVAUR</v>
      </c>
      <c r="E25854" s="38" t="s">
        <v>231</v>
      </c>
      <c r="F25854" s="38" t="s">
        <v>94</v>
      </c>
      <c r="G25854" s="49" t="str">
        <f t="shared" si="1"/>
        <v>81500</v>
      </c>
      <c r="H25854" s="49">
        <f t="shared" si="2"/>
        <v>81324</v>
      </c>
    </row>
    <row r="25855">
      <c r="A25855" s="48" t="s">
        <v>2692</v>
      </c>
      <c r="B25855" s="38">
        <v>67324.0</v>
      </c>
      <c r="C25855" s="38" t="s">
        <v>30353</v>
      </c>
      <c r="D25855" s="38" t="str">
        <f>IFERROR(__xludf.DUMMYFUNCTION("REGEXREPLACE(C25855,""-\d+(.*)|--\d+(.*)"","""")"),"NIEDERBRONN-LES-BAINS")</f>
        <v>NIEDERBRONN-LES-BAINS</v>
      </c>
      <c r="E25855" s="38" t="s">
        <v>210</v>
      </c>
      <c r="F25855" s="38" t="s">
        <v>151</v>
      </c>
      <c r="G25855" s="49" t="str">
        <f t="shared" si="1"/>
        <v>67110</v>
      </c>
      <c r="H25855" s="49">
        <f t="shared" si="2"/>
        <v>67324</v>
      </c>
    </row>
    <row r="25856">
      <c r="A25856" s="48" t="s">
        <v>5137</v>
      </c>
      <c r="B25856" s="38">
        <v>53234.0</v>
      </c>
      <c r="C25856" s="38" t="s">
        <v>30354</v>
      </c>
      <c r="D25856" s="38" t="str">
        <f>IFERROR(__xludf.DUMMYFUNCTION("REGEXREPLACE(C25856,""-\d+(.*)|--\d+(.*)"","""")"),"SAINT-LOUP-DU-GAST")</f>
        <v>SAINT-LOUP-DU-GAST</v>
      </c>
      <c r="E25856" s="38" t="s">
        <v>518</v>
      </c>
      <c r="F25856" s="38" t="s">
        <v>180</v>
      </c>
      <c r="G25856" s="49" t="str">
        <f t="shared" si="1"/>
        <v>53300</v>
      </c>
      <c r="H25856" s="49">
        <f t="shared" si="2"/>
        <v>53234</v>
      </c>
    </row>
    <row r="25857">
      <c r="A25857" s="48" t="s">
        <v>3303</v>
      </c>
      <c r="B25857" s="38">
        <v>55158.0</v>
      </c>
      <c r="C25857" s="38" t="s">
        <v>30355</v>
      </c>
      <c r="D25857" s="38" t="str">
        <f>IFERROR(__xludf.DUMMYFUNCTION("REGEXREPLACE(C25857,""-\d+(.*)|--\d+(.*)"","""")"),"DOMMARY-BARONCOURT")</f>
        <v>DOMMARY-BARONCOURT</v>
      </c>
      <c r="E25857" s="38" t="s">
        <v>322</v>
      </c>
      <c r="F25857" s="38" t="s">
        <v>195</v>
      </c>
      <c r="G25857" s="49" t="str">
        <f t="shared" si="1"/>
        <v>55240</v>
      </c>
      <c r="H25857" s="49">
        <f t="shared" si="2"/>
        <v>55158</v>
      </c>
    </row>
    <row r="25858">
      <c r="A25858" s="48" t="s">
        <v>17233</v>
      </c>
      <c r="B25858" s="38">
        <v>73115.0</v>
      </c>
      <c r="C25858" s="38" t="s">
        <v>30356</v>
      </c>
      <c r="D25858" s="38" t="str">
        <f>IFERROR(__xludf.DUMMYFUNCTION("REGEXREPLACE(C25858,""-\d+(.*)|--\d+(.*)"","""")"),"FONTAINE-LE-PUITS")</f>
        <v>FONTAINE-LE-PUITS</v>
      </c>
      <c r="E25858" s="38" t="s">
        <v>306</v>
      </c>
      <c r="F25858" s="38" t="s">
        <v>102</v>
      </c>
      <c r="G25858" s="49" t="str">
        <f t="shared" si="1"/>
        <v>73600</v>
      </c>
      <c r="H25858" s="49">
        <f t="shared" si="2"/>
        <v>73115</v>
      </c>
    </row>
    <row r="25859">
      <c r="A25859" s="48" t="s">
        <v>276</v>
      </c>
      <c r="B25859" s="38">
        <v>11160.0</v>
      </c>
      <c r="C25859" s="38" t="s">
        <v>30357</v>
      </c>
      <c r="D25859" s="38" t="str">
        <f>IFERROR(__xludf.DUMMYFUNCTION("REGEXREPLACE(C25859,""-\d+(.*)|--\d+(.*)"","""")"),"GALINAGUES")</f>
        <v>GALINAGUES</v>
      </c>
      <c r="E25859" s="38" t="s">
        <v>278</v>
      </c>
      <c r="F25859" s="38" t="s">
        <v>119</v>
      </c>
      <c r="G25859" s="49" t="str">
        <f t="shared" si="1"/>
        <v>11140</v>
      </c>
      <c r="H25859" s="49">
        <f t="shared" si="2"/>
        <v>11160</v>
      </c>
    </row>
    <row r="25860">
      <c r="A25860" s="48" t="s">
        <v>1706</v>
      </c>
      <c r="B25860" s="38">
        <v>50285.0</v>
      </c>
      <c r="C25860" s="38" t="s">
        <v>30358</v>
      </c>
      <c r="D25860" s="38" t="str">
        <f>IFERROR(__xludf.DUMMYFUNCTION("REGEXREPLACE(C25860,""-\d+(.*)|--\d+(.*)"","""")"),"MAGNEVILLE")</f>
        <v>MAGNEVILLE</v>
      </c>
      <c r="E25860" s="38" t="s">
        <v>157</v>
      </c>
      <c r="F25860" s="38" t="s">
        <v>138</v>
      </c>
      <c r="G25860" s="49" t="str">
        <f t="shared" si="1"/>
        <v>50260</v>
      </c>
      <c r="H25860" s="49">
        <f t="shared" si="2"/>
        <v>50285</v>
      </c>
    </row>
    <row r="25861">
      <c r="A25861" s="48" t="s">
        <v>3821</v>
      </c>
      <c r="B25861" s="38">
        <v>57107.0</v>
      </c>
      <c r="C25861" s="38" t="s">
        <v>30359</v>
      </c>
      <c r="D25861" s="38" t="str">
        <f>IFERROR(__xludf.DUMMYFUNCTION("REGEXREPLACE(C25861,""-\d+(.*)|--\d+(.*)"","""")"),"BREHAIN")</f>
        <v>BREHAIN</v>
      </c>
      <c r="E25861" s="38" t="s">
        <v>303</v>
      </c>
      <c r="F25861" s="38" t="s">
        <v>195</v>
      </c>
      <c r="G25861" s="49" t="str">
        <f t="shared" si="1"/>
        <v>57340</v>
      </c>
      <c r="H25861" s="49">
        <f t="shared" si="2"/>
        <v>57107</v>
      </c>
    </row>
    <row r="25862">
      <c r="A25862" s="48" t="s">
        <v>2225</v>
      </c>
      <c r="B25862" s="38">
        <v>22050.0</v>
      </c>
      <c r="C25862" s="38" t="s">
        <v>30360</v>
      </c>
      <c r="D25862" s="38" t="str">
        <f>IFERROR(__xludf.DUMMYFUNCTION("REGEXREPLACE(C25862,""-\d+(.*)|--\d+(.*)"","""")"),"DINAN")</f>
        <v>DINAN</v>
      </c>
      <c r="E25862" s="38" t="s">
        <v>89</v>
      </c>
      <c r="F25862" s="38" t="s">
        <v>90</v>
      </c>
      <c r="G25862" s="49" t="str">
        <f t="shared" si="1"/>
        <v>22100</v>
      </c>
      <c r="H25862" s="49">
        <f t="shared" si="2"/>
        <v>22050</v>
      </c>
    </row>
    <row r="25863">
      <c r="A25863" s="48" t="s">
        <v>15250</v>
      </c>
      <c r="B25863" s="38">
        <v>86229.0</v>
      </c>
      <c r="C25863" s="38" t="s">
        <v>30361</v>
      </c>
      <c r="D25863" s="38" t="str">
        <f>IFERROR(__xludf.DUMMYFUNCTION("REGEXREPLACE(C25863,""-\d+(.*)|--\d+(.*)"","""")"),"SAINT-LEGER-DE-MONTBRILLAIS")</f>
        <v>SAINT-LEGER-DE-MONTBRILLAIS</v>
      </c>
      <c r="E25863" s="38" t="s">
        <v>529</v>
      </c>
      <c r="F25863" s="38" t="s">
        <v>338</v>
      </c>
      <c r="G25863" s="49" t="str">
        <f t="shared" si="1"/>
        <v>86120</v>
      </c>
      <c r="H25863" s="49">
        <f t="shared" si="2"/>
        <v>86229</v>
      </c>
    </row>
    <row r="25864">
      <c r="A25864" s="48" t="s">
        <v>5652</v>
      </c>
      <c r="B25864" s="38">
        <v>1407.0</v>
      </c>
      <c r="C25864" s="38" t="s">
        <v>30362</v>
      </c>
      <c r="D25864" s="38" t="str">
        <f>IFERROR(__xludf.DUMMYFUNCTION("REGEXREPLACE(C25864,""-\d+(.*)|--\d+(.*)"","""")"),"SEYSSEL")</f>
        <v>SEYSSEL</v>
      </c>
      <c r="E25864" s="38" t="s">
        <v>255</v>
      </c>
      <c r="F25864" s="38" t="s">
        <v>102</v>
      </c>
      <c r="G25864" s="49" t="str">
        <f t="shared" si="1"/>
        <v>01420</v>
      </c>
      <c r="H25864" s="49" t="str">
        <f t="shared" si="2"/>
        <v>01407</v>
      </c>
    </row>
    <row r="25865">
      <c r="A25865" s="48" t="s">
        <v>1130</v>
      </c>
      <c r="B25865" s="38">
        <v>71313.0</v>
      </c>
      <c r="C25865" s="38" t="s">
        <v>1813</v>
      </c>
      <c r="D25865" s="38" t="str">
        <f>IFERROR(__xludf.DUMMYFUNCTION("REGEXREPLACE(C25865,""-\d+(.*)|--\d+(.*)"","""")"),"MONTHELON")</f>
        <v>MONTHELON</v>
      </c>
      <c r="E25865" s="38" t="s">
        <v>344</v>
      </c>
      <c r="F25865" s="38" t="s">
        <v>106</v>
      </c>
      <c r="G25865" s="49" t="str">
        <f t="shared" si="1"/>
        <v>71400</v>
      </c>
      <c r="H25865" s="49">
        <f t="shared" si="2"/>
        <v>71313</v>
      </c>
    </row>
    <row r="25866">
      <c r="A25866" s="48" t="s">
        <v>30363</v>
      </c>
      <c r="B25866" s="38">
        <v>2532.0</v>
      </c>
      <c r="C25866" s="38" t="s">
        <v>30364</v>
      </c>
      <c r="D25866" s="38" t="str">
        <f>IFERROR(__xludf.DUMMYFUNCTION("REGEXREPLACE(C25866,""-\d+(.*)|--\d+(.*)"","""")"),"MOY-DE-L'AISNE")</f>
        <v>MOY-DE-L'AISNE</v>
      </c>
      <c r="E25866" s="38" t="s">
        <v>191</v>
      </c>
      <c r="F25866" s="38" t="s">
        <v>113</v>
      </c>
      <c r="G25866" s="49" t="str">
        <f t="shared" si="1"/>
        <v>02610</v>
      </c>
      <c r="H25866" s="49" t="str">
        <f t="shared" si="2"/>
        <v>02532</v>
      </c>
    </row>
    <row r="25867">
      <c r="A25867" s="48" t="s">
        <v>4733</v>
      </c>
      <c r="B25867" s="38">
        <v>38455.0</v>
      </c>
      <c r="C25867" s="38" t="s">
        <v>1869</v>
      </c>
      <c r="D25867" s="38" t="str">
        <f>IFERROR(__xludf.DUMMYFUNCTION("REGEXREPLACE(C25867,""-\d+(.*)|--\d+(.*)"","""")"),"SAINT-SAVIN")</f>
        <v>SAINT-SAVIN</v>
      </c>
      <c r="E25867" s="38" t="s">
        <v>101</v>
      </c>
      <c r="F25867" s="38" t="s">
        <v>102</v>
      </c>
      <c r="G25867" s="49" t="str">
        <f t="shared" si="1"/>
        <v>38300</v>
      </c>
      <c r="H25867" s="49">
        <f t="shared" si="2"/>
        <v>38455</v>
      </c>
    </row>
    <row r="25868">
      <c r="A25868" s="48" t="s">
        <v>1531</v>
      </c>
      <c r="B25868" s="38">
        <v>65009.0</v>
      </c>
      <c r="C25868" s="38" t="s">
        <v>30365</v>
      </c>
      <c r="D25868" s="38" t="str">
        <f>IFERROR(__xludf.DUMMYFUNCTION("REGEXREPLACE(C25868,""-\d+(.*)|--\d+(.*)"","""")"),"ANERES")</f>
        <v>ANERES</v>
      </c>
      <c r="E25868" s="38" t="s">
        <v>200</v>
      </c>
      <c r="F25868" s="38" t="s">
        <v>94</v>
      </c>
      <c r="G25868" s="49" t="str">
        <f t="shared" si="1"/>
        <v>65150</v>
      </c>
      <c r="H25868" s="49">
        <f t="shared" si="2"/>
        <v>65009</v>
      </c>
    </row>
    <row r="25869">
      <c r="A25869" s="48" t="s">
        <v>8105</v>
      </c>
      <c r="B25869" s="38">
        <v>25422.0</v>
      </c>
      <c r="C25869" s="38" t="s">
        <v>30366</v>
      </c>
      <c r="D25869" s="38" t="str">
        <f>IFERROR(__xludf.DUMMYFUNCTION("REGEXREPLACE(C25869,""-\d+(.*)|--\d+(.*)"","""")"),"NEUCHATEL-URTIERE")</f>
        <v>NEUCHATEL-URTIERE</v>
      </c>
      <c r="E25869" s="38" t="s">
        <v>213</v>
      </c>
      <c r="F25869" s="38" t="s">
        <v>214</v>
      </c>
      <c r="G25869" s="49" t="str">
        <f t="shared" si="1"/>
        <v>25150</v>
      </c>
      <c r="H25869" s="49">
        <f t="shared" si="2"/>
        <v>25422</v>
      </c>
    </row>
    <row r="25870">
      <c r="A25870" s="48" t="s">
        <v>4642</v>
      </c>
      <c r="B25870" s="38">
        <v>21625.0</v>
      </c>
      <c r="C25870" s="38" t="s">
        <v>11590</v>
      </c>
      <c r="D25870" s="38" t="str">
        <f>IFERROR(__xludf.DUMMYFUNCTION("REGEXREPLACE(C25870,""-\d+(.*)|--\d+(.*)"","""")"),"TERNANT")</f>
        <v>TERNANT</v>
      </c>
      <c r="E25870" s="38" t="s">
        <v>105</v>
      </c>
      <c r="F25870" s="38" t="s">
        <v>106</v>
      </c>
      <c r="G25870" s="49" t="str">
        <f t="shared" si="1"/>
        <v>21220</v>
      </c>
      <c r="H25870" s="49">
        <f t="shared" si="2"/>
        <v>21625</v>
      </c>
    </row>
    <row r="25871">
      <c r="A25871" s="48" t="s">
        <v>1588</v>
      </c>
      <c r="B25871" s="38">
        <v>9055.0</v>
      </c>
      <c r="C25871" s="38" t="s">
        <v>30367</v>
      </c>
      <c r="D25871" s="38" t="str">
        <f>IFERROR(__xludf.DUMMYFUNCTION("REGEXREPLACE(C25871,""-\d+(.*)|--\d+(.*)"","""")"),"BETHMALE")</f>
        <v>BETHMALE</v>
      </c>
      <c r="E25871" s="38" t="s">
        <v>238</v>
      </c>
      <c r="F25871" s="38" t="s">
        <v>94</v>
      </c>
      <c r="G25871" s="49" t="str">
        <f t="shared" si="1"/>
        <v>09800</v>
      </c>
      <c r="H25871" s="49" t="str">
        <f t="shared" si="2"/>
        <v>09055</v>
      </c>
    </row>
    <row r="25872">
      <c r="A25872" s="48" t="s">
        <v>11688</v>
      </c>
      <c r="B25872" s="38">
        <v>95430.0</v>
      </c>
      <c r="C25872" s="38" t="s">
        <v>30368</v>
      </c>
      <c r="D25872" s="38" t="str">
        <f>IFERROR(__xludf.DUMMYFUNCTION("REGEXREPLACE(C25872,""-\d+(.*)|--\d+(.*)"","""")"),"MONTSOULT")</f>
        <v>MONTSOULT</v>
      </c>
      <c r="E25872" s="38" t="s">
        <v>541</v>
      </c>
      <c r="F25872" s="38" t="s">
        <v>245</v>
      </c>
      <c r="G25872" s="49" t="str">
        <f t="shared" si="1"/>
        <v>95560</v>
      </c>
      <c r="H25872" s="49">
        <f t="shared" si="2"/>
        <v>95430</v>
      </c>
    </row>
    <row r="25873">
      <c r="A25873" s="48" t="s">
        <v>1124</v>
      </c>
      <c r="B25873" s="38">
        <v>61270.0</v>
      </c>
      <c r="C25873" s="38" t="s">
        <v>30369</v>
      </c>
      <c r="D25873" s="38" t="str">
        <f>IFERROR(__xludf.DUMMYFUNCTION("REGEXREPLACE(C25873,""-\d+(.*)|--\d+(.*)"","""")"),"MENIL-JEAN")</f>
        <v>MENIL-JEAN</v>
      </c>
      <c r="E25873" s="38" t="s">
        <v>141</v>
      </c>
      <c r="F25873" s="38" t="s">
        <v>138</v>
      </c>
      <c r="G25873" s="49" t="str">
        <f t="shared" si="1"/>
        <v>61210</v>
      </c>
      <c r="H25873" s="49">
        <f t="shared" si="2"/>
        <v>61270</v>
      </c>
    </row>
    <row r="25874">
      <c r="A25874" s="48" t="s">
        <v>11261</v>
      </c>
      <c r="B25874" s="38">
        <v>38231.0</v>
      </c>
      <c r="C25874" s="38" t="s">
        <v>30370</v>
      </c>
      <c r="D25874" s="38" t="str">
        <f>IFERROR(__xludf.DUMMYFUNCTION("REGEXREPLACE(C25874,""-\d+(.*)|--\d+(.*)"","""")"),"MEYRIEU-LES-ETANGS")</f>
        <v>MEYRIEU-LES-ETANGS</v>
      </c>
      <c r="E25874" s="38" t="s">
        <v>101</v>
      </c>
      <c r="F25874" s="38" t="s">
        <v>102</v>
      </c>
      <c r="G25874" s="49" t="str">
        <f t="shared" si="1"/>
        <v>38440</v>
      </c>
      <c r="H25874" s="49">
        <f t="shared" si="2"/>
        <v>38231</v>
      </c>
    </row>
    <row r="25875">
      <c r="A25875" s="48" t="s">
        <v>12252</v>
      </c>
      <c r="B25875" s="38">
        <v>56239.0</v>
      </c>
      <c r="C25875" s="38" t="s">
        <v>30371</v>
      </c>
      <c r="D25875" s="38" t="str">
        <f>IFERROR(__xludf.DUMMYFUNCTION("REGEXREPLACE(C25875,""-\d+(.*)|--\d+(.*)"","""")"),"SAINT-VINCENT-SUR-OUST")</f>
        <v>SAINT-VINCENT-SUR-OUST</v>
      </c>
      <c r="E25875" s="38" t="s">
        <v>173</v>
      </c>
      <c r="F25875" s="38" t="s">
        <v>90</v>
      </c>
      <c r="G25875" s="49" t="str">
        <f t="shared" si="1"/>
        <v>56350</v>
      </c>
      <c r="H25875" s="49">
        <f t="shared" si="2"/>
        <v>56239</v>
      </c>
    </row>
    <row r="25876">
      <c r="A25876" s="48" t="s">
        <v>2176</v>
      </c>
      <c r="B25876" s="38">
        <v>62883.0</v>
      </c>
      <c r="C25876" s="38" t="s">
        <v>30372</v>
      </c>
      <c r="D25876" s="38" t="str">
        <f>IFERROR(__xludf.DUMMYFUNCTION("REGEXREPLACE(C25876,""-\d+(.*)|--\d+(.*)"","""")"),"WAVRANS-SUR-TERNOISE")</f>
        <v>WAVRANS-SUR-TERNOISE</v>
      </c>
      <c r="E25876" s="38" t="s">
        <v>109</v>
      </c>
      <c r="F25876" s="38" t="s">
        <v>86</v>
      </c>
      <c r="G25876" s="49" t="str">
        <f t="shared" si="1"/>
        <v>62130</v>
      </c>
      <c r="H25876" s="49">
        <f t="shared" si="2"/>
        <v>62883</v>
      </c>
    </row>
    <row r="25877">
      <c r="A25877" s="48" t="s">
        <v>26505</v>
      </c>
      <c r="B25877" s="38">
        <v>8363.0</v>
      </c>
      <c r="C25877" s="38" t="s">
        <v>30373</v>
      </c>
      <c r="D25877" s="38" t="str">
        <f>IFERROR(__xludf.DUMMYFUNCTION("REGEXREPLACE(C25877,""-\d+(.*)|--\d+(.*)"","""")"),"REVIN")</f>
        <v>REVIN</v>
      </c>
      <c r="E25877" s="38" t="s">
        <v>327</v>
      </c>
      <c r="F25877" s="38" t="s">
        <v>130</v>
      </c>
      <c r="G25877" s="49" t="str">
        <f t="shared" si="1"/>
        <v>08500</v>
      </c>
      <c r="H25877" s="49" t="str">
        <f t="shared" si="2"/>
        <v>08363</v>
      </c>
    </row>
    <row r="25878">
      <c r="A25878" s="48" t="s">
        <v>7673</v>
      </c>
      <c r="B25878" s="38">
        <v>39440.0</v>
      </c>
      <c r="C25878" s="38" t="s">
        <v>30374</v>
      </c>
      <c r="D25878" s="38" t="str">
        <f>IFERROR(__xludf.DUMMYFUNCTION("REGEXREPLACE(C25878,""-\d+(.*)|--\d+(.*)"","""")"),"PRATZ")</f>
        <v>PRATZ</v>
      </c>
      <c r="E25878" s="38" t="s">
        <v>400</v>
      </c>
      <c r="F25878" s="38" t="s">
        <v>214</v>
      </c>
      <c r="G25878" s="49" t="str">
        <f t="shared" si="1"/>
        <v>39170</v>
      </c>
      <c r="H25878" s="49">
        <f t="shared" si="2"/>
        <v>39440</v>
      </c>
    </row>
    <row r="25879">
      <c r="A25879" s="48" t="s">
        <v>23524</v>
      </c>
      <c r="B25879" s="38">
        <v>57456.0</v>
      </c>
      <c r="C25879" s="38" t="s">
        <v>30375</v>
      </c>
      <c r="D25879" s="38" t="str">
        <f>IFERROR(__xludf.DUMMYFUNCTION("REGEXREPLACE(C25879,""-\d+(.*)|--\d+(.*)"","""")"),"MEISENTHAL")</f>
        <v>MEISENTHAL</v>
      </c>
      <c r="E25879" s="38" t="s">
        <v>303</v>
      </c>
      <c r="F25879" s="38" t="s">
        <v>195</v>
      </c>
      <c r="G25879" s="49" t="str">
        <f t="shared" si="1"/>
        <v>57960</v>
      </c>
      <c r="H25879" s="49">
        <f t="shared" si="2"/>
        <v>57456</v>
      </c>
    </row>
    <row r="25880">
      <c r="A25880" s="48" t="s">
        <v>9967</v>
      </c>
      <c r="B25880" s="38">
        <v>35164.0</v>
      </c>
      <c r="C25880" s="38" t="s">
        <v>30376</v>
      </c>
      <c r="D25880" s="38" t="str">
        <f>IFERROR(__xludf.DUMMYFUNCTION("REGEXREPLACE(C25880,""-\d+(.*)|--\d+(.*)"","""")"),"MARCILLE-RAOUL")</f>
        <v>MARCILLE-RAOUL</v>
      </c>
      <c r="E25880" s="38" t="s">
        <v>347</v>
      </c>
      <c r="F25880" s="38" t="s">
        <v>90</v>
      </c>
      <c r="G25880" s="49" t="str">
        <f t="shared" si="1"/>
        <v>35560</v>
      </c>
      <c r="H25880" s="49">
        <f t="shared" si="2"/>
        <v>35164</v>
      </c>
    </row>
    <row r="25881">
      <c r="A25881" s="48" t="s">
        <v>2055</v>
      </c>
      <c r="B25881" s="38">
        <v>4159.0</v>
      </c>
      <c r="C25881" s="38" t="s">
        <v>30377</v>
      </c>
      <c r="D25881" s="38" t="str">
        <f>IFERROR(__xludf.DUMMYFUNCTION("REGEXREPLACE(C25881,""-\d+(.*)|--\d+(.*)"","""")"),"REDORTIERS")</f>
        <v>REDORTIERS</v>
      </c>
      <c r="E25881" s="38" t="s">
        <v>662</v>
      </c>
      <c r="F25881" s="38" t="s">
        <v>228</v>
      </c>
      <c r="G25881" s="49" t="str">
        <f t="shared" si="1"/>
        <v>04150</v>
      </c>
      <c r="H25881" s="49" t="str">
        <f t="shared" si="2"/>
        <v>04159</v>
      </c>
    </row>
    <row r="25882">
      <c r="A25882" s="48" t="s">
        <v>1358</v>
      </c>
      <c r="B25882" s="38">
        <v>81260.0</v>
      </c>
      <c r="C25882" s="38" t="s">
        <v>30378</v>
      </c>
      <c r="D25882" s="38" t="str">
        <f>IFERROR(__xludf.DUMMYFUNCTION("REGEXREPLACE(C25882,""-\d+(.*)|--\d+(.*)"","""")"),"SAINT-LIEUX-LAFENASSE")</f>
        <v>SAINT-LIEUX-LAFENASSE</v>
      </c>
      <c r="E25882" s="38" t="s">
        <v>231</v>
      </c>
      <c r="F25882" s="38" t="s">
        <v>94</v>
      </c>
      <c r="G25882" s="49" t="str">
        <f t="shared" si="1"/>
        <v>81120</v>
      </c>
      <c r="H25882" s="49">
        <f t="shared" si="2"/>
        <v>81260</v>
      </c>
    </row>
    <row r="25883">
      <c r="A25883" s="48" t="s">
        <v>83</v>
      </c>
      <c r="B25883" s="38">
        <v>59120.0</v>
      </c>
      <c r="C25883" s="38" t="s">
        <v>30379</v>
      </c>
      <c r="D25883" s="38" t="str">
        <f>IFERROR(__xludf.DUMMYFUNCTION("REGEXREPLACE(C25883,""-\d+(.*)|--\d+(.*)"","""")"),"CAESTRE")</f>
        <v>CAESTRE</v>
      </c>
      <c r="E25883" s="38" t="s">
        <v>85</v>
      </c>
      <c r="F25883" s="38" t="s">
        <v>86</v>
      </c>
      <c r="G25883" s="49" t="str">
        <f t="shared" si="1"/>
        <v>59190</v>
      </c>
      <c r="H25883" s="49">
        <f t="shared" si="2"/>
        <v>59120</v>
      </c>
    </row>
    <row r="25884">
      <c r="A25884" s="48" t="s">
        <v>2208</v>
      </c>
      <c r="B25884" s="38">
        <v>55458.0</v>
      </c>
      <c r="C25884" s="38" t="s">
        <v>30380</v>
      </c>
      <c r="D25884" s="38" t="str">
        <f>IFERROR(__xludf.DUMMYFUNCTION("REGEXREPLACE(C25884,""-\d+(.*)|--\d+(.*)"","""")"),"SAINT-JEAN-LES-BUZY")</f>
        <v>SAINT-JEAN-LES-BUZY</v>
      </c>
      <c r="E25884" s="38" t="s">
        <v>322</v>
      </c>
      <c r="F25884" s="38" t="s">
        <v>195</v>
      </c>
      <c r="G25884" s="49" t="str">
        <f t="shared" si="1"/>
        <v>55400</v>
      </c>
      <c r="H25884" s="49">
        <f t="shared" si="2"/>
        <v>55458</v>
      </c>
    </row>
    <row r="25885">
      <c r="A25885" s="48" t="s">
        <v>30381</v>
      </c>
      <c r="B25885" s="38">
        <v>34172.0</v>
      </c>
      <c r="C25885" s="38" t="s">
        <v>30382</v>
      </c>
      <c r="D25885" s="38" t="str">
        <f>IFERROR(__xludf.DUMMYFUNCTION("REGEXREPLACE(C25885,""-\d+(.*)|--\d+(.*)"","""")"),"MONTPELLIER")</f>
        <v>MONTPELLIER</v>
      </c>
      <c r="E25885" s="38" t="s">
        <v>118</v>
      </c>
      <c r="F25885" s="38" t="s">
        <v>119</v>
      </c>
      <c r="G25885" s="49" t="str">
        <f t="shared" si="1"/>
        <v>34000/34070/34080/34090</v>
      </c>
      <c r="H25885" s="49">
        <f t="shared" si="2"/>
        <v>34172</v>
      </c>
    </row>
    <row r="25886">
      <c r="A25886" s="48" t="s">
        <v>7700</v>
      </c>
      <c r="B25886" s="38">
        <v>23030.0</v>
      </c>
      <c r="C25886" s="38" t="s">
        <v>30383</v>
      </c>
      <c r="D25886" s="38" t="str">
        <f>IFERROR(__xludf.DUMMYFUNCTION("REGEXREPLACE(C25886,""-\d+(.*)|--\d+(.*)"","""")"),"BOURGANEUF")</f>
        <v>BOURGANEUF</v>
      </c>
      <c r="E25886" s="38" t="s">
        <v>97</v>
      </c>
      <c r="F25886" s="38" t="s">
        <v>98</v>
      </c>
      <c r="G25886" s="49" t="str">
        <f t="shared" si="1"/>
        <v>23400</v>
      </c>
      <c r="H25886" s="49">
        <f t="shared" si="2"/>
        <v>23030</v>
      </c>
    </row>
    <row r="25887">
      <c r="A25887" s="48" t="s">
        <v>3368</v>
      </c>
      <c r="B25887" s="38">
        <v>61252.0</v>
      </c>
      <c r="C25887" s="38" t="s">
        <v>30384</v>
      </c>
      <c r="D25887" s="38" t="str">
        <f>IFERROR(__xludf.DUMMYFUNCTION("REGEXREPLACE(C25887,""-\d+(.*)|--\d+(.*)"","""")"),"MARDILLY")</f>
        <v>MARDILLY</v>
      </c>
      <c r="E25887" s="38" t="s">
        <v>141</v>
      </c>
      <c r="F25887" s="38" t="s">
        <v>138</v>
      </c>
      <c r="G25887" s="49" t="str">
        <f t="shared" si="1"/>
        <v>61230</v>
      </c>
      <c r="H25887" s="49">
        <f t="shared" si="2"/>
        <v>61252</v>
      </c>
    </row>
    <row r="25888">
      <c r="A25888" s="48" t="s">
        <v>9498</v>
      </c>
      <c r="B25888" s="38">
        <v>79119.0</v>
      </c>
      <c r="C25888" s="38" t="s">
        <v>23256</v>
      </c>
      <c r="D25888" s="38" t="str">
        <f>IFERROR(__xludf.DUMMYFUNCTION("REGEXREPLACE(C25888,""-\d+(.*)|--\d+(.*)"","""")"),"FENIOUX")</f>
        <v>FENIOUX</v>
      </c>
      <c r="E25888" s="38" t="s">
        <v>337</v>
      </c>
      <c r="F25888" s="38" t="s">
        <v>338</v>
      </c>
      <c r="G25888" s="49" t="str">
        <f t="shared" si="1"/>
        <v>79160</v>
      </c>
      <c r="H25888" s="49">
        <f t="shared" si="2"/>
        <v>79119</v>
      </c>
    </row>
    <row r="25889">
      <c r="A25889" s="48" t="s">
        <v>3711</v>
      </c>
      <c r="B25889" s="38">
        <v>21709.0</v>
      </c>
      <c r="C25889" s="38" t="s">
        <v>30385</v>
      </c>
      <c r="D25889" s="38" t="str">
        <f>IFERROR(__xludf.DUMMYFUNCTION("REGEXREPLACE(C25889,""-\d+(.*)|--\d+(.*)"","""")"),"VISERNY")</f>
        <v>VISERNY</v>
      </c>
      <c r="E25889" s="38" t="s">
        <v>105</v>
      </c>
      <c r="F25889" s="38" t="s">
        <v>106</v>
      </c>
      <c r="G25889" s="49" t="str">
        <f t="shared" si="1"/>
        <v>21500</v>
      </c>
      <c r="H25889" s="49">
        <f t="shared" si="2"/>
        <v>21709</v>
      </c>
    </row>
    <row r="25890">
      <c r="A25890" s="48" t="s">
        <v>325</v>
      </c>
      <c r="B25890" s="38">
        <v>8210.0</v>
      </c>
      <c r="C25890" s="38" t="s">
        <v>30386</v>
      </c>
      <c r="D25890" s="38" t="str">
        <f>IFERROR(__xludf.DUMMYFUNCTION("REGEXREPLACE(C25890,""-\d+(.*)|--\d+(.*)"","""")"),"HANNOGNE-SAINT-REMY")</f>
        <v>HANNOGNE-SAINT-REMY</v>
      </c>
      <c r="E25890" s="38" t="s">
        <v>327</v>
      </c>
      <c r="F25890" s="38" t="s">
        <v>130</v>
      </c>
      <c r="G25890" s="49" t="str">
        <f t="shared" si="1"/>
        <v>08220</v>
      </c>
      <c r="H25890" s="49" t="str">
        <f t="shared" si="2"/>
        <v>08210</v>
      </c>
    </row>
    <row r="25891">
      <c r="A25891" s="48" t="s">
        <v>12358</v>
      </c>
      <c r="B25891" s="38">
        <v>12296.0</v>
      </c>
      <c r="C25891" s="38" t="s">
        <v>30387</v>
      </c>
      <c r="D25891" s="38" t="str">
        <f>IFERROR(__xludf.DUMMYFUNCTION("REGEXREPLACE(C25891,""-\d+(.*)|--\d+(.*)"","""")"),"VIALA-DU-TARN")</f>
        <v>VIALA-DU-TARN</v>
      </c>
      <c r="E25891" s="38" t="s">
        <v>465</v>
      </c>
      <c r="F25891" s="38" t="s">
        <v>94</v>
      </c>
      <c r="G25891" s="49" t="str">
        <f t="shared" si="1"/>
        <v>12490</v>
      </c>
      <c r="H25891" s="49">
        <f t="shared" si="2"/>
        <v>12296</v>
      </c>
    </row>
    <row r="25892">
      <c r="A25892" s="48" t="s">
        <v>1999</v>
      </c>
      <c r="B25892" s="38">
        <v>2223.0</v>
      </c>
      <c r="C25892" s="38" t="s">
        <v>30388</v>
      </c>
      <c r="D25892" s="38" t="str">
        <f>IFERROR(__xludf.DUMMYFUNCTION("REGEXREPLACE(C25892,""-\d+(.*)|--\d+(.*)"","""")"),"COURBOIN")</f>
        <v>COURBOIN</v>
      </c>
      <c r="E25892" s="38" t="s">
        <v>191</v>
      </c>
      <c r="F25892" s="38" t="s">
        <v>113</v>
      </c>
      <c r="G25892" s="49" t="str">
        <f t="shared" si="1"/>
        <v>02330</v>
      </c>
      <c r="H25892" s="49" t="str">
        <f t="shared" si="2"/>
        <v>02223</v>
      </c>
    </row>
    <row r="25893">
      <c r="A25893" s="48" t="s">
        <v>1766</v>
      </c>
      <c r="B25893" s="38">
        <v>2632.0</v>
      </c>
      <c r="C25893" s="38" t="s">
        <v>30389</v>
      </c>
      <c r="D25893" s="38" t="str">
        <f>IFERROR(__xludf.DUMMYFUNCTION("REGEXREPLACE(C25893,""-\d+(.*)|--\d+(.*)"","""")"),"QUINCY-BASSE")</f>
        <v>QUINCY-BASSE</v>
      </c>
      <c r="E25893" s="38" t="s">
        <v>191</v>
      </c>
      <c r="F25893" s="38" t="s">
        <v>113</v>
      </c>
      <c r="G25893" s="49" t="str">
        <f t="shared" si="1"/>
        <v>02380</v>
      </c>
      <c r="H25893" s="49" t="str">
        <f t="shared" si="2"/>
        <v>02632</v>
      </c>
    </row>
    <row r="25894">
      <c r="A25894" s="48" t="s">
        <v>5823</v>
      </c>
      <c r="B25894" s="38">
        <v>49081.0</v>
      </c>
      <c r="C25894" s="38" t="s">
        <v>30390</v>
      </c>
      <c r="D25894" s="38" t="str">
        <f>IFERROR(__xludf.DUMMYFUNCTION("REGEXREPLACE(C25894,""-\d+(.*)|--\d+(.*)"","""")"),"CHATELAIS")</f>
        <v>CHATELAIS</v>
      </c>
      <c r="E25894" s="38" t="s">
        <v>653</v>
      </c>
      <c r="F25894" s="38" t="s">
        <v>180</v>
      </c>
      <c r="G25894" s="49" t="str">
        <f t="shared" si="1"/>
        <v>49520</v>
      </c>
      <c r="H25894" s="49">
        <f t="shared" si="2"/>
        <v>49081</v>
      </c>
    </row>
    <row r="25895">
      <c r="A25895" s="48" t="s">
        <v>3075</v>
      </c>
      <c r="B25895" s="38">
        <v>46337.0</v>
      </c>
      <c r="C25895" s="38" t="s">
        <v>30391</v>
      </c>
      <c r="D25895" s="38" t="str">
        <f>IFERROR(__xludf.DUMMYFUNCTION("REGEXREPLACE(C25895,""-\d+(.*)|--\d+(.*)"","""")"),"MAYRAC")</f>
        <v>MAYRAC</v>
      </c>
      <c r="E25895" s="38" t="s">
        <v>185</v>
      </c>
      <c r="F25895" s="38" t="s">
        <v>94</v>
      </c>
      <c r="G25895" s="49" t="str">
        <f t="shared" si="1"/>
        <v>46200</v>
      </c>
      <c r="H25895" s="49">
        <f t="shared" si="2"/>
        <v>46337</v>
      </c>
    </row>
    <row r="25896">
      <c r="A25896" s="48" t="s">
        <v>2278</v>
      </c>
      <c r="B25896" s="38">
        <v>80348.0</v>
      </c>
      <c r="C25896" s="38" t="s">
        <v>30392</v>
      </c>
      <c r="D25896" s="38" t="str">
        <f>IFERROR(__xludf.DUMMYFUNCTION("REGEXREPLACE(C25896,""-\d+(.*)|--\d+(.*)"","""")"),"FRANSU")</f>
        <v>FRANSU</v>
      </c>
      <c r="E25896" s="38" t="s">
        <v>224</v>
      </c>
      <c r="F25896" s="38" t="s">
        <v>113</v>
      </c>
      <c r="G25896" s="49" t="str">
        <f t="shared" si="1"/>
        <v>80620</v>
      </c>
      <c r="H25896" s="49">
        <f t="shared" si="2"/>
        <v>80348</v>
      </c>
    </row>
    <row r="25897">
      <c r="A25897" s="48" t="s">
        <v>2308</v>
      </c>
      <c r="B25897" s="38">
        <v>33140.0</v>
      </c>
      <c r="C25897" s="38" t="s">
        <v>30393</v>
      </c>
      <c r="D25897" s="38" t="str">
        <f>IFERROR(__xludf.DUMMYFUNCTION("REGEXREPLACE(C25897,""-\d+(.*)|--\d+(.*)"","""")"),"CREON")</f>
        <v>CREON</v>
      </c>
      <c r="E25897" s="38" t="s">
        <v>462</v>
      </c>
      <c r="F25897" s="38" t="s">
        <v>252</v>
      </c>
      <c r="G25897" s="49" t="str">
        <f t="shared" si="1"/>
        <v>33670</v>
      </c>
      <c r="H25897" s="49">
        <f t="shared" si="2"/>
        <v>33140</v>
      </c>
    </row>
    <row r="25898">
      <c r="A25898" s="48" t="s">
        <v>30394</v>
      </c>
      <c r="B25898" s="38">
        <v>57663.0</v>
      </c>
      <c r="C25898" s="38" t="s">
        <v>30395</v>
      </c>
      <c r="D25898" s="38" t="str">
        <f>IFERROR(__xludf.DUMMYFUNCTION("REGEXREPLACE(C25898,""-\d+(.*)|--\d+(.*)"","""")"),"TALANGE")</f>
        <v>TALANGE</v>
      </c>
      <c r="E25898" s="38" t="s">
        <v>303</v>
      </c>
      <c r="F25898" s="38" t="s">
        <v>195</v>
      </c>
      <c r="G25898" s="49" t="str">
        <f t="shared" si="1"/>
        <v>57525</v>
      </c>
      <c r="H25898" s="49">
        <f t="shared" si="2"/>
        <v>57663</v>
      </c>
    </row>
    <row r="25899">
      <c r="A25899" s="48" t="s">
        <v>3721</v>
      </c>
      <c r="B25899" s="38">
        <v>71293.0</v>
      </c>
      <c r="C25899" s="38" t="s">
        <v>30396</v>
      </c>
      <c r="D25899" s="38" t="str">
        <f>IFERROR(__xludf.DUMMYFUNCTION("REGEXREPLACE(C25899,""-\d+(.*)|--\d+(.*)"","""")"),"MENETREUIL")</f>
        <v>MENETREUIL</v>
      </c>
      <c r="E25899" s="38" t="s">
        <v>344</v>
      </c>
      <c r="F25899" s="38" t="s">
        <v>106</v>
      </c>
      <c r="G25899" s="49" t="str">
        <f t="shared" si="1"/>
        <v>71470</v>
      </c>
      <c r="H25899" s="49">
        <f t="shared" si="2"/>
        <v>71293</v>
      </c>
    </row>
    <row r="25900">
      <c r="A25900" s="48" t="s">
        <v>683</v>
      </c>
      <c r="B25900" s="38">
        <v>64480.0</v>
      </c>
      <c r="C25900" s="38" t="s">
        <v>30397</v>
      </c>
      <c r="D25900" s="38" t="str">
        <f>IFERROR(__xludf.DUMMYFUNCTION("REGEXREPLACE(C25900,""-\d+(.*)|--\d+(.*)"","""")"),"SAINT-GLADIE-ARRIVE-MUNEIN")</f>
        <v>SAINT-GLADIE-ARRIVE-MUNEIN</v>
      </c>
      <c r="E25900" s="38" t="s">
        <v>268</v>
      </c>
      <c r="F25900" s="38" t="s">
        <v>252</v>
      </c>
      <c r="G25900" s="49" t="str">
        <f t="shared" si="1"/>
        <v>64390</v>
      </c>
      <c r="H25900" s="49">
        <f t="shared" si="2"/>
        <v>64480</v>
      </c>
    </row>
    <row r="25901">
      <c r="A25901" s="48" t="s">
        <v>5281</v>
      </c>
      <c r="B25901" s="38">
        <v>25417.0</v>
      </c>
      <c r="C25901" s="38" t="s">
        <v>30398</v>
      </c>
      <c r="D25901" s="38" t="str">
        <f>IFERROR(__xludf.DUMMYFUNCTION("REGEXREPLACE(C25901,""-\d+(.*)|--\d+(.*)"","""")"),"NAISEY-LES-GRANGES")</f>
        <v>NAISEY-LES-GRANGES</v>
      </c>
      <c r="E25901" s="38" t="s">
        <v>213</v>
      </c>
      <c r="F25901" s="38" t="s">
        <v>214</v>
      </c>
      <c r="G25901" s="49" t="str">
        <f t="shared" si="1"/>
        <v>25360</v>
      </c>
      <c r="H25901" s="49">
        <f t="shared" si="2"/>
        <v>25417</v>
      </c>
    </row>
    <row r="25902">
      <c r="A25902" s="48" t="s">
        <v>9436</v>
      </c>
      <c r="B25902" s="38">
        <v>63342.0</v>
      </c>
      <c r="C25902" s="38" t="s">
        <v>30399</v>
      </c>
      <c r="D25902" s="38" t="str">
        <f>IFERROR(__xludf.DUMMYFUNCTION("REGEXREPLACE(C25902,""-\d+(.*)|--\d+(.*)"","""")"),"SAINT-FLORET")</f>
        <v>SAINT-FLORET</v>
      </c>
      <c r="E25902" s="38" t="s">
        <v>353</v>
      </c>
      <c r="F25902" s="38" t="s">
        <v>161</v>
      </c>
      <c r="G25902" s="49" t="str">
        <f t="shared" si="1"/>
        <v>63320</v>
      </c>
      <c r="H25902" s="49">
        <f t="shared" si="2"/>
        <v>63342</v>
      </c>
    </row>
    <row r="25903">
      <c r="A25903" s="48" t="s">
        <v>12460</v>
      </c>
      <c r="B25903" s="38">
        <v>64156.0</v>
      </c>
      <c r="C25903" s="38" t="s">
        <v>30400</v>
      </c>
      <c r="D25903" s="38" t="str">
        <f>IFERROR(__xludf.DUMMYFUNCTION("REGEXREPLACE(C25903,""-\d+(.*)|--\d+(.*)"","""")"),"BUZIET")</f>
        <v>BUZIET</v>
      </c>
      <c r="E25903" s="38" t="s">
        <v>268</v>
      </c>
      <c r="F25903" s="38" t="s">
        <v>252</v>
      </c>
      <c r="G25903" s="49" t="str">
        <f t="shared" si="1"/>
        <v>64680</v>
      </c>
      <c r="H25903" s="49">
        <f t="shared" si="2"/>
        <v>64156</v>
      </c>
    </row>
    <row r="25904">
      <c r="A25904" s="48" t="s">
        <v>2357</v>
      </c>
      <c r="B25904" s="38">
        <v>46234.0</v>
      </c>
      <c r="C25904" s="38" t="s">
        <v>30401</v>
      </c>
      <c r="D25904" s="38" t="str">
        <f>IFERROR(__xludf.DUMMYFUNCTION("REGEXREPLACE(C25904,""-\d+(.*)|--\d+(.*)"","""")"),"RAMPOUX")</f>
        <v>RAMPOUX</v>
      </c>
      <c r="E25904" s="38" t="s">
        <v>185</v>
      </c>
      <c r="F25904" s="38" t="s">
        <v>94</v>
      </c>
      <c r="G25904" s="49" t="str">
        <f t="shared" si="1"/>
        <v>46340</v>
      </c>
      <c r="H25904" s="49">
        <f t="shared" si="2"/>
        <v>46234</v>
      </c>
    </row>
    <row r="25905">
      <c r="A25905" s="48" t="s">
        <v>13112</v>
      </c>
      <c r="B25905" s="38">
        <v>40093.0</v>
      </c>
      <c r="C25905" s="38" t="s">
        <v>30402</v>
      </c>
      <c r="D25905" s="38" t="str">
        <f>IFERROR(__xludf.DUMMYFUNCTION("REGEXREPLACE(C25905,""-\d+(.*)|--\d+(.*)"","""")"),"ESCALANS")</f>
        <v>ESCALANS</v>
      </c>
      <c r="E25905" s="38" t="s">
        <v>281</v>
      </c>
      <c r="F25905" s="38" t="s">
        <v>252</v>
      </c>
      <c r="G25905" s="49" t="str">
        <f t="shared" si="1"/>
        <v>40310</v>
      </c>
      <c r="H25905" s="49">
        <f t="shared" si="2"/>
        <v>40093</v>
      </c>
    </row>
    <row r="25906">
      <c r="A25906" s="48" t="s">
        <v>21123</v>
      </c>
      <c r="B25906" s="38">
        <v>81085.0</v>
      </c>
      <c r="C25906" s="38" t="s">
        <v>30403</v>
      </c>
      <c r="D25906" s="38" t="str">
        <f>IFERROR(__xludf.DUMMYFUNCTION("REGEXREPLACE(C25906,""-\d+(.*)|--\d+(.*)"","""")"),"ESCROUX")</f>
        <v>ESCROUX</v>
      </c>
      <c r="E25906" s="38" t="s">
        <v>231</v>
      </c>
      <c r="F25906" s="38" t="s">
        <v>94</v>
      </c>
      <c r="G25906" s="49" t="str">
        <f t="shared" si="1"/>
        <v>81530</v>
      </c>
      <c r="H25906" s="49">
        <f t="shared" si="2"/>
        <v>81085</v>
      </c>
    </row>
    <row r="25907">
      <c r="A25907" s="48" t="s">
        <v>20319</v>
      </c>
      <c r="B25907" s="38">
        <v>29290.0</v>
      </c>
      <c r="C25907" s="38" t="s">
        <v>30404</v>
      </c>
      <c r="D25907" s="38" t="str">
        <f>IFERROR(__xludf.DUMMYFUNCTION("REGEXREPLACE(C25907,""-\d+(.*)|--\d+(.*)"","""")"),"TREGLONOU")</f>
        <v>TREGLONOU</v>
      </c>
      <c r="E25907" s="38" t="s">
        <v>176</v>
      </c>
      <c r="F25907" s="38" t="s">
        <v>90</v>
      </c>
      <c r="G25907" s="49" t="str">
        <f t="shared" si="1"/>
        <v>29870</v>
      </c>
      <c r="H25907" s="49">
        <f t="shared" si="2"/>
        <v>29290</v>
      </c>
    </row>
    <row r="25908">
      <c r="A25908" s="48" t="s">
        <v>189</v>
      </c>
      <c r="B25908" s="38">
        <v>2386.0</v>
      </c>
      <c r="C25908" s="38" t="s">
        <v>30405</v>
      </c>
      <c r="D25908" s="38" t="str">
        <f>IFERROR(__xludf.DUMMYFUNCTION("REGEXREPLACE(C25908,""-\d+(.*)|--\d+(.*)"","""")"),"IRON")</f>
        <v>IRON</v>
      </c>
      <c r="E25908" s="38" t="s">
        <v>191</v>
      </c>
      <c r="F25908" s="38" t="s">
        <v>113</v>
      </c>
      <c r="G25908" s="49" t="str">
        <f t="shared" si="1"/>
        <v>02510</v>
      </c>
      <c r="H25908" s="49" t="str">
        <f t="shared" si="2"/>
        <v>02386</v>
      </c>
    </row>
    <row r="25909">
      <c r="A25909" s="48" t="s">
        <v>4490</v>
      </c>
      <c r="B25909" s="38">
        <v>6017.0</v>
      </c>
      <c r="C25909" s="38" t="s">
        <v>30406</v>
      </c>
      <c r="D25909" s="38" t="str">
        <f>IFERROR(__xludf.DUMMYFUNCTION("REGEXREPLACE(C25909,""-\d+(.*)|--\d+(.*)"","""")"),"BEZAUDUN-LES-ALPES")</f>
        <v>BEZAUDUN-LES-ALPES</v>
      </c>
      <c r="E25909" s="38" t="s">
        <v>227</v>
      </c>
      <c r="F25909" s="38" t="s">
        <v>228</v>
      </c>
      <c r="G25909" s="49" t="str">
        <f t="shared" si="1"/>
        <v>06510</v>
      </c>
      <c r="H25909" s="49" t="str">
        <f t="shared" si="2"/>
        <v>06017</v>
      </c>
    </row>
    <row r="25910">
      <c r="A25910" s="48" t="s">
        <v>18048</v>
      </c>
      <c r="B25910" s="38">
        <v>86222.0</v>
      </c>
      <c r="C25910" s="38" t="s">
        <v>30407</v>
      </c>
      <c r="D25910" s="38" t="str">
        <f>IFERROR(__xludf.DUMMYFUNCTION("REGEXREPLACE(C25910,""-\d+(.*)|--\d+(.*)"","""")"),"SAINT-GEORGES-LES-BAILLARGEAUX")</f>
        <v>SAINT-GEORGES-LES-BAILLARGEAUX</v>
      </c>
      <c r="E25910" s="38" t="s">
        <v>529</v>
      </c>
      <c r="F25910" s="38" t="s">
        <v>338</v>
      </c>
      <c r="G25910" s="49" t="str">
        <f t="shared" si="1"/>
        <v>86130</v>
      </c>
      <c r="H25910" s="49">
        <f t="shared" si="2"/>
        <v>86222</v>
      </c>
    </row>
    <row r="25911">
      <c r="A25911" s="48" t="s">
        <v>5209</v>
      </c>
      <c r="B25911" s="38">
        <v>54498.0</v>
      </c>
      <c r="C25911" s="38" t="s">
        <v>30408</v>
      </c>
      <c r="D25911" s="38" t="str">
        <f>IFERROR(__xludf.DUMMYFUNCTION("REGEXREPLACE(C25911,""-\d+(.*)|--\d+(.*)"","""")"),"SEICHAMPS")</f>
        <v>SEICHAMPS</v>
      </c>
      <c r="E25911" s="38" t="s">
        <v>548</v>
      </c>
      <c r="F25911" s="38" t="s">
        <v>195</v>
      </c>
      <c r="G25911" s="49" t="str">
        <f t="shared" si="1"/>
        <v>54280</v>
      </c>
      <c r="H25911" s="49">
        <f t="shared" si="2"/>
        <v>54498</v>
      </c>
    </row>
    <row r="25912">
      <c r="A25912" s="48" t="s">
        <v>12407</v>
      </c>
      <c r="B25912" s="38">
        <v>38364.0</v>
      </c>
      <c r="C25912" s="38" t="s">
        <v>30409</v>
      </c>
      <c r="D25912" s="38" t="str">
        <f>IFERROR(__xludf.DUMMYFUNCTION("REGEXREPLACE(C25912,""-\d+(.*)|--\d+(.*)"","""")"),"SAINT-BARTHELEMY-DE-SECHILIENNE")</f>
        <v>SAINT-BARTHELEMY-DE-SECHILIENNE</v>
      </c>
      <c r="E25912" s="38" t="s">
        <v>101</v>
      </c>
      <c r="F25912" s="38" t="s">
        <v>102</v>
      </c>
      <c r="G25912" s="49" t="str">
        <f t="shared" si="1"/>
        <v>38220</v>
      </c>
      <c r="H25912" s="49">
        <f t="shared" si="2"/>
        <v>38364</v>
      </c>
    </row>
    <row r="25913">
      <c r="A25913" s="48" t="s">
        <v>966</v>
      </c>
      <c r="B25913" s="38">
        <v>70142.0</v>
      </c>
      <c r="C25913" s="38" t="s">
        <v>30410</v>
      </c>
      <c r="D25913" s="38" t="str">
        <f>IFERROR(__xludf.DUMMYFUNCTION("REGEXREPLACE(C25913,""-\d+(.*)|--\d+(.*)"","""")"),"CHAUMERCENNE")</f>
        <v>CHAUMERCENNE</v>
      </c>
      <c r="E25913" s="38" t="s">
        <v>956</v>
      </c>
      <c r="F25913" s="38" t="s">
        <v>214</v>
      </c>
      <c r="G25913" s="49" t="str">
        <f t="shared" si="1"/>
        <v>70140</v>
      </c>
      <c r="H25913" s="49">
        <f t="shared" si="2"/>
        <v>70142</v>
      </c>
    </row>
    <row r="25914">
      <c r="A25914" s="48" t="s">
        <v>5720</v>
      </c>
      <c r="B25914" s="38">
        <v>86178.0</v>
      </c>
      <c r="C25914" s="38" t="s">
        <v>30411</v>
      </c>
      <c r="D25914" s="38" t="str">
        <f>IFERROR(__xludf.DUMMYFUNCTION("REGEXREPLACE(C25914,""-\d+(.*)|--\d+(.*)"","""")"),"NIEUIL-L'ESPOIR")</f>
        <v>NIEUIL-L'ESPOIR</v>
      </c>
      <c r="E25914" s="38" t="s">
        <v>529</v>
      </c>
      <c r="F25914" s="38" t="s">
        <v>338</v>
      </c>
      <c r="G25914" s="49" t="str">
        <f t="shared" si="1"/>
        <v>86340</v>
      </c>
      <c r="H25914" s="49">
        <f t="shared" si="2"/>
        <v>86178</v>
      </c>
    </row>
    <row r="25915">
      <c r="A25915" s="48" t="s">
        <v>28503</v>
      </c>
      <c r="B25915" s="38">
        <v>78567.0</v>
      </c>
      <c r="C25915" s="38" t="s">
        <v>30412</v>
      </c>
      <c r="D25915" s="38" t="str">
        <f>IFERROR(__xludf.DUMMYFUNCTION("REGEXREPLACE(C25915,""-\d+(.*)|--\d+(.*)"","""")"),"SAINT-MARTIN-LA-GARENNE")</f>
        <v>SAINT-MARTIN-LA-GARENNE</v>
      </c>
      <c r="E25915" s="38" t="s">
        <v>362</v>
      </c>
      <c r="F25915" s="38" t="s">
        <v>245</v>
      </c>
      <c r="G25915" s="49" t="str">
        <f t="shared" si="1"/>
        <v>78520</v>
      </c>
      <c r="H25915" s="49">
        <f t="shared" si="2"/>
        <v>78567</v>
      </c>
    </row>
    <row r="25916">
      <c r="A25916" s="48" t="s">
        <v>6078</v>
      </c>
      <c r="B25916" s="38">
        <v>10021.0</v>
      </c>
      <c r="C25916" s="38" t="s">
        <v>30413</v>
      </c>
      <c r="D25916" s="38" t="str">
        <f>IFERROR(__xludf.DUMMYFUNCTION("REGEXREPLACE(C25916,""-\d+(.*)|--\d+(.*)"","""")"),"AVANT-LES-RAMERUPT")</f>
        <v>AVANT-LES-RAMERUPT</v>
      </c>
      <c r="E25916" s="38" t="s">
        <v>147</v>
      </c>
      <c r="F25916" s="38" t="s">
        <v>130</v>
      </c>
      <c r="G25916" s="49" t="str">
        <f t="shared" si="1"/>
        <v>10240</v>
      </c>
      <c r="H25916" s="49">
        <f t="shared" si="2"/>
        <v>10021</v>
      </c>
    </row>
    <row r="25917">
      <c r="A25917" s="48" t="s">
        <v>181</v>
      </c>
      <c r="B25917" s="38">
        <v>51622.0</v>
      </c>
      <c r="C25917" s="38" t="s">
        <v>30414</v>
      </c>
      <c r="D25917" s="38" t="str">
        <f>IFERROR(__xludf.DUMMYFUNCTION("REGEXREPLACE(C25917,""-\d+(.*)|--\d+(.*)"","""")"),"VILLE-DOMMANGE")</f>
        <v>VILLE-DOMMANGE</v>
      </c>
      <c r="E25917" s="38" t="s">
        <v>129</v>
      </c>
      <c r="F25917" s="38" t="s">
        <v>130</v>
      </c>
      <c r="G25917" s="49" t="str">
        <f t="shared" si="1"/>
        <v>51390</v>
      </c>
      <c r="H25917" s="49">
        <f t="shared" si="2"/>
        <v>51622</v>
      </c>
    </row>
    <row r="25918">
      <c r="A25918" s="48" t="s">
        <v>2170</v>
      </c>
      <c r="B25918" s="38">
        <v>80141.0</v>
      </c>
      <c r="C25918" s="38" t="s">
        <v>4578</v>
      </c>
      <c r="D25918" s="38" t="str">
        <f>IFERROR(__xludf.DUMMYFUNCTION("REGEXREPLACE(C25918,""-\d+(.*)|--\d+(.*)"","""")"),"BRIE")</f>
        <v>BRIE</v>
      </c>
      <c r="E25918" s="38" t="s">
        <v>224</v>
      </c>
      <c r="F25918" s="38" t="s">
        <v>113</v>
      </c>
      <c r="G25918" s="49" t="str">
        <f t="shared" si="1"/>
        <v>80200</v>
      </c>
      <c r="H25918" s="49">
        <f t="shared" si="2"/>
        <v>80141</v>
      </c>
    </row>
    <row r="25919">
      <c r="A25919" s="48" t="s">
        <v>8515</v>
      </c>
      <c r="B25919" s="38">
        <v>8141.0</v>
      </c>
      <c r="C25919" s="38" t="s">
        <v>30415</v>
      </c>
      <c r="D25919" s="38" t="str">
        <f>IFERROR(__xludf.DUMMYFUNCTION("REGEXREPLACE(C25919,""-\d+(.*)|--\d+(.*)"","""")"),"DOMMERY")</f>
        <v>DOMMERY</v>
      </c>
      <c r="E25919" s="38" t="s">
        <v>327</v>
      </c>
      <c r="F25919" s="38" t="s">
        <v>130</v>
      </c>
      <c r="G25919" s="49" t="str">
        <f t="shared" si="1"/>
        <v>08460</v>
      </c>
      <c r="H25919" s="49" t="str">
        <f t="shared" si="2"/>
        <v>08141</v>
      </c>
    </row>
    <row r="25920">
      <c r="A25920" s="48" t="s">
        <v>3711</v>
      </c>
      <c r="B25920" s="38">
        <v>21114.0</v>
      </c>
      <c r="C25920" s="38" t="s">
        <v>30416</v>
      </c>
      <c r="D25920" s="38" t="str">
        <f>IFERROR(__xludf.DUMMYFUNCTION("REGEXREPLACE(C25920,""-\d+(.*)|--\d+(.*)"","""")"),"BUFFON")</f>
        <v>BUFFON</v>
      </c>
      <c r="E25920" s="38" t="s">
        <v>105</v>
      </c>
      <c r="F25920" s="38" t="s">
        <v>106</v>
      </c>
      <c r="G25920" s="49" t="str">
        <f t="shared" si="1"/>
        <v>21500</v>
      </c>
      <c r="H25920" s="49">
        <f t="shared" si="2"/>
        <v>21114</v>
      </c>
    </row>
    <row r="25921">
      <c r="A25921" s="48" t="s">
        <v>991</v>
      </c>
      <c r="B25921" s="38">
        <v>87154.0</v>
      </c>
      <c r="C25921" s="38" t="s">
        <v>30417</v>
      </c>
      <c r="D25921" s="38" t="str">
        <f>IFERROR(__xludf.DUMMYFUNCTION("REGEXREPLACE(C25921,""-\d+(.*)|--\d+(.*)"","""")"),"SAINT-JUNIEN")</f>
        <v>SAINT-JUNIEN</v>
      </c>
      <c r="E25921" s="38" t="s">
        <v>897</v>
      </c>
      <c r="F25921" s="38" t="s">
        <v>98</v>
      </c>
      <c r="G25921" s="49" t="str">
        <f t="shared" si="1"/>
        <v>87200</v>
      </c>
      <c r="H25921" s="49">
        <f t="shared" si="2"/>
        <v>87154</v>
      </c>
    </row>
    <row r="25922">
      <c r="A25922" s="48" t="s">
        <v>2942</v>
      </c>
      <c r="B25922" s="38">
        <v>14222.0</v>
      </c>
      <c r="C25922" s="38" t="s">
        <v>30418</v>
      </c>
      <c r="D25922" s="38" t="str">
        <f>IFERROR(__xludf.DUMMYFUNCTION("REGEXREPLACE(C25922,""-\d+(.*)|--\d+(.*)"","""")"),"LE DESERT")</f>
        <v>LE DESERT</v>
      </c>
      <c r="E25922" s="38" t="s">
        <v>137</v>
      </c>
      <c r="F25922" s="38" t="s">
        <v>138</v>
      </c>
      <c r="G25922" s="49" t="str">
        <f t="shared" si="1"/>
        <v>14350</v>
      </c>
      <c r="H25922" s="49">
        <f t="shared" si="2"/>
        <v>14222</v>
      </c>
    </row>
    <row r="25923">
      <c r="A25923" s="48" t="s">
        <v>1284</v>
      </c>
      <c r="B25923" s="38">
        <v>9142.0</v>
      </c>
      <c r="C25923" s="38" t="s">
        <v>30419</v>
      </c>
      <c r="D25923" s="38" t="str">
        <f>IFERROR(__xludf.DUMMYFUNCTION("REGEXREPLACE(C25923,""-\d+(.*)|--\d+(.*)"","""")"),"ILHAT")</f>
        <v>ILHAT</v>
      </c>
      <c r="E25923" s="38" t="s">
        <v>238</v>
      </c>
      <c r="F25923" s="38" t="s">
        <v>94</v>
      </c>
      <c r="G25923" s="49" t="str">
        <f t="shared" si="1"/>
        <v>09300</v>
      </c>
      <c r="H25923" s="49" t="str">
        <f t="shared" si="2"/>
        <v>09142</v>
      </c>
    </row>
    <row r="25924">
      <c r="A25924" s="48" t="s">
        <v>386</v>
      </c>
      <c r="B25924" s="38">
        <v>21351.0</v>
      </c>
      <c r="C25924" s="38" t="s">
        <v>24487</v>
      </c>
      <c r="D25924" s="38" t="str">
        <f>IFERROR(__xludf.DUMMYFUNCTION("REGEXREPLACE(C25924,""-\d+(.*)|--\d+(.*)"","""")"),"LONGCHAMP")</f>
        <v>LONGCHAMP</v>
      </c>
      <c r="E25924" s="38" t="s">
        <v>105</v>
      </c>
      <c r="F25924" s="38" t="s">
        <v>106</v>
      </c>
      <c r="G25924" s="49" t="str">
        <f t="shared" si="1"/>
        <v>21110</v>
      </c>
      <c r="H25924" s="49">
        <f t="shared" si="2"/>
        <v>21351</v>
      </c>
    </row>
    <row r="25925">
      <c r="A25925" s="48" t="s">
        <v>1783</v>
      </c>
      <c r="B25925" s="38">
        <v>60673.0</v>
      </c>
      <c r="C25925" s="38" t="s">
        <v>30420</v>
      </c>
      <c r="D25925" s="38" t="str">
        <f>IFERROR(__xludf.DUMMYFUNCTION("REGEXREPLACE(C25925,""-\d+(.*)|--\d+(.*)"","""")"),"VIEFVILLERS")</f>
        <v>VIEFVILLERS</v>
      </c>
      <c r="E25925" s="38" t="s">
        <v>112</v>
      </c>
      <c r="F25925" s="38" t="s">
        <v>113</v>
      </c>
      <c r="G25925" s="49" t="str">
        <f t="shared" si="1"/>
        <v>60360</v>
      </c>
      <c r="H25925" s="49">
        <f t="shared" si="2"/>
        <v>60673</v>
      </c>
    </row>
    <row r="25926">
      <c r="A25926" s="48" t="s">
        <v>946</v>
      </c>
      <c r="B25926" s="38">
        <v>81019.0</v>
      </c>
      <c r="C25926" s="38" t="s">
        <v>30421</v>
      </c>
      <c r="D25926" s="38" t="str">
        <f>IFERROR(__xludf.DUMMYFUNCTION("REGEXREPLACE(C25926,""-\d+(.*)|--\d+(.*)"","""")"),"ASSAC")</f>
        <v>ASSAC</v>
      </c>
      <c r="E25926" s="38" t="s">
        <v>231</v>
      </c>
      <c r="F25926" s="38" t="s">
        <v>94</v>
      </c>
      <c r="G25926" s="49" t="str">
        <f t="shared" si="1"/>
        <v>81340</v>
      </c>
      <c r="H25926" s="49">
        <f t="shared" si="2"/>
        <v>81019</v>
      </c>
    </row>
    <row r="25927">
      <c r="A25927" s="48" t="s">
        <v>2523</v>
      </c>
      <c r="B25927" s="38">
        <v>46019.0</v>
      </c>
      <c r="C25927" s="38" t="s">
        <v>30422</v>
      </c>
      <c r="D25927" s="38" t="str">
        <f>IFERROR(__xludf.DUMMYFUNCTION("REGEXREPLACE(C25927,""-\d+(.*)|--\d+(.*)"","""")"),"BEAUMAT")</f>
        <v>BEAUMAT</v>
      </c>
      <c r="E25927" s="38" t="s">
        <v>185</v>
      </c>
      <c r="F25927" s="38" t="s">
        <v>94</v>
      </c>
      <c r="G25927" s="49" t="str">
        <f t="shared" si="1"/>
        <v>46240</v>
      </c>
      <c r="H25927" s="49">
        <f t="shared" si="2"/>
        <v>46019</v>
      </c>
    </row>
    <row r="25928">
      <c r="A25928" s="48" t="s">
        <v>920</v>
      </c>
      <c r="B25928" s="38">
        <v>31302.0</v>
      </c>
      <c r="C25928" s="38" t="s">
        <v>30423</v>
      </c>
      <c r="D25928" s="38" t="str">
        <f>IFERROR(__xludf.DUMMYFUNCTION("REGEXREPLACE(C25928,""-\d+(.*)|--\d+(.*)"","""")"),"LODES")</f>
        <v>LODES</v>
      </c>
      <c r="E25928" s="38" t="s">
        <v>93</v>
      </c>
      <c r="F25928" s="38" t="s">
        <v>94</v>
      </c>
      <c r="G25928" s="49" t="str">
        <f t="shared" si="1"/>
        <v>31800</v>
      </c>
      <c r="H25928" s="49">
        <f t="shared" si="2"/>
        <v>31302</v>
      </c>
    </row>
    <row r="25929">
      <c r="A25929" s="48" t="s">
        <v>9334</v>
      </c>
      <c r="B25929" s="38">
        <v>62448.0</v>
      </c>
      <c r="C25929" s="38" t="s">
        <v>30424</v>
      </c>
      <c r="D25929" s="38" t="str">
        <f>IFERROR(__xludf.DUMMYFUNCTION("REGEXREPLACE(C25929,""-\d+(.*)|--\d+(.*)"","""")"),"HESDIN-L'ABBE")</f>
        <v>HESDIN-L'ABBE</v>
      </c>
      <c r="E25929" s="38" t="s">
        <v>109</v>
      </c>
      <c r="F25929" s="38" t="s">
        <v>86</v>
      </c>
      <c r="G25929" s="49" t="str">
        <f t="shared" si="1"/>
        <v>62360</v>
      </c>
      <c r="H25929" s="49">
        <f t="shared" si="2"/>
        <v>62448</v>
      </c>
    </row>
    <row r="25930">
      <c r="A25930" s="48" t="s">
        <v>8019</v>
      </c>
      <c r="B25930" s="38">
        <v>53210.0</v>
      </c>
      <c r="C25930" s="38" t="s">
        <v>30425</v>
      </c>
      <c r="D25930" s="38" t="str">
        <f>IFERROR(__xludf.DUMMYFUNCTION("REGEXREPLACE(C25930,""-\d+(.*)|--\d+(.*)"","""")"),"SAINT-DENIS-D'ANJOU")</f>
        <v>SAINT-DENIS-D'ANJOU</v>
      </c>
      <c r="E25930" s="38" t="s">
        <v>518</v>
      </c>
      <c r="F25930" s="38" t="s">
        <v>180</v>
      </c>
      <c r="G25930" s="49" t="str">
        <f t="shared" si="1"/>
        <v>53290</v>
      </c>
      <c r="H25930" s="49">
        <f t="shared" si="2"/>
        <v>53210</v>
      </c>
    </row>
    <row r="25931">
      <c r="A25931" s="48" t="s">
        <v>730</v>
      </c>
      <c r="B25931" s="38">
        <v>48065.0</v>
      </c>
      <c r="C25931" s="38" t="s">
        <v>30426</v>
      </c>
      <c r="D25931" s="38" t="str">
        <f>IFERROR(__xludf.DUMMYFUNCTION("REGEXREPLACE(C25931,""-\d+(.*)|--\d+(.*)"","""")"),"FRAISSINET-DE-FOURQUES")</f>
        <v>FRAISSINET-DE-FOURQUES</v>
      </c>
      <c r="E25931" s="38" t="s">
        <v>154</v>
      </c>
      <c r="F25931" s="38" t="s">
        <v>119</v>
      </c>
      <c r="G25931" s="49" t="str">
        <f t="shared" si="1"/>
        <v>48400</v>
      </c>
      <c r="H25931" s="49">
        <f t="shared" si="2"/>
        <v>48065</v>
      </c>
    </row>
    <row r="25932">
      <c r="A25932" s="48" t="s">
        <v>30427</v>
      </c>
      <c r="B25932" s="38">
        <v>2710.0</v>
      </c>
      <c r="C25932" s="38" t="s">
        <v>30428</v>
      </c>
      <c r="D25932" s="38" t="str">
        <f>IFERROR(__xludf.DUMMYFUNCTION("REGEXREPLACE(C25932,""-\d+(.*)|--\d+(.*)"","""")"),"SERAUCOURT-LE-GRAND")</f>
        <v>SERAUCOURT-LE-GRAND</v>
      </c>
      <c r="E25932" s="38" t="s">
        <v>191</v>
      </c>
      <c r="F25932" s="38" t="s">
        <v>113</v>
      </c>
      <c r="G25932" s="49" t="str">
        <f t="shared" si="1"/>
        <v>02790</v>
      </c>
      <c r="H25932" s="49" t="str">
        <f t="shared" si="2"/>
        <v>02710</v>
      </c>
    </row>
    <row r="25933">
      <c r="A25933" s="48" t="s">
        <v>16193</v>
      </c>
      <c r="B25933" s="38">
        <v>73265.0</v>
      </c>
      <c r="C25933" s="38" t="s">
        <v>17890</v>
      </c>
      <c r="D25933" s="38" t="str">
        <f>IFERROR(__xludf.DUMMYFUNCTION("REGEXREPLACE(C25933,""-\d+(.*)|--\d+(.*)"","""")"),"SAINT-OURS")</f>
        <v>SAINT-OURS</v>
      </c>
      <c r="E25933" s="38" t="s">
        <v>306</v>
      </c>
      <c r="F25933" s="38" t="s">
        <v>102</v>
      </c>
      <c r="G25933" s="49" t="str">
        <f t="shared" si="1"/>
        <v>73410</v>
      </c>
      <c r="H25933" s="49">
        <f t="shared" si="2"/>
        <v>73265</v>
      </c>
    </row>
    <row r="25934">
      <c r="A25934" s="48" t="s">
        <v>1926</v>
      </c>
      <c r="B25934" s="38">
        <v>28120.0</v>
      </c>
      <c r="C25934" s="38" t="s">
        <v>30429</v>
      </c>
      <c r="D25934" s="38" t="str">
        <f>IFERROR(__xludf.DUMMYFUNCTION("REGEXREPLACE(C25934,""-\d+(.*)|--\d+(.*)"","""")"),"CRUCEY-VILLAGES")</f>
        <v>CRUCEY-VILLAGES</v>
      </c>
      <c r="E25934" s="38" t="s">
        <v>300</v>
      </c>
      <c r="F25934" s="38" t="s">
        <v>123</v>
      </c>
      <c r="G25934" s="49" t="str">
        <f t="shared" si="1"/>
        <v>28270</v>
      </c>
      <c r="H25934" s="49">
        <f t="shared" si="2"/>
        <v>28120</v>
      </c>
    </row>
    <row r="25935">
      <c r="A25935" s="48" t="s">
        <v>3065</v>
      </c>
      <c r="B25935" s="38">
        <v>7252.0</v>
      </c>
      <c r="C25935" s="38" t="s">
        <v>30430</v>
      </c>
      <c r="D25935" s="38" t="str">
        <f>IFERROR(__xludf.DUMMYFUNCTION("REGEXREPLACE(C25935,""-\d+(.*)|--\d+(.*)"","""")"),"SAINT-JULIEN-BOUTIERES")</f>
        <v>SAINT-JULIEN-BOUTIERES</v>
      </c>
      <c r="E25935" s="38" t="s">
        <v>144</v>
      </c>
      <c r="F25935" s="38" t="s">
        <v>102</v>
      </c>
      <c r="G25935" s="49" t="str">
        <f t="shared" si="1"/>
        <v>07310</v>
      </c>
      <c r="H25935" s="49" t="str">
        <f t="shared" si="2"/>
        <v>07252</v>
      </c>
    </row>
    <row r="25936">
      <c r="A25936" s="48" t="s">
        <v>2803</v>
      </c>
      <c r="B25936" s="38">
        <v>80664.0</v>
      </c>
      <c r="C25936" s="38" t="s">
        <v>17862</v>
      </c>
      <c r="D25936" s="38" t="str">
        <f>IFERROR(__xludf.DUMMYFUNCTION("REGEXREPLACE(C25936,""-\d+(.*)|--\d+(.*)"","""")"),"RANCOURT")</f>
        <v>RANCOURT</v>
      </c>
      <c r="E25936" s="38" t="s">
        <v>224</v>
      </c>
      <c r="F25936" s="38" t="s">
        <v>113</v>
      </c>
      <c r="G25936" s="49" t="str">
        <f t="shared" si="1"/>
        <v>80360</v>
      </c>
      <c r="H25936" s="49">
        <f t="shared" si="2"/>
        <v>80664</v>
      </c>
    </row>
    <row r="25937">
      <c r="A25937" s="48" t="s">
        <v>4018</v>
      </c>
      <c r="B25937" s="38">
        <v>55427.0</v>
      </c>
      <c r="C25937" s="38" t="s">
        <v>30431</v>
      </c>
      <c r="D25937" s="38" t="str">
        <f>IFERROR(__xludf.DUMMYFUNCTION("REGEXREPLACE(C25937,""-\d+(.*)|--\d+(.*)"","""")"),"REVIGNY-SUR-ORNAIN")</f>
        <v>REVIGNY-SUR-ORNAIN</v>
      </c>
      <c r="E25937" s="38" t="s">
        <v>322</v>
      </c>
      <c r="F25937" s="38" t="s">
        <v>195</v>
      </c>
      <c r="G25937" s="49" t="str">
        <f t="shared" si="1"/>
        <v>55800</v>
      </c>
      <c r="H25937" s="49">
        <f t="shared" si="2"/>
        <v>55427</v>
      </c>
    </row>
    <row r="25938">
      <c r="A25938" s="48" t="s">
        <v>30432</v>
      </c>
      <c r="B25938" s="38">
        <v>78358.0</v>
      </c>
      <c r="C25938" s="38" t="s">
        <v>30433</v>
      </c>
      <c r="D25938" s="38" t="str">
        <f>IFERROR(__xludf.DUMMYFUNCTION("REGEXREPLACE(C25938,""-\d+(.*)|--\d+(.*)"","""")"),"MAISONS-LAFFITTE")</f>
        <v>MAISONS-LAFFITTE</v>
      </c>
      <c r="E25938" s="38" t="s">
        <v>362</v>
      </c>
      <c r="F25938" s="38" t="s">
        <v>245</v>
      </c>
      <c r="G25938" s="49" t="str">
        <f t="shared" si="1"/>
        <v>78600</v>
      </c>
      <c r="H25938" s="49">
        <f t="shared" si="2"/>
        <v>78358</v>
      </c>
    </row>
    <row r="25939">
      <c r="A25939" s="48" t="s">
        <v>10141</v>
      </c>
      <c r="B25939" s="38">
        <v>31293.0</v>
      </c>
      <c r="C25939" s="38" t="s">
        <v>30434</v>
      </c>
      <c r="D25939" s="38" t="str">
        <f>IFERROR(__xludf.DUMMYFUNCTION("REGEXREPLACE(C25939,""-\d+(.*)|--\d+(.*)"","""")"),"LESPINASSE")</f>
        <v>LESPINASSE</v>
      </c>
      <c r="E25939" s="38" t="s">
        <v>93</v>
      </c>
      <c r="F25939" s="38" t="s">
        <v>94</v>
      </c>
      <c r="G25939" s="49" t="str">
        <f t="shared" si="1"/>
        <v>31150</v>
      </c>
      <c r="H25939" s="49">
        <f t="shared" si="2"/>
        <v>31293</v>
      </c>
    </row>
    <row r="25940">
      <c r="A25940" s="48" t="s">
        <v>4450</v>
      </c>
      <c r="B25940" s="38">
        <v>34226.0</v>
      </c>
      <c r="C25940" s="38" t="s">
        <v>30435</v>
      </c>
      <c r="D25940" s="38" t="str">
        <f>IFERROR(__xludf.DUMMYFUNCTION("REGEXREPLACE(C25940,""-\d+(.*)|--\d+(.*)"","""")"),"QUARANTE")</f>
        <v>QUARANTE</v>
      </c>
      <c r="E25940" s="38" t="s">
        <v>118</v>
      </c>
      <c r="F25940" s="38" t="s">
        <v>119</v>
      </c>
      <c r="G25940" s="49" t="str">
        <f t="shared" si="1"/>
        <v>34310</v>
      </c>
      <c r="H25940" s="49">
        <f t="shared" si="2"/>
        <v>34226</v>
      </c>
    </row>
    <row r="25941">
      <c r="A25941" s="48" t="s">
        <v>4709</v>
      </c>
      <c r="B25941" s="38">
        <v>95024.0</v>
      </c>
      <c r="C25941" s="38" t="s">
        <v>30436</v>
      </c>
      <c r="D25941" s="38" t="str">
        <f>IFERROR(__xludf.DUMMYFUNCTION("REGEXREPLACE(C25941,""-\d+(.*)|--\d+(.*)"","""")"),"ARTHIES")</f>
        <v>ARTHIES</v>
      </c>
      <c r="E25941" s="38" t="s">
        <v>541</v>
      </c>
      <c r="F25941" s="38" t="s">
        <v>245</v>
      </c>
      <c r="G25941" s="49" t="str">
        <f t="shared" si="1"/>
        <v>95420</v>
      </c>
      <c r="H25941" s="49">
        <f t="shared" si="2"/>
        <v>95024</v>
      </c>
    </row>
    <row r="25942">
      <c r="A25942" s="48" t="s">
        <v>6296</v>
      </c>
      <c r="B25942" s="38">
        <v>50379.0</v>
      </c>
      <c r="C25942" s="38" t="s">
        <v>30437</v>
      </c>
      <c r="D25942" s="38" t="str">
        <f>IFERROR(__xludf.DUMMYFUNCTION("REGEXREPLACE(C25942,""-\d+(.*)|--\d+(.*)"","""")"),"NOTRE-DAME-DE-LIVOYE")</f>
        <v>NOTRE-DAME-DE-LIVOYE</v>
      </c>
      <c r="E25942" s="38" t="s">
        <v>157</v>
      </c>
      <c r="F25942" s="38" t="s">
        <v>138</v>
      </c>
      <c r="G25942" s="49" t="str">
        <f t="shared" si="1"/>
        <v>50370</v>
      </c>
      <c r="H25942" s="49">
        <f t="shared" si="2"/>
        <v>50379</v>
      </c>
    </row>
    <row r="25943">
      <c r="A25943" s="48" t="s">
        <v>1552</v>
      </c>
      <c r="B25943" s="38">
        <v>53011.0</v>
      </c>
      <c r="C25943" s="38" t="s">
        <v>30438</v>
      </c>
      <c r="D25943" s="38" t="str">
        <f>IFERROR(__xludf.DUMMYFUNCTION("REGEXREPLACE(C25943,""-\d+(.*)|--\d+(.*)"","""")"),"ASTILLE")</f>
        <v>ASTILLE</v>
      </c>
      <c r="E25943" s="38" t="s">
        <v>518</v>
      </c>
      <c r="F25943" s="38" t="s">
        <v>180</v>
      </c>
      <c r="G25943" s="49" t="str">
        <f t="shared" si="1"/>
        <v>53230</v>
      </c>
      <c r="H25943" s="49">
        <f t="shared" si="2"/>
        <v>53011</v>
      </c>
    </row>
    <row r="25944">
      <c r="A25944" s="48" t="s">
        <v>1930</v>
      </c>
      <c r="B25944" s="38">
        <v>28155.0</v>
      </c>
      <c r="C25944" s="38" t="s">
        <v>30439</v>
      </c>
      <c r="D25944" s="38" t="str">
        <f>IFERROR(__xludf.DUMMYFUNCTION("REGEXREPLACE(C25944,""-\d+(.*)|--\d+(.*)"","""")"),"FONTAINE-LES-RIBOUTS")</f>
        <v>FONTAINE-LES-RIBOUTS</v>
      </c>
      <c r="E25944" s="38" t="s">
        <v>300</v>
      </c>
      <c r="F25944" s="38" t="s">
        <v>123</v>
      </c>
      <c r="G25944" s="49" t="str">
        <f t="shared" si="1"/>
        <v>28170</v>
      </c>
      <c r="H25944" s="49">
        <f t="shared" si="2"/>
        <v>28155</v>
      </c>
    </row>
    <row r="25945">
      <c r="A25945" s="48" t="s">
        <v>12826</v>
      </c>
      <c r="B25945" s="38">
        <v>45095.0</v>
      </c>
      <c r="C25945" s="38" t="s">
        <v>30440</v>
      </c>
      <c r="D25945" s="38" t="str">
        <f>IFERROR(__xludf.DUMMYFUNCTION("REGEXREPLACE(C25945,""-\d+(.*)|--\d+(.*)"","""")"),"CHILLEURS-AUX-BOIS")</f>
        <v>CHILLEURS-AUX-BOIS</v>
      </c>
      <c r="E25945" s="38" t="s">
        <v>122</v>
      </c>
      <c r="F25945" s="38" t="s">
        <v>123</v>
      </c>
      <c r="G25945" s="49" t="str">
        <f t="shared" si="1"/>
        <v>45170</v>
      </c>
      <c r="H25945" s="49">
        <f t="shared" si="2"/>
        <v>45095</v>
      </c>
    </row>
    <row r="25946">
      <c r="A25946" s="48" t="s">
        <v>30441</v>
      </c>
      <c r="B25946" s="38">
        <v>84043.0</v>
      </c>
      <c r="C25946" s="38" t="s">
        <v>30442</v>
      </c>
      <c r="D25946" s="38" t="str">
        <f>IFERROR(__xludf.DUMMYFUNCTION("REGEXREPLACE(C25946,""-\d+(.*)|--\d+(.*)"","""")"),"ENTRAIGUES-SUR-LA-SORGUE")</f>
        <v>ENTRAIGUES-SUR-LA-SORGUE</v>
      </c>
      <c r="E25946" s="38" t="s">
        <v>1026</v>
      </c>
      <c r="F25946" s="38" t="s">
        <v>228</v>
      </c>
      <c r="G25946" s="49" t="str">
        <f t="shared" si="1"/>
        <v>84320</v>
      </c>
      <c r="H25946" s="49">
        <f t="shared" si="2"/>
        <v>84043</v>
      </c>
    </row>
    <row r="25947">
      <c r="A25947" s="48" t="s">
        <v>5250</v>
      </c>
      <c r="B25947" s="38">
        <v>27468.0</v>
      </c>
      <c r="C25947" s="38" t="s">
        <v>30443</v>
      </c>
      <c r="D25947" s="38" t="str">
        <f>IFERROR(__xludf.DUMMYFUNCTION("REGEXREPLACE(C25947,""-\d+(.*)|--\d+(.*)"","""")"),"PONT-AUTHOU")</f>
        <v>PONT-AUTHOU</v>
      </c>
      <c r="E25947" s="38" t="s">
        <v>241</v>
      </c>
      <c r="F25947" s="38" t="s">
        <v>134</v>
      </c>
      <c r="G25947" s="49" t="str">
        <f t="shared" si="1"/>
        <v>27290</v>
      </c>
      <c r="H25947" s="49">
        <f t="shared" si="2"/>
        <v>27468</v>
      </c>
    </row>
    <row r="25948">
      <c r="A25948" s="48" t="s">
        <v>5882</v>
      </c>
      <c r="B25948" s="38">
        <v>36016.0</v>
      </c>
      <c r="C25948" s="38" t="s">
        <v>30444</v>
      </c>
      <c r="D25948" s="38" t="str">
        <f>IFERROR(__xludf.DUMMYFUNCTION("REGEXREPLACE(C25948,""-\d+(.*)|--\d+(.*)"","""")"),"BELABRE")</f>
        <v>BELABRE</v>
      </c>
      <c r="E25948" s="38" t="s">
        <v>258</v>
      </c>
      <c r="F25948" s="38" t="s">
        <v>123</v>
      </c>
      <c r="G25948" s="49" t="str">
        <f t="shared" si="1"/>
        <v>36370</v>
      </c>
      <c r="H25948" s="49">
        <f t="shared" si="2"/>
        <v>36016</v>
      </c>
    </row>
    <row r="25949">
      <c r="A25949" s="48" t="s">
        <v>1966</v>
      </c>
      <c r="B25949" s="38">
        <v>2788.0</v>
      </c>
      <c r="C25949" s="38" t="s">
        <v>18561</v>
      </c>
      <c r="D25949" s="38" t="str">
        <f>IFERROR(__xludf.DUMMYFUNCTION("REGEXREPLACE(C25949,""-\d+(.*)|--\d+(.*)"","""")"),"VERSIGNY")</f>
        <v>VERSIGNY</v>
      </c>
      <c r="E25949" s="38" t="s">
        <v>191</v>
      </c>
      <c r="F25949" s="38" t="s">
        <v>113</v>
      </c>
      <c r="G25949" s="49" t="str">
        <f t="shared" si="1"/>
        <v>02800</v>
      </c>
      <c r="H25949" s="49" t="str">
        <f t="shared" si="2"/>
        <v>02788</v>
      </c>
    </row>
    <row r="25950">
      <c r="A25950" s="48" t="s">
        <v>11285</v>
      </c>
      <c r="B25950" s="38" t="s">
        <v>30445</v>
      </c>
      <c r="C25950" s="38" t="s">
        <v>30446</v>
      </c>
      <c r="D25950" s="38" t="str">
        <f>IFERROR(__xludf.DUMMYFUNCTION("REGEXREPLACE(C25950,""-\d+(.*)|--\d+(.*)"","""")"),"CAMBIA")</f>
        <v>CAMBIA</v>
      </c>
      <c r="E25950" s="38" t="s">
        <v>743</v>
      </c>
      <c r="F25950" s="38" t="s">
        <v>607</v>
      </c>
      <c r="G25950" s="49" t="str">
        <f t="shared" si="1"/>
        <v>20244</v>
      </c>
      <c r="H25950" s="49" t="str">
        <f t="shared" si="2"/>
        <v>2B051</v>
      </c>
    </row>
    <row r="25951">
      <c r="A25951" s="48" t="s">
        <v>6985</v>
      </c>
      <c r="B25951" s="38">
        <v>62434.0</v>
      </c>
      <c r="C25951" s="38" t="s">
        <v>30447</v>
      </c>
      <c r="D25951" s="38" t="str">
        <f>IFERROR(__xludf.DUMMYFUNCTION("REGEXREPLACE(C25951,""-\d+(.*)|--\d+(.*)"","""")"),"LA HERLIERE")</f>
        <v>LA HERLIERE</v>
      </c>
      <c r="E25951" s="38" t="s">
        <v>109</v>
      </c>
      <c r="F25951" s="38" t="s">
        <v>86</v>
      </c>
      <c r="G25951" s="49" t="str">
        <f t="shared" si="1"/>
        <v>62158</v>
      </c>
      <c r="H25951" s="49">
        <f t="shared" si="2"/>
        <v>62434</v>
      </c>
    </row>
    <row r="25952">
      <c r="A25952" s="48" t="s">
        <v>2549</v>
      </c>
      <c r="B25952" s="38">
        <v>55301.0</v>
      </c>
      <c r="C25952" s="38" t="s">
        <v>30448</v>
      </c>
      <c r="D25952" s="38" t="str">
        <f>IFERROR(__xludf.DUMMYFUNCTION("REGEXREPLACE(C25952,""-\d+(.*)|--\d+(.*)"","""")"),"LONGCHAMPS-SUR-AIRE")</f>
        <v>LONGCHAMPS-SUR-AIRE</v>
      </c>
      <c r="E25952" s="38" t="s">
        <v>322</v>
      </c>
      <c r="F25952" s="38" t="s">
        <v>195</v>
      </c>
      <c r="G25952" s="49" t="str">
        <f t="shared" si="1"/>
        <v>55260</v>
      </c>
      <c r="H25952" s="49">
        <f t="shared" si="2"/>
        <v>55301</v>
      </c>
    </row>
    <row r="25953">
      <c r="A25953" s="48" t="s">
        <v>16480</v>
      </c>
      <c r="B25953" s="38">
        <v>71004.0</v>
      </c>
      <c r="C25953" s="38" t="s">
        <v>30449</v>
      </c>
      <c r="D25953" s="38" t="str">
        <f>IFERROR(__xludf.DUMMYFUNCTION("REGEXREPLACE(C25953,""-\d+(.*)|--\d+(.*)"","""")"),"ALLERIOT")</f>
        <v>ALLERIOT</v>
      </c>
      <c r="E25953" s="38" t="s">
        <v>344</v>
      </c>
      <c r="F25953" s="38" t="s">
        <v>106</v>
      </c>
      <c r="G25953" s="49" t="str">
        <f t="shared" si="1"/>
        <v>71380</v>
      </c>
      <c r="H25953" s="49">
        <f t="shared" si="2"/>
        <v>71004</v>
      </c>
    </row>
    <row r="25954">
      <c r="A25954" s="48" t="s">
        <v>1132</v>
      </c>
      <c r="B25954" s="38">
        <v>2255.0</v>
      </c>
      <c r="C25954" s="38" t="s">
        <v>30450</v>
      </c>
      <c r="D25954" s="38" t="str">
        <f>IFERROR(__xludf.DUMMYFUNCTION("REGEXREPLACE(C25954,""-\d+(.*)|--\d+(.*)"","""")"),"CYS-LA-COMMUNE")</f>
        <v>CYS-LA-COMMUNE</v>
      </c>
      <c r="E25954" s="38" t="s">
        <v>191</v>
      </c>
      <c r="F25954" s="38" t="s">
        <v>113</v>
      </c>
      <c r="G25954" s="49" t="str">
        <f t="shared" si="1"/>
        <v>02220</v>
      </c>
      <c r="H25954" s="49" t="str">
        <f t="shared" si="2"/>
        <v>02255</v>
      </c>
    </row>
    <row r="25955">
      <c r="A25955" s="48" t="s">
        <v>12610</v>
      </c>
      <c r="B25955" s="38">
        <v>62766.0</v>
      </c>
      <c r="C25955" s="38" t="s">
        <v>30451</v>
      </c>
      <c r="D25955" s="38" t="str">
        <f>IFERROR(__xludf.DUMMYFUNCTION("REGEXREPLACE(C25955,""-\d+(.*)|--\d+(.*)"","""")"),"SAINT-OMER-CAPELLE")</f>
        <v>SAINT-OMER-CAPELLE</v>
      </c>
      <c r="E25955" s="38" t="s">
        <v>109</v>
      </c>
      <c r="F25955" s="38" t="s">
        <v>86</v>
      </c>
      <c r="G25955" s="49" t="str">
        <f t="shared" si="1"/>
        <v>62162</v>
      </c>
      <c r="H25955" s="49">
        <f t="shared" si="2"/>
        <v>62766</v>
      </c>
    </row>
    <row r="25956">
      <c r="A25956" s="48" t="s">
        <v>4902</v>
      </c>
      <c r="B25956" s="38">
        <v>61416.0</v>
      </c>
      <c r="C25956" s="38" t="s">
        <v>30452</v>
      </c>
      <c r="D25956" s="38" t="str">
        <f>IFERROR(__xludf.DUMMYFUNCTION("REGEXREPLACE(C25956,""-\d+(.*)|--\d+(.*)"","""")"),"SAINT-LEONARD-DES-PARCS")</f>
        <v>SAINT-LEONARD-DES-PARCS</v>
      </c>
      <c r="E25956" s="38" t="s">
        <v>141</v>
      </c>
      <c r="F25956" s="38" t="s">
        <v>138</v>
      </c>
      <c r="G25956" s="49" t="str">
        <f t="shared" si="1"/>
        <v>61390</v>
      </c>
      <c r="H25956" s="49">
        <f t="shared" si="2"/>
        <v>61416</v>
      </c>
    </row>
    <row r="25957">
      <c r="A25957" s="48" t="s">
        <v>5262</v>
      </c>
      <c r="B25957" s="38">
        <v>15199.0</v>
      </c>
      <c r="C25957" s="38" t="s">
        <v>8391</v>
      </c>
      <c r="D25957" s="38" t="str">
        <f>IFERROR(__xludf.DUMMYFUNCTION("REGEXREPLACE(C25957,""-\d+(.*)|--\d+(.*)"","""")"),"SAINT-MARTIAL")</f>
        <v>SAINT-MARTIAL</v>
      </c>
      <c r="E25957" s="38" t="s">
        <v>632</v>
      </c>
      <c r="F25957" s="38" t="s">
        <v>161</v>
      </c>
      <c r="G25957" s="49" t="str">
        <f t="shared" si="1"/>
        <v>15110</v>
      </c>
      <c r="H25957" s="49">
        <f t="shared" si="2"/>
        <v>15199</v>
      </c>
    </row>
    <row r="25958">
      <c r="A25958" s="48" t="s">
        <v>11071</v>
      </c>
      <c r="B25958" s="38">
        <v>29196.0</v>
      </c>
      <c r="C25958" s="38" t="s">
        <v>30453</v>
      </c>
      <c r="D25958" s="38" t="str">
        <f>IFERROR(__xludf.DUMMYFUNCTION("REGEXREPLACE(C25958,""-\d+(.*)|--\d+(.*)"","""")"),"PLOUGUIN")</f>
        <v>PLOUGUIN</v>
      </c>
      <c r="E25958" s="38" t="s">
        <v>176</v>
      </c>
      <c r="F25958" s="38" t="s">
        <v>90</v>
      </c>
      <c r="G25958" s="49" t="str">
        <f t="shared" si="1"/>
        <v>29830</v>
      </c>
      <c r="H25958" s="49">
        <f t="shared" si="2"/>
        <v>29196</v>
      </c>
    </row>
    <row r="25959">
      <c r="A25959" s="48" t="s">
        <v>5198</v>
      </c>
      <c r="B25959" s="38">
        <v>39398.0</v>
      </c>
      <c r="C25959" s="38" t="s">
        <v>30454</v>
      </c>
      <c r="D25959" s="38" t="str">
        <f>IFERROR(__xludf.DUMMYFUNCTION("REGEXREPLACE(C25959,""-\d+(.*)|--\d+(.*)"","""")"),"OUGNEY")</f>
        <v>OUGNEY</v>
      </c>
      <c r="E25959" s="38" t="s">
        <v>400</v>
      </c>
      <c r="F25959" s="38" t="s">
        <v>214</v>
      </c>
      <c r="G25959" s="49" t="str">
        <f t="shared" si="1"/>
        <v>39350</v>
      </c>
      <c r="H25959" s="49">
        <f t="shared" si="2"/>
        <v>39398</v>
      </c>
    </row>
    <row r="25960">
      <c r="A25960" s="48" t="s">
        <v>6226</v>
      </c>
      <c r="B25960" s="38">
        <v>32234.0</v>
      </c>
      <c r="C25960" s="38" t="s">
        <v>30455</v>
      </c>
      <c r="D25960" s="38" t="str">
        <f>IFERROR(__xludf.DUMMYFUNCTION("REGEXREPLACE(C25960,""-\d+(.*)|--\d+(.*)"","""")"),"MARESTAING")</f>
        <v>MARESTAING</v>
      </c>
      <c r="E25960" s="38" t="s">
        <v>440</v>
      </c>
      <c r="F25960" s="38" t="s">
        <v>94</v>
      </c>
      <c r="G25960" s="49" t="str">
        <f t="shared" si="1"/>
        <v>32490</v>
      </c>
      <c r="H25960" s="49">
        <f t="shared" si="2"/>
        <v>32234</v>
      </c>
    </row>
    <row r="25961">
      <c r="A25961" s="48" t="s">
        <v>4497</v>
      </c>
      <c r="B25961" s="38">
        <v>25282.0</v>
      </c>
      <c r="C25961" s="38" t="s">
        <v>30456</v>
      </c>
      <c r="D25961" s="38" t="str">
        <f>IFERROR(__xludf.DUMMYFUNCTION("REGEXREPLACE(C25961,""-\d+(.*)|--\d+(.*)"","""")"),"GOUX-LES-USIERS")</f>
        <v>GOUX-LES-USIERS</v>
      </c>
      <c r="E25961" s="38" t="s">
        <v>213</v>
      </c>
      <c r="F25961" s="38" t="s">
        <v>214</v>
      </c>
      <c r="G25961" s="49" t="str">
        <f t="shared" si="1"/>
        <v>25520</v>
      </c>
      <c r="H25961" s="49">
        <f t="shared" si="2"/>
        <v>25282</v>
      </c>
    </row>
    <row r="25962">
      <c r="A25962" s="48" t="s">
        <v>3723</v>
      </c>
      <c r="B25962" s="38">
        <v>54508.0</v>
      </c>
      <c r="C25962" s="38" t="s">
        <v>30457</v>
      </c>
      <c r="D25962" s="38" t="str">
        <f>IFERROR(__xludf.DUMMYFUNCTION("REGEXREPLACE(C25962,""-\d+(.*)|--\d+(.*)"","""")"),"SIVRY")</f>
        <v>SIVRY</v>
      </c>
      <c r="E25962" s="38" t="s">
        <v>548</v>
      </c>
      <c r="F25962" s="38" t="s">
        <v>195</v>
      </c>
      <c r="G25962" s="49" t="str">
        <f t="shared" si="1"/>
        <v>54610</v>
      </c>
      <c r="H25962" s="49">
        <f t="shared" si="2"/>
        <v>54508</v>
      </c>
    </row>
    <row r="25963">
      <c r="A25963" s="48" t="s">
        <v>1783</v>
      </c>
      <c r="B25963" s="38">
        <v>60178.0</v>
      </c>
      <c r="C25963" s="38" t="s">
        <v>30458</v>
      </c>
      <c r="D25963" s="38" t="str">
        <f>IFERROR(__xludf.DUMMYFUNCTION("REGEXREPLACE(C25963,""-\d+(.*)|--\d+(.*)"","""")"),"CREVECOEUR-LE-GRAND")</f>
        <v>CREVECOEUR-LE-GRAND</v>
      </c>
      <c r="E25963" s="38" t="s">
        <v>112</v>
      </c>
      <c r="F25963" s="38" t="s">
        <v>113</v>
      </c>
      <c r="G25963" s="49" t="str">
        <f t="shared" si="1"/>
        <v>60360</v>
      </c>
      <c r="H25963" s="49">
        <f t="shared" si="2"/>
        <v>60178</v>
      </c>
    </row>
    <row r="25964">
      <c r="A25964" s="48" t="s">
        <v>5332</v>
      </c>
      <c r="B25964" s="38">
        <v>1059.0</v>
      </c>
      <c r="C25964" s="38" t="s">
        <v>30459</v>
      </c>
      <c r="D25964" s="38" t="str">
        <f>IFERROR(__xludf.DUMMYFUNCTION("REGEXREPLACE(C25964,""-\d+(.*)|--\d+(.*)"","""")"),"BRENAZ")</f>
        <v>BRENAZ</v>
      </c>
      <c r="E25964" s="38" t="s">
        <v>255</v>
      </c>
      <c r="F25964" s="38" t="s">
        <v>102</v>
      </c>
      <c r="G25964" s="49" t="str">
        <f t="shared" si="1"/>
        <v>01260</v>
      </c>
      <c r="H25964" s="49" t="str">
        <f t="shared" si="2"/>
        <v>01059</v>
      </c>
    </row>
    <row r="25965">
      <c r="A25965" s="48" t="s">
        <v>1033</v>
      </c>
      <c r="B25965" s="38">
        <v>67532.0</v>
      </c>
      <c r="C25965" s="38" t="s">
        <v>30460</v>
      </c>
      <c r="D25965" s="38" t="str">
        <f>IFERROR(__xludf.DUMMYFUNCTION("REGEXREPLACE(C25965,""-\d+(.*)|--\d+(.*)"","""")"),"WILLGOTTHEIM")</f>
        <v>WILLGOTTHEIM</v>
      </c>
      <c r="E25965" s="38" t="s">
        <v>210</v>
      </c>
      <c r="F25965" s="38" t="s">
        <v>151</v>
      </c>
      <c r="G25965" s="49" t="str">
        <f t="shared" si="1"/>
        <v>67370</v>
      </c>
      <c r="H25965" s="49">
        <f t="shared" si="2"/>
        <v>67532</v>
      </c>
    </row>
    <row r="25966">
      <c r="A25966" s="48" t="s">
        <v>15018</v>
      </c>
      <c r="B25966" s="38">
        <v>51573.0</v>
      </c>
      <c r="C25966" s="38" t="s">
        <v>30461</v>
      </c>
      <c r="D25966" s="38" t="str">
        <f>IFERROR(__xludf.DUMMYFUNCTION("REGEXREPLACE(C25966,""-\d+(.*)|--\d+(.*)"","""")"),"TINQUEUX")</f>
        <v>TINQUEUX</v>
      </c>
      <c r="E25966" s="38" t="s">
        <v>129</v>
      </c>
      <c r="F25966" s="38" t="s">
        <v>130</v>
      </c>
      <c r="G25966" s="49" t="str">
        <f t="shared" si="1"/>
        <v>51430</v>
      </c>
      <c r="H25966" s="49">
        <f t="shared" si="2"/>
        <v>51573</v>
      </c>
    </row>
    <row r="25967">
      <c r="A25967" s="48" t="s">
        <v>9686</v>
      </c>
      <c r="B25967" s="38">
        <v>36204.0</v>
      </c>
      <c r="C25967" s="38" t="s">
        <v>30462</v>
      </c>
      <c r="D25967" s="38" t="str">
        <f>IFERROR(__xludf.DUMMYFUNCTION("REGEXREPLACE(C25967,""-\d+(.*)|--\d+(.*)"","""")"),"SAINT-MICHEL-EN-BRENNE")</f>
        <v>SAINT-MICHEL-EN-BRENNE</v>
      </c>
      <c r="E25967" s="38" t="s">
        <v>258</v>
      </c>
      <c r="F25967" s="38" t="s">
        <v>123</v>
      </c>
      <c r="G25967" s="49" t="str">
        <f t="shared" si="1"/>
        <v>36290</v>
      </c>
      <c r="H25967" s="49">
        <f t="shared" si="2"/>
        <v>36204</v>
      </c>
    </row>
    <row r="25968">
      <c r="A25968" s="48" t="s">
        <v>16073</v>
      </c>
      <c r="B25968" s="38">
        <v>25550.0</v>
      </c>
      <c r="C25968" s="38" t="s">
        <v>30463</v>
      </c>
      <c r="D25968" s="38" t="str">
        <f>IFERROR(__xludf.DUMMYFUNCTION("REGEXREPLACE(C25968,""-\d+(.*)|--\d+(.*)"","""")"),"LA SOMMETTE")</f>
        <v>LA SOMMETTE</v>
      </c>
      <c r="E25968" s="38" t="s">
        <v>213</v>
      </c>
      <c r="F25968" s="38" t="s">
        <v>214</v>
      </c>
      <c r="G25968" s="49" t="str">
        <f t="shared" si="1"/>
        <v>25510</v>
      </c>
      <c r="H25968" s="49">
        <f t="shared" si="2"/>
        <v>25550</v>
      </c>
    </row>
    <row r="25969">
      <c r="A25969" s="48" t="s">
        <v>30464</v>
      </c>
      <c r="B25969" s="38">
        <v>94033.0</v>
      </c>
      <c r="C25969" s="38" t="s">
        <v>30465</v>
      </c>
      <c r="D25969" s="38" t="str">
        <f>IFERROR(__xludf.DUMMYFUNCTION("REGEXREPLACE(C25969,""-\d+(.*)|--\d+(.*)"","""")"),"FONTENAY-SOUS-BOIS")</f>
        <v>FONTENAY-SOUS-BOIS</v>
      </c>
      <c r="E25969" s="38" t="s">
        <v>561</v>
      </c>
      <c r="F25969" s="38" t="s">
        <v>245</v>
      </c>
      <c r="G25969" s="49" t="str">
        <f t="shared" si="1"/>
        <v>94120</v>
      </c>
      <c r="H25969" s="49">
        <f t="shared" si="2"/>
        <v>94033</v>
      </c>
    </row>
    <row r="25970">
      <c r="A25970" s="48" t="s">
        <v>1590</v>
      </c>
      <c r="B25970" s="38">
        <v>33008.0</v>
      </c>
      <c r="C25970" s="38" t="s">
        <v>30466</v>
      </c>
      <c r="D25970" s="38" t="str">
        <f>IFERROR(__xludf.DUMMYFUNCTION("REGEXREPLACE(C25970,""-\d+(.*)|--\d+(.*)"","""")"),"ARBIS")</f>
        <v>ARBIS</v>
      </c>
      <c r="E25970" s="38" t="s">
        <v>462</v>
      </c>
      <c r="F25970" s="38" t="s">
        <v>252</v>
      </c>
      <c r="G25970" s="49" t="str">
        <f t="shared" si="1"/>
        <v>33760</v>
      </c>
      <c r="H25970" s="49">
        <f t="shared" si="2"/>
        <v>33008</v>
      </c>
    </row>
    <row r="25971">
      <c r="A25971" s="48" t="s">
        <v>3264</v>
      </c>
      <c r="B25971" s="38">
        <v>69196.0</v>
      </c>
      <c r="C25971" s="38" t="s">
        <v>30467</v>
      </c>
      <c r="D25971" s="38" t="str">
        <f>IFERROR(__xludf.DUMMYFUNCTION("REGEXREPLACE(C25971,""-\d+(.*)|--\d+(.*)"","""")"),"SAINT-DIDIER-SUR-BEAUJEU")</f>
        <v>SAINT-DIDIER-SUR-BEAUJEU</v>
      </c>
      <c r="E25971" s="38" t="s">
        <v>350</v>
      </c>
      <c r="F25971" s="38" t="s">
        <v>102</v>
      </c>
      <c r="G25971" s="49" t="str">
        <f t="shared" si="1"/>
        <v>69430</v>
      </c>
      <c r="H25971" s="49">
        <f t="shared" si="2"/>
        <v>69196</v>
      </c>
    </row>
    <row r="25972">
      <c r="A25972" s="48" t="s">
        <v>2940</v>
      </c>
      <c r="B25972" s="38">
        <v>53165.0</v>
      </c>
      <c r="C25972" s="38" t="s">
        <v>30468</v>
      </c>
      <c r="D25972" s="38" t="str">
        <f>IFERROR(__xludf.DUMMYFUNCTION("REGEXREPLACE(C25972,""-\d+(.*)|--\d+(.*)"","""")"),"NIAFLES")</f>
        <v>NIAFLES</v>
      </c>
      <c r="E25972" s="38" t="s">
        <v>518</v>
      </c>
      <c r="F25972" s="38" t="s">
        <v>180</v>
      </c>
      <c r="G25972" s="49" t="str">
        <f t="shared" si="1"/>
        <v>53400</v>
      </c>
      <c r="H25972" s="49">
        <f t="shared" si="2"/>
        <v>53165</v>
      </c>
    </row>
    <row r="25973">
      <c r="A25973" s="48" t="s">
        <v>3900</v>
      </c>
      <c r="B25973" s="38">
        <v>2609.0</v>
      </c>
      <c r="C25973" s="38" t="s">
        <v>30469</v>
      </c>
      <c r="D25973" s="38" t="str">
        <f>IFERROR(__xludf.DUMMYFUNCTION("REGEXREPLACE(C25973,""-\d+(.*)|--\d+(.*)"","""")"),"PLOYART-ET-VAURSEINE")</f>
        <v>PLOYART-ET-VAURSEINE</v>
      </c>
      <c r="E25973" s="38" t="s">
        <v>191</v>
      </c>
      <c r="F25973" s="38" t="s">
        <v>113</v>
      </c>
      <c r="G25973" s="49" t="str">
        <f t="shared" si="1"/>
        <v>02860</v>
      </c>
      <c r="H25973" s="49" t="str">
        <f t="shared" si="2"/>
        <v>02609</v>
      </c>
    </row>
    <row r="25974">
      <c r="A25974" s="48" t="s">
        <v>232</v>
      </c>
      <c r="B25974" s="38">
        <v>52393.0</v>
      </c>
      <c r="C25974" s="38" t="s">
        <v>30470</v>
      </c>
      <c r="D25974" s="38" t="str">
        <f>IFERROR(__xludf.DUMMYFUNCTION("REGEXREPLACE(C25974,""-\d+(.*)|--\d+(.*)"","""")"),"POINSENOT")</f>
        <v>POINSENOT</v>
      </c>
      <c r="E25974" s="38" t="s">
        <v>234</v>
      </c>
      <c r="F25974" s="38" t="s">
        <v>130</v>
      </c>
      <c r="G25974" s="49" t="str">
        <f t="shared" si="1"/>
        <v>52160</v>
      </c>
      <c r="H25974" s="49">
        <f t="shared" si="2"/>
        <v>52393</v>
      </c>
    </row>
    <row r="25975">
      <c r="A25975" s="48" t="s">
        <v>12322</v>
      </c>
      <c r="B25975" s="38">
        <v>89059.0</v>
      </c>
      <c r="C25975" s="38" t="s">
        <v>30471</v>
      </c>
      <c r="D25975" s="38" t="str">
        <f>IFERROR(__xludf.DUMMYFUNCTION("REGEXREPLACE(C25975,""-\d+(.*)|--\d+(.*)"","""")"),"BUSSY-EN-OTHE")</f>
        <v>BUSSY-EN-OTHE</v>
      </c>
      <c r="E25975" s="38" t="s">
        <v>275</v>
      </c>
      <c r="F25975" s="38" t="s">
        <v>106</v>
      </c>
      <c r="G25975" s="49" t="str">
        <f t="shared" si="1"/>
        <v>89400</v>
      </c>
      <c r="H25975" s="49">
        <f t="shared" si="2"/>
        <v>89059</v>
      </c>
    </row>
    <row r="25976">
      <c r="A25976" s="48" t="s">
        <v>12692</v>
      </c>
      <c r="B25976" s="38">
        <v>47205.0</v>
      </c>
      <c r="C25976" s="38" t="s">
        <v>30472</v>
      </c>
      <c r="D25976" s="38" t="str">
        <f>IFERROR(__xludf.DUMMYFUNCTION("REGEXREPLACE(C25976,""-\d+(.*)|--\d+(.*)"","""")"),"PINDERES")</f>
        <v>PINDERES</v>
      </c>
      <c r="E25976" s="38" t="s">
        <v>251</v>
      </c>
      <c r="F25976" s="38" t="s">
        <v>252</v>
      </c>
      <c r="G25976" s="49" t="str">
        <f t="shared" si="1"/>
        <v>47700</v>
      </c>
      <c r="H25976" s="49">
        <f t="shared" si="2"/>
        <v>47205</v>
      </c>
    </row>
    <row r="25977">
      <c r="A25977" s="48" t="s">
        <v>30473</v>
      </c>
      <c r="B25977" s="38">
        <v>54060.0</v>
      </c>
      <c r="C25977" s="38" t="s">
        <v>7536</v>
      </c>
      <c r="D25977" s="38" t="str">
        <f>IFERROR(__xludf.DUMMYFUNCTION("REGEXREPLACE(C25977,""-\d+(.*)|--\d+(.*)"","""")"),"BELLEVILLE")</f>
        <v>BELLEVILLE</v>
      </c>
      <c r="E25977" s="38" t="s">
        <v>548</v>
      </c>
      <c r="F25977" s="38" t="s">
        <v>195</v>
      </c>
      <c r="G25977" s="49" t="str">
        <f t="shared" si="1"/>
        <v>54940</v>
      </c>
      <c r="H25977" s="49">
        <f t="shared" si="2"/>
        <v>54060</v>
      </c>
    </row>
    <row r="25978">
      <c r="A25978" s="48" t="s">
        <v>1557</v>
      </c>
      <c r="B25978" s="38">
        <v>5009.0</v>
      </c>
      <c r="C25978" s="38" t="s">
        <v>30474</v>
      </c>
      <c r="D25978" s="38" t="str">
        <f>IFERROR(__xludf.DUMMYFUNCTION("REGEXREPLACE(C25978,""-\d+(.*)|--\d+(.*)"","""")"),"ASPRES-LES-CORPS")</f>
        <v>ASPRES-LES-CORPS</v>
      </c>
      <c r="E25978" s="38" t="s">
        <v>706</v>
      </c>
      <c r="F25978" s="38" t="s">
        <v>228</v>
      </c>
      <c r="G25978" s="49" t="str">
        <f t="shared" si="1"/>
        <v>05800</v>
      </c>
      <c r="H25978" s="49" t="str">
        <f t="shared" si="2"/>
        <v>05009</v>
      </c>
    </row>
    <row r="25979">
      <c r="A25979" s="48" t="s">
        <v>4877</v>
      </c>
      <c r="B25979" s="38">
        <v>61449.0</v>
      </c>
      <c r="C25979" s="38" t="s">
        <v>30475</v>
      </c>
      <c r="D25979" s="38" t="str">
        <f>IFERROR(__xludf.DUMMYFUNCTION("REGEXREPLACE(C25979,""-\d+(.*)|--\d+(.*)"","""")"),"SAINT-PIERRE-LA-RIVIERE")</f>
        <v>SAINT-PIERRE-LA-RIVIERE</v>
      </c>
      <c r="E25979" s="38" t="s">
        <v>141</v>
      </c>
      <c r="F25979" s="38" t="s">
        <v>138</v>
      </c>
      <c r="G25979" s="49" t="str">
        <f t="shared" si="1"/>
        <v>61310</v>
      </c>
      <c r="H25979" s="49">
        <f t="shared" si="2"/>
        <v>61449</v>
      </c>
    </row>
    <row r="25980">
      <c r="A25980" s="48" t="s">
        <v>11071</v>
      </c>
      <c r="B25980" s="38">
        <v>29208.0</v>
      </c>
      <c r="C25980" s="38" t="s">
        <v>30476</v>
      </c>
      <c r="D25980" s="38" t="str">
        <f>IFERROR(__xludf.DUMMYFUNCTION("REGEXREPLACE(C25980,""-\d+(.*)|--\d+(.*)"","""")"),"PLOURIN")</f>
        <v>PLOURIN</v>
      </c>
      <c r="E25980" s="38" t="s">
        <v>176</v>
      </c>
      <c r="F25980" s="38" t="s">
        <v>90</v>
      </c>
      <c r="G25980" s="49" t="str">
        <f t="shared" si="1"/>
        <v>29830</v>
      </c>
      <c r="H25980" s="49">
        <f t="shared" si="2"/>
        <v>29208</v>
      </c>
    </row>
    <row r="25981">
      <c r="A25981" s="48" t="s">
        <v>3266</v>
      </c>
      <c r="B25981" s="38">
        <v>55358.0</v>
      </c>
      <c r="C25981" s="38" t="s">
        <v>30477</v>
      </c>
      <c r="D25981" s="38" t="str">
        <f>IFERROR(__xludf.DUMMYFUNCTION("REGEXREPLACE(C25981,""-\d+(.*)|--\d+(.*)"","""")"),"CHANTERAINE")</f>
        <v>CHANTERAINE</v>
      </c>
      <c r="E25981" s="38" t="s">
        <v>322</v>
      </c>
      <c r="F25981" s="38" t="s">
        <v>195</v>
      </c>
      <c r="G25981" s="49" t="str">
        <f t="shared" si="1"/>
        <v>55500</v>
      </c>
      <c r="H25981" s="49">
        <f t="shared" si="2"/>
        <v>55358</v>
      </c>
    </row>
    <row r="25982">
      <c r="A25982" s="48" t="s">
        <v>10463</v>
      </c>
      <c r="B25982" s="38">
        <v>50513.0</v>
      </c>
      <c r="C25982" s="38" t="s">
        <v>30478</v>
      </c>
      <c r="D25982" s="38" t="str">
        <f>IFERROR(__xludf.DUMMYFUNCTION("REGEXREPLACE(C25982,""-\d+(.*)|--\d+(.*)"","""")"),"SAINT-MARTIN-DE-CENILLY")</f>
        <v>SAINT-MARTIN-DE-CENILLY</v>
      </c>
      <c r="E25982" s="38" t="s">
        <v>157</v>
      </c>
      <c r="F25982" s="38" t="s">
        <v>138</v>
      </c>
      <c r="G25982" s="49" t="str">
        <f t="shared" si="1"/>
        <v>50210</v>
      </c>
      <c r="H25982" s="49">
        <f t="shared" si="2"/>
        <v>50513</v>
      </c>
    </row>
    <row r="25983">
      <c r="A25983" s="48" t="s">
        <v>962</v>
      </c>
      <c r="B25983" s="38">
        <v>24285.0</v>
      </c>
      <c r="C25983" s="38" t="s">
        <v>30479</v>
      </c>
      <c r="D25983" s="38" t="str">
        <f>IFERROR(__xludf.DUMMYFUNCTION("REGEXREPLACE(C25983,""-\d+(.*)|--\d+(.*)"","""")"),"MONTAGNAC-LA-CREMPSE")</f>
        <v>MONTAGNAC-LA-CREMPSE</v>
      </c>
      <c r="E25983" s="38" t="s">
        <v>261</v>
      </c>
      <c r="F25983" s="38" t="s">
        <v>252</v>
      </c>
      <c r="G25983" s="49" t="str">
        <f t="shared" si="1"/>
        <v>24140</v>
      </c>
      <c r="H25983" s="49">
        <f t="shared" si="2"/>
        <v>24285</v>
      </c>
    </row>
    <row r="25984">
      <c r="A25984" s="48" t="s">
        <v>2186</v>
      </c>
      <c r="B25984" s="38">
        <v>26004.0</v>
      </c>
      <c r="C25984" s="38" t="s">
        <v>30480</v>
      </c>
      <c r="D25984" s="38" t="str">
        <f>IFERROR(__xludf.DUMMYFUNCTION("REGEXREPLACE(C25984,""-\d+(.*)|--\d+(.*)"","""")"),"ALIXAN")</f>
        <v>ALIXAN</v>
      </c>
      <c r="E25984" s="38" t="s">
        <v>126</v>
      </c>
      <c r="F25984" s="38" t="s">
        <v>102</v>
      </c>
      <c r="G25984" s="49" t="str">
        <f t="shared" si="1"/>
        <v>26300</v>
      </c>
      <c r="H25984" s="49">
        <f t="shared" si="2"/>
        <v>26004</v>
      </c>
    </row>
    <row r="25985">
      <c r="A25985" s="48" t="s">
        <v>573</v>
      </c>
      <c r="B25985" s="38">
        <v>65034.0</v>
      </c>
      <c r="C25985" s="38" t="s">
        <v>30481</v>
      </c>
      <c r="D25985" s="38" t="str">
        <f>IFERROR(__xludf.DUMMYFUNCTION("REGEXREPLACE(C25985,""-\d+(.*)|--\d+(.*)"","""")"),"ARRODETS")</f>
        <v>ARRODETS</v>
      </c>
      <c r="E25985" s="38" t="s">
        <v>200</v>
      </c>
      <c r="F25985" s="38" t="s">
        <v>94</v>
      </c>
      <c r="G25985" s="49" t="str">
        <f t="shared" si="1"/>
        <v>65130</v>
      </c>
      <c r="H25985" s="49">
        <f t="shared" si="2"/>
        <v>65034</v>
      </c>
    </row>
    <row r="25986">
      <c r="A25986" s="48" t="s">
        <v>14148</v>
      </c>
      <c r="B25986" s="38">
        <v>31024.0</v>
      </c>
      <c r="C25986" s="38" t="s">
        <v>30482</v>
      </c>
      <c r="D25986" s="38" t="str">
        <f>IFERROR(__xludf.DUMMYFUNCTION("REGEXREPLACE(C25986,""-\d+(.*)|--\d+(.*)"","""")"),"AURAGNE")</f>
        <v>AURAGNE</v>
      </c>
      <c r="E25986" s="38" t="s">
        <v>93</v>
      </c>
      <c r="F25986" s="38" t="s">
        <v>94</v>
      </c>
      <c r="G25986" s="49" t="str">
        <f t="shared" si="1"/>
        <v>31190</v>
      </c>
      <c r="H25986" s="49">
        <f t="shared" si="2"/>
        <v>31024</v>
      </c>
    </row>
    <row r="25987">
      <c r="A25987" s="48" t="s">
        <v>993</v>
      </c>
      <c r="B25987" s="38">
        <v>73164.0</v>
      </c>
      <c r="C25987" s="38" t="s">
        <v>19158</v>
      </c>
      <c r="D25987" s="38" t="str">
        <f>IFERROR(__xludf.DUMMYFUNCTION("REGEXREPLACE(C25987,""-\d+(.*)|--\d+(.*)"","""")"),"MONTCEL")</f>
        <v>MONTCEL</v>
      </c>
      <c r="E25987" s="38" t="s">
        <v>306</v>
      </c>
      <c r="F25987" s="38" t="s">
        <v>102</v>
      </c>
      <c r="G25987" s="49" t="str">
        <f t="shared" si="1"/>
        <v>73100</v>
      </c>
      <c r="H25987" s="49">
        <f t="shared" si="2"/>
        <v>73164</v>
      </c>
    </row>
    <row r="25988">
      <c r="A25988" s="48" t="s">
        <v>7001</v>
      </c>
      <c r="B25988" s="38">
        <v>85245.0</v>
      </c>
      <c r="C25988" s="38" t="s">
        <v>30483</v>
      </c>
      <c r="D25988" s="38" t="str">
        <f>IFERROR(__xludf.DUMMYFUNCTION("REGEXREPLACE(C25988,""-\d+(.*)|--\d+(.*)"","""")"),"SAINT-MARTIN-DES-FONTAINES")</f>
        <v>SAINT-MARTIN-DES-FONTAINES</v>
      </c>
      <c r="E25988" s="38" t="s">
        <v>179</v>
      </c>
      <c r="F25988" s="38" t="s">
        <v>180</v>
      </c>
      <c r="G25988" s="49" t="str">
        <f t="shared" si="1"/>
        <v>85570</v>
      </c>
      <c r="H25988" s="49">
        <f t="shared" si="2"/>
        <v>85245</v>
      </c>
    </row>
    <row r="25989">
      <c r="A25989" s="48" t="s">
        <v>1132</v>
      </c>
      <c r="B25989" s="38">
        <v>2773.0</v>
      </c>
      <c r="C25989" s="38" t="s">
        <v>30484</v>
      </c>
      <c r="D25989" s="38" t="str">
        <f>IFERROR(__xludf.DUMMYFUNCTION("REGEXREPLACE(C25989,""-\d+(.*)|--\d+(.*)"","""")"),"VAUXTIN")</f>
        <v>VAUXTIN</v>
      </c>
      <c r="E25989" s="38" t="s">
        <v>191</v>
      </c>
      <c r="F25989" s="38" t="s">
        <v>113</v>
      </c>
      <c r="G25989" s="49" t="str">
        <f t="shared" si="1"/>
        <v>02220</v>
      </c>
      <c r="H25989" s="49" t="str">
        <f t="shared" si="2"/>
        <v>02773</v>
      </c>
    </row>
    <row r="25990">
      <c r="A25990" s="48" t="s">
        <v>995</v>
      </c>
      <c r="B25990" s="38">
        <v>31496.0</v>
      </c>
      <c r="C25990" s="38" t="s">
        <v>30485</v>
      </c>
      <c r="D25990" s="38" t="str">
        <f>IFERROR(__xludf.DUMMYFUNCTION("REGEXREPLACE(C25990,""-\d+(.*)|--\d+(.*)"","""")"),"SAINTE-LIVRADE")</f>
        <v>SAINTE-LIVRADE</v>
      </c>
      <c r="E25990" s="38" t="s">
        <v>93</v>
      </c>
      <c r="F25990" s="38" t="s">
        <v>94</v>
      </c>
      <c r="G25990" s="49" t="str">
        <f t="shared" si="1"/>
        <v>31530</v>
      </c>
      <c r="H25990" s="49">
        <f t="shared" si="2"/>
        <v>31496</v>
      </c>
    </row>
    <row r="25991">
      <c r="A25991" s="48" t="s">
        <v>333</v>
      </c>
      <c r="B25991" s="38">
        <v>43063.0</v>
      </c>
      <c r="C25991" s="38" t="s">
        <v>30486</v>
      </c>
      <c r="D25991" s="38" t="str">
        <f>IFERROR(__xludf.DUMMYFUNCTION("REGEXREPLACE(C25991,""-\d+(.*)|--\d+(.*)"","""")"),"CHASSAGNES")</f>
        <v>CHASSAGNES</v>
      </c>
      <c r="E25991" s="38" t="s">
        <v>332</v>
      </c>
      <c r="F25991" s="38" t="s">
        <v>161</v>
      </c>
      <c r="G25991" s="49" t="str">
        <f t="shared" si="1"/>
        <v>43230</v>
      </c>
      <c r="H25991" s="49">
        <f t="shared" si="2"/>
        <v>43063</v>
      </c>
    </row>
    <row r="25992">
      <c r="A25992" s="48" t="s">
        <v>854</v>
      </c>
      <c r="B25992" s="38">
        <v>62297.0</v>
      </c>
      <c r="C25992" s="38" t="s">
        <v>30487</v>
      </c>
      <c r="D25992" s="38" t="str">
        <f>IFERROR(__xludf.DUMMYFUNCTION("REGEXREPLACE(C25992,""-\d+(.*)|--\d+(.*)"","""")"),"EPERLECQUES")</f>
        <v>EPERLECQUES</v>
      </c>
      <c r="E25992" s="38" t="s">
        <v>109</v>
      </c>
      <c r="F25992" s="38" t="s">
        <v>86</v>
      </c>
      <c r="G25992" s="49" t="str">
        <f t="shared" si="1"/>
        <v>62910</v>
      </c>
      <c r="H25992" s="49">
        <f t="shared" si="2"/>
        <v>62297</v>
      </c>
    </row>
    <row r="25993">
      <c r="A25993" s="48" t="s">
        <v>14239</v>
      </c>
      <c r="B25993" s="38">
        <v>42090.0</v>
      </c>
      <c r="C25993" s="38" t="s">
        <v>30488</v>
      </c>
      <c r="D25993" s="38" t="str">
        <f>IFERROR(__xludf.DUMMYFUNCTION("REGEXREPLACE(C25993,""-\d+(.*)|--\d+(.*)"","""")"),"ESSERTINES-EN-DONZY")</f>
        <v>ESSERTINES-EN-DONZY</v>
      </c>
      <c r="E25993" s="38" t="s">
        <v>166</v>
      </c>
      <c r="F25993" s="38" t="s">
        <v>102</v>
      </c>
      <c r="G25993" s="49" t="str">
        <f t="shared" si="1"/>
        <v>42360</v>
      </c>
      <c r="H25993" s="49">
        <f t="shared" si="2"/>
        <v>42090</v>
      </c>
    </row>
    <row r="25994">
      <c r="A25994" s="48" t="s">
        <v>5028</v>
      </c>
      <c r="B25994" s="38">
        <v>25089.0</v>
      </c>
      <c r="C25994" s="38" t="s">
        <v>30489</v>
      </c>
      <c r="D25994" s="38" t="str">
        <f>IFERROR(__xludf.DUMMYFUNCTION("REGEXREPLACE(C25994,""-\d+(.*)|--\d+(.*)"","""")"),"BREMONDANS")</f>
        <v>BREMONDANS</v>
      </c>
      <c r="E25994" s="38" t="s">
        <v>213</v>
      </c>
      <c r="F25994" s="38" t="s">
        <v>214</v>
      </c>
      <c r="G25994" s="49" t="str">
        <f t="shared" si="1"/>
        <v>25530</v>
      </c>
      <c r="H25994" s="49">
        <f t="shared" si="2"/>
        <v>25089</v>
      </c>
    </row>
    <row r="25995">
      <c r="A25995" s="48" t="s">
        <v>6487</v>
      </c>
      <c r="B25995" s="38">
        <v>1228.0</v>
      </c>
      <c r="C25995" s="38" t="s">
        <v>30490</v>
      </c>
      <c r="D25995" s="38" t="str">
        <f>IFERROR(__xludf.DUMMYFUNCTION("REGEXREPLACE(C25995,""-\d+(.*)|--\d+(.*)"","""")"),"MAILLAT")</f>
        <v>MAILLAT</v>
      </c>
      <c r="E25995" s="38" t="s">
        <v>255</v>
      </c>
      <c r="F25995" s="38" t="s">
        <v>102</v>
      </c>
      <c r="G25995" s="49" t="str">
        <f t="shared" si="1"/>
        <v>01430</v>
      </c>
      <c r="H25995" s="49" t="str">
        <f t="shared" si="2"/>
        <v>01228</v>
      </c>
    </row>
    <row r="25996">
      <c r="A25996" s="48" t="s">
        <v>7494</v>
      </c>
      <c r="B25996" s="38">
        <v>81052.0</v>
      </c>
      <c r="C25996" s="38" t="s">
        <v>30491</v>
      </c>
      <c r="D25996" s="38" t="str">
        <f>IFERROR(__xludf.DUMMYFUNCTION("REGEXREPLACE(C25996,""-\d+(.*)|--\d+(.*)"","""")"),"CAMBON")</f>
        <v>CAMBON</v>
      </c>
      <c r="E25996" s="38" t="s">
        <v>231</v>
      </c>
      <c r="F25996" s="38" t="s">
        <v>94</v>
      </c>
      <c r="G25996" s="49" t="str">
        <f t="shared" si="1"/>
        <v>81990</v>
      </c>
      <c r="H25996" s="49">
        <f t="shared" si="2"/>
        <v>81052</v>
      </c>
    </row>
    <row r="25997">
      <c r="A25997" s="48" t="s">
        <v>30492</v>
      </c>
      <c r="B25997" s="38">
        <v>69299.0</v>
      </c>
      <c r="C25997" s="38" t="s">
        <v>30493</v>
      </c>
      <c r="D25997" s="38" t="str">
        <f>IFERROR(__xludf.DUMMYFUNCTION("REGEXREPLACE(C25997,""-\d+(.*)|--\d+(.*)"","""")"),"COLOMBIER-SAUGNIEU")</f>
        <v>COLOMBIER-SAUGNIEU</v>
      </c>
      <c r="E25997" s="38" t="s">
        <v>350</v>
      </c>
      <c r="F25997" s="38" t="s">
        <v>102</v>
      </c>
      <c r="G25997" s="49" t="str">
        <f t="shared" si="1"/>
        <v>69124</v>
      </c>
      <c r="H25997" s="49">
        <f t="shared" si="2"/>
        <v>69299</v>
      </c>
    </row>
    <row r="25998">
      <c r="A25998" s="48" t="s">
        <v>781</v>
      </c>
      <c r="B25998" s="38">
        <v>65386.0</v>
      </c>
      <c r="C25998" s="38" t="s">
        <v>10411</v>
      </c>
      <c r="D25998" s="38" t="str">
        <f>IFERROR(__xludf.DUMMYFUNCTION("REGEXREPLACE(C25998,""-\d+(.*)|--\d+(.*)"","""")"),"SAINT-CREAC")</f>
        <v>SAINT-CREAC</v>
      </c>
      <c r="E25998" s="38" t="s">
        <v>200</v>
      </c>
      <c r="F25998" s="38" t="s">
        <v>94</v>
      </c>
      <c r="G25998" s="49" t="str">
        <f t="shared" si="1"/>
        <v>65100</v>
      </c>
      <c r="H25998" s="49">
        <f t="shared" si="2"/>
        <v>65386</v>
      </c>
    </row>
    <row r="25999">
      <c r="A25999" s="48" t="s">
        <v>5575</v>
      </c>
      <c r="B25999" s="38">
        <v>62649.0</v>
      </c>
      <c r="C25999" s="38" t="s">
        <v>30494</v>
      </c>
      <c r="D25999" s="38" t="str">
        <f>IFERROR(__xludf.DUMMYFUNCTION("REGEXREPLACE(C25999,""-\d+(.*)|--\d+(.*)"","""")"),"PAS-EN-ARTOIS")</f>
        <v>PAS-EN-ARTOIS</v>
      </c>
      <c r="E25999" s="38" t="s">
        <v>109</v>
      </c>
      <c r="F25999" s="38" t="s">
        <v>86</v>
      </c>
      <c r="G25999" s="49" t="str">
        <f t="shared" si="1"/>
        <v>62760</v>
      </c>
      <c r="H25999" s="49">
        <f t="shared" si="2"/>
        <v>62649</v>
      </c>
    </row>
    <row r="26000">
      <c r="A26000" s="48" t="s">
        <v>9928</v>
      </c>
      <c r="B26000" s="38">
        <v>32152.0</v>
      </c>
      <c r="C26000" s="38" t="s">
        <v>30495</v>
      </c>
      <c r="D26000" s="38" t="str">
        <f>IFERROR(__xludf.DUMMYFUNCTION("REGEXREPLACE(C26000,""-\d+(.*)|--\d+(.*)"","""")"),"HAGET")</f>
        <v>HAGET</v>
      </c>
      <c r="E26000" s="38" t="s">
        <v>440</v>
      </c>
      <c r="F26000" s="38" t="s">
        <v>94</v>
      </c>
      <c r="G26000" s="49" t="str">
        <f t="shared" si="1"/>
        <v>32730</v>
      </c>
      <c r="H26000" s="49">
        <f t="shared" si="2"/>
        <v>32152</v>
      </c>
    </row>
    <row r="26001">
      <c r="A26001" s="48" t="s">
        <v>2814</v>
      </c>
      <c r="B26001" s="38">
        <v>45222.0</v>
      </c>
      <c r="C26001" s="38" t="s">
        <v>30496</v>
      </c>
      <c r="D26001" s="38" t="str">
        <f>IFERROR(__xludf.DUMMYFUNCTION("REGEXREPLACE(C26001,""-\d+(.*)|--\d+(.*)"","""")"),"NARGIS")</f>
        <v>NARGIS</v>
      </c>
      <c r="E26001" s="38" t="s">
        <v>122</v>
      </c>
      <c r="F26001" s="38" t="s">
        <v>123</v>
      </c>
      <c r="G26001" s="49" t="str">
        <f t="shared" si="1"/>
        <v>45210</v>
      </c>
      <c r="H26001" s="49">
        <f t="shared" si="2"/>
        <v>45222</v>
      </c>
    </row>
    <row r="26002">
      <c r="A26002" s="48" t="s">
        <v>239</v>
      </c>
      <c r="B26002" s="38">
        <v>27677.0</v>
      </c>
      <c r="C26002" s="38" t="s">
        <v>15509</v>
      </c>
      <c r="D26002" s="38" t="str">
        <f>IFERROR(__xludf.DUMMYFUNCTION("REGEXREPLACE(C26002,""-\d+(.*)|--\d+(.*)"","""")"),"VENON")</f>
        <v>VENON</v>
      </c>
      <c r="E26002" s="38" t="s">
        <v>241</v>
      </c>
      <c r="F26002" s="38" t="s">
        <v>134</v>
      </c>
      <c r="G26002" s="49" t="str">
        <f t="shared" si="1"/>
        <v>27110</v>
      </c>
      <c r="H26002" s="49">
        <f t="shared" si="2"/>
        <v>27677</v>
      </c>
    </row>
    <row r="26003">
      <c r="A26003" s="48" t="s">
        <v>19898</v>
      </c>
      <c r="B26003" s="38">
        <v>69087.0</v>
      </c>
      <c r="C26003" s="38" t="s">
        <v>30497</v>
      </c>
      <c r="D26003" s="38" t="str">
        <f>IFERROR(__xludf.DUMMYFUNCTION("REGEXREPLACE(C26003,""-\d+(.*)|--\d+(.*)"","""")"),"FONTAINES-SAINT-MARTIN")</f>
        <v>FONTAINES-SAINT-MARTIN</v>
      </c>
      <c r="E26003" s="38" t="s">
        <v>350</v>
      </c>
      <c r="F26003" s="38" t="s">
        <v>102</v>
      </c>
      <c r="G26003" s="49" t="str">
        <f t="shared" si="1"/>
        <v>69270</v>
      </c>
      <c r="H26003" s="49">
        <f t="shared" si="2"/>
        <v>69087</v>
      </c>
    </row>
    <row r="26004">
      <c r="A26004" s="48" t="s">
        <v>11481</v>
      </c>
      <c r="B26004" s="38">
        <v>33010.0</v>
      </c>
      <c r="C26004" s="38" t="s">
        <v>30498</v>
      </c>
      <c r="D26004" s="38" t="str">
        <f>IFERROR(__xludf.DUMMYFUNCTION("REGEXREPLACE(C26004,""-\d+(.*)|--\d+(.*)"","""")"),"ARCINS")</f>
        <v>ARCINS</v>
      </c>
      <c r="E26004" s="38" t="s">
        <v>462</v>
      </c>
      <c r="F26004" s="38" t="s">
        <v>252</v>
      </c>
      <c r="G26004" s="49" t="str">
        <f t="shared" si="1"/>
        <v>33460</v>
      </c>
      <c r="H26004" s="49">
        <f t="shared" si="2"/>
        <v>33010</v>
      </c>
    </row>
    <row r="26005">
      <c r="A26005" s="48" t="s">
        <v>3618</v>
      </c>
      <c r="B26005" s="38">
        <v>31046.0</v>
      </c>
      <c r="C26005" s="38" t="s">
        <v>30499</v>
      </c>
      <c r="D26005" s="38" t="str">
        <f>IFERROR(__xludf.DUMMYFUNCTION("REGEXREPLACE(C26005,""-\d+(.*)|--\d+(.*)"","""")"),"BAREN")</f>
        <v>BAREN</v>
      </c>
      <c r="E26005" s="38" t="s">
        <v>93</v>
      </c>
      <c r="F26005" s="38" t="s">
        <v>94</v>
      </c>
      <c r="G26005" s="49" t="str">
        <f t="shared" si="1"/>
        <v>31440</v>
      </c>
      <c r="H26005" s="49">
        <f t="shared" si="2"/>
        <v>31046</v>
      </c>
    </row>
    <row r="26006">
      <c r="A26006" s="48" t="s">
        <v>8252</v>
      </c>
      <c r="B26006" s="38">
        <v>60568.0</v>
      </c>
      <c r="C26006" s="38" t="s">
        <v>30500</v>
      </c>
      <c r="D26006" s="38" t="str">
        <f>IFERROR(__xludf.DUMMYFUNCTION("REGEXREPLACE(C26006,""-\d+(.*)|--\d+(.*)"","""")"),"SAINT-AUBIN-SOUS-ERQUERY")</f>
        <v>SAINT-AUBIN-SOUS-ERQUERY</v>
      </c>
      <c r="E26006" s="38" t="s">
        <v>112</v>
      </c>
      <c r="F26006" s="38" t="s">
        <v>113</v>
      </c>
      <c r="G26006" s="49" t="str">
        <f t="shared" si="1"/>
        <v>60600</v>
      </c>
      <c r="H26006" s="49">
        <f t="shared" si="2"/>
        <v>60568</v>
      </c>
    </row>
    <row r="26007">
      <c r="A26007" s="48" t="s">
        <v>22612</v>
      </c>
      <c r="B26007" s="38">
        <v>59165.0</v>
      </c>
      <c r="C26007" s="38" t="s">
        <v>30501</v>
      </c>
      <c r="D26007" s="38" t="str">
        <f>IFERROR(__xludf.DUMMYFUNCTION("REGEXREPLACE(C26007,""-\d+(.*)|--\d+(.*)"","""")"),"CUINCY")</f>
        <v>CUINCY</v>
      </c>
      <c r="E26007" s="38" t="s">
        <v>85</v>
      </c>
      <c r="F26007" s="38" t="s">
        <v>86</v>
      </c>
      <c r="G26007" s="49" t="str">
        <f t="shared" si="1"/>
        <v>59553</v>
      </c>
      <c r="H26007" s="49">
        <f t="shared" si="2"/>
        <v>59165</v>
      </c>
    </row>
    <row r="26008">
      <c r="A26008" s="48" t="s">
        <v>1574</v>
      </c>
      <c r="B26008" s="38">
        <v>10146.0</v>
      </c>
      <c r="C26008" s="38" t="s">
        <v>30502</v>
      </c>
      <c r="D26008" s="38" t="str">
        <f>IFERROR(__xludf.DUMMYFUNCTION("REGEXREPLACE(C26008,""-\d+(.*)|--\d+(.*)"","""")"),"FAY-LES-MARCILLY")</f>
        <v>FAY-LES-MARCILLY</v>
      </c>
      <c r="E26008" s="38" t="s">
        <v>147</v>
      </c>
      <c r="F26008" s="38" t="s">
        <v>130</v>
      </c>
      <c r="G26008" s="49" t="str">
        <f t="shared" si="1"/>
        <v>10290</v>
      </c>
      <c r="H26008" s="49">
        <f t="shared" si="2"/>
        <v>10146</v>
      </c>
    </row>
    <row r="26009">
      <c r="A26009" s="48" t="s">
        <v>9021</v>
      </c>
      <c r="B26009" s="38">
        <v>88003.0</v>
      </c>
      <c r="C26009" s="38" t="s">
        <v>30503</v>
      </c>
      <c r="D26009" s="38" t="str">
        <f>IFERROR(__xludf.DUMMYFUNCTION("REGEXREPLACE(C26009,""-\d+(.*)|--\d+(.*)"","""")"),"AINGEVILLE")</f>
        <v>AINGEVILLE</v>
      </c>
      <c r="E26009" s="38" t="s">
        <v>194</v>
      </c>
      <c r="F26009" s="38" t="s">
        <v>195</v>
      </c>
      <c r="G26009" s="49" t="str">
        <f t="shared" si="1"/>
        <v>88140</v>
      </c>
      <c r="H26009" s="49">
        <f t="shared" si="2"/>
        <v>88003</v>
      </c>
    </row>
    <row r="26010">
      <c r="A26010" s="48" t="s">
        <v>4877</v>
      </c>
      <c r="B26010" s="38">
        <v>61477.0</v>
      </c>
      <c r="C26010" s="38" t="s">
        <v>30504</v>
      </c>
      <c r="D26010" s="38" t="str">
        <f>IFERROR(__xludf.DUMMYFUNCTION("REGEXREPLACE(C26010,""-\d+(.*)|--\d+(.*)"","""")"),"SURVIE")</f>
        <v>SURVIE</v>
      </c>
      <c r="E26010" s="38" t="s">
        <v>141</v>
      </c>
      <c r="F26010" s="38" t="s">
        <v>138</v>
      </c>
      <c r="G26010" s="49" t="str">
        <f t="shared" si="1"/>
        <v>61310</v>
      </c>
      <c r="H26010" s="49">
        <f t="shared" si="2"/>
        <v>61477</v>
      </c>
    </row>
    <row r="26011">
      <c r="A26011" s="48" t="s">
        <v>5810</v>
      </c>
      <c r="B26011" s="38">
        <v>54516.0</v>
      </c>
      <c r="C26011" s="38" t="s">
        <v>30505</v>
      </c>
      <c r="D26011" s="38" t="str">
        <f>IFERROR(__xludf.DUMMYFUNCTION("REGEXREPLACE(C26011,""-\d+(.*)|--\d+(.*)"","""")"),"THEY-SOUS-VAUDEMONT")</f>
        <v>THEY-SOUS-VAUDEMONT</v>
      </c>
      <c r="E26011" s="38" t="s">
        <v>548</v>
      </c>
      <c r="F26011" s="38" t="s">
        <v>195</v>
      </c>
      <c r="G26011" s="49" t="str">
        <f t="shared" si="1"/>
        <v>54930</v>
      </c>
      <c r="H26011" s="49">
        <f t="shared" si="2"/>
        <v>54516</v>
      </c>
    </row>
    <row r="26012">
      <c r="A26012" s="48" t="s">
        <v>1321</v>
      </c>
      <c r="B26012" s="38">
        <v>67192.0</v>
      </c>
      <c r="C26012" s="38" t="s">
        <v>30506</v>
      </c>
      <c r="D26012" s="38" t="str">
        <f>IFERROR(__xludf.DUMMYFUNCTION("REGEXREPLACE(C26012,""-\d+(.*)|--\d+(.*)"","""")"),"HERBSHEIM")</f>
        <v>HERBSHEIM</v>
      </c>
      <c r="E26012" s="38" t="s">
        <v>210</v>
      </c>
      <c r="F26012" s="38" t="s">
        <v>151</v>
      </c>
      <c r="G26012" s="49" t="str">
        <f t="shared" si="1"/>
        <v>67230</v>
      </c>
      <c r="H26012" s="49">
        <f t="shared" si="2"/>
        <v>67192</v>
      </c>
    </row>
    <row r="26013">
      <c r="A26013" s="48" t="s">
        <v>5063</v>
      </c>
      <c r="B26013" s="38">
        <v>24502.0</v>
      </c>
      <c r="C26013" s="38" t="s">
        <v>30507</v>
      </c>
      <c r="D26013" s="38" t="str">
        <f>IFERROR(__xludf.DUMMYFUNCTION("REGEXREPLACE(C26013,""-\d+(.*)|--\d+(.*)"","""")"),"SAINT-SEVERIN-D'ESTISSAC")</f>
        <v>SAINT-SEVERIN-D'ESTISSAC</v>
      </c>
      <c r="E26013" s="38" t="s">
        <v>261</v>
      </c>
      <c r="F26013" s="38" t="s">
        <v>252</v>
      </c>
      <c r="G26013" s="49" t="str">
        <f t="shared" si="1"/>
        <v>24190</v>
      </c>
      <c r="H26013" s="49">
        <f t="shared" si="2"/>
        <v>24502</v>
      </c>
    </row>
    <row r="26014">
      <c r="A26014" s="48" t="s">
        <v>1058</v>
      </c>
      <c r="B26014" s="38">
        <v>21607.0</v>
      </c>
      <c r="C26014" s="38" t="s">
        <v>30508</v>
      </c>
      <c r="D26014" s="38" t="str">
        <f>IFERROR(__xludf.DUMMYFUNCTION("REGEXREPLACE(C26014,""-\d+(.*)|--\d+(.*)"","""")"),"SEURRE")</f>
        <v>SEURRE</v>
      </c>
      <c r="E26014" s="38" t="s">
        <v>105</v>
      </c>
      <c r="F26014" s="38" t="s">
        <v>106</v>
      </c>
      <c r="G26014" s="49" t="str">
        <f t="shared" si="1"/>
        <v>21250</v>
      </c>
      <c r="H26014" s="49">
        <f t="shared" si="2"/>
        <v>21607</v>
      </c>
    </row>
    <row r="26015">
      <c r="A26015" s="48" t="s">
        <v>2285</v>
      </c>
      <c r="B26015" s="38">
        <v>23026.0</v>
      </c>
      <c r="C26015" s="38" t="s">
        <v>30509</v>
      </c>
      <c r="D26015" s="38" t="str">
        <f>IFERROR(__xludf.DUMMYFUNCTION("REGEXREPLACE(C26015,""-\d+(.*)|--\d+(.*)"","""")"),"BORD-SAINT-GEORGES")</f>
        <v>BORD-SAINT-GEORGES</v>
      </c>
      <c r="E26015" s="38" t="s">
        <v>97</v>
      </c>
      <c r="F26015" s="38" t="s">
        <v>98</v>
      </c>
      <c r="G26015" s="49" t="str">
        <f t="shared" si="1"/>
        <v>23230</v>
      </c>
      <c r="H26015" s="49">
        <f t="shared" si="2"/>
        <v>23026</v>
      </c>
    </row>
    <row r="26016">
      <c r="A26016" s="48" t="s">
        <v>3857</v>
      </c>
      <c r="B26016" s="38">
        <v>12220.0</v>
      </c>
      <c r="C26016" s="38" t="s">
        <v>30510</v>
      </c>
      <c r="D26016" s="38" t="str">
        <f>IFERROR(__xludf.DUMMYFUNCTION("REGEXREPLACE(C26016,""-\d+(.*)|--\d+(.*)"","""")"),"SAINTE-EULALIE-DE-CERNON")</f>
        <v>SAINTE-EULALIE-DE-CERNON</v>
      </c>
      <c r="E26016" s="38" t="s">
        <v>465</v>
      </c>
      <c r="F26016" s="38" t="s">
        <v>94</v>
      </c>
      <c r="G26016" s="49" t="str">
        <f t="shared" si="1"/>
        <v>12230</v>
      </c>
      <c r="H26016" s="49">
        <f t="shared" si="2"/>
        <v>12220</v>
      </c>
    </row>
    <row r="26017">
      <c r="A26017" s="48" t="s">
        <v>10578</v>
      </c>
      <c r="B26017" s="38">
        <v>79230.0</v>
      </c>
      <c r="C26017" s="38" t="s">
        <v>30511</v>
      </c>
      <c r="D26017" s="38" t="str">
        <f>IFERROR(__xludf.DUMMYFUNCTION("REGEXREPLACE(C26017,""-\d+(.*)|--\d+(.*)"","""")"),"ROM")</f>
        <v>ROM</v>
      </c>
      <c r="E26017" s="38" t="s">
        <v>337</v>
      </c>
      <c r="F26017" s="38" t="s">
        <v>338</v>
      </c>
      <c r="G26017" s="49" t="str">
        <f t="shared" si="1"/>
        <v>79120</v>
      </c>
      <c r="H26017" s="49">
        <f t="shared" si="2"/>
        <v>79230</v>
      </c>
    </row>
    <row r="26018">
      <c r="A26018" s="48" t="s">
        <v>13605</v>
      </c>
      <c r="B26018" s="38">
        <v>49149.0</v>
      </c>
      <c r="C26018" s="38" t="s">
        <v>15333</v>
      </c>
      <c r="D26018" s="38" t="str">
        <f>IFERROR(__xludf.DUMMYFUNCTION("REGEXREPLACE(C26018,""-\d+(.*)|--\d+(.*)"","""")"),"GENNES")</f>
        <v>GENNES</v>
      </c>
      <c r="E26018" s="38" t="s">
        <v>653</v>
      </c>
      <c r="F26018" s="38" t="s">
        <v>180</v>
      </c>
      <c r="G26018" s="49" t="str">
        <f t="shared" si="1"/>
        <v>49350</v>
      </c>
      <c r="H26018" s="49">
        <f t="shared" si="2"/>
        <v>49149</v>
      </c>
    </row>
    <row r="26019">
      <c r="A26019" s="48" t="s">
        <v>1574</v>
      </c>
      <c r="B26019" s="38">
        <v>10023.0</v>
      </c>
      <c r="C26019" s="38" t="s">
        <v>30512</v>
      </c>
      <c r="D26019" s="38" t="str">
        <f>IFERROR(__xludf.DUMMYFUNCTION("REGEXREPLACE(C26019,""-\d+(.*)|--\d+(.*)"","""")"),"AVON-LA-PEZE")</f>
        <v>AVON-LA-PEZE</v>
      </c>
      <c r="E26019" s="38" t="s">
        <v>147</v>
      </c>
      <c r="F26019" s="38" t="s">
        <v>130</v>
      </c>
      <c r="G26019" s="49" t="str">
        <f t="shared" si="1"/>
        <v>10290</v>
      </c>
      <c r="H26019" s="49">
        <f t="shared" si="2"/>
        <v>10023</v>
      </c>
    </row>
    <row r="26020">
      <c r="A26020" s="48" t="s">
        <v>4856</v>
      </c>
      <c r="B26020" s="38">
        <v>21270.0</v>
      </c>
      <c r="C26020" s="38" t="s">
        <v>30513</v>
      </c>
      <c r="D26020" s="38" t="str">
        <f>IFERROR(__xludf.DUMMYFUNCTION("REGEXREPLACE(C26020,""-\d+(.*)|--\d+(.*)"","""")"),"FLAVIGNEROT")</f>
        <v>FLAVIGNEROT</v>
      </c>
      <c r="E26020" s="38" t="s">
        <v>105</v>
      </c>
      <c r="F26020" s="38" t="s">
        <v>106</v>
      </c>
      <c r="G26020" s="49" t="str">
        <f t="shared" si="1"/>
        <v>21160</v>
      </c>
      <c r="H26020" s="49">
        <f t="shared" si="2"/>
        <v>21270</v>
      </c>
    </row>
    <row r="26021">
      <c r="A26021" s="48" t="s">
        <v>987</v>
      </c>
      <c r="B26021" s="38">
        <v>40072.0</v>
      </c>
      <c r="C26021" s="38" t="s">
        <v>30514</v>
      </c>
      <c r="D26021" s="38" t="str">
        <f>IFERROR(__xludf.DUMMYFUNCTION("REGEXREPLACE(C26021,""-\d+(.*)|--\d+(.*)"","""")"),"CASTELNAU-TURSAN")</f>
        <v>CASTELNAU-TURSAN</v>
      </c>
      <c r="E26021" s="38" t="s">
        <v>281</v>
      </c>
      <c r="F26021" s="38" t="s">
        <v>252</v>
      </c>
      <c r="G26021" s="49" t="str">
        <f t="shared" si="1"/>
        <v>40320</v>
      </c>
      <c r="H26021" s="49">
        <f t="shared" si="2"/>
        <v>40072</v>
      </c>
    </row>
    <row r="26022">
      <c r="A26022" s="48" t="s">
        <v>256</v>
      </c>
      <c r="B26022" s="38">
        <v>36100.0</v>
      </c>
      <c r="C26022" s="38" t="s">
        <v>30515</v>
      </c>
      <c r="D26022" s="38" t="str">
        <f>IFERROR(__xludf.DUMMYFUNCTION("REGEXREPLACE(C26022,""-\d+(.*)|--\d+(.*)"","""")"),"LOUROUER-SAINT-LAURENT")</f>
        <v>LOUROUER-SAINT-LAURENT</v>
      </c>
      <c r="E26022" s="38" t="s">
        <v>258</v>
      </c>
      <c r="F26022" s="38" t="s">
        <v>123</v>
      </c>
      <c r="G26022" s="49" t="str">
        <f t="shared" si="1"/>
        <v>36400</v>
      </c>
      <c r="H26022" s="49">
        <f t="shared" si="2"/>
        <v>36100</v>
      </c>
    </row>
    <row r="26023">
      <c r="A26023" s="48" t="s">
        <v>17621</v>
      </c>
      <c r="B26023" s="38">
        <v>7261.0</v>
      </c>
      <c r="C26023" s="38" t="s">
        <v>30516</v>
      </c>
      <c r="D26023" s="38" t="str">
        <f>IFERROR(__xludf.DUMMYFUNCTION("REGEXREPLACE(C26023,""-\d+(.*)|--\d+(.*)"","""")"),"SAINT-LAURENT-DU-PAPE")</f>
        <v>SAINT-LAURENT-DU-PAPE</v>
      </c>
      <c r="E26023" s="38" t="s">
        <v>144</v>
      </c>
      <c r="F26023" s="38" t="s">
        <v>102</v>
      </c>
      <c r="G26023" s="49" t="str">
        <f t="shared" si="1"/>
        <v>07800</v>
      </c>
      <c r="H26023" s="49" t="str">
        <f t="shared" si="2"/>
        <v>07261</v>
      </c>
    </row>
    <row r="26024">
      <c r="A26024" s="48" t="s">
        <v>2775</v>
      </c>
      <c r="B26024" s="38">
        <v>59545.0</v>
      </c>
      <c r="C26024" s="38" t="s">
        <v>30517</v>
      </c>
      <c r="D26024" s="38" t="str">
        <f>IFERROR(__xludf.DUMMYFUNCTION("REGEXREPLACE(C26024,""-\d+(.*)|--\d+(.*)"","""")"),"SAINT-SOUPLET")</f>
        <v>SAINT-SOUPLET</v>
      </c>
      <c r="E26024" s="38" t="s">
        <v>85</v>
      </c>
      <c r="F26024" s="38" t="s">
        <v>86</v>
      </c>
      <c r="G26024" s="49" t="str">
        <f t="shared" si="1"/>
        <v>59360</v>
      </c>
      <c r="H26024" s="49">
        <f t="shared" si="2"/>
        <v>59545</v>
      </c>
    </row>
    <row r="26025">
      <c r="A26025" s="48" t="s">
        <v>489</v>
      </c>
      <c r="B26025" s="38">
        <v>9060.0</v>
      </c>
      <c r="C26025" s="38" t="s">
        <v>7628</v>
      </c>
      <c r="D26025" s="38" t="str">
        <f>IFERROR(__xludf.DUMMYFUNCTION("REGEXREPLACE(C26025,""-\d+(.*)|--\d+(.*)"","""")"),"BONNAC")</f>
        <v>BONNAC</v>
      </c>
      <c r="E26025" s="38" t="s">
        <v>238</v>
      </c>
      <c r="F26025" s="38" t="s">
        <v>94</v>
      </c>
      <c r="G26025" s="49" t="str">
        <f t="shared" si="1"/>
        <v>09100</v>
      </c>
      <c r="H26025" s="49" t="str">
        <f t="shared" si="2"/>
        <v>09060</v>
      </c>
    </row>
    <row r="26026">
      <c r="A26026" s="48" t="s">
        <v>18834</v>
      </c>
      <c r="B26026" s="38">
        <v>88188.0</v>
      </c>
      <c r="C26026" s="38" t="s">
        <v>30518</v>
      </c>
      <c r="D26026" s="38" t="str">
        <f>IFERROR(__xludf.DUMMYFUNCTION("REGEXREPLACE(C26026,""-\d+(.*)|--\d+(.*)"","""")"),"FRESSE-SUR-MOSELLE")</f>
        <v>FRESSE-SUR-MOSELLE</v>
      </c>
      <c r="E26026" s="38" t="s">
        <v>194</v>
      </c>
      <c r="F26026" s="38" t="s">
        <v>195</v>
      </c>
      <c r="G26026" s="49" t="str">
        <f t="shared" si="1"/>
        <v>88160</v>
      </c>
      <c r="H26026" s="49">
        <f t="shared" si="2"/>
        <v>88188</v>
      </c>
    </row>
    <row r="26027">
      <c r="A26027" s="48" t="s">
        <v>1618</v>
      </c>
      <c r="B26027" s="38">
        <v>11156.0</v>
      </c>
      <c r="C26027" s="38" t="s">
        <v>30519</v>
      </c>
      <c r="D26027" s="38" t="str">
        <f>IFERROR(__xludf.DUMMYFUNCTION("REGEXREPLACE(C26027,""-\d+(.*)|--\d+(.*)"","""")"),"FRAISSE-CABARDES")</f>
        <v>FRAISSE-CABARDES</v>
      </c>
      <c r="E26027" s="38" t="s">
        <v>278</v>
      </c>
      <c r="F26027" s="38" t="s">
        <v>119</v>
      </c>
      <c r="G26027" s="49" t="str">
        <f t="shared" si="1"/>
        <v>11600</v>
      </c>
      <c r="H26027" s="49">
        <f t="shared" si="2"/>
        <v>11156</v>
      </c>
    </row>
    <row r="26028">
      <c r="A26028" s="48" t="s">
        <v>28593</v>
      </c>
      <c r="B26028" s="38">
        <v>15001.0</v>
      </c>
      <c r="C26028" s="38" t="s">
        <v>30520</v>
      </c>
      <c r="D26028" s="38" t="str">
        <f>IFERROR(__xludf.DUMMYFUNCTION("REGEXREPLACE(C26028,""-\d+(.*)|--\d+(.*)"","""")"),"ALLANCHE")</f>
        <v>ALLANCHE</v>
      </c>
      <c r="E26028" s="38" t="s">
        <v>632</v>
      </c>
      <c r="F26028" s="38" t="s">
        <v>161</v>
      </c>
      <c r="G26028" s="49" t="str">
        <f t="shared" si="1"/>
        <v>15160</v>
      </c>
      <c r="H26028" s="49">
        <f t="shared" si="2"/>
        <v>15001</v>
      </c>
    </row>
    <row r="26029">
      <c r="A26029" s="48" t="s">
        <v>2519</v>
      </c>
      <c r="B26029" s="38">
        <v>80668.0</v>
      </c>
      <c r="C26029" s="38" t="s">
        <v>30521</v>
      </c>
      <c r="D26029" s="38" t="str">
        <f>IFERROR(__xludf.DUMMYFUNCTION("REGEXREPLACE(C26029,""-\d+(.*)|--\d+(.*)"","""")"),"REMIENCOURT")</f>
        <v>REMIENCOURT</v>
      </c>
      <c r="E26029" s="38" t="s">
        <v>224</v>
      </c>
      <c r="F26029" s="38" t="s">
        <v>113</v>
      </c>
      <c r="G26029" s="49" t="str">
        <f t="shared" si="1"/>
        <v>80250</v>
      </c>
      <c r="H26029" s="49">
        <f t="shared" si="2"/>
        <v>80668</v>
      </c>
    </row>
    <row r="26030">
      <c r="A26030" s="48" t="s">
        <v>2623</v>
      </c>
      <c r="B26030" s="38">
        <v>86204.0</v>
      </c>
      <c r="C26030" s="38" t="s">
        <v>30522</v>
      </c>
      <c r="D26030" s="38" t="str">
        <f>IFERROR(__xludf.DUMMYFUNCTION("REGEXREPLACE(C26030,""-\d+(.*)|--\d+(.*)"","""")"),"QUINCAY")</f>
        <v>QUINCAY</v>
      </c>
      <c r="E26030" s="38" t="s">
        <v>529</v>
      </c>
      <c r="F26030" s="38" t="s">
        <v>338</v>
      </c>
      <c r="G26030" s="49" t="str">
        <f t="shared" si="1"/>
        <v>86190</v>
      </c>
      <c r="H26030" s="49">
        <f t="shared" si="2"/>
        <v>86204</v>
      </c>
    </row>
    <row r="26031">
      <c r="A26031" s="48" t="s">
        <v>3624</v>
      </c>
      <c r="B26031" s="38">
        <v>39253.0</v>
      </c>
      <c r="C26031" s="38" t="s">
        <v>30523</v>
      </c>
      <c r="D26031" s="38" t="str">
        <f>IFERROR(__xludf.DUMMYFUNCTION("REGEXREPLACE(C26031,""-\d+(.*)|--\d+(.*)"","""")"),"GIGNY")</f>
        <v>GIGNY</v>
      </c>
      <c r="E26031" s="38" t="s">
        <v>400</v>
      </c>
      <c r="F26031" s="38" t="s">
        <v>214</v>
      </c>
      <c r="G26031" s="49" t="str">
        <f t="shared" si="1"/>
        <v>39320</v>
      </c>
      <c r="H26031" s="49">
        <f t="shared" si="2"/>
        <v>39253</v>
      </c>
    </row>
    <row r="26032">
      <c r="A26032" s="48" t="s">
        <v>1731</v>
      </c>
      <c r="B26032" s="38">
        <v>38210.0</v>
      </c>
      <c r="C26032" s="38" t="s">
        <v>30524</v>
      </c>
      <c r="D26032" s="38" t="str">
        <f>IFERROR(__xludf.DUMMYFUNCTION("REGEXREPLACE(C26032,""-\d+(.*)|--\d+(.*)"","""")"),"LEYRIEU")</f>
        <v>LEYRIEU</v>
      </c>
      <c r="E26032" s="38" t="s">
        <v>101</v>
      </c>
      <c r="F26032" s="38" t="s">
        <v>102</v>
      </c>
      <c r="G26032" s="49" t="str">
        <f t="shared" si="1"/>
        <v>38460</v>
      </c>
      <c r="H26032" s="49">
        <f t="shared" si="2"/>
        <v>38210</v>
      </c>
    </row>
    <row r="26033">
      <c r="A26033" s="48" t="s">
        <v>3628</v>
      </c>
      <c r="B26033" s="38">
        <v>16315.0</v>
      </c>
      <c r="C26033" s="38" t="s">
        <v>7139</v>
      </c>
      <c r="D26033" s="38" t="str">
        <f>IFERROR(__xludf.DUMMYFUNCTION("REGEXREPLACE(C26033,""-\d+(.*)|--\d+(.*)"","""")"),"SAINT-FELIX")</f>
        <v>SAINT-FELIX</v>
      </c>
      <c r="E26033" s="38" t="s">
        <v>429</v>
      </c>
      <c r="F26033" s="38" t="s">
        <v>338</v>
      </c>
      <c r="G26033" s="49" t="str">
        <f t="shared" si="1"/>
        <v>16480</v>
      </c>
      <c r="H26033" s="49">
        <f t="shared" si="2"/>
        <v>16315</v>
      </c>
    </row>
    <row r="26034">
      <c r="A26034" s="48" t="s">
        <v>5563</v>
      </c>
      <c r="B26034" s="38">
        <v>32142.0</v>
      </c>
      <c r="C26034" s="38" t="s">
        <v>30525</v>
      </c>
      <c r="D26034" s="38" t="str">
        <f>IFERROR(__xludf.DUMMYFUNCTION("REGEXREPLACE(C26034,""-\d+(.*)|--\d+(.*)"","""")"),"GAVARRET-SUR-AULOUSTE")</f>
        <v>GAVARRET-SUR-AULOUSTE</v>
      </c>
      <c r="E26034" s="38" t="s">
        <v>440</v>
      </c>
      <c r="F26034" s="38" t="s">
        <v>94</v>
      </c>
      <c r="G26034" s="49" t="str">
        <f t="shared" si="1"/>
        <v>32390</v>
      </c>
      <c r="H26034" s="49">
        <f t="shared" si="2"/>
        <v>32142</v>
      </c>
    </row>
    <row r="26035">
      <c r="A26035" s="48" t="s">
        <v>5198</v>
      </c>
      <c r="B26035" s="38">
        <v>39402.0</v>
      </c>
      <c r="C26035" s="38" t="s">
        <v>30526</v>
      </c>
      <c r="D26035" s="38" t="str">
        <f>IFERROR(__xludf.DUMMYFUNCTION("REGEXREPLACE(C26035,""-\d+(.*)|--\d+(.*)"","""")"),"PAGNEY")</f>
        <v>PAGNEY</v>
      </c>
      <c r="E26035" s="38" t="s">
        <v>400</v>
      </c>
      <c r="F26035" s="38" t="s">
        <v>214</v>
      </c>
      <c r="G26035" s="49" t="str">
        <f t="shared" si="1"/>
        <v>39350</v>
      </c>
      <c r="H26035" s="49">
        <f t="shared" si="2"/>
        <v>39402</v>
      </c>
    </row>
    <row r="26036">
      <c r="A26036" s="48" t="s">
        <v>14345</v>
      </c>
      <c r="B26036" s="38">
        <v>63467.0</v>
      </c>
      <c r="C26036" s="38" t="s">
        <v>30527</v>
      </c>
      <c r="D26036" s="38" t="str">
        <f>IFERROR(__xludf.DUMMYFUNCTION("REGEXREPLACE(C26036,""-\d+(.*)|--\d+(.*)"","""")"),"VOINGT")</f>
        <v>VOINGT</v>
      </c>
      <c r="E26036" s="38" t="s">
        <v>353</v>
      </c>
      <c r="F26036" s="38" t="s">
        <v>161</v>
      </c>
      <c r="G26036" s="49" t="str">
        <f t="shared" si="1"/>
        <v>63620</v>
      </c>
      <c r="H26036" s="49">
        <f t="shared" si="2"/>
        <v>63467</v>
      </c>
    </row>
    <row r="26037">
      <c r="A26037" s="48" t="s">
        <v>3675</v>
      </c>
      <c r="B26037" s="38">
        <v>58016.0</v>
      </c>
      <c r="C26037" s="38" t="s">
        <v>30528</v>
      </c>
      <c r="D26037" s="38" t="str">
        <f>IFERROR(__xludf.DUMMYFUNCTION("REGEXREPLACE(C26037,""-\d+(.*)|--\d+(.*)"","""")"),"ASNOIS")</f>
        <v>ASNOIS</v>
      </c>
      <c r="E26037" s="38" t="s">
        <v>219</v>
      </c>
      <c r="F26037" s="38" t="s">
        <v>106</v>
      </c>
      <c r="G26037" s="49" t="str">
        <f t="shared" si="1"/>
        <v>58190</v>
      </c>
      <c r="H26037" s="49">
        <f t="shared" si="2"/>
        <v>58016</v>
      </c>
    </row>
    <row r="26038">
      <c r="A26038" s="48" t="s">
        <v>792</v>
      </c>
      <c r="B26038" s="38">
        <v>2699.0</v>
      </c>
      <c r="C26038" s="38" t="s">
        <v>30529</v>
      </c>
      <c r="D26038" s="38" t="str">
        <f>IFERROR(__xludf.DUMMYFUNCTION("REGEXREPLACE(C26038,""-\d+(.*)|--\d+(.*)"","""")"),"SAPONAY")</f>
        <v>SAPONAY</v>
      </c>
      <c r="E26038" s="38" t="s">
        <v>191</v>
      </c>
      <c r="F26038" s="38" t="s">
        <v>113</v>
      </c>
      <c r="G26038" s="49" t="str">
        <f t="shared" si="1"/>
        <v>02130</v>
      </c>
      <c r="H26038" s="49" t="str">
        <f t="shared" si="2"/>
        <v>02699</v>
      </c>
    </row>
    <row r="26039">
      <c r="A26039" s="48" t="s">
        <v>2510</v>
      </c>
      <c r="B26039" s="38">
        <v>22090.0</v>
      </c>
      <c r="C26039" s="38" t="s">
        <v>30530</v>
      </c>
      <c r="D26039" s="38" t="str">
        <f>IFERROR(__xludf.DUMMYFUNCTION("REGEXREPLACE(C26039,""-\d+(.*)|--\d+(.*)"","""")"),"KERMARIA-SULARD")</f>
        <v>KERMARIA-SULARD</v>
      </c>
      <c r="E26039" s="38" t="s">
        <v>89</v>
      </c>
      <c r="F26039" s="38" t="s">
        <v>90</v>
      </c>
      <c r="G26039" s="49" t="str">
        <f t="shared" si="1"/>
        <v>22450</v>
      </c>
      <c r="H26039" s="49">
        <f t="shared" si="2"/>
        <v>22090</v>
      </c>
    </row>
    <row r="26040">
      <c r="A26040" s="48" t="s">
        <v>3346</v>
      </c>
      <c r="B26040" s="38">
        <v>65397.0</v>
      </c>
      <c r="C26040" s="38" t="s">
        <v>30531</v>
      </c>
      <c r="D26040" s="38" t="str">
        <f>IFERROR(__xludf.DUMMYFUNCTION("REGEXREPLACE(C26040,""-\d+(.*)|--\d+(.*)"","""")"),"SAINT-SEVER-DE-RUSTAN")</f>
        <v>SAINT-SEVER-DE-RUSTAN</v>
      </c>
      <c r="E26040" s="38" t="s">
        <v>200</v>
      </c>
      <c r="F26040" s="38" t="s">
        <v>94</v>
      </c>
      <c r="G26040" s="49" t="str">
        <f t="shared" si="1"/>
        <v>65140</v>
      </c>
      <c r="H26040" s="49">
        <f t="shared" si="2"/>
        <v>65397</v>
      </c>
    </row>
    <row r="26041">
      <c r="A26041" s="48" t="s">
        <v>342</v>
      </c>
      <c r="B26041" s="38">
        <v>71236.0</v>
      </c>
      <c r="C26041" s="38" t="s">
        <v>9251</v>
      </c>
      <c r="D26041" s="38" t="str">
        <f>IFERROR(__xludf.DUMMYFUNCTION("REGEXREPLACE(C26041,""-\d+(.*)|--\d+(.*)"","""")"),"IGE")</f>
        <v>IGE</v>
      </c>
      <c r="E26041" s="38" t="s">
        <v>344</v>
      </c>
      <c r="F26041" s="38" t="s">
        <v>106</v>
      </c>
      <c r="G26041" s="49" t="str">
        <f t="shared" si="1"/>
        <v>71960</v>
      </c>
      <c r="H26041" s="49">
        <f t="shared" si="2"/>
        <v>71236</v>
      </c>
    </row>
    <row r="26042">
      <c r="A26042" s="48" t="s">
        <v>5461</v>
      </c>
      <c r="B26042" s="38">
        <v>86299.0</v>
      </c>
      <c r="C26042" s="38" t="s">
        <v>30532</v>
      </c>
      <c r="D26042" s="38" t="str">
        <f>IFERROR(__xludf.DUMMYFUNCTION("REGEXREPLACE(C26042,""-\d+(.*)|--\d+(.*)"","""")"),"VOUZAILLES")</f>
        <v>VOUZAILLES</v>
      </c>
      <c r="E26042" s="38" t="s">
        <v>529</v>
      </c>
      <c r="F26042" s="38" t="s">
        <v>338</v>
      </c>
      <c r="G26042" s="49" t="str">
        <f t="shared" si="1"/>
        <v>86170</v>
      </c>
      <c r="H26042" s="49">
        <f t="shared" si="2"/>
        <v>86299</v>
      </c>
    </row>
    <row r="26043">
      <c r="A26043" s="48" t="s">
        <v>8263</v>
      </c>
      <c r="B26043" s="38">
        <v>43194.0</v>
      </c>
      <c r="C26043" s="38" t="s">
        <v>30533</v>
      </c>
      <c r="D26043" s="38" t="str">
        <f>IFERROR(__xludf.DUMMYFUNCTION("REGEXREPLACE(C26043,""-\d+(.*)|--\d+(.*)"","""")"),"SAINT-HOSTIEN")</f>
        <v>SAINT-HOSTIEN</v>
      </c>
      <c r="E26043" s="38" t="s">
        <v>332</v>
      </c>
      <c r="F26043" s="38" t="s">
        <v>161</v>
      </c>
      <c r="G26043" s="49" t="str">
        <f t="shared" si="1"/>
        <v>43260</v>
      </c>
      <c r="H26043" s="49">
        <f t="shared" si="2"/>
        <v>43194</v>
      </c>
    </row>
    <row r="26044">
      <c r="A26044" s="48" t="s">
        <v>3214</v>
      </c>
      <c r="B26044" s="38">
        <v>36125.0</v>
      </c>
      <c r="C26044" s="38" t="s">
        <v>30534</v>
      </c>
      <c r="D26044" s="38" t="str">
        <f>IFERROR(__xludf.DUMMYFUNCTION("REGEXREPLACE(C26044,""-\d+(.*)|--\d+(.*)"","""")"),"MIGNY")</f>
        <v>MIGNY</v>
      </c>
      <c r="E26044" s="38" t="s">
        <v>258</v>
      </c>
      <c r="F26044" s="38" t="s">
        <v>123</v>
      </c>
      <c r="G26044" s="49" t="str">
        <f t="shared" si="1"/>
        <v>36260</v>
      </c>
      <c r="H26044" s="49">
        <f t="shared" si="2"/>
        <v>36125</v>
      </c>
    </row>
    <row r="26045">
      <c r="A26045" s="48" t="s">
        <v>9844</v>
      </c>
      <c r="B26045" s="38">
        <v>17423.0</v>
      </c>
      <c r="C26045" s="38" t="s">
        <v>30535</v>
      </c>
      <c r="D26045" s="38" t="str">
        <f>IFERROR(__xludf.DUMMYFUNCTION("REGEXREPLACE(C26045,""-\d+(.*)|--\d+(.*)"","""")"),"SEMILLAC")</f>
        <v>SEMILLAC</v>
      </c>
      <c r="E26045" s="38" t="s">
        <v>488</v>
      </c>
      <c r="F26045" s="38" t="s">
        <v>338</v>
      </c>
      <c r="G26045" s="49" t="str">
        <f t="shared" si="1"/>
        <v>17150</v>
      </c>
      <c r="H26045" s="49">
        <f t="shared" si="2"/>
        <v>17423</v>
      </c>
    </row>
    <row r="26046">
      <c r="A26046" s="48" t="s">
        <v>30536</v>
      </c>
      <c r="B26046" s="38">
        <v>94002.0</v>
      </c>
      <c r="C26046" s="38" t="s">
        <v>30537</v>
      </c>
      <c r="D26046" s="38" t="str">
        <f>IFERROR(__xludf.DUMMYFUNCTION("REGEXREPLACE(C26046,""-\d+(.*)|--\d+(.*)"","""")"),"ALFORTVILLE")</f>
        <v>ALFORTVILLE</v>
      </c>
      <c r="E26046" s="38" t="s">
        <v>561</v>
      </c>
      <c r="F26046" s="38" t="s">
        <v>245</v>
      </c>
      <c r="G26046" s="49" t="str">
        <f t="shared" si="1"/>
        <v>94140</v>
      </c>
      <c r="H26046" s="49">
        <f t="shared" si="2"/>
        <v>94002</v>
      </c>
    </row>
    <row r="26047">
      <c r="A26047" s="48" t="s">
        <v>9234</v>
      </c>
      <c r="B26047" s="38">
        <v>16310.0</v>
      </c>
      <c r="C26047" s="38" t="s">
        <v>10579</v>
      </c>
      <c r="D26047" s="38" t="str">
        <f>IFERROR(__xludf.DUMMYFUNCTION("REGEXREPLACE(C26047,""-\d+(.*)|--\d+(.*)"","""")"),"SAINT-COUTANT")</f>
        <v>SAINT-COUTANT</v>
      </c>
      <c r="E26047" s="38" t="s">
        <v>429</v>
      </c>
      <c r="F26047" s="38" t="s">
        <v>338</v>
      </c>
      <c r="G26047" s="49" t="str">
        <f t="shared" si="1"/>
        <v>16350</v>
      </c>
      <c r="H26047" s="49">
        <f t="shared" si="2"/>
        <v>16310</v>
      </c>
    </row>
    <row r="26048">
      <c r="A26048" s="48" t="s">
        <v>1695</v>
      </c>
      <c r="B26048" s="38">
        <v>80384.0</v>
      </c>
      <c r="C26048" s="38" t="s">
        <v>30538</v>
      </c>
      <c r="D26048" s="38" t="str">
        <f>IFERROR(__xludf.DUMMYFUNCTION("REGEXREPLACE(C26048,""-\d+(.*)|--\d+(.*)"","""")"),"GRANDCOURT")</f>
        <v>GRANDCOURT</v>
      </c>
      <c r="E26048" s="38" t="s">
        <v>224</v>
      </c>
      <c r="F26048" s="38" t="s">
        <v>113</v>
      </c>
      <c r="G26048" s="49" t="str">
        <f t="shared" si="1"/>
        <v>80300</v>
      </c>
      <c r="H26048" s="49">
        <f t="shared" si="2"/>
        <v>80384</v>
      </c>
    </row>
    <row r="26049">
      <c r="A26049" s="48" t="s">
        <v>28392</v>
      </c>
      <c r="B26049" s="38">
        <v>91111.0</v>
      </c>
      <c r="C26049" s="38" t="s">
        <v>30539</v>
      </c>
      <c r="D26049" s="38" t="str">
        <f>IFERROR(__xludf.DUMMYFUNCTION("REGEXREPLACE(C26049,""-\d+(.*)|--\d+(.*)"","""")"),"BRIIS-SOUS-FORGES")</f>
        <v>BRIIS-SOUS-FORGES</v>
      </c>
      <c r="E26049" s="38" t="s">
        <v>756</v>
      </c>
      <c r="F26049" s="38" t="s">
        <v>245</v>
      </c>
      <c r="G26049" s="49" t="str">
        <f t="shared" si="1"/>
        <v>91640</v>
      </c>
      <c r="H26049" s="49">
        <f t="shared" si="2"/>
        <v>91111</v>
      </c>
    </row>
    <row r="26050">
      <c r="A26050" s="48" t="s">
        <v>10177</v>
      </c>
      <c r="B26050" s="38">
        <v>80580.0</v>
      </c>
      <c r="C26050" s="38" t="s">
        <v>30540</v>
      </c>
      <c r="D26050" s="38" t="str">
        <f>IFERROR(__xludf.DUMMYFUNCTION("REGEXREPLACE(C26050,""-\d+(.*)|--\d+(.*)"","""")"),"NAMPONT")</f>
        <v>NAMPONT</v>
      </c>
      <c r="E26050" s="38" t="s">
        <v>224</v>
      </c>
      <c r="F26050" s="38" t="s">
        <v>113</v>
      </c>
      <c r="G26050" s="49" t="str">
        <f t="shared" si="1"/>
        <v>80120</v>
      </c>
      <c r="H26050" s="49">
        <f t="shared" si="2"/>
        <v>80580</v>
      </c>
    </row>
    <row r="26051">
      <c r="A26051" s="48" t="s">
        <v>25134</v>
      </c>
      <c r="B26051" s="38">
        <v>77326.0</v>
      </c>
      <c r="C26051" s="38" t="s">
        <v>30541</v>
      </c>
      <c r="D26051" s="38" t="str">
        <f>IFERROR(__xludf.DUMMYFUNCTION("REGEXREPLACE(C26051,""-\d+(.*)|--\d+(.*)"","""")"),"NANDY")</f>
        <v>NANDY</v>
      </c>
      <c r="E26051" s="38" t="s">
        <v>244</v>
      </c>
      <c r="F26051" s="38" t="s">
        <v>245</v>
      </c>
      <c r="G26051" s="49" t="str">
        <f t="shared" si="1"/>
        <v>77176</v>
      </c>
      <c r="H26051" s="49">
        <f t="shared" si="2"/>
        <v>77326</v>
      </c>
    </row>
    <row r="26052">
      <c r="A26052" s="48" t="s">
        <v>407</v>
      </c>
      <c r="B26052" s="38">
        <v>71498.0</v>
      </c>
      <c r="C26052" s="38" t="s">
        <v>13777</v>
      </c>
      <c r="D26052" s="38" t="str">
        <f>IFERROR(__xludf.DUMMYFUNCTION("REGEXREPLACE(C26052,""-\d+(.*)|--\d+(.*)"","""")"),"SANTILLY")</f>
        <v>SANTILLY</v>
      </c>
      <c r="E26052" s="38" t="s">
        <v>344</v>
      </c>
      <c r="F26052" s="38" t="s">
        <v>106</v>
      </c>
      <c r="G26052" s="49" t="str">
        <f t="shared" si="1"/>
        <v>71460</v>
      </c>
      <c r="H26052" s="49">
        <f t="shared" si="2"/>
        <v>71498</v>
      </c>
    </row>
    <row r="26053">
      <c r="A26053" s="48" t="s">
        <v>6202</v>
      </c>
      <c r="B26053" s="38">
        <v>49332.0</v>
      </c>
      <c r="C26053" s="38" t="s">
        <v>30542</v>
      </c>
      <c r="D26053" s="38" t="str">
        <f>IFERROR(__xludf.DUMMYFUNCTION("REGEXREPLACE(C26053,""-\d+(.*)|--\d+(.*)"","""")"),"LA SEGUINIERE")</f>
        <v>LA SEGUINIERE</v>
      </c>
      <c r="E26053" s="38" t="s">
        <v>653</v>
      </c>
      <c r="F26053" s="38" t="s">
        <v>180</v>
      </c>
      <c r="G26053" s="49" t="str">
        <f t="shared" si="1"/>
        <v>49280</v>
      </c>
      <c r="H26053" s="49">
        <f t="shared" si="2"/>
        <v>49332</v>
      </c>
    </row>
    <row r="26054">
      <c r="A26054" s="48" t="s">
        <v>29088</v>
      </c>
      <c r="B26054" s="38">
        <v>62217.0</v>
      </c>
      <c r="C26054" s="38" t="s">
        <v>30543</v>
      </c>
      <c r="D26054" s="38" t="str">
        <f>IFERROR(__xludf.DUMMYFUNCTION("REGEXREPLACE(C26054,""-\d+(.*)|--\d+(.*)"","""")"),"CAUCHY-A-LA-TOUR")</f>
        <v>CAUCHY-A-LA-TOUR</v>
      </c>
      <c r="E26054" s="38" t="s">
        <v>109</v>
      </c>
      <c r="F26054" s="38" t="s">
        <v>86</v>
      </c>
      <c r="G26054" s="49" t="str">
        <f t="shared" si="1"/>
        <v>62260</v>
      </c>
      <c r="H26054" s="49">
        <f t="shared" si="2"/>
        <v>62217</v>
      </c>
    </row>
    <row r="26055">
      <c r="A26055" s="48" t="s">
        <v>4095</v>
      </c>
      <c r="B26055" s="38">
        <v>23071.0</v>
      </c>
      <c r="C26055" s="38" t="s">
        <v>30544</v>
      </c>
      <c r="D26055" s="38" t="str">
        <f>IFERROR(__xludf.DUMMYFUNCTION("REGEXREPLACE(C26055,""-\d+(.*)|--\d+(.*)"","""")"),"CROZE")</f>
        <v>CROZE</v>
      </c>
      <c r="E26055" s="38" t="s">
        <v>97</v>
      </c>
      <c r="F26055" s="38" t="s">
        <v>98</v>
      </c>
      <c r="G26055" s="49" t="str">
        <f t="shared" si="1"/>
        <v>23500</v>
      </c>
      <c r="H26055" s="49">
        <f t="shared" si="2"/>
        <v>23071</v>
      </c>
    </row>
    <row r="26056">
      <c r="A26056" s="48" t="s">
        <v>21059</v>
      </c>
      <c r="B26056" s="38">
        <v>62793.0</v>
      </c>
      <c r="C26056" s="38" t="s">
        <v>30545</v>
      </c>
      <c r="D26056" s="38" t="str">
        <f>IFERROR(__xludf.DUMMYFUNCTION("REGEXREPLACE(C26056,""-\d+(.*)|--\d+(.*)"","""")"),"SERVINS")</f>
        <v>SERVINS</v>
      </c>
      <c r="E26056" s="38" t="s">
        <v>109</v>
      </c>
      <c r="F26056" s="38" t="s">
        <v>86</v>
      </c>
      <c r="G26056" s="49" t="str">
        <f t="shared" si="1"/>
        <v>62530</v>
      </c>
      <c r="H26056" s="49">
        <f t="shared" si="2"/>
        <v>62793</v>
      </c>
    </row>
    <row r="26057">
      <c r="A26057" s="48" t="s">
        <v>1564</v>
      </c>
      <c r="B26057" s="38">
        <v>45159.0</v>
      </c>
      <c r="C26057" s="38" t="s">
        <v>30546</v>
      </c>
      <c r="D26057" s="38" t="str">
        <f>IFERROR(__xludf.DUMMYFUNCTION("REGEXREPLACE(C26057,""-\d+(.*)|--\d+(.*)"","""")"),"GRANGERMONT")</f>
        <v>GRANGERMONT</v>
      </c>
      <c r="E26057" s="38" t="s">
        <v>122</v>
      </c>
      <c r="F26057" s="38" t="s">
        <v>123</v>
      </c>
      <c r="G26057" s="49" t="str">
        <f t="shared" si="1"/>
        <v>45390</v>
      </c>
      <c r="H26057" s="49">
        <f t="shared" si="2"/>
        <v>45159</v>
      </c>
    </row>
    <row r="26058">
      <c r="A26058" s="48" t="s">
        <v>7192</v>
      </c>
      <c r="B26058" s="38">
        <v>61500.0</v>
      </c>
      <c r="C26058" s="38" t="s">
        <v>30547</v>
      </c>
      <c r="D26058" s="38" t="str">
        <f>IFERROR(__xludf.DUMMYFUNCTION("REGEXREPLACE(C26058,""-\d+(.*)|--\d+(.*)"","""")"),"LA VENTROUZE")</f>
        <v>LA VENTROUZE</v>
      </c>
      <c r="E26058" s="38" t="s">
        <v>141</v>
      </c>
      <c r="F26058" s="38" t="s">
        <v>138</v>
      </c>
      <c r="G26058" s="49" t="str">
        <f t="shared" si="1"/>
        <v>61190</v>
      </c>
      <c r="H26058" s="49">
        <f t="shared" si="2"/>
        <v>61500</v>
      </c>
    </row>
    <row r="26059">
      <c r="A26059" s="48" t="s">
        <v>30548</v>
      </c>
      <c r="B26059" s="38">
        <v>44074.0</v>
      </c>
      <c r="C26059" s="38" t="s">
        <v>30549</v>
      </c>
      <c r="D26059" s="38" t="str">
        <f>IFERROR(__xludf.DUMMYFUNCTION("REGEXREPLACE(C26059,""-\d+(.*)|--\d+(.*)"","""")"),"INDRE")</f>
        <v>INDRE</v>
      </c>
      <c r="E26059" s="38" t="s">
        <v>759</v>
      </c>
      <c r="F26059" s="38" t="s">
        <v>180</v>
      </c>
      <c r="G26059" s="49" t="str">
        <f t="shared" si="1"/>
        <v>44610</v>
      </c>
      <c r="H26059" s="49">
        <f t="shared" si="2"/>
        <v>44074</v>
      </c>
    </row>
    <row r="26060">
      <c r="A26060" s="48" t="s">
        <v>2219</v>
      </c>
      <c r="B26060" s="38">
        <v>2048.0</v>
      </c>
      <c r="C26060" s="38" t="s">
        <v>30550</v>
      </c>
      <c r="D26060" s="38" t="str">
        <f>IFERROR(__xludf.DUMMYFUNCTION("REGEXREPLACE(C26060,""-\d+(.*)|--\d+(.*)"","""")"),"BARENTON-SUR-SERRE")</f>
        <v>BARENTON-SUR-SERRE</v>
      </c>
      <c r="E26060" s="38" t="s">
        <v>191</v>
      </c>
      <c r="F26060" s="38" t="s">
        <v>113</v>
      </c>
      <c r="G26060" s="49" t="str">
        <f t="shared" si="1"/>
        <v>02270</v>
      </c>
      <c r="H26060" s="49" t="str">
        <f t="shared" si="2"/>
        <v>02048</v>
      </c>
    </row>
    <row r="26061">
      <c r="A26061" s="48" t="s">
        <v>13458</v>
      </c>
      <c r="B26061" s="38">
        <v>53038.0</v>
      </c>
      <c r="C26061" s="38" t="s">
        <v>30551</v>
      </c>
      <c r="D26061" s="38" t="str">
        <f>IFERROR(__xludf.DUMMYFUNCTION("REGEXREPLACE(C26061,""-\d+(.*)|--\d+(.*)"","""")"),"BOULAY-LES-IFS")</f>
        <v>BOULAY-LES-IFS</v>
      </c>
      <c r="E26061" s="38" t="s">
        <v>518</v>
      </c>
      <c r="F26061" s="38" t="s">
        <v>180</v>
      </c>
      <c r="G26061" s="49" t="str">
        <f t="shared" si="1"/>
        <v>53370</v>
      </c>
      <c r="H26061" s="49">
        <f t="shared" si="2"/>
        <v>53038</v>
      </c>
    </row>
    <row r="26062">
      <c r="A26062" s="48" t="s">
        <v>148</v>
      </c>
      <c r="B26062" s="38">
        <v>68010.0</v>
      </c>
      <c r="C26062" s="38" t="s">
        <v>28376</v>
      </c>
      <c r="D26062" s="38" t="str">
        <f>IFERROR(__xludf.DUMMYFUNCTION("REGEXREPLACE(C26062,""-\d+(.*)|--\d+(.*)"","""")"),"ASPACH")</f>
        <v>ASPACH</v>
      </c>
      <c r="E26062" s="38" t="s">
        <v>150</v>
      </c>
      <c r="F26062" s="38" t="s">
        <v>151</v>
      </c>
      <c r="G26062" s="49" t="str">
        <f t="shared" si="1"/>
        <v>68130</v>
      </c>
      <c r="H26062" s="49">
        <f t="shared" si="2"/>
        <v>68010</v>
      </c>
    </row>
    <row r="26063">
      <c r="A26063" s="48" t="s">
        <v>394</v>
      </c>
      <c r="B26063" s="38">
        <v>41010.0</v>
      </c>
      <c r="C26063" s="38" t="s">
        <v>18520</v>
      </c>
      <c r="D26063" s="38" t="str">
        <f>IFERROR(__xludf.DUMMYFUNCTION("REGEXREPLACE(C26063,""-\d+(.*)|--\d+(.*)"","""")"),"AZE")</f>
        <v>AZE</v>
      </c>
      <c r="E26063" s="38" t="s">
        <v>188</v>
      </c>
      <c r="F26063" s="38" t="s">
        <v>123</v>
      </c>
      <c r="G26063" s="49" t="str">
        <f t="shared" si="1"/>
        <v>41100</v>
      </c>
      <c r="H26063" s="49">
        <f t="shared" si="2"/>
        <v>41010</v>
      </c>
    </row>
    <row r="26064">
      <c r="A26064" s="48" t="s">
        <v>3967</v>
      </c>
      <c r="B26064" s="38">
        <v>50073.0</v>
      </c>
      <c r="C26064" s="38" t="s">
        <v>30552</v>
      </c>
      <c r="D26064" s="38" t="str">
        <f>IFERROR(__xludf.DUMMYFUNCTION("REGEXREPLACE(C26064,""-\d+(.*)|--\d+(.*)"","""")"),"BRANVILLE-HAGUE")</f>
        <v>BRANVILLE-HAGUE</v>
      </c>
      <c r="E26064" s="38" t="s">
        <v>157</v>
      </c>
      <c r="F26064" s="38" t="s">
        <v>138</v>
      </c>
      <c r="G26064" s="49" t="str">
        <f t="shared" si="1"/>
        <v>50440</v>
      </c>
      <c r="H26064" s="49">
        <f t="shared" si="2"/>
        <v>50073</v>
      </c>
    </row>
    <row r="26065">
      <c r="A26065" s="48" t="s">
        <v>30553</v>
      </c>
      <c r="B26065" s="38">
        <v>37195.0</v>
      </c>
      <c r="C26065" s="38" t="s">
        <v>30554</v>
      </c>
      <c r="D26065" s="38" t="str">
        <f>IFERROR(__xludf.DUMMYFUNCTION("REGEXREPLACE(C26065,""-\d+(.*)|--\d+(.*)"","""")"),"LA RICHE")</f>
        <v>LA RICHE</v>
      </c>
      <c r="E26065" s="38" t="s">
        <v>205</v>
      </c>
      <c r="F26065" s="38" t="s">
        <v>123</v>
      </c>
      <c r="G26065" s="49" t="str">
        <f t="shared" si="1"/>
        <v>37520</v>
      </c>
      <c r="H26065" s="49">
        <f t="shared" si="2"/>
        <v>37195</v>
      </c>
    </row>
    <row r="26066">
      <c r="A26066" s="48" t="s">
        <v>13263</v>
      </c>
      <c r="B26066" s="38">
        <v>50552.0</v>
      </c>
      <c r="C26066" s="38" t="s">
        <v>30555</v>
      </c>
      <c r="D26066" s="38" t="str">
        <f>IFERROR(__xludf.DUMMYFUNCTION("REGEXREPLACE(C26066,""-\d+(.*)|--\d+(.*)"","""")"),"SAINT-SEBASTIEN-DE-RAIDS")</f>
        <v>SAINT-SEBASTIEN-DE-RAIDS</v>
      </c>
      <c r="E26066" s="38" t="s">
        <v>157</v>
      </c>
      <c r="F26066" s="38" t="s">
        <v>138</v>
      </c>
      <c r="G26066" s="49" t="str">
        <f t="shared" si="1"/>
        <v>50190</v>
      </c>
      <c r="H26066" s="49">
        <f t="shared" si="2"/>
        <v>50552</v>
      </c>
    </row>
    <row r="26067">
      <c r="A26067" s="48" t="s">
        <v>16706</v>
      </c>
      <c r="B26067" s="38">
        <v>82147.0</v>
      </c>
      <c r="C26067" s="38" t="s">
        <v>30556</v>
      </c>
      <c r="D26067" s="38" t="str">
        <f>IFERROR(__xludf.DUMMYFUNCTION("REGEXREPLACE(C26067,""-\d+(.*)|--\d+(.*)"","""")"),"PUYLAGARDE")</f>
        <v>PUYLAGARDE</v>
      </c>
      <c r="E26067" s="38" t="s">
        <v>570</v>
      </c>
      <c r="F26067" s="38" t="s">
        <v>94</v>
      </c>
      <c r="G26067" s="49" t="str">
        <f t="shared" si="1"/>
        <v>82160</v>
      </c>
      <c r="H26067" s="49">
        <f t="shared" si="2"/>
        <v>82147</v>
      </c>
    </row>
    <row r="26068">
      <c r="A26068" s="48" t="s">
        <v>9602</v>
      </c>
      <c r="B26068" s="38">
        <v>72248.0</v>
      </c>
      <c r="C26068" s="38" t="s">
        <v>30557</v>
      </c>
      <c r="D26068" s="38" t="str">
        <f>IFERROR(__xludf.DUMMYFUNCTION("REGEXREPLACE(C26068,""-\d+(.*)|--\d+(.*)"","""")"),"PRUILLE-L'EGUILLE")</f>
        <v>PRUILLE-L'EGUILLE</v>
      </c>
      <c r="E26068" s="38" t="s">
        <v>521</v>
      </c>
      <c r="F26068" s="38" t="s">
        <v>180</v>
      </c>
      <c r="G26068" s="49" t="str">
        <f t="shared" si="1"/>
        <v>72150</v>
      </c>
      <c r="H26068" s="49">
        <f t="shared" si="2"/>
        <v>72248</v>
      </c>
    </row>
    <row r="26069">
      <c r="A26069" s="48" t="s">
        <v>12671</v>
      </c>
      <c r="B26069" s="38">
        <v>60165.0</v>
      </c>
      <c r="C26069" s="38" t="s">
        <v>30558</v>
      </c>
      <c r="D26069" s="38" t="str">
        <f>IFERROR(__xludf.DUMMYFUNCTION("REGEXREPLACE(C26069,""-\d+(.*)|--\d+(.*)"","""")"),"LE COUDRAY-SUR-THELLE")</f>
        <v>LE COUDRAY-SUR-THELLE</v>
      </c>
      <c r="E26069" s="38" t="s">
        <v>112</v>
      </c>
      <c r="F26069" s="38" t="s">
        <v>113</v>
      </c>
      <c r="G26069" s="49" t="str">
        <f t="shared" si="1"/>
        <v>60790</v>
      </c>
      <c r="H26069" s="49">
        <f t="shared" si="2"/>
        <v>60165</v>
      </c>
    </row>
    <row r="26070">
      <c r="A26070" s="48" t="s">
        <v>1356</v>
      </c>
      <c r="B26070" s="38">
        <v>57362.0</v>
      </c>
      <c r="C26070" s="38" t="s">
        <v>30559</v>
      </c>
      <c r="D26070" s="38" t="str">
        <f>IFERROR(__xludf.DUMMYFUNCTION("REGEXREPLACE(C26070,""-\d+(.*)|--\d+(.*)"","""")"),"KERPRICH-AUX-BOIS")</f>
        <v>KERPRICH-AUX-BOIS</v>
      </c>
      <c r="E26070" s="38" t="s">
        <v>303</v>
      </c>
      <c r="F26070" s="38" t="s">
        <v>195</v>
      </c>
      <c r="G26070" s="49" t="str">
        <f t="shared" si="1"/>
        <v>57830</v>
      </c>
      <c r="H26070" s="49">
        <f t="shared" si="2"/>
        <v>57362</v>
      </c>
    </row>
    <row r="26071">
      <c r="A26071" s="48" t="s">
        <v>3208</v>
      </c>
      <c r="B26071" s="38">
        <v>80519.0</v>
      </c>
      <c r="C26071" s="38" t="s">
        <v>30560</v>
      </c>
      <c r="D26071" s="38" t="str">
        <f>IFERROR(__xludf.DUMMYFUNCTION("REGEXREPLACE(C26071,""-\d+(.*)|--\d+(.*)"","""")"),"MATIGNY")</f>
        <v>MATIGNY</v>
      </c>
      <c r="E26071" s="38" t="s">
        <v>224</v>
      </c>
      <c r="F26071" s="38" t="s">
        <v>113</v>
      </c>
      <c r="G26071" s="49" t="str">
        <f t="shared" si="1"/>
        <v>80400</v>
      </c>
      <c r="H26071" s="49">
        <f t="shared" si="2"/>
        <v>80519</v>
      </c>
    </row>
    <row r="26072">
      <c r="A26072" s="48" t="s">
        <v>3904</v>
      </c>
      <c r="B26072" s="38">
        <v>43257.0</v>
      </c>
      <c r="C26072" s="38" t="s">
        <v>30561</v>
      </c>
      <c r="D26072" s="38" t="str">
        <f>IFERROR(__xludf.DUMMYFUNCTION("REGEXREPLACE(C26072,""-\d+(.*)|--\d+(.*)"","""")"),"VERGEZAC")</f>
        <v>VERGEZAC</v>
      </c>
      <c r="E26072" s="38" t="s">
        <v>332</v>
      </c>
      <c r="F26072" s="38" t="s">
        <v>161</v>
      </c>
      <c r="G26072" s="49" t="str">
        <f t="shared" si="1"/>
        <v>43320</v>
      </c>
      <c r="H26072" s="49">
        <f t="shared" si="2"/>
        <v>43257</v>
      </c>
    </row>
    <row r="26073">
      <c r="A26073" s="48" t="s">
        <v>1270</v>
      </c>
      <c r="B26073" s="38">
        <v>57263.0</v>
      </c>
      <c r="C26073" s="38" t="s">
        <v>30562</v>
      </c>
      <c r="D26073" s="38" t="str">
        <f>IFERROR(__xludf.DUMMYFUNCTION("REGEXREPLACE(C26073,""-\d+(.*)|--\d+(.*)"","""")"),"GRUNDVILLER")</f>
        <v>GRUNDVILLER</v>
      </c>
      <c r="E26073" s="38" t="s">
        <v>303</v>
      </c>
      <c r="F26073" s="38" t="s">
        <v>195</v>
      </c>
      <c r="G26073" s="49" t="str">
        <f t="shared" si="1"/>
        <v>57510</v>
      </c>
      <c r="H26073" s="49">
        <f t="shared" si="2"/>
        <v>57263</v>
      </c>
    </row>
    <row r="26074">
      <c r="A26074" s="48" t="s">
        <v>11370</v>
      </c>
      <c r="B26074" s="38">
        <v>26066.0</v>
      </c>
      <c r="C26074" s="38" t="s">
        <v>30563</v>
      </c>
      <c r="D26074" s="38" t="str">
        <f>IFERROR(__xludf.DUMMYFUNCTION("REGEXREPLACE(C26074,""-\d+(.*)|--\d+(.*)"","""")"),"LE CHAFFAL")</f>
        <v>LE CHAFFAL</v>
      </c>
      <c r="E26074" s="38" t="s">
        <v>126</v>
      </c>
      <c r="F26074" s="38" t="s">
        <v>102</v>
      </c>
      <c r="G26074" s="49" t="str">
        <f t="shared" si="1"/>
        <v>26190</v>
      </c>
      <c r="H26074" s="49">
        <f t="shared" si="2"/>
        <v>26066</v>
      </c>
    </row>
    <row r="26075">
      <c r="A26075" s="48" t="s">
        <v>23298</v>
      </c>
      <c r="B26075" s="38">
        <v>87181.0</v>
      </c>
      <c r="C26075" s="38" t="s">
        <v>30564</v>
      </c>
      <c r="D26075" s="38" t="str">
        <f>IFERROR(__xludf.DUMMYFUNCTION("REGEXREPLACE(C26075,""-\d+(.*)|--\d+(.*)"","""")"),"SAINT-SULPICE-LAURIERE")</f>
        <v>SAINT-SULPICE-LAURIERE</v>
      </c>
      <c r="E26075" s="38" t="s">
        <v>897</v>
      </c>
      <c r="F26075" s="38" t="s">
        <v>98</v>
      </c>
      <c r="G26075" s="49" t="str">
        <f t="shared" si="1"/>
        <v>87370</v>
      </c>
      <c r="H26075" s="49">
        <f t="shared" si="2"/>
        <v>87181</v>
      </c>
    </row>
    <row r="26076">
      <c r="A26076" s="48" t="s">
        <v>3892</v>
      </c>
      <c r="B26076" s="38">
        <v>42059.0</v>
      </c>
      <c r="C26076" s="38" t="s">
        <v>30565</v>
      </c>
      <c r="D26076" s="38" t="str">
        <f>IFERROR(__xludf.DUMMYFUNCTION("REGEXREPLACE(C26076,""-\d+(.*)|--\d+(.*)"","""")"),"CHAZELLES-SUR-LYON")</f>
        <v>CHAZELLES-SUR-LYON</v>
      </c>
      <c r="E26076" s="38" t="s">
        <v>166</v>
      </c>
      <c r="F26076" s="38" t="s">
        <v>102</v>
      </c>
      <c r="G26076" s="49" t="str">
        <f t="shared" si="1"/>
        <v>42140</v>
      </c>
      <c r="H26076" s="49">
        <f t="shared" si="2"/>
        <v>42059</v>
      </c>
    </row>
    <row r="26077">
      <c r="A26077" s="48" t="s">
        <v>4344</v>
      </c>
      <c r="B26077" s="38">
        <v>14370.0</v>
      </c>
      <c r="C26077" s="38" t="s">
        <v>30566</v>
      </c>
      <c r="D26077" s="38" t="str">
        <f>IFERROR(__xludf.DUMMYFUNCTION("REGEXREPLACE(C26077,""-\d+(.*)|--\d+(.*)"","""")"),"LE MOLAY-LITTRY")</f>
        <v>LE MOLAY-LITTRY</v>
      </c>
      <c r="E26077" s="38" t="s">
        <v>137</v>
      </c>
      <c r="F26077" s="38" t="s">
        <v>138</v>
      </c>
      <c r="G26077" s="49" t="str">
        <f t="shared" si="1"/>
        <v>14330</v>
      </c>
      <c r="H26077" s="49">
        <f t="shared" si="2"/>
        <v>14370</v>
      </c>
    </row>
    <row r="26078">
      <c r="A26078" s="48" t="s">
        <v>284</v>
      </c>
      <c r="B26078" s="38">
        <v>60071.0</v>
      </c>
      <c r="C26078" s="38" t="s">
        <v>30567</v>
      </c>
      <c r="D26078" s="38" t="str">
        <f>IFERROR(__xludf.DUMMYFUNCTION("REGEXREPLACE(C26078,""-\d+(.*)|--\d+(.*)"","""")"),"BIERMONT")</f>
        <v>BIERMONT</v>
      </c>
      <c r="E26078" s="38" t="s">
        <v>112</v>
      </c>
      <c r="F26078" s="38" t="s">
        <v>113</v>
      </c>
      <c r="G26078" s="49" t="str">
        <f t="shared" si="1"/>
        <v>60490</v>
      </c>
      <c r="H26078" s="49">
        <f t="shared" si="2"/>
        <v>60071</v>
      </c>
    </row>
    <row r="26079">
      <c r="A26079" s="48" t="s">
        <v>5170</v>
      </c>
      <c r="B26079" s="38">
        <v>47025.0</v>
      </c>
      <c r="C26079" s="38" t="s">
        <v>30568</v>
      </c>
      <c r="D26079" s="38" t="str">
        <f>IFERROR(__xludf.DUMMYFUNCTION("REGEXREPLACE(C26079,""-\d+(.*)|--\d+(.*)"","""")"),"BEAUVILLE")</f>
        <v>BEAUVILLE</v>
      </c>
      <c r="E26079" s="38" t="s">
        <v>251</v>
      </c>
      <c r="F26079" s="38" t="s">
        <v>252</v>
      </c>
      <c r="G26079" s="49" t="str">
        <f t="shared" si="1"/>
        <v>47470</v>
      </c>
      <c r="H26079" s="49">
        <f t="shared" si="2"/>
        <v>47025</v>
      </c>
    </row>
    <row r="26080">
      <c r="A26080" s="48" t="s">
        <v>10710</v>
      </c>
      <c r="B26080" s="38">
        <v>77141.0</v>
      </c>
      <c r="C26080" s="38" t="s">
        <v>30569</v>
      </c>
      <c r="D26080" s="38" t="str">
        <f>IFERROR(__xludf.DUMMYFUNCTION("REGEXREPLACE(C26080,""-\d+(.*)|--\d+(.*)"","""")"),"COUTEVROULT")</f>
        <v>COUTEVROULT</v>
      </c>
      <c r="E26080" s="38" t="s">
        <v>244</v>
      </c>
      <c r="F26080" s="38" t="s">
        <v>245</v>
      </c>
      <c r="G26080" s="49" t="str">
        <f t="shared" si="1"/>
        <v>77580</v>
      </c>
      <c r="H26080" s="49">
        <f t="shared" si="2"/>
        <v>77141</v>
      </c>
    </row>
    <row r="26081">
      <c r="A26081" s="48" t="s">
        <v>20221</v>
      </c>
      <c r="B26081" s="38">
        <v>27429.0</v>
      </c>
      <c r="C26081" s="38" t="s">
        <v>24284</v>
      </c>
      <c r="D26081" s="38" t="str">
        <f>IFERROR(__xludf.DUMMYFUNCTION("REGEXREPLACE(C26081,""-\d+(.*)|--\d+(.*)"","""")"),"NEUILLY")</f>
        <v>NEUILLY</v>
      </c>
      <c r="E26081" s="38" t="s">
        <v>241</v>
      </c>
      <c r="F26081" s="38" t="s">
        <v>134</v>
      </c>
      <c r="G26081" s="49" t="str">
        <f t="shared" si="1"/>
        <v>27730</v>
      </c>
      <c r="H26081" s="49">
        <f t="shared" si="2"/>
        <v>27429</v>
      </c>
    </row>
    <row r="26082">
      <c r="A26082" s="48" t="s">
        <v>553</v>
      </c>
      <c r="B26082" s="38">
        <v>85280.0</v>
      </c>
      <c r="C26082" s="38" t="s">
        <v>30570</v>
      </c>
      <c r="D26082" s="38" t="str">
        <f>IFERROR(__xludf.DUMMYFUNCTION("REGEXREPLACE(C26082,""-\d+(.*)|--\d+(.*)"","""")"),"SALLERTAINE")</f>
        <v>SALLERTAINE</v>
      </c>
      <c r="E26082" s="38" t="s">
        <v>179</v>
      </c>
      <c r="F26082" s="38" t="s">
        <v>180</v>
      </c>
      <c r="G26082" s="49" t="str">
        <f t="shared" si="1"/>
        <v>85300</v>
      </c>
      <c r="H26082" s="49">
        <f t="shared" si="2"/>
        <v>85280</v>
      </c>
    </row>
    <row r="26083">
      <c r="A26083" s="48" t="s">
        <v>5241</v>
      </c>
      <c r="B26083" s="38">
        <v>36026.0</v>
      </c>
      <c r="C26083" s="38" t="s">
        <v>17120</v>
      </c>
      <c r="D26083" s="38" t="str">
        <f>IFERROR(__xludf.DUMMYFUNCTION("REGEXREPLACE(C26083,""-\d+(.*)|--\d+(.*)"","""")"),"BRION")</f>
        <v>BRION</v>
      </c>
      <c r="E26083" s="38" t="s">
        <v>258</v>
      </c>
      <c r="F26083" s="38" t="s">
        <v>123</v>
      </c>
      <c r="G26083" s="49" t="str">
        <f t="shared" si="1"/>
        <v>36110</v>
      </c>
      <c r="H26083" s="49">
        <f t="shared" si="2"/>
        <v>36026</v>
      </c>
    </row>
    <row r="26084">
      <c r="A26084" s="48" t="s">
        <v>5687</v>
      </c>
      <c r="B26084" s="38">
        <v>3075.0</v>
      </c>
      <c r="C26084" s="38" t="s">
        <v>30571</v>
      </c>
      <c r="D26084" s="38" t="str">
        <f>IFERROR(__xludf.DUMMYFUNCTION("REGEXREPLACE(C26084,""-\d+(.*)|--\d+(.*)"","""")"),"CHEZELLE")</f>
        <v>CHEZELLE</v>
      </c>
      <c r="E26084" s="38" t="s">
        <v>160</v>
      </c>
      <c r="F26084" s="38" t="s">
        <v>161</v>
      </c>
      <c r="G26084" s="49" t="str">
        <f t="shared" si="1"/>
        <v>03140</v>
      </c>
      <c r="H26084" s="49" t="str">
        <f t="shared" si="2"/>
        <v>03075</v>
      </c>
    </row>
    <row r="26085">
      <c r="A26085" s="48" t="s">
        <v>789</v>
      </c>
      <c r="B26085" s="38">
        <v>10080.0</v>
      </c>
      <c r="C26085" s="38" t="s">
        <v>30572</v>
      </c>
      <c r="D26085" s="38" t="str">
        <f>IFERROR(__xludf.DUMMYFUNCTION("REGEXREPLACE(C26085,""-\d+(.*)|--\d+(.*)"","""")"),"CHAOURCE")</f>
        <v>CHAOURCE</v>
      </c>
      <c r="E26085" s="38" t="s">
        <v>147</v>
      </c>
      <c r="F26085" s="38" t="s">
        <v>130</v>
      </c>
      <c r="G26085" s="49" t="str">
        <f t="shared" si="1"/>
        <v>10210</v>
      </c>
      <c r="H26085" s="49">
        <f t="shared" si="2"/>
        <v>10080</v>
      </c>
    </row>
    <row r="26086">
      <c r="A26086" s="48" t="s">
        <v>10433</v>
      </c>
      <c r="B26086" s="38">
        <v>46285.0</v>
      </c>
      <c r="C26086" s="38" t="s">
        <v>12073</v>
      </c>
      <c r="D26086" s="38" t="str">
        <f>IFERROR(__xludf.DUMMYFUNCTION("REGEXREPLACE(C26086,""-\d+(.*)|--\d+(.*)"","""")"),"SAINT-PANTALEON")</f>
        <v>SAINT-PANTALEON</v>
      </c>
      <c r="E26086" s="38" t="s">
        <v>185</v>
      </c>
      <c r="F26086" s="38" t="s">
        <v>94</v>
      </c>
      <c r="G26086" s="49" t="str">
        <f t="shared" si="1"/>
        <v>46800</v>
      </c>
      <c r="H26086" s="49">
        <f t="shared" si="2"/>
        <v>46285</v>
      </c>
    </row>
    <row r="26087">
      <c r="A26087" s="48" t="s">
        <v>11738</v>
      </c>
      <c r="B26087" s="38">
        <v>56241.0</v>
      </c>
      <c r="C26087" s="38" t="s">
        <v>30573</v>
      </c>
      <c r="D26087" s="38" t="str">
        <f>IFERROR(__xludf.DUMMYFUNCTION("REGEXREPLACE(C26087,""-\d+(.*)|--\d+(.*)"","""")"),"SAUZON")</f>
        <v>SAUZON</v>
      </c>
      <c r="E26087" s="38" t="s">
        <v>173</v>
      </c>
      <c r="F26087" s="38" t="s">
        <v>90</v>
      </c>
      <c r="G26087" s="49" t="str">
        <f t="shared" si="1"/>
        <v>56360</v>
      </c>
      <c r="H26087" s="49">
        <f t="shared" si="2"/>
        <v>56241</v>
      </c>
    </row>
    <row r="26088">
      <c r="A26088" s="48" t="s">
        <v>549</v>
      </c>
      <c r="B26088" s="38">
        <v>55084.0</v>
      </c>
      <c r="C26088" s="38" t="s">
        <v>30574</v>
      </c>
      <c r="D26088" s="38" t="str">
        <f>IFERROR(__xludf.DUMMYFUNCTION("REGEXREPLACE(C26088,""-\d+(.*)|--\d+(.*)"","""")"),"BROUSSEY-EN-BLOIS")</f>
        <v>BROUSSEY-EN-BLOIS</v>
      </c>
      <c r="E26088" s="38" t="s">
        <v>322</v>
      </c>
      <c r="F26088" s="38" t="s">
        <v>195</v>
      </c>
      <c r="G26088" s="49" t="str">
        <f t="shared" si="1"/>
        <v>55190</v>
      </c>
      <c r="H26088" s="49">
        <f t="shared" si="2"/>
        <v>55084</v>
      </c>
    </row>
    <row r="26089">
      <c r="A26089" s="48" t="s">
        <v>22600</v>
      </c>
      <c r="B26089" s="38">
        <v>68270.0</v>
      </c>
      <c r="C26089" s="38" t="s">
        <v>30575</v>
      </c>
      <c r="D26089" s="38" t="str">
        <f>IFERROR(__xludf.DUMMYFUNCTION("REGEXREPLACE(C26089,""-\d+(.*)|--\d+(.*)"","""")"),"RICHWILLER")</f>
        <v>RICHWILLER</v>
      </c>
      <c r="E26089" s="38" t="s">
        <v>150</v>
      </c>
      <c r="F26089" s="38" t="s">
        <v>151</v>
      </c>
      <c r="G26089" s="49" t="str">
        <f t="shared" si="1"/>
        <v>68120</v>
      </c>
      <c r="H26089" s="49">
        <f t="shared" si="2"/>
        <v>68270</v>
      </c>
    </row>
    <row r="26090">
      <c r="A26090" s="48" t="s">
        <v>5513</v>
      </c>
      <c r="B26090" s="38">
        <v>57501.0</v>
      </c>
      <c r="C26090" s="38" t="s">
        <v>30576</v>
      </c>
      <c r="D26090" s="38" t="str">
        <f>IFERROR(__xludf.DUMMYFUNCTION("REGEXREPLACE(C26090,""-\d+(.*)|--\d+(.*)"","""")"),"NEUFVILLAGE")</f>
        <v>NEUFVILLAGE</v>
      </c>
      <c r="E26090" s="38" t="s">
        <v>303</v>
      </c>
      <c r="F26090" s="38" t="s">
        <v>195</v>
      </c>
      <c r="G26090" s="49" t="str">
        <f t="shared" si="1"/>
        <v>57670</v>
      </c>
      <c r="H26090" s="49">
        <f t="shared" si="2"/>
        <v>57501</v>
      </c>
    </row>
    <row r="26091">
      <c r="A26091" s="48" t="s">
        <v>1058</v>
      </c>
      <c r="B26091" s="38">
        <v>21189.0</v>
      </c>
      <c r="C26091" s="38" t="s">
        <v>30577</v>
      </c>
      <c r="D26091" s="38" t="str">
        <f>IFERROR(__xludf.DUMMYFUNCTION("REGEXREPLACE(C26091,""-\d+(.*)|--\d+(.*)"","""")"),"CORBERON")</f>
        <v>CORBERON</v>
      </c>
      <c r="E26091" s="38" t="s">
        <v>105</v>
      </c>
      <c r="F26091" s="38" t="s">
        <v>106</v>
      </c>
      <c r="G26091" s="49" t="str">
        <f t="shared" si="1"/>
        <v>21250</v>
      </c>
      <c r="H26091" s="49">
        <f t="shared" si="2"/>
        <v>21189</v>
      </c>
    </row>
    <row r="26092">
      <c r="A26092" s="48" t="s">
        <v>6021</v>
      </c>
      <c r="B26092" s="38">
        <v>30342.0</v>
      </c>
      <c r="C26092" s="38" t="s">
        <v>30578</v>
      </c>
      <c r="D26092" s="38" t="str">
        <f>IFERROR(__xludf.DUMMYFUNCTION("REGEXREPLACE(C26092,""-\d+(.*)|--\d+(.*)"","""")"),"VENEJAN")</f>
        <v>VENEJAN</v>
      </c>
      <c r="E26092" s="38" t="s">
        <v>526</v>
      </c>
      <c r="F26092" s="38" t="s">
        <v>119</v>
      </c>
      <c r="G26092" s="49" t="str">
        <f t="shared" si="1"/>
        <v>30200</v>
      </c>
      <c r="H26092" s="49">
        <f t="shared" si="2"/>
        <v>30342</v>
      </c>
    </row>
    <row r="26093">
      <c r="A26093" s="48" t="s">
        <v>15006</v>
      </c>
      <c r="B26093" s="38">
        <v>59632.0</v>
      </c>
      <c r="C26093" s="38" t="s">
        <v>30579</v>
      </c>
      <c r="D26093" s="38" t="str">
        <f>IFERROR(__xludf.DUMMYFUNCTION("REGEXREPLACE(C26093,""-\d+(.*)|--\d+(.*)"","""")"),"WALLERS")</f>
        <v>WALLERS</v>
      </c>
      <c r="E26093" s="38" t="s">
        <v>85</v>
      </c>
      <c r="F26093" s="38" t="s">
        <v>86</v>
      </c>
      <c r="G26093" s="49" t="str">
        <f t="shared" si="1"/>
        <v>59135</v>
      </c>
      <c r="H26093" s="49">
        <f t="shared" si="2"/>
        <v>59632</v>
      </c>
    </row>
    <row r="26094">
      <c r="A26094" s="48" t="s">
        <v>6899</v>
      </c>
      <c r="B26094" s="38">
        <v>60382.0</v>
      </c>
      <c r="C26094" s="38" t="s">
        <v>30580</v>
      </c>
      <c r="D26094" s="38" t="str">
        <f>IFERROR(__xludf.DUMMYFUNCTION("REGEXREPLACE(C26094,""-\d+(.*)|--\d+(.*)"","""")"),"MARGNY-LES-COMPIEGNE")</f>
        <v>MARGNY-LES-COMPIEGNE</v>
      </c>
      <c r="E26094" s="38" t="s">
        <v>112</v>
      </c>
      <c r="F26094" s="38" t="s">
        <v>113</v>
      </c>
      <c r="G26094" s="49" t="str">
        <f t="shared" si="1"/>
        <v>60280</v>
      </c>
      <c r="H26094" s="49">
        <f t="shared" si="2"/>
        <v>60382</v>
      </c>
    </row>
    <row r="26095">
      <c r="A26095" s="48" t="s">
        <v>8873</v>
      </c>
      <c r="B26095" s="38">
        <v>34145.0</v>
      </c>
      <c r="C26095" s="38" t="s">
        <v>30581</v>
      </c>
      <c r="D26095" s="38" t="str">
        <f>IFERROR(__xludf.DUMMYFUNCTION("REGEXREPLACE(C26095,""-\d+(.*)|--\d+(.*)"","""")"),"LUNEL")</f>
        <v>LUNEL</v>
      </c>
      <c r="E26095" s="38" t="s">
        <v>118</v>
      </c>
      <c r="F26095" s="38" t="s">
        <v>119</v>
      </c>
      <c r="G26095" s="49" t="str">
        <f t="shared" si="1"/>
        <v>34400</v>
      </c>
      <c r="H26095" s="49">
        <f t="shared" si="2"/>
        <v>34145</v>
      </c>
    </row>
    <row r="26096">
      <c r="A26096" s="48" t="s">
        <v>15790</v>
      </c>
      <c r="B26096" s="38">
        <v>1336.0</v>
      </c>
      <c r="C26096" s="38" t="s">
        <v>30582</v>
      </c>
      <c r="D26096" s="38" t="str">
        <f>IFERROR(__xludf.DUMMYFUNCTION("REGEXREPLACE(C26096,""-\d+(.*)|--\d+(.*)"","""")"),"SAINT-ANDRE-SUR-VIEUX-JONC")</f>
        <v>SAINT-ANDRE-SUR-VIEUX-JONC</v>
      </c>
      <c r="E26096" s="38" t="s">
        <v>255</v>
      </c>
      <c r="F26096" s="38" t="s">
        <v>102</v>
      </c>
      <c r="G26096" s="49" t="str">
        <f t="shared" si="1"/>
        <v>01960</v>
      </c>
      <c r="H26096" s="49" t="str">
        <f t="shared" si="2"/>
        <v>01336</v>
      </c>
    </row>
    <row r="26097">
      <c r="A26097" s="48" t="s">
        <v>9313</v>
      </c>
      <c r="B26097" s="38">
        <v>39560.0</v>
      </c>
      <c r="C26097" s="38" t="s">
        <v>30583</v>
      </c>
      <c r="D26097" s="38" t="str">
        <f>IFERROR(__xludf.DUMMYFUNCTION("REGEXREPLACE(C26097,""-\d+(.*)|--\d+(.*)"","""")"),"VILLARD-SAINT-SAUVEUR")</f>
        <v>VILLARD-SAINT-SAUVEUR</v>
      </c>
      <c r="E26097" s="38" t="s">
        <v>400</v>
      </c>
      <c r="F26097" s="38" t="s">
        <v>214</v>
      </c>
      <c r="G26097" s="49" t="str">
        <f t="shared" si="1"/>
        <v>39200</v>
      </c>
      <c r="H26097" s="49">
        <f t="shared" si="2"/>
        <v>39560</v>
      </c>
    </row>
    <row r="26098">
      <c r="A26098" s="48" t="s">
        <v>2519</v>
      </c>
      <c r="B26098" s="38">
        <v>80299.0</v>
      </c>
      <c r="C26098" s="38" t="s">
        <v>30584</v>
      </c>
      <c r="D26098" s="38" t="str">
        <f>IFERROR(__xludf.DUMMYFUNCTION("REGEXREPLACE(C26098,""-\d+(.*)|--\d+(.*)"","""")"),"LA FALOISE")</f>
        <v>LA FALOISE</v>
      </c>
      <c r="E26098" s="38" t="s">
        <v>224</v>
      </c>
      <c r="F26098" s="38" t="s">
        <v>113</v>
      </c>
      <c r="G26098" s="49" t="str">
        <f t="shared" si="1"/>
        <v>80250</v>
      </c>
      <c r="H26098" s="49">
        <f t="shared" si="2"/>
        <v>80299</v>
      </c>
    </row>
    <row r="26099">
      <c r="A26099" s="48" t="s">
        <v>9077</v>
      </c>
      <c r="B26099" s="38">
        <v>19082.0</v>
      </c>
      <c r="C26099" s="38" t="s">
        <v>30585</v>
      </c>
      <c r="D26099" s="38" t="str">
        <f>IFERROR(__xludf.DUMMYFUNCTION("REGEXREPLACE(C26099,""-\d+(.*)|--\d+(.*)"","""")"),"FAVARS")</f>
        <v>FAVARS</v>
      </c>
      <c r="E26099" s="38" t="s">
        <v>271</v>
      </c>
      <c r="F26099" s="38" t="s">
        <v>98</v>
      </c>
      <c r="G26099" s="49" t="str">
        <f t="shared" si="1"/>
        <v>19330</v>
      </c>
      <c r="H26099" s="49">
        <f t="shared" si="2"/>
        <v>19082</v>
      </c>
    </row>
    <row r="26100">
      <c r="A26100" s="48" t="s">
        <v>2292</v>
      </c>
      <c r="B26100" s="38">
        <v>76177.0</v>
      </c>
      <c r="C26100" s="38" t="s">
        <v>30586</v>
      </c>
      <c r="D26100" s="38" t="str">
        <f>IFERROR(__xludf.DUMMYFUNCTION("REGEXREPLACE(C26100,""-\d+(.*)|--\d+(.*)"","""")"),"CLAVILLE-MOTTEVILLE")</f>
        <v>CLAVILLE-MOTTEVILLE</v>
      </c>
      <c r="E26100" s="38" t="s">
        <v>133</v>
      </c>
      <c r="F26100" s="38" t="s">
        <v>134</v>
      </c>
      <c r="G26100" s="49" t="str">
        <f t="shared" si="1"/>
        <v>76690</v>
      </c>
      <c r="H26100" s="49">
        <f t="shared" si="2"/>
        <v>76177</v>
      </c>
    </row>
    <row r="26101">
      <c r="A26101" s="48" t="s">
        <v>17543</v>
      </c>
      <c r="B26101" s="38">
        <v>56185.0</v>
      </c>
      <c r="C26101" s="38" t="s">
        <v>30587</v>
      </c>
      <c r="D26101" s="38" t="str">
        <f>IFERROR(__xludf.DUMMYFUNCTION("REGEXREPLACE(C26101,""-\d+(.*)|--\d+(.*)"","""")"),"QUEVEN")</f>
        <v>QUEVEN</v>
      </c>
      <c r="E26101" s="38" t="s">
        <v>173</v>
      </c>
      <c r="F26101" s="38" t="s">
        <v>90</v>
      </c>
      <c r="G26101" s="49" t="str">
        <f t="shared" si="1"/>
        <v>56530</v>
      </c>
      <c r="H26101" s="49">
        <f t="shared" si="2"/>
        <v>56185</v>
      </c>
    </row>
    <row r="26102">
      <c r="A26102" s="48" t="s">
        <v>3015</v>
      </c>
      <c r="B26102" s="38">
        <v>16033.0</v>
      </c>
      <c r="C26102" s="38" t="s">
        <v>30588</v>
      </c>
      <c r="D26102" s="38" t="str">
        <f>IFERROR(__xludf.DUMMYFUNCTION("REGEXREPLACE(C26102,""-\d+(.*)|--\d+(.*)"","""")"),"BAYERS")</f>
        <v>BAYERS</v>
      </c>
      <c r="E26102" s="38" t="s">
        <v>429</v>
      </c>
      <c r="F26102" s="38" t="s">
        <v>338</v>
      </c>
      <c r="G26102" s="49" t="str">
        <f t="shared" si="1"/>
        <v>16460</v>
      </c>
      <c r="H26102" s="49">
        <f t="shared" si="2"/>
        <v>16033</v>
      </c>
    </row>
    <row r="26103">
      <c r="A26103" s="48" t="s">
        <v>6951</v>
      </c>
      <c r="B26103" s="38">
        <v>58223.0</v>
      </c>
      <c r="C26103" s="38" t="s">
        <v>30589</v>
      </c>
      <c r="D26103" s="38" t="str">
        <f>IFERROR(__xludf.DUMMYFUNCTION("REGEXREPLACE(C26103,""-\d+(.*)|--\d+(.*)"","""")"),"ROUY")</f>
        <v>ROUY</v>
      </c>
      <c r="E26103" s="38" t="s">
        <v>219</v>
      </c>
      <c r="F26103" s="38" t="s">
        <v>106</v>
      </c>
      <c r="G26103" s="49" t="str">
        <f t="shared" si="1"/>
        <v>58110</v>
      </c>
      <c r="H26103" s="49">
        <f t="shared" si="2"/>
        <v>58223</v>
      </c>
    </row>
    <row r="26104">
      <c r="A26104" s="48" t="s">
        <v>358</v>
      </c>
      <c r="B26104" s="38">
        <v>10061.0</v>
      </c>
      <c r="C26104" s="38" t="s">
        <v>30590</v>
      </c>
      <c r="D26104" s="38" t="str">
        <f>IFERROR(__xludf.DUMMYFUNCTION("REGEXREPLACE(C26104,""-\d+(.*)|--\d+(.*)"","""")"),"BREVONNES")</f>
        <v>BREVONNES</v>
      </c>
      <c r="E26104" s="38" t="s">
        <v>147</v>
      </c>
      <c r="F26104" s="38" t="s">
        <v>130</v>
      </c>
      <c r="G26104" s="49" t="str">
        <f t="shared" si="1"/>
        <v>10220</v>
      </c>
      <c r="H26104" s="49">
        <f t="shared" si="2"/>
        <v>10061</v>
      </c>
    </row>
    <row r="26105">
      <c r="A26105" s="48" t="s">
        <v>1104</v>
      </c>
      <c r="B26105" s="38">
        <v>52341.0</v>
      </c>
      <c r="C26105" s="38" t="s">
        <v>30591</v>
      </c>
      <c r="D26105" s="38" t="str">
        <f>IFERROR(__xludf.DUMMYFUNCTION("REGEXREPLACE(C26105,""-\d+(.*)|--\d+(.*)"","""")"),"MORANCOURT")</f>
        <v>MORANCOURT</v>
      </c>
      <c r="E26105" s="38" t="s">
        <v>234</v>
      </c>
      <c r="F26105" s="38" t="s">
        <v>130</v>
      </c>
      <c r="G26105" s="49" t="str">
        <f t="shared" si="1"/>
        <v>52110</v>
      </c>
      <c r="H26105" s="49">
        <f t="shared" si="2"/>
        <v>52341</v>
      </c>
    </row>
    <row r="26106">
      <c r="A26106" s="48" t="s">
        <v>586</v>
      </c>
      <c r="B26106" s="38">
        <v>67330.0</v>
      </c>
      <c r="C26106" s="38" t="s">
        <v>30592</v>
      </c>
      <c r="D26106" s="38" t="str">
        <f>IFERROR(__xludf.DUMMYFUNCTION("REGEXREPLACE(C26106,""-\d+(.*)|--\d+(.*)"","""")"),"NIEDERROEDERN")</f>
        <v>NIEDERROEDERN</v>
      </c>
      <c r="E26106" s="38" t="s">
        <v>210</v>
      </c>
      <c r="F26106" s="38" t="s">
        <v>151</v>
      </c>
      <c r="G26106" s="49" t="str">
        <f t="shared" si="1"/>
        <v>67470</v>
      </c>
      <c r="H26106" s="49">
        <f t="shared" si="2"/>
        <v>67330</v>
      </c>
    </row>
    <row r="26107">
      <c r="A26107" s="48" t="s">
        <v>1212</v>
      </c>
      <c r="B26107" s="38">
        <v>11332.0</v>
      </c>
      <c r="C26107" s="38" t="s">
        <v>30593</v>
      </c>
      <c r="D26107" s="38" t="str">
        <f>IFERROR(__xludf.DUMMYFUNCTION("REGEXREPLACE(C26107,""-\d+(.*)|--\d+(.*)"","""")"),"SAINT-ANDRE-DE-ROQUELONGUE")</f>
        <v>SAINT-ANDRE-DE-ROQUELONGUE</v>
      </c>
      <c r="E26107" s="38" t="s">
        <v>278</v>
      </c>
      <c r="F26107" s="38" t="s">
        <v>119</v>
      </c>
      <c r="G26107" s="49" t="str">
        <f t="shared" si="1"/>
        <v>11200</v>
      </c>
      <c r="H26107" s="49">
        <f t="shared" si="2"/>
        <v>11332</v>
      </c>
    </row>
    <row r="26108">
      <c r="A26108" s="48" t="s">
        <v>698</v>
      </c>
      <c r="B26108" s="38">
        <v>11440.0</v>
      </c>
      <c r="C26108" s="38" t="s">
        <v>30594</v>
      </c>
      <c r="D26108" s="38" t="str">
        <f>IFERROR(__xludf.DUMMYFUNCTION("REGEXREPLACE(C26108,""-\d+(.*)|--\d+(.*)"","""")"),"VILLETRITOULS")</f>
        <v>VILLETRITOULS</v>
      </c>
      <c r="E26108" s="38" t="s">
        <v>278</v>
      </c>
      <c r="F26108" s="38" t="s">
        <v>119</v>
      </c>
      <c r="G26108" s="49" t="str">
        <f t="shared" si="1"/>
        <v>11220</v>
      </c>
      <c r="H26108" s="49">
        <f t="shared" si="2"/>
        <v>11440</v>
      </c>
    </row>
    <row r="26109">
      <c r="A26109" s="48" t="s">
        <v>2592</v>
      </c>
      <c r="B26109" s="38">
        <v>34222.0</v>
      </c>
      <c r="C26109" s="38" t="s">
        <v>30595</v>
      </c>
      <c r="D26109" s="38" t="str">
        <f>IFERROR(__xludf.DUMMYFUNCTION("REGEXREPLACE(C26109,""-\d+(.*)|--\d+(.*)"","""")"),"PUILACHER")</f>
        <v>PUILACHER</v>
      </c>
      <c r="E26109" s="38" t="s">
        <v>118</v>
      </c>
      <c r="F26109" s="38" t="s">
        <v>119</v>
      </c>
      <c r="G26109" s="49" t="str">
        <f t="shared" si="1"/>
        <v>34230</v>
      </c>
      <c r="H26109" s="49">
        <f t="shared" si="2"/>
        <v>34222</v>
      </c>
    </row>
    <row r="26110">
      <c r="A26110" s="48" t="s">
        <v>192</v>
      </c>
      <c r="B26110" s="38">
        <v>88493.0</v>
      </c>
      <c r="C26110" s="38" t="s">
        <v>30596</v>
      </c>
      <c r="D26110" s="38" t="str">
        <f>IFERROR(__xludf.DUMMYFUNCTION("REGEXREPLACE(C26110,""-\d+(.*)|--\d+(.*)"","""")"),"VARMONZEY")</f>
        <v>VARMONZEY</v>
      </c>
      <c r="E26110" s="38" t="s">
        <v>194</v>
      </c>
      <c r="F26110" s="38" t="s">
        <v>195</v>
      </c>
      <c r="G26110" s="49" t="str">
        <f t="shared" si="1"/>
        <v>88450</v>
      </c>
      <c r="H26110" s="49">
        <f t="shared" si="2"/>
        <v>88493</v>
      </c>
    </row>
    <row r="26111">
      <c r="A26111" s="48" t="s">
        <v>4323</v>
      </c>
      <c r="B26111" s="38">
        <v>30005.0</v>
      </c>
      <c r="C26111" s="38" t="s">
        <v>30597</v>
      </c>
      <c r="D26111" s="38" t="str">
        <f>IFERROR(__xludf.DUMMYFUNCTION("REGEXREPLACE(C26111,""-\d+(.*)|--\d+(.*)"","""")"),"AIGUEZE")</f>
        <v>AIGUEZE</v>
      </c>
      <c r="E26111" s="38" t="s">
        <v>526</v>
      </c>
      <c r="F26111" s="38" t="s">
        <v>119</v>
      </c>
      <c r="G26111" s="49" t="str">
        <f t="shared" si="1"/>
        <v>30760</v>
      </c>
      <c r="H26111" s="49">
        <f t="shared" si="2"/>
        <v>30005</v>
      </c>
    </row>
    <row r="26112">
      <c r="A26112" s="48" t="s">
        <v>20901</v>
      </c>
      <c r="B26112" s="38">
        <v>3227.0</v>
      </c>
      <c r="C26112" s="38" t="s">
        <v>30598</v>
      </c>
      <c r="D26112" s="38" t="str">
        <f>IFERROR(__xludf.DUMMYFUNCTION("REGEXREPLACE(C26112,""-\d+(.*)|--\d+(.*)"","""")"),"SAINT-DIDIER-LA-FORET")</f>
        <v>SAINT-DIDIER-LA-FORET</v>
      </c>
      <c r="E26112" s="38" t="s">
        <v>160</v>
      </c>
      <c r="F26112" s="38" t="s">
        <v>161</v>
      </c>
      <c r="G26112" s="49" t="str">
        <f t="shared" si="1"/>
        <v>03110</v>
      </c>
      <c r="H26112" s="49" t="str">
        <f t="shared" si="2"/>
        <v>03227</v>
      </c>
    </row>
    <row r="26113">
      <c r="A26113" s="48" t="s">
        <v>948</v>
      </c>
      <c r="B26113" s="38">
        <v>68031.0</v>
      </c>
      <c r="C26113" s="38" t="s">
        <v>30599</v>
      </c>
      <c r="D26113" s="38" t="str">
        <f>IFERROR(__xludf.DUMMYFUNCTION("REGEXREPLACE(C26113,""-\d+(.*)|--\d+(.*)"","""")"),"BERNWILLER")</f>
        <v>BERNWILLER</v>
      </c>
      <c r="E26113" s="38" t="s">
        <v>150</v>
      </c>
      <c r="F26113" s="38" t="s">
        <v>151</v>
      </c>
      <c r="G26113" s="49" t="str">
        <f t="shared" si="1"/>
        <v>68210</v>
      </c>
      <c r="H26113" s="49">
        <f t="shared" si="2"/>
        <v>68031</v>
      </c>
    </row>
    <row r="26114">
      <c r="A26114" s="48" t="s">
        <v>1756</v>
      </c>
      <c r="B26114" s="38">
        <v>28422.0</v>
      </c>
      <c r="C26114" s="38" t="s">
        <v>30600</v>
      </c>
      <c r="D26114" s="38" t="str">
        <f>IFERROR(__xludf.DUMMYFUNCTION("REGEXREPLACE(C26114,""-\d+(.*)|--\d+(.*)"","""")"),"VOVES")</f>
        <v>VOVES</v>
      </c>
      <c r="E26114" s="38" t="s">
        <v>300</v>
      </c>
      <c r="F26114" s="38" t="s">
        <v>123</v>
      </c>
      <c r="G26114" s="49" t="str">
        <f t="shared" si="1"/>
        <v>28150</v>
      </c>
      <c r="H26114" s="49">
        <f t="shared" si="2"/>
        <v>28422</v>
      </c>
    </row>
    <row r="26115">
      <c r="A26115" s="48" t="s">
        <v>1926</v>
      </c>
      <c r="B26115" s="38">
        <v>28090.0</v>
      </c>
      <c r="C26115" s="38" t="s">
        <v>30601</v>
      </c>
      <c r="D26115" s="38" t="str">
        <f>IFERROR(__xludf.DUMMYFUNCTION("REGEXREPLACE(C26115,""-\d+(.*)|--\d+(.*)"","""")"),"LES CHATELETS")</f>
        <v>LES CHATELETS</v>
      </c>
      <c r="E26115" s="38" t="s">
        <v>300</v>
      </c>
      <c r="F26115" s="38" t="s">
        <v>123</v>
      </c>
      <c r="G26115" s="49" t="str">
        <f t="shared" si="1"/>
        <v>28270</v>
      </c>
      <c r="H26115" s="49">
        <f t="shared" si="2"/>
        <v>28090</v>
      </c>
    </row>
    <row r="26116">
      <c r="A26116" s="48" t="s">
        <v>877</v>
      </c>
      <c r="B26116" s="38">
        <v>57376.0</v>
      </c>
      <c r="C26116" s="38" t="s">
        <v>30602</v>
      </c>
      <c r="D26116" s="38" t="str">
        <f>IFERROR(__xludf.DUMMYFUNCTION("REGEXREPLACE(C26116,""-\d+(.*)|--\d+(.*)"","""")"),"LAMBACH")</f>
        <v>LAMBACH</v>
      </c>
      <c r="E26116" s="38" t="s">
        <v>303</v>
      </c>
      <c r="F26116" s="38" t="s">
        <v>195</v>
      </c>
      <c r="G26116" s="49" t="str">
        <f t="shared" si="1"/>
        <v>57410</v>
      </c>
      <c r="H26116" s="49">
        <f t="shared" si="2"/>
        <v>57376</v>
      </c>
    </row>
    <row r="26117">
      <c r="A26117" s="48" t="s">
        <v>7777</v>
      </c>
      <c r="B26117" s="38">
        <v>54056.0</v>
      </c>
      <c r="C26117" s="38" t="s">
        <v>30603</v>
      </c>
      <c r="D26117" s="38" t="str">
        <f>IFERROR(__xludf.DUMMYFUNCTION("REGEXREPLACE(C26117,""-\d+(.*)|--\d+(.*)"","""")"),"BAZAILLES")</f>
        <v>BAZAILLES</v>
      </c>
      <c r="E26117" s="38" t="s">
        <v>548</v>
      </c>
      <c r="F26117" s="38" t="s">
        <v>195</v>
      </c>
      <c r="G26117" s="49" t="str">
        <f t="shared" si="1"/>
        <v>54620</v>
      </c>
      <c r="H26117" s="49">
        <f t="shared" si="2"/>
        <v>54056</v>
      </c>
    </row>
    <row r="26118">
      <c r="A26118" s="48" t="s">
        <v>1241</v>
      </c>
      <c r="B26118" s="38">
        <v>71374.0</v>
      </c>
      <c r="C26118" s="38" t="s">
        <v>8543</v>
      </c>
      <c r="D26118" s="38" t="str">
        <f>IFERROR(__xludf.DUMMYFUNCTION("REGEXREPLACE(C26118,""-\d+(.*)|--\d+(.*)"","""")"),"ROSEY")</f>
        <v>ROSEY</v>
      </c>
      <c r="E26118" s="38" t="s">
        <v>344</v>
      </c>
      <c r="F26118" s="38" t="s">
        <v>106</v>
      </c>
      <c r="G26118" s="49" t="str">
        <f t="shared" si="1"/>
        <v>71390</v>
      </c>
      <c r="H26118" s="49">
        <f t="shared" si="2"/>
        <v>71374</v>
      </c>
    </row>
    <row r="26119">
      <c r="A26119" s="48" t="s">
        <v>7192</v>
      </c>
      <c r="B26119" s="38">
        <v>61338.0</v>
      </c>
      <c r="C26119" s="38" t="s">
        <v>30604</v>
      </c>
      <c r="D26119" s="38" t="str">
        <f>IFERROR(__xludf.DUMMYFUNCTION("REGEXREPLACE(C26119,""-\d+(.*)|--\d+(.*)"","""")"),"PREPOTIN")</f>
        <v>PREPOTIN</v>
      </c>
      <c r="E26119" s="38" t="s">
        <v>141</v>
      </c>
      <c r="F26119" s="38" t="s">
        <v>138</v>
      </c>
      <c r="G26119" s="49" t="str">
        <f t="shared" si="1"/>
        <v>61190</v>
      </c>
      <c r="H26119" s="49">
        <f t="shared" si="2"/>
        <v>61338</v>
      </c>
    </row>
    <row r="26120">
      <c r="A26120" s="48" t="s">
        <v>2402</v>
      </c>
      <c r="B26120" s="38">
        <v>68221.0</v>
      </c>
      <c r="C26120" s="38" t="s">
        <v>30605</v>
      </c>
      <c r="D26120" s="38" t="str">
        <f>IFERROR(__xludf.DUMMYFUNCTION("REGEXREPLACE(C26120,""-\d+(.*)|--\d+(.*)"","""")"),"MUESPACH")</f>
        <v>MUESPACH</v>
      </c>
      <c r="E26120" s="38" t="s">
        <v>150</v>
      </c>
      <c r="F26120" s="38" t="s">
        <v>151</v>
      </c>
      <c r="G26120" s="49" t="str">
        <f t="shared" si="1"/>
        <v>68640</v>
      </c>
      <c r="H26120" s="49">
        <f t="shared" si="2"/>
        <v>68221</v>
      </c>
    </row>
    <row r="26121">
      <c r="A26121" s="48" t="s">
        <v>14991</v>
      </c>
      <c r="B26121" s="38">
        <v>74091.0</v>
      </c>
      <c r="C26121" s="38" t="s">
        <v>30606</v>
      </c>
      <c r="D26121" s="38" t="str">
        <f>IFERROR(__xludf.DUMMYFUNCTION("REGEXREPLACE(C26121,""-\d+(.*)|--\d+(.*)"","""")"),"LA COTE-D'ARBROZ")</f>
        <v>LA COTE-D'ARBROZ</v>
      </c>
      <c r="E26121" s="38" t="s">
        <v>319</v>
      </c>
      <c r="F26121" s="38" t="s">
        <v>102</v>
      </c>
      <c r="G26121" s="49" t="str">
        <f t="shared" si="1"/>
        <v>74110</v>
      </c>
      <c r="H26121" s="49">
        <f t="shared" si="2"/>
        <v>74091</v>
      </c>
    </row>
    <row r="26122">
      <c r="A26122" s="48" t="s">
        <v>30607</v>
      </c>
      <c r="B26122" s="38">
        <v>49007.0</v>
      </c>
      <c r="C26122" s="38" t="s">
        <v>13</v>
      </c>
      <c r="D26122" s="38" t="str">
        <f>IFERROR(__xludf.DUMMYFUNCTION("REGEXREPLACE(C26122,""-\d+(.*)|--\d+(.*)"","""")"),"ANGERS")</f>
        <v>ANGERS</v>
      </c>
      <c r="E26122" s="38" t="s">
        <v>653</v>
      </c>
      <c r="F26122" s="38" t="s">
        <v>180</v>
      </c>
      <c r="G26122" s="49" t="str">
        <f t="shared" si="1"/>
        <v>49000/49100</v>
      </c>
      <c r="H26122" s="49">
        <f t="shared" si="2"/>
        <v>49007</v>
      </c>
    </row>
    <row r="26123">
      <c r="A26123" s="48" t="s">
        <v>8684</v>
      </c>
      <c r="B26123" s="38">
        <v>37086.0</v>
      </c>
      <c r="C26123" s="38" t="s">
        <v>30608</v>
      </c>
      <c r="D26123" s="38" t="str">
        <f>IFERROR(__xludf.DUMMYFUNCTION("REGEXREPLACE(C26123,""-\d+(.*)|--\d+(.*)"","""")"),"COURCELLES-DE-TOURAINE")</f>
        <v>COURCELLES-DE-TOURAINE</v>
      </c>
      <c r="E26123" s="38" t="s">
        <v>205</v>
      </c>
      <c r="F26123" s="38" t="s">
        <v>123</v>
      </c>
      <c r="G26123" s="49" t="str">
        <f t="shared" si="1"/>
        <v>37330</v>
      </c>
      <c r="H26123" s="49">
        <f t="shared" si="2"/>
        <v>37086</v>
      </c>
    </row>
    <row r="26124">
      <c r="A26124" s="48" t="s">
        <v>27999</v>
      </c>
      <c r="B26124" s="38">
        <v>77453.0</v>
      </c>
      <c r="C26124" s="38" t="s">
        <v>30609</v>
      </c>
      <c r="D26124" s="38" t="str">
        <f>IFERROR(__xludf.DUMMYFUNCTION("REGEXREPLACE(C26124,""-\d+(.*)|--\d+(.*)"","""")"),"SIVRY-COURTRY")</f>
        <v>SIVRY-COURTRY</v>
      </c>
      <c r="E26124" s="38" t="s">
        <v>244</v>
      </c>
      <c r="F26124" s="38" t="s">
        <v>245</v>
      </c>
      <c r="G26124" s="49" t="str">
        <f t="shared" si="1"/>
        <v>77115</v>
      </c>
      <c r="H26124" s="49">
        <f t="shared" si="2"/>
        <v>77453</v>
      </c>
    </row>
    <row r="26125">
      <c r="A26125" s="48" t="s">
        <v>816</v>
      </c>
      <c r="B26125" s="38">
        <v>11065.0</v>
      </c>
      <c r="C26125" s="38" t="s">
        <v>30610</v>
      </c>
      <c r="D26125" s="38" t="str">
        <f>IFERROR(__xludf.DUMMYFUNCTION("REGEXREPLACE(C26125,""-\d+(.*)|--\d+(.*)"","""")"),"CAMPS-SUR-L'AGLY")</f>
        <v>CAMPS-SUR-L'AGLY</v>
      </c>
      <c r="E26125" s="38" t="s">
        <v>278</v>
      </c>
      <c r="F26125" s="38" t="s">
        <v>119</v>
      </c>
      <c r="G26125" s="49" t="str">
        <f t="shared" si="1"/>
        <v>11190</v>
      </c>
      <c r="H26125" s="49">
        <f t="shared" si="2"/>
        <v>11065</v>
      </c>
    </row>
    <row r="26126">
      <c r="A26126" s="48" t="s">
        <v>2186</v>
      </c>
      <c r="B26126" s="38">
        <v>26382.0</v>
      </c>
      <c r="C26126" s="38" t="s">
        <v>30611</v>
      </c>
      <c r="D26126" s="38" t="str">
        <f>IFERROR(__xludf.DUMMYFUNCTION("REGEXREPLACE(C26126,""-\d+(.*)|--\d+(.*)"","""")"),"SAINT-VINCENT-LA-COMMANDERIE")</f>
        <v>SAINT-VINCENT-LA-COMMANDERIE</v>
      </c>
      <c r="E26126" s="38" t="s">
        <v>126</v>
      </c>
      <c r="F26126" s="38" t="s">
        <v>102</v>
      </c>
      <c r="G26126" s="49" t="str">
        <f t="shared" si="1"/>
        <v>26300</v>
      </c>
      <c r="H26126" s="49">
        <f t="shared" si="2"/>
        <v>26382</v>
      </c>
    </row>
    <row r="26127">
      <c r="A26127" s="48" t="s">
        <v>30612</v>
      </c>
      <c r="B26127" s="38">
        <v>62040.0</v>
      </c>
      <c r="C26127" s="38" t="s">
        <v>30613</v>
      </c>
      <c r="D26127" s="38" t="str">
        <f>IFERROR(__xludf.DUMMYFUNCTION("REGEXREPLACE(C26127,""-\d+(.*)|--\d+(.*)"","""")"),"ARQUES")</f>
        <v>ARQUES</v>
      </c>
      <c r="E26127" s="38" t="s">
        <v>109</v>
      </c>
      <c r="F26127" s="38" t="s">
        <v>86</v>
      </c>
      <c r="G26127" s="49" t="str">
        <f t="shared" si="1"/>
        <v>62510</v>
      </c>
      <c r="H26127" s="49">
        <f t="shared" si="2"/>
        <v>62040</v>
      </c>
    </row>
    <row r="26128">
      <c r="A26128" s="48" t="s">
        <v>6890</v>
      </c>
      <c r="B26128" s="38">
        <v>51388.0</v>
      </c>
      <c r="C26128" s="38" t="s">
        <v>30614</v>
      </c>
      <c r="D26128" s="38" t="str">
        <f>IFERROR(__xludf.DUMMYFUNCTION("REGEXREPLACE(C26128,""-\d+(.*)|--\d+(.*)"","""")"),"MOURMELON-LE-GRAND")</f>
        <v>MOURMELON-LE-GRAND</v>
      </c>
      <c r="E26128" s="38" t="s">
        <v>129</v>
      </c>
      <c r="F26128" s="38" t="s">
        <v>130</v>
      </c>
      <c r="G26128" s="49" t="str">
        <f t="shared" si="1"/>
        <v>51400</v>
      </c>
      <c r="H26128" s="49">
        <f t="shared" si="2"/>
        <v>51388</v>
      </c>
    </row>
    <row r="26129">
      <c r="A26129" s="48" t="s">
        <v>4586</v>
      </c>
      <c r="B26129" s="38">
        <v>40130.0</v>
      </c>
      <c r="C26129" s="38" t="s">
        <v>30615</v>
      </c>
      <c r="D26129" s="38" t="str">
        <f>IFERROR(__xludf.DUMMYFUNCTION("REGEXREPLACE(C26129,""-\d+(.*)|--\d+(.*)"","""")"),"LABASTIDE-CHALOSSE")</f>
        <v>LABASTIDE-CHALOSSE</v>
      </c>
      <c r="E26129" s="38" t="s">
        <v>281</v>
      </c>
      <c r="F26129" s="38" t="s">
        <v>252</v>
      </c>
      <c r="G26129" s="49" t="str">
        <f t="shared" si="1"/>
        <v>40700</v>
      </c>
      <c r="H26129" s="49">
        <f t="shared" si="2"/>
        <v>40130</v>
      </c>
    </row>
    <row r="26130">
      <c r="A26130" s="48" t="s">
        <v>456</v>
      </c>
      <c r="B26130" s="38">
        <v>63261.0</v>
      </c>
      <c r="C26130" s="38" t="s">
        <v>30616</v>
      </c>
      <c r="D26130" s="38" t="str">
        <f>IFERROR(__xludf.DUMMYFUNCTION("REGEXREPLACE(C26130,""-\d+(.*)|--\d+(.*)"","""")"),"ORBEIL")</f>
        <v>ORBEIL</v>
      </c>
      <c r="E26130" s="38" t="s">
        <v>353</v>
      </c>
      <c r="F26130" s="38" t="s">
        <v>161</v>
      </c>
      <c r="G26130" s="49" t="str">
        <f t="shared" si="1"/>
        <v>63500</v>
      </c>
      <c r="H26130" s="49">
        <f t="shared" si="2"/>
        <v>63261</v>
      </c>
    </row>
    <row r="26131">
      <c r="A26131" s="48" t="s">
        <v>22702</v>
      </c>
      <c r="B26131" s="38">
        <v>22135.0</v>
      </c>
      <c r="C26131" s="38" t="s">
        <v>30617</v>
      </c>
      <c r="D26131" s="38" t="str">
        <f>IFERROR(__xludf.DUMMYFUNCTION("REGEXREPLACE(C26131,""-\d+(.*)|--\d+(.*)"","""")"),"LOUARGAT")</f>
        <v>LOUARGAT</v>
      </c>
      <c r="E26131" s="38" t="s">
        <v>89</v>
      </c>
      <c r="F26131" s="38" t="s">
        <v>90</v>
      </c>
      <c r="G26131" s="49" t="str">
        <f t="shared" si="1"/>
        <v>22540</v>
      </c>
      <c r="H26131" s="49">
        <f t="shared" si="2"/>
        <v>22135</v>
      </c>
    </row>
    <row r="26132">
      <c r="A26132" s="48" t="s">
        <v>3364</v>
      </c>
      <c r="B26132" s="38">
        <v>62644.0</v>
      </c>
      <c r="C26132" s="38" t="s">
        <v>30618</v>
      </c>
      <c r="D26132" s="38" t="str">
        <f>IFERROR(__xludf.DUMMYFUNCTION("REGEXREPLACE(C26132,""-\d+(.*)|--\d+(.*)"","""")"),"OUVE-WIRQUIN")</f>
        <v>OUVE-WIRQUIN</v>
      </c>
      <c r="E26132" s="38" t="s">
        <v>109</v>
      </c>
      <c r="F26132" s="38" t="s">
        <v>86</v>
      </c>
      <c r="G26132" s="49" t="str">
        <f t="shared" si="1"/>
        <v>62380</v>
      </c>
      <c r="H26132" s="49">
        <f t="shared" si="2"/>
        <v>62644</v>
      </c>
    </row>
    <row r="26133">
      <c r="A26133" s="48" t="s">
        <v>667</v>
      </c>
      <c r="B26133" s="38">
        <v>64107.0</v>
      </c>
      <c r="C26133" s="38" t="s">
        <v>30619</v>
      </c>
      <c r="D26133" s="38" t="str">
        <f>IFERROR(__xludf.DUMMYFUNCTION("REGEXREPLACE(C26133,""-\d+(.*)|--\d+(.*)"","""")"),"BEHORLEGUY")</f>
        <v>BEHORLEGUY</v>
      </c>
      <c r="E26133" s="38" t="s">
        <v>268</v>
      </c>
      <c r="F26133" s="38" t="s">
        <v>252</v>
      </c>
      <c r="G26133" s="49" t="str">
        <f t="shared" si="1"/>
        <v>64220</v>
      </c>
      <c r="H26133" s="49">
        <f t="shared" si="2"/>
        <v>64107</v>
      </c>
    </row>
    <row r="26134">
      <c r="A26134" s="48" t="s">
        <v>2837</v>
      </c>
      <c r="B26134" s="38">
        <v>17108.0</v>
      </c>
      <c r="C26134" s="38" t="s">
        <v>30620</v>
      </c>
      <c r="D26134" s="38" t="str">
        <f>IFERROR(__xludf.DUMMYFUNCTION("REGEXREPLACE(C26134,""-\d+(.*)|--\d+(.*)"","""")"),"CLAM")</f>
        <v>CLAM</v>
      </c>
      <c r="E26134" s="38" t="s">
        <v>488</v>
      </c>
      <c r="F26134" s="38" t="s">
        <v>338</v>
      </c>
      <c r="G26134" s="49" t="str">
        <f t="shared" si="1"/>
        <v>17500</v>
      </c>
      <c r="H26134" s="49">
        <f t="shared" si="2"/>
        <v>17108</v>
      </c>
    </row>
    <row r="26135">
      <c r="A26135" s="48" t="s">
        <v>1896</v>
      </c>
      <c r="B26135" s="38">
        <v>51375.0</v>
      </c>
      <c r="C26135" s="38" t="s">
        <v>30621</v>
      </c>
      <c r="D26135" s="38" t="str">
        <f>IFERROR(__xludf.DUMMYFUNCTION("REGEXREPLACE(C26135,""-\d+(.*)|--\d+(.*)"","""")"),"MONTBRE")</f>
        <v>MONTBRE</v>
      </c>
      <c r="E26135" s="38" t="s">
        <v>129</v>
      </c>
      <c r="F26135" s="38" t="s">
        <v>130</v>
      </c>
      <c r="G26135" s="49" t="str">
        <f t="shared" si="1"/>
        <v>51500</v>
      </c>
      <c r="H26135" s="49">
        <f t="shared" si="2"/>
        <v>51375</v>
      </c>
    </row>
    <row r="26136">
      <c r="A26136" s="48" t="s">
        <v>6965</v>
      </c>
      <c r="B26136" s="38">
        <v>2301.0</v>
      </c>
      <c r="C26136" s="38" t="s">
        <v>30622</v>
      </c>
      <c r="D26136" s="38" t="str">
        <f>IFERROR(__xludf.DUMMYFUNCTION("REGEXREPLACE(C26136,""-\d+(.*)|--\d+(.*)"","""")"),"FAUCOUCOURT")</f>
        <v>FAUCOUCOURT</v>
      </c>
      <c r="E26136" s="38" t="s">
        <v>191</v>
      </c>
      <c r="F26136" s="38" t="s">
        <v>113</v>
      </c>
      <c r="G26136" s="49" t="str">
        <f t="shared" si="1"/>
        <v>02320</v>
      </c>
      <c r="H26136" s="49" t="str">
        <f t="shared" si="2"/>
        <v>02301</v>
      </c>
    </row>
    <row r="26137">
      <c r="A26137" s="48" t="s">
        <v>691</v>
      </c>
      <c r="B26137" s="38">
        <v>64170.0</v>
      </c>
      <c r="C26137" s="38" t="s">
        <v>23150</v>
      </c>
      <c r="D26137" s="38" t="str">
        <f>IFERROR(__xludf.DUMMYFUNCTION("REGEXREPLACE(C26137,""-\d+(.*)|--\d+(.*)"","""")"),"CASTAGNEDE")</f>
        <v>CASTAGNEDE</v>
      </c>
      <c r="E26137" s="38" t="s">
        <v>268</v>
      </c>
      <c r="F26137" s="38" t="s">
        <v>252</v>
      </c>
      <c r="G26137" s="49" t="str">
        <f t="shared" si="1"/>
        <v>64270</v>
      </c>
      <c r="H26137" s="49">
        <f t="shared" si="2"/>
        <v>64170</v>
      </c>
    </row>
    <row r="26138">
      <c r="A26138" s="48" t="s">
        <v>28703</v>
      </c>
      <c r="B26138" s="38">
        <v>57111.0</v>
      </c>
      <c r="C26138" s="38" t="s">
        <v>30623</v>
      </c>
      <c r="D26138" s="38" t="str">
        <f>IFERROR(__xludf.DUMMYFUNCTION("REGEXREPLACE(C26138,""-\d+(.*)|--\d+(.*)"","""")"),"BRONVAUX")</f>
        <v>BRONVAUX</v>
      </c>
      <c r="E26138" s="38" t="s">
        <v>303</v>
      </c>
      <c r="F26138" s="38" t="s">
        <v>195</v>
      </c>
      <c r="G26138" s="49" t="str">
        <f t="shared" si="1"/>
        <v>57535</v>
      </c>
      <c r="H26138" s="49">
        <f t="shared" si="2"/>
        <v>57111</v>
      </c>
    </row>
    <row r="26139">
      <c r="A26139" s="48" t="s">
        <v>6007</v>
      </c>
      <c r="B26139" s="38">
        <v>24446.0</v>
      </c>
      <c r="C26139" s="38" t="s">
        <v>30624</v>
      </c>
      <c r="D26139" s="38" t="str">
        <f>IFERROR(__xludf.DUMMYFUNCTION("REGEXREPLACE(C26139,""-\d+(.*)|--\d+(.*)"","""")"),"SAINT-MARCORY")</f>
        <v>SAINT-MARCORY</v>
      </c>
      <c r="E26139" s="38" t="s">
        <v>261</v>
      </c>
      <c r="F26139" s="38" t="s">
        <v>252</v>
      </c>
      <c r="G26139" s="49" t="str">
        <f t="shared" si="1"/>
        <v>24540</v>
      </c>
      <c r="H26139" s="49">
        <f t="shared" si="2"/>
        <v>24446</v>
      </c>
    </row>
    <row r="26140">
      <c r="A26140" s="48" t="s">
        <v>11166</v>
      </c>
      <c r="B26140" s="38">
        <v>55168.0</v>
      </c>
      <c r="C26140" s="38" t="s">
        <v>30625</v>
      </c>
      <c r="D26140" s="38" t="str">
        <f>IFERROR(__xludf.DUMMYFUNCTION("REGEXREPLACE(C26140,""-\d+(.*)|--\d+(.*)"","""")"),"DUZEY")</f>
        <v>DUZEY</v>
      </c>
      <c r="E26140" s="38" t="s">
        <v>322</v>
      </c>
      <c r="F26140" s="38" t="s">
        <v>195</v>
      </c>
      <c r="G26140" s="49" t="str">
        <f t="shared" si="1"/>
        <v>55230</v>
      </c>
      <c r="H26140" s="49">
        <f t="shared" si="2"/>
        <v>55168</v>
      </c>
    </row>
    <row r="26141">
      <c r="A26141" s="48" t="s">
        <v>3840</v>
      </c>
      <c r="B26141" s="38">
        <v>72145.0</v>
      </c>
      <c r="C26141" s="38" t="s">
        <v>30626</v>
      </c>
      <c r="D26141" s="38" t="str">
        <f>IFERROR(__xludf.DUMMYFUNCTION("REGEXREPLACE(C26141,""-\d+(.*)|--\d+(.*)"","""")"),"LE GREZ")</f>
        <v>LE GREZ</v>
      </c>
      <c r="E26141" s="38" t="s">
        <v>521</v>
      </c>
      <c r="F26141" s="38" t="s">
        <v>180</v>
      </c>
      <c r="G26141" s="49" t="str">
        <f t="shared" si="1"/>
        <v>72140</v>
      </c>
      <c r="H26141" s="49">
        <f t="shared" si="2"/>
        <v>72145</v>
      </c>
    </row>
    <row r="26142">
      <c r="A26142" s="48" t="s">
        <v>5142</v>
      </c>
      <c r="B26142" s="38">
        <v>58192.0</v>
      </c>
      <c r="C26142" s="38" t="s">
        <v>30627</v>
      </c>
      <c r="D26142" s="38" t="str">
        <f>IFERROR(__xludf.DUMMYFUNCTION("REGEXREPLACE(C26142,""-\d+(.*)|--\d+(.*)"","""")"),"NEUVILLE-LES-DECIZE")</f>
        <v>NEUVILLE-LES-DECIZE</v>
      </c>
      <c r="E26142" s="38" t="s">
        <v>219</v>
      </c>
      <c r="F26142" s="38" t="s">
        <v>106</v>
      </c>
      <c r="G26142" s="49" t="str">
        <f t="shared" si="1"/>
        <v>58300</v>
      </c>
      <c r="H26142" s="49">
        <f t="shared" si="2"/>
        <v>58192</v>
      </c>
    </row>
    <row r="26143">
      <c r="A26143" s="48" t="s">
        <v>1964</v>
      </c>
      <c r="B26143" s="38">
        <v>26274.0</v>
      </c>
      <c r="C26143" s="38" t="s">
        <v>30628</v>
      </c>
      <c r="D26143" s="38" t="str">
        <f>IFERROR(__xludf.DUMMYFUNCTION("REGEXREPLACE(C26143,""-\d+(.*)|--\d+(.*)"","""")"),"ROCHEFOURCHAT")</f>
        <v>ROCHEFOURCHAT</v>
      </c>
      <c r="E26143" s="38" t="s">
        <v>126</v>
      </c>
      <c r="F26143" s="38" t="s">
        <v>102</v>
      </c>
      <c r="G26143" s="49" t="str">
        <f t="shared" si="1"/>
        <v>26340</v>
      </c>
      <c r="H26143" s="49">
        <f t="shared" si="2"/>
        <v>26274</v>
      </c>
    </row>
    <row r="26144">
      <c r="A26144" s="48" t="s">
        <v>3550</v>
      </c>
      <c r="B26144" s="38">
        <v>79247.0</v>
      </c>
      <c r="C26144" s="38" t="s">
        <v>30629</v>
      </c>
      <c r="D26144" s="38" t="str">
        <f>IFERROR(__xludf.DUMMYFUNCTION("REGEXREPLACE(C26144,""-\d+(.*)|--\d+(.*)"","""")"),"SAINT-ETIENNE-LA-CIGOGNE")</f>
        <v>SAINT-ETIENNE-LA-CIGOGNE</v>
      </c>
      <c r="E26144" s="38" t="s">
        <v>337</v>
      </c>
      <c r="F26144" s="38" t="s">
        <v>338</v>
      </c>
      <c r="G26144" s="49" t="str">
        <f t="shared" si="1"/>
        <v>79360</v>
      </c>
      <c r="H26144" s="49">
        <f t="shared" si="2"/>
        <v>79247</v>
      </c>
    </row>
    <row r="26145">
      <c r="A26145" s="48" t="s">
        <v>10646</v>
      </c>
      <c r="B26145" s="38">
        <v>23200.0</v>
      </c>
      <c r="C26145" s="38" t="s">
        <v>30630</v>
      </c>
      <c r="D26145" s="38" t="str">
        <f>IFERROR(__xludf.DUMMYFUNCTION("REGEXREPLACE(C26145,""-\d+(.*)|--\d+(.*)"","""")"),"SAINT-GOUSSAUD")</f>
        <v>SAINT-GOUSSAUD</v>
      </c>
      <c r="E26145" s="38" t="s">
        <v>97</v>
      </c>
      <c r="F26145" s="38" t="s">
        <v>98</v>
      </c>
      <c r="G26145" s="49" t="str">
        <f t="shared" si="1"/>
        <v>23430</v>
      </c>
      <c r="H26145" s="49">
        <f t="shared" si="2"/>
        <v>23200</v>
      </c>
    </row>
    <row r="26146">
      <c r="A26146" s="48" t="s">
        <v>5398</v>
      </c>
      <c r="B26146" s="38">
        <v>64089.0</v>
      </c>
      <c r="C26146" s="38" t="s">
        <v>30631</v>
      </c>
      <c r="D26146" s="38" t="str">
        <f>IFERROR(__xludf.DUMMYFUNCTION("REGEXREPLACE(C26146,""-\d+(.*)|--\d+(.*)"","""")"),"BALEIX")</f>
        <v>BALEIX</v>
      </c>
      <c r="E26146" s="38" t="s">
        <v>268</v>
      </c>
      <c r="F26146" s="38" t="s">
        <v>252</v>
      </c>
      <c r="G26146" s="49" t="str">
        <f t="shared" si="1"/>
        <v>64460</v>
      </c>
      <c r="H26146" s="49">
        <f t="shared" si="2"/>
        <v>64089</v>
      </c>
    </row>
    <row r="26147">
      <c r="A26147" s="48" t="s">
        <v>5275</v>
      </c>
      <c r="B26147" s="38">
        <v>17366.0</v>
      </c>
      <c r="C26147" s="38" t="s">
        <v>30632</v>
      </c>
      <c r="D26147" s="38" t="str">
        <f>IFERROR(__xludf.DUMMYFUNCTION("REGEXREPLACE(C26147,""-\d+(.*)|--\d+(.*)"","""")"),"SAINT-MARTIN-DE-COUX")</f>
        <v>SAINT-MARTIN-DE-COUX</v>
      </c>
      <c r="E26147" s="38" t="s">
        <v>488</v>
      </c>
      <c r="F26147" s="38" t="s">
        <v>338</v>
      </c>
      <c r="G26147" s="49" t="str">
        <f t="shared" si="1"/>
        <v>17360</v>
      </c>
      <c r="H26147" s="49">
        <f t="shared" si="2"/>
        <v>17366</v>
      </c>
    </row>
    <row r="26148">
      <c r="A26148" s="48" t="s">
        <v>20255</v>
      </c>
      <c r="B26148" s="38">
        <v>12090.0</v>
      </c>
      <c r="C26148" s="38" t="s">
        <v>30633</v>
      </c>
      <c r="D26148" s="38" t="str">
        <f>IFERROR(__xludf.DUMMYFUNCTION("REGEXREPLACE(C26148,""-\d+(.*)|--\d+(.*)"","""")"),"DRUELLE")</f>
        <v>DRUELLE</v>
      </c>
      <c r="E26148" s="38" t="s">
        <v>465</v>
      </c>
      <c r="F26148" s="38" t="s">
        <v>94</v>
      </c>
      <c r="G26148" s="49" t="str">
        <f t="shared" si="1"/>
        <v>12510</v>
      </c>
      <c r="H26148" s="49">
        <f t="shared" si="2"/>
        <v>12090</v>
      </c>
    </row>
    <row r="26149">
      <c r="A26149" s="48" t="s">
        <v>30039</v>
      </c>
      <c r="B26149" s="38">
        <v>43177.0</v>
      </c>
      <c r="C26149" s="38" t="s">
        <v>30634</v>
      </c>
      <c r="D26149" s="38" t="str">
        <f>IFERROR(__xludf.DUMMYFUNCTION("REGEXREPLACE(C26149,""-\d+(.*)|--\d+(.*)"","""")"),"SAINT-DIDIER-EN-VELAY")</f>
        <v>SAINT-DIDIER-EN-VELAY</v>
      </c>
      <c r="E26149" s="38" t="s">
        <v>332</v>
      </c>
      <c r="F26149" s="38" t="s">
        <v>161</v>
      </c>
      <c r="G26149" s="49" t="str">
        <f t="shared" si="1"/>
        <v>43140</v>
      </c>
      <c r="H26149" s="49">
        <f t="shared" si="2"/>
        <v>43177</v>
      </c>
    </row>
    <row r="26150">
      <c r="A26150" s="48" t="s">
        <v>7365</v>
      </c>
      <c r="B26150" s="38">
        <v>18064.0</v>
      </c>
      <c r="C26150" s="38" t="s">
        <v>30635</v>
      </c>
      <c r="D26150" s="38" t="str">
        <f>IFERROR(__xludf.DUMMYFUNCTION("REGEXREPLACE(C26150,""-\d+(.*)|--\d+(.*)"","""")"),"CHERY")</f>
        <v>CHERY</v>
      </c>
      <c r="E26150" s="38" t="s">
        <v>504</v>
      </c>
      <c r="F26150" s="38" t="s">
        <v>123</v>
      </c>
      <c r="G26150" s="49" t="str">
        <f t="shared" si="1"/>
        <v>18120</v>
      </c>
      <c r="H26150" s="49">
        <f t="shared" si="2"/>
        <v>18064</v>
      </c>
    </row>
    <row r="26151">
      <c r="A26151" s="48" t="s">
        <v>5634</v>
      </c>
      <c r="B26151" s="38">
        <v>72077.0</v>
      </c>
      <c r="C26151" s="38" t="s">
        <v>30636</v>
      </c>
      <c r="D26151" s="38" t="str">
        <f>IFERROR(__xludf.DUMMYFUNCTION("REGEXREPLACE(C26151,""-\d+(.*)|--\d+(.*)"","""")"),"CHENU")</f>
        <v>CHENU</v>
      </c>
      <c r="E26151" s="38" t="s">
        <v>521</v>
      </c>
      <c r="F26151" s="38" t="s">
        <v>180</v>
      </c>
      <c r="G26151" s="49" t="str">
        <f t="shared" si="1"/>
        <v>72500</v>
      </c>
      <c r="H26151" s="49">
        <f t="shared" si="2"/>
        <v>72077</v>
      </c>
    </row>
    <row r="26152">
      <c r="A26152" s="48" t="s">
        <v>2868</v>
      </c>
      <c r="B26152" s="38">
        <v>80189.0</v>
      </c>
      <c r="C26152" s="38" t="s">
        <v>30637</v>
      </c>
      <c r="D26152" s="38" t="str">
        <f>IFERROR(__xludf.DUMMYFUNCTION("REGEXREPLACE(C26152,""-\d+(.*)|--\d+(.*)"","""")"),"LA CHAVATTE")</f>
        <v>LA CHAVATTE</v>
      </c>
      <c r="E26152" s="38" t="s">
        <v>224</v>
      </c>
      <c r="F26152" s="38" t="s">
        <v>113</v>
      </c>
      <c r="G26152" s="49" t="str">
        <f t="shared" si="1"/>
        <v>80700</v>
      </c>
      <c r="H26152" s="49">
        <f t="shared" si="2"/>
        <v>80189</v>
      </c>
    </row>
    <row r="26153">
      <c r="A26153" s="48" t="s">
        <v>13962</v>
      </c>
      <c r="B26153" s="38">
        <v>69078.0</v>
      </c>
      <c r="C26153" s="38" t="s">
        <v>30638</v>
      </c>
      <c r="D26153" s="38" t="str">
        <f>IFERROR(__xludf.DUMMYFUNCTION("REGEXREPLACE(C26153,""-\d+(.*)|--\d+(.*)"","""")"),"DUERNE")</f>
        <v>DUERNE</v>
      </c>
      <c r="E26153" s="38" t="s">
        <v>350</v>
      </c>
      <c r="F26153" s="38" t="s">
        <v>102</v>
      </c>
      <c r="G26153" s="49" t="str">
        <f t="shared" si="1"/>
        <v>69850</v>
      </c>
      <c r="H26153" s="49">
        <f t="shared" si="2"/>
        <v>69078</v>
      </c>
    </row>
    <row r="26154">
      <c r="A26154" s="48" t="s">
        <v>30639</v>
      </c>
      <c r="B26154" s="38">
        <v>59431.0</v>
      </c>
      <c r="C26154" s="38" t="s">
        <v>30640</v>
      </c>
      <c r="D26154" s="38" t="str">
        <f>IFERROR(__xludf.DUMMYFUNCTION("REGEXREPLACE(C26154,""-\d+(.*)|--\d+(.*)"","""")"),"NIEPPE")</f>
        <v>NIEPPE</v>
      </c>
      <c r="E26154" s="38" t="s">
        <v>85</v>
      </c>
      <c r="F26154" s="38" t="s">
        <v>86</v>
      </c>
      <c r="G26154" s="49" t="str">
        <f t="shared" si="1"/>
        <v>59850</v>
      </c>
      <c r="H26154" s="49">
        <f t="shared" si="2"/>
        <v>59431</v>
      </c>
    </row>
    <row r="26155">
      <c r="A26155" s="48" t="s">
        <v>7569</v>
      </c>
      <c r="B26155" s="38">
        <v>73219.0</v>
      </c>
      <c r="C26155" s="38" t="s">
        <v>30641</v>
      </c>
      <c r="D26155" s="38" t="str">
        <f>IFERROR(__xludf.DUMMYFUNCTION("REGEXREPLACE(C26155,""-\d+(.*)|--\d+(.*)"","""")"),"SAINT-ALBAN-DE-MONTBEL")</f>
        <v>SAINT-ALBAN-DE-MONTBEL</v>
      </c>
      <c r="E26155" s="38" t="s">
        <v>306</v>
      </c>
      <c r="F26155" s="38" t="s">
        <v>102</v>
      </c>
      <c r="G26155" s="49" t="str">
        <f t="shared" si="1"/>
        <v>73610</v>
      </c>
      <c r="H26155" s="49">
        <f t="shared" si="2"/>
        <v>73219</v>
      </c>
    </row>
    <row r="26156">
      <c r="A26156" s="48" t="s">
        <v>9914</v>
      </c>
      <c r="B26156" s="38">
        <v>29143.0</v>
      </c>
      <c r="C26156" s="38" t="s">
        <v>30642</v>
      </c>
      <c r="D26156" s="38" t="str">
        <f>IFERROR(__xludf.DUMMYFUNCTION("REGEXREPLACE(C26156,""-\d+(.*)|--\d+(.*)"","""")"),"MAHALON")</f>
        <v>MAHALON</v>
      </c>
      <c r="E26156" s="38" t="s">
        <v>176</v>
      </c>
      <c r="F26156" s="38" t="s">
        <v>90</v>
      </c>
      <c r="G26156" s="49" t="str">
        <f t="shared" si="1"/>
        <v>29790</v>
      </c>
      <c r="H26156" s="49">
        <f t="shared" si="2"/>
        <v>29143</v>
      </c>
    </row>
    <row r="26157">
      <c r="A26157" s="48" t="s">
        <v>5398</v>
      </c>
      <c r="B26157" s="38">
        <v>64395.0</v>
      </c>
      <c r="C26157" s="38" t="s">
        <v>4587</v>
      </c>
      <c r="D26157" s="38" t="str">
        <f>IFERROR(__xludf.DUMMYFUNCTION("REGEXREPLACE(C26157,""-\d+(.*)|--\d+(.*)"","""")"),"MONSEGUR")</f>
        <v>MONSEGUR</v>
      </c>
      <c r="E26157" s="38" t="s">
        <v>268</v>
      </c>
      <c r="F26157" s="38" t="s">
        <v>252</v>
      </c>
      <c r="G26157" s="49" t="str">
        <f t="shared" si="1"/>
        <v>64460</v>
      </c>
      <c r="H26157" s="49">
        <f t="shared" si="2"/>
        <v>64395</v>
      </c>
    </row>
    <row r="26158">
      <c r="A26158" s="48" t="s">
        <v>9556</v>
      </c>
      <c r="B26158" s="38">
        <v>60269.0</v>
      </c>
      <c r="C26158" s="38" t="s">
        <v>30643</v>
      </c>
      <c r="D26158" s="38" t="str">
        <f>IFERROR(__xludf.DUMMYFUNCTION("REGEXREPLACE(C26158,""-\d+(.*)|--\d+(.*)"","""")"),"GAUDECHART")</f>
        <v>GAUDECHART</v>
      </c>
      <c r="E26158" s="38" t="s">
        <v>112</v>
      </c>
      <c r="F26158" s="38" t="s">
        <v>113</v>
      </c>
      <c r="G26158" s="49" t="str">
        <f t="shared" si="1"/>
        <v>60210</v>
      </c>
      <c r="H26158" s="49">
        <f t="shared" si="2"/>
        <v>60269</v>
      </c>
    </row>
    <row r="26159">
      <c r="A26159" s="48" t="s">
        <v>3013</v>
      </c>
      <c r="B26159" s="38">
        <v>48145.0</v>
      </c>
      <c r="C26159" s="38" t="s">
        <v>30644</v>
      </c>
      <c r="D26159" s="38" t="str">
        <f>IFERROR(__xludf.DUMMYFUNCTION("REGEXREPLACE(C26159,""-\d+(.*)|--\d+(.*)"","""")"),"SAINT-DENIS-EN-MARGERIDE")</f>
        <v>SAINT-DENIS-EN-MARGERIDE</v>
      </c>
      <c r="E26159" s="38" t="s">
        <v>154</v>
      </c>
      <c r="F26159" s="38" t="s">
        <v>119</v>
      </c>
      <c r="G26159" s="49" t="str">
        <f t="shared" si="1"/>
        <v>48700</v>
      </c>
      <c r="H26159" s="49">
        <f t="shared" si="2"/>
        <v>48145</v>
      </c>
    </row>
    <row r="26160">
      <c r="A26160" s="48" t="s">
        <v>1790</v>
      </c>
      <c r="B26160" s="38">
        <v>67451.0</v>
      </c>
      <c r="C26160" s="38" t="s">
        <v>30645</v>
      </c>
      <c r="D26160" s="38" t="str">
        <f>IFERROR(__xludf.DUMMYFUNCTION("REGEXREPLACE(C26160,""-\d+(.*)|--\d+(.*)"","""")"),"SCHLEITHAL")</f>
        <v>SCHLEITHAL</v>
      </c>
      <c r="E26160" s="38" t="s">
        <v>210</v>
      </c>
      <c r="F26160" s="38" t="s">
        <v>151</v>
      </c>
      <c r="G26160" s="49" t="str">
        <f t="shared" si="1"/>
        <v>67160</v>
      </c>
      <c r="H26160" s="49">
        <f t="shared" si="2"/>
        <v>67451</v>
      </c>
    </row>
    <row r="26161">
      <c r="A26161" s="48" t="s">
        <v>2330</v>
      </c>
      <c r="B26161" s="38">
        <v>65352.0</v>
      </c>
      <c r="C26161" s="38" t="s">
        <v>30646</v>
      </c>
      <c r="D26161" s="38" t="str">
        <f>IFERROR(__xludf.DUMMYFUNCTION("REGEXREPLACE(C26161,""-\d+(.*)|--\d+(.*)"","""")"),"OUZOUS")</f>
        <v>OUZOUS</v>
      </c>
      <c r="E26161" s="38" t="s">
        <v>200</v>
      </c>
      <c r="F26161" s="38" t="s">
        <v>94</v>
      </c>
      <c r="G26161" s="49" t="str">
        <f t="shared" si="1"/>
        <v>65400</v>
      </c>
      <c r="H26161" s="49">
        <f t="shared" si="2"/>
        <v>65352</v>
      </c>
    </row>
    <row r="26162">
      <c r="A26162" s="48" t="s">
        <v>6789</v>
      </c>
      <c r="B26162" s="38">
        <v>30120.0</v>
      </c>
      <c r="C26162" s="38" t="s">
        <v>30647</v>
      </c>
      <c r="D26162" s="38" t="str">
        <f>IFERROR(__xludf.DUMMYFUNCTION("REGEXREPLACE(C26162,""-\d+(.*)|--\d+(.*)"","""")"),"GAGNIERES")</f>
        <v>GAGNIERES</v>
      </c>
      <c r="E26162" s="38" t="s">
        <v>526</v>
      </c>
      <c r="F26162" s="38" t="s">
        <v>119</v>
      </c>
      <c r="G26162" s="49" t="str">
        <f t="shared" si="1"/>
        <v>30160</v>
      </c>
      <c r="H26162" s="49">
        <f t="shared" si="2"/>
        <v>30120</v>
      </c>
    </row>
    <row r="26163">
      <c r="A26163" s="48" t="s">
        <v>16867</v>
      </c>
      <c r="B26163" s="38">
        <v>15148.0</v>
      </c>
      <c r="C26163" s="38" t="s">
        <v>14144</v>
      </c>
      <c r="D26163" s="38" t="str">
        <f>IFERROR(__xludf.DUMMYFUNCTION("REGEXREPLACE(C26163,""-\d+(.*)|--\d+(.*)"","""")"),"PAULHAC")</f>
        <v>PAULHAC</v>
      </c>
      <c r="E26163" s="38" t="s">
        <v>632</v>
      </c>
      <c r="F26163" s="38" t="s">
        <v>161</v>
      </c>
      <c r="G26163" s="49" t="str">
        <f t="shared" si="1"/>
        <v>15430</v>
      </c>
      <c r="H26163" s="49">
        <f t="shared" si="2"/>
        <v>15148</v>
      </c>
    </row>
    <row r="26164">
      <c r="A26164" s="48" t="s">
        <v>2868</v>
      </c>
      <c r="B26164" s="38">
        <v>80027.0</v>
      </c>
      <c r="C26164" s="38" t="s">
        <v>12012</v>
      </c>
      <c r="D26164" s="38" t="str">
        <f>IFERROR(__xludf.DUMMYFUNCTION("REGEXREPLACE(C26164,""-\d+(.*)|--\d+(.*)"","""")"),"ARMANCOURT")</f>
        <v>ARMANCOURT</v>
      </c>
      <c r="E26164" s="38" t="s">
        <v>224</v>
      </c>
      <c r="F26164" s="38" t="s">
        <v>113</v>
      </c>
      <c r="G26164" s="49" t="str">
        <f t="shared" si="1"/>
        <v>80700</v>
      </c>
      <c r="H26164" s="49">
        <f t="shared" si="2"/>
        <v>80027</v>
      </c>
    </row>
    <row r="26165">
      <c r="A26165" s="48" t="s">
        <v>13339</v>
      </c>
      <c r="B26165" s="38">
        <v>62864.0</v>
      </c>
      <c r="C26165" s="38" t="s">
        <v>30648</v>
      </c>
      <c r="D26165" s="38" t="str">
        <f>IFERROR(__xludf.DUMMYFUNCTION("REGEXREPLACE(C26165,""-\d+(.*)|--\d+(.*)"","""")"),"VIS-EN-ARTOIS")</f>
        <v>VIS-EN-ARTOIS</v>
      </c>
      <c r="E26165" s="38" t="s">
        <v>109</v>
      </c>
      <c r="F26165" s="38" t="s">
        <v>86</v>
      </c>
      <c r="G26165" s="49" t="str">
        <f t="shared" si="1"/>
        <v>62156</v>
      </c>
      <c r="H26165" s="49">
        <f t="shared" si="2"/>
        <v>62864</v>
      </c>
    </row>
    <row r="26166">
      <c r="A26166" s="48" t="s">
        <v>2249</v>
      </c>
      <c r="B26166" s="38">
        <v>14322.0</v>
      </c>
      <c r="C26166" s="38" t="s">
        <v>30649</v>
      </c>
      <c r="D26166" s="38" t="str">
        <f>IFERROR(__xludf.DUMMYFUNCTION("REGEXREPLACE(C26166,""-\d+(.*)|--\d+(.*)"","""")"),"GUERON")</f>
        <v>GUERON</v>
      </c>
      <c r="E26166" s="38" t="s">
        <v>137</v>
      </c>
      <c r="F26166" s="38" t="s">
        <v>138</v>
      </c>
      <c r="G26166" s="49" t="str">
        <f t="shared" si="1"/>
        <v>14400</v>
      </c>
      <c r="H26166" s="49">
        <f t="shared" si="2"/>
        <v>14322</v>
      </c>
    </row>
    <row r="26167">
      <c r="A26167" s="48" t="s">
        <v>3532</v>
      </c>
      <c r="B26167" s="38">
        <v>2717.0</v>
      </c>
      <c r="C26167" s="38" t="s">
        <v>30650</v>
      </c>
      <c r="D26167" s="38" t="str">
        <f>IFERROR(__xludf.DUMMYFUNCTION("REGEXREPLACE(C26167,""-\d+(.*)|--\d+(.*)"","""")"),"SERY-LES-MEZIERES")</f>
        <v>SERY-LES-MEZIERES</v>
      </c>
      <c r="E26167" s="38" t="s">
        <v>191</v>
      </c>
      <c r="F26167" s="38" t="s">
        <v>113</v>
      </c>
      <c r="G26167" s="49" t="str">
        <f t="shared" si="1"/>
        <v>02240</v>
      </c>
      <c r="H26167" s="49" t="str">
        <f t="shared" si="2"/>
        <v>02717</v>
      </c>
    </row>
    <row r="26168">
      <c r="A26168" s="48" t="s">
        <v>1029</v>
      </c>
      <c r="B26168" s="38">
        <v>9143.0</v>
      </c>
      <c r="C26168" s="38" t="s">
        <v>30651</v>
      </c>
      <c r="D26168" s="38" t="str">
        <f>IFERROR(__xludf.DUMMYFUNCTION("REGEXREPLACE(C26168,""-\d+(.*)|--\d+(.*)"","""")"),"ILLIER-ET-LARAMADE")</f>
        <v>ILLIER-ET-LARAMADE</v>
      </c>
      <c r="E26168" s="38" t="s">
        <v>238</v>
      </c>
      <c r="F26168" s="38" t="s">
        <v>94</v>
      </c>
      <c r="G26168" s="49" t="str">
        <f t="shared" si="1"/>
        <v>09220</v>
      </c>
      <c r="H26168" s="49" t="str">
        <f t="shared" si="2"/>
        <v>09143</v>
      </c>
    </row>
    <row r="26169">
      <c r="A26169" s="48" t="s">
        <v>13405</v>
      </c>
      <c r="B26169" s="38">
        <v>28368.0</v>
      </c>
      <c r="C26169" s="38" t="s">
        <v>30652</v>
      </c>
      <c r="D26169" s="38" t="str">
        <f>IFERROR(__xludf.DUMMYFUNCTION("REGEXREPLACE(C26169,""-\d+(.*)|--\d+(.*)"","""")"),"LA SAUCELLE")</f>
        <v>LA SAUCELLE</v>
      </c>
      <c r="E26169" s="38" t="s">
        <v>300</v>
      </c>
      <c r="F26169" s="38" t="s">
        <v>123</v>
      </c>
      <c r="G26169" s="49" t="str">
        <f t="shared" si="1"/>
        <v>28250</v>
      </c>
      <c r="H26169" s="49">
        <f t="shared" si="2"/>
        <v>28368</v>
      </c>
    </row>
    <row r="26170">
      <c r="A26170" s="48" t="s">
        <v>6474</v>
      </c>
      <c r="B26170" s="38">
        <v>61414.0</v>
      </c>
      <c r="C26170" s="38" t="s">
        <v>30653</v>
      </c>
      <c r="D26170" s="38" t="str">
        <f>IFERROR(__xludf.DUMMYFUNCTION("REGEXREPLACE(C26170,""-\d+(.*)|--\d+(.*)"","""")"),"SAINT-LANGIS-LES-MORTAGNE")</f>
        <v>SAINT-LANGIS-LES-MORTAGNE</v>
      </c>
      <c r="E26170" s="38" t="s">
        <v>141</v>
      </c>
      <c r="F26170" s="38" t="s">
        <v>138</v>
      </c>
      <c r="G26170" s="49" t="str">
        <f t="shared" si="1"/>
        <v>61400</v>
      </c>
      <c r="H26170" s="49">
        <f t="shared" si="2"/>
        <v>61414</v>
      </c>
    </row>
    <row r="26171">
      <c r="A26171" s="48" t="s">
        <v>1905</v>
      </c>
      <c r="B26171" s="38">
        <v>29193.0</v>
      </c>
      <c r="C26171" s="38" t="s">
        <v>30654</v>
      </c>
      <c r="D26171" s="38" t="str">
        <f>IFERROR(__xludf.DUMMYFUNCTION("REGEXREPLACE(C26171,""-\d+(.*)|--\d+(.*)"","""")"),"PLOUGOURVEST")</f>
        <v>PLOUGOURVEST</v>
      </c>
      <c r="E26171" s="38" t="s">
        <v>176</v>
      </c>
      <c r="F26171" s="38" t="s">
        <v>90</v>
      </c>
      <c r="G26171" s="49" t="str">
        <f t="shared" si="1"/>
        <v>29400</v>
      </c>
      <c r="H26171" s="49">
        <f t="shared" si="2"/>
        <v>29193</v>
      </c>
    </row>
    <row r="26172">
      <c r="A26172" s="48" t="s">
        <v>3904</v>
      </c>
      <c r="B26172" s="38">
        <v>43095.0</v>
      </c>
      <c r="C26172" s="38" t="s">
        <v>30655</v>
      </c>
      <c r="D26172" s="38" t="str">
        <f>IFERROR(__xludf.DUMMYFUNCTION("REGEXREPLACE(C26172,""-\d+(.*)|--\d+(.*)"","""")"),"FIX-SAINT-GENEYS")</f>
        <v>FIX-SAINT-GENEYS</v>
      </c>
      <c r="E26172" s="38" t="s">
        <v>332</v>
      </c>
      <c r="F26172" s="38" t="s">
        <v>161</v>
      </c>
      <c r="G26172" s="49" t="str">
        <f t="shared" si="1"/>
        <v>43320</v>
      </c>
      <c r="H26172" s="49">
        <f t="shared" si="2"/>
        <v>43095</v>
      </c>
    </row>
    <row r="26173">
      <c r="A26173" s="48" t="s">
        <v>910</v>
      </c>
      <c r="B26173" s="38">
        <v>32432.0</v>
      </c>
      <c r="C26173" s="38" t="s">
        <v>30656</v>
      </c>
      <c r="D26173" s="38" t="str">
        <f>IFERROR(__xludf.DUMMYFUNCTION("REGEXREPLACE(C26173,""-\d+(.*)|--\d+(.*)"","""")"),"SEYSSES-SAVES")</f>
        <v>SEYSSES-SAVES</v>
      </c>
      <c r="E26173" s="38" t="s">
        <v>440</v>
      </c>
      <c r="F26173" s="38" t="s">
        <v>94</v>
      </c>
      <c r="G26173" s="49" t="str">
        <f t="shared" si="1"/>
        <v>32130</v>
      </c>
      <c r="H26173" s="49">
        <f t="shared" si="2"/>
        <v>32432</v>
      </c>
    </row>
    <row r="26174">
      <c r="A26174" s="48" t="s">
        <v>3418</v>
      </c>
      <c r="B26174" s="38">
        <v>47229.0</v>
      </c>
      <c r="C26174" s="38" t="s">
        <v>30657</v>
      </c>
      <c r="D26174" s="38" t="str">
        <f>IFERROR(__xludf.DUMMYFUNCTION("REGEXREPLACE(C26174,""-\d+(.*)|--\d+(.*)"","""")"),"SAINT-ASTIER")</f>
        <v>SAINT-ASTIER</v>
      </c>
      <c r="E26174" s="38" t="s">
        <v>251</v>
      </c>
      <c r="F26174" s="38" t="s">
        <v>252</v>
      </c>
      <c r="G26174" s="49" t="str">
        <f t="shared" si="1"/>
        <v>47120</v>
      </c>
      <c r="H26174" s="49">
        <f t="shared" si="2"/>
        <v>47229</v>
      </c>
    </row>
    <row r="26175">
      <c r="A26175" s="48" t="s">
        <v>8786</v>
      </c>
      <c r="B26175" s="38">
        <v>44040.0</v>
      </c>
      <c r="C26175" s="38" t="s">
        <v>30658</v>
      </c>
      <c r="D26175" s="38" t="str">
        <f>IFERROR(__xludf.DUMMYFUNCTION("REGEXREPLACE(C26175,""-\d+(.*)|--\d+(.*)"","""")"),"CHEMERE")</f>
        <v>CHEMERE</v>
      </c>
      <c r="E26175" s="38" t="s">
        <v>759</v>
      </c>
      <c r="F26175" s="38" t="s">
        <v>180</v>
      </c>
      <c r="G26175" s="49" t="str">
        <f t="shared" si="1"/>
        <v>44680</v>
      </c>
      <c r="H26175" s="49">
        <f t="shared" si="2"/>
        <v>44040</v>
      </c>
    </row>
    <row r="26176">
      <c r="A26176" s="48" t="s">
        <v>1364</v>
      </c>
      <c r="B26176" s="38">
        <v>64070.0</v>
      </c>
      <c r="C26176" s="38" t="s">
        <v>30659</v>
      </c>
      <c r="D26176" s="38" t="str">
        <f>IFERROR(__xludf.DUMMYFUNCTION("REGEXREPLACE(C26176,""-\d+(.*)|--\d+(.*)"","""")"),"ASTIS")</f>
        <v>ASTIS</v>
      </c>
      <c r="E26176" s="38" t="s">
        <v>268</v>
      </c>
      <c r="F26176" s="38" t="s">
        <v>252</v>
      </c>
      <c r="G26176" s="49" t="str">
        <f t="shared" si="1"/>
        <v>64450</v>
      </c>
      <c r="H26176" s="49">
        <f t="shared" si="2"/>
        <v>64070</v>
      </c>
    </row>
    <row r="26177">
      <c r="A26177" s="48" t="s">
        <v>7926</v>
      </c>
      <c r="B26177" s="38">
        <v>71547.0</v>
      </c>
      <c r="C26177" s="38" t="s">
        <v>30660</v>
      </c>
      <c r="D26177" s="38" t="str">
        <f>IFERROR(__xludf.DUMMYFUNCTION("REGEXREPLACE(C26177,""-\d+(.*)|--\d+(.*)"","""")"),"TRIVY")</f>
        <v>TRIVY</v>
      </c>
      <c r="E26177" s="38" t="s">
        <v>344</v>
      </c>
      <c r="F26177" s="38" t="s">
        <v>106</v>
      </c>
      <c r="G26177" s="49" t="str">
        <f t="shared" si="1"/>
        <v>71520</v>
      </c>
      <c r="H26177" s="49">
        <f t="shared" si="2"/>
        <v>71547</v>
      </c>
    </row>
    <row r="26178">
      <c r="A26178" s="48" t="s">
        <v>3190</v>
      </c>
      <c r="B26178" s="38">
        <v>70255.0</v>
      </c>
      <c r="C26178" s="38" t="s">
        <v>30661</v>
      </c>
      <c r="D26178" s="38" t="str">
        <f>IFERROR(__xludf.DUMMYFUNCTION("REGEXREPLACE(C26178,""-\d+(.*)|--\d+(.*)"","""")"),"FRESNE-SAINT-MAMES")</f>
        <v>FRESNE-SAINT-MAMES</v>
      </c>
      <c r="E26178" s="38" t="s">
        <v>956</v>
      </c>
      <c r="F26178" s="38" t="s">
        <v>214</v>
      </c>
      <c r="G26178" s="49" t="str">
        <f t="shared" si="1"/>
        <v>70130</v>
      </c>
      <c r="H26178" s="49">
        <f t="shared" si="2"/>
        <v>70255</v>
      </c>
    </row>
    <row r="26179">
      <c r="A26179" s="48" t="s">
        <v>2642</v>
      </c>
      <c r="B26179" s="38">
        <v>37145.0</v>
      </c>
      <c r="C26179" s="38" t="s">
        <v>30662</v>
      </c>
      <c r="D26179" s="38" t="str">
        <f>IFERROR(__xludf.DUMMYFUNCTION("REGEXREPLACE(C26179,""-\d+(.*)|--\d+(.*)"","""")"),"MARCE-SUR-ESVES")</f>
        <v>MARCE-SUR-ESVES</v>
      </c>
      <c r="E26179" s="38" t="s">
        <v>205</v>
      </c>
      <c r="F26179" s="38" t="s">
        <v>123</v>
      </c>
      <c r="G26179" s="49" t="str">
        <f t="shared" si="1"/>
        <v>37160</v>
      </c>
      <c r="H26179" s="49">
        <f t="shared" si="2"/>
        <v>37145</v>
      </c>
    </row>
    <row r="26180">
      <c r="A26180" s="48" t="s">
        <v>22674</v>
      </c>
      <c r="B26180" s="38">
        <v>40268.0</v>
      </c>
      <c r="C26180" s="38" t="s">
        <v>30663</v>
      </c>
      <c r="D26180" s="38" t="str">
        <f>IFERROR(__xludf.DUMMYFUNCTION("REGEXREPLACE(C26180,""-\d+(.*)|--\d+(.*)"","""")"),"SAINT-LAURENT-DE-GOSSE")</f>
        <v>SAINT-LAURENT-DE-GOSSE</v>
      </c>
      <c r="E26180" s="38" t="s">
        <v>281</v>
      </c>
      <c r="F26180" s="38" t="s">
        <v>252</v>
      </c>
      <c r="G26180" s="49" t="str">
        <f t="shared" si="1"/>
        <v>40390</v>
      </c>
      <c r="H26180" s="49">
        <f t="shared" si="2"/>
        <v>40268</v>
      </c>
    </row>
    <row r="26181">
      <c r="A26181" s="48" t="s">
        <v>5443</v>
      </c>
      <c r="B26181" s="38">
        <v>76683.0</v>
      </c>
      <c r="C26181" s="38" t="s">
        <v>30664</v>
      </c>
      <c r="D26181" s="38" t="str">
        <f>IFERROR(__xludf.DUMMYFUNCTION("REGEXREPLACE(C26181,""-\d+(.*)|--\d+(.*)"","""")"),"SOTTEVILLE-SUR-MER")</f>
        <v>SOTTEVILLE-SUR-MER</v>
      </c>
      <c r="E26181" s="38" t="s">
        <v>133</v>
      </c>
      <c r="F26181" s="38" t="s">
        <v>134</v>
      </c>
      <c r="G26181" s="49" t="str">
        <f t="shared" si="1"/>
        <v>76740</v>
      </c>
      <c r="H26181" s="49">
        <f t="shared" si="2"/>
        <v>76683</v>
      </c>
    </row>
    <row r="26182">
      <c r="A26182" s="48" t="s">
        <v>2421</v>
      </c>
      <c r="B26182" s="38">
        <v>4057.0</v>
      </c>
      <c r="C26182" s="38" t="s">
        <v>30665</v>
      </c>
      <c r="D26182" s="38" t="str">
        <f>IFERROR(__xludf.DUMMYFUNCTION("REGEXREPLACE(C26182,""-\d+(.*)|--\d+(.*)"","""")"),"CLAMENSANE")</f>
        <v>CLAMENSANE</v>
      </c>
      <c r="E26182" s="38" t="s">
        <v>662</v>
      </c>
      <c r="F26182" s="38" t="s">
        <v>228</v>
      </c>
      <c r="G26182" s="49" t="str">
        <f t="shared" si="1"/>
        <v>04250</v>
      </c>
      <c r="H26182" s="49" t="str">
        <f t="shared" si="2"/>
        <v>04057</v>
      </c>
    </row>
    <row r="26183">
      <c r="A26183" s="48" t="s">
        <v>2534</v>
      </c>
      <c r="B26183" s="38">
        <v>27700.0</v>
      </c>
      <c r="C26183" s="38" t="s">
        <v>30666</v>
      </c>
      <c r="D26183" s="38" t="str">
        <f>IFERROR(__xludf.DUMMYFUNCTION("REGEXREPLACE(C26183,""-\d+(.*)|--\d+(.*)"","""")"),"VRAIVILLE")</f>
        <v>VRAIVILLE</v>
      </c>
      <c r="E26183" s="38" t="s">
        <v>241</v>
      </c>
      <c r="F26183" s="38" t="s">
        <v>134</v>
      </c>
      <c r="G26183" s="49" t="str">
        <f t="shared" si="1"/>
        <v>27370</v>
      </c>
      <c r="H26183" s="49">
        <f t="shared" si="2"/>
        <v>27700</v>
      </c>
    </row>
    <row r="26184">
      <c r="A26184" s="48" t="s">
        <v>4071</v>
      </c>
      <c r="B26184" s="38">
        <v>66138.0</v>
      </c>
      <c r="C26184" s="38" t="s">
        <v>30667</v>
      </c>
      <c r="D26184" s="38" t="str">
        <f>IFERROR(__xludf.DUMMYFUNCTION("REGEXREPLACE(C26184,""-\d+(.*)|--\d+(.*)"","""")"),"PEYRESTORTES")</f>
        <v>PEYRESTORTES</v>
      </c>
      <c r="E26184" s="38" t="s">
        <v>248</v>
      </c>
      <c r="F26184" s="38" t="s">
        <v>119</v>
      </c>
      <c r="G26184" s="49" t="str">
        <f t="shared" si="1"/>
        <v>66600</v>
      </c>
      <c r="H26184" s="49">
        <f t="shared" si="2"/>
        <v>66138</v>
      </c>
    </row>
    <row r="26185">
      <c r="A26185" s="48" t="s">
        <v>22242</v>
      </c>
      <c r="B26185" s="38">
        <v>63311.0</v>
      </c>
      <c r="C26185" s="38" t="s">
        <v>30668</v>
      </c>
      <c r="D26185" s="38" t="str">
        <f>IFERROR(__xludf.DUMMYFUNCTION("REGEXREPLACE(C26185,""-\d+(.*)|--\d+(.*)"","""")"),"SAINT-AGOULIN")</f>
        <v>SAINT-AGOULIN</v>
      </c>
      <c r="E26185" s="38" t="s">
        <v>353</v>
      </c>
      <c r="F26185" s="38" t="s">
        <v>161</v>
      </c>
      <c r="G26185" s="49" t="str">
        <f t="shared" si="1"/>
        <v>63260</v>
      </c>
      <c r="H26185" s="49">
        <f t="shared" si="2"/>
        <v>63311</v>
      </c>
    </row>
    <row r="26186">
      <c r="A26186" s="48" t="s">
        <v>7657</v>
      </c>
      <c r="B26186" s="38">
        <v>80392.0</v>
      </c>
      <c r="C26186" s="38" t="s">
        <v>30669</v>
      </c>
      <c r="D26186" s="38" t="str">
        <f>IFERROR(__xludf.DUMMYFUNCTION("REGEXREPLACE(C26186,""-\d+(.*)|--\d+(.*)"","""")"),"GROUCHES-LUCHUEL")</f>
        <v>GROUCHES-LUCHUEL</v>
      </c>
      <c r="E26186" s="38" t="s">
        <v>224</v>
      </c>
      <c r="F26186" s="38" t="s">
        <v>113</v>
      </c>
      <c r="G26186" s="49" t="str">
        <f t="shared" si="1"/>
        <v>80600</v>
      </c>
      <c r="H26186" s="49">
        <f t="shared" si="2"/>
        <v>80392</v>
      </c>
    </row>
    <row r="26187">
      <c r="A26187" s="48" t="s">
        <v>15628</v>
      </c>
      <c r="B26187" s="38">
        <v>77364.0</v>
      </c>
      <c r="C26187" s="38" t="s">
        <v>30670</v>
      </c>
      <c r="D26187" s="38" t="str">
        <f>IFERROR(__xludf.DUMMYFUNCTION("REGEXREPLACE(C26187,""-\d+(.*)|--\d+(.*)"","""")"),"LE PLESSIS-AUX-BOIS")</f>
        <v>LE PLESSIS-AUX-BOIS</v>
      </c>
      <c r="E26187" s="38" t="s">
        <v>244</v>
      </c>
      <c r="F26187" s="38" t="s">
        <v>245</v>
      </c>
      <c r="G26187" s="49" t="str">
        <f t="shared" si="1"/>
        <v>77165</v>
      </c>
      <c r="H26187" s="49">
        <f t="shared" si="2"/>
        <v>77364</v>
      </c>
    </row>
    <row r="26188">
      <c r="A26188" s="48" t="s">
        <v>7598</v>
      </c>
      <c r="B26188" s="38">
        <v>32047.0</v>
      </c>
      <c r="C26188" s="38" t="s">
        <v>30671</v>
      </c>
      <c r="D26188" s="38" t="str">
        <f>IFERROR(__xludf.DUMMYFUNCTION("REGEXREPLACE(C26188,""-\d+(.*)|--\d+(.*)"","""")"),"BERRAC")</f>
        <v>BERRAC</v>
      </c>
      <c r="E26188" s="38" t="s">
        <v>440</v>
      </c>
      <c r="F26188" s="38" t="s">
        <v>94</v>
      </c>
      <c r="G26188" s="49" t="str">
        <f t="shared" si="1"/>
        <v>32480</v>
      </c>
      <c r="H26188" s="49">
        <f t="shared" si="2"/>
        <v>32047</v>
      </c>
    </row>
    <row r="26189">
      <c r="A26189" s="48" t="s">
        <v>4011</v>
      </c>
      <c r="B26189" s="38">
        <v>80317.0</v>
      </c>
      <c r="C26189" s="38" t="s">
        <v>1076</v>
      </c>
      <c r="D26189" s="38" t="str">
        <f>IFERROR(__xludf.DUMMYFUNCTION("REGEXREPLACE(C26189,""-\d+(.*)|--\d+(.*)"","""")"),"FLEURY")</f>
        <v>FLEURY</v>
      </c>
      <c r="E26189" s="38" t="s">
        <v>224</v>
      </c>
      <c r="F26189" s="38" t="s">
        <v>113</v>
      </c>
      <c r="G26189" s="49" t="str">
        <f t="shared" si="1"/>
        <v>80160</v>
      </c>
      <c r="H26189" s="49">
        <f t="shared" si="2"/>
        <v>80317</v>
      </c>
    </row>
    <row r="26190">
      <c r="A26190" s="48" t="s">
        <v>3812</v>
      </c>
      <c r="B26190" s="38">
        <v>71460.0</v>
      </c>
      <c r="C26190" s="38" t="s">
        <v>30672</v>
      </c>
      <c r="D26190" s="38" t="str">
        <f>IFERROR(__xludf.DUMMYFUNCTION("REGEXREPLACE(C26190,""-\d+(.*)|--\d+(.*)"","""")"),"SAINT-MAURICE-DE-SATONNAY")</f>
        <v>SAINT-MAURICE-DE-SATONNAY</v>
      </c>
      <c r="E26190" s="38" t="s">
        <v>344</v>
      </c>
      <c r="F26190" s="38" t="s">
        <v>106</v>
      </c>
      <c r="G26190" s="49" t="str">
        <f t="shared" si="1"/>
        <v>71260</v>
      </c>
      <c r="H26190" s="49">
        <f t="shared" si="2"/>
        <v>71460</v>
      </c>
    </row>
    <row r="26191">
      <c r="A26191" s="48" t="s">
        <v>1422</v>
      </c>
      <c r="B26191" s="38">
        <v>14082.0</v>
      </c>
      <c r="C26191" s="38" t="s">
        <v>17711</v>
      </c>
      <c r="D26191" s="38" t="str">
        <f>IFERROR(__xludf.DUMMYFUNCTION("REGEXREPLACE(C26191,""-\d+(.*)|--\d+(.*)"","""")"),"LA BOISSIERE")</f>
        <v>LA BOISSIERE</v>
      </c>
      <c r="E26191" s="38" t="s">
        <v>137</v>
      </c>
      <c r="F26191" s="38" t="s">
        <v>138</v>
      </c>
      <c r="G26191" s="49" t="str">
        <f t="shared" si="1"/>
        <v>14340</v>
      </c>
      <c r="H26191" s="49">
        <f t="shared" si="2"/>
        <v>14082</v>
      </c>
    </row>
    <row r="26192">
      <c r="A26192" s="48" t="s">
        <v>11009</v>
      </c>
      <c r="B26192" s="38">
        <v>33493.0</v>
      </c>
      <c r="C26192" s="38" t="s">
        <v>30673</v>
      </c>
      <c r="D26192" s="38" t="str">
        <f>IFERROR(__xludf.DUMMYFUNCTION("REGEXREPLACE(C26192,""-\d+(.*)|--\d+(.*)"","""")"),"SAINT-YZANS-DE-MEDOC")</f>
        <v>SAINT-YZANS-DE-MEDOC</v>
      </c>
      <c r="E26192" s="38" t="s">
        <v>462</v>
      </c>
      <c r="F26192" s="38" t="s">
        <v>252</v>
      </c>
      <c r="G26192" s="49" t="str">
        <f t="shared" si="1"/>
        <v>33340</v>
      </c>
      <c r="H26192" s="49">
        <f t="shared" si="2"/>
        <v>33493</v>
      </c>
    </row>
    <row r="26193">
      <c r="A26193" s="48" t="s">
        <v>1012</v>
      </c>
      <c r="B26193" s="38">
        <v>21457.0</v>
      </c>
      <c r="C26193" s="38" t="s">
        <v>30674</v>
      </c>
      <c r="D26193" s="38" t="str">
        <f>IFERROR(__xludf.DUMMYFUNCTION("REGEXREPLACE(C26193,""-\d+(.*)|--\d+(.*)"","""")"),"NOIDAN")</f>
        <v>NOIDAN</v>
      </c>
      <c r="E26193" s="38" t="s">
        <v>105</v>
      </c>
      <c r="F26193" s="38" t="s">
        <v>106</v>
      </c>
      <c r="G26193" s="49" t="str">
        <f t="shared" si="1"/>
        <v>21390</v>
      </c>
      <c r="H26193" s="49">
        <f t="shared" si="2"/>
        <v>21457</v>
      </c>
    </row>
    <row r="26194">
      <c r="A26194" s="48" t="s">
        <v>7332</v>
      </c>
      <c r="B26194" s="38">
        <v>24435.0</v>
      </c>
      <c r="C26194" s="38" t="s">
        <v>30675</v>
      </c>
      <c r="D26194" s="38" t="str">
        <f>IFERROR(__xludf.DUMMYFUNCTION("REGEXREPLACE(C26194,""-\d+(.*)|--\d+(.*)"","""")"),"SAINT-LAURENT-DES-BATONS")</f>
        <v>SAINT-LAURENT-DES-BATONS</v>
      </c>
      <c r="E26194" s="38" t="s">
        <v>261</v>
      </c>
      <c r="F26194" s="38" t="s">
        <v>252</v>
      </c>
      <c r="G26194" s="49" t="str">
        <f t="shared" si="1"/>
        <v>24510</v>
      </c>
      <c r="H26194" s="49">
        <f t="shared" si="2"/>
        <v>24435</v>
      </c>
    </row>
    <row r="26195">
      <c r="A26195" s="48" t="s">
        <v>30676</v>
      </c>
      <c r="B26195" s="38">
        <v>97110.0</v>
      </c>
      <c r="C26195" s="38" t="s">
        <v>30677</v>
      </c>
      <c r="D26195" s="38" t="str">
        <f>IFERROR(__xludf.DUMMYFUNCTION("REGEXREPLACE(C26195,""-\d+(.*)|--\d+(.*)"","""")"),"LA DESIRADE")</f>
        <v>LA DESIRADE</v>
      </c>
      <c r="E26195" s="38" t="s">
        <v>2023</v>
      </c>
      <c r="F26195" s="38" t="s">
        <v>2023</v>
      </c>
      <c r="G26195" s="49" t="str">
        <f t="shared" si="1"/>
        <v>97127</v>
      </c>
      <c r="H26195" s="49">
        <f t="shared" si="2"/>
        <v>97110</v>
      </c>
    </row>
    <row r="26196">
      <c r="A26196" s="48" t="s">
        <v>1093</v>
      </c>
      <c r="B26196" s="38">
        <v>62905.0</v>
      </c>
      <c r="C26196" s="38" t="s">
        <v>30678</v>
      </c>
      <c r="D26196" s="38" t="str">
        <f>IFERROR(__xludf.DUMMYFUNCTION("REGEXREPLACE(C26196,""-\d+(.*)|--\d+(.*)"","""")"),"ZUDAUSQUES")</f>
        <v>ZUDAUSQUES</v>
      </c>
      <c r="E26196" s="38" t="s">
        <v>109</v>
      </c>
      <c r="F26196" s="38" t="s">
        <v>86</v>
      </c>
      <c r="G26196" s="49" t="str">
        <f t="shared" si="1"/>
        <v>62500</v>
      </c>
      <c r="H26196" s="49">
        <f t="shared" si="2"/>
        <v>62905</v>
      </c>
    </row>
    <row r="26197">
      <c r="A26197" s="48" t="s">
        <v>732</v>
      </c>
      <c r="B26197" s="38">
        <v>10299.0</v>
      </c>
      <c r="C26197" s="38" t="s">
        <v>30679</v>
      </c>
      <c r="D26197" s="38" t="str">
        <f>IFERROR(__xludf.DUMMYFUNCTION("REGEXREPLACE(C26197,""-\d+(.*)|--\d+(.*)"","""")"),"POUAN-LES-VALLEES")</f>
        <v>POUAN-LES-VALLEES</v>
      </c>
      <c r="E26197" s="38" t="s">
        <v>147</v>
      </c>
      <c r="F26197" s="38" t="s">
        <v>130</v>
      </c>
      <c r="G26197" s="49" t="str">
        <f t="shared" si="1"/>
        <v>10700</v>
      </c>
      <c r="H26197" s="49">
        <f t="shared" si="2"/>
        <v>10299</v>
      </c>
    </row>
    <row r="26198">
      <c r="A26198" s="48" t="s">
        <v>30680</v>
      </c>
      <c r="B26198" s="38">
        <v>78382.0</v>
      </c>
      <c r="C26198" s="38" t="s">
        <v>30681</v>
      </c>
      <c r="D26198" s="38" t="str">
        <f>IFERROR(__xludf.DUMMYFUNCTION("REGEXREPLACE(C26198,""-\d+(.*)|--\d+(.*)"","""")"),"MAURECOURT")</f>
        <v>MAURECOURT</v>
      </c>
      <c r="E26198" s="38" t="s">
        <v>362</v>
      </c>
      <c r="F26198" s="38" t="s">
        <v>245</v>
      </c>
      <c r="G26198" s="49" t="str">
        <f t="shared" si="1"/>
        <v>78780</v>
      </c>
      <c r="H26198" s="49">
        <f t="shared" si="2"/>
        <v>78382</v>
      </c>
    </row>
    <row r="26199">
      <c r="A26199" s="48" t="s">
        <v>21808</v>
      </c>
      <c r="B26199" s="38">
        <v>14602.0</v>
      </c>
      <c r="C26199" s="38" t="s">
        <v>12825</v>
      </c>
      <c r="D26199" s="38" t="str">
        <f>IFERROR(__xludf.DUMMYFUNCTION("REGEXREPLACE(C26199,""-\d+(.*)|--\d+(.*)"","""")"),"SAINT-LAMBERT")</f>
        <v>SAINT-LAMBERT</v>
      </c>
      <c r="E26199" s="38" t="s">
        <v>137</v>
      </c>
      <c r="F26199" s="38" t="s">
        <v>138</v>
      </c>
      <c r="G26199" s="49" t="str">
        <f t="shared" si="1"/>
        <v>14570</v>
      </c>
      <c r="H26199" s="49">
        <f t="shared" si="2"/>
        <v>14602</v>
      </c>
    </row>
    <row r="26200">
      <c r="A26200" s="48" t="s">
        <v>6805</v>
      </c>
      <c r="B26200" s="38">
        <v>79114.0</v>
      </c>
      <c r="C26200" s="38" t="s">
        <v>30682</v>
      </c>
      <c r="D26200" s="38" t="str">
        <f>IFERROR(__xludf.DUMMYFUNCTION("REGEXREPLACE(C26200,""-\d+(.*)|--\d+(.*)"","""")"),"EXIREUIL")</f>
        <v>EXIREUIL</v>
      </c>
      <c r="E26200" s="38" t="s">
        <v>337</v>
      </c>
      <c r="F26200" s="38" t="s">
        <v>338</v>
      </c>
      <c r="G26200" s="49" t="str">
        <f t="shared" si="1"/>
        <v>79400</v>
      </c>
      <c r="H26200" s="49">
        <f t="shared" si="2"/>
        <v>79114</v>
      </c>
    </row>
    <row r="26201">
      <c r="A26201" s="48" t="s">
        <v>30683</v>
      </c>
      <c r="B26201" s="38">
        <v>66189.0</v>
      </c>
      <c r="C26201" s="38" t="s">
        <v>30684</v>
      </c>
      <c r="D26201" s="38" t="str">
        <f>IFERROR(__xludf.DUMMYFUNCTION("REGEXREPLACE(C26201,""-\d+(.*)|--\d+(.*)"","""")"),"SALEILLES")</f>
        <v>SALEILLES</v>
      </c>
      <c r="E26201" s="38" t="s">
        <v>248</v>
      </c>
      <c r="F26201" s="38" t="s">
        <v>119</v>
      </c>
      <c r="G26201" s="49" t="str">
        <f t="shared" si="1"/>
        <v>66280</v>
      </c>
      <c r="H26201" s="49">
        <f t="shared" si="2"/>
        <v>66189</v>
      </c>
    </row>
    <row r="26202">
      <c r="A26202" s="48" t="s">
        <v>12807</v>
      </c>
      <c r="B26202" s="38">
        <v>42020.0</v>
      </c>
      <c r="C26202" s="38" t="s">
        <v>30685</v>
      </c>
      <c r="D26202" s="38" t="str">
        <f>IFERROR(__xludf.DUMMYFUNCTION("REGEXREPLACE(C26202,""-\d+(.*)|--\d+(.*)"","""")"),"BOISSET-LES-MONTROND")</f>
        <v>BOISSET-LES-MONTROND</v>
      </c>
      <c r="E26202" s="38" t="s">
        <v>166</v>
      </c>
      <c r="F26202" s="38" t="s">
        <v>102</v>
      </c>
      <c r="G26202" s="49" t="str">
        <f t="shared" si="1"/>
        <v>42210</v>
      </c>
      <c r="H26202" s="49">
        <f t="shared" si="2"/>
        <v>42020</v>
      </c>
    </row>
    <row r="26203">
      <c r="A26203" s="48" t="s">
        <v>13171</v>
      </c>
      <c r="B26203" s="38">
        <v>15226.0</v>
      </c>
      <c r="C26203" s="38" t="s">
        <v>30686</v>
      </c>
      <c r="D26203" s="38" t="str">
        <f>IFERROR(__xludf.DUMMYFUNCTION("REGEXREPLACE(C26203,""-\d+(.*)|--\d+(.*)"","""")"),"SENEZERGUES")</f>
        <v>SENEZERGUES</v>
      </c>
      <c r="E26203" s="38" t="s">
        <v>632</v>
      </c>
      <c r="F26203" s="38" t="s">
        <v>161</v>
      </c>
      <c r="G26203" s="49" t="str">
        <f t="shared" si="1"/>
        <v>15340</v>
      </c>
      <c r="H26203" s="49">
        <f t="shared" si="2"/>
        <v>15226</v>
      </c>
    </row>
    <row r="26204">
      <c r="A26204" s="48" t="s">
        <v>23894</v>
      </c>
      <c r="B26204" s="38">
        <v>69216.0</v>
      </c>
      <c r="C26204" s="38" t="s">
        <v>30687</v>
      </c>
      <c r="D26204" s="38" t="str">
        <f>IFERROR(__xludf.DUMMYFUNCTION("REGEXREPLACE(C26204,""-\d+(.*)|--\d+(.*)"","""")"),"SAINT-JULIEN-SUR-BIBOST")</f>
        <v>SAINT-JULIEN-SUR-BIBOST</v>
      </c>
      <c r="E26204" s="38" t="s">
        <v>350</v>
      </c>
      <c r="F26204" s="38" t="s">
        <v>102</v>
      </c>
      <c r="G26204" s="49" t="str">
        <f t="shared" si="1"/>
        <v>69690</v>
      </c>
      <c r="H26204" s="49">
        <f t="shared" si="2"/>
        <v>69216</v>
      </c>
    </row>
    <row r="26205">
      <c r="A26205" s="48" t="s">
        <v>4235</v>
      </c>
      <c r="B26205" s="38">
        <v>50505.0</v>
      </c>
      <c r="C26205" s="38" t="s">
        <v>1320</v>
      </c>
      <c r="D26205" s="38" t="str">
        <f>IFERROR(__xludf.DUMMYFUNCTION("REGEXREPLACE(C26205,""-\d+(.*)|--\d+(.*)"","""")"),"SAINT-LOUP")</f>
        <v>SAINT-LOUP</v>
      </c>
      <c r="E26205" s="38" t="s">
        <v>157</v>
      </c>
      <c r="F26205" s="38" t="s">
        <v>138</v>
      </c>
      <c r="G26205" s="49" t="str">
        <f t="shared" si="1"/>
        <v>50300</v>
      </c>
      <c r="H26205" s="49">
        <f t="shared" si="2"/>
        <v>50505</v>
      </c>
    </row>
    <row r="26206">
      <c r="A26206" s="48" t="s">
        <v>1048</v>
      </c>
      <c r="B26206" s="38">
        <v>24296.0</v>
      </c>
      <c r="C26206" s="38" t="s">
        <v>30688</v>
      </c>
      <c r="D26206" s="38" t="str">
        <f>IFERROR(__xludf.DUMMYFUNCTION("REGEXREPLACE(C26206,""-\d+(.*)|--\d+(.*)"","""")"),"MOULEYDIER")</f>
        <v>MOULEYDIER</v>
      </c>
      <c r="E26206" s="38" t="s">
        <v>261</v>
      </c>
      <c r="F26206" s="38" t="s">
        <v>252</v>
      </c>
      <c r="G26206" s="49" t="str">
        <f t="shared" si="1"/>
        <v>24520</v>
      </c>
      <c r="H26206" s="49">
        <f t="shared" si="2"/>
        <v>24296</v>
      </c>
    </row>
    <row r="26207">
      <c r="A26207" s="48" t="s">
        <v>7390</v>
      </c>
      <c r="B26207" s="38">
        <v>7333.0</v>
      </c>
      <c r="C26207" s="38" t="s">
        <v>30689</v>
      </c>
      <c r="D26207" s="38" t="str">
        <f>IFERROR(__xludf.DUMMYFUNCTION("REGEXREPLACE(C26207,""-\d+(.*)|--\d+(.*)"","""")"),"VANOSC")</f>
        <v>VANOSC</v>
      </c>
      <c r="E26207" s="38" t="s">
        <v>144</v>
      </c>
      <c r="F26207" s="38" t="s">
        <v>102</v>
      </c>
      <c r="G26207" s="49" t="str">
        <f t="shared" si="1"/>
        <v>07690</v>
      </c>
      <c r="H26207" s="49" t="str">
        <f t="shared" si="2"/>
        <v>07333</v>
      </c>
    </row>
    <row r="26208">
      <c r="A26208" s="48" t="s">
        <v>30690</v>
      </c>
      <c r="B26208" s="38">
        <v>13205.0</v>
      </c>
      <c r="C26208" s="38" t="s">
        <v>30691</v>
      </c>
      <c r="D26208" s="38" t="str">
        <f>IFERROR(__xludf.DUMMYFUNCTION("REGEXREPLACE(C26208,""-\d+(.*)|--\d+(.*)"","""")"),"MARSEILLE")</f>
        <v>MARSEILLE</v>
      </c>
      <c r="E26208" s="38" t="s">
        <v>980</v>
      </c>
      <c r="F26208" s="38" t="s">
        <v>228</v>
      </c>
      <c r="G26208" s="49" t="str">
        <f t="shared" si="1"/>
        <v>13005</v>
      </c>
      <c r="H26208" s="49">
        <f t="shared" si="2"/>
        <v>13205</v>
      </c>
    </row>
    <row r="26209">
      <c r="A26209" s="48" t="s">
        <v>19819</v>
      </c>
      <c r="B26209" s="38">
        <v>59018.0</v>
      </c>
      <c r="C26209" s="38" t="s">
        <v>30692</v>
      </c>
      <c r="D26209" s="38" t="str">
        <f>IFERROR(__xludf.DUMMYFUNCTION("REGEXREPLACE(C26209,""-\d+(.*)|--\d+(.*)"","""")"),"ARNEKE")</f>
        <v>ARNEKE</v>
      </c>
      <c r="E26209" s="38" t="s">
        <v>85</v>
      </c>
      <c r="F26209" s="38" t="s">
        <v>86</v>
      </c>
      <c r="G26209" s="49" t="str">
        <f t="shared" si="1"/>
        <v>59285</v>
      </c>
      <c r="H26209" s="49">
        <f t="shared" si="2"/>
        <v>59018</v>
      </c>
    </row>
    <row r="26210">
      <c r="A26210" s="48" t="s">
        <v>7852</v>
      </c>
      <c r="B26210" s="38">
        <v>38046.0</v>
      </c>
      <c r="C26210" s="38" t="s">
        <v>30693</v>
      </c>
      <c r="D26210" s="38" t="str">
        <f>IFERROR(__xludf.DUMMYFUNCTION("REGEXREPLACE(C26210,""-\d+(.*)|--\d+(.*)"","""")"),"BIZONNES")</f>
        <v>BIZONNES</v>
      </c>
      <c r="E26210" s="38" t="s">
        <v>101</v>
      </c>
      <c r="F26210" s="38" t="s">
        <v>102</v>
      </c>
      <c r="G26210" s="49" t="str">
        <f t="shared" si="1"/>
        <v>38690</v>
      </c>
      <c r="H26210" s="49">
        <f t="shared" si="2"/>
        <v>38046</v>
      </c>
    </row>
    <row r="26211">
      <c r="A26211" s="48" t="s">
        <v>4274</v>
      </c>
      <c r="B26211" s="38">
        <v>52377.0</v>
      </c>
      <c r="C26211" s="38" t="s">
        <v>30694</v>
      </c>
      <c r="D26211" s="38" t="str">
        <f>IFERROR(__xludf.DUMMYFUNCTION("REGEXREPLACE(C26211,""-\d+(.*)|--\d+(.*)"","""")"),"PARNOY-EN-BASSIGNY")</f>
        <v>PARNOY-EN-BASSIGNY</v>
      </c>
      <c r="E26211" s="38" t="s">
        <v>234</v>
      </c>
      <c r="F26211" s="38" t="s">
        <v>130</v>
      </c>
      <c r="G26211" s="49" t="str">
        <f t="shared" si="1"/>
        <v>52400</v>
      </c>
      <c r="H26211" s="49">
        <f t="shared" si="2"/>
        <v>52377</v>
      </c>
    </row>
    <row r="26212">
      <c r="A26212" s="48" t="s">
        <v>12159</v>
      </c>
      <c r="B26212" s="38" t="s">
        <v>30695</v>
      </c>
      <c r="C26212" s="38" t="s">
        <v>30696</v>
      </c>
      <c r="D26212" s="38" t="str">
        <f>IFERROR(__xludf.DUMMYFUNCTION("REGEXREPLACE(C26212,""-\d+(.*)|--\d+(.*)"","""")"),"POGGIO-DI-VENACO")</f>
        <v>POGGIO-DI-VENACO</v>
      </c>
      <c r="E26212" s="38" t="s">
        <v>743</v>
      </c>
      <c r="F26212" s="38" t="s">
        <v>607</v>
      </c>
      <c r="G26212" s="49" t="str">
        <f t="shared" si="1"/>
        <v>20250</v>
      </c>
      <c r="H26212" s="49" t="str">
        <f t="shared" si="2"/>
        <v>2B238</v>
      </c>
    </row>
    <row r="26213">
      <c r="A26213" s="48" t="s">
        <v>7988</v>
      </c>
      <c r="B26213" s="38">
        <v>24074.0</v>
      </c>
      <c r="C26213" s="38" t="s">
        <v>30697</v>
      </c>
      <c r="D26213" s="38" t="str">
        <f>IFERROR(__xludf.DUMMYFUNCTION("REGEXREPLACE(C26213,""-\d+(.*)|--\d+(.*)"","""")"),"CALVIAC-EN-PERIGORD")</f>
        <v>CALVIAC-EN-PERIGORD</v>
      </c>
      <c r="E26213" s="38" t="s">
        <v>261</v>
      </c>
      <c r="F26213" s="38" t="s">
        <v>252</v>
      </c>
      <c r="G26213" s="49" t="str">
        <f t="shared" si="1"/>
        <v>24370</v>
      </c>
      <c r="H26213" s="49">
        <f t="shared" si="2"/>
        <v>24074</v>
      </c>
    </row>
    <row r="26214">
      <c r="A26214" s="48" t="s">
        <v>30698</v>
      </c>
      <c r="B26214" s="38">
        <v>59023.0</v>
      </c>
      <c r="C26214" s="38" t="s">
        <v>30699</v>
      </c>
      <c r="D26214" s="38" t="str">
        <f>IFERROR(__xludf.DUMMYFUNCTION("REGEXREPLACE(C26214,""-\d+(.*)|--\d+(.*)"","""")"),"AUBENCHEUL-AU-BAC")</f>
        <v>AUBENCHEUL-AU-BAC</v>
      </c>
      <c r="E26214" s="38" t="s">
        <v>85</v>
      </c>
      <c r="F26214" s="38" t="s">
        <v>86</v>
      </c>
      <c r="G26214" s="49" t="str">
        <f t="shared" si="1"/>
        <v>59265</v>
      </c>
      <c r="H26214" s="49">
        <f t="shared" si="2"/>
        <v>59023</v>
      </c>
    </row>
    <row r="26215">
      <c r="A26215" s="48" t="s">
        <v>5761</v>
      </c>
      <c r="B26215" s="38">
        <v>17250.0</v>
      </c>
      <c r="C26215" s="38" t="s">
        <v>21552</v>
      </c>
      <c r="D26215" s="38" t="str">
        <f>IFERROR(__xludf.DUMMYFUNCTION("REGEXREPLACE(C26215,""-\d+(.*)|--\d+(.*)"","""")"),"MOSNAC")</f>
        <v>MOSNAC</v>
      </c>
      <c r="E26215" s="38" t="s">
        <v>488</v>
      </c>
      <c r="F26215" s="38" t="s">
        <v>338</v>
      </c>
      <c r="G26215" s="49" t="str">
        <f t="shared" si="1"/>
        <v>17240</v>
      </c>
      <c r="H26215" s="49">
        <f t="shared" si="2"/>
        <v>17250</v>
      </c>
    </row>
    <row r="26216">
      <c r="A26216" s="48" t="s">
        <v>1663</v>
      </c>
      <c r="B26216" s="38">
        <v>88337.0</v>
      </c>
      <c r="C26216" s="38" t="s">
        <v>30700</v>
      </c>
      <c r="D26216" s="38" t="str">
        <f>IFERROR(__xludf.DUMMYFUNCTION("REGEXREPLACE(C26216,""-\d+(.*)|--\d+(.*)"","""")"),"ONCOURT")</f>
        <v>ONCOURT</v>
      </c>
      <c r="E26216" s="38" t="s">
        <v>194</v>
      </c>
      <c r="F26216" s="38" t="s">
        <v>195</v>
      </c>
      <c r="G26216" s="49" t="str">
        <f t="shared" si="1"/>
        <v>88150</v>
      </c>
      <c r="H26216" s="49">
        <f t="shared" si="2"/>
        <v>88337</v>
      </c>
    </row>
    <row r="26217">
      <c r="A26217" s="48" t="s">
        <v>6021</v>
      </c>
      <c r="B26217" s="38">
        <v>30081.0</v>
      </c>
      <c r="C26217" s="38" t="s">
        <v>30701</v>
      </c>
      <c r="D26217" s="38" t="str">
        <f>IFERROR(__xludf.DUMMYFUNCTION("REGEXREPLACE(C26217,""-\d+(.*)|--\d+(.*)"","""")"),"CHUSCLAN")</f>
        <v>CHUSCLAN</v>
      </c>
      <c r="E26217" s="38" t="s">
        <v>526</v>
      </c>
      <c r="F26217" s="38" t="s">
        <v>119</v>
      </c>
      <c r="G26217" s="49" t="str">
        <f t="shared" si="1"/>
        <v>30200</v>
      </c>
      <c r="H26217" s="49">
        <f t="shared" si="2"/>
        <v>30081</v>
      </c>
    </row>
    <row r="26218">
      <c r="A26218" s="48" t="s">
        <v>15544</v>
      </c>
      <c r="B26218" s="38">
        <v>88328.0</v>
      </c>
      <c r="C26218" s="38" t="s">
        <v>30702</v>
      </c>
      <c r="D26218" s="38" t="str">
        <f>IFERROR(__xludf.DUMMYFUNCTION("REGEXREPLACE(C26218,""-\d+(.*)|--\d+(.*)"","""")"),"NOMPATELIZE")</f>
        <v>NOMPATELIZE</v>
      </c>
      <c r="E26218" s="38" t="s">
        <v>194</v>
      </c>
      <c r="F26218" s="38" t="s">
        <v>195</v>
      </c>
      <c r="G26218" s="49" t="str">
        <f t="shared" si="1"/>
        <v>88470</v>
      </c>
      <c r="H26218" s="49">
        <f t="shared" si="2"/>
        <v>88328</v>
      </c>
    </row>
    <row r="26219">
      <c r="A26219" s="48" t="s">
        <v>2145</v>
      </c>
      <c r="B26219" s="38">
        <v>89217.0</v>
      </c>
      <c r="C26219" s="38" t="s">
        <v>30703</v>
      </c>
      <c r="D26219" s="38" t="str">
        <f>IFERROR(__xludf.DUMMYFUNCTION("REGEXREPLACE(C26219,""-\d+(.*)|--\d+(.*)"","""")"),"LALANDE")</f>
        <v>LALANDE</v>
      </c>
      <c r="E26219" s="38" t="s">
        <v>275</v>
      </c>
      <c r="F26219" s="38" t="s">
        <v>106</v>
      </c>
      <c r="G26219" s="49" t="str">
        <f t="shared" si="1"/>
        <v>89130</v>
      </c>
      <c r="H26219" s="49">
        <f t="shared" si="2"/>
        <v>89217</v>
      </c>
    </row>
    <row r="26220">
      <c r="A26220" s="48" t="s">
        <v>6104</v>
      </c>
      <c r="B26220" s="38">
        <v>95149.0</v>
      </c>
      <c r="C26220" s="38" t="s">
        <v>30704</v>
      </c>
      <c r="D26220" s="38" t="str">
        <f>IFERROR(__xludf.DUMMYFUNCTION("REGEXREPLACE(C26220,""-\d+(.*)|--\d+(.*)"","""")"),"CHAUMONTEL")</f>
        <v>CHAUMONTEL</v>
      </c>
      <c r="E26220" s="38" t="s">
        <v>541</v>
      </c>
      <c r="F26220" s="38" t="s">
        <v>245</v>
      </c>
      <c r="G26220" s="49" t="str">
        <f t="shared" si="1"/>
        <v>95270</v>
      </c>
      <c r="H26220" s="49">
        <f t="shared" si="2"/>
        <v>95149</v>
      </c>
    </row>
    <row r="26221">
      <c r="A26221" s="48" t="s">
        <v>4428</v>
      </c>
      <c r="B26221" s="38">
        <v>72318.0</v>
      </c>
      <c r="C26221" s="38" t="s">
        <v>30705</v>
      </c>
      <c r="D26221" s="38" t="str">
        <f>IFERROR(__xludf.DUMMYFUNCTION("REGEXREPLACE(C26221,""-\d+(.*)|--\d+(.*)"","""")"),"SAINT-RIGOMER-DES-BOIS")</f>
        <v>SAINT-RIGOMER-DES-BOIS</v>
      </c>
      <c r="E26221" s="38" t="s">
        <v>521</v>
      </c>
      <c r="F26221" s="38" t="s">
        <v>180</v>
      </c>
      <c r="G26221" s="49" t="str">
        <f t="shared" si="1"/>
        <v>72610</v>
      </c>
      <c r="H26221" s="49">
        <f t="shared" si="2"/>
        <v>72318</v>
      </c>
    </row>
    <row r="26222">
      <c r="A26222" s="48" t="s">
        <v>30706</v>
      </c>
      <c r="B26222" s="38">
        <v>91086.0</v>
      </c>
      <c r="C26222" s="38" t="s">
        <v>30707</v>
      </c>
      <c r="D26222" s="38" t="str">
        <f>IFERROR(__xludf.DUMMYFUNCTION("REGEXREPLACE(C26222,""-\d+(.*)|--\d+(.*)"","""")"),"BONDOUFLE")</f>
        <v>BONDOUFLE</v>
      </c>
      <c r="E26222" s="38" t="s">
        <v>756</v>
      </c>
      <c r="F26222" s="38" t="s">
        <v>245</v>
      </c>
      <c r="G26222" s="49" t="str">
        <f t="shared" si="1"/>
        <v>91070</v>
      </c>
      <c r="H26222" s="49">
        <f t="shared" si="2"/>
        <v>91086</v>
      </c>
    </row>
    <row r="26223">
      <c r="A26223" s="48" t="s">
        <v>713</v>
      </c>
      <c r="B26223" s="38">
        <v>82185.0</v>
      </c>
      <c r="C26223" s="38" t="s">
        <v>30708</v>
      </c>
      <c r="D26223" s="38" t="str">
        <f>IFERROR(__xludf.DUMMYFUNCTION("REGEXREPLACE(C26223,""-\d+(.*)|--\d+(.*)"","""")"),"VALEILLES")</f>
        <v>VALEILLES</v>
      </c>
      <c r="E26223" s="38" t="s">
        <v>570</v>
      </c>
      <c r="F26223" s="38" t="s">
        <v>94</v>
      </c>
      <c r="G26223" s="49" t="str">
        <f t="shared" si="1"/>
        <v>82150</v>
      </c>
      <c r="H26223" s="49">
        <f t="shared" si="2"/>
        <v>82185</v>
      </c>
    </row>
    <row r="26224">
      <c r="A26224" s="48" t="s">
        <v>12407</v>
      </c>
      <c r="B26224" s="38">
        <v>38106.0</v>
      </c>
      <c r="C26224" s="38" t="s">
        <v>30709</v>
      </c>
      <c r="D26224" s="38" t="str">
        <f>IFERROR(__xludf.DUMMYFUNCTION("REGEXREPLACE(C26224,""-\d+(.*)|--\d+(.*)"","""")"),"CHOLONGE")</f>
        <v>CHOLONGE</v>
      </c>
      <c r="E26224" s="38" t="s">
        <v>101</v>
      </c>
      <c r="F26224" s="38" t="s">
        <v>102</v>
      </c>
      <c r="G26224" s="49" t="str">
        <f t="shared" si="1"/>
        <v>38220</v>
      </c>
      <c r="H26224" s="49">
        <f t="shared" si="2"/>
        <v>38106</v>
      </c>
    </row>
    <row r="26225">
      <c r="A26225" s="48" t="s">
        <v>8279</v>
      </c>
      <c r="B26225" s="38">
        <v>86293.0</v>
      </c>
      <c r="C26225" s="38" t="s">
        <v>30710</v>
      </c>
      <c r="D26225" s="38" t="str">
        <f>IFERROR(__xludf.DUMMYFUNCTION("REGEXREPLACE(C26225,""-\d+(.*)|--\d+(.*)"","""")"),"VIVONNE")</f>
        <v>VIVONNE</v>
      </c>
      <c r="E26225" s="38" t="s">
        <v>529</v>
      </c>
      <c r="F26225" s="38" t="s">
        <v>338</v>
      </c>
      <c r="G26225" s="49" t="str">
        <f t="shared" si="1"/>
        <v>86370</v>
      </c>
      <c r="H26225" s="49">
        <f t="shared" si="2"/>
        <v>86293</v>
      </c>
    </row>
    <row r="26226">
      <c r="A26226" s="48" t="s">
        <v>164</v>
      </c>
      <c r="B26226" s="38">
        <v>42161.0</v>
      </c>
      <c r="C26226" s="38" t="s">
        <v>30711</v>
      </c>
      <c r="D26226" s="38" t="str">
        <f>IFERROR(__xludf.DUMMYFUNCTION("REGEXREPLACE(C26226,""-\d+(.*)|--\d+(.*)"","""")"),"NOTRE-DAME-DE-BOISSET")</f>
        <v>NOTRE-DAME-DE-BOISSET</v>
      </c>
      <c r="E26226" s="38" t="s">
        <v>166</v>
      </c>
      <c r="F26226" s="38" t="s">
        <v>102</v>
      </c>
      <c r="G26226" s="49" t="str">
        <f t="shared" si="1"/>
        <v>42120</v>
      </c>
      <c r="H26226" s="49">
        <f t="shared" si="2"/>
        <v>42161</v>
      </c>
    </row>
    <row r="26227">
      <c r="A26227" s="48" t="s">
        <v>14628</v>
      </c>
      <c r="B26227" s="38">
        <v>76385.0</v>
      </c>
      <c r="C26227" s="38" t="s">
        <v>30712</v>
      </c>
      <c r="D26227" s="38" t="str">
        <f>IFERROR(__xludf.DUMMYFUNCTION("REGEXREPLACE(C26227,""-\d+(.*)|--\d+(.*)"","""")"),"LIMESY")</f>
        <v>LIMESY</v>
      </c>
      <c r="E26227" s="38" t="s">
        <v>133</v>
      </c>
      <c r="F26227" s="38" t="s">
        <v>134</v>
      </c>
      <c r="G26227" s="49" t="str">
        <f t="shared" si="1"/>
        <v>76570</v>
      </c>
      <c r="H26227" s="49">
        <f t="shared" si="2"/>
        <v>76385</v>
      </c>
    </row>
    <row r="26228">
      <c r="A26228" s="48" t="s">
        <v>4274</v>
      </c>
      <c r="B26228" s="38">
        <v>52060.0</v>
      </c>
      <c r="C26228" s="38" t="s">
        <v>30713</v>
      </c>
      <c r="D26228" s="38" t="str">
        <f>IFERROR(__xludf.DUMMYFUNCTION("REGEXREPLACE(C26228,""-\d+(.*)|--\d+(.*)"","""")"),"BOURBONNE-LES-BAINS")</f>
        <v>BOURBONNE-LES-BAINS</v>
      </c>
      <c r="E26228" s="38" t="s">
        <v>234</v>
      </c>
      <c r="F26228" s="38" t="s">
        <v>130</v>
      </c>
      <c r="G26228" s="49" t="str">
        <f t="shared" si="1"/>
        <v>52400</v>
      </c>
      <c r="H26228" s="49">
        <f t="shared" si="2"/>
        <v>52060</v>
      </c>
    </row>
    <row r="26229">
      <c r="A26229" s="48" t="s">
        <v>30714</v>
      </c>
      <c r="B26229" s="38">
        <v>59260.0</v>
      </c>
      <c r="C26229" s="38" t="s">
        <v>30715</v>
      </c>
      <c r="D26229" s="38" t="str">
        <f>IFERROR(__xludf.DUMMYFUNCTION("REGEXREPLACE(C26229,""-\d+(.*)|--\d+(.*)"","""")"),"GHYVELDE")</f>
        <v>GHYVELDE</v>
      </c>
      <c r="E26229" s="38" t="s">
        <v>85</v>
      </c>
      <c r="F26229" s="38" t="s">
        <v>86</v>
      </c>
      <c r="G26229" s="49" t="str">
        <f t="shared" si="1"/>
        <v>59254</v>
      </c>
      <c r="H26229" s="49">
        <f t="shared" si="2"/>
        <v>59260</v>
      </c>
    </row>
    <row r="26230">
      <c r="A26230" s="48" t="s">
        <v>5010</v>
      </c>
      <c r="B26230" s="38">
        <v>77470.0</v>
      </c>
      <c r="C26230" s="38" t="s">
        <v>30716</v>
      </c>
      <c r="D26230" s="38" t="str">
        <f>IFERROR(__xludf.DUMMYFUNCTION("REGEXREPLACE(C26230,""-\d+(.*)|--\d+(.*)"","""")"),"TOURNAN-EN-BRIE")</f>
        <v>TOURNAN-EN-BRIE</v>
      </c>
      <c r="E26230" s="38" t="s">
        <v>244</v>
      </c>
      <c r="F26230" s="38" t="s">
        <v>245</v>
      </c>
      <c r="G26230" s="49" t="str">
        <f t="shared" si="1"/>
        <v>77220</v>
      </c>
      <c r="H26230" s="49">
        <f t="shared" si="2"/>
        <v>77470</v>
      </c>
    </row>
    <row r="26231">
      <c r="A26231" s="48" t="s">
        <v>6129</v>
      </c>
      <c r="B26231" s="38">
        <v>67232.0</v>
      </c>
      <c r="C26231" s="38" t="s">
        <v>30717</v>
      </c>
      <c r="D26231" s="38" t="str">
        <f>IFERROR(__xludf.DUMMYFUNCTION("REGEXREPLACE(C26231,""-\d+(.*)|--\d+(.*)"","""")"),"KEFFENACH")</f>
        <v>KEFFENACH</v>
      </c>
      <c r="E26231" s="38" t="s">
        <v>210</v>
      </c>
      <c r="F26231" s="38" t="s">
        <v>151</v>
      </c>
      <c r="G26231" s="49" t="str">
        <f t="shared" si="1"/>
        <v>67250</v>
      </c>
      <c r="H26231" s="49">
        <f t="shared" si="2"/>
        <v>67232</v>
      </c>
    </row>
    <row r="26232">
      <c r="A26232" s="48" t="s">
        <v>6474</v>
      </c>
      <c r="B26232" s="38">
        <v>61118.0</v>
      </c>
      <c r="C26232" s="38" t="s">
        <v>30718</v>
      </c>
      <c r="D26232" s="38" t="str">
        <f>IFERROR(__xludf.DUMMYFUNCTION("REGEXREPLACE(C26232,""-\d+(.*)|--\d+(.*)"","""")"),"CORBON")</f>
        <v>CORBON</v>
      </c>
      <c r="E26232" s="38" t="s">
        <v>141</v>
      </c>
      <c r="F26232" s="38" t="s">
        <v>138</v>
      </c>
      <c r="G26232" s="49" t="str">
        <f t="shared" si="1"/>
        <v>61400</v>
      </c>
      <c r="H26232" s="49">
        <f t="shared" si="2"/>
        <v>61118</v>
      </c>
    </row>
    <row r="26233">
      <c r="A26233" s="48" t="s">
        <v>155</v>
      </c>
      <c r="B26233" s="38">
        <v>50061.0</v>
      </c>
      <c r="C26233" s="38" t="s">
        <v>30719</v>
      </c>
      <c r="D26233" s="38" t="str">
        <f>IFERROR(__xludf.DUMMYFUNCTION("REGEXREPLACE(C26233,""-\d+(.*)|--\d+(.*)"","""")"),"BOISROGER")</f>
        <v>BOISROGER</v>
      </c>
      <c r="E26233" s="38" t="s">
        <v>157</v>
      </c>
      <c r="F26233" s="38" t="s">
        <v>138</v>
      </c>
      <c r="G26233" s="49" t="str">
        <f t="shared" si="1"/>
        <v>50200</v>
      </c>
      <c r="H26233" s="49">
        <f t="shared" si="2"/>
        <v>50061</v>
      </c>
    </row>
    <row r="26234">
      <c r="A26234" s="48" t="s">
        <v>2208</v>
      </c>
      <c r="B26234" s="38">
        <v>55443.0</v>
      </c>
      <c r="C26234" s="38" t="s">
        <v>30720</v>
      </c>
      <c r="D26234" s="38" t="str">
        <f>IFERROR(__xludf.DUMMYFUNCTION("REGEXREPLACE(C26234,""-\d+(.*)|--\d+(.*)"","""")"),"ROUVRES-EN-WOEVRE")</f>
        <v>ROUVRES-EN-WOEVRE</v>
      </c>
      <c r="E26234" s="38" t="s">
        <v>322</v>
      </c>
      <c r="F26234" s="38" t="s">
        <v>195</v>
      </c>
      <c r="G26234" s="49" t="str">
        <f t="shared" si="1"/>
        <v>55400</v>
      </c>
      <c r="H26234" s="49">
        <f t="shared" si="2"/>
        <v>55443</v>
      </c>
    </row>
    <row r="26235">
      <c r="A26235" s="48" t="s">
        <v>30721</v>
      </c>
      <c r="B26235" s="38">
        <v>23087.0</v>
      </c>
      <c r="C26235" s="38" t="s">
        <v>30722</v>
      </c>
      <c r="D26235" s="38" t="str">
        <f>IFERROR(__xludf.DUMMYFUNCTION("REGEXREPLACE(C26235,""-\d+(.*)|--\d+(.*)"","""")"),"FRESSELINES")</f>
        <v>FRESSELINES</v>
      </c>
      <c r="E26235" s="38" t="s">
        <v>97</v>
      </c>
      <c r="F26235" s="38" t="s">
        <v>98</v>
      </c>
      <c r="G26235" s="49" t="str">
        <f t="shared" si="1"/>
        <v>23450</v>
      </c>
      <c r="H26235" s="49">
        <f t="shared" si="2"/>
        <v>23087</v>
      </c>
    </row>
    <row r="26236">
      <c r="A26236" s="48" t="s">
        <v>8584</v>
      </c>
      <c r="B26236" s="38">
        <v>59151.0</v>
      </c>
      <c r="C26236" s="38" t="s">
        <v>30723</v>
      </c>
      <c r="D26236" s="38" t="str">
        <f>IFERROR(__xludf.DUMMYFUNCTION("REGEXREPLACE(C26236,""-\d+(.*)|--\d+(.*)"","""")"),"COLLERET")</f>
        <v>COLLERET</v>
      </c>
      <c r="E26236" s="38" t="s">
        <v>85</v>
      </c>
      <c r="F26236" s="38" t="s">
        <v>86</v>
      </c>
      <c r="G26236" s="49" t="str">
        <f t="shared" si="1"/>
        <v>59680</v>
      </c>
      <c r="H26236" s="49">
        <f t="shared" si="2"/>
        <v>59151</v>
      </c>
    </row>
    <row r="26237">
      <c r="A26237" s="48" t="s">
        <v>3945</v>
      </c>
      <c r="B26237" s="38">
        <v>34187.0</v>
      </c>
      <c r="C26237" s="38" t="s">
        <v>30724</v>
      </c>
      <c r="D26237" s="38" t="str">
        <f>IFERROR(__xludf.DUMMYFUNCTION("REGEXREPLACE(C26237,""-\d+(.*)|--\d+(.*)"","""")"),"OLARGUES")</f>
        <v>OLARGUES</v>
      </c>
      <c r="E26237" s="38" t="s">
        <v>118</v>
      </c>
      <c r="F26237" s="38" t="s">
        <v>119</v>
      </c>
      <c r="G26237" s="49" t="str">
        <f t="shared" si="1"/>
        <v>34390</v>
      </c>
      <c r="H26237" s="49">
        <f t="shared" si="2"/>
        <v>34187</v>
      </c>
    </row>
    <row r="26238">
      <c r="A26238" s="48" t="s">
        <v>1452</v>
      </c>
      <c r="B26238" s="38">
        <v>55355.0</v>
      </c>
      <c r="C26238" s="38" t="s">
        <v>30725</v>
      </c>
      <c r="D26238" s="38" t="str">
        <f>IFERROR(__xludf.DUMMYFUNCTION("REGEXREPLACE(C26238,""-\d+(.*)|--\d+(.*)"","""")"),"MONTZEVILLE")</f>
        <v>MONTZEVILLE</v>
      </c>
      <c r="E26238" s="38" t="s">
        <v>322</v>
      </c>
      <c r="F26238" s="38" t="s">
        <v>195</v>
      </c>
      <c r="G26238" s="49" t="str">
        <f t="shared" si="1"/>
        <v>55100</v>
      </c>
      <c r="H26238" s="49">
        <f t="shared" si="2"/>
        <v>55355</v>
      </c>
    </row>
    <row r="26239">
      <c r="A26239" s="48" t="s">
        <v>1688</v>
      </c>
      <c r="B26239" s="38">
        <v>76141.0</v>
      </c>
      <c r="C26239" s="38" t="s">
        <v>30726</v>
      </c>
      <c r="D26239" s="38" t="str">
        <f>IFERROR(__xludf.DUMMYFUNCTION("REGEXREPLACE(C26239,""-\d+(.*)|--\d+(.*)"","""")"),"BREAUTE")</f>
        <v>BREAUTE</v>
      </c>
      <c r="E26239" s="38" t="s">
        <v>133</v>
      </c>
      <c r="F26239" s="38" t="s">
        <v>134</v>
      </c>
      <c r="G26239" s="49" t="str">
        <f t="shared" si="1"/>
        <v>76110</v>
      </c>
      <c r="H26239" s="49">
        <f t="shared" si="2"/>
        <v>76141</v>
      </c>
    </row>
    <row r="26240">
      <c r="A26240" s="48" t="s">
        <v>1284</v>
      </c>
      <c r="B26240" s="38">
        <v>9211.0</v>
      </c>
      <c r="C26240" s="38" t="s">
        <v>30727</v>
      </c>
      <c r="D26240" s="38" t="str">
        <f>IFERROR(__xludf.DUMMYFUNCTION("REGEXREPLACE(C26240,""-\d+(.*)|--\d+(.*)"","""")"),"MONTSEGUR")</f>
        <v>MONTSEGUR</v>
      </c>
      <c r="E26240" s="38" t="s">
        <v>238</v>
      </c>
      <c r="F26240" s="38" t="s">
        <v>94</v>
      </c>
      <c r="G26240" s="49" t="str">
        <f t="shared" si="1"/>
        <v>09300</v>
      </c>
      <c r="H26240" s="49" t="str">
        <f t="shared" si="2"/>
        <v>09211</v>
      </c>
    </row>
    <row r="26241">
      <c r="A26241" s="48" t="s">
        <v>12410</v>
      </c>
      <c r="B26241" s="38">
        <v>66154.0</v>
      </c>
      <c r="C26241" s="38" t="s">
        <v>30728</v>
      </c>
      <c r="D26241" s="38" t="str">
        <f>IFERROR(__xludf.DUMMYFUNCTION("REGEXREPLACE(C26241,""-\d+(.*)|--\d+(.*)"","""")"),"PUYVALADOR")</f>
        <v>PUYVALADOR</v>
      </c>
      <c r="E26241" s="38" t="s">
        <v>248</v>
      </c>
      <c r="F26241" s="38" t="s">
        <v>119</v>
      </c>
      <c r="G26241" s="49" t="str">
        <f t="shared" si="1"/>
        <v>66210</v>
      </c>
      <c r="H26241" s="49">
        <f t="shared" si="2"/>
        <v>66154</v>
      </c>
    </row>
    <row r="26242">
      <c r="A26242" s="48" t="s">
        <v>5300</v>
      </c>
      <c r="B26242" s="38">
        <v>59212.0</v>
      </c>
      <c r="C26242" s="38" t="s">
        <v>30729</v>
      </c>
      <c r="D26242" s="38" t="str">
        <f>IFERROR(__xludf.DUMMYFUNCTION("REGEXREPLACE(C26242,""-\d+(.*)|--\d+(.*)"","""")"),"ESTAIRES")</f>
        <v>ESTAIRES</v>
      </c>
      <c r="E26242" s="38" t="s">
        <v>85</v>
      </c>
      <c r="F26242" s="38" t="s">
        <v>86</v>
      </c>
      <c r="G26242" s="49" t="str">
        <f t="shared" si="1"/>
        <v>59940</v>
      </c>
      <c r="H26242" s="49">
        <f t="shared" si="2"/>
        <v>59212</v>
      </c>
    </row>
    <row r="26243">
      <c r="A26243" s="48" t="s">
        <v>17216</v>
      </c>
      <c r="B26243" s="38">
        <v>76391.0</v>
      </c>
      <c r="C26243" s="38" t="s">
        <v>30730</v>
      </c>
      <c r="D26243" s="38" t="str">
        <f>IFERROR(__xludf.DUMMYFUNCTION("REGEXREPLACE(C26243,""-\d+(.*)|--\d+(.*)"","""")"),"LA LONDE")</f>
        <v>LA LONDE</v>
      </c>
      <c r="E26243" s="38" t="s">
        <v>133</v>
      </c>
      <c r="F26243" s="38" t="s">
        <v>134</v>
      </c>
      <c r="G26243" s="49" t="str">
        <f t="shared" si="1"/>
        <v>76500</v>
      </c>
      <c r="H26243" s="49">
        <f t="shared" si="2"/>
        <v>76391</v>
      </c>
    </row>
    <row r="26244">
      <c r="A26244" s="48" t="s">
        <v>1686</v>
      </c>
      <c r="B26244" s="38">
        <v>51592.0</v>
      </c>
      <c r="C26244" s="38" t="s">
        <v>10460</v>
      </c>
      <c r="D26244" s="38" t="str">
        <f>IFERROR(__xludf.DUMMYFUNCTION("REGEXREPLACE(C26244,""-\d+(.*)|--\d+(.*)"","""")"),"VANDIERES")</f>
        <v>VANDIERES</v>
      </c>
      <c r="E26244" s="38" t="s">
        <v>129</v>
      </c>
      <c r="F26244" s="38" t="s">
        <v>130</v>
      </c>
      <c r="G26244" s="49" t="str">
        <f t="shared" si="1"/>
        <v>51700</v>
      </c>
      <c r="H26244" s="49">
        <f t="shared" si="2"/>
        <v>51592</v>
      </c>
    </row>
    <row r="26245">
      <c r="A26245" s="48" t="s">
        <v>5631</v>
      </c>
      <c r="B26245" s="38">
        <v>76697.0</v>
      </c>
      <c r="C26245" s="38" t="s">
        <v>30731</v>
      </c>
      <c r="D26245" s="38" t="str">
        <f>IFERROR(__xludf.DUMMYFUNCTION("REGEXREPLACE(C26245,""-\d+(.*)|--\d+(.*)"","""")"),"TORCY-LE-GRAND")</f>
        <v>TORCY-LE-GRAND</v>
      </c>
      <c r="E26245" s="38" t="s">
        <v>133</v>
      </c>
      <c r="F26245" s="38" t="s">
        <v>134</v>
      </c>
      <c r="G26245" s="49" t="str">
        <f t="shared" si="1"/>
        <v>76590</v>
      </c>
      <c r="H26245" s="49">
        <f t="shared" si="2"/>
        <v>76697</v>
      </c>
    </row>
    <row r="26246">
      <c r="A26246" s="48" t="s">
        <v>3906</v>
      </c>
      <c r="B26246" s="38">
        <v>24372.0</v>
      </c>
      <c r="C26246" s="38" t="s">
        <v>30657</v>
      </c>
      <c r="D26246" s="38" t="str">
        <f>IFERROR(__xludf.DUMMYFUNCTION("REGEXREPLACE(C26246,""-\d+(.*)|--\d+(.*)"","""")"),"SAINT-ASTIER")</f>
        <v>SAINT-ASTIER</v>
      </c>
      <c r="E26246" s="38" t="s">
        <v>261</v>
      </c>
      <c r="F26246" s="38" t="s">
        <v>252</v>
      </c>
      <c r="G26246" s="49" t="str">
        <f t="shared" si="1"/>
        <v>24110</v>
      </c>
      <c r="H26246" s="49">
        <f t="shared" si="2"/>
        <v>24372</v>
      </c>
    </row>
    <row r="26247">
      <c r="A26247" s="48" t="s">
        <v>1855</v>
      </c>
      <c r="B26247" s="38">
        <v>72183.0</v>
      </c>
      <c r="C26247" s="38" t="s">
        <v>30732</v>
      </c>
      <c r="D26247" s="38" t="str">
        <f>IFERROR(__xludf.DUMMYFUNCTION("REGEXREPLACE(C26247,""-\d+(.*)|--\d+(.*)"","""")"),"MARCON")</f>
        <v>MARCON</v>
      </c>
      <c r="E26247" s="38" t="s">
        <v>521</v>
      </c>
      <c r="F26247" s="38" t="s">
        <v>180</v>
      </c>
      <c r="G26247" s="49" t="str">
        <f t="shared" si="1"/>
        <v>72340</v>
      </c>
      <c r="H26247" s="49">
        <f t="shared" si="2"/>
        <v>72183</v>
      </c>
    </row>
    <row r="26248">
      <c r="A26248" s="48" t="s">
        <v>962</v>
      </c>
      <c r="B26248" s="38">
        <v>24431.0</v>
      </c>
      <c r="C26248" s="38" t="s">
        <v>30733</v>
      </c>
      <c r="D26248" s="38" t="str">
        <f>IFERROR(__xludf.DUMMYFUNCTION("REGEXREPLACE(C26248,""-\d+(.*)|--\d+(.*)"","""")"),"SAINT-JULIEN-DE-CREMPSE")</f>
        <v>SAINT-JULIEN-DE-CREMPSE</v>
      </c>
      <c r="E26248" s="38" t="s">
        <v>261</v>
      </c>
      <c r="F26248" s="38" t="s">
        <v>252</v>
      </c>
      <c r="G26248" s="49" t="str">
        <f t="shared" si="1"/>
        <v>24140</v>
      </c>
      <c r="H26248" s="49">
        <f t="shared" si="2"/>
        <v>24431</v>
      </c>
    </row>
    <row r="26249">
      <c r="A26249" s="48" t="s">
        <v>1016</v>
      </c>
      <c r="B26249" s="38">
        <v>28167.0</v>
      </c>
      <c r="C26249" s="38" t="s">
        <v>30734</v>
      </c>
      <c r="D26249" s="38" t="str">
        <f>IFERROR(__xludf.DUMMYFUNCTION("REGEXREPLACE(C26249,""-\d+(.*)|--\d+(.*)"","""")"),"FRUNCE")</f>
        <v>FRUNCE</v>
      </c>
      <c r="E26249" s="38" t="s">
        <v>300</v>
      </c>
      <c r="F26249" s="38" t="s">
        <v>123</v>
      </c>
      <c r="G26249" s="49" t="str">
        <f t="shared" si="1"/>
        <v>28190</v>
      </c>
      <c r="H26249" s="49">
        <f t="shared" si="2"/>
        <v>28167</v>
      </c>
    </row>
    <row r="26250">
      <c r="A26250" s="48" t="s">
        <v>1302</v>
      </c>
      <c r="B26250" s="38">
        <v>38313.0</v>
      </c>
      <c r="C26250" s="38" t="s">
        <v>30735</v>
      </c>
      <c r="D26250" s="38" t="str">
        <f>IFERROR(__xludf.DUMMYFUNCTION("REGEXREPLACE(C26250,""-\d+(.*)|--\d+(.*)"","""")"),"PONSONNAS")</f>
        <v>PONSONNAS</v>
      </c>
      <c r="E26250" s="38" t="s">
        <v>101</v>
      </c>
      <c r="F26250" s="38" t="s">
        <v>102</v>
      </c>
      <c r="G26250" s="49" t="str">
        <f t="shared" si="1"/>
        <v>38350</v>
      </c>
      <c r="H26250" s="49">
        <f t="shared" si="2"/>
        <v>38313</v>
      </c>
    </row>
    <row r="26251">
      <c r="A26251" s="48" t="s">
        <v>4270</v>
      </c>
      <c r="B26251" s="38">
        <v>76142.0</v>
      </c>
      <c r="C26251" s="38" t="s">
        <v>30736</v>
      </c>
      <c r="D26251" s="38" t="str">
        <f>IFERROR(__xludf.DUMMYFUNCTION("REGEXREPLACE(C26251,""-\d+(.*)|--\d+(.*)"","""")"),"BREMONTIER-MERVAL")</f>
        <v>BREMONTIER-MERVAL</v>
      </c>
      <c r="E26251" s="38" t="s">
        <v>133</v>
      </c>
      <c r="F26251" s="38" t="s">
        <v>134</v>
      </c>
      <c r="G26251" s="49" t="str">
        <f t="shared" si="1"/>
        <v>76220</v>
      </c>
      <c r="H26251" s="49">
        <f t="shared" si="2"/>
        <v>76142</v>
      </c>
    </row>
    <row r="26252">
      <c r="A26252" s="48" t="s">
        <v>7726</v>
      </c>
      <c r="B26252" s="38">
        <v>35305.0</v>
      </c>
      <c r="C26252" s="38" t="s">
        <v>30737</v>
      </c>
      <c r="D26252" s="38" t="str">
        <f>IFERROR(__xludf.DUMMYFUNCTION("REGEXREPLACE(C26252,""-\d+(.*)|--\d+(.*)"","""")"),"SAINT-PERAN")</f>
        <v>SAINT-PERAN</v>
      </c>
      <c r="E26252" s="38" t="s">
        <v>347</v>
      </c>
      <c r="F26252" s="38" t="s">
        <v>90</v>
      </c>
      <c r="G26252" s="49" t="str">
        <f t="shared" si="1"/>
        <v>35380</v>
      </c>
      <c r="H26252" s="49">
        <f t="shared" si="2"/>
        <v>35305</v>
      </c>
    </row>
    <row r="26253">
      <c r="A26253" s="48" t="s">
        <v>11592</v>
      </c>
      <c r="B26253" s="38">
        <v>68242.0</v>
      </c>
      <c r="C26253" s="38" t="s">
        <v>30738</v>
      </c>
      <c r="D26253" s="38" t="str">
        <f>IFERROR(__xludf.DUMMYFUNCTION("REGEXREPLACE(C26253,""-\d+(.*)|--\d+(.*)"","""")"),"OBERHERGHEIM")</f>
        <v>OBERHERGHEIM</v>
      </c>
      <c r="E26253" s="38" t="s">
        <v>150</v>
      </c>
      <c r="F26253" s="38" t="s">
        <v>151</v>
      </c>
      <c r="G26253" s="49" t="str">
        <f t="shared" si="1"/>
        <v>68127</v>
      </c>
      <c r="H26253" s="49">
        <f t="shared" si="2"/>
        <v>68242</v>
      </c>
    </row>
    <row r="26254">
      <c r="A26254" s="48" t="s">
        <v>1785</v>
      </c>
      <c r="B26254" s="38">
        <v>42204.0</v>
      </c>
      <c r="C26254" s="38" t="s">
        <v>30739</v>
      </c>
      <c r="D26254" s="38" t="str">
        <f>IFERROR(__xludf.DUMMYFUNCTION("REGEXREPLACE(C26254,""-\d+(.*)|--\d+(.*)"","""")"),"SAINT-BONNET-LE-CHATEAU")</f>
        <v>SAINT-BONNET-LE-CHATEAU</v>
      </c>
      <c r="E26254" s="38" t="s">
        <v>166</v>
      </c>
      <c r="F26254" s="38" t="s">
        <v>102</v>
      </c>
      <c r="G26254" s="49" t="str">
        <f t="shared" si="1"/>
        <v>42380</v>
      </c>
      <c r="H26254" s="49">
        <f t="shared" si="2"/>
        <v>42204</v>
      </c>
    </row>
    <row r="26255">
      <c r="A26255" s="48" t="s">
        <v>775</v>
      </c>
      <c r="B26255" s="38">
        <v>14722.0</v>
      </c>
      <c r="C26255" s="38" t="s">
        <v>30740</v>
      </c>
      <c r="D26255" s="38" t="str">
        <f>IFERROR(__xludf.DUMMYFUNCTION("REGEXREPLACE(C26255,""-\d+(.*)|--\d+(.*)"","""")"),"LA VACQUERIE")</f>
        <v>LA VACQUERIE</v>
      </c>
      <c r="E26255" s="38" t="s">
        <v>137</v>
      </c>
      <c r="F26255" s="38" t="s">
        <v>138</v>
      </c>
      <c r="G26255" s="49" t="str">
        <f t="shared" si="1"/>
        <v>14240</v>
      </c>
      <c r="H26255" s="49">
        <f t="shared" si="2"/>
        <v>14722</v>
      </c>
    </row>
    <row r="26256">
      <c r="A26256" s="48" t="s">
        <v>7676</v>
      </c>
      <c r="B26256" s="38">
        <v>63245.0</v>
      </c>
      <c r="C26256" s="38" t="s">
        <v>30741</v>
      </c>
      <c r="D26256" s="38" t="str">
        <f>IFERROR(__xludf.DUMMYFUNCTION("REGEXREPLACE(C26256,""-\d+(.*)|--\d+(.*)"","""")"),"MOZAC")</f>
        <v>MOZAC</v>
      </c>
      <c r="E26256" s="38" t="s">
        <v>353</v>
      </c>
      <c r="F26256" s="38" t="s">
        <v>161</v>
      </c>
      <c r="G26256" s="49" t="str">
        <f t="shared" si="1"/>
        <v>63200</v>
      </c>
      <c r="H26256" s="49">
        <f t="shared" si="2"/>
        <v>63245</v>
      </c>
    </row>
    <row r="26257">
      <c r="A26257" s="48" t="s">
        <v>7676</v>
      </c>
      <c r="B26257" s="38">
        <v>63108.0</v>
      </c>
      <c r="C26257" s="38" t="s">
        <v>30742</v>
      </c>
      <c r="D26257" s="38" t="str">
        <f>IFERROR(__xludf.DUMMYFUNCTION("REGEXREPLACE(C26257,""-\d+(.*)|--\d+(.*)"","""")"),"LE CHEIX")</f>
        <v>LE CHEIX</v>
      </c>
      <c r="E26257" s="38" t="s">
        <v>353</v>
      </c>
      <c r="F26257" s="38" t="s">
        <v>161</v>
      </c>
      <c r="G26257" s="49" t="str">
        <f t="shared" si="1"/>
        <v>63200</v>
      </c>
      <c r="H26257" s="49">
        <f t="shared" si="2"/>
        <v>63108</v>
      </c>
    </row>
    <row r="26258">
      <c r="A26258" s="48" t="s">
        <v>8508</v>
      </c>
      <c r="B26258" s="38">
        <v>87011.0</v>
      </c>
      <c r="C26258" s="38" t="s">
        <v>30743</v>
      </c>
      <c r="D26258" s="38" t="str">
        <f>IFERROR(__xludf.DUMMYFUNCTION("REGEXREPLACE(C26258,""-\d+(.*)|--\d+(.*)"","""")"),"BELLAC")</f>
        <v>BELLAC</v>
      </c>
      <c r="E26258" s="38" t="s">
        <v>897</v>
      </c>
      <c r="F26258" s="38" t="s">
        <v>98</v>
      </c>
      <c r="G26258" s="49" t="str">
        <f t="shared" si="1"/>
        <v>87300</v>
      </c>
      <c r="H26258" s="49">
        <f t="shared" si="2"/>
        <v>87011</v>
      </c>
    </row>
    <row r="26259">
      <c r="A26259" s="48" t="s">
        <v>15383</v>
      </c>
      <c r="B26259" s="38">
        <v>53269.0</v>
      </c>
      <c r="C26259" s="38" t="s">
        <v>30744</v>
      </c>
      <c r="D26259" s="38" t="str">
        <f>IFERROR(__xludf.DUMMYFUNCTION("REGEXREPLACE(C26259,""-\d+(.*)|--\d+(.*)"","""")"),"VAUTORTE")</f>
        <v>VAUTORTE</v>
      </c>
      <c r="E26259" s="38" t="s">
        <v>518</v>
      </c>
      <c r="F26259" s="38" t="s">
        <v>180</v>
      </c>
      <c r="G26259" s="49" t="str">
        <f t="shared" si="1"/>
        <v>53500</v>
      </c>
      <c r="H26259" s="49">
        <f t="shared" si="2"/>
        <v>53269</v>
      </c>
    </row>
    <row r="26260">
      <c r="A26260" s="48" t="s">
        <v>2266</v>
      </c>
      <c r="B26260" s="38">
        <v>55457.0</v>
      </c>
      <c r="C26260" s="38" t="s">
        <v>30745</v>
      </c>
      <c r="D26260" s="38" t="str">
        <f>IFERROR(__xludf.DUMMYFUNCTION("REGEXREPLACE(C26260,""-\d+(.*)|--\d+(.*)"","""")"),"SAINT-HILAIRE-EN-WOEVRE")</f>
        <v>SAINT-HILAIRE-EN-WOEVRE</v>
      </c>
      <c r="E26260" s="38" t="s">
        <v>322</v>
      </c>
      <c r="F26260" s="38" t="s">
        <v>195</v>
      </c>
      <c r="G26260" s="49" t="str">
        <f t="shared" si="1"/>
        <v>55160</v>
      </c>
      <c r="H26260" s="49">
        <f t="shared" si="2"/>
        <v>55457</v>
      </c>
    </row>
    <row r="26261">
      <c r="A26261" s="48" t="s">
        <v>30746</v>
      </c>
      <c r="B26261" s="38">
        <v>34198.0</v>
      </c>
      <c r="C26261" s="38" t="s">
        <v>30747</v>
      </c>
      <c r="D26261" s="38" t="str">
        <f>IFERROR(__xludf.DUMMYFUNCTION("REGEXREPLACE(C26261,""-\d+(.*)|--\d+(.*)"","""")"),"PEROLS")</f>
        <v>PEROLS</v>
      </c>
      <c r="E26261" s="38" t="s">
        <v>118</v>
      </c>
      <c r="F26261" s="38" t="s">
        <v>119</v>
      </c>
      <c r="G26261" s="49" t="str">
        <f t="shared" si="1"/>
        <v>34470</v>
      </c>
      <c r="H26261" s="49">
        <f t="shared" si="2"/>
        <v>34198</v>
      </c>
    </row>
    <row r="26262">
      <c r="A26262" s="48" t="s">
        <v>10904</v>
      </c>
      <c r="B26262" s="38">
        <v>74024.0</v>
      </c>
      <c r="C26262" s="38" t="s">
        <v>30748</v>
      </c>
      <c r="D26262" s="38" t="str">
        <f>IFERROR(__xludf.DUMMYFUNCTION("REGEXREPLACE(C26262,""-\d+(.*)|--\d+(.*)"","""")"),"AYSE")</f>
        <v>AYSE</v>
      </c>
      <c r="E26262" s="38" t="s">
        <v>319</v>
      </c>
      <c r="F26262" s="38" t="s">
        <v>102</v>
      </c>
      <c r="G26262" s="49" t="str">
        <f t="shared" si="1"/>
        <v>74130</v>
      </c>
      <c r="H26262" s="49">
        <f t="shared" si="2"/>
        <v>74024</v>
      </c>
    </row>
    <row r="26263">
      <c r="A26263" s="48" t="s">
        <v>3295</v>
      </c>
      <c r="B26263" s="38">
        <v>76324.0</v>
      </c>
      <c r="C26263" s="38" t="s">
        <v>30749</v>
      </c>
      <c r="D26263" s="38" t="str">
        <f>IFERROR(__xludf.DUMMYFUNCTION("REGEXREPLACE(C26263,""-\d+(.*)|--\d+(.*)"","""")"),"GREGES")</f>
        <v>GREGES</v>
      </c>
      <c r="E26263" s="38" t="s">
        <v>133</v>
      </c>
      <c r="F26263" s="38" t="s">
        <v>134</v>
      </c>
      <c r="G26263" s="49" t="str">
        <f t="shared" si="1"/>
        <v>76370</v>
      </c>
      <c r="H26263" s="49">
        <f t="shared" si="2"/>
        <v>76324</v>
      </c>
    </row>
    <row r="26264">
      <c r="A26264" s="48" t="s">
        <v>811</v>
      </c>
      <c r="B26264" s="38">
        <v>83146.0</v>
      </c>
      <c r="C26264" s="38" t="s">
        <v>30750</v>
      </c>
      <c r="D26264" s="38" t="str">
        <f>IFERROR(__xludf.DUMMYFUNCTION("REGEXREPLACE(C26264,""-\d+(.*)|--\d+(.*)"","""")"),"LA VERDIERE")</f>
        <v>LA VERDIERE</v>
      </c>
      <c r="E26264" s="38" t="s">
        <v>813</v>
      </c>
      <c r="F26264" s="38" t="s">
        <v>228</v>
      </c>
      <c r="G26264" s="49" t="str">
        <f t="shared" si="1"/>
        <v>83560</v>
      </c>
      <c r="H26264" s="49">
        <f t="shared" si="2"/>
        <v>83146</v>
      </c>
    </row>
    <row r="26265">
      <c r="A26265" s="48" t="s">
        <v>1758</v>
      </c>
      <c r="B26265" s="38">
        <v>65168.0</v>
      </c>
      <c r="C26265" s="38" t="s">
        <v>30751</v>
      </c>
      <c r="D26265" s="38" t="str">
        <f>IFERROR(__xludf.DUMMYFUNCTION("REGEXREPLACE(C26265,""-\d+(.*)|--\d+(.*)"","""")"),"ESQUIEZE-SERE")</f>
        <v>ESQUIEZE-SERE</v>
      </c>
      <c r="E26265" s="38" t="s">
        <v>200</v>
      </c>
      <c r="F26265" s="38" t="s">
        <v>94</v>
      </c>
      <c r="G26265" s="49" t="str">
        <f t="shared" si="1"/>
        <v>65120</v>
      </c>
      <c r="H26265" s="49">
        <f t="shared" si="2"/>
        <v>65168</v>
      </c>
    </row>
    <row r="26266">
      <c r="A26266" s="48" t="s">
        <v>236</v>
      </c>
      <c r="B26266" s="38">
        <v>9200.0</v>
      </c>
      <c r="C26266" s="38" t="s">
        <v>2275</v>
      </c>
      <c r="D26266" s="38" t="str">
        <f>IFERROR(__xludf.DUMMYFUNCTION("REGEXREPLACE(C26266,""-\d+(.*)|--\d+(.*)"","""")"),"MONTBEL")</f>
        <v>MONTBEL</v>
      </c>
      <c r="E26266" s="38" t="s">
        <v>238</v>
      </c>
      <c r="F26266" s="38" t="s">
        <v>94</v>
      </c>
      <c r="G26266" s="49" t="str">
        <f t="shared" si="1"/>
        <v>09600</v>
      </c>
      <c r="H26266" s="49" t="str">
        <f t="shared" si="2"/>
        <v>09200</v>
      </c>
    </row>
    <row r="26267">
      <c r="A26267" s="48" t="s">
        <v>30752</v>
      </c>
      <c r="B26267" s="38">
        <v>33019.0</v>
      </c>
      <c r="C26267" s="38" t="s">
        <v>30753</v>
      </c>
      <c r="D26267" s="38" t="str">
        <f>IFERROR(__xludf.DUMMYFUNCTION("REGEXREPLACE(C26267,""-\d+(.*)|--\d+(.*)"","""")"),"AUDENGE")</f>
        <v>AUDENGE</v>
      </c>
      <c r="E26267" s="38" t="s">
        <v>462</v>
      </c>
      <c r="F26267" s="38" t="s">
        <v>252</v>
      </c>
      <c r="G26267" s="49" t="str">
        <f t="shared" si="1"/>
        <v>33980</v>
      </c>
      <c r="H26267" s="49">
        <f t="shared" si="2"/>
        <v>33019</v>
      </c>
    </row>
    <row r="26268">
      <c r="A26268" s="48" t="s">
        <v>484</v>
      </c>
      <c r="B26268" s="38">
        <v>16243.0</v>
      </c>
      <c r="C26268" s="38" t="s">
        <v>30754</v>
      </c>
      <c r="D26268" s="38" t="str">
        <f>IFERROR(__xludf.DUMMYFUNCTION("REGEXREPLACE(C26268,""-\d+(.*)|--\d+(.*)"","""")"),"NERCILLAC")</f>
        <v>NERCILLAC</v>
      </c>
      <c r="E26268" s="38" t="s">
        <v>429</v>
      </c>
      <c r="F26268" s="38" t="s">
        <v>338</v>
      </c>
      <c r="G26268" s="49" t="str">
        <f t="shared" si="1"/>
        <v>16200</v>
      </c>
      <c r="H26268" s="49">
        <f t="shared" si="2"/>
        <v>16243</v>
      </c>
    </row>
    <row r="26269">
      <c r="A26269" s="48" t="s">
        <v>920</v>
      </c>
      <c r="B26269" s="38">
        <v>31274.0</v>
      </c>
      <c r="C26269" s="38" t="s">
        <v>30755</v>
      </c>
      <c r="D26269" s="38" t="str">
        <f>IFERROR(__xludf.DUMMYFUNCTION("REGEXREPLACE(C26269,""-\d+(.*)|--\d+(.*)"","""")"),"LARCAN")</f>
        <v>LARCAN</v>
      </c>
      <c r="E26269" s="38" t="s">
        <v>93</v>
      </c>
      <c r="F26269" s="38" t="s">
        <v>94</v>
      </c>
      <c r="G26269" s="49" t="str">
        <f t="shared" si="1"/>
        <v>31800</v>
      </c>
      <c r="H26269" s="49">
        <f t="shared" si="2"/>
        <v>31274</v>
      </c>
    </row>
    <row r="26270">
      <c r="A26270" s="48" t="s">
        <v>10148</v>
      </c>
      <c r="B26270" s="38">
        <v>59021.0</v>
      </c>
      <c r="C26270" s="38" t="s">
        <v>30756</v>
      </c>
      <c r="D26270" s="38" t="str">
        <f>IFERROR(__xludf.DUMMYFUNCTION("REGEXREPLACE(C26270,""-\d+(.*)|--\d+(.*)"","""")"),"ASSEVENT")</f>
        <v>ASSEVENT</v>
      </c>
      <c r="E26270" s="38" t="s">
        <v>85</v>
      </c>
      <c r="F26270" s="38" t="s">
        <v>86</v>
      </c>
      <c r="G26270" s="49" t="str">
        <f t="shared" si="1"/>
        <v>59600</v>
      </c>
      <c r="H26270" s="49">
        <f t="shared" si="2"/>
        <v>59021</v>
      </c>
    </row>
    <row r="26271">
      <c r="A26271" s="48" t="s">
        <v>5104</v>
      </c>
      <c r="B26271" s="38">
        <v>29198.0</v>
      </c>
      <c r="C26271" s="38" t="s">
        <v>30757</v>
      </c>
      <c r="D26271" s="38" t="str">
        <f>IFERROR(__xludf.DUMMYFUNCTION("REGEXREPLACE(C26271,""-\d+(.*)|--\d+(.*)"","""")"),"PLOUIDER")</f>
        <v>PLOUIDER</v>
      </c>
      <c r="E26271" s="38" t="s">
        <v>176</v>
      </c>
      <c r="F26271" s="38" t="s">
        <v>90</v>
      </c>
      <c r="G26271" s="49" t="str">
        <f t="shared" si="1"/>
        <v>29260</v>
      </c>
      <c r="H26271" s="49">
        <f t="shared" si="2"/>
        <v>29198</v>
      </c>
    </row>
    <row r="26272">
      <c r="A26272" s="48" t="s">
        <v>533</v>
      </c>
      <c r="B26272" s="38">
        <v>50492.0</v>
      </c>
      <c r="C26272" s="38" t="s">
        <v>30758</v>
      </c>
      <c r="D26272" s="38" t="str">
        <f>IFERROR(__xludf.DUMMYFUNCTION("REGEXREPLACE(C26272,""-\d+(.*)|--\d+(.*)"","""")"),"SAINT-JEAN-DES-BAISANTS")</f>
        <v>SAINT-JEAN-DES-BAISANTS</v>
      </c>
      <c r="E26272" s="38" t="s">
        <v>157</v>
      </c>
      <c r="F26272" s="38" t="s">
        <v>138</v>
      </c>
      <c r="G26272" s="49" t="str">
        <f t="shared" si="1"/>
        <v>50810</v>
      </c>
      <c r="H26272" s="49">
        <f t="shared" si="2"/>
        <v>50492</v>
      </c>
    </row>
    <row r="26273">
      <c r="A26273" s="48" t="s">
        <v>333</v>
      </c>
      <c r="B26273" s="38">
        <v>43107.0</v>
      </c>
      <c r="C26273" s="38" t="s">
        <v>30759</v>
      </c>
      <c r="D26273" s="38" t="str">
        <f>IFERROR(__xludf.DUMMYFUNCTION("REGEXREPLACE(C26273,""-\d+(.*)|--\d+(.*)"","""")"),"JOSAT")</f>
        <v>JOSAT</v>
      </c>
      <c r="E26273" s="38" t="s">
        <v>332</v>
      </c>
      <c r="F26273" s="38" t="s">
        <v>161</v>
      </c>
      <c r="G26273" s="49" t="str">
        <f t="shared" si="1"/>
        <v>43230</v>
      </c>
      <c r="H26273" s="49">
        <f t="shared" si="2"/>
        <v>43107</v>
      </c>
    </row>
    <row r="26274">
      <c r="A26274" s="48" t="s">
        <v>2893</v>
      </c>
      <c r="B26274" s="38">
        <v>27309.0</v>
      </c>
      <c r="C26274" s="38" t="s">
        <v>30760</v>
      </c>
      <c r="D26274" s="38" t="str">
        <f>IFERROR(__xludf.DUMMYFUNCTION("REGEXREPLACE(C26274,""-\d+(.*)|--\d+(.*)"","""")"),"L'HABIT")</f>
        <v>L'HABIT</v>
      </c>
      <c r="E26274" s="38" t="s">
        <v>241</v>
      </c>
      <c r="F26274" s="38" t="s">
        <v>134</v>
      </c>
      <c r="G26274" s="49" t="str">
        <f t="shared" si="1"/>
        <v>27220</v>
      </c>
      <c r="H26274" s="49">
        <f t="shared" si="2"/>
        <v>27309</v>
      </c>
    </row>
    <row r="26275">
      <c r="A26275" s="48" t="s">
        <v>9313</v>
      </c>
      <c r="B26275" s="38">
        <v>39157.0</v>
      </c>
      <c r="C26275" s="38" t="s">
        <v>30761</v>
      </c>
      <c r="D26275" s="38" t="str">
        <f>IFERROR(__xludf.DUMMYFUNCTION("REGEXREPLACE(C26275,""-\d+(.*)|--\d+(.*)"","""")"),"COISERETTE")</f>
        <v>COISERETTE</v>
      </c>
      <c r="E26275" s="38" t="s">
        <v>400</v>
      </c>
      <c r="F26275" s="38" t="s">
        <v>214</v>
      </c>
      <c r="G26275" s="49" t="str">
        <f t="shared" si="1"/>
        <v>39200</v>
      </c>
      <c r="H26275" s="49">
        <f t="shared" si="2"/>
        <v>39157</v>
      </c>
    </row>
    <row r="26276">
      <c r="A26276" s="48" t="s">
        <v>4579</v>
      </c>
      <c r="B26276" s="38">
        <v>81110.0</v>
      </c>
      <c r="C26276" s="38" t="s">
        <v>30762</v>
      </c>
      <c r="D26276" s="38" t="str">
        <f>IFERROR(__xludf.DUMMYFUNCTION("REGEXREPLACE(C26276,""-\d+(.*)|--\d+(.*)"","""")"),"JOUQUEVIEL")</f>
        <v>JOUQUEVIEL</v>
      </c>
      <c r="E26276" s="38" t="s">
        <v>231</v>
      </c>
      <c r="F26276" s="38" t="s">
        <v>94</v>
      </c>
      <c r="G26276" s="49" t="str">
        <f t="shared" si="1"/>
        <v>81190</v>
      </c>
      <c r="H26276" s="49">
        <f t="shared" si="2"/>
        <v>81110</v>
      </c>
    </row>
    <row r="26277">
      <c r="A26277" s="48" t="s">
        <v>8889</v>
      </c>
      <c r="B26277" s="38">
        <v>32194.0</v>
      </c>
      <c r="C26277" s="38" t="s">
        <v>30763</v>
      </c>
      <c r="D26277" s="38" t="str">
        <f>IFERROR(__xludf.DUMMYFUNCTION("REGEXREPLACE(C26277,""-\d+(.*)|--\d+(.*)"","""")"),"LARRESSINGLE")</f>
        <v>LARRESSINGLE</v>
      </c>
      <c r="E26277" s="38" t="s">
        <v>440</v>
      </c>
      <c r="F26277" s="38" t="s">
        <v>94</v>
      </c>
      <c r="G26277" s="49" t="str">
        <f t="shared" si="1"/>
        <v>32100</v>
      </c>
      <c r="H26277" s="49">
        <f t="shared" si="2"/>
        <v>32194</v>
      </c>
    </row>
    <row r="26278">
      <c r="A26278" s="48" t="s">
        <v>1825</v>
      </c>
      <c r="B26278" s="38">
        <v>64470.0</v>
      </c>
      <c r="C26278" s="38" t="s">
        <v>30764</v>
      </c>
      <c r="D26278" s="38" t="str">
        <f>IFERROR(__xludf.DUMMYFUNCTION("REGEXREPLACE(C26278,""-\d+(.*)|--\d+(.*)"","""")"),"SAINT-ARMOU")</f>
        <v>SAINT-ARMOU</v>
      </c>
      <c r="E26278" s="38" t="s">
        <v>268</v>
      </c>
      <c r="F26278" s="38" t="s">
        <v>252</v>
      </c>
      <c r="G26278" s="49" t="str">
        <f t="shared" si="1"/>
        <v>64160</v>
      </c>
      <c r="H26278" s="49">
        <f t="shared" si="2"/>
        <v>64470</v>
      </c>
    </row>
    <row r="26279">
      <c r="A26279" s="48" t="s">
        <v>3804</v>
      </c>
      <c r="B26279" s="38">
        <v>80195.0</v>
      </c>
      <c r="C26279" s="38" t="s">
        <v>30765</v>
      </c>
      <c r="D26279" s="38" t="str">
        <f>IFERROR(__xludf.DUMMYFUNCTION("REGEXREPLACE(C26279,""-\d+(.*)|--\d+(.*)"","""")"),"CHUIGNOLLES")</f>
        <v>CHUIGNOLLES</v>
      </c>
      <c r="E26279" s="38" t="s">
        <v>224</v>
      </c>
      <c r="F26279" s="38" t="s">
        <v>113</v>
      </c>
      <c r="G26279" s="49" t="str">
        <f t="shared" si="1"/>
        <v>80340</v>
      </c>
      <c r="H26279" s="49">
        <f t="shared" si="2"/>
        <v>80195</v>
      </c>
    </row>
    <row r="26280">
      <c r="A26280" s="48" t="s">
        <v>1804</v>
      </c>
      <c r="B26280" s="38">
        <v>78562.0</v>
      </c>
      <c r="C26280" s="38" t="s">
        <v>30766</v>
      </c>
      <c r="D26280" s="38" t="str">
        <f>IFERROR(__xludf.DUMMYFUNCTION("REGEXREPLACE(C26280,""-\d+(.*)|--\d+(.*)"","""")"),"SAINT-LEGER-EN-YVELINES")</f>
        <v>SAINT-LEGER-EN-YVELINES</v>
      </c>
      <c r="E26280" s="38" t="s">
        <v>362</v>
      </c>
      <c r="F26280" s="38" t="s">
        <v>245</v>
      </c>
      <c r="G26280" s="49" t="str">
        <f t="shared" si="1"/>
        <v>78610</v>
      </c>
      <c r="H26280" s="49">
        <f t="shared" si="2"/>
        <v>78562</v>
      </c>
    </row>
    <row r="26281">
      <c r="A26281" s="48" t="s">
        <v>2506</v>
      </c>
      <c r="B26281" s="38">
        <v>80358.0</v>
      </c>
      <c r="C26281" s="38" t="s">
        <v>30767</v>
      </c>
      <c r="D26281" s="38" t="str">
        <f>IFERROR(__xludf.DUMMYFUNCTION("REGEXREPLACE(C26281,""-\d+(.*)|--\d+(.*)"","""")"),"FRESNOY-EN-CHAUSSEE")</f>
        <v>FRESNOY-EN-CHAUSSEE</v>
      </c>
      <c r="E26281" s="38" t="s">
        <v>224</v>
      </c>
      <c r="F26281" s="38" t="s">
        <v>113</v>
      </c>
      <c r="G26281" s="49" t="str">
        <f t="shared" si="1"/>
        <v>80110</v>
      </c>
      <c r="H26281" s="49">
        <f t="shared" si="2"/>
        <v>80358</v>
      </c>
    </row>
    <row r="26282">
      <c r="A26282" s="48" t="s">
        <v>13834</v>
      </c>
      <c r="B26282" s="38">
        <v>36132.0</v>
      </c>
      <c r="C26282" s="38" t="s">
        <v>30768</v>
      </c>
      <c r="D26282" s="38" t="str">
        <f>IFERROR(__xludf.DUMMYFUNCTION("REGEXREPLACE(C26282,""-\d+(.*)|--\d+(.*)"","""")"),"LA MOTTE-FEUILLY")</f>
        <v>LA MOTTE-FEUILLY</v>
      </c>
      <c r="E26282" s="38" t="s">
        <v>258</v>
      </c>
      <c r="F26282" s="38" t="s">
        <v>123</v>
      </c>
      <c r="G26282" s="49" t="str">
        <f t="shared" si="1"/>
        <v>36160</v>
      </c>
      <c r="H26282" s="49">
        <f t="shared" si="2"/>
        <v>36132</v>
      </c>
    </row>
    <row r="26283">
      <c r="A26283" s="48" t="s">
        <v>4499</v>
      </c>
      <c r="B26283" s="38">
        <v>25475.0</v>
      </c>
      <c r="C26283" s="38" t="s">
        <v>30769</v>
      </c>
      <c r="D26283" s="38" t="str">
        <f>IFERROR(__xludf.DUMMYFUNCTION("REGEXREPLACE(C26283,""-\d+(.*)|--\d+(.*)"","""")"),"QUINGEY")</f>
        <v>QUINGEY</v>
      </c>
      <c r="E26283" s="38" t="s">
        <v>213</v>
      </c>
      <c r="F26283" s="38" t="s">
        <v>214</v>
      </c>
      <c r="G26283" s="49" t="str">
        <f t="shared" si="1"/>
        <v>25440</v>
      </c>
      <c r="H26283" s="49">
        <f t="shared" si="2"/>
        <v>25475</v>
      </c>
    </row>
    <row r="26284">
      <c r="A26284" s="48" t="s">
        <v>5281</v>
      </c>
      <c r="B26284" s="38">
        <v>25278.0</v>
      </c>
      <c r="C26284" s="38" t="s">
        <v>30770</v>
      </c>
      <c r="D26284" s="38" t="str">
        <f>IFERROR(__xludf.DUMMYFUNCTION("REGEXREPLACE(C26284,""-\d+(.*)|--\d+(.*)"","""")"),"GONSANS")</f>
        <v>GONSANS</v>
      </c>
      <c r="E26284" s="38" t="s">
        <v>213</v>
      </c>
      <c r="F26284" s="38" t="s">
        <v>214</v>
      </c>
      <c r="G26284" s="49" t="str">
        <f t="shared" si="1"/>
        <v>25360</v>
      </c>
      <c r="H26284" s="49">
        <f t="shared" si="2"/>
        <v>25278</v>
      </c>
    </row>
    <row r="26285">
      <c r="A26285" s="48" t="s">
        <v>4199</v>
      </c>
      <c r="B26285" s="38">
        <v>17281.0</v>
      </c>
      <c r="C26285" s="38" t="s">
        <v>19533</v>
      </c>
      <c r="D26285" s="38" t="str">
        <f>IFERROR(__xludf.DUMMYFUNCTION("REGEXREPLACE(C26285,""-\d+(.*)|--\d+(.*)"","""")"),"POLIGNAC")</f>
        <v>POLIGNAC</v>
      </c>
      <c r="E26285" s="38" t="s">
        <v>488</v>
      </c>
      <c r="F26285" s="38" t="s">
        <v>338</v>
      </c>
      <c r="G26285" s="49" t="str">
        <f t="shared" si="1"/>
        <v>17210</v>
      </c>
      <c r="H26285" s="49">
        <f t="shared" si="2"/>
        <v>17281</v>
      </c>
    </row>
    <row r="26286">
      <c r="A26286" s="48" t="s">
        <v>13997</v>
      </c>
      <c r="B26286" s="38">
        <v>32291.0</v>
      </c>
      <c r="C26286" s="38" t="s">
        <v>30771</v>
      </c>
      <c r="D26286" s="38" t="str">
        <f>IFERROR(__xludf.DUMMYFUNCTION("REGEXREPLACE(C26286,""-\d+(.*)|--\d+(.*)"","""")"),"MORMES")</f>
        <v>MORMES</v>
      </c>
      <c r="E26286" s="38" t="s">
        <v>440</v>
      </c>
      <c r="F26286" s="38" t="s">
        <v>94</v>
      </c>
      <c r="G26286" s="49" t="str">
        <f t="shared" si="1"/>
        <v>32240</v>
      </c>
      <c r="H26286" s="49">
        <f t="shared" si="2"/>
        <v>32291</v>
      </c>
    </row>
    <row r="26287">
      <c r="A26287" s="48" t="s">
        <v>236</v>
      </c>
      <c r="B26287" s="38">
        <v>9048.0</v>
      </c>
      <c r="C26287" s="38" t="s">
        <v>30772</v>
      </c>
      <c r="D26287" s="38" t="str">
        <f>IFERROR(__xludf.DUMMYFUNCTION("REGEXREPLACE(C26287,""-\d+(.*)|--\d+(.*)"","""")"),"BELLOC")</f>
        <v>BELLOC</v>
      </c>
      <c r="E26287" s="38" t="s">
        <v>238</v>
      </c>
      <c r="F26287" s="38" t="s">
        <v>94</v>
      </c>
      <c r="G26287" s="49" t="str">
        <f t="shared" si="1"/>
        <v>09600</v>
      </c>
      <c r="H26287" s="49" t="str">
        <f t="shared" si="2"/>
        <v>09048</v>
      </c>
    </row>
    <row r="26288">
      <c r="A26288" s="48" t="s">
        <v>5750</v>
      </c>
      <c r="B26288" s="38">
        <v>26124.0</v>
      </c>
      <c r="C26288" s="38" t="s">
        <v>30773</v>
      </c>
      <c r="D26288" s="38" t="str">
        <f>IFERROR(__xludf.DUMMYFUNCTION("REGEXREPLACE(C26288,""-\d+(.*)|--\d+(.*)"","""")"),"ETOILE-SUR-RHONE")</f>
        <v>ETOILE-SUR-RHONE</v>
      </c>
      <c r="E26288" s="38" t="s">
        <v>126</v>
      </c>
      <c r="F26288" s="38" t="s">
        <v>102</v>
      </c>
      <c r="G26288" s="49" t="str">
        <f t="shared" si="1"/>
        <v>26800</v>
      </c>
      <c r="H26288" s="49">
        <f t="shared" si="2"/>
        <v>26124</v>
      </c>
    </row>
    <row r="26289">
      <c r="A26289" s="48" t="s">
        <v>5996</v>
      </c>
      <c r="B26289" s="38">
        <v>67524.0</v>
      </c>
      <c r="C26289" s="38" t="s">
        <v>30774</v>
      </c>
      <c r="D26289" s="38" t="str">
        <f>IFERROR(__xludf.DUMMYFUNCTION("REGEXREPLACE(C26289,""-\d+(.*)|--\d+(.*)"","""")"),"WEITERSWILLER")</f>
        <v>WEITERSWILLER</v>
      </c>
      <c r="E26289" s="38" t="s">
        <v>210</v>
      </c>
      <c r="F26289" s="38" t="s">
        <v>151</v>
      </c>
      <c r="G26289" s="49" t="str">
        <f t="shared" si="1"/>
        <v>67340</v>
      </c>
      <c r="H26289" s="49">
        <f t="shared" si="2"/>
        <v>67524</v>
      </c>
    </row>
    <row r="26290">
      <c r="A26290" s="48" t="s">
        <v>3948</v>
      </c>
      <c r="B26290" s="38">
        <v>21063.0</v>
      </c>
      <c r="C26290" s="38" t="s">
        <v>30775</v>
      </c>
      <c r="D26290" s="38" t="str">
        <f>IFERROR(__xludf.DUMMYFUNCTION("REGEXREPLACE(C26290,""-\d+(.*)|--\d+(.*)"","""")"),"BENEUVRE")</f>
        <v>BENEUVRE</v>
      </c>
      <c r="E26290" s="38" t="s">
        <v>105</v>
      </c>
      <c r="F26290" s="38" t="s">
        <v>106</v>
      </c>
      <c r="G26290" s="49" t="str">
        <f t="shared" si="1"/>
        <v>21290</v>
      </c>
      <c r="H26290" s="49">
        <f t="shared" si="2"/>
        <v>21063</v>
      </c>
    </row>
    <row r="26291">
      <c r="A26291" s="48" t="s">
        <v>11490</v>
      </c>
      <c r="B26291" s="38">
        <v>59364.0</v>
      </c>
      <c r="C26291" s="38" t="s">
        <v>30776</v>
      </c>
      <c r="D26291" s="38" t="str">
        <f>IFERROR(__xludf.DUMMYFUNCTION("REGEXREPLACE(C26291,""-\d+(.*)|--\d+(.*)"","""")"),"LOUVIL")</f>
        <v>LOUVIL</v>
      </c>
      <c r="E26291" s="38" t="s">
        <v>85</v>
      </c>
      <c r="F26291" s="38" t="s">
        <v>86</v>
      </c>
      <c r="G26291" s="49" t="str">
        <f t="shared" si="1"/>
        <v>59830</v>
      </c>
      <c r="H26291" s="49">
        <f t="shared" si="2"/>
        <v>59364</v>
      </c>
    </row>
    <row r="26292">
      <c r="A26292" s="48" t="s">
        <v>2613</v>
      </c>
      <c r="B26292" s="38">
        <v>47118.0</v>
      </c>
      <c r="C26292" s="38" t="s">
        <v>30777</v>
      </c>
      <c r="D26292" s="38" t="str">
        <f>IFERROR(__xludf.DUMMYFUNCTION("REGEXREPLACE(C26292,""-\d+(.*)|--\d+(.*)"","""")"),"HAUTESVIGNES")</f>
        <v>HAUTESVIGNES</v>
      </c>
      <c r="E26292" s="38" t="s">
        <v>251</v>
      </c>
      <c r="F26292" s="38" t="s">
        <v>252</v>
      </c>
      <c r="G26292" s="49" t="str">
        <f t="shared" si="1"/>
        <v>47400</v>
      </c>
      <c r="H26292" s="49">
        <f t="shared" si="2"/>
        <v>47118</v>
      </c>
    </row>
    <row r="26293">
      <c r="A26293" s="48" t="s">
        <v>15846</v>
      </c>
      <c r="B26293" s="38">
        <v>79128.0</v>
      </c>
      <c r="C26293" s="38" t="s">
        <v>30778</v>
      </c>
      <c r="D26293" s="38" t="str">
        <f>IFERROR(__xludf.DUMMYFUNCTION("REGEXREPLACE(C26293,""-\d+(.*)|--\d+(.*)"","""")"),"FRANCOIS")</f>
        <v>FRANCOIS</v>
      </c>
      <c r="E26293" s="38" t="s">
        <v>337</v>
      </c>
      <c r="F26293" s="38" t="s">
        <v>338</v>
      </c>
      <c r="G26293" s="49" t="str">
        <f t="shared" si="1"/>
        <v>79260</v>
      </c>
      <c r="H26293" s="49">
        <f t="shared" si="2"/>
        <v>79128</v>
      </c>
    </row>
    <row r="26294">
      <c r="A26294" s="48" t="s">
        <v>478</v>
      </c>
      <c r="B26294" s="38">
        <v>41249.0</v>
      </c>
      <c r="C26294" s="38" t="s">
        <v>30779</v>
      </c>
      <c r="D26294" s="38" t="str">
        <f>IFERROR(__xludf.DUMMYFUNCTION("REGEXREPLACE(C26294,""-\d+(.*)|--\d+(.*)"","""")"),"SOUESMES")</f>
        <v>SOUESMES</v>
      </c>
      <c r="E26294" s="38" t="s">
        <v>188</v>
      </c>
      <c r="F26294" s="38" t="s">
        <v>123</v>
      </c>
      <c r="G26294" s="49" t="str">
        <f t="shared" si="1"/>
        <v>41300</v>
      </c>
      <c r="H26294" s="49">
        <f t="shared" si="2"/>
        <v>41249</v>
      </c>
    </row>
    <row r="26295">
      <c r="A26295" s="48" t="s">
        <v>4596</v>
      </c>
      <c r="B26295" s="38">
        <v>2090.0</v>
      </c>
      <c r="C26295" s="38" t="s">
        <v>30780</v>
      </c>
      <c r="D26295" s="38" t="str">
        <f>IFERROR(__xludf.DUMMYFUNCTION("REGEXREPLACE(C26295,""-\d+(.*)|--\d+(.*)"","""")"),"BILLY-SUR-OURCQ")</f>
        <v>BILLY-SUR-OURCQ</v>
      </c>
      <c r="E26295" s="38" t="s">
        <v>191</v>
      </c>
      <c r="F26295" s="38" t="s">
        <v>113</v>
      </c>
      <c r="G26295" s="49" t="str">
        <f t="shared" si="1"/>
        <v>02210</v>
      </c>
      <c r="H26295" s="49" t="str">
        <f t="shared" si="2"/>
        <v>02090</v>
      </c>
    </row>
    <row r="26296">
      <c r="A26296" s="48" t="s">
        <v>5451</v>
      </c>
      <c r="B26296" s="38">
        <v>19046.0</v>
      </c>
      <c r="C26296" s="38" t="s">
        <v>30781</v>
      </c>
      <c r="D26296" s="38" t="str">
        <f>IFERROR(__xludf.DUMMYFUNCTION("REGEXREPLACE(C26296,""-\d+(.*)|--\d+(.*)"","""")"),"CHAPELLE-SPINASSE")</f>
        <v>CHAPELLE-SPINASSE</v>
      </c>
      <c r="E26296" s="38" t="s">
        <v>271</v>
      </c>
      <c r="F26296" s="38" t="s">
        <v>98</v>
      </c>
      <c r="G26296" s="49" t="str">
        <f t="shared" si="1"/>
        <v>19300</v>
      </c>
      <c r="H26296" s="49">
        <f t="shared" si="2"/>
        <v>19046</v>
      </c>
    </row>
    <row r="26297">
      <c r="A26297" s="48" t="s">
        <v>1940</v>
      </c>
      <c r="B26297" s="38">
        <v>51565.0</v>
      </c>
      <c r="C26297" s="38" t="s">
        <v>30782</v>
      </c>
      <c r="D26297" s="38" t="str">
        <f>IFERROR(__xludf.DUMMYFUNCTION("REGEXREPLACE(C26297,""-\d+(.*)|--\d+(.*)"","""")"),"THAAS")</f>
        <v>THAAS</v>
      </c>
      <c r="E26297" s="38" t="s">
        <v>129</v>
      </c>
      <c r="F26297" s="38" t="s">
        <v>130</v>
      </c>
      <c r="G26297" s="49" t="str">
        <f t="shared" si="1"/>
        <v>51230</v>
      </c>
      <c r="H26297" s="49">
        <f t="shared" si="2"/>
        <v>51565</v>
      </c>
    </row>
    <row r="26298">
      <c r="A26298" s="48" t="s">
        <v>3857</v>
      </c>
      <c r="B26298" s="38">
        <v>12231.0</v>
      </c>
      <c r="C26298" s="38" t="s">
        <v>30783</v>
      </c>
      <c r="D26298" s="38" t="str">
        <f>IFERROR(__xludf.DUMMYFUNCTION("REGEXREPLACE(C26298,""-\d+(.*)|--\d+(.*)"","""")"),"SAINT-JEAN-DU-BRUEL")</f>
        <v>SAINT-JEAN-DU-BRUEL</v>
      </c>
      <c r="E26298" s="38" t="s">
        <v>465</v>
      </c>
      <c r="F26298" s="38" t="s">
        <v>94</v>
      </c>
      <c r="G26298" s="49" t="str">
        <f t="shared" si="1"/>
        <v>12230</v>
      </c>
      <c r="H26298" s="49">
        <f t="shared" si="2"/>
        <v>12231</v>
      </c>
    </row>
    <row r="26299">
      <c r="A26299" s="48" t="s">
        <v>524</v>
      </c>
      <c r="B26299" s="38">
        <v>30013.0</v>
      </c>
      <c r="C26299" s="38" t="s">
        <v>30784</v>
      </c>
      <c r="D26299" s="38" t="str">
        <f>IFERROR(__xludf.DUMMYFUNCTION("REGEXREPLACE(C26299,""-\d+(.*)|--\d+(.*)"","""")"),"ARGILLIERS")</f>
        <v>ARGILLIERS</v>
      </c>
      <c r="E26299" s="38" t="s">
        <v>526</v>
      </c>
      <c r="F26299" s="38" t="s">
        <v>119</v>
      </c>
      <c r="G26299" s="49" t="str">
        <f t="shared" si="1"/>
        <v>30210</v>
      </c>
      <c r="H26299" s="49">
        <f t="shared" si="2"/>
        <v>30013</v>
      </c>
    </row>
    <row r="26300">
      <c r="A26300" s="48" t="s">
        <v>30785</v>
      </c>
      <c r="B26300" s="38">
        <v>85031.0</v>
      </c>
      <c r="C26300" s="38" t="s">
        <v>30786</v>
      </c>
      <c r="D26300" s="38" t="str">
        <f>IFERROR(__xludf.DUMMYFUNCTION("REGEXREPLACE(C26300,""-\d+(.*)|--\d+(.*)"","""")"),"LE BOUPERE")</f>
        <v>LE BOUPERE</v>
      </c>
      <c r="E26300" s="38" t="s">
        <v>179</v>
      </c>
      <c r="F26300" s="38" t="s">
        <v>180</v>
      </c>
      <c r="G26300" s="49" t="str">
        <f t="shared" si="1"/>
        <v>85510</v>
      </c>
      <c r="H26300" s="49">
        <f t="shared" si="2"/>
        <v>85031</v>
      </c>
    </row>
    <row r="26301">
      <c r="A26301" s="48" t="s">
        <v>1835</v>
      </c>
      <c r="B26301" s="38">
        <v>76288.0</v>
      </c>
      <c r="C26301" s="38" t="s">
        <v>30787</v>
      </c>
      <c r="D26301" s="38" t="str">
        <f>IFERROR(__xludf.DUMMYFUNCTION("REGEXREPLACE(C26301,""-\d+(.*)|--\d+(.*)"","""")"),"FREULLEVILLE")</f>
        <v>FREULLEVILLE</v>
      </c>
      <c r="E26301" s="38" t="s">
        <v>133</v>
      </c>
      <c r="F26301" s="38" t="s">
        <v>134</v>
      </c>
      <c r="G26301" s="49" t="str">
        <f t="shared" si="1"/>
        <v>76510</v>
      </c>
      <c r="H26301" s="49">
        <f t="shared" si="2"/>
        <v>76288</v>
      </c>
    </row>
    <row r="26302">
      <c r="A26302" s="48" t="s">
        <v>4728</v>
      </c>
      <c r="B26302" s="38">
        <v>37117.0</v>
      </c>
      <c r="C26302" s="38" t="s">
        <v>30788</v>
      </c>
      <c r="D26302" s="38" t="str">
        <f>IFERROR(__xludf.DUMMYFUNCTION("REGEXREPLACE(C26302,""-\d+(.*)|--\d+(.*)"","""")"),"HOMMES")</f>
        <v>HOMMES</v>
      </c>
      <c r="E26302" s="38" t="s">
        <v>205</v>
      </c>
      <c r="F26302" s="38" t="s">
        <v>123</v>
      </c>
      <c r="G26302" s="49" t="str">
        <f t="shared" si="1"/>
        <v>37340</v>
      </c>
      <c r="H26302" s="49">
        <f t="shared" si="2"/>
        <v>37117</v>
      </c>
    </row>
    <row r="26303">
      <c r="A26303" s="48" t="s">
        <v>18684</v>
      </c>
      <c r="B26303" s="38">
        <v>86039.0</v>
      </c>
      <c r="C26303" s="38" t="s">
        <v>30789</v>
      </c>
      <c r="D26303" s="38" t="str">
        <f>IFERROR(__xludf.DUMMYFUNCTION("REGEXREPLACE(C26303,""-\d+(.*)|--\d+(.*)"","""")"),"BRUX")</f>
        <v>BRUX</v>
      </c>
      <c r="E26303" s="38" t="s">
        <v>529</v>
      </c>
      <c r="F26303" s="38" t="s">
        <v>338</v>
      </c>
      <c r="G26303" s="49" t="str">
        <f t="shared" si="1"/>
        <v>86510</v>
      </c>
      <c r="H26303" s="49">
        <f t="shared" si="2"/>
        <v>86039</v>
      </c>
    </row>
    <row r="26304">
      <c r="A26304" s="48" t="s">
        <v>1358</v>
      </c>
      <c r="B26304" s="38">
        <v>81233.0</v>
      </c>
      <c r="C26304" s="38" t="s">
        <v>15365</v>
      </c>
      <c r="D26304" s="38" t="str">
        <f>IFERROR(__xludf.DUMMYFUNCTION("REGEXREPLACE(C26304,""-\d+(.*)|--\d+(.*)"","""")"),"ROUMEGOUX")</f>
        <v>ROUMEGOUX</v>
      </c>
      <c r="E26304" s="38" t="s">
        <v>231</v>
      </c>
      <c r="F26304" s="38" t="s">
        <v>94</v>
      </c>
      <c r="G26304" s="49" t="str">
        <f t="shared" si="1"/>
        <v>81120</v>
      </c>
      <c r="H26304" s="49">
        <f t="shared" si="2"/>
        <v>81233</v>
      </c>
    </row>
    <row r="26305">
      <c r="A26305" s="48" t="s">
        <v>4682</v>
      </c>
      <c r="B26305" s="38">
        <v>50426.0</v>
      </c>
      <c r="C26305" s="38" t="s">
        <v>30790</v>
      </c>
      <c r="D26305" s="38" t="str">
        <f>IFERROR(__xludf.DUMMYFUNCTION("REGEXREPLACE(C26305,""-\d+(.*)|--\d+(.*)"","""")"),"RAUVILLE-LA-PLACE")</f>
        <v>RAUVILLE-LA-PLACE</v>
      </c>
      <c r="E26305" s="38" t="s">
        <v>157</v>
      </c>
      <c r="F26305" s="38" t="s">
        <v>138</v>
      </c>
      <c r="G26305" s="49" t="str">
        <f t="shared" si="1"/>
        <v>50390</v>
      </c>
      <c r="H26305" s="49">
        <f t="shared" si="2"/>
        <v>50426</v>
      </c>
    </row>
    <row r="26306">
      <c r="A26306" s="48" t="s">
        <v>1638</v>
      </c>
      <c r="B26306" s="38">
        <v>70052.0</v>
      </c>
      <c r="C26306" s="38" t="s">
        <v>30791</v>
      </c>
      <c r="D26306" s="38" t="str">
        <f>IFERROR(__xludf.DUMMYFUNCTION("REGEXREPLACE(C26306,""-\d+(.*)|--\d+(.*)"","""")"),"BASSIGNEY")</f>
        <v>BASSIGNEY</v>
      </c>
      <c r="E26306" s="38" t="s">
        <v>956</v>
      </c>
      <c r="F26306" s="38" t="s">
        <v>214</v>
      </c>
      <c r="G26306" s="49" t="str">
        <f t="shared" si="1"/>
        <v>70800</v>
      </c>
      <c r="H26306" s="49">
        <f t="shared" si="2"/>
        <v>70052</v>
      </c>
    </row>
    <row r="26307">
      <c r="A26307" s="48" t="s">
        <v>1404</v>
      </c>
      <c r="B26307" s="38">
        <v>30180.0</v>
      </c>
      <c r="C26307" s="38" t="s">
        <v>30792</v>
      </c>
      <c r="D26307" s="38" t="str">
        <f>IFERROR(__xludf.DUMMYFUNCTION("REGEXREPLACE(C26307,""-\d+(.*)|--\d+(.*)"","""")"),"MONTIGNARGUES")</f>
        <v>MONTIGNARGUES</v>
      </c>
      <c r="E26307" s="38" t="s">
        <v>526</v>
      </c>
      <c r="F26307" s="38" t="s">
        <v>119</v>
      </c>
      <c r="G26307" s="49" t="str">
        <f t="shared" si="1"/>
        <v>30190</v>
      </c>
      <c r="H26307" s="49">
        <f t="shared" si="2"/>
        <v>30180</v>
      </c>
    </row>
    <row r="26308">
      <c r="A26308" s="48" t="s">
        <v>771</v>
      </c>
      <c r="B26308" s="38">
        <v>60204.0</v>
      </c>
      <c r="C26308" s="38" t="s">
        <v>30793</v>
      </c>
      <c r="D26308" s="38" t="str">
        <f>IFERROR(__xludf.DUMMYFUNCTION("REGEXREPLACE(C26308,""-\d+(.*)|--\d+(.*)"","""")"),"ECUVILLY")</f>
        <v>ECUVILLY</v>
      </c>
      <c r="E26308" s="38" t="s">
        <v>112</v>
      </c>
      <c r="F26308" s="38" t="s">
        <v>113</v>
      </c>
      <c r="G26308" s="49" t="str">
        <f t="shared" si="1"/>
        <v>60310</v>
      </c>
      <c r="H26308" s="49">
        <f t="shared" si="2"/>
        <v>60204</v>
      </c>
    </row>
    <row r="26309">
      <c r="A26309" s="48" t="s">
        <v>20678</v>
      </c>
      <c r="B26309" s="38">
        <v>23077.0</v>
      </c>
      <c r="C26309" s="38" t="s">
        <v>30794</v>
      </c>
      <c r="D26309" s="38" t="str">
        <f>IFERROR(__xludf.DUMMYFUNCTION("REGEXREPLACE(C26309,""-\d+(.*)|--\d+(.*)"","""")"),"FAUX-LA-MONTAGNE")</f>
        <v>FAUX-LA-MONTAGNE</v>
      </c>
      <c r="E26309" s="38" t="s">
        <v>97</v>
      </c>
      <c r="F26309" s="38" t="s">
        <v>98</v>
      </c>
      <c r="G26309" s="49" t="str">
        <f t="shared" si="1"/>
        <v>23340</v>
      </c>
      <c r="H26309" s="49">
        <f t="shared" si="2"/>
        <v>23077</v>
      </c>
    </row>
    <row r="26310">
      <c r="A26310" s="48" t="s">
        <v>328</v>
      </c>
      <c r="B26310" s="38">
        <v>2245.0</v>
      </c>
      <c r="C26310" s="38" t="s">
        <v>30795</v>
      </c>
      <c r="D26310" s="38" t="str">
        <f>IFERROR(__xludf.DUMMYFUNCTION("REGEXREPLACE(C26310,""-\d+(.*)|--\d+(.*)"","""")"),"CUFFIES")</f>
        <v>CUFFIES</v>
      </c>
      <c r="E26310" s="38" t="s">
        <v>191</v>
      </c>
      <c r="F26310" s="38" t="s">
        <v>113</v>
      </c>
      <c r="G26310" s="49" t="str">
        <f t="shared" si="1"/>
        <v>02880</v>
      </c>
      <c r="H26310" s="49" t="str">
        <f t="shared" si="2"/>
        <v>02245</v>
      </c>
    </row>
    <row r="26311">
      <c r="A26311" s="48" t="s">
        <v>294</v>
      </c>
      <c r="B26311" s="38">
        <v>40117.0</v>
      </c>
      <c r="C26311" s="38" t="s">
        <v>30796</v>
      </c>
      <c r="D26311" s="38" t="str">
        <f>IFERROR(__xludf.DUMMYFUNCTION("REGEXREPLACE(C26311,""-\d+(.*)|--\d+(.*)"","""")"),"GRENADE-SUR-L'ADOUR")</f>
        <v>GRENADE-SUR-L'ADOUR</v>
      </c>
      <c r="E26311" s="38" t="s">
        <v>281</v>
      </c>
      <c r="F26311" s="38" t="s">
        <v>252</v>
      </c>
      <c r="G26311" s="49" t="str">
        <f t="shared" si="1"/>
        <v>40270</v>
      </c>
      <c r="H26311" s="49">
        <f t="shared" si="2"/>
        <v>40117</v>
      </c>
    </row>
    <row r="26312">
      <c r="A26312" s="48" t="s">
        <v>3545</v>
      </c>
      <c r="B26312" s="38">
        <v>17240.0</v>
      </c>
      <c r="C26312" s="38" t="s">
        <v>30797</v>
      </c>
      <c r="D26312" s="38" t="str">
        <f>IFERROR(__xludf.DUMMYFUNCTION("REGEXREPLACE(C26312,""-\d+(.*)|--\d+(.*)"","""")"),"MONTENDRE")</f>
        <v>MONTENDRE</v>
      </c>
      <c r="E26312" s="38" t="s">
        <v>488</v>
      </c>
      <c r="F26312" s="38" t="s">
        <v>338</v>
      </c>
      <c r="G26312" s="49" t="str">
        <f t="shared" si="1"/>
        <v>17130</v>
      </c>
      <c r="H26312" s="49">
        <f t="shared" si="2"/>
        <v>17240</v>
      </c>
    </row>
    <row r="26313">
      <c r="A26313" s="48" t="s">
        <v>19788</v>
      </c>
      <c r="B26313" s="38">
        <v>17478.0</v>
      </c>
      <c r="C26313" s="38" t="s">
        <v>30798</v>
      </c>
      <c r="D26313" s="38" t="str">
        <f>IFERROR(__xludf.DUMMYFUNCTION("REGEXREPLACE(C26313,""-\d+(.*)|--\d+(.*)"","""")"),"VINAX")</f>
        <v>VINAX</v>
      </c>
      <c r="E26313" s="38" t="s">
        <v>488</v>
      </c>
      <c r="F26313" s="38" t="s">
        <v>338</v>
      </c>
      <c r="G26313" s="49" t="str">
        <f t="shared" si="1"/>
        <v>17510</v>
      </c>
      <c r="H26313" s="49">
        <f t="shared" si="2"/>
        <v>17478</v>
      </c>
    </row>
    <row r="26314">
      <c r="A26314" s="48" t="s">
        <v>9021</v>
      </c>
      <c r="B26314" s="38">
        <v>88195.0</v>
      </c>
      <c r="C26314" s="38" t="s">
        <v>30799</v>
      </c>
      <c r="D26314" s="38" t="str">
        <f>IFERROR(__xludf.DUMMYFUNCTION("REGEXREPLACE(C26314,""-\d+(.*)|--\d+(.*)"","""")"),"GENDREVILLE")</f>
        <v>GENDREVILLE</v>
      </c>
      <c r="E26314" s="38" t="s">
        <v>194</v>
      </c>
      <c r="F26314" s="38" t="s">
        <v>195</v>
      </c>
      <c r="G26314" s="49" t="str">
        <f t="shared" si="1"/>
        <v>88140</v>
      </c>
      <c r="H26314" s="49">
        <f t="shared" si="2"/>
        <v>88195</v>
      </c>
    </row>
    <row r="26315">
      <c r="A26315" s="48" t="s">
        <v>21039</v>
      </c>
      <c r="B26315" s="38">
        <v>33022.0</v>
      </c>
      <c r="C26315" s="38" t="s">
        <v>30800</v>
      </c>
      <c r="D26315" s="38" t="str">
        <f>IFERROR(__xludf.DUMMYFUNCTION("REGEXREPLACE(C26315,""-\d+(.*)|--\d+(.*)"","""")"),"AVENSAN")</f>
        <v>AVENSAN</v>
      </c>
      <c r="E26315" s="38" t="s">
        <v>462</v>
      </c>
      <c r="F26315" s="38" t="s">
        <v>252</v>
      </c>
      <c r="G26315" s="49" t="str">
        <f t="shared" si="1"/>
        <v>33480</v>
      </c>
      <c r="H26315" s="49">
        <f t="shared" si="2"/>
        <v>33022</v>
      </c>
    </row>
    <row r="26316">
      <c r="A26316" s="48" t="s">
        <v>390</v>
      </c>
      <c r="B26316" s="38">
        <v>11169.0</v>
      </c>
      <c r="C26316" s="38" t="s">
        <v>30801</v>
      </c>
      <c r="D26316" s="38" t="str">
        <f>IFERROR(__xludf.DUMMYFUNCTION("REGEXREPLACE(C26316,""-\d+(.*)|--\d+(.*)"","""")"),"GREFFEIL")</f>
        <v>GREFFEIL</v>
      </c>
      <c r="E26316" s="38" t="s">
        <v>278</v>
      </c>
      <c r="F26316" s="38" t="s">
        <v>119</v>
      </c>
      <c r="G26316" s="49" t="str">
        <f t="shared" si="1"/>
        <v>11250</v>
      </c>
      <c r="H26316" s="49">
        <f t="shared" si="2"/>
        <v>11169</v>
      </c>
    </row>
    <row r="26317">
      <c r="A26317" s="48" t="s">
        <v>2462</v>
      </c>
      <c r="B26317" s="38">
        <v>1411.0</v>
      </c>
      <c r="C26317" s="38" t="s">
        <v>30802</v>
      </c>
      <c r="D26317" s="38" t="str">
        <f>IFERROR(__xludf.DUMMYFUNCTION("REGEXREPLACE(C26317,""-\d+(.*)|--\d+(.*)"","""")"),"SOUCLIN")</f>
        <v>SOUCLIN</v>
      </c>
      <c r="E26317" s="38" t="s">
        <v>255</v>
      </c>
      <c r="F26317" s="38" t="s">
        <v>102</v>
      </c>
      <c r="G26317" s="49" t="str">
        <f t="shared" si="1"/>
        <v>01150</v>
      </c>
      <c r="H26317" s="49" t="str">
        <f t="shared" si="2"/>
        <v>01411</v>
      </c>
    </row>
    <row r="26318">
      <c r="A26318" s="48" t="s">
        <v>2868</v>
      </c>
      <c r="B26318" s="38">
        <v>80708.0</v>
      </c>
      <c r="C26318" s="38" t="s">
        <v>13818</v>
      </c>
      <c r="D26318" s="38" t="str">
        <f>IFERROR(__xludf.DUMMYFUNCTION("REGEXREPLACE(C26318,""-\d+(.*)|--\d+(.*)"","""")"),"SAINT-MARD")</f>
        <v>SAINT-MARD</v>
      </c>
      <c r="E26318" s="38" t="s">
        <v>224</v>
      </c>
      <c r="F26318" s="38" t="s">
        <v>113</v>
      </c>
      <c r="G26318" s="49" t="str">
        <f t="shared" si="1"/>
        <v>80700</v>
      </c>
      <c r="H26318" s="49">
        <f t="shared" si="2"/>
        <v>80708</v>
      </c>
    </row>
    <row r="26319">
      <c r="A26319" s="48" t="s">
        <v>7494</v>
      </c>
      <c r="B26319" s="38">
        <v>81097.0</v>
      </c>
      <c r="C26319" s="38" t="s">
        <v>30803</v>
      </c>
      <c r="D26319" s="38" t="str">
        <f>IFERROR(__xludf.DUMMYFUNCTION("REGEXREPLACE(C26319,""-\d+(.*)|--\d+(.*)"","""")"),"FREJAIROLLES")</f>
        <v>FREJAIROLLES</v>
      </c>
      <c r="E26319" s="38" t="s">
        <v>231</v>
      </c>
      <c r="F26319" s="38" t="s">
        <v>94</v>
      </c>
      <c r="G26319" s="49" t="str">
        <f t="shared" si="1"/>
        <v>81990</v>
      </c>
      <c r="H26319" s="49">
        <f t="shared" si="2"/>
        <v>81097</v>
      </c>
    </row>
    <row r="26320">
      <c r="A26320" s="48" t="s">
        <v>25654</v>
      </c>
      <c r="B26320" s="38">
        <v>58298.0</v>
      </c>
      <c r="C26320" s="38" t="s">
        <v>30804</v>
      </c>
      <c r="D26320" s="38" t="str">
        <f>IFERROR(__xludf.DUMMYFUNCTION("REGEXREPLACE(C26320,""-\d+(.*)|--\d+(.*)"","""")"),"TRONSANGES")</f>
        <v>TRONSANGES</v>
      </c>
      <c r="E26320" s="38" t="s">
        <v>219</v>
      </c>
      <c r="F26320" s="38" t="s">
        <v>106</v>
      </c>
      <c r="G26320" s="49" t="str">
        <f t="shared" si="1"/>
        <v>58400</v>
      </c>
      <c r="H26320" s="49">
        <f t="shared" si="2"/>
        <v>58298</v>
      </c>
    </row>
    <row r="26321">
      <c r="A26321" s="48" t="s">
        <v>8137</v>
      </c>
      <c r="B26321" s="38">
        <v>62354.0</v>
      </c>
      <c r="C26321" s="38" t="s">
        <v>30805</v>
      </c>
      <c r="D26321" s="38" t="str">
        <f>IFERROR(__xludf.DUMMYFUNCTION("REGEXREPLACE(C26321,""-\d+(.*)|--\d+(.*)"","""")"),"FRENCQ")</f>
        <v>FRENCQ</v>
      </c>
      <c r="E26321" s="38" t="s">
        <v>109</v>
      </c>
      <c r="F26321" s="38" t="s">
        <v>86</v>
      </c>
      <c r="G26321" s="49" t="str">
        <f t="shared" si="1"/>
        <v>62630</v>
      </c>
      <c r="H26321" s="49">
        <f t="shared" si="2"/>
        <v>62354</v>
      </c>
    </row>
    <row r="26322">
      <c r="A26322" s="48" t="s">
        <v>5499</v>
      </c>
      <c r="B26322" s="38">
        <v>47275.0</v>
      </c>
      <c r="C26322" s="38" t="s">
        <v>30806</v>
      </c>
      <c r="D26322" s="38" t="str">
        <f>IFERROR(__xludf.DUMMYFUNCTION("REGEXREPLACE(C26322,""-\d+(.*)|--\d+(.*)"","""")"),"SAINT-SALVY")</f>
        <v>SAINT-SALVY</v>
      </c>
      <c r="E26322" s="38" t="s">
        <v>251</v>
      </c>
      <c r="F26322" s="38" t="s">
        <v>252</v>
      </c>
      <c r="G26322" s="49" t="str">
        <f t="shared" si="1"/>
        <v>47360</v>
      </c>
      <c r="H26322" s="49">
        <f t="shared" si="2"/>
        <v>47275</v>
      </c>
    </row>
    <row r="26323">
      <c r="A26323" s="48" t="s">
        <v>3224</v>
      </c>
      <c r="B26323" s="38">
        <v>54224.0</v>
      </c>
      <c r="C26323" s="38" t="s">
        <v>30807</v>
      </c>
      <c r="D26323" s="38" t="str">
        <f>IFERROR(__xludf.DUMMYFUNCTION("REGEXREPLACE(C26323,""-\d+(.*)|--\d+(.*)"","""")"),"GERMONVILLE")</f>
        <v>GERMONVILLE</v>
      </c>
      <c r="E26323" s="38" t="s">
        <v>548</v>
      </c>
      <c r="F26323" s="38" t="s">
        <v>195</v>
      </c>
      <c r="G26323" s="49" t="str">
        <f t="shared" si="1"/>
        <v>54740</v>
      </c>
      <c r="H26323" s="49">
        <f t="shared" si="2"/>
        <v>54224</v>
      </c>
    </row>
    <row r="26324">
      <c r="A26324" s="48" t="s">
        <v>16724</v>
      </c>
      <c r="B26324" s="38">
        <v>10263.0</v>
      </c>
      <c r="C26324" s="38" t="s">
        <v>30808</v>
      </c>
      <c r="D26324" s="38" t="str">
        <f>IFERROR(__xludf.DUMMYFUNCTION("REGEXREPLACE(C26324,""-\d+(.*)|--\d+(.*)"","""")"),"NEUVILLE-SUR-VANNE")</f>
        <v>NEUVILLE-SUR-VANNE</v>
      </c>
      <c r="E26324" s="38" t="s">
        <v>147</v>
      </c>
      <c r="F26324" s="38" t="s">
        <v>130</v>
      </c>
      <c r="G26324" s="49" t="str">
        <f t="shared" si="1"/>
        <v>10190</v>
      </c>
      <c r="H26324" s="49">
        <f t="shared" si="2"/>
        <v>10263</v>
      </c>
    </row>
    <row r="26325">
      <c r="A26325" s="48" t="s">
        <v>8586</v>
      </c>
      <c r="B26325" s="38">
        <v>46070.0</v>
      </c>
      <c r="C26325" s="38" t="s">
        <v>30809</v>
      </c>
      <c r="D26325" s="38" t="str">
        <f>IFERROR(__xludf.DUMMYFUNCTION("REGEXREPLACE(C26325,""-\d+(.*)|--\d+(.*)"","""")"),"CIEURAC")</f>
        <v>CIEURAC</v>
      </c>
      <c r="E26325" s="38" t="s">
        <v>185</v>
      </c>
      <c r="F26325" s="38" t="s">
        <v>94</v>
      </c>
      <c r="G26325" s="49" t="str">
        <f t="shared" si="1"/>
        <v>46230</v>
      </c>
      <c r="H26325" s="49">
        <f t="shared" si="2"/>
        <v>46070</v>
      </c>
    </row>
    <row r="26326">
      <c r="A26326" s="48" t="s">
        <v>773</v>
      </c>
      <c r="B26326" s="38">
        <v>27171.0</v>
      </c>
      <c r="C26326" s="38" t="s">
        <v>30810</v>
      </c>
      <c r="D26326" s="38" t="str">
        <f>IFERROR(__xludf.DUMMYFUNCTION("REGEXREPLACE(C26326,""-\d+(.*)|--\d+(.*)"","""")"),"LE CORMIER")</f>
        <v>LE CORMIER</v>
      </c>
      <c r="E26326" s="38" t="s">
        <v>241</v>
      </c>
      <c r="F26326" s="38" t="s">
        <v>134</v>
      </c>
      <c r="G26326" s="49" t="str">
        <f t="shared" si="1"/>
        <v>27120</v>
      </c>
      <c r="H26326" s="49">
        <f t="shared" si="2"/>
        <v>27171</v>
      </c>
    </row>
    <row r="26327">
      <c r="A26327" s="48" t="s">
        <v>717</v>
      </c>
      <c r="B26327" s="38">
        <v>31087.0</v>
      </c>
      <c r="C26327" s="38" t="s">
        <v>30811</v>
      </c>
      <c r="D26327" s="38" t="str">
        <f>IFERROR(__xludf.DUMMYFUNCTION("REGEXREPLACE(C26327,""-\d+(.*)|--\d+(.*)"","""")"),"BRAGAYRAC")</f>
        <v>BRAGAYRAC</v>
      </c>
      <c r="E26327" s="38" t="s">
        <v>93</v>
      </c>
      <c r="F26327" s="38" t="s">
        <v>94</v>
      </c>
      <c r="G26327" s="49" t="str">
        <f t="shared" si="1"/>
        <v>31470</v>
      </c>
      <c r="H26327" s="49">
        <f t="shared" si="2"/>
        <v>31087</v>
      </c>
    </row>
    <row r="26328">
      <c r="A26328" s="48" t="s">
        <v>30698</v>
      </c>
      <c r="B26328" s="38">
        <v>59026.0</v>
      </c>
      <c r="C26328" s="38" t="s">
        <v>30812</v>
      </c>
      <c r="D26328" s="38" t="str">
        <f>IFERROR(__xludf.DUMMYFUNCTION("REGEXREPLACE(C26328,""-\d+(.*)|--\d+(.*)"","""")"),"AUBIGNY-AU-BAC")</f>
        <v>AUBIGNY-AU-BAC</v>
      </c>
      <c r="E26328" s="38" t="s">
        <v>85</v>
      </c>
      <c r="F26328" s="38" t="s">
        <v>86</v>
      </c>
      <c r="G26328" s="49" t="str">
        <f t="shared" si="1"/>
        <v>59265</v>
      </c>
      <c r="H26328" s="49">
        <f t="shared" si="2"/>
        <v>59026</v>
      </c>
    </row>
    <row r="26329">
      <c r="A26329" s="48" t="s">
        <v>2192</v>
      </c>
      <c r="B26329" s="38">
        <v>42271.0</v>
      </c>
      <c r="C26329" s="38" t="s">
        <v>30813</v>
      </c>
      <c r="D26329" s="38" t="str">
        <f>IFERROR(__xludf.DUMMYFUNCTION("REGEXREPLACE(C26329,""-\d+(.*)|--\d+(.*)"","""")"),"SAINT-PAUL-EN-JAREZ")</f>
        <v>SAINT-PAUL-EN-JAREZ</v>
      </c>
      <c r="E26329" s="38" t="s">
        <v>166</v>
      </c>
      <c r="F26329" s="38" t="s">
        <v>102</v>
      </c>
      <c r="G26329" s="49" t="str">
        <f t="shared" si="1"/>
        <v>42740</v>
      </c>
      <c r="H26329" s="49">
        <f t="shared" si="2"/>
        <v>42271</v>
      </c>
    </row>
    <row r="26330">
      <c r="A26330" s="48" t="s">
        <v>24290</v>
      </c>
      <c r="B26330" s="38">
        <v>9167.0</v>
      </c>
      <c r="C26330" s="38" t="s">
        <v>30814</v>
      </c>
      <c r="D26330" s="38" t="str">
        <f>IFERROR(__xludf.DUMMYFUNCTION("REGEXREPLACE(C26330,""-\d+(.*)|--\d+(.*)"","""")"),"LEZAT-SUR-LEZE")</f>
        <v>LEZAT-SUR-LEZE</v>
      </c>
      <c r="E26330" s="38" t="s">
        <v>238</v>
      </c>
      <c r="F26330" s="38" t="s">
        <v>94</v>
      </c>
      <c r="G26330" s="49" t="str">
        <f t="shared" si="1"/>
        <v>09210</v>
      </c>
      <c r="H26330" s="49" t="str">
        <f t="shared" si="2"/>
        <v>09167</v>
      </c>
    </row>
    <row r="26331">
      <c r="A26331" s="48" t="s">
        <v>15194</v>
      </c>
      <c r="B26331" s="38">
        <v>24241.0</v>
      </c>
      <c r="C26331" s="38" t="s">
        <v>30815</v>
      </c>
      <c r="D26331" s="38" t="str">
        <f>IFERROR(__xludf.DUMMYFUNCTION("REGEXREPLACE(C26331,""-\d+(.*)|--\d+(.*)"","""")"),"LIMEYRAT")</f>
        <v>LIMEYRAT</v>
      </c>
      <c r="E26331" s="38" t="s">
        <v>261</v>
      </c>
      <c r="F26331" s="38" t="s">
        <v>252</v>
      </c>
      <c r="G26331" s="49" t="str">
        <f t="shared" si="1"/>
        <v>24210</v>
      </c>
      <c r="H26331" s="49">
        <f t="shared" si="2"/>
        <v>24241</v>
      </c>
    </row>
    <row r="26332">
      <c r="A26332" s="48" t="s">
        <v>839</v>
      </c>
      <c r="B26332" s="38">
        <v>62301.0</v>
      </c>
      <c r="C26332" s="38" t="s">
        <v>30816</v>
      </c>
      <c r="D26332" s="38" t="str">
        <f>IFERROR(__xludf.DUMMYFUNCTION("REGEXREPLACE(C26332,""-\d+(.*)|--\d+(.*)"","""")"),"EQUIRRE")</f>
        <v>EQUIRRE</v>
      </c>
      <c r="E26332" s="38" t="s">
        <v>109</v>
      </c>
      <c r="F26332" s="38" t="s">
        <v>86</v>
      </c>
      <c r="G26332" s="49" t="str">
        <f t="shared" si="1"/>
        <v>62134</v>
      </c>
      <c r="H26332" s="49">
        <f t="shared" si="2"/>
        <v>62301</v>
      </c>
    </row>
    <row r="26333">
      <c r="A26333" s="48" t="s">
        <v>8446</v>
      </c>
      <c r="B26333" s="38">
        <v>22300.0</v>
      </c>
      <c r="C26333" s="38" t="s">
        <v>30817</v>
      </c>
      <c r="D26333" s="38" t="str">
        <f>IFERROR(__xludf.DUMMYFUNCTION("REGEXREPLACE(C26333,""-\d+(.*)|--\d+(.*)"","""")"),"SAINT-HERVE")</f>
        <v>SAINT-HERVE</v>
      </c>
      <c r="E26333" s="38" t="s">
        <v>89</v>
      </c>
      <c r="F26333" s="38" t="s">
        <v>90</v>
      </c>
      <c r="G26333" s="49" t="str">
        <f t="shared" si="1"/>
        <v>22460</v>
      </c>
      <c r="H26333" s="49">
        <f t="shared" si="2"/>
        <v>22300</v>
      </c>
    </row>
    <row r="26334">
      <c r="A26334" s="48" t="s">
        <v>25624</v>
      </c>
      <c r="B26334" s="38">
        <v>57280.0</v>
      </c>
      <c r="C26334" s="38" t="s">
        <v>30818</v>
      </c>
      <c r="D26334" s="38" t="str">
        <f>IFERROR(__xludf.DUMMYFUNCTION("REGEXREPLACE(C26334,""-\d+(.*)|--\d+(.*)"","""")"),"GUNTZVILLER")</f>
        <v>GUNTZVILLER</v>
      </c>
      <c r="E26334" s="38" t="s">
        <v>303</v>
      </c>
      <c r="F26334" s="38" t="s">
        <v>195</v>
      </c>
      <c r="G26334" s="49" t="str">
        <f t="shared" si="1"/>
        <v>57405</v>
      </c>
      <c r="H26334" s="49">
        <f t="shared" si="2"/>
        <v>57280</v>
      </c>
    </row>
    <row r="26335">
      <c r="A26335" s="48" t="s">
        <v>4328</v>
      </c>
      <c r="B26335" s="38">
        <v>70527.0</v>
      </c>
      <c r="C26335" s="38" t="s">
        <v>30819</v>
      </c>
      <c r="D26335" s="38" t="str">
        <f>IFERROR(__xludf.DUMMYFUNCTION("REGEXREPLACE(C26335,""-\d+(.*)|--\d+(.*)"","""")"),"VAUX-LE-MONCELOT")</f>
        <v>VAUX-LE-MONCELOT</v>
      </c>
      <c r="E26335" s="38" t="s">
        <v>956</v>
      </c>
      <c r="F26335" s="38" t="s">
        <v>214</v>
      </c>
      <c r="G26335" s="49" t="str">
        <f t="shared" si="1"/>
        <v>70700</v>
      </c>
      <c r="H26335" s="49">
        <f t="shared" si="2"/>
        <v>70527</v>
      </c>
    </row>
    <row r="26336">
      <c r="A26336" s="48" t="s">
        <v>4703</v>
      </c>
      <c r="B26336" s="38">
        <v>66034.0</v>
      </c>
      <c r="C26336" s="38" t="s">
        <v>30820</v>
      </c>
      <c r="D26336" s="38" t="str">
        <f>IFERROR(__xludf.DUMMYFUNCTION("REGEXREPLACE(C26336,""-\d+(.*)|--\d+(.*)"","""")"),"CAMPOME")</f>
        <v>CAMPOME</v>
      </c>
      <c r="E26336" s="38" t="s">
        <v>248</v>
      </c>
      <c r="F26336" s="38" t="s">
        <v>119</v>
      </c>
      <c r="G26336" s="49" t="str">
        <f t="shared" si="1"/>
        <v>66500</v>
      </c>
      <c r="H26336" s="49">
        <f t="shared" si="2"/>
        <v>66034</v>
      </c>
    </row>
    <row r="26337">
      <c r="A26337" s="48" t="s">
        <v>5640</v>
      </c>
      <c r="B26337" s="38">
        <v>2060.0</v>
      </c>
      <c r="C26337" s="38" t="s">
        <v>30821</v>
      </c>
      <c r="D26337" s="38" t="str">
        <f>IFERROR(__xludf.DUMMYFUNCTION("REGEXREPLACE(C26337,""-\d+(.*)|--\d+(.*)"","""")"),"BEAUVOIS-EN-VERMANDOIS")</f>
        <v>BEAUVOIS-EN-VERMANDOIS</v>
      </c>
      <c r="E26337" s="38" t="s">
        <v>191</v>
      </c>
      <c r="F26337" s="38" t="s">
        <v>113</v>
      </c>
      <c r="G26337" s="49" t="str">
        <f t="shared" si="1"/>
        <v>02590</v>
      </c>
      <c r="H26337" s="49" t="str">
        <f t="shared" si="2"/>
        <v>02060</v>
      </c>
    </row>
    <row r="26338">
      <c r="A26338" s="48" t="s">
        <v>13139</v>
      </c>
      <c r="B26338" s="38">
        <v>62327.0</v>
      </c>
      <c r="C26338" s="38" t="s">
        <v>30822</v>
      </c>
      <c r="D26338" s="38" t="str">
        <f>IFERROR(__xludf.DUMMYFUNCTION("REGEXREPLACE(C26338,""-\d+(.*)|--\d+(.*)"","""")"),"FEBVIN-PALFART")</f>
        <v>FEBVIN-PALFART</v>
      </c>
      <c r="E26338" s="38" t="s">
        <v>109</v>
      </c>
      <c r="F26338" s="38" t="s">
        <v>86</v>
      </c>
      <c r="G26338" s="49" t="str">
        <f t="shared" si="1"/>
        <v>62960</v>
      </c>
      <c r="H26338" s="49">
        <f t="shared" si="2"/>
        <v>62327</v>
      </c>
    </row>
    <row r="26339">
      <c r="A26339" s="48" t="s">
        <v>3013</v>
      </c>
      <c r="B26339" s="38">
        <v>48063.0</v>
      </c>
      <c r="C26339" s="38" t="s">
        <v>30823</v>
      </c>
      <c r="D26339" s="38" t="str">
        <f>IFERROR(__xludf.DUMMYFUNCTION("REGEXREPLACE(C26339,""-\d+(.*)|--\d+(.*)"","""")"),"FONTANS")</f>
        <v>FONTANS</v>
      </c>
      <c r="E26339" s="38" t="s">
        <v>154</v>
      </c>
      <c r="F26339" s="38" t="s">
        <v>119</v>
      </c>
      <c r="G26339" s="49" t="str">
        <f t="shared" si="1"/>
        <v>48700</v>
      </c>
      <c r="H26339" s="49">
        <f t="shared" si="2"/>
        <v>48063</v>
      </c>
    </row>
    <row r="26340">
      <c r="A26340" s="48" t="s">
        <v>10802</v>
      </c>
      <c r="B26340" s="38">
        <v>77170.0</v>
      </c>
      <c r="C26340" s="38" t="s">
        <v>30824</v>
      </c>
      <c r="D26340" s="38" t="str">
        <f>IFERROR(__xludf.DUMMYFUNCTION("REGEXREPLACE(C26340,""-\d+(.*)|--\d+(.*)"","""")"),"EPISY")</f>
        <v>EPISY</v>
      </c>
      <c r="E26340" s="38" t="s">
        <v>244</v>
      </c>
      <c r="F26340" s="38" t="s">
        <v>245</v>
      </c>
      <c r="G26340" s="49" t="str">
        <f t="shared" si="1"/>
        <v>77250</v>
      </c>
      <c r="H26340" s="49">
        <f t="shared" si="2"/>
        <v>77170</v>
      </c>
    </row>
    <row r="26341">
      <c r="A26341" s="48" t="s">
        <v>3655</v>
      </c>
      <c r="B26341" s="38">
        <v>51329.0</v>
      </c>
      <c r="C26341" s="38" t="s">
        <v>30825</v>
      </c>
      <c r="D26341" s="38" t="str">
        <f>IFERROR(__xludf.DUMMYFUNCTION("REGEXREPLACE(C26341,""-\d+(.*)|--\d+(.*)"","""")"),"LOIVRE")</f>
        <v>LOIVRE</v>
      </c>
      <c r="E26341" s="38" t="s">
        <v>129</v>
      </c>
      <c r="F26341" s="38" t="s">
        <v>130</v>
      </c>
      <c r="G26341" s="49" t="str">
        <f t="shared" si="1"/>
        <v>51220</v>
      </c>
      <c r="H26341" s="49">
        <f t="shared" si="2"/>
        <v>51329</v>
      </c>
    </row>
    <row r="26342">
      <c r="A26342" s="48" t="s">
        <v>15560</v>
      </c>
      <c r="B26342" s="38">
        <v>60586.0</v>
      </c>
      <c r="C26342" s="38" t="s">
        <v>30826</v>
      </c>
      <c r="D26342" s="38" t="str">
        <f>IFERROR(__xludf.DUMMYFUNCTION("REGEXREPLACE(C26342,""-\d+(.*)|--\d+(.*)"","""")"),"SAINT-MARTIN-LE-NOEUD")</f>
        <v>SAINT-MARTIN-LE-NOEUD</v>
      </c>
      <c r="E26342" s="38" t="s">
        <v>112</v>
      </c>
      <c r="F26342" s="38" t="s">
        <v>113</v>
      </c>
      <c r="G26342" s="49" t="str">
        <f t="shared" si="1"/>
        <v>60000</v>
      </c>
      <c r="H26342" s="49">
        <f t="shared" si="2"/>
        <v>60586</v>
      </c>
    </row>
    <row r="26343">
      <c r="A26343" s="48" t="s">
        <v>11673</v>
      </c>
      <c r="B26343" s="38">
        <v>84061.0</v>
      </c>
      <c r="C26343" s="38" t="s">
        <v>30827</v>
      </c>
      <c r="D26343" s="38" t="str">
        <f>IFERROR(__xludf.DUMMYFUNCTION("REGEXREPLACE(C26343,""-\d+(.*)|--\d+(.*)"","""")"),"LAGARDE-PAREOL")</f>
        <v>LAGARDE-PAREOL</v>
      </c>
      <c r="E26343" s="38" t="s">
        <v>1026</v>
      </c>
      <c r="F26343" s="38" t="s">
        <v>228</v>
      </c>
      <c r="G26343" s="49" t="str">
        <f t="shared" si="1"/>
        <v>84290</v>
      </c>
      <c r="H26343" s="49">
        <f t="shared" si="2"/>
        <v>84061</v>
      </c>
    </row>
    <row r="26344">
      <c r="A26344" s="48" t="s">
        <v>12029</v>
      </c>
      <c r="B26344" s="38">
        <v>84125.0</v>
      </c>
      <c r="C26344" s="38" t="s">
        <v>30828</v>
      </c>
      <c r="D26344" s="38" t="str">
        <f>IFERROR(__xludf.DUMMYFUNCTION("REGEXREPLACE(C26344,""-\d+(.*)|--\d+(.*)"","""")"),"SAVOILLAN")</f>
        <v>SAVOILLAN</v>
      </c>
      <c r="E26344" s="38" t="s">
        <v>1026</v>
      </c>
      <c r="F26344" s="38" t="s">
        <v>228</v>
      </c>
      <c r="G26344" s="49" t="str">
        <f t="shared" si="1"/>
        <v>84390</v>
      </c>
      <c r="H26344" s="49">
        <f t="shared" si="2"/>
        <v>84125</v>
      </c>
    </row>
    <row r="26345">
      <c r="A26345" s="48" t="s">
        <v>12336</v>
      </c>
      <c r="B26345" s="38" t="s">
        <v>30829</v>
      </c>
      <c r="C26345" s="38" t="s">
        <v>30830</v>
      </c>
      <c r="D26345" s="38" t="str">
        <f>IFERROR(__xludf.DUMMYFUNCTION("REGEXREPLACE(C26345,""-\d+(.*)|--\d+(.*)"","""")"),"MONTEGROSSO")</f>
        <v>MONTEGROSSO</v>
      </c>
      <c r="E26345" s="38" t="s">
        <v>743</v>
      </c>
      <c r="F26345" s="38" t="s">
        <v>607</v>
      </c>
      <c r="G26345" s="49" t="str">
        <f t="shared" si="1"/>
        <v>20214</v>
      </c>
      <c r="H26345" s="49" t="str">
        <f t="shared" si="2"/>
        <v>2B167</v>
      </c>
    </row>
    <row r="26346">
      <c r="A26346" s="48" t="s">
        <v>707</v>
      </c>
      <c r="B26346" s="38">
        <v>61482.0</v>
      </c>
      <c r="C26346" s="38" t="s">
        <v>30831</v>
      </c>
      <c r="D26346" s="38" t="str">
        <f>IFERROR(__xludf.DUMMYFUNCTION("REGEXREPLACE(C26346,""-\d+(.*)|--\d+(.*)"","""")"),"TESSE-FROULAY")</f>
        <v>TESSE-FROULAY</v>
      </c>
      <c r="E26346" s="38" t="s">
        <v>141</v>
      </c>
      <c r="F26346" s="38" t="s">
        <v>138</v>
      </c>
      <c r="G26346" s="49" t="str">
        <f t="shared" si="1"/>
        <v>61410</v>
      </c>
      <c r="H26346" s="49">
        <f t="shared" si="2"/>
        <v>61482</v>
      </c>
    </row>
    <row r="26347">
      <c r="A26347" s="48" t="s">
        <v>253</v>
      </c>
      <c r="B26347" s="38">
        <v>1144.0</v>
      </c>
      <c r="C26347" s="38" t="s">
        <v>23062</v>
      </c>
      <c r="D26347" s="38" t="str">
        <f>IFERROR(__xludf.DUMMYFUNCTION("REGEXREPLACE(C26347,""-\d+(.*)|--\d+(.*)"","""")"),"DOMMARTIN")</f>
        <v>DOMMARTIN</v>
      </c>
      <c r="E26347" s="38" t="s">
        <v>255</v>
      </c>
      <c r="F26347" s="38" t="s">
        <v>102</v>
      </c>
      <c r="G26347" s="49" t="str">
        <f t="shared" si="1"/>
        <v>01380</v>
      </c>
      <c r="H26347" s="49" t="str">
        <f t="shared" si="2"/>
        <v>01144</v>
      </c>
    </row>
    <row r="26348">
      <c r="A26348" s="48" t="s">
        <v>1829</v>
      </c>
      <c r="B26348" s="38">
        <v>59338.0</v>
      </c>
      <c r="C26348" s="38" t="s">
        <v>30832</v>
      </c>
      <c r="D26348" s="38" t="str">
        <f>IFERROR(__xludf.DUMMYFUNCTION("REGEXREPLACE(C26348,""-\d+(.*)|--\d+(.*)"","""")"),"LEDRINGHEM")</f>
        <v>LEDRINGHEM</v>
      </c>
      <c r="E26348" s="38" t="s">
        <v>85</v>
      </c>
      <c r="F26348" s="38" t="s">
        <v>86</v>
      </c>
      <c r="G26348" s="49" t="str">
        <f t="shared" si="1"/>
        <v>59470</v>
      </c>
      <c r="H26348" s="49">
        <f t="shared" si="2"/>
        <v>59338</v>
      </c>
    </row>
    <row r="26349">
      <c r="A26349" s="48" t="s">
        <v>1892</v>
      </c>
      <c r="B26349" s="38">
        <v>67303.0</v>
      </c>
      <c r="C26349" s="38" t="s">
        <v>30833</v>
      </c>
      <c r="D26349" s="38" t="str">
        <f>IFERROR(__xludf.DUMMYFUNCTION("REGEXREPLACE(C26349,""-\d+(.*)|--\d+(.*)"","""")"),"MORSBRONN-LES-BAINS")</f>
        <v>MORSBRONN-LES-BAINS</v>
      </c>
      <c r="E26349" s="38" t="s">
        <v>210</v>
      </c>
      <c r="F26349" s="38" t="s">
        <v>151</v>
      </c>
      <c r="G26349" s="49" t="str">
        <f t="shared" si="1"/>
        <v>67360</v>
      </c>
      <c r="H26349" s="49">
        <f t="shared" si="2"/>
        <v>67303</v>
      </c>
    </row>
    <row r="26350">
      <c r="A26350" s="48" t="s">
        <v>738</v>
      </c>
      <c r="B26350" s="38">
        <v>59464.0</v>
      </c>
      <c r="C26350" s="38" t="s">
        <v>30834</v>
      </c>
      <c r="D26350" s="38" t="str">
        <f>IFERROR(__xludf.DUMMYFUNCTION("REGEXREPLACE(C26350,""-\d+(.*)|--\d+(.*)"","""")"),"POIX-DU-NORD")</f>
        <v>POIX-DU-NORD</v>
      </c>
      <c r="E26350" s="38" t="s">
        <v>85</v>
      </c>
      <c r="F26350" s="38" t="s">
        <v>86</v>
      </c>
      <c r="G26350" s="49" t="str">
        <f t="shared" si="1"/>
        <v>59218</v>
      </c>
      <c r="H26350" s="49">
        <f t="shared" si="2"/>
        <v>59464</v>
      </c>
    </row>
    <row r="26351">
      <c r="A26351" s="48" t="s">
        <v>9405</v>
      </c>
      <c r="B26351" s="38">
        <v>15200.0</v>
      </c>
      <c r="C26351" s="38" t="s">
        <v>30835</v>
      </c>
      <c r="D26351" s="38" t="str">
        <f>IFERROR(__xludf.DUMMYFUNCTION("REGEXREPLACE(C26351,""-\d+(.*)|--\d+(.*)"","""")"),"SAINT-MARTIN-CANTALES")</f>
        <v>SAINT-MARTIN-CANTALES</v>
      </c>
      <c r="E26351" s="38" t="s">
        <v>632</v>
      </c>
      <c r="F26351" s="38" t="s">
        <v>161</v>
      </c>
      <c r="G26351" s="49" t="str">
        <f t="shared" si="1"/>
        <v>15140</v>
      </c>
      <c r="H26351" s="49">
        <f t="shared" si="2"/>
        <v>15200</v>
      </c>
    </row>
    <row r="26352">
      <c r="A26352" s="48" t="s">
        <v>2310</v>
      </c>
      <c r="B26352" s="38">
        <v>60438.0</v>
      </c>
      <c r="C26352" s="38" t="s">
        <v>30836</v>
      </c>
      <c r="D26352" s="38" t="str">
        <f>IFERROR(__xludf.DUMMYFUNCTION("REGEXREPLACE(C26352,""-\d+(.*)|--\d+(.*)"","""")"),"MOULIN-SOUS-TOUVENT")</f>
        <v>MOULIN-SOUS-TOUVENT</v>
      </c>
      <c r="E26352" s="38" t="s">
        <v>112</v>
      </c>
      <c r="F26352" s="38" t="s">
        <v>113</v>
      </c>
      <c r="G26352" s="49" t="str">
        <f t="shared" si="1"/>
        <v>60350</v>
      </c>
      <c r="H26352" s="49">
        <f t="shared" si="2"/>
        <v>60438</v>
      </c>
    </row>
    <row r="26353">
      <c r="A26353" s="48" t="s">
        <v>10066</v>
      </c>
      <c r="B26353" s="38">
        <v>1122.0</v>
      </c>
      <c r="C26353" s="38" t="s">
        <v>30837</v>
      </c>
      <c r="D26353" s="38" t="str">
        <f>IFERROR(__xludf.DUMMYFUNCTION("REGEXREPLACE(C26353,""-\d+(.*)|--\d+(.*)"","""")"),"CORMARANCHE-EN-BUGEY")</f>
        <v>CORMARANCHE-EN-BUGEY</v>
      </c>
      <c r="E26353" s="38" t="s">
        <v>255</v>
      </c>
      <c r="F26353" s="38" t="s">
        <v>102</v>
      </c>
      <c r="G26353" s="49" t="str">
        <f t="shared" si="1"/>
        <v>01110</v>
      </c>
      <c r="H26353" s="49" t="str">
        <f t="shared" si="2"/>
        <v>01122</v>
      </c>
    </row>
    <row r="26354">
      <c r="A26354" s="48" t="s">
        <v>18798</v>
      </c>
      <c r="B26354" s="38">
        <v>10262.0</v>
      </c>
      <c r="C26354" s="38" t="s">
        <v>30838</v>
      </c>
      <c r="D26354" s="38" t="str">
        <f>IFERROR(__xludf.DUMMYFUNCTION("REGEXREPLACE(C26354,""-\d+(.*)|--\d+(.*)"","""")"),"NEUVILLE-SUR-SEINE")</f>
        <v>NEUVILLE-SUR-SEINE</v>
      </c>
      <c r="E26354" s="38" t="s">
        <v>147</v>
      </c>
      <c r="F26354" s="38" t="s">
        <v>130</v>
      </c>
      <c r="G26354" s="49" t="str">
        <f t="shared" si="1"/>
        <v>10250</v>
      </c>
      <c r="H26354" s="49">
        <f t="shared" si="2"/>
        <v>10262</v>
      </c>
    </row>
    <row r="26355">
      <c r="A26355" s="48" t="s">
        <v>14115</v>
      </c>
      <c r="B26355" s="38">
        <v>77185.0</v>
      </c>
      <c r="C26355" s="38" t="s">
        <v>30839</v>
      </c>
      <c r="D26355" s="38" t="str">
        <f>IFERROR(__xludf.DUMMYFUNCTION("REGEXREPLACE(C26355,""-\d+(.*)|--\d+(.*)"","""")"),"FLEURY-EN-BIERE")</f>
        <v>FLEURY-EN-BIERE</v>
      </c>
      <c r="E26355" s="38" t="s">
        <v>244</v>
      </c>
      <c r="F26355" s="38" t="s">
        <v>245</v>
      </c>
      <c r="G26355" s="49" t="str">
        <f t="shared" si="1"/>
        <v>77930</v>
      </c>
      <c r="H26355" s="49">
        <f t="shared" si="2"/>
        <v>77185</v>
      </c>
    </row>
    <row r="26356">
      <c r="A26356" s="48" t="s">
        <v>2794</v>
      </c>
      <c r="B26356" s="38">
        <v>39040.0</v>
      </c>
      <c r="C26356" s="38" t="s">
        <v>30840</v>
      </c>
      <c r="D26356" s="38" t="str">
        <f>IFERROR(__xludf.DUMMYFUNCTION("REGEXREPLACE(C26356,""-\d+(.*)|--\d+(.*)"","""")"),"BARRETAINE")</f>
        <v>BARRETAINE</v>
      </c>
      <c r="E26356" s="38" t="s">
        <v>400</v>
      </c>
      <c r="F26356" s="38" t="s">
        <v>214</v>
      </c>
      <c r="G26356" s="49" t="str">
        <f t="shared" si="1"/>
        <v>39800</v>
      </c>
      <c r="H26356" s="49">
        <f t="shared" si="2"/>
        <v>39040</v>
      </c>
    </row>
    <row r="26357">
      <c r="A26357" s="48" t="s">
        <v>2475</v>
      </c>
      <c r="B26357" s="38">
        <v>25356.0</v>
      </c>
      <c r="C26357" s="38" t="s">
        <v>30841</v>
      </c>
      <c r="D26357" s="38" t="str">
        <f>IFERROR(__xludf.DUMMYFUNCTION("REGEXREPLACE(C26357,""-\d+(.*)|--\d+(.*)"","""")"),"MAICHE")</f>
        <v>MAICHE</v>
      </c>
      <c r="E26357" s="38" t="s">
        <v>213</v>
      </c>
      <c r="F26357" s="38" t="s">
        <v>214</v>
      </c>
      <c r="G26357" s="49" t="str">
        <f t="shared" si="1"/>
        <v>25120</v>
      </c>
      <c r="H26357" s="49">
        <f t="shared" si="2"/>
        <v>25356</v>
      </c>
    </row>
    <row r="26358">
      <c r="A26358" s="48" t="s">
        <v>30842</v>
      </c>
      <c r="B26358" s="38">
        <v>97227.0</v>
      </c>
      <c r="C26358" s="38" t="s">
        <v>19412</v>
      </c>
      <c r="D26358" s="38" t="str">
        <f>IFERROR(__xludf.DUMMYFUNCTION("REGEXREPLACE(C26358,""-\d+(.*)|--\d+(.*)"","""")"),"SAINTE-LUCE")</f>
        <v>SAINTE-LUCE</v>
      </c>
      <c r="E26358" s="38" t="s">
        <v>2282</v>
      </c>
      <c r="F26358" s="38" t="s">
        <v>2282</v>
      </c>
      <c r="G26358" s="49" t="str">
        <f t="shared" si="1"/>
        <v>97228</v>
      </c>
      <c r="H26358" s="49">
        <f t="shared" si="2"/>
        <v>97227</v>
      </c>
    </row>
    <row r="26359">
      <c r="A26359" s="48" t="s">
        <v>2029</v>
      </c>
      <c r="B26359" s="38">
        <v>50479.0</v>
      </c>
      <c r="C26359" s="38" t="s">
        <v>30843</v>
      </c>
      <c r="D26359" s="38" t="str">
        <f>IFERROR(__xludf.DUMMYFUNCTION("REGEXREPLACE(C26359,""-\d+(.*)|--\d+(.*)"","""")"),"SAINT-GERMAIN-DE-VARREVILLE")</f>
        <v>SAINT-GERMAIN-DE-VARREVILLE</v>
      </c>
      <c r="E26359" s="38" t="s">
        <v>157</v>
      </c>
      <c r="F26359" s="38" t="s">
        <v>138</v>
      </c>
      <c r="G26359" s="49" t="str">
        <f t="shared" si="1"/>
        <v>50480</v>
      </c>
      <c r="H26359" s="49">
        <f t="shared" si="2"/>
        <v>50479</v>
      </c>
    </row>
    <row r="26360">
      <c r="A26360" s="48" t="s">
        <v>3906</v>
      </c>
      <c r="B26360" s="38">
        <v>24205.0</v>
      </c>
      <c r="C26360" s="38" t="s">
        <v>30844</v>
      </c>
      <c r="D26360" s="38" t="str">
        <f>IFERROR(__xludf.DUMMYFUNCTION("REGEXREPLACE(C26360,""-\d+(.*)|--\d+(.*)"","""")"),"GRIGNOLS")</f>
        <v>GRIGNOLS</v>
      </c>
      <c r="E26360" s="38" t="s">
        <v>261</v>
      </c>
      <c r="F26360" s="38" t="s">
        <v>252</v>
      </c>
      <c r="G26360" s="49" t="str">
        <f t="shared" si="1"/>
        <v>24110</v>
      </c>
      <c r="H26360" s="49">
        <f t="shared" si="2"/>
        <v>24205</v>
      </c>
    </row>
    <row r="26361">
      <c r="A26361" s="48" t="s">
        <v>11319</v>
      </c>
      <c r="B26361" s="38">
        <v>51457.0</v>
      </c>
      <c r="C26361" s="38" t="s">
        <v>30845</v>
      </c>
      <c r="D26361" s="38" t="str">
        <f>IFERROR(__xludf.DUMMYFUNCTION("REGEXREPLACE(C26361,""-\d+(.*)|--\d+(.*)"","""")"),"REUIL")</f>
        <v>REUIL</v>
      </c>
      <c r="E26361" s="38" t="s">
        <v>129</v>
      </c>
      <c r="F26361" s="38" t="s">
        <v>130</v>
      </c>
      <c r="G26361" s="49" t="str">
        <f t="shared" si="1"/>
        <v>51480</v>
      </c>
      <c r="H26361" s="49">
        <f t="shared" si="2"/>
        <v>51457</v>
      </c>
    </row>
    <row r="26362">
      <c r="A26362" s="48" t="s">
        <v>9905</v>
      </c>
      <c r="B26362" s="38">
        <v>65158.0</v>
      </c>
      <c r="C26362" s="38" t="s">
        <v>30846</v>
      </c>
      <c r="D26362" s="38" t="str">
        <f>IFERROR(__xludf.DUMMYFUNCTION("REGEXREPLACE(C26362,""-\d+(.*)|--\d+(.*)"","""")"),"ESBAREICH")</f>
        <v>ESBAREICH</v>
      </c>
      <c r="E26362" s="38" t="s">
        <v>200</v>
      </c>
      <c r="F26362" s="38" t="s">
        <v>94</v>
      </c>
      <c r="G26362" s="49" t="str">
        <f t="shared" si="1"/>
        <v>65370</v>
      </c>
      <c r="H26362" s="49">
        <f t="shared" si="2"/>
        <v>65158</v>
      </c>
    </row>
    <row r="26363">
      <c r="A26363" s="48" t="s">
        <v>8922</v>
      </c>
      <c r="B26363" s="38">
        <v>27454.0</v>
      </c>
      <c r="C26363" s="38" t="s">
        <v>30847</v>
      </c>
      <c r="D26363" s="38" t="str">
        <f>IFERROR(__xludf.DUMMYFUNCTION("REGEXREPLACE(C26363,""-\d+(.*)|--\d+(.*)"","""")"),"PERRUEL")</f>
        <v>PERRUEL</v>
      </c>
      <c r="E26363" s="38" t="s">
        <v>241</v>
      </c>
      <c r="F26363" s="38" t="s">
        <v>134</v>
      </c>
      <c r="G26363" s="49" t="str">
        <f t="shared" si="1"/>
        <v>27910</v>
      </c>
      <c r="H26363" s="49">
        <f t="shared" si="2"/>
        <v>27454</v>
      </c>
    </row>
    <row r="26364">
      <c r="A26364" s="48" t="s">
        <v>2182</v>
      </c>
      <c r="B26364" s="38">
        <v>89461.0</v>
      </c>
      <c r="C26364" s="38" t="s">
        <v>30848</v>
      </c>
      <c r="D26364" s="38" t="str">
        <f>IFERROR(__xludf.DUMMYFUNCTION("REGEXREPLACE(C26364,""-\d+(.*)|--\d+(.*)"","""")"),"VILLENEUVE-L'ARCHEVEQUE")</f>
        <v>VILLENEUVE-L'ARCHEVEQUE</v>
      </c>
      <c r="E26364" s="38" t="s">
        <v>275</v>
      </c>
      <c r="F26364" s="38" t="s">
        <v>106</v>
      </c>
      <c r="G26364" s="49" t="str">
        <f t="shared" si="1"/>
        <v>89190</v>
      </c>
      <c r="H26364" s="49">
        <f t="shared" si="2"/>
        <v>89461</v>
      </c>
    </row>
    <row r="26365">
      <c r="A26365" s="48" t="s">
        <v>3562</v>
      </c>
      <c r="B26365" s="38">
        <v>2747.0</v>
      </c>
      <c r="C26365" s="38" t="s">
        <v>30849</v>
      </c>
      <c r="D26365" s="38" t="str">
        <f>IFERROR(__xludf.DUMMYFUNCTION("REGEXREPLACE(C26365,""-\d+(.*)|--\d+(.*)"","""")"),"TREFCON")</f>
        <v>TREFCON</v>
      </c>
      <c r="E26365" s="38" t="s">
        <v>191</v>
      </c>
      <c r="F26365" s="38" t="s">
        <v>113</v>
      </c>
      <c r="G26365" s="49" t="str">
        <f t="shared" si="1"/>
        <v>02490</v>
      </c>
      <c r="H26365" s="49" t="str">
        <f t="shared" si="2"/>
        <v>02747</v>
      </c>
    </row>
    <row r="26366">
      <c r="A26366" s="48" t="s">
        <v>5163</v>
      </c>
      <c r="B26366" s="38">
        <v>76379.0</v>
      </c>
      <c r="C26366" s="38" t="s">
        <v>30850</v>
      </c>
      <c r="D26366" s="38" t="str">
        <f>IFERROR(__xludf.DUMMYFUNCTION("REGEXREPLACE(C26366,""-\d+(.*)|--\d+(.*)"","""")"),"LAMBERVILLE")</f>
        <v>LAMBERVILLE</v>
      </c>
      <c r="E26366" s="38" t="s">
        <v>133</v>
      </c>
      <c r="F26366" s="38" t="s">
        <v>134</v>
      </c>
      <c r="G26366" s="49" t="str">
        <f t="shared" si="1"/>
        <v>76730</v>
      </c>
      <c r="H26366" s="49">
        <f t="shared" si="2"/>
        <v>76379</v>
      </c>
    </row>
    <row r="26367">
      <c r="A26367" s="48" t="s">
        <v>12997</v>
      </c>
      <c r="B26367" s="38">
        <v>65299.0</v>
      </c>
      <c r="C26367" s="38" t="s">
        <v>8675</v>
      </c>
      <c r="D26367" s="38" t="str">
        <f>IFERROR(__xludf.DUMMYFUNCTION("REGEXREPLACE(C26367,""-\d+(.*)|--\d+(.*)"","""")"),"MARSAC")</f>
        <v>MARSAC</v>
      </c>
      <c r="E26367" s="38" t="s">
        <v>200</v>
      </c>
      <c r="F26367" s="38" t="s">
        <v>94</v>
      </c>
      <c r="G26367" s="49" t="str">
        <f t="shared" si="1"/>
        <v>65500</v>
      </c>
      <c r="H26367" s="49">
        <f t="shared" si="2"/>
        <v>65299</v>
      </c>
    </row>
    <row r="26368">
      <c r="A26368" s="48" t="s">
        <v>10520</v>
      </c>
      <c r="B26368" s="38">
        <v>69139.0</v>
      </c>
      <c r="C26368" s="38" t="s">
        <v>30851</v>
      </c>
      <c r="D26368" s="38" t="str">
        <f>IFERROR(__xludf.DUMMYFUNCTION("REGEXREPLACE(C26368,""-\d+(.*)|--\d+(.*)"","""")"),"MONTROTTIER")</f>
        <v>MONTROTTIER</v>
      </c>
      <c r="E26368" s="38" t="s">
        <v>350</v>
      </c>
      <c r="F26368" s="38" t="s">
        <v>102</v>
      </c>
      <c r="G26368" s="49" t="str">
        <f t="shared" si="1"/>
        <v>69770</v>
      </c>
      <c r="H26368" s="49">
        <f t="shared" si="2"/>
        <v>69139</v>
      </c>
    </row>
    <row r="26369">
      <c r="A26369" s="48" t="s">
        <v>1721</v>
      </c>
      <c r="B26369" s="38">
        <v>33279.0</v>
      </c>
      <c r="C26369" s="38" t="s">
        <v>30852</v>
      </c>
      <c r="D26369" s="38" t="str">
        <f>IFERROR(__xludf.DUMMYFUNCTION("REGEXREPLACE(C26369,""-\d+(.*)|--\d+(.*)"","""")"),"MAZERES")</f>
        <v>MAZERES</v>
      </c>
      <c r="E26369" s="38" t="s">
        <v>462</v>
      </c>
      <c r="F26369" s="38" t="s">
        <v>252</v>
      </c>
      <c r="G26369" s="49" t="str">
        <f t="shared" si="1"/>
        <v>33210</v>
      </c>
      <c r="H26369" s="49">
        <f t="shared" si="2"/>
        <v>33279</v>
      </c>
    </row>
    <row r="26370">
      <c r="A26370" s="48" t="s">
        <v>1317</v>
      </c>
      <c r="B26370" s="38">
        <v>8348.0</v>
      </c>
      <c r="C26370" s="38" t="s">
        <v>29512</v>
      </c>
      <c r="D26370" s="38" t="str">
        <f>IFERROR(__xludf.DUMMYFUNCTION("REGEXREPLACE(C26370,""-\d+(.*)|--\d+(.*)"","""")"),"PUISEUX")</f>
        <v>PUISEUX</v>
      </c>
      <c r="E26370" s="38" t="s">
        <v>327</v>
      </c>
      <c r="F26370" s="38" t="s">
        <v>130</v>
      </c>
      <c r="G26370" s="49" t="str">
        <f t="shared" si="1"/>
        <v>08270</v>
      </c>
      <c r="H26370" s="49" t="str">
        <f t="shared" si="2"/>
        <v>08348</v>
      </c>
    </row>
    <row r="26371">
      <c r="A26371" s="48" t="s">
        <v>24138</v>
      </c>
      <c r="B26371" s="38">
        <v>71570.0</v>
      </c>
      <c r="C26371" s="38" t="s">
        <v>30853</v>
      </c>
      <c r="D26371" s="38" t="str">
        <f>IFERROR(__xludf.DUMMYFUNCTION("REGEXREPLACE(C26371,""-\d+(.*)|--\d+(.*)"","""")"),"VERJUX")</f>
        <v>VERJUX</v>
      </c>
      <c r="E26371" s="38" t="s">
        <v>344</v>
      </c>
      <c r="F26371" s="38" t="s">
        <v>106</v>
      </c>
      <c r="G26371" s="49" t="str">
        <f t="shared" si="1"/>
        <v>71590</v>
      </c>
      <c r="H26371" s="49">
        <f t="shared" si="2"/>
        <v>71570</v>
      </c>
    </row>
    <row r="26372">
      <c r="A26372" s="48" t="s">
        <v>3093</v>
      </c>
      <c r="B26372" s="38">
        <v>57524.0</v>
      </c>
      <c r="C26372" s="38" t="s">
        <v>30854</v>
      </c>
      <c r="D26372" s="38" t="str">
        <f>IFERROR(__xludf.DUMMYFUNCTION("REGEXREPLACE(C26372,""-\d+(.*)|--\d+(.*)"","""")"),"OMMERAY")</f>
        <v>OMMERAY</v>
      </c>
      <c r="E26372" s="38" t="s">
        <v>303</v>
      </c>
      <c r="F26372" s="38" t="s">
        <v>195</v>
      </c>
      <c r="G26372" s="49" t="str">
        <f t="shared" si="1"/>
        <v>57810</v>
      </c>
      <c r="H26372" s="49">
        <f t="shared" si="2"/>
        <v>57524</v>
      </c>
    </row>
    <row r="26373">
      <c r="A26373" s="48" t="s">
        <v>2714</v>
      </c>
      <c r="B26373" s="38">
        <v>61066.0</v>
      </c>
      <c r="C26373" s="38" t="s">
        <v>30855</v>
      </c>
      <c r="D26373" s="38" t="str">
        <f>IFERROR(__xludf.DUMMYFUNCTION("REGEXREPLACE(C26373,""-\d+(.*)|--\d+(.*)"","""")"),"BURE")</f>
        <v>BURE</v>
      </c>
      <c r="E26373" s="38" t="s">
        <v>141</v>
      </c>
      <c r="F26373" s="38" t="s">
        <v>138</v>
      </c>
      <c r="G26373" s="49" t="str">
        <f t="shared" si="1"/>
        <v>61170</v>
      </c>
      <c r="H26373" s="49">
        <f t="shared" si="2"/>
        <v>61066</v>
      </c>
    </row>
    <row r="26374">
      <c r="A26374" s="48" t="s">
        <v>13139</v>
      </c>
      <c r="B26374" s="38">
        <v>62885.0</v>
      </c>
      <c r="C26374" s="38" t="s">
        <v>30856</v>
      </c>
      <c r="D26374" s="38" t="str">
        <f>IFERROR(__xludf.DUMMYFUNCTION("REGEXREPLACE(C26374,""-\d+(.*)|--\d+(.*)"","""")"),"WESTREHEM")</f>
        <v>WESTREHEM</v>
      </c>
      <c r="E26374" s="38" t="s">
        <v>109</v>
      </c>
      <c r="F26374" s="38" t="s">
        <v>86</v>
      </c>
      <c r="G26374" s="49" t="str">
        <f t="shared" si="1"/>
        <v>62960</v>
      </c>
      <c r="H26374" s="49">
        <f t="shared" si="2"/>
        <v>62885</v>
      </c>
    </row>
    <row r="26375">
      <c r="A26375" s="48" t="s">
        <v>1485</v>
      </c>
      <c r="B26375" s="38">
        <v>21517.0</v>
      </c>
      <c r="C26375" s="38" t="s">
        <v>27781</v>
      </c>
      <c r="D26375" s="38" t="str">
        <f>IFERROR(__xludf.DUMMYFUNCTION("REGEXREPLACE(C26375,""-\d+(.*)|--\d+(.*)"","""")"),"QUINCEY")</f>
        <v>QUINCEY</v>
      </c>
      <c r="E26375" s="38" t="s">
        <v>105</v>
      </c>
      <c r="F26375" s="38" t="s">
        <v>106</v>
      </c>
      <c r="G26375" s="49" t="str">
        <f t="shared" si="1"/>
        <v>21700</v>
      </c>
      <c r="H26375" s="49">
        <f t="shared" si="2"/>
        <v>21517</v>
      </c>
    </row>
    <row r="26376">
      <c r="A26376" s="48" t="s">
        <v>1918</v>
      </c>
      <c r="B26376" s="38">
        <v>10444.0</v>
      </c>
      <c r="C26376" s="38" t="s">
        <v>30857</v>
      </c>
      <c r="D26376" s="38" t="str">
        <f>IFERROR(__xludf.DUMMYFUNCTION("REGEXREPLACE(C26376,""-\d+(.*)|--\d+(.*)"","""")"),"VULAINES")</f>
        <v>VULAINES</v>
      </c>
      <c r="E26376" s="38" t="s">
        <v>147</v>
      </c>
      <c r="F26376" s="38" t="s">
        <v>130</v>
      </c>
      <c r="G26376" s="49" t="str">
        <f t="shared" si="1"/>
        <v>10160</v>
      </c>
      <c r="H26376" s="49">
        <f t="shared" si="2"/>
        <v>10444</v>
      </c>
    </row>
    <row r="26377">
      <c r="A26377" s="48" t="s">
        <v>6615</v>
      </c>
      <c r="B26377" s="38">
        <v>65183.0</v>
      </c>
      <c r="C26377" s="38" t="s">
        <v>30858</v>
      </c>
      <c r="D26377" s="38" t="str">
        <f>IFERROR(__xludf.DUMMYFUNCTION("REGEXREPLACE(C26377,""-\d+(.*)|--\d+(.*)"","""")"),"GALAN")</f>
        <v>GALAN</v>
      </c>
      <c r="E26377" s="38" t="s">
        <v>200</v>
      </c>
      <c r="F26377" s="38" t="s">
        <v>94</v>
      </c>
      <c r="G26377" s="49" t="str">
        <f t="shared" si="1"/>
        <v>65330</v>
      </c>
      <c r="H26377" s="49">
        <f t="shared" si="2"/>
        <v>65183</v>
      </c>
    </row>
    <row r="26378">
      <c r="A26378" s="48" t="s">
        <v>2907</v>
      </c>
      <c r="B26378" s="38">
        <v>22288.0</v>
      </c>
      <c r="C26378" s="38" t="s">
        <v>30859</v>
      </c>
      <c r="D26378" s="38" t="str">
        <f>IFERROR(__xludf.DUMMYFUNCTION("REGEXREPLACE(C26378,""-\d+(.*)|--\d+(.*)"","""")"),"SAINT-ETIENNE-DU-GUE-DE-L'ISLE")</f>
        <v>SAINT-ETIENNE-DU-GUE-DE-L'ISLE</v>
      </c>
      <c r="E26378" s="38" t="s">
        <v>89</v>
      </c>
      <c r="F26378" s="38" t="s">
        <v>90</v>
      </c>
      <c r="G26378" s="49" t="str">
        <f t="shared" si="1"/>
        <v>22210</v>
      </c>
      <c r="H26378" s="49">
        <f t="shared" si="2"/>
        <v>22288</v>
      </c>
    </row>
    <row r="26379">
      <c r="A26379" s="48" t="s">
        <v>489</v>
      </c>
      <c r="B26379" s="38">
        <v>9177.0</v>
      </c>
      <c r="C26379" s="38" t="s">
        <v>30860</v>
      </c>
      <c r="D26379" s="38" t="str">
        <f>IFERROR(__xludf.DUMMYFUNCTION("REGEXREPLACE(C26379,""-\d+(.*)|--\d+(.*)"","""")"),"MADIERE")</f>
        <v>MADIERE</v>
      </c>
      <c r="E26379" s="38" t="s">
        <v>238</v>
      </c>
      <c r="F26379" s="38" t="s">
        <v>94</v>
      </c>
      <c r="G26379" s="49" t="str">
        <f t="shared" si="1"/>
        <v>09100</v>
      </c>
      <c r="H26379" s="49" t="str">
        <f t="shared" si="2"/>
        <v>09177</v>
      </c>
    </row>
    <row r="26380">
      <c r="A26380" s="48" t="s">
        <v>724</v>
      </c>
      <c r="B26380" s="38">
        <v>32172.0</v>
      </c>
      <c r="C26380" s="38" t="s">
        <v>30861</v>
      </c>
      <c r="D26380" s="38" t="str">
        <f>IFERROR(__xludf.DUMMYFUNCTION("REGEXREPLACE(C26380,""-\d+(.*)|--\d+(.*)"","""")"),"LABEJAN")</f>
        <v>LABEJAN</v>
      </c>
      <c r="E26380" s="38" t="s">
        <v>440</v>
      </c>
      <c r="F26380" s="38" t="s">
        <v>94</v>
      </c>
      <c r="G26380" s="49" t="str">
        <f t="shared" si="1"/>
        <v>32300</v>
      </c>
      <c r="H26380" s="49">
        <f t="shared" si="2"/>
        <v>32172</v>
      </c>
    </row>
    <row r="26381">
      <c r="A26381" s="48" t="s">
        <v>8506</v>
      </c>
      <c r="B26381" s="38">
        <v>79175.0</v>
      </c>
      <c r="C26381" s="38" t="s">
        <v>30862</v>
      </c>
      <c r="D26381" s="38" t="str">
        <f>IFERROR(__xludf.DUMMYFUNCTION("REGEXREPLACE(C26381,""-\d+(.*)|--\d+(.*)"","""")"),"MELLERAN")</f>
        <v>MELLERAN</v>
      </c>
      <c r="E26381" s="38" t="s">
        <v>337</v>
      </c>
      <c r="F26381" s="38" t="s">
        <v>338</v>
      </c>
      <c r="G26381" s="49" t="str">
        <f t="shared" si="1"/>
        <v>79190</v>
      </c>
      <c r="H26381" s="49">
        <f t="shared" si="2"/>
        <v>79175</v>
      </c>
    </row>
    <row r="26382">
      <c r="A26382" s="48" t="s">
        <v>3711</v>
      </c>
      <c r="B26382" s="38">
        <v>21518.0</v>
      </c>
      <c r="C26382" s="38" t="s">
        <v>30863</v>
      </c>
      <c r="D26382" s="38" t="str">
        <f>IFERROR(__xludf.DUMMYFUNCTION("REGEXREPLACE(C26382,""-\d+(.*)|--\d+(.*)"","""")"),"QUINCY-LE-VICOMTE")</f>
        <v>QUINCY-LE-VICOMTE</v>
      </c>
      <c r="E26382" s="38" t="s">
        <v>105</v>
      </c>
      <c r="F26382" s="38" t="s">
        <v>106</v>
      </c>
      <c r="G26382" s="49" t="str">
        <f t="shared" si="1"/>
        <v>21500</v>
      </c>
      <c r="H26382" s="49">
        <f t="shared" si="2"/>
        <v>21518</v>
      </c>
    </row>
    <row r="26383">
      <c r="A26383" s="48" t="s">
        <v>1613</v>
      </c>
      <c r="B26383" s="38">
        <v>38347.0</v>
      </c>
      <c r="C26383" s="38" t="s">
        <v>30864</v>
      </c>
      <c r="D26383" s="38" t="str">
        <f>IFERROR(__xludf.DUMMYFUNCTION("REGEXREPLACE(C26383,""-\d+(.*)|--\d+(.*)"","""")"),"ROYBON")</f>
        <v>ROYBON</v>
      </c>
      <c r="E26383" s="38" t="s">
        <v>101</v>
      </c>
      <c r="F26383" s="38" t="s">
        <v>102</v>
      </c>
      <c r="G26383" s="49" t="str">
        <f t="shared" si="1"/>
        <v>38940</v>
      </c>
      <c r="H26383" s="49">
        <f t="shared" si="2"/>
        <v>38347</v>
      </c>
    </row>
    <row r="26384">
      <c r="A26384" s="48" t="s">
        <v>3056</v>
      </c>
      <c r="B26384" s="38">
        <v>24266.0</v>
      </c>
      <c r="C26384" s="38" t="s">
        <v>30865</v>
      </c>
      <c r="D26384" s="38" t="str">
        <f>IFERROR(__xludf.DUMMYFUNCTION("REGEXREPLACE(C26384,""-\d+(.*)|--\d+(.*)"","""")"),"MENSIGNAC")</f>
        <v>MENSIGNAC</v>
      </c>
      <c r="E26384" s="38" t="s">
        <v>261</v>
      </c>
      <c r="F26384" s="38" t="s">
        <v>252</v>
      </c>
      <c r="G26384" s="49" t="str">
        <f t="shared" si="1"/>
        <v>24350</v>
      </c>
      <c r="H26384" s="49">
        <f t="shared" si="2"/>
        <v>24266</v>
      </c>
    </row>
    <row r="26385">
      <c r="A26385" s="48" t="s">
        <v>5166</v>
      </c>
      <c r="B26385" s="38">
        <v>26253.0</v>
      </c>
      <c r="C26385" s="38" t="s">
        <v>30866</v>
      </c>
      <c r="D26385" s="38" t="str">
        <f>IFERROR(__xludf.DUMMYFUNCTION("REGEXREPLACE(C26385,""-\d+(.*)|--\d+(.*)"","""")"),"POYOLS")</f>
        <v>POYOLS</v>
      </c>
      <c r="E26385" s="38" t="s">
        <v>126</v>
      </c>
      <c r="F26385" s="38" t="s">
        <v>102</v>
      </c>
      <c r="G26385" s="49" t="str">
        <f t="shared" si="1"/>
        <v>26310</v>
      </c>
      <c r="H26385" s="49">
        <f t="shared" si="2"/>
        <v>26253</v>
      </c>
    </row>
    <row r="26386">
      <c r="A26386" s="48" t="s">
        <v>2340</v>
      </c>
      <c r="B26386" s="38">
        <v>21234.0</v>
      </c>
      <c r="C26386" s="38" t="s">
        <v>30867</v>
      </c>
      <c r="D26386" s="38" t="str">
        <f>IFERROR(__xludf.DUMMYFUNCTION("REGEXREPLACE(C26386,""-\d+(.*)|--\d+(.*)"","""")"),"DREE")</f>
        <v>DREE</v>
      </c>
      <c r="E26386" s="38" t="s">
        <v>105</v>
      </c>
      <c r="F26386" s="38" t="s">
        <v>106</v>
      </c>
      <c r="G26386" s="49" t="str">
        <f t="shared" si="1"/>
        <v>21540</v>
      </c>
      <c r="H26386" s="49">
        <f t="shared" si="2"/>
        <v>21234</v>
      </c>
    </row>
    <row r="26387">
      <c r="A26387" s="48" t="s">
        <v>1520</v>
      </c>
      <c r="B26387" s="38">
        <v>16325.0</v>
      </c>
      <c r="C26387" s="38" t="s">
        <v>30868</v>
      </c>
      <c r="D26387" s="38" t="str">
        <f>IFERROR(__xludf.DUMMYFUNCTION("REGEXREPLACE(C26387,""-\d+(.*)|--\d+(.*)"","""")"),"SAINT-GOURSON")</f>
        <v>SAINT-GOURSON</v>
      </c>
      <c r="E26387" s="38" t="s">
        <v>429</v>
      </c>
      <c r="F26387" s="38" t="s">
        <v>338</v>
      </c>
      <c r="G26387" s="49" t="str">
        <f t="shared" si="1"/>
        <v>16700</v>
      </c>
      <c r="H26387" s="49">
        <f t="shared" si="2"/>
        <v>16325</v>
      </c>
    </row>
    <row r="26388">
      <c r="A26388" s="48" t="s">
        <v>30869</v>
      </c>
      <c r="B26388" s="38">
        <v>69152.0</v>
      </c>
      <c r="C26388" s="38" t="s">
        <v>30870</v>
      </c>
      <c r="D26388" s="38" t="str">
        <f>IFERROR(__xludf.DUMMYFUNCTION("REGEXREPLACE(C26388,""-\d+(.*)|--\d+(.*)"","""")"),"PIERRE-BENITE")</f>
        <v>PIERRE-BENITE</v>
      </c>
      <c r="E26388" s="38" t="s">
        <v>350</v>
      </c>
      <c r="F26388" s="38" t="s">
        <v>102</v>
      </c>
      <c r="G26388" s="49" t="str">
        <f t="shared" si="1"/>
        <v>69310</v>
      </c>
      <c r="H26388" s="49">
        <f t="shared" si="2"/>
        <v>69152</v>
      </c>
    </row>
    <row r="26389">
      <c r="A26389" s="48" t="s">
        <v>1332</v>
      </c>
      <c r="B26389" s="38">
        <v>51659.0</v>
      </c>
      <c r="C26389" s="38" t="s">
        <v>30871</v>
      </c>
      <c r="D26389" s="38" t="str">
        <f>IFERROR(__xludf.DUMMYFUNCTION("REGEXREPLACE(C26389,""-\d+(.*)|--\d+(.*)"","""")"),"WARGEMOULIN-HURLUS")</f>
        <v>WARGEMOULIN-HURLUS</v>
      </c>
      <c r="E26389" s="38" t="s">
        <v>129</v>
      </c>
      <c r="F26389" s="38" t="s">
        <v>130</v>
      </c>
      <c r="G26389" s="49" t="str">
        <f t="shared" si="1"/>
        <v>51800</v>
      </c>
      <c r="H26389" s="49">
        <f t="shared" si="2"/>
        <v>51659</v>
      </c>
    </row>
    <row r="26390">
      <c r="A26390" s="48" t="s">
        <v>5555</v>
      </c>
      <c r="B26390" s="38">
        <v>82015.0</v>
      </c>
      <c r="C26390" s="38" t="s">
        <v>30872</v>
      </c>
      <c r="D26390" s="38" t="str">
        <f>IFERROR(__xludf.DUMMYFUNCTION("REGEXREPLACE(C26390,""-\d+(.*)|--\d+(.*)"","""")"),"BELBESE")</f>
        <v>BELBESE</v>
      </c>
      <c r="E26390" s="38" t="s">
        <v>570</v>
      </c>
      <c r="F26390" s="38" t="s">
        <v>94</v>
      </c>
      <c r="G26390" s="49" t="str">
        <f t="shared" si="1"/>
        <v>82500</v>
      </c>
      <c r="H26390" s="49">
        <f t="shared" si="2"/>
        <v>82015</v>
      </c>
    </row>
    <row r="26391">
      <c r="A26391" s="48" t="s">
        <v>2433</v>
      </c>
      <c r="B26391" s="38">
        <v>70247.0</v>
      </c>
      <c r="C26391" s="38" t="s">
        <v>30873</v>
      </c>
      <c r="D26391" s="38" t="str">
        <f>IFERROR(__xludf.DUMMYFUNCTION("REGEXREPLACE(C26391,""-\d+(.*)|--\d+(.*)"","""")"),"FOUVENT-SAINT-ANDOCHE")</f>
        <v>FOUVENT-SAINT-ANDOCHE</v>
      </c>
      <c r="E26391" s="38" t="s">
        <v>956</v>
      </c>
      <c r="F26391" s="38" t="s">
        <v>214</v>
      </c>
      <c r="G26391" s="49" t="str">
        <f t="shared" si="1"/>
        <v>70600</v>
      </c>
      <c r="H26391" s="49">
        <f t="shared" si="2"/>
        <v>70247</v>
      </c>
    </row>
    <row r="26392">
      <c r="A26392" s="48" t="s">
        <v>13139</v>
      </c>
      <c r="B26392" s="38">
        <v>62485.0</v>
      </c>
      <c r="C26392" s="38" t="s">
        <v>30874</v>
      </c>
      <c r="D26392" s="38" t="str">
        <f>IFERROR(__xludf.DUMMYFUNCTION("REGEXREPLACE(C26392,""-\d+(.*)|--\d+(.*)"","""")"),"LAIRES")</f>
        <v>LAIRES</v>
      </c>
      <c r="E26392" s="38" t="s">
        <v>109</v>
      </c>
      <c r="F26392" s="38" t="s">
        <v>86</v>
      </c>
      <c r="G26392" s="49" t="str">
        <f t="shared" si="1"/>
        <v>62960</v>
      </c>
      <c r="H26392" s="49">
        <f t="shared" si="2"/>
        <v>62485</v>
      </c>
    </row>
    <row r="26393">
      <c r="A26393" s="48" t="s">
        <v>30875</v>
      </c>
      <c r="B26393" s="38">
        <v>56040.0</v>
      </c>
      <c r="C26393" s="38" t="s">
        <v>30876</v>
      </c>
      <c r="D26393" s="38" t="str">
        <f>IFERROR(__xludf.DUMMYFUNCTION("REGEXREPLACE(C26393,""-\d+(.*)|--\d+(.*)"","""")"),"CLEGUER")</f>
        <v>CLEGUER</v>
      </c>
      <c r="E26393" s="38" t="s">
        <v>173</v>
      </c>
      <c r="F26393" s="38" t="s">
        <v>90</v>
      </c>
      <c r="G26393" s="49" t="str">
        <f t="shared" si="1"/>
        <v>56620</v>
      </c>
      <c r="H26393" s="49">
        <f t="shared" si="2"/>
        <v>56040</v>
      </c>
    </row>
    <row r="26394">
      <c r="A26394" s="48" t="s">
        <v>26234</v>
      </c>
      <c r="B26394" s="38">
        <v>38550.0</v>
      </c>
      <c r="C26394" s="38" t="s">
        <v>30877</v>
      </c>
      <c r="D26394" s="38" t="str">
        <f>IFERROR(__xludf.DUMMYFUNCTION("REGEXREPLACE(C26394,""-\d+(.*)|--\d+(.*)"","""")"),"VILLARD-RECULAS")</f>
        <v>VILLARD-RECULAS</v>
      </c>
      <c r="E26394" s="38" t="s">
        <v>101</v>
      </c>
      <c r="F26394" s="38" t="s">
        <v>102</v>
      </c>
      <c r="G26394" s="49" t="str">
        <f t="shared" si="1"/>
        <v>38114</v>
      </c>
      <c r="H26394" s="49">
        <f t="shared" si="2"/>
        <v>38550</v>
      </c>
    </row>
    <row r="26395">
      <c r="A26395" s="48" t="s">
        <v>4826</v>
      </c>
      <c r="B26395" s="38">
        <v>57475.0</v>
      </c>
      <c r="C26395" s="38" t="s">
        <v>30878</v>
      </c>
      <c r="D26395" s="38" t="str">
        <f>IFERROR(__xludf.DUMMYFUNCTION("REGEXREPLACE(C26395,""-\d+(.*)|--\d+(.*)"","""")"),"MONDORFF")</f>
        <v>MONDORFF</v>
      </c>
      <c r="E26395" s="38" t="s">
        <v>303</v>
      </c>
      <c r="F26395" s="38" t="s">
        <v>195</v>
      </c>
      <c r="G26395" s="49" t="str">
        <f t="shared" si="1"/>
        <v>57570</v>
      </c>
      <c r="H26395" s="49">
        <f t="shared" si="2"/>
        <v>57475</v>
      </c>
    </row>
    <row r="26396">
      <c r="A26396" s="48" t="s">
        <v>30879</v>
      </c>
      <c r="B26396" s="38">
        <v>59327.0</v>
      </c>
      <c r="C26396" s="38" t="s">
        <v>30880</v>
      </c>
      <c r="D26396" s="38" t="str">
        <f>IFERROR(__xludf.DUMMYFUNCTION("REGEXREPLACE(C26396,""-\d+(.*)|--\d+(.*)"","""")"),"LALLAING")</f>
        <v>LALLAING</v>
      </c>
      <c r="E26396" s="38" t="s">
        <v>85</v>
      </c>
      <c r="F26396" s="38" t="s">
        <v>86</v>
      </c>
      <c r="G26396" s="49" t="str">
        <f t="shared" si="1"/>
        <v>59167</v>
      </c>
      <c r="H26396" s="49">
        <f t="shared" si="2"/>
        <v>59327</v>
      </c>
    </row>
    <row r="26397">
      <c r="A26397" s="48" t="s">
        <v>1760</v>
      </c>
      <c r="B26397" s="38" t="s">
        <v>30881</v>
      </c>
      <c r="C26397" s="38" t="s">
        <v>30882</v>
      </c>
      <c r="D26397" s="38" t="str">
        <f>IFERROR(__xludf.DUMMYFUNCTION("REGEXREPLACE(C26397,""-\d+(.*)|--\d+(.*)"","""")"),"VALLECALLE")</f>
        <v>VALLECALLE</v>
      </c>
      <c r="E26397" s="38" t="s">
        <v>743</v>
      </c>
      <c r="F26397" s="38" t="s">
        <v>607</v>
      </c>
      <c r="G26397" s="49" t="str">
        <f t="shared" si="1"/>
        <v>20232</v>
      </c>
      <c r="H26397" s="49" t="str">
        <f t="shared" si="2"/>
        <v>2B333</v>
      </c>
    </row>
    <row r="26398">
      <c r="A26398" s="48" t="s">
        <v>407</v>
      </c>
      <c r="B26398" s="38">
        <v>71080.0</v>
      </c>
      <c r="C26398" s="38" t="s">
        <v>30883</v>
      </c>
      <c r="D26398" s="38" t="str">
        <f>IFERROR(__xludf.DUMMYFUNCTION("REGEXREPLACE(C26398,""-\d+(.*)|--\d+(.*)"","""")"),"CHAMPAGNY-SOUS-UXELLES")</f>
        <v>CHAMPAGNY-SOUS-UXELLES</v>
      </c>
      <c r="E26398" s="38" t="s">
        <v>344</v>
      </c>
      <c r="F26398" s="38" t="s">
        <v>106</v>
      </c>
      <c r="G26398" s="49" t="str">
        <f t="shared" si="1"/>
        <v>71460</v>
      </c>
      <c r="H26398" s="49">
        <f t="shared" si="2"/>
        <v>71080</v>
      </c>
    </row>
    <row r="26399">
      <c r="A26399" s="48" t="s">
        <v>2617</v>
      </c>
      <c r="B26399" s="38">
        <v>89222.0</v>
      </c>
      <c r="C26399" s="38" t="s">
        <v>30884</v>
      </c>
      <c r="D26399" s="38" t="str">
        <f>IFERROR(__xludf.DUMMYFUNCTION("REGEXREPLACE(C26399,""-\d+(.*)|--\d+(.*)"","""")"),"LEVIS")</f>
        <v>LEVIS</v>
      </c>
      <c r="E26399" s="38" t="s">
        <v>275</v>
      </c>
      <c r="F26399" s="38" t="s">
        <v>106</v>
      </c>
      <c r="G26399" s="49" t="str">
        <f t="shared" si="1"/>
        <v>89520</v>
      </c>
      <c r="H26399" s="49">
        <f t="shared" si="2"/>
        <v>89222</v>
      </c>
    </row>
    <row r="26400">
      <c r="A26400" s="48" t="s">
        <v>3203</v>
      </c>
      <c r="B26400" s="38">
        <v>35244.0</v>
      </c>
      <c r="C26400" s="38" t="s">
        <v>30885</v>
      </c>
      <c r="D26400" s="38" t="str">
        <f>IFERROR(__xludf.DUMMYFUNCTION("REGEXREPLACE(C26400,""-\d+(.*)|--\d+(.*)"","""")"),"ROMAZY")</f>
        <v>ROMAZY</v>
      </c>
      <c r="E26400" s="38" t="s">
        <v>347</v>
      </c>
      <c r="F26400" s="38" t="s">
        <v>90</v>
      </c>
      <c r="G26400" s="49" t="str">
        <f t="shared" si="1"/>
        <v>35490</v>
      </c>
      <c r="H26400" s="49">
        <f t="shared" si="2"/>
        <v>35244</v>
      </c>
    </row>
    <row r="26401">
      <c r="A26401" s="48" t="s">
        <v>3266</v>
      </c>
      <c r="B26401" s="38">
        <v>55372.0</v>
      </c>
      <c r="C26401" s="38" t="s">
        <v>30886</v>
      </c>
      <c r="D26401" s="38" t="str">
        <f>IFERROR(__xludf.DUMMYFUNCTION("REGEXREPLACE(C26401,""-\d+(.*)|--\d+(.*)"","""")"),"NANCOIS-SUR-ORNAIN")</f>
        <v>NANCOIS-SUR-ORNAIN</v>
      </c>
      <c r="E26401" s="38" t="s">
        <v>322</v>
      </c>
      <c r="F26401" s="38" t="s">
        <v>195</v>
      </c>
      <c r="G26401" s="49" t="str">
        <f t="shared" si="1"/>
        <v>55500</v>
      </c>
      <c r="H26401" s="49">
        <f t="shared" si="2"/>
        <v>55372</v>
      </c>
    </row>
    <row r="26402">
      <c r="A26402" s="48" t="s">
        <v>2190</v>
      </c>
      <c r="B26402" s="38">
        <v>10148.0</v>
      </c>
      <c r="C26402" s="38" t="s">
        <v>30887</v>
      </c>
      <c r="D26402" s="38" t="str">
        <f>IFERROR(__xludf.DUMMYFUNCTION("REGEXREPLACE(C26402,""-\d+(.*)|--\d+(.*)"","""")"),"FERREUX-QUINCEY")</f>
        <v>FERREUX-QUINCEY</v>
      </c>
      <c r="E26402" s="38" t="s">
        <v>147</v>
      </c>
      <c r="F26402" s="38" t="s">
        <v>130</v>
      </c>
      <c r="G26402" s="49" t="str">
        <f t="shared" si="1"/>
        <v>10400</v>
      </c>
      <c r="H26402" s="49">
        <f t="shared" si="2"/>
        <v>10148</v>
      </c>
    </row>
    <row r="26403">
      <c r="A26403" s="48" t="s">
        <v>8320</v>
      </c>
      <c r="B26403" s="38">
        <v>1303.0</v>
      </c>
      <c r="C26403" s="38" t="s">
        <v>30888</v>
      </c>
      <c r="D26403" s="38" t="str">
        <f>IFERROR(__xludf.DUMMYFUNCTION("REGEXREPLACE(C26403,""-\d+(.*)|--\d+(.*)"","""")"),"PONCIN")</f>
        <v>PONCIN</v>
      </c>
      <c r="E26403" s="38" t="s">
        <v>255</v>
      </c>
      <c r="F26403" s="38" t="s">
        <v>102</v>
      </c>
      <c r="G26403" s="49" t="str">
        <f t="shared" si="1"/>
        <v>01450</v>
      </c>
      <c r="H26403" s="49" t="str">
        <f t="shared" si="2"/>
        <v>01303</v>
      </c>
    </row>
    <row r="26404">
      <c r="A26404" s="48" t="s">
        <v>2027</v>
      </c>
      <c r="B26404" s="38">
        <v>77039.0</v>
      </c>
      <c r="C26404" s="38" t="s">
        <v>30889</v>
      </c>
      <c r="D26404" s="38" t="str">
        <f>IFERROR(__xludf.DUMMYFUNCTION("REGEXREPLACE(C26404,""-\d+(.*)|--\d+(.*)"","""")"),"BOISSISE-LA-BERTRAND")</f>
        <v>BOISSISE-LA-BERTRAND</v>
      </c>
      <c r="E26404" s="38" t="s">
        <v>244</v>
      </c>
      <c r="F26404" s="38" t="s">
        <v>245</v>
      </c>
      <c r="G26404" s="49" t="str">
        <f t="shared" si="1"/>
        <v>77350</v>
      </c>
      <c r="H26404" s="49">
        <f t="shared" si="2"/>
        <v>77039</v>
      </c>
    </row>
    <row r="26405">
      <c r="A26405" s="48" t="s">
        <v>5887</v>
      </c>
      <c r="B26405" s="38">
        <v>61098.0</v>
      </c>
      <c r="C26405" s="38" t="s">
        <v>30890</v>
      </c>
      <c r="D26405" s="38" t="str">
        <f>IFERROR(__xludf.DUMMYFUNCTION("REGEXREPLACE(C26405,""-\d+(.*)|--\d+(.*)"","""")"),"LA CHAPELLE-PRES-SEES")</f>
        <v>LA CHAPELLE-PRES-SEES</v>
      </c>
      <c r="E26405" s="38" t="s">
        <v>141</v>
      </c>
      <c r="F26405" s="38" t="s">
        <v>138</v>
      </c>
      <c r="G26405" s="49" t="str">
        <f t="shared" si="1"/>
        <v>61500</v>
      </c>
      <c r="H26405" s="49">
        <f t="shared" si="2"/>
        <v>61098</v>
      </c>
    </row>
    <row r="26406">
      <c r="A26406" s="48" t="s">
        <v>3662</v>
      </c>
      <c r="B26406" s="38">
        <v>80330.0</v>
      </c>
      <c r="C26406" s="38" t="s">
        <v>30891</v>
      </c>
      <c r="D26406" s="38" t="str">
        <f>IFERROR(__xludf.DUMMYFUNCTION("REGEXREPLACE(C26406,""-\d+(.*)|--\d+(.*)"","""")"),"FORCEVILLE-EN-VIMEU")</f>
        <v>FORCEVILLE-EN-VIMEU</v>
      </c>
      <c r="E26406" s="38" t="s">
        <v>224</v>
      </c>
      <c r="F26406" s="38" t="s">
        <v>113</v>
      </c>
      <c r="G26406" s="49" t="str">
        <f t="shared" si="1"/>
        <v>80140</v>
      </c>
      <c r="H26406" s="49">
        <f t="shared" si="2"/>
        <v>80330</v>
      </c>
    </row>
    <row r="26407">
      <c r="A26407" s="48" t="s">
        <v>6007</v>
      </c>
      <c r="B26407" s="38">
        <v>24244.0</v>
      </c>
      <c r="C26407" s="38" t="s">
        <v>30892</v>
      </c>
      <c r="D26407" s="38" t="str">
        <f>IFERROR(__xludf.DUMMYFUNCTION("REGEXREPLACE(C26407,""-\d+(.*)|--\d+(.*)"","""")"),"LOLME")</f>
        <v>LOLME</v>
      </c>
      <c r="E26407" s="38" t="s">
        <v>261</v>
      </c>
      <c r="F26407" s="38" t="s">
        <v>252</v>
      </c>
      <c r="G26407" s="49" t="str">
        <f t="shared" si="1"/>
        <v>24540</v>
      </c>
      <c r="H26407" s="49">
        <f t="shared" si="2"/>
        <v>24244</v>
      </c>
    </row>
    <row r="26408">
      <c r="A26408" s="48" t="s">
        <v>28173</v>
      </c>
      <c r="B26408" s="38">
        <v>58178.0</v>
      </c>
      <c r="C26408" s="38" t="s">
        <v>30893</v>
      </c>
      <c r="D26408" s="38" t="str">
        <f>IFERROR(__xludf.DUMMYFUNCTION("REGEXREPLACE(C26408,""-\d+(.*)|--\d+(.*)"","""")"),"MONTIGNY-SUR-CANNE")</f>
        <v>MONTIGNY-SUR-CANNE</v>
      </c>
      <c r="E26408" s="38" t="s">
        <v>219</v>
      </c>
      <c r="F26408" s="38" t="s">
        <v>106</v>
      </c>
      <c r="G26408" s="49" t="str">
        <f t="shared" si="1"/>
        <v>58340</v>
      </c>
      <c r="H26408" s="49">
        <f t="shared" si="2"/>
        <v>58178</v>
      </c>
    </row>
    <row r="26409">
      <c r="A26409" s="48" t="s">
        <v>288</v>
      </c>
      <c r="B26409" s="38">
        <v>3313.0</v>
      </c>
      <c r="C26409" s="38" t="s">
        <v>30894</v>
      </c>
      <c r="D26409" s="38" t="str">
        <f>IFERROR(__xludf.DUMMYFUNCTION("REGEXREPLACE(C26409,""-\d+(.*)|--\d+(.*)"","""")"),"LE VILHAIN")</f>
        <v>LE VILHAIN</v>
      </c>
      <c r="E26409" s="38" t="s">
        <v>160</v>
      </c>
      <c r="F26409" s="38" t="s">
        <v>161</v>
      </c>
      <c r="G26409" s="49" t="str">
        <f t="shared" si="1"/>
        <v>03350</v>
      </c>
      <c r="H26409" s="49" t="str">
        <f t="shared" si="2"/>
        <v>03313</v>
      </c>
    </row>
    <row r="26410">
      <c r="A26410" s="48" t="s">
        <v>6438</v>
      </c>
      <c r="B26410" s="38">
        <v>29271.0</v>
      </c>
      <c r="C26410" s="38" t="s">
        <v>30895</v>
      </c>
      <c r="D26410" s="38" t="str">
        <f>IFERROR(__xludf.DUMMYFUNCTION("REGEXREPLACE(C26410,""-\d+(.*)|--\d+(.*)"","""")"),"SAINT-VOUGAY")</f>
        <v>SAINT-VOUGAY</v>
      </c>
      <c r="E26410" s="38" t="s">
        <v>176</v>
      </c>
      <c r="F26410" s="38" t="s">
        <v>90</v>
      </c>
      <c r="G26410" s="49" t="str">
        <f t="shared" si="1"/>
        <v>29440</v>
      </c>
      <c r="H26410" s="49">
        <f t="shared" si="2"/>
        <v>29271</v>
      </c>
    </row>
    <row r="26411">
      <c r="A26411" s="48" t="s">
        <v>30896</v>
      </c>
      <c r="B26411" s="38">
        <v>13062.0</v>
      </c>
      <c r="C26411" s="38" t="s">
        <v>30897</v>
      </c>
      <c r="D26411" s="38" t="str">
        <f>IFERROR(__xludf.DUMMYFUNCTION("REGEXREPLACE(C26411,""-\d+(.*)|--\d+(.*)"","""")"),"MIMET")</f>
        <v>MIMET</v>
      </c>
      <c r="E26411" s="38" t="s">
        <v>980</v>
      </c>
      <c r="F26411" s="38" t="s">
        <v>228</v>
      </c>
      <c r="G26411" s="49" t="str">
        <f t="shared" si="1"/>
        <v>13105</v>
      </c>
      <c r="H26411" s="49">
        <f t="shared" si="2"/>
        <v>13062</v>
      </c>
    </row>
    <row r="26412">
      <c r="A26412" s="48" t="s">
        <v>1485</v>
      </c>
      <c r="B26412" s="38">
        <v>21294.0</v>
      </c>
      <c r="C26412" s="38" t="s">
        <v>30898</v>
      </c>
      <c r="D26412" s="38" t="str">
        <f>IFERROR(__xludf.DUMMYFUNCTION("REGEXREPLACE(C26412,""-\d+(.*)|--\d+(.*)"","""")"),"GERLAND")</f>
        <v>GERLAND</v>
      </c>
      <c r="E26412" s="38" t="s">
        <v>105</v>
      </c>
      <c r="F26412" s="38" t="s">
        <v>106</v>
      </c>
      <c r="G26412" s="49" t="str">
        <f t="shared" si="1"/>
        <v>21700</v>
      </c>
      <c r="H26412" s="49">
        <f t="shared" si="2"/>
        <v>21294</v>
      </c>
    </row>
    <row r="26413">
      <c r="A26413" s="48" t="s">
        <v>773</v>
      </c>
      <c r="B26413" s="38">
        <v>27231.0</v>
      </c>
      <c r="C26413" s="38" t="s">
        <v>30899</v>
      </c>
      <c r="D26413" s="38" t="str">
        <f>IFERROR(__xludf.DUMMYFUNCTION("REGEXREPLACE(C26413,""-\d+(.*)|--\d+(.*)"","""")"),"FAINS")</f>
        <v>FAINS</v>
      </c>
      <c r="E26413" s="38" t="s">
        <v>241</v>
      </c>
      <c r="F26413" s="38" t="s">
        <v>134</v>
      </c>
      <c r="G26413" s="49" t="str">
        <f t="shared" si="1"/>
        <v>27120</v>
      </c>
      <c r="H26413" s="49">
        <f t="shared" si="2"/>
        <v>27231</v>
      </c>
    </row>
    <row r="26414">
      <c r="A26414" s="48" t="s">
        <v>6107</v>
      </c>
      <c r="B26414" s="38">
        <v>61388.0</v>
      </c>
      <c r="C26414" s="38" t="s">
        <v>30900</v>
      </c>
      <c r="D26414" s="38" t="str">
        <f>IFERROR(__xludf.DUMMYFUNCTION("REGEXREPLACE(C26414,""-\d+(.*)|--\d+(.*)"","""")"),"SAINT-FULGENT-DES-ORMES")</f>
        <v>SAINT-FULGENT-DES-ORMES</v>
      </c>
      <c r="E26414" s="38" t="s">
        <v>141</v>
      </c>
      <c r="F26414" s="38" t="s">
        <v>138</v>
      </c>
      <c r="G26414" s="49" t="str">
        <f t="shared" si="1"/>
        <v>61130</v>
      </c>
      <c r="H26414" s="49">
        <f t="shared" si="2"/>
        <v>61388</v>
      </c>
    </row>
    <row r="26415">
      <c r="A26415" s="48" t="s">
        <v>7247</v>
      </c>
      <c r="B26415" s="38">
        <v>24142.0</v>
      </c>
      <c r="C26415" s="38" t="s">
        <v>30901</v>
      </c>
      <c r="D26415" s="38" t="str">
        <f>IFERROR(__xludf.DUMMYFUNCTION("REGEXREPLACE(C26415,""-\d+(.*)|--\d+(.*)"","""")"),"COUX-ET-BIGAROQUE")</f>
        <v>COUX-ET-BIGAROQUE</v>
      </c>
      <c r="E26415" s="38" t="s">
        <v>261</v>
      </c>
      <c r="F26415" s="38" t="s">
        <v>252</v>
      </c>
      <c r="G26415" s="49" t="str">
        <f t="shared" si="1"/>
        <v>24220</v>
      </c>
      <c r="H26415" s="49">
        <f t="shared" si="2"/>
        <v>24142</v>
      </c>
    </row>
    <row r="26416">
      <c r="A26416" s="48" t="s">
        <v>4790</v>
      </c>
      <c r="B26416" s="38">
        <v>67168.0</v>
      </c>
      <c r="C26416" s="38" t="s">
        <v>30902</v>
      </c>
      <c r="D26416" s="38" t="str">
        <f>IFERROR(__xludf.DUMMYFUNCTION("REGEXREPLACE(C26416,""-\d+(.*)|--\d+(.*)"","""")"),"GRESSWILLER")</f>
        <v>GRESSWILLER</v>
      </c>
      <c r="E26416" s="38" t="s">
        <v>210</v>
      </c>
      <c r="F26416" s="38" t="s">
        <v>151</v>
      </c>
      <c r="G26416" s="49" t="str">
        <f t="shared" si="1"/>
        <v>67190</v>
      </c>
      <c r="H26416" s="49">
        <f t="shared" si="2"/>
        <v>67168</v>
      </c>
    </row>
    <row r="26417">
      <c r="A26417" s="48" t="s">
        <v>20901</v>
      </c>
      <c r="B26417" s="38">
        <v>3080.0</v>
      </c>
      <c r="C26417" s="38" t="s">
        <v>30903</v>
      </c>
      <c r="D26417" s="38" t="str">
        <f>IFERROR(__xludf.DUMMYFUNCTION("REGEXREPLACE(C26417,""-\d+(.*)|--\d+(.*)"","""")"),"COGNAT-LYONNE")</f>
        <v>COGNAT-LYONNE</v>
      </c>
      <c r="E26417" s="38" t="s">
        <v>160</v>
      </c>
      <c r="F26417" s="38" t="s">
        <v>161</v>
      </c>
      <c r="G26417" s="49" t="str">
        <f t="shared" si="1"/>
        <v>03110</v>
      </c>
      <c r="H26417" s="49" t="str">
        <f t="shared" si="2"/>
        <v>03080</v>
      </c>
    </row>
    <row r="26418">
      <c r="A26418" s="48" t="s">
        <v>11838</v>
      </c>
      <c r="B26418" s="38">
        <v>57482.0</v>
      </c>
      <c r="C26418" s="38" t="s">
        <v>30904</v>
      </c>
      <c r="D26418" s="38" t="str">
        <f>IFERROR(__xludf.DUMMYFUNCTION("REGEXREPLACE(C26418,""-\d+(.*)|--\d+(.*)"","""")"),"MONTOY-FLANVILLE")</f>
        <v>MONTOY-FLANVILLE</v>
      </c>
      <c r="E26418" s="38" t="s">
        <v>303</v>
      </c>
      <c r="F26418" s="38" t="s">
        <v>195</v>
      </c>
      <c r="G26418" s="49" t="str">
        <f t="shared" si="1"/>
        <v>57645</v>
      </c>
      <c r="H26418" s="49">
        <f t="shared" si="2"/>
        <v>57482</v>
      </c>
    </row>
    <row r="26419">
      <c r="A26419" s="48" t="s">
        <v>3846</v>
      </c>
      <c r="B26419" s="38">
        <v>19225.0</v>
      </c>
      <c r="C26419" s="38" t="s">
        <v>30905</v>
      </c>
      <c r="D26419" s="38" t="str">
        <f>IFERROR(__xludf.DUMMYFUNCTION("REGEXREPLACE(C26419,""-\d+(.*)|--\d+(.*)"","""")"),"SAINT-MERD-DE-LAPLEAU")</f>
        <v>SAINT-MERD-DE-LAPLEAU</v>
      </c>
      <c r="E26419" s="38" t="s">
        <v>271</v>
      </c>
      <c r="F26419" s="38" t="s">
        <v>98</v>
      </c>
      <c r="G26419" s="49" t="str">
        <f t="shared" si="1"/>
        <v>19320</v>
      </c>
      <c r="H26419" s="49">
        <f t="shared" si="2"/>
        <v>19225</v>
      </c>
    </row>
    <row r="26420">
      <c r="A26420" s="48" t="s">
        <v>11056</v>
      </c>
      <c r="B26420" s="38">
        <v>3198.0</v>
      </c>
      <c r="C26420" s="38" t="s">
        <v>30906</v>
      </c>
      <c r="D26420" s="38" t="str">
        <f>IFERROR(__xludf.DUMMYFUNCTION("REGEXREPLACE(C26420,""-\d+(.*)|--\d+(.*)"","""")"),"NEURE")</f>
        <v>NEURE</v>
      </c>
      <c r="E26420" s="38" t="s">
        <v>160</v>
      </c>
      <c r="F26420" s="38" t="s">
        <v>161</v>
      </c>
      <c r="G26420" s="49" t="str">
        <f t="shared" si="1"/>
        <v>03320</v>
      </c>
      <c r="H26420" s="49" t="str">
        <f t="shared" si="2"/>
        <v>03198</v>
      </c>
    </row>
    <row r="26421">
      <c r="A26421" s="48" t="s">
        <v>12001</v>
      </c>
      <c r="B26421" s="38">
        <v>7019.0</v>
      </c>
      <c r="C26421" s="38" t="s">
        <v>30907</v>
      </c>
      <c r="D26421" s="38" t="str">
        <f>IFERROR(__xludf.DUMMYFUNCTION("REGEXREPLACE(C26421,""-\d+(.*)|--\d+(.*)"","""")"),"AUBENAS")</f>
        <v>AUBENAS</v>
      </c>
      <c r="E26421" s="38" t="s">
        <v>144</v>
      </c>
      <c r="F26421" s="38" t="s">
        <v>102</v>
      </c>
      <c r="G26421" s="49" t="str">
        <f t="shared" si="1"/>
        <v>07200</v>
      </c>
      <c r="H26421" s="49" t="str">
        <f t="shared" si="2"/>
        <v>07019</v>
      </c>
    </row>
    <row r="26422">
      <c r="A26422" s="48" t="s">
        <v>1305</v>
      </c>
      <c r="B26422" s="38">
        <v>36195.0</v>
      </c>
      <c r="C26422" s="38" t="s">
        <v>30908</v>
      </c>
      <c r="D26422" s="38" t="str">
        <f>IFERROR(__xludf.DUMMYFUNCTION("REGEXREPLACE(C26422,""-\d+(.*)|--\d+(.*)"","""")"),"SAINT-GEORGES-SUR-ARNON")</f>
        <v>SAINT-GEORGES-SUR-ARNON</v>
      </c>
      <c r="E26422" s="38" t="s">
        <v>258</v>
      </c>
      <c r="F26422" s="38" t="s">
        <v>123</v>
      </c>
      <c r="G26422" s="49" t="str">
        <f t="shared" si="1"/>
        <v>36100</v>
      </c>
      <c r="H26422" s="49">
        <f t="shared" si="2"/>
        <v>36195</v>
      </c>
    </row>
    <row r="26423">
      <c r="A26423" s="48" t="s">
        <v>1538</v>
      </c>
      <c r="B26423" s="38">
        <v>27404.0</v>
      </c>
      <c r="C26423" s="38" t="s">
        <v>30909</v>
      </c>
      <c r="D26423" s="38" t="str">
        <f>IFERROR(__xludf.DUMMYFUNCTION("REGEXREPLACE(C26423,""-\d+(.*)|--\d+(.*)"","""")"),"MESNIL-ROUSSET")</f>
        <v>MESNIL-ROUSSET</v>
      </c>
      <c r="E26423" s="38" t="s">
        <v>241</v>
      </c>
      <c r="F26423" s="38" t="s">
        <v>134</v>
      </c>
      <c r="G26423" s="49" t="str">
        <f t="shared" si="1"/>
        <v>27390</v>
      </c>
      <c r="H26423" s="49">
        <f t="shared" si="2"/>
        <v>27404</v>
      </c>
    </row>
    <row r="26424">
      <c r="A26424" s="48" t="s">
        <v>2334</v>
      </c>
      <c r="B26424" s="38">
        <v>46250.0</v>
      </c>
      <c r="C26424" s="38" t="s">
        <v>16186</v>
      </c>
      <c r="D26424" s="38" t="str">
        <f>IFERROR(__xludf.DUMMYFUNCTION("REGEXREPLACE(C26424,""-\d+(.*)|--\d+(.*)"","""")"),"SAINT-CAPRAIS")</f>
        <v>SAINT-CAPRAIS</v>
      </c>
      <c r="E26424" s="38" t="s">
        <v>185</v>
      </c>
      <c r="F26424" s="38" t="s">
        <v>94</v>
      </c>
      <c r="G26424" s="49" t="str">
        <f t="shared" si="1"/>
        <v>46250</v>
      </c>
      <c r="H26424" s="49">
        <f t="shared" si="2"/>
        <v>46250</v>
      </c>
    </row>
    <row r="26425">
      <c r="A26425" s="48" t="s">
        <v>7726</v>
      </c>
      <c r="B26425" s="38">
        <v>35223.0</v>
      </c>
      <c r="C26425" s="38" t="s">
        <v>30910</v>
      </c>
      <c r="D26425" s="38" t="str">
        <f>IFERROR(__xludf.DUMMYFUNCTION("REGEXREPLACE(C26425,""-\d+(.*)|--\d+(.*)"","""")"),"PLELAN-LE-GRAND")</f>
        <v>PLELAN-LE-GRAND</v>
      </c>
      <c r="E26425" s="38" t="s">
        <v>347</v>
      </c>
      <c r="F26425" s="38" t="s">
        <v>90</v>
      </c>
      <c r="G26425" s="49" t="str">
        <f t="shared" si="1"/>
        <v>35380</v>
      </c>
      <c r="H26425" s="49">
        <f t="shared" si="2"/>
        <v>35223</v>
      </c>
    </row>
    <row r="26426">
      <c r="A26426" s="48" t="s">
        <v>3693</v>
      </c>
      <c r="B26426" s="38">
        <v>24585.0</v>
      </c>
      <c r="C26426" s="38" t="s">
        <v>30911</v>
      </c>
      <c r="D26426" s="38" t="str">
        <f>IFERROR(__xludf.DUMMYFUNCTION("REGEXREPLACE(C26426,""-\d+(.*)|--\d+(.*)"","""")"),"VILLEFRANCHE-DU-PERIGORD")</f>
        <v>VILLEFRANCHE-DU-PERIGORD</v>
      </c>
      <c r="E26426" s="38" t="s">
        <v>261</v>
      </c>
      <c r="F26426" s="38" t="s">
        <v>252</v>
      </c>
      <c r="G26426" s="49" t="str">
        <f t="shared" si="1"/>
        <v>24550</v>
      </c>
      <c r="H26426" s="49">
        <f t="shared" si="2"/>
        <v>24585</v>
      </c>
    </row>
    <row r="26427">
      <c r="A26427" s="48" t="s">
        <v>3233</v>
      </c>
      <c r="B26427" s="38">
        <v>54034.0</v>
      </c>
      <c r="C26427" s="38" t="s">
        <v>3680</v>
      </c>
      <c r="D26427" s="38" t="str">
        <f>IFERROR(__xludf.DUMMYFUNCTION("REGEXREPLACE(C26427,""-\d+(.*)|--\d+(.*)"","""")"),"AVRAINVILLE")</f>
        <v>AVRAINVILLE</v>
      </c>
      <c r="E26427" s="38" t="s">
        <v>548</v>
      </c>
      <c r="F26427" s="38" t="s">
        <v>195</v>
      </c>
      <c r="G26427" s="49" t="str">
        <f t="shared" si="1"/>
        <v>54385</v>
      </c>
      <c r="H26427" s="49">
        <f t="shared" si="2"/>
        <v>54034</v>
      </c>
    </row>
    <row r="26428">
      <c r="A26428" s="48" t="s">
        <v>30912</v>
      </c>
      <c r="B26428" s="38">
        <v>67337.0</v>
      </c>
      <c r="C26428" s="38" t="s">
        <v>30913</v>
      </c>
      <c r="D26428" s="38" t="str">
        <f>IFERROR(__xludf.DUMMYFUNCTION("REGEXREPLACE(C26428,""-\d+(.*)|--\d+(.*)"","""")"),"NOTHALTEN")</f>
        <v>NOTHALTEN</v>
      </c>
      <c r="E26428" s="38" t="s">
        <v>210</v>
      </c>
      <c r="F26428" s="38" t="s">
        <v>151</v>
      </c>
      <c r="G26428" s="49" t="str">
        <f t="shared" si="1"/>
        <v>67680</v>
      </c>
      <c r="H26428" s="49">
        <f t="shared" si="2"/>
        <v>67337</v>
      </c>
    </row>
    <row r="26429">
      <c r="A26429" s="48" t="s">
        <v>16706</v>
      </c>
      <c r="B26429" s="38">
        <v>82133.0</v>
      </c>
      <c r="C26429" s="38" t="s">
        <v>4901</v>
      </c>
      <c r="D26429" s="38" t="str">
        <f>IFERROR(__xludf.DUMMYFUNCTION("REGEXREPLACE(C26429,""-\d+(.*)|--\d+(.*)"","""")"),"MOUILLAC")</f>
        <v>MOUILLAC</v>
      </c>
      <c r="E26429" s="38" t="s">
        <v>570</v>
      </c>
      <c r="F26429" s="38" t="s">
        <v>94</v>
      </c>
      <c r="G26429" s="49" t="str">
        <f t="shared" si="1"/>
        <v>82160</v>
      </c>
      <c r="H26429" s="49">
        <f t="shared" si="2"/>
        <v>82133</v>
      </c>
    </row>
    <row r="26430">
      <c r="A26430" s="48" t="s">
        <v>3301</v>
      </c>
      <c r="B26430" s="38">
        <v>58199.0</v>
      </c>
      <c r="C26430" s="38" t="s">
        <v>30914</v>
      </c>
      <c r="D26430" s="38" t="str">
        <f>IFERROR(__xludf.DUMMYFUNCTION("REGEXREPLACE(C26430,""-\d+(.*)|--\d+(.*)"","""")"),"ONLAY")</f>
        <v>ONLAY</v>
      </c>
      <c r="E26430" s="38" t="s">
        <v>219</v>
      </c>
      <c r="F26430" s="38" t="s">
        <v>106</v>
      </c>
      <c r="G26430" s="49" t="str">
        <f t="shared" si="1"/>
        <v>58370</v>
      </c>
      <c r="H26430" s="49">
        <f t="shared" si="2"/>
        <v>58199</v>
      </c>
    </row>
    <row r="26431">
      <c r="A26431" s="48" t="s">
        <v>4121</v>
      </c>
      <c r="B26431" s="38">
        <v>11308.0</v>
      </c>
      <c r="C26431" s="38" t="s">
        <v>30915</v>
      </c>
      <c r="D26431" s="38" t="str">
        <f>IFERROR(__xludf.DUMMYFUNCTION("REGEXREPLACE(C26431,""-\d+(.*)|--\d+(.*)"","""")"),"RAISSAC-SUR-LAMPY")</f>
        <v>RAISSAC-SUR-LAMPY</v>
      </c>
      <c r="E26431" s="38" t="s">
        <v>278</v>
      </c>
      <c r="F26431" s="38" t="s">
        <v>119</v>
      </c>
      <c r="G26431" s="49" t="str">
        <f t="shared" si="1"/>
        <v>11170</v>
      </c>
      <c r="H26431" s="49">
        <f t="shared" si="2"/>
        <v>11308</v>
      </c>
    </row>
    <row r="26432">
      <c r="A26432" s="48" t="s">
        <v>26913</v>
      </c>
      <c r="B26432" s="38">
        <v>38472.0</v>
      </c>
      <c r="C26432" s="38" t="s">
        <v>30916</v>
      </c>
      <c r="D26432" s="38" t="str">
        <f>IFERROR(__xludf.DUMMYFUNCTION("REGEXREPLACE(C26432,""-\d+(.*)|--\d+(.*)"","""")"),"SARCENAS")</f>
        <v>SARCENAS</v>
      </c>
      <c r="E26432" s="38" t="s">
        <v>101</v>
      </c>
      <c r="F26432" s="38" t="s">
        <v>102</v>
      </c>
      <c r="G26432" s="49" t="str">
        <f t="shared" si="1"/>
        <v>38700</v>
      </c>
      <c r="H26432" s="49">
        <f t="shared" si="2"/>
        <v>38472</v>
      </c>
    </row>
    <row r="26433">
      <c r="A26433" s="48" t="s">
        <v>898</v>
      </c>
      <c r="B26433" s="38">
        <v>54134.0</v>
      </c>
      <c r="C26433" s="38" t="s">
        <v>30917</v>
      </c>
      <c r="D26433" s="38" t="str">
        <f>IFERROR(__xludf.DUMMYFUNCTION("REGEXREPLACE(C26433,""-\d+(.*)|--\d+(.*)"","""")"),"COLMEY")</f>
        <v>COLMEY</v>
      </c>
      <c r="E26433" s="38" t="s">
        <v>548</v>
      </c>
      <c r="F26433" s="38" t="s">
        <v>195</v>
      </c>
      <c r="G26433" s="49" t="str">
        <f t="shared" si="1"/>
        <v>54260</v>
      </c>
      <c r="H26433" s="49">
        <f t="shared" si="2"/>
        <v>54134</v>
      </c>
    </row>
    <row r="26434">
      <c r="A26434" s="48" t="s">
        <v>2594</v>
      </c>
      <c r="B26434" s="38">
        <v>69077.0</v>
      </c>
      <c r="C26434" s="38" t="s">
        <v>30918</v>
      </c>
      <c r="D26434" s="38" t="str">
        <f>IFERROR(__xludf.DUMMYFUNCTION("REGEXREPLACE(C26434,""-\d+(.*)|--\d+(.*)"","""")"),"DRACE")</f>
        <v>DRACE</v>
      </c>
      <c r="E26434" s="38" t="s">
        <v>350</v>
      </c>
      <c r="F26434" s="38" t="s">
        <v>102</v>
      </c>
      <c r="G26434" s="49" t="str">
        <f t="shared" si="1"/>
        <v>69220</v>
      </c>
      <c r="H26434" s="49">
        <f t="shared" si="2"/>
        <v>69077</v>
      </c>
    </row>
    <row r="26435">
      <c r="A26435" s="48" t="s">
        <v>10916</v>
      </c>
      <c r="B26435" s="38">
        <v>40256.0</v>
      </c>
      <c r="C26435" s="38" t="s">
        <v>30919</v>
      </c>
      <c r="D26435" s="38" t="str">
        <f>IFERROR(__xludf.DUMMYFUNCTION("REGEXREPLACE(C26435,""-\d+(.*)|--\d+(.*)"","""")"),"SAINT-ETIENNE-D'ORTHE")</f>
        <v>SAINT-ETIENNE-D'ORTHE</v>
      </c>
      <c r="E26435" s="38" t="s">
        <v>281</v>
      </c>
      <c r="F26435" s="38" t="s">
        <v>252</v>
      </c>
      <c r="G26435" s="49" t="str">
        <f t="shared" si="1"/>
        <v>40300</v>
      </c>
      <c r="H26435" s="49">
        <f t="shared" si="2"/>
        <v>40256</v>
      </c>
    </row>
    <row r="26436">
      <c r="A26436" s="48" t="s">
        <v>1293</v>
      </c>
      <c r="B26436" s="38">
        <v>25145.0</v>
      </c>
      <c r="C26436" s="38" t="s">
        <v>30920</v>
      </c>
      <c r="D26436" s="38" t="str">
        <f>IFERROR(__xludf.DUMMYFUNCTION("REGEXREPLACE(C26436,""-\d+(.*)|--\d+(.*)"","""")"),"CHAZOT")</f>
        <v>CHAZOT</v>
      </c>
      <c r="E26436" s="38" t="s">
        <v>213</v>
      </c>
      <c r="F26436" s="38" t="s">
        <v>214</v>
      </c>
      <c r="G26436" s="49" t="str">
        <f t="shared" si="1"/>
        <v>25430</v>
      </c>
      <c r="H26436" s="49">
        <f t="shared" si="2"/>
        <v>25145</v>
      </c>
    </row>
    <row r="26437">
      <c r="A26437" s="48" t="s">
        <v>8167</v>
      </c>
      <c r="B26437" s="38">
        <v>41254.0</v>
      </c>
      <c r="C26437" s="38" t="s">
        <v>24156</v>
      </c>
      <c r="D26437" s="38" t="str">
        <f>IFERROR(__xludf.DUMMYFUNCTION("REGEXREPLACE(C26437,""-\d+(.*)|--\d+(.*)"","""")"),"LE TEMPLE")</f>
        <v>LE TEMPLE</v>
      </c>
      <c r="E26437" s="38" t="s">
        <v>188</v>
      </c>
      <c r="F26437" s="38" t="s">
        <v>123</v>
      </c>
      <c r="G26437" s="49" t="str">
        <f t="shared" si="1"/>
        <v>41170</v>
      </c>
      <c r="H26437" s="49">
        <f t="shared" si="2"/>
        <v>41254</v>
      </c>
    </row>
    <row r="26438">
      <c r="A26438" s="48" t="s">
        <v>220</v>
      </c>
      <c r="B26438" s="38">
        <v>67470.0</v>
      </c>
      <c r="C26438" s="38" t="s">
        <v>30921</v>
      </c>
      <c r="D26438" s="38" t="str">
        <f>IFERROR(__xludf.DUMMYFUNCTION("REGEXREPLACE(C26438,""-\d+(.*)|--\d+(.*)"","""")"),"SOLBACH")</f>
        <v>SOLBACH</v>
      </c>
      <c r="E26438" s="38" t="s">
        <v>210</v>
      </c>
      <c r="F26438" s="38" t="s">
        <v>151</v>
      </c>
      <c r="G26438" s="49" t="str">
        <f t="shared" si="1"/>
        <v>67130</v>
      </c>
      <c r="H26438" s="49">
        <f t="shared" si="2"/>
        <v>67470</v>
      </c>
    </row>
    <row r="26439">
      <c r="A26439" s="48" t="s">
        <v>6308</v>
      </c>
      <c r="B26439" s="38">
        <v>62713.0</v>
      </c>
      <c r="C26439" s="38" t="s">
        <v>30922</v>
      </c>
      <c r="D26439" s="38" t="str">
        <f>IFERROR(__xludf.DUMMYFUNCTION("REGEXREPLACE(C26439,""-\d+(.*)|--\d+(.*)"","""")"),"ROBECQ")</f>
        <v>ROBECQ</v>
      </c>
      <c r="E26439" s="38" t="s">
        <v>109</v>
      </c>
      <c r="F26439" s="38" t="s">
        <v>86</v>
      </c>
      <c r="G26439" s="49" t="str">
        <f t="shared" si="1"/>
        <v>62350</v>
      </c>
      <c r="H26439" s="49">
        <f t="shared" si="2"/>
        <v>62713</v>
      </c>
    </row>
    <row r="26440">
      <c r="A26440" s="48" t="s">
        <v>4032</v>
      </c>
      <c r="B26440" s="38">
        <v>17313.0</v>
      </c>
      <c r="C26440" s="38" t="s">
        <v>30923</v>
      </c>
      <c r="D26440" s="38" t="str">
        <f>IFERROR(__xludf.DUMMYFUNCTION("REGEXREPLACE(C26440,""-\d+(.*)|--\d+(.*)"","""")"),"SAINT-BRIS-DES-BOIS")</f>
        <v>SAINT-BRIS-DES-BOIS</v>
      </c>
      <c r="E26440" s="38" t="s">
        <v>488</v>
      </c>
      <c r="F26440" s="38" t="s">
        <v>338</v>
      </c>
      <c r="G26440" s="49" t="str">
        <f t="shared" si="1"/>
        <v>17770</v>
      </c>
      <c r="H26440" s="49">
        <f t="shared" si="2"/>
        <v>17313</v>
      </c>
    </row>
    <row r="26441">
      <c r="A26441" s="48" t="s">
        <v>30924</v>
      </c>
      <c r="B26441" s="38">
        <v>42207.0</v>
      </c>
      <c r="C26441" s="38" t="s">
        <v>30925</v>
      </c>
      <c r="D26441" s="38" t="str">
        <f>IFERROR(__xludf.DUMMYFUNCTION("REGEXREPLACE(C26441,""-\d+(.*)|--\d+(.*)"","""")"),"SAINT-CHAMOND")</f>
        <v>SAINT-CHAMOND</v>
      </c>
      <c r="E26441" s="38" t="s">
        <v>166</v>
      </c>
      <c r="F26441" s="38" t="s">
        <v>102</v>
      </c>
      <c r="G26441" s="49" t="str">
        <f t="shared" si="1"/>
        <v>42400</v>
      </c>
      <c r="H26441" s="49">
        <f t="shared" si="2"/>
        <v>42207</v>
      </c>
    </row>
    <row r="26442">
      <c r="A26442" s="48" t="s">
        <v>2955</v>
      </c>
      <c r="B26442" s="38">
        <v>76337.0</v>
      </c>
      <c r="C26442" s="38" t="s">
        <v>30926</v>
      </c>
      <c r="D26442" s="38" t="str">
        <f>IFERROR(__xludf.DUMMYFUNCTION("REGEXREPLACE(C26442,""-\d+(.*)|--\d+(.*)"","""")"),"GUILMECOURT")</f>
        <v>GUILMECOURT</v>
      </c>
      <c r="E26442" s="38" t="s">
        <v>133</v>
      </c>
      <c r="F26442" s="38" t="s">
        <v>134</v>
      </c>
      <c r="G26442" s="49" t="str">
        <f t="shared" si="1"/>
        <v>76630</v>
      </c>
      <c r="H26442" s="49">
        <f t="shared" si="2"/>
        <v>76337</v>
      </c>
    </row>
    <row r="26443">
      <c r="A26443" s="48" t="s">
        <v>3986</v>
      </c>
      <c r="B26443" s="38">
        <v>62045.0</v>
      </c>
      <c r="C26443" s="38" t="s">
        <v>30927</v>
      </c>
      <c r="D26443" s="38" t="str">
        <f>IFERROR(__xludf.DUMMYFUNCTION("REGEXREPLACE(C26443,""-\d+(.*)|--\d+(.*)"","""")"),"AUBIGNY-EN-ARTOIS")</f>
        <v>AUBIGNY-EN-ARTOIS</v>
      </c>
      <c r="E26443" s="38" t="s">
        <v>109</v>
      </c>
      <c r="F26443" s="38" t="s">
        <v>86</v>
      </c>
      <c r="G26443" s="49" t="str">
        <f t="shared" si="1"/>
        <v>62690</v>
      </c>
      <c r="H26443" s="49">
        <f t="shared" si="2"/>
        <v>62045</v>
      </c>
    </row>
    <row r="26444">
      <c r="A26444" s="48" t="s">
        <v>4563</v>
      </c>
      <c r="B26444" s="38">
        <v>38002.0</v>
      </c>
      <c r="C26444" s="38" t="s">
        <v>30928</v>
      </c>
      <c r="D26444" s="38" t="str">
        <f>IFERROR(__xludf.DUMMYFUNCTION("REGEXREPLACE(C26444,""-\d+(.*)|--\d+(.*)"","""")"),"LES ADRETS")</f>
        <v>LES ADRETS</v>
      </c>
      <c r="E26444" s="38" t="s">
        <v>101</v>
      </c>
      <c r="F26444" s="38" t="s">
        <v>102</v>
      </c>
      <c r="G26444" s="49" t="str">
        <f t="shared" si="1"/>
        <v>38190</v>
      </c>
      <c r="H26444" s="49">
        <f t="shared" si="2"/>
        <v>38002</v>
      </c>
    </row>
    <row r="26445">
      <c r="A26445" s="48" t="s">
        <v>30929</v>
      </c>
      <c r="B26445" s="38">
        <v>52044.0</v>
      </c>
      <c r="C26445" s="38" t="s">
        <v>30930</v>
      </c>
      <c r="D26445" s="38" t="str">
        <f>IFERROR(__xludf.DUMMYFUNCTION("REGEXREPLACE(C26445,""-\d+(.*)|--\d+(.*)"","""")"),"ROCHES-BETTAINCOURT")</f>
        <v>ROCHES-BETTAINCOURT</v>
      </c>
      <c r="E26445" s="38" t="s">
        <v>234</v>
      </c>
      <c r="F26445" s="38" t="s">
        <v>130</v>
      </c>
      <c r="G26445" s="49" t="str">
        <f t="shared" si="1"/>
        <v>52270</v>
      </c>
      <c r="H26445" s="49">
        <f t="shared" si="2"/>
        <v>52044</v>
      </c>
    </row>
    <row r="26446">
      <c r="A26446" s="48" t="s">
        <v>13501</v>
      </c>
      <c r="B26446" s="38">
        <v>31002.0</v>
      </c>
      <c r="C26446" s="38" t="s">
        <v>30931</v>
      </c>
      <c r="D26446" s="38" t="str">
        <f>IFERROR(__xludf.DUMMYFUNCTION("REGEXREPLACE(C26446,""-\d+(.*)|--\d+(.*)"","""")"),"AIGNES")</f>
        <v>AIGNES</v>
      </c>
      <c r="E26446" s="38" t="s">
        <v>93</v>
      </c>
      <c r="F26446" s="38" t="s">
        <v>94</v>
      </c>
      <c r="G26446" s="49" t="str">
        <f t="shared" si="1"/>
        <v>31550</v>
      </c>
      <c r="H26446" s="49">
        <f t="shared" si="2"/>
        <v>31002</v>
      </c>
    </row>
    <row r="26447">
      <c r="A26447" s="48" t="s">
        <v>29024</v>
      </c>
      <c r="B26447" s="38">
        <v>95541.0</v>
      </c>
      <c r="C26447" s="38" t="s">
        <v>30932</v>
      </c>
      <c r="D26447" s="38" t="str">
        <f>IFERROR(__xludf.DUMMYFUNCTION("REGEXREPLACE(C26447,""-\d+(.*)|--\d+(.*)"","""")"),"SAINT-CLAIR-SUR-EPTE")</f>
        <v>SAINT-CLAIR-SUR-EPTE</v>
      </c>
      <c r="E26447" s="38" t="s">
        <v>541</v>
      </c>
      <c r="F26447" s="38" t="s">
        <v>245</v>
      </c>
      <c r="G26447" s="49" t="str">
        <f t="shared" si="1"/>
        <v>95770</v>
      </c>
      <c r="H26447" s="49">
        <f t="shared" si="2"/>
        <v>95541</v>
      </c>
    </row>
    <row r="26448">
      <c r="A26448" s="48" t="s">
        <v>162</v>
      </c>
      <c r="B26448" s="38">
        <v>31469.0</v>
      </c>
      <c r="C26448" s="38" t="s">
        <v>30933</v>
      </c>
      <c r="D26448" s="38" t="str">
        <f>IFERROR(__xludf.DUMMYFUNCTION("REGEXREPLACE(C26448,""-\d+(.*)|--\d+(.*)"","""")"),"SAINT-ARAILLE")</f>
        <v>SAINT-ARAILLE</v>
      </c>
      <c r="E26448" s="38" t="s">
        <v>93</v>
      </c>
      <c r="F26448" s="38" t="s">
        <v>94</v>
      </c>
      <c r="G26448" s="49" t="str">
        <f t="shared" si="1"/>
        <v>31430</v>
      </c>
      <c r="H26448" s="49">
        <f t="shared" si="2"/>
        <v>31469</v>
      </c>
    </row>
    <row r="26449">
      <c r="A26449" s="48" t="s">
        <v>4181</v>
      </c>
      <c r="B26449" s="38">
        <v>89300.0</v>
      </c>
      <c r="C26449" s="38" t="s">
        <v>30934</v>
      </c>
      <c r="D26449" s="38" t="str">
        <f>IFERROR(__xludf.DUMMYFUNCTION("REGEXREPLACE(C26449,""-\d+(.*)|--\d+(.*)"","""")"),"PISY")</f>
        <v>PISY</v>
      </c>
      <c r="E26449" s="38" t="s">
        <v>275</v>
      </c>
      <c r="F26449" s="38" t="s">
        <v>106</v>
      </c>
      <c r="G26449" s="49" t="str">
        <f t="shared" si="1"/>
        <v>89420</v>
      </c>
      <c r="H26449" s="49">
        <f t="shared" si="2"/>
        <v>89300</v>
      </c>
    </row>
    <row r="26450">
      <c r="A26450" s="48" t="s">
        <v>715</v>
      </c>
      <c r="B26450" s="38">
        <v>88071.0</v>
      </c>
      <c r="C26450" s="38" t="s">
        <v>30935</v>
      </c>
      <c r="D26450" s="38" t="str">
        <f>IFERROR(__xludf.DUMMYFUNCTION("REGEXREPLACE(C26450,""-\d+(.*)|--\d+(.*)"","""")"),"BOUZEMONT")</f>
        <v>BOUZEMONT</v>
      </c>
      <c r="E26450" s="38" t="s">
        <v>194</v>
      </c>
      <c r="F26450" s="38" t="s">
        <v>195</v>
      </c>
      <c r="G26450" s="49" t="str">
        <f t="shared" si="1"/>
        <v>88270</v>
      </c>
      <c r="H26450" s="49">
        <f t="shared" si="2"/>
        <v>88071</v>
      </c>
    </row>
    <row r="26451">
      <c r="A26451" s="48" t="s">
        <v>30936</v>
      </c>
      <c r="B26451" s="38">
        <v>50203.0</v>
      </c>
      <c r="C26451" s="38" t="s">
        <v>30937</v>
      </c>
      <c r="D26451" s="38" t="str">
        <f>IFERROR(__xludf.DUMMYFUNCTION("REGEXREPLACE(C26451,""-\d+(.*)|--\d+(.*)"","""")"),"LA GLACERIE")</f>
        <v>LA GLACERIE</v>
      </c>
      <c r="E26451" s="38" t="s">
        <v>157</v>
      </c>
      <c r="F26451" s="38" t="s">
        <v>138</v>
      </c>
      <c r="G26451" s="49" t="str">
        <f t="shared" si="1"/>
        <v>50470</v>
      </c>
      <c r="H26451" s="49">
        <f t="shared" si="2"/>
        <v>50203</v>
      </c>
    </row>
    <row r="26452">
      <c r="A26452" s="48" t="s">
        <v>7166</v>
      </c>
      <c r="B26452" s="38">
        <v>52282.0</v>
      </c>
      <c r="C26452" s="38" t="s">
        <v>30938</v>
      </c>
      <c r="D26452" s="38" t="str">
        <f>IFERROR(__xludf.DUMMYFUNCTION("REGEXREPLACE(C26452,""-\d+(.*)|--\d+(.*)"","""")"),"LEFFONDS")</f>
        <v>LEFFONDS</v>
      </c>
      <c r="E26452" s="38" t="s">
        <v>234</v>
      </c>
      <c r="F26452" s="38" t="s">
        <v>130</v>
      </c>
      <c r="G26452" s="49" t="str">
        <f t="shared" si="1"/>
        <v>52210</v>
      </c>
      <c r="H26452" s="49">
        <f t="shared" si="2"/>
        <v>52282</v>
      </c>
    </row>
    <row r="26453">
      <c r="A26453" s="48" t="s">
        <v>10227</v>
      </c>
      <c r="B26453" s="38">
        <v>16135.0</v>
      </c>
      <c r="C26453" s="38" t="s">
        <v>30939</v>
      </c>
      <c r="D26453" s="38" t="str">
        <f>IFERROR(__xludf.DUMMYFUNCTION("REGEXREPLACE(C26453,""-\d+(.*)|--\d+(.*)"","""")"),"EYMOUTHIERS")</f>
        <v>EYMOUTHIERS</v>
      </c>
      <c r="E26453" s="38" t="s">
        <v>429</v>
      </c>
      <c r="F26453" s="38" t="s">
        <v>338</v>
      </c>
      <c r="G26453" s="49" t="str">
        <f t="shared" si="1"/>
        <v>16220</v>
      </c>
      <c r="H26453" s="49">
        <f t="shared" si="2"/>
        <v>16135</v>
      </c>
    </row>
    <row r="26454">
      <c r="A26454" s="48" t="s">
        <v>20399</v>
      </c>
      <c r="B26454" s="38">
        <v>81208.0</v>
      </c>
      <c r="C26454" s="38" t="s">
        <v>30940</v>
      </c>
      <c r="D26454" s="38" t="str">
        <f>IFERROR(__xludf.DUMMYFUNCTION("REGEXREPLACE(C26454,""-\d+(.*)|--\d+(.*)"","""")"),"PEYROLE")</f>
        <v>PEYROLE</v>
      </c>
      <c r="E26454" s="38" t="s">
        <v>231</v>
      </c>
      <c r="F26454" s="38" t="s">
        <v>94</v>
      </c>
      <c r="G26454" s="49" t="str">
        <f t="shared" si="1"/>
        <v>81310</v>
      </c>
      <c r="H26454" s="49">
        <f t="shared" si="2"/>
        <v>81208</v>
      </c>
    </row>
    <row r="26455">
      <c r="A26455" s="48" t="s">
        <v>419</v>
      </c>
      <c r="B26455" s="38">
        <v>57227.0</v>
      </c>
      <c r="C26455" s="38" t="s">
        <v>30941</v>
      </c>
      <c r="D26455" s="38" t="str">
        <f>IFERROR(__xludf.DUMMYFUNCTION("REGEXREPLACE(C26455,""-\d+(.*)|--\d+(.*)"","""")"),"FORBACH")</f>
        <v>FORBACH</v>
      </c>
      <c r="E26455" s="38" t="s">
        <v>303</v>
      </c>
      <c r="F26455" s="38" t="s">
        <v>195</v>
      </c>
      <c r="G26455" s="49" t="str">
        <f t="shared" si="1"/>
        <v>57600</v>
      </c>
      <c r="H26455" s="49">
        <f t="shared" si="2"/>
        <v>57227</v>
      </c>
    </row>
    <row r="26456">
      <c r="A26456" s="48" t="s">
        <v>1970</v>
      </c>
      <c r="B26456" s="38">
        <v>74165.0</v>
      </c>
      <c r="C26456" s="38" t="s">
        <v>30942</v>
      </c>
      <c r="D26456" s="38" t="str">
        <f>IFERROR(__xludf.DUMMYFUNCTION("REGEXREPLACE(C26456,""-\d+(.*)|--\d+(.*)"","""")"),"MARIGNY-SAINT-MARCEL")</f>
        <v>MARIGNY-SAINT-MARCEL</v>
      </c>
      <c r="E26456" s="38" t="s">
        <v>319</v>
      </c>
      <c r="F26456" s="38" t="s">
        <v>102</v>
      </c>
      <c r="G26456" s="49" t="str">
        <f t="shared" si="1"/>
        <v>74150</v>
      </c>
      <c r="H26456" s="49">
        <f t="shared" si="2"/>
        <v>74165</v>
      </c>
    </row>
    <row r="26457">
      <c r="A26457" s="48" t="s">
        <v>30943</v>
      </c>
      <c r="B26457" s="38">
        <v>95582.0</v>
      </c>
      <c r="C26457" s="38" t="s">
        <v>30944</v>
      </c>
      <c r="D26457" s="38" t="str">
        <f>IFERROR(__xludf.DUMMYFUNCTION("REGEXREPLACE(C26457,""-\d+(.*)|--\d+(.*)"","""")"),"SANNOIS")</f>
        <v>SANNOIS</v>
      </c>
      <c r="E26457" s="38" t="s">
        <v>541</v>
      </c>
      <c r="F26457" s="38" t="s">
        <v>245</v>
      </c>
      <c r="G26457" s="49" t="str">
        <f t="shared" si="1"/>
        <v>95110</v>
      </c>
      <c r="H26457" s="49">
        <f t="shared" si="2"/>
        <v>95582</v>
      </c>
    </row>
    <row r="26458">
      <c r="A26458" s="48" t="s">
        <v>10627</v>
      </c>
      <c r="B26458" s="38">
        <v>83091.0</v>
      </c>
      <c r="C26458" s="38" t="s">
        <v>30945</v>
      </c>
      <c r="D26458" s="38" t="str">
        <f>IFERROR(__xludf.DUMMYFUNCTION("REGEXREPLACE(C26458,""-\d+(.*)|--\d+(.*)"","""")"),"PIERREFEU-DU-VAR")</f>
        <v>PIERREFEU-DU-VAR</v>
      </c>
      <c r="E26458" s="38" t="s">
        <v>813</v>
      </c>
      <c r="F26458" s="38" t="s">
        <v>228</v>
      </c>
      <c r="G26458" s="49" t="str">
        <f t="shared" si="1"/>
        <v>83390</v>
      </c>
      <c r="H26458" s="49">
        <f t="shared" si="2"/>
        <v>83091</v>
      </c>
    </row>
    <row r="26459">
      <c r="A26459" s="48" t="s">
        <v>15574</v>
      </c>
      <c r="B26459" s="38">
        <v>95308.0</v>
      </c>
      <c r="C26459" s="38" t="s">
        <v>30946</v>
      </c>
      <c r="D26459" s="38" t="str">
        <f>IFERROR(__xludf.DUMMYFUNCTION("REGEXREPLACE(C26459,""-\d+(.*)|--\d+(.*)"","""")"),"HEROUVILLE")</f>
        <v>HEROUVILLE</v>
      </c>
      <c r="E26459" s="38" t="s">
        <v>541</v>
      </c>
      <c r="F26459" s="38" t="s">
        <v>245</v>
      </c>
      <c r="G26459" s="49" t="str">
        <f t="shared" si="1"/>
        <v>95300</v>
      </c>
      <c r="H26459" s="49">
        <f t="shared" si="2"/>
        <v>95308</v>
      </c>
    </row>
    <row r="26460">
      <c r="A26460" s="48" t="s">
        <v>13405</v>
      </c>
      <c r="B26460" s="38">
        <v>28200.0</v>
      </c>
      <c r="C26460" s="38" t="s">
        <v>30947</v>
      </c>
      <c r="D26460" s="38" t="str">
        <f>IFERROR(__xludf.DUMMYFUNCTION("REGEXREPLACE(C26460,""-\d+(.*)|--\d+(.*)"","""")"),"JAUDRAIS")</f>
        <v>JAUDRAIS</v>
      </c>
      <c r="E26460" s="38" t="s">
        <v>300</v>
      </c>
      <c r="F26460" s="38" t="s">
        <v>123</v>
      </c>
      <c r="G26460" s="49" t="str">
        <f t="shared" si="1"/>
        <v>28250</v>
      </c>
      <c r="H26460" s="49">
        <f t="shared" si="2"/>
        <v>28200</v>
      </c>
    </row>
    <row r="26461">
      <c r="A26461" s="48" t="s">
        <v>6338</v>
      </c>
      <c r="B26461" s="38">
        <v>79279.0</v>
      </c>
      <c r="C26461" s="38" t="s">
        <v>30948</v>
      </c>
      <c r="D26461" s="38" t="str">
        <f>IFERROR(__xludf.DUMMYFUNCTION("REGEXREPLACE(C26461,""-\d+(.*)|--\d+(.*)"","""")"),"SAINT-MARTIN-LES-MELLE")</f>
        <v>SAINT-MARTIN-LES-MELLE</v>
      </c>
      <c r="E26461" s="38" t="s">
        <v>337</v>
      </c>
      <c r="F26461" s="38" t="s">
        <v>338</v>
      </c>
      <c r="G26461" s="49" t="str">
        <f t="shared" si="1"/>
        <v>79500</v>
      </c>
      <c r="H26461" s="49">
        <f t="shared" si="2"/>
        <v>79279</v>
      </c>
    </row>
    <row r="26462">
      <c r="A26462" s="48" t="s">
        <v>4065</v>
      </c>
      <c r="B26462" s="38">
        <v>21537.0</v>
      </c>
      <c r="C26462" s="38" t="s">
        <v>30949</v>
      </c>
      <c r="D26462" s="38" t="str">
        <f>IFERROR(__xludf.DUMMYFUNCTION("REGEXREPLACE(C26462,""-\d+(.*)|--\d+(.*)"","""")"),"SAFFRES")</f>
        <v>SAFFRES</v>
      </c>
      <c r="E26462" s="38" t="s">
        <v>105</v>
      </c>
      <c r="F26462" s="38" t="s">
        <v>106</v>
      </c>
      <c r="G26462" s="49" t="str">
        <f t="shared" si="1"/>
        <v>21350</v>
      </c>
      <c r="H26462" s="49">
        <f t="shared" si="2"/>
        <v>21537</v>
      </c>
    </row>
    <row r="26463">
      <c r="A26463" s="48" t="s">
        <v>1999</v>
      </c>
      <c r="B26463" s="38">
        <v>2161.0</v>
      </c>
      <c r="C26463" s="38" t="s">
        <v>30950</v>
      </c>
      <c r="D26463" s="38" t="str">
        <f>IFERROR(__xludf.DUMMYFUNCTION("REGEXREPLACE(C26463,""-\d+(.*)|--\d+(.*)"","""")"),"LA CHAPELLE-MONTHODON")</f>
        <v>LA CHAPELLE-MONTHODON</v>
      </c>
      <c r="E26463" s="38" t="s">
        <v>191</v>
      </c>
      <c r="F26463" s="38" t="s">
        <v>113</v>
      </c>
      <c r="G26463" s="49" t="str">
        <f t="shared" si="1"/>
        <v>02330</v>
      </c>
      <c r="H26463" s="49" t="str">
        <f t="shared" si="2"/>
        <v>02161</v>
      </c>
    </row>
    <row r="26464">
      <c r="A26464" s="48" t="s">
        <v>12360</v>
      </c>
      <c r="B26464" s="38">
        <v>74081.0</v>
      </c>
      <c r="C26464" s="38" t="s">
        <v>30951</v>
      </c>
      <c r="D26464" s="38" t="str">
        <f>IFERROR(__xludf.DUMMYFUNCTION("REGEXREPLACE(C26464,""-\d+(.*)|--\d+(.*)"","""")"),"CLUSES")</f>
        <v>CLUSES</v>
      </c>
      <c r="E26464" s="38" t="s">
        <v>319</v>
      </c>
      <c r="F26464" s="38" t="s">
        <v>102</v>
      </c>
      <c r="G26464" s="49" t="str">
        <f t="shared" si="1"/>
        <v>74300</v>
      </c>
      <c r="H26464" s="49">
        <f t="shared" si="2"/>
        <v>74081</v>
      </c>
    </row>
    <row r="26465">
      <c r="A26465" s="48" t="s">
        <v>30952</v>
      </c>
      <c r="B26465" s="38">
        <v>22214.0</v>
      </c>
      <c r="C26465" s="38" t="s">
        <v>30953</v>
      </c>
      <c r="D26465" s="38" t="str">
        <f>IFERROR(__xludf.DUMMYFUNCTION("REGEXREPLACE(C26465,""-\d+(.*)|--\d+(.*)"","""")"),"PLOUEZEC")</f>
        <v>PLOUEZEC</v>
      </c>
      <c r="E26465" s="38" t="s">
        <v>89</v>
      </c>
      <c r="F26465" s="38" t="s">
        <v>90</v>
      </c>
      <c r="G26465" s="49" t="str">
        <f t="shared" si="1"/>
        <v>22470</v>
      </c>
      <c r="H26465" s="49">
        <f t="shared" si="2"/>
        <v>22214</v>
      </c>
    </row>
    <row r="26466">
      <c r="A26466" s="48" t="s">
        <v>26724</v>
      </c>
      <c r="B26466" s="38">
        <v>48132.0</v>
      </c>
      <c r="C26466" s="38" t="s">
        <v>30954</v>
      </c>
      <c r="D26466" s="38" t="str">
        <f>IFERROR(__xludf.DUMMYFUNCTION("REGEXREPLACE(C26466,""-\d+(.*)|--\d+(.*)"","""")"),"SAINT-ALBAN-SUR-LIMAGNOLE")</f>
        <v>SAINT-ALBAN-SUR-LIMAGNOLE</v>
      </c>
      <c r="E26466" s="38" t="s">
        <v>154</v>
      </c>
      <c r="F26466" s="38" t="s">
        <v>119</v>
      </c>
      <c r="G26466" s="49" t="str">
        <f t="shared" si="1"/>
        <v>48120</v>
      </c>
      <c r="H26466" s="49">
        <f t="shared" si="2"/>
        <v>48132</v>
      </c>
    </row>
    <row r="26467">
      <c r="A26467" s="48" t="s">
        <v>5012</v>
      </c>
      <c r="B26467" s="38">
        <v>55416.0</v>
      </c>
      <c r="C26467" s="38" t="s">
        <v>30955</v>
      </c>
      <c r="D26467" s="38" t="str">
        <f>IFERROR(__xludf.DUMMYFUNCTION("REGEXREPLACE(C26467,""-\d+(.*)|--\d+(.*)"","""")"),"RARECOURT")</f>
        <v>RARECOURT</v>
      </c>
      <c r="E26467" s="38" t="s">
        <v>322</v>
      </c>
      <c r="F26467" s="38" t="s">
        <v>195</v>
      </c>
      <c r="G26467" s="49" t="str">
        <f t="shared" si="1"/>
        <v>55120</v>
      </c>
      <c r="H26467" s="49">
        <f t="shared" si="2"/>
        <v>55416</v>
      </c>
    </row>
    <row r="26468">
      <c r="A26468" s="48" t="s">
        <v>5603</v>
      </c>
      <c r="B26468" s="38">
        <v>41205.0</v>
      </c>
      <c r="C26468" s="38" t="s">
        <v>30956</v>
      </c>
      <c r="D26468" s="38" t="str">
        <f>IFERROR(__xludf.DUMMYFUNCTION("REGEXREPLACE(C26468,""-\d+(.*)|--\d+(.*)"","""")"),"SAINT-CYR-DU-GAULT")</f>
        <v>SAINT-CYR-DU-GAULT</v>
      </c>
      <c r="E26468" s="38" t="s">
        <v>188</v>
      </c>
      <c r="F26468" s="38" t="s">
        <v>123</v>
      </c>
      <c r="G26468" s="49" t="str">
        <f t="shared" si="1"/>
        <v>41190</v>
      </c>
      <c r="H26468" s="49">
        <f t="shared" si="2"/>
        <v>41205</v>
      </c>
    </row>
    <row r="26469">
      <c r="A26469" s="48" t="s">
        <v>1621</v>
      </c>
      <c r="B26469" s="38">
        <v>64157.0</v>
      </c>
      <c r="C26469" s="38" t="s">
        <v>30957</v>
      </c>
      <c r="D26469" s="38" t="str">
        <f>IFERROR(__xludf.DUMMYFUNCTION("REGEXREPLACE(C26469,""-\d+(.*)|--\d+(.*)"","""")"),"BUZY")</f>
        <v>BUZY</v>
      </c>
      <c r="E26469" s="38" t="s">
        <v>268</v>
      </c>
      <c r="F26469" s="38" t="s">
        <v>252</v>
      </c>
      <c r="G26469" s="49" t="str">
        <f t="shared" si="1"/>
        <v>64260</v>
      </c>
      <c r="H26469" s="49">
        <f t="shared" si="2"/>
        <v>64157</v>
      </c>
    </row>
    <row r="26470">
      <c r="A26470" s="48" t="s">
        <v>30958</v>
      </c>
      <c r="B26470" s="38">
        <v>91479.0</v>
      </c>
      <c r="C26470" s="38" t="s">
        <v>30959</v>
      </c>
      <c r="D26470" s="38" t="str">
        <f>IFERROR(__xludf.DUMMYFUNCTION("REGEXREPLACE(C26470,""-\d+(.*)|--\d+(.*)"","""")"),"PARAY-VIEILLE-POSTE")</f>
        <v>PARAY-VIEILLE-POSTE</v>
      </c>
      <c r="E26470" s="38" t="s">
        <v>756</v>
      </c>
      <c r="F26470" s="38" t="s">
        <v>245</v>
      </c>
      <c r="G26470" s="49" t="str">
        <f t="shared" si="1"/>
        <v>91550</v>
      </c>
      <c r="H26470" s="49">
        <f t="shared" si="2"/>
        <v>91479</v>
      </c>
    </row>
    <row r="26471">
      <c r="A26471" s="48" t="s">
        <v>2406</v>
      </c>
      <c r="B26471" s="38">
        <v>55401.0</v>
      </c>
      <c r="C26471" s="38" t="s">
        <v>30960</v>
      </c>
      <c r="D26471" s="38" t="str">
        <f>IFERROR(__xludf.DUMMYFUNCTION("REGEXREPLACE(C26471,""-\d+(.*)|--\d+(.*)"","""")"),"LES PAROCHES")</f>
        <v>LES PAROCHES</v>
      </c>
      <c r="E26471" s="38" t="s">
        <v>322</v>
      </c>
      <c r="F26471" s="38" t="s">
        <v>195</v>
      </c>
      <c r="G26471" s="49" t="str">
        <f t="shared" si="1"/>
        <v>55300</v>
      </c>
      <c r="H26471" s="49">
        <f t="shared" si="2"/>
        <v>55401</v>
      </c>
    </row>
    <row r="26472">
      <c r="A26472" s="48" t="s">
        <v>5309</v>
      </c>
      <c r="B26472" s="38">
        <v>62863.0</v>
      </c>
      <c r="C26472" s="38" t="s">
        <v>30961</v>
      </c>
      <c r="D26472" s="38" t="str">
        <f>IFERROR(__xludf.DUMMYFUNCTION("REGEXREPLACE(C26472,""-\d+(.*)|--\d+(.*)"","""")"),"VIOLAINES")</f>
        <v>VIOLAINES</v>
      </c>
      <c r="E26472" s="38" t="s">
        <v>109</v>
      </c>
      <c r="F26472" s="38" t="s">
        <v>86</v>
      </c>
      <c r="G26472" s="49" t="str">
        <f t="shared" si="1"/>
        <v>62138</v>
      </c>
      <c r="H26472" s="49">
        <f t="shared" si="2"/>
        <v>62863</v>
      </c>
    </row>
    <row r="26473">
      <c r="A26473" s="48" t="s">
        <v>91</v>
      </c>
      <c r="B26473" s="38">
        <v>31280.0</v>
      </c>
      <c r="C26473" s="38" t="s">
        <v>30962</v>
      </c>
      <c r="D26473" s="38" t="str">
        <f>IFERROR(__xludf.DUMMYFUNCTION("REGEXREPLACE(C26473,""-\d+(.*)|--\d+(.*)"","""")"),"LATRAPE")</f>
        <v>LATRAPE</v>
      </c>
      <c r="E26473" s="38" t="s">
        <v>93</v>
      </c>
      <c r="F26473" s="38" t="s">
        <v>94</v>
      </c>
      <c r="G26473" s="49" t="str">
        <f t="shared" si="1"/>
        <v>31310</v>
      </c>
      <c r="H26473" s="49">
        <f t="shared" si="2"/>
        <v>31280</v>
      </c>
    </row>
    <row r="26474">
      <c r="A26474" s="48" t="s">
        <v>9688</v>
      </c>
      <c r="B26474" s="38">
        <v>23134.0</v>
      </c>
      <c r="C26474" s="38" t="s">
        <v>30963</v>
      </c>
      <c r="D26474" s="38" t="str">
        <f>IFERROR(__xludf.DUMMYFUNCTION("REGEXREPLACE(C26474,""-\d+(.*)|--\d+(.*)"","""")"),"LE MONTEIL-AU-VICOMTE")</f>
        <v>LE MONTEIL-AU-VICOMTE</v>
      </c>
      <c r="E26474" s="38" t="s">
        <v>97</v>
      </c>
      <c r="F26474" s="38" t="s">
        <v>98</v>
      </c>
      <c r="G26474" s="49" t="str">
        <f t="shared" si="1"/>
        <v>23460</v>
      </c>
      <c r="H26474" s="49">
        <f t="shared" si="2"/>
        <v>23134</v>
      </c>
    </row>
    <row r="26475">
      <c r="A26475" s="48" t="s">
        <v>13557</v>
      </c>
      <c r="B26475" s="38">
        <v>84008.0</v>
      </c>
      <c r="C26475" s="38" t="s">
        <v>30964</v>
      </c>
      <c r="D26475" s="38" t="str">
        <f>IFERROR(__xludf.DUMMYFUNCTION("REGEXREPLACE(C26475,""-\d+(.*)|--\d+(.*)"","""")"),"LE BARROUX")</f>
        <v>LE BARROUX</v>
      </c>
      <c r="E26475" s="38" t="s">
        <v>1026</v>
      </c>
      <c r="F26475" s="38" t="s">
        <v>228</v>
      </c>
      <c r="G26475" s="49" t="str">
        <f t="shared" si="1"/>
        <v>84330</v>
      </c>
      <c r="H26475" s="49">
        <f t="shared" si="2"/>
        <v>84008</v>
      </c>
    </row>
    <row r="26476">
      <c r="A26476" s="48" t="s">
        <v>3418</v>
      </c>
      <c r="B26476" s="38">
        <v>47018.0</v>
      </c>
      <c r="C26476" s="38" t="s">
        <v>30965</v>
      </c>
      <c r="D26476" s="38" t="str">
        <f>IFERROR(__xludf.DUMMYFUNCTION("REGEXREPLACE(C26476,""-\d+(.*)|--\d+(.*)"","""")"),"AURIAC-SUR-DROPT")</f>
        <v>AURIAC-SUR-DROPT</v>
      </c>
      <c r="E26476" s="38" t="s">
        <v>251</v>
      </c>
      <c r="F26476" s="38" t="s">
        <v>252</v>
      </c>
      <c r="G26476" s="49" t="str">
        <f t="shared" si="1"/>
        <v>47120</v>
      </c>
      <c r="H26476" s="49">
        <f t="shared" si="2"/>
        <v>47018</v>
      </c>
    </row>
    <row r="26477">
      <c r="A26477" s="48" t="s">
        <v>3289</v>
      </c>
      <c r="B26477" s="38">
        <v>50487.0</v>
      </c>
      <c r="C26477" s="38" t="s">
        <v>30966</v>
      </c>
      <c r="D26477" s="38" t="str">
        <f>IFERROR(__xludf.DUMMYFUNCTION("REGEXREPLACE(C26477,""-\d+(.*)|--\d+(.*)"","""")"),"SAINT-JAMES")</f>
        <v>SAINT-JAMES</v>
      </c>
      <c r="E26477" s="38" t="s">
        <v>157</v>
      </c>
      <c r="F26477" s="38" t="s">
        <v>138</v>
      </c>
      <c r="G26477" s="49" t="str">
        <f t="shared" si="1"/>
        <v>50240</v>
      </c>
      <c r="H26477" s="49">
        <f t="shared" si="2"/>
        <v>50487</v>
      </c>
    </row>
    <row r="26478">
      <c r="A26478" s="48" t="s">
        <v>363</v>
      </c>
      <c r="B26478" s="38">
        <v>35176.0</v>
      </c>
      <c r="C26478" s="38" t="s">
        <v>6088</v>
      </c>
      <c r="D26478" s="38" t="str">
        <f>IFERROR(__xludf.DUMMYFUNCTION("REGEXREPLACE(C26478,""-\d+(.*)|--\d+(.*)"","""")"),"MESSAC")</f>
        <v>MESSAC</v>
      </c>
      <c r="E26478" s="38" t="s">
        <v>347</v>
      </c>
      <c r="F26478" s="38" t="s">
        <v>90</v>
      </c>
      <c r="G26478" s="49" t="str">
        <f t="shared" si="1"/>
        <v>35480</v>
      </c>
      <c r="H26478" s="49">
        <f t="shared" si="2"/>
        <v>35176</v>
      </c>
    </row>
    <row r="26479">
      <c r="A26479" s="48" t="s">
        <v>2661</v>
      </c>
      <c r="B26479" s="38">
        <v>50106.0</v>
      </c>
      <c r="C26479" s="38" t="s">
        <v>30967</v>
      </c>
      <c r="D26479" s="38" t="str">
        <f>IFERROR(__xludf.DUMMYFUNCTION("REGEXREPLACE(C26479,""-\d+(.*)|--\d+(.*)"","""")"),"CAVIGNY")</f>
        <v>CAVIGNY</v>
      </c>
      <c r="E26479" s="38" t="s">
        <v>157</v>
      </c>
      <c r="F26479" s="38" t="s">
        <v>138</v>
      </c>
      <c r="G26479" s="49" t="str">
        <f t="shared" si="1"/>
        <v>50620</v>
      </c>
      <c r="H26479" s="49">
        <f t="shared" si="2"/>
        <v>50106</v>
      </c>
    </row>
    <row r="26480">
      <c r="A26480" s="48" t="s">
        <v>11059</v>
      </c>
      <c r="B26480" s="38">
        <v>48012.0</v>
      </c>
      <c r="C26480" s="38" t="s">
        <v>30968</v>
      </c>
      <c r="D26480" s="38" t="str">
        <f>IFERROR(__xludf.DUMMYFUNCTION("REGEXREPLACE(C26480,""-\d+(.*)|--\d+(.*)"","""")"),"LES MONTS-VERTS")</f>
        <v>LES MONTS-VERTS</v>
      </c>
      <c r="E26480" s="38" t="s">
        <v>154</v>
      </c>
      <c r="F26480" s="38" t="s">
        <v>119</v>
      </c>
      <c r="G26480" s="49" t="str">
        <f t="shared" si="1"/>
        <v>48200</v>
      </c>
      <c r="H26480" s="49">
        <f t="shared" si="2"/>
        <v>48012</v>
      </c>
    </row>
    <row r="26481">
      <c r="A26481" s="48" t="s">
        <v>2512</v>
      </c>
      <c r="B26481" s="38">
        <v>57514.0</v>
      </c>
      <c r="C26481" s="38" t="s">
        <v>30969</v>
      </c>
      <c r="D26481" s="38" t="str">
        <f>IFERROR(__xludf.DUMMYFUNCTION("REGEXREPLACE(C26481,""-\d+(.*)|--\d+(.*)"","""")"),"NOUSSEVILLER-SAINT-NABOR")</f>
        <v>NOUSSEVILLER-SAINT-NABOR</v>
      </c>
      <c r="E26481" s="38" t="s">
        <v>303</v>
      </c>
      <c r="F26481" s="38" t="s">
        <v>195</v>
      </c>
      <c r="G26481" s="49" t="str">
        <f t="shared" si="1"/>
        <v>57990</v>
      </c>
      <c r="H26481" s="49">
        <f t="shared" si="2"/>
        <v>57514</v>
      </c>
    </row>
    <row r="26482">
      <c r="A26482" s="48" t="s">
        <v>1949</v>
      </c>
      <c r="B26482" s="38">
        <v>32012.0</v>
      </c>
      <c r="C26482" s="38" t="s">
        <v>30970</v>
      </c>
      <c r="D26482" s="38" t="str">
        <f>IFERROR(__xludf.DUMMYFUNCTION("REGEXREPLACE(C26482,""-\d+(.*)|--\d+(.*)"","""")"),"AUBIET")</f>
        <v>AUBIET</v>
      </c>
      <c r="E26482" s="38" t="s">
        <v>440</v>
      </c>
      <c r="F26482" s="38" t="s">
        <v>94</v>
      </c>
      <c r="G26482" s="49" t="str">
        <f t="shared" si="1"/>
        <v>32270</v>
      </c>
      <c r="H26482" s="49">
        <f t="shared" si="2"/>
        <v>32012</v>
      </c>
    </row>
    <row r="26483">
      <c r="A26483" s="48" t="s">
        <v>8577</v>
      </c>
      <c r="B26483" s="38">
        <v>3261.0</v>
      </c>
      <c r="C26483" s="38" t="s">
        <v>30971</v>
      </c>
      <c r="D26483" s="38" t="str">
        <f>IFERROR(__xludf.DUMMYFUNCTION("REGEXREPLACE(C26483,""-\d+(.*)|--\d+(.*)"","""")"),"SAINTE-THERENCE")</f>
        <v>SAINTE-THERENCE</v>
      </c>
      <c r="E26483" s="38" t="s">
        <v>160</v>
      </c>
      <c r="F26483" s="38" t="s">
        <v>161</v>
      </c>
      <c r="G26483" s="49" t="str">
        <f t="shared" si="1"/>
        <v>03420</v>
      </c>
      <c r="H26483" s="49" t="str">
        <f t="shared" si="2"/>
        <v>03261</v>
      </c>
    </row>
    <row r="26484">
      <c r="A26484" s="48" t="s">
        <v>4185</v>
      </c>
      <c r="B26484" s="38">
        <v>30220.0</v>
      </c>
      <c r="C26484" s="38" t="s">
        <v>30972</v>
      </c>
      <c r="D26484" s="38" t="str">
        <f>IFERROR(__xludf.DUMMYFUNCTION("REGEXREPLACE(C26484,""-\d+(.*)|--\d+(.*)"","""")"),"ROQUEDUR")</f>
        <v>ROQUEDUR</v>
      </c>
      <c r="E26484" s="38" t="s">
        <v>526</v>
      </c>
      <c r="F26484" s="38" t="s">
        <v>119</v>
      </c>
      <c r="G26484" s="49" t="str">
        <f t="shared" si="1"/>
        <v>30440</v>
      </c>
      <c r="H26484" s="49">
        <f t="shared" si="2"/>
        <v>30220</v>
      </c>
    </row>
    <row r="26485">
      <c r="A26485" s="48" t="s">
        <v>13512</v>
      </c>
      <c r="B26485" s="38">
        <v>72333.0</v>
      </c>
      <c r="C26485" s="38" t="s">
        <v>30973</v>
      </c>
      <c r="D26485" s="38" t="str">
        <f>IFERROR(__xludf.DUMMYFUNCTION("REGEXREPLACE(C26485,""-\d+(.*)|--\d+(.*)"","""")"),"SEMUR-EN-VALLON")</f>
        <v>SEMUR-EN-VALLON</v>
      </c>
      <c r="E26485" s="38" t="s">
        <v>521</v>
      </c>
      <c r="F26485" s="38" t="s">
        <v>180</v>
      </c>
      <c r="G26485" s="49" t="str">
        <f t="shared" si="1"/>
        <v>72390</v>
      </c>
      <c r="H26485" s="49">
        <f t="shared" si="2"/>
        <v>72333</v>
      </c>
    </row>
    <row r="26486">
      <c r="A26486" s="48" t="s">
        <v>3716</v>
      </c>
      <c r="B26486" s="38">
        <v>57681.0</v>
      </c>
      <c r="C26486" s="38" t="s">
        <v>30974</v>
      </c>
      <c r="D26486" s="38" t="str">
        <f>IFERROR(__xludf.DUMMYFUNCTION("REGEXREPLACE(C26486,""-\d+(.*)|--\d+(.*)"","""")"),"TROMBORN")</f>
        <v>TROMBORN</v>
      </c>
      <c r="E26486" s="38" t="s">
        <v>303</v>
      </c>
      <c r="F26486" s="38" t="s">
        <v>195</v>
      </c>
      <c r="G26486" s="49" t="str">
        <f t="shared" si="1"/>
        <v>57320</v>
      </c>
      <c r="H26486" s="49">
        <f t="shared" si="2"/>
        <v>57681</v>
      </c>
    </row>
    <row r="26487">
      <c r="A26487" s="48" t="s">
        <v>1518</v>
      </c>
      <c r="B26487" s="38">
        <v>88334.0</v>
      </c>
      <c r="C26487" s="38" t="s">
        <v>30975</v>
      </c>
      <c r="D26487" s="38" t="str">
        <f>IFERROR(__xludf.DUMMYFUNCTION("REGEXREPLACE(C26487,""-\d+(.*)|--\d+(.*)"","""")"),"OELLEVILLE")</f>
        <v>OELLEVILLE</v>
      </c>
      <c r="E26487" s="38" t="s">
        <v>194</v>
      </c>
      <c r="F26487" s="38" t="s">
        <v>195</v>
      </c>
      <c r="G26487" s="49" t="str">
        <f t="shared" si="1"/>
        <v>88500</v>
      </c>
      <c r="H26487" s="49">
        <f t="shared" si="2"/>
        <v>88334</v>
      </c>
    </row>
    <row r="26488">
      <c r="A26488" s="48" t="s">
        <v>785</v>
      </c>
      <c r="B26488" s="38">
        <v>33400.0</v>
      </c>
      <c r="C26488" s="38" t="s">
        <v>30976</v>
      </c>
      <c r="D26488" s="38" t="str">
        <f>IFERROR(__xludf.DUMMYFUNCTION("REGEXREPLACE(C26488,""-\d+(.*)|--\d+(.*)"","""")"),"SAINT-FERME")</f>
        <v>SAINT-FERME</v>
      </c>
      <c r="E26488" s="38" t="s">
        <v>462</v>
      </c>
      <c r="F26488" s="38" t="s">
        <v>252</v>
      </c>
      <c r="G26488" s="49" t="str">
        <f t="shared" si="1"/>
        <v>33580</v>
      </c>
      <c r="H26488" s="49">
        <f t="shared" si="2"/>
        <v>33400</v>
      </c>
    </row>
    <row r="26489">
      <c r="A26489" s="48" t="s">
        <v>5045</v>
      </c>
      <c r="B26489" s="38">
        <v>24181.0</v>
      </c>
      <c r="C26489" s="38" t="s">
        <v>30977</v>
      </c>
      <c r="D26489" s="38" t="str">
        <f>IFERROR(__xludf.DUMMYFUNCTION("REGEXREPLACE(C26489,""-\d+(.*)|--\d+(.*)"","""")"),"FLAUGEAC")</f>
        <v>FLAUGEAC</v>
      </c>
      <c r="E26489" s="38" t="s">
        <v>261</v>
      </c>
      <c r="F26489" s="38" t="s">
        <v>252</v>
      </c>
      <c r="G26489" s="49" t="str">
        <f t="shared" si="1"/>
        <v>24240</v>
      </c>
      <c r="H26489" s="49">
        <f t="shared" si="2"/>
        <v>24181</v>
      </c>
    </row>
    <row r="26490">
      <c r="A26490" s="48" t="s">
        <v>443</v>
      </c>
      <c r="B26490" s="38">
        <v>24057.0</v>
      </c>
      <c r="C26490" s="38" t="s">
        <v>30978</v>
      </c>
      <c r="D26490" s="38" t="str">
        <f>IFERROR(__xludf.DUMMYFUNCTION("REGEXREPLACE(C26490,""-\d+(.*)|--\d+(.*)"","""")"),"BOURG-DES-MAISONS")</f>
        <v>BOURG-DES-MAISONS</v>
      </c>
      <c r="E26490" s="38" t="s">
        <v>261</v>
      </c>
      <c r="F26490" s="38" t="s">
        <v>252</v>
      </c>
      <c r="G26490" s="49" t="str">
        <f t="shared" si="1"/>
        <v>24320</v>
      </c>
      <c r="H26490" s="49">
        <f t="shared" si="2"/>
        <v>24057</v>
      </c>
    </row>
    <row r="26491">
      <c r="A26491" s="48" t="s">
        <v>1918</v>
      </c>
      <c r="B26491" s="38">
        <v>10350.0</v>
      </c>
      <c r="C26491" s="38" t="s">
        <v>30979</v>
      </c>
      <c r="D26491" s="38" t="str">
        <f>IFERROR(__xludf.DUMMYFUNCTION("REGEXREPLACE(C26491,""-\d+(.*)|--\d+(.*)"","""")"),"SAINT-MARDS-EN-OTHE")</f>
        <v>SAINT-MARDS-EN-OTHE</v>
      </c>
      <c r="E26491" s="38" t="s">
        <v>147</v>
      </c>
      <c r="F26491" s="38" t="s">
        <v>130</v>
      </c>
      <c r="G26491" s="49" t="str">
        <f t="shared" si="1"/>
        <v>10160</v>
      </c>
      <c r="H26491" s="49">
        <f t="shared" si="2"/>
        <v>10350</v>
      </c>
    </row>
    <row r="26492">
      <c r="A26492" s="48" t="s">
        <v>2521</v>
      </c>
      <c r="B26492" s="38">
        <v>28194.0</v>
      </c>
      <c r="C26492" s="38" t="s">
        <v>30980</v>
      </c>
      <c r="D26492" s="38" t="str">
        <f>IFERROR(__xludf.DUMMYFUNCTION("REGEXREPLACE(C26492,""-\d+(.*)|--\d+(.*)"","""")"),"HOUVILLE-LA-BRANCHE")</f>
        <v>HOUVILLE-LA-BRANCHE</v>
      </c>
      <c r="E26492" s="38" t="s">
        <v>300</v>
      </c>
      <c r="F26492" s="38" t="s">
        <v>123</v>
      </c>
      <c r="G26492" s="49" t="str">
        <f t="shared" si="1"/>
        <v>28700</v>
      </c>
      <c r="H26492" s="49">
        <f t="shared" si="2"/>
        <v>28194</v>
      </c>
    </row>
    <row r="26493">
      <c r="A26493" s="48" t="s">
        <v>23464</v>
      </c>
      <c r="B26493" s="38">
        <v>58246.0</v>
      </c>
      <c r="C26493" s="38" t="s">
        <v>30981</v>
      </c>
      <c r="D26493" s="38" t="str">
        <f>IFERROR(__xludf.DUMMYFUNCTION("REGEXREPLACE(C26493,""-\d+(.*)|--\d+(.*)"","""")"),"SAINT-HONORE-LES-BAINS")</f>
        <v>SAINT-HONORE-LES-BAINS</v>
      </c>
      <c r="E26493" s="38" t="s">
        <v>219</v>
      </c>
      <c r="F26493" s="38" t="s">
        <v>106</v>
      </c>
      <c r="G26493" s="49" t="str">
        <f t="shared" si="1"/>
        <v>58360</v>
      </c>
      <c r="H26493" s="49">
        <f t="shared" si="2"/>
        <v>58246</v>
      </c>
    </row>
    <row r="26494">
      <c r="A26494" s="48" t="s">
        <v>8418</v>
      </c>
      <c r="B26494" s="38">
        <v>80744.0</v>
      </c>
      <c r="C26494" s="38" t="s">
        <v>16208</v>
      </c>
      <c r="D26494" s="38" t="str">
        <f>IFERROR(__xludf.DUMMYFUNCTION("REGEXREPLACE(C26494,""-\d+(.*)|--\d+(.*)"","""")"),"TAILLY")</f>
        <v>TAILLY</v>
      </c>
      <c r="E26494" s="38" t="s">
        <v>224</v>
      </c>
      <c r="F26494" s="38" t="s">
        <v>113</v>
      </c>
      <c r="G26494" s="49" t="str">
        <f t="shared" si="1"/>
        <v>80270</v>
      </c>
      <c r="H26494" s="49">
        <f t="shared" si="2"/>
        <v>80744</v>
      </c>
    </row>
    <row r="26495">
      <c r="A26495" s="48" t="s">
        <v>6795</v>
      </c>
      <c r="B26495" s="38">
        <v>37224.0</v>
      </c>
      <c r="C26495" s="38" t="s">
        <v>30982</v>
      </c>
      <c r="D26495" s="38" t="str">
        <f>IFERROR(__xludf.DUMMYFUNCTION("REGEXREPLACE(C26495,""-\d+(.*)|--\d+(.*)"","""")"),"SAINT-LAURENT-EN-GATINES")</f>
        <v>SAINT-LAURENT-EN-GATINES</v>
      </c>
      <c r="E26495" s="38" t="s">
        <v>205</v>
      </c>
      <c r="F26495" s="38" t="s">
        <v>123</v>
      </c>
      <c r="G26495" s="49" t="str">
        <f t="shared" si="1"/>
        <v>37380</v>
      </c>
      <c r="H26495" s="49">
        <f t="shared" si="2"/>
        <v>37224</v>
      </c>
    </row>
    <row r="26496">
      <c r="A26496" s="48" t="s">
        <v>1641</v>
      </c>
      <c r="B26496" s="38">
        <v>18017.0</v>
      </c>
      <c r="C26496" s="38" t="s">
        <v>30983</v>
      </c>
      <c r="D26496" s="38" t="str">
        <f>IFERROR(__xludf.DUMMYFUNCTION("REGEXREPLACE(C26496,""-\d+(.*)|--\d+(.*)"","""")"),"AUGY-SUR-AUBOIS")</f>
        <v>AUGY-SUR-AUBOIS</v>
      </c>
      <c r="E26496" s="38" t="s">
        <v>504</v>
      </c>
      <c r="F26496" s="38" t="s">
        <v>123</v>
      </c>
      <c r="G26496" s="49" t="str">
        <f t="shared" si="1"/>
        <v>18600</v>
      </c>
      <c r="H26496" s="49">
        <f t="shared" si="2"/>
        <v>18017</v>
      </c>
    </row>
    <row r="26497">
      <c r="A26497" s="48" t="s">
        <v>4377</v>
      </c>
      <c r="B26497" s="38">
        <v>31592.0</v>
      </c>
      <c r="C26497" s="38" t="s">
        <v>30984</v>
      </c>
      <c r="D26497" s="38" t="str">
        <f>IFERROR(__xludf.DUMMYFUNCTION("REGEXREPLACE(C26497,""-\d+(.*)|--\d+(.*)"","""")"),"LARRA")</f>
        <v>LARRA</v>
      </c>
      <c r="E26497" s="38" t="s">
        <v>93</v>
      </c>
      <c r="F26497" s="38" t="s">
        <v>94</v>
      </c>
      <c r="G26497" s="49" t="str">
        <f t="shared" si="1"/>
        <v>31330</v>
      </c>
      <c r="H26497" s="49">
        <f t="shared" si="2"/>
        <v>31592</v>
      </c>
    </row>
    <row r="26498">
      <c r="A26498" s="48" t="s">
        <v>6080</v>
      </c>
      <c r="B26498" s="38">
        <v>76300.0</v>
      </c>
      <c r="C26498" s="38" t="s">
        <v>30985</v>
      </c>
      <c r="D26498" s="38" t="str">
        <f>IFERROR(__xludf.DUMMYFUNCTION("REGEXREPLACE(C26498,""-\d+(.*)|--\d+(.*)"","""")"),"GERVILLE")</f>
        <v>GERVILLE</v>
      </c>
      <c r="E26498" s="38" t="s">
        <v>133</v>
      </c>
      <c r="F26498" s="38" t="s">
        <v>134</v>
      </c>
      <c r="G26498" s="49" t="str">
        <f t="shared" si="1"/>
        <v>76790</v>
      </c>
      <c r="H26498" s="49">
        <f t="shared" si="2"/>
        <v>76300</v>
      </c>
    </row>
    <row r="26499">
      <c r="A26499" s="48" t="s">
        <v>4086</v>
      </c>
      <c r="B26499" s="38">
        <v>79333.0</v>
      </c>
      <c r="C26499" s="38" t="s">
        <v>30986</v>
      </c>
      <c r="D26499" s="38" t="str">
        <f>IFERROR(__xludf.DUMMYFUNCTION("REGEXREPLACE(C26499,""-\d+(.*)|--\d+(.*)"","""")"),"ULCOT")</f>
        <v>ULCOT</v>
      </c>
      <c r="E26499" s="38" t="s">
        <v>337</v>
      </c>
      <c r="F26499" s="38" t="s">
        <v>338</v>
      </c>
      <c r="G26499" s="49" t="str">
        <f t="shared" si="1"/>
        <v>79150</v>
      </c>
      <c r="H26499" s="49">
        <f t="shared" si="2"/>
        <v>79333</v>
      </c>
    </row>
    <row r="26500">
      <c r="A26500" s="48" t="s">
        <v>25268</v>
      </c>
      <c r="B26500" s="38">
        <v>6157.0</v>
      </c>
      <c r="C26500" s="38" t="s">
        <v>30987</v>
      </c>
      <c r="D26500" s="38" t="str">
        <f>IFERROR(__xludf.DUMMYFUNCTION("REGEXREPLACE(C26500,""-\d+(.*)|--\d+(.*)"","""")"),"VENCE")</f>
        <v>VENCE</v>
      </c>
      <c r="E26500" s="38" t="s">
        <v>227</v>
      </c>
      <c r="F26500" s="38" t="s">
        <v>228</v>
      </c>
      <c r="G26500" s="49" t="str">
        <f t="shared" si="1"/>
        <v>06140</v>
      </c>
      <c r="H26500" s="49" t="str">
        <f t="shared" si="2"/>
        <v>06157</v>
      </c>
    </row>
    <row r="26501">
      <c r="A26501" s="48" t="s">
        <v>20255</v>
      </c>
      <c r="B26501" s="38">
        <v>12020.0</v>
      </c>
      <c r="C26501" s="38" t="s">
        <v>30988</v>
      </c>
      <c r="D26501" s="38" t="str">
        <f>IFERROR(__xludf.DUMMYFUNCTION("REGEXREPLACE(C26501,""-\d+(.*)|--\d+(.*)"","""")"),"BALSAC")</f>
        <v>BALSAC</v>
      </c>
      <c r="E26501" s="38" t="s">
        <v>465</v>
      </c>
      <c r="F26501" s="38" t="s">
        <v>94</v>
      </c>
      <c r="G26501" s="49" t="str">
        <f t="shared" si="1"/>
        <v>12510</v>
      </c>
      <c r="H26501" s="49">
        <f t="shared" si="2"/>
        <v>12020</v>
      </c>
    </row>
    <row r="26502">
      <c r="A26502" s="48" t="s">
        <v>30989</v>
      </c>
      <c r="B26502" s="38">
        <v>60321.0</v>
      </c>
      <c r="C26502" s="38" t="s">
        <v>30990</v>
      </c>
      <c r="D26502" s="38" t="str">
        <f>IFERROR(__xludf.DUMMYFUNCTION("REGEXREPLACE(C26502,""-\d+(.*)|--\d+(.*)"","""")"),"IVRY-LE-TEMPLE")</f>
        <v>IVRY-LE-TEMPLE</v>
      </c>
      <c r="E26502" s="38" t="s">
        <v>112</v>
      </c>
      <c r="F26502" s="38" t="s">
        <v>113</v>
      </c>
      <c r="G26502" s="49" t="str">
        <f t="shared" si="1"/>
        <v>60173</v>
      </c>
      <c r="H26502" s="49">
        <f t="shared" si="2"/>
        <v>60321</v>
      </c>
    </row>
    <row r="26503">
      <c r="A26503" s="48" t="s">
        <v>4447</v>
      </c>
      <c r="B26503" s="38">
        <v>39072.0</v>
      </c>
      <c r="C26503" s="38" t="s">
        <v>30991</v>
      </c>
      <c r="D26503" s="38" t="str">
        <f>IFERROR(__xludf.DUMMYFUNCTION("REGEXREPLACE(C26503,""-\d+(.*)|--\d+(.*)"","""")"),"BRACON")</f>
        <v>BRACON</v>
      </c>
      <c r="E26503" s="38" t="s">
        <v>400</v>
      </c>
      <c r="F26503" s="38" t="s">
        <v>214</v>
      </c>
      <c r="G26503" s="49" t="str">
        <f t="shared" si="1"/>
        <v>39110</v>
      </c>
      <c r="H26503" s="49">
        <f t="shared" si="2"/>
        <v>39072</v>
      </c>
    </row>
    <row r="26504">
      <c r="A26504" s="48" t="s">
        <v>7078</v>
      </c>
      <c r="B26504" s="38">
        <v>7224.0</v>
      </c>
      <c r="C26504" s="38" t="s">
        <v>30992</v>
      </c>
      <c r="D26504" s="38" t="str">
        <f>IFERROR(__xludf.DUMMYFUNCTION("REGEXREPLACE(C26504,""-\d+(.*)|--\d+(.*)"","""")"),"SAINT-CIRGUES-EN-MONTAGNE")</f>
        <v>SAINT-CIRGUES-EN-MONTAGNE</v>
      </c>
      <c r="E26504" s="38" t="s">
        <v>144</v>
      </c>
      <c r="F26504" s="38" t="s">
        <v>102</v>
      </c>
      <c r="G26504" s="49" t="str">
        <f t="shared" si="1"/>
        <v>07510</v>
      </c>
      <c r="H26504" s="49" t="str">
        <f t="shared" si="2"/>
        <v>07224</v>
      </c>
    </row>
    <row r="26505">
      <c r="A26505" s="48" t="s">
        <v>1656</v>
      </c>
      <c r="B26505" s="38">
        <v>80287.0</v>
      </c>
      <c r="C26505" s="38" t="s">
        <v>30993</v>
      </c>
      <c r="D26505" s="38" t="str">
        <f>IFERROR(__xludf.DUMMYFUNCTION("REGEXREPLACE(C26505,""-\d+(.*)|--\d+(.*)"","""")"),"ESTREBOEUF")</f>
        <v>ESTREBOEUF</v>
      </c>
      <c r="E26505" s="38" t="s">
        <v>224</v>
      </c>
      <c r="F26505" s="38" t="s">
        <v>113</v>
      </c>
      <c r="G26505" s="49" t="str">
        <f t="shared" si="1"/>
        <v>80230</v>
      </c>
      <c r="H26505" s="49">
        <f t="shared" si="2"/>
        <v>80287</v>
      </c>
    </row>
    <row r="26506">
      <c r="A26506" s="48" t="s">
        <v>12258</v>
      </c>
      <c r="B26506" s="38">
        <v>69147.0</v>
      </c>
      <c r="C26506" s="38" t="s">
        <v>30994</v>
      </c>
      <c r="D26506" s="38" t="str">
        <f>IFERROR(__xludf.DUMMYFUNCTION("REGEXREPLACE(C26506,""-\d+(.*)|--\d+(.*)"","""")"),"LES OLMES")</f>
        <v>LES OLMES</v>
      </c>
      <c r="E26506" s="38" t="s">
        <v>350</v>
      </c>
      <c r="F26506" s="38" t="s">
        <v>102</v>
      </c>
      <c r="G26506" s="49" t="str">
        <f t="shared" si="1"/>
        <v>69490</v>
      </c>
      <c r="H26506" s="49">
        <f t="shared" si="2"/>
        <v>69147</v>
      </c>
    </row>
    <row r="26507">
      <c r="A26507" s="48" t="s">
        <v>1520</v>
      </c>
      <c r="B26507" s="38">
        <v>16039.0</v>
      </c>
      <c r="C26507" s="38" t="s">
        <v>7043</v>
      </c>
      <c r="D26507" s="38" t="str">
        <f>IFERROR(__xludf.DUMMYFUNCTION("REGEXREPLACE(C26507,""-\d+(.*)|--\d+(.*)"","""")"),"BERNAC")</f>
        <v>BERNAC</v>
      </c>
      <c r="E26507" s="38" t="s">
        <v>429</v>
      </c>
      <c r="F26507" s="38" t="s">
        <v>338</v>
      </c>
      <c r="G26507" s="49" t="str">
        <f t="shared" si="1"/>
        <v>16700</v>
      </c>
      <c r="H26507" s="49">
        <f t="shared" si="2"/>
        <v>16039</v>
      </c>
    </row>
    <row r="26508">
      <c r="A26508" s="48" t="s">
        <v>7265</v>
      </c>
      <c r="B26508" s="38">
        <v>68168.0</v>
      </c>
      <c r="C26508" s="38" t="s">
        <v>30995</v>
      </c>
      <c r="D26508" s="38" t="str">
        <f>IFERROR(__xludf.DUMMYFUNCTION("REGEXREPLACE(C26508,""-\d+(.*)|--\d+(.*)"","""")"),"KNOERINGUE")</f>
        <v>KNOERINGUE</v>
      </c>
      <c r="E26508" s="38" t="s">
        <v>150</v>
      </c>
      <c r="F26508" s="38" t="s">
        <v>151</v>
      </c>
      <c r="G26508" s="49" t="str">
        <f t="shared" si="1"/>
        <v>68220</v>
      </c>
      <c r="H26508" s="49">
        <f t="shared" si="2"/>
        <v>68168</v>
      </c>
    </row>
    <row r="26509">
      <c r="A26509" s="48" t="s">
        <v>4992</v>
      </c>
      <c r="B26509" s="38">
        <v>80190.0</v>
      </c>
      <c r="C26509" s="38" t="s">
        <v>30996</v>
      </c>
      <c r="D26509" s="38" t="str">
        <f>IFERROR(__xludf.DUMMYFUNCTION("REGEXREPLACE(C26509,""-\d+(.*)|--\d+(.*)"","""")"),"CHEPY")</f>
        <v>CHEPY</v>
      </c>
      <c r="E26509" s="38" t="s">
        <v>224</v>
      </c>
      <c r="F26509" s="38" t="s">
        <v>113</v>
      </c>
      <c r="G26509" s="49" t="str">
        <f t="shared" si="1"/>
        <v>80210</v>
      </c>
      <c r="H26509" s="49">
        <f t="shared" si="2"/>
        <v>80190</v>
      </c>
    </row>
    <row r="26510">
      <c r="A26510" s="48" t="s">
        <v>6367</v>
      </c>
      <c r="B26510" s="38" t="s">
        <v>30997</v>
      </c>
      <c r="C26510" s="38" t="s">
        <v>30998</v>
      </c>
      <c r="D26510" s="38" t="str">
        <f>IFERROR(__xludf.DUMMYFUNCTION("REGEXREPLACE(C26510,""-\d+(.*)|--\d+(.*)"","""")"),"VALLE-DI-ROSTINO")</f>
        <v>VALLE-DI-ROSTINO</v>
      </c>
      <c r="E26510" s="38" t="s">
        <v>743</v>
      </c>
      <c r="F26510" s="38" t="s">
        <v>607</v>
      </c>
      <c r="G26510" s="49" t="str">
        <f t="shared" si="1"/>
        <v>20235</v>
      </c>
      <c r="H26510" s="49" t="str">
        <f t="shared" si="2"/>
        <v>2B337</v>
      </c>
    </row>
    <row r="26511">
      <c r="A26511" s="48" t="s">
        <v>6321</v>
      </c>
      <c r="B26511" s="38">
        <v>62037.0</v>
      </c>
      <c r="C26511" s="38" t="s">
        <v>30999</v>
      </c>
      <c r="D26511" s="38" t="str">
        <f>IFERROR(__xludf.DUMMYFUNCTION("REGEXREPLACE(C26511,""-\d+(.*)|--\d+(.*)"","""")"),"ANZIN-SAINT-AUBIN")</f>
        <v>ANZIN-SAINT-AUBIN</v>
      </c>
      <c r="E26511" s="38" t="s">
        <v>109</v>
      </c>
      <c r="F26511" s="38" t="s">
        <v>86</v>
      </c>
      <c r="G26511" s="49" t="str">
        <f t="shared" si="1"/>
        <v>62223</v>
      </c>
      <c r="H26511" s="49">
        <f t="shared" si="2"/>
        <v>62037</v>
      </c>
    </row>
    <row r="26512">
      <c r="A26512" s="48" t="s">
        <v>5866</v>
      </c>
      <c r="B26512" s="38">
        <v>33148.0</v>
      </c>
      <c r="C26512" s="38" t="s">
        <v>31000</v>
      </c>
      <c r="D26512" s="38" t="str">
        <f>IFERROR(__xludf.DUMMYFUNCTION("REGEXREPLACE(C26512,""-\d+(.*)|--\d+(.*)"","""")"),"DARDENAC")</f>
        <v>DARDENAC</v>
      </c>
      <c r="E26512" s="38" t="s">
        <v>462</v>
      </c>
      <c r="F26512" s="38" t="s">
        <v>252</v>
      </c>
      <c r="G26512" s="49" t="str">
        <f t="shared" si="1"/>
        <v>33420</v>
      </c>
      <c r="H26512" s="49">
        <f t="shared" si="2"/>
        <v>33148</v>
      </c>
    </row>
    <row r="26513">
      <c r="A26513" s="48" t="s">
        <v>31001</v>
      </c>
      <c r="B26513" s="38">
        <v>59170.0</v>
      </c>
      <c r="C26513" s="38" t="s">
        <v>31002</v>
      </c>
      <c r="D26513" s="38" t="str">
        <f>IFERROR(__xludf.DUMMYFUNCTION("REGEXREPLACE(C26513,""-\d+(.*)|--\d+(.*)"","""")"),"DECHY")</f>
        <v>DECHY</v>
      </c>
      <c r="E26513" s="38" t="s">
        <v>85</v>
      </c>
      <c r="F26513" s="38" t="s">
        <v>86</v>
      </c>
      <c r="G26513" s="49" t="str">
        <f t="shared" si="1"/>
        <v>59187</v>
      </c>
      <c r="H26513" s="49">
        <f t="shared" si="2"/>
        <v>59170</v>
      </c>
    </row>
    <row r="26514">
      <c r="A26514" s="48" t="s">
        <v>83</v>
      </c>
      <c r="B26514" s="38">
        <v>59577.0</v>
      </c>
      <c r="C26514" s="38" t="s">
        <v>31003</v>
      </c>
      <c r="D26514" s="38" t="str">
        <f>IFERROR(__xludf.DUMMYFUNCTION("REGEXREPLACE(C26514,""-\d+(.*)|--\d+(.*)"","""")"),"STAPLE")</f>
        <v>STAPLE</v>
      </c>
      <c r="E26514" s="38" t="s">
        <v>85</v>
      </c>
      <c r="F26514" s="38" t="s">
        <v>86</v>
      </c>
      <c r="G26514" s="49" t="str">
        <f t="shared" si="1"/>
        <v>59190</v>
      </c>
      <c r="H26514" s="49">
        <f t="shared" si="2"/>
        <v>59577</v>
      </c>
    </row>
    <row r="26515">
      <c r="A26515" s="48" t="s">
        <v>11129</v>
      </c>
      <c r="B26515" s="38">
        <v>43134.0</v>
      </c>
      <c r="C26515" s="38" t="s">
        <v>31004</v>
      </c>
      <c r="D26515" s="38" t="str">
        <f>IFERROR(__xludf.DUMMYFUNCTION("REGEXREPLACE(C26515,""-\d+(.*)|--\d+(.*)"","""")"),"MEZERES")</f>
        <v>MEZERES</v>
      </c>
      <c r="E26515" s="38" t="s">
        <v>332</v>
      </c>
      <c r="F26515" s="38" t="s">
        <v>161</v>
      </c>
      <c r="G26515" s="49" t="str">
        <f t="shared" si="1"/>
        <v>43800</v>
      </c>
      <c r="H26515" s="49">
        <f t="shared" si="2"/>
        <v>43134</v>
      </c>
    </row>
    <row r="26516">
      <c r="A26516" s="48" t="s">
        <v>4830</v>
      </c>
      <c r="B26516" s="38">
        <v>61442.0</v>
      </c>
      <c r="C26516" s="38" t="s">
        <v>31005</v>
      </c>
      <c r="D26516" s="38" t="str">
        <f>IFERROR(__xludf.DUMMYFUNCTION("REGEXREPLACE(C26516,""-\d+(.*)|--\d+(.*)"","""")"),"SAINT-PATRICE-DU-DESERT")</f>
        <v>SAINT-PATRICE-DU-DESERT</v>
      </c>
      <c r="E26516" s="38" t="s">
        <v>141</v>
      </c>
      <c r="F26516" s="38" t="s">
        <v>138</v>
      </c>
      <c r="G26516" s="49" t="str">
        <f t="shared" si="1"/>
        <v>61600</v>
      </c>
      <c r="H26516" s="49">
        <f t="shared" si="2"/>
        <v>61442</v>
      </c>
    </row>
    <row r="26517">
      <c r="A26517" s="48" t="s">
        <v>10034</v>
      </c>
      <c r="B26517" s="38">
        <v>78289.0</v>
      </c>
      <c r="C26517" s="38" t="s">
        <v>31006</v>
      </c>
      <c r="D26517" s="38" t="str">
        <f>IFERROR(__xludf.DUMMYFUNCTION("REGEXREPLACE(C26517,""-\d+(.*)|--\d+(.*)"","""")"),"GROSROUVRE")</f>
        <v>GROSROUVRE</v>
      </c>
      <c r="E26517" s="38" t="s">
        <v>362</v>
      </c>
      <c r="F26517" s="38" t="s">
        <v>245</v>
      </c>
      <c r="G26517" s="49" t="str">
        <f t="shared" si="1"/>
        <v>78490</v>
      </c>
      <c r="H26517" s="49">
        <f t="shared" si="2"/>
        <v>78289</v>
      </c>
    </row>
    <row r="26518">
      <c r="A26518" s="48" t="s">
        <v>9077</v>
      </c>
      <c r="B26518" s="38">
        <v>19042.0</v>
      </c>
      <c r="C26518" s="38" t="s">
        <v>31007</v>
      </c>
      <c r="D26518" s="38" t="str">
        <f>IFERROR(__xludf.DUMMYFUNCTION("REGEXREPLACE(C26518,""-\d+(.*)|--\d+(.*)"","""")"),"CHANTEIX")</f>
        <v>CHANTEIX</v>
      </c>
      <c r="E26518" s="38" t="s">
        <v>271</v>
      </c>
      <c r="F26518" s="38" t="s">
        <v>98</v>
      </c>
      <c r="G26518" s="49" t="str">
        <f t="shared" si="1"/>
        <v>19330</v>
      </c>
      <c r="H26518" s="49">
        <f t="shared" si="2"/>
        <v>19042</v>
      </c>
    </row>
    <row r="26519">
      <c r="A26519" s="48" t="s">
        <v>454</v>
      </c>
      <c r="B26519" s="38">
        <v>71013.0</v>
      </c>
      <c r="C26519" s="38" t="s">
        <v>31008</v>
      </c>
      <c r="D26519" s="38" t="str">
        <f>IFERROR(__xludf.DUMMYFUNCTION("REGEXREPLACE(C26519,""-\d+(.*)|--\d+(.*)"","""")"),"AUTHUMES")</f>
        <v>AUTHUMES</v>
      </c>
      <c r="E26519" s="38" t="s">
        <v>344</v>
      </c>
      <c r="F26519" s="38" t="s">
        <v>106</v>
      </c>
      <c r="G26519" s="49" t="str">
        <f t="shared" si="1"/>
        <v>71270</v>
      </c>
      <c r="H26519" s="49">
        <f t="shared" si="2"/>
        <v>71013</v>
      </c>
    </row>
    <row r="26520">
      <c r="A26520" s="48" t="s">
        <v>715</v>
      </c>
      <c r="B26520" s="38">
        <v>88226.0</v>
      </c>
      <c r="C26520" s="38" t="s">
        <v>31009</v>
      </c>
      <c r="D26520" s="38" t="str">
        <f>IFERROR(__xludf.DUMMYFUNCTION("REGEXREPLACE(C26520,""-\d+(.*)|--\d+(.*)"","""")"),"HAGECOURT")</f>
        <v>HAGECOURT</v>
      </c>
      <c r="E26520" s="38" t="s">
        <v>194</v>
      </c>
      <c r="F26520" s="38" t="s">
        <v>195</v>
      </c>
      <c r="G26520" s="49" t="str">
        <f t="shared" si="1"/>
        <v>88270</v>
      </c>
      <c r="H26520" s="49">
        <f t="shared" si="2"/>
        <v>88226</v>
      </c>
    </row>
    <row r="26521">
      <c r="A26521" s="48" t="s">
        <v>10697</v>
      </c>
      <c r="B26521" s="38">
        <v>54022.0</v>
      </c>
      <c r="C26521" s="38" t="s">
        <v>31010</v>
      </c>
      <c r="D26521" s="38" t="str">
        <f>IFERROR(__xludf.DUMMYFUNCTION("REGEXREPLACE(C26521,""-\d+(.*)|--\d+(.*)"","""")"),"ARNAVILLE")</f>
        <v>ARNAVILLE</v>
      </c>
      <c r="E26521" s="38" t="s">
        <v>548</v>
      </c>
      <c r="F26521" s="38" t="s">
        <v>195</v>
      </c>
      <c r="G26521" s="49" t="str">
        <f t="shared" si="1"/>
        <v>54530</v>
      </c>
      <c r="H26521" s="49">
        <f t="shared" si="2"/>
        <v>54022</v>
      </c>
    </row>
    <row r="26522">
      <c r="A26522" s="48" t="s">
        <v>13089</v>
      </c>
      <c r="B26522" s="38">
        <v>42177.0</v>
      </c>
      <c r="C26522" s="38" t="s">
        <v>31011</v>
      </c>
      <c r="D26522" s="38" t="str">
        <f>IFERROR(__xludf.DUMMYFUNCTION("REGEXREPLACE(C26522,""-\d+(.*)|--\d+(.*)"","""")"),"POUILLY-SOUS-CHARLIEU")</f>
        <v>POUILLY-SOUS-CHARLIEU</v>
      </c>
      <c r="E26522" s="38" t="s">
        <v>166</v>
      </c>
      <c r="F26522" s="38" t="s">
        <v>102</v>
      </c>
      <c r="G26522" s="49" t="str">
        <f t="shared" si="1"/>
        <v>42720</v>
      </c>
      <c r="H26522" s="49">
        <f t="shared" si="2"/>
        <v>42177</v>
      </c>
    </row>
    <row r="26523">
      <c r="A26523" s="48" t="s">
        <v>1462</v>
      </c>
      <c r="B26523" s="38">
        <v>11291.0</v>
      </c>
      <c r="C26523" s="38" t="s">
        <v>31012</v>
      </c>
      <c r="D26523" s="38" t="str">
        <f>IFERROR(__xludf.DUMMYFUNCTION("REGEXREPLACE(C26523,""-\d+(.*)|--\d+(.*)"","""")"),"PLAVILLA")</f>
        <v>PLAVILLA</v>
      </c>
      <c r="E26523" s="38" t="s">
        <v>278</v>
      </c>
      <c r="F26523" s="38" t="s">
        <v>119</v>
      </c>
      <c r="G26523" s="49" t="str">
        <f t="shared" si="1"/>
        <v>11270</v>
      </c>
      <c r="H26523" s="49">
        <f t="shared" si="2"/>
        <v>11291</v>
      </c>
    </row>
    <row r="26524">
      <c r="A26524" s="48" t="s">
        <v>1812</v>
      </c>
      <c r="B26524" s="38">
        <v>51387.0</v>
      </c>
      <c r="C26524" s="38" t="s">
        <v>31013</v>
      </c>
      <c r="D26524" s="38" t="str">
        <f>IFERROR(__xludf.DUMMYFUNCTION("REGEXREPLACE(C26524,""-\d+(.*)|--\d+(.*)"","""")"),"MOSLINS")</f>
        <v>MOSLINS</v>
      </c>
      <c r="E26524" s="38" t="s">
        <v>129</v>
      </c>
      <c r="F26524" s="38" t="s">
        <v>130</v>
      </c>
      <c r="G26524" s="49" t="str">
        <f t="shared" si="1"/>
        <v>51530</v>
      </c>
      <c r="H26524" s="49">
        <f t="shared" si="2"/>
        <v>51387</v>
      </c>
    </row>
    <row r="26525">
      <c r="A26525" s="48" t="s">
        <v>2014</v>
      </c>
      <c r="B26525" s="38">
        <v>57289.0</v>
      </c>
      <c r="C26525" s="38" t="s">
        <v>31014</v>
      </c>
      <c r="D26525" s="38" t="str">
        <f>IFERROR(__xludf.DUMMYFUNCTION("REGEXREPLACE(C26525,""-\d+(.*)|--\d+(.*)"","""")"),"HAMBACH")</f>
        <v>HAMBACH</v>
      </c>
      <c r="E26525" s="38" t="s">
        <v>303</v>
      </c>
      <c r="F26525" s="38" t="s">
        <v>195</v>
      </c>
      <c r="G26525" s="49" t="str">
        <f t="shared" si="1"/>
        <v>57910</v>
      </c>
      <c r="H26525" s="49">
        <f t="shared" si="2"/>
        <v>57289</v>
      </c>
    </row>
    <row r="26526">
      <c r="A26526" s="48" t="s">
        <v>5198</v>
      </c>
      <c r="B26526" s="38">
        <v>39246.0</v>
      </c>
      <c r="C26526" s="38" t="s">
        <v>31015</v>
      </c>
      <c r="D26526" s="38" t="str">
        <f>IFERROR(__xludf.DUMMYFUNCTION("REGEXREPLACE(C26526,""-\d+(.*)|--\d+(.*)"","""")"),"GENDREY")</f>
        <v>GENDREY</v>
      </c>
      <c r="E26526" s="38" t="s">
        <v>400</v>
      </c>
      <c r="F26526" s="38" t="s">
        <v>214</v>
      </c>
      <c r="G26526" s="49" t="str">
        <f t="shared" si="1"/>
        <v>39350</v>
      </c>
      <c r="H26526" s="49">
        <f t="shared" si="2"/>
        <v>39246</v>
      </c>
    </row>
    <row r="26527">
      <c r="A26527" s="48" t="s">
        <v>6288</v>
      </c>
      <c r="B26527" s="38">
        <v>63336.0</v>
      </c>
      <c r="C26527" s="38" t="s">
        <v>31016</v>
      </c>
      <c r="D26527" s="38" t="str">
        <f>IFERROR(__xludf.DUMMYFUNCTION("REGEXREPLACE(C26527,""-\d+(.*)|--\d+(.*)"","""")"),"SAINT-DONAT")</f>
        <v>SAINT-DONAT</v>
      </c>
      <c r="E26527" s="38" t="s">
        <v>353</v>
      </c>
      <c r="F26527" s="38" t="s">
        <v>161</v>
      </c>
      <c r="G26527" s="49" t="str">
        <f t="shared" si="1"/>
        <v>63680</v>
      </c>
      <c r="H26527" s="49">
        <f t="shared" si="2"/>
        <v>63336</v>
      </c>
    </row>
    <row r="26528">
      <c r="A26528" s="48" t="s">
        <v>31017</v>
      </c>
      <c r="B26528" s="38">
        <v>95388.0</v>
      </c>
      <c r="C26528" s="38" t="s">
        <v>31018</v>
      </c>
      <c r="D26528" s="38" t="str">
        <f>IFERROR(__xludf.DUMMYFUNCTION("REGEXREPLACE(C26528,""-\d+(.*)|--\d+(.*)"","""")"),"MENUCOURT")</f>
        <v>MENUCOURT</v>
      </c>
      <c r="E26528" s="38" t="s">
        <v>541</v>
      </c>
      <c r="F26528" s="38" t="s">
        <v>245</v>
      </c>
      <c r="G26528" s="49" t="str">
        <f t="shared" si="1"/>
        <v>95180</v>
      </c>
      <c r="H26528" s="49">
        <f t="shared" si="2"/>
        <v>95388</v>
      </c>
    </row>
    <row r="26529">
      <c r="A26529" s="48" t="s">
        <v>7080</v>
      </c>
      <c r="B26529" s="38">
        <v>86244.0</v>
      </c>
      <c r="C26529" s="38" t="s">
        <v>28125</v>
      </c>
      <c r="D26529" s="38" t="str">
        <f>IFERROR(__xludf.DUMMYFUNCTION("REGEXREPLACE(C26529,""-\d+(.*)|--\d+(.*)"","""")"),"SAINT-SAUVANT")</f>
        <v>SAINT-SAUVANT</v>
      </c>
      <c r="E26529" s="38" t="s">
        <v>529</v>
      </c>
      <c r="F26529" s="38" t="s">
        <v>338</v>
      </c>
      <c r="G26529" s="49" t="str">
        <f t="shared" si="1"/>
        <v>86600</v>
      </c>
      <c r="H26529" s="49">
        <f t="shared" si="2"/>
        <v>86244</v>
      </c>
    </row>
    <row r="26530">
      <c r="A26530" s="48" t="s">
        <v>4077</v>
      </c>
      <c r="B26530" s="38">
        <v>90016.0</v>
      </c>
      <c r="C26530" s="38" t="s">
        <v>31019</v>
      </c>
      <c r="D26530" s="38" t="str">
        <f>IFERROR(__xludf.DUMMYFUNCTION("REGEXREPLACE(C26530,""-\d+(.*)|--\d+(.*)"","""")"),"BOURG-SOUS-CHATELET")</f>
        <v>BOURG-SOUS-CHATELET</v>
      </c>
      <c r="E26530" s="38" t="s">
        <v>1283</v>
      </c>
      <c r="F26530" s="38" t="s">
        <v>214</v>
      </c>
      <c r="G26530" s="49" t="str">
        <f t="shared" si="1"/>
        <v>90110</v>
      </c>
      <c r="H26530" s="49">
        <f t="shared" si="2"/>
        <v>90016</v>
      </c>
    </row>
    <row r="26531">
      <c r="A26531" s="48" t="s">
        <v>10025</v>
      </c>
      <c r="B26531" s="38">
        <v>66205.0</v>
      </c>
      <c r="C26531" s="38" t="s">
        <v>31020</v>
      </c>
      <c r="D26531" s="38" t="str">
        <f>IFERROR(__xludf.DUMMYFUNCTION("REGEXREPLACE(C26531,""-\d+(.*)|--\d+(.*)"","""")"),"TAUTAVEL")</f>
        <v>TAUTAVEL</v>
      </c>
      <c r="E26531" s="38" t="s">
        <v>248</v>
      </c>
      <c r="F26531" s="38" t="s">
        <v>119</v>
      </c>
      <c r="G26531" s="49" t="str">
        <f t="shared" si="1"/>
        <v>66720</v>
      </c>
      <c r="H26531" s="49">
        <f t="shared" si="2"/>
        <v>66205</v>
      </c>
    </row>
    <row r="26532">
      <c r="A26532" s="48" t="s">
        <v>3349</v>
      </c>
      <c r="B26532" s="38">
        <v>34028.0</v>
      </c>
      <c r="C26532" s="38" t="s">
        <v>31021</v>
      </c>
      <c r="D26532" s="38" t="str">
        <f>IFERROR(__xludf.DUMMYFUNCTION("REGEXREPLACE(C26532,""-\d+(.*)|--\d+(.*)"","""")"),"BEDARIEUX")</f>
        <v>BEDARIEUX</v>
      </c>
      <c r="E26532" s="38" t="s">
        <v>118</v>
      </c>
      <c r="F26532" s="38" t="s">
        <v>119</v>
      </c>
      <c r="G26532" s="49" t="str">
        <f t="shared" si="1"/>
        <v>34600</v>
      </c>
      <c r="H26532" s="49">
        <f t="shared" si="2"/>
        <v>34028</v>
      </c>
    </row>
    <row r="26533">
      <c r="A26533" s="48" t="s">
        <v>1239</v>
      </c>
      <c r="B26533" s="38">
        <v>2716.0</v>
      </c>
      <c r="C26533" s="38" t="s">
        <v>31022</v>
      </c>
      <c r="D26533" s="38" t="str">
        <f>IFERROR(__xludf.DUMMYFUNCTION("REGEXREPLACE(C26533,""-\d+(.*)|--\d+(.*)"","""")"),"SERVAIS")</f>
        <v>SERVAIS</v>
      </c>
      <c r="E26533" s="38" t="s">
        <v>191</v>
      </c>
      <c r="F26533" s="38" t="s">
        <v>113</v>
      </c>
      <c r="G26533" s="49" t="str">
        <f t="shared" si="1"/>
        <v>02700</v>
      </c>
      <c r="H26533" s="49" t="str">
        <f t="shared" si="2"/>
        <v>02716</v>
      </c>
    </row>
    <row r="26534">
      <c r="A26534" s="48" t="s">
        <v>2141</v>
      </c>
      <c r="B26534" s="38">
        <v>80525.0</v>
      </c>
      <c r="C26534" s="38" t="s">
        <v>18417</v>
      </c>
      <c r="D26534" s="38" t="str">
        <f>IFERROR(__xludf.DUMMYFUNCTION("REGEXREPLACE(C26534,""-\d+(.*)|--\d+(.*)"","""")"),"MEIGNEUX")</f>
        <v>MEIGNEUX</v>
      </c>
      <c r="E26534" s="38" t="s">
        <v>224</v>
      </c>
      <c r="F26534" s="38" t="s">
        <v>113</v>
      </c>
      <c r="G26534" s="49" t="str">
        <f t="shared" si="1"/>
        <v>80290</v>
      </c>
      <c r="H26534" s="49">
        <f t="shared" si="2"/>
        <v>80525</v>
      </c>
    </row>
    <row r="26535">
      <c r="A26535" s="48" t="s">
        <v>6728</v>
      </c>
      <c r="B26535" s="38">
        <v>89006.0</v>
      </c>
      <c r="C26535" s="38" t="s">
        <v>31023</v>
      </c>
      <c r="D26535" s="38" t="str">
        <f>IFERROR(__xludf.DUMMYFUNCTION("REGEXREPLACE(C26535,""-\d+(.*)|--\d+(.*)"","""")"),"ANCY-LE-LIBRE")</f>
        <v>ANCY-LE-LIBRE</v>
      </c>
      <c r="E26535" s="38" t="s">
        <v>275</v>
      </c>
      <c r="F26535" s="38" t="s">
        <v>106</v>
      </c>
      <c r="G26535" s="49" t="str">
        <f t="shared" si="1"/>
        <v>89160</v>
      </c>
      <c r="H26535" s="49">
        <f t="shared" si="2"/>
        <v>89006</v>
      </c>
    </row>
    <row r="26536">
      <c r="A26536" s="48" t="s">
        <v>19737</v>
      </c>
      <c r="B26536" s="38">
        <v>24053.0</v>
      </c>
      <c r="C26536" s="38" t="s">
        <v>31024</v>
      </c>
      <c r="D26536" s="38" t="str">
        <f>IFERROR(__xludf.DUMMYFUNCTION("REGEXREPLACE(C26536,""-\d+(.*)|--\d+(.*)"","""")"),"BOULAZAC")</f>
        <v>BOULAZAC</v>
      </c>
      <c r="E26536" s="38" t="s">
        <v>261</v>
      </c>
      <c r="F26536" s="38" t="s">
        <v>252</v>
      </c>
      <c r="G26536" s="49" t="str">
        <f t="shared" si="1"/>
        <v>24750</v>
      </c>
      <c r="H26536" s="49">
        <f t="shared" si="2"/>
        <v>24053</v>
      </c>
    </row>
    <row r="26537">
      <c r="A26537" s="48" t="s">
        <v>9883</v>
      </c>
      <c r="B26537" s="38">
        <v>24320.0</v>
      </c>
      <c r="C26537" s="38" t="s">
        <v>12260</v>
      </c>
      <c r="D26537" s="38" t="str">
        <f>IFERROR(__xludf.DUMMYFUNCTION("REGEXREPLACE(C26537,""-\d+(.*)|--\d+(.*)"","""")"),"PAYZAC")</f>
        <v>PAYZAC</v>
      </c>
      <c r="E26537" s="38" t="s">
        <v>261</v>
      </c>
      <c r="F26537" s="38" t="s">
        <v>252</v>
      </c>
      <c r="G26537" s="49" t="str">
        <f t="shared" si="1"/>
        <v>24270</v>
      </c>
      <c r="H26537" s="49">
        <f t="shared" si="2"/>
        <v>24320</v>
      </c>
    </row>
    <row r="26538">
      <c r="A26538" s="48" t="s">
        <v>2650</v>
      </c>
      <c r="B26538" s="38">
        <v>65129.0</v>
      </c>
      <c r="C26538" s="38" t="s">
        <v>31025</v>
      </c>
      <c r="D26538" s="38" t="str">
        <f>IFERROR(__xludf.DUMMYFUNCTION("REGEXREPLACE(C26538,""-\d+(.*)|--\d+(.*)"","""")"),"CASTELNAU-MAGNOAC")</f>
        <v>CASTELNAU-MAGNOAC</v>
      </c>
      <c r="E26538" s="38" t="s">
        <v>200</v>
      </c>
      <c r="F26538" s="38" t="s">
        <v>94</v>
      </c>
      <c r="G26538" s="49" t="str">
        <f t="shared" si="1"/>
        <v>65230</v>
      </c>
      <c r="H26538" s="49">
        <f t="shared" si="2"/>
        <v>65129</v>
      </c>
    </row>
    <row r="26539">
      <c r="A26539" s="48" t="s">
        <v>4340</v>
      </c>
      <c r="B26539" s="38">
        <v>33543.0</v>
      </c>
      <c r="C26539" s="38" t="s">
        <v>31026</v>
      </c>
      <c r="D26539" s="38" t="str">
        <f>IFERROR(__xludf.DUMMYFUNCTION("REGEXREPLACE(C26539,""-\d+(.*)|--\d+(.*)"","""")"),"VERDELAIS")</f>
        <v>VERDELAIS</v>
      </c>
      <c r="E26539" s="38" t="s">
        <v>462</v>
      </c>
      <c r="F26539" s="38" t="s">
        <v>252</v>
      </c>
      <c r="G26539" s="49" t="str">
        <f t="shared" si="1"/>
        <v>33490</v>
      </c>
      <c r="H26539" s="49">
        <f t="shared" si="2"/>
        <v>33543</v>
      </c>
    </row>
    <row r="26540">
      <c r="A26540" s="48" t="s">
        <v>6626</v>
      </c>
      <c r="B26540" s="38">
        <v>58172.0</v>
      </c>
      <c r="C26540" s="38" t="s">
        <v>31027</v>
      </c>
      <c r="D26540" s="38" t="str">
        <f>IFERROR(__xludf.DUMMYFUNCTION("REGEXREPLACE(C26540,""-\d+(.*)|--\d+(.*)"","""")"),"MONTAMBERT")</f>
        <v>MONTAMBERT</v>
      </c>
      <c r="E26540" s="38" t="s">
        <v>219</v>
      </c>
      <c r="F26540" s="38" t="s">
        <v>106</v>
      </c>
      <c r="G26540" s="49" t="str">
        <f t="shared" si="1"/>
        <v>58250</v>
      </c>
      <c r="H26540" s="49">
        <f t="shared" si="2"/>
        <v>58172</v>
      </c>
    </row>
    <row r="26541">
      <c r="A26541" s="48" t="s">
        <v>398</v>
      </c>
      <c r="B26541" s="38">
        <v>39187.0</v>
      </c>
      <c r="C26541" s="38" t="s">
        <v>31028</v>
      </c>
      <c r="D26541" s="38" t="str">
        <f>IFERROR(__xludf.DUMMYFUNCTION("REGEXREPLACE(C26541,""-\d+(.*)|--\d+(.*)"","""")"),"CUVIER")</f>
        <v>CUVIER</v>
      </c>
      <c r="E26541" s="38" t="s">
        <v>400</v>
      </c>
      <c r="F26541" s="38" t="s">
        <v>214</v>
      </c>
      <c r="G26541" s="49" t="str">
        <f t="shared" si="1"/>
        <v>39250</v>
      </c>
      <c r="H26541" s="49">
        <f t="shared" si="2"/>
        <v>39187</v>
      </c>
    </row>
    <row r="26542">
      <c r="A26542" s="48" t="s">
        <v>576</v>
      </c>
      <c r="B26542" s="38">
        <v>54030.0</v>
      </c>
      <c r="C26542" s="38" t="s">
        <v>31029</v>
      </c>
      <c r="D26542" s="38" t="str">
        <f>IFERROR(__xludf.DUMMYFUNCTION("REGEXREPLACE(C26542,""-\d+(.*)|--\d+(.*)"","""")"),"AUTREPIERRE")</f>
        <v>AUTREPIERRE</v>
      </c>
      <c r="E26542" s="38" t="s">
        <v>548</v>
      </c>
      <c r="F26542" s="38" t="s">
        <v>195</v>
      </c>
      <c r="G26542" s="49" t="str">
        <f t="shared" si="1"/>
        <v>54450</v>
      </c>
      <c r="H26542" s="49">
        <f t="shared" si="2"/>
        <v>54030</v>
      </c>
    </row>
    <row r="26543">
      <c r="A26543" s="48" t="s">
        <v>26328</v>
      </c>
      <c r="B26543" s="38" t="s">
        <v>31030</v>
      </c>
      <c r="C26543" s="38" t="s">
        <v>31031</v>
      </c>
      <c r="D26543" s="38" t="str">
        <f>IFERROR(__xludf.DUMMYFUNCTION("REGEXREPLACE(C26543,""-\d+(.*)|--\d+(.*)"","""")"),"PALASCA")</f>
        <v>PALASCA</v>
      </c>
      <c r="E26543" s="38" t="s">
        <v>743</v>
      </c>
      <c r="F26543" s="38" t="s">
        <v>607</v>
      </c>
      <c r="G26543" s="49" t="str">
        <f t="shared" si="1"/>
        <v>20226</v>
      </c>
      <c r="H26543" s="49" t="str">
        <f t="shared" si="2"/>
        <v>2B199</v>
      </c>
    </row>
    <row r="26544">
      <c r="A26544" s="48" t="s">
        <v>2640</v>
      </c>
      <c r="B26544" s="38">
        <v>58066.0</v>
      </c>
      <c r="C26544" s="38" t="s">
        <v>31032</v>
      </c>
      <c r="D26544" s="38" t="str">
        <f>IFERROR(__xludf.DUMMYFUNCTION("REGEXREPLACE(C26544,""-\d+(.*)|--\d+(.*)"","""")"),"CHATIN")</f>
        <v>CHATIN</v>
      </c>
      <c r="E26544" s="38" t="s">
        <v>219</v>
      </c>
      <c r="F26544" s="38" t="s">
        <v>106</v>
      </c>
      <c r="G26544" s="49" t="str">
        <f t="shared" si="1"/>
        <v>58120</v>
      </c>
      <c r="H26544" s="49">
        <f t="shared" si="2"/>
        <v>58066</v>
      </c>
    </row>
    <row r="26545">
      <c r="A26545" s="48" t="s">
        <v>3500</v>
      </c>
      <c r="B26545" s="38">
        <v>38066.0</v>
      </c>
      <c r="C26545" s="38" t="s">
        <v>31033</v>
      </c>
      <c r="D26545" s="38" t="str">
        <f>IFERROR(__xludf.DUMMYFUNCTION("REGEXREPLACE(C26545,""-\d+(.*)|--\d+(.*)"","""")"),"CHALON")</f>
        <v>CHALON</v>
      </c>
      <c r="E26545" s="38" t="s">
        <v>101</v>
      </c>
      <c r="F26545" s="38" t="s">
        <v>102</v>
      </c>
      <c r="G26545" s="49" t="str">
        <f t="shared" si="1"/>
        <v>38122</v>
      </c>
      <c r="H26545" s="49">
        <f t="shared" si="2"/>
        <v>38066</v>
      </c>
    </row>
    <row r="26546">
      <c r="A26546" s="48" t="s">
        <v>19788</v>
      </c>
      <c r="B26546" s="38">
        <v>17149.0</v>
      </c>
      <c r="C26546" s="38" t="s">
        <v>31034</v>
      </c>
      <c r="D26546" s="38" t="str">
        <f>IFERROR(__xludf.DUMMYFUNCTION("REGEXREPLACE(C26546,""-\d+(.*)|--\d+(.*)"","""")"),"LES EDUTS")</f>
        <v>LES EDUTS</v>
      </c>
      <c r="E26546" s="38" t="s">
        <v>488</v>
      </c>
      <c r="F26546" s="38" t="s">
        <v>338</v>
      </c>
      <c r="G26546" s="49" t="str">
        <f t="shared" si="1"/>
        <v>17510</v>
      </c>
      <c r="H26546" s="49">
        <f t="shared" si="2"/>
        <v>17149</v>
      </c>
    </row>
    <row r="26547">
      <c r="A26547" s="48" t="s">
        <v>6233</v>
      </c>
      <c r="B26547" s="38">
        <v>15068.0</v>
      </c>
      <c r="C26547" s="38" t="s">
        <v>4831</v>
      </c>
      <c r="D26547" s="38" t="str">
        <f>IFERROR(__xludf.DUMMYFUNCTION("REGEXREPLACE(C26547,""-\d+(.*)|--\d+(.*)"","""")"),"FAVEROLLES")</f>
        <v>FAVEROLLES</v>
      </c>
      <c r="E26547" s="38" t="s">
        <v>632</v>
      </c>
      <c r="F26547" s="38" t="s">
        <v>161</v>
      </c>
      <c r="G26547" s="49" t="str">
        <f t="shared" si="1"/>
        <v>15320</v>
      </c>
      <c r="H26547" s="49">
        <f t="shared" si="2"/>
        <v>15068</v>
      </c>
    </row>
    <row r="26548">
      <c r="A26548" s="48" t="s">
        <v>709</v>
      </c>
      <c r="B26548" s="38">
        <v>43035.0</v>
      </c>
      <c r="C26548" s="38" t="s">
        <v>3173</v>
      </c>
      <c r="D26548" s="38" t="str">
        <f>IFERROR(__xludf.DUMMYFUNCTION("REGEXREPLACE(C26548,""-\d+(.*)|--\d+(.*)"","""")"),"BONNEVAL")</f>
        <v>BONNEVAL</v>
      </c>
      <c r="E26548" s="38" t="s">
        <v>332</v>
      </c>
      <c r="F26548" s="38" t="s">
        <v>161</v>
      </c>
      <c r="G26548" s="49" t="str">
        <f t="shared" si="1"/>
        <v>43160</v>
      </c>
      <c r="H26548" s="49">
        <f t="shared" si="2"/>
        <v>43035</v>
      </c>
    </row>
    <row r="26549">
      <c r="A26549" s="48" t="s">
        <v>215</v>
      </c>
      <c r="B26549" s="38">
        <v>2801.0</v>
      </c>
      <c r="C26549" s="38" t="s">
        <v>31035</v>
      </c>
      <c r="D26549" s="38" t="str">
        <f>IFERROR(__xludf.DUMMYFUNCTION("REGEXREPLACE(C26549,""-\d+(.*)|--\d+(.*)"","""")"),"VIGNEUX-HOCQUET")</f>
        <v>VIGNEUX-HOCQUET</v>
      </c>
      <c r="E26549" s="38" t="s">
        <v>191</v>
      </c>
      <c r="F26549" s="38" t="s">
        <v>113</v>
      </c>
      <c r="G26549" s="49" t="str">
        <f t="shared" si="1"/>
        <v>02340</v>
      </c>
      <c r="H26549" s="49" t="str">
        <f t="shared" si="2"/>
        <v>02801</v>
      </c>
    </row>
    <row r="26550">
      <c r="A26550" s="48" t="s">
        <v>3618</v>
      </c>
      <c r="B26550" s="38">
        <v>31067.0</v>
      </c>
      <c r="C26550" s="38" t="s">
        <v>31036</v>
      </c>
      <c r="D26550" s="38" t="str">
        <f>IFERROR(__xludf.DUMMYFUNCTION("REGEXREPLACE(C26550,""-\d+(.*)|--\d+(.*)"","""")"),"BEZINS-GARRAUX")</f>
        <v>BEZINS-GARRAUX</v>
      </c>
      <c r="E26550" s="38" t="s">
        <v>93</v>
      </c>
      <c r="F26550" s="38" t="s">
        <v>94</v>
      </c>
      <c r="G26550" s="49" t="str">
        <f t="shared" si="1"/>
        <v>31440</v>
      </c>
      <c r="H26550" s="49">
        <f t="shared" si="2"/>
        <v>31067</v>
      </c>
    </row>
    <row r="26551">
      <c r="A26551" s="48" t="s">
        <v>30197</v>
      </c>
      <c r="B26551" s="38">
        <v>25547.0</v>
      </c>
      <c r="C26551" s="38" t="s">
        <v>31037</v>
      </c>
      <c r="D26551" s="38" t="str">
        <f>IFERROR(__xludf.DUMMYFUNCTION("REGEXREPLACE(C26551,""-\d+(.*)|--\d+(.*)"","""")"),"SOCHAUX")</f>
        <v>SOCHAUX</v>
      </c>
      <c r="E26551" s="38" t="s">
        <v>213</v>
      </c>
      <c r="F26551" s="38" t="s">
        <v>214</v>
      </c>
      <c r="G26551" s="49" t="str">
        <f t="shared" si="1"/>
        <v>25600</v>
      </c>
      <c r="H26551" s="49">
        <f t="shared" si="2"/>
        <v>25547</v>
      </c>
    </row>
    <row r="26552">
      <c r="A26552" s="48" t="s">
        <v>2190</v>
      </c>
      <c r="B26552" s="38">
        <v>10057.0</v>
      </c>
      <c r="C26552" s="38" t="s">
        <v>31038</v>
      </c>
      <c r="D26552" s="38" t="str">
        <f>IFERROR(__xludf.DUMMYFUNCTION("REGEXREPLACE(C26552,""-\d+(.*)|--\d+(.*)"","""")"),"BOUY-SUR-ORVIN")</f>
        <v>BOUY-SUR-ORVIN</v>
      </c>
      <c r="E26552" s="38" t="s">
        <v>147</v>
      </c>
      <c r="F26552" s="38" t="s">
        <v>130</v>
      </c>
      <c r="G26552" s="49" t="str">
        <f t="shared" si="1"/>
        <v>10400</v>
      </c>
      <c r="H26552" s="49">
        <f t="shared" si="2"/>
        <v>10057</v>
      </c>
    </row>
    <row r="26553">
      <c r="A26553" s="48" t="s">
        <v>7075</v>
      </c>
      <c r="B26553" s="38">
        <v>27181.0</v>
      </c>
      <c r="C26553" s="38" t="s">
        <v>25912</v>
      </c>
      <c r="D26553" s="38" t="str">
        <f>IFERROR(__xludf.DUMMYFUNCTION("REGEXREPLACE(C26553,""-\d+(.*)|--\d+(.*)"","""")"),"COURDEMANCHE")</f>
        <v>COURDEMANCHE</v>
      </c>
      <c r="E26553" s="38" t="s">
        <v>241</v>
      </c>
      <c r="F26553" s="38" t="s">
        <v>134</v>
      </c>
      <c r="G26553" s="49" t="str">
        <f t="shared" si="1"/>
        <v>27320</v>
      </c>
      <c r="H26553" s="49">
        <f t="shared" si="2"/>
        <v>27181</v>
      </c>
    </row>
    <row r="26554">
      <c r="A26554" s="48" t="s">
        <v>4332</v>
      </c>
      <c r="B26554" s="38">
        <v>24182.0</v>
      </c>
      <c r="C26554" s="38" t="s">
        <v>31039</v>
      </c>
      <c r="D26554" s="38" t="str">
        <f>IFERROR(__xludf.DUMMYFUNCTION("REGEXREPLACE(C26554,""-\d+(.*)|--\d+(.*)"","""")"),"LE FLEIX")</f>
        <v>LE FLEIX</v>
      </c>
      <c r="E26554" s="38" t="s">
        <v>261</v>
      </c>
      <c r="F26554" s="38" t="s">
        <v>252</v>
      </c>
      <c r="G26554" s="49" t="str">
        <f t="shared" si="1"/>
        <v>24130</v>
      </c>
      <c r="H26554" s="49">
        <f t="shared" si="2"/>
        <v>24182</v>
      </c>
    </row>
    <row r="26555">
      <c r="A26555" s="48" t="s">
        <v>3129</v>
      </c>
      <c r="B26555" s="38">
        <v>18052.0</v>
      </c>
      <c r="C26555" s="38" t="s">
        <v>31040</v>
      </c>
      <c r="D26555" s="38" t="str">
        <f>IFERROR(__xludf.DUMMYFUNCTION("REGEXREPLACE(C26555,""-\d+(.*)|--\d+(.*)"","""")"),"CHARENTON-DU-CHER")</f>
        <v>CHARENTON-DU-CHER</v>
      </c>
      <c r="E26555" s="38" t="s">
        <v>504</v>
      </c>
      <c r="F26555" s="38" t="s">
        <v>123</v>
      </c>
      <c r="G26555" s="49" t="str">
        <f t="shared" si="1"/>
        <v>18210</v>
      </c>
      <c r="H26555" s="49">
        <f t="shared" si="2"/>
        <v>18052</v>
      </c>
    </row>
    <row r="26556">
      <c r="A26556" s="48" t="s">
        <v>6535</v>
      </c>
      <c r="B26556" s="38">
        <v>58057.0</v>
      </c>
      <c r="C26556" s="38" t="s">
        <v>31041</v>
      </c>
      <c r="D26556" s="38" t="str">
        <f>IFERROR(__xludf.DUMMYFUNCTION("REGEXREPLACE(C26556,""-\d+(.*)|--\d+(.*)"","""")"),"CHANTENAY-SAINT-IMBERT")</f>
        <v>CHANTENAY-SAINT-IMBERT</v>
      </c>
      <c r="E26556" s="38" t="s">
        <v>219</v>
      </c>
      <c r="F26556" s="38" t="s">
        <v>106</v>
      </c>
      <c r="G26556" s="49" t="str">
        <f t="shared" si="1"/>
        <v>58240</v>
      </c>
      <c r="H26556" s="49">
        <f t="shared" si="2"/>
        <v>58057</v>
      </c>
    </row>
    <row r="26557">
      <c r="A26557" s="48" t="s">
        <v>15038</v>
      </c>
      <c r="B26557" s="38">
        <v>22333.0</v>
      </c>
      <c r="C26557" s="38" t="s">
        <v>31042</v>
      </c>
      <c r="D26557" s="38" t="str">
        <f>IFERROR(__xludf.DUMMYFUNCTION("REGEXREPLACE(C26557,""-\d+(.*)|--\d+(.*)"","""")"),"SAINT-VRAN")</f>
        <v>SAINT-VRAN</v>
      </c>
      <c r="E26557" s="38" t="s">
        <v>89</v>
      </c>
      <c r="F26557" s="38" t="s">
        <v>90</v>
      </c>
      <c r="G26557" s="49" t="str">
        <f t="shared" si="1"/>
        <v>22230</v>
      </c>
      <c r="H26557" s="49">
        <f t="shared" si="2"/>
        <v>22333</v>
      </c>
    </row>
    <row r="26558">
      <c r="A26558" s="48" t="s">
        <v>2575</v>
      </c>
      <c r="B26558" s="38">
        <v>91067.0</v>
      </c>
      <c r="C26558" s="38" t="s">
        <v>28000</v>
      </c>
      <c r="D26558" s="38" t="str">
        <f>IFERROR(__xludf.DUMMYFUNCTION("REGEXREPLACE(C26558,""-\d+(.*)|--\d+(.*)"","""")"),"BLANDY")</f>
        <v>BLANDY</v>
      </c>
      <c r="E26558" s="38" t="s">
        <v>756</v>
      </c>
      <c r="F26558" s="38" t="s">
        <v>245</v>
      </c>
      <c r="G26558" s="49" t="str">
        <f t="shared" si="1"/>
        <v>91150</v>
      </c>
      <c r="H26558" s="49">
        <f t="shared" si="2"/>
        <v>91067</v>
      </c>
    </row>
    <row r="26559">
      <c r="A26559" s="48" t="s">
        <v>4543</v>
      </c>
      <c r="B26559" s="38">
        <v>64437.0</v>
      </c>
      <c r="C26559" s="38" t="s">
        <v>31043</v>
      </c>
      <c r="D26559" s="38" t="str">
        <f>IFERROR(__xludf.DUMMYFUNCTION("REGEXREPLACE(C26559,""-\d+(.*)|--\d+(.*)"","""")"),"OSTABAT-ASME")</f>
        <v>OSTABAT-ASME</v>
      </c>
      <c r="E26559" s="38" t="s">
        <v>268</v>
      </c>
      <c r="F26559" s="38" t="s">
        <v>252</v>
      </c>
      <c r="G26559" s="49" t="str">
        <f t="shared" si="1"/>
        <v>64120</v>
      </c>
      <c r="H26559" s="49">
        <f t="shared" si="2"/>
        <v>64437</v>
      </c>
    </row>
    <row r="26560">
      <c r="A26560" s="48" t="s">
        <v>1014</v>
      </c>
      <c r="B26560" s="38">
        <v>11337.0</v>
      </c>
      <c r="C26560" s="38" t="s">
        <v>31044</v>
      </c>
      <c r="D26560" s="38" t="str">
        <f>IFERROR(__xludf.DUMMYFUNCTION("REGEXREPLACE(C26560,""-\d+(.*)|--\d+(.*)"","""")"),"SAINT-COUAT-D'AUDE")</f>
        <v>SAINT-COUAT-D'AUDE</v>
      </c>
      <c r="E26560" s="38" t="s">
        <v>278</v>
      </c>
      <c r="F26560" s="38" t="s">
        <v>119</v>
      </c>
      <c r="G26560" s="49" t="str">
        <f t="shared" si="1"/>
        <v>11700</v>
      </c>
      <c r="H26560" s="49">
        <f t="shared" si="2"/>
        <v>11337</v>
      </c>
    </row>
    <row r="26561">
      <c r="A26561" s="48" t="s">
        <v>10433</v>
      </c>
      <c r="B26561" s="38">
        <v>46300.0</v>
      </c>
      <c r="C26561" s="38" t="s">
        <v>31045</v>
      </c>
      <c r="D26561" s="38" t="str">
        <f>IFERROR(__xludf.DUMMYFUNCTION("REGEXREPLACE(C26561,""-\d+(.*)|--\d+(.*)"","""")"),"SAUX")</f>
        <v>SAUX</v>
      </c>
      <c r="E26561" s="38" t="s">
        <v>185</v>
      </c>
      <c r="F26561" s="38" t="s">
        <v>94</v>
      </c>
      <c r="G26561" s="49" t="str">
        <f t="shared" si="1"/>
        <v>46800</v>
      </c>
      <c r="H26561" s="49">
        <f t="shared" si="2"/>
        <v>46300</v>
      </c>
    </row>
    <row r="26562">
      <c r="A26562" s="48" t="s">
        <v>9928</v>
      </c>
      <c r="B26562" s="38">
        <v>32464.0</v>
      </c>
      <c r="C26562" s="38" t="s">
        <v>31046</v>
      </c>
      <c r="D26562" s="38" t="str">
        <f>IFERROR(__xludf.DUMMYFUNCTION("REGEXREPLACE(C26562,""-\d+(.*)|--\d+(.*)"","""")"),"VILLECOMTAL-SUR-ARROS")</f>
        <v>VILLECOMTAL-SUR-ARROS</v>
      </c>
      <c r="E26562" s="38" t="s">
        <v>440</v>
      </c>
      <c r="F26562" s="38" t="s">
        <v>94</v>
      </c>
      <c r="G26562" s="49" t="str">
        <f t="shared" si="1"/>
        <v>32730</v>
      </c>
      <c r="H26562" s="49">
        <f t="shared" si="2"/>
        <v>32464</v>
      </c>
    </row>
    <row r="26563">
      <c r="A26563" s="48" t="s">
        <v>3120</v>
      </c>
      <c r="B26563" s="38">
        <v>10356.0</v>
      </c>
      <c r="C26563" s="38" t="s">
        <v>31047</v>
      </c>
      <c r="D26563" s="38" t="str">
        <f>IFERROR(__xludf.DUMMYFUNCTION("REGEXREPLACE(C26563,""-\d+(.*)|--\d+(.*)"","""")"),"SAINT-OULPH")</f>
        <v>SAINT-OULPH</v>
      </c>
      <c r="E26563" s="38" t="s">
        <v>147</v>
      </c>
      <c r="F26563" s="38" t="s">
        <v>130</v>
      </c>
      <c r="G26563" s="49" t="str">
        <f t="shared" si="1"/>
        <v>10170</v>
      </c>
      <c r="H26563" s="49">
        <f t="shared" si="2"/>
        <v>10356</v>
      </c>
    </row>
    <row r="26564">
      <c r="A26564" s="48" t="s">
        <v>2608</v>
      </c>
      <c r="B26564" s="38">
        <v>24107.0</v>
      </c>
      <c r="C26564" s="38" t="s">
        <v>31048</v>
      </c>
      <c r="D26564" s="38" t="str">
        <f>IFERROR(__xludf.DUMMYFUNCTION("REGEXREPLACE(C26564,""-\d+(.*)|--\d+(.*)"","""")"),"LA CHAPELLE-FAUCHER")</f>
        <v>LA CHAPELLE-FAUCHER</v>
      </c>
      <c r="E26564" s="38" t="s">
        <v>261</v>
      </c>
      <c r="F26564" s="38" t="s">
        <v>252</v>
      </c>
      <c r="G26564" s="49" t="str">
        <f t="shared" si="1"/>
        <v>24530</v>
      </c>
      <c r="H26564" s="49">
        <f t="shared" si="2"/>
        <v>24107</v>
      </c>
    </row>
    <row r="26565">
      <c r="A26565" s="48" t="s">
        <v>972</v>
      </c>
      <c r="B26565" s="38">
        <v>37147.0</v>
      </c>
      <c r="C26565" s="38" t="s">
        <v>31049</v>
      </c>
      <c r="D26565" s="38" t="str">
        <f>IFERROR(__xludf.DUMMYFUNCTION("REGEXREPLACE(C26565,""-\d+(.*)|--\d+(.*)"","""")"),"MARCILLY-SUR-VIENNE")</f>
        <v>MARCILLY-SUR-VIENNE</v>
      </c>
      <c r="E26565" s="38" t="s">
        <v>205</v>
      </c>
      <c r="F26565" s="38" t="s">
        <v>123</v>
      </c>
      <c r="G26565" s="49" t="str">
        <f t="shared" si="1"/>
        <v>37800</v>
      </c>
      <c r="H26565" s="49">
        <f t="shared" si="2"/>
        <v>37147</v>
      </c>
    </row>
    <row r="26566">
      <c r="A26566" s="48" t="s">
        <v>26655</v>
      </c>
      <c r="B26566" s="38">
        <v>71533.0</v>
      </c>
      <c r="C26566" s="38" t="s">
        <v>31050</v>
      </c>
      <c r="D26566" s="38" t="str">
        <f>IFERROR(__xludf.DUMMYFUNCTION("REGEXREPLACE(C26566,""-\d+(.*)|--\d+(.*)"","""")"),"TANCON")</f>
        <v>TANCON</v>
      </c>
      <c r="E26566" s="38" t="s">
        <v>344</v>
      </c>
      <c r="F26566" s="38" t="s">
        <v>106</v>
      </c>
      <c r="G26566" s="49" t="str">
        <f t="shared" si="1"/>
        <v>71740</v>
      </c>
      <c r="H26566" s="49">
        <f t="shared" si="2"/>
        <v>71533</v>
      </c>
    </row>
    <row r="26567">
      <c r="A26567" s="48" t="s">
        <v>5281</v>
      </c>
      <c r="B26567" s="38">
        <v>25520.0</v>
      </c>
      <c r="C26567" s="38" t="s">
        <v>31051</v>
      </c>
      <c r="D26567" s="38" t="str">
        <f>IFERROR(__xludf.DUMMYFUNCTION("REGEXREPLACE(C26567,""-\d+(.*)|--\d+(.*)"","""")"),"SAINT-JUAN")</f>
        <v>SAINT-JUAN</v>
      </c>
      <c r="E26567" s="38" t="s">
        <v>213</v>
      </c>
      <c r="F26567" s="38" t="s">
        <v>214</v>
      </c>
      <c r="G26567" s="49" t="str">
        <f t="shared" si="1"/>
        <v>25360</v>
      </c>
      <c r="H26567" s="49">
        <f t="shared" si="2"/>
        <v>25520</v>
      </c>
    </row>
    <row r="26568">
      <c r="A26568" s="48" t="s">
        <v>1058</v>
      </c>
      <c r="B26568" s="38">
        <v>21035.0</v>
      </c>
      <c r="C26568" s="38" t="s">
        <v>31052</v>
      </c>
      <c r="D26568" s="38" t="str">
        <f>IFERROR(__xludf.DUMMYFUNCTION("REGEXREPLACE(C26568,""-\d+(.*)|--\d+(.*)"","""")"),"AUVILLARS-SUR-SAONE")</f>
        <v>AUVILLARS-SUR-SAONE</v>
      </c>
      <c r="E26568" s="38" t="s">
        <v>105</v>
      </c>
      <c r="F26568" s="38" t="s">
        <v>106</v>
      </c>
      <c r="G26568" s="49" t="str">
        <f t="shared" si="1"/>
        <v>21250</v>
      </c>
      <c r="H26568" s="49">
        <f t="shared" si="2"/>
        <v>21035</v>
      </c>
    </row>
    <row r="26569">
      <c r="A26569" s="48" t="s">
        <v>222</v>
      </c>
      <c r="B26569" s="38">
        <v>80776.0</v>
      </c>
      <c r="C26569" s="38" t="s">
        <v>13130</v>
      </c>
      <c r="D26569" s="38" t="str">
        <f>IFERROR(__xludf.DUMMYFUNCTION("REGEXREPLACE(C26569,""-\d+(.*)|--\d+(.*)"","""")"),"VARENNES")</f>
        <v>VARENNES</v>
      </c>
      <c r="E26569" s="38" t="s">
        <v>224</v>
      </c>
      <c r="F26569" s="38" t="s">
        <v>113</v>
      </c>
      <c r="G26569" s="49" t="str">
        <f t="shared" si="1"/>
        <v>80560</v>
      </c>
      <c r="H26569" s="49">
        <f t="shared" si="2"/>
        <v>80776</v>
      </c>
    </row>
    <row r="26570">
      <c r="A26570" s="48" t="s">
        <v>5553</v>
      </c>
      <c r="B26570" s="38">
        <v>34251.0</v>
      </c>
      <c r="C26570" s="38" t="s">
        <v>31053</v>
      </c>
      <c r="D26570" s="38" t="str">
        <f>IFERROR(__xludf.DUMMYFUNCTION("REGEXREPLACE(C26570,""-\d+(.*)|--\d+(.*)"","""")"),"SAINT-ETIENNE-DE-GOURGAS")</f>
        <v>SAINT-ETIENNE-DE-GOURGAS</v>
      </c>
      <c r="E26570" s="38" t="s">
        <v>118</v>
      </c>
      <c r="F26570" s="38" t="s">
        <v>119</v>
      </c>
      <c r="G26570" s="49" t="str">
        <f t="shared" si="1"/>
        <v>34700</v>
      </c>
      <c r="H26570" s="49">
        <f t="shared" si="2"/>
        <v>34251</v>
      </c>
    </row>
    <row r="26571">
      <c r="A26571" s="48" t="s">
        <v>2004</v>
      </c>
      <c r="B26571" s="38">
        <v>88219.0</v>
      </c>
      <c r="C26571" s="38" t="s">
        <v>31054</v>
      </c>
      <c r="D26571" s="38" t="str">
        <f>IFERROR(__xludf.DUMMYFUNCTION("REGEXREPLACE(C26571,""-\d+(.*)|--\d+(.*)"","""")"),"GREUX")</f>
        <v>GREUX</v>
      </c>
      <c r="E26571" s="38" t="s">
        <v>194</v>
      </c>
      <c r="F26571" s="38" t="s">
        <v>195</v>
      </c>
      <c r="G26571" s="49" t="str">
        <f t="shared" si="1"/>
        <v>88630</v>
      </c>
      <c r="H26571" s="49">
        <f t="shared" si="2"/>
        <v>88219</v>
      </c>
    </row>
    <row r="26572">
      <c r="A26572" s="48" t="s">
        <v>30177</v>
      </c>
      <c r="B26572" s="38">
        <v>58103.0</v>
      </c>
      <c r="C26572" s="38" t="s">
        <v>31055</v>
      </c>
      <c r="D26572" s="38" t="str">
        <f>IFERROR(__xludf.DUMMYFUNCTION("REGEXREPLACE(C26572,""-\d+(.*)|--\d+(.*)"","""")"),"DORNECY")</f>
        <v>DORNECY</v>
      </c>
      <c r="E26572" s="38" t="s">
        <v>219</v>
      </c>
      <c r="F26572" s="38" t="s">
        <v>106</v>
      </c>
      <c r="G26572" s="49" t="str">
        <f t="shared" si="1"/>
        <v>58530</v>
      </c>
      <c r="H26572" s="49">
        <f t="shared" si="2"/>
        <v>58103</v>
      </c>
    </row>
    <row r="26573">
      <c r="A26573" s="48" t="s">
        <v>8103</v>
      </c>
      <c r="B26573" s="38">
        <v>55243.0</v>
      </c>
      <c r="C26573" s="38" t="s">
        <v>31056</v>
      </c>
      <c r="D26573" s="38" t="str">
        <f>IFERROR(__xludf.DUMMYFUNCTION("REGEXREPLACE(C26573,""-\d+(.*)|--\d+(.*)"","""")"),"HERBEUVILLE")</f>
        <v>HERBEUVILLE</v>
      </c>
      <c r="E26573" s="38" t="s">
        <v>322</v>
      </c>
      <c r="F26573" s="38" t="s">
        <v>195</v>
      </c>
      <c r="G26573" s="49" t="str">
        <f t="shared" si="1"/>
        <v>55210</v>
      </c>
      <c r="H26573" s="49">
        <f t="shared" si="2"/>
        <v>55243</v>
      </c>
    </row>
    <row r="26574">
      <c r="A26574" s="48" t="s">
        <v>958</v>
      </c>
      <c r="B26574" s="38">
        <v>71011.0</v>
      </c>
      <c r="C26574" s="38" t="s">
        <v>31057</v>
      </c>
      <c r="D26574" s="38" t="str">
        <f>IFERROR(__xludf.DUMMYFUNCTION("REGEXREPLACE(C26574,""-\d+(.*)|--\d+(.*)"","""")"),"ANZY-LE-DUC")</f>
        <v>ANZY-LE-DUC</v>
      </c>
      <c r="E26574" s="38" t="s">
        <v>344</v>
      </c>
      <c r="F26574" s="38" t="s">
        <v>106</v>
      </c>
      <c r="G26574" s="49" t="str">
        <f t="shared" si="1"/>
        <v>71110</v>
      </c>
      <c r="H26574" s="49">
        <f t="shared" si="2"/>
        <v>71011</v>
      </c>
    </row>
    <row r="26575">
      <c r="A26575" s="48" t="s">
        <v>8122</v>
      </c>
      <c r="B26575" s="38">
        <v>42182.0</v>
      </c>
      <c r="C26575" s="38" t="s">
        <v>31058</v>
      </c>
      <c r="D26575" s="38" t="str">
        <f>IFERROR(__xludf.DUMMYFUNCTION("REGEXREPLACE(C26575,""-\d+(.*)|--\d+(.*)"","""")"),"RENAISON")</f>
        <v>RENAISON</v>
      </c>
      <c r="E26575" s="38" t="s">
        <v>166</v>
      </c>
      <c r="F26575" s="38" t="s">
        <v>102</v>
      </c>
      <c r="G26575" s="49" t="str">
        <f t="shared" si="1"/>
        <v>42370</v>
      </c>
      <c r="H26575" s="49">
        <f t="shared" si="2"/>
        <v>42182</v>
      </c>
    </row>
    <row r="26576">
      <c r="A26576" s="48" t="s">
        <v>734</v>
      </c>
      <c r="B26576" s="38">
        <v>54249.0</v>
      </c>
      <c r="C26576" s="38" t="s">
        <v>31059</v>
      </c>
      <c r="D26576" s="38" t="str">
        <f>IFERROR(__xludf.DUMMYFUNCTION("REGEXREPLACE(C26576,""-\d+(.*)|--\d+(.*)"","""")"),"HANNONVILLE-SUZEMONT")</f>
        <v>HANNONVILLE-SUZEMONT</v>
      </c>
      <c r="E26576" s="38" t="s">
        <v>548</v>
      </c>
      <c r="F26576" s="38" t="s">
        <v>195</v>
      </c>
      <c r="G26576" s="49" t="str">
        <f t="shared" si="1"/>
        <v>54800</v>
      </c>
      <c r="H26576" s="49">
        <f t="shared" si="2"/>
        <v>54249</v>
      </c>
    </row>
    <row r="26577">
      <c r="A26577" s="48" t="s">
        <v>456</v>
      </c>
      <c r="B26577" s="38">
        <v>63466.0</v>
      </c>
      <c r="C26577" s="38" t="s">
        <v>31060</v>
      </c>
      <c r="D26577" s="38" t="str">
        <f>IFERROR(__xludf.DUMMYFUNCTION("REGEXREPLACE(C26577,""-\d+(.*)|--\d+(.*)"","""")"),"VODABLE")</f>
        <v>VODABLE</v>
      </c>
      <c r="E26577" s="38" t="s">
        <v>353</v>
      </c>
      <c r="F26577" s="38" t="s">
        <v>161</v>
      </c>
      <c r="G26577" s="49" t="str">
        <f t="shared" si="1"/>
        <v>63500</v>
      </c>
      <c r="H26577" s="49">
        <f t="shared" si="2"/>
        <v>63466</v>
      </c>
    </row>
    <row r="26578">
      <c r="A26578" s="48" t="s">
        <v>31061</v>
      </c>
      <c r="B26578" s="38">
        <v>30203.0</v>
      </c>
      <c r="C26578" s="38" t="s">
        <v>1842</v>
      </c>
      <c r="D26578" s="38" t="str">
        <f>IFERROR(__xludf.DUMMYFUNCTION("REGEXREPLACE(C26578,""-\d+(.*)|--\d+(.*)"","""")"),"PORTES")</f>
        <v>PORTES</v>
      </c>
      <c r="E26578" s="38" t="s">
        <v>526</v>
      </c>
      <c r="F26578" s="38" t="s">
        <v>119</v>
      </c>
      <c r="G26578" s="49" t="str">
        <f t="shared" si="1"/>
        <v>30530</v>
      </c>
      <c r="H26578" s="49">
        <f t="shared" si="2"/>
        <v>30203</v>
      </c>
    </row>
    <row r="26579">
      <c r="A26579" s="48" t="s">
        <v>21074</v>
      </c>
      <c r="B26579" s="38" t="s">
        <v>31062</v>
      </c>
      <c r="C26579" s="38" t="s">
        <v>31063</v>
      </c>
      <c r="D26579" s="38" t="str">
        <f>IFERROR(__xludf.DUMMYFUNCTION("REGEXREPLACE(C26579,""-\d+(.*)|--\d+(.*)"","""")"),"VALLE-DI-CAMPOLORO")</f>
        <v>VALLE-DI-CAMPOLORO</v>
      </c>
      <c r="E26579" s="38" t="s">
        <v>743</v>
      </c>
      <c r="F26579" s="38" t="s">
        <v>607</v>
      </c>
      <c r="G26579" s="49" t="str">
        <f t="shared" si="1"/>
        <v>20221</v>
      </c>
      <c r="H26579" s="49" t="str">
        <f t="shared" si="2"/>
        <v>2B335</v>
      </c>
    </row>
    <row r="26580">
      <c r="A26580" s="48" t="s">
        <v>3951</v>
      </c>
      <c r="B26580" s="38">
        <v>24239.0</v>
      </c>
      <c r="C26580" s="38" t="s">
        <v>30094</v>
      </c>
      <c r="D26580" s="38" t="str">
        <f>IFERROR(__xludf.DUMMYFUNCTION("REGEXREPLACE(C26580,""-\d+(.*)|--\d+(.*)"","""")"),"LIGUEUX")</f>
        <v>LIGUEUX</v>
      </c>
      <c r="E26580" s="38" t="s">
        <v>261</v>
      </c>
      <c r="F26580" s="38" t="s">
        <v>252</v>
      </c>
      <c r="G26580" s="49" t="str">
        <f t="shared" si="1"/>
        <v>24460</v>
      </c>
      <c r="H26580" s="49">
        <f t="shared" si="2"/>
        <v>24239</v>
      </c>
    </row>
    <row r="26581">
      <c r="A26581" s="48" t="s">
        <v>7140</v>
      </c>
      <c r="B26581" s="38">
        <v>3176.0</v>
      </c>
      <c r="C26581" s="38" t="s">
        <v>31064</v>
      </c>
      <c r="D26581" s="38" t="str">
        <f>IFERROR(__xludf.DUMMYFUNCTION("REGEXREPLACE(C26581,""-\d+(.*)|--\d+(.*)"","""")"),"MONETAY-SUR-ALLIER")</f>
        <v>MONETAY-SUR-ALLIER</v>
      </c>
      <c r="E26581" s="38" t="s">
        <v>160</v>
      </c>
      <c r="F26581" s="38" t="s">
        <v>161</v>
      </c>
      <c r="G26581" s="49" t="str">
        <f t="shared" si="1"/>
        <v>03500</v>
      </c>
      <c r="H26581" s="49" t="str">
        <f t="shared" si="2"/>
        <v>03176</v>
      </c>
    </row>
    <row r="26582">
      <c r="A26582" s="48" t="s">
        <v>16480</v>
      </c>
      <c r="B26582" s="38">
        <v>71333.0</v>
      </c>
      <c r="C26582" s="38" t="s">
        <v>31065</v>
      </c>
      <c r="D26582" s="38" t="str">
        <f>IFERROR(__xludf.DUMMYFUNCTION("REGEXREPLACE(C26582,""-\d+(.*)|--\d+(.*)"","""")"),"OSLON")</f>
        <v>OSLON</v>
      </c>
      <c r="E26582" s="38" t="s">
        <v>344</v>
      </c>
      <c r="F26582" s="38" t="s">
        <v>106</v>
      </c>
      <c r="G26582" s="49" t="str">
        <f t="shared" si="1"/>
        <v>71380</v>
      </c>
      <c r="H26582" s="49">
        <f t="shared" si="2"/>
        <v>71333</v>
      </c>
    </row>
    <row r="26583">
      <c r="A26583" s="48" t="s">
        <v>1656</v>
      </c>
      <c r="B26583" s="38">
        <v>80110.0</v>
      </c>
      <c r="C26583" s="38" t="s">
        <v>31066</v>
      </c>
      <c r="D26583" s="38" t="str">
        <f>IFERROR(__xludf.DUMMYFUNCTION("REGEXREPLACE(C26583,""-\d+(.*)|--\d+(.*)"","""")"),"BOISMONT")</f>
        <v>BOISMONT</v>
      </c>
      <c r="E26583" s="38" t="s">
        <v>224</v>
      </c>
      <c r="F26583" s="38" t="s">
        <v>113</v>
      </c>
      <c r="G26583" s="49" t="str">
        <f t="shared" si="1"/>
        <v>80230</v>
      </c>
      <c r="H26583" s="49">
        <f t="shared" si="2"/>
        <v>80110</v>
      </c>
    </row>
    <row r="26584">
      <c r="A26584" s="48" t="s">
        <v>1733</v>
      </c>
      <c r="B26584" s="38">
        <v>23053.0</v>
      </c>
      <c r="C26584" s="38" t="s">
        <v>31067</v>
      </c>
      <c r="D26584" s="38" t="str">
        <f>IFERROR(__xludf.DUMMYFUNCTION("REGEXREPLACE(C26584,""-\d+(.*)|--\d+(.*)"","""")"),"CHARD")</f>
        <v>CHARD</v>
      </c>
      <c r="E26584" s="38" t="s">
        <v>97</v>
      </c>
      <c r="F26584" s="38" t="s">
        <v>98</v>
      </c>
      <c r="G26584" s="49" t="str">
        <f t="shared" si="1"/>
        <v>23700</v>
      </c>
      <c r="H26584" s="49">
        <f t="shared" si="2"/>
        <v>23053</v>
      </c>
    </row>
    <row r="26585">
      <c r="A26585" s="48" t="s">
        <v>3172</v>
      </c>
      <c r="B26585" s="38">
        <v>28418.0</v>
      </c>
      <c r="C26585" s="38" t="s">
        <v>31068</v>
      </c>
      <c r="D26585" s="38" t="str">
        <f>IFERROR(__xludf.DUMMYFUNCTION("REGEXREPLACE(C26585,""-\d+(.*)|--\d+(.*)"","""")"),"VILLIERS-SAINT-ORIEN")</f>
        <v>VILLIERS-SAINT-ORIEN</v>
      </c>
      <c r="E26585" s="38" t="s">
        <v>300</v>
      </c>
      <c r="F26585" s="38" t="s">
        <v>123</v>
      </c>
      <c r="G26585" s="49" t="str">
        <f t="shared" si="1"/>
        <v>28800</v>
      </c>
      <c r="H26585" s="49">
        <f t="shared" si="2"/>
        <v>28418</v>
      </c>
    </row>
    <row r="26586">
      <c r="A26586" s="48" t="s">
        <v>2920</v>
      </c>
      <c r="B26586" s="38">
        <v>62661.0</v>
      </c>
      <c r="C26586" s="38" t="s">
        <v>31069</v>
      </c>
      <c r="D26586" s="38" t="str">
        <f>IFERROR(__xludf.DUMMYFUNCTION("REGEXREPLACE(C26586,""-\d+(.*)|--\d+(.*)"","""")"),"BOUIN-PLUMOISON")</f>
        <v>BOUIN-PLUMOISON</v>
      </c>
      <c r="E26586" s="38" t="s">
        <v>109</v>
      </c>
      <c r="F26586" s="38" t="s">
        <v>86</v>
      </c>
      <c r="G26586" s="49" t="str">
        <f t="shared" si="1"/>
        <v>62140</v>
      </c>
      <c r="H26586" s="49">
        <f t="shared" si="2"/>
        <v>62661</v>
      </c>
    </row>
    <row r="26587">
      <c r="A26587" s="48" t="s">
        <v>9160</v>
      </c>
      <c r="B26587" s="38">
        <v>80827.0</v>
      </c>
      <c r="C26587" s="38" t="s">
        <v>31070</v>
      </c>
      <c r="D26587" s="38" t="str">
        <f>IFERROR(__xludf.DUMMYFUNCTION("REGEXREPLACE(C26587,""-\d+(.*)|--\d+(.*)"","""")"),"WOINCOURT")</f>
        <v>WOINCOURT</v>
      </c>
      <c r="E26587" s="38" t="s">
        <v>224</v>
      </c>
      <c r="F26587" s="38" t="s">
        <v>113</v>
      </c>
      <c r="G26587" s="49" t="str">
        <f t="shared" si="1"/>
        <v>80520</v>
      </c>
      <c r="H26587" s="49">
        <f t="shared" si="2"/>
        <v>80827</v>
      </c>
    </row>
    <row r="26588">
      <c r="A26588" s="48" t="s">
        <v>6311</v>
      </c>
      <c r="B26588" s="38">
        <v>89237.0</v>
      </c>
      <c r="C26588" s="38" t="s">
        <v>31071</v>
      </c>
      <c r="D26588" s="38" t="str">
        <f>IFERROR(__xludf.DUMMYFUNCTION("REGEXREPLACE(C26588,""-\d+(.*)|--\d+(.*)"","""")"),"MAILLY-LA-VILLE")</f>
        <v>MAILLY-LA-VILLE</v>
      </c>
      <c r="E26588" s="38" t="s">
        <v>275</v>
      </c>
      <c r="F26588" s="38" t="s">
        <v>106</v>
      </c>
      <c r="G26588" s="49" t="str">
        <f t="shared" si="1"/>
        <v>89270</v>
      </c>
      <c r="H26588" s="49">
        <f t="shared" si="2"/>
        <v>89237</v>
      </c>
    </row>
    <row r="26589">
      <c r="A26589" s="48" t="s">
        <v>8204</v>
      </c>
      <c r="B26589" s="38">
        <v>78647.0</v>
      </c>
      <c r="C26589" s="38" t="s">
        <v>10599</v>
      </c>
      <c r="D26589" s="38" t="str">
        <f>IFERROR(__xludf.DUMMYFUNCTION("REGEXREPLACE(C26589,""-\d+(.*)|--\d+(.*)"","""")"),"VERT")</f>
        <v>VERT</v>
      </c>
      <c r="E26589" s="38" t="s">
        <v>362</v>
      </c>
      <c r="F26589" s="38" t="s">
        <v>245</v>
      </c>
      <c r="G26589" s="49" t="str">
        <f t="shared" si="1"/>
        <v>78930</v>
      </c>
      <c r="H26589" s="49">
        <f t="shared" si="2"/>
        <v>78647</v>
      </c>
    </row>
    <row r="26590">
      <c r="A26590" s="48" t="s">
        <v>15440</v>
      </c>
      <c r="B26590" s="38">
        <v>43002.0</v>
      </c>
      <c r="C26590" s="38" t="s">
        <v>31072</v>
      </c>
      <c r="D26590" s="38" t="str">
        <f>IFERROR(__xludf.DUMMYFUNCTION("REGEXREPLACE(C26590,""-\d+(.*)|--\d+(.*)"","""")"),"AIGUILHE")</f>
        <v>AIGUILHE</v>
      </c>
      <c r="E26590" s="38" t="s">
        <v>332</v>
      </c>
      <c r="F26590" s="38" t="s">
        <v>161</v>
      </c>
      <c r="G26590" s="49" t="str">
        <f t="shared" si="1"/>
        <v>43000</v>
      </c>
      <c r="H26590" s="49">
        <f t="shared" si="2"/>
        <v>43002</v>
      </c>
    </row>
    <row r="26591">
      <c r="A26591" s="48" t="s">
        <v>3906</v>
      </c>
      <c r="B26591" s="38">
        <v>24236.0</v>
      </c>
      <c r="C26591" s="38" t="s">
        <v>31073</v>
      </c>
      <c r="D26591" s="38" t="str">
        <f>IFERROR(__xludf.DUMMYFUNCTION("REGEXREPLACE(C26591,""-\d+(.*)|--\d+(.*)"","""")"),"LEGUILLAC-DE-L'AUCHE")</f>
        <v>LEGUILLAC-DE-L'AUCHE</v>
      </c>
      <c r="E26591" s="38" t="s">
        <v>261</v>
      </c>
      <c r="F26591" s="38" t="s">
        <v>252</v>
      </c>
      <c r="G26591" s="49" t="str">
        <f t="shared" si="1"/>
        <v>24110</v>
      </c>
      <c r="H26591" s="49">
        <f t="shared" si="2"/>
        <v>24236</v>
      </c>
    </row>
    <row r="26592">
      <c r="A26592" s="48" t="s">
        <v>4642</v>
      </c>
      <c r="B26592" s="38">
        <v>21228.0</v>
      </c>
      <c r="C26592" s="38" t="s">
        <v>31074</v>
      </c>
      <c r="D26592" s="38" t="str">
        <f>IFERROR(__xludf.DUMMYFUNCTION("REGEXREPLACE(C26592,""-\d+(.*)|--\d+(.*)"","""")"),"DETAIN-ET-BRUANT")</f>
        <v>DETAIN-ET-BRUANT</v>
      </c>
      <c r="E26592" s="38" t="s">
        <v>105</v>
      </c>
      <c r="F26592" s="38" t="s">
        <v>106</v>
      </c>
      <c r="G26592" s="49" t="str">
        <f t="shared" si="1"/>
        <v>21220</v>
      </c>
      <c r="H26592" s="49">
        <f t="shared" si="2"/>
        <v>21228</v>
      </c>
    </row>
    <row r="26593">
      <c r="A26593" s="48" t="s">
        <v>31075</v>
      </c>
      <c r="B26593" s="38">
        <v>57413.0</v>
      </c>
      <c r="C26593" s="38" t="s">
        <v>31076</v>
      </c>
      <c r="D26593" s="38" t="str">
        <f>IFERROR(__xludf.DUMMYFUNCTION("REGEXREPLACE(C26593,""-\d+(.*)|--\d+(.*)"","""")"),"LONGEVILLE-LES-SAINT-AVOLD")</f>
        <v>LONGEVILLE-LES-SAINT-AVOLD</v>
      </c>
      <c r="E26593" s="38" t="s">
        <v>303</v>
      </c>
      <c r="F26593" s="38" t="s">
        <v>195</v>
      </c>
      <c r="G26593" s="49" t="str">
        <f t="shared" si="1"/>
        <v>57740</v>
      </c>
      <c r="H26593" s="49">
        <f t="shared" si="2"/>
        <v>57413</v>
      </c>
    </row>
    <row r="26594">
      <c r="A26594" s="48" t="s">
        <v>1022</v>
      </c>
      <c r="B26594" s="38">
        <v>2625.0</v>
      </c>
      <c r="C26594" s="38" t="s">
        <v>31077</v>
      </c>
      <c r="D26594" s="38" t="str">
        <f>IFERROR(__xludf.DUMMYFUNCTION("REGEXREPLACE(C26594,""-\d+(.*)|--\d+(.*)"","""")"),"PROIX")</f>
        <v>PROIX</v>
      </c>
      <c r="E26594" s="38" t="s">
        <v>191</v>
      </c>
      <c r="F26594" s="38" t="s">
        <v>113</v>
      </c>
      <c r="G26594" s="49" t="str">
        <f t="shared" si="1"/>
        <v>02120</v>
      </c>
      <c r="H26594" s="49" t="str">
        <f t="shared" si="2"/>
        <v>02625</v>
      </c>
    </row>
    <row r="26595">
      <c r="A26595" s="48" t="s">
        <v>5720</v>
      </c>
      <c r="B26595" s="38">
        <v>86284.0</v>
      </c>
      <c r="C26595" s="38" t="s">
        <v>19320</v>
      </c>
      <c r="D26595" s="38" t="str">
        <f>IFERROR(__xludf.DUMMYFUNCTION("REGEXREPLACE(C26595,""-\d+(.*)|--\d+(.*)"","""")"),"VERNON")</f>
        <v>VERNON</v>
      </c>
      <c r="E26595" s="38" t="s">
        <v>529</v>
      </c>
      <c r="F26595" s="38" t="s">
        <v>338</v>
      </c>
      <c r="G26595" s="49" t="str">
        <f t="shared" si="1"/>
        <v>86340</v>
      </c>
      <c r="H26595" s="49">
        <f t="shared" si="2"/>
        <v>86284</v>
      </c>
    </row>
    <row r="26596">
      <c r="A26596" s="48" t="s">
        <v>1754</v>
      </c>
      <c r="B26596" s="38">
        <v>14615.0</v>
      </c>
      <c r="C26596" s="38" t="s">
        <v>31078</v>
      </c>
      <c r="D26596" s="38" t="str">
        <f>IFERROR(__xludf.DUMMYFUNCTION("REGEXREPLACE(C26596,""-\d+(.*)|--\d+(.*)"","""")"),"SAINTE-MARGUERITE-DES-LOGES")</f>
        <v>SAINTE-MARGUERITE-DES-LOGES</v>
      </c>
      <c r="E26596" s="38" t="s">
        <v>137</v>
      </c>
      <c r="F26596" s="38" t="s">
        <v>138</v>
      </c>
      <c r="G26596" s="49" t="str">
        <f t="shared" si="1"/>
        <v>14140</v>
      </c>
      <c r="H26596" s="49">
        <f t="shared" si="2"/>
        <v>14615</v>
      </c>
    </row>
    <row r="26597">
      <c r="A26597" s="48" t="s">
        <v>5490</v>
      </c>
      <c r="B26597" s="38">
        <v>22306.0</v>
      </c>
      <c r="C26597" s="38" t="s">
        <v>31079</v>
      </c>
      <c r="D26597" s="38" t="str">
        <f>IFERROR(__xludf.DUMMYFUNCTION("REGEXREPLACE(C26597,""-\d+(.*)|--\d+(.*)"","""")"),"SAINT-JUDOCE")</f>
        <v>SAINT-JUDOCE</v>
      </c>
      <c r="E26597" s="38" t="s">
        <v>89</v>
      </c>
      <c r="F26597" s="38" t="s">
        <v>90</v>
      </c>
      <c r="G26597" s="49" t="str">
        <f t="shared" si="1"/>
        <v>22630</v>
      </c>
      <c r="H26597" s="49">
        <f t="shared" si="2"/>
        <v>22306</v>
      </c>
    </row>
    <row r="26598">
      <c r="A26598" s="48" t="s">
        <v>3821</v>
      </c>
      <c r="B26598" s="38">
        <v>57560.0</v>
      </c>
      <c r="C26598" s="38" t="s">
        <v>31080</v>
      </c>
      <c r="D26598" s="38" t="str">
        <f>IFERROR(__xludf.DUMMYFUNCTION("REGEXREPLACE(C26598,""-\d+(.*)|--\d+(.*)"","""")"),"RACRANGE")</f>
        <v>RACRANGE</v>
      </c>
      <c r="E26598" s="38" t="s">
        <v>303</v>
      </c>
      <c r="F26598" s="38" t="s">
        <v>195</v>
      </c>
      <c r="G26598" s="49" t="str">
        <f t="shared" si="1"/>
        <v>57340</v>
      </c>
      <c r="H26598" s="49">
        <f t="shared" si="2"/>
        <v>57560</v>
      </c>
    </row>
    <row r="26599">
      <c r="A26599" s="48" t="s">
        <v>624</v>
      </c>
      <c r="B26599" s="38">
        <v>67076.0</v>
      </c>
      <c r="C26599" s="38" t="s">
        <v>31081</v>
      </c>
      <c r="D26599" s="38" t="str">
        <f>IFERROR(__xludf.DUMMYFUNCTION("REGEXREPLACE(C26599,""-\d+(.*)|--\d+(.*)"","""")"),"COLROY-LA-ROCHE")</f>
        <v>COLROY-LA-ROCHE</v>
      </c>
      <c r="E26599" s="38" t="s">
        <v>210</v>
      </c>
      <c r="F26599" s="38" t="s">
        <v>151</v>
      </c>
      <c r="G26599" s="49" t="str">
        <f t="shared" si="1"/>
        <v>67420</v>
      </c>
      <c r="H26599" s="49">
        <f t="shared" si="2"/>
        <v>67076</v>
      </c>
    </row>
    <row r="26600">
      <c r="A26600" s="48" t="s">
        <v>3375</v>
      </c>
      <c r="B26600" s="38">
        <v>24137.0</v>
      </c>
      <c r="C26600" s="38" t="s">
        <v>31082</v>
      </c>
      <c r="D26600" s="38" t="str">
        <f>IFERROR(__xludf.DUMMYFUNCTION("REGEXREPLACE(C26600,""-\d+(.*)|--\d+(.*)"","""")"),"COULAURES")</f>
        <v>COULAURES</v>
      </c>
      <c r="E26600" s="38" t="s">
        <v>261</v>
      </c>
      <c r="F26600" s="38" t="s">
        <v>252</v>
      </c>
      <c r="G26600" s="49" t="str">
        <f t="shared" si="1"/>
        <v>24420</v>
      </c>
      <c r="H26600" s="49">
        <f t="shared" si="2"/>
        <v>24137</v>
      </c>
    </row>
    <row r="26601">
      <c r="A26601" s="48" t="s">
        <v>1903</v>
      </c>
      <c r="B26601" s="38">
        <v>10286.0</v>
      </c>
      <c r="C26601" s="38" t="s">
        <v>31083</v>
      </c>
      <c r="D26601" s="38" t="str">
        <f>IFERROR(__xludf.DUMMYFUNCTION("REGEXREPLACE(C26601,""-\d+(.*)|--\d+(.*)"","""")"),"PETIT-MESNIL")</f>
        <v>PETIT-MESNIL</v>
      </c>
      <c r="E26601" s="38" t="s">
        <v>147</v>
      </c>
      <c r="F26601" s="38" t="s">
        <v>130</v>
      </c>
      <c r="G26601" s="49" t="str">
        <f t="shared" si="1"/>
        <v>10500</v>
      </c>
      <c r="H26601" s="49">
        <f t="shared" si="2"/>
        <v>10286</v>
      </c>
    </row>
    <row r="26602">
      <c r="A26602" s="48" t="s">
        <v>4447</v>
      </c>
      <c r="B26602" s="38">
        <v>39155.0</v>
      </c>
      <c r="C26602" s="38" t="s">
        <v>31084</v>
      </c>
      <c r="D26602" s="38" t="str">
        <f>IFERROR(__xludf.DUMMYFUNCTION("REGEXREPLACE(C26602,""-\d+(.*)|--\d+(.*)"","""")"),"CLUCY")</f>
        <v>CLUCY</v>
      </c>
      <c r="E26602" s="38" t="s">
        <v>400</v>
      </c>
      <c r="F26602" s="38" t="s">
        <v>214</v>
      </c>
      <c r="G26602" s="49" t="str">
        <f t="shared" si="1"/>
        <v>39110</v>
      </c>
      <c r="H26602" s="49">
        <f t="shared" si="2"/>
        <v>39155</v>
      </c>
    </row>
    <row r="26603">
      <c r="A26603" s="48" t="s">
        <v>1469</v>
      </c>
      <c r="B26603" s="38">
        <v>71378.0</v>
      </c>
      <c r="C26603" s="38" t="s">
        <v>17944</v>
      </c>
      <c r="D26603" s="38" t="str">
        <f>IFERROR(__xludf.DUMMYFUNCTION("REGEXREPLACE(C26603,""-\d+(.*)|--\d+(.*)"","""")"),"RULLY")</f>
        <v>RULLY</v>
      </c>
      <c r="E26603" s="38" t="s">
        <v>344</v>
      </c>
      <c r="F26603" s="38" t="s">
        <v>106</v>
      </c>
      <c r="G26603" s="49" t="str">
        <f t="shared" si="1"/>
        <v>71150</v>
      </c>
      <c r="H26603" s="49">
        <f t="shared" si="2"/>
        <v>71378</v>
      </c>
    </row>
    <row r="26604">
      <c r="A26604" s="48" t="s">
        <v>6121</v>
      </c>
      <c r="B26604" s="38">
        <v>51168.0</v>
      </c>
      <c r="C26604" s="38" t="s">
        <v>31085</v>
      </c>
      <c r="D26604" s="38" t="str">
        <f>IFERROR(__xludf.DUMMYFUNCTION("REGEXREPLACE(C26604,""-\d+(.*)|--\d+(.*)"","""")"),"COOLUS")</f>
        <v>COOLUS</v>
      </c>
      <c r="E26604" s="38" t="s">
        <v>129</v>
      </c>
      <c r="F26604" s="38" t="s">
        <v>130</v>
      </c>
      <c r="G26604" s="49" t="str">
        <f t="shared" si="1"/>
        <v>51510</v>
      </c>
      <c r="H26604" s="49">
        <f t="shared" si="2"/>
        <v>51168</v>
      </c>
    </row>
    <row r="26605">
      <c r="A26605" s="48" t="s">
        <v>4032</v>
      </c>
      <c r="B26605" s="38">
        <v>17470.0</v>
      </c>
      <c r="C26605" s="38" t="s">
        <v>31086</v>
      </c>
      <c r="D26605" s="38" t="str">
        <f>IFERROR(__xludf.DUMMYFUNCTION("REGEXREPLACE(C26605,""-\d+(.*)|--\d+(.*)"","""")"),"VILLARS-LES-BOIS")</f>
        <v>VILLARS-LES-BOIS</v>
      </c>
      <c r="E26605" s="38" t="s">
        <v>488</v>
      </c>
      <c r="F26605" s="38" t="s">
        <v>338</v>
      </c>
      <c r="G26605" s="49" t="str">
        <f t="shared" si="1"/>
        <v>17770</v>
      </c>
      <c r="H26605" s="49">
        <f t="shared" si="2"/>
        <v>17470</v>
      </c>
    </row>
    <row r="26606">
      <c r="A26606" s="48" t="s">
        <v>6767</v>
      </c>
      <c r="B26606" s="38">
        <v>15237.0</v>
      </c>
      <c r="C26606" s="38" t="s">
        <v>31087</v>
      </c>
      <c r="D26606" s="38" t="str">
        <f>IFERROR(__xludf.DUMMYFUNCTION("REGEXREPLACE(C26606,""-\d+(.*)|--\d+(.*)"","""")"),"TIVIERS")</f>
        <v>TIVIERS</v>
      </c>
      <c r="E26606" s="38" t="s">
        <v>632</v>
      </c>
      <c r="F26606" s="38" t="s">
        <v>161</v>
      </c>
      <c r="G26606" s="49" t="str">
        <f t="shared" si="1"/>
        <v>15100</v>
      </c>
      <c r="H26606" s="49">
        <f t="shared" si="2"/>
        <v>15237</v>
      </c>
    </row>
    <row r="26607">
      <c r="A26607" s="48" t="s">
        <v>8414</v>
      </c>
      <c r="B26607" s="38">
        <v>60498.0</v>
      </c>
      <c r="C26607" s="38" t="s">
        <v>31088</v>
      </c>
      <c r="D26607" s="38" t="str">
        <f>IFERROR(__xludf.DUMMYFUNCTION("REGEXREPLACE(C26607,""-\d+(.*)|--\d+(.*)"","""")"),"LE PLESSIER-SUR-SAINT-JUST")</f>
        <v>LE PLESSIER-SUR-SAINT-JUST</v>
      </c>
      <c r="E26607" s="38" t="s">
        <v>112</v>
      </c>
      <c r="F26607" s="38" t="s">
        <v>113</v>
      </c>
      <c r="G26607" s="49" t="str">
        <f t="shared" si="1"/>
        <v>60130</v>
      </c>
      <c r="H26607" s="49">
        <f t="shared" si="2"/>
        <v>60498</v>
      </c>
    </row>
    <row r="26608">
      <c r="A26608" s="48" t="s">
        <v>25113</v>
      </c>
      <c r="B26608" s="38">
        <v>67465.0</v>
      </c>
      <c r="C26608" s="38" t="s">
        <v>31089</v>
      </c>
      <c r="D26608" s="38" t="str">
        <f>IFERROR(__xludf.DUMMYFUNCTION("REGEXREPLACE(C26608,""-\d+(.*)|--\d+(.*)"","""")"),"SESSENHEIM")</f>
        <v>SESSENHEIM</v>
      </c>
      <c r="E26608" s="38" t="s">
        <v>210</v>
      </c>
      <c r="F26608" s="38" t="s">
        <v>151</v>
      </c>
      <c r="G26608" s="49" t="str">
        <f t="shared" si="1"/>
        <v>67770</v>
      </c>
      <c r="H26608" s="49">
        <f t="shared" si="2"/>
        <v>67465</v>
      </c>
    </row>
    <row r="26609">
      <c r="A26609" s="48" t="s">
        <v>9613</v>
      </c>
      <c r="B26609" s="38">
        <v>16146.0</v>
      </c>
      <c r="C26609" s="38" t="s">
        <v>31090</v>
      </c>
      <c r="D26609" s="38" t="str">
        <f>IFERROR(__xludf.DUMMYFUNCTION("REGEXREPLACE(C26609,""-\d+(.*)|--\d+(.*)"","""")"),"GARAT")</f>
        <v>GARAT</v>
      </c>
      <c r="E26609" s="38" t="s">
        <v>429</v>
      </c>
      <c r="F26609" s="38" t="s">
        <v>338</v>
      </c>
      <c r="G26609" s="49" t="str">
        <f t="shared" si="1"/>
        <v>16410</v>
      </c>
      <c r="H26609" s="49">
        <f t="shared" si="2"/>
        <v>16146</v>
      </c>
    </row>
    <row r="26610">
      <c r="A26610" s="48" t="s">
        <v>2521</v>
      </c>
      <c r="B26610" s="38">
        <v>28208.0</v>
      </c>
      <c r="C26610" s="38" t="s">
        <v>31091</v>
      </c>
      <c r="D26610" s="38" t="str">
        <f>IFERROR(__xludf.DUMMYFUNCTION("REGEXREPLACE(C26610,""-\d+(.*)|--\d+(.*)"","""")"),"LEVAINVILLE")</f>
        <v>LEVAINVILLE</v>
      </c>
      <c r="E26610" s="38" t="s">
        <v>300</v>
      </c>
      <c r="F26610" s="38" t="s">
        <v>123</v>
      </c>
      <c r="G26610" s="49" t="str">
        <f t="shared" si="1"/>
        <v>28700</v>
      </c>
      <c r="H26610" s="49">
        <f t="shared" si="2"/>
        <v>28208</v>
      </c>
    </row>
    <row r="26611">
      <c r="A26611" s="48" t="s">
        <v>10965</v>
      </c>
      <c r="B26611" s="38">
        <v>80835.0</v>
      </c>
      <c r="C26611" s="38" t="s">
        <v>31092</v>
      </c>
      <c r="D26611" s="38" t="str">
        <f>IFERROR(__xludf.DUMMYFUNCTION("REGEXREPLACE(C26611,""-\d+(.*)|--\d+(.*)"","""")"),"YZEUX")</f>
        <v>YZEUX</v>
      </c>
      <c r="E26611" s="38" t="s">
        <v>224</v>
      </c>
      <c r="F26611" s="38" t="s">
        <v>113</v>
      </c>
      <c r="G26611" s="49" t="str">
        <f t="shared" si="1"/>
        <v>80310</v>
      </c>
      <c r="H26611" s="49">
        <f t="shared" si="2"/>
        <v>80835</v>
      </c>
    </row>
    <row r="26612">
      <c r="A26612" s="48" t="s">
        <v>10066</v>
      </c>
      <c r="B26612" s="38">
        <v>1060.0</v>
      </c>
      <c r="C26612" s="38" t="s">
        <v>31093</v>
      </c>
      <c r="D26612" s="38" t="str">
        <f>IFERROR(__xludf.DUMMYFUNCTION("REGEXREPLACE(C26612,""-\d+(.*)|--\d+(.*)"","""")"),"BRENOD")</f>
        <v>BRENOD</v>
      </c>
      <c r="E26612" s="38" t="s">
        <v>255</v>
      </c>
      <c r="F26612" s="38" t="s">
        <v>102</v>
      </c>
      <c r="G26612" s="49" t="str">
        <f t="shared" si="1"/>
        <v>01110</v>
      </c>
      <c r="H26612" s="49" t="str">
        <f t="shared" si="2"/>
        <v>01060</v>
      </c>
    </row>
    <row r="26613">
      <c r="A26613" s="48" t="s">
        <v>1758</v>
      </c>
      <c r="B26613" s="38">
        <v>65210.0</v>
      </c>
      <c r="C26613" s="38" t="s">
        <v>31094</v>
      </c>
      <c r="D26613" s="38" t="str">
        <f>IFERROR(__xludf.DUMMYFUNCTION("REGEXREPLACE(C26613,""-\d+(.*)|--\d+(.*)"","""")"),"GRUST")</f>
        <v>GRUST</v>
      </c>
      <c r="E26613" s="38" t="s">
        <v>200</v>
      </c>
      <c r="F26613" s="38" t="s">
        <v>94</v>
      </c>
      <c r="G26613" s="49" t="str">
        <f t="shared" si="1"/>
        <v>65120</v>
      </c>
      <c r="H26613" s="49">
        <f t="shared" si="2"/>
        <v>65210</v>
      </c>
    </row>
    <row r="26614">
      <c r="A26614" s="48" t="s">
        <v>9861</v>
      </c>
      <c r="B26614" s="38">
        <v>59140.0</v>
      </c>
      <c r="C26614" s="38" t="s">
        <v>31095</v>
      </c>
      <c r="D26614" s="38" t="str">
        <f>IFERROR(__xludf.DUMMYFUNCTION("REGEXREPLACE(C26614,""-\d+(.*)|--\d+(.*)"","""")"),"CAULLERY")</f>
        <v>CAULLERY</v>
      </c>
      <c r="E26614" s="38" t="s">
        <v>85</v>
      </c>
      <c r="F26614" s="38" t="s">
        <v>86</v>
      </c>
      <c r="G26614" s="49" t="str">
        <f t="shared" si="1"/>
        <v>59191</v>
      </c>
      <c r="H26614" s="49">
        <f t="shared" si="2"/>
        <v>59140</v>
      </c>
    </row>
    <row r="26615">
      <c r="A26615" s="48" t="s">
        <v>6858</v>
      </c>
      <c r="B26615" s="38">
        <v>71397.0</v>
      </c>
      <c r="C26615" s="38" t="s">
        <v>16261</v>
      </c>
      <c r="D26615" s="38" t="str">
        <f>IFERROR(__xludf.DUMMYFUNCTION("REGEXREPLACE(C26615,""-\d+(.*)|--\d+(.*)"","""")"),"SAINTE-CECILE")</f>
        <v>SAINTE-CECILE</v>
      </c>
      <c r="E26615" s="38" t="s">
        <v>344</v>
      </c>
      <c r="F26615" s="38" t="s">
        <v>106</v>
      </c>
      <c r="G26615" s="49" t="str">
        <f t="shared" si="1"/>
        <v>71250</v>
      </c>
      <c r="H26615" s="49">
        <f t="shared" si="2"/>
        <v>71397</v>
      </c>
    </row>
    <row r="26616">
      <c r="A26616" s="48" t="s">
        <v>1638</v>
      </c>
      <c r="B26616" s="38">
        <v>70240.0</v>
      </c>
      <c r="C26616" s="38" t="s">
        <v>31096</v>
      </c>
      <c r="D26616" s="38" t="str">
        <f>IFERROR(__xludf.DUMMYFUNCTION("REGEXREPLACE(C26616,""-\d+(.*)|--\d+(.*)"","""")"),"FONTAINE-LES-LUXEUIL")</f>
        <v>FONTAINE-LES-LUXEUIL</v>
      </c>
      <c r="E26616" s="38" t="s">
        <v>956</v>
      </c>
      <c r="F26616" s="38" t="s">
        <v>214</v>
      </c>
      <c r="G26616" s="49" t="str">
        <f t="shared" si="1"/>
        <v>70800</v>
      </c>
      <c r="H26616" s="49">
        <f t="shared" si="2"/>
        <v>70240</v>
      </c>
    </row>
    <row r="26617">
      <c r="A26617" s="48" t="s">
        <v>13690</v>
      </c>
      <c r="B26617" s="38">
        <v>38422.0</v>
      </c>
      <c r="C26617" s="38" t="s">
        <v>31097</v>
      </c>
      <c r="D26617" s="38" t="str">
        <f>IFERROR(__xludf.DUMMYFUNCTION("REGEXREPLACE(C26617,""-\d+(.*)|--\d+(.*)"","""")"),"SAINT-MARTIN-D'URIAGE")</f>
        <v>SAINT-MARTIN-D'URIAGE</v>
      </c>
      <c r="E26617" s="38" t="s">
        <v>101</v>
      </c>
      <c r="F26617" s="38" t="s">
        <v>102</v>
      </c>
      <c r="G26617" s="49" t="str">
        <f t="shared" si="1"/>
        <v>38410</v>
      </c>
      <c r="H26617" s="49">
        <f t="shared" si="2"/>
        <v>38422</v>
      </c>
    </row>
    <row r="26618">
      <c r="A26618" s="48" t="s">
        <v>12127</v>
      </c>
      <c r="B26618" s="38">
        <v>7162.0</v>
      </c>
      <c r="C26618" s="38" t="s">
        <v>4182</v>
      </c>
      <c r="D26618" s="38" t="str">
        <f>IFERROR(__xludf.DUMMYFUNCTION("REGEXREPLACE(C26618,""-\d+(.*)|--\d+(.*)"","""")"),"MONTREAL")</f>
        <v>MONTREAL</v>
      </c>
      <c r="E26618" s="38" t="s">
        <v>144</v>
      </c>
      <c r="F26618" s="38" t="s">
        <v>102</v>
      </c>
      <c r="G26618" s="49" t="str">
        <f t="shared" si="1"/>
        <v>07110</v>
      </c>
      <c r="H26618" s="49" t="str">
        <f t="shared" si="2"/>
        <v>07162</v>
      </c>
    </row>
    <row r="26619">
      <c r="A26619" s="48" t="s">
        <v>31098</v>
      </c>
      <c r="B26619" s="38">
        <v>63016.0</v>
      </c>
      <c r="C26619" s="38" t="s">
        <v>31099</v>
      </c>
      <c r="D26619" s="38" t="str">
        <f>IFERROR(__xludf.DUMMYFUNCTION("REGEXREPLACE(C26619,""-\d+(.*)|--\d+(.*)"","""")"),"AUGEROLLES")</f>
        <v>AUGEROLLES</v>
      </c>
      <c r="E26619" s="38" t="s">
        <v>353</v>
      </c>
      <c r="F26619" s="38" t="s">
        <v>161</v>
      </c>
      <c r="G26619" s="49" t="str">
        <f t="shared" si="1"/>
        <v>63930</v>
      </c>
      <c r="H26619" s="49">
        <f t="shared" si="2"/>
        <v>63016</v>
      </c>
    </row>
    <row r="26620">
      <c r="A26620" s="48" t="s">
        <v>3691</v>
      </c>
      <c r="B26620" s="38">
        <v>64061.0</v>
      </c>
      <c r="C26620" s="38" t="s">
        <v>19479</v>
      </c>
      <c r="D26620" s="38" t="str">
        <f>IFERROR(__xludf.DUMMYFUNCTION("REGEXREPLACE(C26620,""-\d+(.*)|--\d+(.*)"","""")"),"ARTIX")</f>
        <v>ARTIX</v>
      </c>
      <c r="E26620" s="38" t="s">
        <v>268</v>
      </c>
      <c r="F26620" s="38" t="s">
        <v>252</v>
      </c>
      <c r="G26620" s="49" t="str">
        <f t="shared" si="1"/>
        <v>64170</v>
      </c>
      <c r="H26620" s="49">
        <f t="shared" si="2"/>
        <v>64061</v>
      </c>
    </row>
    <row r="26621">
      <c r="A26621" s="48" t="s">
        <v>10778</v>
      </c>
      <c r="B26621" s="38">
        <v>21233.0</v>
      </c>
      <c r="C26621" s="38" t="s">
        <v>31100</v>
      </c>
      <c r="D26621" s="38" t="str">
        <f>IFERROR(__xludf.DUMMYFUNCTION("REGEXREPLACE(C26621,""-\d+(.*)|--\d+(.*)"","""")"),"DRAMBON")</f>
        <v>DRAMBON</v>
      </c>
      <c r="E26621" s="38" t="s">
        <v>105</v>
      </c>
      <c r="F26621" s="38" t="s">
        <v>106</v>
      </c>
      <c r="G26621" s="49" t="str">
        <f t="shared" si="1"/>
        <v>21270</v>
      </c>
      <c r="H26621" s="49">
        <f t="shared" si="2"/>
        <v>21233</v>
      </c>
    </row>
    <row r="26622">
      <c r="A26622" s="48" t="s">
        <v>2059</v>
      </c>
      <c r="B26622" s="38">
        <v>37268.0</v>
      </c>
      <c r="C26622" s="38" t="s">
        <v>31101</v>
      </c>
      <c r="D26622" s="38" t="str">
        <f>IFERROR(__xludf.DUMMYFUNCTION("REGEXREPLACE(C26622,""-\d+(.*)|--\d+(.*)"","""")"),"VERNEUIL-LE-CHATEAU")</f>
        <v>VERNEUIL-LE-CHATEAU</v>
      </c>
      <c r="E26622" s="38" t="s">
        <v>205</v>
      </c>
      <c r="F26622" s="38" t="s">
        <v>123</v>
      </c>
      <c r="G26622" s="49" t="str">
        <f t="shared" si="1"/>
        <v>37120</v>
      </c>
      <c r="H26622" s="49">
        <f t="shared" si="2"/>
        <v>37268</v>
      </c>
    </row>
    <row r="26623">
      <c r="A26623" s="48" t="s">
        <v>944</v>
      </c>
      <c r="B26623" s="38">
        <v>61143.0</v>
      </c>
      <c r="C26623" s="38" t="s">
        <v>31102</v>
      </c>
      <c r="D26623" s="38" t="str">
        <f>IFERROR(__xludf.DUMMYFUNCTION("REGEXREPLACE(C26623,""-\d+(.*)|--\d+(.*)"","""")"),"DAMIGNY")</f>
        <v>DAMIGNY</v>
      </c>
      <c r="E26623" s="38" t="s">
        <v>141</v>
      </c>
      <c r="F26623" s="38" t="s">
        <v>138</v>
      </c>
      <c r="G26623" s="49" t="str">
        <f t="shared" si="1"/>
        <v>61250</v>
      </c>
      <c r="H26623" s="49">
        <f t="shared" si="2"/>
        <v>61143</v>
      </c>
    </row>
    <row r="26624">
      <c r="A26624" s="48" t="s">
        <v>8334</v>
      </c>
      <c r="B26624" s="38">
        <v>25022.0</v>
      </c>
      <c r="C26624" s="38" t="s">
        <v>24399</v>
      </c>
      <c r="D26624" s="38" t="str">
        <f>IFERROR(__xludf.DUMMYFUNCTION("REGEXREPLACE(C26624,""-\d+(.*)|--\d+(.*)"","""")"),"ARCEY")</f>
        <v>ARCEY</v>
      </c>
      <c r="E26624" s="38" t="s">
        <v>213</v>
      </c>
      <c r="F26624" s="38" t="s">
        <v>214</v>
      </c>
      <c r="G26624" s="49" t="str">
        <f t="shared" si="1"/>
        <v>25750</v>
      </c>
      <c r="H26624" s="49">
        <f t="shared" si="2"/>
        <v>25022</v>
      </c>
    </row>
    <row r="26625">
      <c r="A26625" s="48" t="s">
        <v>14076</v>
      </c>
      <c r="B26625" s="38">
        <v>7217.0</v>
      </c>
      <c r="C26625" s="38" t="s">
        <v>31103</v>
      </c>
      <c r="D26625" s="38" t="str">
        <f>IFERROR(__xludf.DUMMYFUNCTION("REGEXREPLACE(C26625,""-\d+(.*)|--\d+(.*)"","""")"),"SAINT-BARTHELEMY-LE-PLAIN")</f>
        <v>SAINT-BARTHELEMY-LE-PLAIN</v>
      </c>
      <c r="E26625" s="38" t="s">
        <v>144</v>
      </c>
      <c r="F26625" s="38" t="s">
        <v>102</v>
      </c>
      <c r="G26625" s="49" t="str">
        <f t="shared" si="1"/>
        <v>07300</v>
      </c>
      <c r="H26625" s="49" t="str">
        <f t="shared" si="2"/>
        <v>07217</v>
      </c>
    </row>
    <row r="26626">
      <c r="A26626" s="48" t="s">
        <v>578</v>
      </c>
      <c r="B26626" s="38">
        <v>52277.0</v>
      </c>
      <c r="C26626" s="38" t="s">
        <v>31104</v>
      </c>
      <c r="D26626" s="38" t="str">
        <f>IFERROR(__xludf.DUMMYFUNCTION("REGEXREPLACE(C26626,""-\d+(.*)|--\d+(.*)"","""")"),"LAVILLENEUVE")</f>
        <v>LAVILLENEUVE</v>
      </c>
      <c r="E26626" s="38" t="s">
        <v>234</v>
      </c>
      <c r="F26626" s="38" t="s">
        <v>130</v>
      </c>
      <c r="G26626" s="49" t="str">
        <f t="shared" si="1"/>
        <v>52140</v>
      </c>
      <c r="H26626" s="49">
        <f t="shared" si="2"/>
        <v>52277</v>
      </c>
    </row>
    <row r="26627">
      <c r="A26627" s="48" t="s">
        <v>1118</v>
      </c>
      <c r="B26627" s="38">
        <v>50250.0</v>
      </c>
      <c r="C26627" s="38" t="s">
        <v>31105</v>
      </c>
      <c r="D26627" s="38" t="str">
        <f>IFERROR(__xludf.DUMMYFUNCTION("REGEXREPLACE(C26627,""-\d+(.*)|--\d+(.*)"","""")"),"HOUTTEVILLE")</f>
        <v>HOUTTEVILLE</v>
      </c>
      <c r="E26627" s="38" t="s">
        <v>157</v>
      </c>
      <c r="F26627" s="38" t="s">
        <v>138</v>
      </c>
      <c r="G26627" s="49" t="str">
        <f t="shared" si="1"/>
        <v>50250</v>
      </c>
      <c r="H26627" s="49">
        <f t="shared" si="2"/>
        <v>50250</v>
      </c>
    </row>
    <row r="26628">
      <c r="A26628" s="48" t="s">
        <v>239</v>
      </c>
      <c r="B26628" s="38">
        <v>27511.0</v>
      </c>
      <c r="C26628" s="38" t="s">
        <v>31106</v>
      </c>
      <c r="D26628" s="38" t="str">
        <f>IFERROR(__xludf.DUMMYFUNCTION("REGEXREPLACE(C26628,""-\d+(.*)|--\d+(.*)"","""")"),"SAINT-AUBIN-D'ECROSVILLE")</f>
        <v>SAINT-AUBIN-D'ECROSVILLE</v>
      </c>
      <c r="E26628" s="38" t="s">
        <v>241</v>
      </c>
      <c r="F26628" s="38" t="s">
        <v>134</v>
      </c>
      <c r="G26628" s="49" t="str">
        <f t="shared" si="1"/>
        <v>27110</v>
      </c>
      <c r="H26628" s="49">
        <f t="shared" si="2"/>
        <v>27511</v>
      </c>
    </row>
    <row r="26629">
      <c r="A26629" s="48" t="s">
        <v>31107</v>
      </c>
      <c r="B26629" s="38">
        <v>21606.0</v>
      </c>
      <c r="C26629" s="38" t="s">
        <v>31108</v>
      </c>
      <c r="D26629" s="38" t="str">
        <f>IFERROR(__xludf.DUMMYFUNCTION("REGEXREPLACE(C26629,""-\d+(.*)|--\d+(.*)"","""")"),"LADOIX-SERRIGNY")</f>
        <v>LADOIX-SERRIGNY</v>
      </c>
      <c r="E26629" s="38" t="s">
        <v>105</v>
      </c>
      <c r="F26629" s="38" t="s">
        <v>106</v>
      </c>
      <c r="G26629" s="49" t="str">
        <f t="shared" si="1"/>
        <v>21550</v>
      </c>
      <c r="H26629" s="49">
        <f t="shared" si="2"/>
        <v>21606</v>
      </c>
    </row>
    <row r="26630">
      <c r="A26630" s="48" t="s">
        <v>21119</v>
      </c>
      <c r="B26630" s="38">
        <v>81106.0</v>
      </c>
      <c r="C26630" s="38" t="s">
        <v>1719</v>
      </c>
      <c r="D26630" s="38" t="str">
        <f>IFERROR(__xludf.DUMMYFUNCTION("REGEXREPLACE(C26630,""-\d+(.*)|--\d+(.*)"","""")"),"GRAZAC")</f>
        <v>GRAZAC</v>
      </c>
      <c r="E26630" s="38" t="s">
        <v>231</v>
      </c>
      <c r="F26630" s="38" t="s">
        <v>94</v>
      </c>
      <c r="G26630" s="49" t="str">
        <f t="shared" si="1"/>
        <v>81800</v>
      </c>
      <c r="H26630" s="49">
        <f t="shared" si="2"/>
        <v>81106</v>
      </c>
    </row>
    <row r="26631">
      <c r="A26631" s="48" t="s">
        <v>31109</v>
      </c>
      <c r="B26631" s="38">
        <v>13091.0</v>
      </c>
      <c r="C26631" s="38" t="s">
        <v>31110</v>
      </c>
      <c r="D26631" s="38" t="str">
        <f>IFERROR(__xludf.DUMMYFUNCTION("REGEXREPLACE(C26631,""-\d+(.*)|--\d+(.*)"","""")"),"SAINT-CANNAT")</f>
        <v>SAINT-CANNAT</v>
      </c>
      <c r="E26631" s="38" t="s">
        <v>980</v>
      </c>
      <c r="F26631" s="38" t="s">
        <v>228</v>
      </c>
      <c r="G26631" s="49" t="str">
        <f t="shared" si="1"/>
        <v>13760</v>
      </c>
      <c r="H26631" s="49">
        <f t="shared" si="2"/>
        <v>13091</v>
      </c>
    </row>
    <row r="26632">
      <c r="A26632" s="48" t="s">
        <v>3022</v>
      </c>
      <c r="B26632" s="38">
        <v>14064.0</v>
      </c>
      <c r="C26632" s="38" t="s">
        <v>31111</v>
      </c>
      <c r="D26632" s="38" t="str">
        <f>IFERROR(__xludf.DUMMYFUNCTION("REGEXREPLACE(C26632,""-\d+(.*)|--\d+(.*)"","""")"),"BERNIERES-D'AILLY")</f>
        <v>BERNIERES-D'AILLY</v>
      </c>
      <c r="E26632" s="38" t="s">
        <v>137</v>
      </c>
      <c r="F26632" s="38" t="s">
        <v>138</v>
      </c>
      <c r="G26632" s="49" t="str">
        <f t="shared" si="1"/>
        <v>14170</v>
      </c>
      <c r="H26632" s="49">
        <f t="shared" si="2"/>
        <v>14064</v>
      </c>
    </row>
    <row r="26633">
      <c r="A26633" s="48" t="s">
        <v>2861</v>
      </c>
      <c r="B26633" s="38">
        <v>62728.0</v>
      </c>
      <c r="C26633" s="38" t="s">
        <v>31112</v>
      </c>
      <c r="D26633" s="38" t="str">
        <f>IFERROR(__xludf.DUMMYFUNCTION("REGEXREPLACE(C26633,""-\d+(.*)|--\d+(.*)"","""")"),"RUMAUCOURT")</f>
        <v>RUMAUCOURT</v>
      </c>
      <c r="E26633" s="38" t="s">
        <v>109</v>
      </c>
      <c r="F26633" s="38" t="s">
        <v>86</v>
      </c>
      <c r="G26633" s="49" t="str">
        <f t="shared" si="1"/>
        <v>62860</v>
      </c>
      <c r="H26633" s="49">
        <f t="shared" si="2"/>
        <v>62728</v>
      </c>
    </row>
    <row r="26634">
      <c r="A26634" s="48" t="s">
        <v>6306</v>
      </c>
      <c r="B26634" s="38">
        <v>84112.0</v>
      </c>
      <c r="C26634" s="38" t="s">
        <v>31113</v>
      </c>
      <c r="D26634" s="38" t="str">
        <f>IFERROR(__xludf.DUMMYFUNCTION("REGEXREPLACE(C26634,""-\d+(.*)|--\d+(.*)"","""")"),"SAINT-MARTIN-DE-CASTILLON")</f>
        <v>SAINT-MARTIN-DE-CASTILLON</v>
      </c>
      <c r="E26634" s="38" t="s">
        <v>1026</v>
      </c>
      <c r="F26634" s="38" t="s">
        <v>228</v>
      </c>
      <c r="G26634" s="49" t="str">
        <f t="shared" si="1"/>
        <v>84750</v>
      </c>
      <c r="H26634" s="49">
        <f t="shared" si="2"/>
        <v>84112</v>
      </c>
    </row>
    <row r="26635">
      <c r="A26635" s="48" t="s">
        <v>1404</v>
      </c>
      <c r="B26635" s="38">
        <v>30046.0</v>
      </c>
      <c r="C26635" s="38" t="s">
        <v>31114</v>
      </c>
      <c r="D26635" s="38" t="str">
        <f>IFERROR(__xludf.DUMMYFUNCTION("REGEXREPLACE(C26635,""-\d+(.*)|--\d+(.*)"","""")"),"BOUCOIRAN-ET-NOZIERES")</f>
        <v>BOUCOIRAN-ET-NOZIERES</v>
      </c>
      <c r="E26635" s="38" t="s">
        <v>526</v>
      </c>
      <c r="F26635" s="38" t="s">
        <v>119</v>
      </c>
      <c r="G26635" s="49" t="str">
        <f t="shared" si="1"/>
        <v>30190</v>
      </c>
      <c r="H26635" s="49">
        <f t="shared" si="2"/>
        <v>30046</v>
      </c>
    </row>
    <row r="26636">
      <c r="A26636" s="48" t="s">
        <v>2708</v>
      </c>
      <c r="B26636" s="38">
        <v>70017.0</v>
      </c>
      <c r="C26636" s="38" t="s">
        <v>31115</v>
      </c>
      <c r="D26636" s="38" t="str">
        <f>IFERROR(__xludf.DUMMYFUNCTION("REGEXREPLACE(C26636,""-\d+(.*)|--\d+(.*)"","""")"),"ANCHENONCOURT-ET-CHAZEL")</f>
        <v>ANCHENONCOURT-ET-CHAZEL</v>
      </c>
      <c r="E26636" s="38" t="s">
        <v>956</v>
      </c>
      <c r="F26636" s="38" t="s">
        <v>214</v>
      </c>
      <c r="G26636" s="49" t="str">
        <f t="shared" si="1"/>
        <v>70210</v>
      </c>
      <c r="H26636" s="49">
        <f t="shared" si="2"/>
        <v>70017</v>
      </c>
    </row>
    <row r="26637">
      <c r="A26637" s="48" t="s">
        <v>7388</v>
      </c>
      <c r="B26637" s="38">
        <v>42163.0</v>
      </c>
      <c r="C26637" s="38" t="s">
        <v>31116</v>
      </c>
      <c r="D26637" s="38" t="str">
        <f>IFERROR(__xludf.DUMMYFUNCTION("REGEXREPLACE(C26637,""-\d+(.*)|--\d+(.*)"","""")"),"LA PACAUDIERE")</f>
        <v>LA PACAUDIERE</v>
      </c>
      <c r="E26637" s="38" t="s">
        <v>166</v>
      </c>
      <c r="F26637" s="38" t="s">
        <v>102</v>
      </c>
      <c r="G26637" s="49" t="str">
        <f t="shared" si="1"/>
        <v>42310</v>
      </c>
      <c r="H26637" s="49">
        <f t="shared" si="2"/>
        <v>42163</v>
      </c>
    </row>
    <row r="26638">
      <c r="A26638" s="48" t="s">
        <v>2736</v>
      </c>
      <c r="B26638" s="38">
        <v>89172.0</v>
      </c>
      <c r="C26638" s="38" t="s">
        <v>31117</v>
      </c>
      <c r="D26638" s="38" t="str">
        <f>IFERROR(__xludf.DUMMYFUNCTION("REGEXREPLACE(C26638,""-\d+(.*)|--\d+(.*)"","""")"),"FONTAINE-LA-GAILLARDE")</f>
        <v>FONTAINE-LA-GAILLARDE</v>
      </c>
      <c r="E26638" s="38" t="s">
        <v>275</v>
      </c>
      <c r="F26638" s="38" t="s">
        <v>106</v>
      </c>
      <c r="G26638" s="49" t="str">
        <f t="shared" si="1"/>
        <v>89100</v>
      </c>
      <c r="H26638" s="49">
        <f t="shared" si="2"/>
        <v>89172</v>
      </c>
    </row>
    <row r="26639">
      <c r="A26639" s="48" t="s">
        <v>1036</v>
      </c>
      <c r="B26639" s="38">
        <v>57349.0</v>
      </c>
      <c r="C26639" s="38" t="s">
        <v>31118</v>
      </c>
      <c r="D26639" s="38" t="str">
        <f>IFERROR(__xludf.DUMMYFUNCTION("REGEXREPLACE(C26639,""-\d+(.*)|--\d+(.*)"","""")"),"JALLAUCOURT")</f>
        <v>JALLAUCOURT</v>
      </c>
      <c r="E26639" s="38" t="s">
        <v>303</v>
      </c>
      <c r="F26639" s="38" t="s">
        <v>195</v>
      </c>
      <c r="G26639" s="49" t="str">
        <f t="shared" si="1"/>
        <v>57590</v>
      </c>
      <c r="H26639" s="49">
        <f t="shared" si="2"/>
        <v>57349</v>
      </c>
    </row>
    <row r="26640">
      <c r="A26640" s="48" t="s">
        <v>3434</v>
      </c>
      <c r="B26640" s="38">
        <v>11218.0</v>
      </c>
      <c r="C26640" s="38" t="s">
        <v>31119</v>
      </c>
      <c r="D26640" s="38" t="str">
        <f>IFERROR(__xludf.DUMMYFUNCTION("REGEXREPLACE(C26640,""-\d+(.*)|--\d+(.*)"","""")"),"MARQUEIN")</f>
        <v>MARQUEIN</v>
      </c>
      <c r="E26640" s="38" t="s">
        <v>278</v>
      </c>
      <c r="F26640" s="38" t="s">
        <v>119</v>
      </c>
      <c r="G26640" s="49" t="str">
        <f t="shared" si="1"/>
        <v>11410</v>
      </c>
      <c r="H26640" s="49">
        <f t="shared" si="2"/>
        <v>11218</v>
      </c>
    </row>
    <row r="26641">
      <c r="A26641" s="48" t="s">
        <v>5332</v>
      </c>
      <c r="B26641" s="38">
        <v>1453.0</v>
      </c>
      <c r="C26641" s="38" t="s">
        <v>31120</v>
      </c>
      <c r="D26641" s="38" t="str">
        <f>IFERROR(__xludf.DUMMYFUNCTION("REGEXREPLACE(C26641,""-\d+(.*)|--\d+(.*)"","""")"),"VIRIEU-LE-PETIT")</f>
        <v>VIRIEU-LE-PETIT</v>
      </c>
      <c r="E26641" s="38" t="s">
        <v>255</v>
      </c>
      <c r="F26641" s="38" t="s">
        <v>102</v>
      </c>
      <c r="G26641" s="49" t="str">
        <f t="shared" si="1"/>
        <v>01260</v>
      </c>
      <c r="H26641" s="49" t="str">
        <f t="shared" si="2"/>
        <v>01453</v>
      </c>
    </row>
    <row r="26642">
      <c r="A26642" s="48" t="s">
        <v>31121</v>
      </c>
      <c r="B26642" s="38">
        <v>49119.0</v>
      </c>
      <c r="C26642" s="38" t="s">
        <v>31122</v>
      </c>
      <c r="D26642" s="38" t="str">
        <f>IFERROR(__xludf.DUMMYFUNCTION("REGEXREPLACE(C26642,""-\d+(.*)|--\d+(.*)"","""")"),"DAUMERAY")</f>
        <v>DAUMERAY</v>
      </c>
      <c r="E26642" s="38" t="s">
        <v>653</v>
      </c>
      <c r="F26642" s="38" t="s">
        <v>180</v>
      </c>
      <c r="G26642" s="49" t="str">
        <f t="shared" si="1"/>
        <v>49640</v>
      </c>
      <c r="H26642" s="49">
        <f t="shared" si="2"/>
        <v>49119</v>
      </c>
    </row>
    <row r="26643">
      <c r="A26643" s="48" t="s">
        <v>1132</v>
      </c>
      <c r="B26643" s="38">
        <v>2110.0</v>
      </c>
      <c r="C26643" s="38" t="s">
        <v>31123</v>
      </c>
      <c r="D26643" s="38" t="str">
        <f>IFERROR(__xludf.DUMMYFUNCTION("REGEXREPLACE(C26643,""-\d+(.*)|--\d+(.*)"","""")"),"BRAINE")</f>
        <v>BRAINE</v>
      </c>
      <c r="E26643" s="38" t="s">
        <v>191</v>
      </c>
      <c r="F26643" s="38" t="s">
        <v>113</v>
      </c>
      <c r="G26643" s="49" t="str">
        <f t="shared" si="1"/>
        <v>02220</v>
      </c>
      <c r="H26643" s="49" t="str">
        <f t="shared" si="2"/>
        <v>02110</v>
      </c>
    </row>
    <row r="26644">
      <c r="A26644" s="48" t="s">
        <v>24792</v>
      </c>
      <c r="B26644" s="38">
        <v>85112.0</v>
      </c>
      <c r="C26644" s="38" t="s">
        <v>31124</v>
      </c>
      <c r="D26644" s="38" t="str">
        <f>IFERROR(__xludf.DUMMYFUNCTION("REGEXREPLACE(C26644,""-\d+(.*)|--\d+(.*)"","""")"),"L'ILE-D'OLONNE")</f>
        <v>L'ILE-D'OLONNE</v>
      </c>
      <c r="E26644" s="38" t="s">
        <v>179</v>
      </c>
      <c r="F26644" s="38" t="s">
        <v>180</v>
      </c>
      <c r="G26644" s="49" t="str">
        <f t="shared" si="1"/>
        <v>85340</v>
      </c>
      <c r="H26644" s="49">
        <f t="shared" si="2"/>
        <v>85112</v>
      </c>
    </row>
    <row r="26645">
      <c r="A26645" s="48" t="s">
        <v>580</v>
      </c>
      <c r="B26645" s="38">
        <v>31068.0</v>
      </c>
      <c r="C26645" s="38" t="s">
        <v>31125</v>
      </c>
      <c r="D26645" s="38" t="str">
        <f>IFERROR(__xludf.DUMMYFUNCTION("REGEXREPLACE(C26645,""-\d+(.*)|--\d+(.*)"","""")"),"BILLIERE")</f>
        <v>BILLIERE</v>
      </c>
      <c r="E26645" s="38" t="s">
        <v>93</v>
      </c>
      <c r="F26645" s="38" t="s">
        <v>94</v>
      </c>
      <c r="G26645" s="49" t="str">
        <f t="shared" si="1"/>
        <v>31110</v>
      </c>
      <c r="H26645" s="49">
        <f t="shared" si="2"/>
        <v>31068</v>
      </c>
    </row>
    <row r="26646">
      <c r="A26646" s="48" t="s">
        <v>7153</v>
      </c>
      <c r="B26646" s="38">
        <v>30261.0</v>
      </c>
      <c r="C26646" s="38" t="s">
        <v>31126</v>
      </c>
      <c r="D26646" s="38" t="str">
        <f>IFERROR(__xludf.DUMMYFUNCTION("REGEXREPLACE(C26646,""-\d+(.*)|--\d+(.*)"","""")"),"SAINT-HIPPOLYTE-DE-CATON")</f>
        <v>SAINT-HIPPOLYTE-DE-CATON</v>
      </c>
      <c r="E26646" s="38" t="s">
        <v>526</v>
      </c>
      <c r="F26646" s="38" t="s">
        <v>119</v>
      </c>
      <c r="G26646" s="49" t="str">
        <f t="shared" si="1"/>
        <v>30360</v>
      </c>
      <c r="H26646" s="49">
        <f t="shared" si="2"/>
        <v>30261</v>
      </c>
    </row>
    <row r="26647">
      <c r="A26647" s="48" t="s">
        <v>3311</v>
      </c>
      <c r="B26647" s="38">
        <v>19019.0</v>
      </c>
      <c r="C26647" s="38" t="s">
        <v>31127</v>
      </c>
      <c r="D26647" s="38" t="str">
        <f>IFERROR(__xludf.DUMMYFUNCTION("REGEXREPLACE(C26647,""-\d+(.*)|--\d+(.*)"","""")"),"BEAULIEU-SUR-DORDOGNE")</f>
        <v>BEAULIEU-SUR-DORDOGNE</v>
      </c>
      <c r="E26647" s="38" t="s">
        <v>271</v>
      </c>
      <c r="F26647" s="38" t="s">
        <v>98</v>
      </c>
      <c r="G26647" s="49" t="str">
        <f t="shared" si="1"/>
        <v>19120</v>
      </c>
      <c r="H26647" s="49">
        <f t="shared" si="2"/>
        <v>19019</v>
      </c>
    </row>
    <row r="26648">
      <c r="A26648" s="48" t="s">
        <v>15157</v>
      </c>
      <c r="B26648" s="38">
        <v>91249.0</v>
      </c>
      <c r="C26648" s="38" t="s">
        <v>31128</v>
      </c>
      <c r="D26648" s="38" t="str">
        <f>IFERROR(__xludf.DUMMYFUNCTION("REGEXREPLACE(C26648,""-\d+(.*)|--\d+(.*)"","""")"),"FORGES-LES-BAINS")</f>
        <v>FORGES-LES-BAINS</v>
      </c>
      <c r="E26648" s="38" t="s">
        <v>756</v>
      </c>
      <c r="F26648" s="38" t="s">
        <v>245</v>
      </c>
      <c r="G26648" s="49" t="str">
        <f t="shared" si="1"/>
        <v>91470</v>
      </c>
      <c r="H26648" s="49">
        <f t="shared" si="2"/>
        <v>91249</v>
      </c>
    </row>
    <row r="26649">
      <c r="A26649" s="48" t="s">
        <v>1588</v>
      </c>
      <c r="B26649" s="38">
        <v>9026.0</v>
      </c>
      <c r="C26649" s="38" t="s">
        <v>31129</v>
      </c>
      <c r="D26649" s="38" t="str">
        <f>IFERROR(__xludf.DUMMYFUNCTION("REGEXREPLACE(C26649,""-\d+(.*)|--\d+(.*)"","""")"),"AUDRESSEIN")</f>
        <v>AUDRESSEIN</v>
      </c>
      <c r="E26649" s="38" t="s">
        <v>238</v>
      </c>
      <c r="F26649" s="38" t="s">
        <v>94</v>
      </c>
      <c r="G26649" s="49" t="str">
        <f t="shared" si="1"/>
        <v>09800</v>
      </c>
      <c r="H26649" s="49" t="str">
        <f t="shared" si="2"/>
        <v>09026</v>
      </c>
    </row>
    <row r="26650">
      <c r="A26650" s="48" t="s">
        <v>5709</v>
      </c>
      <c r="B26650" s="38">
        <v>44197.0</v>
      </c>
      <c r="C26650" s="38" t="s">
        <v>31130</v>
      </c>
      <c r="D26650" s="38" t="str">
        <f>IFERROR(__xludf.DUMMYFUNCTION("REGEXREPLACE(C26650,""-\d+(.*)|--\d+(.*)"","""")"),"SION-LES-MINES")</f>
        <v>SION-LES-MINES</v>
      </c>
      <c r="E26650" s="38" t="s">
        <v>759</v>
      </c>
      <c r="F26650" s="38" t="s">
        <v>180</v>
      </c>
      <c r="G26650" s="49" t="str">
        <f t="shared" si="1"/>
        <v>44590</v>
      </c>
      <c r="H26650" s="49">
        <f t="shared" si="2"/>
        <v>44197</v>
      </c>
    </row>
    <row r="26651">
      <c r="A26651" s="48" t="s">
        <v>942</v>
      </c>
      <c r="B26651" s="38">
        <v>2154.0</v>
      </c>
      <c r="C26651" s="38" t="s">
        <v>31131</v>
      </c>
      <c r="D26651" s="38" t="str">
        <f>IFERROR(__xludf.DUMMYFUNCTION("REGEXREPLACE(C26651,""-\d+(.*)|--\d+(.*)"","""")"),"CHACRISE")</f>
        <v>CHACRISE</v>
      </c>
      <c r="E26651" s="38" t="s">
        <v>191</v>
      </c>
      <c r="F26651" s="38" t="s">
        <v>113</v>
      </c>
      <c r="G26651" s="49" t="str">
        <f t="shared" si="1"/>
        <v>02200</v>
      </c>
      <c r="H26651" s="49" t="str">
        <f t="shared" si="2"/>
        <v>02154</v>
      </c>
    </row>
    <row r="26652">
      <c r="A26652" s="48" t="s">
        <v>734</v>
      </c>
      <c r="B26652" s="38">
        <v>54440.0</v>
      </c>
      <c r="C26652" s="38" t="s">
        <v>31132</v>
      </c>
      <c r="D26652" s="38" t="str">
        <f>IFERROR(__xludf.DUMMYFUNCTION("REGEXREPLACE(C26652,""-\d+(.*)|--\d+(.*)"","""")"),"PUXE")</f>
        <v>PUXE</v>
      </c>
      <c r="E26652" s="38" t="s">
        <v>548</v>
      </c>
      <c r="F26652" s="38" t="s">
        <v>195</v>
      </c>
      <c r="G26652" s="49" t="str">
        <f t="shared" si="1"/>
        <v>54800</v>
      </c>
      <c r="H26652" s="49">
        <f t="shared" si="2"/>
        <v>54440</v>
      </c>
    </row>
    <row r="26653">
      <c r="A26653" s="48" t="s">
        <v>3046</v>
      </c>
      <c r="B26653" s="38">
        <v>70032.0</v>
      </c>
      <c r="C26653" s="38" t="s">
        <v>31133</v>
      </c>
      <c r="D26653" s="38" t="str">
        <f>IFERROR(__xludf.DUMMYFUNCTION("REGEXREPLACE(C26653,""-\d+(.*)|--\d+(.*)"","""")"),"ATTRICOURT")</f>
        <v>ATTRICOURT</v>
      </c>
      <c r="E26653" s="38" t="s">
        <v>956</v>
      </c>
      <c r="F26653" s="38" t="s">
        <v>214</v>
      </c>
      <c r="G26653" s="49" t="str">
        <f t="shared" si="1"/>
        <v>70100</v>
      </c>
      <c r="H26653" s="49">
        <f t="shared" si="2"/>
        <v>70032</v>
      </c>
    </row>
    <row r="26654">
      <c r="A26654" s="48" t="s">
        <v>10282</v>
      </c>
      <c r="B26654" s="38">
        <v>81207.0</v>
      </c>
      <c r="C26654" s="38" t="s">
        <v>31134</v>
      </c>
      <c r="D26654" s="38" t="str">
        <f>IFERROR(__xludf.DUMMYFUNCTION("REGEXREPLACE(C26654,""-\d+(.*)|--\d+(.*)"","""")"),"PEYREGOUX")</f>
        <v>PEYREGOUX</v>
      </c>
      <c r="E26654" s="38" t="s">
        <v>231</v>
      </c>
      <c r="F26654" s="38" t="s">
        <v>94</v>
      </c>
      <c r="G26654" s="49" t="str">
        <f t="shared" si="1"/>
        <v>81440</v>
      </c>
      <c r="H26654" s="49">
        <f t="shared" si="2"/>
        <v>81207</v>
      </c>
    </row>
    <row r="26655">
      <c r="A26655" s="48" t="s">
        <v>4481</v>
      </c>
      <c r="B26655" s="38">
        <v>66146.0</v>
      </c>
      <c r="C26655" s="38" t="s">
        <v>31135</v>
      </c>
      <c r="D26655" s="38" t="str">
        <f>IFERROR(__xludf.DUMMYFUNCTION("REGEXREPLACE(C26655,""-\d+(.*)|--\d+(.*)"","""")"),"PORTA")</f>
        <v>PORTA</v>
      </c>
      <c r="E26655" s="38" t="s">
        <v>248</v>
      </c>
      <c r="F26655" s="38" t="s">
        <v>119</v>
      </c>
      <c r="G26655" s="49" t="str">
        <f t="shared" si="1"/>
        <v>66760</v>
      </c>
      <c r="H26655" s="49">
        <f t="shared" si="2"/>
        <v>66146</v>
      </c>
    </row>
    <row r="26656">
      <c r="A26656" s="48" t="s">
        <v>11076</v>
      </c>
      <c r="B26656" s="38">
        <v>49273.0</v>
      </c>
      <c r="C26656" s="38" t="s">
        <v>31136</v>
      </c>
      <c r="D26656" s="38" t="str">
        <f>IFERROR(__xludf.DUMMYFUNCTION("REGEXREPLACE(C26656,""-\d+(.*)|--\d+(.*)"","""")"),"SAINT-CRESPIN-SUR-MOINE")</f>
        <v>SAINT-CRESPIN-SUR-MOINE</v>
      </c>
      <c r="E26656" s="38" t="s">
        <v>653</v>
      </c>
      <c r="F26656" s="38" t="s">
        <v>180</v>
      </c>
      <c r="G26656" s="49" t="str">
        <f t="shared" si="1"/>
        <v>49230</v>
      </c>
      <c r="H26656" s="49">
        <f t="shared" si="2"/>
        <v>49273</v>
      </c>
    </row>
    <row r="26657">
      <c r="A26657" s="48" t="s">
        <v>15308</v>
      </c>
      <c r="B26657" s="38">
        <v>69115.0</v>
      </c>
      <c r="C26657" s="38" t="s">
        <v>31137</v>
      </c>
      <c r="D26657" s="38" t="str">
        <f>IFERROR(__xludf.DUMMYFUNCTION("REGEXREPLACE(C26657,""-\d+(.*)|--\d+(.*)"","""")"),"LIMAS")</f>
        <v>LIMAS</v>
      </c>
      <c r="E26657" s="38" t="s">
        <v>350</v>
      </c>
      <c r="F26657" s="38" t="s">
        <v>102</v>
      </c>
      <c r="G26657" s="49" t="str">
        <f t="shared" si="1"/>
        <v>69400</v>
      </c>
      <c r="H26657" s="49">
        <f t="shared" si="2"/>
        <v>69115</v>
      </c>
    </row>
    <row r="26658">
      <c r="A26658" s="48" t="s">
        <v>1713</v>
      </c>
      <c r="B26658" s="38">
        <v>36004.0</v>
      </c>
      <c r="C26658" s="38" t="s">
        <v>31138</v>
      </c>
      <c r="D26658" s="38" t="str">
        <f>IFERROR(__xludf.DUMMYFUNCTION("REGEXREPLACE(C26658,""-\d+(.*)|--\d+(.*)"","""")"),"ANJOUIN")</f>
        <v>ANJOUIN</v>
      </c>
      <c r="E26658" s="38" t="s">
        <v>258</v>
      </c>
      <c r="F26658" s="38" t="s">
        <v>123</v>
      </c>
      <c r="G26658" s="49" t="str">
        <f t="shared" si="1"/>
        <v>36210</v>
      </c>
      <c r="H26658" s="49">
        <f t="shared" si="2"/>
        <v>36004</v>
      </c>
    </row>
    <row r="26659">
      <c r="A26659" s="48" t="s">
        <v>616</v>
      </c>
      <c r="B26659" s="38">
        <v>89316.0</v>
      </c>
      <c r="C26659" s="38" t="s">
        <v>31139</v>
      </c>
      <c r="D26659" s="38" t="str">
        <f>IFERROR(__xludf.DUMMYFUNCTION("REGEXREPLACE(C26659,""-\d+(.*)|--\d+(.*)"","""")"),"PROVENCY")</f>
        <v>PROVENCY</v>
      </c>
      <c r="E26659" s="38" t="s">
        <v>275</v>
      </c>
      <c r="F26659" s="38" t="s">
        <v>106</v>
      </c>
      <c r="G26659" s="49" t="str">
        <f t="shared" si="1"/>
        <v>89200</v>
      </c>
      <c r="H26659" s="49">
        <f t="shared" si="2"/>
        <v>89316</v>
      </c>
    </row>
    <row r="26660">
      <c r="A26660" s="48" t="s">
        <v>4131</v>
      </c>
      <c r="B26660" s="38">
        <v>27630.0</v>
      </c>
      <c r="C26660" s="38" t="s">
        <v>31140</v>
      </c>
      <c r="D26660" s="38" t="str">
        <f>IFERROR(__xludf.DUMMYFUNCTION("REGEXREPLACE(C26660,""-\d+(.*)|--\d+(.*)"","""")"),"THIBOUVILLE")</f>
        <v>THIBOUVILLE</v>
      </c>
      <c r="E26660" s="38" t="s">
        <v>241</v>
      </c>
      <c r="F26660" s="38" t="s">
        <v>134</v>
      </c>
      <c r="G26660" s="49" t="str">
        <f t="shared" si="1"/>
        <v>27800</v>
      </c>
      <c r="H26660" s="49">
        <f t="shared" si="2"/>
        <v>27630</v>
      </c>
    </row>
    <row r="26661">
      <c r="A26661" s="48" t="s">
        <v>2316</v>
      </c>
      <c r="B26661" s="38">
        <v>25094.0</v>
      </c>
      <c r="C26661" s="38" t="s">
        <v>31141</v>
      </c>
      <c r="D26661" s="38" t="str">
        <f>IFERROR(__xludf.DUMMYFUNCTION("REGEXREPLACE(C26661,""-\d+(.*)|--\d+(.*)"","""")"),"BRETIGNEY-NOTRE-DAME")</f>
        <v>BRETIGNEY-NOTRE-DAME</v>
      </c>
      <c r="E26661" s="38" t="s">
        <v>213</v>
      </c>
      <c r="F26661" s="38" t="s">
        <v>214</v>
      </c>
      <c r="G26661" s="49" t="str">
        <f t="shared" si="1"/>
        <v>25110</v>
      </c>
      <c r="H26661" s="49">
        <f t="shared" si="2"/>
        <v>25094</v>
      </c>
    </row>
    <row r="26662">
      <c r="A26662" s="48" t="s">
        <v>2408</v>
      </c>
      <c r="B26662" s="38">
        <v>30192.0</v>
      </c>
      <c r="C26662" s="38" t="s">
        <v>31142</v>
      </c>
      <c r="D26662" s="38" t="str">
        <f>IFERROR(__xludf.DUMMYFUNCTION("REGEXREPLACE(C26662,""-\d+(.*)|--\d+(.*)"","""")"),"ORTHOUX-SERIGNAC-QUILHAN")</f>
        <v>ORTHOUX-SERIGNAC-QUILHAN</v>
      </c>
      <c r="E26662" s="38" t="s">
        <v>526</v>
      </c>
      <c r="F26662" s="38" t="s">
        <v>119</v>
      </c>
      <c r="G26662" s="49" t="str">
        <f t="shared" si="1"/>
        <v>30260</v>
      </c>
      <c r="H26662" s="49">
        <f t="shared" si="2"/>
        <v>30192</v>
      </c>
    </row>
    <row r="26663">
      <c r="A26663" s="48" t="s">
        <v>2204</v>
      </c>
      <c r="B26663" s="38">
        <v>42064.0</v>
      </c>
      <c r="C26663" s="38" t="s">
        <v>31143</v>
      </c>
      <c r="D26663" s="38" t="str">
        <f>IFERROR(__xludf.DUMMYFUNCTION("REGEXREPLACE(C26663,""-\d+(.*)|--\d+(.*)"","""")"),"CHUYER")</f>
        <v>CHUYER</v>
      </c>
      <c r="E26663" s="38" t="s">
        <v>166</v>
      </c>
      <c r="F26663" s="38" t="s">
        <v>102</v>
      </c>
      <c r="G26663" s="49" t="str">
        <f t="shared" si="1"/>
        <v>42410</v>
      </c>
      <c r="H26663" s="49">
        <f t="shared" si="2"/>
        <v>42064</v>
      </c>
    </row>
    <row r="26664">
      <c r="A26664" s="48" t="s">
        <v>443</v>
      </c>
      <c r="B26664" s="38">
        <v>24452.0</v>
      </c>
      <c r="C26664" s="38" t="s">
        <v>31144</v>
      </c>
      <c r="D26664" s="38" t="str">
        <f>IFERROR(__xludf.DUMMYFUNCTION("REGEXREPLACE(C26664,""-\d+(.*)|--\d+(.*)"","""")"),"SAINT-MARTIAL-VIVEYROL")</f>
        <v>SAINT-MARTIAL-VIVEYROL</v>
      </c>
      <c r="E26664" s="38" t="s">
        <v>261</v>
      </c>
      <c r="F26664" s="38" t="s">
        <v>252</v>
      </c>
      <c r="G26664" s="49" t="str">
        <f t="shared" si="1"/>
        <v>24320</v>
      </c>
      <c r="H26664" s="49">
        <f t="shared" si="2"/>
        <v>24452</v>
      </c>
    </row>
    <row r="26665">
      <c r="A26665" s="48" t="s">
        <v>9385</v>
      </c>
      <c r="B26665" s="38">
        <v>89440.0</v>
      </c>
      <c r="C26665" s="38" t="s">
        <v>31145</v>
      </c>
      <c r="D26665" s="38" t="str">
        <f>IFERROR(__xludf.DUMMYFUNCTION("REGEXREPLACE(C26665,""-\d+(.*)|--\d+(.*)"","""")"),"VERLIN")</f>
        <v>VERLIN</v>
      </c>
      <c r="E26665" s="38" t="s">
        <v>275</v>
      </c>
      <c r="F26665" s="38" t="s">
        <v>106</v>
      </c>
      <c r="G26665" s="49" t="str">
        <f t="shared" si="1"/>
        <v>89330</v>
      </c>
      <c r="H26665" s="49">
        <f t="shared" si="2"/>
        <v>89440</v>
      </c>
    </row>
    <row r="26666">
      <c r="A26666" s="48" t="s">
        <v>4624</v>
      </c>
      <c r="B26666" s="38">
        <v>74243.0</v>
      </c>
      <c r="C26666" s="38" t="s">
        <v>31146</v>
      </c>
      <c r="D26666" s="38" t="str">
        <f>IFERROR(__xludf.DUMMYFUNCTION("REGEXREPLACE(C26666,""-\d+(.*)|--\d+(.*)"","""")"),"SAINT-JULIEN-EN-GENEVOIS")</f>
        <v>SAINT-JULIEN-EN-GENEVOIS</v>
      </c>
      <c r="E26666" s="38" t="s">
        <v>319</v>
      </c>
      <c r="F26666" s="38" t="s">
        <v>102</v>
      </c>
      <c r="G26666" s="49" t="str">
        <f t="shared" si="1"/>
        <v>74160</v>
      </c>
      <c r="H26666" s="49">
        <f t="shared" si="2"/>
        <v>74243</v>
      </c>
    </row>
    <row r="26667">
      <c r="A26667" s="48" t="s">
        <v>1300</v>
      </c>
      <c r="B26667" s="38">
        <v>60254.0</v>
      </c>
      <c r="C26667" s="38" t="s">
        <v>31147</v>
      </c>
      <c r="D26667" s="38" t="str">
        <f>IFERROR(__xludf.DUMMYFUNCTION("REGEXREPLACE(C26667,""-\d+(.*)|--\d+(.*)"","""")"),"FRANCIERES")</f>
        <v>FRANCIERES</v>
      </c>
      <c r="E26667" s="38" t="s">
        <v>112</v>
      </c>
      <c r="F26667" s="38" t="s">
        <v>113</v>
      </c>
      <c r="G26667" s="49" t="str">
        <f t="shared" si="1"/>
        <v>60190</v>
      </c>
      <c r="H26667" s="49">
        <f t="shared" si="2"/>
        <v>60254</v>
      </c>
    </row>
    <row r="26668">
      <c r="A26668" s="48" t="s">
        <v>6736</v>
      </c>
      <c r="B26668" s="38">
        <v>31192.0</v>
      </c>
      <c r="C26668" s="38" t="s">
        <v>31148</v>
      </c>
      <c r="D26668" s="38" t="str">
        <f>IFERROR(__xludf.DUMMYFUNCTION("REGEXREPLACE(C26668,""-\d+(.*)|--\d+(.*)"","""")"),"FOURQUEVAUX")</f>
        <v>FOURQUEVAUX</v>
      </c>
      <c r="E26668" s="38" t="s">
        <v>93</v>
      </c>
      <c r="F26668" s="38" t="s">
        <v>94</v>
      </c>
      <c r="G26668" s="49" t="str">
        <f t="shared" si="1"/>
        <v>31450</v>
      </c>
      <c r="H26668" s="49">
        <f t="shared" si="2"/>
        <v>31192</v>
      </c>
    </row>
    <row r="26669">
      <c r="A26669" s="48" t="s">
        <v>31149</v>
      </c>
      <c r="B26669" s="38">
        <v>43051.0</v>
      </c>
      <c r="C26669" s="38" t="s">
        <v>31150</v>
      </c>
      <c r="D26669" s="38" t="str">
        <f>IFERROR(__xludf.DUMMYFUNCTION("REGEXREPLACE(C26669,""-\d+(.*)|--\d+(.*)"","""")"),"LE CHAMBON-SUR-LIGNON")</f>
        <v>LE CHAMBON-SUR-LIGNON</v>
      </c>
      <c r="E26669" s="38" t="s">
        <v>332</v>
      </c>
      <c r="F26669" s="38" t="s">
        <v>161</v>
      </c>
      <c r="G26669" s="49" t="str">
        <f t="shared" si="1"/>
        <v>43400</v>
      </c>
      <c r="H26669" s="49">
        <f t="shared" si="2"/>
        <v>43051</v>
      </c>
    </row>
    <row r="26670">
      <c r="A26670" s="48" t="s">
        <v>1961</v>
      </c>
      <c r="B26670" s="38">
        <v>33216.0</v>
      </c>
      <c r="C26670" s="38" t="s">
        <v>31151</v>
      </c>
      <c r="D26670" s="38" t="str">
        <f>IFERROR(__xludf.DUMMYFUNCTION("REGEXREPLACE(C26670,""-\d+(.*)|--\d+(.*)"","""")"),"LADOS")</f>
        <v>LADOS</v>
      </c>
      <c r="E26670" s="38" t="s">
        <v>462</v>
      </c>
      <c r="F26670" s="38" t="s">
        <v>252</v>
      </c>
      <c r="G26670" s="49" t="str">
        <f t="shared" si="1"/>
        <v>33124</v>
      </c>
      <c r="H26670" s="49">
        <f t="shared" si="2"/>
        <v>33216</v>
      </c>
    </row>
    <row r="26671">
      <c r="A26671" s="48" t="s">
        <v>18819</v>
      </c>
      <c r="B26671" s="38">
        <v>6112.0</v>
      </c>
      <c r="C26671" s="38" t="s">
        <v>31152</v>
      </c>
      <c r="D26671" s="38" t="str">
        <f>IFERROR(__xludf.DUMMYFUNCTION("REGEXREPLACE(C26671,""-\d+(.*)|--\d+(.*)"","""")"),"LE ROURET")</f>
        <v>LE ROURET</v>
      </c>
      <c r="E26671" s="38" t="s">
        <v>227</v>
      </c>
      <c r="F26671" s="38" t="s">
        <v>228</v>
      </c>
      <c r="G26671" s="49" t="str">
        <f t="shared" si="1"/>
        <v>06650</v>
      </c>
      <c r="H26671" s="49" t="str">
        <f t="shared" si="2"/>
        <v>06112</v>
      </c>
    </row>
    <row r="26672">
      <c r="A26672" s="48" t="s">
        <v>5370</v>
      </c>
      <c r="B26672" s="38">
        <v>15132.0</v>
      </c>
      <c r="C26672" s="38" t="s">
        <v>31153</v>
      </c>
      <c r="D26672" s="38" t="str">
        <f>IFERROR(__xludf.DUMMYFUNCTION("REGEXREPLACE(C26672,""-\d+(.*)|--\d+(.*)"","""")"),"MONTGRELEIX")</f>
        <v>MONTGRELEIX</v>
      </c>
      <c r="E26672" s="38" t="s">
        <v>632</v>
      </c>
      <c r="F26672" s="38" t="s">
        <v>161</v>
      </c>
      <c r="G26672" s="49" t="str">
        <f t="shared" si="1"/>
        <v>15190</v>
      </c>
      <c r="H26672" s="49">
        <f t="shared" si="2"/>
        <v>15132</v>
      </c>
    </row>
    <row r="26673">
      <c r="A26673" s="48" t="s">
        <v>8227</v>
      </c>
      <c r="B26673" s="38">
        <v>67275.0</v>
      </c>
      <c r="C26673" s="38" t="s">
        <v>31154</v>
      </c>
      <c r="D26673" s="38" t="str">
        <f>IFERROR(__xludf.DUMMYFUNCTION("REGEXREPLACE(C26673,""-\d+(.*)|--\d+(.*)"","""")"),"LUPSTEIN")</f>
        <v>LUPSTEIN</v>
      </c>
      <c r="E26673" s="38" t="s">
        <v>210</v>
      </c>
      <c r="F26673" s="38" t="s">
        <v>151</v>
      </c>
      <c r="G26673" s="49" t="str">
        <f t="shared" si="1"/>
        <v>67490</v>
      </c>
      <c r="H26673" s="49">
        <f t="shared" si="2"/>
        <v>67275</v>
      </c>
    </row>
    <row r="26674">
      <c r="A26674" s="48" t="s">
        <v>16195</v>
      </c>
      <c r="B26674" s="38">
        <v>25036.0</v>
      </c>
      <c r="C26674" s="38" t="s">
        <v>31155</v>
      </c>
      <c r="D26674" s="38" t="str">
        <f>IFERROR(__xludf.DUMMYFUNCTION("REGEXREPLACE(C26674,""-\d+(.*)|--\d+(.*)"","""")"),"AVANNE-AVENEY")</f>
        <v>AVANNE-AVENEY</v>
      </c>
      <c r="E26674" s="38" t="s">
        <v>213</v>
      </c>
      <c r="F26674" s="38" t="s">
        <v>214</v>
      </c>
      <c r="G26674" s="49" t="str">
        <f t="shared" si="1"/>
        <v>25720</v>
      </c>
      <c r="H26674" s="49">
        <f t="shared" si="2"/>
        <v>25036</v>
      </c>
    </row>
    <row r="26675">
      <c r="A26675" s="48" t="s">
        <v>1742</v>
      </c>
      <c r="B26675" s="38">
        <v>21211.0</v>
      </c>
      <c r="C26675" s="38" t="s">
        <v>31156</v>
      </c>
      <c r="D26675" s="38" t="str">
        <f>IFERROR(__xludf.DUMMYFUNCTION("REGEXREPLACE(C26675,""-\d+(.*)|--\d+(.*)"","""")"),"CRECEY-SUR-TILLE")</f>
        <v>CRECEY-SUR-TILLE</v>
      </c>
      <c r="E26675" s="38" t="s">
        <v>105</v>
      </c>
      <c r="F26675" s="38" t="s">
        <v>106</v>
      </c>
      <c r="G26675" s="49" t="str">
        <f t="shared" si="1"/>
        <v>21120</v>
      </c>
      <c r="H26675" s="49">
        <f t="shared" si="2"/>
        <v>21211</v>
      </c>
    </row>
    <row r="26676">
      <c r="A26676" s="48" t="s">
        <v>31157</v>
      </c>
      <c r="B26676" s="38">
        <v>56170.0</v>
      </c>
      <c r="C26676" s="38" t="s">
        <v>31158</v>
      </c>
      <c r="D26676" s="38" t="str">
        <f>IFERROR(__xludf.DUMMYFUNCTION("REGEXREPLACE(C26676,""-\d+(.*)|--\d+(.*)"","""")"),"PLOURAY")</f>
        <v>PLOURAY</v>
      </c>
      <c r="E26676" s="38" t="s">
        <v>173</v>
      </c>
      <c r="F26676" s="38" t="s">
        <v>90</v>
      </c>
      <c r="G26676" s="49" t="str">
        <f t="shared" si="1"/>
        <v>56770</v>
      </c>
      <c r="H26676" s="49">
        <f t="shared" si="2"/>
        <v>56170</v>
      </c>
    </row>
    <row r="26677">
      <c r="A26677" s="48" t="s">
        <v>3182</v>
      </c>
      <c r="B26677" s="38">
        <v>80404.0</v>
      </c>
      <c r="C26677" s="38" t="s">
        <v>31159</v>
      </c>
      <c r="D26677" s="38" t="str">
        <f>IFERROR(__xludf.DUMMYFUNCTION("REGEXREPLACE(C26677,""-\d+(.*)|--\d+(.*)"","""")"),"GUYENCOURT-SAULCOURT")</f>
        <v>GUYENCOURT-SAULCOURT</v>
      </c>
      <c r="E26677" s="38" t="s">
        <v>224</v>
      </c>
      <c r="F26677" s="38" t="s">
        <v>113</v>
      </c>
      <c r="G26677" s="49" t="str">
        <f t="shared" si="1"/>
        <v>80240</v>
      </c>
      <c r="H26677" s="49">
        <f t="shared" si="2"/>
        <v>80404</v>
      </c>
    </row>
    <row r="26678">
      <c r="A26678" s="48" t="s">
        <v>31160</v>
      </c>
      <c r="B26678" s="38">
        <v>59389.0</v>
      </c>
      <c r="C26678" s="38" t="s">
        <v>31161</v>
      </c>
      <c r="D26678" s="38" t="str">
        <f>IFERROR(__xludf.DUMMYFUNCTION("REGEXREPLACE(C26678,""-\d+(.*)|--\d+(.*)"","""")"),"MASNIERES")</f>
        <v>MASNIERES</v>
      </c>
      <c r="E26678" s="38" t="s">
        <v>85</v>
      </c>
      <c r="F26678" s="38" t="s">
        <v>86</v>
      </c>
      <c r="G26678" s="49" t="str">
        <f t="shared" si="1"/>
        <v>59241</v>
      </c>
      <c r="H26678" s="49">
        <f t="shared" si="2"/>
        <v>59389</v>
      </c>
    </row>
    <row r="26679">
      <c r="A26679" s="48" t="s">
        <v>7393</v>
      </c>
      <c r="B26679" s="38">
        <v>42018.0</v>
      </c>
      <c r="C26679" s="38" t="s">
        <v>31162</v>
      </c>
      <c r="D26679" s="38" t="str">
        <f>IFERROR(__xludf.DUMMYFUNCTION("REGEXREPLACE(C26679,""-\d+(.*)|--\d+(.*)"","""")"),"BESSEY")</f>
        <v>BESSEY</v>
      </c>
      <c r="E26679" s="38" t="s">
        <v>166</v>
      </c>
      <c r="F26679" s="38" t="s">
        <v>102</v>
      </c>
      <c r="G26679" s="49" t="str">
        <f t="shared" si="1"/>
        <v>42520</v>
      </c>
      <c r="H26679" s="49">
        <f t="shared" si="2"/>
        <v>42018</v>
      </c>
    </row>
    <row r="26680">
      <c r="A26680" s="48" t="s">
        <v>9597</v>
      </c>
      <c r="B26680" s="38">
        <v>29228.0</v>
      </c>
      <c r="C26680" s="38" t="s">
        <v>31163</v>
      </c>
      <c r="D26680" s="38" t="str">
        <f>IFERROR(__xludf.DUMMYFUNCTION("REGEXREPLACE(C26680,""-\d+(.*)|--\d+(.*)"","""")"),"PRIMELIN")</f>
        <v>PRIMELIN</v>
      </c>
      <c r="E26680" s="38" t="s">
        <v>176</v>
      </c>
      <c r="F26680" s="38" t="s">
        <v>90</v>
      </c>
      <c r="G26680" s="49" t="str">
        <f t="shared" si="1"/>
        <v>29770</v>
      </c>
      <c r="H26680" s="49">
        <f t="shared" si="2"/>
        <v>29228</v>
      </c>
    </row>
    <row r="26681">
      <c r="A26681" s="48" t="s">
        <v>576</v>
      </c>
      <c r="B26681" s="38">
        <v>54035.0</v>
      </c>
      <c r="C26681" s="38" t="s">
        <v>20162</v>
      </c>
      <c r="D26681" s="38" t="str">
        <f>IFERROR(__xludf.DUMMYFUNCTION("REGEXREPLACE(C26681,""-\d+(.*)|--\d+(.*)"","""")"),"AVRICOURT")</f>
        <v>AVRICOURT</v>
      </c>
      <c r="E26681" s="38" t="s">
        <v>548</v>
      </c>
      <c r="F26681" s="38" t="s">
        <v>195</v>
      </c>
      <c r="G26681" s="49" t="str">
        <f t="shared" si="1"/>
        <v>54450</v>
      </c>
      <c r="H26681" s="49">
        <f t="shared" si="2"/>
        <v>54035</v>
      </c>
    </row>
    <row r="26682">
      <c r="A26682" s="48" t="s">
        <v>12639</v>
      </c>
      <c r="B26682" s="38">
        <v>81069.0</v>
      </c>
      <c r="C26682" s="38" t="s">
        <v>31164</v>
      </c>
      <c r="D26682" s="38" t="str">
        <f>IFERROR(__xludf.DUMMYFUNCTION("REGEXREPLACE(C26682,""-\d+(.*)|--\d+(.*)"","""")"),"CORDES-SUR-CIEL")</f>
        <v>CORDES-SUR-CIEL</v>
      </c>
      <c r="E26682" s="38" t="s">
        <v>231</v>
      </c>
      <c r="F26682" s="38" t="s">
        <v>94</v>
      </c>
      <c r="G26682" s="49" t="str">
        <f t="shared" si="1"/>
        <v>81170</v>
      </c>
      <c r="H26682" s="49">
        <f t="shared" si="2"/>
        <v>81069</v>
      </c>
    </row>
    <row r="26683">
      <c r="A26683" s="48" t="s">
        <v>23894</v>
      </c>
      <c r="B26683" s="38">
        <v>69067.0</v>
      </c>
      <c r="C26683" s="38" t="s">
        <v>31165</v>
      </c>
      <c r="D26683" s="38" t="str">
        <f>IFERROR(__xludf.DUMMYFUNCTION("REGEXREPLACE(C26683,""-\d+(.*)|--\d+(.*)"","""")"),"COURZIEU")</f>
        <v>COURZIEU</v>
      </c>
      <c r="E26683" s="38" t="s">
        <v>350</v>
      </c>
      <c r="F26683" s="38" t="s">
        <v>102</v>
      </c>
      <c r="G26683" s="49" t="str">
        <f t="shared" si="1"/>
        <v>69690</v>
      </c>
      <c r="H26683" s="49">
        <f t="shared" si="2"/>
        <v>69067</v>
      </c>
    </row>
    <row r="26684">
      <c r="A26684" s="48" t="s">
        <v>18890</v>
      </c>
      <c r="B26684" s="38">
        <v>64123.0</v>
      </c>
      <c r="C26684" s="38" t="s">
        <v>31166</v>
      </c>
      <c r="D26684" s="38" t="str">
        <f>IFERROR(__xludf.DUMMYFUNCTION("REGEXREPLACE(C26684,""-\d+(.*)|--\d+(.*)"","""")"),"BIDACHE")</f>
        <v>BIDACHE</v>
      </c>
      <c r="E26684" s="38" t="s">
        <v>268</v>
      </c>
      <c r="F26684" s="38" t="s">
        <v>252</v>
      </c>
      <c r="G26684" s="49" t="str">
        <f t="shared" si="1"/>
        <v>64520</v>
      </c>
      <c r="H26684" s="49">
        <f t="shared" si="2"/>
        <v>64123</v>
      </c>
    </row>
    <row r="26685">
      <c r="A26685" s="48" t="s">
        <v>889</v>
      </c>
      <c r="B26685" s="38">
        <v>30088.0</v>
      </c>
      <c r="C26685" s="38" t="s">
        <v>31167</v>
      </c>
      <c r="D26685" s="38" t="str">
        <f>IFERROR(__xludf.DUMMYFUNCTION("REGEXREPLACE(C26685,""-\d+(.*)|--\d+(.*)"","""")"),"COMBAS")</f>
        <v>COMBAS</v>
      </c>
      <c r="E26685" s="38" t="s">
        <v>526</v>
      </c>
      <c r="F26685" s="38" t="s">
        <v>119</v>
      </c>
      <c r="G26685" s="49" t="str">
        <f t="shared" si="1"/>
        <v>30250</v>
      </c>
      <c r="H26685" s="49">
        <f t="shared" si="2"/>
        <v>30088</v>
      </c>
    </row>
    <row r="26686">
      <c r="A26686" s="48" t="s">
        <v>5014</v>
      </c>
      <c r="B26686" s="38">
        <v>57490.0</v>
      </c>
      <c r="C26686" s="38" t="s">
        <v>31168</v>
      </c>
      <c r="D26686" s="38" t="str">
        <f>IFERROR(__xludf.DUMMYFUNCTION("REGEXREPLACE(C26686,""-\d+(.*)|--\d+(.*)"","""")"),"MOYENVIC")</f>
        <v>MOYENVIC</v>
      </c>
      <c r="E26686" s="38" t="s">
        <v>303</v>
      </c>
      <c r="F26686" s="38" t="s">
        <v>195</v>
      </c>
      <c r="G26686" s="49" t="str">
        <f t="shared" si="1"/>
        <v>57630</v>
      </c>
      <c r="H26686" s="49">
        <f t="shared" si="2"/>
        <v>57490</v>
      </c>
    </row>
    <row r="26687">
      <c r="A26687" s="48" t="s">
        <v>31169</v>
      </c>
      <c r="B26687" s="38">
        <v>85153.0</v>
      </c>
      <c r="C26687" s="38" t="s">
        <v>31170</v>
      </c>
      <c r="D26687" s="38" t="str">
        <f>IFERROR(__xludf.DUMMYFUNCTION("REGEXREPLACE(C26687,""-\d+(.*)|--\d+(.*)"","""")"),"MOUCHAMPS")</f>
        <v>MOUCHAMPS</v>
      </c>
      <c r="E26687" s="38" t="s">
        <v>179</v>
      </c>
      <c r="F26687" s="38" t="s">
        <v>180</v>
      </c>
      <c r="G26687" s="49" t="str">
        <f t="shared" si="1"/>
        <v>85640</v>
      </c>
      <c r="H26687" s="49">
        <f t="shared" si="2"/>
        <v>85153</v>
      </c>
    </row>
    <row r="26688">
      <c r="A26688" s="48" t="s">
        <v>31171</v>
      </c>
      <c r="B26688" s="38">
        <v>91228.0</v>
      </c>
      <c r="C26688" s="38" t="s">
        <v>31172</v>
      </c>
      <c r="D26688" s="38" t="str">
        <f>IFERROR(__xludf.DUMMYFUNCTION("REGEXREPLACE(C26688,""-\d+(.*)|--\d+(.*)"","""")"),"EVRY")</f>
        <v>EVRY</v>
      </c>
      <c r="E26688" s="38" t="s">
        <v>756</v>
      </c>
      <c r="F26688" s="38" t="s">
        <v>245</v>
      </c>
      <c r="G26688" s="49" t="str">
        <f t="shared" si="1"/>
        <v>91000</v>
      </c>
      <c r="H26688" s="49">
        <f t="shared" si="2"/>
        <v>91228</v>
      </c>
    </row>
    <row r="26689">
      <c r="A26689" s="48" t="s">
        <v>6515</v>
      </c>
      <c r="B26689" s="38">
        <v>62312.0</v>
      </c>
      <c r="C26689" s="38" t="s">
        <v>31173</v>
      </c>
      <c r="D26689" s="38" t="str">
        <f>IFERROR(__xludf.DUMMYFUNCTION("REGEXREPLACE(C26689,""-\d+(.*)|--\d+(.*)"","""")"),"ESTREE")</f>
        <v>ESTREE</v>
      </c>
      <c r="E26689" s="38" t="s">
        <v>109</v>
      </c>
      <c r="F26689" s="38" t="s">
        <v>86</v>
      </c>
      <c r="G26689" s="49" t="str">
        <f t="shared" si="1"/>
        <v>62170</v>
      </c>
      <c r="H26689" s="49">
        <f t="shared" si="2"/>
        <v>62312</v>
      </c>
    </row>
    <row r="26690">
      <c r="A26690" s="48" t="s">
        <v>3965</v>
      </c>
      <c r="B26690" s="38">
        <v>33450.0</v>
      </c>
      <c r="C26690" s="38" t="s">
        <v>31174</v>
      </c>
      <c r="D26690" s="38" t="str">
        <f>IFERROR(__xludf.DUMMYFUNCTION("REGEXREPLACE(C26690,""-\d+(.*)|--\d+(.*)"","""")"),"SAINT-MICHEL-DE-CASTELNAU")</f>
        <v>SAINT-MICHEL-DE-CASTELNAU</v>
      </c>
      <c r="E26690" s="38" t="s">
        <v>462</v>
      </c>
      <c r="F26690" s="38" t="s">
        <v>252</v>
      </c>
      <c r="G26690" s="49" t="str">
        <f t="shared" si="1"/>
        <v>33840</v>
      </c>
      <c r="H26690" s="49">
        <f t="shared" si="2"/>
        <v>33450</v>
      </c>
    </row>
    <row r="26691">
      <c r="A26691" s="48" t="s">
        <v>17129</v>
      </c>
      <c r="B26691" s="38">
        <v>10349.0</v>
      </c>
      <c r="C26691" s="38" t="s">
        <v>31175</v>
      </c>
      <c r="D26691" s="38" t="str">
        <f>IFERROR(__xludf.DUMMYFUNCTION("REGEXREPLACE(C26691,""-\d+(.*)|--\d+(.*)"","""")"),"SAINT-LYE")</f>
        <v>SAINT-LYE</v>
      </c>
      <c r="E26691" s="38" t="s">
        <v>147</v>
      </c>
      <c r="F26691" s="38" t="s">
        <v>130</v>
      </c>
      <c r="G26691" s="49" t="str">
        <f t="shared" si="1"/>
        <v>10180</v>
      </c>
      <c r="H26691" s="49">
        <f t="shared" si="2"/>
        <v>10349</v>
      </c>
    </row>
    <row r="26692">
      <c r="A26692" s="48" t="s">
        <v>1526</v>
      </c>
      <c r="B26692" s="38">
        <v>60545.0</v>
      </c>
      <c r="C26692" s="38" t="s">
        <v>31176</v>
      </c>
      <c r="D26692" s="38" t="str">
        <f>IFERROR(__xludf.DUMMYFUNCTION("REGEXREPLACE(C26692,""-\d+(.*)|--\d+(.*)"","""")"),"ROMESCAMPS")</f>
        <v>ROMESCAMPS</v>
      </c>
      <c r="E26692" s="38" t="s">
        <v>112</v>
      </c>
      <c r="F26692" s="38" t="s">
        <v>113</v>
      </c>
      <c r="G26692" s="49" t="str">
        <f t="shared" si="1"/>
        <v>60220</v>
      </c>
      <c r="H26692" s="49">
        <f t="shared" si="2"/>
        <v>60545</v>
      </c>
    </row>
    <row r="26693">
      <c r="A26693" s="48" t="s">
        <v>10299</v>
      </c>
      <c r="B26693" s="38">
        <v>67304.0</v>
      </c>
      <c r="C26693" s="38" t="s">
        <v>31177</v>
      </c>
      <c r="D26693" s="38" t="str">
        <f>IFERROR(__xludf.DUMMYFUNCTION("REGEXREPLACE(C26693,""-\d+(.*)|--\d+(.*)"","""")"),"MORSCHWILLER")</f>
        <v>MORSCHWILLER</v>
      </c>
      <c r="E26693" s="38" t="s">
        <v>210</v>
      </c>
      <c r="F26693" s="38" t="s">
        <v>151</v>
      </c>
      <c r="G26693" s="49" t="str">
        <f t="shared" si="1"/>
        <v>67350</v>
      </c>
      <c r="H26693" s="49">
        <f t="shared" si="2"/>
        <v>67304</v>
      </c>
    </row>
    <row r="26694">
      <c r="A26694" s="48" t="s">
        <v>18533</v>
      </c>
      <c r="B26694" s="38">
        <v>77338.0</v>
      </c>
      <c r="C26694" s="38" t="s">
        <v>31178</v>
      </c>
      <c r="D26694" s="38" t="str">
        <f>IFERROR(__xludf.DUMMYFUNCTION("REGEXREPLACE(C26694,""-\d+(.*)|--\d+(.*)"","""")"),"NOISY-RUDIGNON")</f>
        <v>NOISY-RUDIGNON</v>
      </c>
      <c r="E26694" s="38" t="s">
        <v>244</v>
      </c>
      <c r="F26694" s="38" t="s">
        <v>245</v>
      </c>
      <c r="G26694" s="49" t="str">
        <f t="shared" si="1"/>
        <v>77940</v>
      </c>
      <c r="H26694" s="49">
        <f t="shared" si="2"/>
        <v>77338</v>
      </c>
    </row>
    <row r="26695">
      <c r="A26695" s="48" t="s">
        <v>20251</v>
      </c>
      <c r="B26695" s="38">
        <v>44156.0</v>
      </c>
      <c r="C26695" s="38" t="s">
        <v>31179</v>
      </c>
      <c r="D26695" s="38" t="str">
        <f>IFERROR(__xludf.DUMMYFUNCTION("REGEXREPLACE(C26695,""-\d+(.*)|--\d+(.*)"","""")"),"CORCOUE-SUR-LOGNE")</f>
        <v>CORCOUE-SUR-LOGNE</v>
      </c>
      <c r="E26695" s="38" t="s">
        <v>759</v>
      </c>
      <c r="F26695" s="38" t="s">
        <v>180</v>
      </c>
      <c r="G26695" s="49" t="str">
        <f t="shared" si="1"/>
        <v>44650</v>
      </c>
      <c r="H26695" s="49">
        <f t="shared" si="2"/>
        <v>44156</v>
      </c>
    </row>
    <row r="26696">
      <c r="A26696" s="48" t="s">
        <v>3753</v>
      </c>
      <c r="B26696" s="38">
        <v>18191.0</v>
      </c>
      <c r="C26696" s="38" t="s">
        <v>31180</v>
      </c>
      <c r="D26696" s="38" t="str">
        <f>IFERROR(__xludf.DUMMYFUNCTION("REGEXREPLACE(C26696,""-\d+(.*)|--\d+(.*)"","""")"),"RAYMOND")</f>
        <v>RAYMOND</v>
      </c>
      <c r="E26696" s="38" t="s">
        <v>504</v>
      </c>
      <c r="F26696" s="38" t="s">
        <v>123</v>
      </c>
      <c r="G26696" s="49" t="str">
        <f t="shared" si="1"/>
        <v>18130</v>
      </c>
      <c r="H26696" s="49">
        <f t="shared" si="2"/>
        <v>18191</v>
      </c>
    </row>
    <row r="26697">
      <c r="A26697" s="48" t="s">
        <v>595</v>
      </c>
      <c r="B26697" s="38">
        <v>29043.0</v>
      </c>
      <c r="C26697" s="38" t="s">
        <v>31181</v>
      </c>
      <c r="D26697" s="38" t="str">
        <f>IFERROR(__xludf.DUMMYFUNCTION("REGEXREPLACE(C26697,""-\d+(.*)|--\d+(.*)"","""")"),"DAOULAS")</f>
        <v>DAOULAS</v>
      </c>
      <c r="E26697" s="38" t="s">
        <v>176</v>
      </c>
      <c r="F26697" s="38" t="s">
        <v>90</v>
      </c>
      <c r="G26697" s="49" t="str">
        <f t="shared" si="1"/>
        <v>29460</v>
      </c>
      <c r="H26697" s="49">
        <f t="shared" si="2"/>
        <v>29043</v>
      </c>
    </row>
    <row r="26698">
      <c r="A26698" s="48" t="s">
        <v>730</v>
      </c>
      <c r="B26698" s="38">
        <v>48193.0</v>
      </c>
      <c r="C26698" s="38" t="s">
        <v>31182</v>
      </c>
      <c r="D26698" s="38" t="str">
        <f>IFERROR(__xludf.DUMMYFUNCTION("REGEXREPLACE(C26698,""-\d+(.*)|--\d+(.*)"","""")"),"VEBRON")</f>
        <v>VEBRON</v>
      </c>
      <c r="E26698" s="38" t="s">
        <v>154</v>
      </c>
      <c r="F26698" s="38" t="s">
        <v>119</v>
      </c>
      <c r="G26698" s="49" t="str">
        <f t="shared" si="1"/>
        <v>48400</v>
      </c>
      <c r="H26698" s="49">
        <f t="shared" si="2"/>
        <v>48193</v>
      </c>
    </row>
    <row r="26699">
      <c r="A26699" s="48" t="s">
        <v>2118</v>
      </c>
      <c r="B26699" s="38">
        <v>35014.0</v>
      </c>
      <c r="C26699" s="38" t="s">
        <v>9069</v>
      </c>
      <c r="D26699" s="38" t="str">
        <f>IFERROR(__xludf.DUMMYFUNCTION("REGEXREPLACE(C26699,""-\d+(.*)|--\d+(.*)"","""")"),"BAIS")</f>
        <v>BAIS</v>
      </c>
      <c r="E26699" s="38" t="s">
        <v>347</v>
      </c>
      <c r="F26699" s="38" t="s">
        <v>90</v>
      </c>
      <c r="G26699" s="49" t="str">
        <f t="shared" si="1"/>
        <v>35680</v>
      </c>
      <c r="H26699" s="49">
        <f t="shared" si="2"/>
        <v>35014</v>
      </c>
    </row>
    <row r="26700">
      <c r="A26700" s="48" t="s">
        <v>9683</v>
      </c>
      <c r="B26700" s="38">
        <v>46268.0</v>
      </c>
      <c r="C26700" s="38" t="s">
        <v>7302</v>
      </c>
      <c r="D26700" s="38" t="str">
        <f>IFERROR(__xludf.DUMMYFUNCTION("REGEXREPLACE(C26700,""-\d+(.*)|--\d+(.*)"","""")"),"SAINT-GERY")</f>
        <v>SAINT-GERY</v>
      </c>
      <c r="E26700" s="38" t="s">
        <v>185</v>
      </c>
      <c r="F26700" s="38" t="s">
        <v>94</v>
      </c>
      <c r="G26700" s="49" t="str">
        <f t="shared" si="1"/>
        <v>46330</v>
      </c>
      <c r="H26700" s="49">
        <f t="shared" si="2"/>
        <v>46268</v>
      </c>
    </row>
    <row r="26701">
      <c r="A26701" s="48" t="s">
        <v>3056</v>
      </c>
      <c r="B26701" s="38">
        <v>24243.0</v>
      </c>
      <c r="C26701" s="38" t="s">
        <v>15688</v>
      </c>
      <c r="D26701" s="38" t="str">
        <f>IFERROR(__xludf.DUMMYFUNCTION("REGEXREPLACE(C26701,""-\d+(.*)|--\d+(.*)"","""")"),"LISLE")</f>
        <v>LISLE</v>
      </c>
      <c r="E26701" s="38" t="s">
        <v>261</v>
      </c>
      <c r="F26701" s="38" t="s">
        <v>252</v>
      </c>
      <c r="G26701" s="49" t="str">
        <f t="shared" si="1"/>
        <v>24350</v>
      </c>
      <c r="H26701" s="49">
        <f t="shared" si="2"/>
        <v>24243</v>
      </c>
    </row>
    <row r="26702">
      <c r="A26702" s="48" t="s">
        <v>3172</v>
      </c>
      <c r="B26702" s="38">
        <v>28270.0</v>
      </c>
      <c r="C26702" s="38" t="s">
        <v>31183</v>
      </c>
      <c r="D26702" s="38" t="str">
        <f>IFERROR(__xludf.DUMMYFUNCTION("REGEXREPLACE(C26702,""-\d+(.*)|--\d+(.*)"","""")"),"MORIERS")</f>
        <v>MORIERS</v>
      </c>
      <c r="E26702" s="38" t="s">
        <v>300</v>
      </c>
      <c r="F26702" s="38" t="s">
        <v>123</v>
      </c>
      <c r="G26702" s="49" t="str">
        <f t="shared" si="1"/>
        <v>28800</v>
      </c>
      <c r="H26702" s="49">
        <f t="shared" si="2"/>
        <v>28270</v>
      </c>
    </row>
    <row r="26703">
      <c r="A26703" s="48" t="s">
        <v>7566</v>
      </c>
      <c r="B26703" s="38">
        <v>45202.0</v>
      </c>
      <c r="C26703" s="38" t="s">
        <v>31184</v>
      </c>
      <c r="D26703" s="38" t="str">
        <f>IFERROR(__xludf.DUMMYFUNCTION("REGEXREPLACE(C26703,""-\d+(.*)|--\d+(.*)"","""")"),"MESSAS")</f>
        <v>MESSAS</v>
      </c>
      <c r="E26703" s="38" t="s">
        <v>122</v>
      </c>
      <c r="F26703" s="38" t="s">
        <v>123</v>
      </c>
      <c r="G26703" s="49" t="str">
        <f t="shared" si="1"/>
        <v>45190</v>
      </c>
      <c r="H26703" s="49">
        <f t="shared" si="2"/>
        <v>45202</v>
      </c>
    </row>
    <row r="26704">
      <c r="A26704" s="48" t="s">
        <v>2899</v>
      </c>
      <c r="B26704" s="38">
        <v>15074.0</v>
      </c>
      <c r="C26704" s="38" t="s">
        <v>31185</v>
      </c>
      <c r="D26704" s="38" t="str">
        <f>IFERROR(__xludf.DUMMYFUNCTION("REGEXREPLACE(C26704,""-\d+(.*)|--\d+(.*)"","""")"),"GIOU-DE-MAMOU")</f>
        <v>GIOU-DE-MAMOU</v>
      </c>
      <c r="E26704" s="38" t="s">
        <v>632</v>
      </c>
      <c r="F26704" s="38" t="s">
        <v>161</v>
      </c>
      <c r="G26704" s="49" t="str">
        <f t="shared" si="1"/>
        <v>15130</v>
      </c>
      <c r="H26704" s="49">
        <f t="shared" si="2"/>
        <v>15074</v>
      </c>
    </row>
    <row r="26705">
      <c r="A26705" s="48" t="s">
        <v>1428</v>
      </c>
      <c r="B26705" s="38">
        <v>31350.0</v>
      </c>
      <c r="C26705" s="38" t="s">
        <v>31186</v>
      </c>
      <c r="D26705" s="38" t="str">
        <f>IFERROR(__xludf.DUMMYFUNCTION("REGEXREPLACE(C26705,""-\d+(.*)|--\d+(.*)"","""")"),"MONDILHAN")</f>
        <v>MONDILHAN</v>
      </c>
      <c r="E26705" s="38" t="s">
        <v>93</v>
      </c>
      <c r="F26705" s="38" t="s">
        <v>94</v>
      </c>
      <c r="G26705" s="49" t="str">
        <f t="shared" si="1"/>
        <v>31350</v>
      </c>
      <c r="H26705" s="49">
        <f t="shared" si="2"/>
        <v>31350</v>
      </c>
    </row>
    <row r="26706">
      <c r="A26706" s="48" t="s">
        <v>31187</v>
      </c>
      <c r="B26706" s="38" t="s">
        <v>31188</v>
      </c>
      <c r="C26706" s="38" t="s">
        <v>31189</v>
      </c>
      <c r="D26706" s="38" t="str">
        <f>IFERROR(__xludf.DUMMYFUNCTION("REGEXREPLACE(C26706,""-\d+(.*)|--\d+(.*)"","""")"),"TAVERA")</f>
        <v>TAVERA</v>
      </c>
      <c r="E26706" s="38" t="s">
        <v>606</v>
      </c>
      <c r="F26706" s="38" t="s">
        <v>607</v>
      </c>
      <c r="G26706" s="49" t="str">
        <f t="shared" si="1"/>
        <v>20163</v>
      </c>
      <c r="H26706" s="49" t="str">
        <f t="shared" si="2"/>
        <v>2A324</v>
      </c>
    </row>
    <row r="26707">
      <c r="A26707" s="48" t="s">
        <v>12127</v>
      </c>
      <c r="B26707" s="38">
        <v>7118.0</v>
      </c>
      <c r="C26707" s="38" t="s">
        <v>31190</v>
      </c>
      <c r="D26707" s="38" t="str">
        <f>IFERROR(__xludf.DUMMYFUNCTION("REGEXREPLACE(C26707,""-\d+(.*)|--\d+(.*)"","""")"),"LABOULE")</f>
        <v>LABOULE</v>
      </c>
      <c r="E26707" s="38" t="s">
        <v>144</v>
      </c>
      <c r="F26707" s="38" t="s">
        <v>102</v>
      </c>
      <c r="G26707" s="49" t="str">
        <f t="shared" si="1"/>
        <v>07110</v>
      </c>
      <c r="H26707" s="49" t="str">
        <f t="shared" si="2"/>
        <v>07118</v>
      </c>
    </row>
    <row r="26708">
      <c r="A26708" s="48" t="s">
        <v>1437</v>
      </c>
      <c r="B26708" s="38">
        <v>39574.0</v>
      </c>
      <c r="C26708" s="38" t="s">
        <v>31191</v>
      </c>
      <c r="D26708" s="38" t="str">
        <f>IFERROR(__xludf.DUMMYFUNCTION("REGEXREPLACE(C26708,""-\d+(.*)|--\d+(.*)"","""")"),"VILLEVIEUX")</f>
        <v>VILLEVIEUX</v>
      </c>
      <c r="E26708" s="38" t="s">
        <v>400</v>
      </c>
      <c r="F26708" s="38" t="s">
        <v>214</v>
      </c>
      <c r="G26708" s="49" t="str">
        <f t="shared" si="1"/>
        <v>39140</v>
      </c>
      <c r="H26708" s="49">
        <f t="shared" si="2"/>
        <v>39574</v>
      </c>
    </row>
    <row r="26709">
      <c r="A26709" s="48" t="s">
        <v>3379</v>
      </c>
      <c r="B26709" s="38">
        <v>54175.0</v>
      </c>
      <c r="C26709" s="38" t="s">
        <v>31192</v>
      </c>
      <c r="D26709" s="38" t="str">
        <f>IFERROR(__xludf.DUMMYFUNCTION("REGEXREPLACE(C26709,""-\d+(.*)|--\d+(.*)"","""")"),"EINVAUX")</f>
        <v>EINVAUX</v>
      </c>
      <c r="E26709" s="38" t="s">
        <v>548</v>
      </c>
      <c r="F26709" s="38" t="s">
        <v>195</v>
      </c>
      <c r="G26709" s="49" t="str">
        <f t="shared" si="1"/>
        <v>54360</v>
      </c>
      <c r="H26709" s="49">
        <f t="shared" si="2"/>
        <v>54175</v>
      </c>
    </row>
    <row r="26710">
      <c r="A26710" s="48" t="s">
        <v>8424</v>
      </c>
      <c r="B26710" s="38">
        <v>47317.0</v>
      </c>
      <c r="C26710" s="38" t="s">
        <v>31193</v>
      </c>
      <c r="D26710" s="38" t="str">
        <f>IFERROR(__xludf.DUMMYFUNCTION("REGEXREPLACE(C26710,""-\d+(.*)|--\d+(.*)"","""")"),"VERTEUIL-D'AGENAIS")</f>
        <v>VERTEUIL-D'AGENAIS</v>
      </c>
      <c r="E26710" s="38" t="s">
        <v>251</v>
      </c>
      <c r="F26710" s="38" t="s">
        <v>252</v>
      </c>
      <c r="G26710" s="49" t="str">
        <f t="shared" si="1"/>
        <v>47260</v>
      </c>
      <c r="H26710" s="49">
        <f t="shared" si="2"/>
        <v>47317</v>
      </c>
    </row>
    <row r="26711">
      <c r="A26711" s="48" t="s">
        <v>1673</v>
      </c>
      <c r="B26711" s="38">
        <v>5028.0</v>
      </c>
      <c r="C26711" s="38" t="s">
        <v>31194</v>
      </c>
      <c r="D26711" s="38" t="str">
        <f>IFERROR(__xludf.DUMMYFUNCTION("REGEXREPLACE(C26711,""-\d+(.*)|--\d+(.*)"","""")"),"CHABESTAN")</f>
        <v>CHABESTAN</v>
      </c>
      <c r="E26711" s="38" t="s">
        <v>706</v>
      </c>
      <c r="F26711" s="38" t="s">
        <v>228</v>
      </c>
      <c r="G26711" s="49" t="str">
        <f t="shared" si="1"/>
        <v>05400</v>
      </c>
      <c r="H26711" s="49" t="str">
        <f t="shared" si="2"/>
        <v>05028</v>
      </c>
    </row>
    <row r="26712">
      <c r="A26712" s="48" t="s">
        <v>1485</v>
      </c>
      <c r="B26712" s="38">
        <v>21688.0</v>
      </c>
      <c r="C26712" s="38" t="s">
        <v>31195</v>
      </c>
      <c r="D26712" s="38" t="str">
        <f>IFERROR(__xludf.DUMMYFUNCTION("REGEXREPLACE(C26712,""-\d+(.*)|--\d+(.*)"","""")"),"VILLARS-FONTAINE")</f>
        <v>VILLARS-FONTAINE</v>
      </c>
      <c r="E26712" s="38" t="s">
        <v>105</v>
      </c>
      <c r="F26712" s="38" t="s">
        <v>106</v>
      </c>
      <c r="G26712" s="49" t="str">
        <f t="shared" si="1"/>
        <v>21700</v>
      </c>
      <c r="H26712" s="49">
        <f t="shared" si="2"/>
        <v>21688</v>
      </c>
    </row>
    <row r="26713">
      <c r="A26713" s="48" t="s">
        <v>9804</v>
      </c>
      <c r="B26713" s="38">
        <v>27440.0</v>
      </c>
      <c r="C26713" s="38" t="s">
        <v>31196</v>
      </c>
      <c r="D26713" s="38" t="str">
        <f>IFERROR(__xludf.DUMMYFUNCTION("REGEXREPLACE(C26713,""-\d+(.*)|--\d+(.*)"","""")"),"NOTRE-DAME-DE-L'ISLE")</f>
        <v>NOTRE-DAME-DE-L'ISLE</v>
      </c>
      <c r="E26713" s="38" t="s">
        <v>241</v>
      </c>
      <c r="F26713" s="38" t="s">
        <v>134</v>
      </c>
      <c r="G26713" s="49" t="str">
        <f t="shared" si="1"/>
        <v>27940</v>
      </c>
      <c r="H26713" s="49">
        <f t="shared" si="2"/>
        <v>27440</v>
      </c>
    </row>
    <row r="26714">
      <c r="A26714" s="48" t="s">
        <v>167</v>
      </c>
      <c r="B26714" s="38">
        <v>34076.0</v>
      </c>
      <c r="C26714" s="38" t="s">
        <v>31197</v>
      </c>
      <c r="D26714" s="38" t="str">
        <f>IFERROR(__xludf.DUMMYFUNCTION("REGEXREPLACE(C26714,""-\d+(.*)|--\d+(.*)"","""")"),"CEYRAS")</f>
        <v>CEYRAS</v>
      </c>
      <c r="E26714" s="38" t="s">
        <v>118</v>
      </c>
      <c r="F26714" s="38" t="s">
        <v>119</v>
      </c>
      <c r="G26714" s="49" t="str">
        <f t="shared" si="1"/>
        <v>34800</v>
      </c>
      <c r="H26714" s="49">
        <f t="shared" si="2"/>
        <v>34076</v>
      </c>
    </row>
    <row r="26715">
      <c r="A26715" s="48" t="s">
        <v>6119</v>
      </c>
      <c r="B26715" s="38">
        <v>45197.0</v>
      </c>
      <c r="C26715" s="38" t="s">
        <v>31198</v>
      </c>
      <c r="D26715" s="38" t="str">
        <f>IFERROR(__xludf.DUMMYFUNCTION("REGEXREPLACE(C26715,""-\d+(.*)|--\d+(.*)"","""")"),"MARIGNY-LES-USAGES")</f>
        <v>MARIGNY-LES-USAGES</v>
      </c>
      <c r="E26715" s="38" t="s">
        <v>122</v>
      </c>
      <c r="F26715" s="38" t="s">
        <v>123</v>
      </c>
      <c r="G26715" s="49" t="str">
        <f t="shared" si="1"/>
        <v>45760</v>
      </c>
      <c r="H26715" s="49">
        <f t="shared" si="2"/>
        <v>45197</v>
      </c>
    </row>
    <row r="26716">
      <c r="A26716" s="48" t="s">
        <v>1518</v>
      </c>
      <c r="B26716" s="38">
        <v>88403.0</v>
      </c>
      <c r="C26716" s="38" t="s">
        <v>31199</v>
      </c>
      <c r="D26716" s="38" t="str">
        <f>IFERROR(__xludf.DUMMYFUNCTION("REGEXREPLACE(C26716,""-\d+(.*)|--\d+(.*)"","""")"),"ROZEROTTE")</f>
        <v>ROZEROTTE</v>
      </c>
      <c r="E26716" s="38" t="s">
        <v>194</v>
      </c>
      <c r="F26716" s="38" t="s">
        <v>195</v>
      </c>
      <c r="G26716" s="49" t="str">
        <f t="shared" si="1"/>
        <v>88500</v>
      </c>
      <c r="H26716" s="49">
        <f t="shared" si="2"/>
        <v>88403</v>
      </c>
    </row>
    <row r="26717">
      <c r="A26717" s="48" t="s">
        <v>2266</v>
      </c>
      <c r="B26717" s="38">
        <v>55579.0</v>
      </c>
      <c r="C26717" s="38" t="s">
        <v>31200</v>
      </c>
      <c r="D26717" s="38" t="str">
        <f>IFERROR(__xludf.DUMMYFUNCTION("REGEXREPLACE(C26717,""-\d+(.*)|--\d+(.*)"","""")"),"WATRONVILLE")</f>
        <v>WATRONVILLE</v>
      </c>
      <c r="E26717" s="38" t="s">
        <v>322</v>
      </c>
      <c r="F26717" s="38" t="s">
        <v>195</v>
      </c>
      <c r="G26717" s="49" t="str">
        <f t="shared" si="1"/>
        <v>55160</v>
      </c>
      <c r="H26717" s="49">
        <f t="shared" si="2"/>
        <v>55579</v>
      </c>
    </row>
    <row r="26718">
      <c r="A26718" s="48" t="s">
        <v>5551</v>
      </c>
      <c r="B26718" s="38">
        <v>71020.0</v>
      </c>
      <c r="C26718" s="38" t="s">
        <v>31201</v>
      </c>
      <c r="D26718" s="38" t="str">
        <f>IFERROR(__xludf.DUMMYFUNCTION("REGEXREPLACE(C26718,""-\d+(.*)|--\d+(.*)"","""")"),"BARNAY")</f>
        <v>BARNAY</v>
      </c>
      <c r="E26718" s="38" t="s">
        <v>344</v>
      </c>
      <c r="F26718" s="38" t="s">
        <v>106</v>
      </c>
      <c r="G26718" s="49" t="str">
        <f t="shared" si="1"/>
        <v>71540</v>
      </c>
      <c r="H26718" s="49">
        <f t="shared" si="2"/>
        <v>71020</v>
      </c>
    </row>
    <row r="26719">
      <c r="A26719" s="48" t="s">
        <v>3889</v>
      </c>
      <c r="B26719" s="38">
        <v>87069.0</v>
      </c>
      <c r="C26719" s="38" t="s">
        <v>31202</v>
      </c>
      <c r="D26719" s="38" t="str">
        <f>IFERROR(__xludf.DUMMYFUNCTION("REGEXREPLACE(C26719,""-\d+(.*)|--\d+(.*)"","""")"),"GAJOUBERT")</f>
        <v>GAJOUBERT</v>
      </c>
      <c r="E26719" s="38" t="s">
        <v>897</v>
      </c>
      <c r="F26719" s="38" t="s">
        <v>98</v>
      </c>
      <c r="G26719" s="49" t="str">
        <f t="shared" si="1"/>
        <v>87330</v>
      </c>
      <c r="H26719" s="49">
        <f t="shared" si="2"/>
        <v>87069</v>
      </c>
    </row>
    <row r="26720">
      <c r="A26720" s="48" t="s">
        <v>15637</v>
      </c>
      <c r="B26720" s="38">
        <v>66002.0</v>
      </c>
      <c r="C26720" s="38" t="s">
        <v>31203</v>
      </c>
      <c r="D26720" s="38" t="str">
        <f>IFERROR(__xludf.DUMMYFUNCTION("REGEXREPLACE(C26720,""-\d+(.*)|--\d+(.*)"","""")"),"ALENYA")</f>
        <v>ALENYA</v>
      </c>
      <c r="E26720" s="38" t="s">
        <v>248</v>
      </c>
      <c r="F26720" s="38" t="s">
        <v>119</v>
      </c>
      <c r="G26720" s="49" t="str">
        <f t="shared" si="1"/>
        <v>66200</v>
      </c>
      <c r="H26720" s="49">
        <f t="shared" si="2"/>
        <v>66002</v>
      </c>
    </row>
    <row r="26721">
      <c r="A26721" s="48" t="s">
        <v>4499</v>
      </c>
      <c r="B26721" s="38">
        <v>25340.0</v>
      </c>
      <c r="C26721" s="38" t="s">
        <v>7385</v>
      </c>
      <c r="D26721" s="38" t="str">
        <f>IFERROR(__xludf.DUMMYFUNCTION("REGEXREPLACE(C26721,""-\d+(.*)|--\d+(.*)"","""")"),"LOMBARD")</f>
        <v>LOMBARD</v>
      </c>
      <c r="E26721" s="38" t="s">
        <v>213</v>
      </c>
      <c r="F26721" s="38" t="s">
        <v>214</v>
      </c>
      <c r="G26721" s="49" t="str">
        <f t="shared" si="1"/>
        <v>25440</v>
      </c>
      <c r="H26721" s="49">
        <f t="shared" si="2"/>
        <v>25340</v>
      </c>
    </row>
    <row r="26722">
      <c r="A26722" s="48" t="s">
        <v>222</v>
      </c>
      <c r="B26722" s="38">
        <v>80493.0</v>
      </c>
      <c r="C26722" s="38" t="s">
        <v>31204</v>
      </c>
      <c r="D26722" s="38" t="str">
        <f>IFERROR(__xludf.DUMMYFUNCTION("REGEXREPLACE(C26722,""-\d+(.*)|--\d+(.*)"","""")"),"LOUVENCOURT")</f>
        <v>LOUVENCOURT</v>
      </c>
      <c r="E26722" s="38" t="s">
        <v>224</v>
      </c>
      <c r="F26722" s="38" t="s">
        <v>113</v>
      </c>
      <c r="G26722" s="49" t="str">
        <f t="shared" si="1"/>
        <v>80560</v>
      </c>
      <c r="H26722" s="49">
        <f t="shared" si="2"/>
        <v>80493</v>
      </c>
    </row>
    <row r="26723">
      <c r="A26723" s="48" t="s">
        <v>2249</v>
      </c>
      <c r="B26723" s="38">
        <v>14019.0</v>
      </c>
      <c r="C26723" s="38" t="s">
        <v>31205</v>
      </c>
      <c r="D26723" s="38" t="str">
        <f>IFERROR(__xludf.DUMMYFUNCTION("REGEXREPLACE(C26723,""-\d+(.*)|--\d+(.*)"","""")"),"ARGANCHY")</f>
        <v>ARGANCHY</v>
      </c>
      <c r="E26723" s="38" t="s">
        <v>137</v>
      </c>
      <c r="F26723" s="38" t="s">
        <v>138</v>
      </c>
      <c r="G26723" s="49" t="str">
        <f t="shared" si="1"/>
        <v>14400</v>
      </c>
      <c r="H26723" s="49">
        <f t="shared" si="2"/>
        <v>14019</v>
      </c>
    </row>
    <row r="26724">
      <c r="A26724" s="48" t="s">
        <v>6647</v>
      </c>
      <c r="B26724" s="38">
        <v>58029.0</v>
      </c>
      <c r="C26724" s="38" t="s">
        <v>31206</v>
      </c>
      <c r="D26724" s="38" t="str">
        <f>IFERROR(__xludf.DUMMYFUNCTION("REGEXREPLACE(C26724,""-\d+(.*)|--\d+(.*)"","""")"),"BEUVRON")</f>
        <v>BEUVRON</v>
      </c>
      <c r="E26724" s="38" t="s">
        <v>219</v>
      </c>
      <c r="F26724" s="38" t="s">
        <v>106</v>
      </c>
      <c r="G26724" s="49" t="str">
        <f t="shared" si="1"/>
        <v>58210</v>
      </c>
      <c r="H26724" s="49">
        <f t="shared" si="2"/>
        <v>58029</v>
      </c>
    </row>
    <row r="26725">
      <c r="A26725" s="48" t="s">
        <v>14840</v>
      </c>
      <c r="B26725" s="38">
        <v>73053.0</v>
      </c>
      <c r="C26725" s="38" t="s">
        <v>28942</v>
      </c>
      <c r="D26725" s="38" t="str">
        <f>IFERROR(__xludf.DUMMYFUNCTION("REGEXREPLACE(C26725,""-\d+(.*)|--\d+(.*)"","""")"),"BOURGNEUF")</f>
        <v>BOURGNEUF</v>
      </c>
      <c r="E26725" s="38" t="s">
        <v>306</v>
      </c>
      <c r="F26725" s="38" t="s">
        <v>102</v>
      </c>
      <c r="G26725" s="49" t="str">
        <f t="shared" si="1"/>
        <v>73390</v>
      </c>
      <c r="H26725" s="49">
        <f t="shared" si="2"/>
        <v>73053</v>
      </c>
    </row>
    <row r="26726">
      <c r="A26726" s="48" t="s">
        <v>1471</v>
      </c>
      <c r="B26726" s="38">
        <v>3270.0</v>
      </c>
      <c r="C26726" s="38" t="s">
        <v>31207</v>
      </c>
      <c r="D26726" s="38" t="str">
        <f>IFERROR(__xludf.DUMMYFUNCTION("REGEXREPLACE(C26726,""-\d+(.*)|--\d+(.*)"","""")"),"SAZERET")</f>
        <v>SAZERET</v>
      </c>
      <c r="E26726" s="38" t="s">
        <v>160</v>
      </c>
      <c r="F26726" s="38" t="s">
        <v>161</v>
      </c>
      <c r="G26726" s="49" t="str">
        <f t="shared" si="1"/>
        <v>03390</v>
      </c>
      <c r="H26726" s="49" t="str">
        <f t="shared" si="2"/>
        <v>03270</v>
      </c>
    </row>
    <row r="26727">
      <c r="A26727" s="48" t="s">
        <v>1439</v>
      </c>
      <c r="B26727" s="38">
        <v>28289.0</v>
      </c>
      <c r="C26727" s="38" t="s">
        <v>10560</v>
      </c>
      <c r="D26727" s="38" t="str">
        <f>IFERROR(__xludf.DUMMYFUNCTION("REGEXREPLACE(C26727,""-\d+(.*)|--\d+(.*)"","""")"),"ORMOY")</f>
        <v>ORMOY</v>
      </c>
      <c r="E26727" s="38" t="s">
        <v>300</v>
      </c>
      <c r="F26727" s="38" t="s">
        <v>123</v>
      </c>
      <c r="G26727" s="49" t="str">
        <f t="shared" si="1"/>
        <v>28210</v>
      </c>
      <c r="H26727" s="49">
        <f t="shared" si="2"/>
        <v>28289</v>
      </c>
    </row>
    <row r="26728">
      <c r="A26728" s="48" t="s">
        <v>562</v>
      </c>
      <c r="B26728" s="38">
        <v>54288.0</v>
      </c>
      <c r="C26728" s="38" t="s">
        <v>31208</v>
      </c>
      <c r="D26728" s="38" t="str">
        <f>IFERROR(__xludf.DUMMYFUNCTION("REGEXREPLACE(C26728,""-\d+(.*)|--\d+(.*)"","""")"),"LAGNEY")</f>
        <v>LAGNEY</v>
      </c>
      <c r="E26728" s="38" t="s">
        <v>548</v>
      </c>
      <c r="F26728" s="38" t="s">
        <v>195</v>
      </c>
      <c r="G26728" s="49" t="str">
        <f t="shared" si="1"/>
        <v>54200</v>
      </c>
      <c r="H26728" s="49">
        <f t="shared" si="2"/>
        <v>54288</v>
      </c>
    </row>
    <row r="26729">
      <c r="A26729" s="48" t="s">
        <v>3898</v>
      </c>
      <c r="B26729" s="38">
        <v>65220.0</v>
      </c>
      <c r="C26729" s="38" t="s">
        <v>31209</v>
      </c>
      <c r="D26729" s="38" t="str">
        <f>IFERROR(__xludf.DUMMYFUNCTION("REGEXREPLACE(C26729,""-\d+(.*)|--\d+(.*)"","""")"),"HIBARETTE")</f>
        <v>HIBARETTE</v>
      </c>
      <c r="E26729" s="38" t="s">
        <v>200</v>
      </c>
      <c r="F26729" s="38" t="s">
        <v>94</v>
      </c>
      <c r="G26729" s="49" t="str">
        <f t="shared" si="1"/>
        <v>65380</v>
      </c>
      <c r="H26729" s="49">
        <f t="shared" si="2"/>
        <v>65220</v>
      </c>
    </row>
    <row r="26730">
      <c r="A26730" s="48" t="s">
        <v>2176</v>
      </c>
      <c r="B26730" s="38">
        <v>62468.0</v>
      </c>
      <c r="C26730" s="38" t="s">
        <v>31210</v>
      </c>
      <c r="D26730" s="38" t="str">
        <f>IFERROR(__xludf.DUMMYFUNCTION("REGEXREPLACE(C26730,""-\d+(.*)|--\d+(.*)"","""")"),"HUMIERES")</f>
        <v>HUMIERES</v>
      </c>
      <c r="E26730" s="38" t="s">
        <v>109</v>
      </c>
      <c r="F26730" s="38" t="s">
        <v>86</v>
      </c>
      <c r="G26730" s="49" t="str">
        <f t="shared" si="1"/>
        <v>62130</v>
      </c>
      <c r="H26730" s="49">
        <f t="shared" si="2"/>
        <v>62468</v>
      </c>
    </row>
    <row r="26731">
      <c r="A26731" s="48" t="s">
        <v>3448</v>
      </c>
      <c r="B26731" s="38">
        <v>65357.0</v>
      </c>
      <c r="C26731" s="38" t="s">
        <v>31211</v>
      </c>
      <c r="D26731" s="38" t="str">
        <f>IFERROR(__xludf.DUMMYFUNCTION("REGEXREPLACE(C26731,""-\d+(.*)|--\d+(.*)"","""")"),"PEYRAUBE")</f>
        <v>PEYRAUBE</v>
      </c>
      <c r="E26731" s="38" t="s">
        <v>200</v>
      </c>
      <c r="F26731" s="38" t="s">
        <v>94</v>
      </c>
      <c r="G26731" s="49" t="str">
        <f t="shared" si="1"/>
        <v>65190</v>
      </c>
      <c r="H26731" s="49">
        <f t="shared" si="2"/>
        <v>65357</v>
      </c>
    </row>
    <row r="26732">
      <c r="A26732" s="48" t="s">
        <v>31212</v>
      </c>
      <c r="B26732" s="38">
        <v>28134.0</v>
      </c>
      <c r="C26732" s="38" t="s">
        <v>31213</v>
      </c>
      <c r="D26732" s="38" t="str">
        <f>IFERROR(__xludf.DUMMYFUNCTION("REGEXREPLACE(C26732,""-\d+(.*)|--\d+(.*)"","""")"),"DREUX")</f>
        <v>DREUX</v>
      </c>
      <c r="E26732" s="38" t="s">
        <v>300</v>
      </c>
      <c r="F26732" s="38" t="s">
        <v>123</v>
      </c>
      <c r="G26732" s="49" t="str">
        <f t="shared" si="1"/>
        <v>28100</v>
      </c>
      <c r="H26732" s="49">
        <f t="shared" si="2"/>
        <v>28134</v>
      </c>
    </row>
    <row r="26733">
      <c r="A26733" s="48" t="s">
        <v>13193</v>
      </c>
      <c r="B26733" s="38">
        <v>50462.0</v>
      </c>
      <c r="C26733" s="38" t="s">
        <v>31214</v>
      </c>
      <c r="D26733" s="38" t="str">
        <f>IFERROR(__xludf.DUMMYFUNCTION("REGEXREPLACE(C26733,""-\d+(.*)|--\d+(.*)"","""")"),"SAINT-CYR-DU-BAILLEUL")</f>
        <v>SAINT-CYR-DU-BAILLEUL</v>
      </c>
      <c r="E26733" s="38" t="s">
        <v>157</v>
      </c>
      <c r="F26733" s="38" t="s">
        <v>138</v>
      </c>
      <c r="G26733" s="49" t="str">
        <f t="shared" si="1"/>
        <v>50720</v>
      </c>
      <c r="H26733" s="49">
        <f t="shared" si="2"/>
        <v>50462</v>
      </c>
    </row>
    <row r="26734">
      <c r="A26734" s="48" t="s">
        <v>4679</v>
      </c>
      <c r="B26734" s="38">
        <v>17367.0</v>
      </c>
      <c r="C26734" s="38" t="s">
        <v>31215</v>
      </c>
      <c r="D26734" s="38" t="str">
        <f>IFERROR(__xludf.DUMMYFUNCTION("REGEXREPLACE(C26734,""-\d+(.*)|--\d+(.*)"","""")"),"SAINT-MARTIN-DE-JUILLERS")</f>
        <v>SAINT-MARTIN-DE-JUILLERS</v>
      </c>
      <c r="E26734" s="38" t="s">
        <v>488</v>
      </c>
      <c r="F26734" s="38" t="s">
        <v>338</v>
      </c>
      <c r="G26734" s="49" t="str">
        <f t="shared" si="1"/>
        <v>17400</v>
      </c>
      <c r="H26734" s="49">
        <f t="shared" si="2"/>
        <v>17367</v>
      </c>
    </row>
    <row r="26735">
      <c r="A26735" s="48" t="s">
        <v>1174</v>
      </c>
      <c r="B26735" s="38">
        <v>51224.0</v>
      </c>
      <c r="C26735" s="38" t="s">
        <v>31216</v>
      </c>
      <c r="D26735" s="38" t="str">
        <f>IFERROR(__xludf.DUMMYFUNCTION("REGEXREPLACE(C26735,""-\d+(.*)|--\d+(.*)"","""")"),"ECRIENNES")</f>
        <v>ECRIENNES</v>
      </c>
      <c r="E26735" s="38" t="s">
        <v>129</v>
      </c>
      <c r="F26735" s="38" t="s">
        <v>130</v>
      </c>
      <c r="G26735" s="49" t="str">
        <f t="shared" si="1"/>
        <v>51300</v>
      </c>
      <c r="H26735" s="49">
        <f t="shared" si="2"/>
        <v>51224</v>
      </c>
    </row>
    <row r="26736">
      <c r="A26736" s="48" t="s">
        <v>2326</v>
      </c>
      <c r="B26736" s="38">
        <v>54551.0</v>
      </c>
      <c r="C26736" s="38" t="s">
        <v>31217</v>
      </c>
      <c r="D26736" s="38" t="str">
        <f>IFERROR(__xludf.DUMMYFUNCTION("REGEXREPLACE(C26736,""-\d+(.*)|--\d+(.*)"","""")"),"VAUCOURT")</f>
        <v>VAUCOURT</v>
      </c>
      <c r="E26736" s="38" t="s">
        <v>548</v>
      </c>
      <c r="F26736" s="38" t="s">
        <v>195</v>
      </c>
      <c r="G26736" s="49" t="str">
        <f t="shared" si="1"/>
        <v>54370</v>
      </c>
      <c r="H26736" s="49">
        <f t="shared" si="2"/>
        <v>54551</v>
      </c>
    </row>
    <row r="26737">
      <c r="A26737" s="48" t="s">
        <v>13232</v>
      </c>
      <c r="B26737" s="38">
        <v>8087.0</v>
      </c>
      <c r="C26737" s="38" t="s">
        <v>19752</v>
      </c>
      <c r="D26737" s="38" t="str">
        <f>IFERROR(__xludf.DUMMYFUNCTION("REGEXREPLACE(C26737,""-\d+(.*)|--\d+(.*)"","""")"),"BROGNON")</f>
        <v>BROGNON</v>
      </c>
      <c r="E26737" s="38" t="s">
        <v>327</v>
      </c>
      <c r="F26737" s="38" t="s">
        <v>130</v>
      </c>
      <c r="G26737" s="49" t="str">
        <f t="shared" si="1"/>
        <v>08380</v>
      </c>
      <c r="H26737" s="49" t="str">
        <f t="shared" si="2"/>
        <v>08087</v>
      </c>
    </row>
    <row r="26738">
      <c r="A26738" s="48" t="s">
        <v>4344</v>
      </c>
      <c r="B26738" s="38">
        <v>14103.0</v>
      </c>
      <c r="C26738" s="38" t="s">
        <v>31218</v>
      </c>
      <c r="D26738" s="38" t="str">
        <f>IFERROR(__xludf.DUMMYFUNCTION("REGEXREPLACE(C26738,""-\d+(.*)|--\d+(.*)"","""")"),"LE BREUIL-EN-BESSIN")</f>
        <v>LE BREUIL-EN-BESSIN</v>
      </c>
      <c r="E26738" s="38" t="s">
        <v>137</v>
      </c>
      <c r="F26738" s="38" t="s">
        <v>138</v>
      </c>
      <c r="G26738" s="49" t="str">
        <f t="shared" si="1"/>
        <v>14330</v>
      </c>
      <c r="H26738" s="49">
        <f t="shared" si="2"/>
        <v>14103</v>
      </c>
    </row>
    <row r="26739">
      <c r="A26739" s="48" t="s">
        <v>7136</v>
      </c>
      <c r="B26739" s="38">
        <v>83131.0</v>
      </c>
      <c r="C26739" s="38" t="s">
        <v>31219</v>
      </c>
      <c r="D26739" s="38" t="str">
        <f>IFERROR(__xludf.DUMMYFUNCTION("REGEXREPLACE(C26739,""-\d+(.*)|--\d+(.*)"","""")"),"SOLLIES-TOUCAS")</f>
        <v>SOLLIES-TOUCAS</v>
      </c>
      <c r="E26739" s="38" t="s">
        <v>813</v>
      </c>
      <c r="F26739" s="38" t="s">
        <v>228</v>
      </c>
      <c r="G26739" s="49" t="str">
        <f t="shared" si="1"/>
        <v>83210</v>
      </c>
      <c r="H26739" s="49">
        <f t="shared" si="2"/>
        <v>83131</v>
      </c>
    </row>
    <row r="26740">
      <c r="A26740" s="48" t="s">
        <v>2671</v>
      </c>
      <c r="B26740" s="38">
        <v>65244.0</v>
      </c>
      <c r="C26740" s="38" t="s">
        <v>20007</v>
      </c>
      <c r="D26740" s="38" t="str">
        <f>IFERROR(__xludf.DUMMYFUNCTION("REGEXREPLACE(C26740,""-\d+(.*)|--\d+(.*)"","""")"),"LAGARDE")</f>
        <v>LAGARDE</v>
      </c>
      <c r="E26740" s="38" t="s">
        <v>200</v>
      </c>
      <c r="F26740" s="38" t="s">
        <v>94</v>
      </c>
      <c r="G26740" s="49" t="str">
        <f t="shared" si="1"/>
        <v>65320</v>
      </c>
      <c r="H26740" s="49">
        <f t="shared" si="2"/>
        <v>65244</v>
      </c>
    </row>
    <row r="26741">
      <c r="A26741" s="48" t="s">
        <v>12491</v>
      </c>
      <c r="B26741" s="38">
        <v>21350.0</v>
      </c>
      <c r="C26741" s="38" t="s">
        <v>13835</v>
      </c>
      <c r="D26741" s="38" t="str">
        <f>IFERROR(__xludf.DUMMYFUNCTION("REGEXREPLACE(C26741,""-\d+(.*)|--\d+(.*)"","""")"),"LIGNEROLLES")</f>
        <v>LIGNEROLLES</v>
      </c>
      <c r="E26741" s="38" t="s">
        <v>105</v>
      </c>
      <c r="F26741" s="38" t="s">
        <v>106</v>
      </c>
      <c r="G26741" s="49" t="str">
        <f t="shared" si="1"/>
        <v>21520</v>
      </c>
      <c r="H26741" s="49">
        <f t="shared" si="2"/>
        <v>21350</v>
      </c>
    </row>
    <row r="26742">
      <c r="A26742" s="48" t="s">
        <v>11712</v>
      </c>
      <c r="B26742" s="38">
        <v>58073.0</v>
      </c>
      <c r="C26742" s="38" t="s">
        <v>31220</v>
      </c>
      <c r="D26742" s="38" t="str">
        <f>IFERROR(__xludf.DUMMYFUNCTION("REGEXREPLACE(C26742,""-\d+(.*)|--\d+(.*)"","""")"),"CHEVROCHES")</f>
        <v>CHEVROCHES</v>
      </c>
      <c r="E26742" s="38" t="s">
        <v>219</v>
      </c>
      <c r="F26742" s="38" t="s">
        <v>106</v>
      </c>
      <c r="G26742" s="49" t="str">
        <f t="shared" si="1"/>
        <v>58500</v>
      </c>
      <c r="H26742" s="49">
        <f t="shared" si="2"/>
        <v>58073</v>
      </c>
    </row>
    <row r="26743">
      <c r="A26743" s="48" t="s">
        <v>1638</v>
      </c>
      <c r="B26743" s="38">
        <v>70249.0</v>
      </c>
      <c r="C26743" s="38" t="s">
        <v>31221</v>
      </c>
      <c r="D26743" s="38" t="str">
        <f>IFERROR(__xludf.DUMMYFUNCTION("REGEXREPLACE(C26743,""-\d+(.*)|--\d+(.*)"","""")"),"FRANCALMONT")</f>
        <v>FRANCALMONT</v>
      </c>
      <c r="E26743" s="38" t="s">
        <v>956</v>
      </c>
      <c r="F26743" s="38" t="s">
        <v>214</v>
      </c>
      <c r="G26743" s="49" t="str">
        <f t="shared" si="1"/>
        <v>70800</v>
      </c>
      <c r="H26743" s="49">
        <f t="shared" si="2"/>
        <v>70249</v>
      </c>
    </row>
    <row r="26744">
      <c r="A26744" s="48" t="s">
        <v>2779</v>
      </c>
      <c r="B26744" s="38">
        <v>80697.0</v>
      </c>
      <c r="C26744" s="38" t="s">
        <v>31222</v>
      </c>
      <c r="D26744" s="38" t="str">
        <f>IFERROR(__xludf.DUMMYFUNCTION("REGEXREPLACE(C26744,""-\d+(.*)|--\d+(.*)"","""")"),"SAINT-ACHEUL")</f>
        <v>SAINT-ACHEUL</v>
      </c>
      <c r="E26744" s="38" t="s">
        <v>224</v>
      </c>
      <c r="F26744" s="38" t="s">
        <v>113</v>
      </c>
      <c r="G26744" s="49" t="str">
        <f t="shared" si="1"/>
        <v>80370</v>
      </c>
      <c r="H26744" s="49">
        <f t="shared" si="2"/>
        <v>80697</v>
      </c>
    </row>
    <row r="26745">
      <c r="A26745" s="48" t="s">
        <v>12407</v>
      </c>
      <c r="B26745" s="38">
        <v>38478.0</v>
      </c>
      <c r="C26745" s="38" t="s">
        <v>31223</v>
      </c>
      <c r="D26745" s="38" t="str">
        <f>IFERROR(__xludf.DUMMYFUNCTION("REGEXREPLACE(C26745,""-\d+(.*)|--\d+(.*)"","""")"),"SECHILIENNE")</f>
        <v>SECHILIENNE</v>
      </c>
      <c r="E26745" s="38" t="s">
        <v>101</v>
      </c>
      <c r="F26745" s="38" t="s">
        <v>102</v>
      </c>
      <c r="G26745" s="49" t="str">
        <f t="shared" si="1"/>
        <v>38220</v>
      </c>
      <c r="H26745" s="49">
        <f t="shared" si="2"/>
        <v>38478</v>
      </c>
    </row>
    <row r="26746">
      <c r="A26746" s="48" t="s">
        <v>1957</v>
      </c>
      <c r="B26746" s="38">
        <v>12156.0</v>
      </c>
      <c r="C26746" s="38" t="s">
        <v>8273</v>
      </c>
      <c r="D26746" s="38" t="str">
        <f>IFERROR(__xludf.DUMMYFUNCTION("REGEXREPLACE(C26746,""-\d+(.*)|--\d+(.*)"","""")"),"MONTPEYROUX")</f>
        <v>MONTPEYROUX</v>
      </c>
      <c r="E26746" s="38" t="s">
        <v>465</v>
      </c>
      <c r="F26746" s="38" t="s">
        <v>94</v>
      </c>
      <c r="G26746" s="49" t="str">
        <f t="shared" si="1"/>
        <v>12210</v>
      </c>
      <c r="H26746" s="49">
        <f t="shared" si="2"/>
        <v>12156</v>
      </c>
    </row>
    <row r="26747">
      <c r="A26747" s="48" t="s">
        <v>8834</v>
      </c>
      <c r="B26747" s="38">
        <v>51418.0</v>
      </c>
      <c r="C26747" s="38" t="s">
        <v>21385</v>
      </c>
      <c r="D26747" s="38" t="str">
        <f>IFERROR(__xludf.DUMMYFUNCTION("REGEXREPLACE(C26747,""-\d+(.*)|--\d+(.*)"","""")"),"ORMES")</f>
        <v>ORMES</v>
      </c>
      <c r="E26747" s="38" t="s">
        <v>129</v>
      </c>
      <c r="F26747" s="38" t="s">
        <v>130</v>
      </c>
      <c r="G26747" s="49" t="str">
        <f t="shared" si="1"/>
        <v>51370</v>
      </c>
      <c r="H26747" s="49">
        <f t="shared" si="2"/>
        <v>51418</v>
      </c>
    </row>
    <row r="26748">
      <c r="A26748" s="48" t="s">
        <v>10892</v>
      </c>
      <c r="B26748" s="38">
        <v>47319.0</v>
      </c>
      <c r="C26748" s="38" t="s">
        <v>31224</v>
      </c>
      <c r="D26748" s="38" t="str">
        <f>IFERROR(__xludf.DUMMYFUNCTION("REGEXREPLACE(C26748,""-\d+(.*)|--\d+(.*)"","""")"),"VILLEBRAMAR")</f>
        <v>VILLEBRAMAR</v>
      </c>
      <c r="E26748" s="38" t="s">
        <v>251</v>
      </c>
      <c r="F26748" s="38" t="s">
        <v>252</v>
      </c>
      <c r="G26748" s="49" t="str">
        <f t="shared" si="1"/>
        <v>47380</v>
      </c>
      <c r="H26748" s="49">
        <f t="shared" si="2"/>
        <v>47319</v>
      </c>
    </row>
    <row r="26749">
      <c r="A26749" s="48" t="s">
        <v>3287</v>
      </c>
      <c r="B26749" s="38">
        <v>1437.0</v>
      </c>
      <c r="C26749" s="38" t="s">
        <v>31225</v>
      </c>
      <c r="D26749" s="38" t="str">
        <f>IFERROR(__xludf.DUMMYFUNCTION("REGEXREPLACE(C26749,""-\d+(.*)|--\d+(.*)"","""")"),"VESCOURS")</f>
        <v>VESCOURS</v>
      </c>
      <c r="E26749" s="38" t="s">
        <v>255</v>
      </c>
      <c r="F26749" s="38" t="s">
        <v>102</v>
      </c>
      <c r="G26749" s="49" t="str">
        <f t="shared" si="1"/>
        <v>01560</v>
      </c>
      <c r="H26749" s="49" t="str">
        <f t="shared" si="2"/>
        <v>01437</v>
      </c>
    </row>
    <row r="26750">
      <c r="A26750" s="48" t="s">
        <v>14277</v>
      </c>
      <c r="B26750" s="38">
        <v>18037.0</v>
      </c>
      <c r="C26750" s="38" t="s">
        <v>31226</v>
      </c>
      <c r="D26750" s="38" t="str">
        <f>IFERROR(__xludf.DUMMYFUNCTION("REGEXREPLACE(C26750,""-\d+(.*)|--\d+(.*)"","""")"),"BRINON-SUR-SAULDRE")</f>
        <v>BRINON-SUR-SAULDRE</v>
      </c>
      <c r="E26750" s="38" t="s">
        <v>504</v>
      </c>
      <c r="F26750" s="38" t="s">
        <v>123</v>
      </c>
      <c r="G26750" s="49" t="str">
        <f t="shared" si="1"/>
        <v>18410</v>
      </c>
      <c r="H26750" s="49">
        <f t="shared" si="2"/>
        <v>18037</v>
      </c>
    </row>
    <row r="26751">
      <c r="A26751" s="48" t="s">
        <v>328</v>
      </c>
      <c r="B26751" s="38">
        <v>2398.0</v>
      </c>
      <c r="C26751" s="38" t="s">
        <v>9394</v>
      </c>
      <c r="D26751" s="38" t="str">
        <f>IFERROR(__xludf.DUMMYFUNCTION("REGEXREPLACE(C26751,""-\d+(.*)|--\d+(.*)"","""")"),"JUVIGNY")</f>
        <v>JUVIGNY</v>
      </c>
      <c r="E26751" s="38" t="s">
        <v>191</v>
      </c>
      <c r="F26751" s="38" t="s">
        <v>113</v>
      </c>
      <c r="G26751" s="49" t="str">
        <f t="shared" si="1"/>
        <v>02880</v>
      </c>
      <c r="H26751" s="49" t="str">
        <f t="shared" si="2"/>
        <v>02398</v>
      </c>
    </row>
    <row r="26752">
      <c r="A26752" s="48" t="s">
        <v>3598</v>
      </c>
      <c r="B26752" s="38">
        <v>7182.0</v>
      </c>
      <c r="C26752" s="38" t="s">
        <v>14559</v>
      </c>
      <c r="D26752" s="38" t="str">
        <f>IFERROR(__xludf.DUMMYFUNCTION("REGEXREPLACE(C26752,""-\d+(.*)|--\d+(.*)"","""")"),"PRADES")</f>
        <v>PRADES</v>
      </c>
      <c r="E26752" s="38" t="s">
        <v>144</v>
      </c>
      <c r="F26752" s="38" t="s">
        <v>102</v>
      </c>
      <c r="G26752" s="49" t="str">
        <f t="shared" si="1"/>
        <v>07380</v>
      </c>
      <c r="H26752" s="49" t="str">
        <f t="shared" si="2"/>
        <v>07182</v>
      </c>
    </row>
    <row r="26753">
      <c r="A26753" s="48" t="s">
        <v>549</v>
      </c>
      <c r="B26753" s="38">
        <v>55520.0</v>
      </c>
      <c r="C26753" s="38" t="s">
        <v>31227</v>
      </c>
      <c r="D26753" s="38" t="str">
        <f>IFERROR(__xludf.DUMMYFUNCTION("REGEXREPLACE(C26753,""-\d+(.*)|--\d+(.*)"","""")"),"TROUSSEY")</f>
        <v>TROUSSEY</v>
      </c>
      <c r="E26753" s="38" t="s">
        <v>322</v>
      </c>
      <c r="F26753" s="38" t="s">
        <v>195</v>
      </c>
      <c r="G26753" s="49" t="str">
        <f t="shared" si="1"/>
        <v>55190</v>
      </c>
      <c r="H26753" s="49">
        <f t="shared" si="2"/>
        <v>55520</v>
      </c>
    </row>
    <row r="26754">
      <c r="A26754" s="48" t="s">
        <v>6233</v>
      </c>
      <c r="B26754" s="38">
        <v>15108.0</v>
      </c>
      <c r="C26754" s="38" t="s">
        <v>15857</v>
      </c>
      <c r="D26754" s="38" t="str">
        <f>IFERROR(__xludf.DUMMYFUNCTION("REGEXREPLACE(C26754,""-\d+(.*)|--\d+(.*)"","""")"),"LOUBARESSE")</f>
        <v>LOUBARESSE</v>
      </c>
      <c r="E26754" s="38" t="s">
        <v>632</v>
      </c>
      <c r="F26754" s="38" t="s">
        <v>161</v>
      </c>
      <c r="G26754" s="49" t="str">
        <f t="shared" si="1"/>
        <v>15320</v>
      </c>
      <c r="H26754" s="49">
        <f t="shared" si="2"/>
        <v>15108</v>
      </c>
    </row>
    <row r="26755">
      <c r="A26755" s="48" t="s">
        <v>31228</v>
      </c>
      <c r="B26755" s="38">
        <v>14137.0</v>
      </c>
      <c r="C26755" s="38" t="s">
        <v>31229</v>
      </c>
      <c r="D26755" s="38" t="str">
        <f>IFERROR(__xludf.DUMMYFUNCTION("REGEXREPLACE(C26755,""-\d+(.*)|--\d+(.*)"","""")"),"CARPIQUET")</f>
        <v>CARPIQUET</v>
      </c>
      <c r="E26755" s="38" t="s">
        <v>137</v>
      </c>
      <c r="F26755" s="38" t="s">
        <v>138</v>
      </c>
      <c r="G26755" s="49" t="str">
        <f t="shared" si="1"/>
        <v>14650</v>
      </c>
      <c r="H26755" s="49">
        <f t="shared" si="2"/>
        <v>14137</v>
      </c>
    </row>
    <row r="26756">
      <c r="A26756" s="48" t="s">
        <v>5223</v>
      </c>
      <c r="B26756" s="38">
        <v>65288.0</v>
      </c>
      <c r="C26756" s="38" t="s">
        <v>31230</v>
      </c>
      <c r="D26756" s="38" t="str">
        <f>IFERROR(__xludf.DUMMYFUNCTION("REGEXREPLACE(C26756,""-\d+(.*)|--\d+(.*)"","""")"),"LUBRET-SAINT-LUC")</f>
        <v>LUBRET-SAINT-LUC</v>
      </c>
      <c r="E26756" s="38" t="s">
        <v>200</v>
      </c>
      <c r="F26756" s="38" t="s">
        <v>94</v>
      </c>
      <c r="G26756" s="49" t="str">
        <f t="shared" si="1"/>
        <v>65220</v>
      </c>
      <c r="H26756" s="49">
        <f t="shared" si="2"/>
        <v>65288</v>
      </c>
    </row>
    <row r="26757">
      <c r="A26757" s="48" t="s">
        <v>7684</v>
      </c>
      <c r="B26757" s="38">
        <v>1426.0</v>
      </c>
      <c r="C26757" s="38" t="s">
        <v>31231</v>
      </c>
      <c r="D26757" s="38" t="str">
        <f>IFERROR(__xludf.DUMMYFUNCTION("REGEXREPLACE(C26757,""-\d+(.*)|--\d+(.*)"","""")"),"TREFFORT-CUISIAT")</f>
        <v>TREFFORT-CUISIAT</v>
      </c>
      <c r="E26757" s="38" t="s">
        <v>255</v>
      </c>
      <c r="F26757" s="38" t="s">
        <v>102</v>
      </c>
      <c r="G26757" s="49" t="str">
        <f t="shared" si="1"/>
        <v>01370</v>
      </c>
      <c r="H26757" s="49" t="str">
        <f t="shared" si="2"/>
        <v>01426</v>
      </c>
    </row>
    <row r="26758">
      <c r="A26758" s="48" t="s">
        <v>6890</v>
      </c>
      <c r="B26758" s="38">
        <v>51428.0</v>
      </c>
      <c r="C26758" s="38" t="s">
        <v>31232</v>
      </c>
      <c r="D26758" s="38" t="str">
        <f>IFERROR(__xludf.DUMMYFUNCTION("REGEXREPLACE(C26758,""-\d+(.*)|--\d+(.*)"","""")"),"LES PETITES-LOGES")</f>
        <v>LES PETITES-LOGES</v>
      </c>
      <c r="E26758" s="38" t="s">
        <v>129</v>
      </c>
      <c r="F26758" s="38" t="s">
        <v>130</v>
      </c>
      <c r="G26758" s="49" t="str">
        <f t="shared" si="1"/>
        <v>51400</v>
      </c>
      <c r="H26758" s="49">
        <f t="shared" si="2"/>
        <v>51428</v>
      </c>
    </row>
    <row r="26759">
      <c r="A26759" s="48" t="s">
        <v>807</v>
      </c>
      <c r="B26759" s="38">
        <v>68384.0</v>
      </c>
      <c r="C26759" s="38" t="s">
        <v>31233</v>
      </c>
      <c r="D26759" s="38" t="str">
        <f>IFERROR(__xludf.DUMMYFUNCTION("REGEXREPLACE(C26759,""-\d+(.*)|--\d+(.*)"","""")"),"ZILLISHEIM")</f>
        <v>ZILLISHEIM</v>
      </c>
      <c r="E26759" s="38" t="s">
        <v>150</v>
      </c>
      <c r="F26759" s="38" t="s">
        <v>151</v>
      </c>
      <c r="G26759" s="49" t="str">
        <f t="shared" si="1"/>
        <v>68720</v>
      </c>
      <c r="H26759" s="49">
        <f t="shared" si="2"/>
        <v>68384</v>
      </c>
    </row>
    <row r="26760">
      <c r="A26760" s="48" t="s">
        <v>3840</v>
      </c>
      <c r="B26760" s="38">
        <v>72109.0</v>
      </c>
      <c r="C26760" s="38" t="s">
        <v>31234</v>
      </c>
      <c r="D26760" s="38" t="str">
        <f>IFERROR(__xludf.DUMMYFUNCTION("REGEXREPLACE(C26760,""-\d+(.*)|--\d+(.*)"","""")"),"CRISSE")</f>
        <v>CRISSE</v>
      </c>
      <c r="E26760" s="38" t="s">
        <v>521</v>
      </c>
      <c r="F26760" s="38" t="s">
        <v>180</v>
      </c>
      <c r="G26760" s="49" t="str">
        <f t="shared" si="1"/>
        <v>72140</v>
      </c>
      <c r="H26760" s="49">
        <f t="shared" si="2"/>
        <v>72109</v>
      </c>
    </row>
    <row r="26761">
      <c r="A26761" s="48" t="s">
        <v>22525</v>
      </c>
      <c r="B26761" s="38">
        <v>4161.0</v>
      </c>
      <c r="C26761" s="38" t="s">
        <v>31235</v>
      </c>
      <c r="D26761" s="38" t="str">
        <f>IFERROR(__xludf.DUMMYFUNCTION("REGEXREPLACE(C26761,""-\d+(.*)|--\d+(.*)"","""")"),"MEOLANS-REVEL")</f>
        <v>MEOLANS-REVEL</v>
      </c>
      <c r="E26761" s="38" t="s">
        <v>662</v>
      </c>
      <c r="F26761" s="38" t="s">
        <v>228</v>
      </c>
      <c r="G26761" s="49" t="str">
        <f t="shared" si="1"/>
        <v>04340</v>
      </c>
      <c r="H26761" s="49" t="str">
        <f t="shared" si="2"/>
        <v>04161</v>
      </c>
    </row>
    <row r="26762">
      <c r="A26762" s="48" t="s">
        <v>1174</v>
      </c>
      <c r="B26762" s="38">
        <v>51220.0</v>
      </c>
      <c r="C26762" s="38" t="s">
        <v>31236</v>
      </c>
      <c r="D26762" s="38" t="str">
        <f>IFERROR(__xludf.DUMMYFUNCTION("REGEXREPLACE(C26762,""-\d+(.*)|--\d+(.*)"","""")"),"DROUILLY")</f>
        <v>DROUILLY</v>
      </c>
      <c r="E26762" s="38" t="s">
        <v>129</v>
      </c>
      <c r="F26762" s="38" t="s">
        <v>130</v>
      </c>
      <c r="G26762" s="49" t="str">
        <f t="shared" si="1"/>
        <v>51300</v>
      </c>
      <c r="H26762" s="49">
        <f t="shared" si="2"/>
        <v>51220</v>
      </c>
    </row>
    <row r="26763">
      <c r="A26763" s="48" t="s">
        <v>14808</v>
      </c>
      <c r="B26763" s="38">
        <v>25191.0</v>
      </c>
      <c r="C26763" s="38" t="s">
        <v>31237</v>
      </c>
      <c r="D26763" s="38" t="str">
        <f>IFERROR(__xludf.DUMMYFUNCTION("REGEXREPLACE(C26763,""-\d+(.*)|--\d+(.*)"","""")"),"DAMPIERRE-SUR-LE-DOUBS")</f>
        <v>DAMPIERRE-SUR-LE-DOUBS</v>
      </c>
      <c r="E26763" s="38" t="s">
        <v>213</v>
      </c>
      <c r="F26763" s="38" t="s">
        <v>214</v>
      </c>
      <c r="G26763" s="49" t="str">
        <f t="shared" si="1"/>
        <v>25420</v>
      </c>
      <c r="H26763" s="49">
        <f t="shared" si="2"/>
        <v>25191</v>
      </c>
    </row>
    <row r="26764">
      <c r="A26764" s="48" t="s">
        <v>1372</v>
      </c>
      <c r="B26764" s="38">
        <v>35170.0</v>
      </c>
      <c r="C26764" s="38" t="s">
        <v>31238</v>
      </c>
      <c r="D26764" s="38" t="str">
        <f>IFERROR(__xludf.DUMMYFUNCTION("REGEXREPLACE(C26764,""-\d+(.*)|--\d+(.*)"","""")"),"MECE")</f>
        <v>MECE</v>
      </c>
      <c r="E26764" s="38" t="s">
        <v>347</v>
      </c>
      <c r="F26764" s="38" t="s">
        <v>90</v>
      </c>
      <c r="G26764" s="49" t="str">
        <f t="shared" si="1"/>
        <v>35450</v>
      </c>
      <c r="H26764" s="49">
        <f t="shared" si="2"/>
        <v>35170</v>
      </c>
    </row>
    <row r="26765">
      <c r="A26765" s="48" t="s">
        <v>1120</v>
      </c>
      <c r="B26765" s="38">
        <v>64450.0</v>
      </c>
      <c r="C26765" s="38" t="s">
        <v>31239</v>
      </c>
      <c r="D26765" s="38" t="str">
        <f>IFERROR(__xludf.DUMMYFUNCTION("REGEXREPLACE(C26765,""-\d+(.*)|--\d+(.*)"","""")"),"POMPS")</f>
        <v>POMPS</v>
      </c>
      <c r="E26765" s="38" t="s">
        <v>268</v>
      </c>
      <c r="F26765" s="38" t="s">
        <v>252</v>
      </c>
      <c r="G26765" s="49" t="str">
        <f t="shared" si="1"/>
        <v>64370</v>
      </c>
      <c r="H26765" s="49">
        <f t="shared" si="2"/>
        <v>64450</v>
      </c>
    </row>
    <row r="26766">
      <c r="A26766" s="48" t="s">
        <v>1058</v>
      </c>
      <c r="B26766" s="38">
        <v>21502.0</v>
      </c>
      <c r="C26766" s="38" t="s">
        <v>31240</v>
      </c>
      <c r="D26766" s="38" t="str">
        <f>IFERROR(__xludf.DUMMYFUNCTION("REGEXREPLACE(C26766,""-\d+(.*)|--\d+(.*)"","""")"),"POUILLY-SUR-SAONE")</f>
        <v>POUILLY-SUR-SAONE</v>
      </c>
      <c r="E26766" s="38" t="s">
        <v>105</v>
      </c>
      <c r="F26766" s="38" t="s">
        <v>106</v>
      </c>
      <c r="G26766" s="49" t="str">
        <f t="shared" si="1"/>
        <v>21250</v>
      </c>
      <c r="H26766" s="49">
        <f t="shared" si="2"/>
        <v>21502</v>
      </c>
    </row>
    <row r="26767">
      <c r="A26767" s="48" t="s">
        <v>1991</v>
      </c>
      <c r="B26767" s="38">
        <v>54275.0</v>
      </c>
      <c r="C26767" s="38" t="s">
        <v>31241</v>
      </c>
      <c r="D26767" s="38" t="str">
        <f>IFERROR(__xludf.DUMMYFUNCTION("REGEXREPLACE(C26767,""-\d+(.*)|--\d+(.*)"","""")"),"JAULNY")</f>
        <v>JAULNY</v>
      </c>
      <c r="E26767" s="38" t="s">
        <v>548</v>
      </c>
      <c r="F26767" s="38" t="s">
        <v>195</v>
      </c>
      <c r="G26767" s="49" t="str">
        <f t="shared" si="1"/>
        <v>54470</v>
      </c>
      <c r="H26767" s="49">
        <f t="shared" si="2"/>
        <v>54275</v>
      </c>
    </row>
    <row r="26768">
      <c r="A26768" s="48" t="s">
        <v>1268</v>
      </c>
      <c r="B26768" s="38">
        <v>8444.0</v>
      </c>
      <c r="C26768" s="38" t="s">
        <v>31242</v>
      </c>
      <c r="D26768" s="38" t="str">
        <f>IFERROR(__xludf.DUMMYFUNCTION("REGEXREPLACE(C26768,""-\d+(.*)|--\d+(.*)"","""")"),"TETAIGNE")</f>
        <v>TETAIGNE</v>
      </c>
      <c r="E26768" s="38" t="s">
        <v>327</v>
      </c>
      <c r="F26768" s="38" t="s">
        <v>130</v>
      </c>
      <c r="G26768" s="49" t="str">
        <f t="shared" si="1"/>
        <v>08110</v>
      </c>
      <c r="H26768" s="49" t="str">
        <f t="shared" si="2"/>
        <v>08444</v>
      </c>
    </row>
    <row r="26769">
      <c r="A26769" s="48" t="s">
        <v>10060</v>
      </c>
      <c r="B26769" s="38">
        <v>35312.0</v>
      </c>
      <c r="C26769" s="38" t="s">
        <v>31243</v>
      </c>
      <c r="D26769" s="38" t="str">
        <f>IFERROR(__xludf.DUMMYFUNCTION("REGEXREPLACE(C26769,""-\d+(.*)|--\d+(.*)"","""")"),"SAINT-SENOUX")</f>
        <v>SAINT-SENOUX</v>
      </c>
      <c r="E26769" s="38" t="s">
        <v>347</v>
      </c>
      <c r="F26769" s="38" t="s">
        <v>90</v>
      </c>
      <c r="G26769" s="49" t="str">
        <f t="shared" si="1"/>
        <v>35580</v>
      </c>
      <c r="H26769" s="49">
        <f t="shared" si="2"/>
        <v>35312</v>
      </c>
    </row>
    <row r="26770">
      <c r="A26770" s="48" t="s">
        <v>1509</v>
      </c>
      <c r="B26770" s="38">
        <v>12127.0</v>
      </c>
      <c r="C26770" s="38" t="s">
        <v>31244</v>
      </c>
      <c r="D26770" s="38" t="str">
        <f>IFERROR(__xludf.DUMMYFUNCTION("REGEXREPLACE(C26770,""-\d+(.*)|--\d+(.*)"","""")"),"LEDERGUES")</f>
        <v>LEDERGUES</v>
      </c>
      <c r="E26770" s="38" t="s">
        <v>465</v>
      </c>
      <c r="F26770" s="38" t="s">
        <v>94</v>
      </c>
      <c r="G26770" s="49" t="str">
        <f t="shared" si="1"/>
        <v>12170</v>
      </c>
      <c r="H26770" s="49">
        <f t="shared" si="2"/>
        <v>12127</v>
      </c>
    </row>
    <row r="26771">
      <c r="A26771" s="48" t="s">
        <v>2389</v>
      </c>
      <c r="B26771" s="38">
        <v>64412.0</v>
      </c>
      <c r="C26771" s="38" t="s">
        <v>31245</v>
      </c>
      <c r="D26771" s="38" t="str">
        <f>IFERROR(__xludf.DUMMYFUNCTION("REGEXREPLACE(C26771,""-\d+(.*)|--\d+(.*)"","""")"),"NABAS")</f>
        <v>NABAS</v>
      </c>
      <c r="E26771" s="38" t="s">
        <v>268</v>
      </c>
      <c r="F26771" s="38" t="s">
        <v>252</v>
      </c>
      <c r="G26771" s="49" t="str">
        <f t="shared" si="1"/>
        <v>64190</v>
      </c>
      <c r="H26771" s="49">
        <f t="shared" si="2"/>
        <v>64412</v>
      </c>
    </row>
    <row r="26772">
      <c r="A26772" s="48" t="s">
        <v>1800</v>
      </c>
      <c r="B26772" s="38">
        <v>88008.0</v>
      </c>
      <c r="C26772" s="38" t="s">
        <v>31246</v>
      </c>
      <c r="D26772" s="38" t="str">
        <f>IFERROR(__xludf.DUMMYFUNCTION("REGEXREPLACE(C26772,""-\d+(.*)|--\d+(.*)"","""")"),"ANGLEMONT")</f>
        <v>ANGLEMONT</v>
      </c>
      <c r="E26772" s="38" t="s">
        <v>194</v>
      </c>
      <c r="F26772" s="38" t="s">
        <v>195</v>
      </c>
      <c r="G26772" s="49" t="str">
        <f t="shared" si="1"/>
        <v>88700</v>
      </c>
      <c r="H26772" s="49">
        <f t="shared" si="2"/>
        <v>88008</v>
      </c>
    </row>
    <row r="26773">
      <c r="A26773" s="48" t="s">
        <v>3755</v>
      </c>
      <c r="B26773" s="38">
        <v>76568.0</v>
      </c>
      <c r="C26773" s="38" t="s">
        <v>31247</v>
      </c>
      <c r="D26773" s="38" t="str">
        <f>IFERROR(__xludf.DUMMYFUNCTION("REGEXREPLACE(C26773,""-\d+(.*)|--\d+(.*)"","""")"),"SAINT-CLAIR-SUR-LES-MONTS")</f>
        <v>SAINT-CLAIR-SUR-LES-MONTS</v>
      </c>
      <c r="E26773" s="38" t="s">
        <v>133</v>
      </c>
      <c r="F26773" s="38" t="s">
        <v>134</v>
      </c>
      <c r="G26773" s="49" t="str">
        <f t="shared" si="1"/>
        <v>76190</v>
      </c>
      <c r="H26773" s="49">
        <f t="shared" si="2"/>
        <v>76568</v>
      </c>
    </row>
    <row r="26774">
      <c r="A26774" s="48" t="s">
        <v>983</v>
      </c>
      <c r="B26774" s="38">
        <v>52337.0</v>
      </c>
      <c r="C26774" s="38" t="s">
        <v>31248</v>
      </c>
      <c r="D26774" s="38" t="str">
        <f>IFERROR(__xludf.DUMMYFUNCTION("REGEXREPLACE(C26774,""-\d+(.*)|--\d+(.*)"","""")"),"MONTREUIL-SUR-THONNANCE")</f>
        <v>MONTREUIL-SUR-THONNANCE</v>
      </c>
      <c r="E26774" s="38" t="s">
        <v>234</v>
      </c>
      <c r="F26774" s="38" t="s">
        <v>130</v>
      </c>
      <c r="G26774" s="49" t="str">
        <f t="shared" si="1"/>
        <v>52230</v>
      </c>
      <c r="H26774" s="49">
        <f t="shared" si="2"/>
        <v>52337</v>
      </c>
    </row>
    <row r="26775">
      <c r="A26775" s="48" t="s">
        <v>4805</v>
      </c>
      <c r="B26775" s="38">
        <v>31390.0</v>
      </c>
      <c r="C26775" s="38" t="s">
        <v>31249</v>
      </c>
      <c r="D26775" s="38" t="str">
        <f>IFERROR(__xludf.DUMMYFUNCTION("REGEXREPLACE(C26775,""-\d+(.*)|--\d+(.*)"","""")"),"MONTREJEAU")</f>
        <v>MONTREJEAU</v>
      </c>
      <c r="E26775" s="38" t="s">
        <v>93</v>
      </c>
      <c r="F26775" s="38" t="s">
        <v>94</v>
      </c>
      <c r="G26775" s="49" t="str">
        <f t="shared" si="1"/>
        <v>31210</v>
      </c>
      <c r="H26775" s="49">
        <f t="shared" si="2"/>
        <v>31390</v>
      </c>
    </row>
    <row r="26776">
      <c r="A26776" s="48" t="s">
        <v>30929</v>
      </c>
      <c r="B26776" s="38">
        <v>52177.0</v>
      </c>
      <c r="C26776" s="38" t="s">
        <v>31250</v>
      </c>
      <c r="D26776" s="38" t="str">
        <f>IFERROR(__xludf.DUMMYFUNCTION("REGEXREPLACE(C26776,""-\d+(.*)|--\d+(.*)"","""")"),"DOULAINCOURT-SAUCOURT")</f>
        <v>DOULAINCOURT-SAUCOURT</v>
      </c>
      <c r="E26776" s="38" t="s">
        <v>234</v>
      </c>
      <c r="F26776" s="38" t="s">
        <v>130</v>
      </c>
      <c r="G26776" s="49" t="str">
        <f t="shared" si="1"/>
        <v>52270</v>
      </c>
      <c r="H26776" s="49">
        <f t="shared" si="2"/>
        <v>52177</v>
      </c>
    </row>
    <row r="26777">
      <c r="A26777" s="48" t="s">
        <v>12882</v>
      </c>
      <c r="B26777" s="38">
        <v>40134.0</v>
      </c>
      <c r="C26777" s="38" t="s">
        <v>31251</v>
      </c>
      <c r="D26777" s="38" t="str">
        <f>IFERROR(__xludf.DUMMYFUNCTION("REGEXREPLACE(C26777,""-\d+(.*)|--\d+(.*)"","""")"),"LABOUHEYRE")</f>
        <v>LABOUHEYRE</v>
      </c>
      <c r="E26777" s="38" t="s">
        <v>281</v>
      </c>
      <c r="F26777" s="38" t="s">
        <v>252</v>
      </c>
      <c r="G26777" s="49" t="str">
        <f t="shared" si="1"/>
        <v>40210</v>
      </c>
      <c r="H26777" s="49">
        <f t="shared" si="2"/>
        <v>40134</v>
      </c>
    </row>
    <row r="26778">
      <c r="A26778" s="48" t="s">
        <v>10689</v>
      </c>
      <c r="B26778" s="38">
        <v>59451.0</v>
      </c>
      <c r="C26778" s="38" t="s">
        <v>31252</v>
      </c>
      <c r="D26778" s="38" t="str">
        <f>IFERROR(__xludf.DUMMYFUNCTION("REGEXREPLACE(C26778,""-\d+(.*)|--\d+(.*)"","""")"),"ORSINVAL")</f>
        <v>ORSINVAL</v>
      </c>
      <c r="E26778" s="38" t="s">
        <v>85</v>
      </c>
      <c r="F26778" s="38" t="s">
        <v>86</v>
      </c>
      <c r="G26778" s="49" t="str">
        <f t="shared" si="1"/>
        <v>59530</v>
      </c>
      <c r="H26778" s="49">
        <f t="shared" si="2"/>
        <v>59451</v>
      </c>
    </row>
    <row r="26779">
      <c r="A26779" s="48" t="s">
        <v>2817</v>
      </c>
      <c r="B26779" s="38">
        <v>64191.0</v>
      </c>
      <c r="C26779" s="38" t="s">
        <v>31253</v>
      </c>
      <c r="D26779" s="38" t="str">
        <f>IFERROR(__xludf.DUMMYFUNCTION("REGEXREPLACE(C26779,""-\d+(.*)|--\d+(.*)"","""")"),"COARRAZE")</f>
        <v>COARRAZE</v>
      </c>
      <c r="E26779" s="38" t="s">
        <v>268</v>
      </c>
      <c r="F26779" s="38" t="s">
        <v>252</v>
      </c>
      <c r="G26779" s="49" t="str">
        <f t="shared" si="1"/>
        <v>64800</v>
      </c>
      <c r="H26779" s="49">
        <f t="shared" si="2"/>
        <v>64191</v>
      </c>
    </row>
    <row r="26780">
      <c r="A26780" s="48" t="s">
        <v>10588</v>
      </c>
      <c r="B26780" s="38">
        <v>40040.0</v>
      </c>
      <c r="C26780" s="38" t="s">
        <v>31254</v>
      </c>
      <c r="D26780" s="38" t="str">
        <f>IFERROR(__xludf.DUMMYFUNCTION("REGEXREPLACE(C26780,""-\d+(.*)|--\d+(.*)"","""")"),"BEYLONGUE")</f>
        <v>BEYLONGUE</v>
      </c>
      <c r="E26780" s="38" t="s">
        <v>281</v>
      </c>
      <c r="F26780" s="38" t="s">
        <v>252</v>
      </c>
      <c r="G26780" s="49" t="str">
        <f t="shared" si="1"/>
        <v>40370</v>
      </c>
      <c r="H26780" s="49">
        <f t="shared" si="2"/>
        <v>40040</v>
      </c>
    </row>
    <row r="26781">
      <c r="A26781" s="48" t="s">
        <v>7245</v>
      </c>
      <c r="B26781" s="38">
        <v>53219.0</v>
      </c>
      <c r="C26781" s="38" t="s">
        <v>31255</v>
      </c>
      <c r="D26781" s="38" t="str">
        <f>IFERROR(__xludf.DUMMYFUNCTION("REGEXREPLACE(C26781,""-\d+(.*)|--\d+(.*)"","""")"),"SAINT-GEORGES-BUTTAVENT")</f>
        <v>SAINT-GEORGES-BUTTAVENT</v>
      </c>
      <c r="E26781" s="38" t="s">
        <v>518</v>
      </c>
      <c r="F26781" s="38" t="s">
        <v>180</v>
      </c>
      <c r="G26781" s="49" t="str">
        <f t="shared" si="1"/>
        <v>53100</v>
      </c>
      <c r="H26781" s="49">
        <f t="shared" si="2"/>
        <v>53219</v>
      </c>
    </row>
    <row r="26782">
      <c r="A26782" s="48" t="s">
        <v>5381</v>
      </c>
      <c r="B26782" s="38">
        <v>38267.0</v>
      </c>
      <c r="C26782" s="38" t="s">
        <v>31256</v>
      </c>
      <c r="D26782" s="38" t="str">
        <f>IFERROR(__xludf.DUMMYFUNCTION("REGEXREPLACE(C26782,""-\d+(.*)|--\d+(.*)"","""")"),"MOTTIER")</f>
        <v>MOTTIER</v>
      </c>
      <c r="E26782" s="38" t="s">
        <v>101</v>
      </c>
      <c r="F26782" s="38" t="s">
        <v>102</v>
      </c>
      <c r="G26782" s="49" t="str">
        <f t="shared" si="1"/>
        <v>38260</v>
      </c>
      <c r="H26782" s="49">
        <f t="shared" si="2"/>
        <v>38267</v>
      </c>
    </row>
    <row r="26783">
      <c r="A26783" s="48" t="s">
        <v>1889</v>
      </c>
      <c r="B26783" s="38">
        <v>25186.0</v>
      </c>
      <c r="C26783" s="38" t="s">
        <v>31257</v>
      </c>
      <c r="D26783" s="38" t="str">
        <f>IFERROR(__xludf.DUMMYFUNCTION("REGEXREPLACE(C26783,""-\d+(.*)|--\d+(.*)"","""")"),"CUSSEY-SUR-L'OGNON")</f>
        <v>CUSSEY-SUR-L'OGNON</v>
      </c>
      <c r="E26783" s="38" t="s">
        <v>213</v>
      </c>
      <c r="F26783" s="38" t="s">
        <v>214</v>
      </c>
      <c r="G26783" s="49" t="str">
        <f t="shared" si="1"/>
        <v>25870</v>
      </c>
      <c r="H26783" s="49">
        <f t="shared" si="2"/>
        <v>25186</v>
      </c>
    </row>
    <row r="26784">
      <c r="A26784" s="48" t="s">
        <v>23277</v>
      </c>
      <c r="B26784" s="38">
        <v>7026.0</v>
      </c>
      <c r="C26784" s="38" t="s">
        <v>31258</v>
      </c>
      <c r="D26784" s="38" t="str">
        <f>IFERROR(__xludf.DUMMYFUNCTION("REGEXREPLACE(C26784,""-\d+(.*)|--\d+(.*)"","""")"),"LE BEAGE")</f>
        <v>LE BEAGE</v>
      </c>
      <c r="E26784" s="38" t="s">
        <v>144</v>
      </c>
      <c r="F26784" s="38" t="s">
        <v>102</v>
      </c>
      <c r="G26784" s="49" t="str">
        <f t="shared" si="1"/>
        <v>07630</v>
      </c>
      <c r="H26784" s="49" t="str">
        <f t="shared" si="2"/>
        <v>07026</v>
      </c>
    </row>
    <row r="26785">
      <c r="A26785" s="48" t="s">
        <v>1540</v>
      </c>
      <c r="B26785" s="38">
        <v>70166.0</v>
      </c>
      <c r="C26785" s="38" t="s">
        <v>31259</v>
      </c>
      <c r="D26785" s="38" t="str">
        <f>IFERROR(__xludf.DUMMYFUNCTION("REGEXREPLACE(C26785,""-\d+(.*)|--\d+(.*)"","""")"),"COMBERJON")</f>
        <v>COMBERJON</v>
      </c>
      <c r="E26785" s="38" t="s">
        <v>956</v>
      </c>
      <c r="F26785" s="38" t="s">
        <v>214</v>
      </c>
      <c r="G26785" s="49" t="str">
        <f t="shared" si="1"/>
        <v>70000</v>
      </c>
      <c r="H26785" s="49">
        <f t="shared" si="2"/>
        <v>70166</v>
      </c>
    </row>
    <row r="26786">
      <c r="A26786" s="48" t="s">
        <v>23231</v>
      </c>
      <c r="B26786" s="38">
        <v>63048.0</v>
      </c>
      <c r="C26786" s="38" t="s">
        <v>31260</v>
      </c>
      <c r="D26786" s="38" t="str">
        <f>IFERROR(__xludf.DUMMYFUNCTION("REGEXREPLACE(C26786,""-\d+(.*)|--\d+(.*)"","""")"),"BOURG-LASTIC")</f>
        <v>BOURG-LASTIC</v>
      </c>
      <c r="E26786" s="38" t="s">
        <v>353</v>
      </c>
      <c r="F26786" s="38" t="s">
        <v>161</v>
      </c>
      <c r="G26786" s="49" t="str">
        <f t="shared" si="1"/>
        <v>63760</v>
      </c>
      <c r="H26786" s="49">
        <f t="shared" si="2"/>
        <v>63048</v>
      </c>
    </row>
    <row r="26787">
      <c r="A26787" s="48" t="s">
        <v>4923</v>
      </c>
      <c r="B26787" s="38">
        <v>61333.0</v>
      </c>
      <c r="C26787" s="38" t="s">
        <v>31261</v>
      </c>
      <c r="D26787" s="38" t="str">
        <f>IFERROR(__xludf.DUMMYFUNCTION("REGEXREPLACE(C26787,""-\d+(.*)|--\d+(.*)"","""")"),"PONTCHARDON")</f>
        <v>PONTCHARDON</v>
      </c>
      <c r="E26787" s="38" t="s">
        <v>141</v>
      </c>
      <c r="F26787" s="38" t="s">
        <v>138</v>
      </c>
      <c r="G26787" s="49" t="str">
        <f t="shared" si="1"/>
        <v>61120</v>
      </c>
      <c r="H26787" s="49">
        <f t="shared" si="2"/>
        <v>61333</v>
      </c>
    </row>
    <row r="26788">
      <c r="A26788" s="48" t="s">
        <v>3666</v>
      </c>
      <c r="B26788" s="38">
        <v>21324.0</v>
      </c>
      <c r="C26788" s="38" t="s">
        <v>31262</v>
      </c>
      <c r="D26788" s="38" t="str">
        <f>IFERROR(__xludf.DUMMYFUNCTION("REGEXREPLACE(C26788,""-\d+(.*)|--\d+(.*)"","""")"),"JEUX-LES-BARD")</f>
        <v>JEUX-LES-BARD</v>
      </c>
      <c r="E26788" s="38" t="s">
        <v>105</v>
      </c>
      <c r="F26788" s="38" t="s">
        <v>106</v>
      </c>
      <c r="G26788" s="49" t="str">
        <f t="shared" si="1"/>
        <v>21460</v>
      </c>
      <c r="H26788" s="49">
        <f t="shared" si="2"/>
        <v>21324</v>
      </c>
    </row>
    <row r="26789">
      <c r="A26789" s="48" t="s">
        <v>7821</v>
      </c>
      <c r="B26789" s="38">
        <v>8282.0</v>
      </c>
      <c r="C26789" s="38" t="s">
        <v>31263</v>
      </c>
      <c r="D26789" s="38" t="str">
        <f>IFERROR(__xludf.DUMMYFUNCTION("REGEXREPLACE(C26789,""-\d+(.*)|--\d+(.*)"","""")"),"MAUBERT-FONTAINE")</f>
        <v>MAUBERT-FONTAINE</v>
      </c>
      <c r="E26789" s="38" t="s">
        <v>327</v>
      </c>
      <c r="F26789" s="38" t="s">
        <v>130</v>
      </c>
      <c r="G26789" s="49" t="str">
        <f t="shared" si="1"/>
        <v>08260</v>
      </c>
      <c r="H26789" s="49" t="str">
        <f t="shared" si="2"/>
        <v>08282</v>
      </c>
    </row>
    <row r="26790">
      <c r="A26790" s="48" t="s">
        <v>28593</v>
      </c>
      <c r="B26790" s="38">
        <v>15253.0</v>
      </c>
      <c r="C26790" s="38" t="s">
        <v>31264</v>
      </c>
      <c r="D26790" s="38" t="str">
        <f>IFERROR(__xludf.DUMMYFUNCTION("REGEXREPLACE(C26790,""-\d+(.*)|--\d+(.*)"","""")"),"VERNOLS")</f>
        <v>VERNOLS</v>
      </c>
      <c r="E26790" s="38" t="s">
        <v>632</v>
      </c>
      <c r="F26790" s="38" t="s">
        <v>161</v>
      </c>
      <c r="G26790" s="49" t="str">
        <f t="shared" si="1"/>
        <v>15160</v>
      </c>
      <c r="H26790" s="49">
        <f t="shared" si="2"/>
        <v>15253</v>
      </c>
    </row>
    <row r="26791">
      <c r="A26791" s="48" t="s">
        <v>12175</v>
      </c>
      <c r="B26791" s="38">
        <v>80262.0</v>
      </c>
      <c r="C26791" s="38" t="s">
        <v>31265</v>
      </c>
      <c r="D26791" s="38" t="str">
        <f>IFERROR(__xludf.DUMMYFUNCTION("REGEXREPLACE(C26791,""-\d+(.*)|--\d+(.*)"","""")"),"EAUCOURT-SUR-SOMME")</f>
        <v>EAUCOURT-SUR-SOMME</v>
      </c>
      <c r="E26791" s="38" t="s">
        <v>224</v>
      </c>
      <c r="F26791" s="38" t="s">
        <v>113</v>
      </c>
      <c r="G26791" s="49" t="str">
        <f t="shared" si="1"/>
        <v>80580</v>
      </c>
      <c r="H26791" s="49">
        <f t="shared" si="2"/>
        <v>80262</v>
      </c>
    </row>
    <row r="26792">
      <c r="A26792" s="48" t="s">
        <v>3681</v>
      </c>
      <c r="B26792" s="38">
        <v>39250.0</v>
      </c>
      <c r="C26792" s="38" t="s">
        <v>31266</v>
      </c>
      <c r="D26792" s="38" t="str">
        <f>IFERROR(__xludf.DUMMYFUNCTION("REGEXREPLACE(C26792,""-\d+(.*)|--\d+(.*)"","""")"),"GERUGE")</f>
        <v>GERUGE</v>
      </c>
      <c r="E26792" s="38" t="s">
        <v>400</v>
      </c>
      <c r="F26792" s="38" t="s">
        <v>214</v>
      </c>
      <c r="G26792" s="49" t="str">
        <f t="shared" si="1"/>
        <v>39570</v>
      </c>
      <c r="H26792" s="49">
        <f t="shared" si="2"/>
        <v>39250</v>
      </c>
    </row>
    <row r="26793">
      <c r="A26793" s="48" t="s">
        <v>1526</v>
      </c>
      <c r="B26793" s="38">
        <v>60280.0</v>
      </c>
      <c r="C26793" s="38" t="s">
        <v>31267</v>
      </c>
      <c r="D26793" s="38" t="str">
        <f>IFERROR(__xludf.DUMMYFUNCTION("REGEXREPLACE(C26793,""-\d+(.*)|--\d+(.*)"","""")"),"GOURCHELLES")</f>
        <v>GOURCHELLES</v>
      </c>
      <c r="E26793" s="38" t="s">
        <v>112</v>
      </c>
      <c r="F26793" s="38" t="s">
        <v>113</v>
      </c>
      <c r="G26793" s="49" t="str">
        <f t="shared" si="1"/>
        <v>60220</v>
      </c>
      <c r="H26793" s="49">
        <f t="shared" si="2"/>
        <v>60280</v>
      </c>
    </row>
    <row r="26794">
      <c r="A26794" s="48" t="s">
        <v>4412</v>
      </c>
      <c r="B26794" s="38">
        <v>68317.0</v>
      </c>
      <c r="C26794" s="38" t="s">
        <v>31268</v>
      </c>
      <c r="D26794" s="38" t="str">
        <f>IFERROR(__xludf.DUMMYFUNCTION("REGEXREPLACE(C26794,""-\d+(.*)|--\d+(.*)"","""")"),"SOULTZEREN")</f>
        <v>SOULTZEREN</v>
      </c>
      <c r="E26794" s="38" t="s">
        <v>150</v>
      </c>
      <c r="F26794" s="38" t="s">
        <v>151</v>
      </c>
      <c r="G26794" s="49" t="str">
        <f t="shared" si="1"/>
        <v>68140</v>
      </c>
      <c r="H26794" s="49">
        <f t="shared" si="2"/>
        <v>68317</v>
      </c>
    </row>
    <row r="26795">
      <c r="A26795" s="48" t="s">
        <v>1697</v>
      </c>
      <c r="B26795" s="38">
        <v>39380.0</v>
      </c>
      <c r="C26795" s="38" t="s">
        <v>31269</v>
      </c>
      <c r="D26795" s="38" t="str">
        <f>IFERROR(__xludf.DUMMYFUNCTION("REGEXREPLACE(C26795,""-\d+(.*)|--\d+(.*)"","""")"),"NANCUISE")</f>
        <v>NANCUISE</v>
      </c>
      <c r="E26795" s="38" t="s">
        <v>400</v>
      </c>
      <c r="F26795" s="38" t="s">
        <v>214</v>
      </c>
      <c r="G26795" s="49" t="str">
        <f t="shared" si="1"/>
        <v>39270</v>
      </c>
      <c r="H26795" s="49">
        <f t="shared" si="2"/>
        <v>39380</v>
      </c>
    </row>
    <row r="26796">
      <c r="A26796" s="48" t="s">
        <v>3116</v>
      </c>
      <c r="B26796" s="38">
        <v>91294.0</v>
      </c>
      <c r="C26796" s="38" t="s">
        <v>31270</v>
      </c>
      <c r="D26796" s="38" t="str">
        <f>IFERROR(__xludf.DUMMYFUNCTION("REGEXREPLACE(C26796,""-\d+(.*)|--\d+(.*)"","""")"),"GUILLERVAL")</f>
        <v>GUILLERVAL</v>
      </c>
      <c r="E26796" s="38" t="s">
        <v>756</v>
      </c>
      <c r="F26796" s="38" t="s">
        <v>245</v>
      </c>
      <c r="G26796" s="49" t="str">
        <f t="shared" si="1"/>
        <v>91690</v>
      </c>
      <c r="H26796" s="49">
        <f t="shared" si="2"/>
        <v>91294</v>
      </c>
    </row>
    <row r="26797">
      <c r="A26797" s="48" t="s">
        <v>6269</v>
      </c>
      <c r="B26797" s="38">
        <v>24475.0</v>
      </c>
      <c r="C26797" s="38" t="s">
        <v>31271</v>
      </c>
      <c r="D26797" s="38" t="str">
        <f>IFERROR(__xludf.DUMMYFUNCTION("REGEXREPLACE(C26797,""-\d+(.*)|--\d+(.*)"","""")"),"SAINT-PANTALY-D'ANS")</f>
        <v>SAINT-PANTALY-D'ANS</v>
      </c>
      <c r="E26797" s="38" t="s">
        <v>261</v>
      </c>
      <c r="F26797" s="38" t="s">
        <v>252</v>
      </c>
      <c r="G26797" s="49" t="str">
        <f t="shared" si="1"/>
        <v>24640</v>
      </c>
      <c r="H26797" s="49">
        <f t="shared" si="2"/>
        <v>24475</v>
      </c>
    </row>
    <row r="26798">
      <c r="A26798" s="48" t="s">
        <v>2266</v>
      </c>
      <c r="B26798" s="38">
        <v>55281.0</v>
      </c>
      <c r="C26798" s="38" t="s">
        <v>31272</v>
      </c>
      <c r="D26798" s="38" t="str">
        <f>IFERROR(__xludf.DUMMYFUNCTION("REGEXREPLACE(C26798,""-\d+(.*)|--\d+(.*)"","""")"),"LATOUR-EN-WOEVRE")</f>
        <v>LATOUR-EN-WOEVRE</v>
      </c>
      <c r="E26798" s="38" t="s">
        <v>322</v>
      </c>
      <c r="F26798" s="38" t="s">
        <v>195</v>
      </c>
      <c r="G26798" s="49" t="str">
        <f t="shared" si="1"/>
        <v>55160</v>
      </c>
      <c r="H26798" s="49">
        <f t="shared" si="2"/>
        <v>55281</v>
      </c>
    </row>
    <row r="26799">
      <c r="A26799" s="48" t="s">
        <v>1986</v>
      </c>
      <c r="B26799" s="38">
        <v>79357.0</v>
      </c>
      <c r="C26799" s="38" t="s">
        <v>31273</v>
      </c>
      <c r="D26799" s="38" t="str">
        <f>IFERROR(__xludf.DUMMYFUNCTION("REGEXREPLACE(C26799,""-\d+(.*)|--\d+(.*)"","""")"),"XAINTRAY")</f>
        <v>XAINTRAY</v>
      </c>
      <c r="E26799" s="38" t="s">
        <v>337</v>
      </c>
      <c r="F26799" s="38" t="s">
        <v>338</v>
      </c>
      <c r="G26799" s="49" t="str">
        <f t="shared" si="1"/>
        <v>79220</v>
      </c>
      <c r="H26799" s="49">
        <f t="shared" si="2"/>
        <v>79357</v>
      </c>
    </row>
    <row r="26800">
      <c r="A26800" s="48" t="s">
        <v>430</v>
      </c>
      <c r="B26800" s="38">
        <v>2125.0</v>
      </c>
      <c r="C26800" s="38" t="s">
        <v>31274</v>
      </c>
      <c r="D26800" s="38" t="str">
        <f>IFERROR(__xludf.DUMMYFUNCTION("REGEXREPLACE(C26800,""-\d+(.*)|--\d+(.*)"","""")"),"BRUMETZ")</f>
        <v>BRUMETZ</v>
      </c>
      <c r="E26800" s="38" t="s">
        <v>191</v>
      </c>
      <c r="F26800" s="38" t="s">
        <v>113</v>
      </c>
      <c r="G26800" s="49" t="str">
        <f t="shared" si="1"/>
        <v>02810</v>
      </c>
      <c r="H26800" s="49" t="str">
        <f t="shared" si="2"/>
        <v>02125</v>
      </c>
    </row>
    <row r="26801">
      <c r="A26801" s="48" t="s">
        <v>31275</v>
      </c>
      <c r="B26801" s="38">
        <v>13071.0</v>
      </c>
      <c r="C26801" s="38" t="s">
        <v>31276</v>
      </c>
      <c r="D26801" s="38" t="str">
        <f>IFERROR(__xludf.DUMMYFUNCTION("REGEXREPLACE(C26801,""-\d+(.*)|--\d+(.*)"","""")"),"LES PENNES-MIRABEAU")</f>
        <v>LES PENNES-MIRABEAU</v>
      </c>
      <c r="E26801" s="38" t="s">
        <v>980</v>
      </c>
      <c r="F26801" s="38" t="s">
        <v>228</v>
      </c>
      <c r="G26801" s="49" t="str">
        <f t="shared" si="1"/>
        <v>13170</v>
      </c>
      <c r="H26801" s="49">
        <f t="shared" si="2"/>
        <v>13071</v>
      </c>
    </row>
    <row r="26802">
      <c r="A26802" s="48" t="s">
        <v>7048</v>
      </c>
      <c r="B26802" s="38">
        <v>71038.0</v>
      </c>
      <c r="C26802" s="38" t="s">
        <v>31277</v>
      </c>
      <c r="D26802" s="38" t="str">
        <f>IFERROR(__xludf.DUMMYFUNCTION("REGEXREPLACE(C26802,""-\d+(.*)|--\d+(.*)"","""")"),"LES BIZOTS")</f>
        <v>LES BIZOTS</v>
      </c>
      <c r="E26802" s="38" t="s">
        <v>344</v>
      </c>
      <c r="F26802" s="38" t="s">
        <v>106</v>
      </c>
      <c r="G26802" s="49" t="str">
        <f t="shared" si="1"/>
        <v>71710</v>
      </c>
      <c r="H26802" s="49">
        <f t="shared" si="2"/>
        <v>71038</v>
      </c>
    </row>
    <row r="26803">
      <c r="A26803" s="48" t="s">
        <v>1993</v>
      </c>
      <c r="B26803" s="38">
        <v>2194.0</v>
      </c>
      <c r="C26803" s="38" t="s">
        <v>31278</v>
      </c>
      <c r="D26803" s="38" t="str">
        <f>IFERROR(__xludf.DUMMYFUNCTION("REGEXREPLACE(C26803,""-\d+(.*)|--\d+(.*)"","""")"),"CILLY")</f>
        <v>CILLY</v>
      </c>
      <c r="E26803" s="38" t="s">
        <v>191</v>
      </c>
      <c r="F26803" s="38" t="s">
        <v>113</v>
      </c>
      <c r="G26803" s="49" t="str">
        <f t="shared" si="1"/>
        <v>02250</v>
      </c>
      <c r="H26803" s="49" t="str">
        <f t="shared" si="2"/>
        <v>02194</v>
      </c>
    </row>
    <row r="26804">
      <c r="A26804" s="48" t="s">
        <v>18076</v>
      </c>
      <c r="B26804" s="38">
        <v>49355.0</v>
      </c>
      <c r="C26804" s="38" t="s">
        <v>31279</v>
      </c>
      <c r="D26804" s="38" t="str">
        <f>IFERROR(__xludf.DUMMYFUNCTION("REGEXREPLACE(C26804,""-\d+(.*)|--\d+(.*)"","""")"),"TREMENTINES")</f>
        <v>TREMENTINES</v>
      </c>
      <c r="E26804" s="38" t="s">
        <v>653</v>
      </c>
      <c r="F26804" s="38" t="s">
        <v>180</v>
      </c>
      <c r="G26804" s="49" t="str">
        <f t="shared" si="1"/>
        <v>49340</v>
      </c>
      <c r="H26804" s="49">
        <f t="shared" si="2"/>
        <v>49355</v>
      </c>
    </row>
    <row r="26805">
      <c r="A26805" s="48" t="s">
        <v>31280</v>
      </c>
      <c r="B26805" s="38">
        <v>48087.0</v>
      </c>
      <c r="C26805" s="38" t="s">
        <v>31281</v>
      </c>
      <c r="D26805" s="38" t="str">
        <f>IFERROR(__xludf.DUMMYFUNCTION("REGEXREPLACE(C26805,""-\d+(.*)|--\d+(.*)"","""")"),"MALBOUZON")</f>
        <v>MALBOUZON</v>
      </c>
      <c r="E26805" s="38" t="s">
        <v>154</v>
      </c>
      <c r="F26805" s="38" t="s">
        <v>119</v>
      </c>
      <c r="G26805" s="49" t="str">
        <f t="shared" si="1"/>
        <v>48270</v>
      </c>
      <c r="H26805" s="49">
        <f t="shared" si="2"/>
        <v>48087</v>
      </c>
    </row>
    <row r="26806">
      <c r="A26806" s="48" t="s">
        <v>2575</v>
      </c>
      <c r="B26806" s="38">
        <v>91137.0</v>
      </c>
      <c r="C26806" s="38" t="s">
        <v>31282</v>
      </c>
      <c r="D26806" s="38" t="str">
        <f>IFERROR(__xludf.DUMMYFUNCTION("REGEXREPLACE(C26806,""-\d+(.*)|--\d+(.*)"","""")"),"CHAMPMOTTEUX")</f>
        <v>CHAMPMOTTEUX</v>
      </c>
      <c r="E26806" s="38" t="s">
        <v>756</v>
      </c>
      <c r="F26806" s="38" t="s">
        <v>245</v>
      </c>
      <c r="G26806" s="49" t="str">
        <f t="shared" si="1"/>
        <v>91150</v>
      </c>
      <c r="H26806" s="49">
        <f t="shared" si="2"/>
        <v>91137</v>
      </c>
    </row>
    <row r="26807">
      <c r="A26807" s="48" t="s">
        <v>11146</v>
      </c>
      <c r="B26807" s="38">
        <v>89325.0</v>
      </c>
      <c r="C26807" s="38" t="s">
        <v>18263</v>
      </c>
      <c r="D26807" s="38" t="str">
        <f>IFERROR(__xludf.DUMMYFUNCTION("REGEXREPLACE(C26807,""-\d+(.*)|--\d+(.*)"","""")"),"RONCHERES")</f>
        <v>RONCHERES</v>
      </c>
      <c r="E26807" s="38" t="s">
        <v>275</v>
      </c>
      <c r="F26807" s="38" t="s">
        <v>106</v>
      </c>
      <c r="G26807" s="49" t="str">
        <f t="shared" si="1"/>
        <v>89170</v>
      </c>
      <c r="H26807" s="49">
        <f t="shared" si="2"/>
        <v>89325</v>
      </c>
    </row>
    <row r="26808">
      <c r="A26808" s="48" t="s">
        <v>425</v>
      </c>
      <c r="B26808" s="38">
        <v>88398.0</v>
      </c>
      <c r="C26808" s="38" t="s">
        <v>31283</v>
      </c>
      <c r="D26808" s="38" t="str">
        <f>IFERROR(__xludf.DUMMYFUNCTION("REGEXREPLACE(C26808,""-\d+(.*)|--\d+(.*)"","""")"),"LES ROUGES-EAUX")</f>
        <v>LES ROUGES-EAUX</v>
      </c>
      <c r="E26808" s="38" t="s">
        <v>194</v>
      </c>
      <c r="F26808" s="38" t="s">
        <v>195</v>
      </c>
      <c r="G26808" s="49" t="str">
        <f t="shared" si="1"/>
        <v>88600</v>
      </c>
      <c r="H26808" s="49">
        <f t="shared" si="2"/>
        <v>88398</v>
      </c>
    </row>
    <row r="26809">
      <c r="A26809" s="48" t="s">
        <v>7804</v>
      </c>
      <c r="B26809" s="38">
        <v>51124.0</v>
      </c>
      <c r="C26809" s="38" t="s">
        <v>31284</v>
      </c>
      <c r="D26809" s="38" t="str">
        <f>IFERROR(__xludf.DUMMYFUNCTION("REGEXREPLACE(C26809,""-\d+(.*)|--\d+(.*)"","""")"),"CHANTEMERLE")</f>
        <v>CHANTEMERLE</v>
      </c>
      <c r="E26809" s="38" t="s">
        <v>129</v>
      </c>
      <c r="F26809" s="38" t="s">
        <v>130</v>
      </c>
      <c r="G26809" s="49" t="str">
        <f t="shared" si="1"/>
        <v>51260</v>
      </c>
      <c r="H26809" s="49">
        <f t="shared" si="2"/>
        <v>51124</v>
      </c>
    </row>
    <row r="26810">
      <c r="A26810" s="48" t="s">
        <v>3212</v>
      </c>
      <c r="B26810" s="38">
        <v>64551.0</v>
      </c>
      <c r="C26810" s="38" t="s">
        <v>31285</v>
      </c>
      <c r="D26810" s="38" t="str">
        <f>IFERROR(__xludf.DUMMYFUNCTION("REGEXREPLACE(C26810,""-\d+(.*)|--\d+(.*)"","""")"),"VERDETS")</f>
        <v>VERDETS</v>
      </c>
      <c r="E26810" s="38" t="s">
        <v>268</v>
      </c>
      <c r="F26810" s="38" t="s">
        <v>252</v>
      </c>
      <c r="G26810" s="49" t="str">
        <f t="shared" si="1"/>
        <v>64400</v>
      </c>
      <c r="H26810" s="49">
        <f t="shared" si="2"/>
        <v>64551</v>
      </c>
    </row>
    <row r="26811">
      <c r="A26811" s="48" t="s">
        <v>15194</v>
      </c>
      <c r="B26811" s="38">
        <v>24188.0</v>
      </c>
      <c r="C26811" s="38" t="s">
        <v>31286</v>
      </c>
      <c r="D26811" s="38" t="str">
        <f>IFERROR(__xludf.DUMMYFUNCTION("REGEXREPLACE(C26811,""-\d+(.*)|--\d+(.*)"","""")"),"FOSSEMAGNE")</f>
        <v>FOSSEMAGNE</v>
      </c>
      <c r="E26811" s="38" t="s">
        <v>261</v>
      </c>
      <c r="F26811" s="38" t="s">
        <v>252</v>
      </c>
      <c r="G26811" s="49" t="str">
        <f t="shared" si="1"/>
        <v>24210</v>
      </c>
      <c r="H26811" s="49">
        <f t="shared" si="2"/>
        <v>24188</v>
      </c>
    </row>
    <row r="26812">
      <c r="A26812" s="48" t="s">
        <v>3621</v>
      </c>
      <c r="B26812" s="38">
        <v>52228.0</v>
      </c>
      <c r="C26812" s="38" t="s">
        <v>13779</v>
      </c>
      <c r="D26812" s="38" t="str">
        <f>IFERROR(__xludf.DUMMYFUNCTION("REGEXREPLACE(C26812,""-\d+(.*)|--\d+(.*)"","""")"),"GRANDCHAMP")</f>
        <v>GRANDCHAMP</v>
      </c>
      <c r="E26812" s="38" t="s">
        <v>234</v>
      </c>
      <c r="F26812" s="38" t="s">
        <v>130</v>
      </c>
      <c r="G26812" s="49" t="str">
        <f t="shared" si="1"/>
        <v>52600</v>
      </c>
      <c r="H26812" s="49">
        <f t="shared" si="2"/>
        <v>52228</v>
      </c>
    </row>
    <row r="26813">
      <c r="A26813" s="48" t="s">
        <v>2534</v>
      </c>
      <c r="B26813" s="38">
        <v>27482.0</v>
      </c>
      <c r="C26813" s="38" t="s">
        <v>31287</v>
      </c>
      <c r="D26813" s="38" t="str">
        <f>IFERROR(__xludf.DUMMYFUNCTION("REGEXREPLACE(C26813,""-\d+(.*)|--\d+(.*)"","""")"),"LA PYLE")</f>
        <v>LA PYLE</v>
      </c>
      <c r="E26813" s="38" t="s">
        <v>241</v>
      </c>
      <c r="F26813" s="38" t="s">
        <v>134</v>
      </c>
      <c r="G26813" s="49" t="str">
        <f t="shared" si="1"/>
        <v>27370</v>
      </c>
      <c r="H26813" s="49">
        <f t="shared" si="2"/>
        <v>27482</v>
      </c>
    </row>
    <row r="26814">
      <c r="A26814" s="48" t="s">
        <v>3135</v>
      </c>
      <c r="B26814" s="38">
        <v>12065.0</v>
      </c>
      <c r="C26814" s="38" t="s">
        <v>31288</v>
      </c>
      <c r="D26814" s="38" t="str">
        <f>IFERROR(__xludf.DUMMYFUNCTION("REGEXREPLACE(C26814,""-\d+(.*)|--\d+(.*)"","""")"),"CENTRES")</f>
        <v>CENTRES</v>
      </c>
      <c r="E26814" s="38" t="s">
        <v>465</v>
      </c>
      <c r="F26814" s="38" t="s">
        <v>94</v>
      </c>
      <c r="G26814" s="49" t="str">
        <f t="shared" si="1"/>
        <v>12120</v>
      </c>
      <c r="H26814" s="49">
        <f t="shared" si="2"/>
        <v>12065</v>
      </c>
    </row>
    <row r="26815">
      <c r="A26815" s="48" t="s">
        <v>2264</v>
      </c>
      <c r="B26815" s="38">
        <v>45324.0</v>
      </c>
      <c r="C26815" s="38" t="s">
        <v>31289</v>
      </c>
      <c r="D26815" s="38" t="str">
        <f>IFERROR(__xludf.DUMMYFUNCTION("REGEXREPLACE(C26815,""-\d+(.*)|--\d+(.*)"","""")"),"TIGY")</f>
        <v>TIGY</v>
      </c>
      <c r="E26815" s="38" t="s">
        <v>122</v>
      </c>
      <c r="F26815" s="38" t="s">
        <v>123</v>
      </c>
      <c r="G26815" s="49" t="str">
        <f t="shared" si="1"/>
        <v>45510</v>
      </c>
      <c r="H26815" s="49">
        <f t="shared" si="2"/>
        <v>45324</v>
      </c>
    </row>
    <row r="26816">
      <c r="A26816" s="48" t="s">
        <v>1894</v>
      </c>
      <c r="B26816" s="38">
        <v>10079.0</v>
      </c>
      <c r="C26816" s="38" t="s">
        <v>31290</v>
      </c>
      <c r="D26816" s="38" t="str">
        <f>IFERROR(__xludf.DUMMYFUNCTION("REGEXREPLACE(C26816,""-\d+(.*)|--\d+(.*)"","""")"),"CHANNES")</f>
        <v>CHANNES</v>
      </c>
      <c r="E26816" s="38" t="s">
        <v>147</v>
      </c>
      <c r="F26816" s="38" t="s">
        <v>130</v>
      </c>
      <c r="G26816" s="49" t="str">
        <f t="shared" si="1"/>
        <v>10340</v>
      </c>
      <c r="H26816" s="49">
        <f t="shared" si="2"/>
        <v>10079</v>
      </c>
    </row>
    <row r="26817">
      <c r="A26817" s="48" t="s">
        <v>4807</v>
      </c>
      <c r="B26817" s="38">
        <v>76452.0</v>
      </c>
      <c r="C26817" s="38" t="s">
        <v>31291</v>
      </c>
      <c r="D26817" s="38" t="str">
        <f>IFERROR(__xludf.DUMMYFUNCTION("REGEXREPLACE(C26817,""-\d+(.*)|--\d+(.*)"","""")"),"MONTVILLE")</f>
        <v>MONTVILLE</v>
      </c>
      <c r="E26817" s="38" t="s">
        <v>133</v>
      </c>
      <c r="F26817" s="38" t="s">
        <v>134</v>
      </c>
      <c r="G26817" s="49" t="str">
        <f t="shared" si="1"/>
        <v>76710</v>
      </c>
      <c r="H26817" s="49">
        <f t="shared" si="2"/>
        <v>76452</v>
      </c>
    </row>
    <row r="26818">
      <c r="A26818" s="48" t="s">
        <v>6789</v>
      </c>
      <c r="B26818" s="38">
        <v>30194.0</v>
      </c>
      <c r="C26818" s="38" t="s">
        <v>31292</v>
      </c>
      <c r="D26818" s="38" t="str">
        <f>IFERROR(__xludf.DUMMYFUNCTION("REGEXREPLACE(C26818,""-\d+(.*)|--\d+(.*)"","""")"),"PEYREMALE")</f>
        <v>PEYREMALE</v>
      </c>
      <c r="E26818" s="38" t="s">
        <v>526</v>
      </c>
      <c r="F26818" s="38" t="s">
        <v>119</v>
      </c>
      <c r="G26818" s="49" t="str">
        <f t="shared" si="1"/>
        <v>30160</v>
      </c>
      <c r="H26818" s="49">
        <f t="shared" si="2"/>
        <v>30194</v>
      </c>
    </row>
    <row r="26819">
      <c r="A26819" s="48" t="s">
        <v>22573</v>
      </c>
      <c r="B26819" s="38">
        <v>18266.0</v>
      </c>
      <c r="C26819" s="38" t="s">
        <v>31293</v>
      </c>
      <c r="D26819" s="38" t="str">
        <f>IFERROR(__xludf.DUMMYFUNCTION("REGEXREPLACE(C26819,""-\d+(.*)|--\d+(.*)"","""")"),"TOUCHAY")</f>
        <v>TOUCHAY</v>
      </c>
      <c r="E26819" s="38" t="s">
        <v>504</v>
      </c>
      <c r="F26819" s="38" t="s">
        <v>123</v>
      </c>
      <c r="G26819" s="49" t="str">
        <f t="shared" si="1"/>
        <v>18160</v>
      </c>
      <c r="H26819" s="49">
        <f t="shared" si="2"/>
        <v>18266</v>
      </c>
    </row>
    <row r="26820">
      <c r="A26820" s="48" t="s">
        <v>18681</v>
      </c>
      <c r="B26820" s="38">
        <v>69169.0</v>
      </c>
      <c r="C26820" s="38" t="s">
        <v>31294</v>
      </c>
      <c r="D26820" s="38" t="str">
        <f>IFERROR(__xludf.DUMMYFUNCTION("REGEXREPLACE(C26820,""-\d+(.*)|--\d+(.*)"","""")"),"RONNO")</f>
        <v>RONNO</v>
      </c>
      <c r="E26820" s="38" t="s">
        <v>350</v>
      </c>
      <c r="F26820" s="38" t="s">
        <v>102</v>
      </c>
      <c r="G26820" s="49" t="str">
        <f t="shared" si="1"/>
        <v>69550</v>
      </c>
      <c r="H26820" s="49">
        <f t="shared" si="2"/>
        <v>69169</v>
      </c>
    </row>
    <row r="26821">
      <c r="A26821" s="48" t="s">
        <v>10015</v>
      </c>
      <c r="B26821" s="38">
        <v>78143.0</v>
      </c>
      <c r="C26821" s="38" t="s">
        <v>31295</v>
      </c>
      <c r="D26821" s="38" t="str">
        <f>IFERROR(__xludf.DUMMYFUNCTION("REGEXREPLACE(C26821,""-\d+(.*)|--\d+(.*)"","""")"),"CHATEAUFORT")</f>
        <v>CHATEAUFORT</v>
      </c>
      <c r="E26821" s="38" t="s">
        <v>362</v>
      </c>
      <c r="F26821" s="38" t="s">
        <v>245</v>
      </c>
      <c r="G26821" s="49" t="str">
        <f t="shared" si="1"/>
        <v>78117</v>
      </c>
      <c r="H26821" s="49">
        <f t="shared" si="2"/>
        <v>78143</v>
      </c>
    </row>
    <row r="26822">
      <c r="A26822" s="48" t="s">
        <v>29800</v>
      </c>
      <c r="B26822" s="38">
        <v>54066.0</v>
      </c>
      <c r="C26822" s="38" t="s">
        <v>31296</v>
      </c>
      <c r="D26822" s="38" t="str">
        <f>IFERROR(__xludf.DUMMYFUNCTION("REGEXREPLACE(C26822,""-\d+(.*)|--\d+(.*)"","""")"),"BETTAINVILLERS")</f>
        <v>BETTAINVILLERS</v>
      </c>
      <c r="E26822" s="38" t="s">
        <v>548</v>
      </c>
      <c r="F26822" s="38" t="s">
        <v>195</v>
      </c>
      <c r="G26822" s="49" t="str">
        <f t="shared" si="1"/>
        <v>54640</v>
      </c>
      <c r="H26822" s="49">
        <f t="shared" si="2"/>
        <v>54066</v>
      </c>
    </row>
    <row r="26823">
      <c r="A26823" s="48" t="s">
        <v>5603</v>
      </c>
      <c r="B26823" s="38">
        <v>41261.0</v>
      </c>
      <c r="C26823" s="38" t="s">
        <v>31297</v>
      </c>
      <c r="D26823" s="38" t="str">
        <f>IFERROR(__xludf.DUMMYFUNCTION("REGEXREPLACE(C26823,""-\d+(.*)|--\d+(.*)"","""")"),"TOURAILLES")</f>
        <v>TOURAILLES</v>
      </c>
      <c r="E26823" s="38" t="s">
        <v>188</v>
      </c>
      <c r="F26823" s="38" t="s">
        <v>123</v>
      </c>
      <c r="G26823" s="49" t="str">
        <f t="shared" si="1"/>
        <v>41190</v>
      </c>
      <c r="H26823" s="49">
        <f t="shared" si="2"/>
        <v>41261</v>
      </c>
    </row>
    <row r="26824">
      <c r="A26824" s="48" t="s">
        <v>5163</v>
      </c>
      <c r="B26824" s="38">
        <v>76519.0</v>
      </c>
      <c r="C26824" s="38" t="s">
        <v>31298</v>
      </c>
      <c r="D26824" s="38" t="str">
        <f>IFERROR(__xludf.DUMMYFUNCTION("REGEXREPLACE(C26824,""-\d+(.*)|--\d+(.*)"","""")"),"RAINFREVILLE")</f>
        <v>RAINFREVILLE</v>
      </c>
      <c r="E26824" s="38" t="s">
        <v>133</v>
      </c>
      <c r="F26824" s="38" t="s">
        <v>134</v>
      </c>
      <c r="G26824" s="49" t="str">
        <f t="shared" si="1"/>
        <v>76730</v>
      </c>
      <c r="H26824" s="49">
        <f t="shared" si="2"/>
        <v>76519</v>
      </c>
    </row>
    <row r="26825">
      <c r="A26825" s="48" t="s">
        <v>2376</v>
      </c>
      <c r="B26825" s="38">
        <v>79105.0</v>
      </c>
      <c r="C26825" s="38" t="s">
        <v>31299</v>
      </c>
      <c r="D26825" s="38" t="str">
        <f>IFERROR(__xludf.DUMMYFUNCTION("REGEXREPLACE(C26825,""-\d+(.*)|--\d+(.*)"","""")"),"COUTIERES")</f>
        <v>COUTIERES</v>
      </c>
      <c r="E26825" s="38" t="s">
        <v>337</v>
      </c>
      <c r="F26825" s="38" t="s">
        <v>338</v>
      </c>
      <c r="G26825" s="49" t="str">
        <f t="shared" si="1"/>
        <v>79340</v>
      </c>
      <c r="H26825" s="49">
        <f t="shared" si="2"/>
        <v>79105</v>
      </c>
    </row>
    <row r="26826">
      <c r="A26826" s="48" t="s">
        <v>2794</v>
      </c>
      <c r="B26826" s="38">
        <v>39127.0</v>
      </c>
      <c r="C26826" s="38" t="s">
        <v>31300</v>
      </c>
      <c r="D26826" s="38" t="str">
        <f>IFERROR(__xludf.DUMMYFUNCTION("REGEXREPLACE(C26826,""-\d+(.*)|--\d+(.*)"","""")"),"CHAUSSENANS")</f>
        <v>CHAUSSENANS</v>
      </c>
      <c r="E26826" s="38" t="s">
        <v>400</v>
      </c>
      <c r="F26826" s="38" t="s">
        <v>214</v>
      </c>
      <c r="G26826" s="49" t="str">
        <f t="shared" si="1"/>
        <v>39800</v>
      </c>
      <c r="H26826" s="49">
        <f t="shared" si="2"/>
        <v>39127</v>
      </c>
    </row>
    <row r="26827">
      <c r="A26827" s="48" t="s">
        <v>12281</v>
      </c>
      <c r="B26827" s="38">
        <v>54195.0</v>
      </c>
      <c r="C26827" s="38" t="s">
        <v>31301</v>
      </c>
      <c r="D26827" s="38" t="str">
        <f>IFERROR(__xludf.DUMMYFUNCTION("REGEXREPLACE(C26827,""-\d+(.*)|--\d+(.*)"","""")"),"FLAINVAL")</f>
        <v>FLAINVAL</v>
      </c>
      <c r="E26827" s="38" t="s">
        <v>548</v>
      </c>
      <c r="F26827" s="38" t="s">
        <v>195</v>
      </c>
      <c r="G26827" s="49" t="str">
        <f t="shared" si="1"/>
        <v>54110</v>
      </c>
      <c r="H26827" s="49">
        <f t="shared" si="2"/>
        <v>54195</v>
      </c>
    </row>
    <row r="26828">
      <c r="A26828" s="48" t="s">
        <v>796</v>
      </c>
      <c r="B26828" s="38">
        <v>89423.0</v>
      </c>
      <c r="C26828" s="38" t="s">
        <v>31302</v>
      </c>
      <c r="D26828" s="38" t="str">
        <f>IFERROR(__xludf.DUMMYFUNCTION("REGEXREPLACE(C26828,""-\d+(.*)|--\d+(.*)"","""")"),"TRONCHOY")</f>
        <v>TRONCHOY</v>
      </c>
      <c r="E26828" s="38" t="s">
        <v>275</v>
      </c>
      <c r="F26828" s="38" t="s">
        <v>106</v>
      </c>
      <c r="G26828" s="49" t="str">
        <f t="shared" si="1"/>
        <v>89700</v>
      </c>
      <c r="H26828" s="49">
        <f t="shared" si="2"/>
        <v>89423</v>
      </c>
    </row>
    <row r="26829">
      <c r="A26829" s="48" t="s">
        <v>16852</v>
      </c>
      <c r="B26829" s="38">
        <v>29203.0</v>
      </c>
      <c r="C26829" s="38" t="s">
        <v>31303</v>
      </c>
      <c r="D26829" s="38" t="str">
        <f>IFERROR(__xludf.DUMMYFUNCTION("REGEXREPLACE(C26829,""-\d+(.*)|--\d+(.*)"","""")"),"PLOUNEOUR-TREZ")</f>
        <v>PLOUNEOUR-TREZ</v>
      </c>
      <c r="E26829" s="38" t="s">
        <v>176</v>
      </c>
      <c r="F26829" s="38" t="s">
        <v>90</v>
      </c>
      <c r="G26829" s="49" t="str">
        <f t="shared" si="1"/>
        <v>29890</v>
      </c>
      <c r="H26829" s="49">
        <f t="shared" si="2"/>
        <v>29203</v>
      </c>
    </row>
    <row r="26830">
      <c r="A26830" s="48" t="s">
        <v>22674</v>
      </c>
      <c r="B26830" s="38">
        <v>40042.0</v>
      </c>
      <c r="C26830" s="38" t="s">
        <v>31304</v>
      </c>
      <c r="D26830" s="38" t="str">
        <f>IFERROR(__xludf.DUMMYFUNCTION("REGEXREPLACE(C26830,""-\d+(.*)|--\d+(.*)"","""")"),"BIARROTTE")</f>
        <v>BIARROTTE</v>
      </c>
      <c r="E26830" s="38" t="s">
        <v>281</v>
      </c>
      <c r="F26830" s="38" t="s">
        <v>252</v>
      </c>
      <c r="G26830" s="49" t="str">
        <f t="shared" si="1"/>
        <v>40390</v>
      </c>
      <c r="H26830" s="49">
        <f t="shared" si="2"/>
        <v>40042</v>
      </c>
    </row>
    <row r="26831">
      <c r="A26831" s="48" t="s">
        <v>9602</v>
      </c>
      <c r="B26831" s="38">
        <v>72143.0</v>
      </c>
      <c r="C26831" s="38" t="s">
        <v>31305</v>
      </c>
      <c r="D26831" s="38" t="str">
        <f>IFERROR(__xludf.DUMMYFUNCTION("REGEXREPLACE(C26831,""-\d+(.*)|--\d+(.*)"","""")"),"LE GRAND-LUCE")</f>
        <v>LE GRAND-LUCE</v>
      </c>
      <c r="E26831" s="38" t="s">
        <v>521</v>
      </c>
      <c r="F26831" s="38" t="s">
        <v>180</v>
      </c>
      <c r="G26831" s="49" t="str">
        <f t="shared" si="1"/>
        <v>72150</v>
      </c>
      <c r="H26831" s="49">
        <f t="shared" si="2"/>
        <v>72143</v>
      </c>
    </row>
    <row r="26832">
      <c r="A26832" s="48" t="s">
        <v>10559</v>
      </c>
      <c r="B26832" s="38">
        <v>91204.0</v>
      </c>
      <c r="C26832" s="38" t="s">
        <v>31306</v>
      </c>
      <c r="D26832" s="38" t="str">
        <f>IFERROR(__xludf.DUMMYFUNCTION("REGEXREPLACE(C26832,""-\d+(.*)|--\d+(.*)"","""")"),"ECHARCON")</f>
        <v>ECHARCON</v>
      </c>
      <c r="E26832" s="38" t="s">
        <v>756</v>
      </c>
      <c r="F26832" s="38" t="s">
        <v>245</v>
      </c>
      <c r="G26832" s="49" t="str">
        <f t="shared" si="1"/>
        <v>91540</v>
      </c>
      <c r="H26832" s="49">
        <f t="shared" si="2"/>
        <v>91204</v>
      </c>
    </row>
    <row r="26833">
      <c r="A26833" s="48" t="s">
        <v>1274</v>
      </c>
      <c r="B26833" s="38">
        <v>33250.0</v>
      </c>
      <c r="C26833" s="38" t="s">
        <v>7502</v>
      </c>
      <c r="D26833" s="38" t="str">
        <f>IFERROR(__xludf.DUMMYFUNCTION("REGEXREPLACE(C26833,""-\d+(.*)|--\d+(.*)"","""")"),"LOUBENS")</f>
        <v>LOUBENS</v>
      </c>
      <c r="E26833" s="38" t="s">
        <v>462</v>
      </c>
      <c r="F26833" s="38" t="s">
        <v>252</v>
      </c>
      <c r="G26833" s="49" t="str">
        <f t="shared" si="1"/>
        <v>33190</v>
      </c>
      <c r="H26833" s="49">
        <f t="shared" si="2"/>
        <v>33250</v>
      </c>
    </row>
    <row r="26834">
      <c r="A26834" s="48" t="s">
        <v>18155</v>
      </c>
      <c r="B26834" s="38">
        <v>47097.0</v>
      </c>
      <c r="C26834" s="38" t="s">
        <v>31307</v>
      </c>
      <c r="D26834" s="38" t="str">
        <f>IFERROR(__xludf.DUMMYFUNCTION("REGEXREPLACE(C26834,""-\d+(.*)|--\d+(.*)"","""")"),"FEUGAROLLES")</f>
        <v>FEUGAROLLES</v>
      </c>
      <c r="E26834" s="38" t="s">
        <v>251</v>
      </c>
      <c r="F26834" s="38" t="s">
        <v>252</v>
      </c>
      <c r="G26834" s="49" t="str">
        <f t="shared" si="1"/>
        <v>47230</v>
      </c>
      <c r="H26834" s="49">
        <f t="shared" si="2"/>
        <v>47097</v>
      </c>
    </row>
    <row r="26835">
      <c r="A26835" s="48" t="s">
        <v>3059</v>
      </c>
      <c r="B26835" s="38">
        <v>89145.0</v>
      </c>
      <c r="C26835" s="38" t="s">
        <v>31308</v>
      </c>
      <c r="D26835" s="38" t="str">
        <f>IFERROR(__xludf.DUMMYFUNCTION("REGEXREPLACE(C26835,""-\d+(.*)|--\d+(.*)"","""")"),"DOMECY-SUR-CURE")</f>
        <v>DOMECY-SUR-CURE</v>
      </c>
      <c r="E26835" s="38" t="s">
        <v>275</v>
      </c>
      <c r="F26835" s="38" t="s">
        <v>106</v>
      </c>
      <c r="G26835" s="49" t="str">
        <f t="shared" si="1"/>
        <v>89450</v>
      </c>
      <c r="H26835" s="49">
        <f t="shared" si="2"/>
        <v>89145</v>
      </c>
    </row>
    <row r="26836">
      <c r="A26836" s="48" t="s">
        <v>31309</v>
      </c>
      <c r="B26836" s="38">
        <v>77469.0</v>
      </c>
      <c r="C26836" s="38" t="s">
        <v>31310</v>
      </c>
      <c r="D26836" s="38" t="str">
        <f>IFERROR(__xludf.DUMMYFUNCTION("REGEXREPLACE(C26836,""-\d+(.*)|--\d+(.*)"","""")"),"TOUQUIN")</f>
        <v>TOUQUIN</v>
      </c>
      <c r="E26836" s="38" t="s">
        <v>244</v>
      </c>
      <c r="F26836" s="38" t="s">
        <v>245</v>
      </c>
      <c r="G26836" s="49" t="str">
        <f t="shared" si="1"/>
        <v>77131</v>
      </c>
      <c r="H26836" s="49">
        <f t="shared" si="2"/>
        <v>77469</v>
      </c>
    </row>
    <row r="26837">
      <c r="A26837" s="48" t="s">
        <v>9436</v>
      </c>
      <c r="B26837" s="38">
        <v>63250.0</v>
      </c>
      <c r="C26837" s="38" t="s">
        <v>31311</v>
      </c>
      <c r="D26837" s="38" t="str">
        <f>IFERROR(__xludf.DUMMYFUNCTION("REGEXREPLACE(C26837,""-\d+(.*)|--\d+(.*)"","""")"),"NESCHERS")</f>
        <v>NESCHERS</v>
      </c>
      <c r="E26837" s="38" t="s">
        <v>353</v>
      </c>
      <c r="F26837" s="38" t="s">
        <v>161</v>
      </c>
      <c r="G26837" s="49" t="str">
        <f t="shared" si="1"/>
        <v>63320</v>
      </c>
      <c r="H26837" s="49">
        <f t="shared" si="2"/>
        <v>63250</v>
      </c>
    </row>
    <row r="26838">
      <c r="A26838" s="48" t="s">
        <v>4272</v>
      </c>
      <c r="B26838" s="38">
        <v>76119.0</v>
      </c>
      <c r="C26838" s="38" t="s">
        <v>31312</v>
      </c>
      <c r="D26838" s="38" t="str">
        <f>IFERROR(__xludf.DUMMYFUNCTION("REGEXREPLACE(C26838,""-\d+(.*)|--\d+(.*)"","""")"),"BOSC-BERENGER")</f>
        <v>BOSC-BERENGER</v>
      </c>
      <c r="E26838" s="38" t="s">
        <v>133</v>
      </c>
      <c r="F26838" s="38" t="s">
        <v>134</v>
      </c>
      <c r="G26838" s="49" t="str">
        <f t="shared" si="1"/>
        <v>76680</v>
      </c>
      <c r="H26838" s="49">
        <f t="shared" si="2"/>
        <v>76119</v>
      </c>
    </row>
    <row r="26839">
      <c r="A26839" s="48" t="s">
        <v>1903</v>
      </c>
      <c r="B26839" s="38">
        <v>10117.0</v>
      </c>
      <c r="C26839" s="38" t="s">
        <v>31313</v>
      </c>
      <c r="D26839" s="38" t="str">
        <f>IFERROR(__xludf.DUMMYFUNCTION("REGEXREPLACE(C26839,""-\d+(.*)|--\d+(.*)"","""")"),"CRESPY-LE-NEUF")</f>
        <v>CRESPY-LE-NEUF</v>
      </c>
      <c r="E26839" s="38" t="s">
        <v>147</v>
      </c>
      <c r="F26839" s="38" t="s">
        <v>130</v>
      </c>
      <c r="G26839" s="49" t="str">
        <f t="shared" si="1"/>
        <v>10500</v>
      </c>
      <c r="H26839" s="49">
        <f t="shared" si="2"/>
        <v>10117</v>
      </c>
    </row>
    <row r="26840">
      <c r="A26840" s="48" t="s">
        <v>3329</v>
      </c>
      <c r="B26840" s="38">
        <v>60571.0</v>
      </c>
      <c r="C26840" s="38" t="s">
        <v>31314</v>
      </c>
      <c r="D26840" s="38" t="str">
        <f>IFERROR(__xludf.DUMMYFUNCTION("REGEXREPLACE(C26840,""-\d+(.*)|--\d+(.*)"","""")"),"SAINT-DENISCOURT")</f>
        <v>SAINT-DENISCOURT</v>
      </c>
      <c r="E26840" s="38" t="s">
        <v>112</v>
      </c>
      <c r="F26840" s="38" t="s">
        <v>113</v>
      </c>
      <c r="G26840" s="49" t="str">
        <f t="shared" si="1"/>
        <v>60380</v>
      </c>
      <c r="H26840" s="49">
        <f t="shared" si="2"/>
        <v>60571</v>
      </c>
    </row>
    <row r="26841">
      <c r="A26841" s="48" t="s">
        <v>1857</v>
      </c>
      <c r="B26841" s="38">
        <v>4123.0</v>
      </c>
      <c r="C26841" s="38" t="s">
        <v>31315</v>
      </c>
      <c r="D26841" s="38" t="str">
        <f>IFERROR(__xludf.DUMMYFUNCTION("REGEXREPLACE(C26841,""-\d+(.*)|--\d+(.*)"","""")"),"MISON")</f>
        <v>MISON</v>
      </c>
      <c r="E26841" s="38" t="s">
        <v>662</v>
      </c>
      <c r="F26841" s="38" t="s">
        <v>228</v>
      </c>
      <c r="G26841" s="49" t="str">
        <f t="shared" si="1"/>
        <v>04200</v>
      </c>
      <c r="H26841" s="49" t="str">
        <f t="shared" si="2"/>
        <v>04123</v>
      </c>
    </row>
    <row r="26842">
      <c r="A26842" s="48" t="s">
        <v>2288</v>
      </c>
      <c r="B26842" s="38">
        <v>81232.0</v>
      </c>
      <c r="C26842" s="38" t="s">
        <v>4950</v>
      </c>
      <c r="D26842" s="38" t="str">
        <f>IFERROR(__xludf.DUMMYFUNCTION("REGEXREPLACE(C26842,""-\d+(.*)|--\d+(.*)"","""")"),"ROUFFIAC")</f>
        <v>ROUFFIAC</v>
      </c>
      <c r="E26842" s="38" t="s">
        <v>231</v>
      </c>
      <c r="F26842" s="38" t="s">
        <v>94</v>
      </c>
      <c r="G26842" s="49" t="str">
        <f t="shared" si="1"/>
        <v>81150</v>
      </c>
      <c r="H26842" s="49">
        <f t="shared" si="2"/>
        <v>81232</v>
      </c>
    </row>
    <row r="26843">
      <c r="A26843" s="48" t="s">
        <v>3550</v>
      </c>
      <c r="B26843" s="38">
        <v>79328.0</v>
      </c>
      <c r="C26843" s="38" t="s">
        <v>31316</v>
      </c>
      <c r="D26843" s="38" t="str">
        <f>IFERROR(__xludf.DUMMYFUNCTION("REGEXREPLACE(C26843,""-\d+(.*)|--\d+(.*)"","""")"),"THORIGNY-SUR-LE-MIGNON")</f>
        <v>THORIGNY-SUR-LE-MIGNON</v>
      </c>
      <c r="E26843" s="38" t="s">
        <v>337</v>
      </c>
      <c r="F26843" s="38" t="s">
        <v>338</v>
      </c>
      <c r="G26843" s="49" t="str">
        <f t="shared" si="1"/>
        <v>79360</v>
      </c>
      <c r="H26843" s="49">
        <f t="shared" si="2"/>
        <v>79328</v>
      </c>
    </row>
    <row r="26844">
      <c r="A26844" s="48" t="s">
        <v>8883</v>
      </c>
      <c r="B26844" s="38">
        <v>39299.0</v>
      </c>
      <c r="C26844" s="38" t="s">
        <v>31317</v>
      </c>
      <c r="D26844" s="38" t="str">
        <f>IFERROR(__xludf.DUMMYFUNCTION("REGEXREPLACE(C26844,""-\d+(.*)|--\d+(.*)"","""")"),"LONGWY-SUR-LE-DOUBS")</f>
        <v>LONGWY-SUR-LE-DOUBS</v>
      </c>
      <c r="E26844" s="38" t="s">
        <v>400</v>
      </c>
      <c r="F26844" s="38" t="s">
        <v>214</v>
      </c>
      <c r="G26844" s="49" t="str">
        <f t="shared" si="1"/>
        <v>39120</v>
      </c>
      <c r="H26844" s="49">
        <f t="shared" si="2"/>
        <v>39299</v>
      </c>
    </row>
    <row r="26845">
      <c r="A26845" s="48" t="s">
        <v>31318</v>
      </c>
      <c r="B26845" s="38">
        <v>95523.0</v>
      </c>
      <c r="C26845" s="38" t="s">
        <v>31319</v>
      </c>
      <c r="D26845" s="38" t="str">
        <f>IFERROR(__xludf.DUMMYFUNCTION("REGEXREPLACE(C26845,""-\d+(.*)|--\d+(.*)"","""")"),"LA ROCHE-GUYON")</f>
        <v>LA ROCHE-GUYON</v>
      </c>
      <c r="E26845" s="38" t="s">
        <v>541</v>
      </c>
      <c r="F26845" s="38" t="s">
        <v>245</v>
      </c>
      <c r="G26845" s="49" t="str">
        <f t="shared" si="1"/>
        <v>95780</v>
      </c>
      <c r="H26845" s="49">
        <f t="shared" si="2"/>
        <v>95523</v>
      </c>
    </row>
    <row r="26846">
      <c r="A26846" s="48" t="s">
        <v>10334</v>
      </c>
      <c r="B26846" s="38">
        <v>68331.0</v>
      </c>
      <c r="C26846" s="38" t="s">
        <v>31320</v>
      </c>
      <c r="D26846" s="38" t="str">
        <f>IFERROR(__xludf.DUMMYFUNCTION("REGEXREPLACE(C26846,""-\d+(.*)|--\d+(.*)"","""")"),"SUNDHOFFEN")</f>
        <v>SUNDHOFFEN</v>
      </c>
      <c r="E26846" s="38" t="s">
        <v>150</v>
      </c>
      <c r="F26846" s="38" t="s">
        <v>151</v>
      </c>
      <c r="G26846" s="49" t="str">
        <f t="shared" si="1"/>
        <v>68280</v>
      </c>
      <c r="H26846" s="49">
        <f t="shared" si="2"/>
        <v>68331</v>
      </c>
    </row>
    <row r="26847">
      <c r="A26847" s="48" t="s">
        <v>796</v>
      </c>
      <c r="B26847" s="38">
        <v>89418.0</v>
      </c>
      <c r="C26847" s="38" t="s">
        <v>31321</v>
      </c>
      <c r="D26847" s="38" t="str">
        <f>IFERROR(__xludf.DUMMYFUNCTION("REGEXREPLACE(C26847,""-\d+(.*)|--\d+(.*)"","""")"),"TONNERRE")</f>
        <v>TONNERRE</v>
      </c>
      <c r="E26847" s="38" t="s">
        <v>275</v>
      </c>
      <c r="F26847" s="38" t="s">
        <v>106</v>
      </c>
      <c r="G26847" s="49" t="str">
        <f t="shared" si="1"/>
        <v>89700</v>
      </c>
      <c r="H26847" s="49">
        <f t="shared" si="2"/>
        <v>89418</v>
      </c>
    </row>
    <row r="26848">
      <c r="A26848" s="48" t="s">
        <v>14167</v>
      </c>
      <c r="B26848" s="38">
        <v>30311.0</v>
      </c>
      <c r="C26848" s="38" t="s">
        <v>31322</v>
      </c>
      <c r="D26848" s="38" t="str">
        <f>IFERROR(__xludf.DUMMYFUNCTION("REGEXREPLACE(C26848,""-\d+(.*)|--\d+(.*)"","""")"),"SAUVE")</f>
        <v>SAUVE</v>
      </c>
      <c r="E26848" s="38" t="s">
        <v>526</v>
      </c>
      <c r="F26848" s="38" t="s">
        <v>119</v>
      </c>
      <c r="G26848" s="49" t="str">
        <f t="shared" si="1"/>
        <v>30610</v>
      </c>
      <c r="H26848" s="49">
        <f t="shared" si="2"/>
        <v>30311</v>
      </c>
    </row>
    <row r="26849">
      <c r="A26849" s="48" t="s">
        <v>2809</v>
      </c>
      <c r="B26849" s="38">
        <v>77221.0</v>
      </c>
      <c r="C26849" s="38" t="s">
        <v>31323</v>
      </c>
      <c r="D26849" s="38" t="str">
        <f>IFERROR(__xludf.DUMMYFUNCTION("REGEXREPLACE(C26849,""-\d+(.*)|--\d+(.*)"","""")"),"GUERMANTES")</f>
        <v>GUERMANTES</v>
      </c>
      <c r="E26849" s="38" t="s">
        <v>244</v>
      </c>
      <c r="F26849" s="38" t="s">
        <v>245</v>
      </c>
      <c r="G26849" s="49" t="str">
        <f t="shared" si="1"/>
        <v>77600</v>
      </c>
      <c r="H26849" s="49">
        <f t="shared" si="2"/>
        <v>77221</v>
      </c>
    </row>
    <row r="26850">
      <c r="A26850" s="48" t="s">
        <v>13409</v>
      </c>
      <c r="B26850" s="38">
        <v>35337.0</v>
      </c>
      <c r="C26850" s="38" t="s">
        <v>31324</v>
      </c>
      <c r="D26850" s="38" t="str">
        <f>IFERROR(__xludf.DUMMYFUNCTION("REGEXREPLACE(C26850,""-\d+(.*)|--\d+(.*)"","""")"),"TINTENIAC")</f>
        <v>TINTENIAC</v>
      </c>
      <c r="E26850" s="38" t="s">
        <v>347</v>
      </c>
      <c r="F26850" s="38" t="s">
        <v>90</v>
      </c>
      <c r="G26850" s="49" t="str">
        <f t="shared" si="1"/>
        <v>35190</v>
      </c>
      <c r="H26850" s="49">
        <f t="shared" si="2"/>
        <v>35337</v>
      </c>
    </row>
    <row r="26851">
      <c r="A26851" s="48" t="s">
        <v>5417</v>
      </c>
      <c r="B26851" s="38">
        <v>24520.0</v>
      </c>
      <c r="C26851" s="38" t="s">
        <v>31325</v>
      </c>
      <c r="D26851" s="38" t="str">
        <f>IFERROR(__xludf.DUMMYFUNCTION("REGEXREPLACE(C26851,""-\d+(.*)|--\d+(.*)"","""")"),"SARLAT-LA-CANEDA")</f>
        <v>SARLAT-LA-CANEDA</v>
      </c>
      <c r="E26851" s="38" t="s">
        <v>261</v>
      </c>
      <c r="F26851" s="38" t="s">
        <v>252</v>
      </c>
      <c r="G26851" s="49" t="str">
        <f t="shared" si="1"/>
        <v>24200</v>
      </c>
      <c r="H26851" s="49">
        <f t="shared" si="2"/>
        <v>24520</v>
      </c>
    </row>
    <row r="26852">
      <c r="A26852" s="48" t="s">
        <v>715</v>
      </c>
      <c r="B26852" s="38">
        <v>88187.0</v>
      </c>
      <c r="C26852" s="38" t="s">
        <v>2589</v>
      </c>
      <c r="D26852" s="38" t="str">
        <f>IFERROR(__xludf.DUMMYFUNCTION("REGEXREPLACE(C26852,""-\d+(.*)|--\d+(.*)"","""")"),"FRENOIS")</f>
        <v>FRENOIS</v>
      </c>
      <c r="E26852" s="38" t="s">
        <v>194</v>
      </c>
      <c r="F26852" s="38" t="s">
        <v>195</v>
      </c>
      <c r="G26852" s="49" t="str">
        <f t="shared" si="1"/>
        <v>88270</v>
      </c>
      <c r="H26852" s="49">
        <f t="shared" si="2"/>
        <v>88187</v>
      </c>
    </row>
    <row r="26853">
      <c r="A26853" s="48" t="s">
        <v>898</v>
      </c>
      <c r="B26853" s="38">
        <v>54212.0</v>
      </c>
      <c r="C26853" s="38" t="s">
        <v>31326</v>
      </c>
      <c r="D26853" s="38" t="str">
        <f>IFERROR(__xludf.DUMMYFUNCTION("REGEXREPLACE(C26853,""-\d+(.*)|--\d+(.*)"","""")"),"FRESNOIS-LA-MONTAGNE")</f>
        <v>FRESNOIS-LA-MONTAGNE</v>
      </c>
      <c r="E26853" s="38" t="s">
        <v>548</v>
      </c>
      <c r="F26853" s="38" t="s">
        <v>195</v>
      </c>
      <c r="G26853" s="49" t="str">
        <f t="shared" si="1"/>
        <v>54260</v>
      </c>
      <c r="H26853" s="49">
        <f t="shared" si="2"/>
        <v>54212</v>
      </c>
    </row>
    <row r="26854">
      <c r="A26854" s="48" t="s">
        <v>7399</v>
      </c>
      <c r="B26854" s="38">
        <v>28192.0</v>
      </c>
      <c r="C26854" s="38" t="s">
        <v>31327</v>
      </c>
      <c r="D26854" s="38" t="str">
        <f>IFERROR(__xludf.DUMMYFUNCTION("REGEXREPLACE(C26854,""-\d+(.*)|--\d+(.*)"","""")"),"HAPPONVILLIERS")</f>
        <v>HAPPONVILLIERS</v>
      </c>
      <c r="E26854" s="38" t="s">
        <v>300</v>
      </c>
      <c r="F26854" s="38" t="s">
        <v>123</v>
      </c>
      <c r="G26854" s="49" t="str">
        <f t="shared" si="1"/>
        <v>28480</v>
      </c>
      <c r="H26854" s="49">
        <f t="shared" si="2"/>
        <v>28192</v>
      </c>
    </row>
    <row r="26855">
      <c r="A26855" s="48" t="s">
        <v>4870</v>
      </c>
      <c r="B26855" s="38">
        <v>85212.0</v>
      </c>
      <c r="C26855" s="38" t="s">
        <v>31328</v>
      </c>
      <c r="D26855" s="38" t="str">
        <f>IFERROR(__xludf.DUMMYFUNCTION("REGEXREPLACE(C26855,""-\d+(.*)|--\d+(.*)"","""")"),"SAINTE-FLORENCE")</f>
        <v>SAINTE-FLORENCE</v>
      </c>
      <c r="E26855" s="38" t="s">
        <v>179</v>
      </c>
      <c r="F26855" s="38" t="s">
        <v>180</v>
      </c>
      <c r="G26855" s="49" t="str">
        <f t="shared" si="1"/>
        <v>85140</v>
      </c>
      <c r="H26855" s="49">
        <f t="shared" si="2"/>
        <v>85212</v>
      </c>
    </row>
    <row r="26856">
      <c r="A26856" s="48" t="s">
        <v>2833</v>
      </c>
      <c r="B26856" s="38">
        <v>77428.0</v>
      </c>
      <c r="C26856" s="38" t="s">
        <v>31329</v>
      </c>
      <c r="D26856" s="38" t="str">
        <f>IFERROR(__xludf.DUMMYFUNCTION("REGEXREPLACE(C26856,""-\d+(.*)|--\d+(.*)"","""")"),"SAINT-OUEN-EN-BRIE")</f>
        <v>SAINT-OUEN-EN-BRIE</v>
      </c>
      <c r="E26856" s="38" t="s">
        <v>244</v>
      </c>
      <c r="F26856" s="38" t="s">
        <v>245</v>
      </c>
      <c r="G26856" s="49" t="str">
        <f t="shared" si="1"/>
        <v>77720</v>
      </c>
      <c r="H26856" s="49">
        <f t="shared" si="2"/>
        <v>77428</v>
      </c>
    </row>
    <row r="26857">
      <c r="A26857" s="48" t="s">
        <v>3566</v>
      </c>
      <c r="B26857" s="38">
        <v>3046.0</v>
      </c>
      <c r="C26857" s="38" t="s">
        <v>31330</v>
      </c>
      <c r="D26857" s="38" t="str">
        <f>IFERROR(__xludf.DUMMYFUNCTION("REGEXREPLACE(C26857,""-\d+(.*)|--\d+(.*)"","""")"),"BUXIERES-LES-MINES")</f>
        <v>BUXIERES-LES-MINES</v>
      </c>
      <c r="E26857" s="38" t="s">
        <v>160</v>
      </c>
      <c r="F26857" s="38" t="s">
        <v>161</v>
      </c>
      <c r="G26857" s="49" t="str">
        <f t="shared" si="1"/>
        <v>03440</v>
      </c>
      <c r="H26857" s="49" t="str">
        <f t="shared" si="2"/>
        <v>03046</v>
      </c>
    </row>
    <row r="26858">
      <c r="A26858" s="48" t="s">
        <v>4661</v>
      </c>
      <c r="B26858" s="38">
        <v>62803.0</v>
      </c>
      <c r="C26858" s="38" t="s">
        <v>31331</v>
      </c>
      <c r="D26858" s="38" t="str">
        <f>IFERROR(__xludf.DUMMYFUNCTION("REGEXREPLACE(C26858,""-\d+(.*)|--\d+(.*)"","""")"),"SURQUES")</f>
        <v>SURQUES</v>
      </c>
      <c r="E26858" s="38" t="s">
        <v>109</v>
      </c>
      <c r="F26858" s="38" t="s">
        <v>86</v>
      </c>
      <c r="G26858" s="49" t="str">
        <f t="shared" si="1"/>
        <v>62850</v>
      </c>
      <c r="H26858" s="49">
        <f t="shared" si="2"/>
        <v>62803</v>
      </c>
    </row>
    <row r="26859">
      <c r="A26859" s="48" t="s">
        <v>9621</v>
      </c>
      <c r="B26859" s="38">
        <v>43082.0</v>
      </c>
      <c r="C26859" s="38" t="s">
        <v>31332</v>
      </c>
      <c r="D26859" s="38" t="str">
        <f>IFERROR(__xludf.DUMMYFUNCTION("REGEXREPLACE(C26859,""-\d+(.*)|--\d+(.*)"","""")"),"CRONCE")</f>
        <v>CRONCE</v>
      </c>
      <c r="E26859" s="38" t="s">
        <v>332</v>
      </c>
      <c r="F26859" s="38" t="s">
        <v>161</v>
      </c>
      <c r="G26859" s="49" t="str">
        <f t="shared" si="1"/>
        <v>43300</v>
      </c>
      <c r="H26859" s="49">
        <f t="shared" si="2"/>
        <v>43082</v>
      </c>
    </row>
    <row r="26860">
      <c r="A26860" s="48" t="s">
        <v>5302</v>
      </c>
      <c r="B26860" s="38">
        <v>14611.0</v>
      </c>
      <c r="C26860" s="38" t="s">
        <v>31333</v>
      </c>
      <c r="D26860" s="38" t="str">
        <f>IFERROR(__xludf.DUMMYFUNCTION("REGEXREPLACE(C26860,""-\d+(.*)|--\d+(.*)"","""")"),"SAINT-MANVIEU-BOCAGE")</f>
        <v>SAINT-MANVIEU-BOCAGE</v>
      </c>
      <c r="E26860" s="38" t="s">
        <v>137</v>
      </c>
      <c r="F26860" s="38" t="s">
        <v>138</v>
      </c>
      <c r="G26860" s="49" t="str">
        <f t="shared" si="1"/>
        <v>14380</v>
      </c>
      <c r="H26860" s="49">
        <f t="shared" si="2"/>
        <v>14611</v>
      </c>
    </row>
    <row r="26861">
      <c r="A26861" s="48" t="s">
        <v>4775</v>
      </c>
      <c r="B26861" s="38">
        <v>12070.0</v>
      </c>
      <c r="C26861" s="38" t="s">
        <v>31334</v>
      </c>
      <c r="D26861" s="38" t="str">
        <f>IFERROR(__xludf.DUMMYFUNCTION("REGEXREPLACE(C26861,""-\d+(.*)|--\d+(.*)"","""")"),"COMPEYRE")</f>
        <v>COMPEYRE</v>
      </c>
      <c r="E26861" s="38" t="s">
        <v>465</v>
      </c>
      <c r="F26861" s="38" t="s">
        <v>94</v>
      </c>
      <c r="G26861" s="49" t="str">
        <f t="shared" si="1"/>
        <v>12520</v>
      </c>
      <c r="H26861" s="49">
        <f t="shared" si="2"/>
        <v>12070</v>
      </c>
    </row>
    <row r="26862">
      <c r="A26862" s="48" t="s">
        <v>17847</v>
      </c>
      <c r="B26862" s="38" t="s">
        <v>31335</v>
      </c>
      <c r="C26862" s="38" t="s">
        <v>31336</v>
      </c>
      <c r="D26862" s="38" t="str">
        <f>IFERROR(__xludf.DUMMYFUNCTION("REGEXREPLACE(C26862,""-\d+(.*)|--\d+(.*)"","""")"),"AFA")</f>
        <v>AFA</v>
      </c>
      <c r="E26862" s="38" t="s">
        <v>606</v>
      </c>
      <c r="F26862" s="38" t="s">
        <v>607</v>
      </c>
      <c r="G26862" s="49" t="str">
        <f t="shared" si="1"/>
        <v>20167</v>
      </c>
      <c r="H26862" s="49" t="str">
        <f t="shared" si="2"/>
        <v>2A001</v>
      </c>
    </row>
    <row r="26863">
      <c r="A26863" s="48" t="s">
        <v>1588</v>
      </c>
      <c r="B26863" s="38">
        <v>9141.0</v>
      </c>
      <c r="C26863" s="38" t="s">
        <v>31337</v>
      </c>
      <c r="D26863" s="38" t="str">
        <f>IFERROR(__xludf.DUMMYFUNCTION("REGEXREPLACE(C26863,""-\d+(.*)|--\d+(.*)"","""")"),"ILLARTEIN")</f>
        <v>ILLARTEIN</v>
      </c>
      <c r="E26863" s="38" t="s">
        <v>238</v>
      </c>
      <c r="F26863" s="38" t="s">
        <v>94</v>
      </c>
      <c r="G26863" s="49" t="str">
        <f t="shared" si="1"/>
        <v>09800</v>
      </c>
      <c r="H26863" s="49" t="str">
        <f t="shared" si="2"/>
        <v>09141</v>
      </c>
    </row>
    <row r="26864">
      <c r="A26864" s="48" t="s">
        <v>11370</v>
      </c>
      <c r="B26864" s="38">
        <v>26059.0</v>
      </c>
      <c r="C26864" s="38" t="s">
        <v>31338</v>
      </c>
      <c r="D26864" s="38" t="str">
        <f>IFERROR(__xludf.DUMMYFUNCTION("REGEXREPLACE(C26864,""-\d+(.*)|--\d+(.*)"","""")"),"BOUVANTE")</f>
        <v>BOUVANTE</v>
      </c>
      <c r="E26864" s="38" t="s">
        <v>126</v>
      </c>
      <c r="F26864" s="38" t="s">
        <v>102</v>
      </c>
      <c r="G26864" s="49" t="str">
        <f t="shared" si="1"/>
        <v>26190</v>
      </c>
      <c r="H26864" s="49">
        <f t="shared" si="2"/>
        <v>26059</v>
      </c>
    </row>
    <row r="26865">
      <c r="A26865" s="48" t="s">
        <v>12300</v>
      </c>
      <c r="B26865" s="38">
        <v>37108.0</v>
      </c>
      <c r="C26865" s="38" t="s">
        <v>31339</v>
      </c>
      <c r="D26865" s="38" t="str">
        <f>IFERROR(__xludf.DUMMYFUNCTION("REGEXREPLACE(C26865,""-\d+(.*)|--\d+(.*)"","""")"),"FERRIERE-SUR-BEAULIEU")</f>
        <v>FERRIERE-SUR-BEAULIEU</v>
      </c>
      <c r="E26865" s="38" t="s">
        <v>205</v>
      </c>
      <c r="F26865" s="38" t="s">
        <v>123</v>
      </c>
      <c r="G26865" s="49" t="str">
        <f t="shared" si="1"/>
        <v>37600</v>
      </c>
      <c r="H26865" s="49">
        <f t="shared" si="2"/>
        <v>37108</v>
      </c>
    </row>
    <row r="26866">
      <c r="A26866" s="48" t="s">
        <v>2176</v>
      </c>
      <c r="B26866" s="38">
        <v>62348.0</v>
      </c>
      <c r="C26866" s="38" t="s">
        <v>31340</v>
      </c>
      <c r="D26866" s="38" t="str">
        <f>IFERROR(__xludf.DUMMYFUNCTION("REGEXREPLACE(C26866,""-\d+(.*)|--\d+(.*)"","""")"),"FOUFFLIN-RICAMETZ")</f>
        <v>FOUFFLIN-RICAMETZ</v>
      </c>
      <c r="E26866" s="38" t="s">
        <v>109</v>
      </c>
      <c r="F26866" s="38" t="s">
        <v>86</v>
      </c>
      <c r="G26866" s="49" t="str">
        <f t="shared" si="1"/>
        <v>62130</v>
      </c>
      <c r="H26866" s="49">
        <f t="shared" si="2"/>
        <v>62348</v>
      </c>
    </row>
    <row r="26867">
      <c r="A26867" s="48" t="s">
        <v>1300</v>
      </c>
      <c r="B26867" s="38">
        <v>60036.0</v>
      </c>
      <c r="C26867" s="38" t="s">
        <v>31341</v>
      </c>
      <c r="D26867" s="38" t="str">
        <f>IFERROR(__xludf.DUMMYFUNCTION("REGEXREPLACE(C26867,""-\d+(.*)|--\d+(.*)"","""")"),"AVRIGNY")</f>
        <v>AVRIGNY</v>
      </c>
      <c r="E26867" s="38" t="s">
        <v>112</v>
      </c>
      <c r="F26867" s="38" t="s">
        <v>113</v>
      </c>
      <c r="G26867" s="49" t="str">
        <f t="shared" si="1"/>
        <v>60190</v>
      </c>
      <c r="H26867" s="49">
        <f t="shared" si="2"/>
        <v>60036</v>
      </c>
    </row>
    <row r="26868">
      <c r="A26868" s="48" t="s">
        <v>1063</v>
      </c>
      <c r="B26868" s="38" t="s">
        <v>31342</v>
      </c>
      <c r="C26868" s="38" t="s">
        <v>31343</v>
      </c>
      <c r="D26868" s="38" t="str">
        <f>IFERROR(__xludf.DUMMYFUNCTION("REGEXREPLACE(C26868,""-\d+(.*)|--\d+(.*)"","""")"),"MORSIGLIA")</f>
        <v>MORSIGLIA</v>
      </c>
      <c r="E26868" s="38" t="s">
        <v>743</v>
      </c>
      <c r="F26868" s="38" t="s">
        <v>607</v>
      </c>
      <c r="G26868" s="49" t="str">
        <f t="shared" si="1"/>
        <v>20238</v>
      </c>
      <c r="H26868" s="49" t="str">
        <f t="shared" si="2"/>
        <v>2B170</v>
      </c>
    </row>
    <row r="26869">
      <c r="A26869" s="48" t="s">
        <v>9018</v>
      </c>
      <c r="B26869" s="38">
        <v>27519.0</v>
      </c>
      <c r="C26869" s="38" t="s">
        <v>31344</v>
      </c>
      <c r="D26869" s="38" t="str">
        <f>IFERROR(__xludf.DUMMYFUNCTION("REGEXREPLACE(C26869,""-\d+(.*)|--\d+(.*)"","""")"),"SAINTE-BARBE-SUR-GAILLON")</f>
        <v>SAINTE-BARBE-SUR-GAILLON</v>
      </c>
      <c r="E26869" s="38" t="s">
        <v>241</v>
      </c>
      <c r="F26869" s="38" t="s">
        <v>134</v>
      </c>
      <c r="G26869" s="49" t="str">
        <f t="shared" si="1"/>
        <v>27600</v>
      </c>
      <c r="H26869" s="49">
        <f t="shared" si="2"/>
        <v>27519</v>
      </c>
    </row>
    <row r="26870">
      <c r="A26870" s="48" t="s">
        <v>4018</v>
      </c>
      <c r="B26870" s="38">
        <v>55069.0</v>
      </c>
      <c r="C26870" s="38" t="s">
        <v>31345</v>
      </c>
      <c r="D26870" s="38" t="str">
        <f>IFERROR(__xludf.DUMMYFUNCTION("REGEXREPLACE(C26870,""-\d+(.*)|--\d+(.*)"","""")"),"BRABANT-LE-ROI")</f>
        <v>BRABANT-LE-ROI</v>
      </c>
      <c r="E26870" s="38" t="s">
        <v>322</v>
      </c>
      <c r="F26870" s="38" t="s">
        <v>195</v>
      </c>
      <c r="G26870" s="49" t="str">
        <f t="shared" si="1"/>
        <v>55800</v>
      </c>
      <c r="H26870" s="49">
        <f t="shared" si="2"/>
        <v>55069</v>
      </c>
    </row>
    <row r="26871">
      <c r="A26871" s="48" t="s">
        <v>11009</v>
      </c>
      <c r="B26871" s="38">
        <v>33309.0</v>
      </c>
      <c r="C26871" s="38" t="s">
        <v>31346</v>
      </c>
      <c r="D26871" s="38" t="str">
        <f>IFERROR(__xludf.DUMMYFUNCTION("REGEXREPLACE(C26871,""-\d+(.*)|--\d+(.*)"","""")"),"ORDONNAC")</f>
        <v>ORDONNAC</v>
      </c>
      <c r="E26871" s="38" t="s">
        <v>462</v>
      </c>
      <c r="F26871" s="38" t="s">
        <v>252</v>
      </c>
      <c r="G26871" s="49" t="str">
        <f t="shared" si="1"/>
        <v>33340</v>
      </c>
      <c r="H26871" s="49">
        <f t="shared" si="2"/>
        <v>33309</v>
      </c>
    </row>
    <row r="26872">
      <c r="A26872" s="48" t="s">
        <v>910</v>
      </c>
      <c r="B26872" s="38">
        <v>32098.0</v>
      </c>
      <c r="C26872" s="38" t="s">
        <v>31347</v>
      </c>
      <c r="D26872" s="38" t="str">
        <f>IFERROR(__xludf.DUMMYFUNCTION("REGEXREPLACE(C26872,""-\d+(.*)|--\d+(.*)"","""")"),"CAZAUX-SAVES")</f>
        <v>CAZAUX-SAVES</v>
      </c>
      <c r="E26872" s="38" t="s">
        <v>440</v>
      </c>
      <c r="F26872" s="38" t="s">
        <v>94</v>
      </c>
      <c r="G26872" s="49" t="str">
        <f t="shared" si="1"/>
        <v>32130</v>
      </c>
      <c r="H26872" s="49">
        <f t="shared" si="2"/>
        <v>32098</v>
      </c>
    </row>
    <row r="26873">
      <c r="A26873" s="48" t="s">
        <v>1900</v>
      </c>
      <c r="B26873" s="38">
        <v>45027.0</v>
      </c>
      <c r="C26873" s="38" t="s">
        <v>31348</v>
      </c>
      <c r="D26873" s="38" t="str">
        <f>IFERROR(__xludf.DUMMYFUNCTION("REGEXREPLACE(C26873,""-\d+(.*)|--\d+(.*)"","""")"),"BEAUCHAMPS-SUR-HUILLARD")</f>
        <v>BEAUCHAMPS-SUR-HUILLARD</v>
      </c>
      <c r="E26873" s="38" t="s">
        <v>122</v>
      </c>
      <c r="F26873" s="38" t="s">
        <v>123</v>
      </c>
      <c r="G26873" s="49" t="str">
        <f t="shared" si="1"/>
        <v>45270</v>
      </c>
      <c r="H26873" s="49">
        <f t="shared" si="2"/>
        <v>45027</v>
      </c>
    </row>
    <row r="26874">
      <c r="A26874" s="48" t="s">
        <v>14454</v>
      </c>
      <c r="B26874" s="38">
        <v>14657.0</v>
      </c>
      <c r="C26874" s="38" t="s">
        <v>31349</v>
      </c>
      <c r="D26874" s="38" t="str">
        <f>IFERROR(__xludf.DUMMYFUNCTION("REGEXREPLACE(C26874,""-\d+(.*)|--\d+(.*)"","""")"),"SAINT-SAMSON")</f>
        <v>SAINT-SAMSON</v>
      </c>
      <c r="E26874" s="38" t="s">
        <v>137</v>
      </c>
      <c r="F26874" s="38" t="s">
        <v>138</v>
      </c>
      <c r="G26874" s="49" t="str">
        <f t="shared" si="1"/>
        <v>14670</v>
      </c>
      <c r="H26874" s="49">
        <f t="shared" si="2"/>
        <v>14657</v>
      </c>
    </row>
    <row r="26875">
      <c r="A26875" s="48" t="s">
        <v>13405</v>
      </c>
      <c r="B26875" s="38">
        <v>28310.0</v>
      </c>
      <c r="C26875" s="38" t="s">
        <v>31350</v>
      </c>
      <c r="D26875" s="38" t="str">
        <f>IFERROR(__xludf.DUMMYFUNCTION("REGEXREPLACE(C26875,""-\d+(.*)|--\d+(.*)"","""")"),"LA PUISAYE")</f>
        <v>LA PUISAYE</v>
      </c>
      <c r="E26875" s="38" t="s">
        <v>300</v>
      </c>
      <c r="F26875" s="38" t="s">
        <v>123</v>
      </c>
      <c r="G26875" s="49" t="str">
        <f t="shared" si="1"/>
        <v>28250</v>
      </c>
      <c r="H26875" s="49">
        <f t="shared" si="2"/>
        <v>28310</v>
      </c>
    </row>
    <row r="26876">
      <c r="A26876" s="48" t="s">
        <v>7192</v>
      </c>
      <c r="B26876" s="38">
        <v>61059.0</v>
      </c>
      <c r="C26876" s="38" t="s">
        <v>31351</v>
      </c>
      <c r="D26876" s="38" t="str">
        <f>IFERROR(__xludf.DUMMYFUNCTION("REGEXREPLACE(C26876,""-\d+(.*)|--\d+(.*)"","""")"),"BRESOLETTES")</f>
        <v>BRESOLETTES</v>
      </c>
      <c r="E26876" s="38" t="s">
        <v>141</v>
      </c>
      <c r="F26876" s="38" t="s">
        <v>138</v>
      </c>
      <c r="G26876" s="49" t="str">
        <f t="shared" si="1"/>
        <v>61190</v>
      </c>
      <c r="H26876" s="49">
        <f t="shared" si="2"/>
        <v>61059</v>
      </c>
    </row>
    <row r="26877">
      <c r="A26877" s="48" t="s">
        <v>18392</v>
      </c>
      <c r="B26877" s="38">
        <v>63065.0</v>
      </c>
      <c r="C26877" s="38" t="s">
        <v>31352</v>
      </c>
      <c r="D26877" s="38" t="str">
        <f>IFERROR(__xludf.DUMMYFUNCTION("REGEXREPLACE(C26877,""-\d+(.*)|--\d+(.*)"","""")"),"CEILLOUX")</f>
        <v>CEILLOUX</v>
      </c>
      <c r="E26877" s="38" t="s">
        <v>353</v>
      </c>
      <c r="F26877" s="38" t="s">
        <v>161</v>
      </c>
      <c r="G26877" s="49" t="str">
        <f t="shared" si="1"/>
        <v>63520</v>
      </c>
      <c r="H26877" s="49">
        <f t="shared" si="2"/>
        <v>63065</v>
      </c>
    </row>
    <row r="26878">
      <c r="A26878" s="48" t="s">
        <v>1582</v>
      </c>
      <c r="B26878" s="38">
        <v>45174.0</v>
      </c>
      <c r="C26878" s="38" t="s">
        <v>31353</v>
      </c>
      <c r="D26878" s="38" t="str">
        <f>IFERROR(__xludf.DUMMYFUNCTION("REGEXREPLACE(C26878,""-\d+(.*)|--\d+(.*)"","""")"),"JOUY-EN-PITHIVERAIS")</f>
        <v>JOUY-EN-PITHIVERAIS</v>
      </c>
      <c r="E26878" s="38" t="s">
        <v>122</v>
      </c>
      <c r="F26878" s="38" t="s">
        <v>123</v>
      </c>
      <c r="G26878" s="49" t="str">
        <f t="shared" si="1"/>
        <v>45480</v>
      </c>
      <c r="H26878" s="49">
        <f t="shared" si="2"/>
        <v>45174</v>
      </c>
    </row>
    <row r="26879">
      <c r="A26879" s="48" t="s">
        <v>6271</v>
      </c>
      <c r="B26879" s="38">
        <v>66111.0</v>
      </c>
      <c r="C26879" s="38" t="s">
        <v>31354</v>
      </c>
      <c r="D26879" s="38" t="str">
        <f>IFERROR(__xludf.DUMMYFUNCTION("REGEXREPLACE(C26879,""-\d+(.*)|--\d+(.*)"","""")"),"MONTALBA-LE-CHATEAU")</f>
        <v>MONTALBA-LE-CHATEAU</v>
      </c>
      <c r="E26879" s="38" t="s">
        <v>248</v>
      </c>
      <c r="F26879" s="38" t="s">
        <v>119</v>
      </c>
      <c r="G26879" s="49" t="str">
        <f t="shared" si="1"/>
        <v>66130</v>
      </c>
      <c r="H26879" s="49">
        <f t="shared" si="2"/>
        <v>66111</v>
      </c>
    </row>
    <row r="26880">
      <c r="A26880" s="48" t="s">
        <v>1560</v>
      </c>
      <c r="B26880" s="38">
        <v>14403.0</v>
      </c>
      <c r="C26880" s="38" t="s">
        <v>17595</v>
      </c>
      <c r="D26880" s="38" t="str">
        <f>IFERROR(__xludf.DUMMYFUNCTION("REGEXREPLACE(C26880,""-\d+(.*)|--\d+(.*)"","""")"),"MAROLLES")</f>
        <v>MAROLLES</v>
      </c>
      <c r="E26880" s="38" t="s">
        <v>137</v>
      </c>
      <c r="F26880" s="38" t="s">
        <v>138</v>
      </c>
      <c r="G26880" s="49" t="str">
        <f t="shared" si="1"/>
        <v>14100</v>
      </c>
      <c r="H26880" s="49">
        <f t="shared" si="2"/>
        <v>14403</v>
      </c>
    </row>
    <row r="26881">
      <c r="A26881" s="48" t="s">
        <v>31355</v>
      </c>
      <c r="B26881" s="38">
        <v>77083.0</v>
      </c>
      <c r="C26881" s="38" t="s">
        <v>31356</v>
      </c>
      <c r="D26881" s="38" t="str">
        <f>IFERROR(__xludf.DUMMYFUNCTION("REGEXREPLACE(C26881,""-\d+(.*)|--\d+(.*)"","""")"),"CHAMPS-SUR-MARNE")</f>
        <v>CHAMPS-SUR-MARNE</v>
      </c>
      <c r="E26881" s="38" t="s">
        <v>244</v>
      </c>
      <c r="F26881" s="38" t="s">
        <v>245</v>
      </c>
      <c r="G26881" s="49" t="str">
        <f t="shared" si="1"/>
        <v>77420</v>
      </c>
      <c r="H26881" s="49">
        <f t="shared" si="2"/>
        <v>77083</v>
      </c>
    </row>
    <row r="26882">
      <c r="A26882" s="48" t="s">
        <v>4659</v>
      </c>
      <c r="B26882" s="38">
        <v>32076.0</v>
      </c>
      <c r="C26882" s="38" t="s">
        <v>31357</v>
      </c>
      <c r="D26882" s="38" t="str">
        <f>IFERROR(__xludf.DUMMYFUNCTION("REGEXREPLACE(C26882,""-\d+(.*)|--\d+(.*)"","""")"),"CASTELNAU-BARBARENS")</f>
        <v>CASTELNAU-BARBARENS</v>
      </c>
      <c r="E26882" s="38" t="s">
        <v>440</v>
      </c>
      <c r="F26882" s="38" t="s">
        <v>94</v>
      </c>
      <c r="G26882" s="49" t="str">
        <f t="shared" si="1"/>
        <v>32450</v>
      </c>
      <c r="H26882" s="49">
        <f t="shared" si="2"/>
        <v>32076</v>
      </c>
    </row>
    <row r="26883">
      <c r="A26883" s="48" t="s">
        <v>148</v>
      </c>
      <c r="B26883" s="38">
        <v>68027.0</v>
      </c>
      <c r="C26883" s="38" t="s">
        <v>31358</v>
      </c>
      <c r="D26883" s="38" t="str">
        <f>IFERROR(__xludf.DUMMYFUNCTION("REGEXREPLACE(C26883,""-\d+(.*)|--\d+(.*)"","""")"),"BERENTZWILLER")</f>
        <v>BERENTZWILLER</v>
      </c>
      <c r="E26883" s="38" t="s">
        <v>150</v>
      </c>
      <c r="F26883" s="38" t="s">
        <v>151</v>
      </c>
      <c r="G26883" s="49" t="str">
        <f t="shared" si="1"/>
        <v>68130</v>
      </c>
      <c r="H26883" s="49">
        <f t="shared" si="2"/>
        <v>68027</v>
      </c>
    </row>
    <row r="26884">
      <c r="A26884" s="48" t="s">
        <v>5805</v>
      </c>
      <c r="B26884" s="38">
        <v>21579.0</v>
      </c>
      <c r="C26884" s="38" t="s">
        <v>31359</v>
      </c>
      <c r="D26884" s="38" t="str">
        <f>IFERROR(__xludf.DUMMYFUNCTION("REGEXREPLACE(C26884,""-\d+(.*)|--\d+(.*)"","""")"),"SALIVES")</f>
        <v>SALIVES</v>
      </c>
      <c r="E26884" s="38" t="s">
        <v>105</v>
      </c>
      <c r="F26884" s="38" t="s">
        <v>106</v>
      </c>
      <c r="G26884" s="49" t="str">
        <f t="shared" si="1"/>
        <v>21580</v>
      </c>
      <c r="H26884" s="49">
        <f t="shared" si="2"/>
        <v>21579</v>
      </c>
    </row>
    <row r="26885">
      <c r="A26885" s="48" t="s">
        <v>8506</v>
      </c>
      <c r="B26885" s="38">
        <v>79163.0</v>
      </c>
      <c r="C26885" s="38" t="s">
        <v>31360</v>
      </c>
      <c r="D26885" s="38" t="str">
        <f>IFERROR(__xludf.DUMMYFUNCTION("REGEXREPLACE(C26885,""-\d+(.*)|--\d+(.*)"","""")"),"MAIRE-LEVESCAULT")</f>
        <v>MAIRE-LEVESCAULT</v>
      </c>
      <c r="E26885" s="38" t="s">
        <v>337</v>
      </c>
      <c r="F26885" s="38" t="s">
        <v>338</v>
      </c>
      <c r="G26885" s="49" t="str">
        <f t="shared" si="1"/>
        <v>79190</v>
      </c>
      <c r="H26885" s="49">
        <f t="shared" si="2"/>
        <v>79163</v>
      </c>
    </row>
    <row r="26886">
      <c r="A26886" s="48" t="s">
        <v>3252</v>
      </c>
      <c r="B26886" s="38">
        <v>63431.0</v>
      </c>
      <c r="C26886" s="38" t="s">
        <v>31361</v>
      </c>
      <c r="D26886" s="38" t="str">
        <f>IFERROR(__xludf.DUMMYFUNCTION("REGEXREPLACE(C26886,""-\d+(.*)|--\d+(.*)"","""")"),"THIOLIERES")</f>
        <v>THIOLIERES</v>
      </c>
      <c r="E26886" s="38" t="s">
        <v>353</v>
      </c>
      <c r="F26886" s="38" t="s">
        <v>161</v>
      </c>
      <c r="G26886" s="49" t="str">
        <f t="shared" si="1"/>
        <v>63600</v>
      </c>
      <c r="H26886" s="49">
        <f t="shared" si="2"/>
        <v>63431</v>
      </c>
    </row>
    <row r="26887">
      <c r="A26887" s="48" t="s">
        <v>715</v>
      </c>
      <c r="B26887" s="38">
        <v>88508.0</v>
      </c>
      <c r="C26887" s="38" t="s">
        <v>31362</v>
      </c>
      <c r="D26887" s="38" t="str">
        <f>IFERROR(__xludf.DUMMYFUNCTION("REGEXREPLACE(C26887,""-\d+(.*)|--\d+(.*)"","""")"),"VILLE-SUR-ILLON")</f>
        <v>VILLE-SUR-ILLON</v>
      </c>
      <c r="E26887" s="38" t="s">
        <v>194</v>
      </c>
      <c r="F26887" s="38" t="s">
        <v>195</v>
      </c>
      <c r="G26887" s="49" t="str">
        <f t="shared" si="1"/>
        <v>88270</v>
      </c>
      <c r="H26887" s="49">
        <f t="shared" si="2"/>
        <v>88508</v>
      </c>
    </row>
    <row r="26888">
      <c r="A26888" s="48" t="s">
        <v>29730</v>
      </c>
      <c r="B26888" s="38">
        <v>37139.0</v>
      </c>
      <c r="C26888" s="38" t="s">
        <v>31363</v>
      </c>
      <c r="D26888" s="38" t="str">
        <f>IFERROR(__xludf.DUMMYFUNCTION("REGEXREPLACE(C26888,""-\d+(.*)|--\d+(.*)"","""")"),"LUYNES")</f>
        <v>LUYNES</v>
      </c>
      <c r="E26888" s="38" t="s">
        <v>205</v>
      </c>
      <c r="F26888" s="38" t="s">
        <v>123</v>
      </c>
      <c r="G26888" s="49" t="str">
        <f t="shared" si="1"/>
        <v>37230</v>
      </c>
      <c r="H26888" s="49">
        <f t="shared" si="2"/>
        <v>37139</v>
      </c>
    </row>
    <row r="26889">
      <c r="A26889" s="48" t="s">
        <v>2521</v>
      </c>
      <c r="B26889" s="38">
        <v>28408.0</v>
      </c>
      <c r="C26889" s="38" t="s">
        <v>24396</v>
      </c>
      <c r="D26889" s="38" t="str">
        <f>IFERROR(__xludf.DUMMYFUNCTION("REGEXREPLACE(C26889,""-\d+(.*)|--\d+(.*)"","""")"),"VIERVILLE")</f>
        <v>VIERVILLE</v>
      </c>
      <c r="E26889" s="38" t="s">
        <v>300</v>
      </c>
      <c r="F26889" s="38" t="s">
        <v>123</v>
      </c>
      <c r="G26889" s="49" t="str">
        <f t="shared" si="1"/>
        <v>28700</v>
      </c>
      <c r="H26889" s="49">
        <f t="shared" si="2"/>
        <v>28408</v>
      </c>
    </row>
    <row r="26890">
      <c r="A26890" s="48" t="s">
        <v>174</v>
      </c>
      <c r="B26890" s="38">
        <v>29279.0</v>
      </c>
      <c r="C26890" s="38" t="s">
        <v>31364</v>
      </c>
      <c r="D26890" s="38" t="str">
        <f>IFERROR(__xludf.DUMMYFUNCTION("REGEXREPLACE(C26890,""-\d+(.*)|--\d+(.*)"","""")"),"TAULE")</f>
        <v>TAULE</v>
      </c>
      <c r="E26890" s="38" t="s">
        <v>176</v>
      </c>
      <c r="F26890" s="38" t="s">
        <v>90</v>
      </c>
      <c r="G26890" s="49" t="str">
        <f t="shared" si="1"/>
        <v>29670</v>
      </c>
      <c r="H26890" s="49">
        <f t="shared" si="2"/>
        <v>29279</v>
      </c>
    </row>
    <row r="26891">
      <c r="A26891" s="48" t="s">
        <v>7418</v>
      </c>
      <c r="B26891" s="38">
        <v>29036.0</v>
      </c>
      <c r="C26891" s="38" t="s">
        <v>31365</v>
      </c>
      <c r="D26891" s="38" t="str">
        <f>IFERROR(__xludf.DUMMYFUNCTION("REGEXREPLACE(C26891,""-\d+(.*)|--\d+(.*)"","""")"),"COLLOREC")</f>
        <v>COLLOREC</v>
      </c>
      <c r="E26891" s="38" t="s">
        <v>176</v>
      </c>
      <c r="F26891" s="38" t="s">
        <v>90</v>
      </c>
      <c r="G26891" s="49" t="str">
        <f t="shared" si="1"/>
        <v>29530</v>
      </c>
      <c r="H26891" s="49">
        <f t="shared" si="2"/>
        <v>29036</v>
      </c>
    </row>
    <row r="26892">
      <c r="A26892" s="48" t="s">
        <v>10253</v>
      </c>
      <c r="B26892" s="38">
        <v>48010.0</v>
      </c>
      <c r="C26892" s="38" t="s">
        <v>31366</v>
      </c>
      <c r="D26892" s="38" t="str">
        <f>IFERROR(__xludf.DUMMYFUNCTION("REGEXREPLACE(C26892,""-\d+(.*)|--\d+(.*)"","""")"),"AUROUX")</f>
        <v>AUROUX</v>
      </c>
      <c r="E26892" s="38" t="s">
        <v>154</v>
      </c>
      <c r="F26892" s="38" t="s">
        <v>119</v>
      </c>
      <c r="G26892" s="49" t="str">
        <f t="shared" si="1"/>
        <v>48600</v>
      </c>
      <c r="H26892" s="49">
        <f t="shared" si="2"/>
        <v>48010</v>
      </c>
    </row>
    <row r="26893">
      <c r="A26893" s="48" t="s">
        <v>2534</v>
      </c>
      <c r="B26893" s="38">
        <v>27545.0</v>
      </c>
      <c r="C26893" s="38" t="s">
        <v>31367</v>
      </c>
      <c r="D26893" s="38" t="str">
        <f>IFERROR(__xludf.DUMMYFUNCTION("REGEXREPLACE(C26893,""-\d+(.*)|--\d+(.*)"","""")"),"SAINT-GERMAIN-DE-PASQUIER")</f>
        <v>SAINT-GERMAIN-DE-PASQUIER</v>
      </c>
      <c r="E26893" s="38" t="s">
        <v>241</v>
      </c>
      <c r="F26893" s="38" t="s">
        <v>134</v>
      </c>
      <c r="G26893" s="49" t="str">
        <f t="shared" si="1"/>
        <v>27370</v>
      </c>
      <c r="H26893" s="49">
        <f t="shared" si="2"/>
        <v>27545</v>
      </c>
    </row>
    <row r="26894">
      <c r="A26894" s="48" t="s">
        <v>2575</v>
      </c>
      <c r="B26894" s="38">
        <v>91098.0</v>
      </c>
      <c r="C26894" s="38" t="s">
        <v>31368</v>
      </c>
      <c r="D26894" s="38" t="str">
        <f>IFERROR(__xludf.DUMMYFUNCTION("REGEXREPLACE(C26894,""-\d+(.*)|--\d+(.*)"","""")"),"BOUTERVILLIERS")</f>
        <v>BOUTERVILLIERS</v>
      </c>
      <c r="E26894" s="38" t="s">
        <v>756</v>
      </c>
      <c r="F26894" s="38" t="s">
        <v>245</v>
      </c>
      <c r="G26894" s="49" t="str">
        <f t="shared" si="1"/>
        <v>91150</v>
      </c>
      <c r="H26894" s="49">
        <f t="shared" si="2"/>
        <v>91098</v>
      </c>
    </row>
    <row r="26895">
      <c r="A26895" s="48" t="s">
        <v>2949</v>
      </c>
      <c r="B26895" s="38">
        <v>27283.0</v>
      </c>
      <c r="C26895" s="38" t="s">
        <v>31369</v>
      </c>
      <c r="D26895" s="38" t="str">
        <f>IFERROR(__xludf.DUMMYFUNCTION("REGEXREPLACE(C26895,""-\d+(.*)|--\d+(.*)"","""")"),"GISAY-LA-COUDRE")</f>
        <v>GISAY-LA-COUDRE</v>
      </c>
      <c r="E26895" s="38" t="s">
        <v>241</v>
      </c>
      <c r="F26895" s="38" t="s">
        <v>134</v>
      </c>
      <c r="G26895" s="49" t="str">
        <f t="shared" si="1"/>
        <v>27330</v>
      </c>
      <c r="H26895" s="49">
        <f t="shared" si="2"/>
        <v>27283</v>
      </c>
    </row>
    <row r="26896">
      <c r="A26896" s="48" t="s">
        <v>6104</v>
      </c>
      <c r="B26896" s="38">
        <v>95026.0</v>
      </c>
      <c r="C26896" s="38" t="s">
        <v>31370</v>
      </c>
      <c r="D26896" s="38" t="str">
        <f>IFERROR(__xludf.DUMMYFUNCTION("REGEXREPLACE(C26896,""-\d+(.*)|--\d+(.*)"","""")"),"ASNIERES-SUR-OISE")</f>
        <v>ASNIERES-SUR-OISE</v>
      </c>
      <c r="E26896" s="38" t="s">
        <v>541</v>
      </c>
      <c r="F26896" s="38" t="s">
        <v>245</v>
      </c>
      <c r="G26896" s="49" t="str">
        <f t="shared" si="1"/>
        <v>95270</v>
      </c>
      <c r="H26896" s="49">
        <f t="shared" si="2"/>
        <v>95026</v>
      </c>
    </row>
    <row r="26897">
      <c r="A26897" s="48" t="s">
        <v>103</v>
      </c>
      <c r="B26897" s="38">
        <v>21577.0</v>
      </c>
      <c r="C26897" s="38" t="s">
        <v>31371</v>
      </c>
      <c r="D26897" s="38" t="str">
        <f>IFERROR(__xludf.DUMMYFUNCTION("REGEXREPLACE(C26897,""-\d+(.*)|--\d+(.*)"","""")"),"SAINT-USAGE")</f>
        <v>SAINT-USAGE</v>
      </c>
      <c r="E26897" s="38" t="s">
        <v>105</v>
      </c>
      <c r="F26897" s="38" t="s">
        <v>106</v>
      </c>
      <c r="G26897" s="49" t="str">
        <f t="shared" si="1"/>
        <v>21170</v>
      </c>
      <c r="H26897" s="49">
        <f t="shared" si="2"/>
        <v>21577</v>
      </c>
    </row>
    <row r="26898">
      <c r="A26898" s="48" t="s">
        <v>5325</v>
      </c>
      <c r="B26898" s="38">
        <v>60317.0</v>
      </c>
      <c r="C26898" s="38" t="s">
        <v>31372</v>
      </c>
      <c r="D26898" s="38" t="str">
        <f>IFERROR(__xludf.DUMMYFUNCTION("REGEXREPLACE(C26898,""-\d+(.*)|--\d+(.*)"","""")"),"HONDAINVILLE")</f>
        <v>HONDAINVILLE</v>
      </c>
      <c r="E26898" s="38" t="s">
        <v>112</v>
      </c>
      <c r="F26898" s="38" t="s">
        <v>113</v>
      </c>
      <c r="G26898" s="49" t="str">
        <f t="shared" si="1"/>
        <v>60250</v>
      </c>
      <c r="H26898" s="49">
        <f t="shared" si="2"/>
        <v>60317</v>
      </c>
    </row>
    <row r="26899">
      <c r="A26899" s="48" t="s">
        <v>4766</v>
      </c>
      <c r="B26899" s="38">
        <v>64374.0</v>
      </c>
      <c r="C26899" s="38" t="s">
        <v>10143</v>
      </c>
      <c r="D26899" s="38" t="str">
        <f>IFERROR(__xludf.DUMMYFUNCTION("REGEXREPLACE(C26899,""-\d+(.*)|--\d+(.*)"","""")"),"MAZEROLLES")</f>
        <v>MAZEROLLES</v>
      </c>
      <c r="E26899" s="38" t="s">
        <v>268</v>
      </c>
      <c r="F26899" s="38" t="s">
        <v>252</v>
      </c>
      <c r="G26899" s="49" t="str">
        <f t="shared" si="1"/>
        <v>64230</v>
      </c>
      <c r="H26899" s="49">
        <f t="shared" si="2"/>
        <v>64374</v>
      </c>
    </row>
    <row r="26900">
      <c r="A26900" s="48" t="s">
        <v>3344</v>
      </c>
      <c r="B26900" s="38">
        <v>76044.0</v>
      </c>
      <c r="C26900" s="38" t="s">
        <v>31373</v>
      </c>
      <c r="D26900" s="38" t="str">
        <f>IFERROR(__xludf.DUMMYFUNCTION("REGEXREPLACE(C26900,""-\d+(.*)|--\d+(.*)"","""")"),"AUZOUVILLE-AUBERBOSC")</f>
        <v>AUZOUVILLE-AUBERBOSC</v>
      </c>
      <c r="E26900" s="38" t="s">
        <v>133</v>
      </c>
      <c r="F26900" s="38" t="s">
        <v>134</v>
      </c>
      <c r="G26900" s="49" t="str">
        <f t="shared" si="1"/>
        <v>76640</v>
      </c>
      <c r="H26900" s="49">
        <f t="shared" si="2"/>
        <v>76044</v>
      </c>
    </row>
    <row r="26901">
      <c r="A26901" s="48" t="s">
        <v>11242</v>
      </c>
      <c r="B26901" s="38">
        <v>1096.0</v>
      </c>
      <c r="C26901" s="38" t="s">
        <v>31374</v>
      </c>
      <c r="D26901" s="38" t="str">
        <f>IFERROR(__xludf.DUMMYFUNCTION("REGEXREPLACE(C26901,""-\d+(.*)|--\d+(.*)"","""")"),"CHAVEYRIAT")</f>
        <v>CHAVEYRIAT</v>
      </c>
      <c r="E26901" s="38" t="s">
        <v>255</v>
      </c>
      <c r="F26901" s="38" t="s">
        <v>102</v>
      </c>
      <c r="G26901" s="49" t="str">
        <f t="shared" si="1"/>
        <v>01660</v>
      </c>
      <c r="H26901" s="49" t="str">
        <f t="shared" si="2"/>
        <v>01096</v>
      </c>
    </row>
    <row r="26902">
      <c r="A26902" s="48" t="s">
        <v>9844</v>
      </c>
      <c r="B26902" s="38">
        <v>17324.0</v>
      </c>
      <c r="C26902" s="38" t="s">
        <v>31375</v>
      </c>
      <c r="D26902" s="38" t="str">
        <f>IFERROR(__xludf.DUMMYFUNCTION("REGEXREPLACE(C26902,""-\d+(.*)|--\d+(.*)"","""")"),"SAINT-DIZANT-DU-BOIS")</f>
        <v>SAINT-DIZANT-DU-BOIS</v>
      </c>
      <c r="E26902" s="38" t="s">
        <v>488</v>
      </c>
      <c r="F26902" s="38" t="s">
        <v>338</v>
      </c>
      <c r="G26902" s="49" t="str">
        <f t="shared" si="1"/>
        <v>17150</v>
      </c>
      <c r="H26902" s="49">
        <f t="shared" si="2"/>
        <v>17324</v>
      </c>
    </row>
    <row r="26903">
      <c r="A26903" s="48" t="s">
        <v>7218</v>
      </c>
      <c r="B26903" s="38">
        <v>71229.0</v>
      </c>
      <c r="C26903" s="38" t="s">
        <v>31376</v>
      </c>
      <c r="D26903" s="38" t="str">
        <f>IFERROR(__xludf.DUMMYFUNCTION("REGEXREPLACE(C26903,""-\d+(.*)|--\d+(.*)"","""")"),"LES GUERREAUX")</f>
        <v>LES GUERREAUX</v>
      </c>
      <c r="E26903" s="38" t="s">
        <v>344</v>
      </c>
      <c r="F26903" s="38" t="s">
        <v>106</v>
      </c>
      <c r="G26903" s="49" t="str">
        <f t="shared" si="1"/>
        <v>71160</v>
      </c>
      <c r="H26903" s="49">
        <f t="shared" si="2"/>
        <v>71229</v>
      </c>
    </row>
    <row r="26904">
      <c r="A26904" s="48" t="s">
        <v>1137</v>
      </c>
      <c r="B26904" s="38">
        <v>60681.0</v>
      </c>
      <c r="C26904" s="38" t="s">
        <v>31377</v>
      </c>
      <c r="D26904" s="38" t="str">
        <f>IFERROR(__xludf.DUMMYFUNCTION("REGEXREPLACE(C26904,""-\d+(.*)|--\d+(.*)"","""")"),"VILLERS-SAINT-BARTHELEMY")</f>
        <v>VILLERS-SAINT-BARTHELEMY</v>
      </c>
      <c r="E26904" s="38" t="s">
        <v>112</v>
      </c>
      <c r="F26904" s="38" t="s">
        <v>113</v>
      </c>
      <c r="G26904" s="49" t="str">
        <f t="shared" si="1"/>
        <v>60650</v>
      </c>
      <c r="H26904" s="49">
        <f t="shared" si="2"/>
        <v>60681</v>
      </c>
    </row>
    <row r="26905">
      <c r="A26905" s="48" t="s">
        <v>493</v>
      </c>
      <c r="B26905" s="38">
        <v>28329.0</v>
      </c>
      <c r="C26905" s="38" t="s">
        <v>6001</v>
      </c>
      <c r="D26905" s="38" t="str">
        <f>IFERROR(__xludf.DUMMYFUNCTION("REGEXREPLACE(C26905,""-\d+(.*)|--\d+(.*)"","""")"),"SAINT-CHRISTOPHE")</f>
        <v>SAINT-CHRISTOPHE</v>
      </c>
      <c r="E26905" s="38" t="s">
        <v>300</v>
      </c>
      <c r="F26905" s="38" t="s">
        <v>123</v>
      </c>
      <c r="G26905" s="49" t="str">
        <f t="shared" si="1"/>
        <v>28200</v>
      </c>
      <c r="H26905" s="49">
        <f t="shared" si="2"/>
        <v>28329</v>
      </c>
    </row>
    <row r="26906">
      <c r="A26906" s="48" t="s">
        <v>1544</v>
      </c>
      <c r="B26906" s="38">
        <v>2650.0</v>
      </c>
      <c r="C26906" s="38" t="s">
        <v>11653</v>
      </c>
      <c r="D26906" s="38" t="str">
        <f>IFERROR(__xludf.DUMMYFUNCTION("REGEXREPLACE(C26906,""-\d+(.*)|--\d+(.*)"","""")"),"ROCQUIGNY")</f>
        <v>ROCQUIGNY</v>
      </c>
      <c r="E26906" s="38" t="s">
        <v>191</v>
      </c>
      <c r="F26906" s="38" t="s">
        <v>113</v>
      </c>
      <c r="G26906" s="49" t="str">
        <f t="shared" si="1"/>
        <v>02260</v>
      </c>
      <c r="H26906" s="49" t="str">
        <f t="shared" si="2"/>
        <v>02650</v>
      </c>
    </row>
    <row r="26907">
      <c r="A26907" s="48" t="s">
        <v>736</v>
      </c>
      <c r="B26907" s="38">
        <v>57146.0</v>
      </c>
      <c r="C26907" s="38" t="s">
        <v>31378</v>
      </c>
      <c r="D26907" s="38" t="str">
        <f>IFERROR(__xludf.DUMMYFUNCTION("REGEXREPLACE(C26907,""-\d+(.*)|--\d+(.*)"","""")"),"COIN-LES-CUVRY")</f>
        <v>COIN-LES-CUVRY</v>
      </c>
      <c r="E26907" s="38" t="s">
        <v>303</v>
      </c>
      <c r="F26907" s="38" t="s">
        <v>195</v>
      </c>
      <c r="G26907" s="49" t="str">
        <f t="shared" si="1"/>
        <v>57420</v>
      </c>
      <c r="H26907" s="49">
        <f t="shared" si="2"/>
        <v>57146</v>
      </c>
    </row>
    <row r="26908">
      <c r="A26908" s="48" t="s">
        <v>12867</v>
      </c>
      <c r="B26908" s="38">
        <v>38271.0</v>
      </c>
      <c r="C26908" s="38" t="s">
        <v>31379</v>
      </c>
      <c r="D26908" s="38" t="str">
        <f>IFERROR(__xludf.DUMMYFUNCTION("REGEXREPLACE(C26908,""-\d+(.*)|--\d+(.*)"","""")"),"MURIANETTE")</f>
        <v>MURIANETTE</v>
      </c>
      <c r="E26908" s="38" t="s">
        <v>101</v>
      </c>
      <c r="F26908" s="38" t="s">
        <v>102</v>
      </c>
      <c r="G26908" s="49" t="str">
        <f t="shared" si="1"/>
        <v>38420</v>
      </c>
      <c r="H26908" s="49">
        <f t="shared" si="2"/>
        <v>38271</v>
      </c>
    </row>
    <row r="26909">
      <c r="A26909" s="48" t="s">
        <v>3238</v>
      </c>
      <c r="B26909" s="38">
        <v>61406.0</v>
      </c>
      <c r="C26909" s="38" t="s">
        <v>31380</v>
      </c>
      <c r="D26909" s="38" t="str">
        <f>IFERROR(__xludf.DUMMYFUNCTION("REGEXREPLACE(C26909,""-\d+(.*)|--\d+(.*)"","""")"),"SAINT-HILAIRE-SUR-RISLE")</f>
        <v>SAINT-HILAIRE-SUR-RISLE</v>
      </c>
      <c r="E26909" s="38" t="s">
        <v>141</v>
      </c>
      <c r="F26909" s="38" t="s">
        <v>138</v>
      </c>
      <c r="G26909" s="49" t="str">
        <f t="shared" si="1"/>
        <v>61270</v>
      </c>
      <c r="H26909" s="49">
        <f t="shared" si="2"/>
        <v>61406</v>
      </c>
    </row>
    <row r="26910">
      <c r="A26910" s="48" t="s">
        <v>4292</v>
      </c>
      <c r="B26910" s="38">
        <v>74078.0</v>
      </c>
      <c r="C26910" s="38" t="s">
        <v>1167</v>
      </c>
      <c r="D26910" s="38" t="str">
        <f>IFERROR(__xludf.DUMMYFUNCTION("REGEXREPLACE(C26910,""-\d+(.*)|--\d+(.*)"","""")"),"CLERMONT")</f>
        <v>CLERMONT</v>
      </c>
      <c r="E26910" s="38" t="s">
        <v>319</v>
      </c>
      <c r="F26910" s="38" t="s">
        <v>102</v>
      </c>
      <c r="G26910" s="49" t="str">
        <f t="shared" si="1"/>
        <v>74270</v>
      </c>
      <c r="H26910" s="49">
        <f t="shared" si="2"/>
        <v>74078</v>
      </c>
    </row>
    <row r="26911">
      <c r="A26911" s="48" t="s">
        <v>8019</v>
      </c>
      <c r="B26911" s="38">
        <v>53027.0</v>
      </c>
      <c r="C26911" s="38" t="s">
        <v>5635</v>
      </c>
      <c r="D26911" s="38" t="str">
        <f>IFERROR(__xludf.DUMMYFUNCTION("REGEXREPLACE(C26911,""-\d+(.*)|--\d+(.*)"","""")"),"BEAUMONT-PIED-DE-BOEUF")</f>
        <v>BEAUMONT-PIED-DE-BOEUF</v>
      </c>
      <c r="E26911" s="38" t="s">
        <v>518</v>
      </c>
      <c r="F26911" s="38" t="s">
        <v>180</v>
      </c>
      <c r="G26911" s="49" t="str">
        <f t="shared" si="1"/>
        <v>53290</v>
      </c>
      <c r="H26911" s="49">
        <f t="shared" si="2"/>
        <v>53027</v>
      </c>
    </row>
    <row r="26912">
      <c r="A26912" s="48" t="s">
        <v>1089</v>
      </c>
      <c r="B26912" s="38">
        <v>67373.0</v>
      </c>
      <c r="C26912" s="38" t="s">
        <v>31381</v>
      </c>
      <c r="D26912" s="38" t="str">
        <f>IFERROR(__xludf.DUMMYFUNCTION("REGEXREPLACE(C26912,""-\d+(.*)|--\d+(.*)"","""")"),"PFALZWEYER")</f>
        <v>PFALZWEYER</v>
      </c>
      <c r="E26912" s="38" t="s">
        <v>210</v>
      </c>
      <c r="F26912" s="38" t="s">
        <v>151</v>
      </c>
      <c r="G26912" s="49" t="str">
        <f t="shared" si="1"/>
        <v>67320</v>
      </c>
      <c r="H26912" s="49">
        <f t="shared" si="2"/>
        <v>67373</v>
      </c>
    </row>
    <row r="26913">
      <c r="A26913" s="48" t="s">
        <v>17181</v>
      </c>
      <c r="B26913" s="38">
        <v>35268.0</v>
      </c>
      <c r="C26913" s="38" t="s">
        <v>31382</v>
      </c>
      <c r="D26913" s="38" t="str">
        <f>IFERROR(__xludf.DUMMYFUNCTION("REGEXREPLACE(C26913,""-\d+(.*)|--\d+(.*)"","""")"),"SAINT-GANTON")</f>
        <v>SAINT-GANTON</v>
      </c>
      <c r="E26913" s="38" t="s">
        <v>347</v>
      </c>
      <c r="F26913" s="38" t="s">
        <v>90</v>
      </c>
      <c r="G26913" s="49" t="str">
        <f t="shared" si="1"/>
        <v>35550</v>
      </c>
      <c r="H26913" s="49">
        <f t="shared" si="2"/>
        <v>35268</v>
      </c>
    </row>
    <row r="26914">
      <c r="A26914" s="48" t="s">
        <v>1999</v>
      </c>
      <c r="B26914" s="38">
        <v>2515.0</v>
      </c>
      <c r="C26914" s="38" t="s">
        <v>31383</v>
      </c>
      <c r="D26914" s="38" t="str">
        <f>IFERROR(__xludf.DUMMYFUNCTION("REGEXREPLACE(C26914,""-\d+(.*)|--\d+(.*)"","""")"),"MONTIGNY-LES-CONDE")</f>
        <v>MONTIGNY-LES-CONDE</v>
      </c>
      <c r="E26914" s="38" t="s">
        <v>191</v>
      </c>
      <c r="F26914" s="38" t="s">
        <v>113</v>
      </c>
      <c r="G26914" s="49" t="str">
        <f t="shared" si="1"/>
        <v>02330</v>
      </c>
      <c r="H26914" s="49" t="str">
        <f t="shared" si="2"/>
        <v>02515</v>
      </c>
    </row>
    <row r="26915">
      <c r="A26915" s="48" t="s">
        <v>11166</v>
      </c>
      <c r="B26915" s="38">
        <v>55445.0</v>
      </c>
      <c r="C26915" s="38" t="s">
        <v>31384</v>
      </c>
      <c r="D26915" s="38" t="str">
        <f>IFERROR(__xludf.DUMMYFUNCTION("REGEXREPLACE(C26915,""-\d+(.*)|--\d+(.*)"","""")"),"ROUVROIS-SUR-OTHAIN")</f>
        <v>ROUVROIS-SUR-OTHAIN</v>
      </c>
      <c r="E26915" s="38" t="s">
        <v>322</v>
      </c>
      <c r="F26915" s="38" t="s">
        <v>195</v>
      </c>
      <c r="G26915" s="49" t="str">
        <f t="shared" si="1"/>
        <v>55230</v>
      </c>
      <c r="H26915" s="49">
        <f t="shared" si="2"/>
        <v>55445</v>
      </c>
    </row>
    <row r="26916">
      <c r="A26916" s="48" t="s">
        <v>10075</v>
      </c>
      <c r="B26916" s="38">
        <v>56086.0</v>
      </c>
      <c r="C26916" s="38" t="s">
        <v>31385</v>
      </c>
      <c r="D26916" s="38" t="str">
        <f>IFERROR(__xludf.DUMMYFUNCTION("REGEXREPLACE(C26916,""-\d+(.*)|--\d+(.*)"","""")"),"ILE-D'HOUAT")</f>
        <v>ILE-D'HOUAT</v>
      </c>
      <c r="E26916" s="38" t="s">
        <v>173</v>
      </c>
      <c r="F26916" s="38" t="s">
        <v>90</v>
      </c>
      <c r="G26916" s="49" t="str">
        <f t="shared" si="1"/>
        <v>56170</v>
      </c>
      <c r="H26916" s="49">
        <f t="shared" si="2"/>
        <v>56086</v>
      </c>
    </row>
    <row r="26917">
      <c r="A26917" s="48" t="s">
        <v>4659</v>
      </c>
      <c r="B26917" s="38">
        <v>32130.0</v>
      </c>
      <c r="C26917" s="38" t="s">
        <v>31386</v>
      </c>
      <c r="D26917" s="38" t="str">
        <f>IFERROR(__xludf.DUMMYFUNCTION("REGEXREPLACE(C26917,""-\d+(.*)|--\d+(.*)"","""")"),"FAGET-ABBATIAL")</f>
        <v>FAGET-ABBATIAL</v>
      </c>
      <c r="E26917" s="38" t="s">
        <v>440</v>
      </c>
      <c r="F26917" s="38" t="s">
        <v>94</v>
      </c>
      <c r="G26917" s="49" t="str">
        <f t="shared" si="1"/>
        <v>32450</v>
      </c>
      <c r="H26917" s="49">
        <f t="shared" si="2"/>
        <v>32130</v>
      </c>
    </row>
    <row r="26918">
      <c r="A26918" s="48" t="s">
        <v>16706</v>
      </c>
      <c r="B26918" s="38">
        <v>82100.0</v>
      </c>
      <c r="C26918" s="38" t="s">
        <v>31387</v>
      </c>
      <c r="D26918" s="38" t="str">
        <f>IFERROR(__xludf.DUMMYFUNCTION("REGEXREPLACE(C26918,""-\d+(.*)|--\d+(.*)"","""")"),"LOZE")</f>
        <v>LOZE</v>
      </c>
      <c r="E26918" s="38" t="s">
        <v>570</v>
      </c>
      <c r="F26918" s="38" t="s">
        <v>94</v>
      </c>
      <c r="G26918" s="49" t="str">
        <f t="shared" si="1"/>
        <v>82160</v>
      </c>
      <c r="H26918" s="49">
        <f t="shared" si="2"/>
        <v>82100</v>
      </c>
    </row>
    <row r="26919">
      <c r="A26919" s="48" t="s">
        <v>8669</v>
      </c>
      <c r="B26919" s="38">
        <v>50455.0</v>
      </c>
      <c r="C26919" s="38" t="s">
        <v>31388</v>
      </c>
      <c r="D26919" s="38" t="str">
        <f>IFERROR(__xludf.DUMMYFUNCTION("REGEXREPLACE(C26919,""-\d+(.*)|--\d+(.*)"","""")"),"SAINT-CLAIR-SUR-L'ELLE")</f>
        <v>SAINT-CLAIR-SUR-L'ELLE</v>
      </c>
      <c r="E26919" s="38" t="s">
        <v>157</v>
      </c>
      <c r="F26919" s="38" t="s">
        <v>138</v>
      </c>
      <c r="G26919" s="49" t="str">
        <f t="shared" si="1"/>
        <v>50680</v>
      </c>
      <c r="H26919" s="49">
        <f t="shared" si="2"/>
        <v>50455</v>
      </c>
    </row>
    <row r="26920">
      <c r="A26920" s="48" t="s">
        <v>8434</v>
      </c>
      <c r="B26920" s="38">
        <v>41019.0</v>
      </c>
      <c r="C26920" s="38" t="s">
        <v>31389</v>
      </c>
      <c r="D26920" s="38" t="str">
        <f>IFERROR(__xludf.DUMMYFUNCTION("REGEXREPLACE(C26920,""-\d+(.*)|--\d+(.*)"","""")"),"BOISSEAU")</f>
        <v>BOISSEAU</v>
      </c>
      <c r="E26920" s="38" t="s">
        <v>188</v>
      </c>
      <c r="F26920" s="38" t="s">
        <v>123</v>
      </c>
      <c r="G26920" s="49" t="str">
        <f t="shared" si="1"/>
        <v>41290</v>
      </c>
      <c r="H26920" s="49">
        <f t="shared" si="2"/>
        <v>41019</v>
      </c>
    </row>
    <row r="26921">
      <c r="A26921" s="48" t="s">
        <v>25654</v>
      </c>
      <c r="B26921" s="38">
        <v>58189.0</v>
      </c>
      <c r="C26921" s="38" t="s">
        <v>1969</v>
      </c>
      <c r="D26921" s="38" t="str">
        <f>IFERROR(__xludf.DUMMYFUNCTION("REGEXREPLACE(C26921,""-\d+(.*)|--\d+(.*)"","""")"),"NARCY")</f>
        <v>NARCY</v>
      </c>
      <c r="E26921" s="38" t="s">
        <v>219</v>
      </c>
      <c r="F26921" s="38" t="s">
        <v>106</v>
      </c>
      <c r="G26921" s="49" t="str">
        <f t="shared" si="1"/>
        <v>58400</v>
      </c>
      <c r="H26921" s="49">
        <f t="shared" si="2"/>
        <v>58189</v>
      </c>
    </row>
    <row r="26922">
      <c r="A26922" s="48" t="s">
        <v>10657</v>
      </c>
      <c r="B26922" s="38">
        <v>50198.0</v>
      </c>
      <c r="C26922" s="38" t="s">
        <v>31390</v>
      </c>
      <c r="D26922" s="38" t="str">
        <f>IFERROR(__xludf.DUMMYFUNCTION("REGEXREPLACE(C26922,""-\d+(.*)|--\d+(.*)"","""")"),"GEFFOSSES")</f>
        <v>GEFFOSSES</v>
      </c>
      <c r="E26922" s="38" t="s">
        <v>157</v>
      </c>
      <c r="F26922" s="38" t="s">
        <v>138</v>
      </c>
      <c r="G26922" s="49" t="str">
        <f t="shared" si="1"/>
        <v>50560</v>
      </c>
      <c r="H26922" s="49">
        <f t="shared" si="2"/>
        <v>50198</v>
      </c>
    </row>
    <row r="26923">
      <c r="A26923" s="48" t="s">
        <v>4898</v>
      </c>
      <c r="B26923" s="38">
        <v>27683.0</v>
      </c>
      <c r="C26923" s="38" t="s">
        <v>31391</v>
      </c>
      <c r="D26923" s="38" t="str">
        <f>IFERROR(__xludf.DUMMYFUNCTION("REGEXREPLACE(C26923,""-\d+(.*)|--\d+(.*)"","""")"),"VEZILLON")</f>
        <v>VEZILLON</v>
      </c>
      <c r="E26923" s="38" t="s">
        <v>241</v>
      </c>
      <c r="F26923" s="38" t="s">
        <v>134</v>
      </c>
      <c r="G26923" s="49" t="str">
        <f t="shared" si="1"/>
        <v>27700</v>
      </c>
      <c r="H26923" s="49">
        <f t="shared" si="2"/>
        <v>27683</v>
      </c>
    </row>
    <row r="26924">
      <c r="A26924" s="48" t="s">
        <v>301</v>
      </c>
      <c r="B26924" s="38">
        <v>57084.0</v>
      </c>
      <c r="C26924" s="38" t="s">
        <v>31392</v>
      </c>
      <c r="D26924" s="38" t="str">
        <f>IFERROR(__xludf.DUMMYFUNCTION("REGEXREPLACE(C26924,""-\d+(.*)|--\d+(.*)"","""")"),"BIONCOURT")</f>
        <v>BIONCOURT</v>
      </c>
      <c r="E26924" s="38" t="s">
        <v>303</v>
      </c>
      <c r="F26924" s="38" t="s">
        <v>195</v>
      </c>
      <c r="G26924" s="49" t="str">
        <f t="shared" si="1"/>
        <v>57170</v>
      </c>
      <c r="H26924" s="49">
        <f t="shared" si="2"/>
        <v>57084</v>
      </c>
    </row>
    <row r="26925">
      <c r="A26925" s="48" t="s">
        <v>4741</v>
      </c>
      <c r="B26925" s="38">
        <v>56106.0</v>
      </c>
      <c r="C26925" s="38" t="s">
        <v>31393</v>
      </c>
      <c r="D26925" s="38" t="str">
        <f>IFERROR(__xludf.DUMMYFUNCTION("REGEXREPLACE(C26925,""-\d+(.*)|--\d+(.*)"","""")"),"LARMOR-BADEN")</f>
        <v>LARMOR-BADEN</v>
      </c>
      <c r="E26925" s="38" t="s">
        <v>173</v>
      </c>
      <c r="F26925" s="38" t="s">
        <v>90</v>
      </c>
      <c r="G26925" s="49" t="str">
        <f t="shared" si="1"/>
        <v>56870</v>
      </c>
      <c r="H26925" s="49">
        <f t="shared" si="2"/>
        <v>56106</v>
      </c>
    </row>
    <row r="26926">
      <c r="A26926" s="48" t="s">
        <v>1435</v>
      </c>
      <c r="B26926" s="38">
        <v>14032.0</v>
      </c>
      <c r="C26926" s="38" t="s">
        <v>31394</v>
      </c>
      <c r="D26926" s="38" t="str">
        <f>IFERROR(__xludf.DUMMYFUNCTION("REGEXREPLACE(C26926,""-\d+(.*)|--\d+(.*)"","""")"),"LES AUTHIEUX-SUR-CALONNE")</f>
        <v>LES AUTHIEUX-SUR-CALONNE</v>
      </c>
      <c r="E26926" s="38" t="s">
        <v>137</v>
      </c>
      <c r="F26926" s="38" t="s">
        <v>138</v>
      </c>
      <c r="G26926" s="49" t="str">
        <f t="shared" si="1"/>
        <v>14130</v>
      </c>
      <c r="H26926" s="49">
        <f t="shared" si="2"/>
        <v>14032</v>
      </c>
    </row>
    <row r="26927">
      <c r="A26927" s="48" t="s">
        <v>8059</v>
      </c>
      <c r="B26927" s="38">
        <v>70537.0</v>
      </c>
      <c r="C26927" s="38" t="s">
        <v>31395</v>
      </c>
      <c r="D26927" s="38" t="str">
        <f>IFERROR(__xludf.DUMMYFUNCTION("REGEXREPLACE(C26927,""-\d+(.*)|--\d+(.*)"","""")"),"VELLEMINFROY")</f>
        <v>VELLEMINFROY</v>
      </c>
      <c r="E26927" s="38" t="s">
        <v>956</v>
      </c>
      <c r="F26927" s="38" t="s">
        <v>214</v>
      </c>
      <c r="G26927" s="49" t="str">
        <f t="shared" si="1"/>
        <v>70240</v>
      </c>
      <c r="H26927" s="49">
        <f t="shared" si="2"/>
        <v>70537</v>
      </c>
    </row>
    <row r="26928">
      <c r="A26928" s="48" t="s">
        <v>8298</v>
      </c>
      <c r="B26928" s="38">
        <v>54490.0</v>
      </c>
      <c r="C26928" s="38" t="s">
        <v>31396</v>
      </c>
      <c r="D26928" s="38" t="str">
        <f>IFERROR(__xludf.DUMMYFUNCTION("REGEXREPLACE(C26928,""-\d+(.*)|--\d+(.*)"","""")"),"SAIZERAIS")</f>
        <v>SAIZERAIS</v>
      </c>
      <c r="E26928" s="38" t="s">
        <v>548</v>
      </c>
      <c r="F26928" s="38" t="s">
        <v>195</v>
      </c>
      <c r="G26928" s="49" t="str">
        <f t="shared" si="1"/>
        <v>54380</v>
      </c>
      <c r="H26928" s="49">
        <f t="shared" si="2"/>
        <v>54490</v>
      </c>
    </row>
    <row r="26929">
      <c r="A26929" s="48" t="s">
        <v>960</v>
      </c>
      <c r="B26929" s="38">
        <v>28178.0</v>
      </c>
      <c r="C26929" s="38" t="s">
        <v>31397</v>
      </c>
      <c r="D26929" s="38" t="str">
        <f>IFERROR(__xludf.DUMMYFUNCTION("REGEXREPLACE(C26929,""-\d+(.*)|--\d+(.*)"","""")"),"GERMAINVILLE")</f>
        <v>GERMAINVILLE</v>
      </c>
      <c r="E26929" s="38" t="s">
        <v>300</v>
      </c>
      <c r="F26929" s="38" t="s">
        <v>123</v>
      </c>
      <c r="G26929" s="49" t="str">
        <f t="shared" si="1"/>
        <v>28500</v>
      </c>
      <c r="H26929" s="49">
        <f t="shared" si="2"/>
        <v>28178</v>
      </c>
    </row>
    <row r="26930">
      <c r="A26930" s="48" t="s">
        <v>11056</v>
      </c>
      <c r="B26930" s="38">
        <v>3155.0</v>
      </c>
      <c r="C26930" s="38" t="s">
        <v>31398</v>
      </c>
      <c r="D26930" s="38" t="str">
        <f>IFERROR(__xludf.DUMMYFUNCTION("REGEXREPLACE(C26930,""-\d+(.*)|--\d+(.*)"","""")"),"LURCY-LEVIS")</f>
        <v>LURCY-LEVIS</v>
      </c>
      <c r="E26930" s="38" t="s">
        <v>160</v>
      </c>
      <c r="F26930" s="38" t="s">
        <v>161</v>
      </c>
      <c r="G26930" s="49" t="str">
        <f t="shared" si="1"/>
        <v>03320</v>
      </c>
      <c r="H26930" s="49" t="str">
        <f t="shared" si="2"/>
        <v>03155</v>
      </c>
    </row>
    <row r="26931">
      <c r="A26931" s="48" t="s">
        <v>6179</v>
      </c>
      <c r="B26931" s="38">
        <v>8486.0</v>
      </c>
      <c r="C26931" s="38" t="s">
        <v>31399</v>
      </c>
      <c r="D26931" s="38" t="str">
        <f>IFERROR(__xludf.DUMMYFUNCTION("REGEXREPLACE(C26931,""-\d+(.*)|--\d+(.*)"","""")"),"VIREUX-MOLHAIN")</f>
        <v>VIREUX-MOLHAIN</v>
      </c>
      <c r="E26931" s="38" t="s">
        <v>327</v>
      </c>
      <c r="F26931" s="38" t="s">
        <v>130</v>
      </c>
      <c r="G26931" s="49" t="str">
        <f t="shared" si="1"/>
        <v>08320</v>
      </c>
      <c r="H26931" s="49" t="str">
        <f t="shared" si="2"/>
        <v>08486</v>
      </c>
    </row>
    <row r="26932">
      <c r="A26932" s="48" t="s">
        <v>31400</v>
      </c>
      <c r="B26932" s="38">
        <v>97306.0</v>
      </c>
      <c r="C26932" s="38" t="s">
        <v>31401</v>
      </c>
      <c r="D26932" s="38" t="str">
        <f>IFERROR(__xludf.DUMMYFUNCTION("REGEXREPLACE(C26932,""-\d+(.*)|--\d+(.*)"","""")"),"MANA")</f>
        <v>MANA</v>
      </c>
      <c r="E26932" s="38" t="s">
        <v>1737</v>
      </c>
      <c r="F26932" s="38" t="s">
        <v>1737</v>
      </c>
      <c r="G26932" s="49" t="str">
        <f t="shared" si="1"/>
        <v>97360</v>
      </c>
      <c r="H26932" s="49">
        <f t="shared" si="2"/>
        <v>97306</v>
      </c>
    </row>
    <row r="26933">
      <c r="A26933" s="48" t="s">
        <v>1441</v>
      </c>
      <c r="B26933" s="38">
        <v>52105.0</v>
      </c>
      <c r="C26933" s="38" t="s">
        <v>31402</v>
      </c>
      <c r="D26933" s="38" t="str">
        <f>IFERROR(__xludf.DUMMYFUNCTION("REGEXREPLACE(C26933,""-\d+(.*)|--\d+(.*)"","""")"),"CHANGEY")</f>
        <v>CHANGEY</v>
      </c>
      <c r="E26933" s="38" t="s">
        <v>234</v>
      </c>
      <c r="F26933" s="38" t="s">
        <v>130</v>
      </c>
      <c r="G26933" s="49" t="str">
        <f t="shared" si="1"/>
        <v>52360</v>
      </c>
      <c r="H26933" s="49">
        <f t="shared" si="2"/>
        <v>52105</v>
      </c>
    </row>
    <row r="26934">
      <c r="A26934" s="48" t="s">
        <v>7225</v>
      </c>
      <c r="B26934" s="38">
        <v>5107.0</v>
      </c>
      <c r="C26934" s="38" t="s">
        <v>31403</v>
      </c>
      <c r="D26934" s="38" t="str">
        <f>IFERROR(__xludf.DUMMYFUNCTION("REGEXREPLACE(C26934,""-\d+(.*)|--\d+(.*)"","""")"),"PUY-SAINT-ANDRE")</f>
        <v>PUY-SAINT-ANDRE</v>
      </c>
      <c r="E26934" s="38" t="s">
        <v>706</v>
      </c>
      <c r="F26934" s="38" t="s">
        <v>228</v>
      </c>
      <c r="G26934" s="49" t="str">
        <f t="shared" si="1"/>
        <v>05100</v>
      </c>
      <c r="H26934" s="49" t="str">
        <f t="shared" si="2"/>
        <v>05107</v>
      </c>
    </row>
    <row r="26935">
      <c r="A26935" s="48" t="s">
        <v>18945</v>
      </c>
      <c r="B26935" s="38">
        <v>59123.0</v>
      </c>
      <c r="C26935" s="38" t="s">
        <v>31404</v>
      </c>
      <c r="D26935" s="38" t="str">
        <f>IFERROR(__xludf.DUMMYFUNCTION("REGEXREPLACE(C26935,""-\d+(.*)|--\d+(.*)"","""")"),"CAMPHIN-EN-CAREMBAULT")</f>
        <v>CAMPHIN-EN-CAREMBAULT</v>
      </c>
      <c r="E26935" s="38" t="s">
        <v>85</v>
      </c>
      <c r="F26935" s="38" t="s">
        <v>86</v>
      </c>
      <c r="G26935" s="49" t="str">
        <f t="shared" si="1"/>
        <v>59133</v>
      </c>
      <c r="H26935" s="49">
        <f t="shared" si="2"/>
        <v>59123</v>
      </c>
    </row>
    <row r="26936">
      <c r="A26936" s="48" t="s">
        <v>3022</v>
      </c>
      <c r="B26936" s="38">
        <v>14190.0</v>
      </c>
      <c r="C26936" s="38" t="s">
        <v>4842</v>
      </c>
      <c r="D26936" s="38" t="str">
        <f>IFERROR(__xludf.DUMMYFUNCTION("REGEXREPLACE(C26936,""-\d+(.*)|--\d+(.*)"","""")"),"COURCY")</f>
        <v>COURCY</v>
      </c>
      <c r="E26936" s="38" t="s">
        <v>137</v>
      </c>
      <c r="F26936" s="38" t="s">
        <v>138</v>
      </c>
      <c r="G26936" s="49" t="str">
        <f t="shared" si="1"/>
        <v>14170</v>
      </c>
      <c r="H26936" s="49">
        <f t="shared" si="2"/>
        <v>14190</v>
      </c>
    </row>
    <row r="26937">
      <c r="A26937" s="48" t="s">
        <v>1452</v>
      </c>
      <c r="B26937" s="38">
        <v>55099.0</v>
      </c>
      <c r="C26937" s="38" t="s">
        <v>31405</v>
      </c>
      <c r="D26937" s="38" t="str">
        <f>IFERROR(__xludf.DUMMYFUNCTION("REGEXREPLACE(C26937,""-\d+(.*)|--\d+(.*)"","""")"),"CHAMPNEUVILLE")</f>
        <v>CHAMPNEUVILLE</v>
      </c>
      <c r="E26937" s="38" t="s">
        <v>322</v>
      </c>
      <c r="F26937" s="38" t="s">
        <v>195</v>
      </c>
      <c r="G26937" s="49" t="str">
        <f t="shared" si="1"/>
        <v>55100</v>
      </c>
      <c r="H26937" s="49">
        <f t="shared" si="2"/>
        <v>55099</v>
      </c>
    </row>
    <row r="26938">
      <c r="A26938" s="48" t="s">
        <v>10383</v>
      </c>
      <c r="B26938" s="38">
        <v>38186.0</v>
      </c>
      <c r="C26938" s="38" t="s">
        <v>31406</v>
      </c>
      <c r="D26938" s="38" t="str">
        <f>IFERROR(__xludf.DUMMYFUNCTION("REGEXREPLACE(C26938,""-\d+(.*)|--\d+(.*)"","""")"),"GRESSE-EN-VERCORS")</f>
        <v>GRESSE-EN-VERCORS</v>
      </c>
      <c r="E26938" s="38" t="s">
        <v>101</v>
      </c>
      <c r="F26938" s="38" t="s">
        <v>102</v>
      </c>
      <c r="G26938" s="49" t="str">
        <f t="shared" si="1"/>
        <v>38650</v>
      </c>
      <c r="H26938" s="49">
        <f t="shared" si="2"/>
        <v>38186</v>
      </c>
    </row>
    <row r="26939">
      <c r="A26939" s="48" t="s">
        <v>2579</v>
      </c>
      <c r="B26939" s="38">
        <v>32103.0</v>
      </c>
      <c r="C26939" s="38" t="s">
        <v>31407</v>
      </c>
      <c r="D26939" s="38" t="str">
        <f>IFERROR(__xludf.DUMMYFUNCTION("REGEXREPLACE(C26939,""-\d+(.*)|--\d+(.*)"","""")"),"CHELAN")</f>
        <v>CHELAN</v>
      </c>
      <c r="E26939" s="38" t="s">
        <v>440</v>
      </c>
      <c r="F26939" s="38" t="s">
        <v>94</v>
      </c>
      <c r="G26939" s="49" t="str">
        <f t="shared" si="1"/>
        <v>32140</v>
      </c>
      <c r="H26939" s="49">
        <f t="shared" si="2"/>
        <v>32103</v>
      </c>
    </row>
    <row r="26940">
      <c r="A26940" s="48" t="s">
        <v>9844</v>
      </c>
      <c r="B26940" s="38">
        <v>17424.0</v>
      </c>
      <c r="C26940" s="38" t="s">
        <v>31408</v>
      </c>
      <c r="D26940" s="38" t="str">
        <f>IFERROR(__xludf.DUMMYFUNCTION("REGEXREPLACE(C26940,""-\d+(.*)|--\d+(.*)"","""")"),"SEMOUSSAC")</f>
        <v>SEMOUSSAC</v>
      </c>
      <c r="E26940" s="38" t="s">
        <v>488</v>
      </c>
      <c r="F26940" s="38" t="s">
        <v>338</v>
      </c>
      <c r="G26940" s="49" t="str">
        <f t="shared" si="1"/>
        <v>17150</v>
      </c>
      <c r="H26940" s="49">
        <f t="shared" si="2"/>
        <v>17424</v>
      </c>
    </row>
    <row r="26941">
      <c r="A26941" s="48" t="s">
        <v>2126</v>
      </c>
      <c r="B26941" s="38">
        <v>59323.0</v>
      </c>
      <c r="C26941" s="38" t="s">
        <v>31409</v>
      </c>
      <c r="D26941" s="38" t="str">
        <f>IFERROR(__xludf.DUMMYFUNCTION("REGEXREPLACE(C26941,""-\d+(.*)|--\d+(.*)"","""")"),"JENLAIN")</f>
        <v>JENLAIN</v>
      </c>
      <c r="E26941" s="38" t="s">
        <v>85</v>
      </c>
      <c r="F26941" s="38" t="s">
        <v>86</v>
      </c>
      <c r="G26941" s="49" t="str">
        <f t="shared" si="1"/>
        <v>59144</v>
      </c>
      <c r="H26941" s="49">
        <f t="shared" si="2"/>
        <v>59323</v>
      </c>
    </row>
    <row r="26942">
      <c r="A26942" s="48" t="s">
        <v>31410</v>
      </c>
      <c r="B26942" s="38">
        <v>51230.0</v>
      </c>
      <c r="C26942" s="38" t="s">
        <v>31411</v>
      </c>
      <c r="D26942" s="38" t="str">
        <f>IFERROR(__xludf.DUMMYFUNCTION("REGEXREPLACE(C26942,""-\d+(.*)|--\d+(.*)"","""")"),"EPERNAY")</f>
        <v>EPERNAY</v>
      </c>
      <c r="E26942" s="38" t="s">
        <v>129</v>
      </c>
      <c r="F26942" s="38" t="s">
        <v>130</v>
      </c>
      <c r="G26942" s="49" t="str">
        <f t="shared" si="1"/>
        <v>51200</v>
      </c>
      <c r="H26942" s="49">
        <f t="shared" si="2"/>
        <v>51230</v>
      </c>
    </row>
    <row r="26943">
      <c r="A26943" s="48" t="s">
        <v>1728</v>
      </c>
      <c r="B26943" s="38">
        <v>45010.0</v>
      </c>
      <c r="C26943" s="38" t="s">
        <v>31412</v>
      </c>
      <c r="D26943" s="38" t="str">
        <f>IFERROR(__xludf.DUMMYFUNCTION("REGEXREPLACE(C26943,""-\d+(.*)|--\d+(.*)"","""")"),"ASCOUX")</f>
        <v>ASCOUX</v>
      </c>
      <c r="E26943" s="38" t="s">
        <v>122</v>
      </c>
      <c r="F26943" s="38" t="s">
        <v>123</v>
      </c>
      <c r="G26943" s="49" t="str">
        <f t="shared" si="1"/>
        <v>45300</v>
      </c>
      <c r="H26943" s="49">
        <f t="shared" si="2"/>
        <v>45010</v>
      </c>
    </row>
    <row r="26944">
      <c r="A26944" s="48" t="s">
        <v>7065</v>
      </c>
      <c r="B26944" s="38">
        <v>3168.0</v>
      </c>
      <c r="C26944" s="38" t="s">
        <v>31413</v>
      </c>
      <c r="D26944" s="38" t="str">
        <f>IFERROR(__xludf.DUMMYFUNCTION("REGEXREPLACE(C26944,""-\d+(.*)|--\d+(.*)"","""")"),"MEAULNE")</f>
        <v>MEAULNE</v>
      </c>
      <c r="E26944" s="38" t="s">
        <v>160</v>
      </c>
      <c r="F26944" s="38" t="s">
        <v>161</v>
      </c>
      <c r="G26944" s="49" t="str">
        <f t="shared" si="1"/>
        <v>03360</v>
      </c>
      <c r="H26944" s="49" t="str">
        <f t="shared" si="2"/>
        <v>03168</v>
      </c>
    </row>
    <row r="26945">
      <c r="A26945" s="48" t="s">
        <v>10530</v>
      </c>
      <c r="B26945" s="38">
        <v>60012.0</v>
      </c>
      <c r="C26945" s="38" t="s">
        <v>31414</v>
      </c>
      <c r="D26945" s="38" t="str">
        <f>IFERROR(__xludf.DUMMYFUNCTION("REGEXREPLACE(C26945,""-\d+(.*)|--\d+(.*)"","""")"),"ANDEVILLE")</f>
        <v>ANDEVILLE</v>
      </c>
      <c r="E26945" s="38" t="s">
        <v>112</v>
      </c>
      <c r="F26945" s="38" t="s">
        <v>113</v>
      </c>
      <c r="G26945" s="49" t="str">
        <f t="shared" si="1"/>
        <v>60570</v>
      </c>
      <c r="H26945" s="49">
        <f t="shared" si="2"/>
        <v>60012</v>
      </c>
    </row>
    <row r="26946">
      <c r="A26946" s="48" t="s">
        <v>4131</v>
      </c>
      <c r="B26946" s="38">
        <v>27074.0</v>
      </c>
      <c r="C26946" s="38" t="s">
        <v>31415</v>
      </c>
      <c r="D26946" s="38" t="str">
        <f>IFERROR(__xludf.DUMMYFUNCTION("REGEXREPLACE(C26946,""-\d+(.*)|--\d+(.*)"","""")"),"BOISNEY")</f>
        <v>BOISNEY</v>
      </c>
      <c r="E26946" s="38" t="s">
        <v>241</v>
      </c>
      <c r="F26946" s="38" t="s">
        <v>134</v>
      </c>
      <c r="G26946" s="49" t="str">
        <f t="shared" si="1"/>
        <v>27800</v>
      </c>
      <c r="H26946" s="49">
        <f t="shared" si="2"/>
        <v>27074</v>
      </c>
    </row>
    <row r="26947">
      <c r="A26947" s="48" t="s">
        <v>3681</v>
      </c>
      <c r="B26947" s="38">
        <v>39404.0</v>
      </c>
      <c r="C26947" s="38" t="s">
        <v>31416</v>
      </c>
      <c r="D26947" s="38" t="str">
        <f>IFERROR(__xludf.DUMMYFUNCTION("REGEXREPLACE(C26947,""-\d+(.*)|--\d+(.*)"","""")"),"PANNESSIERES")</f>
        <v>PANNESSIERES</v>
      </c>
      <c r="E26947" s="38" t="s">
        <v>400</v>
      </c>
      <c r="F26947" s="38" t="s">
        <v>214</v>
      </c>
      <c r="G26947" s="49" t="str">
        <f t="shared" si="1"/>
        <v>39570</v>
      </c>
      <c r="H26947" s="49">
        <f t="shared" si="2"/>
        <v>39404</v>
      </c>
    </row>
    <row r="26948">
      <c r="A26948" s="48" t="s">
        <v>29331</v>
      </c>
      <c r="B26948" s="38">
        <v>34336.0</v>
      </c>
      <c r="C26948" s="38" t="s">
        <v>31417</v>
      </c>
      <c r="D26948" s="38" t="str">
        <f>IFERROR(__xludf.DUMMYFUNCTION("REGEXREPLACE(C26948,""-\d+(.*)|--\d+(.*)"","""")"),"VILLENEUVE-LES-BEZIERS")</f>
        <v>VILLENEUVE-LES-BEZIERS</v>
      </c>
      <c r="E26948" s="38" t="s">
        <v>118</v>
      </c>
      <c r="F26948" s="38" t="s">
        <v>119</v>
      </c>
      <c r="G26948" s="49" t="str">
        <f t="shared" si="1"/>
        <v>34420</v>
      </c>
      <c r="H26948" s="49">
        <f t="shared" si="2"/>
        <v>34336</v>
      </c>
    </row>
    <row r="26949">
      <c r="A26949" s="48" t="s">
        <v>4543</v>
      </c>
      <c r="B26949" s="38">
        <v>64221.0</v>
      </c>
      <c r="C26949" s="38" t="s">
        <v>31418</v>
      </c>
      <c r="D26949" s="38" t="str">
        <f>IFERROR(__xludf.DUMMYFUNCTION("REGEXREPLACE(C26949,""-\d+(.*)|--\d+(.*)"","""")"),"ETCHARRY")</f>
        <v>ETCHARRY</v>
      </c>
      <c r="E26949" s="38" t="s">
        <v>268</v>
      </c>
      <c r="F26949" s="38" t="s">
        <v>252</v>
      </c>
      <c r="G26949" s="49" t="str">
        <f t="shared" si="1"/>
        <v>64120</v>
      </c>
      <c r="H26949" s="49">
        <f t="shared" si="2"/>
        <v>64221</v>
      </c>
    </row>
    <row r="26950">
      <c r="A26950" s="48" t="s">
        <v>9625</v>
      </c>
      <c r="B26950" s="38">
        <v>11085.0</v>
      </c>
      <c r="C26950" s="38" t="s">
        <v>31419</v>
      </c>
      <c r="D26950" s="38" t="str">
        <f>IFERROR(__xludf.DUMMYFUNCTION("REGEXREPLACE(C26950,""-\d+(.*)|--\d+(.*)"","""")"),"CAVANAC")</f>
        <v>CAVANAC</v>
      </c>
      <c r="E26950" s="38" t="s">
        <v>278</v>
      </c>
      <c r="F26950" s="38" t="s">
        <v>119</v>
      </c>
      <c r="G26950" s="49" t="str">
        <f t="shared" si="1"/>
        <v>11570</v>
      </c>
      <c r="H26950" s="49">
        <f t="shared" si="2"/>
        <v>11085</v>
      </c>
    </row>
    <row r="26951">
      <c r="A26951" s="48" t="s">
        <v>31420</v>
      </c>
      <c r="B26951" s="38">
        <v>91122.0</v>
      </c>
      <c r="C26951" s="38" t="s">
        <v>31421</v>
      </c>
      <c r="D26951" s="38" t="str">
        <f>IFERROR(__xludf.DUMMYFUNCTION("REGEXREPLACE(C26951,""-\d+(.*)|--\d+(.*)"","""")"),"BURES-SUR-YVETTE")</f>
        <v>BURES-SUR-YVETTE</v>
      </c>
      <c r="E26951" s="38" t="s">
        <v>756</v>
      </c>
      <c r="F26951" s="38" t="s">
        <v>245</v>
      </c>
      <c r="G26951" s="49" t="str">
        <f t="shared" si="1"/>
        <v>91440</v>
      </c>
      <c r="H26951" s="49">
        <f t="shared" si="2"/>
        <v>91122</v>
      </c>
    </row>
    <row r="26952">
      <c r="A26952" s="48" t="s">
        <v>2714</v>
      </c>
      <c r="B26952" s="38">
        <v>61360.0</v>
      </c>
      <c r="C26952" s="38" t="s">
        <v>31422</v>
      </c>
      <c r="D26952" s="38" t="str">
        <f>IFERROR(__xludf.DUMMYFUNCTION("REGEXREPLACE(C26952,""-\d+(.*)|--\d+(.*)"","""")"),"SAINT-AGNAN-SUR-SARTHE")</f>
        <v>SAINT-AGNAN-SUR-SARTHE</v>
      </c>
      <c r="E26952" s="38" t="s">
        <v>141</v>
      </c>
      <c r="F26952" s="38" t="s">
        <v>138</v>
      </c>
      <c r="G26952" s="49" t="str">
        <f t="shared" si="1"/>
        <v>61170</v>
      </c>
      <c r="H26952" s="49">
        <f t="shared" si="2"/>
        <v>61360</v>
      </c>
    </row>
    <row r="26953">
      <c r="A26953" s="48" t="s">
        <v>8964</v>
      </c>
      <c r="B26953" s="38">
        <v>70210.0</v>
      </c>
      <c r="C26953" s="38" t="s">
        <v>31423</v>
      </c>
      <c r="D26953" s="38" t="str">
        <f>IFERROR(__xludf.DUMMYFUNCTION("REGEXREPLACE(C26953,""-\d+(.*)|--\d+(.*)"","""")"),"ECROMAGNY")</f>
        <v>ECROMAGNY</v>
      </c>
      <c r="E26953" s="38" t="s">
        <v>956</v>
      </c>
      <c r="F26953" s="38" t="s">
        <v>214</v>
      </c>
      <c r="G26953" s="49" t="str">
        <f t="shared" si="1"/>
        <v>70270</v>
      </c>
      <c r="H26953" s="49">
        <f t="shared" si="2"/>
        <v>70210</v>
      </c>
    </row>
    <row r="26954">
      <c r="A26954" s="48" t="s">
        <v>13600</v>
      </c>
      <c r="B26954" s="38">
        <v>74206.0</v>
      </c>
      <c r="C26954" s="38" t="s">
        <v>31424</v>
      </c>
      <c r="D26954" s="38" t="str">
        <f>IFERROR(__xludf.DUMMYFUNCTION("REGEXREPLACE(C26954,""-\d+(.*)|--\d+(.*)"","""")"),"ORCIER")</f>
        <v>ORCIER</v>
      </c>
      <c r="E26954" s="38" t="s">
        <v>319</v>
      </c>
      <c r="F26954" s="38" t="s">
        <v>102</v>
      </c>
      <c r="G26954" s="49" t="str">
        <f t="shared" si="1"/>
        <v>74550</v>
      </c>
      <c r="H26954" s="49">
        <f t="shared" si="2"/>
        <v>74206</v>
      </c>
    </row>
    <row r="26955">
      <c r="A26955" s="48" t="s">
        <v>31425</v>
      </c>
      <c r="B26955" s="38">
        <v>59623.0</v>
      </c>
      <c r="C26955" s="38" t="s">
        <v>31426</v>
      </c>
      <c r="D26955" s="38" t="str">
        <f>IFERROR(__xludf.DUMMYFUNCTION("REGEXREPLACE(C26955,""-\d+(.*)|--\d+(.*)"","""")"),"VILLERS-GUISLAIN")</f>
        <v>VILLERS-GUISLAIN</v>
      </c>
      <c r="E26955" s="38" t="s">
        <v>85</v>
      </c>
      <c r="F26955" s="38" t="s">
        <v>86</v>
      </c>
      <c r="G26955" s="49" t="str">
        <f t="shared" si="1"/>
        <v>59297</v>
      </c>
      <c r="H26955" s="49">
        <f t="shared" si="2"/>
        <v>59623</v>
      </c>
    </row>
    <row r="26956">
      <c r="A26956" s="48" t="s">
        <v>826</v>
      </c>
      <c r="B26956" s="38">
        <v>21099.0</v>
      </c>
      <c r="C26956" s="38" t="s">
        <v>31427</v>
      </c>
      <c r="D26956" s="38" t="str">
        <f>IFERROR(__xludf.DUMMYFUNCTION("REGEXREPLACE(C26956,""-\d+(.*)|--\d+(.*)"","""")"),"BOUZE-LES-BEAUNE")</f>
        <v>BOUZE-LES-BEAUNE</v>
      </c>
      <c r="E26956" s="38" t="s">
        <v>105</v>
      </c>
      <c r="F26956" s="38" t="s">
        <v>106</v>
      </c>
      <c r="G26956" s="49" t="str">
        <f t="shared" si="1"/>
        <v>21200</v>
      </c>
      <c r="H26956" s="49">
        <f t="shared" si="2"/>
        <v>21099</v>
      </c>
    </row>
    <row r="26957">
      <c r="A26957" s="48" t="s">
        <v>13144</v>
      </c>
      <c r="B26957" s="38">
        <v>27622.0</v>
      </c>
      <c r="C26957" s="38" t="s">
        <v>31428</v>
      </c>
      <c r="D26957" s="38" t="str">
        <f>IFERROR(__xludf.DUMMYFUNCTION("REGEXREPLACE(C26957,""-\d+(.*)|--\d+(.*)"","""")"),"SERQUIGNY")</f>
        <v>SERQUIGNY</v>
      </c>
      <c r="E26957" s="38" t="s">
        <v>241</v>
      </c>
      <c r="F26957" s="38" t="s">
        <v>134</v>
      </c>
      <c r="G26957" s="49" t="str">
        <f t="shared" si="1"/>
        <v>27470</v>
      </c>
      <c r="H26957" s="49">
        <f t="shared" si="2"/>
        <v>27622</v>
      </c>
    </row>
    <row r="26958">
      <c r="A26958" s="48" t="s">
        <v>887</v>
      </c>
      <c r="B26958" s="38">
        <v>62591.0</v>
      </c>
      <c r="C26958" s="38" t="s">
        <v>31429</v>
      </c>
      <c r="D26958" s="38" t="str">
        <f>IFERROR(__xludf.DUMMYFUNCTION("REGEXREPLACE(C26958,""-\d+(.*)|--\d+(.*)"","""")"),"MORCHIES")</f>
        <v>MORCHIES</v>
      </c>
      <c r="E26958" s="38" t="s">
        <v>109</v>
      </c>
      <c r="F26958" s="38" t="s">
        <v>86</v>
      </c>
      <c r="G26958" s="49" t="str">
        <f t="shared" si="1"/>
        <v>62124</v>
      </c>
      <c r="H26958" s="49">
        <f t="shared" si="2"/>
        <v>62591</v>
      </c>
    </row>
    <row r="26959">
      <c r="A26959" s="48" t="s">
        <v>830</v>
      </c>
      <c r="B26959" s="38">
        <v>68138.0</v>
      </c>
      <c r="C26959" s="38" t="s">
        <v>31430</v>
      </c>
      <c r="D26959" s="38" t="str">
        <f>IFERROR(__xludf.DUMMYFUNCTION("REGEXREPLACE(C26959,""-\d+(.*)|--\d+(.*)"","""")"),"HIRSINGUE")</f>
        <v>HIRSINGUE</v>
      </c>
      <c r="E26959" s="38" t="s">
        <v>150</v>
      </c>
      <c r="F26959" s="38" t="s">
        <v>151</v>
      </c>
      <c r="G26959" s="49" t="str">
        <f t="shared" si="1"/>
        <v>68560</v>
      </c>
      <c r="H26959" s="49">
        <f t="shared" si="2"/>
        <v>68138</v>
      </c>
    </row>
    <row r="26960">
      <c r="A26960" s="48" t="s">
        <v>454</v>
      </c>
      <c r="B26960" s="38">
        <v>71329.0</v>
      </c>
      <c r="C26960" s="38" t="s">
        <v>31431</v>
      </c>
      <c r="D26960" s="38" t="str">
        <f>IFERROR(__xludf.DUMMYFUNCTION("REGEXREPLACE(C26960,""-\d+(.*)|--\d+(.*)"","""")"),"NAVILLY")</f>
        <v>NAVILLY</v>
      </c>
      <c r="E26960" s="38" t="s">
        <v>344</v>
      </c>
      <c r="F26960" s="38" t="s">
        <v>106</v>
      </c>
      <c r="G26960" s="49" t="str">
        <f t="shared" si="1"/>
        <v>71270</v>
      </c>
      <c r="H26960" s="49">
        <f t="shared" si="2"/>
        <v>71329</v>
      </c>
    </row>
    <row r="26961">
      <c r="A26961" s="48" t="s">
        <v>423</v>
      </c>
      <c r="B26961" s="38">
        <v>2644.0</v>
      </c>
      <c r="C26961" s="38" t="s">
        <v>31432</v>
      </c>
      <c r="D26961" s="38" t="str">
        <f>IFERROR(__xludf.DUMMYFUNCTION("REGEXREPLACE(C26961,""-\d+(.*)|--\d+(.*)"","""")"),"RETHEUIL")</f>
        <v>RETHEUIL</v>
      </c>
      <c r="E26961" s="38" t="s">
        <v>191</v>
      </c>
      <c r="F26961" s="38" t="s">
        <v>113</v>
      </c>
      <c r="G26961" s="49" t="str">
        <f t="shared" si="1"/>
        <v>02600</v>
      </c>
      <c r="H26961" s="49" t="str">
        <f t="shared" si="2"/>
        <v>02644</v>
      </c>
    </row>
    <row r="26962">
      <c r="A26962" s="48" t="s">
        <v>12807</v>
      </c>
      <c r="B26962" s="38">
        <v>42214.0</v>
      </c>
      <c r="C26962" s="38" t="s">
        <v>31433</v>
      </c>
      <c r="D26962" s="38" t="str">
        <f>IFERROR(__xludf.DUMMYFUNCTION("REGEXREPLACE(C26962,""-\d+(.*)|--\d+(.*)"","""")"),"SAINT-CYR-LES-VIGNES")</f>
        <v>SAINT-CYR-LES-VIGNES</v>
      </c>
      <c r="E26962" s="38" t="s">
        <v>166</v>
      </c>
      <c r="F26962" s="38" t="s">
        <v>102</v>
      </c>
      <c r="G26962" s="49" t="str">
        <f t="shared" si="1"/>
        <v>42210</v>
      </c>
      <c r="H26962" s="49">
        <f t="shared" si="2"/>
        <v>42214</v>
      </c>
    </row>
    <row r="26963">
      <c r="A26963" s="48" t="s">
        <v>9883</v>
      </c>
      <c r="B26963" s="38">
        <v>24464.0</v>
      </c>
      <c r="C26963" s="38" t="s">
        <v>17924</v>
      </c>
      <c r="D26963" s="38" t="str">
        <f>IFERROR(__xludf.DUMMYFUNCTION("REGEXREPLACE(C26963,""-\d+(.*)|--\d+(.*)"","""")"),"SAINT-MESMIN")</f>
        <v>SAINT-MESMIN</v>
      </c>
      <c r="E26963" s="38" t="s">
        <v>261</v>
      </c>
      <c r="F26963" s="38" t="s">
        <v>252</v>
      </c>
      <c r="G26963" s="49" t="str">
        <f t="shared" si="1"/>
        <v>24270</v>
      </c>
      <c r="H26963" s="49">
        <f t="shared" si="2"/>
        <v>24464</v>
      </c>
    </row>
    <row r="26964">
      <c r="A26964" s="48" t="s">
        <v>12997</v>
      </c>
      <c r="B26964" s="38">
        <v>65476.0</v>
      </c>
      <c r="C26964" s="38" t="s">
        <v>31434</v>
      </c>
      <c r="D26964" s="38" t="str">
        <f>IFERROR(__xludf.DUMMYFUNCTION("REGEXREPLACE(C26964,""-\d+(.*)|--\d+(.*)"","""")"),"VILLENAVE-PRES-BEARN")</f>
        <v>VILLENAVE-PRES-BEARN</v>
      </c>
      <c r="E26964" s="38" t="s">
        <v>200</v>
      </c>
      <c r="F26964" s="38" t="s">
        <v>94</v>
      </c>
      <c r="G26964" s="49" t="str">
        <f t="shared" si="1"/>
        <v>65500</v>
      </c>
      <c r="H26964" s="49">
        <f t="shared" si="2"/>
        <v>65476</v>
      </c>
    </row>
    <row r="26965">
      <c r="A26965" s="48" t="s">
        <v>5043</v>
      </c>
      <c r="B26965" s="38">
        <v>19061.0</v>
      </c>
      <c r="C26965" s="38" t="s">
        <v>31435</v>
      </c>
      <c r="D26965" s="38" t="str">
        <f>IFERROR(__xludf.DUMMYFUNCTION("REGEXREPLACE(C26965,""-\d+(.*)|--\d+(.*)"","""")"),"CORNIL")</f>
        <v>CORNIL</v>
      </c>
      <c r="E26965" s="38" t="s">
        <v>271</v>
      </c>
      <c r="F26965" s="38" t="s">
        <v>98</v>
      </c>
      <c r="G26965" s="49" t="str">
        <f t="shared" si="1"/>
        <v>19150</v>
      </c>
      <c r="H26965" s="49">
        <f t="shared" si="2"/>
        <v>19061</v>
      </c>
    </row>
    <row r="26966">
      <c r="A26966" s="48" t="s">
        <v>2164</v>
      </c>
      <c r="B26966" s="38">
        <v>63197.0</v>
      </c>
      <c r="C26966" s="38" t="s">
        <v>31436</v>
      </c>
      <c r="D26966" s="38" t="str">
        <f>IFERROR(__xludf.DUMMYFUNCTION("REGEXREPLACE(C26966,""-\d+(.*)|--\d+(.*)"","""")"),"LISSEUIL")</f>
        <v>LISSEUIL</v>
      </c>
      <c r="E26966" s="38" t="s">
        <v>353</v>
      </c>
      <c r="F26966" s="38" t="s">
        <v>161</v>
      </c>
      <c r="G26966" s="49" t="str">
        <f t="shared" si="1"/>
        <v>63440</v>
      </c>
      <c r="H26966" s="49">
        <f t="shared" si="2"/>
        <v>63197</v>
      </c>
    </row>
    <row r="26967">
      <c r="A26967" s="48" t="s">
        <v>31437</v>
      </c>
      <c r="B26967" s="38">
        <v>49241.0</v>
      </c>
      <c r="C26967" s="38" t="s">
        <v>31438</v>
      </c>
      <c r="D26967" s="38" t="str">
        <f>IFERROR(__xludf.DUMMYFUNCTION("REGEXREPLACE(C26967,""-\d+(.*)|--\d+(.*)"","""")"),"LE PLESSIS-GRAMMOIRE")</f>
        <v>LE PLESSIS-GRAMMOIRE</v>
      </c>
      <c r="E26967" s="38" t="s">
        <v>653</v>
      </c>
      <c r="F26967" s="38" t="s">
        <v>180</v>
      </c>
      <c r="G26967" s="49" t="str">
        <f t="shared" si="1"/>
        <v>49124</v>
      </c>
      <c r="H26967" s="49">
        <f t="shared" si="2"/>
        <v>49241</v>
      </c>
    </row>
    <row r="26968">
      <c r="A26968" s="48" t="s">
        <v>31439</v>
      </c>
      <c r="B26968" s="38">
        <v>9185.0</v>
      </c>
      <c r="C26968" s="38" t="s">
        <v>30852</v>
      </c>
      <c r="D26968" s="38" t="str">
        <f>IFERROR(__xludf.DUMMYFUNCTION("REGEXREPLACE(C26968,""-\d+(.*)|--\d+(.*)"","""")"),"MAZERES")</f>
        <v>MAZERES</v>
      </c>
      <c r="E26968" s="38" t="s">
        <v>238</v>
      </c>
      <c r="F26968" s="38" t="s">
        <v>94</v>
      </c>
      <c r="G26968" s="49" t="str">
        <f t="shared" si="1"/>
        <v>09270</v>
      </c>
      <c r="H26968" s="49" t="str">
        <f t="shared" si="2"/>
        <v>09185</v>
      </c>
    </row>
    <row r="26969">
      <c r="A26969" s="48" t="s">
        <v>13455</v>
      </c>
      <c r="B26969" s="38">
        <v>68082.0</v>
      </c>
      <c r="C26969" s="38" t="s">
        <v>31440</v>
      </c>
      <c r="D26969" s="38" t="str">
        <f>IFERROR(__xludf.DUMMYFUNCTION("REGEXREPLACE(C26969,""-\d+(.*)|--\d+(.*)"","""")"),"ENSISHEIM")</f>
        <v>ENSISHEIM</v>
      </c>
      <c r="E26969" s="38" t="s">
        <v>150</v>
      </c>
      <c r="F26969" s="38" t="s">
        <v>151</v>
      </c>
      <c r="G26969" s="49" t="str">
        <f t="shared" si="1"/>
        <v>68190</v>
      </c>
      <c r="H26969" s="49">
        <f t="shared" si="2"/>
        <v>68082</v>
      </c>
    </row>
    <row r="26970">
      <c r="A26970" s="48" t="s">
        <v>18253</v>
      </c>
      <c r="B26970" s="38">
        <v>81193.0</v>
      </c>
      <c r="C26970" s="38" t="s">
        <v>31441</v>
      </c>
      <c r="D26970" s="38" t="str">
        <f>IFERROR(__xludf.DUMMYFUNCTION("REGEXREPLACE(C26970,""-\d+(.*)|--\d+(.*)"","""")"),"NAGES")</f>
        <v>NAGES</v>
      </c>
      <c r="E26970" s="38" t="s">
        <v>231</v>
      </c>
      <c r="F26970" s="38" t="s">
        <v>94</v>
      </c>
      <c r="G26970" s="49" t="str">
        <f t="shared" si="1"/>
        <v>81320</v>
      </c>
      <c r="H26970" s="49">
        <f t="shared" si="2"/>
        <v>81193</v>
      </c>
    </row>
    <row r="26971">
      <c r="A26971" s="48" t="s">
        <v>656</v>
      </c>
      <c r="B26971" s="38">
        <v>61368.0</v>
      </c>
      <c r="C26971" s="38" t="s">
        <v>31442</v>
      </c>
      <c r="D26971" s="38" t="str">
        <f>IFERROR(__xludf.DUMMYFUNCTION("REGEXREPLACE(C26971,""-\d+(.*)|--\d+(.*)"","""")"),"SAINT-AUBIN-DES-GROIS")</f>
        <v>SAINT-AUBIN-DES-GROIS</v>
      </c>
      <c r="E26971" s="38" t="s">
        <v>141</v>
      </c>
      <c r="F26971" s="38" t="s">
        <v>138</v>
      </c>
      <c r="G26971" s="49" t="str">
        <f t="shared" si="1"/>
        <v>61340</v>
      </c>
      <c r="H26971" s="49">
        <f t="shared" si="2"/>
        <v>61368</v>
      </c>
    </row>
    <row r="26972">
      <c r="A26972" s="48" t="s">
        <v>2837</v>
      </c>
      <c r="B26972" s="38">
        <v>17403.0</v>
      </c>
      <c r="C26972" s="38" t="s">
        <v>31443</v>
      </c>
      <c r="D26972" s="38" t="str">
        <f>IFERROR(__xludf.DUMMYFUNCTION("REGEXREPLACE(C26972,""-\d+(.*)|--\d+(.*)"","""")"),"SAINT-SIMON-DE-BORDES")</f>
        <v>SAINT-SIMON-DE-BORDES</v>
      </c>
      <c r="E26972" s="38" t="s">
        <v>488</v>
      </c>
      <c r="F26972" s="38" t="s">
        <v>338</v>
      </c>
      <c r="G26972" s="49" t="str">
        <f t="shared" si="1"/>
        <v>17500</v>
      </c>
      <c r="H26972" s="49">
        <f t="shared" si="2"/>
        <v>17403</v>
      </c>
    </row>
    <row r="26973">
      <c r="A26973" s="48" t="s">
        <v>1989</v>
      </c>
      <c r="B26973" s="38">
        <v>60643.0</v>
      </c>
      <c r="C26973" s="38" t="s">
        <v>31444</v>
      </c>
      <c r="D26973" s="38" t="str">
        <f>IFERROR(__xludf.DUMMYFUNCTION("REGEXREPLACE(C26973,""-\d+(.*)|--\d+(.*)"","""")"),"TRICOT")</f>
        <v>TRICOT</v>
      </c>
      <c r="E26973" s="38" t="s">
        <v>112</v>
      </c>
      <c r="F26973" s="38" t="s">
        <v>113</v>
      </c>
      <c r="G26973" s="49" t="str">
        <f t="shared" si="1"/>
        <v>60420</v>
      </c>
      <c r="H26973" s="49">
        <f t="shared" si="2"/>
        <v>60643</v>
      </c>
    </row>
    <row r="26974">
      <c r="A26974" s="48" t="s">
        <v>434</v>
      </c>
      <c r="B26974" s="38">
        <v>55252.0</v>
      </c>
      <c r="C26974" s="38" t="s">
        <v>31445</v>
      </c>
      <c r="D26974" s="38" t="str">
        <f>IFERROR(__xludf.DUMMYFUNCTION("REGEXREPLACE(C26974,""-\d+(.*)|--\d+(.*)"","""")"),"IRE-LE-SEC")</f>
        <v>IRE-LE-SEC</v>
      </c>
      <c r="E26974" s="38" t="s">
        <v>322</v>
      </c>
      <c r="F26974" s="38" t="s">
        <v>195</v>
      </c>
      <c r="G26974" s="49" t="str">
        <f t="shared" si="1"/>
        <v>55600</v>
      </c>
      <c r="H26974" s="49">
        <f t="shared" si="2"/>
        <v>55252</v>
      </c>
    </row>
    <row r="26975">
      <c r="A26975" s="48" t="s">
        <v>2389</v>
      </c>
      <c r="B26975" s="38">
        <v>64281.0</v>
      </c>
      <c r="C26975" s="38" t="s">
        <v>31446</v>
      </c>
      <c r="D26975" s="38" t="str">
        <f>IFERROR(__xludf.DUMMYFUNCTION("REGEXREPLACE(C26975,""-\d+(.*)|--\d+(.*)"","""")"),"JASSES")</f>
        <v>JASSES</v>
      </c>
      <c r="E26975" s="38" t="s">
        <v>268</v>
      </c>
      <c r="F26975" s="38" t="s">
        <v>252</v>
      </c>
      <c r="G26975" s="49" t="str">
        <f t="shared" si="1"/>
        <v>64190</v>
      </c>
      <c r="H26975" s="49">
        <f t="shared" si="2"/>
        <v>64281</v>
      </c>
    </row>
    <row r="26976">
      <c r="A26976" s="48" t="s">
        <v>25268</v>
      </c>
      <c r="B26976" s="38">
        <v>6148.0</v>
      </c>
      <c r="C26976" s="38" t="s">
        <v>31447</v>
      </c>
      <c r="D26976" s="38" t="str">
        <f>IFERROR(__xludf.DUMMYFUNCTION("REGEXREPLACE(C26976,""-\d+(.*)|--\d+(.*)"","""")"),"TOURRETTES-SUR-LOUP")</f>
        <v>TOURRETTES-SUR-LOUP</v>
      </c>
      <c r="E26976" s="38" t="s">
        <v>227</v>
      </c>
      <c r="F26976" s="38" t="s">
        <v>228</v>
      </c>
      <c r="G26976" s="49" t="str">
        <f t="shared" si="1"/>
        <v>06140</v>
      </c>
      <c r="H26976" s="49" t="str">
        <f t="shared" si="2"/>
        <v>06148</v>
      </c>
    </row>
    <row r="26977">
      <c r="A26977" s="48" t="s">
        <v>5806</v>
      </c>
      <c r="B26977" s="38">
        <v>39223.0</v>
      </c>
      <c r="C26977" s="38" t="s">
        <v>31448</v>
      </c>
      <c r="D26977" s="38" t="str">
        <f>IFERROR(__xludf.DUMMYFUNCTION("REGEXREPLACE(C26977,""-\d+(.*)|--\d+(.*)"","""")"),"LA FERTE")</f>
        <v>LA FERTE</v>
      </c>
      <c r="E26977" s="38" t="s">
        <v>400</v>
      </c>
      <c r="F26977" s="38" t="s">
        <v>214</v>
      </c>
      <c r="G26977" s="49" t="str">
        <f t="shared" si="1"/>
        <v>39600</v>
      </c>
      <c r="H26977" s="49">
        <f t="shared" si="2"/>
        <v>39223</v>
      </c>
    </row>
    <row r="26978">
      <c r="A26978" s="48" t="s">
        <v>8752</v>
      </c>
      <c r="B26978" s="38">
        <v>6040.0</v>
      </c>
      <c r="C26978" s="38" t="s">
        <v>31449</v>
      </c>
      <c r="D26978" s="38" t="str">
        <f>IFERROR(__xludf.DUMMYFUNCTION("REGEXREPLACE(C26978,""-\d+(.*)|--\d+(.*)"","""")"),"CHATEAUNEUF-D'ENTRAUNES")</f>
        <v>CHATEAUNEUF-D'ENTRAUNES</v>
      </c>
      <c r="E26978" s="38" t="s">
        <v>227</v>
      </c>
      <c r="F26978" s="38" t="s">
        <v>228</v>
      </c>
      <c r="G26978" s="49" t="str">
        <f t="shared" si="1"/>
        <v>06470</v>
      </c>
      <c r="H26978" s="49" t="str">
        <f t="shared" si="2"/>
        <v>06040</v>
      </c>
    </row>
    <row r="26979">
      <c r="A26979" s="48" t="s">
        <v>2510</v>
      </c>
      <c r="B26979" s="38">
        <v>22141.0</v>
      </c>
      <c r="C26979" s="38" t="s">
        <v>31450</v>
      </c>
      <c r="D26979" s="38" t="str">
        <f>IFERROR(__xludf.DUMMYFUNCTION("REGEXREPLACE(C26979,""-\d+(.*)|--\d+(.*)"","""")"),"MANTALLOT")</f>
        <v>MANTALLOT</v>
      </c>
      <c r="E26979" s="38" t="s">
        <v>89</v>
      </c>
      <c r="F26979" s="38" t="s">
        <v>90</v>
      </c>
      <c r="G26979" s="49" t="str">
        <f t="shared" si="1"/>
        <v>22450</v>
      </c>
      <c r="H26979" s="49">
        <f t="shared" si="2"/>
        <v>22141</v>
      </c>
    </row>
    <row r="26980">
      <c r="A26980" s="48" t="s">
        <v>3434</v>
      </c>
      <c r="B26980" s="38">
        <v>11238.0</v>
      </c>
      <c r="C26980" s="38" t="s">
        <v>31451</v>
      </c>
      <c r="D26980" s="38" t="str">
        <f>IFERROR(__xludf.DUMMYFUNCTION("REGEXREPLACE(C26980,""-\d+(.*)|--\d+(.*)"","""")"),"MOLLEVILLE")</f>
        <v>MOLLEVILLE</v>
      </c>
      <c r="E26980" s="38" t="s">
        <v>278</v>
      </c>
      <c r="F26980" s="38" t="s">
        <v>119</v>
      </c>
      <c r="G26980" s="49" t="str">
        <f t="shared" si="1"/>
        <v>11410</v>
      </c>
      <c r="H26980" s="49">
        <f t="shared" si="2"/>
        <v>11238</v>
      </c>
    </row>
    <row r="26981">
      <c r="A26981" s="48" t="s">
        <v>1628</v>
      </c>
      <c r="B26981" s="38">
        <v>70399.0</v>
      </c>
      <c r="C26981" s="38" t="s">
        <v>10560</v>
      </c>
      <c r="D26981" s="38" t="str">
        <f>IFERROR(__xludf.DUMMYFUNCTION("REGEXREPLACE(C26981,""-\d+(.*)|--\d+(.*)"","""")"),"ORMOY")</f>
        <v>ORMOY</v>
      </c>
      <c r="E26981" s="38" t="s">
        <v>956</v>
      </c>
      <c r="F26981" s="38" t="s">
        <v>214</v>
      </c>
      <c r="G26981" s="49" t="str">
        <f t="shared" si="1"/>
        <v>70500</v>
      </c>
      <c r="H26981" s="49">
        <f t="shared" si="2"/>
        <v>70399</v>
      </c>
    </row>
    <row r="26982">
      <c r="A26982" s="48" t="s">
        <v>31452</v>
      </c>
      <c r="B26982" s="38">
        <v>21473.0</v>
      </c>
      <c r="C26982" s="38" t="s">
        <v>31453</v>
      </c>
      <c r="D26982" s="38" t="str">
        <f>IFERROR(__xludf.DUMMYFUNCTION("REGEXREPLACE(C26982,""-\d+(.*)|--\d+(.*)"","""")"),"OUGES")</f>
        <v>OUGES</v>
      </c>
      <c r="E26982" s="38" t="s">
        <v>105</v>
      </c>
      <c r="F26982" s="38" t="s">
        <v>106</v>
      </c>
      <c r="G26982" s="49" t="str">
        <f t="shared" si="1"/>
        <v>21600</v>
      </c>
      <c r="H26982" s="49">
        <f t="shared" si="2"/>
        <v>21473</v>
      </c>
    </row>
    <row r="26983">
      <c r="A26983" s="48" t="s">
        <v>1151</v>
      </c>
      <c r="B26983" s="38">
        <v>58215.0</v>
      </c>
      <c r="C26983" s="38" t="s">
        <v>31454</v>
      </c>
      <c r="D26983" s="38" t="str">
        <f>IFERROR(__xludf.DUMMYFUNCTION("REGEXREPLACE(C26983,""-\d+(.*)|--\d+(.*)"","""")"),"POUILLY-SUR-LOIRE")</f>
        <v>POUILLY-SUR-LOIRE</v>
      </c>
      <c r="E26983" s="38" t="s">
        <v>219</v>
      </c>
      <c r="F26983" s="38" t="s">
        <v>106</v>
      </c>
      <c r="G26983" s="49" t="str">
        <f t="shared" si="1"/>
        <v>58150</v>
      </c>
      <c r="H26983" s="49">
        <f t="shared" si="2"/>
        <v>58215</v>
      </c>
    </row>
    <row r="26984">
      <c r="A26984" s="48" t="s">
        <v>443</v>
      </c>
      <c r="B26984" s="38">
        <v>24097.0</v>
      </c>
      <c r="C26984" s="38" t="s">
        <v>31455</v>
      </c>
      <c r="D26984" s="38" t="str">
        <f>IFERROR(__xludf.DUMMYFUNCTION("REGEXREPLACE(C26984,""-\d+(.*)|--\d+(.*)"","""")"),"CHAMPAGNE-ET-FONTAINE")</f>
        <v>CHAMPAGNE-ET-FONTAINE</v>
      </c>
      <c r="E26984" s="38" t="s">
        <v>261</v>
      </c>
      <c r="F26984" s="38" t="s">
        <v>252</v>
      </c>
      <c r="G26984" s="49" t="str">
        <f t="shared" si="1"/>
        <v>24320</v>
      </c>
      <c r="H26984" s="49">
        <f t="shared" si="2"/>
        <v>24097</v>
      </c>
    </row>
    <row r="26985">
      <c r="A26985" s="48" t="s">
        <v>4926</v>
      </c>
      <c r="B26985" s="38">
        <v>14714.0</v>
      </c>
      <c r="C26985" s="38" t="s">
        <v>21003</v>
      </c>
      <c r="D26985" s="38" t="str">
        <f>IFERROR(__xludf.DUMMYFUNCTION("REGEXREPLACE(C26985,""-\d+(.*)|--\d+(.*)"","""")"),"LE TRONQUAY")</f>
        <v>LE TRONQUAY</v>
      </c>
      <c r="E26985" s="38" t="s">
        <v>137</v>
      </c>
      <c r="F26985" s="38" t="s">
        <v>138</v>
      </c>
      <c r="G26985" s="49" t="str">
        <f t="shared" si="1"/>
        <v>14490</v>
      </c>
      <c r="H26985" s="49">
        <f t="shared" si="2"/>
        <v>14714</v>
      </c>
    </row>
    <row r="26986">
      <c r="A26986" s="48" t="s">
        <v>31456</v>
      </c>
      <c r="B26986" s="38">
        <v>38383.0</v>
      </c>
      <c r="C26986" s="38" t="s">
        <v>31457</v>
      </c>
      <c r="D26986" s="38" t="str">
        <f>IFERROR(__xludf.DUMMYFUNCTION("REGEXREPLACE(C26986,""-\d+(.*)|--\d+(.*)"","""")"),"SAINT-ETIENNE-DE-CROSSEY")</f>
        <v>SAINT-ETIENNE-DE-CROSSEY</v>
      </c>
      <c r="E26986" s="38" t="s">
        <v>101</v>
      </c>
      <c r="F26986" s="38" t="s">
        <v>102</v>
      </c>
      <c r="G26986" s="49" t="str">
        <f t="shared" si="1"/>
        <v>38960</v>
      </c>
      <c r="H26986" s="49">
        <f t="shared" si="2"/>
        <v>38383</v>
      </c>
    </row>
    <row r="26987">
      <c r="A26987" s="48" t="s">
        <v>6761</v>
      </c>
      <c r="B26987" s="38">
        <v>1446.0</v>
      </c>
      <c r="C26987" s="38" t="s">
        <v>9167</v>
      </c>
      <c r="D26987" s="38" t="str">
        <f>IFERROR(__xludf.DUMMYFUNCTION("REGEXREPLACE(C26987,""-\d+(.*)|--\d+(.*)"","""")"),"VILLENEUVE")</f>
        <v>VILLENEUVE</v>
      </c>
      <c r="E26987" s="38" t="s">
        <v>255</v>
      </c>
      <c r="F26987" s="38" t="s">
        <v>102</v>
      </c>
      <c r="G26987" s="49" t="str">
        <f t="shared" si="1"/>
        <v>01480</v>
      </c>
      <c r="H26987" s="49" t="str">
        <f t="shared" si="2"/>
        <v>01446</v>
      </c>
    </row>
    <row r="26988">
      <c r="A26988" s="48" t="s">
        <v>13583</v>
      </c>
      <c r="B26988" s="38">
        <v>90075.0</v>
      </c>
      <c r="C26988" s="38" t="s">
        <v>31458</v>
      </c>
      <c r="D26988" s="38" t="str">
        <f>IFERROR(__xludf.DUMMYFUNCTION("REGEXREPLACE(C26988,""-\d+(.*)|--\d+(.*)"","""")"),"OFFEMONT")</f>
        <v>OFFEMONT</v>
      </c>
      <c r="E26988" s="38" t="s">
        <v>1283</v>
      </c>
      <c r="F26988" s="38" t="s">
        <v>214</v>
      </c>
      <c r="G26988" s="49" t="str">
        <f t="shared" si="1"/>
        <v>90300</v>
      </c>
      <c r="H26988" s="49">
        <f t="shared" si="2"/>
        <v>90075</v>
      </c>
    </row>
    <row r="26989">
      <c r="A26989" s="48" t="s">
        <v>4328</v>
      </c>
      <c r="B26989" s="38">
        <v>70289.0</v>
      </c>
      <c r="C26989" s="38" t="s">
        <v>11055</v>
      </c>
      <c r="D26989" s="38" t="str">
        <f>IFERROR(__xludf.DUMMYFUNCTION("REGEXREPLACE(C26989,""-\d+(.*)|--\d+(.*)"","""")"),"IGNY")</f>
        <v>IGNY</v>
      </c>
      <c r="E26989" s="38" t="s">
        <v>956</v>
      </c>
      <c r="F26989" s="38" t="s">
        <v>214</v>
      </c>
      <c r="G26989" s="49" t="str">
        <f t="shared" si="1"/>
        <v>70700</v>
      </c>
      <c r="H26989" s="49">
        <f t="shared" si="2"/>
        <v>70289</v>
      </c>
    </row>
    <row r="26990">
      <c r="A26990" s="48" t="s">
        <v>9679</v>
      </c>
      <c r="B26990" s="38">
        <v>26060.0</v>
      </c>
      <c r="C26990" s="38" t="s">
        <v>31459</v>
      </c>
      <c r="D26990" s="38" t="str">
        <f>IFERROR(__xludf.DUMMYFUNCTION("REGEXREPLACE(C26990,""-\d+(.*)|--\d+(.*)"","""")"),"BOUVIERES")</f>
        <v>BOUVIERES</v>
      </c>
      <c r="E26990" s="38" t="s">
        <v>126</v>
      </c>
      <c r="F26990" s="38" t="s">
        <v>102</v>
      </c>
      <c r="G26990" s="49" t="str">
        <f t="shared" si="1"/>
        <v>26460</v>
      </c>
      <c r="H26990" s="49">
        <f t="shared" si="2"/>
        <v>26060</v>
      </c>
    </row>
    <row r="26991">
      <c r="A26991" s="48" t="s">
        <v>3662</v>
      </c>
      <c r="B26991" s="38">
        <v>80026.0</v>
      </c>
      <c r="C26991" s="38" t="s">
        <v>31460</v>
      </c>
      <c r="D26991" s="38" t="str">
        <f>IFERROR(__xludf.DUMMYFUNCTION("REGEXREPLACE(C26991,""-\d+(.*)|--\d+(.*)"","""")"),"ARGUEL")</f>
        <v>ARGUEL</v>
      </c>
      <c r="E26991" s="38" t="s">
        <v>224</v>
      </c>
      <c r="F26991" s="38" t="s">
        <v>113</v>
      </c>
      <c r="G26991" s="49" t="str">
        <f t="shared" si="1"/>
        <v>80140</v>
      </c>
      <c r="H26991" s="49">
        <f t="shared" si="2"/>
        <v>80026</v>
      </c>
    </row>
    <row r="26992">
      <c r="A26992" s="48" t="s">
        <v>3196</v>
      </c>
      <c r="B26992" s="38">
        <v>1408.0</v>
      </c>
      <c r="C26992" s="38" t="s">
        <v>31461</v>
      </c>
      <c r="D26992" s="38" t="str">
        <f>IFERROR(__xludf.DUMMYFUNCTION("REGEXREPLACE(C26992,""-\d+(.*)|--\d+(.*)"","""")"),"SIMANDRE-SUR-SURAN")</f>
        <v>SIMANDRE-SUR-SURAN</v>
      </c>
      <c r="E26992" s="38" t="s">
        <v>255</v>
      </c>
      <c r="F26992" s="38" t="s">
        <v>102</v>
      </c>
      <c r="G26992" s="49" t="str">
        <f t="shared" si="1"/>
        <v>01250</v>
      </c>
      <c r="H26992" s="49" t="str">
        <f t="shared" si="2"/>
        <v>01408</v>
      </c>
    </row>
    <row r="26993">
      <c r="A26993" s="48" t="s">
        <v>5789</v>
      </c>
      <c r="B26993" s="38">
        <v>30202.0</v>
      </c>
      <c r="C26993" s="38" t="s">
        <v>31462</v>
      </c>
      <c r="D26993" s="38" t="str">
        <f>IFERROR(__xludf.DUMMYFUNCTION("REGEXREPLACE(C26993,""-\d+(.*)|--\d+(.*)"","""")"),"PONT-SAINT-ESPRIT")</f>
        <v>PONT-SAINT-ESPRIT</v>
      </c>
      <c r="E26993" s="38" t="s">
        <v>526</v>
      </c>
      <c r="F26993" s="38" t="s">
        <v>119</v>
      </c>
      <c r="G26993" s="49" t="str">
        <f t="shared" si="1"/>
        <v>30130</v>
      </c>
      <c r="H26993" s="49">
        <f t="shared" si="2"/>
        <v>30202</v>
      </c>
    </row>
    <row r="26994">
      <c r="A26994" s="48" t="s">
        <v>3791</v>
      </c>
      <c r="B26994" s="38">
        <v>59059.0</v>
      </c>
      <c r="C26994" s="38" t="s">
        <v>31463</v>
      </c>
      <c r="D26994" s="38" t="str">
        <f>IFERROR(__xludf.DUMMYFUNCTION("REGEXREPLACE(C26994,""-\d+(.*)|--\d+(.*)"","""")"),"BEAUMONT-EN-CAMBRESIS")</f>
        <v>BEAUMONT-EN-CAMBRESIS</v>
      </c>
      <c r="E26994" s="38" t="s">
        <v>85</v>
      </c>
      <c r="F26994" s="38" t="s">
        <v>86</v>
      </c>
      <c r="G26994" s="49" t="str">
        <f t="shared" si="1"/>
        <v>59540</v>
      </c>
      <c r="H26994" s="49">
        <f t="shared" si="2"/>
        <v>59059</v>
      </c>
    </row>
    <row r="26995">
      <c r="A26995" s="48" t="s">
        <v>12977</v>
      </c>
      <c r="B26995" s="38">
        <v>59575.0</v>
      </c>
      <c r="C26995" s="38" t="s">
        <v>31464</v>
      </c>
      <c r="D26995" s="38" t="str">
        <f>IFERROR(__xludf.DUMMYFUNCTION("REGEXREPLACE(C26995,""-\d+(.*)|--\d+(.*)"","""")"),"SOMMAING")</f>
        <v>SOMMAING</v>
      </c>
      <c r="E26995" s="38" t="s">
        <v>85</v>
      </c>
      <c r="F26995" s="38" t="s">
        <v>86</v>
      </c>
      <c r="G26995" s="49" t="str">
        <f t="shared" si="1"/>
        <v>59213</v>
      </c>
      <c r="H26995" s="49">
        <f t="shared" si="2"/>
        <v>59575</v>
      </c>
    </row>
    <row r="26996">
      <c r="A26996" s="48" t="s">
        <v>5223</v>
      </c>
      <c r="B26996" s="38">
        <v>65095.0</v>
      </c>
      <c r="C26996" s="38" t="s">
        <v>31465</v>
      </c>
      <c r="D26996" s="38" t="str">
        <f>IFERROR(__xludf.DUMMYFUNCTION("REGEXREPLACE(C26996,""-\d+(.*)|--\d+(.*)"","""")"),"BONNEFONT")</f>
        <v>BONNEFONT</v>
      </c>
      <c r="E26996" s="38" t="s">
        <v>200</v>
      </c>
      <c r="F26996" s="38" t="s">
        <v>94</v>
      </c>
      <c r="G26996" s="49" t="str">
        <f t="shared" si="1"/>
        <v>65220</v>
      </c>
      <c r="H26996" s="49">
        <f t="shared" si="2"/>
        <v>65095</v>
      </c>
    </row>
    <row r="26997">
      <c r="A26997" s="48" t="s">
        <v>12159</v>
      </c>
      <c r="B26997" s="38" t="s">
        <v>31466</v>
      </c>
      <c r="C26997" s="38" t="s">
        <v>31467</v>
      </c>
      <c r="D26997" s="38" t="str">
        <f>IFERROR(__xludf.DUMMYFUNCTION("REGEXREPLACE(C26997,""-\d+(.*)|--\d+(.*)"","""")"),"CASANOVA")</f>
        <v>CASANOVA</v>
      </c>
      <c r="E26997" s="38" t="s">
        <v>743</v>
      </c>
      <c r="F26997" s="38" t="s">
        <v>607</v>
      </c>
      <c r="G26997" s="49" t="str">
        <f t="shared" si="1"/>
        <v>20250</v>
      </c>
      <c r="H26997" s="49" t="str">
        <f t="shared" si="2"/>
        <v>2B074</v>
      </c>
    </row>
    <row r="26998">
      <c r="A26998" s="48" t="s">
        <v>6633</v>
      </c>
      <c r="B26998" s="38">
        <v>64479.0</v>
      </c>
      <c r="C26998" s="38" t="s">
        <v>31468</v>
      </c>
      <c r="D26998" s="38" t="str">
        <f>IFERROR(__xludf.DUMMYFUNCTION("REGEXREPLACE(C26998,""-\d+(.*)|--\d+(.*)"","""")"),"SAINT-GIRONS-EN-BEARN")</f>
        <v>SAINT-GIRONS-EN-BEARN</v>
      </c>
      <c r="E26998" s="38" t="s">
        <v>268</v>
      </c>
      <c r="F26998" s="38" t="s">
        <v>252</v>
      </c>
      <c r="G26998" s="49" t="str">
        <f t="shared" si="1"/>
        <v>64300</v>
      </c>
      <c r="H26998" s="49">
        <f t="shared" si="2"/>
        <v>64479</v>
      </c>
    </row>
    <row r="26999">
      <c r="A26999" s="48" t="s">
        <v>2521</v>
      </c>
      <c r="B26999" s="38">
        <v>28092.0</v>
      </c>
      <c r="C26999" s="38" t="s">
        <v>538</v>
      </c>
      <c r="D26999" s="38" t="str">
        <f>IFERROR(__xludf.DUMMYFUNCTION("REGEXREPLACE(C26999,""-\d+(.*)|--\d+(.*)"","""")"),"CHATENAY")</f>
        <v>CHATENAY</v>
      </c>
      <c r="E26999" s="38" t="s">
        <v>300</v>
      </c>
      <c r="F26999" s="38" t="s">
        <v>123</v>
      </c>
      <c r="G26999" s="49" t="str">
        <f t="shared" si="1"/>
        <v>28700</v>
      </c>
      <c r="H26999" s="49">
        <f t="shared" si="2"/>
        <v>28092</v>
      </c>
    </row>
    <row r="27000">
      <c r="A27000" s="48" t="s">
        <v>31469</v>
      </c>
      <c r="B27000" s="38">
        <v>13210.0</v>
      </c>
      <c r="C27000" s="38" t="s">
        <v>31470</v>
      </c>
      <c r="D27000" s="38" t="str">
        <f>IFERROR(__xludf.DUMMYFUNCTION("REGEXREPLACE(C27000,""-\d+(.*)|--\d+(.*)"","""")"),"MARSEILLE")</f>
        <v>MARSEILLE</v>
      </c>
      <c r="E27000" s="38" t="s">
        <v>980</v>
      </c>
      <c r="F27000" s="38" t="s">
        <v>228</v>
      </c>
      <c r="G27000" s="49" t="str">
        <f t="shared" si="1"/>
        <v>13010</v>
      </c>
      <c r="H27000" s="49">
        <f t="shared" si="2"/>
        <v>13210</v>
      </c>
    </row>
    <row r="27001">
      <c r="A27001" s="48" t="s">
        <v>10536</v>
      </c>
      <c r="B27001" s="38">
        <v>72023.0</v>
      </c>
      <c r="C27001" s="38" t="s">
        <v>22383</v>
      </c>
      <c r="D27001" s="38" t="str">
        <f>IFERROR(__xludf.DUMMYFUNCTION("REGEXREPLACE(C27001,""-\d+(.*)|--\d+(.*)"","""")"),"BALLON")</f>
        <v>BALLON</v>
      </c>
      <c r="E27001" s="38" t="s">
        <v>521</v>
      </c>
      <c r="F27001" s="38" t="s">
        <v>180</v>
      </c>
      <c r="G27001" s="49" t="str">
        <f t="shared" si="1"/>
        <v>72290</v>
      </c>
      <c r="H27001" s="49">
        <f t="shared" si="2"/>
        <v>72023</v>
      </c>
    </row>
    <row r="27002">
      <c r="A27002" s="48" t="s">
        <v>15207</v>
      </c>
      <c r="B27002" s="38">
        <v>74166.0</v>
      </c>
      <c r="C27002" s="38" t="s">
        <v>31471</v>
      </c>
      <c r="D27002" s="38" t="str">
        <f>IFERROR(__xludf.DUMMYFUNCTION("REGEXREPLACE(C27002,""-\d+(.*)|--\d+(.*)"","""")"),"MARIN")</f>
        <v>MARIN</v>
      </c>
      <c r="E27002" s="38" t="s">
        <v>319</v>
      </c>
      <c r="F27002" s="38" t="s">
        <v>102</v>
      </c>
      <c r="G27002" s="49" t="str">
        <f t="shared" si="1"/>
        <v>74200</v>
      </c>
      <c r="H27002" s="49">
        <f t="shared" si="2"/>
        <v>74166</v>
      </c>
    </row>
    <row r="27003">
      <c r="A27003" s="48" t="s">
        <v>8320</v>
      </c>
      <c r="B27003" s="38">
        <v>1068.0</v>
      </c>
      <c r="C27003" s="38" t="s">
        <v>26520</v>
      </c>
      <c r="D27003" s="38" t="str">
        <f>IFERROR(__xludf.DUMMYFUNCTION("REGEXREPLACE(C27003,""-\d+(.*)|--\d+(.*)"","""")"),"CERDON")</f>
        <v>CERDON</v>
      </c>
      <c r="E27003" s="38" t="s">
        <v>255</v>
      </c>
      <c r="F27003" s="38" t="s">
        <v>102</v>
      </c>
      <c r="G27003" s="49" t="str">
        <f t="shared" si="1"/>
        <v>01450</v>
      </c>
      <c r="H27003" s="49" t="str">
        <f t="shared" si="2"/>
        <v>01068</v>
      </c>
    </row>
    <row r="27004">
      <c r="A27004" s="48" t="s">
        <v>1056</v>
      </c>
      <c r="B27004" s="38">
        <v>11090.0</v>
      </c>
      <c r="C27004" s="38" t="s">
        <v>31472</v>
      </c>
      <c r="D27004" s="38" t="str">
        <f>IFERROR(__xludf.DUMMYFUNCTION("REGEXREPLACE(C27004,""-\d+(.*)|--\d+(.*)"","""")"),"CEPIE")</f>
        <v>CEPIE</v>
      </c>
      <c r="E27004" s="38" t="s">
        <v>278</v>
      </c>
      <c r="F27004" s="38" t="s">
        <v>119</v>
      </c>
      <c r="G27004" s="49" t="str">
        <f t="shared" si="1"/>
        <v>11300</v>
      </c>
      <c r="H27004" s="49">
        <f t="shared" si="2"/>
        <v>11090</v>
      </c>
    </row>
    <row r="27005">
      <c r="A27005" s="48" t="s">
        <v>3633</v>
      </c>
      <c r="B27005" s="38">
        <v>48041.0</v>
      </c>
      <c r="C27005" s="38" t="s">
        <v>31473</v>
      </c>
      <c r="D27005" s="38" t="str">
        <f>IFERROR(__xludf.DUMMYFUNCTION("REGEXREPLACE(C27005,""-\d+(.*)|--\d+(.*)"","""")"),"CHASTANIER")</f>
        <v>CHASTANIER</v>
      </c>
      <c r="E27005" s="38" t="s">
        <v>154</v>
      </c>
      <c r="F27005" s="38" t="s">
        <v>119</v>
      </c>
      <c r="G27005" s="49" t="str">
        <f t="shared" si="1"/>
        <v>48300</v>
      </c>
      <c r="H27005" s="49">
        <f t="shared" si="2"/>
        <v>48041</v>
      </c>
    </row>
    <row r="27006">
      <c r="A27006" s="48" t="s">
        <v>17233</v>
      </c>
      <c r="B27006" s="38">
        <v>73190.0</v>
      </c>
      <c r="C27006" s="38" t="s">
        <v>31474</v>
      </c>
      <c r="D27006" s="38" t="str">
        <f>IFERROR(__xludf.DUMMYFUNCTION("REGEXREPLACE(C27006,""-\d+(.*)|--\d+(.*)"","""")"),"NOTRE-DAME-DU-PRE")</f>
        <v>NOTRE-DAME-DU-PRE</v>
      </c>
      <c r="E27006" s="38" t="s">
        <v>306</v>
      </c>
      <c r="F27006" s="38" t="s">
        <v>102</v>
      </c>
      <c r="G27006" s="49" t="str">
        <f t="shared" si="1"/>
        <v>73600</v>
      </c>
      <c r="H27006" s="49">
        <f t="shared" si="2"/>
        <v>73190</v>
      </c>
    </row>
    <row r="27007">
      <c r="A27007" s="48" t="s">
        <v>131</v>
      </c>
      <c r="B27007" s="38">
        <v>76421.0</v>
      </c>
      <c r="C27007" s="38" t="s">
        <v>31475</v>
      </c>
      <c r="D27007" s="38" t="str">
        <f>IFERROR(__xludf.DUMMYFUNCTION("REGEXREPLACE(C27007,""-\d+(.*)|--\d+(.*)"","""")"),"MELAMARE")</f>
        <v>MELAMARE</v>
      </c>
      <c r="E27007" s="38" t="s">
        <v>133</v>
      </c>
      <c r="F27007" s="38" t="s">
        <v>134</v>
      </c>
      <c r="G27007" s="49" t="str">
        <f t="shared" si="1"/>
        <v>76170</v>
      </c>
      <c r="H27007" s="49">
        <f t="shared" si="2"/>
        <v>76421</v>
      </c>
    </row>
    <row r="27008">
      <c r="A27008" s="48" t="s">
        <v>2268</v>
      </c>
      <c r="B27008" s="38">
        <v>55343.0</v>
      </c>
      <c r="C27008" s="38" t="s">
        <v>31476</v>
      </c>
      <c r="D27008" s="38" t="str">
        <f>IFERROR(__xludf.DUMMYFUNCTION("REGEXREPLACE(C27008,""-\d+(.*)|--\d+(.*)"","""")"),"MONTBLAINVILLE")</f>
        <v>MONTBLAINVILLE</v>
      </c>
      <c r="E27008" s="38" t="s">
        <v>322</v>
      </c>
      <c r="F27008" s="38" t="s">
        <v>195</v>
      </c>
      <c r="G27008" s="49" t="str">
        <f t="shared" si="1"/>
        <v>55270</v>
      </c>
      <c r="H27008" s="49">
        <f t="shared" si="2"/>
        <v>55343</v>
      </c>
    </row>
    <row r="27009">
      <c r="A27009" s="48" t="s">
        <v>31477</v>
      </c>
      <c r="B27009" s="38">
        <v>44132.0</v>
      </c>
      <c r="C27009" s="38" t="s">
        <v>31478</v>
      </c>
      <c r="D27009" s="38" t="str">
        <f>IFERROR(__xludf.DUMMYFUNCTION("REGEXREPLACE(C27009,""-\d+(.*)|--\d+(.*)"","""")"),"PORNICHET")</f>
        <v>PORNICHET</v>
      </c>
      <c r="E27009" s="38" t="s">
        <v>759</v>
      </c>
      <c r="F27009" s="38" t="s">
        <v>180</v>
      </c>
      <c r="G27009" s="49" t="str">
        <f t="shared" si="1"/>
        <v>44380</v>
      </c>
      <c r="H27009" s="49">
        <f t="shared" si="2"/>
        <v>44132</v>
      </c>
    </row>
    <row r="27010">
      <c r="A27010" s="48" t="s">
        <v>12467</v>
      </c>
      <c r="B27010" s="38">
        <v>72075.0</v>
      </c>
      <c r="C27010" s="38" t="s">
        <v>31479</v>
      </c>
      <c r="D27010" s="38" t="str">
        <f>IFERROR(__xludf.DUMMYFUNCTION("REGEXREPLACE(C27010,""-\d+(.*)|--\d+(.*)"","""")"),"CHEMIRE-LE-GAUDIN")</f>
        <v>CHEMIRE-LE-GAUDIN</v>
      </c>
      <c r="E27010" s="38" t="s">
        <v>521</v>
      </c>
      <c r="F27010" s="38" t="s">
        <v>180</v>
      </c>
      <c r="G27010" s="49" t="str">
        <f t="shared" si="1"/>
        <v>72210</v>
      </c>
      <c r="H27010" s="49">
        <f t="shared" si="2"/>
        <v>72075</v>
      </c>
    </row>
    <row r="27011">
      <c r="A27011" s="48" t="s">
        <v>466</v>
      </c>
      <c r="B27011" s="38">
        <v>52029.0</v>
      </c>
      <c r="C27011" s="38" t="s">
        <v>31480</v>
      </c>
      <c r="D27011" s="38" t="str">
        <f>IFERROR(__xludf.DUMMYFUNCTION("REGEXREPLACE(C27011,""-\d+(.*)|--\d+(.*)"","""")"),"AUTIGNY-LE-GRAND")</f>
        <v>AUTIGNY-LE-GRAND</v>
      </c>
      <c r="E27011" s="38" t="s">
        <v>234</v>
      </c>
      <c r="F27011" s="38" t="s">
        <v>130</v>
      </c>
      <c r="G27011" s="49" t="str">
        <f t="shared" si="1"/>
        <v>52300</v>
      </c>
      <c r="H27011" s="49">
        <f t="shared" si="2"/>
        <v>52029</v>
      </c>
    </row>
    <row r="27012">
      <c r="A27012" s="48" t="s">
        <v>2757</v>
      </c>
      <c r="B27012" s="38">
        <v>24500.0</v>
      </c>
      <c r="C27012" s="38" t="s">
        <v>31481</v>
      </c>
      <c r="D27012" s="38" t="str">
        <f>IFERROR(__xludf.DUMMYFUNCTION("REGEXREPLACE(C27012,""-\d+(.*)|--\d+(.*)"","""")"),"SAINT-SAUVEUR-LALANDE")</f>
        <v>SAINT-SAUVEUR-LALANDE</v>
      </c>
      <c r="E27012" s="38" t="s">
        <v>261</v>
      </c>
      <c r="F27012" s="38" t="s">
        <v>252</v>
      </c>
      <c r="G27012" s="49" t="str">
        <f t="shared" si="1"/>
        <v>24700</v>
      </c>
      <c r="H27012" s="49">
        <f t="shared" si="2"/>
        <v>24500</v>
      </c>
    </row>
    <row r="27013">
      <c r="A27013" s="48" t="s">
        <v>1400</v>
      </c>
      <c r="B27013" s="38">
        <v>21068.0</v>
      </c>
      <c r="C27013" s="38" t="s">
        <v>31482</v>
      </c>
      <c r="D27013" s="38" t="str">
        <f>IFERROR(__xludf.DUMMYFUNCTION("REGEXREPLACE(C27013,""-\d+(.*)|--\d+(.*)"","""")"),"BEUREY-BAUGUAY")</f>
        <v>BEUREY-BAUGUAY</v>
      </c>
      <c r="E27013" s="38" t="s">
        <v>105</v>
      </c>
      <c r="F27013" s="38" t="s">
        <v>106</v>
      </c>
      <c r="G27013" s="49" t="str">
        <f t="shared" si="1"/>
        <v>21320</v>
      </c>
      <c r="H27013" s="49">
        <f t="shared" si="2"/>
        <v>21068</v>
      </c>
    </row>
    <row r="27014">
      <c r="A27014" s="48" t="s">
        <v>3735</v>
      </c>
      <c r="B27014" s="38">
        <v>28398.0</v>
      </c>
      <c r="C27014" s="38" t="s">
        <v>31483</v>
      </c>
      <c r="D27014" s="38" t="str">
        <f>IFERROR(__xludf.DUMMYFUNCTION("REGEXREPLACE(C27014,""-\d+(.*)|--\d+(.*)"","""")"),"UNVERRE")</f>
        <v>UNVERRE</v>
      </c>
      <c r="E27014" s="38" t="s">
        <v>300</v>
      </c>
      <c r="F27014" s="38" t="s">
        <v>123</v>
      </c>
      <c r="G27014" s="49" t="str">
        <f t="shared" si="1"/>
        <v>28160</v>
      </c>
      <c r="H27014" s="49">
        <f t="shared" si="2"/>
        <v>28398</v>
      </c>
    </row>
    <row r="27015">
      <c r="A27015" s="48" t="s">
        <v>12252</v>
      </c>
      <c r="B27015" s="38">
        <v>56001.0</v>
      </c>
      <c r="C27015" s="38" t="s">
        <v>31484</v>
      </c>
      <c r="D27015" s="38" t="str">
        <f>IFERROR(__xludf.DUMMYFUNCTION("REGEXREPLACE(C27015,""-\d+(.*)|--\d+(.*)"","""")"),"ALLAIRE")</f>
        <v>ALLAIRE</v>
      </c>
      <c r="E27015" s="38" t="s">
        <v>173</v>
      </c>
      <c r="F27015" s="38" t="s">
        <v>90</v>
      </c>
      <c r="G27015" s="49" t="str">
        <f t="shared" si="1"/>
        <v>56350</v>
      </c>
      <c r="H27015" s="49">
        <f t="shared" si="2"/>
        <v>56001</v>
      </c>
    </row>
    <row r="27016">
      <c r="A27016" s="48" t="s">
        <v>3473</v>
      </c>
      <c r="B27016" s="38">
        <v>69158.0</v>
      </c>
      <c r="C27016" s="38" t="s">
        <v>31485</v>
      </c>
      <c r="D27016" s="38" t="str">
        <f>IFERROR(__xludf.DUMMYFUNCTION("REGEXREPLACE(C27016,""-\d+(.*)|--\d+(.*)"","""")"),"PONT-TRAMBOUZE")</f>
        <v>PONT-TRAMBOUZE</v>
      </c>
      <c r="E27016" s="38" t="s">
        <v>350</v>
      </c>
      <c r="F27016" s="38" t="s">
        <v>102</v>
      </c>
      <c r="G27016" s="49" t="str">
        <f t="shared" si="1"/>
        <v>69240</v>
      </c>
      <c r="H27016" s="49">
        <f t="shared" si="2"/>
        <v>69158</v>
      </c>
    </row>
    <row r="27017">
      <c r="A27017" s="48" t="s">
        <v>3943</v>
      </c>
      <c r="B27017" s="38">
        <v>15122.0</v>
      </c>
      <c r="C27017" s="38" t="s">
        <v>31486</v>
      </c>
      <c r="D27017" s="38" t="str">
        <f>IFERROR(__xludf.DUMMYFUNCTION("REGEXREPLACE(C27017,""-\d+(.*)|--\d+(.*)"","""")"),"MAURS")</f>
        <v>MAURS</v>
      </c>
      <c r="E27017" s="38" t="s">
        <v>632</v>
      </c>
      <c r="F27017" s="38" t="s">
        <v>161</v>
      </c>
      <c r="G27017" s="49" t="str">
        <f t="shared" si="1"/>
        <v>15600</v>
      </c>
      <c r="H27017" s="49">
        <f t="shared" si="2"/>
        <v>15122</v>
      </c>
    </row>
    <row r="27018">
      <c r="A27018" s="48" t="s">
        <v>2120</v>
      </c>
      <c r="B27018" s="38">
        <v>50576.0</v>
      </c>
      <c r="C27018" s="38" t="s">
        <v>31487</v>
      </c>
      <c r="D27018" s="38" t="str">
        <f>IFERROR(__xludf.DUMMYFUNCTION("REGEXREPLACE(C27018,""-\d+(.*)|--\d+(.*)"","""")"),"SIOUVILLE-HAGUE")</f>
        <v>SIOUVILLE-HAGUE</v>
      </c>
      <c r="E27018" s="38" t="s">
        <v>157</v>
      </c>
      <c r="F27018" s="38" t="s">
        <v>138</v>
      </c>
      <c r="G27018" s="49" t="str">
        <f t="shared" si="1"/>
        <v>50340</v>
      </c>
      <c r="H27018" s="49">
        <f t="shared" si="2"/>
        <v>50576</v>
      </c>
    </row>
    <row r="27019">
      <c r="A27019" s="48" t="s">
        <v>1804</v>
      </c>
      <c r="B27019" s="38">
        <v>78486.0</v>
      </c>
      <c r="C27019" s="38" t="s">
        <v>31488</v>
      </c>
      <c r="D27019" s="38" t="str">
        <f>IFERROR(__xludf.DUMMYFUNCTION("REGEXREPLACE(C27019,""-\d+(.*)|--\d+(.*)"","""")"),"LE PERRAY-EN-YVELINES")</f>
        <v>LE PERRAY-EN-YVELINES</v>
      </c>
      <c r="E27019" s="38" t="s">
        <v>362</v>
      </c>
      <c r="F27019" s="38" t="s">
        <v>245</v>
      </c>
      <c r="G27019" s="49" t="str">
        <f t="shared" si="1"/>
        <v>78610</v>
      </c>
      <c r="H27019" s="49">
        <f t="shared" si="2"/>
        <v>78486</v>
      </c>
    </row>
    <row r="27020">
      <c r="A27020" s="48" t="s">
        <v>767</v>
      </c>
      <c r="B27020" s="38">
        <v>91184.0</v>
      </c>
      <c r="C27020" s="38" t="s">
        <v>31489</v>
      </c>
      <c r="D27020" s="38" t="str">
        <f>IFERROR(__xludf.DUMMYFUNCTION("REGEXREPLACE(C27020,""-\d+(.*)|--\d+(.*)"","""")"),"COURDIMANCHE-SUR-ESSONNE")</f>
        <v>COURDIMANCHE-SUR-ESSONNE</v>
      </c>
      <c r="E27020" s="38" t="s">
        <v>756</v>
      </c>
      <c r="F27020" s="38" t="s">
        <v>245</v>
      </c>
      <c r="G27020" s="49" t="str">
        <f t="shared" si="1"/>
        <v>91720</v>
      </c>
      <c r="H27020" s="49">
        <f t="shared" si="2"/>
        <v>91184</v>
      </c>
    </row>
    <row r="27021">
      <c r="A27021" s="48" t="s">
        <v>2075</v>
      </c>
      <c r="B27021" s="38">
        <v>46242.0</v>
      </c>
      <c r="C27021" s="38" t="s">
        <v>31490</v>
      </c>
      <c r="D27021" s="38" t="str">
        <f>IFERROR(__xludf.DUMMYFUNCTION("REGEXREPLACE(C27021,""-\d+(.*)|--\d+(.*)"","""")"),"RUDELLE")</f>
        <v>RUDELLE</v>
      </c>
      <c r="E27021" s="38" t="s">
        <v>185</v>
      </c>
      <c r="F27021" s="38" t="s">
        <v>94</v>
      </c>
      <c r="G27021" s="49" t="str">
        <f t="shared" si="1"/>
        <v>46120</v>
      </c>
      <c r="H27021" s="49">
        <f t="shared" si="2"/>
        <v>46242</v>
      </c>
    </row>
    <row r="27022">
      <c r="A27022" s="48" t="s">
        <v>524</v>
      </c>
      <c r="B27022" s="38">
        <v>30073.0</v>
      </c>
      <c r="C27022" s="38" t="s">
        <v>31491</v>
      </c>
      <c r="D27022" s="38" t="str">
        <f>IFERROR(__xludf.DUMMYFUNCTION("REGEXREPLACE(C27022,""-\d+(.*)|--\d+(.*)"","""")"),"CASTILLON-DU-GARD")</f>
        <v>CASTILLON-DU-GARD</v>
      </c>
      <c r="E27022" s="38" t="s">
        <v>526</v>
      </c>
      <c r="F27022" s="38" t="s">
        <v>119</v>
      </c>
      <c r="G27022" s="49" t="str">
        <f t="shared" si="1"/>
        <v>30210</v>
      </c>
      <c r="H27022" s="49">
        <f t="shared" si="2"/>
        <v>30073</v>
      </c>
    </row>
    <row r="27023">
      <c r="A27023" s="48" t="s">
        <v>960</v>
      </c>
      <c r="B27023" s="38">
        <v>28223.0</v>
      </c>
      <c r="C27023" s="38" t="s">
        <v>31492</v>
      </c>
      <c r="D27023" s="38" t="str">
        <f>IFERROR(__xludf.DUMMYFUNCTION("REGEXREPLACE(C27023,""-\d+(.*)|--\d+(.*)"","""")"),"LURAY")</f>
        <v>LURAY</v>
      </c>
      <c r="E27023" s="38" t="s">
        <v>300</v>
      </c>
      <c r="F27023" s="38" t="s">
        <v>123</v>
      </c>
      <c r="G27023" s="49" t="str">
        <f t="shared" si="1"/>
        <v>28500</v>
      </c>
      <c r="H27023" s="49">
        <f t="shared" si="2"/>
        <v>28223</v>
      </c>
    </row>
    <row r="27024">
      <c r="A27024" s="48" t="s">
        <v>3172</v>
      </c>
      <c r="B27024" s="38">
        <v>28057.0</v>
      </c>
      <c r="C27024" s="38" t="s">
        <v>26007</v>
      </c>
      <c r="D27024" s="38" t="str">
        <f>IFERROR(__xludf.DUMMYFUNCTION("REGEXREPLACE(C27024,""-\d+(.*)|--\d+(.*)"","""")"),"BOUVILLE")</f>
        <v>BOUVILLE</v>
      </c>
      <c r="E27024" s="38" t="s">
        <v>300</v>
      </c>
      <c r="F27024" s="38" t="s">
        <v>123</v>
      </c>
      <c r="G27024" s="49" t="str">
        <f t="shared" si="1"/>
        <v>28800</v>
      </c>
      <c r="H27024" s="49">
        <f t="shared" si="2"/>
        <v>28057</v>
      </c>
    </row>
    <row r="27025">
      <c r="A27025" s="48" t="s">
        <v>3772</v>
      </c>
      <c r="B27025" s="38">
        <v>45266.0</v>
      </c>
      <c r="C27025" s="38" t="s">
        <v>31493</v>
      </c>
      <c r="D27025" s="38" t="str">
        <f>IFERROR(__xludf.DUMMYFUNCTION("REGEXREPLACE(C27025,""-\d+(.*)|--\d+(.*)"","""")"),"RUAN")</f>
        <v>RUAN</v>
      </c>
      <c r="E27025" s="38" t="s">
        <v>122</v>
      </c>
      <c r="F27025" s="38" t="s">
        <v>123</v>
      </c>
      <c r="G27025" s="49" t="str">
        <f t="shared" si="1"/>
        <v>45410</v>
      </c>
      <c r="H27025" s="49">
        <f t="shared" si="2"/>
        <v>45266</v>
      </c>
    </row>
    <row r="27026">
      <c r="A27026" s="48" t="s">
        <v>18048</v>
      </c>
      <c r="B27026" s="38">
        <v>86115.0</v>
      </c>
      <c r="C27026" s="38" t="s">
        <v>31494</v>
      </c>
      <c r="D27026" s="38" t="str">
        <f>IFERROR(__xludf.DUMMYFUNCTION("REGEXREPLACE(C27026,""-\d+(.*)|--\d+(.*)"","""")"),"JAUNAY-CLAN")</f>
        <v>JAUNAY-CLAN</v>
      </c>
      <c r="E27026" s="38" t="s">
        <v>529</v>
      </c>
      <c r="F27026" s="38" t="s">
        <v>338</v>
      </c>
      <c r="G27026" s="49" t="str">
        <f t="shared" si="1"/>
        <v>86130</v>
      </c>
      <c r="H27026" s="49">
        <f t="shared" si="2"/>
        <v>86115</v>
      </c>
    </row>
    <row r="27027">
      <c r="A27027" s="48" t="s">
        <v>3651</v>
      </c>
      <c r="B27027" s="38">
        <v>19214.0</v>
      </c>
      <c r="C27027" s="38" t="s">
        <v>31495</v>
      </c>
      <c r="D27027" s="38" t="str">
        <f>IFERROR(__xludf.DUMMYFUNCTION("REGEXREPLACE(C27027,""-\d+(.*)|--\d+(.*)"","""")"),"SAINT-JULIEN-AUX-BOIS")</f>
        <v>SAINT-JULIEN-AUX-BOIS</v>
      </c>
      <c r="E27027" s="38" t="s">
        <v>271</v>
      </c>
      <c r="F27027" s="38" t="s">
        <v>98</v>
      </c>
      <c r="G27027" s="49" t="str">
        <f t="shared" si="1"/>
        <v>19220</v>
      </c>
      <c r="H27027" s="49">
        <f t="shared" si="2"/>
        <v>19214</v>
      </c>
    </row>
    <row r="27028">
      <c r="A27028" s="48" t="s">
        <v>1118</v>
      </c>
      <c r="B27028" s="38">
        <v>50405.0</v>
      </c>
      <c r="C27028" s="38" t="s">
        <v>31496</v>
      </c>
      <c r="D27028" s="38" t="str">
        <f>IFERROR(__xludf.DUMMYFUNCTION("REGEXREPLACE(C27028,""-\d+(.*)|--\d+(.*)"","""")"),"LE PLESSIS-LASTELLE")</f>
        <v>LE PLESSIS-LASTELLE</v>
      </c>
      <c r="E27028" s="38" t="s">
        <v>157</v>
      </c>
      <c r="F27028" s="38" t="s">
        <v>138</v>
      </c>
      <c r="G27028" s="49" t="str">
        <f t="shared" si="1"/>
        <v>50250</v>
      </c>
      <c r="H27028" s="49">
        <f t="shared" si="2"/>
        <v>50405</v>
      </c>
    </row>
    <row r="27029">
      <c r="A27029" s="48" t="s">
        <v>31497</v>
      </c>
      <c r="B27029" s="38">
        <v>87201.0</v>
      </c>
      <c r="C27029" s="38" t="s">
        <v>31498</v>
      </c>
      <c r="D27029" s="38" t="str">
        <f>IFERROR(__xludf.DUMMYFUNCTION("REGEXREPLACE(C27029,""-\d+(.*)|--\d+(.*)"","""")"),"VERNEUIL-SUR-VIENNE")</f>
        <v>VERNEUIL-SUR-VIENNE</v>
      </c>
      <c r="E27029" s="38" t="s">
        <v>897</v>
      </c>
      <c r="F27029" s="38" t="s">
        <v>98</v>
      </c>
      <c r="G27029" s="49" t="str">
        <f t="shared" si="1"/>
        <v>87430</v>
      </c>
      <c r="H27029" s="49">
        <f t="shared" si="2"/>
        <v>87201</v>
      </c>
    </row>
    <row r="27030">
      <c r="A27030" s="48" t="s">
        <v>5275</v>
      </c>
      <c r="B27030" s="38">
        <v>17033.0</v>
      </c>
      <c r="C27030" s="38" t="s">
        <v>31499</v>
      </c>
      <c r="D27030" s="38" t="str">
        <f>IFERROR(__xludf.DUMMYFUNCTION("REGEXREPLACE(C27030,""-\d+(.*)|--\d+(.*)"","""")"),"LA BARDE")</f>
        <v>LA BARDE</v>
      </c>
      <c r="E27030" s="38" t="s">
        <v>488</v>
      </c>
      <c r="F27030" s="38" t="s">
        <v>338</v>
      </c>
      <c r="G27030" s="49" t="str">
        <f t="shared" si="1"/>
        <v>17360</v>
      </c>
      <c r="H27030" s="49">
        <f t="shared" si="2"/>
        <v>17033</v>
      </c>
    </row>
    <row r="27031">
      <c r="A27031" s="48" t="s">
        <v>3283</v>
      </c>
      <c r="B27031" s="38">
        <v>52008.0</v>
      </c>
      <c r="C27031" s="38" t="s">
        <v>31500</v>
      </c>
      <c r="D27031" s="38" t="str">
        <f>IFERROR(__xludf.DUMMYFUNCTION("REGEXREPLACE(C27031,""-\d+(.*)|--\d+(.*)"","""")"),"ANDELOT-BLANCHEVILLE")</f>
        <v>ANDELOT-BLANCHEVILLE</v>
      </c>
      <c r="E27031" s="38" t="s">
        <v>234</v>
      </c>
      <c r="F27031" s="38" t="s">
        <v>130</v>
      </c>
      <c r="G27031" s="49" t="str">
        <f t="shared" si="1"/>
        <v>52700</v>
      </c>
      <c r="H27031" s="49">
        <f t="shared" si="2"/>
        <v>52008</v>
      </c>
    </row>
    <row r="27032">
      <c r="A27032" s="48" t="s">
        <v>2261</v>
      </c>
      <c r="B27032" s="38">
        <v>9217.0</v>
      </c>
      <c r="C27032" s="38" t="s">
        <v>31501</v>
      </c>
      <c r="D27032" s="38" t="str">
        <f>IFERROR(__xludf.DUMMYFUNCTION("REGEXREPLACE(C27032,""-\d+(.*)|--\d+(.*)"","""")"),"NIAUX")</f>
        <v>NIAUX</v>
      </c>
      <c r="E27032" s="38" t="s">
        <v>238</v>
      </c>
      <c r="F27032" s="38" t="s">
        <v>94</v>
      </c>
      <c r="G27032" s="49" t="str">
        <f t="shared" si="1"/>
        <v>09400</v>
      </c>
      <c r="H27032" s="49" t="str">
        <f t="shared" si="2"/>
        <v>09217</v>
      </c>
    </row>
    <row r="27033">
      <c r="A27033" s="48" t="s">
        <v>6602</v>
      </c>
      <c r="B27033" s="38">
        <v>68338.0</v>
      </c>
      <c r="C27033" s="38" t="s">
        <v>31502</v>
      </c>
      <c r="D27033" s="38" t="str">
        <f>IFERROR(__xludf.DUMMYFUNCTION("REGEXREPLACE(C27033,""-\d+(.*)|--\d+(.*)"","""")"),"TURCKHEIM")</f>
        <v>TURCKHEIM</v>
      </c>
      <c r="E27033" s="38" t="s">
        <v>150</v>
      </c>
      <c r="F27033" s="38" t="s">
        <v>151</v>
      </c>
      <c r="G27033" s="49" t="str">
        <f t="shared" si="1"/>
        <v>68230</v>
      </c>
      <c r="H27033" s="49">
        <f t="shared" si="2"/>
        <v>68338</v>
      </c>
    </row>
    <row r="27034">
      <c r="A27034" s="48" t="s">
        <v>674</v>
      </c>
      <c r="B27034" s="38">
        <v>49317.0</v>
      </c>
      <c r="C27034" s="38" t="s">
        <v>31503</v>
      </c>
      <c r="D27034" s="38" t="str">
        <f>IFERROR(__xludf.DUMMYFUNCTION("REGEXREPLACE(C27034,""-\d+(.*)|--\d+(.*)"","""")"),"SAINT-REMY-LA-VARENNE")</f>
        <v>SAINT-REMY-LA-VARENNE</v>
      </c>
      <c r="E27034" s="38" t="s">
        <v>653</v>
      </c>
      <c r="F27034" s="38" t="s">
        <v>180</v>
      </c>
      <c r="G27034" s="49" t="str">
        <f t="shared" si="1"/>
        <v>49250</v>
      </c>
      <c r="H27034" s="49">
        <f t="shared" si="2"/>
        <v>49317</v>
      </c>
    </row>
    <row r="27035">
      <c r="A27035" s="48" t="s">
        <v>2868</v>
      </c>
      <c r="B27035" s="38">
        <v>80176.0</v>
      </c>
      <c r="C27035" s="38" t="s">
        <v>31504</v>
      </c>
      <c r="D27035" s="38" t="str">
        <f>IFERROR(__xludf.DUMMYFUNCTION("REGEXREPLACE(C27035,""-\d+(.*)|--\d+(.*)"","""")"),"CARREPUIS")</f>
        <v>CARREPUIS</v>
      </c>
      <c r="E27035" s="38" t="s">
        <v>224</v>
      </c>
      <c r="F27035" s="38" t="s">
        <v>113</v>
      </c>
      <c r="G27035" s="49" t="str">
        <f t="shared" si="1"/>
        <v>80700</v>
      </c>
      <c r="H27035" s="49">
        <f t="shared" si="2"/>
        <v>80176</v>
      </c>
    </row>
    <row r="27036">
      <c r="A27036" s="48" t="s">
        <v>315</v>
      </c>
      <c r="B27036" s="38">
        <v>27003.0</v>
      </c>
      <c r="C27036" s="38" t="s">
        <v>31505</v>
      </c>
      <c r="D27036" s="38" t="str">
        <f>IFERROR(__xludf.DUMMYFUNCTION("REGEXREPLACE(C27036,""-\d+(.*)|--\d+(.*)"","""")"),"ACQUIGNY")</f>
        <v>ACQUIGNY</v>
      </c>
      <c r="E27036" s="38" t="s">
        <v>241</v>
      </c>
      <c r="F27036" s="38" t="s">
        <v>134</v>
      </c>
      <c r="G27036" s="49" t="str">
        <f t="shared" si="1"/>
        <v>27400</v>
      </c>
      <c r="H27036" s="49">
        <f t="shared" si="2"/>
        <v>27003</v>
      </c>
    </row>
    <row r="27037">
      <c r="A27037" s="48" t="s">
        <v>10259</v>
      </c>
      <c r="B27037" s="38">
        <v>73221.0</v>
      </c>
      <c r="C27037" s="38" t="s">
        <v>31506</v>
      </c>
      <c r="D27037" s="38" t="str">
        <f>IFERROR(__xludf.DUMMYFUNCTION("REGEXREPLACE(C27037,""-\d+(.*)|--\d+(.*)"","""")"),"SAINT-ALBAN-DES-VILLARDS")</f>
        <v>SAINT-ALBAN-DES-VILLARDS</v>
      </c>
      <c r="E27037" s="38" t="s">
        <v>306</v>
      </c>
      <c r="F27037" s="38" t="s">
        <v>102</v>
      </c>
      <c r="G27037" s="49" t="str">
        <f t="shared" si="1"/>
        <v>73130</v>
      </c>
      <c r="H27037" s="49">
        <f t="shared" si="2"/>
        <v>73221</v>
      </c>
    </row>
    <row r="27038">
      <c r="A27038" s="48" t="s">
        <v>31507</v>
      </c>
      <c r="B27038" s="38">
        <v>77179.0</v>
      </c>
      <c r="C27038" s="38" t="s">
        <v>31508</v>
      </c>
      <c r="D27038" s="38" t="str">
        <f>IFERROR(__xludf.DUMMYFUNCTION("REGEXREPLACE(C27038,""-\d+(.*)|--\d+(.*)"","""")"),"FERICY")</f>
        <v>FERICY</v>
      </c>
      <c r="E27038" s="38" t="s">
        <v>244</v>
      </c>
      <c r="F27038" s="38" t="s">
        <v>245</v>
      </c>
      <c r="G27038" s="49" t="str">
        <f t="shared" si="1"/>
        <v>77133</v>
      </c>
      <c r="H27038" s="49">
        <f t="shared" si="2"/>
        <v>77179</v>
      </c>
    </row>
    <row r="27039">
      <c r="A27039" s="48" t="s">
        <v>9587</v>
      </c>
      <c r="B27039" s="38">
        <v>67398.0</v>
      </c>
      <c r="C27039" s="38" t="s">
        <v>31509</v>
      </c>
      <c r="D27039" s="38" t="str">
        <f>IFERROR(__xludf.DUMMYFUNCTION("REGEXREPLACE(C27039,""-\d+(.*)|--\d+(.*)"","""")"),"RICHTOLSHEIM")</f>
        <v>RICHTOLSHEIM</v>
      </c>
      <c r="E27039" s="38" t="s">
        <v>210</v>
      </c>
      <c r="F27039" s="38" t="s">
        <v>151</v>
      </c>
      <c r="G27039" s="49" t="str">
        <f t="shared" si="1"/>
        <v>67390</v>
      </c>
      <c r="H27039" s="49">
        <f t="shared" si="2"/>
        <v>67398</v>
      </c>
    </row>
    <row r="27040">
      <c r="A27040" s="48" t="s">
        <v>401</v>
      </c>
      <c r="B27040" s="38">
        <v>24516.0</v>
      </c>
      <c r="C27040" s="38" t="s">
        <v>31510</v>
      </c>
      <c r="D27040" s="38" t="str">
        <f>IFERROR(__xludf.DUMMYFUNCTION("REGEXREPLACE(C27040,""-\d+(.*)|--\d+(.*)"","""")"),"SALIGNAC-EYVIGUES")</f>
        <v>SALIGNAC-EYVIGUES</v>
      </c>
      <c r="E27040" s="38" t="s">
        <v>261</v>
      </c>
      <c r="F27040" s="38" t="s">
        <v>252</v>
      </c>
      <c r="G27040" s="49" t="str">
        <f t="shared" si="1"/>
        <v>24590</v>
      </c>
      <c r="H27040" s="49">
        <f t="shared" si="2"/>
        <v>24516</v>
      </c>
    </row>
    <row r="27041">
      <c r="A27041" s="48" t="s">
        <v>785</v>
      </c>
      <c r="B27041" s="38">
        <v>33304.0</v>
      </c>
      <c r="C27041" s="38" t="s">
        <v>31511</v>
      </c>
      <c r="D27041" s="38" t="str">
        <f>IFERROR(__xludf.DUMMYFUNCTION("REGEXREPLACE(C27041,""-\d+(.*)|--\d+(.*)"","""")"),"NEUFFONS")</f>
        <v>NEUFFONS</v>
      </c>
      <c r="E27041" s="38" t="s">
        <v>462</v>
      </c>
      <c r="F27041" s="38" t="s">
        <v>252</v>
      </c>
      <c r="G27041" s="49" t="str">
        <f t="shared" si="1"/>
        <v>33580</v>
      </c>
      <c r="H27041" s="49">
        <f t="shared" si="2"/>
        <v>33304</v>
      </c>
    </row>
    <row r="27042">
      <c r="A27042" s="48" t="s">
        <v>5372</v>
      </c>
      <c r="B27042" s="38">
        <v>73112.0</v>
      </c>
      <c r="C27042" s="38" t="s">
        <v>31512</v>
      </c>
      <c r="D27042" s="38" t="str">
        <f>IFERROR(__xludf.DUMMYFUNCTION("REGEXREPLACE(C27042,""-\d+(.*)|--\d+(.*)"","""")"),"FEISSONS-SUR-ISERE")</f>
        <v>FEISSONS-SUR-ISERE</v>
      </c>
      <c r="E27042" s="38" t="s">
        <v>306</v>
      </c>
      <c r="F27042" s="38" t="s">
        <v>102</v>
      </c>
      <c r="G27042" s="49" t="str">
        <f t="shared" si="1"/>
        <v>73260</v>
      </c>
      <c r="H27042" s="49">
        <f t="shared" si="2"/>
        <v>73112</v>
      </c>
    </row>
    <row r="27043">
      <c r="A27043" s="48" t="s">
        <v>1641</v>
      </c>
      <c r="B27043" s="38">
        <v>18275.0</v>
      </c>
      <c r="C27043" s="38" t="s">
        <v>31513</v>
      </c>
      <c r="D27043" s="38" t="str">
        <f>IFERROR(__xludf.DUMMYFUNCTION("REGEXREPLACE(C27043,""-\d+(.*)|--\d+(.*)"","""")"),"VEREAUX")</f>
        <v>VEREAUX</v>
      </c>
      <c r="E27043" s="38" t="s">
        <v>504</v>
      </c>
      <c r="F27043" s="38" t="s">
        <v>123</v>
      </c>
      <c r="G27043" s="49" t="str">
        <f t="shared" si="1"/>
        <v>18600</v>
      </c>
      <c r="H27043" s="49">
        <f t="shared" si="2"/>
        <v>18275</v>
      </c>
    </row>
    <row r="27044">
      <c r="A27044" s="48" t="s">
        <v>2292</v>
      </c>
      <c r="B27044" s="38">
        <v>76675.0</v>
      </c>
      <c r="C27044" s="38" t="s">
        <v>31514</v>
      </c>
      <c r="D27044" s="38" t="str">
        <f>IFERROR(__xludf.DUMMYFUNCTION("REGEXREPLACE(C27044,""-\d+(.*)|--\d+(.*)"","""")"),"SIERVILLE")</f>
        <v>SIERVILLE</v>
      </c>
      <c r="E27044" s="38" t="s">
        <v>133</v>
      </c>
      <c r="F27044" s="38" t="s">
        <v>134</v>
      </c>
      <c r="G27044" s="49" t="str">
        <f t="shared" si="1"/>
        <v>76690</v>
      </c>
      <c r="H27044" s="49">
        <f t="shared" si="2"/>
        <v>76675</v>
      </c>
    </row>
    <row r="27045">
      <c r="A27045" s="48" t="s">
        <v>2668</v>
      </c>
      <c r="B27045" s="38">
        <v>55165.0</v>
      </c>
      <c r="C27045" s="38" t="s">
        <v>31515</v>
      </c>
      <c r="D27045" s="38" t="str">
        <f>IFERROR(__xludf.DUMMYFUNCTION("REGEXREPLACE(C27045,""-\d+(.*)|--\d+(.*)"","""")"),"DOULCON")</f>
        <v>DOULCON</v>
      </c>
      <c r="E27045" s="38" t="s">
        <v>322</v>
      </c>
      <c r="F27045" s="38" t="s">
        <v>195</v>
      </c>
      <c r="G27045" s="49" t="str">
        <f t="shared" si="1"/>
        <v>55110</v>
      </c>
      <c r="H27045" s="49">
        <f t="shared" si="2"/>
        <v>55165</v>
      </c>
    </row>
    <row r="27046">
      <c r="A27046" s="48" t="s">
        <v>9313</v>
      </c>
      <c r="B27046" s="38">
        <v>39460.0</v>
      </c>
      <c r="C27046" s="38" t="s">
        <v>31516</v>
      </c>
      <c r="D27046" s="38" t="str">
        <f>IFERROR(__xludf.DUMMYFUNCTION("REGEXREPLACE(C27046,""-\d+(.*)|--\d+(.*)"","""")"),"LA RIXOUSE")</f>
        <v>LA RIXOUSE</v>
      </c>
      <c r="E27046" s="38" t="s">
        <v>400</v>
      </c>
      <c r="F27046" s="38" t="s">
        <v>214</v>
      </c>
      <c r="G27046" s="49" t="str">
        <f t="shared" si="1"/>
        <v>39200</v>
      </c>
      <c r="H27046" s="49">
        <f t="shared" si="2"/>
        <v>39460</v>
      </c>
    </row>
    <row r="27047">
      <c r="A27047" s="48" t="s">
        <v>771</v>
      </c>
      <c r="B27047" s="38">
        <v>60329.0</v>
      </c>
      <c r="C27047" s="38" t="s">
        <v>31517</v>
      </c>
      <c r="D27047" s="38" t="str">
        <f>IFERROR(__xludf.DUMMYFUNCTION("REGEXREPLACE(C27047,""-\d+(.*)|--\d+(.*)"","""")"),"LABERLIERE")</f>
        <v>LABERLIERE</v>
      </c>
      <c r="E27047" s="38" t="s">
        <v>112</v>
      </c>
      <c r="F27047" s="38" t="s">
        <v>113</v>
      </c>
      <c r="G27047" s="49" t="str">
        <f t="shared" si="1"/>
        <v>60310</v>
      </c>
      <c r="H27047" s="49">
        <f t="shared" si="2"/>
        <v>60329</v>
      </c>
    </row>
    <row r="27048">
      <c r="A27048" s="48" t="s">
        <v>15628</v>
      </c>
      <c r="B27048" s="38">
        <v>77205.0</v>
      </c>
      <c r="C27048" s="38" t="s">
        <v>31518</v>
      </c>
      <c r="D27048" s="38" t="str">
        <f>IFERROR(__xludf.DUMMYFUNCTION("REGEXREPLACE(C27048,""-\d+(.*)|--\d+(.*)"","""")"),"GESVRES-LE-CHAPITRE")</f>
        <v>GESVRES-LE-CHAPITRE</v>
      </c>
      <c r="E27048" s="38" t="s">
        <v>244</v>
      </c>
      <c r="F27048" s="38" t="s">
        <v>245</v>
      </c>
      <c r="G27048" s="49" t="str">
        <f t="shared" si="1"/>
        <v>77165</v>
      </c>
      <c r="H27048" s="49">
        <f t="shared" si="2"/>
        <v>77205</v>
      </c>
    </row>
    <row r="27049">
      <c r="A27049" s="48" t="s">
        <v>7250</v>
      </c>
      <c r="B27049" s="38">
        <v>89320.0</v>
      </c>
      <c r="C27049" s="38" t="s">
        <v>27733</v>
      </c>
      <c r="D27049" s="38" t="str">
        <f>IFERROR(__xludf.DUMMYFUNCTION("REGEXREPLACE(C27049,""-\d+(.*)|--\d+(.*)"","""")"),"QUINCEROT")</f>
        <v>QUINCEROT</v>
      </c>
      <c r="E27049" s="38" t="s">
        <v>275</v>
      </c>
      <c r="F27049" s="38" t="s">
        <v>106</v>
      </c>
      <c r="G27049" s="49" t="str">
        <f t="shared" si="1"/>
        <v>89740</v>
      </c>
      <c r="H27049" s="49">
        <f t="shared" si="2"/>
        <v>89320</v>
      </c>
    </row>
    <row r="27050">
      <c r="A27050" s="48" t="s">
        <v>10327</v>
      </c>
      <c r="B27050" s="38">
        <v>57452.0</v>
      </c>
      <c r="C27050" s="38" t="s">
        <v>31519</v>
      </c>
      <c r="D27050" s="38" t="str">
        <f>IFERROR(__xludf.DUMMYFUNCTION("REGEXREPLACE(C27050,""-\d+(.*)|--\d+(.*)"","""")"),"LA MAXE")</f>
        <v>LA MAXE</v>
      </c>
      <c r="E27050" s="38" t="s">
        <v>303</v>
      </c>
      <c r="F27050" s="38" t="s">
        <v>195</v>
      </c>
      <c r="G27050" s="49" t="str">
        <f t="shared" si="1"/>
        <v>57140</v>
      </c>
      <c r="H27050" s="49">
        <f t="shared" si="2"/>
        <v>57452</v>
      </c>
    </row>
    <row r="27051">
      <c r="A27051" s="48" t="s">
        <v>13409</v>
      </c>
      <c r="B27051" s="38">
        <v>35346.0</v>
      </c>
      <c r="C27051" s="38" t="s">
        <v>31520</v>
      </c>
      <c r="D27051" s="38" t="str">
        <f>IFERROR(__xludf.DUMMYFUNCTION("REGEXREPLACE(C27051,""-\d+(.*)|--\d+(.*)"","""")"),"TRIMER")</f>
        <v>TRIMER</v>
      </c>
      <c r="E27051" s="38" t="s">
        <v>347</v>
      </c>
      <c r="F27051" s="38" t="s">
        <v>90</v>
      </c>
      <c r="G27051" s="49" t="str">
        <f t="shared" si="1"/>
        <v>35190</v>
      </c>
      <c r="H27051" s="49">
        <f t="shared" si="2"/>
        <v>35346</v>
      </c>
    </row>
    <row r="27052">
      <c r="A27052" s="48" t="s">
        <v>4274</v>
      </c>
      <c r="B27052" s="38">
        <v>52135.0</v>
      </c>
      <c r="C27052" s="38" t="s">
        <v>31521</v>
      </c>
      <c r="D27052" s="38" t="str">
        <f>IFERROR(__xludf.DUMMYFUNCTION("REGEXREPLACE(C27052,""-\d+(.*)|--\d+(.*)"","""")"),"COIFFY-LE-BAS")</f>
        <v>COIFFY-LE-BAS</v>
      </c>
      <c r="E27052" s="38" t="s">
        <v>234</v>
      </c>
      <c r="F27052" s="38" t="s">
        <v>130</v>
      </c>
      <c r="G27052" s="49" t="str">
        <f t="shared" si="1"/>
        <v>52400</v>
      </c>
      <c r="H27052" s="49">
        <f t="shared" si="2"/>
        <v>52135</v>
      </c>
    </row>
    <row r="27053">
      <c r="A27053" s="48" t="s">
        <v>4388</v>
      </c>
      <c r="B27053" s="38">
        <v>31318.0</v>
      </c>
      <c r="C27053" s="38" t="s">
        <v>31522</v>
      </c>
      <c r="D27053" s="38" t="str">
        <f>IFERROR(__xludf.DUMMYFUNCTION("REGEXREPLACE(C27053,""-\d+(.*)|--\d+(.*)"","""")"),"MARIGNAC-LASPEYRES")</f>
        <v>MARIGNAC-LASPEYRES</v>
      </c>
      <c r="E27053" s="38" t="s">
        <v>93</v>
      </c>
      <c r="F27053" s="38" t="s">
        <v>94</v>
      </c>
      <c r="G27053" s="49" t="str">
        <f t="shared" si="1"/>
        <v>31220</v>
      </c>
      <c r="H27053" s="49">
        <f t="shared" si="2"/>
        <v>31318</v>
      </c>
    </row>
    <row r="27054">
      <c r="A27054" s="48" t="s">
        <v>31523</v>
      </c>
      <c r="B27054" s="38">
        <v>78242.0</v>
      </c>
      <c r="C27054" s="38" t="s">
        <v>31524</v>
      </c>
      <c r="D27054" s="38" t="str">
        <f>IFERROR(__xludf.DUMMYFUNCTION("REGEXREPLACE(C27054,""-\d+(.*)|--\d+(.*)"","""")"),"FONTENAY-LE-FLEURY")</f>
        <v>FONTENAY-LE-FLEURY</v>
      </c>
      <c r="E27054" s="38" t="s">
        <v>362</v>
      </c>
      <c r="F27054" s="38" t="s">
        <v>245</v>
      </c>
      <c r="G27054" s="49" t="str">
        <f t="shared" si="1"/>
        <v>78330</v>
      </c>
      <c r="H27054" s="49">
        <f t="shared" si="2"/>
        <v>78242</v>
      </c>
    </row>
    <row r="27055">
      <c r="A27055" s="48" t="s">
        <v>2770</v>
      </c>
      <c r="B27055" s="38">
        <v>25225.0</v>
      </c>
      <c r="C27055" s="38" t="s">
        <v>31525</v>
      </c>
      <c r="D27055" s="38" t="str">
        <f>IFERROR(__xludf.DUMMYFUNCTION("REGEXREPLACE(C27055,""-\d+(.*)|--\d+(.*)"","""")"),"ETRABONNE")</f>
        <v>ETRABONNE</v>
      </c>
      <c r="E27055" s="38" t="s">
        <v>213</v>
      </c>
      <c r="F27055" s="38" t="s">
        <v>214</v>
      </c>
      <c r="G27055" s="49" t="str">
        <f t="shared" si="1"/>
        <v>25170</v>
      </c>
      <c r="H27055" s="49">
        <f t="shared" si="2"/>
        <v>25225</v>
      </c>
    </row>
    <row r="27056">
      <c r="A27056" s="48" t="s">
        <v>19137</v>
      </c>
      <c r="B27056" s="38">
        <v>38336.0</v>
      </c>
      <c r="C27056" s="38" t="s">
        <v>31526</v>
      </c>
      <c r="D27056" s="38" t="str">
        <f>IFERROR(__xludf.DUMMYFUNCTION("REGEXREPLACE(C27056,""-\d+(.*)|--\d+(.*)"","""")"),"REVENTIN-VAUGRIS")</f>
        <v>REVENTIN-VAUGRIS</v>
      </c>
      <c r="E27056" s="38" t="s">
        <v>101</v>
      </c>
      <c r="F27056" s="38" t="s">
        <v>102</v>
      </c>
      <c r="G27056" s="49" t="str">
        <f t="shared" si="1"/>
        <v>38121</v>
      </c>
      <c r="H27056" s="49">
        <f t="shared" si="2"/>
        <v>38336</v>
      </c>
    </row>
    <row r="27057">
      <c r="A27057" s="48" t="s">
        <v>2176</v>
      </c>
      <c r="B27057" s="38">
        <v>62467.0</v>
      </c>
      <c r="C27057" s="38" t="s">
        <v>31527</v>
      </c>
      <c r="D27057" s="38" t="str">
        <f>IFERROR(__xludf.DUMMYFUNCTION("REGEXREPLACE(C27057,""-\d+(.*)|--\d+(.*)"","""")"),"HUMEROEUILLE")</f>
        <v>HUMEROEUILLE</v>
      </c>
      <c r="E27057" s="38" t="s">
        <v>109</v>
      </c>
      <c r="F27057" s="38" t="s">
        <v>86</v>
      </c>
      <c r="G27057" s="49" t="str">
        <f t="shared" si="1"/>
        <v>62130</v>
      </c>
      <c r="H27057" s="49">
        <f t="shared" si="2"/>
        <v>62467</v>
      </c>
    </row>
    <row r="27058">
      <c r="A27058" s="48" t="s">
        <v>5200</v>
      </c>
      <c r="B27058" s="38">
        <v>45264.0</v>
      </c>
      <c r="C27058" s="38" t="s">
        <v>31528</v>
      </c>
      <c r="D27058" s="38" t="str">
        <f>IFERROR(__xludf.DUMMYFUNCTION("REGEXREPLACE(C27058,""-\d+(.*)|--\d+(.*)"","""")"),"ROZIERES-EN-BEAUCE")</f>
        <v>ROZIERES-EN-BEAUCE</v>
      </c>
      <c r="E27058" s="38" t="s">
        <v>122</v>
      </c>
      <c r="F27058" s="38" t="s">
        <v>123</v>
      </c>
      <c r="G27058" s="49" t="str">
        <f t="shared" si="1"/>
        <v>45130</v>
      </c>
      <c r="H27058" s="49">
        <f t="shared" si="2"/>
        <v>45264</v>
      </c>
    </row>
    <row r="27059">
      <c r="A27059" s="48" t="s">
        <v>28418</v>
      </c>
      <c r="B27059" s="38">
        <v>68185.0</v>
      </c>
      <c r="C27059" s="38" t="s">
        <v>31529</v>
      </c>
      <c r="D27059" s="38" t="str">
        <f>IFERROR(__xludf.DUMMYFUNCTION("REGEXREPLACE(C27059,""-\d+(.*)|--\d+(.*)"","""")"),"LIEPVRE")</f>
        <v>LIEPVRE</v>
      </c>
      <c r="E27059" s="38" t="s">
        <v>150</v>
      </c>
      <c r="F27059" s="38" t="s">
        <v>151</v>
      </c>
      <c r="G27059" s="49" t="str">
        <f t="shared" si="1"/>
        <v>68660</v>
      </c>
      <c r="H27059" s="49">
        <f t="shared" si="2"/>
        <v>68185</v>
      </c>
    </row>
    <row r="27060">
      <c r="A27060" s="48" t="s">
        <v>148</v>
      </c>
      <c r="B27060" s="38">
        <v>68382.0</v>
      </c>
      <c r="C27060" s="38" t="s">
        <v>31530</v>
      </c>
      <c r="D27060" s="38" t="str">
        <f>IFERROR(__xludf.DUMMYFUNCTION("REGEXREPLACE(C27060,""-\d+(.*)|--\d+(.*)"","""")"),"ZAESSINGUE")</f>
        <v>ZAESSINGUE</v>
      </c>
      <c r="E27060" s="38" t="s">
        <v>150</v>
      </c>
      <c r="F27060" s="38" t="s">
        <v>151</v>
      </c>
      <c r="G27060" s="49" t="str">
        <f t="shared" si="1"/>
        <v>68130</v>
      </c>
      <c r="H27060" s="49">
        <f t="shared" si="2"/>
        <v>68382</v>
      </c>
    </row>
    <row r="27061">
      <c r="A27061" s="48" t="s">
        <v>752</v>
      </c>
      <c r="B27061" s="38">
        <v>42324.0</v>
      </c>
      <c r="C27061" s="38" t="s">
        <v>31531</v>
      </c>
      <c r="D27061" s="38" t="str">
        <f>IFERROR(__xludf.DUMMYFUNCTION("REGEXREPLACE(C27061,""-\d+(.*)|--\d+(.*)"","""")"),"VEAUCHETTE")</f>
        <v>VEAUCHETTE</v>
      </c>
      <c r="E27061" s="38" t="s">
        <v>166</v>
      </c>
      <c r="F27061" s="38" t="s">
        <v>102</v>
      </c>
      <c r="G27061" s="49" t="str">
        <f t="shared" si="1"/>
        <v>42340</v>
      </c>
      <c r="H27061" s="49">
        <f t="shared" si="2"/>
        <v>42324</v>
      </c>
    </row>
    <row r="27062">
      <c r="A27062" s="48" t="s">
        <v>1594</v>
      </c>
      <c r="B27062" s="38">
        <v>45196.0</v>
      </c>
      <c r="C27062" s="38" t="s">
        <v>31532</v>
      </c>
      <c r="D27062" s="38" t="str">
        <f>IFERROR(__xludf.DUMMYFUNCTION("REGEXREPLACE(C27062,""-\d+(.*)|--\d+(.*)"","""")"),"MAREAU-AUX-PRES")</f>
        <v>MAREAU-AUX-PRES</v>
      </c>
      <c r="E27062" s="38" t="s">
        <v>122</v>
      </c>
      <c r="F27062" s="38" t="s">
        <v>123</v>
      </c>
      <c r="G27062" s="49" t="str">
        <f t="shared" si="1"/>
        <v>45370</v>
      </c>
      <c r="H27062" s="49">
        <f t="shared" si="2"/>
        <v>45196</v>
      </c>
    </row>
    <row r="27063">
      <c r="A27063" s="48" t="s">
        <v>3428</v>
      </c>
      <c r="B27063" s="38">
        <v>64316.0</v>
      </c>
      <c r="C27063" s="38" t="s">
        <v>31533</v>
      </c>
      <c r="D27063" s="38" t="str">
        <f>IFERROR(__xludf.DUMMYFUNCTION("REGEXREPLACE(C27063,""-\d+(.*)|--\d+(.*)"","""")"),"LARRAU")</f>
        <v>LARRAU</v>
      </c>
      <c r="E27063" s="38" t="s">
        <v>268</v>
      </c>
      <c r="F27063" s="38" t="s">
        <v>252</v>
      </c>
      <c r="G27063" s="49" t="str">
        <f t="shared" si="1"/>
        <v>64560</v>
      </c>
      <c r="H27063" s="49">
        <f t="shared" si="2"/>
        <v>64316</v>
      </c>
    </row>
    <row r="27064">
      <c r="A27064" s="48" t="s">
        <v>26715</v>
      </c>
      <c r="B27064" s="38">
        <v>10211.0</v>
      </c>
      <c r="C27064" s="38" t="s">
        <v>2724</v>
      </c>
      <c r="D27064" s="38" t="str">
        <f>IFERROR(__xludf.DUMMYFUNCTION("REGEXREPLACE(C27064,""-\d+(.*)|--\d+(.*)"","""")"),"MACEY")</f>
        <v>MACEY</v>
      </c>
      <c r="E27064" s="38" t="s">
        <v>147</v>
      </c>
      <c r="F27064" s="38" t="s">
        <v>130</v>
      </c>
      <c r="G27064" s="49" t="str">
        <f t="shared" si="1"/>
        <v>10300</v>
      </c>
      <c r="H27064" s="49">
        <f t="shared" si="2"/>
        <v>10211</v>
      </c>
    </row>
    <row r="27065">
      <c r="A27065" s="48" t="s">
        <v>415</v>
      </c>
      <c r="B27065" s="38">
        <v>21447.0</v>
      </c>
      <c r="C27065" s="38" t="s">
        <v>31534</v>
      </c>
      <c r="D27065" s="38" t="str">
        <f>IFERROR(__xludf.DUMMYFUNCTION("REGEXREPLACE(C27065,""-\d+(.*)|--\d+(.*)"","""")"),"MUSIGNY")</f>
        <v>MUSIGNY</v>
      </c>
      <c r="E27065" s="38" t="s">
        <v>105</v>
      </c>
      <c r="F27065" s="38" t="s">
        <v>106</v>
      </c>
      <c r="G27065" s="49" t="str">
        <f t="shared" si="1"/>
        <v>21230</v>
      </c>
      <c r="H27065" s="49">
        <f t="shared" si="2"/>
        <v>21447</v>
      </c>
    </row>
    <row r="27066">
      <c r="A27066" s="48" t="s">
        <v>8589</v>
      </c>
      <c r="B27066" s="38">
        <v>27065.0</v>
      </c>
      <c r="C27066" s="38" t="s">
        <v>31535</v>
      </c>
      <c r="D27066" s="38" t="str">
        <f>IFERROR(__xludf.DUMMYFUNCTION("REGEXREPLACE(C27066,""-\d+(.*)|--\d+(.*)"","""")"),"BEUZEVILLE")</f>
        <v>BEUZEVILLE</v>
      </c>
      <c r="E27066" s="38" t="s">
        <v>241</v>
      </c>
      <c r="F27066" s="38" t="s">
        <v>134</v>
      </c>
      <c r="G27066" s="49" t="str">
        <f t="shared" si="1"/>
        <v>27210</v>
      </c>
      <c r="H27066" s="49">
        <f t="shared" si="2"/>
        <v>27065</v>
      </c>
    </row>
    <row r="27067">
      <c r="A27067" s="48" t="s">
        <v>4886</v>
      </c>
      <c r="B27067" s="38">
        <v>3124.0</v>
      </c>
      <c r="C27067" s="38" t="s">
        <v>31536</v>
      </c>
      <c r="D27067" s="38" t="str">
        <f>IFERROR(__xludf.DUMMYFUNCTION("REGEXREPLACE(C27067,""-\d+(.*)|--\d+(.*)"","""")"),"GOUISE")</f>
        <v>GOUISE</v>
      </c>
      <c r="E27067" s="38" t="s">
        <v>160</v>
      </c>
      <c r="F27067" s="38" t="s">
        <v>161</v>
      </c>
      <c r="G27067" s="49" t="str">
        <f t="shared" si="1"/>
        <v>03340</v>
      </c>
      <c r="H27067" s="49" t="str">
        <f t="shared" si="2"/>
        <v>03124</v>
      </c>
    </row>
    <row r="27068">
      <c r="A27068" s="48" t="s">
        <v>18798</v>
      </c>
      <c r="B27068" s="38">
        <v>10170.0</v>
      </c>
      <c r="C27068" s="38" t="s">
        <v>31537</v>
      </c>
      <c r="D27068" s="38" t="str">
        <f>IFERROR(__xludf.DUMMYFUNCTION("REGEXREPLACE(C27068,""-\d+(.*)|--\d+(.*)"","""")"),"GYE-SUR-SEINE")</f>
        <v>GYE-SUR-SEINE</v>
      </c>
      <c r="E27068" s="38" t="s">
        <v>147</v>
      </c>
      <c r="F27068" s="38" t="s">
        <v>130</v>
      </c>
      <c r="G27068" s="49" t="str">
        <f t="shared" si="1"/>
        <v>10250</v>
      </c>
      <c r="H27068" s="49">
        <f t="shared" si="2"/>
        <v>10170</v>
      </c>
    </row>
    <row r="27069">
      <c r="A27069" s="48" t="s">
        <v>4766</v>
      </c>
      <c r="B27069" s="38">
        <v>64525.0</v>
      </c>
      <c r="C27069" s="38" t="s">
        <v>31538</v>
      </c>
      <c r="D27069" s="38" t="str">
        <f>IFERROR(__xludf.DUMMYFUNCTION("REGEXREPLACE(C27069,""-\d+(.*)|--\d+(.*)"","""")"),"SIROS")</f>
        <v>SIROS</v>
      </c>
      <c r="E27069" s="38" t="s">
        <v>268</v>
      </c>
      <c r="F27069" s="38" t="s">
        <v>252</v>
      </c>
      <c r="G27069" s="49" t="str">
        <f t="shared" si="1"/>
        <v>64230</v>
      </c>
      <c r="H27069" s="49">
        <f t="shared" si="2"/>
        <v>64525</v>
      </c>
    </row>
    <row r="27070">
      <c r="A27070" s="48" t="s">
        <v>423</v>
      </c>
      <c r="B27070" s="38">
        <v>2216.0</v>
      </c>
      <c r="C27070" s="38" t="s">
        <v>31539</v>
      </c>
      <c r="D27070" s="38" t="str">
        <f>IFERROR(__xludf.DUMMYFUNCTION("REGEXREPLACE(C27070,""-\d+(.*)|--\d+(.*)"","""")"),"CORCY")</f>
        <v>CORCY</v>
      </c>
      <c r="E27070" s="38" t="s">
        <v>191</v>
      </c>
      <c r="F27070" s="38" t="s">
        <v>113</v>
      </c>
      <c r="G27070" s="49" t="str">
        <f t="shared" si="1"/>
        <v>02600</v>
      </c>
      <c r="H27070" s="49" t="str">
        <f t="shared" si="2"/>
        <v>02216</v>
      </c>
    </row>
    <row r="27071">
      <c r="A27071" s="48" t="s">
        <v>14636</v>
      </c>
      <c r="B27071" s="38">
        <v>38509.0</v>
      </c>
      <c r="C27071" s="38" t="s">
        <v>31540</v>
      </c>
      <c r="D27071" s="38" t="str">
        <f>IFERROR(__xludf.DUMMYFUNCTION("REGEXREPLACE(C27071,""-\d+(.*)|--\d+(.*)"","""")"),"LA TOUR-DU-PIN")</f>
        <v>LA TOUR-DU-PIN</v>
      </c>
      <c r="E27071" s="38" t="s">
        <v>101</v>
      </c>
      <c r="F27071" s="38" t="s">
        <v>102</v>
      </c>
      <c r="G27071" s="49" t="str">
        <f t="shared" si="1"/>
        <v>38110</v>
      </c>
      <c r="H27071" s="49">
        <f t="shared" si="2"/>
        <v>38509</v>
      </c>
    </row>
    <row r="27072">
      <c r="A27072" s="48" t="s">
        <v>3127</v>
      </c>
      <c r="B27072" s="38">
        <v>70343.0</v>
      </c>
      <c r="C27072" s="38" t="s">
        <v>31541</v>
      </c>
      <c r="D27072" s="38" t="str">
        <f>IFERROR(__xludf.DUMMYFUNCTION("REGEXREPLACE(C27072,""-\d+(.*)|--\d+(.*)"","""")"),"MERSUAY")</f>
        <v>MERSUAY</v>
      </c>
      <c r="E27072" s="38" t="s">
        <v>956</v>
      </c>
      <c r="F27072" s="38" t="s">
        <v>214</v>
      </c>
      <c r="G27072" s="49" t="str">
        <f t="shared" si="1"/>
        <v>70160</v>
      </c>
      <c r="H27072" s="49">
        <f t="shared" si="2"/>
        <v>70343</v>
      </c>
    </row>
    <row r="27073">
      <c r="A27073" s="48" t="s">
        <v>14759</v>
      </c>
      <c r="B27073" s="38">
        <v>19121.0</v>
      </c>
      <c r="C27073" s="38" t="s">
        <v>31542</v>
      </c>
      <c r="D27073" s="38" t="str">
        <f>IFERROR(__xludf.DUMMYFUNCTION("REGEXREPLACE(C27073,""-\d+(.*)|--\d+(.*)"","""")"),"LUBERSAC")</f>
        <v>LUBERSAC</v>
      </c>
      <c r="E27073" s="38" t="s">
        <v>271</v>
      </c>
      <c r="F27073" s="38" t="s">
        <v>98</v>
      </c>
      <c r="G27073" s="49" t="str">
        <f t="shared" si="1"/>
        <v>19210</v>
      </c>
      <c r="H27073" s="49">
        <f t="shared" si="2"/>
        <v>19121</v>
      </c>
    </row>
    <row r="27074">
      <c r="A27074" s="48" t="s">
        <v>7075</v>
      </c>
      <c r="B27074" s="38">
        <v>27438.0</v>
      </c>
      <c r="C27074" s="38" t="s">
        <v>31543</v>
      </c>
      <c r="D27074" s="38" t="str">
        <f>IFERROR(__xludf.DUMMYFUNCTION("REGEXREPLACE(C27074,""-\d+(.*)|--\d+(.*)"","""")"),"NONANCOURT")</f>
        <v>NONANCOURT</v>
      </c>
      <c r="E27074" s="38" t="s">
        <v>241</v>
      </c>
      <c r="F27074" s="38" t="s">
        <v>134</v>
      </c>
      <c r="G27074" s="49" t="str">
        <f t="shared" si="1"/>
        <v>27320</v>
      </c>
      <c r="H27074" s="49">
        <f t="shared" si="2"/>
        <v>27438</v>
      </c>
    </row>
    <row r="27075">
      <c r="A27075" s="48" t="s">
        <v>17290</v>
      </c>
      <c r="B27075" s="38">
        <v>78588.0</v>
      </c>
      <c r="C27075" s="38" t="s">
        <v>31544</v>
      </c>
      <c r="D27075" s="38" t="str">
        <f>IFERROR(__xludf.DUMMYFUNCTION("REGEXREPLACE(C27075,""-\d+(.*)|--\d+(.*)"","""")"),"SAULX-MARCHAIS")</f>
        <v>SAULX-MARCHAIS</v>
      </c>
      <c r="E27075" s="38" t="s">
        <v>362</v>
      </c>
      <c r="F27075" s="38" t="s">
        <v>245</v>
      </c>
      <c r="G27075" s="49" t="str">
        <f t="shared" si="1"/>
        <v>78650</v>
      </c>
      <c r="H27075" s="49">
        <f t="shared" si="2"/>
        <v>78588</v>
      </c>
    </row>
    <row r="27076">
      <c r="A27076" s="48" t="s">
        <v>3488</v>
      </c>
      <c r="B27076" s="38">
        <v>67312.0</v>
      </c>
      <c r="C27076" s="38" t="s">
        <v>31545</v>
      </c>
      <c r="D27076" s="38" t="str">
        <f>IFERROR(__xludf.DUMMYFUNCTION("REGEXREPLACE(C27076,""-\d+(.*)|--\d+(.*)"","""")"),"MUTZENHOUSE")</f>
        <v>MUTZENHOUSE</v>
      </c>
      <c r="E27076" s="38" t="s">
        <v>210</v>
      </c>
      <c r="F27076" s="38" t="s">
        <v>151</v>
      </c>
      <c r="G27076" s="49" t="str">
        <f t="shared" si="1"/>
        <v>67270</v>
      </c>
      <c r="H27076" s="49">
        <f t="shared" si="2"/>
        <v>67312</v>
      </c>
    </row>
    <row r="27077">
      <c r="A27077" s="48" t="s">
        <v>2571</v>
      </c>
      <c r="B27077" s="38">
        <v>61231.0</v>
      </c>
      <c r="C27077" s="38" t="s">
        <v>31546</v>
      </c>
      <c r="D27077" s="38" t="str">
        <f>IFERROR(__xludf.DUMMYFUNCTION("REGEXREPLACE(C27077,""-\d+(.*)|--\d+(.*)"","""")"),"LONGUENOE")</f>
        <v>LONGUENOE</v>
      </c>
      <c r="E27077" s="38" t="s">
        <v>141</v>
      </c>
      <c r="F27077" s="38" t="s">
        <v>138</v>
      </c>
      <c r="G27077" s="49" t="str">
        <f t="shared" si="1"/>
        <v>61320</v>
      </c>
      <c r="H27077" s="49">
        <f t="shared" si="2"/>
        <v>61231</v>
      </c>
    </row>
    <row r="27078">
      <c r="A27078" s="48" t="s">
        <v>3988</v>
      </c>
      <c r="B27078" s="38">
        <v>51266.0</v>
      </c>
      <c r="C27078" s="38" t="s">
        <v>29229</v>
      </c>
      <c r="D27078" s="38" t="str">
        <f>IFERROR(__xludf.DUMMYFUNCTION("REGEXREPLACE(C27078,""-\d+(.*)|--\d+(.*)"","""")"),"GERMAINE")</f>
        <v>GERMAINE</v>
      </c>
      <c r="E27078" s="38" t="s">
        <v>129</v>
      </c>
      <c r="F27078" s="38" t="s">
        <v>130</v>
      </c>
      <c r="G27078" s="49" t="str">
        <f t="shared" si="1"/>
        <v>51160</v>
      </c>
      <c r="H27078" s="49">
        <f t="shared" si="2"/>
        <v>51266</v>
      </c>
    </row>
    <row r="27079">
      <c r="A27079" s="48" t="s">
        <v>10282</v>
      </c>
      <c r="B27079" s="38">
        <v>81139.0</v>
      </c>
      <c r="C27079" s="38" t="s">
        <v>31547</v>
      </c>
      <c r="D27079" s="38" t="str">
        <f>IFERROR(__xludf.DUMMYFUNCTION("REGEXREPLACE(C27079,""-\d+(.*)|--\d+(.*)"","""")"),"LAUTREC")</f>
        <v>LAUTREC</v>
      </c>
      <c r="E27079" s="38" t="s">
        <v>231</v>
      </c>
      <c r="F27079" s="38" t="s">
        <v>94</v>
      </c>
      <c r="G27079" s="49" t="str">
        <f t="shared" si="1"/>
        <v>81440</v>
      </c>
      <c r="H27079" s="49">
        <f t="shared" si="2"/>
        <v>81139</v>
      </c>
    </row>
    <row r="27080">
      <c r="A27080" s="48" t="s">
        <v>6592</v>
      </c>
      <c r="B27080" s="38">
        <v>5066.0</v>
      </c>
      <c r="C27080" s="38" t="s">
        <v>31548</v>
      </c>
      <c r="D27080" s="38" t="str">
        <f>IFERROR(__xludf.DUMMYFUNCTION("REGEXREPLACE(C27080,""-\d+(.*)|--\d+(.*)"","""")"),"LA HAUTE-BEAUME")</f>
        <v>LA HAUTE-BEAUME</v>
      </c>
      <c r="E27080" s="38" t="s">
        <v>706</v>
      </c>
      <c r="F27080" s="38" t="s">
        <v>228</v>
      </c>
      <c r="G27080" s="49" t="str">
        <f t="shared" si="1"/>
        <v>05140</v>
      </c>
      <c r="H27080" s="49" t="str">
        <f t="shared" si="2"/>
        <v>05066</v>
      </c>
    </row>
    <row r="27081">
      <c r="A27081" s="48" t="s">
        <v>7122</v>
      </c>
      <c r="B27081" s="38">
        <v>57661.0</v>
      </c>
      <c r="C27081" s="38" t="s">
        <v>31549</v>
      </c>
      <c r="D27081" s="38" t="str">
        <f>IFERROR(__xludf.DUMMYFUNCTION("REGEXREPLACE(C27081,""-\d+(.*)|--\d+(.*)"","""")"),"STURZELBRONN")</f>
        <v>STURZELBRONN</v>
      </c>
      <c r="E27081" s="38" t="s">
        <v>303</v>
      </c>
      <c r="F27081" s="38" t="s">
        <v>195</v>
      </c>
      <c r="G27081" s="49" t="str">
        <f t="shared" si="1"/>
        <v>57230</v>
      </c>
      <c r="H27081" s="49">
        <f t="shared" si="2"/>
        <v>57661</v>
      </c>
    </row>
    <row r="27082">
      <c r="A27082" s="48" t="s">
        <v>2310</v>
      </c>
      <c r="B27082" s="38">
        <v>60674.0</v>
      </c>
      <c r="C27082" s="38" t="s">
        <v>31550</v>
      </c>
      <c r="D27082" s="38" t="str">
        <f>IFERROR(__xludf.DUMMYFUNCTION("REGEXREPLACE(C27082,""-\d+(.*)|--\d+(.*)"","""")"),"VIEUX-MOULIN")</f>
        <v>VIEUX-MOULIN</v>
      </c>
      <c r="E27082" s="38" t="s">
        <v>112</v>
      </c>
      <c r="F27082" s="38" t="s">
        <v>113</v>
      </c>
      <c r="G27082" s="49" t="str">
        <f t="shared" si="1"/>
        <v>60350</v>
      </c>
      <c r="H27082" s="49">
        <f t="shared" si="2"/>
        <v>60674</v>
      </c>
    </row>
    <row r="27083">
      <c r="A27083" s="48" t="s">
        <v>333</v>
      </c>
      <c r="B27083" s="38">
        <v>43183.0</v>
      </c>
      <c r="C27083" s="38" t="s">
        <v>31551</v>
      </c>
      <c r="D27083" s="38" t="str">
        <f>IFERROR(__xludf.DUMMYFUNCTION("REGEXREPLACE(C27083,""-\d+(.*)|--\d+(.*)"","""")"),"SAINTE-EUGENIE-DE-VILLENEUVE")</f>
        <v>SAINTE-EUGENIE-DE-VILLENEUVE</v>
      </c>
      <c r="E27083" s="38" t="s">
        <v>332</v>
      </c>
      <c r="F27083" s="38" t="s">
        <v>161</v>
      </c>
      <c r="G27083" s="49" t="str">
        <f t="shared" si="1"/>
        <v>43230</v>
      </c>
      <c r="H27083" s="49">
        <f t="shared" si="2"/>
        <v>43183</v>
      </c>
    </row>
    <row r="27084">
      <c r="A27084" s="48" t="s">
        <v>6698</v>
      </c>
      <c r="B27084" s="38">
        <v>25539.0</v>
      </c>
      <c r="C27084" s="38" t="s">
        <v>31552</v>
      </c>
      <c r="D27084" s="38" t="str">
        <f>IFERROR(__xludf.DUMMYFUNCTION("REGEXREPLACE(C27084,""-\d+(.*)|--\d+(.*)"","""")"),"SELONCOURT")</f>
        <v>SELONCOURT</v>
      </c>
      <c r="E27084" s="38" t="s">
        <v>213</v>
      </c>
      <c r="F27084" s="38" t="s">
        <v>214</v>
      </c>
      <c r="G27084" s="49" t="str">
        <f t="shared" si="1"/>
        <v>25230</v>
      </c>
      <c r="H27084" s="49">
        <f t="shared" si="2"/>
        <v>25539</v>
      </c>
    </row>
    <row r="27085">
      <c r="A27085" s="48" t="s">
        <v>1077</v>
      </c>
      <c r="B27085" s="38">
        <v>25516.0</v>
      </c>
      <c r="C27085" s="38" t="s">
        <v>31553</v>
      </c>
      <c r="D27085" s="38" t="str">
        <f>IFERROR(__xludf.DUMMYFUNCTION("REGEXREPLACE(C27085,""-\d+(.*)|--\d+(.*)"","""")"),"SAINT-GEORGES-ARMONT")</f>
        <v>SAINT-GEORGES-ARMONT</v>
      </c>
      <c r="E27085" s="38" t="s">
        <v>213</v>
      </c>
      <c r="F27085" s="38" t="s">
        <v>214</v>
      </c>
      <c r="G27085" s="49" t="str">
        <f t="shared" si="1"/>
        <v>25340</v>
      </c>
      <c r="H27085" s="49">
        <f t="shared" si="2"/>
        <v>25516</v>
      </c>
    </row>
    <row r="27086">
      <c r="A27086" s="48" t="s">
        <v>1572</v>
      </c>
      <c r="B27086" s="38">
        <v>32357.0</v>
      </c>
      <c r="C27086" s="38" t="s">
        <v>7832</v>
      </c>
      <c r="D27086" s="38" t="str">
        <f>IFERROR(__xludf.DUMMYFUNCTION("REGEXREPLACE(C27086,""-\d+(.*)|--\d+(.*)"","""")"),"SAINTE-ANNE")</f>
        <v>SAINTE-ANNE</v>
      </c>
      <c r="E27086" s="38" t="s">
        <v>440</v>
      </c>
      <c r="F27086" s="38" t="s">
        <v>94</v>
      </c>
      <c r="G27086" s="49" t="str">
        <f t="shared" si="1"/>
        <v>32430</v>
      </c>
      <c r="H27086" s="49">
        <f t="shared" si="2"/>
        <v>32357</v>
      </c>
    </row>
    <row r="27087">
      <c r="A27087" s="48" t="s">
        <v>11261</v>
      </c>
      <c r="B27087" s="38">
        <v>38476.0</v>
      </c>
      <c r="C27087" s="38" t="s">
        <v>31554</v>
      </c>
      <c r="D27087" s="38" t="str">
        <f>IFERROR(__xludf.DUMMYFUNCTION("REGEXREPLACE(C27087,""-\d+(.*)|--\d+(.*)"","""")"),"SAVAS-MEPIN")</f>
        <v>SAVAS-MEPIN</v>
      </c>
      <c r="E27087" s="38" t="s">
        <v>101</v>
      </c>
      <c r="F27087" s="38" t="s">
        <v>102</v>
      </c>
      <c r="G27087" s="49" t="str">
        <f t="shared" si="1"/>
        <v>38440</v>
      </c>
      <c r="H27087" s="49">
        <f t="shared" si="2"/>
        <v>38476</v>
      </c>
    </row>
    <row r="27088">
      <c r="A27088" s="48" t="s">
        <v>4129</v>
      </c>
      <c r="B27088" s="38">
        <v>3122.0</v>
      </c>
      <c r="C27088" s="38" t="s">
        <v>31555</v>
      </c>
      <c r="D27088" s="38" t="str">
        <f>IFERROR(__xludf.DUMMYFUNCTION("REGEXREPLACE(C27088,""-\d+(.*)|--\d+(.*)"","""")"),"GIPCY")</f>
        <v>GIPCY</v>
      </c>
      <c r="E27088" s="38" t="s">
        <v>160</v>
      </c>
      <c r="F27088" s="38" t="s">
        <v>161</v>
      </c>
      <c r="G27088" s="49" t="str">
        <f t="shared" si="1"/>
        <v>03210</v>
      </c>
      <c r="H27088" s="49" t="str">
        <f t="shared" si="2"/>
        <v>03122</v>
      </c>
    </row>
    <row r="27089">
      <c r="A27089" s="48" t="s">
        <v>5443</v>
      </c>
      <c r="B27089" s="38">
        <v>76190.0</v>
      </c>
      <c r="C27089" s="38" t="s">
        <v>31556</v>
      </c>
      <c r="D27089" s="38" t="str">
        <f>IFERROR(__xludf.DUMMYFUNCTION("REGEXREPLACE(C27089,""-\d+(.*)|--\d+(.*)"","""")"),"CRASVILLE-LA-ROCQUEFORT")</f>
        <v>CRASVILLE-LA-ROCQUEFORT</v>
      </c>
      <c r="E27089" s="38" t="s">
        <v>133</v>
      </c>
      <c r="F27089" s="38" t="s">
        <v>134</v>
      </c>
      <c r="G27089" s="49" t="str">
        <f t="shared" si="1"/>
        <v>76740</v>
      </c>
      <c r="H27089" s="49">
        <f t="shared" si="2"/>
        <v>76190</v>
      </c>
    </row>
    <row r="27090">
      <c r="A27090" s="48" t="s">
        <v>1220</v>
      </c>
      <c r="B27090" s="38">
        <v>76542.0</v>
      </c>
      <c r="C27090" s="38" t="s">
        <v>31557</v>
      </c>
      <c r="D27090" s="38" t="str">
        <f>IFERROR(__xludf.DUMMYFUNCTION("REGEXREPLACE(C27090,""-\d+(.*)|--\d+(.*)"","""")"),"ROUTES")</f>
        <v>ROUTES</v>
      </c>
      <c r="E27090" s="38" t="s">
        <v>133</v>
      </c>
      <c r="F27090" s="38" t="s">
        <v>134</v>
      </c>
      <c r="G27090" s="49" t="str">
        <f t="shared" si="1"/>
        <v>76560</v>
      </c>
      <c r="H27090" s="49">
        <f t="shared" si="2"/>
        <v>76542</v>
      </c>
    </row>
    <row r="27091">
      <c r="A27091" s="48" t="s">
        <v>3339</v>
      </c>
      <c r="B27091" s="38">
        <v>67032.0</v>
      </c>
      <c r="C27091" s="38" t="s">
        <v>31558</v>
      </c>
      <c r="D27091" s="38" t="str">
        <f>IFERROR(__xludf.DUMMYFUNCTION("REGEXREPLACE(C27091,""-\d+(.*)|--\d+(.*)"","""")"),"BERNARDVILLE")</f>
        <v>BERNARDVILLE</v>
      </c>
      <c r="E27091" s="38" t="s">
        <v>210</v>
      </c>
      <c r="F27091" s="38" t="s">
        <v>151</v>
      </c>
      <c r="G27091" s="49" t="str">
        <f t="shared" si="1"/>
        <v>67140</v>
      </c>
      <c r="H27091" s="49">
        <f t="shared" si="2"/>
        <v>67032</v>
      </c>
    </row>
    <row r="27092">
      <c r="A27092" s="48" t="s">
        <v>3163</v>
      </c>
      <c r="B27092" s="38">
        <v>28179.0</v>
      </c>
      <c r="C27092" s="38" t="s">
        <v>31559</v>
      </c>
      <c r="D27092" s="38" t="str">
        <f>IFERROR(__xludf.DUMMYFUNCTION("REGEXREPLACE(C27092,""-\d+(.*)|--\d+(.*)"","""")"),"GERMIGNONVILLE")</f>
        <v>GERMIGNONVILLE</v>
      </c>
      <c r="E27092" s="38" t="s">
        <v>300</v>
      </c>
      <c r="F27092" s="38" t="s">
        <v>123</v>
      </c>
      <c r="G27092" s="49" t="str">
        <f t="shared" si="1"/>
        <v>28140</v>
      </c>
      <c r="H27092" s="49">
        <f t="shared" si="2"/>
        <v>28179</v>
      </c>
    </row>
    <row r="27093">
      <c r="A27093" s="48" t="s">
        <v>10376</v>
      </c>
      <c r="B27093" s="38">
        <v>33300.0</v>
      </c>
      <c r="C27093" s="38" t="s">
        <v>31560</v>
      </c>
      <c r="D27093" s="38" t="str">
        <f>IFERROR(__xludf.DUMMYFUNCTION("REGEXREPLACE(C27093,""-\d+(.*)|--\d+(.*)"","""")"),"NAUJAC-SUR-MER")</f>
        <v>NAUJAC-SUR-MER</v>
      </c>
      <c r="E27093" s="38" t="s">
        <v>462</v>
      </c>
      <c r="F27093" s="38" t="s">
        <v>252</v>
      </c>
      <c r="G27093" s="49" t="str">
        <f t="shared" si="1"/>
        <v>33990</v>
      </c>
      <c r="H27093" s="49">
        <f t="shared" si="2"/>
        <v>33300</v>
      </c>
    </row>
    <row r="27094">
      <c r="A27094" s="48" t="s">
        <v>27551</v>
      </c>
      <c r="B27094" s="38">
        <v>29275.0</v>
      </c>
      <c r="C27094" s="38" t="s">
        <v>31561</v>
      </c>
      <c r="D27094" s="38" t="str">
        <f>IFERROR(__xludf.DUMMYFUNCTION("REGEXREPLACE(C27094,""-\d+(.*)|--\d+(.*)"","""")"),"SCRIGNAC")</f>
        <v>SCRIGNAC</v>
      </c>
      <c r="E27094" s="38" t="s">
        <v>176</v>
      </c>
      <c r="F27094" s="38" t="s">
        <v>90</v>
      </c>
      <c r="G27094" s="49" t="str">
        <f t="shared" si="1"/>
        <v>29640</v>
      </c>
      <c r="H27094" s="49">
        <f t="shared" si="2"/>
        <v>29275</v>
      </c>
    </row>
    <row r="27095">
      <c r="A27095" s="48" t="s">
        <v>2526</v>
      </c>
      <c r="B27095" s="38">
        <v>70204.0</v>
      </c>
      <c r="C27095" s="38" t="s">
        <v>31562</v>
      </c>
      <c r="D27095" s="38" t="str">
        <f>IFERROR(__xludf.DUMMYFUNCTION("REGEXREPLACE(C27095,""-\d+(.*)|--\d+(.*)"","""")"),"DENEVRE")</f>
        <v>DENEVRE</v>
      </c>
      <c r="E27095" s="38" t="s">
        <v>956</v>
      </c>
      <c r="F27095" s="38" t="s">
        <v>214</v>
      </c>
      <c r="G27095" s="49" t="str">
        <f t="shared" si="1"/>
        <v>70180</v>
      </c>
      <c r="H27095" s="49">
        <f t="shared" si="2"/>
        <v>70204</v>
      </c>
    </row>
    <row r="27096">
      <c r="A27096" s="48" t="s">
        <v>7292</v>
      </c>
      <c r="B27096" s="38">
        <v>49061.0</v>
      </c>
      <c r="C27096" s="38" t="s">
        <v>31563</v>
      </c>
      <c r="D27096" s="38" t="str">
        <f>IFERROR(__xludf.DUMMYFUNCTION("REGEXREPLACE(C27096,""-\d+(.*)|--\d+(.*)"","""")"),"CHALLAIN-LA-POTHERIE")</f>
        <v>CHALLAIN-LA-POTHERIE</v>
      </c>
      <c r="E27096" s="38" t="s">
        <v>653</v>
      </c>
      <c r="F27096" s="38" t="s">
        <v>180</v>
      </c>
      <c r="G27096" s="49" t="str">
        <f t="shared" si="1"/>
        <v>49440</v>
      </c>
      <c r="H27096" s="49">
        <f t="shared" si="2"/>
        <v>49061</v>
      </c>
    </row>
    <row r="27097">
      <c r="A27097" s="48" t="s">
        <v>6296</v>
      </c>
      <c r="B27097" s="38">
        <v>50074.0</v>
      </c>
      <c r="C27097" s="38" t="s">
        <v>31564</v>
      </c>
      <c r="D27097" s="38" t="str">
        <f>IFERROR(__xludf.DUMMYFUNCTION("REGEXREPLACE(C27097,""-\d+(.*)|--\d+(.*)"","""")"),"BRECEY")</f>
        <v>BRECEY</v>
      </c>
      <c r="E27097" s="38" t="s">
        <v>157</v>
      </c>
      <c r="F27097" s="38" t="s">
        <v>138</v>
      </c>
      <c r="G27097" s="49" t="str">
        <f t="shared" si="1"/>
        <v>50370</v>
      </c>
      <c r="H27097" s="49">
        <f t="shared" si="2"/>
        <v>50074</v>
      </c>
    </row>
    <row r="27098">
      <c r="A27098" s="48" t="s">
        <v>1825</v>
      </c>
      <c r="B27098" s="38">
        <v>64482.0</v>
      </c>
      <c r="C27098" s="38" t="s">
        <v>31565</v>
      </c>
      <c r="D27098" s="38" t="str">
        <f>IFERROR(__xludf.DUMMYFUNCTION("REGEXREPLACE(C27098,""-\d+(.*)|--\d+(.*)"","""")"),"SAINT-JAMMES")</f>
        <v>SAINT-JAMMES</v>
      </c>
      <c r="E27098" s="38" t="s">
        <v>268</v>
      </c>
      <c r="F27098" s="38" t="s">
        <v>252</v>
      </c>
      <c r="G27098" s="49" t="str">
        <f t="shared" si="1"/>
        <v>64160</v>
      </c>
      <c r="H27098" s="49">
        <f t="shared" si="2"/>
        <v>64482</v>
      </c>
    </row>
    <row r="27099">
      <c r="A27099" s="48" t="s">
        <v>8059</v>
      </c>
      <c r="B27099" s="38">
        <v>70188.0</v>
      </c>
      <c r="C27099" s="38" t="s">
        <v>31566</v>
      </c>
      <c r="D27099" s="38" t="str">
        <f>IFERROR(__xludf.DUMMYFUNCTION("REGEXREPLACE(C27099,""-\d+(.*)|--\d+(.*)"","""")"),"CREVENEY")</f>
        <v>CREVENEY</v>
      </c>
      <c r="E27099" s="38" t="s">
        <v>956</v>
      </c>
      <c r="F27099" s="38" t="s">
        <v>214</v>
      </c>
      <c r="G27099" s="49" t="str">
        <f t="shared" si="1"/>
        <v>70240</v>
      </c>
      <c r="H27099" s="49">
        <f t="shared" si="2"/>
        <v>70188</v>
      </c>
    </row>
    <row r="27100">
      <c r="A27100" s="48" t="s">
        <v>348</v>
      </c>
      <c r="B27100" s="38">
        <v>69037.0</v>
      </c>
      <c r="C27100" s="38" t="s">
        <v>31567</v>
      </c>
      <c r="D27100" s="38" t="str">
        <f>IFERROR(__xludf.DUMMYFUNCTION("REGEXREPLACE(C27100,""-\d+(.*)|--\d+(.*)"","""")"),"CHAMBOST-ALLIERES")</f>
        <v>CHAMBOST-ALLIERES</v>
      </c>
      <c r="E27100" s="38" t="s">
        <v>350</v>
      </c>
      <c r="F27100" s="38" t="s">
        <v>102</v>
      </c>
      <c r="G27100" s="49" t="str">
        <f t="shared" si="1"/>
        <v>69870</v>
      </c>
      <c r="H27100" s="49">
        <f t="shared" si="2"/>
        <v>69037</v>
      </c>
    </row>
    <row r="27101">
      <c r="A27101" s="48" t="s">
        <v>654</v>
      </c>
      <c r="B27101" s="38">
        <v>8055.0</v>
      </c>
      <c r="C27101" s="38" t="s">
        <v>31568</v>
      </c>
      <c r="D27101" s="38" t="str">
        <f>IFERROR(__xludf.DUMMYFUNCTION("REGEXREPLACE(C27101,""-\d+(.*)|--\d+(.*)"","""")"),"BEAUMONT-EN-ARGONNE")</f>
        <v>BEAUMONT-EN-ARGONNE</v>
      </c>
      <c r="E27101" s="38" t="s">
        <v>327</v>
      </c>
      <c r="F27101" s="38" t="s">
        <v>130</v>
      </c>
      <c r="G27101" s="49" t="str">
        <f t="shared" si="1"/>
        <v>08210</v>
      </c>
      <c r="H27101" s="49" t="str">
        <f t="shared" si="2"/>
        <v>08055</v>
      </c>
    </row>
    <row r="27102">
      <c r="A27102" s="48" t="s">
        <v>10965</v>
      </c>
      <c r="B27102" s="38">
        <v>80180.0</v>
      </c>
      <c r="C27102" s="38" t="s">
        <v>31569</v>
      </c>
      <c r="D27102" s="38" t="str">
        <f>IFERROR(__xludf.DUMMYFUNCTION("REGEXREPLACE(C27102,""-\d+(.*)|--\d+(.*)"","""")"),"CAVILLON")</f>
        <v>CAVILLON</v>
      </c>
      <c r="E27102" s="38" t="s">
        <v>224</v>
      </c>
      <c r="F27102" s="38" t="s">
        <v>113</v>
      </c>
      <c r="G27102" s="49" t="str">
        <f t="shared" si="1"/>
        <v>80310</v>
      </c>
      <c r="H27102" s="49">
        <f t="shared" si="2"/>
        <v>80180</v>
      </c>
    </row>
    <row r="27103">
      <c r="A27103" s="48" t="s">
        <v>3635</v>
      </c>
      <c r="B27103" s="38">
        <v>16306.0</v>
      </c>
      <c r="C27103" s="38" t="s">
        <v>6001</v>
      </c>
      <c r="D27103" s="38" t="str">
        <f>IFERROR(__xludf.DUMMYFUNCTION("REGEXREPLACE(C27103,""-\d+(.*)|--\d+(.*)"","""")"),"SAINT-CHRISTOPHE")</f>
        <v>SAINT-CHRISTOPHE</v>
      </c>
      <c r="E27103" s="38" t="s">
        <v>429</v>
      </c>
      <c r="F27103" s="38" t="s">
        <v>338</v>
      </c>
      <c r="G27103" s="49" t="str">
        <f t="shared" si="1"/>
        <v>16420</v>
      </c>
      <c r="H27103" s="49">
        <f t="shared" si="2"/>
        <v>16306</v>
      </c>
    </row>
    <row r="27104">
      <c r="A27104" s="48" t="s">
        <v>8334</v>
      </c>
      <c r="B27104" s="38">
        <v>25540.0</v>
      </c>
      <c r="C27104" s="38" t="s">
        <v>31570</v>
      </c>
      <c r="D27104" s="38" t="str">
        <f>IFERROR(__xludf.DUMMYFUNCTION("REGEXREPLACE(C27104,""-\d+(.*)|--\d+(.*)"","""")"),"SEMONDANS")</f>
        <v>SEMONDANS</v>
      </c>
      <c r="E27104" s="38" t="s">
        <v>213</v>
      </c>
      <c r="F27104" s="38" t="s">
        <v>214</v>
      </c>
      <c r="G27104" s="49" t="str">
        <f t="shared" si="1"/>
        <v>25750</v>
      </c>
      <c r="H27104" s="49">
        <f t="shared" si="2"/>
        <v>25540</v>
      </c>
    </row>
    <row r="27105">
      <c r="A27105" s="48" t="s">
        <v>1058</v>
      </c>
      <c r="B27105" s="38">
        <v>21311.0</v>
      </c>
      <c r="C27105" s="38" t="s">
        <v>31571</v>
      </c>
      <c r="D27105" s="38" t="str">
        <f>IFERROR(__xludf.DUMMYFUNCTION("REGEXREPLACE(C27105,""-\d+(.*)|--\d+(.*)"","""")"),"GROSBOIS-LES-TICHEY")</f>
        <v>GROSBOIS-LES-TICHEY</v>
      </c>
      <c r="E27105" s="38" t="s">
        <v>105</v>
      </c>
      <c r="F27105" s="38" t="s">
        <v>106</v>
      </c>
      <c r="G27105" s="49" t="str">
        <f t="shared" si="1"/>
        <v>21250</v>
      </c>
      <c r="H27105" s="49">
        <f t="shared" si="2"/>
        <v>21311</v>
      </c>
    </row>
    <row r="27106">
      <c r="A27106" s="48" t="s">
        <v>7140</v>
      </c>
      <c r="B27106" s="38">
        <v>3169.0</v>
      </c>
      <c r="C27106" s="38" t="s">
        <v>31572</v>
      </c>
      <c r="D27106" s="38" t="str">
        <f>IFERROR(__xludf.DUMMYFUNCTION("REGEXREPLACE(C27106,""-\d+(.*)|--\d+(.*)"","""")"),"MEILLARD")</f>
        <v>MEILLARD</v>
      </c>
      <c r="E27106" s="38" t="s">
        <v>160</v>
      </c>
      <c r="F27106" s="38" t="s">
        <v>161</v>
      </c>
      <c r="G27106" s="49" t="str">
        <f t="shared" si="1"/>
        <v>03500</v>
      </c>
      <c r="H27106" s="49" t="str">
        <f t="shared" si="2"/>
        <v>03169</v>
      </c>
    </row>
    <row r="27107">
      <c r="A27107" s="48" t="s">
        <v>1621</v>
      </c>
      <c r="B27107" s="38">
        <v>64127.0</v>
      </c>
      <c r="C27107" s="38" t="s">
        <v>31573</v>
      </c>
      <c r="D27107" s="38" t="str">
        <f>IFERROR(__xludf.DUMMYFUNCTION("REGEXREPLACE(C27107,""-\d+(.*)|--\d+(.*)"","""")"),"BIELLE")</f>
        <v>BIELLE</v>
      </c>
      <c r="E27107" s="38" t="s">
        <v>268</v>
      </c>
      <c r="F27107" s="38" t="s">
        <v>252</v>
      </c>
      <c r="G27107" s="49" t="str">
        <f t="shared" si="1"/>
        <v>64260</v>
      </c>
      <c r="H27107" s="49">
        <f t="shared" si="2"/>
        <v>64127</v>
      </c>
    </row>
    <row r="27108">
      <c r="A27108" s="48" t="s">
        <v>1850</v>
      </c>
      <c r="B27108" s="38">
        <v>48107.0</v>
      </c>
      <c r="C27108" s="38" t="s">
        <v>31574</v>
      </c>
      <c r="D27108" s="38" t="str">
        <f>IFERROR(__xludf.DUMMYFUNCTION("REGEXREPLACE(C27108,""-\d+(.*)|--\d+(.*)"","""")"),"PALHERS")</f>
        <v>PALHERS</v>
      </c>
      <c r="E27108" s="38" t="s">
        <v>154</v>
      </c>
      <c r="F27108" s="38" t="s">
        <v>119</v>
      </c>
      <c r="G27108" s="49" t="str">
        <f t="shared" si="1"/>
        <v>48100</v>
      </c>
      <c r="H27108" s="49">
        <f t="shared" si="2"/>
        <v>48107</v>
      </c>
    </row>
    <row r="27109">
      <c r="A27109" s="48" t="s">
        <v>4826</v>
      </c>
      <c r="B27109" s="38">
        <v>57203.0</v>
      </c>
      <c r="C27109" s="38" t="s">
        <v>31575</v>
      </c>
      <c r="D27109" s="38" t="str">
        <f>IFERROR(__xludf.DUMMYFUNCTION("REGEXREPLACE(C27109,""-\d+(.*)|--\d+(.*)"","""")"),"EVRANGE")</f>
        <v>EVRANGE</v>
      </c>
      <c r="E27109" s="38" t="s">
        <v>303</v>
      </c>
      <c r="F27109" s="38" t="s">
        <v>195</v>
      </c>
      <c r="G27109" s="49" t="str">
        <f t="shared" si="1"/>
        <v>57570</v>
      </c>
      <c r="H27109" s="49">
        <f t="shared" si="2"/>
        <v>57203</v>
      </c>
    </row>
    <row r="27110">
      <c r="A27110" s="48" t="s">
        <v>6515</v>
      </c>
      <c r="B27110" s="38">
        <v>62206.0</v>
      </c>
      <c r="C27110" s="38" t="s">
        <v>31576</v>
      </c>
      <c r="D27110" s="38" t="str">
        <f>IFERROR(__xludf.DUMMYFUNCTION("REGEXREPLACE(C27110,""-\d+(.*)|--\d+(.*)"","""")"),"CAMPIGNEULLES-LES-GRANDES")</f>
        <v>CAMPIGNEULLES-LES-GRANDES</v>
      </c>
      <c r="E27110" s="38" t="s">
        <v>109</v>
      </c>
      <c r="F27110" s="38" t="s">
        <v>86</v>
      </c>
      <c r="G27110" s="49" t="str">
        <f t="shared" si="1"/>
        <v>62170</v>
      </c>
      <c r="H27110" s="49">
        <f t="shared" si="2"/>
        <v>62206</v>
      </c>
    </row>
    <row r="27111">
      <c r="A27111" s="48" t="s">
        <v>2549</v>
      </c>
      <c r="B27111" s="38">
        <v>55570.0</v>
      </c>
      <c r="C27111" s="38" t="s">
        <v>31577</v>
      </c>
      <c r="D27111" s="38" t="str">
        <f>IFERROR(__xludf.DUMMYFUNCTION("REGEXREPLACE(C27111,""-\d+(.*)|--\d+(.*)"","""")"),"VILLOTTE-SUR-AIRE")</f>
        <v>VILLOTTE-SUR-AIRE</v>
      </c>
      <c r="E27111" s="38" t="s">
        <v>322</v>
      </c>
      <c r="F27111" s="38" t="s">
        <v>195</v>
      </c>
      <c r="G27111" s="49" t="str">
        <f t="shared" si="1"/>
        <v>55260</v>
      </c>
      <c r="H27111" s="49">
        <f t="shared" si="2"/>
        <v>55570</v>
      </c>
    </row>
    <row r="27112">
      <c r="A27112" s="48" t="s">
        <v>2400</v>
      </c>
      <c r="B27112" s="38">
        <v>25570.0</v>
      </c>
      <c r="C27112" s="38" t="s">
        <v>31578</v>
      </c>
      <c r="D27112" s="38" t="str">
        <f>IFERROR(__xludf.DUMMYFUNCTION("REGEXREPLACE(C27112,""-\d+(.*)|--\d+(.*)"","""")"),"TRESSANDANS")</f>
        <v>TRESSANDANS</v>
      </c>
      <c r="E27112" s="38" t="s">
        <v>213</v>
      </c>
      <c r="F27112" s="38" t="s">
        <v>214</v>
      </c>
      <c r="G27112" s="49" t="str">
        <f t="shared" si="1"/>
        <v>25680</v>
      </c>
      <c r="H27112" s="49">
        <f t="shared" si="2"/>
        <v>25570</v>
      </c>
    </row>
    <row r="27113">
      <c r="A27113" s="48" t="s">
        <v>296</v>
      </c>
      <c r="B27113" s="38">
        <v>41152.0</v>
      </c>
      <c r="C27113" s="38" t="s">
        <v>31579</v>
      </c>
      <c r="D27113" s="38" t="str">
        <f>IFERROR(__xludf.DUMMYFUNCTION("REGEXREPLACE(C27113,""-\d+(.*)|--\d+(.*)"","""")"),"MONTRIEUX-EN-SOLOGNE")</f>
        <v>MONTRIEUX-EN-SOLOGNE</v>
      </c>
      <c r="E27113" s="38" t="s">
        <v>188</v>
      </c>
      <c r="F27113" s="38" t="s">
        <v>123</v>
      </c>
      <c r="G27113" s="49" t="str">
        <f t="shared" si="1"/>
        <v>41210</v>
      </c>
      <c r="H27113" s="49">
        <f t="shared" si="2"/>
        <v>41152</v>
      </c>
    </row>
    <row r="27114">
      <c r="A27114" s="48" t="s">
        <v>4605</v>
      </c>
      <c r="B27114" s="38">
        <v>39198.0</v>
      </c>
      <c r="C27114" s="38" t="s">
        <v>31580</v>
      </c>
      <c r="D27114" s="38" t="str">
        <f>IFERROR(__xludf.DUMMYFUNCTION("REGEXREPLACE(C27114,""-\d+(.*)|--\d+(.*)"","""")"),"DOLE")</f>
        <v>DOLE</v>
      </c>
      <c r="E27114" s="38" t="s">
        <v>400</v>
      </c>
      <c r="F27114" s="38" t="s">
        <v>214</v>
      </c>
      <c r="G27114" s="49" t="str">
        <f t="shared" si="1"/>
        <v>39100</v>
      </c>
      <c r="H27114" s="49">
        <f t="shared" si="2"/>
        <v>39198</v>
      </c>
    </row>
    <row r="27115">
      <c r="A27115" s="48" t="s">
        <v>8634</v>
      </c>
      <c r="B27115" s="38">
        <v>1225.0</v>
      </c>
      <c r="C27115" s="38" t="s">
        <v>31581</v>
      </c>
      <c r="D27115" s="38" t="str">
        <f>IFERROR(__xludf.DUMMYFUNCTION("REGEXREPLACE(C27115,""-\d+(.*)|--\d+(.*)"","""")"),"LURCY")</f>
        <v>LURCY</v>
      </c>
      <c r="E27115" s="38" t="s">
        <v>255</v>
      </c>
      <c r="F27115" s="38" t="s">
        <v>102</v>
      </c>
      <c r="G27115" s="49" t="str">
        <f t="shared" si="1"/>
        <v>01090</v>
      </c>
      <c r="H27115" s="49" t="str">
        <f t="shared" si="2"/>
        <v>01225</v>
      </c>
    </row>
    <row r="27116">
      <c r="A27116" s="48" t="s">
        <v>1072</v>
      </c>
      <c r="B27116" s="38">
        <v>86054.0</v>
      </c>
      <c r="C27116" s="38" t="s">
        <v>20138</v>
      </c>
      <c r="D27116" s="38" t="str">
        <f>IFERROR(__xludf.DUMMYFUNCTION("REGEXREPLACE(C27116,""-\d+(.*)|--\d+(.*)"","""")"),"CHAMPNIERS")</f>
        <v>CHAMPNIERS</v>
      </c>
      <c r="E27116" s="38" t="s">
        <v>529</v>
      </c>
      <c r="F27116" s="38" t="s">
        <v>338</v>
      </c>
      <c r="G27116" s="49" t="str">
        <f t="shared" si="1"/>
        <v>86400</v>
      </c>
      <c r="H27116" s="49">
        <f t="shared" si="2"/>
        <v>86054</v>
      </c>
    </row>
    <row r="27117">
      <c r="A27117" s="48" t="s">
        <v>2190</v>
      </c>
      <c r="B27117" s="38">
        <v>10154.0</v>
      </c>
      <c r="C27117" s="38" t="s">
        <v>31582</v>
      </c>
      <c r="D27117" s="38" t="str">
        <f>IFERROR(__xludf.DUMMYFUNCTION("REGEXREPLACE(C27117,""-\d+(.*)|--\d+(.*)"","""")"),"FONTENAY-DE-BOSSERY")</f>
        <v>FONTENAY-DE-BOSSERY</v>
      </c>
      <c r="E27117" s="38" t="s">
        <v>147</v>
      </c>
      <c r="F27117" s="38" t="s">
        <v>130</v>
      </c>
      <c r="G27117" s="49" t="str">
        <f t="shared" si="1"/>
        <v>10400</v>
      </c>
      <c r="H27117" s="49">
        <f t="shared" si="2"/>
        <v>10154</v>
      </c>
    </row>
    <row r="27118">
      <c r="A27118" s="48" t="s">
        <v>15050</v>
      </c>
      <c r="B27118" s="38">
        <v>53094.0</v>
      </c>
      <c r="C27118" s="38" t="s">
        <v>31583</v>
      </c>
      <c r="D27118" s="38" t="str">
        <f>IFERROR(__xludf.DUMMYFUNCTION("REGEXREPLACE(C27118,""-\d+(.*)|--\d+(.*)"","""")"),"ENTRAMMES")</f>
        <v>ENTRAMMES</v>
      </c>
      <c r="E27118" s="38" t="s">
        <v>518</v>
      </c>
      <c r="F27118" s="38" t="s">
        <v>180</v>
      </c>
      <c r="G27118" s="49" t="str">
        <f t="shared" si="1"/>
        <v>53260</v>
      </c>
      <c r="H27118" s="49">
        <f t="shared" si="2"/>
        <v>53094</v>
      </c>
    </row>
    <row r="27119">
      <c r="A27119" s="48" t="s">
        <v>7247</v>
      </c>
      <c r="B27119" s="38">
        <v>24268.0</v>
      </c>
      <c r="C27119" s="38" t="s">
        <v>31584</v>
      </c>
      <c r="D27119" s="38" t="str">
        <f>IFERROR(__xludf.DUMMYFUNCTION("REGEXREPLACE(C27119,""-\d+(.*)|--\d+(.*)"","""")"),"MEYRALS")</f>
        <v>MEYRALS</v>
      </c>
      <c r="E27119" s="38" t="s">
        <v>261</v>
      </c>
      <c r="F27119" s="38" t="s">
        <v>252</v>
      </c>
      <c r="G27119" s="49" t="str">
        <f t="shared" si="1"/>
        <v>24220</v>
      </c>
      <c r="H27119" s="49">
        <f t="shared" si="2"/>
        <v>24268</v>
      </c>
    </row>
    <row r="27120">
      <c r="A27120" s="48" t="s">
        <v>7876</v>
      </c>
      <c r="B27120" s="38">
        <v>58003.0</v>
      </c>
      <c r="C27120" s="38" t="s">
        <v>31585</v>
      </c>
      <c r="D27120" s="38" t="str">
        <f>IFERROR(__xludf.DUMMYFUNCTION("REGEXREPLACE(C27120,""-\d+(.*)|--\d+(.*)"","""")"),"ALLIGNY-EN-MORVAN")</f>
        <v>ALLIGNY-EN-MORVAN</v>
      </c>
      <c r="E27120" s="38" t="s">
        <v>219</v>
      </c>
      <c r="F27120" s="38" t="s">
        <v>106</v>
      </c>
      <c r="G27120" s="49" t="str">
        <f t="shared" si="1"/>
        <v>58230</v>
      </c>
      <c r="H27120" s="49">
        <f t="shared" si="2"/>
        <v>58003</v>
      </c>
    </row>
    <row r="27121">
      <c r="A27121" s="48" t="s">
        <v>1124</v>
      </c>
      <c r="B27121" s="38">
        <v>61349.0</v>
      </c>
      <c r="C27121" s="38" t="s">
        <v>31586</v>
      </c>
      <c r="D27121" s="38" t="str">
        <f>IFERROR(__xludf.DUMMYFUNCTION("REGEXREPLACE(C27121,""-\d+(.*)|--\d+(.*)"","""")"),"RI")</f>
        <v>RI</v>
      </c>
      <c r="E27121" s="38" t="s">
        <v>141</v>
      </c>
      <c r="F27121" s="38" t="s">
        <v>138</v>
      </c>
      <c r="G27121" s="49" t="str">
        <f t="shared" si="1"/>
        <v>61210</v>
      </c>
      <c r="H27121" s="49">
        <f t="shared" si="2"/>
        <v>61349</v>
      </c>
    </row>
    <row r="27122">
      <c r="A27122" s="48" t="s">
        <v>7435</v>
      </c>
      <c r="B27122" s="38">
        <v>52469.0</v>
      </c>
      <c r="C27122" s="38" t="s">
        <v>31587</v>
      </c>
      <c r="D27122" s="38" t="str">
        <f>IFERROR(__xludf.DUMMYFUNCTION("REGEXREPLACE(C27122,""-\d+(.*)|--\d+(.*)"","""")"),"SEMOUTIERS-MONTSAON")</f>
        <v>SEMOUTIERS-MONTSAON</v>
      </c>
      <c r="E27122" s="38" t="s">
        <v>234</v>
      </c>
      <c r="F27122" s="38" t="s">
        <v>130</v>
      </c>
      <c r="G27122" s="49" t="str">
        <f t="shared" si="1"/>
        <v>52000</v>
      </c>
      <c r="H27122" s="49">
        <f t="shared" si="2"/>
        <v>52469</v>
      </c>
    </row>
    <row r="27123">
      <c r="A27123" s="48" t="s">
        <v>8199</v>
      </c>
      <c r="B27123" s="38">
        <v>63333.0</v>
      </c>
      <c r="C27123" s="38" t="s">
        <v>31588</v>
      </c>
      <c r="D27123" s="38" t="str">
        <f>IFERROR(__xludf.DUMMYFUNCTION("REGEXREPLACE(C27123,""-\d+(.*)|--\d+(.*)"","""")"),"SAINT-DENIS-COMBARNAZAT")</f>
        <v>SAINT-DENIS-COMBARNAZAT</v>
      </c>
      <c r="E27123" s="38" t="s">
        <v>353</v>
      </c>
      <c r="F27123" s="38" t="s">
        <v>161</v>
      </c>
      <c r="G27123" s="49" t="str">
        <f t="shared" si="1"/>
        <v>63310</v>
      </c>
      <c r="H27123" s="49">
        <f t="shared" si="2"/>
        <v>63333</v>
      </c>
    </row>
    <row r="27124">
      <c r="A27124" s="48" t="s">
        <v>3242</v>
      </c>
      <c r="B27124" s="38">
        <v>2273.0</v>
      </c>
      <c r="C27124" s="38" t="s">
        <v>17568</v>
      </c>
      <c r="D27124" s="38" t="str">
        <f>IFERROR(__xludf.DUMMYFUNCTION("REGEXREPLACE(C27124,""-\d+(.*)|--\d+(.*)"","""")"),"DURY")</f>
        <v>DURY</v>
      </c>
      <c r="E27124" s="38" t="s">
        <v>191</v>
      </c>
      <c r="F27124" s="38" t="s">
        <v>113</v>
      </c>
      <c r="G27124" s="49" t="str">
        <f t="shared" si="1"/>
        <v>02480</v>
      </c>
      <c r="H27124" s="49" t="str">
        <f t="shared" si="2"/>
        <v>02273</v>
      </c>
    </row>
    <row r="27125">
      <c r="A27125" s="48" t="s">
        <v>2346</v>
      </c>
      <c r="B27125" s="38">
        <v>4100.0</v>
      </c>
      <c r="C27125" s="38" t="s">
        <v>31589</v>
      </c>
      <c r="D27125" s="38" t="str">
        <f>IFERROR(__xludf.DUMMYFUNCTION("REGEXREPLACE(C27125,""-\d+(.*)|--\d+(.*)"","""")"),"LARCHE")</f>
        <v>LARCHE</v>
      </c>
      <c r="E27125" s="38" t="s">
        <v>662</v>
      </c>
      <c r="F27125" s="38" t="s">
        <v>228</v>
      </c>
      <c r="G27125" s="49" t="str">
        <f t="shared" si="1"/>
        <v>04530</v>
      </c>
      <c r="H27125" s="49" t="str">
        <f t="shared" si="2"/>
        <v>04100</v>
      </c>
    </row>
    <row r="27126">
      <c r="A27126" s="48" t="s">
        <v>7659</v>
      </c>
      <c r="B27126" s="38">
        <v>53053.0</v>
      </c>
      <c r="C27126" s="38" t="s">
        <v>31590</v>
      </c>
      <c r="D27126" s="38" t="str">
        <f>IFERROR(__xludf.DUMMYFUNCTION("REGEXREPLACE(C27126,""-\d+(.*)|--\d+(.*)"","""")"),"CHAMPGENETEUX")</f>
        <v>CHAMPGENETEUX</v>
      </c>
      <c r="E27126" s="38" t="s">
        <v>518</v>
      </c>
      <c r="F27126" s="38" t="s">
        <v>180</v>
      </c>
      <c r="G27126" s="49" t="str">
        <f t="shared" si="1"/>
        <v>53160</v>
      </c>
      <c r="H27126" s="49">
        <f t="shared" si="2"/>
        <v>53053</v>
      </c>
    </row>
    <row r="27127">
      <c r="A27127" s="48" t="s">
        <v>2540</v>
      </c>
      <c r="B27127" s="38">
        <v>2554.0</v>
      </c>
      <c r="C27127" s="38" t="s">
        <v>31591</v>
      </c>
      <c r="D27127" s="38" t="str">
        <f>IFERROR(__xludf.DUMMYFUNCTION("REGEXREPLACE(C27127,""-\d+(.*)|--\d+(.*)"","""")"),"NOGENTEL")</f>
        <v>NOGENTEL</v>
      </c>
      <c r="E27127" s="38" t="s">
        <v>191</v>
      </c>
      <c r="F27127" s="38" t="s">
        <v>113</v>
      </c>
      <c r="G27127" s="49" t="str">
        <f t="shared" si="1"/>
        <v>02400</v>
      </c>
      <c r="H27127" s="49" t="str">
        <f t="shared" si="2"/>
        <v>02554</v>
      </c>
    </row>
    <row r="27128">
      <c r="A27128" s="48" t="s">
        <v>3324</v>
      </c>
      <c r="B27128" s="38">
        <v>62712.0</v>
      </c>
      <c r="C27128" s="38" t="s">
        <v>27712</v>
      </c>
      <c r="D27128" s="38" t="str">
        <f>IFERROR(__xludf.DUMMYFUNCTION("REGEXREPLACE(C27128,""-\d+(.*)|--\d+(.*)"","""")"),"RIVIERE")</f>
        <v>RIVIERE</v>
      </c>
      <c r="E27128" s="38" t="s">
        <v>109</v>
      </c>
      <c r="F27128" s="38" t="s">
        <v>86</v>
      </c>
      <c r="G27128" s="49" t="str">
        <f t="shared" si="1"/>
        <v>62173</v>
      </c>
      <c r="H27128" s="49">
        <f t="shared" si="2"/>
        <v>62712</v>
      </c>
    </row>
    <row r="27129">
      <c r="A27129" s="48" t="s">
        <v>7835</v>
      </c>
      <c r="B27129" s="38">
        <v>83093.0</v>
      </c>
      <c r="C27129" s="38" t="s">
        <v>31592</v>
      </c>
      <c r="D27129" s="38" t="str">
        <f>IFERROR(__xludf.DUMMYFUNCTION("REGEXREPLACE(C27129,""-\d+(.*)|--\d+(.*)"","""")"),"PLAN-D'AUPS-SAINTE-BAUME")</f>
        <v>PLAN-D'AUPS-SAINTE-BAUME</v>
      </c>
      <c r="E27129" s="38" t="s">
        <v>813</v>
      </c>
      <c r="F27129" s="38" t="s">
        <v>228</v>
      </c>
      <c r="G27129" s="49" t="str">
        <f t="shared" si="1"/>
        <v>83640</v>
      </c>
      <c r="H27129" s="49">
        <f t="shared" si="2"/>
        <v>83093</v>
      </c>
    </row>
    <row r="27130">
      <c r="A27130" s="48" t="s">
        <v>14072</v>
      </c>
      <c r="B27130" s="38">
        <v>71190.0</v>
      </c>
      <c r="C27130" s="38" t="s">
        <v>31593</v>
      </c>
      <c r="D27130" s="38" t="str">
        <f>IFERROR(__xludf.DUMMYFUNCTION("REGEXREPLACE(C27130,""-\d+(.*)|--\d+(.*)"","""")"),"EPINAC")</f>
        <v>EPINAC</v>
      </c>
      <c r="E27130" s="38" t="s">
        <v>344</v>
      </c>
      <c r="F27130" s="38" t="s">
        <v>106</v>
      </c>
      <c r="G27130" s="49" t="str">
        <f t="shared" si="1"/>
        <v>71360</v>
      </c>
      <c r="H27130" s="49">
        <f t="shared" si="2"/>
        <v>71190</v>
      </c>
    </row>
    <row r="27131">
      <c r="A27131" s="48" t="s">
        <v>11166</v>
      </c>
      <c r="B27131" s="38">
        <v>55405.0</v>
      </c>
      <c r="C27131" s="38" t="s">
        <v>31594</v>
      </c>
      <c r="D27131" s="38" t="str">
        <f>IFERROR(__xludf.DUMMYFUNCTION("REGEXREPLACE(C27131,""-\d+(.*)|--\d+(.*)"","""")"),"PILLON")</f>
        <v>PILLON</v>
      </c>
      <c r="E27131" s="38" t="s">
        <v>322</v>
      </c>
      <c r="F27131" s="38" t="s">
        <v>195</v>
      </c>
      <c r="G27131" s="49" t="str">
        <f t="shared" si="1"/>
        <v>55230</v>
      </c>
      <c r="H27131" s="49">
        <f t="shared" si="2"/>
        <v>55405</v>
      </c>
    </row>
    <row r="27132">
      <c r="A27132" s="48" t="s">
        <v>7501</v>
      </c>
      <c r="B27132" s="38">
        <v>9137.0</v>
      </c>
      <c r="C27132" s="38" t="s">
        <v>31595</v>
      </c>
      <c r="D27132" s="38" t="str">
        <f>IFERROR(__xludf.DUMMYFUNCTION("REGEXREPLACE(C27132,""-\d+(.*)|--\d+(.*)"","""")"),"GUDAS")</f>
        <v>GUDAS</v>
      </c>
      <c r="E27132" s="38" t="s">
        <v>238</v>
      </c>
      <c r="F27132" s="38" t="s">
        <v>94</v>
      </c>
      <c r="G27132" s="49" t="str">
        <f t="shared" si="1"/>
        <v>09120</v>
      </c>
      <c r="H27132" s="49" t="str">
        <f t="shared" si="2"/>
        <v>09137</v>
      </c>
    </row>
    <row r="27133">
      <c r="A27133" s="48" t="s">
        <v>2270</v>
      </c>
      <c r="B27133" s="38">
        <v>32426.0</v>
      </c>
      <c r="C27133" s="38" t="s">
        <v>31596</v>
      </c>
      <c r="D27133" s="38" t="str">
        <f>IFERROR(__xludf.DUMMYFUNCTION("REGEXREPLACE(C27133,""-\d+(.*)|--\d+(.*)"","""")"),"SEISSAN")</f>
        <v>SEISSAN</v>
      </c>
      <c r="E27133" s="38" t="s">
        <v>440</v>
      </c>
      <c r="F27133" s="38" t="s">
        <v>94</v>
      </c>
      <c r="G27133" s="49" t="str">
        <f t="shared" si="1"/>
        <v>32260</v>
      </c>
      <c r="H27133" s="49">
        <f t="shared" si="2"/>
        <v>32426</v>
      </c>
    </row>
    <row r="27134">
      <c r="A27134" s="48" t="s">
        <v>26042</v>
      </c>
      <c r="B27134" s="38">
        <v>26162.0</v>
      </c>
      <c r="C27134" s="38" t="s">
        <v>31597</v>
      </c>
      <c r="D27134" s="38" t="str">
        <f>IFERROR(__xludf.DUMMYFUNCTION("REGEXREPLACE(C27134,""-\d+(.*)|--\d+(.*)"","""")"),"LENS-LESTANG")</f>
        <v>LENS-LESTANG</v>
      </c>
      <c r="E27134" s="38" t="s">
        <v>126</v>
      </c>
      <c r="F27134" s="38" t="s">
        <v>102</v>
      </c>
      <c r="G27134" s="49" t="str">
        <f t="shared" si="1"/>
        <v>26210</v>
      </c>
      <c r="H27134" s="49">
        <f t="shared" si="2"/>
        <v>26162</v>
      </c>
    </row>
    <row r="27135">
      <c r="A27135" s="48" t="s">
        <v>8327</v>
      </c>
      <c r="B27135" s="38">
        <v>71084.0</v>
      </c>
      <c r="C27135" s="38" t="s">
        <v>31598</v>
      </c>
      <c r="D27135" s="38" t="str">
        <f>IFERROR(__xludf.DUMMYFUNCTION("REGEXREPLACE(C27135,""-\d+(.*)|--\d+(.*)"","""")"),"CHANES")</f>
        <v>CHANES</v>
      </c>
      <c r="E27135" s="38" t="s">
        <v>344</v>
      </c>
      <c r="F27135" s="38" t="s">
        <v>106</v>
      </c>
      <c r="G27135" s="49" t="str">
        <f t="shared" si="1"/>
        <v>71570</v>
      </c>
      <c r="H27135" s="49">
        <f t="shared" si="2"/>
        <v>71084</v>
      </c>
    </row>
    <row r="27136">
      <c r="A27136" s="48" t="s">
        <v>253</v>
      </c>
      <c r="B27136" s="38">
        <v>1332.0</v>
      </c>
      <c r="C27136" s="38" t="s">
        <v>31599</v>
      </c>
      <c r="D27136" s="38" t="str">
        <f>IFERROR(__xludf.DUMMYFUNCTION("REGEXREPLACE(C27136,""-\d+(.*)|--\d+(.*)"","""")"),"SAINT-ANDRE-DE-BAGE")</f>
        <v>SAINT-ANDRE-DE-BAGE</v>
      </c>
      <c r="E27136" s="38" t="s">
        <v>255</v>
      </c>
      <c r="F27136" s="38" t="s">
        <v>102</v>
      </c>
      <c r="G27136" s="49" t="str">
        <f t="shared" si="1"/>
        <v>01380</v>
      </c>
      <c r="H27136" s="49" t="str">
        <f t="shared" si="2"/>
        <v>01332</v>
      </c>
    </row>
    <row r="27137">
      <c r="A27137" s="48" t="s">
        <v>1742</v>
      </c>
      <c r="B27137" s="38">
        <v>21290.0</v>
      </c>
      <c r="C27137" s="38" t="s">
        <v>31600</v>
      </c>
      <c r="D27137" s="38" t="str">
        <f>IFERROR(__xludf.DUMMYFUNCTION("REGEXREPLACE(C27137,""-\d+(.*)|--\d+(.*)"","""")"),"GEMEAUX")</f>
        <v>GEMEAUX</v>
      </c>
      <c r="E27137" s="38" t="s">
        <v>105</v>
      </c>
      <c r="F27137" s="38" t="s">
        <v>106</v>
      </c>
      <c r="G27137" s="49" t="str">
        <f t="shared" si="1"/>
        <v>21120</v>
      </c>
      <c r="H27137" s="49">
        <f t="shared" si="2"/>
        <v>21290</v>
      </c>
    </row>
    <row r="27138">
      <c r="A27138" s="48" t="s">
        <v>127</v>
      </c>
      <c r="B27138" s="38">
        <v>51133.0</v>
      </c>
      <c r="C27138" s="38" t="s">
        <v>31601</v>
      </c>
      <c r="D27138" s="38" t="str">
        <f>IFERROR(__xludf.DUMMYFUNCTION("REGEXREPLACE(C27138,""-\d+(.*)|--\d+(.*)"","""")"),"LE CHATELIER")</f>
        <v>LE CHATELIER</v>
      </c>
      <c r="E27138" s="38" t="s">
        <v>129</v>
      </c>
      <c r="F27138" s="38" t="s">
        <v>130</v>
      </c>
      <c r="G27138" s="49" t="str">
        <f t="shared" si="1"/>
        <v>51330</v>
      </c>
      <c r="H27138" s="49">
        <f t="shared" si="2"/>
        <v>51133</v>
      </c>
    </row>
    <row r="27139">
      <c r="A27139" s="48" t="s">
        <v>10617</v>
      </c>
      <c r="B27139" s="38">
        <v>29289.0</v>
      </c>
      <c r="C27139" s="38" t="s">
        <v>31602</v>
      </c>
      <c r="D27139" s="38" t="str">
        <f>IFERROR(__xludf.DUMMYFUNCTION("REGEXREPLACE(C27139,""-\d+(.*)|--\d+(.*)"","""")"),"TREGARVAN")</f>
        <v>TREGARVAN</v>
      </c>
      <c r="E27139" s="38" t="s">
        <v>176</v>
      </c>
      <c r="F27139" s="38" t="s">
        <v>90</v>
      </c>
      <c r="G27139" s="49" t="str">
        <f t="shared" si="1"/>
        <v>29560</v>
      </c>
      <c r="H27139" s="49">
        <f t="shared" si="2"/>
        <v>29289</v>
      </c>
    </row>
    <row r="27140">
      <c r="A27140" s="48" t="s">
        <v>2406</v>
      </c>
      <c r="B27140" s="38">
        <v>55263.0</v>
      </c>
      <c r="C27140" s="38" t="s">
        <v>31603</v>
      </c>
      <c r="D27140" s="38" t="str">
        <f>IFERROR(__xludf.DUMMYFUNCTION("REGEXREPLACE(C27140,""-\d+(.*)|--\d+(.*)"","""")"),"KOEUR-LA-GRANDE")</f>
        <v>KOEUR-LA-GRANDE</v>
      </c>
      <c r="E27140" s="38" t="s">
        <v>322</v>
      </c>
      <c r="F27140" s="38" t="s">
        <v>195</v>
      </c>
      <c r="G27140" s="49" t="str">
        <f t="shared" si="1"/>
        <v>55300</v>
      </c>
      <c r="H27140" s="49">
        <f t="shared" si="2"/>
        <v>55263</v>
      </c>
    </row>
    <row r="27141">
      <c r="A27141" s="48" t="s">
        <v>11007</v>
      </c>
      <c r="B27141" s="38">
        <v>17404.0</v>
      </c>
      <c r="C27141" s="38" t="s">
        <v>31604</v>
      </c>
      <c r="D27141" s="38" t="str">
        <f>IFERROR(__xludf.DUMMYFUNCTION("REGEXREPLACE(C27141,""-\d+(.*)|--\d+(.*)"","""")"),"SAINT-SIMON-DE-PELLOUAILLE")</f>
        <v>SAINT-SIMON-DE-PELLOUAILLE</v>
      </c>
      <c r="E27141" s="38" t="s">
        <v>488</v>
      </c>
      <c r="F27141" s="38" t="s">
        <v>338</v>
      </c>
      <c r="G27141" s="49" t="str">
        <f t="shared" si="1"/>
        <v>17260</v>
      </c>
      <c r="H27141" s="49">
        <f t="shared" si="2"/>
        <v>17404</v>
      </c>
    </row>
    <row r="27142">
      <c r="A27142" s="48" t="s">
        <v>7037</v>
      </c>
      <c r="B27142" s="38">
        <v>34111.0</v>
      </c>
      <c r="C27142" s="38" t="s">
        <v>31605</v>
      </c>
      <c r="D27142" s="38" t="str">
        <f>IFERROR(__xludf.DUMMYFUNCTION("REGEXREPLACE(C27142,""-\d+(.*)|--\d+(.*)"","""")"),"GANGES")</f>
        <v>GANGES</v>
      </c>
      <c r="E27142" s="38" t="s">
        <v>118</v>
      </c>
      <c r="F27142" s="38" t="s">
        <v>119</v>
      </c>
      <c r="G27142" s="49" t="str">
        <f t="shared" si="1"/>
        <v>34190</v>
      </c>
      <c r="H27142" s="49">
        <f t="shared" si="2"/>
        <v>34111</v>
      </c>
    </row>
    <row r="27143">
      <c r="A27143" s="48" t="s">
        <v>4381</v>
      </c>
      <c r="B27143" s="38">
        <v>82194.0</v>
      </c>
      <c r="C27143" s="38" t="s">
        <v>31606</v>
      </c>
      <c r="D27143" s="38" t="str">
        <f>IFERROR(__xludf.DUMMYFUNCTION("REGEXREPLACE(C27143,""-\d+(.*)|--\d+(.*)"","""")"),"VILLEBRUMIER")</f>
        <v>VILLEBRUMIER</v>
      </c>
      <c r="E27143" s="38" t="s">
        <v>570</v>
      </c>
      <c r="F27143" s="38" t="s">
        <v>94</v>
      </c>
      <c r="G27143" s="49" t="str">
        <f t="shared" si="1"/>
        <v>82370</v>
      </c>
      <c r="H27143" s="49">
        <f t="shared" si="2"/>
        <v>82194</v>
      </c>
    </row>
    <row r="27144">
      <c r="A27144" s="48" t="s">
        <v>5584</v>
      </c>
      <c r="B27144" s="38">
        <v>41216.0</v>
      </c>
      <c r="C27144" s="38" t="s">
        <v>31607</v>
      </c>
      <c r="D27144" s="38" t="str">
        <f>IFERROR(__xludf.DUMMYFUNCTION("REGEXREPLACE(C27144,""-\d+(.*)|--\d+(.*)"","""")"),"SAINT-JEAN-FROIDMENTEL")</f>
        <v>SAINT-JEAN-FROIDMENTEL</v>
      </c>
      <c r="E27144" s="38" t="s">
        <v>188</v>
      </c>
      <c r="F27144" s="38" t="s">
        <v>123</v>
      </c>
      <c r="G27144" s="49" t="str">
        <f t="shared" si="1"/>
        <v>41160</v>
      </c>
      <c r="H27144" s="49">
        <f t="shared" si="2"/>
        <v>41216</v>
      </c>
    </row>
    <row r="27145">
      <c r="A27145" s="48" t="s">
        <v>10348</v>
      </c>
      <c r="B27145" s="38">
        <v>61373.0</v>
      </c>
      <c r="C27145" s="38" t="s">
        <v>31608</v>
      </c>
      <c r="D27145" s="38" t="str">
        <f>IFERROR(__xludf.DUMMYFUNCTION("REGEXREPLACE(C27145,""-\d+(.*)|--\d+(.*)"","""")"),"SAINTE-CERONNE-LES-MORTAGNE")</f>
        <v>SAINTE-CERONNE-LES-MORTAGNE</v>
      </c>
      <c r="E27145" s="38" t="s">
        <v>141</v>
      </c>
      <c r="F27145" s="38" t="s">
        <v>138</v>
      </c>
      <c r="G27145" s="49" t="str">
        <f t="shared" si="1"/>
        <v>61380</v>
      </c>
      <c r="H27145" s="49">
        <f t="shared" si="2"/>
        <v>61373</v>
      </c>
    </row>
    <row r="27146">
      <c r="A27146" s="48" t="s">
        <v>376</v>
      </c>
      <c r="B27146" s="38">
        <v>73175.0</v>
      </c>
      <c r="C27146" s="38" t="s">
        <v>31609</v>
      </c>
      <c r="D27146" s="38" t="str">
        <f>IFERROR(__xludf.DUMMYFUNCTION("REGEXREPLACE(C27146,""-\d+(.*)|--\d+(.*)"","""")"),"MONTSAPEY")</f>
        <v>MONTSAPEY</v>
      </c>
      <c r="E27146" s="38" t="s">
        <v>306</v>
      </c>
      <c r="F27146" s="38" t="s">
        <v>102</v>
      </c>
      <c r="G27146" s="49" t="str">
        <f t="shared" si="1"/>
        <v>73220</v>
      </c>
      <c r="H27146" s="49">
        <f t="shared" si="2"/>
        <v>73175</v>
      </c>
    </row>
    <row r="27147">
      <c r="A27147" s="48" t="s">
        <v>3450</v>
      </c>
      <c r="B27147" s="38">
        <v>60506.0</v>
      </c>
      <c r="C27147" s="38" t="s">
        <v>6554</v>
      </c>
      <c r="D27147" s="38" t="str">
        <f>IFERROR(__xludf.DUMMYFUNCTION("REGEXREPLACE(C27147,""-\d+(.*)|--\d+(.*)"","""")"),"PONT-L'EVEQUE")</f>
        <v>PONT-L'EVEQUE</v>
      </c>
      <c r="E27147" s="38" t="s">
        <v>112</v>
      </c>
      <c r="F27147" s="38" t="s">
        <v>113</v>
      </c>
      <c r="G27147" s="49" t="str">
        <f t="shared" si="1"/>
        <v>60400</v>
      </c>
      <c r="H27147" s="49">
        <f t="shared" si="2"/>
        <v>60506</v>
      </c>
    </row>
    <row r="27148">
      <c r="A27148" s="48" t="s">
        <v>5551</v>
      </c>
      <c r="B27148" s="38">
        <v>71527.0</v>
      </c>
      <c r="C27148" s="38" t="s">
        <v>31610</v>
      </c>
      <c r="D27148" s="38" t="str">
        <f>IFERROR(__xludf.DUMMYFUNCTION("REGEXREPLACE(C27148,""-\d+(.*)|--\d+(.*)"","""")"),"SOMMANT")</f>
        <v>SOMMANT</v>
      </c>
      <c r="E27148" s="38" t="s">
        <v>344</v>
      </c>
      <c r="F27148" s="38" t="s">
        <v>106</v>
      </c>
      <c r="G27148" s="49" t="str">
        <f t="shared" si="1"/>
        <v>71540</v>
      </c>
      <c r="H27148" s="49">
        <f t="shared" si="2"/>
        <v>71527</v>
      </c>
    </row>
    <row r="27149">
      <c r="A27149" s="48" t="s">
        <v>1628</v>
      </c>
      <c r="B27149" s="38">
        <v>70106.0</v>
      </c>
      <c r="C27149" s="38" t="s">
        <v>31611</v>
      </c>
      <c r="D27149" s="38" t="str">
        <f>IFERROR(__xludf.DUMMYFUNCTION("REGEXREPLACE(C27149,""-\d+(.*)|--\d+(.*)"","""")"),"BUFFIGNECOURT")</f>
        <v>BUFFIGNECOURT</v>
      </c>
      <c r="E27149" s="38" t="s">
        <v>956</v>
      </c>
      <c r="F27149" s="38" t="s">
        <v>214</v>
      </c>
      <c r="G27149" s="49" t="str">
        <f t="shared" si="1"/>
        <v>70500</v>
      </c>
      <c r="H27149" s="49">
        <f t="shared" si="2"/>
        <v>70106</v>
      </c>
    </row>
    <row r="27150">
      <c r="A27150" s="48" t="s">
        <v>4015</v>
      </c>
      <c r="B27150" s="38">
        <v>68290.0</v>
      </c>
      <c r="C27150" s="38" t="s">
        <v>31612</v>
      </c>
      <c r="D27150" s="38" t="str">
        <f>IFERROR(__xludf.DUMMYFUNCTION("REGEXREPLACE(C27150,""-\d+(.*)|--\d+(.*)"","""")"),"RUSTENHART")</f>
        <v>RUSTENHART</v>
      </c>
      <c r="E27150" s="38" t="s">
        <v>150</v>
      </c>
      <c r="F27150" s="38" t="s">
        <v>151</v>
      </c>
      <c r="G27150" s="49" t="str">
        <f t="shared" si="1"/>
        <v>68740</v>
      </c>
      <c r="H27150" s="49">
        <f t="shared" si="2"/>
        <v>68290</v>
      </c>
    </row>
    <row r="27151">
      <c r="A27151" s="48" t="s">
        <v>1262</v>
      </c>
      <c r="B27151" s="38">
        <v>11383.0</v>
      </c>
      <c r="C27151" s="38" t="s">
        <v>31613</v>
      </c>
      <c r="D27151" s="38" t="str">
        <f>IFERROR(__xludf.DUMMYFUNCTION("REGEXREPLACE(C27151,""-\d+(.*)|--\d+(.*)"","""")"),"SOUILHE")</f>
        <v>SOUILHE</v>
      </c>
      <c r="E27151" s="38" t="s">
        <v>278</v>
      </c>
      <c r="F27151" s="38" t="s">
        <v>119</v>
      </c>
      <c r="G27151" s="49" t="str">
        <f t="shared" si="1"/>
        <v>11400</v>
      </c>
      <c r="H27151" s="49">
        <f t="shared" si="2"/>
        <v>11383</v>
      </c>
    </row>
    <row r="27152">
      <c r="A27152" s="48" t="s">
        <v>31614</v>
      </c>
      <c r="B27152" s="38">
        <v>97222.0</v>
      </c>
      <c r="C27152" s="38" t="s">
        <v>31615</v>
      </c>
      <c r="D27152" s="38" t="str">
        <f>IFERROR(__xludf.DUMMYFUNCTION("REGEXREPLACE(C27152,""-\d+(.*)|--\d+(.*)"","""")"),"LE ROBERT")</f>
        <v>LE ROBERT</v>
      </c>
      <c r="E27152" s="38" t="s">
        <v>2282</v>
      </c>
      <c r="F27152" s="38" t="s">
        <v>2282</v>
      </c>
      <c r="G27152" s="49" t="str">
        <f t="shared" si="1"/>
        <v>97231</v>
      </c>
      <c r="H27152" s="49">
        <f t="shared" si="2"/>
        <v>97222</v>
      </c>
    </row>
    <row r="27153">
      <c r="A27153" s="48" t="s">
        <v>6844</v>
      </c>
      <c r="B27153" s="38">
        <v>12010.0</v>
      </c>
      <c r="C27153" s="38" t="s">
        <v>30613</v>
      </c>
      <c r="D27153" s="38" t="str">
        <f>IFERROR(__xludf.DUMMYFUNCTION("REGEXREPLACE(C27153,""-\d+(.*)|--\d+(.*)"","""")"),"ARQUES")</f>
        <v>ARQUES</v>
      </c>
      <c r="E27153" s="38" t="s">
        <v>465</v>
      </c>
      <c r="F27153" s="38" t="s">
        <v>94</v>
      </c>
      <c r="G27153" s="49" t="str">
        <f t="shared" si="1"/>
        <v>12290</v>
      </c>
      <c r="H27153" s="49">
        <f t="shared" si="2"/>
        <v>12010</v>
      </c>
    </row>
    <row r="27154">
      <c r="A27154" s="48" t="s">
        <v>12660</v>
      </c>
      <c r="B27154" s="38">
        <v>29110.0</v>
      </c>
      <c r="C27154" s="38" t="s">
        <v>31616</v>
      </c>
      <c r="D27154" s="38" t="str">
        <f>IFERROR(__xludf.DUMMYFUNCTION("REGEXREPLACE(C27154,""-\d+(.*)|--\d+(.*)"","""")"),"LANGOLEN")</f>
        <v>LANGOLEN</v>
      </c>
      <c r="E27154" s="38" t="s">
        <v>176</v>
      </c>
      <c r="F27154" s="38" t="s">
        <v>90</v>
      </c>
      <c r="G27154" s="49" t="str">
        <f t="shared" si="1"/>
        <v>29510</v>
      </c>
      <c r="H27154" s="49">
        <f t="shared" si="2"/>
        <v>29110</v>
      </c>
    </row>
    <row r="27155">
      <c r="A27155" s="48" t="s">
        <v>294</v>
      </c>
      <c r="B27155" s="38">
        <v>40329.0</v>
      </c>
      <c r="C27155" s="38" t="s">
        <v>31617</v>
      </c>
      <c r="D27155" s="38" t="str">
        <f>IFERROR(__xludf.DUMMYFUNCTION("REGEXREPLACE(C27155,""-\d+(.*)|--\d+(.*)"","""")"),"LE VIGNAU")</f>
        <v>LE VIGNAU</v>
      </c>
      <c r="E27155" s="38" t="s">
        <v>281</v>
      </c>
      <c r="F27155" s="38" t="s">
        <v>252</v>
      </c>
      <c r="G27155" s="49" t="str">
        <f t="shared" si="1"/>
        <v>40270</v>
      </c>
      <c r="H27155" s="49">
        <f t="shared" si="2"/>
        <v>40329</v>
      </c>
    </row>
    <row r="27156">
      <c r="A27156" s="48" t="s">
        <v>12807</v>
      </c>
      <c r="B27156" s="38">
        <v>42251.0</v>
      </c>
      <c r="C27156" s="38" t="s">
        <v>31618</v>
      </c>
      <c r="D27156" s="38" t="str">
        <f>IFERROR(__xludf.DUMMYFUNCTION("REGEXREPLACE(C27156,""-\d+(.*)|--\d+(.*)"","""")"),"SAINT-LAURENT-LA-CONCHE")</f>
        <v>SAINT-LAURENT-LA-CONCHE</v>
      </c>
      <c r="E27156" s="38" t="s">
        <v>166</v>
      </c>
      <c r="F27156" s="38" t="s">
        <v>102</v>
      </c>
      <c r="G27156" s="49" t="str">
        <f t="shared" si="1"/>
        <v>42210</v>
      </c>
      <c r="H27156" s="49">
        <f t="shared" si="2"/>
        <v>42251</v>
      </c>
    </row>
    <row r="27157">
      <c r="A27157" s="48" t="s">
        <v>18876</v>
      </c>
      <c r="B27157" s="38">
        <v>22195.0</v>
      </c>
      <c r="C27157" s="38" t="s">
        <v>31619</v>
      </c>
      <c r="D27157" s="38" t="str">
        <f>IFERROR(__xludf.DUMMYFUNCTION("REGEXREPLACE(C27157,""-\d+(.*)|--\d+(.*)"","""")"),"PLEUBIAN")</f>
        <v>PLEUBIAN</v>
      </c>
      <c r="E27157" s="38" t="s">
        <v>89</v>
      </c>
      <c r="F27157" s="38" t="s">
        <v>90</v>
      </c>
      <c r="G27157" s="49" t="str">
        <f t="shared" si="1"/>
        <v>22610</v>
      </c>
      <c r="H27157" s="49">
        <f t="shared" si="2"/>
        <v>22195</v>
      </c>
    </row>
    <row r="27158">
      <c r="A27158" s="48" t="s">
        <v>6264</v>
      </c>
      <c r="B27158" s="38">
        <v>77391.0</v>
      </c>
      <c r="C27158" s="38" t="s">
        <v>31620</v>
      </c>
      <c r="D27158" s="38" t="str">
        <f>IFERROR(__xludf.DUMMYFUNCTION("REGEXREPLACE(C27158,""-\d+(.*)|--\d+(.*)"","""")"),"ROUILLY")</f>
        <v>ROUILLY</v>
      </c>
      <c r="E27158" s="38" t="s">
        <v>244</v>
      </c>
      <c r="F27158" s="38" t="s">
        <v>245</v>
      </c>
      <c r="G27158" s="49" t="str">
        <f t="shared" si="1"/>
        <v>77160</v>
      </c>
      <c r="H27158" s="49">
        <f t="shared" si="2"/>
        <v>77391</v>
      </c>
    </row>
    <row r="27159">
      <c r="A27159" s="48" t="s">
        <v>3948</v>
      </c>
      <c r="B27159" s="38">
        <v>21519.0</v>
      </c>
      <c r="C27159" s="38" t="s">
        <v>31621</v>
      </c>
      <c r="D27159" s="38" t="str">
        <f>IFERROR(__xludf.DUMMYFUNCTION("REGEXREPLACE(C27159,""-\d+(.*)|--\d+(.*)"","""")"),"RECEY-SUR-OURCE")</f>
        <v>RECEY-SUR-OURCE</v>
      </c>
      <c r="E27159" s="38" t="s">
        <v>105</v>
      </c>
      <c r="F27159" s="38" t="s">
        <v>106</v>
      </c>
      <c r="G27159" s="49" t="str">
        <f t="shared" si="1"/>
        <v>21290</v>
      </c>
      <c r="H27159" s="49">
        <f t="shared" si="2"/>
        <v>21519</v>
      </c>
    </row>
    <row r="27160">
      <c r="A27160" s="48" t="s">
        <v>4766</v>
      </c>
      <c r="B27160" s="38">
        <v>64198.0</v>
      </c>
      <c r="C27160" s="38" t="s">
        <v>31622</v>
      </c>
      <c r="D27160" s="38" t="str">
        <f>IFERROR(__xludf.DUMMYFUNCTION("REGEXREPLACE(C27160,""-\d+(.*)|--\d+(.*)"","""")"),"DENGUIN")</f>
        <v>DENGUIN</v>
      </c>
      <c r="E27160" s="38" t="s">
        <v>268</v>
      </c>
      <c r="F27160" s="38" t="s">
        <v>252</v>
      </c>
      <c r="G27160" s="49" t="str">
        <f t="shared" si="1"/>
        <v>64230</v>
      </c>
      <c r="H27160" s="49">
        <f t="shared" si="2"/>
        <v>64198</v>
      </c>
    </row>
    <row r="27161">
      <c r="A27161" s="48" t="s">
        <v>315</v>
      </c>
      <c r="B27161" s="38">
        <v>27483.0</v>
      </c>
      <c r="C27161" s="38" t="s">
        <v>31623</v>
      </c>
      <c r="D27161" s="38" t="str">
        <f>IFERROR(__xludf.DUMMYFUNCTION("REGEXREPLACE(C27161,""-\d+(.*)|--\d+(.*)"","""")"),"QUATREMARE")</f>
        <v>QUATREMARE</v>
      </c>
      <c r="E27161" s="38" t="s">
        <v>241</v>
      </c>
      <c r="F27161" s="38" t="s">
        <v>134</v>
      </c>
      <c r="G27161" s="49" t="str">
        <f t="shared" si="1"/>
        <v>27400</v>
      </c>
      <c r="H27161" s="49">
        <f t="shared" si="2"/>
        <v>27483</v>
      </c>
    </row>
    <row r="27162">
      <c r="A27162" s="48" t="s">
        <v>1295</v>
      </c>
      <c r="B27162" s="38">
        <v>57741.0</v>
      </c>
      <c r="C27162" s="38" t="s">
        <v>31624</v>
      </c>
      <c r="D27162" s="38" t="str">
        <f>IFERROR(__xludf.DUMMYFUNCTION("REGEXREPLACE(C27162,""-\d+(.*)|--\d+(.*)"","""")"),"WALSCHBRONN")</f>
        <v>WALSCHBRONN</v>
      </c>
      <c r="E27162" s="38" t="s">
        <v>303</v>
      </c>
      <c r="F27162" s="38" t="s">
        <v>195</v>
      </c>
      <c r="G27162" s="49" t="str">
        <f t="shared" si="1"/>
        <v>57720</v>
      </c>
      <c r="H27162" s="49">
        <f t="shared" si="2"/>
        <v>57741</v>
      </c>
    </row>
    <row r="27163">
      <c r="A27163" s="48" t="s">
        <v>466</v>
      </c>
      <c r="B27163" s="38">
        <v>52356.0</v>
      </c>
      <c r="C27163" s="38" t="s">
        <v>31625</v>
      </c>
      <c r="D27163" s="38" t="str">
        <f>IFERROR(__xludf.DUMMYFUNCTION("REGEXREPLACE(C27163,""-\d+(.*)|--\d+(.*)"","""")"),"NOMECOURT")</f>
        <v>NOMECOURT</v>
      </c>
      <c r="E27163" s="38" t="s">
        <v>234</v>
      </c>
      <c r="F27163" s="38" t="s">
        <v>130</v>
      </c>
      <c r="G27163" s="49" t="str">
        <f t="shared" si="1"/>
        <v>52300</v>
      </c>
      <c r="H27163" s="49">
        <f t="shared" si="2"/>
        <v>52356</v>
      </c>
    </row>
    <row r="27164">
      <c r="A27164" s="48" t="s">
        <v>9484</v>
      </c>
      <c r="B27164" s="38">
        <v>61149.0</v>
      </c>
      <c r="C27164" s="38" t="s">
        <v>31626</v>
      </c>
      <c r="D27164" s="38" t="str">
        <f>IFERROR(__xludf.DUMMYFUNCTION("REGEXREPLACE(C27164,""-\d+(.*)|--\d+(.*)"","""")"),"ECHALOU")</f>
        <v>ECHALOU</v>
      </c>
      <c r="E27164" s="38" t="s">
        <v>141</v>
      </c>
      <c r="F27164" s="38" t="s">
        <v>138</v>
      </c>
      <c r="G27164" s="49" t="str">
        <f t="shared" si="1"/>
        <v>61440</v>
      </c>
      <c r="H27164" s="49">
        <f t="shared" si="2"/>
        <v>61149</v>
      </c>
    </row>
    <row r="27165">
      <c r="A27165" s="48" t="s">
        <v>31627</v>
      </c>
      <c r="B27165" s="38">
        <v>83043.0</v>
      </c>
      <c r="C27165" s="38" t="s">
        <v>31628</v>
      </c>
      <c r="D27165" s="38" t="str">
        <f>IFERROR(__xludf.DUMMYFUNCTION("REGEXREPLACE(C27165,""-\d+(.*)|--\d+(.*)"","""")"),"COLLOBRIERES")</f>
        <v>COLLOBRIERES</v>
      </c>
      <c r="E27165" s="38" t="s">
        <v>813</v>
      </c>
      <c r="F27165" s="38" t="s">
        <v>228</v>
      </c>
      <c r="G27165" s="49" t="str">
        <f t="shared" si="1"/>
        <v>83610</v>
      </c>
      <c r="H27165" s="49">
        <f t="shared" si="2"/>
        <v>83043</v>
      </c>
    </row>
    <row r="27166">
      <c r="A27166" s="48" t="s">
        <v>31629</v>
      </c>
      <c r="B27166" s="38">
        <v>69081.0</v>
      </c>
      <c r="C27166" s="38" t="s">
        <v>31630</v>
      </c>
      <c r="D27166" s="38" t="str">
        <f>IFERROR(__xludf.DUMMYFUNCTION("REGEXREPLACE(C27166,""-\d+(.*)|--\d+(.*)"","""")"),"ECULLY")</f>
        <v>ECULLY</v>
      </c>
      <c r="E27166" s="38" t="s">
        <v>350</v>
      </c>
      <c r="F27166" s="38" t="s">
        <v>102</v>
      </c>
      <c r="G27166" s="49" t="str">
        <f t="shared" si="1"/>
        <v>69130</v>
      </c>
      <c r="H27166" s="49">
        <f t="shared" si="2"/>
        <v>69081</v>
      </c>
    </row>
    <row r="27167">
      <c r="A27167" s="48" t="s">
        <v>8510</v>
      </c>
      <c r="B27167" s="38">
        <v>39272.0</v>
      </c>
      <c r="C27167" s="38" t="s">
        <v>31631</v>
      </c>
      <c r="D27167" s="38" t="str">
        <f>IFERROR(__xludf.DUMMYFUNCTION("REGEXREPLACE(C27167,""-\d+(.*)|--\d+(.*)"","""")"),"LADOYE-SUR-SEILLE")</f>
        <v>LADOYE-SUR-SEILLE</v>
      </c>
      <c r="E27167" s="38" t="s">
        <v>400</v>
      </c>
      <c r="F27167" s="38" t="s">
        <v>214</v>
      </c>
      <c r="G27167" s="49" t="str">
        <f t="shared" si="1"/>
        <v>39210</v>
      </c>
      <c r="H27167" s="49">
        <f t="shared" si="2"/>
        <v>39272</v>
      </c>
    </row>
    <row r="27168">
      <c r="A27168" s="48" t="s">
        <v>4612</v>
      </c>
      <c r="B27168" s="38">
        <v>3184.0</v>
      </c>
      <c r="C27168" s="38" t="s">
        <v>31632</v>
      </c>
      <c r="D27168" s="38" t="str">
        <f>IFERROR(__xludf.DUMMYFUNCTION("REGEXREPLACE(C27168,""-\d+(.*)|--\d+(.*)"","""")"),"MONTILLY")</f>
        <v>MONTILLY</v>
      </c>
      <c r="E27168" s="38" t="s">
        <v>160</v>
      </c>
      <c r="F27168" s="38" t="s">
        <v>161</v>
      </c>
      <c r="G27168" s="49" t="str">
        <f t="shared" si="1"/>
        <v>03000</v>
      </c>
      <c r="H27168" s="49" t="str">
        <f t="shared" si="2"/>
        <v>03184</v>
      </c>
    </row>
    <row r="27169">
      <c r="A27169" s="48" t="s">
        <v>2924</v>
      </c>
      <c r="B27169" s="38">
        <v>8313.0</v>
      </c>
      <c r="C27169" s="38" t="s">
        <v>31633</v>
      </c>
      <c r="D27169" s="38" t="str">
        <f>IFERROR(__xludf.DUMMYFUNCTION("REGEXREPLACE(C27169,""-\d+(.*)|--\d+(.*)"","""")"),"NANTEUIL-SUR-AISNE")</f>
        <v>NANTEUIL-SUR-AISNE</v>
      </c>
      <c r="E27169" s="38" t="s">
        <v>327</v>
      </c>
      <c r="F27169" s="38" t="s">
        <v>130</v>
      </c>
      <c r="G27169" s="49" t="str">
        <f t="shared" si="1"/>
        <v>08300</v>
      </c>
      <c r="H27169" s="49" t="str">
        <f t="shared" si="2"/>
        <v>08313</v>
      </c>
    </row>
    <row r="27170">
      <c r="A27170" s="48" t="s">
        <v>10013</v>
      </c>
      <c r="B27170" s="38">
        <v>81077.0</v>
      </c>
      <c r="C27170" s="38" t="s">
        <v>31634</v>
      </c>
      <c r="D27170" s="38" t="str">
        <f>IFERROR(__xludf.DUMMYFUNCTION("REGEXREPLACE(C27170,""-\d+(.*)|--\d+(.*)"","""")"),"CURVALLE")</f>
        <v>CURVALLE</v>
      </c>
      <c r="E27170" s="38" t="s">
        <v>231</v>
      </c>
      <c r="F27170" s="38" t="s">
        <v>94</v>
      </c>
      <c r="G27170" s="49" t="str">
        <f t="shared" si="1"/>
        <v>81250</v>
      </c>
      <c r="H27170" s="49">
        <f t="shared" si="2"/>
        <v>81077</v>
      </c>
    </row>
    <row r="27171">
      <c r="A27171" s="48" t="s">
        <v>707</v>
      </c>
      <c r="B27171" s="38">
        <v>61200.0</v>
      </c>
      <c r="C27171" s="38" t="s">
        <v>31635</v>
      </c>
      <c r="D27171" s="38" t="str">
        <f>IFERROR(__xludf.DUMMYFUNCTION("REGEXREPLACE(C27171,""-\d+(.*)|--\d+(.*)"","""")"),"HALEINE")</f>
        <v>HALEINE</v>
      </c>
      <c r="E27171" s="38" t="s">
        <v>141</v>
      </c>
      <c r="F27171" s="38" t="s">
        <v>138</v>
      </c>
      <c r="G27171" s="49" t="str">
        <f t="shared" si="1"/>
        <v>61410</v>
      </c>
      <c r="H27171" s="49">
        <f t="shared" si="2"/>
        <v>61200</v>
      </c>
    </row>
    <row r="27172">
      <c r="A27172" s="48" t="s">
        <v>4905</v>
      </c>
      <c r="B27172" s="38">
        <v>64020.0</v>
      </c>
      <c r="C27172" s="38" t="s">
        <v>31636</v>
      </c>
      <c r="D27172" s="38" t="str">
        <f>IFERROR(__xludf.DUMMYFUNCTION("REGEXREPLACE(C27172,""-\d+(.*)|--\d+(.*)"","""")"),"ANCE")</f>
        <v>ANCE</v>
      </c>
      <c r="E27172" s="38" t="s">
        <v>268</v>
      </c>
      <c r="F27172" s="38" t="s">
        <v>252</v>
      </c>
      <c r="G27172" s="49" t="str">
        <f t="shared" si="1"/>
        <v>64570</v>
      </c>
      <c r="H27172" s="49">
        <f t="shared" si="2"/>
        <v>64020</v>
      </c>
    </row>
    <row r="27173">
      <c r="A27173" s="48" t="s">
        <v>15189</v>
      </c>
      <c r="B27173" s="38">
        <v>65072.0</v>
      </c>
      <c r="C27173" s="38" t="s">
        <v>31637</v>
      </c>
      <c r="D27173" s="38" t="str">
        <f>IFERROR(__xludf.DUMMYFUNCTION("REGEXREPLACE(C27173,""-\d+(.*)|--\d+(.*)"","""")"),"BAZET")</f>
        <v>BAZET</v>
      </c>
      <c r="E27173" s="38" t="s">
        <v>200</v>
      </c>
      <c r="F27173" s="38" t="s">
        <v>94</v>
      </c>
      <c r="G27173" s="49" t="str">
        <f t="shared" si="1"/>
        <v>65460</v>
      </c>
      <c r="H27173" s="49">
        <f t="shared" si="2"/>
        <v>65072</v>
      </c>
    </row>
    <row r="27174">
      <c r="A27174" s="48" t="s">
        <v>5545</v>
      </c>
      <c r="B27174" s="38">
        <v>22077.0</v>
      </c>
      <c r="C27174" s="38" t="s">
        <v>31638</v>
      </c>
      <c r="D27174" s="38" t="str">
        <f>IFERROR(__xludf.DUMMYFUNCTION("REGEXREPLACE(C27174,""-\d+(.*)|--\d+(.*)"","""")"),"HENANSAL")</f>
        <v>HENANSAL</v>
      </c>
      <c r="E27174" s="38" t="s">
        <v>89</v>
      </c>
      <c r="F27174" s="38" t="s">
        <v>90</v>
      </c>
      <c r="G27174" s="49" t="str">
        <f t="shared" si="1"/>
        <v>22400</v>
      </c>
      <c r="H27174" s="49">
        <f t="shared" si="2"/>
        <v>22077</v>
      </c>
    </row>
    <row r="27175">
      <c r="A27175" s="48" t="s">
        <v>11810</v>
      </c>
      <c r="B27175" s="38">
        <v>50519.0</v>
      </c>
      <c r="C27175" s="38" t="s">
        <v>31639</v>
      </c>
      <c r="D27175" s="38" t="str">
        <f>IFERROR(__xludf.DUMMYFUNCTION("REGEXREPLACE(C27175,""-\d+(.*)|--\d+(.*)"","""")"),"SAINT-MARTIN-LE-GREARD")</f>
        <v>SAINT-MARTIN-LE-GREARD</v>
      </c>
      <c r="E27175" s="38" t="s">
        <v>157</v>
      </c>
      <c r="F27175" s="38" t="s">
        <v>138</v>
      </c>
      <c r="G27175" s="49" t="str">
        <f t="shared" si="1"/>
        <v>50690</v>
      </c>
      <c r="H27175" s="49">
        <f t="shared" si="2"/>
        <v>50519</v>
      </c>
    </row>
    <row r="27176">
      <c r="A27176" s="48" t="s">
        <v>946</v>
      </c>
      <c r="B27176" s="38">
        <v>81308.0</v>
      </c>
      <c r="C27176" s="38" t="s">
        <v>31640</v>
      </c>
      <c r="D27176" s="38" t="str">
        <f>IFERROR(__xludf.DUMMYFUNCTION("REGEXREPLACE(C27176,""-\d+(.*)|--\d+(.*)"","""")"),"VALENCE-D'ALBIGEOIS")</f>
        <v>VALENCE-D'ALBIGEOIS</v>
      </c>
      <c r="E27176" s="38" t="s">
        <v>231</v>
      </c>
      <c r="F27176" s="38" t="s">
        <v>94</v>
      </c>
      <c r="G27176" s="49" t="str">
        <f t="shared" si="1"/>
        <v>81340</v>
      </c>
      <c r="H27176" s="49">
        <f t="shared" si="2"/>
        <v>81308</v>
      </c>
    </row>
    <row r="27177">
      <c r="A27177" s="48" t="s">
        <v>5101</v>
      </c>
      <c r="B27177" s="38">
        <v>54085.0</v>
      </c>
      <c r="C27177" s="38" t="s">
        <v>31641</v>
      </c>
      <c r="D27177" s="38" t="str">
        <f>IFERROR(__xludf.DUMMYFUNCTION("REGEXREPLACE(C27177,""-\d+(.*)|--\d+(.*)"","""")"),"BORVILLE")</f>
        <v>BORVILLE</v>
      </c>
      <c r="E27177" s="38" t="s">
        <v>548</v>
      </c>
      <c r="F27177" s="38" t="s">
        <v>195</v>
      </c>
      <c r="G27177" s="49" t="str">
        <f t="shared" si="1"/>
        <v>54290</v>
      </c>
      <c r="H27177" s="49">
        <f t="shared" si="2"/>
        <v>54085</v>
      </c>
    </row>
    <row r="27178">
      <c r="A27178" s="48" t="s">
        <v>1526</v>
      </c>
      <c r="B27178" s="38">
        <v>60098.0</v>
      </c>
      <c r="C27178" s="38" t="s">
        <v>31642</v>
      </c>
      <c r="D27178" s="38" t="str">
        <f>IFERROR(__xludf.DUMMYFUNCTION("REGEXREPLACE(C27178,""-\d+(.*)|--\d+(.*)"","""")"),"BOUVRESSE")</f>
        <v>BOUVRESSE</v>
      </c>
      <c r="E27178" s="38" t="s">
        <v>112</v>
      </c>
      <c r="F27178" s="38" t="s">
        <v>113</v>
      </c>
      <c r="G27178" s="49" t="str">
        <f t="shared" si="1"/>
        <v>60220</v>
      </c>
      <c r="H27178" s="49">
        <f t="shared" si="2"/>
        <v>60098</v>
      </c>
    </row>
    <row r="27179">
      <c r="A27179" s="48" t="s">
        <v>8979</v>
      </c>
      <c r="B27179" s="38">
        <v>17373.0</v>
      </c>
      <c r="C27179" s="38" t="s">
        <v>31643</v>
      </c>
      <c r="D27179" s="38" t="str">
        <f>IFERROR(__xludf.DUMMYFUNCTION("REGEXREPLACE(C27179,""-\d+(.*)|--\d+(.*)"","""")"),"SAINT-MEDARD-D'AUNIS")</f>
        <v>SAINT-MEDARD-D'AUNIS</v>
      </c>
      <c r="E27179" s="38" t="s">
        <v>488</v>
      </c>
      <c r="F27179" s="38" t="s">
        <v>338</v>
      </c>
      <c r="G27179" s="49" t="str">
        <f t="shared" si="1"/>
        <v>17220</v>
      </c>
      <c r="H27179" s="49">
        <f t="shared" si="2"/>
        <v>17373</v>
      </c>
    </row>
    <row r="27180">
      <c r="A27180" s="48" t="s">
        <v>7153</v>
      </c>
      <c r="B27180" s="38">
        <v>30109.0</v>
      </c>
      <c r="C27180" s="38" t="s">
        <v>31644</v>
      </c>
      <c r="D27180" s="38" t="str">
        <f>IFERROR(__xludf.DUMMYFUNCTION("REGEXREPLACE(C27180,""-\d+(.*)|--\d+(.*)"","""")"),"EUZET")</f>
        <v>EUZET</v>
      </c>
      <c r="E27180" s="38" t="s">
        <v>526</v>
      </c>
      <c r="F27180" s="38" t="s">
        <v>119</v>
      </c>
      <c r="G27180" s="49" t="str">
        <f t="shared" si="1"/>
        <v>30360</v>
      </c>
      <c r="H27180" s="49">
        <f t="shared" si="2"/>
        <v>30109</v>
      </c>
    </row>
    <row r="27181">
      <c r="A27181" s="48" t="s">
        <v>5134</v>
      </c>
      <c r="B27181" s="38">
        <v>70524.0</v>
      </c>
      <c r="C27181" s="38" t="s">
        <v>31645</v>
      </c>
      <c r="D27181" s="38" t="str">
        <f>IFERROR(__xludf.DUMMYFUNCTION("REGEXREPLACE(C27181,""-\d+(.*)|--\d+(.*)"","""")"),"VAUCHOUX")</f>
        <v>VAUCHOUX</v>
      </c>
      <c r="E27181" s="38" t="s">
        <v>956</v>
      </c>
      <c r="F27181" s="38" t="s">
        <v>214</v>
      </c>
      <c r="G27181" s="49" t="str">
        <f t="shared" si="1"/>
        <v>70170</v>
      </c>
      <c r="H27181" s="49">
        <f t="shared" si="2"/>
        <v>70524</v>
      </c>
    </row>
    <row r="27182">
      <c r="A27182" s="48" t="s">
        <v>8754</v>
      </c>
      <c r="B27182" s="38">
        <v>84097.0</v>
      </c>
      <c r="C27182" s="38" t="s">
        <v>31646</v>
      </c>
      <c r="D27182" s="38" t="str">
        <f>IFERROR(__xludf.DUMMYFUNCTION("REGEXREPLACE(C27182,""-\d+(.*)|--\d+(.*)"","""")"),"RICHERENCHES")</f>
        <v>RICHERENCHES</v>
      </c>
      <c r="E27182" s="38" t="s">
        <v>1026</v>
      </c>
      <c r="F27182" s="38" t="s">
        <v>228</v>
      </c>
      <c r="G27182" s="49" t="str">
        <f t="shared" si="1"/>
        <v>84600</v>
      </c>
      <c r="H27182" s="49">
        <f t="shared" si="2"/>
        <v>84097</v>
      </c>
    </row>
    <row r="27183">
      <c r="A27183" s="48" t="s">
        <v>2625</v>
      </c>
      <c r="B27183" s="38">
        <v>30055.0</v>
      </c>
      <c r="C27183" s="38" t="s">
        <v>31647</v>
      </c>
      <c r="D27183" s="38" t="str">
        <f>IFERROR(__xludf.DUMMYFUNCTION("REGEXREPLACE(C27183,""-\d+(.*)|--\d+(.*)"","""")"),"BROUZET-LES-ALES")</f>
        <v>BROUZET-LES-ALES</v>
      </c>
      <c r="E27183" s="38" t="s">
        <v>526</v>
      </c>
      <c r="F27183" s="38" t="s">
        <v>119</v>
      </c>
      <c r="G27183" s="49" t="str">
        <f t="shared" si="1"/>
        <v>30580</v>
      </c>
      <c r="H27183" s="49">
        <f t="shared" si="2"/>
        <v>30055</v>
      </c>
    </row>
    <row r="27184">
      <c r="A27184" s="48" t="s">
        <v>3606</v>
      </c>
      <c r="B27184" s="38">
        <v>67331.0</v>
      </c>
      <c r="C27184" s="38" t="s">
        <v>31648</v>
      </c>
      <c r="D27184" s="38" t="str">
        <f>IFERROR(__xludf.DUMMYFUNCTION("REGEXREPLACE(C27184,""-\d+(.*)|--\d+(.*)"","""")"),"NIEDERSCHAEFFOLSHEIM")</f>
        <v>NIEDERSCHAEFFOLSHEIM</v>
      </c>
      <c r="E27184" s="38" t="s">
        <v>210</v>
      </c>
      <c r="F27184" s="38" t="s">
        <v>151</v>
      </c>
      <c r="G27184" s="49" t="str">
        <f t="shared" si="1"/>
        <v>67500</v>
      </c>
      <c r="H27184" s="49">
        <f t="shared" si="2"/>
        <v>67331</v>
      </c>
    </row>
    <row r="27185">
      <c r="A27185" s="48" t="s">
        <v>1220</v>
      </c>
      <c r="B27185" s="38">
        <v>76757.0</v>
      </c>
      <c r="C27185" s="38" t="s">
        <v>31649</v>
      </c>
      <c r="D27185" s="38" t="str">
        <f>IFERROR(__xludf.DUMMYFUNCTION("REGEXREPLACE(C27185,""-\d+(.*)|--\d+(.*)"","""")"),"YVECRIQUE")</f>
        <v>YVECRIQUE</v>
      </c>
      <c r="E27185" s="38" t="s">
        <v>133</v>
      </c>
      <c r="F27185" s="38" t="s">
        <v>134</v>
      </c>
      <c r="G27185" s="49" t="str">
        <f t="shared" si="1"/>
        <v>76560</v>
      </c>
      <c r="H27185" s="49">
        <f t="shared" si="2"/>
        <v>76757</v>
      </c>
    </row>
    <row r="27186">
      <c r="A27186" s="48" t="s">
        <v>8300</v>
      </c>
      <c r="B27186" s="38">
        <v>39106.0</v>
      </c>
      <c r="C27186" s="38" t="s">
        <v>31650</v>
      </c>
      <c r="D27186" s="38" t="str">
        <f>IFERROR(__xludf.DUMMYFUNCTION("REGEXREPLACE(C27186,""-\d+(.*)|--\d+(.*)"","""")"),"CHARCHILLA")</f>
        <v>CHARCHILLA</v>
      </c>
      <c r="E27186" s="38" t="s">
        <v>400</v>
      </c>
      <c r="F27186" s="38" t="s">
        <v>214</v>
      </c>
      <c r="G27186" s="49" t="str">
        <f t="shared" si="1"/>
        <v>39260</v>
      </c>
      <c r="H27186" s="49">
        <f t="shared" si="2"/>
        <v>39106</v>
      </c>
    </row>
    <row r="27187">
      <c r="A27187" s="48" t="s">
        <v>13021</v>
      </c>
      <c r="B27187" s="38">
        <v>57224.0</v>
      </c>
      <c r="C27187" s="38" t="s">
        <v>31651</v>
      </c>
      <c r="D27187" s="38" t="str">
        <f>IFERROR(__xludf.DUMMYFUNCTION("REGEXREPLACE(C27187,""-\d+(.*)|--\d+(.*)"","""")"),"FOLSCHVILLER")</f>
        <v>FOLSCHVILLER</v>
      </c>
      <c r="E27187" s="38" t="s">
        <v>303</v>
      </c>
      <c r="F27187" s="38" t="s">
        <v>195</v>
      </c>
      <c r="G27187" s="49" t="str">
        <f t="shared" si="1"/>
        <v>57730</v>
      </c>
      <c r="H27187" s="49">
        <f t="shared" si="2"/>
        <v>57224</v>
      </c>
    </row>
    <row r="27188">
      <c r="A27188" s="48" t="s">
        <v>2406</v>
      </c>
      <c r="B27188" s="38">
        <v>55353.0</v>
      </c>
      <c r="C27188" s="38" t="s">
        <v>31652</v>
      </c>
      <c r="D27188" s="38" t="str">
        <f>IFERROR(__xludf.DUMMYFUNCTION("REGEXREPLACE(C27188,""-\d+(.*)|--\d+(.*)"","""")"),"MONTSEC")</f>
        <v>MONTSEC</v>
      </c>
      <c r="E27188" s="38" t="s">
        <v>322</v>
      </c>
      <c r="F27188" s="38" t="s">
        <v>195</v>
      </c>
      <c r="G27188" s="49" t="str">
        <f t="shared" si="1"/>
        <v>55300</v>
      </c>
      <c r="H27188" s="49">
        <f t="shared" si="2"/>
        <v>55353</v>
      </c>
    </row>
    <row r="27189">
      <c r="A27189" s="48" t="s">
        <v>8404</v>
      </c>
      <c r="B27189" s="38" t="s">
        <v>31653</v>
      </c>
      <c r="C27189" s="38" t="s">
        <v>31654</v>
      </c>
      <c r="D27189" s="38" t="str">
        <f>IFERROR(__xludf.DUMMYFUNCTION("REGEXREPLACE(C27189,""-\d+(.*)|--\d+(.*)"","""")"),"PRUNELLI-DI-CASACCONI")</f>
        <v>PRUNELLI-DI-CASACCONI</v>
      </c>
      <c r="E27189" s="38" t="s">
        <v>743</v>
      </c>
      <c r="F27189" s="38" t="s">
        <v>607</v>
      </c>
      <c r="G27189" s="49" t="str">
        <f t="shared" si="1"/>
        <v>20290</v>
      </c>
      <c r="H27189" s="49" t="str">
        <f t="shared" si="2"/>
        <v>2B250</v>
      </c>
    </row>
    <row r="27190">
      <c r="A27190" s="48" t="s">
        <v>5223</v>
      </c>
      <c r="B27190" s="38">
        <v>65448.0</v>
      </c>
      <c r="C27190" s="38" t="s">
        <v>31655</v>
      </c>
      <c r="D27190" s="38" t="str">
        <f>IFERROR(__xludf.DUMMYFUNCTION("REGEXREPLACE(C27190,""-\d+(.*)|--\d+(.*)"","""")"),"TOURNOUS-DARRE")</f>
        <v>TOURNOUS-DARRE</v>
      </c>
      <c r="E27190" s="38" t="s">
        <v>200</v>
      </c>
      <c r="F27190" s="38" t="s">
        <v>94</v>
      </c>
      <c r="G27190" s="49" t="str">
        <f t="shared" si="1"/>
        <v>65220</v>
      </c>
      <c r="H27190" s="49">
        <f t="shared" si="2"/>
        <v>65448</v>
      </c>
    </row>
    <row r="27191">
      <c r="A27191" s="48" t="s">
        <v>5163</v>
      </c>
      <c r="B27191" s="38">
        <v>76306.0</v>
      </c>
      <c r="C27191" s="38" t="s">
        <v>31656</v>
      </c>
      <c r="D27191" s="38" t="str">
        <f>IFERROR(__xludf.DUMMYFUNCTION("REGEXREPLACE(C27191,""-\d+(.*)|--\d+(.*)"","""")"),"GONNETOT")</f>
        <v>GONNETOT</v>
      </c>
      <c r="E27191" s="38" t="s">
        <v>133</v>
      </c>
      <c r="F27191" s="38" t="s">
        <v>134</v>
      </c>
      <c r="G27191" s="49" t="str">
        <f t="shared" si="1"/>
        <v>76730</v>
      </c>
      <c r="H27191" s="49">
        <f t="shared" si="2"/>
        <v>76306</v>
      </c>
    </row>
    <row r="27192">
      <c r="A27192" s="48" t="s">
        <v>4332</v>
      </c>
      <c r="B27192" s="38">
        <v>24222.0</v>
      </c>
      <c r="C27192" s="38" t="s">
        <v>12795</v>
      </c>
      <c r="D27192" s="38" t="str">
        <f>IFERROR(__xludf.DUMMYFUNCTION("REGEXREPLACE(C27192,""-\d+(.*)|--\d+(.*)"","""")"),"LA FORCE")</f>
        <v>LA FORCE</v>
      </c>
      <c r="E27192" s="38" t="s">
        <v>261</v>
      </c>
      <c r="F27192" s="38" t="s">
        <v>252</v>
      </c>
      <c r="G27192" s="49" t="str">
        <f t="shared" si="1"/>
        <v>24130</v>
      </c>
      <c r="H27192" s="49">
        <f t="shared" si="2"/>
        <v>24222</v>
      </c>
    </row>
    <row r="27193">
      <c r="A27193" s="48" t="s">
        <v>27681</v>
      </c>
      <c r="B27193" s="38">
        <v>60584.0</v>
      </c>
      <c r="C27193" s="38" t="s">
        <v>31657</v>
      </c>
      <c r="D27193" s="38" t="str">
        <f>IFERROR(__xludf.DUMMYFUNCTION("REGEXREPLACE(C27193,""-\d+(.*)|--\d+(.*)"","""")"),"SAINT-LEU-D'ESSERENT")</f>
        <v>SAINT-LEU-D'ESSERENT</v>
      </c>
      <c r="E27193" s="38" t="s">
        <v>112</v>
      </c>
      <c r="F27193" s="38" t="s">
        <v>113</v>
      </c>
      <c r="G27193" s="49" t="str">
        <f t="shared" si="1"/>
        <v>60340</v>
      </c>
      <c r="H27193" s="49">
        <f t="shared" si="2"/>
        <v>60584</v>
      </c>
    </row>
    <row r="27194">
      <c r="A27194" s="48" t="s">
        <v>6515</v>
      </c>
      <c r="B27194" s="38">
        <v>62870.0</v>
      </c>
      <c r="C27194" s="38" t="s">
        <v>31658</v>
      </c>
      <c r="D27194" s="38" t="str">
        <f>IFERROR(__xludf.DUMMYFUNCTION("REGEXREPLACE(C27194,""-\d+(.*)|--\d+(.*)"","""")"),"WAILLY-BEAUCAMP")</f>
        <v>WAILLY-BEAUCAMP</v>
      </c>
      <c r="E27194" s="38" t="s">
        <v>109</v>
      </c>
      <c r="F27194" s="38" t="s">
        <v>86</v>
      </c>
      <c r="G27194" s="49" t="str">
        <f t="shared" si="1"/>
        <v>62170</v>
      </c>
      <c r="H27194" s="49">
        <f t="shared" si="2"/>
        <v>62870</v>
      </c>
    </row>
    <row r="27195">
      <c r="A27195" s="48" t="s">
        <v>920</v>
      </c>
      <c r="B27195" s="38">
        <v>31278.0</v>
      </c>
      <c r="C27195" s="38" t="s">
        <v>31659</v>
      </c>
      <c r="D27195" s="38" t="str">
        <f>IFERROR(__xludf.DUMMYFUNCTION("REGEXREPLACE(C27195,""-\d+(.*)|--\d+(.*)"","""")"),"LATOUE")</f>
        <v>LATOUE</v>
      </c>
      <c r="E27195" s="38" t="s">
        <v>93</v>
      </c>
      <c r="F27195" s="38" t="s">
        <v>94</v>
      </c>
      <c r="G27195" s="49" t="str">
        <f t="shared" si="1"/>
        <v>31800</v>
      </c>
      <c r="H27195" s="49">
        <f t="shared" si="2"/>
        <v>31278</v>
      </c>
    </row>
    <row r="27196">
      <c r="A27196" s="48" t="s">
        <v>2136</v>
      </c>
      <c r="B27196" s="38">
        <v>52221.0</v>
      </c>
      <c r="C27196" s="38" t="s">
        <v>31660</v>
      </c>
      <c r="D27196" s="38" t="str">
        <f>IFERROR(__xludf.DUMMYFUNCTION("REGEXREPLACE(C27196,""-\d+(.*)|--\d+(.*)"","""")"),"GILLANCOURT")</f>
        <v>GILLANCOURT</v>
      </c>
      <c r="E27196" s="38" t="s">
        <v>234</v>
      </c>
      <c r="F27196" s="38" t="s">
        <v>130</v>
      </c>
      <c r="G27196" s="49" t="str">
        <f t="shared" si="1"/>
        <v>52330</v>
      </c>
      <c r="H27196" s="49">
        <f t="shared" si="2"/>
        <v>52221</v>
      </c>
    </row>
    <row r="27197">
      <c r="A27197" s="48" t="s">
        <v>5127</v>
      </c>
      <c r="B27197" s="38">
        <v>26364.0</v>
      </c>
      <c r="C27197" s="38" t="s">
        <v>31661</v>
      </c>
      <c r="D27197" s="38" t="str">
        <f>IFERROR(__xludf.DUMMYFUNCTION("REGEXREPLACE(C27197,""-\d+(.*)|--\d+(.*)"","""")"),"VASSIEUX-EN-VERCORS")</f>
        <v>VASSIEUX-EN-VERCORS</v>
      </c>
      <c r="E27197" s="38" t="s">
        <v>126</v>
      </c>
      <c r="F27197" s="38" t="s">
        <v>102</v>
      </c>
      <c r="G27197" s="49" t="str">
        <f t="shared" si="1"/>
        <v>26420</v>
      </c>
      <c r="H27197" s="49">
        <f t="shared" si="2"/>
        <v>26364</v>
      </c>
    </row>
    <row r="27198">
      <c r="A27198" s="48" t="s">
        <v>3387</v>
      </c>
      <c r="B27198" s="38">
        <v>34050.0</v>
      </c>
      <c r="C27198" s="38" t="s">
        <v>31662</v>
      </c>
      <c r="D27198" s="38" t="str">
        <f>IFERROR(__xludf.DUMMYFUNCTION("REGEXREPLACE(C27198,""-\d+(.*)|--\d+(.*)"","""")"),"CANDILLARGUES")</f>
        <v>CANDILLARGUES</v>
      </c>
      <c r="E27198" s="38" t="s">
        <v>118</v>
      </c>
      <c r="F27198" s="38" t="s">
        <v>119</v>
      </c>
      <c r="G27198" s="49" t="str">
        <f t="shared" si="1"/>
        <v>34130</v>
      </c>
      <c r="H27198" s="49">
        <f t="shared" si="2"/>
        <v>34050</v>
      </c>
    </row>
    <row r="27199">
      <c r="A27199" s="48" t="s">
        <v>17512</v>
      </c>
      <c r="B27199" s="38">
        <v>72345.0</v>
      </c>
      <c r="C27199" s="38" t="s">
        <v>31663</v>
      </c>
      <c r="D27199" s="38" t="str">
        <f>IFERROR(__xludf.DUMMYFUNCTION("REGEXREPLACE(C27199,""-\d+(.*)|--\d+(.*)"","""")"),"SURFONDS")</f>
        <v>SURFONDS</v>
      </c>
      <c r="E27199" s="38" t="s">
        <v>521</v>
      </c>
      <c r="F27199" s="38" t="s">
        <v>180</v>
      </c>
      <c r="G27199" s="49" t="str">
        <f t="shared" si="1"/>
        <v>72370</v>
      </c>
      <c r="H27199" s="49">
        <f t="shared" si="2"/>
        <v>72345</v>
      </c>
    </row>
    <row r="27200">
      <c r="A27200" s="48" t="s">
        <v>31664</v>
      </c>
      <c r="B27200" s="38">
        <v>68088.0</v>
      </c>
      <c r="C27200" s="38" t="s">
        <v>31665</v>
      </c>
      <c r="D27200" s="38" t="str">
        <f>IFERROR(__xludf.DUMMYFUNCTION("REGEXREPLACE(C27200,""-\d+(.*)|--\d+(.*)"","""")"),"FELDKIRCH")</f>
        <v>FELDKIRCH</v>
      </c>
      <c r="E27200" s="38" t="s">
        <v>150</v>
      </c>
      <c r="F27200" s="38" t="s">
        <v>151</v>
      </c>
      <c r="G27200" s="49" t="str">
        <f t="shared" si="1"/>
        <v>68540</v>
      </c>
      <c r="H27200" s="49">
        <f t="shared" si="2"/>
        <v>68088</v>
      </c>
    </row>
    <row r="27201">
      <c r="A27201" s="48" t="s">
        <v>4088</v>
      </c>
      <c r="B27201" s="38">
        <v>39531.0</v>
      </c>
      <c r="C27201" s="38" t="s">
        <v>31666</v>
      </c>
      <c r="D27201" s="38" t="str">
        <f>IFERROR(__xludf.DUMMYFUNCTION("REGEXREPLACE(C27201,""-\d+(.*)|--\d+(.*)"","""")"),"THOIRIA")</f>
        <v>THOIRIA</v>
      </c>
      <c r="E27201" s="38" t="s">
        <v>400</v>
      </c>
      <c r="F27201" s="38" t="s">
        <v>214</v>
      </c>
      <c r="G27201" s="49" t="str">
        <f t="shared" si="1"/>
        <v>39130</v>
      </c>
      <c r="H27201" s="49">
        <f t="shared" si="2"/>
        <v>39531</v>
      </c>
    </row>
    <row r="27202">
      <c r="A27202" s="48" t="s">
        <v>10609</v>
      </c>
      <c r="B27202" s="38">
        <v>12066.0</v>
      </c>
      <c r="C27202" s="38" t="s">
        <v>31667</v>
      </c>
      <c r="D27202" s="38" t="str">
        <f>IFERROR(__xludf.DUMMYFUNCTION("REGEXREPLACE(C27202,""-\d+(.*)|--\d+(.*)"","""")"),"CLAIRVAUX-D'AVEYRON")</f>
        <v>CLAIRVAUX-D'AVEYRON</v>
      </c>
      <c r="E27202" s="38" t="s">
        <v>465</v>
      </c>
      <c r="F27202" s="38" t="s">
        <v>94</v>
      </c>
      <c r="G27202" s="49" t="str">
        <f t="shared" si="1"/>
        <v>12330</v>
      </c>
      <c r="H27202" s="49">
        <f t="shared" si="2"/>
        <v>12066</v>
      </c>
    </row>
    <row r="27203">
      <c r="A27203" s="48" t="s">
        <v>582</v>
      </c>
      <c r="B27203" s="38">
        <v>39075.0</v>
      </c>
      <c r="C27203" s="38" t="s">
        <v>31668</v>
      </c>
      <c r="D27203" s="38" t="str">
        <f>IFERROR(__xludf.DUMMYFUNCTION("REGEXREPLACE(C27203,""-\d+(.*)|--\d+(.*)"","""")"),"BRERY")</f>
        <v>BRERY</v>
      </c>
      <c r="E27203" s="38" t="s">
        <v>400</v>
      </c>
      <c r="F27203" s="38" t="s">
        <v>214</v>
      </c>
      <c r="G27203" s="49" t="str">
        <f t="shared" si="1"/>
        <v>39230</v>
      </c>
      <c r="H27203" s="49">
        <f t="shared" si="2"/>
        <v>39075</v>
      </c>
    </row>
    <row r="27204">
      <c r="A27204" s="48" t="s">
        <v>307</v>
      </c>
      <c r="B27204" s="38">
        <v>88017.0</v>
      </c>
      <c r="C27204" s="38" t="s">
        <v>31669</v>
      </c>
      <c r="D27204" s="38" t="str">
        <f>IFERROR(__xludf.DUMMYFUNCTION("REGEXREPLACE(C27204,""-\d+(.*)|--\d+(.*)"","""")"),"AULNOIS")</f>
        <v>AULNOIS</v>
      </c>
      <c r="E27204" s="38" t="s">
        <v>194</v>
      </c>
      <c r="F27204" s="38" t="s">
        <v>195</v>
      </c>
      <c r="G27204" s="49" t="str">
        <f t="shared" si="1"/>
        <v>88300</v>
      </c>
      <c r="H27204" s="49">
        <f t="shared" si="2"/>
        <v>88017</v>
      </c>
    </row>
    <row r="27205">
      <c r="A27205" s="48" t="s">
        <v>11068</v>
      </c>
      <c r="B27205" s="38">
        <v>7331.0</v>
      </c>
      <c r="C27205" s="38" t="s">
        <v>31670</v>
      </c>
      <c r="D27205" s="38" t="str">
        <f>IFERROR(__xludf.DUMMYFUNCTION("REGEXREPLACE(C27205,""-\d+(.*)|--\d+(.*)"","""")"),"VALS-LES-BAINS")</f>
        <v>VALS-LES-BAINS</v>
      </c>
      <c r="E27205" s="38" t="s">
        <v>144</v>
      </c>
      <c r="F27205" s="38" t="s">
        <v>102</v>
      </c>
      <c r="G27205" s="49" t="str">
        <f t="shared" si="1"/>
        <v>07600</v>
      </c>
      <c r="H27205" s="49" t="str">
        <f t="shared" si="2"/>
        <v>07331</v>
      </c>
    </row>
    <row r="27206">
      <c r="A27206" s="48" t="s">
        <v>3152</v>
      </c>
      <c r="B27206" s="38">
        <v>7068.0</v>
      </c>
      <c r="C27206" s="38" t="s">
        <v>31671</v>
      </c>
      <c r="D27206" s="38" t="str">
        <f>IFERROR(__xludf.DUMMYFUNCTION("REGEXREPLACE(C27206,""-\d+(.*)|--\d+(.*)"","""")"),"COLOMBIER-LE-JEUNE")</f>
        <v>COLOMBIER-LE-JEUNE</v>
      </c>
      <c r="E27206" s="38" t="s">
        <v>144</v>
      </c>
      <c r="F27206" s="38" t="s">
        <v>102</v>
      </c>
      <c r="G27206" s="49" t="str">
        <f t="shared" si="1"/>
        <v>07270</v>
      </c>
      <c r="H27206" s="49" t="str">
        <f t="shared" si="2"/>
        <v>07068</v>
      </c>
    </row>
    <row r="27207">
      <c r="A27207" s="48" t="s">
        <v>6875</v>
      </c>
      <c r="B27207" s="38">
        <v>2586.0</v>
      </c>
      <c r="C27207" s="38" t="s">
        <v>23614</v>
      </c>
      <c r="D27207" s="38" t="str">
        <f>IFERROR(__xludf.DUMMYFUNCTION("REGEXREPLACE(C27207,""-\d+(.*)|--\d+(.*)"","""")"),"PARFONDEVAL")</f>
        <v>PARFONDEVAL</v>
      </c>
      <c r="E27207" s="38" t="s">
        <v>191</v>
      </c>
      <c r="F27207" s="38" t="s">
        <v>113</v>
      </c>
      <c r="G27207" s="49" t="str">
        <f t="shared" si="1"/>
        <v>02360</v>
      </c>
      <c r="H27207" s="49" t="str">
        <f t="shared" si="2"/>
        <v>02586</v>
      </c>
    </row>
    <row r="27208">
      <c r="A27208" s="48" t="s">
        <v>398</v>
      </c>
      <c r="B27208" s="38">
        <v>39340.0</v>
      </c>
      <c r="C27208" s="38" t="s">
        <v>31672</v>
      </c>
      <c r="D27208" s="38" t="str">
        <f>IFERROR(__xludf.DUMMYFUNCTION("REGEXREPLACE(C27208,""-\d+(.*)|--\d+(.*)"","""")"),"MOLPRE")</f>
        <v>MOLPRE</v>
      </c>
      <c r="E27208" s="38" t="s">
        <v>400</v>
      </c>
      <c r="F27208" s="38" t="s">
        <v>214</v>
      </c>
      <c r="G27208" s="49" t="str">
        <f t="shared" si="1"/>
        <v>39250</v>
      </c>
      <c r="H27208" s="49">
        <f t="shared" si="2"/>
        <v>39340</v>
      </c>
    </row>
    <row r="27209">
      <c r="A27209" s="48" t="s">
        <v>6025</v>
      </c>
      <c r="B27209" s="38">
        <v>31376.0</v>
      </c>
      <c r="C27209" s="38" t="s">
        <v>31673</v>
      </c>
      <c r="D27209" s="38" t="str">
        <f>IFERROR(__xludf.DUMMYFUNCTION("REGEXREPLACE(C27209,""-\d+(.*)|--\d+(.*)"","""")"),"MONTGAILLARD-DE-SALIES")</f>
        <v>MONTGAILLARD-DE-SALIES</v>
      </c>
      <c r="E27209" s="38" t="s">
        <v>93</v>
      </c>
      <c r="F27209" s="38" t="s">
        <v>94</v>
      </c>
      <c r="G27209" s="49" t="str">
        <f t="shared" si="1"/>
        <v>31260</v>
      </c>
      <c r="H27209" s="49">
        <f t="shared" si="2"/>
        <v>31376</v>
      </c>
    </row>
    <row r="27210">
      <c r="A27210" s="48" t="s">
        <v>5806</v>
      </c>
      <c r="B27210" s="38">
        <v>39325.0</v>
      </c>
      <c r="C27210" s="38" t="s">
        <v>31674</v>
      </c>
      <c r="D27210" s="38" t="str">
        <f>IFERROR(__xludf.DUMMYFUNCTION("REGEXREPLACE(C27210,""-\d+(.*)|--\d+(.*)"","""")"),"MESNAY")</f>
        <v>MESNAY</v>
      </c>
      <c r="E27210" s="38" t="s">
        <v>400</v>
      </c>
      <c r="F27210" s="38" t="s">
        <v>214</v>
      </c>
      <c r="G27210" s="49" t="str">
        <f t="shared" si="1"/>
        <v>39600</v>
      </c>
      <c r="H27210" s="49">
        <f t="shared" si="2"/>
        <v>39325</v>
      </c>
    </row>
    <row r="27211">
      <c r="A27211" s="48" t="s">
        <v>2338</v>
      </c>
      <c r="B27211" s="38">
        <v>8383.0</v>
      </c>
      <c r="C27211" s="38" t="s">
        <v>31675</v>
      </c>
      <c r="D27211" s="38" t="str">
        <f>IFERROR(__xludf.DUMMYFUNCTION("REGEXREPLACE(C27211,""-\d+(.*)|--\d+(.*)"","""")"),"SAINT-JUVIN")</f>
        <v>SAINT-JUVIN</v>
      </c>
      <c r="E27211" s="38" t="s">
        <v>327</v>
      </c>
      <c r="F27211" s="38" t="s">
        <v>130</v>
      </c>
      <c r="G27211" s="49" t="str">
        <f t="shared" si="1"/>
        <v>08250</v>
      </c>
      <c r="H27211" s="49" t="str">
        <f t="shared" si="2"/>
        <v>08383</v>
      </c>
    </row>
    <row r="27212">
      <c r="A27212" s="48" t="s">
        <v>2208</v>
      </c>
      <c r="B27212" s="38">
        <v>55105.0</v>
      </c>
      <c r="C27212" s="38" t="s">
        <v>31676</v>
      </c>
      <c r="D27212" s="38" t="str">
        <f>IFERROR(__xludf.DUMMYFUNCTION("REGEXREPLACE(C27212,""-\d+(.*)|--\d+(.*)"","""")"),"CHATILLON-SOUS-LES-COTES")</f>
        <v>CHATILLON-SOUS-LES-COTES</v>
      </c>
      <c r="E27212" s="38" t="s">
        <v>322</v>
      </c>
      <c r="F27212" s="38" t="s">
        <v>195</v>
      </c>
      <c r="G27212" s="49" t="str">
        <f t="shared" si="1"/>
        <v>55400</v>
      </c>
      <c r="H27212" s="49">
        <f t="shared" si="2"/>
        <v>55105</v>
      </c>
    </row>
    <row r="27213">
      <c r="A27213" s="48" t="s">
        <v>5014</v>
      </c>
      <c r="B27213" s="38">
        <v>57399.0</v>
      </c>
      <c r="C27213" s="38" t="s">
        <v>31677</v>
      </c>
      <c r="D27213" s="38" t="str">
        <f>IFERROR(__xludf.DUMMYFUNCTION("REGEXREPLACE(C27213,""-\d+(.*)|--\d+(.*)"","""")"),"LEZEY")</f>
        <v>LEZEY</v>
      </c>
      <c r="E27213" s="38" t="s">
        <v>303</v>
      </c>
      <c r="F27213" s="38" t="s">
        <v>195</v>
      </c>
      <c r="G27213" s="49" t="str">
        <f t="shared" si="1"/>
        <v>57630</v>
      </c>
      <c r="H27213" s="49">
        <f t="shared" si="2"/>
        <v>57399</v>
      </c>
    </row>
    <row r="27214">
      <c r="A27214" s="48" t="s">
        <v>24689</v>
      </c>
      <c r="B27214" s="38">
        <v>67407.0</v>
      </c>
      <c r="C27214" s="38" t="s">
        <v>31678</v>
      </c>
      <c r="D27214" s="38" t="str">
        <f>IFERROR(__xludf.DUMMYFUNCTION("REGEXREPLACE(C27214,""-\d+(.*)|--\d+(.*)"","""")"),"ROHRWILLER")</f>
        <v>ROHRWILLER</v>
      </c>
      <c r="E27214" s="38" t="s">
        <v>210</v>
      </c>
      <c r="F27214" s="38" t="s">
        <v>151</v>
      </c>
      <c r="G27214" s="49" t="str">
        <f t="shared" si="1"/>
        <v>67410</v>
      </c>
      <c r="H27214" s="49">
        <f t="shared" si="2"/>
        <v>67407</v>
      </c>
    </row>
    <row r="27215">
      <c r="A27215" s="48" t="s">
        <v>18526</v>
      </c>
      <c r="B27215" s="38">
        <v>16375.0</v>
      </c>
      <c r="C27215" s="38" t="s">
        <v>31679</v>
      </c>
      <c r="D27215" s="38" t="str">
        <f>IFERROR(__xludf.DUMMYFUNCTION("REGEXREPLACE(C27215,""-\d+(.*)|--\d+(.*)"","""")"),"SUAUX")</f>
        <v>SUAUX</v>
      </c>
      <c r="E27215" s="38" t="s">
        <v>429</v>
      </c>
      <c r="F27215" s="38" t="s">
        <v>338</v>
      </c>
      <c r="G27215" s="49" t="str">
        <f t="shared" si="1"/>
        <v>16260</v>
      </c>
      <c r="H27215" s="49">
        <f t="shared" si="2"/>
        <v>16375</v>
      </c>
    </row>
    <row r="27216">
      <c r="A27216" s="48" t="s">
        <v>3810</v>
      </c>
      <c r="B27216" s="38">
        <v>77481.0</v>
      </c>
      <c r="C27216" s="38" t="s">
        <v>31680</v>
      </c>
      <c r="D27216" s="38" t="str">
        <f>IFERROR(__xludf.DUMMYFUNCTION("REGEXREPLACE(C27216,""-\d+(.*)|--\d+(.*)"","""")"),"VANVILLE")</f>
        <v>VANVILLE</v>
      </c>
      <c r="E27216" s="38" t="s">
        <v>244</v>
      </c>
      <c r="F27216" s="38" t="s">
        <v>245</v>
      </c>
      <c r="G27216" s="49" t="str">
        <f t="shared" si="1"/>
        <v>77370</v>
      </c>
      <c r="H27216" s="49">
        <f t="shared" si="2"/>
        <v>77481</v>
      </c>
    </row>
    <row r="27217">
      <c r="A27217" s="48" t="s">
        <v>23025</v>
      </c>
      <c r="B27217" s="38">
        <v>62642.0</v>
      </c>
      <c r="C27217" s="38" t="s">
        <v>31681</v>
      </c>
      <c r="D27217" s="38" t="str">
        <f>IFERROR(__xludf.DUMMYFUNCTION("REGEXREPLACE(C27217,""-\d+(.*)|--\d+(.*)"","""")"),"OURTON")</f>
        <v>OURTON</v>
      </c>
      <c r="E27217" s="38" t="s">
        <v>109</v>
      </c>
      <c r="F27217" s="38" t="s">
        <v>86</v>
      </c>
      <c r="G27217" s="49" t="str">
        <f t="shared" si="1"/>
        <v>62460</v>
      </c>
      <c r="H27217" s="49">
        <f t="shared" si="2"/>
        <v>62642</v>
      </c>
    </row>
    <row r="27218">
      <c r="A27218" s="48" t="s">
        <v>12589</v>
      </c>
      <c r="B27218" s="38">
        <v>1102.0</v>
      </c>
      <c r="C27218" s="38" t="s">
        <v>31682</v>
      </c>
      <c r="D27218" s="38" t="str">
        <f>IFERROR(__xludf.DUMMYFUNCTION("REGEXREPLACE(C27218,""-\d+(.*)|--\d+(.*)"","""")"),"CHEVROUX")</f>
        <v>CHEVROUX</v>
      </c>
      <c r="E27218" s="38" t="s">
        <v>255</v>
      </c>
      <c r="F27218" s="38" t="s">
        <v>102</v>
      </c>
      <c r="G27218" s="49" t="str">
        <f t="shared" si="1"/>
        <v>01190</v>
      </c>
      <c r="H27218" s="49" t="str">
        <f t="shared" si="2"/>
        <v>01102</v>
      </c>
    </row>
    <row r="27219">
      <c r="A27219" s="48" t="s">
        <v>5049</v>
      </c>
      <c r="B27219" s="38">
        <v>60574.0</v>
      </c>
      <c r="C27219" s="38" t="s">
        <v>7139</v>
      </c>
      <c r="D27219" s="38" t="str">
        <f>IFERROR(__xludf.DUMMYFUNCTION("REGEXREPLACE(C27219,""-\d+(.*)|--\d+(.*)"","""")"),"SAINT-FELIX")</f>
        <v>SAINT-FELIX</v>
      </c>
      <c r="E27219" s="38" t="s">
        <v>112</v>
      </c>
      <c r="F27219" s="38" t="s">
        <v>113</v>
      </c>
      <c r="G27219" s="49" t="str">
        <f t="shared" si="1"/>
        <v>60370</v>
      </c>
      <c r="H27219" s="49">
        <f t="shared" si="2"/>
        <v>60574</v>
      </c>
    </row>
    <row r="27220">
      <c r="A27220" s="48" t="s">
        <v>844</v>
      </c>
      <c r="B27220" s="38">
        <v>72374.0</v>
      </c>
      <c r="C27220" s="38" t="s">
        <v>31683</v>
      </c>
      <c r="D27220" s="38" t="str">
        <f>IFERROR(__xludf.DUMMYFUNCTION("REGEXREPLACE(C27220,""-\d+(.*)|--\d+(.*)"","""")"),"VILLAINES-LA-CARELLE")</f>
        <v>VILLAINES-LA-CARELLE</v>
      </c>
      <c r="E27220" s="38" t="s">
        <v>521</v>
      </c>
      <c r="F27220" s="38" t="s">
        <v>180</v>
      </c>
      <c r="G27220" s="49" t="str">
        <f t="shared" si="1"/>
        <v>72600</v>
      </c>
      <c r="H27220" s="49">
        <f t="shared" si="2"/>
        <v>72374</v>
      </c>
    </row>
    <row r="27221">
      <c r="A27221" s="48" t="s">
        <v>4384</v>
      </c>
      <c r="B27221" s="38">
        <v>41183.0</v>
      </c>
      <c r="C27221" s="38" t="s">
        <v>31684</v>
      </c>
      <c r="D27221" s="38" t="str">
        <f>IFERROR(__xludf.DUMMYFUNCTION("REGEXREPLACE(C27221,""-\d+(.*)|--\d+(.*)"","""")"),"PRENOUVELLON")</f>
        <v>PRENOUVELLON</v>
      </c>
      <c r="E27221" s="38" t="s">
        <v>188</v>
      </c>
      <c r="F27221" s="38" t="s">
        <v>123</v>
      </c>
      <c r="G27221" s="49" t="str">
        <f t="shared" si="1"/>
        <v>41240</v>
      </c>
      <c r="H27221" s="49">
        <f t="shared" si="2"/>
        <v>41183</v>
      </c>
    </row>
    <row r="27222">
      <c r="A27222" s="48" t="s">
        <v>2590</v>
      </c>
      <c r="B27222" s="38">
        <v>83035.0</v>
      </c>
      <c r="C27222" s="38" t="s">
        <v>24308</v>
      </c>
      <c r="D27222" s="38" t="str">
        <f>IFERROR(__xludf.DUMMYFUNCTION("REGEXREPLACE(C27222,""-\d+(.*)|--\d+(.*)"","""")"),"LE CASTELLET")</f>
        <v>LE CASTELLET</v>
      </c>
      <c r="E27222" s="38" t="s">
        <v>813</v>
      </c>
      <c r="F27222" s="38" t="s">
        <v>228</v>
      </c>
      <c r="G27222" s="49" t="str">
        <f t="shared" si="1"/>
        <v>83330</v>
      </c>
      <c r="H27222" s="49">
        <f t="shared" si="2"/>
        <v>83035</v>
      </c>
    </row>
    <row r="27223">
      <c r="A27223" s="48" t="s">
        <v>9018</v>
      </c>
      <c r="B27223" s="38">
        <v>27687.0</v>
      </c>
      <c r="C27223" s="38" t="s">
        <v>31685</v>
      </c>
      <c r="D27223" s="38" t="str">
        <f>IFERROR(__xludf.DUMMYFUNCTION("REGEXREPLACE(C27223,""-\d+(.*)|--\d+(.*)"","""")"),"VIEUX-VILLEZ")</f>
        <v>VIEUX-VILLEZ</v>
      </c>
      <c r="E27223" s="38" t="s">
        <v>241</v>
      </c>
      <c r="F27223" s="38" t="s">
        <v>134</v>
      </c>
      <c r="G27223" s="49" t="str">
        <f t="shared" si="1"/>
        <v>27600</v>
      </c>
      <c r="H27223" s="49">
        <f t="shared" si="2"/>
        <v>27687</v>
      </c>
    </row>
    <row r="27224">
      <c r="A27224" s="48" t="s">
        <v>3208</v>
      </c>
      <c r="B27224" s="38">
        <v>80279.0</v>
      </c>
      <c r="C27224" s="38" t="s">
        <v>31686</v>
      </c>
      <c r="D27224" s="38" t="str">
        <f>IFERROR(__xludf.DUMMYFUNCTION("REGEXREPLACE(C27224,""-\d+(.*)|--\d+(.*)"","""")"),"ERCHEU")</f>
        <v>ERCHEU</v>
      </c>
      <c r="E27224" s="38" t="s">
        <v>224</v>
      </c>
      <c r="F27224" s="38" t="s">
        <v>113</v>
      </c>
      <c r="G27224" s="49" t="str">
        <f t="shared" si="1"/>
        <v>80400</v>
      </c>
      <c r="H27224" s="49">
        <f t="shared" si="2"/>
        <v>80279</v>
      </c>
    </row>
    <row r="27225">
      <c r="A27225" s="48" t="s">
        <v>2812</v>
      </c>
      <c r="B27225" s="38">
        <v>61274.0</v>
      </c>
      <c r="C27225" s="38" t="s">
        <v>31687</v>
      </c>
      <c r="D27225" s="38" t="str">
        <f>IFERROR(__xludf.DUMMYFUNCTION("REGEXREPLACE(C27225,""-\d+(.*)|--\d+(.*)"","""")"),"LES MENUS")</f>
        <v>LES MENUS</v>
      </c>
      <c r="E27225" s="38" t="s">
        <v>141</v>
      </c>
      <c r="F27225" s="38" t="s">
        <v>138</v>
      </c>
      <c r="G27225" s="49" t="str">
        <f t="shared" si="1"/>
        <v>61290</v>
      </c>
      <c r="H27225" s="49">
        <f t="shared" si="2"/>
        <v>61274</v>
      </c>
    </row>
    <row r="27226">
      <c r="A27226" s="48" t="s">
        <v>1800</v>
      </c>
      <c r="B27226" s="38">
        <v>88417.0</v>
      </c>
      <c r="C27226" s="38" t="s">
        <v>31688</v>
      </c>
      <c r="D27226" s="38" t="str">
        <f>IFERROR(__xludf.DUMMYFUNCTION("REGEXREPLACE(C27226,""-\d+(.*)|--\d+(.*)"","""")"),"SAINT-GORGON")</f>
        <v>SAINT-GORGON</v>
      </c>
      <c r="E27226" s="38" t="s">
        <v>194</v>
      </c>
      <c r="F27226" s="38" t="s">
        <v>195</v>
      </c>
      <c r="G27226" s="49" t="str">
        <f t="shared" si="1"/>
        <v>88700</v>
      </c>
      <c r="H27226" s="49">
        <f t="shared" si="2"/>
        <v>88417</v>
      </c>
    </row>
    <row r="27227">
      <c r="A27227" s="48" t="s">
        <v>9091</v>
      </c>
      <c r="B27227" s="38">
        <v>46236.0</v>
      </c>
      <c r="C27227" s="38" t="s">
        <v>31689</v>
      </c>
      <c r="D27227" s="38" t="str">
        <f>IFERROR(__xludf.DUMMYFUNCTION("REGEXREPLACE(C27227,""-\d+(.*)|--\d+(.*)"","""")"),"REILHAGUET")</f>
        <v>REILHAGUET</v>
      </c>
      <c r="E27227" s="38" t="s">
        <v>185</v>
      </c>
      <c r="F27227" s="38" t="s">
        <v>94</v>
      </c>
      <c r="G27227" s="49" t="str">
        <f t="shared" si="1"/>
        <v>46350</v>
      </c>
      <c r="H27227" s="49">
        <f t="shared" si="2"/>
        <v>46236</v>
      </c>
    </row>
    <row r="27228">
      <c r="A27228" s="48" t="s">
        <v>4939</v>
      </c>
      <c r="B27228" s="38">
        <v>23168.0</v>
      </c>
      <c r="C27228" s="38" t="s">
        <v>31690</v>
      </c>
      <c r="D27228" s="38" t="str">
        <f>IFERROR(__xludf.DUMMYFUNCTION("REGEXREPLACE(C27228,""-\d+(.*)|--\d+(.*)"","""")"),"SARDENT")</f>
        <v>SARDENT</v>
      </c>
      <c r="E27228" s="38" t="s">
        <v>97</v>
      </c>
      <c r="F27228" s="38" t="s">
        <v>98</v>
      </c>
      <c r="G27228" s="49" t="str">
        <f t="shared" si="1"/>
        <v>23250</v>
      </c>
      <c r="H27228" s="49">
        <f t="shared" si="2"/>
        <v>23168</v>
      </c>
    </row>
    <row r="27229">
      <c r="A27229" s="48" t="s">
        <v>4388</v>
      </c>
      <c r="B27229" s="38">
        <v>31292.0</v>
      </c>
      <c r="C27229" s="38" t="s">
        <v>31691</v>
      </c>
      <c r="D27229" s="38" t="str">
        <f>IFERROR(__xludf.DUMMYFUNCTION("REGEXREPLACE(C27229,""-\d+(.*)|--\d+(.*)"","""")"),"LESCUNS")</f>
        <v>LESCUNS</v>
      </c>
      <c r="E27229" s="38" t="s">
        <v>93</v>
      </c>
      <c r="F27229" s="38" t="s">
        <v>94</v>
      </c>
      <c r="G27229" s="49" t="str">
        <f t="shared" si="1"/>
        <v>31220</v>
      </c>
      <c r="H27229" s="49">
        <f t="shared" si="2"/>
        <v>31292</v>
      </c>
    </row>
    <row r="27230">
      <c r="A27230" s="48" t="s">
        <v>7777</v>
      </c>
      <c r="B27230" s="38">
        <v>54081.0</v>
      </c>
      <c r="C27230" s="38" t="s">
        <v>31066</v>
      </c>
      <c r="D27230" s="38" t="str">
        <f>IFERROR(__xludf.DUMMYFUNCTION("REGEXREPLACE(C27230,""-\d+(.*)|--\d+(.*)"","""")"),"BOISMONT")</f>
        <v>BOISMONT</v>
      </c>
      <c r="E27230" s="38" t="s">
        <v>548</v>
      </c>
      <c r="F27230" s="38" t="s">
        <v>195</v>
      </c>
      <c r="G27230" s="49" t="str">
        <f t="shared" si="1"/>
        <v>54620</v>
      </c>
      <c r="H27230" s="49">
        <f t="shared" si="2"/>
        <v>54081</v>
      </c>
    </row>
    <row r="27231">
      <c r="A27231" s="48" t="s">
        <v>4235</v>
      </c>
      <c r="B27231" s="38">
        <v>50616.0</v>
      </c>
      <c r="C27231" s="38" t="s">
        <v>31692</v>
      </c>
      <c r="D27231" s="38" t="str">
        <f>IFERROR(__xludf.DUMMYFUNCTION("REGEXREPLACE(C27231,""-\d+(.*)|--\d+(.*)"","""")"),"LE VAL-SAINT-PERE")</f>
        <v>LE VAL-SAINT-PERE</v>
      </c>
      <c r="E27231" s="38" t="s">
        <v>157</v>
      </c>
      <c r="F27231" s="38" t="s">
        <v>138</v>
      </c>
      <c r="G27231" s="49" t="str">
        <f t="shared" si="1"/>
        <v>50300</v>
      </c>
      <c r="H27231" s="49">
        <f t="shared" si="2"/>
        <v>50616</v>
      </c>
    </row>
    <row r="27232">
      <c r="A27232" s="48" t="s">
        <v>12539</v>
      </c>
      <c r="B27232" s="38">
        <v>14607.0</v>
      </c>
      <c r="C27232" s="38" t="s">
        <v>31693</v>
      </c>
      <c r="D27232" s="38" t="str">
        <f>IFERROR(__xludf.DUMMYFUNCTION("REGEXREPLACE(C27232,""-\d+(.*)|--\d+(.*)"","""")"),"SAINT-LOUET-SUR-SEULLES")</f>
        <v>SAINT-LOUET-SUR-SEULLES</v>
      </c>
      <c r="E27232" s="38" t="s">
        <v>137</v>
      </c>
      <c r="F27232" s="38" t="s">
        <v>138</v>
      </c>
      <c r="G27232" s="49" t="str">
        <f t="shared" si="1"/>
        <v>14310</v>
      </c>
      <c r="H27232" s="49">
        <f t="shared" si="2"/>
        <v>14607</v>
      </c>
    </row>
    <row r="27233">
      <c r="A27233" s="48" t="s">
        <v>7736</v>
      </c>
      <c r="B27233" s="38">
        <v>11422.0</v>
      </c>
      <c r="C27233" s="38" t="s">
        <v>31694</v>
      </c>
      <c r="D27233" s="38" t="str">
        <f>IFERROR(__xludf.DUMMYFUNCTION("REGEXREPLACE(C27233,""-\d+(.*)|--\d+(.*)"","""")"),"VILLEDUBERT")</f>
        <v>VILLEDUBERT</v>
      </c>
      <c r="E27233" s="38" t="s">
        <v>278</v>
      </c>
      <c r="F27233" s="38" t="s">
        <v>119</v>
      </c>
      <c r="G27233" s="49" t="str">
        <f t="shared" si="1"/>
        <v>11800</v>
      </c>
      <c r="H27233" s="49">
        <f t="shared" si="2"/>
        <v>11422</v>
      </c>
    </row>
    <row r="27234">
      <c r="A27234" s="48" t="s">
        <v>31695</v>
      </c>
      <c r="B27234" s="38">
        <v>59052.0</v>
      </c>
      <c r="C27234" s="38" t="s">
        <v>31696</v>
      </c>
      <c r="D27234" s="38" t="str">
        <f>IFERROR(__xludf.DUMMYFUNCTION("REGEXREPLACE(C27234,""-\d+(.*)|--\d+(.*)"","""")"),"BAUVIN")</f>
        <v>BAUVIN</v>
      </c>
      <c r="E27234" s="38" t="s">
        <v>85</v>
      </c>
      <c r="F27234" s="38" t="s">
        <v>86</v>
      </c>
      <c r="G27234" s="49" t="str">
        <f t="shared" si="1"/>
        <v>59221</v>
      </c>
      <c r="H27234" s="49">
        <f t="shared" si="2"/>
        <v>59052</v>
      </c>
    </row>
    <row r="27235">
      <c r="A27235" s="48" t="s">
        <v>2573</v>
      </c>
      <c r="B27235" s="38">
        <v>31252.0</v>
      </c>
      <c r="C27235" s="38" t="s">
        <v>31697</v>
      </c>
      <c r="D27235" s="38" t="str">
        <f>IFERROR(__xludf.DUMMYFUNCTION("REGEXREPLACE(C27235,""-\d+(.*)|--\d+(.*)"","""")"),"LABASTIDE-SAINT-SERNIN")</f>
        <v>LABASTIDE-SAINT-SERNIN</v>
      </c>
      <c r="E27235" s="38" t="s">
        <v>93</v>
      </c>
      <c r="F27235" s="38" t="s">
        <v>94</v>
      </c>
      <c r="G27235" s="49" t="str">
        <f t="shared" si="1"/>
        <v>31620</v>
      </c>
      <c r="H27235" s="49">
        <f t="shared" si="2"/>
        <v>31252</v>
      </c>
    </row>
    <row r="27236">
      <c r="A27236" s="48" t="s">
        <v>14734</v>
      </c>
      <c r="B27236" s="38">
        <v>4124.0</v>
      </c>
      <c r="C27236" s="38" t="s">
        <v>31698</v>
      </c>
      <c r="D27236" s="38" t="str">
        <f>IFERROR(__xludf.DUMMYFUNCTION("REGEXREPLACE(C27236,""-\d+(.*)|--\d+(.*)"","""")"),"MONTAGNAC-MONTPEZAT")</f>
        <v>MONTAGNAC-MONTPEZAT</v>
      </c>
      <c r="E27236" s="38" t="s">
        <v>662</v>
      </c>
      <c r="F27236" s="38" t="s">
        <v>228</v>
      </c>
      <c r="G27236" s="49" t="str">
        <f t="shared" si="1"/>
        <v>04500</v>
      </c>
      <c r="H27236" s="49" t="str">
        <f t="shared" si="2"/>
        <v>04124</v>
      </c>
    </row>
    <row r="27237">
      <c r="A27237" s="48" t="s">
        <v>31699</v>
      </c>
      <c r="B27237" s="38">
        <v>88158.0</v>
      </c>
      <c r="C27237" s="38" t="s">
        <v>31700</v>
      </c>
      <c r="D27237" s="38" t="str">
        <f>IFERROR(__xludf.DUMMYFUNCTION("REGEXREPLACE(C27237,""-\d+(.*)|--\d+(.*)"","""")"),"ELOYES")</f>
        <v>ELOYES</v>
      </c>
      <c r="E27237" s="38" t="s">
        <v>194</v>
      </c>
      <c r="F27237" s="38" t="s">
        <v>195</v>
      </c>
      <c r="G27237" s="49" t="str">
        <f t="shared" si="1"/>
        <v>88510</v>
      </c>
      <c r="H27237" s="49">
        <f t="shared" si="2"/>
        <v>88158</v>
      </c>
    </row>
    <row r="27238">
      <c r="A27238" s="48" t="s">
        <v>22702</v>
      </c>
      <c r="B27238" s="38">
        <v>22354.0</v>
      </c>
      <c r="C27238" s="38" t="s">
        <v>31701</v>
      </c>
      <c r="D27238" s="38" t="str">
        <f>IFERROR(__xludf.DUMMYFUNCTION("REGEXREPLACE(C27238,""-\d+(.*)|--\d+(.*)"","""")"),"TREGLAMUS")</f>
        <v>TREGLAMUS</v>
      </c>
      <c r="E27238" s="38" t="s">
        <v>89</v>
      </c>
      <c r="F27238" s="38" t="s">
        <v>90</v>
      </c>
      <c r="G27238" s="49" t="str">
        <f t="shared" si="1"/>
        <v>22540</v>
      </c>
      <c r="H27238" s="49">
        <f t="shared" si="2"/>
        <v>22354</v>
      </c>
    </row>
    <row r="27239">
      <c r="A27239" s="48" t="s">
        <v>4596</v>
      </c>
      <c r="B27239" s="38">
        <v>2203.0</v>
      </c>
      <c r="C27239" s="38" t="s">
        <v>4681</v>
      </c>
      <c r="D27239" s="38" t="str">
        <f>IFERROR(__xludf.DUMMYFUNCTION("REGEXREPLACE(C27239,""-\d+(.*)|--\d+(.*)"","""")"),"COINCY")</f>
        <v>COINCY</v>
      </c>
      <c r="E27239" s="38" t="s">
        <v>191</v>
      </c>
      <c r="F27239" s="38" t="s">
        <v>113</v>
      </c>
      <c r="G27239" s="49" t="str">
        <f t="shared" si="1"/>
        <v>02210</v>
      </c>
      <c r="H27239" s="49" t="str">
        <f t="shared" si="2"/>
        <v>02203</v>
      </c>
    </row>
    <row r="27240">
      <c r="A27240" s="48" t="s">
        <v>3226</v>
      </c>
      <c r="B27240" s="38">
        <v>61489.0</v>
      </c>
      <c r="C27240" s="38" t="s">
        <v>31702</v>
      </c>
      <c r="D27240" s="38" t="str">
        <f>IFERROR(__xludf.DUMMYFUNCTION("REGEXREPLACE(C27240,""-\d+(.*)|--\d+(.*)"","""")"),"LES TOURAILLES")</f>
        <v>LES TOURAILLES</v>
      </c>
      <c r="E27240" s="38" t="s">
        <v>141</v>
      </c>
      <c r="F27240" s="38" t="s">
        <v>138</v>
      </c>
      <c r="G27240" s="49" t="str">
        <f t="shared" si="1"/>
        <v>61100</v>
      </c>
      <c r="H27240" s="49">
        <f t="shared" si="2"/>
        <v>61489</v>
      </c>
    </row>
    <row r="27241">
      <c r="A27241" s="48" t="s">
        <v>5086</v>
      </c>
      <c r="B27241" s="38">
        <v>7194.0</v>
      </c>
      <c r="C27241" s="38" t="s">
        <v>31703</v>
      </c>
      <c r="D27241" s="38" t="str">
        <f>IFERROR(__xludf.DUMMYFUNCTION("REGEXREPLACE(C27241,""-\d+(.*)|--\d+(.*)"","""")"),"ROCHESSAUVE")</f>
        <v>ROCHESSAUVE</v>
      </c>
      <c r="E27241" s="38" t="s">
        <v>144</v>
      </c>
      <c r="F27241" s="38" t="s">
        <v>102</v>
      </c>
      <c r="G27241" s="49" t="str">
        <f t="shared" si="1"/>
        <v>07210</v>
      </c>
      <c r="H27241" s="49" t="str">
        <f t="shared" si="2"/>
        <v>07194</v>
      </c>
    </row>
    <row r="27242">
      <c r="A27242" s="48" t="s">
        <v>10550</v>
      </c>
      <c r="B27242" s="38">
        <v>45346.0</v>
      </c>
      <c r="C27242" s="38" t="s">
        <v>31704</v>
      </c>
      <c r="D27242" s="38" t="str">
        <f>IFERROR(__xludf.DUMMYFUNCTION("REGEXREPLACE(C27242,""-\d+(.*)|--\d+(.*)"","""")"),"VITRY-AUX-LOGES")</f>
        <v>VITRY-AUX-LOGES</v>
      </c>
      <c r="E27242" s="38" t="s">
        <v>122</v>
      </c>
      <c r="F27242" s="38" t="s">
        <v>123</v>
      </c>
      <c r="G27242" s="49" t="str">
        <f t="shared" si="1"/>
        <v>45530</v>
      </c>
      <c r="H27242" s="49">
        <f t="shared" si="2"/>
        <v>45346</v>
      </c>
    </row>
    <row r="27243">
      <c r="A27243" s="48" t="s">
        <v>1195</v>
      </c>
      <c r="B27243" s="38">
        <v>80234.0</v>
      </c>
      <c r="C27243" s="38" t="s">
        <v>31705</v>
      </c>
      <c r="D27243" s="38" t="str">
        <f>IFERROR(__xludf.DUMMYFUNCTION("REGEXREPLACE(C27243,""-\d+(.*)|--\d+(.*)"","""")"),"DAOURS")</f>
        <v>DAOURS</v>
      </c>
      <c r="E27243" s="38" t="s">
        <v>224</v>
      </c>
      <c r="F27243" s="38" t="s">
        <v>113</v>
      </c>
      <c r="G27243" s="49" t="str">
        <f t="shared" si="1"/>
        <v>80800</v>
      </c>
      <c r="H27243" s="49">
        <f t="shared" si="2"/>
        <v>80234</v>
      </c>
    </row>
    <row r="27244">
      <c r="A27244" s="48" t="s">
        <v>1193</v>
      </c>
      <c r="B27244" s="38">
        <v>54183.0</v>
      </c>
      <c r="C27244" s="38" t="s">
        <v>31706</v>
      </c>
      <c r="D27244" s="38" t="str">
        <f>IFERROR(__xludf.DUMMYFUNCTION("REGEXREPLACE(C27244,""-\d+(.*)|--\d+(.*)"","""")"),"ESSEY-LA-COTE")</f>
        <v>ESSEY-LA-COTE</v>
      </c>
      <c r="E27244" s="38" t="s">
        <v>548</v>
      </c>
      <c r="F27244" s="38" t="s">
        <v>195</v>
      </c>
      <c r="G27244" s="49" t="str">
        <f t="shared" si="1"/>
        <v>54830</v>
      </c>
      <c r="H27244" s="49">
        <f t="shared" si="2"/>
        <v>54183</v>
      </c>
    </row>
    <row r="27245">
      <c r="A27245" s="48" t="s">
        <v>24709</v>
      </c>
      <c r="B27245" s="38">
        <v>4157.0</v>
      </c>
      <c r="C27245" s="38" t="s">
        <v>31707</v>
      </c>
      <c r="D27245" s="38" t="str">
        <f>IFERROR(__xludf.DUMMYFUNCTION("REGEXREPLACE(C27245,""-\d+(.*)|--\d+(.*)"","""")"),"PUIMOISSON")</f>
        <v>PUIMOISSON</v>
      </c>
      <c r="E27245" s="38" t="s">
        <v>662</v>
      </c>
      <c r="F27245" s="38" t="s">
        <v>228</v>
      </c>
      <c r="G27245" s="49" t="str">
        <f t="shared" si="1"/>
        <v>04410</v>
      </c>
      <c r="H27245" s="49" t="str">
        <f t="shared" si="2"/>
        <v>04157</v>
      </c>
    </row>
    <row r="27246">
      <c r="A27246" s="48" t="s">
        <v>386</v>
      </c>
      <c r="B27246" s="38">
        <v>21487.0</v>
      </c>
      <c r="C27246" s="38" t="s">
        <v>31708</v>
      </c>
      <c r="D27246" s="38" t="str">
        <f>IFERROR(__xludf.DUMMYFUNCTION("REGEXREPLACE(C27246,""-\d+(.*)|--\d+(.*)"","""")"),"PLUVET")</f>
        <v>PLUVET</v>
      </c>
      <c r="E27246" s="38" t="s">
        <v>105</v>
      </c>
      <c r="F27246" s="38" t="s">
        <v>106</v>
      </c>
      <c r="G27246" s="49" t="str">
        <f t="shared" si="1"/>
        <v>21110</v>
      </c>
      <c r="H27246" s="49">
        <f t="shared" si="2"/>
        <v>21487</v>
      </c>
    </row>
    <row r="27247">
      <c r="A27247" s="48" t="s">
        <v>516</v>
      </c>
      <c r="B27247" s="38">
        <v>53198.0</v>
      </c>
      <c r="C27247" s="38" t="s">
        <v>31709</v>
      </c>
      <c r="D27247" s="38" t="str">
        <f>IFERROR(__xludf.DUMMYFUNCTION("REGEXREPLACE(C27247,""-\d+(.*)|--\d+(.*)"","""")"),"SAINT-AUBIN-DU-DESERT")</f>
        <v>SAINT-AUBIN-DU-DESERT</v>
      </c>
      <c r="E27247" s="38" t="s">
        <v>518</v>
      </c>
      <c r="F27247" s="38" t="s">
        <v>180</v>
      </c>
      <c r="G27247" s="49" t="str">
        <f t="shared" si="1"/>
        <v>53700</v>
      </c>
      <c r="H27247" s="49">
        <f t="shared" si="2"/>
        <v>53198</v>
      </c>
    </row>
    <row r="27248">
      <c r="A27248" s="48" t="s">
        <v>31710</v>
      </c>
      <c r="B27248" s="38">
        <v>68218.0</v>
      </c>
      <c r="C27248" s="38" t="s">
        <v>31711</v>
      </c>
      <c r="D27248" s="38" t="str">
        <f>IFERROR(__xludf.DUMMYFUNCTION("REGEXREPLACE(C27248,""-\d+(.*)|--\d+(.*)"","""")"),"MORSCHWILLER-LE-BAS")</f>
        <v>MORSCHWILLER-LE-BAS</v>
      </c>
      <c r="E27248" s="38" t="s">
        <v>150</v>
      </c>
      <c r="F27248" s="38" t="s">
        <v>151</v>
      </c>
      <c r="G27248" s="49" t="str">
        <f t="shared" si="1"/>
        <v>68790</v>
      </c>
      <c r="H27248" s="49">
        <f t="shared" si="2"/>
        <v>68218</v>
      </c>
    </row>
    <row r="27249">
      <c r="A27249" s="48" t="s">
        <v>3780</v>
      </c>
      <c r="B27249" s="38">
        <v>50197.0</v>
      </c>
      <c r="C27249" s="38" t="s">
        <v>31712</v>
      </c>
      <c r="D27249" s="38" t="str">
        <f>IFERROR(__xludf.DUMMYFUNCTION("REGEXREPLACE(C27249,""-\d+(.*)|--\d+(.*)"","""")"),"GAVRAY")</f>
        <v>GAVRAY</v>
      </c>
      <c r="E27249" s="38" t="s">
        <v>157</v>
      </c>
      <c r="F27249" s="38" t="s">
        <v>138</v>
      </c>
      <c r="G27249" s="49" t="str">
        <f t="shared" si="1"/>
        <v>50450</v>
      </c>
      <c r="H27249" s="49">
        <f t="shared" si="2"/>
        <v>50197</v>
      </c>
    </row>
    <row r="27250">
      <c r="A27250" s="48" t="s">
        <v>5553</v>
      </c>
      <c r="B27250" s="38">
        <v>34205.0</v>
      </c>
      <c r="C27250" s="38" t="s">
        <v>28041</v>
      </c>
      <c r="D27250" s="38" t="str">
        <f>IFERROR(__xludf.DUMMYFUNCTION("REGEXREPLACE(C27250,""-\d+(.*)|--\d+(.*)"","""")"),"LES PLANS")</f>
        <v>LES PLANS</v>
      </c>
      <c r="E27250" s="38" t="s">
        <v>118</v>
      </c>
      <c r="F27250" s="38" t="s">
        <v>119</v>
      </c>
      <c r="G27250" s="49" t="str">
        <f t="shared" si="1"/>
        <v>34700</v>
      </c>
      <c r="H27250" s="49">
        <f t="shared" si="2"/>
        <v>34205</v>
      </c>
    </row>
    <row r="27251">
      <c r="A27251" s="48" t="s">
        <v>946</v>
      </c>
      <c r="B27251" s="38">
        <v>81047.0</v>
      </c>
      <c r="C27251" s="38" t="s">
        <v>31713</v>
      </c>
      <c r="D27251" s="38" t="str">
        <f>IFERROR(__xludf.DUMMYFUNCTION("REGEXREPLACE(C27251,""-\d+(.*)|--\d+(.*)"","""")"),"CADIX")</f>
        <v>CADIX</v>
      </c>
      <c r="E27251" s="38" t="s">
        <v>231</v>
      </c>
      <c r="F27251" s="38" t="s">
        <v>94</v>
      </c>
      <c r="G27251" s="49" t="str">
        <f t="shared" si="1"/>
        <v>81340</v>
      </c>
      <c r="H27251" s="49">
        <f t="shared" si="2"/>
        <v>81047</v>
      </c>
    </row>
    <row r="27252">
      <c r="A27252" s="48" t="s">
        <v>1452</v>
      </c>
      <c r="B27252" s="38">
        <v>55166.0</v>
      </c>
      <c r="C27252" s="38" t="s">
        <v>31714</v>
      </c>
      <c r="D27252" s="38" t="str">
        <f>IFERROR(__xludf.DUMMYFUNCTION("REGEXREPLACE(C27252,""-\d+(.*)|--\d+(.*)"","""")"),"DUGNY-SUR-MEUSE")</f>
        <v>DUGNY-SUR-MEUSE</v>
      </c>
      <c r="E27252" s="38" t="s">
        <v>322</v>
      </c>
      <c r="F27252" s="38" t="s">
        <v>195</v>
      </c>
      <c r="G27252" s="49" t="str">
        <f t="shared" si="1"/>
        <v>55100</v>
      </c>
      <c r="H27252" s="49">
        <f t="shared" si="2"/>
        <v>55166</v>
      </c>
    </row>
    <row r="27253">
      <c r="A27253" s="48" t="s">
        <v>2761</v>
      </c>
      <c r="B27253" s="38">
        <v>7334.0</v>
      </c>
      <c r="C27253" s="38" t="s">
        <v>31715</v>
      </c>
      <c r="D27253" s="38" t="str">
        <f>IFERROR(__xludf.DUMMYFUNCTION("REGEXREPLACE(C27253,""-\d+(.*)|--\d+(.*)"","""")"),"LES VANS")</f>
        <v>LES VANS</v>
      </c>
      <c r="E27253" s="38" t="s">
        <v>144</v>
      </c>
      <c r="F27253" s="38" t="s">
        <v>102</v>
      </c>
      <c r="G27253" s="49" t="str">
        <f t="shared" si="1"/>
        <v>07140</v>
      </c>
      <c r="H27253" s="49" t="str">
        <f t="shared" si="2"/>
        <v>07334</v>
      </c>
    </row>
    <row r="27254">
      <c r="A27254" s="48" t="s">
        <v>1726</v>
      </c>
      <c r="B27254" s="38">
        <v>14319.0</v>
      </c>
      <c r="C27254" s="38" t="s">
        <v>31716</v>
      </c>
      <c r="D27254" s="38" t="str">
        <f>IFERROR(__xludf.DUMMYFUNCTION("REGEXREPLACE(C27254,""-\d+(.*)|--\d+(.*)"","""")"),"GRENTHEVILLE")</f>
        <v>GRENTHEVILLE</v>
      </c>
      <c r="E27254" s="38" t="s">
        <v>137</v>
      </c>
      <c r="F27254" s="38" t="s">
        <v>138</v>
      </c>
      <c r="G27254" s="49" t="str">
        <f t="shared" si="1"/>
        <v>14540</v>
      </c>
      <c r="H27254" s="49">
        <f t="shared" si="2"/>
        <v>14319</v>
      </c>
    </row>
    <row r="27255">
      <c r="A27255" s="48" t="s">
        <v>3681</v>
      </c>
      <c r="B27255" s="38">
        <v>39171.0</v>
      </c>
      <c r="C27255" s="38" t="s">
        <v>31717</v>
      </c>
      <c r="D27255" s="38" t="str">
        <f>IFERROR(__xludf.DUMMYFUNCTION("REGEXREPLACE(C27255,""-\d+(.*)|--\d+(.*)"","""")"),"COURLAOUX")</f>
        <v>COURLAOUX</v>
      </c>
      <c r="E27255" s="38" t="s">
        <v>400</v>
      </c>
      <c r="F27255" s="38" t="s">
        <v>214</v>
      </c>
      <c r="G27255" s="49" t="str">
        <f t="shared" si="1"/>
        <v>39570</v>
      </c>
      <c r="H27255" s="49">
        <f t="shared" si="2"/>
        <v>39171</v>
      </c>
    </row>
    <row r="27256">
      <c r="A27256" s="48" t="s">
        <v>3182</v>
      </c>
      <c r="B27256" s="38">
        <v>80748.0</v>
      </c>
      <c r="C27256" s="38" t="s">
        <v>31718</v>
      </c>
      <c r="D27256" s="38" t="str">
        <f>IFERROR(__xludf.DUMMYFUNCTION("REGEXREPLACE(C27256,""-\d+(.*)|--\d+(.*)"","""")"),"TEMPLEUX-LE-GUERARD")</f>
        <v>TEMPLEUX-LE-GUERARD</v>
      </c>
      <c r="E27256" s="38" t="s">
        <v>224</v>
      </c>
      <c r="F27256" s="38" t="s">
        <v>113</v>
      </c>
      <c r="G27256" s="49" t="str">
        <f t="shared" si="1"/>
        <v>80240</v>
      </c>
      <c r="H27256" s="49">
        <f t="shared" si="2"/>
        <v>80748</v>
      </c>
    </row>
    <row r="27257">
      <c r="A27257" s="48" t="s">
        <v>1096</v>
      </c>
      <c r="B27257" s="38">
        <v>63095.0</v>
      </c>
      <c r="C27257" s="38" t="s">
        <v>31719</v>
      </c>
      <c r="D27257" s="38" t="str">
        <f>IFERROR(__xludf.DUMMYFUNCTION("REGEXREPLACE(C27257,""-\d+(.*)|--\d+(.*)"","""")"),"CHARNAT")</f>
        <v>CHARNAT</v>
      </c>
      <c r="E27257" s="38" t="s">
        <v>353</v>
      </c>
      <c r="F27257" s="38" t="s">
        <v>161</v>
      </c>
      <c r="G27257" s="49" t="str">
        <f t="shared" si="1"/>
        <v>63290</v>
      </c>
      <c r="H27257" s="49">
        <f t="shared" si="2"/>
        <v>63095</v>
      </c>
    </row>
    <row r="27258">
      <c r="A27258" s="48" t="s">
        <v>6957</v>
      </c>
      <c r="B27258" s="38">
        <v>83154.0</v>
      </c>
      <c r="C27258" s="38" t="s">
        <v>31720</v>
      </c>
      <c r="D27258" s="38" t="str">
        <f>IFERROR(__xludf.DUMMYFUNCTION("REGEXREPLACE(C27258,""-\d+(.*)|--\d+(.*)"","""")"),"SAINT-ANTONIN-DU-VAR")</f>
        <v>SAINT-ANTONIN-DU-VAR</v>
      </c>
      <c r="E27258" s="38" t="s">
        <v>813</v>
      </c>
      <c r="F27258" s="38" t="s">
        <v>228</v>
      </c>
      <c r="G27258" s="49" t="str">
        <f t="shared" si="1"/>
        <v>83510</v>
      </c>
      <c r="H27258" s="49">
        <f t="shared" si="2"/>
        <v>83154</v>
      </c>
    </row>
    <row r="27259">
      <c r="A27259" s="48" t="s">
        <v>970</v>
      </c>
      <c r="B27259" s="38">
        <v>2404.0</v>
      </c>
      <c r="C27259" s="38" t="s">
        <v>31721</v>
      </c>
      <c r="D27259" s="38" t="str">
        <f>IFERROR(__xludf.DUMMYFUNCTION("REGEXREPLACE(C27259,""-\d+(.*)|--\d+(.*)"","""")"),"LANDOUZY-LA-COUR")</f>
        <v>LANDOUZY-LA-COUR</v>
      </c>
      <c r="E27259" s="38" t="s">
        <v>191</v>
      </c>
      <c r="F27259" s="38" t="s">
        <v>113</v>
      </c>
      <c r="G27259" s="49" t="str">
        <f t="shared" si="1"/>
        <v>02140</v>
      </c>
      <c r="H27259" s="49" t="str">
        <f t="shared" si="2"/>
        <v>02404</v>
      </c>
    </row>
    <row r="27260">
      <c r="A27260" s="48" t="s">
        <v>2853</v>
      </c>
      <c r="B27260" s="38">
        <v>36198.0</v>
      </c>
      <c r="C27260" s="38" t="s">
        <v>31722</v>
      </c>
      <c r="D27260" s="38" t="str">
        <f>IFERROR(__xludf.DUMMYFUNCTION("REGEXREPLACE(C27260,""-\d+(.*)|--\d+(.*)"","""")"),"SAINT-LACTENCIN")</f>
        <v>SAINT-LACTENCIN</v>
      </c>
      <c r="E27260" s="38" t="s">
        <v>258</v>
      </c>
      <c r="F27260" s="38" t="s">
        <v>123</v>
      </c>
      <c r="G27260" s="49" t="str">
        <f t="shared" si="1"/>
        <v>36500</v>
      </c>
      <c r="H27260" s="49">
        <f t="shared" si="2"/>
        <v>36198</v>
      </c>
    </row>
    <row r="27261">
      <c r="A27261" s="48" t="s">
        <v>1588</v>
      </c>
      <c r="B27261" s="38">
        <v>9267.0</v>
      </c>
      <c r="C27261" s="38" t="s">
        <v>31723</v>
      </c>
      <c r="D27261" s="38" t="str">
        <f>IFERROR(__xludf.DUMMYFUNCTION("REGEXREPLACE(C27261,""-\d+(.*)|--\d+(.*)"","""")"),"SAINT-LARY")</f>
        <v>SAINT-LARY</v>
      </c>
      <c r="E27261" s="38" t="s">
        <v>238</v>
      </c>
      <c r="F27261" s="38" t="s">
        <v>94</v>
      </c>
      <c r="G27261" s="49" t="str">
        <f t="shared" si="1"/>
        <v>09800</v>
      </c>
      <c r="H27261" s="49" t="str">
        <f t="shared" si="2"/>
        <v>09267</v>
      </c>
    </row>
    <row r="27262">
      <c r="A27262" s="48" t="s">
        <v>1887</v>
      </c>
      <c r="B27262" s="38">
        <v>88404.0</v>
      </c>
      <c r="C27262" s="38" t="s">
        <v>31724</v>
      </c>
      <c r="D27262" s="38" t="str">
        <f>IFERROR(__xludf.DUMMYFUNCTION("REGEXREPLACE(C27262,""-\d+(.*)|--\d+(.*)"","""")"),"ROZIERES-SUR-MOUZON")</f>
        <v>ROZIERES-SUR-MOUZON</v>
      </c>
      <c r="E27262" s="38" t="s">
        <v>194</v>
      </c>
      <c r="F27262" s="38" t="s">
        <v>195</v>
      </c>
      <c r="G27262" s="49" t="str">
        <f t="shared" si="1"/>
        <v>88320</v>
      </c>
      <c r="H27262" s="49">
        <f t="shared" si="2"/>
        <v>88404</v>
      </c>
    </row>
    <row r="27263">
      <c r="A27263" s="48" t="s">
        <v>4682</v>
      </c>
      <c r="B27263" s="38">
        <v>50105.0</v>
      </c>
      <c r="C27263" s="38" t="s">
        <v>31725</v>
      </c>
      <c r="D27263" s="38" t="str">
        <f>IFERROR(__xludf.DUMMYFUNCTION("REGEXREPLACE(C27263,""-\d+(.*)|--\d+(.*)"","""")"),"CATTEVILLE")</f>
        <v>CATTEVILLE</v>
      </c>
      <c r="E27263" s="38" t="s">
        <v>157</v>
      </c>
      <c r="F27263" s="38" t="s">
        <v>138</v>
      </c>
      <c r="G27263" s="49" t="str">
        <f t="shared" si="1"/>
        <v>50390</v>
      </c>
      <c r="H27263" s="49">
        <f t="shared" si="2"/>
        <v>50105</v>
      </c>
    </row>
    <row r="27264">
      <c r="A27264" s="48" t="s">
        <v>6649</v>
      </c>
      <c r="B27264" s="38">
        <v>18072.0</v>
      </c>
      <c r="C27264" s="38" t="s">
        <v>31726</v>
      </c>
      <c r="D27264" s="38" t="str">
        <f>IFERROR(__xludf.DUMMYFUNCTION("REGEXREPLACE(C27264,""-\d+(.*)|--\d+(.*)"","""")"),"CORNUSSE")</f>
        <v>CORNUSSE</v>
      </c>
      <c r="E27264" s="38" t="s">
        <v>504</v>
      </c>
      <c r="F27264" s="38" t="s">
        <v>123</v>
      </c>
      <c r="G27264" s="49" t="str">
        <f t="shared" si="1"/>
        <v>18350</v>
      </c>
      <c r="H27264" s="49">
        <f t="shared" si="2"/>
        <v>18072</v>
      </c>
    </row>
    <row r="27265">
      <c r="A27265" s="48" t="s">
        <v>10772</v>
      </c>
      <c r="B27265" s="38">
        <v>16385.0</v>
      </c>
      <c r="C27265" s="38" t="s">
        <v>31727</v>
      </c>
      <c r="D27265" s="38" t="str">
        <f>IFERROR(__xludf.DUMMYFUNCTION("REGEXREPLACE(C27265,""-\d+(.*)|--\d+(.*)"","""")"),"TOUVRE")</f>
        <v>TOUVRE</v>
      </c>
      <c r="E27265" s="38" t="s">
        <v>429</v>
      </c>
      <c r="F27265" s="38" t="s">
        <v>338</v>
      </c>
      <c r="G27265" s="49" t="str">
        <f t="shared" si="1"/>
        <v>16600</v>
      </c>
      <c r="H27265" s="49">
        <f t="shared" si="2"/>
        <v>16385</v>
      </c>
    </row>
    <row r="27266">
      <c r="A27266" s="48" t="s">
        <v>2814</v>
      </c>
      <c r="B27266" s="38">
        <v>45091.0</v>
      </c>
      <c r="C27266" s="38" t="s">
        <v>2058</v>
      </c>
      <c r="D27266" s="38" t="str">
        <f>IFERROR(__xludf.DUMMYFUNCTION("REGEXREPLACE(C27266,""-\d+(.*)|--\d+(.*)"","""")"),"CHEVANNES")</f>
        <v>CHEVANNES</v>
      </c>
      <c r="E27266" s="38" t="s">
        <v>122</v>
      </c>
      <c r="F27266" s="38" t="s">
        <v>123</v>
      </c>
      <c r="G27266" s="49" t="str">
        <f t="shared" si="1"/>
        <v>45210</v>
      </c>
      <c r="H27266" s="49">
        <f t="shared" si="2"/>
        <v>45091</v>
      </c>
    </row>
    <row r="27267">
      <c r="A27267" s="48" t="s">
        <v>2608</v>
      </c>
      <c r="B27267" s="38">
        <v>24096.0</v>
      </c>
      <c r="C27267" s="38" t="s">
        <v>31728</v>
      </c>
      <c r="D27267" s="38" t="str">
        <f>IFERROR(__xludf.DUMMYFUNCTION("REGEXREPLACE(C27267,""-\d+(.*)|--\d+(.*)"","""")"),"CHAMPAGNAC-DE-BELAIR")</f>
        <v>CHAMPAGNAC-DE-BELAIR</v>
      </c>
      <c r="E27267" s="38" t="s">
        <v>261</v>
      </c>
      <c r="F27267" s="38" t="s">
        <v>252</v>
      </c>
      <c r="G27267" s="49" t="str">
        <f t="shared" si="1"/>
        <v>24530</v>
      </c>
      <c r="H27267" s="49">
        <f t="shared" si="2"/>
        <v>24096</v>
      </c>
    </row>
    <row r="27268">
      <c r="A27268" s="48" t="s">
        <v>7435</v>
      </c>
      <c r="B27268" s="38">
        <v>52514.0</v>
      </c>
      <c r="C27268" s="38" t="s">
        <v>31729</v>
      </c>
      <c r="D27268" s="38" t="str">
        <f>IFERROR(__xludf.DUMMYFUNCTION("REGEXREPLACE(C27268,""-\d+(.*)|--\d+(.*)"","""")"),"VERBIESLES")</f>
        <v>VERBIESLES</v>
      </c>
      <c r="E27268" s="38" t="s">
        <v>234</v>
      </c>
      <c r="F27268" s="38" t="s">
        <v>130</v>
      </c>
      <c r="G27268" s="49" t="str">
        <f t="shared" si="1"/>
        <v>52000</v>
      </c>
      <c r="H27268" s="49">
        <f t="shared" si="2"/>
        <v>52514</v>
      </c>
    </row>
    <row r="27269">
      <c r="A27269" s="48" t="s">
        <v>2467</v>
      </c>
      <c r="B27269" s="38">
        <v>35226.0</v>
      </c>
      <c r="C27269" s="38" t="s">
        <v>31730</v>
      </c>
      <c r="D27269" s="38" t="str">
        <f>IFERROR(__xludf.DUMMYFUNCTION("REGEXREPLACE(C27269,""-\d+(.*)|--\d+(.*)"","""")"),"PLEUGUENEUC")</f>
        <v>PLEUGUENEUC</v>
      </c>
      <c r="E27269" s="38" t="s">
        <v>347</v>
      </c>
      <c r="F27269" s="38" t="s">
        <v>90</v>
      </c>
      <c r="G27269" s="49" t="str">
        <f t="shared" si="1"/>
        <v>35720</v>
      </c>
      <c r="H27269" s="49">
        <f t="shared" si="2"/>
        <v>35226</v>
      </c>
    </row>
    <row r="27270">
      <c r="A27270" s="48" t="s">
        <v>31731</v>
      </c>
      <c r="B27270" s="38">
        <v>95176.0</v>
      </c>
      <c r="C27270" s="38" t="s">
        <v>31732</v>
      </c>
      <c r="D27270" s="38" t="str">
        <f>IFERROR(__xludf.DUMMYFUNCTION("REGEXREPLACE(C27270,""-\d+(.*)|--\d+(.*)"","""")"),"CORMEILLES-EN-PARISIS")</f>
        <v>CORMEILLES-EN-PARISIS</v>
      </c>
      <c r="E27270" s="38" t="s">
        <v>541</v>
      </c>
      <c r="F27270" s="38" t="s">
        <v>245</v>
      </c>
      <c r="G27270" s="49" t="str">
        <f t="shared" si="1"/>
        <v>95240</v>
      </c>
      <c r="H27270" s="49">
        <f t="shared" si="2"/>
        <v>95176</v>
      </c>
    </row>
    <row r="27271">
      <c r="A27271" s="48" t="s">
        <v>4447</v>
      </c>
      <c r="B27271" s="38">
        <v>39500.0</v>
      </c>
      <c r="C27271" s="38" t="s">
        <v>31733</v>
      </c>
      <c r="D27271" s="38" t="str">
        <f>IFERROR(__xludf.DUMMYFUNCTION("REGEXREPLACE(C27271,""-\d+(.*)|--\d+(.*)"","""")"),"SALINS-LES-BAINS")</f>
        <v>SALINS-LES-BAINS</v>
      </c>
      <c r="E27271" s="38" t="s">
        <v>400</v>
      </c>
      <c r="F27271" s="38" t="s">
        <v>214</v>
      </c>
      <c r="G27271" s="49" t="str">
        <f t="shared" si="1"/>
        <v>39110</v>
      </c>
      <c r="H27271" s="49">
        <f t="shared" si="2"/>
        <v>39500</v>
      </c>
    </row>
    <row r="27272">
      <c r="A27272" s="48" t="s">
        <v>9373</v>
      </c>
      <c r="B27272" s="38">
        <v>84084.0</v>
      </c>
      <c r="C27272" s="38" t="s">
        <v>31734</v>
      </c>
      <c r="D27272" s="38" t="str">
        <f>IFERROR(__xludf.DUMMYFUNCTION("REGEXREPLACE(C27272,""-\d+(.*)|--\d+(.*)"","""")"),"LA MOTTE-D'AIGUES")</f>
        <v>LA MOTTE-D'AIGUES</v>
      </c>
      <c r="E27272" s="38" t="s">
        <v>1026</v>
      </c>
      <c r="F27272" s="38" t="s">
        <v>228</v>
      </c>
      <c r="G27272" s="49" t="str">
        <f t="shared" si="1"/>
        <v>84240</v>
      </c>
      <c r="H27272" s="49">
        <f t="shared" si="2"/>
        <v>84084</v>
      </c>
    </row>
    <row r="27273">
      <c r="A27273" s="48" t="s">
        <v>5629</v>
      </c>
      <c r="B27273" s="38">
        <v>67537.0</v>
      </c>
      <c r="C27273" s="38" t="s">
        <v>31735</v>
      </c>
      <c r="D27273" s="38" t="str">
        <f>IFERROR(__xludf.DUMMYFUNCTION("REGEXREPLACE(C27273,""-\d+(.*)|--\d+(.*)"","""")"),"WINGEN")</f>
        <v>WINGEN</v>
      </c>
      <c r="E27273" s="38" t="s">
        <v>210</v>
      </c>
      <c r="F27273" s="38" t="s">
        <v>151</v>
      </c>
      <c r="G27273" s="49" t="str">
        <f t="shared" si="1"/>
        <v>67510</v>
      </c>
      <c r="H27273" s="49">
        <f t="shared" si="2"/>
        <v>67537</v>
      </c>
    </row>
    <row r="27274">
      <c r="A27274" s="48" t="s">
        <v>1170</v>
      </c>
      <c r="B27274" s="38">
        <v>14283.0</v>
      </c>
      <c r="C27274" s="38" t="s">
        <v>31736</v>
      </c>
      <c r="D27274" s="38" t="str">
        <f>IFERROR(__xludf.DUMMYFUNCTION("REGEXREPLACE(C27274,""-\d+(.*)|--\d+(.*)"","""")"),"FOURCHES")</f>
        <v>FOURCHES</v>
      </c>
      <c r="E27274" s="38" t="s">
        <v>137</v>
      </c>
      <c r="F27274" s="38" t="s">
        <v>138</v>
      </c>
      <c r="G27274" s="49" t="str">
        <f t="shared" si="1"/>
        <v>14620</v>
      </c>
      <c r="H27274" s="49">
        <f t="shared" si="2"/>
        <v>14283</v>
      </c>
    </row>
    <row r="27275">
      <c r="A27275" s="48" t="s">
        <v>10034</v>
      </c>
      <c r="B27275" s="38">
        <v>78420.0</v>
      </c>
      <c r="C27275" s="38" t="s">
        <v>31737</v>
      </c>
      <c r="D27275" s="38" t="str">
        <f>IFERROR(__xludf.DUMMYFUNCTION("REGEXREPLACE(C27275,""-\d+(.*)|--\d+(.*)"","""")"),"MONTFORT-L'AMAURY")</f>
        <v>MONTFORT-L'AMAURY</v>
      </c>
      <c r="E27275" s="38" t="s">
        <v>362</v>
      </c>
      <c r="F27275" s="38" t="s">
        <v>245</v>
      </c>
      <c r="G27275" s="49" t="str">
        <f t="shared" si="1"/>
        <v>78490</v>
      </c>
      <c r="H27275" s="49">
        <f t="shared" si="2"/>
        <v>78420</v>
      </c>
    </row>
    <row r="27276">
      <c r="A27276" s="48" t="s">
        <v>6129</v>
      </c>
      <c r="B27276" s="38">
        <v>67012.0</v>
      </c>
      <c r="C27276" s="38" t="s">
        <v>31738</v>
      </c>
      <c r="D27276" s="38" t="str">
        <f>IFERROR(__xludf.DUMMYFUNCTION("REGEXREPLACE(C27276,""-\d+(.*)|--\d+(.*)"","""")"),"ASCHBACH")</f>
        <v>ASCHBACH</v>
      </c>
      <c r="E27276" s="38" t="s">
        <v>210</v>
      </c>
      <c r="F27276" s="38" t="s">
        <v>151</v>
      </c>
      <c r="G27276" s="49" t="str">
        <f t="shared" si="1"/>
        <v>67250</v>
      </c>
      <c r="H27276" s="49">
        <f t="shared" si="2"/>
        <v>67012</v>
      </c>
    </row>
    <row r="27277">
      <c r="A27277" s="48" t="s">
        <v>3264</v>
      </c>
      <c r="B27277" s="38">
        <v>69012.0</v>
      </c>
      <c r="C27277" s="38" t="s">
        <v>31739</v>
      </c>
      <c r="D27277" s="38" t="str">
        <f>IFERROR(__xludf.DUMMYFUNCTION("REGEXREPLACE(C27277,""-\d+(.*)|--\d+(.*)"","""")"),"LES ARDILLATS")</f>
        <v>LES ARDILLATS</v>
      </c>
      <c r="E27277" s="38" t="s">
        <v>350</v>
      </c>
      <c r="F27277" s="38" t="s">
        <v>102</v>
      </c>
      <c r="G27277" s="49" t="str">
        <f t="shared" si="1"/>
        <v>69430</v>
      </c>
      <c r="H27277" s="49">
        <f t="shared" si="2"/>
        <v>69012</v>
      </c>
    </row>
    <row r="27278">
      <c r="A27278" s="48" t="s">
        <v>8671</v>
      </c>
      <c r="B27278" s="38">
        <v>87036.0</v>
      </c>
      <c r="C27278" s="38" t="s">
        <v>31740</v>
      </c>
      <c r="D27278" s="38" t="str">
        <f>IFERROR(__xludf.DUMMYFUNCTION("REGEXREPLACE(C27278,""-\d+(.*)|--\d+(.*)"","""")"),"CHAMPSAC")</f>
        <v>CHAMPSAC</v>
      </c>
      <c r="E27278" s="38" t="s">
        <v>897</v>
      </c>
      <c r="F27278" s="38" t="s">
        <v>98</v>
      </c>
      <c r="G27278" s="49" t="str">
        <f t="shared" si="1"/>
        <v>87230</v>
      </c>
      <c r="H27278" s="49">
        <f t="shared" si="2"/>
        <v>87036</v>
      </c>
    </row>
    <row r="27279">
      <c r="A27279" s="48" t="s">
        <v>5873</v>
      </c>
      <c r="B27279" s="38">
        <v>23010.0</v>
      </c>
      <c r="C27279" s="38" t="s">
        <v>31741</v>
      </c>
      <c r="D27279" s="38" t="str">
        <f>IFERROR(__xludf.DUMMYFUNCTION("REGEXREPLACE(C27279,""-\d+(.*)|--\d+(.*)"","""")"),"AUGERES")</f>
        <v>AUGERES</v>
      </c>
      <c r="E27279" s="38" t="s">
        <v>97</v>
      </c>
      <c r="F27279" s="38" t="s">
        <v>98</v>
      </c>
      <c r="G27279" s="49" t="str">
        <f t="shared" si="1"/>
        <v>23210</v>
      </c>
      <c r="H27279" s="49">
        <f t="shared" si="2"/>
        <v>23010</v>
      </c>
    </row>
    <row r="27280">
      <c r="A27280" s="48" t="s">
        <v>3624</v>
      </c>
      <c r="B27280" s="38">
        <v>39303.0</v>
      </c>
      <c r="C27280" s="38" t="s">
        <v>31742</v>
      </c>
      <c r="D27280" s="38" t="str">
        <f>IFERROR(__xludf.DUMMYFUNCTION("REGEXREPLACE(C27280,""-\d+(.*)|--\d+(.*)"","""")"),"LOUVENNE")</f>
        <v>LOUVENNE</v>
      </c>
      <c r="E27280" s="38" t="s">
        <v>400</v>
      </c>
      <c r="F27280" s="38" t="s">
        <v>214</v>
      </c>
      <c r="G27280" s="49" t="str">
        <f t="shared" si="1"/>
        <v>39320</v>
      </c>
      <c r="H27280" s="49">
        <f t="shared" si="2"/>
        <v>39303</v>
      </c>
    </row>
    <row r="27281">
      <c r="A27281" s="48" t="s">
        <v>7225</v>
      </c>
      <c r="B27281" s="38">
        <v>5023.0</v>
      </c>
      <c r="C27281" s="38" t="s">
        <v>31743</v>
      </c>
      <c r="D27281" s="38" t="str">
        <f>IFERROR(__xludf.DUMMYFUNCTION("REGEXREPLACE(C27281,""-\d+(.*)|--\d+(.*)"","""")"),"BRIANCON")</f>
        <v>BRIANCON</v>
      </c>
      <c r="E27281" s="38" t="s">
        <v>706</v>
      </c>
      <c r="F27281" s="38" t="s">
        <v>228</v>
      </c>
      <c r="G27281" s="49" t="str">
        <f t="shared" si="1"/>
        <v>05100</v>
      </c>
      <c r="H27281" s="49" t="str">
        <f t="shared" si="2"/>
        <v>05023</v>
      </c>
    </row>
    <row r="27282">
      <c r="A27282" s="48" t="s">
        <v>582</v>
      </c>
      <c r="B27282" s="38">
        <v>39124.0</v>
      </c>
      <c r="C27282" s="38" t="s">
        <v>31744</v>
      </c>
      <c r="D27282" s="38" t="str">
        <f>IFERROR(__xludf.DUMMYFUNCTION("REGEXREPLACE(C27282,""-\d+(.*)|--\d+(.*)"","""")"),"CHAUMERGY")</f>
        <v>CHAUMERGY</v>
      </c>
      <c r="E27282" s="38" t="s">
        <v>400</v>
      </c>
      <c r="F27282" s="38" t="s">
        <v>214</v>
      </c>
      <c r="G27282" s="49" t="str">
        <f t="shared" si="1"/>
        <v>39230</v>
      </c>
      <c r="H27282" s="49">
        <f t="shared" si="2"/>
        <v>39124</v>
      </c>
    </row>
    <row r="27283">
      <c r="A27283" s="48" t="s">
        <v>11477</v>
      </c>
      <c r="B27283" s="38">
        <v>33213.0</v>
      </c>
      <c r="C27283" s="38" t="s">
        <v>31745</v>
      </c>
      <c r="D27283" s="38" t="str">
        <f>IFERROR(__xludf.DUMMYFUNCTION("REGEXREPLACE(C27283,""-\d+(.*)|--\d+(.*)"","""")"),"LA BREDE")</f>
        <v>LA BREDE</v>
      </c>
      <c r="E27283" s="38" t="s">
        <v>462</v>
      </c>
      <c r="F27283" s="38" t="s">
        <v>252</v>
      </c>
      <c r="G27283" s="49" t="str">
        <f t="shared" si="1"/>
        <v>33650</v>
      </c>
      <c r="H27283" s="49">
        <f t="shared" si="2"/>
        <v>33213</v>
      </c>
    </row>
    <row r="27284">
      <c r="A27284" s="48" t="s">
        <v>19527</v>
      </c>
      <c r="B27284" s="38">
        <v>26149.0</v>
      </c>
      <c r="C27284" s="38" t="s">
        <v>31746</v>
      </c>
      <c r="D27284" s="38" t="str">
        <f>IFERROR(__xludf.DUMMYFUNCTION("REGEXREPLACE(C27284,""-\d+(.*)|--\d+(.*)"","""")"),"HOSTUN")</f>
        <v>HOSTUN</v>
      </c>
      <c r="E27284" s="38" t="s">
        <v>126</v>
      </c>
      <c r="F27284" s="38" t="s">
        <v>102</v>
      </c>
      <c r="G27284" s="49" t="str">
        <f t="shared" si="1"/>
        <v>26730</v>
      </c>
      <c r="H27284" s="49">
        <f t="shared" si="2"/>
        <v>26149</v>
      </c>
    </row>
    <row r="27285">
      <c r="A27285" s="48" t="s">
        <v>586</v>
      </c>
      <c r="B27285" s="38">
        <v>67494.0</v>
      </c>
      <c r="C27285" s="38" t="s">
        <v>31747</v>
      </c>
      <c r="D27285" s="38" t="str">
        <f>IFERROR(__xludf.DUMMYFUNCTION("REGEXREPLACE(C27285,""-\d+(.*)|--\d+(.*)"","""")"),"TRIMBACH")</f>
        <v>TRIMBACH</v>
      </c>
      <c r="E27285" s="38" t="s">
        <v>210</v>
      </c>
      <c r="F27285" s="38" t="s">
        <v>151</v>
      </c>
      <c r="G27285" s="49" t="str">
        <f t="shared" si="1"/>
        <v>67470</v>
      </c>
      <c r="H27285" s="49">
        <f t="shared" si="2"/>
        <v>67494</v>
      </c>
    </row>
    <row r="27286">
      <c r="A27286" s="48" t="s">
        <v>2482</v>
      </c>
      <c r="B27286" s="38">
        <v>28378.0</v>
      </c>
      <c r="C27286" s="38" t="s">
        <v>31748</v>
      </c>
      <c r="D27286" s="38" t="str">
        <f>IFERROR(__xludf.DUMMYFUNCTION("REGEXREPLACE(C27286,""-\d+(.*)|--\d+(.*)"","""")"),"SOUANCE-AU-PERCHE")</f>
        <v>SOUANCE-AU-PERCHE</v>
      </c>
      <c r="E27286" s="38" t="s">
        <v>300</v>
      </c>
      <c r="F27286" s="38" t="s">
        <v>123</v>
      </c>
      <c r="G27286" s="49" t="str">
        <f t="shared" si="1"/>
        <v>28400</v>
      </c>
      <c r="H27286" s="49">
        <f t="shared" si="2"/>
        <v>28378</v>
      </c>
    </row>
    <row r="27287">
      <c r="A27287" s="48" t="s">
        <v>31749</v>
      </c>
      <c r="B27287" s="38">
        <v>35210.0</v>
      </c>
      <c r="C27287" s="38" t="s">
        <v>31750</v>
      </c>
      <c r="D27287" s="38" t="str">
        <f>IFERROR(__xludf.DUMMYFUNCTION("REGEXREPLACE(C27287,""-\d+(.*)|--\d+(.*)"","""")"),"PACE")</f>
        <v>PACE</v>
      </c>
      <c r="E27287" s="38" t="s">
        <v>347</v>
      </c>
      <c r="F27287" s="38" t="s">
        <v>90</v>
      </c>
      <c r="G27287" s="49" t="str">
        <f t="shared" si="1"/>
        <v>35740</v>
      </c>
      <c r="H27287" s="49">
        <f t="shared" si="2"/>
        <v>35210</v>
      </c>
    </row>
    <row r="27288">
      <c r="A27288" s="48" t="s">
        <v>649</v>
      </c>
      <c r="B27288" s="38">
        <v>24271.0</v>
      </c>
      <c r="C27288" s="38" t="s">
        <v>31751</v>
      </c>
      <c r="D27288" s="38" t="str">
        <f>IFERROR(__xludf.DUMMYFUNCTION("REGEXREPLACE(C27288,""-\d+(.*)|--\d+(.*)"","""")"),"MILHAC-DE-NONTRON")</f>
        <v>MILHAC-DE-NONTRON</v>
      </c>
      <c r="E27288" s="38" t="s">
        <v>261</v>
      </c>
      <c r="F27288" s="38" t="s">
        <v>252</v>
      </c>
      <c r="G27288" s="49" t="str">
        <f t="shared" si="1"/>
        <v>24470</v>
      </c>
      <c r="H27288" s="49">
        <f t="shared" si="2"/>
        <v>24271</v>
      </c>
    </row>
    <row r="27289">
      <c r="A27289" s="48" t="s">
        <v>5777</v>
      </c>
      <c r="B27289" s="38">
        <v>74002.0</v>
      </c>
      <c r="C27289" s="38" t="s">
        <v>31752</v>
      </c>
      <c r="D27289" s="38" t="str">
        <f>IFERROR(__xludf.DUMMYFUNCTION("REGEXREPLACE(C27289,""-\d+(.*)|--\d+(.*)"","""")"),"ALBY-SUR-CHERAN")</f>
        <v>ALBY-SUR-CHERAN</v>
      </c>
      <c r="E27289" s="38" t="s">
        <v>319</v>
      </c>
      <c r="F27289" s="38" t="s">
        <v>102</v>
      </c>
      <c r="G27289" s="49" t="str">
        <f t="shared" si="1"/>
        <v>74540</v>
      </c>
      <c r="H27289" s="49">
        <f t="shared" si="2"/>
        <v>74002</v>
      </c>
    </row>
    <row r="27290">
      <c r="A27290" s="48" t="s">
        <v>1081</v>
      </c>
      <c r="B27290" s="38">
        <v>14183.0</v>
      </c>
      <c r="C27290" s="38" t="s">
        <v>31753</v>
      </c>
      <c r="D27290" s="38" t="str">
        <f>IFERROR(__xludf.DUMMYFUNCTION("REGEXREPLACE(C27290,""-\d+(.*)|--\d+(.*)"","""")"),"COSSESSEVILLE")</f>
        <v>COSSESSEVILLE</v>
      </c>
      <c r="E27290" s="38" t="s">
        <v>137</v>
      </c>
      <c r="F27290" s="38" t="s">
        <v>138</v>
      </c>
      <c r="G27290" s="49" t="str">
        <f t="shared" si="1"/>
        <v>14690</v>
      </c>
      <c r="H27290" s="49">
        <f t="shared" si="2"/>
        <v>14183</v>
      </c>
    </row>
    <row r="27291">
      <c r="A27291" s="48" t="s">
        <v>4196</v>
      </c>
      <c r="B27291" s="38">
        <v>8101.0</v>
      </c>
      <c r="C27291" s="38" t="s">
        <v>1198</v>
      </c>
      <c r="D27291" s="38" t="str">
        <f>IFERROR(__xludf.DUMMYFUNCTION("REGEXREPLACE(C27291,""-\d+(.*)|--\d+(.*)"","""")"),"LA CHAPELLE")</f>
        <v>LA CHAPELLE</v>
      </c>
      <c r="E27291" s="38" t="s">
        <v>327</v>
      </c>
      <c r="F27291" s="38" t="s">
        <v>130</v>
      </c>
      <c r="G27291" s="49" t="str">
        <f t="shared" si="1"/>
        <v>08200</v>
      </c>
      <c r="H27291" s="49" t="str">
        <f t="shared" si="2"/>
        <v>08101</v>
      </c>
    </row>
    <row r="27292">
      <c r="A27292" s="48" t="s">
        <v>8349</v>
      </c>
      <c r="B27292" s="38">
        <v>34214.0</v>
      </c>
      <c r="C27292" s="38" t="s">
        <v>31754</v>
      </c>
      <c r="D27292" s="38" t="str">
        <f>IFERROR(__xludf.DUMMYFUNCTION("REGEXREPLACE(C27292,""-\d+(.*)|--\d+(.*)"","""")"),"POUZOLLES")</f>
        <v>POUZOLLES</v>
      </c>
      <c r="E27292" s="38" t="s">
        <v>118</v>
      </c>
      <c r="F27292" s="38" t="s">
        <v>119</v>
      </c>
      <c r="G27292" s="49" t="str">
        <f t="shared" si="1"/>
        <v>34480</v>
      </c>
      <c r="H27292" s="49">
        <f t="shared" si="2"/>
        <v>34214</v>
      </c>
    </row>
    <row r="27293">
      <c r="A27293" s="48" t="s">
        <v>2128</v>
      </c>
      <c r="B27293" s="38">
        <v>2439.0</v>
      </c>
      <c r="C27293" s="38" t="s">
        <v>31755</v>
      </c>
      <c r="D27293" s="38" t="str">
        <f>IFERROR(__xludf.DUMMYFUNCTION("REGEXREPLACE(C27293,""-\d+(.*)|--\d+(.*)"","""")"),"LONGUEVAL-BARBONVAL")</f>
        <v>LONGUEVAL-BARBONVAL</v>
      </c>
      <c r="E27293" s="38" t="s">
        <v>191</v>
      </c>
      <c r="F27293" s="38" t="s">
        <v>113</v>
      </c>
      <c r="G27293" s="49" t="str">
        <f t="shared" si="1"/>
        <v>02160</v>
      </c>
      <c r="H27293" s="49" t="str">
        <f t="shared" si="2"/>
        <v>02439</v>
      </c>
    </row>
    <row r="27294">
      <c r="A27294" s="48" t="s">
        <v>16599</v>
      </c>
      <c r="B27294" s="38">
        <v>76319.0</v>
      </c>
      <c r="C27294" s="38" t="s">
        <v>31756</v>
      </c>
      <c r="D27294" s="38" t="str">
        <f>IFERROR(__xludf.DUMMYFUNCTION("REGEXREPLACE(C27294,""-\d+(.*)|--\d+(.*)"","""")"),"GRAND-COURONNE")</f>
        <v>GRAND-COURONNE</v>
      </c>
      <c r="E27294" s="38" t="s">
        <v>133</v>
      </c>
      <c r="F27294" s="38" t="s">
        <v>134</v>
      </c>
      <c r="G27294" s="49" t="str">
        <f t="shared" si="1"/>
        <v>76530</v>
      </c>
      <c r="H27294" s="49">
        <f t="shared" si="2"/>
        <v>76319</v>
      </c>
    </row>
    <row r="27295">
      <c r="A27295" s="48" t="s">
        <v>1118</v>
      </c>
      <c r="B27295" s="38">
        <v>50204.0</v>
      </c>
      <c r="C27295" s="38" t="s">
        <v>11728</v>
      </c>
      <c r="D27295" s="38" t="str">
        <f>IFERROR(__xludf.DUMMYFUNCTION("REGEXREPLACE(C27295,""-\d+(.*)|--\d+(.*)"","""")"),"GLATIGNY")</f>
        <v>GLATIGNY</v>
      </c>
      <c r="E27295" s="38" t="s">
        <v>157</v>
      </c>
      <c r="F27295" s="38" t="s">
        <v>138</v>
      </c>
      <c r="G27295" s="49" t="str">
        <f t="shared" si="1"/>
        <v>50250</v>
      </c>
      <c r="H27295" s="49">
        <f t="shared" si="2"/>
        <v>50204</v>
      </c>
    </row>
    <row r="27296">
      <c r="A27296" s="48" t="s">
        <v>8600</v>
      </c>
      <c r="B27296" s="38">
        <v>68342.0</v>
      </c>
      <c r="C27296" s="38" t="s">
        <v>31757</v>
      </c>
      <c r="D27296" s="38" t="str">
        <f>IFERROR(__xludf.DUMMYFUNCTION("REGEXREPLACE(C27296,""-\d+(.*)|--\d+(.*)"","""")"),"UFFHOLTZ")</f>
        <v>UFFHOLTZ</v>
      </c>
      <c r="E27296" s="38" t="s">
        <v>150</v>
      </c>
      <c r="F27296" s="38" t="s">
        <v>151</v>
      </c>
      <c r="G27296" s="49" t="str">
        <f t="shared" si="1"/>
        <v>68700</v>
      </c>
      <c r="H27296" s="49">
        <f t="shared" si="2"/>
        <v>68342</v>
      </c>
    </row>
    <row r="27297">
      <c r="A27297" s="48" t="s">
        <v>398</v>
      </c>
      <c r="B27297" s="38">
        <v>39391.0</v>
      </c>
      <c r="C27297" s="38" t="s">
        <v>31758</v>
      </c>
      <c r="D27297" s="38" t="str">
        <f>IFERROR(__xludf.DUMMYFUNCTION("REGEXREPLACE(C27297,""-\d+(.*)|--\d+(.*)"","""")"),"NOZEROY")</f>
        <v>NOZEROY</v>
      </c>
      <c r="E27297" s="38" t="s">
        <v>400</v>
      </c>
      <c r="F27297" s="38" t="s">
        <v>214</v>
      </c>
      <c r="G27297" s="49" t="str">
        <f t="shared" si="1"/>
        <v>39250</v>
      </c>
      <c r="H27297" s="49">
        <f t="shared" si="2"/>
        <v>39391</v>
      </c>
    </row>
    <row r="27298">
      <c r="A27298" s="48" t="s">
        <v>1345</v>
      </c>
      <c r="B27298" s="38">
        <v>46049.0</v>
      </c>
      <c r="C27298" s="38" t="s">
        <v>31759</v>
      </c>
      <c r="D27298" s="38" t="str">
        <f>IFERROR(__xludf.DUMMYFUNCTION("REGEXREPLACE(C27298,""-\d+(.*)|--\d+(.*)"","""")"),"CALVIGNAC")</f>
        <v>CALVIGNAC</v>
      </c>
      <c r="E27298" s="38" t="s">
        <v>185</v>
      </c>
      <c r="F27298" s="38" t="s">
        <v>94</v>
      </c>
      <c r="G27298" s="49" t="str">
        <f t="shared" si="1"/>
        <v>46160</v>
      </c>
      <c r="H27298" s="49">
        <f t="shared" si="2"/>
        <v>46049</v>
      </c>
    </row>
    <row r="27299">
      <c r="A27299" s="48" t="s">
        <v>1199</v>
      </c>
      <c r="B27299" s="38">
        <v>55436.0</v>
      </c>
      <c r="C27299" s="38" t="s">
        <v>31760</v>
      </c>
      <c r="D27299" s="38" t="str">
        <f>IFERROR(__xludf.DUMMYFUNCTION("REGEXREPLACE(C27299,""-\d+(.*)|--\d+(.*)"","""")"),"LES ROISES")</f>
        <v>LES ROISES</v>
      </c>
      <c r="E27299" s="38" t="s">
        <v>322</v>
      </c>
      <c r="F27299" s="38" t="s">
        <v>195</v>
      </c>
      <c r="G27299" s="49" t="str">
        <f t="shared" si="1"/>
        <v>55130</v>
      </c>
      <c r="H27299" s="49">
        <f t="shared" si="2"/>
        <v>55436</v>
      </c>
    </row>
    <row r="27300">
      <c r="A27300" s="48" t="s">
        <v>2340</v>
      </c>
      <c r="B27300" s="38">
        <v>21306.0</v>
      </c>
      <c r="C27300" s="38" t="s">
        <v>31761</v>
      </c>
      <c r="D27300" s="38" t="str">
        <f>IFERROR(__xludf.DUMMYFUNCTION("REGEXREPLACE(C27300,""-\d+(.*)|--\d+(.*)"","""")"),"GRENANT-LES-SOMBERNON")</f>
        <v>GRENANT-LES-SOMBERNON</v>
      </c>
      <c r="E27300" s="38" t="s">
        <v>105</v>
      </c>
      <c r="F27300" s="38" t="s">
        <v>106</v>
      </c>
      <c r="G27300" s="49" t="str">
        <f t="shared" si="1"/>
        <v>21540</v>
      </c>
      <c r="H27300" s="49">
        <f t="shared" si="2"/>
        <v>21306</v>
      </c>
    </row>
    <row r="27301">
      <c r="A27301" s="48" t="s">
        <v>1018</v>
      </c>
      <c r="B27301" s="38">
        <v>60239.0</v>
      </c>
      <c r="C27301" s="38" t="s">
        <v>1076</v>
      </c>
      <c r="D27301" s="38" t="str">
        <f>IFERROR(__xludf.DUMMYFUNCTION("REGEXREPLACE(C27301,""-\d+(.*)|--\d+(.*)"","""")"),"FLEURY")</f>
        <v>FLEURY</v>
      </c>
      <c r="E27301" s="38" t="s">
        <v>112</v>
      </c>
      <c r="F27301" s="38" t="s">
        <v>113</v>
      </c>
      <c r="G27301" s="49" t="str">
        <f t="shared" si="1"/>
        <v>60240</v>
      </c>
      <c r="H27301" s="49">
        <f t="shared" si="2"/>
        <v>60239</v>
      </c>
    </row>
    <row r="27302">
      <c r="A27302" s="48" t="s">
        <v>3283</v>
      </c>
      <c r="B27302" s="38">
        <v>52061.0</v>
      </c>
      <c r="C27302" s="38" t="s">
        <v>31762</v>
      </c>
      <c r="D27302" s="38" t="str">
        <f>IFERROR(__xludf.DUMMYFUNCTION("REGEXREPLACE(C27302,""-\d+(.*)|--\d+(.*)"","""")"),"BOURDONS-SUR-ROGNON")</f>
        <v>BOURDONS-SUR-ROGNON</v>
      </c>
      <c r="E27302" s="38" t="s">
        <v>234</v>
      </c>
      <c r="F27302" s="38" t="s">
        <v>130</v>
      </c>
      <c r="G27302" s="49" t="str">
        <f t="shared" si="1"/>
        <v>52700</v>
      </c>
      <c r="H27302" s="49">
        <f t="shared" si="2"/>
        <v>52061</v>
      </c>
    </row>
    <row r="27303">
      <c r="A27303" s="48" t="s">
        <v>8374</v>
      </c>
      <c r="B27303" s="38">
        <v>85248.0</v>
      </c>
      <c r="C27303" s="38" t="s">
        <v>31763</v>
      </c>
      <c r="D27303" s="38" t="str">
        <f>IFERROR(__xludf.DUMMYFUNCTION("REGEXREPLACE(C27303,""-\d+(.*)|--\d+(.*)"","""")"),"SAINT-MARTIN-LARS-EN-SAINTE-HERMINE")</f>
        <v>SAINT-MARTIN-LARS-EN-SAINTE-HERMINE</v>
      </c>
      <c r="E27303" s="38" t="s">
        <v>179</v>
      </c>
      <c r="F27303" s="38" t="s">
        <v>180</v>
      </c>
      <c r="G27303" s="49" t="str">
        <f t="shared" si="1"/>
        <v>85210</v>
      </c>
      <c r="H27303" s="49">
        <f t="shared" si="2"/>
        <v>85248</v>
      </c>
    </row>
    <row r="27304">
      <c r="A27304" s="48" t="s">
        <v>19732</v>
      </c>
      <c r="B27304" s="38">
        <v>16370.0</v>
      </c>
      <c r="C27304" s="38" t="s">
        <v>31764</v>
      </c>
      <c r="D27304" s="38" t="str">
        <f>IFERROR(__xludf.DUMMYFUNCTION("REGEXREPLACE(C27304,""-\d+(.*)|--\d+(.*)"","""")"),"SIREUIL")</f>
        <v>SIREUIL</v>
      </c>
      <c r="E27304" s="38" t="s">
        <v>429</v>
      </c>
      <c r="F27304" s="38" t="s">
        <v>338</v>
      </c>
      <c r="G27304" s="49" t="str">
        <f t="shared" si="1"/>
        <v>16440</v>
      </c>
      <c r="H27304" s="49">
        <f t="shared" si="2"/>
        <v>16370</v>
      </c>
    </row>
    <row r="27305">
      <c r="A27305" s="48" t="s">
        <v>15028</v>
      </c>
      <c r="B27305" s="38">
        <v>79260.0</v>
      </c>
      <c r="C27305" s="38" t="s">
        <v>31765</v>
      </c>
      <c r="D27305" s="38" t="str">
        <f>IFERROR(__xludf.DUMMYFUNCTION("REGEXREPLACE(C27305,""-\d+(.*)|--\d+(.*)"","""")"),"SAINT-JOUIN-DE-MARNES")</f>
        <v>SAINT-JOUIN-DE-MARNES</v>
      </c>
      <c r="E27305" s="38" t="s">
        <v>337</v>
      </c>
      <c r="F27305" s="38" t="s">
        <v>338</v>
      </c>
      <c r="G27305" s="49" t="str">
        <f t="shared" si="1"/>
        <v>79600</v>
      </c>
      <c r="H27305" s="49">
        <f t="shared" si="2"/>
        <v>79260</v>
      </c>
    </row>
    <row r="27306">
      <c r="A27306" s="48" t="s">
        <v>6023</v>
      </c>
      <c r="B27306" s="38">
        <v>63470.0</v>
      </c>
      <c r="C27306" s="38" t="s">
        <v>31766</v>
      </c>
      <c r="D27306" s="38" t="str">
        <f>IFERROR(__xludf.DUMMYFUNCTION("REGEXREPLACE(C27306,""-\d+(.*)|--\d+(.*)"","""")"),"VOLVIC")</f>
        <v>VOLVIC</v>
      </c>
      <c r="E27306" s="38" t="s">
        <v>353</v>
      </c>
      <c r="F27306" s="38" t="s">
        <v>161</v>
      </c>
      <c r="G27306" s="49" t="str">
        <f t="shared" si="1"/>
        <v>63530</v>
      </c>
      <c r="H27306" s="49">
        <f t="shared" si="2"/>
        <v>63470</v>
      </c>
    </row>
    <row r="27307">
      <c r="A27307" s="48" t="s">
        <v>27707</v>
      </c>
      <c r="B27307" s="38">
        <v>69069.0</v>
      </c>
      <c r="C27307" s="38" t="s">
        <v>31767</v>
      </c>
      <c r="D27307" s="38" t="str">
        <f>IFERROR(__xludf.DUMMYFUNCTION("REGEXREPLACE(C27307,""-\d+(.*)|--\d+(.*)"","""")"),"CRAPONNE")</f>
        <v>CRAPONNE</v>
      </c>
      <c r="E27307" s="38" t="s">
        <v>350</v>
      </c>
      <c r="F27307" s="38" t="s">
        <v>102</v>
      </c>
      <c r="G27307" s="49" t="str">
        <f t="shared" si="1"/>
        <v>69290</v>
      </c>
      <c r="H27307" s="49">
        <f t="shared" si="2"/>
        <v>69069</v>
      </c>
    </row>
    <row r="27308">
      <c r="A27308" s="48" t="s">
        <v>3434</v>
      </c>
      <c r="B27308" s="38">
        <v>11371.0</v>
      </c>
      <c r="C27308" s="38" t="s">
        <v>31768</v>
      </c>
      <c r="D27308" s="38" t="str">
        <f>IFERROR(__xludf.DUMMYFUNCTION("REGEXREPLACE(C27308,""-\d+(.*)|--\d+(.*)"","""")"),"SALLES-SUR-L'HERS")</f>
        <v>SALLES-SUR-L'HERS</v>
      </c>
      <c r="E27308" s="38" t="s">
        <v>278</v>
      </c>
      <c r="F27308" s="38" t="s">
        <v>119</v>
      </c>
      <c r="G27308" s="49" t="str">
        <f t="shared" si="1"/>
        <v>11410</v>
      </c>
      <c r="H27308" s="49">
        <f t="shared" si="2"/>
        <v>11371</v>
      </c>
    </row>
    <row r="27309">
      <c r="A27309" s="48" t="s">
        <v>3598</v>
      </c>
      <c r="B27309" s="38">
        <v>7107.0</v>
      </c>
      <c r="C27309" s="38" t="s">
        <v>31769</v>
      </c>
      <c r="D27309" s="38" t="str">
        <f>IFERROR(__xludf.DUMMYFUNCTION("REGEXREPLACE(C27309,""-\d+(.*)|--\d+(.*)"","""")"),"JAUJAC")</f>
        <v>JAUJAC</v>
      </c>
      <c r="E27309" s="38" t="s">
        <v>144</v>
      </c>
      <c r="F27309" s="38" t="s">
        <v>102</v>
      </c>
      <c r="G27309" s="49" t="str">
        <f t="shared" si="1"/>
        <v>07380</v>
      </c>
      <c r="H27309" s="49" t="str">
        <f t="shared" si="2"/>
        <v>07107</v>
      </c>
    </row>
    <row r="27310">
      <c r="A27310" s="48" t="s">
        <v>4895</v>
      </c>
      <c r="B27310" s="38">
        <v>34307.0</v>
      </c>
      <c r="C27310" s="38" t="s">
        <v>31770</v>
      </c>
      <c r="D27310" s="38" t="str">
        <f>IFERROR(__xludf.DUMMYFUNCTION("REGEXREPLACE(C27310,""-\d+(.*)|--\d+(.*)"","""")"),"SUSSARGUES")</f>
        <v>SUSSARGUES</v>
      </c>
      <c r="E27310" s="38" t="s">
        <v>118</v>
      </c>
      <c r="F27310" s="38" t="s">
        <v>119</v>
      </c>
      <c r="G27310" s="49" t="str">
        <f t="shared" si="1"/>
        <v>34160</v>
      </c>
      <c r="H27310" s="49">
        <f t="shared" si="2"/>
        <v>34307</v>
      </c>
    </row>
    <row r="27311">
      <c r="A27311" s="48" t="s">
        <v>1046</v>
      </c>
      <c r="B27311" s="38">
        <v>26108.0</v>
      </c>
      <c r="C27311" s="38" t="s">
        <v>31771</v>
      </c>
      <c r="D27311" s="38" t="str">
        <f>IFERROR(__xludf.DUMMYFUNCTION("REGEXREPLACE(C27311,""-\d+(.*)|--\d+(.*)"","""")"),"CREST")</f>
        <v>CREST</v>
      </c>
      <c r="E27311" s="38" t="s">
        <v>126</v>
      </c>
      <c r="F27311" s="38" t="s">
        <v>102</v>
      </c>
      <c r="G27311" s="49" t="str">
        <f t="shared" si="1"/>
        <v>26400</v>
      </c>
      <c r="H27311" s="49">
        <f t="shared" si="2"/>
        <v>26108</v>
      </c>
    </row>
    <row r="27312">
      <c r="A27312" s="48" t="s">
        <v>18706</v>
      </c>
      <c r="B27312" s="38">
        <v>54352.0</v>
      </c>
      <c r="C27312" s="38" t="s">
        <v>3453</v>
      </c>
      <c r="D27312" s="38" t="str">
        <f>IFERROR(__xludf.DUMMYFUNCTION("REGEXREPLACE(C27312,""-\d+(.*)|--\d+(.*)"","""")"),"MARON")</f>
        <v>MARON</v>
      </c>
      <c r="E27312" s="38" t="s">
        <v>548</v>
      </c>
      <c r="F27312" s="38" t="s">
        <v>195</v>
      </c>
      <c r="G27312" s="49" t="str">
        <f t="shared" si="1"/>
        <v>54230</v>
      </c>
      <c r="H27312" s="49">
        <f t="shared" si="2"/>
        <v>54352</v>
      </c>
    </row>
    <row r="27313">
      <c r="A27313" s="48" t="s">
        <v>964</v>
      </c>
      <c r="B27313" s="38">
        <v>71283.0</v>
      </c>
      <c r="C27313" s="38" t="s">
        <v>16679</v>
      </c>
      <c r="D27313" s="38" t="str">
        <f>IFERROR(__xludf.DUMMYFUNCTION("REGEXREPLACE(C27313,""-\d+(.*)|--\d+(.*)"","""")"),"MARNAY")</f>
        <v>MARNAY</v>
      </c>
      <c r="E27313" s="38" t="s">
        <v>344</v>
      </c>
      <c r="F27313" s="38" t="s">
        <v>106</v>
      </c>
      <c r="G27313" s="49" t="str">
        <f t="shared" si="1"/>
        <v>71240</v>
      </c>
      <c r="H27313" s="49">
        <f t="shared" si="2"/>
        <v>71283</v>
      </c>
    </row>
    <row r="27314">
      <c r="A27314" s="48" t="s">
        <v>3532</v>
      </c>
      <c r="B27314" s="38">
        <v>2170.0</v>
      </c>
      <c r="C27314" s="38" t="s">
        <v>31772</v>
      </c>
      <c r="D27314" s="38" t="str">
        <f>IFERROR(__xludf.DUMMYFUNCTION("REGEXREPLACE(C27314,""-\d+(.*)|--\d+(.*)"","""")"),"CHATILLON-SUR-OISE")</f>
        <v>CHATILLON-SUR-OISE</v>
      </c>
      <c r="E27314" s="38" t="s">
        <v>191</v>
      </c>
      <c r="F27314" s="38" t="s">
        <v>113</v>
      </c>
      <c r="G27314" s="49" t="str">
        <f t="shared" si="1"/>
        <v>02240</v>
      </c>
      <c r="H27314" s="49" t="str">
        <f t="shared" si="2"/>
        <v>02170</v>
      </c>
    </row>
    <row r="27315">
      <c r="A27315" s="48" t="s">
        <v>4088</v>
      </c>
      <c r="B27315" s="38">
        <v>39118.0</v>
      </c>
      <c r="C27315" s="38" t="s">
        <v>31773</v>
      </c>
      <c r="D27315" s="38" t="str">
        <f>IFERROR(__xludf.DUMMYFUNCTION("REGEXREPLACE(C27315,""-\d+(.*)|--\d+(.*)"","""")"),"CHATEL-DE-JOUX")</f>
        <v>CHATEL-DE-JOUX</v>
      </c>
      <c r="E27315" s="38" t="s">
        <v>400</v>
      </c>
      <c r="F27315" s="38" t="s">
        <v>214</v>
      </c>
      <c r="G27315" s="49" t="str">
        <f t="shared" si="1"/>
        <v>39130</v>
      </c>
      <c r="H27315" s="49">
        <f t="shared" si="2"/>
        <v>39118</v>
      </c>
    </row>
    <row r="27316">
      <c r="A27316" s="48" t="s">
        <v>1288</v>
      </c>
      <c r="B27316" s="38">
        <v>64443.0</v>
      </c>
      <c r="C27316" s="38" t="s">
        <v>31774</v>
      </c>
      <c r="D27316" s="38" t="str">
        <f>IFERROR(__xludf.DUMMYFUNCTION("REGEXREPLACE(C27316,""-\d+(.*)|--\d+(.*)"","""")"),"PARDIES")</f>
        <v>PARDIES</v>
      </c>
      <c r="E27316" s="38" t="s">
        <v>268</v>
      </c>
      <c r="F27316" s="38" t="s">
        <v>252</v>
      </c>
      <c r="G27316" s="49" t="str">
        <f t="shared" si="1"/>
        <v>64150</v>
      </c>
      <c r="H27316" s="49">
        <f t="shared" si="2"/>
        <v>64443</v>
      </c>
    </row>
    <row r="27317">
      <c r="A27317" s="48" t="s">
        <v>5078</v>
      </c>
      <c r="B27317" s="38">
        <v>47007.0</v>
      </c>
      <c r="C27317" s="38" t="s">
        <v>10888</v>
      </c>
      <c r="D27317" s="38" t="str">
        <f>IFERROR(__xludf.DUMMYFUNCTION("REGEXREPLACE(C27317,""-\d+(.*)|--\d+(.*)"","""")"),"ALLONS")</f>
        <v>ALLONS</v>
      </c>
      <c r="E27317" s="38" t="s">
        <v>251</v>
      </c>
      <c r="F27317" s="38" t="s">
        <v>252</v>
      </c>
      <c r="G27317" s="49" t="str">
        <f t="shared" si="1"/>
        <v>47420</v>
      </c>
      <c r="H27317" s="49">
        <f t="shared" si="2"/>
        <v>47007</v>
      </c>
    </row>
    <row r="27318">
      <c r="A27318" s="48" t="s">
        <v>19713</v>
      </c>
      <c r="B27318" s="38">
        <v>56158.0</v>
      </c>
      <c r="C27318" s="38" t="s">
        <v>31775</v>
      </c>
      <c r="D27318" s="38" t="str">
        <f>IFERROR(__xludf.DUMMYFUNCTION("REGEXREPLACE(C27318,""-\d+(.*)|--\d+(.*)"","""")"),"PLESCOP")</f>
        <v>PLESCOP</v>
      </c>
      <c r="E27318" s="38" t="s">
        <v>173</v>
      </c>
      <c r="F27318" s="38" t="s">
        <v>90</v>
      </c>
      <c r="G27318" s="49" t="str">
        <f t="shared" si="1"/>
        <v>56890</v>
      </c>
      <c r="H27318" s="49">
        <f t="shared" si="2"/>
        <v>56158</v>
      </c>
    </row>
    <row r="27319">
      <c r="A27319" s="48" t="s">
        <v>7657</v>
      </c>
      <c r="B27319" s="38">
        <v>80122.0</v>
      </c>
      <c r="C27319" s="38" t="s">
        <v>31776</v>
      </c>
      <c r="D27319" s="38" t="str">
        <f>IFERROR(__xludf.DUMMYFUNCTION("REGEXREPLACE(C27319,""-\d+(.*)|--\d+(.*)"","""")"),"BOUQUEMAISON")</f>
        <v>BOUQUEMAISON</v>
      </c>
      <c r="E27319" s="38" t="s">
        <v>224</v>
      </c>
      <c r="F27319" s="38" t="s">
        <v>113</v>
      </c>
      <c r="G27319" s="49" t="str">
        <f t="shared" si="1"/>
        <v>80600</v>
      </c>
      <c r="H27319" s="49">
        <f t="shared" si="2"/>
        <v>80122</v>
      </c>
    </row>
    <row r="27320">
      <c r="A27320" s="48" t="s">
        <v>1621</v>
      </c>
      <c r="B27320" s="38">
        <v>64473.0</v>
      </c>
      <c r="C27320" s="38" t="s">
        <v>31777</v>
      </c>
      <c r="D27320" s="38" t="str">
        <f>IFERROR(__xludf.DUMMYFUNCTION("REGEXREPLACE(C27320,""-\d+(.*)|--\d+(.*)"","""")"),"SAINTE-COLOME")</f>
        <v>SAINTE-COLOME</v>
      </c>
      <c r="E27320" s="38" t="s">
        <v>268</v>
      </c>
      <c r="F27320" s="38" t="s">
        <v>252</v>
      </c>
      <c r="G27320" s="49" t="str">
        <f t="shared" si="1"/>
        <v>64260</v>
      </c>
      <c r="H27320" s="49">
        <f t="shared" si="2"/>
        <v>64473</v>
      </c>
    </row>
    <row r="27321">
      <c r="A27321" s="48" t="s">
        <v>12671</v>
      </c>
      <c r="B27321" s="38">
        <v>60196.0</v>
      </c>
      <c r="C27321" s="38" t="s">
        <v>31778</v>
      </c>
      <c r="D27321" s="38" t="str">
        <f>IFERROR(__xludf.DUMMYFUNCTION("REGEXREPLACE(C27321,""-\d+(.*)|--\d+(.*)"","""")"),"LE DELUGE")</f>
        <v>LE DELUGE</v>
      </c>
      <c r="E27321" s="38" t="s">
        <v>112</v>
      </c>
      <c r="F27321" s="38" t="s">
        <v>113</v>
      </c>
      <c r="G27321" s="49" t="str">
        <f t="shared" si="1"/>
        <v>60790</v>
      </c>
      <c r="H27321" s="49">
        <f t="shared" si="2"/>
        <v>60196</v>
      </c>
    </row>
    <row r="27322">
      <c r="A27322" s="48" t="s">
        <v>2103</v>
      </c>
      <c r="B27322" s="38">
        <v>54595.0</v>
      </c>
      <c r="C27322" s="38" t="s">
        <v>31779</v>
      </c>
      <c r="D27322" s="38" t="str">
        <f>IFERROR(__xludf.DUMMYFUNCTION("REGEXREPLACE(C27322,""-\d+(.*)|--\d+(.*)"","""")"),"XERMAMENIL")</f>
        <v>XERMAMENIL</v>
      </c>
      <c r="E27322" s="38" t="s">
        <v>548</v>
      </c>
      <c r="F27322" s="38" t="s">
        <v>195</v>
      </c>
      <c r="G27322" s="49" t="str">
        <f t="shared" si="1"/>
        <v>54300</v>
      </c>
      <c r="H27322" s="49">
        <f t="shared" si="2"/>
        <v>54595</v>
      </c>
    </row>
    <row r="27323">
      <c r="A27323" s="48" t="s">
        <v>9556</v>
      </c>
      <c r="B27323" s="38">
        <v>60193.0</v>
      </c>
      <c r="C27323" s="38" t="s">
        <v>31780</v>
      </c>
      <c r="D27323" s="38" t="str">
        <f>IFERROR(__xludf.DUMMYFUNCTION("REGEXREPLACE(C27323,""-\d+(.*)|--\d+(.*)"","""")"),"DAMERAUCOURT")</f>
        <v>DAMERAUCOURT</v>
      </c>
      <c r="E27323" s="38" t="s">
        <v>112</v>
      </c>
      <c r="F27323" s="38" t="s">
        <v>113</v>
      </c>
      <c r="G27323" s="49" t="str">
        <f t="shared" si="1"/>
        <v>60210</v>
      </c>
      <c r="H27323" s="49">
        <f t="shared" si="2"/>
        <v>60193</v>
      </c>
    </row>
    <row r="27324">
      <c r="A27324" s="48" t="s">
        <v>6129</v>
      </c>
      <c r="B27324" s="38">
        <v>67213.0</v>
      </c>
      <c r="C27324" s="38" t="s">
        <v>31781</v>
      </c>
      <c r="D27324" s="38" t="str">
        <f>IFERROR(__xludf.DUMMYFUNCTION("REGEXREPLACE(C27324,""-\d+(.*)|--\d+(.*)"","""")"),"HUNSPACH")</f>
        <v>HUNSPACH</v>
      </c>
      <c r="E27324" s="38" t="s">
        <v>210</v>
      </c>
      <c r="F27324" s="38" t="s">
        <v>151</v>
      </c>
      <c r="G27324" s="49" t="str">
        <f t="shared" si="1"/>
        <v>67250</v>
      </c>
      <c r="H27324" s="49">
        <f t="shared" si="2"/>
        <v>67213</v>
      </c>
    </row>
    <row r="27325">
      <c r="A27325" s="48" t="s">
        <v>382</v>
      </c>
      <c r="B27325" s="38">
        <v>47186.0</v>
      </c>
      <c r="C27325" s="38" t="s">
        <v>21695</v>
      </c>
      <c r="D27325" s="38" t="str">
        <f>IFERROR(__xludf.DUMMYFUNCTION("REGEXREPLACE(C27325,""-\d+(.*)|--\d+(.*)"","""")"),"MONTESQUIEU")</f>
        <v>MONTESQUIEU</v>
      </c>
      <c r="E27325" s="38" t="s">
        <v>251</v>
      </c>
      <c r="F27325" s="38" t="s">
        <v>252</v>
      </c>
      <c r="G27325" s="49" t="str">
        <f t="shared" si="1"/>
        <v>47130</v>
      </c>
      <c r="H27325" s="49">
        <f t="shared" si="2"/>
        <v>47186</v>
      </c>
    </row>
    <row r="27326">
      <c r="A27326" s="48" t="s">
        <v>4364</v>
      </c>
      <c r="B27326" s="38">
        <v>78385.0</v>
      </c>
      <c r="C27326" s="38" t="s">
        <v>31782</v>
      </c>
      <c r="D27326" s="38" t="str">
        <f>IFERROR(__xludf.DUMMYFUNCTION("REGEXREPLACE(C27326,""-\d+(.*)|--\d+(.*)"","""")"),"MENERVILLE")</f>
        <v>MENERVILLE</v>
      </c>
      <c r="E27326" s="38" t="s">
        <v>362</v>
      </c>
      <c r="F27326" s="38" t="s">
        <v>245</v>
      </c>
      <c r="G27326" s="49" t="str">
        <f t="shared" si="1"/>
        <v>78200</v>
      </c>
      <c r="H27326" s="49">
        <f t="shared" si="2"/>
        <v>78385</v>
      </c>
    </row>
    <row r="27327">
      <c r="A27327" s="48" t="s">
        <v>31783</v>
      </c>
      <c r="B27327" s="38">
        <v>94034.0</v>
      </c>
      <c r="C27327" s="38" t="s">
        <v>1767</v>
      </c>
      <c r="D27327" s="38" t="str">
        <f>IFERROR(__xludf.DUMMYFUNCTION("REGEXREPLACE(C27327,""-\d+(.*)|--\d+(.*)"","""")"),"FRESNES")</f>
        <v>FRESNES</v>
      </c>
      <c r="E27327" s="38" t="s">
        <v>561</v>
      </c>
      <c r="F27327" s="38" t="s">
        <v>245</v>
      </c>
      <c r="G27327" s="49" t="str">
        <f t="shared" si="1"/>
        <v>94260</v>
      </c>
      <c r="H27327" s="49">
        <f t="shared" si="2"/>
        <v>94034</v>
      </c>
    </row>
    <row r="27328">
      <c r="A27328" s="48" t="s">
        <v>1272</v>
      </c>
      <c r="B27328" s="38">
        <v>51371.0</v>
      </c>
      <c r="C27328" s="38" t="s">
        <v>31784</v>
      </c>
      <c r="D27328" s="38" t="str">
        <f>IFERROR(__xludf.DUMMYFUNCTION("REGEXREPLACE(C27328,""-\d+(.*)|--\d+(.*)"","""")"),"MOIVRE")</f>
        <v>MOIVRE</v>
      </c>
      <c r="E27328" s="38" t="s">
        <v>129</v>
      </c>
      <c r="F27328" s="38" t="s">
        <v>130</v>
      </c>
      <c r="G27328" s="49" t="str">
        <f t="shared" si="1"/>
        <v>51240</v>
      </c>
      <c r="H27328" s="49">
        <f t="shared" si="2"/>
        <v>51371</v>
      </c>
    </row>
    <row r="27329">
      <c r="A27329" s="48" t="s">
        <v>3753</v>
      </c>
      <c r="B27329" s="38">
        <v>18119.0</v>
      </c>
      <c r="C27329" s="38" t="s">
        <v>31785</v>
      </c>
      <c r="D27329" s="38" t="str">
        <f>IFERROR(__xludf.DUMMYFUNCTION("REGEXREPLACE(C27329,""-\d+(.*)|--\d+(.*)"","""")"),"JUSSY-CHAMPAGNE")</f>
        <v>JUSSY-CHAMPAGNE</v>
      </c>
      <c r="E27329" s="38" t="s">
        <v>504</v>
      </c>
      <c r="F27329" s="38" t="s">
        <v>123</v>
      </c>
      <c r="G27329" s="49" t="str">
        <f t="shared" si="1"/>
        <v>18130</v>
      </c>
      <c r="H27329" s="49">
        <f t="shared" si="2"/>
        <v>18119</v>
      </c>
    </row>
    <row r="27330">
      <c r="A27330" s="48" t="s">
        <v>31786</v>
      </c>
      <c r="B27330" s="38">
        <v>69278.0</v>
      </c>
      <c r="C27330" s="38" t="s">
        <v>31787</v>
      </c>
      <c r="D27330" s="38" t="str">
        <f>IFERROR(__xludf.DUMMYFUNCTION("REGEXREPLACE(C27330,""-\d+(.*)|--\d+(.*)"","""")"),"GENAY")</f>
        <v>GENAY</v>
      </c>
      <c r="E27330" s="38" t="s">
        <v>350</v>
      </c>
      <c r="F27330" s="38" t="s">
        <v>102</v>
      </c>
      <c r="G27330" s="49" t="str">
        <f t="shared" si="1"/>
        <v>69730</v>
      </c>
      <c r="H27330" s="49">
        <f t="shared" si="2"/>
        <v>69278</v>
      </c>
    </row>
    <row r="27331">
      <c r="A27331" s="48" t="s">
        <v>31788</v>
      </c>
      <c r="B27331" s="38">
        <v>13208.0</v>
      </c>
      <c r="C27331" s="38" t="s">
        <v>31789</v>
      </c>
      <c r="D27331" s="38" t="str">
        <f>IFERROR(__xludf.DUMMYFUNCTION("REGEXREPLACE(C27331,""-\d+(.*)|--\d+(.*)"","""")"),"MARSEILLE")</f>
        <v>MARSEILLE</v>
      </c>
      <c r="E27331" s="38" t="s">
        <v>980</v>
      </c>
      <c r="F27331" s="38" t="s">
        <v>228</v>
      </c>
      <c r="G27331" s="49" t="str">
        <f t="shared" si="1"/>
        <v>13008</v>
      </c>
      <c r="H27331" s="49">
        <f t="shared" si="2"/>
        <v>13208</v>
      </c>
    </row>
    <row r="27332">
      <c r="A27332" s="48" t="s">
        <v>3898</v>
      </c>
      <c r="B27332" s="38">
        <v>65344.0</v>
      </c>
      <c r="C27332" s="38" t="s">
        <v>31790</v>
      </c>
      <c r="D27332" s="38" t="str">
        <f>IFERROR(__xludf.DUMMYFUNCTION("REGEXREPLACE(C27332,""-\d+(.*)|--\d+(.*)"","""")"),"OSSUN")</f>
        <v>OSSUN</v>
      </c>
      <c r="E27332" s="38" t="s">
        <v>200</v>
      </c>
      <c r="F27332" s="38" t="s">
        <v>94</v>
      </c>
      <c r="G27332" s="49" t="str">
        <f t="shared" si="1"/>
        <v>65380</v>
      </c>
      <c r="H27332" s="49">
        <f t="shared" si="2"/>
        <v>65344</v>
      </c>
    </row>
    <row r="27333">
      <c r="A27333" s="48" t="s">
        <v>6316</v>
      </c>
      <c r="B27333" s="38">
        <v>50186.0</v>
      </c>
      <c r="C27333" s="38" t="s">
        <v>31791</v>
      </c>
      <c r="D27333" s="38" t="str">
        <f>IFERROR(__xludf.DUMMYFUNCTION("REGEXREPLACE(C27333,""-\d+(.*)|--\d+(.*)"","""")"),"FLOTTEMANVILLE")</f>
        <v>FLOTTEMANVILLE</v>
      </c>
      <c r="E27333" s="38" t="s">
        <v>157</v>
      </c>
      <c r="F27333" s="38" t="s">
        <v>138</v>
      </c>
      <c r="G27333" s="49" t="str">
        <f t="shared" si="1"/>
        <v>50700</v>
      </c>
      <c r="H27333" s="49">
        <f t="shared" si="2"/>
        <v>50186</v>
      </c>
    </row>
    <row r="27334">
      <c r="A27334" s="48" t="s">
        <v>10725</v>
      </c>
      <c r="B27334" s="38">
        <v>62203.0</v>
      </c>
      <c r="C27334" s="38" t="s">
        <v>31792</v>
      </c>
      <c r="D27334" s="38" t="str">
        <f>IFERROR(__xludf.DUMMYFUNCTION("REGEXREPLACE(C27334,""-\d+(.*)|--\d+(.*)"","""")"),"CAMPAGNE-LES-GUINES")</f>
        <v>CAMPAGNE-LES-GUINES</v>
      </c>
      <c r="E27334" s="38" t="s">
        <v>109</v>
      </c>
      <c r="F27334" s="38" t="s">
        <v>86</v>
      </c>
      <c r="G27334" s="49" t="str">
        <f t="shared" si="1"/>
        <v>62340</v>
      </c>
      <c r="H27334" s="49">
        <f t="shared" si="2"/>
        <v>62203</v>
      </c>
    </row>
    <row r="27335">
      <c r="A27335" s="48" t="s">
        <v>6487</v>
      </c>
      <c r="B27335" s="38">
        <v>1067.0</v>
      </c>
      <c r="C27335" s="38" t="s">
        <v>31793</v>
      </c>
      <c r="D27335" s="38" t="str">
        <f>IFERROR(__xludf.DUMMYFUNCTION("REGEXREPLACE(C27335,""-\d+(.*)|--\d+(.*)"","""")"),"CEIGNES")</f>
        <v>CEIGNES</v>
      </c>
      <c r="E27335" s="38" t="s">
        <v>255</v>
      </c>
      <c r="F27335" s="38" t="s">
        <v>102</v>
      </c>
      <c r="G27335" s="49" t="str">
        <f t="shared" si="1"/>
        <v>01430</v>
      </c>
      <c r="H27335" s="49" t="str">
        <f t="shared" si="2"/>
        <v>01067</v>
      </c>
    </row>
    <row r="27336">
      <c r="A27336" s="48" t="s">
        <v>28593</v>
      </c>
      <c r="B27336" s="38">
        <v>15155.0</v>
      </c>
      <c r="C27336" s="38" t="s">
        <v>31794</v>
      </c>
      <c r="D27336" s="38" t="str">
        <f>IFERROR(__xludf.DUMMYFUNCTION("REGEXREPLACE(C27336,""-\d+(.*)|--\d+(.*)"","""")"),"PRADIERS")</f>
        <v>PRADIERS</v>
      </c>
      <c r="E27336" s="38" t="s">
        <v>632</v>
      </c>
      <c r="F27336" s="38" t="s">
        <v>161</v>
      </c>
      <c r="G27336" s="49" t="str">
        <f t="shared" si="1"/>
        <v>15160</v>
      </c>
      <c r="H27336" s="49">
        <f t="shared" si="2"/>
        <v>15155</v>
      </c>
    </row>
    <row r="27337">
      <c r="A27337" s="48" t="s">
        <v>12491</v>
      </c>
      <c r="B27337" s="38">
        <v>21202.0</v>
      </c>
      <c r="C27337" s="38" t="s">
        <v>31795</v>
      </c>
      <c r="D27337" s="38" t="str">
        <f>IFERROR(__xludf.DUMMYFUNCTION("REGEXREPLACE(C27337,""-\d+(.*)|--\d+(.*)"","""")"),"COURBAN")</f>
        <v>COURBAN</v>
      </c>
      <c r="E27337" s="38" t="s">
        <v>105</v>
      </c>
      <c r="F27337" s="38" t="s">
        <v>106</v>
      </c>
      <c r="G27337" s="49" t="str">
        <f t="shared" si="1"/>
        <v>21520</v>
      </c>
      <c r="H27337" s="49">
        <f t="shared" si="2"/>
        <v>21202</v>
      </c>
    </row>
    <row r="27338">
      <c r="A27338" s="48" t="s">
        <v>5763</v>
      </c>
      <c r="B27338" s="38">
        <v>63228.0</v>
      </c>
      <c r="C27338" s="38" t="s">
        <v>31796</v>
      </c>
      <c r="D27338" s="38" t="str">
        <f>IFERROR(__xludf.DUMMYFUNCTION("REGEXREPLACE(C27338,""-\d+(.*)|--\d+(.*)"","""")"),"MIREMONT")</f>
        <v>MIREMONT</v>
      </c>
      <c r="E27338" s="38" t="s">
        <v>353</v>
      </c>
      <c r="F27338" s="38" t="s">
        <v>161</v>
      </c>
      <c r="G27338" s="49" t="str">
        <f t="shared" si="1"/>
        <v>63380</v>
      </c>
      <c r="H27338" s="49">
        <f t="shared" si="2"/>
        <v>63228</v>
      </c>
    </row>
    <row r="27339">
      <c r="A27339" s="48" t="s">
        <v>2575</v>
      </c>
      <c r="B27339" s="38">
        <v>91508.0</v>
      </c>
      <c r="C27339" s="38" t="s">
        <v>31797</v>
      </c>
      <c r="D27339" s="38" t="str">
        <f>IFERROR(__xludf.DUMMYFUNCTION("REGEXREPLACE(C27339,""-\d+(.*)|--\d+(.*)"","""")"),"PUISELET-LE-MARAIS")</f>
        <v>PUISELET-LE-MARAIS</v>
      </c>
      <c r="E27339" s="38" t="s">
        <v>756</v>
      </c>
      <c r="F27339" s="38" t="s">
        <v>245</v>
      </c>
      <c r="G27339" s="49" t="str">
        <f t="shared" si="1"/>
        <v>91150</v>
      </c>
      <c r="H27339" s="49">
        <f t="shared" si="2"/>
        <v>91508</v>
      </c>
    </row>
    <row r="27340">
      <c r="A27340" s="48" t="s">
        <v>744</v>
      </c>
      <c r="B27340" s="38">
        <v>14037.0</v>
      </c>
      <c r="C27340" s="38" t="s">
        <v>31798</v>
      </c>
      <c r="D27340" s="38" t="str">
        <f>IFERROR(__xludf.DUMMYFUNCTION("REGEXREPLACE(C27340,""-\d+(.*)|--\d+(.*)"","""")"),"BANNEVILLE-SUR-AJON")</f>
        <v>BANNEVILLE-SUR-AJON</v>
      </c>
      <c r="E27340" s="38" t="s">
        <v>137</v>
      </c>
      <c r="F27340" s="38" t="s">
        <v>138</v>
      </c>
      <c r="G27340" s="49" t="str">
        <f t="shared" si="1"/>
        <v>14260</v>
      </c>
      <c r="H27340" s="49">
        <f t="shared" si="2"/>
        <v>14037</v>
      </c>
    </row>
    <row r="27341">
      <c r="A27341" s="48" t="s">
        <v>2156</v>
      </c>
      <c r="B27341" s="38">
        <v>26050.0</v>
      </c>
      <c r="C27341" s="38" t="s">
        <v>31799</v>
      </c>
      <c r="D27341" s="38" t="str">
        <f>IFERROR(__xludf.DUMMYFUNCTION("REGEXREPLACE(C27341,""-\d+(.*)|--\d+(.*)"","""")"),"BESIGNAN")</f>
        <v>BESIGNAN</v>
      </c>
      <c r="E27341" s="38" t="s">
        <v>126</v>
      </c>
      <c r="F27341" s="38" t="s">
        <v>102</v>
      </c>
      <c r="G27341" s="49" t="str">
        <f t="shared" si="1"/>
        <v>26110</v>
      </c>
      <c r="H27341" s="49">
        <f t="shared" si="2"/>
        <v>26050</v>
      </c>
    </row>
    <row r="27342">
      <c r="A27342" s="48" t="s">
        <v>31800</v>
      </c>
      <c r="B27342" s="38">
        <v>73213.0</v>
      </c>
      <c r="C27342" s="38" t="s">
        <v>31801</v>
      </c>
      <c r="D27342" s="38" t="str">
        <f>IFERROR(__xludf.DUMMYFUNCTION("REGEXREPLACE(C27342,""-\d+(.*)|--\d+(.*)"","""")"),"LA RAVOIRE")</f>
        <v>LA RAVOIRE</v>
      </c>
      <c r="E27342" s="38" t="s">
        <v>306</v>
      </c>
      <c r="F27342" s="38" t="s">
        <v>102</v>
      </c>
      <c r="G27342" s="49" t="str">
        <f t="shared" si="1"/>
        <v>73490</v>
      </c>
      <c r="H27342" s="49">
        <f t="shared" si="2"/>
        <v>73213</v>
      </c>
    </row>
    <row r="27343">
      <c r="A27343" s="48" t="s">
        <v>22519</v>
      </c>
      <c r="B27343" s="38">
        <v>56201.0</v>
      </c>
      <c r="C27343" s="38" t="s">
        <v>31802</v>
      </c>
      <c r="D27343" s="38" t="str">
        <f>IFERROR(__xludf.DUMMYFUNCTION("REGEXREPLACE(C27343,""-\d+(.*)|--\d+(.*)"","""")"),"LE SAINT")</f>
        <v>LE SAINT</v>
      </c>
      <c r="E27343" s="38" t="s">
        <v>173</v>
      </c>
      <c r="F27343" s="38" t="s">
        <v>90</v>
      </c>
      <c r="G27343" s="49" t="str">
        <f t="shared" si="1"/>
        <v>56110</v>
      </c>
      <c r="H27343" s="49">
        <f t="shared" si="2"/>
        <v>56201</v>
      </c>
    </row>
    <row r="27344">
      <c r="A27344" s="48" t="s">
        <v>1579</v>
      </c>
      <c r="B27344" s="38">
        <v>63055.0</v>
      </c>
      <c r="C27344" s="38" t="s">
        <v>31803</v>
      </c>
      <c r="D27344" s="38" t="str">
        <f>IFERROR(__xludf.DUMMYFUNCTION("REGEXREPLACE(C27344,""-\d+(.*)|--\d+(.*)"","""")"),"BROMONT-LAMOTHE")</f>
        <v>BROMONT-LAMOTHE</v>
      </c>
      <c r="E27344" s="38" t="s">
        <v>353</v>
      </c>
      <c r="F27344" s="38" t="s">
        <v>161</v>
      </c>
      <c r="G27344" s="49" t="str">
        <f t="shared" si="1"/>
        <v>63230</v>
      </c>
      <c r="H27344" s="49">
        <f t="shared" si="2"/>
        <v>63055</v>
      </c>
    </row>
    <row r="27345">
      <c r="A27345" s="48" t="s">
        <v>407</v>
      </c>
      <c r="B27345" s="38">
        <v>71037.0</v>
      </c>
      <c r="C27345" s="38" t="s">
        <v>31804</v>
      </c>
      <c r="D27345" s="38" t="str">
        <f>IFERROR(__xludf.DUMMYFUNCTION("REGEXREPLACE(C27345,""-\d+(.*)|--\d+(.*)"","""")"),"BISSY-SUR-FLEY")</f>
        <v>BISSY-SUR-FLEY</v>
      </c>
      <c r="E27345" s="38" t="s">
        <v>344</v>
      </c>
      <c r="F27345" s="38" t="s">
        <v>106</v>
      </c>
      <c r="G27345" s="49" t="str">
        <f t="shared" si="1"/>
        <v>71460</v>
      </c>
      <c r="H27345" s="49">
        <f t="shared" si="2"/>
        <v>71037</v>
      </c>
    </row>
    <row r="27346">
      <c r="A27346" s="48" t="s">
        <v>30200</v>
      </c>
      <c r="B27346" s="38">
        <v>14558.0</v>
      </c>
      <c r="C27346" s="38" t="s">
        <v>31805</v>
      </c>
      <c r="D27346" s="38" t="str">
        <f>IFERROR(__xludf.DUMMYFUNCTION("REGEXREPLACE(C27346,""-\d+(.*)|--\d+(.*)"","""")"),"SAINT-AUBIN-D'ARQUENAY")</f>
        <v>SAINT-AUBIN-D'ARQUENAY</v>
      </c>
      <c r="E27346" s="38" t="s">
        <v>137</v>
      </c>
      <c r="F27346" s="38" t="s">
        <v>138</v>
      </c>
      <c r="G27346" s="49" t="str">
        <f t="shared" si="1"/>
        <v>14970</v>
      </c>
      <c r="H27346" s="49">
        <f t="shared" si="2"/>
        <v>14558</v>
      </c>
    </row>
    <row r="27347">
      <c r="A27347" s="48" t="s">
        <v>354</v>
      </c>
      <c r="B27347" s="38">
        <v>68352.0</v>
      </c>
      <c r="C27347" s="38" t="s">
        <v>31806</v>
      </c>
      <c r="D27347" s="38" t="str">
        <f>IFERROR(__xludf.DUMMYFUNCTION("REGEXREPLACE(C27347,""-\d+(.*)|--\d+(.*)"","""")"),"VOLGELSHEIM")</f>
        <v>VOLGELSHEIM</v>
      </c>
      <c r="E27347" s="38" t="s">
        <v>150</v>
      </c>
      <c r="F27347" s="38" t="s">
        <v>151</v>
      </c>
      <c r="G27347" s="49" t="str">
        <f t="shared" si="1"/>
        <v>68600</v>
      </c>
      <c r="H27347" s="49">
        <f t="shared" si="2"/>
        <v>68352</v>
      </c>
    </row>
    <row r="27348">
      <c r="A27348" s="48" t="s">
        <v>6542</v>
      </c>
      <c r="B27348" s="38">
        <v>40153.0</v>
      </c>
      <c r="C27348" s="38" t="s">
        <v>31807</v>
      </c>
      <c r="D27348" s="38" t="str">
        <f>IFERROR(__xludf.DUMMYFUNCTION("REGEXREPLACE(C27348,""-\d+(.*)|--\d+(.*)"","""")"),"LE LEUY")</f>
        <v>LE LEUY</v>
      </c>
      <c r="E27348" s="38" t="s">
        <v>281</v>
      </c>
      <c r="F27348" s="38" t="s">
        <v>252</v>
      </c>
      <c r="G27348" s="49" t="str">
        <f t="shared" si="1"/>
        <v>40250</v>
      </c>
      <c r="H27348" s="49">
        <f t="shared" si="2"/>
        <v>40153</v>
      </c>
    </row>
    <row r="27349">
      <c r="A27349" s="48" t="s">
        <v>15493</v>
      </c>
      <c r="B27349" s="38">
        <v>18007.0</v>
      </c>
      <c r="C27349" s="38" t="s">
        <v>31808</v>
      </c>
      <c r="D27349" s="38" t="str">
        <f>IFERROR(__xludf.DUMMYFUNCTION("REGEXREPLACE(C27349,""-\d+(.*)|--\d+(.*)"","""")"),"APREMONT-SUR-ALLIER")</f>
        <v>APREMONT-SUR-ALLIER</v>
      </c>
      <c r="E27349" s="38" t="s">
        <v>504</v>
      </c>
      <c r="F27349" s="38" t="s">
        <v>123</v>
      </c>
      <c r="G27349" s="49" t="str">
        <f t="shared" si="1"/>
        <v>18150</v>
      </c>
      <c r="H27349" s="49">
        <f t="shared" si="2"/>
        <v>18007</v>
      </c>
    </row>
    <row r="27350">
      <c r="A27350" s="48" t="s">
        <v>9686</v>
      </c>
      <c r="B27350" s="38">
        <v>36145.0</v>
      </c>
      <c r="C27350" s="38" t="s">
        <v>31809</v>
      </c>
      <c r="D27350" s="38" t="str">
        <f>IFERROR(__xludf.DUMMYFUNCTION("REGEXREPLACE(C27350,""-\d+(.*)|--\d+(.*)"","""")"),"OBTERRE")</f>
        <v>OBTERRE</v>
      </c>
      <c r="E27350" s="38" t="s">
        <v>258</v>
      </c>
      <c r="F27350" s="38" t="s">
        <v>123</v>
      </c>
      <c r="G27350" s="49" t="str">
        <f t="shared" si="1"/>
        <v>36290</v>
      </c>
      <c r="H27350" s="49">
        <f t="shared" si="2"/>
        <v>36145</v>
      </c>
    </row>
    <row r="27351">
      <c r="A27351" s="48" t="s">
        <v>2587</v>
      </c>
      <c r="B27351" s="38">
        <v>60164.0</v>
      </c>
      <c r="C27351" s="38" t="s">
        <v>31810</v>
      </c>
      <c r="D27351" s="38" t="str">
        <f>IFERROR(__xludf.DUMMYFUNCTION("REGEXREPLACE(C27351,""-\d+(.*)|--\d+(.*)"","""")"),"LE COUDRAY-SAINT-GERMER")</f>
        <v>LE COUDRAY-SAINT-GERMER</v>
      </c>
      <c r="E27351" s="38" t="s">
        <v>112</v>
      </c>
      <c r="F27351" s="38" t="s">
        <v>113</v>
      </c>
      <c r="G27351" s="49" t="str">
        <f t="shared" si="1"/>
        <v>60850</v>
      </c>
      <c r="H27351" s="49">
        <f t="shared" si="2"/>
        <v>60164</v>
      </c>
    </row>
    <row r="27352">
      <c r="A27352" s="48" t="s">
        <v>794</v>
      </c>
      <c r="B27352" s="38">
        <v>60111.0</v>
      </c>
      <c r="C27352" s="38" t="s">
        <v>31811</v>
      </c>
      <c r="D27352" s="38" t="str">
        <f>IFERROR(__xludf.DUMMYFUNCTION("REGEXREPLACE(C27352,""-\d+(.*)|--\d+(.*)"","""")"),"BROYES")</f>
        <v>BROYES</v>
      </c>
      <c r="E27352" s="38" t="s">
        <v>112</v>
      </c>
      <c r="F27352" s="38" t="s">
        <v>113</v>
      </c>
      <c r="G27352" s="49" t="str">
        <f t="shared" si="1"/>
        <v>60120</v>
      </c>
      <c r="H27352" s="49">
        <f t="shared" si="2"/>
        <v>60111</v>
      </c>
    </row>
    <row r="27353">
      <c r="A27353" s="48" t="s">
        <v>6099</v>
      </c>
      <c r="B27353" s="38">
        <v>59559.0</v>
      </c>
      <c r="C27353" s="38" t="s">
        <v>31812</v>
      </c>
      <c r="D27353" s="38" t="str">
        <f>IFERROR(__xludf.DUMMYFUNCTION("REGEXREPLACE(C27353,""-\d+(.*)|--\d+(.*)"","""")"),"SEBOURG")</f>
        <v>SEBOURG</v>
      </c>
      <c r="E27353" s="38" t="s">
        <v>85</v>
      </c>
      <c r="F27353" s="38" t="s">
        <v>86</v>
      </c>
      <c r="G27353" s="49" t="str">
        <f t="shared" si="1"/>
        <v>59990</v>
      </c>
      <c r="H27353" s="49">
        <f t="shared" si="2"/>
        <v>59559</v>
      </c>
    </row>
    <row r="27354">
      <c r="A27354" s="48" t="s">
        <v>4566</v>
      </c>
      <c r="B27354" s="38">
        <v>24483.0</v>
      </c>
      <c r="C27354" s="38" t="s">
        <v>31813</v>
      </c>
      <c r="D27354" s="38" t="str">
        <f>IFERROR(__xludf.DUMMYFUNCTION("REGEXREPLACE(C27354,""-\d+(.*)|--\d+(.*)"","""")"),"SAINT-PERDOUX")</f>
        <v>SAINT-PERDOUX</v>
      </c>
      <c r="E27354" s="38" t="s">
        <v>261</v>
      </c>
      <c r="F27354" s="38" t="s">
        <v>252</v>
      </c>
      <c r="G27354" s="49" t="str">
        <f t="shared" si="1"/>
        <v>24560</v>
      </c>
      <c r="H27354" s="49">
        <f t="shared" si="2"/>
        <v>24483</v>
      </c>
    </row>
    <row r="27355">
      <c r="A27355" s="48" t="s">
        <v>9127</v>
      </c>
      <c r="B27355" s="38">
        <v>43037.0</v>
      </c>
      <c r="C27355" s="38" t="s">
        <v>31814</v>
      </c>
      <c r="D27355" s="38" t="str">
        <f>IFERROR(__xludf.DUMMYFUNCTION("REGEXREPLACE(C27355,""-\d+(.*)|--\d+(.*)"","""")"),"LE BOUCHET-SAINT-NICOLAS")</f>
        <v>LE BOUCHET-SAINT-NICOLAS</v>
      </c>
      <c r="E27355" s="38" t="s">
        <v>332</v>
      </c>
      <c r="F27355" s="38" t="s">
        <v>161</v>
      </c>
      <c r="G27355" s="49" t="str">
        <f t="shared" si="1"/>
        <v>43510</v>
      </c>
      <c r="H27355" s="49">
        <f t="shared" si="2"/>
        <v>43037</v>
      </c>
    </row>
    <row r="27356">
      <c r="A27356" s="48" t="s">
        <v>1861</v>
      </c>
      <c r="B27356" s="38">
        <v>46340.0</v>
      </c>
      <c r="C27356" s="38" t="s">
        <v>31815</v>
      </c>
      <c r="D27356" s="38" t="str">
        <f>IFERROR(__xludf.DUMMYFUNCTION("REGEXREPLACE(C27356,""-\d+(.*)|--\d+(.*)"","""")"),"SAINT-PIERRE-LAFEUILLE")</f>
        <v>SAINT-PIERRE-LAFEUILLE</v>
      </c>
      <c r="E27356" s="38" t="s">
        <v>185</v>
      </c>
      <c r="F27356" s="38" t="s">
        <v>94</v>
      </c>
      <c r="G27356" s="49" t="str">
        <f t="shared" si="1"/>
        <v>46090</v>
      </c>
      <c r="H27356" s="49">
        <f t="shared" si="2"/>
        <v>46340</v>
      </c>
    </row>
    <row r="27357">
      <c r="A27357" s="48" t="s">
        <v>3287</v>
      </c>
      <c r="B27357" s="38">
        <v>1230.0</v>
      </c>
      <c r="C27357" s="38" t="s">
        <v>31816</v>
      </c>
      <c r="D27357" s="38" t="str">
        <f>IFERROR(__xludf.DUMMYFUNCTION("REGEXREPLACE(C27357,""-\d+(.*)|--\d+(.*)"","""")"),"MANTENAY-MONTLIN")</f>
        <v>MANTENAY-MONTLIN</v>
      </c>
      <c r="E27357" s="38" t="s">
        <v>255</v>
      </c>
      <c r="F27357" s="38" t="s">
        <v>102</v>
      </c>
      <c r="G27357" s="49" t="str">
        <f t="shared" si="1"/>
        <v>01560</v>
      </c>
      <c r="H27357" s="49" t="str">
        <f t="shared" si="2"/>
        <v>01230</v>
      </c>
    </row>
    <row r="27358">
      <c r="A27358" s="48" t="s">
        <v>3735</v>
      </c>
      <c r="B27358" s="38">
        <v>28066.0</v>
      </c>
      <c r="C27358" s="38" t="s">
        <v>31817</v>
      </c>
      <c r="D27358" s="38" t="str">
        <f>IFERROR(__xludf.DUMMYFUNCTION("REGEXREPLACE(C27358,""-\d+(.*)|--\d+(.*)"","""")"),"BULLOU")</f>
        <v>BULLOU</v>
      </c>
      <c r="E27358" s="38" t="s">
        <v>300</v>
      </c>
      <c r="F27358" s="38" t="s">
        <v>123</v>
      </c>
      <c r="G27358" s="49" t="str">
        <f t="shared" si="1"/>
        <v>28160</v>
      </c>
      <c r="H27358" s="49">
        <f t="shared" si="2"/>
        <v>28066</v>
      </c>
    </row>
    <row r="27359">
      <c r="A27359" s="48" t="s">
        <v>3662</v>
      </c>
      <c r="B27359" s="38">
        <v>80800.0</v>
      </c>
      <c r="C27359" s="38" t="s">
        <v>31818</v>
      </c>
      <c r="D27359" s="38" t="str">
        <f>IFERROR(__xludf.DUMMYFUNCTION("REGEXREPLACE(C27359,""-\d+(.*)|--\d+(.*)"","""")"),"VILLERS-CAMPSART")</f>
        <v>VILLERS-CAMPSART</v>
      </c>
      <c r="E27359" s="38" t="s">
        <v>224</v>
      </c>
      <c r="F27359" s="38" t="s">
        <v>113</v>
      </c>
      <c r="G27359" s="49" t="str">
        <f t="shared" si="1"/>
        <v>80140</v>
      </c>
      <c r="H27359" s="49">
        <f t="shared" si="2"/>
        <v>80800</v>
      </c>
    </row>
    <row r="27360">
      <c r="A27360" s="48" t="s">
        <v>31819</v>
      </c>
      <c r="B27360" s="38">
        <v>76322.0</v>
      </c>
      <c r="C27360" s="38" t="s">
        <v>31820</v>
      </c>
      <c r="D27360" s="38" t="str">
        <f>IFERROR(__xludf.DUMMYFUNCTION("REGEXREPLACE(C27360,""-\d+(.*)|--\d+(.*)"","""")"),"LE GRAND-QUEVILLY")</f>
        <v>LE GRAND-QUEVILLY</v>
      </c>
      <c r="E27360" s="38" t="s">
        <v>133</v>
      </c>
      <c r="F27360" s="38" t="s">
        <v>134</v>
      </c>
      <c r="G27360" s="49" t="str">
        <f t="shared" si="1"/>
        <v>76120</v>
      </c>
      <c r="H27360" s="49">
        <f t="shared" si="2"/>
        <v>76322</v>
      </c>
    </row>
    <row r="27361">
      <c r="A27361" s="48" t="s">
        <v>2946</v>
      </c>
      <c r="B27361" s="38">
        <v>51307.0</v>
      </c>
      <c r="C27361" s="38" t="s">
        <v>31821</v>
      </c>
      <c r="D27361" s="38" t="str">
        <f>IFERROR(__xludf.DUMMYFUNCTION("REGEXREPLACE(C27361,""-\d+(.*)|--\d+(.*)"","""")"),"JONCHERY-SUR-SUIPPE")</f>
        <v>JONCHERY-SUR-SUIPPE</v>
      </c>
      <c r="E27361" s="38" t="s">
        <v>129</v>
      </c>
      <c r="F27361" s="38" t="s">
        <v>130</v>
      </c>
      <c r="G27361" s="49" t="str">
        <f t="shared" si="1"/>
        <v>51600</v>
      </c>
      <c r="H27361" s="49">
        <f t="shared" si="2"/>
        <v>51307</v>
      </c>
    </row>
    <row r="27362">
      <c r="A27362" s="48" t="s">
        <v>9755</v>
      </c>
      <c r="B27362" s="38">
        <v>51233.0</v>
      </c>
      <c r="C27362" s="38" t="s">
        <v>31822</v>
      </c>
      <c r="D27362" s="38" t="str">
        <f>IFERROR(__xludf.DUMMYFUNCTION("REGEXREPLACE(C27362,""-\d+(.*)|--\d+(.*)"","""")"),"ESCARDES")</f>
        <v>ESCARDES</v>
      </c>
      <c r="E27362" s="38" t="s">
        <v>129</v>
      </c>
      <c r="F27362" s="38" t="s">
        <v>130</v>
      </c>
      <c r="G27362" s="49" t="str">
        <f t="shared" si="1"/>
        <v>51310</v>
      </c>
      <c r="H27362" s="49">
        <f t="shared" si="2"/>
        <v>51233</v>
      </c>
    </row>
    <row r="27363">
      <c r="A27363" s="48" t="s">
        <v>8459</v>
      </c>
      <c r="B27363" s="38">
        <v>89408.0</v>
      </c>
      <c r="C27363" s="38" t="s">
        <v>31823</v>
      </c>
      <c r="D27363" s="38" t="str">
        <f>IFERROR(__xludf.DUMMYFUNCTION("REGEXREPLACE(C27363,""-\d+(.*)|--\d+(.*)"","""")"),"TANNERRE-EN-PUISAYE")</f>
        <v>TANNERRE-EN-PUISAYE</v>
      </c>
      <c r="E27363" s="38" t="s">
        <v>275</v>
      </c>
      <c r="F27363" s="38" t="s">
        <v>106</v>
      </c>
      <c r="G27363" s="49" t="str">
        <f t="shared" si="1"/>
        <v>89350</v>
      </c>
      <c r="H27363" s="49">
        <f t="shared" si="2"/>
        <v>89408</v>
      </c>
    </row>
    <row r="27364">
      <c r="A27364" s="48" t="s">
        <v>1827</v>
      </c>
      <c r="B27364" s="38">
        <v>77304.0</v>
      </c>
      <c r="C27364" s="38" t="s">
        <v>31824</v>
      </c>
      <c r="D27364" s="38" t="str">
        <f>IFERROR(__xludf.DUMMYFUNCTION("REGEXREPLACE(C27364,""-\d+(.*)|--\d+(.*)"","""")"),"MONTENILS")</f>
        <v>MONTENILS</v>
      </c>
      <c r="E27364" s="38" t="s">
        <v>244</v>
      </c>
      <c r="F27364" s="38" t="s">
        <v>245</v>
      </c>
      <c r="G27364" s="49" t="str">
        <f t="shared" si="1"/>
        <v>77320</v>
      </c>
      <c r="H27364" s="49">
        <f t="shared" si="2"/>
        <v>77304</v>
      </c>
    </row>
    <row r="27365">
      <c r="A27365" s="48" t="s">
        <v>10312</v>
      </c>
      <c r="B27365" s="38">
        <v>32320.0</v>
      </c>
      <c r="C27365" s="38" t="s">
        <v>31825</v>
      </c>
      <c r="D27365" s="38" t="str">
        <f>IFERROR(__xludf.DUMMYFUNCTION("REGEXREPLACE(C27365,""-\d+(.*)|--\d+(.*)"","""")"),"PLIEUX")</f>
        <v>PLIEUX</v>
      </c>
      <c r="E27365" s="38" t="s">
        <v>440</v>
      </c>
      <c r="F27365" s="38" t="s">
        <v>94</v>
      </c>
      <c r="G27365" s="49" t="str">
        <f t="shared" si="1"/>
        <v>32340</v>
      </c>
      <c r="H27365" s="49">
        <f t="shared" si="2"/>
        <v>32320</v>
      </c>
    </row>
    <row r="27366">
      <c r="A27366" s="48" t="s">
        <v>2408</v>
      </c>
      <c r="B27366" s="38">
        <v>30309.0</v>
      </c>
      <c r="C27366" s="38" t="s">
        <v>31826</v>
      </c>
      <c r="D27366" s="38" t="str">
        <f>IFERROR(__xludf.DUMMYFUNCTION("REGEXREPLACE(C27366,""-\d+(.*)|--\d+(.*)"","""")"),"SARDAN")</f>
        <v>SARDAN</v>
      </c>
      <c r="E27366" s="38" t="s">
        <v>526</v>
      </c>
      <c r="F27366" s="38" t="s">
        <v>119</v>
      </c>
      <c r="G27366" s="49" t="str">
        <f t="shared" si="1"/>
        <v>30260</v>
      </c>
      <c r="H27366" s="49">
        <f t="shared" si="2"/>
        <v>30309</v>
      </c>
    </row>
    <row r="27367">
      <c r="A27367" s="48" t="s">
        <v>26655</v>
      </c>
      <c r="B27367" s="38">
        <v>71463.0</v>
      </c>
      <c r="C27367" s="38" t="s">
        <v>31827</v>
      </c>
      <c r="D27367" s="38" t="str">
        <f>IFERROR(__xludf.DUMMYFUNCTION("REGEXREPLACE(C27367,""-\d+(.*)|--\d+(.*)"","""")"),"SAINT-MAURICE-LES-CHATEAUNEUF")</f>
        <v>SAINT-MAURICE-LES-CHATEAUNEUF</v>
      </c>
      <c r="E27367" s="38" t="s">
        <v>344</v>
      </c>
      <c r="F27367" s="38" t="s">
        <v>106</v>
      </c>
      <c r="G27367" s="49" t="str">
        <f t="shared" si="1"/>
        <v>71740</v>
      </c>
      <c r="H27367" s="49">
        <f t="shared" si="2"/>
        <v>71463</v>
      </c>
    </row>
    <row r="27368">
      <c r="A27368" s="48" t="s">
        <v>4926</v>
      </c>
      <c r="B27368" s="38">
        <v>14506.0</v>
      </c>
      <c r="C27368" s="38" t="s">
        <v>31828</v>
      </c>
      <c r="D27368" s="38" t="str">
        <f>IFERROR(__xludf.DUMMYFUNCTION("REGEXREPLACE(C27368,""-\d+(.*)|--\d+(.*)"","""")"),"PLANQUERY")</f>
        <v>PLANQUERY</v>
      </c>
      <c r="E27368" s="38" t="s">
        <v>137</v>
      </c>
      <c r="F27368" s="38" t="s">
        <v>138</v>
      </c>
      <c r="G27368" s="49" t="str">
        <f t="shared" si="1"/>
        <v>14490</v>
      </c>
      <c r="H27368" s="49">
        <f t="shared" si="2"/>
        <v>14506</v>
      </c>
    </row>
    <row r="27369">
      <c r="A27369" s="48" t="s">
        <v>5453</v>
      </c>
      <c r="B27369" s="38">
        <v>52271.0</v>
      </c>
      <c r="C27369" s="38" t="s">
        <v>31829</v>
      </c>
      <c r="D27369" s="38" t="str">
        <f>IFERROR(__xludf.DUMMYFUNCTION("REGEXREPLACE(C27369,""-\d+(.*)|--\d+(.*)"","""")"),"LANQUES-SUR-ROGNON")</f>
        <v>LANQUES-SUR-ROGNON</v>
      </c>
      <c r="E27369" s="38" t="s">
        <v>234</v>
      </c>
      <c r="F27369" s="38" t="s">
        <v>130</v>
      </c>
      <c r="G27369" s="49" t="str">
        <f t="shared" si="1"/>
        <v>52800</v>
      </c>
      <c r="H27369" s="49">
        <f t="shared" si="2"/>
        <v>52271</v>
      </c>
    </row>
    <row r="27370">
      <c r="A27370" s="48" t="s">
        <v>2338</v>
      </c>
      <c r="B27370" s="38">
        <v>8056.0</v>
      </c>
      <c r="C27370" s="38" t="s">
        <v>31830</v>
      </c>
      <c r="D27370" s="38" t="str">
        <f>IFERROR(__xludf.DUMMYFUNCTION("REGEXREPLACE(C27370,""-\d+(.*)|--\d+(.*)"","""")"),"BEFFU-ET-LE-MORTHOMME")</f>
        <v>BEFFU-ET-LE-MORTHOMME</v>
      </c>
      <c r="E27370" s="38" t="s">
        <v>327</v>
      </c>
      <c r="F27370" s="38" t="s">
        <v>130</v>
      </c>
      <c r="G27370" s="49" t="str">
        <f t="shared" si="1"/>
        <v>08250</v>
      </c>
      <c r="H27370" s="49" t="str">
        <f t="shared" si="2"/>
        <v>08056</v>
      </c>
    </row>
    <row r="27371">
      <c r="A27371" s="48" t="s">
        <v>31831</v>
      </c>
      <c r="B27371" s="38">
        <v>62300.0</v>
      </c>
      <c r="C27371" s="38" t="s">
        <v>31832</v>
      </c>
      <c r="D27371" s="38" t="str">
        <f>IFERROR(__xludf.DUMMYFUNCTION("REGEXREPLACE(C27371,""-\d+(.*)|--\d+(.*)"","""")"),"EQUIHEN-PLAGE")</f>
        <v>EQUIHEN-PLAGE</v>
      </c>
      <c r="E27371" s="38" t="s">
        <v>109</v>
      </c>
      <c r="F27371" s="38" t="s">
        <v>86</v>
      </c>
      <c r="G27371" s="49" t="str">
        <f t="shared" si="1"/>
        <v>62224</v>
      </c>
      <c r="H27371" s="49">
        <f t="shared" si="2"/>
        <v>62300</v>
      </c>
    </row>
    <row r="27372">
      <c r="A27372" s="48" t="s">
        <v>4709</v>
      </c>
      <c r="B27372" s="38">
        <v>95690.0</v>
      </c>
      <c r="C27372" s="38" t="s">
        <v>31833</v>
      </c>
      <c r="D27372" s="38" t="str">
        <f>IFERROR(__xludf.DUMMYFUNCTION("REGEXREPLACE(C27372,""-\d+(.*)|--\d+(.*)"","""")"),"WY-DIT-JOLI-VILLAGE")</f>
        <v>WY-DIT-JOLI-VILLAGE</v>
      </c>
      <c r="E27372" s="38" t="s">
        <v>541</v>
      </c>
      <c r="F27372" s="38" t="s">
        <v>245</v>
      </c>
      <c r="G27372" s="49" t="str">
        <f t="shared" si="1"/>
        <v>95420</v>
      </c>
      <c r="H27372" s="49">
        <f t="shared" si="2"/>
        <v>95690</v>
      </c>
    </row>
    <row r="27373">
      <c r="A27373" s="48" t="s">
        <v>2770</v>
      </c>
      <c r="B27373" s="38">
        <v>25101.0</v>
      </c>
      <c r="C27373" s="38" t="s">
        <v>31834</v>
      </c>
      <c r="D27373" s="38" t="str">
        <f>IFERROR(__xludf.DUMMYFUNCTION("REGEXREPLACE(C27373,""-\d+(.*)|--\d+(.*)"","""")"),"BURGILLE")</f>
        <v>BURGILLE</v>
      </c>
      <c r="E27373" s="38" t="s">
        <v>213</v>
      </c>
      <c r="F27373" s="38" t="s">
        <v>214</v>
      </c>
      <c r="G27373" s="49" t="str">
        <f t="shared" si="1"/>
        <v>25170</v>
      </c>
      <c r="H27373" s="49">
        <f t="shared" si="2"/>
        <v>25101</v>
      </c>
    </row>
    <row r="27374">
      <c r="A27374" s="48" t="s">
        <v>6694</v>
      </c>
      <c r="B27374" s="38">
        <v>16052.0</v>
      </c>
      <c r="C27374" s="38" t="s">
        <v>31835</v>
      </c>
      <c r="D27374" s="38" t="str">
        <f>IFERROR(__xludf.DUMMYFUNCTION("REGEXREPLACE(C27374,""-\d+(.*)|--\d+(.*)"","""")"),"BORS (CANTON DE MONTMOREAU-SAINT-CYBARD)")</f>
        <v>BORS (CANTON DE MONTMOREAU-SAINT-CYBARD)</v>
      </c>
      <c r="E27374" s="38" t="s">
        <v>429</v>
      </c>
      <c r="F27374" s="38" t="s">
        <v>338</v>
      </c>
      <c r="G27374" s="49" t="str">
        <f t="shared" si="1"/>
        <v>16190</v>
      </c>
      <c r="H27374" s="49">
        <f t="shared" si="2"/>
        <v>16052</v>
      </c>
    </row>
    <row r="27375">
      <c r="A27375" s="48" t="s">
        <v>789</v>
      </c>
      <c r="B27375" s="38">
        <v>10302.0</v>
      </c>
      <c r="C27375" s="38" t="s">
        <v>31836</v>
      </c>
      <c r="D27375" s="38" t="str">
        <f>IFERROR(__xludf.DUMMYFUNCTION("REGEXREPLACE(C27375,""-\d+(.*)|--\d+(.*)"","""")"),"PRASLIN")</f>
        <v>PRASLIN</v>
      </c>
      <c r="E27375" s="38" t="s">
        <v>147</v>
      </c>
      <c r="F27375" s="38" t="s">
        <v>130</v>
      </c>
      <c r="G27375" s="49" t="str">
        <f t="shared" si="1"/>
        <v>10210</v>
      </c>
      <c r="H27375" s="49">
        <f t="shared" si="2"/>
        <v>10302</v>
      </c>
    </row>
    <row r="27376">
      <c r="A27376" s="48" t="s">
        <v>1106</v>
      </c>
      <c r="B27376" s="38">
        <v>14090.0</v>
      </c>
      <c r="C27376" s="38" t="s">
        <v>31837</v>
      </c>
      <c r="D27376" s="38" t="str">
        <f>IFERROR(__xludf.DUMMYFUNCTION("REGEXREPLACE(C27376,""-\d+(.*)|--\d+(.*)"","""")"),"BOULON")</f>
        <v>BOULON</v>
      </c>
      <c r="E27376" s="38" t="s">
        <v>137</v>
      </c>
      <c r="F27376" s="38" t="s">
        <v>138</v>
      </c>
      <c r="G27376" s="49" t="str">
        <f t="shared" si="1"/>
        <v>14220</v>
      </c>
      <c r="H27376" s="49">
        <f t="shared" si="2"/>
        <v>14090</v>
      </c>
    </row>
    <row r="27377">
      <c r="A27377" s="48" t="s">
        <v>2748</v>
      </c>
      <c r="B27377" s="38">
        <v>32099.0</v>
      </c>
      <c r="C27377" s="38" t="s">
        <v>31838</v>
      </c>
      <c r="D27377" s="38" t="str">
        <f>IFERROR(__xludf.DUMMYFUNCTION("REGEXREPLACE(C27377,""-\d+(.*)|--\d+(.*)"","""")"),"CAZAUX-VILLECOMTAL")</f>
        <v>CAZAUX-VILLECOMTAL</v>
      </c>
      <c r="E27377" s="38" t="s">
        <v>440</v>
      </c>
      <c r="F27377" s="38" t="s">
        <v>94</v>
      </c>
      <c r="G27377" s="49" t="str">
        <f t="shared" si="1"/>
        <v>32230</v>
      </c>
      <c r="H27377" s="49">
        <f t="shared" si="2"/>
        <v>32099</v>
      </c>
    </row>
    <row r="27378">
      <c r="A27378" s="48" t="s">
        <v>18725</v>
      </c>
      <c r="B27378" s="38">
        <v>15020.0</v>
      </c>
      <c r="C27378" s="38" t="s">
        <v>867</v>
      </c>
      <c r="D27378" s="38" t="str">
        <f>IFERROR(__xludf.DUMMYFUNCTION("REGEXREPLACE(C27378,""-\d+(.*)|--\d+(.*)"","""")"),"BEAULIEU")</f>
        <v>BEAULIEU</v>
      </c>
      <c r="E27378" s="38" t="s">
        <v>632</v>
      </c>
      <c r="F27378" s="38" t="s">
        <v>161</v>
      </c>
      <c r="G27378" s="49" t="str">
        <f t="shared" si="1"/>
        <v>15270</v>
      </c>
      <c r="H27378" s="49">
        <f t="shared" si="2"/>
        <v>15020</v>
      </c>
    </row>
    <row r="27379">
      <c r="A27379" s="48" t="s">
        <v>9888</v>
      </c>
      <c r="B27379" s="38">
        <v>64160.0</v>
      </c>
      <c r="C27379" s="38" t="s">
        <v>31839</v>
      </c>
      <c r="D27379" s="38" t="str">
        <f>IFERROR(__xludf.DUMMYFUNCTION("REGEXREPLACE(C27379,""-\d+(.*)|--\d+(.*)"","""")"),"CAMBO-LES-BAINS")</f>
        <v>CAMBO-LES-BAINS</v>
      </c>
      <c r="E27379" s="38" t="s">
        <v>268</v>
      </c>
      <c r="F27379" s="38" t="s">
        <v>252</v>
      </c>
      <c r="G27379" s="49" t="str">
        <f t="shared" si="1"/>
        <v>64250</v>
      </c>
      <c r="H27379" s="49">
        <f t="shared" si="2"/>
        <v>64160</v>
      </c>
    </row>
    <row r="27380">
      <c r="A27380" s="48" t="s">
        <v>4455</v>
      </c>
      <c r="B27380" s="38">
        <v>1261.0</v>
      </c>
      <c r="C27380" s="38" t="s">
        <v>31840</v>
      </c>
      <c r="D27380" s="38" t="str">
        <f>IFERROR(__xludf.DUMMYFUNCTION("REGEXREPLACE(C27380,""-\d+(.*)|--\d+(.*)"","""")"),"MONTHIEUX")</f>
        <v>MONTHIEUX</v>
      </c>
      <c r="E27380" s="38" t="s">
        <v>255</v>
      </c>
      <c r="F27380" s="38" t="s">
        <v>102</v>
      </c>
      <c r="G27380" s="49" t="str">
        <f t="shared" si="1"/>
        <v>01390</v>
      </c>
      <c r="H27380" s="49" t="str">
        <f t="shared" si="2"/>
        <v>01261</v>
      </c>
    </row>
    <row r="27381">
      <c r="A27381" s="48" t="s">
        <v>9594</v>
      </c>
      <c r="B27381" s="38">
        <v>44036.0</v>
      </c>
      <c r="C27381" s="38" t="s">
        <v>31841</v>
      </c>
      <c r="D27381" s="38" t="str">
        <f>IFERROR(__xludf.DUMMYFUNCTION("REGEXREPLACE(C27381,""-\d+(.*)|--\d+(.*)"","""")"),"CHATEAUBRIANT")</f>
        <v>CHATEAUBRIANT</v>
      </c>
      <c r="E27381" s="38" t="s">
        <v>759</v>
      </c>
      <c r="F27381" s="38" t="s">
        <v>180</v>
      </c>
      <c r="G27381" s="49" t="str">
        <f t="shared" si="1"/>
        <v>44110</v>
      </c>
      <c r="H27381" s="49">
        <f t="shared" si="2"/>
        <v>44036</v>
      </c>
    </row>
    <row r="27382">
      <c r="A27382" s="48" t="s">
        <v>2227</v>
      </c>
      <c r="B27382" s="38">
        <v>74123.0</v>
      </c>
      <c r="C27382" s="38" t="s">
        <v>31842</v>
      </c>
      <c r="D27382" s="38" t="str">
        <f>IFERROR(__xludf.DUMMYFUNCTION("REGEXREPLACE(C27382,""-\d+(.*)|--\d+(.*)"","""")"),"FAVERGES")</f>
        <v>FAVERGES</v>
      </c>
      <c r="E27382" s="38" t="s">
        <v>319</v>
      </c>
      <c r="F27382" s="38" t="s">
        <v>102</v>
      </c>
      <c r="G27382" s="49" t="str">
        <f t="shared" si="1"/>
        <v>74210</v>
      </c>
      <c r="H27382" s="49">
        <f t="shared" si="2"/>
        <v>74123</v>
      </c>
    </row>
    <row r="27383">
      <c r="A27383" s="48" t="s">
        <v>9824</v>
      </c>
      <c r="B27383" s="38">
        <v>68051.0</v>
      </c>
      <c r="C27383" s="38" t="s">
        <v>31843</v>
      </c>
      <c r="D27383" s="38" t="str">
        <f>IFERROR(__xludf.DUMMYFUNCTION("REGEXREPLACE(C27383,""-\d+(.*)|--\d+(.*)"","""")"),"BREITENBACH-HAUT-RHIN")</f>
        <v>BREITENBACH-HAUT-RHIN</v>
      </c>
      <c r="E27383" s="38" t="s">
        <v>150</v>
      </c>
      <c r="F27383" s="38" t="s">
        <v>151</v>
      </c>
      <c r="G27383" s="49" t="str">
        <f t="shared" si="1"/>
        <v>68380</v>
      </c>
      <c r="H27383" s="49">
        <f t="shared" si="2"/>
        <v>68051</v>
      </c>
    </row>
    <row r="27384">
      <c r="A27384" s="48" t="s">
        <v>4028</v>
      </c>
      <c r="B27384" s="38">
        <v>76561.0</v>
      </c>
      <c r="C27384" s="38" t="s">
        <v>31844</v>
      </c>
      <c r="D27384" s="38" t="str">
        <f>IFERROR(__xludf.DUMMYFUNCTION("REGEXREPLACE(C27384,""-\d+(.*)|--\d+(.*)"","""")"),"SAINT-AUBIN-LES-ELBEUF")</f>
        <v>SAINT-AUBIN-LES-ELBEUF</v>
      </c>
      <c r="E27384" s="38" t="s">
        <v>133</v>
      </c>
      <c r="F27384" s="38" t="s">
        <v>134</v>
      </c>
      <c r="G27384" s="49" t="str">
        <f t="shared" si="1"/>
        <v>76410</v>
      </c>
      <c r="H27384" s="49">
        <f t="shared" si="2"/>
        <v>76561</v>
      </c>
    </row>
    <row r="27385">
      <c r="A27385" s="48" t="s">
        <v>330</v>
      </c>
      <c r="B27385" s="38">
        <v>43210.0</v>
      </c>
      <c r="C27385" s="38" t="s">
        <v>31845</v>
      </c>
      <c r="D27385" s="38" t="str">
        <f>IFERROR(__xludf.DUMMYFUNCTION("REGEXREPLACE(C27385,""-\d+(.*)|--\d+(.*)"","""")"),"SAINT-MARTIN-DE-FUGERES")</f>
        <v>SAINT-MARTIN-DE-FUGERES</v>
      </c>
      <c r="E27385" s="38" t="s">
        <v>332</v>
      </c>
      <c r="F27385" s="38" t="s">
        <v>161</v>
      </c>
      <c r="G27385" s="49" t="str">
        <f t="shared" si="1"/>
        <v>43150</v>
      </c>
      <c r="H27385" s="49">
        <f t="shared" si="2"/>
        <v>43210</v>
      </c>
    </row>
    <row r="27386">
      <c r="A27386" s="48" t="s">
        <v>31846</v>
      </c>
      <c r="B27386" s="38">
        <v>85039.0</v>
      </c>
      <c r="C27386" s="38" t="s">
        <v>31847</v>
      </c>
      <c r="D27386" s="38" t="str">
        <f>IFERROR(__xludf.DUMMYFUNCTION("REGEXREPLACE(C27386,""-\d+(.*)|--\d+(.*)"","""")"),"LA BRUFFIERE")</f>
        <v>LA BRUFFIERE</v>
      </c>
      <c r="E27386" s="38" t="s">
        <v>179</v>
      </c>
      <c r="F27386" s="38" t="s">
        <v>180</v>
      </c>
      <c r="G27386" s="49" t="str">
        <f t="shared" si="1"/>
        <v>85530</v>
      </c>
      <c r="H27386" s="49">
        <f t="shared" si="2"/>
        <v>85039</v>
      </c>
    </row>
    <row r="27387">
      <c r="A27387" s="48" t="s">
        <v>11573</v>
      </c>
      <c r="B27387" s="38">
        <v>73294.0</v>
      </c>
      <c r="C27387" s="38" t="s">
        <v>31848</v>
      </c>
      <c r="D27387" s="38" t="str">
        <f>IFERROR(__xludf.DUMMYFUNCTION("REGEXREPLACE(C27387,""-\d+(.*)|--\d+(.*)"","""")"),"LA THUILE")</f>
        <v>LA THUILE</v>
      </c>
      <c r="E27387" s="38" t="s">
        <v>306</v>
      </c>
      <c r="F27387" s="38" t="s">
        <v>102</v>
      </c>
      <c r="G27387" s="49" t="str">
        <f t="shared" si="1"/>
        <v>73190</v>
      </c>
      <c r="H27387" s="49">
        <f t="shared" si="2"/>
        <v>73294</v>
      </c>
    </row>
    <row r="27388">
      <c r="A27388" s="48" t="s">
        <v>5887</v>
      </c>
      <c r="B27388" s="38">
        <v>61081.0</v>
      </c>
      <c r="C27388" s="38" t="s">
        <v>31849</v>
      </c>
      <c r="D27388" s="38" t="str">
        <f>IFERROR(__xludf.DUMMYFUNCTION("REGEXREPLACE(C27388,""-\d+(.*)|--\d+(.*)"","""")"),"CHAILLOUE")</f>
        <v>CHAILLOUE</v>
      </c>
      <c r="E27388" s="38" t="s">
        <v>141</v>
      </c>
      <c r="F27388" s="38" t="s">
        <v>138</v>
      </c>
      <c r="G27388" s="49" t="str">
        <f t="shared" si="1"/>
        <v>61500</v>
      </c>
      <c r="H27388" s="49">
        <f t="shared" si="2"/>
        <v>61081</v>
      </c>
    </row>
    <row r="27389">
      <c r="A27389" s="48" t="s">
        <v>1986</v>
      </c>
      <c r="B27389" s="38">
        <v>79284.0</v>
      </c>
      <c r="C27389" s="38" t="s">
        <v>31850</v>
      </c>
      <c r="D27389" s="38" t="str">
        <f>IFERROR(__xludf.DUMMYFUNCTION("REGEXREPLACE(C27389,""-\d+(.*)|--\d+(.*)"","""")"),"SAINTE-OUENNE")</f>
        <v>SAINTE-OUENNE</v>
      </c>
      <c r="E27389" s="38" t="s">
        <v>337</v>
      </c>
      <c r="F27389" s="38" t="s">
        <v>338</v>
      </c>
      <c r="G27389" s="49" t="str">
        <f t="shared" si="1"/>
        <v>79220</v>
      </c>
      <c r="H27389" s="49">
        <f t="shared" si="2"/>
        <v>79284</v>
      </c>
    </row>
    <row r="27390">
      <c r="A27390" s="48" t="s">
        <v>1520</v>
      </c>
      <c r="B27390" s="38">
        <v>16136.0</v>
      </c>
      <c r="C27390" s="38" t="s">
        <v>31851</v>
      </c>
      <c r="D27390" s="38" t="str">
        <f>IFERROR(__xludf.DUMMYFUNCTION("REGEXREPLACE(C27390,""-\d+(.*)|--\d+(.*)"","""")"),"LA FAYE")</f>
        <v>LA FAYE</v>
      </c>
      <c r="E27390" s="38" t="s">
        <v>429</v>
      </c>
      <c r="F27390" s="38" t="s">
        <v>338</v>
      </c>
      <c r="G27390" s="49" t="str">
        <f t="shared" si="1"/>
        <v>16700</v>
      </c>
      <c r="H27390" s="49">
        <f t="shared" si="2"/>
        <v>16136</v>
      </c>
    </row>
    <row r="27391">
      <c r="A27391" s="48" t="s">
        <v>95</v>
      </c>
      <c r="B27391" s="38">
        <v>23049.0</v>
      </c>
      <c r="C27391" s="38" t="s">
        <v>31852</v>
      </c>
      <c r="D27391" s="38" t="str">
        <f>IFERROR(__xludf.DUMMYFUNCTION("REGEXREPLACE(C27391,""-\d+(.*)|--\d+(.*)"","""")"),"CHAMPSANGLARD")</f>
        <v>CHAMPSANGLARD</v>
      </c>
      <c r="E27391" s="38" t="s">
        <v>97</v>
      </c>
      <c r="F27391" s="38" t="s">
        <v>98</v>
      </c>
      <c r="G27391" s="49" t="str">
        <f t="shared" si="1"/>
        <v>23220</v>
      </c>
      <c r="H27391" s="49">
        <f t="shared" si="2"/>
        <v>23049</v>
      </c>
    </row>
    <row r="27392">
      <c r="A27392" s="48" t="s">
        <v>5273</v>
      </c>
      <c r="B27392" s="38">
        <v>53004.0</v>
      </c>
      <c r="C27392" s="38" t="s">
        <v>31853</v>
      </c>
      <c r="D27392" s="38" t="str">
        <f>IFERROR(__xludf.DUMMYFUNCTION("REGEXREPLACE(C27392,""-\d+(.*)|--\d+(.*)"","""")"),"AMPOIGNE")</f>
        <v>AMPOIGNE</v>
      </c>
      <c r="E27392" s="38" t="s">
        <v>518</v>
      </c>
      <c r="F27392" s="38" t="s">
        <v>180</v>
      </c>
      <c r="G27392" s="49" t="str">
        <f t="shared" si="1"/>
        <v>53200</v>
      </c>
      <c r="H27392" s="49">
        <f t="shared" si="2"/>
        <v>53004</v>
      </c>
    </row>
    <row r="27393">
      <c r="A27393" s="48" t="s">
        <v>5230</v>
      </c>
      <c r="B27393" s="38">
        <v>25005.0</v>
      </c>
      <c r="C27393" s="38" t="s">
        <v>31854</v>
      </c>
      <c r="D27393" s="38" t="str">
        <f>IFERROR(__xludf.DUMMYFUNCTION("REGEXREPLACE(C27393,""-\d+(.*)|--\d+(.*)"","""")"),"ACCOLANS")</f>
        <v>ACCOLANS</v>
      </c>
      <c r="E27393" s="38" t="s">
        <v>213</v>
      </c>
      <c r="F27393" s="38" t="s">
        <v>214</v>
      </c>
      <c r="G27393" s="49" t="str">
        <f t="shared" si="1"/>
        <v>25250</v>
      </c>
      <c r="H27393" s="49">
        <f t="shared" si="2"/>
        <v>25005</v>
      </c>
    </row>
    <row r="27394">
      <c r="A27394" s="48" t="s">
        <v>2934</v>
      </c>
      <c r="B27394" s="38">
        <v>78381.0</v>
      </c>
      <c r="C27394" s="38" t="s">
        <v>31855</v>
      </c>
      <c r="D27394" s="38" t="str">
        <f>IFERROR(__xludf.DUMMYFUNCTION("REGEXREPLACE(C27394,""-\d+(.*)|--\d+(.*)"","""")"),"MAULETTE")</f>
        <v>MAULETTE</v>
      </c>
      <c r="E27394" s="38" t="s">
        <v>362</v>
      </c>
      <c r="F27394" s="38" t="s">
        <v>245</v>
      </c>
      <c r="G27394" s="49" t="str">
        <f t="shared" si="1"/>
        <v>78550</v>
      </c>
      <c r="H27394" s="49">
        <f t="shared" si="2"/>
        <v>78381</v>
      </c>
    </row>
    <row r="27395">
      <c r="A27395" s="48" t="s">
        <v>7763</v>
      </c>
      <c r="B27395" s="38">
        <v>89225.0</v>
      </c>
      <c r="C27395" s="38" t="s">
        <v>31856</v>
      </c>
      <c r="D27395" s="38" t="str">
        <f>IFERROR(__xludf.DUMMYFUNCTION("REGEXREPLACE(C27395,""-\d+(.*)|--\d+(.*)"","""")"),"LICHERES-SUR-YONNE")</f>
        <v>LICHERES-SUR-YONNE</v>
      </c>
      <c r="E27395" s="38" t="s">
        <v>275</v>
      </c>
      <c r="F27395" s="38" t="s">
        <v>106</v>
      </c>
      <c r="G27395" s="49" t="str">
        <f t="shared" si="1"/>
        <v>89660</v>
      </c>
      <c r="H27395" s="49">
        <f t="shared" si="2"/>
        <v>89225</v>
      </c>
    </row>
    <row r="27396">
      <c r="A27396" s="48" t="s">
        <v>7431</v>
      </c>
      <c r="B27396" s="38">
        <v>77278.0</v>
      </c>
      <c r="C27396" s="38" t="s">
        <v>31857</v>
      </c>
      <c r="D27396" s="38" t="str">
        <f>IFERROR(__xludf.DUMMYFUNCTION("REGEXREPLACE(C27396,""-\d+(.*)|--\d+(.*)"","""")"),"MAROLLES-EN-BRIE")</f>
        <v>MAROLLES-EN-BRIE</v>
      </c>
      <c r="E27396" s="38" t="s">
        <v>244</v>
      </c>
      <c r="F27396" s="38" t="s">
        <v>245</v>
      </c>
      <c r="G27396" s="49" t="str">
        <f t="shared" si="1"/>
        <v>77120</v>
      </c>
      <c r="H27396" s="49">
        <f t="shared" si="2"/>
        <v>77278</v>
      </c>
    </row>
    <row r="27397">
      <c r="A27397" s="48" t="s">
        <v>1218</v>
      </c>
      <c r="B27397" s="38">
        <v>9037.0</v>
      </c>
      <c r="C27397" s="38" t="s">
        <v>8409</v>
      </c>
      <c r="D27397" s="38" t="str">
        <f>IFERROR(__xludf.DUMMYFUNCTION("REGEXREPLACE(C27397,""-\d+(.*)|--\d+(.*)"","""")"),"BARJAC")</f>
        <v>BARJAC</v>
      </c>
      <c r="E27397" s="38" t="s">
        <v>238</v>
      </c>
      <c r="F27397" s="38" t="s">
        <v>94</v>
      </c>
      <c r="G27397" s="49" t="str">
        <f t="shared" si="1"/>
        <v>09230</v>
      </c>
      <c r="H27397" s="49" t="str">
        <f t="shared" si="2"/>
        <v>09037</v>
      </c>
    </row>
    <row r="27398">
      <c r="A27398" s="48" t="s">
        <v>614</v>
      </c>
      <c r="B27398" s="38">
        <v>24333.0</v>
      </c>
      <c r="C27398" s="38" t="s">
        <v>31858</v>
      </c>
      <c r="D27398" s="38" t="str">
        <f>IFERROR(__xludf.DUMMYFUNCTION("REGEXREPLACE(C27398,""-\d+(.*)|--\d+(.*)"","""")"),"PONTEYRAUD")</f>
        <v>PONTEYRAUD</v>
      </c>
      <c r="E27398" s="38" t="s">
        <v>261</v>
      </c>
      <c r="F27398" s="38" t="s">
        <v>252</v>
      </c>
      <c r="G27398" s="49" t="str">
        <f t="shared" si="1"/>
        <v>24410</v>
      </c>
      <c r="H27398" s="49">
        <f t="shared" si="2"/>
        <v>24333</v>
      </c>
    </row>
    <row r="27399">
      <c r="A27399" s="48" t="s">
        <v>1514</v>
      </c>
      <c r="B27399" s="38">
        <v>70276.0</v>
      </c>
      <c r="C27399" s="38" t="s">
        <v>31859</v>
      </c>
      <c r="D27399" s="38" t="str">
        <f>IFERROR(__xludf.DUMMYFUNCTION("REGEXREPLACE(C27399,""-\d+(.*)|--\d+(.*)"","""")"),"GRANGES-LA-VILLE")</f>
        <v>GRANGES-LA-VILLE</v>
      </c>
      <c r="E27399" s="38" t="s">
        <v>956</v>
      </c>
      <c r="F27399" s="38" t="s">
        <v>214</v>
      </c>
      <c r="G27399" s="49" t="str">
        <f t="shared" si="1"/>
        <v>70400</v>
      </c>
      <c r="H27399" s="49">
        <f t="shared" si="2"/>
        <v>70276</v>
      </c>
    </row>
    <row r="27400">
      <c r="A27400" s="48" t="s">
        <v>5028</v>
      </c>
      <c r="B27400" s="38">
        <v>25231.0</v>
      </c>
      <c r="C27400" s="38" t="s">
        <v>31860</v>
      </c>
      <c r="D27400" s="38" t="str">
        <f>IFERROR(__xludf.DUMMYFUNCTION("REGEXREPLACE(C27400,""-\d+(.*)|--\d+(.*)"","""")"),"EYSSON")</f>
        <v>EYSSON</v>
      </c>
      <c r="E27400" s="38" t="s">
        <v>213</v>
      </c>
      <c r="F27400" s="38" t="s">
        <v>214</v>
      </c>
      <c r="G27400" s="49" t="str">
        <f t="shared" si="1"/>
        <v>25530</v>
      </c>
      <c r="H27400" s="49">
        <f t="shared" si="2"/>
        <v>25231</v>
      </c>
    </row>
    <row r="27401">
      <c r="A27401" s="48" t="s">
        <v>15924</v>
      </c>
      <c r="B27401" s="38">
        <v>57694.0</v>
      </c>
      <c r="C27401" s="38" t="s">
        <v>31861</v>
      </c>
      <c r="D27401" s="38" t="str">
        <f>IFERROR(__xludf.DUMMYFUNCTION("REGEXREPLACE(C27401,""-\d+(.*)|--\d+(.*)"","""")"),"VANY")</f>
        <v>VANY</v>
      </c>
      <c r="E27401" s="38" t="s">
        <v>303</v>
      </c>
      <c r="F27401" s="38" t="s">
        <v>195</v>
      </c>
      <c r="G27401" s="49" t="str">
        <f t="shared" si="1"/>
        <v>57070</v>
      </c>
      <c r="H27401" s="49">
        <f t="shared" si="2"/>
        <v>57694</v>
      </c>
    </row>
    <row r="27402">
      <c r="A27402" s="48" t="s">
        <v>1060</v>
      </c>
      <c r="B27402" s="38">
        <v>57495.0</v>
      </c>
      <c r="C27402" s="38" t="s">
        <v>31862</v>
      </c>
      <c r="D27402" s="38" t="str">
        <f>IFERROR(__xludf.DUMMYFUNCTION("REGEXREPLACE(C27402,""-\d+(.*)|--\d+(.*)"","""")"),"NARBEFONTAINE")</f>
        <v>NARBEFONTAINE</v>
      </c>
      <c r="E27402" s="38" t="s">
        <v>303</v>
      </c>
      <c r="F27402" s="38" t="s">
        <v>195</v>
      </c>
      <c r="G27402" s="49" t="str">
        <f t="shared" si="1"/>
        <v>57220</v>
      </c>
      <c r="H27402" s="49">
        <f t="shared" si="2"/>
        <v>57495</v>
      </c>
    </row>
    <row r="27403">
      <c r="A27403" s="48" t="s">
        <v>1295</v>
      </c>
      <c r="B27403" s="38">
        <v>57195.0</v>
      </c>
      <c r="C27403" s="38" t="s">
        <v>31863</v>
      </c>
      <c r="D27403" s="38" t="str">
        <f>IFERROR(__xludf.DUMMYFUNCTION("REGEXREPLACE(C27403,""-\d+(.*)|--\d+(.*)"","""")"),"EPPING")</f>
        <v>EPPING</v>
      </c>
      <c r="E27403" s="38" t="s">
        <v>303</v>
      </c>
      <c r="F27403" s="38" t="s">
        <v>195</v>
      </c>
      <c r="G27403" s="49" t="str">
        <f t="shared" si="1"/>
        <v>57720</v>
      </c>
      <c r="H27403" s="49">
        <f t="shared" si="2"/>
        <v>57195</v>
      </c>
    </row>
    <row r="27404">
      <c r="A27404" s="48" t="s">
        <v>15895</v>
      </c>
      <c r="B27404" s="38">
        <v>84119.0</v>
      </c>
      <c r="C27404" s="38" t="s">
        <v>31864</v>
      </c>
      <c r="D27404" s="38" t="str">
        <f>IFERROR(__xludf.DUMMYFUNCTION("REGEXREPLACE(C27404,""-\d+(.*)|--\d+(.*)"","""")"),"SAINT-SATURNIN-LES-AVIGNON")</f>
        <v>SAINT-SATURNIN-LES-AVIGNON</v>
      </c>
      <c r="E27404" s="38" t="s">
        <v>1026</v>
      </c>
      <c r="F27404" s="38" t="s">
        <v>228</v>
      </c>
      <c r="G27404" s="49" t="str">
        <f t="shared" si="1"/>
        <v>84450</v>
      </c>
      <c r="H27404" s="49">
        <f t="shared" si="2"/>
        <v>84119</v>
      </c>
    </row>
    <row r="27405">
      <c r="A27405" s="48" t="s">
        <v>6210</v>
      </c>
      <c r="B27405" s="38">
        <v>54029.0</v>
      </c>
      <c r="C27405" s="38" t="s">
        <v>31865</v>
      </c>
      <c r="D27405" s="38" t="str">
        <f>IFERROR(__xludf.DUMMYFUNCTION("REGEXREPLACE(C27405,""-\d+(.*)|--\d+(.*)"","""")"),"AUDUN-LE-ROMAN")</f>
        <v>AUDUN-LE-ROMAN</v>
      </c>
      <c r="E27405" s="38" t="s">
        <v>548</v>
      </c>
      <c r="F27405" s="38" t="s">
        <v>195</v>
      </c>
      <c r="G27405" s="49" t="str">
        <f t="shared" si="1"/>
        <v>54560</v>
      </c>
      <c r="H27405" s="49">
        <f t="shared" si="2"/>
        <v>54029</v>
      </c>
    </row>
    <row r="27406">
      <c r="A27406" s="48" t="s">
        <v>365</v>
      </c>
      <c r="B27406" s="38">
        <v>50252.0</v>
      </c>
      <c r="C27406" s="38" t="s">
        <v>31866</v>
      </c>
      <c r="D27406" s="38" t="str">
        <f>IFERROR(__xludf.DUMMYFUNCTION("REGEXREPLACE(C27406,""-\d+(.*)|--\d+(.*)"","""")"),"HUDIMESNIL")</f>
        <v>HUDIMESNIL</v>
      </c>
      <c r="E27406" s="38" t="s">
        <v>157</v>
      </c>
      <c r="F27406" s="38" t="s">
        <v>138</v>
      </c>
      <c r="G27406" s="49" t="str">
        <f t="shared" si="1"/>
        <v>50510</v>
      </c>
      <c r="H27406" s="49">
        <f t="shared" si="2"/>
        <v>50252</v>
      </c>
    </row>
    <row r="27407">
      <c r="A27407" s="48" t="s">
        <v>3346</v>
      </c>
      <c r="B27407" s="38">
        <v>65414.0</v>
      </c>
      <c r="C27407" s="38" t="s">
        <v>2303</v>
      </c>
      <c r="D27407" s="38" t="str">
        <f>IFERROR(__xludf.DUMMYFUNCTION("REGEXREPLACE(C27407,""-\d+(.*)|--\d+(.*)"","""")"),"SEGALAS")</f>
        <v>SEGALAS</v>
      </c>
      <c r="E27407" s="38" t="s">
        <v>200</v>
      </c>
      <c r="F27407" s="38" t="s">
        <v>94</v>
      </c>
      <c r="G27407" s="49" t="str">
        <f t="shared" si="1"/>
        <v>65140</v>
      </c>
      <c r="H27407" s="49">
        <f t="shared" si="2"/>
        <v>65414</v>
      </c>
    </row>
    <row r="27408">
      <c r="A27408" s="48" t="s">
        <v>6235</v>
      </c>
      <c r="B27408" s="38">
        <v>49058.0</v>
      </c>
      <c r="C27408" s="38" t="s">
        <v>31867</v>
      </c>
      <c r="D27408" s="38" t="str">
        <f>IFERROR(__xludf.DUMMYFUNCTION("REGEXREPLACE(C27408,""-\d+(.*)|--\d+(.*)"","""")"),"LES CERQUEUX")</f>
        <v>LES CERQUEUX</v>
      </c>
      <c r="E27408" s="38" t="s">
        <v>653</v>
      </c>
      <c r="F27408" s="38" t="s">
        <v>180</v>
      </c>
      <c r="G27408" s="49" t="str">
        <f t="shared" si="1"/>
        <v>49360</v>
      </c>
      <c r="H27408" s="49">
        <f t="shared" si="2"/>
        <v>49058</v>
      </c>
    </row>
    <row r="27409">
      <c r="A27409" s="48" t="s">
        <v>403</v>
      </c>
      <c r="B27409" s="38">
        <v>59135.0</v>
      </c>
      <c r="C27409" s="38" t="s">
        <v>31868</v>
      </c>
      <c r="D27409" s="38" t="str">
        <f>IFERROR(__xludf.DUMMYFUNCTION("REGEXREPLACE(C27409,""-\d+(.*)|--\d+(.*)"","""")"),"CASSEL")</f>
        <v>CASSEL</v>
      </c>
      <c r="E27409" s="38" t="s">
        <v>85</v>
      </c>
      <c r="F27409" s="38" t="s">
        <v>86</v>
      </c>
      <c r="G27409" s="49" t="str">
        <f t="shared" si="1"/>
        <v>59670</v>
      </c>
      <c r="H27409" s="49">
        <f t="shared" si="2"/>
        <v>59135</v>
      </c>
    </row>
    <row r="27410">
      <c r="A27410" s="48" t="s">
        <v>1300</v>
      </c>
      <c r="B27410" s="38">
        <v>60424.0</v>
      </c>
      <c r="C27410" s="38" t="s">
        <v>31869</v>
      </c>
      <c r="D27410" s="38" t="str">
        <f>IFERROR(__xludf.DUMMYFUNCTION("REGEXREPLACE(C27410,""-\d+(.*)|--\d+(.*)"","""")"),"MONTMARTIN")</f>
        <v>MONTMARTIN</v>
      </c>
      <c r="E27410" s="38" t="s">
        <v>112</v>
      </c>
      <c r="F27410" s="38" t="s">
        <v>113</v>
      </c>
      <c r="G27410" s="49" t="str">
        <f t="shared" si="1"/>
        <v>60190</v>
      </c>
      <c r="H27410" s="49">
        <f t="shared" si="2"/>
        <v>60424</v>
      </c>
    </row>
    <row r="27411">
      <c r="A27411" s="48" t="s">
        <v>1404</v>
      </c>
      <c r="B27411" s="38">
        <v>30053.0</v>
      </c>
      <c r="C27411" s="38" t="s">
        <v>31870</v>
      </c>
      <c r="D27411" s="38" t="str">
        <f>IFERROR(__xludf.DUMMYFUNCTION("REGEXREPLACE(C27411,""-\d+(.*)|--\d+(.*)"","""")"),"BRIGNON")</f>
        <v>BRIGNON</v>
      </c>
      <c r="E27411" s="38" t="s">
        <v>526</v>
      </c>
      <c r="F27411" s="38" t="s">
        <v>119</v>
      </c>
      <c r="G27411" s="49" t="str">
        <f t="shared" si="1"/>
        <v>30190</v>
      </c>
      <c r="H27411" s="49">
        <f t="shared" si="2"/>
        <v>30053</v>
      </c>
    </row>
    <row r="27412">
      <c r="A27412" s="48" t="s">
        <v>2159</v>
      </c>
      <c r="B27412" s="38">
        <v>57220.0</v>
      </c>
      <c r="C27412" s="38" t="s">
        <v>31871</v>
      </c>
      <c r="D27412" s="38" t="str">
        <f>IFERROR(__xludf.DUMMYFUNCTION("REGEXREPLACE(C27412,""-\d+(.*)|--\d+(.*)"","""")"),"FLOCOURT")</f>
        <v>FLOCOURT</v>
      </c>
      <c r="E27412" s="38" t="s">
        <v>303</v>
      </c>
      <c r="F27412" s="38" t="s">
        <v>195</v>
      </c>
      <c r="G27412" s="49" t="str">
        <f t="shared" si="1"/>
        <v>57580</v>
      </c>
      <c r="H27412" s="49">
        <f t="shared" si="2"/>
        <v>57220</v>
      </c>
    </row>
    <row r="27413">
      <c r="A27413" s="48" t="s">
        <v>3920</v>
      </c>
      <c r="B27413" s="38">
        <v>50036.0</v>
      </c>
      <c r="C27413" s="38" t="s">
        <v>31872</v>
      </c>
      <c r="D27413" s="38" t="str">
        <f>IFERROR(__xludf.DUMMYFUNCTION("REGEXREPLACE(C27413,""-\d+(.*)|--\d+(.*)"","""")"),"BAUPTE")</f>
        <v>BAUPTE</v>
      </c>
      <c r="E27413" s="38" t="s">
        <v>157</v>
      </c>
      <c r="F27413" s="38" t="s">
        <v>138</v>
      </c>
      <c r="G27413" s="49" t="str">
        <f t="shared" si="1"/>
        <v>50500</v>
      </c>
      <c r="H27413" s="49">
        <f t="shared" si="2"/>
        <v>50036</v>
      </c>
    </row>
    <row r="27414">
      <c r="A27414" s="48" t="s">
        <v>4434</v>
      </c>
      <c r="B27414" s="38">
        <v>31552.0</v>
      </c>
      <c r="C27414" s="38" t="s">
        <v>31873</v>
      </c>
      <c r="D27414" s="38" t="str">
        <f>IFERROR(__xludf.DUMMYFUNCTION("REGEXREPLACE(C27414,""-\d+(.*)|--\d+(.*)"","""")"),"TERREBASSE")</f>
        <v>TERREBASSE</v>
      </c>
      <c r="E27414" s="38" t="s">
        <v>93</v>
      </c>
      <c r="F27414" s="38" t="s">
        <v>94</v>
      </c>
      <c r="G27414" s="49" t="str">
        <f t="shared" si="1"/>
        <v>31420</v>
      </c>
      <c r="H27414" s="49">
        <f t="shared" si="2"/>
        <v>31552</v>
      </c>
    </row>
    <row r="27415">
      <c r="A27415" s="48" t="s">
        <v>8595</v>
      </c>
      <c r="B27415" s="38">
        <v>42307.0</v>
      </c>
      <c r="C27415" s="38" t="s">
        <v>31874</v>
      </c>
      <c r="D27415" s="38" t="str">
        <f>IFERROR(__xludf.DUMMYFUNCTION("REGEXREPLACE(C27415,""-\d+(.*)|--\d+(.*)"","""")"),"TARTARAS")</f>
        <v>TARTARAS</v>
      </c>
      <c r="E27415" s="38" t="s">
        <v>166</v>
      </c>
      <c r="F27415" s="38" t="s">
        <v>102</v>
      </c>
      <c r="G27415" s="49" t="str">
        <f t="shared" si="1"/>
        <v>42800</v>
      </c>
      <c r="H27415" s="49">
        <f t="shared" si="2"/>
        <v>42307</v>
      </c>
    </row>
    <row r="27416">
      <c r="A27416" s="48" t="s">
        <v>2859</v>
      </c>
      <c r="B27416" s="38">
        <v>22061.0</v>
      </c>
      <c r="C27416" s="38" t="s">
        <v>31875</v>
      </c>
      <c r="D27416" s="38" t="str">
        <f>IFERROR(__xludf.DUMMYFUNCTION("REGEXREPLACE(C27416,""-\d+(.*)|--\d+(.*)"","""")"),"GLOMEL")</f>
        <v>GLOMEL</v>
      </c>
      <c r="E27416" s="38" t="s">
        <v>89</v>
      </c>
      <c r="F27416" s="38" t="s">
        <v>90</v>
      </c>
      <c r="G27416" s="49" t="str">
        <f t="shared" si="1"/>
        <v>22110</v>
      </c>
      <c r="H27416" s="49">
        <f t="shared" si="2"/>
        <v>22061</v>
      </c>
    </row>
    <row r="27417">
      <c r="A27417" s="48" t="s">
        <v>13638</v>
      </c>
      <c r="B27417" s="38">
        <v>56184.0</v>
      </c>
      <c r="C27417" s="38" t="s">
        <v>31876</v>
      </c>
      <c r="D27417" s="38" t="str">
        <f>IFERROR(__xludf.DUMMYFUNCTION("REGEXREPLACE(C27417,""-\d+(.*)|--\d+(.*)"","""")"),"QUESTEMBERT")</f>
        <v>QUESTEMBERT</v>
      </c>
      <c r="E27417" s="38" t="s">
        <v>173</v>
      </c>
      <c r="F27417" s="38" t="s">
        <v>90</v>
      </c>
      <c r="G27417" s="49" t="str">
        <f t="shared" si="1"/>
        <v>56230</v>
      </c>
      <c r="H27417" s="49">
        <f t="shared" si="2"/>
        <v>56184</v>
      </c>
    </row>
    <row r="27418">
      <c r="A27418" s="48" t="s">
        <v>2124</v>
      </c>
      <c r="B27418" s="38">
        <v>10404.0</v>
      </c>
      <c r="C27418" s="38" t="s">
        <v>31877</v>
      </c>
      <c r="D27418" s="38" t="str">
        <f>IFERROR(__xludf.DUMMYFUNCTION("REGEXREPLACE(C27418,""-\d+(.*)|--\d+(.*)"","""")"),"VERPILLIERES-SUR-OURCE")</f>
        <v>VERPILLIERES-SUR-OURCE</v>
      </c>
      <c r="E27418" s="38" t="s">
        <v>147</v>
      </c>
      <c r="F27418" s="38" t="s">
        <v>130</v>
      </c>
      <c r="G27418" s="49" t="str">
        <f t="shared" si="1"/>
        <v>10360</v>
      </c>
      <c r="H27418" s="49">
        <f t="shared" si="2"/>
        <v>10404</v>
      </c>
    </row>
    <row r="27419">
      <c r="A27419" s="48" t="s">
        <v>18092</v>
      </c>
      <c r="B27419" s="38">
        <v>87006.0</v>
      </c>
      <c r="C27419" s="38" t="s">
        <v>31878</v>
      </c>
      <c r="D27419" s="38" t="str">
        <f>IFERROR(__xludf.DUMMYFUNCTION("REGEXREPLACE(C27419,""-\d+(.*)|--\d+(.*)"","""")"),"AZAT-LE-RIS")</f>
        <v>AZAT-LE-RIS</v>
      </c>
      <c r="E27419" s="38" t="s">
        <v>897</v>
      </c>
      <c r="F27419" s="38" t="s">
        <v>98</v>
      </c>
      <c r="G27419" s="49" t="str">
        <f t="shared" si="1"/>
        <v>87360</v>
      </c>
      <c r="H27419" s="49">
        <f t="shared" si="2"/>
        <v>87006</v>
      </c>
    </row>
    <row r="27420">
      <c r="A27420" s="48" t="s">
        <v>4267</v>
      </c>
      <c r="B27420" s="38">
        <v>62026.0</v>
      </c>
      <c r="C27420" s="38" t="s">
        <v>31879</v>
      </c>
      <c r="D27420" s="38" t="str">
        <f>IFERROR(__xludf.DUMMYFUNCTION("REGEXREPLACE(C27420,""-\d+(.*)|--\d+(.*)"","""")"),"AMBRICOURT")</f>
        <v>AMBRICOURT</v>
      </c>
      <c r="E27420" s="38" t="s">
        <v>109</v>
      </c>
      <c r="F27420" s="38" t="s">
        <v>86</v>
      </c>
      <c r="G27420" s="49" t="str">
        <f t="shared" si="1"/>
        <v>62310</v>
      </c>
      <c r="H27420" s="49">
        <f t="shared" si="2"/>
        <v>62026</v>
      </c>
    </row>
    <row r="27421">
      <c r="A27421" s="48" t="s">
        <v>5791</v>
      </c>
      <c r="B27421" s="38">
        <v>85250.0</v>
      </c>
      <c r="C27421" s="38" t="s">
        <v>31880</v>
      </c>
      <c r="D27421" s="38" t="str">
        <f>IFERROR(__xludf.DUMMYFUNCTION("REGEXREPLACE(C27421,""-\d+(.*)|--\d+(.*)"","""")"),"SAINT-MATHURIN")</f>
        <v>SAINT-MATHURIN</v>
      </c>
      <c r="E27421" s="38" t="s">
        <v>179</v>
      </c>
      <c r="F27421" s="38" t="s">
        <v>180</v>
      </c>
      <c r="G27421" s="49" t="str">
        <f t="shared" si="1"/>
        <v>85150</v>
      </c>
      <c r="H27421" s="49">
        <f t="shared" si="2"/>
        <v>85250</v>
      </c>
    </row>
    <row r="27422">
      <c r="A27422" s="48" t="s">
        <v>1104</v>
      </c>
      <c r="B27422" s="38">
        <v>52178.0</v>
      </c>
      <c r="C27422" s="38" t="s">
        <v>31881</v>
      </c>
      <c r="D27422" s="38" t="str">
        <f>IFERROR(__xludf.DUMMYFUNCTION("REGEXREPLACE(C27422,""-\d+(.*)|--\d+(.*)"","""")"),"DOULEVANT-LE-CHATEAU")</f>
        <v>DOULEVANT-LE-CHATEAU</v>
      </c>
      <c r="E27422" s="38" t="s">
        <v>234</v>
      </c>
      <c r="F27422" s="38" t="s">
        <v>130</v>
      </c>
      <c r="G27422" s="49" t="str">
        <f t="shared" si="1"/>
        <v>52110</v>
      </c>
      <c r="H27422" s="49">
        <f t="shared" si="2"/>
        <v>52178</v>
      </c>
    </row>
    <row r="27423">
      <c r="A27423" s="48" t="s">
        <v>31882</v>
      </c>
      <c r="B27423" s="38">
        <v>76447.0</v>
      </c>
      <c r="C27423" s="38" t="s">
        <v>31883</v>
      </c>
      <c r="D27423" s="38" t="str">
        <f>IFERROR(__xludf.DUMMYFUNCTION("REGEXREPLACE(C27423,""-\d+(.*)|--\d+(.*)"","""")"),"MONTIVILLIERS")</f>
        <v>MONTIVILLIERS</v>
      </c>
      <c r="E27423" s="38" t="s">
        <v>133</v>
      </c>
      <c r="F27423" s="38" t="s">
        <v>134</v>
      </c>
      <c r="G27423" s="49" t="str">
        <f t="shared" si="1"/>
        <v>76290</v>
      </c>
      <c r="H27423" s="49">
        <f t="shared" si="2"/>
        <v>76447</v>
      </c>
    </row>
    <row r="27424">
      <c r="A27424" s="48" t="s">
        <v>1520</v>
      </c>
      <c r="B27424" s="38">
        <v>16002.0</v>
      </c>
      <c r="C27424" s="38" t="s">
        <v>31884</v>
      </c>
      <c r="D27424" s="38" t="str">
        <f>IFERROR(__xludf.DUMMYFUNCTION("REGEXREPLACE(C27424,""-\d+(.*)|--\d+(.*)"","""")"),"LES ADJOTS")</f>
        <v>LES ADJOTS</v>
      </c>
      <c r="E27424" s="38" t="s">
        <v>429</v>
      </c>
      <c r="F27424" s="38" t="s">
        <v>338</v>
      </c>
      <c r="G27424" s="49" t="str">
        <f t="shared" si="1"/>
        <v>16700</v>
      </c>
      <c r="H27424" s="49">
        <f t="shared" si="2"/>
        <v>16002</v>
      </c>
    </row>
    <row r="27425">
      <c r="A27425" s="48" t="s">
        <v>2976</v>
      </c>
      <c r="B27425" s="38">
        <v>14086.0</v>
      </c>
      <c r="C27425" s="38" t="s">
        <v>31885</v>
      </c>
      <c r="D27425" s="38" t="str">
        <f>IFERROR(__xludf.DUMMYFUNCTION("REGEXREPLACE(C27425,""-\d+(.*)|--\d+(.*)"","""")"),"BONNEVILLE-SUR-TOUQUES")</f>
        <v>BONNEVILLE-SUR-TOUQUES</v>
      </c>
      <c r="E27425" s="38" t="s">
        <v>137</v>
      </c>
      <c r="F27425" s="38" t="s">
        <v>138</v>
      </c>
      <c r="G27425" s="49" t="str">
        <f t="shared" si="1"/>
        <v>14800</v>
      </c>
      <c r="H27425" s="49">
        <f t="shared" si="2"/>
        <v>14086</v>
      </c>
    </row>
    <row r="27426">
      <c r="A27426" s="48" t="s">
        <v>24573</v>
      </c>
      <c r="B27426" s="38">
        <v>30328.0</v>
      </c>
      <c r="C27426" s="38" t="s">
        <v>31886</v>
      </c>
      <c r="D27426" s="38" t="str">
        <f>IFERROR(__xludf.DUMMYFUNCTION("REGEXREPLACE(C27426,""-\d+(.*)|--\d+(.*)"","""")"),"THEZIERS")</f>
        <v>THEZIERS</v>
      </c>
      <c r="E27426" s="38" t="s">
        <v>526</v>
      </c>
      <c r="F27426" s="38" t="s">
        <v>119</v>
      </c>
      <c r="G27426" s="49" t="str">
        <f t="shared" si="1"/>
        <v>30390</v>
      </c>
      <c r="H27426" s="49">
        <f t="shared" si="2"/>
        <v>30328</v>
      </c>
    </row>
    <row r="27427">
      <c r="A27427" s="48" t="s">
        <v>452</v>
      </c>
      <c r="B27427" s="38">
        <v>21470.0</v>
      </c>
      <c r="C27427" s="38" t="s">
        <v>31887</v>
      </c>
      <c r="D27427" s="38" t="str">
        <f>IFERROR(__xludf.DUMMYFUNCTION("REGEXREPLACE(C27427,""-\d+(.*)|--\d+(.*)"","""")"),"ORIGNY")</f>
        <v>ORIGNY</v>
      </c>
      <c r="E27427" s="38" t="s">
        <v>105</v>
      </c>
      <c r="F27427" s="38" t="s">
        <v>106</v>
      </c>
      <c r="G27427" s="49" t="str">
        <f t="shared" si="1"/>
        <v>21510</v>
      </c>
      <c r="H27427" s="49">
        <f t="shared" si="2"/>
        <v>21470</v>
      </c>
    </row>
    <row r="27428">
      <c r="A27428" s="48" t="s">
        <v>3002</v>
      </c>
      <c r="B27428" s="38">
        <v>43054.0</v>
      </c>
      <c r="C27428" s="38" t="s">
        <v>31888</v>
      </c>
      <c r="D27428" s="38" t="str">
        <f>IFERROR(__xludf.DUMMYFUNCTION("REGEXREPLACE(C27428,""-\d+(.*)|--\d+(.*)"","""")"),"CHANALEILLES")</f>
        <v>CHANALEILLES</v>
      </c>
      <c r="E27428" s="38" t="s">
        <v>332</v>
      </c>
      <c r="F27428" s="38" t="s">
        <v>161</v>
      </c>
      <c r="G27428" s="49" t="str">
        <f t="shared" si="1"/>
        <v>43170</v>
      </c>
      <c r="H27428" s="49">
        <f t="shared" si="2"/>
        <v>43054</v>
      </c>
    </row>
    <row r="27429">
      <c r="A27429" s="48" t="s">
        <v>26950</v>
      </c>
      <c r="B27429" s="38">
        <v>77466.0</v>
      </c>
      <c r="C27429" s="38" t="s">
        <v>31889</v>
      </c>
      <c r="D27429" s="38" t="str">
        <f>IFERROR(__xludf.DUMMYFUNCTION("REGEXREPLACE(C27429,""-\d+(.*)|--\d+(.*)"","""")"),"TIGEAUX")</f>
        <v>TIGEAUX</v>
      </c>
      <c r="E27429" s="38" t="s">
        <v>244</v>
      </c>
      <c r="F27429" s="38" t="s">
        <v>245</v>
      </c>
      <c r="G27429" s="49" t="str">
        <f t="shared" si="1"/>
        <v>77163</v>
      </c>
      <c r="H27429" s="49">
        <f t="shared" si="2"/>
        <v>77466</v>
      </c>
    </row>
    <row r="27430">
      <c r="A27430" s="48" t="s">
        <v>4752</v>
      </c>
      <c r="B27430" s="38">
        <v>33234.0</v>
      </c>
      <c r="C27430" s="38" t="s">
        <v>31890</v>
      </c>
      <c r="D27430" s="38" t="str">
        <f>IFERROR(__xludf.DUMMYFUNCTION("REGEXREPLACE(C27430,""-\d+(.*)|--\d+(.*)"","""")"),"LATRESNE")</f>
        <v>LATRESNE</v>
      </c>
      <c r="E27430" s="38" t="s">
        <v>462</v>
      </c>
      <c r="F27430" s="38" t="s">
        <v>252</v>
      </c>
      <c r="G27430" s="49" t="str">
        <f t="shared" si="1"/>
        <v>33360</v>
      </c>
      <c r="H27430" s="49">
        <f t="shared" si="2"/>
        <v>33234</v>
      </c>
    </row>
    <row r="27431">
      <c r="A27431" s="48" t="s">
        <v>3609</v>
      </c>
      <c r="B27431" s="38">
        <v>22032.0</v>
      </c>
      <c r="C27431" s="38" t="s">
        <v>31891</v>
      </c>
      <c r="D27431" s="38" t="str">
        <f>IFERROR(__xludf.DUMMYFUNCTION("REGEXREPLACE(C27431,""-\d+(.*)|--\d+(.*)"","""")"),"CAULNES")</f>
        <v>CAULNES</v>
      </c>
      <c r="E27431" s="38" t="s">
        <v>89</v>
      </c>
      <c r="F27431" s="38" t="s">
        <v>90</v>
      </c>
      <c r="G27431" s="49" t="str">
        <f t="shared" si="1"/>
        <v>22350</v>
      </c>
      <c r="H27431" s="49">
        <f t="shared" si="2"/>
        <v>22032</v>
      </c>
    </row>
    <row r="27432">
      <c r="A27432" s="48" t="s">
        <v>762</v>
      </c>
      <c r="B27432" s="38">
        <v>65092.0</v>
      </c>
      <c r="C27432" s="38" t="s">
        <v>31892</v>
      </c>
      <c r="D27432" s="38" t="str">
        <f>IFERROR(__xludf.DUMMYFUNCTION("REGEXREPLACE(C27432,""-\d+(.*)|--\d+(.*)"","""")"),"BEYREDE-JUMET")</f>
        <v>BEYREDE-JUMET</v>
      </c>
      <c r="E27432" s="38" t="s">
        <v>200</v>
      </c>
      <c r="F27432" s="38" t="s">
        <v>94</v>
      </c>
      <c r="G27432" s="49" t="str">
        <f t="shared" si="1"/>
        <v>65410</v>
      </c>
      <c r="H27432" s="49">
        <f t="shared" si="2"/>
        <v>65092</v>
      </c>
    </row>
    <row r="27433">
      <c r="A27433" s="48" t="s">
        <v>12491</v>
      </c>
      <c r="B27433" s="38">
        <v>21303.0</v>
      </c>
      <c r="C27433" s="38" t="s">
        <v>31893</v>
      </c>
      <c r="D27433" s="38" t="str">
        <f>IFERROR(__xludf.DUMMYFUNCTION("REGEXREPLACE(C27433,""-\d+(.*)|--\d+(.*)"","""")"),"LES GOULLES")</f>
        <v>LES GOULLES</v>
      </c>
      <c r="E27433" s="38" t="s">
        <v>105</v>
      </c>
      <c r="F27433" s="38" t="s">
        <v>106</v>
      </c>
      <c r="G27433" s="49" t="str">
        <f t="shared" si="1"/>
        <v>21520</v>
      </c>
      <c r="H27433" s="49">
        <f t="shared" si="2"/>
        <v>21303</v>
      </c>
    </row>
    <row r="27434">
      <c r="A27434" s="48" t="s">
        <v>31894</v>
      </c>
      <c r="B27434" s="38">
        <v>30060.0</v>
      </c>
      <c r="C27434" s="38" t="s">
        <v>31895</v>
      </c>
      <c r="D27434" s="38" t="str">
        <f>IFERROR(__xludf.DUMMYFUNCTION("REGEXREPLACE(C27434,""-\d+(.*)|--\d+(.*)"","""")"),"CAISSARGUES")</f>
        <v>CAISSARGUES</v>
      </c>
      <c r="E27434" s="38" t="s">
        <v>526</v>
      </c>
      <c r="F27434" s="38" t="s">
        <v>119</v>
      </c>
      <c r="G27434" s="49" t="str">
        <f t="shared" si="1"/>
        <v>30132</v>
      </c>
      <c r="H27434" s="49">
        <f t="shared" si="2"/>
        <v>30060</v>
      </c>
    </row>
    <row r="27435">
      <c r="A27435" s="48" t="s">
        <v>3668</v>
      </c>
      <c r="B27435" s="38">
        <v>65315.0</v>
      </c>
      <c r="C27435" s="38" t="s">
        <v>31896</v>
      </c>
      <c r="D27435" s="38" t="str">
        <f>IFERROR(__xludf.DUMMYFUNCTION("REGEXREPLACE(C27435,""-\d+(.*)|--\d+(.*)"","""")"),"MONLEON-MAGNOAC")</f>
        <v>MONLEON-MAGNOAC</v>
      </c>
      <c r="E27435" s="38" t="s">
        <v>200</v>
      </c>
      <c r="F27435" s="38" t="s">
        <v>94</v>
      </c>
      <c r="G27435" s="49" t="str">
        <f t="shared" si="1"/>
        <v>65670</v>
      </c>
      <c r="H27435" s="49">
        <f t="shared" si="2"/>
        <v>65315</v>
      </c>
    </row>
    <row r="27436">
      <c r="A27436" s="48" t="s">
        <v>1135</v>
      </c>
      <c r="B27436" s="38">
        <v>79196.0</v>
      </c>
      <c r="C27436" s="38" t="s">
        <v>31897</v>
      </c>
      <c r="D27436" s="38" t="str">
        <f>IFERROR(__xludf.DUMMYFUNCTION("REGEXREPLACE(C27436,""-\d+(.*)|--\d+(.*)"","""")"),"OIRON")</f>
        <v>OIRON</v>
      </c>
      <c r="E27436" s="38" t="s">
        <v>337</v>
      </c>
      <c r="F27436" s="38" t="s">
        <v>338</v>
      </c>
      <c r="G27436" s="49" t="str">
        <f t="shared" si="1"/>
        <v>79100</v>
      </c>
      <c r="H27436" s="49">
        <f t="shared" si="2"/>
        <v>79196</v>
      </c>
    </row>
    <row r="27437">
      <c r="A27437" s="48" t="s">
        <v>16304</v>
      </c>
      <c r="B27437" s="38">
        <v>87176.0</v>
      </c>
      <c r="C27437" s="38" t="s">
        <v>31898</v>
      </c>
      <c r="D27437" s="38" t="str">
        <f>IFERROR(__xludf.DUMMYFUNCTION("REGEXREPLACE(C27437,""-\d+(.*)|--\d+(.*)"","""")"),"SAINT-PRIEST-LIGOURE")</f>
        <v>SAINT-PRIEST-LIGOURE</v>
      </c>
      <c r="E27437" s="38" t="s">
        <v>897</v>
      </c>
      <c r="F27437" s="38" t="s">
        <v>98</v>
      </c>
      <c r="G27437" s="49" t="str">
        <f t="shared" si="1"/>
        <v>87800</v>
      </c>
      <c r="H27437" s="49">
        <f t="shared" si="2"/>
        <v>87176</v>
      </c>
    </row>
    <row r="27438">
      <c r="A27438" s="48" t="s">
        <v>8218</v>
      </c>
      <c r="B27438" s="38">
        <v>80754.0</v>
      </c>
      <c r="C27438" s="38" t="s">
        <v>31899</v>
      </c>
      <c r="D27438" s="38" t="str">
        <f>IFERROR(__xludf.DUMMYFUNCTION("REGEXREPLACE(C27438,""-\d+(.*)|--\d+(.*)"","""")"),"THIEULLOY-L'ABBAYE")</f>
        <v>THIEULLOY-L'ABBAYE</v>
      </c>
      <c r="E27438" s="38" t="s">
        <v>224</v>
      </c>
      <c r="F27438" s="38" t="s">
        <v>113</v>
      </c>
      <c r="G27438" s="49" t="str">
        <f t="shared" si="1"/>
        <v>80640</v>
      </c>
      <c r="H27438" s="49">
        <f t="shared" si="2"/>
        <v>80754</v>
      </c>
    </row>
    <row r="27439">
      <c r="A27439" s="48" t="s">
        <v>6119</v>
      </c>
      <c r="B27439" s="38">
        <v>45034.0</v>
      </c>
      <c r="C27439" s="38" t="s">
        <v>31900</v>
      </c>
      <c r="D27439" s="38" t="str">
        <f>IFERROR(__xludf.DUMMYFUNCTION("REGEXREPLACE(C27439,""-\d+(.*)|--\d+(.*)"","""")"),"BOIGNY-SUR-BIONNE")</f>
        <v>BOIGNY-SUR-BIONNE</v>
      </c>
      <c r="E27439" s="38" t="s">
        <v>122</v>
      </c>
      <c r="F27439" s="38" t="s">
        <v>123</v>
      </c>
      <c r="G27439" s="49" t="str">
        <f t="shared" si="1"/>
        <v>45760</v>
      </c>
      <c r="H27439" s="49">
        <f t="shared" si="2"/>
        <v>45034</v>
      </c>
    </row>
    <row r="27440">
      <c r="A27440" s="48" t="s">
        <v>31901</v>
      </c>
      <c r="B27440" s="38">
        <v>94068.0</v>
      </c>
      <c r="C27440" s="38" t="s">
        <v>31902</v>
      </c>
      <c r="D27440" s="38" t="str">
        <f>IFERROR(__xludf.DUMMYFUNCTION("REGEXREPLACE(C27440,""-\d+(.*)|--\d+(.*)"","""")"),"SAINT-MAUR-DES-FOSSES")</f>
        <v>SAINT-MAUR-DES-FOSSES</v>
      </c>
      <c r="E27440" s="38" t="s">
        <v>561</v>
      </c>
      <c r="F27440" s="38" t="s">
        <v>245</v>
      </c>
      <c r="G27440" s="49" t="str">
        <f t="shared" si="1"/>
        <v>94100/94210</v>
      </c>
      <c r="H27440" s="49">
        <f t="shared" si="2"/>
        <v>94068</v>
      </c>
    </row>
    <row r="27441">
      <c r="A27441" s="48" t="s">
        <v>5785</v>
      </c>
      <c r="B27441" s="38">
        <v>32083.0</v>
      </c>
      <c r="C27441" s="38" t="s">
        <v>31903</v>
      </c>
      <c r="D27441" s="38" t="str">
        <f>IFERROR(__xludf.DUMMYFUNCTION("REGEXREPLACE(C27441,""-\d+(.*)|--\d+(.*)"","""")"),"CASTERA-VERDUZAN")</f>
        <v>CASTERA-VERDUZAN</v>
      </c>
      <c r="E27441" s="38" t="s">
        <v>440</v>
      </c>
      <c r="F27441" s="38" t="s">
        <v>94</v>
      </c>
      <c r="G27441" s="49" t="str">
        <f t="shared" si="1"/>
        <v>32410</v>
      </c>
      <c r="H27441" s="49">
        <f t="shared" si="2"/>
        <v>32083</v>
      </c>
    </row>
    <row r="27442">
      <c r="A27442" s="48" t="s">
        <v>4013</v>
      </c>
      <c r="B27442" s="38">
        <v>9154.0</v>
      </c>
      <c r="C27442" s="38" t="s">
        <v>31904</v>
      </c>
      <c r="D27442" s="38" t="str">
        <f>IFERROR(__xludf.DUMMYFUNCTION("REGEXREPLACE(C27442,""-\d+(.*)|--\d+(.*)"","""")"),"LARBONT")</f>
        <v>LARBONT</v>
      </c>
      <c r="E27442" s="38" t="s">
        <v>238</v>
      </c>
      <c r="F27442" s="38" t="s">
        <v>94</v>
      </c>
      <c r="G27442" s="49" t="str">
        <f t="shared" si="1"/>
        <v>09240</v>
      </c>
      <c r="H27442" s="49" t="str">
        <f t="shared" si="2"/>
        <v>09154</v>
      </c>
    </row>
    <row r="27443">
      <c r="A27443" s="48" t="s">
        <v>9334</v>
      </c>
      <c r="B27443" s="38">
        <v>62755.0</v>
      </c>
      <c r="C27443" s="38" t="s">
        <v>14749</v>
      </c>
      <c r="D27443" s="38" t="str">
        <f>IFERROR(__xludf.DUMMYFUNCTION("REGEXREPLACE(C27443,""-\d+(.*)|--\d+(.*)"","""")"),"SAINT-LEONARD")</f>
        <v>SAINT-LEONARD</v>
      </c>
      <c r="E27443" s="38" t="s">
        <v>109</v>
      </c>
      <c r="F27443" s="38" t="s">
        <v>86</v>
      </c>
      <c r="G27443" s="49" t="str">
        <f t="shared" si="1"/>
        <v>62360</v>
      </c>
      <c r="H27443" s="49">
        <f t="shared" si="2"/>
        <v>62755</v>
      </c>
    </row>
    <row r="27444">
      <c r="A27444" s="48" t="s">
        <v>2540</v>
      </c>
      <c r="B27444" s="38">
        <v>2279.0</v>
      </c>
      <c r="C27444" s="38" t="s">
        <v>31905</v>
      </c>
      <c r="D27444" s="38" t="str">
        <f>IFERROR(__xludf.DUMMYFUNCTION("REGEXREPLACE(C27444,""-\d+(.*)|--\d+(.*)"","""")"),"EPAUX-BEZU")</f>
        <v>EPAUX-BEZU</v>
      </c>
      <c r="E27444" s="38" t="s">
        <v>191</v>
      </c>
      <c r="F27444" s="38" t="s">
        <v>113</v>
      </c>
      <c r="G27444" s="49" t="str">
        <f t="shared" si="1"/>
        <v>02400</v>
      </c>
      <c r="H27444" s="49" t="str">
        <f t="shared" si="2"/>
        <v>02279</v>
      </c>
    </row>
    <row r="27445">
      <c r="A27445" s="48" t="s">
        <v>1305</v>
      </c>
      <c r="B27445" s="38">
        <v>36248.0</v>
      </c>
      <c r="C27445" s="38" t="s">
        <v>31906</v>
      </c>
      <c r="D27445" s="38" t="str">
        <f>IFERROR(__xludf.DUMMYFUNCTION("REGEXREPLACE(C27445,""-\d+(.*)|--\d+(.*)"","""")"),"VOUILLON")</f>
        <v>VOUILLON</v>
      </c>
      <c r="E27445" s="38" t="s">
        <v>258</v>
      </c>
      <c r="F27445" s="38" t="s">
        <v>123</v>
      </c>
      <c r="G27445" s="49" t="str">
        <f t="shared" si="1"/>
        <v>36100</v>
      </c>
      <c r="H27445" s="49">
        <f t="shared" si="2"/>
        <v>36248</v>
      </c>
    </row>
    <row r="27446">
      <c r="A27446" s="48" t="s">
        <v>3418</v>
      </c>
      <c r="B27446" s="38">
        <v>47151.0</v>
      </c>
      <c r="C27446" s="38" t="s">
        <v>31907</v>
      </c>
      <c r="D27446" s="38" t="str">
        <f>IFERROR(__xludf.DUMMYFUNCTION("REGEXREPLACE(C27446,""-\d+(.*)|--\d+(.*)"","""")"),"LOUBES-BERNAC")</f>
        <v>LOUBES-BERNAC</v>
      </c>
      <c r="E27446" s="38" t="s">
        <v>251</v>
      </c>
      <c r="F27446" s="38" t="s">
        <v>252</v>
      </c>
      <c r="G27446" s="49" t="str">
        <f t="shared" si="1"/>
        <v>47120</v>
      </c>
      <c r="H27446" s="49">
        <f t="shared" si="2"/>
        <v>47151</v>
      </c>
    </row>
    <row r="27447">
      <c r="A27447" s="48" t="s">
        <v>12972</v>
      </c>
      <c r="B27447" s="38" t="s">
        <v>31908</v>
      </c>
      <c r="C27447" s="38" t="s">
        <v>31909</v>
      </c>
      <c r="D27447" s="38" t="str">
        <f>IFERROR(__xludf.DUMMYFUNCTION("REGEXREPLACE(C27447,""-\d+(.*)|--\d+(.*)"","""")"),"ALBERTACCE")</f>
        <v>ALBERTACCE</v>
      </c>
      <c r="E27447" s="38" t="s">
        <v>743</v>
      </c>
      <c r="F27447" s="38" t="s">
        <v>607</v>
      </c>
      <c r="G27447" s="49" t="str">
        <f t="shared" si="1"/>
        <v>20224</v>
      </c>
      <c r="H27447" s="49" t="str">
        <f t="shared" si="2"/>
        <v>2B007</v>
      </c>
    </row>
    <row r="27448">
      <c r="A27448" s="48" t="s">
        <v>4784</v>
      </c>
      <c r="B27448" s="38">
        <v>24455.0</v>
      </c>
      <c r="C27448" s="38" t="s">
        <v>31910</v>
      </c>
      <c r="D27448" s="38" t="str">
        <f>IFERROR(__xludf.DUMMYFUNCTION("REGEXREPLACE(C27448,""-\d+(.*)|--\d+(.*)"","""")"),"SAINT-MARTIN-DE-RIBERAC")</f>
        <v>SAINT-MARTIN-DE-RIBERAC</v>
      </c>
      <c r="E27448" s="38" t="s">
        <v>261</v>
      </c>
      <c r="F27448" s="38" t="s">
        <v>252</v>
      </c>
      <c r="G27448" s="49" t="str">
        <f t="shared" si="1"/>
        <v>24600</v>
      </c>
      <c r="H27448" s="49">
        <f t="shared" si="2"/>
        <v>24455</v>
      </c>
    </row>
    <row r="27449">
      <c r="A27449" s="48" t="s">
        <v>3578</v>
      </c>
      <c r="B27449" s="38">
        <v>72338.0</v>
      </c>
      <c r="C27449" s="38" t="s">
        <v>31911</v>
      </c>
      <c r="D27449" s="38" t="str">
        <f>IFERROR(__xludf.DUMMYFUNCTION("REGEXREPLACE(C27449,""-\d+(.*)|--\d+(.*)"","""")"),"SOUILLE")</f>
        <v>SOUILLE</v>
      </c>
      <c r="E27449" s="38" t="s">
        <v>521</v>
      </c>
      <c r="F27449" s="38" t="s">
        <v>180</v>
      </c>
      <c r="G27449" s="49" t="str">
        <f t="shared" si="1"/>
        <v>72380</v>
      </c>
      <c r="H27449" s="49">
        <f t="shared" si="2"/>
        <v>72338</v>
      </c>
    </row>
    <row r="27450">
      <c r="A27450" s="48" t="s">
        <v>1400</v>
      </c>
      <c r="B27450" s="38">
        <v>21570.0</v>
      </c>
      <c r="C27450" s="38" t="s">
        <v>31912</v>
      </c>
      <c r="D27450" s="38" t="str">
        <f>IFERROR(__xludf.DUMMYFUNCTION("REGEXREPLACE(C27450,""-\d+(.*)|--\d+(.*)"","""")"),"SAINTE-SABINE")</f>
        <v>SAINTE-SABINE</v>
      </c>
      <c r="E27450" s="38" t="s">
        <v>105</v>
      </c>
      <c r="F27450" s="38" t="s">
        <v>106</v>
      </c>
      <c r="G27450" s="49" t="str">
        <f t="shared" si="1"/>
        <v>21320</v>
      </c>
      <c r="H27450" s="49">
        <f t="shared" si="2"/>
        <v>21570</v>
      </c>
    </row>
    <row r="27451">
      <c r="A27451" s="48" t="s">
        <v>476</v>
      </c>
      <c r="B27451" s="38">
        <v>35291.0</v>
      </c>
      <c r="C27451" s="38" t="s">
        <v>31913</v>
      </c>
      <c r="D27451" s="38" t="str">
        <f>IFERROR(__xludf.DUMMYFUNCTION("REGEXREPLACE(C27451,""-\d+(.*)|--\d+(.*)"","""")"),"SAINT-MARCAN")</f>
        <v>SAINT-MARCAN</v>
      </c>
      <c r="E27451" s="38" t="s">
        <v>347</v>
      </c>
      <c r="F27451" s="38" t="s">
        <v>90</v>
      </c>
      <c r="G27451" s="49" t="str">
        <f t="shared" si="1"/>
        <v>35120</v>
      </c>
      <c r="H27451" s="49">
        <f t="shared" si="2"/>
        <v>35291</v>
      </c>
    </row>
    <row r="27452">
      <c r="A27452" s="48" t="s">
        <v>12799</v>
      </c>
      <c r="B27452" s="38">
        <v>11041.0</v>
      </c>
      <c r="C27452" s="38" t="s">
        <v>31914</v>
      </c>
      <c r="D27452" s="38" t="str">
        <f>IFERROR(__xludf.DUMMYFUNCTION("REGEXREPLACE(C27452,""-\d+(.*)|--\d+(.*)"","""")"),"BIZE-MINERVOIS")</f>
        <v>BIZE-MINERVOIS</v>
      </c>
      <c r="E27452" s="38" t="s">
        <v>278</v>
      </c>
      <c r="F27452" s="38" t="s">
        <v>119</v>
      </c>
      <c r="G27452" s="49" t="str">
        <f t="shared" si="1"/>
        <v>11120</v>
      </c>
      <c r="H27452" s="49">
        <f t="shared" si="2"/>
        <v>11041</v>
      </c>
    </row>
    <row r="27453">
      <c r="A27453" s="48" t="s">
        <v>4011</v>
      </c>
      <c r="B27453" s="38">
        <v>80349.0</v>
      </c>
      <c r="C27453" s="38" t="s">
        <v>31915</v>
      </c>
      <c r="D27453" s="38" t="str">
        <f>IFERROR(__xludf.DUMMYFUNCTION("REGEXREPLACE(C27453,""-\d+(.*)|--\d+(.*)"","""")"),"FRANSURES")</f>
        <v>FRANSURES</v>
      </c>
      <c r="E27453" s="38" t="s">
        <v>224</v>
      </c>
      <c r="F27453" s="38" t="s">
        <v>113</v>
      </c>
      <c r="G27453" s="49" t="str">
        <f t="shared" si="1"/>
        <v>80160</v>
      </c>
      <c r="H27453" s="49">
        <f t="shared" si="2"/>
        <v>80349</v>
      </c>
    </row>
    <row r="27454">
      <c r="A27454" s="48" t="s">
        <v>14346</v>
      </c>
      <c r="B27454" s="38">
        <v>43052.0</v>
      </c>
      <c r="C27454" s="38" t="s">
        <v>31916</v>
      </c>
      <c r="D27454" s="38" t="str">
        <f>IFERROR(__xludf.DUMMYFUNCTION("REGEXREPLACE(C27454,""-\d+(.*)|--\d+(.*)"","""")"),"CHAMPAGNAC-LE-VIEUX")</f>
        <v>CHAMPAGNAC-LE-VIEUX</v>
      </c>
      <c r="E27454" s="38" t="s">
        <v>332</v>
      </c>
      <c r="F27454" s="38" t="s">
        <v>161</v>
      </c>
      <c r="G27454" s="49" t="str">
        <f t="shared" si="1"/>
        <v>43440</v>
      </c>
      <c r="H27454" s="49">
        <f t="shared" si="2"/>
        <v>43052</v>
      </c>
    </row>
    <row r="27455">
      <c r="A27455" s="48" t="s">
        <v>5223</v>
      </c>
      <c r="B27455" s="38">
        <v>65383.0</v>
      </c>
      <c r="C27455" s="38" t="s">
        <v>31917</v>
      </c>
      <c r="D27455" s="38" t="str">
        <f>IFERROR(__xludf.DUMMYFUNCTION("REGEXREPLACE(C27455,""-\d+(.*)|--\d+(.*)"","""")"),"SADOURNIN")</f>
        <v>SADOURNIN</v>
      </c>
      <c r="E27455" s="38" t="s">
        <v>200</v>
      </c>
      <c r="F27455" s="38" t="s">
        <v>94</v>
      </c>
      <c r="G27455" s="49" t="str">
        <f t="shared" si="1"/>
        <v>65220</v>
      </c>
      <c r="H27455" s="49">
        <f t="shared" si="2"/>
        <v>65383</v>
      </c>
    </row>
    <row r="27456">
      <c r="A27456" s="48" t="s">
        <v>9920</v>
      </c>
      <c r="B27456" s="38">
        <v>79261.0</v>
      </c>
      <c r="C27456" s="38" t="s">
        <v>31918</v>
      </c>
      <c r="D27456" s="38" t="str">
        <f>IFERROR(__xludf.DUMMYFUNCTION("REGEXREPLACE(C27456,""-\d+(.*)|--\d+(.*)"","""")"),"SAINT-JOUIN-DE-MILLY")</f>
        <v>SAINT-JOUIN-DE-MILLY</v>
      </c>
      <c r="E27456" s="38" t="s">
        <v>337</v>
      </c>
      <c r="F27456" s="38" t="s">
        <v>338</v>
      </c>
      <c r="G27456" s="49" t="str">
        <f t="shared" si="1"/>
        <v>79380</v>
      </c>
      <c r="H27456" s="49">
        <f t="shared" si="2"/>
        <v>79261</v>
      </c>
    </row>
    <row r="27457">
      <c r="A27457" s="48" t="s">
        <v>3156</v>
      </c>
      <c r="B27457" s="38">
        <v>77406.0</v>
      </c>
      <c r="C27457" s="38" t="s">
        <v>31919</v>
      </c>
      <c r="D27457" s="38" t="str">
        <f>IFERROR(__xludf.DUMMYFUNCTION("REGEXREPLACE(C27457,""-\d+(.*)|--\d+(.*)"","""")"),"SAINT-DENIS-LES-REBAIS")</f>
        <v>SAINT-DENIS-LES-REBAIS</v>
      </c>
      <c r="E27457" s="38" t="s">
        <v>244</v>
      </c>
      <c r="F27457" s="38" t="s">
        <v>245</v>
      </c>
      <c r="G27457" s="49" t="str">
        <f t="shared" si="1"/>
        <v>77510</v>
      </c>
      <c r="H27457" s="49">
        <f t="shared" si="2"/>
        <v>77406</v>
      </c>
    </row>
    <row r="27458">
      <c r="A27458" s="48" t="s">
        <v>730</v>
      </c>
      <c r="B27458" s="38">
        <v>48028.0</v>
      </c>
      <c r="C27458" s="38" t="s">
        <v>31920</v>
      </c>
      <c r="D27458" s="38" t="str">
        <f>IFERROR(__xludf.DUMMYFUNCTION("REGEXREPLACE(C27458,""-\d+(.*)|--\d+(.*)"","""")"),"LES BONDONS")</f>
        <v>LES BONDONS</v>
      </c>
      <c r="E27458" s="38" t="s">
        <v>154</v>
      </c>
      <c r="F27458" s="38" t="s">
        <v>119</v>
      </c>
      <c r="G27458" s="49" t="str">
        <f t="shared" si="1"/>
        <v>48400</v>
      </c>
      <c r="H27458" s="49">
        <f t="shared" si="2"/>
        <v>48028</v>
      </c>
    </row>
    <row r="27459">
      <c r="A27459" s="48" t="s">
        <v>7700</v>
      </c>
      <c r="B27459" s="38">
        <v>23133.0</v>
      </c>
      <c r="C27459" s="38" t="s">
        <v>31921</v>
      </c>
      <c r="D27459" s="38" t="str">
        <f>IFERROR(__xludf.DUMMYFUNCTION("REGEXREPLACE(C27459,""-\d+(.*)|--\d+(.*)"","""")"),"MONTBOUCHER")</f>
        <v>MONTBOUCHER</v>
      </c>
      <c r="E27459" s="38" t="s">
        <v>97</v>
      </c>
      <c r="F27459" s="38" t="s">
        <v>98</v>
      </c>
      <c r="G27459" s="49" t="str">
        <f t="shared" si="1"/>
        <v>23400</v>
      </c>
      <c r="H27459" s="49">
        <f t="shared" si="2"/>
        <v>23133</v>
      </c>
    </row>
    <row r="27460">
      <c r="A27460" s="48" t="s">
        <v>1744</v>
      </c>
      <c r="B27460" s="38">
        <v>31096.0</v>
      </c>
      <c r="C27460" s="38" t="s">
        <v>31922</v>
      </c>
      <c r="D27460" s="38" t="str">
        <f>IFERROR(__xludf.DUMMYFUNCTION("REGEXREPLACE(C27460,""-\d+(.*)|--\d+(.*)"","""")"),"CABANAC-SEGUENVILLE")</f>
        <v>CABANAC-SEGUENVILLE</v>
      </c>
      <c r="E27460" s="38" t="s">
        <v>93</v>
      </c>
      <c r="F27460" s="38" t="s">
        <v>94</v>
      </c>
      <c r="G27460" s="49" t="str">
        <f t="shared" si="1"/>
        <v>31480</v>
      </c>
      <c r="H27460" s="49">
        <f t="shared" si="2"/>
        <v>31096</v>
      </c>
    </row>
    <row r="27461">
      <c r="A27461" s="48" t="s">
        <v>5956</v>
      </c>
      <c r="B27461" s="38">
        <v>62564.0</v>
      </c>
      <c r="C27461" s="38" t="s">
        <v>31923</v>
      </c>
      <c r="D27461" s="38" t="str">
        <f>IFERROR(__xludf.DUMMYFUNCTION("REGEXREPLACE(C27461,""-\d+(.*)|--\d+(.*)"","""")"),"MAZINGHEM")</f>
        <v>MAZINGHEM</v>
      </c>
      <c r="E27461" s="38" t="s">
        <v>109</v>
      </c>
      <c r="F27461" s="38" t="s">
        <v>86</v>
      </c>
      <c r="G27461" s="49" t="str">
        <f t="shared" si="1"/>
        <v>62120</v>
      </c>
      <c r="H27461" s="49">
        <f t="shared" si="2"/>
        <v>62564</v>
      </c>
    </row>
    <row r="27462">
      <c r="A27462" s="48" t="s">
        <v>5281</v>
      </c>
      <c r="B27462" s="38">
        <v>25078.0</v>
      </c>
      <c r="C27462" s="38" t="s">
        <v>31924</v>
      </c>
      <c r="D27462" s="38" t="str">
        <f>IFERROR(__xludf.DUMMYFUNCTION("REGEXREPLACE(C27462,""-\d+(.*)|--\d+(.*)"","""")"),"BOUCLANS")</f>
        <v>BOUCLANS</v>
      </c>
      <c r="E27462" s="38" t="s">
        <v>213</v>
      </c>
      <c r="F27462" s="38" t="s">
        <v>214</v>
      </c>
      <c r="G27462" s="49" t="str">
        <f t="shared" si="1"/>
        <v>25360</v>
      </c>
      <c r="H27462" s="49">
        <f t="shared" si="2"/>
        <v>25078</v>
      </c>
    </row>
    <row r="27463">
      <c r="A27463" s="48" t="s">
        <v>2848</v>
      </c>
      <c r="B27463" s="38">
        <v>51042.0</v>
      </c>
      <c r="C27463" s="38" t="s">
        <v>31925</v>
      </c>
      <c r="D27463" s="38" t="str">
        <f>IFERROR(__xludf.DUMMYFUNCTION("REGEXREPLACE(C27463,""-\d+(.*)|--\d+(.*)"","""")"),"BAYE")</f>
        <v>BAYE</v>
      </c>
      <c r="E27463" s="38" t="s">
        <v>129</v>
      </c>
      <c r="F27463" s="38" t="s">
        <v>130</v>
      </c>
      <c r="G27463" s="49" t="str">
        <f t="shared" si="1"/>
        <v>51270</v>
      </c>
      <c r="H27463" s="49">
        <f t="shared" si="2"/>
        <v>51042</v>
      </c>
    </row>
    <row r="27464">
      <c r="A27464" s="48" t="s">
        <v>6266</v>
      </c>
      <c r="B27464" s="38">
        <v>76608.0</v>
      </c>
      <c r="C27464" s="38" t="s">
        <v>31926</v>
      </c>
      <c r="D27464" s="38" t="str">
        <f>IFERROR(__xludf.DUMMYFUNCTION("REGEXREPLACE(C27464,""-\d+(.*)|--\d+(.*)"","""")"),"SAINTE-MARGUERITE-SUR-DUCLAIR")</f>
        <v>SAINTE-MARGUERITE-SUR-DUCLAIR</v>
      </c>
      <c r="E27464" s="38" t="s">
        <v>133</v>
      </c>
      <c r="F27464" s="38" t="s">
        <v>134</v>
      </c>
      <c r="G27464" s="49" t="str">
        <f t="shared" si="1"/>
        <v>76480</v>
      </c>
      <c r="H27464" s="49">
        <f t="shared" si="2"/>
        <v>76608</v>
      </c>
    </row>
    <row r="27465">
      <c r="A27465" s="48" t="s">
        <v>5230</v>
      </c>
      <c r="B27465" s="38">
        <v>25019.0</v>
      </c>
      <c r="C27465" s="38" t="s">
        <v>31927</v>
      </c>
      <c r="D27465" s="38" t="str">
        <f>IFERROR(__xludf.DUMMYFUNCTION("REGEXREPLACE(C27465,""-\d+(.*)|--\d+(.*)"","""")"),"APPENANS")</f>
        <v>APPENANS</v>
      </c>
      <c r="E27465" s="38" t="s">
        <v>213</v>
      </c>
      <c r="F27465" s="38" t="s">
        <v>214</v>
      </c>
      <c r="G27465" s="49" t="str">
        <f t="shared" si="1"/>
        <v>25250</v>
      </c>
      <c r="H27465" s="49">
        <f t="shared" si="2"/>
        <v>25019</v>
      </c>
    </row>
    <row r="27466">
      <c r="A27466" s="48" t="s">
        <v>5848</v>
      </c>
      <c r="B27466" s="38">
        <v>50281.0</v>
      </c>
      <c r="C27466" s="38" t="s">
        <v>31928</v>
      </c>
      <c r="D27466" s="38" t="str">
        <f>IFERROR(__xludf.DUMMYFUNCTION("REGEXREPLACE(C27466,""-\d+(.*)|--\d+(.*)"","""")"),"LA LUCERNE-D'OUTREMER")</f>
        <v>LA LUCERNE-D'OUTREMER</v>
      </c>
      <c r="E27466" s="38" t="s">
        <v>157</v>
      </c>
      <c r="F27466" s="38" t="s">
        <v>138</v>
      </c>
      <c r="G27466" s="49" t="str">
        <f t="shared" si="1"/>
        <v>50320</v>
      </c>
      <c r="H27466" s="49">
        <f t="shared" si="2"/>
        <v>50281</v>
      </c>
    </row>
    <row r="27467">
      <c r="A27467" s="48" t="s">
        <v>1611</v>
      </c>
      <c r="B27467" s="38">
        <v>51438.0</v>
      </c>
      <c r="C27467" s="38" t="s">
        <v>31929</v>
      </c>
      <c r="D27467" s="38" t="str">
        <f>IFERROR(__xludf.DUMMYFUNCTION("REGEXREPLACE(C27467,""-\d+(.*)|--\d+(.*)"","""")"),"POIX")</f>
        <v>POIX</v>
      </c>
      <c r="E27467" s="38" t="s">
        <v>129</v>
      </c>
      <c r="F27467" s="38" t="s">
        <v>130</v>
      </c>
      <c r="G27467" s="49" t="str">
        <f t="shared" si="1"/>
        <v>51460</v>
      </c>
      <c r="H27467" s="49">
        <f t="shared" si="2"/>
        <v>51438</v>
      </c>
    </row>
    <row r="27468">
      <c r="A27468" s="48" t="s">
        <v>6572</v>
      </c>
      <c r="B27468" s="38">
        <v>31435.0</v>
      </c>
      <c r="C27468" s="38" t="s">
        <v>31930</v>
      </c>
      <c r="D27468" s="38" t="str">
        <f>IFERROR(__xludf.DUMMYFUNCTION("REGEXREPLACE(C27468,""-\d+(.*)|--\d+(.*)"","""")"),"POUCHARRAMET")</f>
        <v>POUCHARRAMET</v>
      </c>
      <c r="E27468" s="38" t="s">
        <v>93</v>
      </c>
      <c r="F27468" s="38" t="s">
        <v>94</v>
      </c>
      <c r="G27468" s="49" t="str">
        <f t="shared" si="1"/>
        <v>31370</v>
      </c>
      <c r="H27468" s="49">
        <f t="shared" si="2"/>
        <v>31435</v>
      </c>
    </row>
    <row r="27469">
      <c r="A27469" s="48" t="s">
        <v>10189</v>
      </c>
      <c r="B27469" s="38">
        <v>59432.0</v>
      </c>
      <c r="C27469" s="38" t="s">
        <v>31931</v>
      </c>
      <c r="D27469" s="38" t="str">
        <f>IFERROR(__xludf.DUMMYFUNCTION("REGEXREPLACE(C27469,""-\d+(.*)|--\d+(.*)"","""")"),"NIERGNIES")</f>
        <v>NIERGNIES</v>
      </c>
      <c r="E27469" s="38" t="s">
        <v>85</v>
      </c>
      <c r="F27469" s="38" t="s">
        <v>86</v>
      </c>
      <c r="G27469" s="49" t="str">
        <f t="shared" si="1"/>
        <v>59400</v>
      </c>
      <c r="H27469" s="49">
        <f t="shared" si="2"/>
        <v>59432</v>
      </c>
    </row>
    <row r="27470">
      <c r="A27470" s="48" t="s">
        <v>294</v>
      </c>
      <c r="B27470" s="38">
        <v>40070.0</v>
      </c>
      <c r="C27470" s="38" t="s">
        <v>31932</v>
      </c>
      <c r="D27470" s="38" t="str">
        <f>IFERROR(__xludf.DUMMYFUNCTION("REGEXREPLACE(C27470,""-\d+(.*)|--\d+(.*)"","""")"),"CASTANDET")</f>
        <v>CASTANDET</v>
      </c>
      <c r="E27470" s="38" t="s">
        <v>281</v>
      </c>
      <c r="F27470" s="38" t="s">
        <v>252</v>
      </c>
      <c r="G27470" s="49" t="str">
        <f t="shared" si="1"/>
        <v>40270</v>
      </c>
      <c r="H27470" s="49">
        <f t="shared" si="2"/>
        <v>40070</v>
      </c>
    </row>
    <row r="27471">
      <c r="A27471" s="48" t="s">
        <v>2503</v>
      </c>
      <c r="B27471" s="38">
        <v>33325.0</v>
      </c>
      <c r="C27471" s="38" t="s">
        <v>31933</v>
      </c>
      <c r="D27471" s="38" t="str">
        <f>IFERROR(__xludf.DUMMYFUNCTION("REGEXREPLACE(C27471,""-\d+(.*)|--\d+(.*)"","""")"),"PLASSAC")</f>
        <v>PLASSAC</v>
      </c>
      <c r="E27471" s="38" t="s">
        <v>462</v>
      </c>
      <c r="F27471" s="38" t="s">
        <v>252</v>
      </c>
      <c r="G27471" s="49" t="str">
        <f t="shared" si="1"/>
        <v>33390</v>
      </c>
      <c r="H27471" s="49">
        <f t="shared" si="2"/>
        <v>33325</v>
      </c>
    </row>
    <row r="27472">
      <c r="A27472" s="48" t="s">
        <v>18855</v>
      </c>
      <c r="B27472" s="38">
        <v>86280.0</v>
      </c>
      <c r="C27472" s="38" t="s">
        <v>31934</v>
      </c>
      <c r="D27472" s="38" t="str">
        <f>IFERROR(__xludf.DUMMYFUNCTION("REGEXREPLACE(C27472,""-\d+(.*)|--\d+(.*)"","""")"),"VELLECHES")</f>
        <v>VELLECHES</v>
      </c>
      <c r="E27472" s="38" t="s">
        <v>529</v>
      </c>
      <c r="F27472" s="38" t="s">
        <v>338</v>
      </c>
      <c r="G27472" s="49" t="str">
        <f t="shared" si="1"/>
        <v>86230</v>
      </c>
      <c r="H27472" s="49">
        <f t="shared" si="2"/>
        <v>86280</v>
      </c>
    </row>
    <row r="27473">
      <c r="A27473" s="48" t="s">
        <v>10716</v>
      </c>
      <c r="B27473" s="38">
        <v>37011.0</v>
      </c>
      <c r="C27473" s="38" t="s">
        <v>22850</v>
      </c>
      <c r="D27473" s="38" t="str">
        <f>IFERROR(__xludf.DUMMYFUNCTION("REGEXREPLACE(C27473,""-\d+(.*)|--\d+(.*)"","""")"),"AVOINE")</f>
        <v>AVOINE</v>
      </c>
      <c r="E27473" s="38" t="s">
        <v>205</v>
      </c>
      <c r="F27473" s="38" t="s">
        <v>123</v>
      </c>
      <c r="G27473" s="49" t="str">
        <f t="shared" si="1"/>
        <v>37420</v>
      </c>
      <c r="H27473" s="49">
        <f t="shared" si="2"/>
        <v>37011</v>
      </c>
    </row>
    <row r="27474">
      <c r="A27474" s="48" t="s">
        <v>3182</v>
      </c>
      <c r="B27474" s="38">
        <v>80747.0</v>
      </c>
      <c r="C27474" s="38" t="s">
        <v>31935</v>
      </c>
      <c r="D27474" s="38" t="str">
        <f>IFERROR(__xludf.DUMMYFUNCTION("REGEXREPLACE(C27474,""-\d+(.*)|--\d+(.*)"","""")"),"TEMPLEUX-LA-FOSSE")</f>
        <v>TEMPLEUX-LA-FOSSE</v>
      </c>
      <c r="E27474" s="38" t="s">
        <v>224</v>
      </c>
      <c r="F27474" s="38" t="s">
        <v>113</v>
      </c>
      <c r="G27474" s="49" t="str">
        <f t="shared" si="1"/>
        <v>80240</v>
      </c>
      <c r="H27474" s="49">
        <f t="shared" si="2"/>
        <v>80747</v>
      </c>
    </row>
    <row r="27475">
      <c r="A27475" s="48" t="s">
        <v>5642</v>
      </c>
      <c r="B27475" s="38">
        <v>73192.0</v>
      </c>
      <c r="C27475" s="38" t="s">
        <v>27378</v>
      </c>
      <c r="D27475" s="38" t="str">
        <f>IFERROR(__xludf.DUMMYFUNCTION("REGEXREPLACE(C27475,""-\d+(.*)|--\d+(.*)"","""")"),"LE NOYER")</f>
        <v>LE NOYER</v>
      </c>
      <c r="E27475" s="38" t="s">
        <v>306</v>
      </c>
      <c r="F27475" s="38" t="s">
        <v>102</v>
      </c>
      <c r="G27475" s="49" t="str">
        <f t="shared" si="1"/>
        <v>73340</v>
      </c>
      <c r="H27475" s="49">
        <f t="shared" si="2"/>
        <v>73192</v>
      </c>
    </row>
    <row r="27476">
      <c r="A27476" s="48" t="s">
        <v>21394</v>
      </c>
      <c r="B27476" s="38">
        <v>68217.0</v>
      </c>
      <c r="C27476" s="38" t="s">
        <v>31936</v>
      </c>
      <c r="D27476" s="38" t="str">
        <f>IFERROR(__xludf.DUMMYFUNCTION("REGEXREPLACE(C27476,""-\d+(.*)|--\d+(.*)"","""")"),"MOOSCH")</f>
        <v>MOOSCH</v>
      </c>
      <c r="E27476" s="38" t="s">
        <v>150</v>
      </c>
      <c r="F27476" s="38" t="s">
        <v>151</v>
      </c>
      <c r="G27476" s="49" t="str">
        <f t="shared" si="1"/>
        <v>68690</v>
      </c>
      <c r="H27476" s="49">
        <f t="shared" si="2"/>
        <v>68217</v>
      </c>
    </row>
    <row r="27477">
      <c r="A27477" s="48" t="s">
        <v>7904</v>
      </c>
      <c r="B27477" s="38">
        <v>62500.0</v>
      </c>
      <c r="C27477" s="38" t="s">
        <v>31937</v>
      </c>
      <c r="D27477" s="38" t="str">
        <f>IFERROR(__xludf.DUMMYFUNCTION("REGEXREPLACE(C27477,""-\d+(.*)|--\d+(.*)"","""")"),"LESPESSES")</f>
        <v>LESPESSES</v>
      </c>
      <c r="E27477" s="38" t="s">
        <v>109</v>
      </c>
      <c r="F27477" s="38" t="s">
        <v>86</v>
      </c>
      <c r="G27477" s="49" t="str">
        <f t="shared" si="1"/>
        <v>62190</v>
      </c>
      <c r="H27477" s="49">
        <f t="shared" si="2"/>
        <v>62500</v>
      </c>
    </row>
    <row r="27478">
      <c r="A27478" s="48" t="s">
        <v>1081</v>
      </c>
      <c r="B27478" s="38">
        <v>14502.0</v>
      </c>
      <c r="C27478" s="38" t="s">
        <v>1129</v>
      </c>
      <c r="D27478" s="38" t="str">
        <f>IFERROR(__xludf.DUMMYFUNCTION("REGEXREPLACE(C27478,""-\d+(.*)|--\d+(.*)"","""")"),"PIERREPONT")</f>
        <v>PIERREPONT</v>
      </c>
      <c r="E27478" s="38" t="s">
        <v>137</v>
      </c>
      <c r="F27478" s="38" t="s">
        <v>138</v>
      </c>
      <c r="G27478" s="49" t="str">
        <f t="shared" si="1"/>
        <v>14690</v>
      </c>
      <c r="H27478" s="49">
        <f t="shared" si="2"/>
        <v>14502</v>
      </c>
    </row>
    <row r="27479">
      <c r="A27479" s="48" t="s">
        <v>31938</v>
      </c>
      <c r="B27479" s="38">
        <v>60175.0</v>
      </c>
      <c r="C27479" s="38" t="s">
        <v>31939</v>
      </c>
      <c r="D27479" s="38" t="str">
        <f>IFERROR(__xludf.DUMMYFUNCTION("REGEXREPLACE(C27479,""-\d+(.*)|--\d+(.*)"","""")"),"CREIL")</f>
        <v>CREIL</v>
      </c>
      <c r="E27479" s="38" t="s">
        <v>112</v>
      </c>
      <c r="F27479" s="38" t="s">
        <v>113</v>
      </c>
      <c r="G27479" s="49" t="str">
        <f t="shared" si="1"/>
        <v>60100</v>
      </c>
      <c r="H27479" s="49">
        <f t="shared" si="2"/>
        <v>60175</v>
      </c>
    </row>
    <row r="27480">
      <c r="A27480" s="48" t="s">
        <v>21810</v>
      </c>
      <c r="B27480" s="38">
        <v>89288.0</v>
      </c>
      <c r="C27480" s="38" t="s">
        <v>31940</v>
      </c>
      <c r="D27480" s="38" t="str">
        <f>IFERROR(__xludf.DUMMYFUNCTION("REGEXREPLACE(C27480,""-\d+(.*)|--\d+(.*)"","""")"),"PAROY-EN-OTHE")</f>
        <v>PAROY-EN-OTHE</v>
      </c>
      <c r="E27480" s="38" t="s">
        <v>275</v>
      </c>
      <c r="F27480" s="38" t="s">
        <v>106</v>
      </c>
      <c r="G27480" s="49" t="str">
        <f t="shared" si="1"/>
        <v>89210</v>
      </c>
      <c r="H27480" s="49">
        <f t="shared" si="2"/>
        <v>89288</v>
      </c>
    </row>
    <row r="27481">
      <c r="A27481" s="48" t="s">
        <v>4526</v>
      </c>
      <c r="B27481" s="38">
        <v>23069.0</v>
      </c>
      <c r="C27481" s="38" t="s">
        <v>31941</v>
      </c>
      <c r="D27481" s="38" t="str">
        <f>IFERROR(__xludf.DUMMYFUNCTION("REGEXREPLACE(C27481,""-\d+(.*)|--\d+(.*)"","""")"),"CROCQ")</f>
        <v>CROCQ</v>
      </c>
      <c r="E27481" s="38" t="s">
        <v>97</v>
      </c>
      <c r="F27481" s="38" t="s">
        <v>98</v>
      </c>
      <c r="G27481" s="49" t="str">
        <f t="shared" si="1"/>
        <v>23260</v>
      </c>
      <c r="H27481" s="49">
        <f t="shared" si="2"/>
        <v>23069</v>
      </c>
    </row>
    <row r="27482">
      <c r="A27482" s="48" t="s">
        <v>2419</v>
      </c>
      <c r="B27482" s="38">
        <v>58080.0</v>
      </c>
      <c r="C27482" s="38" t="s">
        <v>31942</v>
      </c>
      <c r="D27482" s="38" t="str">
        <f>IFERROR(__xludf.DUMMYFUNCTION("REGEXREPLACE(C27482,""-\d+(.*)|--\d+(.*)"","""")"),"LA COLLANCELLE")</f>
        <v>LA COLLANCELLE</v>
      </c>
      <c r="E27482" s="38" t="s">
        <v>219</v>
      </c>
      <c r="F27482" s="38" t="s">
        <v>106</v>
      </c>
      <c r="G27482" s="49" t="str">
        <f t="shared" si="1"/>
        <v>58800</v>
      </c>
      <c r="H27482" s="49">
        <f t="shared" si="2"/>
        <v>58080</v>
      </c>
    </row>
    <row r="27483">
      <c r="A27483" s="48" t="s">
        <v>9457</v>
      </c>
      <c r="B27483" s="38">
        <v>5022.0</v>
      </c>
      <c r="C27483" s="38" t="s">
        <v>31943</v>
      </c>
      <c r="D27483" s="38" t="str">
        <f>IFERROR(__xludf.DUMMYFUNCTION("REGEXREPLACE(C27483,""-\d+(.*)|--\d+(.*)"","""")"),"BREZIERS")</f>
        <v>BREZIERS</v>
      </c>
      <c r="E27483" s="38" t="s">
        <v>706</v>
      </c>
      <c r="F27483" s="38" t="s">
        <v>228</v>
      </c>
      <c r="G27483" s="49" t="str">
        <f t="shared" si="1"/>
        <v>05190</v>
      </c>
      <c r="H27483" s="49" t="str">
        <f t="shared" si="2"/>
        <v>05022</v>
      </c>
    </row>
    <row r="27484">
      <c r="A27484" s="48" t="s">
        <v>450</v>
      </c>
      <c r="B27484" s="38">
        <v>71403.0</v>
      </c>
      <c r="C27484" s="38" t="s">
        <v>31944</v>
      </c>
      <c r="D27484" s="38" t="str">
        <f>IFERROR(__xludf.DUMMYFUNCTION("REGEXREPLACE(C27484,""-\d+(.*)|--\d+(.*)"","""")"),"SAINT-DENIS-DE-VAUX")</f>
        <v>SAINT-DENIS-DE-VAUX</v>
      </c>
      <c r="E27484" s="38" t="s">
        <v>344</v>
      </c>
      <c r="F27484" s="38" t="s">
        <v>106</v>
      </c>
      <c r="G27484" s="49" t="str">
        <f t="shared" si="1"/>
        <v>71640</v>
      </c>
      <c r="H27484" s="49">
        <f t="shared" si="2"/>
        <v>71403</v>
      </c>
    </row>
    <row r="27485">
      <c r="A27485" s="48" t="s">
        <v>7005</v>
      </c>
      <c r="B27485" s="38">
        <v>82183.0</v>
      </c>
      <c r="C27485" s="38" t="s">
        <v>31945</v>
      </c>
      <c r="D27485" s="38" t="str">
        <f>IFERROR(__xludf.DUMMYFUNCTION("REGEXREPLACE(C27485,""-\d+(.*)|--\d+(.*)"","""")"),"TREJOULS")</f>
        <v>TREJOULS</v>
      </c>
      <c r="E27485" s="38" t="s">
        <v>570</v>
      </c>
      <c r="F27485" s="38" t="s">
        <v>94</v>
      </c>
      <c r="G27485" s="49" t="str">
        <f t="shared" si="1"/>
        <v>82110</v>
      </c>
      <c r="H27485" s="49">
        <f t="shared" si="2"/>
        <v>82183</v>
      </c>
    </row>
    <row r="27486">
      <c r="A27486" s="48" t="s">
        <v>12522</v>
      </c>
      <c r="B27486" s="38">
        <v>59652.0</v>
      </c>
      <c r="C27486" s="38" t="s">
        <v>31946</v>
      </c>
      <c r="D27486" s="38" t="str">
        <f>IFERROR(__xludf.DUMMYFUNCTION("REGEXREPLACE(C27486,""-\d+(.*)|--\d+(.*)"","""")"),"WAVRECHAIN-SOUS-FAULX")</f>
        <v>WAVRECHAIN-SOUS-FAULX</v>
      </c>
      <c r="E27486" s="38" t="s">
        <v>85</v>
      </c>
      <c r="F27486" s="38" t="s">
        <v>86</v>
      </c>
      <c r="G27486" s="49" t="str">
        <f t="shared" si="1"/>
        <v>59111</v>
      </c>
      <c r="H27486" s="49">
        <f t="shared" si="2"/>
        <v>59652</v>
      </c>
    </row>
    <row r="27487">
      <c r="A27487" s="48" t="s">
        <v>2697</v>
      </c>
      <c r="B27487" s="38">
        <v>61256.0</v>
      </c>
      <c r="C27487" s="38" t="s">
        <v>31947</v>
      </c>
      <c r="D27487" s="38" t="str">
        <f>IFERROR(__xludf.DUMMYFUNCTION("REGEXREPLACE(C27487,""-\d+(.*)|--\d+(.*)"","""")"),"MEDAVY")</f>
        <v>MEDAVY</v>
      </c>
      <c r="E27487" s="38" t="s">
        <v>141</v>
      </c>
      <c r="F27487" s="38" t="s">
        <v>138</v>
      </c>
      <c r="G27487" s="49" t="str">
        <f t="shared" si="1"/>
        <v>61570</v>
      </c>
      <c r="H27487" s="49">
        <f t="shared" si="2"/>
        <v>61256</v>
      </c>
    </row>
    <row r="27488">
      <c r="A27488" s="48" t="s">
        <v>1993</v>
      </c>
      <c r="B27488" s="38">
        <v>2283.0</v>
      </c>
      <c r="C27488" s="38" t="s">
        <v>31948</v>
      </c>
      <c r="D27488" s="38" t="str">
        <f>IFERROR(__xludf.DUMMYFUNCTION("REGEXREPLACE(C27488,""-\d+(.*)|--\d+(.*)"","""")"),"ERLON")</f>
        <v>ERLON</v>
      </c>
      <c r="E27488" s="38" t="s">
        <v>191</v>
      </c>
      <c r="F27488" s="38" t="s">
        <v>113</v>
      </c>
      <c r="G27488" s="49" t="str">
        <f t="shared" si="1"/>
        <v>02250</v>
      </c>
      <c r="H27488" s="49" t="str">
        <f t="shared" si="2"/>
        <v>02283</v>
      </c>
    </row>
    <row r="27489">
      <c r="A27489" s="48" t="s">
        <v>2628</v>
      </c>
      <c r="B27489" s="38">
        <v>19156.0</v>
      </c>
      <c r="C27489" s="38" t="s">
        <v>31949</v>
      </c>
      <c r="D27489" s="38" t="str">
        <f>IFERROR(__xludf.DUMMYFUNCTION("REGEXREPLACE(C27489,""-\d+(.*)|--\d+(.*)"","""")"),"PALAZINGES")</f>
        <v>PALAZINGES</v>
      </c>
      <c r="E27489" s="38" t="s">
        <v>271</v>
      </c>
      <c r="F27489" s="38" t="s">
        <v>98</v>
      </c>
      <c r="G27489" s="49" t="str">
        <f t="shared" si="1"/>
        <v>19190</v>
      </c>
      <c r="H27489" s="49">
        <f t="shared" si="2"/>
        <v>19156</v>
      </c>
    </row>
    <row r="27490">
      <c r="A27490" s="48" t="s">
        <v>7477</v>
      </c>
      <c r="B27490" s="38">
        <v>4218.0</v>
      </c>
      <c r="C27490" s="38" t="s">
        <v>31950</v>
      </c>
      <c r="D27490" s="38" t="str">
        <f>IFERROR(__xludf.DUMMYFUNCTION("REGEXREPLACE(C27490,""-\d+(.*)|--\d+(.*)"","""")"),"THORAME-BASSE")</f>
        <v>THORAME-BASSE</v>
      </c>
      <c r="E27490" s="38" t="s">
        <v>662</v>
      </c>
      <c r="F27490" s="38" t="s">
        <v>228</v>
      </c>
      <c r="G27490" s="49" t="str">
        <f t="shared" si="1"/>
        <v>04170</v>
      </c>
      <c r="H27490" s="49" t="str">
        <f t="shared" si="2"/>
        <v>04218</v>
      </c>
    </row>
    <row r="27491">
      <c r="A27491" s="48" t="s">
        <v>11853</v>
      </c>
      <c r="B27491" s="38">
        <v>38165.0</v>
      </c>
      <c r="C27491" s="38" t="s">
        <v>31951</v>
      </c>
      <c r="D27491" s="38" t="str">
        <f>IFERROR(__xludf.DUMMYFUNCTION("REGEXREPLACE(C27491,""-\d+(.*)|--\d+(.*)"","""")"),"FITILIEU")</f>
        <v>FITILIEU</v>
      </c>
      <c r="E27491" s="38" t="s">
        <v>101</v>
      </c>
      <c r="F27491" s="38" t="s">
        <v>102</v>
      </c>
      <c r="G27491" s="49" t="str">
        <f t="shared" si="1"/>
        <v>38490</v>
      </c>
      <c r="H27491" s="49">
        <f t="shared" si="2"/>
        <v>38165</v>
      </c>
    </row>
    <row r="27492">
      <c r="A27492" s="48" t="s">
        <v>4082</v>
      </c>
      <c r="B27492" s="38">
        <v>95438.0</v>
      </c>
      <c r="C27492" s="38" t="s">
        <v>29552</v>
      </c>
      <c r="D27492" s="38" t="str">
        <f>IFERROR(__xludf.DUMMYFUNCTION("REGEXREPLACE(C27492,""-\d+(.*)|--\d+(.*)"","""")"),"MOUSSY")</f>
        <v>MOUSSY</v>
      </c>
      <c r="E27492" s="38" t="s">
        <v>541</v>
      </c>
      <c r="F27492" s="38" t="s">
        <v>245</v>
      </c>
      <c r="G27492" s="49" t="str">
        <f t="shared" si="1"/>
        <v>95640</v>
      </c>
      <c r="H27492" s="49">
        <f t="shared" si="2"/>
        <v>95438</v>
      </c>
    </row>
    <row r="27493">
      <c r="A27493" s="48" t="s">
        <v>2506</v>
      </c>
      <c r="B27493" s="38">
        <v>80729.0</v>
      </c>
      <c r="C27493" s="38" t="s">
        <v>31952</v>
      </c>
      <c r="D27493" s="38" t="str">
        <f>IFERROR(__xludf.DUMMYFUNCTION("REGEXREPLACE(C27493,""-\d+(.*)|--\d+(.*)"","""")"),"SAUVILLERS-MONGIVAL")</f>
        <v>SAUVILLERS-MONGIVAL</v>
      </c>
      <c r="E27493" s="38" t="s">
        <v>224</v>
      </c>
      <c r="F27493" s="38" t="s">
        <v>113</v>
      </c>
      <c r="G27493" s="49" t="str">
        <f t="shared" si="1"/>
        <v>80110</v>
      </c>
      <c r="H27493" s="49">
        <f t="shared" si="2"/>
        <v>80729</v>
      </c>
    </row>
    <row r="27494">
      <c r="A27494" s="48" t="s">
        <v>5364</v>
      </c>
      <c r="B27494" s="38">
        <v>35099.0</v>
      </c>
      <c r="C27494" s="38" t="s">
        <v>31953</v>
      </c>
      <c r="D27494" s="38" t="str">
        <f>IFERROR(__xludf.DUMMYFUNCTION("REGEXREPLACE(C27494,""-\d+(.*)|--\d+(.*)"","""")"),"DOMLOUP")</f>
        <v>DOMLOUP</v>
      </c>
      <c r="E27494" s="38" t="s">
        <v>347</v>
      </c>
      <c r="F27494" s="38" t="s">
        <v>90</v>
      </c>
      <c r="G27494" s="49" t="str">
        <f t="shared" si="1"/>
        <v>35410</v>
      </c>
      <c r="H27494" s="49">
        <f t="shared" si="2"/>
        <v>35099</v>
      </c>
    </row>
    <row r="27495">
      <c r="A27495" s="48" t="s">
        <v>31954</v>
      </c>
      <c r="B27495" s="38">
        <v>38253.0</v>
      </c>
      <c r="C27495" s="38" t="s">
        <v>31955</v>
      </c>
      <c r="D27495" s="38" t="str">
        <f>IFERROR(__xludf.DUMMYFUNCTION("REGEXREPLACE(C27495,""-\d+(.*)|--\d+(.*)"","""")"),"MONT-DE-LANS")</f>
        <v>MONT-DE-LANS</v>
      </c>
      <c r="E27495" s="38" t="s">
        <v>101</v>
      </c>
      <c r="F27495" s="38" t="s">
        <v>102</v>
      </c>
      <c r="G27495" s="49" t="str">
        <f t="shared" si="1"/>
        <v>38860</v>
      </c>
      <c r="H27495" s="49">
        <f t="shared" si="2"/>
        <v>38253</v>
      </c>
    </row>
    <row r="27496">
      <c r="A27496" s="48" t="s">
        <v>4340</v>
      </c>
      <c r="B27496" s="38">
        <v>33510.0</v>
      </c>
      <c r="C27496" s="38" t="s">
        <v>31956</v>
      </c>
      <c r="D27496" s="38" t="str">
        <f>IFERROR(__xludf.DUMMYFUNCTION("REGEXREPLACE(C27496,""-\d+(.*)|--\d+(.*)"","""")"),"SEMENS")</f>
        <v>SEMENS</v>
      </c>
      <c r="E27496" s="38" t="s">
        <v>462</v>
      </c>
      <c r="F27496" s="38" t="s">
        <v>252</v>
      </c>
      <c r="G27496" s="49" t="str">
        <f t="shared" si="1"/>
        <v>33490</v>
      </c>
      <c r="H27496" s="49">
        <f t="shared" si="2"/>
        <v>33510</v>
      </c>
    </row>
    <row r="27497">
      <c r="A27497" s="48" t="s">
        <v>2773</v>
      </c>
      <c r="B27497" s="38">
        <v>21711.0</v>
      </c>
      <c r="C27497" s="38" t="s">
        <v>29967</v>
      </c>
      <c r="D27497" s="38" t="str">
        <f>IFERROR(__xludf.DUMMYFUNCTION("REGEXREPLACE(C27497,""-\d+(.*)|--\d+(.*)"","""")"),"VIX")</f>
        <v>VIX</v>
      </c>
      <c r="E27497" s="38" t="s">
        <v>105</v>
      </c>
      <c r="F27497" s="38" t="s">
        <v>106</v>
      </c>
      <c r="G27497" s="49" t="str">
        <f t="shared" si="1"/>
        <v>21400</v>
      </c>
      <c r="H27497" s="49">
        <f t="shared" si="2"/>
        <v>21711</v>
      </c>
    </row>
    <row r="27498">
      <c r="A27498" s="48" t="s">
        <v>28545</v>
      </c>
      <c r="B27498" s="38">
        <v>44106.0</v>
      </c>
      <c r="C27498" s="38" t="s">
        <v>31957</v>
      </c>
      <c r="D27498" s="38" t="str">
        <f>IFERROR(__xludf.DUMMYFUNCTION("REGEXREPLACE(C27498,""-\d+(.*)|--\d+(.*)"","""")"),"LES MOUTIERS-EN-RETZ")</f>
        <v>LES MOUTIERS-EN-RETZ</v>
      </c>
      <c r="E27498" s="38" t="s">
        <v>759</v>
      </c>
      <c r="F27498" s="38" t="s">
        <v>180</v>
      </c>
      <c r="G27498" s="49" t="str">
        <f t="shared" si="1"/>
        <v>44760</v>
      </c>
      <c r="H27498" s="49">
        <f t="shared" si="2"/>
        <v>44106</v>
      </c>
    </row>
    <row r="27499">
      <c r="A27499" s="48" t="s">
        <v>4526</v>
      </c>
      <c r="B27499" s="38">
        <v>23226.0</v>
      </c>
      <c r="C27499" s="38" t="s">
        <v>31958</v>
      </c>
      <c r="D27499" s="38" t="str">
        <f>IFERROR(__xludf.DUMMYFUNCTION("REGEXREPLACE(C27499,""-\d+(.*)|--\d+(.*)"","""")"),"SAINT-PARDOUX-D'ARNET")</f>
        <v>SAINT-PARDOUX-D'ARNET</v>
      </c>
      <c r="E27499" s="38" t="s">
        <v>97</v>
      </c>
      <c r="F27499" s="38" t="s">
        <v>98</v>
      </c>
      <c r="G27499" s="49" t="str">
        <f t="shared" si="1"/>
        <v>23260</v>
      </c>
      <c r="H27499" s="49">
        <f t="shared" si="2"/>
        <v>23226</v>
      </c>
    </row>
    <row r="27500">
      <c r="A27500" s="48" t="s">
        <v>2694</v>
      </c>
      <c r="B27500" s="38" t="s">
        <v>31959</v>
      </c>
      <c r="C27500" s="38" t="s">
        <v>31960</v>
      </c>
      <c r="D27500" s="38" t="str">
        <f>IFERROR(__xludf.DUMMYFUNCTION("REGEXREPLACE(C27500,""-\d+(.*)|--\d+(.*)"","""")"),"VENTISERI")</f>
        <v>VENTISERI</v>
      </c>
      <c r="E27500" s="38" t="s">
        <v>743</v>
      </c>
      <c r="F27500" s="38" t="s">
        <v>607</v>
      </c>
      <c r="G27500" s="49" t="str">
        <f t="shared" si="1"/>
        <v>20240</v>
      </c>
      <c r="H27500" s="49" t="str">
        <f t="shared" si="2"/>
        <v>2B342</v>
      </c>
    </row>
    <row r="27501">
      <c r="A27501" s="48" t="s">
        <v>1008</v>
      </c>
      <c r="B27501" s="38">
        <v>2240.0</v>
      </c>
      <c r="C27501" s="38" t="s">
        <v>31961</v>
      </c>
      <c r="D27501" s="38" t="str">
        <f>IFERROR(__xludf.DUMMYFUNCTION("REGEXREPLACE(C27501,""-\d+(.*)|--\d+(.*)"","""")"),"CROIX-FONSOMME")</f>
        <v>CROIX-FONSOMME</v>
      </c>
      <c r="E27501" s="38" t="s">
        <v>191</v>
      </c>
      <c r="F27501" s="38" t="s">
        <v>113</v>
      </c>
      <c r="G27501" s="49" t="str">
        <f t="shared" si="1"/>
        <v>02110</v>
      </c>
      <c r="H27501" s="49" t="str">
        <f t="shared" si="2"/>
        <v>02240</v>
      </c>
    </row>
    <row r="27502">
      <c r="A27502" s="48" t="s">
        <v>10025</v>
      </c>
      <c r="B27502" s="38">
        <v>66019.0</v>
      </c>
      <c r="C27502" s="38" t="s">
        <v>6167</v>
      </c>
      <c r="D27502" s="38" t="str">
        <f>IFERROR(__xludf.DUMMYFUNCTION("REGEXREPLACE(C27502,""-\d+(.*)|--\d+(.*)"","""")"),"BELESTA")</f>
        <v>BELESTA</v>
      </c>
      <c r="E27502" s="38" t="s">
        <v>248</v>
      </c>
      <c r="F27502" s="38" t="s">
        <v>119</v>
      </c>
      <c r="G27502" s="49" t="str">
        <f t="shared" si="1"/>
        <v>66720</v>
      </c>
      <c r="H27502" s="49">
        <f t="shared" si="2"/>
        <v>66019</v>
      </c>
    </row>
    <row r="27503">
      <c r="A27503" s="48" t="s">
        <v>3973</v>
      </c>
      <c r="B27503" s="38">
        <v>33388.0</v>
      </c>
      <c r="C27503" s="38" t="s">
        <v>31962</v>
      </c>
      <c r="D27503" s="38" t="str">
        <f>IFERROR(__xludf.DUMMYFUNCTION("REGEXREPLACE(C27503,""-\d+(.*)|--\d+(.*)"","""")"),"SAINT-CIERS-DE-CANESSE")</f>
        <v>SAINT-CIERS-DE-CANESSE</v>
      </c>
      <c r="E27503" s="38" t="s">
        <v>462</v>
      </c>
      <c r="F27503" s="38" t="s">
        <v>252</v>
      </c>
      <c r="G27503" s="49" t="str">
        <f t="shared" si="1"/>
        <v>33710</v>
      </c>
      <c r="H27503" s="49">
        <f t="shared" si="2"/>
        <v>33388</v>
      </c>
    </row>
    <row r="27504">
      <c r="A27504" s="48" t="s">
        <v>436</v>
      </c>
      <c r="B27504" s="38">
        <v>51270.0</v>
      </c>
      <c r="C27504" s="38" t="s">
        <v>31963</v>
      </c>
      <c r="D27504" s="38" t="str">
        <f>IFERROR(__xludf.DUMMYFUNCTION("REGEXREPLACE(C27504,""-\d+(.*)|--\d+(.*)"","""")"),"GIGNY-BUSSY")</f>
        <v>GIGNY-BUSSY</v>
      </c>
      <c r="E27504" s="38" t="s">
        <v>129</v>
      </c>
      <c r="F27504" s="38" t="s">
        <v>130</v>
      </c>
      <c r="G27504" s="49" t="str">
        <f t="shared" si="1"/>
        <v>51290</v>
      </c>
      <c r="H27504" s="49">
        <f t="shared" si="2"/>
        <v>51270</v>
      </c>
    </row>
    <row r="27505">
      <c r="A27505" s="48" t="s">
        <v>4642</v>
      </c>
      <c r="B27505" s="38">
        <v>21178.0</v>
      </c>
      <c r="C27505" s="38" t="s">
        <v>31964</v>
      </c>
      <c r="D27505" s="38" t="str">
        <f>IFERROR(__xludf.DUMMYFUNCTION("REGEXREPLACE(C27505,""-\d+(.*)|--\d+(.*)"","""")"),"CLEMENCEY")</f>
        <v>CLEMENCEY</v>
      </c>
      <c r="E27505" s="38" t="s">
        <v>105</v>
      </c>
      <c r="F27505" s="38" t="s">
        <v>106</v>
      </c>
      <c r="G27505" s="49" t="str">
        <f t="shared" si="1"/>
        <v>21220</v>
      </c>
      <c r="H27505" s="49">
        <f t="shared" si="2"/>
        <v>21178</v>
      </c>
    </row>
    <row r="27506">
      <c r="A27506" s="48" t="s">
        <v>7001</v>
      </c>
      <c r="B27506" s="38">
        <v>85274.0</v>
      </c>
      <c r="C27506" s="38" t="s">
        <v>14810</v>
      </c>
      <c r="D27506" s="38" t="str">
        <f>IFERROR(__xludf.DUMMYFUNCTION("REGEXREPLACE(C27506,""-\d+(.*)|--\d+(.*)"","""")"),"SAINT-VALERIEN")</f>
        <v>SAINT-VALERIEN</v>
      </c>
      <c r="E27506" s="38" t="s">
        <v>179</v>
      </c>
      <c r="F27506" s="38" t="s">
        <v>180</v>
      </c>
      <c r="G27506" s="49" t="str">
        <f t="shared" si="1"/>
        <v>85570</v>
      </c>
      <c r="H27506" s="49">
        <f t="shared" si="2"/>
        <v>85274</v>
      </c>
    </row>
    <row r="27507">
      <c r="A27507" s="48" t="s">
        <v>3711</v>
      </c>
      <c r="B27507" s="38">
        <v>21550.0</v>
      </c>
      <c r="C27507" s="38" t="s">
        <v>31965</v>
      </c>
      <c r="D27507" s="38" t="str">
        <f>IFERROR(__xludf.DUMMYFUNCTION("REGEXREPLACE(C27507,""-\d+(.*)|--\d+(.*)"","""")"),"SAINT-GERMAIN-LES-SENAILLY")</f>
        <v>SAINT-GERMAIN-LES-SENAILLY</v>
      </c>
      <c r="E27507" s="38" t="s">
        <v>105</v>
      </c>
      <c r="F27507" s="38" t="s">
        <v>106</v>
      </c>
      <c r="G27507" s="49" t="str">
        <f t="shared" si="1"/>
        <v>21500</v>
      </c>
      <c r="H27507" s="49">
        <f t="shared" si="2"/>
        <v>21550</v>
      </c>
    </row>
    <row r="27508">
      <c r="A27508" s="48" t="s">
        <v>748</v>
      </c>
      <c r="B27508" s="38">
        <v>60636.0</v>
      </c>
      <c r="C27508" s="38" t="s">
        <v>31966</v>
      </c>
      <c r="D27508" s="38" t="str">
        <f>IFERROR(__xludf.DUMMYFUNCTION("REGEXREPLACE(C27508,""-\d+(.*)|--\d+(.*)"","""")"),"THOUROTTE")</f>
        <v>THOUROTTE</v>
      </c>
      <c r="E27508" s="38" t="s">
        <v>112</v>
      </c>
      <c r="F27508" s="38" t="s">
        <v>113</v>
      </c>
      <c r="G27508" s="49" t="str">
        <f t="shared" si="1"/>
        <v>60150</v>
      </c>
      <c r="H27508" s="49">
        <f t="shared" si="2"/>
        <v>60636</v>
      </c>
    </row>
    <row r="27509">
      <c r="A27509" s="48" t="s">
        <v>2201</v>
      </c>
      <c r="B27509" s="38">
        <v>32020.0</v>
      </c>
      <c r="C27509" s="38" t="s">
        <v>31967</v>
      </c>
      <c r="D27509" s="38" t="str">
        <f>IFERROR(__xludf.DUMMYFUNCTION("REGEXREPLACE(C27509,""-\d+(.*)|--\d+(.*)"","""")"),"AUX-AUSSAT")</f>
        <v>AUX-AUSSAT</v>
      </c>
      <c r="E27509" s="38" t="s">
        <v>440</v>
      </c>
      <c r="F27509" s="38" t="s">
        <v>94</v>
      </c>
      <c r="G27509" s="49" t="str">
        <f t="shared" si="1"/>
        <v>32170</v>
      </c>
      <c r="H27509" s="49">
        <f t="shared" si="2"/>
        <v>32020</v>
      </c>
    </row>
    <row r="27510">
      <c r="A27510" s="48" t="s">
        <v>17977</v>
      </c>
      <c r="B27510" s="38">
        <v>19178.0</v>
      </c>
      <c r="C27510" s="38" t="s">
        <v>31968</v>
      </c>
      <c r="D27510" s="38" t="str">
        <f>IFERROR(__xludf.DUMMYFUNCTION("REGEXREPLACE(C27510,""-\d+(.*)|--\d+(.*)"","""")"),"SADROC")</f>
        <v>SADROC</v>
      </c>
      <c r="E27510" s="38" t="s">
        <v>271</v>
      </c>
      <c r="F27510" s="38" t="s">
        <v>98</v>
      </c>
      <c r="G27510" s="49" t="str">
        <f t="shared" si="1"/>
        <v>19270</v>
      </c>
      <c r="H27510" s="49">
        <f t="shared" si="2"/>
        <v>19178</v>
      </c>
    </row>
    <row r="27511">
      <c r="A27511" s="48" t="s">
        <v>9621</v>
      </c>
      <c r="B27511" s="38">
        <v>43155.0</v>
      </c>
      <c r="C27511" s="38" t="s">
        <v>14559</v>
      </c>
      <c r="D27511" s="38" t="str">
        <f>IFERROR(__xludf.DUMMYFUNCTION("REGEXREPLACE(C27511,""-\d+(.*)|--\d+(.*)"","""")"),"PRADES")</f>
        <v>PRADES</v>
      </c>
      <c r="E27511" s="38" t="s">
        <v>332</v>
      </c>
      <c r="F27511" s="38" t="s">
        <v>161</v>
      </c>
      <c r="G27511" s="49" t="str">
        <f t="shared" si="1"/>
        <v>43300</v>
      </c>
      <c r="H27511" s="49">
        <f t="shared" si="2"/>
        <v>43155</v>
      </c>
    </row>
    <row r="27512">
      <c r="A27512" s="48" t="s">
        <v>9946</v>
      </c>
      <c r="B27512" s="38">
        <v>15016.0</v>
      </c>
      <c r="C27512" s="38" t="s">
        <v>31969</v>
      </c>
      <c r="D27512" s="38" t="str">
        <f>IFERROR(__xludf.DUMMYFUNCTION("REGEXREPLACE(C27512,""-\d+(.*)|--\d+(.*)"","""")"),"AYRENS")</f>
        <v>AYRENS</v>
      </c>
      <c r="E27512" s="38" t="s">
        <v>632</v>
      </c>
      <c r="F27512" s="38" t="s">
        <v>161</v>
      </c>
      <c r="G27512" s="49" t="str">
        <f t="shared" si="1"/>
        <v>15250</v>
      </c>
      <c r="H27512" s="49">
        <f t="shared" si="2"/>
        <v>15016</v>
      </c>
    </row>
    <row r="27513">
      <c r="A27513" s="48" t="s">
        <v>1056</v>
      </c>
      <c r="B27513" s="38">
        <v>11417.0</v>
      </c>
      <c r="C27513" s="38" t="s">
        <v>31970</v>
      </c>
      <c r="D27513" s="38" t="str">
        <f>IFERROR(__xludf.DUMMYFUNCTION("REGEXREPLACE(C27513,""-\d+(.*)|--\d+(.*)"","""")"),"VILLARZEL-DU-RAZES")</f>
        <v>VILLARZEL-DU-RAZES</v>
      </c>
      <c r="E27513" s="38" t="s">
        <v>278</v>
      </c>
      <c r="F27513" s="38" t="s">
        <v>119</v>
      </c>
      <c r="G27513" s="49" t="str">
        <f t="shared" si="1"/>
        <v>11300</v>
      </c>
      <c r="H27513" s="49">
        <f t="shared" si="2"/>
        <v>11417</v>
      </c>
    </row>
    <row r="27514">
      <c r="A27514" s="48" t="s">
        <v>8810</v>
      </c>
      <c r="B27514" s="38">
        <v>63368.0</v>
      </c>
      <c r="C27514" s="38" t="s">
        <v>31971</v>
      </c>
      <c r="D27514" s="38" t="str">
        <f>IFERROR(__xludf.DUMMYFUNCTION("REGEXREPLACE(C27514,""-\d+(.*)|--\d+(.*)"","""")"),"SAINT-JULIEN-DE-COPPEL")</f>
        <v>SAINT-JULIEN-DE-COPPEL</v>
      </c>
      <c r="E27514" s="38" t="s">
        <v>353</v>
      </c>
      <c r="F27514" s="38" t="s">
        <v>161</v>
      </c>
      <c r="G27514" s="49" t="str">
        <f t="shared" si="1"/>
        <v>63160</v>
      </c>
      <c r="H27514" s="49">
        <f t="shared" si="2"/>
        <v>63368</v>
      </c>
    </row>
    <row r="27515">
      <c r="A27515" s="48" t="s">
        <v>3930</v>
      </c>
      <c r="B27515" s="38">
        <v>12048.0</v>
      </c>
      <c r="C27515" s="38" t="s">
        <v>31972</v>
      </c>
      <c r="D27515" s="38" t="str">
        <f>IFERROR(__xludf.DUMMYFUNCTION("REGEXREPLACE(C27515,""-\d+(.*)|--\d+(.*)"","""")"),"CAMPOURIEZ")</f>
        <v>CAMPOURIEZ</v>
      </c>
      <c r="E27515" s="38" t="s">
        <v>465</v>
      </c>
      <c r="F27515" s="38" t="s">
        <v>94</v>
      </c>
      <c r="G27515" s="49" t="str">
        <f t="shared" si="1"/>
        <v>12460</v>
      </c>
      <c r="H27515" s="49">
        <f t="shared" si="2"/>
        <v>12048</v>
      </c>
    </row>
    <row r="27516">
      <c r="A27516" s="48" t="s">
        <v>31973</v>
      </c>
      <c r="B27516" s="38">
        <v>6007.0</v>
      </c>
      <c r="C27516" s="38" t="s">
        <v>31974</v>
      </c>
      <c r="D27516" s="38" t="str">
        <f>IFERROR(__xludf.DUMMYFUNCTION("REGEXREPLACE(C27516,""-\d+(.*)|--\d+(.*)"","""")"),"AURIBEAU-SUR-SIAGNE")</f>
        <v>AURIBEAU-SUR-SIAGNE</v>
      </c>
      <c r="E27516" s="38" t="s">
        <v>227</v>
      </c>
      <c r="F27516" s="38" t="s">
        <v>228</v>
      </c>
      <c r="G27516" s="49" t="str">
        <f t="shared" si="1"/>
        <v>06810</v>
      </c>
      <c r="H27516" s="49" t="str">
        <f t="shared" si="2"/>
        <v>06007</v>
      </c>
    </row>
    <row r="27517">
      <c r="A27517" s="48" t="s">
        <v>430</v>
      </c>
      <c r="B27517" s="38">
        <v>2465.0</v>
      </c>
      <c r="C27517" s="38" t="s">
        <v>31975</v>
      </c>
      <c r="D27517" s="38" t="str">
        <f>IFERROR(__xludf.DUMMYFUNCTION("REGEXREPLACE(C27517,""-\d+(.*)|--\d+(.*)"","""")"),"MARIGNY-EN-ORXOIS")</f>
        <v>MARIGNY-EN-ORXOIS</v>
      </c>
      <c r="E27517" s="38" t="s">
        <v>191</v>
      </c>
      <c r="F27517" s="38" t="s">
        <v>113</v>
      </c>
      <c r="G27517" s="49" t="str">
        <f t="shared" si="1"/>
        <v>02810</v>
      </c>
      <c r="H27517" s="49" t="str">
        <f t="shared" si="2"/>
        <v>02465</v>
      </c>
    </row>
    <row r="27518">
      <c r="A27518" s="48" t="s">
        <v>14628</v>
      </c>
      <c r="B27518" s="38">
        <v>76370.0</v>
      </c>
      <c r="C27518" s="38" t="s">
        <v>31976</v>
      </c>
      <c r="D27518" s="38" t="str">
        <f>IFERROR(__xludf.DUMMYFUNCTION("REGEXREPLACE(C27518,""-\d+(.*)|--\d+(.*)"","""")"),"HUGLEVILLE-EN-CAUX")</f>
        <v>HUGLEVILLE-EN-CAUX</v>
      </c>
      <c r="E27518" s="38" t="s">
        <v>133</v>
      </c>
      <c r="F27518" s="38" t="s">
        <v>134</v>
      </c>
      <c r="G27518" s="49" t="str">
        <f t="shared" si="1"/>
        <v>76570</v>
      </c>
      <c r="H27518" s="49">
        <f t="shared" si="2"/>
        <v>76370</v>
      </c>
    </row>
    <row r="27519">
      <c r="A27519" s="48" t="s">
        <v>2845</v>
      </c>
      <c r="B27519" s="38" t="s">
        <v>31977</v>
      </c>
      <c r="C27519" s="38" t="s">
        <v>31978</v>
      </c>
      <c r="D27519" s="38" t="str">
        <f>IFERROR(__xludf.DUMMYFUNCTION("REGEXREPLACE(C27519,""-\d+(.*)|--\d+(.*)"","""")"),"SAN-GIOVANNI-DI-MORIANI")</f>
        <v>SAN-GIOVANNI-DI-MORIANI</v>
      </c>
      <c r="E27519" s="38" t="s">
        <v>743</v>
      </c>
      <c r="F27519" s="38" t="s">
        <v>607</v>
      </c>
      <c r="G27519" s="49" t="str">
        <f t="shared" si="1"/>
        <v>20230</v>
      </c>
      <c r="H27519" s="49" t="str">
        <f t="shared" si="2"/>
        <v>2B302</v>
      </c>
    </row>
    <row r="27520">
      <c r="A27520" s="48" t="s">
        <v>2132</v>
      </c>
      <c r="B27520" s="38">
        <v>61407.0</v>
      </c>
      <c r="C27520" s="38" t="s">
        <v>31979</v>
      </c>
      <c r="D27520" s="38" t="str">
        <f>IFERROR(__xludf.DUMMYFUNCTION("REGEXREPLACE(C27520,""-\d+(.*)|--\d+(.*)"","""")"),"SAINTE-HONORINE-LA-CHARDONNE")</f>
        <v>SAINTE-HONORINE-LA-CHARDONNE</v>
      </c>
      <c r="E27520" s="38" t="s">
        <v>141</v>
      </c>
      <c r="F27520" s="38" t="s">
        <v>138</v>
      </c>
      <c r="G27520" s="49" t="str">
        <f t="shared" si="1"/>
        <v>61430</v>
      </c>
      <c r="H27520" s="49">
        <f t="shared" si="2"/>
        <v>61407</v>
      </c>
    </row>
    <row r="27521">
      <c r="A27521" s="48" t="s">
        <v>9430</v>
      </c>
      <c r="B27521" s="38">
        <v>24563.0</v>
      </c>
      <c r="C27521" s="38" t="s">
        <v>31980</v>
      </c>
      <c r="D27521" s="38" t="str">
        <f>IFERROR(__xludf.DUMMYFUNCTION("REGEXREPLACE(C27521,""-\d+(.*)|--\d+(.*)"","""")"),"VALOJOULX")</f>
        <v>VALOJOULX</v>
      </c>
      <c r="E27521" s="38" t="s">
        <v>261</v>
      </c>
      <c r="F27521" s="38" t="s">
        <v>252</v>
      </c>
      <c r="G27521" s="49" t="str">
        <f t="shared" si="1"/>
        <v>24290</v>
      </c>
      <c r="H27521" s="49">
        <f t="shared" si="2"/>
        <v>24563</v>
      </c>
    </row>
    <row r="27522">
      <c r="A27522" s="48" t="s">
        <v>7923</v>
      </c>
      <c r="B27522" s="38">
        <v>32096.0</v>
      </c>
      <c r="C27522" s="38" t="s">
        <v>31981</v>
      </c>
      <c r="D27522" s="38" t="str">
        <f>IFERROR(__xludf.DUMMYFUNCTION("REGEXREPLACE(C27522,""-\d+(.*)|--\d+(.*)"","""")"),"CAZAUBON")</f>
        <v>CAZAUBON</v>
      </c>
      <c r="E27522" s="38" t="s">
        <v>440</v>
      </c>
      <c r="F27522" s="38" t="s">
        <v>94</v>
      </c>
      <c r="G27522" s="49" t="str">
        <f t="shared" si="1"/>
        <v>32150</v>
      </c>
      <c r="H27522" s="49">
        <f t="shared" si="2"/>
        <v>32096</v>
      </c>
    </row>
    <row r="27523">
      <c r="A27523" s="48" t="s">
        <v>1989</v>
      </c>
      <c r="B27523" s="38">
        <v>60200.0</v>
      </c>
      <c r="C27523" s="38" t="s">
        <v>31982</v>
      </c>
      <c r="D27523" s="38" t="str">
        <f>IFERROR(__xludf.DUMMYFUNCTION("REGEXREPLACE(C27523,""-\d+(.*)|--\d+(.*)"","""")"),"DOMFRONT")</f>
        <v>DOMFRONT</v>
      </c>
      <c r="E27523" s="38" t="s">
        <v>112</v>
      </c>
      <c r="F27523" s="38" t="s">
        <v>113</v>
      </c>
      <c r="G27523" s="49" t="str">
        <f t="shared" si="1"/>
        <v>60420</v>
      </c>
      <c r="H27523" s="49">
        <f t="shared" si="2"/>
        <v>60200</v>
      </c>
    </row>
    <row r="27524">
      <c r="A27524" s="48" t="s">
        <v>10675</v>
      </c>
      <c r="B27524" s="38">
        <v>7114.0</v>
      </c>
      <c r="C27524" s="38" t="s">
        <v>31983</v>
      </c>
      <c r="D27524" s="38" t="str">
        <f>IFERROR(__xludf.DUMMYFUNCTION("REGEXREPLACE(C27524,""-\d+(.*)|--\d+(.*)"","""")"),"LABATIE-D'ANDAURE")</f>
        <v>LABATIE-D'ANDAURE</v>
      </c>
      <c r="E27524" s="38" t="s">
        <v>144</v>
      </c>
      <c r="F27524" s="38" t="s">
        <v>102</v>
      </c>
      <c r="G27524" s="49" t="str">
        <f t="shared" si="1"/>
        <v>07570</v>
      </c>
      <c r="H27524" s="49" t="str">
        <f t="shared" si="2"/>
        <v>07114</v>
      </c>
    </row>
    <row r="27525">
      <c r="A27525" s="48" t="s">
        <v>8221</v>
      </c>
      <c r="B27525" s="38">
        <v>32022.0</v>
      </c>
      <c r="C27525" s="38" t="s">
        <v>31984</v>
      </c>
      <c r="D27525" s="38" t="str">
        <f>IFERROR(__xludf.DUMMYFUNCTION("REGEXREPLACE(C27525,""-\d+(.*)|--\d+(.*)"","""")"),"AVERON-BERGELLE")</f>
        <v>AVERON-BERGELLE</v>
      </c>
      <c r="E27525" s="38" t="s">
        <v>440</v>
      </c>
      <c r="F27525" s="38" t="s">
        <v>94</v>
      </c>
      <c r="G27525" s="49" t="str">
        <f t="shared" si="1"/>
        <v>32290</v>
      </c>
      <c r="H27525" s="49">
        <f t="shared" si="2"/>
        <v>32022</v>
      </c>
    </row>
    <row r="27526">
      <c r="A27526" s="48" t="s">
        <v>2351</v>
      </c>
      <c r="B27526" s="38">
        <v>81039.0</v>
      </c>
      <c r="C27526" s="38" t="s">
        <v>31985</v>
      </c>
      <c r="D27526" s="38" t="str">
        <f>IFERROR(__xludf.DUMMYFUNCTION("REGEXREPLACE(C27526,""-\d+(.*)|--\d+(.*)"","""")"),"BRIATEXTE")</f>
        <v>BRIATEXTE</v>
      </c>
      <c r="E27526" s="38" t="s">
        <v>231</v>
      </c>
      <c r="F27526" s="38" t="s">
        <v>94</v>
      </c>
      <c r="G27526" s="49" t="str">
        <f t="shared" si="1"/>
        <v>81390</v>
      </c>
      <c r="H27526" s="49">
        <f t="shared" si="2"/>
        <v>81039</v>
      </c>
    </row>
    <row r="27527">
      <c r="A27527" s="48" t="s">
        <v>734</v>
      </c>
      <c r="B27527" s="38">
        <v>54058.0</v>
      </c>
      <c r="C27527" s="38" t="s">
        <v>31986</v>
      </c>
      <c r="D27527" s="38" t="str">
        <f>IFERROR(__xludf.DUMMYFUNCTION("REGEXREPLACE(C27527,""-\d+(.*)|--\d+(.*)"","""")"),"BECHAMPS")</f>
        <v>BECHAMPS</v>
      </c>
      <c r="E27527" s="38" t="s">
        <v>548</v>
      </c>
      <c r="F27527" s="38" t="s">
        <v>195</v>
      </c>
      <c r="G27527" s="49" t="str">
        <f t="shared" si="1"/>
        <v>54800</v>
      </c>
      <c r="H27527" s="49">
        <f t="shared" si="2"/>
        <v>54058</v>
      </c>
    </row>
    <row r="27528">
      <c r="A27528" s="48" t="s">
        <v>15728</v>
      </c>
      <c r="B27528" s="38">
        <v>23111.0</v>
      </c>
      <c r="C27528" s="38" t="s">
        <v>31987</v>
      </c>
      <c r="D27528" s="38" t="str">
        <f>IFERROR(__xludf.DUMMYFUNCTION("REGEXREPLACE(C27528,""-\d+(.*)|--\d+(.*)"","""")"),"LIZIERES")</f>
        <v>LIZIERES</v>
      </c>
      <c r="E27528" s="38" t="s">
        <v>97</v>
      </c>
      <c r="F27528" s="38" t="s">
        <v>98</v>
      </c>
      <c r="G27528" s="49" t="str">
        <f t="shared" si="1"/>
        <v>23240</v>
      </c>
      <c r="H27528" s="49">
        <f t="shared" si="2"/>
        <v>23111</v>
      </c>
    </row>
    <row r="27529">
      <c r="A27529" s="48" t="s">
        <v>18596</v>
      </c>
      <c r="B27529" s="38">
        <v>15079.0</v>
      </c>
      <c r="C27529" s="38" t="s">
        <v>31988</v>
      </c>
      <c r="D27529" s="38" t="str">
        <f>IFERROR(__xludf.DUMMYFUNCTION("REGEXREPLACE(C27529,""-\d+(.*)|--\d+(.*)"","""")"),"JALEYRAC")</f>
        <v>JALEYRAC</v>
      </c>
      <c r="E27529" s="38" t="s">
        <v>632</v>
      </c>
      <c r="F27529" s="38" t="s">
        <v>161</v>
      </c>
      <c r="G27529" s="49" t="str">
        <f t="shared" si="1"/>
        <v>15200</v>
      </c>
      <c r="H27529" s="49">
        <f t="shared" si="2"/>
        <v>15079</v>
      </c>
    </row>
    <row r="27530">
      <c r="A27530" s="48" t="s">
        <v>20573</v>
      </c>
      <c r="B27530" s="38">
        <v>59297.0</v>
      </c>
      <c r="C27530" s="38" t="s">
        <v>31989</v>
      </c>
      <c r="D27530" s="38" t="str">
        <f>IFERROR(__xludf.DUMMYFUNCTION("REGEXREPLACE(C27530,""-\d+(.*)|--\d+(.*)"","""")"),"HELESMES")</f>
        <v>HELESMES</v>
      </c>
      <c r="E27530" s="38" t="s">
        <v>85</v>
      </c>
      <c r="F27530" s="38" t="s">
        <v>86</v>
      </c>
      <c r="G27530" s="49" t="str">
        <f t="shared" si="1"/>
        <v>59171</v>
      </c>
      <c r="H27530" s="49">
        <f t="shared" si="2"/>
        <v>59297</v>
      </c>
    </row>
    <row r="27531">
      <c r="A27531" s="48" t="s">
        <v>10564</v>
      </c>
      <c r="B27531" s="38">
        <v>56263.0</v>
      </c>
      <c r="C27531" s="38" t="s">
        <v>31990</v>
      </c>
      <c r="D27531" s="38" t="str">
        <f>IFERROR(__xludf.DUMMYFUNCTION("REGEXREPLACE(C27531,""-\d+(.*)|--\d+(.*)"","""")"),"SAINTE-ANNE-D'AURAY")</f>
        <v>SAINTE-ANNE-D'AURAY</v>
      </c>
      <c r="E27531" s="38" t="s">
        <v>173</v>
      </c>
      <c r="F27531" s="38" t="s">
        <v>90</v>
      </c>
      <c r="G27531" s="49" t="str">
        <f t="shared" si="1"/>
        <v>56400</v>
      </c>
      <c r="H27531" s="49">
        <f t="shared" si="2"/>
        <v>56263</v>
      </c>
    </row>
    <row r="27532">
      <c r="A27532" s="48" t="s">
        <v>1406</v>
      </c>
      <c r="B27532" s="38">
        <v>71046.0</v>
      </c>
      <c r="C27532" s="38" t="s">
        <v>31991</v>
      </c>
      <c r="D27532" s="38" t="str">
        <f>IFERROR(__xludf.DUMMYFUNCTION("REGEXREPLACE(C27532,""-\d+(.*)|--\d+(.*)"","""")"),"LA BOULAYE")</f>
        <v>LA BOULAYE</v>
      </c>
      <c r="E27532" s="38" t="s">
        <v>344</v>
      </c>
      <c r="F27532" s="38" t="s">
        <v>106</v>
      </c>
      <c r="G27532" s="49" t="str">
        <f t="shared" si="1"/>
        <v>71320</v>
      </c>
      <c r="H27532" s="49">
        <f t="shared" si="2"/>
        <v>71046</v>
      </c>
    </row>
    <row r="27533">
      <c r="A27533" s="48" t="s">
        <v>3364</v>
      </c>
      <c r="B27533" s="38">
        <v>62140.0</v>
      </c>
      <c r="C27533" s="38" t="s">
        <v>31992</v>
      </c>
      <c r="D27533" s="38" t="str">
        <f>IFERROR(__xludf.DUMMYFUNCTION("REGEXREPLACE(C27533,""-\d+(.*)|--\d+(.*)"","""")"),"BLEQUIN")</f>
        <v>BLEQUIN</v>
      </c>
      <c r="E27533" s="38" t="s">
        <v>109</v>
      </c>
      <c r="F27533" s="38" t="s">
        <v>86</v>
      </c>
      <c r="G27533" s="49" t="str">
        <f t="shared" si="1"/>
        <v>62380</v>
      </c>
      <c r="H27533" s="49">
        <f t="shared" si="2"/>
        <v>62140</v>
      </c>
    </row>
    <row r="27534">
      <c r="A27534" s="48" t="s">
        <v>5631</v>
      </c>
      <c r="B27534" s="38">
        <v>76405.0</v>
      </c>
      <c r="C27534" s="38" t="s">
        <v>31993</v>
      </c>
      <c r="D27534" s="38" t="str">
        <f>IFERROR(__xludf.DUMMYFUNCTION("REGEXREPLACE(C27534,""-\d+(.*)|--\d+(.*)"","""")"),"MANEHOUVILLE")</f>
        <v>MANEHOUVILLE</v>
      </c>
      <c r="E27534" s="38" t="s">
        <v>133</v>
      </c>
      <c r="F27534" s="38" t="s">
        <v>134</v>
      </c>
      <c r="G27534" s="49" t="str">
        <f t="shared" si="1"/>
        <v>76590</v>
      </c>
      <c r="H27534" s="49">
        <f t="shared" si="2"/>
        <v>76405</v>
      </c>
    </row>
    <row r="27535">
      <c r="A27535" s="48" t="s">
        <v>5775</v>
      </c>
      <c r="B27535" s="38">
        <v>73119.0</v>
      </c>
      <c r="C27535" s="38" t="s">
        <v>31994</v>
      </c>
      <c r="D27535" s="38" t="str">
        <f>IFERROR(__xludf.DUMMYFUNCTION("REGEXREPLACE(C27535,""-\d+(.*)|--\d+(.*)"","""")"),"FRENEY")</f>
        <v>FRENEY</v>
      </c>
      <c r="E27535" s="38" t="s">
        <v>306</v>
      </c>
      <c r="F27535" s="38" t="s">
        <v>102</v>
      </c>
      <c r="G27535" s="49" t="str">
        <f t="shared" si="1"/>
        <v>73500</v>
      </c>
      <c r="H27535" s="49">
        <f t="shared" si="2"/>
        <v>73119</v>
      </c>
    </row>
    <row r="27536">
      <c r="A27536" s="48" t="s">
        <v>4178</v>
      </c>
      <c r="B27536" s="38">
        <v>25174.0</v>
      </c>
      <c r="C27536" s="38" t="s">
        <v>16124</v>
      </c>
      <c r="D27536" s="38" t="str">
        <f>IFERROR(__xludf.DUMMYFUNCTION("REGEXREPLACE(C27536,""-\d+(.*)|--\d+(.*)"","""")"),"COURTEFONTAINE")</f>
        <v>COURTEFONTAINE</v>
      </c>
      <c r="E27536" s="38" t="s">
        <v>213</v>
      </c>
      <c r="F27536" s="38" t="s">
        <v>214</v>
      </c>
      <c r="G27536" s="49" t="str">
        <f t="shared" si="1"/>
        <v>25470</v>
      </c>
      <c r="H27536" s="49">
        <f t="shared" si="2"/>
        <v>25174</v>
      </c>
    </row>
    <row r="27537">
      <c r="A27537" s="48" t="s">
        <v>1435</v>
      </c>
      <c r="B27537" s="38">
        <v>14682.0</v>
      </c>
      <c r="C27537" s="38" t="s">
        <v>31995</v>
      </c>
      <c r="D27537" s="38" t="str">
        <f>IFERROR(__xludf.DUMMYFUNCTION("REGEXREPLACE(C27537,""-\d+(.*)|--\d+(.*)"","""")"),"SURVILLE")</f>
        <v>SURVILLE</v>
      </c>
      <c r="E27537" s="38" t="s">
        <v>137</v>
      </c>
      <c r="F27537" s="38" t="s">
        <v>138</v>
      </c>
      <c r="G27537" s="49" t="str">
        <f t="shared" si="1"/>
        <v>14130</v>
      </c>
      <c r="H27537" s="49">
        <f t="shared" si="2"/>
        <v>14682</v>
      </c>
    </row>
    <row r="27538">
      <c r="A27538" s="48" t="s">
        <v>17282</v>
      </c>
      <c r="B27538" s="38">
        <v>74294.0</v>
      </c>
      <c r="C27538" s="38" t="s">
        <v>31996</v>
      </c>
      <c r="D27538" s="38" t="str">
        <f>IFERROR(__xludf.DUMMYFUNCTION("REGEXREPLACE(C27538,""-\d+(.*)|--\d+(.*)"","""")"),"VERCHAIX")</f>
        <v>VERCHAIX</v>
      </c>
      <c r="E27538" s="38" t="s">
        <v>319</v>
      </c>
      <c r="F27538" s="38" t="s">
        <v>102</v>
      </c>
      <c r="G27538" s="49" t="str">
        <f t="shared" si="1"/>
        <v>74440</v>
      </c>
      <c r="H27538" s="49">
        <f t="shared" si="2"/>
        <v>74294</v>
      </c>
    </row>
    <row r="27539">
      <c r="A27539" s="48" t="s">
        <v>5209</v>
      </c>
      <c r="B27539" s="38">
        <v>54374.0</v>
      </c>
      <c r="C27539" s="38" t="s">
        <v>31997</v>
      </c>
      <c r="D27539" s="38" t="str">
        <f>IFERROR(__xludf.DUMMYFUNCTION("REGEXREPLACE(C27539,""-\d+(.*)|--\d+(.*)"","""")"),"MONCEL-SUR-SEILLE")</f>
        <v>MONCEL-SUR-SEILLE</v>
      </c>
      <c r="E27539" s="38" t="s">
        <v>548</v>
      </c>
      <c r="F27539" s="38" t="s">
        <v>195</v>
      </c>
      <c r="G27539" s="49" t="str">
        <f t="shared" si="1"/>
        <v>54280</v>
      </c>
      <c r="H27539" s="49">
        <f t="shared" si="2"/>
        <v>54374</v>
      </c>
    </row>
    <row r="27540">
      <c r="A27540" s="48" t="s">
        <v>1831</v>
      </c>
      <c r="B27540" s="38">
        <v>30268.0</v>
      </c>
      <c r="C27540" s="38" t="s">
        <v>31998</v>
      </c>
      <c r="D27540" s="38" t="str">
        <f>IFERROR(__xludf.DUMMYFUNCTION("REGEXREPLACE(C27540,""-\d+(.*)|--\d+(.*)"","""")"),"SAINT-JEAN-DE-VALERISCLE")</f>
        <v>SAINT-JEAN-DE-VALERISCLE</v>
      </c>
      <c r="E27540" s="38" t="s">
        <v>526</v>
      </c>
      <c r="F27540" s="38" t="s">
        <v>119</v>
      </c>
      <c r="G27540" s="49" t="str">
        <f t="shared" si="1"/>
        <v>30960</v>
      </c>
      <c r="H27540" s="49">
        <f t="shared" si="2"/>
        <v>30268</v>
      </c>
    </row>
    <row r="27541">
      <c r="A27541" s="48" t="s">
        <v>25129</v>
      </c>
      <c r="B27541" s="38">
        <v>77405.0</v>
      </c>
      <c r="C27541" s="38" t="s">
        <v>31999</v>
      </c>
      <c r="D27541" s="38" t="str">
        <f>IFERROR(__xludf.DUMMYFUNCTION("REGEXREPLACE(C27541,""-\d+(.*)|--\d+(.*)"","""")"),"SAINT-CYR-SUR-MORIN")</f>
        <v>SAINT-CYR-SUR-MORIN</v>
      </c>
      <c r="E27541" s="38" t="s">
        <v>244</v>
      </c>
      <c r="F27541" s="38" t="s">
        <v>245</v>
      </c>
      <c r="G27541" s="49" t="str">
        <f t="shared" si="1"/>
        <v>77750</v>
      </c>
      <c r="H27541" s="49">
        <f t="shared" si="2"/>
        <v>77405</v>
      </c>
    </row>
    <row r="27542">
      <c r="A27542" s="48" t="s">
        <v>15241</v>
      </c>
      <c r="B27542" s="38">
        <v>43261.0</v>
      </c>
      <c r="C27542" s="38" t="s">
        <v>32000</v>
      </c>
      <c r="D27542" s="38" t="str">
        <f>IFERROR(__xludf.DUMMYFUNCTION("REGEXREPLACE(C27542,""-\d+(.*)|--\d+(.*)"","""")"),"VEZEZOUX")</f>
        <v>VEZEZOUX</v>
      </c>
      <c r="E27542" s="38" t="s">
        <v>332</v>
      </c>
      <c r="F27542" s="38" t="s">
        <v>161</v>
      </c>
      <c r="G27542" s="49" t="str">
        <f t="shared" si="1"/>
        <v>43390</v>
      </c>
      <c r="H27542" s="49">
        <f t="shared" si="2"/>
        <v>43261</v>
      </c>
    </row>
    <row r="27543">
      <c r="A27543" s="48" t="s">
        <v>445</v>
      </c>
      <c r="B27543" s="38">
        <v>76569.0</v>
      </c>
      <c r="C27543" s="38" t="s">
        <v>10166</v>
      </c>
      <c r="D27543" s="38" t="str">
        <f>IFERROR(__xludf.DUMMYFUNCTION("REGEXREPLACE(C27543,""-\d+(.*)|--\d+(.*)"","""")"),"SAINTE-COLOMBE")</f>
        <v>SAINTE-COLOMBE</v>
      </c>
      <c r="E27543" s="38" t="s">
        <v>133</v>
      </c>
      <c r="F27543" s="38" t="s">
        <v>134</v>
      </c>
      <c r="G27543" s="49" t="str">
        <f t="shared" si="1"/>
        <v>76460</v>
      </c>
      <c r="H27543" s="49">
        <f t="shared" si="2"/>
        <v>76569</v>
      </c>
    </row>
    <row r="27544">
      <c r="A27544" s="48" t="s">
        <v>32001</v>
      </c>
      <c r="B27544" s="38">
        <v>59650.0</v>
      </c>
      <c r="C27544" s="38" t="s">
        <v>32002</v>
      </c>
      <c r="D27544" s="38" t="str">
        <f>IFERROR(__xludf.DUMMYFUNCTION("REGEXREPLACE(C27544,""-\d+(.*)|--\d+(.*)"","""")"),"WATTRELOS")</f>
        <v>WATTRELOS</v>
      </c>
      <c r="E27544" s="38" t="s">
        <v>85</v>
      </c>
      <c r="F27544" s="38" t="s">
        <v>86</v>
      </c>
      <c r="G27544" s="49" t="str">
        <f t="shared" si="1"/>
        <v>59150</v>
      </c>
      <c r="H27544" s="49">
        <f t="shared" si="2"/>
        <v>59650</v>
      </c>
    </row>
    <row r="27545">
      <c r="A27545" s="48" t="s">
        <v>32003</v>
      </c>
      <c r="B27545" s="38">
        <v>68058.0</v>
      </c>
      <c r="C27545" s="38" t="s">
        <v>32004</v>
      </c>
      <c r="D27545" s="38" t="str">
        <f>IFERROR(__xludf.DUMMYFUNCTION("REGEXREPLACE(C27545,""-\d+(.*)|--\d+(.*)"","""")"),"BUHL")</f>
        <v>BUHL</v>
      </c>
      <c r="E27545" s="38" t="s">
        <v>150</v>
      </c>
      <c r="F27545" s="38" t="s">
        <v>151</v>
      </c>
      <c r="G27545" s="49" t="str">
        <f t="shared" si="1"/>
        <v>68530</v>
      </c>
      <c r="H27545" s="49">
        <f t="shared" si="2"/>
        <v>68058</v>
      </c>
    </row>
    <row r="27546">
      <c r="A27546" s="48" t="s">
        <v>7689</v>
      </c>
      <c r="B27546" s="38">
        <v>61186.0</v>
      </c>
      <c r="C27546" s="38" t="s">
        <v>32005</v>
      </c>
      <c r="D27546" s="38" t="str">
        <f>IFERROR(__xludf.DUMMYFUNCTION("REGEXREPLACE(C27546,""-\d+(.*)|--\d+(.*)"","""")"),"GENESLAY")</f>
        <v>GENESLAY</v>
      </c>
      <c r="E27546" s="38" t="s">
        <v>141</v>
      </c>
      <c r="F27546" s="38" t="s">
        <v>138</v>
      </c>
      <c r="G27546" s="49" t="str">
        <f t="shared" si="1"/>
        <v>61140</v>
      </c>
      <c r="H27546" s="49">
        <f t="shared" si="2"/>
        <v>61186</v>
      </c>
    </row>
    <row r="27547">
      <c r="A27547" s="48" t="s">
        <v>8808</v>
      </c>
      <c r="B27547" s="38">
        <v>44192.0</v>
      </c>
      <c r="C27547" s="38" t="s">
        <v>32006</v>
      </c>
      <c r="D27547" s="38" t="str">
        <f>IFERROR(__xludf.DUMMYFUNCTION("REGEXREPLACE(C27547,""-\d+(.*)|--\d+(.*)"","""")"),"SAINT-VIAUD")</f>
        <v>SAINT-VIAUD</v>
      </c>
      <c r="E27547" s="38" t="s">
        <v>759</v>
      </c>
      <c r="F27547" s="38" t="s">
        <v>180</v>
      </c>
      <c r="G27547" s="49" t="str">
        <f t="shared" si="1"/>
        <v>44320</v>
      </c>
      <c r="H27547" s="49">
        <f t="shared" si="2"/>
        <v>44192</v>
      </c>
    </row>
    <row r="27548">
      <c r="A27548" s="48" t="s">
        <v>2406</v>
      </c>
      <c r="B27548" s="38">
        <v>55270.0</v>
      </c>
      <c r="C27548" s="38" t="s">
        <v>32007</v>
      </c>
      <c r="D27548" s="38" t="str">
        <f>IFERROR(__xludf.DUMMYFUNCTION("REGEXREPLACE(C27548,""-\d+(.*)|--\d+(.*)"","""")"),"LAHAYVILLE")</f>
        <v>LAHAYVILLE</v>
      </c>
      <c r="E27548" s="38" t="s">
        <v>322</v>
      </c>
      <c r="F27548" s="38" t="s">
        <v>195</v>
      </c>
      <c r="G27548" s="49" t="str">
        <f t="shared" si="1"/>
        <v>55300</v>
      </c>
      <c r="H27548" s="49">
        <f t="shared" si="2"/>
        <v>55270</v>
      </c>
    </row>
    <row r="27549">
      <c r="A27549" s="48" t="s">
        <v>2946</v>
      </c>
      <c r="B27549" s="38">
        <v>51491.0</v>
      </c>
      <c r="C27549" s="38" t="s">
        <v>32008</v>
      </c>
      <c r="D27549" s="38" t="str">
        <f>IFERROR(__xludf.DUMMYFUNCTION("REGEXREPLACE(C27549,""-\d+(.*)|--\d+(.*)"","""")"),"SAINT-JEAN-SUR-TOURBE")</f>
        <v>SAINT-JEAN-SUR-TOURBE</v>
      </c>
      <c r="E27549" s="38" t="s">
        <v>129</v>
      </c>
      <c r="F27549" s="38" t="s">
        <v>130</v>
      </c>
      <c r="G27549" s="49" t="str">
        <f t="shared" si="1"/>
        <v>51600</v>
      </c>
      <c r="H27549" s="49">
        <f t="shared" si="2"/>
        <v>51491</v>
      </c>
    </row>
    <row r="27550">
      <c r="A27550" s="48" t="s">
        <v>32009</v>
      </c>
      <c r="B27550" s="38">
        <v>76498.0</v>
      </c>
      <c r="C27550" s="38" t="s">
        <v>32010</v>
      </c>
      <c r="D27550" s="38" t="str">
        <f>IFERROR(__xludf.DUMMYFUNCTION("REGEXREPLACE(C27550,""-\d+(.*)|--\d+(.*)"","""")"),"LE PETIT-QUEVILLY")</f>
        <v>LE PETIT-QUEVILLY</v>
      </c>
      <c r="E27550" s="38" t="s">
        <v>133</v>
      </c>
      <c r="F27550" s="38" t="s">
        <v>134</v>
      </c>
      <c r="G27550" s="49" t="str">
        <f t="shared" si="1"/>
        <v>76140</v>
      </c>
      <c r="H27550" s="49">
        <f t="shared" si="2"/>
        <v>76498</v>
      </c>
    </row>
    <row r="27551">
      <c r="A27551" s="48" t="s">
        <v>217</v>
      </c>
      <c r="B27551" s="38">
        <v>58279.0</v>
      </c>
      <c r="C27551" s="38" t="s">
        <v>32011</v>
      </c>
      <c r="D27551" s="38" t="str">
        <f>IFERROR(__xludf.DUMMYFUNCTION("REGEXREPLACE(C27551,""-\d+(.*)|--\d+(.*)"","""")"),"SICHAMPS")</f>
        <v>SICHAMPS</v>
      </c>
      <c r="E27551" s="38" t="s">
        <v>219</v>
      </c>
      <c r="F27551" s="38" t="s">
        <v>106</v>
      </c>
      <c r="G27551" s="49" t="str">
        <f t="shared" si="1"/>
        <v>58700</v>
      </c>
      <c r="H27551" s="49">
        <f t="shared" si="2"/>
        <v>58279</v>
      </c>
    </row>
    <row r="27552">
      <c r="A27552" s="48" t="s">
        <v>183</v>
      </c>
      <c r="B27552" s="38">
        <v>46308.0</v>
      </c>
      <c r="C27552" s="38" t="s">
        <v>32012</v>
      </c>
      <c r="D27552" s="38" t="str">
        <f>IFERROR(__xludf.DUMMYFUNCTION("REGEXREPLACE(C27552,""-\d+(.*)|--\d+(.*)"","""")"),"SOUCIRAC")</f>
        <v>SOUCIRAC</v>
      </c>
      <c r="E27552" s="38" t="s">
        <v>185</v>
      </c>
      <c r="F27552" s="38" t="s">
        <v>94</v>
      </c>
      <c r="G27552" s="49" t="str">
        <f t="shared" si="1"/>
        <v>46300</v>
      </c>
      <c r="H27552" s="49">
        <f t="shared" si="2"/>
        <v>46308</v>
      </c>
    </row>
    <row r="27553">
      <c r="A27553" s="48" t="s">
        <v>2128</v>
      </c>
      <c r="B27553" s="38">
        <v>2797.0</v>
      </c>
      <c r="C27553" s="38" t="s">
        <v>32013</v>
      </c>
      <c r="D27553" s="38" t="str">
        <f>IFERROR(__xludf.DUMMYFUNCTION("REGEXREPLACE(C27553,""-\d+(.*)|--\d+(.*)"","""")"),"VIEL-ARCY")</f>
        <v>VIEL-ARCY</v>
      </c>
      <c r="E27553" s="38" t="s">
        <v>191</v>
      </c>
      <c r="F27553" s="38" t="s">
        <v>113</v>
      </c>
      <c r="G27553" s="49" t="str">
        <f t="shared" si="1"/>
        <v>02160</v>
      </c>
      <c r="H27553" s="49" t="str">
        <f t="shared" si="2"/>
        <v>02797</v>
      </c>
    </row>
    <row r="27554">
      <c r="A27554" s="48" t="s">
        <v>15759</v>
      </c>
      <c r="B27554" s="38">
        <v>43038.0</v>
      </c>
      <c r="C27554" s="38" t="s">
        <v>32014</v>
      </c>
      <c r="D27554" s="38" t="str">
        <f>IFERROR(__xludf.DUMMYFUNCTION("REGEXREPLACE(C27554,""-\d+(.*)|--\d+(.*)"","""")"),"BOURNONCLE-SAINT-PIERRE")</f>
        <v>BOURNONCLE-SAINT-PIERRE</v>
      </c>
      <c r="E27554" s="38" t="s">
        <v>332</v>
      </c>
      <c r="F27554" s="38" t="s">
        <v>161</v>
      </c>
      <c r="G27554" s="49" t="str">
        <f t="shared" si="1"/>
        <v>43360</v>
      </c>
      <c r="H27554" s="49">
        <f t="shared" si="2"/>
        <v>43038</v>
      </c>
    </row>
    <row r="27555">
      <c r="A27555" s="48" t="s">
        <v>1114</v>
      </c>
      <c r="B27555" s="38">
        <v>2093.0</v>
      </c>
      <c r="C27555" s="38" t="s">
        <v>32015</v>
      </c>
      <c r="D27555" s="38" t="str">
        <f>IFERROR(__xludf.DUMMYFUNCTION("REGEXREPLACE(C27555,""-\d+(.*)|--\d+(.*)"","""")"),"BLERANCOURT")</f>
        <v>BLERANCOURT</v>
      </c>
      <c r="E27555" s="38" t="s">
        <v>191</v>
      </c>
      <c r="F27555" s="38" t="s">
        <v>113</v>
      </c>
      <c r="G27555" s="49" t="str">
        <f t="shared" si="1"/>
        <v>02300</v>
      </c>
      <c r="H27555" s="49" t="str">
        <f t="shared" si="2"/>
        <v>02093</v>
      </c>
    </row>
    <row r="27556">
      <c r="A27556" s="48" t="s">
        <v>2770</v>
      </c>
      <c r="B27556" s="38">
        <v>25371.0</v>
      </c>
      <c r="C27556" s="38" t="s">
        <v>32016</v>
      </c>
      <c r="D27556" s="38" t="str">
        <f>IFERROR(__xludf.DUMMYFUNCTION("REGEXREPLACE(C27556,""-\d+(.*)|--\d+(.*)"","""")"),"MAZEROLLES-LE-SALIN")</f>
        <v>MAZEROLLES-LE-SALIN</v>
      </c>
      <c r="E27556" s="38" t="s">
        <v>213</v>
      </c>
      <c r="F27556" s="38" t="s">
        <v>214</v>
      </c>
      <c r="G27556" s="49" t="str">
        <f t="shared" si="1"/>
        <v>25170</v>
      </c>
      <c r="H27556" s="49">
        <f t="shared" si="2"/>
        <v>25371</v>
      </c>
    </row>
    <row r="27557">
      <c r="A27557" s="48" t="s">
        <v>32017</v>
      </c>
      <c r="B27557" s="38">
        <v>29082.0</v>
      </c>
      <c r="C27557" s="38" t="s">
        <v>32018</v>
      </c>
      <c r="D27557" s="38" t="str">
        <f>IFERROR(__xludf.DUMMYFUNCTION("REGEXREPLACE(C27557,""-\d+(.*)|--\d+(.*)"","""")"),"ILE-DE-BATZ")</f>
        <v>ILE-DE-BATZ</v>
      </c>
      <c r="E27557" s="38" t="s">
        <v>176</v>
      </c>
      <c r="F27557" s="38" t="s">
        <v>90</v>
      </c>
      <c r="G27557" s="49" t="str">
        <f t="shared" si="1"/>
        <v>29253</v>
      </c>
      <c r="H27557" s="49">
        <f t="shared" si="2"/>
        <v>29082</v>
      </c>
    </row>
    <row r="27558">
      <c r="A27558" s="48" t="s">
        <v>5862</v>
      </c>
      <c r="B27558" s="38">
        <v>63198.0</v>
      </c>
      <c r="C27558" s="38" t="s">
        <v>32019</v>
      </c>
      <c r="D27558" s="38" t="str">
        <f>IFERROR(__xludf.DUMMYFUNCTION("REGEXREPLACE(C27558,""-\d+(.*)|--\d+(.*)"","""")"),"LOUBEYRAT")</f>
        <v>LOUBEYRAT</v>
      </c>
      <c r="E27558" s="38" t="s">
        <v>353</v>
      </c>
      <c r="F27558" s="38" t="s">
        <v>161</v>
      </c>
      <c r="G27558" s="49" t="str">
        <f t="shared" si="1"/>
        <v>63410</v>
      </c>
      <c r="H27558" s="49">
        <f t="shared" si="2"/>
        <v>63198</v>
      </c>
    </row>
    <row r="27559">
      <c r="A27559" s="48" t="s">
        <v>10063</v>
      </c>
      <c r="B27559" s="38">
        <v>18069.0</v>
      </c>
      <c r="C27559" s="38" t="s">
        <v>8344</v>
      </c>
      <c r="D27559" s="38" t="str">
        <f>IFERROR(__xludf.DUMMYFUNCTION("REGEXREPLACE(C27559,""-\d+(.*)|--\d+(.*)"","""")"),"COLOMBIERS")</f>
        <v>COLOMBIERS</v>
      </c>
      <c r="E27559" s="38" t="s">
        <v>504</v>
      </c>
      <c r="F27559" s="38" t="s">
        <v>123</v>
      </c>
      <c r="G27559" s="49" t="str">
        <f t="shared" si="1"/>
        <v>18200</v>
      </c>
      <c r="H27559" s="49">
        <f t="shared" si="2"/>
        <v>18069</v>
      </c>
    </row>
    <row r="27560">
      <c r="A27560" s="48" t="s">
        <v>6701</v>
      </c>
      <c r="B27560" s="38">
        <v>77277.0</v>
      </c>
      <c r="C27560" s="38" t="s">
        <v>32020</v>
      </c>
      <c r="D27560" s="38" t="str">
        <f>IFERROR(__xludf.DUMMYFUNCTION("REGEXREPLACE(C27560,""-\d+(.*)|--\d+(.*)"","""")"),"MARLES-EN-BRIE")</f>
        <v>MARLES-EN-BRIE</v>
      </c>
      <c r="E27560" s="38" t="s">
        <v>244</v>
      </c>
      <c r="F27560" s="38" t="s">
        <v>245</v>
      </c>
      <c r="G27560" s="49" t="str">
        <f t="shared" si="1"/>
        <v>77610</v>
      </c>
      <c r="H27560" s="49">
        <f t="shared" si="2"/>
        <v>77277</v>
      </c>
    </row>
    <row r="27561">
      <c r="A27561" s="48" t="s">
        <v>3430</v>
      </c>
      <c r="B27561" s="38">
        <v>84111.0</v>
      </c>
      <c r="C27561" s="38" t="s">
        <v>32021</v>
      </c>
      <c r="D27561" s="38" t="str">
        <f>IFERROR(__xludf.DUMMYFUNCTION("REGEXREPLACE(C27561,""-\d+(.*)|--\d+(.*)"","""")"),"SAINT-MARCELLIN-LES-VAISON")</f>
        <v>SAINT-MARCELLIN-LES-VAISON</v>
      </c>
      <c r="E27561" s="38" t="s">
        <v>1026</v>
      </c>
      <c r="F27561" s="38" t="s">
        <v>228</v>
      </c>
      <c r="G27561" s="49" t="str">
        <f t="shared" si="1"/>
        <v>84110</v>
      </c>
      <c r="H27561" s="49">
        <f t="shared" si="2"/>
        <v>84111</v>
      </c>
    </row>
    <row r="27562">
      <c r="A27562" s="48" t="s">
        <v>32022</v>
      </c>
      <c r="B27562" s="38">
        <v>74186.0</v>
      </c>
      <c r="C27562" s="38" t="s">
        <v>32023</v>
      </c>
      <c r="D27562" s="38" t="str">
        <f>IFERROR(__xludf.DUMMYFUNCTION("REGEXREPLACE(C27562,""-\d+(.*)|--\d+(.*)"","""")"),"MONTAGNY-LES-LANCHES")</f>
        <v>MONTAGNY-LES-LANCHES</v>
      </c>
      <c r="E27562" s="38" t="s">
        <v>319</v>
      </c>
      <c r="F27562" s="38" t="s">
        <v>102</v>
      </c>
      <c r="G27562" s="49" t="str">
        <f t="shared" si="1"/>
        <v>74600</v>
      </c>
      <c r="H27562" s="49">
        <f t="shared" si="2"/>
        <v>74186</v>
      </c>
    </row>
    <row r="27563">
      <c r="A27563" s="48" t="s">
        <v>1953</v>
      </c>
      <c r="B27563" s="38">
        <v>36165.0</v>
      </c>
      <c r="C27563" s="38" t="s">
        <v>32024</v>
      </c>
      <c r="D27563" s="38" t="str">
        <f>IFERROR(__xludf.DUMMYFUNCTION("REGEXREPLACE(C27563,""-\d+(.*)|--\d+(.*)"","""")"),"POULIGNY-SAINT-PIERRE")</f>
        <v>POULIGNY-SAINT-PIERRE</v>
      </c>
      <c r="E27563" s="38" t="s">
        <v>258</v>
      </c>
      <c r="F27563" s="38" t="s">
        <v>123</v>
      </c>
      <c r="G27563" s="49" t="str">
        <f t="shared" si="1"/>
        <v>36300</v>
      </c>
      <c r="H27563" s="49">
        <f t="shared" si="2"/>
        <v>36165</v>
      </c>
    </row>
    <row r="27564">
      <c r="A27564" s="48" t="s">
        <v>32025</v>
      </c>
      <c r="B27564" s="38">
        <v>13086.0</v>
      </c>
      <c r="C27564" s="38" t="s">
        <v>32026</v>
      </c>
      <c r="D27564" s="38" t="str">
        <f>IFERROR(__xludf.DUMMYFUNCTION("REGEXREPLACE(C27564,""-\d+(.*)|--\d+(.*)"","""")"),"ROQUEVAIRE")</f>
        <v>ROQUEVAIRE</v>
      </c>
      <c r="E27564" s="38" t="s">
        <v>980</v>
      </c>
      <c r="F27564" s="38" t="s">
        <v>228</v>
      </c>
      <c r="G27564" s="49" t="str">
        <f t="shared" si="1"/>
        <v>13360</v>
      </c>
      <c r="H27564" s="49">
        <f t="shared" si="2"/>
        <v>13086</v>
      </c>
    </row>
    <row r="27565">
      <c r="A27565" s="48" t="s">
        <v>15962</v>
      </c>
      <c r="B27565" s="38">
        <v>38378.0</v>
      </c>
      <c r="C27565" s="38" t="s">
        <v>32027</v>
      </c>
      <c r="D27565" s="38" t="str">
        <f>IFERROR(__xludf.DUMMYFUNCTION("REGEXREPLACE(C27565,""-\d+(.*)|--\d+(.*)"","""")"),"SAINT-CLAIR-DU-RHONE")</f>
        <v>SAINT-CLAIR-DU-RHONE</v>
      </c>
      <c r="E27565" s="38" t="s">
        <v>101</v>
      </c>
      <c r="F27565" s="38" t="s">
        <v>102</v>
      </c>
      <c r="G27565" s="49" t="str">
        <f t="shared" si="1"/>
        <v>38370</v>
      </c>
      <c r="H27565" s="49">
        <f t="shared" si="2"/>
        <v>38378</v>
      </c>
    </row>
    <row r="27566">
      <c r="A27566" s="48" t="s">
        <v>1646</v>
      </c>
      <c r="B27566" s="38">
        <v>24571.0</v>
      </c>
      <c r="C27566" s="38" t="s">
        <v>32028</v>
      </c>
      <c r="D27566" s="38" t="str">
        <f>IFERROR(__xludf.DUMMYFUNCTION("REGEXREPLACE(C27566,""-\d+(.*)|--\d+(.*)"","""")"),"VERGT")</f>
        <v>VERGT</v>
      </c>
      <c r="E27566" s="38" t="s">
        <v>261</v>
      </c>
      <c r="F27566" s="38" t="s">
        <v>252</v>
      </c>
      <c r="G27566" s="49" t="str">
        <f t="shared" si="1"/>
        <v>24380</v>
      </c>
      <c r="H27566" s="49">
        <f t="shared" si="2"/>
        <v>24571</v>
      </c>
    </row>
    <row r="27567">
      <c r="A27567" s="48" t="s">
        <v>1850</v>
      </c>
      <c r="B27567" s="38">
        <v>48168.0</v>
      </c>
      <c r="C27567" s="38" t="s">
        <v>32029</v>
      </c>
      <c r="D27567" s="38" t="str">
        <f>IFERROR(__xludf.DUMMYFUNCTION("REGEXREPLACE(C27567,""-\d+(.*)|--\d+(.*)"","""")"),"SAINT-LEGER-DE-PEYRE")</f>
        <v>SAINT-LEGER-DE-PEYRE</v>
      </c>
      <c r="E27567" s="38" t="s">
        <v>154</v>
      </c>
      <c r="F27567" s="38" t="s">
        <v>119</v>
      </c>
      <c r="G27567" s="49" t="str">
        <f t="shared" si="1"/>
        <v>48100</v>
      </c>
      <c r="H27567" s="49">
        <f t="shared" si="2"/>
        <v>48168</v>
      </c>
    </row>
    <row r="27568">
      <c r="A27568" s="48" t="s">
        <v>826</v>
      </c>
      <c r="B27568" s="38">
        <v>21170.0</v>
      </c>
      <c r="C27568" s="38" t="s">
        <v>32030</v>
      </c>
      <c r="D27568" s="38" t="str">
        <f>IFERROR(__xludf.DUMMYFUNCTION("REGEXREPLACE(C27568,""-\d+(.*)|--\d+(.*)"","""")"),"CHEVIGNY-EN-VALIERE")</f>
        <v>CHEVIGNY-EN-VALIERE</v>
      </c>
      <c r="E27568" s="38" t="s">
        <v>105</v>
      </c>
      <c r="F27568" s="38" t="s">
        <v>106</v>
      </c>
      <c r="G27568" s="49" t="str">
        <f t="shared" si="1"/>
        <v>21200</v>
      </c>
      <c r="H27568" s="49">
        <f t="shared" si="2"/>
        <v>21170</v>
      </c>
    </row>
    <row r="27569">
      <c r="A27569" s="48" t="s">
        <v>1728</v>
      </c>
      <c r="B27569" s="38">
        <v>45065.0</v>
      </c>
      <c r="C27569" s="38" t="s">
        <v>32031</v>
      </c>
      <c r="D27569" s="38" t="str">
        <f>IFERROR(__xludf.DUMMYFUNCTION("REGEXREPLACE(C27569,""-\d+(.*)|--\d+(.*)"","""")"),"CESARVILLE-DOSSAINVILLE")</f>
        <v>CESARVILLE-DOSSAINVILLE</v>
      </c>
      <c r="E27569" s="38" t="s">
        <v>122</v>
      </c>
      <c r="F27569" s="38" t="s">
        <v>123</v>
      </c>
      <c r="G27569" s="49" t="str">
        <f t="shared" si="1"/>
        <v>45300</v>
      </c>
      <c r="H27569" s="49">
        <f t="shared" si="2"/>
        <v>45065</v>
      </c>
    </row>
    <row r="27570">
      <c r="A27570" s="48" t="s">
        <v>942</v>
      </c>
      <c r="B27570" s="38">
        <v>2722.0</v>
      </c>
      <c r="C27570" s="38" t="s">
        <v>32032</v>
      </c>
      <c r="D27570" s="38" t="str">
        <f>IFERROR(__xludf.DUMMYFUNCTION("REGEXREPLACE(C27570,""-\d+(.*)|--\d+(.*)"","""")"),"SOISSONS")</f>
        <v>SOISSONS</v>
      </c>
      <c r="E27570" s="38" t="s">
        <v>191</v>
      </c>
      <c r="F27570" s="38" t="s">
        <v>113</v>
      </c>
      <c r="G27570" s="49" t="str">
        <f t="shared" si="1"/>
        <v>02200</v>
      </c>
      <c r="H27570" s="49" t="str">
        <f t="shared" si="2"/>
        <v>02722</v>
      </c>
    </row>
    <row r="27571">
      <c r="A27571" s="48" t="s">
        <v>18499</v>
      </c>
      <c r="B27571" s="38">
        <v>37184.0</v>
      </c>
      <c r="C27571" s="38" t="s">
        <v>32033</v>
      </c>
      <c r="D27571" s="38" t="str">
        <f>IFERROR(__xludf.DUMMYFUNCTION("REGEXREPLACE(C27571,""-\d+(.*)|--\d+(.*)"","""")"),"LE PETIT-PRESSIGNY")</f>
        <v>LE PETIT-PRESSIGNY</v>
      </c>
      <c r="E27571" s="38" t="s">
        <v>205</v>
      </c>
      <c r="F27571" s="38" t="s">
        <v>123</v>
      </c>
      <c r="G27571" s="49" t="str">
        <f t="shared" si="1"/>
        <v>37350</v>
      </c>
      <c r="H27571" s="49">
        <f t="shared" si="2"/>
        <v>37184</v>
      </c>
    </row>
    <row r="27572">
      <c r="A27572" s="48" t="s">
        <v>32034</v>
      </c>
      <c r="B27572" s="38">
        <v>92047.0</v>
      </c>
      <c r="C27572" s="38" t="s">
        <v>32035</v>
      </c>
      <c r="D27572" s="38" t="str">
        <f>IFERROR(__xludf.DUMMYFUNCTION("REGEXREPLACE(C27572,""-\d+(.*)|--\d+(.*)"","""")"),"MARNES-LA-COQUETTE")</f>
        <v>MARNES-LA-COQUETTE</v>
      </c>
      <c r="E27572" s="38" t="s">
        <v>838</v>
      </c>
      <c r="F27572" s="38" t="s">
        <v>245</v>
      </c>
      <c r="G27572" s="49" t="str">
        <f t="shared" si="1"/>
        <v>92430</v>
      </c>
      <c r="H27572" s="49">
        <f t="shared" si="2"/>
        <v>92047</v>
      </c>
    </row>
    <row r="27573">
      <c r="A27573" s="48" t="s">
        <v>7203</v>
      </c>
      <c r="B27573" s="38">
        <v>49289.0</v>
      </c>
      <c r="C27573" s="38" t="s">
        <v>32036</v>
      </c>
      <c r="D27573" s="38" t="str">
        <f>IFERROR(__xludf.DUMMYFUNCTION("REGEXREPLACE(C27573,""-\d+(.*)|--\d+(.*)"","""")"),"SAINT-JEAN-DE-LINIERES")</f>
        <v>SAINT-JEAN-DE-LINIERES</v>
      </c>
      <c r="E27573" s="38" t="s">
        <v>653</v>
      </c>
      <c r="F27573" s="38" t="s">
        <v>180</v>
      </c>
      <c r="G27573" s="49" t="str">
        <f t="shared" si="1"/>
        <v>49070</v>
      </c>
      <c r="H27573" s="49">
        <f t="shared" si="2"/>
        <v>49289</v>
      </c>
    </row>
    <row r="27574">
      <c r="A27574" s="48" t="s">
        <v>21808</v>
      </c>
      <c r="B27574" s="38">
        <v>14656.0</v>
      </c>
      <c r="C27574" s="38" t="s">
        <v>2361</v>
      </c>
      <c r="D27574" s="38" t="str">
        <f>IFERROR(__xludf.DUMMYFUNCTION("REGEXREPLACE(C27574,""-\d+(.*)|--\d+(.*)"","""")"),"SAINT-REMY")</f>
        <v>SAINT-REMY</v>
      </c>
      <c r="E27574" s="38" t="s">
        <v>137</v>
      </c>
      <c r="F27574" s="38" t="s">
        <v>138</v>
      </c>
      <c r="G27574" s="49" t="str">
        <f t="shared" si="1"/>
        <v>14570</v>
      </c>
      <c r="H27574" s="49">
        <f t="shared" si="2"/>
        <v>14656</v>
      </c>
    </row>
    <row r="27575">
      <c r="A27575" s="48" t="s">
        <v>3268</v>
      </c>
      <c r="B27575" s="38">
        <v>82062.0</v>
      </c>
      <c r="C27575" s="38" t="s">
        <v>32037</v>
      </c>
      <c r="D27575" s="38" t="str">
        <f>IFERROR(__xludf.DUMMYFUNCTION("REGEXREPLACE(C27575,""-\d+(.*)|--\d+(.*)"","""")"),"FINHAN")</f>
        <v>FINHAN</v>
      </c>
      <c r="E27575" s="38" t="s">
        <v>570</v>
      </c>
      <c r="F27575" s="38" t="s">
        <v>94</v>
      </c>
      <c r="G27575" s="49" t="str">
        <f t="shared" si="1"/>
        <v>82700</v>
      </c>
      <c r="H27575" s="49">
        <f t="shared" si="2"/>
        <v>82062</v>
      </c>
    </row>
    <row r="27576">
      <c r="A27576" s="48" t="s">
        <v>3364</v>
      </c>
      <c r="B27576" s="38">
        <v>62229.0</v>
      </c>
      <c r="C27576" s="38" t="s">
        <v>32038</v>
      </c>
      <c r="D27576" s="38" t="str">
        <f>IFERROR(__xludf.DUMMYFUNCTION("REGEXREPLACE(C27576,""-\d+(.*)|--\d+(.*)"","""")"),"CLETY")</f>
        <v>CLETY</v>
      </c>
      <c r="E27576" s="38" t="s">
        <v>109</v>
      </c>
      <c r="F27576" s="38" t="s">
        <v>86</v>
      </c>
      <c r="G27576" s="49" t="str">
        <f t="shared" si="1"/>
        <v>62380</v>
      </c>
      <c r="H27576" s="49">
        <f t="shared" si="2"/>
        <v>62229</v>
      </c>
    </row>
    <row r="27577">
      <c r="A27577" s="48" t="s">
        <v>1881</v>
      </c>
      <c r="B27577" s="38">
        <v>69112.0</v>
      </c>
      <c r="C27577" s="38" t="s">
        <v>32039</v>
      </c>
      <c r="D27577" s="38" t="str">
        <f>IFERROR(__xludf.DUMMYFUNCTION("REGEXREPLACE(C27577,""-\d+(.*)|--\d+(.*)"","""")"),"LENTILLY")</f>
        <v>LENTILLY</v>
      </c>
      <c r="E27577" s="38" t="s">
        <v>350</v>
      </c>
      <c r="F27577" s="38" t="s">
        <v>102</v>
      </c>
      <c r="G27577" s="49" t="str">
        <f t="shared" si="1"/>
        <v>69210</v>
      </c>
      <c r="H27577" s="49">
        <f t="shared" si="2"/>
        <v>69112</v>
      </c>
    </row>
    <row r="27578">
      <c r="A27578" s="48" t="s">
        <v>573</v>
      </c>
      <c r="B27578" s="38">
        <v>65312.0</v>
      </c>
      <c r="C27578" s="38" t="s">
        <v>32040</v>
      </c>
      <c r="D27578" s="38" t="str">
        <f>IFERROR(__xludf.DUMMYFUNCTION("REGEXREPLACE(C27578,""-\d+(.*)|--\d+(.*)"","""")"),"MOLERE")</f>
        <v>MOLERE</v>
      </c>
      <c r="E27578" s="38" t="s">
        <v>200</v>
      </c>
      <c r="F27578" s="38" t="s">
        <v>94</v>
      </c>
      <c r="G27578" s="49" t="str">
        <f t="shared" si="1"/>
        <v>65130</v>
      </c>
      <c r="H27578" s="49">
        <f t="shared" si="2"/>
        <v>65312</v>
      </c>
    </row>
    <row r="27579">
      <c r="A27579" s="48" t="s">
        <v>2467</v>
      </c>
      <c r="B27579" s="38">
        <v>35308.0</v>
      </c>
      <c r="C27579" s="38" t="s">
        <v>32041</v>
      </c>
      <c r="D27579" s="38" t="str">
        <f>IFERROR(__xludf.DUMMYFUNCTION("REGEXREPLACE(C27579,""-\d+(.*)|--\d+(.*)"","""")"),"SAINT-PIERRE-DE-PLESGUEN")</f>
        <v>SAINT-PIERRE-DE-PLESGUEN</v>
      </c>
      <c r="E27579" s="38" t="s">
        <v>347</v>
      </c>
      <c r="F27579" s="38" t="s">
        <v>90</v>
      </c>
      <c r="G27579" s="49" t="str">
        <f t="shared" si="1"/>
        <v>35720</v>
      </c>
      <c r="H27579" s="49">
        <f t="shared" si="2"/>
        <v>35308</v>
      </c>
    </row>
    <row r="27580">
      <c r="A27580" s="48" t="s">
        <v>365</v>
      </c>
      <c r="B27580" s="38">
        <v>50109.0</v>
      </c>
      <c r="C27580" s="38" t="s">
        <v>32042</v>
      </c>
      <c r="D27580" s="38" t="str">
        <f>IFERROR(__xludf.DUMMYFUNCTION("REGEXREPLACE(C27580,""-\d+(.*)|--\d+(.*)"","""")"),"CERENCES")</f>
        <v>CERENCES</v>
      </c>
      <c r="E27580" s="38" t="s">
        <v>157</v>
      </c>
      <c r="F27580" s="38" t="s">
        <v>138</v>
      </c>
      <c r="G27580" s="49" t="str">
        <f t="shared" si="1"/>
        <v>50510</v>
      </c>
      <c r="H27580" s="49">
        <f t="shared" si="2"/>
        <v>50109</v>
      </c>
    </row>
    <row r="27581">
      <c r="A27581" s="48" t="s">
        <v>5020</v>
      </c>
      <c r="B27581" s="38">
        <v>51386.0</v>
      </c>
      <c r="C27581" s="38" t="s">
        <v>32043</v>
      </c>
      <c r="D27581" s="38" t="str">
        <f>IFERROR(__xludf.DUMMYFUNCTION("REGEXREPLACE(C27581,""-\d+(.*)|--\d+(.*)"","""")"),"MORSAINS")</f>
        <v>MORSAINS</v>
      </c>
      <c r="E27581" s="38" t="s">
        <v>129</v>
      </c>
      <c r="F27581" s="38" t="s">
        <v>130</v>
      </c>
      <c r="G27581" s="49" t="str">
        <f t="shared" si="1"/>
        <v>51210</v>
      </c>
      <c r="H27581" s="49">
        <f t="shared" si="2"/>
        <v>51386</v>
      </c>
    </row>
    <row r="27582">
      <c r="A27582" s="48" t="s">
        <v>3329</v>
      </c>
      <c r="B27582" s="38">
        <v>60691.0</v>
      </c>
      <c r="C27582" s="38" t="s">
        <v>32044</v>
      </c>
      <c r="D27582" s="38" t="str">
        <f>IFERROR(__xludf.DUMMYFUNCTION("REGEXREPLACE(C27582,""-\d+(.*)|--\d+(.*)"","""")"),"VILLERS-VERMONT")</f>
        <v>VILLERS-VERMONT</v>
      </c>
      <c r="E27582" s="38" t="s">
        <v>112</v>
      </c>
      <c r="F27582" s="38" t="s">
        <v>113</v>
      </c>
      <c r="G27582" s="49" t="str">
        <f t="shared" si="1"/>
        <v>60380</v>
      </c>
      <c r="H27582" s="49">
        <f t="shared" si="2"/>
        <v>60691</v>
      </c>
    </row>
    <row r="27583">
      <c r="A27583" s="48" t="s">
        <v>2251</v>
      </c>
      <c r="B27583" s="38">
        <v>2291.0</v>
      </c>
      <c r="C27583" s="38" t="s">
        <v>24776</v>
      </c>
      <c r="D27583" s="38" t="str">
        <f>IFERROR(__xludf.DUMMYFUNCTION("REGEXREPLACE(C27583,""-\d+(.*)|--\d+(.*)"","""")"),"ESTREES")</f>
        <v>ESTREES</v>
      </c>
      <c r="E27583" s="38" t="s">
        <v>191</v>
      </c>
      <c r="F27583" s="38" t="s">
        <v>113</v>
      </c>
      <c r="G27583" s="49" t="str">
        <f t="shared" si="1"/>
        <v>02420</v>
      </c>
      <c r="H27583" s="49" t="str">
        <f t="shared" si="2"/>
        <v>02291</v>
      </c>
    </row>
    <row r="27584">
      <c r="A27584" s="48" t="s">
        <v>1827</v>
      </c>
      <c r="B27584" s="38">
        <v>77287.0</v>
      </c>
      <c r="C27584" s="38" t="s">
        <v>32045</v>
      </c>
      <c r="D27584" s="38" t="str">
        <f>IFERROR(__xludf.DUMMYFUNCTION("REGEXREPLACE(C27584,""-\d+(.*)|--\d+(.*)"","""")"),"MEILLERAY")</f>
        <v>MEILLERAY</v>
      </c>
      <c r="E27584" s="38" t="s">
        <v>244</v>
      </c>
      <c r="F27584" s="38" t="s">
        <v>245</v>
      </c>
      <c r="G27584" s="49" t="str">
        <f t="shared" si="1"/>
        <v>77320</v>
      </c>
      <c r="H27584" s="49">
        <f t="shared" si="2"/>
        <v>77287</v>
      </c>
    </row>
    <row r="27585">
      <c r="A27585" s="48" t="s">
        <v>2893</v>
      </c>
      <c r="B27585" s="38">
        <v>27544.0</v>
      </c>
      <c r="C27585" s="38" t="s">
        <v>32046</v>
      </c>
      <c r="D27585" s="38" t="str">
        <f>IFERROR(__xludf.DUMMYFUNCTION("REGEXREPLACE(C27585,""-\d+(.*)|--\d+(.*)"","""")"),"SAINT-GERMAIN-DE-FRESNEY")</f>
        <v>SAINT-GERMAIN-DE-FRESNEY</v>
      </c>
      <c r="E27585" s="38" t="s">
        <v>241</v>
      </c>
      <c r="F27585" s="38" t="s">
        <v>134</v>
      </c>
      <c r="G27585" s="49" t="str">
        <f t="shared" si="1"/>
        <v>27220</v>
      </c>
      <c r="H27585" s="49">
        <f t="shared" si="2"/>
        <v>27544</v>
      </c>
    </row>
    <row r="27586">
      <c r="A27586" s="48" t="s">
        <v>593</v>
      </c>
      <c r="B27586" s="38">
        <v>29016.0</v>
      </c>
      <c r="C27586" s="38" t="s">
        <v>32047</v>
      </c>
      <c r="D27586" s="38" t="str">
        <f>IFERROR(__xludf.DUMMYFUNCTION("REGEXREPLACE(C27586,""-\d+(.*)|--\d+(.*)"","""")"),"BRASPARTS")</f>
        <v>BRASPARTS</v>
      </c>
      <c r="E27586" s="38" t="s">
        <v>176</v>
      </c>
      <c r="F27586" s="38" t="s">
        <v>90</v>
      </c>
      <c r="G27586" s="49" t="str">
        <f t="shared" si="1"/>
        <v>29190</v>
      </c>
      <c r="H27586" s="49">
        <f t="shared" si="2"/>
        <v>29016</v>
      </c>
    </row>
    <row r="27587">
      <c r="A27587" s="48" t="s">
        <v>19930</v>
      </c>
      <c r="B27587" s="38">
        <v>76614.0</v>
      </c>
      <c r="C27587" s="38" t="s">
        <v>32048</v>
      </c>
      <c r="D27587" s="38" t="str">
        <f>IFERROR(__xludf.DUMMYFUNCTION("REGEXREPLACE(C27587,""-\d+(.*)|--\d+(.*)"","""")"),"SAINT-MARTIN-DE-BOSCHERVILLE")</f>
        <v>SAINT-MARTIN-DE-BOSCHERVILLE</v>
      </c>
      <c r="E27587" s="38" t="s">
        <v>133</v>
      </c>
      <c r="F27587" s="38" t="s">
        <v>134</v>
      </c>
      <c r="G27587" s="49" t="str">
        <f t="shared" si="1"/>
        <v>76840</v>
      </c>
      <c r="H27587" s="49">
        <f t="shared" si="2"/>
        <v>76614</v>
      </c>
    </row>
    <row r="27588">
      <c r="A27588" s="48" t="s">
        <v>2128</v>
      </c>
      <c r="B27588" s="38">
        <v>2396.0</v>
      </c>
      <c r="C27588" s="38" t="s">
        <v>32049</v>
      </c>
      <c r="D27588" s="38" t="str">
        <f>IFERROR(__xludf.DUMMYFUNCTION("REGEXREPLACE(C27588,""-\d+(.*)|--\d+(.*)"","""")"),"JUMIGNY")</f>
        <v>JUMIGNY</v>
      </c>
      <c r="E27588" s="38" t="s">
        <v>191</v>
      </c>
      <c r="F27588" s="38" t="s">
        <v>113</v>
      </c>
      <c r="G27588" s="49" t="str">
        <f t="shared" si="1"/>
        <v>02160</v>
      </c>
      <c r="H27588" s="49" t="str">
        <f t="shared" si="2"/>
        <v>02396</v>
      </c>
    </row>
    <row r="27589">
      <c r="A27589" s="48" t="s">
        <v>1781</v>
      </c>
      <c r="B27589" s="38">
        <v>27079.0</v>
      </c>
      <c r="C27589" s="38" t="s">
        <v>32050</v>
      </c>
      <c r="D27589" s="38" t="str">
        <f>IFERROR(__xludf.DUMMYFUNCTION("REGEXREPLACE(C27589,""-\d+(.*)|--\d+(.*)"","""")"),"BOISSY-LAMBERVILLE")</f>
        <v>BOISSY-LAMBERVILLE</v>
      </c>
      <c r="E27589" s="38" t="s">
        <v>241</v>
      </c>
      <c r="F27589" s="38" t="s">
        <v>134</v>
      </c>
      <c r="G27589" s="49" t="str">
        <f t="shared" si="1"/>
        <v>27300</v>
      </c>
      <c r="H27589" s="49">
        <f t="shared" si="2"/>
        <v>27079</v>
      </c>
    </row>
    <row r="27590">
      <c r="A27590" s="48" t="s">
        <v>3424</v>
      </c>
      <c r="B27590" s="38">
        <v>10255.0</v>
      </c>
      <c r="C27590" s="38" t="s">
        <v>32051</v>
      </c>
      <c r="D27590" s="38" t="str">
        <f>IFERROR(__xludf.DUMMYFUNCTION("REGEXREPLACE(C27590,""-\d+(.*)|--\d+(.*)"","""")"),"MONTREUIL-SUR-BARSE")</f>
        <v>MONTREUIL-SUR-BARSE</v>
      </c>
      <c r="E27590" s="38" t="s">
        <v>147</v>
      </c>
      <c r="F27590" s="38" t="s">
        <v>130</v>
      </c>
      <c r="G27590" s="49" t="str">
        <f t="shared" si="1"/>
        <v>10270</v>
      </c>
      <c r="H27590" s="49">
        <f t="shared" si="2"/>
        <v>10255</v>
      </c>
    </row>
    <row r="27591">
      <c r="A27591" s="48" t="s">
        <v>394</v>
      </c>
      <c r="B27591" s="38">
        <v>41259.0</v>
      </c>
      <c r="C27591" s="38" t="s">
        <v>32052</v>
      </c>
      <c r="D27591" s="38" t="str">
        <f>IFERROR(__xludf.DUMMYFUNCTION("REGEXREPLACE(C27591,""-\d+(.*)|--\d+(.*)"","""")"),"THORE-LA-ROCHETTE")</f>
        <v>THORE-LA-ROCHETTE</v>
      </c>
      <c r="E27591" s="38" t="s">
        <v>188</v>
      </c>
      <c r="F27591" s="38" t="s">
        <v>123</v>
      </c>
      <c r="G27591" s="49" t="str">
        <f t="shared" si="1"/>
        <v>41100</v>
      </c>
      <c r="H27591" s="49">
        <f t="shared" si="2"/>
        <v>41259</v>
      </c>
    </row>
    <row r="27592">
      <c r="A27592" s="48" t="s">
        <v>32053</v>
      </c>
      <c r="B27592" s="38">
        <v>93073.0</v>
      </c>
      <c r="C27592" s="38" t="s">
        <v>32054</v>
      </c>
      <c r="D27592" s="38" t="str">
        <f>IFERROR(__xludf.DUMMYFUNCTION("REGEXREPLACE(C27592,""-\d+(.*)|--\d+(.*)"","""")"),"TREMBLAY-EN-FRANCE")</f>
        <v>TREMBLAY-EN-FRANCE</v>
      </c>
      <c r="E27592" s="38" t="s">
        <v>341</v>
      </c>
      <c r="F27592" s="38" t="s">
        <v>245</v>
      </c>
      <c r="G27592" s="49" t="str">
        <f t="shared" si="1"/>
        <v>93290</v>
      </c>
      <c r="H27592" s="49">
        <f t="shared" si="2"/>
        <v>93073</v>
      </c>
    </row>
    <row r="27593">
      <c r="A27593" s="48" t="s">
        <v>32055</v>
      </c>
      <c r="B27593" s="38">
        <v>13031.0</v>
      </c>
      <c r="C27593" s="38" t="s">
        <v>32056</v>
      </c>
      <c r="D27593" s="38" t="str">
        <f>IFERROR(__xludf.DUMMYFUNCTION("REGEXREPLACE(C27593,""-\d+(.*)|--\d+(.*)"","""")"),"LA DESTROUSSE")</f>
        <v>LA DESTROUSSE</v>
      </c>
      <c r="E27593" s="38" t="s">
        <v>980</v>
      </c>
      <c r="F27593" s="38" t="s">
        <v>228</v>
      </c>
      <c r="G27593" s="49" t="str">
        <f t="shared" si="1"/>
        <v>13112</v>
      </c>
      <c r="H27593" s="49">
        <f t="shared" si="2"/>
        <v>13031</v>
      </c>
    </row>
    <row r="27594">
      <c r="A27594" s="48" t="s">
        <v>2124</v>
      </c>
      <c r="B27594" s="38">
        <v>10264.0</v>
      </c>
      <c r="C27594" s="38" t="s">
        <v>32057</v>
      </c>
      <c r="D27594" s="38" t="str">
        <f>IFERROR(__xludf.DUMMYFUNCTION("REGEXREPLACE(C27594,""-\d+(.*)|--\d+(.*)"","""")"),"NOE-LES-MALLETS")</f>
        <v>NOE-LES-MALLETS</v>
      </c>
      <c r="E27594" s="38" t="s">
        <v>147</v>
      </c>
      <c r="F27594" s="38" t="s">
        <v>130</v>
      </c>
      <c r="G27594" s="49" t="str">
        <f t="shared" si="1"/>
        <v>10360</v>
      </c>
      <c r="H27594" s="49">
        <f t="shared" si="2"/>
        <v>10264</v>
      </c>
    </row>
    <row r="27595">
      <c r="A27595" s="48" t="s">
        <v>2475</v>
      </c>
      <c r="B27595" s="38">
        <v>25366.0</v>
      </c>
      <c r="C27595" s="38" t="s">
        <v>32058</v>
      </c>
      <c r="D27595" s="38" t="str">
        <f>IFERROR(__xludf.DUMMYFUNCTION("REGEXREPLACE(C27595,""-\d+(.*)|--\d+(.*)"","""")"),"MANCENANS-LIZERNE")</f>
        <v>MANCENANS-LIZERNE</v>
      </c>
      <c r="E27595" s="38" t="s">
        <v>213</v>
      </c>
      <c r="F27595" s="38" t="s">
        <v>214</v>
      </c>
      <c r="G27595" s="49" t="str">
        <f t="shared" si="1"/>
        <v>25120</v>
      </c>
      <c r="H27595" s="49">
        <f t="shared" si="2"/>
        <v>25366</v>
      </c>
    </row>
    <row r="27596">
      <c r="A27596" s="48" t="s">
        <v>13080</v>
      </c>
      <c r="B27596" s="38">
        <v>71431.0</v>
      </c>
      <c r="C27596" s="38" t="s">
        <v>32059</v>
      </c>
      <c r="D27596" s="38" t="str">
        <f>IFERROR(__xludf.DUMMYFUNCTION("REGEXREPLACE(C27596,""-\d+(.*)|--\d+(.*)"","""")"),"SAINT-JEAN-DE-TREZY")</f>
        <v>SAINT-JEAN-DE-TREZY</v>
      </c>
      <c r="E27596" s="38" t="s">
        <v>344</v>
      </c>
      <c r="F27596" s="38" t="s">
        <v>106</v>
      </c>
      <c r="G27596" s="49" t="str">
        <f t="shared" si="1"/>
        <v>71490</v>
      </c>
      <c r="H27596" s="49">
        <f t="shared" si="2"/>
        <v>71431</v>
      </c>
    </row>
    <row r="27597">
      <c r="A27597" s="48" t="s">
        <v>8579</v>
      </c>
      <c r="B27597" s="38">
        <v>32214.0</v>
      </c>
      <c r="C27597" s="38" t="s">
        <v>32060</v>
      </c>
      <c r="D27597" s="38" t="str">
        <f>IFERROR(__xludf.DUMMYFUNCTION("REGEXREPLACE(C27597,""-\d+(.*)|--\d+(.*)"","""")"),"LOUBEDAT")</f>
        <v>LOUBEDAT</v>
      </c>
      <c r="E27597" s="38" t="s">
        <v>440</v>
      </c>
      <c r="F27597" s="38" t="s">
        <v>94</v>
      </c>
      <c r="G27597" s="49" t="str">
        <f t="shared" si="1"/>
        <v>32110</v>
      </c>
      <c r="H27597" s="49">
        <f t="shared" si="2"/>
        <v>32214</v>
      </c>
    </row>
    <row r="27598">
      <c r="A27598" s="48" t="s">
        <v>6184</v>
      </c>
      <c r="B27598" s="38">
        <v>7189.0</v>
      </c>
      <c r="C27598" s="38" t="s">
        <v>32061</v>
      </c>
      <c r="D27598" s="38" t="str">
        <f>IFERROR(__xludf.DUMMYFUNCTION("REGEXREPLACE(C27598,""-\d+(.*)|--\d+(.*)"","""")"),"RIBES")</f>
        <v>RIBES</v>
      </c>
      <c r="E27598" s="38" t="s">
        <v>144</v>
      </c>
      <c r="F27598" s="38" t="s">
        <v>102</v>
      </c>
      <c r="G27598" s="49" t="str">
        <f t="shared" si="1"/>
        <v>07260</v>
      </c>
      <c r="H27598" s="49" t="str">
        <f t="shared" si="2"/>
        <v>07189</v>
      </c>
    </row>
    <row r="27599">
      <c r="A27599" s="48" t="s">
        <v>6943</v>
      </c>
      <c r="B27599" s="38">
        <v>64138.0</v>
      </c>
      <c r="C27599" s="38" t="s">
        <v>32062</v>
      </c>
      <c r="D27599" s="38" t="str">
        <f>IFERROR(__xludf.DUMMYFUNCTION("REGEXREPLACE(C27599,""-\d+(.*)|--\d+(.*)"","""")"),"BORDES")</f>
        <v>BORDES</v>
      </c>
      <c r="E27599" s="38" t="s">
        <v>268</v>
      </c>
      <c r="F27599" s="38" t="s">
        <v>252</v>
      </c>
      <c r="G27599" s="49" t="str">
        <f t="shared" si="1"/>
        <v>64510</v>
      </c>
      <c r="H27599" s="49">
        <f t="shared" si="2"/>
        <v>64138</v>
      </c>
    </row>
    <row r="27600">
      <c r="A27600" s="48" t="s">
        <v>748</v>
      </c>
      <c r="B27600" s="38">
        <v>60689.0</v>
      </c>
      <c r="C27600" s="38" t="s">
        <v>32063</v>
      </c>
      <c r="D27600" s="38" t="str">
        <f>IFERROR(__xludf.DUMMYFUNCTION("REGEXREPLACE(C27600,""-\d+(.*)|--\d+(.*)"","""")"),"VILLERS-SUR-COUDUN")</f>
        <v>VILLERS-SUR-COUDUN</v>
      </c>
      <c r="E27600" s="38" t="s">
        <v>112</v>
      </c>
      <c r="F27600" s="38" t="s">
        <v>113</v>
      </c>
      <c r="G27600" s="49" t="str">
        <f t="shared" si="1"/>
        <v>60150</v>
      </c>
      <c r="H27600" s="49">
        <f t="shared" si="2"/>
        <v>60689</v>
      </c>
    </row>
    <row r="27601">
      <c r="A27601" s="48" t="s">
        <v>1544</v>
      </c>
      <c r="B27601" s="38">
        <v>2276.0</v>
      </c>
      <c r="C27601" s="38" t="s">
        <v>32064</v>
      </c>
      <c r="D27601" s="38" t="str">
        <f>IFERROR(__xludf.DUMMYFUNCTION("REGEXREPLACE(C27601,""-\d+(.*)|--\d+(.*)"","""")"),"ENGLANCOURT")</f>
        <v>ENGLANCOURT</v>
      </c>
      <c r="E27601" s="38" t="s">
        <v>191</v>
      </c>
      <c r="F27601" s="38" t="s">
        <v>113</v>
      </c>
      <c r="G27601" s="49" t="str">
        <f t="shared" si="1"/>
        <v>02260</v>
      </c>
      <c r="H27601" s="49" t="str">
        <f t="shared" si="2"/>
        <v>02276</v>
      </c>
    </row>
    <row r="27602">
      <c r="A27602" s="48" t="s">
        <v>32065</v>
      </c>
      <c r="B27602" s="38">
        <v>78007.0</v>
      </c>
      <c r="C27602" s="38" t="s">
        <v>14037</v>
      </c>
      <c r="D27602" s="38" t="str">
        <f>IFERROR(__xludf.DUMMYFUNCTION("REGEXREPLACE(C27602,""-\d+(.*)|--\d+(.*)"","""")"),"AIGREMONT")</f>
        <v>AIGREMONT</v>
      </c>
      <c r="E27602" s="38" t="s">
        <v>362</v>
      </c>
      <c r="F27602" s="38" t="s">
        <v>245</v>
      </c>
      <c r="G27602" s="49" t="str">
        <f t="shared" si="1"/>
        <v>78240</v>
      </c>
      <c r="H27602" s="49">
        <f t="shared" si="2"/>
        <v>78007</v>
      </c>
    </row>
    <row r="27603">
      <c r="A27603" s="48" t="s">
        <v>32066</v>
      </c>
      <c r="B27603" s="38">
        <v>80093.0</v>
      </c>
      <c r="C27603" s="38" t="s">
        <v>32067</v>
      </c>
      <c r="D27603" s="38" t="str">
        <f>IFERROR(__xludf.DUMMYFUNCTION("REGEXREPLACE(C27603,""-\d+(.*)|--\d+(.*)"","""")"),"BERTEAUCOURT-LES-DAMES")</f>
        <v>BERTEAUCOURT-LES-DAMES</v>
      </c>
      <c r="E27603" s="38" t="s">
        <v>224</v>
      </c>
      <c r="F27603" s="38" t="s">
        <v>113</v>
      </c>
      <c r="G27603" s="49" t="str">
        <f t="shared" si="1"/>
        <v>80850</v>
      </c>
      <c r="H27603" s="49">
        <f t="shared" si="2"/>
        <v>80093</v>
      </c>
    </row>
    <row r="27604">
      <c r="A27604" s="48" t="s">
        <v>1147</v>
      </c>
      <c r="B27604" s="38">
        <v>37136.0</v>
      </c>
      <c r="C27604" s="38" t="s">
        <v>32068</v>
      </c>
      <c r="D27604" s="38" t="str">
        <f>IFERROR(__xludf.DUMMYFUNCTION("REGEXREPLACE(C27604,""-\d+(.*)|--\d+(.*)"","""")"),"LE LOUROUX")</f>
        <v>LE LOUROUX</v>
      </c>
      <c r="E27604" s="38" t="s">
        <v>205</v>
      </c>
      <c r="F27604" s="38" t="s">
        <v>123</v>
      </c>
      <c r="G27604" s="49" t="str">
        <f t="shared" si="1"/>
        <v>37240</v>
      </c>
      <c r="H27604" s="49">
        <f t="shared" si="2"/>
        <v>37136</v>
      </c>
    </row>
    <row r="27605">
      <c r="A27605" s="48" t="s">
        <v>15157</v>
      </c>
      <c r="B27605" s="38">
        <v>91338.0</v>
      </c>
      <c r="C27605" s="38" t="s">
        <v>32069</v>
      </c>
      <c r="D27605" s="38" t="str">
        <f>IFERROR(__xludf.DUMMYFUNCTION("REGEXREPLACE(C27605,""-\d+(.*)|--\d+(.*)"","""")"),"LIMOURS")</f>
        <v>LIMOURS</v>
      </c>
      <c r="E27605" s="38" t="s">
        <v>756</v>
      </c>
      <c r="F27605" s="38" t="s">
        <v>245</v>
      </c>
      <c r="G27605" s="49" t="str">
        <f t="shared" si="1"/>
        <v>91470</v>
      </c>
      <c r="H27605" s="49">
        <f t="shared" si="2"/>
        <v>91338</v>
      </c>
    </row>
    <row r="27606">
      <c r="A27606" s="48" t="s">
        <v>645</v>
      </c>
      <c r="B27606" s="38">
        <v>57689.0</v>
      </c>
      <c r="C27606" s="38" t="s">
        <v>32070</v>
      </c>
      <c r="D27606" s="38" t="str">
        <f>IFERROR(__xludf.DUMMYFUNCTION("REGEXREPLACE(C27606,""-\d+(.*)|--\d+(.*)"","""")"),"VALMESTROFF")</f>
        <v>VALMESTROFF</v>
      </c>
      <c r="E27606" s="38" t="s">
        <v>303</v>
      </c>
      <c r="F27606" s="38" t="s">
        <v>195</v>
      </c>
      <c r="G27606" s="49" t="str">
        <f t="shared" si="1"/>
        <v>57970</v>
      </c>
      <c r="H27606" s="49">
        <f t="shared" si="2"/>
        <v>57689</v>
      </c>
    </row>
    <row r="27607">
      <c r="A27607" s="48" t="s">
        <v>8873</v>
      </c>
      <c r="B27607" s="38">
        <v>34146.0</v>
      </c>
      <c r="C27607" s="38" t="s">
        <v>32071</v>
      </c>
      <c r="D27607" s="38" t="str">
        <f>IFERROR(__xludf.DUMMYFUNCTION("REGEXREPLACE(C27607,""-\d+(.*)|--\d+(.*)"","""")"),"LUNEL-VIEL")</f>
        <v>LUNEL-VIEL</v>
      </c>
      <c r="E27607" s="38" t="s">
        <v>118</v>
      </c>
      <c r="F27607" s="38" t="s">
        <v>119</v>
      </c>
      <c r="G27607" s="49" t="str">
        <f t="shared" si="1"/>
        <v>34400</v>
      </c>
      <c r="H27607" s="49">
        <f t="shared" si="2"/>
        <v>34146</v>
      </c>
    </row>
    <row r="27608">
      <c r="A27608" s="48" t="s">
        <v>3733</v>
      </c>
      <c r="B27608" s="38">
        <v>78668.0</v>
      </c>
      <c r="C27608" s="38" t="s">
        <v>32072</v>
      </c>
      <c r="D27608" s="38" t="str">
        <f>IFERROR(__xludf.DUMMYFUNCTION("REGEXREPLACE(C27608,""-\d+(.*)|--\d+(.*)"","""")"),"LA VILLENEUVE-EN-CHEVRIE")</f>
        <v>LA VILLENEUVE-EN-CHEVRIE</v>
      </c>
      <c r="E27608" s="38" t="s">
        <v>362</v>
      </c>
      <c r="F27608" s="38" t="s">
        <v>245</v>
      </c>
      <c r="G27608" s="49" t="str">
        <f t="shared" si="1"/>
        <v>78270</v>
      </c>
      <c r="H27608" s="49">
        <f t="shared" si="2"/>
        <v>78668</v>
      </c>
    </row>
    <row r="27609">
      <c r="A27609" s="48" t="s">
        <v>12336</v>
      </c>
      <c r="B27609" s="38" t="s">
        <v>32073</v>
      </c>
      <c r="C27609" s="38" t="s">
        <v>32074</v>
      </c>
      <c r="D27609" s="38" t="str">
        <f>IFERROR(__xludf.DUMMYFUNCTION("REGEXREPLACE(C27609,""-\d+(.*)|--\d+(.*)"","""")"),"ZILIA")</f>
        <v>ZILIA</v>
      </c>
      <c r="E27609" s="38" t="s">
        <v>743</v>
      </c>
      <c r="F27609" s="38" t="s">
        <v>607</v>
      </c>
      <c r="G27609" s="49" t="str">
        <f t="shared" si="1"/>
        <v>20214</v>
      </c>
      <c r="H27609" s="49" t="str">
        <f t="shared" si="2"/>
        <v>2B361</v>
      </c>
    </row>
    <row r="27610">
      <c r="A27610" s="48" t="s">
        <v>1054</v>
      </c>
      <c r="B27610" s="38">
        <v>46177.0</v>
      </c>
      <c r="C27610" s="38" t="s">
        <v>32075</v>
      </c>
      <c r="D27610" s="38" t="str">
        <f>IFERROR(__xludf.DUMMYFUNCTION("REGEXREPLACE(C27610,""-\d+(.*)|--\d+(.*)"","""")"),"LOUBRESSAC")</f>
        <v>LOUBRESSAC</v>
      </c>
      <c r="E27610" s="38" t="s">
        <v>185</v>
      </c>
      <c r="F27610" s="38" t="s">
        <v>94</v>
      </c>
      <c r="G27610" s="49" t="str">
        <f t="shared" si="1"/>
        <v>46130</v>
      </c>
      <c r="H27610" s="49">
        <f t="shared" si="2"/>
        <v>46177</v>
      </c>
    </row>
    <row r="27611">
      <c r="A27611" s="48" t="s">
        <v>522</v>
      </c>
      <c r="B27611" s="38">
        <v>39376.0</v>
      </c>
      <c r="C27611" s="38" t="s">
        <v>32076</v>
      </c>
      <c r="D27611" s="38" t="str">
        <f>IFERROR(__xludf.DUMMYFUNCTION("REGEXREPLACE(C27611,""-\d+(.*)|--\d+(.*)"","""")"),"MOUTOUX")</f>
        <v>MOUTOUX</v>
      </c>
      <c r="E27611" s="38" t="s">
        <v>400</v>
      </c>
      <c r="F27611" s="38" t="s">
        <v>214</v>
      </c>
      <c r="G27611" s="49" t="str">
        <f t="shared" si="1"/>
        <v>39300</v>
      </c>
      <c r="H27611" s="49">
        <f t="shared" si="2"/>
        <v>39376</v>
      </c>
    </row>
    <row r="27612">
      <c r="A27612" s="48" t="s">
        <v>4131</v>
      </c>
      <c r="B27612" s="38">
        <v>27318.0</v>
      </c>
      <c r="C27612" s="38" t="s">
        <v>32077</v>
      </c>
      <c r="D27612" s="38" t="str">
        <f>IFERROR(__xludf.DUMMYFUNCTION("REGEXREPLACE(C27612,""-\d+(.*)|--\d+(.*)"","""")"),"LA HAYE-DE-CALLEVILLE")</f>
        <v>LA HAYE-DE-CALLEVILLE</v>
      </c>
      <c r="E27612" s="38" t="s">
        <v>241</v>
      </c>
      <c r="F27612" s="38" t="s">
        <v>134</v>
      </c>
      <c r="G27612" s="49" t="str">
        <f t="shared" si="1"/>
        <v>27800</v>
      </c>
      <c r="H27612" s="49">
        <f t="shared" si="2"/>
        <v>27318</v>
      </c>
    </row>
    <row r="27613">
      <c r="A27613" s="48" t="s">
        <v>7532</v>
      </c>
      <c r="B27613" s="38">
        <v>37207.0</v>
      </c>
      <c r="C27613" s="38" t="s">
        <v>32078</v>
      </c>
      <c r="D27613" s="38" t="str">
        <f>IFERROR(__xludf.DUMMYFUNCTION("REGEXREPLACE(C27613,""-\d+(.*)|--\d+(.*)"","""")"),"SAINT-AUBIN-LE-DEPEINT")</f>
        <v>SAINT-AUBIN-LE-DEPEINT</v>
      </c>
      <c r="E27613" s="38" t="s">
        <v>205</v>
      </c>
      <c r="F27613" s="38" t="s">
        <v>123</v>
      </c>
      <c r="G27613" s="49" t="str">
        <f t="shared" si="1"/>
        <v>37370</v>
      </c>
      <c r="H27613" s="49">
        <f t="shared" si="2"/>
        <v>37207</v>
      </c>
    </row>
    <row r="27614">
      <c r="A27614" s="48" t="s">
        <v>4886</v>
      </c>
      <c r="B27614" s="38">
        <v>3054.0</v>
      </c>
      <c r="C27614" s="38" t="s">
        <v>32079</v>
      </c>
      <c r="D27614" s="38" t="str">
        <f>IFERROR(__xludf.DUMMYFUNCTION("REGEXREPLACE(C27614,""-\d+(.*)|--\d+(.*)"","""")"),"CHAPEAU")</f>
        <v>CHAPEAU</v>
      </c>
      <c r="E27614" s="38" t="s">
        <v>160</v>
      </c>
      <c r="F27614" s="38" t="s">
        <v>161</v>
      </c>
      <c r="G27614" s="49" t="str">
        <f t="shared" si="1"/>
        <v>03340</v>
      </c>
      <c r="H27614" s="49" t="str">
        <f t="shared" si="2"/>
        <v>03054</v>
      </c>
    </row>
    <row r="27615">
      <c r="A27615" s="48" t="s">
        <v>5487</v>
      </c>
      <c r="B27615" s="38">
        <v>27166.0</v>
      </c>
      <c r="C27615" s="38" t="s">
        <v>32080</v>
      </c>
      <c r="D27615" s="38" t="str">
        <f>IFERROR(__xludf.DUMMYFUNCTION("REGEXREPLACE(C27615,""-\d+(.*)|--\d+(.*)"","""")"),"CONDE-SUR-ITON")</f>
        <v>CONDE-SUR-ITON</v>
      </c>
      <c r="E27615" s="38" t="s">
        <v>241</v>
      </c>
      <c r="F27615" s="38" t="s">
        <v>134</v>
      </c>
      <c r="G27615" s="49" t="str">
        <f t="shared" si="1"/>
        <v>27160</v>
      </c>
      <c r="H27615" s="49">
        <f t="shared" si="2"/>
        <v>27166</v>
      </c>
    </row>
    <row r="27616">
      <c r="A27616" s="48" t="s">
        <v>3800</v>
      </c>
      <c r="B27616" s="38">
        <v>35175.0</v>
      </c>
      <c r="C27616" s="38" t="s">
        <v>32081</v>
      </c>
      <c r="D27616" s="38" t="str">
        <f>IFERROR(__xludf.DUMMYFUNCTION("REGEXREPLACE(C27616,""-\d+(.*)|--\d+(.*)"","""")"),"MERNEL")</f>
        <v>MERNEL</v>
      </c>
      <c r="E27616" s="38" t="s">
        <v>347</v>
      </c>
      <c r="F27616" s="38" t="s">
        <v>90</v>
      </c>
      <c r="G27616" s="49" t="str">
        <f t="shared" si="1"/>
        <v>35330</v>
      </c>
      <c r="H27616" s="49">
        <f t="shared" si="2"/>
        <v>35175</v>
      </c>
    </row>
    <row r="27617">
      <c r="A27617" s="48" t="s">
        <v>32082</v>
      </c>
      <c r="B27617" s="38">
        <v>54391.0</v>
      </c>
      <c r="C27617" s="38" t="s">
        <v>9528</v>
      </c>
      <c r="D27617" s="38" t="str">
        <f>IFERROR(__xludf.DUMMYFUNCTION("REGEXREPLACE(C27617,""-\d+(.*)|--\d+(.*)"","""")"),"MOUTIERS")</f>
        <v>MOUTIERS</v>
      </c>
      <c r="E27617" s="38" t="s">
        <v>548</v>
      </c>
      <c r="F27617" s="38" t="s">
        <v>195</v>
      </c>
      <c r="G27617" s="49" t="str">
        <f t="shared" si="1"/>
        <v>54660</v>
      </c>
      <c r="H27617" s="49">
        <f t="shared" si="2"/>
        <v>54391</v>
      </c>
    </row>
    <row r="27618">
      <c r="A27618" s="48" t="s">
        <v>5681</v>
      </c>
      <c r="B27618" s="38">
        <v>58035.0</v>
      </c>
      <c r="C27618" s="38" t="s">
        <v>32083</v>
      </c>
      <c r="D27618" s="38" t="str">
        <f>IFERROR(__xludf.DUMMYFUNCTION("REGEXREPLACE(C27618,""-\d+(.*)|--\d+(.*)"","""")"),"BONA")</f>
        <v>BONA</v>
      </c>
      <c r="E27618" s="38" t="s">
        <v>219</v>
      </c>
      <c r="F27618" s="38" t="s">
        <v>106</v>
      </c>
      <c r="G27618" s="49" t="str">
        <f t="shared" si="1"/>
        <v>58330</v>
      </c>
      <c r="H27618" s="49">
        <f t="shared" si="2"/>
        <v>58035</v>
      </c>
    </row>
    <row r="27619">
      <c r="A27619" s="48" t="s">
        <v>4659</v>
      </c>
      <c r="B27619" s="38">
        <v>32374.0</v>
      </c>
      <c r="C27619" s="38" t="s">
        <v>32084</v>
      </c>
      <c r="D27619" s="38" t="str">
        <f>IFERROR(__xludf.DUMMYFUNCTION("REGEXREPLACE(C27619,""-\d+(.*)|--\d+(.*)"","""")"),"SAINT-ELIX")</f>
        <v>SAINT-ELIX</v>
      </c>
      <c r="E27619" s="38" t="s">
        <v>440</v>
      </c>
      <c r="F27619" s="38" t="s">
        <v>94</v>
      </c>
      <c r="G27619" s="49" t="str">
        <f t="shared" si="1"/>
        <v>32450</v>
      </c>
      <c r="H27619" s="49">
        <f t="shared" si="2"/>
        <v>32374</v>
      </c>
    </row>
    <row r="27620">
      <c r="A27620" s="48" t="s">
        <v>691</v>
      </c>
      <c r="B27620" s="38">
        <v>64031.0</v>
      </c>
      <c r="C27620" s="38" t="s">
        <v>32085</v>
      </c>
      <c r="D27620" s="38" t="str">
        <f>IFERROR(__xludf.DUMMYFUNCTION("REGEXREPLACE(C27620,""-\d+(.*)|--\d+(.*)"","""")"),"ARANCOU")</f>
        <v>ARANCOU</v>
      </c>
      <c r="E27620" s="38" t="s">
        <v>268</v>
      </c>
      <c r="F27620" s="38" t="s">
        <v>252</v>
      </c>
      <c r="G27620" s="49" t="str">
        <f t="shared" si="1"/>
        <v>64270</v>
      </c>
      <c r="H27620" s="49">
        <f t="shared" si="2"/>
        <v>64031</v>
      </c>
    </row>
    <row r="27621">
      <c r="A27621" s="48" t="s">
        <v>13807</v>
      </c>
      <c r="B27621" s="38">
        <v>38097.0</v>
      </c>
      <c r="C27621" s="38" t="s">
        <v>32086</v>
      </c>
      <c r="D27621" s="38" t="str">
        <f>IFERROR(__xludf.DUMMYFUNCTION("REGEXREPLACE(C27621,""-\d+(.*)|--\d+(.*)"","""")"),"CHAVANOZ")</f>
        <v>CHAVANOZ</v>
      </c>
      <c r="E27621" s="38" t="s">
        <v>101</v>
      </c>
      <c r="F27621" s="38" t="s">
        <v>102</v>
      </c>
      <c r="G27621" s="49" t="str">
        <f t="shared" si="1"/>
        <v>38230</v>
      </c>
      <c r="H27621" s="49">
        <f t="shared" si="2"/>
        <v>38097</v>
      </c>
    </row>
    <row r="27622">
      <c r="A27622" s="48" t="s">
        <v>1195</v>
      </c>
      <c r="B27622" s="38">
        <v>80112.0</v>
      </c>
      <c r="C27622" s="38" t="s">
        <v>1890</v>
      </c>
      <c r="D27622" s="38" t="str">
        <f>IFERROR(__xludf.DUMMYFUNCTION("REGEXREPLACE(C27622,""-\d+(.*)|--\d+(.*)"","""")"),"BONNAY")</f>
        <v>BONNAY</v>
      </c>
      <c r="E27622" s="38" t="s">
        <v>224</v>
      </c>
      <c r="F27622" s="38" t="s">
        <v>113</v>
      </c>
      <c r="G27622" s="49" t="str">
        <f t="shared" si="1"/>
        <v>80800</v>
      </c>
      <c r="H27622" s="49">
        <f t="shared" si="2"/>
        <v>80112</v>
      </c>
    </row>
    <row r="27623">
      <c r="A27623" s="48" t="s">
        <v>7247</v>
      </c>
      <c r="B27623" s="38">
        <v>24036.0</v>
      </c>
      <c r="C27623" s="38" t="s">
        <v>32087</v>
      </c>
      <c r="D27623" s="38" t="str">
        <f>IFERROR(__xludf.DUMMYFUNCTION("REGEXREPLACE(C27623,""-\d+(.*)|--\d+(.*)"","""")"),"BERBIGUIERES")</f>
        <v>BERBIGUIERES</v>
      </c>
      <c r="E27623" s="38" t="s">
        <v>261</v>
      </c>
      <c r="F27623" s="38" t="s">
        <v>252</v>
      </c>
      <c r="G27623" s="49" t="str">
        <f t="shared" si="1"/>
        <v>24220</v>
      </c>
      <c r="H27623" s="49">
        <f t="shared" si="2"/>
        <v>24036</v>
      </c>
    </row>
    <row r="27624">
      <c r="A27624" s="48" t="s">
        <v>11261</v>
      </c>
      <c r="B27624" s="38">
        <v>38238.0</v>
      </c>
      <c r="C27624" s="38" t="s">
        <v>32088</v>
      </c>
      <c r="D27624" s="38" t="str">
        <f>IFERROR(__xludf.DUMMYFUNCTION("REGEXREPLACE(C27624,""-\d+(.*)|--\d+(.*)"","""")"),"MOIDIEU-DETOURBE")</f>
        <v>MOIDIEU-DETOURBE</v>
      </c>
      <c r="E27624" s="38" t="s">
        <v>101</v>
      </c>
      <c r="F27624" s="38" t="s">
        <v>102</v>
      </c>
      <c r="G27624" s="49" t="str">
        <f t="shared" si="1"/>
        <v>38440</v>
      </c>
      <c r="H27624" s="49">
        <f t="shared" si="2"/>
        <v>38238</v>
      </c>
    </row>
    <row r="27625">
      <c r="A27625" s="48" t="s">
        <v>5759</v>
      </c>
      <c r="B27625" s="38">
        <v>59148.0</v>
      </c>
      <c r="C27625" s="38" t="s">
        <v>32089</v>
      </c>
      <c r="D27625" s="38" t="str">
        <f>IFERROR(__xludf.DUMMYFUNCTION("REGEXREPLACE(C27625,""-\d+(.*)|--\d+(.*)"","""")"),"CLAIRFAYTS")</f>
        <v>CLAIRFAYTS</v>
      </c>
      <c r="E27625" s="38" t="s">
        <v>85</v>
      </c>
      <c r="F27625" s="38" t="s">
        <v>86</v>
      </c>
      <c r="G27625" s="49" t="str">
        <f t="shared" si="1"/>
        <v>59740</v>
      </c>
      <c r="H27625" s="49">
        <f t="shared" si="2"/>
        <v>59148</v>
      </c>
    </row>
    <row r="27626">
      <c r="A27626" s="48" t="s">
        <v>10388</v>
      </c>
      <c r="B27626" s="38">
        <v>21010.0</v>
      </c>
      <c r="C27626" s="38" t="s">
        <v>32090</v>
      </c>
      <c r="D27626" s="38" t="str">
        <f>IFERROR(__xludf.DUMMYFUNCTION("REGEXREPLACE(C27626,""-\d+(.*)|--\d+(.*)"","""")"),"ALOXE-CORTON")</f>
        <v>ALOXE-CORTON</v>
      </c>
      <c r="E27626" s="38" t="s">
        <v>105</v>
      </c>
      <c r="F27626" s="38" t="s">
        <v>106</v>
      </c>
      <c r="G27626" s="49" t="str">
        <f t="shared" si="1"/>
        <v>21420</v>
      </c>
      <c r="H27626" s="49">
        <f t="shared" si="2"/>
        <v>21010</v>
      </c>
    </row>
    <row r="27627">
      <c r="A27627" s="48" t="s">
        <v>9278</v>
      </c>
      <c r="B27627" s="38">
        <v>91097.0</v>
      </c>
      <c r="C27627" s="38" t="s">
        <v>32091</v>
      </c>
      <c r="D27627" s="38" t="str">
        <f>IFERROR(__xludf.DUMMYFUNCTION("REGEXREPLACE(C27627,""-\d+(.*)|--\d+(.*)"","""")"),"BOUSSY-SAINT-ANTOINE")</f>
        <v>BOUSSY-SAINT-ANTOINE</v>
      </c>
      <c r="E27627" s="38" t="s">
        <v>756</v>
      </c>
      <c r="F27627" s="38" t="s">
        <v>245</v>
      </c>
      <c r="G27627" s="49" t="str">
        <f t="shared" si="1"/>
        <v>91800</v>
      </c>
      <c r="H27627" s="49">
        <f t="shared" si="2"/>
        <v>91097</v>
      </c>
    </row>
    <row r="27628">
      <c r="A27628" s="48" t="s">
        <v>1852</v>
      </c>
      <c r="B27628" s="38">
        <v>57633.0</v>
      </c>
      <c r="C27628" s="38" t="s">
        <v>32092</v>
      </c>
      <c r="D27628" s="38" t="str">
        <f>IFERROR(__xludf.DUMMYFUNCTION("REGEXREPLACE(C27628,""-\d+(.*)|--\d+(.*)"","""")"),"SARREINSMING")</f>
        <v>SARREINSMING</v>
      </c>
      <c r="E27628" s="38" t="s">
        <v>303</v>
      </c>
      <c r="F27628" s="38" t="s">
        <v>195</v>
      </c>
      <c r="G27628" s="49" t="str">
        <f t="shared" si="1"/>
        <v>57905</v>
      </c>
      <c r="H27628" s="49">
        <f t="shared" si="2"/>
        <v>57633</v>
      </c>
    </row>
    <row r="27629">
      <c r="A27629" s="48" t="s">
        <v>17968</v>
      </c>
      <c r="B27629" s="38">
        <v>29189.0</v>
      </c>
      <c r="C27629" s="38" t="s">
        <v>32093</v>
      </c>
      <c r="D27629" s="38" t="str">
        <f>IFERROR(__xludf.DUMMYFUNCTION("REGEXREPLACE(C27629,""-\d+(.*)|--\d+(.*)"","""")"),"PLOUGASTEL-DAOULAS")</f>
        <v>PLOUGASTEL-DAOULAS</v>
      </c>
      <c r="E27629" s="38" t="s">
        <v>176</v>
      </c>
      <c r="F27629" s="38" t="s">
        <v>90</v>
      </c>
      <c r="G27629" s="49" t="str">
        <f t="shared" si="1"/>
        <v>29470</v>
      </c>
      <c r="H27629" s="49">
        <f t="shared" si="2"/>
        <v>29189</v>
      </c>
    </row>
    <row r="27630">
      <c r="A27630" s="48" t="s">
        <v>1991</v>
      </c>
      <c r="B27630" s="38">
        <v>54499.0</v>
      </c>
      <c r="C27630" s="38" t="s">
        <v>32094</v>
      </c>
      <c r="D27630" s="38" t="str">
        <f>IFERROR(__xludf.DUMMYFUNCTION("REGEXREPLACE(C27630,""-\d+(.*)|--\d+(.*)"","""")"),"SEICHEPREY")</f>
        <v>SEICHEPREY</v>
      </c>
      <c r="E27630" s="38" t="s">
        <v>548</v>
      </c>
      <c r="F27630" s="38" t="s">
        <v>195</v>
      </c>
      <c r="G27630" s="49" t="str">
        <f t="shared" si="1"/>
        <v>54470</v>
      </c>
      <c r="H27630" s="49">
        <f t="shared" si="2"/>
        <v>54499</v>
      </c>
    </row>
    <row r="27631">
      <c r="A27631" s="48" t="s">
        <v>3716</v>
      </c>
      <c r="B27631" s="38">
        <v>57186.0</v>
      </c>
      <c r="C27631" s="38" t="s">
        <v>32095</v>
      </c>
      <c r="D27631" s="38" t="str">
        <f>IFERROR(__xludf.DUMMYFUNCTION("REGEXREPLACE(C27631,""-\d+(.*)|--\d+(.*)"","""")"),"EBERSVILLER")</f>
        <v>EBERSVILLER</v>
      </c>
      <c r="E27631" s="38" t="s">
        <v>303</v>
      </c>
      <c r="F27631" s="38" t="s">
        <v>195</v>
      </c>
      <c r="G27631" s="49" t="str">
        <f t="shared" si="1"/>
        <v>57320</v>
      </c>
      <c r="H27631" s="49">
        <f t="shared" si="2"/>
        <v>57186</v>
      </c>
    </row>
    <row r="27632">
      <c r="A27632" s="48" t="s">
        <v>6731</v>
      </c>
      <c r="B27632" s="38">
        <v>89345.0</v>
      </c>
      <c r="C27632" s="38" t="s">
        <v>14438</v>
      </c>
      <c r="D27632" s="38" t="str">
        <f>IFERROR(__xludf.DUMMYFUNCTION("REGEXREPLACE(C27632,""-\d+(.*)|--\d+(.*)"","""")"),"SAINT-FLORENTIN")</f>
        <v>SAINT-FLORENTIN</v>
      </c>
      <c r="E27632" s="38" t="s">
        <v>275</v>
      </c>
      <c r="F27632" s="38" t="s">
        <v>106</v>
      </c>
      <c r="G27632" s="49" t="str">
        <f t="shared" si="1"/>
        <v>89600</v>
      </c>
      <c r="H27632" s="49">
        <f t="shared" si="2"/>
        <v>89345</v>
      </c>
    </row>
    <row r="27633">
      <c r="A27633" s="48" t="s">
        <v>5584</v>
      </c>
      <c r="B27633" s="38">
        <v>41214.0</v>
      </c>
      <c r="C27633" s="38" t="s">
        <v>32096</v>
      </c>
      <c r="D27633" s="38" t="str">
        <f>IFERROR(__xludf.DUMMYFUNCTION("REGEXREPLACE(C27633,""-\d+(.*)|--\d+(.*)"","""")"),"SAINT-HILAIRE-LA-GRAVELLE")</f>
        <v>SAINT-HILAIRE-LA-GRAVELLE</v>
      </c>
      <c r="E27633" s="38" t="s">
        <v>188</v>
      </c>
      <c r="F27633" s="38" t="s">
        <v>123</v>
      </c>
      <c r="G27633" s="49" t="str">
        <f t="shared" si="1"/>
        <v>41160</v>
      </c>
      <c r="H27633" s="49">
        <f t="shared" si="2"/>
        <v>41214</v>
      </c>
    </row>
    <row r="27634">
      <c r="A27634" s="48" t="s">
        <v>4131</v>
      </c>
      <c r="B27634" s="38">
        <v>27116.0</v>
      </c>
      <c r="C27634" s="38" t="s">
        <v>32097</v>
      </c>
      <c r="D27634" s="38" t="str">
        <f>IFERROR(__xludf.DUMMYFUNCTION("REGEXREPLACE(C27634,""-\d+(.*)|--\d+(.*)"","""")"),"BRIONNE")</f>
        <v>BRIONNE</v>
      </c>
      <c r="E27634" s="38" t="s">
        <v>241</v>
      </c>
      <c r="F27634" s="38" t="s">
        <v>134</v>
      </c>
      <c r="G27634" s="49" t="str">
        <f t="shared" si="1"/>
        <v>27800</v>
      </c>
      <c r="H27634" s="49">
        <f t="shared" si="2"/>
        <v>27116</v>
      </c>
    </row>
    <row r="27635">
      <c r="A27635" s="48" t="s">
        <v>3900</v>
      </c>
      <c r="B27635" s="38">
        <v>2150.0</v>
      </c>
      <c r="C27635" s="38" t="s">
        <v>32098</v>
      </c>
      <c r="D27635" s="38" t="str">
        <f>IFERROR(__xludf.DUMMYFUNCTION("REGEXREPLACE(C27635,""-\d+(.*)|--\d+(.*)"","""")"),"CERNY-EN-LAONNOIS")</f>
        <v>CERNY-EN-LAONNOIS</v>
      </c>
      <c r="E27635" s="38" t="s">
        <v>191</v>
      </c>
      <c r="F27635" s="38" t="s">
        <v>113</v>
      </c>
      <c r="G27635" s="49" t="str">
        <f t="shared" si="1"/>
        <v>02860</v>
      </c>
      <c r="H27635" s="49" t="str">
        <f t="shared" si="2"/>
        <v>02150</v>
      </c>
    </row>
    <row r="27636">
      <c r="A27636" s="48" t="s">
        <v>1475</v>
      </c>
      <c r="B27636" s="38">
        <v>50189.0</v>
      </c>
      <c r="C27636" s="38" t="s">
        <v>21471</v>
      </c>
      <c r="D27636" s="38" t="str">
        <f>IFERROR(__xludf.DUMMYFUNCTION("REGEXREPLACE(C27636,""-\d+(.*)|--\d+(.*)"","""")"),"FONTENAY")</f>
        <v>FONTENAY</v>
      </c>
      <c r="E27636" s="38" t="s">
        <v>157</v>
      </c>
      <c r="F27636" s="38" t="s">
        <v>138</v>
      </c>
      <c r="G27636" s="49" t="str">
        <f t="shared" si="1"/>
        <v>50140</v>
      </c>
      <c r="H27636" s="49">
        <f t="shared" si="2"/>
        <v>50189</v>
      </c>
    </row>
    <row r="27637">
      <c r="A27637" s="48" t="s">
        <v>1317</v>
      </c>
      <c r="B27637" s="38">
        <v>8323.0</v>
      </c>
      <c r="C27637" s="38" t="s">
        <v>32099</v>
      </c>
      <c r="D27637" s="38" t="str">
        <f>IFERROR(__xludf.DUMMYFUNCTION("REGEXREPLACE(C27637,""-\d+(.*)|--\d+(.*)"","""")"),"LA NEUVILLE-LES-WASIGNY")</f>
        <v>LA NEUVILLE-LES-WASIGNY</v>
      </c>
      <c r="E27637" s="38" t="s">
        <v>327</v>
      </c>
      <c r="F27637" s="38" t="s">
        <v>130</v>
      </c>
      <c r="G27637" s="49" t="str">
        <f t="shared" si="1"/>
        <v>08270</v>
      </c>
      <c r="H27637" s="49" t="str">
        <f t="shared" si="2"/>
        <v>08323</v>
      </c>
    </row>
    <row r="27638">
      <c r="A27638" s="48" t="s">
        <v>13112</v>
      </c>
      <c r="B27638" s="38">
        <v>40102.0</v>
      </c>
      <c r="C27638" s="38" t="s">
        <v>32100</v>
      </c>
      <c r="D27638" s="38" t="str">
        <f>IFERROR(__xludf.DUMMYFUNCTION("REGEXREPLACE(C27638,""-\d+(.*)|--\d+(.*)"","""")"),"GABARRET")</f>
        <v>GABARRET</v>
      </c>
      <c r="E27638" s="38" t="s">
        <v>281</v>
      </c>
      <c r="F27638" s="38" t="s">
        <v>252</v>
      </c>
      <c r="G27638" s="49" t="str">
        <f t="shared" si="1"/>
        <v>40310</v>
      </c>
      <c r="H27638" s="49">
        <f t="shared" si="2"/>
        <v>40102</v>
      </c>
    </row>
    <row r="27639">
      <c r="A27639" s="48" t="s">
        <v>307</v>
      </c>
      <c r="B27639" s="38">
        <v>88376.0</v>
      </c>
      <c r="C27639" s="38" t="s">
        <v>32101</v>
      </c>
      <c r="D27639" s="38" t="str">
        <f>IFERROR(__xludf.DUMMYFUNCTION("REGEXREPLACE(C27639,""-\d+(.*)|--\d+(.*)"","""")"),"REBEUVILLE")</f>
        <v>REBEUVILLE</v>
      </c>
      <c r="E27639" s="38" t="s">
        <v>194</v>
      </c>
      <c r="F27639" s="38" t="s">
        <v>195</v>
      </c>
      <c r="G27639" s="49" t="str">
        <f t="shared" si="1"/>
        <v>88300</v>
      </c>
      <c r="H27639" s="49">
        <f t="shared" si="2"/>
        <v>88376</v>
      </c>
    </row>
    <row r="27640">
      <c r="A27640" s="48" t="s">
        <v>4077</v>
      </c>
      <c r="B27640" s="38">
        <v>90086.0</v>
      </c>
      <c r="C27640" s="38" t="s">
        <v>32102</v>
      </c>
      <c r="D27640" s="38" t="str">
        <f>IFERROR(__xludf.DUMMYFUNCTION("REGEXREPLACE(C27640,""-\d+(.*)|--\d+(.*)"","""")"),"ROMAGNY-SOUS-ROUGEMONT")</f>
        <v>ROMAGNY-SOUS-ROUGEMONT</v>
      </c>
      <c r="E27640" s="38" t="s">
        <v>1283</v>
      </c>
      <c r="F27640" s="38" t="s">
        <v>214</v>
      </c>
      <c r="G27640" s="49" t="str">
        <f t="shared" si="1"/>
        <v>90110</v>
      </c>
      <c r="H27640" s="49">
        <f t="shared" si="2"/>
        <v>90086</v>
      </c>
    </row>
    <row r="27641">
      <c r="A27641" s="48" t="s">
        <v>413</v>
      </c>
      <c r="B27641" s="38">
        <v>35261.0</v>
      </c>
      <c r="C27641" s="38" t="s">
        <v>32103</v>
      </c>
      <c r="D27641" s="38" t="str">
        <f>IFERROR(__xludf.DUMMYFUNCTION("REGEXREPLACE(C27641,""-\d+(.*)|--\d+(.*)"","""")"),"SAINT-CHRISTOPHE-DE-VALAINS")</f>
        <v>SAINT-CHRISTOPHE-DE-VALAINS</v>
      </c>
      <c r="E27641" s="38" t="s">
        <v>347</v>
      </c>
      <c r="F27641" s="38" t="s">
        <v>90</v>
      </c>
      <c r="G27641" s="49" t="str">
        <f t="shared" si="1"/>
        <v>35140</v>
      </c>
      <c r="H27641" s="49">
        <f t="shared" si="2"/>
        <v>35261</v>
      </c>
    </row>
    <row r="27642">
      <c r="A27642" s="48" t="s">
        <v>6592</v>
      </c>
      <c r="B27642" s="38">
        <v>5080.0</v>
      </c>
      <c r="C27642" s="38" t="s">
        <v>32104</v>
      </c>
      <c r="D27642" s="38" t="str">
        <f>IFERROR(__xludf.DUMMYFUNCTION("REGEXREPLACE(C27642,""-\d+(.*)|--\d+(.*)"","""")"),"MONTBRAND")</f>
        <v>MONTBRAND</v>
      </c>
      <c r="E27642" s="38" t="s">
        <v>706</v>
      </c>
      <c r="F27642" s="38" t="s">
        <v>228</v>
      </c>
      <c r="G27642" s="49" t="str">
        <f t="shared" si="1"/>
        <v>05140</v>
      </c>
      <c r="H27642" s="49" t="str">
        <f t="shared" si="2"/>
        <v>05080</v>
      </c>
    </row>
    <row r="27643">
      <c r="A27643" s="48" t="s">
        <v>5616</v>
      </c>
      <c r="B27643" s="38">
        <v>71062.0</v>
      </c>
      <c r="C27643" s="38" t="s">
        <v>17120</v>
      </c>
      <c r="D27643" s="38" t="str">
        <f>IFERROR(__xludf.DUMMYFUNCTION("REGEXREPLACE(C27643,""-\d+(.*)|--\d+(.*)"","""")"),"BRION")</f>
        <v>BRION</v>
      </c>
      <c r="E27643" s="38" t="s">
        <v>344</v>
      </c>
      <c r="F27643" s="38" t="s">
        <v>106</v>
      </c>
      <c r="G27643" s="49" t="str">
        <f t="shared" si="1"/>
        <v>71190</v>
      </c>
      <c r="H27643" s="49">
        <f t="shared" si="2"/>
        <v>71062</v>
      </c>
    </row>
    <row r="27644">
      <c r="A27644" s="48" t="s">
        <v>4543</v>
      </c>
      <c r="B27644" s="38">
        <v>64105.0</v>
      </c>
      <c r="C27644" s="38" t="s">
        <v>32105</v>
      </c>
      <c r="D27644" s="38" t="str">
        <f>IFERROR(__xludf.DUMMYFUNCTION("REGEXREPLACE(C27644,""-\d+(.*)|--\d+(.*)"","""")"),"BEGUIOS")</f>
        <v>BEGUIOS</v>
      </c>
      <c r="E27644" s="38" t="s">
        <v>268</v>
      </c>
      <c r="F27644" s="38" t="s">
        <v>252</v>
      </c>
      <c r="G27644" s="49" t="str">
        <f t="shared" si="1"/>
        <v>64120</v>
      </c>
      <c r="H27644" s="49">
        <f t="shared" si="2"/>
        <v>64105</v>
      </c>
    </row>
    <row r="27645">
      <c r="A27645" s="48" t="s">
        <v>3299</v>
      </c>
      <c r="B27645" s="38">
        <v>39068.0</v>
      </c>
      <c r="C27645" s="38" t="s">
        <v>32106</v>
      </c>
      <c r="D27645" s="38" t="str">
        <f>IFERROR(__xludf.DUMMYFUNCTION("REGEXREPLACE(C27645,""-\d+(.*)|--\d+(.*)"","""")"),"LES BOUCHOUX")</f>
        <v>LES BOUCHOUX</v>
      </c>
      <c r="E27645" s="38" t="s">
        <v>400</v>
      </c>
      <c r="F27645" s="38" t="s">
        <v>214</v>
      </c>
      <c r="G27645" s="49" t="str">
        <f t="shared" si="1"/>
        <v>39370</v>
      </c>
      <c r="H27645" s="49">
        <f t="shared" si="2"/>
        <v>39068</v>
      </c>
    </row>
    <row r="27646">
      <c r="A27646" s="48" t="s">
        <v>8502</v>
      </c>
      <c r="B27646" s="38">
        <v>67091.0</v>
      </c>
      <c r="C27646" s="38" t="s">
        <v>32107</v>
      </c>
      <c r="D27646" s="38" t="str">
        <f>IFERROR(__xludf.DUMMYFUNCTION("REGEXREPLACE(C27646,""-\d+(.*)|--\d+(.*)"","""")"),"DIEDENDORF")</f>
        <v>DIEDENDORF</v>
      </c>
      <c r="E27646" s="38" t="s">
        <v>210</v>
      </c>
      <c r="F27646" s="38" t="s">
        <v>151</v>
      </c>
      <c r="G27646" s="49" t="str">
        <f t="shared" si="1"/>
        <v>67260</v>
      </c>
      <c r="H27646" s="49">
        <f t="shared" si="2"/>
        <v>67091</v>
      </c>
    </row>
    <row r="27647">
      <c r="A27647" s="48" t="s">
        <v>4193</v>
      </c>
      <c r="B27647" s="38">
        <v>17037.0</v>
      </c>
      <c r="C27647" s="38" t="s">
        <v>32108</v>
      </c>
      <c r="D27647" s="38" t="str">
        <f>IFERROR(__xludf.DUMMYFUNCTION("REGEXREPLACE(C27647,""-\d+(.*)|--\d+(.*)"","""")"),"BEAUVAIS-SUR-MATHA")</f>
        <v>BEAUVAIS-SUR-MATHA</v>
      </c>
      <c r="E27647" s="38" t="s">
        <v>488</v>
      </c>
      <c r="F27647" s="38" t="s">
        <v>338</v>
      </c>
      <c r="G27647" s="49" t="str">
        <f t="shared" si="1"/>
        <v>17490</v>
      </c>
      <c r="H27647" s="49">
        <f t="shared" si="2"/>
        <v>17037</v>
      </c>
    </row>
    <row r="27648">
      <c r="A27648" s="48" t="s">
        <v>2128</v>
      </c>
      <c r="B27648" s="38">
        <v>2613.0</v>
      </c>
      <c r="C27648" s="38" t="s">
        <v>32109</v>
      </c>
      <c r="D27648" s="38" t="str">
        <f>IFERROR(__xludf.DUMMYFUNCTION("REGEXREPLACE(C27648,""-\d+(.*)|--\d+(.*)"","""")"),"PONTAVERT")</f>
        <v>PONTAVERT</v>
      </c>
      <c r="E27648" s="38" t="s">
        <v>191</v>
      </c>
      <c r="F27648" s="38" t="s">
        <v>113</v>
      </c>
      <c r="G27648" s="49" t="str">
        <f t="shared" si="1"/>
        <v>02160</v>
      </c>
      <c r="H27648" s="49" t="str">
        <f t="shared" si="2"/>
        <v>02613</v>
      </c>
    </row>
    <row r="27649">
      <c r="A27649" s="48" t="s">
        <v>15237</v>
      </c>
      <c r="B27649" s="38">
        <v>4054.0</v>
      </c>
      <c r="C27649" s="38" t="s">
        <v>32110</v>
      </c>
      <c r="D27649" s="38" t="str">
        <f>IFERROR(__xludf.DUMMYFUNCTION("REGEXREPLACE(C27649,""-\d+(.*)|--\d+(.*)"","""")"),"CHATEAUREDON")</f>
        <v>CHATEAUREDON</v>
      </c>
      <c r="E27649" s="38" t="s">
        <v>662</v>
      </c>
      <c r="F27649" s="38" t="s">
        <v>228</v>
      </c>
      <c r="G27649" s="49" t="str">
        <f t="shared" si="1"/>
        <v>04270</v>
      </c>
      <c r="H27649" s="49" t="str">
        <f t="shared" si="2"/>
        <v>04054</v>
      </c>
    </row>
    <row r="27650">
      <c r="A27650" s="48" t="s">
        <v>26474</v>
      </c>
      <c r="B27650" s="38">
        <v>44136.0</v>
      </c>
      <c r="C27650" s="38" t="s">
        <v>32111</v>
      </c>
      <c r="D27650" s="38" t="str">
        <f>IFERROR(__xludf.DUMMYFUNCTION("REGEXREPLACE(C27650,""-\d+(.*)|--\d+(.*)"","""")"),"PREFAILLES")</f>
        <v>PREFAILLES</v>
      </c>
      <c r="E27650" s="38" t="s">
        <v>759</v>
      </c>
      <c r="F27650" s="38" t="s">
        <v>180</v>
      </c>
      <c r="G27650" s="49" t="str">
        <f t="shared" si="1"/>
        <v>44770</v>
      </c>
      <c r="H27650" s="49">
        <f t="shared" si="2"/>
        <v>44136</v>
      </c>
    </row>
    <row r="27651">
      <c r="A27651" s="48" t="s">
        <v>1272</v>
      </c>
      <c r="B27651" s="38">
        <v>51574.0</v>
      </c>
      <c r="C27651" s="38" t="s">
        <v>32112</v>
      </c>
      <c r="D27651" s="38" t="str">
        <f>IFERROR(__xludf.DUMMYFUNCTION("REGEXREPLACE(C27651,""-\d+(.*)|--\d+(.*)"","""")"),"TOGNY-AUX-BOEUFS")</f>
        <v>TOGNY-AUX-BOEUFS</v>
      </c>
      <c r="E27651" s="38" t="s">
        <v>129</v>
      </c>
      <c r="F27651" s="38" t="s">
        <v>130</v>
      </c>
      <c r="G27651" s="49" t="str">
        <f t="shared" si="1"/>
        <v>51240</v>
      </c>
      <c r="H27651" s="49">
        <f t="shared" si="2"/>
        <v>51574</v>
      </c>
    </row>
    <row r="27652">
      <c r="A27652" s="48" t="s">
        <v>1218</v>
      </c>
      <c r="B27652" s="38">
        <v>9184.0</v>
      </c>
      <c r="C27652" s="38" t="s">
        <v>32113</v>
      </c>
      <c r="D27652" s="38" t="str">
        <f>IFERROR(__xludf.DUMMYFUNCTION("REGEXREPLACE(C27652,""-\d+(.*)|--\d+(.*)"","""")"),"MAUVEZIN-DE-SAINTE-CROIX")</f>
        <v>MAUVEZIN-DE-SAINTE-CROIX</v>
      </c>
      <c r="E27652" s="38" t="s">
        <v>238</v>
      </c>
      <c r="F27652" s="38" t="s">
        <v>94</v>
      </c>
      <c r="G27652" s="49" t="str">
        <f t="shared" si="1"/>
        <v>09230</v>
      </c>
      <c r="H27652" s="49" t="str">
        <f t="shared" si="2"/>
        <v>09184</v>
      </c>
    </row>
    <row r="27653">
      <c r="A27653" s="48" t="s">
        <v>2903</v>
      </c>
      <c r="B27653" s="38">
        <v>85054.0</v>
      </c>
      <c r="C27653" s="38" t="s">
        <v>32114</v>
      </c>
      <c r="D27653" s="38" t="str">
        <f>IFERROR(__xludf.DUMMYFUNCTION("REGEXREPLACE(C27653,""-\d+(.*)|--\d+(.*)"","""")"),"LA CHAPELLE-HERMIER")</f>
        <v>LA CHAPELLE-HERMIER</v>
      </c>
      <c r="E27653" s="38" t="s">
        <v>179</v>
      </c>
      <c r="F27653" s="38" t="s">
        <v>180</v>
      </c>
      <c r="G27653" s="49" t="str">
        <f t="shared" si="1"/>
        <v>85220</v>
      </c>
      <c r="H27653" s="49">
        <f t="shared" si="2"/>
        <v>85054</v>
      </c>
    </row>
    <row r="27654">
      <c r="A27654" s="48" t="s">
        <v>2268</v>
      </c>
      <c r="B27654" s="38">
        <v>55174.0</v>
      </c>
      <c r="C27654" s="38" t="s">
        <v>32115</v>
      </c>
      <c r="D27654" s="38" t="str">
        <f>IFERROR(__xludf.DUMMYFUNCTION("REGEXREPLACE(C27654,""-\d+(.*)|--\d+(.*)"","""")"),"EPINONVILLE")</f>
        <v>EPINONVILLE</v>
      </c>
      <c r="E27654" s="38" t="s">
        <v>322</v>
      </c>
      <c r="F27654" s="38" t="s">
        <v>195</v>
      </c>
      <c r="G27654" s="49" t="str">
        <f t="shared" si="1"/>
        <v>55270</v>
      </c>
      <c r="H27654" s="49">
        <f t="shared" si="2"/>
        <v>55174</v>
      </c>
    </row>
    <row r="27655">
      <c r="A27655" s="48" t="s">
        <v>591</v>
      </c>
      <c r="B27655" s="38">
        <v>85244.0</v>
      </c>
      <c r="C27655" s="38" t="s">
        <v>32116</v>
      </c>
      <c r="D27655" s="38" t="str">
        <f>IFERROR(__xludf.DUMMYFUNCTION("REGEXREPLACE(C27655,""-\d+(.*)|--\d+(.*)"","""")"),"SAINT-MARTIN-DE-FRAIGNEAU")</f>
        <v>SAINT-MARTIN-DE-FRAIGNEAU</v>
      </c>
      <c r="E27655" s="38" t="s">
        <v>179</v>
      </c>
      <c r="F27655" s="38" t="s">
        <v>180</v>
      </c>
      <c r="G27655" s="49" t="str">
        <f t="shared" si="1"/>
        <v>85200</v>
      </c>
      <c r="H27655" s="49">
        <f t="shared" si="2"/>
        <v>85244</v>
      </c>
    </row>
    <row r="27656">
      <c r="A27656" s="48" t="s">
        <v>3307</v>
      </c>
      <c r="B27656" s="38">
        <v>65322.0</v>
      </c>
      <c r="C27656" s="38" t="s">
        <v>32117</v>
      </c>
      <c r="D27656" s="38" t="str">
        <f>IFERROR(__xludf.DUMMYFUNCTION("REGEXREPLACE(C27656,""-\d+(.*)|--\d+(.*)"","""")"),"MONTOUSSE")</f>
        <v>MONTOUSSE</v>
      </c>
      <c r="E27656" s="38" t="s">
        <v>200</v>
      </c>
      <c r="F27656" s="38" t="s">
        <v>94</v>
      </c>
      <c r="G27656" s="49" t="str">
        <f t="shared" si="1"/>
        <v>65250</v>
      </c>
      <c r="H27656" s="49">
        <f t="shared" si="2"/>
        <v>65322</v>
      </c>
    </row>
    <row r="27657">
      <c r="A27657" s="48" t="s">
        <v>18890</v>
      </c>
      <c r="B27657" s="38">
        <v>64250.0</v>
      </c>
      <c r="C27657" s="38" t="s">
        <v>32118</v>
      </c>
      <c r="D27657" s="38" t="str">
        <f>IFERROR(__xludf.DUMMYFUNCTION("REGEXREPLACE(C27657,""-\d+(.*)|--\d+(.*)"","""")"),"GUICHE")</f>
        <v>GUICHE</v>
      </c>
      <c r="E27657" s="38" t="s">
        <v>268</v>
      </c>
      <c r="F27657" s="38" t="s">
        <v>252</v>
      </c>
      <c r="G27657" s="49" t="str">
        <f t="shared" si="1"/>
        <v>64520</v>
      </c>
      <c r="H27657" s="49">
        <f t="shared" si="2"/>
        <v>64250</v>
      </c>
    </row>
    <row r="27658">
      <c r="A27658" s="48" t="s">
        <v>1961</v>
      </c>
      <c r="B27658" s="38">
        <v>33021.0</v>
      </c>
      <c r="C27658" s="38" t="s">
        <v>32119</v>
      </c>
      <c r="D27658" s="38" t="str">
        <f>IFERROR(__xludf.DUMMYFUNCTION("REGEXREPLACE(C27658,""-\d+(.*)|--\d+(.*)"","""")"),"AUROS")</f>
        <v>AUROS</v>
      </c>
      <c r="E27658" s="38" t="s">
        <v>462</v>
      </c>
      <c r="F27658" s="38" t="s">
        <v>252</v>
      </c>
      <c r="G27658" s="49" t="str">
        <f t="shared" si="1"/>
        <v>33124</v>
      </c>
      <c r="H27658" s="49">
        <f t="shared" si="2"/>
        <v>33021</v>
      </c>
    </row>
    <row r="27659">
      <c r="A27659" s="48" t="s">
        <v>2266</v>
      </c>
      <c r="B27659" s="38">
        <v>55439.0</v>
      </c>
      <c r="C27659" s="38" t="s">
        <v>32120</v>
      </c>
      <c r="D27659" s="38" t="str">
        <f>IFERROR(__xludf.DUMMYFUNCTION("REGEXREPLACE(C27659,""-\d+(.*)|--\d+(.*)"","""")"),"RONVAUX")</f>
        <v>RONVAUX</v>
      </c>
      <c r="E27659" s="38" t="s">
        <v>322</v>
      </c>
      <c r="F27659" s="38" t="s">
        <v>195</v>
      </c>
      <c r="G27659" s="49" t="str">
        <f t="shared" si="1"/>
        <v>55160</v>
      </c>
      <c r="H27659" s="49">
        <f t="shared" si="2"/>
        <v>55439</v>
      </c>
    </row>
    <row r="27660">
      <c r="A27660" s="48" t="s">
        <v>2438</v>
      </c>
      <c r="B27660" s="38">
        <v>64258.0</v>
      </c>
      <c r="C27660" s="38" t="s">
        <v>32121</v>
      </c>
      <c r="D27660" s="38" t="str">
        <f>IFERROR(__xludf.DUMMYFUNCTION("REGEXREPLACE(C27660,""-\d+(.*)|--\d+(.*)"","""")"),"HAUX")</f>
        <v>HAUX</v>
      </c>
      <c r="E27660" s="38" t="s">
        <v>268</v>
      </c>
      <c r="F27660" s="38" t="s">
        <v>252</v>
      </c>
      <c r="G27660" s="49" t="str">
        <f t="shared" si="1"/>
        <v>64470</v>
      </c>
      <c r="H27660" s="49">
        <f t="shared" si="2"/>
        <v>64258</v>
      </c>
    </row>
    <row r="27661">
      <c r="A27661" s="48" t="s">
        <v>468</v>
      </c>
      <c r="B27661" s="38">
        <v>26291.0</v>
      </c>
      <c r="C27661" s="38" t="s">
        <v>32122</v>
      </c>
      <c r="D27661" s="38" t="str">
        <f>IFERROR(__xludf.DUMMYFUNCTION("REGEXREPLACE(C27661,""-\d+(.*)|--\d+(.*)"","""")"),"SAINT-ANDEOL")</f>
        <v>SAINT-ANDEOL</v>
      </c>
      <c r="E27661" s="38" t="s">
        <v>126</v>
      </c>
      <c r="F27661" s="38" t="s">
        <v>102</v>
      </c>
      <c r="G27661" s="49" t="str">
        <f t="shared" si="1"/>
        <v>26150</v>
      </c>
      <c r="H27661" s="49">
        <f t="shared" si="2"/>
        <v>26291</v>
      </c>
    </row>
    <row r="27662">
      <c r="A27662" s="48" t="s">
        <v>3469</v>
      </c>
      <c r="B27662" s="38">
        <v>74260.0</v>
      </c>
      <c r="C27662" s="38" t="s">
        <v>12147</v>
      </c>
      <c r="D27662" s="38" t="str">
        <f>IFERROR(__xludf.DUMMYFUNCTION("REGEXREPLACE(C27662,""-\d+(.*)|--\d+(.*)"","""")"),"SAVIGNY")</f>
        <v>SAVIGNY</v>
      </c>
      <c r="E27662" s="38" t="s">
        <v>319</v>
      </c>
      <c r="F27662" s="38" t="s">
        <v>102</v>
      </c>
      <c r="G27662" s="49" t="str">
        <f t="shared" si="1"/>
        <v>74520</v>
      </c>
      <c r="H27662" s="49">
        <f t="shared" si="2"/>
        <v>74260</v>
      </c>
    </row>
    <row r="27663">
      <c r="A27663" s="48" t="s">
        <v>19663</v>
      </c>
      <c r="B27663" s="38">
        <v>77348.0</v>
      </c>
      <c r="C27663" s="38" t="s">
        <v>32123</v>
      </c>
      <c r="D27663" s="38" t="str">
        <f>IFERROR(__xludf.DUMMYFUNCTION("REGEXREPLACE(C27663,""-\d+(.*)|--\d+(.*)"","""")"),"ORMESSON")</f>
        <v>ORMESSON</v>
      </c>
      <c r="E27663" s="38" t="s">
        <v>244</v>
      </c>
      <c r="F27663" s="38" t="s">
        <v>245</v>
      </c>
      <c r="G27663" s="49" t="str">
        <f t="shared" si="1"/>
        <v>77167</v>
      </c>
      <c r="H27663" s="49">
        <f t="shared" si="2"/>
        <v>77348</v>
      </c>
    </row>
    <row r="27664">
      <c r="A27664" s="48" t="s">
        <v>4543</v>
      </c>
      <c r="B27664" s="38">
        <v>64272.0</v>
      </c>
      <c r="C27664" s="38" t="s">
        <v>32124</v>
      </c>
      <c r="D27664" s="38" t="str">
        <f>IFERROR(__xludf.DUMMYFUNCTION("REGEXREPLACE(C27664,""-\d+(.*)|--\d+(.*)"","""")"),"ILHARRE")</f>
        <v>ILHARRE</v>
      </c>
      <c r="E27664" s="38" t="s">
        <v>268</v>
      </c>
      <c r="F27664" s="38" t="s">
        <v>252</v>
      </c>
      <c r="G27664" s="49" t="str">
        <f t="shared" si="1"/>
        <v>64120</v>
      </c>
      <c r="H27664" s="49">
        <f t="shared" si="2"/>
        <v>64272</v>
      </c>
    </row>
    <row r="27665">
      <c r="A27665" s="48" t="s">
        <v>2276</v>
      </c>
      <c r="B27665" s="38">
        <v>47224.0</v>
      </c>
      <c r="C27665" s="38" t="s">
        <v>32125</v>
      </c>
      <c r="D27665" s="38" t="str">
        <f>IFERROR(__xludf.DUMMYFUNCTION("REGEXREPLACE(C27665,""-\d+(.*)|--\d+(.*)"","""")"),"ROMESTAING")</f>
        <v>ROMESTAING</v>
      </c>
      <c r="E27665" s="38" t="s">
        <v>251</v>
      </c>
      <c r="F27665" s="38" t="s">
        <v>252</v>
      </c>
      <c r="G27665" s="49" t="str">
        <f t="shared" si="1"/>
        <v>47250</v>
      </c>
      <c r="H27665" s="49">
        <f t="shared" si="2"/>
        <v>47224</v>
      </c>
    </row>
    <row r="27666">
      <c r="A27666" s="48" t="s">
        <v>16125</v>
      </c>
      <c r="B27666" s="38">
        <v>35094.0</v>
      </c>
      <c r="C27666" s="38" t="s">
        <v>32126</v>
      </c>
      <c r="D27666" s="38" t="str">
        <f>IFERROR(__xludf.DUMMYFUNCTION("REGEXREPLACE(C27666,""-\d+(.*)|--\d+(.*)"","""")"),"DINGE")</f>
        <v>DINGE</v>
      </c>
      <c r="E27666" s="38" t="s">
        <v>347</v>
      </c>
      <c r="F27666" s="38" t="s">
        <v>90</v>
      </c>
      <c r="G27666" s="49" t="str">
        <f t="shared" si="1"/>
        <v>35440</v>
      </c>
      <c r="H27666" s="49">
        <f t="shared" si="2"/>
        <v>35094</v>
      </c>
    </row>
    <row r="27667">
      <c r="A27667" s="48" t="s">
        <v>4344</v>
      </c>
      <c r="B27667" s="38">
        <v>14667.0</v>
      </c>
      <c r="C27667" s="38" t="s">
        <v>32127</v>
      </c>
      <c r="D27667" s="38" t="str">
        <f>IFERROR(__xludf.DUMMYFUNCTION("REGEXREPLACE(C27667,""-\d+(.*)|--\d+(.*)"","""")"),"SAON")</f>
        <v>SAON</v>
      </c>
      <c r="E27667" s="38" t="s">
        <v>137</v>
      </c>
      <c r="F27667" s="38" t="s">
        <v>138</v>
      </c>
      <c r="G27667" s="49" t="str">
        <f t="shared" si="1"/>
        <v>14330</v>
      </c>
      <c r="H27667" s="49">
        <f t="shared" si="2"/>
        <v>14667</v>
      </c>
    </row>
    <row r="27668">
      <c r="A27668" s="48" t="s">
        <v>3359</v>
      </c>
      <c r="B27668" s="38">
        <v>9218.0</v>
      </c>
      <c r="C27668" s="38" t="s">
        <v>32128</v>
      </c>
      <c r="D27668" s="38" t="str">
        <f>IFERROR(__xludf.DUMMYFUNCTION("REGEXREPLACE(C27668,""-\d+(.*)|--\d+(.*)"","""")"),"ORGEIX")</f>
        <v>ORGEIX</v>
      </c>
      <c r="E27668" s="38" t="s">
        <v>238</v>
      </c>
      <c r="F27668" s="38" t="s">
        <v>94</v>
      </c>
      <c r="G27668" s="49" t="str">
        <f t="shared" si="1"/>
        <v>09110</v>
      </c>
      <c r="H27668" s="49" t="str">
        <f t="shared" si="2"/>
        <v>09218</v>
      </c>
    </row>
    <row r="27669">
      <c r="A27669" s="48" t="s">
        <v>24362</v>
      </c>
      <c r="B27669" s="38">
        <v>2680.0</v>
      </c>
      <c r="C27669" s="38" t="s">
        <v>32129</v>
      </c>
      <c r="D27669" s="38" t="str">
        <f>IFERROR(__xludf.DUMMYFUNCTION("REGEXREPLACE(C27669,""-\d+(.*)|--\d+(.*)"","""")"),"SAINT-GOBAIN")</f>
        <v>SAINT-GOBAIN</v>
      </c>
      <c r="E27669" s="38" t="s">
        <v>191</v>
      </c>
      <c r="F27669" s="38" t="s">
        <v>113</v>
      </c>
      <c r="G27669" s="49" t="str">
        <f t="shared" si="1"/>
        <v>02410</v>
      </c>
      <c r="H27669" s="49" t="str">
        <f t="shared" si="2"/>
        <v>02680</v>
      </c>
    </row>
    <row r="27670">
      <c r="A27670" s="48" t="s">
        <v>3201</v>
      </c>
      <c r="B27670" s="38">
        <v>79239.0</v>
      </c>
      <c r="C27670" s="38" t="s">
        <v>32130</v>
      </c>
      <c r="D27670" s="38" t="str">
        <f>IFERROR(__xludf.DUMMYFUNCTION("REGEXREPLACE(C27670,""-\d+(.*)|--\d+(.*)"","""")"),"SAINT-AUBIN-LE-CLOUD")</f>
        <v>SAINT-AUBIN-LE-CLOUD</v>
      </c>
      <c r="E27670" s="38" t="s">
        <v>337</v>
      </c>
      <c r="F27670" s="38" t="s">
        <v>338</v>
      </c>
      <c r="G27670" s="49" t="str">
        <f t="shared" si="1"/>
        <v>79450</v>
      </c>
      <c r="H27670" s="49">
        <f t="shared" si="2"/>
        <v>79239</v>
      </c>
    </row>
    <row r="27671">
      <c r="A27671" s="48" t="s">
        <v>28965</v>
      </c>
      <c r="B27671" s="38">
        <v>59598.0</v>
      </c>
      <c r="C27671" s="38" t="s">
        <v>32131</v>
      </c>
      <c r="D27671" s="38" t="str">
        <f>IFERROR(__xludf.DUMMYFUNCTION("REGEXREPLACE(C27671,""-\d+(.*)|--\d+(.*)"","""")"),"TOUFFLERS")</f>
        <v>TOUFFLERS</v>
      </c>
      <c r="E27671" s="38" t="s">
        <v>85</v>
      </c>
      <c r="F27671" s="38" t="s">
        <v>86</v>
      </c>
      <c r="G27671" s="49" t="str">
        <f t="shared" si="1"/>
        <v>59390</v>
      </c>
      <c r="H27671" s="49">
        <f t="shared" si="2"/>
        <v>59598</v>
      </c>
    </row>
    <row r="27672">
      <c r="A27672" s="48" t="s">
        <v>10177</v>
      </c>
      <c r="B27672" s="38">
        <v>80025.0</v>
      </c>
      <c r="C27672" s="38" t="s">
        <v>32132</v>
      </c>
      <c r="D27672" s="38" t="str">
        <f>IFERROR(__xludf.DUMMYFUNCTION("REGEXREPLACE(C27672,""-\d+(.*)|--\d+(.*)"","""")"),"ARGOULES")</f>
        <v>ARGOULES</v>
      </c>
      <c r="E27672" s="38" t="s">
        <v>224</v>
      </c>
      <c r="F27672" s="38" t="s">
        <v>113</v>
      </c>
      <c r="G27672" s="49" t="str">
        <f t="shared" si="1"/>
        <v>80120</v>
      </c>
      <c r="H27672" s="49">
        <f t="shared" si="2"/>
        <v>80025</v>
      </c>
    </row>
    <row r="27673">
      <c r="A27673" s="48" t="s">
        <v>2170</v>
      </c>
      <c r="B27673" s="38">
        <v>80199.0</v>
      </c>
      <c r="C27673" s="38" t="s">
        <v>32133</v>
      </c>
      <c r="D27673" s="38" t="str">
        <f>IFERROR(__xludf.DUMMYFUNCTION("REGEXREPLACE(C27673,""-\d+(.*)|--\d+(.*)"","""")"),"CLERY-SUR-SOMME")</f>
        <v>CLERY-SUR-SOMME</v>
      </c>
      <c r="E27673" s="38" t="s">
        <v>224</v>
      </c>
      <c r="F27673" s="38" t="s">
        <v>113</v>
      </c>
      <c r="G27673" s="49" t="str">
        <f t="shared" si="1"/>
        <v>80200</v>
      </c>
      <c r="H27673" s="49">
        <f t="shared" si="2"/>
        <v>80199</v>
      </c>
    </row>
    <row r="27674">
      <c r="A27674" s="48" t="s">
        <v>3761</v>
      </c>
      <c r="B27674" s="38">
        <v>50076.0</v>
      </c>
      <c r="C27674" s="38" t="s">
        <v>32134</v>
      </c>
      <c r="D27674" s="38" t="str">
        <f>IFERROR(__xludf.DUMMYFUNCTION("REGEXREPLACE(C27674,""-\d+(.*)|--\d+(.*)"","""")"),"BREHAL")</f>
        <v>BREHAL</v>
      </c>
      <c r="E27674" s="38" t="s">
        <v>157</v>
      </c>
      <c r="F27674" s="38" t="s">
        <v>138</v>
      </c>
      <c r="G27674" s="49" t="str">
        <f t="shared" si="1"/>
        <v>50290</v>
      </c>
      <c r="H27674" s="49">
        <f t="shared" si="2"/>
        <v>50076</v>
      </c>
    </row>
    <row r="27675">
      <c r="A27675" s="48" t="s">
        <v>11166</v>
      </c>
      <c r="B27675" s="38">
        <v>55500.0</v>
      </c>
      <c r="C27675" s="38" t="s">
        <v>32135</v>
      </c>
      <c r="D27675" s="38" t="str">
        <f>IFERROR(__xludf.DUMMYFUNCTION("REGEXREPLACE(C27675,""-\d+(.*)|--\d+(.*)"","""")"),"SPINCOURT")</f>
        <v>SPINCOURT</v>
      </c>
      <c r="E27675" s="38" t="s">
        <v>322</v>
      </c>
      <c r="F27675" s="38" t="s">
        <v>195</v>
      </c>
      <c r="G27675" s="49" t="str">
        <f t="shared" si="1"/>
        <v>55230</v>
      </c>
      <c r="H27675" s="49">
        <f t="shared" si="2"/>
        <v>55500</v>
      </c>
    </row>
    <row r="27676">
      <c r="A27676" s="48" t="s">
        <v>5230</v>
      </c>
      <c r="B27676" s="38">
        <v>25311.0</v>
      </c>
      <c r="C27676" s="38" t="s">
        <v>32136</v>
      </c>
      <c r="D27676" s="38" t="str">
        <f>IFERROR(__xludf.DUMMYFUNCTION("REGEXREPLACE(C27676,""-\d+(.*)|--\d+(.*)"","""")"),"HYEMONDANS")</f>
        <v>HYEMONDANS</v>
      </c>
      <c r="E27676" s="38" t="s">
        <v>213</v>
      </c>
      <c r="F27676" s="38" t="s">
        <v>214</v>
      </c>
      <c r="G27676" s="49" t="str">
        <f t="shared" si="1"/>
        <v>25250</v>
      </c>
      <c r="H27676" s="49">
        <f t="shared" si="2"/>
        <v>25311</v>
      </c>
    </row>
    <row r="27677">
      <c r="A27677" s="48" t="s">
        <v>5503</v>
      </c>
      <c r="B27677" s="38">
        <v>78185.0</v>
      </c>
      <c r="C27677" s="38" t="s">
        <v>32137</v>
      </c>
      <c r="D27677" s="38" t="str">
        <f>IFERROR(__xludf.DUMMYFUNCTION("REGEXREPLACE(C27677,""-\d+(.*)|--\d+(.*)"","""")"),"COURGENT")</f>
        <v>COURGENT</v>
      </c>
      <c r="E27677" s="38" t="s">
        <v>362</v>
      </c>
      <c r="F27677" s="38" t="s">
        <v>245</v>
      </c>
      <c r="G27677" s="49" t="str">
        <f t="shared" si="1"/>
        <v>78790</v>
      </c>
      <c r="H27677" s="49">
        <f t="shared" si="2"/>
        <v>78185</v>
      </c>
    </row>
    <row r="27678">
      <c r="A27678" s="48" t="s">
        <v>20707</v>
      </c>
      <c r="B27678" s="38">
        <v>33251.0</v>
      </c>
      <c r="C27678" s="38" t="s">
        <v>32138</v>
      </c>
      <c r="D27678" s="38" t="str">
        <f>IFERROR(__xludf.DUMMYFUNCTION("REGEXREPLACE(C27678,""-\d+(.*)|--\d+(.*)"","""")"),"LOUCHATS")</f>
        <v>LOUCHATS</v>
      </c>
      <c r="E27678" s="38" t="s">
        <v>462</v>
      </c>
      <c r="F27678" s="38" t="s">
        <v>252</v>
      </c>
      <c r="G27678" s="49" t="str">
        <f t="shared" si="1"/>
        <v>33125</v>
      </c>
      <c r="H27678" s="49">
        <f t="shared" si="2"/>
        <v>33251</v>
      </c>
    </row>
    <row r="27679">
      <c r="A27679" s="48" t="s">
        <v>294</v>
      </c>
      <c r="B27679" s="38">
        <v>40145.0</v>
      </c>
      <c r="C27679" s="38" t="s">
        <v>32139</v>
      </c>
      <c r="D27679" s="38" t="str">
        <f>IFERROR(__xludf.DUMMYFUNCTION("REGEXREPLACE(C27679,""-\d+(.*)|--\d+(.*)"","""")"),"LARRIVIERE-SAINT-SAVIN")</f>
        <v>LARRIVIERE-SAINT-SAVIN</v>
      </c>
      <c r="E27679" s="38" t="s">
        <v>281</v>
      </c>
      <c r="F27679" s="38" t="s">
        <v>252</v>
      </c>
      <c r="G27679" s="49" t="str">
        <f t="shared" si="1"/>
        <v>40270</v>
      </c>
      <c r="H27679" s="49">
        <f t="shared" si="2"/>
        <v>40145</v>
      </c>
    </row>
    <row r="27680">
      <c r="A27680" s="48" t="s">
        <v>5996</v>
      </c>
      <c r="B27680" s="38">
        <v>67392.0</v>
      </c>
      <c r="C27680" s="38" t="s">
        <v>32140</v>
      </c>
      <c r="D27680" s="38" t="str">
        <f>IFERROR(__xludf.DUMMYFUNCTION("REGEXREPLACE(C27680,""-\d+(.*)|--\d+(.*)"","""")"),"REIPERTSWILLER")</f>
        <v>REIPERTSWILLER</v>
      </c>
      <c r="E27680" s="38" t="s">
        <v>210</v>
      </c>
      <c r="F27680" s="38" t="s">
        <v>151</v>
      </c>
      <c r="G27680" s="49" t="str">
        <f t="shared" si="1"/>
        <v>67340</v>
      </c>
      <c r="H27680" s="49">
        <f t="shared" si="2"/>
        <v>67392</v>
      </c>
    </row>
    <row r="27681">
      <c r="A27681" s="48" t="s">
        <v>18768</v>
      </c>
      <c r="B27681" s="38">
        <v>33314.0</v>
      </c>
      <c r="C27681" s="38" t="s">
        <v>32141</v>
      </c>
      <c r="D27681" s="38" t="str">
        <f>IFERROR(__xludf.DUMMYFUNCTION("REGEXREPLACE(C27681,""-\d+(.*)|--\d+(.*)"","""")"),"PAUILLAC")</f>
        <v>PAUILLAC</v>
      </c>
      <c r="E27681" s="38" t="s">
        <v>462</v>
      </c>
      <c r="F27681" s="38" t="s">
        <v>252</v>
      </c>
      <c r="G27681" s="49" t="str">
        <f t="shared" si="1"/>
        <v>33250</v>
      </c>
      <c r="H27681" s="49">
        <f t="shared" si="2"/>
        <v>33314</v>
      </c>
    </row>
    <row r="27682">
      <c r="A27682" s="48" t="s">
        <v>32142</v>
      </c>
      <c r="B27682" s="38">
        <v>77494.0</v>
      </c>
      <c r="C27682" s="38" t="s">
        <v>32143</v>
      </c>
      <c r="D27682" s="38" t="str">
        <f>IFERROR(__xludf.DUMMYFUNCTION("REGEXREPLACE(C27682,""-\d+(.*)|--\d+(.*)"","""")"),"VERNOU-LA-CELLE-SUR-SEINE")</f>
        <v>VERNOU-LA-CELLE-SUR-SEINE</v>
      </c>
      <c r="E27682" s="38" t="s">
        <v>244</v>
      </c>
      <c r="F27682" s="38" t="s">
        <v>245</v>
      </c>
      <c r="G27682" s="49" t="str">
        <f t="shared" si="1"/>
        <v>77670</v>
      </c>
      <c r="H27682" s="49">
        <f t="shared" si="2"/>
        <v>77494</v>
      </c>
    </row>
    <row r="27683">
      <c r="A27683" s="48" t="s">
        <v>5499</v>
      </c>
      <c r="B27683" s="38">
        <v>47155.0</v>
      </c>
      <c r="C27683" s="38" t="s">
        <v>32144</v>
      </c>
      <c r="D27683" s="38" t="str">
        <f>IFERROR(__xludf.DUMMYFUNCTION("REGEXREPLACE(C27683,""-\d+(.*)|--\d+(.*)"","""")"),"MADAILLAN")</f>
        <v>MADAILLAN</v>
      </c>
      <c r="E27683" s="38" t="s">
        <v>251</v>
      </c>
      <c r="F27683" s="38" t="s">
        <v>252</v>
      </c>
      <c r="G27683" s="49" t="str">
        <f t="shared" si="1"/>
        <v>47360</v>
      </c>
      <c r="H27683" s="49">
        <f t="shared" si="2"/>
        <v>47155</v>
      </c>
    </row>
    <row r="27684">
      <c r="A27684" s="48" t="s">
        <v>30197</v>
      </c>
      <c r="B27684" s="38">
        <v>25428.0</v>
      </c>
      <c r="C27684" s="38" t="s">
        <v>32145</v>
      </c>
      <c r="D27684" s="38" t="str">
        <f>IFERROR(__xludf.DUMMYFUNCTION("REGEXREPLACE(C27684,""-\d+(.*)|--\d+(.*)"","""")"),"NOMMAY")</f>
        <v>NOMMAY</v>
      </c>
      <c r="E27684" s="38" t="s">
        <v>213</v>
      </c>
      <c r="F27684" s="38" t="s">
        <v>214</v>
      </c>
      <c r="G27684" s="49" t="str">
        <f t="shared" si="1"/>
        <v>25600</v>
      </c>
      <c r="H27684" s="49">
        <f t="shared" si="2"/>
        <v>25428</v>
      </c>
    </row>
    <row r="27685">
      <c r="A27685" s="48" t="s">
        <v>1180</v>
      </c>
      <c r="B27685" s="38">
        <v>60634.0</v>
      </c>
      <c r="C27685" s="38" t="s">
        <v>9937</v>
      </c>
      <c r="D27685" s="38" t="str">
        <f>IFERROR(__xludf.DUMMYFUNCTION("REGEXREPLACE(C27685,""-\d+(.*)|--\d+(.*)"","""")"),"THIEUX")</f>
        <v>THIEUX</v>
      </c>
      <c r="E27685" s="38" t="s">
        <v>112</v>
      </c>
      <c r="F27685" s="38" t="s">
        <v>113</v>
      </c>
      <c r="G27685" s="49" t="str">
        <f t="shared" si="1"/>
        <v>60480</v>
      </c>
      <c r="H27685" s="49">
        <f t="shared" si="2"/>
        <v>60634</v>
      </c>
    </row>
    <row r="27686">
      <c r="A27686" s="48" t="s">
        <v>4596</v>
      </c>
      <c r="B27686" s="38">
        <v>2507.0</v>
      </c>
      <c r="C27686" s="38" t="s">
        <v>32146</v>
      </c>
      <c r="D27686" s="38" t="str">
        <f>IFERROR(__xludf.DUMMYFUNCTION("REGEXREPLACE(C27686,""-\d+(.*)|--\d+(.*)"","""")"),"MONTGRU-SAINT-HILAIRE")</f>
        <v>MONTGRU-SAINT-HILAIRE</v>
      </c>
      <c r="E27686" s="38" t="s">
        <v>191</v>
      </c>
      <c r="F27686" s="38" t="s">
        <v>113</v>
      </c>
      <c r="G27686" s="49" t="str">
        <f t="shared" si="1"/>
        <v>02210</v>
      </c>
      <c r="H27686" s="49" t="str">
        <f t="shared" si="2"/>
        <v>02507</v>
      </c>
    </row>
    <row r="27687">
      <c r="A27687" s="48" t="s">
        <v>1560</v>
      </c>
      <c r="B27687" s="38">
        <v>14421.0</v>
      </c>
      <c r="C27687" s="38" t="s">
        <v>32147</v>
      </c>
      <c r="D27687" s="38" t="str">
        <f>IFERROR(__xludf.DUMMYFUNCTION("REGEXREPLACE(C27687,""-\d+(.*)|--\d+(.*)"","""")"),"LE MESNIL-GUILLAUME")</f>
        <v>LE MESNIL-GUILLAUME</v>
      </c>
      <c r="E27687" s="38" t="s">
        <v>137</v>
      </c>
      <c r="F27687" s="38" t="s">
        <v>138</v>
      </c>
      <c r="G27687" s="49" t="str">
        <f t="shared" si="1"/>
        <v>14100</v>
      </c>
      <c r="H27687" s="49">
        <f t="shared" si="2"/>
        <v>14421</v>
      </c>
    </row>
    <row r="27688">
      <c r="A27688" s="48" t="s">
        <v>5432</v>
      </c>
      <c r="B27688" s="38">
        <v>33201.0</v>
      </c>
      <c r="C27688" s="38" t="s">
        <v>32121</v>
      </c>
      <c r="D27688" s="38" t="str">
        <f>IFERROR(__xludf.DUMMYFUNCTION("REGEXREPLACE(C27688,""-\d+(.*)|--\d+(.*)"","""")"),"HAUX")</f>
        <v>HAUX</v>
      </c>
      <c r="E27688" s="38" t="s">
        <v>462</v>
      </c>
      <c r="F27688" s="38" t="s">
        <v>252</v>
      </c>
      <c r="G27688" s="49" t="str">
        <f t="shared" si="1"/>
        <v>33550</v>
      </c>
      <c r="H27688" s="49">
        <f t="shared" si="2"/>
        <v>33201</v>
      </c>
    </row>
    <row r="27689">
      <c r="A27689" s="48" t="s">
        <v>10189</v>
      </c>
      <c r="B27689" s="38">
        <v>59567.0</v>
      </c>
      <c r="C27689" s="38" t="s">
        <v>32148</v>
      </c>
      <c r="D27689" s="38" t="str">
        <f>IFERROR(__xludf.DUMMYFUNCTION("REGEXREPLACE(C27689,""-\d+(.*)|--\d+(.*)"","""")"),"SERANVILLERS-FORENVILLE")</f>
        <v>SERANVILLERS-FORENVILLE</v>
      </c>
      <c r="E27689" s="38" t="s">
        <v>85</v>
      </c>
      <c r="F27689" s="38" t="s">
        <v>86</v>
      </c>
      <c r="G27689" s="49" t="str">
        <f t="shared" si="1"/>
        <v>59400</v>
      </c>
      <c r="H27689" s="49">
        <f t="shared" si="2"/>
        <v>59567</v>
      </c>
    </row>
    <row r="27690">
      <c r="A27690" s="48" t="s">
        <v>6073</v>
      </c>
      <c r="B27690" s="38">
        <v>40017.0</v>
      </c>
      <c r="C27690" s="38" t="s">
        <v>32149</v>
      </c>
      <c r="D27690" s="38" t="str">
        <f>IFERROR(__xludf.DUMMYFUNCTION("REGEXREPLACE(C27690,""-\d+(.*)|--\d+(.*)"","""")"),"AUDIGNON")</f>
        <v>AUDIGNON</v>
      </c>
      <c r="E27690" s="38" t="s">
        <v>281</v>
      </c>
      <c r="F27690" s="38" t="s">
        <v>252</v>
      </c>
      <c r="G27690" s="49" t="str">
        <f t="shared" si="1"/>
        <v>40500</v>
      </c>
      <c r="H27690" s="49">
        <f t="shared" si="2"/>
        <v>40017</v>
      </c>
    </row>
    <row r="27691">
      <c r="A27691" s="48" t="s">
        <v>3190</v>
      </c>
      <c r="B27691" s="38">
        <v>70438.0</v>
      </c>
      <c r="C27691" s="38" t="s">
        <v>32150</v>
      </c>
      <c r="D27691" s="38" t="str">
        <f>IFERROR(__xludf.DUMMYFUNCTION("REGEXREPLACE(C27691,""-\d+(.*)|--\d+(.*)"","""")"),"RAY-SUR-SAONE")</f>
        <v>RAY-SUR-SAONE</v>
      </c>
      <c r="E27691" s="38" t="s">
        <v>956</v>
      </c>
      <c r="F27691" s="38" t="s">
        <v>214</v>
      </c>
      <c r="G27691" s="49" t="str">
        <f t="shared" si="1"/>
        <v>70130</v>
      </c>
      <c r="H27691" s="49">
        <f t="shared" si="2"/>
        <v>70438</v>
      </c>
    </row>
    <row r="27692">
      <c r="A27692" s="48" t="s">
        <v>10369</v>
      </c>
      <c r="B27692" s="38">
        <v>88520.0</v>
      </c>
      <c r="C27692" s="38" t="s">
        <v>32151</v>
      </c>
      <c r="D27692" s="38" t="str">
        <f>IFERROR(__xludf.DUMMYFUNCTION("REGEXREPLACE(C27692,""-\d+(.*)|--\d+(.*)"","""")"),"LES VOIVRES")</f>
        <v>LES VOIVRES</v>
      </c>
      <c r="E27692" s="38" t="s">
        <v>194</v>
      </c>
      <c r="F27692" s="38" t="s">
        <v>195</v>
      </c>
      <c r="G27692" s="49" t="str">
        <f t="shared" si="1"/>
        <v>88240</v>
      </c>
      <c r="H27692" s="49">
        <f t="shared" si="2"/>
        <v>88520</v>
      </c>
    </row>
    <row r="27693">
      <c r="A27693" s="48" t="s">
        <v>3733</v>
      </c>
      <c r="B27693" s="38">
        <v>78057.0</v>
      </c>
      <c r="C27693" s="38" t="s">
        <v>32152</v>
      </c>
      <c r="D27693" s="38" t="str">
        <f>IFERROR(__xludf.DUMMYFUNCTION("REGEXREPLACE(C27693,""-\d+(.*)|--\d+(.*)"","""")"),"BENNECOURT")</f>
        <v>BENNECOURT</v>
      </c>
      <c r="E27693" s="38" t="s">
        <v>362</v>
      </c>
      <c r="F27693" s="38" t="s">
        <v>245</v>
      </c>
      <c r="G27693" s="49" t="str">
        <f t="shared" si="1"/>
        <v>78270</v>
      </c>
      <c r="H27693" s="49">
        <f t="shared" si="2"/>
        <v>78057</v>
      </c>
    </row>
    <row r="27694">
      <c r="A27694" s="48" t="s">
        <v>491</v>
      </c>
      <c r="B27694" s="38">
        <v>19175.0</v>
      </c>
      <c r="C27694" s="38" t="s">
        <v>32153</v>
      </c>
      <c r="D27694" s="38" t="str">
        <f>IFERROR(__xludf.DUMMYFUNCTION("REGEXREPLACE(C27694,""-\d+(.*)|--\d+(.*)"","""")"),"ROCHE-LE-PEYROUX")</f>
        <v>ROCHE-LE-PEYROUX</v>
      </c>
      <c r="E27694" s="38" t="s">
        <v>271</v>
      </c>
      <c r="F27694" s="38" t="s">
        <v>98</v>
      </c>
      <c r="G27694" s="49" t="str">
        <f t="shared" si="1"/>
        <v>19160</v>
      </c>
      <c r="H27694" s="49">
        <f t="shared" si="2"/>
        <v>19175</v>
      </c>
    </row>
    <row r="27695">
      <c r="A27695" s="48" t="s">
        <v>8515</v>
      </c>
      <c r="B27695" s="38">
        <v>8124.0</v>
      </c>
      <c r="C27695" s="38" t="s">
        <v>32154</v>
      </c>
      <c r="D27695" s="38" t="str">
        <f>IFERROR(__xludf.DUMMYFUNCTION("REGEXREPLACE(C27695,""-\d+(.*)|--\d+(.*)"","""")"),"CLAVY-WARBY")</f>
        <v>CLAVY-WARBY</v>
      </c>
      <c r="E27695" s="38" t="s">
        <v>327</v>
      </c>
      <c r="F27695" s="38" t="s">
        <v>130</v>
      </c>
      <c r="G27695" s="49" t="str">
        <f t="shared" si="1"/>
        <v>08460</v>
      </c>
      <c r="H27695" s="49" t="str">
        <f t="shared" si="2"/>
        <v>08124</v>
      </c>
    </row>
    <row r="27696">
      <c r="A27696" s="48" t="s">
        <v>9293</v>
      </c>
      <c r="B27696" s="38">
        <v>9316.0</v>
      </c>
      <c r="C27696" s="38" t="s">
        <v>32155</v>
      </c>
      <c r="D27696" s="38" t="str">
        <f>IFERROR(__xludf.DUMMYFUNCTION("REGEXREPLACE(C27696,""-\d+(.*)|--\d+(.*)"","""")"),"TROYE-D'ARIEGE")</f>
        <v>TROYE-D'ARIEGE</v>
      </c>
      <c r="E27696" s="38" t="s">
        <v>238</v>
      </c>
      <c r="F27696" s="38" t="s">
        <v>94</v>
      </c>
      <c r="G27696" s="49" t="str">
        <f t="shared" si="1"/>
        <v>09500</v>
      </c>
      <c r="H27696" s="49" t="str">
        <f t="shared" si="2"/>
        <v>09316</v>
      </c>
    </row>
    <row r="27697">
      <c r="A27697" s="48" t="s">
        <v>23464</v>
      </c>
      <c r="B27697" s="38">
        <v>58276.0</v>
      </c>
      <c r="C27697" s="38" t="s">
        <v>32156</v>
      </c>
      <c r="D27697" s="38" t="str">
        <f>IFERROR(__xludf.DUMMYFUNCTION("REGEXREPLACE(C27697,""-\d+(.*)|--\d+(.*)"","""")"),"SEMELAY")</f>
        <v>SEMELAY</v>
      </c>
      <c r="E27697" s="38" t="s">
        <v>219</v>
      </c>
      <c r="F27697" s="38" t="s">
        <v>106</v>
      </c>
      <c r="G27697" s="49" t="str">
        <f t="shared" si="1"/>
        <v>58360</v>
      </c>
      <c r="H27697" s="49">
        <f t="shared" si="2"/>
        <v>58276</v>
      </c>
    </row>
    <row r="27698">
      <c r="A27698" s="48" t="s">
        <v>6107</v>
      </c>
      <c r="B27698" s="38">
        <v>61319.0</v>
      </c>
      <c r="C27698" s="38" t="s">
        <v>32157</v>
      </c>
      <c r="D27698" s="38" t="str">
        <f>IFERROR(__xludf.DUMMYFUNCTION("REGEXREPLACE(C27698,""-\d+(.*)|--\d+(.*)"","""")"),"ORIGNY-LE-ROUX")</f>
        <v>ORIGNY-LE-ROUX</v>
      </c>
      <c r="E27698" s="38" t="s">
        <v>141</v>
      </c>
      <c r="F27698" s="38" t="s">
        <v>138</v>
      </c>
      <c r="G27698" s="49" t="str">
        <f t="shared" si="1"/>
        <v>61130</v>
      </c>
      <c r="H27698" s="49">
        <f t="shared" si="2"/>
        <v>61319</v>
      </c>
    </row>
    <row r="27699">
      <c r="A27699" s="48" t="s">
        <v>3789</v>
      </c>
      <c r="B27699" s="38">
        <v>51434.0</v>
      </c>
      <c r="C27699" s="38" t="s">
        <v>32158</v>
      </c>
      <c r="D27699" s="38" t="str">
        <f>IFERROR(__xludf.DUMMYFUNCTION("REGEXREPLACE(C27699,""-\d+(.*)|--\d+(.*)"","""")"),"PLIVOT")</f>
        <v>PLIVOT</v>
      </c>
      <c r="E27699" s="38" t="s">
        <v>129</v>
      </c>
      <c r="F27699" s="38" t="s">
        <v>130</v>
      </c>
      <c r="G27699" s="49" t="str">
        <f t="shared" si="1"/>
        <v>51150</v>
      </c>
      <c r="H27699" s="49">
        <f t="shared" si="2"/>
        <v>51434</v>
      </c>
    </row>
    <row r="27700">
      <c r="A27700" s="48" t="s">
        <v>2757</v>
      </c>
      <c r="B27700" s="38">
        <v>24294.0</v>
      </c>
      <c r="C27700" s="38" t="s">
        <v>32159</v>
      </c>
      <c r="D27700" s="38" t="str">
        <f>IFERROR(__xludf.DUMMYFUNCTION("REGEXREPLACE(C27700,""-\d+(.*)|--\d+(.*)"","""")"),"MONTPON-MENESTEROL")</f>
        <v>MONTPON-MENESTEROL</v>
      </c>
      <c r="E27700" s="38" t="s">
        <v>261</v>
      </c>
      <c r="F27700" s="38" t="s">
        <v>252</v>
      </c>
      <c r="G27700" s="49" t="str">
        <f t="shared" si="1"/>
        <v>24700</v>
      </c>
      <c r="H27700" s="49">
        <f t="shared" si="2"/>
        <v>24294</v>
      </c>
    </row>
    <row r="27701">
      <c r="A27701" s="48" t="s">
        <v>276</v>
      </c>
      <c r="B27701" s="38">
        <v>11302.0</v>
      </c>
      <c r="C27701" s="38" t="s">
        <v>32160</v>
      </c>
      <c r="D27701" s="38" t="str">
        <f>IFERROR(__xludf.DUMMYFUNCTION("REGEXREPLACE(C27701,""-\d+(.*)|--\d+(.*)"","""")"),"PUILAURENS")</f>
        <v>PUILAURENS</v>
      </c>
      <c r="E27701" s="38" t="s">
        <v>278</v>
      </c>
      <c r="F27701" s="38" t="s">
        <v>119</v>
      </c>
      <c r="G27701" s="49" t="str">
        <f t="shared" si="1"/>
        <v>11140</v>
      </c>
      <c r="H27701" s="49">
        <f t="shared" si="2"/>
        <v>11302</v>
      </c>
    </row>
    <row r="27702">
      <c r="A27702" s="48" t="s">
        <v>15038</v>
      </c>
      <c r="B27702" s="38">
        <v>22083.0</v>
      </c>
      <c r="C27702" s="38" t="s">
        <v>32161</v>
      </c>
      <c r="D27702" s="38" t="str">
        <f>IFERROR(__xludf.DUMMYFUNCTION("REGEXREPLACE(C27702,""-\d+(.*)|--\d+(.*)"","""")"),"ILLIFAUT")</f>
        <v>ILLIFAUT</v>
      </c>
      <c r="E27702" s="38" t="s">
        <v>89</v>
      </c>
      <c r="F27702" s="38" t="s">
        <v>90</v>
      </c>
      <c r="G27702" s="49" t="str">
        <f t="shared" si="1"/>
        <v>22230</v>
      </c>
      <c r="H27702" s="49">
        <f t="shared" si="2"/>
        <v>22083</v>
      </c>
    </row>
    <row r="27703">
      <c r="A27703" s="48" t="s">
        <v>8252</v>
      </c>
      <c r="B27703" s="38">
        <v>60107.0</v>
      </c>
      <c r="C27703" s="38" t="s">
        <v>32162</v>
      </c>
      <c r="D27703" s="38" t="str">
        <f>IFERROR(__xludf.DUMMYFUNCTION("REGEXREPLACE(C27703,""-\d+(.*)|--\d+(.*)"","""")"),"BREUIL-LE-VERT")</f>
        <v>BREUIL-LE-VERT</v>
      </c>
      <c r="E27703" s="38" t="s">
        <v>112</v>
      </c>
      <c r="F27703" s="38" t="s">
        <v>113</v>
      </c>
      <c r="G27703" s="49" t="str">
        <f t="shared" si="1"/>
        <v>60600</v>
      </c>
      <c r="H27703" s="49">
        <f t="shared" si="2"/>
        <v>60107</v>
      </c>
    </row>
    <row r="27704">
      <c r="A27704" s="48" t="s">
        <v>3702</v>
      </c>
      <c r="B27704" s="38">
        <v>77493.0</v>
      </c>
      <c r="C27704" s="38" t="s">
        <v>32163</v>
      </c>
      <c r="D27704" s="38" t="str">
        <f>IFERROR(__xludf.DUMMYFUNCTION("REGEXREPLACE(C27704,""-\d+(.*)|--\d+(.*)"","""")"),"VERNEUIL-L'ETANG")</f>
        <v>VERNEUIL-L'ETANG</v>
      </c>
      <c r="E27704" s="38" t="s">
        <v>244</v>
      </c>
      <c r="F27704" s="38" t="s">
        <v>245</v>
      </c>
      <c r="G27704" s="49" t="str">
        <f t="shared" si="1"/>
        <v>77390</v>
      </c>
      <c r="H27704" s="49">
        <f t="shared" si="2"/>
        <v>77493</v>
      </c>
    </row>
    <row r="27705">
      <c r="A27705" s="48" t="s">
        <v>6107</v>
      </c>
      <c r="B27705" s="38">
        <v>61426.0</v>
      </c>
      <c r="C27705" s="38" t="s">
        <v>32164</v>
      </c>
      <c r="D27705" s="38" t="str">
        <f>IFERROR(__xludf.DUMMYFUNCTION("REGEXREPLACE(C27705,""-\d+(.*)|--\d+(.*)"","""")"),"SAINT-MARTIN-DU-VIEUX-BELLEME")</f>
        <v>SAINT-MARTIN-DU-VIEUX-BELLEME</v>
      </c>
      <c r="E27705" s="38" t="s">
        <v>141</v>
      </c>
      <c r="F27705" s="38" t="s">
        <v>138</v>
      </c>
      <c r="G27705" s="49" t="str">
        <f t="shared" si="1"/>
        <v>61130</v>
      </c>
      <c r="H27705" s="49">
        <f t="shared" si="2"/>
        <v>61426</v>
      </c>
    </row>
    <row r="27706">
      <c r="A27706" s="48" t="s">
        <v>32165</v>
      </c>
      <c r="B27706" s="38">
        <v>95476.0</v>
      </c>
      <c r="C27706" s="38" t="s">
        <v>32166</v>
      </c>
      <c r="D27706" s="38" t="str">
        <f>IFERROR(__xludf.DUMMYFUNCTION("REGEXREPLACE(C27706,""-\d+(.*)|--\d+(.*)"","""")"),"OSNY")</f>
        <v>OSNY</v>
      </c>
      <c r="E27706" s="38" t="s">
        <v>541</v>
      </c>
      <c r="F27706" s="38" t="s">
        <v>245</v>
      </c>
      <c r="G27706" s="49" t="str">
        <f t="shared" si="1"/>
        <v>95520</v>
      </c>
      <c r="H27706" s="49">
        <f t="shared" si="2"/>
        <v>95476</v>
      </c>
    </row>
    <row r="27707">
      <c r="A27707" s="48" t="s">
        <v>2332</v>
      </c>
      <c r="B27707" s="38">
        <v>81102.0</v>
      </c>
      <c r="C27707" s="38" t="s">
        <v>6693</v>
      </c>
      <c r="D27707" s="38" t="str">
        <f>IFERROR(__xludf.DUMMYFUNCTION("REGEXREPLACE(C27707,""-\d+(.*)|--\d+(.*)"","""")"),"GARRIGUES")</f>
        <v>GARRIGUES</v>
      </c>
      <c r="E27707" s="38" t="s">
        <v>231</v>
      </c>
      <c r="F27707" s="38" t="s">
        <v>94</v>
      </c>
      <c r="G27707" s="49" t="str">
        <f t="shared" si="1"/>
        <v>81500</v>
      </c>
      <c r="H27707" s="49">
        <f t="shared" si="2"/>
        <v>81102</v>
      </c>
    </row>
    <row r="27708">
      <c r="A27708" s="48" t="s">
        <v>4238</v>
      </c>
      <c r="B27708" s="38">
        <v>54070.0</v>
      </c>
      <c r="C27708" s="38" t="s">
        <v>32167</v>
      </c>
      <c r="D27708" s="38" t="str">
        <f>IFERROR(__xludf.DUMMYFUNCTION("REGEXREPLACE(C27708,""-\d+(.*)|--\d+(.*)"","""")"),"BEY-SUR-SEILLE")</f>
        <v>BEY-SUR-SEILLE</v>
      </c>
      <c r="E27708" s="38" t="s">
        <v>548</v>
      </c>
      <c r="F27708" s="38" t="s">
        <v>195</v>
      </c>
      <c r="G27708" s="49" t="str">
        <f t="shared" si="1"/>
        <v>54760</v>
      </c>
      <c r="H27708" s="49">
        <f t="shared" si="2"/>
        <v>54070</v>
      </c>
    </row>
    <row r="27709">
      <c r="A27709" s="48" t="s">
        <v>5451</v>
      </c>
      <c r="B27709" s="38">
        <v>19249.0</v>
      </c>
      <c r="C27709" s="38" t="s">
        <v>32168</v>
      </c>
      <c r="D27709" s="38" t="str">
        <f>IFERROR(__xludf.DUMMYFUNCTION("REGEXREPLACE(C27709,""-\d+(.*)|--\d+(.*)"","""")"),"SAINT-YRIEIX-LE-DEJALAT")</f>
        <v>SAINT-YRIEIX-LE-DEJALAT</v>
      </c>
      <c r="E27709" s="38" t="s">
        <v>271</v>
      </c>
      <c r="F27709" s="38" t="s">
        <v>98</v>
      </c>
      <c r="G27709" s="49" t="str">
        <f t="shared" si="1"/>
        <v>19300</v>
      </c>
      <c r="H27709" s="49">
        <f t="shared" si="2"/>
        <v>19249</v>
      </c>
    </row>
    <row r="27710">
      <c r="A27710" s="48" t="s">
        <v>2605</v>
      </c>
      <c r="B27710" s="38">
        <v>39224.0</v>
      </c>
      <c r="C27710" s="38" t="s">
        <v>32169</v>
      </c>
      <c r="D27710" s="38" t="str">
        <f>IFERROR(__xludf.DUMMYFUNCTION("REGEXREPLACE(C27710,""-\d+(.*)|--\d+(.*)"","""")"),"FETIGNY")</f>
        <v>FETIGNY</v>
      </c>
      <c r="E27710" s="38" t="s">
        <v>400</v>
      </c>
      <c r="F27710" s="38" t="s">
        <v>214</v>
      </c>
      <c r="G27710" s="49" t="str">
        <f t="shared" si="1"/>
        <v>39240</v>
      </c>
      <c r="H27710" s="49">
        <f t="shared" si="2"/>
        <v>39224</v>
      </c>
    </row>
    <row r="27711">
      <c r="A27711" s="48" t="s">
        <v>2116</v>
      </c>
      <c r="B27711" s="38">
        <v>26242.0</v>
      </c>
      <c r="C27711" s="38" t="s">
        <v>32170</v>
      </c>
      <c r="D27711" s="38" t="str">
        <f>IFERROR(__xludf.DUMMYFUNCTION("REGEXREPLACE(C27711,""-\d+(.*)|--\d+(.*)"","""")"),"LE POET-EN-PERCIP")</f>
        <v>LE POET-EN-PERCIP</v>
      </c>
      <c r="E27711" s="38" t="s">
        <v>126</v>
      </c>
      <c r="F27711" s="38" t="s">
        <v>102</v>
      </c>
      <c r="G27711" s="49" t="str">
        <f t="shared" si="1"/>
        <v>26170</v>
      </c>
      <c r="H27711" s="49">
        <f t="shared" si="2"/>
        <v>26242</v>
      </c>
    </row>
    <row r="27712">
      <c r="A27712" s="48" t="s">
        <v>12232</v>
      </c>
      <c r="B27712" s="38">
        <v>11152.0</v>
      </c>
      <c r="C27712" s="38" t="s">
        <v>32171</v>
      </c>
      <c r="D27712" s="38" t="str">
        <f>IFERROR(__xludf.DUMMYFUNCTION("REGEXREPLACE(C27712,""-\d+(.*)|--\d+(.*)"","""")"),"FONTJONCOUSE")</f>
        <v>FONTJONCOUSE</v>
      </c>
      <c r="E27712" s="38" t="s">
        <v>278</v>
      </c>
      <c r="F27712" s="38" t="s">
        <v>119</v>
      </c>
      <c r="G27712" s="49" t="str">
        <f t="shared" si="1"/>
        <v>11360</v>
      </c>
      <c r="H27712" s="49">
        <f t="shared" si="2"/>
        <v>11152</v>
      </c>
    </row>
    <row r="27713">
      <c r="A27713" s="48" t="s">
        <v>1172</v>
      </c>
      <c r="B27713" s="38">
        <v>76586.0</v>
      </c>
      <c r="C27713" s="38" t="s">
        <v>32172</v>
      </c>
      <c r="D27713" s="38" t="str">
        <f>IFERROR(__xludf.DUMMYFUNCTION("REGEXREPLACE(C27713,""-\d+(.*)|--\d+(.*)"","""")"),"SAINT-GILLES-DE-LA-NEUVILLE")</f>
        <v>SAINT-GILLES-DE-LA-NEUVILLE</v>
      </c>
      <c r="E27713" s="38" t="s">
        <v>133</v>
      </c>
      <c r="F27713" s="38" t="s">
        <v>134</v>
      </c>
      <c r="G27713" s="49" t="str">
        <f t="shared" si="1"/>
        <v>76430</v>
      </c>
      <c r="H27713" s="49">
        <f t="shared" si="2"/>
        <v>76586</v>
      </c>
    </row>
    <row r="27714">
      <c r="A27714" s="48" t="s">
        <v>4319</v>
      </c>
      <c r="B27714" s="38">
        <v>6136.0</v>
      </c>
      <c r="C27714" s="38" t="s">
        <v>32173</v>
      </c>
      <c r="D27714" s="38" t="str">
        <f>IFERROR(__xludf.DUMMYFUNCTION("REGEXREPLACE(C27714,""-\d+(.*)|--\d+(.*)"","""")"),"SOSPEL")</f>
        <v>SOSPEL</v>
      </c>
      <c r="E27714" s="38" t="s">
        <v>227</v>
      </c>
      <c r="F27714" s="38" t="s">
        <v>228</v>
      </c>
      <c r="G27714" s="49" t="str">
        <f t="shared" si="1"/>
        <v>06380</v>
      </c>
      <c r="H27714" s="49" t="str">
        <f t="shared" si="2"/>
        <v>06136</v>
      </c>
    </row>
    <row r="27715">
      <c r="A27715" s="48" t="s">
        <v>6474</v>
      </c>
      <c r="B27715" s="38">
        <v>61329.0</v>
      </c>
      <c r="C27715" s="38" t="s">
        <v>32174</v>
      </c>
      <c r="D27715" s="38" t="str">
        <f>IFERROR(__xludf.DUMMYFUNCTION("REGEXREPLACE(C27715,""-\d+(.*)|--\d+(.*)"","""")"),"LE PIN-LA-GARENNE")</f>
        <v>LE PIN-LA-GARENNE</v>
      </c>
      <c r="E27715" s="38" t="s">
        <v>141</v>
      </c>
      <c r="F27715" s="38" t="s">
        <v>138</v>
      </c>
      <c r="G27715" s="49" t="str">
        <f t="shared" si="1"/>
        <v>61400</v>
      </c>
      <c r="H27715" s="49">
        <f t="shared" si="2"/>
        <v>61329</v>
      </c>
    </row>
    <row r="27716">
      <c r="A27716" s="48" t="s">
        <v>16993</v>
      </c>
      <c r="B27716" s="38">
        <v>59384.0</v>
      </c>
      <c r="C27716" s="38" t="s">
        <v>32175</v>
      </c>
      <c r="D27716" s="38" t="str">
        <f>IFERROR(__xludf.DUMMYFUNCTION("REGEXREPLACE(C27716,""-\d+(.*)|--\d+(.*)"","""")"),"MAROILLES")</f>
        <v>MAROILLES</v>
      </c>
      <c r="E27716" s="38" t="s">
        <v>85</v>
      </c>
      <c r="F27716" s="38" t="s">
        <v>86</v>
      </c>
      <c r="G27716" s="49" t="str">
        <f t="shared" si="1"/>
        <v>59550</v>
      </c>
      <c r="H27716" s="49">
        <f t="shared" si="2"/>
        <v>59384</v>
      </c>
    </row>
    <row r="27717">
      <c r="A27717" s="48" t="s">
        <v>32176</v>
      </c>
      <c r="B27717" s="38">
        <v>91363.0</v>
      </c>
      <c r="C27717" s="38" t="s">
        <v>32177</v>
      </c>
      <c r="D27717" s="38" t="str">
        <f>IFERROR(__xludf.DUMMYFUNCTION("REGEXREPLACE(C27717,""-\d+(.*)|--\d+(.*)"","""")"),"MARCOUSSIS")</f>
        <v>MARCOUSSIS</v>
      </c>
      <c r="E27717" s="38" t="s">
        <v>756</v>
      </c>
      <c r="F27717" s="38" t="s">
        <v>245</v>
      </c>
      <c r="G27717" s="49" t="str">
        <f t="shared" si="1"/>
        <v>91460</v>
      </c>
      <c r="H27717" s="49">
        <f t="shared" si="2"/>
        <v>91363</v>
      </c>
    </row>
    <row r="27718">
      <c r="A27718" s="48" t="s">
        <v>315</v>
      </c>
      <c r="B27718" s="38">
        <v>27624.0</v>
      </c>
      <c r="C27718" s="38" t="s">
        <v>31995</v>
      </c>
      <c r="D27718" s="38" t="str">
        <f>IFERROR(__xludf.DUMMYFUNCTION("REGEXREPLACE(C27718,""-\d+(.*)|--\d+(.*)"","""")"),"SURVILLE")</f>
        <v>SURVILLE</v>
      </c>
      <c r="E27718" s="38" t="s">
        <v>241</v>
      </c>
      <c r="F27718" s="38" t="s">
        <v>134</v>
      </c>
      <c r="G27718" s="49" t="str">
        <f t="shared" si="1"/>
        <v>27400</v>
      </c>
      <c r="H27718" s="49">
        <f t="shared" si="2"/>
        <v>27624</v>
      </c>
    </row>
    <row r="27719">
      <c r="A27719" s="48" t="s">
        <v>32178</v>
      </c>
      <c r="B27719" s="38">
        <v>97119.0</v>
      </c>
      <c r="C27719" s="38" t="s">
        <v>32179</v>
      </c>
      <c r="D27719" s="38" t="str">
        <f>IFERROR(__xludf.DUMMYFUNCTION("REGEXREPLACE(C27719,""-\d+(.*)|--\d+(.*)"","""")"),"PETIT-CANAL")</f>
        <v>PETIT-CANAL</v>
      </c>
      <c r="E27719" s="38" t="s">
        <v>2023</v>
      </c>
      <c r="F27719" s="38" t="s">
        <v>2023</v>
      </c>
      <c r="G27719" s="49" t="str">
        <f t="shared" si="1"/>
        <v>97131</v>
      </c>
      <c r="H27719" s="49">
        <f t="shared" si="2"/>
        <v>97119</v>
      </c>
    </row>
    <row r="27720">
      <c r="A27720" s="48" t="s">
        <v>2249</v>
      </c>
      <c r="B27720" s="38">
        <v>14744.0</v>
      </c>
      <c r="C27720" s="38" t="s">
        <v>32180</v>
      </c>
      <c r="D27720" s="38" t="str">
        <f>IFERROR(__xludf.DUMMYFUNCTION("REGEXREPLACE(C27720,""-\d+(.*)|--\d+(.*)"","""")"),"VIENNE-EN-BESSIN")</f>
        <v>VIENNE-EN-BESSIN</v>
      </c>
      <c r="E27720" s="38" t="s">
        <v>137</v>
      </c>
      <c r="F27720" s="38" t="s">
        <v>138</v>
      </c>
      <c r="G27720" s="49" t="str">
        <f t="shared" si="1"/>
        <v>14400</v>
      </c>
      <c r="H27720" s="49">
        <f t="shared" si="2"/>
        <v>14744</v>
      </c>
    </row>
    <row r="27721">
      <c r="A27721" s="48" t="s">
        <v>1327</v>
      </c>
      <c r="B27721" s="38">
        <v>51111.0</v>
      </c>
      <c r="C27721" s="38" t="s">
        <v>32181</v>
      </c>
      <c r="D27721" s="38" t="str">
        <f>IFERROR(__xludf.DUMMYFUNCTION("REGEXREPLACE(C27721,""-\d+(.*)|--\d+(.*)"","""")"),"CHAMBRECY")</f>
        <v>CHAMBRECY</v>
      </c>
      <c r="E27721" s="38" t="s">
        <v>129</v>
      </c>
      <c r="F27721" s="38" t="s">
        <v>130</v>
      </c>
      <c r="G27721" s="49" t="str">
        <f t="shared" si="1"/>
        <v>51170</v>
      </c>
      <c r="H27721" s="49">
        <f t="shared" si="2"/>
        <v>51111</v>
      </c>
    </row>
    <row r="27722">
      <c r="A27722" s="48" t="s">
        <v>3614</v>
      </c>
      <c r="B27722" s="38">
        <v>59414.0</v>
      </c>
      <c r="C27722" s="38" t="s">
        <v>32182</v>
      </c>
      <c r="D27722" s="38" t="str">
        <f>IFERROR(__xludf.DUMMYFUNCTION("REGEXREPLACE(C27722,""-\d+(.*)|--\d+(.*)"","""")"),"MONTIGNY-EN-OSTREVENT")</f>
        <v>MONTIGNY-EN-OSTREVENT</v>
      </c>
      <c r="E27722" s="38" t="s">
        <v>85</v>
      </c>
      <c r="F27722" s="38" t="s">
        <v>86</v>
      </c>
      <c r="G27722" s="49" t="str">
        <f t="shared" si="1"/>
        <v>59182</v>
      </c>
      <c r="H27722" s="49">
        <f t="shared" si="2"/>
        <v>59414</v>
      </c>
    </row>
    <row r="27723">
      <c r="A27723" s="48" t="s">
        <v>398</v>
      </c>
      <c r="B27723" s="38">
        <v>39282.0</v>
      </c>
      <c r="C27723" s="38" t="s">
        <v>32183</v>
      </c>
      <c r="D27723" s="38" t="str">
        <f>IFERROR(__xludf.DUMMYFUNCTION("REGEXREPLACE(C27723,""-\d+(.*)|--\d+(.*)"","""")"),"LA LATETTE")</f>
        <v>LA LATETTE</v>
      </c>
      <c r="E27723" s="38" t="s">
        <v>400</v>
      </c>
      <c r="F27723" s="38" t="s">
        <v>214</v>
      </c>
      <c r="G27723" s="49" t="str">
        <f t="shared" si="1"/>
        <v>39250</v>
      </c>
      <c r="H27723" s="49">
        <f t="shared" si="2"/>
        <v>39282</v>
      </c>
    </row>
    <row r="27724">
      <c r="A27724" s="48" t="s">
        <v>3900</v>
      </c>
      <c r="B27724" s="38">
        <v>2508.0</v>
      </c>
      <c r="C27724" s="38" t="s">
        <v>32184</v>
      </c>
      <c r="D27724" s="38" t="str">
        <f>IFERROR(__xludf.DUMMYFUNCTION("REGEXREPLACE(C27724,""-\d+(.*)|--\d+(.*)"","""")"),"MONTHENAULT")</f>
        <v>MONTHENAULT</v>
      </c>
      <c r="E27724" s="38" t="s">
        <v>191</v>
      </c>
      <c r="F27724" s="38" t="s">
        <v>113</v>
      </c>
      <c r="G27724" s="49" t="str">
        <f t="shared" si="1"/>
        <v>02860</v>
      </c>
      <c r="H27724" s="49" t="str">
        <f t="shared" si="2"/>
        <v>02508</v>
      </c>
    </row>
    <row r="27725">
      <c r="A27725" s="48" t="s">
        <v>3980</v>
      </c>
      <c r="B27725" s="38">
        <v>71419.0</v>
      </c>
      <c r="C27725" s="38" t="s">
        <v>32185</v>
      </c>
      <c r="D27725" s="38" t="str">
        <f>IFERROR(__xludf.DUMMYFUNCTION("REGEXREPLACE(C27725,""-\d+(.*)|--\d+(.*)"","""")"),"SAINT-GERMAIN-DU-BOIS")</f>
        <v>SAINT-GERMAIN-DU-BOIS</v>
      </c>
      <c r="E27725" s="38" t="s">
        <v>344</v>
      </c>
      <c r="F27725" s="38" t="s">
        <v>106</v>
      </c>
      <c r="G27725" s="49" t="str">
        <f t="shared" si="1"/>
        <v>71330</v>
      </c>
      <c r="H27725" s="49">
        <f t="shared" si="2"/>
        <v>71419</v>
      </c>
    </row>
    <row r="27726">
      <c r="A27726" s="48" t="s">
        <v>32186</v>
      </c>
      <c r="B27726" s="38">
        <v>77180.0</v>
      </c>
      <c r="C27726" s="38" t="s">
        <v>32187</v>
      </c>
      <c r="D27726" s="38" t="str">
        <f>IFERROR(__xludf.DUMMYFUNCTION("REGEXREPLACE(C27726,""-\d+(.*)|--\d+(.*)"","""")"),"FEROLLES-ATTILLY")</f>
        <v>FEROLLES-ATTILLY</v>
      </c>
      <c r="E27726" s="38" t="s">
        <v>244</v>
      </c>
      <c r="F27726" s="38" t="s">
        <v>245</v>
      </c>
      <c r="G27726" s="49" t="str">
        <f t="shared" si="1"/>
        <v>77150</v>
      </c>
      <c r="H27726" s="49">
        <f t="shared" si="2"/>
        <v>77180</v>
      </c>
    </row>
    <row r="27727">
      <c r="A27727" s="48" t="s">
        <v>222</v>
      </c>
      <c r="B27727" s="38">
        <v>80420.0</v>
      </c>
      <c r="C27727" s="38" t="s">
        <v>32188</v>
      </c>
      <c r="D27727" s="38" t="str">
        <f>IFERROR(__xludf.DUMMYFUNCTION("REGEXREPLACE(C27727,""-\d+(.*)|--\d+(.*)"","""")"),"HARPONVILLE")</f>
        <v>HARPONVILLE</v>
      </c>
      <c r="E27727" s="38" t="s">
        <v>224</v>
      </c>
      <c r="F27727" s="38" t="s">
        <v>113</v>
      </c>
      <c r="G27727" s="49" t="str">
        <f t="shared" si="1"/>
        <v>80560</v>
      </c>
      <c r="H27727" s="49">
        <f t="shared" si="2"/>
        <v>80420</v>
      </c>
    </row>
    <row r="27728">
      <c r="A27728" s="48" t="s">
        <v>8603</v>
      </c>
      <c r="B27728" s="38">
        <v>68364.0</v>
      </c>
      <c r="C27728" s="38" t="s">
        <v>32189</v>
      </c>
      <c r="D27728" s="38" t="str">
        <f>IFERROR(__xludf.DUMMYFUNCTION("REGEXREPLACE(C27728,""-\d+(.*)|--\d+(.*)"","""")"),"WESTHALTEN")</f>
        <v>WESTHALTEN</v>
      </c>
      <c r="E27728" s="38" t="s">
        <v>150</v>
      </c>
      <c r="F27728" s="38" t="s">
        <v>151</v>
      </c>
      <c r="G27728" s="49" t="str">
        <f t="shared" si="1"/>
        <v>68250</v>
      </c>
      <c r="H27728" s="49">
        <f t="shared" si="2"/>
        <v>68364</v>
      </c>
    </row>
    <row r="27729">
      <c r="A27729" s="48" t="s">
        <v>8962</v>
      </c>
      <c r="B27729" s="38">
        <v>12105.0</v>
      </c>
      <c r="C27729" s="38" t="s">
        <v>32190</v>
      </c>
      <c r="D27729" s="38" t="str">
        <f>IFERROR(__xludf.DUMMYFUNCTION("REGEXREPLACE(C27729,""-\d+(.*)|--\d+(.*)"","""")"),"LA FOUILLADE")</f>
        <v>LA FOUILLADE</v>
      </c>
      <c r="E27729" s="38" t="s">
        <v>465</v>
      </c>
      <c r="F27729" s="38" t="s">
        <v>94</v>
      </c>
      <c r="G27729" s="49" t="str">
        <f t="shared" si="1"/>
        <v>12270</v>
      </c>
      <c r="H27729" s="49">
        <f t="shared" si="2"/>
        <v>12105</v>
      </c>
    </row>
    <row r="27730">
      <c r="A27730" s="48" t="s">
        <v>15628</v>
      </c>
      <c r="B27730" s="38">
        <v>77366.0</v>
      </c>
      <c r="C27730" s="38" t="s">
        <v>32191</v>
      </c>
      <c r="D27730" s="38" t="str">
        <f>IFERROR(__xludf.DUMMYFUNCTION("REGEXREPLACE(C27730,""-\d+(.*)|--\d+(.*)"","""")"),"LE PLESSIS-L'EVEQUE")</f>
        <v>LE PLESSIS-L'EVEQUE</v>
      </c>
      <c r="E27730" s="38" t="s">
        <v>244</v>
      </c>
      <c r="F27730" s="38" t="s">
        <v>245</v>
      </c>
      <c r="G27730" s="49" t="str">
        <f t="shared" si="1"/>
        <v>77165</v>
      </c>
      <c r="H27730" s="49">
        <f t="shared" si="2"/>
        <v>77366</v>
      </c>
    </row>
    <row r="27731">
      <c r="A27731" s="48" t="s">
        <v>2217</v>
      </c>
      <c r="B27731" s="38">
        <v>24152.0</v>
      </c>
      <c r="C27731" s="38" t="s">
        <v>32192</v>
      </c>
      <c r="D27731" s="38" t="str">
        <f>IFERROR(__xludf.DUMMYFUNCTION("REGEXREPLACE(C27731,""-\d+(.*)|--\d+(.*)"","""")"),"DOMME")</f>
        <v>DOMME</v>
      </c>
      <c r="E27731" s="38" t="s">
        <v>261</v>
      </c>
      <c r="F27731" s="38" t="s">
        <v>252</v>
      </c>
      <c r="G27731" s="49" t="str">
        <f t="shared" si="1"/>
        <v>24250</v>
      </c>
      <c r="H27731" s="49">
        <f t="shared" si="2"/>
        <v>24152</v>
      </c>
    </row>
    <row r="27732">
      <c r="A27732" s="48" t="s">
        <v>9365</v>
      </c>
      <c r="B27732" s="38">
        <v>90080.0</v>
      </c>
      <c r="C27732" s="38" t="s">
        <v>32193</v>
      </c>
      <c r="D27732" s="38" t="str">
        <f>IFERROR(__xludf.DUMMYFUNCTION("REGEXREPLACE(C27732,""-\d+(.*)|--\d+(.*)"","""")"),"PHAFFANS")</f>
        <v>PHAFFANS</v>
      </c>
      <c r="E27732" s="38" t="s">
        <v>1283</v>
      </c>
      <c r="F27732" s="38" t="s">
        <v>214</v>
      </c>
      <c r="G27732" s="49" t="str">
        <f t="shared" si="1"/>
        <v>90150</v>
      </c>
      <c r="H27732" s="49">
        <f t="shared" si="2"/>
        <v>90080</v>
      </c>
    </row>
    <row r="27733">
      <c r="A27733" s="48" t="s">
        <v>5629</v>
      </c>
      <c r="B27733" s="38">
        <v>67263.0</v>
      </c>
      <c r="C27733" s="38" t="s">
        <v>32194</v>
      </c>
      <c r="D27733" s="38" t="str">
        <f>IFERROR(__xludf.DUMMYFUNCTION("REGEXREPLACE(C27733,""-\d+(.*)|--\d+(.*)"","""")"),"LEMBACH")</f>
        <v>LEMBACH</v>
      </c>
      <c r="E27733" s="38" t="s">
        <v>210</v>
      </c>
      <c r="F27733" s="38" t="s">
        <v>151</v>
      </c>
      <c r="G27733" s="49" t="str">
        <f t="shared" si="1"/>
        <v>67510</v>
      </c>
      <c r="H27733" s="49">
        <f t="shared" si="2"/>
        <v>67263</v>
      </c>
    </row>
    <row r="27734">
      <c r="A27734" s="48" t="s">
        <v>744</v>
      </c>
      <c r="B27734" s="38">
        <v>14579.0</v>
      </c>
      <c r="C27734" s="38" t="s">
        <v>32195</v>
      </c>
      <c r="D27734" s="38" t="str">
        <f>IFERROR(__xludf.DUMMYFUNCTION("REGEXREPLACE(C27734,""-\d+(.*)|--\d+(.*)"","""")"),"SAINT-GEORGES-D'AUNAY")</f>
        <v>SAINT-GEORGES-D'AUNAY</v>
      </c>
      <c r="E27734" s="38" t="s">
        <v>137</v>
      </c>
      <c r="F27734" s="38" t="s">
        <v>138</v>
      </c>
      <c r="G27734" s="49" t="str">
        <f t="shared" si="1"/>
        <v>14260</v>
      </c>
      <c r="H27734" s="49">
        <f t="shared" si="2"/>
        <v>14579</v>
      </c>
    </row>
    <row r="27735">
      <c r="A27735" s="48" t="s">
        <v>32196</v>
      </c>
      <c r="B27735" s="38">
        <v>15265.0</v>
      </c>
      <c r="C27735" s="38" t="s">
        <v>32197</v>
      </c>
      <c r="D27735" s="38" t="str">
        <f>IFERROR(__xludf.DUMMYFUNCTION("REGEXREPLACE(C27735,""-\d+(.*)|--\d+(.*)"","""")"),"YDES")</f>
        <v>YDES</v>
      </c>
      <c r="E27735" s="38" t="s">
        <v>632</v>
      </c>
      <c r="F27735" s="38" t="s">
        <v>161</v>
      </c>
      <c r="G27735" s="49" t="str">
        <f t="shared" si="1"/>
        <v>15210</v>
      </c>
      <c r="H27735" s="49">
        <f t="shared" si="2"/>
        <v>15265</v>
      </c>
    </row>
    <row r="27736">
      <c r="A27736" s="48" t="s">
        <v>5596</v>
      </c>
      <c r="B27736" s="38">
        <v>25192.0</v>
      </c>
      <c r="C27736" s="38" t="s">
        <v>32198</v>
      </c>
      <c r="D27736" s="38" t="str">
        <f>IFERROR(__xludf.DUMMYFUNCTION("REGEXREPLACE(C27736,""-\d+(.*)|--\d+(.*)"","""")"),"DAMPJOUX")</f>
        <v>DAMPJOUX</v>
      </c>
      <c r="E27736" s="38" t="s">
        <v>213</v>
      </c>
      <c r="F27736" s="38" t="s">
        <v>214</v>
      </c>
      <c r="G27736" s="49" t="str">
        <f t="shared" si="1"/>
        <v>25190</v>
      </c>
      <c r="H27736" s="49">
        <f t="shared" si="2"/>
        <v>25192</v>
      </c>
    </row>
    <row r="27737">
      <c r="A27737" s="48" t="s">
        <v>8371</v>
      </c>
      <c r="B27737" s="38">
        <v>57233.0</v>
      </c>
      <c r="C27737" s="38" t="s">
        <v>32199</v>
      </c>
      <c r="D27737" s="38" t="str">
        <f>IFERROR(__xludf.DUMMYFUNCTION("REGEXREPLACE(C27737,""-\d+(.*)|--\d+(.*)"","""")"),"FRAQUELFING")</f>
        <v>FRAQUELFING</v>
      </c>
      <c r="E27737" s="38" t="s">
        <v>303</v>
      </c>
      <c r="F27737" s="38" t="s">
        <v>195</v>
      </c>
      <c r="G27737" s="49" t="str">
        <f t="shared" si="1"/>
        <v>57790</v>
      </c>
      <c r="H27737" s="49">
        <f t="shared" si="2"/>
        <v>57233</v>
      </c>
    </row>
    <row r="27738">
      <c r="A27738" s="48" t="s">
        <v>2807</v>
      </c>
      <c r="B27738" s="38">
        <v>81229.0</v>
      </c>
      <c r="C27738" s="38" t="s">
        <v>32200</v>
      </c>
      <c r="D27738" s="38" t="str">
        <f>IFERROR(__xludf.DUMMYFUNCTION("REGEXREPLACE(C27738,""-\d+(.*)|--\d+(.*)"","""")"),"ROQUEVIDAL")</f>
        <v>ROQUEVIDAL</v>
      </c>
      <c r="E27738" s="38" t="s">
        <v>231</v>
      </c>
      <c r="F27738" s="38" t="s">
        <v>94</v>
      </c>
      <c r="G27738" s="49" t="str">
        <f t="shared" si="1"/>
        <v>81470</v>
      </c>
      <c r="H27738" s="49">
        <f t="shared" si="2"/>
        <v>81229</v>
      </c>
    </row>
    <row r="27739">
      <c r="A27739" s="48" t="s">
        <v>5973</v>
      </c>
      <c r="B27739" s="38">
        <v>54550.0</v>
      </c>
      <c r="C27739" s="38" t="s">
        <v>32201</v>
      </c>
      <c r="D27739" s="38" t="str">
        <f>IFERROR(__xludf.DUMMYFUNCTION("REGEXREPLACE(C27739,""-\d+(.*)|--\d+(.*)"","""")"),"VATHIMENIL")</f>
        <v>VATHIMENIL</v>
      </c>
      <c r="E27739" s="38" t="s">
        <v>548</v>
      </c>
      <c r="F27739" s="38" t="s">
        <v>195</v>
      </c>
      <c r="G27739" s="49" t="str">
        <f t="shared" si="1"/>
        <v>54122</v>
      </c>
      <c r="H27739" s="49">
        <f t="shared" si="2"/>
        <v>54550</v>
      </c>
    </row>
    <row r="27740">
      <c r="A27740" s="48" t="s">
        <v>3100</v>
      </c>
      <c r="B27740" s="38">
        <v>7263.0</v>
      </c>
      <c r="C27740" s="38" t="s">
        <v>32202</v>
      </c>
      <c r="D27740" s="38" t="str">
        <f>IFERROR(__xludf.DUMMYFUNCTION("REGEXREPLACE(C27740,""-\d+(.*)|--\d+(.*)"","""")"),"SAINT-LAURENT-SOUS-COIRON")</f>
        <v>SAINT-LAURENT-SOUS-COIRON</v>
      </c>
      <c r="E27740" s="38" t="s">
        <v>144</v>
      </c>
      <c r="F27740" s="38" t="s">
        <v>102</v>
      </c>
      <c r="G27740" s="49" t="str">
        <f t="shared" si="1"/>
        <v>07170</v>
      </c>
      <c r="H27740" s="49" t="str">
        <f t="shared" si="2"/>
        <v>07263</v>
      </c>
    </row>
    <row r="27741">
      <c r="A27741" s="48" t="s">
        <v>4614</v>
      </c>
      <c r="B27741" s="38">
        <v>78497.0</v>
      </c>
      <c r="C27741" s="38" t="s">
        <v>32203</v>
      </c>
      <c r="D27741" s="38" t="str">
        <f>IFERROR(__xludf.DUMMYFUNCTION("REGEXREPLACE(C27741,""-\d+(.*)|--\d+(.*)"","""")"),"POIGNY-LA-FORET")</f>
        <v>POIGNY-LA-FORET</v>
      </c>
      <c r="E27741" s="38" t="s">
        <v>362</v>
      </c>
      <c r="F27741" s="38" t="s">
        <v>245</v>
      </c>
      <c r="G27741" s="49" t="str">
        <f t="shared" si="1"/>
        <v>78125</v>
      </c>
      <c r="H27741" s="49">
        <f t="shared" si="2"/>
        <v>78497</v>
      </c>
    </row>
    <row r="27742">
      <c r="A27742" s="48" t="s">
        <v>13557</v>
      </c>
      <c r="B27742" s="38">
        <v>84030.0</v>
      </c>
      <c r="C27742" s="38" t="s">
        <v>32204</v>
      </c>
      <c r="D27742" s="38" t="str">
        <f>IFERROR(__xludf.DUMMYFUNCTION("REGEXREPLACE(C27742,""-\d+(.*)|--\d+(.*)"","""")"),"CAROMB")</f>
        <v>CAROMB</v>
      </c>
      <c r="E27742" s="38" t="s">
        <v>1026</v>
      </c>
      <c r="F27742" s="38" t="s">
        <v>228</v>
      </c>
      <c r="G27742" s="49" t="str">
        <f t="shared" si="1"/>
        <v>84330</v>
      </c>
      <c r="H27742" s="49">
        <f t="shared" si="2"/>
        <v>84030</v>
      </c>
    </row>
    <row r="27743">
      <c r="A27743" s="48" t="s">
        <v>32205</v>
      </c>
      <c r="B27743" s="38">
        <v>86194.0</v>
      </c>
      <c r="C27743" s="38" t="s">
        <v>32206</v>
      </c>
      <c r="D27743" s="38" t="str">
        <f>IFERROR(__xludf.DUMMYFUNCTION("REGEXREPLACE(C27743,""-\d+(.*)|--\d+(.*)"","""")"),"POITIERS")</f>
        <v>POITIERS</v>
      </c>
      <c r="E27743" s="38" t="s">
        <v>529</v>
      </c>
      <c r="F27743" s="38" t="s">
        <v>338</v>
      </c>
      <c r="G27743" s="49" t="str">
        <f t="shared" si="1"/>
        <v>86000</v>
      </c>
      <c r="H27743" s="49">
        <f t="shared" si="2"/>
        <v>86194</v>
      </c>
    </row>
    <row r="27744">
      <c r="A27744" s="48" t="s">
        <v>309</v>
      </c>
      <c r="B27744" s="38">
        <v>48094.0</v>
      </c>
      <c r="C27744" s="38" t="s">
        <v>32207</v>
      </c>
      <c r="D27744" s="38" t="str">
        <f>IFERROR(__xludf.DUMMYFUNCTION("REGEXREPLACE(C27744,""-\d+(.*)|--\d+(.*)"","""")"),"LE MASSEGROS")</f>
        <v>LE MASSEGROS</v>
      </c>
      <c r="E27744" s="38" t="s">
        <v>154</v>
      </c>
      <c r="F27744" s="38" t="s">
        <v>119</v>
      </c>
      <c r="G27744" s="49" t="str">
        <f t="shared" si="1"/>
        <v>48500</v>
      </c>
      <c r="H27744" s="49">
        <f t="shared" si="2"/>
        <v>48094</v>
      </c>
    </row>
    <row r="27745">
      <c r="A27745" s="48" t="s">
        <v>667</v>
      </c>
      <c r="B27745" s="38">
        <v>64229.0</v>
      </c>
      <c r="C27745" s="38" t="s">
        <v>32208</v>
      </c>
      <c r="D27745" s="38" t="str">
        <f>IFERROR(__xludf.DUMMYFUNCTION("REGEXREPLACE(C27745,""-\d+(.*)|--\d+(.*)"","""")"),"GAMARTHE")</f>
        <v>GAMARTHE</v>
      </c>
      <c r="E27745" s="38" t="s">
        <v>268</v>
      </c>
      <c r="F27745" s="38" t="s">
        <v>252</v>
      </c>
      <c r="G27745" s="49" t="str">
        <f t="shared" si="1"/>
        <v>64220</v>
      </c>
      <c r="H27745" s="49">
        <f t="shared" si="2"/>
        <v>64229</v>
      </c>
    </row>
    <row r="27746">
      <c r="A27746" s="48" t="s">
        <v>1159</v>
      </c>
      <c r="B27746" s="38">
        <v>60101.0</v>
      </c>
      <c r="C27746" s="38" t="s">
        <v>32209</v>
      </c>
      <c r="D27746" s="38" t="str">
        <f>IFERROR(__xludf.DUMMYFUNCTION("REGEXREPLACE(C27746,""-\d+(.*)|--\d+(.*)"","""")"),"BREGY")</f>
        <v>BREGY</v>
      </c>
      <c r="E27746" s="38" t="s">
        <v>112</v>
      </c>
      <c r="F27746" s="38" t="s">
        <v>113</v>
      </c>
      <c r="G27746" s="49" t="str">
        <f t="shared" si="1"/>
        <v>60440</v>
      </c>
      <c r="H27746" s="49">
        <f t="shared" si="2"/>
        <v>60101</v>
      </c>
    </row>
    <row r="27747">
      <c r="A27747" s="48" t="s">
        <v>2208</v>
      </c>
      <c r="B27747" s="38">
        <v>55222.0</v>
      </c>
      <c r="C27747" s="38" t="s">
        <v>32210</v>
      </c>
      <c r="D27747" s="38" t="str">
        <f>IFERROR(__xludf.DUMMYFUNCTION("REGEXREPLACE(C27747,""-\d+(.*)|--\d+(.*)"","""")"),"GUSSAINVILLE")</f>
        <v>GUSSAINVILLE</v>
      </c>
      <c r="E27747" s="38" t="s">
        <v>322</v>
      </c>
      <c r="F27747" s="38" t="s">
        <v>195</v>
      </c>
      <c r="G27747" s="49" t="str">
        <f t="shared" si="1"/>
        <v>55400</v>
      </c>
      <c r="H27747" s="49">
        <f t="shared" si="2"/>
        <v>55222</v>
      </c>
    </row>
    <row r="27748">
      <c r="A27748" s="48" t="s">
        <v>32211</v>
      </c>
      <c r="B27748" s="38">
        <v>35033.0</v>
      </c>
      <c r="C27748" s="38" t="s">
        <v>32212</v>
      </c>
      <c r="D27748" s="38" t="str">
        <f>IFERROR(__xludf.DUMMYFUNCTION("REGEXREPLACE(C27748,""-\d+(.*)|--\d+(.*)"","""")"),"BOURG-DES-COMPTES")</f>
        <v>BOURG-DES-COMPTES</v>
      </c>
      <c r="E27748" s="38" t="s">
        <v>347</v>
      </c>
      <c r="F27748" s="38" t="s">
        <v>90</v>
      </c>
      <c r="G27748" s="49" t="str">
        <f t="shared" si="1"/>
        <v>35890</v>
      </c>
      <c r="H27748" s="49">
        <f t="shared" si="2"/>
        <v>35033</v>
      </c>
    </row>
    <row r="27749">
      <c r="A27749" s="48" t="s">
        <v>5281</v>
      </c>
      <c r="B27749" s="38">
        <v>25437.0</v>
      </c>
      <c r="C27749" s="38" t="s">
        <v>11223</v>
      </c>
      <c r="D27749" s="38" t="str">
        <f>IFERROR(__xludf.DUMMYFUNCTION("REGEXREPLACE(C27749,""-\d+(.*)|--\d+(.*)"","""")"),"OSSE")</f>
        <v>OSSE</v>
      </c>
      <c r="E27749" s="38" t="s">
        <v>213</v>
      </c>
      <c r="F27749" s="38" t="s">
        <v>214</v>
      </c>
      <c r="G27749" s="49" t="str">
        <f t="shared" si="1"/>
        <v>25360</v>
      </c>
      <c r="H27749" s="49">
        <f t="shared" si="2"/>
        <v>25437</v>
      </c>
    </row>
    <row r="27750">
      <c r="A27750" s="48" t="s">
        <v>717</v>
      </c>
      <c r="B27750" s="38">
        <v>31481.0</v>
      </c>
      <c r="C27750" s="38" t="s">
        <v>32213</v>
      </c>
      <c r="D27750" s="38" t="str">
        <f>IFERROR(__xludf.DUMMYFUNCTION("REGEXREPLACE(C27750,""-\d+(.*)|--\d+(.*)"","""")"),"SAINTE-FOY-DE-PEYROLIERES")</f>
        <v>SAINTE-FOY-DE-PEYROLIERES</v>
      </c>
      <c r="E27750" s="38" t="s">
        <v>93</v>
      </c>
      <c r="F27750" s="38" t="s">
        <v>94</v>
      </c>
      <c r="G27750" s="49" t="str">
        <f t="shared" si="1"/>
        <v>31470</v>
      </c>
      <c r="H27750" s="49">
        <f t="shared" si="2"/>
        <v>31481</v>
      </c>
    </row>
    <row r="27751">
      <c r="A27751" s="48" t="s">
        <v>1106</v>
      </c>
      <c r="B27751" s="38">
        <v>14013.0</v>
      </c>
      <c r="C27751" s="38" t="s">
        <v>32214</v>
      </c>
      <c r="D27751" s="38" t="str">
        <f>IFERROR(__xludf.DUMMYFUNCTION("REGEXREPLACE(C27751,""-\d+(.*)|--\d+(.*)"","""")"),"ANGOVILLE")</f>
        <v>ANGOVILLE</v>
      </c>
      <c r="E27751" s="38" t="s">
        <v>137</v>
      </c>
      <c r="F27751" s="38" t="s">
        <v>138</v>
      </c>
      <c r="G27751" s="49" t="str">
        <f t="shared" si="1"/>
        <v>14220</v>
      </c>
      <c r="H27751" s="49">
        <f t="shared" si="2"/>
        <v>14013</v>
      </c>
    </row>
    <row r="27752">
      <c r="A27752" s="48" t="s">
        <v>32215</v>
      </c>
      <c r="B27752" s="38">
        <v>6147.0</v>
      </c>
      <c r="C27752" s="38" t="s">
        <v>32216</v>
      </c>
      <c r="D27752" s="38" t="str">
        <f>IFERROR(__xludf.DUMMYFUNCTION("REGEXREPLACE(C27752,""-\d+(.*)|--\d+(.*)"","""")"),"TOURRETTE-LEVENS")</f>
        <v>TOURRETTE-LEVENS</v>
      </c>
      <c r="E27752" s="38" t="s">
        <v>227</v>
      </c>
      <c r="F27752" s="38" t="s">
        <v>228</v>
      </c>
      <c r="G27752" s="49" t="str">
        <f t="shared" si="1"/>
        <v>06690</v>
      </c>
      <c r="H27752" s="49" t="str">
        <f t="shared" si="2"/>
        <v>06147</v>
      </c>
    </row>
    <row r="27753">
      <c r="A27753" s="48" t="s">
        <v>1239</v>
      </c>
      <c r="B27753" s="38">
        <v>2014.0</v>
      </c>
      <c r="C27753" s="38" t="s">
        <v>32217</v>
      </c>
      <c r="D27753" s="38" t="str">
        <f>IFERROR(__xludf.DUMMYFUNCTION("REGEXREPLACE(C27753,""-\d+(.*)|--\d+(.*)"","""")"),"AMIGNY-ROUY")</f>
        <v>AMIGNY-ROUY</v>
      </c>
      <c r="E27753" s="38" t="s">
        <v>191</v>
      </c>
      <c r="F27753" s="38" t="s">
        <v>113</v>
      </c>
      <c r="G27753" s="49" t="str">
        <f t="shared" si="1"/>
        <v>02700</v>
      </c>
      <c r="H27753" s="49" t="str">
        <f t="shared" si="2"/>
        <v>02014</v>
      </c>
    </row>
    <row r="27754">
      <c r="A27754" s="48" t="s">
        <v>32218</v>
      </c>
      <c r="B27754" s="38">
        <v>75104.0</v>
      </c>
      <c r="C27754" s="38" t="s">
        <v>32219</v>
      </c>
      <c r="D27754" s="38" t="str">
        <f>IFERROR(__xludf.DUMMYFUNCTION("REGEXREPLACE(C27754,""-\d+(.*)|--\d+(.*)"","""")"),"PARIS")</f>
        <v>PARIS</v>
      </c>
      <c r="E27754" s="38" t="s">
        <v>823</v>
      </c>
      <c r="F27754" s="38" t="s">
        <v>245</v>
      </c>
      <c r="G27754" s="49" t="str">
        <f t="shared" si="1"/>
        <v>75004</v>
      </c>
      <c r="H27754" s="49">
        <f t="shared" si="2"/>
        <v>75104</v>
      </c>
    </row>
    <row r="27755">
      <c r="A27755" s="48" t="s">
        <v>2421</v>
      </c>
      <c r="B27755" s="38">
        <v>4085.0</v>
      </c>
      <c r="C27755" s="38" t="s">
        <v>32220</v>
      </c>
      <c r="D27755" s="38" t="str">
        <f>IFERROR(__xludf.DUMMYFUNCTION("REGEXREPLACE(C27755,""-\d+(.*)|--\d+(.*)"","""")"),"FAUCON-DU-CAIRE")</f>
        <v>FAUCON-DU-CAIRE</v>
      </c>
      <c r="E27755" s="38" t="s">
        <v>662</v>
      </c>
      <c r="F27755" s="38" t="s">
        <v>228</v>
      </c>
      <c r="G27755" s="49" t="str">
        <f t="shared" si="1"/>
        <v>04250</v>
      </c>
      <c r="H27755" s="49" t="str">
        <f t="shared" si="2"/>
        <v>04085</v>
      </c>
    </row>
    <row r="27756">
      <c r="A27756" s="48" t="s">
        <v>4612</v>
      </c>
      <c r="B27756" s="38">
        <v>3013.0</v>
      </c>
      <c r="C27756" s="38" t="s">
        <v>32221</v>
      </c>
      <c r="D27756" s="38" t="str">
        <f>IFERROR(__xludf.DUMMYFUNCTION("REGEXREPLACE(C27756,""-\d+(.*)|--\d+(.*)"","""")"),"AVERMES")</f>
        <v>AVERMES</v>
      </c>
      <c r="E27756" s="38" t="s">
        <v>160</v>
      </c>
      <c r="F27756" s="38" t="s">
        <v>161</v>
      </c>
      <c r="G27756" s="49" t="str">
        <f t="shared" si="1"/>
        <v>03000</v>
      </c>
      <c r="H27756" s="49" t="str">
        <f t="shared" si="2"/>
        <v>03013</v>
      </c>
    </row>
    <row r="27757">
      <c r="A27757" s="48" t="s">
        <v>2668</v>
      </c>
      <c r="B27757" s="38">
        <v>55124.0</v>
      </c>
      <c r="C27757" s="38" t="s">
        <v>32222</v>
      </c>
      <c r="D27757" s="38" t="str">
        <f>IFERROR(__xludf.DUMMYFUNCTION("REGEXREPLACE(C27757,""-\d+(.*)|--\d+(.*)"","""")"),"CONSENVOYE")</f>
        <v>CONSENVOYE</v>
      </c>
      <c r="E27757" s="38" t="s">
        <v>322</v>
      </c>
      <c r="F27757" s="38" t="s">
        <v>195</v>
      </c>
      <c r="G27757" s="49" t="str">
        <f t="shared" si="1"/>
        <v>55110</v>
      </c>
      <c r="H27757" s="49">
        <f t="shared" si="2"/>
        <v>55124</v>
      </c>
    </row>
    <row r="27758">
      <c r="A27758" s="48" t="s">
        <v>3675</v>
      </c>
      <c r="B27758" s="38">
        <v>58224.0</v>
      </c>
      <c r="C27758" s="38" t="s">
        <v>32223</v>
      </c>
      <c r="D27758" s="38" t="str">
        <f>IFERROR(__xludf.DUMMYFUNCTION("REGEXREPLACE(C27758,""-\d+(.*)|--\d+(.*)"","""")"),"RUAGES")</f>
        <v>RUAGES</v>
      </c>
      <c r="E27758" s="38" t="s">
        <v>219</v>
      </c>
      <c r="F27758" s="38" t="s">
        <v>106</v>
      </c>
      <c r="G27758" s="49" t="str">
        <f t="shared" si="1"/>
        <v>58190</v>
      </c>
      <c r="H27758" s="49">
        <f t="shared" si="2"/>
        <v>58224</v>
      </c>
    </row>
    <row r="27759">
      <c r="A27759" s="48" t="s">
        <v>32224</v>
      </c>
      <c r="B27759" s="38">
        <v>59263.0</v>
      </c>
      <c r="C27759" s="38" t="s">
        <v>32225</v>
      </c>
      <c r="D27759" s="38" t="str">
        <f>IFERROR(__xludf.DUMMYFUNCTION("REGEXREPLACE(C27759,""-\d+(.*)|--\d+(.*)"","""")"),"GOEULZIN")</f>
        <v>GOEULZIN</v>
      </c>
      <c r="E27759" s="38" t="s">
        <v>85</v>
      </c>
      <c r="F27759" s="38" t="s">
        <v>86</v>
      </c>
      <c r="G27759" s="49" t="str">
        <f t="shared" si="1"/>
        <v>59169</v>
      </c>
      <c r="H27759" s="49">
        <f t="shared" si="2"/>
        <v>59263</v>
      </c>
    </row>
    <row r="27760">
      <c r="A27760" s="48" t="s">
        <v>8711</v>
      </c>
      <c r="B27760" s="38">
        <v>33466.0</v>
      </c>
      <c r="C27760" s="38" t="s">
        <v>32226</v>
      </c>
      <c r="D27760" s="38" t="str">
        <f>IFERROR(__xludf.DUMMYFUNCTION("REGEXREPLACE(C27760,""-\d+(.*)|--\d+(.*)"","""")"),"SAINT-QUENTIN-DE-BARON")</f>
        <v>SAINT-QUENTIN-DE-BARON</v>
      </c>
      <c r="E27760" s="38" t="s">
        <v>462</v>
      </c>
      <c r="F27760" s="38" t="s">
        <v>252</v>
      </c>
      <c r="G27760" s="49" t="str">
        <f t="shared" si="1"/>
        <v>33750</v>
      </c>
      <c r="H27760" s="49">
        <f t="shared" si="2"/>
        <v>33466</v>
      </c>
    </row>
    <row r="27761">
      <c r="A27761" s="48" t="s">
        <v>5596</v>
      </c>
      <c r="B27761" s="38">
        <v>25583.0</v>
      </c>
      <c r="C27761" s="38" t="s">
        <v>32227</v>
      </c>
      <c r="D27761" s="38" t="str">
        <f>IFERROR(__xludf.DUMMYFUNCTION("REGEXREPLACE(C27761,""-\d+(.*)|--\d+(.*)"","""")"),"VALONNE")</f>
        <v>VALONNE</v>
      </c>
      <c r="E27761" s="38" t="s">
        <v>213</v>
      </c>
      <c r="F27761" s="38" t="s">
        <v>214</v>
      </c>
      <c r="G27761" s="49" t="str">
        <f t="shared" si="1"/>
        <v>25190</v>
      </c>
      <c r="H27761" s="49">
        <f t="shared" si="2"/>
        <v>25583</v>
      </c>
    </row>
    <row r="27762">
      <c r="A27762" s="48" t="s">
        <v>6078</v>
      </c>
      <c r="B27762" s="38">
        <v>10405.0</v>
      </c>
      <c r="C27762" s="38" t="s">
        <v>32228</v>
      </c>
      <c r="D27762" s="38" t="str">
        <f>IFERROR(__xludf.DUMMYFUNCTION("REGEXREPLACE(C27762,""-\d+(.*)|--\d+(.*)"","""")"),"VERRICOURT")</f>
        <v>VERRICOURT</v>
      </c>
      <c r="E27762" s="38" t="s">
        <v>147</v>
      </c>
      <c r="F27762" s="38" t="s">
        <v>130</v>
      </c>
      <c r="G27762" s="49" t="str">
        <f t="shared" si="1"/>
        <v>10240</v>
      </c>
      <c r="H27762" s="49">
        <f t="shared" si="2"/>
        <v>10405</v>
      </c>
    </row>
    <row r="27763">
      <c r="A27763" s="48" t="s">
        <v>4596</v>
      </c>
      <c r="B27763" s="38">
        <v>2412.0</v>
      </c>
      <c r="C27763" s="38" t="s">
        <v>32229</v>
      </c>
      <c r="D27763" s="38" t="str">
        <f>IFERROR(__xludf.DUMMYFUNCTION("REGEXREPLACE(C27763,""-\d+(.*)|--\d+(.*)"","""")"),"LAUNOY")</f>
        <v>LAUNOY</v>
      </c>
      <c r="E27763" s="38" t="s">
        <v>191</v>
      </c>
      <c r="F27763" s="38" t="s">
        <v>113</v>
      </c>
      <c r="G27763" s="49" t="str">
        <f t="shared" si="1"/>
        <v>02210</v>
      </c>
      <c r="H27763" s="49" t="str">
        <f t="shared" si="2"/>
        <v>02412</v>
      </c>
    </row>
    <row r="27764">
      <c r="A27764" s="48" t="s">
        <v>3377</v>
      </c>
      <c r="B27764" s="38">
        <v>62405.0</v>
      </c>
      <c r="C27764" s="38" t="s">
        <v>32230</v>
      </c>
      <c r="D27764" s="38" t="str">
        <f>IFERROR(__xludf.DUMMYFUNCTION("REGEXREPLACE(C27764,""-\d+(.*)|--\d+(.*)"","""")"),"HAMBLAIN-LES-PRES")</f>
        <v>HAMBLAIN-LES-PRES</v>
      </c>
      <c r="E27764" s="38" t="s">
        <v>109</v>
      </c>
      <c r="F27764" s="38" t="s">
        <v>86</v>
      </c>
      <c r="G27764" s="49" t="str">
        <f t="shared" si="1"/>
        <v>62118</v>
      </c>
      <c r="H27764" s="49">
        <f t="shared" si="2"/>
        <v>62405</v>
      </c>
    </row>
    <row r="27765">
      <c r="A27765" s="48" t="s">
        <v>32231</v>
      </c>
      <c r="B27765" s="38">
        <v>83050.0</v>
      </c>
      <c r="C27765" s="38" t="s">
        <v>32232</v>
      </c>
      <c r="D27765" s="38" t="str">
        <f>IFERROR(__xludf.DUMMYFUNCTION("REGEXREPLACE(C27765,""-\d+(.*)|--\d+(.*)"","""")"),"DRAGUIGNAN")</f>
        <v>DRAGUIGNAN</v>
      </c>
      <c r="E27765" s="38" t="s">
        <v>813</v>
      </c>
      <c r="F27765" s="38" t="s">
        <v>228</v>
      </c>
      <c r="G27765" s="49" t="str">
        <f t="shared" si="1"/>
        <v>83300</v>
      </c>
      <c r="H27765" s="49">
        <f t="shared" si="2"/>
        <v>83050</v>
      </c>
    </row>
    <row r="27766">
      <c r="A27766" s="48" t="s">
        <v>222</v>
      </c>
      <c r="B27766" s="38">
        <v>80470.0</v>
      </c>
      <c r="C27766" s="38" t="s">
        <v>32233</v>
      </c>
      <c r="D27766" s="38" t="str">
        <f>IFERROR(__xludf.DUMMYFUNCTION("REGEXREPLACE(C27766,""-\d+(.*)|--\d+(.*)"","""")"),"LEALVILLERS")</f>
        <v>LEALVILLERS</v>
      </c>
      <c r="E27766" s="38" t="s">
        <v>224</v>
      </c>
      <c r="F27766" s="38" t="s">
        <v>113</v>
      </c>
      <c r="G27766" s="49" t="str">
        <f t="shared" si="1"/>
        <v>80560</v>
      </c>
      <c r="H27766" s="49">
        <f t="shared" si="2"/>
        <v>80470</v>
      </c>
    </row>
    <row r="27767">
      <c r="A27767" s="48" t="s">
        <v>3759</v>
      </c>
      <c r="B27767" s="38">
        <v>17435.0</v>
      </c>
      <c r="C27767" s="38" t="s">
        <v>32234</v>
      </c>
      <c r="D27767" s="38" t="str">
        <f>IFERROR(__xludf.DUMMYFUNCTION("REGEXREPLACE(C27767,""-\d+(.*)|--\d+(.*)"","""")"),"TAILLANT")</f>
        <v>TAILLANT</v>
      </c>
      <c r="E27767" s="38" t="s">
        <v>488</v>
      </c>
      <c r="F27767" s="38" t="s">
        <v>338</v>
      </c>
      <c r="G27767" s="49" t="str">
        <f t="shared" si="1"/>
        <v>17350</v>
      </c>
      <c r="H27767" s="49">
        <f t="shared" si="2"/>
        <v>17435</v>
      </c>
    </row>
    <row r="27768">
      <c r="A27768" s="48" t="s">
        <v>1046</v>
      </c>
      <c r="B27768" s="38">
        <v>26020.0</v>
      </c>
      <c r="C27768" s="38" t="s">
        <v>32235</v>
      </c>
      <c r="D27768" s="38" t="str">
        <f>IFERROR(__xludf.DUMMYFUNCTION("REGEXREPLACE(C27768,""-\d+(.*)|--\d+(.*)"","""")"),"LA REPARA-AURIPLES")</f>
        <v>LA REPARA-AURIPLES</v>
      </c>
      <c r="E27768" s="38" t="s">
        <v>126</v>
      </c>
      <c r="F27768" s="38" t="s">
        <v>102</v>
      </c>
      <c r="G27768" s="49" t="str">
        <f t="shared" si="1"/>
        <v>26400</v>
      </c>
      <c r="H27768" s="49">
        <f t="shared" si="2"/>
        <v>26020</v>
      </c>
    </row>
    <row r="27769">
      <c r="A27769" s="48" t="s">
        <v>32236</v>
      </c>
      <c r="B27769" s="38">
        <v>33004.0</v>
      </c>
      <c r="C27769" s="38" t="s">
        <v>32237</v>
      </c>
      <c r="D27769" s="38" t="str">
        <f>IFERROR(__xludf.DUMMYFUNCTION("REGEXREPLACE(C27769,""-\d+(.*)|--\d+(.*)"","""")"),"AMBES")</f>
        <v>AMBES</v>
      </c>
      <c r="E27769" s="38" t="s">
        <v>462</v>
      </c>
      <c r="F27769" s="38" t="s">
        <v>252</v>
      </c>
      <c r="G27769" s="49" t="str">
        <f t="shared" si="1"/>
        <v>33810</v>
      </c>
      <c r="H27769" s="49">
        <f t="shared" si="2"/>
        <v>33004</v>
      </c>
    </row>
    <row r="27770">
      <c r="A27770" s="48" t="s">
        <v>2081</v>
      </c>
      <c r="B27770" s="38">
        <v>4086.0</v>
      </c>
      <c r="C27770" s="38" t="s">
        <v>32238</v>
      </c>
      <c r="D27770" s="38" t="str">
        <f>IFERROR(__xludf.DUMMYFUNCTION("REGEXREPLACE(C27770,""-\d+(.*)|--\d+(.*)"","""")"),"FAUCON-DE-BARCELONNETTE")</f>
        <v>FAUCON-DE-BARCELONNETTE</v>
      </c>
      <c r="E27770" s="38" t="s">
        <v>662</v>
      </c>
      <c r="F27770" s="38" t="s">
        <v>228</v>
      </c>
      <c r="G27770" s="49" t="str">
        <f t="shared" si="1"/>
        <v>04400</v>
      </c>
      <c r="H27770" s="49" t="str">
        <f t="shared" si="2"/>
        <v>04086</v>
      </c>
    </row>
    <row r="27771">
      <c r="A27771" s="48" t="s">
        <v>1108</v>
      </c>
      <c r="B27771" s="38">
        <v>27153.0</v>
      </c>
      <c r="C27771" s="38" t="s">
        <v>32239</v>
      </c>
      <c r="D27771" s="38" t="str">
        <f>IFERROR(__xludf.DUMMYFUNCTION("REGEXREPLACE(C27771,""-\d+(.*)|--\d+(.*)"","""")"),"CHAUVINCOURT-PROVEMONT")</f>
        <v>CHAUVINCOURT-PROVEMONT</v>
      </c>
      <c r="E27771" s="38" t="s">
        <v>241</v>
      </c>
      <c r="F27771" s="38" t="s">
        <v>134</v>
      </c>
      <c r="G27771" s="49" t="str">
        <f t="shared" si="1"/>
        <v>27150</v>
      </c>
      <c r="H27771" s="49">
        <f t="shared" si="2"/>
        <v>27153</v>
      </c>
    </row>
    <row r="27772">
      <c r="A27772" s="48" t="s">
        <v>1317</v>
      </c>
      <c r="B27772" s="38">
        <v>8117.0</v>
      </c>
      <c r="C27772" s="38" t="s">
        <v>32240</v>
      </c>
      <c r="D27772" s="38" t="str">
        <f>IFERROR(__xludf.DUMMYFUNCTION("REGEXREPLACE(C27772,""-\d+(.*)|--\d+(.*)"","""")"),"CHESNOIS-AUBONCOURT")</f>
        <v>CHESNOIS-AUBONCOURT</v>
      </c>
      <c r="E27772" s="38" t="s">
        <v>327</v>
      </c>
      <c r="F27772" s="38" t="s">
        <v>130</v>
      </c>
      <c r="G27772" s="49" t="str">
        <f t="shared" si="1"/>
        <v>08270</v>
      </c>
      <c r="H27772" s="49" t="str">
        <f t="shared" si="2"/>
        <v>08117</v>
      </c>
    </row>
    <row r="27773">
      <c r="A27773" s="48" t="s">
        <v>1632</v>
      </c>
      <c r="B27773" s="38">
        <v>63356.0</v>
      </c>
      <c r="C27773" s="38" t="s">
        <v>32241</v>
      </c>
      <c r="D27773" s="38" t="str">
        <f>IFERROR(__xludf.DUMMYFUNCTION("REGEXREPLACE(C27773,""-\d+(.*)|--\d+(.*)"","""")"),"SAINT-GERVAZY")</f>
        <v>SAINT-GERVAZY</v>
      </c>
      <c r="E27773" s="38" t="s">
        <v>353</v>
      </c>
      <c r="F27773" s="38" t="s">
        <v>161</v>
      </c>
      <c r="G27773" s="49" t="str">
        <f t="shared" si="1"/>
        <v>63340</v>
      </c>
      <c r="H27773" s="49">
        <f t="shared" si="2"/>
        <v>63356</v>
      </c>
    </row>
    <row r="27774">
      <c r="A27774" s="48" t="s">
        <v>993</v>
      </c>
      <c r="B27774" s="38">
        <v>73008.0</v>
      </c>
      <c r="C27774" s="38" t="s">
        <v>32242</v>
      </c>
      <c r="D27774" s="38" t="str">
        <f>IFERROR(__xludf.DUMMYFUNCTION("REGEXREPLACE(C27774,""-\d+(.*)|--\d+(.*)"","""")"),"AIX-LES-BAINS")</f>
        <v>AIX-LES-BAINS</v>
      </c>
      <c r="E27774" s="38" t="s">
        <v>306</v>
      </c>
      <c r="F27774" s="38" t="s">
        <v>102</v>
      </c>
      <c r="G27774" s="49" t="str">
        <f t="shared" si="1"/>
        <v>73100</v>
      </c>
      <c r="H27774" s="49">
        <f t="shared" si="2"/>
        <v>73008</v>
      </c>
    </row>
    <row r="27775">
      <c r="A27775" s="48" t="s">
        <v>320</v>
      </c>
      <c r="B27775" s="38">
        <v>55038.0</v>
      </c>
      <c r="C27775" s="38" t="s">
        <v>32243</v>
      </c>
      <c r="D27775" s="38" t="str">
        <f>IFERROR(__xludf.DUMMYFUNCTION("REGEXREPLACE(C27775,""-\d+(.*)|--\d+(.*)"","""")"),"BEAULIEU-EN-ARGONNE")</f>
        <v>BEAULIEU-EN-ARGONNE</v>
      </c>
      <c r="E27775" s="38" t="s">
        <v>322</v>
      </c>
      <c r="F27775" s="38" t="s">
        <v>195</v>
      </c>
      <c r="G27775" s="49" t="str">
        <f t="shared" si="1"/>
        <v>55250</v>
      </c>
      <c r="H27775" s="49">
        <f t="shared" si="2"/>
        <v>55038</v>
      </c>
    </row>
    <row r="27776">
      <c r="A27776" s="48" t="s">
        <v>7188</v>
      </c>
      <c r="B27776" s="38">
        <v>11412.0</v>
      </c>
      <c r="C27776" s="38" t="s">
        <v>32244</v>
      </c>
      <c r="D27776" s="38" t="str">
        <f>IFERROR(__xludf.DUMMYFUNCTION("REGEXREPLACE(C27776,""-\d+(.*)|--\d+(.*)"","""")"),"VILLARDEBELLE")</f>
        <v>VILLARDEBELLE</v>
      </c>
      <c r="E27776" s="38" t="s">
        <v>278</v>
      </c>
      <c r="F27776" s="38" t="s">
        <v>119</v>
      </c>
      <c r="G27776" s="49" t="str">
        <f t="shared" si="1"/>
        <v>11580</v>
      </c>
      <c r="H27776" s="49">
        <f t="shared" si="2"/>
        <v>11412</v>
      </c>
    </row>
    <row r="27777">
      <c r="A27777" s="48" t="s">
        <v>1404</v>
      </c>
      <c r="B27777" s="38">
        <v>30049.0</v>
      </c>
      <c r="C27777" s="38" t="s">
        <v>32245</v>
      </c>
      <c r="D27777" s="38" t="str">
        <f>IFERROR(__xludf.DUMMYFUNCTION("REGEXREPLACE(C27777,""-\d+(.*)|--\d+(.*)"","""")"),"BOURDIC")</f>
        <v>BOURDIC</v>
      </c>
      <c r="E27777" s="38" t="s">
        <v>526</v>
      </c>
      <c r="F27777" s="38" t="s">
        <v>119</v>
      </c>
      <c r="G27777" s="49" t="str">
        <f t="shared" si="1"/>
        <v>30190</v>
      </c>
      <c r="H27777" s="49">
        <f t="shared" si="2"/>
        <v>30049</v>
      </c>
    </row>
    <row r="27778">
      <c r="A27778" s="48" t="s">
        <v>7954</v>
      </c>
      <c r="B27778" s="38">
        <v>40113.0</v>
      </c>
      <c r="C27778" s="38" t="s">
        <v>32246</v>
      </c>
      <c r="D27778" s="38" t="str">
        <f>IFERROR(__xludf.DUMMYFUNCTION("REGEXREPLACE(C27778,""-\d+(.*)|--\d+(.*)"","""")"),"GOOS")</f>
        <v>GOOS</v>
      </c>
      <c r="E27778" s="38" t="s">
        <v>281</v>
      </c>
      <c r="F27778" s="38" t="s">
        <v>252</v>
      </c>
      <c r="G27778" s="49" t="str">
        <f t="shared" si="1"/>
        <v>40180</v>
      </c>
      <c r="H27778" s="49">
        <f t="shared" si="2"/>
        <v>40113</v>
      </c>
    </row>
    <row r="27779">
      <c r="A27779" s="48" t="s">
        <v>3422</v>
      </c>
      <c r="B27779" s="38">
        <v>32407.0</v>
      </c>
      <c r="C27779" s="38" t="s">
        <v>32247</v>
      </c>
      <c r="D27779" s="38" t="str">
        <f>IFERROR(__xludf.DUMMYFUNCTION("REGEXREPLACE(C27779,""-\d+(.*)|--\d+(.*)"","""")"),"SAINT-SOULAN")</f>
        <v>SAINT-SOULAN</v>
      </c>
      <c r="E27779" s="38" t="s">
        <v>440</v>
      </c>
      <c r="F27779" s="38" t="s">
        <v>94</v>
      </c>
      <c r="G27779" s="49" t="str">
        <f t="shared" si="1"/>
        <v>32220</v>
      </c>
      <c r="H27779" s="49">
        <f t="shared" si="2"/>
        <v>32407</v>
      </c>
    </row>
    <row r="27780">
      <c r="A27780" s="48" t="s">
        <v>2853</v>
      </c>
      <c r="B27780" s="38">
        <v>36218.0</v>
      </c>
      <c r="C27780" s="38" t="s">
        <v>12421</v>
      </c>
      <c r="D27780" s="38" t="str">
        <f>IFERROR(__xludf.DUMMYFUNCTION("REGEXREPLACE(C27780,""-\d+(.*)|--\d+(.*)"","""")"),"SOUGE")</f>
        <v>SOUGE</v>
      </c>
      <c r="E27780" s="38" t="s">
        <v>258</v>
      </c>
      <c r="F27780" s="38" t="s">
        <v>123</v>
      </c>
      <c r="G27780" s="49" t="str">
        <f t="shared" si="1"/>
        <v>36500</v>
      </c>
      <c r="H27780" s="49">
        <f t="shared" si="2"/>
        <v>36218</v>
      </c>
    </row>
    <row r="27781">
      <c r="A27781" s="48" t="s">
        <v>18565</v>
      </c>
      <c r="B27781" s="38">
        <v>29170.0</v>
      </c>
      <c r="C27781" s="38" t="s">
        <v>32248</v>
      </c>
      <c r="D27781" s="38" t="str">
        <f>IFERROR(__xludf.DUMMYFUNCTION("REGEXREPLACE(C27781,""-\d+(.*)|--\d+(.*)"","""")"),"PLOMELIN")</f>
        <v>PLOMELIN</v>
      </c>
      <c r="E27781" s="38" t="s">
        <v>176</v>
      </c>
      <c r="F27781" s="38" t="s">
        <v>90</v>
      </c>
      <c r="G27781" s="49" t="str">
        <f t="shared" si="1"/>
        <v>29700</v>
      </c>
      <c r="H27781" s="49">
        <f t="shared" si="2"/>
        <v>29170</v>
      </c>
    </row>
    <row r="27782">
      <c r="A27782" s="48" t="s">
        <v>4923</v>
      </c>
      <c r="B27782" s="38">
        <v>61307.0</v>
      </c>
      <c r="C27782" s="38" t="s">
        <v>32249</v>
      </c>
      <c r="D27782" s="38" t="str">
        <f>IFERROR(__xludf.DUMMYFUNCTION("REGEXREPLACE(C27782,""-\d+(.*)|--\d+(.*)"","""")"),"NEUVILLE-SUR-TOUQUES")</f>
        <v>NEUVILLE-SUR-TOUQUES</v>
      </c>
      <c r="E27782" s="38" t="s">
        <v>141</v>
      </c>
      <c r="F27782" s="38" t="s">
        <v>138</v>
      </c>
      <c r="G27782" s="49" t="str">
        <f t="shared" si="1"/>
        <v>61120</v>
      </c>
      <c r="H27782" s="49">
        <f t="shared" si="2"/>
        <v>61307</v>
      </c>
    </row>
    <row r="27783">
      <c r="A27783" s="48" t="s">
        <v>32231</v>
      </c>
      <c r="B27783" s="38">
        <v>83038.0</v>
      </c>
      <c r="C27783" s="38" t="s">
        <v>32250</v>
      </c>
      <c r="D27783" s="38" t="str">
        <f>IFERROR(__xludf.DUMMYFUNCTION("REGEXREPLACE(C27783,""-\d+(.*)|--\d+(.*)"","""")"),"CHATEAUDOUBLE")</f>
        <v>CHATEAUDOUBLE</v>
      </c>
      <c r="E27783" s="38" t="s">
        <v>813</v>
      </c>
      <c r="F27783" s="38" t="s">
        <v>228</v>
      </c>
      <c r="G27783" s="49" t="str">
        <f t="shared" si="1"/>
        <v>83300</v>
      </c>
      <c r="H27783" s="49">
        <f t="shared" si="2"/>
        <v>83038</v>
      </c>
    </row>
    <row r="27784">
      <c r="A27784" s="48" t="s">
        <v>489</v>
      </c>
      <c r="B27784" s="38">
        <v>9255.0</v>
      </c>
      <c r="C27784" s="38" t="s">
        <v>18166</v>
      </c>
      <c r="D27784" s="38" t="str">
        <f>IFERROR(__xludf.DUMMYFUNCTION("REGEXREPLACE(C27784,""-\d+(.*)|--\d+(.*)"","""")"),"SAINT-AMANS")</f>
        <v>SAINT-AMANS</v>
      </c>
      <c r="E27784" s="38" t="s">
        <v>238</v>
      </c>
      <c r="F27784" s="38" t="s">
        <v>94</v>
      </c>
      <c r="G27784" s="49" t="str">
        <f t="shared" si="1"/>
        <v>09100</v>
      </c>
      <c r="H27784" s="49" t="str">
        <f t="shared" si="2"/>
        <v>09255</v>
      </c>
    </row>
    <row r="27785">
      <c r="A27785" s="48" t="s">
        <v>3920</v>
      </c>
      <c r="B27785" s="38">
        <v>50534.0</v>
      </c>
      <c r="C27785" s="38" t="s">
        <v>23380</v>
      </c>
      <c r="D27785" s="38" t="str">
        <f>IFERROR(__xludf.DUMMYFUNCTION("REGEXREPLACE(C27785,""-\d+(.*)|--\d+(.*)"","""")"),"SAINT-PELLERIN")</f>
        <v>SAINT-PELLERIN</v>
      </c>
      <c r="E27785" s="38" t="s">
        <v>157</v>
      </c>
      <c r="F27785" s="38" t="s">
        <v>138</v>
      </c>
      <c r="G27785" s="49" t="str">
        <f t="shared" si="1"/>
        <v>50500</v>
      </c>
      <c r="H27785" s="49">
        <f t="shared" si="2"/>
        <v>50534</v>
      </c>
    </row>
    <row r="27786">
      <c r="A27786" s="48" t="s">
        <v>142</v>
      </c>
      <c r="B27786" s="38">
        <v>7214.0</v>
      </c>
      <c r="C27786" s="38" t="s">
        <v>32251</v>
      </c>
      <c r="D27786" s="38" t="str">
        <f>IFERROR(__xludf.DUMMYFUNCTION("REGEXREPLACE(C27786,""-\d+(.*)|--\d+(.*)"","""")"),"SAINT-APOLLINAIRE-DE-RIAS")</f>
        <v>SAINT-APOLLINAIRE-DE-RIAS</v>
      </c>
      <c r="E27786" s="38" t="s">
        <v>144</v>
      </c>
      <c r="F27786" s="38" t="s">
        <v>102</v>
      </c>
      <c r="G27786" s="49" t="str">
        <f t="shared" si="1"/>
        <v>07240</v>
      </c>
      <c r="H27786" s="49" t="str">
        <f t="shared" si="2"/>
        <v>07214</v>
      </c>
    </row>
    <row r="27787">
      <c r="A27787" s="48" t="s">
        <v>7622</v>
      </c>
      <c r="B27787" s="38">
        <v>10343.0</v>
      </c>
      <c r="C27787" s="38" t="s">
        <v>32252</v>
      </c>
      <c r="D27787" s="38" t="str">
        <f>IFERROR(__xludf.DUMMYFUNCTION("REGEXREPLACE(C27787,""-\d+(.*)|--\d+(.*)"","""")"),"SAINT-JULIEN-LES-VILLAS")</f>
        <v>SAINT-JULIEN-LES-VILLAS</v>
      </c>
      <c r="E27787" s="38" t="s">
        <v>147</v>
      </c>
      <c r="F27787" s="38" t="s">
        <v>130</v>
      </c>
      <c r="G27787" s="49" t="str">
        <f t="shared" si="1"/>
        <v>10800</v>
      </c>
      <c r="H27787" s="49">
        <f t="shared" si="2"/>
        <v>10343</v>
      </c>
    </row>
    <row r="27788">
      <c r="A27788" s="48" t="s">
        <v>966</v>
      </c>
      <c r="B27788" s="38">
        <v>70444.0</v>
      </c>
      <c r="C27788" s="38" t="s">
        <v>32253</v>
      </c>
      <c r="D27788" s="38" t="str">
        <f>IFERROR(__xludf.DUMMYFUNCTION("REGEXREPLACE(C27788,""-\d+(.*)|--\d+(.*)"","""")"),"LA RESIE-SAINT-MARTIN")</f>
        <v>LA RESIE-SAINT-MARTIN</v>
      </c>
      <c r="E27788" s="38" t="s">
        <v>956</v>
      </c>
      <c r="F27788" s="38" t="s">
        <v>214</v>
      </c>
      <c r="G27788" s="49" t="str">
        <f t="shared" si="1"/>
        <v>70140</v>
      </c>
      <c r="H27788" s="49">
        <f t="shared" si="2"/>
        <v>70444</v>
      </c>
    </row>
    <row r="27789">
      <c r="A27789" s="48" t="s">
        <v>1241</v>
      </c>
      <c r="B27789" s="38">
        <v>71302.0</v>
      </c>
      <c r="C27789" s="38" t="s">
        <v>32254</v>
      </c>
      <c r="D27789" s="38" t="str">
        <f>IFERROR(__xludf.DUMMYFUNCTION("REGEXREPLACE(C27789,""-\d+(.*)|--\d+(.*)"","""")"),"MONTAGNY-LES-BUXY")</f>
        <v>MONTAGNY-LES-BUXY</v>
      </c>
      <c r="E27789" s="38" t="s">
        <v>344</v>
      </c>
      <c r="F27789" s="38" t="s">
        <v>106</v>
      </c>
      <c r="G27789" s="49" t="str">
        <f t="shared" si="1"/>
        <v>71390</v>
      </c>
      <c r="H27789" s="49">
        <f t="shared" si="2"/>
        <v>71302</v>
      </c>
    </row>
    <row r="27790">
      <c r="A27790" s="48" t="s">
        <v>4129</v>
      </c>
      <c r="B27790" s="38">
        <v>3073.0</v>
      </c>
      <c r="C27790" s="38" t="s">
        <v>955</v>
      </c>
      <c r="D27790" s="38" t="str">
        <f>IFERROR(__xludf.DUMMYFUNCTION("REGEXREPLACE(C27790,""-\d+(.*)|--\d+(.*)"","""")"),"CHEMILLY")</f>
        <v>CHEMILLY</v>
      </c>
      <c r="E27790" s="38" t="s">
        <v>160</v>
      </c>
      <c r="F27790" s="38" t="s">
        <v>161</v>
      </c>
      <c r="G27790" s="49" t="str">
        <f t="shared" si="1"/>
        <v>03210</v>
      </c>
      <c r="H27790" s="49" t="str">
        <f t="shared" si="2"/>
        <v>03073</v>
      </c>
    </row>
    <row r="27791">
      <c r="A27791" s="48" t="s">
        <v>28593</v>
      </c>
      <c r="B27791" s="38">
        <v>15091.0</v>
      </c>
      <c r="C27791" s="38" t="s">
        <v>32255</v>
      </c>
      <c r="D27791" s="38" t="str">
        <f>IFERROR(__xludf.DUMMYFUNCTION("REGEXREPLACE(C27791,""-\d+(.*)|--\d+(.*)"","""")"),"LANDEYRAT")</f>
        <v>LANDEYRAT</v>
      </c>
      <c r="E27791" s="38" t="s">
        <v>632</v>
      </c>
      <c r="F27791" s="38" t="s">
        <v>161</v>
      </c>
      <c r="G27791" s="49" t="str">
        <f t="shared" si="1"/>
        <v>15160</v>
      </c>
      <c r="H27791" s="49">
        <f t="shared" si="2"/>
        <v>15091</v>
      </c>
    </row>
    <row r="27792">
      <c r="A27792" s="48" t="s">
        <v>14940</v>
      </c>
      <c r="B27792" s="38">
        <v>17102.0</v>
      </c>
      <c r="C27792" s="38" t="s">
        <v>32256</v>
      </c>
      <c r="D27792" s="38" t="str">
        <f>IFERROR(__xludf.DUMMYFUNCTION("REGEXREPLACE(C27792,""-\d+(.*)|--\d+(.*)"","""")"),"CHERMIGNAC")</f>
        <v>CHERMIGNAC</v>
      </c>
      <c r="E27792" s="38" t="s">
        <v>488</v>
      </c>
      <c r="F27792" s="38" t="s">
        <v>338</v>
      </c>
      <c r="G27792" s="49" t="str">
        <f t="shared" si="1"/>
        <v>17460</v>
      </c>
      <c r="H27792" s="49">
        <f t="shared" si="2"/>
        <v>17102</v>
      </c>
    </row>
    <row r="27793">
      <c r="A27793" s="48" t="s">
        <v>2730</v>
      </c>
      <c r="B27793" s="38">
        <v>22202.0</v>
      </c>
      <c r="C27793" s="38" t="s">
        <v>32257</v>
      </c>
      <c r="D27793" s="38" t="str">
        <f>IFERROR(__xludf.DUMMYFUNCTION("REGEXREPLACE(C27793,""-\d+(.*)|--\d+(.*)"","""")"),"PLEVIN")</f>
        <v>PLEVIN</v>
      </c>
      <c r="E27793" s="38" t="s">
        <v>89</v>
      </c>
      <c r="F27793" s="38" t="s">
        <v>90</v>
      </c>
      <c r="G27793" s="49" t="str">
        <f t="shared" si="1"/>
        <v>22340</v>
      </c>
      <c r="H27793" s="49">
        <f t="shared" si="2"/>
        <v>22202</v>
      </c>
    </row>
    <row r="27794">
      <c r="A27794" s="48" t="s">
        <v>5362</v>
      </c>
      <c r="B27794" s="38">
        <v>81317.0</v>
      </c>
      <c r="C27794" s="38" t="s">
        <v>32258</v>
      </c>
      <c r="D27794" s="38" t="str">
        <f>IFERROR(__xludf.DUMMYFUNCTION("REGEXREPLACE(C27794,""-\d+(.*)|--\d+(.*)"","""")"),"VILLEFRANCHE-D'ALBIGEOIS")</f>
        <v>VILLEFRANCHE-D'ALBIGEOIS</v>
      </c>
      <c r="E27794" s="38" t="s">
        <v>231</v>
      </c>
      <c r="F27794" s="38" t="s">
        <v>94</v>
      </c>
      <c r="G27794" s="49" t="str">
        <f t="shared" si="1"/>
        <v>81430</v>
      </c>
      <c r="H27794" s="49">
        <f t="shared" si="2"/>
        <v>81317</v>
      </c>
    </row>
    <row r="27795">
      <c r="A27795" s="48" t="s">
        <v>6060</v>
      </c>
      <c r="B27795" s="38">
        <v>37067.0</v>
      </c>
      <c r="C27795" s="38" t="s">
        <v>32259</v>
      </c>
      <c r="D27795" s="38" t="str">
        <f>IFERROR(__xludf.DUMMYFUNCTION("REGEXREPLACE(C27795,""-\d+(.*)|--\d+(.*)"","""")"),"CHEILLE")</f>
        <v>CHEILLE</v>
      </c>
      <c r="E27795" s="38" t="s">
        <v>205</v>
      </c>
      <c r="F27795" s="38" t="s">
        <v>123</v>
      </c>
      <c r="G27795" s="49" t="str">
        <f t="shared" si="1"/>
        <v>37190</v>
      </c>
      <c r="H27795" s="49">
        <f t="shared" si="2"/>
        <v>37067</v>
      </c>
    </row>
    <row r="27796">
      <c r="A27796" s="48" t="s">
        <v>2254</v>
      </c>
      <c r="B27796" s="38">
        <v>62223.0</v>
      </c>
      <c r="C27796" s="38" t="s">
        <v>9508</v>
      </c>
      <c r="D27796" s="38" t="str">
        <f>IFERROR(__xludf.DUMMYFUNCTION("REGEXREPLACE(C27796,""-\d+(.*)|--\d+(.*)"","""")"),"CHERISY")</f>
        <v>CHERISY</v>
      </c>
      <c r="E27796" s="38" t="s">
        <v>109</v>
      </c>
      <c r="F27796" s="38" t="s">
        <v>86</v>
      </c>
      <c r="G27796" s="49" t="str">
        <f t="shared" si="1"/>
        <v>62128</v>
      </c>
      <c r="H27796" s="49">
        <f t="shared" si="2"/>
        <v>62223</v>
      </c>
    </row>
    <row r="27797">
      <c r="A27797" s="48" t="s">
        <v>1295</v>
      </c>
      <c r="B27797" s="38">
        <v>57517.0</v>
      </c>
      <c r="C27797" s="38" t="s">
        <v>32260</v>
      </c>
      <c r="D27797" s="38" t="str">
        <f>IFERROR(__xludf.DUMMYFUNCTION("REGEXREPLACE(C27797,""-\d+(.*)|--\d+(.*)"","""")"),"OBERGAILBACH")</f>
        <v>OBERGAILBACH</v>
      </c>
      <c r="E27797" s="38" t="s">
        <v>303</v>
      </c>
      <c r="F27797" s="38" t="s">
        <v>195</v>
      </c>
      <c r="G27797" s="49" t="str">
        <f t="shared" si="1"/>
        <v>57720</v>
      </c>
      <c r="H27797" s="49">
        <f t="shared" si="2"/>
        <v>57517</v>
      </c>
    </row>
    <row r="27798">
      <c r="A27798" s="48" t="s">
        <v>2949</v>
      </c>
      <c r="B27798" s="38">
        <v>27431.0</v>
      </c>
      <c r="C27798" s="38" t="s">
        <v>32261</v>
      </c>
      <c r="D27798" s="38" t="str">
        <f>IFERROR(__xludf.DUMMYFUNCTION("REGEXREPLACE(C27798,""-\d+(.*)|--\d+(.*)"","""")"),"LA NEUVE-LYRE")</f>
        <v>LA NEUVE-LYRE</v>
      </c>
      <c r="E27798" s="38" t="s">
        <v>241</v>
      </c>
      <c r="F27798" s="38" t="s">
        <v>134</v>
      </c>
      <c r="G27798" s="49" t="str">
        <f t="shared" si="1"/>
        <v>27330</v>
      </c>
      <c r="H27798" s="49">
        <f t="shared" si="2"/>
        <v>27431</v>
      </c>
    </row>
    <row r="27799">
      <c r="A27799" s="48" t="s">
        <v>7245</v>
      </c>
      <c r="B27799" s="38">
        <v>53162.0</v>
      </c>
      <c r="C27799" s="38" t="s">
        <v>32262</v>
      </c>
      <c r="D27799" s="38" t="str">
        <f>IFERROR(__xludf.DUMMYFUNCTION("REGEXREPLACE(C27799,""-\d+(.*)|--\d+(.*)"","""")"),"MOULAY")</f>
        <v>MOULAY</v>
      </c>
      <c r="E27799" s="38" t="s">
        <v>518</v>
      </c>
      <c r="F27799" s="38" t="s">
        <v>180</v>
      </c>
      <c r="G27799" s="49" t="str">
        <f t="shared" si="1"/>
        <v>53100</v>
      </c>
      <c r="H27799" s="49">
        <f t="shared" si="2"/>
        <v>53162</v>
      </c>
    </row>
    <row r="27800">
      <c r="A27800" s="48" t="s">
        <v>1669</v>
      </c>
      <c r="B27800" s="38">
        <v>21053.0</v>
      </c>
      <c r="C27800" s="38" t="s">
        <v>32263</v>
      </c>
      <c r="D27800" s="38" t="str">
        <f>IFERROR(__xludf.DUMMYFUNCTION("REGEXREPLACE(C27800,""-\d+(.*)|--\d+(.*)"","""")"),"BEAUMONT-SUR-VINGEANNE")</f>
        <v>BEAUMONT-SUR-VINGEANNE</v>
      </c>
      <c r="E27800" s="38" t="s">
        <v>105</v>
      </c>
      <c r="F27800" s="38" t="s">
        <v>106</v>
      </c>
      <c r="G27800" s="49" t="str">
        <f t="shared" si="1"/>
        <v>21310</v>
      </c>
      <c r="H27800" s="49">
        <f t="shared" si="2"/>
        <v>21053</v>
      </c>
    </row>
    <row r="27801">
      <c r="A27801" s="48" t="s">
        <v>9345</v>
      </c>
      <c r="B27801" s="38">
        <v>22074.0</v>
      </c>
      <c r="C27801" s="38" t="s">
        <v>32264</v>
      </c>
      <c r="D27801" s="38" t="str">
        <f>IFERROR(__xludf.DUMMYFUNCTION("REGEXREPLACE(C27801,""-\d+(.*)|--\d+(.*)"","""")"),"LE HAUT-CORLAY")</f>
        <v>LE HAUT-CORLAY</v>
      </c>
      <c r="E27801" s="38" t="s">
        <v>89</v>
      </c>
      <c r="F27801" s="38" t="s">
        <v>90</v>
      </c>
      <c r="G27801" s="49" t="str">
        <f t="shared" si="1"/>
        <v>22320</v>
      </c>
      <c r="H27801" s="49">
        <f t="shared" si="2"/>
        <v>22074</v>
      </c>
    </row>
    <row r="27802">
      <c r="A27802" s="48" t="s">
        <v>4252</v>
      </c>
      <c r="B27802" s="38">
        <v>77111.0</v>
      </c>
      <c r="C27802" s="38" t="s">
        <v>25766</v>
      </c>
      <c r="D27802" s="38" t="str">
        <f>IFERROR(__xludf.DUMMYFUNCTION("REGEXREPLACE(C27802,""-\d+(.*)|--\d+(.*)"","""")"),"CHESSY")</f>
        <v>CHESSY</v>
      </c>
      <c r="E27802" s="38" t="s">
        <v>244</v>
      </c>
      <c r="F27802" s="38" t="s">
        <v>245</v>
      </c>
      <c r="G27802" s="49" t="str">
        <f t="shared" si="1"/>
        <v>77700</v>
      </c>
      <c r="H27802" s="49">
        <f t="shared" si="2"/>
        <v>77111</v>
      </c>
    </row>
    <row r="27803">
      <c r="A27803" s="48" t="s">
        <v>571</v>
      </c>
      <c r="B27803" s="38">
        <v>55391.0</v>
      </c>
      <c r="C27803" s="38" t="s">
        <v>32265</v>
      </c>
      <c r="D27803" s="38" t="str">
        <f>IFERROR(__xludf.DUMMYFUNCTION("REGEXREPLACE(C27803,""-\d+(.*)|--\d+(.*)"","""")"),"OLIZY-SUR-CHIERS")</f>
        <v>OLIZY-SUR-CHIERS</v>
      </c>
      <c r="E27803" s="38" t="s">
        <v>322</v>
      </c>
      <c r="F27803" s="38" t="s">
        <v>195</v>
      </c>
      <c r="G27803" s="49" t="str">
        <f t="shared" si="1"/>
        <v>55700</v>
      </c>
      <c r="H27803" s="49">
        <f t="shared" si="2"/>
        <v>55391</v>
      </c>
    </row>
    <row r="27804">
      <c r="A27804" s="48" t="s">
        <v>13080</v>
      </c>
      <c r="B27804" s="38">
        <v>71183.0</v>
      </c>
      <c r="C27804" s="38" t="s">
        <v>32266</v>
      </c>
      <c r="D27804" s="38" t="str">
        <f>IFERROR(__xludf.DUMMYFUNCTION("REGEXREPLACE(C27804,""-\d+(.*)|--\d+(.*)"","""")"),"DRACY-LES-COUCHES")</f>
        <v>DRACY-LES-COUCHES</v>
      </c>
      <c r="E27804" s="38" t="s">
        <v>344</v>
      </c>
      <c r="F27804" s="38" t="s">
        <v>106</v>
      </c>
      <c r="G27804" s="49" t="str">
        <f t="shared" si="1"/>
        <v>71490</v>
      </c>
      <c r="H27804" s="49">
        <f t="shared" si="2"/>
        <v>71183</v>
      </c>
    </row>
    <row r="27805">
      <c r="A27805" s="48" t="s">
        <v>32267</v>
      </c>
      <c r="B27805" s="38">
        <v>67182.0</v>
      </c>
      <c r="C27805" s="38" t="s">
        <v>32268</v>
      </c>
      <c r="D27805" s="38" t="str">
        <f>IFERROR(__xludf.DUMMYFUNCTION("REGEXREPLACE(C27805,""-\d+(.*)|--\d+(.*)"","""")"),"HANGENBIETEN")</f>
        <v>HANGENBIETEN</v>
      </c>
      <c r="E27805" s="38" t="s">
        <v>210</v>
      </c>
      <c r="F27805" s="38" t="s">
        <v>151</v>
      </c>
      <c r="G27805" s="49" t="str">
        <f t="shared" si="1"/>
        <v>67980</v>
      </c>
      <c r="H27805" s="49">
        <f t="shared" si="2"/>
        <v>67182</v>
      </c>
    </row>
    <row r="27806">
      <c r="A27806" s="48" t="s">
        <v>3831</v>
      </c>
      <c r="B27806" s="38">
        <v>63269.0</v>
      </c>
      <c r="C27806" s="38" t="s">
        <v>32269</v>
      </c>
      <c r="D27806" s="38" t="str">
        <f>IFERROR(__xludf.DUMMYFUNCTION("REGEXREPLACE(C27806,""-\d+(.*)|--\d+(.*)"","""")"),"PARENT")</f>
        <v>PARENT</v>
      </c>
      <c r="E27806" s="38" t="s">
        <v>353</v>
      </c>
      <c r="F27806" s="38" t="s">
        <v>161</v>
      </c>
      <c r="G27806" s="49" t="str">
        <f t="shared" si="1"/>
        <v>63270</v>
      </c>
      <c r="H27806" s="49">
        <f t="shared" si="2"/>
        <v>63269</v>
      </c>
    </row>
    <row r="27807">
      <c r="A27807" s="48" t="s">
        <v>10904</v>
      </c>
      <c r="B27807" s="38">
        <v>74110.0</v>
      </c>
      <c r="C27807" s="38" t="s">
        <v>32270</v>
      </c>
      <c r="D27807" s="38" t="str">
        <f>IFERROR(__xludf.DUMMYFUNCTION("REGEXREPLACE(C27807,""-\d+(.*)|--\d+(.*)"","""")"),"ENTREMONT")</f>
        <v>ENTREMONT</v>
      </c>
      <c r="E27807" s="38" t="s">
        <v>319</v>
      </c>
      <c r="F27807" s="38" t="s">
        <v>102</v>
      </c>
      <c r="G27807" s="49" t="str">
        <f t="shared" si="1"/>
        <v>74130</v>
      </c>
      <c r="H27807" s="49">
        <f t="shared" si="2"/>
        <v>74110</v>
      </c>
    </row>
    <row r="27808">
      <c r="A27808" s="48" t="s">
        <v>120</v>
      </c>
      <c r="B27808" s="38">
        <v>45115.0</v>
      </c>
      <c r="C27808" s="38" t="s">
        <v>32271</v>
      </c>
      <c r="D27808" s="38" t="str">
        <f>IFERROR(__xludf.DUMMYFUNCTION("REGEXREPLACE(C27808,""-\d+(.*)|--\d+(.*)"","""")"),"COURTENAY")</f>
        <v>COURTENAY</v>
      </c>
      <c r="E27808" s="38" t="s">
        <v>122</v>
      </c>
      <c r="F27808" s="38" t="s">
        <v>123</v>
      </c>
      <c r="G27808" s="49" t="str">
        <f t="shared" si="1"/>
        <v>45320</v>
      </c>
      <c r="H27808" s="49">
        <f t="shared" si="2"/>
        <v>45115</v>
      </c>
    </row>
    <row r="27809">
      <c r="A27809" s="48" t="s">
        <v>3344</v>
      </c>
      <c r="B27809" s="38">
        <v>76181.0</v>
      </c>
      <c r="C27809" s="38" t="s">
        <v>4153</v>
      </c>
      <c r="D27809" s="38" t="str">
        <f>IFERROR(__xludf.DUMMYFUNCTION("REGEXREPLACE(C27809,""-\d+(.*)|--\d+(.*)"","""")"),"CLEVILLE")</f>
        <v>CLEVILLE</v>
      </c>
      <c r="E27809" s="38" t="s">
        <v>133</v>
      </c>
      <c r="F27809" s="38" t="s">
        <v>134</v>
      </c>
      <c r="G27809" s="49" t="str">
        <f t="shared" si="1"/>
        <v>76640</v>
      </c>
      <c r="H27809" s="49">
        <f t="shared" si="2"/>
        <v>76181</v>
      </c>
    </row>
    <row r="27810">
      <c r="A27810" s="48" t="s">
        <v>23784</v>
      </c>
      <c r="B27810" s="38">
        <v>60207.0</v>
      </c>
      <c r="C27810" s="38" t="s">
        <v>32272</v>
      </c>
      <c r="D27810" s="38" t="str">
        <f>IFERROR(__xludf.DUMMYFUNCTION("REGEXREPLACE(C27810,""-\d+(.*)|--\d+(.*)"","""")"),"EMEVILLE")</f>
        <v>EMEVILLE</v>
      </c>
      <c r="E27810" s="38" t="s">
        <v>112</v>
      </c>
      <c r="F27810" s="38" t="s">
        <v>113</v>
      </c>
      <c r="G27810" s="49" t="str">
        <f t="shared" si="1"/>
        <v>60123</v>
      </c>
      <c r="H27810" s="49">
        <f t="shared" si="2"/>
        <v>60207</v>
      </c>
    </row>
    <row r="27811">
      <c r="A27811" s="48" t="s">
        <v>3291</v>
      </c>
      <c r="B27811" s="38">
        <v>3305.0</v>
      </c>
      <c r="C27811" s="38" t="s">
        <v>32273</v>
      </c>
      <c r="D27811" s="38" t="str">
        <f>IFERROR(__xludf.DUMMYFUNCTION("REGEXREPLACE(C27811,""-\d+(.*)|--\d+(.*)"","""")"),"VERNEIX")</f>
        <v>VERNEIX</v>
      </c>
      <c r="E27811" s="38" t="s">
        <v>160</v>
      </c>
      <c r="F27811" s="38" t="s">
        <v>161</v>
      </c>
      <c r="G27811" s="49" t="str">
        <f t="shared" si="1"/>
        <v>03190</v>
      </c>
      <c r="H27811" s="49" t="str">
        <f t="shared" si="2"/>
        <v>03305</v>
      </c>
    </row>
    <row r="27812">
      <c r="A27812" s="48" t="s">
        <v>2803</v>
      </c>
      <c r="B27812" s="38">
        <v>80397.0</v>
      </c>
      <c r="C27812" s="38" t="s">
        <v>32274</v>
      </c>
      <c r="D27812" s="38" t="str">
        <f>IFERROR(__xludf.DUMMYFUNCTION("REGEXREPLACE(C27812,""-\d+(.*)|--\d+(.*)"","""")"),"GUEUDECOURT")</f>
        <v>GUEUDECOURT</v>
      </c>
      <c r="E27812" s="38" t="s">
        <v>224</v>
      </c>
      <c r="F27812" s="38" t="s">
        <v>113</v>
      </c>
      <c r="G27812" s="49" t="str">
        <f t="shared" si="1"/>
        <v>80360</v>
      </c>
      <c r="H27812" s="49">
        <f t="shared" si="2"/>
        <v>80397</v>
      </c>
    </row>
    <row r="27813">
      <c r="A27813" s="48" t="s">
        <v>2266</v>
      </c>
      <c r="B27813" s="38">
        <v>55473.0</v>
      </c>
      <c r="C27813" s="38" t="s">
        <v>32275</v>
      </c>
      <c r="D27813" s="38" t="str">
        <f>IFERROR(__xludf.DUMMYFUNCTION("REGEXREPLACE(C27813,""-\d+(.*)|--\d+(.*)"","""")"),"SAULX-LES-CHAMPLON")</f>
        <v>SAULX-LES-CHAMPLON</v>
      </c>
      <c r="E27813" s="38" t="s">
        <v>322</v>
      </c>
      <c r="F27813" s="38" t="s">
        <v>195</v>
      </c>
      <c r="G27813" s="49" t="str">
        <f t="shared" si="1"/>
        <v>55160</v>
      </c>
      <c r="H27813" s="49">
        <f t="shared" si="2"/>
        <v>55473</v>
      </c>
    </row>
    <row r="27814">
      <c r="A27814" s="48" t="s">
        <v>2328</v>
      </c>
      <c r="B27814" s="38">
        <v>57173.0</v>
      </c>
      <c r="C27814" s="38" t="s">
        <v>32276</v>
      </c>
      <c r="D27814" s="38" t="str">
        <f>IFERROR(__xludf.DUMMYFUNCTION("REGEXREPLACE(C27814,""-\d+(.*)|--\d+(.*)"","""")"),"DESSELING")</f>
        <v>DESSELING</v>
      </c>
      <c r="E27814" s="38" t="s">
        <v>303</v>
      </c>
      <c r="F27814" s="38" t="s">
        <v>195</v>
      </c>
      <c r="G27814" s="49" t="str">
        <f t="shared" si="1"/>
        <v>57260</v>
      </c>
      <c r="H27814" s="49">
        <f t="shared" si="2"/>
        <v>57173</v>
      </c>
    </row>
    <row r="27815">
      <c r="A27815" s="48" t="s">
        <v>10383</v>
      </c>
      <c r="B27815" s="38">
        <v>38492.0</v>
      </c>
      <c r="C27815" s="38" t="s">
        <v>32277</v>
      </c>
      <c r="D27815" s="38" t="str">
        <f>IFERROR(__xludf.DUMMYFUNCTION("REGEXREPLACE(C27815,""-\d+(.*)|--\d+(.*)"","""")"),"SINARD")</f>
        <v>SINARD</v>
      </c>
      <c r="E27815" s="38" t="s">
        <v>101</v>
      </c>
      <c r="F27815" s="38" t="s">
        <v>102</v>
      </c>
      <c r="G27815" s="49" t="str">
        <f t="shared" si="1"/>
        <v>38650</v>
      </c>
      <c r="H27815" s="49">
        <f t="shared" si="2"/>
        <v>38492</v>
      </c>
    </row>
    <row r="27816">
      <c r="A27816" s="48" t="s">
        <v>2835</v>
      </c>
      <c r="B27816" s="38">
        <v>18104.0</v>
      </c>
      <c r="C27816" s="38" t="s">
        <v>32278</v>
      </c>
      <c r="D27816" s="38" t="str">
        <f>IFERROR(__xludf.DUMMYFUNCTION("REGEXREPLACE(C27816,""-\d+(.*)|--\d+(.*)"","""")"),"GROISES")</f>
        <v>GROISES</v>
      </c>
      <c r="E27816" s="38" t="s">
        <v>504</v>
      </c>
      <c r="F27816" s="38" t="s">
        <v>123</v>
      </c>
      <c r="G27816" s="49" t="str">
        <f t="shared" si="1"/>
        <v>18140</v>
      </c>
      <c r="H27816" s="49">
        <f t="shared" si="2"/>
        <v>18104</v>
      </c>
    </row>
    <row r="27817">
      <c r="A27817" s="48" t="s">
        <v>1212</v>
      </c>
      <c r="B27817" s="38">
        <v>11048.0</v>
      </c>
      <c r="C27817" s="38" t="s">
        <v>32279</v>
      </c>
      <c r="D27817" s="38" t="str">
        <f>IFERROR(__xludf.DUMMYFUNCTION("REGEXREPLACE(C27817,""-\d+(.*)|--\d+(.*)"","""")"),"BOUTENAC")</f>
        <v>BOUTENAC</v>
      </c>
      <c r="E27817" s="38" t="s">
        <v>278</v>
      </c>
      <c r="F27817" s="38" t="s">
        <v>119</v>
      </c>
      <c r="G27817" s="49" t="str">
        <f t="shared" si="1"/>
        <v>11200</v>
      </c>
      <c r="H27817" s="49">
        <f t="shared" si="2"/>
        <v>11048</v>
      </c>
    </row>
    <row r="27818">
      <c r="A27818" s="48" t="s">
        <v>6406</v>
      </c>
      <c r="B27818" s="38">
        <v>41179.0</v>
      </c>
      <c r="C27818" s="38" t="s">
        <v>32280</v>
      </c>
      <c r="D27818" s="38" t="str">
        <f>IFERROR(__xludf.DUMMYFUNCTION("REGEXREPLACE(C27818,""-\d+(.*)|--\d+(.*)"","""")"),"LE POISLAY")</f>
        <v>LE POISLAY</v>
      </c>
      <c r="E27818" s="38" t="s">
        <v>188</v>
      </c>
      <c r="F27818" s="38" t="s">
        <v>123</v>
      </c>
      <c r="G27818" s="49" t="str">
        <f t="shared" si="1"/>
        <v>41270</v>
      </c>
      <c r="H27818" s="49">
        <f t="shared" si="2"/>
        <v>41179</v>
      </c>
    </row>
    <row r="27819">
      <c r="A27819" s="48" t="s">
        <v>23020</v>
      </c>
      <c r="B27819" s="38">
        <v>59587.0</v>
      </c>
      <c r="C27819" s="38" t="s">
        <v>32281</v>
      </c>
      <c r="D27819" s="38" t="str">
        <f>IFERROR(__xludf.DUMMYFUNCTION("REGEXREPLACE(C27819,""-\d+(.*)|--\d+(.*)"","""")"),"TERDEGHEM")</f>
        <v>TERDEGHEM</v>
      </c>
      <c r="E27819" s="38" t="s">
        <v>85</v>
      </c>
      <c r="F27819" s="38" t="s">
        <v>86</v>
      </c>
      <c r="G27819" s="49" t="str">
        <f t="shared" si="1"/>
        <v>59114</v>
      </c>
      <c r="H27819" s="49">
        <f t="shared" si="2"/>
        <v>59587</v>
      </c>
    </row>
    <row r="27820">
      <c r="A27820" s="48" t="s">
        <v>5831</v>
      </c>
      <c r="B27820" s="38">
        <v>5047.0</v>
      </c>
      <c r="C27820" s="38" t="s">
        <v>32282</v>
      </c>
      <c r="D27820" s="38" t="str">
        <f>IFERROR(__xludf.DUMMYFUNCTION("REGEXREPLACE(C27820,""-\d+(.*)|--\d+(.*)"","""")"),"EOURRES")</f>
        <v>EOURRES</v>
      </c>
      <c r="E27820" s="38" t="s">
        <v>706</v>
      </c>
      <c r="F27820" s="38" t="s">
        <v>228</v>
      </c>
      <c r="G27820" s="49" t="str">
        <f t="shared" si="1"/>
        <v>05300</v>
      </c>
      <c r="H27820" s="49" t="str">
        <f t="shared" si="2"/>
        <v>05047</v>
      </c>
    </row>
    <row r="27821">
      <c r="A27821" s="48" t="s">
        <v>2517</v>
      </c>
      <c r="B27821" s="38">
        <v>6081.0</v>
      </c>
      <c r="C27821" s="38" t="s">
        <v>32283</v>
      </c>
      <c r="D27821" s="38" t="str">
        <f>IFERROR(__xludf.DUMMYFUNCTION("REGEXREPLACE(C27821,""-\d+(.*)|--\d+(.*)"","""")"),"LE MAS")</f>
        <v>LE MAS</v>
      </c>
      <c r="E27821" s="38" t="s">
        <v>227</v>
      </c>
      <c r="F27821" s="38" t="s">
        <v>228</v>
      </c>
      <c r="G27821" s="49" t="str">
        <f t="shared" si="1"/>
        <v>06910</v>
      </c>
      <c r="H27821" s="49" t="str">
        <f t="shared" si="2"/>
        <v>06081</v>
      </c>
    </row>
    <row r="27822">
      <c r="A27822" s="48" t="s">
        <v>7856</v>
      </c>
      <c r="B27822" s="38">
        <v>44097.0</v>
      </c>
      <c r="C27822" s="38" t="s">
        <v>32284</v>
      </c>
      <c r="D27822" s="38" t="str">
        <f>IFERROR(__xludf.DUMMYFUNCTION("REGEXREPLACE(C27822,""-\d+(.*)|--\d+(.*)"","""")"),"MESQUER")</f>
        <v>MESQUER</v>
      </c>
      <c r="E27822" s="38" t="s">
        <v>759</v>
      </c>
      <c r="F27822" s="38" t="s">
        <v>180</v>
      </c>
      <c r="G27822" s="49" t="str">
        <f t="shared" si="1"/>
        <v>44420</v>
      </c>
      <c r="H27822" s="49">
        <f t="shared" si="2"/>
        <v>44097</v>
      </c>
    </row>
    <row r="27823">
      <c r="A27823" s="48" t="s">
        <v>8001</v>
      </c>
      <c r="B27823" s="38">
        <v>89030.0</v>
      </c>
      <c r="C27823" s="38" t="s">
        <v>32285</v>
      </c>
      <c r="D27823" s="38" t="str">
        <f>IFERROR(__xludf.DUMMYFUNCTION("REGEXREPLACE(C27823,""-\d+(.*)|--\d+(.*)"","""")"),"BAZARNES")</f>
        <v>BAZARNES</v>
      </c>
      <c r="E27823" s="38" t="s">
        <v>275</v>
      </c>
      <c r="F27823" s="38" t="s">
        <v>106</v>
      </c>
      <c r="G27823" s="49" t="str">
        <f t="shared" si="1"/>
        <v>89460</v>
      </c>
      <c r="H27823" s="49">
        <f t="shared" si="2"/>
        <v>89030</v>
      </c>
    </row>
    <row r="27824">
      <c r="A27824" s="48" t="s">
        <v>18798</v>
      </c>
      <c r="B27824" s="38">
        <v>10288.0</v>
      </c>
      <c r="C27824" s="38" t="s">
        <v>32286</v>
      </c>
      <c r="D27824" s="38" t="str">
        <f>IFERROR(__xludf.DUMMYFUNCTION("REGEXREPLACE(C27824,""-\d+(.*)|--\d+(.*)"","""")"),"PLAINES-SAINT-LANGE")</f>
        <v>PLAINES-SAINT-LANGE</v>
      </c>
      <c r="E27824" s="38" t="s">
        <v>147</v>
      </c>
      <c r="F27824" s="38" t="s">
        <v>130</v>
      </c>
      <c r="G27824" s="49" t="str">
        <f t="shared" si="1"/>
        <v>10250</v>
      </c>
      <c r="H27824" s="49">
        <f t="shared" si="2"/>
        <v>10288</v>
      </c>
    </row>
    <row r="27825">
      <c r="A27825" s="48" t="s">
        <v>12639</v>
      </c>
      <c r="B27825" s="38">
        <v>81108.0</v>
      </c>
      <c r="C27825" s="38" t="s">
        <v>32287</v>
      </c>
      <c r="D27825" s="38" t="str">
        <f>IFERROR(__xludf.DUMMYFUNCTION("REGEXREPLACE(C27825,""-\d+(.*)|--\d+(.*)"","""")"),"ITZAC")</f>
        <v>ITZAC</v>
      </c>
      <c r="E27825" s="38" t="s">
        <v>231</v>
      </c>
      <c r="F27825" s="38" t="s">
        <v>94</v>
      </c>
      <c r="G27825" s="49" t="str">
        <f t="shared" si="1"/>
        <v>81170</v>
      </c>
      <c r="H27825" s="49">
        <f t="shared" si="2"/>
        <v>81108</v>
      </c>
    </row>
    <row r="27826">
      <c r="A27826" s="48" t="s">
        <v>1174</v>
      </c>
      <c r="B27826" s="38">
        <v>51352.0</v>
      </c>
      <c r="C27826" s="38" t="s">
        <v>17595</v>
      </c>
      <c r="D27826" s="38" t="str">
        <f>IFERROR(__xludf.DUMMYFUNCTION("REGEXREPLACE(C27826,""-\d+(.*)|--\d+(.*)"","""")"),"MAROLLES")</f>
        <v>MAROLLES</v>
      </c>
      <c r="E27826" s="38" t="s">
        <v>129</v>
      </c>
      <c r="F27826" s="38" t="s">
        <v>130</v>
      </c>
      <c r="G27826" s="49" t="str">
        <f t="shared" si="1"/>
        <v>51300</v>
      </c>
      <c r="H27826" s="49">
        <f t="shared" si="2"/>
        <v>51352</v>
      </c>
    </row>
    <row r="27827">
      <c r="A27827" s="48" t="s">
        <v>1823</v>
      </c>
      <c r="B27827" s="38">
        <v>48189.0</v>
      </c>
      <c r="C27827" s="38" t="s">
        <v>32288</v>
      </c>
      <c r="D27827" s="38" t="str">
        <f>IFERROR(__xludf.DUMMYFUNCTION("REGEXREPLACE(C27827,""-\d+(.*)|--\d+(.*)"","""")"),"SERVIERES")</f>
        <v>SERVIERES</v>
      </c>
      <c r="E27827" s="38" t="s">
        <v>154</v>
      </c>
      <c r="F27827" s="38" t="s">
        <v>119</v>
      </c>
      <c r="G27827" s="49" t="str">
        <f t="shared" si="1"/>
        <v>48000</v>
      </c>
      <c r="H27827" s="49">
        <f t="shared" si="2"/>
        <v>48189</v>
      </c>
    </row>
    <row r="27828">
      <c r="A27828" s="48" t="s">
        <v>2462</v>
      </c>
      <c r="B27828" s="38">
        <v>1431.0</v>
      </c>
      <c r="C27828" s="38" t="s">
        <v>32289</v>
      </c>
      <c r="D27828" s="38" t="str">
        <f>IFERROR(__xludf.DUMMYFUNCTION("REGEXREPLACE(C27828,""-\d+(.*)|--\d+(.*)"","""")"),"VAUX-EN-BUGEY")</f>
        <v>VAUX-EN-BUGEY</v>
      </c>
      <c r="E27828" s="38" t="s">
        <v>255</v>
      </c>
      <c r="F27828" s="38" t="s">
        <v>102</v>
      </c>
      <c r="G27828" s="49" t="str">
        <f t="shared" si="1"/>
        <v>01150</v>
      </c>
      <c r="H27828" s="49" t="str">
        <f t="shared" si="2"/>
        <v>01431</v>
      </c>
    </row>
    <row r="27829">
      <c r="A27829" s="48" t="s">
        <v>614</v>
      </c>
      <c r="B27829" s="38">
        <v>24178.0</v>
      </c>
      <c r="C27829" s="38" t="s">
        <v>32290</v>
      </c>
      <c r="D27829" s="38" t="str">
        <f>IFERROR(__xludf.DUMMYFUNCTION("REGEXREPLACE(C27829,""-\d+(.*)|--\d+(.*)"","""")"),"FESTALEMPS")</f>
        <v>FESTALEMPS</v>
      </c>
      <c r="E27829" s="38" t="s">
        <v>261</v>
      </c>
      <c r="F27829" s="38" t="s">
        <v>252</v>
      </c>
      <c r="G27829" s="49" t="str">
        <f t="shared" si="1"/>
        <v>24410</v>
      </c>
      <c r="H27829" s="49">
        <f t="shared" si="2"/>
        <v>24178</v>
      </c>
    </row>
    <row r="27830">
      <c r="A27830" s="48" t="s">
        <v>1389</v>
      </c>
      <c r="B27830" s="38">
        <v>5170.0</v>
      </c>
      <c r="C27830" s="38" t="s">
        <v>32291</v>
      </c>
      <c r="D27830" s="38" t="str">
        <f>IFERROR(__xludf.DUMMYFUNCTION("REGEXREPLACE(C27830,""-\d+(.*)|--\d+(.*)"","""")"),"TALLARD")</f>
        <v>TALLARD</v>
      </c>
      <c r="E27830" s="38" t="s">
        <v>706</v>
      </c>
      <c r="F27830" s="38" t="s">
        <v>228</v>
      </c>
      <c r="G27830" s="49" t="str">
        <f t="shared" si="1"/>
        <v>05130</v>
      </c>
      <c r="H27830" s="49" t="str">
        <f t="shared" si="2"/>
        <v>05170</v>
      </c>
    </row>
    <row r="27831">
      <c r="A27831" s="48" t="s">
        <v>7563</v>
      </c>
      <c r="B27831" s="38">
        <v>59434.0</v>
      </c>
      <c r="C27831" s="38" t="s">
        <v>32292</v>
      </c>
      <c r="D27831" s="38" t="str">
        <f>IFERROR(__xludf.DUMMYFUNCTION("REGEXREPLACE(C27831,""-\d+(.*)|--\d+(.*)"","""")"),"NIVELLE")</f>
        <v>NIVELLE</v>
      </c>
      <c r="E27831" s="38" t="s">
        <v>85</v>
      </c>
      <c r="F27831" s="38" t="s">
        <v>86</v>
      </c>
      <c r="G27831" s="49" t="str">
        <f t="shared" si="1"/>
        <v>59230</v>
      </c>
      <c r="H27831" s="49">
        <f t="shared" si="2"/>
        <v>59434</v>
      </c>
    </row>
    <row r="27832">
      <c r="A27832" s="48" t="s">
        <v>2623</v>
      </c>
      <c r="B27832" s="38">
        <v>86050.0</v>
      </c>
      <c r="C27832" s="38" t="s">
        <v>32293</v>
      </c>
      <c r="D27832" s="38" t="str">
        <f>IFERROR(__xludf.DUMMYFUNCTION("REGEXREPLACE(C27832,""-\d+(.*)|--\d+(.*)"","""")"),"CHALANDRAY")</f>
        <v>CHALANDRAY</v>
      </c>
      <c r="E27832" s="38" t="s">
        <v>529</v>
      </c>
      <c r="F27832" s="38" t="s">
        <v>338</v>
      </c>
      <c r="G27832" s="49" t="str">
        <f t="shared" si="1"/>
        <v>86190</v>
      </c>
      <c r="H27832" s="49">
        <f t="shared" si="2"/>
        <v>86050</v>
      </c>
    </row>
    <row r="27833">
      <c r="A27833" s="48" t="s">
        <v>1564</v>
      </c>
      <c r="B27833" s="38">
        <v>45237.0</v>
      </c>
      <c r="C27833" s="38" t="s">
        <v>11088</v>
      </c>
      <c r="D27833" s="38" t="str">
        <f>IFERROR(__xludf.DUMMYFUNCTION("REGEXREPLACE(C27833,""-\d+(.*)|--\d+(.*)"","""")"),"ORVILLE")</f>
        <v>ORVILLE</v>
      </c>
      <c r="E27833" s="38" t="s">
        <v>122</v>
      </c>
      <c r="F27833" s="38" t="s">
        <v>123</v>
      </c>
      <c r="G27833" s="49" t="str">
        <f t="shared" si="1"/>
        <v>45390</v>
      </c>
      <c r="H27833" s="49">
        <f t="shared" si="2"/>
        <v>45237</v>
      </c>
    </row>
    <row r="27834">
      <c r="A27834" s="48" t="s">
        <v>2882</v>
      </c>
      <c r="B27834" s="38">
        <v>76567.0</v>
      </c>
      <c r="C27834" s="38" t="s">
        <v>32294</v>
      </c>
      <c r="D27834" s="38" t="str">
        <f>IFERROR(__xludf.DUMMYFUNCTION("REGEXREPLACE(C27834,""-\d+(.*)|--\d+(.*)"","""")"),"SAINTE-BEUVE-EN-RIVIERE")</f>
        <v>SAINTE-BEUVE-EN-RIVIERE</v>
      </c>
      <c r="E27834" s="38" t="s">
        <v>133</v>
      </c>
      <c r="F27834" s="38" t="s">
        <v>134</v>
      </c>
      <c r="G27834" s="49" t="str">
        <f t="shared" si="1"/>
        <v>76270</v>
      </c>
      <c r="H27834" s="49">
        <f t="shared" si="2"/>
        <v>76567</v>
      </c>
    </row>
    <row r="27835">
      <c r="A27835" s="48" t="s">
        <v>5179</v>
      </c>
      <c r="B27835" s="38">
        <v>10015.0</v>
      </c>
      <c r="C27835" s="38" t="s">
        <v>32295</v>
      </c>
      <c r="D27835" s="38" t="str">
        <f>IFERROR(__xludf.DUMMYFUNCTION("REGEXREPLACE(C27835,""-\d+(.*)|--\d+(.*)"","""")"),"AUBETERRE")</f>
        <v>AUBETERRE</v>
      </c>
      <c r="E27835" s="38" t="s">
        <v>147</v>
      </c>
      <c r="F27835" s="38" t="s">
        <v>130</v>
      </c>
      <c r="G27835" s="49" t="str">
        <f t="shared" si="1"/>
        <v>10150</v>
      </c>
      <c r="H27835" s="49">
        <f t="shared" si="2"/>
        <v>10015</v>
      </c>
    </row>
    <row r="27836">
      <c r="A27836" s="48" t="s">
        <v>12402</v>
      </c>
      <c r="B27836" s="38" t="s">
        <v>32296</v>
      </c>
      <c r="C27836" s="38" t="s">
        <v>32297</v>
      </c>
      <c r="D27836" s="38" t="str">
        <f>IFERROR(__xludf.DUMMYFUNCTION("REGEXREPLACE(C27836,""-\d+(.*)|--\d+(.*)"","""")"),"VALLICA")</f>
        <v>VALLICA</v>
      </c>
      <c r="E27836" s="38" t="s">
        <v>743</v>
      </c>
      <c r="F27836" s="38" t="s">
        <v>607</v>
      </c>
      <c r="G27836" s="49" t="str">
        <f t="shared" si="1"/>
        <v>20259</v>
      </c>
      <c r="H27836" s="49" t="str">
        <f t="shared" si="2"/>
        <v>2B339</v>
      </c>
    </row>
    <row r="27837">
      <c r="A27837" s="48" t="s">
        <v>1568</v>
      </c>
      <c r="B27837" s="38">
        <v>36041.0</v>
      </c>
      <c r="C27837" s="38" t="s">
        <v>32298</v>
      </c>
      <c r="D27837" s="38" t="str">
        <f>IFERROR(__xludf.DUMMYFUNCTION("REGEXREPLACE(C27837,""-\d+(.*)|--\d+(.*)"","""")"),"LA CHAPELLE-SAINT-LAURIAN")</f>
        <v>LA CHAPELLE-SAINT-LAURIAN</v>
      </c>
      <c r="E27837" s="38" t="s">
        <v>258</v>
      </c>
      <c r="F27837" s="38" t="s">
        <v>123</v>
      </c>
      <c r="G27837" s="49" t="str">
        <f t="shared" si="1"/>
        <v>36150</v>
      </c>
      <c r="H27837" s="49">
        <f t="shared" si="2"/>
        <v>36041</v>
      </c>
    </row>
    <row r="27838">
      <c r="A27838" s="48" t="s">
        <v>2837</v>
      </c>
      <c r="B27838" s="38">
        <v>17249.0</v>
      </c>
      <c r="C27838" s="38" t="s">
        <v>3222</v>
      </c>
      <c r="D27838" s="38" t="str">
        <f>IFERROR(__xludf.DUMMYFUNCTION("REGEXREPLACE(C27838,""-\d+(.*)|--\d+(.*)"","""")"),"MORTIERS")</f>
        <v>MORTIERS</v>
      </c>
      <c r="E27838" s="38" t="s">
        <v>488</v>
      </c>
      <c r="F27838" s="38" t="s">
        <v>338</v>
      </c>
      <c r="G27838" s="49" t="str">
        <f t="shared" si="1"/>
        <v>17500</v>
      </c>
      <c r="H27838" s="49">
        <f t="shared" si="2"/>
        <v>17249</v>
      </c>
    </row>
    <row r="27839">
      <c r="A27839" s="48" t="s">
        <v>342</v>
      </c>
      <c r="B27839" s="38">
        <v>71032.0</v>
      </c>
      <c r="C27839" s="38" t="s">
        <v>32299</v>
      </c>
      <c r="D27839" s="38" t="str">
        <f>IFERROR(__xludf.DUMMYFUNCTION("REGEXREPLACE(C27839,""-\d+(.*)|--\d+(.*)"","""")"),"BERZE-LA-VILLE")</f>
        <v>BERZE-LA-VILLE</v>
      </c>
      <c r="E27839" s="38" t="s">
        <v>344</v>
      </c>
      <c r="F27839" s="38" t="s">
        <v>106</v>
      </c>
      <c r="G27839" s="49" t="str">
        <f t="shared" si="1"/>
        <v>71960</v>
      </c>
      <c r="H27839" s="49">
        <f t="shared" si="2"/>
        <v>71032</v>
      </c>
    </row>
    <row r="27840">
      <c r="A27840" s="48" t="s">
        <v>2128</v>
      </c>
      <c r="B27840" s="38">
        <v>2646.0</v>
      </c>
      <c r="C27840" s="38" t="s">
        <v>32300</v>
      </c>
      <c r="D27840" s="38" t="str">
        <f>IFERROR(__xludf.DUMMYFUNCTION("REGEXREPLACE(C27840,""-\d+(.*)|--\d+(.*)"","""")"),"REVILLON")</f>
        <v>REVILLON</v>
      </c>
      <c r="E27840" s="38" t="s">
        <v>191</v>
      </c>
      <c r="F27840" s="38" t="s">
        <v>113</v>
      </c>
      <c r="G27840" s="49" t="str">
        <f t="shared" si="1"/>
        <v>02160</v>
      </c>
      <c r="H27840" s="49" t="str">
        <f t="shared" si="2"/>
        <v>02646</v>
      </c>
    </row>
    <row r="27841">
      <c r="A27841" s="48" t="s">
        <v>32301</v>
      </c>
      <c r="B27841" s="38">
        <v>62193.0</v>
      </c>
      <c r="C27841" s="38" t="s">
        <v>32302</v>
      </c>
      <c r="D27841" s="38" t="str">
        <f>IFERROR(__xludf.DUMMYFUNCTION("REGEXREPLACE(C27841,""-\d+(.*)|--\d+(.*)"","""")"),"CALAIS")</f>
        <v>CALAIS</v>
      </c>
      <c r="E27841" s="38" t="s">
        <v>109</v>
      </c>
      <c r="F27841" s="38" t="s">
        <v>86</v>
      </c>
      <c r="G27841" s="49" t="str">
        <f t="shared" si="1"/>
        <v>62100</v>
      </c>
      <c r="H27841" s="49">
        <f t="shared" si="2"/>
        <v>62193</v>
      </c>
    </row>
    <row r="27842">
      <c r="A27842" s="48" t="s">
        <v>3226</v>
      </c>
      <c r="B27842" s="38">
        <v>61030.0</v>
      </c>
      <c r="C27842" s="38" t="s">
        <v>16830</v>
      </c>
      <c r="D27842" s="38" t="str">
        <f>IFERROR(__xludf.DUMMYFUNCTION("REGEXREPLACE(C27842,""-\d+(.*)|--\d+(.*)"","""")"),"LA BAZOQUE")</f>
        <v>LA BAZOQUE</v>
      </c>
      <c r="E27842" s="38" t="s">
        <v>141</v>
      </c>
      <c r="F27842" s="38" t="s">
        <v>138</v>
      </c>
      <c r="G27842" s="49" t="str">
        <f t="shared" si="1"/>
        <v>61100</v>
      </c>
      <c r="H27842" s="49">
        <f t="shared" si="2"/>
        <v>61030</v>
      </c>
    </row>
    <row r="27843">
      <c r="A27843" s="48" t="s">
        <v>601</v>
      </c>
      <c r="B27843" s="38">
        <v>51423.0</v>
      </c>
      <c r="C27843" s="38" t="s">
        <v>32303</v>
      </c>
      <c r="D27843" s="38" t="str">
        <f>IFERROR(__xludf.DUMMYFUNCTION("REGEXREPLACE(C27843,""-\d+(.*)|--\d+(.*)"","""")"),"PARGNY-SUR-SAULX")</f>
        <v>PARGNY-SUR-SAULX</v>
      </c>
      <c r="E27843" s="38" t="s">
        <v>129</v>
      </c>
      <c r="F27843" s="38" t="s">
        <v>130</v>
      </c>
      <c r="G27843" s="49" t="str">
        <f t="shared" si="1"/>
        <v>51340</v>
      </c>
      <c r="H27843" s="49">
        <f t="shared" si="2"/>
        <v>51423</v>
      </c>
    </row>
    <row r="27844">
      <c r="A27844" s="48" t="s">
        <v>16014</v>
      </c>
      <c r="B27844" s="38">
        <v>33387.0</v>
      </c>
      <c r="C27844" s="38" t="s">
        <v>32304</v>
      </c>
      <c r="D27844" s="38" t="str">
        <f>IFERROR(__xludf.DUMMYFUNCTION("REGEXREPLACE(C27844,""-\d+(.*)|--\d+(.*)"","""")"),"SAINT-CIERS-D'ABZAC")</f>
        <v>SAINT-CIERS-D'ABZAC</v>
      </c>
      <c r="E27844" s="38" t="s">
        <v>462</v>
      </c>
      <c r="F27844" s="38" t="s">
        <v>252</v>
      </c>
      <c r="G27844" s="49" t="str">
        <f t="shared" si="1"/>
        <v>33910</v>
      </c>
      <c r="H27844" s="49">
        <f t="shared" si="2"/>
        <v>33387</v>
      </c>
    </row>
    <row r="27845">
      <c r="A27845" s="48" t="s">
        <v>6592</v>
      </c>
      <c r="B27845" s="38">
        <v>5055.0</v>
      </c>
      <c r="C27845" s="38" t="s">
        <v>32305</v>
      </c>
      <c r="D27845" s="38" t="str">
        <f>IFERROR(__xludf.DUMMYFUNCTION("REGEXREPLACE(C27845,""-\d+(.*)|--\d+(.*)"","""")"),"LA FAURIE")</f>
        <v>LA FAURIE</v>
      </c>
      <c r="E27845" s="38" t="s">
        <v>706</v>
      </c>
      <c r="F27845" s="38" t="s">
        <v>228</v>
      </c>
      <c r="G27845" s="49" t="str">
        <f t="shared" si="1"/>
        <v>05140</v>
      </c>
      <c r="H27845" s="49" t="str">
        <f t="shared" si="2"/>
        <v>05055</v>
      </c>
    </row>
    <row r="27846">
      <c r="A27846" s="48" t="s">
        <v>5558</v>
      </c>
      <c r="B27846" s="38">
        <v>14342.0</v>
      </c>
      <c r="C27846" s="38" t="s">
        <v>32306</v>
      </c>
      <c r="D27846" s="38" t="str">
        <f>IFERROR(__xludf.DUMMYFUNCTION("REGEXREPLACE(C27846,""-\d+(.*)|--\d+(.*)"","""")"),"ISIGNY-SUR-MER")</f>
        <v>ISIGNY-SUR-MER</v>
      </c>
      <c r="E27846" s="38" t="s">
        <v>137</v>
      </c>
      <c r="F27846" s="38" t="s">
        <v>138</v>
      </c>
      <c r="G27846" s="49" t="str">
        <f t="shared" si="1"/>
        <v>14230</v>
      </c>
      <c r="H27846" s="49">
        <f t="shared" si="2"/>
        <v>14342</v>
      </c>
    </row>
    <row r="27847">
      <c r="A27847" s="48" t="s">
        <v>2868</v>
      </c>
      <c r="B27847" s="38">
        <v>80676.0</v>
      </c>
      <c r="C27847" s="38" t="s">
        <v>32307</v>
      </c>
      <c r="D27847" s="38" t="str">
        <f>IFERROR(__xludf.DUMMYFUNCTION("REGEXREPLACE(C27847,""-\d+(.*)|--\d+(.*)"","""")"),"ROIGLISE")</f>
        <v>ROIGLISE</v>
      </c>
      <c r="E27847" s="38" t="s">
        <v>224</v>
      </c>
      <c r="F27847" s="38" t="s">
        <v>113</v>
      </c>
      <c r="G27847" s="49" t="str">
        <f t="shared" si="1"/>
        <v>80700</v>
      </c>
      <c r="H27847" s="49">
        <f t="shared" si="2"/>
        <v>80676</v>
      </c>
    </row>
    <row r="27848">
      <c r="A27848" s="48" t="s">
        <v>2186</v>
      </c>
      <c r="B27848" s="38">
        <v>26057.0</v>
      </c>
      <c r="C27848" s="38" t="s">
        <v>32308</v>
      </c>
      <c r="D27848" s="38" t="str">
        <f>IFERROR(__xludf.DUMMYFUNCTION("REGEXREPLACE(C27848,""-\d+(.*)|--\d+(.*)"","""")"),"BOURG-DE-PEAGE")</f>
        <v>BOURG-DE-PEAGE</v>
      </c>
      <c r="E27848" s="38" t="s">
        <v>126</v>
      </c>
      <c r="F27848" s="38" t="s">
        <v>102</v>
      </c>
      <c r="G27848" s="49" t="str">
        <f t="shared" si="1"/>
        <v>26300</v>
      </c>
      <c r="H27848" s="49">
        <f t="shared" si="2"/>
        <v>26057</v>
      </c>
    </row>
    <row r="27849">
      <c r="A27849" s="48" t="s">
        <v>2340</v>
      </c>
      <c r="B27849" s="38">
        <v>21121.0</v>
      </c>
      <c r="C27849" s="38" t="s">
        <v>24102</v>
      </c>
      <c r="D27849" s="38" t="str">
        <f>IFERROR(__xludf.DUMMYFUNCTION("REGEXREPLACE(C27849,""-\d+(.*)|--\d+(.*)"","""")"),"BUSSY-LA-PESLE")</f>
        <v>BUSSY-LA-PESLE</v>
      </c>
      <c r="E27849" s="38" t="s">
        <v>105</v>
      </c>
      <c r="F27849" s="38" t="s">
        <v>106</v>
      </c>
      <c r="G27849" s="49" t="str">
        <f t="shared" si="1"/>
        <v>21540</v>
      </c>
      <c r="H27849" s="49">
        <f t="shared" si="2"/>
        <v>21121</v>
      </c>
    </row>
    <row r="27850">
      <c r="A27850" s="48" t="s">
        <v>17614</v>
      </c>
      <c r="B27850" s="38">
        <v>30130.0</v>
      </c>
      <c r="C27850" s="38" t="s">
        <v>32309</v>
      </c>
      <c r="D27850" s="38" t="str">
        <f>IFERROR(__xludf.DUMMYFUNCTION("REGEXREPLACE(C27850,""-\d+(.*)|--\d+(.*)"","""")"),"GENOLHAC")</f>
        <v>GENOLHAC</v>
      </c>
      <c r="E27850" s="38" t="s">
        <v>526</v>
      </c>
      <c r="F27850" s="38" t="s">
        <v>119</v>
      </c>
      <c r="G27850" s="49" t="str">
        <f t="shared" si="1"/>
        <v>30450</v>
      </c>
      <c r="H27850" s="49">
        <f t="shared" si="2"/>
        <v>30130</v>
      </c>
    </row>
    <row r="27851">
      <c r="A27851" s="48" t="s">
        <v>4706</v>
      </c>
      <c r="B27851" s="38">
        <v>74249.0</v>
      </c>
      <c r="C27851" s="38" t="s">
        <v>32310</v>
      </c>
      <c r="D27851" s="38" t="str">
        <f>IFERROR(__xludf.DUMMYFUNCTION("REGEXREPLACE(C27851,""-\d+(.*)|--\d+(.*)"","""")"),"SAINT-PAUL-EN-CHABLAIS")</f>
        <v>SAINT-PAUL-EN-CHABLAIS</v>
      </c>
      <c r="E27851" s="38" t="s">
        <v>319</v>
      </c>
      <c r="F27851" s="38" t="s">
        <v>102</v>
      </c>
      <c r="G27851" s="49" t="str">
        <f t="shared" si="1"/>
        <v>74500</v>
      </c>
      <c r="H27851" s="49">
        <f t="shared" si="2"/>
        <v>74249</v>
      </c>
    </row>
    <row r="27852">
      <c r="A27852" s="48" t="s">
        <v>582</v>
      </c>
      <c r="B27852" s="38">
        <v>39112.0</v>
      </c>
      <c r="C27852" s="38" t="s">
        <v>32311</v>
      </c>
      <c r="D27852" s="38" t="str">
        <f>IFERROR(__xludf.DUMMYFUNCTION("REGEXREPLACE(C27852,""-\d+(.*)|--\d+(.*)"","""")"),"LA CHASSAGNE")</f>
        <v>LA CHASSAGNE</v>
      </c>
      <c r="E27852" s="38" t="s">
        <v>400</v>
      </c>
      <c r="F27852" s="38" t="s">
        <v>214</v>
      </c>
      <c r="G27852" s="49" t="str">
        <f t="shared" si="1"/>
        <v>39230</v>
      </c>
      <c r="H27852" s="49">
        <f t="shared" si="2"/>
        <v>39112</v>
      </c>
    </row>
    <row r="27853">
      <c r="A27853" s="48" t="s">
        <v>5513</v>
      </c>
      <c r="B27853" s="38">
        <v>57470.0</v>
      </c>
      <c r="C27853" s="38" t="s">
        <v>32312</v>
      </c>
      <c r="D27853" s="38" t="str">
        <f>IFERROR(__xludf.DUMMYFUNCTION("REGEXREPLACE(C27853,""-\d+(.*)|--\d+(.*)"","""")"),"MOLRING")</f>
        <v>MOLRING</v>
      </c>
      <c r="E27853" s="38" t="s">
        <v>303</v>
      </c>
      <c r="F27853" s="38" t="s">
        <v>195</v>
      </c>
      <c r="G27853" s="49" t="str">
        <f t="shared" si="1"/>
        <v>57670</v>
      </c>
      <c r="H27853" s="49">
        <f t="shared" si="2"/>
        <v>57470</v>
      </c>
    </row>
    <row r="27854">
      <c r="A27854" s="48" t="s">
        <v>5212</v>
      </c>
      <c r="B27854" s="38">
        <v>41070.0</v>
      </c>
      <c r="C27854" s="38" t="s">
        <v>32313</v>
      </c>
      <c r="D27854" s="38" t="str">
        <f>IFERROR(__xludf.DUMMYFUNCTION("REGEXREPLACE(C27854,""-\d+(.*)|--\d+(.*)"","""")"),"COUTURE-SUR-LOIR")</f>
        <v>COUTURE-SUR-LOIR</v>
      </c>
      <c r="E27854" s="38" t="s">
        <v>188</v>
      </c>
      <c r="F27854" s="38" t="s">
        <v>123</v>
      </c>
      <c r="G27854" s="49" t="str">
        <f t="shared" si="1"/>
        <v>41800</v>
      </c>
      <c r="H27854" s="49">
        <f t="shared" si="2"/>
        <v>41070</v>
      </c>
    </row>
    <row r="27855">
      <c r="A27855" s="48" t="s">
        <v>7512</v>
      </c>
      <c r="B27855" s="38">
        <v>35041.0</v>
      </c>
      <c r="C27855" s="38" t="s">
        <v>4578</v>
      </c>
      <c r="D27855" s="38" t="str">
        <f>IFERROR(__xludf.DUMMYFUNCTION("REGEXREPLACE(C27855,""-\d+(.*)|--\d+(.*)"","""")"),"BRIE")</f>
        <v>BRIE</v>
      </c>
      <c r="E27855" s="38" t="s">
        <v>347</v>
      </c>
      <c r="F27855" s="38" t="s">
        <v>90</v>
      </c>
      <c r="G27855" s="49" t="str">
        <f t="shared" si="1"/>
        <v>35150</v>
      </c>
      <c r="H27855" s="49">
        <f t="shared" si="2"/>
        <v>35041</v>
      </c>
    </row>
    <row r="27856">
      <c r="A27856" s="48" t="s">
        <v>4923</v>
      </c>
      <c r="B27856" s="38">
        <v>61508.0</v>
      </c>
      <c r="C27856" s="38" t="s">
        <v>32314</v>
      </c>
      <c r="D27856" s="38" t="str">
        <f>IFERROR(__xludf.DUMMYFUNCTION("REGEXREPLACE(C27856,""-\d+(.*)|--\d+(.*)"","""")"),"VIMOUTIERS")</f>
        <v>VIMOUTIERS</v>
      </c>
      <c r="E27856" s="38" t="s">
        <v>141</v>
      </c>
      <c r="F27856" s="38" t="s">
        <v>138</v>
      </c>
      <c r="G27856" s="49" t="str">
        <f t="shared" si="1"/>
        <v>61120</v>
      </c>
      <c r="H27856" s="49">
        <f t="shared" si="2"/>
        <v>61508</v>
      </c>
    </row>
    <row r="27857">
      <c r="A27857" s="48" t="s">
        <v>12573</v>
      </c>
      <c r="B27857" s="38">
        <v>7096.0</v>
      </c>
      <c r="C27857" s="38" t="s">
        <v>32315</v>
      </c>
      <c r="D27857" s="38" t="str">
        <f>IFERROR(__xludf.DUMMYFUNCTION("REGEXREPLACE(C27857,""-\d+(.*)|--\d+(.*)"","""")"),"GLUIRAS")</f>
        <v>GLUIRAS</v>
      </c>
      <c r="E27857" s="38" t="s">
        <v>144</v>
      </c>
      <c r="F27857" s="38" t="s">
        <v>102</v>
      </c>
      <c r="G27857" s="49" t="str">
        <f t="shared" si="1"/>
        <v>07190</v>
      </c>
      <c r="H27857" s="49" t="str">
        <f t="shared" si="2"/>
        <v>07096</v>
      </c>
    </row>
    <row r="27858">
      <c r="A27858" s="48" t="s">
        <v>5008</v>
      </c>
      <c r="B27858" s="38">
        <v>76719.0</v>
      </c>
      <c r="C27858" s="38" t="s">
        <v>32316</v>
      </c>
      <c r="D27858" s="38" t="str">
        <f>IFERROR(__xludf.DUMMYFUNCTION("REGEXREPLACE(C27858,""-\d+(.*)|--\d+(.*)"","""")"),"VALMONT")</f>
        <v>VALMONT</v>
      </c>
      <c r="E27858" s="38" t="s">
        <v>133</v>
      </c>
      <c r="F27858" s="38" t="s">
        <v>134</v>
      </c>
      <c r="G27858" s="49" t="str">
        <f t="shared" si="1"/>
        <v>76540</v>
      </c>
      <c r="H27858" s="49">
        <f t="shared" si="2"/>
        <v>76719</v>
      </c>
    </row>
    <row r="27859">
      <c r="A27859" s="48" t="s">
        <v>5016</v>
      </c>
      <c r="B27859" s="38">
        <v>34310.0</v>
      </c>
      <c r="C27859" s="38" t="s">
        <v>32317</v>
      </c>
      <c r="D27859" s="38" t="str">
        <f>IFERROR(__xludf.DUMMYFUNCTION("REGEXREPLACE(C27859,""-\d+(.*)|--\d+(.*)"","""")"),"THEZAN-LES-BEZIERS")</f>
        <v>THEZAN-LES-BEZIERS</v>
      </c>
      <c r="E27859" s="38" t="s">
        <v>118</v>
      </c>
      <c r="F27859" s="38" t="s">
        <v>119</v>
      </c>
      <c r="G27859" s="49" t="str">
        <f t="shared" si="1"/>
        <v>34490</v>
      </c>
      <c r="H27859" s="49">
        <f t="shared" si="2"/>
        <v>34310</v>
      </c>
    </row>
    <row r="27860">
      <c r="A27860" s="48" t="s">
        <v>16765</v>
      </c>
      <c r="B27860" s="38">
        <v>76692.0</v>
      </c>
      <c r="C27860" s="38" t="s">
        <v>32318</v>
      </c>
      <c r="D27860" s="38" t="str">
        <f>IFERROR(__xludf.DUMMYFUNCTION("REGEXREPLACE(C27860,""-\d+(.*)|--\d+(.*)"","""")"),"THIOUVILLE")</f>
        <v>THIOUVILLE</v>
      </c>
      <c r="E27860" s="38" t="s">
        <v>133</v>
      </c>
      <c r="F27860" s="38" t="s">
        <v>134</v>
      </c>
      <c r="G27860" s="49" t="str">
        <f t="shared" si="1"/>
        <v>76450</v>
      </c>
      <c r="H27860" s="49">
        <f t="shared" si="2"/>
        <v>76692</v>
      </c>
    </row>
    <row r="27861">
      <c r="A27861" s="48" t="s">
        <v>15686</v>
      </c>
      <c r="B27861" s="38">
        <v>69285.0</v>
      </c>
      <c r="C27861" s="38" t="s">
        <v>32319</v>
      </c>
      <c r="D27861" s="38" t="str">
        <f>IFERROR(__xludf.DUMMYFUNCTION("REGEXREPLACE(C27861,""-\d+(.*)|--\d+(.*)"","""")"),"PUSIGNAN")</f>
        <v>PUSIGNAN</v>
      </c>
      <c r="E27861" s="38" t="s">
        <v>350</v>
      </c>
      <c r="F27861" s="38" t="s">
        <v>102</v>
      </c>
      <c r="G27861" s="49" t="str">
        <f t="shared" si="1"/>
        <v>69330</v>
      </c>
      <c r="H27861" s="49">
        <f t="shared" si="2"/>
        <v>69285</v>
      </c>
    </row>
    <row r="27862">
      <c r="A27862" s="48" t="s">
        <v>14571</v>
      </c>
      <c r="B27862" s="38">
        <v>59100.0</v>
      </c>
      <c r="C27862" s="38" t="s">
        <v>32320</v>
      </c>
      <c r="D27862" s="38" t="str">
        <f>IFERROR(__xludf.DUMMYFUNCTION("REGEXREPLACE(C27862,""-\d+(.*)|--\d+(.*)"","""")"),"BOUSIGNIES")</f>
        <v>BOUSIGNIES</v>
      </c>
      <c r="E27862" s="38" t="s">
        <v>85</v>
      </c>
      <c r="F27862" s="38" t="s">
        <v>86</v>
      </c>
      <c r="G27862" s="49" t="str">
        <f t="shared" si="1"/>
        <v>59178</v>
      </c>
      <c r="H27862" s="49">
        <f t="shared" si="2"/>
        <v>59100</v>
      </c>
    </row>
    <row r="27863">
      <c r="A27863" s="48" t="s">
        <v>4259</v>
      </c>
      <c r="B27863" s="38">
        <v>32110.0</v>
      </c>
      <c r="C27863" s="38" t="s">
        <v>32321</v>
      </c>
      <c r="D27863" s="38" t="str">
        <f>IFERROR(__xludf.DUMMYFUNCTION("REGEXREPLACE(C27863,""-\d+(.*)|--\d+(.*)"","""")"),"COURRENSAN")</f>
        <v>COURRENSAN</v>
      </c>
      <c r="E27863" s="38" t="s">
        <v>440</v>
      </c>
      <c r="F27863" s="38" t="s">
        <v>94</v>
      </c>
      <c r="G27863" s="49" t="str">
        <f t="shared" si="1"/>
        <v>32330</v>
      </c>
      <c r="H27863" s="49">
        <f t="shared" si="2"/>
        <v>32110</v>
      </c>
    </row>
    <row r="27864">
      <c r="A27864" s="48" t="s">
        <v>2145</v>
      </c>
      <c r="B27864" s="38">
        <v>89472.0</v>
      </c>
      <c r="C27864" s="38" t="s">
        <v>32322</v>
      </c>
      <c r="D27864" s="38" t="str">
        <f>IFERROR(__xludf.DUMMYFUNCTION("REGEXREPLACE(C27864,""-\d+(.*)|--\d+(.*)"","""")"),"VILLIERS-SAINT-BENOIT")</f>
        <v>VILLIERS-SAINT-BENOIT</v>
      </c>
      <c r="E27864" s="38" t="s">
        <v>275</v>
      </c>
      <c r="F27864" s="38" t="s">
        <v>106</v>
      </c>
      <c r="G27864" s="49" t="str">
        <f t="shared" si="1"/>
        <v>89130</v>
      </c>
      <c r="H27864" s="49">
        <f t="shared" si="2"/>
        <v>89472</v>
      </c>
    </row>
    <row r="27865">
      <c r="A27865" s="48" t="s">
        <v>8265</v>
      </c>
      <c r="B27865" s="38">
        <v>28172.0</v>
      </c>
      <c r="C27865" s="38" t="s">
        <v>32323</v>
      </c>
      <c r="D27865" s="38" t="str">
        <f>IFERROR(__xludf.DUMMYFUNCTION("REGEXREPLACE(C27865,""-\d+(.*)|--\d+(.*)"","""")"),"GAS")</f>
        <v>GAS</v>
      </c>
      <c r="E27865" s="38" t="s">
        <v>300</v>
      </c>
      <c r="F27865" s="38" t="s">
        <v>123</v>
      </c>
      <c r="G27865" s="49" t="str">
        <f t="shared" si="1"/>
        <v>28320</v>
      </c>
      <c r="H27865" s="49">
        <f t="shared" si="2"/>
        <v>28172</v>
      </c>
    </row>
    <row r="27866">
      <c r="A27866" s="48" t="s">
        <v>2176</v>
      </c>
      <c r="B27866" s="38">
        <v>62797.0</v>
      </c>
      <c r="C27866" s="38" t="s">
        <v>32324</v>
      </c>
      <c r="D27866" s="38" t="str">
        <f>IFERROR(__xludf.DUMMYFUNCTION("REGEXREPLACE(C27866,""-\d+(.*)|--\d+(.*)"","""")"),"SIRACOURT")</f>
        <v>SIRACOURT</v>
      </c>
      <c r="E27866" s="38" t="s">
        <v>109</v>
      </c>
      <c r="F27866" s="38" t="s">
        <v>86</v>
      </c>
      <c r="G27866" s="49" t="str">
        <f t="shared" si="1"/>
        <v>62130</v>
      </c>
      <c r="H27866" s="49">
        <f t="shared" si="2"/>
        <v>62797</v>
      </c>
    </row>
    <row r="27867">
      <c r="A27867" s="48" t="s">
        <v>14356</v>
      </c>
      <c r="B27867" s="38">
        <v>27253.0</v>
      </c>
      <c r="C27867" s="38" t="s">
        <v>32325</v>
      </c>
      <c r="D27867" s="38" t="str">
        <f>IFERROR(__xludf.DUMMYFUNCTION("REGEXREPLACE(C27867,""-\d+(.*)|--\d+(.*)"","""")"),"FONTAINE-LA-SORET")</f>
        <v>FONTAINE-LA-SORET</v>
      </c>
      <c r="E27867" s="38" t="s">
        <v>241</v>
      </c>
      <c r="F27867" s="38" t="s">
        <v>134</v>
      </c>
      <c r="G27867" s="49" t="str">
        <f t="shared" si="1"/>
        <v>27550</v>
      </c>
      <c r="H27867" s="49">
        <f t="shared" si="2"/>
        <v>27253</v>
      </c>
    </row>
    <row r="27868">
      <c r="A27868" s="48" t="s">
        <v>3574</v>
      </c>
      <c r="B27868" s="38">
        <v>19182.0</v>
      </c>
      <c r="C27868" s="38" t="s">
        <v>32326</v>
      </c>
      <c r="D27868" s="38" t="str">
        <f>IFERROR(__xludf.DUMMYFUNCTION("REGEXREPLACE(C27868,""-\d+(.*)|--\d+(.*)"","""")"),"SAINT-AULAIRE")</f>
        <v>SAINT-AULAIRE</v>
      </c>
      <c r="E27868" s="38" t="s">
        <v>271</v>
      </c>
      <c r="F27868" s="38" t="s">
        <v>98</v>
      </c>
      <c r="G27868" s="49" t="str">
        <f t="shared" si="1"/>
        <v>19130</v>
      </c>
      <c r="H27868" s="49">
        <f t="shared" si="2"/>
        <v>19182</v>
      </c>
    </row>
    <row r="27869">
      <c r="A27869" s="48" t="s">
        <v>5417</v>
      </c>
      <c r="B27869" s="38">
        <v>24082.0</v>
      </c>
      <c r="C27869" s="38" t="s">
        <v>32327</v>
      </c>
      <c r="D27869" s="38" t="str">
        <f>IFERROR(__xludf.DUMMYFUNCTION("REGEXREPLACE(C27869,""-\d+(.*)|--\d+(.*)"","""")"),"CARSAC-AILLAC")</f>
        <v>CARSAC-AILLAC</v>
      </c>
      <c r="E27869" s="38" t="s">
        <v>261</v>
      </c>
      <c r="F27869" s="38" t="s">
        <v>252</v>
      </c>
      <c r="G27869" s="49" t="str">
        <f t="shared" si="1"/>
        <v>24200</v>
      </c>
      <c r="H27869" s="49">
        <f t="shared" si="2"/>
        <v>24082</v>
      </c>
    </row>
    <row r="27870">
      <c r="A27870" s="48" t="s">
        <v>407</v>
      </c>
      <c r="B27870" s="38">
        <v>71455.0</v>
      </c>
      <c r="C27870" s="38" t="s">
        <v>32328</v>
      </c>
      <c r="D27870" s="38" t="str">
        <f>IFERROR(__xludf.DUMMYFUNCTION("REGEXREPLACE(C27870,""-\d+(.*)|--\d+(.*)"","""")"),"SAINT-MARTIN-DU-TARTRE")</f>
        <v>SAINT-MARTIN-DU-TARTRE</v>
      </c>
      <c r="E27870" s="38" t="s">
        <v>344</v>
      </c>
      <c r="F27870" s="38" t="s">
        <v>106</v>
      </c>
      <c r="G27870" s="49" t="str">
        <f t="shared" si="1"/>
        <v>71460</v>
      </c>
      <c r="H27870" s="49">
        <f t="shared" si="2"/>
        <v>71455</v>
      </c>
    </row>
    <row r="27871">
      <c r="A27871" s="48" t="s">
        <v>1913</v>
      </c>
      <c r="B27871" s="38">
        <v>63025.0</v>
      </c>
      <c r="C27871" s="38" t="s">
        <v>32329</v>
      </c>
      <c r="D27871" s="38" t="str">
        <f>IFERROR(__xludf.DUMMYFUNCTION("REGEXREPLACE(C27871,""-\d+(.*)|--\d+(.*)"","""")"),"AYAT-SUR-SIOULE")</f>
        <v>AYAT-SUR-SIOULE</v>
      </c>
      <c r="E27871" s="38" t="s">
        <v>353</v>
      </c>
      <c r="F27871" s="38" t="s">
        <v>161</v>
      </c>
      <c r="G27871" s="49" t="str">
        <f t="shared" si="1"/>
        <v>63390</v>
      </c>
      <c r="H27871" s="49">
        <f t="shared" si="2"/>
        <v>63025</v>
      </c>
    </row>
    <row r="27872">
      <c r="A27872" s="48" t="s">
        <v>6334</v>
      </c>
      <c r="B27872" s="38">
        <v>43140.0</v>
      </c>
      <c r="C27872" s="38" t="s">
        <v>20375</v>
      </c>
      <c r="D27872" s="38" t="str">
        <f>IFERROR(__xludf.DUMMYFUNCTION("REGEXREPLACE(C27872,""-\d+(.*)|--\d+(.*)"","""")"),"LE MONTEIL")</f>
        <v>LE MONTEIL</v>
      </c>
      <c r="E27872" s="38" t="s">
        <v>332</v>
      </c>
      <c r="F27872" s="38" t="s">
        <v>161</v>
      </c>
      <c r="G27872" s="49" t="str">
        <f t="shared" si="1"/>
        <v>43700</v>
      </c>
      <c r="H27872" s="49">
        <f t="shared" si="2"/>
        <v>43140</v>
      </c>
    </row>
    <row r="27873">
      <c r="A27873" s="48" t="s">
        <v>19664</v>
      </c>
      <c r="B27873" s="38">
        <v>57407.0</v>
      </c>
      <c r="C27873" s="38" t="s">
        <v>32330</v>
      </c>
      <c r="D27873" s="38" t="str">
        <f>IFERROR(__xludf.DUMMYFUNCTION("REGEXREPLACE(C27873,""-\d+(.*)|--\d+(.*)"","""")"),"LIXHEIM")</f>
        <v>LIXHEIM</v>
      </c>
      <c r="E27873" s="38" t="s">
        <v>303</v>
      </c>
      <c r="F27873" s="38" t="s">
        <v>195</v>
      </c>
      <c r="G27873" s="49" t="str">
        <f t="shared" si="1"/>
        <v>57635</v>
      </c>
      <c r="H27873" s="49">
        <f t="shared" si="2"/>
        <v>57407</v>
      </c>
    </row>
    <row r="27874">
      <c r="A27874" s="48" t="s">
        <v>6586</v>
      </c>
      <c r="B27874" s="38">
        <v>82084.0</v>
      </c>
      <c r="C27874" s="38" t="s">
        <v>32331</v>
      </c>
      <c r="D27874" s="38" t="str">
        <f>IFERROR(__xludf.DUMMYFUNCTION("REGEXREPLACE(C27874,""-\d+(.*)|--\d+(.*)"","""")"),"LACOUR")</f>
        <v>LACOUR</v>
      </c>
      <c r="E27874" s="38" t="s">
        <v>570</v>
      </c>
      <c r="F27874" s="38" t="s">
        <v>94</v>
      </c>
      <c r="G27874" s="49" t="str">
        <f t="shared" si="1"/>
        <v>82190</v>
      </c>
      <c r="H27874" s="49">
        <f t="shared" si="2"/>
        <v>82084</v>
      </c>
    </row>
    <row r="27875">
      <c r="A27875" s="48" t="s">
        <v>423</v>
      </c>
      <c r="B27875" s="38">
        <v>2822.0</v>
      </c>
      <c r="C27875" s="38" t="s">
        <v>32332</v>
      </c>
      <c r="D27875" s="38" t="str">
        <f>IFERROR(__xludf.DUMMYFUNCTION("REGEXREPLACE(C27875,""-\d+(.*)|--\d+(.*)"","""")"),"VIVIERES")</f>
        <v>VIVIERES</v>
      </c>
      <c r="E27875" s="38" t="s">
        <v>191</v>
      </c>
      <c r="F27875" s="38" t="s">
        <v>113</v>
      </c>
      <c r="G27875" s="49" t="str">
        <f t="shared" si="1"/>
        <v>02600</v>
      </c>
      <c r="H27875" s="49" t="str">
        <f t="shared" si="2"/>
        <v>02822</v>
      </c>
    </row>
    <row r="27876">
      <c r="A27876" s="48" t="s">
        <v>330</v>
      </c>
      <c r="B27876" s="38">
        <v>43098.0</v>
      </c>
      <c r="C27876" s="38" t="s">
        <v>32333</v>
      </c>
      <c r="D27876" s="38" t="str">
        <f>IFERROR(__xludf.DUMMYFUNCTION("REGEXREPLACE(C27876,""-\d+(.*)|--\d+(.*)"","""")"),"FREYCENET-LA-TOUR")</f>
        <v>FREYCENET-LA-TOUR</v>
      </c>
      <c r="E27876" s="38" t="s">
        <v>332</v>
      </c>
      <c r="F27876" s="38" t="s">
        <v>161</v>
      </c>
      <c r="G27876" s="49" t="str">
        <f t="shared" si="1"/>
        <v>43150</v>
      </c>
      <c r="H27876" s="49">
        <f t="shared" si="2"/>
        <v>43098</v>
      </c>
    </row>
    <row r="27877">
      <c r="A27877" s="48" t="s">
        <v>1841</v>
      </c>
      <c r="B27877" s="38">
        <v>27402.0</v>
      </c>
      <c r="C27877" s="38" t="s">
        <v>32334</v>
      </c>
      <c r="D27877" s="38" t="str">
        <f>IFERROR(__xludf.DUMMYFUNCTION("REGEXREPLACE(C27877,""-\d+(.*)|--\d+(.*)"","""")"),"LE MESNIL-HARDRAY")</f>
        <v>LE MESNIL-HARDRAY</v>
      </c>
      <c r="E27877" s="38" t="s">
        <v>241</v>
      </c>
      <c r="F27877" s="38" t="s">
        <v>134</v>
      </c>
      <c r="G27877" s="49" t="str">
        <f t="shared" si="1"/>
        <v>27190</v>
      </c>
      <c r="H27877" s="49">
        <f t="shared" si="2"/>
        <v>27402</v>
      </c>
    </row>
    <row r="27878">
      <c r="A27878" s="48" t="s">
        <v>19293</v>
      </c>
      <c r="B27878" s="38">
        <v>18023.0</v>
      </c>
      <c r="C27878" s="38" t="s">
        <v>1084</v>
      </c>
      <c r="D27878" s="38" t="str">
        <f>IFERROR(__xludf.DUMMYFUNCTION("REGEXREPLACE(C27878,""-\d+(.*)|--\d+(.*)"","""")"),"BAUGY")</f>
        <v>BAUGY</v>
      </c>
      <c r="E27878" s="38" t="s">
        <v>504</v>
      </c>
      <c r="F27878" s="38" t="s">
        <v>123</v>
      </c>
      <c r="G27878" s="49" t="str">
        <f t="shared" si="1"/>
        <v>18800</v>
      </c>
      <c r="H27878" s="49">
        <f t="shared" si="2"/>
        <v>18023</v>
      </c>
    </row>
    <row r="27879">
      <c r="A27879" s="48" t="s">
        <v>32335</v>
      </c>
      <c r="B27879" s="38">
        <v>57242.0</v>
      </c>
      <c r="C27879" s="38" t="s">
        <v>32336</v>
      </c>
      <c r="D27879" s="38" t="str">
        <f>IFERROR(__xludf.DUMMYFUNCTION("REGEXREPLACE(C27879,""-\d+(.*)|--\d+(.*)"","""")"),"GANDRANGE")</f>
        <v>GANDRANGE</v>
      </c>
      <c r="E27879" s="38" t="s">
        <v>303</v>
      </c>
      <c r="F27879" s="38" t="s">
        <v>195</v>
      </c>
      <c r="G27879" s="49" t="str">
        <f t="shared" si="1"/>
        <v>57175</v>
      </c>
      <c r="H27879" s="49">
        <f t="shared" si="2"/>
        <v>57242</v>
      </c>
    </row>
    <row r="27880">
      <c r="A27880" s="48" t="s">
        <v>1400</v>
      </c>
      <c r="B27880" s="38">
        <v>21251.0</v>
      </c>
      <c r="C27880" s="38" t="s">
        <v>32337</v>
      </c>
      <c r="D27880" s="38" t="str">
        <f>IFERROR(__xludf.DUMMYFUNCTION("REGEXREPLACE(C27880,""-\d+(.*)|--\d+(.*)"","""")"),"ESSEY")</f>
        <v>ESSEY</v>
      </c>
      <c r="E27880" s="38" t="s">
        <v>105</v>
      </c>
      <c r="F27880" s="38" t="s">
        <v>106</v>
      </c>
      <c r="G27880" s="49" t="str">
        <f t="shared" si="1"/>
        <v>21320</v>
      </c>
      <c r="H27880" s="49">
        <f t="shared" si="2"/>
        <v>21251</v>
      </c>
    </row>
    <row r="27881">
      <c r="A27881" s="48" t="s">
        <v>1042</v>
      </c>
      <c r="B27881" s="38">
        <v>60509.0</v>
      </c>
      <c r="C27881" s="38" t="s">
        <v>32338</v>
      </c>
      <c r="D27881" s="38" t="str">
        <f>IFERROR(__xludf.DUMMYFUNCTION("REGEXREPLACE(C27881,""-\d+(.*)|--\d+(.*)"","""")"),"PONT-SAINTE-MAXENCE")</f>
        <v>PONT-SAINTE-MAXENCE</v>
      </c>
      <c r="E27881" s="38" t="s">
        <v>112</v>
      </c>
      <c r="F27881" s="38" t="s">
        <v>113</v>
      </c>
      <c r="G27881" s="49" t="str">
        <f t="shared" si="1"/>
        <v>60700</v>
      </c>
      <c r="H27881" s="49">
        <f t="shared" si="2"/>
        <v>60509</v>
      </c>
    </row>
    <row r="27882">
      <c r="A27882" s="48" t="s">
        <v>407</v>
      </c>
      <c r="B27882" s="38">
        <v>71400.0</v>
      </c>
      <c r="C27882" s="38" t="s">
        <v>32339</v>
      </c>
      <c r="D27882" s="38" t="str">
        <f>IFERROR(__xludf.DUMMYFUNCTION("REGEXREPLACE(C27882,""-\d+(.*)|--\d+(.*)"","""")"),"SAINT-CLEMENT-SUR-GUYE")</f>
        <v>SAINT-CLEMENT-SUR-GUYE</v>
      </c>
      <c r="E27882" s="38" t="s">
        <v>344</v>
      </c>
      <c r="F27882" s="38" t="s">
        <v>106</v>
      </c>
      <c r="G27882" s="49" t="str">
        <f t="shared" si="1"/>
        <v>71460</v>
      </c>
      <c r="H27882" s="49">
        <f t="shared" si="2"/>
        <v>71400</v>
      </c>
    </row>
    <row r="27883">
      <c r="A27883" s="48" t="s">
        <v>7490</v>
      </c>
      <c r="B27883" s="38">
        <v>60406.0</v>
      </c>
      <c r="C27883" s="38" t="s">
        <v>32340</v>
      </c>
      <c r="D27883" s="38" t="str">
        <f>IFERROR(__xludf.DUMMYFUNCTION("REGEXREPLACE(C27883,""-\d+(.*)|--\d+(.*)"","""")"),"MONCEAUX")</f>
        <v>MONCEAUX</v>
      </c>
      <c r="E27883" s="38" t="s">
        <v>112</v>
      </c>
      <c r="F27883" s="38" t="s">
        <v>113</v>
      </c>
      <c r="G27883" s="49" t="str">
        <f t="shared" si="1"/>
        <v>60940</v>
      </c>
      <c r="H27883" s="49">
        <f t="shared" si="2"/>
        <v>60406</v>
      </c>
    </row>
    <row r="27884">
      <c r="A27884" s="48" t="s">
        <v>4328</v>
      </c>
      <c r="B27884" s="38">
        <v>70022.0</v>
      </c>
      <c r="C27884" s="38" t="s">
        <v>32341</v>
      </c>
      <c r="D27884" s="38" t="str">
        <f>IFERROR(__xludf.DUMMYFUNCTION("REGEXREPLACE(C27884,""-\d+(.*)|--\d+(.*)"","""")"),"ANGIREY")</f>
        <v>ANGIREY</v>
      </c>
      <c r="E27884" s="38" t="s">
        <v>956</v>
      </c>
      <c r="F27884" s="38" t="s">
        <v>214</v>
      </c>
      <c r="G27884" s="49" t="str">
        <f t="shared" si="1"/>
        <v>70700</v>
      </c>
      <c r="H27884" s="49">
        <f t="shared" si="2"/>
        <v>70022</v>
      </c>
    </row>
    <row r="27885">
      <c r="A27885" s="48" t="s">
        <v>2075</v>
      </c>
      <c r="B27885" s="38">
        <v>46096.0</v>
      </c>
      <c r="C27885" s="38" t="s">
        <v>32342</v>
      </c>
      <c r="D27885" s="38" t="str">
        <f>IFERROR(__xludf.DUMMYFUNCTION("REGEXREPLACE(C27885,""-\d+(.*)|--\d+(.*)"","""")"),"ESPEYROUX")</f>
        <v>ESPEYROUX</v>
      </c>
      <c r="E27885" s="38" t="s">
        <v>185</v>
      </c>
      <c r="F27885" s="38" t="s">
        <v>94</v>
      </c>
      <c r="G27885" s="49" t="str">
        <f t="shared" si="1"/>
        <v>46120</v>
      </c>
      <c r="H27885" s="49">
        <f t="shared" si="2"/>
        <v>46096</v>
      </c>
    </row>
    <row r="27886">
      <c r="A27886" s="48" t="s">
        <v>2243</v>
      </c>
      <c r="B27886" s="38">
        <v>17024.0</v>
      </c>
      <c r="C27886" s="38" t="s">
        <v>20484</v>
      </c>
      <c r="D27886" s="38" t="str">
        <f>IFERROR(__xludf.DUMMYFUNCTION("REGEXREPLACE(C27886,""-\d+(.*)|--\d+(.*)"","""")"),"AULNAY")</f>
        <v>AULNAY</v>
      </c>
      <c r="E27886" s="38" t="s">
        <v>488</v>
      </c>
      <c r="F27886" s="38" t="s">
        <v>338</v>
      </c>
      <c r="G27886" s="49" t="str">
        <f t="shared" si="1"/>
        <v>17470</v>
      </c>
      <c r="H27886" s="49">
        <f t="shared" si="2"/>
        <v>17024</v>
      </c>
    </row>
    <row r="27887">
      <c r="A27887" s="48" t="s">
        <v>2600</v>
      </c>
      <c r="B27887" s="38">
        <v>60443.0</v>
      </c>
      <c r="C27887" s="38" t="s">
        <v>32343</v>
      </c>
      <c r="D27887" s="38" t="str">
        <f>IFERROR(__xludf.DUMMYFUNCTION("REGEXREPLACE(C27887,""-\d+(.*)|--\d+(.*)"","""")"),"MUIRANCOURT")</f>
        <v>MUIRANCOURT</v>
      </c>
      <c r="E27887" s="38" t="s">
        <v>112</v>
      </c>
      <c r="F27887" s="38" t="s">
        <v>113</v>
      </c>
      <c r="G27887" s="49" t="str">
        <f t="shared" si="1"/>
        <v>60640</v>
      </c>
      <c r="H27887" s="49">
        <f t="shared" si="2"/>
        <v>60443</v>
      </c>
    </row>
    <row r="27888">
      <c r="A27888" s="48" t="s">
        <v>13752</v>
      </c>
      <c r="B27888" s="38">
        <v>72360.0</v>
      </c>
      <c r="C27888" s="38" t="s">
        <v>32344</v>
      </c>
      <c r="D27888" s="38" t="str">
        <f>IFERROR(__xludf.DUMMYFUNCTION("REGEXREPLACE(C27888,""-\d+(.*)|--\d+(.*)"","""")"),"TRANGE")</f>
        <v>TRANGE</v>
      </c>
      <c r="E27888" s="38" t="s">
        <v>521</v>
      </c>
      <c r="F27888" s="38" t="s">
        <v>180</v>
      </c>
      <c r="G27888" s="49" t="str">
        <f t="shared" si="1"/>
        <v>72650</v>
      </c>
      <c r="H27888" s="49">
        <f t="shared" si="2"/>
        <v>72360</v>
      </c>
    </row>
    <row r="27889">
      <c r="A27889" s="48" t="s">
        <v>1081</v>
      </c>
      <c r="B27889" s="38">
        <v>14501.0</v>
      </c>
      <c r="C27889" s="38" t="s">
        <v>32345</v>
      </c>
      <c r="D27889" s="38" t="str">
        <f>IFERROR(__xludf.DUMMYFUNCTION("REGEXREPLACE(C27889,""-\d+(.*)|--\d+(.*)"","""")"),"PIERREFITTE-EN-CINGLAIS")</f>
        <v>PIERREFITTE-EN-CINGLAIS</v>
      </c>
      <c r="E27889" s="38" t="s">
        <v>137</v>
      </c>
      <c r="F27889" s="38" t="s">
        <v>138</v>
      </c>
      <c r="G27889" s="49" t="str">
        <f t="shared" si="1"/>
        <v>14690</v>
      </c>
      <c r="H27889" s="49">
        <f t="shared" si="2"/>
        <v>14501</v>
      </c>
    </row>
    <row r="27890">
      <c r="A27890" s="48" t="s">
        <v>3404</v>
      </c>
      <c r="B27890" s="38">
        <v>39467.0</v>
      </c>
      <c r="C27890" s="38" t="s">
        <v>32346</v>
      </c>
      <c r="D27890" s="38" t="str">
        <f>IFERROR(__xludf.DUMMYFUNCTION("REGEXREPLACE(C27890,""-\d+(.*)|--\d+(.*)"","""")"),"ROTALIER")</f>
        <v>ROTALIER</v>
      </c>
      <c r="E27890" s="38" t="s">
        <v>400</v>
      </c>
      <c r="F27890" s="38" t="s">
        <v>214</v>
      </c>
      <c r="G27890" s="49" t="str">
        <f t="shared" si="1"/>
        <v>39190</v>
      </c>
      <c r="H27890" s="49">
        <f t="shared" si="2"/>
        <v>39467</v>
      </c>
    </row>
    <row r="27891">
      <c r="A27891" s="48" t="s">
        <v>7933</v>
      </c>
      <c r="B27891" s="38">
        <v>27037.0</v>
      </c>
      <c r="C27891" s="38" t="s">
        <v>32347</v>
      </c>
      <c r="D27891" s="38" t="str">
        <f>IFERROR(__xludf.DUMMYFUNCTION("REGEXREPLACE(C27891,""-\d+(.*)|--\d+(.*)"","""")"),"BARC")</f>
        <v>BARC</v>
      </c>
      <c r="E27891" s="38" t="s">
        <v>241</v>
      </c>
      <c r="F27891" s="38" t="s">
        <v>134</v>
      </c>
      <c r="G27891" s="49" t="str">
        <f t="shared" si="1"/>
        <v>27170</v>
      </c>
      <c r="H27891" s="49">
        <f t="shared" si="2"/>
        <v>27037</v>
      </c>
    </row>
    <row r="27892">
      <c r="A27892" s="48" t="s">
        <v>8317</v>
      </c>
      <c r="B27892" s="38">
        <v>77483.0</v>
      </c>
      <c r="C27892" s="38" t="s">
        <v>32348</v>
      </c>
      <c r="D27892" s="38" t="str">
        <f>IFERROR(__xludf.DUMMYFUNCTION("REGEXREPLACE(C27892,""-\d+(.*)|--\d+(.*)"","""")"),"VARREDDES")</f>
        <v>VARREDDES</v>
      </c>
      <c r="E27892" s="38" t="s">
        <v>244</v>
      </c>
      <c r="F27892" s="38" t="s">
        <v>245</v>
      </c>
      <c r="G27892" s="49" t="str">
        <f t="shared" si="1"/>
        <v>77910</v>
      </c>
      <c r="H27892" s="49">
        <f t="shared" si="2"/>
        <v>77483</v>
      </c>
    </row>
    <row r="27893">
      <c r="A27893" s="48" t="s">
        <v>3621</v>
      </c>
      <c r="B27893" s="38">
        <v>52155.0</v>
      </c>
      <c r="C27893" s="38" t="s">
        <v>32349</v>
      </c>
      <c r="D27893" s="38" t="str">
        <f>IFERROR(__xludf.DUMMYFUNCTION("REGEXREPLACE(C27893,""-\d+(.*)|--\d+(.*)"","""")"),"CULMONT")</f>
        <v>CULMONT</v>
      </c>
      <c r="E27893" s="38" t="s">
        <v>234</v>
      </c>
      <c r="F27893" s="38" t="s">
        <v>130</v>
      </c>
      <c r="G27893" s="49" t="str">
        <f t="shared" si="1"/>
        <v>52600</v>
      </c>
      <c r="H27893" s="49">
        <f t="shared" si="2"/>
        <v>52155</v>
      </c>
    </row>
    <row r="27894">
      <c r="A27894" s="48" t="s">
        <v>5470</v>
      </c>
      <c r="B27894" s="38">
        <v>65001.0</v>
      </c>
      <c r="C27894" s="38" t="s">
        <v>32350</v>
      </c>
      <c r="D27894" s="38" t="str">
        <f>IFERROR(__xludf.DUMMYFUNCTION("REGEXREPLACE(C27894,""-\d+(.*)|--\d+(.*)"","""")"),"ADAST")</f>
        <v>ADAST</v>
      </c>
      <c r="E27894" s="38" t="s">
        <v>200</v>
      </c>
      <c r="F27894" s="38" t="s">
        <v>94</v>
      </c>
      <c r="G27894" s="49" t="str">
        <f t="shared" si="1"/>
        <v>65260</v>
      </c>
      <c r="H27894" s="49">
        <f t="shared" si="2"/>
        <v>65001</v>
      </c>
    </row>
    <row r="27895">
      <c r="A27895" s="48" t="s">
        <v>11490</v>
      </c>
      <c r="B27895" s="38">
        <v>59106.0</v>
      </c>
      <c r="C27895" s="38" t="s">
        <v>32351</v>
      </c>
      <c r="D27895" s="38" t="str">
        <f>IFERROR(__xludf.DUMMYFUNCTION("REGEXREPLACE(C27895,""-\d+(.*)|--\d+(.*)"","""")"),"BOUVINES")</f>
        <v>BOUVINES</v>
      </c>
      <c r="E27895" s="38" t="s">
        <v>85</v>
      </c>
      <c r="F27895" s="38" t="s">
        <v>86</v>
      </c>
      <c r="G27895" s="49" t="str">
        <f t="shared" si="1"/>
        <v>59830</v>
      </c>
      <c r="H27895" s="49">
        <f t="shared" si="2"/>
        <v>59106</v>
      </c>
    </row>
    <row r="27896">
      <c r="A27896" s="48" t="s">
        <v>6414</v>
      </c>
      <c r="B27896" s="38">
        <v>34252.0</v>
      </c>
      <c r="C27896" s="38" t="s">
        <v>32352</v>
      </c>
      <c r="D27896" s="38" t="str">
        <f>IFERROR(__xludf.DUMMYFUNCTION("REGEXREPLACE(C27896,""-\d+(.*)|--\d+(.*)"","""")"),"SAINT-ETIENNE-ESTRECHOUX")</f>
        <v>SAINT-ETIENNE-ESTRECHOUX</v>
      </c>
      <c r="E27896" s="38" t="s">
        <v>118</v>
      </c>
      <c r="F27896" s="38" t="s">
        <v>119</v>
      </c>
      <c r="G27896" s="49" t="str">
        <f t="shared" si="1"/>
        <v>34260</v>
      </c>
      <c r="H27896" s="49">
        <f t="shared" si="2"/>
        <v>34252</v>
      </c>
    </row>
    <row r="27897">
      <c r="A27897" s="48" t="s">
        <v>17192</v>
      </c>
      <c r="B27897" s="38">
        <v>35206.0</v>
      </c>
      <c r="C27897" s="38" t="s">
        <v>32353</v>
      </c>
      <c r="D27897" s="38" t="str">
        <f>IFERROR(__xludf.DUMMYFUNCTION("REGEXREPLACE(C27897,""-\d+(.*)|--\d+(.*)"","""")"),"NOYAL-CHATILLON-SUR-SEICHE")</f>
        <v>NOYAL-CHATILLON-SUR-SEICHE</v>
      </c>
      <c r="E27897" s="38" t="s">
        <v>347</v>
      </c>
      <c r="F27897" s="38" t="s">
        <v>90</v>
      </c>
      <c r="G27897" s="49" t="str">
        <f t="shared" si="1"/>
        <v>35230</v>
      </c>
      <c r="H27897" s="49">
        <f t="shared" si="2"/>
        <v>35206</v>
      </c>
    </row>
    <row r="27898">
      <c r="A27898" s="48" t="s">
        <v>1603</v>
      </c>
      <c r="B27898" s="38">
        <v>25084.0</v>
      </c>
      <c r="C27898" s="38" t="s">
        <v>32354</v>
      </c>
      <c r="D27898" s="38" t="str">
        <f>IFERROR(__xludf.DUMMYFUNCTION("REGEXREPLACE(C27898,""-\d+(.*)|--\d+(.*)"","""")"),"BOUSSIERES")</f>
        <v>BOUSSIERES</v>
      </c>
      <c r="E27898" s="38" t="s">
        <v>213</v>
      </c>
      <c r="F27898" s="38" t="s">
        <v>214</v>
      </c>
      <c r="G27898" s="49" t="str">
        <f t="shared" si="1"/>
        <v>25320</v>
      </c>
      <c r="H27898" s="49">
        <f t="shared" si="2"/>
        <v>25084</v>
      </c>
    </row>
    <row r="27899">
      <c r="A27899" s="48" t="s">
        <v>12799</v>
      </c>
      <c r="B27899" s="38">
        <v>11233.0</v>
      </c>
      <c r="C27899" s="38" t="s">
        <v>32355</v>
      </c>
      <c r="D27899" s="38" t="str">
        <f>IFERROR(__xludf.DUMMYFUNCTION("REGEXREPLACE(C27899,""-\d+(.*)|--\d+(.*)"","""")"),"MIREPEISSET")</f>
        <v>MIREPEISSET</v>
      </c>
      <c r="E27899" s="38" t="s">
        <v>278</v>
      </c>
      <c r="F27899" s="38" t="s">
        <v>119</v>
      </c>
      <c r="G27899" s="49" t="str">
        <f t="shared" si="1"/>
        <v>11120</v>
      </c>
      <c r="H27899" s="49">
        <f t="shared" si="2"/>
        <v>11233</v>
      </c>
    </row>
    <row r="27900">
      <c r="A27900" s="48" t="s">
        <v>1483</v>
      </c>
      <c r="B27900" s="38">
        <v>80763.0</v>
      </c>
      <c r="C27900" s="38" t="s">
        <v>32356</v>
      </c>
      <c r="D27900" s="38" t="str">
        <f>IFERROR(__xludf.DUMMYFUNCTION("REGEXREPLACE(C27900,""-\d+(.*)|--\d+(.*)"","""")"),"LE TITRE")</f>
        <v>LE TITRE</v>
      </c>
      <c r="E27900" s="38" t="s">
        <v>224</v>
      </c>
      <c r="F27900" s="38" t="s">
        <v>113</v>
      </c>
      <c r="G27900" s="49" t="str">
        <f t="shared" si="1"/>
        <v>80132</v>
      </c>
      <c r="H27900" s="49">
        <f t="shared" si="2"/>
        <v>80763</v>
      </c>
    </row>
    <row r="27901">
      <c r="A27901" s="48" t="s">
        <v>470</v>
      </c>
      <c r="B27901" s="38">
        <v>8377.0</v>
      </c>
      <c r="C27901" s="38" t="s">
        <v>7967</v>
      </c>
      <c r="D27901" s="38" t="str">
        <f>IFERROR(__xludf.DUMMYFUNCTION("REGEXREPLACE(C27901,""-\d+(.*)|--\d+(.*)"","""")"),"SAINT-AIGNAN")</f>
        <v>SAINT-AIGNAN</v>
      </c>
      <c r="E27901" s="38" t="s">
        <v>327</v>
      </c>
      <c r="F27901" s="38" t="s">
        <v>130</v>
      </c>
      <c r="G27901" s="49" t="str">
        <f t="shared" si="1"/>
        <v>08350</v>
      </c>
      <c r="H27901" s="49" t="str">
        <f t="shared" si="2"/>
        <v>08377</v>
      </c>
    </row>
    <row r="27902">
      <c r="A27902" s="48" t="s">
        <v>18596</v>
      </c>
      <c r="B27902" s="38">
        <v>15120.0</v>
      </c>
      <c r="C27902" s="38" t="s">
        <v>3522</v>
      </c>
      <c r="D27902" s="38" t="str">
        <f>IFERROR(__xludf.DUMMYFUNCTION("REGEXREPLACE(C27902,""-\d+(.*)|--\d+(.*)"","""")"),"MAURIAC")</f>
        <v>MAURIAC</v>
      </c>
      <c r="E27902" s="38" t="s">
        <v>632</v>
      </c>
      <c r="F27902" s="38" t="s">
        <v>161</v>
      </c>
      <c r="G27902" s="49" t="str">
        <f t="shared" si="1"/>
        <v>15200</v>
      </c>
      <c r="H27902" s="49">
        <f t="shared" si="2"/>
        <v>15120</v>
      </c>
    </row>
    <row r="27903">
      <c r="A27903" s="48" t="s">
        <v>1364</v>
      </c>
      <c r="B27903" s="38">
        <v>64077.0</v>
      </c>
      <c r="C27903" s="38" t="s">
        <v>32357</v>
      </c>
      <c r="D27903" s="38" t="str">
        <f>IFERROR(__xludf.DUMMYFUNCTION("REGEXREPLACE(C27903,""-\d+(.*)|--\d+(.*)"","""")"),"AUGA")</f>
        <v>AUGA</v>
      </c>
      <c r="E27903" s="38" t="s">
        <v>268</v>
      </c>
      <c r="F27903" s="38" t="s">
        <v>252</v>
      </c>
      <c r="G27903" s="49" t="str">
        <f t="shared" si="1"/>
        <v>64450</v>
      </c>
      <c r="H27903" s="49">
        <f t="shared" si="2"/>
        <v>64077</v>
      </c>
    </row>
    <row r="27904">
      <c r="A27904" s="48" t="s">
        <v>12671</v>
      </c>
      <c r="B27904" s="38">
        <v>60652.0</v>
      </c>
      <c r="C27904" s="38" t="s">
        <v>32358</v>
      </c>
      <c r="D27904" s="38" t="str">
        <f>IFERROR(__xludf.DUMMYFUNCTION("REGEXREPLACE(C27904,""-\d+(.*)|--\d+(.*)"","""")"),"VALDAMPIERRE")</f>
        <v>VALDAMPIERRE</v>
      </c>
      <c r="E27904" s="38" t="s">
        <v>112</v>
      </c>
      <c r="F27904" s="38" t="s">
        <v>113</v>
      </c>
      <c r="G27904" s="49" t="str">
        <f t="shared" si="1"/>
        <v>60790</v>
      </c>
      <c r="H27904" s="49">
        <f t="shared" si="2"/>
        <v>60652</v>
      </c>
    </row>
    <row r="27905">
      <c r="A27905" s="48" t="s">
        <v>32359</v>
      </c>
      <c r="B27905" s="38">
        <v>57179.0</v>
      </c>
      <c r="C27905" s="38" t="s">
        <v>32360</v>
      </c>
      <c r="D27905" s="38" t="str">
        <f>IFERROR(__xludf.DUMMYFUNCTION("REGEXREPLACE(C27905,""-\d+(.*)|--\d+(.*)"","""")"),"DISTROFF")</f>
        <v>DISTROFF</v>
      </c>
      <c r="E27905" s="38" t="s">
        <v>303</v>
      </c>
      <c r="F27905" s="38" t="s">
        <v>195</v>
      </c>
      <c r="G27905" s="49" t="str">
        <f t="shared" si="1"/>
        <v>57925</v>
      </c>
      <c r="H27905" s="49">
        <f t="shared" si="2"/>
        <v>57179</v>
      </c>
    </row>
    <row r="27906">
      <c r="A27906" s="48" t="s">
        <v>13555</v>
      </c>
      <c r="B27906" s="38">
        <v>57645.0</v>
      </c>
      <c r="C27906" s="38" t="s">
        <v>32361</v>
      </c>
      <c r="D27906" s="38" t="str">
        <f>IFERROR(__xludf.DUMMYFUNCTION("REGEXREPLACE(C27906,""-\d+(.*)|--\d+(.*)"","""")"),"SEMECOURT")</f>
        <v>SEMECOURT</v>
      </c>
      <c r="E27906" s="38" t="s">
        <v>303</v>
      </c>
      <c r="F27906" s="38" t="s">
        <v>195</v>
      </c>
      <c r="G27906" s="49" t="str">
        <f t="shared" si="1"/>
        <v>57280</v>
      </c>
      <c r="H27906" s="49">
        <f t="shared" si="2"/>
        <v>57645</v>
      </c>
    </row>
    <row r="27907">
      <c r="A27907" s="48" t="s">
        <v>4290</v>
      </c>
      <c r="B27907" s="38">
        <v>69005.0</v>
      </c>
      <c r="C27907" s="38" t="s">
        <v>32362</v>
      </c>
      <c r="D27907" s="38" t="str">
        <f>IFERROR(__xludf.DUMMYFUNCTION("REGEXREPLACE(C27907,""-\d+(.*)|--\d+(.*)"","""")"),"AMBERIEUX")</f>
        <v>AMBERIEUX</v>
      </c>
      <c r="E27907" s="38" t="s">
        <v>350</v>
      </c>
      <c r="F27907" s="38" t="s">
        <v>102</v>
      </c>
      <c r="G27907" s="49" t="str">
        <f t="shared" si="1"/>
        <v>69480</v>
      </c>
      <c r="H27907" s="49">
        <f t="shared" si="2"/>
        <v>69005</v>
      </c>
    </row>
    <row r="27908">
      <c r="A27908" s="48" t="s">
        <v>5674</v>
      </c>
      <c r="B27908" s="38">
        <v>55035.0</v>
      </c>
      <c r="C27908" s="38" t="s">
        <v>32363</v>
      </c>
      <c r="D27908" s="38" t="str">
        <f>IFERROR(__xludf.DUMMYFUNCTION("REGEXREPLACE(C27908,""-\d+(.*)|--\d+(.*)"","""")"),"BAZINCOURT-SUR-SAULX")</f>
        <v>BAZINCOURT-SUR-SAULX</v>
      </c>
      <c r="E27908" s="38" t="s">
        <v>322</v>
      </c>
      <c r="F27908" s="38" t="s">
        <v>195</v>
      </c>
      <c r="G27908" s="49" t="str">
        <f t="shared" si="1"/>
        <v>55170</v>
      </c>
      <c r="H27908" s="49">
        <f t="shared" si="2"/>
        <v>55035</v>
      </c>
    </row>
    <row r="27909">
      <c r="A27909" s="48" t="s">
        <v>2861</v>
      </c>
      <c r="B27909" s="38">
        <v>62638.0</v>
      </c>
      <c r="C27909" s="38" t="s">
        <v>32364</v>
      </c>
      <c r="D27909" s="38" t="str">
        <f>IFERROR(__xludf.DUMMYFUNCTION("REGEXREPLACE(C27909,""-\d+(.*)|--\d+(.*)"","""")"),"OISY-LE-VERGER")</f>
        <v>OISY-LE-VERGER</v>
      </c>
      <c r="E27909" s="38" t="s">
        <v>109</v>
      </c>
      <c r="F27909" s="38" t="s">
        <v>86</v>
      </c>
      <c r="G27909" s="49" t="str">
        <f t="shared" si="1"/>
        <v>62860</v>
      </c>
      <c r="H27909" s="49">
        <f t="shared" si="2"/>
        <v>62638</v>
      </c>
    </row>
    <row r="27910">
      <c r="A27910" s="48" t="s">
        <v>3389</v>
      </c>
      <c r="B27910" s="38">
        <v>33320.0</v>
      </c>
      <c r="C27910" s="38" t="s">
        <v>32365</v>
      </c>
      <c r="D27910" s="38" t="str">
        <f>IFERROR(__xludf.DUMMYFUNCTION("REGEXREPLACE(C27910,""-\d+(.*)|--\d+(.*)"","""")"),"PETIT-PALAIS-ET-CORNEMPS")</f>
        <v>PETIT-PALAIS-ET-CORNEMPS</v>
      </c>
      <c r="E27910" s="38" t="s">
        <v>462</v>
      </c>
      <c r="F27910" s="38" t="s">
        <v>252</v>
      </c>
      <c r="G27910" s="49" t="str">
        <f t="shared" si="1"/>
        <v>33570</v>
      </c>
      <c r="H27910" s="49">
        <f t="shared" si="2"/>
        <v>33320</v>
      </c>
    </row>
    <row r="27911">
      <c r="A27911" s="48" t="s">
        <v>480</v>
      </c>
      <c r="B27911" s="38">
        <v>3208.0</v>
      </c>
      <c r="C27911" s="38" t="s">
        <v>820</v>
      </c>
      <c r="D27911" s="38" t="str">
        <f>IFERROR(__xludf.DUMMYFUNCTION("REGEXREPLACE(C27911,""-\d+(.*)|--\d+(.*)"","""")"),"LE PIN")</f>
        <v>LE PIN</v>
      </c>
      <c r="E27911" s="38" t="s">
        <v>160</v>
      </c>
      <c r="F27911" s="38" t="s">
        <v>161</v>
      </c>
      <c r="G27911" s="49" t="str">
        <f t="shared" si="1"/>
        <v>03130</v>
      </c>
      <c r="H27911" s="49" t="str">
        <f t="shared" si="2"/>
        <v>03208</v>
      </c>
    </row>
    <row r="27912">
      <c r="A27912" s="48" t="s">
        <v>9207</v>
      </c>
      <c r="B27912" s="38">
        <v>57714.0</v>
      </c>
      <c r="C27912" s="38" t="s">
        <v>32366</v>
      </c>
      <c r="D27912" s="38" t="str">
        <f>IFERROR(__xludf.DUMMYFUNCTION("REGEXREPLACE(C27912,""-\d+(.*)|--\d+(.*)"","""")"),"HAUTE-VIGNEULLES")</f>
        <v>HAUTE-VIGNEULLES</v>
      </c>
      <c r="E27912" s="38" t="s">
        <v>303</v>
      </c>
      <c r="F27912" s="38" t="s">
        <v>195</v>
      </c>
      <c r="G27912" s="49" t="str">
        <f t="shared" si="1"/>
        <v>57690</v>
      </c>
      <c r="H27912" s="49">
        <f t="shared" si="2"/>
        <v>57714</v>
      </c>
    </row>
    <row r="27913">
      <c r="A27913" s="48" t="s">
        <v>14381</v>
      </c>
      <c r="B27913" s="38">
        <v>57140.0</v>
      </c>
      <c r="C27913" s="38" t="s">
        <v>32367</v>
      </c>
      <c r="D27913" s="38" t="str">
        <f>IFERROR(__xludf.DUMMYFUNCTION("REGEXREPLACE(C27913,""-\d+(.*)|--\d+(.*)"","""")"),"CHESNY")</f>
        <v>CHESNY</v>
      </c>
      <c r="E27913" s="38" t="s">
        <v>303</v>
      </c>
      <c r="F27913" s="38" t="s">
        <v>195</v>
      </c>
      <c r="G27913" s="49" t="str">
        <f t="shared" si="1"/>
        <v>57245</v>
      </c>
      <c r="H27913" s="49">
        <f t="shared" si="2"/>
        <v>57140</v>
      </c>
    </row>
    <row r="27914">
      <c r="A27914" s="48" t="s">
        <v>28983</v>
      </c>
      <c r="B27914" s="38">
        <v>59101.0</v>
      </c>
      <c r="C27914" s="38" t="s">
        <v>32368</v>
      </c>
      <c r="D27914" s="38" t="str">
        <f>IFERROR(__xludf.DUMMYFUNCTION("REGEXREPLACE(C27914,""-\d+(.*)|--\d+(.*)"","""")"),"BOUSIGNIES-SUR-ROC")</f>
        <v>BOUSIGNIES-SUR-ROC</v>
      </c>
      <c r="E27914" s="38" t="s">
        <v>85</v>
      </c>
      <c r="F27914" s="38" t="s">
        <v>86</v>
      </c>
      <c r="G27914" s="49" t="str">
        <f t="shared" si="1"/>
        <v>59149</v>
      </c>
      <c r="H27914" s="49">
        <f t="shared" si="2"/>
        <v>59101</v>
      </c>
    </row>
    <row r="27915">
      <c r="A27915" s="48" t="s">
        <v>6321</v>
      </c>
      <c r="B27915" s="38">
        <v>62744.0</v>
      </c>
      <c r="C27915" s="38" t="s">
        <v>32369</v>
      </c>
      <c r="D27915" s="38" t="str">
        <f>IFERROR(__xludf.DUMMYFUNCTION("REGEXREPLACE(C27915,""-\d+(.*)|--\d+(.*)"","""")"),"SAINTE-CATHERINE")</f>
        <v>SAINTE-CATHERINE</v>
      </c>
      <c r="E27915" s="38" t="s">
        <v>109</v>
      </c>
      <c r="F27915" s="38" t="s">
        <v>86</v>
      </c>
      <c r="G27915" s="49" t="str">
        <f t="shared" si="1"/>
        <v>62223</v>
      </c>
      <c r="H27915" s="49">
        <f t="shared" si="2"/>
        <v>62744</v>
      </c>
    </row>
    <row r="27916">
      <c r="A27916" s="48" t="s">
        <v>775</v>
      </c>
      <c r="B27916" s="38">
        <v>14581.0</v>
      </c>
      <c r="C27916" s="38" t="s">
        <v>32370</v>
      </c>
      <c r="D27916" s="38" t="str">
        <f>IFERROR(__xludf.DUMMYFUNCTION("REGEXREPLACE(C27916,""-\d+(.*)|--\d+(.*)"","""")"),"SAINT-GERMAIN-D'ECTOT")</f>
        <v>SAINT-GERMAIN-D'ECTOT</v>
      </c>
      <c r="E27916" s="38" t="s">
        <v>137</v>
      </c>
      <c r="F27916" s="38" t="s">
        <v>138</v>
      </c>
      <c r="G27916" s="49" t="str">
        <f t="shared" si="1"/>
        <v>14240</v>
      </c>
      <c r="H27916" s="49">
        <f t="shared" si="2"/>
        <v>14581</v>
      </c>
    </row>
    <row r="27917">
      <c r="A27917" s="48" t="s">
        <v>32371</v>
      </c>
      <c r="B27917" s="38">
        <v>59104.0</v>
      </c>
      <c r="C27917" s="38" t="s">
        <v>32372</v>
      </c>
      <c r="D27917" s="38" t="str">
        <f>IFERROR(__xludf.DUMMYFUNCTION("REGEXREPLACE(C27917,""-\d+(.*)|--\d+(.*)"","""")"),"BOUSSOIS")</f>
        <v>BOUSSOIS</v>
      </c>
      <c r="E27917" s="38" t="s">
        <v>85</v>
      </c>
      <c r="F27917" s="38" t="s">
        <v>86</v>
      </c>
      <c r="G27917" s="49" t="str">
        <f t="shared" si="1"/>
        <v>59168</v>
      </c>
      <c r="H27917" s="49">
        <f t="shared" si="2"/>
        <v>59104</v>
      </c>
    </row>
    <row r="27918">
      <c r="A27918" s="48" t="s">
        <v>1638</v>
      </c>
      <c r="B27918" s="38">
        <v>70168.0</v>
      </c>
      <c r="C27918" s="38" t="s">
        <v>32373</v>
      </c>
      <c r="D27918" s="38" t="str">
        <f>IFERROR(__xludf.DUMMYFUNCTION("REGEXREPLACE(C27918,""-\d+(.*)|--\d+(.*)"","""")"),"CONFLANS-SUR-LANTERNE")</f>
        <v>CONFLANS-SUR-LANTERNE</v>
      </c>
      <c r="E27918" s="38" t="s">
        <v>956</v>
      </c>
      <c r="F27918" s="38" t="s">
        <v>214</v>
      </c>
      <c r="G27918" s="49" t="str">
        <f t="shared" si="1"/>
        <v>70800</v>
      </c>
      <c r="H27918" s="49">
        <f t="shared" si="2"/>
        <v>70168</v>
      </c>
    </row>
    <row r="27919">
      <c r="A27919" s="48" t="s">
        <v>32374</v>
      </c>
      <c r="B27919" s="38">
        <v>94059.0</v>
      </c>
      <c r="C27919" s="38" t="s">
        <v>32375</v>
      </c>
      <c r="D27919" s="38" t="str">
        <f>IFERROR(__xludf.DUMMYFUNCTION("REGEXREPLACE(C27919,""-\d+(.*)|--\d+(.*)"","""")"),"LE PLESSIS-TREVISE")</f>
        <v>LE PLESSIS-TREVISE</v>
      </c>
      <c r="E27919" s="38" t="s">
        <v>561</v>
      </c>
      <c r="F27919" s="38" t="s">
        <v>245</v>
      </c>
      <c r="G27919" s="49" t="str">
        <f t="shared" si="1"/>
        <v>94420</v>
      </c>
      <c r="H27919" s="49">
        <f t="shared" si="2"/>
        <v>94059</v>
      </c>
    </row>
    <row r="27920">
      <c r="A27920" s="48" t="s">
        <v>2391</v>
      </c>
      <c r="B27920" s="38">
        <v>51617.0</v>
      </c>
      <c r="C27920" s="38" t="s">
        <v>32376</v>
      </c>
      <c r="D27920" s="38" t="str">
        <f>IFERROR(__xludf.DUMMYFUNCTION("REGEXREPLACE(C27920,""-\d+(.*)|--\d+(.*)"","""")"),"LA VEUVE")</f>
        <v>LA VEUVE</v>
      </c>
      <c r="E27920" s="38" t="s">
        <v>129</v>
      </c>
      <c r="F27920" s="38" t="s">
        <v>130</v>
      </c>
      <c r="G27920" s="49" t="str">
        <f t="shared" si="1"/>
        <v>51520</v>
      </c>
      <c r="H27920" s="49">
        <f t="shared" si="2"/>
        <v>51617</v>
      </c>
    </row>
    <row r="27921">
      <c r="A27921" s="48" t="s">
        <v>1688</v>
      </c>
      <c r="B27921" s="38">
        <v>76068.0</v>
      </c>
      <c r="C27921" s="38" t="s">
        <v>32377</v>
      </c>
      <c r="D27921" s="38" t="str">
        <f>IFERROR(__xludf.DUMMYFUNCTION("REGEXREPLACE(C27921,""-\d+(.*)|--\d+(.*)"","""")"),"BEC-DE-MORTAGNE")</f>
        <v>BEC-DE-MORTAGNE</v>
      </c>
      <c r="E27921" s="38" t="s">
        <v>133</v>
      </c>
      <c r="F27921" s="38" t="s">
        <v>134</v>
      </c>
      <c r="G27921" s="49" t="str">
        <f t="shared" si="1"/>
        <v>76110</v>
      </c>
      <c r="H27921" s="49">
        <f t="shared" si="2"/>
        <v>76068</v>
      </c>
    </row>
    <row r="27922">
      <c r="A27922" s="48" t="s">
        <v>656</v>
      </c>
      <c r="B27922" s="38">
        <v>61309.0</v>
      </c>
      <c r="C27922" s="38" t="s">
        <v>32378</v>
      </c>
      <c r="D27922" s="38" t="str">
        <f>IFERROR(__xludf.DUMMYFUNCTION("REGEXREPLACE(C27922,""-\d+(.*)|--\d+(.*)"","""")"),"NOCE")</f>
        <v>NOCE</v>
      </c>
      <c r="E27922" s="38" t="s">
        <v>141</v>
      </c>
      <c r="F27922" s="38" t="s">
        <v>138</v>
      </c>
      <c r="G27922" s="49" t="str">
        <f t="shared" si="1"/>
        <v>61340</v>
      </c>
      <c r="H27922" s="49">
        <f t="shared" si="2"/>
        <v>61309</v>
      </c>
    </row>
    <row r="27923">
      <c r="A27923" s="48" t="s">
        <v>5125</v>
      </c>
      <c r="B27923" s="38">
        <v>49237.0</v>
      </c>
      <c r="C27923" s="38" t="s">
        <v>32379</v>
      </c>
      <c r="D27923" s="38" t="str">
        <f>IFERROR(__xludf.DUMMYFUNCTION("REGEXREPLACE(C27923,""-\d+(.*)|--\d+(.*)"","""")"),"LA PELLERINE")</f>
        <v>LA PELLERINE</v>
      </c>
      <c r="E27923" s="38" t="s">
        <v>653</v>
      </c>
      <c r="F27923" s="38" t="s">
        <v>180</v>
      </c>
      <c r="G27923" s="49" t="str">
        <f t="shared" si="1"/>
        <v>49490</v>
      </c>
      <c r="H27923" s="49">
        <f t="shared" si="2"/>
        <v>49237</v>
      </c>
    </row>
    <row r="27924">
      <c r="A27924" s="48" t="s">
        <v>2382</v>
      </c>
      <c r="B27924" s="38">
        <v>54041.0</v>
      </c>
      <c r="C27924" s="38" t="s">
        <v>7131</v>
      </c>
      <c r="D27924" s="38" t="str">
        <f>IFERROR(__xludf.DUMMYFUNCTION("REGEXREPLACE(C27924,""-\d+(.*)|--\d+(.*)"","""")"),"BAGNEUX")</f>
        <v>BAGNEUX</v>
      </c>
      <c r="E27924" s="38" t="s">
        <v>548</v>
      </c>
      <c r="F27924" s="38" t="s">
        <v>195</v>
      </c>
      <c r="G27924" s="49" t="str">
        <f t="shared" si="1"/>
        <v>54170</v>
      </c>
      <c r="H27924" s="49">
        <f t="shared" si="2"/>
        <v>54041</v>
      </c>
    </row>
    <row r="27925">
      <c r="A27925" s="48" t="s">
        <v>5763</v>
      </c>
      <c r="B27925" s="38">
        <v>63339.0</v>
      </c>
      <c r="C27925" s="38" t="s">
        <v>32380</v>
      </c>
      <c r="D27925" s="38" t="str">
        <f>IFERROR(__xludf.DUMMYFUNCTION("REGEXREPLACE(C27925,""-\d+(.*)|--\d+(.*)"","""")"),"SAINT-ETIENNE-DES-CHAMPS")</f>
        <v>SAINT-ETIENNE-DES-CHAMPS</v>
      </c>
      <c r="E27925" s="38" t="s">
        <v>353</v>
      </c>
      <c r="F27925" s="38" t="s">
        <v>161</v>
      </c>
      <c r="G27925" s="49" t="str">
        <f t="shared" si="1"/>
        <v>63380</v>
      </c>
      <c r="H27925" s="49">
        <f t="shared" si="2"/>
        <v>63339</v>
      </c>
    </row>
    <row r="27926">
      <c r="A27926" s="48" t="s">
        <v>2701</v>
      </c>
      <c r="B27926" s="38">
        <v>17294.0</v>
      </c>
      <c r="C27926" s="38" t="s">
        <v>32381</v>
      </c>
      <c r="D27926" s="38" t="str">
        <f>IFERROR(__xludf.DUMMYFUNCTION("REGEXREPLACE(C27926,""-\d+(.*)|--\d+(.*)"","""")"),"PUYROLLAND")</f>
        <v>PUYROLLAND</v>
      </c>
      <c r="E27926" s="38" t="s">
        <v>488</v>
      </c>
      <c r="F27926" s="38" t="s">
        <v>338</v>
      </c>
      <c r="G27926" s="49" t="str">
        <f t="shared" si="1"/>
        <v>17380</v>
      </c>
      <c r="H27926" s="49">
        <f t="shared" si="2"/>
        <v>17294</v>
      </c>
    </row>
    <row r="27927">
      <c r="A27927" s="48" t="s">
        <v>879</v>
      </c>
      <c r="B27927" s="38">
        <v>24402.0</v>
      </c>
      <c r="C27927" s="38" t="s">
        <v>32382</v>
      </c>
      <c r="D27927" s="38" t="str">
        <f>IFERROR(__xludf.DUMMYFUNCTION("REGEXREPLACE(C27927,""-\d+(.*)|--\d+(.*)"","""")"),"SAINTE-EULALIE-D'EYMET")</f>
        <v>SAINTE-EULALIE-D'EYMET</v>
      </c>
      <c r="E27927" s="38" t="s">
        <v>261</v>
      </c>
      <c r="F27927" s="38" t="s">
        <v>252</v>
      </c>
      <c r="G27927" s="49" t="str">
        <f t="shared" si="1"/>
        <v>24500</v>
      </c>
      <c r="H27927" s="49">
        <f t="shared" si="2"/>
        <v>24402</v>
      </c>
    </row>
    <row r="27928">
      <c r="A27928" s="48" t="s">
        <v>4073</v>
      </c>
      <c r="B27928" s="38">
        <v>11428.0</v>
      </c>
      <c r="C27928" s="38" t="s">
        <v>32383</v>
      </c>
      <c r="D27928" s="38" t="str">
        <f>IFERROR(__xludf.DUMMYFUNCTION("REGEXREPLACE(C27928,""-\d+(.*)|--\d+(.*)"","""")"),"VILLEMAGNE")</f>
        <v>VILLEMAGNE</v>
      </c>
      <c r="E27928" s="38" t="s">
        <v>278</v>
      </c>
      <c r="F27928" s="38" t="s">
        <v>119</v>
      </c>
      <c r="G27928" s="49" t="str">
        <f t="shared" si="1"/>
        <v>11310</v>
      </c>
      <c r="H27928" s="49">
        <f t="shared" si="2"/>
        <v>11428</v>
      </c>
    </row>
    <row r="27929">
      <c r="A27929" s="48" t="s">
        <v>12958</v>
      </c>
      <c r="B27929" s="38">
        <v>27481.0</v>
      </c>
      <c r="C27929" s="38" t="s">
        <v>32384</v>
      </c>
      <c r="D27929" s="38" t="str">
        <f>IFERROR(__xludf.DUMMYFUNCTION("REGEXREPLACE(C27929,""-\d+(.*)|--\d+(.*)"","""")"),"PULLAY")</f>
        <v>PULLAY</v>
      </c>
      <c r="E27929" s="38" t="s">
        <v>241</v>
      </c>
      <c r="F27929" s="38" t="s">
        <v>134</v>
      </c>
      <c r="G27929" s="49" t="str">
        <f t="shared" si="1"/>
        <v>27130</v>
      </c>
      <c r="H27929" s="49">
        <f t="shared" si="2"/>
        <v>27481</v>
      </c>
    </row>
    <row r="27930">
      <c r="A27930" s="48" t="s">
        <v>1284</v>
      </c>
      <c r="B27930" s="38">
        <v>9080.0</v>
      </c>
      <c r="C27930" s="38" t="s">
        <v>32385</v>
      </c>
      <c r="D27930" s="38" t="str">
        <f>IFERROR(__xludf.DUMMYFUNCTION("REGEXREPLACE(C27930,""-\d+(.*)|--\d+(.*)"","""")"),"CARLA-DE-ROQUEFORT")</f>
        <v>CARLA-DE-ROQUEFORT</v>
      </c>
      <c r="E27930" s="38" t="s">
        <v>238</v>
      </c>
      <c r="F27930" s="38" t="s">
        <v>94</v>
      </c>
      <c r="G27930" s="49" t="str">
        <f t="shared" si="1"/>
        <v>09300</v>
      </c>
      <c r="H27930" s="49" t="str">
        <f t="shared" si="2"/>
        <v>09080</v>
      </c>
    </row>
    <row r="27931">
      <c r="A27931" s="48" t="s">
        <v>4065</v>
      </c>
      <c r="B27931" s="38">
        <v>21381.0</v>
      </c>
      <c r="C27931" s="38" t="s">
        <v>32386</v>
      </c>
      <c r="D27931" s="38" t="str">
        <f>IFERROR(__xludf.DUMMYFUNCTION("REGEXREPLACE(C27931,""-\d+(.*)|--\d+(.*)"","""")"),"MARCILLY-ET-DRACY")</f>
        <v>MARCILLY-ET-DRACY</v>
      </c>
      <c r="E27931" s="38" t="s">
        <v>105</v>
      </c>
      <c r="F27931" s="38" t="s">
        <v>106</v>
      </c>
      <c r="G27931" s="49" t="str">
        <f t="shared" si="1"/>
        <v>21350</v>
      </c>
      <c r="H27931" s="49">
        <f t="shared" si="2"/>
        <v>21381</v>
      </c>
    </row>
    <row r="27932">
      <c r="A27932" s="48" t="s">
        <v>32387</v>
      </c>
      <c r="B27932" s="38">
        <v>77079.0</v>
      </c>
      <c r="C27932" s="38" t="s">
        <v>32388</v>
      </c>
      <c r="D27932" s="38" t="str">
        <f>IFERROR(__xludf.DUMMYFUNCTION("REGEXREPLACE(C27932,""-\d+(.*)|--\d+(.*)"","""")"),"CHAMPAGNE-SUR-SEINE")</f>
        <v>CHAMPAGNE-SUR-SEINE</v>
      </c>
      <c r="E27932" s="38" t="s">
        <v>244</v>
      </c>
      <c r="F27932" s="38" t="s">
        <v>245</v>
      </c>
      <c r="G27932" s="49" t="str">
        <f t="shared" si="1"/>
        <v>77430</v>
      </c>
      <c r="H27932" s="49">
        <f t="shared" si="2"/>
        <v>77079</v>
      </c>
    </row>
    <row r="27933">
      <c r="A27933" s="48" t="s">
        <v>20979</v>
      </c>
      <c r="B27933" s="38">
        <v>44173.0</v>
      </c>
      <c r="C27933" s="38" t="s">
        <v>32389</v>
      </c>
      <c r="D27933" s="38" t="str">
        <f>IFERROR(__xludf.DUMMYFUNCTION("REGEXREPLACE(C27933,""-\d+(.*)|--\d+(.*)"","""")"),"SAINT-LUMINE-DE-CLISSON")</f>
        <v>SAINT-LUMINE-DE-CLISSON</v>
      </c>
      <c r="E27933" s="38" t="s">
        <v>759</v>
      </c>
      <c r="F27933" s="38" t="s">
        <v>180</v>
      </c>
      <c r="G27933" s="49" t="str">
        <f t="shared" si="1"/>
        <v>44190</v>
      </c>
      <c r="H27933" s="49">
        <f t="shared" si="2"/>
        <v>44173</v>
      </c>
    </row>
    <row r="27934">
      <c r="A27934" s="48" t="s">
        <v>1632</v>
      </c>
      <c r="B27934" s="38">
        <v>63456.0</v>
      </c>
      <c r="C27934" s="38" t="s">
        <v>32390</v>
      </c>
      <c r="D27934" s="38" t="str">
        <f>IFERROR(__xludf.DUMMYFUNCTION("REGEXREPLACE(C27934,""-\d+(.*)|--\d+(.*)"","""")"),"VICHEL")</f>
        <v>VICHEL</v>
      </c>
      <c r="E27934" s="38" t="s">
        <v>353</v>
      </c>
      <c r="F27934" s="38" t="s">
        <v>161</v>
      </c>
      <c r="G27934" s="49" t="str">
        <f t="shared" si="1"/>
        <v>63340</v>
      </c>
      <c r="H27934" s="49">
        <f t="shared" si="2"/>
        <v>63456</v>
      </c>
    </row>
    <row r="27935">
      <c r="A27935" s="48" t="s">
        <v>4553</v>
      </c>
      <c r="B27935" s="38">
        <v>56192.0</v>
      </c>
      <c r="C27935" s="38" t="s">
        <v>32391</v>
      </c>
      <c r="D27935" s="38" t="str">
        <f>IFERROR(__xludf.DUMMYFUNCTION("REGEXREPLACE(C27935,""-\d+(.*)|--\d+(.*)"","""")"),"REMUNGOL")</f>
        <v>REMUNGOL</v>
      </c>
      <c r="E27935" s="38" t="s">
        <v>173</v>
      </c>
      <c r="F27935" s="38" t="s">
        <v>90</v>
      </c>
      <c r="G27935" s="49" t="str">
        <f t="shared" si="1"/>
        <v>56500</v>
      </c>
      <c r="H27935" s="49">
        <f t="shared" si="2"/>
        <v>56192</v>
      </c>
    </row>
    <row r="27936">
      <c r="A27936" s="48" t="s">
        <v>3840</v>
      </c>
      <c r="B27936" s="38">
        <v>72218.0</v>
      </c>
      <c r="C27936" s="38" t="s">
        <v>32392</v>
      </c>
      <c r="D27936" s="38" t="str">
        <f>IFERROR(__xludf.DUMMYFUNCTION("REGEXREPLACE(C27936,""-\d+(.*)|--\d+(.*)"","""")"),"NEUVILLETTE-EN-CHARNIE")</f>
        <v>NEUVILLETTE-EN-CHARNIE</v>
      </c>
      <c r="E27936" s="38" t="s">
        <v>521</v>
      </c>
      <c r="F27936" s="38" t="s">
        <v>180</v>
      </c>
      <c r="G27936" s="49" t="str">
        <f t="shared" si="1"/>
        <v>72140</v>
      </c>
      <c r="H27936" s="49">
        <f t="shared" si="2"/>
        <v>72218</v>
      </c>
    </row>
    <row r="27937">
      <c r="A27937" s="48" t="s">
        <v>1827</v>
      </c>
      <c r="B27937" s="38">
        <v>77303.0</v>
      </c>
      <c r="C27937" s="38" t="s">
        <v>32393</v>
      </c>
      <c r="D27937" s="38" t="str">
        <f>IFERROR(__xludf.DUMMYFUNCTION("REGEXREPLACE(C27937,""-\d+(.*)|--\d+(.*)"","""")"),"MONTDAUPHIN")</f>
        <v>MONTDAUPHIN</v>
      </c>
      <c r="E27937" s="38" t="s">
        <v>244</v>
      </c>
      <c r="F27937" s="38" t="s">
        <v>245</v>
      </c>
      <c r="G27937" s="49" t="str">
        <f t="shared" si="1"/>
        <v>77320</v>
      </c>
      <c r="H27937" s="49">
        <f t="shared" si="2"/>
        <v>77303</v>
      </c>
    </row>
    <row r="27938">
      <c r="A27938" s="48" t="s">
        <v>1540</v>
      </c>
      <c r="B27938" s="38">
        <v>70090.0</v>
      </c>
      <c r="C27938" s="38" t="s">
        <v>32394</v>
      </c>
      <c r="D27938" s="38" t="str">
        <f>IFERROR(__xludf.DUMMYFUNCTION("REGEXREPLACE(C27938,""-\d+(.*)|--\d+(.*)"","""")"),"BOURSIERES")</f>
        <v>BOURSIERES</v>
      </c>
      <c r="E27938" s="38" t="s">
        <v>956</v>
      </c>
      <c r="F27938" s="38" t="s">
        <v>214</v>
      </c>
      <c r="G27938" s="49" t="str">
        <f t="shared" si="1"/>
        <v>70000</v>
      </c>
      <c r="H27938" s="49">
        <f t="shared" si="2"/>
        <v>70090</v>
      </c>
    </row>
    <row r="27939">
      <c r="A27939" s="48" t="s">
        <v>1570</v>
      </c>
      <c r="B27939" s="38">
        <v>16284.0</v>
      </c>
      <c r="C27939" s="38" t="s">
        <v>4950</v>
      </c>
      <c r="D27939" s="38" t="str">
        <f>IFERROR(__xludf.DUMMYFUNCTION("REGEXREPLACE(C27939,""-\d+(.*)|--\d+(.*)"","""")"),"ROUFFIAC")</f>
        <v>ROUFFIAC</v>
      </c>
      <c r="E27939" s="38" t="s">
        <v>429</v>
      </c>
      <c r="F27939" s="38" t="s">
        <v>338</v>
      </c>
      <c r="G27939" s="49" t="str">
        <f t="shared" si="1"/>
        <v>16210</v>
      </c>
      <c r="H27939" s="49">
        <f t="shared" si="2"/>
        <v>16284</v>
      </c>
    </row>
    <row r="27940">
      <c r="A27940" s="48" t="s">
        <v>3892</v>
      </c>
      <c r="B27940" s="38">
        <v>42100.0</v>
      </c>
      <c r="C27940" s="38" t="s">
        <v>32395</v>
      </c>
      <c r="D27940" s="38" t="str">
        <f>IFERROR(__xludf.DUMMYFUNCTION("REGEXREPLACE(C27940,""-\d+(.*)|--\d+(.*)"","""")"),"LA GIMOND")</f>
        <v>LA GIMOND</v>
      </c>
      <c r="E27940" s="38" t="s">
        <v>166</v>
      </c>
      <c r="F27940" s="38" t="s">
        <v>102</v>
      </c>
      <c r="G27940" s="49" t="str">
        <f t="shared" si="1"/>
        <v>42140</v>
      </c>
      <c r="H27940" s="49">
        <f t="shared" si="2"/>
        <v>42100</v>
      </c>
    </row>
    <row r="27941">
      <c r="A27941" s="48" t="s">
        <v>18553</v>
      </c>
      <c r="B27941" s="38">
        <v>57464.0</v>
      </c>
      <c r="C27941" s="38" t="s">
        <v>32396</v>
      </c>
      <c r="D27941" s="38" t="str">
        <f>IFERROR(__xludf.DUMMYFUNCTION("REGEXREPLACE(C27941,""-\d+(.*)|--\d+(.*)"","""")"),"METZERESCHE")</f>
        <v>METZERESCHE</v>
      </c>
      <c r="E27941" s="38" t="s">
        <v>303</v>
      </c>
      <c r="F27941" s="38" t="s">
        <v>195</v>
      </c>
      <c r="G27941" s="49" t="str">
        <f t="shared" si="1"/>
        <v>57920</v>
      </c>
      <c r="H27941" s="49">
        <f t="shared" si="2"/>
        <v>57464</v>
      </c>
    </row>
    <row r="27942">
      <c r="A27942" s="48" t="s">
        <v>12195</v>
      </c>
      <c r="B27942" s="38">
        <v>22331.0</v>
      </c>
      <c r="C27942" s="38" t="s">
        <v>32397</v>
      </c>
      <c r="D27942" s="38" t="str">
        <f>IFERROR(__xludf.DUMMYFUNCTION("REGEXREPLACE(C27942,""-\d+(.*)|--\d+(.*)"","""")"),"SAINTE-TREPHINE")</f>
        <v>SAINTE-TREPHINE</v>
      </c>
      <c r="E27942" s="38" t="s">
        <v>89</v>
      </c>
      <c r="F27942" s="38" t="s">
        <v>90</v>
      </c>
      <c r="G27942" s="49" t="str">
        <f t="shared" si="1"/>
        <v>22480</v>
      </c>
      <c r="H27942" s="49">
        <f t="shared" si="2"/>
        <v>22331</v>
      </c>
    </row>
    <row r="27943">
      <c r="A27943" s="48" t="s">
        <v>3618</v>
      </c>
      <c r="B27943" s="38">
        <v>31290.0</v>
      </c>
      <c r="C27943" s="38" t="s">
        <v>26028</v>
      </c>
      <c r="D27943" s="38" t="str">
        <f>IFERROR(__xludf.DUMMYFUNCTION("REGEXREPLACE(C27943,""-\d+(.*)|--\d+(.*)"","""")"),"LEGE")</f>
        <v>LEGE</v>
      </c>
      <c r="E27943" s="38" t="s">
        <v>93</v>
      </c>
      <c r="F27943" s="38" t="s">
        <v>94</v>
      </c>
      <c r="G27943" s="49" t="str">
        <f t="shared" si="1"/>
        <v>31440</v>
      </c>
      <c r="H27943" s="49">
        <f t="shared" si="2"/>
        <v>31290</v>
      </c>
    </row>
    <row r="27944">
      <c r="A27944" s="48" t="s">
        <v>964</v>
      </c>
      <c r="B27944" s="38">
        <v>71245.0</v>
      </c>
      <c r="C27944" s="38" t="s">
        <v>32398</v>
      </c>
      <c r="D27944" s="38" t="str">
        <f>IFERROR(__xludf.DUMMYFUNCTION("REGEXREPLACE(C27944,""-\d+(.*)|--\d+(.*)"","""")"),"JUGY")</f>
        <v>JUGY</v>
      </c>
      <c r="E27944" s="38" t="s">
        <v>344</v>
      </c>
      <c r="F27944" s="38" t="s">
        <v>106</v>
      </c>
      <c r="G27944" s="49" t="str">
        <f t="shared" si="1"/>
        <v>71240</v>
      </c>
      <c r="H27944" s="49">
        <f t="shared" si="2"/>
        <v>71245</v>
      </c>
    </row>
    <row r="27945">
      <c r="A27945" s="48" t="s">
        <v>6736</v>
      </c>
      <c r="B27945" s="38">
        <v>31374.0</v>
      </c>
      <c r="C27945" s="38" t="s">
        <v>32399</v>
      </c>
      <c r="D27945" s="38" t="str">
        <f>IFERROR(__xludf.DUMMYFUNCTION("REGEXREPLACE(C27945,""-\d+(.*)|--\d+(.*)"","""")"),"MONTESQUIEU-LAURAGAIS")</f>
        <v>MONTESQUIEU-LAURAGAIS</v>
      </c>
      <c r="E27945" s="38" t="s">
        <v>93</v>
      </c>
      <c r="F27945" s="38" t="s">
        <v>94</v>
      </c>
      <c r="G27945" s="49" t="str">
        <f t="shared" si="1"/>
        <v>31450</v>
      </c>
      <c r="H27945" s="49">
        <f t="shared" si="2"/>
        <v>31374</v>
      </c>
    </row>
    <row r="27946">
      <c r="A27946" s="48" t="s">
        <v>1203</v>
      </c>
      <c r="B27946" s="38">
        <v>17265.0</v>
      </c>
      <c r="C27946" s="38" t="s">
        <v>32400</v>
      </c>
      <c r="D27946" s="38" t="str">
        <f>IFERROR(__xludf.DUMMYFUNCTION("REGEXREPLACE(C27946,""-\d+(.*)|--\d+(.*)"","""")"),"NIEULLE-SUR-SEUDRE")</f>
        <v>NIEULLE-SUR-SEUDRE</v>
      </c>
      <c r="E27946" s="38" t="s">
        <v>488</v>
      </c>
      <c r="F27946" s="38" t="s">
        <v>338</v>
      </c>
      <c r="G27946" s="49" t="str">
        <f t="shared" si="1"/>
        <v>17600</v>
      </c>
      <c r="H27946" s="49">
        <f t="shared" si="2"/>
        <v>17265</v>
      </c>
    </row>
    <row r="27947">
      <c r="A27947" s="48" t="s">
        <v>4620</v>
      </c>
      <c r="B27947" s="38">
        <v>12198.0</v>
      </c>
      <c r="C27947" s="38" t="s">
        <v>32401</v>
      </c>
      <c r="D27947" s="38" t="str">
        <f>IFERROR(__xludf.DUMMYFUNCTION("REGEXREPLACE(C27947,""-\d+(.*)|--\d+(.*)"","""")"),"RIEUPEYROUX")</f>
        <v>RIEUPEYROUX</v>
      </c>
      <c r="E27947" s="38" t="s">
        <v>465</v>
      </c>
      <c r="F27947" s="38" t="s">
        <v>94</v>
      </c>
      <c r="G27947" s="49" t="str">
        <f t="shared" si="1"/>
        <v>12240</v>
      </c>
      <c r="H27947" s="49">
        <f t="shared" si="2"/>
        <v>12198</v>
      </c>
    </row>
    <row r="27948">
      <c r="A27948" s="48" t="s">
        <v>1618</v>
      </c>
      <c r="B27948" s="38">
        <v>11205.0</v>
      </c>
      <c r="C27948" s="38" t="s">
        <v>32402</v>
      </c>
      <c r="D27948" s="38" t="str">
        <f>IFERROR(__xludf.DUMMYFUNCTION("REGEXREPLACE(C27948,""-\d+(.*)|--\d+(.*)"","""")"),"LIMOUSIS")</f>
        <v>LIMOUSIS</v>
      </c>
      <c r="E27948" s="38" t="s">
        <v>278</v>
      </c>
      <c r="F27948" s="38" t="s">
        <v>119</v>
      </c>
      <c r="G27948" s="49" t="str">
        <f t="shared" si="1"/>
        <v>11600</v>
      </c>
      <c r="H27948" s="49">
        <f t="shared" si="2"/>
        <v>11205</v>
      </c>
    </row>
    <row r="27949">
      <c r="A27949" s="48" t="s">
        <v>20084</v>
      </c>
      <c r="B27949" s="38">
        <v>62001.0</v>
      </c>
      <c r="C27949" s="38" t="s">
        <v>32403</v>
      </c>
      <c r="D27949" s="38" t="str">
        <f>IFERROR(__xludf.DUMMYFUNCTION("REGEXREPLACE(C27949,""-\d+(.*)|--\d+(.*)"","""")"),"ABLAIN-SAINT-NAZAIRE")</f>
        <v>ABLAIN-SAINT-NAZAIRE</v>
      </c>
      <c r="E27949" s="38" t="s">
        <v>109</v>
      </c>
      <c r="F27949" s="38" t="s">
        <v>86</v>
      </c>
      <c r="G27949" s="49" t="str">
        <f t="shared" si="1"/>
        <v>62153</v>
      </c>
      <c r="H27949" s="49">
        <f t="shared" si="2"/>
        <v>62001</v>
      </c>
    </row>
    <row r="27950">
      <c r="A27950" s="48" t="s">
        <v>6649</v>
      </c>
      <c r="B27950" s="38">
        <v>18160.0</v>
      </c>
      <c r="C27950" s="38" t="s">
        <v>32404</v>
      </c>
      <c r="D27950" s="38" t="str">
        <f>IFERROR(__xludf.DUMMYFUNCTION("REGEXREPLACE(C27950,""-\d+(.*)|--\d+(.*)"","""")"),"NERONDES")</f>
        <v>NERONDES</v>
      </c>
      <c r="E27950" s="38" t="s">
        <v>504</v>
      </c>
      <c r="F27950" s="38" t="s">
        <v>123</v>
      </c>
      <c r="G27950" s="49" t="str">
        <f t="shared" si="1"/>
        <v>18350</v>
      </c>
      <c r="H27950" s="49">
        <f t="shared" si="2"/>
        <v>18160</v>
      </c>
    </row>
    <row r="27951">
      <c r="A27951" s="48" t="s">
        <v>1686</v>
      </c>
      <c r="B27951" s="38">
        <v>51201.0</v>
      </c>
      <c r="C27951" s="38" t="s">
        <v>32405</v>
      </c>
      <c r="D27951" s="38" t="str">
        <f>IFERROR(__xludf.DUMMYFUNCTION("REGEXREPLACE(C27951,""-\d+(.*)|--\d+(.*)"","""")"),"CUISLES")</f>
        <v>CUISLES</v>
      </c>
      <c r="E27951" s="38" t="s">
        <v>129</v>
      </c>
      <c r="F27951" s="38" t="s">
        <v>130</v>
      </c>
      <c r="G27951" s="49" t="str">
        <f t="shared" si="1"/>
        <v>51700</v>
      </c>
      <c r="H27951" s="49">
        <f t="shared" si="2"/>
        <v>51201</v>
      </c>
    </row>
    <row r="27952">
      <c r="A27952" s="48" t="s">
        <v>1054</v>
      </c>
      <c r="B27952" s="38">
        <v>46313.0</v>
      </c>
      <c r="C27952" s="38" t="s">
        <v>28750</v>
      </c>
      <c r="D27952" s="38" t="str">
        <f>IFERROR(__xludf.DUMMYFUNCTION("REGEXREPLACE(C27952,""-\d+(.*)|--\d+(.*)"","""")"),"TAURIAC")</f>
        <v>TAURIAC</v>
      </c>
      <c r="E27952" s="38" t="s">
        <v>185</v>
      </c>
      <c r="F27952" s="38" t="s">
        <v>94</v>
      </c>
      <c r="G27952" s="49" t="str">
        <f t="shared" si="1"/>
        <v>46130</v>
      </c>
      <c r="H27952" s="49">
        <f t="shared" si="2"/>
        <v>46313</v>
      </c>
    </row>
    <row r="27953">
      <c r="A27953" s="48" t="s">
        <v>5179</v>
      </c>
      <c r="B27953" s="38">
        <v>10442.0</v>
      </c>
      <c r="C27953" s="38" t="s">
        <v>32406</v>
      </c>
      <c r="D27953" s="38" t="str">
        <f>IFERROR(__xludf.DUMMYFUNCTION("REGEXREPLACE(C27953,""-\d+(.*)|--\d+(.*)"","""")"),"VOUE")</f>
        <v>VOUE</v>
      </c>
      <c r="E27953" s="38" t="s">
        <v>147</v>
      </c>
      <c r="F27953" s="38" t="s">
        <v>130</v>
      </c>
      <c r="G27953" s="49" t="str">
        <f t="shared" si="1"/>
        <v>10150</v>
      </c>
      <c r="H27953" s="49">
        <f t="shared" si="2"/>
        <v>10442</v>
      </c>
    </row>
    <row r="27954">
      <c r="A27954" s="48" t="s">
        <v>1422</v>
      </c>
      <c r="B27954" s="38">
        <v>14474.0</v>
      </c>
      <c r="C27954" s="38" t="s">
        <v>32407</v>
      </c>
      <c r="D27954" s="38" t="str">
        <f>IFERROR(__xludf.DUMMYFUNCTION("REGEXREPLACE(C27954,""-\d+(.*)|--\d+(.*)"","""")"),"NOTRE-DAME-D'ESTREES")</f>
        <v>NOTRE-DAME-D'ESTREES</v>
      </c>
      <c r="E27954" s="38" t="s">
        <v>137</v>
      </c>
      <c r="F27954" s="38" t="s">
        <v>138</v>
      </c>
      <c r="G27954" s="49" t="str">
        <f t="shared" si="1"/>
        <v>14340</v>
      </c>
      <c r="H27954" s="49">
        <f t="shared" si="2"/>
        <v>14474</v>
      </c>
    </row>
    <row r="27955">
      <c r="A27955" s="48" t="s">
        <v>4939</v>
      </c>
      <c r="B27955" s="38">
        <v>23202.0</v>
      </c>
      <c r="C27955" s="38" t="s">
        <v>32408</v>
      </c>
      <c r="D27955" s="38" t="str">
        <f>IFERROR(__xludf.DUMMYFUNCTION("REGEXREPLACE(C27955,""-\d+(.*)|--\d+(.*)"","""")"),"SAINT-HILAIRE-LE-CHATEAU")</f>
        <v>SAINT-HILAIRE-LE-CHATEAU</v>
      </c>
      <c r="E27955" s="38" t="s">
        <v>97</v>
      </c>
      <c r="F27955" s="38" t="s">
        <v>98</v>
      </c>
      <c r="G27955" s="49" t="str">
        <f t="shared" si="1"/>
        <v>23250</v>
      </c>
      <c r="H27955" s="49">
        <f t="shared" si="2"/>
        <v>23202</v>
      </c>
    </row>
    <row r="27956">
      <c r="A27956" s="48" t="s">
        <v>4526</v>
      </c>
      <c r="B27956" s="38">
        <v>23156.0</v>
      </c>
      <c r="C27956" s="38" t="s">
        <v>32409</v>
      </c>
      <c r="D27956" s="38" t="str">
        <f>IFERROR(__xludf.DUMMYFUNCTION("REGEXREPLACE(C27956,""-\d+(.*)|--\d+(.*)"","""")"),"PONTCHARRAUD")</f>
        <v>PONTCHARRAUD</v>
      </c>
      <c r="E27956" s="38" t="s">
        <v>97</v>
      </c>
      <c r="F27956" s="38" t="s">
        <v>98</v>
      </c>
      <c r="G27956" s="49" t="str">
        <f t="shared" si="1"/>
        <v>23260</v>
      </c>
      <c r="H27956" s="49">
        <f t="shared" si="2"/>
        <v>23156</v>
      </c>
    </row>
    <row r="27957">
      <c r="A27957" s="48" t="s">
        <v>4969</v>
      </c>
      <c r="B27957" s="38">
        <v>14089.0</v>
      </c>
      <c r="C27957" s="38" t="s">
        <v>32410</v>
      </c>
      <c r="D27957" s="38" t="str">
        <f>IFERROR(__xludf.DUMMYFUNCTION("REGEXREPLACE(C27957,""-\d+(.*)|--\d+(.*)"","""")"),"BOUGY")</f>
        <v>BOUGY</v>
      </c>
      <c r="E27957" s="38" t="s">
        <v>137</v>
      </c>
      <c r="F27957" s="38" t="s">
        <v>138</v>
      </c>
      <c r="G27957" s="49" t="str">
        <f t="shared" si="1"/>
        <v>14210</v>
      </c>
      <c r="H27957" s="49">
        <f t="shared" si="2"/>
        <v>14089</v>
      </c>
    </row>
    <row r="27958">
      <c r="A27958" s="48" t="s">
        <v>3948</v>
      </c>
      <c r="B27958" s="38">
        <v>21626.0</v>
      </c>
      <c r="C27958" s="38" t="s">
        <v>32411</v>
      </c>
      <c r="D27958" s="38" t="str">
        <f>IFERROR(__xludf.DUMMYFUNCTION("REGEXREPLACE(C27958,""-\d+(.*)|--\d+(.*)"","""")"),"TERREFONDREE")</f>
        <v>TERREFONDREE</v>
      </c>
      <c r="E27958" s="38" t="s">
        <v>105</v>
      </c>
      <c r="F27958" s="38" t="s">
        <v>106</v>
      </c>
      <c r="G27958" s="49" t="str">
        <f t="shared" si="1"/>
        <v>21290</v>
      </c>
      <c r="H27958" s="49">
        <f t="shared" si="2"/>
        <v>21626</v>
      </c>
    </row>
    <row r="27959">
      <c r="A27959" s="48" t="s">
        <v>13080</v>
      </c>
      <c r="B27959" s="38">
        <v>71464.0</v>
      </c>
      <c r="C27959" s="38" t="s">
        <v>32412</v>
      </c>
      <c r="D27959" s="38" t="str">
        <f>IFERROR(__xludf.DUMMYFUNCTION("REGEXREPLACE(C27959,""-\d+(.*)|--\d+(.*)"","""")"),"SAINT-MAURICE-LES-COUCHES")</f>
        <v>SAINT-MAURICE-LES-COUCHES</v>
      </c>
      <c r="E27959" s="38" t="s">
        <v>344</v>
      </c>
      <c r="F27959" s="38" t="s">
        <v>106</v>
      </c>
      <c r="G27959" s="49" t="str">
        <f t="shared" si="1"/>
        <v>71490</v>
      </c>
      <c r="H27959" s="49">
        <f t="shared" si="2"/>
        <v>71464</v>
      </c>
    </row>
    <row r="27960">
      <c r="A27960" s="48" t="s">
        <v>803</v>
      </c>
      <c r="B27960" s="38">
        <v>1022.0</v>
      </c>
      <c r="C27960" s="38" t="s">
        <v>32413</v>
      </c>
      <c r="D27960" s="38" t="str">
        <f>IFERROR(__xludf.DUMMYFUNCTION("REGEXREPLACE(C27960,""-\d+(.*)|--\d+(.*)"","""")"),"ARTEMARE")</f>
        <v>ARTEMARE</v>
      </c>
      <c r="E27960" s="38" t="s">
        <v>255</v>
      </c>
      <c r="F27960" s="38" t="s">
        <v>102</v>
      </c>
      <c r="G27960" s="49" t="str">
        <f t="shared" si="1"/>
        <v>01510</v>
      </c>
      <c r="H27960" s="49" t="str">
        <f t="shared" si="2"/>
        <v>01022</v>
      </c>
    </row>
    <row r="27961">
      <c r="A27961" s="48" t="s">
        <v>1124</v>
      </c>
      <c r="B27961" s="38">
        <v>61267.0</v>
      </c>
      <c r="C27961" s="38" t="s">
        <v>32414</v>
      </c>
      <c r="D27961" s="38" t="str">
        <f>IFERROR(__xludf.DUMMYFUNCTION("REGEXREPLACE(C27961,""-\d+(.*)|--\d+(.*)"","""")"),"MENIL-HERMEI")</f>
        <v>MENIL-HERMEI</v>
      </c>
      <c r="E27961" s="38" t="s">
        <v>141</v>
      </c>
      <c r="F27961" s="38" t="s">
        <v>138</v>
      </c>
      <c r="G27961" s="49" t="str">
        <f t="shared" si="1"/>
        <v>61210</v>
      </c>
      <c r="H27961" s="49">
        <f t="shared" si="2"/>
        <v>61267</v>
      </c>
    </row>
    <row r="27962">
      <c r="A27962" s="48" t="s">
        <v>12184</v>
      </c>
      <c r="B27962" s="38">
        <v>49214.0</v>
      </c>
      <c r="C27962" s="38" t="s">
        <v>32415</v>
      </c>
      <c r="D27962" s="38" t="str">
        <f>IFERROR(__xludf.DUMMYFUNCTION("REGEXREPLACE(C27962,""-\d+(.*)|--\d+(.*)"","""")"),"MONTREUIL-JUIGNE")</f>
        <v>MONTREUIL-JUIGNE</v>
      </c>
      <c r="E27962" s="38" t="s">
        <v>653</v>
      </c>
      <c r="F27962" s="38" t="s">
        <v>180</v>
      </c>
      <c r="G27962" s="49" t="str">
        <f t="shared" si="1"/>
        <v>49460</v>
      </c>
      <c r="H27962" s="49">
        <f t="shared" si="2"/>
        <v>49214</v>
      </c>
    </row>
    <row r="27963">
      <c r="A27963" s="48" t="s">
        <v>24738</v>
      </c>
      <c r="B27963" s="38">
        <v>53267.0</v>
      </c>
      <c r="C27963" s="38" t="s">
        <v>32416</v>
      </c>
      <c r="D27963" s="38" t="str">
        <f>IFERROR(__xludf.DUMMYFUNCTION("REGEXREPLACE(C27963,""-\d+(.*)|--\d+(.*)"","""")"),"VAIGES")</f>
        <v>VAIGES</v>
      </c>
      <c r="E27963" s="38" t="s">
        <v>518</v>
      </c>
      <c r="F27963" s="38" t="s">
        <v>180</v>
      </c>
      <c r="G27963" s="49" t="str">
        <f t="shared" si="1"/>
        <v>53480</v>
      </c>
      <c r="H27963" s="49">
        <f t="shared" si="2"/>
        <v>53267</v>
      </c>
    </row>
    <row r="27964">
      <c r="A27964" s="48" t="s">
        <v>16913</v>
      </c>
      <c r="B27964" s="38">
        <v>24350.0</v>
      </c>
      <c r="C27964" s="38" t="s">
        <v>32417</v>
      </c>
      <c r="D27964" s="38" t="str">
        <f>IFERROR(__xludf.DUMMYFUNCTION("REGEXREPLACE(C27964,""-\d+(.*)|--\d+(.*)"","""")"),"RAZAC-SUR-L'ISLE")</f>
        <v>RAZAC-SUR-L'ISLE</v>
      </c>
      <c r="E27964" s="38" t="s">
        <v>261</v>
      </c>
      <c r="F27964" s="38" t="s">
        <v>252</v>
      </c>
      <c r="G27964" s="49" t="str">
        <f t="shared" si="1"/>
        <v>24430</v>
      </c>
      <c r="H27964" s="49">
        <f t="shared" si="2"/>
        <v>24350</v>
      </c>
    </row>
    <row r="27965">
      <c r="A27965" s="48" t="s">
        <v>8845</v>
      </c>
      <c r="B27965" s="38">
        <v>8024.0</v>
      </c>
      <c r="C27965" s="38" t="s">
        <v>32418</v>
      </c>
      <c r="D27965" s="38" t="str">
        <f>IFERROR(__xludf.DUMMYFUNCTION("REGEXREPLACE(C27965,""-\d+(.*)|--\d+(.*)"","""")"),"ASFELD")</f>
        <v>ASFELD</v>
      </c>
      <c r="E27965" s="38" t="s">
        <v>327</v>
      </c>
      <c r="F27965" s="38" t="s">
        <v>130</v>
      </c>
      <c r="G27965" s="49" t="str">
        <f t="shared" si="1"/>
        <v>08190</v>
      </c>
      <c r="H27965" s="49" t="str">
        <f t="shared" si="2"/>
        <v>08024</v>
      </c>
    </row>
    <row r="27966">
      <c r="A27966" s="48" t="s">
        <v>1829</v>
      </c>
      <c r="B27966" s="38">
        <v>59200.0</v>
      </c>
      <c r="C27966" s="38" t="s">
        <v>32419</v>
      </c>
      <c r="D27966" s="38" t="str">
        <f>IFERROR(__xludf.DUMMYFUNCTION("REGEXREPLACE(C27966,""-\d+(.*)|--\d+(.*)"","""")"),"ERINGHEM")</f>
        <v>ERINGHEM</v>
      </c>
      <c r="E27966" s="38" t="s">
        <v>85</v>
      </c>
      <c r="F27966" s="38" t="s">
        <v>86</v>
      </c>
      <c r="G27966" s="49" t="str">
        <f t="shared" si="1"/>
        <v>59470</v>
      </c>
      <c r="H27966" s="49">
        <f t="shared" si="2"/>
        <v>59200</v>
      </c>
    </row>
    <row r="27967">
      <c r="A27967" s="48" t="s">
        <v>5787</v>
      </c>
      <c r="B27967" s="38">
        <v>19253.0</v>
      </c>
      <c r="C27967" s="38" t="s">
        <v>22861</v>
      </c>
      <c r="D27967" s="38" t="str">
        <f>IFERROR(__xludf.DUMMYFUNCTION("REGEXREPLACE(C27967,""-\d+(.*)|--\d+(.*)"","""")"),"SEGONZAC")</f>
        <v>SEGONZAC</v>
      </c>
      <c r="E27967" s="38" t="s">
        <v>271</v>
      </c>
      <c r="F27967" s="38" t="s">
        <v>98</v>
      </c>
      <c r="G27967" s="49" t="str">
        <f t="shared" si="1"/>
        <v>19310</v>
      </c>
      <c r="H27967" s="49">
        <f t="shared" si="2"/>
        <v>19253</v>
      </c>
    </row>
    <row r="27968">
      <c r="A27968" s="48" t="s">
        <v>2809</v>
      </c>
      <c r="B27968" s="38">
        <v>77059.0</v>
      </c>
      <c r="C27968" s="38" t="s">
        <v>32420</v>
      </c>
      <c r="D27968" s="38" t="str">
        <f>IFERROR(__xludf.DUMMYFUNCTION("REGEXREPLACE(C27968,""-\d+(.*)|--\d+(.*)"","""")"),"BUSSY-SAINT-MARTIN")</f>
        <v>BUSSY-SAINT-MARTIN</v>
      </c>
      <c r="E27968" s="38" t="s">
        <v>244</v>
      </c>
      <c r="F27968" s="38" t="s">
        <v>245</v>
      </c>
      <c r="G27968" s="49" t="str">
        <f t="shared" si="1"/>
        <v>77600</v>
      </c>
      <c r="H27968" s="49">
        <f t="shared" si="2"/>
        <v>77059</v>
      </c>
    </row>
    <row r="27969">
      <c r="A27969" s="48" t="s">
        <v>203</v>
      </c>
      <c r="B27969" s="38">
        <v>37270.0</v>
      </c>
      <c r="C27969" s="38" t="s">
        <v>32421</v>
      </c>
      <c r="D27969" s="38" t="str">
        <f>IFERROR(__xludf.DUMMYFUNCTION("REGEXREPLACE(C27969,""-\d+(.*)|--\d+(.*)"","""")"),"VERNOU-SUR-BRENNE")</f>
        <v>VERNOU-SUR-BRENNE</v>
      </c>
      <c r="E27969" s="38" t="s">
        <v>205</v>
      </c>
      <c r="F27969" s="38" t="s">
        <v>123</v>
      </c>
      <c r="G27969" s="49" t="str">
        <f t="shared" si="1"/>
        <v>37210</v>
      </c>
      <c r="H27969" s="49">
        <f t="shared" si="2"/>
        <v>37270</v>
      </c>
    </row>
    <row r="27970">
      <c r="A27970" s="48" t="s">
        <v>32422</v>
      </c>
      <c r="B27970" s="38" t="s">
        <v>32423</v>
      </c>
      <c r="C27970" s="38" t="s">
        <v>32424</v>
      </c>
      <c r="D27970" s="38" t="str">
        <f>IFERROR(__xludf.DUMMYFUNCTION("REGEXREPLACE(C27970,""-\d+(.*)|--\d+(.*)"","""")"),"COTI-CHIAVARI")</f>
        <v>COTI-CHIAVARI</v>
      </c>
      <c r="E27970" s="38" t="s">
        <v>606</v>
      </c>
      <c r="F27970" s="38" t="s">
        <v>607</v>
      </c>
      <c r="G27970" s="49" t="str">
        <f t="shared" si="1"/>
        <v>20138</v>
      </c>
      <c r="H27970" s="49" t="str">
        <f t="shared" si="2"/>
        <v>2A098</v>
      </c>
    </row>
    <row r="27971">
      <c r="A27971" s="48" t="s">
        <v>3624</v>
      </c>
      <c r="B27971" s="38">
        <v>39353.0</v>
      </c>
      <c r="C27971" s="38" t="s">
        <v>32425</v>
      </c>
      <c r="D27971" s="38" t="str">
        <f>IFERROR(__xludf.DUMMYFUNCTION("REGEXREPLACE(C27971,""-\d+(.*)|--\d+(.*)"","""")"),"MONTFLEUR")</f>
        <v>MONTFLEUR</v>
      </c>
      <c r="E27971" s="38" t="s">
        <v>400</v>
      </c>
      <c r="F27971" s="38" t="s">
        <v>214</v>
      </c>
      <c r="G27971" s="49" t="str">
        <f t="shared" si="1"/>
        <v>39320</v>
      </c>
      <c r="H27971" s="49">
        <f t="shared" si="2"/>
        <v>39353</v>
      </c>
    </row>
    <row r="27972">
      <c r="A27972" s="48" t="s">
        <v>2526</v>
      </c>
      <c r="B27972" s="38">
        <v>70546.0</v>
      </c>
      <c r="C27972" s="38" t="s">
        <v>32426</v>
      </c>
      <c r="D27972" s="38" t="str">
        <f>IFERROR(__xludf.DUMMYFUNCTION("REGEXREPLACE(C27972,""-\d+(.*)|--\d+(.*)"","""")"),"VEREUX")</f>
        <v>VEREUX</v>
      </c>
      <c r="E27972" s="38" t="s">
        <v>956</v>
      </c>
      <c r="F27972" s="38" t="s">
        <v>214</v>
      </c>
      <c r="G27972" s="49" t="str">
        <f t="shared" si="1"/>
        <v>70180</v>
      </c>
      <c r="H27972" s="49">
        <f t="shared" si="2"/>
        <v>70546</v>
      </c>
    </row>
    <row r="27973">
      <c r="A27973" s="48" t="s">
        <v>775</v>
      </c>
      <c r="B27973" s="38">
        <v>14372.0</v>
      </c>
      <c r="C27973" s="38" t="s">
        <v>32427</v>
      </c>
      <c r="D27973" s="38" t="str">
        <f>IFERROR(__xludf.DUMMYFUNCTION("REGEXREPLACE(C27973,""-\d+(.*)|--\d+(.*)"","""")"),"LIVRY")</f>
        <v>LIVRY</v>
      </c>
      <c r="E27973" s="38" t="s">
        <v>137</v>
      </c>
      <c r="F27973" s="38" t="s">
        <v>138</v>
      </c>
      <c r="G27973" s="49" t="str">
        <f t="shared" si="1"/>
        <v>14240</v>
      </c>
      <c r="H27973" s="49">
        <f t="shared" si="2"/>
        <v>14372</v>
      </c>
    </row>
    <row r="27974">
      <c r="A27974" s="48" t="s">
        <v>9028</v>
      </c>
      <c r="B27974" s="38">
        <v>65326.0</v>
      </c>
      <c r="C27974" s="38" t="s">
        <v>32428</v>
      </c>
      <c r="D27974" s="38" t="str">
        <f>IFERROR(__xludf.DUMMYFUNCTION("REGEXREPLACE(C27974,""-\d+(.*)|--\d+(.*)"","""")"),"MUN")</f>
        <v>MUN</v>
      </c>
      <c r="E27974" s="38" t="s">
        <v>200</v>
      </c>
      <c r="F27974" s="38" t="s">
        <v>94</v>
      </c>
      <c r="G27974" s="49" t="str">
        <f t="shared" si="1"/>
        <v>65350</v>
      </c>
      <c r="H27974" s="49">
        <f t="shared" si="2"/>
        <v>65326</v>
      </c>
    </row>
    <row r="27975">
      <c r="A27975" s="48" t="s">
        <v>6932</v>
      </c>
      <c r="B27975" s="38">
        <v>29004.0</v>
      </c>
      <c r="C27975" s="38" t="s">
        <v>32429</v>
      </c>
      <c r="D27975" s="38" t="str">
        <f>IFERROR(__xludf.DUMMYFUNCTION("REGEXREPLACE(C27975,""-\d+(.*)|--\d+(.*)"","""")"),"BANNALEC")</f>
        <v>BANNALEC</v>
      </c>
      <c r="E27975" s="38" t="s">
        <v>176</v>
      </c>
      <c r="F27975" s="38" t="s">
        <v>90</v>
      </c>
      <c r="G27975" s="49" t="str">
        <f t="shared" si="1"/>
        <v>29380</v>
      </c>
      <c r="H27975" s="49">
        <f t="shared" si="2"/>
        <v>29004</v>
      </c>
    </row>
    <row r="27976">
      <c r="A27976" s="48" t="s">
        <v>5661</v>
      </c>
      <c r="B27976" s="38">
        <v>63107.0</v>
      </c>
      <c r="C27976" s="38" t="s">
        <v>32430</v>
      </c>
      <c r="D27976" s="38" t="str">
        <f>IFERROR(__xludf.DUMMYFUNCTION("REGEXREPLACE(C27976,""-\d+(.*)|--\d+(.*)"","""")"),"CHAVAROUX")</f>
        <v>CHAVAROUX</v>
      </c>
      <c r="E27976" s="38" t="s">
        <v>353</v>
      </c>
      <c r="F27976" s="38" t="s">
        <v>161</v>
      </c>
      <c r="G27976" s="49" t="str">
        <f t="shared" si="1"/>
        <v>63720</v>
      </c>
      <c r="H27976" s="49">
        <f t="shared" si="2"/>
        <v>63107</v>
      </c>
    </row>
    <row r="27977">
      <c r="A27977" s="48" t="s">
        <v>32431</v>
      </c>
      <c r="B27977" s="38">
        <v>9332.0</v>
      </c>
      <c r="C27977" s="38" t="s">
        <v>32432</v>
      </c>
      <c r="D27977" s="38" t="str">
        <f>IFERROR(__xludf.DUMMYFUNCTION("REGEXREPLACE(C27977,""-\d+(.*)|--\d+(.*)"","""")"),"VERNIOLLE")</f>
        <v>VERNIOLLE</v>
      </c>
      <c r="E27977" s="38" t="s">
        <v>238</v>
      </c>
      <c r="F27977" s="38" t="s">
        <v>94</v>
      </c>
      <c r="G27977" s="49" t="str">
        <f t="shared" si="1"/>
        <v>09340</v>
      </c>
      <c r="H27977" s="49" t="str">
        <f t="shared" si="2"/>
        <v>09332</v>
      </c>
    </row>
    <row r="27978">
      <c r="A27978" s="48" t="s">
        <v>3254</v>
      </c>
      <c r="B27978" s="38">
        <v>43204.0</v>
      </c>
      <c r="C27978" s="38" t="s">
        <v>32433</v>
      </c>
      <c r="D27978" s="38" t="str">
        <f>IFERROR(__xludf.DUMMYFUNCTION("REGEXREPLACE(C27978,""-\d+(.*)|--\d+(.*)"","""")"),"SAINT-JULIEN-MOLHESABATE")</f>
        <v>SAINT-JULIEN-MOLHESABATE</v>
      </c>
      <c r="E27978" s="38" t="s">
        <v>332</v>
      </c>
      <c r="F27978" s="38" t="s">
        <v>161</v>
      </c>
      <c r="G27978" s="49" t="str">
        <f t="shared" si="1"/>
        <v>43220</v>
      </c>
      <c r="H27978" s="49">
        <f t="shared" si="2"/>
        <v>43204</v>
      </c>
    </row>
    <row r="27979">
      <c r="A27979" s="48" t="s">
        <v>5012</v>
      </c>
      <c r="B27979" s="38">
        <v>55253.0</v>
      </c>
      <c r="C27979" s="38" t="s">
        <v>32434</v>
      </c>
      <c r="D27979" s="38" t="str">
        <f>IFERROR(__xludf.DUMMYFUNCTION("REGEXREPLACE(C27979,""-\d+(.*)|--\d+(.*)"","""")"),"LES ISLETTES")</f>
        <v>LES ISLETTES</v>
      </c>
      <c r="E27979" s="38" t="s">
        <v>322</v>
      </c>
      <c r="F27979" s="38" t="s">
        <v>195</v>
      </c>
      <c r="G27979" s="49" t="str">
        <f t="shared" si="1"/>
        <v>55120</v>
      </c>
      <c r="H27979" s="49">
        <f t="shared" si="2"/>
        <v>55253</v>
      </c>
    </row>
    <row r="27980">
      <c r="A27980" s="48" t="s">
        <v>6890</v>
      </c>
      <c r="B27980" s="38">
        <v>51278.0</v>
      </c>
      <c r="C27980" s="38" t="s">
        <v>32435</v>
      </c>
      <c r="D27980" s="38" t="str">
        <f>IFERROR(__xludf.DUMMYFUNCTION("REGEXREPLACE(C27980,""-\d+(.*)|--\d+(.*)"","""")"),"LES GRANDES-LOGES")</f>
        <v>LES GRANDES-LOGES</v>
      </c>
      <c r="E27980" s="38" t="s">
        <v>129</v>
      </c>
      <c r="F27980" s="38" t="s">
        <v>130</v>
      </c>
      <c r="G27980" s="49" t="str">
        <f t="shared" si="1"/>
        <v>51400</v>
      </c>
      <c r="H27980" s="49">
        <f t="shared" si="2"/>
        <v>51278</v>
      </c>
    </row>
    <row r="27981">
      <c r="A27981" s="48" t="s">
        <v>4599</v>
      </c>
      <c r="B27981" s="38">
        <v>70494.0</v>
      </c>
      <c r="C27981" s="38" t="s">
        <v>15398</v>
      </c>
      <c r="D27981" s="38" t="str">
        <f>IFERROR(__xludf.DUMMYFUNCTION("REGEXREPLACE(C27981,""-\d+(.*)|--\d+(.*)"","""")"),"SORNAY")</f>
        <v>SORNAY</v>
      </c>
      <c r="E27981" s="38" t="s">
        <v>956</v>
      </c>
      <c r="F27981" s="38" t="s">
        <v>214</v>
      </c>
      <c r="G27981" s="49" t="str">
        <f t="shared" si="1"/>
        <v>70150</v>
      </c>
      <c r="H27981" s="49">
        <f t="shared" si="2"/>
        <v>70494</v>
      </c>
    </row>
    <row r="27982">
      <c r="A27982" s="48" t="s">
        <v>328</v>
      </c>
      <c r="B27982" s="38">
        <v>2828.0</v>
      </c>
      <c r="C27982" s="38" t="s">
        <v>32436</v>
      </c>
      <c r="D27982" s="38" t="str">
        <f>IFERROR(__xludf.DUMMYFUNCTION("REGEXREPLACE(C27982,""-\d+(.*)|--\d+(.*)"","""")"),"VREGNY")</f>
        <v>VREGNY</v>
      </c>
      <c r="E27982" s="38" t="s">
        <v>191</v>
      </c>
      <c r="F27982" s="38" t="s">
        <v>113</v>
      </c>
      <c r="G27982" s="49" t="str">
        <f t="shared" si="1"/>
        <v>02880</v>
      </c>
      <c r="H27982" s="49" t="str">
        <f t="shared" si="2"/>
        <v>02828</v>
      </c>
    </row>
    <row r="27983">
      <c r="A27983" s="48" t="s">
        <v>32437</v>
      </c>
      <c r="B27983" s="38">
        <v>59484.0</v>
      </c>
      <c r="C27983" s="38" t="s">
        <v>32438</v>
      </c>
      <c r="D27983" s="38" t="str">
        <f>IFERROR(__xludf.DUMMYFUNCTION("REGEXREPLACE(C27983,""-\d+(.*)|--\d+(.*)"","""")"),"QUIEVRECHAIN")</f>
        <v>QUIEVRECHAIN</v>
      </c>
      <c r="E27983" s="38" t="s">
        <v>85</v>
      </c>
      <c r="F27983" s="38" t="s">
        <v>86</v>
      </c>
      <c r="G27983" s="49" t="str">
        <f t="shared" si="1"/>
        <v>59920</v>
      </c>
      <c r="H27983" s="49">
        <f t="shared" si="2"/>
        <v>59484</v>
      </c>
    </row>
    <row r="27984">
      <c r="A27984" s="48" t="s">
        <v>9965</v>
      </c>
      <c r="B27984" s="38">
        <v>19209.0</v>
      </c>
      <c r="C27984" s="38" t="s">
        <v>32439</v>
      </c>
      <c r="D27984" s="38" t="str">
        <f>IFERROR(__xludf.DUMMYFUNCTION("REGEXREPLACE(C27984,""-\d+(.*)|--\d+(.*)"","""")"),"SAINT-HILAIRE-LES-COURBES")</f>
        <v>SAINT-HILAIRE-LES-COURBES</v>
      </c>
      <c r="E27984" s="38" t="s">
        <v>271</v>
      </c>
      <c r="F27984" s="38" t="s">
        <v>98</v>
      </c>
      <c r="G27984" s="49" t="str">
        <f t="shared" si="1"/>
        <v>19170</v>
      </c>
      <c r="H27984" s="49">
        <f t="shared" si="2"/>
        <v>19209</v>
      </c>
    </row>
    <row r="27985">
      <c r="A27985" s="48" t="s">
        <v>1932</v>
      </c>
      <c r="B27985" s="38">
        <v>70029.0</v>
      </c>
      <c r="C27985" s="38" t="s">
        <v>32440</v>
      </c>
      <c r="D27985" s="38" t="str">
        <f>IFERROR(__xludf.DUMMYFUNCTION("REGEXREPLACE(C27985,""-\d+(.*)|--\d+(.*)"","""")"),"ARPENANS")</f>
        <v>ARPENANS</v>
      </c>
      <c r="E27985" s="38" t="s">
        <v>956</v>
      </c>
      <c r="F27985" s="38" t="s">
        <v>214</v>
      </c>
      <c r="G27985" s="49" t="str">
        <f t="shared" si="1"/>
        <v>70200</v>
      </c>
      <c r="H27985" s="49">
        <f t="shared" si="2"/>
        <v>70029</v>
      </c>
    </row>
    <row r="27986">
      <c r="A27986" s="48" t="s">
        <v>3163</v>
      </c>
      <c r="B27986" s="38">
        <v>28157.0</v>
      </c>
      <c r="C27986" s="38" t="s">
        <v>32441</v>
      </c>
      <c r="D27986" s="38" t="str">
        <f>IFERROR(__xludf.DUMMYFUNCTION("REGEXREPLACE(C27986,""-\d+(.*)|--\d+(.*)"","""")"),"FONTENAY-SUR-CONIE")</f>
        <v>FONTENAY-SUR-CONIE</v>
      </c>
      <c r="E27986" s="38" t="s">
        <v>300</v>
      </c>
      <c r="F27986" s="38" t="s">
        <v>123</v>
      </c>
      <c r="G27986" s="49" t="str">
        <f t="shared" si="1"/>
        <v>28140</v>
      </c>
      <c r="H27986" s="49">
        <f t="shared" si="2"/>
        <v>28157</v>
      </c>
    </row>
    <row r="27987">
      <c r="A27987" s="48" t="s">
        <v>8100</v>
      </c>
      <c r="B27987" s="38">
        <v>91577.0</v>
      </c>
      <c r="C27987" s="38" t="s">
        <v>32442</v>
      </c>
      <c r="D27987" s="38" t="str">
        <f>IFERROR(__xludf.DUMMYFUNCTION("REGEXREPLACE(C27987,""-\d+(.*)|--\d+(.*)"","""")"),"SAINTRY-SUR-SEINE")</f>
        <v>SAINTRY-SUR-SEINE</v>
      </c>
      <c r="E27987" s="38" t="s">
        <v>756</v>
      </c>
      <c r="F27987" s="38" t="s">
        <v>245</v>
      </c>
      <c r="G27987" s="49" t="str">
        <f t="shared" si="1"/>
        <v>91250</v>
      </c>
      <c r="H27987" s="49">
        <f t="shared" si="2"/>
        <v>91577</v>
      </c>
    </row>
    <row r="27988">
      <c r="A27988" s="48" t="s">
        <v>15069</v>
      </c>
      <c r="B27988" s="38">
        <v>22268.0</v>
      </c>
      <c r="C27988" s="38" t="s">
        <v>32443</v>
      </c>
      <c r="D27988" s="38" t="str">
        <f>IFERROR(__xludf.DUMMYFUNCTION("REGEXREPLACE(C27988,""-\d+(.*)|--\d+(.*)"","""")"),"RUCA")</f>
        <v>RUCA</v>
      </c>
      <c r="E27988" s="38" t="s">
        <v>89</v>
      </c>
      <c r="F27988" s="38" t="s">
        <v>90</v>
      </c>
      <c r="G27988" s="49" t="str">
        <f t="shared" si="1"/>
        <v>22550</v>
      </c>
      <c r="H27988" s="49">
        <f t="shared" si="2"/>
        <v>22268</v>
      </c>
    </row>
    <row r="27989">
      <c r="A27989" s="48" t="s">
        <v>32444</v>
      </c>
      <c r="B27989" s="38">
        <v>2684.0</v>
      </c>
      <c r="C27989" s="38" t="s">
        <v>4389</v>
      </c>
      <c r="D27989" s="38" t="str">
        <f>IFERROR(__xludf.DUMMYFUNCTION("REGEXREPLACE(C27989,""-\d+(.*)|--\d+(.*)"","""")"),"SAINT-MICHEL")</f>
        <v>SAINT-MICHEL</v>
      </c>
      <c r="E27989" s="38" t="s">
        <v>191</v>
      </c>
      <c r="F27989" s="38" t="s">
        <v>113</v>
      </c>
      <c r="G27989" s="49" t="str">
        <f t="shared" si="1"/>
        <v>02830</v>
      </c>
      <c r="H27989" s="49" t="str">
        <f t="shared" si="2"/>
        <v>02684</v>
      </c>
    </row>
    <row r="27990">
      <c r="A27990" s="48" t="s">
        <v>2310</v>
      </c>
      <c r="B27990" s="38">
        <v>60188.0</v>
      </c>
      <c r="C27990" s="38" t="s">
        <v>32445</v>
      </c>
      <c r="D27990" s="38" t="str">
        <f>IFERROR(__xludf.DUMMYFUNCTION("REGEXREPLACE(C27990,""-\d+(.*)|--\d+(.*)"","""")"),"CUISE-LA-MOTTE")</f>
        <v>CUISE-LA-MOTTE</v>
      </c>
      <c r="E27990" s="38" t="s">
        <v>112</v>
      </c>
      <c r="F27990" s="38" t="s">
        <v>113</v>
      </c>
      <c r="G27990" s="49" t="str">
        <f t="shared" si="1"/>
        <v>60350</v>
      </c>
      <c r="H27990" s="49">
        <f t="shared" si="2"/>
        <v>60188</v>
      </c>
    </row>
    <row r="27991">
      <c r="A27991" s="48" t="s">
        <v>177</v>
      </c>
      <c r="B27991" s="38">
        <v>85005.0</v>
      </c>
      <c r="C27991" s="38" t="s">
        <v>9539</v>
      </c>
      <c r="D27991" s="38" t="str">
        <f>IFERROR(__xludf.DUMMYFUNCTION("REGEXREPLACE(C27991,""-\d+(.*)|--\d+(.*)"","""")"),"ANTIGNY")</f>
        <v>ANTIGNY</v>
      </c>
      <c r="E27991" s="38" t="s">
        <v>179</v>
      </c>
      <c r="F27991" s="38" t="s">
        <v>180</v>
      </c>
      <c r="G27991" s="49" t="str">
        <f t="shared" si="1"/>
        <v>85120</v>
      </c>
      <c r="H27991" s="49">
        <f t="shared" si="2"/>
        <v>85005</v>
      </c>
    </row>
    <row r="27992">
      <c r="A27992" s="48" t="s">
        <v>1479</v>
      </c>
      <c r="B27992" s="38">
        <v>59017.0</v>
      </c>
      <c r="C27992" s="38" t="s">
        <v>32446</v>
      </c>
      <c r="D27992" s="38" t="str">
        <f>IFERROR(__xludf.DUMMYFUNCTION("REGEXREPLACE(C27992,""-\d+(.*)|--\d+(.*)"","""")"),"ARMENTIERES")</f>
        <v>ARMENTIERES</v>
      </c>
      <c r="E27992" s="38" t="s">
        <v>85</v>
      </c>
      <c r="F27992" s="38" t="s">
        <v>86</v>
      </c>
      <c r="G27992" s="49" t="str">
        <f t="shared" si="1"/>
        <v>59280</v>
      </c>
      <c r="H27992" s="49">
        <f t="shared" si="2"/>
        <v>59017</v>
      </c>
    </row>
    <row r="27993">
      <c r="A27993" s="48" t="s">
        <v>2820</v>
      </c>
      <c r="B27993" s="38">
        <v>2576.0</v>
      </c>
      <c r="C27993" s="38" t="s">
        <v>32447</v>
      </c>
      <c r="D27993" s="38" t="str">
        <f>IFERROR(__xludf.DUMMYFUNCTION("REGEXREPLACE(C27993,""-\d+(.*)|--\d+(.*)"","""")"),"OSLY-COURTIL")</f>
        <v>OSLY-COURTIL</v>
      </c>
      <c r="E27993" s="38" t="s">
        <v>191</v>
      </c>
      <c r="F27993" s="38" t="s">
        <v>113</v>
      </c>
      <c r="G27993" s="49" t="str">
        <f t="shared" si="1"/>
        <v>02290</v>
      </c>
      <c r="H27993" s="49" t="str">
        <f t="shared" si="2"/>
        <v>02576</v>
      </c>
    </row>
    <row r="27994">
      <c r="A27994" s="48" t="s">
        <v>7532</v>
      </c>
      <c r="B27994" s="38">
        <v>37149.0</v>
      </c>
      <c r="C27994" s="38" t="s">
        <v>32448</v>
      </c>
      <c r="D27994" s="38" t="str">
        <f>IFERROR(__xludf.DUMMYFUNCTION("REGEXREPLACE(C27994,""-\d+(.*)|--\d+(.*)"","""")"),"MARRAY")</f>
        <v>MARRAY</v>
      </c>
      <c r="E27994" s="38" t="s">
        <v>205</v>
      </c>
      <c r="F27994" s="38" t="s">
        <v>123</v>
      </c>
      <c r="G27994" s="49" t="str">
        <f t="shared" si="1"/>
        <v>37370</v>
      </c>
      <c r="H27994" s="49">
        <f t="shared" si="2"/>
        <v>37149</v>
      </c>
    </row>
    <row r="27995">
      <c r="A27995" s="48" t="s">
        <v>2261</v>
      </c>
      <c r="B27995" s="38">
        <v>9306.0</v>
      </c>
      <c r="C27995" s="38" t="s">
        <v>32449</v>
      </c>
      <c r="D27995" s="38" t="str">
        <f>IFERROR(__xludf.DUMMYFUNCTION("REGEXREPLACE(C27995,""-\d+(.*)|--\d+(.*)"","""")"),"TARASCON-SUR-ARIEGE")</f>
        <v>TARASCON-SUR-ARIEGE</v>
      </c>
      <c r="E27995" s="38" t="s">
        <v>238</v>
      </c>
      <c r="F27995" s="38" t="s">
        <v>94</v>
      </c>
      <c r="G27995" s="49" t="str">
        <f t="shared" si="1"/>
        <v>09400</v>
      </c>
      <c r="H27995" s="49" t="str">
        <f t="shared" si="2"/>
        <v>09306</v>
      </c>
    </row>
    <row r="27996">
      <c r="A27996" s="48" t="s">
        <v>944</v>
      </c>
      <c r="B27996" s="38">
        <v>61304.0</v>
      </c>
      <c r="C27996" s="38" t="s">
        <v>32450</v>
      </c>
      <c r="D27996" s="38" t="str">
        <f>IFERROR(__xludf.DUMMYFUNCTION("REGEXREPLACE(C27996,""-\d+(.*)|--\d+(.*)"","""")"),"NEUILLY-LE-BISSON")</f>
        <v>NEUILLY-LE-BISSON</v>
      </c>
      <c r="E27996" s="38" t="s">
        <v>141</v>
      </c>
      <c r="F27996" s="38" t="s">
        <v>138</v>
      </c>
      <c r="G27996" s="49" t="str">
        <f t="shared" si="1"/>
        <v>61250</v>
      </c>
      <c r="H27996" s="49">
        <f t="shared" si="2"/>
        <v>61304</v>
      </c>
    </row>
    <row r="27997">
      <c r="A27997" s="48" t="s">
        <v>2225</v>
      </c>
      <c r="B27997" s="38">
        <v>22299.0</v>
      </c>
      <c r="C27997" s="38" t="s">
        <v>32451</v>
      </c>
      <c r="D27997" s="38" t="str">
        <f>IFERROR(__xludf.DUMMYFUNCTION("REGEXREPLACE(C27997,""-\d+(.*)|--\d+(.*)"","""")"),"SAINT-HELEN")</f>
        <v>SAINT-HELEN</v>
      </c>
      <c r="E27997" s="38" t="s">
        <v>89</v>
      </c>
      <c r="F27997" s="38" t="s">
        <v>90</v>
      </c>
      <c r="G27997" s="49" t="str">
        <f t="shared" si="1"/>
        <v>22100</v>
      </c>
      <c r="H27997" s="49">
        <f t="shared" si="2"/>
        <v>22299</v>
      </c>
    </row>
    <row r="27998">
      <c r="A27998" s="48" t="s">
        <v>1483</v>
      </c>
      <c r="B27998" s="38">
        <v>80422.0</v>
      </c>
      <c r="C27998" s="38" t="s">
        <v>32452</v>
      </c>
      <c r="D27998" s="38" t="str">
        <f>IFERROR(__xludf.DUMMYFUNCTION("REGEXREPLACE(C27998,""-\d+(.*)|--\d+(.*)"","""")"),"HAUTVILLERS-OUVILLE")</f>
        <v>HAUTVILLERS-OUVILLE</v>
      </c>
      <c r="E27998" s="38" t="s">
        <v>224</v>
      </c>
      <c r="F27998" s="38" t="s">
        <v>113</v>
      </c>
      <c r="G27998" s="49" t="str">
        <f t="shared" si="1"/>
        <v>80132</v>
      </c>
      <c r="H27998" s="49">
        <f t="shared" si="2"/>
        <v>80422</v>
      </c>
    </row>
    <row r="27999">
      <c r="A27999" s="48" t="s">
        <v>4455</v>
      </c>
      <c r="B27999" s="38">
        <v>1248.0</v>
      </c>
      <c r="C27999" s="38" t="s">
        <v>32453</v>
      </c>
      <c r="D27999" s="38" t="str">
        <f>IFERROR(__xludf.DUMMYFUNCTION("REGEXREPLACE(C27999,""-\d+(.*)|--\d+(.*)"","""")"),"MIONNAY")</f>
        <v>MIONNAY</v>
      </c>
      <c r="E27999" s="38" t="s">
        <v>255</v>
      </c>
      <c r="F27999" s="38" t="s">
        <v>102</v>
      </c>
      <c r="G27999" s="49" t="str">
        <f t="shared" si="1"/>
        <v>01390</v>
      </c>
      <c r="H27999" s="49" t="str">
        <f t="shared" si="2"/>
        <v>01248</v>
      </c>
    </row>
    <row r="28000">
      <c r="A28000" s="48" t="s">
        <v>497</v>
      </c>
      <c r="B28000" s="38">
        <v>62449.0</v>
      </c>
      <c r="C28000" s="38" t="s">
        <v>32454</v>
      </c>
      <c r="D28000" s="38" t="str">
        <f>IFERROR(__xludf.DUMMYFUNCTION("REGEXREPLACE(C28000,""-\d+(.*)|--\d+(.*)"","""")"),"HESMOND")</f>
        <v>HESMOND</v>
      </c>
      <c r="E28000" s="38" t="s">
        <v>109</v>
      </c>
      <c r="F28000" s="38" t="s">
        <v>86</v>
      </c>
      <c r="G28000" s="49" t="str">
        <f t="shared" si="1"/>
        <v>62990</v>
      </c>
      <c r="H28000" s="49">
        <f t="shared" si="2"/>
        <v>62449</v>
      </c>
    </row>
    <row r="28001">
      <c r="A28001" s="48" t="s">
        <v>7904</v>
      </c>
      <c r="B28001" s="38">
        <v>62049.0</v>
      </c>
      <c r="C28001" s="38" t="s">
        <v>32455</v>
      </c>
      <c r="D28001" s="38" t="str">
        <f>IFERROR(__xludf.DUMMYFUNCTION("REGEXREPLACE(C28001,""-\d+(.*)|--\d+(.*)"","""")"),"AUCHY-AU-BOIS")</f>
        <v>AUCHY-AU-BOIS</v>
      </c>
      <c r="E28001" s="38" t="s">
        <v>109</v>
      </c>
      <c r="F28001" s="38" t="s">
        <v>86</v>
      </c>
      <c r="G28001" s="49" t="str">
        <f t="shared" si="1"/>
        <v>62190</v>
      </c>
      <c r="H28001" s="49">
        <f t="shared" si="2"/>
        <v>62049</v>
      </c>
    </row>
    <row r="28002">
      <c r="A28002" s="48" t="s">
        <v>7549</v>
      </c>
      <c r="B28002" s="38">
        <v>50332.0</v>
      </c>
      <c r="C28002" s="38" t="s">
        <v>32456</v>
      </c>
      <c r="D28002" s="38" t="str">
        <f>IFERROR(__xludf.DUMMYFUNCTION("REGEXREPLACE(C28002,""-\d+(.*)|--\d+(.*)"","""")"),"LES MOITIERS-D'ALLONNE")</f>
        <v>LES MOITIERS-D'ALLONNE</v>
      </c>
      <c r="E28002" s="38" t="s">
        <v>157</v>
      </c>
      <c r="F28002" s="38" t="s">
        <v>138</v>
      </c>
      <c r="G28002" s="49" t="str">
        <f t="shared" si="1"/>
        <v>50270</v>
      </c>
      <c r="H28002" s="49">
        <f t="shared" si="2"/>
        <v>50332</v>
      </c>
    </row>
    <row r="28003">
      <c r="A28003" s="48" t="s">
        <v>781</v>
      </c>
      <c r="B28003" s="38">
        <v>65082.0</v>
      </c>
      <c r="C28003" s="38" t="s">
        <v>32457</v>
      </c>
      <c r="D28003" s="38" t="str">
        <f>IFERROR(__xludf.DUMMYFUNCTION("REGEXREPLACE(C28003,""-\d+(.*)|--\d+(.*)"","""")"),"BERBERUST-LIAS")</f>
        <v>BERBERUST-LIAS</v>
      </c>
      <c r="E28003" s="38" t="s">
        <v>200</v>
      </c>
      <c r="F28003" s="38" t="s">
        <v>94</v>
      </c>
      <c r="G28003" s="49" t="str">
        <f t="shared" si="1"/>
        <v>65100</v>
      </c>
      <c r="H28003" s="49">
        <f t="shared" si="2"/>
        <v>65082</v>
      </c>
    </row>
    <row r="28004">
      <c r="A28004" s="48" t="s">
        <v>5325</v>
      </c>
      <c r="B28004" s="38">
        <v>60116.0</v>
      </c>
      <c r="C28004" s="38" t="s">
        <v>32458</v>
      </c>
      <c r="D28004" s="38" t="str">
        <f>IFERROR(__xludf.DUMMYFUNCTION("REGEXREPLACE(C28004,""-\d+(.*)|--\d+(.*)"","""")"),"BURY")</f>
        <v>BURY</v>
      </c>
      <c r="E28004" s="38" t="s">
        <v>112</v>
      </c>
      <c r="F28004" s="38" t="s">
        <v>113</v>
      </c>
      <c r="G28004" s="49" t="str">
        <f t="shared" si="1"/>
        <v>60250</v>
      </c>
      <c r="H28004" s="49">
        <f t="shared" si="2"/>
        <v>60116</v>
      </c>
    </row>
    <row r="28005">
      <c r="A28005" s="48" t="s">
        <v>5674</v>
      </c>
      <c r="B28005" s="38">
        <v>55010.0</v>
      </c>
      <c r="C28005" s="38" t="s">
        <v>17857</v>
      </c>
      <c r="D28005" s="38" t="str">
        <f>IFERROR(__xludf.DUMMYFUNCTION("REGEXREPLACE(C28005,""-\d+(.*)|--\d+(.*)"","""")"),"ANCERVILLE")</f>
        <v>ANCERVILLE</v>
      </c>
      <c r="E28005" s="38" t="s">
        <v>322</v>
      </c>
      <c r="F28005" s="38" t="s">
        <v>195</v>
      </c>
      <c r="G28005" s="49" t="str">
        <f t="shared" si="1"/>
        <v>55170</v>
      </c>
      <c r="H28005" s="49">
        <f t="shared" si="2"/>
        <v>55010</v>
      </c>
    </row>
    <row r="28006">
      <c r="A28006" s="48" t="s">
        <v>8359</v>
      </c>
      <c r="B28006" s="38">
        <v>89023.0</v>
      </c>
      <c r="C28006" s="38" t="s">
        <v>12562</v>
      </c>
      <c r="D28006" s="38" t="str">
        <f>IFERROR(__xludf.DUMMYFUNCTION("REGEXREPLACE(C28006,""-\d+(.*)|--\d+(.*)"","""")"),"AUGY")</f>
        <v>AUGY</v>
      </c>
      <c r="E28006" s="38" t="s">
        <v>275</v>
      </c>
      <c r="F28006" s="38" t="s">
        <v>106</v>
      </c>
      <c r="G28006" s="49" t="str">
        <f t="shared" si="1"/>
        <v>89290</v>
      </c>
      <c r="H28006" s="49">
        <f t="shared" si="2"/>
        <v>89023</v>
      </c>
    </row>
    <row r="28007">
      <c r="A28007" s="48" t="s">
        <v>6781</v>
      </c>
      <c r="B28007" s="38">
        <v>56093.0</v>
      </c>
      <c r="C28007" s="38" t="s">
        <v>32459</v>
      </c>
      <c r="D28007" s="38" t="str">
        <f>IFERROR(__xludf.DUMMYFUNCTION("REGEXREPLACE(C28007,""-\d+(.*)|--\d+(.*)"","""")"),"KERGRIST")</f>
        <v>KERGRIST</v>
      </c>
      <c r="E28007" s="38" t="s">
        <v>173</v>
      </c>
      <c r="F28007" s="38" t="s">
        <v>90</v>
      </c>
      <c r="G28007" s="49" t="str">
        <f t="shared" si="1"/>
        <v>56300</v>
      </c>
      <c r="H28007" s="49">
        <f t="shared" si="2"/>
        <v>56093</v>
      </c>
    </row>
    <row r="28008">
      <c r="A28008" s="48" t="s">
        <v>622</v>
      </c>
      <c r="B28008" s="38">
        <v>14677.0</v>
      </c>
      <c r="C28008" s="38" t="s">
        <v>32460</v>
      </c>
      <c r="D28008" s="38" t="str">
        <f>IFERROR(__xludf.DUMMYFUNCTION("REGEXREPLACE(C28008,""-\d+(.*)|--\d+(.*)"","""")"),"SOULANGY")</f>
        <v>SOULANGY</v>
      </c>
      <c r="E28008" s="38" t="s">
        <v>137</v>
      </c>
      <c r="F28008" s="38" t="s">
        <v>138</v>
      </c>
      <c r="G28008" s="49" t="str">
        <f t="shared" si="1"/>
        <v>14700</v>
      </c>
      <c r="H28008" s="49">
        <f t="shared" si="2"/>
        <v>14677</v>
      </c>
    </row>
    <row r="28009">
      <c r="A28009" s="48" t="s">
        <v>1029</v>
      </c>
      <c r="B28009" s="38">
        <v>9162.0</v>
      </c>
      <c r="C28009" s="38" t="s">
        <v>32461</v>
      </c>
      <c r="D28009" s="38" t="str">
        <f>IFERROR(__xludf.DUMMYFUNCTION("REGEXREPLACE(C28009,""-\d+(.*)|--\d+(.*)"","""")"),"LERCOUL")</f>
        <v>LERCOUL</v>
      </c>
      <c r="E28009" s="38" t="s">
        <v>238</v>
      </c>
      <c r="F28009" s="38" t="s">
        <v>94</v>
      </c>
      <c r="G28009" s="49" t="str">
        <f t="shared" si="1"/>
        <v>09220</v>
      </c>
      <c r="H28009" s="49" t="str">
        <f t="shared" si="2"/>
        <v>09162</v>
      </c>
    </row>
    <row r="28010">
      <c r="A28010" s="48" t="s">
        <v>17203</v>
      </c>
      <c r="B28010" s="38" t="s">
        <v>32462</v>
      </c>
      <c r="C28010" s="38" t="s">
        <v>32463</v>
      </c>
      <c r="D28010" s="38" t="str">
        <f>IFERROR(__xludf.DUMMYFUNCTION("REGEXREPLACE(C28010,""-\d+(.*)|--\d+(.*)"","""")"),"LAVATOGGIO")</f>
        <v>LAVATOGGIO</v>
      </c>
      <c r="E28010" s="38" t="s">
        <v>743</v>
      </c>
      <c r="F28010" s="38" t="s">
        <v>607</v>
      </c>
      <c r="G28010" s="49" t="str">
        <f t="shared" si="1"/>
        <v>20225</v>
      </c>
      <c r="H28010" s="49" t="str">
        <f t="shared" si="2"/>
        <v>2B138</v>
      </c>
    </row>
    <row r="28011">
      <c r="A28011" s="48" t="s">
        <v>948</v>
      </c>
      <c r="B28011" s="38">
        <v>68050.0</v>
      </c>
      <c r="C28011" s="38" t="s">
        <v>32464</v>
      </c>
      <c r="D28011" s="38" t="str">
        <f>IFERROR(__xludf.DUMMYFUNCTION("REGEXREPLACE(C28011,""-\d+(.*)|--\d+(.*)"","""")"),"BRECHAUMONT")</f>
        <v>BRECHAUMONT</v>
      </c>
      <c r="E28011" s="38" t="s">
        <v>150</v>
      </c>
      <c r="F28011" s="38" t="s">
        <v>151</v>
      </c>
      <c r="G28011" s="49" t="str">
        <f t="shared" si="1"/>
        <v>68210</v>
      </c>
      <c r="H28011" s="49">
        <f t="shared" si="2"/>
        <v>68050</v>
      </c>
    </row>
    <row r="28012">
      <c r="A28012" s="48" t="s">
        <v>4553</v>
      </c>
      <c r="B28012" s="38">
        <v>56144.0</v>
      </c>
      <c r="C28012" s="38" t="s">
        <v>32465</v>
      </c>
      <c r="D28012" s="38" t="str">
        <f>IFERROR(__xludf.DUMMYFUNCTION("REGEXREPLACE(C28012,""-\d+(.*)|--\d+(.*)"","""")"),"NAIZIN")</f>
        <v>NAIZIN</v>
      </c>
      <c r="E28012" s="38" t="s">
        <v>173</v>
      </c>
      <c r="F28012" s="38" t="s">
        <v>90</v>
      </c>
      <c r="G28012" s="49" t="str">
        <f t="shared" si="1"/>
        <v>56500</v>
      </c>
      <c r="H28012" s="49">
        <f t="shared" si="2"/>
        <v>56144</v>
      </c>
    </row>
    <row r="28013">
      <c r="A28013" s="48" t="s">
        <v>6832</v>
      </c>
      <c r="B28013" s="38">
        <v>80814.0</v>
      </c>
      <c r="C28013" s="38" t="s">
        <v>32466</v>
      </c>
      <c r="D28013" s="38" t="str">
        <f>IFERROR(__xludf.DUMMYFUNCTION("REGEXREPLACE(C28013,""-\d+(.*)|--\d+(.*)"","""")"),"VRELY")</f>
        <v>VRELY</v>
      </c>
      <c r="E28013" s="38" t="s">
        <v>224</v>
      </c>
      <c r="F28013" s="38" t="s">
        <v>113</v>
      </c>
      <c r="G28013" s="49" t="str">
        <f t="shared" si="1"/>
        <v>80170</v>
      </c>
      <c r="H28013" s="49">
        <f t="shared" si="2"/>
        <v>80814</v>
      </c>
    </row>
    <row r="28014">
      <c r="A28014" s="48" t="s">
        <v>1829</v>
      </c>
      <c r="B28014" s="38">
        <v>59318.0</v>
      </c>
      <c r="C28014" s="38" t="s">
        <v>32467</v>
      </c>
      <c r="D28014" s="38" t="str">
        <f>IFERROR(__xludf.DUMMYFUNCTION("REGEXREPLACE(C28014,""-\d+(.*)|--\d+(.*)"","""")"),"HOUTKERQUE")</f>
        <v>HOUTKERQUE</v>
      </c>
      <c r="E28014" s="38" t="s">
        <v>85</v>
      </c>
      <c r="F28014" s="38" t="s">
        <v>86</v>
      </c>
      <c r="G28014" s="49" t="str">
        <f t="shared" si="1"/>
        <v>59470</v>
      </c>
      <c r="H28014" s="49">
        <f t="shared" si="2"/>
        <v>59318</v>
      </c>
    </row>
    <row r="28015">
      <c r="A28015" s="48" t="s">
        <v>7353</v>
      </c>
      <c r="B28015" s="38">
        <v>26114.0</v>
      </c>
      <c r="C28015" s="38" t="s">
        <v>32468</v>
      </c>
      <c r="D28015" s="38" t="str">
        <f>IFERROR(__xludf.DUMMYFUNCTION("REGEXREPLACE(C28015,""-\d+(.*)|--\d+(.*)"","""")"),"DIEULEFIT")</f>
        <v>DIEULEFIT</v>
      </c>
      <c r="E28015" s="38" t="s">
        <v>126</v>
      </c>
      <c r="F28015" s="38" t="s">
        <v>102</v>
      </c>
      <c r="G28015" s="49" t="str">
        <f t="shared" si="1"/>
        <v>26220</v>
      </c>
      <c r="H28015" s="49">
        <f t="shared" si="2"/>
        <v>26114</v>
      </c>
    </row>
    <row r="28016">
      <c r="A28016" s="48" t="s">
        <v>28630</v>
      </c>
      <c r="B28016" s="38" t="s">
        <v>32469</v>
      </c>
      <c r="C28016" s="38" t="s">
        <v>32470</v>
      </c>
      <c r="D28016" s="38" t="str">
        <f>IFERROR(__xludf.DUMMYFUNCTION("REGEXREPLACE(C28016,""-\d+(.*)|--\d+(.*)"","""")"),"MANSO")</f>
        <v>MANSO</v>
      </c>
      <c r="E28016" s="38" t="s">
        <v>743</v>
      </c>
      <c r="F28016" s="38" t="s">
        <v>607</v>
      </c>
      <c r="G28016" s="49" t="str">
        <f t="shared" si="1"/>
        <v>20245</v>
      </c>
      <c r="H28016" s="49" t="str">
        <f t="shared" si="2"/>
        <v>2B153</v>
      </c>
    </row>
    <row r="28017">
      <c r="A28017" s="48" t="s">
        <v>14146</v>
      </c>
      <c r="B28017" s="38">
        <v>95091.0</v>
      </c>
      <c r="C28017" s="38" t="s">
        <v>32471</v>
      </c>
      <c r="D28017" s="38" t="str">
        <f>IFERROR(__xludf.DUMMYFUNCTION("REGEXREPLACE(C28017,""-\d+(.*)|--\d+(.*)"","""")"),"BOUFFEMONT")</f>
        <v>BOUFFEMONT</v>
      </c>
      <c r="E28017" s="38" t="s">
        <v>541</v>
      </c>
      <c r="F28017" s="38" t="s">
        <v>245</v>
      </c>
      <c r="G28017" s="49" t="str">
        <f t="shared" si="1"/>
        <v>95570</v>
      </c>
      <c r="H28017" s="49">
        <f t="shared" si="2"/>
        <v>95091</v>
      </c>
    </row>
    <row r="28018">
      <c r="A28018" s="48" t="s">
        <v>3214</v>
      </c>
      <c r="B28018" s="38">
        <v>36171.0</v>
      </c>
      <c r="C28018" s="38" t="s">
        <v>11268</v>
      </c>
      <c r="D28018" s="38" t="str">
        <f>IFERROR(__xludf.DUMMYFUNCTION("REGEXREPLACE(C28018,""-\d+(.*)|--\d+(.*)"","""")"),"REUILLY")</f>
        <v>REUILLY</v>
      </c>
      <c r="E28018" s="38" t="s">
        <v>258</v>
      </c>
      <c r="F28018" s="38" t="s">
        <v>123</v>
      </c>
      <c r="G28018" s="49" t="str">
        <f t="shared" si="1"/>
        <v>36260</v>
      </c>
      <c r="H28018" s="49">
        <f t="shared" si="2"/>
        <v>36171</v>
      </c>
    </row>
    <row r="28019">
      <c r="A28019" s="48" t="s">
        <v>10609</v>
      </c>
      <c r="B28019" s="38">
        <v>12165.0</v>
      </c>
      <c r="C28019" s="38" t="s">
        <v>32472</v>
      </c>
      <c r="D28019" s="38" t="str">
        <f>IFERROR(__xludf.DUMMYFUNCTION("REGEXREPLACE(C28019,""-\d+(.*)|--\d+(.*)"","""")"),"MURET-LE-CHATEAU")</f>
        <v>MURET-LE-CHATEAU</v>
      </c>
      <c r="E28019" s="38" t="s">
        <v>465</v>
      </c>
      <c r="F28019" s="38" t="s">
        <v>94</v>
      </c>
      <c r="G28019" s="49" t="str">
        <f t="shared" si="1"/>
        <v>12330</v>
      </c>
      <c r="H28019" s="49">
        <f t="shared" si="2"/>
        <v>12165</v>
      </c>
    </row>
    <row r="28020">
      <c r="A28020" s="48" t="s">
        <v>3789</v>
      </c>
      <c r="B28020" s="38">
        <v>51331.0</v>
      </c>
      <c r="C28020" s="38" t="s">
        <v>32473</v>
      </c>
      <c r="D28020" s="38" t="str">
        <f>IFERROR(__xludf.DUMMYFUNCTION("REGEXREPLACE(C28020,""-\d+(.*)|--\d+(.*)"","""")"),"LOUVOIS")</f>
        <v>LOUVOIS</v>
      </c>
      <c r="E28020" s="38" t="s">
        <v>129</v>
      </c>
      <c r="F28020" s="38" t="s">
        <v>130</v>
      </c>
      <c r="G28020" s="49" t="str">
        <f t="shared" si="1"/>
        <v>51150</v>
      </c>
      <c r="H28020" s="49">
        <f t="shared" si="2"/>
        <v>51331</v>
      </c>
    </row>
    <row r="28021">
      <c r="A28021" s="48" t="s">
        <v>1731</v>
      </c>
      <c r="B28021" s="38">
        <v>38494.0</v>
      </c>
      <c r="C28021" s="38" t="s">
        <v>32474</v>
      </c>
      <c r="D28021" s="38" t="str">
        <f>IFERROR(__xludf.DUMMYFUNCTION("REGEXREPLACE(C28021,""-\d+(.*)|--\d+(.*)"","""")"),"SOLEYMIEU")</f>
        <v>SOLEYMIEU</v>
      </c>
      <c r="E28021" s="38" t="s">
        <v>101</v>
      </c>
      <c r="F28021" s="38" t="s">
        <v>102</v>
      </c>
      <c r="G28021" s="49" t="str">
        <f t="shared" si="1"/>
        <v>38460</v>
      </c>
      <c r="H28021" s="49">
        <f t="shared" si="2"/>
        <v>38494</v>
      </c>
    </row>
    <row r="28022">
      <c r="A28022" s="48" t="s">
        <v>4328</v>
      </c>
      <c r="B28022" s="38">
        <v>70471.0</v>
      </c>
      <c r="C28022" s="38" t="s">
        <v>32475</v>
      </c>
      <c r="D28022" s="38" t="str">
        <f>IFERROR(__xludf.DUMMYFUNCTION("REGEXREPLACE(C28022,""-\d+(.*)|--\d+(.*)"","""")"),"SAINTE-REINE")</f>
        <v>SAINTE-REINE</v>
      </c>
      <c r="E28022" s="38" t="s">
        <v>956</v>
      </c>
      <c r="F28022" s="38" t="s">
        <v>214</v>
      </c>
      <c r="G28022" s="49" t="str">
        <f t="shared" si="1"/>
        <v>70700</v>
      </c>
      <c r="H28022" s="49">
        <f t="shared" si="2"/>
        <v>70471</v>
      </c>
    </row>
    <row r="28023">
      <c r="A28023" s="48" t="s">
        <v>2532</v>
      </c>
      <c r="B28023" s="38">
        <v>51514.0</v>
      </c>
      <c r="C28023" s="38" t="s">
        <v>32476</v>
      </c>
      <c r="D28023" s="38" t="str">
        <f>IFERROR(__xludf.DUMMYFUNCTION("REGEXREPLACE(C28023,""-\d+(.*)|--\d+(.*)"","""")"),"SAINT-REMY-SOUS-BROYES")</f>
        <v>SAINT-REMY-SOUS-BROYES</v>
      </c>
      <c r="E28023" s="38" t="s">
        <v>129</v>
      </c>
      <c r="F28023" s="38" t="s">
        <v>130</v>
      </c>
      <c r="G28023" s="49" t="str">
        <f t="shared" si="1"/>
        <v>51120</v>
      </c>
      <c r="H28023" s="49">
        <f t="shared" si="2"/>
        <v>51514</v>
      </c>
    </row>
    <row r="28024">
      <c r="A28024" s="48" t="s">
        <v>549</v>
      </c>
      <c r="B28024" s="38">
        <v>55334.0</v>
      </c>
      <c r="C28024" s="38" t="s">
        <v>32477</v>
      </c>
      <c r="D28024" s="38" t="str">
        <f>IFERROR(__xludf.DUMMYFUNCTION("REGEXREPLACE(C28024,""-\d+(.*)|--\d+(.*)"","""")"),"MENIL-LA-HORGNE")</f>
        <v>MENIL-LA-HORGNE</v>
      </c>
      <c r="E28024" s="38" t="s">
        <v>322</v>
      </c>
      <c r="F28024" s="38" t="s">
        <v>195</v>
      </c>
      <c r="G28024" s="49" t="str">
        <f t="shared" si="1"/>
        <v>55190</v>
      </c>
      <c r="H28024" s="49">
        <f t="shared" si="2"/>
        <v>55334</v>
      </c>
    </row>
    <row r="28025">
      <c r="A28025" s="48" t="s">
        <v>3662</v>
      </c>
      <c r="B28025" s="38">
        <v>80783.0</v>
      </c>
      <c r="C28025" s="38" t="s">
        <v>32478</v>
      </c>
      <c r="D28025" s="38" t="str">
        <f>IFERROR(__xludf.DUMMYFUNCTION("REGEXREPLACE(C28025,""-\d+(.*)|--\d+(.*)"","""")"),"VAUX-MARQUENNEVILLE")</f>
        <v>VAUX-MARQUENNEVILLE</v>
      </c>
      <c r="E28025" s="38" t="s">
        <v>224</v>
      </c>
      <c r="F28025" s="38" t="s">
        <v>113</v>
      </c>
      <c r="G28025" s="49" t="str">
        <f t="shared" si="1"/>
        <v>80140</v>
      </c>
      <c r="H28025" s="49">
        <f t="shared" si="2"/>
        <v>80783</v>
      </c>
    </row>
    <row r="28026">
      <c r="A28026" s="48" t="s">
        <v>3424</v>
      </c>
      <c r="B28026" s="38">
        <v>10110.0</v>
      </c>
      <c r="C28026" s="38" t="s">
        <v>32479</v>
      </c>
      <c r="D28026" s="38" t="str">
        <f>IFERROR(__xludf.DUMMYFUNCTION("REGEXREPLACE(C28026,""-\d+(.*)|--\d+(.*)"","""")"),"COURTERANGES")</f>
        <v>COURTERANGES</v>
      </c>
      <c r="E28026" s="38" t="s">
        <v>147</v>
      </c>
      <c r="F28026" s="38" t="s">
        <v>130</v>
      </c>
      <c r="G28026" s="49" t="str">
        <f t="shared" si="1"/>
        <v>10270</v>
      </c>
      <c r="H28026" s="49">
        <f t="shared" si="2"/>
        <v>10110</v>
      </c>
    </row>
    <row r="28027">
      <c r="A28027" s="48" t="s">
        <v>1756</v>
      </c>
      <c r="B28027" s="38">
        <v>28145.0</v>
      </c>
      <c r="C28027" s="38" t="s">
        <v>32480</v>
      </c>
      <c r="D28027" s="38" t="str">
        <f>IFERROR(__xludf.DUMMYFUNCTION("REGEXREPLACE(C28027,""-\d+(.*)|--\d+(.*)"","""")"),"FAINS-LA-FOLIE")</f>
        <v>FAINS-LA-FOLIE</v>
      </c>
      <c r="E28027" s="38" t="s">
        <v>300</v>
      </c>
      <c r="F28027" s="38" t="s">
        <v>123</v>
      </c>
      <c r="G28027" s="49" t="str">
        <f t="shared" si="1"/>
        <v>28150</v>
      </c>
      <c r="H28027" s="49">
        <f t="shared" si="2"/>
        <v>28145</v>
      </c>
    </row>
    <row r="28028">
      <c r="A28028" s="48" t="s">
        <v>10268</v>
      </c>
      <c r="B28028" s="38">
        <v>41260.0</v>
      </c>
      <c r="C28028" s="38" t="s">
        <v>32481</v>
      </c>
      <c r="D28028" s="38" t="str">
        <f>IFERROR(__xludf.DUMMYFUNCTION("REGEXREPLACE(C28028,""-\d+(.*)|--\d+(.*)"","""")"),"THOURY")</f>
        <v>THOURY</v>
      </c>
      <c r="E28028" s="38" t="s">
        <v>188</v>
      </c>
      <c r="F28028" s="38" t="s">
        <v>123</v>
      </c>
      <c r="G28028" s="49" t="str">
        <f t="shared" si="1"/>
        <v>41220</v>
      </c>
      <c r="H28028" s="49">
        <f t="shared" si="2"/>
        <v>41260</v>
      </c>
    </row>
    <row r="28029">
      <c r="A28029" s="48" t="s">
        <v>3885</v>
      </c>
      <c r="B28029" s="38">
        <v>53137.0</v>
      </c>
      <c r="C28029" s="38" t="s">
        <v>32482</v>
      </c>
      <c r="D28029" s="38" t="str">
        <f>IFERROR(__xludf.DUMMYFUNCTION("REGEXREPLACE(C28029,""-\d+(.*)|--\d+(.*)"","""")"),"LOIRON")</f>
        <v>LOIRON</v>
      </c>
      <c r="E28029" s="38" t="s">
        <v>518</v>
      </c>
      <c r="F28029" s="38" t="s">
        <v>180</v>
      </c>
      <c r="G28029" s="49" t="str">
        <f t="shared" si="1"/>
        <v>53320</v>
      </c>
      <c r="H28029" s="49">
        <f t="shared" si="2"/>
        <v>53137</v>
      </c>
    </row>
    <row r="28030">
      <c r="A28030" s="48" t="s">
        <v>18646</v>
      </c>
      <c r="B28030" s="38">
        <v>3139.0</v>
      </c>
      <c r="C28030" s="38" t="s">
        <v>32483</v>
      </c>
      <c r="D28030" s="38" t="str">
        <f>IFERROR(__xludf.DUMMYFUNCTION("REGEXREPLACE(C28030,""-\d+(.*)|--\d+(.*)"","""")"),"LAPRUGNE")</f>
        <v>LAPRUGNE</v>
      </c>
      <c r="E28030" s="38" t="s">
        <v>160</v>
      </c>
      <c r="F28030" s="38" t="s">
        <v>161</v>
      </c>
      <c r="G28030" s="49" t="str">
        <f t="shared" si="1"/>
        <v>03250</v>
      </c>
      <c r="H28030" s="49" t="str">
        <f t="shared" si="2"/>
        <v>03139</v>
      </c>
    </row>
    <row r="28031">
      <c r="A28031" s="48" t="s">
        <v>3465</v>
      </c>
      <c r="B28031" s="38">
        <v>11034.0</v>
      </c>
      <c r="C28031" s="38" t="s">
        <v>32484</v>
      </c>
      <c r="D28031" s="38" t="str">
        <f>IFERROR(__xludf.DUMMYFUNCTION("REGEXREPLACE(C28031,""-\d+(.*)|--\d+(.*)"","""")"),"BELVEZE-DU-RAZES")</f>
        <v>BELVEZE-DU-RAZES</v>
      </c>
      <c r="E28031" s="38" t="s">
        <v>278</v>
      </c>
      <c r="F28031" s="38" t="s">
        <v>119</v>
      </c>
      <c r="G28031" s="49" t="str">
        <f t="shared" si="1"/>
        <v>11240</v>
      </c>
      <c r="H28031" s="49">
        <f t="shared" si="2"/>
        <v>11034</v>
      </c>
    </row>
    <row r="28032">
      <c r="A28032" s="48" t="s">
        <v>2090</v>
      </c>
      <c r="B28032" s="38">
        <v>67055.0</v>
      </c>
      <c r="C28032" s="38" t="s">
        <v>32485</v>
      </c>
      <c r="D28032" s="38" t="str">
        <f>IFERROR(__xludf.DUMMYFUNCTION("REGEXREPLACE(C28032,""-\d+(.*)|--\d+(.*)"","""")"),"BOOFZHEIM")</f>
        <v>BOOFZHEIM</v>
      </c>
      <c r="E28032" s="38" t="s">
        <v>210</v>
      </c>
      <c r="F28032" s="38" t="s">
        <v>151</v>
      </c>
      <c r="G28032" s="49" t="str">
        <f t="shared" si="1"/>
        <v>67860</v>
      </c>
      <c r="H28032" s="49">
        <f t="shared" si="2"/>
        <v>67055</v>
      </c>
    </row>
    <row r="28033">
      <c r="A28033" s="48" t="s">
        <v>10854</v>
      </c>
      <c r="B28033" s="38">
        <v>42162.0</v>
      </c>
      <c r="C28033" s="38" t="s">
        <v>32486</v>
      </c>
      <c r="D28033" s="38" t="str">
        <f>IFERROR(__xludf.DUMMYFUNCTION("REGEXREPLACE(C28033,""-\d+(.*)|--\d+(.*)"","""")"),"OUCHES")</f>
        <v>OUCHES</v>
      </c>
      <c r="E28033" s="38" t="s">
        <v>166</v>
      </c>
      <c r="F28033" s="38" t="s">
        <v>102</v>
      </c>
      <c r="G28033" s="49" t="str">
        <f t="shared" si="1"/>
        <v>42155</v>
      </c>
      <c r="H28033" s="49">
        <f t="shared" si="2"/>
        <v>42162</v>
      </c>
    </row>
    <row r="28034">
      <c r="A28034" s="48" t="s">
        <v>4867</v>
      </c>
      <c r="B28034" s="38">
        <v>82104.0</v>
      </c>
      <c r="C28034" s="38" t="s">
        <v>8675</v>
      </c>
      <c r="D28034" s="38" t="str">
        <f>IFERROR(__xludf.DUMMYFUNCTION("REGEXREPLACE(C28034,""-\d+(.*)|--\d+(.*)"","""")"),"MARSAC")</f>
        <v>MARSAC</v>
      </c>
      <c r="E28034" s="38" t="s">
        <v>570</v>
      </c>
      <c r="F28034" s="38" t="s">
        <v>94</v>
      </c>
      <c r="G28034" s="49" t="str">
        <f t="shared" si="1"/>
        <v>82120</v>
      </c>
      <c r="H28034" s="49">
        <f t="shared" si="2"/>
        <v>82104</v>
      </c>
    </row>
    <row r="28035">
      <c r="A28035" s="48" t="s">
        <v>1938</v>
      </c>
      <c r="B28035" s="38">
        <v>55395.0</v>
      </c>
      <c r="C28035" s="38" t="s">
        <v>32487</v>
      </c>
      <c r="D28035" s="38" t="str">
        <f>IFERROR(__xludf.DUMMYFUNCTION("REGEXREPLACE(C28035,""-\d+(.*)|--\d+(.*)"","""")"),"OSCHES")</f>
        <v>OSCHES</v>
      </c>
      <c r="E28035" s="38" t="s">
        <v>322</v>
      </c>
      <c r="F28035" s="38" t="s">
        <v>195</v>
      </c>
      <c r="G28035" s="49" t="str">
        <f t="shared" si="1"/>
        <v>55220</v>
      </c>
      <c r="H28035" s="49">
        <f t="shared" si="2"/>
        <v>55395</v>
      </c>
    </row>
    <row r="28036">
      <c r="A28036" s="48" t="s">
        <v>4445</v>
      </c>
      <c r="B28036" s="38">
        <v>30173.0</v>
      </c>
      <c r="C28036" s="38" t="s">
        <v>2405</v>
      </c>
      <c r="D28036" s="38" t="str">
        <f>IFERROR(__xludf.DUMMYFUNCTION("REGEXREPLACE(C28036,""-\d+(.*)|--\d+(.*)"","""")"),"MONS")</f>
        <v>MONS</v>
      </c>
      <c r="E28036" s="38" t="s">
        <v>526</v>
      </c>
      <c r="F28036" s="38" t="s">
        <v>119</v>
      </c>
      <c r="G28036" s="49" t="str">
        <f t="shared" si="1"/>
        <v>30340</v>
      </c>
      <c r="H28036" s="49">
        <f t="shared" si="2"/>
        <v>30173</v>
      </c>
    </row>
    <row r="28037">
      <c r="A28037" s="48" t="s">
        <v>10179</v>
      </c>
      <c r="B28037" s="38">
        <v>8263.0</v>
      </c>
      <c r="C28037" s="38" t="s">
        <v>32488</v>
      </c>
      <c r="D28037" s="38" t="str">
        <f>IFERROR(__xludf.DUMMYFUNCTION("REGEXREPLACE(C28037,""-\d+(.*)|--\d+(.*)"","""")"),"LUMES")</f>
        <v>LUMES</v>
      </c>
      <c r="E28037" s="38" t="s">
        <v>327</v>
      </c>
      <c r="F28037" s="38" t="s">
        <v>130</v>
      </c>
      <c r="G28037" s="49" t="str">
        <f t="shared" si="1"/>
        <v>08440</v>
      </c>
      <c r="H28037" s="49" t="str">
        <f t="shared" si="2"/>
        <v>08263</v>
      </c>
    </row>
    <row r="28038">
      <c r="A28038" s="48" t="s">
        <v>3506</v>
      </c>
      <c r="B28038" s="38">
        <v>16115.0</v>
      </c>
      <c r="C28038" s="38" t="s">
        <v>32489</v>
      </c>
      <c r="D28038" s="38" t="str">
        <f>IFERROR(__xludf.DUMMYFUNCTION("REGEXREPLACE(C28038,""-\d+(.*)|--\d+(.*)"","""")"),"CRESSAC-SAINT-GENIS")</f>
        <v>CRESSAC-SAINT-GENIS</v>
      </c>
      <c r="E28038" s="38" t="s">
        <v>429</v>
      </c>
      <c r="F28038" s="38" t="s">
        <v>338</v>
      </c>
      <c r="G28038" s="49" t="str">
        <f t="shared" si="1"/>
        <v>16250</v>
      </c>
      <c r="H28038" s="49">
        <f t="shared" si="2"/>
        <v>16115</v>
      </c>
    </row>
    <row r="28039">
      <c r="A28039" s="48" t="s">
        <v>3203</v>
      </c>
      <c r="B28039" s="38">
        <v>35118.0</v>
      </c>
      <c r="C28039" s="38" t="s">
        <v>32490</v>
      </c>
      <c r="D28039" s="38" t="str">
        <f>IFERROR(__xludf.DUMMYFUNCTION("REGEXREPLACE(C28039,""-\d+(.*)|--\d+(.*)"","""")"),"GAHARD")</f>
        <v>GAHARD</v>
      </c>
      <c r="E28039" s="38" t="s">
        <v>347</v>
      </c>
      <c r="F28039" s="38" t="s">
        <v>90</v>
      </c>
      <c r="G28039" s="49" t="str">
        <f t="shared" si="1"/>
        <v>35490</v>
      </c>
      <c r="H28039" s="49">
        <f t="shared" si="2"/>
        <v>35118</v>
      </c>
    </row>
    <row r="28040">
      <c r="A28040" s="48" t="s">
        <v>2296</v>
      </c>
      <c r="B28040" s="38">
        <v>47122.0</v>
      </c>
      <c r="C28040" s="38" t="s">
        <v>32491</v>
      </c>
      <c r="D28040" s="38" t="str">
        <f>IFERROR(__xludf.DUMMYFUNCTION("REGEXREPLACE(C28040,""-\d+(.*)|--\d+(.*)"","""")"),"LABRETONIE")</f>
        <v>LABRETONIE</v>
      </c>
      <c r="E28040" s="38" t="s">
        <v>251</v>
      </c>
      <c r="F28040" s="38" t="s">
        <v>252</v>
      </c>
      <c r="G28040" s="49" t="str">
        <f t="shared" si="1"/>
        <v>47350</v>
      </c>
      <c r="H28040" s="49">
        <f t="shared" si="2"/>
        <v>47122</v>
      </c>
    </row>
    <row r="28041">
      <c r="A28041" s="48" t="s">
        <v>1531</v>
      </c>
      <c r="B28041" s="38">
        <v>65444.0</v>
      </c>
      <c r="C28041" s="38" t="s">
        <v>32492</v>
      </c>
      <c r="D28041" s="38" t="str">
        <f>IFERROR(__xludf.DUMMYFUNCTION("REGEXREPLACE(C28041,""-\d+(.*)|--\d+(.*)"","""")"),"TIBIRAN-JAUNAC")</f>
        <v>TIBIRAN-JAUNAC</v>
      </c>
      <c r="E28041" s="38" t="s">
        <v>200</v>
      </c>
      <c r="F28041" s="38" t="s">
        <v>94</v>
      </c>
      <c r="G28041" s="49" t="str">
        <f t="shared" si="1"/>
        <v>65150</v>
      </c>
      <c r="H28041" s="49">
        <f t="shared" si="2"/>
        <v>65444</v>
      </c>
    </row>
    <row r="28042">
      <c r="A28042" s="48" t="s">
        <v>2249</v>
      </c>
      <c r="B28042" s="38">
        <v>14680.0</v>
      </c>
      <c r="C28042" s="38" t="s">
        <v>18618</v>
      </c>
      <c r="D28042" s="38" t="str">
        <f>IFERROR(__xludf.DUMMYFUNCTION("REGEXREPLACE(C28042,""-\d+(.*)|--\d+(.*)"","""")"),"SULLY")</f>
        <v>SULLY</v>
      </c>
      <c r="E28042" s="38" t="s">
        <v>137</v>
      </c>
      <c r="F28042" s="38" t="s">
        <v>138</v>
      </c>
      <c r="G28042" s="49" t="str">
        <f t="shared" si="1"/>
        <v>14400</v>
      </c>
      <c r="H28042" s="49">
        <f t="shared" si="2"/>
        <v>14680</v>
      </c>
    </row>
    <row r="28043">
      <c r="A28043" s="48" t="s">
        <v>2328</v>
      </c>
      <c r="B28043" s="38">
        <v>57181.0</v>
      </c>
      <c r="C28043" s="38" t="s">
        <v>32493</v>
      </c>
      <c r="D28043" s="38" t="str">
        <f>IFERROR(__xludf.DUMMYFUNCTION("REGEXREPLACE(C28043,""-\d+(.*)|--\d+(.*)"","""")"),"DOMNOM-LES-DIEUZE")</f>
        <v>DOMNOM-LES-DIEUZE</v>
      </c>
      <c r="E28043" s="38" t="s">
        <v>303</v>
      </c>
      <c r="F28043" s="38" t="s">
        <v>195</v>
      </c>
      <c r="G28043" s="49" t="str">
        <f t="shared" si="1"/>
        <v>57260</v>
      </c>
      <c r="H28043" s="49">
        <f t="shared" si="2"/>
        <v>57181</v>
      </c>
    </row>
    <row r="28044">
      <c r="A28044" s="48" t="s">
        <v>3129</v>
      </c>
      <c r="B28044" s="38">
        <v>18183.0</v>
      </c>
      <c r="C28044" s="38" t="s">
        <v>32494</v>
      </c>
      <c r="D28044" s="38" t="str">
        <f>IFERROR(__xludf.DUMMYFUNCTION("REGEXREPLACE(C28044,""-\d+(.*)|--\d+(.*)"","""")"),"LE PONDY")</f>
        <v>LE PONDY</v>
      </c>
      <c r="E28044" s="38" t="s">
        <v>504</v>
      </c>
      <c r="F28044" s="38" t="s">
        <v>123</v>
      </c>
      <c r="G28044" s="49" t="str">
        <f t="shared" si="1"/>
        <v>18210</v>
      </c>
      <c r="H28044" s="49">
        <f t="shared" si="2"/>
        <v>18183</v>
      </c>
    </row>
    <row r="28045">
      <c r="A28045" s="48" t="s">
        <v>32495</v>
      </c>
      <c r="B28045" s="38">
        <v>97421.0</v>
      </c>
      <c r="C28045" s="38" t="s">
        <v>32496</v>
      </c>
      <c r="D28045" s="38" t="str">
        <f>IFERROR(__xludf.DUMMYFUNCTION("REGEXREPLACE(C28045,""-\d+(.*)|--\d+(.*)"","""")"),"SALAZIE")</f>
        <v>SALAZIE</v>
      </c>
      <c r="E28045" s="38" t="s">
        <v>7739</v>
      </c>
      <c r="F28045" s="38" t="s">
        <v>7739</v>
      </c>
      <c r="G28045" s="49" t="str">
        <f t="shared" si="1"/>
        <v>97433</v>
      </c>
      <c r="H28045" s="49">
        <f t="shared" si="2"/>
        <v>97421</v>
      </c>
    </row>
    <row r="28046">
      <c r="A28046" s="48" t="s">
        <v>586</v>
      </c>
      <c r="B28046" s="38">
        <v>67541.0</v>
      </c>
      <c r="C28046" s="38" t="s">
        <v>32497</v>
      </c>
      <c r="D28046" s="38" t="str">
        <f>IFERROR(__xludf.DUMMYFUNCTION("REGEXREPLACE(C28046,""-\d+(.*)|--\d+(.*)"","""")"),"WINTZENBACH")</f>
        <v>WINTZENBACH</v>
      </c>
      <c r="E28046" s="38" t="s">
        <v>210</v>
      </c>
      <c r="F28046" s="38" t="s">
        <v>151</v>
      </c>
      <c r="G28046" s="49" t="str">
        <f t="shared" si="1"/>
        <v>67470</v>
      </c>
      <c r="H28046" s="49">
        <f t="shared" si="2"/>
        <v>67541</v>
      </c>
    </row>
    <row r="28047">
      <c r="A28047" s="48" t="s">
        <v>32498</v>
      </c>
      <c r="B28047" s="38">
        <v>42254.0</v>
      </c>
      <c r="C28047" s="38" t="s">
        <v>32499</v>
      </c>
      <c r="D28047" s="38" t="str">
        <f>IFERROR(__xludf.DUMMYFUNCTION("REGEXREPLACE(C28047,""-\d+(.*)|--\d+(.*)"","""")"),"SAINT-MARCEL-DE-FELINES")</f>
        <v>SAINT-MARCEL-DE-FELINES</v>
      </c>
      <c r="E28047" s="38" t="s">
        <v>166</v>
      </c>
      <c r="F28047" s="38" t="s">
        <v>102</v>
      </c>
      <c r="G28047" s="49" t="str">
        <f t="shared" si="1"/>
        <v>42122</v>
      </c>
      <c r="H28047" s="49">
        <f t="shared" si="2"/>
        <v>42254</v>
      </c>
    </row>
    <row r="28048">
      <c r="A28048" s="48" t="s">
        <v>1989</v>
      </c>
      <c r="B28048" s="38">
        <v>60179.0</v>
      </c>
      <c r="C28048" s="38" t="s">
        <v>32500</v>
      </c>
      <c r="D28048" s="38" t="str">
        <f>IFERROR(__xludf.DUMMYFUNCTION("REGEXREPLACE(C28048,""-\d+(.*)|--\d+(.*)"","""")"),"CREVECOEUR-LE-PETIT")</f>
        <v>CREVECOEUR-LE-PETIT</v>
      </c>
      <c r="E28048" s="38" t="s">
        <v>112</v>
      </c>
      <c r="F28048" s="38" t="s">
        <v>113</v>
      </c>
      <c r="G28048" s="49" t="str">
        <f t="shared" si="1"/>
        <v>60420</v>
      </c>
      <c r="H28048" s="49">
        <f t="shared" si="2"/>
        <v>60179</v>
      </c>
    </row>
    <row r="28049">
      <c r="A28049" s="48" t="s">
        <v>28390</v>
      </c>
      <c r="B28049" s="38">
        <v>95061.0</v>
      </c>
      <c r="C28049" s="38" t="s">
        <v>32501</v>
      </c>
      <c r="D28049" s="38" t="str">
        <f>IFERROR(__xludf.DUMMYFUNCTION("REGEXREPLACE(C28049,""-\d+(.*)|--\d+(.*)"","""")"),"BETHEMONT-LA-FORET")</f>
        <v>BETHEMONT-LA-FORET</v>
      </c>
      <c r="E28049" s="38" t="s">
        <v>541</v>
      </c>
      <c r="F28049" s="38" t="s">
        <v>245</v>
      </c>
      <c r="G28049" s="49" t="str">
        <f t="shared" si="1"/>
        <v>95840</v>
      </c>
      <c r="H28049" s="49">
        <f t="shared" si="2"/>
        <v>95061</v>
      </c>
    </row>
    <row r="28050">
      <c r="A28050" s="48" t="s">
        <v>1058</v>
      </c>
      <c r="B28050" s="38">
        <v>21095.0</v>
      </c>
      <c r="C28050" s="38" t="s">
        <v>32502</v>
      </c>
      <c r="D28050" s="38" t="str">
        <f>IFERROR(__xludf.DUMMYFUNCTION("REGEXREPLACE(C28050,""-\d+(.*)|--\d+(.*)"","""")"),"BOUSSELANGE")</f>
        <v>BOUSSELANGE</v>
      </c>
      <c r="E28050" s="38" t="s">
        <v>105</v>
      </c>
      <c r="F28050" s="38" t="s">
        <v>106</v>
      </c>
      <c r="G28050" s="49" t="str">
        <f t="shared" si="1"/>
        <v>21250</v>
      </c>
      <c r="H28050" s="49">
        <f t="shared" si="2"/>
        <v>21095</v>
      </c>
    </row>
    <row r="28051">
      <c r="A28051" s="48" t="s">
        <v>7061</v>
      </c>
      <c r="B28051" s="38">
        <v>60590.0</v>
      </c>
      <c r="C28051" s="38" t="s">
        <v>32503</v>
      </c>
      <c r="D28051" s="38" t="str">
        <f>IFERROR(__xludf.DUMMYFUNCTION("REGEXREPLACE(C28051,""-\d+(.*)|--\d+(.*)"","""")"),"SAINT-OMER-EN-CHAUSSEE")</f>
        <v>SAINT-OMER-EN-CHAUSSEE</v>
      </c>
      <c r="E28051" s="38" t="s">
        <v>112</v>
      </c>
      <c r="F28051" s="38" t="s">
        <v>113</v>
      </c>
      <c r="G28051" s="49" t="str">
        <f t="shared" si="1"/>
        <v>60860</v>
      </c>
      <c r="H28051" s="49">
        <f t="shared" si="2"/>
        <v>60590</v>
      </c>
    </row>
    <row r="28052">
      <c r="A28052" s="48" t="s">
        <v>7752</v>
      </c>
      <c r="B28052" s="38">
        <v>69241.0</v>
      </c>
      <c r="C28052" s="38" t="s">
        <v>32504</v>
      </c>
      <c r="D28052" s="38" t="str">
        <f>IFERROR(__xludf.DUMMYFUNCTION("REGEXREPLACE(C28052,""-\d+(.*)|--\d+(.*)"","""")"),"TALUYERS")</f>
        <v>TALUYERS</v>
      </c>
      <c r="E28052" s="38" t="s">
        <v>350</v>
      </c>
      <c r="F28052" s="38" t="s">
        <v>102</v>
      </c>
      <c r="G28052" s="49" t="str">
        <f t="shared" si="1"/>
        <v>69440</v>
      </c>
      <c r="H28052" s="49">
        <f t="shared" si="2"/>
        <v>69241</v>
      </c>
    </row>
    <row r="28053">
      <c r="A28053" s="48" t="s">
        <v>4697</v>
      </c>
      <c r="B28053" s="38">
        <v>67039.0</v>
      </c>
      <c r="C28053" s="38" t="s">
        <v>32505</v>
      </c>
      <c r="D28053" s="38" t="str">
        <f>IFERROR(__xludf.DUMMYFUNCTION("REGEXREPLACE(C28053,""-\d+(.*)|--\d+(.*)"","""")"),"BILWISHEIM")</f>
        <v>BILWISHEIM</v>
      </c>
      <c r="E28053" s="38" t="s">
        <v>210</v>
      </c>
      <c r="F28053" s="38" t="s">
        <v>151</v>
      </c>
      <c r="G28053" s="49" t="str">
        <f t="shared" si="1"/>
        <v>67170</v>
      </c>
      <c r="H28053" s="49">
        <f t="shared" si="2"/>
        <v>67039</v>
      </c>
    </row>
    <row r="28054">
      <c r="A28054" s="48" t="s">
        <v>11009</v>
      </c>
      <c r="B28054" s="38">
        <v>33412.0</v>
      </c>
      <c r="C28054" s="38" t="s">
        <v>32506</v>
      </c>
      <c r="D28054" s="38" t="str">
        <f>IFERROR(__xludf.DUMMYFUNCTION("REGEXREPLACE(C28054,""-\d+(.*)|--\d+(.*)"","""")"),"SAINT-GERMAIN-D'ESTEUIL")</f>
        <v>SAINT-GERMAIN-D'ESTEUIL</v>
      </c>
      <c r="E28054" s="38" t="s">
        <v>462</v>
      </c>
      <c r="F28054" s="38" t="s">
        <v>252</v>
      </c>
      <c r="G28054" s="49" t="str">
        <f t="shared" si="1"/>
        <v>33340</v>
      </c>
      <c r="H28054" s="49">
        <f t="shared" si="2"/>
        <v>33412</v>
      </c>
    </row>
    <row r="28055">
      <c r="A28055" s="48" t="s">
        <v>2116</v>
      </c>
      <c r="B28055" s="38">
        <v>26127.0</v>
      </c>
      <c r="C28055" s="38" t="s">
        <v>32507</v>
      </c>
      <c r="D28055" s="38" t="str">
        <f>IFERROR(__xludf.DUMMYFUNCTION("REGEXREPLACE(C28055,""-\d+(.*)|--\d+(.*)"","""")"),"EYGALIERS")</f>
        <v>EYGALIERS</v>
      </c>
      <c r="E28055" s="38" t="s">
        <v>126</v>
      </c>
      <c r="F28055" s="38" t="s">
        <v>102</v>
      </c>
      <c r="G28055" s="49" t="str">
        <f t="shared" si="1"/>
        <v>26170</v>
      </c>
      <c r="H28055" s="49">
        <f t="shared" si="2"/>
        <v>26127</v>
      </c>
    </row>
    <row r="28056">
      <c r="A28056" s="48" t="s">
        <v>5150</v>
      </c>
      <c r="B28056" s="38">
        <v>50008.0</v>
      </c>
      <c r="C28056" s="38" t="s">
        <v>32508</v>
      </c>
      <c r="D28056" s="38" t="str">
        <f>IFERROR(__xludf.DUMMYFUNCTION("REGEXREPLACE(C28056,""-\d+(.*)|--\d+(.*)"","""")"),"ANCTOVILLE-SUR-BOSCQ")</f>
        <v>ANCTOVILLE-SUR-BOSCQ</v>
      </c>
      <c r="E28056" s="38" t="s">
        <v>157</v>
      </c>
      <c r="F28056" s="38" t="s">
        <v>138</v>
      </c>
      <c r="G28056" s="49" t="str">
        <f t="shared" si="1"/>
        <v>50400</v>
      </c>
      <c r="H28056" s="49">
        <f t="shared" si="2"/>
        <v>50008</v>
      </c>
    </row>
    <row r="28057">
      <c r="A28057" s="48" t="s">
        <v>1588</v>
      </c>
      <c r="B28057" s="38">
        <v>9035.0</v>
      </c>
      <c r="C28057" s="38" t="s">
        <v>32509</v>
      </c>
      <c r="D28057" s="38" t="str">
        <f>IFERROR(__xludf.DUMMYFUNCTION("REGEXREPLACE(C28057,""-\d+(.*)|--\d+(.*)"","""")"),"BALAGUERES")</f>
        <v>BALAGUERES</v>
      </c>
      <c r="E28057" s="38" t="s">
        <v>238</v>
      </c>
      <c r="F28057" s="38" t="s">
        <v>94</v>
      </c>
      <c r="G28057" s="49" t="str">
        <f t="shared" si="1"/>
        <v>09800</v>
      </c>
      <c r="H28057" s="49" t="str">
        <f t="shared" si="2"/>
        <v>09035</v>
      </c>
    </row>
    <row r="28058">
      <c r="A28058" s="48" t="s">
        <v>13473</v>
      </c>
      <c r="B28058" s="38">
        <v>54513.0</v>
      </c>
      <c r="C28058" s="38" t="s">
        <v>32510</v>
      </c>
      <c r="D28058" s="38" t="str">
        <f>IFERROR(__xludf.DUMMYFUNCTION("REGEXREPLACE(C28058,""-\d+(.*)|--\d+(.*)"","""")"),"TANTONVILLE")</f>
        <v>TANTONVILLE</v>
      </c>
      <c r="E28058" s="38" t="s">
        <v>548</v>
      </c>
      <c r="F28058" s="38" t="s">
        <v>195</v>
      </c>
      <c r="G28058" s="49" t="str">
        <f t="shared" si="1"/>
        <v>54116</v>
      </c>
      <c r="H28058" s="49">
        <f t="shared" si="2"/>
        <v>54513</v>
      </c>
    </row>
    <row r="28059">
      <c r="A28059" s="48" t="s">
        <v>32511</v>
      </c>
      <c r="B28059" s="38">
        <v>13046.0</v>
      </c>
      <c r="C28059" s="38" t="s">
        <v>32512</v>
      </c>
      <c r="D28059" s="38" t="str">
        <f>IFERROR(__xludf.DUMMYFUNCTION("REGEXREPLACE(C28059,""-\d+(.*)|--\d+(.*)"","""")"),"GREASQUE")</f>
        <v>GREASQUE</v>
      </c>
      <c r="E28059" s="38" t="s">
        <v>980</v>
      </c>
      <c r="F28059" s="38" t="s">
        <v>228</v>
      </c>
      <c r="G28059" s="49" t="str">
        <f t="shared" si="1"/>
        <v>13850</v>
      </c>
      <c r="H28059" s="49">
        <f t="shared" si="2"/>
        <v>13046</v>
      </c>
    </row>
    <row r="28060">
      <c r="A28060" s="48" t="s">
        <v>5091</v>
      </c>
      <c r="B28060" s="38">
        <v>41137.0</v>
      </c>
      <c r="C28060" s="38" t="s">
        <v>32513</v>
      </c>
      <c r="D28060" s="38" t="str">
        <f>IFERROR(__xludf.DUMMYFUNCTION("REGEXREPLACE(C28060,""-\d+(.*)|--\d+(.*)"","""")"),"MESLAND")</f>
        <v>MESLAND</v>
      </c>
      <c r="E28060" s="38" t="s">
        <v>188</v>
      </c>
      <c r="F28060" s="38" t="s">
        <v>123</v>
      </c>
      <c r="G28060" s="49" t="str">
        <f t="shared" si="1"/>
        <v>41150</v>
      </c>
      <c r="H28060" s="49">
        <f t="shared" si="2"/>
        <v>41137</v>
      </c>
    </row>
    <row r="28061">
      <c r="A28061" s="48" t="s">
        <v>12573</v>
      </c>
      <c r="B28061" s="38">
        <v>7104.0</v>
      </c>
      <c r="C28061" s="38" t="s">
        <v>32514</v>
      </c>
      <c r="D28061" s="38" t="str">
        <f>IFERROR(__xludf.DUMMYFUNCTION("REGEXREPLACE(C28061,""-\d+(.*)|--\d+(.*)"","""")"),"ISSAMOULENC")</f>
        <v>ISSAMOULENC</v>
      </c>
      <c r="E28061" s="38" t="s">
        <v>144</v>
      </c>
      <c r="F28061" s="38" t="s">
        <v>102</v>
      </c>
      <c r="G28061" s="49" t="str">
        <f t="shared" si="1"/>
        <v>07190</v>
      </c>
      <c r="H28061" s="49" t="str">
        <f t="shared" si="2"/>
        <v>07104</v>
      </c>
    </row>
    <row r="28062">
      <c r="A28062" s="48" t="s">
        <v>9436</v>
      </c>
      <c r="B28062" s="38">
        <v>63109.0</v>
      </c>
      <c r="C28062" s="38" t="s">
        <v>32515</v>
      </c>
      <c r="D28062" s="38" t="str">
        <f>IFERROR(__xludf.DUMMYFUNCTION("REGEXREPLACE(C28062,""-\d+(.*)|--\d+(.*)"","""")"),"CHIDRAC")</f>
        <v>CHIDRAC</v>
      </c>
      <c r="E28062" s="38" t="s">
        <v>353</v>
      </c>
      <c r="F28062" s="38" t="s">
        <v>161</v>
      </c>
      <c r="G28062" s="49" t="str">
        <f t="shared" si="1"/>
        <v>63320</v>
      </c>
      <c r="H28062" s="49">
        <f t="shared" si="2"/>
        <v>63109</v>
      </c>
    </row>
    <row r="28063">
      <c r="A28063" s="48" t="s">
        <v>5688</v>
      </c>
      <c r="B28063" s="38">
        <v>27155.0</v>
      </c>
      <c r="C28063" s="38" t="s">
        <v>32516</v>
      </c>
      <c r="D28063" s="38" t="str">
        <f>IFERROR(__xludf.DUMMYFUNCTION("REGEXREPLACE(C28063,""-\d+(.*)|--\d+(.*)"","""")"),"CHENNEBRUN")</f>
        <v>CHENNEBRUN</v>
      </c>
      <c r="E28063" s="38" t="s">
        <v>241</v>
      </c>
      <c r="F28063" s="38" t="s">
        <v>134</v>
      </c>
      <c r="G28063" s="49" t="str">
        <f t="shared" si="1"/>
        <v>27820</v>
      </c>
      <c r="H28063" s="49">
        <f t="shared" si="2"/>
        <v>27155</v>
      </c>
    </row>
    <row r="28064">
      <c r="A28064" s="48" t="s">
        <v>21709</v>
      </c>
      <c r="B28064" s="38">
        <v>35237.0</v>
      </c>
      <c r="C28064" s="38" t="s">
        <v>32517</v>
      </c>
      <c r="D28064" s="38" t="str">
        <f>IFERROR(__xludf.DUMMYFUNCTION("REGEXREPLACE(C28064,""-\d+(.*)|--\d+(.*)"","""")"),"RENAC")</f>
        <v>RENAC</v>
      </c>
      <c r="E28064" s="38" t="s">
        <v>347</v>
      </c>
      <c r="F28064" s="38" t="s">
        <v>90</v>
      </c>
      <c r="G28064" s="49" t="str">
        <f t="shared" si="1"/>
        <v>35660</v>
      </c>
      <c r="H28064" s="49">
        <f t="shared" si="2"/>
        <v>35237</v>
      </c>
    </row>
    <row r="28065">
      <c r="A28065" s="48" t="s">
        <v>1046</v>
      </c>
      <c r="B28065" s="38">
        <v>26346.0</v>
      </c>
      <c r="C28065" s="38" t="s">
        <v>32518</v>
      </c>
      <c r="D28065" s="38" t="str">
        <f>IFERROR(__xludf.DUMMYFUNCTION("REGEXREPLACE(C28065,""-\d+(.*)|--\d+(.*)"","""")"),"SUZE")</f>
        <v>SUZE</v>
      </c>
      <c r="E28065" s="38" t="s">
        <v>126</v>
      </c>
      <c r="F28065" s="38" t="s">
        <v>102</v>
      </c>
      <c r="G28065" s="49" t="str">
        <f t="shared" si="1"/>
        <v>26400</v>
      </c>
      <c r="H28065" s="49">
        <f t="shared" si="2"/>
        <v>26346</v>
      </c>
    </row>
    <row r="28066">
      <c r="A28066" s="48" t="s">
        <v>18494</v>
      </c>
      <c r="B28066" s="38">
        <v>82112.0</v>
      </c>
      <c r="C28066" s="38" t="s">
        <v>32519</v>
      </c>
      <c r="D28066" s="38" t="str">
        <f>IFERROR(__xludf.DUMMYFUNCTION("REGEXREPLACE(C28066,""-\d+(.*)|--\d+(.*)"","""")"),"MOISSAC")</f>
        <v>MOISSAC</v>
      </c>
      <c r="E28066" s="38" t="s">
        <v>570</v>
      </c>
      <c r="F28066" s="38" t="s">
        <v>94</v>
      </c>
      <c r="G28066" s="49" t="str">
        <f t="shared" si="1"/>
        <v>82200</v>
      </c>
      <c r="H28066" s="49">
        <f t="shared" si="2"/>
        <v>82112</v>
      </c>
    </row>
    <row r="28067">
      <c r="A28067" s="48" t="s">
        <v>9975</v>
      </c>
      <c r="B28067" s="38">
        <v>41112.0</v>
      </c>
      <c r="C28067" s="38" t="s">
        <v>32520</v>
      </c>
      <c r="D28067" s="38" t="str">
        <f>IFERROR(__xludf.DUMMYFUNCTION("REGEXREPLACE(C28067,""-\d+(.*)|--\d+(.*)"","""")"),"LASSAY-SUR-CROISNE")</f>
        <v>LASSAY-SUR-CROISNE</v>
      </c>
      <c r="E28067" s="38" t="s">
        <v>188</v>
      </c>
      <c r="F28067" s="38" t="s">
        <v>123</v>
      </c>
      <c r="G28067" s="49" t="str">
        <f t="shared" si="1"/>
        <v>41230</v>
      </c>
      <c r="H28067" s="49">
        <f t="shared" si="2"/>
        <v>41112</v>
      </c>
    </row>
    <row r="28068">
      <c r="A28068" s="48" t="s">
        <v>6032</v>
      </c>
      <c r="B28068" s="38">
        <v>4244.0</v>
      </c>
      <c r="C28068" s="38" t="s">
        <v>32521</v>
      </c>
      <c r="D28068" s="38" t="str">
        <f>IFERROR(__xludf.DUMMYFUNCTION("REGEXREPLACE(C28068,""-\d+(.*)|--\d+(.*)"","""")"),"VOLONNE")</f>
        <v>VOLONNE</v>
      </c>
      <c r="E28068" s="38" t="s">
        <v>662</v>
      </c>
      <c r="F28068" s="38" t="s">
        <v>228</v>
      </c>
      <c r="G28068" s="49" t="str">
        <f t="shared" si="1"/>
        <v>04290</v>
      </c>
      <c r="H28068" s="49" t="str">
        <f t="shared" si="2"/>
        <v>04244</v>
      </c>
    </row>
    <row r="28069">
      <c r="A28069" s="48" t="s">
        <v>26400</v>
      </c>
      <c r="B28069" s="38">
        <v>68054.0</v>
      </c>
      <c r="C28069" s="38" t="s">
        <v>32522</v>
      </c>
      <c r="D28069" s="38" t="str">
        <f>IFERROR(__xludf.DUMMYFUNCTION("REGEXREPLACE(C28069,""-\d+(.*)|--\d+(.*)"","""")"),"BRINCKHEIM")</f>
        <v>BRINCKHEIM</v>
      </c>
      <c r="E28069" s="38" t="s">
        <v>150</v>
      </c>
      <c r="F28069" s="38" t="s">
        <v>151</v>
      </c>
      <c r="G28069" s="49" t="str">
        <f t="shared" si="1"/>
        <v>68870</v>
      </c>
      <c r="H28069" s="49">
        <f t="shared" si="2"/>
        <v>68054</v>
      </c>
    </row>
    <row r="28070">
      <c r="A28070" s="48" t="s">
        <v>844</v>
      </c>
      <c r="B28070" s="38">
        <v>72171.0</v>
      </c>
      <c r="C28070" s="38" t="s">
        <v>32523</v>
      </c>
      <c r="D28070" s="38" t="str">
        <f>IFERROR(__xludf.DUMMYFUNCTION("REGEXREPLACE(C28070,""-\d+(.*)|--\d+(.*)"","""")"),"LOUZES")</f>
        <v>LOUZES</v>
      </c>
      <c r="E28070" s="38" t="s">
        <v>521</v>
      </c>
      <c r="F28070" s="38" t="s">
        <v>180</v>
      </c>
      <c r="G28070" s="49" t="str">
        <f t="shared" si="1"/>
        <v>72600</v>
      </c>
      <c r="H28070" s="49">
        <f t="shared" si="2"/>
        <v>72171</v>
      </c>
    </row>
    <row r="28071">
      <c r="A28071" s="48" t="s">
        <v>32524</v>
      </c>
      <c r="B28071" s="38">
        <v>89013.0</v>
      </c>
      <c r="C28071" s="38" t="s">
        <v>32525</v>
      </c>
      <c r="D28071" s="38" t="str">
        <f>IFERROR(__xludf.DUMMYFUNCTION("REGEXREPLACE(C28071,""-\d+(.*)|--\d+(.*)"","""")"),"APPOIGNY")</f>
        <v>APPOIGNY</v>
      </c>
      <c r="E28071" s="38" t="s">
        <v>275</v>
      </c>
      <c r="F28071" s="38" t="s">
        <v>106</v>
      </c>
      <c r="G28071" s="49" t="str">
        <f t="shared" si="1"/>
        <v>89380</v>
      </c>
      <c r="H28071" s="49">
        <f t="shared" si="2"/>
        <v>89013</v>
      </c>
    </row>
    <row r="28072">
      <c r="A28072" s="48" t="s">
        <v>6250</v>
      </c>
      <c r="B28072" s="38">
        <v>38549.0</v>
      </c>
      <c r="C28072" s="38" t="s">
        <v>32526</v>
      </c>
      <c r="D28072" s="38" t="str">
        <f>IFERROR(__xludf.DUMMYFUNCTION("REGEXREPLACE(C28072,""-\d+(.*)|--\d+(.*)"","""")"),"VILLARD-NOTRE-DAME")</f>
        <v>VILLARD-NOTRE-DAME</v>
      </c>
      <c r="E28072" s="38" t="s">
        <v>101</v>
      </c>
      <c r="F28072" s="38" t="s">
        <v>102</v>
      </c>
      <c r="G28072" s="49" t="str">
        <f t="shared" si="1"/>
        <v>38520</v>
      </c>
      <c r="H28072" s="49">
        <f t="shared" si="2"/>
        <v>38549</v>
      </c>
    </row>
    <row r="28073">
      <c r="A28073" s="48" t="s">
        <v>323</v>
      </c>
      <c r="B28073" s="38">
        <v>52528.0</v>
      </c>
      <c r="C28073" s="38" t="s">
        <v>32527</v>
      </c>
      <c r="D28073" s="38" t="str">
        <f>IFERROR(__xludf.DUMMYFUNCTION("REGEXREPLACE(C28073,""-\d+(.*)|--\d+(.*)"","""")"),"VILLE-EN-BLAISOIS")</f>
        <v>VILLE-EN-BLAISOIS</v>
      </c>
      <c r="E28073" s="38" t="s">
        <v>234</v>
      </c>
      <c r="F28073" s="38" t="s">
        <v>130</v>
      </c>
      <c r="G28073" s="49" t="str">
        <f t="shared" si="1"/>
        <v>52130</v>
      </c>
      <c r="H28073" s="49">
        <f t="shared" si="2"/>
        <v>52528</v>
      </c>
    </row>
    <row r="28074">
      <c r="A28074" s="48" t="s">
        <v>32528</v>
      </c>
      <c r="B28074" s="38">
        <v>29083.0</v>
      </c>
      <c r="C28074" s="38" t="s">
        <v>32529</v>
      </c>
      <c r="D28074" s="38" t="str">
        <f>IFERROR(__xludf.DUMMYFUNCTION("REGEXREPLACE(C28074,""-\d+(.*)|--\d+(.*)"","""")"),"ILE-DE-SEIN")</f>
        <v>ILE-DE-SEIN</v>
      </c>
      <c r="E28074" s="38" t="s">
        <v>176</v>
      </c>
      <c r="F28074" s="38" t="s">
        <v>90</v>
      </c>
      <c r="G28074" s="49" t="str">
        <f t="shared" si="1"/>
        <v>29990</v>
      </c>
      <c r="H28074" s="49">
        <f t="shared" si="2"/>
        <v>29083</v>
      </c>
    </row>
    <row r="28075">
      <c r="A28075" s="48" t="s">
        <v>32530</v>
      </c>
      <c r="B28075" s="38">
        <v>74133.0</v>
      </c>
      <c r="C28075" s="38" t="s">
        <v>32531</v>
      </c>
      <c r="D28075" s="38" t="str">
        <f>IFERROR(__xludf.DUMMYFUNCTION("REGEXREPLACE(C28075,""-\d+(.*)|--\d+(.*)"","""")"),"GAILLARD")</f>
        <v>GAILLARD</v>
      </c>
      <c r="E28075" s="38" t="s">
        <v>319</v>
      </c>
      <c r="F28075" s="38" t="s">
        <v>102</v>
      </c>
      <c r="G28075" s="49" t="str">
        <f t="shared" si="1"/>
        <v>74240</v>
      </c>
      <c r="H28075" s="49">
        <f t="shared" si="2"/>
        <v>74133</v>
      </c>
    </row>
    <row r="28076">
      <c r="A28076" s="48" t="s">
        <v>2208</v>
      </c>
      <c r="B28076" s="38">
        <v>55356.0</v>
      </c>
      <c r="C28076" s="38" t="s">
        <v>32532</v>
      </c>
      <c r="D28076" s="38" t="str">
        <f>IFERROR(__xludf.DUMMYFUNCTION("REGEXREPLACE(C28076,""-\d+(.*)|--\d+(.*)"","""")"),"MORANVILLE")</f>
        <v>MORANVILLE</v>
      </c>
      <c r="E28076" s="38" t="s">
        <v>322</v>
      </c>
      <c r="F28076" s="38" t="s">
        <v>195</v>
      </c>
      <c r="G28076" s="49" t="str">
        <f t="shared" si="1"/>
        <v>55400</v>
      </c>
      <c r="H28076" s="49">
        <f t="shared" si="2"/>
        <v>55356</v>
      </c>
    </row>
    <row r="28077">
      <c r="A28077" s="48" t="s">
        <v>27788</v>
      </c>
      <c r="B28077" s="38">
        <v>54323.0</v>
      </c>
      <c r="C28077" s="38" t="s">
        <v>32533</v>
      </c>
      <c r="D28077" s="38" t="str">
        <f>IFERROR(__xludf.DUMMYFUNCTION("REGEXREPLACE(C28077,""-\d+(.*)|--\d+(.*)"","""")"),"LONGWY")</f>
        <v>LONGWY</v>
      </c>
      <c r="E28077" s="38" t="s">
        <v>548</v>
      </c>
      <c r="F28077" s="38" t="s">
        <v>195</v>
      </c>
      <c r="G28077" s="49" t="str">
        <f t="shared" si="1"/>
        <v>54400</v>
      </c>
      <c r="H28077" s="49">
        <f t="shared" si="2"/>
        <v>54323</v>
      </c>
    </row>
    <row r="28078">
      <c r="A28078" s="48" t="s">
        <v>6328</v>
      </c>
      <c r="B28078" s="38">
        <v>30337.0</v>
      </c>
      <c r="C28078" s="38" t="s">
        <v>32534</v>
      </c>
      <c r="D28078" s="38" t="str">
        <f>IFERROR(__xludf.DUMMYFUNCTION("REGEXREPLACE(C28078,""-\d+(.*)|--\d+(.*)"","""")"),"VALLABRIX")</f>
        <v>VALLABRIX</v>
      </c>
      <c r="E28078" s="38" t="s">
        <v>526</v>
      </c>
      <c r="F28078" s="38" t="s">
        <v>119</v>
      </c>
      <c r="G28078" s="49" t="str">
        <f t="shared" si="1"/>
        <v>30700</v>
      </c>
      <c r="H28078" s="49">
        <f t="shared" si="2"/>
        <v>30337</v>
      </c>
    </row>
    <row r="28079">
      <c r="A28079" s="48" t="s">
        <v>1128</v>
      </c>
      <c r="B28079" s="38">
        <v>2274.0</v>
      </c>
      <c r="C28079" s="38" t="s">
        <v>32535</v>
      </c>
      <c r="D28079" s="38" t="str">
        <f>IFERROR(__xludf.DUMMYFUNCTION("REGEXREPLACE(C28079,""-\d+(.*)|--\d+(.*)"","""")"),"EBOULEAU")</f>
        <v>EBOULEAU</v>
      </c>
      <c r="E28079" s="38" t="s">
        <v>191</v>
      </c>
      <c r="F28079" s="38" t="s">
        <v>113</v>
      </c>
      <c r="G28079" s="49" t="str">
        <f t="shared" si="1"/>
        <v>02350</v>
      </c>
      <c r="H28079" s="49" t="str">
        <f t="shared" si="2"/>
        <v>02274</v>
      </c>
    </row>
    <row r="28080">
      <c r="A28080" s="48" t="s">
        <v>8698</v>
      </c>
      <c r="B28080" s="38">
        <v>11336.0</v>
      </c>
      <c r="C28080" s="38" t="s">
        <v>32536</v>
      </c>
      <c r="D28080" s="38" t="str">
        <f>IFERROR(__xludf.DUMMYFUNCTION("REGEXREPLACE(C28080,""-\d+(.*)|--\d+(.*)"","""")"),"SAINTE-COLOMBE-SUR-L'HERS")</f>
        <v>SAINTE-COLOMBE-SUR-L'HERS</v>
      </c>
      <c r="E28080" s="38" t="s">
        <v>278</v>
      </c>
      <c r="F28080" s="38" t="s">
        <v>119</v>
      </c>
      <c r="G28080" s="49" t="str">
        <f t="shared" si="1"/>
        <v>11230</v>
      </c>
      <c r="H28080" s="49">
        <f t="shared" si="2"/>
        <v>11336</v>
      </c>
    </row>
    <row r="28081">
      <c r="A28081" s="48" t="s">
        <v>754</v>
      </c>
      <c r="B28081" s="38">
        <v>91284.0</v>
      </c>
      <c r="C28081" s="38" t="s">
        <v>32537</v>
      </c>
      <c r="D28081" s="38" t="str">
        <f>IFERROR(__xludf.DUMMYFUNCTION("REGEXREPLACE(C28081,""-\d+(.*)|--\d+(.*)"","""")"),"LES GRANGES-LE-ROI")</f>
        <v>LES GRANGES-LE-ROI</v>
      </c>
      <c r="E28081" s="38" t="s">
        <v>756</v>
      </c>
      <c r="F28081" s="38" t="s">
        <v>245</v>
      </c>
      <c r="G28081" s="49" t="str">
        <f t="shared" si="1"/>
        <v>91410</v>
      </c>
      <c r="H28081" s="49">
        <f t="shared" si="2"/>
        <v>91284</v>
      </c>
    </row>
    <row r="28082">
      <c r="A28082" s="48" t="s">
        <v>2081</v>
      </c>
      <c r="B28082" s="38">
        <v>4220.0</v>
      </c>
      <c r="C28082" s="38" t="s">
        <v>32538</v>
      </c>
      <c r="D28082" s="38" t="str">
        <f>IFERROR(__xludf.DUMMYFUNCTION("REGEXREPLACE(C28082,""-\d+(.*)|--\d+(.*)"","""")"),"LES THUILES")</f>
        <v>LES THUILES</v>
      </c>
      <c r="E28082" s="38" t="s">
        <v>662</v>
      </c>
      <c r="F28082" s="38" t="s">
        <v>228</v>
      </c>
      <c r="G28082" s="49" t="str">
        <f t="shared" si="1"/>
        <v>04400</v>
      </c>
      <c r="H28082" s="49" t="str">
        <f t="shared" si="2"/>
        <v>04220</v>
      </c>
    </row>
    <row r="28083">
      <c r="A28083" s="48" t="s">
        <v>4145</v>
      </c>
      <c r="B28083" s="38">
        <v>46074.0</v>
      </c>
      <c r="C28083" s="38" t="s">
        <v>5371</v>
      </c>
      <c r="D28083" s="38" t="str">
        <f>IFERROR(__xludf.DUMMYFUNCTION("REGEXREPLACE(C28083,""-\d+(.*)|--\d+(.*)"","""")"),"CONDAT")</f>
        <v>CONDAT</v>
      </c>
      <c r="E28083" s="38" t="s">
        <v>185</v>
      </c>
      <c r="F28083" s="38" t="s">
        <v>94</v>
      </c>
      <c r="G28083" s="49" t="str">
        <f t="shared" si="1"/>
        <v>46110</v>
      </c>
      <c r="H28083" s="49">
        <f t="shared" si="2"/>
        <v>46074</v>
      </c>
    </row>
    <row r="28084">
      <c r="A28084" s="48" t="s">
        <v>18092</v>
      </c>
      <c r="B28084" s="38">
        <v>87087.0</v>
      </c>
      <c r="C28084" s="38" t="s">
        <v>32539</v>
      </c>
      <c r="D28084" s="38" t="str">
        <f>IFERROR(__xludf.DUMMYFUNCTION("REGEXREPLACE(C28084,""-\d+(.*)|--\d+(.*)"","""")"),"LUSSAC-LES-EGLISES")</f>
        <v>LUSSAC-LES-EGLISES</v>
      </c>
      <c r="E28084" s="38" t="s">
        <v>897</v>
      </c>
      <c r="F28084" s="38" t="s">
        <v>98</v>
      </c>
      <c r="G28084" s="49" t="str">
        <f t="shared" si="1"/>
        <v>87360</v>
      </c>
      <c r="H28084" s="49">
        <f t="shared" si="2"/>
        <v>87087</v>
      </c>
    </row>
    <row r="28085">
      <c r="A28085" s="48" t="s">
        <v>3430</v>
      </c>
      <c r="B28085" s="38">
        <v>84022.0</v>
      </c>
      <c r="C28085" s="38" t="s">
        <v>32540</v>
      </c>
      <c r="D28085" s="38" t="str">
        <f>IFERROR(__xludf.DUMMYFUNCTION("REGEXREPLACE(C28085,""-\d+(.*)|--\d+(.*)"","""")"),"BUISSON")</f>
        <v>BUISSON</v>
      </c>
      <c r="E28085" s="38" t="s">
        <v>1026</v>
      </c>
      <c r="F28085" s="38" t="s">
        <v>228</v>
      </c>
      <c r="G28085" s="49" t="str">
        <f t="shared" si="1"/>
        <v>84110</v>
      </c>
      <c r="H28085" s="49">
        <f t="shared" si="2"/>
        <v>84022</v>
      </c>
    </row>
    <row r="28086">
      <c r="A28086" s="48" t="s">
        <v>1235</v>
      </c>
      <c r="B28086" s="38">
        <v>80196.0</v>
      </c>
      <c r="C28086" s="38" t="s">
        <v>32541</v>
      </c>
      <c r="D28086" s="38" t="str">
        <f>IFERROR(__xludf.DUMMYFUNCTION("REGEXREPLACE(C28086,""-\d+(.*)|--\d+(.*)"","""")"),"CITERNE")</f>
        <v>CITERNE</v>
      </c>
      <c r="E28086" s="38" t="s">
        <v>224</v>
      </c>
      <c r="F28086" s="38" t="s">
        <v>113</v>
      </c>
      <c r="G28086" s="49" t="str">
        <f t="shared" si="1"/>
        <v>80490</v>
      </c>
      <c r="H28086" s="49">
        <f t="shared" si="2"/>
        <v>80196</v>
      </c>
    </row>
    <row r="28087">
      <c r="A28087" s="48" t="s">
        <v>14051</v>
      </c>
      <c r="B28087" s="38">
        <v>33084.0</v>
      </c>
      <c r="C28087" s="38" t="s">
        <v>9213</v>
      </c>
      <c r="D28087" s="38" t="str">
        <f>IFERROR(__xludf.DUMMYFUNCTION("REGEXREPLACE(C28087,""-\d+(.*)|--\d+(.*)"","""")"),"CAMBES")</f>
        <v>CAMBES</v>
      </c>
      <c r="E28087" s="38" t="s">
        <v>462</v>
      </c>
      <c r="F28087" s="38" t="s">
        <v>252</v>
      </c>
      <c r="G28087" s="49" t="str">
        <f t="shared" si="1"/>
        <v>33880</v>
      </c>
      <c r="H28087" s="49">
        <f t="shared" si="2"/>
        <v>33084</v>
      </c>
    </row>
    <row r="28088">
      <c r="A28088" s="48" t="s">
        <v>12322</v>
      </c>
      <c r="B28088" s="38">
        <v>89152.0</v>
      </c>
      <c r="C28088" s="38" t="s">
        <v>32542</v>
      </c>
      <c r="D28088" s="38" t="str">
        <f>IFERROR(__xludf.DUMMYFUNCTION("REGEXREPLACE(C28088,""-\d+(.*)|--\d+(.*)"","""")"),"EPINEAU-LES-VOVES")</f>
        <v>EPINEAU-LES-VOVES</v>
      </c>
      <c r="E28088" s="38" t="s">
        <v>275</v>
      </c>
      <c r="F28088" s="38" t="s">
        <v>106</v>
      </c>
      <c r="G28088" s="49" t="str">
        <f t="shared" si="1"/>
        <v>89400</v>
      </c>
      <c r="H28088" s="49">
        <f t="shared" si="2"/>
        <v>89152</v>
      </c>
    </row>
    <row r="28089">
      <c r="A28089" s="48" t="s">
        <v>1406</v>
      </c>
      <c r="B28089" s="38">
        <v>71098.0</v>
      </c>
      <c r="C28089" s="38" t="s">
        <v>32543</v>
      </c>
      <c r="D28089" s="38" t="str">
        <f>IFERROR(__xludf.DUMMYFUNCTION("REGEXREPLACE(C28089,""-\d+(.*)|--\d+(.*)"","""")"),"CHARBONNAT")</f>
        <v>CHARBONNAT</v>
      </c>
      <c r="E28089" s="38" t="s">
        <v>344</v>
      </c>
      <c r="F28089" s="38" t="s">
        <v>106</v>
      </c>
      <c r="G28089" s="49" t="str">
        <f t="shared" si="1"/>
        <v>71320</v>
      </c>
      <c r="H28089" s="49">
        <f t="shared" si="2"/>
        <v>71098</v>
      </c>
    </row>
    <row r="28090">
      <c r="A28090" s="48" t="s">
        <v>736</v>
      </c>
      <c r="B28090" s="38">
        <v>57617.0</v>
      </c>
      <c r="C28090" s="38" t="s">
        <v>32544</v>
      </c>
      <c r="D28090" s="38" t="str">
        <f>IFERROR(__xludf.DUMMYFUNCTION("REGEXREPLACE(C28090,""-\d+(.*)|--\d+(.*)"","""")"),"SAINT-JURE")</f>
        <v>SAINT-JURE</v>
      </c>
      <c r="E28090" s="38" t="s">
        <v>303</v>
      </c>
      <c r="F28090" s="38" t="s">
        <v>195</v>
      </c>
      <c r="G28090" s="49" t="str">
        <f t="shared" si="1"/>
        <v>57420</v>
      </c>
      <c r="H28090" s="49">
        <f t="shared" si="2"/>
        <v>57617</v>
      </c>
    </row>
    <row r="28091">
      <c r="A28091" s="48" t="s">
        <v>4071</v>
      </c>
      <c r="B28091" s="38">
        <v>66041.0</v>
      </c>
      <c r="C28091" s="38" t="s">
        <v>32545</v>
      </c>
      <c r="D28091" s="38" t="str">
        <f>IFERROR(__xludf.DUMMYFUNCTION("REGEXREPLACE(C28091,""-\d+(.*)|--\d+(.*)"","""")"),"CASES-DE-PENE")</f>
        <v>CASES-DE-PENE</v>
      </c>
      <c r="E28091" s="38" t="s">
        <v>248</v>
      </c>
      <c r="F28091" s="38" t="s">
        <v>119</v>
      </c>
      <c r="G28091" s="49" t="str">
        <f t="shared" si="1"/>
        <v>66600</v>
      </c>
      <c r="H28091" s="49">
        <f t="shared" si="2"/>
        <v>66041</v>
      </c>
    </row>
    <row r="28092">
      <c r="A28092" s="48" t="s">
        <v>330</v>
      </c>
      <c r="B28092" s="38">
        <v>43144.0</v>
      </c>
      <c r="C28092" s="38" t="s">
        <v>32546</v>
      </c>
      <c r="D28092" s="38" t="str">
        <f>IFERROR(__xludf.DUMMYFUNCTION("REGEXREPLACE(C28092,""-\d+(.*)|--\d+(.*)"","""")"),"MOUDEYRES")</f>
        <v>MOUDEYRES</v>
      </c>
      <c r="E28092" s="38" t="s">
        <v>332</v>
      </c>
      <c r="F28092" s="38" t="s">
        <v>161</v>
      </c>
      <c r="G28092" s="49" t="str">
        <f t="shared" si="1"/>
        <v>43150</v>
      </c>
      <c r="H28092" s="49">
        <f t="shared" si="2"/>
        <v>43144</v>
      </c>
    </row>
    <row r="28093">
      <c r="A28093" s="48" t="s">
        <v>1706</v>
      </c>
      <c r="B28093" s="38">
        <v>50425.0</v>
      </c>
      <c r="C28093" s="38" t="s">
        <v>32547</v>
      </c>
      <c r="D28093" s="38" t="str">
        <f>IFERROR(__xludf.DUMMYFUNCTION("REGEXREPLACE(C28093,""-\d+(.*)|--\d+(.*)"","""")"),"RAUVILLE-LA-BIGOT")</f>
        <v>RAUVILLE-LA-BIGOT</v>
      </c>
      <c r="E28093" s="38" t="s">
        <v>157</v>
      </c>
      <c r="F28093" s="38" t="s">
        <v>138</v>
      </c>
      <c r="G28093" s="49" t="str">
        <f t="shared" si="1"/>
        <v>50260</v>
      </c>
      <c r="H28093" s="49">
        <f t="shared" si="2"/>
        <v>50425</v>
      </c>
    </row>
    <row r="28094">
      <c r="A28094" s="48" t="s">
        <v>15028</v>
      </c>
      <c r="B28094" s="38">
        <v>79268.0</v>
      </c>
      <c r="C28094" s="38" t="s">
        <v>32548</v>
      </c>
      <c r="D28094" s="38" t="str">
        <f>IFERROR(__xludf.DUMMYFUNCTION("REGEXREPLACE(C28094,""-\d+(.*)|--\d+(.*)"","""")"),"SAINT-LOUP-LAMAIRE")</f>
        <v>SAINT-LOUP-LAMAIRE</v>
      </c>
      <c r="E28094" s="38" t="s">
        <v>337</v>
      </c>
      <c r="F28094" s="38" t="s">
        <v>338</v>
      </c>
      <c r="G28094" s="49" t="str">
        <f t="shared" si="1"/>
        <v>79600</v>
      </c>
      <c r="H28094" s="49">
        <f t="shared" si="2"/>
        <v>79268</v>
      </c>
    </row>
    <row r="28095">
      <c r="A28095" s="48" t="s">
        <v>3973</v>
      </c>
      <c r="B28095" s="38">
        <v>33525.0</v>
      </c>
      <c r="C28095" s="38" t="s">
        <v>28750</v>
      </c>
      <c r="D28095" s="38" t="str">
        <f>IFERROR(__xludf.DUMMYFUNCTION("REGEXREPLACE(C28095,""-\d+(.*)|--\d+(.*)"","""")"),"TAURIAC")</f>
        <v>TAURIAC</v>
      </c>
      <c r="E28095" s="38" t="s">
        <v>462</v>
      </c>
      <c r="F28095" s="38" t="s">
        <v>252</v>
      </c>
      <c r="G28095" s="49" t="str">
        <f t="shared" si="1"/>
        <v>33710</v>
      </c>
      <c r="H28095" s="49">
        <f t="shared" si="2"/>
        <v>33525</v>
      </c>
    </row>
    <row r="28096">
      <c r="A28096" s="48" t="s">
        <v>11865</v>
      </c>
      <c r="B28096" s="38">
        <v>5001.0</v>
      </c>
      <c r="C28096" s="38" t="s">
        <v>32549</v>
      </c>
      <c r="D28096" s="38" t="str">
        <f>IFERROR(__xludf.DUMMYFUNCTION("REGEXREPLACE(C28096,""-\d+(.*)|--\d+(.*)"","""")"),"ABRIES")</f>
        <v>ABRIES</v>
      </c>
      <c r="E28096" s="38" t="s">
        <v>706</v>
      </c>
      <c r="F28096" s="38" t="s">
        <v>228</v>
      </c>
      <c r="G28096" s="49" t="str">
        <f t="shared" si="1"/>
        <v>05460</v>
      </c>
      <c r="H28096" s="49" t="str">
        <f t="shared" si="2"/>
        <v>05001</v>
      </c>
    </row>
    <row r="28097">
      <c r="A28097" s="48" t="s">
        <v>4566</v>
      </c>
      <c r="B28097" s="38">
        <v>24132.0</v>
      </c>
      <c r="C28097" s="38" t="s">
        <v>32550</v>
      </c>
      <c r="D28097" s="38" t="str">
        <f>IFERROR(__xludf.DUMMYFUNCTION("REGEXREPLACE(C28097,""-\d+(.*)|--\d+(.*)"","""")"),"CONNE-DE-LABARDE")</f>
        <v>CONNE-DE-LABARDE</v>
      </c>
      <c r="E28097" s="38" t="s">
        <v>261</v>
      </c>
      <c r="F28097" s="38" t="s">
        <v>252</v>
      </c>
      <c r="G28097" s="49" t="str">
        <f t="shared" si="1"/>
        <v>24560</v>
      </c>
      <c r="H28097" s="49">
        <f t="shared" si="2"/>
        <v>24132</v>
      </c>
    </row>
    <row r="28098">
      <c r="A28098" s="48" t="s">
        <v>4939</v>
      </c>
      <c r="B28098" s="38">
        <v>23253.0</v>
      </c>
      <c r="C28098" s="38" t="s">
        <v>32551</v>
      </c>
      <c r="D28098" s="38" t="str">
        <f>IFERROR(__xludf.DUMMYFUNCTION("REGEXREPLACE(C28098,""-\d+(.*)|--\d+(.*)"","""")"),"THAURON")</f>
        <v>THAURON</v>
      </c>
      <c r="E28098" s="38" t="s">
        <v>97</v>
      </c>
      <c r="F28098" s="38" t="s">
        <v>98</v>
      </c>
      <c r="G28098" s="49" t="str">
        <f t="shared" si="1"/>
        <v>23250</v>
      </c>
      <c r="H28098" s="49">
        <f t="shared" si="2"/>
        <v>23253</v>
      </c>
    </row>
    <row r="28099">
      <c r="A28099" s="48" t="s">
        <v>5862</v>
      </c>
      <c r="B28099" s="38">
        <v>63318.0</v>
      </c>
      <c r="C28099" s="38" t="s">
        <v>26014</v>
      </c>
      <c r="D28099" s="38" t="str">
        <f>IFERROR(__xludf.DUMMYFUNCTION("REGEXREPLACE(C28099,""-\d+(.*)|--\d+(.*)"","""")"),"SAINT-ANGEL")</f>
        <v>SAINT-ANGEL</v>
      </c>
      <c r="E28099" s="38" t="s">
        <v>353</v>
      </c>
      <c r="F28099" s="38" t="s">
        <v>161</v>
      </c>
      <c r="G28099" s="49" t="str">
        <f t="shared" si="1"/>
        <v>63410</v>
      </c>
      <c r="H28099" s="49">
        <f t="shared" si="2"/>
        <v>63318</v>
      </c>
    </row>
    <row r="28100">
      <c r="A28100" s="48" t="s">
        <v>5146</v>
      </c>
      <c r="B28100" s="38">
        <v>85055.0</v>
      </c>
      <c r="C28100" s="38" t="s">
        <v>32552</v>
      </c>
      <c r="D28100" s="38" t="str">
        <f>IFERROR(__xludf.DUMMYFUNCTION("REGEXREPLACE(C28100,""-\d+(.*)|--\d+(.*)"","""")"),"LA CHAPELLE-PALLUAU")</f>
        <v>LA CHAPELLE-PALLUAU</v>
      </c>
      <c r="E28100" s="38" t="s">
        <v>179</v>
      </c>
      <c r="F28100" s="38" t="s">
        <v>180</v>
      </c>
      <c r="G28100" s="49" t="str">
        <f t="shared" si="1"/>
        <v>85670</v>
      </c>
      <c r="H28100" s="49">
        <f t="shared" si="2"/>
        <v>85055</v>
      </c>
    </row>
    <row r="28101">
      <c r="A28101" s="48" t="s">
        <v>9376</v>
      </c>
      <c r="B28101" s="38">
        <v>14570.0</v>
      </c>
      <c r="C28101" s="38" t="s">
        <v>32553</v>
      </c>
      <c r="D28101" s="38" t="str">
        <f>IFERROR(__xludf.DUMMYFUNCTION("REGEXREPLACE(C28101,""-\d+(.*)|--\d+(.*)"","""")"),"SAINT-CYR-DU-RONCERAY")</f>
        <v>SAINT-CYR-DU-RONCERAY</v>
      </c>
      <c r="E28101" s="38" t="s">
        <v>137</v>
      </c>
      <c r="F28101" s="38" t="s">
        <v>138</v>
      </c>
      <c r="G28101" s="49" t="str">
        <f t="shared" si="1"/>
        <v>14290</v>
      </c>
      <c r="H28101" s="49">
        <f t="shared" si="2"/>
        <v>14570</v>
      </c>
    </row>
    <row r="28102">
      <c r="A28102" s="48" t="s">
        <v>6592</v>
      </c>
      <c r="B28102" s="38">
        <v>5010.0</v>
      </c>
      <c r="C28102" s="38" t="s">
        <v>32554</v>
      </c>
      <c r="D28102" s="38" t="str">
        <f>IFERROR(__xludf.DUMMYFUNCTION("REGEXREPLACE(C28102,""-\d+(.*)|--\d+(.*)"","""")"),"ASPRES-SUR-BUECH")</f>
        <v>ASPRES-SUR-BUECH</v>
      </c>
      <c r="E28102" s="38" t="s">
        <v>706</v>
      </c>
      <c r="F28102" s="38" t="s">
        <v>228</v>
      </c>
      <c r="G28102" s="49" t="str">
        <f t="shared" si="1"/>
        <v>05140</v>
      </c>
      <c r="H28102" s="49" t="str">
        <f t="shared" si="2"/>
        <v>05010</v>
      </c>
    </row>
    <row r="28103">
      <c r="A28103" s="48" t="s">
        <v>5174</v>
      </c>
      <c r="B28103" s="38">
        <v>82012.0</v>
      </c>
      <c r="C28103" s="38" t="s">
        <v>32555</v>
      </c>
      <c r="D28103" s="38" t="str">
        <f>IFERROR(__xludf.DUMMYFUNCTION("REGEXREPLACE(C28103,""-\d+(.*)|--\d+(.*)"","""")"),"LES BARTHES")</f>
        <v>LES BARTHES</v>
      </c>
      <c r="E28103" s="38" t="s">
        <v>570</v>
      </c>
      <c r="F28103" s="38" t="s">
        <v>94</v>
      </c>
      <c r="G28103" s="49" t="str">
        <f t="shared" si="1"/>
        <v>82100</v>
      </c>
      <c r="H28103" s="49">
        <f t="shared" si="2"/>
        <v>82012</v>
      </c>
    </row>
    <row r="28104">
      <c r="A28104" s="48" t="s">
        <v>17639</v>
      </c>
      <c r="B28104" s="38">
        <v>88170.0</v>
      </c>
      <c r="C28104" s="38" t="s">
        <v>32556</v>
      </c>
      <c r="D28104" s="38" t="str">
        <f>IFERROR(__xludf.DUMMYFUNCTION("REGEXREPLACE(C28104,""-\d+(.*)|--\d+(.*)"","""")"),"FERDRUPT")</f>
        <v>FERDRUPT</v>
      </c>
      <c r="E28104" s="38" t="s">
        <v>194</v>
      </c>
      <c r="F28104" s="38" t="s">
        <v>195</v>
      </c>
      <c r="G28104" s="49" t="str">
        <f t="shared" si="1"/>
        <v>88360</v>
      </c>
      <c r="H28104" s="49">
        <f t="shared" si="2"/>
        <v>88170</v>
      </c>
    </row>
    <row r="28105">
      <c r="A28105" s="48" t="s">
        <v>1298</v>
      </c>
      <c r="B28105" s="38">
        <v>38128.0</v>
      </c>
      <c r="C28105" s="38" t="s">
        <v>32557</v>
      </c>
      <c r="D28105" s="38" t="str">
        <f>IFERROR(__xludf.DUMMYFUNCTION("REGEXREPLACE(C28105,""-\d+(.*)|--\d+(.*)"","""")"),"CORPS")</f>
        <v>CORPS</v>
      </c>
      <c r="E28105" s="38" t="s">
        <v>101</v>
      </c>
      <c r="F28105" s="38" t="s">
        <v>102</v>
      </c>
      <c r="G28105" s="49" t="str">
        <f t="shared" si="1"/>
        <v>38970</v>
      </c>
      <c r="H28105" s="49">
        <f t="shared" si="2"/>
        <v>38128</v>
      </c>
    </row>
    <row r="28106">
      <c r="A28106" s="48" t="s">
        <v>1754</v>
      </c>
      <c r="B28106" s="38">
        <v>14362.0</v>
      </c>
      <c r="C28106" s="38" t="s">
        <v>32558</v>
      </c>
      <c r="D28106" s="38" t="str">
        <f>IFERROR(__xludf.DUMMYFUNCTION("REGEXREPLACE(C28106,""-\d+(.*)|--\d+(.*)"","""")"),"LESSARD-ET-LE-CHENE")</f>
        <v>LESSARD-ET-LE-CHENE</v>
      </c>
      <c r="E28106" s="38" t="s">
        <v>137</v>
      </c>
      <c r="F28106" s="38" t="s">
        <v>138</v>
      </c>
      <c r="G28106" s="49" t="str">
        <f t="shared" si="1"/>
        <v>14140</v>
      </c>
      <c r="H28106" s="49">
        <f t="shared" si="2"/>
        <v>14362</v>
      </c>
    </row>
    <row r="28107">
      <c r="A28107" s="48" t="s">
        <v>10416</v>
      </c>
      <c r="B28107" s="38">
        <v>50245.0</v>
      </c>
      <c r="C28107" s="38" t="s">
        <v>32559</v>
      </c>
      <c r="D28107" s="38" t="str">
        <f>IFERROR(__xludf.DUMMYFUNCTION("REGEXREPLACE(C28107,""-\d+(.*)|--\d+(.*)"","""")"),"HEUSSE")</f>
        <v>HEUSSE</v>
      </c>
      <c r="E28107" s="38" t="s">
        <v>157</v>
      </c>
      <c r="F28107" s="38" t="s">
        <v>138</v>
      </c>
      <c r="G28107" s="49" t="str">
        <f t="shared" si="1"/>
        <v>50640</v>
      </c>
      <c r="H28107" s="49">
        <f t="shared" si="2"/>
        <v>50245</v>
      </c>
    </row>
    <row r="28108">
      <c r="A28108" s="48" t="s">
        <v>2705</v>
      </c>
      <c r="B28108" s="38">
        <v>77046.0</v>
      </c>
      <c r="C28108" s="38" t="s">
        <v>32560</v>
      </c>
      <c r="D28108" s="38" t="str">
        <f>IFERROR(__xludf.DUMMYFUNCTION("REGEXREPLACE(C28108,""-\d+(.*)|--\d+(.*)"","""")"),"BOULANCOURT")</f>
        <v>BOULANCOURT</v>
      </c>
      <c r="E28108" s="38" t="s">
        <v>244</v>
      </c>
      <c r="F28108" s="38" t="s">
        <v>245</v>
      </c>
      <c r="G28108" s="49" t="str">
        <f t="shared" si="1"/>
        <v>77760</v>
      </c>
      <c r="H28108" s="49">
        <f t="shared" si="2"/>
        <v>77046</v>
      </c>
    </row>
    <row r="28109">
      <c r="A28109" s="48" t="s">
        <v>7012</v>
      </c>
      <c r="B28109" s="38">
        <v>68072.0</v>
      </c>
      <c r="C28109" s="38" t="s">
        <v>32561</v>
      </c>
      <c r="D28109" s="38" t="str">
        <f>IFERROR(__xludf.DUMMYFUNCTION("REGEXREPLACE(C28109,""-\d+(.*)|--\d+(.*)"","""")"),"DIETWILLER")</f>
        <v>DIETWILLER</v>
      </c>
      <c r="E28109" s="38" t="s">
        <v>150</v>
      </c>
      <c r="F28109" s="38" t="s">
        <v>151</v>
      </c>
      <c r="G28109" s="49" t="str">
        <f t="shared" si="1"/>
        <v>68440</v>
      </c>
      <c r="H28109" s="49">
        <f t="shared" si="2"/>
        <v>68072</v>
      </c>
    </row>
    <row r="28110">
      <c r="A28110" s="48" t="s">
        <v>4766</v>
      </c>
      <c r="B28110" s="38">
        <v>64335.0</v>
      </c>
      <c r="C28110" s="38" t="s">
        <v>32562</v>
      </c>
      <c r="D28110" s="38" t="str">
        <f>IFERROR(__xludf.DUMMYFUNCTION("REGEXREPLACE(C28110,""-\d+(.*)|--\d+(.*)"","""")"),"LESCAR")</f>
        <v>LESCAR</v>
      </c>
      <c r="E28110" s="38" t="s">
        <v>268</v>
      </c>
      <c r="F28110" s="38" t="s">
        <v>252</v>
      </c>
      <c r="G28110" s="49" t="str">
        <f t="shared" si="1"/>
        <v>64230</v>
      </c>
      <c r="H28110" s="49">
        <f t="shared" si="2"/>
        <v>64335</v>
      </c>
    </row>
    <row r="28111">
      <c r="A28111" s="48" t="s">
        <v>4062</v>
      </c>
      <c r="B28111" s="38">
        <v>50267.0</v>
      </c>
      <c r="C28111" s="38" t="s">
        <v>32563</v>
      </c>
      <c r="D28111" s="38" t="str">
        <f>IFERROR(__xludf.DUMMYFUNCTION("REGEXREPLACE(C28111,""-\d+(.*)|--\d+(.*)"","""")"),"LESSAY")</f>
        <v>LESSAY</v>
      </c>
      <c r="E28111" s="38" t="s">
        <v>157</v>
      </c>
      <c r="F28111" s="38" t="s">
        <v>138</v>
      </c>
      <c r="G28111" s="49" t="str">
        <f t="shared" si="1"/>
        <v>50430</v>
      </c>
      <c r="H28111" s="49">
        <f t="shared" si="2"/>
        <v>50267</v>
      </c>
    </row>
    <row r="28112">
      <c r="A28112" s="48" t="s">
        <v>6261</v>
      </c>
      <c r="B28112" s="38">
        <v>76609.0</v>
      </c>
      <c r="C28112" s="38" t="s">
        <v>32564</v>
      </c>
      <c r="D28112" s="38" t="str">
        <f>IFERROR(__xludf.DUMMYFUNCTION("REGEXREPLACE(C28112,""-\d+(.*)|--\d+(.*)"","""")"),"SAINTE-MARIE-AU-BOSC")</f>
        <v>SAINTE-MARIE-AU-BOSC</v>
      </c>
      <c r="E28112" s="38" t="s">
        <v>133</v>
      </c>
      <c r="F28112" s="38" t="s">
        <v>134</v>
      </c>
      <c r="G28112" s="49" t="str">
        <f t="shared" si="1"/>
        <v>76280</v>
      </c>
      <c r="H28112" s="49">
        <f t="shared" si="2"/>
        <v>76609</v>
      </c>
    </row>
    <row r="28113">
      <c r="A28113" s="48" t="s">
        <v>32565</v>
      </c>
      <c r="B28113" s="38">
        <v>97133.0</v>
      </c>
      <c r="C28113" s="38" t="s">
        <v>32566</v>
      </c>
      <c r="D28113" s="38" t="str">
        <f>IFERROR(__xludf.DUMMYFUNCTION("REGEXREPLACE(C28113,""-\d+(.*)|--\d+(.*)"","""")"),"VIEUX-FORT")</f>
        <v>VIEUX-FORT</v>
      </c>
      <c r="E28113" s="38" t="s">
        <v>2023</v>
      </c>
      <c r="F28113" s="38" t="s">
        <v>2023</v>
      </c>
      <c r="G28113" s="49" t="str">
        <f t="shared" si="1"/>
        <v>97141</v>
      </c>
      <c r="H28113" s="49">
        <f t="shared" si="2"/>
        <v>97133</v>
      </c>
    </row>
    <row r="28114">
      <c r="A28114" s="48" t="s">
        <v>4745</v>
      </c>
      <c r="B28114" s="38">
        <v>1162.0</v>
      </c>
      <c r="C28114" s="38" t="s">
        <v>32567</v>
      </c>
      <c r="D28114" s="38" t="str">
        <f>IFERROR(__xludf.DUMMYFUNCTION("REGEXREPLACE(C28114,""-\d+(.*)|--\d+(.*)"","""")"),"FLAXIEU")</f>
        <v>FLAXIEU</v>
      </c>
      <c r="E28114" s="38" t="s">
        <v>255</v>
      </c>
      <c r="F28114" s="38" t="s">
        <v>102</v>
      </c>
      <c r="G28114" s="49" t="str">
        <f t="shared" si="1"/>
        <v>01350</v>
      </c>
      <c r="H28114" s="49" t="str">
        <f t="shared" si="2"/>
        <v>01162</v>
      </c>
    </row>
    <row r="28115">
      <c r="A28115" s="48" t="s">
        <v>2803</v>
      </c>
      <c r="B28115" s="38">
        <v>80204.0</v>
      </c>
      <c r="C28115" s="38" t="s">
        <v>32568</v>
      </c>
      <c r="D28115" s="38" t="str">
        <f>IFERROR(__xludf.DUMMYFUNCTION("REGEXREPLACE(C28115,""-\d+(.*)|--\d+(.*)"","""")"),"COMBLES")</f>
        <v>COMBLES</v>
      </c>
      <c r="E28115" s="38" t="s">
        <v>224</v>
      </c>
      <c r="F28115" s="38" t="s">
        <v>113</v>
      </c>
      <c r="G28115" s="49" t="str">
        <f t="shared" si="1"/>
        <v>80360</v>
      </c>
      <c r="H28115" s="49">
        <f t="shared" si="2"/>
        <v>80204</v>
      </c>
    </row>
    <row r="28116">
      <c r="A28116" s="48" t="s">
        <v>11059</v>
      </c>
      <c r="B28116" s="38">
        <v>48121.0</v>
      </c>
      <c r="C28116" s="38" t="s">
        <v>9277</v>
      </c>
      <c r="D28116" s="38" t="str">
        <f>IFERROR(__xludf.DUMMYFUNCTION("REGEXREPLACE(C28116,""-\d+(.*)|--\d+(.*)"","""")"),"PRUNIERES")</f>
        <v>PRUNIERES</v>
      </c>
      <c r="E28116" s="38" t="s">
        <v>154</v>
      </c>
      <c r="F28116" s="38" t="s">
        <v>119</v>
      </c>
      <c r="G28116" s="49" t="str">
        <f t="shared" si="1"/>
        <v>48200</v>
      </c>
      <c r="H28116" s="49">
        <f t="shared" si="2"/>
        <v>48121</v>
      </c>
    </row>
    <row r="28117">
      <c r="A28117" s="48" t="s">
        <v>9016</v>
      </c>
      <c r="B28117" s="38">
        <v>76284.0</v>
      </c>
      <c r="C28117" s="38" t="s">
        <v>32569</v>
      </c>
      <c r="D28117" s="38" t="str">
        <f>IFERROR(__xludf.DUMMYFUNCTION("REGEXREPLACE(C28117,""-\d+(.*)|--\d+(.*)"","""")"),"FRESNAY-LE-LONG")</f>
        <v>FRESNAY-LE-LONG</v>
      </c>
      <c r="E28117" s="38" t="s">
        <v>133</v>
      </c>
      <c r="F28117" s="38" t="s">
        <v>134</v>
      </c>
      <c r="G28117" s="49" t="str">
        <f t="shared" si="1"/>
        <v>76850</v>
      </c>
      <c r="H28117" s="49">
        <f t="shared" si="2"/>
        <v>76284</v>
      </c>
    </row>
    <row r="28118">
      <c r="A28118" s="48" t="s">
        <v>5560</v>
      </c>
      <c r="B28118" s="38">
        <v>4180.0</v>
      </c>
      <c r="C28118" s="38" t="s">
        <v>32570</v>
      </c>
      <c r="D28118" s="38" t="str">
        <f>IFERROR(__xludf.DUMMYFUNCTION("REGEXREPLACE(C28118,""-\d+(.*)|--\d+(.*)"","""")"),"SAINT-JACQUES")</f>
        <v>SAINT-JACQUES</v>
      </c>
      <c r="E28118" s="38" t="s">
        <v>662</v>
      </c>
      <c r="F28118" s="38" t="s">
        <v>228</v>
      </c>
      <c r="G28118" s="49" t="str">
        <f t="shared" si="1"/>
        <v>04330</v>
      </c>
      <c r="H28118" s="49" t="str">
        <f t="shared" si="2"/>
        <v>04180</v>
      </c>
    </row>
    <row r="28119">
      <c r="A28119" s="48" t="s">
        <v>21697</v>
      </c>
      <c r="B28119" s="38">
        <v>29276.0</v>
      </c>
      <c r="C28119" s="38" t="s">
        <v>32571</v>
      </c>
      <c r="D28119" s="38" t="str">
        <f>IFERROR(__xludf.DUMMYFUNCTION("REGEXREPLACE(C28119,""-\d+(.*)|--\d+(.*)"","""")"),"SIBIRIL")</f>
        <v>SIBIRIL</v>
      </c>
      <c r="E28119" s="38" t="s">
        <v>176</v>
      </c>
      <c r="F28119" s="38" t="s">
        <v>90</v>
      </c>
      <c r="G28119" s="49" t="str">
        <f t="shared" si="1"/>
        <v>29250</v>
      </c>
      <c r="H28119" s="49">
        <f t="shared" si="2"/>
        <v>29276</v>
      </c>
    </row>
    <row r="28120">
      <c r="A28120" s="48" t="s">
        <v>16314</v>
      </c>
      <c r="B28120" s="38">
        <v>10289.0</v>
      </c>
      <c r="C28120" s="38" t="s">
        <v>32572</v>
      </c>
      <c r="D28120" s="38" t="str">
        <f>IFERROR(__xludf.DUMMYFUNCTION("REGEXREPLACE(C28120,""-\d+(.*)|--\d+(.*)"","""")"),"PLANCY-L'ABBAYE")</f>
        <v>PLANCY-L'ABBAYE</v>
      </c>
      <c r="E28120" s="38" t="s">
        <v>147</v>
      </c>
      <c r="F28120" s="38" t="s">
        <v>130</v>
      </c>
      <c r="G28120" s="49" t="str">
        <f t="shared" si="1"/>
        <v>10380</v>
      </c>
      <c r="H28120" s="49">
        <f t="shared" si="2"/>
        <v>10289</v>
      </c>
    </row>
    <row r="28121">
      <c r="A28121" s="48" t="s">
        <v>4722</v>
      </c>
      <c r="B28121" s="38">
        <v>81038.0</v>
      </c>
      <c r="C28121" s="38" t="s">
        <v>27952</v>
      </c>
      <c r="D28121" s="38" t="str">
        <f>IFERROR(__xludf.DUMMYFUNCTION("REGEXREPLACE(C28121,""-\d+(.*)|--\d+(.*)"","""")"),"BRENS")</f>
        <v>BRENS</v>
      </c>
      <c r="E28121" s="38" t="s">
        <v>231</v>
      </c>
      <c r="F28121" s="38" t="s">
        <v>94</v>
      </c>
      <c r="G28121" s="49" t="str">
        <f t="shared" si="1"/>
        <v>81600</v>
      </c>
      <c r="H28121" s="49">
        <f t="shared" si="2"/>
        <v>81038</v>
      </c>
    </row>
    <row r="28122">
      <c r="A28122" s="48" t="s">
        <v>6805</v>
      </c>
      <c r="B28122" s="38">
        <v>79189.0</v>
      </c>
      <c r="C28122" s="38" t="s">
        <v>32573</v>
      </c>
      <c r="D28122" s="38" t="str">
        <f>IFERROR(__xludf.DUMMYFUNCTION("REGEXREPLACE(C28122,""-\d+(.*)|--\d+(.*)"","""")"),"NANTEUIL")</f>
        <v>NANTEUIL</v>
      </c>
      <c r="E28122" s="38" t="s">
        <v>337</v>
      </c>
      <c r="F28122" s="38" t="s">
        <v>338</v>
      </c>
      <c r="G28122" s="49" t="str">
        <f t="shared" si="1"/>
        <v>79400</v>
      </c>
      <c r="H28122" s="49">
        <f t="shared" si="2"/>
        <v>79189</v>
      </c>
    </row>
    <row r="28123">
      <c r="A28123" s="48" t="s">
        <v>1825</v>
      </c>
      <c r="B28123" s="38">
        <v>64208.0</v>
      </c>
      <c r="C28123" s="38" t="s">
        <v>32574</v>
      </c>
      <c r="D28123" s="38" t="str">
        <f>IFERROR(__xludf.DUMMYFUNCTION("REGEXREPLACE(C28123,""-\d+(.*)|--\d+(.*)"","""")"),"ESCOUBES")</f>
        <v>ESCOUBES</v>
      </c>
      <c r="E28123" s="38" t="s">
        <v>268</v>
      </c>
      <c r="F28123" s="38" t="s">
        <v>252</v>
      </c>
      <c r="G28123" s="49" t="str">
        <f t="shared" si="1"/>
        <v>64160</v>
      </c>
      <c r="H28123" s="49">
        <f t="shared" si="2"/>
        <v>64208</v>
      </c>
    </row>
    <row r="28124">
      <c r="A28124" s="48" t="s">
        <v>3224</v>
      </c>
      <c r="B28124" s="38">
        <v>54005.0</v>
      </c>
      <c r="C28124" s="38" t="s">
        <v>32575</v>
      </c>
      <c r="D28124" s="38" t="str">
        <f>IFERROR(__xludf.DUMMYFUNCTION("REGEXREPLACE(C28124,""-\d+(.*)|--\d+(.*)"","""")"),"AFFRACOURT")</f>
        <v>AFFRACOURT</v>
      </c>
      <c r="E28124" s="38" t="s">
        <v>548</v>
      </c>
      <c r="F28124" s="38" t="s">
        <v>195</v>
      </c>
      <c r="G28124" s="49" t="str">
        <f t="shared" si="1"/>
        <v>54740</v>
      </c>
      <c r="H28124" s="49">
        <f t="shared" si="2"/>
        <v>54005</v>
      </c>
    </row>
    <row r="28125">
      <c r="A28125" s="48" t="s">
        <v>6474</v>
      </c>
      <c r="B28125" s="38">
        <v>61255.0</v>
      </c>
      <c r="C28125" s="38" t="s">
        <v>32576</v>
      </c>
      <c r="D28125" s="38" t="str">
        <f>IFERROR(__xludf.DUMMYFUNCTION("REGEXREPLACE(C28125,""-\d+(.*)|--\d+(.*)"","""")"),"MAUVES-SUR-HUISNE")</f>
        <v>MAUVES-SUR-HUISNE</v>
      </c>
      <c r="E28125" s="38" t="s">
        <v>141</v>
      </c>
      <c r="F28125" s="38" t="s">
        <v>138</v>
      </c>
      <c r="G28125" s="49" t="str">
        <f t="shared" si="1"/>
        <v>61400</v>
      </c>
      <c r="H28125" s="49">
        <f t="shared" si="2"/>
        <v>61255</v>
      </c>
    </row>
    <row r="28126">
      <c r="A28126" s="48" t="s">
        <v>32577</v>
      </c>
      <c r="B28126" s="38">
        <v>95637.0</v>
      </c>
      <c r="C28126" s="38" t="s">
        <v>32578</v>
      </c>
      <c r="D28126" s="38" t="str">
        <f>IFERROR(__xludf.DUMMYFUNCTION("REGEXREPLACE(C28126,""-\d+(.*)|--\d+(.*)"","""")"),"VAUREAL")</f>
        <v>VAUREAL</v>
      </c>
      <c r="E28126" s="38" t="s">
        <v>541</v>
      </c>
      <c r="F28126" s="38" t="s">
        <v>245</v>
      </c>
      <c r="G28126" s="49" t="str">
        <f t="shared" si="1"/>
        <v>95490</v>
      </c>
      <c r="H28126" s="49">
        <f t="shared" si="2"/>
        <v>95637</v>
      </c>
    </row>
    <row r="28127">
      <c r="A28127" s="48" t="s">
        <v>7659</v>
      </c>
      <c r="B28127" s="38">
        <v>53274.0</v>
      </c>
      <c r="C28127" s="38" t="s">
        <v>32579</v>
      </c>
      <c r="D28127" s="38" t="str">
        <f>IFERROR(__xludf.DUMMYFUNCTION("REGEXREPLACE(C28127,""-\d+(.*)|--\d+(.*)"","""")"),"VIMARCE")</f>
        <v>VIMARCE</v>
      </c>
      <c r="E28127" s="38" t="s">
        <v>518</v>
      </c>
      <c r="F28127" s="38" t="s">
        <v>180</v>
      </c>
      <c r="G28127" s="49" t="str">
        <f t="shared" si="1"/>
        <v>53160</v>
      </c>
      <c r="H28127" s="49">
        <f t="shared" si="2"/>
        <v>53274</v>
      </c>
    </row>
    <row r="28128">
      <c r="A28128" s="48" t="s">
        <v>809</v>
      </c>
      <c r="B28128" s="38">
        <v>33176.0</v>
      </c>
      <c r="C28128" s="38" t="s">
        <v>32580</v>
      </c>
      <c r="D28128" s="38" t="str">
        <f>IFERROR(__xludf.DUMMYFUNCTION("REGEXREPLACE(C28128,""-\d+(.*)|--\d+(.*)"","""")"),"GABARNAC")</f>
        <v>GABARNAC</v>
      </c>
      <c r="E28128" s="38" t="s">
        <v>462</v>
      </c>
      <c r="F28128" s="38" t="s">
        <v>252</v>
      </c>
      <c r="G28128" s="49" t="str">
        <f t="shared" si="1"/>
        <v>33410</v>
      </c>
      <c r="H28128" s="49">
        <f t="shared" si="2"/>
        <v>33176</v>
      </c>
    </row>
    <row r="28129">
      <c r="A28129" s="48" t="s">
        <v>719</v>
      </c>
      <c r="B28129" s="38">
        <v>8047.0</v>
      </c>
      <c r="C28129" s="38" t="s">
        <v>32581</v>
      </c>
      <c r="D28129" s="38" t="str">
        <f>IFERROR(__xludf.DUMMYFUNCTION("REGEXREPLACE(C28129,""-\d+(.*)|--\d+(.*)"","""")"),"BARBAISE")</f>
        <v>BARBAISE</v>
      </c>
      <c r="E28129" s="38" t="s">
        <v>327</v>
      </c>
      <c r="F28129" s="38" t="s">
        <v>130</v>
      </c>
      <c r="G28129" s="49" t="str">
        <f t="shared" si="1"/>
        <v>08430</v>
      </c>
      <c r="H28129" s="49" t="str">
        <f t="shared" si="2"/>
        <v>08047</v>
      </c>
    </row>
    <row r="28130">
      <c r="A28130" s="48" t="s">
        <v>1462</v>
      </c>
      <c r="B28130" s="38">
        <v>11268.0</v>
      </c>
      <c r="C28130" s="38" t="s">
        <v>8887</v>
      </c>
      <c r="D28130" s="38" t="str">
        <f>IFERROR(__xludf.DUMMYFUNCTION("REGEXREPLACE(C28130,""-\d+(.*)|--\d+(.*)"","""")"),"ORSANS")</f>
        <v>ORSANS</v>
      </c>
      <c r="E28130" s="38" t="s">
        <v>278</v>
      </c>
      <c r="F28130" s="38" t="s">
        <v>119</v>
      </c>
      <c r="G28130" s="49" t="str">
        <f t="shared" si="1"/>
        <v>11270</v>
      </c>
      <c r="H28130" s="49">
        <f t="shared" si="2"/>
        <v>11268</v>
      </c>
    </row>
    <row r="28131">
      <c r="A28131" s="48" t="s">
        <v>284</v>
      </c>
      <c r="B28131" s="38">
        <v>60383.0</v>
      </c>
      <c r="C28131" s="38" t="s">
        <v>32582</v>
      </c>
      <c r="D28131" s="38" t="str">
        <f>IFERROR(__xludf.DUMMYFUNCTION("REGEXREPLACE(C28131,""-\d+(.*)|--\d+(.*)"","""")"),"MARGNY-SUR-MATZ")</f>
        <v>MARGNY-SUR-MATZ</v>
      </c>
      <c r="E28131" s="38" t="s">
        <v>112</v>
      </c>
      <c r="F28131" s="38" t="s">
        <v>113</v>
      </c>
      <c r="G28131" s="49" t="str">
        <f t="shared" si="1"/>
        <v>60490</v>
      </c>
      <c r="H28131" s="49">
        <f t="shared" si="2"/>
        <v>60383</v>
      </c>
    </row>
    <row r="28132">
      <c r="A28132" s="48" t="s">
        <v>19694</v>
      </c>
      <c r="B28132" s="38">
        <v>71486.0</v>
      </c>
      <c r="C28132" s="38" t="s">
        <v>16226</v>
      </c>
      <c r="D28132" s="38" t="str">
        <f>IFERROR(__xludf.DUMMYFUNCTION("REGEXREPLACE(C28132,""-\d+(.*)|--\d+(.*)"","""")"),"SAINT-VALLIER")</f>
        <v>SAINT-VALLIER</v>
      </c>
      <c r="E28132" s="38" t="s">
        <v>344</v>
      </c>
      <c r="F28132" s="38" t="s">
        <v>106</v>
      </c>
      <c r="G28132" s="49" t="str">
        <f t="shared" si="1"/>
        <v>71230</v>
      </c>
      <c r="H28132" s="49">
        <f t="shared" si="2"/>
        <v>71486</v>
      </c>
    </row>
    <row r="28133">
      <c r="A28133" s="48" t="s">
        <v>1323</v>
      </c>
      <c r="B28133" s="38">
        <v>21349.0</v>
      </c>
      <c r="C28133" s="38" t="s">
        <v>32583</v>
      </c>
      <c r="D28133" s="38" t="str">
        <f>IFERROR(__xludf.DUMMYFUNCTION("REGEXREPLACE(C28133,""-\d+(.*)|--\d+(.*)"","""")"),"LIERNAIS")</f>
        <v>LIERNAIS</v>
      </c>
      <c r="E28133" s="38" t="s">
        <v>105</v>
      </c>
      <c r="F28133" s="38" t="s">
        <v>106</v>
      </c>
      <c r="G28133" s="49" t="str">
        <f t="shared" si="1"/>
        <v>21430</v>
      </c>
      <c r="H28133" s="49">
        <f t="shared" si="2"/>
        <v>21349</v>
      </c>
    </row>
    <row r="28134">
      <c r="A28134" s="48" t="s">
        <v>2705</v>
      </c>
      <c r="B28134" s="38">
        <v>77328.0</v>
      </c>
      <c r="C28134" s="38" t="s">
        <v>32584</v>
      </c>
      <c r="D28134" s="38" t="str">
        <f>IFERROR(__xludf.DUMMYFUNCTION("REGEXREPLACE(C28134,""-\d+(.*)|--\d+(.*)"","""")"),"NANTEAU-SUR-ESSONNE")</f>
        <v>NANTEAU-SUR-ESSONNE</v>
      </c>
      <c r="E28134" s="38" t="s">
        <v>244</v>
      </c>
      <c r="F28134" s="38" t="s">
        <v>245</v>
      </c>
      <c r="G28134" s="49" t="str">
        <f t="shared" si="1"/>
        <v>77760</v>
      </c>
      <c r="H28134" s="49">
        <f t="shared" si="2"/>
        <v>77328</v>
      </c>
    </row>
    <row r="28135">
      <c r="A28135" s="48" t="s">
        <v>3287</v>
      </c>
      <c r="B28135" s="38">
        <v>1380.0</v>
      </c>
      <c r="C28135" s="38" t="s">
        <v>32585</v>
      </c>
      <c r="D28135" s="38" t="str">
        <f>IFERROR(__xludf.DUMMYFUNCTION("REGEXREPLACE(C28135,""-\d+(.*)|--\d+(.*)"","""")"),"SAINT-NIZIER-LE-BOUCHOUX")</f>
        <v>SAINT-NIZIER-LE-BOUCHOUX</v>
      </c>
      <c r="E28135" s="38" t="s">
        <v>255</v>
      </c>
      <c r="F28135" s="38" t="s">
        <v>102</v>
      </c>
      <c r="G28135" s="49" t="str">
        <f t="shared" si="1"/>
        <v>01560</v>
      </c>
      <c r="H28135" s="49" t="str">
        <f t="shared" si="2"/>
        <v>01380</v>
      </c>
    </row>
    <row r="28136">
      <c r="A28136" s="48" t="s">
        <v>4238</v>
      </c>
      <c r="B28136" s="38">
        <v>54021.0</v>
      </c>
      <c r="C28136" s="38" t="s">
        <v>32586</v>
      </c>
      <c r="D28136" s="38" t="str">
        <f>IFERROR(__xludf.DUMMYFUNCTION("REGEXREPLACE(C28136,""-\d+(.*)|--\d+(.*)"","""")"),"ARMAUCOURT")</f>
        <v>ARMAUCOURT</v>
      </c>
      <c r="E28136" s="38" t="s">
        <v>548</v>
      </c>
      <c r="F28136" s="38" t="s">
        <v>195</v>
      </c>
      <c r="G28136" s="49" t="str">
        <f t="shared" si="1"/>
        <v>54760</v>
      </c>
      <c r="H28136" s="49">
        <f t="shared" si="2"/>
        <v>54021</v>
      </c>
    </row>
    <row r="28137">
      <c r="A28137" s="48" t="s">
        <v>4178</v>
      </c>
      <c r="B28137" s="38">
        <v>25280.0</v>
      </c>
      <c r="C28137" s="38" t="s">
        <v>32587</v>
      </c>
      <c r="D28137" s="38" t="str">
        <f>IFERROR(__xludf.DUMMYFUNCTION("REGEXREPLACE(C28137,""-\d+(.*)|--\d+(.*)"","""")"),"GOUMOIS")</f>
        <v>GOUMOIS</v>
      </c>
      <c r="E28137" s="38" t="s">
        <v>213</v>
      </c>
      <c r="F28137" s="38" t="s">
        <v>214</v>
      </c>
      <c r="G28137" s="49" t="str">
        <f t="shared" si="1"/>
        <v>25470</v>
      </c>
      <c r="H28137" s="49">
        <f t="shared" si="2"/>
        <v>25280</v>
      </c>
    </row>
    <row r="28138">
      <c r="A28138" s="48" t="s">
        <v>6189</v>
      </c>
      <c r="B28138" s="38">
        <v>32343.0</v>
      </c>
      <c r="C28138" s="38" t="s">
        <v>32588</v>
      </c>
      <c r="D28138" s="38" t="str">
        <f>IFERROR(__xludf.DUMMYFUNCTION("REGEXREPLACE(C28138,""-\d+(.*)|--\d+(.*)"","""")"),"RIGUEPEU")</f>
        <v>RIGUEPEU</v>
      </c>
      <c r="E28138" s="38" t="s">
        <v>440</v>
      </c>
      <c r="F28138" s="38" t="s">
        <v>94</v>
      </c>
      <c r="G28138" s="49" t="str">
        <f t="shared" si="1"/>
        <v>32320</v>
      </c>
      <c r="H28138" s="49">
        <f t="shared" si="2"/>
        <v>32343</v>
      </c>
    </row>
    <row r="28139">
      <c r="A28139" s="48" t="s">
        <v>3637</v>
      </c>
      <c r="B28139" s="38">
        <v>63194.0</v>
      </c>
      <c r="C28139" s="38" t="s">
        <v>32589</v>
      </c>
      <c r="D28139" s="38" t="str">
        <f>IFERROR(__xludf.DUMMYFUNCTION("REGEXREPLACE(C28139,""-\d+(.*)|--\d+(.*)"","""")"),"LEMPTY")</f>
        <v>LEMPTY</v>
      </c>
      <c r="E28139" s="38" t="s">
        <v>353</v>
      </c>
      <c r="F28139" s="38" t="s">
        <v>161</v>
      </c>
      <c r="G28139" s="49" t="str">
        <f t="shared" si="1"/>
        <v>63190</v>
      </c>
      <c r="H28139" s="49">
        <f t="shared" si="2"/>
        <v>63194</v>
      </c>
    </row>
    <row r="28140">
      <c r="A28140" s="48" t="s">
        <v>4018</v>
      </c>
      <c r="B28140" s="38">
        <v>55271.0</v>
      </c>
      <c r="C28140" s="38" t="s">
        <v>32590</v>
      </c>
      <c r="D28140" s="38" t="str">
        <f>IFERROR(__xludf.DUMMYFUNCTION("REGEXREPLACE(C28140,""-\d+(.*)|--\d+(.*)"","""")"),"LAHEYCOURT")</f>
        <v>LAHEYCOURT</v>
      </c>
      <c r="E28140" s="38" t="s">
        <v>322</v>
      </c>
      <c r="F28140" s="38" t="s">
        <v>195</v>
      </c>
      <c r="G28140" s="49" t="str">
        <f t="shared" si="1"/>
        <v>55800</v>
      </c>
      <c r="H28140" s="49">
        <f t="shared" si="2"/>
        <v>55271</v>
      </c>
    </row>
    <row r="28141">
      <c r="A28141" s="48" t="s">
        <v>2659</v>
      </c>
      <c r="B28141" s="38">
        <v>80550.0</v>
      </c>
      <c r="C28141" s="38" t="s">
        <v>32591</v>
      </c>
      <c r="D28141" s="38" t="str">
        <f>IFERROR(__xludf.DUMMYFUNCTION("REGEXREPLACE(C28141,""-\d+(.*)|--\d+(.*)"","""")"),"MIRVAUX")</f>
        <v>MIRVAUX</v>
      </c>
      <c r="E28141" s="38" t="s">
        <v>224</v>
      </c>
      <c r="F28141" s="38" t="s">
        <v>113</v>
      </c>
      <c r="G28141" s="49" t="str">
        <f t="shared" si="1"/>
        <v>80260</v>
      </c>
      <c r="H28141" s="49">
        <f t="shared" si="2"/>
        <v>80550</v>
      </c>
    </row>
    <row r="28142">
      <c r="A28142" s="48" t="s">
        <v>22265</v>
      </c>
      <c r="B28142" s="38">
        <v>58126.0</v>
      </c>
      <c r="C28142" s="38" t="s">
        <v>32592</v>
      </c>
      <c r="D28142" s="38" t="str">
        <f>IFERROR(__xludf.DUMMYFUNCTION("REGEXREPLACE(C28142,""-\d+(.*)|--\d+(.*)"","""")"),"GIMOUILLE")</f>
        <v>GIMOUILLE</v>
      </c>
      <c r="E28142" s="38" t="s">
        <v>219</v>
      </c>
      <c r="F28142" s="38" t="s">
        <v>106</v>
      </c>
      <c r="G28142" s="49" t="str">
        <f t="shared" si="1"/>
        <v>58470</v>
      </c>
      <c r="H28142" s="49">
        <f t="shared" si="2"/>
        <v>58126</v>
      </c>
    </row>
    <row r="28143">
      <c r="A28143" s="48" t="s">
        <v>3046</v>
      </c>
      <c r="B28143" s="38">
        <v>70030.0</v>
      </c>
      <c r="C28143" s="38" t="s">
        <v>32593</v>
      </c>
      <c r="D28143" s="38" t="str">
        <f>IFERROR(__xludf.DUMMYFUNCTION("REGEXREPLACE(C28143,""-\d+(.*)|--\d+(.*)"","""")"),"ARSANS")</f>
        <v>ARSANS</v>
      </c>
      <c r="E28143" s="38" t="s">
        <v>956</v>
      </c>
      <c r="F28143" s="38" t="s">
        <v>214</v>
      </c>
      <c r="G28143" s="49" t="str">
        <f t="shared" si="1"/>
        <v>70100</v>
      </c>
      <c r="H28143" s="49">
        <f t="shared" si="2"/>
        <v>70030</v>
      </c>
    </row>
    <row r="28144">
      <c r="A28144" s="48" t="s">
        <v>6743</v>
      </c>
      <c r="B28144" s="38">
        <v>53088.0</v>
      </c>
      <c r="C28144" s="38" t="s">
        <v>32594</v>
      </c>
      <c r="D28144" s="38" t="str">
        <f>IFERROR(__xludf.DUMMYFUNCTION("REGEXREPLACE(C28144,""-\d+(.*)|--\d+(.*)"","""")"),"CUILLE")</f>
        <v>CUILLE</v>
      </c>
      <c r="E28144" s="38" t="s">
        <v>518</v>
      </c>
      <c r="F28144" s="38" t="s">
        <v>180</v>
      </c>
      <c r="G28144" s="49" t="str">
        <f t="shared" si="1"/>
        <v>53540</v>
      </c>
      <c r="H28144" s="49">
        <f t="shared" si="2"/>
        <v>53088</v>
      </c>
    </row>
    <row r="28145">
      <c r="A28145" s="48" t="s">
        <v>1628</v>
      </c>
      <c r="B28145" s="38">
        <v>70548.0</v>
      </c>
      <c r="C28145" s="38" t="s">
        <v>32595</v>
      </c>
      <c r="D28145" s="38" t="str">
        <f>IFERROR(__xludf.DUMMYFUNCTION("REGEXREPLACE(C28145,""-\d+(.*)|--\d+(.*)"","""")"),"VERNOIS-SUR-MANCE")</f>
        <v>VERNOIS-SUR-MANCE</v>
      </c>
      <c r="E28145" s="38" t="s">
        <v>956</v>
      </c>
      <c r="F28145" s="38" t="s">
        <v>214</v>
      </c>
      <c r="G28145" s="49" t="str">
        <f t="shared" si="1"/>
        <v>70500</v>
      </c>
      <c r="H28145" s="49">
        <f t="shared" si="2"/>
        <v>70548</v>
      </c>
    </row>
    <row r="28146">
      <c r="A28146" s="48" t="s">
        <v>1128</v>
      </c>
      <c r="B28146" s="38">
        <v>2353.0</v>
      </c>
      <c r="C28146" s="38" t="s">
        <v>32596</v>
      </c>
      <c r="D28146" s="38" t="str">
        <f>IFERROR(__xludf.DUMMYFUNCTION("REGEXREPLACE(C28146,""-\d+(.*)|--\d+(.*)"","""")"),"GRANDLUP-ET-FAY")</f>
        <v>GRANDLUP-ET-FAY</v>
      </c>
      <c r="E28146" s="38" t="s">
        <v>191</v>
      </c>
      <c r="F28146" s="38" t="s">
        <v>113</v>
      </c>
      <c r="G28146" s="49" t="str">
        <f t="shared" si="1"/>
        <v>02350</v>
      </c>
      <c r="H28146" s="49" t="str">
        <f t="shared" si="2"/>
        <v>02353</v>
      </c>
    </row>
    <row r="28147">
      <c r="A28147" s="48" t="s">
        <v>1040</v>
      </c>
      <c r="B28147" s="38">
        <v>62553.0</v>
      </c>
      <c r="C28147" s="38" t="s">
        <v>32597</v>
      </c>
      <c r="D28147" s="38" t="str">
        <f>IFERROR(__xludf.DUMMYFUNCTION("REGEXREPLACE(C28147,""-\d+(.*)|--\d+(.*)"","""")"),"MAREST")</f>
        <v>MAREST</v>
      </c>
      <c r="E28147" s="38" t="s">
        <v>109</v>
      </c>
      <c r="F28147" s="38" t="s">
        <v>86</v>
      </c>
      <c r="G28147" s="49" t="str">
        <f t="shared" si="1"/>
        <v>62550</v>
      </c>
      <c r="H28147" s="49">
        <f t="shared" si="2"/>
        <v>62553</v>
      </c>
    </row>
    <row r="28148">
      <c r="A28148" s="48" t="s">
        <v>5612</v>
      </c>
      <c r="B28148" s="38">
        <v>52507.0</v>
      </c>
      <c r="C28148" s="38" t="s">
        <v>32598</v>
      </c>
      <c r="D28148" s="38" t="str">
        <f>IFERROR(__xludf.DUMMYFUNCTION("REGEXREPLACE(C28148,""-\d+(.*)|--\d+(.*)"","""")"),"VAUXBONS")</f>
        <v>VAUXBONS</v>
      </c>
      <c r="E28148" s="38" t="s">
        <v>234</v>
      </c>
      <c r="F28148" s="38" t="s">
        <v>130</v>
      </c>
      <c r="G28148" s="49" t="str">
        <f t="shared" si="1"/>
        <v>52200</v>
      </c>
      <c r="H28148" s="49">
        <f t="shared" si="2"/>
        <v>52507</v>
      </c>
    </row>
    <row r="28149">
      <c r="A28149" s="48" t="s">
        <v>944</v>
      </c>
      <c r="B28149" s="38">
        <v>61117.0</v>
      </c>
      <c r="C28149" s="38" t="s">
        <v>32599</v>
      </c>
      <c r="D28149" s="38" t="str">
        <f>IFERROR(__xludf.DUMMYFUNCTION("REGEXREPLACE(C28149,""-\d+(.*)|--\d+(.*)"","""")"),"CONDE-SUR-SARTHE")</f>
        <v>CONDE-SUR-SARTHE</v>
      </c>
      <c r="E28149" s="38" t="s">
        <v>141</v>
      </c>
      <c r="F28149" s="38" t="s">
        <v>138</v>
      </c>
      <c r="G28149" s="49" t="str">
        <f t="shared" si="1"/>
        <v>61250</v>
      </c>
      <c r="H28149" s="49">
        <f t="shared" si="2"/>
        <v>61117</v>
      </c>
    </row>
    <row r="28150">
      <c r="A28150" s="48" t="s">
        <v>10778</v>
      </c>
      <c r="B28150" s="38">
        <v>21437.0</v>
      </c>
      <c r="C28150" s="38" t="s">
        <v>32600</v>
      </c>
      <c r="D28150" s="38" t="str">
        <f>IFERROR(__xludf.DUMMYFUNCTION("REGEXREPLACE(C28150,""-\d+(.*)|--\d+(.*)"","""")"),"MONTMANCON")</f>
        <v>MONTMANCON</v>
      </c>
      <c r="E28150" s="38" t="s">
        <v>105</v>
      </c>
      <c r="F28150" s="38" t="s">
        <v>106</v>
      </c>
      <c r="G28150" s="49" t="str">
        <f t="shared" si="1"/>
        <v>21270</v>
      </c>
      <c r="H28150" s="49">
        <f t="shared" si="2"/>
        <v>21437</v>
      </c>
    </row>
    <row r="28151">
      <c r="A28151" s="48" t="s">
        <v>4050</v>
      </c>
      <c r="B28151" s="38">
        <v>31148.0</v>
      </c>
      <c r="C28151" s="38" t="s">
        <v>32601</v>
      </c>
      <c r="D28151" s="38" t="str">
        <f>IFERROR(__xludf.DUMMYFUNCTION("REGEXREPLACE(C28151,""-\d+(.*)|--\d+(.*)"","""")"),"CLERMONT-LE-FORT")</f>
        <v>CLERMONT-LE-FORT</v>
      </c>
      <c r="E28151" s="38" t="s">
        <v>93</v>
      </c>
      <c r="F28151" s="38" t="s">
        <v>94</v>
      </c>
      <c r="G28151" s="49" t="str">
        <f t="shared" si="1"/>
        <v>31810</v>
      </c>
      <c r="H28151" s="49">
        <f t="shared" si="2"/>
        <v>31148</v>
      </c>
    </row>
    <row r="28152">
      <c r="A28152" s="48" t="s">
        <v>1618</v>
      </c>
      <c r="B28152" s="38">
        <v>11099.0</v>
      </c>
      <c r="C28152" s="38" t="s">
        <v>32602</v>
      </c>
      <c r="D28152" s="38" t="str">
        <f>IFERROR(__xludf.DUMMYFUNCTION("REGEXREPLACE(C28152,""-\d+(.*)|--\d+(.*)"","""")"),"CONQUES-SUR-ORBIEL")</f>
        <v>CONQUES-SUR-ORBIEL</v>
      </c>
      <c r="E28152" s="38" t="s">
        <v>278</v>
      </c>
      <c r="F28152" s="38" t="s">
        <v>119</v>
      </c>
      <c r="G28152" s="49" t="str">
        <f t="shared" si="1"/>
        <v>11600</v>
      </c>
      <c r="H28152" s="49">
        <f t="shared" si="2"/>
        <v>11099</v>
      </c>
    </row>
    <row r="28153">
      <c r="A28153" s="48" t="s">
        <v>1568</v>
      </c>
      <c r="B28153" s="38">
        <v>36097.0</v>
      </c>
      <c r="C28153" s="38" t="s">
        <v>32603</v>
      </c>
      <c r="D28153" s="38" t="str">
        <f>IFERROR(__xludf.DUMMYFUNCTION("REGEXREPLACE(C28153,""-\d+(.*)|--\d+(.*)"","""")"),"LINIEZ")</f>
        <v>LINIEZ</v>
      </c>
      <c r="E28153" s="38" t="s">
        <v>258</v>
      </c>
      <c r="F28153" s="38" t="s">
        <v>123</v>
      </c>
      <c r="G28153" s="49" t="str">
        <f t="shared" si="1"/>
        <v>36150</v>
      </c>
      <c r="H28153" s="49">
        <f t="shared" si="2"/>
        <v>36097</v>
      </c>
    </row>
    <row r="28154">
      <c r="A28154" s="48" t="s">
        <v>3978</v>
      </c>
      <c r="B28154" s="38">
        <v>21293.0</v>
      </c>
      <c r="C28154" s="38" t="s">
        <v>32604</v>
      </c>
      <c r="D28154" s="38" t="str">
        <f>IFERROR(__xludf.DUMMYFUNCTION("REGEXREPLACE(C28154,""-\d+(.*)|--\d+(.*)"","""")"),"GERGUEIL")</f>
        <v>GERGUEIL</v>
      </c>
      <c r="E28154" s="38" t="s">
        <v>105</v>
      </c>
      <c r="F28154" s="38" t="s">
        <v>106</v>
      </c>
      <c r="G28154" s="49" t="str">
        <f t="shared" si="1"/>
        <v>21410</v>
      </c>
      <c r="H28154" s="49">
        <f t="shared" si="2"/>
        <v>21293</v>
      </c>
    </row>
    <row r="28155">
      <c r="A28155" s="48" t="s">
        <v>491</v>
      </c>
      <c r="B28155" s="38">
        <v>19210.0</v>
      </c>
      <c r="C28155" s="38" t="s">
        <v>32605</v>
      </c>
      <c r="D28155" s="38" t="str">
        <f>IFERROR(__xludf.DUMMYFUNCTION("REGEXREPLACE(C28155,""-\d+(.*)|--\d+(.*)"","""")"),"SAINT-HILAIRE-LUC")</f>
        <v>SAINT-HILAIRE-LUC</v>
      </c>
      <c r="E28155" s="38" t="s">
        <v>271</v>
      </c>
      <c r="F28155" s="38" t="s">
        <v>98</v>
      </c>
      <c r="G28155" s="49" t="str">
        <f t="shared" si="1"/>
        <v>19160</v>
      </c>
      <c r="H28155" s="49">
        <f t="shared" si="2"/>
        <v>19210</v>
      </c>
    </row>
    <row r="28156">
      <c r="A28156" s="48" t="s">
        <v>32606</v>
      </c>
      <c r="B28156" s="38">
        <v>92060.0</v>
      </c>
      <c r="C28156" s="38" t="s">
        <v>32607</v>
      </c>
      <c r="D28156" s="38" t="str">
        <f>IFERROR(__xludf.DUMMYFUNCTION("REGEXREPLACE(C28156,""-\d+(.*)|--\d+(.*)"","""")"),"LE PLESSIS-ROBINSON")</f>
        <v>LE PLESSIS-ROBINSON</v>
      </c>
      <c r="E28156" s="38" t="s">
        <v>838</v>
      </c>
      <c r="F28156" s="38" t="s">
        <v>245</v>
      </c>
      <c r="G28156" s="49" t="str">
        <f t="shared" si="1"/>
        <v>92350</v>
      </c>
      <c r="H28156" s="49">
        <f t="shared" si="2"/>
        <v>92060</v>
      </c>
    </row>
    <row r="28157">
      <c r="A28157" s="48" t="s">
        <v>4358</v>
      </c>
      <c r="B28157" s="38">
        <v>1189.0</v>
      </c>
      <c r="C28157" s="38" t="s">
        <v>32608</v>
      </c>
      <c r="D28157" s="38" t="str">
        <f>IFERROR(__xludf.DUMMYFUNCTION("REGEXREPLACE(C28157,""-\d+(.*)|--\d+(.*)"","""")"),"INJOUX-GENISSIAT")</f>
        <v>INJOUX-GENISSIAT</v>
      </c>
      <c r="E28157" s="38" t="s">
        <v>255</v>
      </c>
      <c r="F28157" s="38" t="s">
        <v>102</v>
      </c>
      <c r="G28157" s="49" t="str">
        <f t="shared" si="1"/>
        <v>01200</v>
      </c>
      <c r="H28157" s="49" t="str">
        <f t="shared" si="2"/>
        <v>01189</v>
      </c>
    </row>
    <row r="28158">
      <c r="A28158" s="48" t="s">
        <v>2783</v>
      </c>
      <c r="B28158" s="38">
        <v>31167.0</v>
      </c>
      <c r="C28158" s="38" t="s">
        <v>32609</v>
      </c>
      <c r="D28158" s="38" t="str">
        <f>IFERROR(__xludf.DUMMYFUNCTION("REGEXREPLACE(C28158,""-\d+(.*)|--\d+(.*)"","""")"),"ENCAUSSE-LES-THERMES")</f>
        <v>ENCAUSSE-LES-THERMES</v>
      </c>
      <c r="E28158" s="38" t="s">
        <v>93</v>
      </c>
      <c r="F28158" s="38" t="s">
        <v>94</v>
      </c>
      <c r="G28158" s="49" t="str">
        <f t="shared" si="1"/>
        <v>31160</v>
      </c>
      <c r="H28158" s="49">
        <f t="shared" si="2"/>
        <v>31167</v>
      </c>
    </row>
    <row r="28159">
      <c r="A28159" s="48" t="s">
        <v>32610</v>
      </c>
      <c r="B28159" s="38">
        <v>84135.0</v>
      </c>
      <c r="C28159" s="38" t="s">
        <v>32611</v>
      </c>
      <c r="D28159" s="38" t="str">
        <f>IFERROR(__xludf.DUMMYFUNCTION("REGEXREPLACE(C28159,""-\d+(.*)|--\d+(.*)"","""")"),"UCHAUX")</f>
        <v>UCHAUX</v>
      </c>
      <c r="E28159" s="38" t="s">
        <v>1026</v>
      </c>
      <c r="F28159" s="38" t="s">
        <v>228</v>
      </c>
      <c r="G28159" s="49" t="str">
        <f t="shared" si="1"/>
        <v>84100</v>
      </c>
      <c r="H28159" s="49">
        <f t="shared" si="2"/>
        <v>84135</v>
      </c>
    </row>
    <row r="28160">
      <c r="A28160" s="48" t="s">
        <v>4181</v>
      </c>
      <c r="B28160" s="38">
        <v>89421.0</v>
      </c>
      <c r="C28160" s="38" t="s">
        <v>32612</v>
      </c>
      <c r="D28160" s="38" t="str">
        <f>IFERROR(__xludf.DUMMYFUNCTION("REGEXREPLACE(C28160,""-\d+(.*)|--\d+(.*)"","""")"),"TREVILLY")</f>
        <v>TREVILLY</v>
      </c>
      <c r="E28160" s="38" t="s">
        <v>275</v>
      </c>
      <c r="F28160" s="38" t="s">
        <v>106</v>
      </c>
      <c r="G28160" s="49" t="str">
        <f t="shared" si="1"/>
        <v>89420</v>
      </c>
      <c r="H28160" s="49">
        <f t="shared" si="2"/>
        <v>89421</v>
      </c>
    </row>
    <row r="28161">
      <c r="A28161" s="48" t="s">
        <v>3087</v>
      </c>
      <c r="B28161" s="38">
        <v>64211.0</v>
      </c>
      <c r="C28161" s="38" t="s">
        <v>32613</v>
      </c>
      <c r="D28161" s="38" t="str">
        <f>IFERROR(__xludf.DUMMYFUNCTION("REGEXREPLACE(C28161,""-\d+(.*)|--\d+(.*)"","""")"),"ESLOURENTIES-DABAN")</f>
        <v>ESLOURENTIES-DABAN</v>
      </c>
      <c r="E28161" s="38" t="s">
        <v>268</v>
      </c>
      <c r="F28161" s="38" t="s">
        <v>252</v>
      </c>
      <c r="G28161" s="49" t="str">
        <f t="shared" si="1"/>
        <v>64420</v>
      </c>
      <c r="H28161" s="49">
        <f t="shared" si="2"/>
        <v>64211</v>
      </c>
    </row>
    <row r="28162">
      <c r="A28162" s="48" t="s">
        <v>789</v>
      </c>
      <c r="B28162" s="38">
        <v>10201.0</v>
      </c>
      <c r="C28162" s="38" t="s">
        <v>32614</v>
      </c>
      <c r="D28162" s="38" t="str">
        <f>IFERROR(__xludf.DUMMYFUNCTION("REGEXREPLACE(C28162,""-\d+(.*)|--\d+(.*)"","""")"),"LA LOGE-POMBLIN")</f>
        <v>LA LOGE-POMBLIN</v>
      </c>
      <c r="E28162" s="38" t="s">
        <v>147</v>
      </c>
      <c r="F28162" s="38" t="s">
        <v>130</v>
      </c>
      <c r="G28162" s="49" t="str">
        <f t="shared" si="1"/>
        <v>10210</v>
      </c>
      <c r="H28162" s="49">
        <f t="shared" si="2"/>
        <v>10201</v>
      </c>
    </row>
    <row r="28163">
      <c r="A28163" s="48" t="s">
        <v>809</v>
      </c>
      <c r="B28163" s="38">
        <v>33231.0</v>
      </c>
      <c r="C28163" s="38" t="s">
        <v>12120</v>
      </c>
      <c r="D28163" s="38" t="str">
        <f>IFERROR(__xludf.DUMMYFUNCTION("REGEXREPLACE(C28163,""-\d+(.*)|--\d+(.*)"","""")"),"LAROQUE")</f>
        <v>LAROQUE</v>
      </c>
      <c r="E28163" s="38" t="s">
        <v>462</v>
      </c>
      <c r="F28163" s="38" t="s">
        <v>252</v>
      </c>
      <c r="G28163" s="49" t="str">
        <f t="shared" si="1"/>
        <v>33410</v>
      </c>
      <c r="H28163" s="49">
        <f t="shared" si="2"/>
        <v>33231</v>
      </c>
    </row>
    <row r="28164">
      <c r="A28164" s="48" t="s">
        <v>1056</v>
      </c>
      <c r="B28164" s="38">
        <v>11294.0</v>
      </c>
      <c r="C28164" s="38" t="s">
        <v>32615</v>
      </c>
      <c r="D28164" s="38" t="str">
        <f>IFERROR(__xludf.DUMMYFUNCTION("REGEXREPLACE(C28164,""-\d+(.*)|--\d+(.*)"","""")"),"POMY")</f>
        <v>POMY</v>
      </c>
      <c r="E28164" s="38" t="s">
        <v>278</v>
      </c>
      <c r="F28164" s="38" t="s">
        <v>119</v>
      </c>
      <c r="G28164" s="49" t="str">
        <f t="shared" si="1"/>
        <v>11300</v>
      </c>
      <c r="H28164" s="49">
        <f t="shared" si="2"/>
        <v>11294</v>
      </c>
    </row>
    <row r="28165">
      <c r="A28165" s="48" t="s">
        <v>11319</v>
      </c>
      <c r="B28165" s="38">
        <v>51398.0</v>
      </c>
      <c r="C28165" s="38" t="s">
        <v>32616</v>
      </c>
      <c r="D28165" s="38" t="str">
        <f>IFERROR(__xludf.DUMMYFUNCTION("REGEXREPLACE(C28165,""-\d+(.*)|--\d+(.*)"","""")"),"LA NEUVILLE-AUX-LARRIS")</f>
        <v>LA NEUVILLE-AUX-LARRIS</v>
      </c>
      <c r="E28165" s="38" t="s">
        <v>129</v>
      </c>
      <c r="F28165" s="38" t="s">
        <v>130</v>
      </c>
      <c r="G28165" s="49" t="str">
        <f t="shared" si="1"/>
        <v>51480</v>
      </c>
      <c r="H28165" s="49">
        <f t="shared" si="2"/>
        <v>51398</v>
      </c>
    </row>
    <row r="28166">
      <c r="A28166" s="48" t="s">
        <v>7852</v>
      </c>
      <c r="B28166" s="38">
        <v>38380.0</v>
      </c>
      <c r="C28166" s="38" t="s">
        <v>32617</v>
      </c>
      <c r="D28166" s="38" t="str">
        <f>IFERROR(__xludf.DUMMYFUNCTION("REGEXREPLACE(C28166,""-\d+(.*)|--\d+(.*)"","""")"),"SAINT-DIDIER-DE-BIZONNES")</f>
        <v>SAINT-DIDIER-DE-BIZONNES</v>
      </c>
      <c r="E28166" s="38" t="s">
        <v>101</v>
      </c>
      <c r="F28166" s="38" t="s">
        <v>102</v>
      </c>
      <c r="G28166" s="49" t="str">
        <f t="shared" si="1"/>
        <v>38690</v>
      </c>
      <c r="H28166" s="49">
        <f t="shared" si="2"/>
        <v>38380</v>
      </c>
    </row>
    <row r="28167">
      <c r="A28167" s="48" t="s">
        <v>10312</v>
      </c>
      <c r="B28167" s="38">
        <v>32314.0</v>
      </c>
      <c r="C28167" s="38" t="s">
        <v>32618</v>
      </c>
      <c r="D28167" s="38" t="str">
        <f>IFERROR(__xludf.DUMMYFUNCTION("REGEXREPLACE(C28167,""-\d+(.*)|--\d+(.*)"","""")"),"PEYRECAVE")</f>
        <v>PEYRECAVE</v>
      </c>
      <c r="E28167" s="38" t="s">
        <v>440</v>
      </c>
      <c r="F28167" s="38" t="s">
        <v>94</v>
      </c>
      <c r="G28167" s="49" t="str">
        <f t="shared" si="1"/>
        <v>32340</v>
      </c>
      <c r="H28167" s="49">
        <f t="shared" si="2"/>
        <v>32314</v>
      </c>
    </row>
    <row r="28168">
      <c r="A28168" s="48" t="s">
        <v>5634</v>
      </c>
      <c r="B28168" s="38">
        <v>72311.0</v>
      </c>
      <c r="C28168" s="38" t="s">
        <v>32619</v>
      </c>
      <c r="D28168" s="38" t="str">
        <f>IFERROR(__xludf.DUMMYFUNCTION("REGEXREPLACE(C28168,""-\d+(.*)|--\d+(.*)"","""")"),"SAINT-PIERRE-DE-CHEVILLE")</f>
        <v>SAINT-PIERRE-DE-CHEVILLE</v>
      </c>
      <c r="E28168" s="38" t="s">
        <v>521</v>
      </c>
      <c r="F28168" s="38" t="s">
        <v>180</v>
      </c>
      <c r="G28168" s="49" t="str">
        <f t="shared" si="1"/>
        <v>72500</v>
      </c>
      <c r="H28168" s="49">
        <f t="shared" si="2"/>
        <v>72311</v>
      </c>
    </row>
    <row r="28169">
      <c r="A28169" s="48" t="s">
        <v>32620</v>
      </c>
      <c r="B28169" s="38">
        <v>76005.0</v>
      </c>
      <c r="C28169" s="38" t="s">
        <v>32621</v>
      </c>
      <c r="D28169" s="38" t="str">
        <f>IFERROR(__xludf.DUMMYFUNCTION("REGEXREPLACE(C28169,""-\d+(.*)|--\d+(.*)"","""")"),"AMFREVILLE-LA-MI-VOIE")</f>
        <v>AMFREVILLE-LA-MI-VOIE</v>
      </c>
      <c r="E28169" s="38" t="s">
        <v>133</v>
      </c>
      <c r="F28169" s="38" t="s">
        <v>134</v>
      </c>
      <c r="G28169" s="49" t="str">
        <f t="shared" si="1"/>
        <v>76920</v>
      </c>
      <c r="H28169" s="49">
        <f t="shared" si="2"/>
        <v>76005</v>
      </c>
    </row>
    <row r="28170">
      <c r="A28170" s="48" t="s">
        <v>8453</v>
      </c>
      <c r="B28170" s="38">
        <v>8182.0</v>
      </c>
      <c r="C28170" s="38" t="s">
        <v>32622</v>
      </c>
      <c r="D28170" s="38" t="str">
        <f>IFERROR(__xludf.DUMMYFUNCTION("REGEXREPLACE(C28170,""-\d+(.*)|--\d+(.*)"","""")"),"LE FRETY")</f>
        <v>LE FRETY</v>
      </c>
      <c r="E28170" s="38" t="s">
        <v>327</v>
      </c>
      <c r="F28170" s="38" t="s">
        <v>130</v>
      </c>
      <c r="G28170" s="49" t="str">
        <f t="shared" si="1"/>
        <v>08290</v>
      </c>
      <c r="H28170" s="49" t="str">
        <f t="shared" si="2"/>
        <v>08182</v>
      </c>
    </row>
    <row r="28171">
      <c r="A28171" s="48" t="s">
        <v>7811</v>
      </c>
      <c r="B28171" s="38">
        <v>59103.0</v>
      </c>
      <c r="C28171" s="38" t="s">
        <v>32623</v>
      </c>
      <c r="D28171" s="38" t="str">
        <f>IFERROR(__xludf.DUMMYFUNCTION("REGEXREPLACE(C28171,""-\d+(.*)|--\d+(.*)"","""")"),"BOUSSIERES-SUR-SAMBRE")</f>
        <v>BOUSSIERES-SUR-SAMBRE</v>
      </c>
      <c r="E28171" s="38" t="s">
        <v>85</v>
      </c>
      <c r="F28171" s="38" t="s">
        <v>86</v>
      </c>
      <c r="G28171" s="49" t="str">
        <f t="shared" si="1"/>
        <v>59330</v>
      </c>
      <c r="H28171" s="49">
        <f t="shared" si="2"/>
        <v>59103</v>
      </c>
    </row>
    <row r="28172">
      <c r="A28172" s="48" t="s">
        <v>6316</v>
      </c>
      <c r="B28172" s="38">
        <v>50567.0</v>
      </c>
      <c r="C28172" s="38" t="s">
        <v>32624</v>
      </c>
      <c r="D28172" s="38" t="str">
        <f>IFERROR(__xludf.DUMMYFUNCTION("REGEXREPLACE(C28172,""-\d+(.*)|--\d+(.*)"","""")"),"SAUSSEMESNIL")</f>
        <v>SAUSSEMESNIL</v>
      </c>
      <c r="E28172" s="38" t="s">
        <v>157</v>
      </c>
      <c r="F28172" s="38" t="s">
        <v>138</v>
      </c>
      <c r="G28172" s="49" t="str">
        <f t="shared" si="1"/>
        <v>50700</v>
      </c>
      <c r="H28172" s="49">
        <f t="shared" si="2"/>
        <v>50567</v>
      </c>
    </row>
    <row r="28173">
      <c r="A28173" s="48" t="s">
        <v>658</v>
      </c>
      <c r="B28173" s="38">
        <v>62530.0</v>
      </c>
      <c r="C28173" s="38" t="s">
        <v>32625</v>
      </c>
      <c r="D28173" s="38" t="str">
        <f>IFERROR(__xludf.DUMMYFUNCTION("REGEXREPLACE(C28173,""-\d+(.*)|--\d+(.*)"","""")"),"LOTTINGHEN")</f>
        <v>LOTTINGHEN</v>
      </c>
      <c r="E28173" s="38" t="s">
        <v>109</v>
      </c>
      <c r="F28173" s="38" t="s">
        <v>86</v>
      </c>
      <c r="G28173" s="49" t="str">
        <f t="shared" si="1"/>
        <v>62240</v>
      </c>
      <c r="H28173" s="49">
        <f t="shared" si="2"/>
        <v>62530</v>
      </c>
    </row>
    <row r="28174">
      <c r="A28174" s="48" t="s">
        <v>2993</v>
      </c>
      <c r="B28174" s="38">
        <v>66177.0</v>
      </c>
      <c r="C28174" s="38" t="s">
        <v>32626</v>
      </c>
      <c r="D28174" s="38" t="str">
        <f>IFERROR(__xludf.DUMMYFUNCTION("REGEXREPLACE(C28174,""-\d+(.*)|--\d+(.*)"","""")"),"SAINT-JEAN-LASSEILLE")</f>
        <v>SAINT-JEAN-LASSEILLE</v>
      </c>
      <c r="E28174" s="38" t="s">
        <v>248</v>
      </c>
      <c r="F28174" s="38" t="s">
        <v>119</v>
      </c>
      <c r="G28174" s="49" t="str">
        <f t="shared" si="1"/>
        <v>66300</v>
      </c>
      <c r="H28174" s="49">
        <f t="shared" si="2"/>
        <v>66177</v>
      </c>
    </row>
    <row r="28175">
      <c r="A28175" s="48" t="s">
        <v>9946</v>
      </c>
      <c r="B28175" s="38">
        <v>15095.0</v>
      </c>
      <c r="C28175" s="38" t="s">
        <v>32627</v>
      </c>
      <c r="D28175" s="38" t="str">
        <f>IFERROR(__xludf.DUMMYFUNCTION("REGEXREPLACE(C28175,""-\d+(.*)|--\d+(.*)"","""")"),"LAROQUEVIEILLE")</f>
        <v>LAROQUEVIEILLE</v>
      </c>
      <c r="E28175" s="38" t="s">
        <v>632</v>
      </c>
      <c r="F28175" s="38" t="s">
        <v>161</v>
      </c>
      <c r="G28175" s="49" t="str">
        <f t="shared" si="1"/>
        <v>15250</v>
      </c>
      <c r="H28175" s="49">
        <f t="shared" si="2"/>
        <v>15095</v>
      </c>
    </row>
    <row r="28176">
      <c r="A28176" s="48" t="s">
        <v>2259</v>
      </c>
      <c r="B28176" s="38">
        <v>22126.0</v>
      </c>
      <c r="C28176" s="38" t="s">
        <v>32628</v>
      </c>
      <c r="D28176" s="38" t="str">
        <f>IFERROR(__xludf.DUMMYFUNCTION("REGEXREPLACE(C28176,""-\d+(.*)|--\d+(.*)"","""")"),"LE LESLAY")</f>
        <v>LE LESLAY</v>
      </c>
      <c r="E28176" s="38" t="s">
        <v>89</v>
      </c>
      <c r="F28176" s="38" t="s">
        <v>90</v>
      </c>
      <c r="G28176" s="49" t="str">
        <f t="shared" si="1"/>
        <v>22800</v>
      </c>
      <c r="H28176" s="49">
        <f t="shared" si="2"/>
        <v>22126</v>
      </c>
    </row>
    <row r="28177">
      <c r="A28177" s="48" t="s">
        <v>8173</v>
      </c>
      <c r="B28177" s="38">
        <v>15105.0</v>
      </c>
      <c r="C28177" s="38" t="s">
        <v>32629</v>
      </c>
      <c r="D28177" s="38" t="str">
        <f>IFERROR(__xludf.DUMMYFUNCTION("REGEXREPLACE(C28177,""-\d+(.*)|--\d+(.*)"","""")"),"LEYVAUX")</f>
        <v>LEYVAUX</v>
      </c>
      <c r="E28177" s="38" t="s">
        <v>632</v>
      </c>
      <c r="F28177" s="38" t="s">
        <v>161</v>
      </c>
      <c r="G28177" s="49" t="str">
        <f t="shared" si="1"/>
        <v>43450</v>
      </c>
      <c r="H28177" s="49">
        <f t="shared" si="2"/>
        <v>15105</v>
      </c>
    </row>
    <row r="28178">
      <c r="A28178" s="48" t="s">
        <v>1243</v>
      </c>
      <c r="B28178" s="38">
        <v>15249.0</v>
      </c>
      <c r="C28178" s="38" t="s">
        <v>32630</v>
      </c>
      <c r="D28178" s="38" t="str">
        <f>IFERROR(__xludf.DUMMYFUNCTION("REGEXREPLACE(C28178,""-\d+(.*)|--\d+(.*)"","""")"),"LE VAULMIER")</f>
        <v>LE VAULMIER</v>
      </c>
      <c r="E28178" s="38" t="s">
        <v>632</v>
      </c>
      <c r="F28178" s="38" t="s">
        <v>161</v>
      </c>
      <c r="G28178" s="49" t="str">
        <f t="shared" si="1"/>
        <v>15380</v>
      </c>
      <c r="H28178" s="49">
        <f t="shared" si="2"/>
        <v>15249</v>
      </c>
    </row>
    <row r="28179">
      <c r="A28179" s="48" t="s">
        <v>22635</v>
      </c>
      <c r="B28179" s="38">
        <v>56043.0</v>
      </c>
      <c r="C28179" s="38" t="s">
        <v>32631</v>
      </c>
      <c r="D28179" s="38" t="str">
        <f>IFERROR(__xludf.DUMMYFUNCTION("REGEXREPLACE(C28179,""-\d+(.*)|--\d+(.*)"","""")"),"CONCORET")</f>
        <v>CONCORET</v>
      </c>
      <c r="E28179" s="38" t="s">
        <v>173</v>
      </c>
      <c r="F28179" s="38" t="s">
        <v>90</v>
      </c>
      <c r="G28179" s="49" t="str">
        <f t="shared" si="1"/>
        <v>56430</v>
      </c>
      <c r="H28179" s="49">
        <f t="shared" si="2"/>
        <v>56043</v>
      </c>
    </row>
    <row r="28180">
      <c r="A28180" s="48" t="s">
        <v>17834</v>
      </c>
      <c r="B28180" s="38">
        <v>83020.0</v>
      </c>
      <c r="C28180" s="38" t="s">
        <v>32632</v>
      </c>
      <c r="D28180" s="38" t="str">
        <f>IFERROR(__xludf.DUMMYFUNCTION("REGEXREPLACE(C28180,""-\d+(.*)|--\d+(.*)"","""")"),"LE BOURGUET")</f>
        <v>LE BOURGUET</v>
      </c>
      <c r="E28180" s="38" t="s">
        <v>813</v>
      </c>
      <c r="F28180" s="38" t="s">
        <v>228</v>
      </c>
      <c r="G28180" s="49" t="str">
        <f t="shared" si="1"/>
        <v>83840</v>
      </c>
      <c r="H28180" s="49">
        <f t="shared" si="2"/>
        <v>83020</v>
      </c>
    </row>
    <row r="28181">
      <c r="A28181" s="48" t="s">
        <v>1022</v>
      </c>
      <c r="B28181" s="38">
        <v>2035.0</v>
      </c>
      <c r="C28181" s="38" t="s">
        <v>32633</v>
      </c>
      <c r="D28181" s="38" t="str">
        <f>IFERROR(__xludf.DUMMYFUNCTION("REGEXREPLACE(C28181,""-\d+(.*)|--\d+(.*)"","""")"),"AUDIGNY")</f>
        <v>AUDIGNY</v>
      </c>
      <c r="E28181" s="38" t="s">
        <v>191</v>
      </c>
      <c r="F28181" s="38" t="s">
        <v>113</v>
      </c>
      <c r="G28181" s="49" t="str">
        <f t="shared" si="1"/>
        <v>02120</v>
      </c>
      <c r="H28181" s="49" t="str">
        <f t="shared" si="2"/>
        <v>02035</v>
      </c>
    </row>
    <row r="28182">
      <c r="A28182" s="48" t="s">
        <v>3190</v>
      </c>
      <c r="B28182" s="38">
        <v>70440.0</v>
      </c>
      <c r="C28182" s="38" t="s">
        <v>32634</v>
      </c>
      <c r="D28182" s="38" t="str">
        <f>IFERROR(__xludf.DUMMYFUNCTION("REGEXREPLACE(C28182,""-\d+(.*)|--\d+(.*)"","""")"),"RECOLOGNE")</f>
        <v>RECOLOGNE</v>
      </c>
      <c r="E28182" s="38" t="s">
        <v>956</v>
      </c>
      <c r="F28182" s="38" t="s">
        <v>214</v>
      </c>
      <c r="G28182" s="49" t="str">
        <f t="shared" si="1"/>
        <v>70130</v>
      </c>
      <c r="H28182" s="49">
        <f t="shared" si="2"/>
        <v>70440</v>
      </c>
    </row>
    <row r="28183">
      <c r="A28183" s="48" t="s">
        <v>15152</v>
      </c>
      <c r="B28183" s="38">
        <v>67286.0</v>
      </c>
      <c r="C28183" s="38" t="s">
        <v>32635</v>
      </c>
      <c r="D28183" s="38" t="str">
        <f>IFERROR(__xludf.DUMMYFUNCTION("REGEXREPLACE(C28183,""-\d+(.*)|--\d+(.*)"","""")"),"MEISTRATZHEIM")</f>
        <v>MEISTRATZHEIM</v>
      </c>
      <c r="E28183" s="38" t="s">
        <v>210</v>
      </c>
      <c r="F28183" s="38" t="s">
        <v>151</v>
      </c>
      <c r="G28183" s="49" t="str">
        <f t="shared" si="1"/>
        <v>67210</v>
      </c>
      <c r="H28183" s="49">
        <f t="shared" si="2"/>
        <v>67286</v>
      </c>
    </row>
    <row r="28184">
      <c r="A28184" s="48" t="s">
        <v>32636</v>
      </c>
      <c r="B28184" s="38">
        <v>78138.0</v>
      </c>
      <c r="C28184" s="38" t="s">
        <v>32637</v>
      </c>
      <c r="D28184" s="38" t="str">
        <f>IFERROR(__xludf.DUMMYFUNCTION("REGEXREPLACE(C28184,""-\d+(.*)|--\d+(.*)"","""")"),"CHANTELOUP-LES-VIGNES")</f>
        <v>CHANTELOUP-LES-VIGNES</v>
      </c>
      <c r="E28184" s="38" t="s">
        <v>362</v>
      </c>
      <c r="F28184" s="38" t="s">
        <v>245</v>
      </c>
      <c r="G28184" s="49" t="str">
        <f t="shared" si="1"/>
        <v>78570</v>
      </c>
      <c r="H28184" s="49">
        <f t="shared" si="2"/>
        <v>78138</v>
      </c>
    </row>
    <row r="28185">
      <c r="A28185" s="48" t="s">
        <v>301</v>
      </c>
      <c r="B28185" s="38">
        <v>57036.0</v>
      </c>
      <c r="C28185" s="38" t="s">
        <v>32638</v>
      </c>
      <c r="D28185" s="38" t="str">
        <f>IFERROR(__xludf.DUMMYFUNCTION("REGEXREPLACE(C28185,""-\d+(.*)|--\d+(.*)"","""")"),"ATTILLONCOURT")</f>
        <v>ATTILLONCOURT</v>
      </c>
      <c r="E28185" s="38" t="s">
        <v>303</v>
      </c>
      <c r="F28185" s="38" t="s">
        <v>195</v>
      </c>
      <c r="G28185" s="49" t="str">
        <f t="shared" si="1"/>
        <v>57170</v>
      </c>
      <c r="H28185" s="49">
        <f t="shared" si="2"/>
        <v>57036</v>
      </c>
    </row>
    <row r="28186">
      <c r="A28186" s="48" t="s">
        <v>1137</v>
      </c>
      <c r="B28186" s="38">
        <v>60677.0</v>
      </c>
      <c r="C28186" s="38" t="s">
        <v>32639</v>
      </c>
      <c r="D28186" s="38" t="str">
        <f>IFERROR(__xludf.DUMMYFUNCTION("REGEXREPLACE(C28186,""-\d+(.*)|--\d+(.*)"","""")"),"VILLEMBRAY")</f>
        <v>VILLEMBRAY</v>
      </c>
      <c r="E28186" s="38" t="s">
        <v>112</v>
      </c>
      <c r="F28186" s="38" t="s">
        <v>113</v>
      </c>
      <c r="G28186" s="49" t="str">
        <f t="shared" si="1"/>
        <v>60650</v>
      </c>
      <c r="H28186" s="49">
        <f t="shared" si="2"/>
        <v>60677</v>
      </c>
    </row>
    <row r="28187">
      <c r="A28187" s="48" t="s">
        <v>9266</v>
      </c>
      <c r="B28187" s="38">
        <v>77339.0</v>
      </c>
      <c r="C28187" s="38" t="s">
        <v>32640</v>
      </c>
      <c r="D28187" s="38" t="str">
        <f>IFERROR(__xludf.DUMMYFUNCTION("REGEXREPLACE(C28187,""-\d+(.*)|--\d+(.*)"","""")"),"NOISY-SUR-ECOLE")</f>
        <v>NOISY-SUR-ECOLE</v>
      </c>
      <c r="E28187" s="38" t="s">
        <v>244</v>
      </c>
      <c r="F28187" s="38" t="s">
        <v>245</v>
      </c>
      <c r="G28187" s="49" t="str">
        <f t="shared" si="1"/>
        <v>77123</v>
      </c>
      <c r="H28187" s="49">
        <f t="shared" si="2"/>
        <v>77339</v>
      </c>
    </row>
    <row r="28188">
      <c r="A28188" s="48" t="s">
        <v>20346</v>
      </c>
      <c r="B28188" s="38">
        <v>22192.0</v>
      </c>
      <c r="C28188" s="38" t="s">
        <v>32641</v>
      </c>
      <c r="D28188" s="38" t="str">
        <f>IFERROR(__xludf.DUMMYFUNCTION("REGEXREPLACE(C28188,""-\d+(.*)|--\d+(.*)"","""")"),"PLESSIX-BALISSON")</f>
        <v>PLESSIX-BALISSON</v>
      </c>
      <c r="E28188" s="38" t="s">
        <v>89</v>
      </c>
      <c r="F28188" s="38" t="s">
        <v>90</v>
      </c>
      <c r="G28188" s="49" t="str">
        <f t="shared" si="1"/>
        <v>22650</v>
      </c>
      <c r="H28188" s="49">
        <f t="shared" si="2"/>
        <v>22192</v>
      </c>
    </row>
    <row r="28189">
      <c r="A28189" s="48" t="s">
        <v>222</v>
      </c>
      <c r="B28189" s="38">
        <v>80201.0</v>
      </c>
      <c r="C28189" s="38" t="s">
        <v>32642</v>
      </c>
      <c r="D28189" s="38" t="str">
        <f>IFERROR(__xludf.DUMMYFUNCTION("REGEXREPLACE(C28189,""-\d+(.*)|--\d+(.*)"","""")"),"COIGNEUX")</f>
        <v>COIGNEUX</v>
      </c>
      <c r="E28189" s="38" t="s">
        <v>224</v>
      </c>
      <c r="F28189" s="38" t="s">
        <v>113</v>
      </c>
      <c r="G28189" s="49" t="str">
        <f t="shared" si="1"/>
        <v>80560</v>
      </c>
      <c r="H28189" s="49">
        <f t="shared" si="2"/>
        <v>80201</v>
      </c>
    </row>
    <row r="28190">
      <c r="A28190" s="48" t="s">
        <v>198</v>
      </c>
      <c r="B28190" s="38">
        <v>65049.0</v>
      </c>
      <c r="C28190" s="38" t="s">
        <v>32643</v>
      </c>
      <c r="D28190" s="38" t="str">
        <f>IFERROR(__xludf.DUMMYFUNCTION("REGEXREPLACE(C28190,""-\d+(.*)|--\d+(.*)"","""")"),"AURIEBAT")</f>
        <v>AURIEBAT</v>
      </c>
      <c r="E28190" s="38" t="s">
        <v>200</v>
      </c>
      <c r="F28190" s="38" t="s">
        <v>94</v>
      </c>
      <c r="G28190" s="49" t="str">
        <f t="shared" si="1"/>
        <v>65700</v>
      </c>
      <c r="H28190" s="49">
        <f t="shared" si="2"/>
        <v>65049</v>
      </c>
    </row>
    <row r="28191">
      <c r="A28191" s="48" t="s">
        <v>32644</v>
      </c>
      <c r="B28191" s="38">
        <v>84038.0</v>
      </c>
      <c r="C28191" s="38" t="s">
        <v>32645</v>
      </c>
      <c r="D28191" s="38" t="str">
        <f>IFERROR(__xludf.DUMMYFUNCTION("REGEXREPLACE(C28191,""-\d+(.*)|--\d+(.*)"","""")"),"CHEVAL-BLANC")</f>
        <v>CHEVAL-BLANC</v>
      </c>
      <c r="E28191" s="38" t="s">
        <v>1026</v>
      </c>
      <c r="F28191" s="38" t="s">
        <v>228</v>
      </c>
      <c r="G28191" s="49" t="str">
        <f t="shared" si="1"/>
        <v>84460</v>
      </c>
      <c r="H28191" s="49">
        <f t="shared" si="2"/>
        <v>84038</v>
      </c>
    </row>
    <row r="28192">
      <c r="A28192" s="48" t="s">
        <v>7622</v>
      </c>
      <c r="B28192" s="38">
        <v>10049.0</v>
      </c>
      <c r="C28192" s="38" t="s">
        <v>32646</v>
      </c>
      <c r="D28192" s="38" t="str">
        <f>IFERROR(__xludf.DUMMYFUNCTION("REGEXREPLACE(C28192,""-\d+(.*)|--\d+(.*)"","""")"),"LES BORDES-AUMONT")</f>
        <v>LES BORDES-AUMONT</v>
      </c>
      <c r="E28192" s="38" t="s">
        <v>147</v>
      </c>
      <c r="F28192" s="38" t="s">
        <v>130</v>
      </c>
      <c r="G28192" s="49" t="str">
        <f t="shared" si="1"/>
        <v>10800</v>
      </c>
      <c r="H28192" s="49">
        <f t="shared" si="2"/>
        <v>10049</v>
      </c>
    </row>
    <row r="28193">
      <c r="A28193" s="48" t="s">
        <v>4054</v>
      </c>
      <c r="B28193" s="38">
        <v>88182.0</v>
      </c>
      <c r="C28193" s="38" t="s">
        <v>32647</v>
      </c>
      <c r="D28193" s="38" t="str">
        <f>IFERROR(__xludf.DUMMYFUNCTION("REGEXREPLACE(C28193,""-\d+(.*)|--\d+(.*)"","""")"),"FRAPELLE")</f>
        <v>FRAPELLE</v>
      </c>
      <c r="E28193" s="38" t="s">
        <v>194</v>
      </c>
      <c r="F28193" s="38" t="s">
        <v>195</v>
      </c>
      <c r="G28193" s="49" t="str">
        <f t="shared" si="1"/>
        <v>88490</v>
      </c>
      <c r="H28193" s="49">
        <f t="shared" si="2"/>
        <v>88182</v>
      </c>
    </row>
    <row r="28194">
      <c r="A28194" s="48" t="s">
        <v>7804</v>
      </c>
      <c r="B28194" s="38">
        <v>51353.0</v>
      </c>
      <c r="C28194" s="38" t="s">
        <v>32648</v>
      </c>
      <c r="D28194" s="38" t="str">
        <f>IFERROR(__xludf.DUMMYFUNCTION("REGEXREPLACE(C28194,""-\d+(.*)|--\d+(.*)"","""")"),"MARSANGIS")</f>
        <v>MARSANGIS</v>
      </c>
      <c r="E28194" s="38" t="s">
        <v>129</v>
      </c>
      <c r="F28194" s="38" t="s">
        <v>130</v>
      </c>
      <c r="G28194" s="49" t="str">
        <f t="shared" si="1"/>
        <v>51260</v>
      </c>
      <c r="H28194" s="49">
        <f t="shared" si="2"/>
        <v>51353</v>
      </c>
    </row>
    <row r="28195">
      <c r="A28195" s="48" t="s">
        <v>599</v>
      </c>
      <c r="B28195" s="38">
        <v>16102.0</v>
      </c>
      <c r="C28195" s="38" t="s">
        <v>32649</v>
      </c>
      <c r="D28195" s="38" t="str">
        <f>IFERROR(__xludf.DUMMYFUNCTION("REGEXREPLACE(C28195,""-\d+(.*)|--\d+(.*)"","""")"),"COGNAC")</f>
        <v>COGNAC</v>
      </c>
      <c r="E28195" s="38" t="s">
        <v>429</v>
      </c>
      <c r="F28195" s="38" t="s">
        <v>338</v>
      </c>
      <c r="G28195" s="49" t="str">
        <f t="shared" si="1"/>
        <v>16100</v>
      </c>
      <c r="H28195" s="49">
        <f t="shared" si="2"/>
        <v>16102</v>
      </c>
    </row>
    <row r="28196">
      <c r="A28196" s="48" t="s">
        <v>2159</v>
      </c>
      <c r="B28196" s="38">
        <v>57726.0</v>
      </c>
      <c r="C28196" s="38" t="s">
        <v>32650</v>
      </c>
      <c r="D28196" s="38" t="str">
        <f>IFERROR(__xludf.DUMMYFUNCTION("REGEXREPLACE(C28196,""-\d+(.*)|--\d+(.*)"","""")"),"VITTONCOURT")</f>
        <v>VITTONCOURT</v>
      </c>
      <c r="E28196" s="38" t="s">
        <v>303</v>
      </c>
      <c r="F28196" s="38" t="s">
        <v>195</v>
      </c>
      <c r="G28196" s="49" t="str">
        <f t="shared" si="1"/>
        <v>57580</v>
      </c>
      <c r="H28196" s="49">
        <f t="shared" si="2"/>
        <v>57726</v>
      </c>
    </row>
    <row r="28197">
      <c r="A28197" s="48" t="s">
        <v>1031</v>
      </c>
      <c r="B28197" s="38">
        <v>2497.0</v>
      </c>
      <c r="C28197" s="38" t="s">
        <v>32651</v>
      </c>
      <c r="D28197" s="38" t="str">
        <f>IFERROR(__xludf.DUMMYFUNCTION("REGEXREPLACE(C28197,""-\d+(.*)|--\d+(.*)"","""")"),"MONS-EN-LAONNOIS")</f>
        <v>MONS-EN-LAONNOIS</v>
      </c>
      <c r="E28197" s="38" t="s">
        <v>191</v>
      </c>
      <c r="F28197" s="38" t="s">
        <v>113</v>
      </c>
      <c r="G28197" s="49" t="str">
        <f t="shared" si="1"/>
        <v>02000</v>
      </c>
      <c r="H28197" s="49" t="str">
        <f t="shared" si="2"/>
        <v>02497</v>
      </c>
    </row>
    <row r="28198">
      <c r="A28198" s="48" t="s">
        <v>32652</v>
      </c>
      <c r="B28198" s="38">
        <v>13114.0</v>
      </c>
      <c r="C28198" s="38" t="s">
        <v>32653</v>
      </c>
      <c r="D28198" s="38" t="str">
        <f>IFERROR(__xludf.DUMMYFUNCTION("REGEXREPLACE(C28198,""-\d+(.*)|--\d+(.*)"","""")"),"VENTABREN")</f>
        <v>VENTABREN</v>
      </c>
      <c r="E28198" s="38" t="s">
        <v>980</v>
      </c>
      <c r="F28198" s="38" t="s">
        <v>228</v>
      </c>
      <c r="G28198" s="49" t="str">
        <f t="shared" si="1"/>
        <v>13122</v>
      </c>
      <c r="H28198" s="49">
        <f t="shared" si="2"/>
        <v>13114</v>
      </c>
    </row>
    <row r="28199">
      <c r="A28199" s="48" t="s">
        <v>181</v>
      </c>
      <c r="B28199" s="38">
        <v>51072.0</v>
      </c>
      <c r="C28199" s="38" t="s">
        <v>32654</v>
      </c>
      <c r="D28199" s="38" t="str">
        <f>IFERROR(__xludf.DUMMYFUNCTION("REGEXREPLACE(C28199,""-\d+(.*)|--\d+(.*)"","""")"),"BOUILLY")</f>
        <v>BOUILLY</v>
      </c>
      <c r="E28199" s="38" t="s">
        <v>129</v>
      </c>
      <c r="F28199" s="38" t="s">
        <v>130</v>
      </c>
      <c r="G28199" s="49" t="str">
        <f t="shared" si="1"/>
        <v>51390</v>
      </c>
      <c r="H28199" s="49">
        <f t="shared" si="2"/>
        <v>51072</v>
      </c>
    </row>
    <row r="28200">
      <c r="A28200" s="48" t="s">
        <v>1644</v>
      </c>
      <c r="B28200" s="38">
        <v>21143.0</v>
      </c>
      <c r="C28200" s="38" t="s">
        <v>32655</v>
      </c>
      <c r="D28200" s="38" t="str">
        <f>IFERROR(__xludf.DUMMYFUNCTION("REGEXREPLACE(C28200,""-\d+(.*)|--\d+(.*)"","""")"),"CHANNAY")</f>
        <v>CHANNAY</v>
      </c>
      <c r="E28200" s="38" t="s">
        <v>105</v>
      </c>
      <c r="F28200" s="38" t="s">
        <v>106</v>
      </c>
      <c r="G28200" s="49" t="str">
        <f t="shared" si="1"/>
        <v>21330</v>
      </c>
      <c r="H28200" s="49">
        <f t="shared" si="2"/>
        <v>21143</v>
      </c>
    </row>
    <row r="28201">
      <c r="A28201" s="48" t="s">
        <v>30929</v>
      </c>
      <c r="B28201" s="38">
        <v>52379.0</v>
      </c>
      <c r="C28201" s="38" t="s">
        <v>32656</v>
      </c>
      <c r="D28201" s="38" t="str">
        <f>IFERROR(__xludf.DUMMYFUNCTION("REGEXREPLACE(C28201,""-\d+(.*)|--\d+(.*)"","""")"),"PAUTAINES-AUGEVILLE")</f>
        <v>PAUTAINES-AUGEVILLE</v>
      </c>
      <c r="E28201" s="38" t="s">
        <v>234</v>
      </c>
      <c r="F28201" s="38" t="s">
        <v>130</v>
      </c>
      <c r="G28201" s="49" t="str">
        <f t="shared" si="1"/>
        <v>52270</v>
      </c>
      <c r="H28201" s="49">
        <f t="shared" si="2"/>
        <v>52379</v>
      </c>
    </row>
    <row r="28202">
      <c r="A28202" s="48" t="s">
        <v>505</v>
      </c>
      <c r="B28202" s="38">
        <v>12053.0</v>
      </c>
      <c r="C28202" s="38" t="s">
        <v>32657</v>
      </c>
      <c r="D28202" s="38" t="str">
        <f>IFERROR(__xludf.DUMMYFUNCTION("REGEXREPLACE(C28202,""-\d+(.*)|--\d+(.*)"","""")"),"LA CAPELLE-BALAGUIER")</f>
        <v>LA CAPELLE-BALAGUIER</v>
      </c>
      <c r="E28202" s="38" t="s">
        <v>465</v>
      </c>
      <c r="F28202" s="38" t="s">
        <v>94</v>
      </c>
      <c r="G28202" s="49" t="str">
        <f t="shared" si="1"/>
        <v>12260</v>
      </c>
      <c r="H28202" s="49">
        <f t="shared" si="2"/>
        <v>12053</v>
      </c>
    </row>
    <row r="28203">
      <c r="A28203" s="48" t="s">
        <v>8577</v>
      </c>
      <c r="B28203" s="38">
        <v>3280.0</v>
      </c>
      <c r="C28203" s="38" t="s">
        <v>32658</v>
      </c>
      <c r="D28203" s="38" t="str">
        <f>IFERROR(__xludf.DUMMYFUNCTION("REGEXREPLACE(C28203,""-\d+(.*)|--\d+(.*)"","""")"),"TERJAT")</f>
        <v>TERJAT</v>
      </c>
      <c r="E28203" s="38" t="s">
        <v>160</v>
      </c>
      <c r="F28203" s="38" t="s">
        <v>161</v>
      </c>
      <c r="G28203" s="49" t="str">
        <f t="shared" si="1"/>
        <v>03420</v>
      </c>
      <c r="H28203" s="49" t="str">
        <f t="shared" si="2"/>
        <v>03280</v>
      </c>
    </row>
    <row r="28204">
      <c r="A28204" s="48" t="s">
        <v>1964</v>
      </c>
      <c r="B28204" s="38">
        <v>26015.0</v>
      </c>
      <c r="C28204" s="38" t="s">
        <v>32659</v>
      </c>
      <c r="D28204" s="38" t="str">
        <f>IFERROR(__xludf.DUMMYFUNCTION("REGEXREPLACE(C28204,""-\d+(.*)|--\d+(.*)"","""")"),"AUBENASSON")</f>
        <v>AUBENASSON</v>
      </c>
      <c r="E28204" s="38" t="s">
        <v>126</v>
      </c>
      <c r="F28204" s="38" t="s">
        <v>102</v>
      </c>
      <c r="G28204" s="49" t="str">
        <f t="shared" si="1"/>
        <v>26340</v>
      </c>
      <c r="H28204" s="49">
        <f t="shared" si="2"/>
        <v>26015</v>
      </c>
    </row>
    <row r="28205">
      <c r="A28205" s="48" t="s">
        <v>5174</v>
      </c>
      <c r="B28205" s="38">
        <v>82086.0</v>
      </c>
      <c r="C28205" s="38" t="s">
        <v>32660</v>
      </c>
      <c r="D28205" s="38" t="str">
        <f>IFERROR(__xludf.DUMMYFUNCTION("REGEXREPLACE(C28205,""-\d+(.*)|--\d+(.*)"","""")"),"LAFITTE")</f>
        <v>LAFITTE</v>
      </c>
      <c r="E28205" s="38" t="s">
        <v>570</v>
      </c>
      <c r="F28205" s="38" t="s">
        <v>94</v>
      </c>
      <c r="G28205" s="49" t="str">
        <f t="shared" si="1"/>
        <v>82100</v>
      </c>
      <c r="H28205" s="49">
        <f t="shared" si="2"/>
        <v>82086</v>
      </c>
    </row>
    <row r="28206">
      <c r="A28206" s="48" t="s">
        <v>1108</v>
      </c>
      <c r="B28206" s="38">
        <v>27310.0</v>
      </c>
      <c r="C28206" s="38" t="s">
        <v>32661</v>
      </c>
      <c r="D28206" s="38" t="str">
        <f>IFERROR(__xludf.DUMMYFUNCTION("REGEXREPLACE(C28206,""-\d+(.*)|--\d+(.*)"","""")"),"HACQUEVILLE")</f>
        <v>HACQUEVILLE</v>
      </c>
      <c r="E28206" s="38" t="s">
        <v>241</v>
      </c>
      <c r="F28206" s="38" t="s">
        <v>134</v>
      </c>
      <c r="G28206" s="49" t="str">
        <f t="shared" si="1"/>
        <v>27150</v>
      </c>
      <c r="H28206" s="49">
        <f t="shared" si="2"/>
        <v>27310</v>
      </c>
    </row>
    <row r="28207">
      <c r="A28207" s="48" t="s">
        <v>637</v>
      </c>
      <c r="B28207" s="38">
        <v>1004.0</v>
      </c>
      <c r="C28207" s="38" t="s">
        <v>32662</v>
      </c>
      <c r="D28207" s="38" t="str">
        <f>IFERROR(__xludf.DUMMYFUNCTION("REGEXREPLACE(C28207,""-\d+(.*)|--\d+(.*)"","""")"),"AMBERIEU-EN-BUGEY")</f>
        <v>AMBERIEU-EN-BUGEY</v>
      </c>
      <c r="E28207" s="38" t="s">
        <v>255</v>
      </c>
      <c r="F28207" s="38" t="s">
        <v>102</v>
      </c>
      <c r="G28207" s="49" t="str">
        <f t="shared" si="1"/>
        <v>01500</v>
      </c>
      <c r="H28207" s="49" t="str">
        <f t="shared" si="2"/>
        <v>01004</v>
      </c>
    </row>
    <row r="28208">
      <c r="A28208" s="48" t="s">
        <v>639</v>
      </c>
      <c r="B28208" s="38">
        <v>16248.0</v>
      </c>
      <c r="C28208" s="38" t="s">
        <v>28150</v>
      </c>
      <c r="D28208" s="38" t="str">
        <f>IFERROR(__xludf.DUMMYFUNCTION("REGEXREPLACE(C28208,""-\d+(.*)|--\d+(.*)"","""")"),"ORADOUR")</f>
        <v>ORADOUR</v>
      </c>
      <c r="E28208" s="38" t="s">
        <v>429</v>
      </c>
      <c r="F28208" s="38" t="s">
        <v>338</v>
      </c>
      <c r="G28208" s="49" t="str">
        <f t="shared" si="1"/>
        <v>16140</v>
      </c>
      <c r="H28208" s="49">
        <f t="shared" si="2"/>
        <v>16248</v>
      </c>
    </row>
    <row r="28209">
      <c r="A28209" s="48" t="s">
        <v>10760</v>
      </c>
      <c r="B28209" s="38">
        <v>25615.0</v>
      </c>
      <c r="C28209" s="38" t="s">
        <v>32663</v>
      </c>
      <c r="D28209" s="38" t="str">
        <f>IFERROR(__xludf.DUMMYFUNCTION("REGEXREPLACE(C28209,""-\d+(.*)|--\d+(.*)"","""")"),"VILLARS-LES-BLAMONT")</f>
        <v>VILLARS-LES-BLAMONT</v>
      </c>
      <c r="E28209" s="38" t="s">
        <v>213</v>
      </c>
      <c r="F28209" s="38" t="s">
        <v>214</v>
      </c>
      <c r="G28209" s="49" t="str">
        <f t="shared" si="1"/>
        <v>25310</v>
      </c>
      <c r="H28209" s="49">
        <f t="shared" si="2"/>
        <v>25615</v>
      </c>
    </row>
    <row r="28210">
      <c r="A28210" s="48" t="s">
        <v>1903</v>
      </c>
      <c r="B28210" s="38">
        <v>10073.0</v>
      </c>
      <c r="C28210" s="38" t="s">
        <v>32664</v>
      </c>
      <c r="D28210" s="38" t="str">
        <f>IFERROR(__xludf.DUMMYFUNCTION("REGEXREPLACE(C28210,""-\d+(.*)|--\d+(.*)"","""")"),"CHALETTE-SUR-VOIRE")</f>
        <v>CHALETTE-SUR-VOIRE</v>
      </c>
      <c r="E28210" s="38" t="s">
        <v>147</v>
      </c>
      <c r="F28210" s="38" t="s">
        <v>130</v>
      </c>
      <c r="G28210" s="49" t="str">
        <f t="shared" si="1"/>
        <v>10500</v>
      </c>
      <c r="H28210" s="49">
        <f t="shared" si="2"/>
        <v>10073</v>
      </c>
    </row>
    <row r="28211">
      <c r="A28211" s="48" t="s">
        <v>32665</v>
      </c>
      <c r="B28211" s="38">
        <v>21337.0</v>
      </c>
      <c r="C28211" s="38" t="s">
        <v>32666</v>
      </c>
      <c r="D28211" s="38" t="str">
        <f>IFERROR(__xludf.DUMMYFUNCTION("REGEXREPLACE(C28211,""-\d+(.*)|--\d+(.*)"","""")"),"LAMARCHE-SUR-SAONE")</f>
        <v>LAMARCHE-SUR-SAONE</v>
      </c>
      <c r="E28211" s="38" t="s">
        <v>105</v>
      </c>
      <c r="F28211" s="38" t="s">
        <v>106</v>
      </c>
      <c r="G28211" s="49" t="str">
        <f t="shared" si="1"/>
        <v>21760</v>
      </c>
      <c r="H28211" s="49">
        <f t="shared" si="2"/>
        <v>21337</v>
      </c>
    </row>
    <row r="28212">
      <c r="A28212" s="48" t="s">
        <v>10179</v>
      </c>
      <c r="B28212" s="38">
        <v>8483.0</v>
      </c>
      <c r="C28212" s="38" t="s">
        <v>32667</v>
      </c>
      <c r="D28212" s="38" t="str">
        <f>IFERROR(__xludf.DUMMYFUNCTION("REGEXREPLACE(C28212,""-\d+(.*)|--\d+(.*)"","""")"),"VILLE-SUR-LUMES")</f>
        <v>VILLE-SUR-LUMES</v>
      </c>
      <c r="E28212" s="38" t="s">
        <v>327</v>
      </c>
      <c r="F28212" s="38" t="s">
        <v>130</v>
      </c>
      <c r="G28212" s="49" t="str">
        <f t="shared" si="1"/>
        <v>08440</v>
      </c>
      <c r="H28212" s="49" t="str">
        <f t="shared" si="2"/>
        <v>08483</v>
      </c>
    </row>
    <row r="28213">
      <c r="A28213" s="48" t="s">
        <v>4373</v>
      </c>
      <c r="B28213" s="38">
        <v>82109.0</v>
      </c>
      <c r="C28213" s="38" t="s">
        <v>32668</v>
      </c>
      <c r="D28213" s="38" t="str">
        <f>IFERROR(__xludf.DUMMYFUNCTION("REGEXREPLACE(C28213,""-\d+(.*)|--\d+(.*)"","""")"),"MERLES")</f>
        <v>MERLES</v>
      </c>
      <c r="E28213" s="38" t="s">
        <v>570</v>
      </c>
      <c r="F28213" s="38" t="s">
        <v>94</v>
      </c>
      <c r="G28213" s="49" t="str">
        <f t="shared" si="1"/>
        <v>82210</v>
      </c>
      <c r="H28213" s="49">
        <f t="shared" si="2"/>
        <v>82109</v>
      </c>
    </row>
    <row r="28214">
      <c r="A28214" s="48" t="s">
        <v>1014</v>
      </c>
      <c r="B28214" s="38">
        <v>11148.0</v>
      </c>
      <c r="C28214" s="38" t="s">
        <v>32669</v>
      </c>
      <c r="D28214" s="38" t="str">
        <f>IFERROR(__xludf.DUMMYFUNCTION("REGEXREPLACE(C28214,""-\d+(.*)|--\d+(.*)"","""")"),"FONTCOUVERTE")</f>
        <v>FONTCOUVERTE</v>
      </c>
      <c r="E28214" s="38" t="s">
        <v>278</v>
      </c>
      <c r="F28214" s="38" t="s">
        <v>119</v>
      </c>
      <c r="G28214" s="49" t="str">
        <f t="shared" si="1"/>
        <v>11700</v>
      </c>
      <c r="H28214" s="49">
        <f t="shared" si="2"/>
        <v>11148</v>
      </c>
    </row>
    <row r="28215">
      <c r="A28215" s="48" t="s">
        <v>16366</v>
      </c>
      <c r="B28215" s="38">
        <v>21308.0</v>
      </c>
      <c r="C28215" s="38" t="s">
        <v>11886</v>
      </c>
      <c r="D28215" s="38" t="str">
        <f>IFERROR(__xludf.DUMMYFUNCTION("REGEXREPLACE(C28215,""-\d+(.*)|--\d+(.*)"","""")"),"GRIGNON")</f>
        <v>GRIGNON</v>
      </c>
      <c r="E28215" s="38" t="s">
        <v>105</v>
      </c>
      <c r="F28215" s="38" t="s">
        <v>106</v>
      </c>
      <c r="G28215" s="49" t="str">
        <f t="shared" si="1"/>
        <v>21150</v>
      </c>
      <c r="H28215" s="49">
        <f t="shared" si="2"/>
        <v>21308</v>
      </c>
    </row>
    <row r="28216">
      <c r="A28216" s="48" t="s">
        <v>32670</v>
      </c>
      <c r="B28216" s="38">
        <v>29031.0</v>
      </c>
      <c r="C28216" s="38" t="s">
        <v>32671</v>
      </c>
      <c r="D28216" s="38" t="str">
        <f>IFERROR(__xludf.DUMMYFUNCTION("REGEXREPLACE(C28216,""-\d+(.*)|--\d+(.*)"","""")"),"CLOHARS-CARNOET")</f>
        <v>CLOHARS-CARNOET</v>
      </c>
      <c r="E28216" s="38" t="s">
        <v>176</v>
      </c>
      <c r="F28216" s="38" t="s">
        <v>90</v>
      </c>
      <c r="G28216" s="49" t="str">
        <f t="shared" si="1"/>
        <v>29360</v>
      </c>
      <c r="H28216" s="49">
        <f t="shared" si="2"/>
        <v>29031</v>
      </c>
    </row>
    <row r="28217">
      <c r="A28217" s="48" t="s">
        <v>413</v>
      </c>
      <c r="B28217" s="38">
        <v>35269.0</v>
      </c>
      <c r="C28217" s="38" t="s">
        <v>32672</v>
      </c>
      <c r="D28217" s="38" t="str">
        <f>IFERROR(__xludf.DUMMYFUNCTION("REGEXREPLACE(C28217,""-\d+(.*)|--\d+(.*)"","""")"),"SAINT-GEORGES-DE-CHESNE")</f>
        <v>SAINT-GEORGES-DE-CHESNE</v>
      </c>
      <c r="E28217" s="38" t="s">
        <v>347</v>
      </c>
      <c r="F28217" s="38" t="s">
        <v>90</v>
      </c>
      <c r="G28217" s="49" t="str">
        <f t="shared" si="1"/>
        <v>35140</v>
      </c>
      <c r="H28217" s="49">
        <f t="shared" si="2"/>
        <v>35269</v>
      </c>
    </row>
    <row r="28218">
      <c r="A28218" s="48" t="s">
        <v>2567</v>
      </c>
      <c r="B28218" s="38">
        <v>6042.0</v>
      </c>
      <c r="C28218" s="38" t="s">
        <v>8049</v>
      </c>
      <c r="D28218" s="38" t="str">
        <f>IFERROR(__xludf.DUMMYFUNCTION("REGEXREPLACE(C28218,""-\d+(.*)|--\d+(.*)"","""")"),"CLANS")</f>
        <v>CLANS</v>
      </c>
      <c r="E28218" s="38" t="s">
        <v>227</v>
      </c>
      <c r="F28218" s="38" t="s">
        <v>228</v>
      </c>
      <c r="G28218" s="49" t="str">
        <f t="shared" si="1"/>
        <v>06420</v>
      </c>
      <c r="H28218" s="49" t="str">
        <f t="shared" si="2"/>
        <v>06042</v>
      </c>
    </row>
    <row r="28219">
      <c r="A28219" s="48" t="s">
        <v>16541</v>
      </c>
      <c r="B28219" s="38">
        <v>71256.0</v>
      </c>
      <c r="C28219" s="38" t="s">
        <v>32673</v>
      </c>
      <c r="D28219" s="38" t="str">
        <f>IFERROR(__xludf.DUMMYFUNCTION("REGEXREPLACE(C28219,""-\d+(.*)|--\d+(.*)"","""")"),"LESSARD-EN-BRESSE")</f>
        <v>LESSARD-EN-BRESSE</v>
      </c>
      <c r="E28219" s="38" t="s">
        <v>344</v>
      </c>
      <c r="F28219" s="38" t="s">
        <v>106</v>
      </c>
      <c r="G28219" s="49" t="str">
        <f t="shared" si="1"/>
        <v>71440</v>
      </c>
      <c r="H28219" s="49">
        <f t="shared" si="2"/>
        <v>71256</v>
      </c>
    </row>
    <row r="28220">
      <c r="A28220" s="48" t="s">
        <v>1016</v>
      </c>
      <c r="B28220" s="38">
        <v>28203.0</v>
      </c>
      <c r="C28220" s="38" t="s">
        <v>32674</v>
      </c>
      <c r="D28220" s="38" t="str">
        <f>IFERROR(__xludf.DUMMYFUNCTION("REGEXREPLACE(C28220,""-\d+(.*)|--\d+(.*)"","""")"),"LANDELLES")</f>
        <v>LANDELLES</v>
      </c>
      <c r="E28220" s="38" t="s">
        <v>300</v>
      </c>
      <c r="F28220" s="38" t="s">
        <v>123</v>
      </c>
      <c r="G28220" s="49" t="str">
        <f t="shared" si="1"/>
        <v>28190</v>
      </c>
      <c r="H28220" s="49">
        <f t="shared" si="2"/>
        <v>28203</v>
      </c>
    </row>
    <row r="28221">
      <c r="A28221" s="48" t="s">
        <v>1302</v>
      </c>
      <c r="B28221" s="38">
        <v>38499.0</v>
      </c>
      <c r="C28221" s="38" t="s">
        <v>32675</v>
      </c>
      <c r="D28221" s="38" t="str">
        <f>IFERROR(__xludf.DUMMYFUNCTION("REGEXREPLACE(C28221,""-\d+(.*)|--\d+(.*)"","""")"),"SUSVILLE")</f>
        <v>SUSVILLE</v>
      </c>
      <c r="E28221" s="38" t="s">
        <v>101</v>
      </c>
      <c r="F28221" s="38" t="s">
        <v>102</v>
      </c>
      <c r="G28221" s="49" t="str">
        <f t="shared" si="1"/>
        <v>38350</v>
      </c>
      <c r="H28221" s="49">
        <f t="shared" si="2"/>
        <v>38499</v>
      </c>
    </row>
    <row r="28222">
      <c r="A28222" s="48" t="s">
        <v>2457</v>
      </c>
      <c r="B28222" s="38">
        <v>17114.0</v>
      </c>
      <c r="C28222" s="38" t="s">
        <v>32676</v>
      </c>
      <c r="D28222" s="38" t="str">
        <f>IFERROR(__xludf.DUMMYFUNCTION("REGEXREPLACE(C28222,""-\d+(.*)|--\d+(.*)"","""")"),"COIVERT")</f>
        <v>COIVERT</v>
      </c>
      <c r="E28222" s="38" t="s">
        <v>488</v>
      </c>
      <c r="F28222" s="38" t="s">
        <v>338</v>
      </c>
      <c r="G28222" s="49" t="str">
        <f t="shared" si="1"/>
        <v>17330</v>
      </c>
      <c r="H28222" s="49">
        <f t="shared" si="2"/>
        <v>17114</v>
      </c>
    </row>
    <row r="28223">
      <c r="A28223" s="48" t="s">
        <v>4504</v>
      </c>
      <c r="B28223" s="38">
        <v>40170.0</v>
      </c>
      <c r="C28223" s="38" t="s">
        <v>32677</v>
      </c>
      <c r="D28223" s="38" t="str">
        <f>IFERROR(__xludf.DUMMYFUNCTION("REGEXREPLACE(C28223,""-\d+(.*)|--\d+(.*)"","""")"),"MAILLERES")</f>
        <v>MAILLERES</v>
      </c>
      <c r="E28223" s="38" t="s">
        <v>281</v>
      </c>
      <c r="F28223" s="38" t="s">
        <v>252</v>
      </c>
      <c r="G28223" s="49" t="str">
        <f t="shared" si="1"/>
        <v>40120</v>
      </c>
      <c r="H28223" s="49">
        <f t="shared" si="2"/>
        <v>40170</v>
      </c>
    </row>
    <row r="28224">
      <c r="A28224" s="48" t="s">
        <v>9556</v>
      </c>
      <c r="B28224" s="38">
        <v>60205.0</v>
      </c>
      <c r="C28224" s="38" t="s">
        <v>32678</v>
      </c>
      <c r="D28224" s="38" t="str">
        <f>IFERROR(__xludf.DUMMYFUNCTION("REGEXREPLACE(C28224,""-\d+(.*)|--\d+(.*)"","""")"),"ELENCOURT")</f>
        <v>ELENCOURT</v>
      </c>
      <c r="E28224" s="38" t="s">
        <v>112</v>
      </c>
      <c r="F28224" s="38" t="s">
        <v>113</v>
      </c>
      <c r="G28224" s="49" t="str">
        <f t="shared" si="1"/>
        <v>60210</v>
      </c>
      <c r="H28224" s="49">
        <f t="shared" si="2"/>
        <v>60205</v>
      </c>
    </row>
    <row r="28225">
      <c r="A28225" s="48" t="s">
        <v>1825</v>
      </c>
      <c r="B28225" s="38">
        <v>64346.0</v>
      </c>
      <c r="C28225" s="38" t="s">
        <v>32679</v>
      </c>
      <c r="D28225" s="38" t="str">
        <f>IFERROR(__xludf.DUMMYFUNCTION("REGEXREPLACE(C28225,""-\d+(.*)|--\d+(.*)"","""")"),"LOMBIA")</f>
        <v>LOMBIA</v>
      </c>
      <c r="E28225" s="38" t="s">
        <v>268</v>
      </c>
      <c r="F28225" s="38" t="s">
        <v>252</v>
      </c>
      <c r="G28225" s="49" t="str">
        <f t="shared" si="1"/>
        <v>64160</v>
      </c>
      <c r="H28225" s="49">
        <f t="shared" si="2"/>
        <v>64346</v>
      </c>
    </row>
    <row r="28226">
      <c r="A28226" s="48" t="s">
        <v>7355</v>
      </c>
      <c r="B28226" s="38">
        <v>33305.0</v>
      </c>
      <c r="C28226" s="38" t="s">
        <v>32680</v>
      </c>
      <c r="D28226" s="38" t="str">
        <f>IFERROR(__xludf.DUMMYFUNCTION("REGEXREPLACE(C28226,""-\d+(.*)|--\d+(.*)"","""")"),"LE NIZAN")</f>
        <v>LE NIZAN</v>
      </c>
      <c r="E28226" s="38" t="s">
        <v>462</v>
      </c>
      <c r="F28226" s="38" t="s">
        <v>252</v>
      </c>
      <c r="G28226" s="49" t="str">
        <f t="shared" si="1"/>
        <v>33430</v>
      </c>
      <c r="H28226" s="49">
        <f t="shared" si="2"/>
        <v>33305</v>
      </c>
    </row>
    <row r="28227">
      <c r="A28227" s="48" t="s">
        <v>6701</v>
      </c>
      <c r="B28227" s="38">
        <v>77192.0</v>
      </c>
      <c r="C28227" s="38" t="s">
        <v>32681</v>
      </c>
      <c r="D28227" s="38" t="str">
        <f>IFERROR(__xludf.DUMMYFUNCTION("REGEXREPLACE(C28227,""-\d+(.*)|--\d+(.*)"","""")"),"FONTENAY-TRESIGNY")</f>
        <v>FONTENAY-TRESIGNY</v>
      </c>
      <c r="E28227" s="38" t="s">
        <v>244</v>
      </c>
      <c r="F28227" s="38" t="s">
        <v>245</v>
      </c>
      <c r="G28227" s="49" t="str">
        <f t="shared" si="1"/>
        <v>77610</v>
      </c>
      <c r="H28227" s="49">
        <f t="shared" si="2"/>
        <v>77192</v>
      </c>
    </row>
    <row r="28228">
      <c r="A28228" s="48" t="s">
        <v>3780</v>
      </c>
      <c r="B28228" s="38">
        <v>50320.0</v>
      </c>
      <c r="C28228" s="38" t="s">
        <v>32682</v>
      </c>
      <c r="D28228" s="38" t="str">
        <f>IFERROR(__xludf.DUMMYFUNCTION("REGEXREPLACE(C28228,""-\d+(.*)|--\d+(.*)"","""")"),"LE MESNIL-ROGUES")</f>
        <v>LE MESNIL-ROGUES</v>
      </c>
      <c r="E28228" s="38" t="s">
        <v>157</v>
      </c>
      <c r="F28228" s="38" t="s">
        <v>138</v>
      </c>
      <c r="G28228" s="49" t="str">
        <f t="shared" si="1"/>
        <v>50450</v>
      </c>
      <c r="H28228" s="49">
        <f t="shared" si="2"/>
        <v>50320</v>
      </c>
    </row>
    <row r="28229">
      <c r="A28229" s="48" t="s">
        <v>4779</v>
      </c>
      <c r="B28229" s="38">
        <v>28355.0</v>
      </c>
      <c r="C28229" s="38" t="s">
        <v>32683</v>
      </c>
      <c r="D28229" s="38" t="str">
        <f>IFERROR(__xludf.DUMMYFUNCTION("REGEXREPLACE(C28229,""-\d+(.*)|--\d+(.*)"","""")"),"SAINT-OUEN-MARCHEFROY")</f>
        <v>SAINT-OUEN-MARCHEFROY</v>
      </c>
      <c r="E28229" s="38" t="s">
        <v>300</v>
      </c>
      <c r="F28229" s="38" t="s">
        <v>123</v>
      </c>
      <c r="G28229" s="49" t="str">
        <f t="shared" si="1"/>
        <v>28260</v>
      </c>
      <c r="H28229" s="49">
        <f t="shared" si="2"/>
        <v>28355</v>
      </c>
    </row>
    <row r="28230">
      <c r="A28230" s="48" t="s">
        <v>4867</v>
      </c>
      <c r="B28230" s="38">
        <v>82129.0</v>
      </c>
      <c r="C28230" s="38" t="s">
        <v>5854</v>
      </c>
      <c r="D28230" s="38" t="str">
        <f>IFERROR(__xludf.DUMMYFUNCTION("REGEXREPLACE(C28230,""-\d+(.*)|--\d+(.*)"","""")"),"MONTGAILLARD")</f>
        <v>MONTGAILLARD</v>
      </c>
      <c r="E28230" s="38" t="s">
        <v>570</v>
      </c>
      <c r="F28230" s="38" t="s">
        <v>94</v>
      </c>
      <c r="G28230" s="49" t="str">
        <f t="shared" si="1"/>
        <v>82120</v>
      </c>
      <c r="H28230" s="49">
        <f t="shared" si="2"/>
        <v>82129</v>
      </c>
    </row>
    <row r="28231">
      <c r="A28231" s="48" t="s">
        <v>11131</v>
      </c>
      <c r="B28231" s="38">
        <v>53196.0</v>
      </c>
      <c r="C28231" s="38" t="s">
        <v>32684</v>
      </c>
      <c r="D28231" s="38" t="str">
        <f>IFERROR(__xludf.DUMMYFUNCTION("REGEXREPLACE(C28231,""-\d+(.*)|--\d+(.*)"","""")"),"SAINT-AIGNAN-DE-COUPTRAIN")</f>
        <v>SAINT-AIGNAN-DE-COUPTRAIN</v>
      </c>
      <c r="E28231" s="38" t="s">
        <v>518</v>
      </c>
      <c r="F28231" s="38" t="s">
        <v>180</v>
      </c>
      <c r="G28231" s="49" t="str">
        <f t="shared" si="1"/>
        <v>53250</v>
      </c>
      <c r="H28231" s="49">
        <f t="shared" si="2"/>
        <v>53196</v>
      </c>
    </row>
    <row r="28232">
      <c r="A28232" s="48" t="s">
        <v>7777</v>
      </c>
      <c r="B28232" s="38">
        <v>54428.0</v>
      </c>
      <c r="C28232" s="38" t="s">
        <v>1129</v>
      </c>
      <c r="D28232" s="38" t="str">
        <f>IFERROR(__xludf.DUMMYFUNCTION("REGEXREPLACE(C28232,""-\d+(.*)|--\d+(.*)"","""")"),"PIERREPONT")</f>
        <v>PIERREPONT</v>
      </c>
      <c r="E28232" s="38" t="s">
        <v>548</v>
      </c>
      <c r="F28232" s="38" t="s">
        <v>195</v>
      </c>
      <c r="G28232" s="49" t="str">
        <f t="shared" si="1"/>
        <v>54620</v>
      </c>
      <c r="H28232" s="49">
        <f t="shared" si="2"/>
        <v>54428</v>
      </c>
    </row>
    <row r="28233">
      <c r="A28233" s="48" t="s">
        <v>323</v>
      </c>
      <c r="B28233" s="38">
        <v>52336.0</v>
      </c>
      <c r="C28233" s="38" t="s">
        <v>32685</v>
      </c>
      <c r="D28233" s="38" t="str">
        <f>IFERROR(__xludf.DUMMYFUNCTION("REGEXREPLACE(C28233,""-\d+(.*)|--\d+(.*)"","""")"),"MONTREUIL-SUR-BLAISE")</f>
        <v>MONTREUIL-SUR-BLAISE</v>
      </c>
      <c r="E28233" s="38" t="s">
        <v>234</v>
      </c>
      <c r="F28233" s="38" t="s">
        <v>130</v>
      </c>
      <c r="G28233" s="49" t="str">
        <f t="shared" si="1"/>
        <v>52130</v>
      </c>
      <c r="H28233" s="49">
        <f t="shared" si="2"/>
        <v>52336</v>
      </c>
    </row>
    <row r="28234">
      <c r="A28234" s="48" t="s">
        <v>2845</v>
      </c>
      <c r="B28234" s="38" t="s">
        <v>32686</v>
      </c>
      <c r="C28234" s="38" t="s">
        <v>32687</v>
      </c>
      <c r="D28234" s="38" t="str">
        <f>IFERROR(__xludf.DUMMYFUNCTION("REGEXREPLACE(C28234,""-\d+(.*)|--\d+(.*)"","""")"),"PIETRA-DI-VERDE")</f>
        <v>PIETRA-DI-VERDE</v>
      </c>
      <c r="E28234" s="38" t="s">
        <v>743</v>
      </c>
      <c r="F28234" s="38" t="s">
        <v>607</v>
      </c>
      <c r="G28234" s="49" t="str">
        <f t="shared" si="1"/>
        <v>20230</v>
      </c>
      <c r="H28234" s="49" t="str">
        <f t="shared" si="2"/>
        <v>2B225</v>
      </c>
    </row>
    <row r="28235">
      <c r="A28235" s="48" t="s">
        <v>1008</v>
      </c>
      <c r="B28235" s="38">
        <v>2635.0</v>
      </c>
      <c r="C28235" s="38" t="s">
        <v>32688</v>
      </c>
      <c r="D28235" s="38" t="str">
        <f>IFERROR(__xludf.DUMMYFUNCTION("REGEXREPLACE(C28235,""-\d+(.*)|--\d+(.*)"","""")"),"RAMICOURT")</f>
        <v>RAMICOURT</v>
      </c>
      <c r="E28235" s="38" t="s">
        <v>191</v>
      </c>
      <c r="F28235" s="38" t="s">
        <v>113</v>
      </c>
      <c r="G28235" s="49" t="str">
        <f t="shared" si="1"/>
        <v>02110</v>
      </c>
      <c r="H28235" s="49" t="str">
        <f t="shared" si="2"/>
        <v>02635</v>
      </c>
    </row>
    <row r="28236">
      <c r="A28236" s="48" t="s">
        <v>12567</v>
      </c>
      <c r="B28236" s="38">
        <v>48178.0</v>
      </c>
      <c r="C28236" s="38" t="s">
        <v>32689</v>
      </c>
      <c r="D28236" s="38" t="str">
        <f>IFERROR(__xludf.DUMMYFUNCTION("REGEXREPLACE(C28236,""-\d+(.*)|--\d+(.*)"","""")"),"SAINT-PRIVAT-DE-VALLONGUE")</f>
        <v>SAINT-PRIVAT-DE-VALLONGUE</v>
      </c>
      <c r="E28236" s="38" t="s">
        <v>154</v>
      </c>
      <c r="F28236" s="38" t="s">
        <v>119</v>
      </c>
      <c r="G28236" s="49" t="str">
        <f t="shared" si="1"/>
        <v>48240</v>
      </c>
      <c r="H28236" s="49">
        <f t="shared" si="2"/>
        <v>48178</v>
      </c>
    </row>
    <row r="28237">
      <c r="A28237" s="48" t="s">
        <v>4129</v>
      </c>
      <c r="B28237" s="38">
        <v>3002.0</v>
      </c>
      <c r="C28237" s="38" t="s">
        <v>32690</v>
      </c>
      <c r="D28237" s="38" t="str">
        <f>IFERROR(__xludf.DUMMYFUNCTION("REGEXREPLACE(C28237,""-\d+(.*)|--\d+(.*)"","""")"),"AGONGES")</f>
        <v>AGONGES</v>
      </c>
      <c r="E28237" s="38" t="s">
        <v>160</v>
      </c>
      <c r="F28237" s="38" t="s">
        <v>161</v>
      </c>
      <c r="G28237" s="49" t="str">
        <f t="shared" si="1"/>
        <v>03210</v>
      </c>
      <c r="H28237" s="49" t="str">
        <f t="shared" si="2"/>
        <v>03002</v>
      </c>
    </row>
    <row r="28238">
      <c r="A28238" s="48" t="s">
        <v>18155</v>
      </c>
      <c r="B28238" s="38">
        <v>47318.0</v>
      </c>
      <c r="C28238" s="38" t="s">
        <v>32691</v>
      </c>
      <c r="D28238" s="38" t="str">
        <f>IFERROR(__xludf.DUMMYFUNCTION("REGEXREPLACE(C28238,""-\d+(.*)|--\d+(.*)"","""")"),"VIANNE")</f>
        <v>VIANNE</v>
      </c>
      <c r="E28238" s="38" t="s">
        <v>251</v>
      </c>
      <c r="F28238" s="38" t="s">
        <v>252</v>
      </c>
      <c r="G28238" s="49" t="str">
        <f t="shared" si="1"/>
        <v>47230</v>
      </c>
      <c r="H28238" s="49">
        <f t="shared" si="2"/>
        <v>47318</v>
      </c>
    </row>
    <row r="28239">
      <c r="A28239" s="48" t="s">
        <v>639</v>
      </c>
      <c r="B28239" s="38">
        <v>16207.0</v>
      </c>
      <c r="C28239" s="38" t="s">
        <v>32692</v>
      </c>
      <c r="D28239" s="38" t="str">
        <f>IFERROR(__xludf.DUMMYFUNCTION("REGEXREPLACE(C28239,""-\d+(.*)|--\d+(.*)"","""")"),"MARCILLAC-LANVILLE")</f>
        <v>MARCILLAC-LANVILLE</v>
      </c>
      <c r="E28239" s="38" t="s">
        <v>429</v>
      </c>
      <c r="F28239" s="38" t="s">
        <v>338</v>
      </c>
      <c r="G28239" s="49" t="str">
        <f t="shared" si="1"/>
        <v>16140</v>
      </c>
      <c r="H28239" s="49">
        <f t="shared" si="2"/>
        <v>16207</v>
      </c>
    </row>
    <row r="28240">
      <c r="A28240" s="48" t="s">
        <v>1534</v>
      </c>
      <c r="B28240" s="38">
        <v>19201.0</v>
      </c>
      <c r="C28240" s="38" t="s">
        <v>32693</v>
      </c>
      <c r="D28240" s="38" t="str">
        <f>IFERROR(__xludf.DUMMYFUNCTION("REGEXREPLACE(C28240,""-\d+(.*)|--\d+(.*)"","""")"),"SAINT-EXUPERY-LES-ROCHES")</f>
        <v>SAINT-EXUPERY-LES-ROCHES</v>
      </c>
      <c r="E28240" s="38" t="s">
        <v>271</v>
      </c>
      <c r="F28240" s="38" t="s">
        <v>98</v>
      </c>
      <c r="G28240" s="49" t="str">
        <f t="shared" si="1"/>
        <v>19200</v>
      </c>
      <c r="H28240" s="49">
        <f t="shared" si="2"/>
        <v>19201</v>
      </c>
    </row>
    <row r="28241">
      <c r="A28241" s="48" t="s">
        <v>1203</v>
      </c>
      <c r="B28241" s="38">
        <v>17151.0</v>
      </c>
      <c r="C28241" s="38" t="s">
        <v>32694</v>
      </c>
      <c r="D28241" s="38" t="str">
        <f>IFERROR(__xludf.DUMMYFUNCTION("REGEXREPLACE(C28241,""-\d+(.*)|--\d+(.*)"","""")"),"L'EGUILLE")</f>
        <v>L'EGUILLE</v>
      </c>
      <c r="E28241" s="38" t="s">
        <v>488</v>
      </c>
      <c r="F28241" s="38" t="s">
        <v>338</v>
      </c>
      <c r="G28241" s="49" t="str">
        <f t="shared" si="1"/>
        <v>17600</v>
      </c>
      <c r="H28241" s="49">
        <f t="shared" si="2"/>
        <v>17151</v>
      </c>
    </row>
    <row r="28242">
      <c r="A28242" s="48" t="s">
        <v>1332</v>
      </c>
      <c r="B28242" s="38">
        <v>51255.0</v>
      </c>
      <c r="C28242" s="38" t="s">
        <v>32695</v>
      </c>
      <c r="D28242" s="38" t="str">
        <f>IFERROR(__xludf.DUMMYFUNCTION("REGEXREPLACE(C28242,""-\d+(.*)|--\d+(.*)"","""")"),"FONTAINE-EN-DORMOIS")</f>
        <v>FONTAINE-EN-DORMOIS</v>
      </c>
      <c r="E28242" s="38" t="s">
        <v>129</v>
      </c>
      <c r="F28242" s="38" t="s">
        <v>130</v>
      </c>
      <c r="G28242" s="49" t="str">
        <f t="shared" si="1"/>
        <v>51800</v>
      </c>
      <c r="H28242" s="49">
        <f t="shared" si="2"/>
        <v>51255</v>
      </c>
    </row>
    <row r="28243">
      <c r="A28243" s="48" t="s">
        <v>3853</v>
      </c>
      <c r="B28243" s="38">
        <v>71047.0</v>
      </c>
      <c r="C28243" s="38" t="s">
        <v>32696</v>
      </c>
      <c r="D28243" s="38" t="str">
        <f>IFERROR(__xludf.DUMMYFUNCTION("REGEXREPLACE(C28243,""-\d+(.*)|--\d+(.*)"","""")"),"BOURBON-LANCY")</f>
        <v>BOURBON-LANCY</v>
      </c>
      <c r="E28243" s="38" t="s">
        <v>344</v>
      </c>
      <c r="F28243" s="38" t="s">
        <v>106</v>
      </c>
      <c r="G28243" s="49" t="str">
        <f t="shared" si="1"/>
        <v>71140</v>
      </c>
      <c r="H28243" s="49">
        <f t="shared" si="2"/>
        <v>71047</v>
      </c>
    </row>
    <row r="28244">
      <c r="A28244" s="48" t="s">
        <v>1212</v>
      </c>
      <c r="B28244" s="38">
        <v>11140.0</v>
      </c>
      <c r="C28244" s="38" t="s">
        <v>32697</v>
      </c>
      <c r="D28244" s="38" t="str">
        <f>IFERROR(__xludf.DUMMYFUNCTION("REGEXREPLACE(C28244,""-\d+(.*)|--\d+(.*)"","""")"),"FERRALS-LES-CORBIERES")</f>
        <v>FERRALS-LES-CORBIERES</v>
      </c>
      <c r="E28244" s="38" t="s">
        <v>278</v>
      </c>
      <c r="F28244" s="38" t="s">
        <v>119</v>
      </c>
      <c r="G28244" s="49" t="str">
        <f t="shared" si="1"/>
        <v>11200</v>
      </c>
      <c r="H28244" s="49">
        <f t="shared" si="2"/>
        <v>11140</v>
      </c>
    </row>
    <row r="28245">
      <c r="A28245" s="48" t="s">
        <v>16965</v>
      </c>
      <c r="B28245" s="38">
        <v>24068.0</v>
      </c>
      <c r="C28245" s="38" t="s">
        <v>32698</v>
      </c>
      <c r="D28245" s="38" t="str">
        <f>IFERROR(__xludf.DUMMYFUNCTION("REGEXREPLACE(C28245,""-\d+(.*)|--\d+(.*)"","""")"),"LE BUISSON-DE-CADOUIN")</f>
        <v>LE BUISSON-DE-CADOUIN</v>
      </c>
      <c r="E28245" s="38" t="s">
        <v>261</v>
      </c>
      <c r="F28245" s="38" t="s">
        <v>252</v>
      </c>
      <c r="G28245" s="49" t="str">
        <f t="shared" si="1"/>
        <v>24480</v>
      </c>
      <c r="H28245" s="49">
        <f t="shared" si="2"/>
        <v>24068</v>
      </c>
    </row>
    <row r="28246">
      <c r="A28246" s="48" t="s">
        <v>7598</v>
      </c>
      <c r="B28246" s="38">
        <v>32212.0</v>
      </c>
      <c r="C28246" s="38" t="s">
        <v>32699</v>
      </c>
      <c r="D28246" s="38" t="str">
        <f>IFERROR(__xludf.DUMMYFUNCTION("REGEXREPLACE(C28246,""-\d+(.*)|--\d+(.*)"","""")"),"LIGARDES")</f>
        <v>LIGARDES</v>
      </c>
      <c r="E28246" s="38" t="s">
        <v>440</v>
      </c>
      <c r="F28246" s="38" t="s">
        <v>94</v>
      </c>
      <c r="G28246" s="49" t="str">
        <f t="shared" si="1"/>
        <v>32480</v>
      </c>
      <c r="H28246" s="49">
        <f t="shared" si="2"/>
        <v>32212</v>
      </c>
    </row>
    <row r="28247">
      <c r="A28247" s="48" t="s">
        <v>2130</v>
      </c>
      <c r="B28247" s="38">
        <v>62466.0</v>
      </c>
      <c r="C28247" s="38" t="s">
        <v>32700</v>
      </c>
      <c r="D28247" s="38" t="str">
        <f>IFERROR(__xludf.DUMMYFUNCTION("REGEXREPLACE(C28247,""-\d+(.*)|--\d+(.*)"","""")"),"HUMBERT")</f>
        <v>HUMBERT</v>
      </c>
      <c r="E28247" s="38" t="s">
        <v>109</v>
      </c>
      <c r="F28247" s="38" t="s">
        <v>86</v>
      </c>
      <c r="G28247" s="49" t="str">
        <f t="shared" si="1"/>
        <v>62650</v>
      </c>
      <c r="H28247" s="49">
        <f t="shared" si="2"/>
        <v>62466</v>
      </c>
    </row>
    <row r="28248">
      <c r="A28248" s="48" t="s">
        <v>9152</v>
      </c>
      <c r="B28248" s="38">
        <v>37049.0</v>
      </c>
      <c r="C28248" s="38" t="s">
        <v>32701</v>
      </c>
      <c r="D28248" s="38" t="str">
        <f>IFERROR(__xludf.DUMMYFUNCTION("REGEXREPLACE(C28248,""-\d+(.*)|--\d+(.*)"","""")"),"CHAMBOURG-SUR-INDRE")</f>
        <v>CHAMBOURG-SUR-INDRE</v>
      </c>
      <c r="E28248" s="38" t="s">
        <v>205</v>
      </c>
      <c r="F28248" s="38" t="s">
        <v>123</v>
      </c>
      <c r="G28248" s="49" t="str">
        <f t="shared" si="1"/>
        <v>37310</v>
      </c>
      <c r="H28248" s="49">
        <f t="shared" si="2"/>
        <v>37049</v>
      </c>
    </row>
    <row r="28249">
      <c r="A28249" s="48" t="s">
        <v>8587</v>
      </c>
      <c r="B28249" s="38">
        <v>66197.0</v>
      </c>
      <c r="C28249" s="38" t="s">
        <v>32702</v>
      </c>
      <c r="D28249" s="38" t="str">
        <f>IFERROR(__xludf.DUMMYFUNCTION("REGEXREPLACE(C28249,""-\d+(.*)|--\d+(.*)"","""")"),"SOUANYAS")</f>
        <v>SOUANYAS</v>
      </c>
      <c r="E28249" s="38" t="s">
        <v>248</v>
      </c>
      <c r="F28249" s="38" t="s">
        <v>119</v>
      </c>
      <c r="G28249" s="49" t="str">
        <f t="shared" si="1"/>
        <v>66360</v>
      </c>
      <c r="H28249" s="49">
        <f t="shared" si="2"/>
        <v>66197</v>
      </c>
    </row>
    <row r="28250">
      <c r="A28250" s="48" t="s">
        <v>551</v>
      </c>
      <c r="B28250" s="38">
        <v>66120.0</v>
      </c>
      <c r="C28250" s="38" t="s">
        <v>32703</v>
      </c>
      <c r="D28250" s="38" t="str">
        <f>IFERROR(__xludf.DUMMYFUNCTION("REGEXREPLACE(C28250,""-\d+(.*)|--\d+(.*)"","""")"),"NAHUJA")</f>
        <v>NAHUJA</v>
      </c>
      <c r="E28250" s="38" t="s">
        <v>248</v>
      </c>
      <c r="F28250" s="38" t="s">
        <v>119</v>
      </c>
      <c r="G28250" s="49" t="str">
        <f t="shared" si="1"/>
        <v>66340</v>
      </c>
      <c r="H28250" s="49">
        <f t="shared" si="2"/>
        <v>66120</v>
      </c>
    </row>
    <row r="28251">
      <c r="A28251" s="48" t="s">
        <v>744</v>
      </c>
      <c r="B28251" s="38">
        <v>14084.0</v>
      </c>
      <c r="C28251" s="38" t="s">
        <v>32704</v>
      </c>
      <c r="D28251" s="38" t="str">
        <f>IFERROR(__xludf.DUMMYFUNCTION("REGEXREPLACE(C28251,""-\d+(.*)|--\d+(.*)"","""")"),"BONNEMAISON")</f>
        <v>BONNEMAISON</v>
      </c>
      <c r="E28251" s="38" t="s">
        <v>137</v>
      </c>
      <c r="F28251" s="38" t="s">
        <v>138</v>
      </c>
      <c r="G28251" s="49" t="str">
        <f t="shared" si="1"/>
        <v>14260</v>
      </c>
      <c r="H28251" s="49">
        <f t="shared" si="2"/>
        <v>14084</v>
      </c>
    </row>
    <row r="28252">
      <c r="A28252" s="48" t="s">
        <v>3945</v>
      </c>
      <c r="B28252" s="38">
        <v>34080.0</v>
      </c>
      <c r="C28252" s="38" t="s">
        <v>32705</v>
      </c>
      <c r="D28252" s="38" t="str">
        <f>IFERROR(__xludf.DUMMYFUNCTION("REGEXREPLACE(C28252,""-\d+(.*)|--\d+(.*)"","""")"),"COLOMBIERES-SUR-ORB")</f>
        <v>COLOMBIERES-SUR-ORB</v>
      </c>
      <c r="E28252" s="38" t="s">
        <v>118</v>
      </c>
      <c r="F28252" s="38" t="s">
        <v>119</v>
      </c>
      <c r="G28252" s="49" t="str">
        <f t="shared" si="1"/>
        <v>34390</v>
      </c>
      <c r="H28252" s="49">
        <f t="shared" si="2"/>
        <v>34080</v>
      </c>
    </row>
    <row r="28253">
      <c r="A28253" s="48" t="s">
        <v>1926</v>
      </c>
      <c r="B28253" s="38">
        <v>28059.0</v>
      </c>
      <c r="C28253" s="38" t="s">
        <v>32706</v>
      </c>
      <c r="D28253" s="38" t="str">
        <f>IFERROR(__xludf.DUMMYFUNCTION("REGEXREPLACE(C28253,""-\d+(.*)|--\d+(.*)"","""")"),"BREZOLLES")</f>
        <v>BREZOLLES</v>
      </c>
      <c r="E28253" s="38" t="s">
        <v>300</v>
      </c>
      <c r="F28253" s="38" t="s">
        <v>123</v>
      </c>
      <c r="G28253" s="49" t="str">
        <f t="shared" si="1"/>
        <v>28270</v>
      </c>
      <c r="H28253" s="49">
        <f t="shared" si="2"/>
        <v>28059</v>
      </c>
    </row>
    <row r="28254">
      <c r="A28254" s="48" t="s">
        <v>6945</v>
      </c>
      <c r="B28254" s="38">
        <v>80683.0</v>
      </c>
      <c r="C28254" s="38" t="s">
        <v>32707</v>
      </c>
      <c r="D28254" s="38" t="str">
        <f>IFERROR(__xludf.DUMMYFUNCTION("REGEXREPLACE(C28254,""-\d+(.*)|--\d+(.*)"","""")"),"ROUY-LE-GRAND")</f>
        <v>ROUY-LE-GRAND</v>
      </c>
      <c r="E28254" s="38" t="s">
        <v>224</v>
      </c>
      <c r="F28254" s="38" t="s">
        <v>113</v>
      </c>
      <c r="G28254" s="49" t="str">
        <f t="shared" si="1"/>
        <v>80190</v>
      </c>
      <c r="H28254" s="49">
        <f t="shared" si="2"/>
        <v>80683</v>
      </c>
    </row>
    <row r="28255">
      <c r="A28255" s="48" t="s">
        <v>9946</v>
      </c>
      <c r="B28255" s="38">
        <v>15083.0</v>
      </c>
      <c r="C28255" s="38" t="s">
        <v>32708</v>
      </c>
      <c r="D28255" s="38" t="str">
        <f>IFERROR(__xludf.DUMMYFUNCTION("REGEXREPLACE(C28255,""-\d+(.*)|--\d+(.*)"","""")"),"JUSSAC")</f>
        <v>JUSSAC</v>
      </c>
      <c r="E28255" s="38" t="s">
        <v>632</v>
      </c>
      <c r="F28255" s="38" t="s">
        <v>161</v>
      </c>
      <c r="G28255" s="49" t="str">
        <f t="shared" si="1"/>
        <v>15250</v>
      </c>
      <c r="H28255" s="49">
        <f t="shared" si="2"/>
        <v>15083</v>
      </c>
    </row>
    <row r="28256">
      <c r="A28256" s="48" t="s">
        <v>8327</v>
      </c>
      <c r="B28256" s="38">
        <v>71258.0</v>
      </c>
      <c r="C28256" s="38" t="s">
        <v>32709</v>
      </c>
      <c r="D28256" s="38" t="str">
        <f>IFERROR(__xludf.DUMMYFUNCTION("REGEXREPLACE(C28256,""-\d+(.*)|--\d+(.*)"","""")"),"LEYNES")</f>
        <v>LEYNES</v>
      </c>
      <c r="E28256" s="38" t="s">
        <v>344</v>
      </c>
      <c r="F28256" s="38" t="s">
        <v>106</v>
      </c>
      <c r="G28256" s="49" t="str">
        <f t="shared" si="1"/>
        <v>71570</v>
      </c>
      <c r="H28256" s="49">
        <f t="shared" si="2"/>
        <v>71258</v>
      </c>
    </row>
    <row r="28257">
      <c r="A28257" s="48" t="s">
        <v>7496</v>
      </c>
      <c r="B28257" s="38">
        <v>62892.0</v>
      </c>
      <c r="C28257" s="38" t="s">
        <v>32710</v>
      </c>
      <c r="D28257" s="38" t="str">
        <f>IFERROR(__xludf.DUMMYFUNCTION("REGEXREPLACE(C28257,""-\d+(.*)|--\d+(.*)"","""")"),"WILLERVAL")</f>
        <v>WILLERVAL</v>
      </c>
      <c r="E28257" s="38" t="s">
        <v>109</v>
      </c>
      <c r="F28257" s="38" t="s">
        <v>86</v>
      </c>
      <c r="G28257" s="49" t="str">
        <f t="shared" si="1"/>
        <v>62580</v>
      </c>
      <c r="H28257" s="49">
        <f t="shared" si="2"/>
        <v>62892</v>
      </c>
    </row>
    <row r="28258">
      <c r="A28258" s="48" t="s">
        <v>2368</v>
      </c>
      <c r="B28258" s="38">
        <v>65023.0</v>
      </c>
      <c r="C28258" s="38" t="s">
        <v>32711</v>
      </c>
      <c r="D28258" s="38" t="str">
        <f>IFERROR(__xludf.DUMMYFUNCTION("REGEXREPLACE(C28258,""-\d+(.*)|--\d+(.*)"","""")"),"ARDENGOST")</f>
        <v>ARDENGOST</v>
      </c>
      <c r="E28258" s="38" t="s">
        <v>200</v>
      </c>
      <c r="F28258" s="38" t="s">
        <v>94</v>
      </c>
      <c r="G28258" s="49" t="str">
        <f t="shared" si="1"/>
        <v>65240</v>
      </c>
      <c r="H28258" s="49">
        <f t="shared" si="2"/>
        <v>65023</v>
      </c>
    </row>
    <row r="28259">
      <c r="A28259" s="48" t="s">
        <v>7218</v>
      </c>
      <c r="B28259" s="38">
        <v>71370.0</v>
      </c>
      <c r="C28259" s="38" t="s">
        <v>32712</v>
      </c>
      <c r="D28259" s="38" t="str">
        <f>IFERROR(__xludf.DUMMYFUNCTION("REGEXREPLACE(C28259,""-\d+(.*)|--\d+(.*)"","""")"),"RIGNY-SUR-ARROUX")</f>
        <v>RIGNY-SUR-ARROUX</v>
      </c>
      <c r="E28259" s="38" t="s">
        <v>344</v>
      </c>
      <c r="F28259" s="38" t="s">
        <v>106</v>
      </c>
      <c r="G28259" s="49" t="str">
        <f t="shared" si="1"/>
        <v>71160</v>
      </c>
      <c r="H28259" s="49">
        <f t="shared" si="2"/>
        <v>71370</v>
      </c>
    </row>
    <row r="28260">
      <c r="A28260" s="48" t="s">
        <v>4661</v>
      </c>
      <c r="B28260" s="38">
        <v>62692.0</v>
      </c>
      <c r="C28260" s="38" t="s">
        <v>32713</v>
      </c>
      <c r="D28260" s="38" t="str">
        <f>IFERROR(__xludf.DUMMYFUNCTION("REGEXREPLACE(C28260,""-\d+(.*)|--\d+(.*)"","""")"),"REBERGUES")</f>
        <v>REBERGUES</v>
      </c>
      <c r="E28260" s="38" t="s">
        <v>109</v>
      </c>
      <c r="F28260" s="38" t="s">
        <v>86</v>
      </c>
      <c r="G28260" s="49" t="str">
        <f t="shared" si="1"/>
        <v>62850</v>
      </c>
      <c r="H28260" s="49">
        <f t="shared" si="2"/>
        <v>62692</v>
      </c>
    </row>
    <row r="28261">
      <c r="A28261" s="48" t="s">
        <v>9405</v>
      </c>
      <c r="B28261" s="38">
        <v>15208.0</v>
      </c>
      <c r="C28261" s="38" t="s">
        <v>32714</v>
      </c>
      <c r="D28261" s="38" t="str">
        <f>IFERROR(__xludf.DUMMYFUNCTION("REGEXREPLACE(C28261,""-\d+(.*)|--\d+(.*)"","""")"),"SAINT-PROJET-DE-SALERS")</f>
        <v>SAINT-PROJET-DE-SALERS</v>
      </c>
      <c r="E28261" s="38" t="s">
        <v>632</v>
      </c>
      <c r="F28261" s="38" t="s">
        <v>161</v>
      </c>
      <c r="G28261" s="49" t="str">
        <f t="shared" si="1"/>
        <v>15140</v>
      </c>
      <c r="H28261" s="49">
        <f t="shared" si="2"/>
        <v>15208</v>
      </c>
    </row>
    <row r="28262">
      <c r="A28262" s="48" t="s">
        <v>1278</v>
      </c>
      <c r="B28262" s="38">
        <v>83076.0</v>
      </c>
      <c r="C28262" s="38" t="s">
        <v>32715</v>
      </c>
      <c r="D28262" s="38" t="str">
        <f>IFERROR(__xludf.DUMMYFUNCTION("REGEXREPLACE(C28262,""-\d+(.*)|--\d+(.*)"","""")"),"MAZAUGUES")</f>
        <v>MAZAUGUES</v>
      </c>
      <c r="E28262" s="38" t="s">
        <v>813</v>
      </c>
      <c r="F28262" s="38" t="s">
        <v>228</v>
      </c>
      <c r="G28262" s="49" t="str">
        <f t="shared" si="1"/>
        <v>83136</v>
      </c>
      <c r="H28262" s="49">
        <f t="shared" si="2"/>
        <v>83076</v>
      </c>
    </row>
    <row r="28263">
      <c r="A28263" s="48" t="s">
        <v>3666</v>
      </c>
      <c r="B28263" s="38">
        <v>21642.0</v>
      </c>
      <c r="C28263" s="38" t="s">
        <v>32716</v>
      </c>
      <c r="D28263" s="38" t="str">
        <f>IFERROR(__xludf.DUMMYFUNCTION("REGEXREPLACE(C28263,""-\d+(.*)|--\d+(.*)"","""")"),"TOUTRY")</f>
        <v>TOUTRY</v>
      </c>
      <c r="E28263" s="38" t="s">
        <v>105</v>
      </c>
      <c r="F28263" s="38" t="s">
        <v>106</v>
      </c>
      <c r="G28263" s="49" t="str">
        <f t="shared" si="1"/>
        <v>21460</v>
      </c>
      <c r="H28263" s="49">
        <f t="shared" si="2"/>
        <v>21642</v>
      </c>
    </row>
    <row r="28264">
      <c r="A28264" s="48" t="s">
        <v>10778</v>
      </c>
      <c r="B28264" s="38">
        <v>21618.0</v>
      </c>
      <c r="C28264" s="38" t="s">
        <v>32717</v>
      </c>
      <c r="D28264" s="38" t="str">
        <f>IFERROR(__xludf.DUMMYFUNCTION("REGEXREPLACE(C28264,""-\d+(.*)|--\d+(.*)"","""")"),"TALMAY")</f>
        <v>TALMAY</v>
      </c>
      <c r="E28264" s="38" t="s">
        <v>105</v>
      </c>
      <c r="F28264" s="38" t="s">
        <v>106</v>
      </c>
      <c r="G28264" s="49" t="str">
        <f t="shared" si="1"/>
        <v>21270</v>
      </c>
      <c r="H28264" s="49">
        <f t="shared" si="2"/>
        <v>21618</v>
      </c>
    </row>
    <row r="28265">
      <c r="A28265" s="48" t="s">
        <v>1896</v>
      </c>
      <c r="B28265" s="38">
        <v>51152.0</v>
      </c>
      <c r="C28265" s="38" t="s">
        <v>32718</v>
      </c>
      <c r="D28265" s="38" t="str">
        <f>IFERROR(__xludf.DUMMYFUNCTION("REGEXREPLACE(C28265,""-\d+(.*)|--\d+(.*)"","""")"),"CHIGNY-LES-ROSES")</f>
        <v>CHIGNY-LES-ROSES</v>
      </c>
      <c r="E28265" s="38" t="s">
        <v>129</v>
      </c>
      <c r="F28265" s="38" t="s">
        <v>130</v>
      </c>
      <c r="G28265" s="49" t="str">
        <f t="shared" si="1"/>
        <v>51500</v>
      </c>
      <c r="H28265" s="49">
        <f t="shared" si="2"/>
        <v>51152</v>
      </c>
    </row>
    <row r="28266">
      <c r="A28266" s="48" t="s">
        <v>3973</v>
      </c>
      <c r="B28266" s="38">
        <v>33475.0</v>
      </c>
      <c r="C28266" s="38" t="s">
        <v>32719</v>
      </c>
      <c r="D28266" s="38" t="str">
        <f>IFERROR(__xludf.DUMMYFUNCTION("REGEXREPLACE(C28266,""-\d+(.*)|--\d+(.*)"","""")"),"SAINT-SEURIN-DE-BOURG")</f>
        <v>SAINT-SEURIN-DE-BOURG</v>
      </c>
      <c r="E28266" s="38" t="s">
        <v>462</v>
      </c>
      <c r="F28266" s="38" t="s">
        <v>252</v>
      </c>
      <c r="G28266" s="49" t="str">
        <f t="shared" si="1"/>
        <v>33710</v>
      </c>
      <c r="H28266" s="49">
        <f t="shared" si="2"/>
        <v>33475</v>
      </c>
    </row>
    <row r="28267">
      <c r="A28267" s="48" t="s">
        <v>1036</v>
      </c>
      <c r="B28267" s="38">
        <v>57141.0</v>
      </c>
      <c r="C28267" s="38" t="s">
        <v>32720</v>
      </c>
      <c r="D28267" s="38" t="str">
        <f>IFERROR(__xludf.DUMMYFUNCTION("REGEXREPLACE(C28267,""-\d+(.*)|--\d+(.*)"","""")"),"CHICOURT")</f>
        <v>CHICOURT</v>
      </c>
      <c r="E28267" s="38" t="s">
        <v>303</v>
      </c>
      <c r="F28267" s="38" t="s">
        <v>195</v>
      </c>
      <c r="G28267" s="49" t="str">
        <f t="shared" si="1"/>
        <v>57590</v>
      </c>
      <c r="H28267" s="49">
        <f t="shared" si="2"/>
        <v>57141</v>
      </c>
    </row>
    <row r="28268">
      <c r="A28268" s="48" t="s">
        <v>2077</v>
      </c>
      <c r="B28268" s="38">
        <v>8137.0</v>
      </c>
      <c r="C28268" s="38" t="s">
        <v>32721</v>
      </c>
      <c r="D28268" s="38" t="str">
        <f>IFERROR(__xludf.DUMMYFUNCTION("REGEXREPLACE(C28268,""-\d+(.*)|--\d+(.*)"","""")"),"DAMOUZY")</f>
        <v>DAMOUZY</v>
      </c>
      <c r="E28268" s="38" t="s">
        <v>327</v>
      </c>
      <c r="F28268" s="38" t="s">
        <v>130</v>
      </c>
      <c r="G28268" s="49" t="str">
        <f t="shared" si="1"/>
        <v>08090</v>
      </c>
      <c r="H28268" s="49" t="str">
        <f t="shared" si="2"/>
        <v>08137</v>
      </c>
    </row>
    <row r="28269">
      <c r="A28269" s="48" t="s">
        <v>12221</v>
      </c>
      <c r="B28269" s="38">
        <v>41134.0</v>
      </c>
      <c r="C28269" s="38" t="s">
        <v>32722</v>
      </c>
      <c r="D28269" s="38" t="str">
        <f>IFERROR(__xludf.DUMMYFUNCTION("REGEXREPLACE(C28269,""-\d+(.*)|--\d+(.*)"","""")"),"MENARS")</f>
        <v>MENARS</v>
      </c>
      <c r="E28269" s="38" t="s">
        <v>188</v>
      </c>
      <c r="F28269" s="38" t="s">
        <v>123</v>
      </c>
      <c r="G28269" s="49" t="str">
        <f t="shared" si="1"/>
        <v>41500</v>
      </c>
      <c r="H28269" s="49">
        <f t="shared" si="2"/>
        <v>41134</v>
      </c>
    </row>
    <row r="28270">
      <c r="A28270" s="48" t="s">
        <v>5589</v>
      </c>
      <c r="B28270" s="38">
        <v>29240.0</v>
      </c>
      <c r="C28270" s="38" t="s">
        <v>32723</v>
      </c>
      <c r="D28270" s="38" t="str">
        <f>IFERROR(__xludf.DUMMYFUNCTION("REGEXREPLACE(C28270,""-\d+(.*)|--\d+(.*)"","""")"),"ROSNOEN")</f>
        <v>ROSNOEN</v>
      </c>
      <c r="E28270" s="38" t="s">
        <v>176</v>
      </c>
      <c r="F28270" s="38" t="s">
        <v>90</v>
      </c>
      <c r="G28270" s="49" t="str">
        <f t="shared" si="1"/>
        <v>29590</v>
      </c>
      <c r="H28270" s="49">
        <f t="shared" si="2"/>
        <v>29240</v>
      </c>
    </row>
    <row r="28271">
      <c r="A28271" s="48" t="s">
        <v>24783</v>
      </c>
      <c r="B28271" s="38">
        <v>44007.0</v>
      </c>
      <c r="C28271" s="38" t="s">
        <v>32724</v>
      </c>
      <c r="D28271" s="38" t="str">
        <f>IFERROR(__xludf.DUMMYFUNCTION("REGEXREPLACE(C28271,""-\d+(.*)|--\d+(.*)"","""")"),"AVESSAC")</f>
        <v>AVESSAC</v>
      </c>
      <c r="E28271" s="38" t="s">
        <v>759</v>
      </c>
      <c r="F28271" s="38" t="s">
        <v>180</v>
      </c>
      <c r="G28271" s="49" t="str">
        <f t="shared" si="1"/>
        <v>44460</v>
      </c>
      <c r="H28271" s="49">
        <f t="shared" si="2"/>
        <v>44007</v>
      </c>
    </row>
    <row r="28272">
      <c r="A28272" s="48" t="s">
        <v>5438</v>
      </c>
      <c r="B28272" s="38">
        <v>81018.0</v>
      </c>
      <c r="C28272" s="38" t="s">
        <v>32725</v>
      </c>
      <c r="D28272" s="38" t="str">
        <f>IFERROR(__xludf.DUMMYFUNCTION("REGEXREPLACE(C28272,""-\d+(.*)|--\d+(.*)"","""")"),"ARTHES")</f>
        <v>ARTHES</v>
      </c>
      <c r="E28272" s="38" t="s">
        <v>231</v>
      </c>
      <c r="F28272" s="38" t="s">
        <v>94</v>
      </c>
      <c r="G28272" s="49" t="str">
        <f t="shared" si="1"/>
        <v>81160</v>
      </c>
      <c r="H28272" s="49">
        <f t="shared" si="2"/>
        <v>81018</v>
      </c>
    </row>
    <row r="28273">
      <c r="A28273" s="48" t="s">
        <v>7001</v>
      </c>
      <c r="B28273" s="38">
        <v>85174.0</v>
      </c>
      <c r="C28273" s="38" t="s">
        <v>32726</v>
      </c>
      <c r="D28273" s="38" t="str">
        <f>IFERROR(__xludf.DUMMYFUNCTION("REGEXREPLACE(C28273,""-\d+(.*)|--\d+(.*)"","""")"),"PETOSSE")</f>
        <v>PETOSSE</v>
      </c>
      <c r="E28273" s="38" t="s">
        <v>179</v>
      </c>
      <c r="F28273" s="38" t="s">
        <v>180</v>
      </c>
      <c r="G28273" s="49" t="str">
        <f t="shared" si="1"/>
        <v>85570</v>
      </c>
      <c r="H28273" s="49">
        <f t="shared" si="2"/>
        <v>85174</v>
      </c>
    </row>
    <row r="28274">
      <c r="A28274" s="48" t="s">
        <v>5273</v>
      </c>
      <c r="B28274" s="38">
        <v>53215.0</v>
      </c>
      <c r="C28274" s="38" t="s">
        <v>32727</v>
      </c>
      <c r="D28274" s="38" t="str">
        <f>IFERROR(__xludf.DUMMYFUNCTION("REGEXREPLACE(C28274,""-\d+(.*)|--\d+(.*)"","""")"),"SAINT-FORT")</f>
        <v>SAINT-FORT</v>
      </c>
      <c r="E28274" s="38" t="s">
        <v>518</v>
      </c>
      <c r="F28274" s="38" t="s">
        <v>180</v>
      </c>
      <c r="G28274" s="49" t="str">
        <f t="shared" si="1"/>
        <v>53200</v>
      </c>
      <c r="H28274" s="49">
        <f t="shared" si="2"/>
        <v>53215</v>
      </c>
    </row>
    <row r="28275">
      <c r="A28275" s="48" t="s">
        <v>11498</v>
      </c>
      <c r="B28275" s="38">
        <v>26301.0</v>
      </c>
      <c r="C28275" s="38" t="s">
        <v>32728</v>
      </c>
      <c r="D28275" s="38" t="str">
        <f>IFERROR(__xludf.DUMMYFUNCTION("REGEXREPLACE(C28275,""-\d+(.*)|--\d+(.*)"","""")"),"SAINT-DONAT-SUR-L'HERBASSE")</f>
        <v>SAINT-DONAT-SUR-L'HERBASSE</v>
      </c>
      <c r="E28275" s="38" t="s">
        <v>126</v>
      </c>
      <c r="F28275" s="38" t="s">
        <v>102</v>
      </c>
      <c r="G28275" s="49" t="str">
        <f t="shared" si="1"/>
        <v>26260</v>
      </c>
      <c r="H28275" s="49">
        <f t="shared" si="2"/>
        <v>26301</v>
      </c>
    </row>
    <row r="28276">
      <c r="A28276" s="48" t="s">
        <v>1611</v>
      </c>
      <c r="B28276" s="38">
        <v>51292.0</v>
      </c>
      <c r="C28276" s="38" t="s">
        <v>32729</v>
      </c>
      <c r="D28276" s="38" t="str">
        <f>IFERROR(__xludf.DUMMYFUNCTION("REGEXREPLACE(C28276,""-\d+(.*)|--\d+(.*)"","""")"),"HERPONT")</f>
        <v>HERPONT</v>
      </c>
      <c r="E28276" s="38" t="s">
        <v>129</v>
      </c>
      <c r="F28276" s="38" t="s">
        <v>130</v>
      </c>
      <c r="G28276" s="49" t="str">
        <f t="shared" si="1"/>
        <v>51460</v>
      </c>
      <c r="H28276" s="49">
        <f t="shared" si="2"/>
        <v>51292</v>
      </c>
    </row>
    <row r="28277">
      <c r="A28277" s="48" t="s">
        <v>32730</v>
      </c>
      <c r="B28277" s="38">
        <v>55043.0</v>
      </c>
      <c r="C28277" s="38" t="s">
        <v>32731</v>
      </c>
      <c r="D28277" s="38" t="str">
        <f>IFERROR(__xludf.DUMMYFUNCTION("REGEXREPLACE(C28277,""-\d+(.*)|--\d+(.*)"","""")"),"BELLEVILLE-SUR-MEUSE")</f>
        <v>BELLEVILLE-SUR-MEUSE</v>
      </c>
      <c r="E28277" s="38" t="s">
        <v>322</v>
      </c>
      <c r="F28277" s="38" t="s">
        <v>195</v>
      </c>
      <c r="G28277" s="49" t="str">
        <f t="shared" si="1"/>
        <v>55430</v>
      </c>
      <c r="H28277" s="49">
        <f t="shared" si="2"/>
        <v>55043</v>
      </c>
    </row>
    <row r="28278">
      <c r="A28278" s="48" t="s">
        <v>1866</v>
      </c>
      <c r="B28278" s="38">
        <v>61145.0</v>
      </c>
      <c r="C28278" s="38" t="s">
        <v>31982</v>
      </c>
      <c r="D28278" s="38" t="str">
        <f>IFERROR(__xludf.DUMMYFUNCTION("REGEXREPLACE(C28278,""-\d+(.*)|--\d+(.*)"","""")"),"DOMFRONT")</f>
        <v>DOMFRONT</v>
      </c>
      <c r="E28278" s="38" t="s">
        <v>141</v>
      </c>
      <c r="F28278" s="38" t="s">
        <v>138</v>
      </c>
      <c r="G28278" s="49" t="str">
        <f t="shared" si="1"/>
        <v>61700</v>
      </c>
      <c r="H28278" s="49">
        <f t="shared" si="2"/>
        <v>61145</v>
      </c>
    </row>
    <row r="28279">
      <c r="A28279" s="48" t="s">
        <v>1710</v>
      </c>
      <c r="B28279" s="38">
        <v>24172.0</v>
      </c>
      <c r="C28279" s="38" t="s">
        <v>32732</v>
      </c>
      <c r="D28279" s="38" t="str">
        <f>IFERROR(__xludf.DUMMYFUNCTION("REGEXREPLACE(C28279,""-\d+(.*)|--\d+(.*)"","""")"),"LES EYZIES-DE-TAYAC-SIREUIL")</f>
        <v>LES EYZIES-DE-TAYAC-SIREUIL</v>
      </c>
      <c r="E28279" s="38" t="s">
        <v>261</v>
      </c>
      <c r="F28279" s="38" t="s">
        <v>252</v>
      </c>
      <c r="G28279" s="49" t="str">
        <f t="shared" si="1"/>
        <v>24620</v>
      </c>
      <c r="H28279" s="49">
        <f t="shared" si="2"/>
        <v>24172</v>
      </c>
    </row>
    <row r="28280">
      <c r="A28280" s="48" t="s">
        <v>1000</v>
      </c>
      <c r="B28280" s="38">
        <v>70311.0</v>
      </c>
      <c r="C28280" s="38" t="s">
        <v>32733</v>
      </c>
      <c r="D28280" s="38" t="str">
        <f>IFERROR(__xludf.DUMMYFUNCTION("REGEXREPLACE(C28280,""-\d+(.*)|--\d+(.*)"","""")"),"LUXEUIL-LES-BAINS")</f>
        <v>LUXEUIL-LES-BAINS</v>
      </c>
      <c r="E28280" s="38" t="s">
        <v>956</v>
      </c>
      <c r="F28280" s="38" t="s">
        <v>214</v>
      </c>
      <c r="G28280" s="49" t="str">
        <f t="shared" si="1"/>
        <v>70300</v>
      </c>
      <c r="H28280" s="49">
        <f t="shared" si="2"/>
        <v>70311</v>
      </c>
    </row>
    <row r="28281">
      <c r="A28281" s="48" t="s">
        <v>30197</v>
      </c>
      <c r="B28281" s="38">
        <v>25188.0</v>
      </c>
      <c r="C28281" s="38" t="s">
        <v>32734</v>
      </c>
      <c r="D28281" s="38" t="str">
        <f>IFERROR(__xludf.DUMMYFUNCTION("REGEXREPLACE(C28281,""-\d+(.*)|--\d+(.*)"","""")"),"DAMBENOIS")</f>
        <v>DAMBENOIS</v>
      </c>
      <c r="E28281" s="38" t="s">
        <v>213</v>
      </c>
      <c r="F28281" s="38" t="s">
        <v>214</v>
      </c>
      <c r="G28281" s="49" t="str">
        <f t="shared" si="1"/>
        <v>25600</v>
      </c>
      <c r="H28281" s="49">
        <f t="shared" si="2"/>
        <v>25188</v>
      </c>
    </row>
    <row r="28282">
      <c r="A28282" s="48" t="s">
        <v>1695</v>
      </c>
      <c r="B28282" s="38">
        <v>80045.0</v>
      </c>
      <c r="C28282" s="38" t="s">
        <v>32735</v>
      </c>
      <c r="D28282" s="38" t="str">
        <f>IFERROR(__xludf.DUMMYFUNCTION("REGEXREPLACE(C28282,""-\d+(.*)|--\d+(.*)"","""")"),"AUTHUILLE")</f>
        <v>AUTHUILLE</v>
      </c>
      <c r="E28282" s="38" t="s">
        <v>224</v>
      </c>
      <c r="F28282" s="38" t="s">
        <v>113</v>
      </c>
      <c r="G28282" s="49" t="str">
        <f t="shared" si="1"/>
        <v>80300</v>
      </c>
      <c r="H28282" s="49">
        <f t="shared" si="2"/>
        <v>80045</v>
      </c>
    </row>
    <row r="28283">
      <c r="A28283" s="48" t="s">
        <v>9100</v>
      </c>
      <c r="B28283" s="38">
        <v>42043.0</v>
      </c>
      <c r="C28283" s="38" t="s">
        <v>23004</v>
      </c>
      <c r="D28283" s="38" t="str">
        <f>IFERROR(__xludf.DUMMYFUNCTION("REGEXREPLACE(C28283,""-\d+(.*)|--\d+(.*)"","""")"),"CHAMBOEUF")</f>
        <v>CHAMBOEUF</v>
      </c>
      <c r="E28283" s="38" t="s">
        <v>166</v>
      </c>
      <c r="F28283" s="38" t="s">
        <v>102</v>
      </c>
      <c r="G28283" s="49" t="str">
        <f t="shared" si="1"/>
        <v>42330</v>
      </c>
      <c r="H28283" s="49">
        <f t="shared" si="2"/>
        <v>42043</v>
      </c>
    </row>
    <row r="28284">
      <c r="A28284" s="48" t="s">
        <v>95</v>
      </c>
      <c r="B28284" s="38">
        <v>23062.0</v>
      </c>
      <c r="C28284" s="38" t="s">
        <v>14916</v>
      </c>
      <c r="D28284" s="38" t="str">
        <f>IFERROR(__xludf.DUMMYFUNCTION("REGEXREPLACE(C28284,""-\d+(.*)|--\d+(.*)"","""")"),"CHENIERS")</f>
        <v>CHENIERS</v>
      </c>
      <c r="E28284" s="38" t="s">
        <v>97</v>
      </c>
      <c r="F28284" s="38" t="s">
        <v>98</v>
      </c>
      <c r="G28284" s="49" t="str">
        <f t="shared" si="1"/>
        <v>23220</v>
      </c>
      <c r="H28284" s="49">
        <f t="shared" si="2"/>
        <v>23062</v>
      </c>
    </row>
    <row r="28285">
      <c r="A28285" s="48" t="s">
        <v>21123</v>
      </c>
      <c r="B28285" s="38">
        <v>81282.0</v>
      </c>
      <c r="C28285" s="38" t="s">
        <v>32736</v>
      </c>
      <c r="D28285" s="38" t="str">
        <f>IFERROR(__xludf.DUMMYFUNCTION("REGEXREPLACE(C28285,""-\d+(.*)|--\d+(.*)"","""")"),"SENAUX")</f>
        <v>SENAUX</v>
      </c>
      <c r="E28285" s="38" t="s">
        <v>231</v>
      </c>
      <c r="F28285" s="38" t="s">
        <v>94</v>
      </c>
      <c r="G28285" s="49" t="str">
        <f t="shared" si="1"/>
        <v>81530</v>
      </c>
      <c r="H28285" s="49">
        <f t="shared" si="2"/>
        <v>81282</v>
      </c>
    </row>
    <row r="28286">
      <c r="A28286" s="48" t="s">
        <v>7940</v>
      </c>
      <c r="B28286" s="38">
        <v>49169.0</v>
      </c>
      <c r="C28286" s="38" t="s">
        <v>32737</v>
      </c>
      <c r="D28286" s="38" t="str">
        <f>IFERROR(__xludf.DUMMYFUNCTION("REGEXREPLACE(C28286,""-\d+(.*)|--\d+(.*)"","""")"),"LA JUMELLIERE")</f>
        <v>LA JUMELLIERE</v>
      </c>
      <c r="E28286" s="38" t="s">
        <v>653</v>
      </c>
      <c r="F28286" s="38" t="s">
        <v>180</v>
      </c>
      <c r="G28286" s="49" t="str">
        <f t="shared" si="1"/>
        <v>49120</v>
      </c>
      <c r="H28286" s="49">
        <f t="shared" si="2"/>
        <v>49169</v>
      </c>
    </row>
    <row r="28287">
      <c r="A28287" s="48" t="s">
        <v>2156</v>
      </c>
      <c r="B28287" s="38">
        <v>26089.0</v>
      </c>
      <c r="C28287" s="38" t="s">
        <v>32738</v>
      </c>
      <c r="D28287" s="38" t="str">
        <f>IFERROR(__xludf.DUMMYFUNCTION("REGEXREPLACE(C28287,""-\d+(.*)|--\d+(.*)"","""")"),"CHAUDEBONNE")</f>
        <v>CHAUDEBONNE</v>
      </c>
      <c r="E28287" s="38" t="s">
        <v>126</v>
      </c>
      <c r="F28287" s="38" t="s">
        <v>102</v>
      </c>
      <c r="G28287" s="49" t="str">
        <f t="shared" si="1"/>
        <v>26110</v>
      </c>
      <c r="H28287" s="49">
        <f t="shared" si="2"/>
        <v>26089</v>
      </c>
    </row>
    <row r="28288">
      <c r="A28288" s="48" t="s">
        <v>16666</v>
      </c>
      <c r="B28288" s="38">
        <v>49242.0</v>
      </c>
      <c r="C28288" s="38" t="s">
        <v>32739</v>
      </c>
      <c r="D28288" s="38" t="str">
        <f>IFERROR(__xludf.DUMMYFUNCTION("REGEXREPLACE(C28288,""-\d+(.*)|--\d+(.*)"","""")"),"LE PLESSIS-MACE")</f>
        <v>LE PLESSIS-MACE</v>
      </c>
      <c r="E28288" s="38" t="s">
        <v>653</v>
      </c>
      <c r="F28288" s="38" t="s">
        <v>180</v>
      </c>
      <c r="G28288" s="49" t="str">
        <f t="shared" si="1"/>
        <v>49770</v>
      </c>
      <c r="H28288" s="49">
        <f t="shared" si="2"/>
        <v>49242</v>
      </c>
    </row>
    <row r="28289">
      <c r="A28289" s="48" t="s">
        <v>217</v>
      </c>
      <c r="B28289" s="38">
        <v>58174.0</v>
      </c>
      <c r="C28289" s="38" t="s">
        <v>32740</v>
      </c>
      <c r="D28289" s="38" t="str">
        <f>IFERROR(__xludf.DUMMYFUNCTION("REGEXREPLACE(C28289,""-\d+(.*)|--\d+(.*)"","""")"),"MONTENOISON")</f>
        <v>MONTENOISON</v>
      </c>
      <c r="E28289" s="38" t="s">
        <v>219</v>
      </c>
      <c r="F28289" s="38" t="s">
        <v>106</v>
      </c>
      <c r="G28289" s="49" t="str">
        <f t="shared" si="1"/>
        <v>58700</v>
      </c>
      <c r="H28289" s="49">
        <f t="shared" si="2"/>
        <v>58174</v>
      </c>
    </row>
    <row r="28290">
      <c r="A28290" s="48" t="s">
        <v>6334</v>
      </c>
      <c r="B28290" s="38">
        <v>43190.0</v>
      </c>
      <c r="C28290" s="38" t="s">
        <v>32741</v>
      </c>
      <c r="D28290" s="38" t="str">
        <f>IFERROR(__xludf.DUMMYFUNCTION("REGEXREPLACE(C28290,""-\d+(.*)|--\d+(.*)"","""")"),"SAINT-GERMAIN-LAPRADE")</f>
        <v>SAINT-GERMAIN-LAPRADE</v>
      </c>
      <c r="E28290" s="38" t="s">
        <v>332</v>
      </c>
      <c r="F28290" s="38" t="s">
        <v>161</v>
      </c>
      <c r="G28290" s="49" t="str">
        <f t="shared" si="1"/>
        <v>43700</v>
      </c>
      <c r="H28290" s="49">
        <f t="shared" si="2"/>
        <v>43190</v>
      </c>
    </row>
    <row r="28291">
      <c r="A28291" s="48" t="s">
        <v>3240</v>
      </c>
      <c r="B28291" s="38">
        <v>27665.0</v>
      </c>
      <c r="C28291" s="38" t="s">
        <v>32742</v>
      </c>
      <c r="D28291" s="38" t="str">
        <f>IFERROR(__xludf.DUMMYFUNCTION("REGEXREPLACE(C28291,""-\d+(.*)|--\d+(.*)"","""")"),"TROUVILLE-LA-HAULE")</f>
        <v>TROUVILLE-LA-HAULE</v>
      </c>
      <c r="E28291" s="38" t="s">
        <v>241</v>
      </c>
      <c r="F28291" s="38" t="s">
        <v>134</v>
      </c>
      <c r="G28291" s="49" t="str">
        <f t="shared" si="1"/>
        <v>27680</v>
      </c>
      <c r="H28291" s="49">
        <f t="shared" si="2"/>
        <v>27665</v>
      </c>
    </row>
    <row r="28292">
      <c r="A28292" s="48" t="s">
        <v>8393</v>
      </c>
      <c r="B28292" s="38">
        <v>80699.0</v>
      </c>
      <c r="C28292" s="38" t="s">
        <v>32743</v>
      </c>
      <c r="D28292" s="38" t="str">
        <f>IFERROR(__xludf.DUMMYFUNCTION("REGEXREPLACE(C28292,""-\d+(.*)|--\d+(.*)"","""")"),"SAINT-AUBIN-RIVIERE")</f>
        <v>SAINT-AUBIN-RIVIERE</v>
      </c>
      <c r="E28292" s="38" t="s">
        <v>224</v>
      </c>
      <c r="F28292" s="38" t="s">
        <v>113</v>
      </c>
      <c r="G28292" s="49" t="str">
        <f t="shared" si="1"/>
        <v>80430</v>
      </c>
      <c r="H28292" s="49">
        <f t="shared" si="2"/>
        <v>80699</v>
      </c>
    </row>
    <row r="28293">
      <c r="A28293" s="48" t="s">
        <v>2837</v>
      </c>
      <c r="B28293" s="38">
        <v>17197.0</v>
      </c>
      <c r="C28293" s="38" t="s">
        <v>32744</v>
      </c>
      <c r="D28293" s="38" t="str">
        <f>IFERROR(__xludf.DUMMYFUNCTION("REGEXREPLACE(C28293,""-\d+(.*)|--\d+(.*)"","""")"),"JONZAC")</f>
        <v>JONZAC</v>
      </c>
      <c r="E28293" s="38" t="s">
        <v>488</v>
      </c>
      <c r="F28293" s="38" t="s">
        <v>338</v>
      </c>
      <c r="G28293" s="49" t="str">
        <f t="shared" si="1"/>
        <v>17500</v>
      </c>
      <c r="H28293" s="49">
        <f t="shared" si="2"/>
        <v>17197</v>
      </c>
    </row>
    <row r="28294">
      <c r="A28294" s="48" t="s">
        <v>8847</v>
      </c>
      <c r="B28294" s="38">
        <v>42093.0</v>
      </c>
      <c r="C28294" s="38" t="s">
        <v>32745</v>
      </c>
      <c r="D28294" s="38" t="str">
        <f>IFERROR(__xludf.DUMMYFUNCTION("REGEXREPLACE(C28294,""-\d+(.*)|--\d+(.*)"","""")"),"FARNAY")</f>
        <v>FARNAY</v>
      </c>
      <c r="E28294" s="38" t="s">
        <v>166</v>
      </c>
      <c r="F28294" s="38" t="s">
        <v>102</v>
      </c>
      <c r="G28294" s="49" t="str">
        <f t="shared" si="1"/>
        <v>42320</v>
      </c>
      <c r="H28294" s="49">
        <f t="shared" si="2"/>
        <v>42093</v>
      </c>
    </row>
    <row r="28295">
      <c r="A28295" s="48" t="s">
        <v>18890</v>
      </c>
      <c r="B28295" s="38">
        <v>64094.0</v>
      </c>
      <c r="C28295" s="38" t="s">
        <v>32746</v>
      </c>
      <c r="D28295" s="38" t="str">
        <f>IFERROR(__xludf.DUMMYFUNCTION("REGEXREPLACE(C28295,""-\d+(.*)|--\d+(.*)"","""")"),"BARDOS")</f>
        <v>BARDOS</v>
      </c>
      <c r="E28295" s="38" t="s">
        <v>268</v>
      </c>
      <c r="F28295" s="38" t="s">
        <v>252</v>
      </c>
      <c r="G28295" s="49" t="str">
        <f t="shared" si="1"/>
        <v>64520</v>
      </c>
      <c r="H28295" s="49">
        <f t="shared" si="2"/>
        <v>64094</v>
      </c>
    </row>
    <row r="28296">
      <c r="A28296" s="48" t="s">
        <v>15432</v>
      </c>
      <c r="B28296" s="38">
        <v>59525.0</v>
      </c>
      <c r="C28296" s="38" t="s">
        <v>32747</v>
      </c>
      <c r="D28296" s="38" t="str">
        <f>IFERROR(__xludf.DUMMYFUNCTION("REGEXREPLACE(C28296,""-\d+(.*)|--\d+(.*)"","""")"),"SAINS-DU-NORD")</f>
        <v>SAINS-DU-NORD</v>
      </c>
      <c r="E28296" s="38" t="s">
        <v>85</v>
      </c>
      <c r="F28296" s="38" t="s">
        <v>86</v>
      </c>
      <c r="G28296" s="49" t="str">
        <f t="shared" si="1"/>
        <v>59177</v>
      </c>
      <c r="H28296" s="49">
        <f t="shared" si="2"/>
        <v>59525</v>
      </c>
    </row>
    <row r="28297">
      <c r="A28297" s="48" t="s">
        <v>20867</v>
      </c>
      <c r="B28297" s="38" t="s">
        <v>32748</v>
      </c>
      <c r="C28297" s="38" t="s">
        <v>32749</v>
      </c>
      <c r="D28297" s="38" t="str">
        <f>IFERROR(__xludf.DUMMYFUNCTION("REGEXREPLACE(C28297,""-\d+(.*)|--\d+(.*)"","""")"),"PERELLI")</f>
        <v>PERELLI</v>
      </c>
      <c r="E28297" s="38" t="s">
        <v>743</v>
      </c>
      <c r="F28297" s="38" t="s">
        <v>607</v>
      </c>
      <c r="G28297" s="49" t="str">
        <f t="shared" si="1"/>
        <v>20234</v>
      </c>
      <c r="H28297" s="49" t="str">
        <f t="shared" si="2"/>
        <v>2B208</v>
      </c>
    </row>
    <row r="28298">
      <c r="A28298" s="48" t="s">
        <v>145</v>
      </c>
      <c r="B28298" s="38">
        <v>10107.0</v>
      </c>
      <c r="C28298" s="38" t="s">
        <v>32750</v>
      </c>
      <c r="D28298" s="38" t="str">
        <f>IFERROR(__xludf.DUMMYFUNCTION("REGEXREPLACE(C28298,""-\d+(.*)|--\d+(.*)"","""")"),"COURSAN-EN-OTHE")</f>
        <v>COURSAN-EN-OTHE</v>
      </c>
      <c r="E28298" s="38" t="s">
        <v>147</v>
      </c>
      <c r="F28298" s="38" t="s">
        <v>130</v>
      </c>
      <c r="G28298" s="49" t="str">
        <f t="shared" si="1"/>
        <v>10130</v>
      </c>
      <c r="H28298" s="49">
        <f t="shared" si="2"/>
        <v>10107</v>
      </c>
    </row>
    <row r="28299">
      <c r="A28299" s="48" t="s">
        <v>2419</v>
      </c>
      <c r="B28299" s="38">
        <v>58083.0</v>
      </c>
      <c r="C28299" s="38" t="s">
        <v>32751</v>
      </c>
      <c r="D28299" s="38" t="str">
        <f>IFERROR(__xludf.DUMMYFUNCTION("REGEXREPLACE(C28299,""-\d+(.*)|--\d+(.*)"","""")"),"CORBIGNY")</f>
        <v>CORBIGNY</v>
      </c>
      <c r="E28299" s="38" t="s">
        <v>219</v>
      </c>
      <c r="F28299" s="38" t="s">
        <v>106</v>
      </c>
      <c r="G28299" s="49" t="str">
        <f t="shared" si="1"/>
        <v>58800</v>
      </c>
      <c r="H28299" s="49">
        <f t="shared" si="2"/>
        <v>58083</v>
      </c>
    </row>
    <row r="28300">
      <c r="A28300" s="48" t="s">
        <v>7254</v>
      </c>
      <c r="B28300" s="38">
        <v>63350.0</v>
      </c>
      <c r="C28300" s="38" t="s">
        <v>32752</v>
      </c>
      <c r="D28300" s="38" t="str">
        <f>IFERROR(__xludf.DUMMYFUNCTION("REGEXREPLACE(C28300,""-\d+(.*)|--\d+(.*)"","""")"),"SAINT-GEORGES-SUR-ALLIER")</f>
        <v>SAINT-GEORGES-SUR-ALLIER</v>
      </c>
      <c r="E28300" s="38" t="s">
        <v>353</v>
      </c>
      <c r="F28300" s="38" t="s">
        <v>161</v>
      </c>
      <c r="G28300" s="49" t="str">
        <f t="shared" si="1"/>
        <v>63800</v>
      </c>
      <c r="H28300" s="49">
        <f t="shared" si="2"/>
        <v>63350</v>
      </c>
    </row>
    <row r="28301">
      <c r="A28301" s="48" t="s">
        <v>29086</v>
      </c>
      <c r="B28301" s="38">
        <v>89296.0</v>
      </c>
      <c r="C28301" s="38" t="s">
        <v>32753</v>
      </c>
      <c r="D28301" s="38" t="str">
        <f>IFERROR(__xludf.DUMMYFUNCTION("REGEXREPLACE(C28301,""-\d+(.*)|--\d+(.*)"","""")"),"PERRIGNY-SUR-ARMANCON")</f>
        <v>PERRIGNY-SUR-ARMANCON</v>
      </c>
      <c r="E28301" s="38" t="s">
        <v>275</v>
      </c>
      <c r="F28301" s="38" t="s">
        <v>106</v>
      </c>
      <c r="G28301" s="49" t="str">
        <f t="shared" si="1"/>
        <v>89390</v>
      </c>
      <c r="H28301" s="49">
        <f t="shared" si="2"/>
        <v>89296</v>
      </c>
    </row>
    <row r="28302">
      <c r="A28302" s="48" t="s">
        <v>2723</v>
      </c>
      <c r="B28302" s="38">
        <v>50019.0</v>
      </c>
      <c r="C28302" s="38" t="s">
        <v>32754</v>
      </c>
      <c r="D28302" s="38" t="str">
        <f>IFERROR(__xludf.DUMMYFUNCTION("REGEXREPLACE(C28302,""-\d+(.*)|--\d+(.*)"","""")"),"AUCEY-LA-PLAINE")</f>
        <v>AUCEY-LA-PLAINE</v>
      </c>
      <c r="E28302" s="38" t="s">
        <v>157</v>
      </c>
      <c r="F28302" s="38" t="s">
        <v>138</v>
      </c>
      <c r="G28302" s="49" t="str">
        <f t="shared" si="1"/>
        <v>50170</v>
      </c>
      <c r="H28302" s="49">
        <f t="shared" si="2"/>
        <v>50019</v>
      </c>
    </row>
    <row r="28303">
      <c r="A28303" s="48" t="s">
        <v>1441</v>
      </c>
      <c r="B28303" s="38">
        <v>52089.0</v>
      </c>
      <c r="C28303" s="38" t="s">
        <v>32755</v>
      </c>
      <c r="D28303" s="38" t="str">
        <f>IFERROR(__xludf.DUMMYFUNCTION("REGEXREPLACE(C28303,""-\d+(.*)|--\d+(.*)"","""")"),"CELLES-EN-BASSIGNY")</f>
        <v>CELLES-EN-BASSIGNY</v>
      </c>
      <c r="E28303" s="38" t="s">
        <v>234</v>
      </c>
      <c r="F28303" s="38" t="s">
        <v>130</v>
      </c>
      <c r="G28303" s="49" t="str">
        <f t="shared" si="1"/>
        <v>52360</v>
      </c>
      <c r="H28303" s="49">
        <f t="shared" si="2"/>
        <v>52089</v>
      </c>
    </row>
    <row r="28304">
      <c r="A28304" s="48" t="s">
        <v>5690</v>
      </c>
      <c r="B28304" s="38">
        <v>8180.0</v>
      </c>
      <c r="C28304" s="38" t="s">
        <v>32756</v>
      </c>
      <c r="D28304" s="38" t="str">
        <f>IFERROR(__xludf.DUMMYFUNCTION("REGEXREPLACE(C28304,""-\d+(.*)|--\d+(.*)"","""")"),"LA FRANCHEVILLE")</f>
        <v>LA FRANCHEVILLE</v>
      </c>
      <c r="E28304" s="38" t="s">
        <v>327</v>
      </c>
      <c r="F28304" s="38" t="s">
        <v>130</v>
      </c>
      <c r="G28304" s="49" t="str">
        <f t="shared" si="1"/>
        <v>08000</v>
      </c>
      <c r="H28304" s="49" t="str">
        <f t="shared" si="2"/>
        <v>08180</v>
      </c>
    </row>
    <row r="28305">
      <c r="A28305" s="48" t="s">
        <v>1448</v>
      </c>
      <c r="B28305" s="38">
        <v>29245.0</v>
      </c>
      <c r="C28305" s="38" t="s">
        <v>32757</v>
      </c>
      <c r="D28305" s="38" t="str">
        <f>IFERROR(__xludf.DUMMYFUNCTION("REGEXREPLACE(C28305,""-\d+(.*)|--\d+(.*)"","""")"),"SAINT-DIVY")</f>
        <v>SAINT-DIVY</v>
      </c>
      <c r="E28305" s="38" t="s">
        <v>176</v>
      </c>
      <c r="F28305" s="38" t="s">
        <v>90</v>
      </c>
      <c r="G28305" s="49" t="str">
        <f t="shared" si="1"/>
        <v>29800</v>
      </c>
      <c r="H28305" s="49">
        <f t="shared" si="2"/>
        <v>29245</v>
      </c>
    </row>
    <row r="28306">
      <c r="A28306" s="48" t="s">
        <v>1518</v>
      </c>
      <c r="B28306" s="38">
        <v>88066.0</v>
      </c>
      <c r="C28306" s="38" t="s">
        <v>32758</v>
      </c>
      <c r="D28306" s="38" t="str">
        <f>IFERROR(__xludf.DUMMYFUNCTION("REGEXREPLACE(C28306,""-\d+(.*)|--\d+(.*)"","""")"),"BOULAINCOURT")</f>
        <v>BOULAINCOURT</v>
      </c>
      <c r="E28306" s="38" t="s">
        <v>194</v>
      </c>
      <c r="F28306" s="38" t="s">
        <v>195</v>
      </c>
      <c r="G28306" s="49" t="str">
        <f t="shared" si="1"/>
        <v>88500</v>
      </c>
      <c r="H28306" s="49">
        <f t="shared" si="2"/>
        <v>88066</v>
      </c>
    </row>
    <row r="28307">
      <c r="A28307" s="48" t="s">
        <v>7086</v>
      </c>
      <c r="B28307" s="38">
        <v>57474.0</v>
      </c>
      <c r="C28307" s="38" t="s">
        <v>32759</v>
      </c>
      <c r="D28307" s="38" t="str">
        <f>IFERROR(__xludf.DUMMYFUNCTION("REGEXREPLACE(C28307,""-\d+(.*)|--\d+(.*)"","""")"),"MONDELANGE")</f>
        <v>MONDELANGE</v>
      </c>
      <c r="E28307" s="38" t="s">
        <v>303</v>
      </c>
      <c r="F28307" s="38" t="s">
        <v>195</v>
      </c>
      <c r="G28307" s="49" t="str">
        <f t="shared" si="1"/>
        <v>57300</v>
      </c>
      <c r="H28307" s="49">
        <f t="shared" si="2"/>
        <v>57474</v>
      </c>
    </row>
    <row r="28308">
      <c r="A28308" s="48" t="s">
        <v>12913</v>
      </c>
      <c r="B28308" s="38">
        <v>59261.0</v>
      </c>
      <c r="C28308" s="38" t="s">
        <v>32760</v>
      </c>
      <c r="D28308" s="38" t="str">
        <f>IFERROR(__xludf.DUMMYFUNCTION("REGEXREPLACE(C28308,""-\d+(.*)|--\d+(.*)"","""")"),"GLAGEON")</f>
        <v>GLAGEON</v>
      </c>
      <c r="E28308" s="38" t="s">
        <v>85</v>
      </c>
      <c r="F28308" s="38" t="s">
        <v>86</v>
      </c>
      <c r="G28308" s="49" t="str">
        <f t="shared" si="1"/>
        <v>59132</v>
      </c>
      <c r="H28308" s="49">
        <f t="shared" si="2"/>
        <v>59261</v>
      </c>
    </row>
    <row r="28309">
      <c r="A28309" s="48" t="s">
        <v>3846</v>
      </c>
      <c r="B28309" s="38">
        <v>19231.0</v>
      </c>
      <c r="C28309" s="38" t="s">
        <v>32761</v>
      </c>
      <c r="D28309" s="38" t="str">
        <f>IFERROR(__xludf.DUMMYFUNCTION("REGEXREPLACE(C28309,""-\d+(.*)|--\d+(.*)"","""")"),"SAINT-PARDOUX-LA-CROISILLE")</f>
        <v>SAINT-PARDOUX-LA-CROISILLE</v>
      </c>
      <c r="E28309" s="38" t="s">
        <v>271</v>
      </c>
      <c r="F28309" s="38" t="s">
        <v>98</v>
      </c>
      <c r="G28309" s="49" t="str">
        <f t="shared" si="1"/>
        <v>19320</v>
      </c>
      <c r="H28309" s="49">
        <f t="shared" si="2"/>
        <v>19231</v>
      </c>
    </row>
    <row r="28310">
      <c r="A28310" s="48" t="s">
        <v>26000</v>
      </c>
      <c r="B28310" s="38">
        <v>64504.0</v>
      </c>
      <c r="C28310" s="38" t="s">
        <v>32762</v>
      </c>
      <c r="D28310" s="38" t="str">
        <f>IFERROR(__xludf.DUMMYFUNCTION("REGEXREPLACE(C28310,""-\d+(.*)|--\d+(.*)"","""")"),"SARE")</f>
        <v>SARE</v>
      </c>
      <c r="E28310" s="38" t="s">
        <v>268</v>
      </c>
      <c r="F28310" s="38" t="s">
        <v>252</v>
      </c>
      <c r="G28310" s="49" t="str">
        <f t="shared" si="1"/>
        <v>64310</v>
      </c>
      <c r="H28310" s="49">
        <f t="shared" si="2"/>
        <v>64504</v>
      </c>
    </row>
    <row r="28311">
      <c r="A28311" s="48" t="s">
        <v>5195</v>
      </c>
      <c r="B28311" s="38">
        <v>47274.0</v>
      </c>
      <c r="C28311" s="38" t="s">
        <v>32763</v>
      </c>
      <c r="D28311" s="38" t="str">
        <f>IFERROR(__xludf.DUMMYFUNCTION("REGEXREPLACE(C28311,""-\d+(.*)|--\d+(.*)"","""")"),"SAINT-ROMAIN-LE-NOBLE")</f>
        <v>SAINT-ROMAIN-LE-NOBLE</v>
      </c>
      <c r="E28311" s="38" t="s">
        <v>251</v>
      </c>
      <c r="F28311" s="38" t="s">
        <v>252</v>
      </c>
      <c r="G28311" s="49" t="str">
        <f t="shared" si="1"/>
        <v>47270</v>
      </c>
      <c r="H28311" s="49">
        <f t="shared" si="2"/>
        <v>47274</v>
      </c>
    </row>
    <row r="28312">
      <c r="A28312" s="48" t="s">
        <v>3404</v>
      </c>
      <c r="B28312" s="38">
        <v>39142.0</v>
      </c>
      <c r="C28312" s="38" t="s">
        <v>32764</v>
      </c>
      <c r="D28312" s="38" t="str">
        <f>IFERROR(__xludf.DUMMYFUNCTION("REGEXREPLACE(C28312,""-\d+(.*)|--\d+(.*)"","""")"),"CHEVREAUX")</f>
        <v>CHEVREAUX</v>
      </c>
      <c r="E28312" s="38" t="s">
        <v>400</v>
      </c>
      <c r="F28312" s="38" t="s">
        <v>214</v>
      </c>
      <c r="G28312" s="49" t="str">
        <f t="shared" si="1"/>
        <v>39190</v>
      </c>
      <c r="H28312" s="49">
        <f t="shared" si="2"/>
        <v>39142</v>
      </c>
    </row>
    <row r="28313">
      <c r="A28313" s="48" t="s">
        <v>14518</v>
      </c>
      <c r="B28313" s="38">
        <v>7309.0</v>
      </c>
      <c r="C28313" s="38" t="s">
        <v>32765</v>
      </c>
      <c r="D28313" s="38" t="str">
        <f>IFERROR(__xludf.DUMMYFUNCTION("REGEXREPLACE(C28313,""-\d+(.*)|--\d+(.*)"","""")"),"SATILLIEU")</f>
        <v>SATILLIEU</v>
      </c>
      <c r="E28313" s="38" t="s">
        <v>144</v>
      </c>
      <c r="F28313" s="38" t="s">
        <v>102</v>
      </c>
      <c r="G28313" s="49" t="str">
        <f t="shared" si="1"/>
        <v>07290</v>
      </c>
      <c r="H28313" s="49" t="str">
        <f t="shared" si="2"/>
        <v>07309</v>
      </c>
    </row>
    <row r="28314">
      <c r="A28314" s="48" t="s">
        <v>8336</v>
      </c>
      <c r="B28314" s="38">
        <v>85133.0</v>
      </c>
      <c r="C28314" s="38" t="s">
        <v>32766</v>
      </c>
      <c r="D28314" s="38" t="str">
        <f>IFERROR(__xludf.DUMMYFUNCTION("REGEXREPLACE(C28314,""-\d+(.*)|--\d+(.*)"","""")"),"MAILLEZAIS")</f>
        <v>MAILLEZAIS</v>
      </c>
      <c r="E28314" s="38" t="s">
        <v>179</v>
      </c>
      <c r="F28314" s="38" t="s">
        <v>180</v>
      </c>
      <c r="G28314" s="49" t="str">
        <f t="shared" si="1"/>
        <v>85420</v>
      </c>
      <c r="H28314" s="49">
        <f t="shared" si="2"/>
        <v>85133</v>
      </c>
    </row>
    <row r="28315">
      <c r="A28315" s="48" t="s">
        <v>3980</v>
      </c>
      <c r="B28315" s="38">
        <v>71523.0</v>
      </c>
      <c r="C28315" s="38" t="s">
        <v>32767</v>
      </c>
      <c r="D28315" s="38" t="str">
        <f>IFERROR(__xludf.DUMMYFUNCTION("REGEXREPLACE(C28315,""-\d+(.*)|--\d+(.*)"","""")"),"SIMARD")</f>
        <v>SIMARD</v>
      </c>
      <c r="E28315" s="38" t="s">
        <v>344</v>
      </c>
      <c r="F28315" s="38" t="s">
        <v>106</v>
      </c>
      <c r="G28315" s="49" t="str">
        <f t="shared" si="1"/>
        <v>71330</v>
      </c>
      <c r="H28315" s="49">
        <f t="shared" si="2"/>
        <v>71523</v>
      </c>
    </row>
    <row r="28316">
      <c r="A28316" s="48" t="s">
        <v>1008</v>
      </c>
      <c r="B28316" s="38">
        <v>2500.0</v>
      </c>
      <c r="C28316" s="38" t="s">
        <v>32768</v>
      </c>
      <c r="D28316" s="38" t="str">
        <f>IFERROR(__xludf.DUMMYFUNCTION("REGEXREPLACE(C28316,""-\d+(.*)|--\d+(.*)"","""")"),"MONTBREHAIN")</f>
        <v>MONTBREHAIN</v>
      </c>
      <c r="E28316" s="38" t="s">
        <v>191</v>
      </c>
      <c r="F28316" s="38" t="s">
        <v>113</v>
      </c>
      <c r="G28316" s="49" t="str">
        <f t="shared" si="1"/>
        <v>02110</v>
      </c>
      <c r="H28316" s="49" t="str">
        <f t="shared" si="2"/>
        <v>02500</v>
      </c>
    </row>
    <row r="28317">
      <c r="A28317" s="48" t="s">
        <v>8889</v>
      </c>
      <c r="B28317" s="38">
        <v>32107.0</v>
      </c>
      <c r="C28317" s="38" t="s">
        <v>32769</v>
      </c>
      <c r="D28317" s="38" t="str">
        <f>IFERROR(__xludf.DUMMYFUNCTION("REGEXREPLACE(C28317,""-\d+(.*)|--\d+(.*)"","""")"),"CONDOM")</f>
        <v>CONDOM</v>
      </c>
      <c r="E28317" s="38" t="s">
        <v>440</v>
      </c>
      <c r="F28317" s="38" t="s">
        <v>94</v>
      </c>
      <c r="G28317" s="49" t="str">
        <f t="shared" si="1"/>
        <v>32100</v>
      </c>
      <c r="H28317" s="49">
        <f t="shared" si="2"/>
        <v>32107</v>
      </c>
    </row>
    <row r="28318">
      <c r="A28318" s="48" t="s">
        <v>7940</v>
      </c>
      <c r="B28318" s="38">
        <v>49300.0</v>
      </c>
      <c r="C28318" s="38" t="s">
        <v>32770</v>
      </c>
      <c r="D28318" s="38" t="str">
        <f>IFERROR(__xludf.DUMMYFUNCTION("REGEXREPLACE(C28318,""-\d+(.*)|--\d+(.*)"","""")"),"SAINT-LEZIN")</f>
        <v>SAINT-LEZIN</v>
      </c>
      <c r="E28318" s="38" t="s">
        <v>653</v>
      </c>
      <c r="F28318" s="38" t="s">
        <v>180</v>
      </c>
      <c r="G28318" s="49" t="str">
        <f t="shared" si="1"/>
        <v>49120</v>
      </c>
      <c r="H28318" s="49">
        <f t="shared" si="2"/>
        <v>49300</v>
      </c>
    </row>
    <row r="28319">
      <c r="A28319" s="48" t="s">
        <v>798</v>
      </c>
      <c r="B28319" s="38">
        <v>3001.0</v>
      </c>
      <c r="C28319" s="38" t="s">
        <v>32771</v>
      </c>
      <c r="D28319" s="38" t="str">
        <f>IFERROR(__xludf.DUMMYFUNCTION("REGEXREPLACE(C28319,""-\d+(.*)|--\d+(.*)"","""")"),"ABREST")</f>
        <v>ABREST</v>
      </c>
      <c r="E28319" s="38" t="s">
        <v>160</v>
      </c>
      <c r="F28319" s="38" t="s">
        <v>161</v>
      </c>
      <c r="G28319" s="49" t="str">
        <f t="shared" si="1"/>
        <v>03200</v>
      </c>
      <c r="H28319" s="49" t="str">
        <f t="shared" si="2"/>
        <v>03001</v>
      </c>
    </row>
    <row r="28320">
      <c r="A28320" s="48" t="s">
        <v>1592</v>
      </c>
      <c r="B28320" s="38">
        <v>40324.0</v>
      </c>
      <c r="C28320" s="38" t="s">
        <v>32772</v>
      </c>
      <c r="D28320" s="38" t="str">
        <f>IFERROR(__xludf.DUMMYFUNCTION("REGEXREPLACE(C28320,""-\d+(.*)|--\d+(.*)"","""")"),"VICQ-D'AURIBAT")</f>
        <v>VICQ-D'AURIBAT</v>
      </c>
      <c r="E28320" s="38" t="s">
        <v>281</v>
      </c>
      <c r="F28320" s="38" t="s">
        <v>252</v>
      </c>
      <c r="G28320" s="49" t="str">
        <f t="shared" si="1"/>
        <v>40380</v>
      </c>
      <c r="H28320" s="49">
        <f t="shared" si="2"/>
        <v>40324</v>
      </c>
    </row>
    <row r="28321">
      <c r="A28321" s="48" t="s">
        <v>1872</v>
      </c>
      <c r="B28321" s="38">
        <v>80222.0</v>
      </c>
      <c r="C28321" s="38" t="s">
        <v>32773</v>
      </c>
      <c r="D28321" s="38" t="str">
        <f>IFERROR(__xludf.DUMMYFUNCTION("REGEXREPLACE(C28321,""-\d+(.*)|--\d+(.*)"","""")"),"CRECY-EN-PONTHIEU")</f>
        <v>CRECY-EN-PONTHIEU</v>
      </c>
      <c r="E28321" s="38" t="s">
        <v>224</v>
      </c>
      <c r="F28321" s="38" t="s">
        <v>113</v>
      </c>
      <c r="G28321" s="49" t="str">
        <f t="shared" si="1"/>
        <v>80150</v>
      </c>
      <c r="H28321" s="49">
        <f t="shared" si="2"/>
        <v>80222</v>
      </c>
    </row>
    <row r="28322">
      <c r="A28322" s="48" t="s">
        <v>3804</v>
      </c>
      <c r="B28322" s="38">
        <v>80136.0</v>
      </c>
      <c r="C28322" s="38" t="s">
        <v>32774</v>
      </c>
      <c r="D28322" s="38" t="str">
        <f>IFERROR(__xludf.DUMMYFUNCTION("REGEXREPLACE(C28322,""-\d+(.*)|--\d+(.*)"","""")"),"BRAY-SUR-SOMME")</f>
        <v>BRAY-SUR-SOMME</v>
      </c>
      <c r="E28322" s="38" t="s">
        <v>224</v>
      </c>
      <c r="F28322" s="38" t="s">
        <v>113</v>
      </c>
      <c r="G28322" s="49" t="str">
        <f t="shared" si="1"/>
        <v>80340</v>
      </c>
      <c r="H28322" s="49">
        <f t="shared" si="2"/>
        <v>80136</v>
      </c>
    </row>
    <row r="28323">
      <c r="A28323" s="48" t="s">
        <v>4563</v>
      </c>
      <c r="B28323" s="38">
        <v>38430.0</v>
      </c>
      <c r="C28323" s="38" t="s">
        <v>32775</v>
      </c>
      <c r="D28323" s="38" t="str">
        <f>IFERROR(__xludf.DUMMYFUNCTION("REGEXREPLACE(C28323,""-\d+(.*)|--\d+(.*)"","""")"),"SAINT-MURY-MONTEYMOND")</f>
        <v>SAINT-MURY-MONTEYMOND</v>
      </c>
      <c r="E28323" s="38" t="s">
        <v>101</v>
      </c>
      <c r="F28323" s="38" t="s">
        <v>102</v>
      </c>
      <c r="G28323" s="49" t="str">
        <f t="shared" si="1"/>
        <v>38190</v>
      </c>
      <c r="H28323" s="49">
        <f t="shared" si="2"/>
        <v>38430</v>
      </c>
    </row>
    <row r="28324">
      <c r="A28324" s="48" t="s">
        <v>9026</v>
      </c>
      <c r="B28324" s="38">
        <v>21331.0</v>
      </c>
      <c r="C28324" s="38" t="s">
        <v>32776</v>
      </c>
      <c r="D28324" s="38" t="str">
        <f>IFERROR(__xludf.DUMMYFUNCTION("REGEXREPLACE(C28324,""-\d+(.*)|--\d+(.*)"","""")"),"LABERGEMENT-LES-AUXONNE")</f>
        <v>LABERGEMENT-LES-AUXONNE</v>
      </c>
      <c r="E28324" s="38" t="s">
        <v>105</v>
      </c>
      <c r="F28324" s="38" t="s">
        <v>106</v>
      </c>
      <c r="G28324" s="49" t="str">
        <f t="shared" si="1"/>
        <v>21130</v>
      </c>
      <c r="H28324" s="49">
        <f t="shared" si="2"/>
        <v>21331</v>
      </c>
    </row>
    <row r="28325">
      <c r="A28325" s="48" t="s">
        <v>9565</v>
      </c>
      <c r="B28325" s="38">
        <v>71167.0</v>
      </c>
      <c r="C28325" s="38" t="s">
        <v>32777</v>
      </c>
      <c r="D28325" s="38" t="str">
        <f>IFERROR(__xludf.DUMMYFUNCTION("REGEXREPLACE(C28325,""-\d+(.*)|--\d+(.*)"","""")"),"DAMEREY")</f>
        <v>DAMEREY</v>
      </c>
      <c r="E28325" s="38" t="s">
        <v>344</v>
      </c>
      <c r="F28325" s="38" t="s">
        <v>106</v>
      </c>
      <c r="G28325" s="49" t="str">
        <f t="shared" si="1"/>
        <v>71620</v>
      </c>
      <c r="H28325" s="49">
        <f t="shared" si="2"/>
        <v>71167</v>
      </c>
    </row>
    <row r="28326">
      <c r="A28326" s="48" t="s">
        <v>1400</v>
      </c>
      <c r="B28326" s="38">
        <v>21020.0</v>
      </c>
      <c r="C28326" s="38" t="s">
        <v>32778</v>
      </c>
      <c r="D28326" s="38" t="str">
        <f>IFERROR(__xludf.DUMMYFUNCTION("REGEXREPLACE(C28326,""-\d+(.*)|--\d+(.*)"","""")"),"ARCONCEY")</f>
        <v>ARCONCEY</v>
      </c>
      <c r="E28326" s="38" t="s">
        <v>105</v>
      </c>
      <c r="F28326" s="38" t="s">
        <v>106</v>
      </c>
      <c r="G28326" s="49" t="str">
        <f t="shared" si="1"/>
        <v>21320</v>
      </c>
      <c r="H28326" s="49">
        <f t="shared" si="2"/>
        <v>21020</v>
      </c>
    </row>
    <row r="28327">
      <c r="A28327" s="48" t="s">
        <v>1857</v>
      </c>
      <c r="B28327" s="38">
        <v>4140.0</v>
      </c>
      <c r="C28327" s="38" t="s">
        <v>32779</v>
      </c>
      <c r="D28327" s="38" t="str">
        <f>IFERROR(__xludf.DUMMYFUNCTION("REGEXREPLACE(C28327,""-\d+(.*)|--\d+(.*)"","""")"),"LES OMERGUES")</f>
        <v>LES OMERGUES</v>
      </c>
      <c r="E28327" s="38" t="s">
        <v>662</v>
      </c>
      <c r="F28327" s="38" t="s">
        <v>228</v>
      </c>
      <c r="G28327" s="49" t="str">
        <f t="shared" si="1"/>
        <v>04200</v>
      </c>
      <c r="H28327" s="49" t="str">
        <f t="shared" si="2"/>
        <v>04140</v>
      </c>
    </row>
    <row r="28328">
      <c r="A28328" s="48" t="s">
        <v>3305</v>
      </c>
      <c r="B28328" s="38">
        <v>24206.0</v>
      </c>
      <c r="C28328" s="38" t="s">
        <v>32780</v>
      </c>
      <c r="D28328" s="38" t="str">
        <f>IFERROR(__xludf.DUMMYFUNCTION("REGEXREPLACE(C28328,""-\d+(.*)|--\d+(.*)"","""")"),"GRIVES")</f>
        <v>GRIVES</v>
      </c>
      <c r="E28328" s="38" t="s">
        <v>261</v>
      </c>
      <c r="F28328" s="38" t="s">
        <v>252</v>
      </c>
      <c r="G28328" s="49" t="str">
        <f t="shared" si="1"/>
        <v>24170</v>
      </c>
      <c r="H28328" s="49">
        <f t="shared" si="2"/>
        <v>24206</v>
      </c>
    </row>
    <row r="28329">
      <c r="A28329" s="48" t="s">
        <v>6016</v>
      </c>
      <c r="B28329" s="38">
        <v>57479.0</v>
      </c>
      <c r="C28329" s="38" t="s">
        <v>32781</v>
      </c>
      <c r="D28329" s="38" t="str">
        <f>IFERROR(__xludf.DUMMYFUNCTION("REGEXREPLACE(C28329,""-\d+(.*)|--\d+(.*)"","""")"),"MONTENACH")</f>
        <v>MONTENACH</v>
      </c>
      <c r="E28329" s="38" t="s">
        <v>303</v>
      </c>
      <c r="F28329" s="38" t="s">
        <v>195</v>
      </c>
      <c r="G28329" s="49" t="str">
        <f t="shared" si="1"/>
        <v>57480</v>
      </c>
      <c r="H28329" s="49">
        <f t="shared" si="2"/>
        <v>57479</v>
      </c>
    </row>
    <row r="28330">
      <c r="A28330" s="48" t="s">
        <v>6292</v>
      </c>
      <c r="B28330" s="38">
        <v>63007.0</v>
      </c>
      <c r="C28330" s="38" t="s">
        <v>32782</v>
      </c>
      <c r="D28330" s="38" t="str">
        <f>IFERROR(__xludf.DUMMYFUNCTION("REGEXREPLACE(C28330,""-\d+(.*)|--\d+(.*)"","""")"),"APCHAT")</f>
        <v>APCHAT</v>
      </c>
      <c r="E28330" s="38" t="s">
        <v>353</v>
      </c>
      <c r="F28330" s="38" t="s">
        <v>161</v>
      </c>
      <c r="G28330" s="49" t="str">
        <f t="shared" si="1"/>
        <v>63420</v>
      </c>
      <c r="H28330" s="49">
        <f t="shared" si="2"/>
        <v>63007</v>
      </c>
    </row>
    <row r="28331">
      <c r="A28331" s="48" t="s">
        <v>3152</v>
      </c>
      <c r="B28331" s="38">
        <v>7216.0</v>
      </c>
      <c r="C28331" s="38" t="s">
        <v>32783</v>
      </c>
      <c r="D28331" s="38" t="str">
        <f>IFERROR(__xludf.DUMMYFUNCTION("REGEXREPLACE(C28331,""-\d+(.*)|--\d+(.*)"","""")"),"SAINT-BARTHELEMY-GROZON")</f>
        <v>SAINT-BARTHELEMY-GROZON</v>
      </c>
      <c r="E28331" s="38" t="s">
        <v>144</v>
      </c>
      <c r="F28331" s="38" t="s">
        <v>102</v>
      </c>
      <c r="G28331" s="49" t="str">
        <f t="shared" si="1"/>
        <v>07270</v>
      </c>
      <c r="H28331" s="49" t="str">
        <f t="shared" si="2"/>
        <v>07216</v>
      </c>
    </row>
    <row r="28332">
      <c r="A28332" s="48" t="s">
        <v>2208</v>
      </c>
      <c r="B28332" s="38">
        <v>55357.0</v>
      </c>
      <c r="C28332" s="38" t="s">
        <v>32784</v>
      </c>
      <c r="D28332" s="38" t="str">
        <f>IFERROR(__xludf.DUMMYFUNCTION("REGEXREPLACE(C28332,""-\d+(.*)|--\d+(.*)"","""")"),"MORGEMOULIN")</f>
        <v>MORGEMOULIN</v>
      </c>
      <c r="E28332" s="38" t="s">
        <v>322</v>
      </c>
      <c r="F28332" s="38" t="s">
        <v>195</v>
      </c>
      <c r="G28332" s="49" t="str">
        <f t="shared" si="1"/>
        <v>55400</v>
      </c>
      <c r="H28332" s="49">
        <f t="shared" si="2"/>
        <v>55357</v>
      </c>
    </row>
    <row r="28333">
      <c r="A28333" s="48" t="s">
        <v>358</v>
      </c>
      <c r="B28333" s="38">
        <v>10019.0</v>
      </c>
      <c r="C28333" s="38" t="s">
        <v>32785</v>
      </c>
      <c r="D28333" s="38" t="str">
        <f>IFERROR(__xludf.DUMMYFUNCTION("REGEXREPLACE(C28333,""-\d+(.*)|--\d+(.*)"","""")"),"VAL-D'AUZON")</f>
        <v>VAL-D'AUZON</v>
      </c>
      <c r="E28333" s="38" t="s">
        <v>147</v>
      </c>
      <c r="F28333" s="38" t="s">
        <v>130</v>
      </c>
      <c r="G28333" s="49" t="str">
        <f t="shared" si="1"/>
        <v>10220</v>
      </c>
      <c r="H28333" s="49">
        <f t="shared" si="2"/>
        <v>10019</v>
      </c>
    </row>
    <row r="28334">
      <c r="A28334" s="48" t="s">
        <v>24631</v>
      </c>
      <c r="B28334" s="38">
        <v>30204.0</v>
      </c>
      <c r="C28334" s="38" t="s">
        <v>32786</v>
      </c>
      <c r="D28334" s="38" t="str">
        <f>IFERROR(__xludf.DUMMYFUNCTION("REGEXREPLACE(C28334,""-\d+(.*)|--\d+(.*)"","""")"),"POTELIERES")</f>
        <v>POTELIERES</v>
      </c>
      <c r="E28334" s="38" t="s">
        <v>526</v>
      </c>
      <c r="F28334" s="38" t="s">
        <v>119</v>
      </c>
      <c r="G28334" s="49" t="str">
        <f t="shared" si="1"/>
        <v>30500</v>
      </c>
      <c r="H28334" s="49">
        <f t="shared" si="2"/>
        <v>30204</v>
      </c>
    </row>
    <row r="28335">
      <c r="A28335" s="48" t="s">
        <v>9459</v>
      </c>
      <c r="B28335" s="38">
        <v>6163.0</v>
      </c>
      <c r="C28335" s="38" t="s">
        <v>32787</v>
      </c>
      <c r="D28335" s="38" t="str">
        <f>IFERROR(__xludf.DUMMYFUNCTION("REGEXREPLACE(C28335,""-\d+(.*)|--\d+(.*)"","""")"),"TENDE")</f>
        <v>TENDE</v>
      </c>
      <c r="E28335" s="38" t="s">
        <v>227</v>
      </c>
      <c r="F28335" s="38" t="s">
        <v>228</v>
      </c>
      <c r="G28335" s="49" t="str">
        <f t="shared" si="1"/>
        <v>06430</v>
      </c>
      <c r="H28335" s="49" t="str">
        <f t="shared" si="2"/>
        <v>06163</v>
      </c>
    </row>
    <row r="28336">
      <c r="A28336" s="48" t="s">
        <v>1008</v>
      </c>
      <c r="B28336" s="38">
        <v>2323.0</v>
      </c>
      <c r="C28336" s="38" t="s">
        <v>32788</v>
      </c>
      <c r="D28336" s="38" t="str">
        <f>IFERROR(__xludf.DUMMYFUNCTION("REGEXREPLACE(C28336,""-\d+(.*)|--\d+(.*)"","""")"),"FONTAINE-UTERTE")</f>
        <v>FONTAINE-UTERTE</v>
      </c>
      <c r="E28336" s="38" t="s">
        <v>191</v>
      </c>
      <c r="F28336" s="38" t="s">
        <v>113</v>
      </c>
      <c r="G28336" s="49" t="str">
        <f t="shared" si="1"/>
        <v>02110</v>
      </c>
      <c r="H28336" s="49" t="str">
        <f t="shared" si="2"/>
        <v>02323</v>
      </c>
    </row>
    <row r="28337">
      <c r="A28337" s="48" t="s">
        <v>1659</v>
      </c>
      <c r="B28337" s="38">
        <v>45291.0</v>
      </c>
      <c r="C28337" s="38" t="s">
        <v>28127</v>
      </c>
      <c r="D28337" s="38" t="str">
        <f>IFERROR(__xludf.DUMMYFUNCTION("REGEXREPLACE(C28337,""-\d+(.*)|--\d+(.*)"","""")"),"SAINT-MARTIN-SUR-OCRE")</f>
        <v>SAINT-MARTIN-SUR-OCRE</v>
      </c>
      <c r="E28337" s="38" t="s">
        <v>122</v>
      </c>
      <c r="F28337" s="38" t="s">
        <v>123</v>
      </c>
      <c r="G28337" s="49" t="str">
        <f t="shared" si="1"/>
        <v>45500</v>
      </c>
      <c r="H28337" s="49">
        <f t="shared" si="2"/>
        <v>45291</v>
      </c>
    </row>
    <row r="28338">
      <c r="A28338" s="48" t="s">
        <v>5693</v>
      </c>
      <c r="B28338" s="38">
        <v>50499.0</v>
      </c>
      <c r="C28338" s="38" t="s">
        <v>32789</v>
      </c>
      <c r="D28338" s="38" t="str">
        <f>IFERROR(__xludf.DUMMYFUNCTION("REGEXREPLACE(C28338,""-\d+(.*)|--\d+(.*)"","""")"),"SAINT-LAURENT-DE-CUVES")</f>
        <v>SAINT-LAURENT-DE-CUVES</v>
      </c>
      <c r="E28338" s="38" t="s">
        <v>157</v>
      </c>
      <c r="F28338" s="38" t="s">
        <v>138</v>
      </c>
      <c r="G28338" s="49" t="str">
        <f t="shared" si="1"/>
        <v>50670</v>
      </c>
      <c r="H28338" s="49">
        <f t="shared" si="2"/>
        <v>50499</v>
      </c>
    </row>
    <row r="28339">
      <c r="A28339" s="48" t="s">
        <v>12396</v>
      </c>
      <c r="B28339" s="38">
        <v>49369.0</v>
      </c>
      <c r="C28339" s="38" t="s">
        <v>32790</v>
      </c>
      <c r="D28339" s="38" t="str">
        <f>IFERROR(__xludf.DUMMYFUNCTION("REGEXREPLACE(C28339,""-\d+(.*)|--\d+(.*)"","""")"),"VERNOIL-LE-FOURRIER")</f>
        <v>VERNOIL-LE-FOURRIER</v>
      </c>
      <c r="E28339" s="38" t="s">
        <v>653</v>
      </c>
      <c r="F28339" s="38" t="s">
        <v>180</v>
      </c>
      <c r="G28339" s="49" t="str">
        <f t="shared" si="1"/>
        <v>49390</v>
      </c>
      <c r="H28339" s="49">
        <f t="shared" si="2"/>
        <v>49369</v>
      </c>
    </row>
    <row r="28340">
      <c r="A28340" s="48" t="s">
        <v>4203</v>
      </c>
      <c r="B28340" s="38">
        <v>77242.0</v>
      </c>
      <c r="C28340" s="38" t="s">
        <v>32791</v>
      </c>
      <c r="D28340" s="38" t="str">
        <f>IFERROR(__xludf.DUMMYFUNCTION("REGEXREPLACE(C28340,""-\d+(.*)|--\d+(.*)"","""")"),"JUTIGNY")</f>
        <v>JUTIGNY</v>
      </c>
      <c r="E28340" s="38" t="s">
        <v>244</v>
      </c>
      <c r="F28340" s="38" t="s">
        <v>245</v>
      </c>
      <c r="G28340" s="49" t="str">
        <f t="shared" si="1"/>
        <v>77650</v>
      </c>
      <c r="H28340" s="49">
        <f t="shared" si="2"/>
        <v>77242</v>
      </c>
    </row>
    <row r="28341">
      <c r="A28341" s="48" t="s">
        <v>3562</v>
      </c>
      <c r="B28341" s="38">
        <v>2774.0</v>
      </c>
      <c r="C28341" s="38" t="s">
        <v>32792</v>
      </c>
      <c r="D28341" s="38" t="str">
        <f>IFERROR(__xludf.DUMMYFUNCTION("REGEXREPLACE(C28341,""-\d+(.*)|--\d+(.*)"","""")"),"VENDELLES")</f>
        <v>VENDELLES</v>
      </c>
      <c r="E28341" s="38" t="s">
        <v>191</v>
      </c>
      <c r="F28341" s="38" t="s">
        <v>113</v>
      </c>
      <c r="G28341" s="49" t="str">
        <f t="shared" si="1"/>
        <v>02490</v>
      </c>
      <c r="H28341" s="49" t="str">
        <f t="shared" si="2"/>
        <v>02774</v>
      </c>
    </row>
    <row r="28342">
      <c r="A28342" s="48" t="s">
        <v>1868</v>
      </c>
      <c r="B28342" s="38">
        <v>86223.0</v>
      </c>
      <c r="C28342" s="38" t="s">
        <v>6018</v>
      </c>
      <c r="D28342" s="38" t="str">
        <f>IFERROR(__xludf.DUMMYFUNCTION("REGEXREPLACE(C28342,""-\d+(.*)|--\d+(.*)"","""")"),"SAINT-GERMAIN")</f>
        <v>SAINT-GERMAIN</v>
      </c>
      <c r="E28342" s="38" t="s">
        <v>529</v>
      </c>
      <c r="F28342" s="38" t="s">
        <v>338</v>
      </c>
      <c r="G28342" s="49" t="str">
        <f t="shared" si="1"/>
        <v>86310</v>
      </c>
      <c r="H28342" s="49">
        <f t="shared" si="2"/>
        <v>86223</v>
      </c>
    </row>
    <row r="28343">
      <c r="A28343" s="48" t="s">
        <v>4697</v>
      </c>
      <c r="B28343" s="38">
        <v>67361.0</v>
      </c>
      <c r="C28343" s="38" t="s">
        <v>32793</v>
      </c>
      <c r="D28343" s="38" t="str">
        <f>IFERROR(__xludf.DUMMYFUNCTION("REGEXREPLACE(C28343,""-\d+(.*)|--\d+(.*)"","""")"),"OLWISHEIM")</f>
        <v>OLWISHEIM</v>
      </c>
      <c r="E28343" s="38" t="s">
        <v>210</v>
      </c>
      <c r="F28343" s="38" t="s">
        <v>151</v>
      </c>
      <c r="G28343" s="49" t="str">
        <f t="shared" si="1"/>
        <v>67170</v>
      </c>
      <c r="H28343" s="49">
        <f t="shared" si="2"/>
        <v>67361</v>
      </c>
    </row>
    <row r="28344">
      <c r="A28344" s="48" t="s">
        <v>25501</v>
      </c>
      <c r="B28344" s="38">
        <v>68372.0</v>
      </c>
      <c r="C28344" s="38" t="s">
        <v>32794</v>
      </c>
      <c r="D28344" s="38" t="str">
        <f>IFERROR(__xludf.DUMMYFUNCTION("REGEXREPLACE(C28344,""-\d+(.*)|--\d+(.*)"","""")"),"WILLER-SUR-THUR")</f>
        <v>WILLER-SUR-THUR</v>
      </c>
      <c r="E28344" s="38" t="s">
        <v>150</v>
      </c>
      <c r="F28344" s="38" t="s">
        <v>151</v>
      </c>
      <c r="G28344" s="49" t="str">
        <f t="shared" si="1"/>
        <v>68760</v>
      </c>
      <c r="H28344" s="49">
        <f t="shared" si="2"/>
        <v>68372</v>
      </c>
    </row>
    <row r="28345">
      <c r="A28345" s="48" t="s">
        <v>4519</v>
      </c>
      <c r="B28345" s="38">
        <v>26227.0</v>
      </c>
      <c r="C28345" s="38" t="s">
        <v>32795</v>
      </c>
      <c r="D28345" s="38" t="str">
        <f>IFERROR(__xludf.DUMMYFUNCTION("REGEXREPLACE(C28345,""-\d+(.*)|--\d+(.*)"","""")"),"PELONNE")</f>
        <v>PELONNE</v>
      </c>
      <c r="E28345" s="38" t="s">
        <v>126</v>
      </c>
      <c r="F28345" s="38" t="s">
        <v>102</v>
      </c>
      <c r="G28345" s="49" t="str">
        <f t="shared" si="1"/>
        <v>26510</v>
      </c>
      <c r="H28345" s="49">
        <f t="shared" si="2"/>
        <v>26227</v>
      </c>
    </row>
    <row r="28346">
      <c r="A28346" s="48" t="s">
        <v>9231</v>
      </c>
      <c r="B28346" s="38">
        <v>76565.0</v>
      </c>
      <c r="C28346" s="38" t="s">
        <v>32796</v>
      </c>
      <c r="D28346" s="38" t="str">
        <f>IFERROR(__xludf.DUMMYFUNCTION("REGEXREPLACE(C28346,""-\d+(.*)|--\d+(.*)"","""")"),"SAINT-AUBIN-SUR-SCIE")</f>
        <v>SAINT-AUBIN-SUR-SCIE</v>
      </c>
      <c r="E28346" s="38" t="s">
        <v>133</v>
      </c>
      <c r="F28346" s="38" t="s">
        <v>134</v>
      </c>
      <c r="G28346" s="49" t="str">
        <f t="shared" si="1"/>
        <v>76550</v>
      </c>
      <c r="H28346" s="49">
        <f t="shared" si="2"/>
        <v>76565</v>
      </c>
    </row>
    <row r="28347">
      <c r="A28347" s="48" t="s">
        <v>1796</v>
      </c>
      <c r="B28347" s="38">
        <v>31308.0</v>
      </c>
      <c r="C28347" s="38" t="s">
        <v>32797</v>
      </c>
      <c r="D28347" s="38" t="str">
        <f>IFERROR(__xludf.DUMMYFUNCTION("REGEXREPLACE(C28347,""-\d+(.*)|--\d+(.*)"","""")"),"LUSCAN")</f>
        <v>LUSCAN</v>
      </c>
      <c r="E28347" s="38" t="s">
        <v>93</v>
      </c>
      <c r="F28347" s="38" t="s">
        <v>94</v>
      </c>
      <c r="G28347" s="49" t="str">
        <f t="shared" si="1"/>
        <v>31510</v>
      </c>
      <c r="H28347" s="49">
        <f t="shared" si="2"/>
        <v>31308</v>
      </c>
    </row>
    <row r="28348">
      <c r="A28348" s="48" t="s">
        <v>2340</v>
      </c>
      <c r="B28348" s="38">
        <v>21611.0</v>
      </c>
      <c r="C28348" s="38" t="s">
        <v>32798</v>
      </c>
      <c r="D28348" s="38" t="str">
        <f>IFERROR(__xludf.DUMMYFUNCTION("REGEXREPLACE(C28348,""-\d+(.*)|--\d+(.*)"","""")"),"SOMBERNON")</f>
        <v>SOMBERNON</v>
      </c>
      <c r="E28348" s="38" t="s">
        <v>105</v>
      </c>
      <c r="F28348" s="38" t="s">
        <v>106</v>
      </c>
      <c r="G28348" s="49" t="str">
        <f t="shared" si="1"/>
        <v>21540</v>
      </c>
      <c r="H28348" s="49">
        <f t="shared" si="2"/>
        <v>21611</v>
      </c>
    </row>
    <row r="28349">
      <c r="A28349" s="48" t="s">
        <v>8579</v>
      </c>
      <c r="B28349" s="38">
        <v>32458.0</v>
      </c>
      <c r="C28349" s="38" t="s">
        <v>32799</v>
      </c>
      <c r="D28349" s="38" t="str">
        <f>IFERROR(__xludf.DUMMYFUNCTION("REGEXREPLACE(C28349,""-\d+(.*)|--\d+(.*)"","""")"),"URGOSSE")</f>
        <v>URGOSSE</v>
      </c>
      <c r="E28349" s="38" t="s">
        <v>440</v>
      </c>
      <c r="F28349" s="38" t="s">
        <v>94</v>
      </c>
      <c r="G28349" s="49" t="str">
        <f t="shared" si="1"/>
        <v>32110</v>
      </c>
      <c r="H28349" s="49">
        <f t="shared" si="2"/>
        <v>32458</v>
      </c>
    </row>
    <row r="28350">
      <c r="A28350" s="48" t="s">
        <v>1172</v>
      </c>
      <c r="B28350" s="38">
        <v>76714.0</v>
      </c>
      <c r="C28350" s="38" t="s">
        <v>32800</v>
      </c>
      <c r="D28350" s="38" t="str">
        <f>IFERROR(__xludf.DUMMYFUNCTION("REGEXREPLACE(C28350,""-\d+(.*)|--\d+(.*)"","""")"),"LES TROIS-PIERRES")</f>
        <v>LES TROIS-PIERRES</v>
      </c>
      <c r="E28350" s="38" t="s">
        <v>133</v>
      </c>
      <c r="F28350" s="38" t="s">
        <v>134</v>
      </c>
      <c r="G28350" s="49" t="str">
        <f t="shared" si="1"/>
        <v>76430</v>
      </c>
      <c r="H28350" s="49">
        <f t="shared" si="2"/>
        <v>76714</v>
      </c>
    </row>
    <row r="28351">
      <c r="A28351" s="48" t="s">
        <v>667</v>
      </c>
      <c r="B28351" s="38">
        <v>64275.0</v>
      </c>
      <c r="C28351" s="38" t="s">
        <v>32801</v>
      </c>
      <c r="D28351" s="38" t="str">
        <f>IFERROR(__xludf.DUMMYFUNCTION("REGEXREPLACE(C28351,""-\d+(.*)|--\d+(.*)"","""")"),"ISPOURE")</f>
        <v>ISPOURE</v>
      </c>
      <c r="E28351" s="38" t="s">
        <v>268</v>
      </c>
      <c r="F28351" s="38" t="s">
        <v>252</v>
      </c>
      <c r="G28351" s="49" t="str">
        <f t="shared" si="1"/>
        <v>64220</v>
      </c>
      <c r="H28351" s="49">
        <f t="shared" si="2"/>
        <v>64275</v>
      </c>
    </row>
    <row r="28352">
      <c r="A28352" s="48" t="s">
        <v>2899</v>
      </c>
      <c r="B28352" s="38">
        <v>15090.0</v>
      </c>
      <c r="C28352" s="38" t="s">
        <v>32802</v>
      </c>
      <c r="D28352" s="38" t="str">
        <f>IFERROR(__xludf.DUMMYFUNCTION("REGEXREPLACE(C28352,""-\d+(.*)|--\d+(.*)"","""")"),"LAFEUILLADE-EN-VEZIE")</f>
        <v>LAFEUILLADE-EN-VEZIE</v>
      </c>
      <c r="E28352" s="38" t="s">
        <v>632</v>
      </c>
      <c r="F28352" s="38" t="s">
        <v>161</v>
      </c>
      <c r="G28352" s="49" t="str">
        <f t="shared" si="1"/>
        <v>15130</v>
      </c>
      <c r="H28352" s="49">
        <f t="shared" si="2"/>
        <v>15090</v>
      </c>
    </row>
    <row r="28353">
      <c r="A28353" s="48" t="s">
        <v>2328</v>
      </c>
      <c r="B28353" s="38">
        <v>57053.0</v>
      </c>
      <c r="C28353" s="38" t="s">
        <v>32803</v>
      </c>
      <c r="D28353" s="38" t="str">
        <f>IFERROR(__xludf.DUMMYFUNCTION("REGEXREPLACE(C28353,""-\d+(.*)|--\d+(.*)"","""")"),"BASSING")</f>
        <v>BASSING</v>
      </c>
      <c r="E28353" s="38" t="s">
        <v>303</v>
      </c>
      <c r="F28353" s="38" t="s">
        <v>195</v>
      </c>
      <c r="G28353" s="49" t="str">
        <f t="shared" si="1"/>
        <v>57260</v>
      </c>
      <c r="H28353" s="49">
        <f t="shared" si="2"/>
        <v>57053</v>
      </c>
    </row>
    <row r="28354">
      <c r="A28354" s="48" t="s">
        <v>4596</v>
      </c>
      <c r="B28354" s="38">
        <v>2121.0</v>
      </c>
      <c r="C28354" s="38" t="s">
        <v>32804</v>
      </c>
      <c r="D28354" s="38" t="str">
        <f>IFERROR(__xludf.DUMMYFUNCTION("REGEXREPLACE(C28354,""-\d+(.*)|--\d+(.*)"","""")"),"BRENY")</f>
        <v>BRENY</v>
      </c>
      <c r="E28354" s="38" t="s">
        <v>191</v>
      </c>
      <c r="F28354" s="38" t="s">
        <v>113</v>
      </c>
      <c r="G28354" s="49" t="str">
        <f t="shared" si="1"/>
        <v>02210</v>
      </c>
      <c r="H28354" s="49" t="str">
        <f t="shared" si="2"/>
        <v>02121</v>
      </c>
    </row>
    <row r="28355">
      <c r="A28355" s="48" t="s">
        <v>3418</v>
      </c>
      <c r="B28355" s="38">
        <v>47086.0</v>
      </c>
      <c r="C28355" s="38" t="s">
        <v>32805</v>
      </c>
      <c r="D28355" s="38" t="str">
        <f>IFERROR(__xludf.DUMMYFUNCTION("REGEXREPLACE(C28355,""-\d+(.*)|--\d+(.*)"","""")"),"DURAS")</f>
        <v>DURAS</v>
      </c>
      <c r="E28355" s="38" t="s">
        <v>251</v>
      </c>
      <c r="F28355" s="38" t="s">
        <v>252</v>
      </c>
      <c r="G28355" s="49" t="str">
        <f t="shared" si="1"/>
        <v>47120</v>
      </c>
      <c r="H28355" s="49">
        <f t="shared" si="2"/>
        <v>47086</v>
      </c>
    </row>
    <row r="28356">
      <c r="A28356" s="48" t="s">
        <v>7756</v>
      </c>
      <c r="B28356" s="38">
        <v>27048.0</v>
      </c>
      <c r="C28356" s="38" t="s">
        <v>32806</v>
      </c>
      <c r="D28356" s="38" t="str">
        <f>IFERROR(__xludf.DUMMYFUNCTION("REGEXREPLACE(C28356,""-\d+(.*)|--\d+(.*)"","""")"),"BEAUFICEL-EN-LYONS")</f>
        <v>BEAUFICEL-EN-LYONS</v>
      </c>
      <c r="E28356" s="38" t="s">
        <v>241</v>
      </c>
      <c r="F28356" s="38" t="s">
        <v>134</v>
      </c>
      <c r="G28356" s="49" t="str">
        <f t="shared" si="1"/>
        <v>27480</v>
      </c>
      <c r="H28356" s="49">
        <f t="shared" si="2"/>
        <v>27048</v>
      </c>
    </row>
    <row r="28357">
      <c r="A28357" s="48" t="s">
        <v>2357</v>
      </c>
      <c r="B28357" s="38">
        <v>46164.0</v>
      </c>
      <c r="C28357" s="38" t="s">
        <v>32807</v>
      </c>
      <c r="D28357" s="38" t="str">
        <f>IFERROR(__xludf.DUMMYFUNCTION("REGEXREPLACE(C28357,""-\d+(.*)|--\d+(.*)"","""")"),"LAVERCANTIERE")</f>
        <v>LAVERCANTIERE</v>
      </c>
      <c r="E28357" s="38" t="s">
        <v>185</v>
      </c>
      <c r="F28357" s="38" t="s">
        <v>94</v>
      </c>
      <c r="G28357" s="49" t="str">
        <f t="shared" si="1"/>
        <v>46340</v>
      </c>
      <c r="H28357" s="49">
        <f t="shared" si="2"/>
        <v>46164</v>
      </c>
    </row>
    <row r="28358">
      <c r="A28358" s="48" t="s">
        <v>844</v>
      </c>
      <c r="B28358" s="38">
        <v>72270.0</v>
      </c>
      <c r="C28358" s="38" t="s">
        <v>32808</v>
      </c>
      <c r="D28358" s="38" t="str">
        <f>IFERROR(__xludf.DUMMYFUNCTION("REGEXREPLACE(C28358,""-\d+(.*)|--\d+(.*)"","""")"),"SAINT-CALEZ-EN-SAOSNOIS")</f>
        <v>SAINT-CALEZ-EN-SAOSNOIS</v>
      </c>
      <c r="E28358" s="38" t="s">
        <v>521</v>
      </c>
      <c r="F28358" s="38" t="s">
        <v>180</v>
      </c>
      <c r="G28358" s="49" t="str">
        <f t="shared" si="1"/>
        <v>72600</v>
      </c>
      <c r="H28358" s="49">
        <f t="shared" si="2"/>
        <v>72270</v>
      </c>
    </row>
    <row r="28359">
      <c r="A28359" s="48" t="s">
        <v>1347</v>
      </c>
      <c r="B28359" s="38">
        <v>16298.0</v>
      </c>
      <c r="C28359" s="38" t="s">
        <v>32809</v>
      </c>
      <c r="D28359" s="38" t="str">
        <f>IFERROR(__xludf.DUMMYFUNCTION("REGEXREPLACE(C28359,""-\d+(.*)|--\d+(.*)"","""")"),"SAINT-AMANT-DE-NOUERE")</f>
        <v>SAINT-AMANT-DE-NOUERE</v>
      </c>
      <c r="E28359" s="38" t="s">
        <v>429</v>
      </c>
      <c r="F28359" s="38" t="s">
        <v>338</v>
      </c>
      <c r="G28359" s="49" t="str">
        <f t="shared" si="1"/>
        <v>16170</v>
      </c>
      <c r="H28359" s="49">
        <f t="shared" si="2"/>
        <v>16298</v>
      </c>
    </row>
    <row r="28360">
      <c r="A28360" s="48" t="s">
        <v>11011</v>
      </c>
      <c r="B28360" s="38">
        <v>14523.0</v>
      </c>
      <c r="C28360" s="38" t="s">
        <v>32810</v>
      </c>
      <c r="D28360" s="38" t="str">
        <f>IFERROR(__xludf.DUMMYFUNCTION("REGEXREPLACE(C28360,""-\d+(.*)|--\d+(.*)"","""")"),"PROUSSY")</f>
        <v>PROUSSY</v>
      </c>
      <c r="E28360" s="38" t="s">
        <v>137</v>
      </c>
      <c r="F28360" s="38" t="s">
        <v>138</v>
      </c>
      <c r="G28360" s="49" t="str">
        <f t="shared" si="1"/>
        <v>14110</v>
      </c>
      <c r="H28360" s="49">
        <f t="shared" si="2"/>
        <v>14523</v>
      </c>
    </row>
    <row r="28361">
      <c r="A28361" s="48" t="s">
        <v>3046</v>
      </c>
      <c r="B28361" s="38">
        <v>70505.0</v>
      </c>
      <c r="C28361" s="38" t="s">
        <v>32811</v>
      </c>
      <c r="D28361" s="38" t="str">
        <f>IFERROR(__xludf.DUMMYFUNCTION("REGEXREPLACE(C28361,""-\d+(.*)|--\d+(.*)"","""")"),"LE TREMBLOIS")</f>
        <v>LE TREMBLOIS</v>
      </c>
      <c r="E28361" s="38" t="s">
        <v>956</v>
      </c>
      <c r="F28361" s="38" t="s">
        <v>214</v>
      </c>
      <c r="G28361" s="49" t="str">
        <f t="shared" si="1"/>
        <v>70100</v>
      </c>
      <c r="H28361" s="49">
        <f t="shared" si="2"/>
        <v>70505</v>
      </c>
    </row>
    <row r="28362">
      <c r="A28362" s="48" t="s">
        <v>544</v>
      </c>
      <c r="B28362" s="38">
        <v>57468.0</v>
      </c>
      <c r="C28362" s="38" t="s">
        <v>32812</v>
      </c>
      <c r="D28362" s="38" t="str">
        <f>IFERROR(__xludf.DUMMYFUNCTION("REGEXREPLACE(C28362,""-\d+(.*)|--\d+(.*)"","""")"),"MITTELBRONN")</f>
        <v>MITTELBRONN</v>
      </c>
      <c r="E28362" s="38" t="s">
        <v>303</v>
      </c>
      <c r="F28362" s="38" t="s">
        <v>195</v>
      </c>
      <c r="G28362" s="49" t="str">
        <f t="shared" si="1"/>
        <v>57370</v>
      </c>
      <c r="H28362" s="49">
        <f t="shared" si="2"/>
        <v>57468</v>
      </c>
    </row>
    <row r="28363">
      <c r="A28363" s="48" t="s">
        <v>3711</v>
      </c>
      <c r="B28363" s="38">
        <v>21029.0</v>
      </c>
      <c r="C28363" s="38" t="s">
        <v>21416</v>
      </c>
      <c r="D28363" s="38" t="str">
        <f>IFERROR(__xludf.DUMMYFUNCTION("REGEXREPLACE(C28363,""-\d+(.*)|--\d+(.*)"","""")"),"ATHIE")</f>
        <v>ATHIE</v>
      </c>
      <c r="E28363" s="38" t="s">
        <v>105</v>
      </c>
      <c r="F28363" s="38" t="s">
        <v>106</v>
      </c>
      <c r="G28363" s="49" t="str">
        <f t="shared" si="1"/>
        <v>21500</v>
      </c>
      <c r="H28363" s="49">
        <f t="shared" si="2"/>
        <v>21029</v>
      </c>
    </row>
    <row r="28364">
      <c r="A28364" s="48" t="s">
        <v>6256</v>
      </c>
      <c r="B28364" s="38">
        <v>55107.0</v>
      </c>
      <c r="C28364" s="38" t="s">
        <v>32813</v>
      </c>
      <c r="D28364" s="38" t="str">
        <f>IFERROR(__xludf.DUMMYFUNCTION("REGEXREPLACE(C28364,""-\d+(.*)|--\d+(.*)"","""")"),"CHAUMONT-DEVANT-DAMVILLERS")</f>
        <v>CHAUMONT-DEVANT-DAMVILLERS</v>
      </c>
      <c r="E28364" s="38" t="s">
        <v>322</v>
      </c>
      <c r="F28364" s="38" t="s">
        <v>195</v>
      </c>
      <c r="G28364" s="49" t="str">
        <f t="shared" si="1"/>
        <v>55150</v>
      </c>
      <c r="H28364" s="49">
        <f t="shared" si="2"/>
        <v>55107</v>
      </c>
    </row>
    <row r="28365">
      <c r="A28365" s="48" t="s">
        <v>1827</v>
      </c>
      <c r="B28365" s="38">
        <v>77113.0</v>
      </c>
      <c r="C28365" s="38" t="s">
        <v>32814</v>
      </c>
      <c r="D28365" s="38" t="str">
        <f>IFERROR(__xludf.DUMMYFUNCTION("REGEXREPLACE(C28365,""-\d+(.*)|--\d+(.*)"","""")"),"CHEVRU")</f>
        <v>CHEVRU</v>
      </c>
      <c r="E28365" s="38" t="s">
        <v>244</v>
      </c>
      <c r="F28365" s="38" t="s">
        <v>245</v>
      </c>
      <c r="G28365" s="49" t="str">
        <f t="shared" si="1"/>
        <v>77320</v>
      </c>
      <c r="H28365" s="49">
        <f t="shared" si="2"/>
        <v>77113</v>
      </c>
    </row>
    <row r="28366">
      <c r="A28366" s="48" t="s">
        <v>2083</v>
      </c>
      <c r="B28366" s="38">
        <v>17354.0</v>
      </c>
      <c r="C28366" s="38" t="s">
        <v>11669</v>
      </c>
      <c r="D28366" s="38" t="str">
        <f>IFERROR(__xludf.DUMMYFUNCTION("REGEXREPLACE(C28366,""-\d+(.*)|--\d+(.*)"","""")"),"SAINT-LEGER")</f>
        <v>SAINT-LEGER</v>
      </c>
      <c r="E28366" s="38" t="s">
        <v>488</v>
      </c>
      <c r="F28366" s="38" t="s">
        <v>338</v>
      </c>
      <c r="G28366" s="49" t="str">
        <f t="shared" si="1"/>
        <v>17800</v>
      </c>
      <c r="H28366" s="49">
        <f t="shared" si="2"/>
        <v>17354</v>
      </c>
    </row>
    <row r="28367">
      <c r="A28367" s="48" t="s">
        <v>5230</v>
      </c>
      <c r="B28367" s="38">
        <v>25431.0</v>
      </c>
      <c r="C28367" s="38" t="s">
        <v>32815</v>
      </c>
      <c r="D28367" s="38" t="str">
        <f>IFERROR(__xludf.DUMMYFUNCTION("REGEXREPLACE(C28367,""-\d+(.*)|--\d+(.*)"","""")"),"ONANS")</f>
        <v>ONANS</v>
      </c>
      <c r="E28367" s="38" t="s">
        <v>213</v>
      </c>
      <c r="F28367" s="38" t="s">
        <v>214</v>
      </c>
      <c r="G28367" s="49" t="str">
        <f t="shared" si="1"/>
        <v>25250</v>
      </c>
      <c r="H28367" s="49">
        <f t="shared" si="2"/>
        <v>25431</v>
      </c>
    </row>
    <row r="28368">
      <c r="A28368" s="48" t="s">
        <v>23020</v>
      </c>
      <c r="B28368" s="38">
        <v>59546.0</v>
      </c>
      <c r="C28368" s="38" t="s">
        <v>32816</v>
      </c>
      <c r="D28368" s="38" t="str">
        <f>IFERROR(__xludf.DUMMYFUNCTION("REGEXREPLACE(C28368,""-\d+(.*)|--\d+(.*)"","""")"),"SAINT-SYLVESTRE-CAPPEL")</f>
        <v>SAINT-SYLVESTRE-CAPPEL</v>
      </c>
      <c r="E28368" s="38" t="s">
        <v>85</v>
      </c>
      <c r="F28368" s="38" t="s">
        <v>86</v>
      </c>
      <c r="G28368" s="49" t="str">
        <f t="shared" si="1"/>
        <v>59114</v>
      </c>
      <c r="H28368" s="49">
        <f t="shared" si="2"/>
        <v>59546</v>
      </c>
    </row>
    <row r="28369">
      <c r="A28369" s="48" t="s">
        <v>5286</v>
      </c>
      <c r="B28369" s="38">
        <v>71340.0</v>
      </c>
      <c r="C28369" s="38" t="s">
        <v>32817</v>
      </c>
      <c r="D28369" s="38" t="str">
        <f>IFERROR(__xludf.DUMMYFUNCTION("REGEXREPLACE(C28369,""-\d+(.*)|--\d+(.*)"","""")"),"PALINGES")</f>
        <v>PALINGES</v>
      </c>
      <c r="E28369" s="38" t="s">
        <v>344</v>
      </c>
      <c r="F28369" s="38" t="s">
        <v>106</v>
      </c>
      <c r="G28369" s="49" t="str">
        <f t="shared" si="1"/>
        <v>71430</v>
      </c>
      <c r="H28369" s="49">
        <f t="shared" si="2"/>
        <v>71340</v>
      </c>
    </row>
    <row r="28370">
      <c r="A28370" s="48" t="s">
        <v>3753</v>
      </c>
      <c r="B28370" s="38">
        <v>18289.0</v>
      </c>
      <c r="C28370" s="38" t="s">
        <v>32818</v>
      </c>
      <c r="D28370" s="38" t="str">
        <f>IFERROR(__xludf.DUMMYFUNCTION("REGEXREPLACE(C28370,""-\d+(.*)|--\d+(.*)"","""")"),"VORNAY")</f>
        <v>VORNAY</v>
      </c>
      <c r="E28370" s="38" t="s">
        <v>504</v>
      </c>
      <c r="F28370" s="38" t="s">
        <v>123</v>
      </c>
      <c r="G28370" s="49" t="str">
        <f t="shared" si="1"/>
        <v>18130</v>
      </c>
      <c r="H28370" s="49">
        <f t="shared" si="2"/>
        <v>18289</v>
      </c>
    </row>
    <row r="28371">
      <c r="A28371" s="48" t="s">
        <v>284</v>
      </c>
      <c r="B28371" s="38">
        <v>60160.0</v>
      </c>
      <c r="C28371" s="38" t="s">
        <v>32819</v>
      </c>
      <c r="D28371" s="38" t="str">
        <f>IFERROR(__xludf.DUMMYFUNCTION("REGEXREPLACE(C28371,""-\d+(.*)|--\d+(.*)"","""")"),"CONCHY-LES-POTS")</f>
        <v>CONCHY-LES-POTS</v>
      </c>
      <c r="E28371" s="38" t="s">
        <v>112</v>
      </c>
      <c r="F28371" s="38" t="s">
        <v>113</v>
      </c>
      <c r="G28371" s="49" t="str">
        <f t="shared" si="1"/>
        <v>60490</v>
      </c>
      <c r="H28371" s="49">
        <f t="shared" si="2"/>
        <v>60160</v>
      </c>
    </row>
    <row r="28372">
      <c r="A28372" s="48" t="s">
        <v>3184</v>
      </c>
      <c r="B28372" s="38">
        <v>36108.0</v>
      </c>
      <c r="C28372" s="38" t="s">
        <v>32820</v>
      </c>
      <c r="D28372" s="38" t="str">
        <f>IFERROR(__xludf.DUMMYFUNCTION("REGEXREPLACE(C28372,""-\d+(.*)|--\d+(.*)"","""")"),"LYS-SAINT-GEORGES")</f>
        <v>LYS-SAINT-GEORGES</v>
      </c>
      <c r="E28372" s="38" t="s">
        <v>258</v>
      </c>
      <c r="F28372" s="38" t="s">
        <v>123</v>
      </c>
      <c r="G28372" s="49" t="str">
        <f t="shared" si="1"/>
        <v>36230</v>
      </c>
      <c r="H28372" s="49">
        <f t="shared" si="2"/>
        <v>36108</v>
      </c>
    </row>
    <row r="28373">
      <c r="A28373" s="48" t="s">
        <v>474</v>
      </c>
      <c r="B28373" s="38">
        <v>76092.0</v>
      </c>
      <c r="C28373" s="38" t="s">
        <v>32821</v>
      </c>
      <c r="D28373" s="38" t="str">
        <f>IFERROR(__xludf.DUMMYFUNCTION("REGEXREPLACE(C28373,""-\d+(.*)|--\d+(.*)"","""")"),"BEUZEVILLETTE")</f>
        <v>BEUZEVILLETTE</v>
      </c>
      <c r="E28373" s="38" t="s">
        <v>133</v>
      </c>
      <c r="F28373" s="38" t="s">
        <v>134</v>
      </c>
      <c r="G28373" s="49" t="str">
        <f t="shared" si="1"/>
        <v>76210</v>
      </c>
      <c r="H28373" s="49">
        <f t="shared" si="2"/>
        <v>76092</v>
      </c>
    </row>
    <row r="28374">
      <c r="A28374" s="48" t="s">
        <v>8702</v>
      </c>
      <c r="B28374" s="38" t="s">
        <v>32822</v>
      </c>
      <c r="C28374" s="38" t="s">
        <v>32823</v>
      </c>
      <c r="D28374" s="38" t="str">
        <f>IFERROR(__xludf.DUMMYFUNCTION("REGEXREPLACE(C28374,""-\d+(.*)|--\d+(.*)"","""")"),"PROPRIANO")</f>
        <v>PROPRIANO</v>
      </c>
      <c r="E28374" s="38" t="s">
        <v>606</v>
      </c>
      <c r="F28374" s="38" t="s">
        <v>607</v>
      </c>
      <c r="G28374" s="49" t="str">
        <f t="shared" si="1"/>
        <v>20110</v>
      </c>
      <c r="H28374" s="49" t="str">
        <f t="shared" si="2"/>
        <v>2A249</v>
      </c>
    </row>
    <row r="28375">
      <c r="A28375" s="48" t="s">
        <v>2016</v>
      </c>
      <c r="B28375" s="38">
        <v>50556.0</v>
      </c>
      <c r="C28375" s="38" t="s">
        <v>32824</v>
      </c>
      <c r="D28375" s="38" t="str">
        <f>IFERROR(__xludf.DUMMYFUNCTION("REGEXREPLACE(C28375,""-\d+(.*)|--\d+(.*)"","""")"),"SAINTE-SUZANNE-SUR-VIRE")</f>
        <v>SAINTE-SUZANNE-SUR-VIRE</v>
      </c>
      <c r="E28375" s="38" t="s">
        <v>157</v>
      </c>
      <c r="F28375" s="38" t="s">
        <v>138</v>
      </c>
      <c r="G28375" s="49" t="str">
        <f t="shared" si="1"/>
        <v>50750</v>
      </c>
      <c r="H28375" s="49">
        <f t="shared" si="2"/>
        <v>50556</v>
      </c>
    </row>
    <row r="28376">
      <c r="A28376" s="48" t="s">
        <v>3071</v>
      </c>
      <c r="B28376" s="38">
        <v>59053.0</v>
      </c>
      <c r="C28376" s="38" t="s">
        <v>32825</v>
      </c>
      <c r="D28376" s="38" t="str">
        <f>IFERROR(__xludf.DUMMYFUNCTION("REGEXREPLACE(C28376,""-\d+(.*)|--\d+(.*)"","""")"),"BAVAY")</f>
        <v>BAVAY</v>
      </c>
      <c r="E28376" s="38" t="s">
        <v>85</v>
      </c>
      <c r="F28376" s="38" t="s">
        <v>86</v>
      </c>
      <c r="G28376" s="49" t="str">
        <f t="shared" si="1"/>
        <v>59570</v>
      </c>
      <c r="H28376" s="49">
        <f t="shared" si="2"/>
        <v>59053</v>
      </c>
    </row>
    <row r="28377">
      <c r="A28377" s="48" t="s">
        <v>4499</v>
      </c>
      <c r="B28377" s="38">
        <v>25109.0</v>
      </c>
      <c r="C28377" s="38" t="s">
        <v>32826</v>
      </c>
      <c r="D28377" s="38" t="str">
        <f>IFERROR(__xludf.DUMMYFUNCTION("REGEXREPLACE(C28377,""-\d+(.*)|--\d+(.*)"","""")"),"CESSEY")</f>
        <v>CESSEY</v>
      </c>
      <c r="E28377" s="38" t="s">
        <v>213</v>
      </c>
      <c r="F28377" s="38" t="s">
        <v>214</v>
      </c>
      <c r="G28377" s="49" t="str">
        <f t="shared" si="1"/>
        <v>25440</v>
      </c>
      <c r="H28377" s="49">
        <f t="shared" si="2"/>
        <v>25109</v>
      </c>
    </row>
    <row r="28378">
      <c r="A28378" s="48" t="s">
        <v>32827</v>
      </c>
      <c r="B28378" s="38">
        <v>83063.0</v>
      </c>
      <c r="C28378" s="38" t="s">
        <v>32828</v>
      </c>
      <c r="D28378" s="38" t="str">
        <f>IFERROR(__xludf.DUMMYFUNCTION("REGEXREPLACE(C28378,""-\d+(.*)|--\d+(.*)"","""")"),"LA GARDE-FREINET")</f>
        <v>LA GARDE-FREINET</v>
      </c>
      <c r="E28378" s="38" t="s">
        <v>813</v>
      </c>
      <c r="F28378" s="38" t="s">
        <v>228</v>
      </c>
      <c r="G28378" s="49" t="str">
        <f t="shared" si="1"/>
        <v>83680</v>
      </c>
      <c r="H28378" s="49">
        <f t="shared" si="2"/>
        <v>83063</v>
      </c>
    </row>
    <row r="28379">
      <c r="A28379" s="48" t="s">
        <v>3233</v>
      </c>
      <c r="B28379" s="38">
        <v>54404.0</v>
      </c>
      <c r="C28379" s="38" t="s">
        <v>32829</v>
      </c>
      <c r="D28379" s="38" t="str">
        <f>IFERROR(__xludf.DUMMYFUNCTION("REGEXREPLACE(C28379,""-\d+(.*)|--\d+(.*)"","""")"),"NOVIANT-AUX-PRES")</f>
        <v>NOVIANT-AUX-PRES</v>
      </c>
      <c r="E28379" s="38" t="s">
        <v>548</v>
      </c>
      <c r="F28379" s="38" t="s">
        <v>195</v>
      </c>
      <c r="G28379" s="49" t="str">
        <f t="shared" si="1"/>
        <v>54385</v>
      </c>
      <c r="H28379" s="49">
        <f t="shared" si="2"/>
        <v>54404</v>
      </c>
    </row>
    <row r="28380">
      <c r="A28380" s="48" t="s">
        <v>5763</v>
      </c>
      <c r="B28380" s="38">
        <v>63320.0</v>
      </c>
      <c r="C28380" s="38" t="s">
        <v>2297</v>
      </c>
      <c r="D28380" s="38" t="str">
        <f>IFERROR(__xludf.DUMMYFUNCTION("REGEXREPLACE(C28380,""-\d+(.*)|--\d+(.*)"","""")"),"SAINT-AVIT")</f>
        <v>SAINT-AVIT</v>
      </c>
      <c r="E28380" s="38" t="s">
        <v>353</v>
      </c>
      <c r="F28380" s="38" t="s">
        <v>161</v>
      </c>
      <c r="G28380" s="49" t="str">
        <f t="shared" si="1"/>
        <v>63380</v>
      </c>
      <c r="H28380" s="49">
        <f t="shared" si="2"/>
        <v>63320</v>
      </c>
    </row>
    <row r="28381">
      <c r="A28381" s="48" t="s">
        <v>1850</v>
      </c>
      <c r="B28381" s="38">
        <v>48124.0</v>
      </c>
      <c r="C28381" s="38" t="s">
        <v>32830</v>
      </c>
      <c r="D28381" s="38" t="str">
        <f>IFERROR(__xludf.DUMMYFUNCTION("REGEXREPLACE(C28381,""-\d+(.*)|--\d+(.*)"","""")"),"RECOULES-DE-FUMAS")</f>
        <v>RECOULES-DE-FUMAS</v>
      </c>
      <c r="E28381" s="38" t="s">
        <v>154</v>
      </c>
      <c r="F28381" s="38" t="s">
        <v>119</v>
      </c>
      <c r="G28381" s="49" t="str">
        <f t="shared" si="1"/>
        <v>48100</v>
      </c>
      <c r="H28381" s="49">
        <f t="shared" si="2"/>
        <v>48124</v>
      </c>
    </row>
    <row r="28382">
      <c r="A28382" s="48" t="s">
        <v>1085</v>
      </c>
      <c r="B28382" s="38">
        <v>55360.0</v>
      </c>
      <c r="C28382" s="38" t="s">
        <v>32831</v>
      </c>
      <c r="D28382" s="38" t="str">
        <f>IFERROR(__xludf.DUMMYFUNCTION("REGEXREPLACE(C28382,""-\d+(.*)|--\d+(.*)"","""")"),"MOUILLY")</f>
        <v>MOUILLY</v>
      </c>
      <c r="E28382" s="38" t="s">
        <v>322</v>
      </c>
      <c r="F28382" s="38" t="s">
        <v>195</v>
      </c>
      <c r="G28382" s="49" t="str">
        <f t="shared" si="1"/>
        <v>55320</v>
      </c>
      <c r="H28382" s="49">
        <f t="shared" si="2"/>
        <v>55360</v>
      </c>
    </row>
    <row r="28383">
      <c r="A28383" s="48" t="s">
        <v>2073</v>
      </c>
      <c r="B28383" s="38">
        <v>8405.0</v>
      </c>
      <c r="C28383" s="38" t="s">
        <v>14886</v>
      </c>
      <c r="D28383" s="38" t="str">
        <f>IFERROR(__xludf.DUMMYFUNCTION("REGEXREPLACE(C28383,""-\d+(.*)|--\d+(.*)"","""")"),"SAUVILLE")</f>
        <v>SAUVILLE</v>
      </c>
      <c r="E28383" s="38" t="s">
        <v>327</v>
      </c>
      <c r="F28383" s="38" t="s">
        <v>130</v>
      </c>
      <c r="G28383" s="49" t="str">
        <f t="shared" si="1"/>
        <v>08390</v>
      </c>
      <c r="H28383" s="49" t="str">
        <f t="shared" si="2"/>
        <v>08405</v>
      </c>
    </row>
    <row r="28384">
      <c r="A28384" s="48" t="s">
        <v>1493</v>
      </c>
      <c r="B28384" s="38">
        <v>58028.0</v>
      </c>
      <c r="C28384" s="38" t="s">
        <v>32832</v>
      </c>
      <c r="D28384" s="38" t="str">
        <f>IFERROR(__xludf.DUMMYFUNCTION("REGEXREPLACE(C28384,""-\d+(.*)|--\d+(.*)"","""")"),"BEAUMONT-SARDOLLES")</f>
        <v>BEAUMONT-SARDOLLES</v>
      </c>
      <c r="E28384" s="38" t="s">
        <v>219</v>
      </c>
      <c r="F28384" s="38" t="s">
        <v>106</v>
      </c>
      <c r="G28384" s="49" t="str">
        <f t="shared" si="1"/>
        <v>58270</v>
      </c>
      <c r="H28384" s="49">
        <f t="shared" si="2"/>
        <v>58028</v>
      </c>
    </row>
    <row r="28385">
      <c r="A28385" s="48" t="s">
        <v>9028</v>
      </c>
      <c r="B28385" s="38">
        <v>65153.0</v>
      </c>
      <c r="C28385" s="38" t="s">
        <v>32833</v>
      </c>
      <c r="D28385" s="38" t="str">
        <f>IFERROR(__xludf.DUMMYFUNCTION("REGEXREPLACE(C28385,""-\d+(.*)|--\d+(.*)"","""")"),"COUSSAN")</f>
        <v>COUSSAN</v>
      </c>
      <c r="E28385" s="38" t="s">
        <v>200</v>
      </c>
      <c r="F28385" s="38" t="s">
        <v>94</v>
      </c>
      <c r="G28385" s="49" t="str">
        <f t="shared" si="1"/>
        <v>65350</v>
      </c>
      <c r="H28385" s="49">
        <f t="shared" si="2"/>
        <v>65153</v>
      </c>
    </row>
    <row r="28386">
      <c r="A28386" s="48" t="s">
        <v>2605</v>
      </c>
      <c r="B28386" s="38">
        <v>39312.0</v>
      </c>
      <c r="C28386" s="38" t="s">
        <v>32834</v>
      </c>
      <c r="D28386" s="38" t="str">
        <f>IFERROR(__xludf.DUMMYFUNCTION("REGEXREPLACE(C28386,""-\d+(.*)|--\d+(.*)"","""")"),"MARIGNA-SUR-VALOUSE")</f>
        <v>MARIGNA-SUR-VALOUSE</v>
      </c>
      <c r="E28386" s="38" t="s">
        <v>400</v>
      </c>
      <c r="F28386" s="38" t="s">
        <v>214</v>
      </c>
      <c r="G28386" s="49" t="str">
        <f t="shared" si="1"/>
        <v>39240</v>
      </c>
      <c r="H28386" s="49">
        <f t="shared" si="2"/>
        <v>39312</v>
      </c>
    </row>
    <row r="28387">
      <c r="A28387" s="48" t="s">
        <v>6184</v>
      </c>
      <c r="B28387" s="38">
        <v>7110.0</v>
      </c>
      <c r="C28387" s="38" t="s">
        <v>32835</v>
      </c>
      <c r="D28387" s="38" t="str">
        <f>IFERROR(__xludf.DUMMYFUNCTION("REGEXREPLACE(C28387,""-\d+(.*)|--\d+(.*)"","""")"),"JOYEUSE")</f>
        <v>JOYEUSE</v>
      </c>
      <c r="E28387" s="38" t="s">
        <v>144</v>
      </c>
      <c r="F28387" s="38" t="s">
        <v>102</v>
      </c>
      <c r="G28387" s="49" t="str">
        <f t="shared" si="1"/>
        <v>07260</v>
      </c>
      <c r="H28387" s="49" t="str">
        <f t="shared" si="2"/>
        <v>07110</v>
      </c>
    </row>
    <row r="28388">
      <c r="A28388" s="48" t="s">
        <v>794</v>
      </c>
      <c r="B28388" s="38">
        <v>60146.0</v>
      </c>
      <c r="C28388" s="38" t="s">
        <v>32836</v>
      </c>
      <c r="D28388" s="38" t="str">
        <f>IFERROR(__xludf.DUMMYFUNCTION("REGEXREPLACE(C28388,""-\d+(.*)|--\d+(.*)"","""")"),"CHEPOIX")</f>
        <v>CHEPOIX</v>
      </c>
      <c r="E28388" s="38" t="s">
        <v>112</v>
      </c>
      <c r="F28388" s="38" t="s">
        <v>113</v>
      </c>
      <c r="G28388" s="49" t="str">
        <f t="shared" si="1"/>
        <v>60120</v>
      </c>
      <c r="H28388" s="49">
        <f t="shared" si="2"/>
        <v>60146</v>
      </c>
    </row>
    <row r="28389">
      <c r="A28389" s="48" t="s">
        <v>1450</v>
      </c>
      <c r="B28389" s="38">
        <v>50050.0</v>
      </c>
      <c r="C28389" s="38" t="s">
        <v>32837</v>
      </c>
      <c r="D28389" s="38" t="str">
        <f>IFERROR(__xludf.DUMMYFUNCTION("REGEXREPLACE(C28389,""-\d+(.*)|--\d+(.*)"","""")"),"BEUVRIGNY")</f>
        <v>BEUVRIGNY</v>
      </c>
      <c r="E28389" s="38" t="s">
        <v>157</v>
      </c>
      <c r="F28389" s="38" t="s">
        <v>138</v>
      </c>
      <c r="G28389" s="49" t="str">
        <f t="shared" si="1"/>
        <v>50420</v>
      </c>
      <c r="H28389" s="49">
        <f t="shared" si="2"/>
        <v>50050</v>
      </c>
    </row>
    <row r="28390">
      <c r="A28390" s="48" t="s">
        <v>4733</v>
      </c>
      <c r="B28390" s="38">
        <v>38152.0</v>
      </c>
      <c r="C28390" s="38" t="s">
        <v>32838</v>
      </c>
      <c r="D28390" s="38" t="str">
        <f>IFERROR(__xludf.DUMMYFUNCTION("REGEXREPLACE(C28390,""-\d+(.*)|--\d+(.*)"","""")"),"ECLOSE")</f>
        <v>ECLOSE</v>
      </c>
      <c r="E28390" s="38" t="s">
        <v>101</v>
      </c>
      <c r="F28390" s="38" t="s">
        <v>102</v>
      </c>
      <c r="G28390" s="49" t="str">
        <f t="shared" si="1"/>
        <v>38300</v>
      </c>
      <c r="H28390" s="49">
        <f t="shared" si="2"/>
        <v>38152</v>
      </c>
    </row>
    <row r="28391">
      <c r="A28391" s="48" t="s">
        <v>5584</v>
      </c>
      <c r="B28391" s="38">
        <v>41028.0</v>
      </c>
      <c r="C28391" s="38" t="s">
        <v>32839</v>
      </c>
      <c r="D28391" s="38" t="str">
        <f>IFERROR(__xludf.DUMMYFUNCTION("REGEXREPLACE(C28391,""-\d+(.*)|--\d+(.*)"","""")"),"BUSLOUP")</f>
        <v>BUSLOUP</v>
      </c>
      <c r="E28391" s="38" t="s">
        <v>188</v>
      </c>
      <c r="F28391" s="38" t="s">
        <v>123</v>
      </c>
      <c r="G28391" s="49" t="str">
        <f t="shared" si="1"/>
        <v>41160</v>
      </c>
      <c r="H28391" s="49">
        <f t="shared" si="2"/>
        <v>41028</v>
      </c>
    </row>
    <row r="28392">
      <c r="A28392" s="48" t="s">
        <v>10582</v>
      </c>
      <c r="B28392" s="38">
        <v>77397.0</v>
      </c>
      <c r="C28392" s="38" t="s">
        <v>32840</v>
      </c>
      <c r="D28392" s="38" t="str">
        <f>IFERROR(__xludf.DUMMYFUNCTION("REGEXREPLACE(C28392,""-\d+(.*)|--\d+(.*)"","""")"),"SAACY-SUR-MARNE")</f>
        <v>SAACY-SUR-MARNE</v>
      </c>
      <c r="E28392" s="38" t="s">
        <v>244</v>
      </c>
      <c r="F28392" s="38" t="s">
        <v>245</v>
      </c>
      <c r="G28392" s="49" t="str">
        <f t="shared" si="1"/>
        <v>77730</v>
      </c>
      <c r="H28392" s="49">
        <f t="shared" si="2"/>
        <v>77397</v>
      </c>
    </row>
    <row r="28393">
      <c r="A28393" s="48" t="s">
        <v>3017</v>
      </c>
      <c r="B28393" s="38">
        <v>1403.0</v>
      </c>
      <c r="C28393" s="38" t="s">
        <v>32841</v>
      </c>
      <c r="D28393" s="38" t="str">
        <f>IFERROR(__xludf.DUMMYFUNCTION("REGEXREPLACE(C28393,""-\d+(.*)|--\d+(.*)"","""")"),"SERRIERES-DE-BRIORD")</f>
        <v>SERRIERES-DE-BRIORD</v>
      </c>
      <c r="E28393" s="38" t="s">
        <v>255</v>
      </c>
      <c r="F28393" s="38" t="s">
        <v>102</v>
      </c>
      <c r="G28393" s="49" t="str">
        <f t="shared" si="1"/>
        <v>01470</v>
      </c>
      <c r="H28393" s="49" t="str">
        <f t="shared" si="2"/>
        <v>01403</v>
      </c>
    </row>
    <row r="28394">
      <c r="A28394" s="48" t="s">
        <v>5081</v>
      </c>
      <c r="B28394" s="38">
        <v>54018.0</v>
      </c>
      <c r="C28394" s="38" t="s">
        <v>32842</v>
      </c>
      <c r="D28394" s="38" t="str">
        <f>IFERROR(__xludf.DUMMYFUNCTION("REGEXREPLACE(C28394,""-\d+(.*)|--\d+(.*)"","""")"),"ANOUX")</f>
        <v>ANOUX</v>
      </c>
      <c r="E28394" s="38" t="s">
        <v>548</v>
      </c>
      <c r="F28394" s="38" t="s">
        <v>195</v>
      </c>
      <c r="G28394" s="49" t="str">
        <f t="shared" si="1"/>
        <v>54150</v>
      </c>
      <c r="H28394" s="49">
        <f t="shared" si="2"/>
        <v>54018</v>
      </c>
    </row>
    <row r="28395">
      <c r="A28395" s="48" t="s">
        <v>6387</v>
      </c>
      <c r="B28395" s="38">
        <v>2389.0</v>
      </c>
      <c r="C28395" s="38" t="s">
        <v>32843</v>
      </c>
      <c r="D28395" s="38" t="str">
        <f>IFERROR(__xludf.DUMMYFUNCTION("REGEXREPLACE(C28395,""-\d+(.*)|--\d+(.*)"","""")"),"JAULGONNE")</f>
        <v>JAULGONNE</v>
      </c>
      <c r="E28395" s="38" t="s">
        <v>191</v>
      </c>
      <c r="F28395" s="38" t="s">
        <v>113</v>
      </c>
      <c r="G28395" s="49" t="str">
        <f t="shared" si="1"/>
        <v>02850</v>
      </c>
      <c r="H28395" s="49" t="str">
        <f t="shared" si="2"/>
        <v>02389</v>
      </c>
    </row>
    <row r="28396">
      <c r="A28396" s="48" t="s">
        <v>651</v>
      </c>
      <c r="B28396" s="38">
        <v>49198.0</v>
      </c>
      <c r="C28396" s="38" t="s">
        <v>32844</v>
      </c>
      <c r="D28396" s="38" t="str">
        <f>IFERROR(__xludf.DUMMYFUNCTION("REGEXREPLACE(C28396,""-\d+(.*)|--\d+(.*)"","""")"),"MEIGNE")</f>
        <v>MEIGNE</v>
      </c>
      <c r="E28396" s="38" t="s">
        <v>653</v>
      </c>
      <c r="F28396" s="38" t="s">
        <v>180</v>
      </c>
      <c r="G28396" s="49" t="str">
        <f t="shared" si="1"/>
        <v>49700</v>
      </c>
      <c r="H28396" s="49">
        <f t="shared" si="2"/>
        <v>49198</v>
      </c>
    </row>
    <row r="28397">
      <c r="A28397" s="48" t="s">
        <v>7037</v>
      </c>
      <c r="B28397" s="38">
        <v>34099.0</v>
      </c>
      <c r="C28397" s="38" t="s">
        <v>32845</v>
      </c>
      <c r="D28397" s="38" t="str">
        <f>IFERROR(__xludf.DUMMYFUNCTION("REGEXREPLACE(C28397,""-\d+(.*)|--\d+(.*)"","""")"),"FERRIERES-LES-VERRERIES")</f>
        <v>FERRIERES-LES-VERRERIES</v>
      </c>
      <c r="E28397" s="38" t="s">
        <v>118</v>
      </c>
      <c r="F28397" s="38" t="s">
        <v>119</v>
      </c>
      <c r="G28397" s="49" t="str">
        <f t="shared" si="1"/>
        <v>34190</v>
      </c>
      <c r="H28397" s="49">
        <f t="shared" si="2"/>
        <v>34099</v>
      </c>
    </row>
    <row r="28398">
      <c r="A28398" s="48" t="s">
        <v>4050</v>
      </c>
      <c r="B28398" s="38">
        <v>31574.0</v>
      </c>
      <c r="C28398" s="38" t="s">
        <v>32846</v>
      </c>
      <c r="D28398" s="38" t="str">
        <f>IFERROR(__xludf.DUMMYFUNCTION("REGEXREPLACE(C28398,""-\d+(.*)|--\d+(.*)"","""")"),"VERNET")</f>
        <v>VERNET</v>
      </c>
      <c r="E28398" s="38" t="s">
        <v>93</v>
      </c>
      <c r="F28398" s="38" t="s">
        <v>94</v>
      </c>
      <c r="G28398" s="49" t="str">
        <f t="shared" si="1"/>
        <v>31810</v>
      </c>
      <c r="H28398" s="49">
        <f t="shared" si="2"/>
        <v>31574</v>
      </c>
    </row>
    <row r="28399">
      <c r="A28399" s="48" t="s">
        <v>1756</v>
      </c>
      <c r="B28399" s="38">
        <v>28047.0</v>
      </c>
      <c r="C28399" s="38" t="s">
        <v>32847</v>
      </c>
      <c r="D28399" s="38" t="str">
        <f>IFERROR(__xludf.DUMMYFUNCTION("REGEXREPLACE(C28399,""-\d+(.*)|--\d+(.*)"","""")"),"BOISVILLE-LA-SAINT-PERE")</f>
        <v>BOISVILLE-LA-SAINT-PERE</v>
      </c>
      <c r="E28399" s="38" t="s">
        <v>300</v>
      </c>
      <c r="F28399" s="38" t="s">
        <v>123</v>
      </c>
      <c r="G28399" s="49" t="str">
        <f t="shared" si="1"/>
        <v>28150</v>
      </c>
      <c r="H28399" s="49">
        <f t="shared" si="2"/>
        <v>28047</v>
      </c>
    </row>
    <row r="28400">
      <c r="A28400" s="48" t="s">
        <v>174</v>
      </c>
      <c r="B28400" s="38">
        <v>29079.0</v>
      </c>
      <c r="C28400" s="38" t="s">
        <v>32848</v>
      </c>
      <c r="D28400" s="38" t="str">
        <f>IFERROR(__xludf.DUMMYFUNCTION("REGEXREPLACE(C28400,""-\d+(.*)|--\d+(.*)"","""")"),"HENVIC")</f>
        <v>HENVIC</v>
      </c>
      <c r="E28400" s="38" t="s">
        <v>176</v>
      </c>
      <c r="F28400" s="38" t="s">
        <v>90</v>
      </c>
      <c r="G28400" s="49" t="str">
        <f t="shared" si="1"/>
        <v>29670</v>
      </c>
      <c r="H28400" s="49">
        <f t="shared" si="2"/>
        <v>29079</v>
      </c>
    </row>
    <row r="28401">
      <c r="A28401" s="48" t="s">
        <v>15058</v>
      </c>
      <c r="B28401" s="38">
        <v>42291.0</v>
      </c>
      <c r="C28401" s="38" t="s">
        <v>32849</v>
      </c>
      <c r="D28401" s="38" t="str">
        <f>IFERROR(__xludf.DUMMYFUNCTION("REGEXREPLACE(C28401,""-\d+(.*)|--\d+(.*)"","""")"),"SAINT-THURIN")</f>
        <v>SAINT-THURIN</v>
      </c>
      <c r="E28401" s="38" t="s">
        <v>166</v>
      </c>
      <c r="F28401" s="38" t="s">
        <v>102</v>
      </c>
      <c r="G28401" s="49" t="str">
        <f t="shared" si="1"/>
        <v>42111</v>
      </c>
      <c r="H28401" s="49">
        <f t="shared" si="2"/>
        <v>42291</v>
      </c>
    </row>
    <row r="28402">
      <c r="A28402" s="48" t="s">
        <v>21678</v>
      </c>
      <c r="B28402" s="38">
        <v>44094.0</v>
      </c>
      <c r="C28402" s="38" t="s">
        <v>32850</v>
      </c>
      <c r="D28402" s="38" t="str">
        <f>IFERROR(__xludf.DUMMYFUNCTION("REGEXREPLACE(C28402,""-\d+(.*)|--\d+(.*)"","""")"),"MAUVES-SUR-LOIRE")</f>
        <v>MAUVES-SUR-LOIRE</v>
      </c>
      <c r="E28402" s="38" t="s">
        <v>759</v>
      </c>
      <c r="F28402" s="38" t="s">
        <v>180</v>
      </c>
      <c r="G28402" s="49" t="str">
        <f t="shared" si="1"/>
        <v>44470</v>
      </c>
      <c r="H28402" s="49">
        <f t="shared" si="2"/>
        <v>44094</v>
      </c>
    </row>
    <row r="28403">
      <c r="A28403" s="48" t="s">
        <v>6948</v>
      </c>
      <c r="B28403" s="38">
        <v>17209.0</v>
      </c>
      <c r="C28403" s="38" t="s">
        <v>32851</v>
      </c>
      <c r="D28403" s="38" t="str">
        <f>IFERROR(__xludf.DUMMYFUNCTION("REGEXREPLACE(C28403,""-\d+(.*)|--\d+(.*)"","""")"),"LONZAC")</f>
        <v>LONZAC</v>
      </c>
      <c r="E28403" s="38" t="s">
        <v>488</v>
      </c>
      <c r="F28403" s="38" t="s">
        <v>338</v>
      </c>
      <c r="G28403" s="49" t="str">
        <f t="shared" si="1"/>
        <v>17520</v>
      </c>
      <c r="H28403" s="49">
        <f t="shared" si="2"/>
        <v>17209</v>
      </c>
    </row>
    <row r="28404">
      <c r="A28404" s="48" t="s">
        <v>5648</v>
      </c>
      <c r="B28404" s="38">
        <v>76739.0</v>
      </c>
      <c r="C28404" s="38" t="s">
        <v>32852</v>
      </c>
      <c r="D28404" s="38" t="str">
        <f>IFERROR(__xludf.DUMMYFUNCTION("REGEXREPLACE(C28404,""-\d+(.*)|--\d+(.*)"","""")"),"VIEUX-ROUEN-SUR-BRESLE")</f>
        <v>VIEUX-ROUEN-SUR-BRESLE</v>
      </c>
      <c r="E28404" s="38" t="s">
        <v>133</v>
      </c>
      <c r="F28404" s="38" t="s">
        <v>134</v>
      </c>
      <c r="G28404" s="49" t="str">
        <f t="shared" si="1"/>
        <v>76390</v>
      </c>
      <c r="H28404" s="49">
        <f t="shared" si="2"/>
        <v>76739</v>
      </c>
    </row>
    <row r="28405">
      <c r="A28405" s="48" t="s">
        <v>12001</v>
      </c>
      <c r="B28405" s="38">
        <v>7277.0</v>
      </c>
      <c r="C28405" s="38" t="s">
        <v>32853</v>
      </c>
      <c r="D28405" s="38" t="str">
        <f>IFERROR(__xludf.DUMMYFUNCTION("REGEXREPLACE(C28405,""-\d+(.*)|--\d+(.*)"","""")"),"SAINT-MICHEL-DE-BOULOGNE")</f>
        <v>SAINT-MICHEL-DE-BOULOGNE</v>
      </c>
      <c r="E28405" s="38" t="s">
        <v>144</v>
      </c>
      <c r="F28405" s="38" t="s">
        <v>102</v>
      </c>
      <c r="G28405" s="49" t="str">
        <f t="shared" si="1"/>
        <v>07200</v>
      </c>
      <c r="H28405" s="49" t="str">
        <f t="shared" si="2"/>
        <v>07277</v>
      </c>
    </row>
    <row r="28406">
      <c r="A28406" s="48" t="s">
        <v>13557</v>
      </c>
      <c r="B28406" s="38">
        <v>84077.0</v>
      </c>
      <c r="C28406" s="38" t="s">
        <v>32854</v>
      </c>
      <c r="D28406" s="38" t="str">
        <f>IFERROR(__xludf.DUMMYFUNCTION("REGEXREPLACE(C28406,""-\d+(.*)|--\d+(.*)"","""")"),"MODENE")</f>
        <v>MODENE</v>
      </c>
      <c r="E28406" s="38" t="s">
        <v>1026</v>
      </c>
      <c r="F28406" s="38" t="s">
        <v>228</v>
      </c>
      <c r="G28406" s="49" t="str">
        <f t="shared" si="1"/>
        <v>84330</v>
      </c>
      <c r="H28406" s="49">
        <f t="shared" si="2"/>
        <v>84077</v>
      </c>
    </row>
    <row r="28407">
      <c r="A28407" s="48" t="s">
        <v>2342</v>
      </c>
      <c r="B28407" s="38">
        <v>11418.0</v>
      </c>
      <c r="C28407" s="38" t="s">
        <v>32855</v>
      </c>
      <c r="D28407" s="38" t="str">
        <f>IFERROR(__xludf.DUMMYFUNCTION("REGEXREPLACE(C28407,""-\d+(.*)|--\d+(.*)"","""")"),"VILLASAVARY")</f>
        <v>VILLASAVARY</v>
      </c>
      <c r="E28407" s="38" t="s">
        <v>278</v>
      </c>
      <c r="F28407" s="38" t="s">
        <v>119</v>
      </c>
      <c r="G28407" s="49" t="str">
        <f t="shared" si="1"/>
        <v>11150</v>
      </c>
      <c r="H28407" s="49">
        <f t="shared" si="2"/>
        <v>11418</v>
      </c>
    </row>
    <row r="28408">
      <c r="A28408" s="48" t="s">
        <v>6734</v>
      </c>
      <c r="B28408" s="38">
        <v>28062.0</v>
      </c>
      <c r="C28408" s="38" t="s">
        <v>32856</v>
      </c>
      <c r="D28408" s="38" t="str">
        <f>IFERROR(__xludf.DUMMYFUNCTION("REGEXREPLACE(C28408,""-\d+(.*)|--\d+(.*)"","""")"),"BROUE")</f>
        <v>BROUE</v>
      </c>
      <c r="E28408" s="38" t="s">
        <v>300</v>
      </c>
      <c r="F28408" s="38" t="s">
        <v>123</v>
      </c>
      <c r="G28408" s="49" t="str">
        <f t="shared" si="1"/>
        <v>28410</v>
      </c>
      <c r="H28408" s="49">
        <f t="shared" si="2"/>
        <v>28062</v>
      </c>
    </row>
    <row r="28409">
      <c r="A28409" s="48" t="s">
        <v>3570</v>
      </c>
      <c r="B28409" s="38">
        <v>76528.0</v>
      </c>
      <c r="C28409" s="38" t="s">
        <v>25885</v>
      </c>
      <c r="D28409" s="38" t="str">
        <f>IFERROR(__xludf.DUMMYFUNCTION("REGEXREPLACE(C28409,""-\d+(.*)|--\d+(.*)"","""")"),"RIEUX")</f>
        <v>RIEUX</v>
      </c>
      <c r="E28409" s="38" t="s">
        <v>133</v>
      </c>
      <c r="F28409" s="38" t="s">
        <v>134</v>
      </c>
      <c r="G28409" s="49" t="str">
        <f t="shared" si="1"/>
        <v>76340</v>
      </c>
      <c r="H28409" s="49">
        <f t="shared" si="2"/>
        <v>76528</v>
      </c>
    </row>
    <row r="28410">
      <c r="A28410" s="48" t="s">
        <v>948</v>
      </c>
      <c r="B28410" s="38">
        <v>68114.0</v>
      </c>
      <c r="C28410" s="38" t="s">
        <v>32857</v>
      </c>
      <c r="D28410" s="38" t="str">
        <f>IFERROR(__xludf.DUMMYFUNCTION("REGEXREPLACE(C28410,""-\d+(.*)|--\d+(.*)"","""")"),"GUEVENATTEN")</f>
        <v>GUEVENATTEN</v>
      </c>
      <c r="E28410" s="38" t="s">
        <v>150</v>
      </c>
      <c r="F28410" s="38" t="s">
        <v>151</v>
      </c>
      <c r="G28410" s="49" t="str">
        <f t="shared" si="1"/>
        <v>68210</v>
      </c>
      <c r="H28410" s="49">
        <f t="shared" si="2"/>
        <v>68114</v>
      </c>
    </row>
    <row r="28411">
      <c r="A28411" s="48" t="s">
        <v>5555</v>
      </c>
      <c r="B28411" s="38">
        <v>82055.0</v>
      </c>
      <c r="C28411" s="38" t="s">
        <v>32858</v>
      </c>
      <c r="D28411" s="38" t="str">
        <f>IFERROR(__xludf.DUMMYFUNCTION("REGEXREPLACE(C28411,""-\d+(.*)|--\d+(.*)"","""")"),"ESPARSAC")</f>
        <v>ESPARSAC</v>
      </c>
      <c r="E28411" s="38" t="s">
        <v>570</v>
      </c>
      <c r="F28411" s="38" t="s">
        <v>94</v>
      </c>
      <c r="G28411" s="49" t="str">
        <f t="shared" si="1"/>
        <v>82500</v>
      </c>
      <c r="H28411" s="49">
        <f t="shared" si="2"/>
        <v>82055</v>
      </c>
    </row>
    <row r="28412">
      <c r="A28412" s="48" t="s">
        <v>2848</v>
      </c>
      <c r="B28412" s="38">
        <v>51416.0</v>
      </c>
      <c r="C28412" s="38" t="s">
        <v>32859</v>
      </c>
      <c r="D28412" s="38" t="str">
        <f>IFERROR(__xludf.DUMMYFUNCTION("REGEXREPLACE(C28412,""-\d+(.*)|--\d+(.*)"","""")"),"ORBAIS-L'ABBAYE")</f>
        <v>ORBAIS-L'ABBAYE</v>
      </c>
      <c r="E28412" s="38" t="s">
        <v>129</v>
      </c>
      <c r="F28412" s="38" t="s">
        <v>130</v>
      </c>
      <c r="G28412" s="49" t="str">
        <f t="shared" si="1"/>
        <v>51270</v>
      </c>
      <c r="H28412" s="49">
        <f t="shared" si="2"/>
        <v>51416</v>
      </c>
    </row>
    <row r="28413">
      <c r="A28413" s="48" t="s">
        <v>2794</v>
      </c>
      <c r="B28413" s="38">
        <v>39330.0</v>
      </c>
      <c r="C28413" s="38" t="s">
        <v>32860</v>
      </c>
      <c r="D28413" s="38" t="str">
        <f>IFERROR(__xludf.DUMMYFUNCTION("REGEXREPLACE(C28413,""-\d+(.*)|--\d+(.*)"","""")"),"MIERY")</f>
        <v>MIERY</v>
      </c>
      <c r="E28413" s="38" t="s">
        <v>400</v>
      </c>
      <c r="F28413" s="38" t="s">
        <v>214</v>
      </c>
      <c r="G28413" s="49" t="str">
        <f t="shared" si="1"/>
        <v>39800</v>
      </c>
      <c r="H28413" s="49">
        <f t="shared" si="2"/>
        <v>39330</v>
      </c>
    </row>
    <row r="28414">
      <c r="A28414" s="48" t="s">
        <v>6480</v>
      </c>
      <c r="B28414" s="38">
        <v>74103.0</v>
      </c>
      <c r="C28414" s="38" t="s">
        <v>32861</v>
      </c>
      <c r="D28414" s="38" t="str">
        <f>IFERROR(__xludf.DUMMYFUNCTION("REGEXREPLACE(C28414,""-\d+(.*)|--\d+(.*)"","""")"),"DOMANCY")</f>
        <v>DOMANCY</v>
      </c>
      <c r="E28414" s="38" t="s">
        <v>319</v>
      </c>
      <c r="F28414" s="38" t="s">
        <v>102</v>
      </c>
      <c r="G28414" s="49" t="str">
        <f t="shared" si="1"/>
        <v>74700</v>
      </c>
      <c r="H28414" s="49">
        <f t="shared" si="2"/>
        <v>74103</v>
      </c>
    </row>
    <row r="28415">
      <c r="A28415" s="48" t="s">
        <v>2326</v>
      </c>
      <c r="B28415" s="38">
        <v>54418.0</v>
      </c>
      <c r="C28415" s="38" t="s">
        <v>32862</v>
      </c>
      <c r="D28415" s="38" t="str">
        <f>IFERROR(__xludf.DUMMYFUNCTION("REGEXREPLACE(C28415,""-\d+(.*)|--\d+(.*)"","""")"),"PARROY")</f>
        <v>PARROY</v>
      </c>
      <c r="E28415" s="38" t="s">
        <v>548</v>
      </c>
      <c r="F28415" s="38" t="s">
        <v>195</v>
      </c>
      <c r="G28415" s="49" t="str">
        <f t="shared" si="1"/>
        <v>54370</v>
      </c>
      <c r="H28415" s="49">
        <f t="shared" si="2"/>
        <v>54418</v>
      </c>
    </row>
    <row r="28416">
      <c r="A28416" s="48" t="s">
        <v>1477</v>
      </c>
      <c r="B28416" s="38">
        <v>61188.0</v>
      </c>
      <c r="C28416" s="38" t="s">
        <v>32863</v>
      </c>
      <c r="D28416" s="38" t="str">
        <f>IFERROR(__xludf.DUMMYFUNCTION("REGEXREPLACE(C28416,""-\d+(.*)|--\d+(.*)"","""")"),"LA GENEVRAIE")</f>
        <v>LA GENEVRAIE</v>
      </c>
      <c r="E28416" s="38" t="s">
        <v>141</v>
      </c>
      <c r="F28416" s="38" t="s">
        <v>138</v>
      </c>
      <c r="G28416" s="49" t="str">
        <f t="shared" si="1"/>
        <v>61240</v>
      </c>
      <c r="H28416" s="49">
        <f t="shared" si="2"/>
        <v>61188</v>
      </c>
    </row>
    <row r="28417">
      <c r="A28417" s="48" t="s">
        <v>573</v>
      </c>
      <c r="B28417" s="38">
        <v>65081.0</v>
      </c>
      <c r="C28417" s="38" t="s">
        <v>27582</v>
      </c>
      <c r="D28417" s="38" t="str">
        <f>IFERROR(__xludf.DUMMYFUNCTION("REGEXREPLACE(C28417,""-\d+(.*)|--\d+(.*)"","""")"),"BENQUE")</f>
        <v>BENQUE</v>
      </c>
      <c r="E28417" s="38" t="s">
        <v>200</v>
      </c>
      <c r="F28417" s="38" t="s">
        <v>94</v>
      </c>
      <c r="G28417" s="49" t="str">
        <f t="shared" si="1"/>
        <v>65130</v>
      </c>
      <c r="H28417" s="49">
        <f t="shared" si="2"/>
        <v>65081</v>
      </c>
    </row>
    <row r="28418">
      <c r="A28418" s="48" t="s">
        <v>32864</v>
      </c>
      <c r="B28418" s="38">
        <v>67124.0</v>
      </c>
      <c r="C28418" s="38" t="s">
        <v>32865</v>
      </c>
      <c r="D28418" s="38" t="str">
        <f>IFERROR(__xludf.DUMMYFUNCTION("REGEXREPLACE(C28418,""-\d+(.*)|--\d+(.*)"","""")"),"ENTZHEIM")</f>
        <v>ENTZHEIM</v>
      </c>
      <c r="E28418" s="38" t="s">
        <v>210</v>
      </c>
      <c r="F28418" s="38" t="s">
        <v>151</v>
      </c>
      <c r="G28418" s="49" t="str">
        <f t="shared" si="1"/>
        <v>67960</v>
      </c>
      <c r="H28418" s="49">
        <f t="shared" si="2"/>
        <v>67124</v>
      </c>
    </row>
    <row r="28419">
      <c r="A28419" s="48" t="s">
        <v>491</v>
      </c>
      <c r="B28419" s="38">
        <v>19110.0</v>
      </c>
      <c r="C28419" s="38" t="s">
        <v>32866</v>
      </c>
      <c r="D28419" s="38" t="str">
        <f>IFERROR(__xludf.DUMMYFUNCTION("REGEXREPLACE(C28419,""-\d+(.*)|--\d+(.*)"","""")"),"LATRONCHE")</f>
        <v>LATRONCHE</v>
      </c>
      <c r="E28419" s="38" t="s">
        <v>271</v>
      </c>
      <c r="F28419" s="38" t="s">
        <v>98</v>
      </c>
      <c r="G28419" s="49" t="str">
        <f t="shared" si="1"/>
        <v>19160</v>
      </c>
      <c r="H28419" s="49">
        <f t="shared" si="2"/>
        <v>19110</v>
      </c>
    </row>
    <row r="28420">
      <c r="A28420" s="48" t="s">
        <v>155</v>
      </c>
      <c r="B28420" s="38">
        <v>50603.0</v>
      </c>
      <c r="C28420" s="38" t="s">
        <v>32867</v>
      </c>
      <c r="D28420" s="38" t="str">
        <f>IFERROR(__xludf.DUMMYFUNCTION("REGEXREPLACE(C28420,""-\d+(.*)|--\d+(.*)"","""")"),"TOURVILLE-SUR-SIENNE")</f>
        <v>TOURVILLE-SUR-SIENNE</v>
      </c>
      <c r="E28420" s="38" t="s">
        <v>157</v>
      </c>
      <c r="F28420" s="38" t="s">
        <v>138</v>
      </c>
      <c r="G28420" s="49" t="str">
        <f t="shared" si="1"/>
        <v>50200</v>
      </c>
      <c r="H28420" s="49">
        <f t="shared" si="2"/>
        <v>50603</v>
      </c>
    </row>
    <row r="28421">
      <c r="A28421" s="48" t="s">
        <v>6542</v>
      </c>
      <c r="B28421" s="38">
        <v>40141.0</v>
      </c>
      <c r="C28421" s="38" t="s">
        <v>32868</v>
      </c>
      <c r="D28421" s="38" t="str">
        <f>IFERROR(__xludf.DUMMYFUNCTION("REGEXREPLACE(C28421,""-\d+(.*)|--\d+(.*)"","""")"),"LAHOSSE")</f>
        <v>LAHOSSE</v>
      </c>
      <c r="E28421" s="38" t="s">
        <v>281</v>
      </c>
      <c r="F28421" s="38" t="s">
        <v>252</v>
      </c>
      <c r="G28421" s="49" t="str">
        <f t="shared" si="1"/>
        <v>40250</v>
      </c>
      <c r="H28421" s="49">
        <f t="shared" si="2"/>
        <v>40141</v>
      </c>
    </row>
    <row r="28422">
      <c r="A28422" s="48" t="s">
        <v>12296</v>
      </c>
      <c r="B28422" s="38">
        <v>73110.0</v>
      </c>
      <c r="C28422" s="38" t="s">
        <v>32869</v>
      </c>
      <c r="D28422" s="38" t="str">
        <f>IFERROR(__xludf.DUMMYFUNCTION("REGEXREPLACE(C28422,""-\d+(.*)|--\d+(.*)"","""")"),"ESSERTS-BLAY")</f>
        <v>ESSERTS-BLAY</v>
      </c>
      <c r="E28422" s="38" t="s">
        <v>306</v>
      </c>
      <c r="F28422" s="38" t="s">
        <v>102</v>
      </c>
      <c r="G28422" s="49" t="str">
        <f t="shared" si="1"/>
        <v>73540</v>
      </c>
      <c r="H28422" s="49">
        <f t="shared" si="2"/>
        <v>73110</v>
      </c>
    </row>
    <row r="28423">
      <c r="A28423" s="48" t="s">
        <v>7166</v>
      </c>
      <c r="B28423" s="38">
        <v>52022.0</v>
      </c>
      <c r="C28423" s="38" t="s">
        <v>32870</v>
      </c>
      <c r="D28423" s="38" t="str">
        <f>IFERROR(__xludf.DUMMYFUNCTION("REGEXREPLACE(C28423,""-\d+(.*)|--\d+(.*)"","""")"),"AUBEPIERRE-SUR-AUBE")</f>
        <v>AUBEPIERRE-SUR-AUBE</v>
      </c>
      <c r="E28423" s="38" t="s">
        <v>234</v>
      </c>
      <c r="F28423" s="38" t="s">
        <v>130</v>
      </c>
      <c r="G28423" s="49" t="str">
        <f t="shared" si="1"/>
        <v>52210</v>
      </c>
      <c r="H28423" s="49">
        <f t="shared" si="2"/>
        <v>52022</v>
      </c>
    </row>
    <row r="28424">
      <c r="A28424" s="48" t="s">
        <v>2052</v>
      </c>
      <c r="B28424" s="38">
        <v>80113.0</v>
      </c>
      <c r="C28424" s="38" t="s">
        <v>23458</v>
      </c>
      <c r="D28424" s="38" t="str">
        <f>IFERROR(__xludf.DUMMYFUNCTION("REGEXREPLACE(C28424,""-\d+(.*)|--\d+(.*)"","""")"),"BONNEVILLE")</f>
        <v>BONNEVILLE</v>
      </c>
      <c r="E28424" s="38" t="s">
        <v>224</v>
      </c>
      <c r="F28424" s="38" t="s">
        <v>113</v>
      </c>
      <c r="G28424" s="49" t="str">
        <f t="shared" si="1"/>
        <v>80670</v>
      </c>
      <c r="H28424" s="49">
        <f t="shared" si="2"/>
        <v>80113</v>
      </c>
    </row>
    <row r="28425">
      <c r="A28425" s="48" t="s">
        <v>2740</v>
      </c>
      <c r="B28425" s="38">
        <v>46154.0</v>
      </c>
      <c r="C28425" s="38" t="s">
        <v>32871</v>
      </c>
      <c r="D28425" s="38" t="str">
        <f>IFERROR(__xludf.DUMMYFUNCTION("REGEXREPLACE(C28425,""-\d+(.*)|--\d+(.*)"","""")"),"LARAMIERE")</f>
        <v>LARAMIERE</v>
      </c>
      <c r="E28425" s="38" t="s">
        <v>185</v>
      </c>
      <c r="F28425" s="38" t="s">
        <v>94</v>
      </c>
      <c r="G28425" s="49" t="str">
        <f t="shared" si="1"/>
        <v>46260</v>
      </c>
      <c r="H28425" s="49">
        <f t="shared" si="2"/>
        <v>46154</v>
      </c>
    </row>
    <row r="28426">
      <c r="A28426" s="48" t="s">
        <v>1785</v>
      </c>
      <c r="B28426" s="38">
        <v>42146.0</v>
      </c>
      <c r="C28426" s="38" t="s">
        <v>32872</v>
      </c>
      <c r="D28426" s="38" t="str">
        <f>IFERROR(__xludf.DUMMYFUNCTION("REGEXREPLACE(C28426,""-\d+(.*)|--\d+(.*)"","""")"),"MONTARCHER")</f>
        <v>MONTARCHER</v>
      </c>
      <c r="E28426" s="38" t="s">
        <v>166</v>
      </c>
      <c r="F28426" s="38" t="s">
        <v>102</v>
      </c>
      <c r="G28426" s="49" t="str">
        <f t="shared" si="1"/>
        <v>42380</v>
      </c>
      <c r="H28426" s="49">
        <f t="shared" si="2"/>
        <v>42146</v>
      </c>
    </row>
    <row r="28427">
      <c r="A28427" s="48" t="s">
        <v>3127</v>
      </c>
      <c r="B28427" s="38">
        <v>70214.0</v>
      </c>
      <c r="C28427" s="38" t="s">
        <v>32873</v>
      </c>
      <c r="D28427" s="38" t="str">
        <f>IFERROR(__xludf.DUMMYFUNCTION("REGEXREPLACE(C28427,""-\d+(.*)|--\d+(.*)"","""")"),"EQUEVILLEY")</f>
        <v>EQUEVILLEY</v>
      </c>
      <c r="E28427" s="38" t="s">
        <v>956</v>
      </c>
      <c r="F28427" s="38" t="s">
        <v>214</v>
      </c>
      <c r="G28427" s="49" t="str">
        <f t="shared" si="1"/>
        <v>70160</v>
      </c>
      <c r="H28427" s="49">
        <f t="shared" si="2"/>
        <v>70214</v>
      </c>
    </row>
    <row r="28428">
      <c r="A28428" s="48" t="s">
        <v>2503</v>
      </c>
      <c r="B28428" s="38">
        <v>33101.0</v>
      </c>
      <c r="C28428" s="38" t="s">
        <v>32874</v>
      </c>
      <c r="D28428" s="38" t="str">
        <f>IFERROR(__xludf.DUMMYFUNCTION("REGEXREPLACE(C28428,""-\d+(.*)|--\d+(.*)"","""")"),"CARTELEGUE")</f>
        <v>CARTELEGUE</v>
      </c>
      <c r="E28428" s="38" t="s">
        <v>462</v>
      </c>
      <c r="F28428" s="38" t="s">
        <v>252</v>
      </c>
      <c r="G28428" s="49" t="str">
        <f t="shared" si="1"/>
        <v>33390</v>
      </c>
      <c r="H28428" s="49">
        <f t="shared" si="2"/>
        <v>33101</v>
      </c>
    </row>
    <row r="28429">
      <c r="A28429" s="48" t="s">
        <v>3545</v>
      </c>
      <c r="B28429" s="38">
        <v>17468.0</v>
      </c>
      <c r="C28429" s="38" t="s">
        <v>15114</v>
      </c>
      <c r="D28429" s="38" t="str">
        <f>IFERROR(__xludf.DUMMYFUNCTION("REGEXREPLACE(C28429,""-\d+(.*)|--\d+(.*)"","""")"),"VIBRAC")</f>
        <v>VIBRAC</v>
      </c>
      <c r="E28429" s="38" t="s">
        <v>488</v>
      </c>
      <c r="F28429" s="38" t="s">
        <v>338</v>
      </c>
      <c r="G28429" s="49" t="str">
        <f t="shared" si="1"/>
        <v>17130</v>
      </c>
      <c r="H28429" s="49">
        <f t="shared" si="2"/>
        <v>17468</v>
      </c>
    </row>
    <row r="28430">
      <c r="A28430" s="48" t="s">
        <v>9181</v>
      </c>
      <c r="B28430" s="38">
        <v>41161.0</v>
      </c>
      <c r="C28430" s="38" t="s">
        <v>32875</v>
      </c>
      <c r="D28430" s="38" t="str">
        <f>IFERROR(__xludf.DUMMYFUNCTION("REGEXREPLACE(C28430,""-\d+(.*)|--\d+(.*)"","""")"),"NOUAN-LE-FUZELIER")</f>
        <v>NOUAN-LE-FUZELIER</v>
      </c>
      <c r="E28430" s="38" t="s">
        <v>188</v>
      </c>
      <c r="F28430" s="38" t="s">
        <v>123</v>
      </c>
      <c r="G28430" s="49" t="str">
        <f t="shared" si="1"/>
        <v>41600</v>
      </c>
      <c r="H28430" s="49">
        <f t="shared" si="2"/>
        <v>41161</v>
      </c>
    </row>
    <row r="28431">
      <c r="A28431" s="48" t="s">
        <v>5047</v>
      </c>
      <c r="B28431" s="38">
        <v>6141.0</v>
      </c>
      <c r="C28431" s="38" t="s">
        <v>32876</v>
      </c>
      <c r="D28431" s="38" t="str">
        <f>IFERROR(__xludf.DUMMYFUNCTION("REGEXREPLACE(C28431,""-\d+(.*)|--\d+(.*)"","""")"),"TOUDON")</f>
        <v>TOUDON</v>
      </c>
      <c r="E28431" s="38" t="s">
        <v>227</v>
      </c>
      <c r="F28431" s="38" t="s">
        <v>228</v>
      </c>
      <c r="G28431" s="49" t="str">
        <f t="shared" si="1"/>
        <v>06830</v>
      </c>
      <c r="H28431" s="49" t="str">
        <f t="shared" si="2"/>
        <v>06141</v>
      </c>
    </row>
    <row r="28432">
      <c r="A28432" s="48" t="s">
        <v>3089</v>
      </c>
      <c r="B28432" s="38">
        <v>18176.0</v>
      </c>
      <c r="C28432" s="38" t="s">
        <v>32877</v>
      </c>
      <c r="D28432" s="38" t="str">
        <f>IFERROR(__xludf.DUMMYFUNCTION("REGEXREPLACE(C28432,""-\d+(.*)|--\d+(.*)"","""")"),"PARASSY")</f>
        <v>PARASSY</v>
      </c>
      <c r="E28432" s="38" t="s">
        <v>504</v>
      </c>
      <c r="F28432" s="38" t="s">
        <v>123</v>
      </c>
      <c r="G28432" s="49" t="str">
        <f t="shared" si="1"/>
        <v>18220</v>
      </c>
      <c r="H28432" s="49">
        <f t="shared" si="2"/>
        <v>18176</v>
      </c>
    </row>
    <row r="28433">
      <c r="A28433" s="48" t="s">
        <v>8839</v>
      </c>
      <c r="B28433" s="38">
        <v>53208.0</v>
      </c>
      <c r="C28433" s="38" t="s">
        <v>32878</v>
      </c>
      <c r="D28433" s="38" t="str">
        <f>IFERROR(__xludf.DUMMYFUNCTION("REGEXREPLACE(C28433,""-\d+(.*)|--\d+(.*)"","""")"),"SAINT-CYR-EN-PAIL")</f>
        <v>SAINT-CYR-EN-PAIL</v>
      </c>
      <c r="E28433" s="38" t="s">
        <v>518</v>
      </c>
      <c r="F28433" s="38" t="s">
        <v>180</v>
      </c>
      <c r="G28433" s="49" t="str">
        <f t="shared" si="1"/>
        <v>53140</v>
      </c>
      <c r="H28433" s="49">
        <f t="shared" si="2"/>
        <v>53208</v>
      </c>
    </row>
    <row r="28434">
      <c r="A28434" s="48" t="s">
        <v>5525</v>
      </c>
      <c r="B28434" s="38">
        <v>10159.0</v>
      </c>
      <c r="C28434" s="38" t="s">
        <v>32879</v>
      </c>
      <c r="D28434" s="38" t="str">
        <f>IFERROR(__xludf.DUMMYFUNCTION("REGEXREPLACE(C28434,""-\d+(.*)|--\d+(.*)"","""")"),"FRALIGNES")</f>
        <v>FRALIGNES</v>
      </c>
      <c r="E28434" s="38" t="s">
        <v>147</v>
      </c>
      <c r="F28434" s="38" t="s">
        <v>130</v>
      </c>
      <c r="G28434" s="49" t="str">
        <f t="shared" si="1"/>
        <v>10110</v>
      </c>
      <c r="H28434" s="49">
        <f t="shared" si="2"/>
        <v>10159</v>
      </c>
    </row>
    <row r="28435">
      <c r="A28435" s="48" t="s">
        <v>10725</v>
      </c>
      <c r="B28435" s="38">
        <v>62397.0</v>
      </c>
      <c r="C28435" s="38" t="s">
        <v>32880</v>
      </c>
      <c r="D28435" s="38" t="str">
        <f>IFERROR(__xludf.DUMMYFUNCTION("REGEXREPLACE(C28435,""-\d+(.*)|--\d+(.*)"","""")"),"GUINES")</f>
        <v>GUINES</v>
      </c>
      <c r="E28435" s="38" t="s">
        <v>109</v>
      </c>
      <c r="F28435" s="38" t="s">
        <v>86</v>
      </c>
      <c r="G28435" s="49" t="str">
        <f t="shared" si="1"/>
        <v>62340</v>
      </c>
      <c r="H28435" s="49">
        <f t="shared" si="2"/>
        <v>62397</v>
      </c>
    </row>
    <row r="28436">
      <c r="A28436" s="48" t="s">
        <v>580</v>
      </c>
      <c r="B28436" s="38">
        <v>31244.0</v>
      </c>
      <c r="C28436" s="38" t="s">
        <v>32881</v>
      </c>
      <c r="D28436" s="38" t="str">
        <f>IFERROR(__xludf.DUMMYFUNCTION("REGEXREPLACE(C28436,""-\d+(.*)|--\d+(.*)"","""")"),"JUZET-DE-LUCHON")</f>
        <v>JUZET-DE-LUCHON</v>
      </c>
      <c r="E28436" s="38" t="s">
        <v>93</v>
      </c>
      <c r="F28436" s="38" t="s">
        <v>94</v>
      </c>
      <c r="G28436" s="49" t="str">
        <f t="shared" si="1"/>
        <v>31110</v>
      </c>
      <c r="H28436" s="49">
        <f t="shared" si="2"/>
        <v>31244</v>
      </c>
    </row>
    <row r="28437">
      <c r="A28437" s="48" t="s">
        <v>2097</v>
      </c>
      <c r="B28437" s="38">
        <v>42065.0</v>
      </c>
      <c r="C28437" s="38" t="s">
        <v>32882</v>
      </c>
      <c r="D28437" s="38" t="str">
        <f>IFERROR(__xludf.DUMMYFUNCTION("REGEXREPLACE(C28437,""-\d+(.*)|--\d+(.*)"","""")"),"CIVENS")</f>
        <v>CIVENS</v>
      </c>
      <c r="E28437" s="38" t="s">
        <v>166</v>
      </c>
      <c r="F28437" s="38" t="s">
        <v>102</v>
      </c>
      <c r="G28437" s="49" t="str">
        <f t="shared" si="1"/>
        <v>42110</v>
      </c>
      <c r="H28437" s="49">
        <f t="shared" si="2"/>
        <v>42065</v>
      </c>
    </row>
    <row r="28438">
      <c r="A28438" s="48" t="s">
        <v>7107</v>
      </c>
      <c r="B28438" s="38">
        <v>10252.0</v>
      </c>
      <c r="C28438" s="38" t="s">
        <v>32883</v>
      </c>
      <c r="D28438" s="38" t="str">
        <f>IFERROR(__xludf.DUMMYFUNCTION("REGEXREPLACE(C28438,""-\d+(.*)|--\d+(.*)"","""")"),"MONTMARTIN-LE-HAUT")</f>
        <v>MONTMARTIN-LE-HAUT</v>
      </c>
      <c r="E28438" s="38" t="s">
        <v>147</v>
      </c>
      <c r="F28438" s="38" t="s">
        <v>130</v>
      </c>
      <c r="G28438" s="49" t="str">
        <f t="shared" si="1"/>
        <v>10140</v>
      </c>
      <c r="H28438" s="49">
        <f t="shared" si="2"/>
        <v>10252</v>
      </c>
    </row>
    <row r="28439">
      <c r="A28439" s="48" t="s">
        <v>3268</v>
      </c>
      <c r="B28439" s="38">
        <v>82023.0</v>
      </c>
      <c r="C28439" s="38" t="s">
        <v>32884</v>
      </c>
      <c r="D28439" s="38" t="str">
        <f>IFERROR(__xludf.DUMMYFUNCTION("REGEXREPLACE(C28439,""-\d+(.*)|--\d+(.*)"","""")"),"BOURRET")</f>
        <v>BOURRET</v>
      </c>
      <c r="E28439" s="38" t="s">
        <v>570</v>
      </c>
      <c r="F28439" s="38" t="s">
        <v>94</v>
      </c>
      <c r="G28439" s="49" t="str">
        <f t="shared" si="1"/>
        <v>82700</v>
      </c>
      <c r="H28439" s="49">
        <f t="shared" si="2"/>
        <v>82023</v>
      </c>
    </row>
    <row r="28440">
      <c r="A28440" s="48" t="s">
        <v>21319</v>
      </c>
      <c r="B28440" s="38">
        <v>12079.0</v>
      </c>
      <c r="C28440" s="38" t="s">
        <v>32885</v>
      </c>
      <c r="D28440" s="38" t="str">
        <f>IFERROR(__xludf.DUMMYFUNCTION("REGEXREPLACE(C28440,""-\d+(.*)|--\d+(.*)"","""")"),"COUBISOU")</f>
        <v>COUBISOU</v>
      </c>
      <c r="E28440" s="38" t="s">
        <v>465</v>
      </c>
      <c r="F28440" s="38" t="s">
        <v>94</v>
      </c>
      <c r="G28440" s="49" t="str">
        <f t="shared" si="1"/>
        <v>12190</v>
      </c>
      <c r="H28440" s="49">
        <f t="shared" si="2"/>
        <v>12079</v>
      </c>
    </row>
    <row r="28441">
      <c r="A28441" s="48" t="s">
        <v>32886</v>
      </c>
      <c r="B28441" s="38">
        <v>6004.0</v>
      </c>
      <c r="C28441" s="38" t="s">
        <v>32887</v>
      </c>
      <c r="D28441" s="38" t="str">
        <f>IFERROR(__xludf.DUMMYFUNCTION("REGEXREPLACE(C28441,""-\d+(.*)|--\d+(.*)"","""")"),"ANTIBES")</f>
        <v>ANTIBES</v>
      </c>
      <c r="E28441" s="38" t="s">
        <v>227</v>
      </c>
      <c r="F28441" s="38" t="s">
        <v>228</v>
      </c>
      <c r="G28441" s="49" t="str">
        <f t="shared" si="1"/>
        <v>06600/06160</v>
      </c>
      <c r="H28441" s="49" t="str">
        <f t="shared" si="2"/>
        <v>06004</v>
      </c>
    </row>
    <row r="28442">
      <c r="A28442" s="48" t="s">
        <v>5086</v>
      </c>
      <c r="B28442" s="38">
        <v>7066.0</v>
      </c>
      <c r="C28442" s="38" t="s">
        <v>32888</v>
      </c>
      <c r="D28442" s="38" t="str">
        <f>IFERROR(__xludf.DUMMYFUNCTION("REGEXREPLACE(C28442,""-\d+(.*)|--\d+(.*)"","""")"),"CHOMERAC")</f>
        <v>CHOMERAC</v>
      </c>
      <c r="E28442" s="38" t="s">
        <v>144</v>
      </c>
      <c r="F28442" s="38" t="s">
        <v>102</v>
      </c>
      <c r="G28442" s="49" t="str">
        <f t="shared" si="1"/>
        <v>07210</v>
      </c>
      <c r="H28442" s="49" t="str">
        <f t="shared" si="2"/>
        <v>07066</v>
      </c>
    </row>
    <row r="28443">
      <c r="A28443" s="48" t="s">
        <v>724</v>
      </c>
      <c r="B28443" s="38">
        <v>32278.0</v>
      </c>
      <c r="C28443" s="38" t="s">
        <v>2818</v>
      </c>
      <c r="D28443" s="38" t="str">
        <f>IFERROR(__xludf.DUMMYFUNCTION("REGEXREPLACE(C28443,""-\d+(.*)|--\d+(.*)"","""")"),"MONTAUT")</f>
        <v>MONTAUT</v>
      </c>
      <c r="E28443" s="38" t="s">
        <v>440</v>
      </c>
      <c r="F28443" s="38" t="s">
        <v>94</v>
      </c>
      <c r="G28443" s="49" t="str">
        <f t="shared" si="1"/>
        <v>32300</v>
      </c>
      <c r="H28443" s="49">
        <f t="shared" si="2"/>
        <v>32278</v>
      </c>
    </row>
    <row r="28444">
      <c r="A28444" s="48" t="s">
        <v>2404</v>
      </c>
      <c r="B28444" s="38">
        <v>31163.0</v>
      </c>
      <c r="C28444" s="38" t="s">
        <v>32889</v>
      </c>
      <c r="D28444" s="38" t="str">
        <f>IFERROR(__xludf.DUMMYFUNCTION("REGEXREPLACE(C28444,""-\d+(.*)|--\d+(.*)"","""")"),"DREMIL-LAFAGE")</f>
        <v>DREMIL-LAFAGE</v>
      </c>
      <c r="E28444" s="38" t="s">
        <v>93</v>
      </c>
      <c r="F28444" s="38" t="s">
        <v>94</v>
      </c>
      <c r="G28444" s="49" t="str">
        <f t="shared" si="1"/>
        <v>31280</v>
      </c>
      <c r="H28444" s="49">
        <f t="shared" si="2"/>
        <v>31163</v>
      </c>
    </row>
    <row r="28445">
      <c r="A28445" s="48" t="s">
        <v>1370</v>
      </c>
      <c r="B28445" s="38">
        <v>10157.0</v>
      </c>
      <c r="C28445" s="38" t="s">
        <v>32890</v>
      </c>
      <c r="D28445" s="38" t="str">
        <f>IFERROR(__xludf.DUMMYFUNCTION("REGEXREPLACE(C28445,""-\d+(.*)|--\d+(.*)"","""")"),"LA FOSSE-CORDUAN")</f>
        <v>LA FOSSE-CORDUAN</v>
      </c>
      <c r="E28445" s="38" t="s">
        <v>147</v>
      </c>
      <c r="F28445" s="38" t="s">
        <v>130</v>
      </c>
      <c r="G28445" s="49" t="str">
        <f t="shared" si="1"/>
        <v>10100</v>
      </c>
      <c r="H28445" s="49">
        <f t="shared" si="2"/>
        <v>10157</v>
      </c>
    </row>
    <row r="28446">
      <c r="A28446" s="48" t="s">
        <v>7657</v>
      </c>
      <c r="B28446" s="38">
        <v>80666.0</v>
      </c>
      <c r="C28446" s="38" t="s">
        <v>32891</v>
      </c>
      <c r="D28446" s="38" t="str">
        <f>IFERROR(__xludf.DUMMYFUNCTION("REGEXREPLACE(C28446,""-\d+(.*)|--\d+(.*)"","""")"),"REMAISNIL")</f>
        <v>REMAISNIL</v>
      </c>
      <c r="E28446" s="38" t="s">
        <v>224</v>
      </c>
      <c r="F28446" s="38" t="s">
        <v>113</v>
      </c>
      <c r="G28446" s="49" t="str">
        <f t="shared" si="1"/>
        <v>80600</v>
      </c>
      <c r="H28446" s="49">
        <f t="shared" si="2"/>
        <v>80666</v>
      </c>
    </row>
    <row r="28447">
      <c r="A28447" s="48" t="s">
        <v>4199</v>
      </c>
      <c r="B28447" s="38">
        <v>17229.0</v>
      </c>
      <c r="C28447" s="38" t="s">
        <v>26869</v>
      </c>
      <c r="D28447" s="38" t="str">
        <f>IFERROR(__xludf.DUMMYFUNCTION("REGEXREPLACE(C28447,""-\d+(.*)|--\d+(.*)"","""")"),"MERIGNAC")</f>
        <v>MERIGNAC</v>
      </c>
      <c r="E28447" s="38" t="s">
        <v>488</v>
      </c>
      <c r="F28447" s="38" t="s">
        <v>338</v>
      </c>
      <c r="G28447" s="49" t="str">
        <f t="shared" si="1"/>
        <v>17210</v>
      </c>
      <c r="H28447" s="49">
        <f t="shared" si="2"/>
        <v>17229</v>
      </c>
    </row>
    <row r="28448">
      <c r="A28448" s="48" t="s">
        <v>7423</v>
      </c>
      <c r="B28448" s="38">
        <v>22223.0</v>
      </c>
      <c r="C28448" s="38" t="s">
        <v>32892</v>
      </c>
      <c r="D28448" s="38" t="str">
        <f>IFERROR(__xludf.DUMMYFUNCTION("REGEXREPLACE(C28448,""-\d+(.*)|--\d+(.*)"","""")"),"PLOUISY")</f>
        <v>PLOUISY</v>
      </c>
      <c r="E28448" s="38" t="s">
        <v>89</v>
      </c>
      <c r="F28448" s="38" t="s">
        <v>90</v>
      </c>
      <c r="G28448" s="49" t="str">
        <f t="shared" si="1"/>
        <v>22200</v>
      </c>
      <c r="H28448" s="49">
        <f t="shared" si="2"/>
        <v>22223</v>
      </c>
    </row>
    <row r="28449">
      <c r="A28449" s="48" t="s">
        <v>127</v>
      </c>
      <c r="B28449" s="38">
        <v>51404.0</v>
      </c>
      <c r="C28449" s="38" t="s">
        <v>32893</v>
      </c>
      <c r="D28449" s="38" t="str">
        <f>IFERROR(__xludf.DUMMYFUNCTION("REGEXREPLACE(C28449,""-\d+(.*)|--\d+(.*)"","""")"),"NOIRLIEU")</f>
        <v>NOIRLIEU</v>
      </c>
      <c r="E28449" s="38" t="s">
        <v>129</v>
      </c>
      <c r="F28449" s="38" t="s">
        <v>130</v>
      </c>
      <c r="G28449" s="49" t="str">
        <f t="shared" si="1"/>
        <v>51330</v>
      </c>
      <c r="H28449" s="49">
        <f t="shared" si="2"/>
        <v>51404</v>
      </c>
    </row>
    <row r="28450">
      <c r="A28450" s="48" t="s">
        <v>32894</v>
      </c>
      <c r="B28450" s="38">
        <v>34003.0</v>
      </c>
      <c r="C28450" s="38" t="s">
        <v>32895</v>
      </c>
      <c r="D28450" s="38" t="str">
        <f>IFERROR(__xludf.DUMMYFUNCTION("REGEXREPLACE(C28450,""-\d+(.*)|--\d+(.*)"","""")"),"AGDE")</f>
        <v>AGDE</v>
      </c>
      <c r="E28450" s="38" t="s">
        <v>118</v>
      </c>
      <c r="F28450" s="38" t="s">
        <v>119</v>
      </c>
      <c r="G28450" s="49" t="str">
        <f t="shared" si="1"/>
        <v>34300</v>
      </c>
      <c r="H28450" s="49">
        <f t="shared" si="2"/>
        <v>34003</v>
      </c>
    </row>
    <row r="28451">
      <c r="A28451" s="48" t="s">
        <v>14904</v>
      </c>
      <c r="B28451" s="38">
        <v>68071.0</v>
      </c>
      <c r="C28451" s="38" t="s">
        <v>32896</v>
      </c>
      <c r="D28451" s="38" t="str">
        <f>IFERROR(__xludf.DUMMYFUNCTION("REGEXREPLACE(C28451,""-\d+(.*)|--\d+(.*)"","""")"),"DIEFMATTEN")</f>
        <v>DIEFMATTEN</v>
      </c>
      <c r="E28451" s="38" t="s">
        <v>150</v>
      </c>
      <c r="F28451" s="38" t="s">
        <v>151</v>
      </c>
      <c r="G28451" s="49" t="str">
        <f t="shared" si="1"/>
        <v>68780</v>
      </c>
      <c r="H28451" s="49">
        <f t="shared" si="2"/>
        <v>68071</v>
      </c>
    </row>
    <row r="28452">
      <c r="A28452" s="48" t="s">
        <v>3486</v>
      </c>
      <c r="B28452" s="38">
        <v>76106.0</v>
      </c>
      <c r="C28452" s="38" t="s">
        <v>32897</v>
      </c>
      <c r="D28452" s="38" t="str">
        <f>IFERROR(__xludf.DUMMYFUNCTION("REGEXREPLACE(C28452,""-\d+(.*)|--\d+(.*)"","""")"),"BOIS-D'ENNEBOURG")</f>
        <v>BOIS-D'ENNEBOURG</v>
      </c>
      <c r="E28452" s="38" t="s">
        <v>133</v>
      </c>
      <c r="F28452" s="38" t="s">
        <v>134</v>
      </c>
      <c r="G28452" s="49" t="str">
        <f t="shared" si="1"/>
        <v>76160</v>
      </c>
      <c r="H28452" s="49">
        <f t="shared" si="2"/>
        <v>76106</v>
      </c>
    </row>
    <row r="28453">
      <c r="A28453" s="48" t="s">
        <v>4784</v>
      </c>
      <c r="B28453" s="38">
        <v>24352.0</v>
      </c>
      <c r="C28453" s="38" t="s">
        <v>32898</v>
      </c>
      <c r="D28453" s="38" t="str">
        <f>IFERROR(__xludf.DUMMYFUNCTION("REGEXREPLACE(C28453,""-\d+(.*)|--\d+(.*)"","""")"),"RIBERAC")</f>
        <v>RIBERAC</v>
      </c>
      <c r="E28453" s="38" t="s">
        <v>261</v>
      </c>
      <c r="F28453" s="38" t="s">
        <v>252</v>
      </c>
      <c r="G28453" s="49" t="str">
        <f t="shared" si="1"/>
        <v>24600</v>
      </c>
      <c r="H28453" s="49">
        <f t="shared" si="2"/>
        <v>24352</v>
      </c>
    </row>
    <row r="28454">
      <c r="A28454" s="48" t="s">
        <v>10802</v>
      </c>
      <c r="B28454" s="38">
        <v>77166.0</v>
      </c>
      <c r="C28454" s="38" t="s">
        <v>18568</v>
      </c>
      <c r="D28454" s="38" t="str">
        <f>IFERROR(__xludf.DUMMYFUNCTION("REGEXREPLACE(C28454,""-\d+(.*)|--\d+(.*)"","""")"),"ECUELLES")</f>
        <v>ECUELLES</v>
      </c>
      <c r="E28454" s="38" t="s">
        <v>244</v>
      </c>
      <c r="F28454" s="38" t="s">
        <v>245</v>
      </c>
      <c r="G28454" s="49" t="str">
        <f t="shared" si="1"/>
        <v>77250</v>
      </c>
      <c r="H28454" s="49">
        <f t="shared" si="2"/>
        <v>77166</v>
      </c>
    </row>
    <row r="28455">
      <c r="A28455" s="48" t="s">
        <v>23622</v>
      </c>
      <c r="B28455" s="38">
        <v>83008.0</v>
      </c>
      <c r="C28455" s="38" t="s">
        <v>32899</v>
      </c>
      <c r="D28455" s="38" t="str">
        <f>IFERROR(__xludf.DUMMYFUNCTION("REGEXREPLACE(C28455,""-\d+(.*)|--\d+(.*)"","""")"),"BAGNOLS-EN-FORET")</f>
        <v>BAGNOLS-EN-FORET</v>
      </c>
      <c r="E28455" s="38" t="s">
        <v>813</v>
      </c>
      <c r="F28455" s="38" t="s">
        <v>228</v>
      </c>
      <c r="G28455" s="49" t="str">
        <f t="shared" si="1"/>
        <v>83600</v>
      </c>
      <c r="H28455" s="49">
        <f t="shared" si="2"/>
        <v>83008</v>
      </c>
    </row>
    <row r="28456">
      <c r="A28456" s="48" t="s">
        <v>3341</v>
      </c>
      <c r="B28456" s="38">
        <v>25121.0</v>
      </c>
      <c r="C28456" s="38" t="s">
        <v>32900</v>
      </c>
      <c r="D28456" s="38" t="str">
        <f>IFERROR(__xludf.DUMMYFUNCTION("REGEXREPLACE(C28456,""-\d+(.*)|--\d+(.*)"","""")"),"CHAPELLE-DES-BOIS")</f>
        <v>CHAPELLE-DES-BOIS</v>
      </c>
      <c r="E28456" s="38" t="s">
        <v>213</v>
      </c>
      <c r="F28456" s="38" t="s">
        <v>214</v>
      </c>
      <c r="G28456" s="49" t="str">
        <f t="shared" si="1"/>
        <v>25240</v>
      </c>
      <c r="H28456" s="49">
        <f t="shared" si="2"/>
        <v>25121</v>
      </c>
    </row>
    <row r="28457">
      <c r="A28457" s="48" t="s">
        <v>415</v>
      </c>
      <c r="B28457" s="38">
        <v>21015.0</v>
      </c>
      <c r="C28457" s="38" t="s">
        <v>32901</v>
      </c>
      <c r="D28457" s="38" t="str">
        <f>IFERROR(__xludf.DUMMYFUNCTION("REGEXREPLACE(C28457,""-\d+(.*)|--\d+(.*)"","""")"),"ANTIGNY-LA-VILLE")</f>
        <v>ANTIGNY-LA-VILLE</v>
      </c>
      <c r="E28457" s="38" t="s">
        <v>105</v>
      </c>
      <c r="F28457" s="38" t="s">
        <v>106</v>
      </c>
      <c r="G28457" s="49" t="str">
        <f t="shared" si="1"/>
        <v>21230</v>
      </c>
      <c r="H28457" s="49">
        <f t="shared" si="2"/>
        <v>21015</v>
      </c>
    </row>
    <row r="28458">
      <c r="A28458" s="48" t="s">
        <v>3311</v>
      </c>
      <c r="B28458" s="38">
        <v>19152.0</v>
      </c>
      <c r="C28458" s="38" t="s">
        <v>32902</v>
      </c>
      <c r="D28458" s="38" t="str">
        <f>IFERROR(__xludf.DUMMYFUNCTION("REGEXREPLACE(C28458,""-\d+(.*)|--\d+(.*)"","""")"),"NONARDS")</f>
        <v>NONARDS</v>
      </c>
      <c r="E28458" s="38" t="s">
        <v>271</v>
      </c>
      <c r="F28458" s="38" t="s">
        <v>98</v>
      </c>
      <c r="G28458" s="49" t="str">
        <f t="shared" si="1"/>
        <v>19120</v>
      </c>
      <c r="H28458" s="49">
        <f t="shared" si="2"/>
        <v>19152</v>
      </c>
    </row>
    <row r="28459">
      <c r="A28459" s="48" t="s">
        <v>6715</v>
      </c>
      <c r="B28459" s="38">
        <v>59405.0</v>
      </c>
      <c r="C28459" s="38" t="s">
        <v>32903</v>
      </c>
      <c r="D28459" s="38" t="str">
        <f>IFERROR(__xludf.DUMMYFUNCTION("REGEXREPLACE(C28459,""-\d+(.*)|--\d+(.*)"","""")"),"MOEUVRES")</f>
        <v>MOEUVRES</v>
      </c>
      <c r="E28459" s="38" t="s">
        <v>85</v>
      </c>
      <c r="F28459" s="38" t="s">
        <v>86</v>
      </c>
      <c r="G28459" s="49" t="str">
        <f t="shared" si="1"/>
        <v>62147</v>
      </c>
      <c r="H28459" s="49">
        <f t="shared" si="2"/>
        <v>59405</v>
      </c>
    </row>
    <row r="28460">
      <c r="A28460" s="48" t="s">
        <v>2433</v>
      </c>
      <c r="B28460" s="38">
        <v>70122.0</v>
      </c>
      <c r="C28460" s="38" t="s">
        <v>32904</v>
      </c>
      <c r="D28460" s="38" t="str">
        <f>IFERROR(__xludf.DUMMYFUNCTION("REGEXREPLACE(C28460,""-\d+(.*)|--\d+(.*)"","""")"),"CHAMPLITTE")</f>
        <v>CHAMPLITTE</v>
      </c>
      <c r="E28460" s="38" t="s">
        <v>956</v>
      </c>
      <c r="F28460" s="38" t="s">
        <v>214</v>
      </c>
      <c r="G28460" s="49" t="str">
        <f t="shared" si="1"/>
        <v>70600</v>
      </c>
      <c r="H28460" s="49">
        <f t="shared" si="2"/>
        <v>70122</v>
      </c>
    </row>
    <row r="28461">
      <c r="A28461" s="48" t="s">
        <v>1928</v>
      </c>
      <c r="B28461" s="38">
        <v>1235.0</v>
      </c>
      <c r="C28461" s="38" t="s">
        <v>32905</v>
      </c>
      <c r="D28461" s="38" t="str">
        <f>IFERROR(__xludf.DUMMYFUNCTION("REGEXREPLACE(C28461,""-\d+(.*)|--\d+(.*)"","""")"),"MARLIEUX")</f>
        <v>MARLIEUX</v>
      </c>
      <c r="E28461" s="38" t="s">
        <v>255</v>
      </c>
      <c r="F28461" s="38" t="s">
        <v>102</v>
      </c>
      <c r="G28461" s="49" t="str">
        <f t="shared" si="1"/>
        <v>01240</v>
      </c>
      <c r="H28461" s="49" t="str">
        <f t="shared" si="2"/>
        <v>01235</v>
      </c>
    </row>
    <row r="28462">
      <c r="A28462" s="48" t="s">
        <v>1022</v>
      </c>
      <c r="B28462" s="38">
        <v>2814.0</v>
      </c>
      <c r="C28462" s="38" t="s">
        <v>32906</v>
      </c>
      <c r="D28462" s="38" t="str">
        <f>IFERROR(__xludf.DUMMYFUNCTION("REGEXREPLACE(C28462,""-\d+(.*)|--\d+(.*)"","""")"),"VILLERS-LES-GUISE")</f>
        <v>VILLERS-LES-GUISE</v>
      </c>
      <c r="E28462" s="38" t="s">
        <v>191</v>
      </c>
      <c r="F28462" s="38" t="s">
        <v>113</v>
      </c>
      <c r="G28462" s="49" t="str">
        <f t="shared" si="1"/>
        <v>02120</v>
      </c>
      <c r="H28462" s="49" t="str">
        <f t="shared" si="2"/>
        <v>02814</v>
      </c>
    </row>
    <row r="28463">
      <c r="A28463" s="48" t="s">
        <v>10943</v>
      </c>
      <c r="B28463" s="38">
        <v>14515.0</v>
      </c>
      <c r="C28463" s="38" t="s">
        <v>32907</v>
      </c>
      <c r="D28463" s="38" t="str">
        <f>IFERROR(__xludf.DUMMYFUNCTION("REGEXREPLACE(C28463,""-\d+(.*)|--\d+(.*)"","""")"),"PORT-EN-BESSIN-HUPPAIN")</f>
        <v>PORT-EN-BESSIN-HUPPAIN</v>
      </c>
      <c r="E28463" s="38" t="s">
        <v>137</v>
      </c>
      <c r="F28463" s="38" t="s">
        <v>138</v>
      </c>
      <c r="G28463" s="49" t="str">
        <f t="shared" si="1"/>
        <v>14520</v>
      </c>
      <c r="H28463" s="49">
        <f t="shared" si="2"/>
        <v>14515</v>
      </c>
    </row>
    <row r="28464">
      <c r="A28464" s="48" t="s">
        <v>3948</v>
      </c>
      <c r="B28464" s="38">
        <v>21543.0</v>
      </c>
      <c r="C28464" s="38" t="s">
        <v>32908</v>
      </c>
      <c r="D28464" s="38" t="str">
        <f>IFERROR(__xludf.DUMMYFUNCTION("REGEXREPLACE(C28464,""-\d+(.*)|--\d+(.*)"","""")"),"SAINT-BROING-LES-MOINES")</f>
        <v>SAINT-BROING-LES-MOINES</v>
      </c>
      <c r="E28464" s="38" t="s">
        <v>105</v>
      </c>
      <c r="F28464" s="38" t="s">
        <v>106</v>
      </c>
      <c r="G28464" s="49" t="str">
        <f t="shared" si="1"/>
        <v>21290</v>
      </c>
      <c r="H28464" s="49">
        <f t="shared" si="2"/>
        <v>21543</v>
      </c>
    </row>
    <row r="28465">
      <c r="A28465" s="48" t="s">
        <v>4830</v>
      </c>
      <c r="B28465" s="38">
        <v>61104.0</v>
      </c>
      <c r="C28465" s="38" t="s">
        <v>26015</v>
      </c>
      <c r="D28465" s="38" t="str">
        <f>IFERROR(__xludf.DUMMYFUNCTION("REGEXREPLACE(C28465,""-\d+(.*)|--\d+(.*)"","""")"),"LA CHAUX")</f>
        <v>LA CHAUX</v>
      </c>
      <c r="E28465" s="38" t="s">
        <v>141</v>
      </c>
      <c r="F28465" s="38" t="s">
        <v>138</v>
      </c>
      <c r="G28465" s="49" t="str">
        <f t="shared" si="1"/>
        <v>61600</v>
      </c>
      <c r="H28465" s="49">
        <f t="shared" si="2"/>
        <v>61104</v>
      </c>
    </row>
    <row r="28466">
      <c r="A28466" s="48" t="s">
        <v>10552</v>
      </c>
      <c r="B28466" s="38">
        <v>22124.0</v>
      </c>
      <c r="C28466" s="38" t="s">
        <v>32909</v>
      </c>
      <c r="D28466" s="38" t="str">
        <f>IFERROR(__xludf.DUMMYFUNCTION("REGEXREPLACE(C28466,""-\d+(.*)|--\d+(.*)"","""")"),"LESCOUET-GOUAREC")</f>
        <v>LESCOUET-GOUAREC</v>
      </c>
      <c r="E28466" s="38" t="s">
        <v>89</v>
      </c>
      <c r="F28466" s="38" t="s">
        <v>90</v>
      </c>
      <c r="G28466" s="49" t="str">
        <f t="shared" si="1"/>
        <v>22570</v>
      </c>
      <c r="H28466" s="49">
        <f t="shared" si="2"/>
        <v>22124</v>
      </c>
    </row>
    <row r="28467">
      <c r="A28467" s="48" t="s">
        <v>5791</v>
      </c>
      <c r="B28467" s="38">
        <v>85298.0</v>
      </c>
      <c r="C28467" s="38" t="s">
        <v>32910</v>
      </c>
      <c r="D28467" s="38" t="str">
        <f>IFERROR(__xludf.DUMMYFUNCTION("REGEXREPLACE(C28467,""-\d+(.*)|--\d+(.*)"","""")"),"VAIRE")</f>
        <v>VAIRE</v>
      </c>
      <c r="E28467" s="38" t="s">
        <v>179</v>
      </c>
      <c r="F28467" s="38" t="s">
        <v>180</v>
      </c>
      <c r="G28467" s="49" t="str">
        <f t="shared" si="1"/>
        <v>85150</v>
      </c>
      <c r="H28467" s="49">
        <f t="shared" si="2"/>
        <v>85298</v>
      </c>
    </row>
    <row r="28468">
      <c r="A28468" s="48" t="s">
        <v>5944</v>
      </c>
      <c r="B28468" s="38">
        <v>62120.0</v>
      </c>
      <c r="C28468" s="38" t="s">
        <v>32911</v>
      </c>
      <c r="D28468" s="38" t="str">
        <f>IFERROR(__xludf.DUMMYFUNCTION("REGEXREPLACE(C28468,""-\d+(.*)|--\d+(.*)"","""")"),"BEUGIN")</f>
        <v>BEUGIN</v>
      </c>
      <c r="E28468" s="38" t="s">
        <v>109</v>
      </c>
      <c r="F28468" s="38" t="s">
        <v>86</v>
      </c>
      <c r="G28468" s="49" t="str">
        <f t="shared" si="1"/>
        <v>62150</v>
      </c>
      <c r="H28468" s="49">
        <f t="shared" si="2"/>
        <v>62120</v>
      </c>
    </row>
    <row r="28469">
      <c r="A28469" s="48" t="s">
        <v>781</v>
      </c>
      <c r="B28469" s="38">
        <v>65201.0</v>
      </c>
      <c r="C28469" s="38" t="s">
        <v>32912</v>
      </c>
      <c r="D28469" s="38" t="str">
        <f>IFERROR(__xludf.DUMMYFUNCTION("REGEXREPLACE(C28469,""-\d+(.*)|--\d+(.*)"","""")"),"GEU")</f>
        <v>GEU</v>
      </c>
      <c r="E28469" s="38" t="s">
        <v>200</v>
      </c>
      <c r="F28469" s="38" t="s">
        <v>94</v>
      </c>
      <c r="G28469" s="49" t="str">
        <f t="shared" si="1"/>
        <v>65100</v>
      </c>
      <c r="H28469" s="49">
        <f t="shared" si="2"/>
        <v>65201</v>
      </c>
    </row>
    <row r="28470">
      <c r="A28470" s="48" t="s">
        <v>6210</v>
      </c>
      <c r="B28470" s="38">
        <v>54337.0</v>
      </c>
      <c r="C28470" s="38" t="s">
        <v>32913</v>
      </c>
      <c r="D28470" s="38" t="str">
        <f>IFERROR(__xludf.DUMMYFUNCTION("REGEXREPLACE(C28470,""-\d+(.*)|--\d+(.*)"","""")"),"MALAVILLERS")</f>
        <v>MALAVILLERS</v>
      </c>
      <c r="E28470" s="38" t="s">
        <v>548</v>
      </c>
      <c r="F28470" s="38" t="s">
        <v>195</v>
      </c>
      <c r="G28470" s="49" t="str">
        <f t="shared" si="1"/>
        <v>54560</v>
      </c>
      <c r="H28470" s="49">
        <f t="shared" si="2"/>
        <v>54337</v>
      </c>
    </row>
    <row r="28471">
      <c r="A28471" s="48" t="s">
        <v>2773</v>
      </c>
      <c r="B28471" s="38">
        <v>21435.0</v>
      </c>
      <c r="C28471" s="38" t="s">
        <v>32914</v>
      </c>
      <c r="D28471" s="38" t="str">
        <f>IFERROR(__xludf.DUMMYFUNCTION("REGEXREPLACE(C28471,""-\d+(.*)|--\d+(.*)"","""")"),"MONTLIOT-ET-COURCELLES")</f>
        <v>MONTLIOT-ET-COURCELLES</v>
      </c>
      <c r="E28471" s="38" t="s">
        <v>105</v>
      </c>
      <c r="F28471" s="38" t="s">
        <v>106</v>
      </c>
      <c r="G28471" s="49" t="str">
        <f t="shared" si="1"/>
        <v>21400</v>
      </c>
      <c r="H28471" s="49">
        <f t="shared" si="2"/>
        <v>21435</v>
      </c>
    </row>
    <row r="28472">
      <c r="A28472" s="48" t="s">
        <v>3238</v>
      </c>
      <c r="B28472" s="38">
        <v>61032.0</v>
      </c>
      <c r="C28472" s="38" t="s">
        <v>32915</v>
      </c>
      <c r="D28472" s="38" t="str">
        <f>IFERROR(__xludf.DUMMYFUNCTION("REGEXREPLACE(C28472,""-\d+(.*)|--\d+(.*)"","""")"),"BEAUFAI")</f>
        <v>BEAUFAI</v>
      </c>
      <c r="E28472" s="38" t="s">
        <v>141</v>
      </c>
      <c r="F28472" s="38" t="s">
        <v>138</v>
      </c>
      <c r="G28472" s="49" t="str">
        <f t="shared" si="1"/>
        <v>61270</v>
      </c>
      <c r="H28472" s="49">
        <f t="shared" si="2"/>
        <v>61032</v>
      </c>
    </row>
    <row r="28473">
      <c r="A28473" s="48" t="s">
        <v>1220</v>
      </c>
      <c r="B28473" s="38">
        <v>76144.0</v>
      </c>
      <c r="C28473" s="38" t="s">
        <v>32916</v>
      </c>
      <c r="D28473" s="38" t="str">
        <f>IFERROR(__xludf.DUMMYFUNCTION("REGEXREPLACE(C28473,""-\d+(.*)|--\d+(.*)"","""")"),"BRETTEVILLE-SAINT-LAURENT")</f>
        <v>BRETTEVILLE-SAINT-LAURENT</v>
      </c>
      <c r="E28473" s="38" t="s">
        <v>133</v>
      </c>
      <c r="F28473" s="38" t="s">
        <v>134</v>
      </c>
      <c r="G28473" s="49" t="str">
        <f t="shared" si="1"/>
        <v>76560</v>
      </c>
      <c r="H28473" s="49">
        <f t="shared" si="2"/>
        <v>76144</v>
      </c>
    </row>
    <row r="28474">
      <c r="A28474" s="48" t="s">
        <v>2400</v>
      </c>
      <c r="B28474" s="38">
        <v>25377.0</v>
      </c>
      <c r="C28474" s="38" t="s">
        <v>32917</v>
      </c>
      <c r="D28474" s="38" t="str">
        <f>IFERROR(__xludf.DUMMYFUNCTION("REGEXREPLACE(C28474,""-\d+(.*)|--\d+(.*)"","""")"),"MESANDANS")</f>
        <v>MESANDANS</v>
      </c>
      <c r="E28474" s="38" t="s">
        <v>213</v>
      </c>
      <c r="F28474" s="38" t="s">
        <v>214</v>
      </c>
      <c r="G28474" s="49" t="str">
        <f t="shared" si="1"/>
        <v>25680</v>
      </c>
      <c r="H28474" s="49">
        <f t="shared" si="2"/>
        <v>25377</v>
      </c>
    </row>
    <row r="28475">
      <c r="A28475" s="48" t="s">
        <v>20867</v>
      </c>
      <c r="B28475" s="38" t="s">
        <v>32918</v>
      </c>
      <c r="C28475" s="38" t="s">
        <v>32919</v>
      </c>
      <c r="D28475" s="38" t="str">
        <f>IFERROR(__xludf.DUMMYFUNCTION("REGEXREPLACE(C28475,""-\d+(.*)|--\d+(.*)"","""")"),"PIETRICAGGIO")</f>
        <v>PIETRICAGGIO</v>
      </c>
      <c r="E28475" s="38" t="s">
        <v>743</v>
      </c>
      <c r="F28475" s="38" t="s">
        <v>607</v>
      </c>
      <c r="G28475" s="49" t="str">
        <f t="shared" si="1"/>
        <v>20234</v>
      </c>
      <c r="H28475" s="49" t="str">
        <f t="shared" si="2"/>
        <v>2B227</v>
      </c>
    </row>
    <row r="28476">
      <c r="A28476" s="48" t="s">
        <v>3389</v>
      </c>
      <c r="B28476" s="38">
        <v>33386.0</v>
      </c>
      <c r="C28476" s="38" t="s">
        <v>32920</v>
      </c>
      <c r="D28476" s="38" t="str">
        <f>IFERROR(__xludf.DUMMYFUNCTION("REGEXREPLACE(C28476,""-\d+(.*)|--\d+(.*)"","""")"),"SAINT-CIBARD")</f>
        <v>SAINT-CIBARD</v>
      </c>
      <c r="E28476" s="38" t="s">
        <v>462</v>
      </c>
      <c r="F28476" s="38" t="s">
        <v>252</v>
      </c>
      <c r="G28476" s="49" t="str">
        <f t="shared" si="1"/>
        <v>33570</v>
      </c>
      <c r="H28476" s="49">
        <f t="shared" si="2"/>
        <v>33386</v>
      </c>
    </row>
    <row r="28477">
      <c r="A28477" s="48" t="s">
        <v>3618</v>
      </c>
      <c r="B28477" s="38">
        <v>31139.0</v>
      </c>
      <c r="C28477" s="38" t="s">
        <v>32921</v>
      </c>
      <c r="D28477" s="38" t="str">
        <f>IFERROR(__xludf.DUMMYFUNCTION("REGEXREPLACE(C28477,""-\d+(.*)|--\d+(.*)"","""")"),"CHAUM")</f>
        <v>CHAUM</v>
      </c>
      <c r="E28477" s="38" t="s">
        <v>93</v>
      </c>
      <c r="F28477" s="38" t="s">
        <v>94</v>
      </c>
      <c r="G28477" s="49" t="str">
        <f t="shared" si="1"/>
        <v>31440</v>
      </c>
      <c r="H28477" s="49">
        <f t="shared" si="2"/>
        <v>31139</v>
      </c>
    </row>
    <row r="28478">
      <c r="A28478" s="48" t="s">
        <v>7673</v>
      </c>
      <c r="B28478" s="38">
        <v>39438.0</v>
      </c>
      <c r="C28478" s="38" t="s">
        <v>32922</v>
      </c>
      <c r="D28478" s="38" t="str">
        <f>IFERROR(__xludf.DUMMYFUNCTION("REGEXREPLACE(C28478,""-\d+(.*)|--\d+(.*)"","""")"),"PONTHOUX")</f>
        <v>PONTHOUX</v>
      </c>
      <c r="E28478" s="38" t="s">
        <v>400</v>
      </c>
      <c r="F28478" s="38" t="s">
        <v>214</v>
      </c>
      <c r="G28478" s="49" t="str">
        <f t="shared" si="1"/>
        <v>39170</v>
      </c>
      <c r="H28478" s="49">
        <f t="shared" si="2"/>
        <v>39438</v>
      </c>
    </row>
    <row r="28479">
      <c r="A28479" s="48" t="s">
        <v>4844</v>
      </c>
      <c r="B28479" s="38">
        <v>14276.0</v>
      </c>
      <c r="C28479" s="38" t="s">
        <v>32923</v>
      </c>
      <c r="D28479" s="38" t="str">
        <f>IFERROR(__xludf.DUMMYFUNCTION("REGEXREPLACE(C28479,""-\d+(.*)|--\d+(.*)"","""")"),"FONTAINE-LE-PIN")</f>
        <v>FONTAINE-LE-PIN</v>
      </c>
      <c r="E28479" s="38" t="s">
        <v>137</v>
      </c>
      <c r="F28479" s="38" t="s">
        <v>138</v>
      </c>
      <c r="G28479" s="49" t="str">
        <f t="shared" si="1"/>
        <v>14190</v>
      </c>
      <c r="H28479" s="49">
        <f t="shared" si="2"/>
        <v>14276</v>
      </c>
    </row>
    <row r="28480">
      <c r="A28480" s="48" t="s">
        <v>131</v>
      </c>
      <c r="B28480" s="38">
        <v>76318.0</v>
      </c>
      <c r="C28480" s="38" t="s">
        <v>6405</v>
      </c>
      <c r="D28480" s="38" t="str">
        <f>IFERROR(__xludf.DUMMYFUNCTION("REGEXREPLACE(C28480,""-\d+(.*)|--\d+(.*)"","""")"),"GRAND-CAMP")</f>
        <v>GRAND-CAMP</v>
      </c>
      <c r="E28480" s="38" t="s">
        <v>133</v>
      </c>
      <c r="F28480" s="38" t="s">
        <v>134</v>
      </c>
      <c r="G28480" s="49" t="str">
        <f t="shared" si="1"/>
        <v>76170</v>
      </c>
      <c r="H28480" s="49">
        <f t="shared" si="2"/>
        <v>76318</v>
      </c>
    </row>
    <row r="28481">
      <c r="A28481" s="48" t="s">
        <v>20346</v>
      </c>
      <c r="B28481" s="38">
        <v>22209.0</v>
      </c>
      <c r="C28481" s="38" t="s">
        <v>32924</v>
      </c>
      <c r="D28481" s="38" t="str">
        <f>IFERROR(__xludf.DUMMYFUNCTION("REGEXREPLACE(C28481,""-\d+(.*)|--\d+(.*)"","""")"),"PLOUBALAY")</f>
        <v>PLOUBALAY</v>
      </c>
      <c r="E28481" s="38" t="s">
        <v>89</v>
      </c>
      <c r="F28481" s="38" t="s">
        <v>90</v>
      </c>
      <c r="G28481" s="49" t="str">
        <f t="shared" si="1"/>
        <v>22650</v>
      </c>
      <c r="H28481" s="49">
        <f t="shared" si="2"/>
        <v>22209</v>
      </c>
    </row>
    <row r="28482">
      <c r="A28482" s="48" t="s">
        <v>32925</v>
      </c>
      <c r="B28482" s="38">
        <v>59524.0</v>
      </c>
      <c r="C28482" s="38" t="s">
        <v>32926</v>
      </c>
      <c r="D28482" s="38" t="str">
        <f>IFERROR(__xludf.DUMMYFUNCTION("REGEXREPLACE(C28482,""-\d+(.*)|--\d+(.*)"","""")"),"SAINGHIN-EN-WEPPES")</f>
        <v>SAINGHIN-EN-WEPPES</v>
      </c>
      <c r="E28482" s="38" t="s">
        <v>85</v>
      </c>
      <c r="F28482" s="38" t="s">
        <v>86</v>
      </c>
      <c r="G28482" s="49" t="str">
        <f t="shared" si="1"/>
        <v>59184</v>
      </c>
      <c r="H28482" s="49">
        <f t="shared" si="2"/>
        <v>59524</v>
      </c>
    </row>
    <row r="28483">
      <c r="A28483" s="48" t="s">
        <v>1872</v>
      </c>
      <c r="B28483" s="38">
        <v>80631.0</v>
      </c>
      <c r="C28483" s="38" t="s">
        <v>32927</v>
      </c>
      <c r="D28483" s="38" t="str">
        <f>IFERROR(__xludf.DUMMYFUNCTION("REGEXREPLACE(C28483,""-\d+(.*)|--\d+(.*)"","""")"),"PONCHES-ESTRUVAL")</f>
        <v>PONCHES-ESTRUVAL</v>
      </c>
      <c r="E28483" s="38" t="s">
        <v>224</v>
      </c>
      <c r="F28483" s="38" t="s">
        <v>113</v>
      </c>
      <c r="G28483" s="49" t="str">
        <f t="shared" si="1"/>
        <v>80150</v>
      </c>
      <c r="H28483" s="49">
        <f t="shared" si="2"/>
        <v>80631</v>
      </c>
    </row>
    <row r="28484">
      <c r="A28484" s="48" t="s">
        <v>6412</v>
      </c>
      <c r="B28484" s="38">
        <v>12236.0</v>
      </c>
      <c r="C28484" s="38" t="s">
        <v>32928</v>
      </c>
      <c r="D28484" s="38" t="str">
        <f>IFERROR(__xludf.DUMMYFUNCTION("REGEXREPLACE(C28484,""-\d+(.*)|--\d+(.*)"","""")"),"SAINT-LAURENT-DE-LEVEZOU")</f>
        <v>SAINT-LAURENT-DE-LEVEZOU</v>
      </c>
      <c r="E28484" s="38" t="s">
        <v>465</v>
      </c>
      <c r="F28484" s="38" t="s">
        <v>94</v>
      </c>
      <c r="G28484" s="49" t="str">
        <f t="shared" si="1"/>
        <v>12620</v>
      </c>
      <c r="H28484" s="49">
        <f t="shared" si="2"/>
        <v>12236</v>
      </c>
    </row>
    <row r="28485">
      <c r="A28485" s="48" t="s">
        <v>2664</v>
      </c>
      <c r="B28485" s="38">
        <v>87135.0</v>
      </c>
      <c r="C28485" s="38" t="s">
        <v>32929</v>
      </c>
      <c r="D28485" s="38" t="str">
        <f>IFERROR(__xludf.DUMMYFUNCTION("REGEXREPLACE(C28485,""-\d+(.*)|--\d+(.*)"","""")"),"SAINT-AUVENT")</f>
        <v>SAINT-AUVENT</v>
      </c>
      <c r="E28485" s="38" t="s">
        <v>897</v>
      </c>
      <c r="F28485" s="38" t="s">
        <v>98</v>
      </c>
      <c r="G28485" s="49" t="str">
        <f t="shared" si="1"/>
        <v>87310</v>
      </c>
      <c r="H28485" s="49">
        <f t="shared" si="2"/>
        <v>87135</v>
      </c>
    </row>
    <row r="28486">
      <c r="A28486" s="48" t="s">
        <v>7736</v>
      </c>
      <c r="B28486" s="38">
        <v>11248.0</v>
      </c>
      <c r="C28486" s="38" t="s">
        <v>6051</v>
      </c>
      <c r="D28486" s="38" t="str">
        <f>IFERROR(__xludf.DUMMYFUNCTION("REGEXREPLACE(C28486,""-\d+(.*)|--\d+(.*)"","""")"),"MONTIRAT")</f>
        <v>MONTIRAT</v>
      </c>
      <c r="E28486" s="38" t="s">
        <v>278</v>
      </c>
      <c r="F28486" s="38" t="s">
        <v>119</v>
      </c>
      <c r="G28486" s="49" t="str">
        <f t="shared" si="1"/>
        <v>11800</v>
      </c>
      <c r="H28486" s="49">
        <f t="shared" si="2"/>
        <v>11248</v>
      </c>
    </row>
    <row r="28487">
      <c r="A28487" s="48" t="s">
        <v>1638</v>
      </c>
      <c r="B28487" s="38">
        <v>70083.0</v>
      </c>
      <c r="C28487" s="38" t="s">
        <v>32930</v>
      </c>
      <c r="D28487" s="38" t="str">
        <f>IFERROR(__xludf.DUMMYFUNCTION("REGEXREPLACE(C28487,""-\d+(.*)|--\d+(.*)"","""")"),"BOULIGNEY")</f>
        <v>BOULIGNEY</v>
      </c>
      <c r="E28487" s="38" t="s">
        <v>956</v>
      </c>
      <c r="F28487" s="38" t="s">
        <v>214</v>
      </c>
      <c r="G28487" s="49" t="str">
        <f t="shared" si="1"/>
        <v>70800</v>
      </c>
      <c r="H28487" s="49">
        <f t="shared" si="2"/>
        <v>70083</v>
      </c>
    </row>
    <row r="28488">
      <c r="A28488" s="48" t="s">
        <v>5679</v>
      </c>
      <c r="B28488" s="38">
        <v>66079.0</v>
      </c>
      <c r="C28488" s="38" t="s">
        <v>32931</v>
      </c>
      <c r="D28488" s="38" t="str">
        <f>IFERROR(__xludf.DUMMYFUNCTION("REGEXREPLACE(C28488,""-\d+(.*)|--\d+(.*)"","""")"),"FINESTRET")</f>
        <v>FINESTRET</v>
      </c>
      <c r="E28488" s="38" t="s">
        <v>248</v>
      </c>
      <c r="F28488" s="38" t="s">
        <v>119</v>
      </c>
      <c r="G28488" s="49" t="str">
        <f t="shared" si="1"/>
        <v>66320</v>
      </c>
      <c r="H28488" s="49">
        <f t="shared" si="2"/>
        <v>66079</v>
      </c>
    </row>
    <row r="28489">
      <c r="A28489" s="48" t="s">
        <v>6073</v>
      </c>
      <c r="B28489" s="38">
        <v>40024.0</v>
      </c>
      <c r="C28489" s="38" t="s">
        <v>32932</v>
      </c>
      <c r="D28489" s="38" t="str">
        <f>IFERROR(__xludf.DUMMYFUNCTION("REGEXREPLACE(C28489,""-\d+(.*)|--\d+(.*)"","""")"),"BANOS")</f>
        <v>BANOS</v>
      </c>
      <c r="E28489" s="38" t="s">
        <v>281</v>
      </c>
      <c r="F28489" s="38" t="s">
        <v>252</v>
      </c>
      <c r="G28489" s="49" t="str">
        <f t="shared" si="1"/>
        <v>40500</v>
      </c>
      <c r="H28489" s="49">
        <f t="shared" si="2"/>
        <v>40024</v>
      </c>
    </row>
    <row r="28490">
      <c r="A28490" s="48" t="s">
        <v>5137</v>
      </c>
      <c r="B28490" s="38">
        <v>53176.0</v>
      </c>
      <c r="C28490" s="38" t="s">
        <v>32933</v>
      </c>
      <c r="D28490" s="38" t="str">
        <f>IFERROR(__xludf.DUMMYFUNCTION("REGEXREPLACE(C28490,""-\d+(.*)|--\d+(.*)"","""")"),"LE PAS")</f>
        <v>LE PAS</v>
      </c>
      <c r="E28490" s="38" t="s">
        <v>518</v>
      </c>
      <c r="F28490" s="38" t="s">
        <v>180</v>
      </c>
      <c r="G28490" s="49" t="str">
        <f t="shared" si="1"/>
        <v>53300</v>
      </c>
      <c r="H28490" s="49">
        <f t="shared" si="2"/>
        <v>53176</v>
      </c>
    </row>
    <row r="28491">
      <c r="A28491" s="48" t="s">
        <v>21810</v>
      </c>
      <c r="B28491" s="38">
        <v>89035.0</v>
      </c>
      <c r="C28491" s="38" t="s">
        <v>32934</v>
      </c>
      <c r="D28491" s="38" t="str">
        <f>IFERROR(__xludf.DUMMYFUNCTION("REGEXREPLACE(C28491,""-\d+(.*)|--\d+(.*)"","""")"),"BELLECHAUME")</f>
        <v>BELLECHAUME</v>
      </c>
      <c r="E28491" s="38" t="s">
        <v>275</v>
      </c>
      <c r="F28491" s="38" t="s">
        <v>106</v>
      </c>
      <c r="G28491" s="49" t="str">
        <f t="shared" si="1"/>
        <v>89210</v>
      </c>
      <c r="H28491" s="49">
        <f t="shared" si="2"/>
        <v>89035</v>
      </c>
    </row>
    <row r="28492">
      <c r="A28492" s="48" t="s">
        <v>724</v>
      </c>
      <c r="B28492" s="38">
        <v>32177.0</v>
      </c>
      <c r="C28492" s="38" t="s">
        <v>32935</v>
      </c>
      <c r="D28492" s="38" t="str">
        <f>IFERROR(__xludf.DUMMYFUNCTION("REGEXREPLACE(C28492,""-\d+(.*)|--\d+(.*)"","""")"),"LAGARDE-HACHAN")</f>
        <v>LAGARDE-HACHAN</v>
      </c>
      <c r="E28492" s="38" t="s">
        <v>440</v>
      </c>
      <c r="F28492" s="38" t="s">
        <v>94</v>
      </c>
      <c r="G28492" s="49" t="str">
        <f t="shared" si="1"/>
        <v>32300</v>
      </c>
      <c r="H28492" s="49">
        <f t="shared" si="2"/>
        <v>32177</v>
      </c>
    </row>
    <row r="28493">
      <c r="A28493" s="48" t="s">
        <v>14030</v>
      </c>
      <c r="B28493" s="38">
        <v>44122.0</v>
      </c>
      <c r="C28493" s="38" t="s">
        <v>32936</v>
      </c>
      <c r="D28493" s="38" t="str">
        <f>IFERROR(__xludf.DUMMYFUNCTION("REGEXREPLACE(C28493,""-\d+(.*)|--\d+(.*)"","""")"),"PETIT-MARS")</f>
        <v>PETIT-MARS</v>
      </c>
      <c r="E28493" s="38" t="s">
        <v>759</v>
      </c>
      <c r="F28493" s="38" t="s">
        <v>180</v>
      </c>
      <c r="G28493" s="49" t="str">
        <f t="shared" si="1"/>
        <v>44390</v>
      </c>
      <c r="H28493" s="49">
        <f t="shared" si="2"/>
        <v>44122</v>
      </c>
    </row>
    <row r="28494">
      <c r="A28494" s="48" t="s">
        <v>29331</v>
      </c>
      <c r="B28494" s="38">
        <v>34073.0</v>
      </c>
      <c r="C28494" s="38" t="s">
        <v>32937</v>
      </c>
      <c r="D28494" s="38" t="str">
        <f>IFERROR(__xludf.DUMMYFUNCTION("REGEXREPLACE(C28494,""-\d+(.*)|--\d+(.*)"","""")"),"CERS")</f>
        <v>CERS</v>
      </c>
      <c r="E28494" s="38" t="s">
        <v>118</v>
      </c>
      <c r="F28494" s="38" t="s">
        <v>119</v>
      </c>
      <c r="G28494" s="49" t="str">
        <f t="shared" si="1"/>
        <v>34420</v>
      </c>
      <c r="H28494" s="49">
        <f t="shared" si="2"/>
        <v>34073</v>
      </c>
    </row>
    <row r="28495">
      <c r="A28495" s="48" t="s">
        <v>3747</v>
      </c>
      <c r="B28495" s="38">
        <v>52083.0</v>
      </c>
      <c r="C28495" s="38" t="s">
        <v>32938</v>
      </c>
      <c r="D28495" s="38" t="str">
        <f>IFERROR(__xludf.DUMMYFUNCTION("REGEXREPLACE(C28495,""-\d+(.*)|--\d+(.*)"","""")"),"CHAMPSEVRAINE")</f>
        <v>CHAMPSEVRAINE</v>
      </c>
      <c r="E28495" s="38" t="s">
        <v>234</v>
      </c>
      <c r="F28495" s="38" t="s">
        <v>130</v>
      </c>
      <c r="G28495" s="49" t="str">
        <f t="shared" si="1"/>
        <v>52500</v>
      </c>
      <c r="H28495" s="49">
        <f t="shared" si="2"/>
        <v>52083</v>
      </c>
    </row>
    <row r="28496">
      <c r="A28496" s="48" t="s">
        <v>12047</v>
      </c>
      <c r="B28496" s="38">
        <v>66234.0</v>
      </c>
      <c r="C28496" s="38" t="s">
        <v>32939</v>
      </c>
      <c r="D28496" s="38" t="str">
        <f>IFERROR(__xludf.DUMMYFUNCTION("REGEXREPLACE(C28496,""-\d+(.*)|--\d+(.*)"","""")"),"LE VIVIER")</f>
        <v>LE VIVIER</v>
      </c>
      <c r="E28496" s="38" t="s">
        <v>248</v>
      </c>
      <c r="F28496" s="38" t="s">
        <v>119</v>
      </c>
      <c r="G28496" s="49" t="str">
        <f t="shared" si="1"/>
        <v>66730</v>
      </c>
      <c r="H28496" s="49">
        <f t="shared" si="2"/>
        <v>66234</v>
      </c>
    </row>
    <row r="28497">
      <c r="A28497" s="48" t="s">
        <v>4168</v>
      </c>
      <c r="B28497" s="38">
        <v>1265.0</v>
      </c>
      <c r="C28497" s="38" t="s">
        <v>32940</v>
      </c>
      <c r="D28497" s="38" t="str">
        <f>IFERROR(__xludf.DUMMYFUNCTION("REGEXREPLACE(C28497,""-\d+(.*)|--\d+(.*)"","""")"),"MONTREAL-LA-CLUSE")</f>
        <v>MONTREAL-LA-CLUSE</v>
      </c>
      <c r="E28497" s="38" t="s">
        <v>255</v>
      </c>
      <c r="F28497" s="38" t="s">
        <v>102</v>
      </c>
      <c r="G28497" s="49" t="str">
        <f t="shared" si="1"/>
        <v>01460</v>
      </c>
      <c r="H28497" s="49" t="str">
        <f t="shared" si="2"/>
        <v>01265</v>
      </c>
    </row>
    <row r="28498">
      <c r="A28498" s="48" t="s">
        <v>8003</v>
      </c>
      <c r="B28498" s="38">
        <v>86059.0</v>
      </c>
      <c r="C28498" s="38" t="s">
        <v>32941</v>
      </c>
      <c r="D28498" s="38" t="str">
        <f>IFERROR(__xludf.DUMMYFUNCTION("REGEXREPLACE(C28498,""-\d+(.*)|--\d+(.*)"","""")"),"CHAPELLE-VIVIERS")</f>
        <v>CHAPELLE-VIVIERS</v>
      </c>
      <c r="E28498" s="38" t="s">
        <v>529</v>
      </c>
      <c r="F28498" s="38" t="s">
        <v>338</v>
      </c>
      <c r="G28498" s="49" t="str">
        <f t="shared" si="1"/>
        <v>86300</v>
      </c>
      <c r="H28498" s="49">
        <f t="shared" si="2"/>
        <v>86059</v>
      </c>
    </row>
    <row r="28499">
      <c r="A28499" s="48" t="s">
        <v>6721</v>
      </c>
      <c r="B28499" s="38">
        <v>44148.0</v>
      </c>
      <c r="C28499" s="38" t="s">
        <v>32942</v>
      </c>
      <c r="D28499" s="38" t="str">
        <f>IFERROR(__xludf.DUMMYFUNCTION("REGEXREPLACE(C28499,""-\d+(.*)|--\d+(.*)"","""")"),"RUFFIGNE")</f>
        <v>RUFFIGNE</v>
      </c>
      <c r="E28499" s="38" t="s">
        <v>759</v>
      </c>
      <c r="F28499" s="38" t="s">
        <v>180</v>
      </c>
      <c r="G28499" s="49" t="str">
        <f t="shared" si="1"/>
        <v>44660</v>
      </c>
      <c r="H28499" s="49">
        <f t="shared" si="2"/>
        <v>44148</v>
      </c>
    </row>
    <row r="28500">
      <c r="A28500" s="48" t="s">
        <v>9905</v>
      </c>
      <c r="B28500" s="38">
        <v>65087.0</v>
      </c>
      <c r="C28500" s="38" t="s">
        <v>32943</v>
      </c>
      <c r="D28500" s="38" t="str">
        <f>IFERROR(__xludf.DUMMYFUNCTION("REGEXREPLACE(C28500,""-\d+(.*)|--\d+(.*)"","""")"),"BERTREN")</f>
        <v>BERTREN</v>
      </c>
      <c r="E28500" s="38" t="s">
        <v>200</v>
      </c>
      <c r="F28500" s="38" t="s">
        <v>94</v>
      </c>
      <c r="G28500" s="49" t="str">
        <f t="shared" si="1"/>
        <v>65370</v>
      </c>
      <c r="H28500" s="49">
        <f t="shared" si="2"/>
        <v>65087</v>
      </c>
    </row>
    <row r="28501">
      <c r="A28501" s="48" t="s">
        <v>5681</v>
      </c>
      <c r="B28501" s="38">
        <v>58233.0</v>
      </c>
      <c r="C28501" s="38" t="s">
        <v>32944</v>
      </c>
      <c r="D28501" s="38" t="str">
        <f>IFERROR(__xludf.DUMMYFUNCTION("REGEXREPLACE(C28501,""-\d+(.*)|--\d+(.*)"","""")"),"SAINT-BENIN-DES-BOIS")</f>
        <v>SAINT-BENIN-DES-BOIS</v>
      </c>
      <c r="E28501" s="38" t="s">
        <v>219</v>
      </c>
      <c r="F28501" s="38" t="s">
        <v>106</v>
      </c>
      <c r="G28501" s="49" t="str">
        <f t="shared" si="1"/>
        <v>58330</v>
      </c>
      <c r="H28501" s="49">
        <f t="shared" si="2"/>
        <v>58233</v>
      </c>
    </row>
    <row r="28502">
      <c r="A28502" s="48" t="s">
        <v>16724</v>
      </c>
      <c r="B28502" s="38">
        <v>10307.0</v>
      </c>
      <c r="C28502" s="38" t="s">
        <v>32945</v>
      </c>
      <c r="D28502" s="38" t="str">
        <f>IFERROR(__xludf.DUMMYFUNCTION("REGEXREPLACE(C28502,""-\d+(.*)|--\d+(.*)"","""")"),"PRUGNY")</f>
        <v>PRUGNY</v>
      </c>
      <c r="E28502" s="38" t="s">
        <v>147</v>
      </c>
      <c r="F28502" s="38" t="s">
        <v>130</v>
      </c>
      <c r="G28502" s="49" t="str">
        <f t="shared" si="1"/>
        <v>10190</v>
      </c>
      <c r="H28502" s="49">
        <f t="shared" si="2"/>
        <v>10307</v>
      </c>
    </row>
    <row r="28503">
      <c r="A28503" s="48" t="s">
        <v>1422</v>
      </c>
      <c r="B28503" s="38">
        <v>14604.0</v>
      </c>
      <c r="C28503" s="38" t="s">
        <v>32946</v>
      </c>
      <c r="D28503" s="38" t="str">
        <f>IFERROR(__xludf.DUMMYFUNCTION("REGEXREPLACE(C28503,""-\d+(.*)|--\d+(.*)"","""")"),"SAINT-LAURENT-DU-MONT")</f>
        <v>SAINT-LAURENT-DU-MONT</v>
      </c>
      <c r="E28503" s="38" t="s">
        <v>137</v>
      </c>
      <c r="F28503" s="38" t="s">
        <v>138</v>
      </c>
      <c r="G28503" s="49" t="str">
        <f t="shared" si="1"/>
        <v>14340</v>
      </c>
      <c r="H28503" s="49">
        <f t="shared" si="2"/>
        <v>14604</v>
      </c>
    </row>
    <row r="28504">
      <c r="A28504" s="48" t="s">
        <v>7893</v>
      </c>
      <c r="B28504" s="38">
        <v>63305.0</v>
      </c>
      <c r="C28504" s="38" t="s">
        <v>32947</v>
      </c>
      <c r="D28504" s="38" t="str">
        <f>IFERROR(__xludf.DUMMYFUNCTION("REGEXREPLACE(C28504,""-\d+(.*)|--\d+(.*)"","""")"),"ROCHEFORT-MONTAGNE")</f>
        <v>ROCHEFORT-MONTAGNE</v>
      </c>
      <c r="E28504" s="38" t="s">
        <v>353</v>
      </c>
      <c r="F28504" s="38" t="s">
        <v>161</v>
      </c>
      <c r="G28504" s="49" t="str">
        <f t="shared" si="1"/>
        <v>63210</v>
      </c>
      <c r="H28504" s="49">
        <f t="shared" si="2"/>
        <v>63305</v>
      </c>
    </row>
    <row r="28505">
      <c r="A28505" s="48" t="s">
        <v>3036</v>
      </c>
      <c r="B28505" s="38">
        <v>61238.0</v>
      </c>
      <c r="C28505" s="38" t="s">
        <v>32948</v>
      </c>
      <c r="D28505" s="38" t="str">
        <f>IFERROR(__xludf.DUMMYFUNCTION("REGEXREPLACE(C28505,""-\d+(.*)|--\d+(.*)"","""")"),"LOUVIERES-EN-AUGE")</f>
        <v>LOUVIERES-EN-AUGE</v>
      </c>
      <c r="E28505" s="38" t="s">
        <v>141</v>
      </c>
      <c r="F28505" s="38" t="s">
        <v>138</v>
      </c>
      <c r="G28505" s="49" t="str">
        <f t="shared" si="1"/>
        <v>61160</v>
      </c>
      <c r="H28505" s="49">
        <f t="shared" si="2"/>
        <v>61238</v>
      </c>
    </row>
    <row r="28506">
      <c r="A28506" s="48" t="s">
        <v>1228</v>
      </c>
      <c r="B28506" s="38">
        <v>34107.0</v>
      </c>
      <c r="C28506" s="38" t="s">
        <v>32949</v>
      </c>
      <c r="D28506" s="38" t="str">
        <f>IFERROR(__xludf.DUMMYFUNCTION("REGEXREPLACE(C28506,""-\d+(.*)|--\d+(.*)"","""")"),"FRAISSE-SUR-AGOUT")</f>
        <v>FRAISSE-SUR-AGOUT</v>
      </c>
      <c r="E28506" s="38" t="s">
        <v>118</v>
      </c>
      <c r="F28506" s="38" t="s">
        <v>119</v>
      </c>
      <c r="G28506" s="49" t="str">
        <f t="shared" si="1"/>
        <v>34330</v>
      </c>
      <c r="H28506" s="49">
        <f t="shared" si="2"/>
        <v>34107</v>
      </c>
    </row>
    <row r="28507">
      <c r="A28507" s="48" t="s">
        <v>2517</v>
      </c>
      <c r="B28507" s="38">
        <v>6052.0</v>
      </c>
      <c r="C28507" s="38" t="s">
        <v>32950</v>
      </c>
      <c r="D28507" s="38" t="str">
        <f>IFERROR(__xludf.DUMMYFUNCTION("REGEXREPLACE(C28507,""-\d+(.*)|--\d+(.*)"","""")"),"CUEBRIS")</f>
        <v>CUEBRIS</v>
      </c>
      <c r="E28507" s="38" t="s">
        <v>227</v>
      </c>
      <c r="F28507" s="38" t="s">
        <v>228</v>
      </c>
      <c r="G28507" s="49" t="str">
        <f t="shared" si="1"/>
        <v>06910</v>
      </c>
      <c r="H28507" s="49" t="str">
        <f t="shared" si="2"/>
        <v>06052</v>
      </c>
    </row>
    <row r="28508">
      <c r="A28508" s="48" t="s">
        <v>2184</v>
      </c>
      <c r="B28508" s="38">
        <v>45290.0</v>
      </c>
      <c r="C28508" s="38" t="s">
        <v>32951</v>
      </c>
      <c r="D28508" s="38" t="str">
        <f>IFERROR(__xludf.DUMMYFUNCTION("REGEXREPLACE(C28508,""-\d+(.*)|--\d+(.*)"","""")"),"SAINT-MARTIN-D'ABBAT")</f>
        <v>SAINT-MARTIN-D'ABBAT</v>
      </c>
      <c r="E28508" s="38" t="s">
        <v>122</v>
      </c>
      <c r="F28508" s="38" t="s">
        <v>123</v>
      </c>
      <c r="G28508" s="49" t="str">
        <f t="shared" si="1"/>
        <v>45110</v>
      </c>
      <c r="H28508" s="49">
        <f t="shared" si="2"/>
        <v>45290</v>
      </c>
    </row>
    <row r="28509">
      <c r="A28509" s="48" t="s">
        <v>32952</v>
      </c>
      <c r="B28509" s="38">
        <v>57039.0</v>
      </c>
      <c r="C28509" s="38" t="s">
        <v>32953</v>
      </c>
      <c r="D28509" s="38" t="str">
        <f>IFERROR(__xludf.DUMMYFUNCTION("REGEXREPLACE(C28509,""-\d+(.*)|--\d+(.*)"","""")"),"AUGNY")</f>
        <v>AUGNY</v>
      </c>
      <c r="E28509" s="38" t="s">
        <v>303</v>
      </c>
      <c r="F28509" s="38" t="s">
        <v>195</v>
      </c>
      <c r="G28509" s="49" t="str">
        <f t="shared" si="1"/>
        <v>57685</v>
      </c>
      <c r="H28509" s="49">
        <f t="shared" si="2"/>
        <v>57039</v>
      </c>
    </row>
    <row r="28510">
      <c r="A28510" s="48" t="s">
        <v>2266</v>
      </c>
      <c r="B28510" s="38">
        <v>55121.0</v>
      </c>
      <c r="C28510" s="38" t="s">
        <v>32954</v>
      </c>
      <c r="D28510" s="38" t="str">
        <f>IFERROR(__xludf.DUMMYFUNCTION("REGEXREPLACE(C28510,""-\d+(.*)|--\d+(.*)"","""")"),"COMBRES-SOUS-LES-COTES")</f>
        <v>COMBRES-SOUS-LES-COTES</v>
      </c>
      <c r="E28510" s="38" t="s">
        <v>322</v>
      </c>
      <c r="F28510" s="38" t="s">
        <v>195</v>
      </c>
      <c r="G28510" s="49" t="str">
        <f t="shared" si="1"/>
        <v>55160</v>
      </c>
      <c r="H28510" s="49">
        <f t="shared" si="2"/>
        <v>55121</v>
      </c>
    </row>
    <row r="28511">
      <c r="A28511" s="48" t="s">
        <v>12539</v>
      </c>
      <c r="B28511" s="38">
        <v>14241.0</v>
      </c>
      <c r="C28511" s="38" t="s">
        <v>32955</v>
      </c>
      <c r="D28511" s="38" t="str">
        <f>IFERROR(__xludf.DUMMYFUNCTION("REGEXREPLACE(C28511,""-\d+(.*)|--\d+(.*)"","""")"),"EPINAY-SUR-ODON")</f>
        <v>EPINAY-SUR-ODON</v>
      </c>
      <c r="E28511" s="38" t="s">
        <v>137</v>
      </c>
      <c r="F28511" s="38" t="s">
        <v>138</v>
      </c>
      <c r="G28511" s="49" t="str">
        <f t="shared" si="1"/>
        <v>14310</v>
      </c>
      <c r="H28511" s="49">
        <f t="shared" si="2"/>
        <v>14241</v>
      </c>
    </row>
    <row r="28512">
      <c r="A28512" s="48" t="s">
        <v>3046</v>
      </c>
      <c r="B28512" s="38">
        <v>70279.0</v>
      </c>
      <c r="C28512" s="38" t="s">
        <v>32956</v>
      </c>
      <c r="D28512" s="38" t="str">
        <f>IFERROR(__xludf.DUMMYFUNCTION("REGEXREPLACE(C28512,""-\d+(.*)|--\d+(.*)"","""")"),"GRAY")</f>
        <v>GRAY</v>
      </c>
      <c r="E28512" s="38" t="s">
        <v>956</v>
      </c>
      <c r="F28512" s="38" t="s">
        <v>214</v>
      </c>
      <c r="G28512" s="49" t="str">
        <f t="shared" si="1"/>
        <v>70100</v>
      </c>
      <c r="H28512" s="49">
        <f t="shared" si="2"/>
        <v>70279</v>
      </c>
    </row>
    <row r="28513">
      <c r="A28513" s="48" t="s">
        <v>18903</v>
      </c>
      <c r="B28513" s="38">
        <v>14754.0</v>
      </c>
      <c r="C28513" s="38" t="s">
        <v>32957</v>
      </c>
      <c r="D28513" s="38" t="str">
        <f>IFERROR(__xludf.DUMMYFUNCTION("REGEXREPLACE(C28513,""-\d+(.*)|--\d+(.*)"","""")"),"VILLERS-SUR-MER")</f>
        <v>VILLERS-SUR-MER</v>
      </c>
      <c r="E28513" s="38" t="s">
        <v>137</v>
      </c>
      <c r="F28513" s="38" t="s">
        <v>138</v>
      </c>
      <c r="G28513" s="49" t="str">
        <f t="shared" si="1"/>
        <v>14640</v>
      </c>
      <c r="H28513" s="49">
        <f t="shared" si="2"/>
        <v>14754</v>
      </c>
    </row>
    <row r="28514">
      <c r="A28514" s="48" t="s">
        <v>18878</v>
      </c>
      <c r="B28514" s="38">
        <v>14106.0</v>
      </c>
      <c r="C28514" s="38" t="s">
        <v>32958</v>
      </c>
      <c r="D28514" s="38" t="str">
        <f>IFERROR(__xludf.DUMMYFUNCTION("REGEXREPLACE(C28514,""-\d+(.*)|--\d+(.*)"","""")"),"BREVILLE-LES-MONTS")</f>
        <v>BREVILLE-LES-MONTS</v>
      </c>
      <c r="E28514" s="38" t="s">
        <v>137</v>
      </c>
      <c r="F28514" s="38" t="s">
        <v>138</v>
      </c>
      <c r="G28514" s="49" t="str">
        <f t="shared" si="1"/>
        <v>14860</v>
      </c>
      <c r="H28514" s="49">
        <f t="shared" si="2"/>
        <v>14106</v>
      </c>
    </row>
    <row r="28515">
      <c r="A28515" s="48" t="s">
        <v>6372</v>
      </c>
      <c r="B28515" s="38">
        <v>79342.0</v>
      </c>
      <c r="C28515" s="38" t="s">
        <v>32959</v>
      </c>
      <c r="D28515" s="38" t="str">
        <f>IFERROR(__xludf.DUMMYFUNCTION("REGEXREPLACE(C28515,""-\d+(.*)|--\d+(.*)"","""")"),"VERNOUX-EN-GATINE")</f>
        <v>VERNOUX-EN-GATINE</v>
      </c>
      <c r="E28515" s="38" t="s">
        <v>337</v>
      </c>
      <c r="F28515" s="38" t="s">
        <v>338</v>
      </c>
      <c r="G28515" s="49" t="str">
        <f t="shared" si="1"/>
        <v>79240</v>
      </c>
      <c r="H28515" s="49">
        <f t="shared" si="2"/>
        <v>79342</v>
      </c>
    </row>
    <row r="28516">
      <c r="A28516" s="48" t="s">
        <v>19905</v>
      </c>
      <c r="B28516" s="38">
        <v>67428.0</v>
      </c>
      <c r="C28516" s="38" t="s">
        <v>32960</v>
      </c>
      <c r="D28516" s="38" t="str">
        <f>IFERROR(__xludf.DUMMYFUNCTION("REGEXREPLACE(C28516,""-\d+(.*)|--\d+(.*)"","""")"),"SAINT-NABOR")</f>
        <v>SAINT-NABOR</v>
      </c>
      <c r="E28516" s="38" t="s">
        <v>210</v>
      </c>
      <c r="F28516" s="38" t="s">
        <v>151</v>
      </c>
      <c r="G28516" s="49" t="str">
        <f t="shared" si="1"/>
        <v>67530</v>
      </c>
      <c r="H28516" s="49">
        <f t="shared" si="2"/>
        <v>67428</v>
      </c>
    </row>
    <row r="28517">
      <c r="A28517" s="48" t="s">
        <v>2190</v>
      </c>
      <c r="B28517" s="38">
        <v>10106.0</v>
      </c>
      <c r="C28517" s="38" t="s">
        <v>32961</v>
      </c>
      <c r="D28517" s="38" t="str">
        <f>IFERROR(__xludf.DUMMYFUNCTION("REGEXREPLACE(C28517,""-\d+(.*)|--\d+(.*)"","""")"),"COURCEROY")</f>
        <v>COURCEROY</v>
      </c>
      <c r="E28517" s="38" t="s">
        <v>147</v>
      </c>
      <c r="F28517" s="38" t="s">
        <v>130</v>
      </c>
      <c r="G28517" s="49" t="str">
        <f t="shared" si="1"/>
        <v>10400</v>
      </c>
      <c r="H28517" s="49">
        <f t="shared" si="2"/>
        <v>10106</v>
      </c>
    </row>
    <row r="28518">
      <c r="A28518" s="48" t="s">
        <v>958</v>
      </c>
      <c r="B28518" s="38">
        <v>71048.0</v>
      </c>
      <c r="C28518" s="38" t="s">
        <v>32962</v>
      </c>
      <c r="D28518" s="38" t="str">
        <f>IFERROR(__xludf.DUMMYFUNCTION("REGEXREPLACE(C28518,""-\d+(.*)|--\d+(.*)"","""")"),"BOURG-LE-COMTE")</f>
        <v>BOURG-LE-COMTE</v>
      </c>
      <c r="E28518" s="38" t="s">
        <v>344</v>
      </c>
      <c r="F28518" s="38" t="s">
        <v>106</v>
      </c>
      <c r="G28518" s="49" t="str">
        <f t="shared" si="1"/>
        <v>71110</v>
      </c>
      <c r="H28518" s="49">
        <f t="shared" si="2"/>
        <v>71048</v>
      </c>
    </row>
    <row r="28519">
      <c r="A28519" s="48" t="s">
        <v>1374</v>
      </c>
      <c r="B28519" s="38">
        <v>79207.0</v>
      </c>
      <c r="C28519" s="38" t="s">
        <v>32963</v>
      </c>
      <c r="D28519" s="38" t="str">
        <f>IFERROR(__xludf.DUMMYFUNCTION("REGEXREPLACE(C28519,""-\d+(.*)|--\d+(.*)"","""")"),"LA PETITE-BOISSIERE")</f>
        <v>LA PETITE-BOISSIERE</v>
      </c>
      <c r="E28519" s="38" t="s">
        <v>337</v>
      </c>
      <c r="F28519" s="38" t="s">
        <v>338</v>
      </c>
      <c r="G28519" s="49" t="str">
        <f t="shared" si="1"/>
        <v>79700</v>
      </c>
      <c r="H28519" s="49">
        <f t="shared" si="2"/>
        <v>79207</v>
      </c>
    </row>
    <row r="28520">
      <c r="A28520" s="48" t="s">
        <v>3800</v>
      </c>
      <c r="B28520" s="38">
        <v>35084.0</v>
      </c>
      <c r="C28520" s="38" t="s">
        <v>32964</v>
      </c>
      <c r="D28520" s="38" t="str">
        <f>IFERROR(__xludf.DUMMYFUNCTION("REGEXREPLACE(C28520,""-\d+(.*)|--\d+(.*)"","""")"),"COMBLESSAC")</f>
        <v>COMBLESSAC</v>
      </c>
      <c r="E28520" s="38" t="s">
        <v>347</v>
      </c>
      <c r="F28520" s="38" t="s">
        <v>90</v>
      </c>
      <c r="G28520" s="49" t="str">
        <f t="shared" si="1"/>
        <v>35330</v>
      </c>
      <c r="H28520" s="49">
        <f t="shared" si="2"/>
        <v>35084</v>
      </c>
    </row>
    <row r="28521">
      <c r="A28521" s="48" t="s">
        <v>1940</v>
      </c>
      <c r="B28521" s="38">
        <v>51226.0</v>
      </c>
      <c r="C28521" s="38" t="s">
        <v>32965</v>
      </c>
      <c r="D28521" s="38" t="str">
        <f>IFERROR(__xludf.DUMMYFUNCTION("REGEXREPLACE(C28521,""-\d+(.*)|--\d+(.*)"","""")"),"ECURY-LE-REPOS")</f>
        <v>ECURY-LE-REPOS</v>
      </c>
      <c r="E28521" s="38" t="s">
        <v>129</v>
      </c>
      <c r="F28521" s="38" t="s">
        <v>130</v>
      </c>
      <c r="G28521" s="49" t="str">
        <f t="shared" si="1"/>
        <v>51230</v>
      </c>
      <c r="H28521" s="49">
        <f t="shared" si="2"/>
        <v>51226</v>
      </c>
    </row>
    <row r="28522">
      <c r="A28522" s="48" t="s">
        <v>4354</v>
      </c>
      <c r="B28522" s="38">
        <v>72366.0</v>
      </c>
      <c r="C28522" s="38" t="s">
        <v>32966</v>
      </c>
      <c r="D28522" s="38" t="str">
        <f>IFERROR(__xludf.DUMMYFUNCTION("REGEXREPLACE(C28522,""-\d+(.*)|--\d+(.*)"","""")"),"VALENNES")</f>
        <v>VALENNES</v>
      </c>
      <c r="E28522" s="38" t="s">
        <v>521</v>
      </c>
      <c r="F28522" s="38" t="s">
        <v>180</v>
      </c>
      <c r="G28522" s="49" t="str">
        <f t="shared" si="1"/>
        <v>72320</v>
      </c>
      <c r="H28522" s="49">
        <f t="shared" si="2"/>
        <v>72366</v>
      </c>
    </row>
    <row r="28523">
      <c r="A28523" s="48" t="s">
        <v>4973</v>
      </c>
      <c r="B28523" s="38">
        <v>58236.0</v>
      </c>
      <c r="C28523" s="38" t="s">
        <v>32967</v>
      </c>
      <c r="D28523" s="38" t="str">
        <f>IFERROR(__xludf.DUMMYFUNCTION("REGEXREPLACE(C28523,""-\d+(.*)|--\d+(.*)"","""")"),"SAINTE-COLOMBE-DES-BOIS")</f>
        <v>SAINTE-COLOMBE-DES-BOIS</v>
      </c>
      <c r="E28523" s="38" t="s">
        <v>219</v>
      </c>
      <c r="F28523" s="38" t="s">
        <v>106</v>
      </c>
      <c r="G28523" s="49" t="str">
        <f t="shared" si="1"/>
        <v>58220</v>
      </c>
      <c r="H28523" s="49">
        <f t="shared" si="2"/>
        <v>58236</v>
      </c>
    </row>
    <row r="28524">
      <c r="A28524" s="48" t="s">
        <v>3287</v>
      </c>
      <c r="B28524" s="38">
        <v>1433.0</v>
      </c>
      <c r="C28524" s="38" t="s">
        <v>32968</v>
      </c>
      <c r="D28524" s="38" t="str">
        <f>IFERROR(__xludf.DUMMYFUNCTION("REGEXREPLACE(C28524,""-\d+(.*)|--\d+(.*)"","""")"),"VERNOUX")</f>
        <v>VERNOUX</v>
      </c>
      <c r="E28524" s="38" t="s">
        <v>255</v>
      </c>
      <c r="F28524" s="38" t="s">
        <v>102</v>
      </c>
      <c r="G28524" s="49" t="str">
        <f t="shared" si="1"/>
        <v>01560</v>
      </c>
      <c r="H28524" s="49" t="str">
        <f t="shared" si="2"/>
        <v>01433</v>
      </c>
    </row>
    <row r="28525">
      <c r="A28525" s="48" t="s">
        <v>10327</v>
      </c>
      <c r="B28525" s="38">
        <v>57511.0</v>
      </c>
      <c r="C28525" s="38" t="s">
        <v>32969</v>
      </c>
      <c r="D28525" s="38" t="str">
        <f>IFERROR(__xludf.DUMMYFUNCTION("REGEXREPLACE(C28525,""-\d+(.*)|--\d+(.*)"","""")"),"NORROY-LE-VENEUR")</f>
        <v>NORROY-LE-VENEUR</v>
      </c>
      <c r="E28525" s="38" t="s">
        <v>303</v>
      </c>
      <c r="F28525" s="38" t="s">
        <v>195</v>
      </c>
      <c r="G28525" s="49" t="str">
        <f t="shared" si="1"/>
        <v>57140</v>
      </c>
      <c r="H28525" s="49">
        <f t="shared" si="2"/>
        <v>57511</v>
      </c>
    </row>
    <row r="28526">
      <c r="A28526" s="48" t="s">
        <v>2835</v>
      </c>
      <c r="B28526" s="38">
        <v>18099.0</v>
      </c>
      <c r="C28526" s="38" t="s">
        <v>32970</v>
      </c>
      <c r="D28526" s="38" t="str">
        <f>IFERROR(__xludf.DUMMYFUNCTION("REGEXREPLACE(C28526,""-\d+(.*)|--\d+(.*)"","""")"),"GARIGNY")</f>
        <v>GARIGNY</v>
      </c>
      <c r="E28526" s="38" t="s">
        <v>504</v>
      </c>
      <c r="F28526" s="38" t="s">
        <v>123</v>
      </c>
      <c r="G28526" s="49" t="str">
        <f t="shared" si="1"/>
        <v>18140</v>
      </c>
      <c r="H28526" s="49">
        <f t="shared" si="2"/>
        <v>18099</v>
      </c>
    </row>
    <row r="28527">
      <c r="A28527" s="48" t="s">
        <v>1295</v>
      </c>
      <c r="B28527" s="38">
        <v>57641.0</v>
      </c>
      <c r="C28527" s="38" t="s">
        <v>32971</v>
      </c>
      <c r="D28527" s="38" t="str">
        <f>IFERROR(__xludf.DUMMYFUNCTION("REGEXREPLACE(C28527,""-\d+(.*)|--\d+(.*)"","""")"),"SCHWEYEN")</f>
        <v>SCHWEYEN</v>
      </c>
      <c r="E28527" s="38" t="s">
        <v>303</v>
      </c>
      <c r="F28527" s="38" t="s">
        <v>195</v>
      </c>
      <c r="G28527" s="49" t="str">
        <f t="shared" si="1"/>
        <v>57720</v>
      </c>
      <c r="H28527" s="49">
        <f t="shared" si="2"/>
        <v>57641</v>
      </c>
    </row>
    <row r="28528">
      <c r="A28528" s="48" t="s">
        <v>4447</v>
      </c>
      <c r="B28528" s="38">
        <v>39529.0</v>
      </c>
      <c r="C28528" s="38" t="s">
        <v>32972</v>
      </c>
      <c r="D28528" s="38" t="str">
        <f>IFERROR(__xludf.DUMMYFUNCTION("REGEXREPLACE(C28528,""-\d+(.*)|--\d+(.*)"","""")"),"THESY")</f>
        <v>THESY</v>
      </c>
      <c r="E28528" s="38" t="s">
        <v>400</v>
      </c>
      <c r="F28528" s="38" t="s">
        <v>214</v>
      </c>
      <c r="G28528" s="49" t="str">
        <f t="shared" si="1"/>
        <v>39110</v>
      </c>
      <c r="H28528" s="49">
        <f t="shared" si="2"/>
        <v>39529</v>
      </c>
    </row>
    <row r="28529">
      <c r="A28529" s="48" t="s">
        <v>32973</v>
      </c>
      <c r="B28529" s="38">
        <v>17297.0</v>
      </c>
      <c r="C28529" s="38" t="s">
        <v>32974</v>
      </c>
      <c r="D28529" s="38" t="str">
        <f>IFERROR(__xludf.DUMMYFUNCTION("REGEXREPLACE(C28529,""-\d+(.*)|--\d+(.*)"","""")"),"RIVEDOUX-PLAGE")</f>
        <v>RIVEDOUX-PLAGE</v>
      </c>
      <c r="E28529" s="38" t="s">
        <v>488</v>
      </c>
      <c r="F28529" s="38" t="s">
        <v>338</v>
      </c>
      <c r="G28529" s="49" t="str">
        <f t="shared" si="1"/>
        <v>17940</v>
      </c>
      <c r="H28529" s="49">
        <f t="shared" si="2"/>
        <v>17297</v>
      </c>
    </row>
    <row r="28530">
      <c r="A28530" s="48" t="s">
        <v>398</v>
      </c>
      <c r="B28530" s="38">
        <v>39254.0</v>
      </c>
      <c r="C28530" s="38" t="s">
        <v>32975</v>
      </c>
      <c r="D28530" s="38" t="str">
        <f>IFERROR(__xludf.DUMMYFUNCTION("REGEXREPLACE(C28530,""-\d+(.*)|--\d+(.*)"","""")"),"GILLOIS")</f>
        <v>GILLOIS</v>
      </c>
      <c r="E28530" s="38" t="s">
        <v>400</v>
      </c>
      <c r="F28530" s="38" t="s">
        <v>214</v>
      </c>
      <c r="G28530" s="49" t="str">
        <f t="shared" si="1"/>
        <v>39250</v>
      </c>
      <c r="H28530" s="49">
        <f t="shared" si="2"/>
        <v>39254</v>
      </c>
    </row>
    <row r="28531">
      <c r="A28531" s="48" t="s">
        <v>6069</v>
      </c>
      <c r="B28531" s="38">
        <v>50037.0</v>
      </c>
      <c r="C28531" s="38" t="s">
        <v>18517</v>
      </c>
      <c r="D28531" s="38" t="str">
        <f>IFERROR(__xludf.DUMMYFUNCTION("REGEXREPLACE(C28531,""-\d+(.*)|--\d+(.*)"","""")"),"LA BAZOGE")</f>
        <v>LA BAZOGE</v>
      </c>
      <c r="E28531" s="38" t="s">
        <v>157</v>
      </c>
      <c r="F28531" s="38" t="s">
        <v>138</v>
      </c>
      <c r="G28531" s="49" t="str">
        <f t="shared" si="1"/>
        <v>50520</v>
      </c>
      <c r="H28531" s="49">
        <f t="shared" si="2"/>
        <v>50037</v>
      </c>
    </row>
    <row r="28532">
      <c r="A28532" s="48" t="s">
        <v>1473</v>
      </c>
      <c r="B28532" s="38">
        <v>50137.0</v>
      </c>
      <c r="C28532" s="38" t="s">
        <v>21530</v>
      </c>
      <c r="D28532" s="38" t="str">
        <f>IFERROR(__xludf.DUMMYFUNCTION("REGEXREPLACE(C28532,""-\d+(.*)|--\d+(.*)"","""")"),"LA COLOMBE")</f>
        <v>LA COLOMBE</v>
      </c>
      <c r="E28532" s="38" t="s">
        <v>157</v>
      </c>
      <c r="F28532" s="38" t="s">
        <v>138</v>
      </c>
      <c r="G28532" s="49" t="str">
        <f t="shared" si="1"/>
        <v>50800</v>
      </c>
      <c r="H28532" s="49">
        <f t="shared" si="2"/>
        <v>50137</v>
      </c>
    </row>
    <row r="28533">
      <c r="A28533" s="48" t="s">
        <v>9016</v>
      </c>
      <c r="B28533" s="38">
        <v>76449.0</v>
      </c>
      <c r="C28533" s="38" t="s">
        <v>32976</v>
      </c>
      <c r="D28533" s="38" t="str">
        <f>IFERROR(__xludf.DUMMYFUNCTION("REGEXREPLACE(C28533,""-\d+(.*)|--\d+(.*)"","""")"),"MONTREUIL-EN-CAUX")</f>
        <v>MONTREUIL-EN-CAUX</v>
      </c>
      <c r="E28533" s="38" t="s">
        <v>133</v>
      </c>
      <c r="F28533" s="38" t="s">
        <v>134</v>
      </c>
      <c r="G28533" s="49" t="str">
        <f t="shared" si="1"/>
        <v>76850</v>
      </c>
      <c r="H28533" s="49">
        <f t="shared" si="2"/>
        <v>76449</v>
      </c>
    </row>
    <row r="28534">
      <c r="A28534" s="48" t="s">
        <v>6060</v>
      </c>
      <c r="B28534" s="38">
        <v>37200.0</v>
      </c>
      <c r="C28534" s="38" t="s">
        <v>32977</v>
      </c>
      <c r="D28534" s="38" t="str">
        <f>IFERROR(__xludf.DUMMYFUNCTION("REGEXREPLACE(C28534,""-\d+(.*)|--\d+(.*)"","""")"),"RIVARENNES")</f>
        <v>RIVARENNES</v>
      </c>
      <c r="E28534" s="38" t="s">
        <v>205</v>
      </c>
      <c r="F28534" s="38" t="s">
        <v>123</v>
      </c>
      <c r="G28534" s="49" t="str">
        <f t="shared" si="1"/>
        <v>37190</v>
      </c>
      <c r="H28534" s="49">
        <f t="shared" si="2"/>
        <v>37200</v>
      </c>
    </row>
    <row r="28535">
      <c r="A28535" s="48" t="s">
        <v>10358</v>
      </c>
      <c r="B28535" s="38">
        <v>42245.0</v>
      </c>
      <c r="C28535" s="38" t="s">
        <v>32978</v>
      </c>
      <c r="D28535" s="38" t="str">
        <f>IFERROR(__xludf.DUMMYFUNCTION("REGEXREPLACE(C28535,""-\d+(.*)|--\d+(.*)"","""")"),"SAINT-JULIEN-LA-VETRE")</f>
        <v>SAINT-JULIEN-LA-VETRE</v>
      </c>
      <c r="E28535" s="38" t="s">
        <v>166</v>
      </c>
      <c r="F28535" s="38" t="s">
        <v>102</v>
      </c>
      <c r="G28535" s="49" t="str">
        <f t="shared" si="1"/>
        <v>42440</v>
      </c>
      <c r="H28535" s="49">
        <f t="shared" si="2"/>
        <v>42245</v>
      </c>
    </row>
    <row r="28536">
      <c r="A28536" s="48" t="s">
        <v>1038</v>
      </c>
      <c r="B28536" s="38">
        <v>50290.0</v>
      </c>
      <c r="C28536" s="38" t="s">
        <v>32979</v>
      </c>
      <c r="D28536" s="38" t="str">
        <f>IFERROR(__xludf.DUMMYFUNCTION("REGEXREPLACE(C28536,""-\d+(.*)|--\d+(.*)"","""")"),"MARCILLY")</f>
        <v>MARCILLY</v>
      </c>
      <c r="E28536" s="38" t="s">
        <v>157</v>
      </c>
      <c r="F28536" s="38" t="s">
        <v>138</v>
      </c>
      <c r="G28536" s="49" t="str">
        <f t="shared" si="1"/>
        <v>50220</v>
      </c>
      <c r="H28536" s="49">
        <f t="shared" si="2"/>
        <v>50290</v>
      </c>
    </row>
    <row r="28537">
      <c r="A28537" s="48" t="s">
        <v>10433</v>
      </c>
      <c r="B28537" s="38">
        <v>46278.0</v>
      </c>
      <c r="C28537" s="38" t="s">
        <v>32980</v>
      </c>
      <c r="D28537" s="38" t="str">
        <f>IFERROR(__xludf.DUMMYFUNCTION("REGEXREPLACE(C28537,""-\d+(.*)|--\d+(.*)"","""")"),"SAINT-MATRE")</f>
        <v>SAINT-MATRE</v>
      </c>
      <c r="E28537" s="38" t="s">
        <v>185</v>
      </c>
      <c r="F28537" s="38" t="s">
        <v>94</v>
      </c>
      <c r="G28537" s="49" t="str">
        <f t="shared" si="1"/>
        <v>46800</v>
      </c>
      <c r="H28537" s="49">
        <f t="shared" si="2"/>
        <v>46278</v>
      </c>
    </row>
    <row r="28538">
      <c r="A28538" s="48" t="s">
        <v>4428</v>
      </c>
      <c r="B28538" s="38">
        <v>72164.0</v>
      </c>
      <c r="C28538" s="38" t="s">
        <v>32981</v>
      </c>
      <c r="D28538" s="38" t="str">
        <f>IFERROR(__xludf.DUMMYFUNCTION("REGEXREPLACE(C28538,""-\d+(.*)|--\d+(.*)"","""")"),"LIVET-EN-SAOSNOIS")</f>
        <v>LIVET-EN-SAOSNOIS</v>
      </c>
      <c r="E28538" s="38" t="s">
        <v>521</v>
      </c>
      <c r="F28538" s="38" t="s">
        <v>180</v>
      </c>
      <c r="G28538" s="49" t="str">
        <f t="shared" si="1"/>
        <v>72610</v>
      </c>
      <c r="H28538" s="49">
        <f t="shared" si="2"/>
        <v>72164</v>
      </c>
    </row>
    <row r="28539">
      <c r="A28539" s="48" t="s">
        <v>32982</v>
      </c>
      <c r="B28539" s="38">
        <v>69072.0</v>
      </c>
      <c r="C28539" s="38" t="s">
        <v>32983</v>
      </c>
      <c r="D28539" s="38" t="str">
        <f>IFERROR(__xludf.DUMMYFUNCTION("REGEXREPLACE(C28539,""-\d+(.*)|--\d+(.*)"","""")"),"DARDILLY")</f>
        <v>DARDILLY</v>
      </c>
      <c r="E28539" s="38" t="s">
        <v>350</v>
      </c>
      <c r="F28539" s="38" t="s">
        <v>102</v>
      </c>
      <c r="G28539" s="49" t="str">
        <f t="shared" si="1"/>
        <v>69570</v>
      </c>
      <c r="H28539" s="49">
        <f t="shared" si="2"/>
        <v>69072</v>
      </c>
    </row>
    <row r="28540">
      <c r="A28540" s="48" t="s">
        <v>21123</v>
      </c>
      <c r="B28540" s="38">
        <v>81103.0</v>
      </c>
      <c r="C28540" s="38" t="s">
        <v>32984</v>
      </c>
      <c r="D28540" s="38" t="str">
        <f>IFERROR(__xludf.DUMMYFUNCTION("REGEXREPLACE(C28540,""-\d+(.*)|--\d+(.*)"","""")"),"GIJOUNET")</f>
        <v>GIJOUNET</v>
      </c>
      <c r="E28540" s="38" t="s">
        <v>231</v>
      </c>
      <c r="F28540" s="38" t="s">
        <v>94</v>
      </c>
      <c r="G28540" s="49" t="str">
        <f t="shared" si="1"/>
        <v>81530</v>
      </c>
      <c r="H28540" s="49">
        <f t="shared" si="2"/>
        <v>81103</v>
      </c>
    </row>
    <row r="28541">
      <c r="A28541" s="48" t="s">
        <v>10268</v>
      </c>
      <c r="B28541" s="38">
        <v>41220.0</v>
      </c>
      <c r="C28541" s="38" t="s">
        <v>32985</v>
      </c>
      <c r="D28541" s="38" t="str">
        <f>IFERROR(__xludf.DUMMYFUNCTION("REGEXREPLACE(C28541,""-\d+(.*)|--\d+(.*)"","""")"),"SAINT-LAURENT-NOUAN")</f>
        <v>SAINT-LAURENT-NOUAN</v>
      </c>
      <c r="E28541" s="38" t="s">
        <v>188</v>
      </c>
      <c r="F28541" s="38" t="s">
        <v>123</v>
      </c>
      <c r="G28541" s="49" t="str">
        <f t="shared" si="1"/>
        <v>41220</v>
      </c>
      <c r="H28541" s="49">
        <f t="shared" si="2"/>
        <v>41220</v>
      </c>
    </row>
    <row r="28542">
      <c r="A28542" s="48" t="s">
        <v>27551</v>
      </c>
      <c r="B28542" s="38">
        <v>29012.0</v>
      </c>
      <c r="C28542" s="38" t="s">
        <v>32986</v>
      </c>
      <c r="D28542" s="38" t="str">
        <f>IFERROR(__xludf.DUMMYFUNCTION("REGEXREPLACE(C28542,""-\d+(.*)|--\d+(.*)"","""")"),"BOLAZEC")</f>
        <v>BOLAZEC</v>
      </c>
      <c r="E28542" s="38" t="s">
        <v>176</v>
      </c>
      <c r="F28542" s="38" t="s">
        <v>90</v>
      </c>
      <c r="G28542" s="49" t="str">
        <f t="shared" si="1"/>
        <v>29640</v>
      </c>
      <c r="H28542" s="49">
        <f t="shared" si="2"/>
        <v>29012</v>
      </c>
    </row>
    <row r="28543">
      <c r="A28543" s="48" t="s">
        <v>1205</v>
      </c>
      <c r="B28543" s="38">
        <v>54105.0</v>
      </c>
      <c r="C28543" s="38" t="s">
        <v>32987</v>
      </c>
      <c r="D28543" s="38" t="str">
        <f>IFERROR(__xludf.DUMMYFUNCTION("REGEXREPLACE(C28543,""-\d+(.*)|--\d+(.*)"","""")"),"BULLIGNY")</f>
        <v>BULLIGNY</v>
      </c>
      <c r="E28543" s="38" t="s">
        <v>548</v>
      </c>
      <c r="F28543" s="38" t="s">
        <v>195</v>
      </c>
      <c r="G28543" s="49" t="str">
        <f t="shared" si="1"/>
        <v>54113</v>
      </c>
      <c r="H28543" s="49">
        <f t="shared" si="2"/>
        <v>54105</v>
      </c>
    </row>
    <row r="28544">
      <c r="A28544" s="48" t="s">
        <v>9585</v>
      </c>
      <c r="B28544" s="38">
        <v>25430.0</v>
      </c>
      <c r="C28544" s="38" t="s">
        <v>32988</v>
      </c>
      <c r="D28544" s="38" t="str">
        <f>IFERROR(__xludf.DUMMYFUNCTION("REGEXREPLACE(C28544,""-\d+(.*)|--\d+(.*)"","""")"),"OLLANS")</f>
        <v>OLLANS</v>
      </c>
      <c r="E28544" s="38" t="s">
        <v>213</v>
      </c>
      <c r="F28544" s="38" t="s">
        <v>214</v>
      </c>
      <c r="G28544" s="49" t="str">
        <f t="shared" si="1"/>
        <v>25640</v>
      </c>
      <c r="H28544" s="49">
        <f t="shared" si="2"/>
        <v>25430</v>
      </c>
    </row>
    <row r="28545">
      <c r="A28545" s="48" t="s">
        <v>22972</v>
      </c>
      <c r="B28545" s="38">
        <v>81166.0</v>
      </c>
      <c r="C28545" s="38" t="s">
        <v>32989</v>
      </c>
      <c r="D28545" s="38" t="str">
        <f>IFERROR(__xludf.DUMMYFUNCTION("REGEXREPLACE(C28545,""-\d+(.*)|--\d+(.*)"","""")"),"MILHAVET")</f>
        <v>MILHAVET</v>
      </c>
      <c r="E28545" s="38" t="s">
        <v>231</v>
      </c>
      <c r="F28545" s="38" t="s">
        <v>94</v>
      </c>
      <c r="G28545" s="49" t="str">
        <f t="shared" si="1"/>
        <v>81130</v>
      </c>
      <c r="H28545" s="49">
        <f t="shared" si="2"/>
        <v>81166</v>
      </c>
    </row>
    <row r="28546">
      <c r="A28546" s="48" t="s">
        <v>8134</v>
      </c>
      <c r="B28546" s="38">
        <v>47242.0</v>
      </c>
      <c r="C28546" s="38" t="s">
        <v>32990</v>
      </c>
      <c r="D28546" s="38" t="str">
        <f>IFERROR(__xludf.DUMMYFUNCTION("REGEXREPLACE(C28546,""-\d+(.*)|--\d+(.*)"","""")"),"SAINT-FRONT-SUR-LEMANCE")</f>
        <v>SAINT-FRONT-SUR-LEMANCE</v>
      </c>
      <c r="E28546" s="38" t="s">
        <v>251</v>
      </c>
      <c r="F28546" s="38" t="s">
        <v>252</v>
      </c>
      <c r="G28546" s="49" t="str">
        <f t="shared" si="1"/>
        <v>47500</v>
      </c>
      <c r="H28546" s="49">
        <f t="shared" si="2"/>
        <v>47242</v>
      </c>
    </row>
    <row r="28547">
      <c r="A28547" s="48" t="s">
        <v>2837</v>
      </c>
      <c r="B28547" s="38">
        <v>17238.0</v>
      </c>
      <c r="C28547" s="38" t="s">
        <v>32991</v>
      </c>
      <c r="D28547" s="38" t="str">
        <f>IFERROR(__xludf.DUMMYFUNCTION("REGEXREPLACE(C28547,""-\d+(.*)|--\d+(.*)"","""")"),"MOINGS")</f>
        <v>MOINGS</v>
      </c>
      <c r="E28547" s="38" t="s">
        <v>488</v>
      </c>
      <c r="F28547" s="38" t="s">
        <v>338</v>
      </c>
      <c r="G28547" s="49" t="str">
        <f t="shared" si="1"/>
        <v>17500</v>
      </c>
      <c r="H28547" s="49">
        <f t="shared" si="2"/>
        <v>17238</v>
      </c>
    </row>
    <row r="28548">
      <c r="A28548" s="48" t="s">
        <v>22709</v>
      </c>
      <c r="B28548" s="38">
        <v>33480.0</v>
      </c>
      <c r="C28548" s="38" t="s">
        <v>32992</v>
      </c>
      <c r="D28548" s="38" t="str">
        <f>IFERROR(__xludf.DUMMYFUNCTION("REGEXREPLACE(C28548,""-\d+(.*)|--\d+(.*)"","""")"),"SAINT-SULPICE-DE-FALEYRENS")</f>
        <v>SAINT-SULPICE-DE-FALEYRENS</v>
      </c>
      <c r="E28548" s="38" t="s">
        <v>462</v>
      </c>
      <c r="F28548" s="38" t="s">
        <v>252</v>
      </c>
      <c r="G28548" s="49" t="str">
        <f t="shared" si="1"/>
        <v>33330</v>
      </c>
      <c r="H28548" s="49">
        <f t="shared" si="2"/>
        <v>33480</v>
      </c>
    </row>
    <row r="28549">
      <c r="A28549" s="48" t="s">
        <v>2141</v>
      </c>
      <c r="B28549" s="38">
        <v>80577.0</v>
      </c>
      <c r="C28549" s="38" t="s">
        <v>32993</v>
      </c>
      <c r="D28549" s="38" t="str">
        <f>IFERROR(__xludf.DUMMYFUNCTION("REGEXREPLACE(C28549,""-\d+(.*)|--\d+(.*)"","""")"),"MOYENCOURT-LES-POIX")</f>
        <v>MOYENCOURT-LES-POIX</v>
      </c>
      <c r="E28549" s="38" t="s">
        <v>224</v>
      </c>
      <c r="F28549" s="38" t="s">
        <v>113</v>
      </c>
      <c r="G28549" s="49" t="str">
        <f t="shared" si="1"/>
        <v>80290</v>
      </c>
      <c r="H28549" s="49">
        <f t="shared" si="2"/>
        <v>80577</v>
      </c>
    </row>
    <row r="28550">
      <c r="A28550" s="48" t="s">
        <v>23379</v>
      </c>
      <c r="B28550" s="38">
        <v>28115.0</v>
      </c>
      <c r="C28550" s="38" t="s">
        <v>32994</v>
      </c>
      <c r="D28550" s="38" t="str">
        <f>IFERROR(__xludf.DUMMYFUNCTION("REGEXREPLACE(C28550,""-\d+(.*)|--\d+(.*)"","""")"),"COURTALAIN")</f>
        <v>COURTALAIN</v>
      </c>
      <c r="E28550" s="38" t="s">
        <v>300</v>
      </c>
      <c r="F28550" s="38" t="s">
        <v>123</v>
      </c>
      <c r="G28550" s="49" t="str">
        <f t="shared" si="1"/>
        <v>28290</v>
      </c>
      <c r="H28550" s="49">
        <f t="shared" si="2"/>
        <v>28115</v>
      </c>
    </row>
    <row r="28551">
      <c r="A28551" s="48" t="s">
        <v>4594</v>
      </c>
      <c r="B28551" s="38">
        <v>62505.0</v>
      </c>
      <c r="C28551" s="38" t="s">
        <v>32995</v>
      </c>
      <c r="D28551" s="38" t="str">
        <f>IFERROR(__xludf.DUMMYFUNCTION("REGEXREPLACE(C28551,""-\d+(.*)|--\d+(.*)"","""")"),"LEULINGHEN-BERNES")</f>
        <v>LEULINGHEN-BERNES</v>
      </c>
      <c r="E28551" s="38" t="s">
        <v>109</v>
      </c>
      <c r="F28551" s="38" t="s">
        <v>86</v>
      </c>
      <c r="G28551" s="49" t="str">
        <f t="shared" si="1"/>
        <v>62250</v>
      </c>
      <c r="H28551" s="49">
        <f t="shared" si="2"/>
        <v>62505</v>
      </c>
    </row>
    <row r="28552">
      <c r="A28552" s="48" t="s">
        <v>2775</v>
      </c>
      <c r="B28552" s="38">
        <v>59496.0</v>
      </c>
      <c r="C28552" s="38" t="s">
        <v>32996</v>
      </c>
      <c r="D28552" s="38" t="str">
        <f>IFERROR(__xludf.DUMMYFUNCTION("REGEXREPLACE(C28552,""-\d+(.*)|--\d+(.*)"","""")"),"REJET-DE-BEAULIEU")</f>
        <v>REJET-DE-BEAULIEU</v>
      </c>
      <c r="E28552" s="38" t="s">
        <v>85</v>
      </c>
      <c r="F28552" s="38" t="s">
        <v>86</v>
      </c>
      <c r="G28552" s="49" t="str">
        <f t="shared" si="1"/>
        <v>59360</v>
      </c>
      <c r="H28552" s="49">
        <f t="shared" si="2"/>
        <v>59496</v>
      </c>
    </row>
    <row r="28553">
      <c r="A28553" s="48" t="s">
        <v>3317</v>
      </c>
      <c r="B28553" s="38">
        <v>1196.0</v>
      </c>
      <c r="C28553" s="38" t="s">
        <v>32997</v>
      </c>
      <c r="D28553" s="38" t="str">
        <f>IFERROR(__xludf.DUMMYFUNCTION("REGEXREPLACE(C28553,""-\d+(.*)|--\d+(.*)"","""")"),"JAYAT")</f>
        <v>JAYAT</v>
      </c>
      <c r="E28553" s="38" t="s">
        <v>255</v>
      </c>
      <c r="F28553" s="38" t="s">
        <v>102</v>
      </c>
      <c r="G28553" s="49" t="str">
        <f t="shared" si="1"/>
        <v>01340</v>
      </c>
      <c r="H28553" s="49" t="str">
        <f t="shared" si="2"/>
        <v>01196</v>
      </c>
    </row>
    <row r="28554">
      <c r="A28554" s="48" t="s">
        <v>18986</v>
      </c>
      <c r="B28554" s="38">
        <v>63416.0</v>
      </c>
      <c r="C28554" s="38" t="s">
        <v>19933</v>
      </c>
      <c r="D28554" s="38" t="str">
        <f>IFERROR(__xludf.DUMMYFUNCTION("REGEXREPLACE(C28554,""-\d+(.*)|--\d+(.*)"","""")"),"SAVENNES")</f>
        <v>SAVENNES</v>
      </c>
      <c r="E28554" s="38" t="s">
        <v>353</v>
      </c>
      <c r="F28554" s="38" t="s">
        <v>161</v>
      </c>
      <c r="G28554" s="49" t="str">
        <f t="shared" si="1"/>
        <v>63750</v>
      </c>
      <c r="H28554" s="49">
        <f t="shared" si="2"/>
        <v>63416</v>
      </c>
    </row>
    <row r="28555">
      <c r="A28555" s="48" t="s">
        <v>5953</v>
      </c>
      <c r="B28555" s="38">
        <v>76266.0</v>
      </c>
      <c r="C28555" s="38" t="s">
        <v>32998</v>
      </c>
      <c r="D28555" s="38" t="str">
        <f>IFERROR(__xludf.DUMMYFUNCTION("REGEXREPLACE(C28555,""-\d+(.*)|--\d+(.*)"","""")"),"FLOCQUES")</f>
        <v>FLOCQUES</v>
      </c>
      <c r="E28555" s="38" t="s">
        <v>133</v>
      </c>
      <c r="F28555" s="38" t="s">
        <v>134</v>
      </c>
      <c r="G28555" s="49" t="str">
        <f t="shared" si="1"/>
        <v>76260</v>
      </c>
      <c r="H28555" s="49">
        <f t="shared" si="2"/>
        <v>76266</v>
      </c>
    </row>
    <row r="28556">
      <c r="A28556" s="48" t="s">
        <v>711</v>
      </c>
      <c r="B28556" s="38">
        <v>49009.0</v>
      </c>
      <c r="C28556" s="38" t="s">
        <v>32999</v>
      </c>
      <c r="D28556" s="38" t="str">
        <f>IFERROR(__xludf.DUMMYFUNCTION("REGEXREPLACE(C28556,""-\d+(.*)|--\d+(.*)"","""")"),"ANTOIGNE")</f>
        <v>ANTOIGNE</v>
      </c>
      <c r="E28556" s="38" t="s">
        <v>653</v>
      </c>
      <c r="F28556" s="38" t="s">
        <v>180</v>
      </c>
      <c r="G28556" s="49" t="str">
        <f t="shared" si="1"/>
        <v>49260</v>
      </c>
      <c r="H28556" s="49">
        <f t="shared" si="2"/>
        <v>49009</v>
      </c>
    </row>
    <row r="28557">
      <c r="A28557" s="48" t="s">
        <v>1108</v>
      </c>
      <c r="B28557" s="38">
        <v>27417.0</v>
      </c>
      <c r="C28557" s="38" t="s">
        <v>33000</v>
      </c>
      <c r="D28557" s="38" t="str">
        <f>IFERROR(__xludf.DUMMYFUNCTION("REGEXREPLACE(C28557,""-\d+(.*)|--\d+(.*)"","""")"),"MORGNY")</f>
        <v>MORGNY</v>
      </c>
      <c r="E28557" s="38" t="s">
        <v>241</v>
      </c>
      <c r="F28557" s="38" t="s">
        <v>134</v>
      </c>
      <c r="G28557" s="49" t="str">
        <f t="shared" si="1"/>
        <v>27150</v>
      </c>
      <c r="H28557" s="49">
        <f t="shared" si="2"/>
        <v>27417</v>
      </c>
    </row>
    <row r="28558">
      <c r="A28558" s="48" t="s">
        <v>2976</v>
      </c>
      <c r="B28558" s="38">
        <v>14731.0</v>
      </c>
      <c r="C28558" s="38" t="s">
        <v>25777</v>
      </c>
      <c r="D28558" s="38" t="str">
        <f>IFERROR(__xludf.DUMMYFUNCTION("REGEXREPLACE(C28558,""-\d+(.*)|--\d+(.*)"","""")"),"VAUVILLE")</f>
        <v>VAUVILLE</v>
      </c>
      <c r="E28558" s="38" t="s">
        <v>137</v>
      </c>
      <c r="F28558" s="38" t="s">
        <v>138</v>
      </c>
      <c r="G28558" s="49" t="str">
        <f t="shared" si="1"/>
        <v>14800</v>
      </c>
      <c r="H28558" s="49">
        <f t="shared" si="2"/>
        <v>14731</v>
      </c>
    </row>
    <row r="28559">
      <c r="A28559" s="48" t="s">
        <v>2049</v>
      </c>
      <c r="B28559" s="38">
        <v>29190.0</v>
      </c>
      <c r="C28559" s="38" t="s">
        <v>33001</v>
      </c>
      <c r="D28559" s="38" t="str">
        <f>IFERROR(__xludf.DUMMYFUNCTION("REGEXREPLACE(C28559,""-\d+(.*)|--\d+(.*)"","""")"),"PLOUGONVELIN")</f>
        <v>PLOUGONVELIN</v>
      </c>
      <c r="E28559" s="38" t="s">
        <v>176</v>
      </c>
      <c r="F28559" s="38" t="s">
        <v>90</v>
      </c>
      <c r="G28559" s="49" t="str">
        <f t="shared" si="1"/>
        <v>29217</v>
      </c>
      <c r="H28559" s="49">
        <f t="shared" si="2"/>
        <v>29190</v>
      </c>
    </row>
    <row r="28560">
      <c r="A28560" s="48" t="s">
        <v>3812</v>
      </c>
      <c r="B28560" s="38">
        <v>71035.0</v>
      </c>
      <c r="C28560" s="38" t="s">
        <v>33002</v>
      </c>
      <c r="D28560" s="38" t="str">
        <f>IFERROR(__xludf.DUMMYFUNCTION("REGEXREPLACE(C28560,""-\d+(.*)|--\d+(.*)"","""")"),"BISSY-LA-MACONNAISE")</f>
        <v>BISSY-LA-MACONNAISE</v>
      </c>
      <c r="E28560" s="38" t="s">
        <v>344</v>
      </c>
      <c r="F28560" s="38" t="s">
        <v>106</v>
      </c>
      <c r="G28560" s="49" t="str">
        <f t="shared" si="1"/>
        <v>71260</v>
      </c>
      <c r="H28560" s="49">
        <f t="shared" si="2"/>
        <v>71035</v>
      </c>
    </row>
    <row r="28561">
      <c r="A28561" s="48" t="s">
        <v>5449</v>
      </c>
      <c r="B28561" s="38">
        <v>59642.0</v>
      </c>
      <c r="C28561" s="38" t="s">
        <v>33003</v>
      </c>
      <c r="D28561" s="38" t="str">
        <f>IFERROR(__xludf.DUMMYFUNCTION("REGEXREPLACE(C28561,""-\d+(.*)|--\d+(.*)"","""")"),"WARLAING")</f>
        <v>WARLAING</v>
      </c>
      <c r="E28561" s="38" t="s">
        <v>85</v>
      </c>
      <c r="F28561" s="38" t="s">
        <v>86</v>
      </c>
      <c r="G28561" s="49" t="str">
        <f t="shared" si="1"/>
        <v>59870</v>
      </c>
      <c r="H28561" s="49">
        <f t="shared" si="2"/>
        <v>59642</v>
      </c>
    </row>
    <row r="28562">
      <c r="A28562" s="48" t="s">
        <v>5560</v>
      </c>
      <c r="B28562" s="38">
        <v>4059.0</v>
      </c>
      <c r="C28562" s="38" t="s">
        <v>33004</v>
      </c>
      <c r="D28562" s="38" t="str">
        <f>IFERROR(__xludf.DUMMYFUNCTION("REGEXREPLACE(C28562,""-\d+(.*)|--\d+(.*)"","""")"),"CLUMANC")</f>
        <v>CLUMANC</v>
      </c>
      <c r="E28562" s="38" t="s">
        <v>662</v>
      </c>
      <c r="F28562" s="38" t="s">
        <v>228</v>
      </c>
      <c r="G28562" s="49" t="str">
        <f t="shared" si="1"/>
        <v>04330</v>
      </c>
      <c r="H28562" s="49" t="str">
        <f t="shared" si="2"/>
        <v>04059</v>
      </c>
    </row>
    <row r="28563">
      <c r="A28563" s="48" t="s">
        <v>5163</v>
      </c>
      <c r="B28563" s="38">
        <v>76036.0</v>
      </c>
      <c r="C28563" s="38" t="s">
        <v>33005</v>
      </c>
      <c r="D28563" s="38" t="str">
        <f>IFERROR(__xludf.DUMMYFUNCTION("REGEXREPLACE(C28563,""-\d+(.*)|--\d+(.*)"","""")"),"AUPPEGARD")</f>
        <v>AUPPEGARD</v>
      </c>
      <c r="E28563" s="38" t="s">
        <v>133</v>
      </c>
      <c r="F28563" s="38" t="s">
        <v>134</v>
      </c>
      <c r="G28563" s="49" t="str">
        <f t="shared" si="1"/>
        <v>76730</v>
      </c>
      <c r="H28563" s="49">
        <f t="shared" si="2"/>
        <v>76036</v>
      </c>
    </row>
    <row r="28564">
      <c r="A28564" s="48" t="s">
        <v>4799</v>
      </c>
      <c r="B28564" s="38">
        <v>38545.0</v>
      </c>
      <c r="C28564" s="38" t="s">
        <v>33006</v>
      </c>
      <c r="D28564" s="38" t="str">
        <f>IFERROR(__xludf.DUMMYFUNCTION("REGEXREPLACE(C28564,""-\d+(.*)|--\d+(.*)"","""")"),"VIF")</f>
        <v>VIF</v>
      </c>
      <c r="E28564" s="38" t="s">
        <v>101</v>
      </c>
      <c r="F28564" s="38" t="s">
        <v>102</v>
      </c>
      <c r="G28564" s="49" t="str">
        <f t="shared" si="1"/>
        <v>38450</v>
      </c>
      <c r="H28564" s="49">
        <f t="shared" si="2"/>
        <v>38545</v>
      </c>
    </row>
    <row r="28565">
      <c r="A28565" s="48" t="s">
        <v>7122</v>
      </c>
      <c r="B28565" s="38">
        <v>57188.0</v>
      </c>
      <c r="C28565" s="38" t="s">
        <v>33007</v>
      </c>
      <c r="D28565" s="38" t="str">
        <f>IFERROR(__xludf.DUMMYFUNCTION("REGEXREPLACE(C28565,""-\d+(.*)|--\d+(.*)"","""")"),"EGUELSHARDT")</f>
        <v>EGUELSHARDT</v>
      </c>
      <c r="E28565" s="38" t="s">
        <v>303</v>
      </c>
      <c r="F28565" s="38" t="s">
        <v>195</v>
      </c>
      <c r="G28565" s="49" t="str">
        <f t="shared" si="1"/>
        <v>57230</v>
      </c>
      <c r="H28565" s="49">
        <f t="shared" si="2"/>
        <v>57188</v>
      </c>
    </row>
    <row r="28566">
      <c r="A28566" s="48" t="s">
        <v>696</v>
      </c>
      <c r="B28566" s="38">
        <v>9307.0</v>
      </c>
      <c r="C28566" s="38" t="s">
        <v>33008</v>
      </c>
      <c r="D28566" s="38" t="str">
        <f>IFERROR(__xludf.DUMMYFUNCTION("REGEXREPLACE(C28566,""-\d+(.*)|--\d+(.*)"","""")"),"TAURIGNAN-CASTET")</f>
        <v>TAURIGNAN-CASTET</v>
      </c>
      <c r="E28566" s="38" t="s">
        <v>238</v>
      </c>
      <c r="F28566" s="38" t="s">
        <v>94</v>
      </c>
      <c r="G28566" s="49" t="str">
        <f t="shared" si="1"/>
        <v>09160</v>
      </c>
      <c r="H28566" s="49" t="str">
        <f t="shared" si="2"/>
        <v>09307</v>
      </c>
    </row>
    <row r="28567">
      <c r="A28567" s="48" t="s">
        <v>1957</v>
      </c>
      <c r="B28567" s="38">
        <v>12117.0</v>
      </c>
      <c r="C28567" s="38" t="s">
        <v>33009</v>
      </c>
      <c r="D28567" s="38" t="str">
        <f>IFERROR(__xludf.DUMMYFUNCTION("REGEXREPLACE(C28567,""-\d+(.*)|--\d+(.*)"","""")"),"LACALM")</f>
        <v>LACALM</v>
      </c>
      <c r="E28567" s="38" t="s">
        <v>465</v>
      </c>
      <c r="F28567" s="38" t="s">
        <v>94</v>
      </c>
      <c r="G28567" s="49" t="str">
        <f t="shared" si="1"/>
        <v>12210</v>
      </c>
      <c r="H28567" s="49">
        <f t="shared" si="2"/>
        <v>12117</v>
      </c>
    </row>
    <row r="28568">
      <c r="A28568" s="48" t="s">
        <v>11240</v>
      </c>
      <c r="B28568" s="38">
        <v>51054.0</v>
      </c>
      <c r="C28568" s="38" t="s">
        <v>33010</v>
      </c>
      <c r="D28568" s="38" t="str">
        <f>IFERROR(__xludf.DUMMYFUNCTION("REGEXREPLACE(C28568,""-\d+(.*)|--\d+(.*)"","""")"),"BETHENIVILLE")</f>
        <v>BETHENIVILLE</v>
      </c>
      <c r="E28568" s="38" t="s">
        <v>129</v>
      </c>
      <c r="F28568" s="38" t="s">
        <v>130</v>
      </c>
      <c r="G28568" s="49" t="str">
        <f t="shared" si="1"/>
        <v>51490</v>
      </c>
      <c r="H28568" s="49">
        <f t="shared" si="2"/>
        <v>51054</v>
      </c>
    </row>
    <row r="28569">
      <c r="A28569" s="48" t="s">
        <v>6002</v>
      </c>
      <c r="B28569" s="38">
        <v>18020.0</v>
      </c>
      <c r="C28569" s="38" t="s">
        <v>24670</v>
      </c>
      <c r="D28569" s="38" t="str">
        <f>IFERROR(__xludf.DUMMYFUNCTION("REGEXREPLACE(C28569,""-\d+(.*)|--\d+(.*)"","""")"),"BANNAY")</f>
        <v>BANNAY</v>
      </c>
      <c r="E28569" s="38" t="s">
        <v>504</v>
      </c>
      <c r="F28569" s="38" t="s">
        <v>123</v>
      </c>
      <c r="G28569" s="49" t="str">
        <f t="shared" si="1"/>
        <v>18300</v>
      </c>
      <c r="H28569" s="49">
        <f t="shared" si="2"/>
        <v>18020</v>
      </c>
    </row>
    <row r="28570">
      <c r="A28570" s="48" t="s">
        <v>5538</v>
      </c>
      <c r="B28570" s="38">
        <v>31484.0</v>
      </c>
      <c r="C28570" s="38" t="s">
        <v>33011</v>
      </c>
      <c r="D28570" s="38" t="str">
        <f>IFERROR(__xludf.DUMMYFUNCTION("REGEXREPLACE(C28570,""-\d+(.*)|--\d+(.*)"","""")"),"SAINT-GENIES-BELLEVUE")</f>
        <v>SAINT-GENIES-BELLEVUE</v>
      </c>
      <c r="E28570" s="38" t="s">
        <v>93</v>
      </c>
      <c r="F28570" s="38" t="s">
        <v>94</v>
      </c>
      <c r="G28570" s="49" t="str">
        <f t="shared" si="1"/>
        <v>31180</v>
      </c>
      <c r="H28570" s="49">
        <f t="shared" si="2"/>
        <v>31484</v>
      </c>
    </row>
    <row r="28571">
      <c r="A28571" s="48" t="s">
        <v>1036</v>
      </c>
      <c r="B28571" s="38">
        <v>57158.0</v>
      </c>
      <c r="C28571" s="38" t="s">
        <v>33012</v>
      </c>
      <c r="D28571" s="38" t="str">
        <f>IFERROR(__xludf.DUMMYFUNCTION("REGEXREPLACE(C28571,""-\d+(.*)|--\d+(.*)"","""")"),"CRAINCOURT")</f>
        <v>CRAINCOURT</v>
      </c>
      <c r="E28571" s="38" t="s">
        <v>303</v>
      </c>
      <c r="F28571" s="38" t="s">
        <v>195</v>
      </c>
      <c r="G28571" s="49" t="str">
        <f t="shared" si="1"/>
        <v>57590</v>
      </c>
      <c r="H28571" s="49">
        <f t="shared" si="2"/>
        <v>57158</v>
      </c>
    </row>
    <row r="28572">
      <c r="A28572" s="48" t="s">
        <v>2190</v>
      </c>
      <c r="B28572" s="38">
        <v>10421.0</v>
      </c>
      <c r="C28572" s="38" t="s">
        <v>33013</v>
      </c>
      <c r="D28572" s="38" t="str">
        <f>IFERROR(__xludf.DUMMYFUNCTION("REGEXREPLACE(C28572,""-\d+(.*)|--\d+(.*)"","""")"),"LA VILLENEUVE-AU-CHATELOT")</f>
        <v>LA VILLENEUVE-AU-CHATELOT</v>
      </c>
      <c r="E28572" s="38" t="s">
        <v>147</v>
      </c>
      <c r="F28572" s="38" t="s">
        <v>130</v>
      </c>
      <c r="G28572" s="49" t="str">
        <f t="shared" si="1"/>
        <v>10400</v>
      </c>
      <c r="H28572" s="49">
        <f t="shared" si="2"/>
        <v>10421</v>
      </c>
    </row>
    <row r="28573">
      <c r="A28573" s="48" t="s">
        <v>2861</v>
      </c>
      <c r="B28573" s="38">
        <v>62697.0</v>
      </c>
      <c r="C28573" s="38" t="s">
        <v>33014</v>
      </c>
      <c r="D28573" s="38" t="str">
        <f>IFERROR(__xludf.DUMMYFUNCTION("REGEXREPLACE(C28573,""-\d+(.*)|--\d+(.*)"","""")"),"RECOURT")</f>
        <v>RECOURT</v>
      </c>
      <c r="E28573" s="38" t="s">
        <v>109</v>
      </c>
      <c r="F28573" s="38" t="s">
        <v>86</v>
      </c>
      <c r="G28573" s="49" t="str">
        <f t="shared" si="1"/>
        <v>62860</v>
      </c>
      <c r="H28573" s="49">
        <f t="shared" si="2"/>
        <v>62697</v>
      </c>
    </row>
    <row r="28574">
      <c r="A28574" s="48" t="s">
        <v>2227</v>
      </c>
      <c r="B28574" s="38">
        <v>74135.0</v>
      </c>
      <c r="C28574" s="38" t="s">
        <v>33015</v>
      </c>
      <c r="D28574" s="38" t="str">
        <f>IFERROR(__xludf.DUMMYFUNCTION("REGEXREPLACE(C28574,""-\d+(.*)|--\d+(.*)"","""")"),"GIEZ")</f>
        <v>GIEZ</v>
      </c>
      <c r="E28574" s="38" t="s">
        <v>319</v>
      </c>
      <c r="F28574" s="38" t="s">
        <v>102</v>
      </c>
      <c r="G28574" s="49" t="str">
        <f t="shared" si="1"/>
        <v>74210</v>
      </c>
      <c r="H28574" s="49">
        <f t="shared" si="2"/>
        <v>74135</v>
      </c>
    </row>
    <row r="28575">
      <c r="A28575" s="48" t="s">
        <v>367</v>
      </c>
      <c r="B28575" s="38">
        <v>42092.0</v>
      </c>
      <c r="C28575" s="38" t="s">
        <v>33016</v>
      </c>
      <c r="D28575" s="38" t="str">
        <f>IFERROR(__xludf.DUMMYFUNCTION("REGEXREPLACE(C28575,""-\d+(.*)|--\d+(.*)"","""")"),"L'ETRAT")</f>
        <v>L'ETRAT</v>
      </c>
      <c r="E28575" s="38" t="s">
        <v>166</v>
      </c>
      <c r="F28575" s="38" t="s">
        <v>102</v>
      </c>
      <c r="G28575" s="49" t="str">
        <f t="shared" si="1"/>
        <v>42580</v>
      </c>
      <c r="H28575" s="49">
        <f t="shared" si="2"/>
        <v>42092</v>
      </c>
    </row>
    <row r="28576">
      <c r="A28576" s="48" t="s">
        <v>5463</v>
      </c>
      <c r="B28576" s="38">
        <v>26340.0</v>
      </c>
      <c r="C28576" s="38" t="s">
        <v>33017</v>
      </c>
      <c r="D28576" s="38" t="str">
        <f>IFERROR(__xludf.DUMMYFUNCTION("REGEXREPLACE(C28576,""-\d+(.*)|--\d+(.*)"","""")"),"SEDERON")</f>
        <v>SEDERON</v>
      </c>
      <c r="E28576" s="38" t="s">
        <v>126</v>
      </c>
      <c r="F28576" s="38" t="s">
        <v>102</v>
      </c>
      <c r="G28576" s="49" t="str">
        <f t="shared" si="1"/>
        <v>26560</v>
      </c>
      <c r="H28576" s="49">
        <f t="shared" si="2"/>
        <v>26340</v>
      </c>
    </row>
    <row r="28577">
      <c r="A28577" s="48" t="s">
        <v>11099</v>
      </c>
      <c r="B28577" s="38">
        <v>1428.0</v>
      </c>
      <c r="C28577" s="38" t="s">
        <v>33018</v>
      </c>
      <c r="D28577" s="38" t="str">
        <f>IFERROR(__xludf.DUMMYFUNCTION("REGEXREPLACE(C28577,""-\d+(.*)|--\d+(.*)"","""")"),"VALEINS")</f>
        <v>VALEINS</v>
      </c>
      <c r="E28577" s="38" t="s">
        <v>255</v>
      </c>
      <c r="F28577" s="38" t="s">
        <v>102</v>
      </c>
      <c r="G28577" s="49" t="str">
        <f t="shared" si="1"/>
        <v>01140</v>
      </c>
      <c r="H28577" s="49" t="str">
        <f t="shared" si="2"/>
        <v>01428</v>
      </c>
    </row>
    <row r="28578">
      <c r="A28578" s="48" t="s">
        <v>9772</v>
      </c>
      <c r="B28578" s="38">
        <v>25373.0</v>
      </c>
      <c r="C28578" s="38" t="s">
        <v>33019</v>
      </c>
      <c r="D28578" s="38" t="str">
        <f>IFERROR(__xludf.DUMMYFUNCTION("REGEXREPLACE(C28578,""-\d+(.*)|--\d+(.*)"","""")"),"LE MEMONT")</f>
        <v>LE MEMONT</v>
      </c>
      <c r="E28578" s="38" t="s">
        <v>213</v>
      </c>
      <c r="F28578" s="38" t="s">
        <v>214</v>
      </c>
      <c r="G28578" s="49" t="str">
        <f t="shared" si="1"/>
        <v>25210</v>
      </c>
      <c r="H28578" s="49">
        <f t="shared" si="2"/>
        <v>25373</v>
      </c>
    </row>
    <row r="28579">
      <c r="A28579" s="48" t="s">
        <v>9600</v>
      </c>
      <c r="B28579" s="38">
        <v>7023.0</v>
      </c>
      <c r="C28579" s="38" t="s">
        <v>33020</v>
      </c>
      <c r="D28579" s="38" t="str">
        <f>IFERROR(__xludf.DUMMYFUNCTION("REGEXREPLACE(C28579,""-\d+(.*)|--\d+(.*)"","""")"),"BALAZUC")</f>
        <v>BALAZUC</v>
      </c>
      <c r="E28579" s="38" t="s">
        <v>144</v>
      </c>
      <c r="F28579" s="38" t="s">
        <v>102</v>
      </c>
      <c r="G28579" s="49" t="str">
        <f t="shared" si="1"/>
        <v>07120</v>
      </c>
      <c r="H28579" s="49" t="str">
        <f t="shared" si="2"/>
        <v>07023</v>
      </c>
    </row>
    <row r="28580">
      <c r="A28580" s="48" t="s">
        <v>1108</v>
      </c>
      <c r="B28580" s="38">
        <v>27480.0</v>
      </c>
      <c r="C28580" s="38" t="s">
        <v>33021</v>
      </c>
      <c r="D28580" s="38" t="str">
        <f>IFERROR(__xludf.DUMMYFUNCTION("REGEXREPLACE(C28580,""-\d+(.*)|--\d+(.*)"","""")"),"PUCHAY")</f>
        <v>PUCHAY</v>
      </c>
      <c r="E28580" s="38" t="s">
        <v>241</v>
      </c>
      <c r="F28580" s="38" t="s">
        <v>134</v>
      </c>
      <c r="G28580" s="49" t="str">
        <f t="shared" si="1"/>
        <v>27150</v>
      </c>
      <c r="H28580" s="49">
        <f t="shared" si="2"/>
        <v>27480</v>
      </c>
    </row>
    <row r="28581">
      <c r="A28581" s="48" t="s">
        <v>12539</v>
      </c>
      <c r="B28581" s="38">
        <v>14007.0</v>
      </c>
      <c r="C28581" s="38" t="s">
        <v>33022</v>
      </c>
      <c r="D28581" s="38" t="str">
        <f>IFERROR(__xludf.DUMMYFUNCTION("REGEXREPLACE(C28581,""-\d+(.*)|--\d+(.*)"","""")"),"AMAYE-SUR-SEULLES")</f>
        <v>AMAYE-SUR-SEULLES</v>
      </c>
      <c r="E28581" s="38" t="s">
        <v>137</v>
      </c>
      <c r="F28581" s="38" t="s">
        <v>138</v>
      </c>
      <c r="G28581" s="49" t="str">
        <f t="shared" si="1"/>
        <v>14310</v>
      </c>
      <c r="H28581" s="49">
        <f t="shared" si="2"/>
        <v>14007</v>
      </c>
    </row>
    <row r="28582">
      <c r="A28582" s="48" t="s">
        <v>6412</v>
      </c>
      <c r="B28582" s="38">
        <v>12213.0</v>
      </c>
      <c r="C28582" s="38" t="s">
        <v>33023</v>
      </c>
      <c r="D28582" s="38" t="str">
        <f>IFERROR(__xludf.DUMMYFUNCTION("REGEXREPLACE(C28582,""-\d+(.*)|--\d+(.*)"","""")"),"SAINT-BEAUZELY")</f>
        <v>SAINT-BEAUZELY</v>
      </c>
      <c r="E28582" s="38" t="s">
        <v>465</v>
      </c>
      <c r="F28582" s="38" t="s">
        <v>94</v>
      </c>
      <c r="G28582" s="49" t="str">
        <f t="shared" si="1"/>
        <v>12620</v>
      </c>
      <c r="H28582" s="49">
        <f t="shared" si="2"/>
        <v>12213</v>
      </c>
    </row>
    <row r="28583">
      <c r="A28583" s="48" t="s">
        <v>691</v>
      </c>
      <c r="B28583" s="38">
        <v>64494.0</v>
      </c>
      <c r="C28583" s="38" t="s">
        <v>33024</v>
      </c>
      <c r="D28583" s="38" t="str">
        <f>IFERROR(__xludf.DUMMYFUNCTION("REGEXREPLACE(C28583,""-\d+(.*)|--\d+(.*)"","""")"),"SAINT-PE-DE-LEREN")</f>
        <v>SAINT-PE-DE-LEREN</v>
      </c>
      <c r="E28583" s="38" t="s">
        <v>268</v>
      </c>
      <c r="F28583" s="38" t="s">
        <v>252</v>
      </c>
      <c r="G28583" s="49" t="str">
        <f t="shared" si="1"/>
        <v>64270</v>
      </c>
      <c r="H28583" s="49">
        <f t="shared" si="2"/>
        <v>64494</v>
      </c>
    </row>
    <row r="28584">
      <c r="A28584" s="48" t="s">
        <v>1848</v>
      </c>
      <c r="B28584" s="38">
        <v>15089.0</v>
      </c>
      <c r="C28584" s="38" t="s">
        <v>33025</v>
      </c>
      <c r="D28584" s="38" t="str">
        <f>IFERROR(__xludf.DUMMYFUNCTION("REGEXREPLACE(C28584,""-\d+(.*)|--\d+(.*)"","""")"),"LADINHAC")</f>
        <v>LADINHAC</v>
      </c>
      <c r="E28584" s="38" t="s">
        <v>632</v>
      </c>
      <c r="F28584" s="38" t="s">
        <v>161</v>
      </c>
      <c r="G28584" s="49" t="str">
        <f t="shared" si="1"/>
        <v>15120</v>
      </c>
      <c r="H28584" s="49">
        <f t="shared" si="2"/>
        <v>15089</v>
      </c>
    </row>
    <row r="28585">
      <c r="A28585" s="48" t="s">
        <v>1742</v>
      </c>
      <c r="B28585" s="38">
        <v>21127.0</v>
      </c>
      <c r="C28585" s="38" t="s">
        <v>33026</v>
      </c>
      <c r="D28585" s="38" t="str">
        <f>IFERROR(__xludf.DUMMYFUNCTION("REGEXREPLACE(C28585,""-\d+(.*)|--\d+(.*)"","""")"),"CHAIGNAY")</f>
        <v>CHAIGNAY</v>
      </c>
      <c r="E28585" s="38" t="s">
        <v>105</v>
      </c>
      <c r="F28585" s="38" t="s">
        <v>106</v>
      </c>
      <c r="G28585" s="49" t="str">
        <f t="shared" si="1"/>
        <v>21120</v>
      </c>
      <c r="H28585" s="49">
        <f t="shared" si="2"/>
        <v>21127</v>
      </c>
    </row>
    <row r="28586">
      <c r="A28586" s="48" t="s">
        <v>3506</v>
      </c>
      <c r="B28586" s="38">
        <v>16133.0</v>
      </c>
      <c r="C28586" s="38" t="s">
        <v>33027</v>
      </c>
      <c r="D28586" s="38" t="str">
        <f>IFERROR(__xludf.DUMMYFUNCTION("REGEXREPLACE(C28586,""-\d+(.*)|--\d+(.*)"","""")"),"ETRIAC")</f>
        <v>ETRIAC</v>
      </c>
      <c r="E28586" s="38" t="s">
        <v>429</v>
      </c>
      <c r="F28586" s="38" t="s">
        <v>338</v>
      </c>
      <c r="G28586" s="49" t="str">
        <f t="shared" si="1"/>
        <v>16250</v>
      </c>
      <c r="H28586" s="49">
        <f t="shared" si="2"/>
        <v>16133</v>
      </c>
    </row>
    <row r="28587">
      <c r="A28587" s="48" t="s">
        <v>18526</v>
      </c>
      <c r="B28587" s="38">
        <v>16085.0</v>
      </c>
      <c r="C28587" s="38" t="s">
        <v>33028</v>
      </c>
      <c r="D28587" s="38" t="str">
        <f>IFERROR(__xludf.DUMMYFUNCTION("REGEXREPLACE(C28587,""-\d+(.*)|--\d+(.*)"","""")"),"CHASSENEUIL-SUR-BONNIEURE")</f>
        <v>CHASSENEUIL-SUR-BONNIEURE</v>
      </c>
      <c r="E28587" s="38" t="s">
        <v>429</v>
      </c>
      <c r="F28587" s="38" t="s">
        <v>338</v>
      </c>
      <c r="G28587" s="49" t="str">
        <f t="shared" si="1"/>
        <v>16260</v>
      </c>
      <c r="H28587" s="49">
        <f t="shared" si="2"/>
        <v>16085</v>
      </c>
    </row>
    <row r="28588">
      <c r="A28588" s="48" t="s">
        <v>3937</v>
      </c>
      <c r="B28588" s="38">
        <v>18174.0</v>
      </c>
      <c r="C28588" s="38" t="s">
        <v>9107</v>
      </c>
      <c r="D28588" s="38" t="str">
        <f>IFERROR(__xludf.DUMMYFUNCTION("REGEXREPLACE(C28588,""-\d+(.*)|--\d+(.*)"","""")"),"OSMOY")</f>
        <v>OSMOY</v>
      </c>
      <c r="E28588" s="38" t="s">
        <v>504</v>
      </c>
      <c r="F28588" s="38" t="s">
        <v>123</v>
      </c>
      <c r="G28588" s="49" t="str">
        <f t="shared" si="1"/>
        <v>18390</v>
      </c>
      <c r="H28588" s="49">
        <f t="shared" si="2"/>
        <v>18174</v>
      </c>
    </row>
    <row r="28589">
      <c r="A28589" s="48" t="s">
        <v>4054</v>
      </c>
      <c r="B28589" s="38">
        <v>88112.0</v>
      </c>
      <c r="C28589" s="38" t="s">
        <v>33029</v>
      </c>
      <c r="D28589" s="38" t="str">
        <f>IFERROR(__xludf.DUMMYFUNCTION("REGEXREPLACE(C28589,""-\d+(.*)|--\d+(.*)"","""")"),"COLROY-LA-GRANDE")</f>
        <v>COLROY-LA-GRANDE</v>
      </c>
      <c r="E28589" s="38" t="s">
        <v>194</v>
      </c>
      <c r="F28589" s="38" t="s">
        <v>195</v>
      </c>
      <c r="G28589" s="49" t="str">
        <f t="shared" si="1"/>
        <v>88490</v>
      </c>
      <c r="H28589" s="49">
        <f t="shared" si="2"/>
        <v>88112</v>
      </c>
    </row>
    <row r="28590">
      <c r="A28590" s="48" t="s">
        <v>7622</v>
      </c>
      <c r="B28590" s="38">
        <v>10434.0</v>
      </c>
      <c r="C28590" s="38" t="s">
        <v>33030</v>
      </c>
      <c r="D28590" s="38" t="str">
        <f>IFERROR(__xludf.DUMMYFUNCTION("REGEXREPLACE(C28590,""-\d+(.*)|--\d+(.*)"","""")"),"VILLY-LE-BOIS")</f>
        <v>VILLY-LE-BOIS</v>
      </c>
      <c r="E28590" s="38" t="s">
        <v>147</v>
      </c>
      <c r="F28590" s="38" t="s">
        <v>130</v>
      </c>
      <c r="G28590" s="49" t="str">
        <f t="shared" si="1"/>
        <v>10800</v>
      </c>
      <c r="H28590" s="49">
        <f t="shared" si="2"/>
        <v>10434</v>
      </c>
    </row>
    <row r="28591">
      <c r="A28591" s="48" t="s">
        <v>22674</v>
      </c>
      <c r="B28591" s="38">
        <v>40248.0</v>
      </c>
      <c r="C28591" s="38" t="s">
        <v>33031</v>
      </c>
      <c r="D28591" s="38" t="str">
        <f>IFERROR(__xludf.DUMMYFUNCTION("REGEXREPLACE(C28591,""-\d+(.*)|--\d+(.*)"","""")"),"SAINT-ANDRE-DE-SEIGNANX")</f>
        <v>SAINT-ANDRE-DE-SEIGNANX</v>
      </c>
      <c r="E28591" s="38" t="s">
        <v>281</v>
      </c>
      <c r="F28591" s="38" t="s">
        <v>252</v>
      </c>
      <c r="G28591" s="49" t="str">
        <f t="shared" si="1"/>
        <v>40390</v>
      </c>
      <c r="H28591" s="49">
        <f t="shared" si="2"/>
        <v>40248</v>
      </c>
    </row>
    <row r="28592">
      <c r="A28592" s="48" t="s">
        <v>11712</v>
      </c>
      <c r="B28592" s="38">
        <v>58079.0</v>
      </c>
      <c r="C28592" s="38" t="s">
        <v>329</v>
      </c>
      <c r="D28592" s="38" t="str">
        <f>IFERROR(__xludf.DUMMYFUNCTION("REGEXREPLACE(C28592,""-\d+(.*)|--\d+(.*)"","""")"),"CLAMECY")</f>
        <v>CLAMECY</v>
      </c>
      <c r="E28592" s="38" t="s">
        <v>219</v>
      </c>
      <c r="F28592" s="38" t="s">
        <v>106</v>
      </c>
      <c r="G28592" s="49" t="str">
        <f t="shared" si="1"/>
        <v>58500</v>
      </c>
      <c r="H28592" s="49">
        <f t="shared" si="2"/>
        <v>58079</v>
      </c>
    </row>
    <row r="28593">
      <c r="A28593" s="48" t="s">
        <v>4738</v>
      </c>
      <c r="B28593" s="38">
        <v>53114.0</v>
      </c>
      <c r="C28593" s="38" t="s">
        <v>33032</v>
      </c>
      <c r="D28593" s="38" t="str">
        <f>IFERROR(__xludf.DUMMYFUNCTION("REGEXREPLACE(C28593,""-\d+(.*)|--\d+(.*)"","""")"),"HARDANGES")</f>
        <v>HARDANGES</v>
      </c>
      <c r="E28593" s="38" t="s">
        <v>518</v>
      </c>
      <c r="F28593" s="38" t="s">
        <v>180</v>
      </c>
      <c r="G28593" s="49" t="str">
        <f t="shared" si="1"/>
        <v>53640</v>
      </c>
      <c r="H28593" s="49">
        <f t="shared" si="2"/>
        <v>53114</v>
      </c>
    </row>
    <row r="28594">
      <c r="A28594" s="48" t="s">
        <v>6230</v>
      </c>
      <c r="B28594" s="38">
        <v>53212.0</v>
      </c>
      <c r="C28594" s="38" t="s">
        <v>33033</v>
      </c>
      <c r="D28594" s="38" t="str">
        <f>IFERROR(__xludf.DUMMYFUNCTION("REGEXREPLACE(C28594,""-\d+(.*)|--\d+(.*)"","""")"),"SAINT-DENIS-DU-MAINE")</f>
        <v>SAINT-DENIS-DU-MAINE</v>
      </c>
      <c r="E28594" s="38" t="s">
        <v>518</v>
      </c>
      <c r="F28594" s="38" t="s">
        <v>180</v>
      </c>
      <c r="G28594" s="49" t="str">
        <f t="shared" si="1"/>
        <v>53170</v>
      </c>
      <c r="H28594" s="49">
        <f t="shared" si="2"/>
        <v>53212</v>
      </c>
    </row>
    <row r="28595">
      <c r="A28595" s="48" t="s">
        <v>27539</v>
      </c>
      <c r="B28595" s="38">
        <v>38548.0</v>
      </c>
      <c r="C28595" s="38" t="s">
        <v>33034</v>
      </c>
      <c r="D28595" s="38" t="str">
        <f>IFERROR(__xludf.DUMMYFUNCTION("REGEXREPLACE(C28595,""-\d+(.*)|--\d+(.*)"","""")"),"VILLARD-DE-LANS")</f>
        <v>VILLARD-DE-LANS</v>
      </c>
      <c r="E28595" s="38" t="s">
        <v>101</v>
      </c>
      <c r="F28595" s="38" t="s">
        <v>102</v>
      </c>
      <c r="G28595" s="49" t="str">
        <f t="shared" si="1"/>
        <v>38250</v>
      </c>
      <c r="H28595" s="49">
        <f t="shared" si="2"/>
        <v>38548</v>
      </c>
    </row>
    <row r="28596">
      <c r="A28596" s="48" t="s">
        <v>19713</v>
      </c>
      <c r="B28596" s="38">
        <v>56206.0</v>
      </c>
      <c r="C28596" s="38" t="s">
        <v>33035</v>
      </c>
      <c r="D28596" s="38" t="str">
        <f>IFERROR(__xludf.DUMMYFUNCTION("REGEXREPLACE(C28596,""-\d+(.*)|--\d+(.*)"","""")"),"SAINT-AVE")</f>
        <v>SAINT-AVE</v>
      </c>
      <c r="E28596" s="38" t="s">
        <v>173</v>
      </c>
      <c r="F28596" s="38" t="s">
        <v>90</v>
      </c>
      <c r="G28596" s="49" t="str">
        <f t="shared" si="1"/>
        <v>56890</v>
      </c>
      <c r="H28596" s="49">
        <f t="shared" si="2"/>
        <v>56206</v>
      </c>
    </row>
    <row r="28597">
      <c r="A28597" s="48" t="s">
        <v>8810</v>
      </c>
      <c r="B28597" s="38">
        <v>63146.0</v>
      </c>
      <c r="C28597" s="38" t="s">
        <v>33036</v>
      </c>
      <c r="D28597" s="38" t="str">
        <f>IFERROR(__xludf.DUMMYFUNCTION("REGEXREPLACE(C28597,""-\d+(.*)|--\d+(.*)"","""")"),"EGLISENEUVE-PRES-BILLOM")</f>
        <v>EGLISENEUVE-PRES-BILLOM</v>
      </c>
      <c r="E28597" s="38" t="s">
        <v>353</v>
      </c>
      <c r="F28597" s="38" t="s">
        <v>161</v>
      </c>
      <c r="G28597" s="49" t="str">
        <f t="shared" si="1"/>
        <v>63160</v>
      </c>
      <c r="H28597" s="49">
        <f t="shared" si="2"/>
        <v>63146</v>
      </c>
    </row>
    <row r="28598">
      <c r="A28598" s="48" t="s">
        <v>142</v>
      </c>
      <c r="B28598" s="38">
        <v>7244.0</v>
      </c>
      <c r="C28598" s="38" t="s">
        <v>33037</v>
      </c>
      <c r="D28598" s="38" t="str">
        <f>IFERROR(__xludf.DUMMYFUNCTION("REGEXREPLACE(C28598,""-\d+(.*)|--\d+(.*)"","""")"),"SAINT-JEAN-CHAMBRE")</f>
        <v>SAINT-JEAN-CHAMBRE</v>
      </c>
      <c r="E28598" s="38" t="s">
        <v>144</v>
      </c>
      <c r="F28598" s="38" t="s">
        <v>102</v>
      </c>
      <c r="G28598" s="49" t="str">
        <f t="shared" si="1"/>
        <v>07240</v>
      </c>
      <c r="H28598" s="49" t="str">
        <f t="shared" si="2"/>
        <v>07244</v>
      </c>
    </row>
    <row r="28599">
      <c r="A28599" s="48" t="s">
        <v>2748</v>
      </c>
      <c r="B28599" s="38">
        <v>32008.0</v>
      </c>
      <c r="C28599" s="38" t="s">
        <v>33038</v>
      </c>
      <c r="D28599" s="38" t="str">
        <f>IFERROR(__xludf.DUMMYFUNCTION("REGEXREPLACE(C28599,""-\d+(.*)|--\d+(.*)"","""")"),"ARMENTIEUX")</f>
        <v>ARMENTIEUX</v>
      </c>
      <c r="E28599" s="38" t="s">
        <v>440</v>
      </c>
      <c r="F28599" s="38" t="s">
        <v>94</v>
      </c>
      <c r="G28599" s="49" t="str">
        <f t="shared" si="1"/>
        <v>32230</v>
      </c>
      <c r="H28599" s="49">
        <f t="shared" si="2"/>
        <v>32008</v>
      </c>
    </row>
    <row r="28600">
      <c r="A28600" s="48" t="s">
        <v>3578</v>
      </c>
      <c r="B28600" s="38">
        <v>72289.0</v>
      </c>
      <c r="C28600" s="38" t="s">
        <v>33039</v>
      </c>
      <c r="D28600" s="38" t="str">
        <f>IFERROR(__xludf.DUMMYFUNCTION("REGEXREPLACE(C28600,""-\d+(.*)|--\d+(.*)"","""")"),"SAINTE-JAMME-SUR-SARTHE")</f>
        <v>SAINTE-JAMME-SUR-SARTHE</v>
      </c>
      <c r="E28600" s="38" t="s">
        <v>521</v>
      </c>
      <c r="F28600" s="38" t="s">
        <v>180</v>
      </c>
      <c r="G28600" s="49" t="str">
        <f t="shared" si="1"/>
        <v>72380</v>
      </c>
      <c r="H28600" s="49">
        <f t="shared" si="2"/>
        <v>72289</v>
      </c>
    </row>
    <row r="28601">
      <c r="A28601" s="48" t="s">
        <v>2668</v>
      </c>
      <c r="B28601" s="38">
        <v>55140.0</v>
      </c>
      <c r="C28601" s="38" t="s">
        <v>33040</v>
      </c>
      <c r="D28601" s="38" t="str">
        <f>IFERROR(__xludf.DUMMYFUNCTION("REGEXREPLACE(C28601,""-\d+(.*)|--\d+(.*)"","""")"),"CUNEL")</f>
        <v>CUNEL</v>
      </c>
      <c r="E28601" s="38" t="s">
        <v>322</v>
      </c>
      <c r="F28601" s="38" t="s">
        <v>195</v>
      </c>
      <c r="G28601" s="49" t="str">
        <f t="shared" si="1"/>
        <v>55110</v>
      </c>
      <c r="H28601" s="49">
        <f t="shared" si="2"/>
        <v>55140</v>
      </c>
    </row>
    <row r="28602">
      <c r="A28602" s="48" t="s">
        <v>2882</v>
      </c>
      <c r="B28602" s="38">
        <v>76516.0</v>
      </c>
      <c r="C28602" s="38" t="s">
        <v>33041</v>
      </c>
      <c r="D28602" s="38" t="str">
        <f>IFERROR(__xludf.DUMMYFUNCTION("REGEXREPLACE(C28602,""-\d+(.*)|--\d+(.*)"","""")"),"QUIEVRECOURT")</f>
        <v>QUIEVRECOURT</v>
      </c>
      <c r="E28602" s="38" t="s">
        <v>133</v>
      </c>
      <c r="F28602" s="38" t="s">
        <v>134</v>
      </c>
      <c r="G28602" s="49" t="str">
        <f t="shared" si="1"/>
        <v>76270</v>
      </c>
      <c r="H28602" s="49">
        <f t="shared" si="2"/>
        <v>76516</v>
      </c>
    </row>
    <row r="28603">
      <c r="A28603" s="48" t="s">
        <v>21039</v>
      </c>
      <c r="B28603" s="38">
        <v>33070.0</v>
      </c>
      <c r="C28603" s="38" t="s">
        <v>33042</v>
      </c>
      <c r="D28603" s="38" t="str">
        <f>IFERROR(__xludf.DUMMYFUNCTION("REGEXREPLACE(C28603,""-\d+(.*)|--\d+(.*)"","""")"),"BRACH")</f>
        <v>BRACH</v>
      </c>
      <c r="E28603" s="38" t="s">
        <v>462</v>
      </c>
      <c r="F28603" s="38" t="s">
        <v>252</v>
      </c>
      <c r="G28603" s="49" t="str">
        <f t="shared" si="1"/>
        <v>33480</v>
      </c>
      <c r="H28603" s="49">
        <f t="shared" si="2"/>
        <v>33070</v>
      </c>
    </row>
    <row r="28604">
      <c r="A28604" s="48" t="s">
        <v>2457</v>
      </c>
      <c r="B28604" s="38">
        <v>17401.0</v>
      </c>
      <c r="C28604" s="38" t="s">
        <v>33043</v>
      </c>
      <c r="D28604" s="38" t="str">
        <f>IFERROR(__xludf.DUMMYFUNCTION("REGEXREPLACE(C28604,""-\d+(.*)|--\d+(.*)"","""")"),"SAINT-SEVERIN-SUR-BOUTONNE")</f>
        <v>SAINT-SEVERIN-SUR-BOUTONNE</v>
      </c>
      <c r="E28604" s="38" t="s">
        <v>488</v>
      </c>
      <c r="F28604" s="38" t="s">
        <v>338</v>
      </c>
      <c r="G28604" s="49" t="str">
        <f t="shared" si="1"/>
        <v>17330</v>
      </c>
      <c r="H28604" s="49">
        <f t="shared" si="2"/>
        <v>17401</v>
      </c>
    </row>
    <row r="28605">
      <c r="A28605" s="48" t="s">
        <v>5732</v>
      </c>
      <c r="B28605" s="38">
        <v>12292.0</v>
      </c>
      <c r="C28605" s="38" t="s">
        <v>33044</v>
      </c>
      <c r="D28605" s="38" t="str">
        <f>IFERROR(__xludf.DUMMYFUNCTION("REGEXREPLACE(C28605,""-\d+(.*)|--\d+(.*)"","""")"),"VERSOLS-ET-LAPEYRE")</f>
        <v>VERSOLS-ET-LAPEYRE</v>
      </c>
      <c r="E28605" s="38" t="s">
        <v>465</v>
      </c>
      <c r="F28605" s="38" t="s">
        <v>94</v>
      </c>
      <c r="G28605" s="49" t="str">
        <f t="shared" si="1"/>
        <v>12400</v>
      </c>
      <c r="H28605" s="49">
        <f t="shared" si="2"/>
        <v>12292</v>
      </c>
    </row>
    <row r="28606">
      <c r="A28606" s="48" t="s">
        <v>3596</v>
      </c>
      <c r="B28606" s="38">
        <v>25462.0</v>
      </c>
      <c r="C28606" s="38" t="s">
        <v>33045</v>
      </c>
      <c r="D28606" s="38" t="str">
        <f>IFERROR(__xludf.DUMMYFUNCTION("REGEXREPLACE(C28606,""-\d+(.*)|--\d+(.*)"","""")"),"PONTARLIER")</f>
        <v>PONTARLIER</v>
      </c>
      <c r="E28606" s="38" t="s">
        <v>213</v>
      </c>
      <c r="F28606" s="38" t="s">
        <v>214</v>
      </c>
      <c r="G28606" s="49" t="str">
        <f t="shared" si="1"/>
        <v>25300</v>
      </c>
      <c r="H28606" s="49">
        <f t="shared" si="2"/>
        <v>25462</v>
      </c>
    </row>
    <row r="28607">
      <c r="A28607" s="48" t="s">
        <v>5045</v>
      </c>
      <c r="B28607" s="38">
        <v>24523.0</v>
      </c>
      <c r="C28607" s="38" t="s">
        <v>33046</v>
      </c>
      <c r="D28607" s="38" t="str">
        <f>IFERROR(__xludf.DUMMYFUNCTION("REGEXREPLACE(C28607,""-\d+(.*)|--\d+(.*)"","""")"),"SAUSSIGNAC")</f>
        <v>SAUSSIGNAC</v>
      </c>
      <c r="E28607" s="38" t="s">
        <v>261</v>
      </c>
      <c r="F28607" s="38" t="s">
        <v>252</v>
      </c>
      <c r="G28607" s="49" t="str">
        <f t="shared" si="1"/>
        <v>24240</v>
      </c>
      <c r="H28607" s="49">
        <f t="shared" si="2"/>
        <v>24523</v>
      </c>
    </row>
    <row r="28608">
      <c r="A28608" s="48" t="s">
        <v>1288</v>
      </c>
      <c r="B28608" s="38">
        <v>64431.0</v>
      </c>
      <c r="C28608" s="38" t="s">
        <v>33047</v>
      </c>
      <c r="D28608" s="38" t="str">
        <f>IFERROR(__xludf.DUMMYFUNCTION("REGEXREPLACE(C28608,""-\d+(.*)|--\d+(.*)"","""")"),"OS-MARSILLON")</f>
        <v>OS-MARSILLON</v>
      </c>
      <c r="E28608" s="38" t="s">
        <v>268</v>
      </c>
      <c r="F28608" s="38" t="s">
        <v>252</v>
      </c>
      <c r="G28608" s="49" t="str">
        <f t="shared" si="1"/>
        <v>64150</v>
      </c>
      <c r="H28608" s="49">
        <f t="shared" si="2"/>
        <v>64431</v>
      </c>
    </row>
    <row r="28609">
      <c r="A28609" s="48" t="s">
        <v>4733</v>
      </c>
      <c r="B28609" s="38">
        <v>38351.0</v>
      </c>
      <c r="C28609" s="38" t="s">
        <v>33048</v>
      </c>
      <c r="D28609" s="38" t="str">
        <f>IFERROR(__xludf.DUMMYFUNCTION("REGEXREPLACE(C28609,""-\d+(.*)|--\d+(.*)"","""")"),"SAINT-AGNIN-SUR-BION")</f>
        <v>SAINT-AGNIN-SUR-BION</v>
      </c>
      <c r="E28609" s="38" t="s">
        <v>101</v>
      </c>
      <c r="F28609" s="38" t="s">
        <v>102</v>
      </c>
      <c r="G28609" s="49" t="str">
        <f t="shared" si="1"/>
        <v>38300</v>
      </c>
      <c r="H28609" s="49">
        <f t="shared" si="2"/>
        <v>38351</v>
      </c>
    </row>
    <row r="28610">
      <c r="A28610" s="48" t="s">
        <v>307</v>
      </c>
      <c r="B28610" s="38">
        <v>88478.0</v>
      </c>
      <c r="C28610" s="38" t="s">
        <v>33049</v>
      </c>
      <c r="D28610" s="38" t="str">
        <f>IFERROR(__xludf.DUMMYFUNCTION("REGEXREPLACE(C28610,""-\d+(.*)|--\d+(.*)"","""")"),"TRANQUEVILLE-GRAUX")</f>
        <v>TRANQUEVILLE-GRAUX</v>
      </c>
      <c r="E28610" s="38" t="s">
        <v>194</v>
      </c>
      <c r="F28610" s="38" t="s">
        <v>195</v>
      </c>
      <c r="G28610" s="49" t="str">
        <f t="shared" si="1"/>
        <v>88300</v>
      </c>
      <c r="H28610" s="49">
        <f t="shared" si="2"/>
        <v>88478</v>
      </c>
    </row>
    <row r="28611">
      <c r="A28611" s="48" t="s">
        <v>11182</v>
      </c>
      <c r="B28611" s="38">
        <v>97614.0</v>
      </c>
      <c r="C28611" s="38" t="s">
        <v>33050</v>
      </c>
      <c r="D28611" s="38" t="str">
        <f>IFERROR(__xludf.DUMMYFUNCTION("REGEXREPLACE(C28611,""-\d+(.*)|--\d+(.*)"","""")"),"OUANGANI")</f>
        <v>OUANGANI</v>
      </c>
      <c r="E28611" s="38" t="s">
        <v>2865</v>
      </c>
      <c r="F28611" s="38" t="s">
        <v>2865</v>
      </c>
      <c r="G28611" s="49" t="str">
        <f t="shared" si="1"/>
        <v>97670</v>
      </c>
      <c r="H28611" s="49">
        <f t="shared" si="2"/>
        <v>97614</v>
      </c>
    </row>
    <row r="28612">
      <c r="A28612" s="48" t="s">
        <v>1812</v>
      </c>
      <c r="B28612" s="38">
        <v>51390.0</v>
      </c>
      <c r="C28612" s="38" t="s">
        <v>29552</v>
      </c>
      <c r="D28612" s="38" t="str">
        <f>IFERROR(__xludf.DUMMYFUNCTION("REGEXREPLACE(C28612,""-\d+(.*)|--\d+(.*)"","""")"),"MOUSSY")</f>
        <v>MOUSSY</v>
      </c>
      <c r="E28612" s="38" t="s">
        <v>129</v>
      </c>
      <c r="F28612" s="38" t="s">
        <v>130</v>
      </c>
      <c r="G28612" s="49" t="str">
        <f t="shared" si="1"/>
        <v>51530</v>
      </c>
      <c r="H28612" s="49">
        <f t="shared" si="2"/>
        <v>51390</v>
      </c>
    </row>
    <row r="28613">
      <c r="A28613" s="48" t="s">
        <v>6945</v>
      </c>
      <c r="B28613" s="38">
        <v>80794.0</v>
      </c>
      <c r="C28613" s="38" t="s">
        <v>33051</v>
      </c>
      <c r="D28613" s="38" t="str">
        <f>IFERROR(__xludf.DUMMYFUNCTION("REGEXREPLACE(C28613,""-\d+(.*)|--\d+(.*)"","""")"),"VILLECOURT")</f>
        <v>VILLECOURT</v>
      </c>
      <c r="E28613" s="38" t="s">
        <v>224</v>
      </c>
      <c r="F28613" s="38" t="s">
        <v>113</v>
      </c>
      <c r="G28613" s="49" t="str">
        <f t="shared" si="1"/>
        <v>80190</v>
      </c>
      <c r="H28613" s="49">
        <f t="shared" si="2"/>
        <v>80794</v>
      </c>
    </row>
    <row r="28614">
      <c r="A28614" s="48" t="s">
        <v>10763</v>
      </c>
      <c r="B28614" s="38">
        <v>22346.0</v>
      </c>
      <c r="C28614" s="38" t="s">
        <v>33052</v>
      </c>
      <c r="D28614" s="38" t="str">
        <f>IFERROR(__xludf.DUMMYFUNCTION("REGEXREPLACE(C28614,""-\d+(.*)|--\d+(.*)"","""")"),"TREDANIEL")</f>
        <v>TREDANIEL</v>
      </c>
      <c r="E28614" s="38" t="s">
        <v>89</v>
      </c>
      <c r="F28614" s="38" t="s">
        <v>90</v>
      </c>
      <c r="G28614" s="49" t="str">
        <f t="shared" si="1"/>
        <v>22510</v>
      </c>
      <c r="H28614" s="49">
        <f t="shared" si="2"/>
        <v>22346</v>
      </c>
    </row>
    <row r="28615">
      <c r="A28615" s="48" t="s">
        <v>26632</v>
      </c>
      <c r="B28615" s="38">
        <v>25130.0</v>
      </c>
      <c r="C28615" s="38" t="s">
        <v>33053</v>
      </c>
      <c r="D28615" s="38" t="str">
        <f>IFERROR(__xludf.DUMMYFUNCTION("REGEXREPLACE(C28615,""-\d+(.*)|--\d+(.*)"","""")"),"CHATEAUVIEUX-LES-FOSSES")</f>
        <v>CHATEAUVIEUX-LES-FOSSES</v>
      </c>
      <c r="E28615" s="38" t="s">
        <v>213</v>
      </c>
      <c r="F28615" s="38" t="s">
        <v>214</v>
      </c>
      <c r="G28615" s="49" t="str">
        <f t="shared" si="1"/>
        <v>25840</v>
      </c>
      <c r="H28615" s="49">
        <f t="shared" si="2"/>
        <v>25130</v>
      </c>
    </row>
    <row r="28616">
      <c r="A28616" s="48" t="s">
        <v>436</v>
      </c>
      <c r="B28616" s="38">
        <v>51017.0</v>
      </c>
      <c r="C28616" s="38" t="s">
        <v>33054</v>
      </c>
      <c r="D28616" s="38" t="str">
        <f>IFERROR(__xludf.DUMMYFUNCTION("REGEXREPLACE(C28616,""-\d+(.*)|--\d+(.*)"","""")"),"ARZILLIERES-NEUVILLE")</f>
        <v>ARZILLIERES-NEUVILLE</v>
      </c>
      <c r="E28616" s="38" t="s">
        <v>129</v>
      </c>
      <c r="F28616" s="38" t="s">
        <v>130</v>
      </c>
      <c r="G28616" s="49" t="str">
        <f t="shared" si="1"/>
        <v>51290</v>
      </c>
      <c r="H28616" s="49">
        <f t="shared" si="2"/>
        <v>51017</v>
      </c>
    </row>
    <row r="28617">
      <c r="A28617" s="48" t="s">
        <v>18796</v>
      </c>
      <c r="B28617" s="38">
        <v>29233.0</v>
      </c>
      <c r="C28617" s="38" t="s">
        <v>33055</v>
      </c>
      <c r="D28617" s="38" t="str">
        <f>IFERROR(__xludf.DUMMYFUNCTION("REGEXREPLACE(C28617,""-\d+(.*)|--\d+(.*)"","""")"),"QUIMPERLE")</f>
        <v>QUIMPERLE</v>
      </c>
      <c r="E28617" s="38" t="s">
        <v>176</v>
      </c>
      <c r="F28617" s="38" t="s">
        <v>90</v>
      </c>
      <c r="G28617" s="49" t="str">
        <f t="shared" si="1"/>
        <v>29300</v>
      </c>
      <c r="H28617" s="49">
        <f t="shared" si="2"/>
        <v>29233</v>
      </c>
    </row>
    <row r="28618">
      <c r="A28618" s="48" t="s">
        <v>826</v>
      </c>
      <c r="B28618" s="38">
        <v>21684.0</v>
      </c>
      <c r="C28618" s="38" t="s">
        <v>33056</v>
      </c>
      <c r="D28618" s="38" t="str">
        <f>IFERROR(__xludf.DUMMYFUNCTION("REGEXREPLACE(C28618,""-\d+(.*)|--\d+(.*)"","""")"),"VIGNOLES")</f>
        <v>VIGNOLES</v>
      </c>
      <c r="E28618" s="38" t="s">
        <v>105</v>
      </c>
      <c r="F28618" s="38" t="s">
        <v>106</v>
      </c>
      <c r="G28618" s="49" t="str">
        <f t="shared" si="1"/>
        <v>21200</v>
      </c>
      <c r="H28618" s="49">
        <f t="shared" si="2"/>
        <v>21684</v>
      </c>
    </row>
    <row r="28619">
      <c r="A28619" s="48" t="s">
        <v>4573</v>
      </c>
      <c r="B28619" s="38">
        <v>73094.0</v>
      </c>
      <c r="C28619" s="38" t="s">
        <v>33057</v>
      </c>
      <c r="D28619" s="38" t="str">
        <f>IFERROR(__xludf.DUMMYFUNCTION("REGEXREPLACE(C28619,""-\d+(.*)|--\d+(.*)"","""")"),"CREST-VOLAND")</f>
        <v>CREST-VOLAND</v>
      </c>
      <c r="E28619" s="38" t="s">
        <v>306</v>
      </c>
      <c r="F28619" s="38" t="s">
        <v>102</v>
      </c>
      <c r="G28619" s="49" t="str">
        <f t="shared" si="1"/>
        <v>73590</v>
      </c>
      <c r="H28619" s="49">
        <f t="shared" si="2"/>
        <v>73094</v>
      </c>
    </row>
    <row r="28620">
      <c r="A28620" s="48" t="s">
        <v>1783</v>
      </c>
      <c r="B28620" s="38">
        <v>60267.0</v>
      </c>
      <c r="C28620" s="38" t="s">
        <v>33058</v>
      </c>
      <c r="D28620" s="38" t="str">
        <f>IFERROR(__xludf.DUMMYFUNCTION("REGEXREPLACE(C28620,""-\d+(.*)|--\d+(.*)"","""")"),"LE GALLET")</f>
        <v>LE GALLET</v>
      </c>
      <c r="E28620" s="38" t="s">
        <v>112</v>
      </c>
      <c r="F28620" s="38" t="s">
        <v>113</v>
      </c>
      <c r="G28620" s="49" t="str">
        <f t="shared" si="1"/>
        <v>60360</v>
      </c>
      <c r="H28620" s="49">
        <f t="shared" si="2"/>
        <v>60267</v>
      </c>
    </row>
    <row r="28621">
      <c r="A28621" s="48" t="s">
        <v>1370</v>
      </c>
      <c r="B28621" s="38">
        <v>10275.0</v>
      </c>
      <c r="C28621" s="38" t="s">
        <v>33059</v>
      </c>
      <c r="D28621" s="38" t="str">
        <f>IFERROR(__xludf.DUMMYFUNCTION("REGEXREPLACE(C28621,""-\d+(.*)|--\d+(.*)"","""")"),"OSSEY-LES-TROIS-MAISONS")</f>
        <v>OSSEY-LES-TROIS-MAISONS</v>
      </c>
      <c r="E28621" s="38" t="s">
        <v>147</v>
      </c>
      <c r="F28621" s="38" t="s">
        <v>130</v>
      </c>
      <c r="G28621" s="49" t="str">
        <f t="shared" si="1"/>
        <v>10100</v>
      </c>
      <c r="H28621" s="49">
        <f t="shared" si="2"/>
        <v>10275</v>
      </c>
    </row>
    <row r="28622">
      <c r="A28622" s="48" t="s">
        <v>1450</v>
      </c>
      <c r="B28622" s="38">
        <v>50214.0</v>
      </c>
      <c r="C28622" s="38" t="s">
        <v>33060</v>
      </c>
      <c r="D28622" s="38" t="str">
        <f>IFERROR(__xludf.DUMMYFUNCTION("REGEXREPLACE(C28622,""-\d+(.*)|--\d+(.*)"","""")"),"GOUVETS")</f>
        <v>GOUVETS</v>
      </c>
      <c r="E28622" s="38" t="s">
        <v>157</v>
      </c>
      <c r="F28622" s="38" t="s">
        <v>138</v>
      </c>
      <c r="G28622" s="49" t="str">
        <f t="shared" si="1"/>
        <v>50420</v>
      </c>
      <c r="H28622" s="49">
        <f t="shared" si="2"/>
        <v>50214</v>
      </c>
    </row>
    <row r="28623">
      <c r="A28623" s="48" t="s">
        <v>683</v>
      </c>
      <c r="B28623" s="38">
        <v>64004.0</v>
      </c>
      <c r="C28623" s="38" t="s">
        <v>33061</v>
      </c>
      <c r="D28623" s="38" t="str">
        <f>IFERROR(__xludf.DUMMYFUNCTION("REGEXREPLACE(C28623,""-\d+(.*)|--\d+(.*)"","""")"),"ABITAIN")</f>
        <v>ABITAIN</v>
      </c>
      <c r="E28623" s="38" t="s">
        <v>268</v>
      </c>
      <c r="F28623" s="38" t="s">
        <v>252</v>
      </c>
      <c r="G28623" s="49" t="str">
        <f t="shared" si="1"/>
        <v>64390</v>
      </c>
      <c r="H28623" s="49">
        <f t="shared" si="2"/>
        <v>64004</v>
      </c>
    </row>
    <row r="28624">
      <c r="A28624" s="48" t="s">
        <v>25648</v>
      </c>
      <c r="B28624" s="38">
        <v>14460.0</v>
      </c>
      <c r="C28624" s="38" t="s">
        <v>33062</v>
      </c>
      <c r="D28624" s="38" t="str">
        <f>IFERROR(__xludf.DUMMYFUNCTION("REGEXREPLACE(C28624,""-\d+(.*)|--\d+(.*)"","""")"),"MOYAUX")</f>
        <v>MOYAUX</v>
      </c>
      <c r="E28624" s="38" t="s">
        <v>137</v>
      </c>
      <c r="F28624" s="38" t="s">
        <v>138</v>
      </c>
      <c r="G28624" s="49" t="str">
        <f t="shared" si="1"/>
        <v>14590</v>
      </c>
      <c r="H28624" s="49">
        <f t="shared" si="2"/>
        <v>14460</v>
      </c>
    </row>
    <row r="28625">
      <c r="A28625" s="48" t="s">
        <v>2156</v>
      </c>
      <c r="B28625" s="38">
        <v>26233.0</v>
      </c>
      <c r="C28625" s="38" t="s">
        <v>33063</v>
      </c>
      <c r="D28625" s="38" t="str">
        <f>IFERROR(__xludf.DUMMYFUNCTION("REGEXREPLACE(C28625,""-\d+(.*)|--\d+(.*)"","""")"),"PIEGON")</f>
        <v>PIEGON</v>
      </c>
      <c r="E28625" s="38" t="s">
        <v>126</v>
      </c>
      <c r="F28625" s="38" t="s">
        <v>102</v>
      </c>
      <c r="G28625" s="49" t="str">
        <f t="shared" si="1"/>
        <v>26110</v>
      </c>
      <c r="H28625" s="49">
        <f t="shared" si="2"/>
        <v>26233</v>
      </c>
    </row>
    <row r="28626">
      <c r="A28626" s="48" t="s">
        <v>19967</v>
      </c>
      <c r="B28626" s="38">
        <v>4072.0</v>
      </c>
      <c r="C28626" s="38" t="s">
        <v>33064</v>
      </c>
      <c r="D28626" s="38" t="str">
        <f>IFERROR(__xludf.DUMMYFUNCTION("REGEXREPLACE(C28626,""-\d+(.*)|--\d+(.*)"","""")"),"DRAIX")</f>
        <v>DRAIX</v>
      </c>
      <c r="E28626" s="38" t="s">
        <v>662</v>
      </c>
      <c r="F28626" s="38" t="s">
        <v>228</v>
      </c>
      <c r="G28626" s="49" t="str">
        <f t="shared" si="1"/>
        <v>04420</v>
      </c>
      <c r="H28626" s="49" t="str">
        <f t="shared" si="2"/>
        <v>04072</v>
      </c>
    </row>
    <row r="28627">
      <c r="A28627" s="48" t="s">
        <v>8616</v>
      </c>
      <c r="B28627" s="38">
        <v>2050.0</v>
      </c>
      <c r="C28627" s="38" t="s">
        <v>33065</v>
      </c>
      <c r="D28627" s="38" t="str">
        <f>IFERROR(__xludf.DUMMYFUNCTION("REGEXREPLACE(C28627,""-\d+(.*)|--\d+(.*)"","""")"),"BARZY-EN-THIERACHE")</f>
        <v>BARZY-EN-THIERACHE</v>
      </c>
      <c r="E28627" s="38" t="s">
        <v>191</v>
      </c>
      <c r="F28627" s="38" t="s">
        <v>113</v>
      </c>
      <c r="G28627" s="49" t="str">
        <f t="shared" si="1"/>
        <v>02170</v>
      </c>
      <c r="H28627" s="49" t="str">
        <f t="shared" si="2"/>
        <v>02050</v>
      </c>
    </row>
    <row r="28628">
      <c r="A28628" s="48" t="s">
        <v>17934</v>
      </c>
      <c r="B28628" s="38">
        <v>67094.0</v>
      </c>
      <c r="C28628" s="38" t="s">
        <v>33066</v>
      </c>
      <c r="D28628" s="38" t="str">
        <f>IFERROR(__xludf.DUMMYFUNCTION("REGEXREPLACE(C28628,""-\d+(.*)|--\d+(.*)"","""")"),"DIEFFENTHAL")</f>
        <v>DIEFFENTHAL</v>
      </c>
      <c r="E28628" s="38" t="s">
        <v>210</v>
      </c>
      <c r="F28628" s="38" t="s">
        <v>151</v>
      </c>
      <c r="G28628" s="49" t="str">
        <f t="shared" si="1"/>
        <v>67650</v>
      </c>
      <c r="H28628" s="49">
        <f t="shared" si="2"/>
        <v>67094</v>
      </c>
    </row>
    <row r="28629">
      <c r="A28629" s="48" t="s">
        <v>964</v>
      </c>
      <c r="B28629" s="38">
        <v>71555.0</v>
      </c>
      <c r="C28629" s="38" t="s">
        <v>33067</v>
      </c>
      <c r="D28629" s="38" t="str">
        <f>IFERROR(__xludf.DUMMYFUNCTION("REGEXREPLACE(C28629,""-\d+(.*)|--\d+(.*)"","""")"),"VARENNES-LE-GRAND")</f>
        <v>VARENNES-LE-GRAND</v>
      </c>
      <c r="E28629" s="38" t="s">
        <v>344</v>
      </c>
      <c r="F28629" s="38" t="s">
        <v>106</v>
      </c>
      <c r="G28629" s="49" t="str">
        <f t="shared" si="1"/>
        <v>71240</v>
      </c>
      <c r="H28629" s="49">
        <f t="shared" si="2"/>
        <v>71555</v>
      </c>
    </row>
    <row r="28630">
      <c r="A28630" s="48" t="s">
        <v>709</v>
      </c>
      <c r="B28630" s="38">
        <v>43059.0</v>
      </c>
      <c r="C28630" s="38" t="s">
        <v>33068</v>
      </c>
      <c r="D28630" s="38" t="str">
        <f>IFERROR(__xludf.DUMMYFUNCTION("REGEXREPLACE(C28630,""-\d+(.*)|--\d+(.*)"","""")"),"LA CHAPELLE-GENESTE")</f>
        <v>LA CHAPELLE-GENESTE</v>
      </c>
      <c r="E28630" s="38" t="s">
        <v>332</v>
      </c>
      <c r="F28630" s="38" t="s">
        <v>161</v>
      </c>
      <c r="G28630" s="49" t="str">
        <f t="shared" si="1"/>
        <v>43160</v>
      </c>
      <c r="H28630" s="49">
        <f t="shared" si="2"/>
        <v>43059</v>
      </c>
    </row>
    <row r="28631">
      <c r="A28631" s="48" t="s">
        <v>7749</v>
      </c>
      <c r="B28631" s="38">
        <v>85023.0</v>
      </c>
      <c r="C28631" s="38" t="s">
        <v>33069</v>
      </c>
      <c r="D28631" s="38" t="str">
        <f>IFERROR(__xludf.DUMMYFUNCTION("REGEXREPLACE(C28631,""-\d+(.*)|--\d+(.*)"","""")"),"BESSAY")</f>
        <v>BESSAY</v>
      </c>
      <c r="E28631" s="38" t="s">
        <v>179</v>
      </c>
      <c r="F28631" s="38" t="s">
        <v>180</v>
      </c>
      <c r="G28631" s="49" t="str">
        <f t="shared" si="1"/>
        <v>85320</v>
      </c>
      <c r="H28631" s="49">
        <f t="shared" si="2"/>
        <v>85023</v>
      </c>
    </row>
    <row r="28632">
      <c r="A28632" s="48" t="s">
        <v>12560</v>
      </c>
      <c r="B28632" s="38">
        <v>46218.0</v>
      </c>
      <c r="C28632" s="38" t="s">
        <v>33070</v>
      </c>
      <c r="D28632" s="38" t="str">
        <f>IFERROR(__xludf.DUMMYFUNCTION("REGEXREPLACE(C28632,""-\d+(.*)|--\d+(.*)"","""")"),"PESCADOIRES")</f>
        <v>PESCADOIRES</v>
      </c>
      <c r="E28632" s="38" t="s">
        <v>185</v>
      </c>
      <c r="F28632" s="38" t="s">
        <v>94</v>
      </c>
      <c r="G28632" s="49" t="str">
        <f t="shared" si="1"/>
        <v>46220</v>
      </c>
      <c r="H28632" s="49">
        <f t="shared" si="2"/>
        <v>46218</v>
      </c>
    </row>
    <row r="28633">
      <c r="A28633" s="48" t="s">
        <v>33071</v>
      </c>
      <c r="B28633" s="38">
        <v>69266.0</v>
      </c>
      <c r="C28633" s="38" t="s">
        <v>33072</v>
      </c>
      <c r="D28633" s="38" t="str">
        <f>IFERROR(__xludf.DUMMYFUNCTION("REGEXREPLACE(C28633,""-\d+(.*)|--\d+(.*)"","""")"),"VILLEURBANNE")</f>
        <v>VILLEURBANNE</v>
      </c>
      <c r="E28633" s="38" t="s">
        <v>350</v>
      </c>
      <c r="F28633" s="38" t="s">
        <v>102</v>
      </c>
      <c r="G28633" s="49" t="str">
        <f t="shared" si="1"/>
        <v>69100</v>
      </c>
      <c r="H28633" s="49">
        <f t="shared" si="2"/>
        <v>69266</v>
      </c>
    </row>
    <row r="28634">
      <c r="A28634" s="48" t="s">
        <v>1930</v>
      </c>
      <c r="B28634" s="38">
        <v>28374.0</v>
      </c>
      <c r="C28634" s="38" t="s">
        <v>33073</v>
      </c>
      <c r="D28634" s="38" t="str">
        <f>IFERROR(__xludf.DUMMYFUNCTION("REGEXREPLACE(C28634,""-\d+(.*)|--\d+(.*)"","""")"),"SERAZEREUX")</f>
        <v>SERAZEREUX</v>
      </c>
      <c r="E28634" s="38" t="s">
        <v>300</v>
      </c>
      <c r="F28634" s="38" t="s">
        <v>123</v>
      </c>
      <c r="G28634" s="49" t="str">
        <f t="shared" si="1"/>
        <v>28170</v>
      </c>
      <c r="H28634" s="49">
        <f t="shared" si="2"/>
        <v>28374</v>
      </c>
    </row>
    <row r="28635">
      <c r="A28635" s="48" t="s">
        <v>7712</v>
      </c>
      <c r="B28635" s="38">
        <v>9174.0</v>
      </c>
      <c r="C28635" s="38" t="s">
        <v>33074</v>
      </c>
      <c r="D28635" s="38" t="str">
        <f>IFERROR(__xludf.DUMMYFUNCTION("REGEXREPLACE(C28635,""-\d+(.*)|--\d+(.*)"","""")"),"LOUBIERES")</f>
        <v>LOUBIERES</v>
      </c>
      <c r="E28635" s="38" t="s">
        <v>238</v>
      </c>
      <c r="F28635" s="38" t="s">
        <v>94</v>
      </c>
      <c r="G28635" s="49" t="str">
        <f t="shared" si="1"/>
        <v>09000</v>
      </c>
      <c r="H28635" s="49" t="str">
        <f t="shared" si="2"/>
        <v>09174</v>
      </c>
    </row>
    <row r="28636">
      <c r="A28636" s="48" t="s">
        <v>4422</v>
      </c>
      <c r="B28636" s="38">
        <v>59196.0</v>
      </c>
      <c r="C28636" s="38" t="s">
        <v>33075</v>
      </c>
      <c r="D28636" s="38" t="str">
        <f>IFERROR(__xludf.DUMMYFUNCTION("REGEXREPLACE(C28636,""-\d+(.*)|--\d+(.*)"","""")"),"ENNETIERES-EN-WEPPES")</f>
        <v>ENNETIERES-EN-WEPPES</v>
      </c>
      <c r="E28636" s="38" t="s">
        <v>85</v>
      </c>
      <c r="F28636" s="38" t="s">
        <v>86</v>
      </c>
      <c r="G28636" s="49" t="str">
        <f t="shared" si="1"/>
        <v>59320</v>
      </c>
      <c r="H28636" s="49">
        <f t="shared" si="2"/>
        <v>59196</v>
      </c>
    </row>
    <row r="28637">
      <c r="A28637" s="48" t="s">
        <v>16765</v>
      </c>
      <c r="B28637" s="38">
        <v>76613.0</v>
      </c>
      <c r="C28637" s="38" t="s">
        <v>33076</v>
      </c>
      <c r="D28637" s="38" t="str">
        <f>IFERROR(__xludf.DUMMYFUNCTION("REGEXREPLACE(C28637,""-\d+(.*)|--\d+(.*)"","""")"),"SAINT-MARTIN-AUX-BUNEAUX")</f>
        <v>SAINT-MARTIN-AUX-BUNEAUX</v>
      </c>
      <c r="E28637" s="38" t="s">
        <v>133</v>
      </c>
      <c r="F28637" s="38" t="s">
        <v>134</v>
      </c>
      <c r="G28637" s="49" t="str">
        <f t="shared" si="1"/>
        <v>76450</v>
      </c>
      <c r="H28637" s="49">
        <f t="shared" si="2"/>
        <v>76613</v>
      </c>
    </row>
    <row r="28638">
      <c r="A28638" s="48" t="s">
        <v>14989</v>
      </c>
      <c r="B28638" s="38">
        <v>74007.0</v>
      </c>
      <c r="C28638" s="38" t="s">
        <v>33077</v>
      </c>
      <c r="D28638" s="38" t="str">
        <f>IFERROR(__xludf.DUMMYFUNCTION("REGEXREPLACE(C28638,""-\d+(.*)|--\d+(.*)"","""")"),"AMANCY")</f>
        <v>AMANCY</v>
      </c>
      <c r="E28638" s="38" t="s">
        <v>319</v>
      </c>
      <c r="F28638" s="38" t="s">
        <v>102</v>
      </c>
      <c r="G28638" s="49" t="str">
        <f t="shared" si="1"/>
        <v>74800</v>
      </c>
      <c r="H28638" s="49">
        <f t="shared" si="2"/>
        <v>74007</v>
      </c>
    </row>
    <row r="28639">
      <c r="A28639" s="48" t="s">
        <v>22635</v>
      </c>
      <c r="B28639" s="38">
        <v>56127.0</v>
      </c>
      <c r="C28639" s="38" t="s">
        <v>33078</v>
      </c>
      <c r="D28639" s="38" t="str">
        <f>IFERROR(__xludf.DUMMYFUNCTION("REGEXREPLACE(C28639,""-\d+(.*)|--\d+(.*)"","""")"),"MAURON")</f>
        <v>MAURON</v>
      </c>
      <c r="E28639" s="38" t="s">
        <v>173</v>
      </c>
      <c r="F28639" s="38" t="s">
        <v>90</v>
      </c>
      <c r="G28639" s="49" t="str">
        <f t="shared" si="1"/>
        <v>56430</v>
      </c>
      <c r="H28639" s="49">
        <f t="shared" si="2"/>
        <v>56127</v>
      </c>
    </row>
    <row r="28640">
      <c r="A28640" s="48" t="s">
        <v>8892</v>
      </c>
      <c r="B28640" s="38">
        <v>60542.0</v>
      </c>
      <c r="C28640" s="38" t="s">
        <v>33079</v>
      </c>
      <c r="D28640" s="38" t="str">
        <f>IFERROR(__xludf.DUMMYFUNCTION("REGEXREPLACE(C28640,""-\d+(.*)|--\d+(.*)"","""")"),"ROCHY-CONDE")</f>
        <v>ROCHY-CONDE</v>
      </c>
      <c r="E28640" s="38" t="s">
        <v>112</v>
      </c>
      <c r="F28640" s="38" t="s">
        <v>113</v>
      </c>
      <c r="G28640" s="49" t="str">
        <f t="shared" si="1"/>
        <v>60510</v>
      </c>
      <c r="H28640" s="49">
        <f t="shared" si="2"/>
        <v>60542</v>
      </c>
    </row>
    <row r="28641">
      <c r="A28641" s="48" t="s">
        <v>633</v>
      </c>
      <c r="B28641" s="38">
        <v>85097.0</v>
      </c>
      <c r="C28641" s="38" t="s">
        <v>33080</v>
      </c>
      <c r="D28641" s="38" t="str">
        <f>IFERROR(__xludf.DUMMYFUNCTION("REGEXREPLACE(C28641,""-\d+(.*)|--\d+(.*)"","""")"),"LA GAUBRETIERE")</f>
        <v>LA GAUBRETIERE</v>
      </c>
      <c r="E28641" s="38" t="s">
        <v>179</v>
      </c>
      <c r="F28641" s="38" t="s">
        <v>180</v>
      </c>
      <c r="G28641" s="49" t="str">
        <f t="shared" si="1"/>
        <v>85130</v>
      </c>
      <c r="H28641" s="49">
        <f t="shared" si="2"/>
        <v>85097</v>
      </c>
    </row>
    <row r="28642">
      <c r="A28642" s="48" t="s">
        <v>8393</v>
      </c>
      <c r="B28642" s="38">
        <v>80484.0</v>
      </c>
      <c r="C28642" s="38" t="s">
        <v>33081</v>
      </c>
      <c r="D28642" s="38" t="str">
        <f>IFERROR(__xludf.DUMMYFUNCTION("REGEXREPLACE(C28642,""-\d+(.*)|--\d+(.*)"","""")"),"LIOMER")</f>
        <v>LIOMER</v>
      </c>
      <c r="E28642" s="38" t="s">
        <v>224</v>
      </c>
      <c r="F28642" s="38" t="s">
        <v>113</v>
      </c>
      <c r="G28642" s="49" t="str">
        <f t="shared" si="1"/>
        <v>80430</v>
      </c>
      <c r="H28642" s="49">
        <f t="shared" si="2"/>
        <v>80484</v>
      </c>
    </row>
    <row r="28643">
      <c r="A28643" s="48" t="s">
        <v>1911</v>
      </c>
      <c r="B28643" s="38">
        <v>85098.0</v>
      </c>
      <c r="C28643" s="38" t="s">
        <v>5276</v>
      </c>
      <c r="D28643" s="38" t="str">
        <f>IFERROR(__xludf.DUMMYFUNCTION("REGEXREPLACE(C28643,""-\d+(.*)|--\d+(.*)"","""")"),"LA GENETOUZE")</f>
        <v>LA GENETOUZE</v>
      </c>
      <c r="E28643" s="38" t="s">
        <v>179</v>
      </c>
      <c r="F28643" s="38" t="s">
        <v>180</v>
      </c>
      <c r="G28643" s="49" t="str">
        <f t="shared" si="1"/>
        <v>85190</v>
      </c>
      <c r="H28643" s="49">
        <f t="shared" si="2"/>
        <v>85098</v>
      </c>
    </row>
    <row r="28644">
      <c r="A28644" s="48" t="s">
        <v>33082</v>
      </c>
      <c r="B28644" s="38">
        <v>84039.0</v>
      </c>
      <c r="C28644" s="38" t="s">
        <v>33083</v>
      </c>
      <c r="D28644" s="38" t="str">
        <f>IFERROR(__xludf.DUMMYFUNCTION("REGEXREPLACE(C28644,""-\d+(.*)|--\d+(.*)"","""")"),"COURTHEZON")</f>
        <v>COURTHEZON</v>
      </c>
      <c r="E28644" s="38" t="s">
        <v>1026</v>
      </c>
      <c r="F28644" s="38" t="s">
        <v>228</v>
      </c>
      <c r="G28644" s="49" t="str">
        <f t="shared" si="1"/>
        <v>84350</v>
      </c>
      <c r="H28644" s="49">
        <f t="shared" si="2"/>
        <v>84039</v>
      </c>
    </row>
    <row r="28645">
      <c r="A28645" s="48" t="s">
        <v>9556</v>
      </c>
      <c r="B28645" s="38">
        <v>60289.0</v>
      </c>
      <c r="C28645" s="38" t="s">
        <v>33084</v>
      </c>
      <c r="D28645" s="38" t="str">
        <f>IFERROR(__xludf.DUMMYFUNCTION("REGEXREPLACE(C28645,""-\d+(.*)|--\d+(.*)"","""")"),"GREZ")</f>
        <v>GREZ</v>
      </c>
      <c r="E28645" s="38" t="s">
        <v>112</v>
      </c>
      <c r="F28645" s="38" t="s">
        <v>113</v>
      </c>
      <c r="G28645" s="49" t="str">
        <f t="shared" si="1"/>
        <v>60210</v>
      </c>
      <c r="H28645" s="49">
        <f t="shared" si="2"/>
        <v>60289</v>
      </c>
    </row>
    <row r="28646">
      <c r="A28646" s="48" t="s">
        <v>33085</v>
      </c>
      <c r="B28646" s="38">
        <v>66227.0</v>
      </c>
      <c r="C28646" s="38" t="s">
        <v>33086</v>
      </c>
      <c r="D28646" s="38" t="str">
        <f>IFERROR(__xludf.DUMMYFUNCTION("REGEXREPLACE(C28646,""-\d+(.*)|--\d+(.*)"","""")"),"VILLENEUVE-DE-LA-RAHO")</f>
        <v>VILLENEUVE-DE-LA-RAHO</v>
      </c>
      <c r="E28646" s="38" t="s">
        <v>248</v>
      </c>
      <c r="F28646" s="38" t="s">
        <v>119</v>
      </c>
      <c r="G28646" s="49" t="str">
        <f t="shared" si="1"/>
        <v>66180</v>
      </c>
      <c r="H28646" s="49">
        <f t="shared" si="2"/>
        <v>66227</v>
      </c>
    </row>
    <row r="28647">
      <c r="A28647" s="48" t="s">
        <v>2790</v>
      </c>
      <c r="B28647" s="38">
        <v>40122.0</v>
      </c>
      <c r="C28647" s="38" t="s">
        <v>33087</v>
      </c>
      <c r="D28647" s="38" t="str">
        <f>IFERROR(__xludf.DUMMYFUNCTION("REGEXREPLACE(C28647,""-\d+(.*)|--\d+(.*)"","""")"),"HAUT-MAUCO")</f>
        <v>HAUT-MAUCO</v>
      </c>
      <c r="E28647" s="38" t="s">
        <v>281</v>
      </c>
      <c r="F28647" s="38" t="s">
        <v>252</v>
      </c>
      <c r="G28647" s="49" t="str">
        <f t="shared" si="1"/>
        <v>40280</v>
      </c>
      <c r="H28647" s="49">
        <f t="shared" si="2"/>
        <v>40122</v>
      </c>
    </row>
    <row r="28648">
      <c r="A28648" s="48" t="s">
        <v>544</v>
      </c>
      <c r="B28648" s="38">
        <v>57709.0</v>
      </c>
      <c r="C28648" s="38" t="s">
        <v>33088</v>
      </c>
      <c r="D28648" s="38" t="str">
        <f>IFERROR(__xludf.DUMMYFUNCTION("REGEXREPLACE(C28648,""-\d+(.*)|--\d+(.*)"","""")"),"VESCHEIM")</f>
        <v>VESCHEIM</v>
      </c>
      <c r="E28648" s="38" t="s">
        <v>303</v>
      </c>
      <c r="F28648" s="38" t="s">
        <v>195</v>
      </c>
      <c r="G28648" s="49" t="str">
        <f t="shared" si="1"/>
        <v>57370</v>
      </c>
      <c r="H28648" s="49">
        <f t="shared" si="2"/>
        <v>57709</v>
      </c>
    </row>
    <row r="28649">
      <c r="A28649" s="48" t="s">
        <v>2563</v>
      </c>
      <c r="B28649" s="38">
        <v>76453.0</v>
      </c>
      <c r="C28649" s="38" t="s">
        <v>33089</v>
      </c>
      <c r="D28649" s="38" t="str">
        <f>IFERROR(__xludf.DUMMYFUNCTION("REGEXREPLACE(C28649,""-\d+(.*)|--\d+(.*)"","""")"),"MORGNY-LA-POMMERAYE")</f>
        <v>MORGNY-LA-POMMERAYE</v>
      </c>
      <c r="E28649" s="38" t="s">
        <v>133</v>
      </c>
      <c r="F28649" s="38" t="s">
        <v>134</v>
      </c>
      <c r="G28649" s="49" t="str">
        <f t="shared" si="1"/>
        <v>76750</v>
      </c>
      <c r="H28649" s="49">
        <f t="shared" si="2"/>
        <v>76453</v>
      </c>
    </row>
    <row r="28650">
      <c r="A28650" s="48" t="s">
        <v>3244</v>
      </c>
      <c r="B28650" s="38">
        <v>27347.0</v>
      </c>
      <c r="C28650" s="38" t="s">
        <v>33090</v>
      </c>
      <c r="D28650" s="38" t="str">
        <f>IFERROR(__xludf.DUMMYFUNCTION("REGEXREPLACE(C28650,""-\d+(.*)|--\d+(.*)"","""")"),"HUEST")</f>
        <v>HUEST</v>
      </c>
      <c r="E28650" s="38" t="s">
        <v>241</v>
      </c>
      <c r="F28650" s="38" t="s">
        <v>134</v>
      </c>
      <c r="G28650" s="49" t="str">
        <f t="shared" si="1"/>
        <v>27930</v>
      </c>
      <c r="H28650" s="49">
        <f t="shared" si="2"/>
        <v>27347</v>
      </c>
    </row>
    <row r="28651">
      <c r="A28651" s="48" t="s">
        <v>16789</v>
      </c>
      <c r="B28651" s="38">
        <v>4001.0</v>
      </c>
      <c r="C28651" s="38" t="s">
        <v>15733</v>
      </c>
      <c r="D28651" s="38" t="str">
        <f>IFERROR(__xludf.DUMMYFUNCTION("REGEXREPLACE(C28651,""-\d+(.*)|--\d+(.*)"","""")"),"AIGLUN")</f>
        <v>AIGLUN</v>
      </c>
      <c r="E28651" s="38" t="s">
        <v>662</v>
      </c>
      <c r="F28651" s="38" t="s">
        <v>228</v>
      </c>
      <c r="G28651" s="49" t="str">
        <f t="shared" si="1"/>
        <v>04510</v>
      </c>
      <c r="H28651" s="49" t="str">
        <f t="shared" si="2"/>
        <v>04001</v>
      </c>
    </row>
    <row r="28652">
      <c r="A28652" s="48" t="s">
        <v>1031</v>
      </c>
      <c r="B28652" s="38">
        <v>2191.0</v>
      </c>
      <c r="C28652" s="38" t="s">
        <v>33091</v>
      </c>
      <c r="D28652" s="38" t="str">
        <f>IFERROR(__xludf.DUMMYFUNCTION("REGEXREPLACE(C28652,""-\d+(.*)|--\d+(.*)"","""")"),"CHIVY-LES-ETOUVELLES")</f>
        <v>CHIVY-LES-ETOUVELLES</v>
      </c>
      <c r="E28652" s="38" t="s">
        <v>191</v>
      </c>
      <c r="F28652" s="38" t="s">
        <v>113</v>
      </c>
      <c r="G28652" s="49" t="str">
        <f t="shared" si="1"/>
        <v>02000</v>
      </c>
      <c r="H28652" s="49" t="str">
        <f t="shared" si="2"/>
        <v>02191</v>
      </c>
    </row>
    <row r="28653">
      <c r="A28653" s="48" t="s">
        <v>4447</v>
      </c>
      <c r="B28653" s="38">
        <v>39004.0</v>
      </c>
      <c r="C28653" s="38" t="s">
        <v>33092</v>
      </c>
      <c r="D28653" s="38" t="str">
        <f>IFERROR(__xludf.DUMMYFUNCTION("REGEXREPLACE(C28653,""-\d+(.*)|--\d+(.*)"","""")"),"ABERGEMENT-LES-THESY")</f>
        <v>ABERGEMENT-LES-THESY</v>
      </c>
      <c r="E28653" s="38" t="s">
        <v>400</v>
      </c>
      <c r="F28653" s="38" t="s">
        <v>214</v>
      </c>
      <c r="G28653" s="49" t="str">
        <f t="shared" si="1"/>
        <v>39110</v>
      </c>
      <c r="H28653" s="49">
        <f t="shared" si="2"/>
        <v>39004</v>
      </c>
    </row>
    <row r="28654">
      <c r="A28654" s="48" t="s">
        <v>8414</v>
      </c>
      <c r="B28654" s="38">
        <v>60526.0</v>
      </c>
      <c r="C28654" s="38" t="s">
        <v>33093</v>
      </c>
      <c r="D28654" s="38" t="str">
        <f>IFERROR(__xludf.DUMMYFUNCTION("REGEXREPLACE(C28654,""-\d+(.*)|--\d+(.*)"","""")"),"RAVENEL")</f>
        <v>RAVENEL</v>
      </c>
      <c r="E28654" s="38" t="s">
        <v>112</v>
      </c>
      <c r="F28654" s="38" t="s">
        <v>113</v>
      </c>
      <c r="G28654" s="49" t="str">
        <f t="shared" si="1"/>
        <v>60130</v>
      </c>
      <c r="H28654" s="49">
        <f t="shared" si="2"/>
        <v>60526</v>
      </c>
    </row>
    <row r="28655">
      <c r="A28655" s="48" t="s">
        <v>8515</v>
      </c>
      <c r="B28655" s="38">
        <v>8272.0</v>
      </c>
      <c r="C28655" s="38" t="s">
        <v>33094</v>
      </c>
      <c r="D28655" s="38" t="str">
        <f>IFERROR(__xludf.DUMMYFUNCTION("REGEXREPLACE(C28655,""-\d+(.*)|--\d+(.*)"","""")"),"MARANWEZ")</f>
        <v>MARANWEZ</v>
      </c>
      <c r="E28655" s="38" t="s">
        <v>327</v>
      </c>
      <c r="F28655" s="38" t="s">
        <v>130</v>
      </c>
      <c r="G28655" s="49" t="str">
        <f t="shared" si="1"/>
        <v>08460</v>
      </c>
      <c r="H28655" s="49" t="str">
        <f t="shared" si="2"/>
        <v>08272</v>
      </c>
    </row>
    <row r="28656">
      <c r="A28656" s="48" t="s">
        <v>3973</v>
      </c>
      <c r="B28656" s="38">
        <v>33067.0</v>
      </c>
      <c r="C28656" s="38" t="s">
        <v>17963</v>
      </c>
      <c r="D28656" s="38" t="str">
        <f>IFERROR(__xludf.DUMMYFUNCTION("REGEXREPLACE(C28656,""-\d+(.*)|--\d+(.*)"","""")"),"BOURG")</f>
        <v>BOURG</v>
      </c>
      <c r="E28656" s="38" t="s">
        <v>462</v>
      </c>
      <c r="F28656" s="38" t="s">
        <v>252</v>
      </c>
      <c r="G28656" s="49" t="str">
        <f t="shared" si="1"/>
        <v>33710</v>
      </c>
      <c r="H28656" s="49">
        <f t="shared" si="2"/>
        <v>33067</v>
      </c>
    </row>
    <row r="28657">
      <c r="A28657" s="48" t="s">
        <v>13077</v>
      </c>
      <c r="B28657" s="38">
        <v>3288.0</v>
      </c>
      <c r="C28657" s="38" t="s">
        <v>33095</v>
      </c>
      <c r="D28657" s="38" t="str">
        <f>IFERROR(__xludf.DUMMYFUNCTION("REGEXREPLACE(C28657,""-\d+(.*)|--\d+(.*)"","""")"),"TREIGNAT")</f>
        <v>TREIGNAT</v>
      </c>
      <c r="E28657" s="38" t="s">
        <v>160</v>
      </c>
      <c r="F28657" s="38" t="s">
        <v>161</v>
      </c>
      <c r="G28657" s="49" t="str">
        <f t="shared" si="1"/>
        <v>03380</v>
      </c>
      <c r="H28657" s="49" t="str">
        <f t="shared" si="2"/>
        <v>03288</v>
      </c>
    </row>
    <row r="28658">
      <c r="A28658" s="48" t="s">
        <v>2100</v>
      </c>
      <c r="B28658" s="38">
        <v>14232.0</v>
      </c>
      <c r="C28658" s="38" t="s">
        <v>33096</v>
      </c>
      <c r="D28658" s="38" t="str">
        <f>IFERROR(__xludf.DUMMYFUNCTION("REGEXREPLACE(C28658,""-\d+(.*)|--\d+(.*)"","""")"),"DUCY-SAINTE-MARGUERITE")</f>
        <v>DUCY-SAINTE-MARGUERITE</v>
      </c>
      <c r="E28658" s="38" t="s">
        <v>137</v>
      </c>
      <c r="F28658" s="38" t="s">
        <v>138</v>
      </c>
      <c r="G28658" s="49" t="str">
        <f t="shared" si="1"/>
        <v>14250</v>
      </c>
      <c r="H28658" s="49">
        <f t="shared" si="2"/>
        <v>14232</v>
      </c>
    </row>
    <row r="28659">
      <c r="A28659" s="48" t="s">
        <v>4036</v>
      </c>
      <c r="B28659" s="38">
        <v>49095.0</v>
      </c>
      <c r="C28659" s="38" t="s">
        <v>33097</v>
      </c>
      <c r="D28659" s="38" t="str">
        <f>IFERROR(__xludf.DUMMYFUNCTION("REGEXREPLACE(C28659,""-\d+(.*)|--\d+(.*)"","""")"),"CHENILLE-CHANGE")</f>
        <v>CHENILLE-CHANGE</v>
      </c>
      <c r="E28659" s="38" t="s">
        <v>653</v>
      </c>
      <c r="F28659" s="38" t="s">
        <v>180</v>
      </c>
      <c r="G28659" s="49" t="str">
        <f t="shared" si="1"/>
        <v>49220</v>
      </c>
      <c r="H28659" s="49">
        <f t="shared" si="2"/>
        <v>49095</v>
      </c>
    </row>
    <row r="28660">
      <c r="A28660" s="48" t="s">
        <v>1861</v>
      </c>
      <c r="B28660" s="38">
        <v>46331.0</v>
      </c>
      <c r="C28660" s="38" t="s">
        <v>20797</v>
      </c>
      <c r="D28660" s="38" t="str">
        <f>IFERROR(__xludf.DUMMYFUNCTION("REGEXREPLACE(C28660,""-\d+(.*)|--\d+(.*)"","""")"),"VERS")</f>
        <v>VERS</v>
      </c>
      <c r="E28660" s="38" t="s">
        <v>185</v>
      </c>
      <c r="F28660" s="38" t="s">
        <v>94</v>
      </c>
      <c r="G28660" s="49" t="str">
        <f t="shared" si="1"/>
        <v>46090</v>
      </c>
      <c r="H28660" s="49">
        <f t="shared" si="2"/>
        <v>46331</v>
      </c>
    </row>
    <row r="28661">
      <c r="A28661" s="48" t="s">
        <v>22697</v>
      </c>
      <c r="B28661" s="38">
        <v>45241.0</v>
      </c>
      <c r="C28661" s="38" t="s">
        <v>33098</v>
      </c>
      <c r="D28661" s="38" t="str">
        <f>IFERROR(__xludf.DUMMYFUNCTION("REGEXREPLACE(C28661,""-\d+(.*)|--\d+(.*)"","""")"),"OUVROUER-LES-CHAMPS")</f>
        <v>OUVROUER-LES-CHAMPS</v>
      </c>
      <c r="E28661" s="38" t="s">
        <v>122</v>
      </c>
      <c r="F28661" s="38" t="s">
        <v>123</v>
      </c>
      <c r="G28661" s="49" t="str">
        <f t="shared" si="1"/>
        <v>45150</v>
      </c>
      <c r="H28661" s="49">
        <f t="shared" si="2"/>
        <v>45241</v>
      </c>
    </row>
    <row r="28662">
      <c r="A28662" s="48" t="s">
        <v>256</v>
      </c>
      <c r="B28662" s="38">
        <v>36221.0</v>
      </c>
      <c r="C28662" s="38" t="s">
        <v>33099</v>
      </c>
      <c r="D28662" s="38" t="str">
        <f>IFERROR(__xludf.DUMMYFUNCTION("REGEXREPLACE(C28662,""-\d+(.*)|--\d+(.*)"","""")"),"THEVET-SAINT-JULIEN")</f>
        <v>THEVET-SAINT-JULIEN</v>
      </c>
      <c r="E28662" s="38" t="s">
        <v>258</v>
      </c>
      <c r="F28662" s="38" t="s">
        <v>123</v>
      </c>
      <c r="G28662" s="49" t="str">
        <f t="shared" si="1"/>
        <v>36400</v>
      </c>
      <c r="H28662" s="49">
        <f t="shared" si="2"/>
        <v>36221</v>
      </c>
    </row>
    <row r="28663">
      <c r="A28663" s="48" t="s">
        <v>1060</v>
      </c>
      <c r="B28663" s="38">
        <v>57329.0</v>
      </c>
      <c r="C28663" s="38" t="s">
        <v>33100</v>
      </c>
      <c r="D28663" s="38" t="str">
        <f>IFERROR(__xludf.DUMMYFUNCTION("REGEXREPLACE(C28663,""-\d+(.*)|--\d+(.*)"","""")"),"HOLLING")</f>
        <v>HOLLING</v>
      </c>
      <c r="E28663" s="38" t="s">
        <v>303</v>
      </c>
      <c r="F28663" s="38" t="s">
        <v>195</v>
      </c>
      <c r="G28663" s="49" t="str">
        <f t="shared" si="1"/>
        <v>57220</v>
      </c>
      <c r="H28663" s="49">
        <f t="shared" si="2"/>
        <v>57329</v>
      </c>
    </row>
    <row r="28664">
      <c r="A28664" s="48" t="s">
        <v>995</v>
      </c>
      <c r="B28664" s="38">
        <v>31297.0</v>
      </c>
      <c r="C28664" s="38" t="s">
        <v>33101</v>
      </c>
      <c r="D28664" s="38" t="str">
        <f>IFERROR(__xludf.DUMMYFUNCTION("REGEXREPLACE(C28664,""-\d+(.*)|--\d+(.*)"","""")"),"LEVIGNAC")</f>
        <v>LEVIGNAC</v>
      </c>
      <c r="E28664" s="38" t="s">
        <v>93</v>
      </c>
      <c r="F28664" s="38" t="s">
        <v>94</v>
      </c>
      <c r="G28664" s="49" t="str">
        <f t="shared" si="1"/>
        <v>31530</v>
      </c>
      <c r="H28664" s="49">
        <f t="shared" si="2"/>
        <v>31297</v>
      </c>
    </row>
    <row r="28665">
      <c r="A28665" s="48" t="s">
        <v>4790</v>
      </c>
      <c r="B28665" s="38">
        <v>67167.0</v>
      </c>
      <c r="C28665" s="38" t="s">
        <v>33102</v>
      </c>
      <c r="D28665" s="38" t="str">
        <f>IFERROR(__xludf.DUMMYFUNCTION("REGEXREPLACE(C28665,""-\d+(.*)|--\d+(.*)"","""")"),"GRENDELBRUCH")</f>
        <v>GRENDELBRUCH</v>
      </c>
      <c r="E28665" s="38" t="s">
        <v>210</v>
      </c>
      <c r="F28665" s="38" t="s">
        <v>151</v>
      </c>
      <c r="G28665" s="49" t="str">
        <f t="shared" si="1"/>
        <v>67190</v>
      </c>
      <c r="H28665" s="49">
        <f t="shared" si="2"/>
        <v>67167</v>
      </c>
    </row>
    <row r="28666">
      <c r="A28666" s="48" t="s">
        <v>3755</v>
      </c>
      <c r="B28666" s="38">
        <v>76110.0</v>
      </c>
      <c r="C28666" s="38" t="s">
        <v>33103</v>
      </c>
      <c r="D28666" s="38" t="str">
        <f>IFERROR(__xludf.DUMMYFUNCTION("REGEXREPLACE(C28666,""-\d+(.*)|--\d+(.*)"","""")"),"BOIS-HIMONT")</f>
        <v>BOIS-HIMONT</v>
      </c>
      <c r="E28666" s="38" t="s">
        <v>133</v>
      </c>
      <c r="F28666" s="38" t="s">
        <v>134</v>
      </c>
      <c r="G28666" s="49" t="str">
        <f t="shared" si="1"/>
        <v>76190</v>
      </c>
      <c r="H28666" s="49">
        <f t="shared" si="2"/>
        <v>76110</v>
      </c>
    </row>
    <row r="28667">
      <c r="A28667" s="48" t="s">
        <v>3948</v>
      </c>
      <c r="B28667" s="38">
        <v>21313.0</v>
      </c>
      <c r="C28667" s="38" t="s">
        <v>33104</v>
      </c>
      <c r="D28667" s="38" t="str">
        <f>IFERROR(__xludf.DUMMYFUNCTION("REGEXREPLACE(C28667,""-\d+(.*)|--\d+(.*)"","""")"),"GURGY-LE-CHATEAU")</f>
        <v>GURGY-LE-CHATEAU</v>
      </c>
      <c r="E28667" s="38" t="s">
        <v>105</v>
      </c>
      <c r="F28667" s="38" t="s">
        <v>106</v>
      </c>
      <c r="G28667" s="49" t="str">
        <f t="shared" si="1"/>
        <v>21290</v>
      </c>
      <c r="H28667" s="49">
        <f t="shared" si="2"/>
        <v>21313</v>
      </c>
    </row>
    <row r="28668">
      <c r="A28668" s="48" t="s">
        <v>12539</v>
      </c>
      <c r="B28668" s="38">
        <v>14449.0</v>
      </c>
      <c r="C28668" s="38" t="s">
        <v>33105</v>
      </c>
      <c r="D28668" s="38" t="str">
        <f>IFERROR(__xludf.DUMMYFUNCTION("REGEXREPLACE(C28668,""-\d+(.*)|--\d+(.*)"","""")"),"MONTS-EN-BESSIN")</f>
        <v>MONTS-EN-BESSIN</v>
      </c>
      <c r="E28668" s="38" t="s">
        <v>137</v>
      </c>
      <c r="F28668" s="38" t="s">
        <v>138</v>
      </c>
      <c r="G28668" s="49" t="str">
        <f t="shared" si="1"/>
        <v>14310</v>
      </c>
      <c r="H28668" s="49">
        <f t="shared" si="2"/>
        <v>14449</v>
      </c>
    </row>
    <row r="28669">
      <c r="A28669" s="48" t="s">
        <v>9778</v>
      </c>
      <c r="B28669" s="38">
        <v>23065.0</v>
      </c>
      <c r="C28669" s="38" t="s">
        <v>33106</v>
      </c>
      <c r="D28669" s="38" t="str">
        <f>IFERROR(__xludf.DUMMYFUNCTION("REGEXREPLACE(C28669,""-\d+(.*)|--\d+(.*)"","""")"),"COLONDANNES")</f>
        <v>COLONDANNES</v>
      </c>
      <c r="E28669" s="38" t="s">
        <v>97</v>
      </c>
      <c r="F28669" s="38" t="s">
        <v>98</v>
      </c>
      <c r="G28669" s="49" t="str">
        <f t="shared" si="1"/>
        <v>23800</v>
      </c>
      <c r="H28669" s="49">
        <f t="shared" si="2"/>
        <v>23065</v>
      </c>
    </row>
    <row r="28670">
      <c r="A28670" s="48" t="s">
        <v>4119</v>
      </c>
      <c r="B28670" s="38">
        <v>36172.0</v>
      </c>
      <c r="C28670" s="38" t="s">
        <v>32977</v>
      </c>
      <c r="D28670" s="38" t="str">
        <f>IFERROR(__xludf.DUMMYFUNCTION("REGEXREPLACE(C28670,""-\d+(.*)|--\d+(.*)"","""")"),"RIVARENNES")</f>
        <v>RIVARENNES</v>
      </c>
      <c r="E28670" s="38" t="s">
        <v>258</v>
      </c>
      <c r="F28670" s="38" t="s">
        <v>123</v>
      </c>
      <c r="G28670" s="49" t="str">
        <f t="shared" si="1"/>
        <v>36800</v>
      </c>
      <c r="H28670" s="49">
        <f t="shared" si="2"/>
        <v>36172</v>
      </c>
    </row>
    <row r="28671">
      <c r="A28671" s="48" t="s">
        <v>2640</v>
      </c>
      <c r="B28671" s="38">
        <v>58082.0</v>
      </c>
      <c r="C28671" s="38" t="s">
        <v>33107</v>
      </c>
      <c r="D28671" s="38" t="str">
        <f>IFERROR(__xludf.DUMMYFUNCTION("REGEXREPLACE(C28671,""-\d+(.*)|--\d+(.*)"","""")"),"CORANCY")</f>
        <v>CORANCY</v>
      </c>
      <c r="E28671" s="38" t="s">
        <v>219</v>
      </c>
      <c r="F28671" s="38" t="s">
        <v>106</v>
      </c>
      <c r="G28671" s="49" t="str">
        <f t="shared" si="1"/>
        <v>58120</v>
      </c>
      <c r="H28671" s="49">
        <f t="shared" si="2"/>
        <v>58082</v>
      </c>
    </row>
    <row r="28672">
      <c r="A28672" s="48" t="s">
        <v>3718</v>
      </c>
      <c r="B28672" s="38">
        <v>62578.0</v>
      </c>
      <c r="C28672" s="38" t="s">
        <v>33108</v>
      </c>
      <c r="D28672" s="38" t="str">
        <f>IFERROR(__xludf.DUMMYFUNCTION("REGEXREPLACE(C28672,""-\d+(.*)|--\d+(.*)"","""")"),"MONCHIET")</f>
        <v>MONCHIET</v>
      </c>
      <c r="E28672" s="38" t="s">
        <v>109</v>
      </c>
      <c r="F28672" s="38" t="s">
        <v>86</v>
      </c>
      <c r="G28672" s="49" t="str">
        <f t="shared" si="1"/>
        <v>62123</v>
      </c>
      <c r="H28672" s="49">
        <f t="shared" si="2"/>
        <v>62578</v>
      </c>
    </row>
    <row r="28673">
      <c r="A28673" s="48" t="s">
        <v>2413</v>
      </c>
      <c r="B28673" s="38">
        <v>72060.0</v>
      </c>
      <c r="C28673" s="38" t="s">
        <v>33109</v>
      </c>
      <c r="D28673" s="38" t="str">
        <f>IFERROR(__xludf.DUMMYFUNCTION("REGEXREPLACE(C28673,""-\d+(.*)|--\d+(.*)"","""")"),"LA CHAPELLE-AUX-CHOUX")</f>
        <v>LA CHAPELLE-AUX-CHOUX</v>
      </c>
      <c r="E28673" s="38" t="s">
        <v>521</v>
      </c>
      <c r="F28673" s="38" t="s">
        <v>180</v>
      </c>
      <c r="G28673" s="49" t="str">
        <f t="shared" si="1"/>
        <v>72800</v>
      </c>
      <c r="H28673" s="49">
        <f t="shared" si="2"/>
        <v>72060</v>
      </c>
    </row>
    <row r="28674">
      <c r="A28674" s="48" t="s">
        <v>33110</v>
      </c>
      <c r="B28674" s="38">
        <v>16154.0</v>
      </c>
      <c r="C28674" s="38" t="s">
        <v>33111</v>
      </c>
      <c r="D28674" s="38" t="str">
        <f>IFERROR(__xludf.DUMMYFUNCTION("REGEXREPLACE(C28674,""-\d+(.*)|--\d+(.*)"","""")"),"GOND-PONTOUVRE")</f>
        <v>GOND-PONTOUVRE</v>
      </c>
      <c r="E28674" s="38" t="s">
        <v>429</v>
      </c>
      <c r="F28674" s="38" t="s">
        <v>338</v>
      </c>
      <c r="G28674" s="49" t="str">
        <f t="shared" si="1"/>
        <v>16160</v>
      </c>
      <c r="H28674" s="49">
        <f t="shared" si="2"/>
        <v>16154</v>
      </c>
    </row>
    <row r="28675">
      <c r="A28675" s="48" t="s">
        <v>10386</v>
      </c>
      <c r="B28675" s="38">
        <v>63023.0</v>
      </c>
      <c r="C28675" s="38" t="s">
        <v>33112</v>
      </c>
      <c r="D28675" s="38" t="str">
        <f>IFERROR(__xludf.DUMMYFUNCTION("REGEXREPLACE(C28675,""-\d+(.*)|--\d+(.*)"","""")"),"AUZELLES")</f>
        <v>AUZELLES</v>
      </c>
      <c r="E28675" s="38" t="s">
        <v>353</v>
      </c>
      <c r="F28675" s="38" t="s">
        <v>161</v>
      </c>
      <c r="G28675" s="49" t="str">
        <f t="shared" si="1"/>
        <v>63590</v>
      </c>
      <c r="H28675" s="49">
        <f t="shared" si="2"/>
        <v>63023</v>
      </c>
    </row>
    <row r="28676">
      <c r="A28676" s="48" t="s">
        <v>33113</v>
      </c>
      <c r="B28676" s="38">
        <v>5003.0</v>
      </c>
      <c r="C28676" s="38" t="s">
        <v>33114</v>
      </c>
      <c r="D28676" s="38" t="str">
        <f>IFERROR(__xludf.DUMMYFUNCTION("REGEXREPLACE(C28676,""-\d+(.*)|--\d+(.*)"","""")"),"AIGUILLES")</f>
        <v>AIGUILLES</v>
      </c>
      <c r="E28676" s="38" t="s">
        <v>706</v>
      </c>
      <c r="F28676" s="38" t="s">
        <v>228</v>
      </c>
      <c r="G28676" s="49" t="str">
        <f t="shared" si="1"/>
        <v>05470</v>
      </c>
      <c r="H28676" s="49" t="str">
        <f t="shared" si="2"/>
        <v>05003</v>
      </c>
    </row>
    <row r="28677">
      <c r="A28677" s="48" t="s">
        <v>3372</v>
      </c>
      <c r="B28677" s="38">
        <v>59498.0</v>
      </c>
      <c r="C28677" s="38" t="s">
        <v>33115</v>
      </c>
      <c r="D28677" s="38" t="str">
        <f>IFERROR(__xludf.DUMMYFUNCTION("REGEXREPLACE(C28677,""-\d+(.*)|--\d+(.*)"","""")"),"REUMONT")</f>
        <v>REUMONT</v>
      </c>
      <c r="E28677" s="38" t="s">
        <v>85</v>
      </c>
      <c r="F28677" s="38" t="s">
        <v>86</v>
      </c>
      <c r="G28677" s="49" t="str">
        <f t="shared" si="1"/>
        <v>59980</v>
      </c>
      <c r="H28677" s="49">
        <f t="shared" si="2"/>
        <v>59498</v>
      </c>
    </row>
    <row r="28678">
      <c r="A28678" s="48" t="s">
        <v>17322</v>
      </c>
      <c r="B28678" s="38">
        <v>33030.0</v>
      </c>
      <c r="C28678" s="38" t="s">
        <v>13147</v>
      </c>
      <c r="D28678" s="38" t="str">
        <f>IFERROR(__xludf.DUMMYFUNCTION("REGEXREPLACE(C28678,""-\d+(.*)|--\d+(.*)"","""")"),"BARSAC")</f>
        <v>BARSAC</v>
      </c>
      <c r="E28678" s="38" t="s">
        <v>462</v>
      </c>
      <c r="F28678" s="38" t="s">
        <v>252</v>
      </c>
      <c r="G28678" s="49" t="str">
        <f t="shared" si="1"/>
        <v>33720</v>
      </c>
      <c r="H28678" s="49">
        <f t="shared" si="2"/>
        <v>33030</v>
      </c>
    </row>
    <row r="28679">
      <c r="A28679" s="48" t="s">
        <v>18439</v>
      </c>
      <c r="B28679" s="38">
        <v>89067.0</v>
      </c>
      <c r="C28679" s="38" t="s">
        <v>33116</v>
      </c>
      <c r="D28679" s="38" t="str">
        <f>IFERROR(__xludf.DUMMYFUNCTION("REGEXREPLACE(C28679,""-\d+(.*)|--\d+(.*)"","""")"),"CEZY")</f>
        <v>CEZY</v>
      </c>
      <c r="E28679" s="38" t="s">
        <v>275</v>
      </c>
      <c r="F28679" s="38" t="s">
        <v>106</v>
      </c>
      <c r="G28679" s="49" t="str">
        <f t="shared" si="1"/>
        <v>89410</v>
      </c>
      <c r="H28679" s="49">
        <f t="shared" si="2"/>
        <v>89067</v>
      </c>
    </row>
    <row r="28680">
      <c r="A28680" s="48" t="s">
        <v>1250</v>
      </c>
      <c r="B28680" s="38">
        <v>31130.0</v>
      </c>
      <c r="C28680" s="38" t="s">
        <v>33117</v>
      </c>
      <c r="D28680" s="38" t="str">
        <f>IFERROR(__xludf.DUMMYFUNCTION("REGEXREPLACE(C28680,""-\d+(.*)|--\d+(.*)"","""")"),"CAZARIL-TAMBOURES")</f>
        <v>CAZARIL-TAMBOURES</v>
      </c>
      <c r="E28680" s="38" t="s">
        <v>93</v>
      </c>
      <c r="F28680" s="38" t="s">
        <v>94</v>
      </c>
      <c r="G28680" s="49" t="str">
        <f t="shared" si="1"/>
        <v>31580</v>
      </c>
      <c r="H28680" s="49">
        <f t="shared" si="2"/>
        <v>31130</v>
      </c>
    </row>
    <row r="28681">
      <c r="A28681" s="48" t="s">
        <v>127</v>
      </c>
      <c r="B28681" s="38">
        <v>51456.0</v>
      </c>
      <c r="C28681" s="38" t="s">
        <v>33118</v>
      </c>
      <c r="D28681" s="38" t="str">
        <f>IFERROR(__xludf.DUMMYFUNCTION("REGEXREPLACE(C28681,""-\d+(.*)|--\d+(.*)"","""")"),"REMICOURT")</f>
        <v>REMICOURT</v>
      </c>
      <c r="E28681" s="38" t="s">
        <v>129</v>
      </c>
      <c r="F28681" s="38" t="s">
        <v>130</v>
      </c>
      <c r="G28681" s="49" t="str">
        <f t="shared" si="1"/>
        <v>51330</v>
      </c>
      <c r="H28681" s="49">
        <f t="shared" si="2"/>
        <v>51456</v>
      </c>
    </row>
    <row r="28682">
      <c r="A28682" s="48" t="s">
        <v>1781</v>
      </c>
      <c r="B28682" s="38">
        <v>27381.0</v>
      </c>
      <c r="C28682" s="38" t="s">
        <v>33119</v>
      </c>
      <c r="D28682" s="38" t="str">
        <f>IFERROR(__xludf.DUMMYFUNCTION("REGEXREPLACE(C28682,""-\d+(.*)|--\d+(.*)"","""")"),"MALOUY")</f>
        <v>MALOUY</v>
      </c>
      <c r="E28682" s="38" t="s">
        <v>241</v>
      </c>
      <c r="F28682" s="38" t="s">
        <v>134</v>
      </c>
      <c r="G28682" s="49" t="str">
        <f t="shared" si="1"/>
        <v>27300</v>
      </c>
      <c r="H28682" s="49">
        <f t="shared" si="2"/>
        <v>27381</v>
      </c>
    </row>
    <row r="28683">
      <c r="A28683" s="48" t="s">
        <v>792</v>
      </c>
      <c r="B28683" s="38">
        <v>2806.0</v>
      </c>
      <c r="C28683" s="38" t="s">
        <v>33120</v>
      </c>
      <c r="D28683" s="38" t="str">
        <f>IFERROR(__xludf.DUMMYFUNCTION("REGEXREPLACE(C28683,""-\d+(.*)|--\d+(.*)"","""")"),"VILLENEUVE-SUR-FERE")</f>
        <v>VILLENEUVE-SUR-FERE</v>
      </c>
      <c r="E28683" s="38" t="s">
        <v>191</v>
      </c>
      <c r="F28683" s="38" t="s">
        <v>113</v>
      </c>
      <c r="G28683" s="49" t="str">
        <f t="shared" si="1"/>
        <v>02130</v>
      </c>
      <c r="H28683" s="49" t="str">
        <f t="shared" si="2"/>
        <v>02806</v>
      </c>
    </row>
    <row r="28684">
      <c r="A28684" s="48" t="s">
        <v>656</v>
      </c>
      <c r="B28684" s="38">
        <v>61337.0</v>
      </c>
      <c r="C28684" s="38" t="s">
        <v>33121</v>
      </c>
      <c r="D28684" s="38" t="str">
        <f>IFERROR(__xludf.DUMMYFUNCTION("REGEXREPLACE(C28684,""-\d+(.*)|--\d+(.*)"","""")"),"PREAUX-DU-PERCHE")</f>
        <v>PREAUX-DU-PERCHE</v>
      </c>
      <c r="E28684" s="38" t="s">
        <v>141</v>
      </c>
      <c r="F28684" s="38" t="s">
        <v>138</v>
      </c>
      <c r="G28684" s="49" t="str">
        <f t="shared" si="1"/>
        <v>61340</v>
      </c>
      <c r="H28684" s="49">
        <f t="shared" si="2"/>
        <v>61337</v>
      </c>
    </row>
    <row r="28685">
      <c r="A28685" s="48" t="s">
        <v>127</v>
      </c>
      <c r="B28685" s="38">
        <v>51619.0</v>
      </c>
      <c r="C28685" s="38" t="s">
        <v>33122</v>
      </c>
      <c r="D28685" s="38" t="str">
        <f>IFERROR(__xludf.DUMMYFUNCTION("REGEXREPLACE(C28685,""-\d+(.*)|--\d+(.*)"","""")"),"LE VIEIL-DAMPIERRE")</f>
        <v>LE VIEIL-DAMPIERRE</v>
      </c>
      <c r="E28685" s="38" t="s">
        <v>129</v>
      </c>
      <c r="F28685" s="38" t="s">
        <v>130</v>
      </c>
      <c r="G28685" s="49" t="str">
        <f t="shared" si="1"/>
        <v>51330</v>
      </c>
      <c r="H28685" s="49">
        <f t="shared" si="2"/>
        <v>51619</v>
      </c>
    </row>
    <row r="28686">
      <c r="A28686" s="48" t="s">
        <v>1538</v>
      </c>
      <c r="B28686" s="38">
        <v>27556.0</v>
      </c>
      <c r="C28686" s="38" t="s">
        <v>33123</v>
      </c>
      <c r="D28686" s="38" t="str">
        <f>IFERROR(__xludf.DUMMYFUNCTION("REGEXREPLACE(C28686,""-\d+(.*)|--\d+(.*)"","""")"),"SAINT-LAURENT-DU-TENCEMENT")</f>
        <v>SAINT-LAURENT-DU-TENCEMENT</v>
      </c>
      <c r="E28686" s="38" t="s">
        <v>241</v>
      </c>
      <c r="F28686" s="38" t="s">
        <v>134</v>
      </c>
      <c r="G28686" s="49" t="str">
        <f t="shared" si="1"/>
        <v>27390</v>
      </c>
      <c r="H28686" s="49">
        <f t="shared" si="2"/>
        <v>27556</v>
      </c>
    </row>
    <row r="28687">
      <c r="A28687" s="48" t="s">
        <v>32003</v>
      </c>
      <c r="B28687" s="38">
        <v>68229.0</v>
      </c>
      <c r="C28687" s="38" t="s">
        <v>33124</v>
      </c>
      <c r="D28687" s="38" t="str">
        <f>IFERROR(__xludf.DUMMYFUNCTION("REGEXREPLACE(C28687,""-\d+(.*)|--\d+(.*)"","""")"),"MURBACH")</f>
        <v>MURBACH</v>
      </c>
      <c r="E28687" s="38" t="s">
        <v>150</v>
      </c>
      <c r="F28687" s="38" t="s">
        <v>151</v>
      </c>
      <c r="G28687" s="49" t="str">
        <f t="shared" si="1"/>
        <v>68530</v>
      </c>
      <c r="H28687" s="49">
        <f t="shared" si="2"/>
        <v>68229</v>
      </c>
    </row>
    <row r="28688">
      <c r="A28688" s="48" t="s">
        <v>19908</v>
      </c>
      <c r="B28688" s="38">
        <v>34083.0</v>
      </c>
      <c r="C28688" s="38" t="s">
        <v>33125</v>
      </c>
      <c r="D28688" s="38" t="str">
        <f>IFERROR(__xludf.DUMMYFUNCTION("REGEXREPLACE(C28688,""-\d+(.*)|--\d+(.*)"","""")"),"COMBES")</f>
        <v>COMBES</v>
      </c>
      <c r="E28688" s="38" t="s">
        <v>118</v>
      </c>
      <c r="F28688" s="38" t="s">
        <v>119</v>
      </c>
      <c r="G28688" s="49" t="str">
        <f t="shared" si="1"/>
        <v>34240</v>
      </c>
      <c r="H28688" s="49">
        <f t="shared" si="2"/>
        <v>34083</v>
      </c>
    </row>
    <row r="28689">
      <c r="A28689" s="48" t="s">
        <v>6099</v>
      </c>
      <c r="B28689" s="38">
        <v>59471.0</v>
      </c>
      <c r="C28689" s="38" t="s">
        <v>33126</v>
      </c>
      <c r="D28689" s="38" t="str">
        <f>IFERROR(__xludf.DUMMYFUNCTION("REGEXREPLACE(C28689,""-\d+(.*)|--\d+(.*)"","""")"),"PRESEAU")</f>
        <v>PRESEAU</v>
      </c>
      <c r="E28689" s="38" t="s">
        <v>85</v>
      </c>
      <c r="F28689" s="38" t="s">
        <v>86</v>
      </c>
      <c r="G28689" s="49" t="str">
        <f t="shared" si="1"/>
        <v>59990</v>
      </c>
      <c r="H28689" s="49">
        <f t="shared" si="2"/>
        <v>59471</v>
      </c>
    </row>
    <row r="28690">
      <c r="A28690" s="48" t="s">
        <v>1850</v>
      </c>
      <c r="B28690" s="38">
        <v>48165.0</v>
      </c>
      <c r="C28690" s="38" t="s">
        <v>33127</v>
      </c>
      <c r="D28690" s="38" t="str">
        <f>IFERROR(__xludf.DUMMYFUNCTION("REGEXREPLACE(C28690,""-\d+(.*)|--\d+(.*)"","""")"),"SAINT-LAURENT-DE-MURET")</f>
        <v>SAINT-LAURENT-DE-MURET</v>
      </c>
      <c r="E28690" s="38" t="s">
        <v>154</v>
      </c>
      <c r="F28690" s="38" t="s">
        <v>119</v>
      </c>
      <c r="G28690" s="49" t="str">
        <f t="shared" si="1"/>
        <v>48100</v>
      </c>
      <c r="H28690" s="49">
        <f t="shared" si="2"/>
        <v>48165</v>
      </c>
    </row>
    <row r="28691">
      <c r="A28691" s="48" t="s">
        <v>2368</v>
      </c>
      <c r="B28691" s="38">
        <v>65027.0</v>
      </c>
      <c r="C28691" s="38" t="s">
        <v>33128</v>
      </c>
      <c r="D28691" s="38" t="str">
        <f>IFERROR(__xludf.DUMMYFUNCTION("REGEXREPLACE(C28691,""-\d+(.*)|--\d+(.*)"","""")"),"ARMENTEULE")</f>
        <v>ARMENTEULE</v>
      </c>
      <c r="E28691" s="38" t="s">
        <v>200</v>
      </c>
      <c r="F28691" s="38" t="s">
        <v>94</v>
      </c>
      <c r="G28691" s="49" t="str">
        <f t="shared" si="1"/>
        <v>65240</v>
      </c>
      <c r="H28691" s="49">
        <f t="shared" si="2"/>
        <v>65027</v>
      </c>
    </row>
    <row r="28692">
      <c r="A28692" s="48" t="s">
        <v>2251</v>
      </c>
      <c r="B28692" s="38">
        <v>2539.0</v>
      </c>
      <c r="C28692" s="38" t="s">
        <v>33129</v>
      </c>
      <c r="D28692" s="38" t="str">
        <f>IFERROR(__xludf.DUMMYFUNCTION("REGEXREPLACE(C28692,""-\d+(.*)|--\d+(.*)"","""")"),"NAUROY")</f>
        <v>NAUROY</v>
      </c>
      <c r="E28692" s="38" t="s">
        <v>191</v>
      </c>
      <c r="F28692" s="38" t="s">
        <v>113</v>
      </c>
      <c r="G28692" s="49" t="str">
        <f t="shared" si="1"/>
        <v>02420</v>
      </c>
      <c r="H28692" s="49" t="str">
        <f t="shared" si="2"/>
        <v>02539</v>
      </c>
    </row>
    <row r="28693">
      <c r="A28693" s="48" t="s">
        <v>4895</v>
      </c>
      <c r="B28693" s="38">
        <v>34043.0</v>
      </c>
      <c r="C28693" s="38" t="s">
        <v>33130</v>
      </c>
      <c r="D28693" s="38" t="str">
        <f>IFERROR(__xludf.DUMMYFUNCTION("REGEXREPLACE(C28693,""-\d+(.*)|--\d+(.*)"","""")"),"BUZIGNARGUES")</f>
        <v>BUZIGNARGUES</v>
      </c>
      <c r="E28693" s="38" t="s">
        <v>118</v>
      </c>
      <c r="F28693" s="38" t="s">
        <v>119</v>
      </c>
      <c r="G28693" s="49" t="str">
        <f t="shared" si="1"/>
        <v>34160</v>
      </c>
      <c r="H28693" s="49">
        <f t="shared" si="2"/>
        <v>34043</v>
      </c>
    </row>
    <row r="28694">
      <c r="A28694" s="48" t="s">
        <v>5262</v>
      </c>
      <c r="B28694" s="38">
        <v>15060.0</v>
      </c>
      <c r="C28694" s="38" t="s">
        <v>33131</v>
      </c>
      <c r="D28694" s="38" t="str">
        <f>IFERROR(__xludf.DUMMYFUNCTION("REGEXREPLACE(C28694,""-\d+(.*)|--\d+(.*)"","""")"),"DEUX-VERGES")</f>
        <v>DEUX-VERGES</v>
      </c>
      <c r="E28694" s="38" t="s">
        <v>632</v>
      </c>
      <c r="F28694" s="38" t="s">
        <v>161</v>
      </c>
      <c r="G28694" s="49" t="str">
        <f t="shared" si="1"/>
        <v>15110</v>
      </c>
      <c r="H28694" s="49">
        <f t="shared" si="2"/>
        <v>15060</v>
      </c>
    </row>
    <row r="28695">
      <c r="A28695" s="48" t="s">
        <v>6785</v>
      </c>
      <c r="B28695" s="38">
        <v>27308.0</v>
      </c>
      <c r="C28695" s="38" t="s">
        <v>33132</v>
      </c>
      <c r="D28695" s="38" t="str">
        <f>IFERROR(__xludf.DUMMYFUNCTION("REGEXREPLACE(C28695,""-\d+(.*)|--\d+(.*)"","""")"),"GUITRY")</f>
        <v>GUITRY</v>
      </c>
      <c r="E28695" s="38" t="s">
        <v>241</v>
      </c>
      <c r="F28695" s="38" t="s">
        <v>134</v>
      </c>
      <c r="G28695" s="49" t="str">
        <f t="shared" si="1"/>
        <v>27510</v>
      </c>
      <c r="H28695" s="49">
        <f t="shared" si="2"/>
        <v>27308</v>
      </c>
    </row>
    <row r="28696">
      <c r="A28696" s="48" t="s">
        <v>8969</v>
      </c>
      <c r="B28696" s="38">
        <v>19034.0</v>
      </c>
      <c r="C28696" s="38" t="s">
        <v>33133</v>
      </c>
      <c r="D28696" s="38" t="str">
        <f>IFERROR(__xludf.DUMMYFUNCTION("REGEXREPLACE(C28696,""-\d+(.*)|--\d+(.*)"","""")"),"CAMPS-SAINT-MATHURIN-LEOBAZEL")</f>
        <v>CAMPS-SAINT-MATHURIN-LEOBAZEL</v>
      </c>
      <c r="E28696" s="38" t="s">
        <v>271</v>
      </c>
      <c r="F28696" s="38" t="s">
        <v>98</v>
      </c>
      <c r="G28696" s="49" t="str">
        <f t="shared" si="1"/>
        <v>19430</v>
      </c>
      <c r="H28696" s="49">
        <f t="shared" si="2"/>
        <v>19034</v>
      </c>
    </row>
    <row r="28697">
      <c r="A28697" s="48" t="s">
        <v>1930</v>
      </c>
      <c r="B28697" s="38">
        <v>28393.0</v>
      </c>
      <c r="C28697" s="38" t="s">
        <v>33134</v>
      </c>
      <c r="D28697" s="38" t="str">
        <f>IFERROR(__xludf.DUMMYFUNCTION("REGEXREPLACE(C28697,""-\d+(.*)|--\d+(.*)"","""")"),"TREMBLAY-LES-VILLAGES")</f>
        <v>TREMBLAY-LES-VILLAGES</v>
      </c>
      <c r="E28697" s="38" t="s">
        <v>300</v>
      </c>
      <c r="F28697" s="38" t="s">
        <v>123</v>
      </c>
      <c r="G28697" s="49" t="str">
        <f t="shared" si="1"/>
        <v>28170</v>
      </c>
      <c r="H28697" s="49">
        <f t="shared" si="2"/>
        <v>28393</v>
      </c>
    </row>
    <row r="28698">
      <c r="A28698" s="48" t="s">
        <v>1124</v>
      </c>
      <c r="B28698" s="38">
        <v>61512.0</v>
      </c>
      <c r="C28698" s="38" t="s">
        <v>33135</v>
      </c>
      <c r="D28698" s="38" t="str">
        <f>IFERROR(__xludf.DUMMYFUNCTION("REGEXREPLACE(C28698,""-\d+(.*)|--\d+(.*)"","""")"),"LES YVETEAUX")</f>
        <v>LES YVETEAUX</v>
      </c>
      <c r="E28698" s="38" t="s">
        <v>141</v>
      </c>
      <c r="F28698" s="38" t="s">
        <v>138</v>
      </c>
      <c r="G28698" s="49" t="str">
        <f t="shared" si="1"/>
        <v>61210</v>
      </c>
      <c r="H28698" s="49">
        <f t="shared" si="2"/>
        <v>61512</v>
      </c>
    </row>
    <row r="28699">
      <c r="A28699" s="48" t="s">
        <v>12410</v>
      </c>
      <c r="B28699" s="38">
        <v>66081.0</v>
      </c>
      <c r="C28699" s="38" t="s">
        <v>33136</v>
      </c>
      <c r="D28699" s="38" t="str">
        <f>IFERROR(__xludf.DUMMYFUNCTION("REGEXREPLACE(C28699,""-\d+(.*)|--\d+(.*)"","""")"),"FONTRABIOUSE")</f>
        <v>FONTRABIOUSE</v>
      </c>
      <c r="E28699" s="38" t="s">
        <v>248</v>
      </c>
      <c r="F28699" s="38" t="s">
        <v>119</v>
      </c>
      <c r="G28699" s="49" t="str">
        <f t="shared" si="1"/>
        <v>66210</v>
      </c>
      <c r="H28699" s="49">
        <f t="shared" si="2"/>
        <v>66081</v>
      </c>
    </row>
    <row r="28700">
      <c r="A28700" s="48" t="s">
        <v>10778</v>
      </c>
      <c r="B28700" s="38">
        <v>21496.0</v>
      </c>
      <c r="C28700" s="38" t="s">
        <v>33137</v>
      </c>
      <c r="D28700" s="38" t="str">
        <f>IFERROR(__xludf.DUMMYFUNCTION("REGEXREPLACE(C28700,""-\d+(.*)|--\d+(.*)"","""")"),"PONTAILLER-SUR-SAONE")</f>
        <v>PONTAILLER-SUR-SAONE</v>
      </c>
      <c r="E28700" s="38" t="s">
        <v>105</v>
      </c>
      <c r="F28700" s="38" t="s">
        <v>106</v>
      </c>
      <c r="G28700" s="49" t="str">
        <f t="shared" si="1"/>
        <v>21270</v>
      </c>
      <c r="H28700" s="49">
        <f t="shared" si="2"/>
        <v>21496</v>
      </c>
    </row>
    <row r="28701">
      <c r="A28701" s="48" t="s">
        <v>13619</v>
      </c>
      <c r="B28701" s="38">
        <v>22171.0</v>
      </c>
      <c r="C28701" s="38" t="s">
        <v>33138</v>
      </c>
      <c r="D28701" s="38" t="str">
        <f>IFERROR(__xludf.DUMMYFUNCTION("REGEXREPLACE(C28701,""-\d+(.*)|--\d+(.*)"","""")"),"PLAINTEL")</f>
        <v>PLAINTEL</v>
      </c>
      <c r="E28701" s="38" t="s">
        <v>89</v>
      </c>
      <c r="F28701" s="38" t="s">
        <v>90</v>
      </c>
      <c r="G28701" s="49" t="str">
        <f t="shared" si="1"/>
        <v>22940</v>
      </c>
      <c r="H28701" s="49">
        <f t="shared" si="2"/>
        <v>22171</v>
      </c>
    </row>
    <row r="28702">
      <c r="A28702" s="48" t="s">
        <v>32224</v>
      </c>
      <c r="B28702" s="38">
        <v>59199.0</v>
      </c>
      <c r="C28702" s="38" t="s">
        <v>33139</v>
      </c>
      <c r="D28702" s="38" t="str">
        <f>IFERROR(__xludf.DUMMYFUNCTION("REGEXREPLACE(C28702,""-\d+(.*)|--\d+(.*)"","""")"),"ERCHIN")</f>
        <v>ERCHIN</v>
      </c>
      <c r="E28702" s="38" t="s">
        <v>85</v>
      </c>
      <c r="F28702" s="38" t="s">
        <v>86</v>
      </c>
      <c r="G28702" s="49" t="str">
        <f t="shared" si="1"/>
        <v>59169</v>
      </c>
      <c r="H28702" s="49">
        <f t="shared" si="2"/>
        <v>59199</v>
      </c>
    </row>
    <row r="28703">
      <c r="A28703" s="48" t="s">
        <v>10008</v>
      </c>
      <c r="B28703" s="38">
        <v>36006.0</v>
      </c>
      <c r="C28703" s="38" t="s">
        <v>33140</v>
      </c>
      <c r="D28703" s="38" t="str">
        <f>IFERROR(__xludf.DUMMYFUNCTION("REGEXREPLACE(C28703,""-\d+(.*)|--\d+(.*)"","""")"),"ARGENTON-SUR-CREUSE")</f>
        <v>ARGENTON-SUR-CREUSE</v>
      </c>
      <c r="E28703" s="38" t="s">
        <v>258</v>
      </c>
      <c r="F28703" s="38" t="s">
        <v>123</v>
      </c>
      <c r="G28703" s="49" t="str">
        <f t="shared" si="1"/>
        <v>36200</v>
      </c>
      <c r="H28703" s="49">
        <f t="shared" si="2"/>
        <v>36006</v>
      </c>
    </row>
    <row r="28704">
      <c r="A28704" s="48" t="s">
        <v>8105</v>
      </c>
      <c r="B28704" s="38">
        <v>25463.0</v>
      </c>
      <c r="C28704" s="38" t="s">
        <v>33141</v>
      </c>
      <c r="D28704" s="38" t="str">
        <f>IFERROR(__xludf.DUMMYFUNCTION("REGEXREPLACE(C28704,""-\d+(.*)|--\d+(.*)"","""")"),"PONT-DE-ROIDE")</f>
        <v>PONT-DE-ROIDE</v>
      </c>
      <c r="E28704" s="38" t="s">
        <v>213</v>
      </c>
      <c r="F28704" s="38" t="s">
        <v>214</v>
      </c>
      <c r="G28704" s="49" t="str">
        <f t="shared" si="1"/>
        <v>25150</v>
      </c>
      <c r="H28704" s="49">
        <f t="shared" si="2"/>
        <v>25463</v>
      </c>
    </row>
    <row r="28705">
      <c r="A28705" s="48" t="s">
        <v>9288</v>
      </c>
      <c r="B28705" s="38">
        <v>24183.0</v>
      </c>
      <c r="C28705" s="38" t="s">
        <v>16597</v>
      </c>
      <c r="D28705" s="38" t="str">
        <f>IFERROR(__xludf.DUMMYFUNCTION("REGEXREPLACE(C28705,""-\d+(.*)|--\d+(.*)"","""")"),"FLEURAC")</f>
        <v>FLEURAC</v>
      </c>
      <c r="E28705" s="38" t="s">
        <v>261</v>
      </c>
      <c r="F28705" s="38" t="s">
        <v>252</v>
      </c>
      <c r="G28705" s="49" t="str">
        <f t="shared" si="1"/>
        <v>24580</v>
      </c>
      <c r="H28705" s="49">
        <f t="shared" si="2"/>
        <v>24183</v>
      </c>
    </row>
    <row r="28706">
      <c r="A28706" s="48" t="s">
        <v>7199</v>
      </c>
      <c r="B28706" s="38">
        <v>76434.0</v>
      </c>
      <c r="C28706" s="38" t="s">
        <v>33142</v>
      </c>
      <c r="D28706" s="38" t="str">
        <f>IFERROR(__xludf.DUMMYFUNCTION("REGEXREPLACE(C28706,""-\d+(.*)|--\d+(.*)"","""")"),"MESNIL-RAOUL")</f>
        <v>MESNIL-RAOUL</v>
      </c>
      <c r="E28706" s="38" t="s">
        <v>133</v>
      </c>
      <c r="F28706" s="38" t="s">
        <v>134</v>
      </c>
      <c r="G28706" s="49" t="str">
        <f t="shared" si="1"/>
        <v>76520</v>
      </c>
      <c r="H28706" s="49">
        <f t="shared" si="2"/>
        <v>76434</v>
      </c>
    </row>
    <row r="28707">
      <c r="A28707" s="48" t="s">
        <v>1272</v>
      </c>
      <c r="B28707" s="38">
        <v>51339.0</v>
      </c>
      <c r="C28707" s="38" t="s">
        <v>33143</v>
      </c>
      <c r="D28707" s="38" t="str">
        <f>IFERROR(__xludf.DUMMYFUNCTION("REGEXREPLACE(C28707,""-\d+(.*)|--\d+(.*)"","""")"),"MAIRY-SUR-MARNE")</f>
        <v>MAIRY-SUR-MARNE</v>
      </c>
      <c r="E28707" s="38" t="s">
        <v>129</v>
      </c>
      <c r="F28707" s="38" t="s">
        <v>130</v>
      </c>
      <c r="G28707" s="49" t="str">
        <f t="shared" si="1"/>
        <v>51240</v>
      </c>
      <c r="H28707" s="49">
        <f t="shared" si="2"/>
        <v>51339</v>
      </c>
    </row>
    <row r="28708">
      <c r="A28708" s="48" t="s">
        <v>3603</v>
      </c>
      <c r="B28708" s="38">
        <v>24289.0</v>
      </c>
      <c r="C28708" s="38" t="s">
        <v>33144</v>
      </c>
      <c r="D28708" s="38" t="str">
        <f>IFERROR(__xludf.DUMMYFUNCTION("REGEXREPLACE(C28708,""-\d+(.*)|--\d+(.*)"","""")"),"MONTCARET")</f>
        <v>MONTCARET</v>
      </c>
      <c r="E28708" s="38" t="s">
        <v>261</v>
      </c>
      <c r="F28708" s="38" t="s">
        <v>252</v>
      </c>
      <c r="G28708" s="49" t="str">
        <f t="shared" si="1"/>
        <v>24230</v>
      </c>
      <c r="H28708" s="49">
        <f t="shared" si="2"/>
        <v>24289</v>
      </c>
    </row>
    <row r="28709">
      <c r="A28709" s="48" t="s">
        <v>5218</v>
      </c>
      <c r="B28709" s="38">
        <v>6039.0</v>
      </c>
      <c r="C28709" s="38" t="s">
        <v>33145</v>
      </c>
      <c r="D28709" s="38" t="str">
        <f>IFERROR(__xludf.DUMMYFUNCTION("REGEXREPLACE(C28709,""-\d+(.*)|--\d+(.*)"","""")"),"CHATEAUNEUF-VILLEVIEILLE")</f>
        <v>CHATEAUNEUF-VILLEVIEILLE</v>
      </c>
      <c r="E28709" s="38" t="s">
        <v>227</v>
      </c>
      <c r="F28709" s="38" t="s">
        <v>228</v>
      </c>
      <c r="G28709" s="49" t="str">
        <f t="shared" si="1"/>
        <v>06390</v>
      </c>
      <c r="H28709" s="49" t="str">
        <f t="shared" si="2"/>
        <v>06039</v>
      </c>
    </row>
    <row r="28710">
      <c r="A28710" s="48" t="s">
        <v>1400</v>
      </c>
      <c r="B28710" s="38">
        <v>21533.0</v>
      </c>
      <c r="C28710" s="38" t="s">
        <v>33146</v>
      </c>
      <c r="D28710" s="38" t="str">
        <f>IFERROR(__xludf.DUMMYFUNCTION("REGEXREPLACE(C28710,""-\d+(.*)|--\d+(.*)"","""")"),"ROUVRES-SOUS-MEILLY")</f>
        <v>ROUVRES-SOUS-MEILLY</v>
      </c>
      <c r="E28710" s="38" t="s">
        <v>105</v>
      </c>
      <c r="F28710" s="38" t="s">
        <v>106</v>
      </c>
      <c r="G28710" s="49" t="str">
        <f t="shared" si="1"/>
        <v>21320</v>
      </c>
      <c r="H28710" s="49">
        <f t="shared" si="2"/>
        <v>21533</v>
      </c>
    </row>
    <row r="28711">
      <c r="A28711" s="48" t="s">
        <v>2817</v>
      </c>
      <c r="B28711" s="38">
        <v>64119.0</v>
      </c>
      <c r="C28711" s="38" t="s">
        <v>33147</v>
      </c>
      <c r="D28711" s="38" t="str">
        <f>IFERROR(__xludf.DUMMYFUNCTION("REGEXREPLACE(C28711,""-\d+(.*)|--\d+(.*)"","""")"),"BEUSTE")</f>
        <v>BEUSTE</v>
      </c>
      <c r="E28711" s="38" t="s">
        <v>268</v>
      </c>
      <c r="F28711" s="38" t="s">
        <v>252</v>
      </c>
      <c r="G28711" s="49" t="str">
        <f t="shared" si="1"/>
        <v>64800</v>
      </c>
      <c r="H28711" s="49">
        <f t="shared" si="2"/>
        <v>64119</v>
      </c>
    </row>
    <row r="28712">
      <c r="A28712" s="48" t="s">
        <v>4490</v>
      </c>
      <c r="B28712" s="38">
        <v>6022.0</v>
      </c>
      <c r="C28712" s="38" t="s">
        <v>33148</v>
      </c>
      <c r="D28712" s="38" t="str">
        <f>IFERROR(__xludf.DUMMYFUNCTION("REGEXREPLACE(C28712,""-\d+(.*)|--\d+(.*)"","""")"),"BOUYON")</f>
        <v>BOUYON</v>
      </c>
      <c r="E28712" s="38" t="s">
        <v>227</v>
      </c>
      <c r="F28712" s="38" t="s">
        <v>228</v>
      </c>
      <c r="G28712" s="49" t="str">
        <f t="shared" si="1"/>
        <v>06510</v>
      </c>
      <c r="H28712" s="49" t="str">
        <f t="shared" si="2"/>
        <v>06022</v>
      </c>
    </row>
    <row r="28713">
      <c r="A28713" s="48" t="s">
        <v>8045</v>
      </c>
      <c r="B28713" s="38">
        <v>77208.0</v>
      </c>
      <c r="C28713" s="38" t="s">
        <v>33149</v>
      </c>
      <c r="D28713" s="38" t="str">
        <f>IFERROR(__xludf.DUMMYFUNCTION("REGEXREPLACE(C28713,""-\d+(.*)|--\d+(.*)"","""")"),"GOUAIX")</f>
        <v>GOUAIX</v>
      </c>
      <c r="E28713" s="38" t="s">
        <v>244</v>
      </c>
      <c r="F28713" s="38" t="s">
        <v>245</v>
      </c>
      <c r="G28713" s="49" t="str">
        <f t="shared" si="1"/>
        <v>77114</v>
      </c>
      <c r="H28713" s="49">
        <f t="shared" si="2"/>
        <v>77208</v>
      </c>
    </row>
    <row r="28714">
      <c r="A28714" s="48" t="s">
        <v>3628</v>
      </c>
      <c r="B28714" s="38">
        <v>16099.0</v>
      </c>
      <c r="C28714" s="38" t="s">
        <v>33150</v>
      </c>
      <c r="D28714" s="38" t="str">
        <f>IFERROR(__xludf.DUMMYFUNCTION("REGEXREPLACE(C28714,""-\d+(.*)|--\d+(.*)"","""")"),"CHILLAC")</f>
        <v>CHILLAC</v>
      </c>
      <c r="E28714" s="38" t="s">
        <v>429</v>
      </c>
      <c r="F28714" s="38" t="s">
        <v>338</v>
      </c>
      <c r="G28714" s="49" t="str">
        <f t="shared" si="1"/>
        <v>16480</v>
      </c>
      <c r="H28714" s="49">
        <f t="shared" si="2"/>
        <v>16099</v>
      </c>
    </row>
    <row r="28715">
      <c r="A28715" s="48" t="s">
        <v>7020</v>
      </c>
      <c r="B28715" s="38">
        <v>2151.0</v>
      </c>
      <c r="C28715" s="38" t="s">
        <v>33151</v>
      </c>
      <c r="D28715" s="38" t="str">
        <f>IFERROR(__xludf.DUMMYFUNCTION("REGEXREPLACE(C28715,""-\d+(.*)|--\d+(.*)"","""")"),"CERNY-LES-BUCY")</f>
        <v>CERNY-LES-BUCY</v>
      </c>
      <c r="E28715" s="38" t="s">
        <v>191</v>
      </c>
      <c r="F28715" s="38" t="s">
        <v>113</v>
      </c>
      <c r="G28715" s="49" t="str">
        <f t="shared" si="1"/>
        <v>02870</v>
      </c>
      <c r="H28715" s="49" t="str">
        <f t="shared" si="2"/>
        <v>02151</v>
      </c>
    </row>
    <row r="28716">
      <c r="A28716" s="48" t="s">
        <v>966</v>
      </c>
      <c r="B28716" s="38">
        <v>70408.0</v>
      </c>
      <c r="C28716" s="38" t="s">
        <v>33152</v>
      </c>
      <c r="D28716" s="38" t="str">
        <f>IFERROR(__xludf.DUMMYFUNCTION("REGEXREPLACE(C28716,""-\d+(.*)|--\d+(.*)"","""")"),"PESMES")</f>
        <v>PESMES</v>
      </c>
      <c r="E28716" s="38" t="s">
        <v>956</v>
      </c>
      <c r="F28716" s="38" t="s">
        <v>214</v>
      </c>
      <c r="G28716" s="49" t="str">
        <f t="shared" si="1"/>
        <v>70140</v>
      </c>
      <c r="H28716" s="49">
        <f t="shared" si="2"/>
        <v>70408</v>
      </c>
    </row>
    <row r="28717">
      <c r="A28717" s="48" t="s">
        <v>33153</v>
      </c>
      <c r="B28717" s="38">
        <v>94028.0</v>
      </c>
      <c r="C28717" s="38" t="s">
        <v>33154</v>
      </c>
      <c r="D28717" s="38" t="str">
        <f>IFERROR(__xludf.DUMMYFUNCTION("REGEXREPLACE(C28717,""-\d+(.*)|--\d+(.*)"","""")"),"CRETEIL")</f>
        <v>CRETEIL</v>
      </c>
      <c r="E28717" s="38" t="s">
        <v>561</v>
      </c>
      <c r="F28717" s="38" t="s">
        <v>245</v>
      </c>
      <c r="G28717" s="49" t="str">
        <f t="shared" si="1"/>
        <v>94000</v>
      </c>
      <c r="H28717" s="49">
        <f t="shared" si="2"/>
        <v>94028</v>
      </c>
    </row>
    <row r="28718">
      <c r="A28718" s="48" t="s">
        <v>5461</v>
      </c>
      <c r="B28718" s="38">
        <v>86177.0</v>
      </c>
      <c r="C28718" s="38" t="s">
        <v>33155</v>
      </c>
      <c r="D28718" s="38" t="str">
        <f>IFERROR(__xludf.DUMMYFUNCTION("REGEXREPLACE(C28718,""-\d+(.*)|--\d+(.*)"","""")"),"NEUVILLE-DE-POITOU")</f>
        <v>NEUVILLE-DE-POITOU</v>
      </c>
      <c r="E28718" s="38" t="s">
        <v>529</v>
      </c>
      <c r="F28718" s="38" t="s">
        <v>338</v>
      </c>
      <c r="G28718" s="49" t="str">
        <f t="shared" si="1"/>
        <v>86170</v>
      </c>
      <c r="H28718" s="49">
        <f t="shared" si="2"/>
        <v>86177</v>
      </c>
    </row>
    <row r="28719">
      <c r="A28719" s="48" t="s">
        <v>5302</v>
      </c>
      <c r="B28719" s="38">
        <v>14296.0</v>
      </c>
      <c r="C28719" s="38" t="s">
        <v>33156</v>
      </c>
      <c r="D28719" s="38" t="str">
        <f>IFERROR(__xludf.DUMMYFUNCTION("REGEXREPLACE(C28719,""-\d+(.*)|--\d+(.*)"","""")"),"LE GAST")</f>
        <v>LE GAST</v>
      </c>
      <c r="E28719" s="38" t="s">
        <v>137</v>
      </c>
      <c r="F28719" s="38" t="s">
        <v>138</v>
      </c>
      <c r="G28719" s="49" t="str">
        <f t="shared" si="1"/>
        <v>14380</v>
      </c>
      <c r="H28719" s="49">
        <f t="shared" si="2"/>
        <v>14296</v>
      </c>
    </row>
    <row r="28720">
      <c r="A28720" s="48" t="s">
        <v>2170</v>
      </c>
      <c r="B28720" s="38">
        <v>80552.0</v>
      </c>
      <c r="C28720" s="38" t="s">
        <v>33157</v>
      </c>
      <c r="D28720" s="38" t="str">
        <f>IFERROR(__xludf.DUMMYFUNCTION("REGEXREPLACE(C28720,""-\d+(.*)|--\d+(.*)"","""")"),"MOISLAINS")</f>
        <v>MOISLAINS</v>
      </c>
      <c r="E28720" s="38" t="s">
        <v>224</v>
      </c>
      <c r="F28720" s="38" t="s">
        <v>113</v>
      </c>
      <c r="G28720" s="49" t="str">
        <f t="shared" si="1"/>
        <v>80200</v>
      </c>
      <c r="H28720" s="49">
        <f t="shared" si="2"/>
        <v>80552</v>
      </c>
    </row>
    <row r="28721">
      <c r="A28721" s="48" t="s">
        <v>8889</v>
      </c>
      <c r="B28721" s="38">
        <v>32400.0</v>
      </c>
      <c r="C28721" s="38" t="s">
        <v>33158</v>
      </c>
      <c r="D28721" s="38" t="str">
        <f>IFERROR(__xludf.DUMMYFUNCTION("REGEXREPLACE(C28721,""-\d+(.*)|--\d+(.*)"","""")"),"SAINT-ORENS-POUY-PETIT")</f>
        <v>SAINT-ORENS-POUY-PETIT</v>
      </c>
      <c r="E28721" s="38" t="s">
        <v>440</v>
      </c>
      <c r="F28721" s="38" t="s">
        <v>94</v>
      </c>
      <c r="G28721" s="49" t="str">
        <f t="shared" si="1"/>
        <v>32100</v>
      </c>
      <c r="H28721" s="49">
        <f t="shared" si="2"/>
        <v>32400</v>
      </c>
    </row>
    <row r="28722">
      <c r="A28722" s="48" t="s">
        <v>18092</v>
      </c>
      <c r="B28722" s="38">
        <v>87195.0</v>
      </c>
      <c r="C28722" s="38" t="s">
        <v>33159</v>
      </c>
      <c r="D28722" s="38" t="str">
        <f>IFERROR(__xludf.DUMMYFUNCTION("REGEXREPLACE(C28722,""-\d+(.*)|--\d+(.*)"","""")"),"TERSANNES")</f>
        <v>TERSANNES</v>
      </c>
      <c r="E28722" s="38" t="s">
        <v>897</v>
      </c>
      <c r="F28722" s="38" t="s">
        <v>98</v>
      </c>
      <c r="G28722" s="49" t="str">
        <f t="shared" si="1"/>
        <v>87360</v>
      </c>
      <c r="H28722" s="49">
        <f t="shared" si="2"/>
        <v>87195</v>
      </c>
    </row>
    <row r="28723">
      <c r="A28723" s="48" t="s">
        <v>443</v>
      </c>
      <c r="B28723" s="38">
        <v>24434.0</v>
      </c>
      <c r="C28723" s="38" t="s">
        <v>13965</v>
      </c>
      <c r="D28723" s="38" t="str">
        <f>IFERROR(__xludf.DUMMYFUNCTION("REGEXREPLACE(C28723,""-\d+(.*)|--\d+(.*)"","""")"),"SAINT-JUST")</f>
        <v>SAINT-JUST</v>
      </c>
      <c r="E28723" s="38" t="s">
        <v>261</v>
      </c>
      <c r="F28723" s="38" t="s">
        <v>252</v>
      </c>
      <c r="G28723" s="49" t="str">
        <f t="shared" si="1"/>
        <v>24320</v>
      </c>
      <c r="H28723" s="49">
        <f t="shared" si="2"/>
        <v>24434</v>
      </c>
    </row>
    <row r="28724">
      <c r="A28724" s="48" t="s">
        <v>3662</v>
      </c>
      <c r="B28724" s="38">
        <v>80354.0</v>
      </c>
      <c r="C28724" s="38" t="s">
        <v>33160</v>
      </c>
      <c r="D28724" s="38" t="str">
        <f>IFERROR(__xludf.DUMMYFUNCTION("REGEXREPLACE(C28724,""-\d+(.*)|--\d+(.*)"","""")"),"FRESNES-TILLOLOY")</f>
        <v>FRESNES-TILLOLOY</v>
      </c>
      <c r="E28724" s="38" t="s">
        <v>224</v>
      </c>
      <c r="F28724" s="38" t="s">
        <v>113</v>
      </c>
      <c r="G28724" s="49" t="str">
        <f t="shared" si="1"/>
        <v>80140</v>
      </c>
      <c r="H28724" s="49">
        <f t="shared" si="2"/>
        <v>80354</v>
      </c>
    </row>
    <row r="28725">
      <c r="A28725" s="48" t="s">
        <v>2763</v>
      </c>
      <c r="B28725" s="38">
        <v>47129.0</v>
      </c>
      <c r="C28725" s="38" t="s">
        <v>20060</v>
      </c>
      <c r="D28725" s="38" t="str">
        <f>IFERROR(__xludf.DUMMYFUNCTION("REGEXREPLACE(C28725,""-\d+(.*)|--\d+(.*)"","""")"),"LAGARRIGUE")</f>
        <v>LAGARRIGUE</v>
      </c>
      <c r="E28725" s="38" t="s">
        <v>251</v>
      </c>
      <c r="F28725" s="38" t="s">
        <v>252</v>
      </c>
      <c r="G28725" s="49" t="str">
        <f t="shared" si="1"/>
        <v>47190</v>
      </c>
      <c r="H28725" s="49">
        <f t="shared" si="2"/>
        <v>47129</v>
      </c>
    </row>
    <row r="28726">
      <c r="A28726" s="48" t="s">
        <v>33161</v>
      </c>
      <c r="B28726" s="38">
        <v>97424.0</v>
      </c>
      <c r="C28726" s="38" t="s">
        <v>33162</v>
      </c>
      <c r="D28726" s="38" t="str">
        <f>IFERROR(__xludf.DUMMYFUNCTION("REGEXREPLACE(C28726,""-\d+(.*)|--\d+(.*)"","""")"),"CILAOS")</f>
        <v>CILAOS</v>
      </c>
      <c r="E28726" s="38" t="s">
        <v>7739</v>
      </c>
      <c r="F28726" s="38" t="s">
        <v>7739</v>
      </c>
      <c r="G28726" s="49" t="str">
        <f t="shared" si="1"/>
        <v>97413</v>
      </c>
      <c r="H28726" s="49">
        <f t="shared" si="2"/>
        <v>97424</v>
      </c>
    </row>
    <row r="28727">
      <c r="A28727" s="48" t="s">
        <v>25129</v>
      </c>
      <c r="B28727" s="38">
        <v>77057.0</v>
      </c>
      <c r="C28727" s="38" t="s">
        <v>5387</v>
      </c>
      <c r="D28727" s="38" t="str">
        <f>IFERROR(__xludf.DUMMYFUNCTION("REGEXREPLACE(C28727,""-\d+(.*)|--\d+(.*)"","""")"),"BUSSIERES")</f>
        <v>BUSSIERES</v>
      </c>
      <c r="E28727" s="38" t="s">
        <v>244</v>
      </c>
      <c r="F28727" s="38" t="s">
        <v>245</v>
      </c>
      <c r="G28727" s="49" t="str">
        <f t="shared" si="1"/>
        <v>77750</v>
      </c>
      <c r="H28727" s="49">
        <f t="shared" si="2"/>
        <v>77057</v>
      </c>
    </row>
    <row r="28728">
      <c r="A28728" s="48" t="s">
        <v>8806</v>
      </c>
      <c r="B28728" s="38">
        <v>5043.0</v>
      </c>
      <c r="C28728" s="38" t="s">
        <v>33163</v>
      </c>
      <c r="D28728" s="38" t="str">
        <f>IFERROR(__xludf.DUMMYFUNCTION("REGEXREPLACE(C28728,""-\d+(.*)|--\d+(.*)"","""")"),"LES COSTES")</f>
        <v>LES COSTES</v>
      </c>
      <c r="E28728" s="38" t="s">
        <v>706</v>
      </c>
      <c r="F28728" s="38" t="s">
        <v>228</v>
      </c>
      <c r="G28728" s="49" t="str">
        <f t="shared" si="1"/>
        <v>05500</v>
      </c>
      <c r="H28728" s="49" t="str">
        <f t="shared" si="2"/>
        <v>05043</v>
      </c>
    </row>
    <row r="28729">
      <c r="A28729" s="48" t="s">
        <v>7829</v>
      </c>
      <c r="B28729" s="38">
        <v>89061.0</v>
      </c>
      <c r="C28729" s="38" t="s">
        <v>33164</v>
      </c>
      <c r="D28729" s="38" t="str">
        <f>IFERROR(__xludf.DUMMYFUNCTION("REGEXREPLACE(C28729,""-\d+(.*)|--\d+(.*)"","""")"),"BUTTEAUX")</f>
        <v>BUTTEAUX</v>
      </c>
      <c r="E28729" s="38" t="s">
        <v>275</v>
      </c>
      <c r="F28729" s="38" t="s">
        <v>106</v>
      </c>
      <c r="G28729" s="49" t="str">
        <f t="shared" si="1"/>
        <v>89360</v>
      </c>
      <c r="H28729" s="49">
        <f t="shared" si="2"/>
        <v>89061</v>
      </c>
    </row>
    <row r="28730">
      <c r="A28730" s="48" t="s">
        <v>10868</v>
      </c>
      <c r="B28730" s="38">
        <v>84136.0</v>
      </c>
      <c r="C28730" s="38" t="s">
        <v>33165</v>
      </c>
      <c r="D28730" s="38" t="str">
        <f>IFERROR(__xludf.DUMMYFUNCTION("REGEXREPLACE(C28730,""-\d+(.*)|--\d+(.*)"","""")"),"VACQUEYRAS")</f>
        <v>VACQUEYRAS</v>
      </c>
      <c r="E28730" s="38" t="s">
        <v>1026</v>
      </c>
      <c r="F28730" s="38" t="s">
        <v>228</v>
      </c>
      <c r="G28730" s="49" t="str">
        <f t="shared" si="1"/>
        <v>84190</v>
      </c>
      <c r="H28730" s="49">
        <f t="shared" si="2"/>
        <v>84136</v>
      </c>
    </row>
    <row r="28731">
      <c r="A28731" s="48" t="s">
        <v>2431</v>
      </c>
      <c r="B28731" s="38">
        <v>27406.0</v>
      </c>
      <c r="C28731" s="38" t="s">
        <v>33166</v>
      </c>
      <c r="D28731" s="38" t="str">
        <f>IFERROR(__xludf.DUMMYFUNCTION("REGEXREPLACE(C28731,""-\d+(.*)|--\d+(.*)"","""")"),"MESNIL-SUR-L'ESTREE")</f>
        <v>MESNIL-SUR-L'ESTREE</v>
      </c>
      <c r="E28731" s="38" t="s">
        <v>241</v>
      </c>
      <c r="F28731" s="38" t="s">
        <v>134</v>
      </c>
      <c r="G28731" s="49" t="str">
        <f t="shared" si="1"/>
        <v>27650</v>
      </c>
      <c r="H28731" s="49">
        <f t="shared" si="2"/>
        <v>27406</v>
      </c>
    </row>
    <row r="28732">
      <c r="A28732" s="48" t="s">
        <v>1726</v>
      </c>
      <c r="B28732" s="38">
        <v>14538.0</v>
      </c>
      <c r="C28732" s="38" t="s">
        <v>33167</v>
      </c>
      <c r="D28732" s="38" t="str">
        <f>IFERROR(__xludf.DUMMYFUNCTION("REGEXREPLACE(C28732,""-\d+(.*)|--\d+(.*)"","""")"),"ROCQUANCOURT")</f>
        <v>ROCQUANCOURT</v>
      </c>
      <c r="E28732" s="38" t="s">
        <v>137</v>
      </c>
      <c r="F28732" s="38" t="s">
        <v>138</v>
      </c>
      <c r="G28732" s="49" t="str">
        <f t="shared" si="1"/>
        <v>14540</v>
      </c>
      <c r="H28732" s="49">
        <f t="shared" si="2"/>
        <v>14538</v>
      </c>
    </row>
    <row r="28733">
      <c r="A28733" s="48" t="s">
        <v>15154</v>
      </c>
      <c r="B28733" s="38">
        <v>21408.0</v>
      </c>
      <c r="C28733" s="38" t="s">
        <v>33168</v>
      </c>
      <c r="D28733" s="38" t="str">
        <f>IFERROR(__xludf.DUMMYFUNCTION("REGEXREPLACE(C28733,""-\d+(.*)|--\d+(.*)"","""")"),"MESSIGNY-ET-VANTOUX")</f>
        <v>MESSIGNY-ET-VANTOUX</v>
      </c>
      <c r="E28733" s="38" t="s">
        <v>105</v>
      </c>
      <c r="F28733" s="38" t="s">
        <v>106</v>
      </c>
      <c r="G28733" s="49" t="str">
        <f t="shared" si="1"/>
        <v>21380</v>
      </c>
      <c r="H28733" s="49">
        <f t="shared" si="2"/>
        <v>21408</v>
      </c>
    </row>
    <row r="28734">
      <c r="A28734" s="48" t="s">
        <v>33169</v>
      </c>
      <c r="B28734" s="38">
        <v>42330.0</v>
      </c>
      <c r="C28734" s="38" t="s">
        <v>12657</v>
      </c>
      <c r="D28734" s="38" t="str">
        <f>IFERROR(__xludf.DUMMYFUNCTION("REGEXREPLACE(C28734,""-\d+(.*)|--\d+(.*)"","""")"),"VILLARS")</f>
        <v>VILLARS</v>
      </c>
      <c r="E28734" s="38" t="s">
        <v>166</v>
      </c>
      <c r="F28734" s="38" t="s">
        <v>102</v>
      </c>
      <c r="G28734" s="49" t="str">
        <f t="shared" si="1"/>
        <v>42390</v>
      </c>
      <c r="H28734" s="49">
        <f t="shared" si="2"/>
        <v>42330</v>
      </c>
    </row>
    <row r="28735">
      <c r="A28735" s="48" t="s">
        <v>1031</v>
      </c>
      <c r="B28735" s="38">
        <v>2499.0</v>
      </c>
      <c r="C28735" s="38" t="s">
        <v>33170</v>
      </c>
      <c r="D28735" s="38" t="str">
        <f>IFERROR(__xludf.DUMMYFUNCTION("REGEXREPLACE(C28735,""-\d+(.*)|--\d+(.*)"","""")"),"MONTBAVIN")</f>
        <v>MONTBAVIN</v>
      </c>
      <c r="E28735" s="38" t="s">
        <v>191</v>
      </c>
      <c r="F28735" s="38" t="s">
        <v>113</v>
      </c>
      <c r="G28735" s="49" t="str">
        <f t="shared" si="1"/>
        <v>02000</v>
      </c>
      <c r="H28735" s="49" t="str">
        <f t="shared" si="2"/>
        <v>02499</v>
      </c>
    </row>
    <row r="28736">
      <c r="A28736" s="48" t="s">
        <v>8267</v>
      </c>
      <c r="B28736" s="38">
        <v>22177.0</v>
      </c>
      <c r="C28736" s="38" t="s">
        <v>33171</v>
      </c>
      <c r="D28736" s="38" t="str">
        <f>IFERROR(__xludf.DUMMYFUNCTION("REGEXREPLACE(C28736,""-\d+(.*)|--\d+(.*)"","""")"),"PLEGUIEN")</f>
        <v>PLEGUIEN</v>
      </c>
      <c r="E28736" s="38" t="s">
        <v>89</v>
      </c>
      <c r="F28736" s="38" t="s">
        <v>90</v>
      </c>
      <c r="G28736" s="49" t="str">
        <f t="shared" si="1"/>
        <v>22290</v>
      </c>
      <c r="H28736" s="49">
        <f t="shared" si="2"/>
        <v>22177</v>
      </c>
    </row>
    <row r="28737">
      <c r="A28737" s="48" t="s">
        <v>2547</v>
      </c>
      <c r="B28737" s="38">
        <v>8246.0</v>
      </c>
      <c r="C28737" s="38" t="s">
        <v>33172</v>
      </c>
      <c r="D28737" s="38" t="str">
        <f>IFERROR(__xludf.DUMMYFUNCTION("REGEXREPLACE(C28737,""-\d+(.*)|--\d+(.*)"","""")"),"LANDRES-ET-SAINT-GEORGES")</f>
        <v>LANDRES-ET-SAINT-GEORGES</v>
      </c>
      <c r="E28737" s="38" t="s">
        <v>327</v>
      </c>
      <c r="F28737" s="38" t="s">
        <v>130</v>
      </c>
      <c r="G28737" s="49" t="str">
        <f t="shared" si="1"/>
        <v>08240</v>
      </c>
      <c r="H28737" s="49" t="str">
        <f t="shared" si="2"/>
        <v>08246</v>
      </c>
    </row>
    <row r="28738">
      <c r="A28738" s="48" t="s">
        <v>3502</v>
      </c>
      <c r="B28738" s="38">
        <v>22041.0</v>
      </c>
      <c r="C28738" s="38" t="s">
        <v>33173</v>
      </c>
      <c r="D28738" s="38" t="str">
        <f>IFERROR(__xludf.DUMMYFUNCTION("REGEXREPLACE(C28738,""-\d+(.*)|--\d+(.*)"","""")"),"COATASCORN")</f>
        <v>COATASCORN</v>
      </c>
      <c r="E28738" s="38" t="s">
        <v>89</v>
      </c>
      <c r="F28738" s="38" t="s">
        <v>90</v>
      </c>
      <c r="G28738" s="49" t="str">
        <f t="shared" si="1"/>
        <v>22140</v>
      </c>
      <c r="H28738" s="49">
        <f t="shared" si="2"/>
        <v>22041</v>
      </c>
    </row>
    <row r="28739">
      <c r="A28739" s="48" t="s">
        <v>5772</v>
      </c>
      <c r="B28739" s="38">
        <v>43031.0</v>
      </c>
      <c r="C28739" s="38" t="s">
        <v>33174</v>
      </c>
      <c r="D28739" s="38" t="str">
        <f>IFERROR(__xludf.DUMMYFUNCTION("REGEXREPLACE(C28739,""-\d+(.*)|--\d+(.*)"","""")"),"BLASSAC")</f>
        <v>BLASSAC</v>
      </c>
      <c r="E28739" s="38" t="s">
        <v>332</v>
      </c>
      <c r="F28739" s="38" t="s">
        <v>161</v>
      </c>
      <c r="G28739" s="49" t="str">
        <f t="shared" si="1"/>
        <v>43380</v>
      </c>
      <c r="H28739" s="49">
        <f t="shared" si="2"/>
        <v>43031</v>
      </c>
    </row>
    <row r="28740">
      <c r="A28740" s="48" t="s">
        <v>2298</v>
      </c>
      <c r="B28740" s="38">
        <v>85178.0</v>
      </c>
      <c r="C28740" s="38" t="s">
        <v>33175</v>
      </c>
      <c r="D28740" s="38" t="str">
        <f>IFERROR(__xludf.DUMMYFUNCTION("REGEXREPLACE(C28740,""-\d+(.*)|--\d+(.*)"","""")"),"LE POIRE-SUR-VIE")</f>
        <v>LE POIRE-SUR-VIE</v>
      </c>
      <c r="E28740" s="38" t="s">
        <v>179</v>
      </c>
      <c r="F28740" s="38" t="s">
        <v>180</v>
      </c>
      <c r="G28740" s="49" t="str">
        <f t="shared" si="1"/>
        <v>85170</v>
      </c>
      <c r="H28740" s="49">
        <f t="shared" si="2"/>
        <v>85178</v>
      </c>
    </row>
    <row r="28741">
      <c r="A28741" s="48" t="s">
        <v>8845</v>
      </c>
      <c r="B28741" s="38">
        <v>8476.0</v>
      </c>
      <c r="C28741" s="38" t="s">
        <v>33176</v>
      </c>
      <c r="D28741" s="38" t="str">
        <f>IFERROR(__xludf.DUMMYFUNCTION("REGEXREPLACE(C28741,""-\d+(.*)|--\d+(.*)"","""")"),"VILLERS-DEVANT-LE-THOUR")</f>
        <v>VILLERS-DEVANT-LE-THOUR</v>
      </c>
      <c r="E28741" s="38" t="s">
        <v>327</v>
      </c>
      <c r="F28741" s="38" t="s">
        <v>130</v>
      </c>
      <c r="G28741" s="49" t="str">
        <f t="shared" si="1"/>
        <v>08190</v>
      </c>
      <c r="H28741" s="49" t="str">
        <f t="shared" si="2"/>
        <v>08476</v>
      </c>
    </row>
    <row r="28742">
      <c r="A28742" s="48" t="s">
        <v>4245</v>
      </c>
      <c r="B28742" s="38">
        <v>50633.0</v>
      </c>
      <c r="C28742" s="38" t="s">
        <v>33177</v>
      </c>
      <c r="D28742" s="38" t="str">
        <f>IFERROR(__xludf.DUMMYFUNCTION("REGEXREPLACE(C28742,""-\d+(.*)|--\d+(.*)"","""")"),"LE VICEL")</f>
        <v>LE VICEL</v>
      </c>
      <c r="E28742" s="38" t="s">
        <v>157</v>
      </c>
      <c r="F28742" s="38" t="s">
        <v>138</v>
      </c>
      <c r="G28742" s="49" t="str">
        <f t="shared" si="1"/>
        <v>50760</v>
      </c>
      <c r="H28742" s="49">
        <f t="shared" si="2"/>
        <v>50633</v>
      </c>
    </row>
    <row r="28743">
      <c r="A28743" s="48" t="s">
        <v>10530</v>
      </c>
      <c r="B28743" s="38">
        <v>60330.0</v>
      </c>
      <c r="C28743" s="38" t="s">
        <v>33178</v>
      </c>
      <c r="D28743" s="38" t="str">
        <f>IFERROR(__xludf.DUMMYFUNCTION("REGEXREPLACE(C28743,""-\d+(.*)|--\d+(.*)"","""")"),"LABOISSIERE-EN-THELLE")</f>
        <v>LABOISSIERE-EN-THELLE</v>
      </c>
      <c r="E28743" s="38" t="s">
        <v>112</v>
      </c>
      <c r="F28743" s="38" t="s">
        <v>113</v>
      </c>
      <c r="G28743" s="49" t="str">
        <f t="shared" si="1"/>
        <v>60570</v>
      </c>
      <c r="H28743" s="49">
        <f t="shared" si="2"/>
        <v>60330</v>
      </c>
    </row>
    <row r="28744">
      <c r="A28744" s="48" t="s">
        <v>5012</v>
      </c>
      <c r="B28744" s="38">
        <v>55257.0</v>
      </c>
      <c r="C28744" s="38" t="s">
        <v>33179</v>
      </c>
      <c r="D28744" s="38" t="str">
        <f>IFERROR(__xludf.DUMMYFUNCTION("REGEXREPLACE(C28744,""-\d+(.*)|--\d+(.*)"","""")"),"JOUY-EN-ARGONNE")</f>
        <v>JOUY-EN-ARGONNE</v>
      </c>
      <c r="E28744" s="38" t="s">
        <v>322</v>
      </c>
      <c r="F28744" s="38" t="s">
        <v>195</v>
      </c>
      <c r="G28744" s="49" t="str">
        <f t="shared" si="1"/>
        <v>55120</v>
      </c>
      <c r="H28744" s="49">
        <f t="shared" si="2"/>
        <v>55257</v>
      </c>
    </row>
    <row r="28745">
      <c r="A28745" s="48" t="s">
        <v>934</v>
      </c>
      <c r="B28745" s="38">
        <v>49127.0</v>
      </c>
      <c r="C28745" s="38" t="s">
        <v>33180</v>
      </c>
      <c r="D28745" s="38" t="str">
        <f>IFERROR(__xludf.DUMMYFUNCTION("REGEXREPLACE(C28745,""-\d+(.*)|--\d+(.*)"","""")"),"DURTAL")</f>
        <v>DURTAL</v>
      </c>
      <c r="E28745" s="38" t="s">
        <v>653</v>
      </c>
      <c r="F28745" s="38" t="s">
        <v>180</v>
      </c>
      <c r="G28745" s="49" t="str">
        <f t="shared" si="1"/>
        <v>49430</v>
      </c>
      <c r="H28745" s="49">
        <f t="shared" si="2"/>
        <v>49127</v>
      </c>
    </row>
    <row r="28746">
      <c r="A28746" s="48" t="s">
        <v>33181</v>
      </c>
      <c r="B28746" s="38">
        <v>83027.0</v>
      </c>
      <c r="C28746" s="38" t="s">
        <v>33182</v>
      </c>
      <c r="D28746" s="38" t="str">
        <f>IFERROR(__xludf.DUMMYFUNCTION("REGEXREPLACE(C28746,""-\d+(.*)|--\d+(.*)"","""")"),"LA CADIERE-D'AZUR")</f>
        <v>LA CADIERE-D'AZUR</v>
      </c>
      <c r="E28746" s="38" t="s">
        <v>813</v>
      </c>
      <c r="F28746" s="38" t="s">
        <v>228</v>
      </c>
      <c r="G28746" s="49" t="str">
        <f t="shared" si="1"/>
        <v>83740</v>
      </c>
      <c r="H28746" s="49">
        <f t="shared" si="2"/>
        <v>83027</v>
      </c>
    </row>
    <row r="28747">
      <c r="A28747" s="48" t="s">
        <v>4088</v>
      </c>
      <c r="B28747" s="38">
        <v>39156.0</v>
      </c>
      <c r="C28747" s="38" t="s">
        <v>33183</v>
      </c>
      <c r="D28747" s="38" t="str">
        <f>IFERROR(__xludf.DUMMYFUNCTION("REGEXREPLACE(C28747,""-\d+(.*)|--\d+(.*)"","""")"),"COGNA")</f>
        <v>COGNA</v>
      </c>
      <c r="E28747" s="38" t="s">
        <v>400</v>
      </c>
      <c r="F28747" s="38" t="s">
        <v>214</v>
      </c>
      <c r="G28747" s="49" t="str">
        <f t="shared" si="1"/>
        <v>39130</v>
      </c>
      <c r="H28747" s="49">
        <f t="shared" si="2"/>
        <v>39156</v>
      </c>
    </row>
    <row r="28748">
      <c r="A28748" s="48" t="s">
        <v>4308</v>
      </c>
      <c r="B28748" s="38" t="s">
        <v>33184</v>
      </c>
      <c r="C28748" s="38" t="s">
        <v>33185</v>
      </c>
      <c r="D28748" s="38" t="str">
        <f>IFERROR(__xludf.DUMMYFUNCTION("REGEXREPLACE(C28748,""-\d+(.*)|--\d+(.*)"","""")"),"MAZZOLA")</f>
        <v>MAZZOLA</v>
      </c>
      <c r="E28748" s="38" t="s">
        <v>743</v>
      </c>
      <c r="F28748" s="38" t="s">
        <v>607</v>
      </c>
      <c r="G28748" s="49" t="str">
        <f t="shared" si="1"/>
        <v>20212</v>
      </c>
      <c r="H28748" s="49" t="str">
        <f t="shared" si="2"/>
        <v>2B157</v>
      </c>
    </row>
    <row r="28749">
      <c r="A28749" s="48" t="s">
        <v>5250</v>
      </c>
      <c r="B28749" s="38">
        <v>27631.0</v>
      </c>
      <c r="C28749" s="38" t="s">
        <v>33186</v>
      </c>
      <c r="D28749" s="38" t="str">
        <f>IFERROR(__xludf.DUMMYFUNCTION("REGEXREPLACE(C28749,""-\d+(.*)|--\d+(.*)"","""")"),"THIERVILLE")</f>
        <v>THIERVILLE</v>
      </c>
      <c r="E28749" s="38" t="s">
        <v>241</v>
      </c>
      <c r="F28749" s="38" t="s">
        <v>134</v>
      </c>
      <c r="G28749" s="49" t="str">
        <f t="shared" si="1"/>
        <v>27290</v>
      </c>
      <c r="H28749" s="49">
        <f t="shared" si="2"/>
        <v>27631</v>
      </c>
    </row>
    <row r="28750">
      <c r="A28750" s="48" t="s">
        <v>28149</v>
      </c>
      <c r="B28750" s="38">
        <v>15142.0</v>
      </c>
      <c r="C28750" s="38" t="s">
        <v>33187</v>
      </c>
      <c r="D28750" s="38" t="str">
        <f>IFERROR(__xludf.DUMMYFUNCTION("REGEXREPLACE(C28750,""-\d+(.*)|--\d+(.*)"","""")"),"NEUVEGLISE")</f>
        <v>NEUVEGLISE</v>
      </c>
      <c r="E28750" s="38" t="s">
        <v>632</v>
      </c>
      <c r="F28750" s="38" t="s">
        <v>161</v>
      </c>
      <c r="G28750" s="49" t="str">
        <f t="shared" si="1"/>
        <v>15260</v>
      </c>
      <c r="H28750" s="49">
        <f t="shared" si="2"/>
        <v>15142</v>
      </c>
    </row>
    <row r="28751">
      <c r="A28751" s="48" t="s">
        <v>8202</v>
      </c>
      <c r="B28751" s="38">
        <v>42273.0</v>
      </c>
      <c r="C28751" s="38" t="s">
        <v>33188</v>
      </c>
      <c r="D28751" s="38" t="str">
        <f>IFERROR(__xludf.DUMMYFUNCTION("REGEXREPLACE(C28751,""-\d+(.*)|--\d+(.*)"","""")"),"SAINT-PIERRE-LA-NOAILLE")</f>
        <v>SAINT-PIERRE-LA-NOAILLE</v>
      </c>
      <c r="E28751" s="38" t="s">
        <v>166</v>
      </c>
      <c r="F28751" s="38" t="s">
        <v>102</v>
      </c>
      <c r="G28751" s="49" t="str">
        <f t="shared" si="1"/>
        <v>42190</v>
      </c>
      <c r="H28751" s="49">
        <f t="shared" si="2"/>
        <v>42273</v>
      </c>
    </row>
    <row r="28752">
      <c r="A28752" s="48" t="s">
        <v>12481</v>
      </c>
      <c r="B28752" s="38">
        <v>88415.0</v>
      </c>
      <c r="C28752" s="38" t="s">
        <v>33189</v>
      </c>
      <c r="D28752" s="38" t="str">
        <f>IFERROR(__xludf.DUMMYFUNCTION("REGEXREPLACE(C28752,""-\d+(.*)|--\d+(.*)"","""")"),"SAINT-ETIENNE-LES-REMIREMONT")</f>
        <v>SAINT-ETIENNE-LES-REMIREMONT</v>
      </c>
      <c r="E28752" s="38" t="s">
        <v>194</v>
      </c>
      <c r="F28752" s="38" t="s">
        <v>195</v>
      </c>
      <c r="G28752" s="49" t="str">
        <f t="shared" si="1"/>
        <v>88200</v>
      </c>
      <c r="H28752" s="49">
        <f t="shared" si="2"/>
        <v>88415</v>
      </c>
    </row>
    <row r="28753">
      <c r="A28753" s="48" t="s">
        <v>17500</v>
      </c>
      <c r="B28753" s="38">
        <v>9268.0</v>
      </c>
      <c r="C28753" s="38" t="s">
        <v>33190</v>
      </c>
      <c r="D28753" s="38" t="str">
        <f>IFERROR(__xludf.DUMMYFUNCTION("REGEXREPLACE(C28753,""-\d+(.*)|--\d+(.*)"","""")"),"SAINT-LIZIER")</f>
        <v>SAINT-LIZIER</v>
      </c>
      <c r="E28753" s="38" t="s">
        <v>238</v>
      </c>
      <c r="F28753" s="38" t="s">
        <v>94</v>
      </c>
      <c r="G28753" s="49" t="str">
        <f t="shared" si="1"/>
        <v>09190</v>
      </c>
      <c r="H28753" s="49" t="str">
        <f t="shared" si="2"/>
        <v>09268</v>
      </c>
    </row>
    <row r="28754">
      <c r="A28754" s="48" t="s">
        <v>2937</v>
      </c>
      <c r="B28754" s="38">
        <v>73205.0</v>
      </c>
      <c r="C28754" s="38" t="s">
        <v>5705</v>
      </c>
      <c r="D28754" s="38" t="str">
        <f>IFERROR(__xludf.DUMMYFUNCTION("REGEXREPLACE(C28754,""-\d+(.*)|--\d+(.*)"","""")"),"LE PONTET")</f>
        <v>LE PONTET</v>
      </c>
      <c r="E28754" s="38" t="s">
        <v>306</v>
      </c>
      <c r="F28754" s="38" t="s">
        <v>102</v>
      </c>
      <c r="G28754" s="49" t="str">
        <f t="shared" si="1"/>
        <v>73110</v>
      </c>
      <c r="H28754" s="49">
        <f t="shared" si="2"/>
        <v>73205</v>
      </c>
    </row>
    <row r="28755">
      <c r="A28755" s="48" t="s">
        <v>3743</v>
      </c>
      <c r="B28755" s="38">
        <v>27228.0</v>
      </c>
      <c r="C28755" s="38" t="s">
        <v>33191</v>
      </c>
      <c r="D28755" s="38" t="str">
        <f>IFERROR(__xludf.DUMMYFUNCTION("REGEXREPLACE(C28755,""-\d+(.*)|--\d+(.*)"","""")"),"ETURQUERAYE")</f>
        <v>ETURQUERAYE</v>
      </c>
      <c r="E28755" s="38" t="s">
        <v>241</v>
      </c>
      <c r="F28755" s="38" t="s">
        <v>134</v>
      </c>
      <c r="G28755" s="49" t="str">
        <f t="shared" si="1"/>
        <v>27350</v>
      </c>
      <c r="H28755" s="49">
        <f t="shared" si="2"/>
        <v>27228</v>
      </c>
    </row>
    <row r="28756">
      <c r="A28756" s="48" t="s">
        <v>12642</v>
      </c>
      <c r="B28756" s="38">
        <v>50438.0</v>
      </c>
      <c r="C28756" s="38" t="s">
        <v>33192</v>
      </c>
      <c r="D28756" s="38" t="str">
        <f>IFERROR(__xludf.DUMMYFUNCTION("REGEXREPLACE(C28756,""-\d+(.*)|--\d+(.*)"","""")"),"LA RONDE-HAYE")</f>
        <v>LA RONDE-HAYE</v>
      </c>
      <c r="E28756" s="38" t="s">
        <v>157</v>
      </c>
      <c r="F28756" s="38" t="s">
        <v>138</v>
      </c>
      <c r="G28756" s="49" t="str">
        <f t="shared" si="1"/>
        <v>50490</v>
      </c>
      <c r="H28756" s="49">
        <f t="shared" si="2"/>
        <v>50438</v>
      </c>
    </row>
    <row r="28757">
      <c r="A28757" s="48" t="s">
        <v>33193</v>
      </c>
      <c r="B28757" s="38">
        <v>13079.0</v>
      </c>
      <c r="C28757" s="38" t="s">
        <v>33194</v>
      </c>
      <c r="D28757" s="38" t="str">
        <f>IFERROR(__xludf.DUMMYFUNCTION("REGEXREPLACE(C28757,""-\d+(.*)|--\d+(.*)"","""")"),"PUYLOUBIER")</f>
        <v>PUYLOUBIER</v>
      </c>
      <c r="E28757" s="38" t="s">
        <v>980</v>
      </c>
      <c r="F28757" s="38" t="s">
        <v>228</v>
      </c>
      <c r="G28757" s="49" t="str">
        <f t="shared" si="1"/>
        <v>13114</v>
      </c>
      <c r="H28757" s="49">
        <f t="shared" si="2"/>
        <v>13079</v>
      </c>
    </row>
    <row r="28758">
      <c r="A28758" s="48" t="s">
        <v>10348</v>
      </c>
      <c r="B28758" s="38">
        <v>61162.0</v>
      </c>
      <c r="C28758" s="38" t="s">
        <v>33195</v>
      </c>
      <c r="D28758" s="38" t="str">
        <f>IFERROR(__xludf.DUMMYFUNCTION("REGEXREPLACE(C28758,""-\d+(.*)|--\d+(.*)"","""")"),"LA FERRIERE-AU-DOYEN")</f>
        <v>LA FERRIERE-AU-DOYEN</v>
      </c>
      <c r="E28758" s="38" t="s">
        <v>141</v>
      </c>
      <c r="F28758" s="38" t="s">
        <v>138</v>
      </c>
      <c r="G28758" s="49" t="str">
        <f t="shared" si="1"/>
        <v>61380</v>
      </c>
      <c r="H28758" s="49">
        <f t="shared" si="2"/>
        <v>61162</v>
      </c>
    </row>
    <row r="28759">
      <c r="A28759" s="48" t="s">
        <v>3118</v>
      </c>
      <c r="B28759" s="38">
        <v>46210.0</v>
      </c>
      <c r="C28759" s="38" t="s">
        <v>33196</v>
      </c>
      <c r="D28759" s="38" t="str">
        <f>IFERROR(__xludf.DUMMYFUNCTION("REGEXREPLACE(C28759,""-\d+(.*)|--\d+(.*)"","""")"),"NADILLAC")</f>
        <v>NADILLAC</v>
      </c>
      <c r="E28759" s="38" t="s">
        <v>185</v>
      </c>
      <c r="F28759" s="38" t="s">
        <v>94</v>
      </c>
      <c r="G28759" s="49" t="str">
        <f t="shared" si="1"/>
        <v>46360</v>
      </c>
      <c r="H28759" s="49">
        <f t="shared" si="2"/>
        <v>46210</v>
      </c>
    </row>
    <row r="28760">
      <c r="A28760" s="48" t="s">
        <v>3763</v>
      </c>
      <c r="B28760" s="38">
        <v>76066.0</v>
      </c>
      <c r="C28760" s="38" t="s">
        <v>33197</v>
      </c>
      <c r="D28760" s="38" t="str">
        <f>IFERROR(__xludf.DUMMYFUNCTION("REGEXREPLACE(C28760,""-\d+(.*)|--\d+(.*)"","""")"),"BEAUTOT")</f>
        <v>BEAUTOT</v>
      </c>
      <c r="E28760" s="38" t="s">
        <v>133</v>
      </c>
      <c r="F28760" s="38" t="s">
        <v>134</v>
      </c>
      <c r="G28760" s="49" t="str">
        <f t="shared" si="1"/>
        <v>76890</v>
      </c>
      <c r="H28760" s="49">
        <f t="shared" si="2"/>
        <v>76066</v>
      </c>
    </row>
    <row r="28761">
      <c r="A28761" s="48" t="s">
        <v>33198</v>
      </c>
      <c r="B28761" s="38">
        <v>63075.0</v>
      </c>
      <c r="C28761" s="38" t="s">
        <v>33199</v>
      </c>
      <c r="D28761" s="38" t="str">
        <f>IFERROR(__xludf.DUMMYFUNCTION("REGEXREPLACE(C28761,""-\d+(.*)|--\d+(.*)"","""")"),"CHAMALIERES")</f>
        <v>CHAMALIERES</v>
      </c>
      <c r="E28761" s="38" t="s">
        <v>353</v>
      </c>
      <c r="F28761" s="38" t="s">
        <v>161</v>
      </c>
      <c r="G28761" s="49" t="str">
        <f t="shared" si="1"/>
        <v>63400</v>
      </c>
      <c r="H28761" s="49">
        <f t="shared" si="2"/>
        <v>63075</v>
      </c>
    </row>
    <row r="28762">
      <c r="A28762" s="48" t="s">
        <v>425</v>
      </c>
      <c r="B28762" s="38">
        <v>88240.0</v>
      </c>
      <c r="C28762" s="38" t="s">
        <v>33200</v>
      </c>
      <c r="D28762" s="38" t="str">
        <f>IFERROR(__xludf.DUMMYFUNCTION("REGEXREPLACE(C28762,""-\d+(.*)|--\d+(.*)"","""")"),"HERPELMONT")</f>
        <v>HERPELMONT</v>
      </c>
      <c r="E28762" s="38" t="s">
        <v>194</v>
      </c>
      <c r="F28762" s="38" t="s">
        <v>195</v>
      </c>
      <c r="G28762" s="49" t="str">
        <f t="shared" si="1"/>
        <v>88600</v>
      </c>
      <c r="H28762" s="49">
        <f t="shared" si="2"/>
        <v>88240</v>
      </c>
    </row>
    <row r="28763">
      <c r="A28763" s="48" t="s">
        <v>8831</v>
      </c>
      <c r="B28763" s="38">
        <v>15080.0</v>
      </c>
      <c r="C28763" s="38" t="s">
        <v>33201</v>
      </c>
      <c r="D28763" s="38" t="str">
        <f>IFERROR(__xludf.DUMMYFUNCTION("REGEXREPLACE(C28763,""-\d+(.*)|--\d+(.*)"","""")"),"JOURSAC")</f>
        <v>JOURSAC</v>
      </c>
      <c r="E28763" s="38" t="s">
        <v>632</v>
      </c>
      <c r="F28763" s="38" t="s">
        <v>161</v>
      </c>
      <c r="G28763" s="49" t="str">
        <f t="shared" si="1"/>
        <v>15170</v>
      </c>
      <c r="H28763" s="49">
        <f t="shared" si="2"/>
        <v>15080</v>
      </c>
    </row>
    <row r="28764">
      <c r="A28764" s="48" t="s">
        <v>9781</v>
      </c>
      <c r="B28764" s="38">
        <v>19192.0</v>
      </c>
      <c r="C28764" s="38" t="s">
        <v>29797</v>
      </c>
      <c r="D28764" s="38" t="str">
        <f>IFERROR(__xludf.DUMMYFUNCTION("REGEXREPLACE(C28764,""-\d+(.*)|--\d+(.*)"","""")"),"SAINT-CHAMANT")</f>
        <v>SAINT-CHAMANT</v>
      </c>
      <c r="E28764" s="38" t="s">
        <v>271</v>
      </c>
      <c r="F28764" s="38" t="s">
        <v>98</v>
      </c>
      <c r="G28764" s="49" t="str">
        <f t="shared" si="1"/>
        <v>19380</v>
      </c>
      <c r="H28764" s="49">
        <f t="shared" si="2"/>
        <v>19192</v>
      </c>
    </row>
    <row r="28765">
      <c r="A28765" s="48" t="s">
        <v>4176</v>
      </c>
      <c r="B28765" s="38">
        <v>41276.0</v>
      </c>
      <c r="C28765" s="38" t="s">
        <v>33202</v>
      </c>
      <c r="D28765" s="38" t="str">
        <f>IFERROR(__xludf.DUMMYFUNCTION("REGEXREPLACE(C28765,""-\d+(.*)|--\d+(.*)"","""")"),"VILLEBAROU")</f>
        <v>VILLEBAROU</v>
      </c>
      <c r="E28765" s="38" t="s">
        <v>188</v>
      </c>
      <c r="F28765" s="38" t="s">
        <v>123</v>
      </c>
      <c r="G28765" s="49" t="str">
        <f t="shared" si="1"/>
        <v>41000</v>
      </c>
      <c r="H28765" s="49">
        <f t="shared" si="2"/>
        <v>41276</v>
      </c>
    </row>
    <row r="28766">
      <c r="A28766" s="48" t="s">
        <v>8120</v>
      </c>
      <c r="B28766" s="38">
        <v>61503.0</v>
      </c>
      <c r="C28766" s="38" t="s">
        <v>33203</v>
      </c>
      <c r="D28766" s="38" t="str">
        <f>IFERROR(__xludf.DUMMYFUNCTION("REGEXREPLACE(C28766,""-\d+(.*)|--\d+(.*)"","""")"),"VIEUX-PONT")</f>
        <v>VIEUX-PONT</v>
      </c>
      <c r="E28766" s="38" t="s">
        <v>141</v>
      </c>
      <c r="F28766" s="38" t="s">
        <v>138</v>
      </c>
      <c r="G28766" s="49" t="str">
        <f t="shared" si="1"/>
        <v>61150</v>
      </c>
      <c r="H28766" s="49">
        <f t="shared" si="2"/>
        <v>61503</v>
      </c>
    </row>
    <row r="28767">
      <c r="A28767" s="48" t="s">
        <v>7799</v>
      </c>
      <c r="B28767" s="38">
        <v>7146.0</v>
      </c>
      <c r="C28767" s="38" t="s">
        <v>33204</v>
      </c>
      <c r="D28767" s="38" t="str">
        <f>IFERROR(__xludf.DUMMYFUNCTION("REGEXREPLACE(C28767,""-\d+(.*)|--\d+(.*)"","""")"),"LYAS")</f>
        <v>LYAS</v>
      </c>
      <c r="E28767" s="38" t="s">
        <v>144</v>
      </c>
      <c r="F28767" s="38" t="s">
        <v>102</v>
      </c>
      <c r="G28767" s="49" t="str">
        <f t="shared" si="1"/>
        <v>07000</v>
      </c>
      <c r="H28767" s="49" t="str">
        <f t="shared" si="2"/>
        <v>07146</v>
      </c>
    </row>
    <row r="28768">
      <c r="A28768" s="48" t="s">
        <v>13807</v>
      </c>
      <c r="B28768" s="38">
        <v>38507.0</v>
      </c>
      <c r="C28768" s="38" t="s">
        <v>33205</v>
      </c>
      <c r="D28768" s="38" t="str">
        <f>IFERROR(__xludf.DUMMYFUNCTION("REGEXREPLACE(C28768,""-\d+(.*)|--\d+(.*)"","""")"),"TIGNIEU-JAMEYZIEU")</f>
        <v>TIGNIEU-JAMEYZIEU</v>
      </c>
      <c r="E28768" s="38" t="s">
        <v>101</v>
      </c>
      <c r="F28768" s="38" t="s">
        <v>102</v>
      </c>
      <c r="G28768" s="49" t="str">
        <f t="shared" si="1"/>
        <v>38230</v>
      </c>
      <c r="H28768" s="49">
        <f t="shared" si="2"/>
        <v>38507</v>
      </c>
    </row>
    <row r="28769">
      <c r="A28769" s="48" t="s">
        <v>10227</v>
      </c>
      <c r="B28769" s="38">
        <v>16421.0</v>
      </c>
      <c r="C28769" s="38" t="s">
        <v>33206</v>
      </c>
      <c r="D28769" s="38" t="str">
        <f>IFERROR(__xludf.DUMMYFUNCTION("REGEXREPLACE(C28769,""-\d+(.*)|--\d+(.*)"","""")"),"VOUTHON")</f>
        <v>VOUTHON</v>
      </c>
      <c r="E28769" s="38" t="s">
        <v>429</v>
      </c>
      <c r="F28769" s="38" t="s">
        <v>338</v>
      </c>
      <c r="G28769" s="49" t="str">
        <f t="shared" si="1"/>
        <v>16220</v>
      </c>
      <c r="H28769" s="49">
        <f t="shared" si="2"/>
        <v>16421</v>
      </c>
    </row>
    <row r="28770">
      <c r="A28770" s="48" t="s">
        <v>12639</v>
      </c>
      <c r="B28770" s="38">
        <v>81320.0</v>
      </c>
      <c r="C28770" s="38" t="s">
        <v>33207</v>
      </c>
      <c r="D28770" s="38" t="str">
        <f>IFERROR(__xludf.DUMMYFUNCTION("REGEXREPLACE(C28770,""-\d+(.*)|--\d+(.*)"","""")"),"VINDRAC-ALAYRAC")</f>
        <v>VINDRAC-ALAYRAC</v>
      </c>
      <c r="E28770" s="38" t="s">
        <v>231</v>
      </c>
      <c r="F28770" s="38" t="s">
        <v>94</v>
      </c>
      <c r="G28770" s="49" t="str">
        <f t="shared" si="1"/>
        <v>81170</v>
      </c>
      <c r="H28770" s="49">
        <f t="shared" si="2"/>
        <v>81320</v>
      </c>
    </row>
    <row r="28771">
      <c r="A28771" s="48" t="s">
        <v>5166</v>
      </c>
      <c r="B28771" s="38">
        <v>26300.0</v>
      </c>
      <c r="C28771" s="38" t="s">
        <v>33208</v>
      </c>
      <c r="D28771" s="38" t="str">
        <f>IFERROR(__xludf.DUMMYFUNCTION("REGEXREPLACE(C28771,""-\d+(.*)|--\d+(.*)"","""")"),"SAINT-DIZIER-EN-DIOIS")</f>
        <v>SAINT-DIZIER-EN-DIOIS</v>
      </c>
      <c r="E28771" s="38" t="s">
        <v>126</v>
      </c>
      <c r="F28771" s="38" t="s">
        <v>102</v>
      </c>
      <c r="G28771" s="49" t="str">
        <f t="shared" si="1"/>
        <v>26310</v>
      </c>
      <c r="H28771" s="49">
        <f t="shared" si="2"/>
        <v>26300</v>
      </c>
    </row>
    <row r="28772">
      <c r="A28772" s="48" t="s">
        <v>5631</v>
      </c>
      <c r="B28772" s="38">
        <v>76170.0</v>
      </c>
      <c r="C28772" s="38" t="s">
        <v>33209</v>
      </c>
      <c r="D28772" s="38" t="str">
        <f>IFERROR(__xludf.DUMMYFUNCTION("REGEXREPLACE(C28772,""-\d+(.*)|--\d+(.*)"","""")"),"LA CHAPELLE-DU-BOURGAY")</f>
        <v>LA CHAPELLE-DU-BOURGAY</v>
      </c>
      <c r="E28772" s="38" t="s">
        <v>133</v>
      </c>
      <c r="F28772" s="38" t="s">
        <v>134</v>
      </c>
      <c r="G28772" s="49" t="str">
        <f t="shared" si="1"/>
        <v>76590</v>
      </c>
      <c r="H28772" s="49">
        <f t="shared" si="2"/>
        <v>76170</v>
      </c>
    </row>
    <row r="28773">
      <c r="A28773" s="48" t="s">
        <v>2697</v>
      </c>
      <c r="B28773" s="38">
        <v>61101.0</v>
      </c>
      <c r="C28773" s="38" t="s">
        <v>33210</v>
      </c>
      <c r="D28773" s="38" t="str">
        <f>IFERROR(__xludf.DUMMYFUNCTION("REGEXREPLACE(C28773,""-\d+(.*)|--\d+(.*)"","""")"),"LE CHATEAU-D'ALMENECHES")</f>
        <v>LE CHATEAU-D'ALMENECHES</v>
      </c>
      <c r="E28773" s="38" t="s">
        <v>141</v>
      </c>
      <c r="F28773" s="38" t="s">
        <v>138</v>
      </c>
      <c r="G28773" s="49" t="str">
        <f t="shared" si="1"/>
        <v>61570</v>
      </c>
      <c r="H28773" s="49">
        <f t="shared" si="2"/>
        <v>61101</v>
      </c>
    </row>
    <row r="28774">
      <c r="A28774" s="48" t="s">
        <v>8698</v>
      </c>
      <c r="B28774" s="38">
        <v>11249.0</v>
      </c>
      <c r="C28774" s="38" t="s">
        <v>33211</v>
      </c>
      <c r="D28774" s="38" t="str">
        <f>IFERROR(__xludf.DUMMYFUNCTION("REGEXREPLACE(C28774,""-\d+(.*)|--\d+(.*)"","""")"),"MONTJARDIN")</f>
        <v>MONTJARDIN</v>
      </c>
      <c r="E28774" s="38" t="s">
        <v>278</v>
      </c>
      <c r="F28774" s="38" t="s">
        <v>119</v>
      </c>
      <c r="G28774" s="49" t="str">
        <f t="shared" si="1"/>
        <v>11230</v>
      </c>
      <c r="H28774" s="49">
        <f t="shared" si="2"/>
        <v>11249</v>
      </c>
    </row>
    <row r="28775">
      <c r="A28775" s="48" t="s">
        <v>6858</v>
      </c>
      <c r="B28775" s="38">
        <v>71112.0</v>
      </c>
      <c r="C28775" s="38" t="s">
        <v>33212</v>
      </c>
      <c r="D28775" s="38" t="str">
        <f>IFERROR(__xludf.DUMMYFUNCTION("REGEXREPLACE(C28775,""-\d+(.*)|--\d+(.*)"","""")"),"CHATEAU")</f>
        <v>CHATEAU</v>
      </c>
      <c r="E28775" s="38" t="s">
        <v>344</v>
      </c>
      <c r="F28775" s="38" t="s">
        <v>106</v>
      </c>
      <c r="G28775" s="49" t="str">
        <f t="shared" si="1"/>
        <v>71250</v>
      </c>
      <c r="H28775" s="49">
        <f t="shared" si="2"/>
        <v>71112</v>
      </c>
    </row>
    <row r="28776">
      <c r="A28776" s="48" t="s">
        <v>1118</v>
      </c>
      <c r="B28776" s="38">
        <v>50548.0</v>
      </c>
      <c r="C28776" s="38" t="s">
        <v>33213</v>
      </c>
      <c r="D28776" s="38" t="str">
        <f>IFERROR(__xludf.DUMMYFUNCTION("REGEXREPLACE(C28776,""-\d+(.*)|--\d+(.*)"","""")"),"SAINT-SAUVEUR-DE-PIERREPONT")</f>
        <v>SAINT-SAUVEUR-DE-PIERREPONT</v>
      </c>
      <c r="E28776" s="38" t="s">
        <v>157</v>
      </c>
      <c r="F28776" s="38" t="s">
        <v>138</v>
      </c>
      <c r="G28776" s="49" t="str">
        <f t="shared" si="1"/>
        <v>50250</v>
      </c>
      <c r="H28776" s="49">
        <f t="shared" si="2"/>
        <v>50548</v>
      </c>
    </row>
    <row r="28777">
      <c r="A28777" s="48" t="s">
        <v>3190</v>
      </c>
      <c r="B28777" s="38">
        <v>70481.0</v>
      </c>
      <c r="C28777" s="38" t="s">
        <v>33214</v>
      </c>
      <c r="D28777" s="38" t="str">
        <f>IFERROR(__xludf.DUMMYFUNCTION("REGEXREPLACE(C28777,""-\d+(.*)|--\d+(.*)"","""")"),"SAVOYEUX")</f>
        <v>SAVOYEUX</v>
      </c>
      <c r="E28777" s="38" t="s">
        <v>956</v>
      </c>
      <c r="F28777" s="38" t="s">
        <v>214</v>
      </c>
      <c r="G28777" s="49" t="str">
        <f t="shared" si="1"/>
        <v>70130</v>
      </c>
      <c r="H28777" s="49">
        <f t="shared" si="2"/>
        <v>70481</v>
      </c>
    </row>
    <row r="28778">
      <c r="A28778" s="48" t="s">
        <v>239</v>
      </c>
      <c r="B28778" s="38">
        <v>27658.0</v>
      </c>
      <c r="C28778" s="38" t="s">
        <v>33215</v>
      </c>
      <c r="D28778" s="38" t="str">
        <f>IFERROR(__xludf.DUMMYFUNCTION("REGEXREPLACE(C28778,""-\d+(.*)|--\d+(.*)"","""")"),"LE TREMBLAY-OMONVILLE")</f>
        <v>LE TREMBLAY-OMONVILLE</v>
      </c>
      <c r="E28778" s="38" t="s">
        <v>241</v>
      </c>
      <c r="F28778" s="38" t="s">
        <v>134</v>
      </c>
      <c r="G28778" s="49" t="str">
        <f t="shared" si="1"/>
        <v>27110</v>
      </c>
      <c r="H28778" s="49">
        <f t="shared" si="2"/>
        <v>27658</v>
      </c>
    </row>
    <row r="28779">
      <c r="A28779" s="48" t="s">
        <v>2773</v>
      </c>
      <c r="B28779" s="38">
        <v>21258.0</v>
      </c>
      <c r="C28779" s="38" t="s">
        <v>33216</v>
      </c>
      <c r="D28779" s="38" t="str">
        <f>IFERROR(__xludf.DUMMYFUNCTION("REGEXREPLACE(C28779,""-\d+(.*)|--\d+(.*)"","""")"),"ETROCHEY")</f>
        <v>ETROCHEY</v>
      </c>
      <c r="E28779" s="38" t="s">
        <v>105</v>
      </c>
      <c r="F28779" s="38" t="s">
        <v>106</v>
      </c>
      <c r="G28779" s="49" t="str">
        <f t="shared" si="1"/>
        <v>21400</v>
      </c>
      <c r="H28779" s="49">
        <f t="shared" si="2"/>
        <v>21258</v>
      </c>
    </row>
    <row r="28780">
      <c r="A28780" s="48" t="s">
        <v>1991</v>
      </c>
      <c r="B28780" s="38">
        <v>54166.0</v>
      </c>
      <c r="C28780" s="38" t="s">
        <v>33217</v>
      </c>
      <c r="D28780" s="38" t="str">
        <f>IFERROR(__xludf.DUMMYFUNCTION("REGEXREPLACE(C28780,""-\d+(.*)|--\d+(.*)"","""")"),"DOMMARTIN-LA-CHAUSSEE")</f>
        <v>DOMMARTIN-LA-CHAUSSEE</v>
      </c>
      <c r="E28780" s="38" t="s">
        <v>548</v>
      </c>
      <c r="F28780" s="38" t="s">
        <v>195</v>
      </c>
      <c r="G28780" s="49" t="str">
        <f t="shared" si="1"/>
        <v>54470</v>
      </c>
      <c r="H28780" s="49">
        <f t="shared" si="2"/>
        <v>54166</v>
      </c>
    </row>
    <row r="28781">
      <c r="A28781" s="48" t="s">
        <v>8669</v>
      </c>
      <c r="B28781" s="38">
        <v>50641.0</v>
      </c>
      <c r="C28781" s="38" t="s">
        <v>33218</v>
      </c>
      <c r="D28781" s="38" t="str">
        <f>IFERROR(__xludf.DUMMYFUNCTION("REGEXREPLACE(C28781,""-\d+(.*)|--\d+(.*)"","""")"),"VILLIERS-FOSSARD")</f>
        <v>VILLIERS-FOSSARD</v>
      </c>
      <c r="E28781" s="38" t="s">
        <v>157</v>
      </c>
      <c r="F28781" s="38" t="s">
        <v>138</v>
      </c>
      <c r="G28781" s="49" t="str">
        <f t="shared" si="1"/>
        <v>50680</v>
      </c>
      <c r="H28781" s="49">
        <f t="shared" si="2"/>
        <v>50641</v>
      </c>
    </row>
    <row r="28782">
      <c r="A28782" s="48" t="s">
        <v>17192</v>
      </c>
      <c r="B28782" s="38">
        <v>35250.0</v>
      </c>
      <c r="C28782" s="38" t="s">
        <v>21779</v>
      </c>
      <c r="D28782" s="38" t="str">
        <f>IFERROR(__xludf.DUMMYFUNCTION("REGEXREPLACE(C28782,""-\d+(.*)|--\d+(.*)"","""")"),"SAINT-ARMEL")</f>
        <v>SAINT-ARMEL</v>
      </c>
      <c r="E28782" s="38" t="s">
        <v>347</v>
      </c>
      <c r="F28782" s="38" t="s">
        <v>90</v>
      </c>
      <c r="G28782" s="49" t="str">
        <f t="shared" si="1"/>
        <v>35230</v>
      </c>
      <c r="H28782" s="49">
        <f t="shared" si="2"/>
        <v>35250</v>
      </c>
    </row>
    <row r="28783">
      <c r="A28783" s="48" t="s">
        <v>5223</v>
      </c>
      <c r="B28783" s="38">
        <v>65085.0</v>
      </c>
      <c r="C28783" s="38" t="s">
        <v>33219</v>
      </c>
      <c r="D28783" s="38" t="str">
        <f>IFERROR(__xludf.DUMMYFUNCTION("REGEXREPLACE(C28783,""-\d+(.*)|--\d+(.*)"","""")"),"BERNADETS-DEBAT")</f>
        <v>BERNADETS-DEBAT</v>
      </c>
      <c r="E28783" s="38" t="s">
        <v>200</v>
      </c>
      <c r="F28783" s="38" t="s">
        <v>94</v>
      </c>
      <c r="G28783" s="49" t="str">
        <f t="shared" si="1"/>
        <v>65220</v>
      </c>
      <c r="H28783" s="49">
        <f t="shared" si="2"/>
        <v>65085</v>
      </c>
    </row>
    <row r="28784">
      <c r="A28784" s="48" t="s">
        <v>2482</v>
      </c>
      <c r="B28784" s="38">
        <v>28280.0</v>
      </c>
      <c r="C28784" s="38" t="s">
        <v>33220</v>
      </c>
      <c r="D28784" s="38" t="str">
        <f>IFERROR(__xludf.DUMMYFUNCTION("REGEXREPLACE(C28784,""-\d+(.*)|--\d+(.*)"","""")"),"NOGENT-LE-ROTROU")</f>
        <v>NOGENT-LE-ROTROU</v>
      </c>
      <c r="E28784" s="38" t="s">
        <v>300</v>
      </c>
      <c r="F28784" s="38" t="s">
        <v>123</v>
      </c>
      <c r="G28784" s="49" t="str">
        <f t="shared" si="1"/>
        <v>28400</v>
      </c>
      <c r="H28784" s="49">
        <f t="shared" si="2"/>
        <v>28280</v>
      </c>
    </row>
    <row r="28785">
      <c r="A28785" s="48" t="s">
        <v>15308</v>
      </c>
      <c r="B28785" s="38">
        <v>69013.0</v>
      </c>
      <c r="C28785" s="38" t="s">
        <v>33221</v>
      </c>
      <c r="D28785" s="38" t="str">
        <f>IFERROR(__xludf.DUMMYFUNCTION("REGEXREPLACE(C28785,""-\d+(.*)|--\d+(.*)"","""")"),"ARNAS")</f>
        <v>ARNAS</v>
      </c>
      <c r="E28785" s="38" t="s">
        <v>350</v>
      </c>
      <c r="F28785" s="38" t="s">
        <v>102</v>
      </c>
      <c r="G28785" s="49" t="str">
        <f t="shared" si="1"/>
        <v>69400</v>
      </c>
      <c r="H28785" s="49">
        <f t="shared" si="2"/>
        <v>69013</v>
      </c>
    </row>
    <row r="28786">
      <c r="A28786" s="48" t="s">
        <v>5702</v>
      </c>
      <c r="B28786" s="38">
        <v>26067.0</v>
      </c>
      <c r="C28786" s="38" t="s">
        <v>33222</v>
      </c>
      <c r="D28786" s="38" t="str">
        <f>IFERROR(__xludf.DUMMYFUNCTION("REGEXREPLACE(C28786,""-\d+(.*)|--\d+(.*)"","""")"),"CHALANCON")</f>
        <v>CHALANCON</v>
      </c>
      <c r="E28786" s="38" t="s">
        <v>126</v>
      </c>
      <c r="F28786" s="38" t="s">
        <v>102</v>
      </c>
      <c r="G28786" s="49" t="str">
        <f t="shared" si="1"/>
        <v>26470</v>
      </c>
      <c r="H28786" s="49">
        <f t="shared" si="2"/>
        <v>26067</v>
      </c>
    </row>
    <row r="28787">
      <c r="A28787" s="48" t="s">
        <v>25030</v>
      </c>
      <c r="B28787" s="38">
        <v>80160.0</v>
      </c>
      <c r="C28787" s="38" t="s">
        <v>8389</v>
      </c>
      <c r="D28787" s="38" t="str">
        <f>IFERROR(__xludf.DUMMYFUNCTION("REGEXREPLACE(C28787,""-\d+(.*)|--\d+(.*)"","""")"),"CAGNY")</f>
        <v>CAGNY</v>
      </c>
      <c r="E28787" s="38" t="s">
        <v>224</v>
      </c>
      <c r="F28787" s="38" t="s">
        <v>113</v>
      </c>
      <c r="G28787" s="49" t="str">
        <f t="shared" si="1"/>
        <v>80330</v>
      </c>
      <c r="H28787" s="49">
        <f t="shared" si="2"/>
        <v>80160</v>
      </c>
    </row>
    <row r="28788">
      <c r="A28788" s="48" t="s">
        <v>18094</v>
      </c>
      <c r="B28788" s="38">
        <v>59056.0</v>
      </c>
      <c r="C28788" s="38" t="s">
        <v>33223</v>
      </c>
      <c r="D28788" s="38" t="str">
        <f>IFERROR(__xludf.DUMMYFUNCTION("REGEXREPLACE(C28788,""-\d+(.*)|--\d+(.*)"","""")"),"BEAUCAMPS-LIGNY")</f>
        <v>BEAUCAMPS-LIGNY</v>
      </c>
      <c r="E28788" s="38" t="s">
        <v>85</v>
      </c>
      <c r="F28788" s="38" t="s">
        <v>86</v>
      </c>
      <c r="G28788" s="49" t="str">
        <f t="shared" si="1"/>
        <v>59134</v>
      </c>
      <c r="H28788" s="49">
        <f t="shared" si="2"/>
        <v>59056</v>
      </c>
    </row>
    <row r="28789">
      <c r="A28789" s="48" t="s">
        <v>33224</v>
      </c>
      <c r="B28789" s="38">
        <v>59564.0</v>
      </c>
      <c r="C28789" s="38" t="s">
        <v>33225</v>
      </c>
      <c r="D28789" s="38" t="str">
        <f>IFERROR(__xludf.DUMMYFUNCTION("REGEXREPLACE(C28789,""-\d+(.*)|--\d+(.*)"","""")"),"LA SENTINELLE")</f>
        <v>LA SENTINELLE</v>
      </c>
      <c r="E28789" s="38" t="s">
        <v>85</v>
      </c>
      <c r="F28789" s="38" t="s">
        <v>86</v>
      </c>
      <c r="G28789" s="49" t="str">
        <f t="shared" si="1"/>
        <v>59174</v>
      </c>
      <c r="H28789" s="49">
        <f t="shared" si="2"/>
        <v>59564</v>
      </c>
    </row>
    <row r="28790">
      <c r="A28790" s="48" t="s">
        <v>2560</v>
      </c>
      <c r="B28790" s="38">
        <v>73030.0</v>
      </c>
      <c r="C28790" s="38" t="s">
        <v>28608</v>
      </c>
      <c r="D28790" s="38" t="str">
        <f>IFERROR(__xludf.DUMMYFUNCTION("REGEXREPLACE(C28790,""-\d+(.*)|--\d+(.*)"","""")"),"BARBY")</f>
        <v>BARBY</v>
      </c>
      <c r="E28790" s="38" t="s">
        <v>306</v>
      </c>
      <c r="F28790" s="38" t="s">
        <v>102</v>
      </c>
      <c r="G28790" s="49" t="str">
        <f t="shared" si="1"/>
        <v>73230</v>
      </c>
      <c r="H28790" s="49">
        <f t="shared" si="2"/>
        <v>73030</v>
      </c>
    </row>
    <row r="28791">
      <c r="A28791" s="48" t="s">
        <v>7712</v>
      </c>
      <c r="B28791" s="38">
        <v>9264.0</v>
      </c>
      <c r="C28791" s="38" t="s">
        <v>33226</v>
      </c>
      <c r="D28791" s="38" t="str">
        <f>IFERROR(__xludf.DUMMYFUNCTION("REGEXREPLACE(C28791,""-\d+(.*)|--\d+(.*)"","""")"),"SAINT-JEAN-DE-VERGES")</f>
        <v>SAINT-JEAN-DE-VERGES</v>
      </c>
      <c r="E28791" s="38" t="s">
        <v>238</v>
      </c>
      <c r="F28791" s="38" t="s">
        <v>94</v>
      </c>
      <c r="G28791" s="49" t="str">
        <f t="shared" si="1"/>
        <v>09000</v>
      </c>
      <c r="H28791" s="49" t="str">
        <f t="shared" si="2"/>
        <v>09264</v>
      </c>
    </row>
    <row r="28792">
      <c r="A28792" s="48" t="s">
        <v>2447</v>
      </c>
      <c r="B28792" s="38">
        <v>42173.0</v>
      </c>
      <c r="C28792" s="38" t="s">
        <v>18105</v>
      </c>
      <c r="D28792" s="38" t="str">
        <f>IFERROR(__xludf.DUMMYFUNCTION("REGEXREPLACE(C28792,""-\d+(.*)|--\d+(.*)"","""")"),"POMMIERS")</f>
        <v>POMMIERS</v>
      </c>
      <c r="E28792" s="38" t="s">
        <v>166</v>
      </c>
      <c r="F28792" s="38" t="s">
        <v>102</v>
      </c>
      <c r="G28792" s="49" t="str">
        <f t="shared" si="1"/>
        <v>42260</v>
      </c>
      <c r="H28792" s="49">
        <f t="shared" si="2"/>
        <v>42173</v>
      </c>
    </row>
    <row r="28793">
      <c r="A28793" s="48" t="s">
        <v>9475</v>
      </c>
      <c r="B28793" s="38">
        <v>38236.0</v>
      </c>
      <c r="C28793" s="38" t="s">
        <v>33227</v>
      </c>
      <c r="D28793" s="38" t="str">
        <f>IFERROR(__xludf.DUMMYFUNCTION("REGEXREPLACE(C28793,""-\d+(.*)|--\d+(.*)"","""")"),"MIRIBEL-LES-ECHELLES")</f>
        <v>MIRIBEL-LES-ECHELLES</v>
      </c>
      <c r="E28793" s="38" t="s">
        <v>101</v>
      </c>
      <c r="F28793" s="38" t="s">
        <v>102</v>
      </c>
      <c r="G28793" s="49" t="str">
        <f t="shared" si="1"/>
        <v>38380</v>
      </c>
      <c r="H28793" s="49">
        <f t="shared" si="2"/>
        <v>38236</v>
      </c>
    </row>
    <row r="28794">
      <c r="A28794" s="48" t="s">
        <v>8967</v>
      </c>
      <c r="B28794" s="38">
        <v>80145.0</v>
      </c>
      <c r="C28794" s="38" t="s">
        <v>33228</v>
      </c>
      <c r="D28794" s="38" t="str">
        <f>IFERROR(__xludf.DUMMYFUNCTION("REGEXREPLACE(C28794,""-\d+(.*)|--\d+(.*)"","""")"),"BRUCAMPS")</f>
        <v>BRUCAMPS</v>
      </c>
      <c r="E28794" s="38" t="s">
        <v>224</v>
      </c>
      <c r="F28794" s="38" t="s">
        <v>113</v>
      </c>
      <c r="G28794" s="49" t="str">
        <f t="shared" si="1"/>
        <v>80690</v>
      </c>
      <c r="H28794" s="49">
        <f t="shared" si="2"/>
        <v>80145</v>
      </c>
    </row>
    <row r="28795">
      <c r="A28795" s="48" t="s">
        <v>4530</v>
      </c>
      <c r="B28795" s="38">
        <v>11441.0</v>
      </c>
      <c r="C28795" s="38" t="s">
        <v>33229</v>
      </c>
      <c r="D28795" s="38" t="str">
        <f>IFERROR(__xludf.DUMMYFUNCTION("REGEXREPLACE(C28795,""-\d+(.*)|--\d+(.*)"","""")"),"VINASSAN")</f>
        <v>VINASSAN</v>
      </c>
      <c r="E28795" s="38" t="s">
        <v>278</v>
      </c>
      <c r="F28795" s="38" t="s">
        <v>119</v>
      </c>
      <c r="G28795" s="49" t="str">
        <f t="shared" si="1"/>
        <v>11110</v>
      </c>
      <c r="H28795" s="49">
        <f t="shared" si="2"/>
        <v>11441</v>
      </c>
    </row>
    <row r="28796">
      <c r="A28796" s="48" t="s">
        <v>995</v>
      </c>
      <c r="B28796" s="38">
        <v>31553.0</v>
      </c>
      <c r="C28796" s="38" t="s">
        <v>5366</v>
      </c>
      <c r="D28796" s="38" t="str">
        <f>IFERROR(__xludf.DUMMYFUNCTION("REGEXREPLACE(C28796,""-\d+(.*)|--\d+(.*)"","""")"),"THIL")</f>
        <v>THIL</v>
      </c>
      <c r="E28796" s="38" t="s">
        <v>93</v>
      </c>
      <c r="F28796" s="38" t="s">
        <v>94</v>
      </c>
      <c r="G28796" s="49" t="str">
        <f t="shared" si="1"/>
        <v>31530</v>
      </c>
      <c r="H28796" s="49">
        <f t="shared" si="2"/>
        <v>31553</v>
      </c>
    </row>
    <row r="28797">
      <c r="A28797" s="48" t="s">
        <v>8418</v>
      </c>
      <c r="B28797" s="38">
        <v>80046.0</v>
      </c>
      <c r="C28797" s="38" t="s">
        <v>33230</v>
      </c>
      <c r="D28797" s="38" t="str">
        <f>IFERROR(__xludf.DUMMYFUNCTION("REGEXREPLACE(C28797,""-\d+(.*)|--\d+(.*)"","""")"),"AVELESGES")</f>
        <v>AVELESGES</v>
      </c>
      <c r="E28797" s="38" t="s">
        <v>224</v>
      </c>
      <c r="F28797" s="38" t="s">
        <v>113</v>
      </c>
      <c r="G28797" s="49" t="str">
        <f t="shared" si="1"/>
        <v>80270</v>
      </c>
      <c r="H28797" s="49">
        <f t="shared" si="2"/>
        <v>80046</v>
      </c>
    </row>
    <row r="28798">
      <c r="A28798" s="48" t="s">
        <v>5612</v>
      </c>
      <c r="B28798" s="38">
        <v>52036.0</v>
      </c>
      <c r="C28798" s="38" t="s">
        <v>33231</v>
      </c>
      <c r="D28798" s="38" t="str">
        <f>IFERROR(__xludf.DUMMYFUNCTION("REGEXREPLACE(C28798,""-\d+(.*)|--\d+(.*)"","""")"),"BALESMES-SUR-MARNE")</f>
        <v>BALESMES-SUR-MARNE</v>
      </c>
      <c r="E28798" s="38" t="s">
        <v>234</v>
      </c>
      <c r="F28798" s="38" t="s">
        <v>130</v>
      </c>
      <c r="G28798" s="49" t="str">
        <f t="shared" si="1"/>
        <v>52200</v>
      </c>
      <c r="H28798" s="49">
        <f t="shared" si="2"/>
        <v>52036</v>
      </c>
    </row>
    <row r="28799">
      <c r="A28799" s="48" t="s">
        <v>33232</v>
      </c>
      <c r="B28799" s="38">
        <v>89201.0</v>
      </c>
      <c r="C28799" s="38" t="s">
        <v>27683</v>
      </c>
      <c r="D28799" s="38" t="str">
        <f>IFERROR(__xludf.DUMMYFUNCTION("REGEXREPLACE(C28799,""-\d+(.*)|--\d+(.*)"","""")"),"HERY")</f>
        <v>HERY</v>
      </c>
      <c r="E28799" s="38" t="s">
        <v>275</v>
      </c>
      <c r="F28799" s="38" t="s">
        <v>106</v>
      </c>
      <c r="G28799" s="49" t="str">
        <f t="shared" si="1"/>
        <v>89550</v>
      </c>
      <c r="H28799" s="49">
        <f t="shared" si="2"/>
        <v>89201</v>
      </c>
    </row>
    <row r="28800">
      <c r="A28800" s="48" t="s">
        <v>9755</v>
      </c>
      <c r="B28800" s="38">
        <v>51185.0</v>
      </c>
      <c r="C28800" s="38" t="s">
        <v>33233</v>
      </c>
      <c r="D28800" s="38" t="str">
        <f>IFERROR(__xludf.DUMMYFUNCTION("REGEXREPLACE(C28800,""-\d+(.*)|--\d+(.*)"","""")"),"COURGIVAUX")</f>
        <v>COURGIVAUX</v>
      </c>
      <c r="E28800" s="38" t="s">
        <v>129</v>
      </c>
      <c r="F28800" s="38" t="s">
        <v>130</v>
      </c>
      <c r="G28800" s="49" t="str">
        <f t="shared" si="1"/>
        <v>51310</v>
      </c>
      <c r="H28800" s="49">
        <f t="shared" si="2"/>
        <v>51185</v>
      </c>
    </row>
    <row r="28801">
      <c r="A28801" s="48" t="s">
        <v>25530</v>
      </c>
      <c r="B28801" s="38">
        <v>59133.0</v>
      </c>
      <c r="C28801" s="38" t="s">
        <v>33234</v>
      </c>
      <c r="D28801" s="38" t="str">
        <f>IFERROR(__xludf.DUMMYFUNCTION("REGEXREPLACE(C28801,""-\d+(.*)|--\d+(.*)"","""")"),"CARNIN")</f>
        <v>CARNIN</v>
      </c>
      <c r="E28801" s="38" t="s">
        <v>85</v>
      </c>
      <c r="F28801" s="38" t="s">
        <v>86</v>
      </c>
      <c r="G28801" s="49" t="str">
        <f t="shared" si="1"/>
        <v>59112</v>
      </c>
      <c r="H28801" s="49">
        <f t="shared" si="2"/>
        <v>59133</v>
      </c>
    </row>
    <row r="28802">
      <c r="A28802" s="48" t="s">
        <v>33235</v>
      </c>
      <c r="B28802" s="38">
        <v>77441.0</v>
      </c>
      <c r="C28802" s="38" t="s">
        <v>33236</v>
      </c>
      <c r="D28802" s="38" t="str">
        <f>IFERROR(__xludf.DUMMYFUNCTION("REGEXREPLACE(C28802,""-\d+(.*)|--\d+(.*)"","""")"),"SAMOIS-SUR-SEINE")</f>
        <v>SAMOIS-SUR-SEINE</v>
      </c>
      <c r="E28802" s="38" t="s">
        <v>244</v>
      </c>
      <c r="F28802" s="38" t="s">
        <v>245</v>
      </c>
      <c r="G28802" s="49" t="str">
        <f t="shared" si="1"/>
        <v>77920</v>
      </c>
      <c r="H28802" s="49">
        <f t="shared" si="2"/>
        <v>77441</v>
      </c>
    </row>
    <row r="28803">
      <c r="A28803" s="48" t="s">
        <v>2379</v>
      </c>
      <c r="B28803" s="38">
        <v>65117.0</v>
      </c>
      <c r="C28803" s="38" t="s">
        <v>33237</v>
      </c>
      <c r="D28803" s="38" t="str">
        <f>IFERROR(__xludf.DUMMYFUNCTION("REGEXREPLACE(C28803,""-\d+(.*)|--\d+(.*)"","""")"),"CADEILHAN-TRACHERE")</f>
        <v>CADEILHAN-TRACHERE</v>
      </c>
      <c r="E28803" s="38" t="s">
        <v>200</v>
      </c>
      <c r="F28803" s="38" t="s">
        <v>94</v>
      </c>
      <c r="G28803" s="49" t="str">
        <f t="shared" si="1"/>
        <v>65170</v>
      </c>
      <c r="H28803" s="49">
        <f t="shared" si="2"/>
        <v>65117</v>
      </c>
    </row>
    <row r="28804">
      <c r="A28804" s="48" t="s">
        <v>11538</v>
      </c>
      <c r="B28804" s="38">
        <v>61140.0</v>
      </c>
      <c r="C28804" s="38" t="s">
        <v>33238</v>
      </c>
      <c r="D28804" s="38" t="str">
        <f>IFERROR(__xludf.DUMMYFUNCTION("REGEXREPLACE(C28804,""-\d+(.*)|--\d+(.*)"","""")"),"CRULAI")</f>
        <v>CRULAI</v>
      </c>
      <c r="E28804" s="38" t="s">
        <v>141</v>
      </c>
      <c r="F28804" s="38" t="s">
        <v>138</v>
      </c>
      <c r="G28804" s="49" t="str">
        <f t="shared" si="1"/>
        <v>61300</v>
      </c>
      <c r="H28804" s="49">
        <f t="shared" si="2"/>
        <v>61140</v>
      </c>
    </row>
    <row r="28805">
      <c r="A28805" s="48" t="s">
        <v>7492</v>
      </c>
      <c r="B28805" s="38">
        <v>15223.0</v>
      </c>
      <c r="C28805" s="38" t="s">
        <v>33239</v>
      </c>
      <c r="D28805" s="38" t="str">
        <f>IFERROR(__xludf.DUMMYFUNCTION("REGEXREPLACE(C28805,""-\d+(.*)|--\d+(.*)"","""")"),"SAUVAT")</f>
        <v>SAUVAT</v>
      </c>
      <c r="E28805" s="38" t="s">
        <v>632</v>
      </c>
      <c r="F28805" s="38" t="s">
        <v>161</v>
      </c>
      <c r="G28805" s="49" t="str">
        <f t="shared" si="1"/>
        <v>15240</v>
      </c>
      <c r="H28805" s="49">
        <f t="shared" si="2"/>
        <v>15223</v>
      </c>
    </row>
    <row r="28806">
      <c r="A28806" s="48" t="s">
        <v>16125</v>
      </c>
      <c r="B28806" s="38">
        <v>35110.0</v>
      </c>
      <c r="C28806" s="38" t="s">
        <v>33240</v>
      </c>
      <c r="D28806" s="38" t="str">
        <f>IFERROR(__xludf.DUMMYFUNCTION("REGEXREPLACE(C28806,""-\d+(.*)|--\d+(.*)"","""")"),"FEINS")</f>
        <v>FEINS</v>
      </c>
      <c r="E28806" s="38" t="s">
        <v>347</v>
      </c>
      <c r="F28806" s="38" t="s">
        <v>90</v>
      </c>
      <c r="G28806" s="49" t="str">
        <f t="shared" si="1"/>
        <v>35440</v>
      </c>
      <c r="H28806" s="49">
        <f t="shared" si="2"/>
        <v>35110</v>
      </c>
    </row>
    <row r="28807">
      <c r="A28807" s="48" t="s">
        <v>2243</v>
      </c>
      <c r="B28807" s="38">
        <v>17271.0</v>
      </c>
      <c r="C28807" s="38" t="s">
        <v>33241</v>
      </c>
      <c r="D28807" s="38" t="str">
        <f>IFERROR(__xludf.DUMMYFUNCTION("REGEXREPLACE(C28807,""-\d+(.*)|--\d+(.*)"","""")"),"PAILLE")</f>
        <v>PAILLE</v>
      </c>
      <c r="E28807" s="38" t="s">
        <v>488</v>
      </c>
      <c r="F28807" s="38" t="s">
        <v>338</v>
      </c>
      <c r="G28807" s="49" t="str">
        <f t="shared" si="1"/>
        <v>17470</v>
      </c>
      <c r="H28807" s="49">
        <f t="shared" si="2"/>
        <v>17271</v>
      </c>
    </row>
    <row r="28808">
      <c r="A28808" s="48" t="s">
        <v>4326</v>
      </c>
      <c r="B28808" s="38">
        <v>46069.0</v>
      </c>
      <c r="C28808" s="38" t="s">
        <v>1337</v>
      </c>
      <c r="D28808" s="38" t="str">
        <f>IFERROR(__xludf.DUMMYFUNCTION("REGEXREPLACE(C28808,""-\d+(.*)|--\d+(.*)"","""")"),"CEZAC")</f>
        <v>CEZAC</v>
      </c>
      <c r="E28808" s="38" t="s">
        <v>185</v>
      </c>
      <c r="F28808" s="38" t="s">
        <v>94</v>
      </c>
      <c r="G28808" s="49" t="str">
        <f t="shared" si="1"/>
        <v>46170</v>
      </c>
      <c r="H28808" s="49">
        <f t="shared" si="2"/>
        <v>46069</v>
      </c>
    </row>
    <row r="28809">
      <c r="A28809" s="48" t="s">
        <v>25305</v>
      </c>
      <c r="B28809" s="38">
        <v>60019.0</v>
      </c>
      <c r="C28809" s="38" t="s">
        <v>33242</v>
      </c>
      <c r="D28809" s="38" t="str">
        <f>IFERROR(__xludf.DUMMYFUNCTION("REGEXREPLACE(C28809,""-\d+(.*)|--\d+(.*)"","""")"),"ANTHEUIL-PORTES")</f>
        <v>ANTHEUIL-PORTES</v>
      </c>
      <c r="E28809" s="38" t="s">
        <v>112</v>
      </c>
      <c r="F28809" s="38" t="s">
        <v>113</v>
      </c>
      <c r="G28809" s="49" t="str">
        <f t="shared" si="1"/>
        <v>60162</v>
      </c>
      <c r="H28809" s="49">
        <f t="shared" si="2"/>
        <v>60019</v>
      </c>
    </row>
    <row r="28810">
      <c r="A28810" s="48" t="s">
        <v>33243</v>
      </c>
      <c r="B28810" s="38">
        <v>44059.0</v>
      </c>
      <c r="C28810" s="38" t="s">
        <v>33244</v>
      </c>
      <c r="D28810" s="38" t="str">
        <f>IFERROR(__xludf.DUMMYFUNCTION("REGEXREPLACE(C28810,""-\d+(.*)|--\d+(.*)"","""")"),"FRESNAY-EN-RETZ")</f>
        <v>FRESNAY-EN-RETZ</v>
      </c>
      <c r="E28810" s="38" t="s">
        <v>759</v>
      </c>
      <c r="F28810" s="38" t="s">
        <v>180</v>
      </c>
      <c r="G28810" s="49" t="str">
        <f t="shared" si="1"/>
        <v>44580</v>
      </c>
      <c r="H28810" s="49">
        <f t="shared" si="2"/>
        <v>44059</v>
      </c>
    </row>
    <row r="28811">
      <c r="A28811" s="48" t="s">
        <v>4573</v>
      </c>
      <c r="B28811" s="38">
        <v>73186.0</v>
      </c>
      <c r="C28811" s="38" t="s">
        <v>33245</v>
      </c>
      <c r="D28811" s="38" t="str">
        <f>IFERROR(__xludf.DUMMYFUNCTION("REGEXREPLACE(C28811,""-\d+(.*)|--\d+(.*)"","""")"),"NOTRE-DAME-DE-BELLECOMBE")</f>
        <v>NOTRE-DAME-DE-BELLECOMBE</v>
      </c>
      <c r="E28811" s="38" t="s">
        <v>306</v>
      </c>
      <c r="F28811" s="38" t="s">
        <v>102</v>
      </c>
      <c r="G28811" s="49" t="str">
        <f t="shared" si="1"/>
        <v>73590</v>
      </c>
      <c r="H28811" s="49">
        <f t="shared" si="2"/>
        <v>73186</v>
      </c>
    </row>
    <row r="28812">
      <c r="A28812" s="48" t="s">
        <v>14097</v>
      </c>
      <c r="B28812" s="38">
        <v>10253.0</v>
      </c>
      <c r="C28812" s="38" t="s">
        <v>33246</v>
      </c>
      <c r="D28812" s="38" t="str">
        <f>IFERROR(__xludf.DUMMYFUNCTION("REGEXREPLACE(C28812,""-\d+(.*)|--\d+(.*)"","""")"),"MONTMORENCY-BEAUFORT")</f>
        <v>MONTMORENCY-BEAUFORT</v>
      </c>
      <c r="E28812" s="38" t="s">
        <v>147</v>
      </c>
      <c r="F28812" s="38" t="s">
        <v>130</v>
      </c>
      <c r="G28812" s="49" t="str">
        <f t="shared" si="1"/>
        <v>10330</v>
      </c>
      <c r="H28812" s="49">
        <f t="shared" si="2"/>
        <v>10253</v>
      </c>
    </row>
    <row r="28813">
      <c r="A28813" s="48" t="s">
        <v>33247</v>
      </c>
      <c r="B28813" s="38">
        <v>62178.0</v>
      </c>
      <c r="C28813" s="38" t="s">
        <v>33248</v>
      </c>
      <c r="D28813" s="38" t="str">
        <f>IFERROR(__xludf.DUMMYFUNCTION("REGEXREPLACE(C28813,""-\d+(.*)|--\d+(.*)"","""")"),"BRUAY-LA-BUISSIERE")</f>
        <v>BRUAY-LA-BUISSIERE</v>
      </c>
      <c r="E28813" s="38" t="s">
        <v>109</v>
      </c>
      <c r="F28813" s="38" t="s">
        <v>86</v>
      </c>
      <c r="G28813" s="49" t="str">
        <f t="shared" si="1"/>
        <v>62700</v>
      </c>
      <c r="H28813" s="49">
        <f t="shared" si="2"/>
        <v>62178</v>
      </c>
    </row>
    <row r="28814">
      <c r="A28814" s="48" t="s">
        <v>354</v>
      </c>
      <c r="B28814" s="38">
        <v>68036.0</v>
      </c>
      <c r="C28814" s="38" t="s">
        <v>33249</v>
      </c>
      <c r="D28814" s="38" t="str">
        <f>IFERROR(__xludf.DUMMYFUNCTION("REGEXREPLACE(C28814,""-\d+(.*)|--\d+(.*)"","""")"),"BIESHEIM")</f>
        <v>BIESHEIM</v>
      </c>
      <c r="E28814" s="38" t="s">
        <v>150</v>
      </c>
      <c r="F28814" s="38" t="s">
        <v>151</v>
      </c>
      <c r="G28814" s="49" t="str">
        <f t="shared" si="1"/>
        <v>68600</v>
      </c>
      <c r="H28814" s="49">
        <f t="shared" si="2"/>
        <v>68036</v>
      </c>
    </row>
    <row r="28815">
      <c r="A28815" s="48" t="s">
        <v>15237</v>
      </c>
      <c r="B28815" s="38">
        <v>4181.0</v>
      </c>
      <c r="C28815" s="38" t="s">
        <v>1249</v>
      </c>
      <c r="D28815" s="38" t="str">
        <f>IFERROR(__xludf.DUMMYFUNCTION("REGEXREPLACE(C28815,""-\d+(.*)|--\d+(.*)"","""")"),"SAINT-JEANNET")</f>
        <v>SAINT-JEANNET</v>
      </c>
      <c r="E28815" s="38" t="s">
        <v>662</v>
      </c>
      <c r="F28815" s="38" t="s">
        <v>228</v>
      </c>
      <c r="G28815" s="49" t="str">
        <f t="shared" si="1"/>
        <v>04270</v>
      </c>
      <c r="H28815" s="49" t="str">
        <f t="shared" si="2"/>
        <v>04181</v>
      </c>
    </row>
    <row r="28816">
      <c r="A28816" s="48" t="s">
        <v>4123</v>
      </c>
      <c r="B28816" s="38">
        <v>60328.0</v>
      </c>
      <c r="C28816" s="38" t="s">
        <v>33250</v>
      </c>
      <c r="D28816" s="38" t="str">
        <f>IFERROR(__xludf.DUMMYFUNCTION("REGEXREPLACE(C28816,""-\d+(.*)|--\d+(.*)"","""")"),"JUVIGNIES")</f>
        <v>JUVIGNIES</v>
      </c>
      <c r="E28816" s="38" t="s">
        <v>112</v>
      </c>
      <c r="F28816" s="38" t="s">
        <v>113</v>
      </c>
      <c r="G28816" s="49" t="str">
        <f t="shared" si="1"/>
        <v>60112</v>
      </c>
      <c r="H28816" s="49">
        <f t="shared" si="2"/>
        <v>60328</v>
      </c>
    </row>
    <row r="28817">
      <c r="A28817" s="48" t="s">
        <v>17411</v>
      </c>
      <c r="B28817" s="38">
        <v>90070.0</v>
      </c>
      <c r="C28817" s="38" t="s">
        <v>33251</v>
      </c>
      <c r="D28817" s="38" t="str">
        <f>IFERROR(__xludf.DUMMYFUNCTION("REGEXREPLACE(C28817,""-\d+(.*)|--\d+(.*)"","""")"),"MONTBOUTON")</f>
        <v>MONTBOUTON</v>
      </c>
      <c r="E28817" s="38" t="s">
        <v>1283</v>
      </c>
      <c r="F28817" s="38" t="s">
        <v>214</v>
      </c>
      <c r="G28817" s="49" t="str">
        <f t="shared" si="1"/>
        <v>90500</v>
      </c>
      <c r="H28817" s="49">
        <f t="shared" si="2"/>
        <v>90070</v>
      </c>
    </row>
    <row r="28818">
      <c r="A28818" s="48" t="s">
        <v>162</v>
      </c>
      <c r="B28818" s="38">
        <v>31309.0</v>
      </c>
      <c r="C28818" s="38" t="s">
        <v>33252</v>
      </c>
      <c r="D28818" s="38" t="str">
        <f>IFERROR(__xludf.DUMMYFUNCTION("REGEXREPLACE(C28818,""-\d+(.*)|--\d+(.*)"","""")"),"LUSSAN-ADEILHAC")</f>
        <v>LUSSAN-ADEILHAC</v>
      </c>
      <c r="E28818" s="38" t="s">
        <v>93</v>
      </c>
      <c r="F28818" s="38" t="s">
        <v>94</v>
      </c>
      <c r="G28818" s="49" t="str">
        <f t="shared" si="1"/>
        <v>31430</v>
      </c>
      <c r="H28818" s="49">
        <f t="shared" si="2"/>
        <v>31309</v>
      </c>
    </row>
    <row r="28819">
      <c r="A28819" s="48" t="s">
        <v>3368</v>
      </c>
      <c r="B28819" s="38">
        <v>61268.0</v>
      </c>
      <c r="C28819" s="38" t="s">
        <v>33253</v>
      </c>
      <c r="D28819" s="38" t="str">
        <f>IFERROR(__xludf.DUMMYFUNCTION("REGEXREPLACE(C28819,""-\d+(.*)|--\d+(.*)"","""")"),"MENIL-HUBERT-EN-EXMES")</f>
        <v>MENIL-HUBERT-EN-EXMES</v>
      </c>
      <c r="E28819" s="38" t="s">
        <v>141</v>
      </c>
      <c r="F28819" s="38" t="s">
        <v>138</v>
      </c>
      <c r="G28819" s="49" t="str">
        <f t="shared" si="1"/>
        <v>61230</v>
      </c>
      <c r="H28819" s="49">
        <f t="shared" si="2"/>
        <v>61268</v>
      </c>
    </row>
    <row r="28820">
      <c r="A28820" s="48" t="s">
        <v>7329</v>
      </c>
      <c r="B28820" s="38">
        <v>54506.0</v>
      </c>
      <c r="C28820" s="38" t="s">
        <v>33254</v>
      </c>
      <c r="D28820" s="38" t="str">
        <f>IFERROR(__xludf.DUMMYFUNCTION("REGEXREPLACE(C28820,""-\d+(.*)|--\d+(.*)"","""")"),"SEXEY-LES-BOIS")</f>
        <v>SEXEY-LES-BOIS</v>
      </c>
      <c r="E28820" s="38" t="s">
        <v>548</v>
      </c>
      <c r="F28820" s="38" t="s">
        <v>195</v>
      </c>
      <c r="G28820" s="49" t="str">
        <f t="shared" si="1"/>
        <v>54840</v>
      </c>
      <c r="H28820" s="49">
        <f t="shared" si="2"/>
        <v>54506</v>
      </c>
    </row>
    <row r="28821">
      <c r="A28821" s="48" t="s">
        <v>6285</v>
      </c>
      <c r="B28821" s="38">
        <v>16128.0</v>
      </c>
      <c r="C28821" s="38" t="s">
        <v>33255</v>
      </c>
      <c r="D28821" s="38" t="str">
        <f>IFERROR(__xludf.DUMMYFUNCTION("REGEXREPLACE(C28821,""-\d+(.*)|--\d+(.*)"","""")"),"EPENEDE")</f>
        <v>EPENEDE</v>
      </c>
      <c r="E28821" s="38" t="s">
        <v>429</v>
      </c>
      <c r="F28821" s="38" t="s">
        <v>338</v>
      </c>
      <c r="G28821" s="49" t="str">
        <f t="shared" si="1"/>
        <v>16490</v>
      </c>
      <c r="H28821" s="49">
        <f t="shared" si="2"/>
        <v>16128</v>
      </c>
    </row>
    <row r="28822">
      <c r="A28822" s="48" t="s">
        <v>269</v>
      </c>
      <c r="B28822" s="38">
        <v>19122.0</v>
      </c>
      <c r="C28822" s="38" t="s">
        <v>33256</v>
      </c>
      <c r="D28822" s="38" t="str">
        <f>IFERROR(__xludf.DUMMYFUNCTION("REGEXREPLACE(C28822,""-\d+(.*)|--\d+(.*)"","""")"),"MADRANGES")</f>
        <v>MADRANGES</v>
      </c>
      <c r="E28822" s="38" t="s">
        <v>271</v>
      </c>
      <c r="F28822" s="38" t="s">
        <v>98</v>
      </c>
      <c r="G28822" s="49" t="str">
        <f t="shared" si="1"/>
        <v>19470</v>
      </c>
      <c r="H28822" s="49">
        <f t="shared" si="2"/>
        <v>19122</v>
      </c>
    </row>
    <row r="28823">
      <c r="A28823" s="48" t="s">
        <v>2547</v>
      </c>
      <c r="B28823" s="38">
        <v>8326.0</v>
      </c>
      <c r="C28823" s="38" t="s">
        <v>33257</v>
      </c>
      <c r="D28823" s="38" t="str">
        <f>IFERROR(__xludf.DUMMYFUNCTION("REGEXREPLACE(C28823,""-\d+(.*)|--\d+(.*)"","""")"),"NOUART")</f>
        <v>NOUART</v>
      </c>
      <c r="E28823" s="38" t="s">
        <v>327</v>
      </c>
      <c r="F28823" s="38" t="s">
        <v>130</v>
      </c>
      <c r="G28823" s="49" t="str">
        <f t="shared" si="1"/>
        <v>08240</v>
      </c>
      <c r="H28823" s="49" t="str">
        <f t="shared" si="2"/>
        <v>08326</v>
      </c>
    </row>
    <row r="28824">
      <c r="A28824" s="48" t="s">
        <v>16948</v>
      </c>
      <c r="B28824" s="38">
        <v>22363.0</v>
      </c>
      <c r="C28824" s="38" t="s">
        <v>33258</v>
      </c>
      <c r="D28824" s="38" t="str">
        <f>IFERROR(__xludf.DUMMYFUNCTION("REGEXREPLACE(C28824,""-\d+(.*)|--\d+(.*)"","""")"),"TRELEVERN")</f>
        <v>TRELEVERN</v>
      </c>
      <c r="E28824" s="38" t="s">
        <v>89</v>
      </c>
      <c r="F28824" s="38" t="s">
        <v>90</v>
      </c>
      <c r="G28824" s="49" t="str">
        <f t="shared" si="1"/>
        <v>22660</v>
      </c>
      <c r="H28824" s="49">
        <f t="shared" si="2"/>
        <v>22363</v>
      </c>
    </row>
    <row r="28825">
      <c r="A28825" s="48" t="s">
        <v>1872</v>
      </c>
      <c r="B28825" s="38">
        <v>80006.0</v>
      </c>
      <c r="C28825" s="38" t="s">
        <v>33259</v>
      </c>
      <c r="D28825" s="38" t="str">
        <f>IFERROR(__xludf.DUMMYFUNCTION("REGEXREPLACE(C28825,""-\d+(.*)|--\d+(.*)"","""")"),"AGENVILLERS")</f>
        <v>AGENVILLERS</v>
      </c>
      <c r="E28825" s="38" t="s">
        <v>224</v>
      </c>
      <c r="F28825" s="38" t="s">
        <v>113</v>
      </c>
      <c r="G28825" s="49" t="str">
        <f t="shared" si="1"/>
        <v>80150</v>
      </c>
      <c r="H28825" s="49">
        <f t="shared" si="2"/>
        <v>80006</v>
      </c>
    </row>
    <row r="28826">
      <c r="A28826" s="48" t="s">
        <v>15517</v>
      </c>
      <c r="B28826" s="38">
        <v>41282.0</v>
      </c>
      <c r="C28826" s="38" t="s">
        <v>33260</v>
      </c>
      <c r="D28826" s="38" t="str">
        <f>IFERROR(__xludf.DUMMYFUNCTION("REGEXREPLACE(C28826,""-\d+(.*)|--\d+(.*)"","""")"),"VILLEHERVIERS")</f>
        <v>VILLEHERVIERS</v>
      </c>
      <c r="E28826" s="38" t="s">
        <v>188</v>
      </c>
      <c r="F28826" s="38" t="s">
        <v>123</v>
      </c>
      <c r="G28826" s="49" t="str">
        <f t="shared" si="1"/>
        <v>41200</v>
      </c>
      <c r="H28826" s="49">
        <f t="shared" si="2"/>
        <v>41282</v>
      </c>
    </row>
    <row r="28827">
      <c r="A28827" s="48" t="s">
        <v>3800</v>
      </c>
      <c r="B28827" s="38">
        <v>35048.0</v>
      </c>
      <c r="C28827" s="38" t="s">
        <v>33261</v>
      </c>
      <c r="D28827" s="38" t="str">
        <f>IFERROR(__xludf.DUMMYFUNCTION("REGEXREPLACE(C28827,""-\d+(.*)|--\d+(.*)"","""")"),"CAMPEL")</f>
        <v>CAMPEL</v>
      </c>
      <c r="E28827" s="38" t="s">
        <v>347</v>
      </c>
      <c r="F28827" s="38" t="s">
        <v>90</v>
      </c>
      <c r="G28827" s="49" t="str">
        <f t="shared" si="1"/>
        <v>35330</v>
      </c>
      <c r="H28827" s="49">
        <f t="shared" si="2"/>
        <v>35048</v>
      </c>
    </row>
    <row r="28828">
      <c r="A28828" s="48" t="s">
        <v>1534</v>
      </c>
      <c r="B28828" s="38">
        <v>19167.0</v>
      </c>
      <c r="C28828" s="38" t="s">
        <v>33262</v>
      </c>
      <c r="D28828" s="38" t="str">
        <f>IFERROR(__xludf.DUMMYFUNCTION("REGEXREPLACE(C28828,""-\d+(.*)|--\d+(.*)"","""")"),"CONFOLENT-PORT-DIEU")</f>
        <v>CONFOLENT-PORT-DIEU</v>
      </c>
      <c r="E28828" s="38" t="s">
        <v>271</v>
      </c>
      <c r="F28828" s="38" t="s">
        <v>98</v>
      </c>
      <c r="G28828" s="49" t="str">
        <f t="shared" si="1"/>
        <v>19200</v>
      </c>
      <c r="H28828" s="49">
        <f t="shared" si="2"/>
        <v>19167</v>
      </c>
    </row>
    <row r="28829">
      <c r="A28829" s="48" t="s">
        <v>9016</v>
      </c>
      <c r="B28829" s="38">
        <v>76125.0</v>
      </c>
      <c r="C28829" s="38" t="s">
        <v>33263</v>
      </c>
      <c r="D28829" s="38" t="str">
        <f>IFERROR(__xludf.DUMMYFUNCTION("REGEXREPLACE(C28829,""-\d+(.*)|--\d+(.*)"","""")"),"BOSC-LE-HARD")</f>
        <v>BOSC-LE-HARD</v>
      </c>
      <c r="E28829" s="38" t="s">
        <v>133</v>
      </c>
      <c r="F28829" s="38" t="s">
        <v>134</v>
      </c>
      <c r="G28829" s="49" t="str">
        <f t="shared" si="1"/>
        <v>76850</v>
      </c>
      <c r="H28829" s="49">
        <f t="shared" si="2"/>
        <v>76125</v>
      </c>
    </row>
    <row r="28830">
      <c r="A28830" s="48" t="s">
        <v>3048</v>
      </c>
      <c r="B28830" s="38">
        <v>21584.0</v>
      </c>
      <c r="C28830" s="38" t="s">
        <v>33264</v>
      </c>
      <c r="D28830" s="38" t="str">
        <f>IFERROR(__xludf.DUMMYFUNCTION("REGEXREPLACE(C28830,""-\d+(.*)|--\d+(.*)"","""")"),"SAULIEU")</f>
        <v>SAULIEU</v>
      </c>
      <c r="E28830" s="38" t="s">
        <v>105</v>
      </c>
      <c r="F28830" s="38" t="s">
        <v>106</v>
      </c>
      <c r="G28830" s="49" t="str">
        <f t="shared" si="1"/>
        <v>21210</v>
      </c>
      <c r="H28830" s="49">
        <f t="shared" si="2"/>
        <v>21584</v>
      </c>
    </row>
    <row r="28831">
      <c r="A28831" s="48" t="s">
        <v>658</v>
      </c>
      <c r="B28831" s="38">
        <v>62255.0</v>
      </c>
      <c r="C28831" s="38" t="s">
        <v>33265</v>
      </c>
      <c r="D28831" s="38" t="str">
        <f>IFERROR(__xludf.DUMMYFUNCTION("REGEXREPLACE(C28831,""-\d+(.*)|--\d+(.*)"","""")"),"CREMAREST")</f>
        <v>CREMAREST</v>
      </c>
      <c r="E28831" s="38" t="s">
        <v>109</v>
      </c>
      <c r="F28831" s="38" t="s">
        <v>86</v>
      </c>
      <c r="G28831" s="49" t="str">
        <f t="shared" si="1"/>
        <v>62240</v>
      </c>
      <c r="H28831" s="49">
        <f t="shared" si="2"/>
        <v>62255</v>
      </c>
    </row>
    <row r="28832">
      <c r="A28832" s="48" t="s">
        <v>4406</v>
      </c>
      <c r="B28832" s="38">
        <v>76362.0</v>
      </c>
      <c r="C28832" s="38" t="s">
        <v>33266</v>
      </c>
      <c r="D28832" s="38" t="str">
        <f>IFERROR(__xludf.DUMMYFUNCTION("REGEXREPLACE(C28832,""-\d+(.*)|--\d+(.*)"","""")"),"HEURTEAUVILLE")</f>
        <v>HEURTEAUVILLE</v>
      </c>
      <c r="E28832" s="38" t="s">
        <v>133</v>
      </c>
      <c r="F28832" s="38" t="s">
        <v>134</v>
      </c>
      <c r="G28832" s="49" t="str">
        <f t="shared" si="1"/>
        <v>76940</v>
      </c>
      <c r="H28832" s="49">
        <f t="shared" si="2"/>
        <v>76362</v>
      </c>
    </row>
    <row r="28833">
      <c r="A28833" s="48" t="s">
        <v>8595</v>
      </c>
      <c r="B28833" s="38">
        <v>42186.0</v>
      </c>
      <c r="C28833" s="38" t="s">
        <v>33267</v>
      </c>
      <c r="D28833" s="38" t="str">
        <f>IFERROR(__xludf.DUMMYFUNCTION("REGEXREPLACE(C28833,""-\d+(.*)|--\d+(.*)"","""")"),"RIVE-DE-GIER")</f>
        <v>RIVE-DE-GIER</v>
      </c>
      <c r="E28833" s="38" t="s">
        <v>166</v>
      </c>
      <c r="F28833" s="38" t="s">
        <v>102</v>
      </c>
      <c r="G28833" s="49" t="str">
        <f t="shared" si="1"/>
        <v>42800</v>
      </c>
      <c r="H28833" s="49">
        <f t="shared" si="2"/>
        <v>42186</v>
      </c>
    </row>
    <row r="28834">
      <c r="A28834" s="48" t="s">
        <v>7080</v>
      </c>
      <c r="B28834" s="38">
        <v>86253.0</v>
      </c>
      <c r="C28834" s="38" t="s">
        <v>33268</v>
      </c>
      <c r="D28834" s="38" t="str">
        <f>IFERROR(__xludf.DUMMYFUNCTION("REGEXREPLACE(C28834,""-\d+(.*)|--\d+(.*)"","""")"),"SANXAY")</f>
        <v>SANXAY</v>
      </c>
      <c r="E28834" s="38" t="s">
        <v>529</v>
      </c>
      <c r="F28834" s="38" t="s">
        <v>338</v>
      </c>
      <c r="G28834" s="49" t="str">
        <f t="shared" si="1"/>
        <v>86600</v>
      </c>
      <c r="H28834" s="49">
        <f t="shared" si="2"/>
        <v>86253</v>
      </c>
    </row>
    <row r="28835">
      <c r="A28835" s="48" t="s">
        <v>3798</v>
      </c>
      <c r="B28835" s="38">
        <v>85282.0</v>
      </c>
      <c r="C28835" s="38" t="s">
        <v>33269</v>
      </c>
      <c r="D28835" s="38" t="str">
        <f>IFERROR(__xludf.DUMMYFUNCTION("REGEXREPLACE(C28835,""-\d+(.*)|--\d+(.*)"","""")"),"SIGOURNAIS")</f>
        <v>SIGOURNAIS</v>
      </c>
      <c r="E28835" s="38" t="s">
        <v>179</v>
      </c>
      <c r="F28835" s="38" t="s">
        <v>180</v>
      </c>
      <c r="G28835" s="49" t="str">
        <f t="shared" si="1"/>
        <v>85110</v>
      </c>
      <c r="H28835" s="49">
        <f t="shared" si="2"/>
        <v>85282</v>
      </c>
    </row>
    <row r="28836">
      <c r="A28836" s="48" t="s">
        <v>1157</v>
      </c>
      <c r="B28836" s="38">
        <v>16062.0</v>
      </c>
      <c r="C28836" s="38" t="s">
        <v>33270</v>
      </c>
      <c r="D28836" s="38" t="str">
        <f>IFERROR(__xludf.DUMMYFUNCTION("REGEXREPLACE(C28836,""-\d+(.*)|--\d+(.*)"","""")"),"BRIE-SOUS-BARBEZIEUX")</f>
        <v>BRIE-SOUS-BARBEZIEUX</v>
      </c>
      <c r="E28836" s="38" t="s">
        <v>429</v>
      </c>
      <c r="F28836" s="38" t="s">
        <v>338</v>
      </c>
      <c r="G28836" s="49" t="str">
        <f t="shared" si="1"/>
        <v>16300</v>
      </c>
      <c r="H28836" s="49">
        <f t="shared" si="2"/>
        <v>16062</v>
      </c>
    </row>
    <row r="28837">
      <c r="A28837" s="48" t="s">
        <v>14904</v>
      </c>
      <c r="B28837" s="38">
        <v>68326.0</v>
      </c>
      <c r="C28837" s="38" t="s">
        <v>33271</v>
      </c>
      <c r="D28837" s="38" t="str">
        <f>IFERROR(__xludf.DUMMYFUNCTION("REGEXREPLACE(C28837,""-\d+(.*)|--\d+(.*)"","""")"),"STERNENBERG")</f>
        <v>STERNENBERG</v>
      </c>
      <c r="E28837" s="38" t="s">
        <v>150</v>
      </c>
      <c r="F28837" s="38" t="s">
        <v>151</v>
      </c>
      <c r="G28837" s="49" t="str">
        <f t="shared" si="1"/>
        <v>68780</v>
      </c>
      <c r="H28837" s="49">
        <f t="shared" si="2"/>
        <v>68326</v>
      </c>
    </row>
    <row r="28838">
      <c r="A28838" s="48" t="s">
        <v>5070</v>
      </c>
      <c r="B28838" s="38">
        <v>79011.0</v>
      </c>
      <c r="C28838" s="38" t="s">
        <v>33272</v>
      </c>
      <c r="D28838" s="38" t="str">
        <f>IFERROR(__xludf.DUMMYFUNCTION("REGEXREPLACE(C28838,""-\d+(.*)|--\d+(.*)"","""")"),"ARDILLEUX")</f>
        <v>ARDILLEUX</v>
      </c>
      <c r="E28838" s="38" t="s">
        <v>337</v>
      </c>
      <c r="F28838" s="38" t="s">
        <v>338</v>
      </c>
      <c r="G28838" s="49" t="str">
        <f t="shared" si="1"/>
        <v>79110</v>
      </c>
      <c r="H28838" s="49">
        <f t="shared" si="2"/>
        <v>79011</v>
      </c>
    </row>
    <row r="28839">
      <c r="A28839" s="48" t="s">
        <v>11152</v>
      </c>
      <c r="B28839" s="38">
        <v>61377.0</v>
      </c>
      <c r="C28839" s="38" t="s">
        <v>33273</v>
      </c>
      <c r="D28839" s="38" t="str">
        <f>IFERROR(__xludf.DUMMYFUNCTION("REGEXREPLACE(C28839,""-\d+(.*)|--\d+(.*)"","""")"),"SAINT-CORNIER-DES-LANDES")</f>
        <v>SAINT-CORNIER-DES-LANDES</v>
      </c>
      <c r="E28839" s="38" t="s">
        <v>141</v>
      </c>
      <c r="F28839" s="38" t="s">
        <v>138</v>
      </c>
      <c r="G28839" s="49" t="str">
        <f t="shared" si="1"/>
        <v>61800</v>
      </c>
      <c r="H28839" s="49">
        <f t="shared" si="2"/>
        <v>61377</v>
      </c>
    </row>
    <row r="28840">
      <c r="A28840" s="48" t="s">
        <v>20758</v>
      </c>
      <c r="B28840" s="38">
        <v>53201.0</v>
      </c>
      <c r="C28840" s="38" t="s">
        <v>33274</v>
      </c>
      <c r="D28840" s="38" t="str">
        <f>IFERROR(__xludf.DUMMYFUNCTION("REGEXREPLACE(C28840,""-\d+(.*)|--\d+(.*)"","""")"),"SAINT-BERTHEVIN")</f>
        <v>SAINT-BERTHEVIN</v>
      </c>
      <c r="E28840" s="38" t="s">
        <v>518</v>
      </c>
      <c r="F28840" s="38" t="s">
        <v>180</v>
      </c>
      <c r="G28840" s="49" t="str">
        <f t="shared" si="1"/>
        <v>53940</v>
      </c>
      <c r="H28840" s="49">
        <f t="shared" si="2"/>
        <v>53201</v>
      </c>
    </row>
    <row r="28841">
      <c r="A28841" s="48" t="s">
        <v>10763</v>
      </c>
      <c r="B28841" s="38">
        <v>22153.0</v>
      </c>
      <c r="C28841" s="38" t="s">
        <v>33275</v>
      </c>
      <c r="D28841" s="38" t="str">
        <f>IFERROR(__xludf.DUMMYFUNCTION("REGEXREPLACE(C28841,""-\d+(.*)|--\d+(.*)"","""")"),"MONCONTOUR")</f>
        <v>MONCONTOUR</v>
      </c>
      <c r="E28841" s="38" t="s">
        <v>89</v>
      </c>
      <c r="F28841" s="38" t="s">
        <v>90</v>
      </c>
      <c r="G28841" s="49" t="str">
        <f t="shared" si="1"/>
        <v>22510</v>
      </c>
      <c r="H28841" s="49">
        <f t="shared" si="2"/>
        <v>22153</v>
      </c>
    </row>
    <row r="28842">
      <c r="A28842" s="48" t="s">
        <v>1900</v>
      </c>
      <c r="B28842" s="38">
        <v>45078.0</v>
      </c>
      <c r="C28842" s="38" t="s">
        <v>33276</v>
      </c>
      <c r="D28842" s="38" t="str">
        <f>IFERROR(__xludf.DUMMYFUNCTION("REGEXREPLACE(C28842,""-\d+(.*)|--\d+(.*)"","""")"),"CHAPELON")</f>
        <v>CHAPELON</v>
      </c>
      <c r="E28842" s="38" t="s">
        <v>122</v>
      </c>
      <c r="F28842" s="38" t="s">
        <v>123</v>
      </c>
      <c r="G28842" s="49" t="str">
        <f t="shared" si="1"/>
        <v>45270</v>
      </c>
      <c r="H28842" s="49">
        <f t="shared" si="2"/>
        <v>45078</v>
      </c>
    </row>
    <row r="28843">
      <c r="A28843" s="48" t="s">
        <v>10710</v>
      </c>
      <c r="B28843" s="38">
        <v>77047.0</v>
      </c>
      <c r="C28843" s="38" t="s">
        <v>33277</v>
      </c>
      <c r="D28843" s="38" t="str">
        <f>IFERROR(__xludf.DUMMYFUNCTION("REGEXREPLACE(C28843,""-\d+(.*)|--\d+(.*)"","""")"),"BOULEURS")</f>
        <v>BOULEURS</v>
      </c>
      <c r="E28843" s="38" t="s">
        <v>244</v>
      </c>
      <c r="F28843" s="38" t="s">
        <v>245</v>
      </c>
      <c r="G28843" s="49" t="str">
        <f t="shared" si="1"/>
        <v>77580</v>
      </c>
      <c r="H28843" s="49">
        <f t="shared" si="2"/>
        <v>77047</v>
      </c>
    </row>
    <row r="28844">
      <c r="A28844" s="48" t="s">
        <v>384</v>
      </c>
      <c r="B28844" s="38">
        <v>55178.0</v>
      </c>
      <c r="C28844" s="38" t="s">
        <v>33278</v>
      </c>
      <c r="D28844" s="38" t="str">
        <f>IFERROR(__xludf.DUMMYFUNCTION("REGEXREPLACE(C28844,""-\d+(.*)|--\d+(.*)"","""")"),"ERIZE-SAINT-DIZIER")</f>
        <v>ERIZE-SAINT-DIZIER</v>
      </c>
      <c r="E28844" s="38" t="s">
        <v>322</v>
      </c>
      <c r="F28844" s="38" t="s">
        <v>195</v>
      </c>
      <c r="G28844" s="49" t="str">
        <f t="shared" si="1"/>
        <v>55000</v>
      </c>
      <c r="H28844" s="49">
        <f t="shared" si="2"/>
        <v>55178</v>
      </c>
    </row>
    <row r="28845">
      <c r="A28845" s="48" t="s">
        <v>1114</v>
      </c>
      <c r="B28845" s="38">
        <v>2546.0</v>
      </c>
      <c r="C28845" s="38" t="s">
        <v>33279</v>
      </c>
      <c r="D28845" s="38" t="str">
        <f>IFERROR(__xludf.DUMMYFUNCTION("REGEXREPLACE(C28845,""-\d+(.*)|--\d+(.*)"","""")"),"LA NEUVILLE-EN-BEINE")</f>
        <v>LA NEUVILLE-EN-BEINE</v>
      </c>
      <c r="E28845" s="38" t="s">
        <v>191</v>
      </c>
      <c r="F28845" s="38" t="s">
        <v>113</v>
      </c>
      <c r="G28845" s="49" t="str">
        <f t="shared" si="1"/>
        <v>02300</v>
      </c>
      <c r="H28845" s="49" t="str">
        <f t="shared" si="2"/>
        <v>02546</v>
      </c>
    </row>
    <row r="28846">
      <c r="A28846" s="48" t="s">
        <v>6002</v>
      </c>
      <c r="B28846" s="38">
        <v>18144.0</v>
      </c>
      <c r="C28846" s="38" t="s">
        <v>33280</v>
      </c>
      <c r="D28846" s="38" t="str">
        <f>IFERROR(__xludf.DUMMYFUNCTION("REGEXREPLACE(C28846,""-\d+(.*)|--\d+(.*)"","""")"),"MENETOU-RATEL")</f>
        <v>MENETOU-RATEL</v>
      </c>
      <c r="E28846" s="38" t="s">
        <v>504</v>
      </c>
      <c r="F28846" s="38" t="s">
        <v>123</v>
      </c>
      <c r="G28846" s="49" t="str">
        <f t="shared" si="1"/>
        <v>18300</v>
      </c>
      <c r="H28846" s="49">
        <f t="shared" si="2"/>
        <v>18144</v>
      </c>
    </row>
    <row r="28847">
      <c r="A28847" s="48" t="s">
        <v>11428</v>
      </c>
      <c r="B28847" s="38">
        <v>42112.0</v>
      </c>
      <c r="C28847" s="38" t="s">
        <v>33281</v>
      </c>
      <c r="D28847" s="38" t="str">
        <f>IFERROR(__xludf.DUMMYFUNCTION("REGEXREPLACE(C28847,""-\d+(.*)|--\d+(.*)"","""")"),"JARNOSSE")</f>
        <v>JARNOSSE</v>
      </c>
      <c r="E28847" s="38" t="s">
        <v>166</v>
      </c>
      <c r="F28847" s="38" t="s">
        <v>102</v>
      </c>
      <c r="G28847" s="49" t="str">
        <f t="shared" si="1"/>
        <v>42460</v>
      </c>
      <c r="H28847" s="49">
        <f t="shared" si="2"/>
        <v>42112</v>
      </c>
    </row>
    <row r="28848">
      <c r="A28848" s="48" t="s">
        <v>7334</v>
      </c>
      <c r="B28848" s="38">
        <v>45040.0</v>
      </c>
      <c r="C28848" s="38" t="s">
        <v>33282</v>
      </c>
      <c r="D28848" s="38" t="str">
        <f>IFERROR(__xludf.DUMMYFUNCTION("REGEXREPLACE(C28848,""-\d+(.*)|--\d+(.*)"","""")"),"BONNY-SUR-LOIRE")</f>
        <v>BONNY-SUR-LOIRE</v>
      </c>
      <c r="E28848" s="38" t="s">
        <v>122</v>
      </c>
      <c r="F28848" s="38" t="s">
        <v>123</v>
      </c>
      <c r="G28848" s="49" t="str">
        <f t="shared" si="1"/>
        <v>45420</v>
      </c>
      <c r="H28848" s="49">
        <f t="shared" si="2"/>
        <v>45040</v>
      </c>
    </row>
    <row r="28849">
      <c r="A28849" s="48" t="s">
        <v>33283</v>
      </c>
      <c r="B28849" s="38">
        <v>63032.0</v>
      </c>
      <c r="C28849" s="38" t="s">
        <v>2319</v>
      </c>
      <c r="D28849" s="38" t="str">
        <f>IFERROR(__xludf.DUMMYFUNCTION("REGEXREPLACE(C28849,""-\d+(.*)|--\d+(.*)"","""")"),"BEAUMONT")</f>
        <v>BEAUMONT</v>
      </c>
      <c r="E28849" s="38" t="s">
        <v>353</v>
      </c>
      <c r="F28849" s="38" t="s">
        <v>161</v>
      </c>
      <c r="G28849" s="49" t="str">
        <f t="shared" si="1"/>
        <v>63110</v>
      </c>
      <c r="H28849" s="49">
        <f t="shared" si="2"/>
        <v>63032</v>
      </c>
    </row>
    <row r="28850">
      <c r="A28850" s="48" t="s">
        <v>28503</v>
      </c>
      <c r="B28850" s="38">
        <v>78290.0</v>
      </c>
      <c r="C28850" s="38" t="s">
        <v>33284</v>
      </c>
      <c r="D28850" s="38" t="str">
        <f>IFERROR(__xludf.DUMMYFUNCTION("REGEXREPLACE(C28850,""-\d+(.*)|--\d+(.*)"","""")"),"GUERNES")</f>
        <v>GUERNES</v>
      </c>
      <c r="E28850" s="38" t="s">
        <v>362</v>
      </c>
      <c r="F28850" s="38" t="s">
        <v>245</v>
      </c>
      <c r="G28850" s="49" t="str">
        <f t="shared" si="1"/>
        <v>78520</v>
      </c>
      <c r="H28850" s="49">
        <f t="shared" si="2"/>
        <v>78290</v>
      </c>
    </row>
    <row r="28851">
      <c r="A28851" s="48" t="s">
        <v>2170</v>
      </c>
      <c r="B28851" s="38">
        <v>80557.0</v>
      </c>
      <c r="C28851" s="38" t="s">
        <v>33285</v>
      </c>
      <c r="D28851" s="38" t="str">
        <f>IFERROR(__xludf.DUMMYFUNCTION("REGEXREPLACE(C28851,""-\d+(.*)|--\d+(.*)"","""")"),"ESTREES-MONS")</f>
        <v>ESTREES-MONS</v>
      </c>
      <c r="E28851" s="38" t="s">
        <v>224</v>
      </c>
      <c r="F28851" s="38" t="s">
        <v>113</v>
      </c>
      <c r="G28851" s="49" t="str">
        <f t="shared" si="1"/>
        <v>80200</v>
      </c>
      <c r="H28851" s="49">
        <f t="shared" si="2"/>
        <v>80557</v>
      </c>
    </row>
    <row r="28852">
      <c r="A28852" s="48" t="s">
        <v>6230</v>
      </c>
      <c r="B28852" s="38">
        <v>53152.0</v>
      </c>
      <c r="C28852" s="38" t="s">
        <v>33286</v>
      </c>
      <c r="D28852" s="38" t="str">
        <f>IFERROR(__xludf.DUMMYFUNCTION("REGEXREPLACE(C28852,""-\d+(.*)|--\d+(.*)"","""")"),"MESLAY-DU-MAINE")</f>
        <v>MESLAY-DU-MAINE</v>
      </c>
      <c r="E28852" s="38" t="s">
        <v>518</v>
      </c>
      <c r="F28852" s="38" t="s">
        <v>180</v>
      </c>
      <c r="G28852" s="49" t="str">
        <f t="shared" si="1"/>
        <v>53170</v>
      </c>
      <c r="H28852" s="49">
        <f t="shared" si="2"/>
        <v>53152</v>
      </c>
    </row>
    <row r="28853">
      <c r="A28853" s="48" t="s">
        <v>2534</v>
      </c>
      <c r="B28853" s="38">
        <v>27529.0</v>
      </c>
      <c r="C28853" s="38" t="s">
        <v>33287</v>
      </c>
      <c r="D28853" s="38" t="str">
        <f>IFERROR(__xludf.DUMMYFUNCTION("REGEXREPLACE(C28853,""-\d+(.*)|--\d+(.*)"","""")"),"SAINT-CYR-LA-CAMPAGNE")</f>
        <v>SAINT-CYR-LA-CAMPAGNE</v>
      </c>
      <c r="E28853" s="38" t="s">
        <v>241</v>
      </c>
      <c r="F28853" s="38" t="s">
        <v>134</v>
      </c>
      <c r="G28853" s="49" t="str">
        <f t="shared" si="1"/>
        <v>27370</v>
      </c>
      <c r="H28853" s="49">
        <f t="shared" si="2"/>
        <v>27529</v>
      </c>
    </row>
    <row r="28854">
      <c r="A28854" s="48" t="s">
        <v>2565</v>
      </c>
      <c r="B28854" s="38">
        <v>44030.0</v>
      </c>
      <c r="C28854" s="38" t="s">
        <v>33288</v>
      </c>
      <c r="D28854" s="38" t="str">
        <f>IFERROR(__xludf.DUMMYFUNCTION("REGEXREPLACE(C28854,""-\d+(.*)|--\d+(.*)"","""")"),"LA CHAPELLE-DES-MARAIS")</f>
        <v>LA CHAPELLE-DES-MARAIS</v>
      </c>
      <c r="E28854" s="38" t="s">
        <v>759</v>
      </c>
      <c r="F28854" s="38" t="s">
        <v>180</v>
      </c>
      <c r="G28854" s="49" t="str">
        <f t="shared" si="1"/>
        <v>44410</v>
      </c>
      <c r="H28854" s="49">
        <f t="shared" si="2"/>
        <v>44030</v>
      </c>
    </row>
    <row r="28855">
      <c r="A28855" s="48" t="s">
        <v>654</v>
      </c>
      <c r="B28855" s="38">
        <v>8034.0</v>
      </c>
      <c r="C28855" s="38" t="s">
        <v>33289</v>
      </c>
      <c r="D28855" s="38" t="str">
        <f>IFERROR(__xludf.DUMMYFUNCTION("REGEXREPLACE(C28855,""-\d+(.*)|--\d+(.*)"","""")"),"AUTRECOURT-ET-POURRON")</f>
        <v>AUTRECOURT-ET-POURRON</v>
      </c>
      <c r="E28855" s="38" t="s">
        <v>327</v>
      </c>
      <c r="F28855" s="38" t="s">
        <v>130</v>
      </c>
      <c r="G28855" s="49" t="str">
        <f t="shared" si="1"/>
        <v>08210</v>
      </c>
      <c r="H28855" s="49" t="str">
        <f t="shared" si="2"/>
        <v>08034</v>
      </c>
    </row>
    <row r="28856">
      <c r="A28856" s="48" t="s">
        <v>8173</v>
      </c>
      <c r="B28856" s="38">
        <v>43088.0</v>
      </c>
      <c r="C28856" s="38" t="s">
        <v>33290</v>
      </c>
      <c r="D28856" s="38" t="str">
        <f>IFERROR(__xludf.DUMMYFUNCTION("REGEXREPLACE(C28856,""-\d+(.*)|--\d+(.*)"","""")"),"ESPALEM")</f>
        <v>ESPALEM</v>
      </c>
      <c r="E28856" s="38" t="s">
        <v>332</v>
      </c>
      <c r="F28856" s="38" t="s">
        <v>161</v>
      </c>
      <c r="G28856" s="49" t="str">
        <f t="shared" si="1"/>
        <v>43450</v>
      </c>
      <c r="H28856" s="49">
        <f t="shared" si="2"/>
        <v>43088</v>
      </c>
    </row>
    <row r="28857">
      <c r="A28857" s="48" t="s">
        <v>26333</v>
      </c>
      <c r="B28857" s="38">
        <v>2503.0</v>
      </c>
      <c r="C28857" s="38" t="s">
        <v>33291</v>
      </c>
      <c r="D28857" s="38" t="str">
        <f>IFERROR(__xludf.DUMMYFUNCTION("REGEXREPLACE(C28857,""-\d+(.*)|--\d+(.*)"","""")"),"MONT-D'ORIGNY")</f>
        <v>MONT-D'ORIGNY</v>
      </c>
      <c r="E28857" s="38" t="s">
        <v>191</v>
      </c>
      <c r="F28857" s="38" t="s">
        <v>113</v>
      </c>
      <c r="G28857" s="49" t="str">
        <f t="shared" si="1"/>
        <v>02390</v>
      </c>
      <c r="H28857" s="49" t="str">
        <f t="shared" si="2"/>
        <v>02503</v>
      </c>
    </row>
    <row r="28858">
      <c r="A28858" s="48" t="s">
        <v>667</v>
      </c>
      <c r="B28858" s="38">
        <v>64154.0</v>
      </c>
      <c r="C28858" s="38" t="s">
        <v>33292</v>
      </c>
      <c r="D28858" s="38" t="str">
        <f>IFERROR(__xludf.DUMMYFUNCTION("REGEXREPLACE(C28858,""-\d+(.*)|--\d+(.*)"","""")"),"BUSSUNARITS-SARRASQUETTE")</f>
        <v>BUSSUNARITS-SARRASQUETTE</v>
      </c>
      <c r="E28858" s="38" t="s">
        <v>268</v>
      </c>
      <c r="F28858" s="38" t="s">
        <v>252</v>
      </c>
      <c r="G28858" s="49" t="str">
        <f t="shared" si="1"/>
        <v>64220</v>
      </c>
      <c r="H28858" s="49">
        <f t="shared" si="2"/>
        <v>64154</v>
      </c>
    </row>
    <row r="28859">
      <c r="A28859" s="48" t="s">
        <v>4499</v>
      </c>
      <c r="B28859" s="38">
        <v>25090.0</v>
      </c>
      <c r="C28859" s="38" t="s">
        <v>33293</v>
      </c>
      <c r="D28859" s="38" t="str">
        <f>IFERROR(__xludf.DUMMYFUNCTION("REGEXREPLACE(C28859,""-\d+(.*)|--\d+(.*)"","""")"),"BRERES")</f>
        <v>BRERES</v>
      </c>
      <c r="E28859" s="38" t="s">
        <v>213</v>
      </c>
      <c r="F28859" s="38" t="s">
        <v>214</v>
      </c>
      <c r="G28859" s="49" t="str">
        <f t="shared" si="1"/>
        <v>25440</v>
      </c>
      <c r="H28859" s="49">
        <f t="shared" si="2"/>
        <v>25090</v>
      </c>
    </row>
    <row r="28860">
      <c r="A28860" s="48" t="s">
        <v>14082</v>
      </c>
      <c r="B28860" s="38">
        <v>64016.0</v>
      </c>
      <c r="C28860" s="38" t="s">
        <v>33294</v>
      </c>
      <c r="D28860" s="38" t="str">
        <f>IFERROR(__xludf.DUMMYFUNCTION("REGEXREPLACE(C28860,""-\d+(.*)|--\d+(.*)"","""")"),"ALDUDES")</f>
        <v>ALDUDES</v>
      </c>
      <c r="E28860" s="38" t="s">
        <v>268</v>
      </c>
      <c r="F28860" s="38" t="s">
        <v>252</v>
      </c>
      <c r="G28860" s="49" t="str">
        <f t="shared" si="1"/>
        <v>64430</v>
      </c>
      <c r="H28860" s="49">
        <f t="shared" si="2"/>
        <v>64016</v>
      </c>
    </row>
    <row r="28861">
      <c r="A28861" s="48" t="s">
        <v>31437</v>
      </c>
      <c r="B28861" s="38">
        <v>49267.0</v>
      </c>
      <c r="C28861" s="38" t="s">
        <v>33295</v>
      </c>
      <c r="D28861" s="38" t="str">
        <f>IFERROR(__xludf.DUMMYFUNCTION("REGEXREPLACE(C28861,""-\d+(.*)|--\d+(.*)"","""")"),"SAINT-BARTHELEMY-D'ANJOU")</f>
        <v>SAINT-BARTHELEMY-D'ANJOU</v>
      </c>
      <c r="E28861" s="38" t="s">
        <v>653</v>
      </c>
      <c r="F28861" s="38" t="s">
        <v>180</v>
      </c>
      <c r="G28861" s="49" t="str">
        <f t="shared" si="1"/>
        <v>49124</v>
      </c>
      <c r="H28861" s="49">
        <f t="shared" si="2"/>
        <v>49267</v>
      </c>
    </row>
    <row r="28862">
      <c r="A28862" s="48" t="s">
        <v>7645</v>
      </c>
      <c r="B28862" s="38">
        <v>34030.0</v>
      </c>
      <c r="C28862" s="38" t="s">
        <v>33296</v>
      </c>
      <c r="D28862" s="38" t="str">
        <f>IFERROR(__xludf.DUMMYFUNCTION("REGEXREPLACE(C28862,""-\d+(.*)|--\d+(.*)"","""")"),"BERLOU")</f>
        <v>BERLOU</v>
      </c>
      <c r="E28862" s="38" t="s">
        <v>118</v>
      </c>
      <c r="F28862" s="38" t="s">
        <v>119</v>
      </c>
      <c r="G28862" s="49" t="str">
        <f t="shared" si="1"/>
        <v>34360</v>
      </c>
      <c r="H28862" s="49">
        <f t="shared" si="2"/>
        <v>34030</v>
      </c>
    </row>
    <row r="28863">
      <c r="A28863" s="48" t="s">
        <v>2820</v>
      </c>
      <c r="B28863" s="38">
        <v>2672.0</v>
      </c>
      <c r="C28863" s="38" t="s">
        <v>33297</v>
      </c>
      <c r="D28863" s="38" t="str">
        <f>IFERROR(__xludf.DUMMYFUNCTION("REGEXREPLACE(C28863,""-\d+(.*)|--\d+(.*)"","""")"),"SAINT-BANDRY")</f>
        <v>SAINT-BANDRY</v>
      </c>
      <c r="E28863" s="38" t="s">
        <v>191</v>
      </c>
      <c r="F28863" s="38" t="s">
        <v>113</v>
      </c>
      <c r="G28863" s="49" t="str">
        <f t="shared" si="1"/>
        <v>02290</v>
      </c>
      <c r="H28863" s="49" t="str">
        <f t="shared" si="2"/>
        <v>02672</v>
      </c>
    </row>
    <row r="28864">
      <c r="A28864" s="48" t="s">
        <v>746</v>
      </c>
      <c r="B28864" s="38">
        <v>76316.0</v>
      </c>
      <c r="C28864" s="38" t="s">
        <v>33298</v>
      </c>
      <c r="D28864" s="38" t="str">
        <f>IFERROR(__xludf.DUMMYFUNCTION("REGEXREPLACE(C28864,""-\d+(.*)|--\d+(.*)"","""")"),"GRAINVILLE-SUR-RY")</f>
        <v>GRAINVILLE-SUR-RY</v>
      </c>
      <c r="E28864" s="38" t="s">
        <v>133</v>
      </c>
      <c r="F28864" s="38" t="s">
        <v>134</v>
      </c>
      <c r="G28864" s="49" t="str">
        <f t="shared" si="1"/>
        <v>76116</v>
      </c>
      <c r="H28864" s="49">
        <f t="shared" si="2"/>
        <v>76316</v>
      </c>
    </row>
    <row r="28865">
      <c r="A28865" s="48" t="s">
        <v>15871</v>
      </c>
      <c r="B28865" s="38">
        <v>72051.0</v>
      </c>
      <c r="C28865" s="38" t="s">
        <v>33299</v>
      </c>
      <c r="D28865" s="38" t="str">
        <f>IFERROR(__xludf.DUMMYFUNCTION("REGEXREPLACE(C28865,""-\d+(.*)|--\d+(.*)"","""")"),"CERANS-FOULLETOURTE")</f>
        <v>CERANS-FOULLETOURTE</v>
      </c>
      <c r="E28865" s="38" t="s">
        <v>521</v>
      </c>
      <c r="F28865" s="38" t="s">
        <v>180</v>
      </c>
      <c r="G28865" s="49" t="str">
        <f t="shared" si="1"/>
        <v>72330</v>
      </c>
      <c r="H28865" s="49">
        <f t="shared" si="2"/>
        <v>72051</v>
      </c>
    </row>
    <row r="28866">
      <c r="A28866" s="48" t="s">
        <v>33300</v>
      </c>
      <c r="B28866" s="38">
        <v>69100.0</v>
      </c>
      <c r="C28866" s="38" t="s">
        <v>33301</v>
      </c>
      <c r="D28866" s="38" t="str">
        <f>IFERROR(__xludf.DUMMYFUNCTION("REGEXREPLACE(C28866,""-\d+(.*)|--\d+(.*)"","""")"),"IRIGNY")</f>
        <v>IRIGNY</v>
      </c>
      <c r="E28866" s="38" t="s">
        <v>350</v>
      </c>
      <c r="F28866" s="38" t="s">
        <v>102</v>
      </c>
      <c r="G28866" s="49" t="str">
        <f t="shared" si="1"/>
        <v>69540</v>
      </c>
      <c r="H28866" s="49">
        <f t="shared" si="2"/>
        <v>69100</v>
      </c>
    </row>
    <row r="28867">
      <c r="A28867" s="48" t="s">
        <v>1036</v>
      </c>
      <c r="B28867" s="38">
        <v>57010.0</v>
      </c>
      <c r="C28867" s="38" t="s">
        <v>33302</v>
      </c>
      <c r="D28867" s="38" t="str">
        <f>IFERROR(__xludf.DUMMYFUNCTION("REGEXREPLACE(C28867,""-\d+(.*)|--\d+(.*)"","""")"),"ALAINCOURT-LA-COTE")</f>
        <v>ALAINCOURT-LA-COTE</v>
      </c>
      <c r="E28867" s="38" t="s">
        <v>303</v>
      </c>
      <c r="F28867" s="38" t="s">
        <v>195</v>
      </c>
      <c r="G28867" s="49" t="str">
        <f t="shared" si="1"/>
        <v>57590</v>
      </c>
      <c r="H28867" s="49">
        <f t="shared" si="2"/>
        <v>57010</v>
      </c>
    </row>
    <row r="28868">
      <c r="A28868" s="48" t="s">
        <v>5565</v>
      </c>
      <c r="B28868" s="38">
        <v>63373.0</v>
      </c>
      <c r="C28868" s="38" t="s">
        <v>33303</v>
      </c>
      <c r="D28868" s="38" t="str">
        <f>IFERROR(__xludf.DUMMYFUNCTION("REGEXREPLACE(C28868,""-\d+(.*)|--\d+(.*)"","""")"),"SAINT-MAIGNER")</f>
        <v>SAINT-MAIGNER</v>
      </c>
      <c r="E28868" s="38" t="s">
        <v>353</v>
      </c>
      <c r="F28868" s="38" t="s">
        <v>161</v>
      </c>
      <c r="G28868" s="49" t="str">
        <f t="shared" si="1"/>
        <v>63330</v>
      </c>
      <c r="H28868" s="49">
        <f t="shared" si="2"/>
        <v>63373</v>
      </c>
    </row>
    <row r="28869">
      <c r="A28869" s="48" t="s">
        <v>5753</v>
      </c>
      <c r="B28869" s="38">
        <v>72214.0</v>
      </c>
      <c r="C28869" s="38" t="s">
        <v>33304</v>
      </c>
      <c r="D28869" s="38" t="str">
        <f>IFERROR(__xludf.DUMMYFUNCTION("REGEXREPLACE(C28869,""-\d+(.*)|--\d+(.*)"","""")"),"NAUVAY")</f>
        <v>NAUVAY</v>
      </c>
      <c r="E28869" s="38" t="s">
        <v>521</v>
      </c>
      <c r="F28869" s="38" t="s">
        <v>180</v>
      </c>
      <c r="G28869" s="49" t="str">
        <f t="shared" si="1"/>
        <v>72260</v>
      </c>
      <c r="H28869" s="49">
        <f t="shared" si="2"/>
        <v>72214</v>
      </c>
    </row>
    <row r="28870">
      <c r="A28870" s="48" t="s">
        <v>10334</v>
      </c>
      <c r="B28870" s="38">
        <v>68008.0</v>
      </c>
      <c r="C28870" s="38" t="s">
        <v>33305</v>
      </c>
      <c r="D28870" s="38" t="str">
        <f>IFERROR(__xludf.DUMMYFUNCTION("REGEXREPLACE(C28870,""-\d+(.*)|--\d+(.*)"","""")"),"APPENWIHR")</f>
        <v>APPENWIHR</v>
      </c>
      <c r="E28870" s="38" t="s">
        <v>150</v>
      </c>
      <c r="F28870" s="38" t="s">
        <v>151</v>
      </c>
      <c r="G28870" s="49" t="str">
        <f t="shared" si="1"/>
        <v>68280</v>
      </c>
      <c r="H28870" s="49">
        <f t="shared" si="2"/>
        <v>68008</v>
      </c>
    </row>
    <row r="28871">
      <c r="A28871" s="48" t="s">
        <v>9091</v>
      </c>
      <c r="B28871" s="38">
        <v>46047.0</v>
      </c>
      <c r="C28871" s="38" t="s">
        <v>13734</v>
      </c>
      <c r="D28871" s="38" t="str">
        <f>IFERROR(__xludf.DUMMYFUNCTION("REGEXREPLACE(C28871,""-\d+(.*)|--\d+(.*)"","""")"),"CALES")</f>
        <v>CALES</v>
      </c>
      <c r="E28871" s="38" t="s">
        <v>185</v>
      </c>
      <c r="F28871" s="38" t="s">
        <v>94</v>
      </c>
      <c r="G28871" s="49" t="str">
        <f t="shared" si="1"/>
        <v>46350</v>
      </c>
      <c r="H28871" s="49">
        <f t="shared" si="2"/>
        <v>46047</v>
      </c>
    </row>
    <row r="28872">
      <c r="A28872" s="48" t="s">
        <v>1428</v>
      </c>
      <c r="B28872" s="38">
        <v>31398.0</v>
      </c>
      <c r="C28872" s="38" t="s">
        <v>33306</v>
      </c>
      <c r="D28872" s="38" t="str">
        <f>IFERROR(__xludf.DUMMYFUNCTION("REGEXREPLACE(C28872,""-\d+(.*)|--\d+(.*)"","""")"),"NIZAN-GESSE")</f>
        <v>NIZAN-GESSE</v>
      </c>
      <c r="E28872" s="38" t="s">
        <v>93</v>
      </c>
      <c r="F28872" s="38" t="s">
        <v>94</v>
      </c>
      <c r="G28872" s="49" t="str">
        <f t="shared" si="1"/>
        <v>31350</v>
      </c>
      <c r="H28872" s="49">
        <f t="shared" si="2"/>
        <v>31398</v>
      </c>
    </row>
    <row r="28873">
      <c r="A28873" s="48" t="s">
        <v>5848</v>
      </c>
      <c r="B28873" s="38">
        <v>50247.0</v>
      </c>
      <c r="C28873" s="38" t="s">
        <v>33307</v>
      </c>
      <c r="D28873" s="38" t="str">
        <f>IFERROR(__xludf.DUMMYFUNCTION("REGEXREPLACE(C28873,""-\d+(.*)|--\d+(.*)"","""")"),"HOCQUIGNY")</f>
        <v>HOCQUIGNY</v>
      </c>
      <c r="E28873" s="38" t="s">
        <v>157</v>
      </c>
      <c r="F28873" s="38" t="s">
        <v>138</v>
      </c>
      <c r="G28873" s="49" t="str">
        <f t="shared" si="1"/>
        <v>50320</v>
      </c>
      <c r="H28873" s="49">
        <f t="shared" si="2"/>
        <v>50247</v>
      </c>
    </row>
    <row r="28874">
      <c r="A28874" s="48" t="s">
        <v>14379</v>
      </c>
      <c r="B28874" s="38">
        <v>35360.0</v>
      </c>
      <c r="C28874" s="38" t="s">
        <v>11604</v>
      </c>
      <c r="D28874" s="38" t="str">
        <f>IFERROR(__xludf.DUMMYFUNCTION("REGEXREPLACE(C28874,""-\d+(.*)|--\d+(.*)"","""")"),"VITRE")</f>
        <v>VITRE</v>
      </c>
      <c r="E28874" s="38" t="s">
        <v>347</v>
      </c>
      <c r="F28874" s="38" t="s">
        <v>90</v>
      </c>
      <c r="G28874" s="49" t="str">
        <f t="shared" si="1"/>
        <v>35500</v>
      </c>
      <c r="H28874" s="49">
        <f t="shared" si="2"/>
        <v>35360</v>
      </c>
    </row>
    <row r="28875">
      <c r="A28875" s="48" t="s">
        <v>2382</v>
      </c>
      <c r="B28875" s="38">
        <v>54523.0</v>
      </c>
      <c r="C28875" s="38" t="s">
        <v>33308</v>
      </c>
      <c r="D28875" s="38" t="str">
        <f>IFERROR(__xludf.DUMMYFUNCTION("REGEXREPLACE(C28875,""-\d+(.*)|--\d+(.*)"","""")"),"THUILLEY-AUX-GROSEILLES")</f>
        <v>THUILLEY-AUX-GROSEILLES</v>
      </c>
      <c r="E28875" s="38" t="s">
        <v>548</v>
      </c>
      <c r="F28875" s="38" t="s">
        <v>195</v>
      </c>
      <c r="G28875" s="49" t="str">
        <f t="shared" si="1"/>
        <v>54170</v>
      </c>
      <c r="H28875" s="49">
        <f t="shared" si="2"/>
        <v>54523</v>
      </c>
    </row>
    <row r="28876">
      <c r="A28876" s="48" t="s">
        <v>3624</v>
      </c>
      <c r="B28876" s="38">
        <v>39261.0</v>
      </c>
      <c r="C28876" s="38" t="s">
        <v>33309</v>
      </c>
      <c r="D28876" s="38" t="str">
        <f>IFERROR(__xludf.DUMMYFUNCTION("REGEXREPLACE(C28876,""-\d+(.*)|--\d+(.*)"","""")"),"GRAYE-ET-CHARNAY")</f>
        <v>GRAYE-ET-CHARNAY</v>
      </c>
      <c r="E28876" s="38" t="s">
        <v>400</v>
      </c>
      <c r="F28876" s="38" t="s">
        <v>214</v>
      </c>
      <c r="G28876" s="49" t="str">
        <f t="shared" si="1"/>
        <v>39320</v>
      </c>
      <c r="H28876" s="49">
        <f t="shared" si="2"/>
        <v>39261</v>
      </c>
    </row>
    <row r="28877">
      <c r="A28877" s="48" t="s">
        <v>2302</v>
      </c>
      <c r="B28877" s="38">
        <v>47035.0</v>
      </c>
      <c r="C28877" s="38" t="s">
        <v>33310</v>
      </c>
      <c r="D28877" s="38" t="str">
        <f>IFERROR(__xludf.DUMMYFUNCTION("REGEXREPLACE(C28877,""-\d+(.*)|--\d+(.*)"","""")"),"BOURGOUGNAGUE")</f>
        <v>BOURGOUGNAGUE</v>
      </c>
      <c r="E28877" s="38" t="s">
        <v>251</v>
      </c>
      <c r="F28877" s="38" t="s">
        <v>252</v>
      </c>
      <c r="G28877" s="49" t="str">
        <f t="shared" si="1"/>
        <v>47410</v>
      </c>
      <c r="H28877" s="49">
        <f t="shared" si="2"/>
        <v>47035</v>
      </c>
    </row>
    <row r="28878">
      <c r="A28878" s="48" t="s">
        <v>4088</v>
      </c>
      <c r="B28878" s="38">
        <v>39556.0</v>
      </c>
      <c r="C28878" s="38" t="s">
        <v>33311</v>
      </c>
      <c r="D28878" s="38" t="str">
        <f>IFERROR(__xludf.DUMMYFUNCTION("REGEXREPLACE(C28878,""-\d+(.*)|--\d+(.*)"","""")"),"VERTAMBOZ")</f>
        <v>VERTAMBOZ</v>
      </c>
      <c r="E28878" s="38" t="s">
        <v>400</v>
      </c>
      <c r="F28878" s="38" t="s">
        <v>214</v>
      </c>
      <c r="G28878" s="49" t="str">
        <f t="shared" si="1"/>
        <v>39130</v>
      </c>
      <c r="H28878" s="49">
        <f t="shared" si="2"/>
        <v>39556</v>
      </c>
    </row>
    <row r="28879">
      <c r="A28879" s="48" t="s">
        <v>7044</v>
      </c>
      <c r="B28879" s="38">
        <v>44069.0</v>
      </c>
      <c r="C28879" s="38" t="s">
        <v>33312</v>
      </c>
      <c r="D28879" s="38" t="str">
        <f>IFERROR(__xludf.DUMMYFUNCTION("REGEXREPLACE(C28879,""-\d+(.*)|--\d+(.*)"","""")"),"GUERANDE")</f>
        <v>GUERANDE</v>
      </c>
      <c r="E28879" s="38" t="s">
        <v>759</v>
      </c>
      <c r="F28879" s="38" t="s">
        <v>180</v>
      </c>
      <c r="G28879" s="49" t="str">
        <f t="shared" si="1"/>
        <v>44350</v>
      </c>
      <c r="H28879" s="49">
        <f t="shared" si="2"/>
        <v>44069</v>
      </c>
    </row>
    <row r="28880">
      <c r="A28880" s="48" t="s">
        <v>8359</v>
      </c>
      <c r="B28880" s="38">
        <v>89202.0</v>
      </c>
      <c r="C28880" s="38" t="s">
        <v>33313</v>
      </c>
      <c r="D28880" s="38" t="str">
        <f>IFERROR(__xludf.DUMMYFUNCTION("REGEXREPLACE(C28880,""-\d+(.*)|--\d+(.*)"","""")"),"IRANCY")</f>
        <v>IRANCY</v>
      </c>
      <c r="E28880" s="38" t="s">
        <v>275</v>
      </c>
      <c r="F28880" s="38" t="s">
        <v>106</v>
      </c>
      <c r="G28880" s="49" t="str">
        <f t="shared" si="1"/>
        <v>89290</v>
      </c>
      <c r="H28880" s="49">
        <f t="shared" si="2"/>
        <v>89202</v>
      </c>
    </row>
    <row r="28881">
      <c r="A28881" s="48" t="s">
        <v>5230</v>
      </c>
      <c r="B28881" s="38">
        <v>25066.0</v>
      </c>
      <c r="C28881" s="38" t="s">
        <v>33314</v>
      </c>
      <c r="D28881" s="38" t="str">
        <f>IFERROR(__xludf.DUMMYFUNCTION("REGEXREPLACE(C28881,""-\d+(.*)|--\d+(.*)"","""")"),"BLUSSANGEAUX")</f>
        <v>BLUSSANGEAUX</v>
      </c>
      <c r="E28881" s="38" t="s">
        <v>213</v>
      </c>
      <c r="F28881" s="38" t="s">
        <v>214</v>
      </c>
      <c r="G28881" s="49" t="str">
        <f t="shared" si="1"/>
        <v>25250</v>
      </c>
      <c r="H28881" s="49">
        <f t="shared" si="2"/>
        <v>25066</v>
      </c>
    </row>
    <row r="28882">
      <c r="A28882" s="48" t="s">
        <v>348</v>
      </c>
      <c r="B28882" s="38">
        <v>69060.0</v>
      </c>
      <c r="C28882" s="38" t="s">
        <v>33315</v>
      </c>
      <c r="D28882" s="38" t="str">
        <f>IFERROR(__xludf.DUMMYFUNCTION("REGEXREPLACE(C28882,""-\d+(.*)|--\d+(.*)"","""")"),"CLAVEISOLLES")</f>
        <v>CLAVEISOLLES</v>
      </c>
      <c r="E28882" s="38" t="s">
        <v>350</v>
      </c>
      <c r="F28882" s="38" t="s">
        <v>102</v>
      </c>
      <c r="G28882" s="49" t="str">
        <f t="shared" si="1"/>
        <v>69870</v>
      </c>
      <c r="H28882" s="49">
        <f t="shared" si="2"/>
        <v>69060</v>
      </c>
    </row>
    <row r="28883">
      <c r="A28883" s="48" t="s">
        <v>7037</v>
      </c>
      <c r="B28883" s="38">
        <v>34243.0</v>
      </c>
      <c r="C28883" s="38" t="s">
        <v>33316</v>
      </c>
      <c r="D28883" s="38" t="str">
        <f>IFERROR(__xludf.DUMMYFUNCTION("REGEXREPLACE(C28883,""-\d+(.*)|--\d+(.*)"","""")"),"SAINT-BAUZILLE-DE-PUTOIS")</f>
        <v>SAINT-BAUZILLE-DE-PUTOIS</v>
      </c>
      <c r="E28883" s="38" t="s">
        <v>118</v>
      </c>
      <c r="F28883" s="38" t="s">
        <v>119</v>
      </c>
      <c r="G28883" s="49" t="str">
        <f t="shared" si="1"/>
        <v>34190</v>
      </c>
      <c r="H28883" s="49">
        <f t="shared" si="2"/>
        <v>34243</v>
      </c>
    </row>
    <row r="28884">
      <c r="A28884" s="48" t="s">
        <v>4125</v>
      </c>
      <c r="B28884" s="38">
        <v>19029.0</v>
      </c>
      <c r="C28884" s="38" t="s">
        <v>33317</v>
      </c>
      <c r="D28884" s="38" t="str">
        <f>IFERROR(__xludf.DUMMYFUNCTION("REGEXREPLACE(C28884,""-\d+(.*)|--\d+(.*)"","""")"),"BRANCEILLES")</f>
        <v>BRANCEILLES</v>
      </c>
      <c r="E28884" s="38" t="s">
        <v>271</v>
      </c>
      <c r="F28884" s="38" t="s">
        <v>98</v>
      </c>
      <c r="G28884" s="49" t="str">
        <f t="shared" si="1"/>
        <v>19500</v>
      </c>
      <c r="H28884" s="49">
        <f t="shared" si="2"/>
        <v>19029</v>
      </c>
    </row>
    <row r="28885">
      <c r="A28885" s="48" t="s">
        <v>1726</v>
      </c>
      <c r="B28885" s="38">
        <v>14176.0</v>
      </c>
      <c r="C28885" s="38" t="s">
        <v>6030</v>
      </c>
      <c r="D28885" s="38" t="str">
        <f>IFERROR(__xludf.DUMMYFUNCTION("REGEXREPLACE(C28885,""-\d+(.*)|--\d+(.*)"","""")"),"CONTEVILLE")</f>
        <v>CONTEVILLE</v>
      </c>
      <c r="E28885" s="38" t="s">
        <v>137</v>
      </c>
      <c r="F28885" s="38" t="s">
        <v>138</v>
      </c>
      <c r="G28885" s="49" t="str">
        <f t="shared" si="1"/>
        <v>14540</v>
      </c>
      <c r="H28885" s="49">
        <f t="shared" si="2"/>
        <v>14176</v>
      </c>
    </row>
    <row r="28886">
      <c r="A28886" s="48" t="s">
        <v>9824</v>
      </c>
      <c r="B28886" s="38">
        <v>68223.0</v>
      </c>
      <c r="C28886" s="38" t="s">
        <v>33318</v>
      </c>
      <c r="D28886" s="38" t="str">
        <f>IFERROR(__xludf.DUMMYFUNCTION("REGEXREPLACE(C28886,""-\d+(.*)|--\d+(.*)"","""")"),"MUHLBACH-SUR-MUNSTER")</f>
        <v>MUHLBACH-SUR-MUNSTER</v>
      </c>
      <c r="E28886" s="38" t="s">
        <v>150</v>
      </c>
      <c r="F28886" s="38" t="s">
        <v>151</v>
      </c>
      <c r="G28886" s="49" t="str">
        <f t="shared" si="1"/>
        <v>68380</v>
      </c>
      <c r="H28886" s="49">
        <f t="shared" si="2"/>
        <v>68223</v>
      </c>
    </row>
    <row r="28887">
      <c r="A28887" s="48" t="s">
        <v>10307</v>
      </c>
      <c r="B28887" s="38">
        <v>35218.0</v>
      </c>
      <c r="C28887" s="38" t="s">
        <v>33319</v>
      </c>
      <c r="D28887" s="38" t="str">
        <f>IFERROR(__xludf.DUMMYFUNCTION("REGEXREPLACE(C28887,""-\d+(.*)|--\d+(.*)"","""")"),"LE PETIT-FOUGERAY")</f>
        <v>LE PETIT-FOUGERAY</v>
      </c>
      <c r="E28887" s="38" t="s">
        <v>347</v>
      </c>
      <c r="F28887" s="38" t="s">
        <v>90</v>
      </c>
      <c r="G28887" s="49" t="str">
        <f t="shared" si="1"/>
        <v>35320</v>
      </c>
      <c r="H28887" s="49">
        <f t="shared" si="2"/>
        <v>35218</v>
      </c>
    </row>
    <row r="28888">
      <c r="A28888" s="48" t="s">
        <v>1016</v>
      </c>
      <c r="B28888" s="38">
        <v>28324.0</v>
      </c>
      <c r="C28888" s="38" t="s">
        <v>33320</v>
      </c>
      <c r="D28888" s="38" t="str">
        <f>IFERROR(__xludf.DUMMYFUNCTION("REGEXREPLACE(C28888,""-\d+(.*)|--\d+(.*)"","""")"),"SAINT-ARNOULT-DES-BOIS")</f>
        <v>SAINT-ARNOULT-DES-BOIS</v>
      </c>
      <c r="E28888" s="38" t="s">
        <v>300</v>
      </c>
      <c r="F28888" s="38" t="s">
        <v>123</v>
      </c>
      <c r="G28888" s="49" t="str">
        <f t="shared" si="1"/>
        <v>28190</v>
      </c>
      <c r="H28888" s="49">
        <f t="shared" si="2"/>
        <v>28324</v>
      </c>
    </row>
    <row r="28889">
      <c r="A28889" s="48" t="s">
        <v>8365</v>
      </c>
      <c r="B28889" s="38">
        <v>39520.0</v>
      </c>
      <c r="C28889" s="38" t="s">
        <v>33321</v>
      </c>
      <c r="D28889" s="38" t="str">
        <f>IFERROR(__xludf.DUMMYFUNCTION("REGEXREPLACE(C28889,""-\d+(.*)|--\d+(.*)"","""")"),"SOUVANS")</f>
        <v>SOUVANS</v>
      </c>
      <c r="E28889" s="38" t="s">
        <v>400</v>
      </c>
      <c r="F28889" s="38" t="s">
        <v>214</v>
      </c>
      <c r="G28889" s="49" t="str">
        <f t="shared" si="1"/>
        <v>39380</v>
      </c>
      <c r="H28889" s="49">
        <f t="shared" si="2"/>
        <v>39520</v>
      </c>
    </row>
    <row r="28890">
      <c r="A28890" s="48" t="s">
        <v>33322</v>
      </c>
      <c r="B28890" s="38">
        <v>85190.0</v>
      </c>
      <c r="C28890" s="38" t="s">
        <v>33323</v>
      </c>
      <c r="D28890" s="38" t="str">
        <f>IFERROR(__xludf.DUMMYFUNCTION("REGEXREPLACE(C28890,""-\d+(.*)|--\d+(.*)"","""")"),"ROCHESERVIERE")</f>
        <v>ROCHESERVIERE</v>
      </c>
      <c r="E28890" s="38" t="s">
        <v>179</v>
      </c>
      <c r="F28890" s="38" t="s">
        <v>180</v>
      </c>
      <c r="G28890" s="49" t="str">
        <f t="shared" si="1"/>
        <v>85620</v>
      </c>
      <c r="H28890" s="49">
        <f t="shared" si="2"/>
        <v>85190</v>
      </c>
    </row>
    <row r="28891">
      <c r="A28891" s="48" t="s">
        <v>2794</v>
      </c>
      <c r="B28891" s="38">
        <v>39081.0</v>
      </c>
      <c r="C28891" s="38" t="s">
        <v>33324</v>
      </c>
      <c r="D28891" s="38" t="str">
        <f>IFERROR(__xludf.DUMMYFUNCTION("REGEXREPLACE(C28891,""-\d+(.*)|--\d+(.*)"","""")"),"BUVILLY")</f>
        <v>BUVILLY</v>
      </c>
      <c r="E28891" s="38" t="s">
        <v>400</v>
      </c>
      <c r="F28891" s="38" t="s">
        <v>214</v>
      </c>
      <c r="G28891" s="49" t="str">
        <f t="shared" si="1"/>
        <v>39800</v>
      </c>
      <c r="H28891" s="49">
        <f t="shared" si="2"/>
        <v>39081</v>
      </c>
    </row>
    <row r="28892">
      <c r="A28892" s="48" t="s">
        <v>33325</v>
      </c>
      <c r="B28892" s="38">
        <v>76711.0</v>
      </c>
      <c r="C28892" s="38" t="s">
        <v>33326</v>
      </c>
      <c r="D28892" s="38" t="str">
        <f>IFERROR(__xludf.DUMMYFUNCTION("REGEXREPLACE(C28892,""-\d+(.*)|--\d+(.*)"","""")"),"LE TREPORT")</f>
        <v>LE TREPORT</v>
      </c>
      <c r="E28892" s="38" t="s">
        <v>133</v>
      </c>
      <c r="F28892" s="38" t="s">
        <v>134</v>
      </c>
      <c r="G28892" s="49" t="str">
        <f t="shared" si="1"/>
        <v>76470</v>
      </c>
      <c r="H28892" s="49">
        <f t="shared" si="2"/>
        <v>76711</v>
      </c>
    </row>
    <row r="28893">
      <c r="A28893" s="48" t="s">
        <v>4272</v>
      </c>
      <c r="B28893" s="38">
        <v>76733.0</v>
      </c>
      <c r="C28893" s="38" t="s">
        <v>33327</v>
      </c>
      <c r="D28893" s="38" t="str">
        <f>IFERROR(__xludf.DUMMYFUNCTION("REGEXREPLACE(C28893,""-\d+(.*)|--\d+(.*)"","""")"),"VENTES-SAINT-REMY")</f>
        <v>VENTES-SAINT-REMY</v>
      </c>
      <c r="E28893" s="38" t="s">
        <v>133</v>
      </c>
      <c r="F28893" s="38" t="s">
        <v>134</v>
      </c>
      <c r="G28893" s="49" t="str">
        <f t="shared" si="1"/>
        <v>76680</v>
      </c>
      <c r="H28893" s="49">
        <f t="shared" si="2"/>
        <v>76733</v>
      </c>
    </row>
    <row r="28894">
      <c r="A28894" s="48" t="s">
        <v>3810</v>
      </c>
      <c r="B28894" s="38">
        <v>77191.0</v>
      </c>
      <c r="C28894" s="38" t="s">
        <v>33328</v>
      </c>
      <c r="D28894" s="38" t="str">
        <f>IFERROR(__xludf.DUMMYFUNCTION("REGEXREPLACE(C28894,""-\d+(.*)|--\d+(.*)"","""")"),"FONTENAILLES")</f>
        <v>FONTENAILLES</v>
      </c>
      <c r="E28894" s="38" t="s">
        <v>244</v>
      </c>
      <c r="F28894" s="38" t="s">
        <v>245</v>
      </c>
      <c r="G28894" s="49" t="str">
        <f t="shared" si="1"/>
        <v>77370</v>
      </c>
      <c r="H28894" s="49">
        <f t="shared" si="2"/>
        <v>77191</v>
      </c>
    </row>
    <row r="28895">
      <c r="A28895" s="48" t="s">
        <v>4626</v>
      </c>
      <c r="B28895" s="38">
        <v>16253.0</v>
      </c>
      <c r="C28895" s="38" t="s">
        <v>33329</v>
      </c>
      <c r="D28895" s="38" t="str">
        <f>IFERROR(__xludf.DUMMYFUNCTION("REGEXREPLACE(C28895,""-\d+(.*)|--\d+(.*)"","""")"),"PAIZAY-NAUDOUIN-EMBOURIE")</f>
        <v>PAIZAY-NAUDOUIN-EMBOURIE</v>
      </c>
      <c r="E28895" s="38" t="s">
        <v>429</v>
      </c>
      <c r="F28895" s="38" t="s">
        <v>338</v>
      </c>
      <c r="G28895" s="49" t="str">
        <f t="shared" si="1"/>
        <v>16240</v>
      </c>
      <c r="H28895" s="49">
        <f t="shared" si="2"/>
        <v>16253</v>
      </c>
    </row>
    <row r="28896">
      <c r="A28896" s="48" t="s">
        <v>15383</v>
      </c>
      <c r="B28896" s="38">
        <v>53211.0</v>
      </c>
      <c r="C28896" s="38" t="s">
        <v>33330</v>
      </c>
      <c r="D28896" s="38" t="str">
        <f>IFERROR(__xludf.DUMMYFUNCTION("REGEXREPLACE(C28896,""-\d+(.*)|--\d+(.*)"","""")"),"SAINT-DENIS-DE-GASTINES")</f>
        <v>SAINT-DENIS-DE-GASTINES</v>
      </c>
      <c r="E28896" s="38" t="s">
        <v>518</v>
      </c>
      <c r="F28896" s="38" t="s">
        <v>180</v>
      </c>
      <c r="G28896" s="49" t="str">
        <f t="shared" si="1"/>
        <v>53500</v>
      </c>
      <c r="H28896" s="49">
        <f t="shared" si="2"/>
        <v>53211</v>
      </c>
    </row>
    <row r="28897">
      <c r="A28897" s="48" t="s">
        <v>1027</v>
      </c>
      <c r="B28897" s="38">
        <v>1110.0</v>
      </c>
      <c r="C28897" s="38" t="s">
        <v>33331</v>
      </c>
      <c r="D28897" s="38" t="str">
        <f>IFERROR(__xludf.DUMMYFUNCTION("REGEXREPLACE(C28897,""-\d+(.*)|--\d+(.*)"","""")"),"COLOMIEU")</f>
        <v>COLOMIEU</v>
      </c>
      <c r="E28897" s="38" t="s">
        <v>255</v>
      </c>
      <c r="F28897" s="38" t="s">
        <v>102</v>
      </c>
      <c r="G28897" s="49" t="str">
        <f t="shared" si="1"/>
        <v>01300</v>
      </c>
      <c r="H28897" s="49" t="str">
        <f t="shared" si="2"/>
        <v>01110</v>
      </c>
    </row>
    <row r="28898">
      <c r="A28898" s="48" t="s">
        <v>12117</v>
      </c>
      <c r="B28898" s="38">
        <v>38176.0</v>
      </c>
      <c r="C28898" s="38" t="s">
        <v>33332</v>
      </c>
      <c r="D28898" s="38" t="str">
        <f>IFERROR(__xludf.DUMMYFUNCTION("REGEXREPLACE(C28898,""-\d+(.*)|--\d+(.*)"","""")"),"FRONTONAS")</f>
        <v>FRONTONAS</v>
      </c>
      <c r="E28898" s="38" t="s">
        <v>101</v>
      </c>
      <c r="F28898" s="38" t="s">
        <v>102</v>
      </c>
      <c r="G28898" s="49" t="str">
        <f t="shared" si="1"/>
        <v>38290</v>
      </c>
      <c r="H28898" s="49">
        <f t="shared" si="2"/>
        <v>38176</v>
      </c>
    </row>
    <row r="28899">
      <c r="A28899" s="48" t="s">
        <v>19732</v>
      </c>
      <c r="B28899" s="38">
        <v>16236.0</v>
      </c>
      <c r="C28899" s="38" t="s">
        <v>33333</v>
      </c>
      <c r="D28899" s="38" t="str">
        <f>IFERROR(__xludf.DUMMYFUNCTION("REGEXREPLACE(C28899,""-\d+(.*)|--\d+(.*)"","""")"),"MOUTHIERS-SUR-BOEME")</f>
        <v>MOUTHIERS-SUR-BOEME</v>
      </c>
      <c r="E28899" s="38" t="s">
        <v>429</v>
      </c>
      <c r="F28899" s="38" t="s">
        <v>338</v>
      </c>
      <c r="G28899" s="49" t="str">
        <f t="shared" si="1"/>
        <v>16440</v>
      </c>
      <c r="H28899" s="49">
        <f t="shared" si="2"/>
        <v>16236</v>
      </c>
    </row>
    <row r="28900">
      <c r="A28900" s="48" t="s">
        <v>5806</v>
      </c>
      <c r="B28900" s="38">
        <v>39479.0</v>
      </c>
      <c r="C28900" s="38" t="s">
        <v>33334</v>
      </c>
      <c r="D28900" s="38" t="str">
        <f>IFERROR(__xludf.DUMMYFUNCTION("REGEXREPLACE(C28900,""-\d+(.*)|--\d+(.*)"","""")"),"SAINT-CYR-MONTMALIN")</f>
        <v>SAINT-CYR-MONTMALIN</v>
      </c>
      <c r="E28900" s="38" t="s">
        <v>400</v>
      </c>
      <c r="F28900" s="38" t="s">
        <v>214</v>
      </c>
      <c r="G28900" s="49" t="str">
        <f t="shared" si="1"/>
        <v>39600</v>
      </c>
      <c r="H28900" s="49">
        <f t="shared" si="2"/>
        <v>39479</v>
      </c>
    </row>
    <row r="28901">
      <c r="A28901" s="48" t="s">
        <v>1889</v>
      </c>
      <c r="B28901" s="38">
        <v>25376.0</v>
      </c>
      <c r="C28901" s="38" t="s">
        <v>33335</v>
      </c>
      <c r="D28901" s="38" t="str">
        <f>IFERROR(__xludf.DUMMYFUNCTION("REGEXREPLACE(C28901,""-\d+(.*)|--\d+(.*)"","""")"),"MEREY-VIEILLEY")</f>
        <v>MEREY-VIEILLEY</v>
      </c>
      <c r="E28901" s="38" t="s">
        <v>213</v>
      </c>
      <c r="F28901" s="38" t="s">
        <v>214</v>
      </c>
      <c r="G28901" s="49" t="str">
        <f t="shared" si="1"/>
        <v>25870</v>
      </c>
      <c r="H28901" s="49">
        <f t="shared" si="2"/>
        <v>25376</v>
      </c>
    </row>
    <row r="28902">
      <c r="A28902" s="48" t="s">
        <v>9315</v>
      </c>
      <c r="B28902" s="38">
        <v>68009.0</v>
      </c>
      <c r="C28902" s="38" t="s">
        <v>33336</v>
      </c>
      <c r="D28902" s="38" t="str">
        <f>IFERROR(__xludf.DUMMYFUNCTION("REGEXREPLACE(C28902,""-\d+(.*)|--\d+(.*)"","""")"),"ARTZENHEIM")</f>
        <v>ARTZENHEIM</v>
      </c>
      <c r="E28902" s="38" t="s">
        <v>150</v>
      </c>
      <c r="F28902" s="38" t="s">
        <v>151</v>
      </c>
      <c r="G28902" s="49" t="str">
        <f t="shared" si="1"/>
        <v>68320</v>
      </c>
      <c r="H28902" s="49">
        <f t="shared" si="2"/>
        <v>68009</v>
      </c>
    </row>
    <row r="28903">
      <c r="A28903" s="48" t="s">
        <v>11602</v>
      </c>
      <c r="B28903" s="38">
        <v>5024.0</v>
      </c>
      <c r="C28903" s="38" t="s">
        <v>33337</v>
      </c>
      <c r="D28903" s="38" t="str">
        <f>IFERROR(__xludf.DUMMYFUNCTION("REGEXREPLACE(C28903,""-\d+(.*)|--\d+(.*)"","""")"),"BRUIS")</f>
        <v>BRUIS</v>
      </c>
      <c r="E28903" s="38" t="s">
        <v>706</v>
      </c>
      <c r="F28903" s="38" t="s">
        <v>228</v>
      </c>
      <c r="G28903" s="49" t="str">
        <f t="shared" si="1"/>
        <v>05150</v>
      </c>
      <c r="H28903" s="49" t="str">
        <f t="shared" si="2"/>
        <v>05024</v>
      </c>
    </row>
    <row r="28904">
      <c r="A28904" s="48" t="s">
        <v>665</v>
      </c>
      <c r="B28904" s="38">
        <v>76659.0</v>
      </c>
      <c r="C28904" s="38" t="s">
        <v>33338</v>
      </c>
      <c r="D28904" s="38" t="str">
        <f>IFERROR(__xludf.DUMMYFUNCTION("REGEXREPLACE(C28904,""-\d+(.*)|--\d+(.*)"","""")"),"SAINT-WANDRILLE-RANCON")</f>
        <v>SAINT-WANDRILLE-RANCON</v>
      </c>
      <c r="E28904" s="38" t="s">
        <v>133</v>
      </c>
      <c r="F28904" s="38" t="s">
        <v>134</v>
      </c>
      <c r="G28904" s="49" t="str">
        <f t="shared" si="1"/>
        <v>76490</v>
      </c>
      <c r="H28904" s="49">
        <f t="shared" si="2"/>
        <v>76659</v>
      </c>
    </row>
    <row r="28905">
      <c r="A28905" s="48" t="s">
        <v>1560</v>
      </c>
      <c r="B28905" s="38">
        <v>14435.0</v>
      </c>
      <c r="C28905" s="38" t="s">
        <v>33339</v>
      </c>
      <c r="D28905" s="38" t="str">
        <f>IFERROR(__xludf.DUMMYFUNCTION("REGEXREPLACE(C28905,""-\d+(.*)|--\d+(.*)"","""")"),"LES MONCEAUX")</f>
        <v>LES MONCEAUX</v>
      </c>
      <c r="E28905" s="38" t="s">
        <v>137</v>
      </c>
      <c r="F28905" s="38" t="s">
        <v>138</v>
      </c>
      <c r="G28905" s="49" t="str">
        <f t="shared" si="1"/>
        <v>14100</v>
      </c>
      <c r="H28905" s="49">
        <f t="shared" si="2"/>
        <v>14435</v>
      </c>
    </row>
    <row r="28906">
      <c r="A28906" s="48" t="s">
        <v>8252</v>
      </c>
      <c r="B28906" s="38">
        <v>60234.0</v>
      </c>
      <c r="C28906" s="38" t="s">
        <v>33340</v>
      </c>
      <c r="D28906" s="38" t="str">
        <f>IFERROR(__xludf.DUMMYFUNCTION("REGEXREPLACE(C28906,""-\d+(.*)|--\d+(.*)"","""")"),"FITZ-JAMES")</f>
        <v>FITZ-JAMES</v>
      </c>
      <c r="E28906" s="38" t="s">
        <v>112</v>
      </c>
      <c r="F28906" s="38" t="s">
        <v>113</v>
      </c>
      <c r="G28906" s="49" t="str">
        <f t="shared" si="1"/>
        <v>60600</v>
      </c>
      <c r="H28906" s="49">
        <f t="shared" si="2"/>
        <v>60234</v>
      </c>
    </row>
    <row r="28907">
      <c r="A28907" s="48" t="s">
        <v>12929</v>
      </c>
      <c r="B28907" s="38">
        <v>73297.0</v>
      </c>
      <c r="C28907" s="38" t="s">
        <v>33341</v>
      </c>
      <c r="D28907" s="38" t="str">
        <f>IFERROR(__xludf.DUMMYFUNCTION("REGEXREPLACE(C28907,""-\d+(.*)|--\d+(.*)"","""")"),"TOURNON")</f>
        <v>TOURNON</v>
      </c>
      <c r="E28907" s="38" t="s">
        <v>306</v>
      </c>
      <c r="F28907" s="38" t="s">
        <v>102</v>
      </c>
      <c r="G28907" s="49" t="str">
        <f t="shared" si="1"/>
        <v>73460</v>
      </c>
      <c r="H28907" s="49">
        <f t="shared" si="2"/>
        <v>73297</v>
      </c>
    </row>
    <row r="28908">
      <c r="A28908" s="48" t="s">
        <v>5553</v>
      </c>
      <c r="B28908" s="38">
        <v>34072.0</v>
      </c>
      <c r="C28908" s="38" t="s">
        <v>21351</v>
      </c>
      <c r="D28908" s="38" t="str">
        <f>IFERROR(__xludf.DUMMYFUNCTION("REGEXREPLACE(C28908,""-\d+(.*)|--\d+(.*)"","""")"),"CELLES")</f>
        <v>CELLES</v>
      </c>
      <c r="E28908" s="38" t="s">
        <v>118</v>
      </c>
      <c r="F28908" s="38" t="s">
        <v>119</v>
      </c>
      <c r="G28908" s="49" t="str">
        <f t="shared" si="1"/>
        <v>34700</v>
      </c>
      <c r="H28908" s="49">
        <f t="shared" si="2"/>
        <v>34072</v>
      </c>
    </row>
    <row r="28909">
      <c r="A28909" s="48" t="s">
        <v>1072</v>
      </c>
      <c r="B28909" s="38">
        <v>86255.0</v>
      </c>
      <c r="C28909" s="38" t="s">
        <v>33342</v>
      </c>
      <c r="D28909" s="38" t="str">
        <f>IFERROR(__xludf.DUMMYFUNCTION("REGEXREPLACE(C28909,""-\d+(.*)|--\d+(.*)"","""")"),"SAVIGNE")</f>
        <v>SAVIGNE</v>
      </c>
      <c r="E28909" s="38" t="s">
        <v>529</v>
      </c>
      <c r="F28909" s="38" t="s">
        <v>338</v>
      </c>
      <c r="G28909" s="49" t="str">
        <f t="shared" si="1"/>
        <v>86400</v>
      </c>
      <c r="H28909" s="49">
        <f t="shared" si="2"/>
        <v>86255</v>
      </c>
    </row>
    <row r="28910">
      <c r="A28910" s="48" t="s">
        <v>434</v>
      </c>
      <c r="B28910" s="38">
        <v>55110.0</v>
      </c>
      <c r="C28910" s="38" t="s">
        <v>33343</v>
      </c>
      <c r="D28910" s="38" t="str">
        <f>IFERROR(__xludf.DUMMYFUNCTION("REGEXREPLACE(C28910,""-\d+(.*)|--\d+(.*)"","""")"),"CHAUVENCY-SAINT-HUBERT")</f>
        <v>CHAUVENCY-SAINT-HUBERT</v>
      </c>
      <c r="E28910" s="38" t="s">
        <v>322</v>
      </c>
      <c r="F28910" s="38" t="s">
        <v>195</v>
      </c>
      <c r="G28910" s="49" t="str">
        <f t="shared" si="1"/>
        <v>55600</v>
      </c>
      <c r="H28910" s="49">
        <f t="shared" si="2"/>
        <v>55110</v>
      </c>
    </row>
    <row r="28911">
      <c r="A28911" s="48" t="s">
        <v>21123</v>
      </c>
      <c r="B28911" s="38">
        <v>81268.0</v>
      </c>
      <c r="C28911" s="38" t="s">
        <v>33344</v>
      </c>
      <c r="D28911" s="38" t="str">
        <f>IFERROR(__xludf.DUMMYFUNCTION("REGEXREPLACE(C28911,""-\d+(.*)|--\d+(.*)"","""")"),"SAINT-SALVI-DE-CARCAVES")</f>
        <v>SAINT-SALVI-DE-CARCAVES</v>
      </c>
      <c r="E28911" s="38" t="s">
        <v>231</v>
      </c>
      <c r="F28911" s="38" t="s">
        <v>94</v>
      </c>
      <c r="G28911" s="49" t="str">
        <f t="shared" si="1"/>
        <v>81530</v>
      </c>
      <c r="H28911" s="49">
        <f t="shared" si="2"/>
        <v>81268</v>
      </c>
    </row>
    <row r="28912">
      <c r="A28912" s="48" t="s">
        <v>7736</v>
      </c>
      <c r="B28912" s="38">
        <v>11001.0</v>
      </c>
      <c r="C28912" s="38" t="s">
        <v>5177</v>
      </c>
      <c r="D28912" s="38" t="str">
        <f>IFERROR(__xludf.DUMMYFUNCTION("REGEXREPLACE(C28912,""-\d+(.*)|--\d+(.*)"","""")"),"AIGUES-VIVES")</f>
        <v>AIGUES-VIVES</v>
      </c>
      <c r="E28912" s="38" t="s">
        <v>278</v>
      </c>
      <c r="F28912" s="38" t="s">
        <v>119</v>
      </c>
      <c r="G28912" s="49" t="str">
        <f t="shared" si="1"/>
        <v>11800</v>
      </c>
      <c r="H28912" s="49">
        <f t="shared" si="2"/>
        <v>11001</v>
      </c>
    </row>
    <row r="28913">
      <c r="A28913" s="48" t="s">
        <v>6099</v>
      </c>
      <c r="B28913" s="38">
        <v>59557.0</v>
      </c>
      <c r="C28913" s="38" t="s">
        <v>33345</v>
      </c>
      <c r="D28913" s="38" t="str">
        <f>IFERROR(__xludf.DUMMYFUNCTION("REGEXREPLACE(C28913,""-\d+(.*)|--\d+(.*)"","""")"),"SAULTAIN")</f>
        <v>SAULTAIN</v>
      </c>
      <c r="E28913" s="38" t="s">
        <v>85</v>
      </c>
      <c r="F28913" s="38" t="s">
        <v>86</v>
      </c>
      <c r="G28913" s="49" t="str">
        <f t="shared" si="1"/>
        <v>59990</v>
      </c>
      <c r="H28913" s="49">
        <f t="shared" si="2"/>
        <v>59557</v>
      </c>
    </row>
    <row r="28914">
      <c r="A28914" s="48" t="s">
        <v>4304</v>
      </c>
      <c r="B28914" s="38">
        <v>44031.0</v>
      </c>
      <c r="C28914" s="38" t="s">
        <v>33346</v>
      </c>
      <c r="D28914" s="38" t="str">
        <f>IFERROR(__xludf.DUMMYFUNCTION("REGEXREPLACE(C28914,""-\d+(.*)|--\d+(.*)"","""")"),"LA CHAPELLE-GLAIN")</f>
        <v>LA CHAPELLE-GLAIN</v>
      </c>
      <c r="E28914" s="38" t="s">
        <v>759</v>
      </c>
      <c r="F28914" s="38" t="s">
        <v>180</v>
      </c>
      <c r="G28914" s="49" t="str">
        <f t="shared" si="1"/>
        <v>44670</v>
      </c>
      <c r="H28914" s="49">
        <f t="shared" si="2"/>
        <v>44031</v>
      </c>
    </row>
    <row r="28915">
      <c r="A28915" s="48" t="s">
        <v>10369</v>
      </c>
      <c r="B28915" s="38">
        <v>88176.0</v>
      </c>
      <c r="C28915" s="38" t="s">
        <v>33347</v>
      </c>
      <c r="D28915" s="38" t="str">
        <f>IFERROR(__xludf.DUMMYFUNCTION("REGEXREPLACE(C28915,""-\d+(.*)|--\d+(.*)"","""")"),"FONTENOY-LE-CHATEAU")</f>
        <v>FONTENOY-LE-CHATEAU</v>
      </c>
      <c r="E28915" s="38" t="s">
        <v>194</v>
      </c>
      <c r="F28915" s="38" t="s">
        <v>195</v>
      </c>
      <c r="G28915" s="49" t="str">
        <f t="shared" si="1"/>
        <v>88240</v>
      </c>
      <c r="H28915" s="49">
        <f t="shared" si="2"/>
        <v>88176</v>
      </c>
    </row>
    <row r="28916">
      <c r="A28916" s="48" t="s">
        <v>9436</v>
      </c>
      <c r="B28916" s="38">
        <v>63073.0</v>
      </c>
      <c r="C28916" s="38" t="s">
        <v>33348</v>
      </c>
      <c r="D28916" s="38" t="str">
        <f>IFERROR(__xludf.DUMMYFUNCTION("REGEXREPLACE(C28916,""-\d+(.*)|--\d+(.*)"","""")"),"CHADELEUF")</f>
        <v>CHADELEUF</v>
      </c>
      <c r="E28916" s="38" t="s">
        <v>353</v>
      </c>
      <c r="F28916" s="38" t="s">
        <v>161</v>
      </c>
      <c r="G28916" s="49" t="str">
        <f t="shared" si="1"/>
        <v>63320</v>
      </c>
      <c r="H28916" s="49">
        <f t="shared" si="2"/>
        <v>63073</v>
      </c>
    </row>
    <row r="28917">
      <c r="A28917" s="48" t="s">
        <v>14133</v>
      </c>
      <c r="B28917" s="38">
        <v>45039.0</v>
      </c>
      <c r="C28917" s="38" t="s">
        <v>33349</v>
      </c>
      <c r="D28917" s="38" t="str">
        <f>IFERROR(__xludf.DUMMYFUNCTION("REGEXREPLACE(C28917,""-\d+(.*)|--\d+(.*)"","""")"),"BONNEE")</f>
        <v>BONNEE</v>
      </c>
      <c r="E28917" s="38" t="s">
        <v>122</v>
      </c>
      <c r="F28917" s="38" t="s">
        <v>123</v>
      </c>
      <c r="G28917" s="49" t="str">
        <f t="shared" si="1"/>
        <v>45460</v>
      </c>
      <c r="H28917" s="49">
        <f t="shared" si="2"/>
        <v>45039</v>
      </c>
    </row>
    <row r="28918">
      <c r="A28918" s="48" t="s">
        <v>4814</v>
      </c>
      <c r="B28918" s="38">
        <v>57745.0</v>
      </c>
      <c r="C28918" s="38" t="s">
        <v>33350</v>
      </c>
      <c r="D28918" s="38" t="str">
        <f>IFERROR(__xludf.DUMMYFUNCTION("REGEXREPLACE(C28918,""-\d+(.*)|--\d+(.*)"","""")"),"WIESVILLER")</f>
        <v>WIESVILLER</v>
      </c>
      <c r="E28918" s="38" t="s">
        <v>303</v>
      </c>
      <c r="F28918" s="38" t="s">
        <v>195</v>
      </c>
      <c r="G28918" s="49" t="str">
        <f t="shared" si="1"/>
        <v>57200</v>
      </c>
      <c r="H28918" s="49">
        <f t="shared" si="2"/>
        <v>57745</v>
      </c>
    </row>
    <row r="28919">
      <c r="A28919" s="48" t="s">
        <v>29412</v>
      </c>
      <c r="B28919" s="38">
        <v>76295.0</v>
      </c>
      <c r="C28919" s="38" t="s">
        <v>33351</v>
      </c>
      <c r="D28919" s="38" t="str">
        <f>IFERROR(__xludf.DUMMYFUNCTION("REGEXREPLACE(C28919,""-\d+(.*)|--\d+(.*)"","""")"),"GAILLEFONTAINE")</f>
        <v>GAILLEFONTAINE</v>
      </c>
      <c r="E28919" s="38" t="s">
        <v>133</v>
      </c>
      <c r="F28919" s="38" t="s">
        <v>134</v>
      </c>
      <c r="G28919" s="49" t="str">
        <f t="shared" si="1"/>
        <v>76870</v>
      </c>
      <c r="H28919" s="49">
        <f t="shared" si="2"/>
        <v>76295</v>
      </c>
    </row>
    <row r="28920">
      <c r="A28920" s="48" t="s">
        <v>987</v>
      </c>
      <c r="B28920" s="38">
        <v>40148.0</v>
      </c>
      <c r="C28920" s="38" t="s">
        <v>33352</v>
      </c>
      <c r="D28920" s="38" t="str">
        <f>IFERROR(__xludf.DUMMYFUNCTION("REGEXREPLACE(C28920,""-\d+(.*)|--\d+(.*)"","""")"),"LAURET")</f>
        <v>LAURET</v>
      </c>
      <c r="E28920" s="38" t="s">
        <v>281</v>
      </c>
      <c r="F28920" s="38" t="s">
        <v>252</v>
      </c>
      <c r="G28920" s="49" t="str">
        <f t="shared" si="1"/>
        <v>40320</v>
      </c>
      <c r="H28920" s="49">
        <f t="shared" si="2"/>
        <v>40148</v>
      </c>
    </row>
    <row r="28921">
      <c r="A28921" s="48" t="s">
        <v>8196</v>
      </c>
      <c r="B28921" s="38">
        <v>23191.0</v>
      </c>
      <c r="C28921" s="38" t="s">
        <v>13362</v>
      </c>
      <c r="D28921" s="38" t="str">
        <f>IFERROR(__xludf.DUMMYFUNCTION("REGEXREPLACE(C28921,""-\d+(.*)|--\d+(.*)"","""")"),"SAINT-ELOI")</f>
        <v>SAINT-ELOI</v>
      </c>
      <c r="E28921" s="38" t="s">
        <v>97</v>
      </c>
      <c r="F28921" s="38" t="s">
        <v>98</v>
      </c>
      <c r="G28921" s="49" t="str">
        <f t="shared" si="1"/>
        <v>23000</v>
      </c>
      <c r="H28921" s="49">
        <f t="shared" si="2"/>
        <v>23191</v>
      </c>
    </row>
    <row r="28922">
      <c r="A28922" s="48" t="s">
        <v>1368</v>
      </c>
      <c r="B28922" s="38">
        <v>8018.0</v>
      </c>
      <c r="C28922" s="38" t="s">
        <v>33353</v>
      </c>
      <c r="D28922" s="38" t="str">
        <f>IFERROR(__xludf.DUMMYFUNCTION("REGEXREPLACE(C28922,""-\d+(.*)|--\d+(.*)"","""")"),"ARDEUIL-ET-MONTFAUXELLES")</f>
        <v>ARDEUIL-ET-MONTFAUXELLES</v>
      </c>
      <c r="E28922" s="38" t="s">
        <v>327</v>
      </c>
      <c r="F28922" s="38" t="s">
        <v>130</v>
      </c>
      <c r="G28922" s="49" t="str">
        <f t="shared" si="1"/>
        <v>08400</v>
      </c>
      <c r="H28922" s="49" t="str">
        <f t="shared" si="2"/>
        <v>08018</v>
      </c>
    </row>
    <row r="28923">
      <c r="A28923" s="48" t="s">
        <v>3626</v>
      </c>
      <c r="B28923" s="38">
        <v>57072.0</v>
      </c>
      <c r="C28923" s="38" t="s">
        <v>33354</v>
      </c>
      <c r="D28923" s="38" t="str">
        <f>IFERROR(__xludf.DUMMYFUNCTION("REGEXREPLACE(C28923,""-\d+(.*)|--\d+(.*)"","""")"),"BETTELAINVILLE")</f>
        <v>BETTELAINVILLE</v>
      </c>
      <c r="E28923" s="38" t="s">
        <v>303</v>
      </c>
      <c r="F28923" s="38" t="s">
        <v>195</v>
      </c>
      <c r="G28923" s="49" t="str">
        <f t="shared" si="1"/>
        <v>57640</v>
      </c>
      <c r="H28923" s="49">
        <f t="shared" si="2"/>
        <v>57072</v>
      </c>
    </row>
    <row r="28924">
      <c r="A28924" s="48" t="s">
        <v>948</v>
      </c>
      <c r="B28924" s="38">
        <v>68215.0</v>
      </c>
      <c r="C28924" s="38" t="s">
        <v>33355</v>
      </c>
      <c r="D28924" s="38" t="str">
        <f>IFERROR(__xludf.DUMMYFUNCTION("REGEXREPLACE(C28924,""-\d+(.*)|--\d+(.*)"","""")"),"MONTREUX-VIEUX")</f>
        <v>MONTREUX-VIEUX</v>
      </c>
      <c r="E28924" s="38" t="s">
        <v>150</v>
      </c>
      <c r="F28924" s="38" t="s">
        <v>151</v>
      </c>
      <c r="G28924" s="49" t="str">
        <f t="shared" si="1"/>
        <v>68210</v>
      </c>
      <c r="H28924" s="49">
        <f t="shared" si="2"/>
        <v>68215</v>
      </c>
    </row>
    <row r="28925">
      <c r="A28925" s="48" t="s">
        <v>2905</v>
      </c>
      <c r="B28925" s="38">
        <v>21066.0</v>
      </c>
      <c r="C28925" s="38" t="s">
        <v>33356</v>
      </c>
      <c r="D28925" s="38" t="str">
        <f>IFERROR(__xludf.DUMMYFUNCTION("REGEXREPLACE(C28925,""-\d+(.*)|--\d+(.*)"","""")"),"BESSEY-LA-COUR")</f>
        <v>BESSEY-LA-COUR</v>
      </c>
      <c r="E28925" s="38" t="s">
        <v>105</v>
      </c>
      <c r="F28925" s="38" t="s">
        <v>106</v>
      </c>
      <c r="G28925" s="49" t="str">
        <f t="shared" si="1"/>
        <v>21360</v>
      </c>
      <c r="H28925" s="49">
        <f t="shared" si="2"/>
        <v>21066</v>
      </c>
    </row>
    <row r="28926">
      <c r="A28926" s="48" t="s">
        <v>5779</v>
      </c>
      <c r="B28926" s="38">
        <v>86271.0</v>
      </c>
      <c r="C28926" s="38" t="s">
        <v>33357</v>
      </c>
      <c r="D28926" s="38" t="str">
        <f>IFERROR(__xludf.DUMMYFUNCTION("REGEXREPLACE(C28926,""-\d+(.*)|--\d+(.*)"","""")"),"THURAGEAU")</f>
        <v>THURAGEAU</v>
      </c>
      <c r="E28926" s="38" t="s">
        <v>529</v>
      </c>
      <c r="F28926" s="38" t="s">
        <v>338</v>
      </c>
      <c r="G28926" s="49" t="str">
        <f t="shared" si="1"/>
        <v>86110</v>
      </c>
      <c r="H28926" s="49">
        <f t="shared" si="2"/>
        <v>86271</v>
      </c>
    </row>
    <row r="28927">
      <c r="A28927" s="48" t="s">
        <v>968</v>
      </c>
      <c r="B28927" s="38">
        <v>16393.0</v>
      </c>
      <c r="C28927" s="38" t="s">
        <v>16199</v>
      </c>
      <c r="D28927" s="38" t="str">
        <f>IFERROR(__xludf.DUMMYFUNCTION("REGEXREPLACE(C28927,""-\d+(.*)|--\d+(.*)"","""")"),"VARS")</f>
        <v>VARS</v>
      </c>
      <c r="E28927" s="38" t="s">
        <v>429</v>
      </c>
      <c r="F28927" s="38" t="s">
        <v>338</v>
      </c>
      <c r="G28927" s="49" t="str">
        <f t="shared" si="1"/>
        <v>16330</v>
      </c>
      <c r="H28927" s="49">
        <f t="shared" si="2"/>
        <v>16393</v>
      </c>
    </row>
    <row r="28928">
      <c r="A28928" s="48" t="s">
        <v>18007</v>
      </c>
      <c r="B28928" s="38">
        <v>81221.0</v>
      </c>
      <c r="C28928" s="38" t="s">
        <v>33358</v>
      </c>
      <c r="D28928" s="38" t="str">
        <f>IFERROR(__xludf.DUMMYFUNCTION("REGEXREPLACE(C28928,""-\d+(.*)|--\d+(.*)"","""")"),"RAYSSAC")</f>
        <v>RAYSSAC</v>
      </c>
      <c r="E28928" s="38" t="s">
        <v>231</v>
      </c>
      <c r="F28928" s="38" t="s">
        <v>94</v>
      </c>
      <c r="G28928" s="49" t="str">
        <f t="shared" si="1"/>
        <v>81330</v>
      </c>
      <c r="H28928" s="49">
        <f t="shared" si="2"/>
        <v>81221</v>
      </c>
    </row>
    <row r="28929">
      <c r="A28929" s="48" t="s">
        <v>781</v>
      </c>
      <c r="B28929" s="38">
        <v>65197.0</v>
      </c>
      <c r="C28929" s="38" t="s">
        <v>1795</v>
      </c>
      <c r="D28929" s="38" t="str">
        <f>IFERROR(__xludf.DUMMYFUNCTION("REGEXREPLACE(C28929,""-\d+(.*)|--\d+(.*)"","""")"),"GER")</f>
        <v>GER</v>
      </c>
      <c r="E28929" s="38" t="s">
        <v>200</v>
      </c>
      <c r="F28929" s="38" t="s">
        <v>94</v>
      </c>
      <c r="G28929" s="49" t="str">
        <f t="shared" si="1"/>
        <v>65100</v>
      </c>
      <c r="H28929" s="49">
        <f t="shared" si="2"/>
        <v>65197</v>
      </c>
    </row>
    <row r="28930">
      <c r="A28930" s="48" t="s">
        <v>211</v>
      </c>
      <c r="B28930" s="38">
        <v>25155.0</v>
      </c>
      <c r="C28930" s="38" t="s">
        <v>33359</v>
      </c>
      <c r="D28930" s="38" t="str">
        <f>IFERROR(__xludf.DUMMYFUNCTION("REGEXREPLACE(C28930,""-\d+(.*)|--\d+(.*)"","""")"),"CLERON")</f>
        <v>CLERON</v>
      </c>
      <c r="E28930" s="38" t="s">
        <v>213</v>
      </c>
      <c r="F28930" s="38" t="s">
        <v>214</v>
      </c>
      <c r="G28930" s="49" t="str">
        <f t="shared" si="1"/>
        <v>25330</v>
      </c>
      <c r="H28930" s="49">
        <f t="shared" si="2"/>
        <v>25155</v>
      </c>
    </row>
    <row r="28931">
      <c r="A28931" s="48" t="s">
        <v>6890</v>
      </c>
      <c r="B28931" s="38">
        <v>51485.0</v>
      </c>
      <c r="C28931" s="38" t="s">
        <v>33360</v>
      </c>
      <c r="D28931" s="38" t="str">
        <f>IFERROR(__xludf.DUMMYFUNCTION("REGEXREPLACE(C28931,""-\d+(.*)|--\d+(.*)"","""")"),"SAINT-HILAIRE-AU-TEMPLE")</f>
        <v>SAINT-HILAIRE-AU-TEMPLE</v>
      </c>
      <c r="E28931" s="38" t="s">
        <v>129</v>
      </c>
      <c r="F28931" s="38" t="s">
        <v>130</v>
      </c>
      <c r="G28931" s="49" t="str">
        <f t="shared" si="1"/>
        <v>51400</v>
      </c>
      <c r="H28931" s="49">
        <f t="shared" si="2"/>
        <v>51485</v>
      </c>
    </row>
    <row r="28932">
      <c r="A28932" s="48" t="s">
        <v>3089</v>
      </c>
      <c r="B28932" s="38">
        <v>18035.0</v>
      </c>
      <c r="C28932" s="38" t="s">
        <v>21927</v>
      </c>
      <c r="D28932" s="38" t="str">
        <f>IFERROR(__xludf.DUMMYFUNCTION("REGEXREPLACE(C28932,""-\d+(.*)|--\d+(.*)"","""")"),"BRECY")</f>
        <v>BRECY</v>
      </c>
      <c r="E28932" s="38" t="s">
        <v>504</v>
      </c>
      <c r="F28932" s="38" t="s">
        <v>123</v>
      </c>
      <c r="G28932" s="49" t="str">
        <f t="shared" si="1"/>
        <v>18220</v>
      </c>
      <c r="H28932" s="49">
        <f t="shared" si="2"/>
        <v>18035</v>
      </c>
    </row>
    <row r="28933">
      <c r="A28933" s="48" t="s">
        <v>1293</v>
      </c>
      <c r="B28933" s="38">
        <v>25053.0</v>
      </c>
      <c r="C28933" s="38" t="s">
        <v>33361</v>
      </c>
      <c r="D28933" s="38" t="str">
        <f>IFERROR(__xludf.DUMMYFUNCTION("REGEXREPLACE(C28933,""-\d+(.*)|--\d+(.*)"","""")"),"BELVOIR")</f>
        <v>BELVOIR</v>
      </c>
      <c r="E28933" s="38" t="s">
        <v>213</v>
      </c>
      <c r="F28933" s="38" t="s">
        <v>214</v>
      </c>
      <c r="G28933" s="49" t="str">
        <f t="shared" si="1"/>
        <v>25430</v>
      </c>
      <c r="H28933" s="49">
        <f t="shared" si="2"/>
        <v>25053</v>
      </c>
    </row>
    <row r="28934">
      <c r="A28934" s="48" t="s">
        <v>1159</v>
      </c>
      <c r="B28934" s="38">
        <v>60546.0</v>
      </c>
      <c r="C28934" s="38" t="s">
        <v>14547</v>
      </c>
      <c r="D28934" s="38" t="str">
        <f>IFERROR(__xludf.DUMMYFUNCTION("REGEXREPLACE(C28934,""-\d+(.*)|--\d+(.*)"","""")"),"ROSIERES")</f>
        <v>ROSIERES</v>
      </c>
      <c r="E28934" s="38" t="s">
        <v>112</v>
      </c>
      <c r="F28934" s="38" t="s">
        <v>113</v>
      </c>
      <c r="G28934" s="49" t="str">
        <f t="shared" si="1"/>
        <v>60440</v>
      </c>
      <c r="H28934" s="49">
        <f t="shared" si="2"/>
        <v>60546</v>
      </c>
    </row>
    <row r="28935">
      <c r="A28935" s="48" t="s">
        <v>10778</v>
      </c>
      <c r="B28935" s="38">
        <v>21316.0</v>
      </c>
      <c r="C28935" s="38" t="s">
        <v>33362</v>
      </c>
      <c r="D28935" s="38" t="str">
        <f>IFERROR(__xludf.DUMMYFUNCTION("REGEXREPLACE(C28935,""-\d+(.*)|--\d+(.*)"","""")"),"HEUILLEY-SUR-SAONE")</f>
        <v>HEUILLEY-SUR-SAONE</v>
      </c>
      <c r="E28935" s="38" t="s">
        <v>105</v>
      </c>
      <c r="F28935" s="38" t="s">
        <v>106</v>
      </c>
      <c r="G28935" s="49" t="str">
        <f t="shared" si="1"/>
        <v>21270</v>
      </c>
      <c r="H28935" s="49">
        <f t="shared" si="2"/>
        <v>21316</v>
      </c>
    </row>
    <row r="28936">
      <c r="A28936" s="48" t="s">
        <v>2336</v>
      </c>
      <c r="B28936" s="38">
        <v>58009.0</v>
      </c>
      <c r="C28936" s="38" t="s">
        <v>33363</v>
      </c>
      <c r="D28936" s="38" t="str">
        <f>IFERROR(__xludf.DUMMYFUNCTION("REGEXREPLACE(C28936,""-\d+(.*)|--\d+(.*)"","""")"),"ARBOURSE")</f>
        <v>ARBOURSE</v>
      </c>
      <c r="E28936" s="38" t="s">
        <v>219</v>
      </c>
      <c r="F28936" s="38" t="s">
        <v>106</v>
      </c>
      <c r="G28936" s="49" t="str">
        <f t="shared" si="1"/>
        <v>58350</v>
      </c>
      <c r="H28936" s="49">
        <f t="shared" si="2"/>
        <v>58009</v>
      </c>
    </row>
    <row r="28937">
      <c r="A28937" s="48" t="s">
        <v>3467</v>
      </c>
      <c r="B28937" s="38">
        <v>72343.0</v>
      </c>
      <c r="C28937" s="38" t="s">
        <v>33364</v>
      </c>
      <c r="D28937" s="38" t="str">
        <f>IFERROR(__xludf.DUMMYFUNCTION("REGEXREPLACE(C28937,""-\d+(.*)|--\d+(.*)"","""")"),"SOUVIGNE-SUR-SARTHE")</f>
        <v>SOUVIGNE-SUR-SARTHE</v>
      </c>
      <c r="E28937" s="38" t="s">
        <v>521</v>
      </c>
      <c r="F28937" s="38" t="s">
        <v>180</v>
      </c>
      <c r="G28937" s="49" t="str">
        <f t="shared" si="1"/>
        <v>72300</v>
      </c>
      <c r="H28937" s="49">
        <f t="shared" si="2"/>
        <v>72343</v>
      </c>
    </row>
    <row r="28938">
      <c r="A28938" s="48" t="s">
        <v>4543</v>
      </c>
      <c r="B28938" s="38">
        <v>64368.0</v>
      </c>
      <c r="C28938" s="38" t="s">
        <v>33365</v>
      </c>
      <c r="D28938" s="38" t="str">
        <f>IFERROR(__xludf.DUMMYFUNCTION("REGEXREPLACE(C28938,""-\d+(.*)|--\d+(.*)"","""")"),"MASPARRAUTE")</f>
        <v>MASPARRAUTE</v>
      </c>
      <c r="E28938" s="38" t="s">
        <v>268</v>
      </c>
      <c r="F28938" s="38" t="s">
        <v>252</v>
      </c>
      <c r="G28938" s="49" t="str">
        <f t="shared" si="1"/>
        <v>64120</v>
      </c>
      <c r="H28938" s="49">
        <f t="shared" si="2"/>
        <v>64368</v>
      </c>
    </row>
    <row r="28939">
      <c r="A28939" s="48" t="s">
        <v>392</v>
      </c>
      <c r="B28939" s="38">
        <v>35216.0</v>
      </c>
      <c r="C28939" s="38" t="s">
        <v>33366</v>
      </c>
      <c r="D28939" s="38" t="str">
        <f>IFERROR(__xludf.DUMMYFUNCTION("REGEXREPLACE(C28939,""-\d+(.*)|--\d+(.*)"","""")"),"PARTHENAY-DE-BRETAGNE")</f>
        <v>PARTHENAY-DE-BRETAGNE</v>
      </c>
      <c r="E28939" s="38" t="s">
        <v>347</v>
      </c>
      <c r="F28939" s="38" t="s">
        <v>90</v>
      </c>
      <c r="G28939" s="49" t="str">
        <f t="shared" si="1"/>
        <v>35850</v>
      </c>
      <c r="H28939" s="49">
        <f t="shared" si="2"/>
        <v>35216</v>
      </c>
    </row>
    <row r="28940">
      <c r="A28940" s="48" t="s">
        <v>311</v>
      </c>
      <c r="B28940" s="38">
        <v>31578.0</v>
      </c>
      <c r="C28940" s="38" t="s">
        <v>33367</v>
      </c>
      <c r="D28940" s="38" t="str">
        <f>IFERROR(__xludf.DUMMYFUNCTION("REGEXREPLACE(C28940,""-\d+(.*)|--\d+(.*)"","""")"),"VIGOULET-AUZIL")</f>
        <v>VIGOULET-AUZIL</v>
      </c>
      <c r="E28940" s="38" t="s">
        <v>93</v>
      </c>
      <c r="F28940" s="38" t="s">
        <v>94</v>
      </c>
      <c r="G28940" s="49" t="str">
        <f t="shared" si="1"/>
        <v>31320</v>
      </c>
      <c r="H28940" s="49">
        <f t="shared" si="2"/>
        <v>31578</v>
      </c>
    </row>
    <row r="28941">
      <c r="A28941" s="48" t="s">
        <v>1473</v>
      </c>
      <c r="B28941" s="38">
        <v>50121.0</v>
      </c>
      <c r="C28941" s="38" t="s">
        <v>33368</v>
      </c>
      <c r="D28941" s="38" t="str">
        <f>IFERROR(__xludf.DUMMYFUNCTION("REGEXREPLACE(C28941,""-\d+(.*)|--\d+(.*)"","""")"),"LA CHAPELLE-CECELIN")</f>
        <v>LA CHAPELLE-CECELIN</v>
      </c>
      <c r="E28941" s="38" t="s">
        <v>157</v>
      </c>
      <c r="F28941" s="38" t="s">
        <v>138</v>
      </c>
      <c r="G28941" s="49" t="str">
        <f t="shared" si="1"/>
        <v>50800</v>
      </c>
      <c r="H28941" s="49">
        <f t="shared" si="2"/>
        <v>50121</v>
      </c>
    </row>
    <row r="28942">
      <c r="A28942" s="48" t="s">
        <v>7988</v>
      </c>
      <c r="B28942" s="38">
        <v>24470.0</v>
      </c>
      <c r="C28942" s="38" t="s">
        <v>33369</v>
      </c>
      <c r="D28942" s="38" t="str">
        <f>IFERROR(__xludf.DUMMYFUNCTION("REGEXREPLACE(C28942,""-\d+(.*)|--\d+(.*)"","""")"),"SAINTE-MONDANE")</f>
        <v>SAINTE-MONDANE</v>
      </c>
      <c r="E28942" s="38" t="s">
        <v>261</v>
      </c>
      <c r="F28942" s="38" t="s">
        <v>252</v>
      </c>
      <c r="G28942" s="49" t="str">
        <f t="shared" si="1"/>
        <v>24370</v>
      </c>
      <c r="H28942" s="49">
        <f t="shared" si="2"/>
        <v>24470</v>
      </c>
    </row>
    <row r="28943">
      <c r="A28943" s="48" t="s">
        <v>14892</v>
      </c>
      <c r="B28943" s="38" t="s">
        <v>33370</v>
      </c>
      <c r="C28943" s="38" t="s">
        <v>33371</v>
      </c>
      <c r="D28943" s="38" t="str">
        <f>IFERROR(__xludf.DUMMYFUNCTION("REGEXREPLACE(C28943,""-\d+(.*)|--\d+(.*)"","""")"),"BIGORNO")</f>
        <v>BIGORNO</v>
      </c>
      <c r="E28943" s="38" t="s">
        <v>743</v>
      </c>
      <c r="F28943" s="38" t="s">
        <v>607</v>
      </c>
      <c r="G28943" s="49" t="str">
        <f t="shared" si="1"/>
        <v>20252</v>
      </c>
      <c r="H28943" s="49" t="str">
        <f t="shared" si="2"/>
        <v>2B036</v>
      </c>
    </row>
    <row r="28944">
      <c r="A28944" s="48" t="s">
        <v>8045</v>
      </c>
      <c r="B28944" s="38">
        <v>77341.0</v>
      </c>
      <c r="C28944" s="38" t="s">
        <v>33372</v>
      </c>
      <c r="D28944" s="38" t="str">
        <f>IFERROR(__xludf.DUMMYFUNCTION("REGEXREPLACE(C28944,""-\d+(.*)|--\d+(.*)"","""")"),"NOYEN-SUR-SEINE")</f>
        <v>NOYEN-SUR-SEINE</v>
      </c>
      <c r="E28944" s="38" t="s">
        <v>244</v>
      </c>
      <c r="F28944" s="38" t="s">
        <v>245</v>
      </c>
      <c r="G28944" s="49" t="str">
        <f t="shared" si="1"/>
        <v>77114</v>
      </c>
      <c r="H28944" s="49">
        <f t="shared" si="2"/>
        <v>77341</v>
      </c>
    </row>
    <row r="28945">
      <c r="A28945" s="48" t="s">
        <v>12539</v>
      </c>
      <c r="B28945" s="38">
        <v>14389.0</v>
      </c>
      <c r="C28945" s="38" t="s">
        <v>33373</v>
      </c>
      <c r="D28945" s="38" t="str">
        <f>IFERROR(__xludf.DUMMYFUNCTION("REGEXREPLACE(C28945,""-\d+(.*)|--\d+(.*)"","""")"),"MAISONCELLES-PELVEY")</f>
        <v>MAISONCELLES-PELVEY</v>
      </c>
      <c r="E28945" s="38" t="s">
        <v>137</v>
      </c>
      <c r="F28945" s="38" t="s">
        <v>138</v>
      </c>
      <c r="G28945" s="49" t="str">
        <f t="shared" si="1"/>
        <v>14310</v>
      </c>
      <c r="H28945" s="49">
        <f t="shared" si="2"/>
        <v>14389</v>
      </c>
    </row>
    <row r="28946">
      <c r="A28946" s="48" t="s">
        <v>4764</v>
      </c>
      <c r="B28946" s="38">
        <v>63072.0</v>
      </c>
      <c r="C28946" s="38" t="s">
        <v>33374</v>
      </c>
      <c r="D28946" s="38" t="str">
        <f>IFERROR(__xludf.DUMMYFUNCTION("REGEXREPLACE(C28946,""-\d+(.*)|--\d+(.*)"","""")"),"CHABRELOCHE")</f>
        <v>CHABRELOCHE</v>
      </c>
      <c r="E28946" s="38" t="s">
        <v>353</v>
      </c>
      <c r="F28946" s="38" t="s">
        <v>161</v>
      </c>
      <c r="G28946" s="49" t="str">
        <f t="shared" si="1"/>
        <v>63250</v>
      </c>
      <c r="H28946" s="49">
        <f t="shared" si="2"/>
        <v>63072</v>
      </c>
    </row>
    <row r="28947">
      <c r="A28947" s="48" t="s">
        <v>1785</v>
      </c>
      <c r="B28947" s="38">
        <v>42142.0</v>
      </c>
      <c r="C28947" s="38" t="s">
        <v>33375</v>
      </c>
      <c r="D28947" s="38" t="str">
        <f>IFERROR(__xludf.DUMMYFUNCTION("REGEXREPLACE(C28947,""-\d+(.*)|--\d+(.*)"","""")"),"MERLE-LEIGNEC")</f>
        <v>MERLE-LEIGNEC</v>
      </c>
      <c r="E28947" s="38" t="s">
        <v>166</v>
      </c>
      <c r="F28947" s="38" t="s">
        <v>102</v>
      </c>
      <c r="G28947" s="49" t="str">
        <f t="shared" si="1"/>
        <v>42380</v>
      </c>
      <c r="H28947" s="49">
        <f t="shared" si="2"/>
        <v>42142</v>
      </c>
    </row>
    <row r="28948">
      <c r="A28948" s="48" t="s">
        <v>1246</v>
      </c>
      <c r="B28948" s="38">
        <v>62155.0</v>
      </c>
      <c r="C28948" s="38" t="s">
        <v>33376</v>
      </c>
      <c r="D28948" s="38" t="str">
        <f>IFERROR(__xludf.DUMMYFUNCTION("REGEXREPLACE(C28948,""-\d+(.*)|--\d+(.*)"","""")"),"BONNINGUES-LES-ARDRES")</f>
        <v>BONNINGUES-LES-ARDRES</v>
      </c>
      <c r="E28948" s="38" t="s">
        <v>109</v>
      </c>
      <c r="F28948" s="38" t="s">
        <v>86</v>
      </c>
      <c r="G28948" s="49" t="str">
        <f t="shared" si="1"/>
        <v>62890</v>
      </c>
      <c r="H28948" s="49">
        <f t="shared" si="2"/>
        <v>62155</v>
      </c>
    </row>
    <row r="28949">
      <c r="A28949" s="48" t="s">
        <v>736</v>
      </c>
      <c r="B28949" s="38">
        <v>57652.0</v>
      </c>
      <c r="C28949" s="38" t="s">
        <v>33377</v>
      </c>
      <c r="D28949" s="38" t="str">
        <f>IFERROR(__xludf.DUMMYFUNCTION("REGEXREPLACE(C28949,""-\d+(.*)|--\d+(.*)"","""")"),"SILLEGNY")</f>
        <v>SILLEGNY</v>
      </c>
      <c r="E28949" s="38" t="s">
        <v>303</v>
      </c>
      <c r="F28949" s="38" t="s">
        <v>195</v>
      </c>
      <c r="G28949" s="49" t="str">
        <f t="shared" si="1"/>
        <v>57420</v>
      </c>
      <c r="H28949" s="49">
        <f t="shared" si="2"/>
        <v>57652</v>
      </c>
    </row>
    <row r="28950">
      <c r="A28950" s="48" t="s">
        <v>1258</v>
      </c>
      <c r="B28950" s="38">
        <v>35091.0</v>
      </c>
      <c r="C28950" s="38" t="s">
        <v>33378</v>
      </c>
      <c r="D28950" s="38" t="str">
        <f>IFERROR(__xludf.DUMMYFUNCTION("REGEXREPLACE(C28950,""-\d+(.*)|--\d+(.*)"","""")"),"LE CROUAIS")</f>
        <v>LE CROUAIS</v>
      </c>
      <c r="E28950" s="38" t="s">
        <v>347</v>
      </c>
      <c r="F28950" s="38" t="s">
        <v>90</v>
      </c>
      <c r="G28950" s="49" t="str">
        <f t="shared" si="1"/>
        <v>35290</v>
      </c>
      <c r="H28950" s="49">
        <f t="shared" si="2"/>
        <v>35091</v>
      </c>
    </row>
    <row r="28951">
      <c r="A28951" s="48" t="s">
        <v>470</v>
      </c>
      <c r="B28951" s="38">
        <v>8445.0</v>
      </c>
      <c r="C28951" s="38" t="s">
        <v>33379</v>
      </c>
      <c r="D28951" s="38" t="str">
        <f>IFERROR(__xludf.DUMMYFUNCTION("REGEXREPLACE(C28951,""-\d+(.*)|--\d+(.*)"","""")"),"THELONNE")</f>
        <v>THELONNE</v>
      </c>
      <c r="E28951" s="38" t="s">
        <v>327</v>
      </c>
      <c r="F28951" s="38" t="s">
        <v>130</v>
      </c>
      <c r="G28951" s="49" t="str">
        <f t="shared" si="1"/>
        <v>08350</v>
      </c>
      <c r="H28951" s="49" t="str">
        <f t="shared" si="2"/>
        <v>08445</v>
      </c>
    </row>
    <row r="28952">
      <c r="A28952" s="48" t="s">
        <v>546</v>
      </c>
      <c r="B28952" s="38">
        <v>54403.0</v>
      </c>
      <c r="C28952" s="38" t="s">
        <v>33380</v>
      </c>
      <c r="D28952" s="38" t="str">
        <f>IFERROR(__xludf.DUMMYFUNCTION("REGEXREPLACE(C28952,""-\d+(.*)|--\d+(.*)"","""")"),"NORROY-LES-PONT-A-MOUSSON")</f>
        <v>NORROY-LES-PONT-A-MOUSSON</v>
      </c>
      <c r="E28952" s="38" t="s">
        <v>548</v>
      </c>
      <c r="F28952" s="38" t="s">
        <v>195</v>
      </c>
      <c r="G28952" s="49" t="str">
        <f t="shared" si="1"/>
        <v>54700</v>
      </c>
      <c r="H28952" s="49">
        <f t="shared" si="2"/>
        <v>54403</v>
      </c>
    </row>
    <row r="28953">
      <c r="A28953" s="48" t="s">
        <v>1669</v>
      </c>
      <c r="B28953" s="38">
        <v>21369.0</v>
      </c>
      <c r="C28953" s="38" t="s">
        <v>33381</v>
      </c>
      <c r="D28953" s="38" t="str">
        <f>IFERROR(__xludf.DUMMYFUNCTION("REGEXREPLACE(C28953,""-\d+(.*)|--\d+(.*)"","""")"),"MAGNY-SAINT-MEDARD")</f>
        <v>MAGNY-SAINT-MEDARD</v>
      </c>
      <c r="E28953" s="38" t="s">
        <v>105</v>
      </c>
      <c r="F28953" s="38" t="s">
        <v>106</v>
      </c>
      <c r="G28953" s="49" t="str">
        <f t="shared" si="1"/>
        <v>21310</v>
      </c>
      <c r="H28953" s="49">
        <f t="shared" si="2"/>
        <v>21369</v>
      </c>
    </row>
    <row r="28954">
      <c r="A28954" s="48" t="s">
        <v>1024</v>
      </c>
      <c r="B28954" s="38">
        <v>84014.0</v>
      </c>
      <c r="C28954" s="38" t="s">
        <v>33382</v>
      </c>
      <c r="D28954" s="38" t="str">
        <f>IFERROR(__xludf.DUMMYFUNCTION("REGEXREPLACE(C28954,""-\d+(.*)|--\d+(.*)"","""")"),"BEAUMONT-DE-PERTUIS")</f>
        <v>BEAUMONT-DE-PERTUIS</v>
      </c>
      <c r="E28954" s="38" t="s">
        <v>1026</v>
      </c>
      <c r="F28954" s="38" t="s">
        <v>228</v>
      </c>
      <c r="G28954" s="49" t="str">
        <f t="shared" si="1"/>
        <v>84120</v>
      </c>
      <c r="H28954" s="49">
        <f t="shared" si="2"/>
        <v>84014</v>
      </c>
    </row>
    <row r="28955">
      <c r="A28955" s="48" t="s">
        <v>2995</v>
      </c>
      <c r="B28955" s="38">
        <v>28142.0</v>
      </c>
      <c r="C28955" s="38" t="s">
        <v>33383</v>
      </c>
      <c r="D28955" s="38" t="str">
        <f>IFERROR(__xludf.DUMMYFUNCTION("REGEXREPLACE(C28955,""-\d+(.*)|--\d+(.*)"","""")"),"ERMENONVILLE-LA-PETITE")</f>
        <v>ERMENONVILLE-LA-PETITE</v>
      </c>
      <c r="E28955" s="38" t="s">
        <v>300</v>
      </c>
      <c r="F28955" s="38" t="s">
        <v>123</v>
      </c>
      <c r="G28955" s="49" t="str">
        <f t="shared" si="1"/>
        <v>28120</v>
      </c>
      <c r="H28955" s="49">
        <f t="shared" si="2"/>
        <v>28142</v>
      </c>
    </row>
    <row r="28956">
      <c r="A28956" s="48" t="s">
        <v>16806</v>
      </c>
      <c r="B28956" s="38">
        <v>17299.0</v>
      </c>
      <c r="C28956" s="38" t="s">
        <v>22348</v>
      </c>
      <c r="D28956" s="38" t="str">
        <f>IFERROR(__xludf.DUMMYFUNCTION("REGEXREPLACE(C28956,""-\d+(.*)|--\d+(.*)"","""")"),"ROCHEFORT")</f>
        <v>ROCHEFORT</v>
      </c>
      <c r="E28956" s="38" t="s">
        <v>488</v>
      </c>
      <c r="F28956" s="38" t="s">
        <v>338</v>
      </c>
      <c r="G28956" s="49" t="str">
        <f t="shared" si="1"/>
        <v>17300</v>
      </c>
      <c r="H28956" s="49">
        <f t="shared" si="2"/>
        <v>17299</v>
      </c>
    </row>
    <row r="28957">
      <c r="A28957" s="48" t="s">
        <v>3519</v>
      </c>
      <c r="B28957" s="38">
        <v>15064.0</v>
      </c>
      <c r="C28957" s="38" t="s">
        <v>33384</v>
      </c>
      <c r="D28957" s="38" t="str">
        <f>IFERROR(__xludf.DUMMYFUNCTION("REGEXREPLACE(C28957,""-\d+(.*)|--\d+(.*)"","""")"),"ESCORAILLES")</f>
        <v>ESCORAILLES</v>
      </c>
      <c r="E28957" s="38" t="s">
        <v>632</v>
      </c>
      <c r="F28957" s="38" t="s">
        <v>161</v>
      </c>
      <c r="G28957" s="49" t="str">
        <f t="shared" si="1"/>
        <v>15700</v>
      </c>
      <c r="H28957" s="49">
        <f t="shared" si="2"/>
        <v>15064</v>
      </c>
    </row>
    <row r="28958">
      <c r="A28958" s="48" t="s">
        <v>1980</v>
      </c>
      <c r="B28958" s="38">
        <v>45059.0</v>
      </c>
      <c r="C28958" s="38" t="s">
        <v>33385</v>
      </c>
      <c r="D28958" s="38" t="str">
        <f>IFERROR(__xludf.DUMMYFUNCTION("REGEXREPLACE(C28958,""-\d+(.*)|--\d+(.*)"","""")"),"BUCY-SAINT-LIPHARD")</f>
        <v>BUCY-SAINT-LIPHARD</v>
      </c>
      <c r="E28958" s="38" t="s">
        <v>122</v>
      </c>
      <c r="F28958" s="38" t="s">
        <v>123</v>
      </c>
      <c r="G28958" s="49" t="str">
        <f t="shared" si="1"/>
        <v>45140</v>
      </c>
      <c r="H28958" s="49">
        <f t="shared" si="2"/>
        <v>45059</v>
      </c>
    </row>
    <row r="28959">
      <c r="A28959" s="48" t="s">
        <v>28347</v>
      </c>
      <c r="B28959" s="38">
        <v>42114.0</v>
      </c>
      <c r="C28959" s="38" t="s">
        <v>33386</v>
      </c>
      <c r="D28959" s="38" t="str">
        <f>IFERROR(__xludf.DUMMYFUNCTION("REGEXREPLACE(C28959,""-\d+(.*)|--\d+(.*)"","""")"),"JEANSAGNIERE")</f>
        <v>JEANSAGNIERE</v>
      </c>
      <c r="E28959" s="38" t="s">
        <v>166</v>
      </c>
      <c r="F28959" s="38" t="s">
        <v>102</v>
      </c>
      <c r="G28959" s="49" t="str">
        <f t="shared" si="1"/>
        <v>42920</v>
      </c>
      <c r="H28959" s="49">
        <f t="shared" si="2"/>
        <v>42114</v>
      </c>
    </row>
    <row r="28960">
      <c r="A28960" s="48" t="s">
        <v>16262</v>
      </c>
      <c r="B28960" s="38">
        <v>36207.0</v>
      </c>
      <c r="C28960" s="38" t="s">
        <v>33387</v>
      </c>
      <c r="D28960" s="38" t="str">
        <f>IFERROR(__xludf.DUMMYFUNCTION("REGEXREPLACE(C28960,""-\d+(.*)|--\d+(.*)"","""")"),"SAINT-PLANTAIRE")</f>
        <v>SAINT-PLANTAIRE</v>
      </c>
      <c r="E28960" s="38" t="s">
        <v>258</v>
      </c>
      <c r="F28960" s="38" t="s">
        <v>123</v>
      </c>
      <c r="G28960" s="49" t="str">
        <f t="shared" si="1"/>
        <v>36190</v>
      </c>
      <c r="H28960" s="49">
        <f t="shared" si="2"/>
        <v>36207</v>
      </c>
    </row>
    <row r="28961">
      <c r="A28961" s="48" t="s">
        <v>1437</v>
      </c>
      <c r="B28961" s="38">
        <v>39104.0</v>
      </c>
      <c r="C28961" s="38" t="s">
        <v>33388</v>
      </c>
      <c r="D28961" s="38" t="str">
        <f>IFERROR(__xludf.DUMMYFUNCTION("REGEXREPLACE(C28961,""-\d+(.*)|--\d+(.*)"","""")"),"CHAPELLE-VOLAND")</f>
        <v>CHAPELLE-VOLAND</v>
      </c>
      <c r="E28961" s="38" t="s">
        <v>400</v>
      </c>
      <c r="F28961" s="38" t="s">
        <v>214</v>
      </c>
      <c r="G28961" s="49" t="str">
        <f t="shared" si="1"/>
        <v>39140</v>
      </c>
      <c r="H28961" s="49">
        <f t="shared" si="2"/>
        <v>39104</v>
      </c>
    </row>
    <row r="28962">
      <c r="A28962" s="48" t="s">
        <v>13583</v>
      </c>
      <c r="B28962" s="38">
        <v>90093.0</v>
      </c>
      <c r="C28962" s="38" t="s">
        <v>33389</v>
      </c>
      <c r="D28962" s="38" t="str">
        <f>IFERROR(__xludf.DUMMYFUNCTION("REGEXREPLACE(C28962,""-\d+(.*)|--\d+(.*)"","""")"),"SERMAMAGNY")</f>
        <v>SERMAMAGNY</v>
      </c>
      <c r="E28962" s="38" t="s">
        <v>1283</v>
      </c>
      <c r="F28962" s="38" t="s">
        <v>214</v>
      </c>
      <c r="G28962" s="49" t="str">
        <f t="shared" si="1"/>
        <v>90300</v>
      </c>
      <c r="H28962" s="49">
        <f t="shared" si="2"/>
        <v>90093</v>
      </c>
    </row>
    <row r="28963">
      <c r="A28963" s="48" t="s">
        <v>3628</v>
      </c>
      <c r="B28963" s="38">
        <v>16331.0</v>
      </c>
      <c r="C28963" s="38" t="s">
        <v>33390</v>
      </c>
      <c r="D28963" s="38" t="str">
        <f>IFERROR(__xludf.DUMMYFUNCTION("REGEXREPLACE(C28963,""-\d+(.*)|--\d+(.*)"","""")"),"SAINT-LAURENT-DES-COMBES")</f>
        <v>SAINT-LAURENT-DES-COMBES</v>
      </c>
      <c r="E28963" s="38" t="s">
        <v>429</v>
      </c>
      <c r="F28963" s="38" t="s">
        <v>338</v>
      </c>
      <c r="G28963" s="49" t="str">
        <f t="shared" si="1"/>
        <v>16480</v>
      </c>
      <c r="H28963" s="49">
        <f t="shared" si="2"/>
        <v>16331</v>
      </c>
    </row>
    <row r="28964">
      <c r="A28964" s="48" t="s">
        <v>970</v>
      </c>
      <c r="B28964" s="38">
        <v>2373.0</v>
      </c>
      <c r="C28964" s="38" t="s">
        <v>33391</v>
      </c>
      <c r="D28964" s="38" t="str">
        <f>IFERROR(__xludf.DUMMYFUNCTION("REGEXREPLACE(C28964,""-\d+(.*)|--\d+(.*)"","""")"),"HARY")</f>
        <v>HARY</v>
      </c>
      <c r="E28964" s="38" t="s">
        <v>191</v>
      </c>
      <c r="F28964" s="38" t="s">
        <v>113</v>
      </c>
      <c r="G28964" s="49" t="str">
        <f t="shared" si="1"/>
        <v>02140</v>
      </c>
      <c r="H28964" s="49" t="str">
        <f t="shared" si="2"/>
        <v>02373</v>
      </c>
    </row>
    <row r="28965">
      <c r="A28965" s="48" t="s">
        <v>10312</v>
      </c>
      <c r="B28965" s="38">
        <v>32146.0</v>
      </c>
      <c r="C28965" s="38" t="s">
        <v>33392</v>
      </c>
      <c r="D28965" s="38" t="str">
        <f>IFERROR(__xludf.DUMMYFUNCTION("REGEXREPLACE(C28965,""-\d+(.*)|--\d+(.*)"","""")"),"GIMBREDE")</f>
        <v>GIMBREDE</v>
      </c>
      <c r="E28965" s="38" t="s">
        <v>440</v>
      </c>
      <c r="F28965" s="38" t="s">
        <v>94</v>
      </c>
      <c r="G28965" s="49" t="str">
        <f t="shared" si="1"/>
        <v>32340</v>
      </c>
      <c r="H28965" s="49">
        <f t="shared" si="2"/>
        <v>32146</v>
      </c>
    </row>
    <row r="28966">
      <c r="A28966" s="48" t="s">
        <v>15291</v>
      </c>
      <c r="B28966" s="38">
        <v>3045.0</v>
      </c>
      <c r="C28966" s="38" t="s">
        <v>33393</v>
      </c>
      <c r="D28966" s="38" t="str">
        <f>IFERROR(__xludf.DUMMYFUNCTION("REGEXREPLACE(C28966,""-\d+(.*)|--\d+(.*)"","""")"),"BUSSET")</f>
        <v>BUSSET</v>
      </c>
      <c r="E28966" s="38" t="s">
        <v>160</v>
      </c>
      <c r="F28966" s="38" t="s">
        <v>161</v>
      </c>
      <c r="G28966" s="49" t="str">
        <f t="shared" si="1"/>
        <v>03270</v>
      </c>
      <c r="H28966" s="49" t="str">
        <f t="shared" si="2"/>
        <v>03045</v>
      </c>
    </row>
    <row r="28967">
      <c r="A28967" s="48" t="s">
        <v>10324</v>
      </c>
      <c r="B28967" s="38">
        <v>54417.0</v>
      </c>
      <c r="C28967" s="38" t="s">
        <v>33394</v>
      </c>
      <c r="D28967" s="38" t="str">
        <f>IFERROR(__xludf.DUMMYFUNCTION("REGEXREPLACE(C28967,""-\d+(.*)|--\d+(.*)"","""")"),"PAREY-SAINT-CESAIRE")</f>
        <v>PAREY-SAINT-CESAIRE</v>
      </c>
      <c r="E28967" s="38" t="s">
        <v>548</v>
      </c>
      <c r="F28967" s="38" t="s">
        <v>195</v>
      </c>
      <c r="G28967" s="49" t="str">
        <f t="shared" si="1"/>
        <v>54330</v>
      </c>
      <c r="H28967" s="49">
        <f t="shared" si="2"/>
        <v>54417</v>
      </c>
    </row>
    <row r="28968">
      <c r="A28968" s="48" t="s">
        <v>17789</v>
      </c>
      <c r="B28968" s="38">
        <v>81280.0</v>
      </c>
      <c r="C28968" s="38" t="s">
        <v>33395</v>
      </c>
      <c r="D28968" s="38" t="str">
        <f>IFERROR(__xludf.DUMMYFUNCTION("REGEXREPLACE(C28968,""-\d+(.*)|--\d+(.*)"","""")"),"LE SEGUR")</f>
        <v>LE SEGUR</v>
      </c>
      <c r="E28968" s="38" t="s">
        <v>231</v>
      </c>
      <c r="F28968" s="38" t="s">
        <v>94</v>
      </c>
      <c r="G28968" s="49" t="str">
        <f t="shared" si="1"/>
        <v>81640</v>
      </c>
      <c r="H28968" s="49">
        <f t="shared" si="2"/>
        <v>81280</v>
      </c>
    </row>
    <row r="28969">
      <c r="A28969" s="48" t="s">
        <v>789</v>
      </c>
      <c r="B28969" s="38">
        <v>10188.0</v>
      </c>
      <c r="C28969" s="38" t="s">
        <v>33396</v>
      </c>
      <c r="D28969" s="38" t="str">
        <f>IFERROR(__xludf.DUMMYFUNCTION("REGEXREPLACE(C28969,""-\d+(.*)|--\d+(.*)"","""")"),"LANTAGES")</f>
        <v>LANTAGES</v>
      </c>
      <c r="E28969" s="38" t="s">
        <v>147</v>
      </c>
      <c r="F28969" s="38" t="s">
        <v>130</v>
      </c>
      <c r="G28969" s="49" t="str">
        <f t="shared" si="1"/>
        <v>10210</v>
      </c>
      <c r="H28969" s="49">
        <f t="shared" si="2"/>
        <v>10188</v>
      </c>
    </row>
    <row r="28970">
      <c r="A28970" s="48" t="s">
        <v>26535</v>
      </c>
      <c r="B28970" s="38">
        <v>76481.0</v>
      </c>
      <c r="C28970" s="38" t="s">
        <v>33397</v>
      </c>
      <c r="D28970" s="38" t="str">
        <f>IFERROR(__xludf.DUMMYFUNCTION("REGEXREPLACE(C28970,""-\d+(.*)|--\d+(.*)"","""")"),"OCTEVILLE-SUR-MER")</f>
        <v>OCTEVILLE-SUR-MER</v>
      </c>
      <c r="E28970" s="38" t="s">
        <v>133</v>
      </c>
      <c r="F28970" s="38" t="s">
        <v>134</v>
      </c>
      <c r="G28970" s="49" t="str">
        <f t="shared" si="1"/>
        <v>76930</v>
      </c>
      <c r="H28970" s="49">
        <f t="shared" si="2"/>
        <v>76481</v>
      </c>
    </row>
    <row r="28971">
      <c r="A28971" s="48" t="s">
        <v>6275</v>
      </c>
      <c r="B28971" s="38">
        <v>8042.0</v>
      </c>
      <c r="C28971" s="38" t="s">
        <v>33398</v>
      </c>
      <c r="D28971" s="38" t="str">
        <f>IFERROR(__xludf.DUMMYFUNCTION("REGEXREPLACE(C28971,""-\d+(.*)|--\d+(.*)"","""")"),"BALAIVES-ET-BUTZ")</f>
        <v>BALAIVES-ET-BUTZ</v>
      </c>
      <c r="E28971" s="38" t="s">
        <v>327</v>
      </c>
      <c r="F28971" s="38" t="s">
        <v>130</v>
      </c>
      <c r="G28971" s="49" t="str">
        <f t="shared" si="1"/>
        <v>08160</v>
      </c>
      <c r="H28971" s="49" t="str">
        <f t="shared" si="2"/>
        <v>08042</v>
      </c>
    </row>
    <row r="28972">
      <c r="A28972" s="48" t="s">
        <v>4065</v>
      </c>
      <c r="B28972" s="38">
        <v>21024.0</v>
      </c>
      <c r="C28972" s="38" t="s">
        <v>33399</v>
      </c>
      <c r="D28972" s="38" t="str">
        <f>IFERROR(__xludf.DUMMYFUNCTION("REGEXREPLACE(C28972,""-\d+(.*)|--\d+(.*)"","""")"),"ARNAY-SOUS-VITTEAUX")</f>
        <v>ARNAY-SOUS-VITTEAUX</v>
      </c>
      <c r="E28972" s="38" t="s">
        <v>105</v>
      </c>
      <c r="F28972" s="38" t="s">
        <v>106</v>
      </c>
      <c r="G28972" s="49" t="str">
        <f t="shared" si="1"/>
        <v>21350</v>
      </c>
      <c r="H28972" s="49">
        <f t="shared" si="2"/>
        <v>21024</v>
      </c>
    </row>
    <row r="28973">
      <c r="A28973" s="48" t="s">
        <v>22667</v>
      </c>
      <c r="B28973" s="38">
        <v>90034.0</v>
      </c>
      <c r="C28973" s="38" t="s">
        <v>33400</v>
      </c>
      <c r="D28973" s="38" t="str">
        <f>IFERROR(__xludf.DUMMYFUNCTION("REGEXREPLACE(C28973,""-\d+(.*)|--\d+(.*)"","""")"),"DENNEY")</f>
        <v>DENNEY</v>
      </c>
      <c r="E28973" s="38" t="s">
        <v>1283</v>
      </c>
      <c r="F28973" s="38" t="s">
        <v>214</v>
      </c>
      <c r="G28973" s="49" t="str">
        <f t="shared" si="1"/>
        <v>90160</v>
      </c>
      <c r="H28973" s="49">
        <f t="shared" si="2"/>
        <v>90034</v>
      </c>
    </row>
    <row r="28974">
      <c r="A28974" s="48" t="s">
        <v>1118</v>
      </c>
      <c r="B28974" s="38">
        <v>50586.0</v>
      </c>
      <c r="C28974" s="38" t="s">
        <v>31995</v>
      </c>
      <c r="D28974" s="38" t="str">
        <f>IFERROR(__xludf.DUMMYFUNCTION("REGEXREPLACE(C28974,""-\d+(.*)|--\d+(.*)"","""")"),"SURVILLE")</f>
        <v>SURVILLE</v>
      </c>
      <c r="E28974" s="38" t="s">
        <v>157</v>
      </c>
      <c r="F28974" s="38" t="s">
        <v>138</v>
      </c>
      <c r="G28974" s="49" t="str">
        <f t="shared" si="1"/>
        <v>50250</v>
      </c>
      <c r="H28974" s="49">
        <f t="shared" si="2"/>
        <v>50586</v>
      </c>
    </row>
    <row r="28975">
      <c r="A28975" s="48" t="s">
        <v>2907</v>
      </c>
      <c r="B28975" s="38">
        <v>22183.0</v>
      </c>
      <c r="C28975" s="38" t="s">
        <v>33401</v>
      </c>
      <c r="D28975" s="38" t="str">
        <f>IFERROR(__xludf.DUMMYFUNCTION("REGEXREPLACE(C28975,""-\d+(.*)|--\d+(.*)"","""")"),"PLEMET")</f>
        <v>PLEMET</v>
      </c>
      <c r="E28975" s="38" t="s">
        <v>89</v>
      </c>
      <c r="F28975" s="38" t="s">
        <v>90</v>
      </c>
      <c r="G28975" s="49" t="str">
        <f t="shared" si="1"/>
        <v>22210</v>
      </c>
      <c r="H28975" s="49">
        <f t="shared" si="2"/>
        <v>22183</v>
      </c>
    </row>
    <row r="28976">
      <c r="A28976" s="48" t="s">
        <v>9138</v>
      </c>
      <c r="B28976" s="38">
        <v>80328.0</v>
      </c>
      <c r="C28976" s="38" t="s">
        <v>33402</v>
      </c>
      <c r="D28976" s="38" t="str">
        <f>IFERROR(__xludf.DUMMYFUNCTION("REGEXREPLACE(C28976,""-\d+(.*)|--\d+(.*)"","""")"),"FONTAINE-SUR-SOMME")</f>
        <v>FONTAINE-SUR-SOMME</v>
      </c>
      <c r="E28976" s="38" t="s">
        <v>224</v>
      </c>
      <c r="F28976" s="38" t="s">
        <v>113</v>
      </c>
      <c r="G28976" s="49" t="str">
        <f t="shared" si="1"/>
        <v>80510</v>
      </c>
      <c r="H28976" s="49">
        <f t="shared" si="2"/>
        <v>80328</v>
      </c>
    </row>
    <row r="28977">
      <c r="A28977" s="48" t="s">
        <v>114</v>
      </c>
      <c r="B28977" s="38">
        <v>62890.0</v>
      </c>
      <c r="C28977" s="38" t="s">
        <v>33403</v>
      </c>
      <c r="D28977" s="38" t="str">
        <f>IFERROR(__xludf.DUMMYFUNCTION("REGEXREPLACE(C28977,""-\d+(.*)|--\d+(.*)"","""")"),"WILLEMAN")</f>
        <v>WILLEMAN</v>
      </c>
      <c r="E28977" s="38" t="s">
        <v>109</v>
      </c>
      <c r="F28977" s="38" t="s">
        <v>86</v>
      </c>
      <c r="G28977" s="49" t="str">
        <f t="shared" si="1"/>
        <v>62770</v>
      </c>
      <c r="H28977" s="49">
        <f t="shared" si="2"/>
        <v>62890</v>
      </c>
    </row>
    <row r="28978">
      <c r="A28978" s="48" t="s">
        <v>8525</v>
      </c>
      <c r="B28978" s="38">
        <v>44033.0</v>
      </c>
      <c r="C28978" s="38" t="s">
        <v>33404</v>
      </c>
      <c r="D28978" s="38" t="str">
        <f>IFERROR(__xludf.DUMMYFUNCTION("REGEXREPLACE(C28978,""-\d+(.*)|--\d+(.*)"","""")"),"LA CHAPELLE-LAUNAY")</f>
        <v>LA CHAPELLE-LAUNAY</v>
      </c>
      <c r="E28978" s="38" t="s">
        <v>759</v>
      </c>
      <c r="F28978" s="38" t="s">
        <v>180</v>
      </c>
      <c r="G28978" s="49" t="str">
        <f t="shared" si="1"/>
        <v>44260</v>
      </c>
      <c r="H28978" s="49">
        <f t="shared" si="2"/>
        <v>44033</v>
      </c>
    </row>
    <row r="28979">
      <c r="A28979" s="48" t="s">
        <v>3857</v>
      </c>
      <c r="B28979" s="38">
        <v>12063.0</v>
      </c>
      <c r="C28979" s="38" t="s">
        <v>33405</v>
      </c>
      <c r="D28979" s="38" t="str">
        <f>IFERROR(__xludf.DUMMYFUNCTION("REGEXREPLACE(C28979,""-\d+(.*)|--\d+(.*)"","""")"),"LA CAVALERIE")</f>
        <v>LA CAVALERIE</v>
      </c>
      <c r="E28979" s="38" t="s">
        <v>465</v>
      </c>
      <c r="F28979" s="38" t="s">
        <v>94</v>
      </c>
      <c r="G28979" s="49" t="str">
        <f t="shared" si="1"/>
        <v>12230</v>
      </c>
      <c r="H28979" s="49">
        <f t="shared" si="2"/>
        <v>12063</v>
      </c>
    </row>
    <row r="28980">
      <c r="A28980" s="48" t="s">
        <v>13316</v>
      </c>
      <c r="B28980" s="38">
        <v>45122.0</v>
      </c>
      <c r="C28980" s="38" t="s">
        <v>33406</v>
      </c>
      <c r="D28980" s="38" t="str">
        <f>IFERROR(__xludf.DUMMYFUNCTION("REGEXREPLACE(C28980,""-\d+(.*)|--\d+(.*)"","""")"),"DAMPIERRE-EN-BURLY")</f>
        <v>DAMPIERRE-EN-BURLY</v>
      </c>
      <c r="E28980" s="38" t="s">
        <v>122</v>
      </c>
      <c r="F28980" s="38" t="s">
        <v>123</v>
      </c>
      <c r="G28980" s="49" t="str">
        <f t="shared" si="1"/>
        <v>45570</v>
      </c>
      <c r="H28980" s="49">
        <f t="shared" si="2"/>
        <v>45122</v>
      </c>
    </row>
    <row r="28981">
      <c r="A28981" s="48" t="s">
        <v>1823</v>
      </c>
      <c r="B28981" s="38">
        <v>48029.0</v>
      </c>
      <c r="C28981" s="38" t="s">
        <v>24351</v>
      </c>
      <c r="D28981" s="38" t="str">
        <f>IFERROR(__xludf.DUMMYFUNCTION("REGEXREPLACE(C28981,""-\d+(.*)|--\d+(.*)"","""")"),"LE BORN")</f>
        <v>LE BORN</v>
      </c>
      <c r="E28981" s="38" t="s">
        <v>154</v>
      </c>
      <c r="F28981" s="38" t="s">
        <v>119</v>
      </c>
      <c r="G28981" s="49" t="str">
        <f t="shared" si="1"/>
        <v>48000</v>
      </c>
      <c r="H28981" s="49">
        <f t="shared" si="2"/>
        <v>48029</v>
      </c>
    </row>
    <row r="28982">
      <c r="A28982" s="48" t="s">
        <v>3706</v>
      </c>
      <c r="B28982" s="38">
        <v>77051.0</v>
      </c>
      <c r="C28982" s="38" t="s">
        <v>33407</v>
      </c>
      <c r="D28982" s="38" t="str">
        <f>IFERROR(__xludf.DUMMYFUNCTION("REGEXREPLACE(C28982,""-\d+(.*)|--\d+(.*)"","""")"),"BRAY-SUR-SEINE")</f>
        <v>BRAY-SUR-SEINE</v>
      </c>
      <c r="E28982" s="38" t="s">
        <v>244</v>
      </c>
      <c r="F28982" s="38" t="s">
        <v>245</v>
      </c>
      <c r="G28982" s="49" t="str">
        <f t="shared" si="1"/>
        <v>77480</v>
      </c>
      <c r="H28982" s="49">
        <f t="shared" si="2"/>
        <v>77051</v>
      </c>
    </row>
    <row r="28983">
      <c r="A28983" s="48" t="s">
        <v>2031</v>
      </c>
      <c r="B28983" s="38">
        <v>62623.0</v>
      </c>
      <c r="C28983" s="38" t="s">
        <v>33408</v>
      </c>
      <c r="D28983" s="38" t="str">
        <f>IFERROR(__xludf.DUMMYFUNCTION("REGEXREPLACE(C28983,""-\d+(.*)|--\d+(.*)"","""")"),"NOUVELLE-EGLISE")</f>
        <v>NOUVELLE-EGLISE</v>
      </c>
      <c r="E28983" s="38" t="s">
        <v>109</v>
      </c>
      <c r="F28983" s="38" t="s">
        <v>86</v>
      </c>
      <c r="G28983" s="49" t="str">
        <f t="shared" si="1"/>
        <v>62370</v>
      </c>
      <c r="H28983" s="49">
        <f t="shared" si="2"/>
        <v>62623</v>
      </c>
    </row>
    <row r="28984">
      <c r="A28984" s="48" t="s">
        <v>970</v>
      </c>
      <c r="B28984" s="38">
        <v>2444.0</v>
      </c>
      <c r="C28984" s="38" t="s">
        <v>33409</v>
      </c>
      <c r="D28984" s="38" t="str">
        <f>IFERROR(__xludf.DUMMYFUNCTION("REGEXREPLACE(C28984,""-\d+(.*)|--\d+(.*)"","""")"),"LUGNY")</f>
        <v>LUGNY</v>
      </c>
      <c r="E28984" s="38" t="s">
        <v>191</v>
      </c>
      <c r="F28984" s="38" t="s">
        <v>113</v>
      </c>
      <c r="G28984" s="49" t="str">
        <f t="shared" si="1"/>
        <v>02140</v>
      </c>
      <c r="H28984" s="49" t="str">
        <f t="shared" si="2"/>
        <v>02444</v>
      </c>
    </row>
    <row r="28985">
      <c r="A28985" s="48" t="s">
        <v>33410</v>
      </c>
      <c r="B28985" s="38">
        <v>59452.0</v>
      </c>
      <c r="C28985" s="38" t="s">
        <v>33411</v>
      </c>
      <c r="D28985" s="38" t="str">
        <f>IFERROR(__xludf.DUMMYFUNCTION("REGEXREPLACE(C28985,""-\d+(.*)|--\d+(.*)"","""")"),"OSTRICOURT")</f>
        <v>OSTRICOURT</v>
      </c>
      <c r="E28985" s="38" t="s">
        <v>85</v>
      </c>
      <c r="F28985" s="38" t="s">
        <v>86</v>
      </c>
      <c r="G28985" s="49" t="str">
        <f t="shared" si="1"/>
        <v>59162</v>
      </c>
      <c r="H28985" s="49">
        <f t="shared" si="2"/>
        <v>59452</v>
      </c>
    </row>
    <row r="28986">
      <c r="A28986" s="48" t="s">
        <v>14076</v>
      </c>
      <c r="B28986" s="38">
        <v>7177.0</v>
      </c>
      <c r="C28986" s="38" t="s">
        <v>33412</v>
      </c>
      <c r="D28986" s="38" t="str">
        <f>IFERROR(__xludf.DUMMYFUNCTION("REGEXREPLACE(C28986,""-\d+(.*)|--\d+(.*)"","""")"),"PLATS")</f>
        <v>PLATS</v>
      </c>
      <c r="E28986" s="38" t="s">
        <v>144</v>
      </c>
      <c r="F28986" s="38" t="s">
        <v>102</v>
      </c>
      <c r="G28986" s="49" t="str">
        <f t="shared" si="1"/>
        <v>07300</v>
      </c>
      <c r="H28986" s="49" t="str">
        <f t="shared" si="2"/>
        <v>07177</v>
      </c>
    </row>
    <row r="28987">
      <c r="A28987" s="48" t="s">
        <v>724</v>
      </c>
      <c r="B28987" s="38">
        <v>32128.0</v>
      </c>
      <c r="C28987" s="38" t="s">
        <v>33413</v>
      </c>
      <c r="D28987" s="38" t="str">
        <f>IFERROR(__xludf.DUMMYFUNCTION("REGEXREPLACE(C28987,""-\d+(.*)|--\d+(.*)"","""")"),"ESTIPOUY")</f>
        <v>ESTIPOUY</v>
      </c>
      <c r="E28987" s="38" t="s">
        <v>440</v>
      </c>
      <c r="F28987" s="38" t="s">
        <v>94</v>
      </c>
      <c r="G28987" s="49" t="str">
        <f t="shared" si="1"/>
        <v>32300</v>
      </c>
      <c r="H28987" s="49">
        <f t="shared" si="2"/>
        <v>32128</v>
      </c>
    </row>
    <row r="28988">
      <c r="A28988" s="48" t="s">
        <v>2075</v>
      </c>
      <c r="B28988" s="38">
        <v>46260.0</v>
      </c>
      <c r="C28988" s="38" t="s">
        <v>10166</v>
      </c>
      <c r="D28988" s="38" t="str">
        <f>IFERROR(__xludf.DUMMYFUNCTION("REGEXREPLACE(C28988,""-\d+(.*)|--\d+(.*)"","""")"),"SAINTE-COLOMBE")</f>
        <v>SAINTE-COLOMBE</v>
      </c>
      <c r="E28988" s="38" t="s">
        <v>185</v>
      </c>
      <c r="F28988" s="38" t="s">
        <v>94</v>
      </c>
      <c r="G28988" s="49" t="str">
        <f t="shared" si="1"/>
        <v>46120</v>
      </c>
      <c r="H28988" s="49">
        <f t="shared" si="2"/>
        <v>46260</v>
      </c>
    </row>
    <row r="28989">
      <c r="A28989" s="48" t="s">
        <v>14072</v>
      </c>
      <c r="B28989" s="38">
        <v>71322.0</v>
      </c>
      <c r="C28989" s="38" t="s">
        <v>33414</v>
      </c>
      <c r="D28989" s="38" t="str">
        <f>IFERROR(__xludf.DUMMYFUNCTION("REGEXREPLACE(C28989,""-\d+(.*)|--\d+(.*)"","""")"),"MORLET")</f>
        <v>MORLET</v>
      </c>
      <c r="E28989" s="38" t="s">
        <v>344</v>
      </c>
      <c r="F28989" s="38" t="s">
        <v>106</v>
      </c>
      <c r="G28989" s="49" t="str">
        <f t="shared" si="1"/>
        <v>71360</v>
      </c>
      <c r="H28989" s="49">
        <f t="shared" si="2"/>
        <v>71322</v>
      </c>
    </row>
    <row r="28990">
      <c r="A28990" s="48" t="s">
        <v>33415</v>
      </c>
      <c r="B28990" s="38">
        <v>73179.0</v>
      </c>
      <c r="C28990" s="38" t="s">
        <v>33416</v>
      </c>
      <c r="D28990" s="38" t="str">
        <f>IFERROR(__xludf.DUMMYFUNCTION("REGEXREPLACE(C28990,""-\d+(.*)|--\d+(.*)"","""")"),"LA MOTTE-SERVOLEX")</f>
        <v>LA MOTTE-SERVOLEX</v>
      </c>
      <c r="E28990" s="38" t="s">
        <v>306</v>
      </c>
      <c r="F28990" s="38" t="s">
        <v>102</v>
      </c>
      <c r="G28990" s="49" t="str">
        <f t="shared" si="1"/>
        <v>73290</v>
      </c>
      <c r="H28990" s="49">
        <f t="shared" si="2"/>
        <v>73179</v>
      </c>
    </row>
    <row r="28991">
      <c r="A28991" s="48" t="s">
        <v>18855</v>
      </c>
      <c r="B28991" s="38">
        <v>86265.0</v>
      </c>
      <c r="C28991" s="38" t="s">
        <v>33417</v>
      </c>
      <c r="D28991" s="38" t="str">
        <f>IFERROR(__xludf.DUMMYFUNCTION("REGEXREPLACE(C28991,""-\d+(.*)|--\d+(.*)"","""")"),"SOSSAIS")</f>
        <v>SOSSAIS</v>
      </c>
      <c r="E28991" s="38" t="s">
        <v>529</v>
      </c>
      <c r="F28991" s="38" t="s">
        <v>338</v>
      </c>
      <c r="G28991" s="49" t="str">
        <f t="shared" si="1"/>
        <v>86230</v>
      </c>
      <c r="H28991" s="49">
        <f t="shared" si="2"/>
        <v>86265</v>
      </c>
    </row>
    <row r="28992">
      <c r="A28992" s="48" t="s">
        <v>1713</v>
      </c>
      <c r="B28992" s="38">
        <v>36147.0</v>
      </c>
      <c r="C28992" s="38" t="s">
        <v>11088</v>
      </c>
      <c r="D28992" s="38" t="str">
        <f>IFERROR(__xludf.DUMMYFUNCTION("REGEXREPLACE(C28992,""-\d+(.*)|--\d+(.*)"","""")"),"ORVILLE")</f>
        <v>ORVILLE</v>
      </c>
      <c r="E28992" s="38" t="s">
        <v>258</v>
      </c>
      <c r="F28992" s="38" t="s">
        <v>123</v>
      </c>
      <c r="G28992" s="49" t="str">
        <f t="shared" si="1"/>
        <v>36210</v>
      </c>
      <c r="H28992" s="49">
        <f t="shared" si="2"/>
        <v>36147</v>
      </c>
    </row>
    <row r="28993">
      <c r="A28993" s="48" t="s">
        <v>7075</v>
      </c>
      <c r="B28993" s="38">
        <v>27411.0</v>
      </c>
      <c r="C28993" s="38" t="s">
        <v>33418</v>
      </c>
      <c r="D28993" s="38" t="str">
        <f>IFERROR(__xludf.DUMMYFUNCTION("REGEXREPLACE(C28993,""-\d+(.*)|--\d+(.*)"","""")"),"MOISVILLE")</f>
        <v>MOISVILLE</v>
      </c>
      <c r="E28993" s="38" t="s">
        <v>241</v>
      </c>
      <c r="F28993" s="38" t="s">
        <v>134</v>
      </c>
      <c r="G28993" s="49" t="str">
        <f t="shared" si="1"/>
        <v>27320</v>
      </c>
      <c r="H28993" s="49">
        <f t="shared" si="2"/>
        <v>27411</v>
      </c>
    </row>
    <row r="28994">
      <c r="A28994" s="48" t="s">
        <v>6002</v>
      </c>
      <c r="B28994" s="38">
        <v>18274.0</v>
      </c>
      <c r="C28994" s="38" t="s">
        <v>33419</v>
      </c>
      <c r="D28994" s="38" t="str">
        <f>IFERROR(__xludf.DUMMYFUNCTION("REGEXREPLACE(C28994,""-\d+(.*)|--\d+(.*)"","""")"),"VERDIGNY")</f>
        <v>VERDIGNY</v>
      </c>
      <c r="E28994" s="38" t="s">
        <v>504</v>
      </c>
      <c r="F28994" s="38" t="s">
        <v>123</v>
      </c>
      <c r="G28994" s="49" t="str">
        <f t="shared" si="1"/>
        <v>18300</v>
      </c>
      <c r="H28994" s="49">
        <f t="shared" si="2"/>
        <v>18274</v>
      </c>
    </row>
    <row r="28995">
      <c r="A28995" s="48" t="s">
        <v>1305</v>
      </c>
      <c r="B28995" s="38">
        <v>36181.0</v>
      </c>
      <c r="C28995" s="38" t="s">
        <v>2041</v>
      </c>
      <c r="D28995" s="38" t="str">
        <f>IFERROR(__xludf.DUMMYFUNCTION("REGEXREPLACE(C28995,""-\d+(.*)|--\d+(.*)"","""")"),"SAINT-AUBIN")</f>
        <v>SAINT-AUBIN</v>
      </c>
      <c r="E28995" s="38" t="s">
        <v>258</v>
      </c>
      <c r="F28995" s="38" t="s">
        <v>123</v>
      </c>
      <c r="G28995" s="49" t="str">
        <f t="shared" si="1"/>
        <v>36100</v>
      </c>
      <c r="H28995" s="49">
        <f t="shared" si="2"/>
        <v>36181</v>
      </c>
    </row>
    <row r="28996">
      <c r="A28996" s="48" t="s">
        <v>20103</v>
      </c>
      <c r="B28996" s="38">
        <v>59309.0</v>
      </c>
      <c r="C28996" s="38" t="s">
        <v>33420</v>
      </c>
      <c r="D28996" s="38" t="str">
        <f>IFERROR(__xludf.DUMMYFUNCTION("REGEXREPLACE(C28996,""-\d+(.*)|--\d+(.*)"","""")"),"HONDSCHOOTE")</f>
        <v>HONDSCHOOTE</v>
      </c>
      <c r="E28996" s="38" t="s">
        <v>85</v>
      </c>
      <c r="F28996" s="38" t="s">
        <v>86</v>
      </c>
      <c r="G28996" s="49" t="str">
        <f t="shared" si="1"/>
        <v>59122</v>
      </c>
      <c r="H28996" s="49">
        <f t="shared" si="2"/>
        <v>59309</v>
      </c>
    </row>
    <row r="28997">
      <c r="A28997" s="48" t="s">
        <v>796</v>
      </c>
      <c r="B28997" s="38">
        <v>89355.0</v>
      </c>
      <c r="C28997" s="38" t="s">
        <v>33421</v>
      </c>
      <c r="D28997" s="38" t="str">
        <f>IFERROR(__xludf.DUMMYFUNCTION("REGEXREPLACE(C28997,""-\d+(.*)|--\d+(.*)"","""")"),"SAINT-MARTIN-SUR-ARMANCON")</f>
        <v>SAINT-MARTIN-SUR-ARMANCON</v>
      </c>
      <c r="E28997" s="38" t="s">
        <v>275</v>
      </c>
      <c r="F28997" s="38" t="s">
        <v>106</v>
      </c>
      <c r="G28997" s="49" t="str">
        <f t="shared" si="1"/>
        <v>89700</v>
      </c>
      <c r="H28997" s="49">
        <f t="shared" si="2"/>
        <v>89355</v>
      </c>
    </row>
    <row r="28998">
      <c r="A28998" s="48" t="s">
        <v>14869</v>
      </c>
      <c r="B28998" s="38">
        <v>87199.0</v>
      </c>
      <c r="C28998" s="38" t="s">
        <v>33422</v>
      </c>
      <c r="D28998" s="38" t="str">
        <f>IFERROR(__xludf.DUMMYFUNCTION("REGEXREPLACE(C28998,""-\d+(.*)|--\d+(.*)"","""")"),"VAYRES")</f>
        <v>VAYRES</v>
      </c>
      <c r="E28998" s="38" t="s">
        <v>897</v>
      </c>
      <c r="F28998" s="38" t="s">
        <v>98</v>
      </c>
      <c r="G28998" s="49" t="str">
        <f t="shared" si="1"/>
        <v>87600</v>
      </c>
      <c r="H28998" s="49">
        <f t="shared" si="2"/>
        <v>87199</v>
      </c>
    </row>
    <row r="28999">
      <c r="A28999" s="48" t="s">
        <v>5142</v>
      </c>
      <c r="B28999" s="38">
        <v>58241.0</v>
      </c>
      <c r="C28999" s="38" t="s">
        <v>33423</v>
      </c>
      <c r="D28999" s="38" t="str">
        <f>IFERROR(__xludf.DUMMYFUNCTION("REGEXREPLACE(C28999,""-\d+(.*)|--\d+(.*)"","""")"),"SAINT-GERMAIN-CHASSENAY")</f>
        <v>SAINT-GERMAIN-CHASSENAY</v>
      </c>
      <c r="E28999" s="38" t="s">
        <v>219</v>
      </c>
      <c r="F28999" s="38" t="s">
        <v>106</v>
      </c>
      <c r="G28999" s="49" t="str">
        <f t="shared" si="1"/>
        <v>58300</v>
      </c>
      <c r="H28999" s="49">
        <f t="shared" si="2"/>
        <v>58241</v>
      </c>
    </row>
    <row r="29000">
      <c r="A29000" s="48" t="s">
        <v>2710</v>
      </c>
      <c r="B29000" s="38">
        <v>68363.0</v>
      </c>
      <c r="C29000" s="38" t="s">
        <v>33424</v>
      </c>
      <c r="D29000" s="38" t="str">
        <f>IFERROR(__xludf.DUMMYFUNCTION("REGEXREPLACE(C29000,""-\d+(.*)|--\d+(.*)"","""")"),"WERENTZHOUSE")</f>
        <v>WERENTZHOUSE</v>
      </c>
      <c r="E29000" s="38" t="s">
        <v>150</v>
      </c>
      <c r="F29000" s="38" t="s">
        <v>151</v>
      </c>
      <c r="G29000" s="49" t="str">
        <f t="shared" si="1"/>
        <v>68480</v>
      </c>
      <c r="H29000" s="49">
        <f t="shared" si="2"/>
        <v>68363</v>
      </c>
    </row>
    <row r="29001">
      <c r="A29001" s="48" t="s">
        <v>18589</v>
      </c>
      <c r="B29001" s="38">
        <v>7121.0</v>
      </c>
      <c r="C29001" s="38" t="s">
        <v>33425</v>
      </c>
      <c r="D29001" s="38" t="str">
        <f>IFERROR(__xludf.DUMMYFUNCTION("REGEXREPLACE(C29001,""-\d+(.*)|--\d+(.*)"","""")"),"LACHAPELLE-GRAILLOUSE")</f>
        <v>LACHAPELLE-GRAILLOUSE</v>
      </c>
      <c r="E29001" s="38" t="s">
        <v>144</v>
      </c>
      <c r="F29001" s="38" t="s">
        <v>102</v>
      </c>
      <c r="G29001" s="49" t="str">
        <f t="shared" si="1"/>
        <v>07470</v>
      </c>
      <c r="H29001" s="49" t="str">
        <f t="shared" si="2"/>
        <v>07121</v>
      </c>
    </row>
    <row r="29002">
      <c r="A29002" s="48" t="s">
        <v>10324</v>
      </c>
      <c r="B29002" s="38">
        <v>54587.0</v>
      </c>
      <c r="C29002" s="38" t="s">
        <v>33426</v>
      </c>
      <c r="D29002" s="38" t="str">
        <f>IFERROR(__xludf.DUMMYFUNCTION("REGEXREPLACE(C29002,""-\d+(.*)|--\d+(.*)"","""")"),"VITREY")</f>
        <v>VITREY</v>
      </c>
      <c r="E29002" s="38" t="s">
        <v>548</v>
      </c>
      <c r="F29002" s="38" t="s">
        <v>195</v>
      </c>
      <c r="G29002" s="49" t="str">
        <f t="shared" si="1"/>
        <v>54330</v>
      </c>
      <c r="H29002" s="49">
        <f t="shared" si="2"/>
        <v>54587</v>
      </c>
    </row>
    <row r="29003">
      <c r="A29003" s="48" t="s">
        <v>3755</v>
      </c>
      <c r="B29003" s="38">
        <v>76267.0</v>
      </c>
      <c r="C29003" s="38" t="s">
        <v>33427</v>
      </c>
      <c r="D29003" s="38" t="str">
        <f>IFERROR(__xludf.DUMMYFUNCTION("REGEXREPLACE(C29003,""-\d+(.*)|--\d+(.*)"","""")"),"LA FOLLETIERE")</f>
        <v>LA FOLLETIERE</v>
      </c>
      <c r="E29003" s="38" t="s">
        <v>133</v>
      </c>
      <c r="F29003" s="38" t="s">
        <v>134</v>
      </c>
      <c r="G29003" s="49" t="str">
        <f t="shared" si="1"/>
        <v>76190</v>
      </c>
      <c r="H29003" s="49">
        <f t="shared" si="2"/>
        <v>76267</v>
      </c>
    </row>
    <row r="29004">
      <c r="A29004" s="48" t="s">
        <v>5038</v>
      </c>
      <c r="B29004" s="38">
        <v>17340.0</v>
      </c>
      <c r="C29004" s="38" t="s">
        <v>33428</v>
      </c>
      <c r="D29004" s="38" t="str">
        <f>IFERROR(__xludf.DUMMYFUNCTION("REGEXREPLACE(C29004,""-\d+(.*)|--\d+(.*)"","""")"),"SAINT-GERMAIN-DE-MARENCENNES")</f>
        <v>SAINT-GERMAIN-DE-MARENCENNES</v>
      </c>
      <c r="E29004" s="38" t="s">
        <v>488</v>
      </c>
      <c r="F29004" s="38" t="s">
        <v>338</v>
      </c>
      <c r="G29004" s="49" t="str">
        <f t="shared" si="1"/>
        <v>17700</v>
      </c>
      <c r="H29004" s="49">
        <f t="shared" si="2"/>
        <v>17340</v>
      </c>
    </row>
    <row r="29005">
      <c r="A29005" s="48" t="s">
        <v>846</v>
      </c>
      <c r="B29005" s="38">
        <v>44223.0</v>
      </c>
      <c r="C29005" s="38" t="s">
        <v>33429</v>
      </c>
      <c r="D29005" s="38" t="str">
        <f>IFERROR(__xludf.DUMMYFUNCTION("REGEXREPLACE(C29005,""-\d+(.*)|--\d+(.*)"","""")"),"GENESTON")</f>
        <v>GENESTON</v>
      </c>
      <c r="E29005" s="38" t="s">
        <v>759</v>
      </c>
      <c r="F29005" s="38" t="s">
        <v>180</v>
      </c>
      <c r="G29005" s="49" t="str">
        <f t="shared" si="1"/>
        <v>44140</v>
      </c>
      <c r="H29005" s="49">
        <f t="shared" si="2"/>
        <v>44223</v>
      </c>
    </row>
    <row r="29006">
      <c r="A29006" s="48" t="s">
        <v>6078</v>
      </c>
      <c r="B29006" s="38">
        <v>10101.0</v>
      </c>
      <c r="C29006" s="38" t="s">
        <v>33430</v>
      </c>
      <c r="D29006" s="38" t="str">
        <f>IFERROR(__xludf.DUMMYFUNCTION("REGEXREPLACE(C29006,""-\d+(.*)|--\d+(.*)"","""")"),"COCLOIS")</f>
        <v>COCLOIS</v>
      </c>
      <c r="E29006" s="38" t="s">
        <v>147</v>
      </c>
      <c r="F29006" s="38" t="s">
        <v>130</v>
      </c>
      <c r="G29006" s="49" t="str">
        <f t="shared" si="1"/>
        <v>10240</v>
      </c>
      <c r="H29006" s="49">
        <f t="shared" si="2"/>
        <v>10101</v>
      </c>
    </row>
    <row r="29007">
      <c r="A29007" s="48" t="s">
        <v>20319</v>
      </c>
      <c r="B29007" s="38">
        <v>29035.0</v>
      </c>
      <c r="C29007" s="38" t="s">
        <v>33431</v>
      </c>
      <c r="D29007" s="38" t="str">
        <f>IFERROR(__xludf.DUMMYFUNCTION("REGEXREPLACE(C29007,""-\d+(.*)|--\d+(.*)"","""")"),"COAT-MEAL")</f>
        <v>COAT-MEAL</v>
      </c>
      <c r="E29007" s="38" t="s">
        <v>176</v>
      </c>
      <c r="F29007" s="38" t="s">
        <v>90</v>
      </c>
      <c r="G29007" s="49" t="str">
        <f t="shared" si="1"/>
        <v>29870</v>
      </c>
      <c r="H29007" s="49">
        <f t="shared" si="2"/>
        <v>29035</v>
      </c>
    </row>
    <row r="29008">
      <c r="A29008" s="48" t="s">
        <v>11061</v>
      </c>
      <c r="B29008" s="38">
        <v>16323.0</v>
      </c>
      <c r="C29008" s="38" t="s">
        <v>33432</v>
      </c>
      <c r="D29008" s="38" t="str">
        <f>IFERROR(__xludf.DUMMYFUNCTION("REGEXREPLACE(C29008,""-\d+(.*)|--\d+(.*)"","""")"),"SAINT-GERMAIN-DE-MONTBRON")</f>
        <v>SAINT-GERMAIN-DE-MONTBRON</v>
      </c>
      <c r="E29008" s="38" t="s">
        <v>429</v>
      </c>
      <c r="F29008" s="38" t="s">
        <v>338</v>
      </c>
      <c r="G29008" s="49" t="str">
        <f t="shared" si="1"/>
        <v>16380</v>
      </c>
      <c r="H29008" s="49">
        <f t="shared" si="2"/>
        <v>16323</v>
      </c>
    </row>
    <row r="29009">
      <c r="A29009" s="48" t="s">
        <v>33433</v>
      </c>
      <c r="B29009" s="38">
        <v>34301.0</v>
      </c>
      <c r="C29009" s="38" t="s">
        <v>33434</v>
      </c>
      <c r="D29009" s="38" t="str">
        <f>IFERROR(__xludf.DUMMYFUNCTION("REGEXREPLACE(C29009,""-\d+(.*)|--\d+(.*)"","""")"),"SETE")</f>
        <v>SETE</v>
      </c>
      <c r="E29009" s="38" t="s">
        <v>118</v>
      </c>
      <c r="F29009" s="38" t="s">
        <v>119</v>
      </c>
      <c r="G29009" s="49" t="str">
        <f t="shared" si="1"/>
        <v>34200</v>
      </c>
      <c r="H29009" s="49">
        <f t="shared" si="2"/>
        <v>34301</v>
      </c>
    </row>
    <row r="29010">
      <c r="A29010" s="48" t="s">
        <v>3469</v>
      </c>
      <c r="B29010" s="38">
        <v>74101.0</v>
      </c>
      <c r="C29010" s="38" t="s">
        <v>33435</v>
      </c>
      <c r="D29010" s="38" t="str">
        <f>IFERROR(__xludf.DUMMYFUNCTION("REGEXREPLACE(C29010,""-\d+(.*)|--\d+(.*)"","""")"),"DINGY-EN-VUACHE")</f>
        <v>DINGY-EN-VUACHE</v>
      </c>
      <c r="E29010" s="38" t="s">
        <v>319</v>
      </c>
      <c r="F29010" s="38" t="s">
        <v>102</v>
      </c>
      <c r="G29010" s="49" t="str">
        <f t="shared" si="1"/>
        <v>74520</v>
      </c>
      <c r="H29010" s="49">
        <f t="shared" si="2"/>
        <v>74101</v>
      </c>
    </row>
    <row r="29011">
      <c r="A29011" s="48" t="s">
        <v>6347</v>
      </c>
      <c r="B29011" s="38">
        <v>73093.0</v>
      </c>
      <c r="C29011" s="38" t="s">
        <v>33436</v>
      </c>
      <c r="D29011" s="38" t="str">
        <f>IFERROR(__xludf.DUMMYFUNCTION("REGEXREPLACE(C29011,""-\d+(.*)|--\d+(.*)"","""")"),"LA COTE-D'AIME")</f>
        <v>LA COTE-D'AIME</v>
      </c>
      <c r="E29011" s="38" t="s">
        <v>306</v>
      </c>
      <c r="F29011" s="38" t="s">
        <v>102</v>
      </c>
      <c r="G29011" s="49" t="str">
        <f t="shared" si="1"/>
        <v>73210</v>
      </c>
      <c r="H29011" s="49">
        <f t="shared" si="2"/>
        <v>73093</v>
      </c>
    </row>
    <row r="29012">
      <c r="A29012" s="48" t="s">
        <v>4131</v>
      </c>
      <c r="B29012" s="38">
        <v>27592.0</v>
      </c>
      <c r="C29012" s="38" t="s">
        <v>33437</v>
      </c>
      <c r="D29012" s="38" t="str">
        <f>IFERROR(__xludf.DUMMYFUNCTION("REGEXREPLACE(C29012,""-\d+(.*)|--\d+(.*)"","""")"),"SAINT-PIERRE-DE-SALERNE")</f>
        <v>SAINT-PIERRE-DE-SALERNE</v>
      </c>
      <c r="E29012" s="38" t="s">
        <v>241</v>
      </c>
      <c r="F29012" s="38" t="s">
        <v>134</v>
      </c>
      <c r="G29012" s="49" t="str">
        <f t="shared" si="1"/>
        <v>27800</v>
      </c>
      <c r="H29012" s="49">
        <f t="shared" si="2"/>
        <v>27592</v>
      </c>
    </row>
    <row r="29013">
      <c r="A29013" s="48" t="s">
        <v>8019</v>
      </c>
      <c r="B29013" s="38">
        <v>53241.0</v>
      </c>
      <c r="C29013" s="38" t="s">
        <v>33438</v>
      </c>
      <c r="D29013" s="38" t="str">
        <f>IFERROR(__xludf.DUMMYFUNCTION("REGEXREPLACE(C29013,""-\d+(.*)|--\d+(.*)"","""")"),"SAINT-MICHEL-DE-FEINS")</f>
        <v>SAINT-MICHEL-DE-FEINS</v>
      </c>
      <c r="E29013" s="38" t="s">
        <v>518</v>
      </c>
      <c r="F29013" s="38" t="s">
        <v>180</v>
      </c>
      <c r="G29013" s="49" t="str">
        <f t="shared" si="1"/>
        <v>53290</v>
      </c>
      <c r="H29013" s="49">
        <f t="shared" si="2"/>
        <v>53241</v>
      </c>
    </row>
    <row r="29014">
      <c r="A29014" s="48" t="s">
        <v>7057</v>
      </c>
      <c r="B29014" s="38">
        <v>18271.0</v>
      </c>
      <c r="C29014" s="38" t="s">
        <v>33439</v>
      </c>
      <c r="D29014" s="38" t="str">
        <f>IFERROR(__xludf.DUMMYFUNCTION("REGEXREPLACE(C29014,""-\d+(.*)|--\d+(.*)"","""")"),"VASSELAY")</f>
        <v>VASSELAY</v>
      </c>
      <c r="E29014" s="38" t="s">
        <v>504</v>
      </c>
      <c r="F29014" s="38" t="s">
        <v>123</v>
      </c>
      <c r="G29014" s="49" t="str">
        <f t="shared" si="1"/>
        <v>18110</v>
      </c>
      <c r="H29014" s="49">
        <f t="shared" si="2"/>
        <v>18271</v>
      </c>
    </row>
    <row r="29015">
      <c r="A29015" s="48" t="s">
        <v>5230</v>
      </c>
      <c r="B29015" s="38">
        <v>25327.0</v>
      </c>
      <c r="C29015" s="38" t="s">
        <v>33440</v>
      </c>
      <c r="D29015" s="38" t="str">
        <f>IFERROR(__xludf.DUMMYFUNCTION("REGEXREPLACE(C29015,""-\d+(.*)|--\d+(.*)"","""")"),"LANTHENANS")</f>
        <v>LANTHENANS</v>
      </c>
      <c r="E29015" s="38" t="s">
        <v>213</v>
      </c>
      <c r="F29015" s="38" t="s">
        <v>214</v>
      </c>
      <c r="G29015" s="49" t="str">
        <f t="shared" si="1"/>
        <v>25250</v>
      </c>
      <c r="H29015" s="49">
        <f t="shared" si="2"/>
        <v>25327</v>
      </c>
    </row>
    <row r="29016">
      <c r="A29016" s="48" t="s">
        <v>476</v>
      </c>
      <c r="B29016" s="38">
        <v>35259.0</v>
      </c>
      <c r="C29016" s="38" t="s">
        <v>33441</v>
      </c>
      <c r="D29016" s="38" t="str">
        <f>IFERROR(__xludf.DUMMYFUNCTION("REGEXREPLACE(C29016,""-\d+(.*)|--\d+(.*)"","""")"),"SAINT-BROLADRE")</f>
        <v>SAINT-BROLADRE</v>
      </c>
      <c r="E29016" s="38" t="s">
        <v>347</v>
      </c>
      <c r="F29016" s="38" t="s">
        <v>90</v>
      </c>
      <c r="G29016" s="49" t="str">
        <f t="shared" si="1"/>
        <v>35120</v>
      </c>
      <c r="H29016" s="49">
        <f t="shared" si="2"/>
        <v>35259</v>
      </c>
    </row>
    <row r="29017">
      <c r="A29017" s="48" t="s">
        <v>1859</v>
      </c>
      <c r="B29017" s="38">
        <v>88051.0</v>
      </c>
      <c r="C29017" s="38" t="s">
        <v>33442</v>
      </c>
      <c r="D29017" s="38" t="str">
        <f>IFERROR(__xludf.DUMMYFUNCTION("REGEXREPLACE(C29017,""-\d+(.*)|--\d+(.*)"","""")"),"BELMONT-SUR-VAIR")</f>
        <v>BELMONT-SUR-VAIR</v>
      </c>
      <c r="E29017" s="38" t="s">
        <v>194</v>
      </c>
      <c r="F29017" s="38" t="s">
        <v>195</v>
      </c>
      <c r="G29017" s="49" t="str">
        <f t="shared" si="1"/>
        <v>88800</v>
      </c>
      <c r="H29017" s="49">
        <f t="shared" si="2"/>
        <v>88051</v>
      </c>
    </row>
    <row r="29018">
      <c r="A29018" s="48" t="s">
        <v>13232</v>
      </c>
      <c r="B29018" s="38">
        <v>8030.0</v>
      </c>
      <c r="C29018" s="38" t="s">
        <v>9226</v>
      </c>
      <c r="D29018" s="38" t="str">
        <f>IFERROR(__xludf.DUMMYFUNCTION("REGEXREPLACE(C29018,""-\d+(.*)|--\d+(.*)"","""")"),"AUGE")</f>
        <v>AUGE</v>
      </c>
      <c r="E29018" s="38" t="s">
        <v>327</v>
      </c>
      <c r="F29018" s="38" t="s">
        <v>130</v>
      </c>
      <c r="G29018" s="49" t="str">
        <f t="shared" si="1"/>
        <v>08380</v>
      </c>
      <c r="H29018" s="49" t="str">
        <f t="shared" si="2"/>
        <v>08030</v>
      </c>
    </row>
    <row r="29019">
      <c r="A29019" s="48" t="s">
        <v>7474</v>
      </c>
      <c r="B29019" s="38">
        <v>42140.0</v>
      </c>
      <c r="C29019" s="38" t="s">
        <v>33443</v>
      </c>
      <c r="D29019" s="38" t="str">
        <f>IFERROR(__xludf.DUMMYFUNCTION("REGEXREPLACE(C29019,""-\d+(.*)|--\d+(.*)"","""")"),"MAROLS")</f>
        <v>MAROLS</v>
      </c>
      <c r="E29019" s="38" t="s">
        <v>166</v>
      </c>
      <c r="F29019" s="38" t="s">
        <v>102</v>
      </c>
      <c r="G29019" s="49" t="str">
        <f t="shared" si="1"/>
        <v>42560</v>
      </c>
      <c r="H29019" s="49">
        <f t="shared" si="2"/>
        <v>42140</v>
      </c>
    </row>
    <row r="29020">
      <c r="A29020" s="48" t="s">
        <v>1302</v>
      </c>
      <c r="B29020" s="38">
        <v>38497.0</v>
      </c>
      <c r="C29020" s="38" t="s">
        <v>33444</v>
      </c>
      <c r="D29020" s="38" t="str">
        <f>IFERROR(__xludf.DUMMYFUNCTION("REGEXREPLACE(C29020,""-\d+(.*)|--\d+(.*)"","""")"),"SOUSVILLE")</f>
        <v>SOUSVILLE</v>
      </c>
      <c r="E29020" s="38" t="s">
        <v>101</v>
      </c>
      <c r="F29020" s="38" t="s">
        <v>102</v>
      </c>
      <c r="G29020" s="49" t="str">
        <f t="shared" si="1"/>
        <v>38350</v>
      </c>
      <c r="H29020" s="49">
        <f t="shared" si="2"/>
        <v>38497</v>
      </c>
    </row>
    <row r="29021">
      <c r="A29021" s="48" t="s">
        <v>765</v>
      </c>
      <c r="B29021" s="38">
        <v>89434.0</v>
      </c>
      <c r="C29021" s="38" t="s">
        <v>33445</v>
      </c>
      <c r="D29021" s="38" t="str">
        <f>IFERROR(__xludf.DUMMYFUNCTION("REGEXREPLACE(C29021,""-\d+(.*)|--\d+(.*)"","""")"),"VAUMORT")</f>
        <v>VAUMORT</v>
      </c>
      <c r="E29021" s="38" t="s">
        <v>275</v>
      </c>
      <c r="F29021" s="38" t="s">
        <v>106</v>
      </c>
      <c r="G29021" s="49" t="str">
        <f t="shared" si="1"/>
        <v>89320</v>
      </c>
      <c r="H29021" s="49">
        <f t="shared" si="2"/>
        <v>89434</v>
      </c>
    </row>
    <row r="29022">
      <c r="A29022" s="48" t="s">
        <v>7416</v>
      </c>
      <c r="B29022" s="38">
        <v>49079.0</v>
      </c>
      <c r="C29022" s="38" t="s">
        <v>33446</v>
      </c>
      <c r="D29022" s="38" t="str">
        <f>IFERROR(__xludf.DUMMYFUNCTION("REGEXREPLACE(C29022,""-\d+(.*)|--\d+(.*)"","""")"),"CHARTRENE")</f>
        <v>CHARTRENE</v>
      </c>
      <c r="E29022" s="38" t="s">
        <v>653</v>
      </c>
      <c r="F29022" s="38" t="s">
        <v>180</v>
      </c>
      <c r="G29022" s="49" t="str">
        <f t="shared" si="1"/>
        <v>49150</v>
      </c>
      <c r="H29022" s="49">
        <f t="shared" si="2"/>
        <v>49079</v>
      </c>
    </row>
    <row r="29023">
      <c r="A29023" s="48" t="s">
        <v>9365</v>
      </c>
      <c r="B29023" s="38">
        <v>90047.0</v>
      </c>
      <c r="C29023" s="38" t="s">
        <v>13092</v>
      </c>
      <c r="D29023" s="38" t="str">
        <f>IFERROR(__xludf.DUMMYFUNCTION("REGEXREPLACE(C29023,""-\d+(.*)|--\d+(.*)"","""")"),"FONTAINE")</f>
        <v>FONTAINE</v>
      </c>
      <c r="E29023" s="38" t="s">
        <v>1283</v>
      </c>
      <c r="F29023" s="38" t="s">
        <v>214</v>
      </c>
      <c r="G29023" s="49" t="str">
        <f t="shared" si="1"/>
        <v>90150</v>
      </c>
      <c r="H29023" s="49">
        <f t="shared" si="2"/>
        <v>90047</v>
      </c>
    </row>
    <row r="29024">
      <c r="A29024" s="48" t="s">
        <v>1518</v>
      </c>
      <c r="B29024" s="38">
        <v>88144.0</v>
      </c>
      <c r="C29024" s="38" t="s">
        <v>33447</v>
      </c>
      <c r="D29024" s="38" t="str">
        <f>IFERROR(__xludf.DUMMYFUNCTION("REGEXREPLACE(C29024,""-\d+(.*)|--\d+(.*)"","""")"),"DOMEVRE-SOUS-MONTFORT")</f>
        <v>DOMEVRE-SOUS-MONTFORT</v>
      </c>
      <c r="E29024" s="38" t="s">
        <v>194</v>
      </c>
      <c r="F29024" s="38" t="s">
        <v>195</v>
      </c>
      <c r="G29024" s="49" t="str">
        <f t="shared" si="1"/>
        <v>88500</v>
      </c>
      <c r="H29024" s="49">
        <f t="shared" si="2"/>
        <v>88144</v>
      </c>
    </row>
    <row r="29025">
      <c r="A29025" s="48" t="s">
        <v>839</v>
      </c>
      <c r="B29025" s="38">
        <v>62299.0</v>
      </c>
      <c r="C29025" s="38" t="s">
        <v>33448</v>
      </c>
      <c r="D29025" s="38" t="str">
        <f>IFERROR(__xludf.DUMMYFUNCTION("REGEXREPLACE(C29025,""-\d+(.*)|--\d+(.*)"","""")"),"EPS")</f>
        <v>EPS</v>
      </c>
      <c r="E29025" s="38" t="s">
        <v>109</v>
      </c>
      <c r="F29025" s="38" t="s">
        <v>86</v>
      </c>
      <c r="G29025" s="49" t="str">
        <f t="shared" si="1"/>
        <v>62134</v>
      </c>
      <c r="H29025" s="49">
        <f t="shared" si="2"/>
        <v>62299</v>
      </c>
    </row>
    <row r="29026">
      <c r="A29026" s="48" t="s">
        <v>2406</v>
      </c>
      <c r="B29026" s="38">
        <v>55584.0</v>
      </c>
      <c r="C29026" s="38" t="s">
        <v>33449</v>
      </c>
      <c r="D29026" s="38" t="str">
        <f>IFERROR(__xludf.DUMMYFUNCTION("REGEXREPLACE(C29026,""-\d+(.*)|--\d+(.*)"","""")"),"WOIMBEY")</f>
        <v>WOIMBEY</v>
      </c>
      <c r="E29026" s="38" t="s">
        <v>322</v>
      </c>
      <c r="F29026" s="38" t="s">
        <v>195</v>
      </c>
      <c r="G29026" s="49" t="str">
        <f t="shared" si="1"/>
        <v>55300</v>
      </c>
      <c r="H29026" s="49">
        <f t="shared" si="2"/>
        <v>55584</v>
      </c>
    </row>
    <row r="29027">
      <c r="A29027" s="48" t="s">
        <v>13958</v>
      </c>
      <c r="B29027" s="38">
        <v>77274.0</v>
      </c>
      <c r="C29027" s="38" t="s">
        <v>32979</v>
      </c>
      <c r="D29027" s="38" t="str">
        <f>IFERROR(__xludf.DUMMYFUNCTION("REGEXREPLACE(C29027,""-\d+(.*)|--\d+(.*)"","""")"),"MARCILLY")</f>
        <v>MARCILLY</v>
      </c>
      <c r="E29027" s="38" t="s">
        <v>244</v>
      </c>
      <c r="F29027" s="38" t="s">
        <v>245</v>
      </c>
      <c r="G29027" s="49" t="str">
        <f t="shared" si="1"/>
        <v>77139</v>
      </c>
      <c r="H29027" s="49">
        <f t="shared" si="2"/>
        <v>77274</v>
      </c>
    </row>
    <row r="29028">
      <c r="A29028" s="48" t="s">
        <v>18725</v>
      </c>
      <c r="B29028" s="38">
        <v>15092.0</v>
      </c>
      <c r="C29028" s="38" t="s">
        <v>33450</v>
      </c>
      <c r="D29028" s="38" t="str">
        <f>IFERROR(__xludf.DUMMYFUNCTION("REGEXREPLACE(C29028,""-\d+(.*)|--\d+(.*)"","""")"),"LANOBRE")</f>
        <v>LANOBRE</v>
      </c>
      <c r="E29028" s="38" t="s">
        <v>632</v>
      </c>
      <c r="F29028" s="38" t="s">
        <v>161</v>
      </c>
      <c r="G29028" s="49" t="str">
        <f t="shared" si="1"/>
        <v>15270</v>
      </c>
      <c r="H29028" s="49">
        <f t="shared" si="2"/>
        <v>15092</v>
      </c>
    </row>
    <row r="29029">
      <c r="A29029" s="48" t="s">
        <v>4851</v>
      </c>
      <c r="B29029" s="38">
        <v>33382.0</v>
      </c>
      <c r="C29029" s="38" t="s">
        <v>33451</v>
      </c>
      <c r="D29029" s="38" t="str">
        <f>IFERROR(__xludf.DUMMYFUNCTION("REGEXREPLACE(C29029,""-\d+(.*)|--\d+(.*)"","""")"),"SAINT-CHRISTOLY-DE-BLAYE")</f>
        <v>SAINT-CHRISTOLY-DE-BLAYE</v>
      </c>
      <c r="E29029" s="38" t="s">
        <v>462</v>
      </c>
      <c r="F29029" s="38" t="s">
        <v>252</v>
      </c>
      <c r="G29029" s="49" t="str">
        <f t="shared" si="1"/>
        <v>33920</v>
      </c>
      <c r="H29029" s="49">
        <f t="shared" si="2"/>
        <v>33382</v>
      </c>
    </row>
    <row r="29030">
      <c r="A29030" s="48" t="s">
        <v>26335</v>
      </c>
      <c r="B29030" s="38">
        <v>70414.0</v>
      </c>
      <c r="C29030" s="38" t="s">
        <v>33452</v>
      </c>
      <c r="D29030" s="38" t="str">
        <f>IFERROR(__xludf.DUMMYFUNCTION("REGEXREPLACE(C29030,""-\d+(.*)|--\d+(.*)"","""")"),"PLANCHER-LES-MINES")</f>
        <v>PLANCHER-LES-MINES</v>
      </c>
      <c r="E29030" s="38" t="s">
        <v>956</v>
      </c>
      <c r="F29030" s="38" t="s">
        <v>214</v>
      </c>
      <c r="G29030" s="49" t="str">
        <f t="shared" si="1"/>
        <v>70290</v>
      </c>
      <c r="H29030" s="49">
        <f t="shared" si="2"/>
        <v>70414</v>
      </c>
    </row>
    <row r="29031">
      <c r="A29031" s="48" t="s">
        <v>5887</v>
      </c>
      <c r="B29031" s="38">
        <v>61403.0</v>
      </c>
      <c r="C29031" s="38" t="s">
        <v>33453</v>
      </c>
      <c r="D29031" s="38" t="str">
        <f>IFERROR(__xludf.DUMMYFUNCTION("REGEXREPLACE(C29031,""-\d+(.*)|--\d+(.*)"","""")"),"SAINT-HILAIRE-LA-GERARD")</f>
        <v>SAINT-HILAIRE-LA-GERARD</v>
      </c>
      <c r="E29031" s="38" t="s">
        <v>141</v>
      </c>
      <c r="F29031" s="38" t="s">
        <v>138</v>
      </c>
      <c r="G29031" s="49" t="str">
        <f t="shared" si="1"/>
        <v>61500</v>
      </c>
      <c r="H29031" s="49">
        <f t="shared" si="2"/>
        <v>61403</v>
      </c>
    </row>
    <row r="29032">
      <c r="A29032" s="48" t="s">
        <v>2159</v>
      </c>
      <c r="B29032" s="38">
        <v>57425.0</v>
      </c>
      <c r="C29032" s="38" t="s">
        <v>33454</v>
      </c>
      <c r="D29032" s="38" t="str">
        <f>IFERROR(__xludf.DUMMYFUNCTION("REGEXREPLACE(C29032,""-\d+(.*)|--\d+(.*)"","""")"),"LUPPY")</f>
        <v>LUPPY</v>
      </c>
      <c r="E29032" s="38" t="s">
        <v>303</v>
      </c>
      <c r="F29032" s="38" t="s">
        <v>195</v>
      </c>
      <c r="G29032" s="49" t="str">
        <f t="shared" si="1"/>
        <v>57580</v>
      </c>
      <c r="H29032" s="49">
        <f t="shared" si="2"/>
        <v>57425</v>
      </c>
    </row>
    <row r="29033">
      <c r="A29033" s="48" t="s">
        <v>2517</v>
      </c>
      <c r="B29033" s="38">
        <v>6045.0</v>
      </c>
      <c r="C29033" s="38" t="s">
        <v>21475</v>
      </c>
      <c r="D29033" s="38" t="str">
        <f>IFERROR(__xludf.DUMMYFUNCTION("REGEXREPLACE(C29033,""-\d+(.*)|--\d+(.*)"","""")"),"COLLONGUES")</f>
        <v>COLLONGUES</v>
      </c>
      <c r="E29033" s="38" t="s">
        <v>227</v>
      </c>
      <c r="F29033" s="38" t="s">
        <v>228</v>
      </c>
      <c r="G29033" s="49" t="str">
        <f t="shared" si="1"/>
        <v>06910</v>
      </c>
      <c r="H29033" s="49" t="str">
        <f t="shared" si="2"/>
        <v>06045</v>
      </c>
    </row>
    <row r="29034">
      <c r="A29034" s="48" t="s">
        <v>13583</v>
      </c>
      <c r="B29034" s="38">
        <v>90057.0</v>
      </c>
      <c r="C29034" s="38" t="s">
        <v>33455</v>
      </c>
      <c r="D29034" s="38" t="str">
        <f>IFERROR(__xludf.DUMMYFUNCTION("REGEXREPLACE(C29034,""-\d+(.*)|--\d+(.*)"","""")"),"LACHAPELLE-SOUS-CHAUX")</f>
        <v>LACHAPELLE-SOUS-CHAUX</v>
      </c>
      <c r="E29034" s="38" t="s">
        <v>1283</v>
      </c>
      <c r="F29034" s="38" t="s">
        <v>214</v>
      </c>
      <c r="G29034" s="49" t="str">
        <f t="shared" si="1"/>
        <v>90300</v>
      </c>
      <c r="H29034" s="49">
        <f t="shared" si="2"/>
        <v>90057</v>
      </c>
    </row>
    <row r="29035">
      <c r="A29035" s="48" t="s">
        <v>4797</v>
      </c>
      <c r="B29035" s="38">
        <v>30026.0</v>
      </c>
      <c r="C29035" s="38" t="s">
        <v>13599</v>
      </c>
      <c r="D29035" s="38" t="str">
        <f>IFERROR(__xludf.DUMMYFUNCTION("REGEXREPLACE(C29035,""-\d+(.*)|--\d+(.*)"","""")"),"AVEZE")</f>
        <v>AVEZE</v>
      </c>
      <c r="E29035" s="38" t="s">
        <v>526</v>
      </c>
      <c r="F29035" s="38" t="s">
        <v>119</v>
      </c>
      <c r="G29035" s="49" t="str">
        <f t="shared" si="1"/>
        <v>30120</v>
      </c>
      <c r="H29035" s="49">
        <f t="shared" si="2"/>
        <v>30026</v>
      </c>
    </row>
    <row r="29036">
      <c r="A29036" s="48" t="s">
        <v>10008</v>
      </c>
      <c r="B29036" s="38">
        <v>36154.0</v>
      </c>
      <c r="C29036" s="38" t="s">
        <v>33456</v>
      </c>
      <c r="D29036" s="38" t="str">
        <f>IFERROR(__xludf.DUMMYFUNCTION("REGEXREPLACE(C29036,""-\d+(.*)|--\d+(.*)"","""")"),"LE PECHEREAU")</f>
        <v>LE PECHEREAU</v>
      </c>
      <c r="E29036" s="38" t="s">
        <v>258</v>
      </c>
      <c r="F29036" s="38" t="s">
        <v>123</v>
      </c>
      <c r="G29036" s="49" t="str">
        <f t="shared" si="1"/>
        <v>36200</v>
      </c>
      <c r="H29036" s="49">
        <f t="shared" si="2"/>
        <v>36154</v>
      </c>
    </row>
    <row r="29037">
      <c r="A29037" s="48" t="s">
        <v>18292</v>
      </c>
      <c r="B29037" s="38">
        <v>22012.0</v>
      </c>
      <c r="C29037" s="38" t="s">
        <v>33457</v>
      </c>
      <c r="D29037" s="38" t="str">
        <f>IFERROR(__xludf.DUMMYFUNCTION("REGEXREPLACE(C29037,""-\d+(.*)|--\d+(.*)"","""")"),"LA BOUILLIE")</f>
        <v>LA BOUILLIE</v>
      </c>
      <c r="E29037" s="38" t="s">
        <v>89</v>
      </c>
      <c r="F29037" s="38" t="s">
        <v>90</v>
      </c>
      <c r="G29037" s="49" t="str">
        <f t="shared" si="1"/>
        <v>22240</v>
      </c>
      <c r="H29037" s="49">
        <f t="shared" si="2"/>
        <v>22012</v>
      </c>
    </row>
    <row r="29038">
      <c r="A29038" s="48" t="s">
        <v>6261</v>
      </c>
      <c r="B29038" s="38">
        <v>76357.0</v>
      </c>
      <c r="C29038" s="38" t="s">
        <v>33458</v>
      </c>
      <c r="D29038" s="38" t="str">
        <f>IFERROR(__xludf.DUMMYFUNCTION("REGEXREPLACE(C29038,""-\d+(.*)|--\d+(.*)"","""")"),"HERMEVILLE")</f>
        <v>HERMEVILLE</v>
      </c>
      <c r="E29038" s="38" t="s">
        <v>133</v>
      </c>
      <c r="F29038" s="38" t="s">
        <v>134</v>
      </c>
      <c r="G29038" s="49" t="str">
        <f t="shared" si="1"/>
        <v>76280</v>
      </c>
      <c r="H29038" s="49">
        <f t="shared" si="2"/>
        <v>76357</v>
      </c>
    </row>
    <row r="29039">
      <c r="A29039" s="48" t="s">
        <v>348</v>
      </c>
      <c r="B29039" s="38">
        <v>69160.0</v>
      </c>
      <c r="C29039" s="38" t="s">
        <v>33459</v>
      </c>
      <c r="D29039" s="38" t="str">
        <f>IFERROR(__xludf.DUMMYFUNCTION("REGEXREPLACE(C29039,""-\d+(.*)|--\d+(.*)"","""")"),"POULE-LES-ECHARMEAUX")</f>
        <v>POULE-LES-ECHARMEAUX</v>
      </c>
      <c r="E29039" s="38" t="s">
        <v>350</v>
      </c>
      <c r="F29039" s="38" t="s">
        <v>102</v>
      </c>
      <c r="G29039" s="49" t="str">
        <f t="shared" si="1"/>
        <v>69870</v>
      </c>
      <c r="H29039" s="49">
        <f t="shared" si="2"/>
        <v>69160</v>
      </c>
    </row>
    <row r="29040">
      <c r="A29040" s="48" t="s">
        <v>7940</v>
      </c>
      <c r="B29040" s="38">
        <v>49225.0</v>
      </c>
      <c r="C29040" s="38" t="s">
        <v>33460</v>
      </c>
      <c r="D29040" s="38" t="str">
        <f>IFERROR(__xludf.DUMMYFUNCTION("REGEXREPLACE(C29040,""-\d+(.*)|--\d+(.*)"","""")"),"NEUVY-EN-MAUGES")</f>
        <v>NEUVY-EN-MAUGES</v>
      </c>
      <c r="E29040" s="38" t="s">
        <v>653</v>
      </c>
      <c r="F29040" s="38" t="s">
        <v>180</v>
      </c>
      <c r="G29040" s="49" t="str">
        <f t="shared" si="1"/>
        <v>49120</v>
      </c>
      <c r="H29040" s="49">
        <f t="shared" si="2"/>
        <v>49225</v>
      </c>
    </row>
    <row r="29041">
      <c r="A29041" s="48" t="s">
        <v>33461</v>
      </c>
      <c r="B29041" s="38">
        <v>77186.0</v>
      </c>
      <c r="C29041" s="38" t="s">
        <v>33462</v>
      </c>
      <c r="D29041" s="38" t="str">
        <f>IFERROR(__xludf.DUMMYFUNCTION("REGEXREPLACE(C29041,""-\d+(.*)|--\d+(.*)"","""")"),"FONTAINEBLEAU")</f>
        <v>FONTAINEBLEAU</v>
      </c>
      <c r="E29041" s="38" t="s">
        <v>244</v>
      </c>
      <c r="F29041" s="38" t="s">
        <v>245</v>
      </c>
      <c r="G29041" s="49" t="str">
        <f t="shared" si="1"/>
        <v>77300</v>
      </c>
      <c r="H29041" s="49">
        <f t="shared" si="2"/>
        <v>77186</v>
      </c>
    </row>
    <row r="29042">
      <c r="A29042" s="48" t="s">
        <v>2521</v>
      </c>
      <c r="B29042" s="38">
        <v>28207.0</v>
      </c>
      <c r="C29042" s="38" t="s">
        <v>33463</v>
      </c>
      <c r="D29042" s="38" t="str">
        <f>IFERROR(__xludf.DUMMYFUNCTION("REGEXREPLACE(C29042,""-\d+(.*)|--\d+(.*)"","""")"),"LETHUIN")</f>
        <v>LETHUIN</v>
      </c>
      <c r="E29042" s="38" t="s">
        <v>300</v>
      </c>
      <c r="F29042" s="38" t="s">
        <v>123</v>
      </c>
      <c r="G29042" s="49" t="str">
        <f t="shared" si="1"/>
        <v>28700</v>
      </c>
      <c r="H29042" s="49">
        <f t="shared" si="2"/>
        <v>28207</v>
      </c>
    </row>
    <row r="29043">
      <c r="A29043" s="48" t="s">
        <v>33464</v>
      </c>
      <c r="B29043" s="38">
        <v>77283.0</v>
      </c>
      <c r="C29043" s="38" t="s">
        <v>33465</v>
      </c>
      <c r="D29043" s="38" t="str">
        <f>IFERROR(__xludf.DUMMYFUNCTION("REGEXREPLACE(C29043,""-\d+(.*)|--\d+(.*)"","""")"),"MAY-EN-MULTIEN")</f>
        <v>MAY-EN-MULTIEN</v>
      </c>
      <c r="E29043" s="38" t="s">
        <v>244</v>
      </c>
      <c r="F29043" s="38" t="s">
        <v>245</v>
      </c>
      <c r="G29043" s="49" t="str">
        <f t="shared" si="1"/>
        <v>77145</v>
      </c>
      <c r="H29043" s="49">
        <f t="shared" si="2"/>
        <v>77283</v>
      </c>
    </row>
    <row r="29044">
      <c r="A29044" s="48" t="s">
        <v>3379</v>
      </c>
      <c r="B29044" s="38">
        <v>54152.0</v>
      </c>
      <c r="C29044" s="38" t="s">
        <v>33466</v>
      </c>
      <c r="D29044" s="38" t="str">
        <f>IFERROR(__xludf.DUMMYFUNCTION("REGEXREPLACE(C29044,""-\d+(.*)|--\d+(.*)"","""")"),"DAMELEVIERES")</f>
        <v>DAMELEVIERES</v>
      </c>
      <c r="E29044" s="38" t="s">
        <v>548</v>
      </c>
      <c r="F29044" s="38" t="s">
        <v>195</v>
      </c>
      <c r="G29044" s="49" t="str">
        <f t="shared" si="1"/>
        <v>54360</v>
      </c>
      <c r="H29044" s="49">
        <f t="shared" si="2"/>
        <v>54152</v>
      </c>
    </row>
    <row r="29045">
      <c r="A29045" s="48" t="s">
        <v>12007</v>
      </c>
      <c r="B29045" s="38">
        <v>37079.0</v>
      </c>
      <c r="C29045" s="38" t="s">
        <v>33467</v>
      </c>
      <c r="D29045" s="38" t="str">
        <f>IFERROR(__xludf.DUMMYFUNCTION("REGEXREPLACE(C29045,""-\d+(.*)|--\d+(.*)"","""")"),"CIVRAY-DE-TOURAINE")</f>
        <v>CIVRAY-DE-TOURAINE</v>
      </c>
      <c r="E29045" s="38" t="s">
        <v>205</v>
      </c>
      <c r="F29045" s="38" t="s">
        <v>123</v>
      </c>
      <c r="G29045" s="49" t="str">
        <f t="shared" si="1"/>
        <v>37150</v>
      </c>
      <c r="H29045" s="49">
        <f t="shared" si="2"/>
        <v>37079</v>
      </c>
    </row>
    <row r="29046">
      <c r="A29046" s="48" t="s">
        <v>7749</v>
      </c>
      <c r="B29046" s="38">
        <v>85135.0</v>
      </c>
      <c r="C29046" s="38" t="s">
        <v>33468</v>
      </c>
      <c r="D29046" s="38" t="str">
        <f>IFERROR(__xludf.DUMMYFUNCTION("REGEXREPLACE(C29046,""-\d+(.*)|--\d+(.*)"","""")"),"MAREUIL-SUR-LAY-DISSAIS")</f>
        <v>MAREUIL-SUR-LAY-DISSAIS</v>
      </c>
      <c r="E29046" s="38" t="s">
        <v>179</v>
      </c>
      <c r="F29046" s="38" t="s">
        <v>180</v>
      </c>
      <c r="G29046" s="49" t="str">
        <f t="shared" si="1"/>
        <v>85320</v>
      </c>
      <c r="H29046" s="49">
        <f t="shared" si="2"/>
        <v>85135</v>
      </c>
    </row>
    <row r="29047">
      <c r="A29047" s="48" t="s">
        <v>6872</v>
      </c>
      <c r="B29047" s="38">
        <v>45191.0</v>
      </c>
      <c r="C29047" s="38" t="s">
        <v>33469</v>
      </c>
      <c r="D29047" s="38" t="str">
        <f>IFERROR(__xludf.DUMMYFUNCTION("REGEXREPLACE(C29047,""-\d+(.*)|--\d+(.*)"","""")"),"MALESHERBES")</f>
        <v>MALESHERBES</v>
      </c>
      <c r="E29047" s="38" t="s">
        <v>122</v>
      </c>
      <c r="F29047" s="38" t="s">
        <v>123</v>
      </c>
      <c r="G29047" s="49" t="str">
        <f t="shared" si="1"/>
        <v>45330</v>
      </c>
      <c r="H29047" s="49">
        <f t="shared" si="2"/>
        <v>45191</v>
      </c>
    </row>
    <row r="29048">
      <c r="A29048" s="48" t="s">
        <v>1848</v>
      </c>
      <c r="B29048" s="38">
        <v>15087.0</v>
      </c>
      <c r="C29048" s="38" t="s">
        <v>33470</v>
      </c>
      <c r="D29048" s="38" t="str">
        <f>IFERROR(__xludf.DUMMYFUNCTION("REGEXREPLACE(C29048,""-\d+(.*)|--\d+(.*)"","""")"),"LACAPELLE-DEL-FRAISSE")</f>
        <v>LACAPELLE-DEL-FRAISSE</v>
      </c>
      <c r="E29048" s="38" t="s">
        <v>632</v>
      </c>
      <c r="F29048" s="38" t="s">
        <v>161</v>
      </c>
      <c r="G29048" s="49" t="str">
        <f t="shared" si="1"/>
        <v>15120</v>
      </c>
      <c r="H29048" s="49">
        <f t="shared" si="2"/>
        <v>15087</v>
      </c>
    </row>
    <row r="29049">
      <c r="A29049" s="48" t="s">
        <v>4220</v>
      </c>
      <c r="B29049" s="38">
        <v>35187.0</v>
      </c>
      <c r="C29049" s="38" t="s">
        <v>33471</v>
      </c>
      <c r="D29049" s="38" t="str">
        <f>IFERROR(__xludf.DUMMYFUNCTION("REGEXREPLACE(C29049,""-\d+(.*)|--\d+(.*)"","""")"),"MONTERFIL")</f>
        <v>MONTERFIL</v>
      </c>
      <c r="E29049" s="38" t="s">
        <v>347</v>
      </c>
      <c r="F29049" s="38" t="s">
        <v>90</v>
      </c>
      <c r="G29049" s="49" t="str">
        <f t="shared" si="1"/>
        <v>35160</v>
      </c>
      <c r="H29049" s="49">
        <f t="shared" si="2"/>
        <v>35187</v>
      </c>
    </row>
    <row r="29050">
      <c r="A29050" s="48" t="s">
        <v>2249</v>
      </c>
      <c r="B29050" s="38">
        <v>14733.0</v>
      </c>
      <c r="C29050" s="38" t="s">
        <v>33472</v>
      </c>
      <c r="D29050" s="38" t="str">
        <f>IFERROR(__xludf.DUMMYFUNCTION("REGEXREPLACE(C29050,""-\d+(.*)|--\d+(.*)"","""")"),"VAUX-SUR-SEULLES")</f>
        <v>VAUX-SUR-SEULLES</v>
      </c>
      <c r="E29050" s="38" t="s">
        <v>137</v>
      </c>
      <c r="F29050" s="38" t="s">
        <v>138</v>
      </c>
      <c r="G29050" s="49" t="str">
        <f t="shared" si="1"/>
        <v>14400</v>
      </c>
      <c r="H29050" s="49">
        <f t="shared" si="2"/>
        <v>14733</v>
      </c>
    </row>
    <row r="29051">
      <c r="A29051" s="48" t="s">
        <v>1921</v>
      </c>
      <c r="B29051" s="38">
        <v>2571.0</v>
      </c>
      <c r="C29051" s="38" t="s">
        <v>33473</v>
      </c>
      <c r="D29051" s="38" t="str">
        <f>IFERROR(__xludf.DUMMYFUNCTION("REGEXREPLACE(C29051,""-\d+(.*)|--\d+(.*)"","""")"),"OMISSY")</f>
        <v>OMISSY</v>
      </c>
      <c r="E29051" s="38" t="s">
        <v>191</v>
      </c>
      <c r="F29051" s="38" t="s">
        <v>113</v>
      </c>
      <c r="G29051" s="49" t="str">
        <f t="shared" si="1"/>
        <v>02100</v>
      </c>
      <c r="H29051" s="49" t="str">
        <f t="shared" si="2"/>
        <v>02571</v>
      </c>
    </row>
    <row r="29052">
      <c r="A29052" s="48" t="s">
        <v>3206</v>
      </c>
      <c r="B29052" s="38">
        <v>40039.0</v>
      </c>
      <c r="C29052" s="38" t="s">
        <v>33474</v>
      </c>
      <c r="D29052" s="38" t="str">
        <f>IFERROR(__xludf.DUMMYFUNCTION("REGEXREPLACE(C29052,""-\d+(.*)|--\d+(.*)"","""")"),"BETBEZER-D'ARMAGNAC")</f>
        <v>BETBEZER-D'ARMAGNAC</v>
      </c>
      <c r="E29052" s="38" t="s">
        <v>281</v>
      </c>
      <c r="F29052" s="38" t="s">
        <v>252</v>
      </c>
      <c r="G29052" s="49" t="str">
        <f t="shared" si="1"/>
        <v>40240</v>
      </c>
      <c r="H29052" s="49">
        <f t="shared" si="2"/>
        <v>40039</v>
      </c>
    </row>
    <row r="29053">
      <c r="A29053" s="48" t="s">
        <v>14600</v>
      </c>
      <c r="B29053" s="38">
        <v>12277.0</v>
      </c>
      <c r="C29053" s="38" t="s">
        <v>33475</v>
      </c>
      <c r="D29053" s="38" t="str">
        <f>IFERROR(__xludf.DUMMYFUNCTION("REGEXREPLACE(C29053,""-\d+(.*)|--\d+(.*)"","""")"),"TAUSSAC")</f>
        <v>TAUSSAC</v>
      </c>
      <c r="E29053" s="38" t="s">
        <v>465</v>
      </c>
      <c r="F29053" s="38" t="s">
        <v>94</v>
      </c>
      <c r="G29053" s="49" t="str">
        <f t="shared" si="1"/>
        <v>12600</v>
      </c>
      <c r="H29053" s="49">
        <f t="shared" si="2"/>
        <v>12277</v>
      </c>
    </row>
    <row r="29054">
      <c r="A29054" s="48" t="s">
        <v>698</v>
      </c>
      <c r="B29054" s="38">
        <v>11179.0</v>
      </c>
      <c r="C29054" s="38" t="s">
        <v>33476</v>
      </c>
      <c r="D29054" s="38" t="str">
        <f>IFERROR(__xludf.DUMMYFUNCTION("REGEXREPLACE(C29054,""-\d+(.*)|--\d+(.*)"","""")"),"LABASTIDE-EN-VAL")</f>
        <v>LABASTIDE-EN-VAL</v>
      </c>
      <c r="E29054" s="38" t="s">
        <v>278</v>
      </c>
      <c r="F29054" s="38" t="s">
        <v>119</v>
      </c>
      <c r="G29054" s="49" t="str">
        <f t="shared" si="1"/>
        <v>11220</v>
      </c>
      <c r="H29054" s="49">
        <f t="shared" si="2"/>
        <v>11179</v>
      </c>
    </row>
    <row r="29055">
      <c r="A29055" s="48" t="s">
        <v>33477</v>
      </c>
      <c r="B29055" s="38">
        <v>91135.0</v>
      </c>
      <c r="C29055" s="38" t="s">
        <v>33478</v>
      </c>
      <c r="D29055" s="38" t="str">
        <f>IFERROR(__xludf.DUMMYFUNCTION("REGEXREPLACE(C29055,""-\d+(.*)|--\d+(.*)"","""")"),"CHAMPCUEIL")</f>
        <v>CHAMPCUEIL</v>
      </c>
      <c r="E29055" s="38" t="s">
        <v>756</v>
      </c>
      <c r="F29055" s="38" t="s">
        <v>245</v>
      </c>
      <c r="G29055" s="49" t="str">
        <f t="shared" si="1"/>
        <v>91750</v>
      </c>
      <c r="H29055" s="49">
        <f t="shared" si="2"/>
        <v>91135</v>
      </c>
    </row>
    <row r="29056">
      <c r="A29056" s="48" t="s">
        <v>693</v>
      </c>
      <c r="B29056" s="38">
        <v>23023.0</v>
      </c>
      <c r="C29056" s="38" t="s">
        <v>33479</v>
      </c>
      <c r="D29056" s="38" t="str">
        <f>IFERROR(__xludf.DUMMYFUNCTION("REGEXREPLACE(C29056,""-\d+(.*)|--\d+(.*)"","""")"),"BLAUDEIX")</f>
        <v>BLAUDEIX</v>
      </c>
      <c r="E29056" s="38" t="s">
        <v>97</v>
      </c>
      <c r="F29056" s="38" t="s">
        <v>98</v>
      </c>
      <c r="G29056" s="49" t="str">
        <f t="shared" si="1"/>
        <v>23140</v>
      </c>
      <c r="H29056" s="49">
        <f t="shared" si="2"/>
        <v>23023</v>
      </c>
    </row>
    <row r="29057">
      <c r="A29057" s="48" t="s">
        <v>1284</v>
      </c>
      <c r="B29057" s="38">
        <v>9125.0</v>
      </c>
      <c r="C29057" s="38" t="s">
        <v>33480</v>
      </c>
      <c r="D29057" s="38" t="str">
        <f>IFERROR(__xludf.DUMMYFUNCTION("REGEXREPLACE(C29057,""-\d+(.*)|--\d+(.*)"","""")"),"FOUGAX-ET-BARRINEUF")</f>
        <v>FOUGAX-ET-BARRINEUF</v>
      </c>
      <c r="E29057" s="38" t="s">
        <v>238</v>
      </c>
      <c r="F29057" s="38" t="s">
        <v>94</v>
      </c>
      <c r="G29057" s="49" t="str">
        <f t="shared" si="1"/>
        <v>09300</v>
      </c>
      <c r="H29057" s="49" t="str">
        <f t="shared" si="2"/>
        <v>09125</v>
      </c>
    </row>
    <row r="29058">
      <c r="A29058" s="48" t="s">
        <v>7250</v>
      </c>
      <c r="B29058" s="38">
        <v>89131.0</v>
      </c>
      <c r="C29058" s="38" t="s">
        <v>33481</v>
      </c>
      <c r="D29058" s="38" t="str">
        <f>IFERROR(__xludf.DUMMYFUNCTION("REGEXREPLACE(C29058,""-\d+(.*)|--\d+(.*)"","""")"),"CRUZY-LE-CHATEL")</f>
        <v>CRUZY-LE-CHATEL</v>
      </c>
      <c r="E29058" s="38" t="s">
        <v>275</v>
      </c>
      <c r="F29058" s="38" t="s">
        <v>106</v>
      </c>
      <c r="G29058" s="49" t="str">
        <f t="shared" si="1"/>
        <v>89740</v>
      </c>
      <c r="H29058" s="49">
        <f t="shared" si="2"/>
        <v>89131</v>
      </c>
    </row>
    <row r="29059">
      <c r="A29059" s="48" t="s">
        <v>8834</v>
      </c>
      <c r="B29059" s="38">
        <v>51365.0</v>
      </c>
      <c r="C29059" s="38" t="s">
        <v>33482</v>
      </c>
      <c r="D29059" s="38" t="str">
        <f>IFERROR(__xludf.DUMMYFUNCTION("REGEXREPLACE(C29059,""-\d+(.*)|--\d+(.*)"","""")"),"LES MESNEUX")</f>
        <v>LES MESNEUX</v>
      </c>
      <c r="E29059" s="38" t="s">
        <v>129</v>
      </c>
      <c r="F29059" s="38" t="s">
        <v>130</v>
      </c>
      <c r="G29059" s="49" t="str">
        <f t="shared" si="1"/>
        <v>51370</v>
      </c>
      <c r="H29059" s="49">
        <f t="shared" si="2"/>
        <v>51365</v>
      </c>
    </row>
    <row r="29060">
      <c r="A29060" s="48" t="s">
        <v>7080</v>
      </c>
      <c r="B29060" s="38">
        <v>86091.0</v>
      </c>
      <c r="C29060" s="38" t="s">
        <v>33483</v>
      </c>
      <c r="D29060" s="38" t="str">
        <f>IFERROR(__xludf.DUMMYFUNCTION("REGEXREPLACE(C29060,""-\d+(.*)|--\d+(.*)"","""")"),"CURZAY-SUR-VONNE")</f>
        <v>CURZAY-SUR-VONNE</v>
      </c>
      <c r="E29060" s="38" t="s">
        <v>529</v>
      </c>
      <c r="F29060" s="38" t="s">
        <v>338</v>
      </c>
      <c r="G29060" s="49" t="str">
        <f t="shared" si="1"/>
        <v>86600</v>
      </c>
      <c r="H29060" s="49">
        <f t="shared" si="2"/>
        <v>86091</v>
      </c>
    </row>
    <row r="29061">
      <c r="A29061" s="48" t="s">
        <v>7377</v>
      </c>
      <c r="B29061" s="38">
        <v>49204.0</v>
      </c>
      <c r="C29061" s="38" t="s">
        <v>33484</v>
      </c>
      <c r="D29061" s="38" t="str">
        <f>IFERROR(__xludf.DUMMYFUNCTION("REGEXREPLACE(C29061,""-\d+(.*)|--\d+(.*)"","""")"),"LE MESNIL-EN-VALLEE")</f>
        <v>LE MESNIL-EN-VALLEE</v>
      </c>
      <c r="E29061" s="38" t="s">
        <v>653</v>
      </c>
      <c r="F29061" s="38" t="s">
        <v>180</v>
      </c>
      <c r="G29061" s="49" t="str">
        <f t="shared" si="1"/>
        <v>49410</v>
      </c>
      <c r="H29061" s="49">
        <f t="shared" si="2"/>
        <v>49204</v>
      </c>
    </row>
    <row r="29062">
      <c r="A29062" s="48" t="s">
        <v>6515</v>
      </c>
      <c r="B29062" s="38">
        <v>62588.0</v>
      </c>
      <c r="C29062" s="38" t="s">
        <v>2054</v>
      </c>
      <c r="D29062" s="38" t="str">
        <f>IFERROR(__xludf.DUMMYFUNCTION("REGEXREPLACE(C29062,""-\d+(.*)|--\d+(.*)"","""")"),"MONTREUIL")</f>
        <v>MONTREUIL</v>
      </c>
      <c r="E29062" s="38" t="s">
        <v>109</v>
      </c>
      <c r="F29062" s="38" t="s">
        <v>86</v>
      </c>
      <c r="G29062" s="49" t="str">
        <f t="shared" si="1"/>
        <v>62170</v>
      </c>
      <c r="H29062" s="49">
        <f t="shared" si="2"/>
        <v>62588</v>
      </c>
    </row>
    <row r="29063">
      <c r="A29063" s="48" t="s">
        <v>1341</v>
      </c>
      <c r="B29063" s="38">
        <v>14008.0</v>
      </c>
      <c r="C29063" s="38" t="s">
        <v>33485</v>
      </c>
      <c r="D29063" s="38" t="str">
        <f>IFERROR(__xludf.DUMMYFUNCTION("REGEXREPLACE(C29063,""-\d+(.*)|--\d+(.*)"","""")"),"AMBLIE")</f>
        <v>AMBLIE</v>
      </c>
      <c r="E29063" s="38" t="s">
        <v>137</v>
      </c>
      <c r="F29063" s="38" t="s">
        <v>138</v>
      </c>
      <c r="G29063" s="49" t="str">
        <f t="shared" si="1"/>
        <v>14480</v>
      </c>
      <c r="H29063" s="49">
        <f t="shared" si="2"/>
        <v>14008</v>
      </c>
    </row>
    <row r="29064">
      <c r="A29064" s="48" t="s">
        <v>1991</v>
      </c>
      <c r="B29064" s="38">
        <v>54518.0</v>
      </c>
      <c r="C29064" s="38" t="s">
        <v>33486</v>
      </c>
      <c r="D29064" s="38" t="str">
        <f>IFERROR(__xludf.DUMMYFUNCTION("REGEXREPLACE(C29064,""-\d+(.*)|--\d+(.*)"","""")"),"THIAUCOURT-REGNIEVILLE")</f>
        <v>THIAUCOURT-REGNIEVILLE</v>
      </c>
      <c r="E29064" s="38" t="s">
        <v>548</v>
      </c>
      <c r="F29064" s="38" t="s">
        <v>195</v>
      </c>
      <c r="G29064" s="49" t="str">
        <f t="shared" si="1"/>
        <v>54470</v>
      </c>
      <c r="H29064" s="49">
        <f t="shared" si="2"/>
        <v>54518</v>
      </c>
    </row>
    <row r="29065">
      <c r="A29065" s="48" t="s">
        <v>1012</v>
      </c>
      <c r="B29065" s="38">
        <v>21101.0</v>
      </c>
      <c r="C29065" s="38" t="s">
        <v>4484</v>
      </c>
      <c r="D29065" s="38" t="str">
        <f>IFERROR(__xludf.DUMMYFUNCTION("REGEXREPLACE(C29065,""-\d+(.*)|--\d+(.*)"","""")"),"BRAUX")</f>
        <v>BRAUX</v>
      </c>
      <c r="E29065" s="38" t="s">
        <v>105</v>
      </c>
      <c r="F29065" s="38" t="s">
        <v>106</v>
      </c>
      <c r="G29065" s="49" t="str">
        <f t="shared" si="1"/>
        <v>21390</v>
      </c>
      <c r="H29065" s="49">
        <f t="shared" si="2"/>
        <v>21101</v>
      </c>
    </row>
    <row r="29066">
      <c r="A29066" s="48" t="s">
        <v>3368</v>
      </c>
      <c r="B29066" s="38">
        <v>61108.0</v>
      </c>
      <c r="C29066" s="38" t="s">
        <v>33487</v>
      </c>
      <c r="D29066" s="38" t="str">
        <f>IFERROR(__xludf.DUMMYFUNCTION("REGEXREPLACE(C29066,""-\d+(.*)|--\d+(.*)"","""")"),"CISAI-SAINT-AUBIN")</f>
        <v>CISAI-SAINT-AUBIN</v>
      </c>
      <c r="E29066" s="38" t="s">
        <v>141</v>
      </c>
      <c r="F29066" s="38" t="s">
        <v>138</v>
      </c>
      <c r="G29066" s="49" t="str">
        <f t="shared" si="1"/>
        <v>61230</v>
      </c>
      <c r="H29066" s="49">
        <f t="shared" si="2"/>
        <v>61108</v>
      </c>
    </row>
    <row r="29067">
      <c r="A29067" s="48" t="s">
        <v>2033</v>
      </c>
      <c r="B29067" s="38">
        <v>18117.0</v>
      </c>
      <c r="C29067" s="38" t="s">
        <v>33488</v>
      </c>
      <c r="D29067" s="38" t="str">
        <f>IFERROR(__xludf.DUMMYFUNCTION("REGEXREPLACE(C29067,""-\d+(.*)|--\d+(.*)"","""")"),"JARS")</f>
        <v>JARS</v>
      </c>
      <c r="E29067" s="38" t="s">
        <v>504</v>
      </c>
      <c r="F29067" s="38" t="s">
        <v>123</v>
      </c>
      <c r="G29067" s="49" t="str">
        <f t="shared" si="1"/>
        <v>18260</v>
      </c>
      <c r="H29067" s="49">
        <f t="shared" si="2"/>
        <v>18117</v>
      </c>
    </row>
    <row r="29068">
      <c r="A29068" s="48" t="s">
        <v>922</v>
      </c>
      <c r="B29068" s="38">
        <v>76691.0</v>
      </c>
      <c r="C29068" s="38" t="s">
        <v>33489</v>
      </c>
      <c r="D29068" s="38" t="str">
        <f>IFERROR(__xludf.DUMMYFUNCTION("REGEXREPLACE(C29068,""-\d+(.*)|--\d+(.*)"","""")"),"LE THIL-RIBERPRE")</f>
        <v>LE THIL-RIBERPRE</v>
      </c>
      <c r="E29068" s="38" t="s">
        <v>133</v>
      </c>
      <c r="F29068" s="38" t="s">
        <v>134</v>
      </c>
      <c r="G29068" s="49" t="str">
        <f t="shared" si="1"/>
        <v>76440</v>
      </c>
      <c r="H29068" s="49">
        <f t="shared" si="2"/>
        <v>76691</v>
      </c>
    </row>
    <row r="29069">
      <c r="A29069" s="48" t="s">
        <v>3914</v>
      </c>
      <c r="B29069" s="38">
        <v>34229.0</v>
      </c>
      <c r="C29069" s="38" t="s">
        <v>33490</v>
      </c>
      <c r="D29069" s="38" t="str">
        <f>IFERROR(__xludf.DUMMYFUNCTION("REGEXREPLACE(C29069,""-\d+(.*)|--\d+(.*)"","""")"),"RIOLS")</f>
        <v>RIOLS</v>
      </c>
      <c r="E29069" s="38" t="s">
        <v>118</v>
      </c>
      <c r="F29069" s="38" t="s">
        <v>119</v>
      </c>
      <c r="G29069" s="49" t="str">
        <f t="shared" si="1"/>
        <v>34220</v>
      </c>
      <c r="H29069" s="49">
        <f t="shared" si="2"/>
        <v>34229</v>
      </c>
    </row>
    <row r="29070">
      <c r="A29070" s="48" t="s">
        <v>10746</v>
      </c>
      <c r="B29070" s="38">
        <v>88375.0</v>
      </c>
      <c r="C29070" s="38" t="s">
        <v>33491</v>
      </c>
      <c r="D29070" s="38" t="str">
        <f>IFERROR(__xludf.DUMMYFUNCTION("REGEXREPLACE(C29070,""-\d+(.*)|--\d+(.*)"","""")"),"RAVES")</f>
        <v>RAVES</v>
      </c>
      <c r="E29070" s="38" t="s">
        <v>194</v>
      </c>
      <c r="F29070" s="38" t="s">
        <v>195</v>
      </c>
      <c r="G29070" s="49" t="str">
        <f t="shared" si="1"/>
        <v>88520</v>
      </c>
      <c r="H29070" s="49">
        <f t="shared" si="2"/>
        <v>88375</v>
      </c>
    </row>
    <row r="29071">
      <c r="A29071" s="48" t="s">
        <v>9234</v>
      </c>
      <c r="B29071" s="38">
        <v>16404.0</v>
      </c>
      <c r="C29071" s="38" t="s">
        <v>33492</v>
      </c>
      <c r="D29071" s="38" t="str">
        <f>IFERROR(__xludf.DUMMYFUNCTION("REGEXREPLACE(C29071,""-\d+(.*)|--\d+(.*)"","""")"),"VIEUX-RUFFEC")</f>
        <v>VIEUX-RUFFEC</v>
      </c>
      <c r="E29071" s="38" t="s">
        <v>429</v>
      </c>
      <c r="F29071" s="38" t="s">
        <v>338</v>
      </c>
      <c r="G29071" s="49" t="str">
        <f t="shared" si="1"/>
        <v>16350</v>
      </c>
      <c r="H29071" s="49">
        <f t="shared" si="2"/>
        <v>16404</v>
      </c>
    </row>
    <row r="29072">
      <c r="A29072" s="48" t="s">
        <v>11910</v>
      </c>
      <c r="B29072" s="38">
        <v>46171.0</v>
      </c>
      <c r="C29072" s="38" t="s">
        <v>410</v>
      </c>
      <c r="D29072" s="38" t="str">
        <f>IFERROR(__xludf.DUMMYFUNCTION("REGEXREPLACE(C29072,""-\d+(.*)|--\d+(.*)"","""")"),"LHERM")</f>
        <v>LHERM</v>
      </c>
      <c r="E29072" s="38" t="s">
        <v>185</v>
      </c>
      <c r="F29072" s="38" t="s">
        <v>94</v>
      </c>
      <c r="G29072" s="49" t="str">
        <f t="shared" si="1"/>
        <v>46150</v>
      </c>
      <c r="H29072" s="49">
        <f t="shared" si="2"/>
        <v>46171</v>
      </c>
    </row>
    <row r="29073">
      <c r="A29073" s="48" t="s">
        <v>2487</v>
      </c>
      <c r="B29073" s="38">
        <v>70309.0</v>
      </c>
      <c r="C29073" s="38" t="s">
        <v>33493</v>
      </c>
      <c r="D29073" s="38" t="str">
        <f>IFERROR(__xludf.DUMMYFUNCTION("REGEXREPLACE(C29073,""-\d+(.*)|--\d+(.*)"","""")"),"LOULANS-VERCHAMP")</f>
        <v>LOULANS-VERCHAMP</v>
      </c>
      <c r="E29073" s="38" t="s">
        <v>956</v>
      </c>
      <c r="F29073" s="38" t="s">
        <v>214</v>
      </c>
      <c r="G29073" s="49" t="str">
        <f t="shared" si="1"/>
        <v>70230</v>
      </c>
      <c r="H29073" s="49">
        <f t="shared" si="2"/>
        <v>70309</v>
      </c>
    </row>
    <row r="29074">
      <c r="A29074" s="48" t="s">
        <v>28392</v>
      </c>
      <c r="B29074" s="38">
        <v>91319.0</v>
      </c>
      <c r="C29074" s="38" t="s">
        <v>33494</v>
      </c>
      <c r="D29074" s="38" t="str">
        <f>IFERROR(__xludf.DUMMYFUNCTION("REGEXREPLACE(C29074,""-\d+(.*)|--\d+(.*)"","""")"),"JANVRY")</f>
        <v>JANVRY</v>
      </c>
      <c r="E29074" s="38" t="s">
        <v>756</v>
      </c>
      <c r="F29074" s="38" t="s">
        <v>245</v>
      </c>
      <c r="G29074" s="49" t="str">
        <f t="shared" si="1"/>
        <v>91640</v>
      </c>
      <c r="H29074" s="49">
        <f t="shared" si="2"/>
        <v>91319</v>
      </c>
    </row>
    <row r="29075">
      <c r="A29075" s="48" t="s">
        <v>773</v>
      </c>
      <c r="B29075" s="38">
        <v>27312.0</v>
      </c>
      <c r="C29075" s="38" t="s">
        <v>33495</v>
      </c>
      <c r="D29075" s="38" t="str">
        <f>IFERROR(__xludf.DUMMYFUNCTION("REGEXREPLACE(C29075,""-\d+(.*)|--\d+(.*)"","""")"),"HARDENCOURT-COCHEREL")</f>
        <v>HARDENCOURT-COCHEREL</v>
      </c>
      <c r="E29075" s="38" t="s">
        <v>241</v>
      </c>
      <c r="F29075" s="38" t="s">
        <v>134</v>
      </c>
      <c r="G29075" s="49" t="str">
        <f t="shared" si="1"/>
        <v>27120</v>
      </c>
      <c r="H29075" s="49">
        <f t="shared" si="2"/>
        <v>27312</v>
      </c>
    </row>
    <row r="29076">
      <c r="A29076" s="48" t="s">
        <v>2357</v>
      </c>
      <c r="B29076" s="38">
        <v>46087.0</v>
      </c>
      <c r="C29076" s="38" t="s">
        <v>33496</v>
      </c>
      <c r="D29076" s="38" t="str">
        <f>IFERROR(__xludf.DUMMYFUNCTION("REGEXREPLACE(C29076,""-\d+(.*)|--\d+(.*)"","""")"),"DEGAGNAC")</f>
        <v>DEGAGNAC</v>
      </c>
      <c r="E29076" s="38" t="s">
        <v>185</v>
      </c>
      <c r="F29076" s="38" t="s">
        <v>94</v>
      </c>
      <c r="G29076" s="49" t="str">
        <f t="shared" si="1"/>
        <v>46340</v>
      </c>
      <c r="H29076" s="49">
        <f t="shared" si="2"/>
        <v>46087</v>
      </c>
    </row>
    <row r="29077">
      <c r="A29077" s="48" t="s">
        <v>4270</v>
      </c>
      <c r="B29077" s="38">
        <v>76048.0</v>
      </c>
      <c r="C29077" s="38" t="s">
        <v>33497</v>
      </c>
      <c r="D29077" s="38" t="str">
        <f>IFERROR(__xludf.DUMMYFUNCTION("REGEXREPLACE(C29077,""-\d+(.*)|--\d+(.*)"","""")"),"AVESNES-EN-BRAY")</f>
        <v>AVESNES-EN-BRAY</v>
      </c>
      <c r="E29077" s="38" t="s">
        <v>133</v>
      </c>
      <c r="F29077" s="38" t="s">
        <v>134</v>
      </c>
      <c r="G29077" s="49" t="str">
        <f t="shared" si="1"/>
        <v>76220</v>
      </c>
      <c r="H29077" s="49">
        <f t="shared" si="2"/>
        <v>76048</v>
      </c>
    </row>
    <row r="29078">
      <c r="A29078" s="48" t="s">
        <v>1978</v>
      </c>
      <c r="B29078" s="38">
        <v>88096.0</v>
      </c>
      <c r="C29078" s="38" t="s">
        <v>33498</v>
      </c>
      <c r="D29078" s="38" t="str">
        <f>IFERROR(__xludf.DUMMYFUNCTION("REGEXREPLACE(C29078,""-\d+(.*)|--\d+(.*)"","""")"),"CHATILLON-SUR-SAONE")</f>
        <v>CHATILLON-SUR-SAONE</v>
      </c>
      <c r="E29078" s="38" t="s">
        <v>194</v>
      </c>
      <c r="F29078" s="38" t="s">
        <v>195</v>
      </c>
      <c r="G29078" s="49" t="str">
        <f t="shared" si="1"/>
        <v>88410</v>
      </c>
      <c r="H29078" s="49">
        <f t="shared" si="2"/>
        <v>88096</v>
      </c>
    </row>
    <row r="29079">
      <c r="A29079" s="48" t="s">
        <v>6767</v>
      </c>
      <c r="B29079" s="38">
        <v>15130.0</v>
      </c>
      <c r="C29079" s="38" t="s">
        <v>12713</v>
      </c>
      <c r="D29079" s="38" t="str">
        <f>IFERROR(__xludf.DUMMYFUNCTION("REGEXREPLACE(C29079,""-\d+(.*)|--\d+(.*)"","""")"),"MONTCHAMP")</f>
        <v>MONTCHAMP</v>
      </c>
      <c r="E29079" s="38" t="s">
        <v>632</v>
      </c>
      <c r="F29079" s="38" t="s">
        <v>161</v>
      </c>
      <c r="G29079" s="49" t="str">
        <f t="shared" si="1"/>
        <v>15100</v>
      </c>
      <c r="H29079" s="49">
        <f t="shared" si="2"/>
        <v>15130</v>
      </c>
    </row>
    <row r="29080">
      <c r="A29080" s="48" t="s">
        <v>26340</v>
      </c>
      <c r="B29080" s="38">
        <v>63445.0</v>
      </c>
      <c r="C29080" s="38" t="s">
        <v>33499</v>
      </c>
      <c r="D29080" s="38" t="str">
        <f>IFERROR(__xludf.DUMMYFUNCTION("REGEXREPLACE(C29080,""-\d+(.*)|--\d+(.*)"","""")"),"VASSEL")</f>
        <v>VASSEL</v>
      </c>
      <c r="E29080" s="38" t="s">
        <v>353</v>
      </c>
      <c r="F29080" s="38" t="s">
        <v>161</v>
      </c>
      <c r="G29080" s="49" t="str">
        <f t="shared" si="1"/>
        <v>63910</v>
      </c>
      <c r="H29080" s="49">
        <f t="shared" si="2"/>
        <v>63445</v>
      </c>
    </row>
    <row r="29081">
      <c r="A29081" s="48" t="s">
        <v>3821</v>
      </c>
      <c r="B29081" s="38">
        <v>57580.0</v>
      </c>
      <c r="C29081" s="38" t="s">
        <v>33500</v>
      </c>
      <c r="D29081" s="38" t="str">
        <f>IFERROR(__xludf.DUMMYFUNCTION("REGEXREPLACE(C29081,""-\d+(.*)|--\d+(.*)"","""")"),"RICHE")</f>
        <v>RICHE</v>
      </c>
      <c r="E29081" s="38" t="s">
        <v>303</v>
      </c>
      <c r="F29081" s="38" t="s">
        <v>195</v>
      </c>
      <c r="G29081" s="49" t="str">
        <f t="shared" si="1"/>
        <v>57340</v>
      </c>
      <c r="H29081" s="49">
        <f t="shared" si="2"/>
        <v>57580</v>
      </c>
    </row>
    <row r="29082">
      <c r="A29082" s="48" t="s">
        <v>844</v>
      </c>
      <c r="B29082" s="38">
        <v>72324.0</v>
      </c>
      <c r="C29082" s="38" t="s">
        <v>22652</v>
      </c>
      <c r="D29082" s="38" t="str">
        <f>IFERROR(__xludf.DUMMYFUNCTION("REGEXREPLACE(C29082,""-\d+(.*)|--\d+(.*)"","""")"),"SAINT-VINCENT-DES-PRES")</f>
        <v>SAINT-VINCENT-DES-PRES</v>
      </c>
      <c r="E29082" s="38" t="s">
        <v>521</v>
      </c>
      <c r="F29082" s="38" t="s">
        <v>180</v>
      </c>
      <c r="G29082" s="49" t="str">
        <f t="shared" si="1"/>
        <v>72600</v>
      </c>
      <c r="H29082" s="49">
        <f t="shared" si="2"/>
        <v>72324</v>
      </c>
    </row>
    <row r="29083">
      <c r="A29083" s="48" t="s">
        <v>12029</v>
      </c>
      <c r="B29083" s="38">
        <v>84110.0</v>
      </c>
      <c r="C29083" s="38" t="s">
        <v>33501</v>
      </c>
      <c r="D29083" s="38" t="str">
        <f>IFERROR(__xludf.DUMMYFUNCTION("REGEXREPLACE(C29083,""-\d+(.*)|--\d+(.*)"","""")"),"SAINT-LEGER-DU-VENTOUX")</f>
        <v>SAINT-LEGER-DU-VENTOUX</v>
      </c>
      <c r="E29083" s="38" t="s">
        <v>1026</v>
      </c>
      <c r="F29083" s="38" t="s">
        <v>228</v>
      </c>
      <c r="G29083" s="49" t="str">
        <f t="shared" si="1"/>
        <v>84390</v>
      </c>
      <c r="H29083" s="49">
        <f t="shared" si="2"/>
        <v>84110</v>
      </c>
    </row>
    <row r="29084">
      <c r="A29084" s="48" t="s">
        <v>198</v>
      </c>
      <c r="B29084" s="38">
        <v>65304.0</v>
      </c>
      <c r="C29084" s="38" t="s">
        <v>33502</v>
      </c>
      <c r="D29084" s="38" t="str">
        <f>IFERROR(__xludf.DUMMYFUNCTION("REGEXREPLACE(C29084,""-\d+(.*)|--\d+(.*)"","""")"),"MAUBOURGUET")</f>
        <v>MAUBOURGUET</v>
      </c>
      <c r="E29084" s="38" t="s">
        <v>200</v>
      </c>
      <c r="F29084" s="38" t="s">
        <v>94</v>
      </c>
      <c r="G29084" s="49" t="str">
        <f t="shared" si="1"/>
        <v>65700</v>
      </c>
      <c r="H29084" s="49">
        <f t="shared" si="2"/>
        <v>65304</v>
      </c>
    </row>
    <row r="29085">
      <c r="A29085" s="48" t="s">
        <v>21358</v>
      </c>
      <c r="B29085" s="38">
        <v>77369.0</v>
      </c>
      <c r="C29085" s="38" t="s">
        <v>33503</v>
      </c>
      <c r="D29085" s="38" t="str">
        <f>IFERROR(__xludf.DUMMYFUNCTION("REGEXREPLACE(C29085,""-\d+(.*)|--\d+(.*)"","""")"),"POINCY")</f>
        <v>POINCY</v>
      </c>
      <c r="E29085" s="38" t="s">
        <v>244</v>
      </c>
      <c r="F29085" s="38" t="s">
        <v>245</v>
      </c>
      <c r="G29085" s="49" t="str">
        <f t="shared" si="1"/>
        <v>77470</v>
      </c>
      <c r="H29085" s="49">
        <f t="shared" si="2"/>
        <v>77369</v>
      </c>
    </row>
    <row r="29086">
      <c r="A29086" s="48" t="s">
        <v>8418</v>
      </c>
      <c r="B29086" s="38">
        <v>80825.0</v>
      </c>
      <c r="C29086" s="38" t="s">
        <v>33504</v>
      </c>
      <c r="D29086" s="38" t="str">
        <f>IFERROR(__xludf.DUMMYFUNCTION("REGEXREPLACE(C29086,""-\d+(.*)|--\d+(.*)"","""")"),"WIRY-AU-MONT")</f>
        <v>WIRY-AU-MONT</v>
      </c>
      <c r="E29086" s="38" t="s">
        <v>224</v>
      </c>
      <c r="F29086" s="38" t="s">
        <v>113</v>
      </c>
      <c r="G29086" s="49" t="str">
        <f t="shared" si="1"/>
        <v>80270</v>
      </c>
      <c r="H29086" s="49">
        <f t="shared" si="2"/>
        <v>80825</v>
      </c>
    </row>
    <row r="29087">
      <c r="A29087" s="48" t="s">
        <v>11884</v>
      </c>
      <c r="B29087" s="38">
        <v>37275.0</v>
      </c>
      <c r="C29087" s="38" t="s">
        <v>33505</v>
      </c>
      <c r="D29087" s="38" t="str">
        <f>IFERROR(__xludf.DUMMYFUNCTION("REGEXREPLACE(C29087,""-\d+(.*)|--\d+(.*)"","""")"),"VILLEDOMAIN")</f>
        <v>VILLEDOMAIN</v>
      </c>
      <c r="E29087" s="38" t="s">
        <v>205</v>
      </c>
      <c r="F29087" s="38" t="s">
        <v>123</v>
      </c>
      <c r="G29087" s="49" t="str">
        <f t="shared" si="1"/>
        <v>37460</v>
      </c>
      <c r="H29087" s="49">
        <f t="shared" si="2"/>
        <v>37275</v>
      </c>
    </row>
    <row r="29088">
      <c r="A29088" s="48" t="s">
        <v>1428</v>
      </c>
      <c r="B29088" s="38">
        <v>31070.0</v>
      </c>
      <c r="C29088" s="38" t="s">
        <v>33506</v>
      </c>
      <c r="D29088" s="38" t="str">
        <f>IFERROR(__xludf.DUMMYFUNCTION("REGEXREPLACE(C29088,""-\d+(.*)|--\d+(.*)"","""")"),"BLAJAN")</f>
        <v>BLAJAN</v>
      </c>
      <c r="E29088" s="38" t="s">
        <v>93</v>
      </c>
      <c r="F29088" s="38" t="s">
        <v>94</v>
      </c>
      <c r="G29088" s="49" t="str">
        <f t="shared" si="1"/>
        <v>31350</v>
      </c>
      <c r="H29088" s="49">
        <f t="shared" si="2"/>
        <v>31070</v>
      </c>
    </row>
    <row r="29089">
      <c r="A29089" s="48" t="s">
        <v>2940</v>
      </c>
      <c r="B29089" s="38">
        <v>53084.0</v>
      </c>
      <c r="C29089" s="38" t="s">
        <v>26279</v>
      </c>
      <c r="D29089" s="38" t="str">
        <f>IFERROR(__xludf.DUMMYFUNCTION("REGEXREPLACE(C29089,""-\d+(.*)|--\d+(.*)"","""")"),"CRAON")</f>
        <v>CRAON</v>
      </c>
      <c r="E29089" s="38" t="s">
        <v>518</v>
      </c>
      <c r="F29089" s="38" t="s">
        <v>180</v>
      </c>
      <c r="G29089" s="49" t="str">
        <f t="shared" si="1"/>
        <v>53400</v>
      </c>
      <c r="H29089" s="49">
        <f t="shared" si="2"/>
        <v>53084</v>
      </c>
    </row>
    <row r="29090">
      <c r="A29090" s="48" t="s">
        <v>10177</v>
      </c>
      <c r="B29090" s="38">
        <v>80244.0</v>
      </c>
      <c r="C29090" s="38" t="s">
        <v>33507</v>
      </c>
      <c r="D29090" s="38" t="str">
        <f>IFERROR(__xludf.DUMMYFUNCTION("REGEXREPLACE(C29090,""-\d+(.*)|--\d+(.*)"","""")"),"DOMINOIS")</f>
        <v>DOMINOIS</v>
      </c>
      <c r="E29090" s="38" t="s">
        <v>224</v>
      </c>
      <c r="F29090" s="38" t="s">
        <v>113</v>
      </c>
      <c r="G29090" s="49" t="str">
        <f t="shared" si="1"/>
        <v>80120</v>
      </c>
      <c r="H29090" s="49">
        <f t="shared" si="2"/>
        <v>80244</v>
      </c>
    </row>
    <row r="29091">
      <c r="A29091" s="48" t="s">
        <v>1932</v>
      </c>
      <c r="B29091" s="38">
        <v>70260.0</v>
      </c>
      <c r="C29091" s="38" t="s">
        <v>33508</v>
      </c>
      <c r="D29091" s="38" t="str">
        <f>IFERROR(__xludf.DUMMYFUNCTION("REGEXREPLACE(C29091,""-\d+(.*)|--\d+(.*)"","""")"),"FROTEY-LES-LURE")</f>
        <v>FROTEY-LES-LURE</v>
      </c>
      <c r="E29091" s="38" t="s">
        <v>956</v>
      </c>
      <c r="F29091" s="38" t="s">
        <v>214</v>
      </c>
      <c r="G29091" s="49" t="str">
        <f t="shared" si="1"/>
        <v>70200</v>
      </c>
      <c r="H29091" s="49">
        <f t="shared" si="2"/>
        <v>70260</v>
      </c>
    </row>
    <row r="29092">
      <c r="A29092" s="48" t="s">
        <v>2457</v>
      </c>
      <c r="B29092" s="38">
        <v>17043.0</v>
      </c>
      <c r="C29092" s="38" t="s">
        <v>33509</v>
      </c>
      <c r="D29092" s="38" t="str">
        <f>IFERROR(__xludf.DUMMYFUNCTION("REGEXREPLACE(C29092,""-\d+(.*)|--\d+(.*)"","""")"),"BERNAY-SAINT-MARTIN")</f>
        <v>BERNAY-SAINT-MARTIN</v>
      </c>
      <c r="E29092" s="38" t="s">
        <v>488</v>
      </c>
      <c r="F29092" s="38" t="s">
        <v>338</v>
      </c>
      <c r="G29092" s="49" t="str">
        <f t="shared" si="1"/>
        <v>17330</v>
      </c>
      <c r="H29092" s="49">
        <f t="shared" si="2"/>
        <v>17043</v>
      </c>
    </row>
    <row r="29093">
      <c r="A29093" s="48" t="s">
        <v>1000</v>
      </c>
      <c r="B29093" s="38">
        <v>70470.0</v>
      </c>
      <c r="C29093" s="38" t="s">
        <v>33510</v>
      </c>
      <c r="D29093" s="38" t="str">
        <f>IFERROR(__xludf.DUMMYFUNCTION("REGEXREPLACE(C29093,""-\d+(.*)|--\d+(.*)"","""")"),"SAINTE-MARIE-EN-CHAUX")</f>
        <v>SAINTE-MARIE-EN-CHAUX</v>
      </c>
      <c r="E29093" s="38" t="s">
        <v>956</v>
      </c>
      <c r="F29093" s="38" t="s">
        <v>214</v>
      </c>
      <c r="G29093" s="49" t="str">
        <f t="shared" si="1"/>
        <v>70300</v>
      </c>
      <c r="H29093" s="49">
        <f t="shared" si="2"/>
        <v>70470</v>
      </c>
    </row>
    <row r="29094">
      <c r="A29094" s="48" t="s">
        <v>33511</v>
      </c>
      <c r="B29094" s="38">
        <v>78415.0</v>
      </c>
      <c r="C29094" s="38" t="s">
        <v>33512</v>
      </c>
      <c r="D29094" s="38" t="str">
        <f>IFERROR(__xludf.DUMMYFUNCTION("REGEXREPLACE(C29094,""-\d+(.*)|--\d+(.*)"","""")"),"MONTAINVILLE")</f>
        <v>MONTAINVILLE</v>
      </c>
      <c r="E29094" s="38" t="s">
        <v>362</v>
      </c>
      <c r="F29094" s="38" t="s">
        <v>245</v>
      </c>
      <c r="G29094" s="49" t="str">
        <f t="shared" si="1"/>
        <v>78124</v>
      </c>
      <c r="H29094" s="49">
        <f t="shared" si="2"/>
        <v>78415</v>
      </c>
    </row>
    <row r="29095">
      <c r="A29095" s="48" t="s">
        <v>18768</v>
      </c>
      <c r="B29095" s="38">
        <v>33423.0</v>
      </c>
      <c r="C29095" s="38" t="s">
        <v>33513</v>
      </c>
      <c r="D29095" s="38" t="str">
        <f>IFERROR(__xludf.DUMMYFUNCTION("REGEXREPLACE(C29095,""-\d+(.*)|--\d+(.*)"","""")"),"SAINT-JULIEN-BEYCHEVELLE")</f>
        <v>SAINT-JULIEN-BEYCHEVELLE</v>
      </c>
      <c r="E29095" s="38" t="s">
        <v>462</v>
      </c>
      <c r="F29095" s="38" t="s">
        <v>252</v>
      </c>
      <c r="G29095" s="49" t="str">
        <f t="shared" si="1"/>
        <v>33250</v>
      </c>
      <c r="H29095" s="49">
        <f t="shared" si="2"/>
        <v>33423</v>
      </c>
    </row>
    <row r="29096">
      <c r="A29096" s="48" t="s">
        <v>12200</v>
      </c>
      <c r="B29096" s="38">
        <v>74040.0</v>
      </c>
      <c r="C29096" s="38" t="s">
        <v>33514</v>
      </c>
      <c r="D29096" s="38" t="str">
        <f>IFERROR(__xludf.DUMMYFUNCTION("REGEXREPLACE(C29096,""-\d+(.*)|--\d+(.*)"","""")"),"BONNE")</f>
        <v>BONNE</v>
      </c>
      <c r="E29096" s="38" t="s">
        <v>319</v>
      </c>
      <c r="F29096" s="38" t="s">
        <v>102</v>
      </c>
      <c r="G29096" s="49" t="str">
        <f t="shared" si="1"/>
        <v>74380</v>
      </c>
      <c r="H29096" s="49">
        <f t="shared" si="2"/>
        <v>74040</v>
      </c>
    </row>
    <row r="29097">
      <c r="A29097" s="48" t="s">
        <v>1790</v>
      </c>
      <c r="B29097" s="38">
        <v>67344.0</v>
      </c>
      <c r="C29097" s="38" t="s">
        <v>33515</v>
      </c>
      <c r="D29097" s="38" t="str">
        <f>IFERROR(__xludf.DUMMYFUNCTION("REGEXREPLACE(C29097,""-\d+(.*)|--\d+(.*)"","""")"),"OBERHOFFEN-LES-WISSEMBOURG")</f>
        <v>OBERHOFFEN-LES-WISSEMBOURG</v>
      </c>
      <c r="E29097" s="38" t="s">
        <v>210</v>
      </c>
      <c r="F29097" s="38" t="s">
        <v>151</v>
      </c>
      <c r="G29097" s="49" t="str">
        <f t="shared" si="1"/>
        <v>67160</v>
      </c>
      <c r="H29097" s="49">
        <f t="shared" si="2"/>
        <v>67344</v>
      </c>
    </row>
    <row r="29098">
      <c r="A29098" s="48" t="s">
        <v>2186</v>
      </c>
      <c r="B29098" s="38">
        <v>26273.0</v>
      </c>
      <c r="C29098" s="38" t="s">
        <v>33516</v>
      </c>
      <c r="D29098" s="38" t="str">
        <f>IFERROR(__xludf.DUMMYFUNCTION("REGEXREPLACE(C29098,""-\d+(.*)|--\d+(.*)"","""")"),"ROCHEFORT-SAMSON")</f>
        <v>ROCHEFORT-SAMSON</v>
      </c>
      <c r="E29098" s="38" t="s">
        <v>126</v>
      </c>
      <c r="F29098" s="38" t="s">
        <v>102</v>
      </c>
      <c r="G29098" s="49" t="str">
        <f t="shared" si="1"/>
        <v>26300</v>
      </c>
      <c r="H29098" s="49">
        <f t="shared" si="2"/>
        <v>26273</v>
      </c>
    </row>
    <row r="29099">
      <c r="A29099" s="48" t="s">
        <v>2650</v>
      </c>
      <c r="B29099" s="38">
        <v>65090.0</v>
      </c>
      <c r="C29099" s="38" t="s">
        <v>33517</v>
      </c>
      <c r="D29099" s="38" t="str">
        <f>IFERROR(__xludf.DUMMYFUNCTION("REGEXREPLACE(C29099,""-\d+(.*)|--\d+(.*)"","""")"),"BETPOUY")</f>
        <v>BETPOUY</v>
      </c>
      <c r="E29099" s="38" t="s">
        <v>200</v>
      </c>
      <c r="F29099" s="38" t="s">
        <v>94</v>
      </c>
      <c r="G29099" s="49" t="str">
        <f t="shared" si="1"/>
        <v>65230</v>
      </c>
      <c r="H29099" s="49">
        <f t="shared" si="2"/>
        <v>65090</v>
      </c>
    </row>
    <row r="29100">
      <c r="A29100" s="48" t="s">
        <v>11422</v>
      </c>
      <c r="B29100" s="38">
        <v>95510.0</v>
      </c>
      <c r="C29100" s="38" t="s">
        <v>33518</v>
      </c>
      <c r="D29100" s="38" t="str">
        <f>IFERROR(__xludf.DUMMYFUNCTION("REGEXREPLACE(C29100,""-\d+(.*)|--\d+(.*)"","""")"),"PUISEUX-PONTOISE")</f>
        <v>PUISEUX-PONTOISE</v>
      </c>
      <c r="E29100" s="38" t="s">
        <v>541</v>
      </c>
      <c r="F29100" s="38" t="s">
        <v>245</v>
      </c>
      <c r="G29100" s="49" t="str">
        <f t="shared" si="1"/>
        <v>95650</v>
      </c>
      <c r="H29100" s="49">
        <f t="shared" si="2"/>
        <v>95510</v>
      </c>
    </row>
    <row r="29101">
      <c r="A29101" s="48" t="s">
        <v>14137</v>
      </c>
      <c r="B29101" s="38">
        <v>69042.0</v>
      </c>
      <c r="C29101" s="38" t="s">
        <v>33519</v>
      </c>
      <c r="D29101" s="38" t="str">
        <f>IFERROR(__xludf.DUMMYFUNCTION("REGEXREPLACE(C29101,""-\d+(.*)|--\d+(.*)"","""")"),"LA CHAPELLE-SUR-COISE")</f>
        <v>LA CHAPELLE-SUR-COISE</v>
      </c>
      <c r="E29101" s="38" t="s">
        <v>350</v>
      </c>
      <c r="F29101" s="38" t="s">
        <v>102</v>
      </c>
      <c r="G29101" s="49" t="str">
        <f t="shared" si="1"/>
        <v>69590</v>
      </c>
      <c r="H29101" s="49">
        <f t="shared" si="2"/>
        <v>69042</v>
      </c>
    </row>
    <row r="29102">
      <c r="A29102" s="48" t="s">
        <v>8204</v>
      </c>
      <c r="B29102" s="38">
        <v>78104.0</v>
      </c>
      <c r="C29102" s="38" t="s">
        <v>33520</v>
      </c>
      <c r="D29102" s="38" t="str">
        <f>IFERROR(__xludf.DUMMYFUNCTION("REGEXREPLACE(C29102,""-\d+(.*)|--\d+(.*)"","""")"),"BREUIL-BOIS-ROBERT")</f>
        <v>BREUIL-BOIS-ROBERT</v>
      </c>
      <c r="E29102" s="38" t="s">
        <v>362</v>
      </c>
      <c r="F29102" s="38" t="s">
        <v>245</v>
      </c>
      <c r="G29102" s="49" t="str">
        <f t="shared" si="1"/>
        <v>78930</v>
      </c>
      <c r="H29102" s="49">
        <f t="shared" si="2"/>
        <v>78104</v>
      </c>
    </row>
    <row r="29103">
      <c r="A29103" s="48" t="s">
        <v>12322</v>
      </c>
      <c r="B29103" s="38">
        <v>89056.0</v>
      </c>
      <c r="C29103" s="38" t="s">
        <v>17120</v>
      </c>
      <c r="D29103" s="38" t="str">
        <f>IFERROR(__xludf.DUMMYFUNCTION("REGEXREPLACE(C29103,""-\d+(.*)|--\d+(.*)"","""")"),"BRION")</f>
        <v>BRION</v>
      </c>
      <c r="E29103" s="38" t="s">
        <v>275</v>
      </c>
      <c r="F29103" s="38" t="s">
        <v>106</v>
      </c>
      <c r="G29103" s="49" t="str">
        <f t="shared" si="1"/>
        <v>89400</v>
      </c>
      <c r="H29103" s="49">
        <f t="shared" si="2"/>
        <v>89056</v>
      </c>
    </row>
    <row r="29104">
      <c r="A29104" s="48" t="s">
        <v>14379</v>
      </c>
      <c r="B29104" s="38">
        <v>35194.0</v>
      </c>
      <c r="C29104" s="38" t="s">
        <v>33521</v>
      </c>
      <c r="D29104" s="38" t="str">
        <f>IFERROR(__xludf.DUMMYFUNCTION("REGEXREPLACE(C29104,""-\d+(.*)|--\d+(.*)"","""")"),"MONTREUIL-SOUS-PEROUSE")</f>
        <v>MONTREUIL-SOUS-PEROUSE</v>
      </c>
      <c r="E29104" s="38" t="s">
        <v>347</v>
      </c>
      <c r="F29104" s="38" t="s">
        <v>90</v>
      </c>
      <c r="G29104" s="49" t="str">
        <f t="shared" si="1"/>
        <v>35500</v>
      </c>
      <c r="H29104" s="49">
        <f t="shared" si="2"/>
        <v>35194</v>
      </c>
    </row>
    <row r="29105">
      <c r="A29105" s="48" t="s">
        <v>9262</v>
      </c>
      <c r="B29105" s="38">
        <v>16132.0</v>
      </c>
      <c r="C29105" s="38" t="s">
        <v>33522</v>
      </c>
      <c r="D29105" s="38" t="str">
        <f>IFERROR(__xludf.DUMMYFUNCTION("REGEXREPLACE(C29105,""-\d+(.*)|--\d+(.*)"","""")"),"ETAGNAC")</f>
        <v>ETAGNAC</v>
      </c>
      <c r="E29105" s="38" t="s">
        <v>429</v>
      </c>
      <c r="F29105" s="38" t="s">
        <v>338</v>
      </c>
      <c r="G29105" s="49" t="str">
        <f t="shared" si="1"/>
        <v>16150</v>
      </c>
      <c r="H29105" s="49">
        <f t="shared" si="2"/>
        <v>16132</v>
      </c>
    </row>
    <row r="29106">
      <c r="A29106" s="48" t="s">
        <v>7889</v>
      </c>
      <c r="B29106" s="38">
        <v>56056.0</v>
      </c>
      <c r="C29106" s="38" t="s">
        <v>33523</v>
      </c>
      <c r="D29106" s="38" t="str">
        <f>IFERROR(__xludf.DUMMYFUNCTION("REGEXREPLACE(C29106,""-\d+(.*)|--\d+(.*)"","""")"),"EVRIGUET")</f>
        <v>EVRIGUET</v>
      </c>
      <c r="E29106" s="38" t="s">
        <v>173</v>
      </c>
      <c r="F29106" s="38" t="s">
        <v>90</v>
      </c>
      <c r="G29106" s="49" t="str">
        <f t="shared" si="1"/>
        <v>56490</v>
      </c>
      <c r="H29106" s="49">
        <f t="shared" si="2"/>
        <v>56056</v>
      </c>
    </row>
    <row r="29107">
      <c r="A29107" s="48" t="s">
        <v>11804</v>
      </c>
      <c r="B29107" s="38">
        <v>85216.0</v>
      </c>
      <c r="C29107" s="38" t="s">
        <v>33524</v>
      </c>
      <c r="D29107" s="38" t="str">
        <f>IFERROR(__xludf.DUMMYFUNCTION("REGEXREPLACE(C29107,""-\d+(.*)|--\d+(.*)"","""")"),"SAINTE-GEMME-LA-PLAINE")</f>
        <v>SAINTE-GEMME-LA-PLAINE</v>
      </c>
      <c r="E29107" s="38" t="s">
        <v>179</v>
      </c>
      <c r="F29107" s="38" t="s">
        <v>180</v>
      </c>
      <c r="G29107" s="49" t="str">
        <f t="shared" si="1"/>
        <v>85400</v>
      </c>
      <c r="H29107" s="49">
        <f t="shared" si="2"/>
        <v>85216</v>
      </c>
    </row>
    <row r="29108">
      <c r="A29108" s="48" t="s">
        <v>2820</v>
      </c>
      <c r="B29108" s="38">
        <v>2011.0</v>
      </c>
      <c r="C29108" s="38" t="s">
        <v>33525</v>
      </c>
      <c r="D29108" s="38" t="str">
        <f>IFERROR(__xludf.DUMMYFUNCTION("REGEXREPLACE(C29108,""-\d+(.*)|--\d+(.*)"","""")"),"AMBLENY")</f>
        <v>AMBLENY</v>
      </c>
      <c r="E29108" s="38" t="s">
        <v>191</v>
      </c>
      <c r="F29108" s="38" t="s">
        <v>113</v>
      </c>
      <c r="G29108" s="49" t="str">
        <f t="shared" si="1"/>
        <v>02290</v>
      </c>
      <c r="H29108" s="49" t="str">
        <f t="shared" si="2"/>
        <v>02011</v>
      </c>
    </row>
    <row r="29109">
      <c r="A29109" s="48" t="s">
        <v>8892</v>
      </c>
      <c r="B29109" s="38">
        <v>60339.0</v>
      </c>
      <c r="C29109" s="38" t="s">
        <v>33526</v>
      </c>
      <c r="D29109" s="38" t="str">
        <f>IFERROR(__xludf.DUMMYFUNCTION("REGEXREPLACE(C29109,""-\d+(.*)|--\d+(.*)"","""")"),"LAFRAYE")</f>
        <v>LAFRAYE</v>
      </c>
      <c r="E29109" s="38" t="s">
        <v>112</v>
      </c>
      <c r="F29109" s="38" t="s">
        <v>113</v>
      </c>
      <c r="G29109" s="49" t="str">
        <f t="shared" si="1"/>
        <v>60510</v>
      </c>
      <c r="H29109" s="49">
        <f t="shared" si="2"/>
        <v>60339</v>
      </c>
    </row>
    <row r="29110">
      <c r="A29110" s="48" t="s">
        <v>4614</v>
      </c>
      <c r="B29110" s="38">
        <v>78470.0</v>
      </c>
      <c r="C29110" s="38" t="s">
        <v>33527</v>
      </c>
      <c r="D29110" s="38" t="str">
        <f>IFERROR(__xludf.DUMMYFUNCTION("REGEXREPLACE(C29110,""-\d+(.*)|--\d+(.*)"","""")"),"ORPHIN")</f>
        <v>ORPHIN</v>
      </c>
      <c r="E29110" s="38" t="s">
        <v>362</v>
      </c>
      <c r="F29110" s="38" t="s">
        <v>245</v>
      </c>
      <c r="G29110" s="49" t="str">
        <f t="shared" si="1"/>
        <v>78125</v>
      </c>
      <c r="H29110" s="49">
        <f t="shared" si="2"/>
        <v>78470</v>
      </c>
    </row>
    <row r="29111">
      <c r="A29111" s="48" t="s">
        <v>13699</v>
      </c>
      <c r="B29111" s="38">
        <v>22037.0</v>
      </c>
      <c r="C29111" s="38" t="s">
        <v>33528</v>
      </c>
      <c r="D29111" s="38" t="str">
        <f>IFERROR(__xludf.DUMMYFUNCTION("REGEXREPLACE(C29111,""-\d+(.*)|--\d+(.*)"","""")"),"LA CHAPELLE-NEUVE")</f>
        <v>LA CHAPELLE-NEUVE</v>
      </c>
      <c r="E29111" s="38" t="s">
        <v>89</v>
      </c>
      <c r="F29111" s="38" t="s">
        <v>90</v>
      </c>
      <c r="G29111" s="49" t="str">
        <f t="shared" si="1"/>
        <v>22160</v>
      </c>
      <c r="H29111" s="49">
        <f t="shared" si="2"/>
        <v>22037</v>
      </c>
    </row>
    <row r="29112">
      <c r="A29112" s="48" t="s">
        <v>1310</v>
      </c>
      <c r="B29112" s="38">
        <v>25630.0</v>
      </c>
      <c r="C29112" s="38" t="s">
        <v>33529</v>
      </c>
      <c r="D29112" s="38" t="str">
        <f>IFERROR(__xludf.DUMMYFUNCTION("REGEXREPLACE(C29112,""-\d+(.*)|--\d+(.*)"","""")"),"VOIRES")</f>
        <v>VOIRES</v>
      </c>
      <c r="E29112" s="38" t="s">
        <v>213</v>
      </c>
      <c r="F29112" s="38" t="s">
        <v>214</v>
      </c>
      <c r="G29112" s="49" t="str">
        <f t="shared" si="1"/>
        <v>25580</v>
      </c>
      <c r="H29112" s="49">
        <f t="shared" si="2"/>
        <v>25630</v>
      </c>
    </row>
    <row r="29113">
      <c r="A29113" s="48" t="s">
        <v>17399</v>
      </c>
      <c r="B29113" s="38">
        <v>41148.0</v>
      </c>
      <c r="C29113" s="38" t="s">
        <v>33530</v>
      </c>
      <c r="D29113" s="38" t="str">
        <f>IFERROR(__xludf.DUMMYFUNCTION("REGEXREPLACE(C29113,""-\d+(.*)|--\d+(.*)"","""")"),"MONTLIVAULT")</f>
        <v>MONTLIVAULT</v>
      </c>
      <c r="E29113" s="38" t="s">
        <v>188</v>
      </c>
      <c r="F29113" s="38" t="s">
        <v>123</v>
      </c>
      <c r="G29113" s="49" t="str">
        <f t="shared" si="1"/>
        <v>41350</v>
      </c>
      <c r="H29113" s="49">
        <f t="shared" si="2"/>
        <v>41148</v>
      </c>
    </row>
    <row r="29114">
      <c r="A29114" s="48" t="s">
        <v>25654</v>
      </c>
      <c r="B29114" s="38">
        <v>58056.0</v>
      </c>
      <c r="C29114" s="38" t="s">
        <v>33531</v>
      </c>
      <c r="D29114" s="38" t="str">
        <f>IFERROR(__xludf.DUMMYFUNCTION("REGEXREPLACE(C29114,""-\d+(.*)|--\d+(.*)"","""")"),"CHAMPVOUX")</f>
        <v>CHAMPVOUX</v>
      </c>
      <c r="E29114" s="38" t="s">
        <v>219</v>
      </c>
      <c r="F29114" s="38" t="s">
        <v>106</v>
      </c>
      <c r="G29114" s="49" t="str">
        <f t="shared" si="1"/>
        <v>58400</v>
      </c>
      <c r="H29114" s="49">
        <f t="shared" si="2"/>
        <v>58056</v>
      </c>
    </row>
    <row r="29115">
      <c r="A29115" s="48" t="s">
        <v>3662</v>
      </c>
      <c r="B29115" s="38">
        <v>80732.0</v>
      </c>
      <c r="C29115" s="38" t="s">
        <v>33532</v>
      </c>
      <c r="D29115" s="38" t="str">
        <f>IFERROR(__xludf.DUMMYFUNCTION("REGEXREPLACE(C29115,""-\d+(.*)|--\d+(.*)"","""")"),"SENARPONT")</f>
        <v>SENARPONT</v>
      </c>
      <c r="E29115" s="38" t="s">
        <v>224</v>
      </c>
      <c r="F29115" s="38" t="s">
        <v>113</v>
      </c>
      <c r="G29115" s="49" t="str">
        <f t="shared" si="1"/>
        <v>80140</v>
      </c>
      <c r="H29115" s="49">
        <f t="shared" si="2"/>
        <v>80732</v>
      </c>
    </row>
    <row r="29116">
      <c r="A29116" s="48" t="s">
        <v>8829</v>
      </c>
      <c r="B29116" s="38">
        <v>63366.0</v>
      </c>
      <c r="C29116" s="38" t="s">
        <v>33533</v>
      </c>
      <c r="D29116" s="38" t="str">
        <f>IFERROR(__xludf.DUMMYFUNCTION("REGEXREPLACE(C29116,""-\d+(.*)|--\d+(.*)"","""")"),"SAINT-JEAN-EN-VAL")</f>
        <v>SAINT-JEAN-EN-VAL</v>
      </c>
      <c r="E29116" s="38" t="s">
        <v>353</v>
      </c>
      <c r="F29116" s="38" t="s">
        <v>161</v>
      </c>
      <c r="G29116" s="49" t="str">
        <f t="shared" si="1"/>
        <v>63490</v>
      </c>
      <c r="H29116" s="49">
        <f t="shared" si="2"/>
        <v>63366</v>
      </c>
    </row>
    <row r="29117">
      <c r="A29117" s="48" t="s">
        <v>31098</v>
      </c>
      <c r="B29117" s="38">
        <v>63298.0</v>
      </c>
      <c r="C29117" s="38" t="s">
        <v>33534</v>
      </c>
      <c r="D29117" s="38" t="str">
        <f>IFERROR(__xludf.DUMMYFUNCTION("REGEXREPLACE(C29117,""-\d+(.*)|--\d+(.*)"","""")"),"LA RENAUDIE")</f>
        <v>LA RENAUDIE</v>
      </c>
      <c r="E29117" s="38" t="s">
        <v>353</v>
      </c>
      <c r="F29117" s="38" t="s">
        <v>161</v>
      </c>
      <c r="G29117" s="49" t="str">
        <f t="shared" si="1"/>
        <v>63930</v>
      </c>
      <c r="H29117" s="49">
        <f t="shared" si="2"/>
        <v>63298</v>
      </c>
    </row>
    <row r="29118">
      <c r="A29118" s="48" t="s">
        <v>8889</v>
      </c>
      <c r="B29118" s="38">
        <v>32044.0</v>
      </c>
      <c r="C29118" s="38" t="s">
        <v>33535</v>
      </c>
      <c r="D29118" s="38" t="str">
        <f>IFERROR(__xludf.DUMMYFUNCTION("REGEXREPLACE(C29118,""-\d+(.*)|--\d+(.*)"","""")"),"BERAUT")</f>
        <v>BERAUT</v>
      </c>
      <c r="E29118" s="38" t="s">
        <v>440</v>
      </c>
      <c r="F29118" s="38" t="s">
        <v>94</v>
      </c>
      <c r="G29118" s="49" t="str">
        <f t="shared" si="1"/>
        <v>32100</v>
      </c>
      <c r="H29118" s="49">
        <f t="shared" si="2"/>
        <v>32044</v>
      </c>
    </row>
    <row r="29119">
      <c r="A29119" s="48" t="s">
        <v>1046</v>
      </c>
      <c r="B29119" s="38">
        <v>26183.0</v>
      </c>
      <c r="C29119" s="38" t="s">
        <v>33536</v>
      </c>
      <c r="D29119" s="38" t="str">
        <f>IFERROR(__xludf.DUMMYFUNCTION("REGEXREPLACE(C29119,""-\d+(.*)|--\d+(.*)"","""")"),"MIRABEL-ET-BLACONS")</f>
        <v>MIRABEL-ET-BLACONS</v>
      </c>
      <c r="E29119" s="38" t="s">
        <v>126</v>
      </c>
      <c r="F29119" s="38" t="s">
        <v>102</v>
      </c>
      <c r="G29119" s="49" t="str">
        <f t="shared" si="1"/>
        <v>26400</v>
      </c>
      <c r="H29119" s="49">
        <f t="shared" si="2"/>
        <v>26183</v>
      </c>
    </row>
    <row r="29120">
      <c r="A29120" s="48" t="s">
        <v>443</v>
      </c>
      <c r="B29120" s="38">
        <v>24093.0</v>
      </c>
      <c r="C29120" s="38" t="s">
        <v>33537</v>
      </c>
      <c r="D29120" s="38" t="str">
        <f>IFERROR(__xludf.DUMMYFUNCTION("REGEXREPLACE(C29120,""-\d+(.*)|--\d+(.*)"","""")"),"CERCLES")</f>
        <v>CERCLES</v>
      </c>
      <c r="E29120" s="38" t="s">
        <v>261</v>
      </c>
      <c r="F29120" s="38" t="s">
        <v>252</v>
      </c>
      <c r="G29120" s="49" t="str">
        <f t="shared" si="1"/>
        <v>24320</v>
      </c>
      <c r="H29120" s="49">
        <f t="shared" si="2"/>
        <v>24093</v>
      </c>
    </row>
    <row r="29121">
      <c r="A29121" s="48" t="s">
        <v>11199</v>
      </c>
      <c r="B29121" s="38">
        <v>31186.0</v>
      </c>
      <c r="C29121" s="38" t="s">
        <v>33538</v>
      </c>
      <c r="D29121" s="38" t="str">
        <f>IFERROR(__xludf.DUMMYFUNCTION("REGEXREPLACE(C29121,""-\d+(.*)|--\d+(.*)"","""")"),"FONBEAUZARD")</f>
        <v>FONBEAUZARD</v>
      </c>
      <c r="E29121" s="38" t="s">
        <v>93</v>
      </c>
      <c r="F29121" s="38" t="s">
        <v>94</v>
      </c>
      <c r="G29121" s="49" t="str">
        <f t="shared" si="1"/>
        <v>31140</v>
      </c>
      <c r="H29121" s="49">
        <f t="shared" si="2"/>
        <v>31186</v>
      </c>
    </row>
    <row r="29122">
      <c r="A29122" s="48" t="s">
        <v>7986</v>
      </c>
      <c r="B29122" s="38">
        <v>69113.0</v>
      </c>
      <c r="C29122" s="38" t="s">
        <v>33539</v>
      </c>
      <c r="D29122" s="38" t="str">
        <f>IFERROR(__xludf.DUMMYFUNCTION("REGEXREPLACE(C29122,""-\d+(.*)|--\d+(.*)"","""")"),"LETRA")</f>
        <v>LETRA</v>
      </c>
      <c r="E29122" s="38" t="s">
        <v>350</v>
      </c>
      <c r="F29122" s="38" t="s">
        <v>102</v>
      </c>
      <c r="G29122" s="49" t="str">
        <f t="shared" si="1"/>
        <v>69620</v>
      </c>
      <c r="H29122" s="49">
        <f t="shared" si="2"/>
        <v>69113</v>
      </c>
    </row>
    <row r="29123">
      <c r="A29123" s="48" t="s">
        <v>3015</v>
      </c>
      <c r="B29123" s="38">
        <v>16184.0</v>
      </c>
      <c r="C29123" s="38" t="s">
        <v>33540</v>
      </c>
      <c r="D29123" s="38" t="str">
        <f>IFERROR(__xludf.DUMMYFUNCTION("REGEXREPLACE(C29123,""-\d+(.*)|--\d+(.*)"","""")"),"LICHERES")</f>
        <v>LICHERES</v>
      </c>
      <c r="E29123" s="38" t="s">
        <v>429</v>
      </c>
      <c r="F29123" s="38" t="s">
        <v>338</v>
      </c>
      <c r="G29123" s="49" t="str">
        <f t="shared" si="1"/>
        <v>16460</v>
      </c>
      <c r="H29123" s="49">
        <f t="shared" si="2"/>
        <v>16184</v>
      </c>
    </row>
    <row r="29124">
      <c r="A29124" s="48" t="s">
        <v>2031</v>
      </c>
      <c r="B29124" s="38">
        <v>62634.0</v>
      </c>
      <c r="C29124" s="38" t="s">
        <v>33541</v>
      </c>
      <c r="D29124" s="38" t="str">
        <f>IFERROR(__xludf.DUMMYFUNCTION("REGEXREPLACE(C29124,""-\d+(.*)|--\d+(.*)"","""")"),"OFFEKERQUE")</f>
        <v>OFFEKERQUE</v>
      </c>
      <c r="E29124" s="38" t="s">
        <v>109</v>
      </c>
      <c r="F29124" s="38" t="s">
        <v>86</v>
      </c>
      <c r="G29124" s="49" t="str">
        <f t="shared" si="1"/>
        <v>62370</v>
      </c>
      <c r="H29124" s="49">
        <f t="shared" si="2"/>
        <v>62634</v>
      </c>
    </row>
    <row r="29125">
      <c r="A29125" s="48" t="s">
        <v>5472</v>
      </c>
      <c r="B29125" s="38">
        <v>36063.0</v>
      </c>
      <c r="C29125" s="38" t="s">
        <v>33542</v>
      </c>
      <c r="D29125" s="38" t="str">
        <f>IFERROR(__xludf.DUMMYFUNCTION("REGEXREPLACE(C29125,""-\d+(.*)|--\d+(.*)"","""")"),"DEOLS")</f>
        <v>DEOLS</v>
      </c>
      <c r="E29125" s="38" t="s">
        <v>258</v>
      </c>
      <c r="F29125" s="38" t="s">
        <v>123</v>
      </c>
      <c r="G29125" s="49" t="str">
        <f t="shared" si="1"/>
        <v>36130</v>
      </c>
      <c r="H29125" s="49">
        <f t="shared" si="2"/>
        <v>36063</v>
      </c>
    </row>
    <row r="29126">
      <c r="A29126" s="48" t="s">
        <v>8806</v>
      </c>
      <c r="B29126" s="38">
        <v>5132.0</v>
      </c>
      <c r="C29126" s="38" t="s">
        <v>33543</v>
      </c>
      <c r="D29126" s="38" t="str">
        <f>IFERROR(__xludf.DUMMYFUNCTION("REGEXREPLACE(C29126,""-\d+(.*)|--\d+(.*)"","""")"),"SAINT-BONNET-EN-CHAMPSAUR")</f>
        <v>SAINT-BONNET-EN-CHAMPSAUR</v>
      </c>
      <c r="E29126" s="38" t="s">
        <v>706</v>
      </c>
      <c r="F29126" s="38" t="s">
        <v>228</v>
      </c>
      <c r="G29126" s="49" t="str">
        <f t="shared" si="1"/>
        <v>05500</v>
      </c>
      <c r="H29126" s="49" t="str">
        <f t="shared" si="2"/>
        <v>05132</v>
      </c>
    </row>
    <row r="29127">
      <c r="A29127" s="48" t="s">
        <v>3861</v>
      </c>
      <c r="B29127" s="38">
        <v>68289.0</v>
      </c>
      <c r="C29127" s="38" t="s">
        <v>33544</v>
      </c>
      <c r="D29127" s="38" t="str">
        <f>IFERROR(__xludf.DUMMYFUNCTION("REGEXREPLACE(C29127,""-\d+(.*)|--\d+(.*)"","""")"),"RUELISHEIM")</f>
        <v>RUELISHEIM</v>
      </c>
      <c r="E29127" s="38" t="s">
        <v>150</v>
      </c>
      <c r="F29127" s="38" t="s">
        <v>151</v>
      </c>
      <c r="G29127" s="49" t="str">
        <f t="shared" si="1"/>
        <v>68270</v>
      </c>
      <c r="H29127" s="49">
        <f t="shared" si="2"/>
        <v>68289</v>
      </c>
    </row>
    <row r="29128">
      <c r="A29128" s="48" t="s">
        <v>33545</v>
      </c>
      <c r="B29128" s="38">
        <v>93010.0</v>
      </c>
      <c r="C29128" s="38" t="s">
        <v>33546</v>
      </c>
      <c r="D29128" s="38" t="str">
        <f>IFERROR(__xludf.DUMMYFUNCTION("REGEXREPLACE(C29128,""-\d+(.*)|--\d+(.*)"","""")"),"BONDY")</f>
        <v>BONDY</v>
      </c>
      <c r="E29128" s="38" t="s">
        <v>341</v>
      </c>
      <c r="F29128" s="38" t="s">
        <v>245</v>
      </c>
      <c r="G29128" s="49" t="str">
        <f t="shared" si="1"/>
        <v>93140</v>
      </c>
      <c r="H29128" s="49">
        <f t="shared" si="2"/>
        <v>93010</v>
      </c>
    </row>
    <row r="29129">
      <c r="A29129" s="48" t="s">
        <v>12159</v>
      </c>
      <c r="B29129" s="38" t="s">
        <v>33547</v>
      </c>
      <c r="C29129" s="38" t="s">
        <v>33548</v>
      </c>
      <c r="D29129" s="38" t="str">
        <f>IFERROR(__xludf.DUMMYFUNCTION("REGEXREPLACE(C29129,""-\d+(.*)|--\d+(.*)"","""")"),"CORTE")</f>
        <v>CORTE</v>
      </c>
      <c r="E29129" s="38" t="s">
        <v>743</v>
      </c>
      <c r="F29129" s="38" t="s">
        <v>607</v>
      </c>
      <c r="G29129" s="49" t="str">
        <f t="shared" si="1"/>
        <v>20250</v>
      </c>
      <c r="H29129" s="49" t="str">
        <f t="shared" si="2"/>
        <v>2B096</v>
      </c>
    </row>
    <row r="29130">
      <c r="A29130" s="48" t="s">
        <v>20186</v>
      </c>
      <c r="B29130" s="38">
        <v>23046.0</v>
      </c>
      <c r="C29130" s="38" t="s">
        <v>33549</v>
      </c>
      <c r="D29130" s="38" t="str">
        <f>IFERROR(__xludf.DUMMYFUNCTION("REGEXREPLACE(C29130,""-\d+(.*)|--\d+(.*)"","""")"),"CHAMBONCHARD")</f>
        <v>CHAMBONCHARD</v>
      </c>
      <c r="E29130" s="38" t="s">
        <v>97</v>
      </c>
      <c r="F29130" s="38" t="s">
        <v>98</v>
      </c>
      <c r="G29130" s="49" t="str">
        <f t="shared" si="1"/>
        <v>23110</v>
      </c>
      <c r="H29130" s="49">
        <f t="shared" si="2"/>
        <v>23046</v>
      </c>
    </row>
    <row r="29131">
      <c r="A29131" s="48" t="s">
        <v>9028</v>
      </c>
      <c r="B29131" s="38">
        <v>65232.0</v>
      </c>
      <c r="C29131" s="38" t="s">
        <v>33550</v>
      </c>
      <c r="D29131" s="38" t="str">
        <f>IFERROR(__xludf.DUMMYFUNCTION("REGEXREPLACE(C29131,""-\d+(.*)|--\d+(.*)"","""")"),"JACQUE")</f>
        <v>JACQUE</v>
      </c>
      <c r="E29131" s="38" t="s">
        <v>200</v>
      </c>
      <c r="F29131" s="38" t="s">
        <v>94</v>
      </c>
      <c r="G29131" s="49" t="str">
        <f t="shared" si="1"/>
        <v>65350</v>
      </c>
      <c r="H29131" s="49">
        <f t="shared" si="2"/>
        <v>65232</v>
      </c>
    </row>
    <row r="29132">
      <c r="A29132" s="48" t="s">
        <v>1016</v>
      </c>
      <c r="B29132" s="38">
        <v>28116.0</v>
      </c>
      <c r="C29132" s="38" t="s">
        <v>33551</v>
      </c>
      <c r="D29132" s="38" t="str">
        <f>IFERROR(__xludf.DUMMYFUNCTION("REGEXREPLACE(C29132,""-\d+(.*)|--\d+(.*)"","""")"),"COURVILLE-SUR-EURE")</f>
        <v>COURVILLE-SUR-EURE</v>
      </c>
      <c r="E29132" s="38" t="s">
        <v>300</v>
      </c>
      <c r="F29132" s="38" t="s">
        <v>123</v>
      </c>
      <c r="G29132" s="49" t="str">
        <f t="shared" si="1"/>
        <v>28190</v>
      </c>
      <c r="H29132" s="49">
        <f t="shared" si="2"/>
        <v>28116</v>
      </c>
    </row>
    <row r="29133">
      <c r="A29133" s="48" t="s">
        <v>3793</v>
      </c>
      <c r="B29133" s="38">
        <v>86165.0</v>
      </c>
      <c r="C29133" s="38" t="s">
        <v>33552</v>
      </c>
      <c r="D29133" s="38" t="str">
        <f>IFERROR(__xludf.DUMMYFUNCTION("REGEXREPLACE(C29133,""-\d+(.*)|--\d+(.*)"","""")"),"MONTMORILLON")</f>
        <v>MONTMORILLON</v>
      </c>
      <c r="E29133" s="38" t="s">
        <v>529</v>
      </c>
      <c r="F29133" s="38" t="s">
        <v>338</v>
      </c>
      <c r="G29133" s="49" t="str">
        <f t="shared" si="1"/>
        <v>86500</v>
      </c>
      <c r="H29133" s="49">
        <f t="shared" si="2"/>
        <v>86165</v>
      </c>
    </row>
    <row r="29134">
      <c r="A29134" s="48" t="s">
        <v>28623</v>
      </c>
      <c r="B29134" s="38">
        <v>17409.0</v>
      </c>
      <c r="C29134" s="38" t="s">
        <v>33553</v>
      </c>
      <c r="D29134" s="38" t="str">
        <f>IFERROR(__xludf.DUMMYFUNCTION("REGEXREPLACE(C29134,""-\d+(.*)|--\d+(.*)"","""")"),"SAINT-SULPICE-DE-ROYAN")</f>
        <v>SAINT-SULPICE-DE-ROYAN</v>
      </c>
      <c r="E29134" s="38" t="s">
        <v>488</v>
      </c>
      <c r="F29134" s="38" t="s">
        <v>338</v>
      </c>
      <c r="G29134" s="49" t="str">
        <f t="shared" si="1"/>
        <v>17200</v>
      </c>
      <c r="H29134" s="49">
        <f t="shared" si="2"/>
        <v>17409</v>
      </c>
    </row>
    <row r="29135">
      <c r="A29135" s="48" t="s">
        <v>5292</v>
      </c>
      <c r="B29135" s="38">
        <v>1365.0</v>
      </c>
      <c r="C29135" s="38" t="s">
        <v>33554</v>
      </c>
      <c r="D29135" s="38" t="str">
        <f>IFERROR(__xludf.DUMMYFUNCTION("REGEXREPLACE(C29135,""-\d+(.*)|--\d+(.*)"","""")"),"SAINT-JEAN-SUR-VEYLE")</f>
        <v>SAINT-JEAN-SUR-VEYLE</v>
      </c>
      <c r="E29135" s="38" t="s">
        <v>255</v>
      </c>
      <c r="F29135" s="38" t="s">
        <v>102</v>
      </c>
      <c r="G29135" s="49" t="str">
        <f t="shared" si="1"/>
        <v>01290</v>
      </c>
      <c r="H29135" s="49" t="str">
        <f t="shared" si="2"/>
        <v>01365</v>
      </c>
    </row>
    <row r="29136">
      <c r="A29136" s="48" t="s">
        <v>3716</v>
      </c>
      <c r="B29136" s="38">
        <v>57322.0</v>
      </c>
      <c r="C29136" s="38" t="s">
        <v>33555</v>
      </c>
      <c r="D29136" s="38" t="str">
        <f>IFERROR(__xludf.DUMMYFUNCTION("REGEXREPLACE(C29136,""-\d+(.*)|--\d+(.*)"","""")"),"HESTROFF")</f>
        <v>HESTROFF</v>
      </c>
      <c r="E29136" s="38" t="s">
        <v>303</v>
      </c>
      <c r="F29136" s="38" t="s">
        <v>195</v>
      </c>
      <c r="G29136" s="49" t="str">
        <f t="shared" si="1"/>
        <v>57320</v>
      </c>
      <c r="H29136" s="49">
        <f t="shared" si="2"/>
        <v>57322</v>
      </c>
    </row>
    <row r="29137">
      <c r="A29137" s="48" t="s">
        <v>1174</v>
      </c>
      <c r="B29137" s="38">
        <v>51059.0</v>
      </c>
      <c r="C29137" s="38" t="s">
        <v>33556</v>
      </c>
      <c r="D29137" s="38" t="str">
        <f>IFERROR(__xludf.DUMMYFUNCTION("REGEXREPLACE(C29137,""-\d+(.*)|--\d+(.*)"","""")"),"BIGNICOURT-SUR-MARNE")</f>
        <v>BIGNICOURT-SUR-MARNE</v>
      </c>
      <c r="E29137" s="38" t="s">
        <v>129</v>
      </c>
      <c r="F29137" s="38" t="s">
        <v>130</v>
      </c>
      <c r="G29137" s="49" t="str">
        <f t="shared" si="1"/>
        <v>51300</v>
      </c>
      <c r="H29137" s="49">
        <f t="shared" si="2"/>
        <v>51059</v>
      </c>
    </row>
    <row r="29138">
      <c r="A29138" s="48" t="s">
        <v>3287</v>
      </c>
      <c r="B29138" s="38">
        <v>1388.0</v>
      </c>
      <c r="C29138" s="38" t="s">
        <v>33557</v>
      </c>
      <c r="D29138" s="38" t="str">
        <f>IFERROR(__xludf.DUMMYFUNCTION("REGEXREPLACE(C29138,""-\d+(.*)|--\d+(.*)"","""")"),"SAINT-TRIVIER-DE-COURTES")</f>
        <v>SAINT-TRIVIER-DE-COURTES</v>
      </c>
      <c r="E29138" s="38" t="s">
        <v>255</v>
      </c>
      <c r="F29138" s="38" t="s">
        <v>102</v>
      </c>
      <c r="G29138" s="49" t="str">
        <f t="shared" si="1"/>
        <v>01560</v>
      </c>
      <c r="H29138" s="49" t="str">
        <f t="shared" si="2"/>
        <v>01388</v>
      </c>
    </row>
    <row r="29139">
      <c r="A29139" s="48" t="s">
        <v>10868</v>
      </c>
      <c r="B29139" s="38">
        <v>84100.0</v>
      </c>
      <c r="C29139" s="38" t="s">
        <v>33558</v>
      </c>
      <c r="D29139" s="38" t="str">
        <f>IFERROR(__xludf.DUMMYFUNCTION("REGEXREPLACE(C29139,""-\d+(.*)|--\d+(.*)"","""")"),"LA ROQUE-ALRIC")</f>
        <v>LA ROQUE-ALRIC</v>
      </c>
      <c r="E29139" s="38" t="s">
        <v>1026</v>
      </c>
      <c r="F29139" s="38" t="s">
        <v>228</v>
      </c>
      <c r="G29139" s="49" t="str">
        <f t="shared" si="1"/>
        <v>84190</v>
      </c>
      <c r="H29139" s="49">
        <f t="shared" si="2"/>
        <v>84100</v>
      </c>
    </row>
    <row r="29140">
      <c r="A29140" s="48" t="s">
        <v>7435</v>
      </c>
      <c r="B29140" s="38">
        <v>52297.0</v>
      </c>
      <c r="C29140" s="38" t="s">
        <v>33559</v>
      </c>
      <c r="D29140" s="38" t="str">
        <f>IFERROR(__xludf.DUMMYFUNCTION("REGEXREPLACE(C29140,""-\d+(.*)|--\d+(.*)"","""")"),"LUZY-SUR-MARNE")</f>
        <v>LUZY-SUR-MARNE</v>
      </c>
      <c r="E29140" s="38" t="s">
        <v>234</v>
      </c>
      <c r="F29140" s="38" t="s">
        <v>130</v>
      </c>
      <c r="G29140" s="49" t="str">
        <f t="shared" si="1"/>
        <v>52000</v>
      </c>
      <c r="H29140" s="49">
        <f t="shared" si="2"/>
        <v>52297</v>
      </c>
    </row>
    <row r="29141">
      <c r="A29141" s="48" t="s">
        <v>2532</v>
      </c>
      <c r="B29141" s="38">
        <v>51092.0</v>
      </c>
      <c r="C29141" s="38" t="s">
        <v>31811</v>
      </c>
      <c r="D29141" s="38" t="str">
        <f>IFERROR(__xludf.DUMMYFUNCTION("REGEXREPLACE(C29141,""-\d+(.*)|--\d+(.*)"","""")"),"BROYES")</f>
        <v>BROYES</v>
      </c>
      <c r="E29141" s="38" t="s">
        <v>129</v>
      </c>
      <c r="F29141" s="38" t="s">
        <v>130</v>
      </c>
      <c r="G29141" s="49" t="str">
        <f t="shared" si="1"/>
        <v>51120</v>
      </c>
      <c r="H29141" s="49">
        <f t="shared" si="2"/>
        <v>51092</v>
      </c>
    </row>
    <row r="29142">
      <c r="A29142" s="48" t="s">
        <v>5753</v>
      </c>
      <c r="B29142" s="38">
        <v>72233.0</v>
      </c>
      <c r="C29142" s="38" t="s">
        <v>33560</v>
      </c>
      <c r="D29142" s="38" t="str">
        <f>IFERROR(__xludf.DUMMYFUNCTION("REGEXREPLACE(C29142,""-\d+(.*)|--\d+(.*)"","""")"),"PERAY")</f>
        <v>PERAY</v>
      </c>
      <c r="E29142" s="38" t="s">
        <v>521</v>
      </c>
      <c r="F29142" s="38" t="s">
        <v>180</v>
      </c>
      <c r="G29142" s="49" t="str">
        <f t="shared" si="1"/>
        <v>72260</v>
      </c>
      <c r="H29142" s="49">
        <f t="shared" si="2"/>
        <v>72233</v>
      </c>
    </row>
    <row r="29143">
      <c r="A29143" s="48" t="s">
        <v>7744</v>
      </c>
      <c r="B29143" s="38">
        <v>54284.0</v>
      </c>
      <c r="C29143" s="38" t="s">
        <v>33561</v>
      </c>
      <c r="D29143" s="38" t="str">
        <f>IFERROR(__xludf.DUMMYFUNCTION("REGEXREPLACE(C29143,""-\d+(.*)|--\d+(.*)"","""")"),"JOUDREVILLE")</f>
        <v>JOUDREVILLE</v>
      </c>
      <c r="E29143" s="38" t="s">
        <v>548</v>
      </c>
      <c r="F29143" s="38" t="s">
        <v>195</v>
      </c>
      <c r="G29143" s="49" t="str">
        <f t="shared" si="1"/>
        <v>54490</v>
      </c>
      <c r="H29143" s="49">
        <f t="shared" si="2"/>
        <v>54284</v>
      </c>
    </row>
    <row r="29144">
      <c r="A29144" s="48" t="s">
        <v>7799</v>
      </c>
      <c r="B29144" s="38">
        <v>7098.0</v>
      </c>
      <c r="C29144" s="38" t="s">
        <v>4985</v>
      </c>
      <c r="D29144" s="38" t="str">
        <f>IFERROR(__xludf.DUMMYFUNCTION("REGEXREPLACE(C29144,""-\d+(.*)|--\d+(.*)"","""")"),"GOURDON")</f>
        <v>GOURDON</v>
      </c>
      <c r="E29144" s="38" t="s">
        <v>144</v>
      </c>
      <c r="F29144" s="38" t="s">
        <v>102</v>
      </c>
      <c r="G29144" s="49" t="str">
        <f t="shared" si="1"/>
        <v>07000</v>
      </c>
      <c r="H29144" s="49" t="str">
        <f t="shared" si="2"/>
        <v>07098</v>
      </c>
    </row>
    <row r="29145">
      <c r="A29145" s="48" t="s">
        <v>1609</v>
      </c>
      <c r="B29145" s="38">
        <v>30146.0</v>
      </c>
      <c r="C29145" s="38" t="s">
        <v>33562</v>
      </c>
      <c r="D29145" s="38" t="str">
        <f>IFERROR(__xludf.DUMMYFUNCTION("REGEXREPLACE(C29145,""-\d+(.*)|--\d+(.*)"","""")"),"LEDIGNAN")</f>
        <v>LEDIGNAN</v>
      </c>
      <c r="E29145" s="38" t="s">
        <v>526</v>
      </c>
      <c r="F29145" s="38" t="s">
        <v>119</v>
      </c>
      <c r="G29145" s="49" t="str">
        <f t="shared" si="1"/>
        <v>30350</v>
      </c>
      <c r="H29145" s="49">
        <f t="shared" si="2"/>
        <v>30146</v>
      </c>
    </row>
    <row r="29146">
      <c r="A29146" s="48" t="s">
        <v>4679</v>
      </c>
      <c r="B29146" s="38">
        <v>17013.0</v>
      </c>
      <c r="C29146" s="38" t="s">
        <v>33563</v>
      </c>
      <c r="D29146" s="38" t="str">
        <f>IFERROR(__xludf.DUMMYFUNCTION("REGEXREPLACE(C29146,""-\d+(.*)|--\d+(.*)"","""")"),"ANTEZANT-LA-CHAPELLE")</f>
        <v>ANTEZANT-LA-CHAPELLE</v>
      </c>
      <c r="E29146" s="38" t="s">
        <v>488</v>
      </c>
      <c r="F29146" s="38" t="s">
        <v>338</v>
      </c>
      <c r="G29146" s="49" t="str">
        <f t="shared" si="1"/>
        <v>17400</v>
      </c>
      <c r="H29146" s="49">
        <f t="shared" si="2"/>
        <v>17013</v>
      </c>
    </row>
    <row r="29147">
      <c r="A29147" s="48" t="s">
        <v>20226</v>
      </c>
      <c r="B29147" s="38">
        <v>63401.0</v>
      </c>
      <c r="C29147" s="38" t="s">
        <v>33564</v>
      </c>
      <c r="D29147" s="38" t="str">
        <f>IFERROR(__xludf.DUMMYFUNCTION("REGEXREPLACE(C29147,""-\d+(.*)|--\d+(.*)"","""")"),"SAINT-VICTOR-LA-RIVIERE")</f>
        <v>SAINT-VICTOR-LA-RIVIERE</v>
      </c>
      <c r="E29147" s="38" t="s">
        <v>353</v>
      </c>
      <c r="F29147" s="38" t="s">
        <v>161</v>
      </c>
      <c r="G29147" s="49" t="str">
        <f t="shared" si="1"/>
        <v>63790</v>
      </c>
      <c r="H29147" s="49">
        <f t="shared" si="2"/>
        <v>63401</v>
      </c>
    </row>
    <row r="29148">
      <c r="A29148" s="48" t="s">
        <v>1149</v>
      </c>
      <c r="B29148" s="38">
        <v>82187.0</v>
      </c>
      <c r="C29148" s="38" t="s">
        <v>33565</v>
      </c>
      <c r="D29148" s="38" t="str">
        <f>IFERROR(__xludf.DUMMYFUNCTION("REGEXREPLACE(C29148,""-\d+(.*)|--\d+(.*)"","""")"),"VAREN")</f>
        <v>VAREN</v>
      </c>
      <c r="E29148" s="38" t="s">
        <v>570</v>
      </c>
      <c r="F29148" s="38" t="s">
        <v>94</v>
      </c>
      <c r="G29148" s="49" t="str">
        <f t="shared" si="1"/>
        <v>82330</v>
      </c>
      <c r="H29148" s="49">
        <f t="shared" si="2"/>
        <v>82187</v>
      </c>
    </row>
    <row r="29149">
      <c r="A29149" s="48" t="s">
        <v>1336</v>
      </c>
      <c r="B29149" s="38">
        <v>33266.0</v>
      </c>
      <c r="C29149" s="38" t="s">
        <v>33566</v>
      </c>
      <c r="D29149" s="38" t="str">
        <f>IFERROR(__xludf.DUMMYFUNCTION("REGEXREPLACE(C29149,""-\d+(.*)|--\d+(.*)"","""")"),"MARCENAIS")</f>
        <v>MARCENAIS</v>
      </c>
      <c r="E29149" s="38" t="s">
        <v>462</v>
      </c>
      <c r="F29149" s="38" t="s">
        <v>252</v>
      </c>
      <c r="G29149" s="49" t="str">
        <f t="shared" si="1"/>
        <v>33620</v>
      </c>
      <c r="H29149" s="49">
        <f t="shared" si="2"/>
        <v>33266</v>
      </c>
    </row>
    <row r="29150">
      <c r="A29150" s="48" t="s">
        <v>5515</v>
      </c>
      <c r="B29150" s="38">
        <v>72017.0</v>
      </c>
      <c r="C29150" s="38" t="s">
        <v>33567</v>
      </c>
      <c r="D29150" s="38" t="str">
        <f>IFERROR(__xludf.DUMMYFUNCTION("REGEXREPLACE(C29150,""-\d+(.*)|--\d+(.*)"","""")"),"AUVERS-SOUS-MONTFAUCON")</f>
        <v>AUVERS-SOUS-MONTFAUCON</v>
      </c>
      <c r="E29150" s="38" t="s">
        <v>521</v>
      </c>
      <c r="F29150" s="38" t="s">
        <v>180</v>
      </c>
      <c r="G29150" s="49" t="str">
        <f t="shared" si="1"/>
        <v>72540</v>
      </c>
      <c r="H29150" s="49">
        <f t="shared" si="2"/>
        <v>72017</v>
      </c>
    </row>
    <row r="29151">
      <c r="A29151" s="48" t="s">
        <v>33568</v>
      </c>
      <c r="B29151" s="38">
        <v>30259.0</v>
      </c>
      <c r="C29151" s="38" t="s">
        <v>33569</v>
      </c>
      <c r="D29151" s="38" t="str">
        <f>IFERROR(__xludf.DUMMYFUNCTION("REGEXREPLACE(C29151,""-\d+(.*)|--\d+(.*)"","""")"),"SAINT-HILAIRE-DE-BRETHMAS")</f>
        <v>SAINT-HILAIRE-DE-BRETHMAS</v>
      </c>
      <c r="E29151" s="38" t="s">
        <v>526</v>
      </c>
      <c r="F29151" s="38" t="s">
        <v>119</v>
      </c>
      <c r="G29151" s="49" t="str">
        <f t="shared" si="1"/>
        <v>30560</v>
      </c>
      <c r="H29151" s="49">
        <f t="shared" si="2"/>
        <v>30259</v>
      </c>
    </row>
    <row r="29152">
      <c r="A29152" s="48" t="s">
        <v>4517</v>
      </c>
      <c r="B29152" s="38">
        <v>58012.0</v>
      </c>
      <c r="C29152" s="38" t="s">
        <v>33570</v>
      </c>
      <c r="D29152" s="38" t="str">
        <f>IFERROR(__xludf.DUMMYFUNCTION("REGEXREPLACE(C29152,""-\d+(.*)|--\d+(.*)"","""")"),"ARQUIAN")</f>
        <v>ARQUIAN</v>
      </c>
      <c r="E29152" s="38" t="s">
        <v>219</v>
      </c>
      <c r="F29152" s="38" t="s">
        <v>106</v>
      </c>
      <c r="G29152" s="49" t="str">
        <f t="shared" si="1"/>
        <v>58310</v>
      </c>
      <c r="H29152" s="49">
        <f t="shared" si="2"/>
        <v>58012</v>
      </c>
    </row>
    <row r="29153">
      <c r="A29153" s="48" t="s">
        <v>1203</v>
      </c>
      <c r="B29153" s="38">
        <v>17255.0</v>
      </c>
      <c r="C29153" s="38" t="s">
        <v>33571</v>
      </c>
      <c r="D29153" s="38" t="str">
        <f>IFERROR(__xludf.DUMMYFUNCTION("REGEXREPLACE(C29153,""-\d+(.*)|--\d+(.*)"","""")"),"NANCRAS")</f>
        <v>NANCRAS</v>
      </c>
      <c r="E29153" s="38" t="s">
        <v>488</v>
      </c>
      <c r="F29153" s="38" t="s">
        <v>338</v>
      </c>
      <c r="G29153" s="49" t="str">
        <f t="shared" si="1"/>
        <v>17600</v>
      </c>
      <c r="H29153" s="49">
        <f t="shared" si="2"/>
        <v>17255</v>
      </c>
    </row>
    <row r="29154">
      <c r="A29154" s="48" t="s">
        <v>33572</v>
      </c>
      <c r="B29154" s="38">
        <v>57113.0</v>
      </c>
      <c r="C29154" s="38" t="s">
        <v>33573</v>
      </c>
      <c r="D29154" s="38" t="str">
        <f>IFERROR(__xludf.DUMMYFUNCTION("REGEXREPLACE(C29154,""-\d+(.*)|--\d+(.*)"","""")"),"BROUDERDORFF")</f>
        <v>BROUDERDORFF</v>
      </c>
      <c r="E29154" s="38" t="s">
        <v>303</v>
      </c>
      <c r="F29154" s="38" t="s">
        <v>195</v>
      </c>
      <c r="G29154" s="49" t="str">
        <f t="shared" si="1"/>
        <v>57565</v>
      </c>
      <c r="H29154" s="49">
        <f t="shared" si="2"/>
        <v>57113</v>
      </c>
    </row>
    <row r="29155">
      <c r="A29155" s="48" t="s">
        <v>1872</v>
      </c>
      <c r="B29155" s="38">
        <v>80497.0</v>
      </c>
      <c r="C29155" s="38" t="s">
        <v>23642</v>
      </c>
      <c r="D29155" s="38" t="str">
        <f>IFERROR(__xludf.DUMMYFUNCTION("REGEXREPLACE(C29155,""-\d+(.*)|--\d+(.*)"","""")"),"MACHY")</f>
        <v>MACHY</v>
      </c>
      <c r="E29155" s="38" t="s">
        <v>224</v>
      </c>
      <c r="F29155" s="38" t="s">
        <v>113</v>
      </c>
      <c r="G29155" s="49" t="str">
        <f t="shared" si="1"/>
        <v>80150</v>
      </c>
      <c r="H29155" s="49">
        <f t="shared" si="2"/>
        <v>80497</v>
      </c>
    </row>
    <row r="29156">
      <c r="A29156" s="48" t="s">
        <v>3182</v>
      </c>
      <c r="B29156" s="38">
        <v>80088.0</v>
      </c>
      <c r="C29156" s="38" t="s">
        <v>33574</v>
      </c>
      <c r="D29156" s="38" t="str">
        <f>IFERROR(__xludf.DUMMYFUNCTION("REGEXREPLACE(C29156,""-\d+(.*)|--\d+(.*)"","""")"),"BERNES")</f>
        <v>BERNES</v>
      </c>
      <c r="E29156" s="38" t="s">
        <v>224</v>
      </c>
      <c r="F29156" s="38" t="s">
        <v>113</v>
      </c>
      <c r="G29156" s="49" t="str">
        <f t="shared" si="1"/>
        <v>80240</v>
      </c>
      <c r="H29156" s="49">
        <f t="shared" si="2"/>
        <v>80088</v>
      </c>
    </row>
    <row r="29157">
      <c r="A29157" s="48" t="s">
        <v>2668</v>
      </c>
      <c r="B29157" s="38">
        <v>55292.0</v>
      </c>
      <c r="C29157" s="38" t="s">
        <v>33575</v>
      </c>
      <c r="D29157" s="38" t="str">
        <f>IFERROR(__xludf.DUMMYFUNCTION("REGEXREPLACE(C29157,""-\d+(.*)|--\d+(.*)"","""")"),"LINY-DEVANT-DUN")</f>
        <v>LINY-DEVANT-DUN</v>
      </c>
      <c r="E29157" s="38" t="s">
        <v>322</v>
      </c>
      <c r="F29157" s="38" t="s">
        <v>195</v>
      </c>
      <c r="G29157" s="49" t="str">
        <f t="shared" si="1"/>
        <v>55110</v>
      </c>
      <c r="H29157" s="49">
        <f t="shared" si="2"/>
        <v>55292</v>
      </c>
    </row>
    <row r="29158">
      <c r="A29158" s="48" t="s">
        <v>17282</v>
      </c>
      <c r="B29158" s="38">
        <v>74223.0</v>
      </c>
      <c r="C29158" s="38" t="s">
        <v>33576</v>
      </c>
      <c r="D29158" s="38" t="str">
        <f>IFERROR(__xludf.DUMMYFUNCTION("REGEXREPLACE(C29158,""-\d+(.*)|--\d+(.*)"","""")"),"LA RIVIERE-ENVERSE")</f>
        <v>LA RIVIERE-ENVERSE</v>
      </c>
      <c r="E29158" s="38" t="s">
        <v>319</v>
      </c>
      <c r="F29158" s="38" t="s">
        <v>102</v>
      </c>
      <c r="G29158" s="49" t="str">
        <f t="shared" si="1"/>
        <v>74440</v>
      </c>
      <c r="H29158" s="49">
        <f t="shared" si="2"/>
        <v>74223</v>
      </c>
    </row>
    <row r="29159">
      <c r="A29159" s="48" t="s">
        <v>3783</v>
      </c>
      <c r="B29159" s="38">
        <v>62234.0</v>
      </c>
      <c r="C29159" s="38" t="s">
        <v>33577</v>
      </c>
      <c r="D29159" s="38" t="str">
        <f>IFERROR(__xludf.DUMMYFUNCTION("REGEXREPLACE(C29159,""-\d+(.*)|--\d+(.*)"","""")"),"CONCHY-SUR-CANCHE")</f>
        <v>CONCHY-SUR-CANCHE</v>
      </c>
      <c r="E29159" s="38" t="s">
        <v>109</v>
      </c>
      <c r="F29159" s="38" t="s">
        <v>86</v>
      </c>
      <c r="G29159" s="49" t="str">
        <f t="shared" si="1"/>
        <v>62270</v>
      </c>
      <c r="H29159" s="49">
        <f t="shared" si="2"/>
        <v>62234</v>
      </c>
    </row>
    <row r="29160">
      <c r="A29160" s="48" t="s">
        <v>4196</v>
      </c>
      <c r="B29160" s="38">
        <v>8494.0</v>
      </c>
      <c r="C29160" s="38" t="s">
        <v>33578</v>
      </c>
      <c r="D29160" s="38" t="str">
        <f>IFERROR(__xludf.DUMMYFUNCTION("REGEXREPLACE(C29160,""-\d+(.*)|--\d+(.*)"","""")"),"WADELINCOURT")</f>
        <v>WADELINCOURT</v>
      </c>
      <c r="E29160" s="38" t="s">
        <v>327</v>
      </c>
      <c r="F29160" s="38" t="s">
        <v>130</v>
      </c>
      <c r="G29160" s="49" t="str">
        <f t="shared" si="1"/>
        <v>08200</v>
      </c>
      <c r="H29160" s="49" t="str">
        <f t="shared" si="2"/>
        <v>08494</v>
      </c>
    </row>
    <row r="29161">
      <c r="A29161" s="48" t="s">
        <v>10609</v>
      </c>
      <c r="B29161" s="38">
        <v>12138.0</v>
      </c>
      <c r="C29161" s="38" t="s">
        <v>33579</v>
      </c>
      <c r="D29161" s="38" t="str">
        <f>IFERROR(__xludf.DUMMYFUNCTION("REGEXREPLACE(C29161,""-\d+(.*)|--\d+(.*)"","""")"),"MARCILLAC-VALLON")</f>
        <v>MARCILLAC-VALLON</v>
      </c>
      <c r="E29161" s="38" t="s">
        <v>465</v>
      </c>
      <c r="F29161" s="38" t="s">
        <v>94</v>
      </c>
      <c r="G29161" s="49" t="str">
        <f t="shared" si="1"/>
        <v>12330</v>
      </c>
      <c r="H29161" s="49">
        <f t="shared" si="2"/>
        <v>12138</v>
      </c>
    </row>
    <row r="29162">
      <c r="A29162" s="48" t="s">
        <v>15560</v>
      </c>
      <c r="B29162" s="38">
        <v>60057.0</v>
      </c>
      <c r="C29162" s="38" t="s">
        <v>33580</v>
      </c>
      <c r="D29162" s="38" t="str">
        <f>IFERROR(__xludf.DUMMYFUNCTION("REGEXREPLACE(C29162,""-\d+(.*)|--\d+(.*)"","""")"),"BEAUVAIS")</f>
        <v>BEAUVAIS</v>
      </c>
      <c r="E29162" s="38" t="s">
        <v>112</v>
      </c>
      <c r="F29162" s="38" t="s">
        <v>113</v>
      </c>
      <c r="G29162" s="49" t="str">
        <f t="shared" si="1"/>
        <v>60000</v>
      </c>
      <c r="H29162" s="49">
        <f t="shared" si="2"/>
        <v>60057</v>
      </c>
    </row>
    <row r="29163">
      <c r="A29163" s="48" t="s">
        <v>879</v>
      </c>
      <c r="B29163" s="38">
        <v>24348.0</v>
      </c>
      <c r="C29163" s="38" t="s">
        <v>33581</v>
      </c>
      <c r="D29163" s="38" t="str">
        <f>IFERROR(__xludf.DUMMYFUNCTION("REGEXREPLACE(C29163,""-\d+(.*)|--\d+(.*)"","""")"),"RAZAC-D'EYMET")</f>
        <v>RAZAC-D'EYMET</v>
      </c>
      <c r="E29163" s="38" t="s">
        <v>261</v>
      </c>
      <c r="F29163" s="38" t="s">
        <v>252</v>
      </c>
      <c r="G29163" s="49" t="str">
        <f t="shared" si="1"/>
        <v>24500</v>
      </c>
      <c r="H29163" s="49">
        <f t="shared" si="2"/>
        <v>24348</v>
      </c>
    </row>
    <row r="29164">
      <c r="A29164" s="48" t="s">
        <v>8039</v>
      </c>
      <c r="B29164" s="38">
        <v>6139.0</v>
      </c>
      <c r="C29164" s="38" t="s">
        <v>33582</v>
      </c>
      <c r="D29164" s="38" t="str">
        <f>IFERROR(__xludf.DUMMYFUNCTION("REGEXREPLACE(C29164,""-\d+(.*)|--\d+(.*)"","""")"),"THIERY")</f>
        <v>THIERY</v>
      </c>
      <c r="E29164" s="38" t="s">
        <v>227</v>
      </c>
      <c r="F29164" s="38" t="s">
        <v>228</v>
      </c>
      <c r="G29164" s="49" t="str">
        <f t="shared" si="1"/>
        <v>06710</v>
      </c>
      <c r="H29164" s="49" t="str">
        <f t="shared" si="2"/>
        <v>06139</v>
      </c>
    </row>
    <row r="29165">
      <c r="A29165" s="48" t="s">
        <v>6266</v>
      </c>
      <c r="B29165" s="38">
        <v>76056.0</v>
      </c>
      <c r="C29165" s="38" t="s">
        <v>33583</v>
      </c>
      <c r="D29165" s="38" t="str">
        <f>IFERROR(__xludf.DUMMYFUNCTION("REGEXREPLACE(C29165,""-\d+(.*)|--\d+(.*)"","""")"),"BARDOUVILLE")</f>
        <v>BARDOUVILLE</v>
      </c>
      <c r="E29165" s="38" t="s">
        <v>133</v>
      </c>
      <c r="F29165" s="38" t="s">
        <v>134</v>
      </c>
      <c r="G29165" s="49" t="str">
        <f t="shared" si="1"/>
        <v>76480</v>
      </c>
      <c r="H29165" s="49">
        <f t="shared" si="2"/>
        <v>76056</v>
      </c>
    </row>
    <row r="29166">
      <c r="A29166" s="48" t="s">
        <v>9218</v>
      </c>
      <c r="B29166" s="38">
        <v>17472.0</v>
      </c>
      <c r="C29166" s="38" t="s">
        <v>33584</v>
      </c>
      <c r="D29166" s="38" t="str">
        <f>IFERROR(__xludf.DUMMYFUNCTION("REGEXREPLACE(C29166,""-\d+(.*)|--\d+(.*)"","""")"),"VILLEDOUX")</f>
        <v>VILLEDOUX</v>
      </c>
      <c r="E29166" s="38" t="s">
        <v>488</v>
      </c>
      <c r="F29166" s="38" t="s">
        <v>338</v>
      </c>
      <c r="G29166" s="49" t="str">
        <f t="shared" si="1"/>
        <v>17230</v>
      </c>
      <c r="H29166" s="49">
        <f t="shared" si="2"/>
        <v>17472</v>
      </c>
    </row>
    <row r="29167">
      <c r="A29167" s="48" t="s">
        <v>3465</v>
      </c>
      <c r="B29167" s="38">
        <v>11228.0</v>
      </c>
      <c r="C29167" s="38" t="s">
        <v>33585</v>
      </c>
      <c r="D29167" s="38" t="str">
        <f>IFERROR(__xludf.DUMMYFUNCTION("REGEXREPLACE(C29167,""-\d+(.*)|--\d+(.*)"","""")"),"MAZEROLLES-DU-RAZES")</f>
        <v>MAZEROLLES-DU-RAZES</v>
      </c>
      <c r="E29167" s="38" t="s">
        <v>278</v>
      </c>
      <c r="F29167" s="38" t="s">
        <v>119</v>
      </c>
      <c r="G29167" s="49" t="str">
        <f t="shared" si="1"/>
        <v>11240</v>
      </c>
      <c r="H29167" s="49">
        <f t="shared" si="2"/>
        <v>11228</v>
      </c>
    </row>
    <row r="29168">
      <c r="A29168" s="48" t="s">
        <v>3763</v>
      </c>
      <c r="B29168" s="38">
        <v>76723.0</v>
      </c>
      <c r="C29168" s="38" t="s">
        <v>33586</v>
      </c>
      <c r="D29168" s="38" t="str">
        <f>IFERROR(__xludf.DUMMYFUNCTION("REGEXREPLACE(C29168,""-\d+(.*)|--\d+(.*)"","""")"),"VASSONVILLE")</f>
        <v>VASSONVILLE</v>
      </c>
      <c r="E29168" s="38" t="s">
        <v>133</v>
      </c>
      <c r="F29168" s="38" t="s">
        <v>134</v>
      </c>
      <c r="G29168" s="49" t="str">
        <f t="shared" si="1"/>
        <v>76890</v>
      </c>
      <c r="H29168" s="49">
        <f t="shared" si="2"/>
        <v>76723</v>
      </c>
    </row>
    <row r="29169">
      <c r="A29169" s="48" t="s">
        <v>282</v>
      </c>
      <c r="B29169" s="38">
        <v>46086.0</v>
      </c>
      <c r="C29169" s="38" t="s">
        <v>33587</v>
      </c>
      <c r="D29169" s="38" t="str">
        <f>IFERROR(__xludf.DUMMYFUNCTION("REGEXREPLACE(C29169,""-\d+(.*)|--\d+(.*)"","""")"),"CUZANCE")</f>
        <v>CUZANCE</v>
      </c>
      <c r="E29169" s="38" t="s">
        <v>185</v>
      </c>
      <c r="F29169" s="38" t="s">
        <v>94</v>
      </c>
      <c r="G29169" s="49" t="str">
        <f t="shared" si="1"/>
        <v>46600</v>
      </c>
      <c r="H29169" s="49">
        <f t="shared" si="2"/>
        <v>46086</v>
      </c>
    </row>
    <row r="29170">
      <c r="A29170" s="48" t="s">
        <v>5383</v>
      </c>
      <c r="B29170" s="38">
        <v>44219.0</v>
      </c>
      <c r="C29170" s="38" t="s">
        <v>33588</v>
      </c>
      <c r="D29170" s="38" t="str">
        <f>IFERROR(__xludf.DUMMYFUNCTION("REGEXREPLACE(C29170,""-\d+(.*)|--\d+(.*)"","""")"),"VRITZ")</f>
        <v>VRITZ</v>
      </c>
      <c r="E29170" s="38" t="s">
        <v>759</v>
      </c>
      <c r="F29170" s="38" t="s">
        <v>180</v>
      </c>
      <c r="G29170" s="49" t="str">
        <f t="shared" si="1"/>
        <v>44540</v>
      </c>
      <c r="H29170" s="49">
        <f t="shared" si="2"/>
        <v>44219</v>
      </c>
    </row>
    <row r="29171">
      <c r="A29171" s="48" t="s">
        <v>1697</v>
      </c>
      <c r="B29171" s="38">
        <v>39455.0</v>
      </c>
      <c r="C29171" s="38" t="s">
        <v>33589</v>
      </c>
      <c r="D29171" s="38" t="str">
        <f>IFERROR(__xludf.DUMMYFUNCTION("REGEXREPLACE(C29171,""-\d+(.*)|--\d+(.*)"","""")"),"REITHOUSE")</f>
        <v>REITHOUSE</v>
      </c>
      <c r="E29171" s="38" t="s">
        <v>400</v>
      </c>
      <c r="F29171" s="38" t="s">
        <v>214</v>
      </c>
      <c r="G29171" s="49" t="str">
        <f t="shared" si="1"/>
        <v>39270</v>
      </c>
      <c r="H29171" s="49">
        <f t="shared" si="2"/>
        <v>39455</v>
      </c>
    </row>
    <row r="29172">
      <c r="A29172" s="48" t="s">
        <v>3165</v>
      </c>
      <c r="B29172" s="38">
        <v>11092.0</v>
      </c>
      <c r="C29172" s="38" t="s">
        <v>33590</v>
      </c>
      <c r="D29172" s="38" t="str">
        <f>IFERROR(__xludf.DUMMYFUNCTION("REGEXREPLACE(C29172,""-\d+(.*)|--\d+(.*)"","""")"),"CITOU")</f>
        <v>CITOU</v>
      </c>
      <c r="E29172" s="38" t="s">
        <v>278</v>
      </c>
      <c r="F29172" s="38" t="s">
        <v>119</v>
      </c>
      <c r="G29172" s="49" t="str">
        <f t="shared" si="1"/>
        <v>11160</v>
      </c>
      <c r="H29172" s="49">
        <f t="shared" si="2"/>
        <v>11092</v>
      </c>
    </row>
    <row r="29173">
      <c r="A29173" s="48" t="s">
        <v>423</v>
      </c>
      <c r="B29173" s="38">
        <v>2302.0</v>
      </c>
      <c r="C29173" s="38" t="s">
        <v>4831</v>
      </c>
      <c r="D29173" s="38" t="str">
        <f>IFERROR(__xludf.DUMMYFUNCTION("REGEXREPLACE(C29173,""-\d+(.*)|--\d+(.*)"","""")"),"FAVEROLLES")</f>
        <v>FAVEROLLES</v>
      </c>
      <c r="E29173" s="38" t="s">
        <v>191</v>
      </c>
      <c r="F29173" s="38" t="s">
        <v>113</v>
      </c>
      <c r="G29173" s="49" t="str">
        <f t="shared" si="1"/>
        <v>02600</v>
      </c>
      <c r="H29173" s="49" t="str">
        <f t="shared" si="2"/>
        <v>02302</v>
      </c>
    </row>
    <row r="29174">
      <c r="A29174" s="48" t="s">
        <v>15194</v>
      </c>
      <c r="B29174" s="38">
        <v>24550.0</v>
      </c>
      <c r="C29174" s="38" t="s">
        <v>33591</v>
      </c>
      <c r="D29174" s="38" t="str">
        <f>IFERROR(__xludf.DUMMYFUNCTION("REGEXREPLACE(C29174,""-\d+(.*)|--\d+(.*)"","""")"),"THENON")</f>
        <v>THENON</v>
      </c>
      <c r="E29174" s="38" t="s">
        <v>261</v>
      </c>
      <c r="F29174" s="38" t="s">
        <v>252</v>
      </c>
      <c r="G29174" s="49" t="str">
        <f t="shared" si="1"/>
        <v>24210</v>
      </c>
      <c r="H29174" s="49">
        <f t="shared" si="2"/>
        <v>24550</v>
      </c>
    </row>
    <row r="29175">
      <c r="A29175" s="48" t="s">
        <v>7144</v>
      </c>
      <c r="B29175" s="38">
        <v>76338.0</v>
      </c>
      <c r="C29175" s="38" t="s">
        <v>33592</v>
      </c>
      <c r="D29175" s="38" t="str">
        <f>IFERROR(__xludf.DUMMYFUNCTION("REGEXREPLACE(C29175,""-\d+(.*)|--\d+(.*)"","""")"),"LA HALLOTIERE")</f>
        <v>LA HALLOTIERE</v>
      </c>
      <c r="E29175" s="38" t="s">
        <v>133</v>
      </c>
      <c r="F29175" s="38" t="s">
        <v>134</v>
      </c>
      <c r="G29175" s="49" t="str">
        <f t="shared" si="1"/>
        <v>76780</v>
      </c>
      <c r="H29175" s="49">
        <f t="shared" si="2"/>
        <v>76338</v>
      </c>
    </row>
    <row r="29176">
      <c r="A29176" s="48" t="s">
        <v>10039</v>
      </c>
      <c r="B29176" s="38">
        <v>47273.0</v>
      </c>
      <c r="C29176" s="38" t="s">
        <v>22523</v>
      </c>
      <c r="D29176" s="38" t="str">
        <f>IFERROR(__xludf.DUMMYFUNCTION("REGEXREPLACE(C29176,""-\d+(.*)|--\d+(.*)"","""")"),"SAINT-ROBERT")</f>
        <v>SAINT-ROBERT</v>
      </c>
      <c r="E29176" s="38" t="s">
        <v>251</v>
      </c>
      <c r="F29176" s="38" t="s">
        <v>252</v>
      </c>
      <c r="G29176" s="49" t="str">
        <f t="shared" si="1"/>
        <v>47340</v>
      </c>
      <c r="H29176" s="49">
        <f t="shared" si="2"/>
        <v>47273</v>
      </c>
    </row>
    <row r="29177">
      <c r="A29177" s="48" t="s">
        <v>4543</v>
      </c>
      <c r="B29177" s="38">
        <v>64294.0</v>
      </c>
      <c r="C29177" s="38" t="s">
        <v>33593</v>
      </c>
      <c r="D29177" s="38" t="str">
        <f>IFERROR(__xludf.DUMMYFUNCTION("REGEXREPLACE(C29177,""-\d+(.*)|--\d+(.*)"","""")"),"LABETS-BISCAY")</f>
        <v>LABETS-BISCAY</v>
      </c>
      <c r="E29177" s="38" t="s">
        <v>268</v>
      </c>
      <c r="F29177" s="38" t="s">
        <v>252</v>
      </c>
      <c r="G29177" s="49" t="str">
        <f t="shared" si="1"/>
        <v>64120</v>
      </c>
      <c r="H29177" s="49">
        <f t="shared" si="2"/>
        <v>64294</v>
      </c>
    </row>
    <row r="29178">
      <c r="A29178" s="48" t="s">
        <v>2093</v>
      </c>
      <c r="B29178" s="38">
        <v>69105.0</v>
      </c>
      <c r="C29178" s="38" t="s">
        <v>33594</v>
      </c>
      <c r="D29178" s="38" t="str">
        <f>IFERROR(__xludf.DUMMYFUNCTION("REGEXREPLACE(C29178,""-\d+(.*)|--\d+(.*)"","""")"),"LACENAS")</f>
        <v>LACENAS</v>
      </c>
      <c r="E29178" s="38" t="s">
        <v>350</v>
      </c>
      <c r="F29178" s="38" t="s">
        <v>102</v>
      </c>
      <c r="G29178" s="49" t="str">
        <f t="shared" si="1"/>
        <v>69640</v>
      </c>
      <c r="H29178" s="49">
        <f t="shared" si="2"/>
        <v>69105</v>
      </c>
    </row>
    <row r="29179">
      <c r="A29179" s="48" t="s">
        <v>18657</v>
      </c>
      <c r="B29179" s="38">
        <v>30155.0</v>
      </c>
      <c r="C29179" s="38" t="s">
        <v>33595</v>
      </c>
      <c r="D29179" s="38" t="str">
        <f>IFERROR(__xludf.DUMMYFUNCTION("REGEXREPLACE(C29179,""-\d+(.*)|--\d+(.*)"","""")"),"MANDUEL")</f>
        <v>MANDUEL</v>
      </c>
      <c r="E29179" s="38" t="s">
        <v>526</v>
      </c>
      <c r="F29179" s="38" t="s">
        <v>119</v>
      </c>
      <c r="G29179" s="49" t="str">
        <f t="shared" si="1"/>
        <v>30129</v>
      </c>
      <c r="H29179" s="49">
        <f t="shared" si="2"/>
        <v>30155</v>
      </c>
    </row>
    <row r="29180">
      <c r="A29180" s="48" t="s">
        <v>4748</v>
      </c>
      <c r="B29180" s="38">
        <v>77367.0</v>
      </c>
      <c r="C29180" s="38" t="s">
        <v>33596</v>
      </c>
      <c r="D29180" s="38" t="str">
        <f>IFERROR(__xludf.DUMMYFUNCTION("REGEXREPLACE(C29180,""-\d+(.*)|--\d+(.*)"","""")"),"LE PLESSIS-PLACY")</f>
        <v>LE PLESSIS-PLACY</v>
      </c>
      <c r="E29180" s="38" t="s">
        <v>244</v>
      </c>
      <c r="F29180" s="38" t="s">
        <v>245</v>
      </c>
      <c r="G29180" s="49" t="str">
        <f t="shared" si="1"/>
        <v>77440</v>
      </c>
      <c r="H29180" s="49">
        <f t="shared" si="2"/>
        <v>77367</v>
      </c>
    </row>
    <row r="29181">
      <c r="A29181" s="48" t="s">
        <v>7107</v>
      </c>
      <c r="B29181" s="38">
        <v>10205.0</v>
      </c>
      <c r="C29181" s="38" t="s">
        <v>33597</v>
      </c>
      <c r="D29181" s="38" t="str">
        <f>IFERROR(__xludf.DUMMYFUNCTION("REGEXREPLACE(C29181,""-\d+(.*)|--\d+(.*)"","""")"),"LONGPRE-LE-SEC")</f>
        <v>LONGPRE-LE-SEC</v>
      </c>
      <c r="E29181" s="38" t="s">
        <v>147</v>
      </c>
      <c r="F29181" s="38" t="s">
        <v>130</v>
      </c>
      <c r="G29181" s="49" t="str">
        <f t="shared" si="1"/>
        <v>10140</v>
      </c>
      <c r="H29181" s="49">
        <f t="shared" si="2"/>
        <v>10205</v>
      </c>
    </row>
    <row r="29182">
      <c r="A29182" s="48" t="s">
        <v>323</v>
      </c>
      <c r="B29182" s="38">
        <v>52294.0</v>
      </c>
      <c r="C29182" s="38" t="s">
        <v>33598</v>
      </c>
      <c r="D29182" s="38" t="str">
        <f>IFERROR(__xludf.DUMMYFUNCTION("REGEXREPLACE(C29182,""-\d+(.*)|--\d+(.*)"","""")"),"LOUVEMONT")</f>
        <v>LOUVEMONT</v>
      </c>
      <c r="E29182" s="38" t="s">
        <v>234</v>
      </c>
      <c r="F29182" s="38" t="s">
        <v>130</v>
      </c>
      <c r="G29182" s="49" t="str">
        <f t="shared" si="1"/>
        <v>52130</v>
      </c>
      <c r="H29182" s="49">
        <f t="shared" si="2"/>
        <v>52294</v>
      </c>
    </row>
    <row r="29183">
      <c r="A29183" s="48" t="s">
        <v>1408</v>
      </c>
      <c r="B29183" s="38">
        <v>88215.0</v>
      </c>
      <c r="C29183" s="38" t="s">
        <v>33599</v>
      </c>
      <c r="D29183" s="38" t="str">
        <f>IFERROR(__xludf.DUMMYFUNCTION("REGEXREPLACE(C29183,""-\d+(.*)|--\d+(.*)"","""")"),"GRANDRUPT")</f>
        <v>GRANDRUPT</v>
      </c>
      <c r="E29183" s="38" t="s">
        <v>194</v>
      </c>
      <c r="F29183" s="38" t="s">
        <v>195</v>
      </c>
      <c r="G29183" s="49" t="str">
        <f t="shared" si="1"/>
        <v>88210</v>
      </c>
      <c r="H29183" s="49">
        <f t="shared" si="2"/>
        <v>88215</v>
      </c>
    </row>
    <row r="29184">
      <c r="A29184" s="48" t="s">
        <v>3009</v>
      </c>
      <c r="B29184" s="38">
        <v>11388.0</v>
      </c>
      <c r="C29184" s="38" t="s">
        <v>19317</v>
      </c>
      <c r="D29184" s="38" t="str">
        <f>IFERROR(__xludf.DUMMYFUNCTION("REGEXREPLACE(C29184,""-\d+(.*)|--\d+(.*)"","""")"),"TERMES")</f>
        <v>TERMES</v>
      </c>
      <c r="E29184" s="38" t="s">
        <v>278</v>
      </c>
      <c r="F29184" s="38" t="s">
        <v>119</v>
      </c>
      <c r="G29184" s="49" t="str">
        <f t="shared" si="1"/>
        <v>11330</v>
      </c>
      <c r="H29184" s="49">
        <f t="shared" si="2"/>
        <v>11388</v>
      </c>
    </row>
    <row r="29185">
      <c r="A29185" s="48" t="s">
        <v>384</v>
      </c>
      <c r="B29185" s="38">
        <v>55186.0</v>
      </c>
      <c r="C29185" s="38" t="s">
        <v>33600</v>
      </c>
      <c r="D29185" s="38" t="str">
        <f>IFERROR(__xludf.DUMMYFUNCTION("REGEXREPLACE(C29185,""-\d+(.*)|--\d+(.*)"","""")"),"FAINS-VEEL")</f>
        <v>FAINS-VEEL</v>
      </c>
      <c r="E29185" s="38" t="s">
        <v>322</v>
      </c>
      <c r="F29185" s="38" t="s">
        <v>195</v>
      </c>
      <c r="G29185" s="49" t="str">
        <f t="shared" si="1"/>
        <v>55000</v>
      </c>
      <c r="H29185" s="49">
        <f t="shared" si="2"/>
        <v>55186</v>
      </c>
    </row>
    <row r="29186">
      <c r="A29186" s="48" t="s">
        <v>466</v>
      </c>
      <c r="B29186" s="38">
        <v>52231.0</v>
      </c>
      <c r="C29186" s="38" t="s">
        <v>33601</v>
      </c>
      <c r="D29186" s="38" t="str">
        <f>IFERROR(__xludf.DUMMYFUNCTION("REGEXREPLACE(C29186,""-\d+(.*)|--\d+(.*)"","""")"),"GUINDRECOURT-AUX-ORMES")</f>
        <v>GUINDRECOURT-AUX-ORMES</v>
      </c>
      <c r="E29186" s="38" t="s">
        <v>234</v>
      </c>
      <c r="F29186" s="38" t="s">
        <v>130</v>
      </c>
      <c r="G29186" s="49" t="str">
        <f t="shared" si="1"/>
        <v>52300</v>
      </c>
      <c r="H29186" s="49">
        <f t="shared" si="2"/>
        <v>52231</v>
      </c>
    </row>
    <row r="29187">
      <c r="A29187" s="48" t="s">
        <v>18647</v>
      </c>
      <c r="B29187" s="38">
        <v>63151.0</v>
      </c>
      <c r="C29187" s="38" t="s">
        <v>33602</v>
      </c>
      <c r="D29187" s="38" t="str">
        <f>IFERROR(__xludf.DUMMYFUNCTION("REGEXREPLACE(C29187,""-\d+(.*)|--\d+(.*)"","""")"),"ESCOUTOUX")</f>
        <v>ESCOUTOUX</v>
      </c>
      <c r="E29187" s="38" t="s">
        <v>353</v>
      </c>
      <c r="F29187" s="38" t="s">
        <v>161</v>
      </c>
      <c r="G29187" s="49" t="str">
        <f t="shared" si="1"/>
        <v>63300</v>
      </c>
      <c r="H29187" s="49">
        <f t="shared" si="2"/>
        <v>63151</v>
      </c>
    </row>
    <row r="29188">
      <c r="A29188" s="48" t="s">
        <v>13936</v>
      </c>
      <c r="B29188" s="38">
        <v>85103.0</v>
      </c>
      <c r="C29188" s="38" t="s">
        <v>33603</v>
      </c>
      <c r="D29188" s="38" t="str">
        <f>IFERROR(__xludf.DUMMYFUNCTION("REGEXREPLACE(C29188,""-\d+(.*)|--\d+(.*)"","""")"),"GROSBREUIL")</f>
        <v>GROSBREUIL</v>
      </c>
      <c r="E29188" s="38" t="s">
        <v>179</v>
      </c>
      <c r="F29188" s="38" t="s">
        <v>180</v>
      </c>
      <c r="G29188" s="49" t="str">
        <f t="shared" si="1"/>
        <v>85440</v>
      </c>
      <c r="H29188" s="49">
        <f t="shared" si="2"/>
        <v>85103</v>
      </c>
    </row>
    <row r="29189">
      <c r="A29189" s="48" t="s">
        <v>5101</v>
      </c>
      <c r="B29189" s="38">
        <v>54216.0</v>
      </c>
      <c r="C29189" s="38" t="s">
        <v>33604</v>
      </c>
      <c r="D29189" s="38" t="str">
        <f>IFERROR(__xludf.DUMMYFUNCTION("REGEXREPLACE(C29189,""-\d+(.*)|--\d+(.*)"","""")"),"FROVILLE")</f>
        <v>FROVILLE</v>
      </c>
      <c r="E29189" s="38" t="s">
        <v>548</v>
      </c>
      <c r="F29189" s="38" t="s">
        <v>195</v>
      </c>
      <c r="G29189" s="49" t="str">
        <f t="shared" si="1"/>
        <v>54290</v>
      </c>
      <c r="H29189" s="49">
        <f t="shared" si="2"/>
        <v>54216</v>
      </c>
    </row>
    <row r="29190">
      <c r="A29190" s="48" t="s">
        <v>2308</v>
      </c>
      <c r="B29190" s="38">
        <v>33335.0</v>
      </c>
      <c r="C29190" s="38" t="s">
        <v>33605</v>
      </c>
      <c r="D29190" s="38" t="str">
        <f>IFERROR(__xludf.DUMMYFUNCTION("REGEXREPLACE(C29190,""-\d+(.*)|--\d+(.*)"","""")"),"LE POUT")</f>
        <v>LE POUT</v>
      </c>
      <c r="E29190" s="38" t="s">
        <v>462</v>
      </c>
      <c r="F29190" s="38" t="s">
        <v>252</v>
      </c>
      <c r="G29190" s="49" t="str">
        <f t="shared" si="1"/>
        <v>33670</v>
      </c>
      <c r="H29190" s="49">
        <f t="shared" si="2"/>
        <v>33335</v>
      </c>
    </row>
    <row r="29191">
      <c r="A29191" s="48" t="s">
        <v>33606</v>
      </c>
      <c r="B29191" s="38">
        <v>88327.0</v>
      </c>
      <c r="C29191" s="38" t="s">
        <v>33607</v>
      </c>
      <c r="D29191" s="38" t="str">
        <f>IFERROR(__xludf.DUMMYFUNCTION("REGEXREPLACE(C29191,""-\d+(.*)|--\d+(.*)"","""")"),"NOMEXY")</f>
        <v>NOMEXY</v>
      </c>
      <c r="E29191" s="38" t="s">
        <v>194</v>
      </c>
      <c r="F29191" s="38" t="s">
        <v>195</v>
      </c>
      <c r="G29191" s="49" t="str">
        <f t="shared" si="1"/>
        <v>88440</v>
      </c>
      <c r="H29191" s="49">
        <f t="shared" si="2"/>
        <v>88327</v>
      </c>
    </row>
    <row r="29192">
      <c r="A29192" s="48" t="s">
        <v>1124</v>
      </c>
      <c r="B29192" s="38">
        <v>61084.0</v>
      </c>
      <c r="C29192" s="38" t="s">
        <v>33608</v>
      </c>
      <c r="D29192" s="38" t="str">
        <f>IFERROR(__xludf.DUMMYFUNCTION("REGEXREPLACE(C29192,""-\d+(.*)|--\d+(.*)"","""")"),"CHAMPCERIE")</f>
        <v>CHAMPCERIE</v>
      </c>
      <c r="E29192" s="38" t="s">
        <v>141</v>
      </c>
      <c r="F29192" s="38" t="s">
        <v>138</v>
      </c>
      <c r="G29192" s="49" t="str">
        <f t="shared" si="1"/>
        <v>61210</v>
      </c>
      <c r="H29192" s="49">
        <f t="shared" si="2"/>
        <v>61084</v>
      </c>
    </row>
    <row r="29193">
      <c r="A29193" s="48" t="s">
        <v>11152</v>
      </c>
      <c r="B29193" s="38">
        <v>61281.0</v>
      </c>
      <c r="C29193" s="38" t="s">
        <v>33609</v>
      </c>
      <c r="D29193" s="38" t="str">
        <f>IFERROR(__xludf.DUMMYFUNCTION("REGEXREPLACE(C29193,""-\d+(.*)|--\d+(.*)"","""")"),"MONCY")</f>
        <v>MONCY</v>
      </c>
      <c r="E29193" s="38" t="s">
        <v>141</v>
      </c>
      <c r="F29193" s="38" t="s">
        <v>138</v>
      </c>
      <c r="G29193" s="49" t="str">
        <f t="shared" si="1"/>
        <v>61800</v>
      </c>
      <c r="H29193" s="49">
        <f t="shared" si="2"/>
        <v>61281</v>
      </c>
    </row>
    <row r="29194">
      <c r="A29194" s="48" t="s">
        <v>33610</v>
      </c>
      <c r="B29194" s="38">
        <v>85191.0</v>
      </c>
      <c r="C29194" s="38" t="s">
        <v>33611</v>
      </c>
      <c r="D29194" s="38" t="str">
        <f>IFERROR(__xludf.DUMMYFUNCTION("REGEXREPLACE(C29194,""-\d+(.*)|--\d+(.*)"","""")"),"LA ROCHE-SUR-YON")</f>
        <v>LA ROCHE-SUR-YON</v>
      </c>
      <c r="E29194" s="38" t="s">
        <v>179</v>
      </c>
      <c r="F29194" s="38" t="s">
        <v>180</v>
      </c>
      <c r="G29194" s="49" t="str">
        <f t="shared" si="1"/>
        <v>85000</v>
      </c>
      <c r="H29194" s="49">
        <f t="shared" si="2"/>
        <v>85191</v>
      </c>
    </row>
    <row r="29195">
      <c r="A29195" s="48" t="s">
        <v>593</v>
      </c>
      <c r="B29195" s="38">
        <v>29142.0</v>
      </c>
      <c r="C29195" s="38" t="s">
        <v>33612</v>
      </c>
      <c r="D29195" s="38" t="str">
        <f>IFERROR(__xludf.DUMMYFUNCTION("REGEXREPLACE(C29195,""-\d+(.*)|--\d+(.*)"","""")"),"LOTHEY")</f>
        <v>LOTHEY</v>
      </c>
      <c r="E29195" s="38" t="s">
        <v>176</v>
      </c>
      <c r="F29195" s="38" t="s">
        <v>90</v>
      </c>
      <c r="G29195" s="49" t="str">
        <f t="shared" si="1"/>
        <v>29190</v>
      </c>
      <c r="H29195" s="49">
        <f t="shared" si="2"/>
        <v>29142</v>
      </c>
    </row>
    <row r="29196">
      <c r="A29196" s="48" t="s">
        <v>2477</v>
      </c>
      <c r="B29196" s="38">
        <v>76280.0</v>
      </c>
      <c r="C29196" s="38" t="s">
        <v>33613</v>
      </c>
      <c r="D29196" s="38" t="str">
        <f>IFERROR(__xludf.DUMMYFUNCTION("REGEXREPLACE(C29196,""-\d+(.*)|--\d+(.*)"","""")"),"FREAUVILLE")</f>
        <v>FREAUVILLE</v>
      </c>
      <c r="E29196" s="38" t="s">
        <v>133</v>
      </c>
      <c r="F29196" s="38" t="s">
        <v>134</v>
      </c>
      <c r="G29196" s="49" t="str">
        <f t="shared" si="1"/>
        <v>76660</v>
      </c>
      <c r="H29196" s="49">
        <f t="shared" si="2"/>
        <v>76280</v>
      </c>
    </row>
    <row r="29197">
      <c r="A29197" s="48" t="s">
        <v>938</v>
      </c>
      <c r="B29197" s="38">
        <v>9172.0</v>
      </c>
      <c r="C29197" s="38" t="s">
        <v>33614</v>
      </c>
      <c r="D29197" s="38" t="str">
        <f>IFERROR(__xludf.DUMMYFUNCTION("REGEXREPLACE(C29197,""-\d+(.*)|--\d+(.*)"","""")"),"LOUBAUT")</f>
        <v>LOUBAUT</v>
      </c>
      <c r="E29197" s="38" t="s">
        <v>238</v>
      </c>
      <c r="F29197" s="38" t="s">
        <v>94</v>
      </c>
      <c r="G29197" s="49" t="str">
        <f t="shared" si="1"/>
        <v>09350</v>
      </c>
      <c r="H29197" s="49" t="str">
        <f t="shared" si="2"/>
        <v>09172</v>
      </c>
    </row>
    <row r="29198">
      <c r="A29198" s="48" t="s">
        <v>6849</v>
      </c>
      <c r="B29198" s="38">
        <v>28388.0</v>
      </c>
      <c r="C29198" s="38" t="s">
        <v>33615</v>
      </c>
      <c r="D29198" s="38" t="str">
        <f>IFERROR(__xludf.DUMMYFUNCTION("REGEXREPLACE(C29198,""-\d+(.*)|--\d+(.*)"","""")"),"THIVARS")</f>
        <v>THIVARS</v>
      </c>
      <c r="E29198" s="38" t="s">
        <v>300</v>
      </c>
      <c r="F29198" s="38" t="s">
        <v>123</v>
      </c>
      <c r="G29198" s="49" t="str">
        <f t="shared" si="1"/>
        <v>28630</v>
      </c>
      <c r="H29198" s="49">
        <f t="shared" si="2"/>
        <v>28388</v>
      </c>
    </row>
    <row r="29199">
      <c r="A29199" s="48" t="s">
        <v>7122</v>
      </c>
      <c r="B29199" s="38">
        <v>57294.0</v>
      </c>
      <c r="C29199" s="38" t="s">
        <v>33616</v>
      </c>
      <c r="D29199" s="38" t="str">
        <f>IFERROR(__xludf.DUMMYFUNCTION("REGEXREPLACE(C29199,""-\d+(.*)|--\d+(.*)"","""")"),"HANVILLER")</f>
        <v>HANVILLER</v>
      </c>
      <c r="E29199" s="38" t="s">
        <v>303</v>
      </c>
      <c r="F29199" s="38" t="s">
        <v>195</v>
      </c>
      <c r="G29199" s="49" t="str">
        <f t="shared" si="1"/>
        <v>57230</v>
      </c>
      <c r="H29199" s="49">
        <f t="shared" si="2"/>
        <v>57294</v>
      </c>
    </row>
    <row r="29200">
      <c r="A29200" s="48" t="s">
        <v>22525</v>
      </c>
      <c r="B29200" s="38">
        <v>4102.0</v>
      </c>
      <c r="C29200" s="38" t="s">
        <v>33617</v>
      </c>
      <c r="D29200" s="38" t="str">
        <f>IFERROR(__xludf.DUMMYFUNCTION("REGEXREPLACE(C29200,""-\d+(.*)|--\d+(.*)"","""")"),"LE LAUZET-UBAYE")</f>
        <v>LE LAUZET-UBAYE</v>
      </c>
      <c r="E29200" s="38" t="s">
        <v>662</v>
      </c>
      <c r="F29200" s="38" t="s">
        <v>228</v>
      </c>
      <c r="G29200" s="49" t="str">
        <f t="shared" si="1"/>
        <v>04340</v>
      </c>
      <c r="H29200" s="49" t="str">
        <f t="shared" si="2"/>
        <v>04102</v>
      </c>
    </row>
    <row r="29201">
      <c r="A29201" s="48" t="s">
        <v>9686</v>
      </c>
      <c r="B29201" s="38">
        <v>36010.0</v>
      </c>
      <c r="C29201" s="38" t="s">
        <v>33618</v>
      </c>
      <c r="D29201" s="38" t="str">
        <f>IFERROR(__xludf.DUMMYFUNCTION("REGEXREPLACE(C29201,""-\d+(.*)|--\d+(.*)"","""")"),"AZAY-LE-FERRON")</f>
        <v>AZAY-LE-FERRON</v>
      </c>
      <c r="E29201" s="38" t="s">
        <v>258</v>
      </c>
      <c r="F29201" s="38" t="s">
        <v>123</v>
      </c>
      <c r="G29201" s="49" t="str">
        <f t="shared" si="1"/>
        <v>36290</v>
      </c>
      <c r="H29201" s="49">
        <f t="shared" si="2"/>
        <v>36010</v>
      </c>
    </row>
    <row r="29202">
      <c r="A29202" s="48" t="s">
        <v>2477</v>
      </c>
      <c r="B29202" s="38">
        <v>76677.0</v>
      </c>
      <c r="C29202" s="38" t="s">
        <v>33619</v>
      </c>
      <c r="D29202" s="38" t="str">
        <f>IFERROR(__xludf.DUMMYFUNCTION("REGEXREPLACE(C29202,""-\d+(.*)|--\d+(.*)"","""")"),"SMERMESNIL")</f>
        <v>SMERMESNIL</v>
      </c>
      <c r="E29202" s="38" t="s">
        <v>133</v>
      </c>
      <c r="F29202" s="38" t="s">
        <v>134</v>
      </c>
      <c r="G29202" s="49" t="str">
        <f t="shared" si="1"/>
        <v>76660</v>
      </c>
      <c r="H29202" s="49">
        <f t="shared" si="2"/>
        <v>76677</v>
      </c>
    </row>
    <row r="29203">
      <c r="A29203" s="48" t="s">
        <v>781</v>
      </c>
      <c r="B29203" s="38">
        <v>65203.0</v>
      </c>
      <c r="C29203" s="38" t="s">
        <v>33620</v>
      </c>
      <c r="D29203" s="38" t="str">
        <f>IFERROR(__xludf.DUMMYFUNCTION("REGEXREPLACE(C29203,""-\d+(.*)|--\d+(.*)"","""")"),"GEZ-EZ-ANGLES")</f>
        <v>GEZ-EZ-ANGLES</v>
      </c>
      <c r="E29203" s="38" t="s">
        <v>200</v>
      </c>
      <c r="F29203" s="38" t="s">
        <v>94</v>
      </c>
      <c r="G29203" s="49" t="str">
        <f t="shared" si="1"/>
        <v>65100</v>
      </c>
      <c r="H29203" s="49">
        <f t="shared" si="2"/>
        <v>65203</v>
      </c>
    </row>
    <row r="29204">
      <c r="A29204" s="48" t="s">
        <v>1091</v>
      </c>
      <c r="B29204" s="38">
        <v>57449.0</v>
      </c>
      <c r="C29204" s="38" t="s">
        <v>26775</v>
      </c>
      <c r="D29204" s="38" t="str">
        <f>IFERROR(__xludf.DUMMYFUNCTION("REGEXREPLACE(C29204,""-\d+(.*)|--\d+(.*)"","""")"),"MARSILLY")</f>
        <v>MARSILLY</v>
      </c>
      <c r="E29204" s="38" t="s">
        <v>303</v>
      </c>
      <c r="F29204" s="38" t="s">
        <v>195</v>
      </c>
      <c r="G29204" s="49" t="str">
        <f t="shared" si="1"/>
        <v>57530</v>
      </c>
      <c r="H29204" s="49">
        <f t="shared" si="2"/>
        <v>57449</v>
      </c>
    </row>
    <row r="29205">
      <c r="A29205" s="48" t="s">
        <v>22674</v>
      </c>
      <c r="B29205" s="38">
        <v>40044.0</v>
      </c>
      <c r="C29205" s="38" t="s">
        <v>33621</v>
      </c>
      <c r="D29205" s="38" t="str">
        <f>IFERROR(__xludf.DUMMYFUNCTION("REGEXREPLACE(C29205,""-\d+(.*)|--\d+(.*)"","""")"),"BIAUDOS")</f>
        <v>BIAUDOS</v>
      </c>
      <c r="E29205" s="38" t="s">
        <v>281</v>
      </c>
      <c r="F29205" s="38" t="s">
        <v>252</v>
      </c>
      <c r="G29205" s="49" t="str">
        <f t="shared" si="1"/>
        <v>40390</v>
      </c>
      <c r="H29205" s="49">
        <f t="shared" si="2"/>
        <v>40044</v>
      </c>
    </row>
    <row r="29206">
      <c r="A29206" s="48" t="s">
        <v>5575</v>
      </c>
      <c r="B29206" s="38">
        <v>62242.0</v>
      </c>
      <c r="C29206" s="38" t="s">
        <v>33622</v>
      </c>
      <c r="D29206" s="38" t="str">
        <f>IFERROR(__xludf.DUMMYFUNCTION("REGEXREPLACE(C29206,""-\d+(.*)|--\d+(.*)"","""")"),"COUIN")</f>
        <v>COUIN</v>
      </c>
      <c r="E29206" s="38" t="s">
        <v>109</v>
      </c>
      <c r="F29206" s="38" t="s">
        <v>86</v>
      </c>
      <c r="G29206" s="49" t="str">
        <f t="shared" si="1"/>
        <v>62760</v>
      </c>
      <c r="H29206" s="49">
        <f t="shared" si="2"/>
        <v>62242</v>
      </c>
    </row>
    <row r="29207">
      <c r="A29207" s="48" t="s">
        <v>626</v>
      </c>
      <c r="B29207" s="38">
        <v>31459.0</v>
      </c>
      <c r="C29207" s="38" t="s">
        <v>33623</v>
      </c>
      <c r="D29207" s="38" t="str">
        <f>IFERROR(__xludf.DUMMYFUNCTION("REGEXREPLACE(C29207,""-\d+(.*)|--\d+(.*)"","""")"),"ROQUESERIERE")</f>
        <v>ROQUESERIERE</v>
      </c>
      <c r="E29207" s="38" t="s">
        <v>93</v>
      </c>
      <c r="F29207" s="38" t="s">
        <v>94</v>
      </c>
      <c r="G29207" s="49" t="str">
        <f t="shared" si="1"/>
        <v>31380</v>
      </c>
      <c r="H29207" s="49">
        <f t="shared" si="2"/>
        <v>31459</v>
      </c>
    </row>
    <row r="29208">
      <c r="A29208" s="48" t="s">
        <v>3448</v>
      </c>
      <c r="B29208" s="38">
        <v>65222.0</v>
      </c>
      <c r="C29208" s="38" t="s">
        <v>33624</v>
      </c>
      <c r="D29208" s="38" t="str">
        <f>IFERROR(__xludf.DUMMYFUNCTION("REGEXREPLACE(C29208,""-\d+(.*)|--\d+(.*)"","""")"),"HITTE")</f>
        <v>HITTE</v>
      </c>
      <c r="E29208" s="38" t="s">
        <v>200</v>
      </c>
      <c r="F29208" s="38" t="s">
        <v>94</v>
      </c>
      <c r="G29208" s="49" t="str">
        <f t="shared" si="1"/>
        <v>65190</v>
      </c>
      <c r="H29208" s="49">
        <f t="shared" si="2"/>
        <v>65222</v>
      </c>
    </row>
    <row r="29209">
      <c r="A29209" s="48" t="s">
        <v>10433</v>
      </c>
      <c r="B29209" s="38">
        <v>46033.0</v>
      </c>
      <c r="C29209" s="38" t="s">
        <v>33625</v>
      </c>
      <c r="D29209" s="38" t="str">
        <f>IFERROR(__xludf.DUMMYFUNCTION("REGEXREPLACE(C29209,""-\d+(.*)|--\d+(.*)"","""")"),"LE BOULVE")</f>
        <v>LE BOULVE</v>
      </c>
      <c r="E29209" s="38" t="s">
        <v>185</v>
      </c>
      <c r="F29209" s="38" t="s">
        <v>94</v>
      </c>
      <c r="G29209" s="49" t="str">
        <f t="shared" si="1"/>
        <v>46800</v>
      </c>
      <c r="H29209" s="49">
        <f t="shared" si="2"/>
        <v>46033</v>
      </c>
    </row>
    <row r="29210">
      <c r="A29210" s="48" t="s">
        <v>13263</v>
      </c>
      <c r="B29210" s="38">
        <v>50328.0</v>
      </c>
      <c r="C29210" s="38" t="s">
        <v>20215</v>
      </c>
      <c r="D29210" s="38" t="str">
        <f>IFERROR(__xludf.DUMMYFUNCTION("REGEXREPLACE(C29210,""-\d+(.*)|--\d+(.*)"","""")"),"MILLIERES")</f>
        <v>MILLIERES</v>
      </c>
      <c r="E29210" s="38" t="s">
        <v>157</v>
      </c>
      <c r="F29210" s="38" t="s">
        <v>138</v>
      </c>
      <c r="G29210" s="49" t="str">
        <f t="shared" si="1"/>
        <v>50190</v>
      </c>
      <c r="H29210" s="49">
        <f t="shared" si="2"/>
        <v>50328</v>
      </c>
    </row>
    <row r="29211">
      <c r="A29211" s="48" t="s">
        <v>14779</v>
      </c>
      <c r="B29211" s="38">
        <v>19221.0</v>
      </c>
      <c r="C29211" s="38" t="s">
        <v>33626</v>
      </c>
      <c r="D29211" s="38" t="str">
        <f>IFERROR(__xludf.DUMMYFUNCTION("REGEXREPLACE(C29211,""-\d+(.*)|--\d+(.*)"","""")"),"SAINT-MARTIAL-ENTRAYGUES")</f>
        <v>SAINT-MARTIAL-ENTRAYGUES</v>
      </c>
      <c r="E29211" s="38" t="s">
        <v>271</v>
      </c>
      <c r="F29211" s="38" t="s">
        <v>98</v>
      </c>
      <c r="G29211" s="49" t="str">
        <f t="shared" si="1"/>
        <v>19400</v>
      </c>
      <c r="H29211" s="49">
        <f t="shared" si="2"/>
        <v>19221</v>
      </c>
    </row>
    <row r="29212">
      <c r="A29212" s="48" t="s">
        <v>4459</v>
      </c>
      <c r="B29212" s="38">
        <v>63282.0</v>
      </c>
      <c r="C29212" s="38" t="s">
        <v>33627</v>
      </c>
      <c r="D29212" s="38" t="str">
        <f>IFERROR(__xludf.DUMMYFUNCTION("REGEXREPLACE(C29212,""-\d+(.*)|--\d+(.*)"","""")"),"PLAUZAT")</f>
        <v>PLAUZAT</v>
      </c>
      <c r="E29212" s="38" t="s">
        <v>353</v>
      </c>
      <c r="F29212" s="38" t="s">
        <v>161</v>
      </c>
      <c r="G29212" s="49" t="str">
        <f t="shared" si="1"/>
        <v>63730</v>
      </c>
      <c r="H29212" s="49">
        <f t="shared" si="2"/>
        <v>63282</v>
      </c>
    </row>
    <row r="29213">
      <c r="A29213" s="48" t="s">
        <v>16795</v>
      </c>
      <c r="B29213" s="38">
        <v>49068.0</v>
      </c>
      <c r="C29213" s="38" t="s">
        <v>33628</v>
      </c>
      <c r="D29213" s="38" t="str">
        <f>IFERROR(__xludf.DUMMYFUNCTION("REGEXREPLACE(C29213,""-\d+(.*)|--\d+(.*)"","""")"),"CHAMPTOCE-SUR-LOIRE")</f>
        <v>CHAMPTOCE-SUR-LOIRE</v>
      </c>
      <c r="E29213" s="38" t="s">
        <v>653</v>
      </c>
      <c r="F29213" s="38" t="s">
        <v>180</v>
      </c>
      <c r="G29213" s="49" t="str">
        <f t="shared" si="1"/>
        <v>49123</v>
      </c>
      <c r="H29213" s="49">
        <f t="shared" si="2"/>
        <v>49068</v>
      </c>
    </row>
    <row r="29214">
      <c r="A29214" s="48" t="s">
        <v>11152</v>
      </c>
      <c r="B29214" s="38">
        <v>61451.0</v>
      </c>
      <c r="C29214" s="38" t="s">
        <v>33629</v>
      </c>
      <c r="D29214" s="38" t="str">
        <f>IFERROR(__xludf.DUMMYFUNCTION("REGEXREPLACE(C29214,""-\d+(.*)|--\d+(.*)"","""")"),"SAINT-QUENTIN-LES-CHARDONNETS")</f>
        <v>SAINT-QUENTIN-LES-CHARDONNETS</v>
      </c>
      <c r="E29214" s="38" t="s">
        <v>141</v>
      </c>
      <c r="F29214" s="38" t="s">
        <v>138</v>
      </c>
      <c r="G29214" s="49" t="str">
        <f t="shared" si="1"/>
        <v>61800</v>
      </c>
      <c r="H29214" s="49">
        <f t="shared" si="2"/>
        <v>61451</v>
      </c>
    </row>
    <row r="29215">
      <c r="A29215" s="48" t="s">
        <v>4295</v>
      </c>
      <c r="B29215" s="38">
        <v>40215.0</v>
      </c>
      <c r="C29215" s="38" t="s">
        <v>33630</v>
      </c>
      <c r="D29215" s="38" t="str">
        <f>IFERROR(__xludf.DUMMYFUNCTION("REGEXREPLACE(C29215,""-\d+(.*)|--\d+(.*)"","""")"),"OUSSE-SUZAN")</f>
        <v>OUSSE-SUZAN</v>
      </c>
      <c r="E29215" s="38" t="s">
        <v>281</v>
      </c>
      <c r="F29215" s="38" t="s">
        <v>252</v>
      </c>
      <c r="G29215" s="49" t="str">
        <f t="shared" si="1"/>
        <v>40110</v>
      </c>
      <c r="H29215" s="49">
        <f t="shared" si="2"/>
        <v>40215</v>
      </c>
    </row>
    <row r="29216">
      <c r="A29216" s="48" t="s">
        <v>1881</v>
      </c>
      <c r="B29216" s="38">
        <v>69231.0</v>
      </c>
      <c r="C29216" s="38" t="s">
        <v>33631</v>
      </c>
      <c r="D29216" s="38" t="str">
        <f>IFERROR(__xludf.DUMMYFUNCTION("REGEXREPLACE(C29216,""-\d+(.*)|--\d+(.*)"","""")"),"SAINT-PIERRE-LA-PALUD")</f>
        <v>SAINT-PIERRE-LA-PALUD</v>
      </c>
      <c r="E29216" s="38" t="s">
        <v>350</v>
      </c>
      <c r="F29216" s="38" t="s">
        <v>102</v>
      </c>
      <c r="G29216" s="49" t="str">
        <f t="shared" si="1"/>
        <v>69210</v>
      </c>
      <c r="H29216" s="49">
        <f t="shared" si="2"/>
        <v>69231</v>
      </c>
    </row>
    <row r="29217">
      <c r="A29217" s="48" t="s">
        <v>1754</v>
      </c>
      <c r="B29217" s="38">
        <v>14210.0</v>
      </c>
      <c r="C29217" s="38" t="s">
        <v>33632</v>
      </c>
      <c r="D29217" s="38" t="str">
        <f>IFERROR(__xludf.DUMMYFUNCTION("REGEXREPLACE(C29217,""-\d+(.*)|--\d+(.*)"","""")"),"LA CROUPTE")</f>
        <v>LA CROUPTE</v>
      </c>
      <c r="E29217" s="38" t="s">
        <v>137</v>
      </c>
      <c r="F29217" s="38" t="s">
        <v>138</v>
      </c>
      <c r="G29217" s="49" t="str">
        <f t="shared" si="1"/>
        <v>14140</v>
      </c>
      <c r="H29217" s="49">
        <f t="shared" si="2"/>
        <v>14210</v>
      </c>
    </row>
    <row r="29218">
      <c r="A29218" s="48" t="s">
        <v>5012</v>
      </c>
      <c r="B29218" s="38">
        <v>55383.0</v>
      </c>
      <c r="C29218" s="38" t="s">
        <v>33633</v>
      </c>
      <c r="D29218" s="38" t="str">
        <f>IFERROR(__xludf.DUMMYFUNCTION("REGEXREPLACE(C29218,""-\d+(.*)|--\d+(.*)"","""")"),"NEUVILLY-EN-ARGONNE")</f>
        <v>NEUVILLY-EN-ARGONNE</v>
      </c>
      <c r="E29218" s="38" t="s">
        <v>322</v>
      </c>
      <c r="F29218" s="38" t="s">
        <v>195</v>
      </c>
      <c r="G29218" s="49" t="str">
        <f t="shared" si="1"/>
        <v>55120</v>
      </c>
      <c r="H29218" s="49">
        <f t="shared" si="2"/>
        <v>55383</v>
      </c>
    </row>
    <row r="29219">
      <c r="A29219" s="48" t="s">
        <v>1046</v>
      </c>
      <c r="B29219" s="38">
        <v>26234.0</v>
      </c>
      <c r="C29219" s="38" t="s">
        <v>33634</v>
      </c>
      <c r="D29219" s="38" t="str">
        <f>IFERROR(__xludf.DUMMYFUNCTION("REGEXREPLACE(C29219,""-\d+(.*)|--\d+(.*)"","""")"),"PIEGROS-LA-CLASTRE")</f>
        <v>PIEGROS-LA-CLASTRE</v>
      </c>
      <c r="E29219" s="38" t="s">
        <v>126</v>
      </c>
      <c r="F29219" s="38" t="s">
        <v>102</v>
      </c>
      <c r="G29219" s="49" t="str">
        <f t="shared" si="1"/>
        <v>26400</v>
      </c>
      <c r="H29219" s="49">
        <f t="shared" si="2"/>
        <v>26234</v>
      </c>
    </row>
    <row r="29220">
      <c r="A29220" s="48" t="s">
        <v>12302</v>
      </c>
      <c r="B29220" s="38">
        <v>73050.0</v>
      </c>
      <c r="C29220" s="38" t="s">
        <v>33635</v>
      </c>
      <c r="D29220" s="38" t="str">
        <f>IFERROR(__xludf.DUMMYFUNCTION("REGEXREPLACE(C29220,""-\d+(.*)|--\d+(.*)"","""")"),"BOURDEAU")</f>
        <v>BOURDEAU</v>
      </c>
      <c r="E29220" s="38" t="s">
        <v>306</v>
      </c>
      <c r="F29220" s="38" t="s">
        <v>102</v>
      </c>
      <c r="G29220" s="49" t="str">
        <f t="shared" si="1"/>
        <v>73370</v>
      </c>
      <c r="H29220" s="49">
        <f t="shared" si="2"/>
        <v>73050</v>
      </c>
    </row>
    <row r="29221">
      <c r="A29221" s="48" t="s">
        <v>3366</v>
      </c>
      <c r="B29221" s="38">
        <v>47101.0</v>
      </c>
      <c r="C29221" s="38" t="s">
        <v>33636</v>
      </c>
      <c r="D29221" s="38" t="str">
        <f>IFERROR(__xludf.DUMMYFUNCTION("REGEXREPLACE(C29221,""-\d+(.*)|--\d+(.*)"","""")"),"FOURQUES-SUR-GARONNE")</f>
        <v>FOURQUES-SUR-GARONNE</v>
      </c>
      <c r="E29221" s="38" t="s">
        <v>251</v>
      </c>
      <c r="F29221" s="38" t="s">
        <v>252</v>
      </c>
      <c r="G29221" s="49" t="str">
        <f t="shared" si="1"/>
        <v>47200</v>
      </c>
      <c r="H29221" s="49">
        <f t="shared" si="2"/>
        <v>47101</v>
      </c>
    </row>
    <row r="29222">
      <c r="A29222" s="48" t="s">
        <v>5525</v>
      </c>
      <c r="B29222" s="38">
        <v>10041.0</v>
      </c>
      <c r="C29222" s="38" t="s">
        <v>33637</v>
      </c>
      <c r="D29222" s="38" t="str">
        <f>IFERROR(__xludf.DUMMYFUNCTION("REGEXREPLACE(C29222,""-\d+(.*)|--\d+(.*)"","""")"),"BERTIGNOLLES")</f>
        <v>BERTIGNOLLES</v>
      </c>
      <c r="E29222" s="38" t="s">
        <v>147</v>
      </c>
      <c r="F29222" s="38" t="s">
        <v>130</v>
      </c>
      <c r="G29222" s="49" t="str">
        <f t="shared" si="1"/>
        <v>10110</v>
      </c>
      <c r="H29222" s="49">
        <f t="shared" si="2"/>
        <v>10041</v>
      </c>
    </row>
    <row r="29223">
      <c r="A29223" s="48" t="s">
        <v>789</v>
      </c>
      <c r="B29223" s="38">
        <v>10218.0</v>
      </c>
      <c r="C29223" s="38" t="s">
        <v>33638</v>
      </c>
      <c r="D29223" s="38" t="str">
        <f>IFERROR(__xludf.DUMMYFUNCTION("REGEXREPLACE(C29223,""-\d+(.*)|--\d+(.*)"","""")"),"MAISONS-LES-CHAOURCE")</f>
        <v>MAISONS-LES-CHAOURCE</v>
      </c>
      <c r="E29223" s="38" t="s">
        <v>147</v>
      </c>
      <c r="F29223" s="38" t="s">
        <v>130</v>
      </c>
      <c r="G29223" s="49" t="str">
        <f t="shared" si="1"/>
        <v>10210</v>
      </c>
      <c r="H29223" s="49">
        <f t="shared" si="2"/>
        <v>10218</v>
      </c>
    </row>
    <row r="29224">
      <c r="A29224" s="48" t="s">
        <v>1060</v>
      </c>
      <c r="B29224" s="38">
        <v>57691.0</v>
      </c>
      <c r="C29224" s="38" t="s">
        <v>33639</v>
      </c>
      <c r="D29224" s="38" t="str">
        <f>IFERROR(__xludf.DUMMYFUNCTION("REGEXREPLACE(C29224,""-\d+(.*)|--\d+(.*)"","""")"),"VALMUNSTER")</f>
        <v>VALMUNSTER</v>
      </c>
      <c r="E29224" s="38" t="s">
        <v>303</v>
      </c>
      <c r="F29224" s="38" t="s">
        <v>195</v>
      </c>
      <c r="G29224" s="49" t="str">
        <f t="shared" si="1"/>
        <v>57220</v>
      </c>
      <c r="H29224" s="49">
        <f t="shared" si="2"/>
        <v>57691</v>
      </c>
    </row>
    <row r="29225">
      <c r="A29225" s="48" t="s">
        <v>3226</v>
      </c>
      <c r="B29225" s="38">
        <v>61391.0</v>
      </c>
      <c r="C29225" s="38" t="s">
        <v>33640</v>
      </c>
      <c r="D29225" s="38" t="str">
        <f>IFERROR(__xludf.DUMMYFUNCTION("REGEXREPLACE(C29225,""-\d+(.*)|--\d+(.*)"","""")"),"SAINT-GEORGES-DES-GROSEILLERS")</f>
        <v>SAINT-GEORGES-DES-GROSEILLERS</v>
      </c>
      <c r="E29225" s="38" t="s">
        <v>141</v>
      </c>
      <c r="F29225" s="38" t="s">
        <v>138</v>
      </c>
      <c r="G29225" s="49" t="str">
        <f t="shared" si="1"/>
        <v>61100</v>
      </c>
      <c r="H29225" s="49">
        <f t="shared" si="2"/>
        <v>61391</v>
      </c>
    </row>
    <row r="29226">
      <c r="A29226" s="48" t="s">
        <v>6728</v>
      </c>
      <c r="B29226" s="38">
        <v>89087.0</v>
      </c>
      <c r="C29226" s="38" t="s">
        <v>33641</v>
      </c>
      <c r="D29226" s="38" t="str">
        <f>IFERROR(__xludf.DUMMYFUNCTION("REGEXREPLACE(C29226,""-\d+(.*)|--\d+(.*)"","""")"),"CHASSIGNELLES")</f>
        <v>CHASSIGNELLES</v>
      </c>
      <c r="E29226" s="38" t="s">
        <v>275</v>
      </c>
      <c r="F29226" s="38" t="s">
        <v>106</v>
      </c>
      <c r="G29226" s="49" t="str">
        <f t="shared" si="1"/>
        <v>89160</v>
      </c>
      <c r="H29226" s="49">
        <f t="shared" si="2"/>
        <v>89087</v>
      </c>
    </row>
    <row r="29227">
      <c r="A29227" s="48" t="s">
        <v>12307</v>
      </c>
      <c r="B29227" s="38">
        <v>22222.0</v>
      </c>
      <c r="C29227" s="38" t="s">
        <v>33642</v>
      </c>
      <c r="D29227" s="38" t="str">
        <f>IFERROR(__xludf.DUMMYFUNCTION("REGEXREPLACE(C29227,""-\d+(.*)|--\d+(.*)"","""")"),"PLOUHA")</f>
        <v>PLOUHA</v>
      </c>
      <c r="E29227" s="38" t="s">
        <v>89</v>
      </c>
      <c r="F29227" s="38" t="s">
        <v>90</v>
      </c>
      <c r="G29227" s="49" t="str">
        <f t="shared" si="1"/>
        <v>22580</v>
      </c>
      <c r="H29227" s="49">
        <f t="shared" si="2"/>
        <v>22222</v>
      </c>
    </row>
    <row r="29228">
      <c r="A29228" s="48" t="s">
        <v>932</v>
      </c>
      <c r="B29228" s="38">
        <v>17135.0</v>
      </c>
      <c r="C29228" s="38" t="s">
        <v>33643</v>
      </c>
      <c r="D29228" s="38" t="str">
        <f>IFERROR(__xludf.DUMMYFUNCTION("REGEXREPLACE(C29228,""-\d+(.*)|--\d+(.*)"","""")"),"CRESSE")</f>
        <v>CRESSE</v>
      </c>
      <c r="E29228" s="38" t="s">
        <v>488</v>
      </c>
      <c r="F29228" s="38" t="s">
        <v>338</v>
      </c>
      <c r="G29228" s="49" t="str">
        <f t="shared" si="1"/>
        <v>17160</v>
      </c>
      <c r="H29228" s="49">
        <f t="shared" si="2"/>
        <v>17135</v>
      </c>
    </row>
    <row r="29229">
      <c r="A29229" s="48" t="s">
        <v>1576</v>
      </c>
      <c r="B29229" s="38" t="s">
        <v>33644</v>
      </c>
      <c r="C29229" s="38" t="s">
        <v>33645</v>
      </c>
      <c r="D29229" s="38" t="str">
        <f>IFERROR(__xludf.DUMMYFUNCTION("REGEXREPLACE(C29229,""-\d+(.*)|--\d+(.*)"","""")"),"ZOZA")</f>
        <v>ZOZA</v>
      </c>
      <c r="E29229" s="38" t="s">
        <v>606</v>
      </c>
      <c r="F29229" s="38" t="s">
        <v>607</v>
      </c>
      <c r="G29229" s="49" t="str">
        <f t="shared" si="1"/>
        <v>20112</v>
      </c>
      <c r="H29229" s="49" t="str">
        <f t="shared" si="2"/>
        <v>2A363</v>
      </c>
    </row>
    <row r="29230">
      <c r="A29230" s="48" t="s">
        <v>11861</v>
      </c>
      <c r="B29230" s="38">
        <v>30139.0</v>
      </c>
      <c r="C29230" s="38" t="s">
        <v>17554</v>
      </c>
      <c r="D29230" s="38" t="str">
        <f>IFERROR(__xludf.DUMMYFUNCTION("REGEXREPLACE(C29230,""-\d+(.*)|--\d+(.*)"","""")"),"LANUEJOLS")</f>
        <v>LANUEJOLS</v>
      </c>
      <c r="E29230" s="38" t="s">
        <v>526</v>
      </c>
      <c r="F29230" s="38" t="s">
        <v>119</v>
      </c>
      <c r="G29230" s="49" t="str">
        <f t="shared" si="1"/>
        <v>30750</v>
      </c>
      <c r="H29230" s="49">
        <f t="shared" si="2"/>
        <v>30139</v>
      </c>
    </row>
    <row r="29231">
      <c r="A29231" s="48" t="s">
        <v>1300</v>
      </c>
      <c r="B29231" s="38">
        <v>60078.0</v>
      </c>
      <c r="C29231" s="38" t="s">
        <v>33646</v>
      </c>
      <c r="D29231" s="38" t="str">
        <f>IFERROR(__xludf.DUMMYFUNCTION("REGEXREPLACE(C29231,""-\d+(.*)|--\d+(.*)"","""")"),"BLINCOURT")</f>
        <v>BLINCOURT</v>
      </c>
      <c r="E29231" s="38" t="s">
        <v>112</v>
      </c>
      <c r="F29231" s="38" t="s">
        <v>113</v>
      </c>
      <c r="G29231" s="49" t="str">
        <f t="shared" si="1"/>
        <v>60190</v>
      </c>
      <c r="H29231" s="49">
        <f t="shared" si="2"/>
        <v>60078</v>
      </c>
    </row>
    <row r="29232">
      <c r="A29232" s="48" t="s">
        <v>11972</v>
      </c>
      <c r="B29232" s="38">
        <v>89414.0</v>
      </c>
      <c r="C29232" s="38" t="s">
        <v>33647</v>
      </c>
      <c r="D29232" s="38" t="str">
        <f>IFERROR(__xludf.DUMMYFUNCTION("REGEXREPLACE(C29232,""-\d+(.*)|--\d+(.*)"","""")"),"THORIGNY-SUR-OREUSE")</f>
        <v>THORIGNY-SUR-OREUSE</v>
      </c>
      <c r="E29232" s="38" t="s">
        <v>275</v>
      </c>
      <c r="F29232" s="38" t="s">
        <v>106</v>
      </c>
      <c r="G29232" s="49" t="str">
        <f t="shared" si="1"/>
        <v>89260</v>
      </c>
      <c r="H29232" s="49">
        <f t="shared" si="2"/>
        <v>89414</v>
      </c>
    </row>
    <row r="29233">
      <c r="A29233" s="48" t="s">
        <v>5045</v>
      </c>
      <c r="B29233" s="38">
        <v>24534.0</v>
      </c>
      <c r="C29233" s="38" t="s">
        <v>33648</v>
      </c>
      <c r="D29233" s="38" t="str">
        <f>IFERROR(__xludf.DUMMYFUNCTION("REGEXREPLACE(C29233,""-\d+(.*)|--\d+(.*)"","""")"),"SIGOULES")</f>
        <v>SIGOULES</v>
      </c>
      <c r="E29233" s="38" t="s">
        <v>261</v>
      </c>
      <c r="F29233" s="38" t="s">
        <v>252</v>
      </c>
      <c r="G29233" s="49" t="str">
        <f t="shared" si="1"/>
        <v>24240</v>
      </c>
      <c r="H29233" s="49">
        <f t="shared" si="2"/>
        <v>24534</v>
      </c>
    </row>
    <row r="29234">
      <c r="A29234" s="48" t="s">
        <v>4553</v>
      </c>
      <c r="B29234" s="38">
        <v>56189.0</v>
      </c>
      <c r="C29234" s="38" t="s">
        <v>33649</v>
      </c>
      <c r="D29234" s="38" t="str">
        <f>IFERROR(__xludf.DUMMYFUNCTION("REGEXREPLACE(C29234,""-\d+(.*)|--\d+(.*)"","""")"),"RADENAC")</f>
        <v>RADENAC</v>
      </c>
      <c r="E29234" s="38" t="s">
        <v>173</v>
      </c>
      <c r="F29234" s="38" t="s">
        <v>90</v>
      </c>
      <c r="G29234" s="49" t="str">
        <f t="shared" si="1"/>
        <v>56500</v>
      </c>
      <c r="H29234" s="49">
        <f t="shared" si="2"/>
        <v>56189</v>
      </c>
    </row>
    <row r="29235">
      <c r="A29235" s="48" t="s">
        <v>736</v>
      </c>
      <c r="B29235" s="38">
        <v>57137.0</v>
      </c>
      <c r="C29235" s="38" t="s">
        <v>33650</v>
      </c>
      <c r="D29235" s="38" t="str">
        <f>IFERROR(__xludf.DUMMYFUNCTION("REGEXREPLACE(C29235,""-\d+(.*)|--\d+(.*)"","""")"),"CHEMINOT")</f>
        <v>CHEMINOT</v>
      </c>
      <c r="E29235" s="38" t="s">
        <v>303</v>
      </c>
      <c r="F29235" s="38" t="s">
        <v>195</v>
      </c>
      <c r="G29235" s="49" t="str">
        <f t="shared" si="1"/>
        <v>57420</v>
      </c>
      <c r="H29235" s="49">
        <f t="shared" si="2"/>
        <v>57137</v>
      </c>
    </row>
    <row r="29236">
      <c r="A29236" s="48" t="s">
        <v>862</v>
      </c>
      <c r="B29236" s="38">
        <v>27620.0</v>
      </c>
      <c r="C29236" s="38" t="s">
        <v>659</v>
      </c>
      <c r="D29236" s="38" t="str">
        <f>IFERROR(__xludf.DUMMYFUNCTION("REGEXREPLACE(C29236,""-\d+(.*)|--\d+(.*)"","""")"),"SELLES")</f>
        <v>SELLES</v>
      </c>
      <c r="E29236" s="38" t="s">
        <v>241</v>
      </c>
      <c r="F29236" s="38" t="s">
        <v>134</v>
      </c>
      <c r="G29236" s="49" t="str">
        <f t="shared" si="1"/>
        <v>27500</v>
      </c>
      <c r="H29236" s="49">
        <f t="shared" si="2"/>
        <v>27620</v>
      </c>
    </row>
    <row r="29237">
      <c r="A29237" s="48" t="s">
        <v>7037</v>
      </c>
      <c r="B29237" s="38">
        <v>34067.0</v>
      </c>
      <c r="C29237" s="38" t="s">
        <v>21951</v>
      </c>
      <c r="D29237" s="38" t="str">
        <f>IFERROR(__xludf.DUMMYFUNCTION("REGEXREPLACE(C29237,""-\d+(.*)|--\d+(.*)"","""")"),"CAZILHAC")</f>
        <v>CAZILHAC</v>
      </c>
      <c r="E29237" s="38" t="s">
        <v>118</v>
      </c>
      <c r="F29237" s="38" t="s">
        <v>119</v>
      </c>
      <c r="G29237" s="49" t="str">
        <f t="shared" si="1"/>
        <v>34190</v>
      </c>
      <c r="H29237" s="49">
        <f t="shared" si="2"/>
        <v>34067</v>
      </c>
    </row>
    <row r="29238">
      <c r="A29238" s="48" t="s">
        <v>2249</v>
      </c>
      <c r="B29238" s="38">
        <v>14465.0</v>
      </c>
      <c r="C29238" s="38" t="s">
        <v>33651</v>
      </c>
      <c r="D29238" s="38" t="str">
        <f>IFERROR(__xludf.DUMMYFUNCTION("REGEXREPLACE(C29238,""-\d+(.*)|--\d+(.*)"","""")"),"NONANT")</f>
        <v>NONANT</v>
      </c>
      <c r="E29238" s="38" t="s">
        <v>137</v>
      </c>
      <c r="F29238" s="38" t="s">
        <v>138</v>
      </c>
      <c r="G29238" s="49" t="str">
        <f t="shared" si="1"/>
        <v>14400</v>
      </c>
      <c r="H29238" s="49">
        <f t="shared" si="2"/>
        <v>14465</v>
      </c>
    </row>
    <row r="29239">
      <c r="A29239" s="48" t="s">
        <v>11481</v>
      </c>
      <c r="B29239" s="38">
        <v>33268.0</v>
      </c>
      <c r="C29239" s="38" t="s">
        <v>33652</v>
      </c>
      <c r="D29239" s="38" t="str">
        <f>IFERROR(__xludf.DUMMYFUNCTION("REGEXREPLACE(C29239,""-\d+(.*)|--\d+(.*)"","""")"),"MARGAUX")</f>
        <v>MARGAUX</v>
      </c>
      <c r="E29239" s="38" t="s">
        <v>462</v>
      </c>
      <c r="F29239" s="38" t="s">
        <v>252</v>
      </c>
      <c r="G29239" s="49" t="str">
        <f t="shared" si="1"/>
        <v>33460</v>
      </c>
      <c r="H29239" s="49">
        <f t="shared" si="2"/>
        <v>33268</v>
      </c>
    </row>
    <row r="29240">
      <c r="A29240" s="48" t="s">
        <v>20857</v>
      </c>
      <c r="B29240" s="38">
        <v>64249.0</v>
      </c>
      <c r="C29240" s="38" t="s">
        <v>33653</v>
      </c>
      <c r="D29240" s="38" t="str">
        <f>IFERROR(__xludf.DUMMYFUNCTION("REGEXREPLACE(C29240,""-\d+(.*)|--\d+(.*)"","""")"),"GUETHARY")</f>
        <v>GUETHARY</v>
      </c>
      <c r="E29240" s="38" t="s">
        <v>268</v>
      </c>
      <c r="F29240" s="38" t="s">
        <v>252</v>
      </c>
      <c r="G29240" s="49" t="str">
        <f t="shared" si="1"/>
        <v>64210</v>
      </c>
      <c r="H29240" s="49">
        <f t="shared" si="2"/>
        <v>64249</v>
      </c>
    </row>
    <row r="29241">
      <c r="A29241" s="48" t="s">
        <v>8359</v>
      </c>
      <c r="B29241" s="38">
        <v>89155.0</v>
      </c>
      <c r="C29241" s="38" t="s">
        <v>33654</v>
      </c>
      <c r="D29241" s="38" t="str">
        <f>IFERROR(__xludf.DUMMYFUNCTION("REGEXREPLACE(C29241,""-\d+(.*)|--\d+(.*)"","""")"),"ESCOLIVES-SAINTE-CAMILLE")</f>
        <v>ESCOLIVES-SAINTE-CAMILLE</v>
      </c>
      <c r="E29241" s="38" t="s">
        <v>275</v>
      </c>
      <c r="F29241" s="38" t="s">
        <v>106</v>
      </c>
      <c r="G29241" s="49" t="str">
        <f t="shared" si="1"/>
        <v>89290</v>
      </c>
      <c r="H29241" s="49">
        <f t="shared" si="2"/>
        <v>89155</v>
      </c>
    </row>
    <row r="29242">
      <c r="A29242" s="48" t="s">
        <v>8263</v>
      </c>
      <c r="B29242" s="38">
        <v>43218.0</v>
      </c>
      <c r="C29242" s="38" t="s">
        <v>33655</v>
      </c>
      <c r="D29242" s="38" t="str">
        <f>IFERROR(__xludf.DUMMYFUNCTION("REGEXREPLACE(C29242,""-\d+(.*)|--\d+(.*)"","""")"),"SAINT-PIERRE-EYNAC")</f>
        <v>SAINT-PIERRE-EYNAC</v>
      </c>
      <c r="E29242" s="38" t="s">
        <v>332</v>
      </c>
      <c r="F29242" s="38" t="s">
        <v>161</v>
      </c>
      <c r="G29242" s="49" t="str">
        <f t="shared" si="1"/>
        <v>43260</v>
      </c>
      <c r="H29242" s="49">
        <f t="shared" si="2"/>
        <v>43218</v>
      </c>
    </row>
    <row r="29243">
      <c r="A29243" s="48" t="s">
        <v>1089</v>
      </c>
      <c r="B29243" s="38">
        <v>67396.0</v>
      </c>
      <c r="C29243" s="38" t="s">
        <v>33656</v>
      </c>
      <c r="D29243" s="38" t="str">
        <f>IFERROR(__xludf.DUMMYFUNCTION("REGEXREPLACE(C29243,""-\d+(.*)|--\d+(.*)"","""")"),"REXINGEN")</f>
        <v>REXINGEN</v>
      </c>
      <c r="E29243" s="38" t="s">
        <v>210</v>
      </c>
      <c r="F29243" s="38" t="s">
        <v>151</v>
      </c>
      <c r="G29243" s="49" t="str">
        <f t="shared" si="1"/>
        <v>67320</v>
      </c>
      <c r="H29243" s="49">
        <f t="shared" si="2"/>
        <v>67396</v>
      </c>
    </row>
    <row r="29244">
      <c r="A29244" s="48" t="s">
        <v>10017</v>
      </c>
      <c r="B29244" s="38">
        <v>14015.0</v>
      </c>
      <c r="C29244" s="38" t="s">
        <v>33657</v>
      </c>
      <c r="D29244" s="38" t="str">
        <f>IFERROR(__xludf.DUMMYFUNCTION("REGEXREPLACE(C29244,""-\d+(.*)|--\d+(.*)"","""")"),"ANISY")</f>
        <v>ANISY</v>
      </c>
      <c r="E29244" s="38" t="s">
        <v>137</v>
      </c>
      <c r="F29244" s="38" t="s">
        <v>138</v>
      </c>
      <c r="G29244" s="49" t="str">
        <f t="shared" si="1"/>
        <v>14610</v>
      </c>
      <c r="H29244" s="49">
        <f t="shared" si="2"/>
        <v>14015</v>
      </c>
    </row>
    <row r="29245">
      <c r="A29245" s="48" t="s">
        <v>3570</v>
      </c>
      <c r="B29245" s="38">
        <v>76211.0</v>
      </c>
      <c r="C29245" s="38" t="s">
        <v>33658</v>
      </c>
      <c r="D29245" s="38" t="str">
        <f>IFERROR(__xludf.DUMMYFUNCTION("REGEXREPLACE(C29245,""-\d+(.*)|--\d+(.*)"","""")"),"DANCOURT")</f>
        <v>DANCOURT</v>
      </c>
      <c r="E29245" s="38" t="s">
        <v>133</v>
      </c>
      <c r="F29245" s="38" t="s">
        <v>134</v>
      </c>
      <c r="G29245" s="49" t="str">
        <f t="shared" si="1"/>
        <v>76340</v>
      </c>
      <c r="H29245" s="49">
        <f t="shared" si="2"/>
        <v>76211</v>
      </c>
    </row>
    <row r="29246">
      <c r="A29246" s="48" t="s">
        <v>4870</v>
      </c>
      <c r="B29246" s="38">
        <v>85084.0</v>
      </c>
      <c r="C29246" s="38" t="s">
        <v>1075</v>
      </c>
      <c r="D29246" s="38" t="str">
        <f>IFERROR(__xludf.DUMMYFUNCTION("REGEXREPLACE(C29246,""-\d+(.*)|--\d+(.*)"","""")"),"LES ESSARTS")</f>
        <v>LES ESSARTS</v>
      </c>
      <c r="E29246" s="38" t="s">
        <v>179</v>
      </c>
      <c r="F29246" s="38" t="s">
        <v>180</v>
      </c>
      <c r="G29246" s="49" t="str">
        <f t="shared" si="1"/>
        <v>85140</v>
      </c>
      <c r="H29246" s="49">
        <f t="shared" si="2"/>
        <v>85084</v>
      </c>
    </row>
    <row r="29247">
      <c r="A29247" s="48" t="s">
        <v>266</v>
      </c>
      <c r="B29247" s="38">
        <v>64323.0</v>
      </c>
      <c r="C29247" s="38" t="s">
        <v>5510</v>
      </c>
      <c r="D29247" s="38" t="str">
        <f>IFERROR(__xludf.DUMMYFUNCTION("REGEXREPLACE(C29247,""-\d+(.*)|--\d+(.*)"","""")"),"LASSERRE")</f>
        <v>LASSERRE</v>
      </c>
      <c r="E29247" s="38" t="s">
        <v>268</v>
      </c>
      <c r="F29247" s="38" t="s">
        <v>252</v>
      </c>
      <c r="G29247" s="49" t="str">
        <f t="shared" si="1"/>
        <v>64350</v>
      </c>
      <c r="H29247" s="49">
        <f t="shared" si="2"/>
        <v>64323</v>
      </c>
    </row>
    <row r="29248">
      <c r="A29248" s="48" t="s">
        <v>2812</v>
      </c>
      <c r="B29248" s="38">
        <v>61206.0</v>
      </c>
      <c r="C29248" s="38" t="s">
        <v>33659</v>
      </c>
      <c r="D29248" s="38" t="str">
        <f>IFERROR(__xludf.DUMMYFUNCTION("REGEXREPLACE(C29248,""-\d+(.*)|--\d+(.*)"","""")"),"L'HOME-CHAMONDOT")</f>
        <v>L'HOME-CHAMONDOT</v>
      </c>
      <c r="E29248" s="38" t="s">
        <v>141</v>
      </c>
      <c r="F29248" s="38" t="s">
        <v>138</v>
      </c>
      <c r="G29248" s="49" t="str">
        <f t="shared" si="1"/>
        <v>61290</v>
      </c>
      <c r="H29248" s="49">
        <f t="shared" si="2"/>
        <v>61206</v>
      </c>
    </row>
    <row r="29249">
      <c r="A29249" s="48" t="s">
        <v>1305</v>
      </c>
      <c r="B29249" s="38">
        <v>36222.0</v>
      </c>
      <c r="C29249" s="38" t="s">
        <v>33660</v>
      </c>
      <c r="D29249" s="38" t="str">
        <f>IFERROR(__xludf.DUMMYFUNCTION("REGEXREPLACE(C29249,""-\d+(.*)|--\d+(.*)"","""")"),"THIZAY")</f>
        <v>THIZAY</v>
      </c>
      <c r="E29249" s="38" t="s">
        <v>258</v>
      </c>
      <c r="F29249" s="38" t="s">
        <v>123</v>
      </c>
      <c r="G29249" s="49" t="str">
        <f t="shared" si="1"/>
        <v>36100</v>
      </c>
      <c r="H29249" s="49">
        <f t="shared" si="2"/>
        <v>36222</v>
      </c>
    </row>
    <row r="29250">
      <c r="A29250" s="48" t="s">
        <v>2949</v>
      </c>
      <c r="B29250" s="38">
        <v>27323.0</v>
      </c>
      <c r="C29250" s="38" t="s">
        <v>33661</v>
      </c>
      <c r="D29250" s="38" t="str">
        <f>IFERROR(__xludf.DUMMYFUNCTION("REGEXREPLACE(C29250,""-\d+(.*)|--\d+(.*)"","""")"),"LA HAYE-SAINT-SYLVESTRE")</f>
        <v>LA HAYE-SAINT-SYLVESTRE</v>
      </c>
      <c r="E29250" s="38" t="s">
        <v>241</v>
      </c>
      <c r="F29250" s="38" t="s">
        <v>134</v>
      </c>
      <c r="G29250" s="49" t="str">
        <f t="shared" si="1"/>
        <v>27330</v>
      </c>
      <c r="H29250" s="49">
        <f t="shared" si="2"/>
        <v>27323</v>
      </c>
    </row>
    <row r="29251">
      <c r="A29251" s="48" t="s">
        <v>4467</v>
      </c>
      <c r="B29251" s="38">
        <v>53225.0</v>
      </c>
      <c r="C29251" s="38" t="s">
        <v>33662</v>
      </c>
      <c r="D29251" s="38" t="str">
        <f>IFERROR(__xludf.DUMMYFUNCTION("REGEXREPLACE(C29251,""-\d+(.*)|--\d+(.*)"","""")"),"SAINT-GERMAIN-LE-GUILLAUME")</f>
        <v>SAINT-GERMAIN-LE-GUILLAUME</v>
      </c>
      <c r="E29251" s="38" t="s">
        <v>518</v>
      </c>
      <c r="F29251" s="38" t="s">
        <v>180</v>
      </c>
      <c r="G29251" s="49" t="str">
        <f t="shared" si="1"/>
        <v>53240</v>
      </c>
      <c r="H29251" s="49">
        <f t="shared" si="2"/>
        <v>53225</v>
      </c>
    </row>
    <row r="29252">
      <c r="A29252" s="48" t="s">
        <v>33663</v>
      </c>
      <c r="B29252" s="38">
        <v>66026.0</v>
      </c>
      <c r="C29252" s="38" t="s">
        <v>33664</v>
      </c>
      <c r="D29252" s="38" t="str">
        <f>IFERROR(__xludf.DUMMYFUNCTION("REGEXREPLACE(C29252,""-\d+(.*)|--\d+(.*)"","""")"),"BROUILLA")</f>
        <v>BROUILLA</v>
      </c>
      <c r="E29252" s="38" t="s">
        <v>248</v>
      </c>
      <c r="F29252" s="38" t="s">
        <v>119</v>
      </c>
      <c r="G29252" s="49" t="str">
        <f t="shared" si="1"/>
        <v>66620</v>
      </c>
      <c r="H29252" s="49">
        <f t="shared" si="2"/>
        <v>66026</v>
      </c>
    </row>
    <row r="29253">
      <c r="A29253" s="48" t="s">
        <v>4499</v>
      </c>
      <c r="B29253" s="38">
        <v>25134.0</v>
      </c>
      <c r="C29253" s="38" t="s">
        <v>33665</v>
      </c>
      <c r="D29253" s="38" t="str">
        <f>IFERROR(__xludf.DUMMYFUNCTION("REGEXREPLACE(C29253,""-\d+(.*)|--\d+(.*)"","""")"),"CHATILLON-SUR-LISON")</f>
        <v>CHATILLON-SUR-LISON</v>
      </c>
      <c r="E29253" s="38" t="s">
        <v>213</v>
      </c>
      <c r="F29253" s="38" t="s">
        <v>214</v>
      </c>
      <c r="G29253" s="49" t="str">
        <f t="shared" si="1"/>
        <v>25440</v>
      </c>
      <c r="H29253" s="49">
        <f t="shared" si="2"/>
        <v>25134</v>
      </c>
    </row>
    <row r="29254">
      <c r="A29254" s="48" t="s">
        <v>9600</v>
      </c>
      <c r="B29254" s="38">
        <v>7306.0</v>
      </c>
      <c r="C29254" s="38" t="s">
        <v>33666</v>
      </c>
      <c r="D29254" s="38" t="str">
        <f>IFERROR(__xludf.DUMMYFUNCTION("REGEXREPLACE(C29254,""-\d+(.*)|--\d+(.*)"","""")"),"SAMPZON")</f>
        <v>SAMPZON</v>
      </c>
      <c r="E29254" s="38" t="s">
        <v>144</v>
      </c>
      <c r="F29254" s="38" t="s">
        <v>102</v>
      </c>
      <c r="G29254" s="49" t="str">
        <f t="shared" si="1"/>
        <v>07120</v>
      </c>
      <c r="H29254" s="49" t="str">
        <f t="shared" si="2"/>
        <v>07306</v>
      </c>
    </row>
    <row r="29255">
      <c r="A29255" s="48" t="s">
        <v>6485</v>
      </c>
      <c r="B29255" s="38">
        <v>38158.0</v>
      </c>
      <c r="C29255" s="38" t="s">
        <v>33667</v>
      </c>
      <c r="D29255" s="38" t="str">
        <f>IFERROR(__xludf.DUMMYFUNCTION("REGEXREPLACE(C29255,""-\d+(.*)|--\d+(.*)"","""")"),"EYBENS")</f>
        <v>EYBENS</v>
      </c>
      <c r="E29255" s="38" t="s">
        <v>101</v>
      </c>
      <c r="F29255" s="38" t="s">
        <v>102</v>
      </c>
      <c r="G29255" s="49" t="str">
        <f t="shared" si="1"/>
        <v>38320</v>
      </c>
      <c r="H29255" s="49">
        <f t="shared" si="2"/>
        <v>38158</v>
      </c>
    </row>
    <row r="29256">
      <c r="A29256" s="48" t="s">
        <v>12894</v>
      </c>
      <c r="B29256" s="38">
        <v>48088.0</v>
      </c>
      <c r="C29256" s="38" t="s">
        <v>33668</v>
      </c>
      <c r="D29256" s="38" t="str">
        <f>IFERROR(__xludf.DUMMYFUNCTION("REGEXREPLACE(C29256,""-\d+(.*)|--\d+(.*)"","""")"),"LA MALENE")</f>
        <v>LA MALENE</v>
      </c>
      <c r="E29256" s="38" t="s">
        <v>154</v>
      </c>
      <c r="F29256" s="38" t="s">
        <v>119</v>
      </c>
      <c r="G29256" s="49" t="str">
        <f t="shared" si="1"/>
        <v>48210</v>
      </c>
      <c r="H29256" s="49">
        <f t="shared" si="2"/>
        <v>48088</v>
      </c>
    </row>
    <row r="29257">
      <c r="A29257" s="48" t="s">
        <v>15862</v>
      </c>
      <c r="B29257" s="38">
        <v>31157.0</v>
      </c>
      <c r="C29257" s="38" t="s">
        <v>33669</v>
      </c>
      <c r="D29257" s="38" t="str">
        <f>IFERROR(__xludf.DUMMYFUNCTION("REGEXREPLACE(C29257,""-\d+(.*)|--\d+(.*)"","""")"),"CUGNAUX")</f>
        <v>CUGNAUX</v>
      </c>
      <c r="E29257" s="38" t="s">
        <v>93</v>
      </c>
      <c r="F29257" s="38" t="s">
        <v>94</v>
      </c>
      <c r="G29257" s="49" t="str">
        <f t="shared" si="1"/>
        <v>31270</v>
      </c>
      <c r="H29257" s="49">
        <f t="shared" si="2"/>
        <v>31157</v>
      </c>
    </row>
    <row r="29258">
      <c r="A29258" s="48" t="s">
        <v>1903</v>
      </c>
      <c r="B29258" s="38">
        <v>10059.0</v>
      </c>
      <c r="C29258" s="38" t="s">
        <v>4484</v>
      </c>
      <c r="D29258" s="38" t="str">
        <f>IFERROR(__xludf.DUMMYFUNCTION("REGEXREPLACE(C29258,""-\d+(.*)|--\d+(.*)"","""")"),"BRAUX")</f>
        <v>BRAUX</v>
      </c>
      <c r="E29258" s="38" t="s">
        <v>147</v>
      </c>
      <c r="F29258" s="38" t="s">
        <v>130</v>
      </c>
      <c r="G29258" s="49" t="str">
        <f t="shared" si="1"/>
        <v>10500</v>
      </c>
      <c r="H29258" s="49">
        <f t="shared" si="2"/>
        <v>10059</v>
      </c>
    </row>
    <row r="29259">
      <c r="A29259" s="48" t="s">
        <v>3281</v>
      </c>
      <c r="B29259" s="38">
        <v>40003.0</v>
      </c>
      <c r="C29259" s="38" t="s">
        <v>33670</v>
      </c>
      <c r="D29259" s="38" t="str">
        <f>IFERROR(__xludf.DUMMYFUNCTION("REGEXREPLACE(C29259,""-\d+(.*)|--\d+(.*)"","""")"),"ANGOUME")</f>
        <v>ANGOUME</v>
      </c>
      <c r="E29259" s="38" t="s">
        <v>281</v>
      </c>
      <c r="F29259" s="38" t="s">
        <v>252</v>
      </c>
      <c r="G29259" s="49" t="str">
        <f t="shared" si="1"/>
        <v>40990</v>
      </c>
      <c r="H29259" s="49">
        <f t="shared" si="2"/>
        <v>40003</v>
      </c>
    </row>
    <row r="29260">
      <c r="A29260" s="48" t="s">
        <v>1398</v>
      </c>
      <c r="B29260" s="38">
        <v>45220.0</v>
      </c>
      <c r="C29260" s="38" t="s">
        <v>33671</v>
      </c>
      <c r="D29260" s="38" t="str">
        <f>IFERROR(__xludf.DUMMYFUNCTION("REGEXREPLACE(C29260,""-\d+(.*)|--\d+(.*)"","""")"),"NANCRAY-SUR-RIMARDE")</f>
        <v>NANCRAY-SUR-RIMARDE</v>
      </c>
      <c r="E29260" s="38" t="s">
        <v>122</v>
      </c>
      <c r="F29260" s="38" t="s">
        <v>123</v>
      </c>
      <c r="G29260" s="49" t="str">
        <f t="shared" si="1"/>
        <v>45340</v>
      </c>
      <c r="H29260" s="49">
        <f t="shared" si="2"/>
        <v>45220</v>
      </c>
    </row>
    <row r="29261">
      <c r="A29261" s="48" t="s">
        <v>5477</v>
      </c>
      <c r="B29261" s="38">
        <v>74199.0</v>
      </c>
      <c r="C29261" s="38" t="s">
        <v>33672</v>
      </c>
      <c r="D29261" s="38" t="str">
        <f>IFERROR(__xludf.DUMMYFUNCTION("REGEXREPLACE(C29261,""-\d+(.*)|--\d+(.*)"","""")"),"NERNIER")</f>
        <v>NERNIER</v>
      </c>
      <c r="E29261" s="38" t="s">
        <v>319</v>
      </c>
      <c r="F29261" s="38" t="s">
        <v>102</v>
      </c>
      <c r="G29261" s="49" t="str">
        <f t="shared" si="1"/>
        <v>74140</v>
      </c>
      <c r="H29261" s="49">
        <f t="shared" si="2"/>
        <v>74199</v>
      </c>
    </row>
    <row r="29262">
      <c r="A29262" s="48" t="s">
        <v>33673</v>
      </c>
      <c r="B29262" s="38">
        <v>64399.0</v>
      </c>
      <c r="C29262" s="38" t="s">
        <v>33674</v>
      </c>
      <c r="D29262" s="38" t="str">
        <f>IFERROR(__xludf.DUMMYFUNCTION("REGEXREPLACE(C29262,""-\d+(.*)|--\d+(.*)"","""")"),"MONTARDON")</f>
        <v>MONTARDON</v>
      </c>
      <c r="E29262" s="38" t="s">
        <v>268</v>
      </c>
      <c r="F29262" s="38" t="s">
        <v>252</v>
      </c>
      <c r="G29262" s="49" t="str">
        <f t="shared" si="1"/>
        <v>64121</v>
      </c>
      <c r="H29262" s="49">
        <f t="shared" si="2"/>
        <v>64399</v>
      </c>
    </row>
    <row r="29263">
      <c r="A29263" s="48" t="s">
        <v>4447</v>
      </c>
      <c r="B29263" s="38">
        <v>39444.0</v>
      </c>
      <c r="C29263" s="38" t="s">
        <v>33675</v>
      </c>
      <c r="D29263" s="38" t="str">
        <f>IFERROR(__xludf.DUMMYFUNCTION("REGEXREPLACE(C29263,""-\d+(.*)|--\d+(.*)"","""")"),"PRETIN")</f>
        <v>PRETIN</v>
      </c>
      <c r="E29263" s="38" t="s">
        <v>400</v>
      </c>
      <c r="F29263" s="38" t="s">
        <v>214</v>
      </c>
      <c r="G29263" s="49" t="str">
        <f t="shared" si="1"/>
        <v>39110</v>
      </c>
      <c r="H29263" s="49">
        <f t="shared" si="2"/>
        <v>39444</v>
      </c>
    </row>
    <row r="29264">
      <c r="A29264" s="48" t="s">
        <v>2605</v>
      </c>
      <c r="B29264" s="38">
        <v>39148.0</v>
      </c>
      <c r="C29264" s="38" t="s">
        <v>33676</v>
      </c>
      <c r="D29264" s="38" t="str">
        <f>IFERROR(__xludf.DUMMYFUNCTION("REGEXREPLACE(C29264,""-\d+(.*)|--\d+(.*)"","""")"),"CHISSERIA")</f>
        <v>CHISSERIA</v>
      </c>
      <c r="E29264" s="38" t="s">
        <v>400</v>
      </c>
      <c r="F29264" s="38" t="s">
        <v>214</v>
      </c>
      <c r="G29264" s="49" t="str">
        <f t="shared" si="1"/>
        <v>39240</v>
      </c>
      <c r="H29264" s="49">
        <f t="shared" si="2"/>
        <v>39148</v>
      </c>
    </row>
    <row r="29265">
      <c r="A29265" s="48" t="s">
        <v>5902</v>
      </c>
      <c r="B29265" s="38">
        <v>30009.0</v>
      </c>
      <c r="C29265" s="38" t="s">
        <v>33677</v>
      </c>
      <c r="D29265" s="38" t="str">
        <f>IFERROR(__xludf.DUMMYFUNCTION("REGEXREPLACE(C29265,""-\d+(.*)|--\d+(.*)"","""")"),"ALZON")</f>
        <v>ALZON</v>
      </c>
      <c r="E29265" s="38" t="s">
        <v>526</v>
      </c>
      <c r="F29265" s="38" t="s">
        <v>119</v>
      </c>
      <c r="G29265" s="49" t="str">
        <f t="shared" si="1"/>
        <v>30770</v>
      </c>
      <c r="H29265" s="49">
        <f t="shared" si="2"/>
        <v>30009</v>
      </c>
    </row>
    <row r="29266">
      <c r="A29266" s="48" t="s">
        <v>5982</v>
      </c>
      <c r="B29266" s="38">
        <v>63289.0</v>
      </c>
      <c r="C29266" s="38" t="s">
        <v>33678</v>
      </c>
      <c r="D29266" s="38" t="str">
        <f>IFERROR(__xludf.DUMMYFUNCTION("REGEXREPLACE(C29266,""-\d+(.*)|--\d+(.*)"","""")"),"PRONDINES")</f>
        <v>PRONDINES</v>
      </c>
      <c r="E29266" s="38" t="s">
        <v>353</v>
      </c>
      <c r="F29266" s="38" t="s">
        <v>161</v>
      </c>
      <c r="G29266" s="49" t="str">
        <f t="shared" si="1"/>
        <v>63470</v>
      </c>
      <c r="H29266" s="49">
        <f t="shared" si="2"/>
        <v>63289</v>
      </c>
    </row>
    <row r="29267">
      <c r="A29267" s="48" t="s">
        <v>1693</v>
      </c>
      <c r="B29267" s="38">
        <v>24095.0</v>
      </c>
      <c r="C29267" s="38" t="s">
        <v>19225</v>
      </c>
      <c r="D29267" s="38" t="str">
        <f>IFERROR(__xludf.DUMMYFUNCTION("REGEXREPLACE(C29267,""-\d+(.*)|--\d+(.*)"","""")"),"CHALAIS")</f>
        <v>CHALAIS</v>
      </c>
      <c r="E29267" s="38" t="s">
        <v>261</v>
      </c>
      <c r="F29267" s="38" t="s">
        <v>252</v>
      </c>
      <c r="G29267" s="49" t="str">
        <f t="shared" si="1"/>
        <v>24800</v>
      </c>
      <c r="H29267" s="49">
        <f t="shared" si="2"/>
        <v>24095</v>
      </c>
    </row>
    <row r="29268">
      <c r="A29268" s="48" t="s">
        <v>24394</v>
      </c>
      <c r="B29268" s="38">
        <v>12112.0</v>
      </c>
      <c r="C29268" s="38" t="s">
        <v>33679</v>
      </c>
      <c r="D29268" s="38" t="str">
        <f>IFERROR(__xludf.DUMMYFUNCTION("REGEXREPLACE(C29268,""-\d+(.*)|--\d+(.*)"","""")"),"GRAISSAC")</f>
        <v>GRAISSAC</v>
      </c>
      <c r="E29268" s="38" t="s">
        <v>465</v>
      </c>
      <c r="F29268" s="38" t="s">
        <v>94</v>
      </c>
      <c r="G29268" s="49" t="str">
        <f t="shared" si="1"/>
        <v>12420</v>
      </c>
      <c r="H29268" s="49">
        <f t="shared" si="2"/>
        <v>12112</v>
      </c>
    </row>
    <row r="29269">
      <c r="A29269" s="48" t="s">
        <v>7657</v>
      </c>
      <c r="B29269" s="38">
        <v>80427.0</v>
      </c>
      <c r="C29269" s="38" t="s">
        <v>33680</v>
      </c>
      <c r="D29269" s="38" t="str">
        <f>IFERROR(__xludf.DUMMYFUNCTION("REGEXREPLACE(C29269,""-\d+(.*)|--\d+(.*)"","""")"),"HEM-HARDINVAL")</f>
        <v>HEM-HARDINVAL</v>
      </c>
      <c r="E29269" s="38" t="s">
        <v>224</v>
      </c>
      <c r="F29269" s="38" t="s">
        <v>113</v>
      </c>
      <c r="G29269" s="49" t="str">
        <f t="shared" si="1"/>
        <v>80600</v>
      </c>
      <c r="H29269" s="49">
        <f t="shared" si="2"/>
        <v>80427</v>
      </c>
    </row>
    <row r="29270">
      <c r="A29270" s="48" t="s">
        <v>5076</v>
      </c>
      <c r="B29270" s="38">
        <v>14494.0</v>
      </c>
      <c r="C29270" s="38" t="s">
        <v>33681</v>
      </c>
      <c r="D29270" s="38" t="str">
        <f>IFERROR(__xludf.DUMMYFUNCTION("REGEXREPLACE(C29270,""-\d+(.*)|--\d+(.*)"","""")"),"PERIERS-EN-AUGE")</f>
        <v>PERIERS-EN-AUGE</v>
      </c>
      <c r="E29270" s="38" t="s">
        <v>137</v>
      </c>
      <c r="F29270" s="38" t="s">
        <v>138</v>
      </c>
      <c r="G29270" s="49" t="str">
        <f t="shared" si="1"/>
        <v>14160</v>
      </c>
      <c r="H29270" s="49">
        <f t="shared" si="2"/>
        <v>14494</v>
      </c>
    </row>
    <row r="29271">
      <c r="A29271" s="48" t="s">
        <v>2444</v>
      </c>
      <c r="B29271" s="38">
        <v>68318.0</v>
      </c>
      <c r="C29271" s="38" t="s">
        <v>33682</v>
      </c>
      <c r="D29271" s="38" t="str">
        <f>IFERROR(__xludf.DUMMYFUNCTION("REGEXREPLACE(C29271,""-\d+(.*)|--\d+(.*)"","""")"),"SOULTZMATT")</f>
        <v>SOULTZMATT</v>
      </c>
      <c r="E29271" s="38" t="s">
        <v>150</v>
      </c>
      <c r="F29271" s="38" t="s">
        <v>151</v>
      </c>
      <c r="G29271" s="49" t="str">
        <f t="shared" si="1"/>
        <v>68570</v>
      </c>
      <c r="H29271" s="49">
        <f t="shared" si="2"/>
        <v>68318</v>
      </c>
    </row>
    <row r="29272">
      <c r="A29272" s="48" t="s">
        <v>7360</v>
      </c>
      <c r="B29272" s="38">
        <v>86286.0</v>
      </c>
      <c r="C29272" s="38" t="s">
        <v>33683</v>
      </c>
      <c r="D29272" s="38" t="str">
        <f>IFERROR(__xludf.DUMMYFUNCTION("REGEXREPLACE(C29272,""-\d+(.*)|--\d+(.*)"","""")"),"VERRUE")</f>
        <v>VERRUE</v>
      </c>
      <c r="E29272" s="38" t="s">
        <v>529</v>
      </c>
      <c r="F29272" s="38" t="s">
        <v>338</v>
      </c>
      <c r="G29272" s="49" t="str">
        <f t="shared" si="1"/>
        <v>86420</v>
      </c>
      <c r="H29272" s="49">
        <f t="shared" si="2"/>
        <v>86286</v>
      </c>
    </row>
    <row r="29273">
      <c r="A29273" s="48" t="s">
        <v>33684</v>
      </c>
      <c r="B29273" s="38">
        <v>92064.0</v>
      </c>
      <c r="C29273" s="38" t="s">
        <v>33685</v>
      </c>
      <c r="D29273" s="38" t="str">
        <f>IFERROR(__xludf.DUMMYFUNCTION("REGEXREPLACE(C29273,""-\d+(.*)|--\d+(.*)"","""")"),"SAINT-CLOUD")</f>
        <v>SAINT-CLOUD</v>
      </c>
      <c r="E29273" s="38" t="s">
        <v>838</v>
      </c>
      <c r="F29273" s="38" t="s">
        <v>245</v>
      </c>
      <c r="G29273" s="49" t="str">
        <f t="shared" si="1"/>
        <v>92210</v>
      </c>
      <c r="H29273" s="49">
        <f t="shared" si="2"/>
        <v>92064</v>
      </c>
    </row>
    <row r="29274">
      <c r="A29274" s="48" t="s">
        <v>1695</v>
      </c>
      <c r="B29274" s="38">
        <v>80129.0</v>
      </c>
      <c r="C29274" s="38" t="s">
        <v>33686</v>
      </c>
      <c r="D29274" s="38" t="str">
        <f>IFERROR(__xludf.DUMMYFUNCTION("REGEXREPLACE(C29274,""-\d+(.*)|--\d+(.*)"","""")"),"BOUZINCOURT")</f>
        <v>BOUZINCOURT</v>
      </c>
      <c r="E29274" s="38" t="s">
        <v>224</v>
      </c>
      <c r="F29274" s="38" t="s">
        <v>113</v>
      </c>
      <c r="G29274" s="49" t="str">
        <f t="shared" si="1"/>
        <v>80300</v>
      </c>
      <c r="H29274" s="49">
        <f t="shared" si="2"/>
        <v>80129</v>
      </c>
    </row>
    <row r="29275">
      <c r="A29275" s="48" t="s">
        <v>6515</v>
      </c>
      <c r="B29275" s="38">
        <v>62124.0</v>
      </c>
      <c r="C29275" s="38" t="s">
        <v>33687</v>
      </c>
      <c r="D29275" s="38" t="str">
        <f>IFERROR(__xludf.DUMMYFUNCTION("REGEXREPLACE(C29275,""-\d+(.*)|--\d+(.*)"","""")"),"BEUTIN")</f>
        <v>BEUTIN</v>
      </c>
      <c r="E29275" s="38" t="s">
        <v>109</v>
      </c>
      <c r="F29275" s="38" t="s">
        <v>86</v>
      </c>
      <c r="G29275" s="49" t="str">
        <f t="shared" si="1"/>
        <v>62170</v>
      </c>
      <c r="H29275" s="49">
        <f t="shared" si="2"/>
        <v>62124</v>
      </c>
    </row>
    <row r="29276">
      <c r="A29276" s="48" t="s">
        <v>6016</v>
      </c>
      <c r="B29276" s="38">
        <v>57341.0</v>
      </c>
      <c r="C29276" s="38" t="s">
        <v>33688</v>
      </c>
      <c r="D29276" s="38" t="str">
        <f>IFERROR(__xludf.DUMMYFUNCTION("REGEXREPLACE(C29276,""-\d+(.*)|--\d+(.*)"","""")"),"HUNTING")</f>
        <v>HUNTING</v>
      </c>
      <c r="E29276" s="38" t="s">
        <v>303</v>
      </c>
      <c r="F29276" s="38" t="s">
        <v>195</v>
      </c>
      <c r="G29276" s="49" t="str">
        <f t="shared" si="1"/>
        <v>57480</v>
      </c>
      <c r="H29276" s="49">
        <f t="shared" si="2"/>
        <v>57341</v>
      </c>
    </row>
    <row r="29277">
      <c r="A29277" s="48" t="s">
        <v>667</v>
      </c>
      <c r="B29277" s="38">
        <v>64492.0</v>
      </c>
      <c r="C29277" s="38" t="s">
        <v>4389</v>
      </c>
      <c r="D29277" s="38" t="str">
        <f>IFERROR(__xludf.DUMMYFUNCTION("REGEXREPLACE(C29277,""-\d+(.*)|--\d+(.*)"","""")"),"SAINT-MICHEL")</f>
        <v>SAINT-MICHEL</v>
      </c>
      <c r="E29277" s="38" t="s">
        <v>268</v>
      </c>
      <c r="F29277" s="38" t="s">
        <v>252</v>
      </c>
      <c r="G29277" s="49" t="str">
        <f t="shared" si="1"/>
        <v>64220</v>
      </c>
      <c r="H29277" s="49">
        <f t="shared" si="2"/>
        <v>64492</v>
      </c>
    </row>
    <row r="29278">
      <c r="A29278" s="48" t="s">
        <v>972</v>
      </c>
      <c r="B29278" s="38">
        <v>37174.0</v>
      </c>
      <c r="C29278" s="38" t="s">
        <v>33689</v>
      </c>
      <c r="D29278" s="38" t="str">
        <f>IFERROR(__xludf.DUMMYFUNCTION("REGEXREPLACE(C29278,""-\d+(.*)|--\d+(.*)"","""")"),"NOUATRE")</f>
        <v>NOUATRE</v>
      </c>
      <c r="E29278" s="38" t="s">
        <v>205</v>
      </c>
      <c r="F29278" s="38" t="s">
        <v>123</v>
      </c>
      <c r="G29278" s="49" t="str">
        <f t="shared" si="1"/>
        <v>37800</v>
      </c>
      <c r="H29278" s="49">
        <f t="shared" si="2"/>
        <v>37174</v>
      </c>
    </row>
    <row r="29279">
      <c r="A29279" s="48" t="s">
        <v>16765</v>
      </c>
      <c r="B29279" s="38">
        <v>76315.0</v>
      </c>
      <c r="C29279" s="38" t="s">
        <v>33690</v>
      </c>
      <c r="D29279" s="38" t="str">
        <f>IFERROR(__xludf.DUMMYFUNCTION("REGEXREPLACE(C29279,""-\d+(.*)|--\d+(.*)"","""")"),"GRAINVILLE-LA-TEINTURIERE")</f>
        <v>GRAINVILLE-LA-TEINTURIERE</v>
      </c>
      <c r="E29279" s="38" t="s">
        <v>133</v>
      </c>
      <c r="F29279" s="38" t="s">
        <v>134</v>
      </c>
      <c r="G29279" s="49" t="str">
        <f t="shared" si="1"/>
        <v>76450</v>
      </c>
      <c r="H29279" s="49">
        <f t="shared" si="2"/>
        <v>76315</v>
      </c>
    </row>
    <row r="29280">
      <c r="A29280" s="48" t="s">
        <v>9264</v>
      </c>
      <c r="B29280" s="38">
        <v>32100.0</v>
      </c>
      <c r="C29280" s="38" t="s">
        <v>33691</v>
      </c>
      <c r="D29280" s="38" t="str">
        <f>IFERROR(__xludf.DUMMYFUNCTION("REGEXREPLACE(C29280,""-\d+(.*)|--\d+(.*)"","""")"),"CAZENEUVE")</f>
        <v>CAZENEUVE</v>
      </c>
      <c r="E29280" s="38" t="s">
        <v>440</v>
      </c>
      <c r="F29280" s="38" t="s">
        <v>94</v>
      </c>
      <c r="G29280" s="49" t="str">
        <f t="shared" si="1"/>
        <v>32800</v>
      </c>
      <c r="H29280" s="49">
        <f t="shared" si="2"/>
        <v>32100</v>
      </c>
    </row>
    <row r="29281">
      <c r="A29281" s="48" t="s">
        <v>6628</v>
      </c>
      <c r="B29281" s="38">
        <v>1244.0</v>
      </c>
      <c r="C29281" s="38" t="s">
        <v>33692</v>
      </c>
      <c r="D29281" s="38" t="str">
        <f>IFERROR(__xludf.DUMMYFUNCTION("REGEXREPLACE(C29281,""-\d+(.*)|--\d+(.*)"","""")"),"MEXIMIEUX")</f>
        <v>MEXIMIEUX</v>
      </c>
      <c r="E29281" s="38" t="s">
        <v>255</v>
      </c>
      <c r="F29281" s="38" t="s">
        <v>102</v>
      </c>
      <c r="G29281" s="49" t="str">
        <f t="shared" si="1"/>
        <v>01800</v>
      </c>
      <c r="H29281" s="49" t="str">
        <f t="shared" si="2"/>
        <v>01244</v>
      </c>
    </row>
    <row r="29282">
      <c r="A29282" s="48" t="s">
        <v>17049</v>
      </c>
      <c r="B29282" s="38">
        <v>60680.0</v>
      </c>
      <c r="C29282" s="38" t="s">
        <v>33693</v>
      </c>
      <c r="D29282" s="38" t="str">
        <f>IFERROR(__xludf.DUMMYFUNCTION("REGEXREPLACE(C29282,""-\d+(.*)|--\d+(.*)"","""")"),"VILLENEUVE-SUR-VERBERIE")</f>
        <v>VILLENEUVE-SUR-VERBERIE</v>
      </c>
      <c r="E29282" s="38" t="s">
        <v>112</v>
      </c>
      <c r="F29282" s="38" t="s">
        <v>113</v>
      </c>
      <c r="G29282" s="49" t="str">
        <f t="shared" si="1"/>
        <v>60410</v>
      </c>
      <c r="H29282" s="49">
        <f t="shared" si="2"/>
        <v>60680</v>
      </c>
    </row>
    <row r="29283">
      <c r="A29283" s="48" t="s">
        <v>21810</v>
      </c>
      <c r="B29283" s="38">
        <v>89249.0</v>
      </c>
      <c r="C29283" s="38" t="s">
        <v>21483</v>
      </c>
      <c r="D29283" s="38" t="str">
        <f>IFERROR(__xludf.DUMMYFUNCTION("REGEXREPLACE(C29283,""-\d+(.*)|--\d+(.*)"","""")"),"MERCY")</f>
        <v>MERCY</v>
      </c>
      <c r="E29283" s="38" t="s">
        <v>275</v>
      </c>
      <c r="F29283" s="38" t="s">
        <v>106</v>
      </c>
      <c r="G29283" s="49" t="str">
        <f t="shared" si="1"/>
        <v>89210</v>
      </c>
      <c r="H29283" s="49">
        <f t="shared" si="2"/>
        <v>89249</v>
      </c>
    </row>
    <row r="29284">
      <c r="A29284" s="48" t="s">
        <v>5358</v>
      </c>
      <c r="B29284" s="38">
        <v>23220.0</v>
      </c>
      <c r="C29284" s="38" t="s">
        <v>33694</v>
      </c>
      <c r="D29284" s="38" t="str">
        <f>IFERROR(__xludf.DUMMYFUNCTION("REGEXREPLACE(C29284,""-\d+(.*)|--\d+(.*)"","""")"),"SAINT-MEDARD-LA-ROCHETTE")</f>
        <v>SAINT-MEDARD-LA-ROCHETTE</v>
      </c>
      <c r="E29284" s="38" t="s">
        <v>97</v>
      </c>
      <c r="F29284" s="38" t="s">
        <v>98</v>
      </c>
      <c r="G29284" s="49" t="str">
        <f t="shared" si="1"/>
        <v>23200</v>
      </c>
      <c r="H29284" s="49">
        <f t="shared" si="2"/>
        <v>23220</v>
      </c>
    </row>
    <row r="29285">
      <c r="A29285" s="48" t="s">
        <v>26715</v>
      </c>
      <c r="B29285" s="38">
        <v>10248.0</v>
      </c>
      <c r="C29285" s="38" t="s">
        <v>33695</v>
      </c>
      <c r="D29285" s="38" t="str">
        <f>IFERROR(__xludf.DUMMYFUNCTION("REGEXREPLACE(C29285,""-\d+(.*)|--\d+(.*)"","""")"),"MONTGUEUX")</f>
        <v>MONTGUEUX</v>
      </c>
      <c r="E29285" s="38" t="s">
        <v>147</v>
      </c>
      <c r="F29285" s="38" t="s">
        <v>130</v>
      </c>
      <c r="G29285" s="49" t="str">
        <f t="shared" si="1"/>
        <v>10300</v>
      </c>
      <c r="H29285" s="49">
        <f t="shared" si="2"/>
        <v>10248</v>
      </c>
    </row>
    <row r="29286">
      <c r="A29286" s="48" t="s">
        <v>6519</v>
      </c>
      <c r="B29286" s="38">
        <v>81206.0</v>
      </c>
      <c r="C29286" s="38" t="s">
        <v>33696</v>
      </c>
      <c r="D29286" s="38" t="str">
        <f>IFERROR(__xludf.DUMMYFUNCTION("REGEXREPLACE(C29286,""-\d+(.*)|--\d+(.*)"","""")"),"PENNE")</f>
        <v>PENNE</v>
      </c>
      <c r="E29286" s="38" t="s">
        <v>231</v>
      </c>
      <c r="F29286" s="38" t="s">
        <v>94</v>
      </c>
      <c r="G29286" s="49" t="str">
        <f t="shared" si="1"/>
        <v>81140</v>
      </c>
      <c r="H29286" s="49">
        <f t="shared" si="2"/>
        <v>81206</v>
      </c>
    </row>
    <row r="29287">
      <c r="A29287" s="48" t="s">
        <v>7082</v>
      </c>
      <c r="B29287" s="38">
        <v>79108.0</v>
      </c>
      <c r="C29287" s="38" t="s">
        <v>26661</v>
      </c>
      <c r="D29287" s="38" t="str">
        <f>IFERROR(__xludf.DUMMYFUNCTION("REGEXREPLACE(C29287,""-\d+(.*)|--\d+(.*)"","""")"),"DOUX")</f>
        <v>DOUX</v>
      </c>
      <c r="E29287" s="38" t="s">
        <v>337</v>
      </c>
      <c r="F29287" s="38" t="s">
        <v>338</v>
      </c>
      <c r="G29287" s="49" t="str">
        <f t="shared" si="1"/>
        <v>79390</v>
      </c>
      <c r="H29287" s="49">
        <f t="shared" si="2"/>
        <v>79108</v>
      </c>
    </row>
    <row r="29288">
      <c r="A29288" s="48" t="s">
        <v>7923</v>
      </c>
      <c r="B29288" s="38">
        <v>32264.0</v>
      </c>
      <c r="C29288" s="38" t="s">
        <v>33697</v>
      </c>
      <c r="D29288" s="38" t="str">
        <f>IFERROR(__xludf.DUMMYFUNCTION("REGEXREPLACE(C29288,""-\d+(.*)|--\d+(.*)"","""")"),"MONCLAR")</f>
        <v>MONCLAR</v>
      </c>
      <c r="E29288" s="38" t="s">
        <v>440</v>
      </c>
      <c r="F29288" s="38" t="s">
        <v>94</v>
      </c>
      <c r="G29288" s="49" t="str">
        <f t="shared" si="1"/>
        <v>32150</v>
      </c>
      <c r="H29288" s="49">
        <f t="shared" si="2"/>
        <v>32264</v>
      </c>
    </row>
    <row r="29289">
      <c r="A29289" s="48" t="s">
        <v>15462</v>
      </c>
      <c r="B29289" s="38">
        <v>89384.0</v>
      </c>
      <c r="C29289" s="38" t="s">
        <v>33698</v>
      </c>
      <c r="D29289" s="38" t="str">
        <f>IFERROR(__xludf.DUMMYFUNCTION("REGEXREPLACE(C29289,""-\d+(.*)|--\d+(.*)"","""")"),"SENAN")</f>
        <v>SENAN</v>
      </c>
      <c r="E29289" s="38" t="s">
        <v>275</v>
      </c>
      <c r="F29289" s="38" t="s">
        <v>106</v>
      </c>
      <c r="G29289" s="49" t="str">
        <f t="shared" si="1"/>
        <v>89710</v>
      </c>
      <c r="H29289" s="49">
        <f t="shared" si="2"/>
        <v>89384</v>
      </c>
    </row>
    <row r="29290">
      <c r="A29290" s="48" t="s">
        <v>307</v>
      </c>
      <c r="B29290" s="38">
        <v>88393.0</v>
      </c>
      <c r="C29290" s="38" t="s">
        <v>33699</v>
      </c>
      <c r="D29290" s="38" t="str">
        <f>IFERROR(__xludf.DUMMYFUNCTION("REGEXREPLACE(C29290,""-\d+(.*)|--\d+(.*)"","""")"),"ROLLAINVILLE")</f>
        <v>ROLLAINVILLE</v>
      </c>
      <c r="E29290" s="38" t="s">
        <v>194</v>
      </c>
      <c r="F29290" s="38" t="s">
        <v>195</v>
      </c>
      <c r="G29290" s="49" t="str">
        <f t="shared" si="1"/>
        <v>88300</v>
      </c>
      <c r="H29290" s="49">
        <f t="shared" si="2"/>
        <v>88393</v>
      </c>
    </row>
    <row r="29291">
      <c r="A29291" s="48" t="s">
        <v>2438</v>
      </c>
      <c r="B29291" s="38">
        <v>64015.0</v>
      </c>
      <c r="C29291" s="38" t="s">
        <v>33700</v>
      </c>
      <c r="D29291" s="38" t="str">
        <f>IFERROR(__xludf.DUMMYFUNCTION("REGEXREPLACE(C29291,""-\d+(.*)|--\d+(.*)"","""")"),"ALCAY-ALCABEHETY-SUNHARETTE")</f>
        <v>ALCAY-ALCABEHETY-SUNHARETTE</v>
      </c>
      <c r="E29291" s="38" t="s">
        <v>268</v>
      </c>
      <c r="F29291" s="38" t="s">
        <v>252</v>
      </c>
      <c r="G29291" s="49" t="str">
        <f t="shared" si="1"/>
        <v>64470</v>
      </c>
      <c r="H29291" s="49">
        <f t="shared" si="2"/>
        <v>64015</v>
      </c>
    </row>
    <row r="29292">
      <c r="A29292" s="48" t="s">
        <v>177</v>
      </c>
      <c r="B29292" s="38">
        <v>85264.0</v>
      </c>
      <c r="C29292" s="38" t="s">
        <v>33701</v>
      </c>
      <c r="D29292" s="38" t="str">
        <f>IFERROR(__xludf.DUMMYFUNCTION("REGEXREPLACE(C29292,""-\d+(.*)|--\d+(.*)"","""")"),"SAINT-PIERRE-DU-CHEMIN")</f>
        <v>SAINT-PIERRE-DU-CHEMIN</v>
      </c>
      <c r="E29292" s="38" t="s">
        <v>179</v>
      </c>
      <c r="F29292" s="38" t="s">
        <v>180</v>
      </c>
      <c r="G29292" s="49" t="str">
        <f t="shared" si="1"/>
        <v>85120</v>
      </c>
      <c r="H29292" s="49">
        <f t="shared" si="2"/>
        <v>85264</v>
      </c>
    </row>
    <row r="29293">
      <c r="A29293" s="48" t="s">
        <v>5212</v>
      </c>
      <c r="B29293" s="38">
        <v>41079.0</v>
      </c>
      <c r="C29293" s="38" t="s">
        <v>1075</v>
      </c>
      <c r="D29293" s="38" t="str">
        <f>IFERROR(__xludf.DUMMYFUNCTION("REGEXREPLACE(C29293,""-\d+(.*)|--\d+(.*)"","""")"),"LES ESSARTS")</f>
        <v>LES ESSARTS</v>
      </c>
      <c r="E29293" s="38" t="s">
        <v>188</v>
      </c>
      <c r="F29293" s="38" t="s">
        <v>123</v>
      </c>
      <c r="G29293" s="49" t="str">
        <f t="shared" si="1"/>
        <v>41800</v>
      </c>
      <c r="H29293" s="49">
        <f t="shared" si="2"/>
        <v>41079</v>
      </c>
    </row>
    <row r="29294">
      <c r="A29294" s="48" t="s">
        <v>3906</v>
      </c>
      <c r="B29294" s="38">
        <v>24251.0</v>
      </c>
      <c r="C29294" s="38" t="s">
        <v>33702</v>
      </c>
      <c r="D29294" s="38" t="str">
        <f>IFERROR(__xludf.DUMMYFUNCTION("REGEXREPLACE(C29294,""-\d+(.*)|--\d+(.*)"","""")"),"MANZAC-SUR-VERN")</f>
        <v>MANZAC-SUR-VERN</v>
      </c>
      <c r="E29294" s="38" t="s">
        <v>261</v>
      </c>
      <c r="F29294" s="38" t="s">
        <v>252</v>
      </c>
      <c r="G29294" s="49" t="str">
        <f t="shared" si="1"/>
        <v>24110</v>
      </c>
      <c r="H29294" s="49">
        <f t="shared" si="2"/>
        <v>24251</v>
      </c>
    </row>
    <row r="29295">
      <c r="A29295" s="48" t="s">
        <v>3224</v>
      </c>
      <c r="B29295" s="38">
        <v>54221.0</v>
      </c>
      <c r="C29295" s="38" t="s">
        <v>33703</v>
      </c>
      <c r="D29295" s="38" t="str">
        <f>IFERROR(__xludf.DUMMYFUNCTION("REGEXREPLACE(C29295,""-\d+(.*)|--\d+(.*)"","""")"),"GERBECOURT-ET-HAPLEMONT")</f>
        <v>GERBECOURT-ET-HAPLEMONT</v>
      </c>
      <c r="E29295" s="38" t="s">
        <v>548</v>
      </c>
      <c r="F29295" s="38" t="s">
        <v>195</v>
      </c>
      <c r="G29295" s="49" t="str">
        <f t="shared" si="1"/>
        <v>54740</v>
      </c>
      <c r="H29295" s="49">
        <f t="shared" si="2"/>
        <v>54221</v>
      </c>
    </row>
    <row r="29296">
      <c r="A29296" s="48" t="s">
        <v>922</v>
      </c>
      <c r="B29296" s="38">
        <v>76276.0</v>
      </c>
      <c r="C29296" s="38" t="s">
        <v>33704</v>
      </c>
      <c r="D29296" s="38" t="str">
        <f>IFERROR(__xludf.DUMMYFUNCTION("REGEXREPLACE(C29296,""-\d+(.*)|--\d+(.*)"","""")"),"FORGES-LES-EAUX")</f>
        <v>FORGES-LES-EAUX</v>
      </c>
      <c r="E29296" s="38" t="s">
        <v>133</v>
      </c>
      <c r="F29296" s="38" t="s">
        <v>134</v>
      </c>
      <c r="G29296" s="49" t="str">
        <f t="shared" si="1"/>
        <v>76440</v>
      </c>
      <c r="H29296" s="49">
        <f t="shared" si="2"/>
        <v>76276</v>
      </c>
    </row>
    <row r="29297">
      <c r="A29297" s="48" t="s">
        <v>1310</v>
      </c>
      <c r="B29297" s="38">
        <v>25480.0</v>
      </c>
      <c r="C29297" s="38" t="s">
        <v>33705</v>
      </c>
      <c r="D29297" s="38" t="str">
        <f>IFERROR(__xludf.DUMMYFUNCTION("REGEXREPLACE(C29297,""-\d+(.*)|--\d+(.*)"","""")"),"RANTECHAUX")</f>
        <v>RANTECHAUX</v>
      </c>
      <c r="E29297" s="38" t="s">
        <v>213</v>
      </c>
      <c r="F29297" s="38" t="s">
        <v>214</v>
      </c>
      <c r="G29297" s="49" t="str">
        <f t="shared" si="1"/>
        <v>25580</v>
      </c>
      <c r="H29297" s="49">
        <f t="shared" si="2"/>
        <v>25480</v>
      </c>
    </row>
    <row r="29298">
      <c r="A29298" s="48" t="s">
        <v>2563</v>
      </c>
      <c r="B29298" s="38">
        <v>76738.0</v>
      </c>
      <c r="C29298" s="38" t="s">
        <v>33706</v>
      </c>
      <c r="D29298" s="38" t="str">
        <f>IFERROR(__xludf.DUMMYFUNCTION("REGEXREPLACE(C29298,""-\d+(.*)|--\d+(.*)"","""")"),"VIEUX-MANOIR")</f>
        <v>VIEUX-MANOIR</v>
      </c>
      <c r="E29298" s="38" t="s">
        <v>133</v>
      </c>
      <c r="F29298" s="38" t="s">
        <v>134</v>
      </c>
      <c r="G29298" s="49" t="str">
        <f t="shared" si="1"/>
        <v>76750</v>
      </c>
      <c r="H29298" s="49">
        <f t="shared" si="2"/>
        <v>76738</v>
      </c>
    </row>
    <row r="29299">
      <c r="A29299" s="48" t="s">
        <v>7247</v>
      </c>
      <c r="B29299" s="38">
        <v>24254.0</v>
      </c>
      <c r="C29299" s="38" t="s">
        <v>33707</v>
      </c>
      <c r="D29299" s="38" t="str">
        <f>IFERROR(__xludf.DUMMYFUNCTION("REGEXREPLACE(C29299,""-\d+(.*)|--\d+(.*)"","""")"),"MARNAC")</f>
        <v>MARNAC</v>
      </c>
      <c r="E29299" s="38" t="s">
        <v>261</v>
      </c>
      <c r="F29299" s="38" t="s">
        <v>252</v>
      </c>
      <c r="G29299" s="49" t="str">
        <f t="shared" si="1"/>
        <v>24220</v>
      </c>
      <c r="H29299" s="49">
        <f t="shared" si="2"/>
        <v>24254</v>
      </c>
    </row>
    <row r="29300">
      <c r="A29300" s="48" t="s">
        <v>2853</v>
      </c>
      <c r="B29300" s="38">
        <v>36031.0</v>
      </c>
      <c r="C29300" s="38" t="s">
        <v>33708</v>
      </c>
      <c r="D29300" s="38" t="str">
        <f>IFERROR(__xludf.DUMMYFUNCTION("REGEXREPLACE(C29300,""-\d+(.*)|--\d+(.*)"","""")"),"BUZANCAIS")</f>
        <v>BUZANCAIS</v>
      </c>
      <c r="E29300" s="38" t="s">
        <v>258</v>
      </c>
      <c r="F29300" s="38" t="s">
        <v>123</v>
      </c>
      <c r="G29300" s="49" t="str">
        <f t="shared" si="1"/>
        <v>36500</v>
      </c>
      <c r="H29300" s="49">
        <f t="shared" si="2"/>
        <v>36031</v>
      </c>
    </row>
    <row r="29301">
      <c r="A29301" s="48" t="s">
        <v>1601</v>
      </c>
      <c r="B29301" s="38">
        <v>72152.0</v>
      </c>
      <c r="C29301" s="38" t="s">
        <v>33709</v>
      </c>
      <c r="D29301" s="38" t="str">
        <f>IFERROR(__xludf.DUMMYFUNCTION("REGEXREPLACE(C29301,""-\d+(.*)|--\d+(.*)"","""")"),"JUILLE")</f>
        <v>JUILLE</v>
      </c>
      <c r="E29301" s="38" t="s">
        <v>521</v>
      </c>
      <c r="F29301" s="38" t="s">
        <v>180</v>
      </c>
      <c r="G29301" s="49" t="str">
        <f t="shared" si="1"/>
        <v>72170</v>
      </c>
      <c r="H29301" s="49">
        <f t="shared" si="2"/>
        <v>72152</v>
      </c>
    </row>
    <row r="29302">
      <c r="A29302" s="48" t="s">
        <v>12083</v>
      </c>
      <c r="B29302" s="38">
        <v>26081.0</v>
      </c>
      <c r="C29302" s="38" t="s">
        <v>32250</v>
      </c>
      <c r="D29302" s="38" t="str">
        <f>IFERROR(__xludf.DUMMYFUNCTION("REGEXREPLACE(C29302,""-\d+(.*)|--\d+(.*)"","""")"),"CHATEAUDOUBLE")</f>
        <v>CHATEAUDOUBLE</v>
      </c>
      <c r="E29302" s="38" t="s">
        <v>126</v>
      </c>
      <c r="F29302" s="38" t="s">
        <v>102</v>
      </c>
      <c r="G29302" s="49" t="str">
        <f t="shared" si="1"/>
        <v>26120</v>
      </c>
      <c r="H29302" s="49">
        <f t="shared" si="2"/>
        <v>26081</v>
      </c>
    </row>
    <row r="29303">
      <c r="A29303" s="48" t="s">
        <v>323</v>
      </c>
      <c r="B29303" s="38">
        <v>52475.0</v>
      </c>
      <c r="C29303" s="38" t="s">
        <v>33710</v>
      </c>
      <c r="D29303" s="38" t="str">
        <f>IFERROR(__xludf.DUMMYFUNCTION("REGEXREPLACE(C29303,""-\d+(.*)|--\d+(.*)"","""")"),"SOMMANCOURT")</f>
        <v>SOMMANCOURT</v>
      </c>
      <c r="E29303" s="38" t="s">
        <v>234</v>
      </c>
      <c r="F29303" s="38" t="s">
        <v>130</v>
      </c>
      <c r="G29303" s="49" t="str">
        <f t="shared" si="1"/>
        <v>52130</v>
      </c>
      <c r="H29303" s="49">
        <f t="shared" si="2"/>
        <v>52475</v>
      </c>
    </row>
    <row r="29304">
      <c r="A29304" s="48" t="s">
        <v>1690</v>
      </c>
      <c r="B29304" s="38">
        <v>53127.0</v>
      </c>
      <c r="C29304" s="38" t="s">
        <v>33711</v>
      </c>
      <c r="D29304" s="38" t="str">
        <f>IFERROR(__xludf.DUMMYFUNCTION("REGEXREPLACE(C29304,""-\d+(.*)|--\d+(.*)"","""")"),"LASSAY-LES-CHATEAUX")</f>
        <v>LASSAY-LES-CHATEAUX</v>
      </c>
      <c r="E29304" s="38" t="s">
        <v>518</v>
      </c>
      <c r="F29304" s="38" t="s">
        <v>180</v>
      </c>
      <c r="G29304" s="49" t="str">
        <f t="shared" si="1"/>
        <v>53110</v>
      </c>
      <c r="H29304" s="49">
        <f t="shared" si="2"/>
        <v>53127</v>
      </c>
    </row>
    <row r="29305">
      <c r="A29305" s="48" t="s">
        <v>3154</v>
      </c>
      <c r="B29305" s="38">
        <v>15088.0</v>
      </c>
      <c r="C29305" s="38" t="s">
        <v>33712</v>
      </c>
      <c r="D29305" s="38" t="str">
        <f>IFERROR(__xludf.DUMMYFUNCTION("REGEXREPLACE(C29305,""-\d+(.*)|--\d+(.*)"","""")"),"LACAPELLE-VIESCAMP")</f>
        <v>LACAPELLE-VIESCAMP</v>
      </c>
      <c r="E29305" s="38" t="s">
        <v>632</v>
      </c>
      <c r="F29305" s="38" t="s">
        <v>161</v>
      </c>
      <c r="G29305" s="49" t="str">
        <f t="shared" si="1"/>
        <v>15150</v>
      </c>
      <c r="H29305" s="49">
        <f t="shared" si="2"/>
        <v>15088</v>
      </c>
    </row>
    <row r="29306">
      <c r="A29306" s="48" t="s">
        <v>15700</v>
      </c>
      <c r="B29306" s="38">
        <v>53177.0</v>
      </c>
      <c r="C29306" s="38" t="s">
        <v>32379</v>
      </c>
      <c r="D29306" s="38" t="str">
        <f>IFERROR(__xludf.DUMMYFUNCTION("REGEXREPLACE(C29306,""-\d+(.*)|--\d+(.*)"","""")"),"LA PELLERINE")</f>
        <v>LA PELLERINE</v>
      </c>
      <c r="E29306" s="38" t="s">
        <v>518</v>
      </c>
      <c r="F29306" s="38" t="s">
        <v>180</v>
      </c>
      <c r="G29306" s="49" t="str">
        <f t="shared" si="1"/>
        <v>53220</v>
      </c>
      <c r="H29306" s="49">
        <f t="shared" si="2"/>
        <v>53177</v>
      </c>
    </row>
    <row r="29307">
      <c r="A29307" s="48" t="s">
        <v>8589</v>
      </c>
      <c r="B29307" s="38">
        <v>27260.0</v>
      </c>
      <c r="C29307" s="38" t="s">
        <v>33713</v>
      </c>
      <c r="D29307" s="38" t="str">
        <f>IFERROR(__xludf.DUMMYFUNCTION("REGEXREPLACE(C29307,""-\d+(.*)|--\d+(.*)"","""")"),"FOULBEC")</f>
        <v>FOULBEC</v>
      </c>
      <c r="E29307" s="38" t="s">
        <v>241</v>
      </c>
      <c r="F29307" s="38" t="s">
        <v>134</v>
      </c>
      <c r="G29307" s="49" t="str">
        <f t="shared" si="1"/>
        <v>27210</v>
      </c>
      <c r="H29307" s="49">
        <f t="shared" si="2"/>
        <v>27260</v>
      </c>
    </row>
    <row r="29308">
      <c r="A29308" s="48" t="s">
        <v>9311</v>
      </c>
      <c r="B29308" s="38">
        <v>24391.0</v>
      </c>
      <c r="C29308" s="38" t="s">
        <v>33714</v>
      </c>
      <c r="D29308" s="38" t="str">
        <f>IFERROR(__xludf.DUMMYFUNCTION("REGEXREPLACE(C29308,""-\d+(.*)|--\d+(.*)"","""")"),"SAINT-CREPIN-DE-RICHEMONT")</f>
        <v>SAINT-CREPIN-DE-RICHEMONT</v>
      </c>
      <c r="E29308" s="38" t="s">
        <v>261</v>
      </c>
      <c r="F29308" s="38" t="s">
        <v>252</v>
      </c>
      <c r="G29308" s="49" t="str">
        <f t="shared" si="1"/>
        <v>24310</v>
      </c>
      <c r="H29308" s="49">
        <f t="shared" si="2"/>
        <v>24391</v>
      </c>
    </row>
    <row r="29309">
      <c r="A29309" s="48" t="s">
        <v>1381</v>
      </c>
      <c r="B29309" s="38">
        <v>62092.0</v>
      </c>
      <c r="C29309" s="38" t="s">
        <v>33715</v>
      </c>
      <c r="D29309" s="38" t="str">
        <f>IFERROR(__xludf.DUMMYFUNCTION("REGEXREPLACE(C29309,""-\d+(.*)|--\d+(.*)"","""")"),"BEAUFORT-BLAVINCOURT")</f>
        <v>BEAUFORT-BLAVINCOURT</v>
      </c>
      <c r="E29309" s="38" t="s">
        <v>109</v>
      </c>
      <c r="F29309" s="38" t="s">
        <v>86</v>
      </c>
      <c r="G29309" s="49" t="str">
        <f t="shared" si="1"/>
        <v>62810</v>
      </c>
      <c r="H29309" s="49">
        <f t="shared" si="2"/>
        <v>62092</v>
      </c>
    </row>
    <row r="29310">
      <c r="A29310" s="48" t="s">
        <v>9881</v>
      </c>
      <c r="B29310" s="38">
        <v>73106.0</v>
      </c>
      <c r="C29310" s="38" t="s">
        <v>33716</v>
      </c>
      <c r="D29310" s="38" t="str">
        <f>IFERROR(__xludf.DUMMYFUNCTION("REGEXREPLACE(C29310,""-\d+(.*)|--\d+(.*)"","""")"),"ECOLE")</f>
        <v>ECOLE</v>
      </c>
      <c r="E29310" s="38" t="s">
        <v>306</v>
      </c>
      <c r="F29310" s="38" t="s">
        <v>102</v>
      </c>
      <c r="G29310" s="49" t="str">
        <f t="shared" si="1"/>
        <v>73630</v>
      </c>
      <c r="H29310" s="49">
        <f t="shared" si="2"/>
        <v>73106</v>
      </c>
    </row>
    <row r="29311">
      <c r="A29311" s="48" t="s">
        <v>2272</v>
      </c>
      <c r="B29311" s="38">
        <v>27699.0</v>
      </c>
      <c r="C29311" s="38" t="s">
        <v>33717</v>
      </c>
      <c r="D29311" s="38" t="str">
        <f>IFERROR(__xludf.DUMMYFUNCTION("REGEXREPLACE(C29311,""-\d+(.*)|--\d+(.*)"","""")"),"VOISCREVILLE")</f>
        <v>VOISCREVILLE</v>
      </c>
      <c r="E29311" s="38" t="s">
        <v>241</v>
      </c>
      <c r="F29311" s="38" t="s">
        <v>134</v>
      </c>
      <c r="G29311" s="49" t="str">
        <f t="shared" si="1"/>
        <v>27520</v>
      </c>
      <c r="H29311" s="49">
        <f t="shared" si="2"/>
        <v>27699</v>
      </c>
    </row>
    <row r="29312">
      <c r="A29312" s="48" t="s">
        <v>13958</v>
      </c>
      <c r="B29312" s="38">
        <v>77163.0</v>
      </c>
      <c r="C29312" s="38" t="s">
        <v>33718</v>
      </c>
      <c r="D29312" s="38" t="str">
        <f>IFERROR(__xludf.DUMMYFUNCTION("REGEXREPLACE(C29312,""-\d+(.*)|--\d+(.*)"","""")"),"DOUY-LA-RAMEE")</f>
        <v>DOUY-LA-RAMEE</v>
      </c>
      <c r="E29312" s="38" t="s">
        <v>244</v>
      </c>
      <c r="F29312" s="38" t="s">
        <v>245</v>
      </c>
      <c r="G29312" s="49" t="str">
        <f t="shared" si="1"/>
        <v>77139</v>
      </c>
      <c r="H29312" s="49">
        <f t="shared" si="2"/>
        <v>77163</v>
      </c>
    </row>
    <row r="29313">
      <c r="A29313" s="48" t="s">
        <v>17602</v>
      </c>
      <c r="B29313" s="38">
        <v>22213.0</v>
      </c>
      <c r="C29313" s="38" t="s">
        <v>33719</v>
      </c>
      <c r="D29313" s="38" t="str">
        <f>IFERROR(__xludf.DUMMYFUNCTION("REGEXREPLACE(C29313,""-\d+(.*)|--\d+(.*)"","""")"),"PLOUER-SUR-RANCE")</f>
        <v>PLOUER-SUR-RANCE</v>
      </c>
      <c r="E29313" s="38" t="s">
        <v>89</v>
      </c>
      <c r="F29313" s="38" t="s">
        <v>90</v>
      </c>
      <c r="G29313" s="49" t="str">
        <f t="shared" si="1"/>
        <v>22490</v>
      </c>
      <c r="H29313" s="49">
        <f t="shared" si="2"/>
        <v>22213</v>
      </c>
    </row>
    <row r="29314">
      <c r="A29314" s="48" t="s">
        <v>11437</v>
      </c>
      <c r="B29314" s="38">
        <v>71111.0</v>
      </c>
      <c r="C29314" s="38" t="s">
        <v>22430</v>
      </c>
      <c r="D29314" s="38" t="str">
        <f>IFERROR(__xludf.DUMMYFUNCTION("REGEXREPLACE(C29314,""-\d+(.*)|--\d+(.*)"","""")"),"CHASSY")</f>
        <v>CHASSY</v>
      </c>
      <c r="E29314" s="38" t="s">
        <v>344</v>
      </c>
      <c r="F29314" s="38" t="s">
        <v>106</v>
      </c>
      <c r="G29314" s="49" t="str">
        <f t="shared" si="1"/>
        <v>71130</v>
      </c>
      <c r="H29314" s="49">
        <f t="shared" si="2"/>
        <v>71111</v>
      </c>
    </row>
    <row r="29315">
      <c r="A29315" s="48" t="s">
        <v>454</v>
      </c>
      <c r="B29315" s="38">
        <v>71578.0</v>
      </c>
      <c r="C29315" s="38" t="s">
        <v>33720</v>
      </c>
      <c r="D29315" s="38" t="str">
        <f>IFERROR(__xludf.DUMMYFUNCTION("REGEXREPLACE(C29315,""-\d+(.*)|--\d+(.*)"","""")"),"LA VILLENEUVE")</f>
        <v>LA VILLENEUVE</v>
      </c>
      <c r="E29315" s="38" t="s">
        <v>344</v>
      </c>
      <c r="F29315" s="38" t="s">
        <v>106</v>
      </c>
      <c r="G29315" s="49" t="str">
        <f t="shared" si="1"/>
        <v>71270</v>
      </c>
      <c r="H29315" s="49">
        <f t="shared" si="2"/>
        <v>71578</v>
      </c>
    </row>
    <row r="29316">
      <c r="A29316" s="48" t="s">
        <v>1358</v>
      </c>
      <c r="B29316" s="38">
        <v>81287.0</v>
      </c>
      <c r="C29316" s="38" t="s">
        <v>33721</v>
      </c>
      <c r="D29316" s="38" t="str">
        <f>IFERROR(__xludf.DUMMYFUNCTION("REGEXREPLACE(C29316,""-\d+(.*)|--\d+(.*)"","""")"),"SIEURAC")</f>
        <v>SIEURAC</v>
      </c>
      <c r="E29316" s="38" t="s">
        <v>231</v>
      </c>
      <c r="F29316" s="38" t="s">
        <v>94</v>
      </c>
      <c r="G29316" s="49" t="str">
        <f t="shared" si="1"/>
        <v>81120</v>
      </c>
      <c r="H29316" s="49">
        <f t="shared" si="2"/>
        <v>81287</v>
      </c>
    </row>
    <row r="29317">
      <c r="A29317" s="48" t="s">
        <v>3934</v>
      </c>
      <c r="B29317" s="38">
        <v>3218.0</v>
      </c>
      <c r="C29317" s="38" t="s">
        <v>33722</v>
      </c>
      <c r="D29317" s="38" t="str">
        <f>IFERROR(__xludf.DUMMYFUNCTION("REGEXREPLACE(C29317,""-\d+(.*)|--\d+(.*)"","""")"),"SAINT-AUBIN-LE-MONIAL")</f>
        <v>SAINT-AUBIN-LE-MONIAL</v>
      </c>
      <c r="E29317" s="38" t="s">
        <v>160</v>
      </c>
      <c r="F29317" s="38" t="s">
        <v>161</v>
      </c>
      <c r="G29317" s="49" t="str">
        <f t="shared" si="1"/>
        <v>03160</v>
      </c>
      <c r="H29317" s="49" t="str">
        <f t="shared" si="2"/>
        <v>03218</v>
      </c>
    </row>
    <row r="29318">
      <c r="A29318" s="48" t="s">
        <v>33723</v>
      </c>
      <c r="B29318" s="38">
        <v>94011.0</v>
      </c>
      <c r="C29318" s="38" t="s">
        <v>33724</v>
      </c>
      <c r="D29318" s="38" t="str">
        <f>IFERROR(__xludf.DUMMYFUNCTION("REGEXREPLACE(C29318,""-\d+(.*)|--\d+(.*)"","""")"),"BONNEUIL-SUR-MARNE")</f>
        <v>BONNEUIL-SUR-MARNE</v>
      </c>
      <c r="E29318" s="38" t="s">
        <v>561</v>
      </c>
      <c r="F29318" s="38" t="s">
        <v>245</v>
      </c>
      <c r="G29318" s="49" t="str">
        <f t="shared" si="1"/>
        <v>94380</v>
      </c>
      <c r="H29318" s="49">
        <f t="shared" si="2"/>
        <v>94011</v>
      </c>
    </row>
    <row r="29319">
      <c r="A29319" s="48" t="s">
        <v>3315</v>
      </c>
      <c r="B29319" s="38">
        <v>12274.0</v>
      </c>
      <c r="C29319" s="38" t="s">
        <v>33725</v>
      </c>
      <c r="D29319" s="38" t="str">
        <f>IFERROR(__xludf.DUMMYFUNCTION("REGEXREPLACE(C29319,""-\d+(.*)|--\d+(.*)"","""")"),"SYLVANES")</f>
        <v>SYLVANES</v>
      </c>
      <c r="E29319" s="38" t="s">
        <v>465</v>
      </c>
      <c r="F29319" s="38" t="s">
        <v>94</v>
      </c>
      <c r="G29319" s="49" t="str">
        <f t="shared" si="1"/>
        <v>12360</v>
      </c>
      <c r="H29319" s="49">
        <f t="shared" si="2"/>
        <v>12274</v>
      </c>
    </row>
    <row r="29320">
      <c r="A29320" s="48" t="s">
        <v>10916</v>
      </c>
      <c r="B29320" s="38">
        <v>40231.0</v>
      </c>
      <c r="C29320" s="38" t="s">
        <v>33726</v>
      </c>
      <c r="D29320" s="38" t="str">
        <f>IFERROR(__xludf.DUMMYFUNCTION("REGEXREPLACE(C29320,""-\d+(.*)|--\d+(.*)"","""")"),"PORT-DE-LANNE")</f>
        <v>PORT-DE-LANNE</v>
      </c>
      <c r="E29320" s="38" t="s">
        <v>281</v>
      </c>
      <c r="F29320" s="38" t="s">
        <v>252</v>
      </c>
      <c r="G29320" s="49" t="str">
        <f t="shared" si="1"/>
        <v>40300</v>
      </c>
      <c r="H29320" s="49">
        <f t="shared" si="2"/>
        <v>40231</v>
      </c>
    </row>
    <row r="29321">
      <c r="A29321" s="48" t="s">
        <v>2057</v>
      </c>
      <c r="B29321" s="38">
        <v>89286.0</v>
      </c>
      <c r="C29321" s="38" t="s">
        <v>33727</v>
      </c>
      <c r="D29321" s="38" t="str">
        <f>IFERROR(__xludf.DUMMYFUNCTION("REGEXREPLACE(C29321,""-\d+(.*)|--\d+(.*)"","""")"),"PARLY")</f>
        <v>PARLY</v>
      </c>
      <c r="E29321" s="38" t="s">
        <v>275</v>
      </c>
      <c r="F29321" s="38" t="s">
        <v>106</v>
      </c>
      <c r="G29321" s="49" t="str">
        <f t="shared" si="1"/>
        <v>89240</v>
      </c>
      <c r="H29321" s="49">
        <f t="shared" si="2"/>
        <v>89286</v>
      </c>
    </row>
    <row r="29322">
      <c r="A29322" s="48" t="s">
        <v>273</v>
      </c>
      <c r="B29322" s="38">
        <v>89281.0</v>
      </c>
      <c r="C29322" s="38" t="s">
        <v>24798</v>
      </c>
      <c r="D29322" s="38" t="str">
        <f>IFERROR(__xludf.DUMMYFUNCTION("REGEXREPLACE(C29322,""-\d+(.*)|--\d+(.*)"","""")"),"LES ORMES")</f>
        <v>LES ORMES</v>
      </c>
      <c r="E29322" s="38" t="s">
        <v>275</v>
      </c>
      <c r="F29322" s="38" t="s">
        <v>106</v>
      </c>
      <c r="G29322" s="49" t="str">
        <f t="shared" si="1"/>
        <v>89110</v>
      </c>
      <c r="H29322" s="49">
        <f t="shared" si="2"/>
        <v>89281</v>
      </c>
    </row>
    <row r="29323">
      <c r="A29323" s="48" t="s">
        <v>1993</v>
      </c>
      <c r="B29323" s="38">
        <v>2689.0</v>
      </c>
      <c r="C29323" s="38" t="s">
        <v>13823</v>
      </c>
      <c r="D29323" s="38" t="str">
        <f>IFERROR(__xludf.DUMMYFUNCTION("REGEXREPLACE(C29323,""-\d+(.*)|--\d+(.*)"","""")"),"SAINT-PIERREMONT")</f>
        <v>SAINT-PIERREMONT</v>
      </c>
      <c r="E29323" s="38" t="s">
        <v>191</v>
      </c>
      <c r="F29323" s="38" t="s">
        <v>113</v>
      </c>
      <c r="G29323" s="49" t="str">
        <f t="shared" si="1"/>
        <v>02250</v>
      </c>
      <c r="H29323" s="49" t="str">
        <f t="shared" si="2"/>
        <v>02689</v>
      </c>
    </row>
    <row r="29324">
      <c r="A29324" s="48" t="s">
        <v>5479</v>
      </c>
      <c r="B29324" s="38">
        <v>67130.0</v>
      </c>
      <c r="C29324" s="38" t="s">
        <v>33728</v>
      </c>
      <c r="D29324" s="38" t="str">
        <f>IFERROR(__xludf.DUMMYFUNCTION("REGEXREPLACE(C29324,""-\d+(.*)|--\d+(.*)"","""")"),"ERSTEIN")</f>
        <v>ERSTEIN</v>
      </c>
      <c r="E29324" s="38" t="s">
        <v>210</v>
      </c>
      <c r="F29324" s="38" t="s">
        <v>151</v>
      </c>
      <c r="G29324" s="49" t="str">
        <f t="shared" si="1"/>
        <v>67150</v>
      </c>
      <c r="H29324" s="49">
        <f t="shared" si="2"/>
        <v>67130</v>
      </c>
    </row>
    <row r="29325">
      <c r="A29325" s="48" t="s">
        <v>2239</v>
      </c>
      <c r="B29325" s="38">
        <v>87142.0</v>
      </c>
      <c r="C29325" s="38" t="s">
        <v>33729</v>
      </c>
      <c r="D29325" s="38" t="str">
        <f>IFERROR(__xludf.DUMMYFUNCTION("REGEXREPLACE(C29325,""-\d+(.*)|--\d+(.*)"","""")"),"SAINT-DENIS-DES-MURS")</f>
        <v>SAINT-DENIS-DES-MURS</v>
      </c>
      <c r="E29325" s="38" t="s">
        <v>897</v>
      </c>
      <c r="F29325" s="38" t="s">
        <v>98</v>
      </c>
      <c r="G29325" s="49" t="str">
        <f t="shared" si="1"/>
        <v>87400</v>
      </c>
      <c r="H29325" s="49">
        <f t="shared" si="2"/>
        <v>87142</v>
      </c>
    </row>
    <row r="29326">
      <c r="A29326" s="48" t="s">
        <v>3137</v>
      </c>
      <c r="B29326" s="38">
        <v>67019.0</v>
      </c>
      <c r="C29326" s="38" t="s">
        <v>33730</v>
      </c>
      <c r="D29326" s="38" t="str">
        <f>IFERROR(__xludf.DUMMYFUNCTION("REGEXREPLACE(C29326,""-\d+(.*)|--\d+(.*)"","""")"),"BALDENHEIM")</f>
        <v>BALDENHEIM</v>
      </c>
      <c r="E29326" s="38" t="s">
        <v>210</v>
      </c>
      <c r="F29326" s="38" t="s">
        <v>151</v>
      </c>
      <c r="G29326" s="49" t="str">
        <f t="shared" si="1"/>
        <v>67600</v>
      </c>
      <c r="H29326" s="49">
        <f t="shared" si="2"/>
        <v>67019</v>
      </c>
    </row>
    <row r="29327">
      <c r="A29327" s="48" t="s">
        <v>2655</v>
      </c>
      <c r="B29327" s="38">
        <v>52285.0</v>
      </c>
      <c r="C29327" s="38" t="s">
        <v>33731</v>
      </c>
      <c r="D29327" s="38" t="str">
        <f>IFERROR(__xludf.DUMMYFUNCTION("REGEXREPLACE(C29327,""-\d+(.*)|--\d+(.*)"","""")"),"LEUCHEY")</f>
        <v>LEUCHEY</v>
      </c>
      <c r="E29327" s="38" t="s">
        <v>234</v>
      </c>
      <c r="F29327" s="38" t="s">
        <v>130</v>
      </c>
      <c r="G29327" s="49" t="str">
        <f t="shared" si="1"/>
        <v>52190</v>
      </c>
      <c r="H29327" s="49">
        <f t="shared" si="2"/>
        <v>52285</v>
      </c>
    </row>
    <row r="29328">
      <c r="A29328" s="48" t="s">
        <v>4381</v>
      </c>
      <c r="B29328" s="38">
        <v>82167.0</v>
      </c>
      <c r="C29328" s="38" t="s">
        <v>33732</v>
      </c>
      <c r="D29328" s="38" t="str">
        <f>IFERROR(__xludf.DUMMYFUNCTION("REGEXREPLACE(C29328,""-\d+(.*)|--\d+(.*)"","""")"),"SAINT-NAUPHARY")</f>
        <v>SAINT-NAUPHARY</v>
      </c>
      <c r="E29328" s="38" t="s">
        <v>570</v>
      </c>
      <c r="F29328" s="38" t="s">
        <v>94</v>
      </c>
      <c r="G29328" s="49" t="str">
        <f t="shared" si="1"/>
        <v>82370</v>
      </c>
      <c r="H29328" s="49">
        <f t="shared" si="2"/>
        <v>82167</v>
      </c>
    </row>
    <row r="29329">
      <c r="A29329" s="48" t="s">
        <v>2659</v>
      </c>
      <c r="B29329" s="38">
        <v>80173.0</v>
      </c>
      <c r="C29329" s="38" t="s">
        <v>33733</v>
      </c>
      <c r="D29329" s="38" t="str">
        <f>IFERROR(__xludf.DUMMYFUNCTION("REGEXREPLACE(C29329,""-\d+(.*)|--\d+(.*)"","""")"),"CARDONNETTE")</f>
        <v>CARDONNETTE</v>
      </c>
      <c r="E29329" s="38" t="s">
        <v>224</v>
      </c>
      <c r="F29329" s="38" t="s">
        <v>113</v>
      </c>
      <c r="G29329" s="49" t="str">
        <f t="shared" si="1"/>
        <v>80260</v>
      </c>
      <c r="H29329" s="49">
        <f t="shared" si="2"/>
        <v>80173</v>
      </c>
    </row>
    <row r="29330">
      <c r="A29330" s="48" t="s">
        <v>5772</v>
      </c>
      <c r="B29330" s="38">
        <v>43118.0</v>
      </c>
      <c r="C29330" s="38" t="s">
        <v>33734</v>
      </c>
      <c r="D29330" s="38" t="str">
        <f>IFERROR(__xludf.DUMMYFUNCTION("REGEXREPLACE(C29330,""-\d+(.*)|--\d+(.*)"","""")"),"LAVOUTE-CHILHAC")</f>
        <v>LAVOUTE-CHILHAC</v>
      </c>
      <c r="E29330" s="38" t="s">
        <v>332</v>
      </c>
      <c r="F29330" s="38" t="s">
        <v>161</v>
      </c>
      <c r="G29330" s="49" t="str">
        <f t="shared" si="1"/>
        <v>43380</v>
      </c>
      <c r="H29330" s="49">
        <f t="shared" si="2"/>
        <v>43118</v>
      </c>
    </row>
    <row r="29331">
      <c r="A29331" s="48" t="s">
        <v>10761</v>
      </c>
      <c r="B29331" s="38">
        <v>90079.0</v>
      </c>
      <c r="C29331" s="38" t="s">
        <v>33735</v>
      </c>
      <c r="D29331" s="38" t="str">
        <f>IFERROR(__xludf.DUMMYFUNCTION("REGEXREPLACE(C29331,""-\d+(.*)|--\d+(.*)"","""")"),"PETITMAGNY")</f>
        <v>PETITMAGNY</v>
      </c>
      <c r="E29331" s="38" t="s">
        <v>1283</v>
      </c>
      <c r="F29331" s="38" t="s">
        <v>214</v>
      </c>
      <c r="G29331" s="49" t="str">
        <f t="shared" si="1"/>
        <v>90170</v>
      </c>
      <c r="H29331" s="49">
        <f t="shared" si="2"/>
        <v>90079</v>
      </c>
    </row>
    <row r="29332">
      <c r="A29332" s="48" t="s">
        <v>196</v>
      </c>
      <c r="B29332" s="38">
        <v>2833.0</v>
      </c>
      <c r="C29332" s="38" t="s">
        <v>33736</v>
      </c>
      <c r="D29332" s="38" t="str">
        <f>IFERROR(__xludf.DUMMYFUNCTION("REGEXREPLACE(C29332,""-\d+(.*)|--\d+(.*)"","""")"),"WIMY")</f>
        <v>WIMY</v>
      </c>
      <c r="E29332" s="38" t="s">
        <v>191</v>
      </c>
      <c r="F29332" s="38" t="s">
        <v>113</v>
      </c>
      <c r="G29332" s="49" t="str">
        <f t="shared" si="1"/>
        <v>02500</v>
      </c>
      <c r="H29332" s="49" t="str">
        <f t="shared" si="2"/>
        <v>02833</v>
      </c>
    </row>
    <row r="29333">
      <c r="A29333" s="48" t="s">
        <v>15015</v>
      </c>
      <c r="B29333" s="38">
        <v>9299.0</v>
      </c>
      <c r="C29333" s="38" t="s">
        <v>33737</v>
      </c>
      <c r="D29333" s="38" t="str">
        <f>IFERROR(__xludf.DUMMYFUNCTION("REGEXREPLACE(C29333,""-\d+(.*)|--\d+(.*)"","""")"),"SOUEIX-ROGALLE")</f>
        <v>SOUEIX-ROGALLE</v>
      </c>
      <c r="E29333" s="38" t="s">
        <v>238</v>
      </c>
      <c r="F29333" s="38" t="s">
        <v>94</v>
      </c>
      <c r="G29333" s="49" t="str">
        <f t="shared" si="1"/>
        <v>09140</v>
      </c>
      <c r="H29333" s="49" t="str">
        <f t="shared" si="2"/>
        <v>09299</v>
      </c>
    </row>
    <row r="29334">
      <c r="A29334" s="48" t="s">
        <v>15069</v>
      </c>
      <c r="B29334" s="38">
        <v>22143.0</v>
      </c>
      <c r="C29334" s="38" t="s">
        <v>33738</v>
      </c>
      <c r="D29334" s="38" t="str">
        <f>IFERROR(__xludf.DUMMYFUNCTION("REGEXREPLACE(C29334,""-\d+(.*)|--\d+(.*)"","""")"),"MATIGNON")</f>
        <v>MATIGNON</v>
      </c>
      <c r="E29334" s="38" t="s">
        <v>89</v>
      </c>
      <c r="F29334" s="38" t="s">
        <v>90</v>
      </c>
      <c r="G29334" s="49" t="str">
        <f t="shared" si="1"/>
        <v>22550</v>
      </c>
      <c r="H29334" s="49">
        <f t="shared" si="2"/>
        <v>22143</v>
      </c>
    </row>
    <row r="29335">
      <c r="A29335" s="48" t="s">
        <v>3691</v>
      </c>
      <c r="B29335" s="38">
        <v>64300.0</v>
      </c>
      <c r="C29335" s="38" t="s">
        <v>33739</v>
      </c>
      <c r="D29335" s="38" t="str">
        <f>IFERROR(__xludf.DUMMYFUNCTION("REGEXREPLACE(C29335,""-\d+(.*)|--\d+(.*)"","""")"),"LACQ")</f>
        <v>LACQ</v>
      </c>
      <c r="E29335" s="38" t="s">
        <v>268</v>
      </c>
      <c r="F29335" s="38" t="s">
        <v>252</v>
      </c>
      <c r="G29335" s="49" t="str">
        <f t="shared" si="1"/>
        <v>64170</v>
      </c>
      <c r="H29335" s="49">
        <f t="shared" si="2"/>
        <v>64300</v>
      </c>
    </row>
    <row r="29336">
      <c r="A29336" s="48" t="s">
        <v>33740</v>
      </c>
      <c r="B29336" s="38">
        <v>59603.0</v>
      </c>
      <c r="C29336" s="38" t="s">
        <v>33741</v>
      </c>
      <c r="D29336" s="38" t="str">
        <f>IFERROR(__xludf.DUMMYFUNCTION("REGEXREPLACE(C29336,""-\d+(.*)|--\d+(.*)"","""")"),"TRITH-SAINT-LEGER")</f>
        <v>TRITH-SAINT-LEGER</v>
      </c>
      <c r="E29336" s="38" t="s">
        <v>85</v>
      </c>
      <c r="F29336" s="38" t="s">
        <v>86</v>
      </c>
      <c r="G29336" s="49" t="str">
        <f t="shared" si="1"/>
        <v>59125</v>
      </c>
      <c r="H29336" s="49">
        <f t="shared" si="2"/>
        <v>59603</v>
      </c>
    </row>
    <row r="29337">
      <c r="A29337" s="48" t="s">
        <v>11770</v>
      </c>
      <c r="B29337" s="38">
        <v>74209.0</v>
      </c>
      <c r="C29337" s="38" t="s">
        <v>33742</v>
      </c>
      <c r="D29337" s="38" t="str">
        <f>IFERROR(__xludf.DUMMYFUNCTION("REGEXREPLACE(C29337,""-\d+(.*)|--\d+(.*)"","""")"),"PEILLONNEX")</f>
        <v>PEILLONNEX</v>
      </c>
      <c r="E29337" s="38" t="s">
        <v>319</v>
      </c>
      <c r="F29337" s="38" t="s">
        <v>102</v>
      </c>
      <c r="G29337" s="49" t="str">
        <f t="shared" si="1"/>
        <v>74250</v>
      </c>
      <c r="H29337" s="49">
        <f t="shared" si="2"/>
        <v>74209</v>
      </c>
    </row>
    <row r="29338">
      <c r="A29338" s="48" t="s">
        <v>1616</v>
      </c>
      <c r="B29338" s="38">
        <v>10194.0</v>
      </c>
      <c r="C29338" s="38" t="s">
        <v>33743</v>
      </c>
      <c r="D29338" s="38" t="str">
        <f>IFERROR(__xludf.DUMMYFUNCTION("REGEXREPLACE(C29338,""-\d+(.*)|--\d+(.*)"","""")"),"LEVIGNY")</f>
        <v>LEVIGNY</v>
      </c>
      <c r="E29338" s="38" t="s">
        <v>147</v>
      </c>
      <c r="F29338" s="38" t="s">
        <v>130</v>
      </c>
      <c r="G29338" s="49" t="str">
        <f t="shared" si="1"/>
        <v>10200</v>
      </c>
      <c r="H29338" s="49">
        <f t="shared" si="2"/>
        <v>10194</v>
      </c>
    </row>
    <row r="29339">
      <c r="A29339" s="48" t="s">
        <v>3244</v>
      </c>
      <c r="B29339" s="38">
        <v>27216.0</v>
      </c>
      <c r="C29339" s="38" t="s">
        <v>33744</v>
      </c>
      <c r="D29339" s="38" t="str">
        <f>IFERROR(__xludf.DUMMYFUNCTION("REGEXREPLACE(C29339,""-\d+(.*)|--\d+(.*)"","""")"),"EMALLEVILLE")</f>
        <v>EMALLEVILLE</v>
      </c>
      <c r="E29339" s="38" t="s">
        <v>241</v>
      </c>
      <c r="F29339" s="38" t="s">
        <v>134</v>
      </c>
      <c r="G29339" s="49" t="str">
        <f t="shared" si="1"/>
        <v>27930</v>
      </c>
      <c r="H29339" s="49">
        <f t="shared" si="2"/>
        <v>27216</v>
      </c>
    </row>
    <row r="29340">
      <c r="A29340" s="48" t="s">
        <v>33745</v>
      </c>
      <c r="B29340" s="38">
        <v>84007.0</v>
      </c>
      <c r="C29340" s="38" t="s">
        <v>33746</v>
      </c>
      <c r="D29340" s="38" t="str">
        <f>IFERROR(__xludf.DUMMYFUNCTION("REGEXREPLACE(C29340,""-\d+(.*)|--\d+(.*)"","""")"),"AVIGNON")</f>
        <v>AVIGNON</v>
      </c>
      <c r="E29340" s="38" t="s">
        <v>1026</v>
      </c>
      <c r="F29340" s="38" t="s">
        <v>228</v>
      </c>
      <c r="G29340" s="49" t="str">
        <f t="shared" si="1"/>
        <v>84000</v>
      </c>
      <c r="H29340" s="49">
        <f t="shared" si="2"/>
        <v>84007</v>
      </c>
    </row>
    <row r="29341">
      <c r="A29341" s="48" t="s">
        <v>2803</v>
      </c>
      <c r="B29341" s="38">
        <v>80521.0</v>
      </c>
      <c r="C29341" s="38" t="s">
        <v>16604</v>
      </c>
      <c r="D29341" s="38" t="str">
        <f>IFERROR(__xludf.DUMMYFUNCTION("REGEXREPLACE(C29341,""-\d+(.*)|--\d+(.*)"","""")"),"MAUREPAS")</f>
        <v>MAUREPAS</v>
      </c>
      <c r="E29341" s="38" t="s">
        <v>224</v>
      </c>
      <c r="F29341" s="38" t="s">
        <v>113</v>
      </c>
      <c r="G29341" s="49" t="str">
        <f t="shared" si="1"/>
        <v>80360</v>
      </c>
      <c r="H29341" s="49">
        <f t="shared" si="2"/>
        <v>80521</v>
      </c>
    </row>
    <row r="29342">
      <c r="A29342" s="48" t="s">
        <v>1825</v>
      </c>
      <c r="B29342" s="38">
        <v>64027.0</v>
      </c>
      <c r="C29342" s="38" t="s">
        <v>33747</v>
      </c>
      <c r="D29342" s="38" t="str">
        <f>IFERROR(__xludf.DUMMYFUNCTION("REGEXREPLACE(C29342,""-\d+(.*)|--\d+(.*)"","""")"),"ANOS")</f>
        <v>ANOS</v>
      </c>
      <c r="E29342" s="38" t="s">
        <v>268</v>
      </c>
      <c r="F29342" s="38" t="s">
        <v>252</v>
      </c>
      <c r="G29342" s="49" t="str">
        <f t="shared" si="1"/>
        <v>64160</v>
      </c>
      <c r="H29342" s="49">
        <f t="shared" si="2"/>
        <v>64027</v>
      </c>
    </row>
    <row r="29343">
      <c r="A29343" s="48" t="s">
        <v>1756</v>
      </c>
      <c r="B29343" s="38">
        <v>28313.0</v>
      </c>
      <c r="C29343" s="38" t="s">
        <v>33748</v>
      </c>
      <c r="D29343" s="38" t="str">
        <f>IFERROR(__xludf.DUMMYFUNCTION("REGEXREPLACE(C29343,""-\d+(.*)|--\d+(.*)"","""")"),"RECLAINVILLE")</f>
        <v>RECLAINVILLE</v>
      </c>
      <c r="E29343" s="38" t="s">
        <v>300</v>
      </c>
      <c r="F29343" s="38" t="s">
        <v>123</v>
      </c>
      <c r="G29343" s="49" t="str">
        <f t="shared" si="1"/>
        <v>28150</v>
      </c>
      <c r="H29343" s="49">
        <f t="shared" si="2"/>
        <v>28313</v>
      </c>
    </row>
    <row r="29344">
      <c r="A29344" s="48" t="s">
        <v>148</v>
      </c>
      <c r="B29344" s="38">
        <v>68148.0</v>
      </c>
      <c r="C29344" s="38" t="s">
        <v>33749</v>
      </c>
      <c r="D29344" s="38" t="str">
        <f>IFERROR(__xludf.DUMMYFUNCTION("REGEXREPLACE(C29344,""-\d+(.*)|--\d+(.*)"","""")"),"HUNDSBACH")</f>
        <v>HUNDSBACH</v>
      </c>
      <c r="E29344" s="38" t="s">
        <v>150</v>
      </c>
      <c r="F29344" s="38" t="s">
        <v>151</v>
      </c>
      <c r="G29344" s="49" t="str">
        <f t="shared" si="1"/>
        <v>68130</v>
      </c>
      <c r="H29344" s="49">
        <f t="shared" si="2"/>
        <v>68148</v>
      </c>
    </row>
    <row r="29345">
      <c r="A29345" s="48" t="s">
        <v>33750</v>
      </c>
      <c r="B29345" s="38">
        <v>33009.0</v>
      </c>
      <c r="C29345" s="38" t="s">
        <v>33751</v>
      </c>
      <c r="D29345" s="38" t="str">
        <f>IFERROR(__xludf.DUMMYFUNCTION("REGEXREPLACE(C29345,""-\d+(.*)|--\d+(.*)"","""")"),"ARCACHON")</f>
        <v>ARCACHON</v>
      </c>
      <c r="E29345" s="38" t="s">
        <v>462</v>
      </c>
      <c r="F29345" s="38" t="s">
        <v>252</v>
      </c>
      <c r="G29345" s="49" t="str">
        <f t="shared" si="1"/>
        <v>33120</v>
      </c>
      <c r="H29345" s="49">
        <f t="shared" si="2"/>
        <v>33009</v>
      </c>
    </row>
    <row r="29346">
      <c r="A29346" s="48" t="s">
        <v>12780</v>
      </c>
      <c r="B29346" s="38">
        <v>41229.0</v>
      </c>
      <c r="C29346" s="38" t="s">
        <v>33752</v>
      </c>
      <c r="D29346" s="38" t="str">
        <f>IFERROR(__xludf.DUMMYFUNCTION("REGEXREPLACE(C29346,""-\d+(.*)|--\d+(.*)"","""")"),"SAINT-ROMAIN-SUR-CHER")</f>
        <v>SAINT-ROMAIN-SUR-CHER</v>
      </c>
      <c r="E29346" s="38" t="s">
        <v>188</v>
      </c>
      <c r="F29346" s="38" t="s">
        <v>123</v>
      </c>
      <c r="G29346" s="49" t="str">
        <f t="shared" si="1"/>
        <v>41140</v>
      </c>
      <c r="H29346" s="49">
        <f t="shared" si="2"/>
        <v>41229</v>
      </c>
    </row>
    <row r="29347">
      <c r="A29347" s="48" t="s">
        <v>27971</v>
      </c>
      <c r="B29347" s="38">
        <v>88530.0</v>
      </c>
      <c r="C29347" s="38" t="s">
        <v>33753</v>
      </c>
      <c r="D29347" s="38" t="str">
        <f>IFERROR(__xludf.DUMMYFUNCTION("REGEXREPLACE(C29347,""-\d+(.*)|--\d+(.*)"","""")"),"XERTIGNY")</f>
        <v>XERTIGNY</v>
      </c>
      <c r="E29347" s="38" t="s">
        <v>194</v>
      </c>
      <c r="F29347" s="38" t="s">
        <v>195</v>
      </c>
      <c r="G29347" s="49" t="str">
        <f t="shared" si="1"/>
        <v>88220</v>
      </c>
      <c r="H29347" s="49">
        <f t="shared" si="2"/>
        <v>88530</v>
      </c>
    </row>
    <row r="29348">
      <c r="A29348" s="48" t="s">
        <v>792</v>
      </c>
      <c r="B29348" s="38">
        <v>2332.0</v>
      </c>
      <c r="C29348" s="38" t="s">
        <v>33754</v>
      </c>
      <c r="D29348" s="38" t="str">
        <f>IFERROR(__xludf.DUMMYFUNCTION("REGEXREPLACE(C29348,""-\d+(.*)|--\d+(.*)"","""")"),"FRESNES-EN-TARDENOIS")</f>
        <v>FRESNES-EN-TARDENOIS</v>
      </c>
      <c r="E29348" s="38" t="s">
        <v>191</v>
      </c>
      <c r="F29348" s="38" t="s">
        <v>113</v>
      </c>
      <c r="G29348" s="49" t="str">
        <f t="shared" si="1"/>
        <v>02130</v>
      </c>
      <c r="H29348" s="49" t="str">
        <f t="shared" si="2"/>
        <v>02332</v>
      </c>
    </row>
    <row r="29349">
      <c r="A29349" s="48" t="s">
        <v>15308</v>
      </c>
      <c r="B29349" s="38">
        <v>69092.0</v>
      </c>
      <c r="C29349" s="38" t="s">
        <v>33755</v>
      </c>
      <c r="D29349" s="38" t="str">
        <f>IFERROR(__xludf.DUMMYFUNCTION("REGEXREPLACE(C29349,""-\d+(.*)|--\d+(.*)"","""")"),"GLEIZE")</f>
        <v>GLEIZE</v>
      </c>
      <c r="E29349" s="38" t="s">
        <v>350</v>
      </c>
      <c r="F29349" s="38" t="s">
        <v>102</v>
      </c>
      <c r="G29349" s="49" t="str">
        <f t="shared" si="1"/>
        <v>69400</v>
      </c>
      <c r="H29349" s="49">
        <f t="shared" si="2"/>
        <v>69092</v>
      </c>
    </row>
    <row r="29350">
      <c r="A29350" s="48" t="s">
        <v>4002</v>
      </c>
      <c r="B29350" s="38">
        <v>51074.0</v>
      </c>
      <c r="C29350" s="38" t="s">
        <v>33756</v>
      </c>
      <c r="D29350" s="38" t="str">
        <f>IFERROR(__xludf.DUMMYFUNCTION("REGEXREPLACE(C29350,""-\d+(.*)|--\d+(.*)"","""")"),"BOULT-SUR-SUIPPE")</f>
        <v>BOULT-SUR-SUIPPE</v>
      </c>
      <c r="E29350" s="38" t="s">
        <v>129</v>
      </c>
      <c r="F29350" s="38" t="s">
        <v>130</v>
      </c>
      <c r="G29350" s="49" t="str">
        <f t="shared" si="1"/>
        <v>51110</v>
      </c>
      <c r="H29350" s="49">
        <f t="shared" si="2"/>
        <v>51074</v>
      </c>
    </row>
    <row r="29351">
      <c r="A29351" s="48" t="s">
        <v>3366</v>
      </c>
      <c r="B29351" s="38">
        <v>47028.0</v>
      </c>
      <c r="C29351" s="38" t="s">
        <v>33757</v>
      </c>
      <c r="D29351" s="38" t="str">
        <f>IFERROR(__xludf.DUMMYFUNCTION("REGEXREPLACE(C29351,""-\d+(.*)|--\d+(.*)"","""")"),"BIRAC-SUR-TREC")</f>
        <v>BIRAC-SUR-TREC</v>
      </c>
      <c r="E29351" s="38" t="s">
        <v>251</v>
      </c>
      <c r="F29351" s="38" t="s">
        <v>252</v>
      </c>
      <c r="G29351" s="49" t="str">
        <f t="shared" si="1"/>
        <v>47200</v>
      </c>
      <c r="H29351" s="49">
        <f t="shared" si="2"/>
        <v>47028</v>
      </c>
    </row>
    <row r="29352">
      <c r="A29352" s="48" t="s">
        <v>1274</v>
      </c>
      <c r="B29352" s="38">
        <v>33352.0</v>
      </c>
      <c r="C29352" s="38" t="s">
        <v>33758</v>
      </c>
      <c r="D29352" s="38" t="str">
        <f>IFERROR(__xludf.DUMMYFUNCTION("REGEXREPLACE(C29352,""-\d+(.*)|--\d+(.*)"","""")"),"LA REOLE")</f>
        <v>LA REOLE</v>
      </c>
      <c r="E29352" s="38" t="s">
        <v>462</v>
      </c>
      <c r="F29352" s="38" t="s">
        <v>252</v>
      </c>
      <c r="G29352" s="49" t="str">
        <f t="shared" si="1"/>
        <v>33190</v>
      </c>
      <c r="H29352" s="49">
        <f t="shared" si="2"/>
        <v>33352</v>
      </c>
    </row>
    <row r="29353">
      <c r="A29353" s="48" t="s">
        <v>7496</v>
      </c>
      <c r="B29353" s="38">
        <v>62810.0</v>
      </c>
      <c r="C29353" s="38" t="s">
        <v>33759</v>
      </c>
      <c r="D29353" s="38" t="str">
        <f>IFERROR(__xludf.DUMMYFUNCTION("REGEXREPLACE(C29353,""-\d+(.*)|--\d+(.*)"","""")"),"THELUS")</f>
        <v>THELUS</v>
      </c>
      <c r="E29353" s="38" t="s">
        <v>109</v>
      </c>
      <c r="F29353" s="38" t="s">
        <v>86</v>
      </c>
      <c r="G29353" s="49" t="str">
        <f t="shared" si="1"/>
        <v>62580</v>
      </c>
      <c r="H29353" s="49">
        <f t="shared" si="2"/>
        <v>62810</v>
      </c>
    </row>
    <row r="29354">
      <c r="A29354" s="48" t="s">
        <v>1110</v>
      </c>
      <c r="B29354" s="38">
        <v>50423.0</v>
      </c>
      <c r="C29354" s="38" t="s">
        <v>33760</v>
      </c>
      <c r="D29354" s="38" t="str">
        <f>IFERROR(__xludf.DUMMYFUNCTION("REGEXREPLACE(C29354,""-\d+(.*)|--\d+(.*)"","""")"),"RAMPAN")</f>
        <v>RAMPAN</v>
      </c>
      <c r="E29354" s="38" t="s">
        <v>157</v>
      </c>
      <c r="F29354" s="38" t="s">
        <v>138</v>
      </c>
      <c r="G29354" s="49" t="str">
        <f t="shared" si="1"/>
        <v>50000</v>
      </c>
      <c r="H29354" s="49">
        <f t="shared" si="2"/>
        <v>50423</v>
      </c>
    </row>
    <row r="29355">
      <c r="A29355" s="48" t="s">
        <v>5631</v>
      </c>
      <c r="B29355" s="38">
        <v>76478.0</v>
      </c>
      <c r="C29355" s="38" t="s">
        <v>33761</v>
      </c>
      <c r="D29355" s="38" t="str">
        <f>IFERROR(__xludf.DUMMYFUNCTION("REGEXREPLACE(C29355,""-\d+(.*)|--\d+(.*)"","""")"),"NOTRE-DAME-DU-PARC")</f>
        <v>NOTRE-DAME-DU-PARC</v>
      </c>
      <c r="E29355" s="38" t="s">
        <v>133</v>
      </c>
      <c r="F29355" s="38" t="s">
        <v>134</v>
      </c>
      <c r="G29355" s="49" t="str">
        <f t="shared" si="1"/>
        <v>76590</v>
      </c>
      <c r="H29355" s="49">
        <f t="shared" si="2"/>
        <v>76478</v>
      </c>
    </row>
    <row r="29356">
      <c r="A29356" s="48" t="s">
        <v>4311</v>
      </c>
      <c r="B29356" s="38">
        <v>47144.0</v>
      </c>
      <c r="C29356" s="38" t="s">
        <v>13914</v>
      </c>
      <c r="D29356" s="38" t="str">
        <f>IFERROR(__xludf.DUMMYFUNCTION("REGEXREPLACE(C29356,""-\d+(.*)|--\d+(.*)"","""")"),"LAVERGNE")</f>
        <v>LAVERGNE</v>
      </c>
      <c r="E29356" s="38" t="s">
        <v>251</v>
      </c>
      <c r="F29356" s="38" t="s">
        <v>252</v>
      </c>
      <c r="G29356" s="49" t="str">
        <f t="shared" si="1"/>
        <v>47800</v>
      </c>
      <c r="H29356" s="49">
        <f t="shared" si="2"/>
        <v>47144</v>
      </c>
    </row>
    <row r="29357">
      <c r="A29357" s="48" t="s">
        <v>11792</v>
      </c>
      <c r="B29357" s="38">
        <v>86069.0</v>
      </c>
      <c r="C29357" s="38" t="s">
        <v>12569</v>
      </c>
      <c r="D29357" s="38" t="str">
        <f>IFERROR(__xludf.DUMMYFUNCTION("REGEXREPLACE(C29357,""-\d+(.*)|--\d+(.*)"","""")"),"LA CHAUSSEE")</f>
        <v>LA CHAUSSEE</v>
      </c>
      <c r="E29357" s="38" t="s">
        <v>529</v>
      </c>
      <c r="F29357" s="38" t="s">
        <v>338</v>
      </c>
      <c r="G29357" s="49" t="str">
        <f t="shared" si="1"/>
        <v>86330</v>
      </c>
      <c r="H29357" s="49">
        <f t="shared" si="2"/>
        <v>86069</v>
      </c>
    </row>
    <row r="29358">
      <c r="A29358" s="48" t="s">
        <v>167</v>
      </c>
      <c r="B29358" s="38">
        <v>34124.0</v>
      </c>
      <c r="C29358" s="38" t="s">
        <v>24435</v>
      </c>
      <c r="D29358" s="38" t="str">
        <f>IFERROR(__xludf.DUMMYFUNCTION("REGEXREPLACE(C29358,""-\d+(.*)|--\d+(.*)"","""")"),"LACOSTE")</f>
        <v>LACOSTE</v>
      </c>
      <c r="E29358" s="38" t="s">
        <v>118</v>
      </c>
      <c r="F29358" s="38" t="s">
        <v>119</v>
      </c>
      <c r="G29358" s="49" t="str">
        <f t="shared" si="1"/>
        <v>34800</v>
      </c>
      <c r="H29358" s="49">
        <f t="shared" si="2"/>
        <v>34124</v>
      </c>
    </row>
    <row r="29359">
      <c r="A29359" s="48" t="s">
        <v>4617</v>
      </c>
      <c r="B29359" s="38">
        <v>15243.0</v>
      </c>
      <c r="C29359" s="38" t="s">
        <v>33762</v>
      </c>
      <c r="D29359" s="38" t="str">
        <f>IFERROR(__xludf.DUMMYFUNCTION("REGEXREPLACE(C29359,""-\d+(.*)|--\d+(.*)"","""")"),"TRIZAC")</f>
        <v>TRIZAC</v>
      </c>
      <c r="E29359" s="38" t="s">
        <v>632</v>
      </c>
      <c r="F29359" s="38" t="s">
        <v>161</v>
      </c>
      <c r="G29359" s="49" t="str">
        <f t="shared" si="1"/>
        <v>15400</v>
      </c>
      <c r="H29359" s="49">
        <f t="shared" si="2"/>
        <v>15243</v>
      </c>
    </row>
    <row r="29360">
      <c r="A29360" s="48" t="s">
        <v>2924</v>
      </c>
      <c r="B29360" s="38">
        <v>8148.0</v>
      </c>
      <c r="C29360" s="38" t="s">
        <v>33763</v>
      </c>
      <c r="D29360" s="38" t="str">
        <f>IFERROR(__xludf.DUMMYFUNCTION("REGEXREPLACE(C29360,""-\d+(.*)|--\d+(.*)"","""")"),"L'ECAILLE")</f>
        <v>L'ECAILLE</v>
      </c>
      <c r="E29360" s="38" t="s">
        <v>327</v>
      </c>
      <c r="F29360" s="38" t="s">
        <v>130</v>
      </c>
      <c r="G29360" s="49" t="str">
        <f t="shared" si="1"/>
        <v>08300</v>
      </c>
      <c r="H29360" s="49" t="str">
        <f t="shared" si="2"/>
        <v>08148</v>
      </c>
    </row>
    <row r="29361">
      <c r="A29361" s="48" t="s">
        <v>2853</v>
      </c>
      <c r="B29361" s="38">
        <v>36139.0</v>
      </c>
      <c r="C29361" s="38" t="s">
        <v>33764</v>
      </c>
      <c r="D29361" s="38" t="str">
        <f>IFERROR(__xludf.DUMMYFUNCTION("REGEXREPLACE(C29361,""-\d+(.*)|--\d+(.*)"","""")"),"NEUILLAY-LES-BOIS")</f>
        <v>NEUILLAY-LES-BOIS</v>
      </c>
      <c r="E29361" s="38" t="s">
        <v>258</v>
      </c>
      <c r="F29361" s="38" t="s">
        <v>123</v>
      </c>
      <c r="G29361" s="49" t="str">
        <f t="shared" si="1"/>
        <v>36500</v>
      </c>
      <c r="H29361" s="49">
        <f t="shared" si="2"/>
        <v>36139</v>
      </c>
    </row>
    <row r="29362">
      <c r="A29362" s="48" t="s">
        <v>7874</v>
      </c>
      <c r="B29362" s="38">
        <v>40129.0</v>
      </c>
      <c r="C29362" s="38" t="s">
        <v>33765</v>
      </c>
      <c r="D29362" s="38" t="str">
        <f>IFERROR(__xludf.DUMMYFUNCTION("REGEXREPLACE(C29362,""-\d+(.*)|--\d+(.*)"","""")"),"JOSSE")</f>
        <v>JOSSE</v>
      </c>
      <c r="E29362" s="38" t="s">
        <v>281</v>
      </c>
      <c r="F29362" s="38" t="s">
        <v>252</v>
      </c>
      <c r="G29362" s="49" t="str">
        <f t="shared" si="1"/>
        <v>40230</v>
      </c>
      <c r="H29362" s="49">
        <f t="shared" si="2"/>
        <v>40129</v>
      </c>
    </row>
    <row r="29363">
      <c r="A29363" s="48" t="s">
        <v>7144</v>
      </c>
      <c r="B29363" s="38">
        <v>76025.0</v>
      </c>
      <c r="C29363" s="38" t="s">
        <v>33766</v>
      </c>
      <c r="D29363" s="38" t="str">
        <f>IFERROR(__xludf.DUMMYFUNCTION("REGEXREPLACE(C29363,""-\d+(.*)|--\d+(.*)"","""")"),"ARGUEIL")</f>
        <v>ARGUEIL</v>
      </c>
      <c r="E29363" s="38" t="s">
        <v>133</v>
      </c>
      <c r="F29363" s="38" t="s">
        <v>134</v>
      </c>
      <c r="G29363" s="49" t="str">
        <f t="shared" si="1"/>
        <v>76780</v>
      </c>
      <c r="H29363" s="49">
        <f t="shared" si="2"/>
        <v>76025</v>
      </c>
    </row>
    <row r="29364">
      <c r="A29364" s="48" t="s">
        <v>964</v>
      </c>
      <c r="B29364" s="38">
        <v>71274.0</v>
      </c>
      <c r="C29364" s="38" t="s">
        <v>33767</v>
      </c>
      <c r="D29364" s="38" t="str">
        <f>IFERROR(__xludf.DUMMYFUNCTION("REGEXREPLACE(C29364,""-\d+(.*)|--\d+(.*)"","""")"),"MANCEY")</f>
        <v>MANCEY</v>
      </c>
      <c r="E29364" s="38" t="s">
        <v>344</v>
      </c>
      <c r="F29364" s="38" t="s">
        <v>106</v>
      </c>
      <c r="G29364" s="49" t="str">
        <f t="shared" si="1"/>
        <v>71240</v>
      </c>
      <c r="H29364" s="49">
        <f t="shared" si="2"/>
        <v>71274</v>
      </c>
    </row>
    <row r="29365">
      <c r="A29365" s="48" t="s">
        <v>862</v>
      </c>
      <c r="B29365" s="38">
        <v>27656.0</v>
      </c>
      <c r="C29365" s="38" t="s">
        <v>33768</v>
      </c>
      <c r="D29365" s="38" t="str">
        <f>IFERROR(__xludf.DUMMYFUNCTION("REGEXREPLACE(C29365,""-\d+(.*)|--\d+(.*)"","""")"),"TOUTAINVILLE")</f>
        <v>TOUTAINVILLE</v>
      </c>
      <c r="E29365" s="38" t="s">
        <v>241</v>
      </c>
      <c r="F29365" s="38" t="s">
        <v>134</v>
      </c>
      <c r="G29365" s="49" t="str">
        <f t="shared" si="1"/>
        <v>27500</v>
      </c>
      <c r="H29365" s="49">
        <f t="shared" si="2"/>
        <v>27656</v>
      </c>
    </row>
    <row r="29366">
      <c r="A29366" s="48" t="s">
        <v>6002</v>
      </c>
      <c r="B29366" s="38">
        <v>18079.0</v>
      </c>
      <c r="C29366" s="38" t="s">
        <v>33769</v>
      </c>
      <c r="D29366" s="38" t="str">
        <f>IFERROR(__xludf.DUMMYFUNCTION("REGEXREPLACE(C29366,""-\d+(.*)|--\d+(.*)"","""")"),"CREZANCY-EN-SANCERRE")</f>
        <v>CREZANCY-EN-SANCERRE</v>
      </c>
      <c r="E29366" s="38" t="s">
        <v>504</v>
      </c>
      <c r="F29366" s="38" t="s">
        <v>123</v>
      </c>
      <c r="G29366" s="49" t="str">
        <f t="shared" si="1"/>
        <v>18300</v>
      </c>
      <c r="H29366" s="49">
        <f t="shared" si="2"/>
        <v>18079</v>
      </c>
    </row>
    <row r="29367">
      <c r="A29367" s="48" t="s">
        <v>6844</v>
      </c>
      <c r="B29367" s="38">
        <v>12283.0</v>
      </c>
      <c r="C29367" s="38" t="s">
        <v>33770</v>
      </c>
      <c r="D29367" s="38" t="str">
        <f>IFERROR(__xludf.DUMMYFUNCTION("REGEXREPLACE(C29367,""-\d+(.*)|--\d+(.*)"","""")"),"TREMOUILLES")</f>
        <v>TREMOUILLES</v>
      </c>
      <c r="E29367" s="38" t="s">
        <v>465</v>
      </c>
      <c r="F29367" s="38" t="s">
        <v>94</v>
      </c>
      <c r="G29367" s="49" t="str">
        <f t="shared" si="1"/>
        <v>12290</v>
      </c>
      <c r="H29367" s="49">
        <f t="shared" si="2"/>
        <v>12283</v>
      </c>
    </row>
    <row r="29368">
      <c r="A29368" s="48" t="s">
        <v>507</v>
      </c>
      <c r="B29368" s="38">
        <v>8384.0</v>
      </c>
      <c r="C29368" s="38" t="s">
        <v>33771</v>
      </c>
      <c r="D29368" s="38" t="str">
        <f>IFERROR(__xludf.DUMMYFUNCTION("REGEXREPLACE(C29368,""-\d+(.*)|--\d+(.*)"","""")"),"SAINT-LAMBERT-ET-MONT-DE-JEUX")</f>
        <v>SAINT-LAMBERT-ET-MONT-DE-JEUX</v>
      </c>
      <c r="E29368" s="38" t="s">
        <v>327</v>
      </c>
      <c r="F29368" s="38" t="s">
        <v>130</v>
      </c>
      <c r="G29368" s="49" t="str">
        <f t="shared" si="1"/>
        <v>08130</v>
      </c>
      <c r="H29368" s="49" t="str">
        <f t="shared" si="2"/>
        <v>08384</v>
      </c>
    </row>
    <row r="29369">
      <c r="A29369" s="48" t="s">
        <v>7057</v>
      </c>
      <c r="B29369" s="38">
        <v>18004.0</v>
      </c>
      <c r="C29369" s="38" t="s">
        <v>33772</v>
      </c>
      <c r="D29369" s="38" t="str">
        <f>IFERROR(__xludf.DUMMYFUNCTION("REGEXREPLACE(C29369,""-\d+(.*)|--\d+(.*)"","""")"),"ALLOGNY")</f>
        <v>ALLOGNY</v>
      </c>
      <c r="E29369" s="38" t="s">
        <v>504</v>
      </c>
      <c r="F29369" s="38" t="s">
        <v>123</v>
      </c>
      <c r="G29369" s="49" t="str">
        <f t="shared" si="1"/>
        <v>18110</v>
      </c>
      <c r="H29369" s="49">
        <f t="shared" si="2"/>
        <v>18004</v>
      </c>
    </row>
    <row r="29370">
      <c r="A29370" s="48" t="s">
        <v>895</v>
      </c>
      <c r="B29370" s="38">
        <v>87194.0</v>
      </c>
      <c r="C29370" s="38" t="s">
        <v>33773</v>
      </c>
      <c r="D29370" s="38" t="str">
        <f>IFERROR(__xludf.DUMMYFUNCTION("REGEXREPLACE(C29370,""-\d+(.*)|--\d+(.*)"","""")"),"SUSSAC")</f>
        <v>SUSSAC</v>
      </c>
      <c r="E29370" s="38" t="s">
        <v>897</v>
      </c>
      <c r="F29370" s="38" t="s">
        <v>98</v>
      </c>
      <c r="G29370" s="49" t="str">
        <f t="shared" si="1"/>
        <v>87130</v>
      </c>
      <c r="H29370" s="49">
        <f t="shared" si="2"/>
        <v>87194</v>
      </c>
    </row>
    <row r="29371">
      <c r="A29371" s="48" t="s">
        <v>6985</v>
      </c>
      <c r="B29371" s="38">
        <v>62086.0</v>
      </c>
      <c r="C29371" s="38" t="s">
        <v>33774</v>
      </c>
      <c r="D29371" s="38" t="str">
        <f>IFERROR(__xludf.DUMMYFUNCTION("REGEXREPLACE(C29371,""-\d+(.*)|--\d+(.*)"","""")"),"BAVINCOURT")</f>
        <v>BAVINCOURT</v>
      </c>
      <c r="E29371" s="38" t="s">
        <v>109</v>
      </c>
      <c r="F29371" s="38" t="s">
        <v>86</v>
      </c>
      <c r="G29371" s="49" t="str">
        <f t="shared" si="1"/>
        <v>62158</v>
      </c>
      <c r="H29371" s="49">
        <f t="shared" si="2"/>
        <v>62086</v>
      </c>
    </row>
    <row r="29372">
      <c r="A29372" s="48" t="s">
        <v>16195</v>
      </c>
      <c r="B29372" s="38">
        <v>25027.0</v>
      </c>
      <c r="C29372" s="38" t="s">
        <v>31460</v>
      </c>
      <c r="D29372" s="38" t="str">
        <f>IFERROR(__xludf.DUMMYFUNCTION("REGEXREPLACE(C29372,""-\d+(.*)|--\d+(.*)"","""")"),"ARGUEL")</f>
        <v>ARGUEL</v>
      </c>
      <c r="E29372" s="38" t="s">
        <v>213</v>
      </c>
      <c r="F29372" s="38" t="s">
        <v>214</v>
      </c>
      <c r="G29372" s="49" t="str">
        <f t="shared" si="1"/>
        <v>25720</v>
      </c>
      <c r="H29372" s="49">
        <f t="shared" si="2"/>
        <v>25027</v>
      </c>
    </row>
    <row r="29373">
      <c r="A29373" s="48" t="s">
        <v>4181</v>
      </c>
      <c r="B29373" s="38">
        <v>89406.0</v>
      </c>
      <c r="C29373" s="38" t="s">
        <v>19991</v>
      </c>
      <c r="D29373" s="38" t="str">
        <f>IFERROR(__xludf.DUMMYFUNCTION("REGEXREPLACE(C29373,""-\d+(.*)|--\d+(.*)"","""")"),"TALCY")</f>
        <v>TALCY</v>
      </c>
      <c r="E29373" s="38" t="s">
        <v>275</v>
      </c>
      <c r="F29373" s="38" t="s">
        <v>106</v>
      </c>
      <c r="G29373" s="49" t="str">
        <f t="shared" si="1"/>
        <v>89420</v>
      </c>
      <c r="H29373" s="49">
        <f t="shared" si="2"/>
        <v>89406</v>
      </c>
    </row>
    <row r="29374">
      <c r="A29374" s="48" t="s">
        <v>4328</v>
      </c>
      <c r="B29374" s="38">
        <v>70152.0</v>
      </c>
      <c r="C29374" s="38" t="s">
        <v>33775</v>
      </c>
      <c r="D29374" s="38" t="str">
        <f>IFERROR(__xludf.DUMMYFUNCTION("REGEXREPLACE(C29374,""-\d+(.*)|--\d+(.*)"","""")"),"CHOYE")</f>
        <v>CHOYE</v>
      </c>
      <c r="E29374" s="38" t="s">
        <v>956</v>
      </c>
      <c r="F29374" s="38" t="s">
        <v>214</v>
      </c>
      <c r="G29374" s="49" t="str">
        <f t="shared" si="1"/>
        <v>70700</v>
      </c>
      <c r="H29374" s="49">
        <f t="shared" si="2"/>
        <v>70152</v>
      </c>
    </row>
    <row r="29375">
      <c r="A29375" s="48" t="s">
        <v>1305</v>
      </c>
      <c r="B29375" s="38">
        <v>36098.0</v>
      </c>
      <c r="C29375" s="38" t="s">
        <v>33776</v>
      </c>
      <c r="D29375" s="38" t="str">
        <f>IFERROR(__xludf.DUMMYFUNCTION("REGEXREPLACE(C29375,""-\d+(.*)|--\d+(.*)"","""")"),"LIZERAY")</f>
        <v>LIZERAY</v>
      </c>
      <c r="E29375" s="38" t="s">
        <v>258</v>
      </c>
      <c r="F29375" s="38" t="s">
        <v>123</v>
      </c>
      <c r="G29375" s="49" t="str">
        <f t="shared" si="1"/>
        <v>36100</v>
      </c>
      <c r="H29375" s="49">
        <f t="shared" si="2"/>
        <v>36098</v>
      </c>
    </row>
    <row r="29376">
      <c r="A29376" s="48" t="s">
        <v>1800</v>
      </c>
      <c r="B29376" s="38">
        <v>88527.0</v>
      </c>
      <c r="C29376" s="38" t="s">
        <v>33777</v>
      </c>
      <c r="D29376" s="38" t="str">
        <f>IFERROR(__xludf.DUMMYFUNCTION("REGEXREPLACE(C29376,""-\d+(.*)|--\d+(.*)"","""")"),"XAFFEVILLERS")</f>
        <v>XAFFEVILLERS</v>
      </c>
      <c r="E29376" s="38" t="s">
        <v>194</v>
      </c>
      <c r="F29376" s="38" t="s">
        <v>195</v>
      </c>
      <c r="G29376" s="49" t="str">
        <f t="shared" si="1"/>
        <v>88700</v>
      </c>
      <c r="H29376" s="49">
        <f t="shared" si="2"/>
        <v>88527</v>
      </c>
    </row>
    <row r="29377">
      <c r="A29377" s="48" t="s">
        <v>7874</v>
      </c>
      <c r="B29377" s="38">
        <v>40213.0</v>
      </c>
      <c r="C29377" s="38" t="s">
        <v>33778</v>
      </c>
      <c r="D29377" s="38" t="str">
        <f>IFERROR(__xludf.DUMMYFUNCTION("REGEXREPLACE(C29377,""-\d+(.*)|--\d+(.*)"","""")"),"ORX")</f>
        <v>ORX</v>
      </c>
      <c r="E29377" s="38" t="s">
        <v>281</v>
      </c>
      <c r="F29377" s="38" t="s">
        <v>252</v>
      </c>
      <c r="G29377" s="49" t="str">
        <f t="shared" si="1"/>
        <v>40230</v>
      </c>
      <c r="H29377" s="49">
        <f t="shared" si="2"/>
        <v>40213</v>
      </c>
    </row>
    <row r="29378">
      <c r="A29378" s="48" t="s">
        <v>6701</v>
      </c>
      <c r="B29378" s="38">
        <v>77144.0</v>
      </c>
      <c r="C29378" s="38" t="s">
        <v>33779</v>
      </c>
      <c r="D29378" s="38" t="str">
        <f>IFERROR(__xludf.DUMMYFUNCTION("REGEXREPLACE(C29378,""-\d+(.*)|--\d+(.*)"","""")"),"CREVECOEUR-EN-BRIE")</f>
        <v>CREVECOEUR-EN-BRIE</v>
      </c>
      <c r="E29378" s="38" t="s">
        <v>244</v>
      </c>
      <c r="F29378" s="38" t="s">
        <v>245</v>
      </c>
      <c r="G29378" s="49" t="str">
        <f t="shared" si="1"/>
        <v>77610</v>
      </c>
      <c r="H29378" s="49">
        <f t="shared" si="2"/>
        <v>77144</v>
      </c>
    </row>
    <row r="29379">
      <c r="A29379" s="48" t="s">
        <v>6308</v>
      </c>
      <c r="B29379" s="38">
        <v>62770.0</v>
      </c>
      <c r="C29379" s="38" t="s">
        <v>33780</v>
      </c>
      <c r="D29379" s="38" t="str">
        <f>IFERROR(__xludf.DUMMYFUNCTION("REGEXREPLACE(C29379,""-\d+(.*)|--\d+(.*)"","""")"),"SAINT-VENANT")</f>
        <v>SAINT-VENANT</v>
      </c>
      <c r="E29379" s="38" t="s">
        <v>109</v>
      </c>
      <c r="F29379" s="38" t="s">
        <v>86</v>
      </c>
      <c r="G29379" s="49" t="str">
        <f t="shared" si="1"/>
        <v>62350</v>
      </c>
      <c r="H29379" s="49">
        <f t="shared" si="2"/>
        <v>62770</v>
      </c>
    </row>
    <row r="29380">
      <c r="A29380" s="48" t="s">
        <v>23298</v>
      </c>
      <c r="B29380" s="38">
        <v>87083.0</v>
      </c>
      <c r="C29380" s="38" t="s">
        <v>33781</v>
      </c>
      <c r="D29380" s="38" t="str">
        <f>IFERROR(__xludf.DUMMYFUNCTION("REGEXREPLACE(C29380,""-\d+(.*)|--\d+(.*)"","""")"),"LAURIERE")</f>
        <v>LAURIERE</v>
      </c>
      <c r="E29380" s="38" t="s">
        <v>897</v>
      </c>
      <c r="F29380" s="38" t="s">
        <v>98</v>
      </c>
      <c r="G29380" s="49" t="str">
        <f t="shared" si="1"/>
        <v>87370</v>
      </c>
      <c r="H29380" s="49">
        <f t="shared" si="2"/>
        <v>87083</v>
      </c>
    </row>
    <row r="29381">
      <c r="A29381" s="48" t="s">
        <v>5679</v>
      </c>
      <c r="B29381" s="38">
        <v>66201.0</v>
      </c>
      <c r="C29381" s="38" t="s">
        <v>33782</v>
      </c>
      <c r="D29381" s="38" t="str">
        <f>IFERROR(__xludf.DUMMYFUNCTION("REGEXREPLACE(C29381,""-\d+(.*)|--\d+(.*)"","""")"),"TARERACH")</f>
        <v>TARERACH</v>
      </c>
      <c r="E29381" s="38" t="s">
        <v>248</v>
      </c>
      <c r="F29381" s="38" t="s">
        <v>119</v>
      </c>
      <c r="G29381" s="49" t="str">
        <f t="shared" si="1"/>
        <v>66320</v>
      </c>
      <c r="H29381" s="49">
        <f t="shared" si="2"/>
        <v>66201</v>
      </c>
    </row>
    <row r="29382">
      <c r="A29382" s="48" t="s">
        <v>18040</v>
      </c>
      <c r="B29382" s="38">
        <v>68144.0</v>
      </c>
      <c r="C29382" s="38" t="s">
        <v>33783</v>
      </c>
      <c r="D29382" s="38" t="str">
        <f>IFERROR(__xludf.DUMMYFUNCTION("REGEXREPLACE(C29382,""-\d+(.*)|--\d+(.*)"","""")"),"HOMBOURG")</f>
        <v>HOMBOURG</v>
      </c>
      <c r="E29382" s="38" t="s">
        <v>150</v>
      </c>
      <c r="F29382" s="38" t="s">
        <v>151</v>
      </c>
      <c r="G29382" s="49" t="str">
        <f t="shared" si="1"/>
        <v>68490</v>
      </c>
      <c r="H29382" s="49">
        <f t="shared" si="2"/>
        <v>68144</v>
      </c>
    </row>
    <row r="29383">
      <c r="A29383" s="48" t="s">
        <v>1190</v>
      </c>
      <c r="B29383" s="38">
        <v>41086.0</v>
      </c>
      <c r="C29383" s="38" t="s">
        <v>33784</v>
      </c>
      <c r="D29383" s="38" t="str">
        <f>IFERROR(__xludf.DUMMYFUNCTION("REGEXREPLACE(C29383,""-\d+(.*)|--\d+(.*)"","""")"),"FONTAINES-EN-SOLOGNE")</f>
        <v>FONTAINES-EN-SOLOGNE</v>
      </c>
      <c r="E29383" s="38" t="s">
        <v>188</v>
      </c>
      <c r="F29383" s="38" t="s">
        <v>123</v>
      </c>
      <c r="G29383" s="49" t="str">
        <f t="shared" si="1"/>
        <v>41250</v>
      </c>
      <c r="H29383" s="49">
        <f t="shared" si="2"/>
        <v>41086</v>
      </c>
    </row>
    <row r="29384">
      <c r="A29384" s="48" t="s">
        <v>18666</v>
      </c>
      <c r="B29384" s="38">
        <v>42031.0</v>
      </c>
      <c r="C29384" s="38" t="s">
        <v>33785</v>
      </c>
      <c r="D29384" s="38" t="str">
        <f>IFERROR(__xludf.DUMMYFUNCTION("REGEXREPLACE(C29384,""-\d+(.*)|--\d+(.*)"","""")"),"CALOIRE")</f>
        <v>CALOIRE</v>
      </c>
      <c r="E29384" s="38" t="s">
        <v>166</v>
      </c>
      <c r="F29384" s="38" t="s">
        <v>102</v>
      </c>
      <c r="G29384" s="49" t="str">
        <f t="shared" si="1"/>
        <v>42240</v>
      </c>
      <c r="H29384" s="49">
        <f t="shared" si="2"/>
        <v>42031</v>
      </c>
    </row>
    <row r="29385">
      <c r="A29385" s="48" t="s">
        <v>5674</v>
      </c>
      <c r="B29385" s="38">
        <v>55031.0</v>
      </c>
      <c r="C29385" s="38" t="s">
        <v>33786</v>
      </c>
      <c r="D29385" s="38" t="str">
        <f>IFERROR(__xludf.DUMMYFUNCTION("REGEXREPLACE(C29385,""-\d+(.*)|--\d+(.*)"","""")"),"BAUDONVILLIERS")</f>
        <v>BAUDONVILLIERS</v>
      </c>
      <c r="E29385" s="38" t="s">
        <v>322</v>
      </c>
      <c r="F29385" s="38" t="s">
        <v>195</v>
      </c>
      <c r="G29385" s="49" t="str">
        <f t="shared" si="1"/>
        <v>55170</v>
      </c>
      <c r="H29385" s="49">
        <f t="shared" si="2"/>
        <v>55031</v>
      </c>
    </row>
    <row r="29386">
      <c r="A29386" s="48" t="s">
        <v>4864</v>
      </c>
      <c r="B29386" s="38">
        <v>91556.0</v>
      </c>
      <c r="C29386" s="38" t="s">
        <v>3567</v>
      </c>
      <c r="D29386" s="38" t="str">
        <f>IFERROR(__xludf.DUMMYFUNCTION("REGEXREPLACE(C29386,""-\d+(.*)|--\d+(.*)"","""")"),"SAINT-HILAIRE")</f>
        <v>SAINT-HILAIRE</v>
      </c>
      <c r="E29386" s="38" t="s">
        <v>756</v>
      </c>
      <c r="F29386" s="38" t="s">
        <v>245</v>
      </c>
      <c r="G29386" s="49" t="str">
        <f t="shared" si="1"/>
        <v>91780</v>
      </c>
      <c r="H29386" s="49">
        <f t="shared" si="2"/>
        <v>91556</v>
      </c>
    </row>
    <row r="29387">
      <c r="A29387" s="48" t="s">
        <v>671</v>
      </c>
      <c r="B29387" s="38">
        <v>21497.0</v>
      </c>
      <c r="C29387" s="38" t="s">
        <v>33787</v>
      </c>
      <c r="D29387" s="38" t="str">
        <f>IFERROR(__xludf.DUMMYFUNCTION("REGEXREPLACE(C29387,""-\d+(.*)|--\d+(.*)"","""")"),"PONT-ET-MASSENE")</f>
        <v>PONT-ET-MASSENE</v>
      </c>
      <c r="E29387" s="38" t="s">
        <v>105</v>
      </c>
      <c r="F29387" s="38" t="s">
        <v>106</v>
      </c>
      <c r="G29387" s="49" t="str">
        <f t="shared" si="1"/>
        <v>21140</v>
      </c>
      <c r="H29387" s="49">
        <f t="shared" si="2"/>
        <v>21497</v>
      </c>
    </row>
    <row r="29388">
      <c r="A29388" s="48" t="s">
        <v>333</v>
      </c>
      <c r="B29388" s="38">
        <v>43148.0</v>
      </c>
      <c r="C29388" s="38" t="s">
        <v>33788</v>
      </c>
      <c r="D29388" s="38" t="str">
        <f>IFERROR(__xludf.DUMMYFUNCTION("REGEXREPLACE(C29388,""-\d+(.*)|--\d+(.*)"","""")"),"PAULHAGUET")</f>
        <v>PAULHAGUET</v>
      </c>
      <c r="E29388" s="38" t="s">
        <v>332</v>
      </c>
      <c r="F29388" s="38" t="s">
        <v>161</v>
      </c>
      <c r="G29388" s="49" t="str">
        <f t="shared" si="1"/>
        <v>43230</v>
      </c>
      <c r="H29388" s="49">
        <f t="shared" si="2"/>
        <v>43148</v>
      </c>
    </row>
    <row r="29389">
      <c r="A29389" s="48" t="s">
        <v>3266</v>
      </c>
      <c r="B29389" s="38">
        <v>55220.0</v>
      </c>
      <c r="C29389" s="38" t="s">
        <v>33789</v>
      </c>
      <c r="D29389" s="38" t="str">
        <f>IFERROR(__xludf.DUMMYFUNCTION("REGEXREPLACE(C29389,""-\d+(.*)|--\d+(.*)"","""")"),"GRIMAUCOURT-PRES-SAMPIGNY")</f>
        <v>GRIMAUCOURT-PRES-SAMPIGNY</v>
      </c>
      <c r="E29389" s="38" t="s">
        <v>322</v>
      </c>
      <c r="F29389" s="38" t="s">
        <v>195</v>
      </c>
      <c r="G29389" s="49" t="str">
        <f t="shared" si="1"/>
        <v>55500</v>
      </c>
      <c r="H29389" s="49">
        <f t="shared" si="2"/>
        <v>55220</v>
      </c>
    </row>
    <row r="29390">
      <c r="A29390" s="48" t="s">
        <v>5823</v>
      </c>
      <c r="B29390" s="38">
        <v>49037.0</v>
      </c>
      <c r="C29390" s="38" t="s">
        <v>33790</v>
      </c>
      <c r="D29390" s="38" t="str">
        <f>IFERROR(__xludf.DUMMYFUNCTION("REGEXREPLACE(C29390,""-\d+(.*)|--\d+(.*)"","""")"),"LE BOURG-D'IRE")</f>
        <v>LE BOURG-D'IRE</v>
      </c>
      <c r="E29390" s="38" t="s">
        <v>653</v>
      </c>
      <c r="F29390" s="38" t="s">
        <v>180</v>
      </c>
      <c r="G29390" s="49" t="str">
        <f t="shared" si="1"/>
        <v>49520</v>
      </c>
      <c r="H29390" s="49">
        <f t="shared" si="2"/>
        <v>49037</v>
      </c>
    </row>
    <row r="29391">
      <c r="A29391" s="48" t="s">
        <v>2103</v>
      </c>
      <c r="B29391" s="38">
        <v>54292.0</v>
      </c>
      <c r="C29391" s="38" t="s">
        <v>33791</v>
      </c>
      <c r="D29391" s="38" t="str">
        <f>IFERROR(__xludf.DUMMYFUNCTION("REGEXREPLACE(C29391,""-\d+(.*)|--\d+(.*)"","""")"),"LAMATH")</f>
        <v>LAMATH</v>
      </c>
      <c r="E29391" s="38" t="s">
        <v>548</v>
      </c>
      <c r="F29391" s="38" t="s">
        <v>195</v>
      </c>
      <c r="G29391" s="49" t="str">
        <f t="shared" si="1"/>
        <v>54300</v>
      </c>
      <c r="H29391" s="49">
        <f t="shared" si="2"/>
        <v>54292</v>
      </c>
    </row>
    <row r="29392">
      <c r="A29392" s="48" t="s">
        <v>1800</v>
      </c>
      <c r="B29392" s="38">
        <v>88410.0</v>
      </c>
      <c r="C29392" s="38" t="s">
        <v>33792</v>
      </c>
      <c r="D29392" s="38" t="str">
        <f>IFERROR(__xludf.DUMMYFUNCTION("REGEXREPLACE(C29392,""-\d+(.*)|--\d+(.*)"","""")"),"SAINTE-BARBE")</f>
        <v>SAINTE-BARBE</v>
      </c>
      <c r="E29392" s="38" t="s">
        <v>194</v>
      </c>
      <c r="F29392" s="38" t="s">
        <v>195</v>
      </c>
      <c r="G29392" s="49" t="str">
        <f t="shared" si="1"/>
        <v>88700</v>
      </c>
      <c r="H29392" s="49">
        <f t="shared" si="2"/>
        <v>88410</v>
      </c>
    </row>
    <row r="29393">
      <c r="A29393" s="48" t="s">
        <v>13267</v>
      </c>
      <c r="B29393" s="38">
        <v>19130.0</v>
      </c>
      <c r="C29393" s="38" t="s">
        <v>33793</v>
      </c>
      <c r="D29393" s="38" t="str">
        <f>IFERROR(__xludf.DUMMYFUNCTION("REGEXREPLACE(C29393,""-\d+(.*)|--\d+(.*)"","""")"),"MAUSSAC")</f>
        <v>MAUSSAC</v>
      </c>
      <c r="E29393" s="38" t="s">
        <v>271</v>
      </c>
      <c r="F29393" s="38" t="s">
        <v>98</v>
      </c>
      <c r="G29393" s="49" t="str">
        <f t="shared" si="1"/>
        <v>19250</v>
      </c>
      <c r="H29393" s="49">
        <f t="shared" si="2"/>
        <v>19130</v>
      </c>
    </row>
    <row r="29394">
      <c r="A29394" s="48" t="s">
        <v>1505</v>
      </c>
      <c r="B29394" s="38">
        <v>81151.0</v>
      </c>
      <c r="C29394" s="38" t="s">
        <v>33794</v>
      </c>
      <c r="D29394" s="38" t="str">
        <f>IFERROR(__xludf.DUMMYFUNCTION("REGEXREPLACE(C29394,""-\d+(.*)|--\d+(.*)"","""")"),"MAGRIN")</f>
        <v>MAGRIN</v>
      </c>
      <c r="E29394" s="38" t="s">
        <v>231</v>
      </c>
      <c r="F29394" s="38" t="s">
        <v>94</v>
      </c>
      <c r="G29394" s="49" t="str">
        <f t="shared" si="1"/>
        <v>81220</v>
      </c>
      <c r="H29394" s="49">
        <f t="shared" si="2"/>
        <v>81151</v>
      </c>
    </row>
    <row r="29395">
      <c r="A29395" s="48" t="s">
        <v>5944</v>
      </c>
      <c r="B29395" s="38">
        <v>62693.0</v>
      </c>
      <c r="C29395" s="38" t="s">
        <v>33795</v>
      </c>
      <c r="D29395" s="38" t="str">
        <f>IFERROR(__xludf.DUMMYFUNCTION("REGEXREPLACE(C29395,""-\d+(.*)|--\d+(.*)"","""")"),"REBREUVE-RANCHICOURT")</f>
        <v>REBREUVE-RANCHICOURT</v>
      </c>
      <c r="E29395" s="38" t="s">
        <v>109</v>
      </c>
      <c r="F29395" s="38" t="s">
        <v>86</v>
      </c>
      <c r="G29395" s="49" t="str">
        <f t="shared" si="1"/>
        <v>62150</v>
      </c>
      <c r="H29395" s="49">
        <f t="shared" si="2"/>
        <v>62693</v>
      </c>
    </row>
    <row r="29396">
      <c r="A29396" s="48" t="s">
        <v>17233</v>
      </c>
      <c r="B29396" s="38">
        <v>73181.0</v>
      </c>
      <c r="C29396" s="38" t="s">
        <v>9528</v>
      </c>
      <c r="D29396" s="38" t="str">
        <f>IFERROR(__xludf.DUMMYFUNCTION("REGEXREPLACE(C29396,""-\d+(.*)|--\d+(.*)"","""")"),"MOUTIERS")</f>
        <v>MOUTIERS</v>
      </c>
      <c r="E29396" s="38" t="s">
        <v>306</v>
      </c>
      <c r="F29396" s="38" t="s">
        <v>102</v>
      </c>
      <c r="G29396" s="49" t="str">
        <f t="shared" si="1"/>
        <v>73600</v>
      </c>
      <c r="H29396" s="49">
        <f t="shared" si="2"/>
        <v>73181</v>
      </c>
    </row>
    <row r="29397">
      <c r="A29397" s="48" t="s">
        <v>12264</v>
      </c>
      <c r="B29397" s="38">
        <v>16388.0</v>
      </c>
      <c r="C29397" s="38" t="s">
        <v>33796</v>
      </c>
      <c r="D29397" s="38" t="str">
        <f>IFERROR(__xludf.DUMMYFUNCTION("REGEXREPLACE(C29397,""-\d+(.*)|--\d+(.*)"","""")"),"TROIS-PALIS")</f>
        <v>TROIS-PALIS</v>
      </c>
      <c r="E29397" s="38" t="s">
        <v>429</v>
      </c>
      <c r="F29397" s="38" t="s">
        <v>338</v>
      </c>
      <c r="G29397" s="49" t="str">
        <f t="shared" si="1"/>
        <v>16730</v>
      </c>
      <c r="H29397" s="49">
        <f t="shared" si="2"/>
        <v>16388</v>
      </c>
    </row>
    <row r="29398">
      <c r="A29398" s="48" t="s">
        <v>1892</v>
      </c>
      <c r="B29398" s="38">
        <v>67341.0</v>
      </c>
      <c r="C29398" s="38" t="s">
        <v>33797</v>
      </c>
      <c r="D29398" s="38" t="str">
        <f>IFERROR(__xludf.DUMMYFUNCTION("REGEXREPLACE(C29398,""-\d+(.*)|--\d+(.*)"","""")"),"OBERDORF-SPACHBACH")</f>
        <v>OBERDORF-SPACHBACH</v>
      </c>
      <c r="E29398" s="38" t="s">
        <v>210</v>
      </c>
      <c r="F29398" s="38" t="s">
        <v>151</v>
      </c>
      <c r="G29398" s="49" t="str">
        <f t="shared" si="1"/>
        <v>67360</v>
      </c>
      <c r="H29398" s="49">
        <f t="shared" si="2"/>
        <v>67341</v>
      </c>
    </row>
    <row r="29399">
      <c r="A29399" s="48" t="s">
        <v>3900</v>
      </c>
      <c r="B29399" s="38">
        <v>2177.0</v>
      </c>
      <c r="C29399" s="38" t="s">
        <v>33798</v>
      </c>
      <c r="D29399" s="38" t="str">
        <f>IFERROR(__xludf.DUMMYFUNCTION("REGEXREPLACE(C29399,""-\d+(.*)|--\d+(.*)"","""")"),"CHERET")</f>
        <v>CHERET</v>
      </c>
      <c r="E29399" s="38" t="s">
        <v>191</v>
      </c>
      <c r="F29399" s="38" t="s">
        <v>113</v>
      </c>
      <c r="G29399" s="49" t="str">
        <f t="shared" si="1"/>
        <v>02860</v>
      </c>
      <c r="H29399" s="49" t="str">
        <f t="shared" si="2"/>
        <v>02177</v>
      </c>
    </row>
    <row r="29400">
      <c r="A29400" s="48" t="s">
        <v>25341</v>
      </c>
      <c r="B29400" s="38">
        <v>81289.0</v>
      </c>
      <c r="C29400" s="38" t="s">
        <v>33799</v>
      </c>
      <c r="D29400" s="38" t="str">
        <f>IFERROR(__xludf.DUMMYFUNCTION("REGEXREPLACE(C29400,""-\d+(.*)|--\d+(.*)"","""")"),"SOUAL")</f>
        <v>SOUAL</v>
      </c>
      <c r="E29400" s="38" t="s">
        <v>231</v>
      </c>
      <c r="F29400" s="38" t="s">
        <v>94</v>
      </c>
      <c r="G29400" s="49" t="str">
        <f t="shared" si="1"/>
        <v>81580</v>
      </c>
      <c r="H29400" s="49">
        <f t="shared" si="2"/>
        <v>81289</v>
      </c>
    </row>
    <row r="29401">
      <c r="A29401" s="48" t="s">
        <v>33800</v>
      </c>
      <c r="B29401" s="38">
        <v>97413.0</v>
      </c>
      <c r="C29401" s="38" t="s">
        <v>33801</v>
      </c>
      <c r="D29401" s="38" t="str">
        <f>IFERROR(__xludf.DUMMYFUNCTION("REGEXREPLACE(C29401,""-\d+(.*)|--\d+(.*)"","""")"),"SAINT-LEU")</f>
        <v>SAINT-LEU</v>
      </c>
      <c r="E29401" s="38" t="s">
        <v>7739</v>
      </c>
      <c r="F29401" s="38" t="s">
        <v>7739</v>
      </c>
      <c r="G29401" s="49" t="str">
        <f t="shared" si="1"/>
        <v>97436</v>
      </c>
      <c r="H29401" s="49">
        <f t="shared" si="2"/>
        <v>97413</v>
      </c>
    </row>
    <row r="29402">
      <c r="A29402" s="48" t="s">
        <v>33802</v>
      </c>
      <c r="B29402" s="38">
        <v>66195.0</v>
      </c>
      <c r="C29402" s="38" t="s">
        <v>33803</v>
      </c>
      <c r="D29402" s="38" t="str">
        <f>IFERROR(__xludf.DUMMYFUNCTION("REGEXREPLACE(C29402,""-\d+(.*)|--\d+(.*)"","""")"),"LE SOLER")</f>
        <v>LE SOLER</v>
      </c>
      <c r="E29402" s="38" t="s">
        <v>248</v>
      </c>
      <c r="F29402" s="38" t="s">
        <v>119</v>
      </c>
      <c r="G29402" s="49" t="str">
        <f t="shared" si="1"/>
        <v>66270</v>
      </c>
      <c r="H29402" s="49">
        <f t="shared" si="2"/>
        <v>66195</v>
      </c>
    </row>
    <row r="29403">
      <c r="A29403" s="48" t="s">
        <v>7371</v>
      </c>
      <c r="B29403" s="38">
        <v>17186.0</v>
      </c>
      <c r="C29403" s="38" t="s">
        <v>33804</v>
      </c>
      <c r="D29403" s="38" t="str">
        <f>IFERROR(__xludf.DUMMYFUNCTION("REGEXREPLACE(C29403,""-\d+(.*)|--\d+(.*)"","""")"),"LE GUE-D'ALLERE")</f>
        <v>LE GUE-D'ALLERE</v>
      </c>
      <c r="E29403" s="38" t="s">
        <v>488</v>
      </c>
      <c r="F29403" s="38" t="s">
        <v>338</v>
      </c>
      <c r="G29403" s="49" t="str">
        <f t="shared" si="1"/>
        <v>17540</v>
      </c>
      <c r="H29403" s="49">
        <f t="shared" si="2"/>
        <v>17186</v>
      </c>
    </row>
    <row r="29404">
      <c r="A29404" s="48" t="s">
        <v>4323</v>
      </c>
      <c r="B29404" s="38">
        <v>30134.0</v>
      </c>
      <c r="C29404" s="38" t="s">
        <v>33805</v>
      </c>
      <c r="D29404" s="38" t="str">
        <f>IFERROR(__xludf.DUMMYFUNCTION("REGEXREPLACE(C29404,""-\d+(.*)|--\d+(.*)"","""")"),"ISSIRAC")</f>
        <v>ISSIRAC</v>
      </c>
      <c r="E29404" s="38" t="s">
        <v>526</v>
      </c>
      <c r="F29404" s="38" t="s">
        <v>119</v>
      </c>
      <c r="G29404" s="49" t="str">
        <f t="shared" si="1"/>
        <v>30760</v>
      </c>
      <c r="H29404" s="49">
        <f t="shared" si="2"/>
        <v>30134</v>
      </c>
    </row>
    <row r="29405">
      <c r="A29405" s="48" t="s">
        <v>1733</v>
      </c>
      <c r="B29405" s="38">
        <v>23037.0</v>
      </c>
      <c r="C29405" s="38" t="s">
        <v>33806</v>
      </c>
      <c r="D29405" s="38" t="str">
        <f>IFERROR(__xludf.DUMMYFUNCTION("REGEXREPLACE(C29405,""-\d+(.*)|--\d+(.*)"","""")"),"BUSSIERE-NOUVELLE")</f>
        <v>BUSSIERE-NOUVELLE</v>
      </c>
      <c r="E29405" s="38" t="s">
        <v>97</v>
      </c>
      <c r="F29405" s="38" t="s">
        <v>98</v>
      </c>
      <c r="G29405" s="49" t="str">
        <f t="shared" si="1"/>
        <v>23700</v>
      </c>
      <c r="H29405" s="49">
        <f t="shared" si="2"/>
        <v>23037</v>
      </c>
    </row>
    <row r="29406">
      <c r="A29406" s="48" t="s">
        <v>9006</v>
      </c>
      <c r="B29406" s="38">
        <v>67181.0</v>
      </c>
      <c r="C29406" s="38" t="s">
        <v>33807</v>
      </c>
      <c r="D29406" s="38" t="str">
        <f>IFERROR(__xludf.DUMMYFUNCTION("REGEXREPLACE(C29406,""-\d+(.*)|--\d+(.*)"","""")"),"HANDSCHUHEIM")</f>
        <v>HANDSCHUHEIM</v>
      </c>
      <c r="E29406" s="38" t="s">
        <v>210</v>
      </c>
      <c r="F29406" s="38" t="s">
        <v>151</v>
      </c>
      <c r="G29406" s="49" t="str">
        <f t="shared" si="1"/>
        <v>67117</v>
      </c>
      <c r="H29406" s="49">
        <f t="shared" si="2"/>
        <v>67181</v>
      </c>
    </row>
    <row r="29407">
      <c r="A29407" s="48" t="s">
        <v>1536</v>
      </c>
      <c r="B29407" s="38">
        <v>43084.0</v>
      </c>
      <c r="C29407" s="38" t="s">
        <v>33808</v>
      </c>
      <c r="D29407" s="38" t="str">
        <f>IFERROR(__xludf.DUMMYFUNCTION("REGEXREPLACE(C29407,""-\d+(.*)|--\d+(.*)"","""")"),"CUSSAC-SUR-LOIRE")</f>
        <v>CUSSAC-SUR-LOIRE</v>
      </c>
      <c r="E29407" s="38" t="s">
        <v>332</v>
      </c>
      <c r="F29407" s="38" t="s">
        <v>161</v>
      </c>
      <c r="G29407" s="49" t="str">
        <f t="shared" si="1"/>
        <v>43370</v>
      </c>
      <c r="H29407" s="49">
        <f t="shared" si="2"/>
        <v>43084</v>
      </c>
    </row>
    <row r="29408">
      <c r="A29408" s="48" t="s">
        <v>4900</v>
      </c>
      <c r="B29408" s="38">
        <v>33470.0</v>
      </c>
      <c r="C29408" s="38" t="s">
        <v>33809</v>
      </c>
      <c r="D29408" s="38" t="str">
        <f>IFERROR(__xludf.DUMMYFUNCTION("REGEXREPLACE(C29408,""-\d+(.*)|--\d+(.*)"","""")"),"SAINT-ROMAIN-LA-VIRVEE")</f>
        <v>SAINT-ROMAIN-LA-VIRVEE</v>
      </c>
      <c r="E29408" s="38" t="s">
        <v>462</v>
      </c>
      <c r="F29408" s="38" t="s">
        <v>252</v>
      </c>
      <c r="G29408" s="49" t="str">
        <f t="shared" si="1"/>
        <v>33240</v>
      </c>
      <c r="H29408" s="49">
        <f t="shared" si="2"/>
        <v>33470</v>
      </c>
    </row>
    <row r="29409">
      <c r="A29409" s="48" t="s">
        <v>10324</v>
      </c>
      <c r="B29409" s="38">
        <v>54117.0</v>
      </c>
      <c r="C29409" s="38" t="s">
        <v>33810</v>
      </c>
      <c r="D29409" s="38" t="str">
        <f>IFERROR(__xludf.DUMMYFUNCTION("REGEXREPLACE(C29409,""-\d+(.*)|--\d+(.*)"","""")"),"CHAOUILLEY")</f>
        <v>CHAOUILLEY</v>
      </c>
      <c r="E29409" s="38" t="s">
        <v>548</v>
      </c>
      <c r="F29409" s="38" t="s">
        <v>195</v>
      </c>
      <c r="G29409" s="49" t="str">
        <f t="shared" si="1"/>
        <v>54330</v>
      </c>
      <c r="H29409" s="49">
        <f t="shared" si="2"/>
        <v>54117</v>
      </c>
    </row>
    <row r="29410">
      <c r="A29410" s="48" t="s">
        <v>8922</v>
      </c>
      <c r="B29410" s="38">
        <v>27366.0</v>
      </c>
      <c r="C29410" s="38" t="s">
        <v>33811</v>
      </c>
      <c r="D29410" s="38" t="str">
        <f>IFERROR(__xludf.DUMMYFUNCTION("REGEXREPLACE(C29410,""-\d+(.*)|--\d+(.*)"","""")"),"LETTEGUIVES")</f>
        <v>LETTEGUIVES</v>
      </c>
      <c r="E29410" s="38" t="s">
        <v>241</v>
      </c>
      <c r="F29410" s="38" t="s">
        <v>134</v>
      </c>
      <c r="G29410" s="49" t="str">
        <f t="shared" si="1"/>
        <v>27910</v>
      </c>
      <c r="H29410" s="49">
        <f t="shared" si="2"/>
        <v>27366</v>
      </c>
    </row>
    <row r="29411">
      <c r="A29411" s="48" t="s">
        <v>2379</v>
      </c>
      <c r="B29411" s="38">
        <v>65388.0</v>
      </c>
      <c r="C29411" s="38" t="s">
        <v>33812</v>
      </c>
      <c r="D29411" s="38" t="str">
        <f>IFERROR(__xludf.DUMMYFUNCTION("REGEXREPLACE(C29411,""-\d+(.*)|--\d+(.*)"","""")"),"SAINT-LARY-SOULAN")</f>
        <v>SAINT-LARY-SOULAN</v>
      </c>
      <c r="E29411" s="38" t="s">
        <v>200</v>
      </c>
      <c r="F29411" s="38" t="s">
        <v>94</v>
      </c>
      <c r="G29411" s="49" t="str">
        <f t="shared" si="1"/>
        <v>65170</v>
      </c>
      <c r="H29411" s="49">
        <f t="shared" si="2"/>
        <v>65388</v>
      </c>
    </row>
    <row r="29412">
      <c r="A29412" s="48" t="s">
        <v>1677</v>
      </c>
      <c r="B29412" s="38">
        <v>59080.0</v>
      </c>
      <c r="C29412" s="38" t="s">
        <v>33813</v>
      </c>
      <c r="D29412" s="38" t="str">
        <f>IFERROR(__xludf.DUMMYFUNCTION("REGEXREPLACE(C29412,""-\d+(.*)|--\d+(.*)"","""")"),"BEUVRY-LA-FORET")</f>
        <v>BEUVRY-LA-FORET</v>
      </c>
      <c r="E29412" s="38" t="s">
        <v>85</v>
      </c>
      <c r="F29412" s="38" t="s">
        <v>86</v>
      </c>
      <c r="G29412" s="49" t="str">
        <f t="shared" si="1"/>
        <v>59310</v>
      </c>
      <c r="H29412" s="49">
        <f t="shared" si="2"/>
        <v>59080</v>
      </c>
    </row>
    <row r="29413">
      <c r="A29413" s="48" t="s">
        <v>232</v>
      </c>
      <c r="B29413" s="38">
        <v>52137.0</v>
      </c>
      <c r="C29413" s="38" t="s">
        <v>33814</v>
      </c>
      <c r="D29413" s="38" t="str">
        <f>IFERROR(__xludf.DUMMYFUNCTION("REGEXREPLACE(C29413,""-\d+(.*)|--\d+(.*)"","""")"),"COLMIER-LE-BAS")</f>
        <v>COLMIER-LE-BAS</v>
      </c>
      <c r="E29413" s="38" t="s">
        <v>234</v>
      </c>
      <c r="F29413" s="38" t="s">
        <v>130</v>
      </c>
      <c r="G29413" s="49" t="str">
        <f t="shared" si="1"/>
        <v>52160</v>
      </c>
      <c r="H29413" s="49">
        <f t="shared" si="2"/>
        <v>52137</v>
      </c>
    </row>
    <row r="29414">
      <c r="A29414" s="48" t="s">
        <v>14600</v>
      </c>
      <c r="B29414" s="38">
        <v>12166.0</v>
      </c>
      <c r="C29414" s="38" t="s">
        <v>33815</v>
      </c>
      <c r="D29414" s="38" t="str">
        <f>IFERROR(__xludf.DUMMYFUNCTION("REGEXREPLACE(C29414,""-\d+(.*)|--\d+(.*)"","""")"),"MUROLS")</f>
        <v>MUROLS</v>
      </c>
      <c r="E29414" s="38" t="s">
        <v>465</v>
      </c>
      <c r="F29414" s="38" t="s">
        <v>94</v>
      </c>
      <c r="G29414" s="49" t="str">
        <f t="shared" si="1"/>
        <v>12600</v>
      </c>
      <c r="H29414" s="49">
        <f t="shared" si="2"/>
        <v>12166</v>
      </c>
    </row>
    <row r="29415">
      <c r="A29415" s="48" t="s">
        <v>3924</v>
      </c>
      <c r="B29415" s="38">
        <v>81200.0</v>
      </c>
      <c r="C29415" s="38" t="s">
        <v>33816</v>
      </c>
      <c r="D29415" s="38" t="str">
        <f>IFERROR(__xludf.DUMMYFUNCTION("REGEXREPLACE(C29415,""-\d+(.*)|--\d+(.*)"","""")"),"PALLEVILLE")</f>
        <v>PALLEVILLE</v>
      </c>
      <c r="E29415" s="38" t="s">
        <v>231</v>
      </c>
      <c r="F29415" s="38" t="s">
        <v>94</v>
      </c>
      <c r="G29415" s="49" t="str">
        <f t="shared" si="1"/>
        <v>81700</v>
      </c>
      <c r="H29415" s="49">
        <f t="shared" si="2"/>
        <v>81200</v>
      </c>
    </row>
    <row r="29416">
      <c r="A29416" s="48" t="s">
        <v>12184</v>
      </c>
      <c r="B29416" s="38">
        <v>49339.0</v>
      </c>
      <c r="C29416" s="38" t="s">
        <v>33817</v>
      </c>
      <c r="D29416" s="38" t="str">
        <f>IFERROR(__xludf.DUMMYFUNCTION("REGEXREPLACE(C29416,""-\d+(.*)|--\d+(.*)"","""")"),"SOULAIRE-ET-BOURG")</f>
        <v>SOULAIRE-ET-BOURG</v>
      </c>
      <c r="E29416" s="38" t="s">
        <v>653</v>
      </c>
      <c r="F29416" s="38" t="s">
        <v>180</v>
      </c>
      <c r="G29416" s="49" t="str">
        <f t="shared" si="1"/>
        <v>49460</v>
      </c>
      <c r="H29416" s="49">
        <f t="shared" si="2"/>
        <v>49339</v>
      </c>
    </row>
    <row r="29417">
      <c r="A29417" s="48" t="s">
        <v>342</v>
      </c>
      <c r="B29417" s="38">
        <v>71525.0</v>
      </c>
      <c r="C29417" s="38" t="s">
        <v>33818</v>
      </c>
      <c r="D29417" s="38" t="str">
        <f>IFERROR(__xludf.DUMMYFUNCTION("REGEXREPLACE(C29417,""-\d+(.*)|--\d+(.*)"","""")"),"SOLOGNY")</f>
        <v>SOLOGNY</v>
      </c>
      <c r="E29417" s="38" t="s">
        <v>344</v>
      </c>
      <c r="F29417" s="38" t="s">
        <v>106</v>
      </c>
      <c r="G29417" s="49" t="str">
        <f t="shared" si="1"/>
        <v>71960</v>
      </c>
      <c r="H29417" s="49">
        <f t="shared" si="2"/>
        <v>71525</v>
      </c>
    </row>
    <row r="29418">
      <c r="A29418" s="48" t="s">
        <v>2346</v>
      </c>
      <c r="B29418" s="38">
        <v>4193.0</v>
      </c>
      <c r="C29418" s="38" t="s">
        <v>33819</v>
      </c>
      <c r="D29418" s="38" t="str">
        <f>IFERROR(__xludf.DUMMYFUNCTION("REGEXREPLACE(C29418,""-\d+(.*)|--\d+(.*)"","""")"),"SAINT-PAUL-SUR-UBAYE")</f>
        <v>SAINT-PAUL-SUR-UBAYE</v>
      </c>
      <c r="E29418" s="38" t="s">
        <v>662</v>
      </c>
      <c r="F29418" s="38" t="s">
        <v>228</v>
      </c>
      <c r="G29418" s="49" t="str">
        <f t="shared" si="1"/>
        <v>04530</v>
      </c>
      <c r="H29418" s="49" t="str">
        <f t="shared" si="2"/>
        <v>04193</v>
      </c>
    </row>
    <row r="29419">
      <c r="A29419" s="48" t="s">
        <v>14759</v>
      </c>
      <c r="B29419" s="38">
        <v>19216.0</v>
      </c>
      <c r="C29419" s="38" t="s">
        <v>33820</v>
      </c>
      <c r="D29419" s="38" t="str">
        <f>IFERROR(__xludf.DUMMYFUNCTION("REGEXREPLACE(C29419,""-\d+(.*)|--\d+(.*)"","""")"),"SAINT-JULIEN-LE-VENDOMOIS")</f>
        <v>SAINT-JULIEN-LE-VENDOMOIS</v>
      </c>
      <c r="E29419" s="38" t="s">
        <v>271</v>
      </c>
      <c r="F29419" s="38" t="s">
        <v>98</v>
      </c>
      <c r="G29419" s="49" t="str">
        <f t="shared" si="1"/>
        <v>19210</v>
      </c>
      <c r="H29419" s="49">
        <f t="shared" si="2"/>
        <v>19216</v>
      </c>
    </row>
    <row r="29420">
      <c r="A29420" s="48" t="s">
        <v>14225</v>
      </c>
      <c r="B29420" s="38">
        <v>73329.0</v>
      </c>
      <c r="C29420" s="38" t="s">
        <v>33821</v>
      </c>
      <c r="D29420" s="38" t="str">
        <f>IFERROR(__xludf.DUMMYFUNCTION("REGEXREPLACE(C29420,""-\d+(.*)|--\d+(.*)"","""")"),"VOGLANS")</f>
        <v>VOGLANS</v>
      </c>
      <c r="E29420" s="38" t="s">
        <v>306</v>
      </c>
      <c r="F29420" s="38" t="s">
        <v>102</v>
      </c>
      <c r="G29420" s="49" t="str">
        <f t="shared" si="1"/>
        <v>73420</v>
      </c>
      <c r="H29420" s="49">
        <f t="shared" si="2"/>
        <v>73329</v>
      </c>
    </row>
    <row r="29421">
      <c r="A29421" s="48" t="s">
        <v>7777</v>
      </c>
      <c r="B29421" s="38">
        <v>54282.0</v>
      </c>
      <c r="C29421" s="38" t="s">
        <v>33822</v>
      </c>
      <c r="D29421" s="38" t="str">
        <f>IFERROR(__xludf.DUMMYFUNCTION("REGEXREPLACE(C29421,""-\d+(.*)|--\d+(.*)"","""")"),"JOPPECOURT")</f>
        <v>JOPPECOURT</v>
      </c>
      <c r="E29421" s="38" t="s">
        <v>548</v>
      </c>
      <c r="F29421" s="38" t="s">
        <v>195</v>
      </c>
      <c r="G29421" s="49" t="str">
        <f t="shared" si="1"/>
        <v>54620</v>
      </c>
      <c r="H29421" s="49">
        <f t="shared" si="2"/>
        <v>54282</v>
      </c>
    </row>
    <row r="29422">
      <c r="A29422" s="48" t="s">
        <v>732</v>
      </c>
      <c r="B29422" s="38">
        <v>10369.0</v>
      </c>
      <c r="C29422" s="38" t="s">
        <v>33823</v>
      </c>
      <c r="D29422" s="38" t="str">
        <f>IFERROR(__xludf.DUMMYFUNCTION("REGEXREPLACE(C29422,""-\d+(.*)|--\d+(.*)"","""")"),"SEMOINE")</f>
        <v>SEMOINE</v>
      </c>
      <c r="E29422" s="38" t="s">
        <v>147</v>
      </c>
      <c r="F29422" s="38" t="s">
        <v>130</v>
      </c>
      <c r="G29422" s="49" t="str">
        <f t="shared" si="1"/>
        <v>10700</v>
      </c>
      <c r="H29422" s="49">
        <f t="shared" si="2"/>
        <v>10369</v>
      </c>
    </row>
    <row r="29423">
      <c r="A29423" s="48" t="s">
        <v>6672</v>
      </c>
      <c r="B29423" s="38">
        <v>17375.0</v>
      </c>
      <c r="C29423" s="38" t="s">
        <v>33824</v>
      </c>
      <c r="D29423" s="38" t="str">
        <f>IFERROR(__xludf.DUMMYFUNCTION("REGEXREPLACE(C29423,""-\d+(.*)|--\d+(.*)"","""")"),"SAINT-NAZAIRE-SUR-CHARENTE")</f>
        <v>SAINT-NAZAIRE-SUR-CHARENTE</v>
      </c>
      <c r="E29423" s="38" t="s">
        <v>488</v>
      </c>
      <c r="F29423" s="38" t="s">
        <v>338</v>
      </c>
      <c r="G29423" s="49" t="str">
        <f t="shared" si="1"/>
        <v>17780</v>
      </c>
      <c r="H29423" s="49">
        <f t="shared" si="2"/>
        <v>17375</v>
      </c>
    </row>
    <row r="29424">
      <c r="A29424" s="48" t="s">
        <v>1435</v>
      </c>
      <c r="B29424" s="38">
        <v>14261.0</v>
      </c>
      <c r="C29424" s="38" t="s">
        <v>33825</v>
      </c>
      <c r="D29424" s="38" t="str">
        <f>IFERROR(__xludf.DUMMYFUNCTION("REGEXREPLACE(C29424,""-\d+(.*)|--\d+(.*)"","""")"),"LE FAULQ")</f>
        <v>LE FAULQ</v>
      </c>
      <c r="E29424" s="38" t="s">
        <v>137</v>
      </c>
      <c r="F29424" s="38" t="s">
        <v>138</v>
      </c>
      <c r="G29424" s="49" t="str">
        <f t="shared" si="1"/>
        <v>14130</v>
      </c>
      <c r="H29424" s="49">
        <f t="shared" si="2"/>
        <v>14261</v>
      </c>
    </row>
    <row r="29425">
      <c r="A29425" s="48" t="s">
        <v>6298</v>
      </c>
      <c r="B29425" s="38">
        <v>26348.0</v>
      </c>
      <c r="C29425" s="38" t="s">
        <v>33826</v>
      </c>
      <c r="D29425" s="38" t="str">
        <f>IFERROR(__xludf.DUMMYFUNCTION("REGEXREPLACE(C29425,""-\d+(.*)|--\d+(.*)"","""")"),"TAULIGNAN")</f>
        <v>TAULIGNAN</v>
      </c>
      <c r="E29425" s="38" t="s">
        <v>126</v>
      </c>
      <c r="F29425" s="38" t="s">
        <v>102</v>
      </c>
      <c r="G29425" s="49" t="str">
        <f t="shared" si="1"/>
        <v>26770</v>
      </c>
      <c r="H29425" s="49">
        <f t="shared" si="2"/>
        <v>26348</v>
      </c>
    </row>
    <row r="29426">
      <c r="A29426" s="48" t="s">
        <v>3988</v>
      </c>
      <c r="B29426" s="38">
        <v>51347.0</v>
      </c>
      <c r="C29426" s="38" t="s">
        <v>33827</v>
      </c>
      <c r="D29426" s="38" t="str">
        <f>IFERROR(__xludf.DUMMYFUNCTION("REGEXREPLACE(C29426,""-\d+(.*)|--\d+(.*)"","""")"),"MAREUIL-SUR-AY")</f>
        <v>MAREUIL-SUR-AY</v>
      </c>
      <c r="E29426" s="38" t="s">
        <v>129</v>
      </c>
      <c r="F29426" s="38" t="s">
        <v>130</v>
      </c>
      <c r="G29426" s="49" t="str">
        <f t="shared" si="1"/>
        <v>51160</v>
      </c>
      <c r="H29426" s="49">
        <f t="shared" si="2"/>
        <v>51347</v>
      </c>
    </row>
    <row r="29427">
      <c r="A29427" s="48" t="s">
        <v>33828</v>
      </c>
      <c r="B29427" s="38">
        <v>54578.0</v>
      </c>
      <c r="C29427" s="38" t="s">
        <v>33829</v>
      </c>
      <c r="D29427" s="38" t="str">
        <f>IFERROR(__xludf.DUMMYFUNCTION("REGEXREPLACE(C29427,""-\d+(.*)|--\d+(.*)"","""")"),"VILLERS-LES-NANCY")</f>
        <v>VILLERS-LES-NANCY</v>
      </c>
      <c r="E29427" s="38" t="s">
        <v>548</v>
      </c>
      <c r="F29427" s="38" t="s">
        <v>195</v>
      </c>
      <c r="G29427" s="49" t="str">
        <f t="shared" si="1"/>
        <v>54600</v>
      </c>
      <c r="H29427" s="49">
        <f t="shared" si="2"/>
        <v>54578</v>
      </c>
    </row>
    <row r="29428">
      <c r="A29428" s="48" t="s">
        <v>948</v>
      </c>
      <c r="B29428" s="38">
        <v>68057.0</v>
      </c>
      <c r="C29428" s="38" t="s">
        <v>33830</v>
      </c>
      <c r="D29428" s="38" t="str">
        <f>IFERROR(__xludf.DUMMYFUNCTION("REGEXREPLACE(C29428,""-\d+(.*)|--\d+(.*)"","""")"),"BUETHWILLER")</f>
        <v>BUETHWILLER</v>
      </c>
      <c r="E29428" s="38" t="s">
        <v>150</v>
      </c>
      <c r="F29428" s="38" t="s">
        <v>151</v>
      </c>
      <c r="G29428" s="49" t="str">
        <f t="shared" si="1"/>
        <v>68210</v>
      </c>
      <c r="H29428" s="49">
        <f t="shared" si="2"/>
        <v>68057</v>
      </c>
    </row>
    <row r="29429">
      <c r="A29429" s="48" t="s">
        <v>12410</v>
      </c>
      <c r="B29429" s="38">
        <v>66098.0</v>
      </c>
      <c r="C29429" s="38" t="s">
        <v>33831</v>
      </c>
      <c r="D29429" s="38" t="str">
        <f>IFERROR(__xludf.DUMMYFUNCTION("REGEXREPLACE(C29429,""-\d+(.*)|--\d+(.*)"","""")"),"LA LLAGONNE")</f>
        <v>LA LLAGONNE</v>
      </c>
      <c r="E29429" s="38" t="s">
        <v>248</v>
      </c>
      <c r="F29429" s="38" t="s">
        <v>119</v>
      </c>
      <c r="G29429" s="49" t="str">
        <f t="shared" si="1"/>
        <v>66210</v>
      </c>
      <c r="H29429" s="49">
        <f t="shared" si="2"/>
        <v>66098</v>
      </c>
    </row>
    <row r="29430">
      <c r="A29430" s="48" t="s">
        <v>2159</v>
      </c>
      <c r="B29430" s="38">
        <v>57127.0</v>
      </c>
      <c r="C29430" s="38" t="s">
        <v>33832</v>
      </c>
      <c r="D29430" s="38" t="str">
        <f>IFERROR(__xludf.DUMMYFUNCTION("REGEXREPLACE(C29430,""-\d+(.*)|--\d+(.*)"","""")"),"CHANVILLE")</f>
        <v>CHANVILLE</v>
      </c>
      <c r="E29430" s="38" t="s">
        <v>303</v>
      </c>
      <c r="F29430" s="38" t="s">
        <v>195</v>
      </c>
      <c r="G29430" s="49" t="str">
        <f t="shared" si="1"/>
        <v>57580</v>
      </c>
      <c r="H29430" s="49">
        <f t="shared" si="2"/>
        <v>57127</v>
      </c>
    </row>
    <row r="29431">
      <c r="A29431" s="48" t="s">
        <v>6767</v>
      </c>
      <c r="B29431" s="38">
        <v>15251.0</v>
      </c>
      <c r="C29431" s="38" t="s">
        <v>33833</v>
      </c>
      <c r="D29431" s="38" t="str">
        <f>IFERROR(__xludf.DUMMYFUNCTION("REGEXREPLACE(C29431,""-\d+(.*)|--\d+(.*)"","""")"),"VEDRINES-SAINT-LOUP")</f>
        <v>VEDRINES-SAINT-LOUP</v>
      </c>
      <c r="E29431" s="38" t="s">
        <v>632</v>
      </c>
      <c r="F29431" s="38" t="s">
        <v>161</v>
      </c>
      <c r="G29431" s="49" t="str">
        <f t="shared" si="1"/>
        <v>15100</v>
      </c>
      <c r="H29431" s="49">
        <f t="shared" si="2"/>
        <v>15251</v>
      </c>
    </row>
    <row r="29432">
      <c r="A29432" s="48" t="s">
        <v>1031</v>
      </c>
      <c r="B29432" s="38">
        <v>2489.0</v>
      </c>
      <c r="C29432" s="38" t="s">
        <v>33834</v>
      </c>
      <c r="D29432" s="38" t="str">
        <f>IFERROR(__xludf.DUMMYFUNCTION("REGEXREPLACE(C29432,""-\d+(.*)|--\d+(.*)"","""")"),"MOLINCHART")</f>
        <v>MOLINCHART</v>
      </c>
      <c r="E29432" s="38" t="s">
        <v>191</v>
      </c>
      <c r="F29432" s="38" t="s">
        <v>113</v>
      </c>
      <c r="G29432" s="49" t="str">
        <f t="shared" si="1"/>
        <v>02000</v>
      </c>
      <c r="H29432" s="49" t="str">
        <f t="shared" si="2"/>
        <v>02489</v>
      </c>
    </row>
    <row r="29433">
      <c r="A29433" s="48" t="s">
        <v>14940</v>
      </c>
      <c r="B29433" s="38">
        <v>17460.0</v>
      </c>
      <c r="C29433" s="38" t="s">
        <v>33835</v>
      </c>
      <c r="D29433" s="38" t="str">
        <f>IFERROR(__xludf.DUMMYFUNCTION("REGEXREPLACE(C29433,""-\d+(.*)|--\d+(.*)"","""")"),"VARZAY")</f>
        <v>VARZAY</v>
      </c>
      <c r="E29433" s="38" t="s">
        <v>488</v>
      </c>
      <c r="F29433" s="38" t="s">
        <v>338</v>
      </c>
      <c r="G29433" s="49" t="str">
        <f t="shared" si="1"/>
        <v>17460</v>
      </c>
      <c r="H29433" s="49">
        <f t="shared" si="2"/>
        <v>17460</v>
      </c>
    </row>
    <row r="29434">
      <c r="A29434" s="48" t="s">
        <v>4364</v>
      </c>
      <c r="B29434" s="38">
        <v>78231.0</v>
      </c>
      <c r="C29434" s="38" t="s">
        <v>33836</v>
      </c>
      <c r="D29434" s="38" t="str">
        <f>IFERROR(__xludf.DUMMYFUNCTION("REGEXREPLACE(C29434,""-\d+(.*)|--\d+(.*)"","""")"),"FAVRIEUX")</f>
        <v>FAVRIEUX</v>
      </c>
      <c r="E29434" s="38" t="s">
        <v>362</v>
      </c>
      <c r="F29434" s="38" t="s">
        <v>245</v>
      </c>
      <c r="G29434" s="49" t="str">
        <f t="shared" si="1"/>
        <v>78200</v>
      </c>
      <c r="H29434" s="49">
        <f t="shared" si="2"/>
        <v>78231</v>
      </c>
    </row>
    <row r="29435">
      <c r="A29435" s="48" t="s">
        <v>17255</v>
      </c>
      <c r="B29435" s="38">
        <v>4091.0</v>
      </c>
      <c r="C29435" s="38" t="s">
        <v>33837</v>
      </c>
      <c r="D29435" s="38" t="str">
        <f>IFERROR(__xludf.DUMMYFUNCTION("REGEXREPLACE(C29435,""-\d+(.*)|--\d+(.*)"","""")"),"GANAGOBIE")</f>
        <v>GANAGOBIE</v>
      </c>
      <c r="E29435" s="38" t="s">
        <v>662</v>
      </c>
      <c r="F29435" s="38" t="s">
        <v>228</v>
      </c>
      <c r="G29435" s="49" t="str">
        <f t="shared" si="1"/>
        <v>04310</v>
      </c>
      <c r="H29435" s="49" t="str">
        <f t="shared" si="2"/>
        <v>04091</v>
      </c>
    </row>
    <row r="29436">
      <c r="A29436" s="48" t="s">
        <v>1180</v>
      </c>
      <c r="B29436" s="38">
        <v>60377.0</v>
      </c>
      <c r="C29436" s="38" t="s">
        <v>33838</v>
      </c>
      <c r="D29436" s="38" t="str">
        <f>IFERROR(__xludf.DUMMYFUNCTION("REGEXREPLACE(C29436,""-\d+(.*)|--\d+(.*)"","""")"),"MAISONCELLE-TUILERIE")</f>
        <v>MAISONCELLE-TUILERIE</v>
      </c>
      <c r="E29436" s="38" t="s">
        <v>112</v>
      </c>
      <c r="F29436" s="38" t="s">
        <v>113</v>
      </c>
      <c r="G29436" s="49" t="str">
        <f t="shared" si="1"/>
        <v>60480</v>
      </c>
      <c r="H29436" s="49">
        <f t="shared" si="2"/>
        <v>60377</v>
      </c>
    </row>
    <row r="29437">
      <c r="A29437" s="48" t="s">
        <v>8412</v>
      </c>
      <c r="B29437" s="38">
        <v>43255.0</v>
      </c>
      <c r="C29437" s="38" t="s">
        <v>33839</v>
      </c>
      <c r="D29437" s="38" t="str">
        <f>IFERROR(__xludf.DUMMYFUNCTION("REGEXREPLACE(C29437,""-\d+(.*)|--\d+(.*)"","""")"),"VAZEILLES-PRES-SAUGUES")</f>
        <v>VAZEILLES-PRES-SAUGUES</v>
      </c>
      <c r="E29437" s="38" t="s">
        <v>332</v>
      </c>
      <c r="F29437" s="38" t="s">
        <v>161</v>
      </c>
      <c r="G29437" s="49" t="str">
        <f t="shared" si="1"/>
        <v>43580</v>
      </c>
      <c r="H29437" s="49">
        <f t="shared" si="2"/>
        <v>43255</v>
      </c>
    </row>
    <row r="29438">
      <c r="A29438" s="48" t="s">
        <v>12589</v>
      </c>
      <c r="B29438" s="38">
        <v>1016.0</v>
      </c>
      <c r="C29438" s="38" t="s">
        <v>33840</v>
      </c>
      <c r="D29438" s="38" t="str">
        <f>IFERROR(__xludf.DUMMYFUNCTION("REGEXREPLACE(C29438,""-\d+(.*)|--\d+(.*)"","""")"),"ARBIGNY")</f>
        <v>ARBIGNY</v>
      </c>
      <c r="E29438" s="38" t="s">
        <v>255</v>
      </c>
      <c r="F29438" s="38" t="s">
        <v>102</v>
      </c>
      <c r="G29438" s="49" t="str">
        <f t="shared" si="1"/>
        <v>01190</v>
      </c>
      <c r="H29438" s="49" t="str">
        <f t="shared" si="2"/>
        <v>01016</v>
      </c>
    </row>
    <row r="29439">
      <c r="A29439" s="48" t="s">
        <v>15962</v>
      </c>
      <c r="B29439" s="38">
        <v>38448.0</v>
      </c>
      <c r="C29439" s="38" t="s">
        <v>33841</v>
      </c>
      <c r="D29439" s="38" t="str">
        <f>IFERROR(__xludf.DUMMYFUNCTION("REGEXREPLACE(C29439,""-\d+(.*)|--\d+(.*)"","""")"),"SAINT-PRIM")</f>
        <v>SAINT-PRIM</v>
      </c>
      <c r="E29439" s="38" t="s">
        <v>101</v>
      </c>
      <c r="F29439" s="38" t="s">
        <v>102</v>
      </c>
      <c r="G29439" s="49" t="str">
        <f t="shared" si="1"/>
        <v>38370</v>
      </c>
      <c r="H29439" s="49">
        <f t="shared" si="2"/>
        <v>38448</v>
      </c>
    </row>
    <row r="29440">
      <c r="A29440" s="48" t="s">
        <v>3729</v>
      </c>
      <c r="B29440" s="38">
        <v>32279.0</v>
      </c>
      <c r="C29440" s="38" t="s">
        <v>33842</v>
      </c>
      <c r="D29440" s="38" t="str">
        <f>IFERROR(__xludf.DUMMYFUNCTION("REGEXREPLACE(C29440,""-\d+(.*)|--\d+(.*)"","""")"),"MONTAUT-LES-CRENEAUX")</f>
        <v>MONTAUT-LES-CRENEAUX</v>
      </c>
      <c r="E29440" s="38" t="s">
        <v>440</v>
      </c>
      <c r="F29440" s="38" t="s">
        <v>94</v>
      </c>
      <c r="G29440" s="49" t="str">
        <f t="shared" si="1"/>
        <v>32810</v>
      </c>
      <c r="H29440" s="49">
        <f t="shared" si="2"/>
        <v>32279</v>
      </c>
    </row>
    <row r="29441">
      <c r="A29441" s="48" t="s">
        <v>13253</v>
      </c>
      <c r="B29441" s="38">
        <v>50162.0</v>
      </c>
      <c r="C29441" s="38" t="s">
        <v>33843</v>
      </c>
      <c r="D29441" s="38" t="str">
        <f>IFERROR(__xludf.DUMMYFUNCTION("REGEXREPLACE(C29441,""-\d+(.*)|--\d+(.*)"","""")"),"DIGOSVILLE")</f>
        <v>DIGOSVILLE</v>
      </c>
      <c r="E29441" s="38" t="s">
        <v>157</v>
      </c>
      <c r="F29441" s="38" t="s">
        <v>138</v>
      </c>
      <c r="G29441" s="49" t="str">
        <f t="shared" si="1"/>
        <v>50110</v>
      </c>
      <c r="H29441" s="49">
        <f t="shared" si="2"/>
        <v>50162</v>
      </c>
    </row>
    <row r="29442">
      <c r="A29442" s="48" t="s">
        <v>1624</v>
      </c>
      <c r="B29442" s="38">
        <v>34094.0</v>
      </c>
      <c r="C29442" s="38" t="s">
        <v>33844</v>
      </c>
      <c r="D29442" s="38" t="str">
        <f>IFERROR(__xludf.DUMMYFUNCTION("REGEXREPLACE(C29442,""-\d+(.*)|--\d+(.*)"","""")"),"ESPONDEILHAN")</f>
        <v>ESPONDEILHAN</v>
      </c>
      <c r="E29442" s="38" t="s">
        <v>118</v>
      </c>
      <c r="F29442" s="38" t="s">
        <v>119</v>
      </c>
      <c r="G29442" s="49" t="str">
        <f t="shared" si="1"/>
        <v>34290</v>
      </c>
      <c r="H29442" s="49">
        <f t="shared" si="2"/>
        <v>34094</v>
      </c>
    </row>
    <row r="29443">
      <c r="A29443" s="48" t="s">
        <v>33845</v>
      </c>
      <c r="B29443" s="38">
        <v>95014.0</v>
      </c>
      <c r="C29443" s="38" t="s">
        <v>9219</v>
      </c>
      <c r="D29443" s="38" t="str">
        <f>IFERROR(__xludf.DUMMYFUNCTION("REGEXREPLACE(C29443,""-\d+(.*)|--\d+(.*)"","""")"),"ANDILLY")</f>
        <v>ANDILLY</v>
      </c>
      <c r="E29443" s="38" t="s">
        <v>541</v>
      </c>
      <c r="F29443" s="38" t="s">
        <v>245</v>
      </c>
      <c r="G29443" s="49" t="str">
        <f t="shared" si="1"/>
        <v>95580</v>
      </c>
      <c r="H29443" s="49">
        <f t="shared" si="2"/>
        <v>95014</v>
      </c>
    </row>
    <row r="29444">
      <c r="A29444" s="48" t="s">
        <v>8145</v>
      </c>
      <c r="B29444" s="38">
        <v>9159.0</v>
      </c>
      <c r="C29444" s="38" t="s">
        <v>33846</v>
      </c>
      <c r="D29444" s="38" t="str">
        <f>IFERROR(__xludf.DUMMYFUNCTION("REGEXREPLACE(C29444,""-\d+(.*)|--\d+(.*)"","""")"),"LASSUR")</f>
        <v>LASSUR</v>
      </c>
      <c r="E29444" s="38" t="s">
        <v>238</v>
      </c>
      <c r="F29444" s="38" t="s">
        <v>94</v>
      </c>
      <c r="G29444" s="49" t="str">
        <f t="shared" si="1"/>
        <v>09310</v>
      </c>
      <c r="H29444" s="49" t="str">
        <f t="shared" si="2"/>
        <v>09159</v>
      </c>
    </row>
    <row r="29445">
      <c r="A29445" s="48" t="s">
        <v>1760</v>
      </c>
      <c r="B29445" s="38" t="s">
        <v>33847</v>
      </c>
      <c r="C29445" s="38" t="s">
        <v>33848</v>
      </c>
      <c r="D29445" s="38" t="str">
        <f>IFERROR(__xludf.DUMMYFUNCTION("REGEXREPLACE(C29445,""-\d+(.*)|--\d+(.*)"","""")"),"OLETTA")</f>
        <v>OLETTA</v>
      </c>
      <c r="E29445" s="38" t="s">
        <v>743</v>
      </c>
      <c r="F29445" s="38" t="s">
        <v>607</v>
      </c>
      <c r="G29445" s="49" t="str">
        <f t="shared" si="1"/>
        <v>20232</v>
      </c>
      <c r="H29445" s="49" t="str">
        <f t="shared" si="2"/>
        <v>2B185</v>
      </c>
    </row>
    <row r="29446">
      <c r="A29446" s="48" t="s">
        <v>23123</v>
      </c>
      <c r="B29446" s="38">
        <v>76754.0</v>
      </c>
      <c r="C29446" s="38" t="s">
        <v>33849</v>
      </c>
      <c r="D29446" s="38" t="str">
        <f>IFERROR(__xludf.DUMMYFUNCTION("REGEXREPLACE(C29446,""-\d+(.*)|--\d+(.*)"","""")"),"YPORT")</f>
        <v>YPORT</v>
      </c>
      <c r="E29446" s="38" t="s">
        <v>133</v>
      </c>
      <c r="F29446" s="38" t="s">
        <v>134</v>
      </c>
      <c r="G29446" s="49" t="str">
        <f t="shared" si="1"/>
        <v>76111</v>
      </c>
      <c r="H29446" s="49">
        <f t="shared" si="2"/>
        <v>76754</v>
      </c>
    </row>
    <row r="29447">
      <c r="A29447" s="48" t="s">
        <v>2261</v>
      </c>
      <c r="B29447" s="38">
        <v>9045.0</v>
      </c>
      <c r="C29447" s="38" t="s">
        <v>33850</v>
      </c>
      <c r="D29447" s="38" t="str">
        <f>IFERROR(__xludf.DUMMYFUNCTION("REGEXREPLACE(C29447,""-\d+(.*)|--\d+(.*)"","""")"),"BEDEILHAC-ET-AYNAT")</f>
        <v>BEDEILHAC-ET-AYNAT</v>
      </c>
      <c r="E29447" s="38" t="s">
        <v>238</v>
      </c>
      <c r="F29447" s="38" t="s">
        <v>94</v>
      </c>
      <c r="G29447" s="49" t="str">
        <f t="shared" si="1"/>
        <v>09400</v>
      </c>
      <c r="H29447" s="49" t="str">
        <f t="shared" si="2"/>
        <v>09045</v>
      </c>
    </row>
    <row r="29448">
      <c r="A29448" s="48" t="s">
        <v>6338</v>
      </c>
      <c r="B29448" s="38">
        <v>79264.0</v>
      </c>
      <c r="C29448" s="38" t="s">
        <v>33851</v>
      </c>
      <c r="D29448" s="38" t="str">
        <f>IFERROR(__xludf.DUMMYFUNCTION("REGEXREPLACE(C29448,""-\d+(.*)|--\d+(.*)"","""")"),"SAINT-LEGER-DE-LA-MARTINIERE")</f>
        <v>SAINT-LEGER-DE-LA-MARTINIERE</v>
      </c>
      <c r="E29448" s="38" t="s">
        <v>337</v>
      </c>
      <c r="F29448" s="38" t="s">
        <v>338</v>
      </c>
      <c r="G29448" s="49" t="str">
        <f t="shared" si="1"/>
        <v>79500</v>
      </c>
      <c r="H29448" s="49">
        <f t="shared" si="2"/>
        <v>79264</v>
      </c>
    </row>
    <row r="29449">
      <c r="A29449" s="48" t="s">
        <v>2540</v>
      </c>
      <c r="B29449" s="38">
        <v>2290.0</v>
      </c>
      <c r="C29449" s="38" t="s">
        <v>33852</v>
      </c>
      <c r="D29449" s="38" t="str">
        <f>IFERROR(__xludf.DUMMYFUNCTION("REGEXREPLACE(C29449,""-\d+(.*)|--\d+(.*)"","""")"),"ESSOMES-SUR-MARNE")</f>
        <v>ESSOMES-SUR-MARNE</v>
      </c>
      <c r="E29449" s="38" t="s">
        <v>191</v>
      </c>
      <c r="F29449" s="38" t="s">
        <v>113</v>
      </c>
      <c r="G29449" s="49" t="str">
        <f t="shared" si="1"/>
        <v>02400</v>
      </c>
      <c r="H29449" s="49" t="str">
        <f t="shared" si="2"/>
        <v>02290</v>
      </c>
    </row>
    <row r="29450">
      <c r="A29450" s="48" t="s">
        <v>3681</v>
      </c>
      <c r="B29450" s="38">
        <v>39334.0</v>
      </c>
      <c r="C29450" s="38" t="s">
        <v>33853</v>
      </c>
      <c r="D29450" s="38" t="str">
        <f>IFERROR(__xludf.DUMMYFUNCTION("REGEXREPLACE(C29450,""-\d+(.*)|--\d+(.*)"","""")"),"MOIRON")</f>
        <v>MOIRON</v>
      </c>
      <c r="E29450" s="38" t="s">
        <v>400</v>
      </c>
      <c r="F29450" s="38" t="s">
        <v>214</v>
      </c>
      <c r="G29450" s="49" t="str">
        <f t="shared" si="1"/>
        <v>39570</v>
      </c>
      <c r="H29450" s="49">
        <f t="shared" si="2"/>
        <v>39334</v>
      </c>
    </row>
    <row r="29451">
      <c r="A29451" s="48" t="s">
        <v>2229</v>
      </c>
      <c r="B29451" s="38">
        <v>64158.0</v>
      </c>
      <c r="C29451" s="38" t="s">
        <v>33854</v>
      </c>
      <c r="D29451" s="38" t="str">
        <f>IFERROR(__xludf.DUMMYFUNCTION("REGEXREPLACE(C29451,""-\d+(.*)|--\d+(.*)"","""")"),"CABIDOS")</f>
        <v>CABIDOS</v>
      </c>
      <c r="E29451" s="38" t="s">
        <v>268</v>
      </c>
      <c r="F29451" s="38" t="s">
        <v>252</v>
      </c>
      <c r="G29451" s="49" t="str">
        <f t="shared" si="1"/>
        <v>64410</v>
      </c>
      <c r="H29451" s="49">
        <f t="shared" si="2"/>
        <v>64158</v>
      </c>
    </row>
    <row r="29452">
      <c r="A29452" s="48" t="s">
        <v>6818</v>
      </c>
      <c r="B29452" s="38">
        <v>40011.0</v>
      </c>
      <c r="C29452" s="38" t="s">
        <v>33855</v>
      </c>
      <c r="D29452" s="38" t="str">
        <f>IFERROR(__xludf.DUMMYFUNCTION("REGEXREPLACE(C29452,""-\d+(.*)|--\d+(.*)"","""")"),"ARSAGUE")</f>
        <v>ARSAGUE</v>
      </c>
      <c r="E29452" s="38" t="s">
        <v>281</v>
      </c>
      <c r="F29452" s="38" t="s">
        <v>252</v>
      </c>
      <c r="G29452" s="49" t="str">
        <f t="shared" si="1"/>
        <v>40330</v>
      </c>
      <c r="H29452" s="49">
        <f t="shared" si="2"/>
        <v>40011</v>
      </c>
    </row>
    <row r="29453">
      <c r="A29453" s="48" t="s">
        <v>6767</v>
      </c>
      <c r="B29453" s="38">
        <v>15188.0</v>
      </c>
      <c r="C29453" s="38" t="s">
        <v>2856</v>
      </c>
      <c r="D29453" s="38" t="str">
        <f>IFERROR(__xludf.DUMMYFUNCTION("REGEXREPLACE(C29453,""-\d+(.*)|--\d+(.*)"","""")"),"SAINT-GEORGES")</f>
        <v>SAINT-GEORGES</v>
      </c>
      <c r="E29453" s="38" t="s">
        <v>632</v>
      </c>
      <c r="F29453" s="38" t="s">
        <v>161</v>
      </c>
      <c r="G29453" s="49" t="str">
        <f t="shared" si="1"/>
        <v>15100</v>
      </c>
      <c r="H29453" s="49">
        <f t="shared" si="2"/>
        <v>15188</v>
      </c>
    </row>
    <row r="29454">
      <c r="A29454" s="48" t="s">
        <v>26370</v>
      </c>
      <c r="B29454" s="38">
        <v>65235.0</v>
      </c>
      <c r="C29454" s="38" t="s">
        <v>33856</v>
      </c>
      <c r="D29454" s="38" t="str">
        <f>IFERROR(__xludf.DUMMYFUNCTION("REGEXREPLACE(C29454,""-\d+(.*)|--\d+(.*)"","""")"),"JUILLAN")</f>
        <v>JUILLAN</v>
      </c>
      <c r="E29454" s="38" t="s">
        <v>200</v>
      </c>
      <c r="F29454" s="38" t="s">
        <v>94</v>
      </c>
      <c r="G29454" s="49" t="str">
        <f t="shared" si="1"/>
        <v>65290</v>
      </c>
      <c r="H29454" s="49">
        <f t="shared" si="2"/>
        <v>65235</v>
      </c>
    </row>
    <row r="29455">
      <c r="A29455" s="48" t="s">
        <v>6982</v>
      </c>
      <c r="B29455" s="38">
        <v>14587.0</v>
      </c>
      <c r="C29455" s="38" t="s">
        <v>33857</v>
      </c>
      <c r="D29455" s="38" t="str">
        <f>IFERROR(__xludf.DUMMYFUNCTION("REGEXREPLACE(C29455,""-\d+(.*)|--\d+(.*)"","""")"),"SAINT-GERMAIN-LA-BLANCHE-HERBE")</f>
        <v>SAINT-GERMAIN-LA-BLANCHE-HERBE</v>
      </c>
      <c r="E29455" s="38" t="s">
        <v>137</v>
      </c>
      <c r="F29455" s="38" t="s">
        <v>138</v>
      </c>
      <c r="G29455" s="49" t="str">
        <f t="shared" si="1"/>
        <v>14280</v>
      </c>
      <c r="H29455" s="49">
        <f t="shared" si="2"/>
        <v>14587</v>
      </c>
    </row>
    <row r="29456">
      <c r="A29456" s="48" t="s">
        <v>2308</v>
      </c>
      <c r="B29456" s="38">
        <v>33505.0</v>
      </c>
      <c r="C29456" s="38" t="s">
        <v>33858</v>
      </c>
      <c r="D29456" s="38" t="str">
        <f>IFERROR(__xludf.DUMMYFUNCTION("REGEXREPLACE(C29456,""-\d+(.*)|--\d+(.*)"","""")"),"LA SAUVE")</f>
        <v>LA SAUVE</v>
      </c>
      <c r="E29456" s="38" t="s">
        <v>462</v>
      </c>
      <c r="F29456" s="38" t="s">
        <v>252</v>
      </c>
      <c r="G29456" s="49" t="str">
        <f t="shared" si="1"/>
        <v>33670</v>
      </c>
      <c r="H29456" s="49">
        <f t="shared" si="2"/>
        <v>33505</v>
      </c>
    </row>
    <row r="29457">
      <c r="A29457" s="48" t="s">
        <v>33859</v>
      </c>
      <c r="B29457" s="38">
        <v>93079.0</v>
      </c>
      <c r="C29457" s="38" t="s">
        <v>33860</v>
      </c>
      <c r="D29457" s="38" t="str">
        <f>IFERROR(__xludf.DUMMYFUNCTION("REGEXREPLACE(C29457,""-\d+(.*)|--\d+(.*)"","""")"),"VILLETANEUSE")</f>
        <v>VILLETANEUSE</v>
      </c>
      <c r="E29457" s="38" t="s">
        <v>341</v>
      </c>
      <c r="F29457" s="38" t="s">
        <v>245</v>
      </c>
      <c r="G29457" s="49" t="str">
        <f t="shared" si="1"/>
        <v>93430</v>
      </c>
      <c r="H29457" s="49">
        <f t="shared" si="2"/>
        <v>93079</v>
      </c>
    </row>
    <row r="29458">
      <c r="A29458" s="48" t="s">
        <v>2534</v>
      </c>
      <c r="B29458" s="38">
        <v>27534.0</v>
      </c>
      <c r="C29458" s="38" t="s">
        <v>33861</v>
      </c>
      <c r="D29458" s="38" t="str">
        <f>IFERROR(__xludf.DUMMYFUNCTION("REGEXREPLACE(C29458,""-\d+(.*)|--\d+(.*)"","""")"),"SAINT-DIDIER-DES-BOIS")</f>
        <v>SAINT-DIDIER-DES-BOIS</v>
      </c>
      <c r="E29458" s="38" t="s">
        <v>241</v>
      </c>
      <c r="F29458" s="38" t="s">
        <v>134</v>
      </c>
      <c r="G29458" s="49" t="str">
        <f t="shared" si="1"/>
        <v>27370</v>
      </c>
      <c r="H29458" s="49">
        <f t="shared" si="2"/>
        <v>27534</v>
      </c>
    </row>
    <row r="29459">
      <c r="A29459" s="48" t="s">
        <v>5753</v>
      </c>
      <c r="B29459" s="38">
        <v>72018.0</v>
      </c>
      <c r="C29459" s="38" t="s">
        <v>33862</v>
      </c>
      <c r="D29459" s="38" t="str">
        <f>IFERROR(__xludf.DUMMYFUNCTION("REGEXREPLACE(C29459,""-\d+(.*)|--\d+(.*)"","""")"),"AVESNES-EN-SAOSNOIS")</f>
        <v>AVESNES-EN-SAOSNOIS</v>
      </c>
      <c r="E29459" s="38" t="s">
        <v>521</v>
      </c>
      <c r="F29459" s="38" t="s">
        <v>180</v>
      </c>
      <c r="G29459" s="49" t="str">
        <f t="shared" si="1"/>
        <v>72260</v>
      </c>
      <c r="H29459" s="49">
        <f t="shared" si="2"/>
        <v>72018</v>
      </c>
    </row>
    <row r="29460">
      <c r="A29460" s="48" t="s">
        <v>3046</v>
      </c>
      <c r="B29460" s="38">
        <v>70376.0</v>
      </c>
      <c r="C29460" s="38" t="s">
        <v>33863</v>
      </c>
      <c r="D29460" s="38" t="str">
        <f>IFERROR(__xludf.DUMMYFUNCTION("REGEXREPLACE(C29460,""-\d+(.*)|--\d+(.*)"","""")"),"NANTILLY")</f>
        <v>NANTILLY</v>
      </c>
      <c r="E29460" s="38" t="s">
        <v>956</v>
      </c>
      <c r="F29460" s="38" t="s">
        <v>214</v>
      </c>
      <c r="G29460" s="49" t="str">
        <f t="shared" si="1"/>
        <v>70100</v>
      </c>
      <c r="H29460" s="49">
        <f t="shared" si="2"/>
        <v>70376</v>
      </c>
    </row>
    <row r="29461">
      <c r="A29461" s="48" t="s">
        <v>7426</v>
      </c>
      <c r="B29461" s="38">
        <v>62194.0</v>
      </c>
      <c r="C29461" s="38" t="s">
        <v>33864</v>
      </c>
      <c r="D29461" s="38" t="str">
        <f>IFERROR(__xludf.DUMMYFUNCTION("REGEXREPLACE(C29461,""-\d+(.*)|--\d+(.*)"","""")"),"CALONNE-RICOUART")</f>
        <v>CALONNE-RICOUART</v>
      </c>
      <c r="E29461" s="38" t="s">
        <v>109</v>
      </c>
      <c r="F29461" s="38" t="s">
        <v>86</v>
      </c>
      <c r="G29461" s="49" t="str">
        <f t="shared" si="1"/>
        <v>62470</v>
      </c>
      <c r="H29461" s="49">
        <f t="shared" si="2"/>
        <v>62194</v>
      </c>
    </row>
    <row r="29462">
      <c r="A29462" s="48" t="s">
        <v>1607</v>
      </c>
      <c r="B29462" s="38">
        <v>81160.0</v>
      </c>
      <c r="C29462" s="38" t="s">
        <v>33865</v>
      </c>
      <c r="D29462" s="38" t="str">
        <f>IFERROR(__xludf.DUMMYFUNCTION("REGEXREPLACE(C29462,""-\d+(.*)|--\d+(.*)"","""")"),"MASSAGUEL")</f>
        <v>MASSAGUEL</v>
      </c>
      <c r="E29462" s="38" t="s">
        <v>231</v>
      </c>
      <c r="F29462" s="38" t="s">
        <v>94</v>
      </c>
      <c r="G29462" s="49" t="str">
        <f t="shared" si="1"/>
        <v>81110</v>
      </c>
      <c r="H29462" s="49">
        <f t="shared" si="2"/>
        <v>81160</v>
      </c>
    </row>
    <row r="29463">
      <c r="A29463" s="48" t="s">
        <v>28965</v>
      </c>
      <c r="B29463" s="38">
        <v>59522.0</v>
      </c>
      <c r="C29463" s="38" t="s">
        <v>33866</v>
      </c>
      <c r="D29463" s="38" t="str">
        <f>IFERROR(__xludf.DUMMYFUNCTION("REGEXREPLACE(C29463,""-\d+(.*)|--\d+(.*)"","""")"),"SAILLY-LEZ-LANNOY")</f>
        <v>SAILLY-LEZ-LANNOY</v>
      </c>
      <c r="E29463" s="38" t="s">
        <v>85</v>
      </c>
      <c r="F29463" s="38" t="s">
        <v>86</v>
      </c>
      <c r="G29463" s="49" t="str">
        <f t="shared" si="1"/>
        <v>59390</v>
      </c>
      <c r="H29463" s="49">
        <f t="shared" si="2"/>
        <v>59522</v>
      </c>
    </row>
    <row r="29464">
      <c r="A29464" s="48" t="s">
        <v>2330</v>
      </c>
      <c r="B29464" s="38">
        <v>65032.0</v>
      </c>
      <c r="C29464" s="38" t="s">
        <v>33867</v>
      </c>
      <c r="D29464" s="38" t="str">
        <f>IFERROR(__xludf.DUMMYFUNCTION("REGEXREPLACE(C29464,""-\d+(.*)|--\d+(.*)"","""")"),"ARRENS-MARSOUS")</f>
        <v>ARRENS-MARSOUS</v>
      </c>
      <c r="E29464" s="38" t="s">
        <v>200</v>
      </c>
      <c r="F29464" s="38" t="s">
        <v>94</v>
      </c>
      <c r="G29464" s="49" t="str">
        <f t="shared" si="1"/>
        <v>65400</v>
      </c>
      <c r="H29464" s="49">
        <f t="shared" si="2"/>
        <v>65032</v>
      </c>
    </row>
    <row r="29465">
      <c r="A29465" s="48" t="s">
        <v>493</v>
      </c>
      <c r="B29465" s="38">
        <v>28106.0</v>
      </c>
      <c r="C29465" s="38" t="s">
        <v>33868</v>
      </c>
      <c r="D29465" s="38" t="str">
        <f>IFERROR(__xludf.DUMMYFUNCTION("REGEXREPLACE(C29465,""-\d+(.*)|--\d+(.*)"","""")"),"CONIE-MOLITARD")</f>
        <v>CONIE-MOLITARD</v>
      </c>
      <c r="E29465" s="38" t="s">
        <v>300</v>
      </c>
      <c r="F29465" s="38" t="s">
        <v>123</v>
      </c>
      <c r="G29465" s="49" t="str">
        <f t="shared" si="1"/>
        <v>28200</v>
      </c>
      <c r="H29465" s="49">
        <f t="shared" si="2"/>
        <v>28106</v>
      </c>
    </row>
    <row r="29466">
      <c r="A29466" s="48" t="s">
        <v>456</v>
      </c>
      <c r="B29466" s="38">
        <v>63018.0</v>
      </c>
      <c r="C29466" s="38" t="s">
        <v>33869</v>
      </c>
      <c r="D29466" s="38" t="str">
        <f>IFERROR(__xludf.DUMMYFUNCTION("REGEXREPLACE(C29466,""-\d+(.*)|--\d+(.*)"","""")"),"AULHAT-SAINT-PRIVAT")</f>
        <v>AULHAT-SAINT-PRIVAT</v>
      </c>
      <c r="E29466" s="38" t="s">
        <v>353</v>
      </c>
      <c r="F29466" s="38" t="s">
        <v>161</v>
      </c>
      <c r="G29466" s="49" t="str">
        <f t="shared" si="1"/>
        <v>63500</v>
      </c>
      <c r="H29466" s="49">
        <f t="shared" si="2"/>
        <v>63018</v>
      </c>
    </row>
    <row r="29467">
      <c r="A29467" s="48" t="s">
        <v>6566</v>
      </c>
      <c r="B29467" s="38">
        <v>49188.0</v>
      </c>
      <c r="C29467" s="38" t="s">
        <v>33870</v>
      </c>
      <c r="D29467" s="38" t="str">
        <f>IFERROR(__xludf.DUMMYFUNCTION("REGEXREPLACE(C29467,""-\d+(.*)|--\d+(.*)"","""")"),"MARCE")</f>
        <v>MARCE</v>
      </c>
      <c r="E29467" s="38" t="s">
        <v>653</v>
      </c>
      <c r="F29467" s="38" t="s">
        <v>180</v>
      </c>
      <c r="G29467" s="49" t="str">
        <f t="shared" si="1"/>
        <v>49140</v>
      </c>
      <c r="H29467" s="49">
        <f t="shared" si="2"/>
        <v>49188</v>
      </c>
    </row>
    <row r="29468">
      <c r="A29468" s="48" t="s">
        <v>522</v>
      </c>
      <c r="B29468" s="38">
        <v>39381.0</v>
      </c>
      <c r="C29468" s="38" t="s">
        <v>33871</v>
      </c>
      <c r="D29468" s="38" t="str">
        <f>IFERROR(__xludf.DUMMYFUNCTION("REGEXREPLACE(C29468,""-\d+(.*)|--\d+(.*)"","""")"),"LES NANS")</f>
        <v>LES NANS</v>
      </c>
      <c r="E29468" s="38" t="s">
        <v>400</v>
      </c>
      <c r="F29468" s="38" t="s">
        <v>214</v>
      </c>
      <c r="G29468" s="49" t="str">
        <f t="shared" si="1"/>
        <v>39300</v>
      </c>
      <c r="H29468" s="49">
        <f t="shared" si="2"/>
        <v>39381</v>
      </c>
    </row>
    <row r="29469">
      <c r="A29469" s="48" t="s">
        <v>8267</v>
      </c>
      <c r="B29469" s="38">
        <v>22057.0</v>
      </c>
      <c r="C29469" s="38" t="s">
        <v>7102</v>
      </c>
      <c r="D29469" s="38" t="str">
        <f>IFERROR(__xludf.DUMMYFUNCTION("REGEXREPLACE(C29469,""-\d+(.*)|--\d+(.*)"","""")"),"LE FAOUET")</f>
        <v>LE FAOUET</v>
      </c>
      <c r="E29469" s="38" t="s">
        <v>89</v>
      </c>
      <c r="F29469" s="38" t="s">
        <v>90</v>
      </c>
      <c r="G29469" s="49" t="str">
        <f t="shared" si="1"/>
        <v>22290</v>
      </c>
      <c r="H29469" s="49">
        <f t="shared" si="2"/>
        <v>22057</v>
      </c>
    </row>
    <row r="29470">
      <c r="A29470" s="48" t="s">
        <v>2794</v>
      </c>
      <c r="B29470" s="38">
        <v>39225.0</v>
      </c>
      <c r="C29470" s="38" t="s">
        <v>33872</v>
      </c>
      <c r="D29470" s="38" t="str">
        <f>IFERROR(__xludf.DUMMYFUNCTION("REGEXREPLACE(C29470,""-\d+(.*)|--\d+(.*)"","""")"),"LE FIED")</f>
        <v>LE FIED</v>
      </c>
      <c r="E29470" s="38" t="s">
        <v>400</v>
      </c>
      <c r="F29470" s="38" t="s">
        <v>214</v>
      </c>
      <c r="G29470" s="49" t="str">
        <f t="shared" si="1"/>
        <v>39800</v>
      </c>
      <c r="H29470" s="49">
        <f t="shared" si="2"/>
        <v>39225</v>
      </c>
    </row>
    <row r="29471">
      <c r="A29471" s="48" t="s">
        <v>7631</v>
      </c>
      <c r="B29471" s="38">
        <v>49012.0</v>
      </c>
      <c r="C29471" s="38" t="s">
        <v>33873</v>
      </c>
      <c r="D29471" s="38" t="str">
        <f>IFERROR(__xludf.DUMMYFUNCTION("REGEXREPLACE(C29471,""-\d+(.*)|--\d+(.*)"","""")"),"AUBIGNE-SUR-LAYON")</f>
        <v>AUBIGNE-SUR-LAYON</v>
      </c>
      <c r="E29471" s="38" t="s">
        <v>653</v>
      </c>
      <c r="F29471" s="38" t="s">
        <v>180</v>
      </c>
      <c r="G29471" s="49" t="str">
        <f t="shared" si="1"/>
        <v>49540</v>
      </c>
      <c r="H29471" s="49">
        <f t="shared" si="2"/>
        <v>49012</v>
      </c>
    </row>
    <row r="29472">
      <c r="A29472" s="48" t="s">
        <v>9817</v>
      </c>
      <c r="B29472" s="38">
        <v>85237.0</v>
      </c>
      <c r="C29472" s="38" t="s">
        <v>33874</v>
      </c>
      <c r="D29472" s="38" t="str">
        <f>IFERROR(__xludf.DUMMYFUNCTION("REGEXREPLACE(C29472,""-\d+(.*)|--\d+(.*)"","""")"),"SAINT-LAURENT-DE-LA-SALLE")</f>
        <v>SAINT-LAURENT-DE-LA-SALLE</v>
      </c>
      <c r="E29472" s="38" t="s">
        <v>179</v>
      </c>
      <c r="F29472" s="38" t="s">
        <v>180</v>
      </c>
      <c r="G29472" s="49" t="str">
        <f t="shared" si="1"/>
        <v>85410</v>
      </c>
      <c r="H29472" s="49">
        <f t="shared" si="2"/>
        <v>85237</v>
      </c>
    </row>
    <row r="29473">
      <c r="A29473" s="48" t="s">
        <v>12491</v>
      </c>
      <c r="B29473" s="38">
        <v>21159.0</v>
      </c>
      <c r="C29473" s="38" t="s">
        <v>33875</v>
      </c>
      <c r="D29473" s="38" t="str">
        <f>IFERROR(__xludf.DUMMYFUNCTION("REGEXREPLACE(C29473,""-\d+(.*)|--\d+(.*)"","""")"),"LA CHAUME")</f>
        <v>LA CHAUME</v>
      </c>
      <c r="E29473" s="38" t="s">
        <v>105</v>
      </c>
      <c r="F29473" s="38" t="s">
        <v>106</v>
      </c>
      <c r="G29473" s="49" t="str">
        <f t="shared" si="1"/>
        <v>21520</v>
      </c>
      <c r="H29473" s="49">
        <f t="shared" si="2"/>
        <v>21159</v>
      </c>
    </row>
    <row r="29474">
      <c r="A29474" s="48" t="s">
        <v>13060</v>
      </c>
      <c r="B29474" s="38">
        <v>45245.0</v>
      </c>
      <c r="C29474" s="38" t="s">
        <v>33876</v>
      </c>
      <c r="D29474" s="38" t="str">
        <f>IFERROR(__xludf.DUMMYFUNCTION("REGEXREPLACE(C29474,""-\d+(.*)|--\d+(.*)"","""")"),"OUZOUER-SUR-TREZEE")</f>
        <v>OUZOUER-SUR-TREZEE</v>
      </c>
      <c r="E29474" s="38" t="s">
        <v>122</v>
      </c>
      <c r="F29474" s="38" t="s">
        <v>123</v>
      </c>
      <c r="G29474" s="49" t="str">
        <f t="shared" si="1"/>
        <v>45250</v>
      </c>
      <c r="H29474" s="49">
        <f t="shared" si="2"/>
        <v>45245</v>
      </c>
    </row>
    <row r="29475">
      <c r="A29475" s="48" t="s">
        <v>9683</v>
      </c>
      <c r="B29475" s="38">
        <v>46068.0</v>
      </c>
      <c r="C29475" s="38" t="s">
        <v>33877</v>
      </c>
      <c r="D29475" s="38" t="str">
        <f>IFERROR(__xludf.DUMMYFUNCTION("REGEXREPLACE(C29475,""-\d+(.*)|--\d+(.*)"","""")"),"CENEVIERES")</f>
        <v>CENEVIERES</v>
      </c>
      <c r="E29475" s="38" t="s">
        <v>185</v>
      </c>
      <c r="F29475" s="38" t="s">
        <v>94</v>
      </c>
      <c r="G29475" s="49" t="str">
        <f t="shared" si="1"/>
        <v>46330</v>
      </c>
      <c r="H29475" s="49">
        <f t="shared" si="2"/>
        <v>46068</v>
      </c>
    </row>
    <row r="29476">
      <c r="A29476" s="48" t="s">
        <v>3721</v>
      </c>
      <c r="B29476" s="38">
        <v>71373.0</v>
      </c>
      <c r="C29476" s="38" t="s">
        <v>33878</v>
      </c>
      <c r="D29476" s="38" t="str">
        <f>IFERROR(__xludf.DUMMYFUNCTION("REGEXREPLACE(C29476,""-\d+(.*)|--\d+(.*)"","""")"),"ROMENAY")</f>
        <v>ROMENAY</v>
      </c>
      <c r="E29476" s="38" t="s">
        <v>344</v>
      </c>
      <c r="F29476" s="38" t="s">
        <v>106</v>
      </c>
      <c r="G29476" s="49" t="str">
        <f t="shared" si="1"/>
        <v>71470</v>
      </c>
      <c r="H29476" s="49">
        <f t="shared" si="2"/>
        <v>71373</v>
      </c>
    </row>
    <row r="29477">
      <c r="A29477" s="48" t="s">
        <v>6069</v>
      </c>
      <c r="B29477" s="38">
        <v>50323.0</v>
      </c>
      <c r="C29477" s="38" t="s">
        <v>33879</v>
      </c>
      <c r="D29477" s="38" t="str">
        <f>IFERROR(__xludf.DUMMYFUNCTION("REGEXREPLACE(C29477,""-\d+(.*)|--\d+(.*)"","""")"),"LE MESNIL-TOVE")</f>
        <v>LE MESNIL-TOVE</v>
      </c>
      <c r="E29477" s="38" t="s">
        <v>157</v>
      </c>
      <c r="F29477" s="38" t="s">
        <v>138</v>
      </c>
      <c r="G29477" s="49" t="str">
        <f t="shared" si="1"/>
        <v>50520</v>
      </c>
      <c r="H29477" s="49">
        <f t="shared" si="2"/>
        <v>50323</v>
      </c>
    </row>
    <row r="29478">
      <c r="A29478" s="48" t="s">
        <v>8105</v>
      </c>
      <c r="B29478" s="38">
        <v>25281.0</v>
      </c>
      <c r="C29478" s="38" t="s">
        <v>33880</v>
      </c>
      <c r="D29478" s="38" t="str">
        <f>IFERROR(__xludf.DUMMYFUNCTION("REGEXREPLACE(C29478,""-\d+(.*)|--\d+(.*)"","""")"),"GOUX-LES-DAMBELIN")</f>
        <v>GOUX-LES-DAMBELIN</v>
      </c>
      <c r="E29478" s="38" t="s">
        <v>213</v>
      </c>
      <c r="F29478" s="38" t="s">
        <v>214</v>
      </c>
      <c r="G29478" s="49" t="str">
        <f t="shared" si="1"/>
        <v>25150</v>
      </c>
      <c r="H29478" s="49">
        <f t="shared" si="2"/>
        <v>25281</v>
      </c>
    </row>
    <row r="29479">
      <c r="A29479" s="48" t="s">
        <v>3036</v>
      </c>
      <c r="B29479" s="38">
        <v>61161.0</v>
      </c>
      <c r="C29479" s="38" t="s">
        <v>33881</v>
      </c>
      <c r="D29479" s="38" t="str">
        <f>IFERROR(__xludf.DUMMYFUNCTION("REGEXREPLACE(C29479,""-\d+(.*)|--\d+(.*)"","""")"),"FEL")</f>
        <v>FEL</v>
      </c>
      <c r="E29479" s="38" t="s">
        <v>141</v>
      </c>
      <c r="F29479" s="38" t="s">
        <v>138</v>
      </c>
      <c r="G29479" s="49" t="str">
        <f t="shared" si="1"/>
        <v>61160</v>
      </c>
      <c r="H29479" s="49">
        <f t="shared" si="2"/>
        <v>61161</v>
      </c>
    </row>
    <row r="29480">
      <c r="A29480" s="48" t="s">
        <v>3532</v>
      </c>
      <c r="B29480" s="38">
        <v>2483.0</v>
      </c>
      <c r="C29480" s="38" t="s">
        <v>33882</v>
      </c>
      <c r="D29480" s="38" t="str">
        <f>IFERROR(__xludf.DUMMYFUNCTION("REGEXREPLACE(C29480,""-\d+(.*)|--\d+(.*)"","""")"),"MEZIERES-SUR-OISE")</f>
        <v>MEZIERES-SUR-OISE</v>
      </c>
      <c r="E29480" s="38" t="s">
        <v>191</v>
      </c>
      <c r="F29480" s="38" t="s">
        <v>113</v>
      </c>
      <c r="G29480" s="49" t="str">
        <f t="shared" si="1"/>
        <v>02240</v>
      </c>
      <c r="H29480" s="49" t="str">
        <f t="shared" si="2"/>
        <v>02483</v>
      </c>
    </row>
    <row r="29481">
      <c r="A29481" s="48" t="s">
        <v>23178</v>
      </c>
      <c r="B29481" s="38">
        <v>67235.0</v>
      </c>
      <c r="C29481" s="38" t="s">
        <v>33883</v>
      </c>
      <c r="D29481" s="38" t="str">
        <f>IFERROR(__xludf.DUMMYFUNCTION("REGEXREPLACE(C29481,""-\d+(.*)|--\d+(.*)"","""")"),"KESSELDORF")</f>
        <v>KESSELDORF</v>
      </c>
      <c r="E29481" s="38" t="s">
        <v>210</v>
      </c>
      <c r="F29481" s="38" t="s">
        <v>151</v>
      </c>
      <c r="G29481" s="49" t="str">
        <f t="shared" si="1"/>
        <v>67930</v>
      </c>
      <c r="H29481" s="49">
        <f t="shared" si="2"/>
        <v>67235</v>
      </c>
    </row>
    <row r="29482">
      <c r="A29482" s="48" t="s">
        <v>3109</v>
      </c>
      <c r="B29482" s="38">
        <v>9170.0</v>
      </c>
      <c r="C29482" s="38" t="s">
        <v>21890</v>
      </c>
      <c r="D29482" s="38" t="str">
        <f>IFERROR(__xludf.DUMMYFUNCTION("REGEXREPLACE(C29482,""-\d+(.*)|--\d+(.*)"","""")"),"LISSAC")</f>
        <v>LISSAC</v>
      </c>
      <c r="E29482" s="38" t="s">
        <v>238</v>
      </c>
      <c r="F29482" s="38" t="s">
        <v>94</v>
      </c>
      <c r="G29482" s="49" t="str">
        <f t="shared" si="1"/>
        <v>09700</v>
      </c>
      <c r="H29482" s="49" t="str">
        <f t="shared" si="2"/>
        <v>09170</v>
      </c>
    </row>
    <row r="29483">
      <c r="A29483" s="48" t="s">
        <v>31507</v>
      </c>
      <c r="B29483" s="38">
        <v>77266.0</v>
      </c>
      <c r="C29483" s="38" t="s">
        <v>22404</v>
      </c>
      <c r="D29483" s="38" t="str">
        <f>IFERROR(__xludf.DUMMYFUNCTION("REGEXREPLACE(C29483,""-\d+(.*)|--\d+(.*)"","""")"),"MACHAULT")</f>
        <v>MACHAULT</v>
      </c>
      <c r="E29483" s="38" t="s">
        <v>244</v>
      </c>
      <c r="F29483" s="38" t="s">
        <v>245</v>
      </c>
      <c r="G29483" s="49" t="str">
        <f t="shared" si="1"/>
        <v>77133</v>
      </c>
      <c r="H29483" s="49">
        <f t="shared" si="2"/>
        <v>77266</v>
      </c>
    </row>
    <row r="29484">
      <c r="A29484" s="48" t="s">
        <v>5463</v>
      </c>
      <c r="B29484" s="38">
        <v>26154.0</v>
      </c>
      <c r="C29484" s="38" t="s">
        <v>33884</v>
      </c>
      <c r="D29484" s="38" t="str">
        <f>IFERROR(__xludf.DUMMYFUNCTION("REGEXREPLACE(C29484,""-\d+(.*)|--\d+(.*)"","""")"),"LACHAU")</f>
        <v>LACHAU</v>
      </c>
      <c r="E29484" s="38" t="s">
        <v>126</v>
      </c>
      <c r="F29484" s="38" t="s">
        <v>102</v>
      </c>
      <c r="G29484" s="49" t="str">
        <f t="shared" si="1"/>
        <v>26560</v>
      </c>
      <c r="H29484" s="49">
        <f t="shared" si="2"/>
        <v>26154</v>
      </c>
    </row>
    <row r="29485">
      <c r="A29485" s="48" t="s">
        <v>6615</v>
      </c>
      <c r="B29485" s="38">
        <v>65449.0</v>
      </c>
      <c r="C29485" s="38" t="s">
        <v>33885</v>
      </c>
      <c r="D29485" s="38" t="str">
        <f>IFERROR(__xludf.DUMMYFUNCTION("REGEXREPLACE(C29485,""-\d+(.*)|--\d+(.*)"","""")"),"TOURNOUS-DEVANT")</f>
        <v>TOURNOUS-DEVANT</v>
      </c>
      <c r="E29485" s="38" t="s">
        <v>200</v>
      </c>
      <c r="F29485" s="38" t="s">
        <v>94</v>
      </c>
      <c r="G29485" s="49" t="str">
        <f t="shared" si="1"/>
        <v>65330</v>
      </c>
      <c r="H29485" s="49">
        <f t="shared" si="2"/>
        <v>65449</v>
      </c>
    </row>
    <row r="29486">
      <c r="A29486" s="48" t="s">
        <v>2701</v>
      </c>
      <c r="B29486" s="38">
        <v>17202.0</v>
      </c>
      <c r="C29486" s="38" t="s">
        <v>33886</v>
      </c>
      <c r="D29486" s="38" t="str">
        <f>IFERROR(__xludf.DUMMYFUNCTION("REGEXREPLACE(C29486,""-\d+(.*)|--\d+(.*)"","""")"),"LANDES")</f>
        <v>LANDES</v>
      </c>
      <c r="E29486" s="38" t="s">
        <v>488</v>
      </c>
      <c r="F29486" s="38" t="s">
        <v>338</v>
      </c>
      <c r="G29486" s="49" t="str">
        <f t="shared" si="1"/>
        <v>17380</v>
      </c>
      <c r="H29486" s="49">
        <f t="shared" si="2"/>
        <v>17202</v>
      </c>
    </row>
    <row r="29487">
      <c r="A29487" s="48" t="s">
        <v>10299</v>
      </c>
      <c r="B29487" s="38">
        <v>67402.0</v>
      </c>
      <c r="C29487" s="38" t="s">
        <v>33887</v>
      </c>
      <c r="D29487" s="38" t="str">
        <f>IFERROR(__xludf.DUMMYFUNCTION("REGEXREPLACE(C29487,""-\d+(.*)|--\d+(.*)"","""")"),"RINGELDORF")</f>
        <v>RINGELDORF</v>
      </c>
      <c r="E29487" s="38" t="s">
        <v>210</v>
      </c>
      <c r="F29487" s="38" t="s">
        <v>151</v>
      </c>
      <c r="G29487" s="49" t="str">
        <f t="shared" si="1"/>
        <v>67350</v>
      </c>
      <c r="H29487" s="49">
        <f t="shared" si="2"/>
        <v>67402</v>
      </c>
    </row>
    <row r="29488">
      <c r="A29488" s="48" t="s">
        <v>5791</v>
      </c>
      <c r="B29488" s="38">
        <v>85214.0</v>
      </c>
      <c r="C29488" s="38" t="s">
        <v>20388</v>
      </c>
      <c r="D29488" s="38" t="str">
        <f>IFERROR(__xludf.DUMMYFUNCTION("REGEXREPLACE(C29488,""-\d+(.*)|--\d+(.*)"","""")"),"SAINTE-FOY")</f>
        <v>SAINTE-FOY</v>
      </c>
      <c r="E29488" s="38" t="s">
        <v>179</v>
      </c>
      <c r="F29488" s="38" t="s">
        <v>180</v>
      </c>
      <c r="G29488" s="49" t="str">
        <f t="shared" si="1"/>
        <v>85150</v>
      </c>
      <c r="H29488" s="49">
        <f t="shared" si="2"/>
        <v>85214</v>
      </c>
    </row>
    <row r="29489">
      <c r="A29489" s="48" t="s">
        <v>33888</v>
      </c>
      <c r="B29489" s="38">
        <v>54276.0</v>
      </c>
      <c r="C29489" s="38" t="s">
        <v>33889</v>
      </c>
      <c r="D29489" s="38" t="str">
        <f>IFERROR(__xludf.DUMMYFUNCTION("REGEXREPLACE(C29489,""-\d+(.*)|--\d+(.*)"","""")"),"JEANDELAINCOURT")</f>
        <v>JEANDELAINCOURT</v>
      </c>
      <c r="E29489" s="38" t="s">
        <v>548</v>
      </c>
      <c r="F29489" s="38" t="s">
        <v>195</v>
      </c>
      <c r="G29489" s="49" t="str">
        <f t="shared" si="1"/>
        <v>54114</v>
      </c>
      <c r="H29489" s="49">
        <f t="shared" si="2"/>
        <v>54276</v>
      </c>
    </row>
    <row r="29490">
      <c r="A29490" s="48" t="s">
        <v>33890</v>
      </c>
      <c r="B29490" s="38">
        <v>62025.0</v>
      </c>
      <c r="C29490" s="38" t="s">
        <v>33891</v>
      </c>
      <c r="D29490" s="38" t="str">
        <f>IFERROR(__xludf.DUMMYFUNCTION("REGEXREPLACE(C29490,""-\d+(.*)|--\d+(.*)"","""")"),"AMBLETEUSE")</f>
        <v>AMBLETEUSE</v>
      </c>
      <c r="E29490" s="38" t="s">
        <v>109</v>
      </c>
      <c r="F29490" s="38" t="s">
        <v>86</v>
      </c>
      <c r="G29490" s="49" t="str">
        <f t="shared" si="1"/>
        <v>62164</v>
      </c>
      <c r="H29490" s="49">
        <f t="shared" si="2"/>
        <v>62025</v>
      </c>
    </row>
    <row r="29491">
      <c r="A29491" s="48" t="s">
        <v>11856</v>
      </c>
      <c r="B29491" s="38">
        <v>88423.0</v>
      </c>
      <c r="C29491" s="38" t="s">
        <v>14749</v>
      </c>
      <c r="D29491" s="38" t="str">
        <f>IFERROR(__xludf.DUMMYFUNCTION("REGEXREPLACE(C29491,""-\d+(.*)|--\d+(.*)"","""")"),"SAINT-LEONARD")</f>
        <v>SAINT-LEONARD</v>
      </c>
      <c r="E29491" s="38" t="s">
        <v>194</v>
      </c>
      <c r="F29491" s="38" t="s">
        <v>195</v>
      </c>
      <c r="G29491" s="49" t="str">
        <f t="shared" si="1"/>
        <v>88650</v>
      </c>
      <c r="H29491" s="49">
        <f t="shared" si="2"/>
        <v>88423</v>
      </c>
    </row>
    <row r="29492">
      <c r="A29492" s="48" t="s">
        <v>14636</v>
      </c>
      <c r="B29492" s="38">
        <v>38341.0</v>
      </c>
      <c r="C29492" s="38" t="s">
        <v>33892</v>
      </c>
      <c r="D29492" s="38" t="str">
        <f>IFERROR(__xludf.DUMMYFUNCTION("REGEXREPLACE(C29492,""-\d+(.*)|--\d+(.*)"","""")"),"ROCHETOIRIN")</f>
        <v>ROCHETOIRIN</v>
      </c>
      <c r="E29492" s="38" t="s">
        <v>101</v>
      </c>
      <c r="F29492" s="38" t="s">
        <v>102</v>
      </c>
      <c r="G29492" s="49" t="str">
        <f t="shared" si="1"/>
        <v>38110</v>
      </c>
      <c r="H29492" s="49">
        <f t="shared" si="2"/>
        <v>38341</v>
      </c>
    </row>
    <row r="29493">
      <c r="A29493" s="48" t="s">
        <v>7164</v>
      </c>
      <c r="B29493" s="38">
        <v>15236.0</v>
      </c>
      <c r="C29493" s="38" t="s">
        <v>33893</v>
      </c>
      <c r="D29493" s="38" t="str">
        <f>IFERROR(__xludf.DUMMYFUNCTION("REGEXREPLACE(C29493,""-\d+(.*)|--\d+(.*)"","""")"),"THIEZAC")</f>
        <v>THIEZAC</v>
      </c>
      <c r="E29493" s="38" t="s">
        <v>632</v>
      </c>
      <c r="F29493" s="38" t="s">
        <v>161</v>
      </c>
      <c r="G29493" s="49" t="str">
        <f t="shared" si="1"/>
        <v>15800</v>
      </c>
      <c r="H29493" s="49">
        <f t="shared" si="2"/>
        <v>15236</v>
      </c>
    </row>
    <row r="29494">
      <c r="A29494" s="48" t="s">
        <v>14417</v>
      </c>
      <c r="B29494" s="38">
        <v>59393.0</v>
      </c>
      <c r="C29494" s="38" t="s">
        <v>33894</v>
      </c>
      <c r="D29494" s="38" t="str">
        <f>IFERROR(__xludf.DUMMYFUNCTION("REGEXREPLACE(C29494,""-\d+(.*)|--\d+(.*)"","""")"),"MAULDE")</f>
        <v>MAULDE</v>
      </c>
      <c r="E29494" s="38" t="s">
        <v>85</v>
      </c>
      <c r="F29494" s="38" t="s">
        <v>86</v>
      </c>
      <c r="G29494" s="49" t="str">
        <f t="shared" si="1"/>
        <v>59158</v>
      </c>
      <c r="H29494" s="49">
        <f t="shared" si="2"/>
        <v>59393</v>
      </c>
    </row>
    <row r="29495">
      <c r="A29495" s="48" t="s">
        <v>8107</v>
      </c>
      <c r="B29495" s="38">
        <v>86043.0</v>
      </c>
      <c r="C29495" s="38" t="s">
        <v>33895</v>
      </c>
      <c r="D29495" s="38" t="str">
        <f>IFERROR(__xludf.DUMMYFUNCTION("REGEXREPLACE(C29495,""-\d+(.*)|--\d+(.*)"","""")"),"CEAUX-EN-COUHE")</f>
        <v>CEAUX-EN-COUHE</v>
      </c>
      <c r="E29495" s="38" t="s">
        <v>529</v>
      </c>
      <c r="F29495" s="38" t="s">
        <v>338</v>
      </c>
      <c r="G29495" s="49" t="str">
        <f t="shared" si="1"/>
        <v>86700</v>
      </c>
      <c r="H29495" s="49">
        <f t="shared" si="2"/>
        <v>86043</v>
      </c>
    </row>
    <row r="29496">
      <c r="A29496" s="48" t="s">
        <v>1284</v>
      </c>
      <c r="B29496" s="38">
        <v>9281.0</v>
      </c>
      <c r="C29496" s="38" t="s">
        <v>33896</v>
      </c>
      <c r="D29496" s="38" t="str">
        <f>IFERROR(__xludf.DUMMYFUNCTION("REGEXREPLACE(C29496,""-\d+(.*)|--\d+(.*)"","""")"),"SAUTEL")</f>
        <v>SAUTEL</v>
      </c>
      <c r="E29496" s="38" t="s">
        <v>238</v>
      </c>
      <c r="F29496" s="38" t="s">
        <v>94</v>
      </c>
      <c r="G29496" s="49" t="str">
        <f t="shared" si="1"/>
        <v>09300</v>
      </c>
      <c r="H29496" s="49" t="str">
        <f t="shared" si="2"/>
        <v>09281</v>
      </c>
    </row>
    <row r="29497">
      <c r="A29497" s="48" t="s">
        <v>3022</v>
      </c>
      <c r="B29497" s="38">
        <v>14345.0</v>
      </c>
      <c r="C29497" s="38" t="s">
        <v>33897</v>
      </c>
      <c r="D29497" s="38" t="str">
        <f>IFERROR(__xludf.DUMMYFUNCTION("REGEXREPLACE(C29497,""-\d+(.*)|--\d+(.*)"","""")"),"JORT")</f>
        <v>JORT</v>
      </c>
      <c r="E29497" s="38" t="s">
        <v>137</v>
      </c>
      <c r="F29497" s="38" t="s">
        <v>138</v>
      </c>
      <c r="G29497" s="49" t="str">
        <f t="shared" si="1"/>
        <v>14170</v>
      </c>
      <c r="H29497" s="49">
        <f t="shared" si="2"/>
        <v>14345</v>
      </c>
    </row>
    <row r="29498">
      <c r="A29498" s="48" t="s">
        <v>10468</v>
      </c>
      <c r="B29498" s="38">
        <v>87174.0</v>
      </c>
      <c r="C29498" s="38" t="s">
        <v>5044</v>
      </c>
      <c r="D29498" s="38" t="str">
        <f>IFERROR(__xludf.DUMMYFUNCTION("REGEXREPLACE(C29498,""-\d+(.*)|--\d+(.*)"","""")"),"SAINT-PAUL")</f>
        <v>SAINT-PAUL</v>
      </c>
      <c r="E29498" s="38" t="s">
        <v>897</v>
      </c>
      <c r="F29498" s="38" t="s">
        <v>98</v>
      </c>
      <c r="G29498" s="49" t="str">
        <f t="shared" si="1"/>
        <v>87260</v>
      </c>
      <c r="H29498" s="49">
        <f t="shared" si="2"/>
        <v>87174</v>
      </c>
    </row>
    <row r="29499">
      <c r="A29499" s="48" t="s">
        <v>2495</v>
      </c>
      <c r="B29499" s="38">
        <v>41029.0</v>
      </c>
      <c r="C29499" s="38" t="s">
        <v>33898</v>
      </c>
      <c r="D29499" s="38" t="str">
        <f>IFERROR(__xludf.DUMMYFUNCTION("REGEXREPLACE(C29499,""-\d+(.*)|--\d+(.*)"","""")"),"CANDE-SUR-BEUVRON")</f>
        <v>CANDE-SUR-BEUVRON</v>
      </c>
      <c r="E29499" s="38" t="s">
        <v>188</v>
      </c>
      <c r="F29499" s="38" t="s">
        <v>123</v>
      </c>
      <c r="G29499" s="49" t="str">
        <f t="shared" si="1"/>
        <v>41120</v>
      </c>
      <c r="H29499" s="49">
        <f t="shared" si="2"/>
        <v>41029</v>
      </c>
    </row>
    <row r="29500">
      <c r="A29500" s="48" t="s">
        <v>8267</v>
      </c>
      <c r="B29500" s="38">
        <v>22370.0</v>
      </c>
      <c r="C29500" s="38" t="s">
        <v>18797</v>
      </c>
      <c r="D29500" s="38" t="str">
        <f>IFERROR(__xludf.DUMMYFUNCTION("REGEXREPLACE(C29500,""-\d+(.*)|--\d+(.*)"","""")"),"TREMEVEN")</f>
        <v>TREMEVEN</v>
      </c>
      <c r="E29500" s="38" t="s">
        <v>89</v>
      </c>
      <c r="F29500" s="38" t="s">
        <v>90</v>
      </c>
      <c r="G29500" s="49" t="str">
        <f t="shared" si="1"/>
        <v>22290</v>
      </c>
      <c r="H29500" s="49">
        <f t="shared" si="2"/>
        <v>22370</v>
      </c>
    </row>
    <row r="29501">
      <c r="A29501" s="48" t="s">
        <v>524</v>
      </c>
      <c r="B29501" s="38">
        <v>30057.0</v>
      </c>
      <c r="C29501" s="38" t="s">
        <v>168</v>
      </c>
      <c r="D29501" s="38" t="str">
        <f>IFERROR(__xludf.DUMMYFUNCTION("REGEXREPLACE(C29501,""-\d+(.*)|--\d+(.*)"","""")"),"CABRIERES")</f>
        <v>CABRIERES</v>
      </c>
      <c r="E29501" s="38" t="s">
        <v>526</v>
      </c>
      <c r="F29501" s="38" t="s">
        <v>119</v>
      </c>
      <c r="G29501" s="49" t="str">
        <f t="shared" si="1"/>
        <v>30210</v>
      </c>
      <c r="H29501" s="49">
        <f t="shared" si="2"/>
        <v>30057</v>
      </c>
    </row>
    <row r="29502">
      <c r="A29502" s="48" t="s">
        <v>3716</v>
      </c>
      <c r="B29502" s="38">
        <v>57610.0</v>
      </c>
      <c r="C29502" s="38" t="s">
        <v>33899</v>
      </c>
      <c r="D29502" s="38" t="str">
        <f>IFERROR(__xludf.DUMMYFUNCTION("REGEXREPLACE(C29502,""-\d+(.*)|--\d+(.*)"","""")"),"SAINT-FRANCOIS-LACROIX")</f>
        <v>SAINT-FRANCOIS-LACROIX</v>
      </c>
      <c r="E29502" s="38" t="s">
        <v>303</v>
      </c>
      <c r="F29502" s="38" t="s">
        <v>195</v>
      </c>
      <c r="G29502" s="49" t="str">
        <f t="shared" si="1"/>
        <v>57320</v>
      </c>
      <c r="H29502" s="49">
        <f t="shared" si="2"/>
        <v>57610</v>
      </c>
    </row>
    <row r="29503">
      <c r="A29503" s="48" t="s">
        <v>7057</v>
      </c>
      <c r="B29503" s="38">
        <v>18280.0</v>
      </c>
      <c r="C29503" s="38" t="s">
        <v>33900</v>
      </c>
      <c r="D29503" s="38" t="str">
        <f>IFERROR(__xludf.DUMMYFUNCTION("REGEXREPLACE(C29503,""-\d+(.*)|--\d+(.*)"","""")"),"VIGNOUX-SOUS-LES-AIX")</f>
        <v>VIGNOUX-SOUS-LES-AIX</v>
      </c>
      <c r="E29503" s="38" t="s">
        <v>504</v>
      </c>
      <c r="F29503" s="38" t="s">
        <v>123</v>
      </c>
      <c r="G29503" s="49" t="str">
        <f t="shared" si="1"/>
        <v>18110</v>
      </c>
      <c r="H29503" s="49">
        <f t="shared" si="2"/>
        <v>18280</v>
      </c>
    </row>
    <row r="29504">
      <c r="A29504" s="48" t="s">
        <v>1966</v>
      </c>
      <c r="B29504" s="38">
        <v>2335.0</v>
      </c>
      <c r="C29504" s="38" t="s">
        <v>33901</v>
      </c>
      <c r="D29504" s="38" t="str">
        <f>IFERROR(__xludf.DUMMYFUNCTION("REGEXREPLACE(C29504,""-\d+(.*)|--\d+(.*)"","""")"),"FRESSANCOURT")</f>
        <v>FRESSANCOURT</v>
      </c>
      <c r="E29504" s="38" t="s">
        <v>191</v>
      </c>
      <c r="F29504" s="38" t="s">
        <v>113</v>
      </c>
      <c r="G29504" s="49" t="str">
        <f t="shared" si="1"/>
        <v>02800</v>
      </c>
      <c r="H29504" s="49" t="str">
        <f t="shared" si="2"/>
        <v>02335</v>
      </c>
    </row>
    <row r="29505">
      <c r="A29505" s="48" t="s">
        <v>4543</v>
      </c>
      <c r="B29505" s="38">
        <v>64106.0</v>
      </c>
      <c r="C29505" s="38" t="s">
        <v>33902</v>
      </c>
      <c r="D29505" s="38" t="str">
        <f>IFERROR(__xludf.DUMMYFUNCTION("REGEXREPLACE(C29505,""-\d+(.*)|--\d+(.*)"","""")"),"BEHASQUE-LAPISTE")</f>
        <v>BEHASQUE-LAPISTE</v>
      </c>
      <c r="E29505" s="38" t="s">
        <v>268</v>
      </c>
      <c r="F29505" s="38" t="s">
        <v>252</v>
      </c>
      <c r="G29505" s="49" t="str">
        <f t="shared" si="1"/>
        <v>64120</v>
      </c>
      <c r="H29505" s="49">
        <f t="shared" si="2"/>
        <v>64106</v>
      </c>
    </row>
    <row r="29506">
      <c r="A29506" s="48" t="s">
        <v>593</v>
      </c>
      <c r="B29506" s="38">
        <v>29115.0</v>
      </c>
      <c r="C29506" s="38" t="s">
        <v>33903</v>
      </c>
      <c r="D29506" s="38" t="str">
        <f>IFERROR(__xludf.DUMMYFUNCTION("REGEXREPLACE(C29506,""-\d+(.*)|--\d+(.*)"","""")"),"LANNEDERN")</f>
        <v>LANNEDERN</v>
      </c>
      <c r="E29506" s="38" t="s">
        <v>176</v>
      </c>
      <c r="F29506" s="38" t="s">
        <v>90</v>
      </c>
      <c r="G29506" s="49" t="str">
        <f t="shared" si="1"/>
        <v>29190</v>
      </c>
      <c r="H29506" s="49">
        <f t="shared" si="2"/>
        <v>29115</v>
      </c>
    </row>
    <row r="29507">
      <c r="A29507" s="48" t="s">
        <v>9067</v>
      </c>
      <c r="B29507" s="38">
        <v>73320.0</v>
      </c>
      <c r="C29507" s="38" t="s">
        <v>33904</v>
      </c>
      <c r="D29507" s="38" t="str">
        <f>IFERROR(__xludf.DUMMYFUNCTION("REGEXREPLACE(C29507,""-\d+(.*)|--\d+(.*)"","""")"),"VILLARGONDRAN")</f>
        <v>VILLARGONDRAN</v>
      </c>
      <c r="E29507" s="38" t="s">
        <v>306</v>
      </c>
      <c r="F29507" s="38" t="s">
        <v>102</v>
      </c>
      <c r="G29507" s="49" t="str">
        <f t="shared" si="1"/>
        <v>73300</v>
      </c>
      <c r="H29507" s="49">
        <f t="shared" si="2"/>
        <v>73320</v>
      </c>
    </row>
    <row r="29508">
      <c r="A29508" s="48" t="s">
        <v>3706</v>
      </c>
      <c r="B29508" s="38">
        <v>77015.0</v>
      </c>
      <c r="C29508" s="38" t="s">
        <v>33905</v>
      </c>
      <c r="D29508" s="38" t="str">
        <f>IFERROR(__xludf.DUMMYFUNCTION("REGEXREPLACE(C29508,""-\d+(.*)|--\d+(.*)"","""")"),"BABY")</f>
        <v>BABY</v>
      </c>
      <c r="E29508" s="38" t="s">
        <v>244</v>
      </c>
      <c r="F29508" s="38" t="s">
        <v>245</v>
      </c>
      <c r="G29508" s="49" t="str">
        <f t="shared" si="1"/>
        <v>77480</v>
      </c>
      <c r="H29508" s="49">
        <f t="shared" si="2"/>
        <v>77015</v>
      </c>
    </row>
    <row r="29509">
      <c r="A29509" s="48" t="s">
        <v>9940</v>
      </c>
      <c r="B29509" s="38">
        <v>62724.0</v>
      </c>
      <c r="C29509" s="38" t="s">
        <v>1922</v>
      </c>
      <c r="D29509" s="38" t="str">
        <f>IFERROR(__xludf.DUMMYFUNCTION("REGEXREPLACE(C29509,""-\d+(.*)|--\d+(.*)"","""")"),"ROUVROY")</f>
        <v>ROUVROY</v>
      </c>
      <c r="E29509" s="38" t="s">
        <v>109</v>
      </c>
      <c r="F29509" s="38" t="s">
        <v>86</v>
      </c>
      <c r="G29509" s="49" t="str">
        <f t="shared" si="1"/>
        <v>62320</v>
      </c>
      <c r="H29509" s="49">
        <f t="shared" si="2"/>
        <v>62724</v>
      </c>
    </row>
    <row r="29510">
      <c r="A29510" s="48" t="s">
        <v>317</v>
      </c>
      <c r="B29510" s="38">
        <v>74241.0</v>
      </c>
      <c r="C29510" s="38" t="s">
        <v>33906</v>
      </c>
      <c r="D29510" s="38" t="str">
        <f>IFERROR(__xludf.DUMMYFUNCTION("REGEXREPLACE(C29510,""-\d+(.*)|--\d+(.*)"","""")"),"SAINT-JEOIRE")</f>
        <v>SAINT-JEOIRE</v>
      </c>
      <c r="E29510" s="38" t="s">
        <v>319</v>
      </c>
      <c r="F29510" s="38" t="s">
        <v>102</v>
      </c>
      <c r="G29510" s="49" t="str">
        <f t="shared" si="1"/>
        <v>74490</v>
      </c>
      <c r="H29510" s="49">
        <f t="shared" si="2"/>
        <v>74241</v>
      </c>
    </row>
    <row r="29511">
      <c r="A29511" s="48" t="s">
        <v>1932</v>
      </c>
      <c r="B29511" s="38">
        <v>70294.0</v>
      </c>
      <c r="C29511" s="38" t="s">
        <v>33907</v>
      </c>
      <c r="D29511" s="38" t="str">
        <f>IFERROR(__xludf.DUMMYFUNCTION("REGEXREPLACE(C29511,""-\d+(.*)|--\d+(.*)"","""")"),"LANTENOT")</f>
        <v>LANTENOT</v>
      </c>
      <c r="E29511" s="38" t="s">
        <v>956</v>
      </c>
      <c r="F29511" s="38" t="s">
        <v>214</v>
      </c>
      <c r="G29511" s="49" t="str">
        <f t="shared" si="1"/>
        <v>70200</v>
      </c>
      <c r="H29511" s="49">
        <f t="shared" si="2"/>
        <v>70294</v>
      </c>
    </row>
    <row r="29512">
      <c r="A29512" s="48" t="s">
        <v>4703</v>
      </c>
      <c r="B29512" s="38">
        <v>66122.0</v>
      </c>
      <c r="C29512" s="38" t="s">
        <v>33908</v>
      </c>
      <c r="D29512" s="38" t="str">
        <f>IFERROR(__xludf.DUMMYFUNCTION("REGEXREPLACE(C29512,""-\d+(.*)|--\d+(.*)"","""")"),"NOHEDES")</f>
        <v>NOHEDES</v>
      </c>
      <c r="E29512" s="38" t="s">
        <v>248</v>
      </c>
      <c r="F29512" s="38" t="s">
        <v>119</v>
      </c>
      <c r="G29512" s="49" t="str">
        <f t="shared" si="1"/>
        <v>66500</v>
      </c>
      <c r="H29512" s="49">
        <f t="shared" si="2"/>
        <v>66122</v>
      </c>
    </row>
    <row r="29513">
      <c r="A29513" s="48" t="s">
        <v>2519</v>
      </c>
      <c r="B29513" s="38">
        <v>80740.0</v>
      </c>
      <c r="C29513" s="38" t="s">
        <v>33909</v>
      </c>
      <c r="D29513" s="38" t="str">
        <f>IFERROR(__xludf.DUMMYFUNCTION("REGEXREPLACE(C29513,""-\d+(.*)|--\d+(.*)"","""")"),"SOURDON")</f>
        <v>SOURDON</v>
      </c>
      <c r="E29513" s="38" t="s">
        <v>224</v>
      </c>
      <c r="F29513" s="38" t="s">
        <v>113</v>
      </c>
      <c r="G29513" s="49" t="str">
        <f t="shared" si="1"/>
        <v>80250</v>
      </c>
      <c r="H29513" s="49">
        <f t="shared" si="2"/>
        <v>80740</v>
      </c>
    </row>
    <row r="29514">
      <c r="A29514" s="48" t="s">
        <v>4364</v>
      </c>
      <c r="B29514" s="38">
        <v>78361.0</v>
      </c>
      <c r="C29514" s="38" t="s">
        <v>33910</v>
      </c>
      <c r="D29514" s="38" t="str">
        <f>IFERROR(__xludf.DUMMYFUNCTION("REGEXREPLACE(C29514,""-\d+(.*)|--\d+(.*)"","""")"),"MANTES-LA-JOLIE")</f>
        <v>MANTES-LA-JOLIE</v>
      </c>
      <c r="E29514" s="38" t="s">
        <v>362</v>
      </c>
      <c r="F29514" s="38" t="s">
        <v>245</v>
      </c>
      <c r="G29514" s="49" t="str">
        <f t="shared" si="1"/>
        <v>78200</v>
      </c>
      <c r="H29514" s="49">
        <f t="shared" si="2"/>
        <v>78361</v>
      </c>
    </row>
    <row r="29515">
      <c r="A29515" s="48" t="s">
        <v>11972</v>
      </c>
      <c r="B29515" s="38">
        <v>89080.0</v>
      </c>
      <c r="C29515" s="38" t="s">
        <v>33911</v>
      </c>
      <c r="D29515" s="38" t="str">
        <f>IFERROR(__xludf.DUMMYFUNCTION("REGEXREPLACE(C29515,""-\d+(.*)|--\d+(.*)"","""")"),"LA CHAPELLE-SUR-OREUSE")</f>
        <v>LA CHAPELLE-SUR-OREUSE</v>
      </c>
      <c r="E29515" s="38" t="s">
        <v>275</v>
      </c>
      <c r="F29515" s="38" t="s">
        <v>106</v>
      </c>
      <c r="G29515" s="49" t="str">
        <f t="shared" si="1"/>
        <v>89260</v>
      </c>
      <c r="H29515" s="49">
        <f t="shared" si="2"/>
        <v>89080</v>
      </c>
    </row>
    <row r="29516">
      <c r="A29516" s="48" t="s">
        <v>33912</v>
      </c>
      <c r="B29516" s="38">
        <v>92002.0</v>
      </c>
      <c r="C29516" s="38" t="s">
        <v>33913</v>
      </c>
      <c r="D29516" s="38" t="str">
        <f>IFERROR(__xludf.DUMMYFUNCTION("REGEXREPLACE(C29516,""-\d+(.*)|--\d+(.*)"","""")"),"ANTONY")</f>
        <v>ANTONY</v>
      </c>
      <c r="E29516" s="38" t="s">
        <v>838</v>
      </c>
      <c r="F29516" s="38" t="s">
        <v>245</v>
      </c>
      <c r="G29516" s="49" t="str">
        <f t="shared" si="1"/>
        <v>92160</v>
      </c>
      <c r="H29516" s="49">
        <f t="shared" si="2"/>
        <v>92002</v>
      </c>
    </row>
    <row r="29517">
      <c r="A29517" s="48" t="s">
        <v>1932</v>
      </c>
      <c r="B29517" s="38">
        <v>70313.0</v>
      </c>
      <c r="C29517" s="38" t="s">
        <v>33914</v>
      </c>
      <c r="D29517" s="38" t="str">
        <f>IFERROR(__xludf.DUMMYFUNCTION("REGEXREPLACE(C29517,""-\d+(.*)|--\d+(.*)"","""")"),"LYOFFANS")</f>
        <v>LYOFFANS</v>
      </c>
      <c r="E29517" s="38" t="s">
        <v>956</v>
      </c>
      <c r="F29517" s="38" t="s">
        <v>214</v>
      </c>
      <c r="G29517" s="49" t="str">
        <f t="shared" si="1"/>
        <v>70200</v>
      </c>
      <c r="H29517" s="49">
        <f t="shared" si="2"/>
        <v>70313</v>
      </c>
    </row>
    <row r="29518">
      <c r="A29518" s="48" t="s">
        <v>3028</v>
      </c>
      <c r="B29518" s="38">
        <v>21021.0</v>
      </c>
      <c r="C29518" s="38" t="s">
        <v>33915</v>
      </c>
      <c r="D29518" s="38" t="str">
        <f>IFERROR(__xludf.DUMMYFUNCTION("REGEXREPLACE(C29518,""-\d+(.*)|--\d+(.*)"","""")"),"ARC-SUR-TILLE")</f>
        <v>ARC-SUR-TILLE</v>
      </c>
      <c r="E29518" s="38" t="s">
        <v>105</v>
      </c>
      <c r="F29518" s="38" t="s">
        <v>106</v>
      </c>
      <c r="G29518" s="49" t="str">
        <f t="shared" si="1"/>
        <v>21560</v>
      </c>
      <c r="H29518" s="49">
        <f t="shared" si="2"/>
        <v>21021</v>
      </c>
    </row>
    <row r="29519">
      <c r="A29519" s="48" t="s">
        <v>11285</v>
      </c>
      <c r="B29519" s="38" t="s">
        <v>33916</v>
      </c>
      <c r="C29519" s="38" t="s">
        <v>33917</v>
      </c>
      <c r="D29519" s="38" t="str">
        <f>IFERROR(__xludf.DUMMYFUNCTION("REGEXREPLACE(C29519,""-\d+(.*)|--\d+(.*)"","""")"),"CARTICASI")</f>
        <v>CARTICASI</v>
      </c>
      <c r="E29519" s="38" t="s">
        <v>743</v>
      </c>
      <c r="F29519" s="38" t="s">
        <v>607</v>
      </c>
      <c r="G29519" s="49" t="str">
        <f t="shared" si="1"/>
        <v>20244</v>
      </c>
      <c r="H29519" s="49" t="str">
        <f t="shared" si="2"/>
        <v>2B068</v>
      </c>
    </row>
    <row r="29520">
      <c r="A29520" s="48" t="s">
        <v>1821</v>
      </c>
      <c r="B29520" s="38">
        <v>3164.0</v>
      </c>
      <c r="C29520" s="38" t="s">
        <v>33918</v>
      </c>
      <c r="D29520" s="38" t="str">
        <f>IFERROR(__xludf.DUMMYFUNCTION("REGEXREPLACE(C29520,""-\d+(.*)|--\d+(.*)"","""")"),"LE MAYET-D'ECOLE")</f>
        <v>LE MAYET-D'ECOLE</v>
      </c>
      <c r="E29520" s="38" t="s">
        <v>160</v>
      </c>
      <c r="F29520" s="38" t="s">
        <v>161</v>
      </c>
      <c r="G29520" s="49" t="str">
        <f t="shared" si="1"/>
        <v>03800</v>
      </c>
      <c r="H29520" s="49" t="str">
        <f t="shared" si="2"/>
        <v>03164</v>
      </c>
    </row>
    <row r="29521">
      <c r="A29521" s="48" t="s">
        <v>2077</v>
      </c>
      <c r="B29521" s="38">
        <v>8450.0</v>
      </c>
      <c r="C29521" s="38" t="s">
        <v>33919</v>
      </c>
      <c r="D29521" s="38" t="str">
        <f>IFERROR(__xludf.DUMMYFUNCTION("REGEXREPLACE(C29521,""-\d+(.*)|--\d+(.*)"","""")"),"THIS")</f>
        <v>THIS</v>
      </c>
      <c r="E29521" s="38" t="s">
        <v>327</v>
      </c>
      <c r="F29521" s="38" t="s">
        <v>130</v>
      </c>
      <c r="G29521" s="49" t="str">
        <f t="shared" si="1"/>
        <v>08090</v>
      </c>
      <c r="H29521" s="49" t="str">
        <f t="shared" si="2"/>
        <v>08450</v>
      </c>
    </row>
    <row r="29522">
      <c r="A29522" s="48" t="s">
        <v>3024</v>
      </c>
      <c r="B29522" s="38">
        <v>91587.0</v>
      </c>
      <c r="C29522" s="38" t="s">
        <v>33920</v>
      </c>
      <c r="D29522" s="38" t="str">
        <f>IFERROR(__xludf.DUMMYFUNCTION("REGEXREPLACE(C29522,""-\d+(.*)|--\d+(.*)"","""")"),"SAULX-LES-CHARTREUX")</f>
        <v>SAULX-LES-CHARTREUX</v>
      </c>
      <c r="E29522" s="38" t="s">
        <v>756</v>
      </c>
      <c r="F29522" s="38" t="s">
        <v>245</v>
      </c>
      <c r="G29522" s="49" t="str">
        <f t="shared" si="1"/>
        <v>91160</v>
      </c>
      <c r="H29522" s="49">
        <f t="shared" si="2"/>
        <v>91587</v>
      </c>
    </row>
    <row r="29523">
      <c r="A29523" s="48" t="s">
        <v>7563</v>
      </c>
      <c r="B29523" s="38">
        <v>59511.0</v>
      </c>
      <c r="C29523" s="38" t="s">
        <v>33921</v>
      </c>
      <c r="D29523" s="38" t="str">
        <f>IFERROR(__xludf.DUMMYFUNCTION("REGEXREPLACE(C29523,""-\d+(.*)|--\d+(.*)"","""")"),"ROSULT")</f>
        <v>ROSULT</v>
      </c>
      <c r="E29523" s="38" t="s">
        <v>85</v>
      </c>
      <c r="F29523" s="38" t="s">
        <v>86</v>
      </c>
      <c r="G29523" s="49" t="str">
        <f t="shared" si="1"/>
        <v>59230</v>
      </c>
      <c r="H29523" s="49">
        <f t="shared" si="2"/>
        <v>59511</v>
      </c>
    </row>
    <row r="29524">
      <c r="A29524" s="48" t="s">
        <v>5953</v>
      </c>
      <c r="B29524" s="38">
        <v>76745.0</v>
      </c>
      <c r="C29524" s="38" t="s">
        <v>33922</v>
      </c>
      <c r="D29524" s="38" t="str">
        <f>IFERROR(__xludf.DUMMYFUNCTION("REGEXREPLACE(C29524,""-\d+(.*)|--\d+(.*)"","""")"),"VILLY-SUR-YERES")</f>
        <v>VILLY-SUR-YERES</v>
      </c>
      <c r="E29524" s="38" t="s">
        <v>133</v>
      </c>
      <c r="F29524" s="38" t="s">
        <v>134</v>
      </c>
      <c r="G29524" s="49" t="str">
        <f t="shared" si="1"/>
        <v>76260</v>
      </c>
      <c r="H29524" s="49">
        <f t="shared" si="2"/>
        <v>76745</v>
      </c>
    </row>
    <row r="29525">
      <c r="A29525" s="48" t="s">
        <v>9141</v>
      </c>
      <c r="B29525" s="38">
        <v>1322.0</v>
      </c>
      <c r="C29525" s="38" t="s">
        <v>33923</v>
      </c>
      <c r="D29525" s="38" t="str">
        <f>IFERROR(__xludf.DUMMYFUNCTION("REGEXREPLACE(C29525,""-\d+(.*)|--\d+(.*)"","""")"),"REYRIEUX")</f>
        <v>REYRIEUX</v>
      </c>
      <c r="E29525" s="38" t="s">
        <v>255</v>
      </c>
      <c r="F29525" s="38" t="s">
        <v>102</v>
      </c>
      <c r="G29525" s="49" t="str">
        <f t="shared" si="1"/>
        <v>01600</v>
      </c>
      <c r="H29525" s="49" t="str">
        <f t="shared" si="2"/>
        <v>01322</v>
      </c>
    </row>
    <row r="29526">
      <c r="A29526" s="48" t="s">
        <v>2069</v>
      </c>
      <c r="B29526" s="38">
        <v>47178.0</v>
      </c>
      <c r="C29526" s="38" t="s">
        <v>4587</v>
      </c>
      <c r="D29526" s="38" t="str">
        <f>IFERROR(__xludf.DUMMYFUNCTION("REGEXREPLACE(C29526,""-\d+(.*)|--\d+(.*)"","""")"),"MONSEGUR")</f>
        <v>MONSEGUR</v>
      </c>
      <c r="E29526" s="38" t="s">
        <v>251</v>
      </c>
      <c r="F29526" s="38" t="s">
        <v>252</v>
      </c>
      <c r="G29526" s="49" t="str">
        <f t="shared" si="1"/>
        <v>47150</v>
      </c>
      <c r="H29526" s="49">
        <f t="shared" si="2"/>
        <v>47178</v>
      </c>
    </row>
    <row r="29527">
      <c r="A29527" s="48" t="s">
        <v>4030</v>
      </c>
      <c r="B29527" s="38">
        <v>16096.0</v>
      </c>
      <c r="C29527" s="38" t="s">
        <v>33924</v>
      </c>
      <c r="D29527" s="38" t="str">
        <f>IFERROR(__xludf.DUMMYFUNCTION("REGEXREPLACE(C29527,""-\d+(.*)|--\d+(.*)"","""")"),"CHERVES-CHATELARS")</f>
        <v>CHERVES-CHATELARS</v>
      </c>
      <c r="E29527" s="38" t="s">
        <v>429</v>
      </c>
      <c r="F29527" s="38" t="s">
        <v>338</v>
      </c>
      <c r="G29527" s="49" t="str">
        <f t="shared" si="1"/>
        <v>16310</v>
      </c>
      <c r="H29527" s="49">
        <f t="shared" si="2"/>
        <v>16096</v>
      </c>
    </row>
    <row r="29528">
      <c r="A29528" s="48" t="s">
        <v>33925</v>
      </c>
      <c r="B29528" s="38">
        <v>54328.0</v>
      </c>
      <c r="C29528" s="38" t="s">
        <v>33926</v>
      </c>
      <c r="D29528" s="38" t="str">
        <f>IFERROR(__xludf.DUMMYFUNCTION("REGEXREPLACE(C29528,""-\d+(.*)|--\d+(.*)"","""")"),"LUDRES")</f>
        <v>LUDRES</v>
      </c>
      <c r="E29528" s="38" t="s">
        <v>548</v>
      </c>
      <c r="F29528" s="38" t="s">
        <v>195</v>
      </c>
      <c r="G29528" s="49" t="str">
        <f t="shared" si="1"/>
        <v>54710</v>
      </c>
      <c r="H29528" s="49">
        <f t="shared" si="2"/>
        <v>54328</v>
      </c>
    </row>
    <row r="29529">
      <c r="A29529" s="48" t="s">
        <v>9373</v>
      </c>
      <c r="B29529" s="38">
        <v>84009.0</v>
      </c>
      <c r="C29529" s="38" t="s">
        <v>33927</v>
      </c>
      <c r="D29529" s="38" t="str">
        <f>IFERROR(__xludf.DUMMYFUNCTION("REGEXREPLACE(C29529,""-\d+(.*)|--\d+(.*)"","""")"),"LA BASTIDE-DES-JOURDANS")</f>
        <v>LA BASTIDE-DES-JOURDANS</v>
      </c>
      <c r="E29529" s="38" t="s">
        <v>1026</v>
      </c>
      <c r="F29529" s="38" t="s">
        <v>228</v>
      </c>
      <c r="G29529" s="49" t="str">
        <f t="shared" si="1"/>
        <v>84240</v>
      </c>
      <c r="H29529" s="49">
        <f t="shared" si="2"/>
        <v>84009</v>
      </c>
    </row>
    <row r="29530">
      <c r="A29530" s="48" t="s">
        <v>2124</v>
      </c>
      <c r="B29530" s="38">
        <v>10364.0</v>
      </c>
      <c r="C29530" s="38" t="s">
        <v>31371</v>
      </c>
      <c r="D29530" s="38" t="str">
        <f>IFERROR(__xludf.DUMMYFUNCTION("REGEXREPLACE(C29530,""-\d+(.*)|--\d+(.*)"","""")"),"SAINT-USAGE")</f>
        <v>SAINT-USAGE</v>
      </c>
      <c r="E29530" s="38" t="s">
        <v>147</v>
      </c>
      <c r="F29530" s="38" t="s">
        <v>130</v>
      </c>
      <c r="G29530" s="49" t="str">
        <f t="shared" si="1"/>
        <v>10360</v>
      </c>
      <c r="H29530" s="49">
        <f t="shared" si="2"/>
        <v>10364</v>
      </c>
    </row>
    <row r="29531">
      <c r="A29531" s="48" t="s">
        <v>7086</v>
      </c>
      <c r="B29531" s="38">
        <v>57677.0</v>
      </c>
      <c r="C29531" s="38" t="s">
        <v>33928</v>
      </c>
      <c r="D29531" s="38" t="str">
        <f>IFERROR(__xludf.DUMMYFUNCTION("REGEXREPLACE(C29531,""-\d+(.*)|--\d+(.*)"","""")"),"TREMERY")</f>
        <v>TREMERY</v>
      </c>
      <c r="E29531" s="38" t="s">
        <v>303</v>
      </c>
      <c r="F29531" s="38" t="s">
        <v>195</v>
      </c>
      <c r="G29531" s="49" t="str">
        <f t="shared" si="1"/>
        <v>57300</v>
      </c>
      <c r="H29531" s="49">
        <f t="shared" si="2"/>
        <v>57677</v>
      </c>
    </row>
    <row r="29532">
      <c r="A29532" s="48" t="s">
        <v>23949</v>
      </c>
      <c r="B29532" s="38">
        <v>26116.0</v>
      </c>
      <c r="C29532" s="38" t="s">
        <v>33929</v>
      </c>
      <c r="D29532" s="38" t="str">
        <f>IFERROR(__xludf.DUMMYFUNCTION("REGEXREPLACE(C29532,""-\d+(.*)|--\d+(.*)"","""")"),"DONZERE")</f>
        <v>DONZERE</v>
      </c>
      <c r="E29532" s="38" t="s">
        <v>126</v>
      </c>
      <c r="F29532" s="38" t="s">
        <v>102</v>
      </c>
      <c r="G29532" s="49" t="str">
        <f t="shared" si="1"/>
        <v>26290</v>
      </c>
      <c r="H29532" s="49">
        <f t="shared" si="2"/>
        <v>26116</v>
      </c>
    </row>
    <row r="29533">
      <c r="A29533" s="48" t="s">
        <v>6633</v>
      </c>
      <c r="B29533" s="38">
        <v>64286.0</v>
      </c>
      <c r="C29533" s="38" t="s">
        <v>33930</v>
      </c>
      <c r="D29533" s="38" t="str">
        <f>IFERROR(__xludf.DUMMYFUNCTION("REGEXREPLACE(C29533,""-\d+(.*)|--\d+(.*)"","""")"),"LAA-MONDRANS")</f>
        <v>LAA-MONDRANS</v>
      </c>
      <c r="E29533" s="38" t="s">
        <v>268</v>
      </c>
      <c r="F29533" s="38" t="s">
        <v>252</v>
      </c>
      <c r="G29533" s="49" t="str">
        <f t="shared" si="1"/>
        <v>64300</v>
      </c>
      <c r="H29533" s="49">
        <f t="shared" si="2"/>
        <v>64286</v>
      </c>
    </row>
    <row r="29534">
      <c r="A29534" s="48" t="s">
        <v>12083</v>
      </c>
      <c r="B29534" s="38">
        <v>26358.0</v>
      </c>
      <c r="C29534" s="38" t="s">
        <v>33931</v>
      </c>
      <c r="D29534" s="38" t="str">
        <f>IFERROR(__xludf.DUMMYFUNCTION("REGEXREPLACE(C29534,""-\d+(.*)|--\d+(.*)"","""")"),"UPIE")</f>
        <v>UPIE</v>
      </c>
      <c r="E29534" s="38" t="s">
        <v>126</v>
      </c>
      <c r="F29534" s="38" t="s">
        <v>102</v>
      </c>
      <c r="G29534" s="49" t="str">
        <f t="shared" si="1"/>
        <v>26120</v>
      </c>
      <c r="H29534" s="49">
        <f t="shared" si="2"/>
        <v>26358</v>
      </c>
    </row>
    <row r="29535">
      <c r="A29535" s="48" t="s">
        <v>2532</v>
      </c>
      <c r="B29535" s="38">
        <v>51495.0</v>
      </c>
      <c r="C29535" s="38" t="s">
        <v>1320</v>
      </c>
      <c r="D29535" s="38" t="str">
        <f>IFERROR(__xludf.DUMMYFUNCTION("REGEXREPLACE(C29535,""-\d+(.*)|--\d+(.*)"","""")"),"SAINT-LOUP")</f>
        <v>SAINT-LOUP</v>
      </c>
      <c r="E29535" s="38" t="s">
        <v>129</v>
      </c>
      <c r="F29535" s="38" t="s">
        <v>130</v>
      </c>
      <c r="G29535" s="49" t="str">
        <f t="shared" si="1"/>
        <v>51120</v>
      </c>
      <c r="H29535" s="49">
        <f t="shared" si="2"/>
        <v>51495</v>
      </c>
    </row>
    <row r="29536">
      <c r="A29536" s="48" t="s">
        <v>3465</v>
      </c>
      <c r="B29536" s="38">
        <v>11246.0</v>
      </c>
      <c r="C29536" s="38" t="s">
        <v>33932</v>
      </c>
      <c r="D29536" s="38" t="str">
        <f>IFERROR(__xludf.DUMMYFUNCTION("REGEXREPLACE(C29536,""-\d+(.*)|--\d+(.*)"","""")"),"MONTGRADAIL")</f>
        <v>MONTGRADAIL</v>
      </c>
      <c r="E29536" s="38" t="s">
        <v>278</v>
      </c>
      <c r="F29536" s="38" t="s">
        <v>119</v>
      </c>
      <c r="G29536" s="49" t="str">
        <f t="shared" si="1"/>
        <v>11240</v>
      </c>
      <c r="H29536" s="49">
        <f t="shared" si="2"/>
        <v>11246</v>
      </c>
    </row>
    <row r="29537">
      <c r="A29537" s="48" t="s">
        <v>3920</v>
      </c>
      <c r="B29537" s="38">
        <v>50016.0</v>
      </c>
      <c r="C29537" s="38" t="s">
        <v>33933</v>
      </c>
      <c r="D29537" s="38" t="str">
        <f>IFERROR(__xludf.DUMMYFUNCTION("REGEXREPLACE(C29537,""-\d+(.*)|--\d+(.*)"","""")"),"APPEVILLE")</f>
        <v>APPEVILLE</v>
      </c>
      <c r="E29537" s="38" t="s">
        <v>157</v>
      </c>
      <c r="F29537" s="38" t="s">
        <v>138</v>
      </c>
      <c r="G29537" s="49" t="str">
        <f t="shared" si="1"/>
        <v>50500</v>
      </c>
      <c r="H29537" s="49">
        <f t="shared" si="2"/>
        <v>50016</v>
      </c>
    </row>
    <row r="29538">
      <c r="A29538" s="48" t="s">
        <v>4450</v>
      </c>
      <c r="B29538" s="38">
        <v>34092.0</v>
      </c>
      <c r="C29538" s="38" t="s">
        <v>33934</v>
      </c>
      <c r="D29538" s="38" t="str">
        <f>IFERROR(__xludf.DUMMYFUNCTION("REGEXREPLACE(C29538,""-\d+(.*)|--\d+(.*)"","""")"),"CRUZY")</f>
        <v>CRUZY</v>
      </c>
      <c r="E29538" s="38" t="s">
        <v>118</v>
      </c>
      <c r="F29538" s="38" t="s">
        <v>119</v>
      </c>
      <c r="G29538" s="49" t="str">
        <f t="shared" si="1"/>
        <v>34310</v>
      </c>
      <c r="H29538" s="49">
        <f t="shared" si="2"/>
        <v>34092</v>
      </c>
    </row>
    <row r="29539">
      <c r="A29539" s="48" t="s">
        <v>4086</v>
      </c>
      <c r="B29539" s="38">
        <v>79013.0</v>
      </c>
      <c r="C29539" s="38" t="s">
        <v>33935</v>
      </c>
      <c r="D29539" s="38" t="str">
        <f>IFERROR(__xludf.DUMMYFUNCTION("REGEXREPLACE(C29539,""-\d+(.*)|--\d+(.*)"","""")"),"ARGENTON-LES-VALLEES")</f>
        <v>ARGENTON-LES-VALLEES</v>
      </c>
      <c r="E29539" s="38" t="s">
        <v>337</v>
      </c>
      <c r="F29539" s="38" t="s">
        <v>338</v>
      </c>
      <c r="G29539" s="49" t="str">
        <f t="shared" si="1"/>
        <v>79150</v>
      </c>
      <c r="H29539" s="49">
        <f t="shared" si="2"/>
        <v>79013</v>
      </c>
    </row>
    <row r="29540">
      <c r="A29540" s="48" t="s">
        <v>95</v>
      </c>
      <c r="B29540" s="38">
        <v>23121.0</v>
      </c>
      <c r="C29540" s="38" t="s">
        <v>33936</v>
      </c>
      <c r="D29540" s="38" t="str">
        <f>IFERROR(__xludf.DUMMYFUNCTION("REGEXREPLACE(C29540,""-\d+(.*)|--\d+(.*)"","""")"),"MALVAL")</f>
        <v>MALVAL</v>
      </c>
      <c r="E29540" s="38" t="s">
        <v>97</v>
      </c>
      <c r="F29540" s="38" t="s">
        <v>98</v>
      </c>
      <c r="G29540" s="49" t="str">
        <f t="shared" si="1"/>
        <v>23220</v>
      </c>
      <c r="H29540" s="49">
        <f t="shared" si="2"/>
        <v>23121</v>
      </c>
    </row>
    <row r="29541">
      <c r="A29541" s="48" t="s">
        <v>436</v>
      </c>
      <c r="B29541" s="38">
        <v>51016.0</v>
      </c>
      <c r="C29541" s="38" t="s">
        <v>33937</v>
      </c>
      <c r="D29541" s="38" t="str">
        <f>IFERROR(__xludf.DUMMYFUNCTION("REGEXREPLACE(C29541,""-\d+(.*)|--\d+(.*)"","""")"),"ARRIGNY")</f>
        <v>ARRIGNY</v>
      </c>
      <c r="E29541" s="38" t="s">
        <v>129</v>
      </c>
      <c r="F29541" s="38" t="s">
        <v>130</v>
      </c>
      <c r="G29541" s="49" t="str">
        <f t="shared" si="1"/>
        <v>51290</v>
      </c>
      <c r="H29541" s="49">
        <f t="shared" si="2"/>
        <v>51016</v>
      </c>
    </row>
    <row r="29542">
      <c r="A29542" s="48" t="s">
        <v>33938</v>
      </c>
      <c r="B29542" s="38">
        <v>38131.0</v>
      </c>
      <c r="C29542" s="38" t="s">
        <v>33939</v>
      </c>
      <c r="D29542" s="38" t="str">
        <f>IFERROR(__xludf.DUMMYFUNCTION("REGEXREPLACE(C29542,""-\d+(.*)|--\d+(.*)"","""")"),"LES COTES-D'AREY")</f>
        <v>LES COTES-D'AREY</v>
      </c>
      <c r="E29542" s="38" t="s">
        <v>101</v>
      </c>
      <c r="F29542" s="38" t="s">
        <v>102</v>
      </c>
      <c r="G29542" s="49" t="str">
        <f t="shared" si="1"/>
        <v>38138</v>
      </c>
      <c r="H29542" s="49">
        <f t="shared" si="2"/>
        <v>38131</v>
      </c>
    </row>
    <row r="29543">
      <c r="A29543" s="48" t="s">
        <v>1790</v>
      </c>
      <c r="B29543" s="38">
        <v>67346.0</v>
      </c>
      <c r="C29543" s="38" t="s">
        <v>33940</v>
      </c>
      <c r="D29543" s="38" t="str">
        <f>IFERROR(__xludf.DUMMYFUNCTION("REGEXREPLACE(C29543,""-\d+(.*)|--\d+(.*)"","""")"),"OBERLAUTERBACH")</f>
        <v>OBERLAUTERBACH</v>
      </c>
      <c r="E29543" s="38" t="s">
        <v>210</v>
      </c>
      <c r="F29543" s="38" t="s">
        <v>151</v>
      </c>
      <c r="G29543" s="49" t="str">
        <f t="shared" si="1"/>
        <v>67160</v>
      </c>
      <c r="H29543" s="49">
        <f t="shared" si="2"/>
        <v>67346</v>
      </c>
    </row>
    <row r="29544">
      <c r="A29544" s="48" t="s">
        <v>3800</v>
      </c>
      <c r="B29544" s="38">
        <v>35035.0</v>
      </c>
      <c r="C29544" s="38" t="s">
        <v>33941</v>
      </c>
      <c r="D29544" s="38" t="str">
        <f>IFERROR(__xludf.DUMMYFUNCTION("REGEXREPLACE(C29544,""-\d+(.*)|--\d+(.*)"","""")"),"BOVEL")</f>
        <v>BOVEL</v>
      </c>
      <c r="E29544" s="38" t="s">
        <v>347</v>
      </c>
      <c r="F29544" s="38" t="s">
        <v>90</v>
      </c>
      <c r="G29544" s="49" t="str">
        <f t="shared" si="1"/>
        <v>35330</v>
      </c>
      <c r="H29544" s="49">
        <f t="shared" si="2"/>
        <v>35035</v>
      </c>
    </row>
    <row r="29545">
      <c r="A29545" s="48" t="s">
        <v>3163</v>
      </c>
      <c r="B29545" s="38">
        <v>28382.0</v>
      </c>
      <c r="C29545" s="38" t="s">
        <v>33942</v>
      </c>
      <c r="D29545" s="38" t="str">
        <f>IFERROR(__xludf.DUMMYFUNCTION("REGEXREPLACE(C29545,""-\d+(.*)|--\d+(.*)"","""")"),"TERMINIERS")</f>
        <v>TERMINIERS</v>
      </c>
      <c r="E29545" s="38" t="s">
        <v>300</v>
      </c>
      <c r="F29545" s="38" t="s">
        <v>123</v>
      </c>
      <c r="G29545" s="49" t="str">
        <f t="shared" si="1"/>
        <v>28140</v>
      </c>
      <c r="H29545" s="49">
        <f t="shared" si="2"/>
        <v>28382</v>
      </c>
    </row>
    <row r="29546">
      <c r="A29546" s="48" t="s">
        <v>1588</v>
      </c>
      <c r="B29546" s="38">
        <v>9297.0</v>
      </c>
      <c r="C29546" s="38" t="s">
        <v>33943</v>
      </c>
      <c r="D29546" s="38" t="str">
        <f>IFERROR(__xludf.DUMMYFUNCTION("REGEXREPLACE(C29546,""-\d+(.*)|--\d+(.*)"","""")"),"SOR")</f>
        <v>SOR</v>
      </c>
      <c r="E29546" s="38" t="s">
        <v>238</v>
      </c>
      <c r="F29546" s="38" t="s">
        <v>94</v>
      </c>
      <c r="G29546" s="49" t="str">
        <f t="shared" si="1"/>
        <v>09800</v>
      </c>
      <c r="H29546" s="49" t="str">
        <f t="shared" si="2"/>
        <v>09297</v>
      </c>
    </row>
    <row r="29547">
      <c r="A29547" s="48" t="s">
        <v>8196</v>
      </c>
      <c r="B29547" s="38">
        <v>23052.0</v>
      </c>
      <c r="C29547" s="38" t="s">
        <v>33944</v>
      </c>
      <c r="D29547" s="38" t="str">
        <f>IFERROR(__xludf.DUMMYFUNCTION("REGEXREPLACE(C29547,""-\d+(.*)|--\d+(.*)"","""")"),"LA CHAPELLE-TAILLEFERT")</f>
        <v>LA CHAPELLE-TAILLEFERT</v>
      </c>
      <c r="E29547" s="38" t="s">
        <v>97</v>
      </c>
      <c r="F29547" s="38" t="s">
        <v>98</v>
      </c>
      <c r="G29547" s="49" t="str">
        <f t="shared" si="1"/>
        <v>23000</v>
      </c>
      <c r="H29547" s="49">
        <f t="shared" si="2"/>
        <v>23052</v>
      </c>
    </row>
    <row r="29548">
      <c r="A29548" s="48" t="s">
        <v>6099</v>
      </c>
      <c r="B29548" s="38">
        <v>59505.0</v>
      </c>
      <c r="C29548" s="38" t="s">
        <v>33945</v>
      </c>
      <c r="D29548" s="38" t="str">
        <f>IFERROR(__xludf.DUMMYFUNCTION("REGEXREPLACE(C29548,""-\d+(.*)|--\d+(.*)"","""")"),"ROMBIES-ET-MARCHIPONT")</f>
        <v>ROMBIES-ET-MARCHIPONT</v>
      </c>
      <c r="E29548" s="38" t="s">
        <v>85</v>
      </c>
      <c r="F29548" s="38" t="s">
        <v>86</v>
      </c>
      <c r="G29548" s="49" t="str">
        <f t="shared" si="1"/>
        <v>59990</v>
      </c>
      <c r="H29548" s="49">
        <f t="shared" si="2"/>
        <v>59505</v>
      </c>
    </row>
    <row r="29549">
      <c r="A29549" s="48" t="s">
        <v>2219</v>
      </c>
      <c r="B29549" s="38">
        <v>2617.0</v>
      </c>
      <c r="C29549" s="38" t="s">
        <v>33946</v>
      </c>
      <c r="D29549" s="38" t="str">
        <f>IFERROR(__xludf.DUMMYFUNCTION("REGEXREPLACE(C29549,""-\d+(.*)|--\d+(.*)"","""")"),"POUILLY-SUR-SERRE")</f>
        <v>POUILLY-SUR-SERRE</v>
      </c>
      <c r="E29549" s="38" t="s">
        <v>191</v>
      </c>
      <c r="F29549" s="38" t="s">
        <v>113</v>
      </c>
      <c r="G29549" s="49" t="str">
        <f t="shared" si="1"/>
        <v>02270</v>
      </c>
      <c r="H29549" s="49" t="str">
        <f t="shared" si="2"/>
        <v>02617</v>
      </c>
    </row>
    <row r="29550">
      <c r="A29550" s="48" t="s">
        <v>3934</v>
      </c>
      <c r="B29550" s="38">
        <v>3241.0</v>
      </c>
      <c r="C29550" s="38" t="s">
        <v>33947</v>
      </c>
      <c r="D29550" s="38" t="str">
        <f>IFERROR(__xludf.DUMMYFUNCTION("REGEXREPLACE(C29550,""-\d+(.*)|--\d+(.*)"","""")"),"SAINT-LEOPARDIN-D'AUGY")</f>
        <v>SAINT-LEOPARDIN-D'AUGY</v>
      </c>
      <c r="E29550" s="38" t="s">
        <v>160</v>
      </c>
      <c r="F29550" s="38" t="s">
        <v>161</v>
      </c>
      <c r="G29550" s="49" t="str">
        <f t="shared" si="1"/>
        <v>03160</v>
      </c>
      <c r="H29550" s="49" t="str">
        <f t="shared" si="2"/>
        <v>03241</v>
      </c>
    </row>
    <row r="29551">
      <c r="A29551" s="48" t="s">
        <v>7360</v>
      </c>
      <c r="B29551" s="38">
        <v>86093.0</v>
      </c>
      <c r="C29551" s="38" t="s">
        <v>33948</v>
      </c>
      <c r="D29551" s="38" t="str">
        <f>IFERROR(__xludf.DUMMYFUNCTION("REGEXREPLACE(C29551,""-\d+(.*)|--\d+(.*)"","""")"),"DERCE")</f>
        <v>DERCE</v>
      </c>
      <c r="E29551" s="38" t="s">
        <v>529</v>
      </c>
      <c r="F29551" s="38" t="s">
        <v>338</v>
      </c>
      <c r="G29551" s="49" t="str">
        <f t="shared" si="1"/>
        <v>86420</v>
      </c>
      <c r="H29551" s="49">
        <f t="shared" si="2"/>
        <v>86093</v>
      </c>
    </row>
    <row r="29552">
      <c r="A29552" s="48" t="s">
        <v>4826</v>
      </c>
      <c r="B29552" s="38">
        <v>57588.0</v>
      </c>
      <c r="C29552" s="38" t="s">
        <v>33949</v>
      </c>
      <c r="D29552" s="38" t="str">
        <f>IFERROR(__xludf.DUMMYFUNCTION("REGEXREPLACE(C29552,""-\d+(.*)|--\d+(.*)"","""")"),"RODEMACK")</f>
        <v>RODEMACK</v>
      </c>
      <c r="E29552" s="38" t="s">
        <v>303</v>
      </c>
      <c r="F29552" s="38" t="s">
        <v>195</v>
      </c>
      <c r="G29552" s="49" t="str">
        <f t="shared" si="1"/>
        <v>57570</v>
      </c>
      <c r="H29552" s="49">
        <f t="shared" si="2"/>
        <v>57588</v>
      </c>
    </row>
    <row r="29553">
      <c r="A29553" s="48" t="s">
        <v>2406</v>
      </c>
      <c r="B29553" s="38">
        <v>55312.0</v>
      </c>
      <c r="C29553" s="38" t="s">
        <v>33950</v>
      </c>
      <c r="D29553" s="38" t="str">
        <f>IFERROR(__xludf.DUMMYFUNCTION("REGEXREPLACE(C29553,""-\d+(.*)|--\d+(.*)"","""")"),"MAIZEY")</f>
        <v>MAIZEY</v>
      </c>
      <c r="E29553" s="38" t="s">
        <v>322</v>
      </c>
      <c r="F29553" s="38" t="s">
        <v>195</v>
      </c>
      <c r="G29553" s="49" t="str">
        <f t="shared" si="1"/>
        <v>55300</v>
      </c>
      <c r="H29553" s="49">
        <f t="shared" si="2"/>
        <v>55312</v>
      </c>
    </row>
    <row r="29554">
      <c r="A29554" s="48" t="s">
        <v>3711</v>
      </c>
      <c r="B29554" s="38">
        <v>21137.0</v>
      </c>
      <c r="C29554" s="38" t="s">
        <v>33951</v>
      </c>
      <c r="D29554" s="38" t="str">
        <f>IFERROR(__xludf.DUMMYFUNCTION("REGEXREPLACE(C29554,""-\d+(.*)|--\d+(.*)"","""")"),"CHAMP-D'OISEAU")</f>
        <v>CHAMP-D'OISEAU</v>
      </c>
      <c r="E29554" s="38" t="s">
        <v>105</v>
      </c>
      <c r="F29554" s="38" t="s">
        <v>106</v>
      </c>
      <c r="G29554" s="49" t="str">
        <f t="shared" si="1"/>
        <v>21500</v>
      </c>
      <c r="H29554" s="49">
        <f t="shared" si="2"/>
        <v>21137</v>
      </c>
    </row>
    <row r="29555">
      <c r="A29555" s="48" t="s">
        <v>1754</v>
      </c>
      <c r="B29555" s="38">
        <v>14471.0</v>
      </c>
      <c r="C29555" s="38" t="s">
        <v>33952</v>
      </c>
      <c r="D29555" s="38" t="str">
        <f>IFERROR(__xludf.DUMMYFUNCTION("REGEXREPLACE(C29555,""-\d+(.*)|--\d+(.*)"","""")"),"NOTRE-DAME-DE-COURSON")</f>
        <v>NOTRE-DAME-DE-COURSON</v>
      </c>
      <c r="E29555" s="38" t="s">
        <v>137</v>
      </c>
      <c r="F29555" s="38" t="s">
        <v>138</v>
      </c>
      <c r="G29555" s="49" t="str">
        <f t="shared" si="1"/>
        <v>14140</v>
      </c>
      <c r="H29555" s="49">
        <f t="shared" si="2"/>
        <v>14471</v>
      </c>
    </row>
    <row r="29556">
      <c r="A29556" s="48" t="s">
        <v>5560</v>
      </c>
      <c r="B29556" s="38">
        <v>4055.0</v>
      </c>
      <c r="C29556" s="38" t="s">
        <v>33953</v>
      </c>
      <c r="D29556" s="38" t="str">
        <f>IFERROR(__xludf.DUMMYFUNCTION("REGEXREPLACE(C29556,""-\d+(.*)|--\d+(.*)"","""")"),"CHAUDON-NORANTE")</f>
        <v>CHAUDON-NORANTE</v>
      </c>
      <c r="E29556" s="38" t="s">
        <v>662</v>
      </c>
      <c r="F29556" s="38" t="s">
        <v>228</v>
      </c>
      <c r="G29556" s="49" t="str">
        <f t="shared" si="1"/>
        <v>04330</v>
      </c>
      <c r="H29556" s="49" t="str">
        <f t="shared" si="2"/>
        <v>04055</v>
      </c>
    </row>
    <row r="29557">
      <c r="A29557" s="48" t="s">
        <v>1908</v>
      </c>
      <c r="B29557" s="38">
        <v>62362.0</v>
      </c>
      <c r="C29557" s="38" t="s">
        <v>33954</v>
      </c>
      <c r="D29557" s="38" t="str">
        <f>IFERROR(__xludf.DUMMYFUNCTION("REGEXREPLACE(C29557,""-\d+(.*)|--\d+(.*)"","""")"),"FREVILLERS")</f>
        <v>FREVILLERS</v>
      </c>
      <c r="E29557" s="38" t="s">
        <v>109</v>
      </c>
      <c r="F29557" s="38" t="s">
        <v>86</v>
      </c>
      <c r="G29557" s="49" t="str">
        <f t="shared" si="1"/>
        <v>62127</v>
      </c>
      <c r="H29557" s="49">
        <f t="shared" si="2"/>
        <v>62362</v>
      </c>
    </row>
    <row r="29558">
      <c r="A29558" s="48" t="s">
        <v>4193</v>
      </c>
      <c r="B29558" s="38">
        <v>17261.0</v>
      </c>
      <c r="C29558" s="38" t="s">
        <v>33955</v>
      </c>
      <c r="D29558" s="38" t="str">
        <f>IFERROR(__xludf.DUMMYFUNCTION("REGEXREPLACE(C29558,""-\d+(.*)|--\d+(.*)"","""")"),"NEUVICQ-LE-CHATEAU")</f>
        <v>NEUVICQ-LE-CHATEAU</v>
      </c>
      <c r="E29558" s="38" t="s">
        <v>488</v>
      </c>
      <c r="F29558" s="38" t="s">
        <v>338</v>
      </c>
      <c r="G29558" s="49" t="str">
        <f t="shared" si="1"/>
        <v>17490</v>
      </c>
      <c r="H29558" s="49">
        <f t="shared" si="2"/>
        <v>17261</v>
      </c>
    </row>
    <row r="29559">
      <c r="A29559" s="48" t="s">
        <v>6328</v>
      </c>
      <c r="B29559" s="38">
        <v>30301.0</v>
      </c>
      <c r="C29559" s="38" t="s">
        <v>33956</v>
      </c>
      <c r="D29559" s="38" t="str">
        <f>IFERROR(__xludf.DUMMYFUNCTION("REGEXREPLACE(C29559,""-\d+(.*)|--\d+(.*)"","""")"),"SAINT-VICTOR-DES-OULES")</f>
        <v>SAINT-VICTOR-DES-OULES</v>
      </c>
      <c r="E29559" s="38" t="s">
        <v>526</v>
      </c>
      <c r="F29559" s="38" t="s">
        <v>119</v>
      </c>
      <c r="G29559" s="49" t="str">
        <f t="shared" si="1"/>
        <v>30700</v>
      </c>
      <c r="H29559" s="49">
        <f t="shared" si="2"/>
        <v>30301</v>
      </c>
    </row>
    <row r="29560">
      <c r="A29560" s="48" t="s">
        <v>10908</v>
      </c>
      <c r="B29560" s="38">
        <v>11290.0</v>
      </c>
      <c r="C29560" s="38" t="s">
        <v>33957</v>
      </c>
      <c r="D29560" s="38" t="str">
        <f>IFERROR(__xludf.DUMMYFUNCTION("REGEXREPLACE(C29560,""-\d+(.*)|--\d+(.*)"","""")"),"PLAIGNE")</f>
        <v>PLAIGNE</v>
      </c>
      <c r="E29560" s="38" t="s">
        <v>278</v>
      </c>
      <c r="F29560" s="38" t="s">
        <v>119</v>
      </c>
      <c r="G29560" s="49" t="str">
        <f t="shared" si="1"/>
        <v>11420</v>
      </c>
      <c r="H29560" s="49">
        <f t="shared" si="2"/>
        <v>11290</v>
      </c>
    </row>
    <row r="29561">
      <c r="A29561" s="48" t="s">
        <v>9168</v>
      </c>
      <c r="B29561" s="38">
        <v>71082.0</v>
      </c>
      <c r="C29561" s="38" t="s">
        <v>33958</v>
      </c>
      <c r="D29561" s="38" t="str">
        <f>IFERROR(__xludf.DUMMYFUNCTION("REGEXREPLACE(C29561,""-\d+(.*)|--\d+(.*)"","""")"),"CHAMPLECY")</f>
        <v>CHAMPLECY</v>
      </c>
      <c r="E29561" s="38" t="s">
        <v>344</v>
      </c>
      <c r="F29561" s="38" t="s">
        <v>106</v>
      </c>
      <c r="G29561" s="49" t="str">
        <f t="shared" si="1"/>
        <v>71120</v>
      </c>
      <c r="H29561" s="49">
        <f t="shared" si="2"/>
        <v>71082</v>
      </c>
    </row>
    <row r="29562">
      <c r="A29562" s="48" t="s">
        <v>16193</v>
      </c>
      <c r="B29562" s="38">
        <v>73108.0</v>
      </c>
      <c r="C29562" s="38" t="s">
        <v>33959</v>
      </c>
      <c r="D29562" s="38" t="str">
        <f>IFERROR(__xludf.DUMMYFUNCTION("REGEXREPLACE(C29562,""-\d+(.*)|--\d+(.*)"","""")"),"EPERSY")</f>
        <v>EPERSY</v>
      </c>
      <c r="E29562" s="38" t="s">
        <v>306</v>
      </c>
      <c r="F29562" s="38" t="s">
        <v>102</v>
      </c>
      <c r="G29562" s="49" t="str">
        <f t="shared" si="1"/>
        <v>73410</v>
      </c>
      <c r="H29562" s="49">
        <f t="shared" si="2"/>
        <v>73108</v>
      </c>
    </row>
    <row r="29563">
      <c r="A29563" s="48" t="s">
        <v>9821</v>
      </c>
      <c r="B29563" s="38">
        <v>52014.0</v>
      </c>
      <c r="C29563" s="38" t="s">
        <v>33960</v>
      </c>
      <c r="D29563" s="38" t="str">
        <f>IFERROR(__xludf.DUMMYFUNCTION("REGEXREPLACE(C29563,""-\d+(.*)|--\d+(.*)"","""")"),"APREY")</f>
        <v>APREY</v>
      </c>
      <c r="E29563" s="38" t="s">
        <v>234</v>
      </c>
      <c r="F29563" s="38" t="s">
        <v>130</v>
      </c>
      <c r="G29563" s="49" t="str">
        <f t="shared" si="1"/>
        <v>52250</v>
      </c>
      <c r="H29563" s="49">
        <f t="shared" si="2"/>
        <v>52014</v>
      </c>
    </row>
    <row r="29564">
      <c r="A29564" s="48" t="s">
        <v>3733</v>
      </c>
      <c r="B29564" s="38">
        <v>78528.0</v>
      </c>
      <c r="C29564" s="38" t="s">
        <v>33961</v>
      </c>
      <c r="D29564" s="38" t="str">
        <f>IFERROR(__xludf.DUMMYFUNCTION("REGEXREPLACE(C29564,""-\d+(.*)|--\d+(.*)"","""")"),"ROLLEBOISE")</f>
        <v>ROLLEBOISE</v>
      </c>
      <c r="E29564" s="38" t="s">
        <v>362</v>
      </c>
      <c r="F29564" s="38" t="s">
        <v>245</v>
      </c>
      <c r="G29564" s="49" t="str">
        <f t="shared" si="1"/>
        <v>78270</v>
      </c>
      <c r="H29564" s="49">
        <f t="shared" si="2"/>
        <v>78528</v>
      </c>
    </row>
    <row r="29565">
      <c r="A29565" s="48" t="s">
        <v>676</v>
      </c>
      <c r="B29565" s="38">
        <v>81121.0</v>
      </c>
      <c r="C29565" s="38" t="s">
        <v>33962</v>
      </c>
      <c r="D29565" s="38" t="str">
        <f>IFERROR(__xludf.DUMMYFUNCTION("REGEXREPLACE(C29565,""-\d+(.*)|--\d+(.*)"","""")"),"LACABAREDE")</f>
        <v>LACABAREDE</v>
      </c>
      <c r="E29565" s="38" t="s">
        <v>231</v>
      </c>
      <c r="F29565" s="38" t="s">
        <v>94</v>
      </c>
      <c r="G29565" s="49" t="str">
        <f t="shared" si="1"/>
        <v>81240</v>
      </c>
      <c r="H29565" s="49">
        <f t="shared" si="2"/>
        <v>81121</v>
      </c>
    </row>
    <row r="29566">
      <c r="A29566" s="48" t="s">
        <v>2097</v>
      </c>
      <c r="B29566" s="38">
        <v>42174.0</v>
      </c>
      <c r="C29566" s="38" t="s">
        <v>33963</v>
      </c>
      <c r="D29566" s="38" t="str">
        <f>IFERROR(__xludf.DUMMYFUNCTION("REGEXREPLACE(C29566,""-\d+(.*)|--\d+(.*)"","""")"),"PONCINS")</f>
        <v>PONCINS</v>
      </c>
      <c r="E29566" s="38" t="s">
        <v>166</v>
      </c>
      <c r="F29566" s="38" t="s">
        <v>102</v>
      </c>
      <c r="G29566" s="49" t="str">
        <f t="shared" si="1"/>
        <v>42110</v>
      </c>
      <c r="H29566" s="49">
        <f t="shared" si="2"/>
        <v>42174</v>
      </c>
    </row>
    <row r="29567">
      <c r="A29567" s="48" t="s">
        <v>6007</v>
      </c>
      <c r="B29567" s="38">
        <v>24280.0</v>
      </c>
      <c r="C29567" s="38" t="s">
        <v>33964</v>
      </c>
      <c r="D29567" s="38" t="str">
        <f>IFERROR(__xludf.DUMMYFUNCTION("REGEXREPLACE(C29567,""-\d+(.*)|--\d+(.*)"","""")"),"MONPAZIER")</f>
        <v>MONPAZIER</v>
      </c>
      <c r="E29567" s="38" t="s">
        <v>261</v>
      </c>
      <c r="F29567" s="38" t="s">
        <v>252</v>
      </c>
      <c r="G29567" s="49" t="str">
        <f t="shared" si="1"/>
        <v>24540</v>
      </c>
      <c r="H29567" s="49">
        <f t="shared" si="2"/>
        <v>24280</v>
      </c>
    </row>
    <row r="29568">
      <c r="A29568" s="48" t="s">
        <v>9240</v>
      </c>
      <c r="B29568" s="38">
        <v>47293.0</v>
      </c>
      <c r="C29568" s="38" t="s">
        <v>33965</v>
      </c>
      <c r="D29568" s="38" t="str">
        <f>IFERROR(__xludf.DUMMYFUNCTION("REGEXREPLACE(C29568,""-\d+(.*)|--\d+(.*)"","""")"),"SAUVETERRE-SAINT-DENIS")</f>
        <v>SAUVETERRE-SAINT-DENIS</v>
      </c>
      <c r="E29568" s="38" t="s">
        <v>251</v>
      </c>
      <c r="F29568" s="38" t="s">
        <v>252</v>
      </c>
      <c r="G29568" s="49" t="str">
        <f t="shared" si="1"/>
        <v>47220</v>
      </c>
      <c r="H29568" s="49">
        <f t="shared" si="2"/>
        <v>47293</v>
      </c>
    </row>
    <row r="29569">
      <c r="A29569" s="48" t="s">
        <v>4969</v>
      </c>
      <c r="B29569" s="38">
        <v>14438.0</v>
      </c>
      <c r="C29569" s="38" t="s">
        <v>33966</v>
      </c>
      <c r="D29569" s="38" t="str">
        <f>IFERROR(__xludf.DUMMYFUNCTION("REGEXREPLACE(C29569,""-\d+(.*)|--\d+(.*)"","""")"),"MONDRAINVILLE")</f>
        <v>MONDRAINVILLE</v>
      </c>
      <c r="E29569" s="38" t="s">
        <v>137</v>
      </c>
      <c r="F29569" s="38" t="s">
        <v>138</v>
      </c>
      <c r="G29569" s="49" t="str">
        <f t="shared" si="1"/>
        <v>14210</v>
      </c>
      <c r="H29569" s="49">
        <f t="shared" si="2"/>
        <v>14438</v>
      </c>
    </row>
    <row r="29570">
      <c r="A29570" s="48" t="s">
        <v>33967</v>
      </c>
      <c r="B29570" s="38">
        <v>25021.0</v>
      </c>
      <c r="C29570" s="38" t="s">
        <v>33968</v>
      </c>
      <c r="D29570" s="38" t="str">
        <f>IFERROR(__xludf.DUMMYFUNCTION("REGEXREPLACE(C29570,""-\d+(.*)|--\d+(.*)"","""")"),"ARC-ET-SENANS")</f>
        <v>ARC-ET-SENANS</v>
      </c>
      <c r="E29570" s="38" t="s">
        <v>213</v>
      </c>
      <c r="F29570" s="38" t="s">
        <v>214</v>
      </c>
      <c r="G29570" s="49" t="str">
        <f t="shared" si="1"/>
        <v>25610</v>
      </c>
      <c r="H29570" s="49">
        <f t="shared" si="2"/>
        <v>25021</v>
      </c>
    </row>
    <row r="29571">
      <c r="A29571" s="48" t="s">
        <v>6633</v>
      </c>
      <c r="B29571" s="38">
        <v>64367.0</v>
      </c>
      <c r="C29571" s="38" t="s">
        <v>33969</v>
      </c>
      <c r="D29571" s="38" t="str">
        <f>IFERROR(__xludf.DUMMYFUNCTION("REGEXREPLACE(C29571,""-\d+(.*)|--\d+(.*)"","""")"),"MASLACQ")</f>
        <v>MASLACQ</v>
      </c>
      <c r="E29571" s="38" t="s">
        <v>268</v>
      </c>
      <c r="F29571" s="38" t="s">
        <v>252</v>
      </c>
      <c r="G29571" s="49" t="str">
        <f t="shared" si="1"/>
        <v>64300</v>
      </c>
      <c r="H29571" s="49">
        <f t="shared" si="2"/>
        <v>64367</v>
      </c>
    </row>
    <row r="29572">
      <c r="A29572" s="48" t="s">
        <v>33970</v>
      </c>
      <c r="B29572" s="38">
        <v>30243.0</v>
      </c>
      <c r="C29572" s="38" t="s">
        <v>33971</v>
      </c>
      <c r="D29572" s="38" t="str">
        <f>IFERROR(__xludf.DUMMYFUNCTION("REGEXREPLACE(C29572,""-\d+(.*)|--\d+(.*)"","""")"),"SAINT-CHRISTOL-LES-ALES")</f>
        <v>SAINT-CHRISTOL-LES-ALES</v>
      </c>
      <c r="E29572" s="38" t="s">
        <v>526</v>
      </c>
      <c r="F29572" s="38" t="s">
        <v>119</v>
      </c>
      <c r="G29572" s="49" t="str">
        <f t="shared" si="1"/>
        <v>30380</v>
      </c>
      <c r="H29572" s="49">
        <f t="shared" si="2"/>
        <v>30243</v>
      </c>
    </row>
    <row r="29573">
      <c r="A29573" s="48" t="s">
        <v>711</v>
      </c>
      <c r="B29573" s="38">
        <v>49215.0</v>
      </c>
      <c r="C29573" s="38" t="s">
        <v>33972</v>
      </c>
      <c r="D29573" s="38" t="str">
        <f>IFERROR(__xludf.DUMMYFUNCTION("REGEXREPLACE(C29573,""-\d+(.*)|--\d+(.*)"","""")"),"MONTREUIL-BELLAY")</f>
        <v>MONTREUIL-BELLAY</v>
      </c>
      <c r="E29573" s="38" t="s">
        <v>653</v>
      </c>
      <c r="F29573" s="38" t="s">
        <v>180</v>
      </c>
      <c r="G29573" s="49" t="str">
        <f t="shared" si="1"/>
        <v>49260</v>
      </c>
      <c r="H29573" s="49">
        <f t="shared" si="2"/>
        <v>49215</v>
      </c>
    </row>
    <row r="29574">
      <c r="A29574" s="48" t="s">
        <v>19050</v>
      </c>
      <c r="B29574" s="38">
        <v>19177.0</v>
      </c>
      <c r="C29574" s="38" t="s">
        <v>33973</v>
      </c>
      <c r="D29574" s="38" t="str">
        <f>IFERROR(__xludf.DUMMYFUNCTION("REGEXREPLACE(C29574,""-\d+(.*)|--\d+(.*)"","""")"),"ROSIERS-DE-JUILLAC")</f>
        <v>ROSIERS-DE-JUILLAC</v>
      </c>
      <c r="E29574" s="38" t="s">
        <v>271</v>
      </c>
      <c r="F29574" s="38" t="s">
        <v>98</v>
      </c>
      <c r="G29574" s="49" t="str">
        <f t="shared" si="1"/>
        <v>19350</v>
      </c>
      <c r="H29574" s="49">
        <f t="shared" si="2"/>
        <v>19177</v>
      </c>
    </row>
    <row r="29575">
      <c r="A29575" s="48" t="s">
        <v>4036</v>
      </c>
      <c r="B29575" s="38">
        <v>49176.0</v>
      </c>
      <c r="C29575" s="38" t="s">
        <v>33974</v>
      </c>
      <c r="D29575" s="38" t="str">
        <f>IFERROR(__xludf.DUMMYFUNCTION("REGEXREPLACE(C29575,""-\d+(.*)|--\d+(.*)"","""")"),"LE LION-D'ANGERS")</f>
        <v>LE LION-D'ANGERS</v>
      </c>
      <c r="E29575" s="38" t="s">
        <v>653</v>
      </c>
      <c r="F29575" s="38" t="s">
        <v>180</v>
      </c>
      <c r="G29575" s="49" t="str">
        <f t="shared" si="1"/>
        <v>49220</v>
      </c>
      <c r="H29575" s="49">
        <f t="shared" si="2"/>
        <v>49176</v>
      </c>
    </row>
    <row r="29576">
      <c r="A29576" s="48" t="s">
        <v>12495</v>
      </c>
      <c r="B29576" s="38">
        <v>38474.0</v>
      </c>
      <c r="C29576" s="38" t="s">
        <v>33975</v>
      </c>
      <c r="D29576" s="38" t="str">
        <f>IFERROR(__xludf.DUMMYFUNCTION("REGEXREPLACE(C29576,""-\d+(.*)|--\d+(.*)"","""")"),"SASSENAGE")</f>
        <v>SASSENAGE</v>
      </c>
      <c r="E29576" s="38" t="s">
        <v>101</v>
      </c>
      <c r="F29576" s="38" t="s">
        <v>102</v>
      </c>
      <c r="G29576" s="49" t="str">
        <f t="shared" si="1"/>
        <v>38360</v>
      </c>
      <c r="H29576" s="49">
        <f t="shared" si="2"/>
        <v>38474</v>
      </c>
    </row>
    <row r="29577">
      <c r="A29577" s="48" t="s">
        <v>3135</v>
      </c>
      <c r="B29577" s="38">
        <v>12207.0</v>
      </c>
      <c r="C29577" s="38" t="s">
        <v>33976</v>
      </c>
      <c r="D29577" s="38" t="str">
        <f>IFERROR(__xludf.DUMMYFUNCTION("REGEXREPLACE(C29577,""-\d+(.*)|--\d+(.*)"","""")"),"RULLAC-SAINT-CIRQ")</f>
        <v>RULLAC-SAINT-CIRQ</v>
      </c>
      <c r="E29577" s="38" t="s">
        <v>465</v>
      </c>
      <c r="F29577" s="38" t="s">
        <v>94</v>
      </c>
      <c r="G29577" s="49" t="str">
        <f t="shared" si="1"/>
        <v>12120</v>
      </c>
      <c r="H29577" s="49">
        <f t="shared" si="2"/>
        <v>12207</v>
      </c>
    </row>
    <row r="29578">
      <c r="A29578" s="48" t="s">
        <v>26827</v>
      </c>
      <c r="B29578" s="38">
        <v>95177.0</v>
      </c>
      <c r="C29578" s="38" t="s">
        <v>33977</v>
      </c>
      <c r="D29578" s="38" t="str">
        <f>IFERROR(__xludf.DUMMYFUNCTION("REGEXREPLACE(C29578,""-\d+(.*)|--\d+(.*)"","""")"),"CORMEILLES-EN-VEXIN")</f>
        <v>CORMEILLES-EN-VEXIN</v>
      </c>
      <c r="E29578" s="38" t="s">
        <v>541</v>
      </c>
      <c r="F29578" s="38" t="s">
        <v>245</v>
      </c>
      <c r="G29578" s="49" t="str">
        <f t="shared" si="1"/>
        <v>95830</v>
      </c>
      <c r="H29578" s="49">
        <f t="shared" si="2"/>
        <v>95177</v>
      </c>
    </row>
    <row r="29579">
      <c r="A29579" s="48" t="s">
        <v>21085</v>
      </c>
      <c r="B29579" s="38">
        <v>85021.0</v>
      </c>
      <c r="C29579" s="38" t="s">
        <v>33978</v>
      </c>
      <c r="D29579" s="38" t="str">
        <f>IFERROR(__xludf.DUMMYFUNCTION("REGEXREPLACE(C29579,""-\d+(.*)|--\d+(.*)"","""")"),"LA BERNARDIERE")</f>
        <v>LA BERNARDIERE</v>
      </c>
      <c r="E29579" s="38" t="s">
        <v>179</v>
      </c>
      <c r="F29579" s="38" t="s">
        <v>180</v>
      </c>
      <c r="G29579" s="49" t="str">
        <f t="shared" si="1"/>
        <v>85610</v>
      </c>
      <c r="H29579" s="49">
        <f t="shared" si="2"/>
        <v>85021</v>
      </c>
    </row>
    <row r="29580">
      <c r="A29580" s="48" t="s">
        <v>196</v>
      </c>
      <c r="B29580" s="38">
        <v>2567.0</v>
      </c>
      <c r="C29580" s="38" t="s">
        <v>33979</v>
      </c>
      <c r="D29580" s="38" t="str">
        <f>IFERROR(__xludf.DUMMYFUNCTION("REGEXREPLACE(C29580,""-\d+(.*)|--\d+(.*)"","""")"),"OHIS")</f>
        <v>OHIS</v>
      </c>
      <c r="E29580" s="38" t="s">
        <v>191</v>
      </c>
      <c r="F29580" s="38" t="s">
        <v>113</v>
      </c>
      <c r="G29580" s="49" t="str">
        <f t="shared" si="1"/>
        <v>02500</v>
      </c>
      <c r="H29580" s="49" t="str">
        <f t="shared" si="2"/>
        <v>02567</v>
      </c>
    </row>
    <row r="29581">
      <c r="A29581" s="48" t="s">
        <v>3473</v>
      </c>
      <c r="B29581" s="38">
        <v>69129.0</v>
      </c>
      <c r="C29581" s="38" t="s">
        <v>33980</v>
      </c>
      <c r="D29581" s="38" t="str">
        <f>IFERROR(__xludf.DUMMYFUNCTION("REGEXREPLACE(C29581,""-\d+(.*)|--\d+(.*)"","""")"),"MARNAND")</f>
        <v>MARNAND</v>
      </c>
      <c r="E29581" s="38" t="s">
        <v>350</v>
      </c>
      <c r="F29581" s="38" t="s">
        <v>102</v>
      </c>
      <c r="G29581" s="49" t="str">
        <f t="shared" si="1"/>
        <v>69240</v>
      </c>
      <c r="H29581" s="49">
        <f t="shared" si="2"/>
        <v>69129</v>
      </c>
    </row>
    <row r="29582">
      <c r="A29582" s="48" t="s">
        <v>7274</v>
      </c>
      <c r="B29582" s="38">
        <v>11130.0</v>
      </c>
      <c r="C29582" s="38" t="s">
        <v>33981</v>
      </c>
      <c r="D29582" s="38" t="str">
        <f>IFERROR(__xludf.DUMMYFUNCTION("REGEXREPLACE(C29582,""-\d+(.*)|--\d+(.*)"","""")"),"ESPEZEL")</f>
        <v>ESPEZEL</v>
      </c>
      <c r="E29582" s="38" t="s">
        <v>278</v>
      </c>
      <c r="F29582" s="38" t="s">
        <v>119</v>
      </c>
      <c r="G29582" s="49" t="str">
        <f t="shared" si="1"/>
        <v>11340</v>
      </c>
      <c r="H29582" s="49">
        <f t="shared" si="2"/>
        <v>11130</v>
      </c>
    </row>
    <row r="29583">
      <c r="A29583" s="48" t="s">
        <v>4939</v>
      </c>
      <c r="B29583" s="38">
        <v>23260.0</v>
      </c>
      <c r="C29583" s="38" t="s">
        <v>33982</v>
      </c>
      <c r="D29583" s="38" t="str">
        <f>IFERROR(__xludf.DUMMYFUNCTION("REGEXREPLACE(C29583,""-\d+(.*)|--\d+(.*)"","""")"),"VIDAILLAT")</f>
        <v>VIDAILLAT</v>
      </c>
      <c r="E29583" s="38" t="s">
        <v>97</v>
      </c>
      <c r="F29583" s="38" t="s">
        <v>98</v>
      </c>
      <c r="G29583" s="49" t="str">
        <f t="shared" si="1"/>
        <v>23250</v>
      </c>
      <c r="H29583" s="49">
        <f t="shared" si="2"/>
        <v>23260</v>
      </c>
    </row>
    <row r="29584">
      <c r="A29584" s="48" t="s">
        <v>11409</v>
      </c>
      <c r="B29584" s="38">
        <v>94048.0</v>
      </c>
      <c r="C29584" s="38" t="s">
        <v>31857</v>
      </c>
      <c r="D29584" s="38" t="str">
        <f>IFERROR(__xludf.DUMMYFUNCTION("REGEXREPLACE(C29584,""-\d+(.*)|--\d+(.*)"","""")"),"MAROLLES-EN-BRIE")</f>
        <v>MAROLLES-EN-BRIE</v>
      </c>
      <c r="E29584" s="38" t="s">
        <v>561</v>
      </c>
      <c r="F29584" s="38" t="s">
        <v>245</v>
      </c>
      <c r="G29584" s="49" t="str">
        <f t="shared" si="1"/>
        <v>94440</v>
      </c>
      <c r="H29584" s="49">
        <f t="shared" si="2"/>
        <v>94048</v>
      </c>
    </row>
    <row r="29585">
      <c r="A29585" s="48" t="s">
        <v>12929</v>
      </c>
      <c r="B29585" s="38">
        <v>73241.0</v>
      </c>
      <c r="C29585" s="38" t="s">
        <v>33983</v>
      </c>
      <c r="D29585" s="38" t="str">
        <f>IFERROR(__xludf.DUMMYFUNCTION("REGEXREPLACE(C29585,""-\d+(.*)|--\d+(.*)"","""")"),"SAINTE-HELENE-SUR-ISERE")</f>
        <v>SAINTE-HELENE-SUR-ISERE</v>
      </c>
      <c r="E29585" s="38" t="s">
        <v>306</v>
      </c>
      <c r="F29585" s="38" t="s">
        <v>102</v>
      </c>
      <c r="G29585" s="49" t="str">
        <f t="shared" si="1"/>
        <v>73460</v>
      </c>
      <c r="H29585" s="49">
        <f t="shared" si="2"/>
        <v>73241</v>
      </c>
    </row>
    <row r="29586">
      <c r="A29586" s="48" t="s">
        <v>33984</v>
      </c>
      <c r="B29586" s="38">
        <v>44216.0</v>
      </c>
      <c r="C29586" s="38" t="s">
        <v>22628</v>
      </c>
      <c r="D29586" s="38" t="str">
        <f>IFERROR(__xludf.DUMMYFUNCTION("REGEXREPLACE(C29586,""-\d+(.*)|--\d+(.*)"","""")"),"VIEILLEVIGNE")</f>
        <v>VIEILLEVIGNE</v>
      </c>
      <c r="E29586" s="38" t="s">
        <v>759</v>
      </c>
      <c r="F29586" s="38" t="s">
        <v>180</v>
      </c>
      <c r="G29586" s="49" t="str">
        <f t="shared" si="1"/>
        <v>44116</v>
      </c>
      <c r="H29586" s="49">
        <f t="shared" si="2"/>
        <v>44216</v>
      </c>
    </row>
    <row r="29587">
      <c r="A29587" s="48" t="s">
        <v>3050</v>
      </c>
      <c r="B29587" s="38">
        <v>11304.0</v>
      </c>
      <c r="C29587" s="38" t="s">
        <v>33985</v>
      </c>
      <c r="D29587" s="38" t="str">
        <f>IFERROR(__xludf.DUMMYFUNCTION("REGEXREPLACE(C29587,""-\d+(.*)|--\d+(.*)"","""")"),"QUILLAN")</f>
        <v>QUILLAN</v>
      </c>
      <c r="E29587" s="38" t="s">
        <v>278</v>
      </c>
      <c r="F29587" s="38" t="s">
        <v>119</v>
      </c>
      <c r="G29587" s="49" t="str">
        <f t="shared" si="1"/>
        <v>11500</v>
      </c>
      <c r="H29587" s="49">
        <f t="shared" si="2"/>
        <v>11304</v>
      </c>
    </row>
    <row r="29588">
      <c r="A29588" s="48" t="s">
        <v>13255</v>
      </c>
      <c r="B29588" s="38">
        <v>35146.0</v>
      </c>
      <c r="C29588" s="38" t="s">
        <v>33986</v>
      </c>
      <c r="D29588" s="38" t="str">
        <f>IFERROR(__xludf.DUMMYFUNCTION("REGEXREPLACE(C29588,""-\d+(.*)|--\d+(.*)"","""")"),"LANGOUET")</f>
        <v>LANGOUET</v>
      </c>
      <c r="E29588" s="38" t="s">
        <v>347</v>
      </c>
      <c r="F29588" s="38" t="s">
        <v>90</v>
      </c>
      <c r="G29588" s="49" t="str">
        <f t="shared" si="1"/>
        <v>35630</v>
      </c>
      <c r="H29588" s="49">
        <f t="shared" si="2"/>
        <v>35146</v>
      </c>
    </row>
    <row r="29589">
      <c r="A29589" s="48" t="s">
        <v>1817</v>
      </c>
      <c r="B29589" s="38">
        <v>31037.0</v>
      </c>
      <c r="C29589" s="38" t="s">
        <v>33987</v>
      </c>
      <c r="D29589" s="38" t="str">
        <f>IFERROR(__xludf.DUMMYFUNCTION("REGEXREPLACE(C29589,""-\d+(.*)|--\d+(.*)"","""")"),"AVIGNONET-LAURAGAIS")</f>
        <v>AVIGNONET-LAURAGAIS</v>
      </c>
      <c r="E29589" s="38" t="s">
        <v>93</v>
      </c>
      <c r="F29589" s="38" t="s">
        <v>94</v>
      </c>
      <c r="G29589" s="49" t="str">
        <f t="shared" si="1"/>
        <v>31290</v>
      </c>
      <c r="H29589" s="49">
        <f t="shared" si="2"/>
        <v>31037</v>
      </c>
    </row>
    <row r="29590">
      <c r="A29590" s="48" t="s">
        <v>1868</v>
      </c>
      <c r="B29590" s="38">
        <v>86175.0</v>
      </c>
      <c r="C29590" s="38" t="s">
        <v>5308</v>
      </c>
      <c r="D29590" s="38" t="str">
        <f>IFERROR(__xludf.DUMMYFUNCTION("REGEXREPLACE(C29590,""-\d+(.*)|--\d+(.*)"","""")"),"NALLIERS")</f>
        <v>NALLIERS</v>
      </c>
      <c r="E29590" s="38" t="s">
        <v>529</v>
      </c>
      <c r="F29590" s="38" t="s">
        <v>338</v>
      </c>
      <c r="G29590" s="49" t="str">
        <f t="shared" si="1"/>
        <v>86310</v>
      </c>
      <c r="H29590" s="49">
        <f t="shared" si="2"/>
        <v>86175</v>
      </c>
    </row>
    <row r="29591">
      <c r="A29591" s="48" t="s">
        <v>9850</v>
      </c>
      <c r="B29591" s="38">
        <v>67431.0</v>
      </c>
      <c r="C29591" s="38" t="s">
        <v>33988</v>
      </c>
      <c r="D29591" s="38" t="str">
        <f>IFERROR(__xludf.DUMMYFUNCTION("REGEXREPLACE(C29591,""-\d+(.*)|--\d+(.*)"","""")"),"SALENTHAL")</f>
        <v>SALENTHAL</v>
      </c>
      <c r="E29591" s="38" t="s">
        <v>210</v>
      </c>
      <c r="F29591" s="38" t="s">
        <v>151</v>
      </c>
      <c r="G29591" s="49" t="str">
        <f t="shared" si="1"/>
        <v>67440</v>
      </c>
      <c r="H29591" s="49">
        <f t="shared" si="2"/>
        <v>67431</v>
      </c>
    </row>
    <row r="29592">
      <c r="A29592" s="48" t="s">
        <v>1728</v>
      </c>
      <c r="B29592" s="38">
        <v>45320.0</v>
      </c>
      <c r="C29592" s="38" t="s">
        <v>33989</v>
      </c>
      <c r="D29592" s="38" t="str">
        <f>IFERROR(__xludf.DUMMYFUNCTION("REGEXREPLACE(C29592,""-\d+(.*)|--\d+(.*)"","""")"),"THIGNONVILLE")</f>
        <v>THIGNONVILLE</v>
      </c>
      <c r="E29592" s="38" t="s">
        <v>122</v>
      </c>
      <c r="F29592" s="38" t="s">
        <v>123</v>
      </c>
      <c r="G29592" s="49" t="str">
        <f t="shared" si="1"/>
        <v>45300</v>
      </c>
      <c r="H29592" s="49">
        <f t="shared" si="2"/>
        <v>45320</v>
      </c>
    </row>
    <row r="29593">
      <c r="A29593" s="48" t="s">
        <v>16154</v>
      </c>
      <c r="B29593" s="38">
        <v>59345.0</v>
      </c>
      <c r="C29593" s="38" t="s">
        <v>33990</v>
      </c>
      <c r="D29593" s="38" t="str">
        <f>IFERROR(__xludf.DUMMYFUNCTION("REGEXREPLACE(C29593,""-\d+(.*)|--\d+(.*)"","""")"),"LEWARDE")</f>
        <v>LEWARDE</v>
      </c>
      <c r="E29593" s="38" t="s">
        <v>85</v>
      </c>
      <c r="F29593" s="38" t="s">
        <v>86</v>
      </c>
      <c r="G29593" s="49" t="str">
        <f t="shared" si="1"/>
        <v>59287</v>
      </c>
      <c r="H29593" s="49">
        <f t="shared" si="2"/>
        <v>59345</v>
      </c>
    </row>
    <row r="29594">
      <c r="A29594" s="48" t="s">
        <v>5487</v>
      </c>
      <c r="B29594" s="38">
        <v>27265.0</v>
      </c>
      <c r="C29594" s="38" t="s">
        <v>2945</v>
      </c>
      <c r="D29594" s="38" t="str">
        <f>IFERROR(__xludf.DUMMYFUNCTION("REGEXREPLACE(C29594,""-\d+(.*)|--\d+(.*)"","""")"),"FRANCHEVILLE")</f>
        <v>FRANCHEVILLE</v>
      </c>
      <c r="E29594" s="38" t="s">
        <v>241</v>
      </c>
      <c r="F29594" s="38" t="s">
        <v>134</v>
      </c>
      <c r="G29594" s="49" t="str">
        <f t="shared" si="1"/>
        <v>27160</v>
      </c>
      <c r="H29594" s="49">
        <f t="shared" si="2"/>
        <v>27265</v>
      </c>
    </row>
    <row r="29595">
      <c r="A29595" s="48" t="s">
        <v>2775</v>
      </c>
      <c r="B29595" s="38">
        <v>59430.0</v>
      </c>
      <c r="C29595" s="38" t="s">
        <v>33991</v>
      </c>
      <c r="D29595" s="38" t="str">
        <f>IFERROR(__xludf.DUMMYFUNCTION("REGEXREPLACE(C29595,""-\d+(.*)|--\d+(.*)"","""")"),"NEUVILLY")</f>
        <v>NEUVILLY</v>
      </c>
      <c r="E29595" s="38" t="s">
        <v>85</v>
      </c>
      <c r="F29595" s="38" t="s">
        <v>86</v>
      </c>
      <c r="G29595" s="49" t="str">
        <f t="shared" si="1"/>
        <v>59360</v>
      </c>
      <c r="H29595" s="49">
        <f t="shared" si="2"/>
        <v>59430</v>
      </c>
    </row>
    <row r="29596">
      <c r="A29596" s="48" t="s">
        <v>14095</v>
      </c>
      <c r="B29596" s="38">
        <v>1071.0</v>
      </c>
      <c r="C29596" s="38" t="s">
        <v>33992</v>
      </c>
      <c r="D29596" s="38" t="str">
        <f>IFERROR(__xludf.DUMMYFUNCTION("REGEXREPLACE(C29596,""-\d+(.*)|--\d+(.*)"","""")"),"CESSY")</f>
        <v>CESSY</v>
      </c>
      <c r="E29596" s="38" t="s">
        <v>255</v>
      </c>
      <c r="F29596" s="38" t="s">
        <v>102</v>
      </c>
      <c r="G29596" s="49" t="str">
        <f t="shared" si="1"/>
        <v>01170</v>
      </c>
      <c r="H29596" s="49" t="str">
        <f t="shared" si="2"/>
        <v>01071</v>
      </c>
    </row>
    <row r="29597">
      <c r="A29597" s="48" t="s">
        <v>1300</v>
      </c>
      <c r="B29597" s="38">
        <v>60563.0</v>
      </c>
      <c r="C29597" s="38" t="s">
        <v>33993</v>
      </c>
      <c r="D29597" s="38" t="str">
        <f>IFERROR(__xludf.DUMMYFUNCTION("REGEXREPLACE(C29597,""-\d+(.*)|--\d+(.*)"","""")"),"SACY-LE-PETIT")</f>
        <v>SACY-LE-PETIT</v>
      </c>
      <c r="E29597" s="38" t="s">
        <v>112</v>
      </c>
      <c r="F29597" s="38" t="s">
        <v>113</v>
      </c>
      <c r="G29597" s="49" t="str">
        <f t="shared" si="1"/>
        <v>60190</v>
      </c>
      <c r="H29597" s="49">
        <f t="shared" si="2"/>
        <v>60563</v>
      </c>
    </row>
    <row r="29598">
      <c r="A29598" s="48" t="s">
        <v>5640</v>
      </c>
      <c r="B29598" s="38">
        <v>2317.0</v>
      </c>
      <c r="C29598" s="38" t="s">
        <v>33994</v>
      </c>
      <c r="D29598" s="38" t="str">
        <f>IFERROR(__xludf.DUMMYFUNCTION("REGEXREPLACE(C29598,""-\d+(.*)|--\d+(.*)"","""")"),"FLUQUIERES")</f>
        <v>FLUQUIERES</v>
      </c>
      <c r="E29598" s="38" t="s">
        <v>191</v>
      </c>
      <c r="F29598" s="38" t="s">
        <v>113</v>
      </c>
      <c r="G29598" s="49" t="str">
        <f t="shared" si="1"/>
        <v>02590</v>
      </c>
      <c r="H29598" s="49" t="str">
        <f t="shared" si="2"/>
        <v>02317</v>
      </c>
    </row>
    <row r="29599">
      <c r="A29599" s="48" t="s">
        <v>868</v>
      </c>
      <c r="B29599" s="38">
        <v>33472.0</v>
      </c>
      <c r="C29599" s="38" t="s">
        <v>33995</v>
      </c>
      <c r="D29599" s="38" t="str">
        <f>IFERROR(__xludf.DUMMYFUNCTION("REGEXREPLACE(C29599,""-\d+(.*)|--\d+(.*)"","""")"),"SAINT-SAUVEUR-DE-PUYNORMAND")</f>
        <v>SAINT-SAUVEUR-DE-PUYNORMAND</v>
      </c>
      <c r="E29599" s="38" t="s">
        <v>462</v>
      </c>
      <c r="F29599" s="38" t="s">
        <v>252</v>
      </c>
      <c r="G29599" s="49" t="str">
        <f t="shared" si="1"/>
        <v>33660</v>
      </c>
      <c r="H29599" s="49">
        <f t="shared" si="2"/>
        <v>33472</v>
      </c>
    </row>
    <row r="29600">
      <c r="A29600" s="48" t="s">
        <v>6230</v>
      </c>
      <c r="B29600" s="38">
        <v>53087.0</v>
      </c>
      <c r="C29600" s="38" t="s">
        <v>33996</v>
      </c>
      <c r="D29600" s="38" t="str">
        <f>IFERROR(__xludf.DUMMYFUNCTION("REGEXREPLACE(C29600,""-\d+(.*)|--\d+(.*)"","""")"),"LA CROPTE")</f>
        <v>LA CROPTE</v>
      </c>
      <c r="E29600" s="38" t="s">
        <v>518</v>
      </c>
      <c r="F29600" s="38" t="s">
        <v>180</v>
      </c>
      <c r="G29600" s="49" t="str">
        <f t="shared" si="1"/>
        <v>53170</v>
      </c>
      <c r="H29600" s="49">
        <f t="shared" si="2"/>
        <v>53087</v>
      </c>
    </row>
    <row r="29601">
      <c r="A29601" s="48" t="s">
        <v>2868</v>
      </c>
      <c r="B29601" s="38">
        <v>80790.0</v>
      </c>
      <c r="C29601" s="38" t="s">
        <v>33997</v>
      </c>
      <c r="D29601" s="38" t="str">
        <f>IFERROR(__xludf.DUMMYFUNCTION("REGEXREPLACE(C29601,""-\d+(.*)|--\d+(.*)"","""")"),"VERPILLIERES")</f>
        <v>VERPILLIERES</v>
      </c>
      <c r="E29601" s="38" t="s">
        <v>224</v>
      </c>
      <c r="F29601" s="38" t="s">
        <v>113</v>
      </c>
      <c r="G29601" s="49" t="str">
        <f t="shared" si="1"/>
        <v>80700</v>
      </c>
      <c r="H29601" s="49">
        <f t="shared" si="2"/>
        <v>80790</v>
      </c>
    </row>
    <row r="29602">
      <c r="A29602" s="48" t="s">
        <v>9857</v>
      </c>
      <c r="B29602" s="38">
        <v>26121.0</v>
      </c>
      <c r="C29602" s="38" t="s">
        <v>33998</v>
      </c>
      <c r="D29602" s="38" t="str">
        <f>IFERROR(__xludf.DUMMYFUNCTION("REGEXREPLACE(C29602,""-\d+(.*)|--\d+(.*)"","""")"),"ESPELUCHE")</f>
        <v>ESPELUCHE</v>
      </c>
      <c r="E29602" s="38" t="s">
        <v>126</v>
      </c>
      <c r="F29602" s="38" t="s">
        <v>102</v>
      </c>
      <c r="G29602" s="49" t="str">
        <f t="shared" si="1"/>
        <v>26780</v>
      </c>
      <c r="H29602" s="49">
        <f t="shared" si="2"/>
        <v>26121</v>
      </c>
    </row>
    <row r="29603">
      <c r="A29603" s="48" t="s">
        <v>1501</v>
      </c>
      <c r="B29603" s="38">
        <v>39487.0</v>
      </c>
      <c r="C29603" s="38" t="s">
        <v>33999</v>
      </c>
      <c r="D29603" s="38" t="str">
        <f>IFERROR(__xludf.DUMMYFUNCTION("REGEXREPLACE(C29603,""-\d+(.*)|--\d+(.*)"","""")"),"SAINT-LAURENT-EN-GRANDVAUX")</f>
        <v>SAINT-LAURENT-EN-GRANDVAUX</v>
      </c>
      <c r="E29603" s="38" t="s">
        <v>400</v>
      </c>
      <c r="F29603" s="38" t="s">
        <v>214</v>
      </c>
      <c r="G29603" s="49" t="str">
        <f t="shared" si="1"/>
        <v>39150</v>
      </c>
      <c r="H29603" s="49">
        <f t="shared" si="2"/>
        <v>39487</v>
      </c>
    </row>
    <row r="29604">
      <c r="A29604" s="48" t="s">
        <v>1688</v>
      </c>
      <c r="B29604" s="38">
        <v>76143.0</v>
      </c>
      <c r="C29604" s="38" t="s">
        <v>34000</v>
      </c>
      <c r="D29604" s="38" t="str">
        <f>IFERROR(__xludf.DUMMYFUNCTION("REGEXREPLACE(C29604,""-\d+(.*)|--\d+(.*)"","""")"),"BRETTEVILLE-DU-GRAND-CAUX")</f>
        <v>BRETTEVILLE-DU-GRAND-CAUX</v>
      </c>
      <c r="E29604" s="38" t="s">
        <v>133</v>
      </c>
      <c r="F29604" s="38" t="s">
        <v>134</v>
      </c>
      <c r="G29604" s="49" t="str">
        <f t="shared" si="1"/>
        <v>76110</v>
      </c>
      <c r="H29604" s="49">
        <f t="shared" si="2"/>
        <v>76143</v>
      </c>
    </row>
    <row r="29605">
      <c r="A29605" s="48" t="s">
        <v>9639</v>
      </c>
      <c r="B29605" s="38">
        <v>85161.0</v>
      </c>
      <c r="C29605" s="38" t="s">
        <v>34001</v>
      </c>
      <c r="D29605" s="38" t="str">
        <f>IFERROR(__xludf.DUMMYFUNCTION("REGEXREPLACE(C29605,""-\d+(.*)|--\d+(.*)"","""")"),"NIEUL-LE-DOLENT")</f>
        <v>NIEUL-LE-DOLENT</v>
      </c>
      <c r="E29605" s="38" t="s">
        <v>179</v>
      </c>
      <c r="F29605" s="38" t="s">
        <v>180</v>
      </c>
      <c r="G29605" s="49" t="str">
        <f t="shared" si="1"/>
        <v>85430</v>
      </c>
      <c r="H29605" s="49">
        <f t="shared" si="2"/>
        <v>85161</v>
      </c>
    </row>
    <row r="29606">
      <c r="A29606" s="48" t="s">
        <v>342</v>
      </c>
      <c r="B29606" s="38">
        <v>71350.0</v>
      </c>
      <c r="C29606" s="38" t="s">
        <v>34002</v>
      </c>
      <c r="D29606" s="38" t="str">
        <f>IFERROR(__xludf.DUMMYFUNCTION("REGEXREPLACE(C29606,""-\d+(.*)|--\d+(.*)"","""")"),"PIERRECLOS")</f>
        <v>PIERRECLOS</v>
      </c>
      <c r="E29606" s="38" t="s">
        <v>344</v>
      </c>
      <c r="F29606" s="38" t="s">
        <v>106</v>
      </c>
      <c r="G29606" s="49" t="str">
        <f t="shared" si="1"/>
        <v>71960</v>
      </c>
      <c r="H29606" s="49">
        <f t="shared" si="2"/>
        <v>71350</v>
      </c>
    </row>
    <row r="29607">
      <c r="A29607" s="48" t="s">
        <v>3262</v>
      </c>
      <c r="B29607" s="38">
        <v>3242.0</v>
      </c>
      <c r="C29607" s="38" t="s">
        <v>1320</v>
      </c>
      <c r="D29607" s="38" t="str">
        <f>IFERROR(__xludf.DUMMYFUNCTION("REGEXREPLACE(C29607,""-\d+(.*)|--\d+(.*)"","""")"),"SAINT-LOUP")</f>
        <v>SAINT-LOUP</v>
      </c>
      <c r="E29607" s="38" t="s">
        <v>160</v>
      </c>
      <c r="F29607" s="38" t="s">
        <v>161</v>
      </c>
      <c r="G29607" s="49" t="str">
        <f t="shared" si="1"/>
        <v>03150</v>
      </c>
      <c r="H29607" s="49" t="str">
        <f t="shared" si="2"/>
        <v>03242</v>
      </c>
    </row>
    <row r="29608">
      <c r="A29608" s="48" t="s">
        <v>34003</v>
      </c>
      <c r="B29608" s="38">
        <v>84071.0</v>
      </c>
      <c r="C29608" s="38" t="s">
        <v>8326</v>
      </c>
      <c r="D29608" s="38" t="str">
        <f>IFERROR(__xludf.DUMMYFUNCTION("REGEXREPLACE(C29608,""-\d+(.*)|--\d+(.*)"","""")"),"MAUBEC")</f>
        <v>MAUBEC</v>
      </c>
      <c r="E29608" s="38" t="s">
        <v>1026</v>
      </c>
      <c r="F29608" s="38" t="s">
        <v>228</v>
      </c>
      <c r="G29608" s="49" t="str">
        <f t="shared" si="1"/>
        <v>84660</v>
      </c>
      <c r="H29608" s="49">
        <f t="shared" si="2"/>
        <v>84071</v>
      </c>
    </row>
    <row r="29609">
      <c r="A29609" s="48" t="s">
        <v>13936</v>
      </c>
      <c r="B29609" s="38">
        <v>85010.0</v>
      </c>
      <c r="C29609" s="38" t="s">
        <v>30139</v>
      </c>
      <c r="D29609" s="38" t="str">
        <f>IFERROR(__xludf.DUMMYFUNCTION("REGEXREPLACE(C29609,""-\d+(.*)|--\d+(.*)"","""")"),"AVRILLE")</f>
        <v>AVRILLE</v>
      </c>
      <c r="E29609" s="38" t="s">
        <v>179</v>
      </c>
      <c r="F29609" s="38" t="s">
        <v>180</v>
      </c>
      <c r="G29609" s="49" t="str">
        <f t="shared" si="1"/>
        <v>85440</v>
      </c>
      <c r="H29609" s="49">
        <f t="shared" si="2"/>
        <v>85010</v>
      </c>
    </row>
    <row r="29610">
      <c r="A29610" s="48" t="s">
        <v>2406</v>
      </c>
      <c r="B29610" s="38">
        <v>55415.0</v>
      </c>
      <c r="C29610" s="38" t="s">
        <v>34004</v>
      </c>
      <c r="D29610" s="38" t="str">
        <f>IFERROR(__xludf.DUMMYFUNCTION("REGEXREPLACE(C29610,""-\d+(.*)|--\d+(.*)"","""")"),"RANZIERES")</f>
        <v>RANZIERES</v>
      </c>
      <c r="E29610" s="38" t="s">
        <v>322</v>
      </c>
      <c r="F29610" s="38" t="s">
        <v>195</v>
      </c>
      <c r="G29610" s="49" t="str">
        <f t="shared" si="1"/>
        <v>55300</v>
      </c>
      <c r="H29610" s="49">
        <f t="shared" si="2"/>
        <v>55415</v>
      </c>
    </row>
    <row r="29611">
      <c r="A29611" s="48" t="s">
        <v>1368</v>
      </c>
      <c r="B29611" s="38">
        <v>8279.0</v>
      </c>
      <c r="C29611" s="38" t="s">
        <v>34005</v>
      </c>
      <c r="D29611" s="38" t="str">
        <f>IFERROR(__xludf.DUMMYFUNCTION("REGEXREPLACE(C29611,""-\d+(.*)|--\d+(.*)"","""")"),"MARS-SOUS-BOURCQ")</f>
        <v>MARS-SOUS-BOURCQ</v>
      </c>
      <c r="E29611" s="38" t="s">
        <v>327</v>
      </c>
      <c r="F29611" s="38" t="s">
        <v>130</v>
      </c>
      <c r="G29611" s="49" t="str">
        <f t="shared" si="1"/>
        <v>08400</v>
      </c>
      <c r="H29611" s="49" t="str">
        <f t="shared" si="2"/>
        <v>08279</v>
      </c>
    </row>
    <row r="29612">
      <c r="A29612" s="48" t="s">
        <v>425</v>
      </c>
      <c r="B29612" s="38">
        <v>88184.0</v>
      </c>
      <c r="C29612" s="38" t="s">
        <v>34006</v>
      </c>
      <c r="D29612" s="38" t="str">
        <f>IFERROR(__xludf.DUMMYFUNCTION("REGEXREPLACE(C29612,""-\d+(.*)|--\d+(.*)"","""")"),"FREMIFONTAINE")</f>
        <v>FREMIFONTAINE</v>
      </c>
      <c r="E29612" s="38" t="s">
        <v>194</v>
      </c>
      <c r="F29612" s="38" t="s">
        <v>195</v>
      </c>
      <c r="G29612" s="49" t="str">
        <f t="shared" si="1"/>
        <v>88600</v>
      </c>
      <c r="H29612" s="49">
        <f t="shared" si="2"/>
        <v>88184</v>
      </c>
    </row>
    <row r="29613">
      <c r="A29613" s="48" t="s">
        <v>6948</v>
      </c>
      <c r="B29613" s="38">
        <v>17258.0</v>
      </c>
      <c r="C29613" s="38" t="s">
        <v>34007</v>
      </c>
      <c r="D29613" s="38" t="str">
        <f>IFERROR(__xludf.DUMMYFUNCTION("REGEXREPLACE(C29613,""-\d+(.*)|--\d+(.*)"","""")"),"NEUILLAC")</f>
        <v>NEUILLAC</v>
      </c>
      <c r="E29613" s="38" t="s">
        <v>488</v>
      </c>
      <c r="F29613" s="38" t="s">
        <v>338</v>
      </c>
      <c r="G29613" s="49" t="str">
        <f t="shared" si="1"/>
        <v>17520</v>
      </c>
      <c r="H29613" s="49">
        <f t="shared" si="2"/>
        <v>17258</v>
      </c>
    </row>
    <row r="29614">
      <c r="A29614" s="48" t="s">
        <v>5902</v>
      </c>
      <c r="B29614" s="38">
        <v>30025.0</v>
      </c>
      <c r="C29614" s="38" t="s">
        <v>34008</v>
      </c>
      <c r="D29614" s="38" t="str">
        <f>IFERROR(__xludf.DUMMYFUNCTION("REGEXREPLACE(C29614,""-\d+(.*)|--\d+(.*)"","""")"),"AUMESSAS")</f>
        <v>AUMESSAS</v>
      </c>
      <c r="E29614" s="38" t="s">
        <v>526</v>
      </c>
      <c r="F29614" s="38" t="s">
        <v>119</v>
      </c>
      <c r="G29614" s="49" t="str">
        <f t="shared" si="1"/>
        <v>30770</v>
      </c>
      <c r="H29614" s="49">
        <f t="shared" si="2"/>
        <v>30025</v>
      </c>
    </row>
    <row r="29615">
      <c r="A29615" s="48" t="s">
        <v>13053</v>
      </c>
      <c r="B29615" s="38">
        <v>38415.0</v>
      </c>
      <c r="C29615" s="38" t="s">
        <v>34009</v>
      </c>
      <c r="D29615" s="38" t="str">
        <f>IFERROR(__xludf.DUMMYFUNCTION("REGEXREPLACE(C29615,""-\d+(.*)|--\d+(.*)"","""")"),"SAINT-MARCEL-BEL-ACCUEIL")</f>
        <v>SAINT-MARCEL-BEL-ACCUEIL</v>
      </c>
      <c r="E29615" s="38" t="s">
        <v>101</v>
      </c>
      <c r="F29615" s="38" t="s">
        <v>102</v>
      </c>
      <c r="G29615" s="49" t="str">
        <f t="shared" si="1"/>
        <v>38080</v>
      </c>
      <c r="H29615" s="49">
        <f t="shared" si="2"/>
        <v>38415</v>
      </c>
    </row>
    <row r="29616">
      <c r="A29616" s="48" t="s">
        <v>34010</v>
      </c>
      <c r="B29616" s="38">
        <v>80674.0</v>
      </c>
      <c r="C29616" s="38" t="s">
        <v>34011</v>
      </c>
      <c r="D29616" s="38" t="str">
        <f>IFERROR(__xludf.DUMMYFUNCTION("REGEXREPLACE(C29616,""-\d+(.*)|--\d+(.*)"","""")"),"RIVERY")</f>
        <v>RIVERY</v>
      </c>
      <c r="E29616" s="38" t="s">
        <v>224</v>
      </c>
      <c r="F29616" s="38" t="s">
        <v>113</v>
      </c>
      <c r="G29616" s="49" t="str">
        <f t="shared" si="1"/>
        <v>80136</v>
      </c>
      <c r="H29616" s="49">
        <f t="shared" si="2"/>
        <v>80674</v>
      </c>
    </row>
    <row r="29617">
      <c r="A29617" s="48" t="s">
        <v>1616</v>
      </c>
      <c r="B29617" s="38">
        <v>10374.0</v>
      </c>
      <c r="C29617" s="38" t="s">
        <v>17183</v>
      </c>
      <c r="D29617" s="38" t="str">
        <f>IFERROR(__xludf.DUMMYFUNCTION("REGEXREPLACE(C29617,""-\d+(.*)|--\d+(.*)"","""")"),"SPOY")</f>
        <v>SPOY</v>
      </c>
      <c r="E29617" s="38" t="s">
        <v>147</v>
      </c>
      <c r="F29617" s="38" t="s">
        <v>130</v>
      </c>
      <c r="G29617" s="49" t="str">
        <f t="shared" si="1"/>
        <v>10200</v>
      </c>
      <c r="H29617" s="49">
        <f t="shared" si="2"/>
        <v>10374</v>
      </c>
    </row>
    <row r="29618">
      <c r="A29618" s="48" t="s">
        <v>2547</v>
      </c>
      <c r="B29618" s="38">
        <v>8437.0</v>
      </c>
      <c r="C29618" s="38" t="s">
        <v>16208</v>
      </c>
      <c r="D29618" s="38" t="str">
        <f>IFERROR(__xludf.DUMMYFUNCTION("REGEXREPLACE(C29618,""-\d+(.*)|--\d+(.*)"","""")"),"TAILLY")</f>
        <v>TAILLY</v>
      </c>
      <c r="E29618" s="38" t="s">
        <v>327</v>
      </c>
      <c r="F29618" s="38" t="s">
        <v>130</v>
      </c>
      <c r="G29618" s="49" t="str">
        <f t="shared" si="1"/>
        <v>08240</v>
      </c>
      <c r="H29618" s="49" t="str">
        <f t="shared" si="2"/>
        <v>08437</v>
      </c>
    </row>
    <row r="29619">
      <c r="A29619" s="48" t="s">
        <v>8374</v>
      </c>
      <c r="B29619" s="38">
        <v>85209.0</v>
      </c>
      <c r="C29619" s="38" t="s">
        <v>34012</v>
      </c>
      <c r="D29619" s="38" t="str">
        <f>IFERROR(__xludf.DUMMYFUNCTION("REGEXREPLACE(C29619,""-\d+(.*)|--\d+(.*)"","""")"),"SAINT-ETIENNE-DE-BRILLOUET")</f>
        <v>SAINT-ETIENNE-DE-BRILLOUET</v>
      </c>
      <c r="E29619" s="38" t="s">
        <v>179</v>
      </c>
      <c r="F29619" s="38" t="s">
        <v>180</v>
      </c>
      <c r="G29619" s="49" t="str">
        <f t="shared" si="1"/>
        <v>85210</v>
      </c>
      <c r="H29619" s="49">
        <f t="shared" si="2"/>
        <v>85209</v>
      </c>
    </row>
    <row r="29620">
      <c r="A29620" s="48" t="s">
        <v>2368</v>
      </c>
      <c r="B29620" s="38">
        <v>65046.0</v>
      </c>
      <c r="C29620" s="38" t="s">
        <v>11777</v>
      </c>
      <c r="D29620" s="38" t="str">
        <f>IFERROR(__xludf.DUMMYFUNCTION("REGEXREPLACE(C29620,""-\d+(.*)|--\d+(.*)"","""")"),"AULON")</f>
        <v>AULON</v>
      </c>
      <c r="E29620" s="38" t="s">
        <v>200</v>
      </c>
      <c r="F29620" s="38" t="s">
        <v>94</v>
      </c>
      <c r="G29620" s="49" t="str">
        <f t="shared" si="1"/>
        <v>65240</v>
      </c>
      <c r="H29620" s="49">
        <f t="shared" si="2"/>
        <v>65046</v>
      </c>
    </row>
    <row r="29621">
      <c r="A29621" s="48" t="s">
        <v>9905</v>
      </c>
      <c r="B29621" s="38">
        <v>65193.0</v>
      </c>
      <c r="C29621" s="38" t="s">
        <v>34013</v>
      </c>
      <c r="D29621" s="38" t="str">
        <f>IFERROR(__xludf.DUMMYFUNCTION("REGEXREPLACE(C29621,""-\d+(.*)|--\d+(.*)"","""")"),"GEMBRIE")</f>
        <v>GEMBRIE</v>
      </c>
      <c r="E29621" s="38" t="s">
        <v>200</v>
      </c>
      <c r="F29621" s="38" t="s">
        <v>94</v>
      </c>
      <c r="G29621" s="49" t="str">
        <f t="shared" si="1"/>
        <v>65370</v>
      </c>
      <c r="H29621" s="49">
        <f t="shared" si="2"/>
        <v>65193</v>
      </c>
    </row>
    <row r="29622">
      <c r="A29622" s="48" t="s">
        <v>20407</v>
      </c>
      <c r="B29622" s="38">
        <v>87160.0</v>
      </c>
      <c r="C29622" s="38" t="s">
        <v>34014</v>
      </c>
      <c r="D29622" s="38" t="str">
        <f>IFERROR(__xludf.DUMMYFUNCTION("REGEXREPLACE(C29622,""-\d+(.*)|--\d+(.*)"","""")"),"SAINT-LEGER-MAGNAZEIX")</f>
        <v>SAINT-LEGER-MAGNAZEIX</v>
      </c>
      <c r="E29622" s="38" t="s">
        <v>897</v>
      </c>
      <c r="F29622" s="38" t="s">
        <v>98</v>
      </c>
      <c r="G29622" s="49" t="str">
        <f t="shared" si="1"/>
        <v>87190</v>
      </c>
      <c r="H29622" s="49">
        <f t="shared" si="2"/>
        <v>87160</v>
      </c>
    </row>
    <row r="29623">
      <c r="A29623" s="48" t="s">
        <v>34015</v>
      </c>
      <c r="B29623" s="38">
        <v>17380.0</v>
      </c>
      <c r="C29623" s="38" t="s">
        <v>34016</v>
      </c>
      <c r="D29623" s="38" t="str">
        <f>IFERROR(__xludf.DUMMYFUNCTION("REGEXREPLACE(C29623,""-\d+(.*)|--\d+(.*)"","""")"),"SAINT-PALAIS-SUR-MER")</f>
        <v>SAINT-PALAIS-SUR-MER</v>
      </c>
      <c r="E29623" s="38" t="s">
        <v>488</v>
      </c>
      <c r="F29623" s="38" t="s">
        <v>338</v>
      </c>
      <c r="G29623" s="49" t="str">
        <f t="shared" si="1"/>
        <v>17420</v>
      </c>
      <c r="H29623" s="49">
        <f t="shared" si="2"/>
        <v>17380</v>
      </c>
    </row>
    <row r="29624">
      <c r="A29624" s="48" t="s">
        <v>1016</v>
      </c>
      <c r="B29624" s="38">
        <v>28040.0</v>
      </c>
      <c r="C29624" s="38" t="s">
        <v>34017</v>
      </c>
      <c r="D29624" s="38" t="str">
        <f>IFERROR(__xludf.DUMMYFUNCTION("REGEXREPLACE(C29624,""-\d+(.*)|--\d+(.*)"","""")"),"BILLANCELLES")</f>
        <v>BILLANCELLES</v>
      </c>
      <c r="E29624" s="38" t="s">
        <v>300</v>
      </c>
      <c r="F29624" s="38" t="s">
        <v>123</v>
      </c>
      <c r="G29624" s="49" t="str">
        <f t="shared" si="1"/>
        <v>28190</v>
      </c>
      <c r="H29624" s="49">
        <f t="shared" si="2"/>
        <v>28040</v>
      </c>
    </row>
    <row r="29625">
      <c r="A29625" s="48" t="s">
        <v>3662</v>
      </c>
      <c r="B29625" s="38">
        <v>80084.0</v>
      </c>
      <c r="C29625" s="38" t="s">
        <v>34018</v>
      </c>
      <c r="D29625" s="38" t="str">
        <f>IFERROR(__xludf.DUMMYFUNCTION("REGEXREPLACE(C29625,""-\d+(.*)|--\d+(.*)"","""")"),"BERMESNIL")</f>
        <v>BERMESNIL</v>
      </c>
      <c r="E29625" s="38" t="s">
        <v>224</v>
      </c>
      <c r="F29625" s="38" t="s">
        <v>113</v>
      </c>
      <c r="G29625" s="49" t="str">
        <f t="shared" si="1"/>
        <v>80140</v>
      </c>
      <c r="H29625" s="49">
        <f t="shared" si="2"/>
        <v>80084</v>
      </c>
    </row>
    <row r="29626">
      <c r="A29626" s="48" t="s">
        <v>27274</v>
      </c>
      <c r="B29626" s="38">
        <v>80265.0</v>
      </c>
      <c r="C29626" s="38" t="s">
        <v>34019</v>
      </c>
      <c r="D29626" s="38" t="str">
        <f>IFERROR(__xludf.DUMMYFUNCTION("REGEXREPLACE(C29626,""-\d+(.*)|--\d+(.*)"","""")"),"EMBREVILLE")</f>
        <v>EMBREVILLE</v>
      </c>
      <c r="E29626" s="38" t="s">
        <v>224</v>
      </c>
      <c r="F29626" s="38" t="s">
        <v>113</v>
      </c>
      <c r="G29626" s="49" t="str">
        <f t="shared" si="1"/>
        <v>80570</v>
      </c>
      <c r="H29626" s="49">
        <f t="shared" si="2"/>
        <v>80265</v>
      </c>
    </row>
    <row r="29627">
      <c r="A29627" s="48" t="s">
        <v>10716</v>
      </c>
      <c r="B29627" s="38">
        <v>37197.0</v>
      </c>
      <c r="C29627" s="38" t="s">
        <v>34020</v>
      </c>
      <c r="D29627" s="38" t="str">
        <f>IFERROR(__xludf.DUMMYFUNCTION("REGEXREPLACE(C29627,""-\d+(.*)|--\d+(.*)"","""")"),"RIGNY-USSE")</f>
        <v>RIGNY-USSE</v>
      </c>
      <c r="E29627" s="38" t="s">
        <v>205</v>
      </c>
      <c r="F29627" s="38" t="s">
        <v>123</v>
      </c>
      <c r="G29627" s="49" t="str">
        <f t="shared" si="1"/>
        <v>37420</v>
      </c>
      <c r="H29627" s="49">
        <f t="shared" si="2"/>
        <v>37197</v>
      </c>
    </row>
    <row r="29628">
      <c r="A29628" s="48" t="s">
        <v>1921</v>
      </c>
      <c r="B29628" s="38">
        <v>2420.0</v>
      </c>
      <c r="C29628" s="38" t="s">
        <v>34021</v>
      </c>
      <c r="D29628" s="38" t="str">
        <f>IFERROR(__xludf.DUMMYFUNCTION("REGEXREPLACE(C29628,""-\d+(.*)|--\d+(.*)"","""")"),"LESDINS")</f>
        <v>LESDINS</v>
      </c>
      <c r="E29628" s="38" t="s">
        <v>191</v>
      </c>
      <c r="F29628" s="38" t="s">
        <v>113</v>
      </c>
      <c r="G29628" s="49" t="str">
        <f t="shared" si="1"/>
        <v>02100</v>
      </c>
      <c r="H29628" s="49" t="str">
        <f t="shared" si="2"/>
        <v>02420</v>
      </c>
    </row>
    <row r="29629">
      <c r="A29629" s="48" t="s">
        <v>5362</v>
      </c>
      <c r="B29629" s="38">
        <v>81190.0</v>
      </c>
      <c r="C29629" s="38" t="s">
        <v>34022</v>
      </c>
      <c r="D29629" s="38" t="str">
        <f>IFERROR(__xludf.DUMMYFUNCTION("REGEXREPLACE(C29629,""-\d+(.*)|--\d+(.*)"","""")"),"MOUZIEYS-TEULET")</f>
        <v>MOUZIEYS-TEULET</v>
      </c>
      <c r="E29629" s="38" t="s">
        <v>231</v>
      </c>
      <c r="F29629" s="38" t="s">
        <v>94</v>
      </c>
      <c r="G29629" s="49" t="str">
        <f t="shared" si="1"/>
        <v>81430</v>
      </c>
      <c r="H29629" s="49">
        <f t="shared" si="2"/>
        <v>81190</v>
      </c>
    </row>
    <row r="29630">
      <c r="A29630" s="48" t="s">
        <v>5785</v>
      </c>
      <c r="B29630" s="38">
        <v>32102.0</v>
      </c>
      <c r="C29630" s="38" t="s">
        <v>34023</v>
      </c>
      <c r="D29630" s="38" t="str">
        <f>IFERROR(__xludf.DUMMYFUNCTION("REGEXREPLACE(C29630,""-\d+(.*)|--\d+(.*)"","""")"),"CEZAN")</f>
        <v>CEZAN</v>
      </c>
      <c r="E29630" s="38" t="s">
        <v>440</v>
      </c>
      <c r="F29630" s="38" t="s">
        <v>94</v>
      </c>
      <c r="G29630" s="49" t="str">
        <f t="shared" si="1"/>
        <v>32410</v>
      </c>
      <c r="H29630" s="49">
        <f t="shared" si="2"/>
        <v>32102</v>
      </c>
    </row>
    <row r="29631">
      <c r="A29631" s="48" t="s">
        <v>13291</v>
      </c>
      <c r="B29631" s="38">
        <v>38410.0</v>
      </c>
      <c r="C29631" s="38" t="s">
        <v>34024</v>
      </c>
      <c r="D29631" s="38" t="str">
        <f>IFERROR(__xludf.DUMMYFUNCTION("REGEXREPLACE(C29631,""-\d+(.*)|--\d+(.*)"","""")"),"SAINT-LATTIER")</f>
        <v>SAINT-LATTIER</v>
      </c>
      <c r="E29631" s="38" t="s">
        <v>101</v>
      </c>
      <c r="F29631" s="38" t="s">
        <v>102</v>
      </c>
      <c r="G29631" s="49" t="str">
        <f t="shared" si="1"/>
        <v>38840</v>
      </c>
      <c r="H29631" s="49">
        <f t="shared" si="2"/>
        <v>38410</v>
      </c>
    </row>
    <row r="29632">
      <c r="A29632" s="48" t="s">
        <v>4142</v>
      </c>
      <c r="B29632" s="38">
        <v>16082.0</v>
      </c>
      <c r="C29632" s="38" t="s">
        <v>34025</v>
      </c>
      <c r="D29632" s="38" t="str">
        <f>IFERROR(__xludf.DUMMYFUNCTION("REGEXREPLACE(C29632,""-\d+(.*)|--\d+(.*)"","""")"),"CHARMANT")</f>
        <v>CHARMANT</v>
      </c>
      <c r="E29632" s="38" t="s">
        <v>429</v>
      </c>
      <c r="F29632" s="38" t="s">
        <v>338</v>
      </c>
      <c r="G29632" s="49" t="str">
        <f t="shared" si="1"/>
        <v>16320</v>
      </c>
      <c r="H29632" s="49">
        <f t="shared" si="2"/>
        <v>16082</v>
      </c>
    </row>
    <row r="29633">
      <c r="A29633" s="48" t="s">
        <v>6326</v>
      </c>
      <c r="B29633" s="38">
        <v>34077.0</v>
      </c>
      <c r="C29633" s="38" t="s">
        <v>34026</v>
      </c>
      <c r="D29633" s="38" t="str">
        <f>IFERROR(__xludf.DUMMYFUNCTION("REGEXREPLACE(C29633,""-\d+(.*)|--\d+(.*)"","""")"),"CLAPIERS")</f>
        <v>CLAPIERS</v>
      </c>
      <c r="E29633" s="38" t="s">
        <v>118</v>
      </c>
      <c r="F29633" s="38" t="s">
        <v>119</v>
      </c>
      <c r="G29633" s="49" t="str">
        <f t="shared" si="1"/>
        <v>34830</v>
      </c>
      <c r="H29633" s="49">
        <f t="shared" si="2"/>
        <v>34077</v>
      </c>
    </row>
    <row r="29634">
      <c r="A29634" s="48" t="s">
        <v>1286</v>
      </c>
      <c r="B29634" s="38">
        <v>47137.0</v>
      </c>
      <c r="C29634" s="38" t="s">
        <v>34027</v>
      </c>
      <c r="D29634" s="38" t="str">
        <f>IFERROR(__xludf.DUMMYFUNCTION("REGEXREPLACE(C29634,""-\d+(.*)|--\d+(.*)"","""")"),"LAPLUME")</f>
        <v>LAPLUME</v>
      </c>
      <c r="E29634" s="38" t="s">
        <v>251</v>
      </c>
      <c r="F29634" s="38" t="s">
        <v>252</v>
      </c>
      <c r="G29634" s="49" t="str">
        <f t="shared" si="1"/>
        <v>47310</v>
      </c>
      <c r="H29634" s="49">
        <f t="shared" si="2"/>
        <v>47137</v>
      </c>
    </row>
    <row r="29635">
      <c r="A29635" s="48" t="s">
        <v>1477</v>
      </c>
      <c r="B29635" s="38">
        <v>61253.0</v>
      </c>
      <c r="C29635" s="38" t="s">
        <v>34028</v>
      </c>
      <c r="D29635" s="38" t="str">
        <f>IFERROR(__xludf.DUMMYFUNCTION("REGEXREPLACE(C29635,""-\d+(.*)|--\d+(.*)"","""")"),"MARMOUILLE")</f>
        <v>MARMOUILLE</v>
      </c>
      <c r="E29635" s="38" t="s">
        <v>141</v>
      </c>
      <c r="F29635" s="38" t="s">
        <v>138</v>
      </c>
      <c r="G29635" s="49" t="str">
        <f t="shared" si="1"/>
        <v>61240</v>
      </c>
      <c r="H29635" s="49">
        <f t="shared" si="2"/>
        <v>61253</v>
      </c>
    </row>
    <row r="29636">
      <c r="A29636" s="48" t="s">
        <v>2004</v>
      </c>
      <c r="B29636" s="38">
        <v>88460.0</v>
      </c>
      <c r="C29636" s="38" t="s">
        <v>34029</v>
      </c>
      <c r="D29636" s="38" t="str">
        <f>IFERROR(__xludf.DUMMYFUNCTION("REGEXREPLACE(C29636,""-\d+(.*)|--\d+(.*)"","""")"),"SOULOSSE-SOUS-SAINT-ELOPHE")</f>
        <v>SOULOSSE-SOUS-SAINT-ELOPHE</v>
      </c>
      <c r="E29636" s="38" t="s">
        <v>194</v>
      </c>
      <c r="F29636" s="38" t="s">
        <v>195</v>
      </c>
      <c r="G29636" s="49" t="str">
        <f t="shared" si="1"/>
        <v>88630</v>
      </c>
      <c r="H29636" s="49">
        <f t="shared" si="2"/>
        <v>88460</v>
      </c>
    </row>
    <row r="29637">
      <c r="A29637" s="48" t="s">
        <v>2532</v>
      </c>
      <c r="B29637" s="38">
        <v>51628.0</v>
      </c>
      <c r="C29637" s="38" t="s">
        <v>34030</v>
      </c>
      <c r="D29637" s="38" t="str">
        <f>IFERROR(__xludf.DUMMYFUNCTION("REGEXREPLACE(C29637,""-\d+(.*)|--\d+(.*)"","""")"),"VILLENEUVE-SAINT-VISTRE-ET-VILLEVOTTE")</f>
        <v>VILLENEUVE-SAINT-VISTRE-ET-VILLEVOTTE</v>
      </c>
      <c r="E29637" s="38" t="s">
        <v>129</v>
      </c>
      <c r="F29637" s="38" t="s">
        <v>130</v>
      </c>
      <c r="G29637" s="49" t="str">
        <f t="shared" si="1"/>
        <v>51120</v>
      </c>
      <c r="H29637" s="49">
        <f t="shared" si="2"/>
        <v>51628</v>
      </c>
    </row>
    <row r="29638">
      <c r="A29638" s="48" t="s">
        <v>922</v>
      </c>
      <c r="B29638" s="38">
        <v>76623.0</v>
      </c>
      <c r="C29638" s="38" t="s">
        <v>34031</v>
      </c>
      <c r="D29638" s="38" t="str">
        <f>IFERROR(__xludf.DUMMYFUNCTION("REGEXREPLACE(C29638,""-\d+(.*)|--\d+(.*)"","""")"),"SAINT-MICHEL-D'HALESCOURT")</f>
        <v>SAINT-MICHEL-D'HALESCOURT</v>
      </c>
      <c r="E29638" s="38" t="s">
        <v>133</v>
      </c>
      <c r="F29638" s="38" t="s">
        <v>134</v>
      </c>
      <c r="G29638" s="49" t="str">
        <f t="shared" si="1"/>
        <v>76440</v>
      </c>
      <c r="H29638" s="49">
        <f t="shared" si="2"/>
        <v>76623</v>
      </c>
    </row>
    <row r="29639">
      <c r="A29639" s="48" t="s">
        <v>13881</v>
      </c>
      <c r="B29639" s="38">
        <v>56091.0</v>
      </c>
      <c r="C29639" s="38" t="s">
        <v>34032</v>
      </c>
      <c r="D29639" s="38" t="str">
        <f>IFERROR(__xludf.DUMMYFUNCTION("REGEXREPLACE(C29639,""-\d+(.*)|--\d+(.*)"","""")"),"JOSSELIN")</f>
        <v>JOSSELIN</v>
      </c>
      <c r="E29639" s="38" t="s">
        <v>173</v>
      </c>
      <c r="F29639" s="38" t="s">
        <v>90</v>
      </c>
      <c r="G29639" s="49" t="str">
        <f t="shared" si="1"/>
        <v>56120</v>
      </c>
      <c r="H29639" s="49">
        <f t="shared" si="2"/>
        <v>56091</v>
      </c>
    </row>
    <row r="29640">
      <c r="A29640" s="48" t="s">
        <v>715</v>
      </c>
      <c r="B29640" s="38">
        <v>88279.0</v>
      </c>
      <c r="C29640" s="38" t="s">
        <v>34033</v>
      </c>
      <c r="D29640" s="38" t="str">
        <f>IFERROR(__xludf.DUMMYFUNCTION("REGEXREPLACE(C29640,""-\d+(.*)|--\d+(.*)"","""")"),"MADECOURT")</f>
        <v>MADECOURT</v>
      </c>
      <c r="E29640" s="38" t="s">
        <v>194</v>
      </c>
      <c r="F29640" s="38" t="s">
        <v>195</v>
      </c>
      <c r="G29640" s="49" t="str">
        <f t="shared" si="1"/>
        <v>88270</v>
      </c>
      <c r="H29640" s="49">
        <f t="shared" si="2"/>
        <v>88279</v>
      </c>
    </row>
    <row r="29641">
      <c r="A29641" s="48" t="s">
        <v>12799</v>
      </c>
      <c r="B29641" s="38">
        <v>11405.0</v>
      </c>
      <c r="C29641" s="38" t="s">
        <v>34034</v>
      </c>
      <c r="D29641" s="38" t="str">
        <f>IFERROR(__xludf.DUMMYFUNCTION("REGEXREPLACE(C29641,""-\d+(.*)|--\d+(.*)"","""")"),"VENTENAC-EN-MINERVOIS")</f>
        <v>VENTENAC-EN-MINERVOIS</v>
      </c>
      <c r="E29641" s="38" t="s">
        <v>278</v>
      </c>
      <c r="F29641" s="38" t="s">
        <v>119</v>
      </c>
      <c r="G29641" s="49" t="str">
        <f t="shared" si="1"/>
        <v>11120</v>
      </c>
      <c r="H29641" s="49">
        <f t="shared" si="2"/>
        <v>11405</v>
      </c>
    </row>
    <row r="29642">
      <c r="A29642" s="48" t="s">
        <v>6387</v>
      </c>
      <c r="B29642" s="38">
        <v>2748.0</v>
      </c>
      <c r="C29642" s="38" t="s">
        <v>34035</v>
      </c>
      <c r="D29642" s="38" t="str">
        <f>IFERROR(__xludf.DUMMYFUNCTION("REGEXREPLACE(C29642,""-\d+(.*)|--\d+(.*)"","""")"),"TRELOU-SUR-MARNE")</f>
        <v>TRELOU-SUR-MARNE</v>
      </c>
      <c r="E29642" s="38" t="s">
        <v>191</v>
      </c>
      <c r="F29642" s="38" t="s">
        <v>113</v>
      </c>
      <c r="G29642" s="49" t="str">
        <f t="shared" si="1"/>
        <v>02850</v>
      </c>
      <c r="H29642" s="49" t="str">
        <f t="shared" si="2"/>
        <v>02748</v>
      </c>
    </row>
    <row r="29643">
      <c r="A29643" s="48" t="s">
        <v>5078</v>
      </c>
      <c r="B29643" s="38">
        <v>47039.0</v>
      </c>
      <c r="C29643" s="38" t="s">
        <v>34036</v>
      </c>
      <c r="D29643" s="38" t="str">
        <f>IFERROR(__xludf.DUMMYFUNCTION("REGEXREPLACE(C29643,""-\d+(.*)|--\d+(.*)"","""")"),"BOUSSES")</f>
        <v>BOUSSES</v>
      </c>
      <c r="E29643" s="38" t="s">
        <v>251</v>
      </c>
      <c r="F29643" s="38" t="s">
        <v>252</v>
      </c>
      <c r="G29643" s="49" t="str">
        <f t="shared" si="1"/>
        <v>47420</v>
      </c>
      <c r="H29643" s="49">
        <f t="shared" si="2"/>
        <v>47039</v>
      </c>
    </row>
    <row r="29644">
      <c r="A29644" s="48" t="s">
        <v>6016</v>
      </c>
      <c r="B29644" s="38">
        <v>57459.0</v>
      </c>
      <c r="C29644" s="38" t="s">
        <v>34037</v>
      </c>
      <c r="D29644" s="38" t="str">
        <f>IFERROR(__xludf.DUMMYFUNCTION("REGEXREPLACE(C29644,""-\d+(.*)|--\d+(.*)"","""")"),"MERSCHWEILLER")</f>
        <v>MERSCHWEILLER</v>
      </c>
      <c r="E29644" s="38" t="s">
        <v>303</v>
      </c>
      <c r="F29644" s="38" t="s">
        <v>195</v>
      </c>
      <c r="G29644" s="49" t="str">
        <f t="shared" si="1"/>
        <v>57480</v>
      </c>
      <c r="H29644" s="49">
        <f t="shared" si="2"/>
        <v>57459</v>
      </c>
    </row>
    <row r="29645">
      <c r="A29645" s="48" t="s">
        <v>8711</v>
      </c>
      <c r="B29645" s="38">
        <v>33079.0</v>
      </c>
      <c r="C29645" s="38" t="s">
        <v>34038</v>
      </c>
      <c r="D29645" s="38" t="str">
        <f>IFERROR(__xludf.DUMMYFUNCTION("REGEXREPLACE(C29645,""-\d+(.*)|--\d+(.*)"","""")"),"CADARSAC")</f>
        <v>CADARSAC</v>
      </c>
      <c r="E29645" s="38" t="s">
        <v>462</v>
      </c>
      <c r="F29645" s="38" t="s">
        <v>252</v>
      </c>
      <c r="G29645" s="49" t="str">
        <f t="shared" si="1"/>
        <v>33750</v>
      </c>
      <c r="H29645" s="49">
        <f t="shared" si="2"/>
        <v>33079</v>
      </c>
    </row>
    <row r="29646">
      <c r="A29646" s="48" t="s">
        <v>14237</v>
      </c>
      <c r="B29646" s="38">
        <v>41120.0</v>
      </c>
      <c r="C29646" s="38" t="s">
        <v>34039</v>
      </c>
      <c r="D29646" s="38" t="str">
        <f>IFERROR(__xludf.DUMMYFUNCTION("REGEXREPLACE(C29646,""-\d+(.*)|--\d+(.*)"","""")"),"LUNAY")</f>
        <v>LUNAY</v>
      </c>
      <c r="E29646" s="38" t="s">
        <v>188</v>
      </c>
      <c r="F29646" s="38" t="s">
        <v>123</v>
      </c>
      <c r="G29646" s="49" t="str">
        <f t="shared" si="1"/>
        <v>41360</v>
      </c>
      <c r="H29646" s="49">
        <f t="shared" si="2"/>
        <v>41120</v>
      </c>
    </row>
    <row r="29647">
      <c r="A29647" s="48" t="s">
        <v>2268</v>
      </c>
      <c r="B29647" s="38">
        <v>55137.0</v>
      </c>
      <c r="C29647" s="38" t="s">
        <v>15629</v>
      </c>
      <c r="D29647" s="38" t="str">
        <f>IFERROR(__xludf.DUMMYFUNCTION("REGEXREPLACE(C29647,""-\d+(.*)|--\d+(.*)"","""")"),"CUISY")</f>
        <v>CUISY</v>
      </c>
      <c r="E29647" s="38" t="s">
        <v>322</v>
      </c>
      <c r="F29647" s="38" t="s">
        <v>195</v>
      </c>
      <c r="G29647" s="49" t="str">
        <f t="shared" si="1"/>
        <v>55270</v>
      </c>
      <c r="H29647" s="49">
        <f t="shared" si="2"/>
        <v>55137</v>
      </c>
    </row>
    <row r="29648">
      <c r="A29648" s="48" t="s">
        <v>1195</v>
      </c>
      <c r="B29648" s="38">
        <v>80426.0</v>
      </c>
      <c r="C29648" s="38" t="s">
        <v>34040</v>
      </c>
      <c r="D29648" s="38" t="str">
        <f>IFERROR(__xludf.DUMMYFUNCTION("REGEXREPLACE(C29648,""-\d+(.*)|--\d+(.*)"","""")"),"HEILLY")</f>
        <v>HEILLY</v>
      </c>
      <c r="E29648" s="38" t="s">
        <v>224</v>
      </c>
      <c r="F29648" s="38" t="s">
        <v>113</v>
      </c>
      <c r="G29648" s="49" t="str">
        <f t="shared" si="1"/>
        <v>80800</v>
      </c>
      <c r="H29648" s="49">
        <f t="shared" si="2"/>
        <v>80426</v>
      </c>
    </row>
    <row r="29649">
      <c r="A29649" s="48" t="s">
        <v>7926</v>
      </c>
      <c r="B29649" s="38">
        <v>71055.0</v>
      </c>
      <c r="C29649" s="38" t="s">
        <v>34041</v>
      </c>
      <c r="D29649" s="38" t="str">
        <f>IFERROR(__xludf.DUMMYFUNCTION("REGEXREPLACE(C29649,""-\d+(.*)|--\d+(.*)"","""")"),"BRANDON")</f>
        <v>BRANDON</v>
      </c>
      <c r="E29649" s="38" t="s">
        <v>344</v>
      </c>
      <c r="F29649" s="38" t="s">
        <v>106</v>
      </c>
      <c r="G29649" s="49" t="str">
        <f t="shared" si="1"/>
        <v>71520</v>
      </c>
      <c r="H29649" s="49">
        <f t="shared" si="2"/>
        <v>71055</v>
      </c>
    </row>
    <row r="29650">
      <c r="A29650" s="48" t="s">
        <v>5205</v>
      </c>
      <c r="B29650" s="38">
        <v>59538.0</v>
      </c>
      <c r="C29650" s="38" t="s">
        <v>34042</v>
      </c>
      <c r="D29650" s="38" t="str">
        <f>IFERROR(__xludf.DUMMYFUNCTION("REGEXREPLACE(C29650,""-\d+(.*)|--\d+(.*)"","""")"),"SAINT-MOMELIN")</f>
        <v>SAINT-MOMELIN</v>
      </c>
      <c r="E29650" s="38" t="s">
        <v>85</v>
      </c>
      <c r="F29650" s="38" t="s">
        <v>86</v>
      </c>
      <c r="G29650" s="49" t="str">
        <f t="shared" si="1"/>
        <v>59143</v>
      </c>
      <c r="H29650" s="49">
        <f t="shared" si="2"/>
        <v>59538</v>
      </c>
    </row>
    <row r="29651">
      <c r="A29651" s="48" t="s">
        <v>12997</v>
      </c>
      <c r="B29651" s="38">
        <v>65160.0</v>
      </c>
      <c r="C29651" s="38" t="s">
        <v>34043</v>
      </c>
      <c r="D29651" s="38" t="str">
        <f>IFERROR(__xludf.DUMMYFUNCTION("REGEXREPLACE(C29651,""-\d+(.*)|--\d+(.*)"","""")"),"ESCAUNETS")</f>
        <v>ESCAUNETS</v>
      </c>
      <c r="E29651" s="38" t="s">
        <v>200</v>
      </c>
      <c r="F29651" s="38" t="s">
        <v>94</v>
      </c>
      <c r="G29651" s="49" t="str">
        <f t="shared" si="1"/>
        <v>65500</v>
      </c>
      <c r="H29651" s="49">
        <f t="shared" si="2"/>
        <v>65160</v>
      </c>
    </row>
    <row r="29652">
      <c r="A29652" s="48" t="s">
        <v>87</v>
      </c>
      <c r="B29652" s="38">
        <v>22297.0</v>
      </c>
      <c r="C29652" s="38" t="s">
        <v>34044</v>
      </c>
      <c r="D29652" s="38" t="str">
        <f>IFERROR(__xludf.DUMMYFUNCTION("REGEXREPLACE(C29652,""-\d+(.*)|--\d+(.*)"","""")"),"SAINT-GOUENO")</f>
        <v>SAINT-GOUENO</v>
      </c>
      <c r="E29652" s="38" t="s">
        <v>89</v>
      </c>
      <c r="F29652" s="38" t="s">
        <v>90</v>
      </c>
      <c r="G29652" s="49" t="str">
        <f t="shared" si="1"/>
        <v>22330</v>
      </c>
      <c r="H29652" s="49">
        <f t="shared" si="2"/>
        <v>22297</v>
      </c>
    </row>
    <row r="29653">
      <c r="A29653" s="48" t="s">
        <v>298</v>
      </c>
      <c r="B29653" s="38">
        <v>28264.0</v>
      </c>
      <c r="C29653" s="38" t="s">
        <v>34045</v>
      </c>
      <c r="D29653" s="38" t="str">
        <f>IFERROR(__xludf.DUMMYFUNCTION("REGEXREPLACE(C29653,""-\d+(.*)|--\d+(.*)"","""")"),"MONTIREAU")</f>
        <v>MONTIREAU</v>
      </c>
      <c r="E29653" s="38" t="s">
        <v>300</v>
      </c>
      <c r="F29653" s="38" t="s">
        <v>123</v>
      </c>
      <c r="G29653" s="49" t="str">
        <f t="shared" si="1"/>
        <v>28240</v>
      </c>
      <c r="H29653" s="49">
        <f t="shared" si="2"/>
        <v>28264</v>
      </c>
    </row>
    <row r="29654">
      <c r="A29654" s="48" t="s">
        <v>14225</v>
      </c>
      <c r="B29654" s="38">
        <v>73155.0</v>
      </c>
      <c r="C29654" s="38" t="s">
        <v>34046</v>
      </c>
      <c r="D29654" s="38" t="str">
        <f>IFERROR(__xludf.DUMMYFUNCTION("REGEXREPLACE(C29654,""-\d+(.*)|--\d+(.*)"","""")"),"MERY")</f>
        <v>MERY</v>
      </c>
      <c r="E29654" s="38" t="s">
        <v>306</v>
      </c>
      <c r="F29654" s="38" t="s">
        <v>102</v>
      </c>
      <c r="G29654" s="49" t="str">
        <f t="shared" si="1"/>
        <v>73420</v>
      </c>
      <c r="H29654" s="49">
        <f t="shared" si="2"/>
        <v>73155</v>
      </c>
    </row>
    <row r="29655">
      <c r="A29655" s="48" t="s">
        <v>3156</v>
      </c>
      <c r="B29655" s="38">
        <v>77472.0</v>
      </c>
      <c r="C29655" s="38" t="s">
        <v>34047</v>
      </c>
      <c r="D29655" s="38" t="str">
        <f>IFERROR(__xludf.DUMMYFUNCTION("REGEXREPLACE(C29655,""-\d+(.*)|--\d+(.*)"","""")"),"LA TRETOIRE")</f>
        <v>LA TRETOIRE</v>
      </c>
      <c r="E29655" s="38" t="s">
        <v>244</v>
      </c>
      <c r="F29655" s="38" t="s">
        <v>245</v>
      </c>
      <c r="G29655" s="49" t="str">
        <f t="shared" si="1"/>
        <v>77510</v>
      </c>
      <c r="H29655" s="49">
        <f t="shared" si="2"/>
        <v>77472</v>
      </c>
    </row>
    <row r="29656">
      <c r="A29656" s="48" t="s">
        <v>29575</v>
      </c>
      <c r="B29656" s="38">
        <v>86100.0</v>
      </c>
      <c r="C29656" s="38" t="s">
        <v>34048</v>
      </c>
      <c r="D29656" s="38" t="str">
        <f>IFERROR(__xludf.DUMMYFUNCTION("REGEXREPLACE(C29656,""-\d+(.*)|--\d+(.*)"","""")"),"FONTAINE-LE-COMTE")</f>
        <v>FONTAINE-LE-COMTE</v>
      </c>
      <c r="E29656" s="38" t="s">
        <v>529</v>
      </c>
      <c r="F29656" s="38" t="s">
        <v>338</v>
      </c>
      <c r="G29656" s="49" t="str">
        <f t="shared" si="1"/>
        <v>86240</v>
      </c>
      <c r="H29656" s="49">
        <f t="shared" si="2"/>
        <v>86100</v>
      </c>
    </row>
    <row r="29657">
      <c r="A29657" s="48" t="s">
        <v>33890</v>
      </c>
      <c r="B29657" s="38">
        <v>62056.0</v>
      </c>
      <c r="C29657" s="38" t="s">
        <v>34049</v>
      </c>
      <c r="D29657" s="38" t="str">
        <f>IFERROR(__xludf.DUMMYFUNCTION("REGEXREPLACE(C29657,""-\d+(.*)|--\d+(.*)"","""")"),"AUDRESSELLES")</f>
        <v>AUDRESSELLES</v>
      </c>
      <c r="E29657" s="38" t="s">
        <v>109</v>
      </c>
      <c r="F29657" s="38" t="s">
        <v>86</v>
      </c>
      <c r="G29657" s="49" t="str">
        <f t="shared" si="1"/>
        <v>62164</v>
      </c>
      <c r="H29657" s="49">
        <f t="shared" si="2"/>
        <v>62056</v>
      </c>
    </row>
    <row r="29658">
      <c r="A29658" s="48" t="s">
        <v>6150</v>
      </c>
      <c r="B29658" s="38">
        <v>71435.0</v>
      </c>
      <c r="C29658" s="38" t="s">
        <v>34050</v>
      </c>
      <c r="D29658" s="38" t="str">
        <f>IFERROR(__xludf.DUMMYFUNCTION("REGEXREPLACE(C29658,""-\d+(.*)|--\d+(.*)"","""")"),"SAINT-JULIEN-SUR-DHEUNE")</f>
        <v>SAINT-JULIEN-SUR-DHEUNE</v>
      </c>
      <c r="E29658" s="38" t="s">
        <v>344</v>
      </c>
      <c r="F29658" s="38" t="s">
        <v>106</v>
      </c>
      <c r="G29658" s="49" t="str">
        <f t="shared" si="1"/>
        <v>71210</v>
      </c>
      <c r="H29658" s="49">
        <f t="shared" si="2"/>
        <v>71435</v>
      </c>
    </row>
    <row r="29659">
      <c r="A29659" s="48" t="s">
        <v>5078</v>
      </c>
      <c r="B29659" s="38">
        <v>47085.0</v>
      </c>
      <c r="C29659" s="38" t="s">
        <v>34051</v>
      </c>
      <c r="D29659" s="38" t="str">
        <f>IFERROR(__xludf.DUMMYFUNCTION("REGEXREPLACE(C29659,""-\d+(.*)|--\d+(.*)"","""")"),"DURANCE")</f>
        <v>DURANCE</v>
      </c>
      <c r="E29659" s="38" t="s">
        <v>251</v>
      </c>
      <c r="F29659" s="38" t="s">
        <v>252</v>
      </c>
      <c r="G29659" s="49" t="str">
        <f t="shared" si="1"/>
        <v>47420</v>
      </c>
      <c r="H29659" s="49">
        <f t="shared" si="2"/>
        <v>47085</v>
      </c>
    </row>
    <row r="29660">
      <c r="A29660" s="48" t="s">
        <v>1817</v>
      </c>
      <c r="B29660" s="38">
        <v>31485.0</v>
      </c>
      <c r="C29660" s="38" t="s">
        <v>6500</v>
      </c>
      <c r="D29660" s="38" t="str">
        <f>IFERROR(__xludf.DUMMYFUNCTION("REGEXREPLACE(C29660,""-\d+(.*)|--\d+(.*)"","""")"),"SAINT-GERMIER")</f>
        <v>SAINT-GERMIER</v>
      </c>
      <c r="E29660" s="38" t="s">
        <v>93</v>
      </c>
      <c r="F29660" s="38" t="s">
        <v>94</v>
      </c>
      <c r="G29660" s="49" t="str">
        <f t="shared" si="1"/>
        <v>31290</v>
      </c>
      <c r="H29660" s="49">
        <f t="shared" si="2"/>
        <v>31485</v>
      </c>
    </row>
    <row r="29661">
      <c r="A29661" s="48" t="s">
        <v>34052</v>
      </c>
      <c r="B29661" s="38">
        <v>13065.0</v>
      </c>
      <c r="C29661" s="38" t="s">
        <v>34053</v>
      </c>
      <c r="D29661" s="38" t="str">
        <f>IFERROR(__xludf.DUMMYFUNCTION("REGEXREPLACE(C29661,""-\d+(.*)|--\d+(.*)"","""")"),"MOURIES")</f>
        <v>MOURIES</v>
      </c>
      <c r="E29661" s="38" t="s">
        <v>980</v>
      </c>
      <c r="F29661" s="38" t="s">
        <v>228</v>
      </c>
      <c r="G29661" s="49" t="str">
        <f t="shared" si="1"/>
        <v>13890</v>
      </c>
      <c r="H29661" s="49">
        <f t="shared" si="2"/>
        <v>13065</v>
      </c>
    </row>
    <row r="29662">
      <c r="A29662" s="48" t="s">
        <v>15207</v>
      </c>
      <c r="B29662" s="38">
        <v>74005.0</v>
      </c>
      <c r="C29662" s="38" t="s">
        <v>34054</v>
      </c>
      <c r="D29662" s="38" t="str">
        <f>IFERROR(__xludf.DUMMYFUNCTION("REGEXREPLACE(C29662,""-\d+(.*)|--\d+(.*)"","""")"),"ALLINGES")</f>
        <v>ALLINGES</v>
      </c>
      <c r="E29662" s="38" t="s">
        <v>319</v>
      </c>
      <c r="F29662" s="38" t="s">
        <v>102</v>
      </c>
      <c r="G29662" s="49" t="str">
        <f t="shared" si="1"/>
        <v>74200</v>
      </c>
      <c r="H29662" s="49">
        <f t="shared" si="2"/>
        <v>74005</v>
      </c>
    </row>
    <row r="29663">
      <c r="A29663" s="48" t="s">
        <v>1174</v>
      </c>
      <c r="B29663" s="38">
        <v>51598.0</v>
      </c>
      <c r="C29663" s="38" t="s">
        <v>34055</v>
      </c>
      <c r="D29663" s="38" t="str">
        <f>IFERROR(__xludf.DUMMYFUNCTION("REGEXREPLACE(C29663,""-\d+(.*)|--\d+(.*)"","""")"),"VAUCLERC")</f>
        <v>VAUCLERC</v>
      </c>
      <c r="E29663" s="38" t="s">
        <v>129</v>
      </c>
      <c r="F29663" s="38" t="s">
        <v>130</v>
      </c>
      <c r="G29663" s="49" t="str">
        <f t="shared" si="1"/>
        <v>51300</v>
      </c>
      <c r="H29663" s="49">
        <f t="shared" si="2"/>
        <v>51598</v>
      </c>
    </row>
    <row r="29664">
      <c r="A29664" s="48" t="s">
        <v>2817</v>
      </c>
      <c r="B29664" s="38">
        <v>64145.0</v>
      </c>
      <c r="C29664" s="38" t="s">
        <v>34056</v>
      </c>
      <c r="D29664" s="38" t="str">
        <f>IFERROR(__xludf.DUMMYFUNCTION("REGEXREPLACE(C29664,""-\d+(.*)|--\d+(.*)"","""")"),"BOURDETTES")</f>
        <v>BOURDETTES</v>
      </c>
      <c r="E29664" s="38" t="s">
        <v>268</v>
      </c>
      <c r="F29664" s="38" t="s">
        <v>252</v>
      </c>
      <c r="G29664" s="49" t="str">
        <f t="shared" si="1"/>
        <v>64800</v>
      </c>
      <c r="H29664" s="49">
        <f t="shared" si="2"/>
        <v>64145</v>
      </c>
    </row>
    <row r="29665">
      <c r="A29665" s="48" t="s">
        <v>4679</v>
      </c>
      <c r="B29665" s="38">
        <v>17150.0</v>
      </c>
      <c r="C29665" s="38" t="s">
        <v>34057</v>
      </c>
      <c r="D29665" s="38" t="str">
        <f>IFERROR(__xludf.DUMMYFUNCTION("REGEXREPLACE(C29665,""-\d+(.*)|--\d+(.*)"","""")"),"LES EGLISES-D'ARGENTEUIL")</f>
        <v>LES EGLISES-D'ARGENTEUIL</v>
      </c>
      <c r="E29665" s="38" t="s">
        <v>488</v>
      </c>
      <c r="F29665" s="38" t="s">
        <v>338</v>
      </c>
      <c r="G29665" s="49" t="str">
        <f t="shared" si="1"/>
        <v>17400</v>
      </c>
      <c r="H29665" s="49">
        <f t="shared" si="2"/>
        <v>17150</v>
      </c>
    </row>
    <row r="29666">
      <c r="A29666" s="48" t="s">
        <v>12182</v>
      </c>
      <c r="B29666" s="38">
        <v>97211.0</v>
      </c>
      <c r="C29666" s="38" t="s">
        <v>34058</v>
      </c>
      <c r="D29666" s="38" t="str">
        <f>IFERROR(__xludf.DUMMYFUNCTION("REGEXREPLACE(C29666,""-\d+(.*)|--\d+(.*)"","""")"),"GRAND'RIVIERE")</f>
        <v>GRAND'RIVIERE</v>
      </c>
      <c r="E29666" s="38" t="s">
        <v>2282</v>
      </c>
      <c r="F29666" s="38" t="s">
        <v>2282</v>
      </c>
      <c r="G29666" s="49" t="str">
        <f t="shared" si="1"/>
        <v>97218</v>
      </c>
      <c r="H29666" s="49">
        <f t="shared" si="2"/>
        <v>97211</v>
      </c>
    </row>
    <row r="29667">
      <c r="A29667" s="48" t="s">
        <v>4267</v>
      </c>
      <c r="B29667" s="38">
        <v>62685.0</v>
      </c>
      <c r="C29667" s="38" t="s">
        <v>34059</v>
      </c>
      <c r="D29667" s="38" t="str">
        <f>IFERROR(__xludf.DUMMYFUNCTION("REGEXREPLACE(C29667,""-\d+(.*)|--\d+(.*)"","""")"),"RADINGHEM")</f>
        <v>RADINGHEM</v>
      </c>
      <c r="E29667" s="38" t="s">
        <v>109</v>
      </c>
      <c r="F29667" s="38" t="s">
        <v>86</v>
      </c>
      <c r="G29667" s="49" t="str">
        <f t="shared" si="1"/>
        <v>62310</v>
      </c>
      <c r="H29667" s="49">
        <f t="shared" si="2"/>
        <v>62685</v>
      </c>
    </row>
    <row r="29668">
      <c r="A29668" s="48" t="s">
        <v>5681</v>
      </c>
      <c r="B29668" s="38">
        <v>58092.0</v>
      </c>
      <c r="C29668" s="38" t="s">
        <v>34060</v>
      </c>
      <c r="D29668" s="38" t="str">
        <f>IFERROR(__xludf.DUMMYFUNCTION("REGEXREPLACE(C29668,""-\d+(.*)|--\d+(.*)"","""")"),"CRUX-LA-VILLE")</f>
        <v>CRUX-LA-VILLE</v>
      </c>
      <c r="E29668" s="38" t="s">
        <v>219</v>
      </c>
      <c r="F29668" s="38" t="s">
        <v>106</v>
      </c>
      <c r="G29668" s="49" t="str">
        <f t="shared" si="1"/>
        <v>58330</v>
      </c>
      <c r="H29668" s="49">
        <f t="shared" si="2"/>
        <v>58092</v>
      </c>
    </row>
    <row r="29669">
      <c r="A29669" s="48" t="s">
        <v>1364</v>
      </c>
      <c r="B29669" s="38">
        <v>64385.0</v>
      </c>
      <c r="C29669" s="38" t="s">
        <v>34061</v>
      </c>
      <c r="D29669" s="38" t="str">
        <f>IFERROR(__xludf.DUMMYFUNCTION("REGEXREPLACE(C29669,""-\d+(.*)|--\d+(.*)"","""")"),"MIOSSENS-LANUSSE")</f>
        <v>MIOSSENS-LANUSSE</v>
      </c>
      <c r="E29669" s="38" t="s">
        <v>268</v>
      </c>
      <c r="F29669" s="38" t="s">
        <v>252</v>
      </c>
      <c r="G29669" s="49" t="str">
        <f t="shared" si="1"/>
        <v>64450</v>
      </c>
      <c r="H29669" s="49">
        <f t="shared" si="2"/>
        <v>64385</v>
      </c>
    </row>
    <row r="29670">
      <c r="A29670" s="48" t="s">
        <v>12001</v>
      </c>
      <c r="B29670" s="38">
        <v>7339.0</v>
      </c>
      <c r="C29670" s="38" t="s">
        <v>34062</v>
      </c>
      <c r="D29670" s="38" t="str">
        <f>IFERROR(__xludf.DUMMYFUNCTION("REGEXREPLACE(C29670,""-\d+(.*)|--\d+(.*)"","""")"),"VESSEAUX")</f>
        <v>VESSEAUX</v>
      </c>
      <c r="E29670" s="38" t="s">
        <v>144</v>
      </c>
      <c r="F29670" s="38" t="s">
        <v>102</v>
      </c>
      <c r="G29670" s="49" t="str">
        <f t="shared" si="1"/>
        <v>07200</v>
      </c>
      <c r="H29670" s="49" t="str">
        <f t="shared" si="2"/>
        <v>07339</v>
      </c>
    </row>
    <row r="29671">
      <c r="A29671" s="48" t="s">
        <v>12410</v>
      </c>
      <c r="B29671" s="38">
        <v>66192.0</v>
      </c>
      <c r="C29671" s="38" t="s">
        <v>34063</v>
      </c>
      <c r="D29671" s="38" t="str">
        <f>IFERROR(__xludf.DUMMYFUNCTION("REGEXREPLACE(C29671,""-\d+(.*)|--\d+(.*)"","""")"),"SAUTO")</f>
        <v>SAUTO</v>
      </c>
      <c r="E29671" s="38" t="s">
        <v>248</v>
      </c>
      <c r="F29671" s="38" t="s">
        <v>119</v>
      </c>
      <c r="G29671" s="49" t="str">
        <f t="shared" si="1"/>
        <v>66210</v>
      </c>
      <c r="H29671" s="49">
        <f t="shared" si="2"/>
        <v>66192</v>
      </c>
    </row>
    <row r="29672">
      <c r="A29672" s="48" t="s">
        <v>7188</v>
      </c>
      <c r="B29672" s="38">
        <v>11008.0</v>
      </c>
      <c r="C29672" s="38" t="s">
        <v>34064</v>
      </c>
      <c r="D29672" s="38" t="str">
        <f>IFERROR(__xludf.DUMMYFUNCTION("REGEXREPLACE(C29672,""-\d+(.*)|--\d+(.*)"","""")"),"ALET-LES-BAINS")</f>
        <v>ALET-LES-BAINS</v>
      </c>
      <c r="E29672" s="38" t="s">
        <v>278</v>
      </c>
      <c r="F29672" s="38" t="s">
        <v>119</v>
      </c>
      <c r="G29672" s="49" t="str">
        <f t="shared" si="1"/>
        <v>11580</v>
      </c>
      <c r="H29672" s="49">
        <f t="shared" si="2"/>
        <v>11008</v>
      </c>
    </row>
    <row r="29673">
      <c r="A29673" s="48" t="s">
        <v>6670</v>
      </c>
      <c r="B29673" s="38">
        <v>32089.0</v>
      </c>
      <c r="C29673" s="38" t="s">
        <v>34065</v>
      </c>
      <c r="D29673" s="38" t="str">
        <f>IFERROR(__xludf.DUMMYFUNCTION("REGEXREPLACE(C29673,""-\d+(.*)|--\d+(.*)"","""")"),"CASTILLON-MASSAS")</f>
        <v>CASTILLON-MASSAS</v>
      </c>
      <c r="E29673" s="38" t="s">
        <v>440</v>
      </c>
      <c r="F29673" s="38" t="s">
        <v>94</v>
      </c>
      <c r="G29673" s="49" t="str">
        <f t="shared" si="1"/>
        <v>32360</v>
      </c>
      <c r="H29673" s="49">
        <f t="shared" si="2"/>
        <v>32089</v>
      </c>
    </row>
    <row r="29674">
      <c r="A29674" s="48" t="s">
        <v>20370</v>
      </c>
      <c r="B29674" s="38">
        <v>67335.0</v>
      </c>
      <c r="C29674" s="38" t="s">
        <v>34066</v>
      </c>
      <c r="D29674" s="38" t="str">
        <f>IFERROR(__xludf.DUMMYFUNCTION("REGEXREPLACE(C29674,""-\d+(.*)|--\d+(.*)"","""")"),"NORDHEIM")</f>
        <v>NORDHEIM</v>
      </c>
      <c r="E29674" s="38" t="s">
        <v>210</v>
      </c>
      <c r="F29674" s="38" t="s">
        <v>151</v>
      </c>
      <c r="G29674" s="49" t="str">
        <f t="shared" si="1"/>
        <v>67520</v>
      </c>
      <c r="H29674" s="49">
        <f t="shared" si="2"/>
        <v>67335</v>
      </c>
    </row>
    <row r="29675">
      <c r="A29675" s="48" t="s">
        <v>3761</v>
      </c>
      <c r="B29675" s="38">
        <v>50081.0</v>
      </c>
      <c r="C29675" s="38" t="s">
        <v>34067</v>
      </c>
      <c r="D29675" s="38" t="str">
        <f>IFERROR(__xludf.DUMMYFUNCTION("REGEXREPLACE(C29675,""-\d+(.*)|--\d+(.*)"","""")"),"BREVILLE-SUR-MER")</f>
        <v>BREVILLE-SUR-MER</v>
      </c>
      <c r="E29675" s="38" t="s">
        <v>157</v>
      </c>
      <c r="F29675" s="38" t="s">
        <v>138</v>
      </c>
      <c r="G29675" s="49" t="str">
        <f t="shared" si="1"/>
        <v>50290</v>
      </c>
      <c r="H29675" s="49">
        <f t="shared" si="2"/>
        <v>50081</v>
      </c>
    </row>
    <row r="29676">
      <c r="A29676" s="48" t="s">
        <v>34068</v>
      </c>
      <c r="B29676" s="38">
        <v>95051.0</v>
      </c>
      <c r="C29676" s="38" t="s">
        <v>34069</v>
      </c>
      <c r="D29676" s="38" t="str">
        <f>IFERROR(__xludf.DUMMYFUNCTION("REGEXREPLACE(C29676,""-\d+(.*)|--\d+(.*)"","""")"),"BEAUCHAMP")</f>
        <v>BEAUCHAMP</v>
      </c>
      <c r="E29676" s="38" t="s">
        <v>541</v>
      </c>
      <c r="F29676" s="38" t="s">
        <v>245</v>
      </c>
      <c r="G29676" s="49" t="str">
        <f t="shared" si="1"/>
        <v>95250</v>
      </c>
      <c r="H29676" s="49">
        <f t="shared" si="2"/>
        <v>95051</v>
      </c>
    </row>
    <row r="29677">
      <c r="A29677" s="48" t="s">
        <v>5381</v>
      </c>
      <c r="B29677" s="38">
        <v>38049.0</v>
      </c>
      <c r="C29677" s="38" t="s">
        <v>34070</v>
      </c>
      <c r="D29677" s="38" t="str">
        <f>IFERROR(__xludf.DUMMYFUNCTION("REGEXREPLACE(C29677,""-\d+(.*)|--\d+(.*)"","""")"),"BOSSIEU")</f>
        <v>BOSSIEU</v>
      </c>
      <c r="E29677" s="38" t="s">
        <v>101</v>
      </c>
      <c r="F29677" s="38" t="s">
        <v>102</v>
      </c>
      <c r="G29677" s="49" t="str">
        <f t="shared" si="1"/>
        <v>38260</v>
      </c>
      <c r="H29677" s="49">
        <f t="shared" si="2"/>
        <v>38049</v>
      </c>
    </row>
    <row r="29678">
      <c r="A29678" s="48" t="s">
        <v>2487</v>
      </c>
      <c r="B29678" s="38">
        <v>70234.0</v>
      </c>
      <c r="C29678" s="38" t="s">
        <v>12535</v>
      </c>
      <c r="D29678" s="38" t="str">
        <f>IFERROR(__xludf.DUMMYFUNCTION("REGEXREPLACE(C29678,""-\d+(.*)|--\d+(.*)"","""")"),"FILAIN")</f>
        <v>FILAIN</v>
      </c>
      <c r="E29678" s="38" t="s">
        <v>956</v>
      </c>
      <c r="F29678" s="38" t="s">
        <v>214</v>
      </c>
      <c r="G29678" s="49" t="str">
        <f t="shared" si="1"/>
        <v>70230</v>
      </c>
      <c r="H29678" s="49">
        <f t="shared" si="2"/>
        <v>70234</v>
      </c>
    </row>
    <row r="29679">
      <c r="A29679" s="48" t="s">
        <v>2272</v>
      </c>
      <c r="B29679" s="38">
        <v>27084.0</v>
      </c>
      <c r="C29679" s="38" t="s">
        <v>34071</v>
      </c>
      <c r="D29679" s="38" t="str">
        <f>IFERROR(__xludf.DUMMYFUNCTION("REGEXREPLACE(C29679,""-\d+(.*)|--\d+(.*)"","""")"),"BOSC-BENARD-COMMIN")</f>
        <v>BOSC-BENARD-COMMIN</v>
      </c>
      <c r="E29679" s="38" t="s">
        <v>241</v>
      </c>
      <c r="F29679" s="38" t="s">
        <v>134</v>
      </c>
      <c r="G29679" s="49" t="str">
        <f t="shared" si="1"/>
        <v>27520</v>
      </c>
      <c r="H29679" s="49">
        <f t="shared" si="2"/>
        <v>27084</v>
      </c>
    </row>
    <row r="29680">
      <c r="A29680" s="48" t="s">
        <v>5012</v>
      </c>
      <c r="B29680" s="38">
        <v>55567.0</v>
      </c>
      <c r="C29680" s="38" t="s">
        <v>34072</v>
      </c>
      <c r="D29680" s="38" t="str">
        <f>IFERROR(__xludf.DUMMYFUNCTION("REGEXREPLACE(C29680,""-\d+(.*)|--\d+(.*)"","""")"),"VILLE-SUR-COUSANCES")</f>
        <v>VILLE-SUR-COUSANCES</v>
      </c>
      <c r="E29680" s="38" t="s">
        <v>322</v>
      </c>
      <c r="F29680" s="38" t="s">
        <v>195</v>
      </c>
      <c r="G29680" s="49" t="str">
        <f t="shared" si="1"/>
        <v>55120</v>
      </c>
      <c r="H29680" s="49">
        <f t="shared" si="2"/>
        <v>55567</v>
      </c>
    </row>
    <row r="29681">
      <c r="A29681" s="48" t="s">
        <v>9293</v>
      </c>
      <c r="B29681" s="38">
        <v>9314.0</v>
      </c>
      <c r="C29681" s="38" t="s">
        <v>34073</v>
      </c>
      <c r="D29681" s="38" t="str">
        <f>IFERROR(__xludf.DUMMYFUNCTION("REGEXREPLACE(C29681,""-\d+(.*)|--\d+(.*)"","""")"),"TOURTROL")</f>
        <v>TOURTROL</v>
      </c>
      <c r="E29681" s="38" t="s">
        <v>238</v>
      </c>
      <c r="F29681" s="38" t="s">
        <v>94</v>
      </c>
      <c r="G29681" s="49" t="str">
        <f t="shared" si="1"/>
        <v>09500</v>
      </c>
      <c r="H29681" s="49" t="str">
        <f t="shared" si="2"/>
        <v>09314</v>
      </c>
    </row>
    <row r="29682">
      <c r="A29682" s="48" t="s">
        <v>3612</v>
      </c>
      <c r="B29682" s="38">
        <v>60241.0</v>
      </c>
      <c r="C29682" s="38" t="s">
        <v>34074</v>
      </c>
      <c r="D29682" s="38" t="str">
        <f>IFERROR(__xludf.DUMMYFUNCTION("REGEXREPLACE(C29682,""-\d+(.*)|--\d+(.*)"","""")"),"FONTAINE-CHAALIS")</f>
        <v>FONTAINE-CHAALIS</v>
      </c>
      <c r="E29682" s="38" t="s">
        <v>112</v>
      </c>
      <c r="F29682" s="38" t="s">
        <v>113</v>
      </c>
      <c r="G29682" s="49" t="str">
        <f t="shared" si="1"/>
        <v>60300</v>
      </c>
      <c r="H29682" s="49">
        <f t="shared" si="2"/>
        <v>60241</v>
      </c>
    </row>
    <row r="29683">
      <c r="A29683" s="48" t="s">
        <v>14225</v>
      </c>
      <c r="B29683" s="38">
        <v>73328.0</v>
      </c>
      <c r="C29683" s="38" t="s">
        <v>34075</v>
      </c>
      <c r="D29683" s="38" t="str">
        <f>IFERROR(__xludf.DUMMYFUNCTION("REGEXREPLACE(C29683,""-\d+(.*)|--\d+(.*)"","""")"),"VIVIERS-DU-LAC")</f>
        <v>VIVIERS-DU-LAC</v>
      </c>
      <c r="E29683" s="38" t="s">
        <v>306</v>
      </c>
      <c r="F29683" s="38" t="s">
        <v>102</v>
      </c>
      <c r="G29683" s="49" t="str">
        <f t="shared" si="1"/>
        <v>73420</v>
      </c>
      <c r="H29683" s="49">
        <f t="shared" si="2"/>
        <v>73328</v>
      </c>
    </row>
    <row r="29684">
      <c r="A29684" s="48" t="s">
        <v>2400</v>
      </c>
      <c r="B29684" s="38">
        <v>25556.0</v>
      </c>
      <c r="C29684" s="38" t="s">
        <v>34076</v>
      </c>
      <c r="D29684" s="38" t="str">
        <f>IFERROR(__xludf.DUMMYFUNCTION("REGEXREPLACE(C29684,""-\d+(.*)|--\d+(.*)"","""")"),"TALLANS")</f>
        <v>TALLANS</v>
      </c>
      <c r="E29684" s="38" t="s">
        <v>213</v>
      </c>
      <c r="F29684" s="38" t="s">
        <v>214</v>
      </c>
      <c r="G29684" s="49" t="str">
        <f t="shared" si="1"/>
        <v>25680</v>
      </c>
      <c r="H29684" s="49">
        <f t="shared" si="2"/>
        <v>25556</v>
      </c>
    </row>
    <row r="29685">
      <c r="A29685" s="48" t="s">
        <v>22577</v>
      </c>
      <c r="B29685" s="38">
        <v>50416.0</v>
      </c>
      <c r="C29685" s="38" t="s">
        <v>34077</v>
      </c>
      <c r="D29685" s="38" t="str">
        <f>IFERROR(__xludf.DUMMYFUNCTION("REGEXREPLACE(C29685,""-\d+(.*)|--\d+(.*)"","""")"),"QUERQUEVILLE")</f>
        <v>QUERQUEVILLE</v>
      </c>
      <c r="E29685" s="38" t="s">
        <v>157</v>
      </c>
      <c r="F29685" s="38" t="s">
        <v>138</v>
      </c>
      <c r="G29685" s="49" t="str">
        <f t="shared" si="1"/>
        <v>50460</v>
      </c>
      <c r="H29685" s="49">
        <f t="shared" si="2"/>
        <v>50416</v>
      </c>
    </row>
    <row r="29686">
      <c r="A29686" s="48" t="s">
        <v>2549</v>
      </c>
      <c r="B29686" s="38">
        <v>55282.0</v>
      </c>
      <c r="C29686" s="38" t="s">
        <v>34078</v>
      </c>
      <c r="D29686" s="38" t="str">
        <f>IFERROR(__xludf.DUMMYFUNCTION("REGEXREPLACE(C29686,""-\d+(.*)|--\d+(.*)"","""")"),"LAVALLEE")</f>
        <v>LAVALLEE</v>
      </c>
      <c r="E29686" s="38" t="s">
        <v>322</v>
      </c>
      <c r="F29686" s="38" t="s">
        <v>195</v>
      </c>
      <c r="G29686" s="49" t="str">
        <f t="shared" si="1"/>
        <v>55260</v>
      </c>
      <c r="H29686" s="49">
        <f t="shared" si="2"/>
        <v>55282</v>
      </c>
    </row>
    <row r="29687">
      <c r="A29687" s="48" t="s">
        <v>3504</v>
      </c>
      <c r="B29687" s="38">
        <v>42136.0</v>
      </c>
      <c r="C29687" s="38" t="s">
        <v>34079</v>
      </c>
      <c r="D29687" s="38" t="str">
        <f>IFERROR(__xludf.DUMMYFUNCTION("REGEXREPLACE(C29687,""-\d+(.*)|--\d+(.*)"","""")"),"MARCOUX")</f>
        <v>MARCOUX</v>
      </c>
      <c r="E29687" s="38" t="s">
        <v>166</v>
      </c>
      <c r="F29687" s="38" t="s">
        <v>102</v>
      </c>
      <c r="G29687" s="49" t="str">
        <f t="shared" si="1"/>
        <v>42130</v>
      </c>
      <c r="H29687" s="49">
        <f t="shared" si="2"/>
        <v>42136</v>
      </c>
    </row>
    <row r="29688">
      <c r="A29688" s="48" t="s">
        <v>3268</v>
      </c>
      <c r="B29688" s="38">
        <v>82125.0</v>
      </c>
      <c r="C29688" s="38" t="s">
        <v>34080</v>
      </c>
      <c r="D29688" s="38" t="str">
        <f>IFERROR(__xludf.DUMMYFUNCTION("REGEXREPLACE(C29688,""-\d+(.*)|--\d+(.*)"","""")"),"MONTECH")</f>
        <v>MONTECH</v>
      </c>
      <c r="E29688" s="38" t="s">
        <v>570</v>
      </c>
      <c r="F29688" s="38" t="s">
        <v>94</v>
      </c>
      <c r="G29688" s="49" t="str">
        <f t="shared" si="1"/>
        <v>82700</v>
      </c>
      <c r="H29688" s="49">
        <f t="shared" si="2"/>
        <v>82125</v>
      </c>
    </row>
    <row r="29689">
      <c r="A29689" s="48" t="s">
        <v>22807</v>
      </c>
      <c r="B29689" s="38">
        <v>68335.0</v>
      </c>
      <c r="C29689" s="38" t="s">
        <v>34081</v>
      </c>
      <c r="D29689" s="38" t="str">
        <f>IFERROR(__xludf.DUMMYFUNCTION("REGEXREPLACE(C29689,""-\d+(.*)|--\d+(.*)"","""")"),"THANNENKIRCH")</f>
        <v>THANNENKIRCH</v>
      </c>
      <c r="E29689" s="38" t="s">
        <v>150</v>
      </c>
      <c r="F29689" s="38" t="s">
        <v>151</v>
      </c>
      <c r="G29689" s="49" t="str">
        <f t="shared" si="1"/>
        <v>68590</v>
      </c>
      <c r="H29689" s="49">
        <f t="shared" si="2"/>
        <v>68335</v>
      </c>
    </row>
    <row r="29690">
      <c r="A29690" s="48" t="s">
        <v>1264</v>
      </c>
      <c r="B29690" s="38">
        <v>88250.0</v>
      </c>
      <c r="C29690" s="38" t="s">
        <v>34082</v>
      </c>
      <c r="D29690" s="38" t="str">
        <f>IFERROR(__xludf.DUMMYFUNCTION("REGEXREPLACE(C29690,""-\d+(.*)|--\d+(.*)"","""")"),"JARMENIL")</f>
        <v>JARMENIL</v>
      </c>
      <c r="E29690" s="38" t="s">
        <v>194</v>
      </c>
      <c r="F29690" s="38" t="s">
        <v>195</v>
      </c>
      <c r="G29690" s="49" t="str">
        <f t="shared" si="1"/>
        <v>88550</v>
      </c>
      <c r="H29690" s="49">
        <f t="shared" si="2"/>
        <v>88250</v>
      </c>
    </row>
    <row r="29691">
      <c r="A29691" s="48" t="s">
        <v>8302</v>
      </c>
      <c r="B29691" s="38">
        <v>66184.0</v>
      </c>
      <c r="C29691" s="38" t="s">
        <v>3189</v>
      </c>
      <c r="D29691" s="38" t="str">
        <f>IFERROR(__xludf.DUMMYFUNCTION("REGEXREPLACE(C29691,""-\d+(.*)|--\d+(.*)"","""")"),"SAINT-MARTIN")</f>
        <v>SAINT-MARTIN</v>
      </c>
      <c r="E29691" s="38" t="s">
        <v>248</v>
      </c>
      <c r="F29691" s="38" t="s">
        <v>119</v>
      </c>
      <c r="G29691" s="49" t="str">
        <f t="shared" si="1"/>
        <v>66220</v>
      </c>
      <c r="H29691" s="49">
        <f t="shared" si="2"/>
        <v>66184</v>
      </c>
    </row>
    <row r="29692">
      <c r="A29692" s="48" t="s">
        <v>259</v>
      </c>
      <c r="B29692" s="38">
        <v>24379.0</v>
      </c>
      <c r="C29692" s="38" t="s">
        <v>34083</v>
      </c>
      <c r="D29692" s="38" t="str">
        <f>IFERROR(__xludf.DUMMYFUNCTION("REGEXREPLACE(C29692,""-\d+(.*)|--\d+(.*)"","""")"),"SAINT-AVIT-SENIEUR")</f>
        <v>SAINT-AVIT-SENIEUR</v>
      </c>
      <c r="E29692" s="38" t="s">
        <v>261</v>
      </c>
      <c r="F29692" s="38" t="s">
        <v>252</v>
      </c>
      <c r="G29692" s="49" t="str">
        <f t="shared" si="1"/>
        <v>24440</v>
      </c>
      <c r="H29692" s="49">
        <f t="shared" si="2"/>
        <v>24379</v>
      </c>
    </row>
    <row r="29693">
      <c r="A29693" s="48" t="s">
        <v>5594</v>
      </c>
      <c r="B29693" s="38">
        <v>60010.0</v>
      </c>
      <c r="C29693" s="38" t="s">
        <v>34084</v>
      </c>
      <c r="D29693" s="38" t="str">
        <f>IFERROR(__xludf.DUMMYFUNCTION("REGEXREPLACE(C29693,""-\d+(.*)|--\d+(.*)"","""")"),"AMBLAINVILLE")</f>
        <v>AMBLAINVILLE</v>
      </c>
      <c r="E29693" s="38" t="s">
        <v>112</v>
      </c>
      <c r="F29693" s="38" t="s">
        <v>113</v>
      </c>
      <c r="G29693" s="49" t="str">
        <f t="shared" si="1"/>
        <v>60110</v>
      </c>
      <c r="H29693" s="49">
        <f t="shared" si="2"/>
        <v>60010</v>
      </c>
    </row>
    <row r="29694">
      <c r="A29694" s="48" t="s">
        <v>5831</v>
      </c>
      <c r="B29694" s="38">
        <v>5178.0</v>
      </c>
      <c r="C29694" s="38" t="s">
        <v>34085</v>
      </c>
      <c r="D29694" s="38" t="str">
        <f>IFERROR(__xludf.DUMMYFUNCTION("REGEXREPLACE(C29694,""-\d+(.*)|--\d+(.*)"","""")"),"VENTAVON")</f>
        <v>VENTAVON</v>
      </c>
      <c r="E29694" s="38" t="s">
        <v>706</v>
      </c>
      <c r="F29694" s="38" t="s">
        <v>228</v>
      </c>
      <c r="G29694" s="49" t="str">
        <f t="shared" si="1"/>
        <v>05300</v>
      </c>
      <c r="H29694" s="49" t="str">
        <f t="shared" si="2"/>
        <v>05178</v>
      </c>
    </row>
    <row r="29695">
      <c r="A29695" s="48" t="s">
        <v>5905</v>
      </c>
      <c r="B29695" s="38">
        <v>7059.0</v>
      </c>
      <c r="C29695" s="38" t="s">
        <v>34086</v>
      </c>
      <c r="D29695" s="38" t="str">
        <f>IFERROR(__xludf.DUMMYFUNCTION("REGEXREPLACE(C29695,""-\d+(.*)|--\d+(.*)"","""")"),"CHATEAUBOURG")</f>
        <v>CHATEAUBOURG</v>
      </c>
      <c r="E29695" s="38" t="s">
        <v>144</v>
      </c>
      <c r="F29695" s="38" t="s">
        <v>102</v>
      </c>
      <c r="G29695" s="49" t="str">
        <f t="shared" si="1"/>
        <v>07130</v>
      </c>
      <c r="H29695" s="49" t="str">
        <f t="shared" si="2"/>
        <v>07059</v>
      </c>
    </row>
    <row r="29696">
      <c r="A29696" s="48" t="s">
        <v>2128</v>
      </c>
      <c r="B29696" s="38">
        <v>2252.0</v>
      </c>
      <c r="C29696" s="38" t="s">
        <v>34087</v>
      </c>
      <c r="D29696" s="38" t="str">
        <f>IFERROR(__xludf.DUMMYFUNCTION("REGEXREPLACE(C29696,""-\d+(.*)|--\d+(.*)"","""")"),"CUISSY-ET-GENY")</f>
        <v>CUISSY-ET-GENY</v>
      </c>
      <c r="E29696" s="38" t="s">
        <v>191</v>
      </c>
      <c r="F29696" s="38" t="s">
        <v>113</v>
      </c>
      <c r="G29696" s="49" t="str">
        <f t="shared" si="1"/>
        <v>02160</v>
      </c>
      <c r="H29696" s="49" t="str">
        <f t="shared" si="2"/>
        <v>02252</v>
      </c>
    </row>
    <row r="29697">
      <c r="A29697" s="48" t="s">
        <v>2592</v>
      </c>
      <c r="B29697" s="38">
        <v>34241.0</v>
      </c>
      <c r="C29697" s="38" t="s">
        <v>34088</v>
      </c>
      <c r="D29697" s="38" t="str">
        <f>IFERROR(__xludf.DUMMYFUNCTION("REGEXREPLACE(C29697,""-\d+(.*)|--\d+(.*)"","""")"),"SAINT-BAUZILLE-DE-LA-SYLVE")</f>
        <v>SAINT-BAUZILLE-DE-LA-SYLVE</v>
      </c>
      <c r="E29697" s="38" t="s">
        <v>118</v>
      </c>
      <c r="F29697" s="38" t="s">
        <v>119</v>
      </c>
      <c r="G29697" s="49" t="str">
        <f t="shared" si="1"/>
        <v>34230</v>
      </c>
      <c r="H29697" s="49">
        <f t="shared" si="2"/>
        <v>34241</v>
      </c>
    </row>
    <row r="29698">
      <c r="A29698" s="48" t="s">
        <v>2560</v>
      </c>
      <c r="B29698" s="38">
        <v>73098.0</v>
      </c>
      <c r="C29698" s="38" t="s">
        <v>34089</v>
      </c>
      <c r="D29698" s="38" t="str">
        <f>IFERROR(__xludf.DUMMYFUNCTION("REGEXREPLACE(C29698,""-\d+(.*)|--\d+(.*)"","""")"),"LES DESERTS")</f>
        <v>LES DESERTS</v>
      </c>
      <c r="E29698" s="38" t="s">
        <v>306</v>
      </c>
      <c r="F29698" s="38" t="s">
        <v>102</v>
      </c>
      <c r="G29698" s="49" t="str">
        <f t="shared" si="1"/>
        <v>73230</v>
      </c>
      <c r="H29698" s="49">
        <f t="shared" si="2"/>
        <v>73098</v>
      </c>
    </row>
    <row r="29699">
      <c r="A29699" s="48" t="s">
        <v>571</v>
      </c>
      <c r="B29699" s="38">
        <v>55582.0</v>
      </c>
      <c r="C29699" s="38" t="s">
        <v>34090</v>
      </c>
      <c r="D29699" s="38" t="str">
        <f>IFERROR(__xludf.DUMMYFUNCTION("REGEXREPLACE(C29699,""-\d+(.*)|--\d+(.*)"","""")"),"WISEPPE")</f>
        <v>WISEPPE</v>
      </c>
      <c r="E29699" s="38" t="s">
        <v>322</v>
      </c>
      <c r="F29699" s="38" t="s">
        <v>195</v>
      </c>
      <c r="G29699" s="49" t="str">
        <f t="shared" si="1"/>
        <v>55700</v>
      </c>
      <c r="H29699" s="49">
        <f t="shared" si="2"/>
        <v>55582</v>
      </c>
    </row>
    <row r="29700">
      <c r="A29700" s="48" t="s">
        <v>2803</v>
      </c>
      <c r="B29700" s="38">
        <v>80312.0</v>
      </c>
      <c r="C29700" s="38" t="s">
        <v>34091</v>
      </c>
      <c r="D29700" s="38" t="str">
        <f>IFERROR(__xludf.DUMMYFUNCTION("REGEXREPLACE(C29700,""-\d+(.*)|--\d+(.*)"","""")"),"FINS")</f>
        <v>FINS</v>
      </c>
      <c r="E29700" s="38" t="s">
        <v>224</v>
      </c>
      <c r="F29700" s="38" t="s">
        <v>113</v>
      </c>
      <c r="G29700" s="49" t="str">
        <f t="shared" si="1"/>
        <v>80360</v>
      </c>
      <c r="H29700" s="49">
        <f t="shared" si="2"/>
        <v>80312</v>
      </c>
    </row>
    <row r="29701">
      <c r="A29701" s="48" t="s">
        <v>11061</v>
      </c>
      <c r="B29701" s="38">
        <v>16372.0</v>
      </c>
      <c r="C29701" s="38" t="s">
        <v>34092</v>
      </c>
      <c r="D29701" s="38" t="str">
        <f>IFERROR(__xludf.DUMMYFUNCTION("REGEXREPLACE(C29701,""-\d+(.*)|--\d+(.*)"","""")"),"SOUFFRIGNAC")</f>
        <v>SOUFFRIGNAC</v>
      </c>
      <c r="E29701" s="38" t="s">
        <v>429</v>
      </c>
      <c r="F29701" s="38" t="s">
        <v>338</v>
      </c>
      <c r="G29701" s="49" t="str">
        <f t="shared" si="1"/>
        <v>16380</v>
      </c>
      <c r="H29701" s="49">
        <f t="shared" si="2"/>
        <v>16372</v>
      </c>
    </row>
    <row r="29702">
      <c r="A29702" s="48" t="s">
        <v>2519</v>
      </c>
      <c r="B29702" s="38">
        <v>80390.0</v>
      </c>
      <c r="C29702" s="38" t="s">
        <v>34093</v>
      </c>
      <c r="D29702" s="38" t="str">
        <f>IFERROR(__xludf.DUMMYFUNCTION("REGEXREPLACE(C29702,""-\d+(.*)|--\d+(.*)"","""")"),"GRIVESNES")</f>
        <v>GRIVESNES</v>
      </c>
      <c r="E29702" s="38" t="s">
        <v>224</v>
      </c>
      <c r="F29702" s="38" t="s">
        <v>113</v>
      </c>
      <c r="G29702" s="49" t="str">
        <f t="shared" si="1"/>
        <v>80250</v>
      </c>
      <c r="H29702" s="49">
        <f t="shared" si="2"/>
        <v>80390</v>
      </c>
    </row>
    <row r="29703">
      <c r="A29703" s="48" t="s">
        <v>1235</v>
      </c>
      <c r="B29703" s="38">
        <v>80482.0</v>
      </c>
      <c r="C29703" s="38" t="s">
        <v>7366</v>
      </c>
      <c r="D29703" s="38" t="str">
        <f>IFERROR(__xludf.DUMMYFUNCTION("REGEXREPLACE(C29703,""-\d+(.*)|--\d+(.*)"","""")"),"LIMEUX")</f>
        <v>LIMEUX</v>
      </c>
      <c r="E29703" s="38" t="s">
        <v>224</v>
      </c>
      <c r="F29703" s="38" t="s">
        <v>113</v>
      </c>
      <c r="G29703" s="49" t="str">
        <f t="shared" si="1"/>
        <v>80490</v>
      </c>
      <c r="H29703" s="49">
        <f t="shared" si="2"/>
        <v>80482</v>
      </c>
    </row>
    <row r="29704">
      <c r="A29704" s="48" t="s">
        <v>13834</v>
      </c>
      <c r="B29704" s="38">
        <v>36227.0</v>
      </c>
      <c r="C29704" s="38" t="s">
        <v>34094</v>
      </c>
      <c r="D29704" s="38" t="str">
        <f>IFERROR(__xludf.DUMMYFUNCTION("REGEXREPLACE(C29704,""-\d+(.*)|--\d+(.*)"","""")"),"URCIERS")</f>
        <v>URCIERS</v>
      </c>
      <c r="E29704" s="38" t="s">
        <v>258</v>
      </c>
      <c r="F29704" s="38" t="s">
        <v>123</v>
      </c>
      <c r="G29704" s="49" t="str">
        <f t="shared" si="1"/>
        <v>36160</v>
      </c>
      <c r="H29704" s="49">
        <f t="shared" si="2"/>
        <v>36227</v>
      </c>
    </row>
    <row r="29705">
      <c r="A29705" s="48" t="s">
        <v>2600</v>
      </c>
      <c r="B29705" s="38">
        <v>60693.0</v>
      </c>
      <c r="C29705" s="38" t="s">
        <v>34095</v>
      </c>
      <c r="D29705" s="38" t="str">
        <f>IFERROR(__xludf.DUMMYFUNCTION("REGEXREPLACE(C29705,""-\d+(.*)|--\d+(.*)"","""")"),"VILLESELVE")</f>
        <v>VILLESELVE</v>
      </c>
      <c r="E29705" s="38" t="s">
        <v>112</v>
      </c>
      <c r="F29705" s="38" t="s">
        <v>113</v>
      </c>
      <c r="G29705" s="49" t="str">
        <f t="shared" si="1"/>
        <v>60640</v>
      </c>
      <c r="H29705" s="49">
        <f t="shared" si="2"/>
        <v>60693</v>
      </c>
    </row>
    <row r="29706">
      <c r="A29706" s="48" t="s">
        <v>4217</v>
      </c>
      <c r="B29706" s="38">
        <v>7237.0</v>
      </c>
      <c r="C29706" s="38" t="s">
        <v>34096</v>
      </c>
      <c r="D29706" s="38" t="str">
        <f>IFERROR(__xludf.DUMMYFUNCTION("REGEXREPLACE(C29706,""-\d+(.*)|--\d+(.*)"","""")"),"SAINT-FORTUNAT-SUR-EYRIEUX")</f>
        <v>SAINT-FORTUNAT-SUR-EYRIEUX</v>
      </c>
      <c r="E29706" s="38" t="s">
        <v>144</v>
      </c>
      <c r="F29706" s="38" t="s">
        <v>102</v>
      </c>
      <c r="G29706" s="49" t="str">
        <f t="shared" si="1"/>
        <v>07360</v>
      </c>
      <c r="H29706" s="49" t="str">
        <f t="shared" si="2"/>
        <v>07237</v>
      </c>
    </row>
    <row r="29707">
      <c r="A29707" s="48" t="s">
        <v>2406</v>
      </c>
      <c r="B29707" s="38">
        <v>55586.0</v>
      </c>
      <c r="C29707" s="38" t="s">
        <v>34097</v>
      </c>
      <c r="D29707" s="38" t="str">
        <f>IFERROR(__xludf.DUMMYFUNCTION("REGEXREPLACE(C29707,""-\d+(.*)|--\d+(.*)"","""")"),"XIVRAY-ET-MARVOISIN")</f>
        <v>XIVRAY-ET-MARVOISIN</v>
      </c>
      <c r="E29707" s="38" t="s">
        <v>322</v>
      </c>
      <c r="F29707" s="38" t="s">
        <v>195</v>
      </c>
      <c r="G29707" s="49" t="str">
        <f t="shared" si="1"/>
        <v>55300</v>
      </c>
      <c r="H29707" s="49">
        <f t="shared" si="2"/>
        <v>55586</v>
      </c>
    </row>
    <row r="29708">
      <c r="A29708" s="48" t="s">
        <v>4703</v>
      </c>
      <c r="B29708" s="38">
        <v>66074.0</v>
      </c>
      <c r="C29708" s="38" t="s">
        <v>34098</v>
      </c>
      <c r="D29708" s="38" t="str">
        <f>IFERROR(__xludf.DUMMYFUNCTION("REGEXREPLACE(C29708,""-\d+(.*)|--\d+(.*)"","""")"),"EUS")</f>
        <v>EUS</v>
      </c>
      <c r="E29708" s="38" t="s">
        <v>248</v>
      </c>
      <c r="F29708" s="38" t="s">
        <v>119</v>
      </c>
      <c r="G29708" s="49" t="str">
        <f t="shared" si="1"/>
        <v>66500</v>
      </c>
      <c r="H29708" s="49">
        <f t="shared" si="2"/>
        <v>66074</v>
      </c>
    </row>
    <row r="29709">
      <c r="A29709" s="48" t="s">
        <v>10034</v>
      </c>
      <c r="B29709" s="38">
        <v>78653.0</v>
      </c>
      <c r="C29709" s="38" t="s">
        <v>17755</v>
      </c>
      <c r="D29709" s="38" t="str">
        <f>IFERROR(__xludf.DUMMYFUNCTION("REGEXREPLACE(C29709,""-\d+(.*)|--\d+(.*)"","""")"),"VICQ")</f>
        <v>VICQ</v>
      </c>
      <c r="E29709" s="38" t="s">
        <v>362</v>
      </c>
      <c r="F29709" s="38" t="s">
        <v>245</v>
      </c>
      <c r="G29709" s="49" t="str">
        <f t="shared" si="1"/>
        <v>78490</v>
      </c>
      <c r="H29709" s="49">
        <f t="shared" si="2"/>
        <v>78653</v>
      </c>
    </row>
    <row r="29710">
      <c r="A29710" s="48" t="s">
        <v>34099</v>
      </c>
      <c r="B29710" s="38">
        <v>77479.0</v>
      </c>
      <c r="C29710" s="38" t="s">
        <v>34100</v>
      </c>
      <c r="D29710" s="38" t="str">
        <f>IFERROR(__xludf.DUMMYFUNCTION("REGEXREPLACE(C29710,""-\d+(.*)|--\d+(.*)"","""")"),"VAIRES-SUR-MARNE")</f>
        <v>VAIRES-SUR-MARNE</v>
      </c>
      <c r="E29710" s="38" t="s">
        <v>244</v>
      </c>
      <c r="F29710" s="38" t="s">
        <v>245</v>
      </c>
      <c r="G29710" s="49" t="str">
        <f t="shared" si="1"/>
        <v>77360</v>
      </c>
      <c r="H29710" s="49">
        <f t="shared" si="2"/>
        <v>77479</v>
      </c>
    </row>
    <row r="29711">
      <c r="A29711" s="48" t="s">
        <v>3291</v>
      </c>
      <c r="B29711" s="38">
        <v>3158.0</v>
      </c>
      <c r="C29711" s="38" t="s">
        <v>13674</v>
      </c>
      <c r="D29711" s="38" t="str">
        <f>IFERROR(__xludf.DUMMYFUNCTION("REGEXREPLACE(C29711,""-\d+(.*)|--\d+(.*)"","""")"),"MAILLET")</f>
        <v>MAILLET</v>
      </c>
      <c r="E29711" s="38" t="s">
        <v>160</v>
      </c>
      <c r="F29711" s="38" t="s">
        <v>161</v>
      </c>
      <c r="G29711" s="49" t="str">
        <f t="shared" si="1"/>
        <v>03190</v>
      </c>
      <c r="H29711" s="49" t="str">
        <f t="shared" si="2"/>
        <v>03158</v>
      </c>
    </row>
    <row r="29712">
      <c r="A29712" s="48" t="s">
        <v>2563</v>
      </c>
      <c r="B29712" s="38">
        <v>76581.0</v>
      </c>
      <c r="C29712" s="38" t="s">
        <v>34101</v>
      </c>
      <c r="D29712" s="38" t="str">
        <f>IFERROR(__xludf.DUMMYFUNCTION("REGEXREPLACE(C29712,""-\d+(.*)|--\d+(.*)"","""")"),"SAINT-GERMAIN-DES-ESSOURTS")</f>
        <v>SAINT-GERMAIN-DES-ESSOURTS</v>
      </c>
      <c r="E29712" s="38" t="s">
        <v>133</v>
      </c>
      <c r="F29712" s="38" t="s">
        <v>134</v>
      </c>
      <c r="G29712" s="49" t="str">
        <f t="shared" si="1"/>
        <v>76750</v>
      </c>
      <c r="H29712" s="49">
        <f t="shared" si="2"/>
        <v>76581</v>
      </c>
    </row>
    <row r="29713">
      <c r="A29713" s="48" t="s">
        <v>5443</v>
      </c>
      <c r="B29713" s="38">
        <v>76564.0</v>
      </c>
      <c r="C29713" s="38" t="s">
        <v>8457</v>
      </c>
      <c r="D29713" s="38" t="str">
        <f>IFERROR(__xludf.DUMMYFUNCTION("REGEXREPLACE(C29713,""-\d+(.*)|--\d+(.*)"","""")"),"SAINT-AUBIN-SUR-MER")</f>
        <v>SAINT-AUBIN-SUR-MER</v>
      </c>
      <c r="E29713" s="38" t="s">
        <v>133</v>
      </c>
      <c r="F29713" s="38" t="s">
        <v>134</v>
      </c>
      <c r="G29713" s="49" t="str">
        <f t="shared" si="1"/>
        <v>76740</v>
      </c>
      <c r="H29713" s="49">
        <f t="shared" si="2"/>
        <v>76564</v>
      </c>
    </row>
    <row r="29714">
      <c r="A29714" s="48" t="s">
        <v>19293</v>
      </c>
      <c r="B29714" s="38">
        <v>18282.0</v>
      </c>
      <c r="C29714" s="38" t="s">
        <v>34102</v>
      </c>
      <c r="D29714" s="38" t="str">
        <f>IFERROR(__xludf.DUMMYFUNCTION("REGEXREPLACE(C29714,""-\d+(.*)|--\d+(.*)"","""")"),"VILLABON")</f>
        <v>VILLABON</v>
      </c>
      <c r="E29714" s="38" t="s">
        <v>504</v>
      </c>
      <c r="F29714" s="38" t="s">
        <v>123</v>
      </c>
      <c r="G29714" s="49" t="str">
        <f t="shared" si="1"/>
        <v>18800</v>
      </c>
      <c r="H29714" s="49">
        <f t="shared" si="2"/>
        <v>18282</v>
      </c>
    </row>
    <row r="29715">
      <c r="A29715" s="48" t="s">
        <v>1713</v>
      </c>
      <c r="B29715" s="38">
        <v>36185.0</v>
      </c>
      <c r="C29715" s="38" t="s">
        <v>34103</v>
      </c>
      <c r="D29715" s="38" t="str">
        <f>IFERROR(__xludf.DUMMYFUNCTION("REGEXREPLACE(C29715,""-\d+(.*)|--\d+(.*)"","""")"),"SAINT-CHRISTOPHE-EN-BAZELLE")</f>
        <v>SAINT-CHRISTOPHE-EN-BAZELLE</v>
      </c>
      <c r="E29715" s="38" t="s">
        <v>258</v>
      </c>
      <c r="F29715" s="38" t="s">
        <v>123</v>
      </c>
      <c r="G29715" s="49" t="str">
        <f t="shared" si="1"/>
        <v>36210</v>
      </c>
      <c r="H29715" s="49">
        <f t="shared" si="2"/>
        <v>36185</v>
      </c>
    </row>
    <row r="29716">
      <c r="A29716" s="48" t="s">
        <v>12001</v>
      </c>
      <c r="B29716" s="38">
        <v>7231.0</v>
      </c>
      <c r="C29716" s="38" t="s">
        <v>34104</v>
      </c>
      <c r="D29716" s="38" t="str">
        <f>IFERROR(__xludf.DUMMYFUNCTION("REGEXREPLACE(C29716,""-\d+(.*)|--\d+(.*)"","""")"),"SAINT-ETIENNE-DE-FONTBELLON")</f>
        <v>SAINT-ETIENNE-DE-FONTBELLON</v>
      </c>
      <c r="E29716" s="38" t="s">
        <v>144</v>
      </c>
      <c r="F29716" s="38" t="s">
        <v>102</v>
      </c>
      <c r="G29716" s="49" t="str">
        <f t="shared" si="1"/>
        <v>07200</v>
      </c>
      <c r="H29716" s="49" t="str">
        <f t="shared" si="2"/>
        <v>07231</v>
      </c>
    </row>
    <row r="29717">
      <c r="A29717" s="48" t="s">
        <v>34105</v>
      </c>
      <c r="B29717" s="38">
        <v>60482.0</v>
      </c>
      <c r="C29717" s="38" t="s">
        <v>34106</v>
      </c>
      <c r="D29717" s="38" t="str">
        <f>IFERROR(__xludf.DUMMYFUNCTION("REGEXREPLACE(C29717,""-\d+(.*)|--\d+(.*)"","""")"),"ORRY-LA-VILLE")</f>
        <v>ORRY-LA-VILLE</v>
      </c>
      <c r="E29717" s="38" t="s">
        <v>112</v>
      </c>
      <c r="F29717" s="38" t="s">
        <v>113</v>
      </c>
      <c r="G29717" s="49" t="str">
        <f t="shared" si="1"/>
        <v>60560</v>
      </c>
      <c r="H29717" s="49">
        <f t="shared" si="2"/>
        <v>60482</v>
      </c>
    </row>
    <row r="29718">
      <c r="A29718" s="48" t="s">
        <v>425</v>
      </c>
      <c r="B29718" s="38">
        <v>88266.0</v>
      </c>
      <c r="C29718" s="38" t="s">
        <v>34107</v>
      </c>
      <c r="D29718" s="38" t="str">
        <f>IFERROR(__xludf.DUMMYFUNCTION("REGEXREPLACE(C29718,""-\d+(.*)|--\d+(.*)"","""")"),"LEPANGES-SUR-VOLOGNE")</f>
        <v>LEPANGES-SUR-VOLOGNE</v>
      </c>
      <c r="E29718" s="38" t="s">
        <v>194</v>
      </c>
      <c r="F29718" s="38" t="s">
        <v>195</v>
      </c>
      <c r="G29718" s="49" t="str">
        <f t="shared" si="1"/>
        <v>88600</v>
      </c>
      <c r="H29718" s="49">
        <f t="shared" si="2"/>
        <v>88266</v>
      </c>
    </row>
    <row r="29719">
      <c r="A29719" s="48" t="s">
        <v>9193</v>
      </c>
      <c r="B29719" s="38">
        <v>62847.0</v>
      </c>
      <c r="C29719" s="38" t="s">
        <v>34108</v>
      </c>
      <c r="D29719" s="38" t="str">
        <f>IFERROR(__xludf.DUMMYFUNCTION("REGEXREPLACE(C29719,""-\d+(.*)|--\d+(.*)"","""")"),"VERQUIGNEUL")</f>
        <v>VERQUIGNEUL</v>
      </c>
      <c r="E29719" s="38" t="s">
        <v>109</v>
      </c>
      <c r="F29719" s="38" t="s">
        <v>86</v>
      </c>
      <c r="G29719" s="49" t="str">
        <f t="shared" si="1"/>
        <v>62113</v>
      </c>
      <c r="H29719" s="49">
        <f t="shared" si="2"/>
        <v>62847</v>
      </c>
    </row>
    <row r="29720">
      <c r="A29720" s="48" t="s">
        <v>34109</v>
      </c>
      <c r="B29720" s="38">
        <v>95394.0</v>
      </c>
      <c r="C29720" s="38" t="s">
        <v>34110</v>
      </c>
      <c r="D29720" s="38" t="str">
        <f>IFERROR(__xludf.DUMMYFUNCTION("REGEXREPLACE(C29720,""-\d+(.*)|--\d+(.*)"","""")"),"MERY-SUR-OISE")</f>
        <v>MERY-SUR-OISE</v>
      </c>
      <c r="E29720" s="38" t="s">
        <v>541</v>
      </c>
      <c r="F29720" s="38" t="s">
        <v>245</v>
      </c>
      <c r="G29720" s="49" t="str">
        <f t="shared" si="1"/>
        <v>95540</v>
      </c>
      <c r="H29720" s="49">
        <f t="shared" si="2"/>
        <v>95394</v>
      </c>
    </row>
    <row r="29721">
      <c r="A29721" s="48" t="s">
        <v>2251</v>
      </c>
      <c r="B29721" s="38">
        <v>2374.0</v>
      </c>
      <c r="C29721" s="38" t="s">
        <v>34111</v>
      </c>
      <c r="D29721" s="38" t="str">
        <f>IFERROR(__xludf.DUMMYFUNCTION("REGEXREPLACE(C29721,""-\d+(.*)|--\d+(.*)"","""")"),"LEHAUCOURT")</f>
        <v>LEHAUCOURT</v>
      </c>
      <c r="E29721" s="38" t="s">
        <v>191</v>
      </c>
      <c r="F29721" s="38" t="s">
        <v>113</v>
      </c>
      <c r="G29721" s="49" t="str">
        <f t="shared" si="1"/>
        <v>02420</v>
      </c>
      <c r="H29721" s="49" t="str">
        <f t="shared" si="2"/>
        <v>02374</v>
      </c>
    </row>
    <row r="29722">
      <c r="A29722" s="48" t="s">
        <v>296</v>
      </c>
      <c r="B29722" s="38">
        <v>41159.0</v>
      </c>
      <c r="C29722" s="38" t="s">
        <v>34112</v>
      </c>
      <c r="D29722" s="38" t="str">
        <f>IFERROR(__xludf.DUMMYFUNCTION("REGEXREPLACE(C29722,""-\d+(.*)|--\d+(.*)"","""")"),"NEUNG-SUR-BEUVRON")</f>
        <v>NEUNG-SUR-BEUVRON</v>
      </c>
      <c r="E29722" s="38" t="s">
        <v>188</v>
      </c>
      <c r="F29722" s="38" t="s">
        <v>123</v>
      </c>
      <c r="G29722" s="49" t="str">
        <f t="shared" si="1"/>
        <v>41210</v>
      </c>
      <c r="H29722" s="49">
        <f t="shared" si="2"/>
        <v>41159</v>
      </c>
    </row>
    <row r="29723">
      <c r="A29723" s="48" t="s">
        <v>4898</v>
      </c>
      <c r="B29723" s="38">
        <v>27175.0</v>
      </c>
      <c r="C29723" s="38" t="s">
        <v>34113</v>
      </c>
      <c r="D29723" s="38" t="str">
        <f>IFERROR(__xludf.DUMMYFUNCTION("REGEXREPLACE(C29723,""-\d+(.*)|--\d+(.*)"","""")"),"CORNY")</f>
        <v>CORNY</v>
      </c>
      <c r="E29723" s="38" t="s">
        <v>241</v>
      </c>
      <c r="F29723" s="38" t="s">
        <v>134</v>
      </c>
      <c r="G29723" s="49" t="str">
        <f t="shared" si="1"/>
        <v>27700</v>
      </c>
      <c r="H29723" s="49">
        <f t="shared" si="2"/>
        <v>27175</v>
      </c>
    </row>
    <row r="29724">
      <c r="A29724" s="48" t="s">
        <v>8167</v>
      </c>
      <c r="B29724" s="38">
        <v>41143.0</v>
      </c>
      <c r="C29724" s="38" t="s">
        <v>34114</v>
      </c>
      <c r="D29724" s="38" t="str">
        <f>IFERROR(__xludf.DUMMYFUNCTION("REGEXREPLACE(C29724,""-\d+(.*)|--\d+(.*)"","""")"),"MONDOUBLEAU")</f>
        <v>MONDOUBLEAU</v>
      </c>
      <c r="E29724" s="38" t="s">
        <v>188</v>
      </c>
      <c r="F29724" s="38" t="s">
        <v>123</v>
      </c>
      <c r="G29724" s="49" t="str">
        <f t="shared" si="1"/>
        <v>41170</v>
      </c>
      <c r="H29724" s="49">
        <f t="shared" si="2"/>
        <v>41143</v>
      </c>
    </row>
    <row r="29725">
      <c r="A29725" s="48" t="s">
        <v>11770</v>
      </c>
      <c r="B29725" s="38">
        <v>74128.0</v>
      </c>
      <c r="C29725" s="38" t="s">
        <v>34115</v>
      </c>
      <c r="D29725" s="38" t="str">
        <f>IFERROR(__xludf.DUMMYFUNCTION("REGEXREPLACE(C29725,""-\d+(.*)|--\d+(.*)"","""")"),"FILLINGES")</f>
        <v>FILLINGES</v>
      </c>
      <c r="E29725" s="38" t="s">
        <v>319</v>
      </c>
      <c r="F29725" s="38" t="s">
        <v>102</v>
      </c>
      <c r="G29725" s="49" t="str">
        <f t="shared" si="1"/>
        <v>74250</v>
      </c>
      <c r="H29725" s="49">
        <f t="shared" si="2"/>
        <v>74128</v>
      </c>
    </row>
    <row r="29726">
      <c r="A29726" s="48" t="s">
        <v>34116</v>
      </c>
      <c r="B29726" s="38">
        <v>84118.0</v>
      </c>
      <c r="C29726" s="38" t="s">
        <v>34117</v>
      </c>
      <c r="D29726" s="38" t="str">
        <f>IFERROR(__xludf.DUMMYFUNCTION("REGEXREPLACE(C29726,""-\d+(.*)|--\d+(.*)"","""")"),"SAINT-SATURNIN-LES-APT")</f>
        <v>SAINT-SATURNIN-LES-APT</v>
      </c>
      <c r="E29726" s="38" t="s">
        <v>1026</v>
      </c>
      <c r="F29726" s="38" t="s">
        <v>228</v>
      </c>
      <c r="G29726" s="49" t="str">
        <f t="shared" si="1"/>
        <v>84490</v>
      </c>
      <c r="H29726" s="49">
        <f t="shared" si="2"/>
        <v>84118</v>
      </c>
    </row>
    <row r="29727">
      <c r="A29727" s="48" t="s">
        <v>8738</v>
      </c>
      <c r="B29727" s="38">
        <v>56084.0</v>
      </c>
      <c r="C29727" s="38" t="s">
        <v>34118</v>
      </c>
      <c r="D29727" s="38" t="str">
        <f>IFERROR(__xludf.DUMMYFUNCTION("REGEXREPLACE(C29727,""-\d+(.*)|--\d+(.*)"","""")"),"LE HEZO")</f>
        <v>LE HEZO</v>
      </c>
      <c r="E29727" s="38" t="s">
        <v>173</v>
      </c>
      <c r="F29727" s="38" t="s">
        <v>90</v>
      </c>
      <c r="G29727" s="49" t="str">
        <f t="shared" si="1"/>
        <v>56450</v>
      </c>
      <c r="H29727" s="49">
        <f t="shared" si="2"/>
        <v>56084</v>
      </c>
    </row>
    <row r="29728">
      <c r="A29728" s="48" t="s">
        <v>18553</v>
      </c>
      <c r="B29728" s="38">
        <v>57704.0</v>
      </c>
      <c r="C29728" s="38" t="s">
        <v>34119</v>
      </c>
      <c r="D29728" s="38" t="str">
        <f>IFERROR(__xludf.DUMMYFUNCTION("REGEXREPLACE(C29728,""-\d+(.*)|--\d+(.*)"","""")"),"VECKRING")</f>
        <v>VECKRING</v>
      </c>
      <c r="E29728" s="38" t="s">
        <v>303</v>
      </c>
      <c r="F29728" s="38" t="s">
        <v>195</v>
      </c>
      <c r="G29728" s="49" t="str">
        <f t="shared" si="1"/>
        <v>57920</v>
      </c>
      <c r="H29728" s="49">
        <f t="shared" si="2"/>
        <v>57704</v>
      </c>
    </row>
    <row r="29729">
      <c r="A29729" s="48" t="s">
        <v>14636</v>
      </c>
      <c r="B29729" s="38">
        <v>38401.0</v>
      </c>
      <c r="C29729" s="38" t="s">
        <v>34120</v>
      </c>
      <c r="D29729" s="38" t="str">
        <f>IFERROR(__xludf.DUMMYFUNCTION("REGEXREPLACE(C29729,""-\d+(.*)|--\d+(.*)"","""")"),"SAINT-JEAN-DE-SOUDAIN")</f>
        <v>SAINT-JEAN-DE-SOUDAIN</v>
      </c>
      <c r="E29729" s="38" t="s">
        <v>101</v>
      </c>
      <c r="F29729" s="38" t="s">
        <v>102</v>
      </c>
      <c r="G29729" s="49" t="str">
        <f t="shared" si="1"/>
        <v>38110</v>
      </c>
      <c r="H29729" s="49">
        <f t="shared" si="2"/>
        <v>38401</v>
      </c>
    </row>
    <row r="29730">
      <c r="A29730" s="48" t="s">
        <v>1330</v>
      </c>
      <c r="B29730" s="38">
        <v>6091.0</v>
      </c>
      <c r="C29730" s="38" t="s">
        <v>34121</v>
      </c>
      <c r="D29730" s="38" t="str">
        <f>IFERROR(__xludf.DUMMYFUNCTION("REGEXREPLACE(C29730,""-\d+(.*)|--\d+(.*)"","""")"),"PEILLE")</f>
        <v>PEILLE</v>
      </c>
      <c r="E29730" s="38" t="s">
        <v>227</v>
      </c>
      <c r="F29730" s="38" t="s">
        <v>228</v>
      </c>
      <c r="G29730" s="49" t="str">
        <f t="shared" si="1"/>
        <v>06440</v>
      </c>
      <c r="H29730" s="49" t="str">
        <f t="shared" si="2"/>
        <v>06091</v>
      </c>
    </row>
    <row r="29731">
      <c r="A29731" s="48" t="s">
        <v>2730</v>
      </c>
      <c r="B29731" s="38">
        <v>22137.0</v>
      </c>
      <c r="C29731" s="38" t="s">
        <v>34122</v>
      </c>
      <c r="D29731" s="38" t="str">
        <f>IFERROR(__xludf.DUMMYFUNCTION("REGEXREPLACE(C29731,""-\d+(.*)|--\d+(.*)"","""")"),"MAEL-CARHAIX")</f>
        <v>MAEL-CARHAIX</v>
      </c>
      <c r="E29731" s="38" t="s">
        <v>89</v>
      </c>
      <c r="F29731" s="38" t="s">
        <v>90</v>
      </c>
      <c r="G29731" s="49" t="str">
        <f t="shared" si="1"/>
        <v>22340</v>
      </c>
      <c r="H29731" s="49">
        <f t="shared" si="2"/>
        <v>22137</v>
      </c>
    </row>
    <row r="29732">
      <c r="A29732" s="48" t="s">
        <v>34123</v>
      </c>
      <c r="B29732" s="38">
        <v>27229.0</v>
      </c>
      <c r="C29732" s="38" t="s">
        <v>34124</v>
      </c>
      <c r="D29732" s="38" t="str">
        <f>IFERROR(__xludf.DUMMYFUNCTION("REGEXREPLACE(C29732,""-\d+(.*)|--\d+(.*)"","""")"),"EVREUX")</f>
        <v>EVREUX</v>
      </c>
      <c r="E29732" s="38" t="s">
        <v>241</v>
      </c>
      <c r="F29732" s="38" t="s">
        <v>134</v>
      </c>
      <c r="G29732" s="49" t="str">
        <f t="shared" si="1"/>
        <v>27000</v>
      </c>
      <c r="H29732" s="49">
        <f t="shared" si="2"/>
        <v>27229</v>
      </c>
    </row>
    <row r="29733">
      <c r="A29733" s="48" t="s">
        <v>7680</v>
      </c>
      <c r="B29733" s="38">
        <v>71364.0</v>
      </c>
      <c r="C29733" s="38" t="s">
        <v>34125</v>
      </c>
      <c r="D29733" s="38" t="str">
        <f>IFERROR(__xludf.DUMMYFUNCTION("REGEXREPLACE(C29733,""-\d+(.*)|--\d+(.*)"","""")"),"LA RACINEUSE")</f>
        <v>LA RACINEUSE</v>
      </c>
      <c r="E29733" s="38" t="s">
        <v>344</v>
      </c>
      <c r="F29733" s="38" t="s">
        <v>106</v>
      </c>
      <c r="G29733" s="49" t="str">
        <f t="shared" si="1"/>
        <v>71310</v>
      </c>
      <c r="H29733" s="49">
        <f t="shared" si="2"/>
        <v>71364</v>
      </c>
    </row>
    <row r="29734">
      <c r="A29734" s="48" t="s">
        <v>480</v>
      </c>
      <c r="B29734" s="38">
        <v>3035.0</v>
      </c>
      <c r="C29734" s="38" t="s">
        <v>34126</v>
      </c>
      <c r="D29734" s="38" t="str">
        <f>IFERROR(__xludf.DUMMYFUNCTION("REGEXREPLACE(C29734,""-\d+(.*)|--\d+(.*)"","""")"),"LE BOUCHAUD")</f>
        <v>LE BOUCHAUD</v>
      </c>
      <c r="E29734" s="38" t="s">
        <v>160</v>
      </c>
      <c r="F29734" s="38" t="s">
        <v>161</v>
      </c>
      <c r="G29734" s="49" t="str">
        <f t="shared" si="1"/>
        <v>03130</v>
      </c>
      <c r="H29734" s="49" t="str">
        <f t="shared" si="2"/>
        <v>03035</v>
      </c>
    </row>
    <row r="29735">
      <c r="A29735" s="48" t="s">
        <v>6552</v>
      </c>
      <c r="B29735" s="38">
        <v>54265.0</v>
      </c>
      <c r="C29735" s="38" t="s">
        <v>34127</v>
      </c>
      <c r="D29735" s="38" t="str">
        <f>IFERROR(__xludf.DUMMYFUNCTION("REGEXREPLACE(C29735,""-\d+(.*)|--\d+(.*)"","""")"),"HOUDEMONT")</f>
        <v>HOUDEMONT</v>
      </c>
      <c r="E29735" s="38" t="s">
        <v>548</v>
      </c>
      <c r="F29735" s="38" t="s">
        <v>195</v>
      </c>
      <c r="G29735" s="49" t="str">
        <f t="shared" si="1"/>
        <v>54180</v>
      </c>
      <c r="H29735" s="49">
        <f t="shared" si="2"/>
        <v>54265</v>
      </c>
    </row>
    <row r="29736">
      <c r="A29736" s="48" t="s">
        <v>1091</v>
      </c>
      <c r="B29736" s="38">
        <v>57563.0</v>
      </c>
      <c r="C29736" s="38" t="s">
        <v>34128</v>
      </c>
      <c r="D29736" s="38" t="str">
        <f>IFERROR(__xludf.DUMMYFUNCTION("REGEXREPLACE(C29736,""-\d+(.*)|--\d+(.*)"","""")"),"RAVILLE")</f>
        <v>RAVILLE</v>
      </c>
      <c r="E29736" s="38" t="s">
        <v>303</v>
      </c>
      <c r="F29736" s="38" t="s">
        <v>195</v>
      </c>
      <c r="G29736" s="49" t="str">
        <f t="shared" si="1"/>
        <v>57530</v>
      </c>
      <c r="H29736" s="49">
        <f t="shared" si="2"/>
        <v>57563</v>
      </c>
    </row>
    <row r="29737">
      <c r="A29737" s="48" t="s">
        <v>1592</v>
      </c>
      <c r="B29737" s="38">
        <v>40104.0</v>
      </c>
      <c r="C29737" s="38" t="s">
        <v>34129</v>
      </c>
      <c r="D29737" s="38" t="str">
        <f>IFERROR(__xludf.DUMMYFUNCTION("REGEXREPLACE(C29737,""-\d+(.*)|--\d+(.*)"","""")"),"GAMARDE-LES-BAINS")</f>
        <v>GAMARDE-LES-BAINS</v>
      </c>
      <c r="E29737" s="38" t="s">
        <v>281</v>
      </c>
      <c r="F29737" s="38" t="s">
        <v>252</v>
      </c>
      <c r="G29737" s="49" t="str">
        <f t="shared" si="1"/>
        <v>40380</v>
      </c>
      <c r="H29737" s="49">
        <f t="shared" si="2"/>
        <v>40104</v>
      </c>
    </row>
    <row r="29738">
      <c r="A29738" s="48" t="s">
        <v>2761</v>
      </c>
      <c r="B29738" s="38">
        <v>7100.0</v>
      </c>
      <c r="C29738" s="38" t="s">
        <v>34130</v>
      </c>
      <c r="D29738" s="38" t="str">
        <f>IFERROR(__xludf.DUMMYFUNCTION("REGEXREPLACE(C29738,""-\d+(.*)|--\d+(.*)"","""")"),"GRAVIERES")</f>
        <v>GRAVIERES</v>
      </c>
      <c r="E29738" s="38" t="s">
        <v>144</v>
      </c>
      <c r="F29738" s="38" t="s">
        <v>102</v>
      </c>
      <c r="G29738" s="49" t="str">
        <f t="shared" si="1"/>
        <v>07140</v>
      </c>
      <c r="H29738" s="49" t="str">
        <f t="shared" si="2"/>
        <v>07100</v>
      </c>
    </row>
    <row r="29739">
      <c r="A29739" s="48" t="s">
        <v>11808</v>
      </c>
      <c r="B29739" s="38">
        <v>89048.0</v>
      </c>
      <c r="C29739" s="38" t="s">
        <v>34131</v>
      </c>
      <c r="D29739" s="38" t="str">
        <f>IFERROR(__xludf.DUMMYFUNCTION("REGEXREPLACE(C29739,""-\d+(.*)|--\d+(.*)"","""")"),"BOEURS-EN-OTHE")</f>
        <v>BOEURS-EN-OTHE</v>
      </c>
      <c r="E29739" s="38" t="s">
        <v>275</v>
      </c>
      <c r="F29739" s="38" t="s">
        <v>106</v>
      </c>
      <c r="G29739" s="49" t="str">
        <f t="shared" si="1"/>
        <v>89770</v>
      </c>
      <c r="H29739" s="49">
        <f t="shared" si="2"/>
        <v>89048</v>
      </c>
    </row>
    <row r="29740">
      <c r="A29740" s="48" t="s">
        <v>3102</v>
      </c>
      <c r="B29740" s="38">
        <v>55114.0</v>
      </c>
      <c r="C29740" s="38" t="s">
        <v>34132</v>
      </c>
      <c r="D29740" s="38" t="str">
        <f>IFERROR(__xludf.DUMMYFUNCTION("REGEXREPLACE(C29740,""-\d+(.*)|--\d+(.*)"","""")"),"CHONVILLE-MALAUMONT")</f>
        <v>CHONVILLE-MALAUMONT</v>
      </c>
      <c r="E29740" s="38" t="s">
        <v>322</v>
      </c>
      <c r="F29740" s="38" t="s">
        <v>195</v>
      </c>
      <c r="G29740" s="49" t="str">
        <f t="shared" si="1"/>
        <v>55200</v>
      </c>
      <c r="H29740" s="49">
        <f t="shared" si="2"/>
        <v>55114</v>
      </c>
    </row>
    <row r="29741">
      <c r="A29741" s="48" t="s">
        <v>5212</v>
      </c>
      <c r="B29741" s="38">
        <v>41004.0</v>
      </c>
      <c r="C29741" s="38" t="s">
        <v>34133</v>
      </c>
      <c r="D29741" s="38" t="str">
        <f>IFERROR(__xludf.DUMMYFUNCTION("REGEXREPLACE(C29741,""-\d+(.*)|--\d+(.*)"","""")"),"ARTINS")</f>
        <v>ARTINS</v>
      </c>
      <c r="E29741" s="38" t="s">
        <v>188</v>
      </c>
      <c r="F29741" s="38" t="s">
        <v>123</v>
      </c>
      <c r="G29741" s="49" t="str">
        <f t="shared" si="1"/>
        <v>41800</v>
      </c>
      <c r="H29741" s="49">
        <f t="shared" si="2"/>
        <v>41004</v>
      </c>
    </row>
    <row r="29742">
      <c r="A29742" s="48" t="s">
        <v>972</v>
      </c>
      <c r="B29742" s="38">
        <v>37216.0</v>
      </c>
      <c r="C29742" s="38" t="s">
        <v>34134</v>
      </c>
      <c r="D29742" s="38" t="str">
        <f>IFERROR(__xludf.DUMMYFUNCTION("REGEXREPLACE(C29742,""-\d+(.*)|--\d+(.*)"","""")"),"SAINT-EPAIN")</f>
        <v>SAINT-EPAIN</v>
      </c>
      <c r="E29742" s="38" t="s">
        <v>205</v>
      </c>
      <c r="F29742" s="38" t="s">
        <v>123</v>
      </c>
      <c r="G29742" s="49" t="str">
        <f t="shared" si="1"/>
        <v>37800</v>
      </c>
      <c r="H29742" s="49">
        <f t="shared" si="2"/>
        <v>37216</v>
      </c>
    </row>
    <row r="29743">
      <c r="A29743" s="48" t="s">
        <v>9752</v>
      </c>
      <c r="B29743" s="38">
        <v>45327.0</v>
      </c>
      <c r="C29743" s="38" t="s">
        <v>34135</v>
      </c>
      <c r="D29743" s="38" t="str">
        <f>IFERROR(__xludf.DUMMYFUNCTION("REGEXREPLACE(C29743,""-\d+(.*)|--\d+(.*)"","""")"),"TRAINOU")</f>
        <v>TRAINOU</v>
      </c>
      <c r="E29743" s="38" t="s">
        <v>122</v>
      </c>
      <c r="F29743" s="38" t="s">
        <v>123</v>
      </c>
      <c r="G29743" s="49" t="str">
        <f t="shared" si="1"/>
        <v>45470</v>
      </c>
      <c r="H29743" s="49">
        <f t="shared" si="2"/>
        <v>45327</v>
      </c>
    </row>
    <row r="29744">
      <c r="A29744" s="48" t="s">
        <v>8103</v>
      </c>
      <c r="B29744" s="38">
        <v>55507.0</v>
      </c>
      <c r="C29744" s="38" t="s">
        <v>34136</v>
      </c>
      <c r="D29744" s="38" t="str">
        <f>IFERROR(__xludf.DUMMYFUNCTION("REGEXREPLACE(C29744,""-\d+(.*)|--\d+(.*)"","""")"),"THILLOT")</f>
        <v>THILLOT</v>
      </c>
      <c r="E29744" s="38" t="s">
        <v>322</v>
      </c>
      <c r="F29744" s="38" t="s">
        <v>195</v>
      </c>
      <c r="G29744" s="49" t="str">
        <f t="shared" si="1"/>
        <v>55210</v>
      </c>
      <c r="H29744" s="49">
        <f t="shared" si="2"/>
        <v>55507</v>
      </c>
    </row>
    <row r="29745">
      <c r="A29745" s="48" t="s">
        <v>3061</v>
      </c>
      <c r="B29745" s="38">
        <v>71590.0</v>
      </c>
      <c r="C29745" s="38" t="s">
        <v>34137</v>
      </c>
      <c r="D29745" s="38" t="str">
        <f>IFERROR(__xludf.DUMMYFUNCTION("REGEXREPLACE(C29745,""-\d+(.*)|--\d+(.*)"","""")"),"VOLESVRES")</f>
        <v>VOLESVRES</v>
      </c>
      <c r="E29745" s="38" t="s">
        <v>344</v>
      </c>
      <c r="F29745" s="38" t="s">
        <v>106</v>
      </c>
      <c r="G29745" s="49" t="str">
        <f t="shared" si="1"/>
        <v>71600</v>
      </c>
      <c r="H29745" s="49">
        <f t="shared" si="2"/>
        <v>71590</v>
      </c>
    </row>
    <row r="29746">
      <c r="A29746" s="48" t="s">
        <v>23069</v>
      </c>
      <c r="B29746" s="38">
        <v>19107.0</v>
      </c>
      <c r="C29746" s="38" t="s">
        <v>31589</v>
      </c>
      <c r="D29746" s="38" t="str">
        <f>IFERROR(__xludf.DUMMYFUNCTION("REGEXREPLACE(C29746,""-\d+(.*)|--\d+(.*)"","""")"),"LARCHE")</f>
        <v>LARCHE</v>
      </c>
      <c r="E29746" s="38" t="s">
        <v>271</v>
      </c>
      <c r="F29746" s="38" t="s">
        <v>98</v>
      </c>
      <c r="G29746" s="49" t="str">
        <f t="shared" si="1"/>
        <v>19600</v>
      </c>
      <c r="H29746" s="49">
        <f t="shared" si="2"/>
        <v>19107</v>
      </c>
    </row>
    <row r="29747">
      <c r="A29747" s="48" t="s">
        <v>765</v>
      </c>
      <c r="B29747" s="38">
        <v>89014.0</v>
      </c>
      <c r="C29747" s="38" t="s">
        <v>34138</v>
      </c>
      <c r="D29747" s="38" t="str">
        <f>IFERROR(__xludf.DUMMYFUNCTION("REGEXREPLACE(C29747,""-\d+(.*)|--\d+(.*)"","""")"),"ARCES-DILO")</f>
        <v>ARCES-DILO</v>
      </c>
      <c r="E29747" s="38" t="s">
        <v>275</v>
      </c>
      <c r="F29747" s="38" t="s">
        <v>106</v>
      </c>
      <c r="G29747" s="49" t="str">
        <f t="shared" si="1"/>
        <v>89320</v>
      </c>
      <c r="H29747" s="49">
        <f t="shared" si="2"/>
        <v>89014</v>
      </c>
    </row>
    <row r="29748">
      <c r="A29748" s="48" t="s">
        <v>2310</v>
      </c>
      <c r="B29748" s="38">
        <v>60579.0</v>
      </c>
      <c r="C29748" s="38" t="s">
        <v>11044</v>
      </c>
      <c r="D29748" s="38" t="str">
        <f>IFERROR(__xludf.DUMMYFUNCTION("REGEXREPLACE(C29748,""-\d+(.*)|--\d+(.*)"","""")"),"SAINT-JEAN-AUX-BOIS")</f>
        <v>SAINT-JEAN-AUX-BOIS</v>
      </c>
      <c r="E29748" s="38" t="s">
        <v>112</v>
      </c>
      <c r="F29748" s="38" t="s">
        <v>113</v>
      </c>
      <c r="G29748" s="49" t="str">
        <f t="shared" si="1"/>
        <v>60350</v>
      </c>
      <c r="H29748" s="49">
        <f t="shared" si="2"/>
        <v>60579</v>
      </c>
    </row>
    <row r="29749">
      <c r="A29749" s="48" t="s">
        <v>3127</v>
      </c>
      <c r="B29749" s="38">
        <v>70380.0</v>
      </c>
      <c r="C29749" s="38" t="s">
        <v>34139</v>
      </c>
      <c r="D29749" s="38" t="str">
        <f>IFERROR(__xludf.DUMMYFUNCTION("REGEXREPLACE(C29749,""-\d+(.*)|--\d+(.*)"","""")"),"NEUREY-EN-VAUX")</f>
        <v>NEUREY-EN-VAUX</v>
      </c>
      <c r="E29749" s="38" t="s">
        <v>956</v>
      </c>
      <c r="F29749" s="38" t="s">
        <v>214</v>
      </c>
      <c r="G29749" s="49" t="str">
        <f t="shared" si="1"/>
        <v>70160</v>
      </c>
      <c r="H29749" s="49">
        <f t="shared" si="2"/>
        <v>70380</v>
      </c>
    </row>
    <row r="29750">
      <c r="A29750" s="48" t="s">
        <v>1114</v>
      </c>
      <c r="B29750" s="38">
        <v>2140.0</v>
      </c>
      <c r="C29750" s="38" t="s">
        <v>34140</v>
      </c>
      <c r="D29750" s="38" t="str">
        <f>IFERROR(__xludf.DUMMYFUNCTION("REGEXREPLACE(C29750,""-\d+(.*)|--\d+(.*)"","""")"),"CAMELIN")</f>
        <v>CAMELIN</v>
      </c>
      <c r="E29750" s="38" t="s">
        <v>191</v>
      </c>
      <c r="F29750" s="38" t="s">
        <v>113</v>
      </c>
      <c r="G29750" s="49" t="str">
        <f t="shared" si="1"/>
        <v>02300</v>
      </c>
      <c r="H29750" s="49" t="str">
        <f t="shared" si="2"/>
        <v>02140</v>
      </c>
    </row>
    <row r="29751">
      <c r="A29751" s="48" t="s">
        <v>4877</v>
      </c>
      <c r="B29751" s="38">
        <v>61157.0</v>
      </c>
      <c r="C29751" s="38" t="s">
        <v>34141</v>
      </c>
      <c r="D29751" s="38" t="str">
        <f>IFERROR(__xludf.DUMMYFUNCTION("REGEXREPLACE(C29751,""-\d+(.*)|--\d+(.*)"","""")"),"EXMES")</f>
        <v>EXMES</v>
      </c>
      <c r="E29751" s="38" t="s">
        <v>141</v>
      </c>
      <c r="F29751" s="38" t="s">
        <v>138</v>
      </c>
      <c r="G29751" s="49" t="str">
        <f t="shared" si="1"/>
        <v>61310</v>
      </c>
      <c r="H29751" s="49">
        <f t="shared" si="2"/>
        <v>61157</v>
      </c>
    </row>
    <row r="29752">
      <c r="A29752" s="48" t="s">
        <v>34142</v>
      </c>
      <c r="B29752" s="38">
        <v>90087.0</v>
      </c>
      <c r="C29752" s="38" t="s">
        <v>34143</v>
      </c>
      <c r="D29752" s="38" t="str">
        <f>IFERROR(__xludf.DUMMYFUNCTION("REGEXREPLACE(C29752,""-\d+(.*)|--\d+(.*)"","""")"),"ROPPE")</f>
        <v>ROPPE</v>
      </c>
      <c r="E29752" s="38" t="s">
        <v>1283</v>
      </c>
      <c r="F29752" s="38" t="s">
        <v>214</v>
      </c>
      <c r="G29752" s="49" t="str">
        <f t="shared" si="1"/>
        <v>90380</v>
      </c>
      <c r="H29752" s="49">
        <f t="shared" si="2"/>
        <v>90087</v>
      </c>
    </row>
    <row r="29753">
      <c r="A29753" s="48" t="s">
        <v>8806</v>
      </c>
      <c r="B29753" s="38">
        <v>5141.0</v>
      </c>
      <c r="C29753" s="38" t="s">
        <v>34144</v>
      </c>
      <c r="D29753" s="38" t="str">
        <f>IFERROR(__xludf.DUMMYFUNCTION("REGEXREPLACE(C29753,""-\d+(.*)|--\d+(.*)"","""")"),"SAINT-EUSEBE-EN-CHAMPSAUR")</f>
        <v>SAINT-EUSEBE-EN-CHAMPSAUR</v>
      </c>
      <c r="E29753" s="38" t="s">
        <v>706</v>
      </c>
      <c r="F29753" s="38" t="s">
        <v>228</v>
      </c>
      <c r="G29753" s="49" t="str">
        <f t="shared" si="1"/>
        <v>05500</v>
      </c>
      <c r="H29753" s="49" t="str">
        <f t="shared" si="2"/>
        <v>05141</v>
      </c>
    </row>
    <row r="29754">
      <c r="A29754" s="48" t="s">
        <v>9587</v>
      </c>
      <c r="B29754" s="38">
        <v>67056.0</v>
      </c>
      <c r="C29754" s="38" t="s">
        <v>34145</v>
      </c>
      <c r="D29754" s="38" t="str">
        <f>IFERROR(__xludf.DUMMYFUNCTION("REGEXREPLACE(C29754,""-\d+(.*)|--\d+(.*)"","""")"),"BOOTZHEIM")</f>
        <v>BOOTZHEIM</v>
      </c>
      <c r="E29754" s="38" t="s">
        <v>210</v>
      </c>
      <c r="F29754" s="38" t="s">
        <v>151</v>
      </c>
      <c r="G29754" s="49" t="str">
        <f t="shared" si="1"/>
        <v>67390</v>
      </c>
      <c r="H29754" s="49">
        <f t="shared" si="2"/>
        <v>67056</v>
      </c>
    </row>
    <row r="29755">
      <c r="A29755" s="48" t="s">
        <v>7749</v>
      </c>
      <c r="B29755" s="38">
        <v>85061.0</v>
      </c>
      <c r="C29755" s="38" t="s">
        <v>34146</v>
      </c>
      <c r="D29755" s="38" t="str">
        <f>IFERROR(__xludf.DUMMYFUNCTION("REGEXREPLACE(C29755,""-\d+(.*)|--\d+(.*)"","""")"),"CHATEAU-GUIBERT")</f>
        <v>CHATEAU-GUIBERT</v>
      </c>
      <c r="E29755" s="38" t="s">
        <v>179</v>
      </c>
      <c r="F29755" s="38" t="s">
        <v>180</v>
      </c>
      <c r="G29755" s="49" t="str">
        <f t="shared" si="1"/>
        <v>85320</v>
      </c>
      <c r="H29755" s="49">
        <f t="shared" si="2"/>
        <v>85061</v>
      </c>
    </row>
    <row r="29756">
      <c r="A29756" s="48" t="s">
        <v>2384</v>
      </c>
      <c r="B29756" s="38">
        <v>21136.0</v>
      </c>
      <c r="C29756" s="38" t="s">
        <v>34147</v>
      </c>
      <c r="D29756" s="38" t="str">
        <f>IFERROR(__xludf.DUMMYFUNCTION("REGEXREPLACE(C29756,""-\d+(.*)|--\d+(.*)"","""")"),"CHAMPAGNY")</f>
        <v>CHAMPAGNY</v>
      </c>
      <c r="E29756" s="38" t="s">
        <v>105</v>
      </c>
      <c r="F29756" s="38" t="s">
        <v>106</v>
      </c>
      <c r="G29756" s="49" t="str">
        <f t="shared" si="1"/>
        <v>21440</v>
      </c>
      <c r="H29756" s="49">
        <f t="shared" si="2"/>
        <v>21136</v>
      </c>
    </row>
    <row r="29757">
      <c r="A29757" s="48" t="s">
        <v>3951</v>
      </c>
      <c r="B29757" s="38">
        <v>24170.0</v>
      </c>
      <c r="C29757" s="38" t="s">
        <v>34148</v>
      </c>
      <c r="D29757" s="38" t="str">
        <f>IFERROR(__xludf.DUMMYFUNCTION("REGEXREPLACE(C29757,""-\d+(.*)|--\d+(.*)"","""")"),"EYVIRAT")</f>
        <v>EYVIRAT</v>
      </c>
      <c r="E29757" s="38" t="s">
        <v>261</v>
      </c>
      <c r="F29757" s="38" t="s">
        <v>252</v>
      </c>
      <c r="G29757" s="49" t="str">
        <f t="shared" si="1"/>
        <v>24460</v>
      </c>
      <c r="H29757" s="49">
        <f t="shared" si="2"/>
        <v>24170</v>
      </c>
    </row>
    <row r="29758">
      <c r="A29758" s="48" t="s">
        <v>700</v>
      </c>
      <c r="B29758" s="38">
        <v>56029.0</v>
      </c>
      <c r="C29758" s="38" t="s">
        <v>34149</v>
      </c>
      <c r="D29758" s="38" t="str">
        <f>IFERROR(__xludf.DUMMYFUNCTION("REGEXREPLACE(C29758,""-\d+(.*)|--\d+(.*)"","""")"),"CALAN")</f>
        <v>CALAN</v>
      </c>
      <c r="E29758" s="38" t="s">
        <v>173</v>
      </c>
      <c r="F29758" s="38" t="s">
        <v>90</v>
      </c>
      <c r="G29758" s="49" t="str">
        <f t="shared" si="1"/>
        <v>56240</v>
      </c>
      <c r="H29758" s="49">
        <f t="shared" si="2"/>
        <v>56029</v>
      </c>
    </row>
    <row r="29759">
      <c r="A29759" s="48" t="s">
        <v>1538</v>
      </c>
      <c r="B29759" s="38">
        <v>27395.0</v>
      </c>
      <c r="C29759" s="38" t="s">
        <v>34150</v>
      </c>
      <c r="D29759" s="38" t="str">
        <f>IFERROR(__xludf.DUMMYFUNCTION("REGEXREPLACE(C29759,""-\d+(.*)|--\d+(.*)"","""")"),"MELICOURT")</f>
        <v>MELICOURT</v>
      </c>
      <c r="E29759" s="38" t="s">
        <v>241</v>
      </c>
      <c r="F29759" s="38" t="s">
        <v>134</v>
      </c>
      <c r="G29759" s="49" t="str">
        <f t="shared" si="1"/>
        <v>27390</v>
      </c>
      <c r="H29759" s="49">
        <f t="shared" si="2"/>
        <v>27395</v>
      </c>
    </row>
    <row r="29760">
      <c r="A29760" s="48" t="s">
        <v>7858</v>
      </c>
      <c r="B29760" s="38">
        <v>47233.0</v>
      </c>
      <c r="C29760" s="38" t="s">
        <v>34151</v>
      </c>
      <c r="D29760" s="38" t="str">
        <f>IFERROR(__xludf.DUMMYFUNCTION("REGEXREPLACE(C29760,""-\d+(.*)|--\d+(.*)"","""")"),"SAINTE-BAZEILLE")</f>
        <v>SAINTE-BAZEILLE</v>
      </c>
      <c r="E29760" s="38" t="s">
        <v>251</v>
      </c>
      <c r="F29760" s="38" t="s">
        <v>252</v>
      </c>
      <c r="G29760" s="49" t="str">
        <f t="shared" si="1"/>
        <v>47180</v>
      </c>
      <c r="H29760" s="49">
        <f t="shared" si="2"/>
        <v>47233</v>
      </c>
    </row>
    <row r="29761">
      <c r="A29761" s="48" t="s">
        <v>5134</v>
      </c>
      <c r="B29761" s="38">
        <v>70079.0</v>
      </c>
      <c r="C29761" s="38" t="s">
        <v>34152</v>
      </c>
      <c r="D29761" s="38" t="str">
        <f>IFERROR(__xludf.DUMMYFUNCTION("REGEXREPLACE(C29761,""-\d+(.*)|--\d+(.*)"","""")"),"BOUGNON")</f>
        <v>BOUGNON</v>
      </c>
      <c r="E29761" s="38" t="s">
        <v>956</v>
      </c>
      <c r="F29761" s="38" t="s">
        <v>214</v>
      </c>
      <c r="G29761" s="49" t="str">
        <f t="shared" si="1"/>
        <v>70170</v>
      </c>
      <c r="H29761" s="49">
        <f t="shared" si="2"/>
        <v>70079</v>
      </c>
    </row>
    <row r="29762">
      <c r="A29762" s="48" t="s">
        <v>1817</v>
      </c>
      <c r="B29762" s="38">
        <v>31137.0</v>
      </c>
      <c r="C29762" s="38" t="s">
        <v>34153</v>
      </c>
      <c r="D29762" s="38" t="str">
        <f>IFERROR(__xludf.DUMMYFUNCTION("REGEXREPLACE(C29762,""-\d+(.*)|--\d+(.*)"","""")"),"CESSALES")</f>
        <v>CESSALES</v>
      </c>
      <c r="E29762" s="38" t="s">
        <v>93</v>
      </c>
      <c r="F29762" s="38" t="s">
        <v>94</v>
      </c>
      <c r="G29762" s="49" t="str">
        <f t="shared" si="1"/>
        <v>31290</v>
      </c>
      <c r="H29762" s="49">
        <f t="shared" si="2"/>
        <v>31137</v>
      </c>
    </row>
    <row r="29763">
      <c r="A29763" s="48" t="s">
        <v>9004</v>
      </c>
      <c r="B29763" s="38">
        <v>48003.0</v>
      </c>
      <c r="C29763" s="38" t="s">
        <v>34154</v>
      </c>
      <c r="D29763" s="38" t="str">
        <f>IFERROR(__xludf.DUMMYFUNCTION("REGEXREPLACE(C29763,""-\d+(.*)|--\d+(.*)"","""")"),"ALLENC")</f>
        <v>ALLENC</v>
      </c>
      <c r="E29763" s="38" t="s">
        <v>154</v>
      </c>
      <c r="F29763" s="38" t="s">
        <v>119</v>
      </c>
      <c r="G29763" s="49" t="str">
        <f t="shared" si="1"/>
        <v>48190</v>
      </c>
      <c r="H29763" s="49">
        <f t="shared" si="2"/>
        <v>48003</v>
      </c>
    </row>
    <row r="29764">
      <c r="A29764" s="48" t="s">
        <v>546</v>
      </c>
      <c r="B29764" s="38">
        <v>54332.0</v>
      </c>
      <c r="C29764" s="38" t="s">
        <v>34155</v>
      </c>
      <c r="D29764" s="38" t="str">
        <f>IFERROR(__xludf.DUMMYFUNCTION("REGEXREPLACE(C29764,""-\d+(.*)|--\d+(.*)"","""")"),"MAIDIERES")</f>
        <v>MAIDIERES</v>
      </c>
      <c r="E29764" s="38" t="s">
        <v>548</v>
      </c>
      <c r="F29764" s="38" t="s">
        <v>195</v>
      </c>
      <c r="G29764" s="49" t="str">
        <f t="shared" si="1"/>
        <v>54700</v>
      </c>
      <c r="H29764" s="49">
        <f t="shared" si="2"/>
        <v>54332</v>
      </c>
    </row>
    <row r="29765">
      <c r="A29765" s="48" t="s">
        <v>18494</v>
      </c>
      <c r="B29765" s="38">
        <v>82019.0</v>
      </c>
      <c r="C29765" s="38" t="s">
        <v>34156</v>
      </c>
      <c r="D29765" s="38" t="str">
        <f>IFERROR(__xludf.DUMMYFUNCTION("REGEXREPLACE(C29765,""-\d+(.*)|--\d+(.*)"","""")"),"BOUDOU")</f>
        <v>BOUDOU</v>
      </c>
      <c r="E29765" s="38" t="s">
        <v>570</v>
      </c>
      <c r="F29765" s="38" t="s">
        <v>94</v>
      </c>
      <c r="G29765" s="49" t="str">
        <f t="shared" si="1"/>
        <v>82200</v>
      </c>
      <c r="H29765" s="49">
        <f t="shared" si="2"/>
        <v>82019</v>
      </c>
    </row>
    <row r="29766">
      <c r="A29766" s="48" t="s">
        <v>34157</v>
      </c>
      <c r="B29766" s="38">
        <v>68247.0</v>
      </c>
      <c r="C29766" s="38" t="s">
        <v>34158</v>
      </c>
      <c r="D29766" s="38" t="str">
        <f>IFERROR(__xludf.DUMMYFUNCTION("REGEXREPLACE(C29766,""-\d+(.*)|--\d+(.*)"","""")"),"ODEREN")</f>
        <v>ODEREN</v>
      </c>
      <c r="E29766" s="38" t="s">
        <v>150</v>
      </c>
      <c r="F29766" s="38" t="s">
        <v>151</v>
      </c>
      <c r="G29766" s="49" t="str">
        <f t="shared" si="1"/>
        <v>68830</v>
      </c>
      <c r="H29766" s="49">
        <f t="shared" si="2"/>
        <v>68247</v>
      </c>
    </row>
    <row r="29767">
      <c r="A29767" s="48" t="s">
        <v>2379</v>
      </c>
      <c r="B29767" s="38">
        <v>65465.0</v>
      </c>
      <c r="C29767" s="38" t="s">
        <v>34159</v>
      </c>
      <c r="D29767" s="38" t="str">
        <f>IFERROR(__xludf.DUMMYFUNCTION("REGEXREPLACE(C29767,""-\d+(.*)|--\d+(.*)"","""")"),"VIELLE-AURE")</f>
        <v>VIELLE-AURE</v>
      </c>
      <c r="E29767" s="38" t="s">
        <v>200</v>
      </c>
      <c r="F29767" s="38" t="s">
        <v>94</v>
      </c>
      <c r="G29767" s="49" t="str">
        <f t="shared" si="1"/>
        <v>65170</v>
      </c>
      <c r="H29767" s="49">
        <f t="shared" si="2"/>
        <v>65465</v>
      </c>
    </row>
    <row r="29768">
      <c r="A29768" s="48" t="s">
        <v>5935</v>
      </c>
      <c r="B29768" s="38">
        <v>1249.0</v>
      </c>
      <c r="C29768" s="38" t="s">
        <v>34160</v>
      </c>
      <c r="D29768" s="38" t="str">
        <f>IFERROR(__xludf.DUMMYFUNCTION("REGEXREPLACE(C29768,""-\d+(.*)|--\d+(.*)"","""")"),"MIRIBEL")</f>
        <v>MIRIBEL</v>
      </c>
      <c r="E29768" s="38" t="s">
        <v>255</v>
      </c>
      <c r="F29768" s="38" t="s">
        <v>102</v>
      </c>
      <c r="G29768" s="49" t="str">
        <f t="shared" si="1"/>
        <v>01700</v>
      </c>
      <c r="H29768" s="49" t="str">
        <f t="shared" si="2"/>
        <v>01249</v>
      </c>
    </row>
    <row r="29769">
      <c r="A29769" s="48" t="s">
        <v>2905</v>
      </c>
      <c r="B29769" s="38">
        <v>21030.0</v>
      </c>
      <c r="C29769" s="38" t="s">
        <v>34161</v>
      </c>
      <c r="D29769" s="38" t="str">
        <f>IFERROR(__xludf.DUMMYFUNCTION("REGEXREPLACE(C29769,""-\d+(.*)|--\d+(.*)"","""")"),"AUBAINE")</f>
        <v>AUBAINE</v>
      </c>
      <c r="E29769" s="38" t="s">
        <v>105</v>
      </c>
      <c r="F29769" s="38" t="s">
        <v>106</v>
      </c>
      <c r="G29769" s="49" t="str">
        <f t="shared" si="1"/>
        <v>21360</v>
      </c>
      <c r="H29769" s="49">
        <f t="shared" si="2"/>
        <v>21030</v>
      </c>
    </row>
    <row r="29770">
      <c r="A29770" s="48" t="s">
        <v>11573</v>
      </c>
      <c r="B29770" s="38">
        <v>73210.0</v>
      </c>
      <c r="C29770" s="38" t="s">
        <v>34162</v>
      </c>
      <c r="D29770" s="38" t="str">
        <f>IFERROR(__xludf.DUMMYFUNCTION("REGEXREPLACE(C29770,""-\d+(.*)|--\d+(.*)"","""")"),"PUYGROS")</f>
        <v>PUYGROS</v>
      </c>
      <c r="E29770" s="38" t="s">
        <v>306</v>
      </c>
      <c r="F29770" s="38" t="s">
        <v>102</v>
      </c>
      <c r="G29770" s="49" t="str">
        <f t="shared" si="1"/>
        <v>73190</v>
      </c>
      <c r="H29770" s="49">
        <f t="shared" si="2"/>
        <v>73210</v>
      </c>
    </row>
    <row r="29771">
      <c r="A29771" s="48" t="s">
        <v>6438</v>
      </c>
      <c r="B29771" s="38">
        <v>29213.0</v>
      </c>
      <c r="C29771" s="38" t="s">
        <v>34163</v>
      </c>
      <c r="D29771" s="38" t="str">
        <f>IFERROR(__xludf.DUMMYFUNCTION("REGEXREPLACE(C29771,""-\d+(.*)|--\d+(.*)"","""")"),"PLOUZEVEDE")</f>
        <v>PLOUZEVEDE</v>
      </c>
      <c r="E29771" s="38" t="s">
        <v>176</v>
      </c>
      <c r="F29771" s="38" t="s">
        <v>90</v>
      </c>
      <c r="G29771" s="49" t="str">
        <f t="shared" si="1"/>
        <v>29440</v>
      </c>
      <c r="H29771" s="49">
        <f t="shared" si="2"/>
        <v>29213</v>
      </c>
    </row>
    <row r="29772">
      <c r="A29772" s="48" t="s">
        <v>5513</v>
      </c>
      <c r="B29772" s="38">
        <v>57335.0</v>
      </c>
      <c r="C29772" s="38" t="s">
        <v>34164</v>
      </c>
      <c r="D29772" s="38" t="str">
        <f>IFERROR(__xludf.DUMMYFUNCTION("REGEXREPLACE(C29772,""-\d+(.*)|--\d+(.*)"","""")"),"HONSKIRCH")</f>
        <v>HONSKIRCH</v>
      </c>
      <c r="E29772" s="38" t="s">
        <v>303</v>
      </c>
      <c r="F29772" s="38" t="s">
        <v>195</v>
      </c>
      <c r="G29772" s="49" t="str">
        <f t="shared" si="1"/>
        <v>57670</v>
      </c>
      <c r="H29772" s="49">
        <f t="shared" si="2"/>
        <v>57335</v>
      </c>
    </row>
    <row r="29773">
      <c r="A29773" s="48" t="s">
        <v>4373</v>
      </c>
      <c r="B29773" s="38">
        <v>82035.0</v>
      </c>
      <c r="C29773" s="38" t="s">
        <v>2371</v>
      </c>
      <c r="D29773" s="38" t="str">
        <f>IFERROR(__xludf.DUMMYFUNCTION("REGEXREPLACE(C29773,""-\d+(.*)|--\d+(.*)"","""")"),"CAUMONT")</f>
        <v>CAUMONT</v>
      </c>
      <c r="E29773" s="38" t="s">
        <v>570</v>
      </c>
      <c r="F29773" s="38" t="s">
        <v>94</v>
      </c>
      <c r="G29773" s="49" t="str">
        <f t="shared" si="1"/>
        <v>82210</v>
      </c>
      <c r="H29773" s="49">
        <f t="shared" si="2"/>
        <v>82035</v>
      </c>
    </row>
    <row r="29774">
      <c r="A29774" s="48" t="s">
        <v>8579</v>
      </c>
      <c r="B29774" s="38">
        <v>32390.0</v>
      </c>
      <c r="C29774" s="38" t="s">
        <v>34165</v>
      </c>
      <c r="D29774" s="38" t="str">
        <f>IFERROR(__xludf.DUMMYFUNCTION("REGEXREPLACE(C29774,""-\d+(.*)|--\d+(.*)"","""")"),"SAINT-MARTIN-D'ARMAGNAC")</f>
        <v>SAINT-MARTIN-D'ARMAGNAC</v>
      </c>
      <c r="E29774" s="38" t="s">
        <v>440</v>
      </c>
      <c r="F29774" s="38" t="s">
        <v>94</v>
      </c>
      <c r="G29774" s="49" t="str">
        <f t="shared" si="1"/>
        <v>32110</v>
      </c>
      <c r="H29774" s="49">
        <f t="shared" si="2"/>
        <v>32390</v>
      </c>
    </row>
    <row r="29775">
      <c r="A29775" s="48" t="s">
        <v>4566</v>
      </c>
      <c r="B29775" s="38">
        <v>24176.0</v>
      </c>
      <c r="C29775" s="38" t="s">
        <v>34166</v>
      </c>
      <c r="D29775" s="38" t="str">
        <f>IFERROR(__xludf.DUMMYFUNCTION("REGEXREPLACE(C29775,""-\d+(.*)|--\d+(.*)"","""")"),"FAURILLES")</f>
        <v>FAURILLES</v>
      </c>
      <c r="E29775" s="38" t="s">
        <v>261</v>
      </c>
      <c r="F29775" s="38" t="s">
        <v>252</v>
      </c>
      <c r="G29775" s="49" t="str">
        <f t="shared" si="1"/>
        <v>24560</v>
      </c>
      <c r="H29775" s="49">
        <f t="shared" si="2"/>
        <v>24176</v>
      </c>
    </row>
    <row r="29776">
      <c r="A29776" s="48" t="s">
        <v>2800</v>
      </c>
      <c r="B29776" s="38">
        <v>77353.0</v>
      </c>
      <c r="C29776" s="38" t="s">
        <v>34167</v>
      </c>
      <c r="D29776" s="38" t="str">
        <f>IFERROR(__xludf.DUMMYFUNCTION("REGEXREPLACE(C29776,""-\d+(.*)|--\d+(.*)"","""")"),"PALEY")</f>
        <v>PALEY</v>
      </c>
      <c r="E29776" s="38" t="s">
        <v>244</v>
      </c>
      <c r="F29776" s="38" t="s">
        <v>245</v>
      </c>
      <c r="G29776" s="49" t="str">
        <f t="shared" si="1"/>
        <v>77710</v>
      </c>
      <c r="H29776" s="49">
        <f t="shared" si="2"/>
        <v>77353</v>
      </c>
    </row>
    <row r="29777">
      <c r="A29777" s="48" t="s">
        <v>14628</v>
      </c>
      <c r="B29777" s="38">
        <v>76311.0</v>
      </c>
      <c r="C29777" s="38" t="s">
        <v>12304</v>
      </c>
      <c r="D29777" s="38" t="str">
        <f>IFERROR(__xludf.DUMMYFUNCTION("REGEXREPLACE(C29777,""-\d+(.*)|--\d+(.*)"","""")"),"GOUPILLIERES")</f>
        <v>GOUPILLIERES</v>
      </c>
      <c r="E29777" s="38" t="s">
        <v>133</v>
      </c>
      <c r="F29777" s="38" t="s">
        <v>134</v>
      </c>
      <c r="G29777" s="49" t="str">
        <f t="shared" si="1"/>
        <v>76570</v>
      </c>
      <c r="H29777" s="49">
        <f t="shared" si="2"/>
        <v>76311</v>
      </c>
    </row>
    <row r="29778">
      <c r="A29778" s="48" t="s">
        <v>452</v>
      </c>
      <c r="B29778" s="38">
        <v>21237.0</v>
      </c>
      <c r="C29778" s="38" t="s">
        <v>34168</v>
      </c>
      <c r="D29778" s="38" t="str">
        <f>IFERROR(__xludf.DUMMYFUNCTION("REGEXREPLACE(C29778,""-\d+(.*)|--\d+(.*)"","""")"),"ECHALOT")</f>
        <v>ECHALOT</v>
      </c>
      <c r="E29778" s="38" t="s">
        <v>105</v>
      </c>
      <c r="F29778" s="38" t="s">
        <v>106</v>
      </c>
      <c r="G29778" s="49" t="str">
        <f t="shared" si="1"/>
        <v>21510</v>
      </c>
      <c r="H29778" s="49">
        <f t="shared" si="2"/>
        <v>21237</v>
      </c>
    </row>
    <row r="29779">
      <c r="A29779" s="48" t="s">
        <v>2573</v>
      </c>
      <c r="B29779" s="38">
        <v>31581.0</v>
      </c>
      <c r="C29779" s="38" t="s">
        <v>34169</v>
      </c>
      <c r="D29779" s="38" t="str">
        <f>IFERROR(__xludf.DUMMYFUNCTION("REGEXREPLACE(C29779,""-\d+(.*)|--\d+(.*)"","""")"),"VILLAUDRIC")</f>
        <v>VILLAUDRIC</v>
      </c>
      <c r="E29779" s="38" t="s">
        <v>93</v>
      </c>
      <c r="F29779" s="38" t="s">
        <v>94</v>
      </c>
      <c r="G29779" s="49" t="str">
        <f t="shared" si="1"/>
        <v>31620</v>
      </c>
      <c r="H29779" s="49">
        <f t="shared" si="2"/>
        <v>31581</v>
      </c>
    </row>
    <row r="29780">
      <c r="A29780" s="48" t="s">
        <v>4354</v>
      </c>
      <c r="B29780" s="38">
        <v>72296.0</v>
      </c>
      <c r="C29780" s="38" t="s">
        <v>34170</v>
      </c>
      <c r="D29780" s="38" t="str">
        <f>IFERROR(__xludf.DUMMYFUNCTION("REGEXREPLACE(C29780,""-\d+(.*)|--\d+(.*)"","""")"),"SAINT-MAIXENT")</f>
        <v>SAINT-MAIXENT</v>
      </c>
      <c r="E29780" s="38" t="s">
        <v>521</v>
      </c>
      <c r="F29780" s="38" t="s">
        <v>180</v>
      </c>
      <c r="G29780" s="49" t="str">
        <f t="shared" si="1"/>
        <v>72320</v>
      </c>
      <c r="H29780" s="49">
        <f t="shared" si="2"/>
        <v>72296</v>
      </c>
    </row>
    <row r="29781">
      <c r="A29781" s="48" t="s">
        <v>832</v>
      </c>
      <c r="B29781" s="38">
        <v>12120.0</v>
      </c>
      <c r="C29781" s="38" t="s">
        <v>34171</v>
      </c>
      <c r="D29781" s="38" t="str">
        <f>IFERROR(__xludf.DUMMYFUNCTION("REGEXREPLACE(C29781,""-\d+(.*)|--\d+(.*)"","""")"),"LAISSAC")</f>
        <v>LAISSAC</v>
      </c>
      <c r="E29781" s="38" t="s">
        <v>465</v>
      </c>
      <c r="F29781" s="38" t="s">
        <v>94</v>
      </c>
      <c r="G29781" s="49" t="str">
        <f t="shared" si="1"/>
        <v>12310</v>
      </c>
      <c r="H29781" s="49">
        <f t="shared" si="2"/>
        <v>12120</v>
      </c>
    </row>
    <row r="29782">
      <c r="A29782" s="48" t="s">
        <v>2479</v>
      </c>
      <c r="B29782" s="38">
        <v>45187.0</v>
      </c>
      <c r="C29782" s="38" t="s">
        <v>34172</v>
      </c>
      <c r="D29782" s="38" t="str">
        <f>IFERROR(__xludf.DUMMYFUNCTION("REGEXREPLACE(C29782,""-\d+(.*)|--\d+(.*)"","""")"),"LORRIS")</f>
        <v>LORRIS</v>
      </c>
      <c r="E29782" s="38" t="s">
        <v>122</v>
      </c>
      <c r="F29782" s="38" t="s">
        <v>123</v>
      </c>
      <c r="G29782" s="49" t="str">
        <f t="shared" si="1"/>
        <v>45260</v>
      </c>
      <c r="H29782" s="49">
        <f t="shared" si="2"/>
        <v>45187</v>
      </c>
    </row>
    <row r="29783">
      <c r="A29783" s="48" t="s">
        <v>3046</v>
      </c>
      <c r="B29783" s="38">
        <v>70080.0</v>
      </c>
      <c r="C29783" s="38" t="s">
        <v>34173</v>
      </c>
      <c r="D29783" s="38" t="str">
        <f>IFERROR(__xludf.DUMMYFUNCTION("REGEXREPLACE(C29783,""-\d+(.*)|--\d+(.*)"","""")"),"BOUHANS-ET-FEURG")</f>
        <v>BOUHANS-ET-FEURG</v>
      </c>
      <c r="E29783" s="38" t="s">
        <v>956</v>
      </c>
      <c r="F29783" s="38" t="s">
        <v>214</v>
      </c>
      <c r="G29783" s="49" t="str">
        <f t="shared" si="1"/>
        <v>70100</v>
      </c>
      <c r="H29783" s="49">
        <f t="shared" si="2"/>
        <v>70080</v>
      </c>
    </row>
    <row r="29784">
      <c r="A29784" s="48" t="s">
        <v>7194</v>
      </c>
      <c r="B29784" s="38">
        <v>70171.0</v>
      </c>
      <c r="C29784" s="38" t="s">
        <v>34174</v>
      </c>
      <c r="D29784" s="38" t="str">
        <f>IFERROR(__xludf.DUMMYFUNCTION("REGEXREPLACE(C29784,""-\d+(.*)|--\d+(.*)"","""")"),"CORBENAY")</f>
        <v>CORBENAY</v>
      </c>
      <c r="E29784" s="38" t="s">
        <v>956</v>
      </c>
      <c r="F29784" s="38" t="s">
        <v>214</v>
      </c>
      <c r="G29784" s="49" t="str">
        <f t="shared" si="1"/>
        <v>70320</v>
      </c>
      <c r="H29784" s="49">
        <f t="shared" si="2"/>
        <v>70171</v>
      </c>
    </row>
    <row r="29785">
      <c r="A29785" s="48" t="s">
        <v>2318</v>
      </c>
      <c r="B29785" s="38">
        <v>43262.0</v>
      </c>
      <c r="C29785" s="38" t="s">
        <v>34175</v>
      </c>
      <c r="D29785" s="38" t="str">
        <f>IFERROR(__xludf.DUMMYFUNCTION("REGEXREPLACE(C29785,""-\d+(.*)|--\d+(.*)"","""")"),"VIEILLE-BRIOUDE")</f>
        <v>VIEILLE-BRIOUDE</v>
      </c>
      <c r="E29785" s="38" t="s">
        <v>332</v>
      </c>
      <c r="F29785" s="38" t="s">
        <v>161</v>
      </c>
      <c r="G29785" s="49" t="str">
        <f t="shared" si="1"/>
        <v>43100</v>
      </c>
      <c r="H29785" s="49">
        <f t="shared" si="2"/>
        <v>43262</v>
      </c>
    </row>
    <row r="29786">
      <c r="A29786" s="48" t="s">
        <v>9240</v>
      </c>
      <c r="B29786" s="38">
        <v>47015.0</v>
      </c>
      <c r="C29786" s="38" t="s">
        <v>34176</v>
      </c>
      <c r="D29786" s="38" t="str">
        <f>IFERROR(__xludf.DUMMYFUNCTION("REGEXREPLACE(C29786,""-\d+(.*)|--\d+(.*)"","""")"),"ASTAFFORT")</f>
        <v>ASTAFFORT</v>
      </c>
      <c r="E29786" s="38" t="s">
        <v>251</v>
      </c>
      <c r="F29786" s="38" t="s">
        <v>252</v>
      </c>
      <c r="G29786" s="49" t="str">
        <f t="shared" si="1"/>
        <v>47220</v>
      </c>
      <c r="H29786" s="49">
        <f t="shared" si="2"/>
        <v>47015</v>
      </c>
    </row>
    <row r="29787">
      <c r="A29787" s="48" t="s">
        <v>1208</v>
      </c>
      <c r="B29787" s="38">
        <v>32017.0</v>
      </c>
      <c r="C29787" s="38" t="s">
        <v>3176</v>
      </c>
      <c r="D29787" s="38" t="str">
        <f>IFERROR(__xludf.DUMMYFUNCTION("REGEXREPLACE(C29787,""-\d+(.*)|--\d+(.*)"","""")"),"AURENSAN")</f>
        <v>AURENSAN</v>
      </c>
      <c r="E29787" s="38" t="s">
        <v>440</v>
      </c>
      <c r="F29787" s="38" t="s">
        <v>94</v>
      </c>
      <c r="G29787" s="49" t="str">
        <f t="shared" si="1"/>
        <v>32400</v>
      </c>
      <c r="H29787" s="49">
        <f t="shared" si="2"/>
        <v>32017</v>
      </c>
    </row>
    <row r="29788">
      <c r="A29788" s="48" t="s">
        <v>1210</v>
      </c>
      <c r="B29788" s="38">
        <v>50578.0</v>
      </c>
      <c r="C29788" s="38" t="s">
        <v>34177</v>
      </c>
      <c r="D29788" s="38" t="str">
        <f>IFERROR(__xludf.DUMMYFUNCTION("REGEXREPLACE(C29788,""-\d+(.*)|--\d+(.*)"","""")"),"SORTOSVILLE")</f>
        <v>SORTOSVILLE</v>
      </c>
      <c r="E29788" s="38" t="s">
        <v>157</v>
      </c>
      <c r="F29788" s="38" t="s">
        <v>138</v>
      </c>
      <c r="G29788" s="49" t="str">
        <f t="shared" si="1"/>
        <v>50310</v>
      </c>
      <c r="H29788" s="49">
        <f t="shared" si="2"/>
        <v>50578</v>
      </c>
    </row>
    <row r="29789">
      <c r="A29789" s="48" t="s">
        <v>4499</v>
      </c>
      <c r="B29789" s="38">
        <v>25528.0</v>
      </c>
      <c r="C29789" s="38" t="s">
        <v>34178</v>
      </c>
      <c r="D29789" s="38" t="str">
        <f>IFERROR(__xludf.DUMMYFUNCTION("REGEXREPLACE(C29789,""-\d+(.*)|--\d+(.*)"","""")"),"SAMSON")</f>
        <v>SAMSON</v>
      </c>
      <c r="E29789" s="38" t="s">
        <v>213</v>
      </c>
      <c r="F29789" s="38" t="s">
        <v>214</v>
      </c>
      <c r="G29789" s="49" t="str">
        <f t="shared" si="1"/>
        <v>25440</v>
      </c>
      <c r="H29789" s="49">
        <f t="shared" si="2"/>
        <v>25528</v>
      </c>
    </row>
    <row r="29790">
      <c r="A29790" s="48" t="s">
        <v>10657</v>
      </c>
      <c r="B29790" s="38">
        <v>50058.0</v>
      </c>
      <c r="C29790" s="38" t="s">
        <v>34179</v>
      </c>
      <c r="D29790" s="38" t="str">
        <f>IFERROR(__xludf.DUMMYFUNCTION("REGEXREPLACE(C29790,""-\d+(.*)|--\d+(.*)"","""")"),"BLAINVILLE-SUR-MER")</f>
        <v>BLAINVILLE-SUR-MER</v>
      </c>
      <c r="E29790" s="38" t="s">
        <v>157</v>
      </c>
      <c r="F29790" s="38" t="s">
        <v>138</v>
      </c>
      <c r="G29790" s="49" t="str">
        <f t="shared" si="1"/>
        <v>50560</v>
      </c>
      <c r="H29790" s="49">
        <f t="shared" si="2"/>
        <v>50058</v>
      </c>
    </row>
    <row r="29791">
      <c r="A29791" s="48" t="s">
        <v>13114</v>
      </c>
      <c r="B29791" s="38">
        <v>14191.0</v>
      </c>
      <c r="C29791" s="38" t="s">
        <v>34180</v>
      </c>
      <c r="D29791" s="38" t="str">
        <f>IFERROR(__xludf.DUMMYFUNCTION("REGEXREPLACE(C29791,""-\d+(.*)|--\d+(.*)"","""")"),"COURSEULLES-SUR-MER")</f>
        <v>COURSEULLES-SUR-MER</v>
      </c>
      <c r="E29791" s="38" t="s">
        <v>137</v>
      </c>
      <c r="F29791" s="38" t="s">
        <v>138</v>
      </c>
      <c r="G29791" s="49" t="str">
        <f t="shared" si="1"/>
        <v>14470</v>
      </c>
      <c r="H29791" s="49">
        <f t="shared" si="2"/>
        <v>14191</v>
      </c>
    </row>
    <row r="29792">
      <c r="A29792" s="48" t="s">
        <v>17847</v>
      </c>
      <c r="B29792" s="38" t="s">
        <v>34181</v>
      </c>
      <c r="C29792" s="38" t="s">
        <v>34182</v>
      </c>
      <c r="D29792" s="38" t="str">
        <f>IFERROR(__xludf.DUMMYFUNCTION("REGEXREPLACE(C29792,""-\d+(.*)|--\d+(.*)"","""")"),"APPIETTO")</f>
        <v>APPIETTO</v>
      </c>
      <c r="E29792" s="38" t="s">
        <v>606</v>
      </c>
      <c r="F29792" s="38" t="s">
        <v>607</v>
      </c>
      <c r="G29792" s="49" t="str">
        <f t="shared" si="1"/>
        <v>20167</v>
      </c>
      <c r="H29792" s="49" t="str">
        <f t="shared" si="2"/>
        <v>2A017</v>
      </c>
    </row>
    <row r="29793">
      <c r="A29793" s="48" t="s">
        <v>10392</v>
      </c>
      <c r="B29793" s="38">
        <v>64377.0</v>
      </c>
      <c r="C29793" s="38" t="s">
        <v>34183</v>
      </c>
      <c r="D29793" s="38" t="str">
        <f>IFERROR(__xludf.DUMMYFUNCTION("REGEXREPLACE(C29793,""-\d+(.*)|--\d+(.*)"","""")"),"MENDIONDE")</f>
        <v>MENDIONDE</v>
      </c>
      <c r="E29793" s="38" t="s">
        <v>268</v>
      </c>
      <c r="F29793" s="38" t="s">
        <v>252</v>
      </c>
      <c r="G29793" s="49" t="str">
        <f t="shared" si="1"/>
        <v>64240</v>
      </c>
      <c r="H29793" s="49">
        <f t="shared" si="2"/>
        <v>64377</v>
      </c>
    </row>
    <row r="29794">
      <c r="A29794" s="48" t="s">
        <v>3696</v>
      </c>
      <c r="B29794" s="38">
        <v>78036.0</v>
      </c>
      <c r="C29794" s="38" t="s">
        <v>34184</v>
      </c>
      <c r="D29794" s="38" t="str">
        <f>IFERROR(__xludf.DUMMYFUNCTION("REGEXREPLACE(C29794,""-\d+(.*)|--\d+(.*)"","""")"),"AUTOUILLET")</f>
        <v>AUTOUILLET</v>
      </c>
      <c r="E29794" s="38" t="s">
        <v>362</v>
      </c>
      <c r="F29794" s="38" t="s">
        <v>245</v>
      </c>
      <c r="G29794" s="49" t="str">
        <f t="shared" si="1"/>
        <v>78770</v>
      </c>
      <c r="H29794" s="49">
        <f t="shared" si="2"/>
        <v>78036</v>
      </c>
    </row>
    <row r="29795">
      <c r="A29795" s="48" t="s">
        <v>1274</v>
      </c>
      <c r="B29795" s="38">
        <v>33171.0</v>
      </c>
      <c r="C29795" s="38" t="s">
        <v>34185</v>
      </c>
      <c r="D29795" s="38" t="str">
        <f>IFERROR(__xludf.DUMMYFUNCTION("REGEXREPLACE(C29795,""-\d+(.*)|--\d+(.*)"","""")"),"FOSSES-ET-BALEYSSAC")</f>
        <v>FOSSES-ET-BALEYSSAC</v>
      </c>
      <c r="E29795" s="38" t="s">
        <v>462</v>
      </c>
      <c r="F29795" s="38" t="s">
        <v>252</v>
      </c>
      <c r="G29795" s="49" t="str">
        <f t="shared" si="1"/>
        <v>33190</v>
      </c>
      <c r="H29795" s="49">
        <f t="shared" si="2"/>
        <v>33171</v>
      </c>
    </row>
    <row r="29796">
      <c r="A29796" s="48" t="s">
        <v>6247</v>
      </c>
      <c r="B29796" s="38">
        <v>26160.0</v>
      </c>
      <c r="C29796" s="38" t="s">
        <v>34186</v>
      </c>
      <c r="D29796" s="38" t="str">
        <f>IFERROR(__xludf.DUMMYFUNCTION("REGEXREPLACE(C29796,""-\d+(.*)|--\d+(.*)"","""")"),"LAVEYRON")</f>
        <v>LAVEYRON</v>
      </c>
      <c r="E29796" s="38" t="s">
        <v>126</v>
      </c>
      <c r="F29796" s="38" t="s">
        <v>102</v>
      </c>
      <c r="G29796" s="49" t="str">
        <f t="shared" si="1"/>
        <v>26240</v>
      </c>
      <c r="H29796" s="49">
        <f t="shared" si="2"/>
        <v>26160</v>
      </c>
    </row>
    <row r="29797">
      <c r="A29797" s="48" t="s">
        <v>549</v>
      </c>
      <c r="B29797" s="38">
        <v>55330.0</v>
      </c>
      <c r="C29797" s="38" t="s">
        <v>34187</v>
      </c>
      <c r="D29797" s="38" t="str">
        <f>IFERROR(__xludf.DUMMYFUNCTION("REGEXREPLACE(C29797,""-\d+(.*)|--\d+(.*)"","""")"),"MELIGNY-LE-GRAND")</f>
        <v>MELIGNY-LE-GRAND</v>
      </c>
      <c r="E29797" s="38" t="s">
        <v>322</v>
      </c>
      <c r="F29797" s="38" t="s">
        <v>195</v>
      </c>
      <c r="G29797" s="49" t="str">
        <f t="shared" si="1"/>
        <v>55190</v>
      </c>
      <c r="H29797" s="49">
        <f t="shared" si="2"/>
        <v>55330</v>
      </c>
    </row>
    <row r="29798">
      <c r="A29798" s="48" t="s">
        <v>25719</v>
      </c>
      <c r="B29798" s="38">
        <v>62520.0</v>
      </c>
      <c r="C29798" s="38" t="s">
        <v>34188</v>
      </c>
      <c r="D29798" s="38" t="str">
        <f>IFERROR(__xludf.DUMMYFUNCTION("REGEXREPLACE(C29798,""-\d+(.*)|--\d+(.*)"","""")"),"LOCON")</f>
        <v>LOCON</v>
      </c>
      <c r="E29798" s="38" t="s">
        <v>109</v>
      </c>
      <c r="F29798" s="38" t="s">
        <v>86</v>
      </c>
      <c r="G29798" s="49" t="str">
        <f t="shared" si="1"/>
        <v>62400</v>
      </c>
      <c r="H29798" s="49">
        <f t="shared" si="2"/>
        <v>62520</v>
      </c>
    </row>
    <row r="29799">
      <c r="A29799" s="48" t="s">
        <v>3321</v>
      </c>
      <c r="B29799" s="38">
        <v>47324.0</v>
      </c>
      <c r="C29799" s="38" t="s">
        <v>34189</v>
      </c>
      <c r="D29799" s="38" t="str">
        <f>IFERROR(__xludf.DUMMYFUNCTION("REGEXREPLACE(C29799,""-\d+(.*)|--\d+(.*)"","""")"),"VILLEREAL")</f>
        <v>VILLEREAL</v>
      </c>
      <c r="E29799" s="38" t="s">
        <v>251</v>
      </c>
      <c r="F29799" s="38" t="s">
        <v>252</v>
      </c>
      <c r="G29799" s="49" t="str">
        <f t="shared" si="1"/>
        <v>47210</v>
      </c>
      <c r="H29799" s="49">
        <f t="shared" si="2"/>
        <v>47324</v>
      </c>
    </row>
    <row r="29800">
      <c r="A29800" s="48" t="s">
        <v>3370</v>
      </c>
      <c r="B29800" s="38">
        <v>72020.0</v>
      </c>
      <c r="C29800" s="38" t="s">
        <v>13599</v>
      </c>
      <c r="D29800" s="38" t="str">
        <f>IFERROR(__xludf.DUMMYFUNCTION("REGEXREPLACE(C29800,""-\d+(.*)|--\d+(.*)"","""")"),"AVEZE")</f>
        <v>AVEZE</v>
      </c>
      <c r="E29800" s="38" t="s">
        <v>521</v>
      </c>
      <c r="F29800" s="38" t="s">
        <v>180</v>
      </c>
      <c r="G29800" s="49" t="str">
        <f t="shared" si="1"/>
        <v>72400</v>
      </c>
      <c r="H29800" s="49">
        <f t="shared" si="2"/>
        <v>72020</v>
      </c>
    </row>
    <row r="29801">
      <c r="A29801" s="48" t="s">
        <v>1201</v>
      </c>
      <c r="B29801" s="38">
        <v>78536.0</v>
      </c>
      <c r="C29801" s="38" t="s">
        <v>7977</v>
      </c>
      <c r="D29801" s="38" t="str">
        <f>IFERROR(__xludf.DUMMYFUNCTION("REGEXREPLACE(C29801,""-\d+(.*)|--\d+(.*)"","""")"),"SAILLY")</f>
        <v>SAILLY</v>
      </c>
      <c r="E29801" s="38" t="s">
        <v>362</v>
      </c>
      <c r="F29801" s="38" t="s">
        <v>245</v>
      </c>
      <c r="G29801" s="49" t="str">
        <f t="shared" si="1"/>
        <v>78440</v>
      </c>
      <c r="H29801" s="49">
        <f t="shared" si="2"/>
        <v>78536</v>
      </c>
    </row>
    <row r="29802">
      <c r="A29802" s="48" t="s">
        <v>9683</v>
      </c>
      <c r="B29802" s="38">
        <v>46276.0</v>
      </c>
      <c r="C29802" s="38" t="s">
        <v>34190</v>
      </c>
      <c r="D29802" s="38" t="str">
        <f>IFERROR(__xludf.DUMMYFUNCTION("REGEXREPLACE(C29802,""-\d+(.*)|--\d+(.*)"","""")"),"SAINT-MARTIN-LABOUVAL")</f>
        <v>SAINT-MARTIN-LABOUVAL</v>
      </c>
      <c r="E29802" s="38" t="s">
        <v>185</v>
      </c>
      <c r="F29802" s="38" t="s">
        <v>94</v>
      </c>
      <c r="G29802" s="49" t="str">
        <f t="shared" si="1"/>
        <v>46330</v>
      </c>
      <c r="H29802" s="49">
        <f t="shared" si="2"/>
        <v>46276</v>
      </c>
    </row>
    <row r="29803">
      <c r="A29803" s="48" t="s">
        <v>564</v>
      </c>
      <c r="B29803" s="38">
        <v>73269.0</v>
      </c>
      <c r="C29803" s="38" t="s">
        <v>5044</v>
      </c>
      <c r="D29803" s="38" t="str">
        <f>IFERROR(__xludf.DUMMYFUNCTION("REGEXREPLACE(C29803,""-\d+(.*)|--\d+(.*)"","""")"),"SAINT-PAUL")</f>
        <v>SAINT-PAUL</v>
      </c>
      <c r="E29803" s="38" t="s">
        <v>306</v>
      </c>
      <c r="F29803" s="38" t="s">
        <v>102</v>
      </c>
      <c r="G29803" s="49" t="str">
        <f t="shared" si="1"/>
        <v>73170</v>
      </c>
      <c r="H29803" s="49">
        <f t="shared" si="2"/>
        <v>73269</v>
      </c>
    </row>
    <row r="29804">
      <c r="A29804" s="48" t="s">
        <v>9769</v>
      </c>
      <c r="B29804" s="38">
        <v>46292.0</v>
      </c>
      <c r="C29804" s="38" t="s">
        <v>12675</v>
      </c>
      <c r="D29804" s="38" t="str">
        <f>IFERROR(__xludf.DUMMYFUNCTION("REGEXREPLACE(C29804,""-\d+(.*)|--\d+(.*)"","""")"),"SAINT-SIMON")</f>
        <v>SAINT-SIMON</v>
      </c>
      <c r="E29804" s="38" t="s">
        <v>185</v>
      </c>
      <c r="F29804" s="38" t="s">
        <v>94</v>
      </c>
      <c r="G29804" s="49" t="str">
        <f t="shared" si="1"/>
        <v>46320</v>
      </c>
      <c r="H29804" s="49">
        <f t="shared" si="2"/>
        <v>46292</v>
      </c>
    </row>
    <row r="29805">
      <c r="A29805" s="48" t="s">
        <v>11199</v>
      </c>
      <c r="B29805" s="38">
        <v>31497.0</v>
      </c>
      <c r="C29805" s="38" t="s">
        <v>34191</v>
      </c>
      <c r="D29805" s="38" t="str">
        <f>IFERROR(__xludf.DUMMYFUNCTION("REGEXREPLACE(C29805,""-\d+(.*)|--\d+(.*)"","""")"),"SAINT-LOUP-CAMMAS")</f>
        <v>SAINT-LOUP-CAMMAS</v>
      </c>
      <c r="E29805" s="38" t="s">
        <v>93</v>
      </c>
      <c r="F29805" s="38" t="s">
        <v>94</v>
      </c>
      <c r="G29805" s="49" t="str">
        <f t="shared" si="1"/>
        <v>31140</v>
      </c>
      <c r="H29805" s="49">
        <f t="shared" si="2"/>
        <v>31497</v>
      </c>
    </row>
    <row r="29806">
      <c r="A29806" s="48" t="s">
        <v>9965</v>
      </c>
      <c r="B29806" s="38">
        <v>19033.0</v>
      </c>
      <c r="C29806" s="38" t="s">
        <v>34192</v>
      </c>
      <c r="D29806" s="38" t="str">
        <f>IFERROR(__xludf.DUMMYFUNCTION("REGEXREPLACE(C29806,""-\d+(.*)|--\d+(.*)"","""")"),"BUGEAT")</f>
        <v>BUGEAT</v>
      </c>
      <c r="E29806" s="38" t="s">
        <v>271</v>
      </c>
      <c r="F29806" s="38" t="s">
        <v>98</v>
      </c>
      <c r="G29806" s="49" t="str">
        <f t="shared" si="1"/>
        <v>19170</v>
      </c>
      <c r="H29806" s="49">
        <f t="shared" si="2"/>
        <v>19033</v>
      </c>
    </row>
    <row r="29807">
      <c r="A29807" s="48" t="s">
        <v>7986</v>
      </c>
      <c r="B29807" s="38">
        <v>69245.0</v>
      </c>
      <c r="C29807" s="38" t="s">
        <v>34193</v>
      </c>
      <c r="D29807" s="38" t="str">
        <f>IFERROR(__xludf.DUMMYFUNCTION("REGEXREPLACE(C29807,""-\d+(.*)|--\d+(.*)"","""")"),"TERNAND")</f>
        <v>TERNAND</v>
      </c>
      <c r="E29807" s="38" t="s">
        <v>350</v>
      </c>
      <c r="F29807" s="38" t="s">
        <v>102</v>
      </c>
      <c r="G29807" s="49" t="str">
        <f t="shared" si="1"/>
        <v>69620</v>
      </c>
      <c r="H29807" s="49">
        <f t="shared" si="2"/>
        <v>69245</v>
      </c>
    </row>
    <row r="29808">
      <c r="A29808" s="48" t="s">
        <v>15154</v>
      </c>
      <c r="B29808" s="38">
        <v>21391.0</v>
      </c>
      <c r="C29808" s="38" t="s">
        <v>34194</v>
      </c>
      <c r="D29808" s="38" t="str">
        <f>IFERROR(__xludf.DUMMYFUNCTION("REGEXREPLACE(C29808,""-\d+(.*)|--\d+(.*)"","""")"),"MARSANNAY-LE-BOIS")</f>
        <v>MARSANNAY-LE-BOIS</v>
      </c>
      <c r="E29808" s="38" t="s">
        <v>105</v>
      </c>
      <c r="F29808" s="38" t="s">
        <v>106</v>
      </c>
      <c r="G29808" s="49" t="str">
        <f t="shared" si="1"/>
        <v>21380</v>
      </c>
      <c r="H29808" s="49">
        <f t="shared" si="2"/>
        <v>21391</v>
      </c>
    </row>
    <row r="29809">
      <c r="A29809" s="48" t="s">
        <v>9240</v>
      </c>
      <c r="B29809" s="38">
        <v>47092.0</v>
      </c>
      <c r="C29809" s="38" t="s">
        <v>34195</v>
      </c>
      <c r="D29809" s="38" t="str">
        <f>IFERROR(__xludf.DUMMYFUNCTION("REGEXREPLACE(C29809,""-\d+(.*)|--\d+(.*)"","""")"),"FALS")</f>
        <v>FALS</v>
      </c>
      <c r="E29809" s="38" t="s">
        <v>251</v>
      </c>
      <c r="F29809" s="38" t="s">
        <v>252</v>
      </c>
      <c r="G29809" s="49" t="str">
        <f t="shared" si="1"/>
        <v>47220</v>
      </c>
      <c r="H29809" s="49">
        <f t="shared" si="2"/>
        <v>47092</v>
      </c>
    </row>
    <row r="29810">
      <c r="A29810" s="48" t="s">
        <v>14799</v>
      </c>
      <c r="B29810" s="38">
        <v>54505.0</v>
      </c>
      <c r="C29810" s="38" t="s">
        <v>34196</v>
      </c>
      <c r="D29810" s="38" t="str">
        <f>IFERROR(__xludf.DUMMYFUNCTION("REGEXREPLACE(C29810,""-\d+(.*)|--\d+(.*)"","""")"),"SEXEY-AUX-FORGES")</f>
        <v>SEXEY-AUX-FORGES</v>
      </c>
      <c r="E29810" s="38" t="s">
        <v>548</v>
      </c>
      <c r="F29810" s="38" t="s">
        <v>195</v>
      </c>
      <c r="G29810" s="49" t="str">
        <f t="shared" si="1"/>
        <v>54550</v>
      </c>
      <c r="H29810" s="49">
        <f t="shared" si="2"/>
        <v>54505</v>
      </c>
    </row>
    <row r="29811">
      <c r="A29811" s="48" t="s">
        <v>2560</v>
      </c>
      <c r="B29811" s="38">
        <v>73243.0</v>
      </c>
      <c r="C29811" s="38" t="s">
        <v>34197</v>
      </c>
      <c r="D29811" s="38" t="str">
        <f>IFERROR(__xludf.DUMMYFUNCTION("REGEXREPLACE(C29811,""-\d+(.*)|--\d+(.*)"","""")"),"SAINT-JEAN-D'ARVEY")</f>
        <v>SAINT-JEAN-D'ARVEY</v>
      </c>
      <c r="E29811" s="38" t="s">
        <v>306</v>
      </c>
      <c r="F29811" s="38" t="s">
        <v>102</v>
      </c>
      <c r="G29811" s="49" t="str">
        <f t="shared" si="1"/>
        <v>73230</v>
      </c>
      <c r="H29811" s="49">
        <f t="shared" si="2"/>
        <v>73243</v>
      </c>
    </row>
    <row r="29812">
      <c r="A29812" s="48" t="s">
        <v>4326</v>
      </c>
      <c r="B29812" s="38">
        <v>46063.0</v>
      </c>
      <c r="C29812" s="38" t="s">
        <v>34198</v>
      </c>
      <c r="D29812" s="38" t="str">
        <f>IFERROR(__xludf.DUMMYFUNCTION("REGEXREPLACE(C29812,""-\d+(.*)|--\d+(.*)"","""")"),"CASTELNAU-MONTRATIER")</f>
        <v>CASTELNAU-MONTRATIER</v>
      </c>
      <c r="E29812" s="38" t="s">
        <v>185</v>
      </c>
      <c r="F29812" s="38" t="s">
        <v>94</v>
      </c>
      <c r="G29812" s="49" t="str">
        <f t="shared" si="1"/>
        <v>46170</v>
      </c>
      <c r="H29812" s="49">
        <f t="shared" si="2"/>
        <v>46063</v>
      </c>
    </row>
    <row r="29813">
      <c r="A29813" s="48" t="s">
        <v>5063</v>
      </c>
      <c r="B29813" s="38">
        <v>24367.0</v>
      </c>
      <c r="C29813" s="38" t="s">
        <v>34199</v>
      </c>
      <c r="D29813" s="38" t="str">
        <f>IFERROR(__xludf.DUMMYFUNCTION("REGEXREPLACE(C29813,""-\d+(.*)|--\d+(.*)"","""")"),"SAINT-ANDRE-DE-DOUBLE")</f>
        <v>SAINT-ANDRE-DE-DOUBLE</v>
      </c>
      <c r="E29813" s="38" t="s">
        <v>261</v>
      </c>
      <c r="F29813" s="38" t="s">
        <v>252</v>
      </c>
      <c r="G29813" s="49" t="str">
        <f t="shared" si="1"/>
        <v>24190</v>
      </c>
      <c r="H29813" s="49">
        <f t="shared" si="2"/>
        <v>24367</v>
      </c>
    </row>
    <row r="29814">
      <c r="A29814" s="48" t="s">
        <v>9692</v>
      </c>
      <c r="B29814" s="38">
        <v>18066.0</v>
      </c>
      <c r="C29814" s="38" t="s">
        <v>21958</v>
      </c>
      <c r="D29814" s="38" t="str">
        <f>IFERROR(__xludf.DUMMYFUNCTION("REGEXREPLACE(C29814,""-\d+(.*)|--\d+(.*)"","""")"),"CIVRAY")</f>
        <v>CIVRAY</v>
      </c>
      <c r="E29814" s="38" t="s">
        <v>504</v>
      </c>
      <c r="F29814" s="38" t="s">
        <v>123</v>
      </c>
      <c r="G29814" s="49" t="str">
        <f t="shared" si="1"/>
        <v>18290</v>
      </c>
      <c r="H29814" s="49">
        <f t="shared" si="2"/>
        <v>18066</v>
      </c>
    </row>
    <row r="29815">
      <c r="A29815" s="48" t="s">
        <v>6596</v>
      </c>
      <c r="B29815" s="38">
        <v>18088.0</v>
      </c>
      <c r="C29815" s="38" t="s">
        <v>34200</v>
      </c>
      <c r="D29815" s="38" t="str">
        <f>IFERROR(__xludf.DUMMYFUNCTION("REGEXREPLACE(C29815,""-\d+(.*)|--\d+(.*)"","""")"),"ENNORDRES")</f>
        <v>ENNORDRES</v>
      </c>
      <c r="E29815" s="38" t="s">
        <v>504</v>
      </c>
      <c r="F29815" s="38" t="s">
        <v>123</v>
      </c>
      <c r="G29815" s="49" t="str">
        <f t="shared" si="1"/>
        <v>18380</v>
      </c>
      <c r="H29815" s="49">
        <f t="shared" si="2"/>
        <v>18088</v>
      </c>
    </row>
    <row r="29816">
      <c r="A29816" s="48" t="s">
        <v>2130</v>
      </c>
      <c r="B29816" s="38">
        <v>62648.0</v>
      </c>
      <c r="C29816" s="38" t="s">
        <v>34201</v>
      </c>
      <c r="D29816" s="38" t="str">
        <f>IFERROR(__xludf.DUMMYFUNCTION("REGEXREPLACE(C29816,""-\d+(.*)|--\d+(.*)"","""")"),"PARENTY")</f>
        <v>PARENTY</v>
      </c>
      <c r="E29816" s="38" t="s">
        <v>109</v>
      </c>
      <c r="F29816" s="38" t="s">
        <v>86</v>
      </c>
      <c r="G29816" s="49" t="str">
        <f t="shared" si="1"/>
        <v>62650</v>
      </c>
      <c r="H29816" s="49">
        <f t="shared" si="2"/>
        <v>62648</v>
      </c>
    </row>
    <row r="29817">
      <c r="A29817" s="48" t="s">
        <v>6290</v>
      </c>
      <c r="B29817" s="38">
        <v>60155.0</v>
      </c>
      <c r="C29817" s="38" t="s">
        <v>34202</v>
      </c>
      <c r="D29817" s="38" t="str">
        <f>IFERROR(__xludf.DUMMYFUNCTION("REGEXREPLACE(C29817,""-\d+(.*)|--\d+(.*)"","""")"),"CIRES-LES-MELLO")</f>
        <v>CIRES-LES-MELLO</v>
      </c>
      <c r="E29817" s="38" t="s">
        <v>112</v>
      </c>
      <c r="F29817" s="38" t="s">
        <v>113</v>
      </c>
      <c r="G29817" s="49" t="str">
        <f t="shared" si="1"/>
        <v>60660</v>
      </c>
      <c r="H29817" s="49">
        <f t="shared" si="2"/>
        <v>60155</v>
      </c>
    </row>
    <row r="29818">
      <c r="A29818" s="48" t="s">
        <v>5720</v>
      </c>
      <c r="B29818" s="38">
        <v>86099.0</v>
      </c>
      <c r="C29818" s="38" t="s">
        <v>6687</v>
      </c>
      <c r="D29818" s="38" t="str">
        <f>IFERROR(__xludf.DUMMYFUNCTION("REGEXREPLACE(C29818,""-\d+(.*)|--\d+(.*)"","""")"),"FLEURE")</f>
        <v>FLEURE</v>
      </c>
      <c r="E29818" s="38" t="s">
        <v>529</v>
      </c>
      <c r="F29818" s="38" t="s">
        <v>338</v>
      </c>
      <c r="G29818" s="49" t="str">
        <f t="shared" si="1"/>
        <v>86340</v>
      </c>
      <c r="H29818" s="49">
        <f t="shared" si="2"/>
        <v>86099</v>
      </c>
    </row>
    <row r="29819">
      <c r="A29819" s="48" t="s">
        <v>4648</v>
      </c>
      <c r="B29819" s="38">
        <v>54112.0</v>
      </c>
      <c r="C29819" s="38" t="s">
        <v>34203</v>
      </c>
      <c r="D29819" s="38" t="str">
        <f>IFERROR(__xludf.DUMMYFUNCTION("REGEXREPLACE(C29819,""-\d+(.*)|--\d+(.*)"","""")"),"CHAMBLEY-BUSSIERES")</f>
        <v>CHAMBLEY-BUSSIERES</v>
      </c>
      <c r="E29819" s="38" t="s">
        <v>548</v>
      </c>
      <c r="F29819" s="38" t="s">
        <v>195</v>
      </c>
      <c r="G29819" s="49" t="str">
        <f t="shared" si="1"/>
        <v>54890</v>
      </c>
      <c r="H29819" s="49">
        <f t="shared" si="2"/>
        <v>54112</v>
      </c>
    </row>
    <row r="29820">
      <c r="A29820" s="48" t="s">
        <v>4594</v>
      </c>
      <c r="B29820" s="38">
        <v>62867.0</v>
      </c>
      <c r="C29820" s="38" t="s">
        <v>34204</v>
      </c>
      <c r="D29820" s="38" t="str">
        <f>IFERROR(__xludf.DUMMYFUNCTION("REGEXREPLACE(C29820,""-\d+(.*)|--\d+(.*)"","""")"),"WACQUINGHEN")</f>
        <v>WACQUINGHEN</v>
      </c>
      <c r="E29820" s="38" t="s">
        <v>109</v>
      </c>
      <c r="F29820" s="38" t="s">
        <v>86</v>
      </c>
      <c r="G29820" s="49" t="str">
        <f t="shared" si="1"/>
        <v>62250</v>
      </c>
      <c r="H29820" s="49">
        <f t="shared" si="2"/>
        <v>62867</v>
      </c>
    </row>
    <row r="29821">
      <c r="A29821" s="48" t="s">
        <v>34205</v>
      </c>
      <c r="B29821" s="38">
        <v>30189.0</v>
      </c>
      <c r="C29821" s="38" t="s">
        <v>34206</v>
      </c>
      <c r="D29821" s="38" t="str">
        <f>IFERROR(__xludf.DUMMYFUNCTION("REGEXREPLACE(C29821,""-\d+(.*)|--\d+(.*)"","""")"),"NIMES")</f>
        <v>NIMES</v>
      </c>
      <c r="E29821" s="38" t="s">
        <v>526</v>
      </c>
      <c r="F29821" s="38" t="s">
        <v>119</v>
      </c>
      <c r="G29821" s="49" t="str">
        <f t="shared" si="1"/>
        <v>30000/30900</v>
      </c>
      <c r="H29821" s="49">
        <f t="shared" si="2"/>
        <v>30189</v>
      </c>
    </row>
    <row r="29822">
      <c r="A29822" s="48" t="s">
        <v>2149</v>
      </c>
      <c r="B29822" s="38">
        <v>83002.0</v>
      </c>
      <c r="C29822" s="38" t="s">
        <v>34207</v>
      </c>
      <c r="D29822" s="38" t="str">
        <f>IFERROR(__xludf.DUMMYFUNCTION("REGEXREPLACE(C29822,""-\d+(.*)|--\d+(.*)"","""")"),"AIGUINES")</f>
        <v>AIGUINES</v>
      </c>
      <c r="E29822" s="38" t="s">
        <v>813</v>
      </c>
      <c r="F29822" s="38" t="s">
        <v>228</v>
      </c>
      <c r="G29822" s="49" t="str">
        <f t="shared" si="1"/>
        <v>83630</v>
      </c>
      <c r="H29822" s="49">
        <f t="shared" si="2"/>
        <v>83002</v>
      </c>
    </row>
    <row r="29823">
      <c r="A29823" s="48" t="s">
        <v>34208</v>
      </c>
      <c r="B29823" s="38" t="s">
        <v>34209</v>
      </c>
      <c r="C29823" s="38" t="s">
        <v>34210</v>
      </c>
      <c r="D29823" s="38" t="str">
        <f>IFERROR(__xludf.DUMMYFUNCTION("REGEXREPLACE(C29823,""-\d+(.*)|--\d+(.*)"","""")"),"VENACO")</f>
        <v>VENACO</v>
      </c>
      <c r="E29823" s="38" t="s">
        <v>743</v>
      </c>
      <c r="F29823" s="38" t="s">
        <v>607</v>
      </c>
      <c r="G29823" s="49" t="str">
        <f t="shared" si="1"/>
        <v>20231</v>
      </c>
      <c r="H29823" s="49" t="str">
        <f t="shared" si="2"/>
        <v>2B341</v>
      </c>
    </row>
    <row r="29824">
      <c r="A29824" s="48" t="s">
        <v>16627</v>
      </c>
      <c r="B29824" s="38">
        <v>10340.0</v>
      </c>
      <c r="C29824" s="38" t="s">
        <v>6018</v>
      </c>
      <c r="D29824" s="38" t="str">
        <f>IFERROR(__xludf.DUMMYFUNCTION("REGEXREPLACE(C29824,""-\d+(.*)|--\d+(.*)"","""")"),"SAINT-GERMAIN")</f>
        <v>SAINT-GERMAIN</v>
      </c>
      <c r="E29824" s="38" t="s">
        <v>147</v>
      </c>
      <c r="F29824" s="38" t="s">
        <v>130</v>
      </c>
      <c r="G29824" s="49" t="str">
        <f t="shared" si="1"/>
        <v>10120</v>
      </c>
      <c r="H29824" s="49">
        <f t="shared" si="2"/>
        <v>10340</v>
      </c>
    </row>
    <row r="29825">
      <c r="A29825" s="48" t="s">
        <v>10904</v>
      </c>
      <c r="B29825" s="38">
        <v>74189.0</v>
      </c>
      <c r="C29825" s="38" t="s">
        <v>34211</v>
      </c>
      <c r="D29825" s="38" t="str">
        <f>IFERROR(__xludf.DUMMYFUNCTION("REGEXREPLACE(C29825,""-\d+(.*)|--\d+(.*)"","""")"),"MONT-SAXONNEX")</f>
        <v>MONT-SAXONNEX</v>
      </c>
      <c r="E29825" s="38" t="s">
        <v>319</v>
      </c>
      <c r="F29825" s="38" t="s">
        <v>102</v>
      </c>
      <c r="G29825" s="49" t="str">
        <f t="shared" si="1"/>
        <v>74130</v>
      </c>
      <c r="H29825" s="49">
        <f t="shared" si="2"/>
        <v>74189</v>
      </c>
    </row>
    <row r="29826">
      <c r="A29826" s="48" t="s">
        <v>6948</v>
      </c>
      <c r="B29826" s="38">
        <v>17316.0</v>
      </c>
      <c r="C29826" s="38" t="s">
        <v>34212</v>
      </c>
      <c r="D29826" s="38" t="str">
        <f>IFERROR(__xludf.DUMMYFUNCTION("REGEXREPLACE(C29826,""-\d+(.*)|--\d+(.*)"","""")"),"SAINT-CIERS-CHAMPAGNE")</f>
        <v>SAINT-CIERS-CHAMPAGNE</v>
      </c>
      <c r="E29826" s="38" t="s">
        <v>488</v>
      </c>
      <c r="F29826" s="38" t="s">
        <v>338</v>
      </c>
      <c r="G29826" s="49" t="str">
        <f t="shared" si="1"/>
        <v>17520</v>
      </c>
      <c r="H29826" s="49">
        <f t="shared" si="2"/>
        <v>17316</v>
      </c>
    </row>
    <row r="29827">
      <c r="A29827" s="48" t="s">
        <v>1697</v>
      </c>
      <c r="B29827" s="38">
        <v>39394.0</v>
      </c>
      <c r="C29827" s="38" t="s">
        <v>34213</v>
      </c>
      <c r="D29827" s="38" t="str">
        <f>IFERROR(__xludf.DUMMYFUNCTION("REGEXREPLACE(C29827,""-\d+(.*)|--\d+(.*)"","""")"),"ONOZ")</f>
        <v>ONOZ</v>
      </c>
      <c r="E29827" s="38" t="s">
        <v>400</v>
      </c>
      <c r="F29827" s="38" t="s">
        <v>214</v>
      </c>
      <c r="G29827" s="49" t="str">
        <f t="shared" si="1"/>
        <v>39270</v>
      </c>
      <c r="H29827" s="49">
        <f t="shared" si="2"/>
        <v>39394</v>
      </c>
    </row>
    <row r="29828">
      <c r="A29828" s="48" t="s">
        <v>6487</v>
      </c>
      <c r="B29828" s="38">
        <v>1441.0</v>
      </c>
      <c r="C29828" s="38" t="s">
        <v>34214</v>
      </c>
      <c r="D29828" s="38" t="str">
        <f>IFERROR(__xludf.DUMMYFUNCTION("REGEXREPLACE(C29828,""-\d+(.*)|--\d+(.*)"","""")"),"VIEU-D'IZENAVE")</f>
        <v>VIEU-D'IZENAVE</v>
      </c>
      <c r="E29828" s="38" t="s">
        <v>255</v>
      </c>
      <c r="F29828" s="38" t="s">
        <v>102</v>
      </c>
      <c r="G29828" s="49" t="str">
        <f t="shared" si="1"/>
        <v>01430</v>
      </c>
      <c r="H29828" s="49" t="str">
        <f t="shared" si="2"/>
        <v>01441</v>
      </c>
    </row>
    <row r="29829">
      <c r="A29829" s="48" t="s">
        <v>181</v>
      </c>
      <c r="B29829" s="38">
        <v>51479.0</v>
      </c>
      <c r="C29829" s="38" t="s">
        <v>34215</v>
      </c>
      <c r="D29829" s="38" t="str">
        <f>IFERROR(__xludf.DUMMYFUNCTION("REGEXREPLACE(C29829,""-\d+(.*)|--\d+(.*)"","""")"),"SAINT-EUPHRAISE-ET-CLAIRIZET")</f>
        <v>SAINT-EUPHRAISE-ET-CLAIRIZET</v>
      </c>
      <c r="E29829" s="38" t="s">
        <v>129</v>
      </c>
      <c r="F29829" s="38" t="s">
        <v>130</v>
      </c>
      <c r="G29829" s="49" t="str">
        <f t="shared" si="1"/>
        <v>51390</v>
      </c>
      <c r="H29829" s="49">
        <f t="shared" si="2"/>
        <v>51479</v>
      </c>
    </row>
    <row r="29830">
      <c r="A29830" s="48" t="s">
        <v>2116</v>
      </c>
      <c r="B29830" s="38">
        <v>26370.0</v>
      </c>
      <c r="C29830" s="38" t="s">
        <v>34216</v>
      </c>
      <c r="D29830" s="38" t="str">
        <f>IFERROR(__xludf.DUMMYFUNCTION("REGEXREPLACE(C29830,""-\d+(.*)|--\d+(.*)"","""")"),"VERCOIRAN")</f>
        <v>VERCOIRAN</v>
      </c>
      <c r="E29830" s="38" t="s">
        <v>126</v>
      </c>
      <c r="F29830" s="38" t="s">
        <v>102</v>
      </c>
      <c r="G29830" s="49" t="str">
        <f t="shared" si="1"/>
        <v>26170</v>
      </c>
      <c r="H29830" s="49">
        <f t="shared" si="2"/>
        <v>26370</v>
      </c>
    </row>
    <row r="29831">
      <c r="A29831" s="48" t="s">
        <v>8577</v>
      </c>
      <c r="B29831" s="38">
        <v>3007.0</v>
      </c>
      <c r="C29831" s="38" t="s">
        <v>34217</v>
      </c>
      <c r="D29831" s="38" t="str">
        <f>IFERROR(__xludf.DUMMYFUNCTION("REGEXREPLACE(C29831,""-\d+(.*)|--\d+(.*)"","""")"),"ARPHEUILLES-SAINT-PRIEST")</f>
        <v>ARPHEUILLES-SAINT-PRIEST</v>
      </c>
      <c r="E29831" s="38" t="s">
        <v>160</v>
      </c>
      <c r="F29831" s="38" t="s">
        <v>161</v>
      </c>
      <c r="G29831" s="49" t="str">
        <f t="shared" si="1"/>
        <v>03420</v>
      </c>
      <c r="H29831" s="49" t="str">
        <f t="shared" si="2"/>
        <v>03007</v>
      </c>
    </row>
    <row r="29832">
      <c r="A29832" s="48" t="s">
        <v>2558</v>
      </c>
      <c r="B29832" s="38">
        <v>16032.0</v>
      </c>
      <c r="C29832" s="38" t="s">
        <v>34218</v>
      </c>
      <c r="D29832" s="38" t="str">
        <f>IFERROR(__xludf.DUMMYFUNCTION("REGEXREPLACE(C29832,""-\d+(.*)|--\d+(.*)"","""")"),"BASSAC")</f>
        <v>BASSAC</v>
      </c>
      <c r="E29832" s="38" t="s">
        <v>429</v>
      </c>
      <c r="F29832" s="38" t="s">
        <v>338</v>
      </c>
      <c r="G29832" s="49" t="str">
        <f t="shared" si="1"/>
        <v>16120</v>
      </c>
      <c r="H29832" s="49">
        <f t="shared" si="2"/>
        <v>16032</v>
      </c>
    </row>
    <row r="29833">
      <c r="A29833" s="48" t="s">
        <v>211</v>
      </c>
      <c r="B29833" s="38">
        <v>25016.0</v>
      </c>
      <c r="C29833" s="38" t="s">
        <v>34219</v>
      </c>
      <c r="D29833" s="38" t="str">
        <f>IFERROR(__xludf.DUMMYFUNCTION("REGEXREPLACE(C29833,""-\d+(.*)|--\d+(.*)"","""")"),"AMATHAY-VESIGNEUX")</f>
        <v>AMATHAY-VESIGNEUX</v>
      </c>
      <c r="E29833" s="38" t="s">
        <v>213</v>
      </c>
      <c r="F29833" s="38" t="s">
        <v>214</v>
      </c>
      <c r="G29833" s="49" t="str">
        <f t="shared" si="1"/>
        <v>25330</v>
      </c>
      <c r="H29833" s="49">
        <f t="shared" si="2"/>
        <v>25016</v>
      </c>
    </row>
    <row r="29834">
      <c r="A29834" s="48" t="s">
        <v>719</v>
      </c>
      <c r="B29834" s="38">
        <v>8201.0</v>
      </c>
      <c r="C29834" s="38" t="s">
        <v>34220</v>
      </c>
      <c r="D29834" s="38" t="str">
        <f>IFERROR(__xludf.DUMMYFUNCTION("REGEXREPLACE(C29834,""-\d+(.*)|--\d+(.*)"","""")"),"GRUYERES")</f>
        <v>GRUYERES</v>
      </c>
      <c r="E29834" s="38" t="s">
        <v>327</v>
      </c>
      <c r="F29834" s="38" t="s">
        <v>130</v>
      </c>
      <c r="G29834" s="49" t="str">
        <f t="shared" si="1"/>
        <v>08430</v>
      </c>
      <c r="H29834" s="49" t="str">
        <f t="shared" si="2"/>
        <v>08201</v>
      </c>
    </row>
    <row r="29835">
      <c r="A29835" s="48" t="s">
        <v>1881</v>
      </c>
      <c r="B29835" s="38">
        <v>69144.0</v>
      </c>
      <c r="C29835" s="38" t="s">
        <v>34221</v>
      </c>
      <c r="D29835" s="38" t="str">
        <f>IFERROR(__xludf.DUMMYFUNCTION("REGEXREPLACE(C29835,""-\d+(.*)|--\d+(.*)"","""")"),"NUELLES")</f>
        <v>NUELLES</v>
      </c>
      <c r="E29835" s="38" t="s">
        <v>350</v>
      </c>
      <c r="F29835" s="38" t="s">
        <v>102</v>
      </c>
      <c r="G29835" s="49" t="str">
        <f t="shared" si="1"/>
        <v>69210</v>
      </c>
      <c r="H29835" s="49">
        <f t="shared" si="2"/>
        <v>69144</v>
      </c>
    </row>
    <row r="29836">
      <c r="A29836" s="48" t="s">
        <v>6340</v>
      </c>
      <c r="B29836" s="38">
        <v>89028.0</v>
      </c>
      <c r="C29836" s="38" t="s">
        <v>34222</v>
      </c>
      <c r="D29836" s="38" t="str">
        <f>IFERROR(__xludf.DUMMYFUNCTION("REGEXREPLACE(C29836,""-\d+(.*)|--\d+(.*)"","""")"),"BAON")</f>
        <v>BAON</v>
      </c>
      <c r="E29836" s="38" t="s">
        <v>275</v>
      </c>
      <c r="F29836" s="38" t="s">
        <v>106</v>
      </c>
      <c r="G29836" s="49" t="str">
        <f t="shared" si="1"/>
        <v>89430</v>
      </c>
      <c r="H29836" s="49">
        <f t="shared" si="2"/>
        <v>89028</v>
      </c>
    </row>
    <row r="29837">
      <c r="A29837" s="48" t="s">
        <v>10463</v>
      </c>
      <c r="B29837" s="38">
        <v>50111.0</v>
      </c>
      <c r="C29837" s="38" t="s">
        <v>34223</v>
      </c>
      <c r="D29837" s="38" t="str">
        <f>IFERROR(__xludf.DUMMYFUNCTION("REGEXREPLACE(C29837,""-\d+(.*)|--\d+(.*)"","""")"),"CERISY-LA-SALLE")</f>
        <v>CERISY-LA-SALLE</v>
      </c>
      <c r="E29837" s="38" t="s">
        <v>157</v>
      </c>
      <c r="F29837" s="38" t="s">
        <v>138</v>
      </c>
      <c r="G29837" s="49" t="str">
        <f t="shared" si="1"/>
        <v>50210</v>
      </c>
      <c r="H29837" s="49">
        <f t="shared" si="2"/>
        <v>50111</v>
      </c>
    </row>
    <row r="29838">
      <c r="A29838" s="48" t="s">
        <v>15194</v>
      </c>
      <c r="B29838" s="38">
        <v>24066.0</v>
      </c>
      <c r="C29838" s="38" t="s">
        <v>34224</v>
      </c>
      <c r="D29838" s="38" t="str">
        <f>IFERROR(__xludf.DUMMYFUNCTION("REGEXREPLACE(C29838,""-\d+(.*)|--\d+(.*)"","""")"),"BROUCHAUD")</f>
        <v>BROUCHAUD</v>
      </c>
      <c r="E29838" s="38" t="s">
        <v>261</v>
      </c>
      <c r="F29838" s="38" t="s">
        <v>252</v>
      </c>
      <c r="G29838" s="49" t="str">
        <f t="shared" si="1"/>
        <v>24210</v>
      </c>
      <c r="H29838" s="49">
        <f t="shared" si="2"/>
        <v>24066</v>
      </c>
    </row>
    <row r="29839">
      <c r="A29839" s="48" t="s">
        <v>1733</v>
      </c>
      <c r="B29839" s="38">
        <v>23055.0</v>
      </c>
      <c r="C29839" s="38" t="s">
        <v>34225</v>
      </c>
      <c r="D29839" s="38" t="str">
        <f>IFERROR(__xludf.DUMMYFUNCTION("REGEXREPLACE(C29839,""-\d+(.*)|--\d+(.*)"","""")"),"CHATELARD")</f>
        <v>CHATELARD</v>
      </c>
      <c r="E29839" s="38" t="s">
        <v>97</v>
      </c>
      <c r="F29839" s="38" t="s">
        <v>98</v>
      </c>
      <c r="G29839" s="49" t="str">
        <f t="shared" si="1"/>
        <v>23700</v>
      </c>
      <c r="H29839" s="49">
        <f t="shared" si="2"/>
        <v>23055</v>
      </c>
    </row>
    <row r="29840">
      <c r="A29840" s="48" t="s">
        <v>294</v>
      </c>
      <c r="B29840" s="38">
        <v>40166.0</v>
      </c>
      <c r="C29840" s="38" t="s">
        <v>34226</v>
      </c>
      <c r="D29840" s="38" t="str">
        <f>IFERROR(__xludf.DUMMYFUNCTION("REGEXREPLACE(C29840,""-\d+(.*)|--\d+(.*)"","""")"),"LUSSAGNET")</f>
        <v>LUSSAGNET</v>
      </c>
      <c r="E29840" s="38" t="s">
        <v>281</v>
      </c>
      <c r="F29840" s="38" t="s">
        <v>252</v>
      </c>
      <c r="G29840" s="49" t="str">
        <f t="shared" si="1"/>
        <v>40270</v>
      </c>
      <c r="H29840" s="49">
        <f t="shared" si="2"/>
        <v>40166</v>
      </c>
    </row>
    <row r="29841">
      <c r="A29841" s="48" t="s">
        <v>4907</v>
      </c>
      <c r="B29841" s="38">
        <v>73011.0</v>
      </c>
      <c r="C29841" s="38" t="s">
        <v>34227</v>
      </c>
      <c r="D29841" s="38" t="str">
        <f>IFERROR(__xludf.DUMMYFUNCTION("REGEXREPLACE(C29841,""-\d+(.*)|--\d+(.*)"","""")"),"ALBERTVILLE")</f>
        <v>ALBERTVILLE</v>
      </c>
      <c r="E29841" s="38" t="s">
        <v>306</v>
      </c>
      <c r="F29841" s="38" t="s">
        <v>102</v>
      </c>
      <c r="G29841" s="49" t="str">
        <f t="shared" si="1"/>
        <v>73200</v>
      </c>
      <c r="H29841" s="49">
        <f t="shared" si="2"/>
        <v>73011</v>
      </c>
    </row>
    <row r="29842">
      <c r="A29842" s="48" t="s">
        <v>702</v>
      </c>
      <c r="B29842" s="38">
        <v>31260.0</v>
      </c>
      <c r="C29842" s="38" t="s">
        <v>34228</v>
      </c>
      <c r="D29842" s="38" t="str">
        <f>IFERROR(__xludf.DUMMYFUNCTION("REGEXREPLACE(C29842,""-\d+(.*)|--\d+(.*)"","""")"),"LAFFITE-TOUPIERE")</f>
        <v>LAFFITE-TOUPIERE</v>
      </c>
      <c r="E29842" s="38" t="s">
        <v>93</v>
      </c>
      <c r="F29842" s="38" t="s">
        <v>94</v>
      </c>
      <c r="G29842" s="49" t="str">
        <f t="shared" si="1"/>
        <v>31360</v>
      </c>
      <c r="H29842" s="49">
        <f t="shared" si="2"/>
        <v>31260</v>
      </c>
    </row>
    <row r="29843">
      <c r="A29843" s="48" t="s">
        <v>6504</v>
      </c>
      <c r="B29843" s="38">
        <v>24046.0</v>
      </c>
      <c r="C29843" s="38" t="s">
        <v>34229</v>
      </c>
      <c r="D29843" s="38" t="str">
        <f>IFERROR(__xludf.DUMMYFUNCTION("REGEXREPLACE(C29843,""-\d+(.*)|--\d+(.*)"","""")"),"BOISSEUILH")</f>
        <v>BOISSEUILH</v>
      </c>
      <c r="E29843" s="38" t="s">
        <v>261</v>
      </c>
      <c r="F29843" s="38" t="s">
        <v>252</v>
      </c>
      <c r="G29843" s="49" t="str">
        <f t="shared" si="1"/>
        <v>24390</v>
      </c>
      <c r="H29843" s="49">
        <f t="shared" si="2"/>
        <v>24046</v>
      </c>
    </row>
    <row r="29844">
      <c r="A29844" s="48" t="s">
        <v>22410</v>
      </c>
      <c r="B29844" s="38">
        <v>58111.0</v>
      </c>
      <c r="C29844" s="38" t="s">
        <v>34230</v>
      </c>
      <c r="D29844" s="38" t="str">
        <f>IFERROR(__xludf.DUMMYFUNCTION("REGEXREPLACE(C29844,""-\d+(.*)|--\d+(.*)"","""")"),"FACHIN")</f>
        <v>FACHIN</v>
      </c>
      <c r="E29844" s="38" t="s">
        <v>219</v>
      </c>
      <c r="F29844" s="38" t="s">
        <v>106</v>
      </c>
      <c r="G29844" s="49" t="str">
        <f t="shared" si="1"/>
        <v>58430</v>
      </c>
      <c r="H29844" s="49">
        <f t="shared" si="2"/>
        <v>58111</v>
      </c>
    </row>
    <row r="29845">
      <c r="A29845" s="48" t="s">
        <v>1733</v>
      </c>
      <c r="B29845" s="38">
        <v>23034.0</v>
      </c>
      <c r="C29845" s="38" t="s">
        <v>13293</v>
      </c>
      <c r="D29845" s="38" t="str">
        <f>IFERROR(__xludf.DUMMYFUNCTION("REGEXREPLACE(C29845,""-\d+(.*)|--\d+(.*)"","""")"),"BROUSSE")</f>
        <v>BROUSSE</v>
      </c>
      <c r="E29845" s="38" t="s">
        <v>97</v>
      </c>
      <c r="F29845" s="38" t="s">
        <v>98</v>
      </c>
      <c r="G29845" s="49" t="str">
        <f t="shared" si="1"/>
        <v>23700</v>
      </c>
      <c r="H29845" s="49">
        <f t="shared" si="2"/>
        <v>23034</v>
      </c>
    </row>
    <row r="29846">
      <c r="A29846" s="48" t="s">
        <v>6890</v>
      </c>
      <c r="B29846" s="38">
        <v>51326.0</v>
      </c>
      <c r="C29846" s="38" t="s">
        <v>34231</v>
      </c>
      <c r="D29846" s="38" t="str">
        <f>IFERROR(__xludf.DUMMYFUNCTION("REGEXREPLACE(C29846,""-\d+(.*)|--\d+(.*)"","""")"),"LIVRY-LOUVERCY")</f>
        <v>LIVRY-LOUVERCY</v>
      </c>
      <c r="E29846" s="38" t="s">
        <v>129</v>
      </c>
      <c r="F29846" s="38" t="s">
        <v>130</v>
      </c>
      <c r="G29846" s="49" t="str">
        <f t="shared" si="1"/>
        <v>51400</v>
      </c>
      <c r="H29846" s="49">
        <f t="shared" si="2"/>
        <v>51326</v>
      </c>
    </row>
    <row r="29847">
      <c r="A29847" s="48" t="s">
        <v>3452</v>
      </c>
      <c r="B29847" s="38">
        <v>36180.0</v>
      </c>
      <c r="C29847" s="38" t="s">
        <v>34232</v>
      </c>
      <c r="D29847" s="38" t="str">
        <f>IFERROR(__xludf.DUMMYFUNCTION("REGEXREPLACE(C29847,""-\d+(.*)|--\d+(.*)"","""")"),"SAINT-AOUT")</f>
        <v>SAINT-AOUT</v>
      </c>
      <c r="E29847" s="38" t="s">
        <v>258</v>
      </c>
      <c r="F29847" s="38" t="s">
        <v>123</v>
      </c>
      <c r="G29847" s="49" t="str">
        <f t="shared" si="1"/>
        <v>36120</v>
      </c>
      <c r="H29847" s="49">
        <f t="shared" si="2"/>
        <v>36180</v>
      </c>
    </row>
    <row r="29848">
      <c r="A29848" s="48" t="s">
        <v>5198</v>
      </c>
      <c r="B29848" s="38">
        <v>39302.0</v>
      </c>
      <c r="C29848" s="38" t="s">
        <v>34233</v>
      </c>
      <c r="D29848" s="38" t="str">
        <f>IFERROR(__xludf.DUMMYFUNCTION("REGEXREPLACE(C29848,""-\d+(.*)|--\d+(.*)"","""")"),"LOUVATANGE")</f>
        <v>LOUVATANGE</v>
      </c>
      <c r="E29848" s="38" t="s">
        <v>400</v>
      </c>
      <c r="F29848" s="38" t="s">
        <v>214</v>
      </c>
      <c r="G29848" s="49" t="str">
        <f t="shared" si="1"/>
        <v>39350</v>
      </c>
      <c r="H29848" s="49">
        <f t="shared" si="2"/>
        <v>39302</v>
      </c>
    </row>
    <row r="29849">
      <c r="A29849" s="48" t="s">
        <v>7722</v>
      </c>
      <c r="B29849" s="38">
        <v>25031.0</v>
      </c>
      <c r="C29849" s="38" t="s">
        <v>34234</v>
      </c>
      <c r="D29849" s="38" t="str">
        <f>IFERROR(__xludf.DUMMYFUNCTION("REGEXREPLACE(C29849,""-\d+(.*)|--\d+(.*)"","""")"),"AUDINCOURT")</f>
        <v>AUDINCOURT</v>
      </c>
      <c r="E29849" s="38" t="s">
        <v>213</v>
      </c>
      <c r="F29849" s="38" t="s">
        <v>214</v>
      </c>
      <c r="G29849" s="49" t="str">
        <f t="shared" si="1"/>
        <v>25400</v>
      </c>
      <c r="H29849" s="49">
        <f t="shared" si="2"/>
        <v>25031</v>
      </c>
    </row>
    <row r="29850">
      <c r="A29850" s="48" t="s">
        <v>5020</v>
      </c>
      <c r="B29850" s="38">
        <v>51380.0</v>
      </c>
      <c r="C29850" s="38" t="s">
        <v>14707</v>
      </c>
      <c r="D29850" s="38" t="str">
        <f>IFERROR(__xludf.DUMMYFUNCTION("REGEXREPLACE(C29850,""-\d+(.*)|--\d+(.*)"","""")"),"MONTMIRAIL")</f>
        <v>MONTMIRAIL</v>
      </c>
      <c r="E29850" s="38" t="s">
        <v>129</v>
      </c>
      <c r="F29850" s="38" t="s">
        <v>130</v>
      </c>
      <c r="G29850" s="49" t="str">
        <f t="shared" si="1"/>
        <v>51210</v>
      </c>
      <c r="H29850" s="49">
        <f t="shared" si="2"/>
        <v>51380</v>
      </c>
    </row>
    <row r="29851">
      <c r="A29851" s="48" t="s">
        <v>34235</v>
      </c>
      <c r="B29851" s="38">
        <v>77251.0</v>
      </c>
      <c r="C29851" s="38" t="s">
        <v>29882</v>
      </c>
      <c r="D29851" s="38" t="str">
        <f>IFERROR(__xludf.DUMMYFUNCTION("REGEXREPLACE(C29851,""-\d+(.*)|--\d+(.*)"","""")"),"LIEUSAINT")</f>
        <v>LIEUSAINT</v>
      </c>
      <c r="E29851" s="38" t="s">
        <v>244</v>
      </c>
      <c r="F29851" s="38" t="s">
        <v>245</v>
      </c>
      <c r="G29851" s="49" t="str">
        <f t="shared" si="1"/>
        <v>77127</v>
      </c>
      <c r="H29851" s="49">
        <f t="shared" si="2"/>
        <v>77251</v>
      </c>
    </row>
    <row r="29852">
      <c r="A29852" s="48" t="s">
        <v>10282</v>
      </c>
      <c r="B29852" s="38">
        <v>81250.0</v>
      </c>
      <c r="C29852" s="38" t="s">
        <v>34236</v>
      </c>
      <c r="D29852" s="38" t="str">
        <f>IFERROR(__xludf.DUMMYFUNCTION("REGEXREPLACE(C29852,""-\d+(.*)|--\d+(.*)"","""")"),"SAINT-GENEST-DE-CONTEST")</f>
        <v>SAINT-GENEST-DE-CONTEST</v>
      </c>
      <c r="E29852" s="38" t="s">
        <v>231</v>
      </c>
      <c r="F29852" s="38" t="s">
        <v>94</v>
      </c>
      <c r="G29852" s="49" t="str">
        <f t="shared" si="1"/>
        <v>81440</v>
      </c>
      <c r="H29852" s="49">
        <f t="shared" si="2"/>
        <v>81250</v>
      </c>
    </row>
    <row r="29853">
      <c r="A29853" s="48" t="s">
        <v>1106</v>
      </c>
      <c r="B29853" s="38">
        <v>14635.0</v>
      </c>
      <c r="C29853" s="38" t="s">
        <v>16207</v>
      </c>
      <c r="D29853" s="38" t="str">
        <f>IFERROR(__xludf.DUMMYFUNCTION("REGEXREPLACE(C29853,""-\d+(.*)|--\d+(.*)"","""")"),"SAINT-OMER")</f>
        <v>SAINT-OMER</v>
      </c>
      <c r="E29853" s="38" t="s">
        <v>137</v>
      </c>
      <c r="F29853" s="38" t="s">
        <v>138</v>
      </c>
      <c r="G29853" s="49" t="str">
        <f t="shared" si="1"/>
        <v>14220</v>
      </c>
      <c r="H29853" s="49">
        <f t="shared" si="2"/>
        <v>14635</v>
      </c>
    </row>
    <row r="29854">
      <c r="A29854" s="48" t="s">
        <v>904</v>
      </c>
      <c r="B29854" s="38">
        <v>69251.0</v>
      </c>
      <c r="C29854" s="38" t="s">
        <v>34237</v>
      </c>
      <c r="D29854" s="38" t="str">
        <f>IFERROR(__xludf.DUMMYFUNCTION("REGEXREPLACE(C29854,""-\d+(.*)|--\d+(.*)"","""")"),"TRADES")</f>
        <v>TRADES</v>
      </c>
      <c r="E29854" s="38" t="s">
        <v>350</v>
      </c>
      <c r="F29854" s="38" t="s">
        <v>102</v>
      </c>
      <c r="G29854" s="49" t="str">
        <f t="shared" si="1"/>
        <v>69860</v>
      </c>
      <c r="H29854" s="49">
        <f t="shared" si="2"/>
        <v>69251</v>
      </c>
    </row>
    <row r="29855">
      <c r="A29855" s="48" t="s">
        <v>4196</v>
      </c>
      <c r="B29855" s="38">
        <v>8391.0</v>
      </c>
      <c r="C29855" s="38" t="s">
        <v>34238</v>
      </c>
      <c r="D29855" s="38" t="str">
        <f>IFERROR(__xludf.DUMMYFUNCTION("REGEXREPLACE(C29855,""-\d+(.*)|--\d+(.*)"","""")"),"SAINT-MENGES")</f>
        <v>SAINT-MENGES</v>
      </c>
      <c r="E29855" s="38" t="s">
        <v>327</v>
      </c>
      <c r="F29855" s="38" t="s">
        <v>130</v>
      </c>
      <c r="G29855" s="49" t="str">
        <f t="shared" si="1"/>
        <v>08200</v>
      </c>
      <c r="H29855" s="49" t="str">
        <f t="shared" si="2"/>
        <v>08391</v>
      </c>
    </row>
    <row r="29856">
      <c r="A29856" s="48" t="s">
        <v>17116</v>
      </c>
      <c r="B29856" s="38">
        <v>31036.0</v>
      </c>
      <c r="C29856" s="38" t="s">
        <v>34239</v>
      </c>
      <c r="D29856" s="38" t="str">
        <f>IFERROR(__xludf.DUMMYFUNCTION("REGEXREPLACE(C29856,""-\d+(.*)|--\d+(.*)"","""")"),"AUZIELLE")</f>
        <v>AUZIELLE</v>
      </c>
      <c r="E29856" s="38" t="s">
        <v>93</v>
      </c>
      <c r="F29856" s="38" t="s">
        <v>94</v>
      </c>
      <c r="G29856" s="49" t="str">
        <f t="shared" si="1"/>
        <v>31650</v>
      </c>
      <c r="H29856" s="49">
        <f t="shared" si="2"/>
        <v>31036</v>
      </c>
    </row>
    <row r="29857">
      <c r="A29857" s="48" t="s">
        <v>2376</v>
      </c>
      <c r="B29857" s="38">
        <v>79068.0</v>
      </c>
      <c r="C29857" s="38" t="s">
        <v>34240</v>
      </c>
      <c r="D29857" s="38" t="str">
        <f>IFERROR(__xludf.DUMMYFUNCTION("REGEXREPLACE(C29857,""-\d+(.*)|--\d+(.*)"","""")"),"CHANTECORPS")</f>
        <v>CHANTECORPS</v>
      </c>
      <c r="E29857" s="38" t="s">
        <v>337</v>
      </c>
      <c r="F29857" s="38" t="s">
        <v>338</v>
      </c>
      <c r="G29857" s="49" t="str">
        <f t="shared" si="1"/>
        <v>79340</v>
      </c>
      <c r="H29857" s="49">
        <f t="shared" si="2"/>
        <v>79068</v>
      </c>
    </row>
    <row r="29858">
      <c r="A29858" s="48" t="s">
        <v>1402</v>
      </c>
      <c r="B29858" s="38">
        <v>44212.0</v>
      </c>
      <c r="C29858" s="38" t="s">
        <v>34241</v>
      </c>
      <c r="D29858" s="38" t="str">
        <f>IFERROR(__xludf.DUMMYFUNCTION("REGEXREPLACE(C29858,""-\d+(.*)|--\d+(.*)"","""")"),"VALLET")</f>
        <v>VALLET</v>
      </c>
      <c r="E29858" s="38" t="s">
        <v>759</v>
      </c>
      <c r="F29858" s="38" t="s">
        <v>180</v>
      </c>
      <c r="G29858" s="49" t="str">
        <f t="shared" si="1"/>
        <v>44330</v>
      </c>
      <c r="H29858" s="49">
        <f t="shared" si="2"/>
        <v>44212</v>
      </c>
    </row>
    <row r="29859">
      <c r="A29859" s="48" t="s">
        <v>6602</v>
      </c>
      <c r="B29859" s="38">
        <v>68385.0</v>
      </c>
      <c r="C29859" s="38" t="s">
        <v>34242</v>
      </c>
      <c r="D29859" s="38" t="str">
        <f>IFERROR(__xludf.DUMMYFUNCTION("REGEXREPLACE(C29859,""-\d+(.*)|--\d+(.*)"","""")"),"ZIMMERBACH")</f>
        <v>ZIMMERBACH</v>
      </c>
      <c r="E29859" s="38" t="s">
        <v>150</v>
      </c>
      <c r="F29859" s="38" t="s">
        <v>151</v>
      </c>
      <c r="G29859" s="49" t="str">
        <f t="shared" si="1"/>
        <v>68230</v>
      </c>
      <c r="H29859" s="49">
        <f t="shared" si="2"/>
        <v>68385</v>
      </c>
    </row>
    <row r="29860">
      <c r="A29860" s="48" t="s">
        <v>2368</v>
      </c>
      <c r="B29860" s="38">
        <v>65116.0</v>
      </c>
      <c r="C29860" s="38" t="s">
        <v>34243</v>
      </c>
      <c r="D29860" s="38" t="str">
        <f>IFERROR(__xludf.DUMMYFUNCTION("REGEXREPLACE(C29860,""-\d+(.*)|--\d+(.*)"","""")"),"CADEAC")</f>
        <v>CADEAC</v>
      </c>
      <c r="E29860" s="38" t="s">
        <v>200</v>
      </c>
      <c r="F29860" s="38" t="s">
        <v>94</v>
      </c>
      <c r="G29860" s="49" t="str">
        <f t="shared" si="1"/>
        <v>65240</v>
      </c>
      <c r="H29860" s="49">
        <f t="shared" si="2"/>
        <v>65116</v>
      </c>
    </row>
    <row r="29861">
      <c r="A29861" s="48" t="s">
        <v>1104</v>
      </c>
      <c r="B29861" s="38">
        <v>52201.0</v>
      </c>
      <c r="C29861" s="38" t="s">
        <v>34244</v>
      </c>
      <c r="D29861" s="38" t="str">
        <f>IFERROR(__xludf.DUMMYFUNCTION("REGEXREPLACE(C29861,""-\d+(.*)|--\d+(.*)"","""")"),"FLAMMERECOURT")</f>
        <v>FLAMMERECOURT</v>
      </c>
      <c r="E29861" s="38" t="s">
        <v>234</v>
      </c>
      <c r="F29861" s="38" t="s">
        <v>130</v>
      </c>
      <c r="G29861" s="49" t="str">
        <f t="shared" si="1"/>
        <v>52110</v>
      </c>
      <c r="H29861" s="49">
        <f t="shared" si="2"/>
        <v>52201</v>
      </c>
    </row>
    <row r="29862">
      <c r="A29862" s="48" t="s">
        <v>1520</v>
      </c>
      <c r="B29862" s="38">
        <v>16292.0</v>
      </c>
      <c r="C29862" s="38" t="s">
        <v>11824</v>
      </c>
      <c r="D29862" s="38" t="str">
        <f>IFERROR(__xludf.DUMMYFUNCTION("REGEXREPLACE(C29862,""-\d+(.*)|--\d+(.*)"","""")"),"RUFFEC")</f>
        <v>RUFFEC</v>
      </c>
      <c r="E29862" s="38" t="s">
        <v>429</v>
      </c>
      <c r="F29862" s="38" t="s">
        <v>338</v>
      </c>
      <c r="G29862" s="49" t="str">
        <f t="shared" si="1"/>
        <v>16700</v>
      </c>
      <c r="H29862" s="49">
        <f t="shared" si="2"/>
        <v>16292</v>
      </c>
    </row>
    <row r="29863">
      <c r="A29863" s="48" t="s">
        <v>3059</v>
      </c>
      <c r="B29863" s="38">
        <v>89364.0</v>
      </c>
      <c r="C29863" s="38" t="s">
        <v>20531</v>
      </c>
      <c r="D29863" s="38" t="str">
        <f>IFERROR(__xludf.DUMMYFUNCTION("REGEXREPLACE(C29863,""-\d+(.*)|--\d+(.*)"","""")"),"SAINT-PERE")</f>
        <v>SAINT-PERE</v>
      </c>
      <c r="E29863" s="38" t="s">
        <v>275</v>
      </c>
      <c r="F29863" s="38" t="s">
        <v>106</v>
      </c>
      <c r="G29863" s="49" t="str">
        <f t="shared" si="1"/>
        <v>89450</v>
      </c>
      <c r="H29863" s="49">
        <f t="shared" si="2"/>
        <v>89364</v>
      </c>
    </row>
    <row r="29864">
      <c r="A29864" s="48" t="s">
        <v>7821</v>
      </c>
      <c r="B29864" s="38">
        <v>8189.0</v>
      </c>
      <c r="C29864" s="38" t="s">
        <v>34245</v>
      </c>
      <c r="D29864" s="38" t="str">
        <f>IFERROR(__xludf.DUMMYFUNCTION("REGEXREPLACE(C29864,""-\d+(.*)|--\d+(.*)"","""")"),"GIRONDELLE")</f>
        <v>GIRONDELLE</v>
      </c>
      <c r="E29864" s="38" t="s">
        <v>327</v>
      </c>
      <c r="F29864" s="38" t="s">
        <v>130</v>
      </c>
      <c r="G29864" s="49" t="str">
        <f t="shared" si="1"/>
        <v>08260</v>
      </c>
      <c r="H29864" s="49" t="str">
        <f t="shared" si="2"/>
        <v>08189</v>
      </c>
    </row>
    <row r="29865">
      <c r="A29865" s="48" t="s">
        <v>3755</v>
      </c>
      <c r="B29865" s="38">
        <v>76203.0</v>
      </c>
      <c r="C29865" s="38" t="s">
        <v>34246</v>
      </c>
      <c r="D29865" s="38" t="str">
        <f>IFERROR(__xludf.DUMMYFUNCTION("REGEXREPLACE(C29865,""-\d+(.*)|--\d+(.*)"","""")"),"CROIX-MARE")</f>
        <v>CROIX-MARE</v>
      </c>
      <c r="E29865" s="38" t="s">
        <v>133</v>
      </c>
      <c r="F29865" s="38" t="s">
        <v>134</v>
      </c>
      <c r="G29865" s="49" t="str">
        <f t="shared" si="1"/>
        <v>76190</v>
      </c>
      <c r="H29865" s="49">
        <f t="shared" si="2"/>
        <v>76203</v>
      </c>
    </row>
    <row r="29866">
      <c r="A29866" s="48" t="s">
        <v>2100</v>
      </c>
      <c r="B29866" s="38">
        <v>14376.0</v>
      </c>
      <c r="C29866" s="38" t="s">
        <v>34247</v>
      </c>
      <c r="D29866" s="38" t="str">
        <f>IFERROR(__xludf.DUMMYFUNCTION("REGEXREPLACE(C29866,""-\d+(.*)|--\d+(.*)"","""")"),"LONGRAYE")</f>
        <v>LONGRAYE</v>
      </c>
      <c r="E29866" s="38" t="s">
        <v>137</v>
      </c>
      <c r="F29866" s="38" t="s">
        <v>138</v>
      </c>
      <c r="G29866" s="49" t="str">
        <f t="shared" si="1"/>
        <v>14250</v>
      </c>
      <c r="H29866" s="49">
        <f t="shared" si="2"/>
        <v>14376</v>
      </c>
    </row>
    <row r="29867">
      <c r="A29867" s="48" t="s">
        <v>1212</v>
      </c>
      <c r="B29867" s="38">
        <v>11040.0</v>
      </c>
      <c r="C29867" s="38" t="s">
        <v>34248</v>
      </c>
      <c r="D29867" s="38" t="str">
        <f>IFERROR(__xludf.DUMMYFUNCTION("REGEXREPLACE(C29867,""-\d+(.*)|--\d+(.*)"","""")"),"BIZANET")</f>
        <v>BIZANET</v>
      </c>
      <c r="E29867" s="38" t="s">
        <v>278</v>
      </c>
      <c r="F29867" s="38" t="s">
        <v>119</v>
      </c>
      <c r="G29867" s="49" t="str">
        <f t="shared" si="1"/>
        <v>11200</v>
      </c>
      <c r="H29867" s="49">
        <f t="shared" si="2"/>
        <v>11040</v>
      </c>
    </row>
    <row r="29868">
      <c r="A29868" s="48" t="s">
        <v>1823</v>
      </c>
      <c r="B29868" s="38">
        <v>48030.0</v>
      </c>
      <c r="C29868" s="38" t="s">
        <v>34249</v>
      </c>
      <c r="D29868" s="38" t="str">
        <f>IFERROR(__xludf.DUMMYFUNCTION("REGEXREPLACE(C29868,""-\d+(.*)|--\d+(.*)"","""")"),"BRENOUX")</f>
        <v>BRENOUX</v>
      </c>
      <c r="E29868" s="38" t="s">
        <v>154</v>
      </c>
      <c r="F29868" s="38" t="s">
        <v>119</v>
      </c>
      <c r="G29868" s="49" t="str">
        <f t="shared" si="1"/>
        <v>48000</v>
      </c>
      <c r="H29868" s="49">
        <f t="shared" si="2"/>
        <v>48030</v>
      </c>
    </row>
    <row r="29869">
      <c r="A29869" s="48" t="s">
        <v>3359</v>
      </c>
      <c r="B29869" s="38">
        <v>9311.0</v>
      </c>
      <c r="C29869" s="38" t="s">
        <v>34250</v>
      </c>
      <c r="D29869" s="38" t="str">
        <f>IFERROR(__xludf.DUMMYFUNCTION("REGEXREPLACE(C29869,""-\d+(.*)|--\d+(.*)"","""")"),"TIGNAC")</f>
        <v>TIGNAC</v>
      </c>
      <c r="E29869" s="38" t="s">
        <v>238</v>
      </c>
      <c r="F29869" s="38" t="s">
        <v>94</v>
      </c>
      <c r="G29869" s="49" t="str">
        <f t="shared" si="1"/>
        <v>09110</v>
      </c>
      <c r="H29869" s="49" t="str">
        <f t="shared" si="2"/>
        <v>09311</v>
      </c>
    </row>
    <row r="29870">
      <c r="A29870" s="48" t="s">
        <v>5235</v>
      </c>
      <c r="B29870" s="38">
        <v>61136.0</v>
      </c>
      <c r="C29870" s="38" t="s">
        <v>22168</v>
      </c>
      <c r="D29870" s="38" t="str">
        <f>IFERROR(__xludf.DUMMYFUNCTION("REGEXREPLACE(C29870,""-\d+(.*)|--\d+(.*)"","""")"),"COUVAINS")</f>
        <v>COUVAINS</v>
      </c>
      <c r="E29870" s="38" t="s">
        <v>141</v>
      </c>
      <c r="F29870" s="38" t="s">
        <v>138</v>
      </c>
      <c r="G29870" s="49" t="str">
        <f t="shared" si="1"/>
        <v>61550</v>
      </c>
      <c r="H29870" s="49">
        <f t="shared" si="2"/>
        <v>61136</v>
      </c>
    </row>
    <row r="29871">
      <c r="A29871" s="48" t="s">
        <v>874</v>
      </c>
      <c r="B29871" s="38" t="s">
        <v>34251</v>
      </c>
      <c r="C29871" s="38" t="s">
        <v>34252</v>
      </c>
      <c r="D29871" s="38" t="str">
        <f>IFERROR(__xludf.DUMMYFUNCTION("REGEXREPLACE(C29871,""-\d+(.*)|--\d+(.*)"","""")"),"PIAZZOLE")</f>
        <v>PIAZZOLE</v>
      </c>
      <c r="E29871" s="38" t="s">
        <v>743</v>
      </c>
      <c r="F29871" s="38" t="s">
        <v>607</v>
      </c>
      <c r="G29871" s="49" t="str">
        <f t="shared" si="1"/>
        <v>20229</v>
      </c>
      <c r="H29871" s="49" t="str">
        <f t="shared" si="2"/>
        <v>2B217</v>
      </c>
    </row>
    <row r="29872">
      <c r="A29872" s="48" t="s">
        <v>1728</v>
      </c>
      <c r="B29872" s="38">
        <v>45192.0</v>
      </c>
      <c r="C29872" s="38" t="s">
        <v>34253</v>
      </c>
      <c r="D29872" s="38" t="str">
        <f>IFERROR(__xludf.DUMMYFUNCTION("REGEXREPLACE(C29872,""-\d+(.*)|--\d+(.*)"","""")"),"MANCHECOURT")</f>
        <v>MANCHECOURT</v>
      </c>
      <c r="E29872" s="38" t="s">
        <v>122</v>
      </c>
      <c r="F29872" s="38" t="s">
        <v>123</v>
      </c>
      <c r="G29872" s="49" t="str">
        <f t="shared" si="1"/>
        <v>45300</v>
      </c>
      <c r="H29872" s="49">
        <f t="shared" si="2"/>
        <v>45192</v>
      </c>
    </row>
    <row r="29873">
      <c r="A29873" s="48" t="s">
        <v>2467</v>
      </c>
      <c r="B29873" s="38">
        <v>35225.0</v>
      </c>
      <c r="C29873" s="38" t="s">
        <v>34254</v>
      </c>
      <c r="D29873" s="38" t="str">
        <f>IFERROR(__xludf.DUMMYFUNCTION("REGEXREPLACE(C29873,""-\d+(.*)|--\d+(.*)"","""")"),"PLESDER")</f>
        <v>PLESDER</v>
      </c>
      <c r="E29873" s="38" t="s">
        <v>347</v>
      </c>
      <c r="F29873" s="38" t="s">
        <v>90</v>
      </c>
      <c r="G29873" s="49" t="str">
        <f t="shared" si="1"/>
        <v>35720</v>
      </c>
      <c r="H29873" s="49">
        <f t="shared" si="2"/>
        <v>35225</v>
      </c>
    </row>
    <row r="29874">
      <c r="A29874" s="48" t="s">
        <v>9615</v>
      </c>
      <c r="B29874" s="38">
        <v>86248.0</v>
      </c>
      <c r="C29874" s="38" t="s">
        <v>34255</v>
      </c>
      <c r="D29874" s="38" t="str">
        <f>IFERROR(__xludf.DUMMYFUNCTION("REGEXREPLACE(C29874,""-\d+(.*)|--\d+(.*)"","""")"),"SAINT-SECONDIN")</f>
        <v>SAINT-SECONDIN</v>
      </c>
      <c r="E29874" s="38" t="s">
        <v>529</v>
      </c>
      <c r="F29874" s="38" t="s">
        <v>338</v>
      </c>
      <c r="G29874" s="49" t="str">
        <f t="shared" si="1"/>
        <v>86350</v>
      </c>
      <c r="H29874" s="49">
        <f t="shared" si="2"/>
        <v>86248</v>
      </c>
    </row>
    <row r="29875">
      <c r="A29875" s="48" t="s">
        <v>1592</v>
      </c>
      <c r="B29875" s="38">
        <v>40194.0</v>
      </c>
      <c r="C29875" s="38" t="s">
        <v>34256</v>
      </c>
      <c r="D29875" s="38" t="str">
        <f>IFERROR(__xludf.DUMMYFUNCTION("REGEXREPLACE(C29875,""-\d+(.*)|--\d+(.*)"","""")"),"MONTFORT-EN-CHALOSSE")</f>
        <v>MONTFORT-EN-CHALOSSE</v>
      </c>
      <c r="E29875" s="38" t="s">
        <v>281</v>
      </c>
      <c r="F29875" s="38" t="s">
        <v>252</v>
      </c>
      <c r="G29875" s="49" t="str">
        <f t="shared" si="1"/>
        <v>40380</v>
      </c>
      <c r="H29875" s="49">
        <f t="shared" si="2"/>
        <v>40194</v>
      </c>
    </row>
    <row r="29876">
      <c r="A29876" s="48" t="s">
        <v>1560</v>
      </c>
      <c r="B29876" s="38">
        <v>14366.0</v>
      </c>
      <c r="C29876" s="38" t="s">
        <v>34257</v>
      </c>
      <c r="D29876" s="38" t="str">
        <f>IFERROR(__xludf.DUMMYFUNCTION("REGEXREPLACE(C29876,""-\d+(.*)|--\d+(.*)"","""")"),"LISIEUX")</f>
        <v>LISIEUX</v>
      </c>
      <c r="E29876" s="38" t="s">
        <v>137</v>
      </c>
      <c r="F29876" s="38" t="s">
        <v>138</v>
      </c>
      <c r="G29876" s="49" t="str">
        <f t="shared" si="1"/>
        <v>14100</v>
      </c>
      <c r="H29876" s="49">
        <f t="shared" si="2"/>
        <v>14366</v>
      </c>
    </row>
    <row r="29877">
      <c r="A29877" s="48" t="s">
        <v>5956</v>
      </c>
      <c r="B29877" s="38">
        <v>62684.0</v>
      </c>
      <c r="C29877" s="38" t="s">
        <v>34258</v>
      </c>
      <c r="D29877" s="38" t="str">
        <f>IFERROR(__xludf.DUMMYFUNCTION("REGEXREPLACE(C29877,""-\d+(.*)|--\d+(.*)"","""")"),"RACQUINGHEM")</f>
        <v>RACQUINGHEM</v>
      </c>
      <c r="E29877" s="38" t="s">
        <v>109</v>
      </c>
      <c r="F29877" s="38" t="s">
        <v>86</v>
      </c>
      <c r="G29877" s="49" t="str">
        <f t="shared" si="1"/>
        <v>62120</v>
      </c>
      <c r="H29877" s="49">
        <f t="shared" si="2"/>
        <v>62684</v>
      </c>
    </row>
    <row r="29878">
      <c r="A29878" s="48" t="s">
        <v>2019</v>
      </c>
      <c r="B29878" s="38">
        <v>90027.0</v>
      </c>
      <c r="C29878" s="38" t="s">
        <v>4680</v>
      </c>
      <c r="D29878" s="38" t="str">
        <f>IFERROR(__xludf.DUMMYFUNCTION("REGEXREPLACE(C29878,""-\d+(.*)|--\d+(.*)"","""")"),"COURCELLES")</f>
        <v>COURCELLES</v>
      </c>
      <c r="E29878" s="38" t="s">
        <v>1283</v>
      </c>
      <c r="F29878" s="38" t="s">
        <v>214</v>
      </c>
      <c r="G29878" s="49" t="str">
        <f t="shared" si="1"/>
        <v>90100</v>
      </c>
      <c r="H29878" s="49">
        <f t="shared" si="2"/>
        <v>90027</v>
      </c>
    </row>
    <row r="29879">
      <c r="A29879" s="48" t="s">
        <v>34259</v>
      </c>
      <c r="B29879" s="38">
        <v>62244.0</v>
      </c>
      <c r="C29879" s="38" t="s">
        <v>34260</v>
      </c>
      <c r="D29879" s="38" t="str">
        <f>IFERROR(__xludf.DUMMYFUNCTION("REGEXREPLACE(C29879,""-\d+(.*)|--\d+(.*)"","""")"),"COULOGNE")</f>
        <v>COULOGNE</v>
      </c>
      <c r="E29879" s="38" t="s">
        <v>109</v>
      </c>
      <c r="F29879" s="38" t="s">
        <v>86</v>
      </c>
      <c r="G29879" s="49" t="str">
        <f t="shared" si="1"/>
        <v>62137</v>
      </c>
      <c r="H29879" s="49">
        <f t="shared" si="2"/>
        <v>62244</v>
      </c>
    </row>
    <row r="29880">
      <c r="A29880" s="48" t="s">
        <v>3621</v>
      </c>
      <c r="B29880" s="38">
        <v>52539.0</v>
      </c>
      <c r="C29880" s="38" t="s">
        <v>34261</v>
      </c>
      <c r="D29880" s="38" t="str">
        <f>IFERROR(__xludf.DUMMYFUNCTION("REGEXREPLACE(C29880,""-\d+(.*)|--\d+(.*)"","""")"),"VIOLOT")</f>
        <v>VIOLOT</v>
      </c>
      <c r="E29880" s="38" t="s">
        <v>234</v>
      </c>
      <c r="F29880" s="38" t="s">
        <v>130</v>
      </c>
      <c r="G29880" s="49" t="str">
        <f t="shared" si="1"/>
        <v>52600</v>
      </c>
      <c r="H29880" s="49">
        <f t="shared" si="2"/>
        <v>52539</v>
      </c>
    </row>
    <row r="29881">
      <c r="A29881" s="48" t="s">
        <v>6785</v>
      </c>
      <c r="B29881" s="38">
        <v>27653.0</v>
      </c>
      <c r="C29881" s="38" t="s">
        <v>34262</v>
      </c>
      <c r="D29881" s="38" t="str">
        <f>IFERROR(__xludf.DUMMYFUNCTION("REGEXREPLACE(C29881,""-\d+(.*)|--\d+(.*)"","""")"),"TOURNY")</f>
        <v>TOURNY</v>
      </c>
      <c r="E29881" s="38" t="s">
        <v>241</v>
      </c>
      <c r="F29881" s="38" t="s">
        <v>134</v>
      </c>
      <c r="G29881" s="49" t="str">
        <f t="shared" si="1"/>
        <v>27510</v>
      </c>
      <c r="H29881" s="49">
        <f t="shared" si="2"/>
        <v>27653</v>
      </c>
    </row>
    <row r="29882">
      <c r="A29882" s="48" t="s">
        <v>3009</v>
      </c>
      <c r="B29882" s="38">
        <v>11245.0</v>
      </c>
      <c r="C29882" s="38" t="s">
        <v>5854</v>
      </c>
      <c r="D29882" s="38" t="str">
        <f>IFERROR(__xludf.DUMMYFUNCTION("REGEXREPLACE(C29882,""-\d+(.*)|--\d+(.*)"","""")"),"MONTGAILLARD")</f>
        <v>MONTGAILLARD</v>
      </c>
      <c r="E29882" s="38" t="s">
        <v>278</v>
      </c>
      <c r="F29882" s="38" t="s">
        <v>119</v>
      </c>
      <c r="G29882" s="49" t="str">
        <f t="shared" si="1"/>
        <v>11330</v>
      </c>
      <c r="H29882" s="49">
        <f t="shared" si="2"/>
        <v>11245</v>
      </c>
    </row>
    <row r="29883">
      <c r="A29883" s="48" t="s">
        <v>374</v>
      </c>
      <c r="B29883" s="38">
        <v>85034.0</v>
      </c>
      <c r="C29883" s="38" t="s">
        <v>34263</v>
      </c>
      <c r="D29883" s="38" t="str">
        <f>IFERROR(__xludf.DUMMYFUNCTION("REGEXREPLACE(C29883,""-\d+(.*)|--\d+(.*)"","""")"),"BOURNEZEAU")</f>
        <v>BOURNEZEAU</v>
      </c>
      <c r="E29883" s="38" t="s">
        <v>179</v>
      </c>
      <c r="F29883" s="38" t="s">
        <v>180</v>
      </c>
      <c r="G29883" s="49" t="str">
        <f t="shared" si="1"/>
        <v>85480</v>
      </c>
      <c r="H29883" s="49">
        <f t="shared" si="2"/>
        <v>85034</v>
      </c>
    </row>
    <row r="29884">
      <c r="A29884" s="48" t="s">
        <v>16975</v>
      </c>
      <c r="B29884" s="38">
        <v>49193.0</v>
      </c>
      <c r="C29884" s="38" t="s">
        <v>34264</v>
      </c>
      <c r="D29884" s="38" t="str">
        <f>IFERROR(__xludf.DUMMYFUNCTION("REGEXREPLACE(C29884,""-\d+(.*)|--\d+(.*)"","""")"),"LE MAY-SUR-EVRE")</f>
        <v>LE MAY-SUR-EVRE</v>
      </c>
      <c r="E29884" s="38" t="s">
        <v>653</v>
      </c>
      <c r="F29884" s="38" t="s">
        <v>180</v>
      </c>
      <c r="G29884" s="49" t="str">
        <f t="shared" si="1"/>
        <v>49122</v>
      </c>
      <c r="H29884" s="49">
        <f t="shared" si="2"/>
        <v>49193</v>
      </c>
    </row>
    <row r="29885">
      <c r="A29885" s="48" t="s">
        <v>18796</v>
      </c>
      <c r="B29885" s="38">
        <v>29234.0</v>
      </c>
      <c r="C29885" s="38" t="s">
        <v>34265</v>
      </c>
      <c r="D29885" s="38" t="str">
        <f>IFERROR(__xludf.DUMMYFUNCTION("REGEXREPLACE(C29885,""-\d+(.*)|--\d+(.*)"","""")"),"REDENE")</f>
        <v>REDENE</v>
      </c>
      <c r="E29885" s="38" t="s">
        <v>176</v>
      </c>
      <c r="F29885" s="38" t="s">
        <v>90</v>
      </c>
      <c r="G29885" s="49" t="str">
        <f t="shared" si="1"/>
        <v>29300</v>
      </c>
      <c r="H29885" s="49">
        <f t="shared" si="2"/>
        <v>29234</v>
      </c>
    </row>
    <row r="29886">
      <c r="A29886" s="48" t="s">
        <v>1603</v>
      </c>
      <c r="B29886" s="38">
        <v>25438.0</v>
      </c>
      <c r="C29886" s="38" t="s">
        <v>34266</v>
      </c>
      <c r="D29886" s="38" t="str">
        <f>IFERROR(__xludf.DUMMYFUNCTION("REGEXREPLACE(C29886,""-\d+(.*)|--\d+(.*)"","""")"),"OSSELLE")</f>
        <v>OSSELLE</v>
      </c>
      <c r="E29886" s="38" t="s">
        <v>213</v>
      </c>
      <c r="F29886" s="38" t="s">
        <v>214</v>
      </c>
      <c r="G29886" s="49" t="str">
        <f t="shared" si="1"/>
        <v>25320</v>
      </c>
      <c r="H29886" s="49">
        <f t="shared" si="2"/>
        <v>25438</v>
      </c>
    </row>
    <row r="29887">
      <c r="A29887" s="48" t="s">
        <v>177</v>
      </c>
      <c r="B29887" s="38">
        <v>85305.0</v>
      </c>
      <c r="C29887" s="38" t="s">
        <v>34267</v>
      </c>
      <c r="D29887" s="38" t="str">
        <f>IFERROR(__xludf.DUMMYFUNCTION("REGEXREPLACE(C29887,""-\d+(.*)|--\d+(.*)"","""")"),"VOUVANT")</f>
        <v>VOUVANT</v>
      </c>
      <c r="E29887" s="38" t="s">
        <v>179</v>
      </c>
      <c r="F29887" s="38" t="s">
        <v>180</v>
      </c>
      <c r="G29887" s="49" t="str">
        <f t="shared" si="1"/>
        <v>85120</v>
      </c>
      <c r="H29887" s="49">
        <f t="shared" si="2"/>
        <v>85305</v>
      </c>
    </row>
    <row r="29888">
      <c r="A29888" s="48" t="s">
        <v>20407</v>
      </c>
      <c r="B29888" s="38">
        <v>87061.0</v>
      </c>
      <c r="C29888" s="38" t="s">
        <v>34268</v>
      </c>
      <c r="D29888" s="38" t="str">
        <f>IFERROR(__xludf.DUMMYFUNCTION("REGEXREPLACE(C29888,""-\d+(.*)|--\d+(.*)"","""")"),"DROUX")</f>
        <v>DROUX</v>
      </c>
      <c r="E29888" s="38" t="s">
        <v>897</v>
      </c>
      <c r="F29888" s="38" t="s">
        <v>98</v>
      </c>
      <c r="G29888" s="49" t="str">
        <f t="shared" si="1"/>
        <v>87190</v>
      </c>
      <c r="H29888" s="49">
        <f t="shared" si="2"/>
        <v>87061</v>
      </c>
    </row>
    <row r="29889">
      <c r="A29889" s="48" t="s">
        <v>4581</v>
      </c>
      <c r="B29889" s="38">
        <v>79254.0</v>
      </c>
      <c r="C29889" s="38" t="s">
        <v>34269</v>
      </c>
      <c r="D29889" s="38" t="str">
        <f>IFERROR(__xludf.DUMMYFUNCTION("REGEXREPLACE(C29889,""-\d+(.*)|--\d+(.*)"","""")"),"SAINT-GEORGES-DE-REX")</f>
        <v>SAINT-GEORGES-DE-REX</v>
      </c>
      <c r="E29889" s="38" t="s">
        <v>337</v>
      </c>
      <c r="F29889" s="38" t="s">
        <v>338</v>
      </c>
      <c r="G29889" s="49" t="str">
        <f t="shared" si="1"/>
        <v>79210</v>
      </c>
      <c r="H29889" s="49">
        <f t="shared" si="2"/>
        <v>79254</v>
      </c>
    </row>
    <row r="29890">
      <c r="A29890" s="48" t="s">
        <v>2794</v>
      </c>
      <c r="B29890" s="38">
        <v>39548.0</v>
      </c>
      <c r="C29890" s="38" t="s">
        <v>34270</v>
      </c>
      <c r="D29890" s="38" t="str">
        <f>IFERROR(__xludf.DUMMYFUNCTION("REGEXREPLACE(C29890,""-\d+(.*)|--\d+(.*)"","""")"),"VAUX-SUR-POLIGNY")</f>
        <v>VAUX-SUR-POLIGNY</v>
      </c>
      <c r="E29890" s="38" t="s">
        <v>400</v>
      </c>
      <c r="F29890" s="38" t="s">
        <v>214</v>
      </c>
      <c r="G29890" s="49" t="str">
        <f t="shared" si="1"/>
        <v>39800</v>
      </c>
      <c r="H29890" s="49">
        <f t="shared" si="2"/>
        <v>39548</v>
      </c>
    </row>
    <row r="29891">
      <c r="A29891" s="48" t="s">
        <v>13699</v>
      </c>
      <c r="B29891" s="38">
        <v>22138.0</v>
      </c>
      <c r="C29891" s="38" t="s">
        <v>34271</v>
      </c>
      <c r="D29891" s="38" t="str">
        <f>IFERROR(__xludf.DUMMYFUNCTION("REGEXREPLACE(C29891,""-\d+(.*)|--\d+(.*)"","""")"),"MAEL-PESTIVIEN")</f>
        <v>MAEL-PESTIVIEN</v>
      </c>
      <c r="E29891" s="38" t="s">
        <v>89</v>
      </c>
      <c r="F29891" s="38" t="s">
        <v>90</v>
      </c>
      <c r="G29891" s="49" t="str">
        <f t="shared" si="1"/>
        <v>22160</v>
      </c>
      <c r="H29891" s="49">
        <f t="shared" si="2"/>
        <v>22138</v>
      </c>
    </row>
    <row r="29892">
      <c r="A29892" s="48" t="s">
        <v>3711</v>
      </c>
      <c r="B29892" s="38">
        <v>21260.0</v>
      </c>
      <c r="C29892" s="38" t="s">
        <v>34272</v>
      </c>
      <c r="D29892" s="38" t="str">
        <f>IFERROR(__xludf.DUMMYFUNCTION("REGEXREPLACE(C29892,""-\d+(.*)|--\d+(.*)"","""")"),"FAIN-LES-MOUTIERS")</f>
        <v>FAIN-LES-MOUTIERS</v>
      </c>
      <c r="E29892" s="38" t="s">
        <v>105</v>
      </c>
      <c r="F29892" s="38" t="s">
        <v>106</v>
      </c>
      <c r="G29892" s="49" t="str">
        <f t="shared" si="1"/>
        <v>21500</v>
      </c>
      <c r="H29892" s="49">
        <f t="shared" si="2"/>
        <v>21260</v>
      </c>
    </row>
    <row r="29893">
      <c r="A29893" s="48" t="s">
        <v>6626</v>
      </c>
      <c r="B29893" s="38">
        <v>58268.0</v>
      </c>
      <c r="C29893" s="38" t="s">
        <v>34273</v>
      </c>
      <c r="D29893" s="38" t="str">
        <f>IFERROR(__xludf.DUMMYFUNCTION("REGEXREPLACE(C29893,""-\d+(.*)|--\d+(.*)"","""")"),"SAINT-SEINE")</f>
        <v>SAINT-SEINE</v>
      </c>
      <c r="E29893" s="38" t="s">
        <v>219</v>
      </c>
      <c r="F29893" s="38" t="s">
        <v>106</v>
      </c>
      <c r="G29893" s="49" t="str">
        <f t="shared" si="1"/>
        <v>58250</v>
      </c>
      <c r="H29893" s="49">
        <f t="shared" si="2"/>
        <v>58268</v>
      </c>
    </row>
    <row r="29894">
      <c r="A29894" s="48" t="s">
        <v>2225</v>
      </c>
      <c r="B29894" s="38">
        <v>22364.0</v>
      </c>
      <c r="C29894" s="38" t="s">
        <v>34274</v>
      </c>
      <c r="D29894" s="38" t="str">
        <f>IFERROR(__xludf.DUMMYFUNCTION("REGEXREPLACE(C29894,""-\d+(.*)|--\d+(.*)"","""")"),"TRELIVAN")</f>
        <v>TRELIVAN</v>
      </c>
      <c r="E29894" s="38" t="s">
        <v>89</v>
      </c>
      <c r="F29894" s="38" t="s">
        <v>90</v>
      </c>
      <c r="G29894" s="49" t="str">
        <f t="shared" si="1"/>
        <v>22100</v>
      </c>
      <c r="H29894" s="49">
        <f t="shared" si="2"/>
        <v>22364</v>
      </c>
    </row>
    <row r="29895">
      <c r="A29895" s="48" t="s">
        <v>6250</v>
      </c>
      <c r="B29895" s="38">
        <v>38285.0</v>
      </c>
      <c r="C29895" s="38" t="s">
        <v>34275</v>
      </c>
      <c r="D29895" s="38" t="str">
        <f>IFERROR(__xludf.DUMMYFUNCTION("REGEXREPLACE(C29895,""-\d+(.*)|--\d+(.*)"","""")"),"ORNON")</f>
        <v>ORNON</v>
      </c>
      <c r="E29895" s="38" t="s">
        <v>101</v>
      </c>
      <c r="F29895" s="38" t="s">
        <v>102</v>
      </c>
      <c r="G29895" s="49" t="str">
        <f t="shared" si="1"/>
        <v>38520</v>
      </c>
      <c r="H29895" s="49">
        <f t="shared" si="2"/>
        <v>38285</v>
      </c>
    </row>
    <row r="29896">
      <c r="A29896" s="48" t="s">
        <v>11071</v>
      </c>
      <c r="B29896" s="38">
        <v>29178.0</v>
      </c>
      <c r="C29896" s="38" t="s">
        <v>34276</v>
      </c>
      <c r="D29896" s="38" t="str">
        <f>IFERROR(__xludf.DUMMYFUNCTION("REGEXREPLACE(C29896,""-\d+(.*)|--\d+(.*)"","""")"),"PLOUDALMEZEAU")</f>
        <v>PLOUDALMEZEAU</v>
      </c>
      <c r="E29896" s="38" t="s">
        <v>176</v>
      </c>
      <c r="F29896" s="38" t="s">
        <v>90</v>
      </c>
      <c r="G29896" s="49" t="str">
        <f t="shared" si="1"/>
        <v>29830</v>
      </c>
      <c r="H29896" s="49">
        <f t="shared" si="2"/>
        <v>29178</v>
      </c>
    </row>
    <row r="29897">
      <c r="A29897" s="48" t="s">
        <v>10594</v>
      </c>
      <c r="B29897" s="38">
        <v>78343.0</v>
      </c>
      <c r="C29897" s="38" t="s">
        <v>34277</v>
      </c>
      <c r="D29897" s="38" t="str">
        <f>IFERROR(__xludf.DUMMYFUNCTION("REGEXREPLACE(C29897,""-\d+(.*)|--\d+(.*)"","""")"),"LES LOGES-EN-JOSAS")</f>
        <v>LES LOGES-EN-JOSAS</v>
      </c>
      <c r="E29897" s="38" t="s">
        <v>362</v>
      </c>
      <c r="F29897" s="38" t="s">
        <v>245</v>
      </c>
      <c r="G29897" s="49" t="str">
        <f t="shared" si="1"/>
        <v>78350</v>
      </c>
      <c r="H29897" s="49">
        <f t="shared" si="2"/>
        <v>78343</v>
      </c>
    </row>
    <row r="29898">
      <c r="A29898" s="48" t="s">
        <v>16584</v>
      </c>
      <c r="B29898" s="38">
        <v>91156.0</v>
      </c>
      <c r="C29898" s="38" t="s">
        <v>34278</v>
      </c>
      <c r="D29898" s="38" t="str">
        <f>IFERROR(__xludf.DUMMYFUNCTION("REGEXREPLACE(C29898,""-\d+(.*)|--\d+(.*)"","""")"),"CHEPTAINVILLE")</f>
        <v>CHEPTAINVILLE</v>
      </c>
      <c r="E29898" s="38" t="s">
        <v>756</v>
      </c>
      <c r="F29898" s="38" t="s">
        <v>245</v>
      </c>
      <c r="G29898" s="49" t="str">
        <f t="shared" si="1"/>
        <v>91630</v>
      </c>
      <c r="H29898" s="49">
        <f t="shared" si="2"/>
        <v>91156</v>
      </c>
    </row>
    <row r="29899">
      <c r="A29899" s="48" t="s">
        <v>5012</v>
      </c>
      <c r="B29899" s="38">
        <v>55260.0</v>
      </c>
      <c r="C29899" s="38" t="s">
        <v>34279</v>
      </c>
      <c r="D29899" s="38" t="str">
        <f>IFERROR(__xludf.DUMMYFUNCTION("REGEXREPLACE(C29899,""-\d+(.*)|--\d+(.*)"","""")"),"JULVECOURT")</f>
        <v>JULVECOURT</v>
      </c>
      <c r="E29899" s="38" t="s">
        <v>322</v>
      </c>
      <c r="F29899" s="38" t="s">
        <v>195</v>
      </c>
      <c r="G29899" s="49" t="str">
        <f t="shared" si="1"/>
        <v>55120</v>
      </c>
      <c r="H29899" s="49">
        <f t="shared" si="2"/>
        <v>55260</v>
      </c>
    </row>
    <row r="29900">
      <c r="A29900" s="48" t="s">
        <v>380</v>
      </c>
      <c r="B29900" s="38">
        <v>80362.0</v>
      </c>
      <c r="C29900" s="38" t="s">
        <v>34280</v>
      </c>
      <c r="D29900" s="38" t="str">
        <f>IFERROR(__xludf.DUMMYFUNCTION("REGEXREPLACE(C29900,""-\d+(.*)|--\d+(.*)"","""")"),"FRETTEMEULE")</f>
        <v>FRETTEMEULE</v>
      </c>
      <c r="E29900" s="38" t="s">
        <v>224</v>
      </c>
      <c r="F29900" s="38" t="s">
        <v>113</v>
      </c>
      <c r="G29900" s="49" t="str">
        <f t="shared" si="1"/>
        <v>80220</v>
      </c>
      <c r="H29900" s="49">
        <f t="shared" si="2"/>
        <v>80362</v>
      </c>
    </row>
    <row r="29901">
      <c r="A29901" s="48" t="s">
        <v>781</v>
      </c>
      <c r="B29901" s="38">
        <v>65343.0</v>
      </c>
      <c r="C29901" s="38" t="s">
        <v>34281</v>
      </c>
      <c r="D29901" s="38" t="str">
        <f>IFERROR(__xludf.DUMMYFUNCTION("REGEXREPLACE(C29901,""-\d+(.*)|--\d+(.*)"","""")"),"OSSEN")</f>
        <v>OSSEN</v>
      </c>
      <c r="E29901" s="38" t="s">
        <v>200</v>
      </c>
      <c r="F29901" s="38" t="s">
        <v>94</v>
      </c>
      <c r="G29901" s="49" t="str">
        <f t="shared" si="1"/>
        <v>65100</v>
      </c>
      <c r="H29901" s="49">
        <f t="shared" si="2"/>
        <v>65343</v>
      </c>
    </row>
    <row r="29902">
      <c r="A29902" s="48" t="s">
        <v>34282</v>
      </c>
      <c r="B29902" s="38">
        <v>84091.0</v>
      </c>
      <c r="C29902" s="38" t="s">
        <v>34283</v>
      </c>
      <c r="D29902" s="38" t="str">
        <f>IFERROR(__xludf.DUMMYFUNCTION("REGEXREPLACE(C29902,""-\d+(.*)|--\d+(.*)"","""")"),"PIOLENC")</f>
        <v>PIOLENC</v>
      </c>
      <c r="E29902" s="38" t="s">
        <v>1026</v>
      </c>
      <c r="F29902" s="38" t="s">
        <v>228</v>
      </c>
      <c r="G29902" s="49" t="str">
        <f t="shared" si="1"/>
        <v>84420</v>
      </c>
      <c r="H29902" s="49">
        <f t="shared" si="2"/>
        <v>84091</v>
      </c>
    </row>
    <row r="29903">
      <c r="A29903" s="48" t="s">
        <v>1147</v>
      </c>
      <c r="B29903" s="38">
        <v>37094.0</v>
      </c>
      <c r="C29903" s="38" t="s">
        <v>34284</v>
      </c>
      <c r="D29903" s="38" t="str">
        <f>IFERROR(__xludf.DUMMYFUNCTION("REGEXREPLACE(C29903,""-\d+(.*)|--\d+(.*)"","""")"),"CUSSAY")</f>
        <v>CUSSAY</v>
      </c>
      <c r="E29903" s="38" t="s">
        <v>205</v>
      </c>
      <c r="F29903" s="38" t="s">
        <v>123</v>
      </c>
      <c r="G29903" s="49" t="str">
        <f t="shared" si="1"/>
        <v>37240</v>
      </c>
      <c r="H29903" s="49">
        <f t="shared" si="2"/>
        <v>37094</v>
      </c>
    </row>
    <row r="29904">
      <c r="A29904" s="48" t="s">
        <v>2788</v>
      </c>
      <c r="B29904" s="38">
        <v>35071.0</v>
      </c>
      <c r="C29904" s="38" t="s">
        <v>4610</v>
      </c>
      <c r="D29904" s="38" t="str">
        <f>IFERROR(__xludf.DUMMYFUNCTION("REGEXREPLACE(C29904,""-\d+(.*)|--\d+(.*)"","""")"),"LE CHATELLIER")</f>
        <v>LE CHATELLIER</v>
      </c>
      <c r="E29904" s="38" t="s">
        <v>347</v>
      </c>
      <c r="F29904" s="38" t="s">
        <v>90</v>
      </c>
      <c r="G29904" s="49" t="str">
        <f t="shared" si="1"/>
        <v>35133</v>
      </c>
      <c r="H29904" s="49">
        <f t="shared" si="2"/>
        <v>35071</v>
      </c>
    </row>
    <row r="29905">
      <c r="A29905" s="48" t="s">
        <v>7885</v>
      </c>
      <c r="B29905" s="38">
        <v>73120.0</v>
      </c>
      <c r="C29905" s="38" t="s">
        <v>34285</v>
      </c>
      <c r="D29905" s="38" t="str">
        <f>IFERROR(__xludf.DUMMYFUNCTION("REGEXREPLACE(C29905,""-\d+(.*)|--\d+(.*)"","""")"),"FRETERIVE")</f>
        <v>FRETERIVE</v>
      </c>
      <c r="E29905" s="38" t="s">
        <v>306</v>
      </c>
      <c r="F29905" s="38" t="s">
        <v>102</v>
      </c>
      <c r="G29905" s="49" t="str">
        <f t="shared" si="1"/>
        <v>73250</v>
      </c>
      <c r="H29905" s="49">
        <f t="shared" si="2"/>
        <v>73120</v>
      </c>
    </row>
    <row r="29906">
      <c r="A29906" s="48" t="s">
        <v>12952</v>
      </c>
      <c r="B29906" s="38" t="s">
        <v>34286</v>
      </c>
      <c r="C29906" s="38" t="s">
        <v>34287</v>
      </c>
      <c r="D29906" s="38" t="str">
        <f>IFERROR(__xludf.DUMMYFUNCTION("REGEXREPLACE(C29906,""-\d+(.*)|--\d+(.*)"","""")"),"MOITA")</f>
        <v>MOITA</v>
      </c>
      <c r="E29906" s="38" t="s">
        <v>743</v>
      </c>
      <c r="F29906" s="38" t="s">
        <v>607</v>
      </c>
      <c r="G29906" s="49" t="str">
        <f t="shared" si="1"/>
        <v>20270</v>
      </c>
      <c r="H29906" s="49" t="str">
        <f t="shared" si="2"/>
        <v>2B161</v>
      </c>
    </row>
    <row r="29907">
      <c r="A29907" s="48" t="s">
        <v>3430</v>
      </c>
      <c r="B29907" s="38">
        <v>84094.0</v>
      </c>
      <c r="C29907" s="38" t="s">
        <v>34288</v>
      </c>
      <c r="D29907" s="38" t="str">
        <f>IFERROR(__xludf.DUMMYFUNCTION("REGEXREPLACE(C29907,""-\d+(.*)|--\d+(.*)"","""")"),"PUYMERAS")</f>
        <v>PUYMERAS</v>
      </c>
      <c r="E29907" s="38" t="s">
        <v>1026</v>
      </c>
      <c r="F29907" s="38" t="s">
        <v>228</v>
      </c>
      <c r="G29907" s="49" t="str">
        <f t="shared" si="1"/>
        <v>84110</v>
      </c>
      <c r="H29907" s="49">
        <f t="shared" si="2"/>
        <v>84094</v>
      </c>
    </row>
    <row r="29908">
      <c r="A29908" s="48" t="s">
        <v>445</v>
      </c>
      <c r="B29908" s="38">
        <v>76655.0</v>
      </c>
      <c r="C29908" s="38" t="s">
        <v>34289</v>
      </c>
      <c r="D29908" s="38" t="str">
        <f>IFERROR(__xludf.DUMMYFUNCTION("REGEXREPLACE(C29908,""-\d+(.*)|--\d+(.*)"","""")"),"SAINT-VALERY-EN-CAUX")</f>
        <v>SAINT-VALERY-EN-CAUX</v>
      </c>
      <c r="E29908" s="38" t="s">
        <v>133</v>
      </c>
      <c r="F29908" s="38" t="s">
        <v>134</v>
      </c>
      <c r="G29908" s="49" t="str">
        <f t="shared" si="1"/>
        <v>76460</v>
      </c>
      <c r="H29908" s="49">
        <f t="shared" si="2"/>
        <v>76655</v>
      </c>
    </row>
    <row r="29909">
      <c r="A29909" s="48" t="s">
        <v>2628</v>
      </c>
      <c r="B29909" s="38">
        <v>19048.0</v>
      </c>
      <c r="C29909" s="38" t="s">
        <v>34290</v>
      </c>
      <c r="D29909" s="38" t="str">
        <f>IFERROR(__xludf.DUMMYFUNCTION("REGEXREPLACE(C29909,""-\d+(.*)|--\d+(.*)"","""")"),"LE CHASTANG")</f>
        <v>LE CHASTANG</v>
      </c>
      <c r="E29909" s="38" t="s">
        <v>271</v>
      </c>
      <c r="F29909" s="38" t="s">
        <v>98</v>
      </c>
      <c r="G29909" s="49" t="str">
        <f t="shared" si="1"/>
        <v>19190</v>
      </c>
      <c r="H29909" s="49">
        <f t="shared" si="2"/>
        <v>19048</v>
      </c>
    </row>
    <row r="29910">
      <c r="A29910" s="48" t="s">
        <v>489</v>
      </c>
      <c r="B29910" s="38">
        <v>9163.0</v>
      </c>
      <c r="C29910" s="38" t="s">
        <v>34291</v>
      </c>
      <c r="D29910" s="38" t="str">
        <f>IFERROR(__xludf.DUMMYFUNCTION("REGEXREPLACE(C29910,""-\d+(.*)|--\d+(.*)"","""")"),"LESCOUSSE")</f>
        <v>LESCOUSSE</v>
      </c>
      <c r="E29910" s="38" t="s">
        <v>238</v>
      </c>
      <c r="F29910" s="38" t="s">
        <v>94</v>
      </c>
      <c r="G29910" s="49" t="str">
        <f t="shared" si="1"/>
        <v>09100</v>
      </c>
      <c r="H29910" s="49" t="str">
        <f t="shared" si="2"/>
        <v>09163</v>
      </c>
    </row>
    <row r="29911">
      <c r="A29911" s="48" t="s">
        <v>34292</v>
      </c>
      <c r="B29911" s="38">
        <v>6128.0</v>
      </c>
      <c r="C29911" s="38" t="s">
        <v>34293</v>
      </c>
      <c r="D29911" s="38" t="str">
        <f>IFERROR(__xludf.DUMMYFUNCTION("REGEXREPLACE(C29911,""-\d+(.*)|--\d+(.*)"","""")"),"SAINT-PAUL-DE-VENCE")</f>
        <v>SAINT-PAUL-DE-VENCE</v>
      </c>
      <c r="E29911" s="38" t="s">
        <v>227</v>
      </c>
      <c r="F29911" s="38" t="s">
        <v>228</v>
      </c>
      <c r="G29911" s="49" t="str">
        <f t="shared" si="1"/>
        <v>06570</v>
      </c>
      <c r="H29911" s="49" t="str">
        <f t="shared" si="2"/>
        <v>06128</v>
      </c>
    </row>
    <row r="29912">
      <c r="A29912" s="48" t="s">
        <v>1137</v>
      </c>
      <c r="B29912" s="38">
        <v>60591.0</v>
      </c>
      <c r="C29912" s="38" t="s">
        <v>5044</v>
      </c>
      <c r="D29912" s="38" t="str">
        <f>IFERROR(__xludf.DUMMYFUNCTION("REGEXREPLACE(C29912,""-\d+(.*)|--\d+(.*)"","""")"),"SAINT-PAUL")</f>
        <v>SAINT-PAUL</v>
      </c>
      <c r="E29912" s="38" t="s">
        <v>112</v>
      </c>
      <c r="F29912" s="38" t="s">
        <v>113</v>
      </c>
      <c r="G29912" s="49" t="str">
        <f t="shared" si="1"/>
        <v>60650</v>
      </c>
      <c r="H29912" s="49">
        <f t="shared" si="2"/>
        <v>60591</v>
      </c>
    </row>
    <row r="29913">
      <c r="A29913" s="48" t="s">
        <v>2055</v>
      </c>
      <c r="B29913" s="38">
        <v>4132.0</v>
      </c>
      <c r="C29913" s="38" t="s">
        <v>34294</v>
      </c>
      <c r="D29913" s="38" t="str">
        <f>IFERROR(__xludf.DUMMYFUNCTION("REGEXREPLACE(C29913,""-\d+(.*)|--\d+(.*)"","""")"),"MONTSALIER")</f>
        <v>MONTSALIER</v>
      </c>
      <c r="E29913" s="38" t="s">
        <v>662</v>
      </c>
      <c r="F29913" s="38" t="s">
        <v>228</v>
      </c>
      <c r="G29913" s="49" t="str">
        <f t="shared" si="1"/>
        <v>04150</v>
      </c>
      <c r="H29913" s="49" t="str">
        <f t="shared" si="2"/>
        <v>04132</v>
      </c>
    </row>
    <row r="29914">
      <c r="A29914" s="48" t="s">
        <v>1195</v>
      </c>
      <c r="B29914" s="38">
        <v>80463.0</v>
      </c>
      <c r="C29914" s="38" t="s">
        <v>34295</v>
      </c>
      <c r="D29914" s="38" t="str">
        <f>IFERROR(__xludf.DUMMYFUNCTION("REGEXREPLACE(C29914,""-\d+(.*)|--\d+(.*)"","""")"),"LAMOTTE-WARFUSEE")</f>
        <v>LAMOTTE-WARFUSEE</v>
      </c>
      <c r="E29914" s="38" t="s">
        <v>224</v>
      </c>
      <c r="F29914" s="38" t="s">
        <v>113</v>
      </c>
      <c r="G29914" s="49" t="str">
        <f t="shared" si="1"/>
        <v>80800</v>
      </c>
      <c r="H29914" s="49">
        <f t="shared" si="2"/>
        <v>80463</v>
      </c>
    </row>
    <row r="29915">
      <c r="A29915" s="48" t="s">
        <v>208</v>
      </c>
      <c r="B29915" s="38">
        <v>67490.0</v>
      </c>
      <c r="C29915" s="38" t="s">
        <v>34296</v>
      </c>
      <c r="D29915" s="38" t="str">
        <f>IFERROR(__xludf.DUMMYFUNCTION("REGEXREPLACE(C29915,""-\d+(.*)|--\d+(.*)"","""")"),"THANVILLE")</f>
        <v>THANVILLE</v>
      </c>
      <c r="E29915" s="38" t="s">
        <v>210</v>
      </c>
      <c r="F29915" s="38" t="s">
        <v>151</v>
      </c>
      <c r="G29915" s="49" t="str">
        <f t="shared" si="1"/>
        <v>67220</v>
      </c>
      <c r="H29915" s="49">
        <f t="shared" si="2"/>
        <v>67490</v>
      </c>
    </row>
    <row r="29916">
      <c r="A29916" s="48" t="s">
        <v>5873</v>
      </c>
      <c r="B29916" s="38">
        <v>23137.0</v>
      </c>
      <c r="C29916" s="38" t="s">
        <v>34297</v>
      </c>
      <c r="D29916" s="38" t="str">
        <f>IFERROR(__xludf.DUMMYFUNCTION("REGEXREPLACE(C29916,""-\d+(.*)|--\d+(.*)"","""")"),"MOURIOUX-VIEILLEVILLE")</f>
        <v>MOURIOUX-VIEILLEVILLE</v>
      </c>
      <c r="E29916" s="38" t="s">
        <v>97</v>
      </c>
      <c r="F29916" s="38" t="s">
        <v>98</v>
      </c>
      <c r="G29916" s="49" t="str">
        <f t="shared" si="1"/>
        <v>23210</v>
      </c>
      <c r="H29916" s="49">
        <f t="shared" si="2"/>
        <v>23137</v>
      </c>
    </row>
    <row r="29917">
      <c r="A29917" s="48" t="s">
        <v>9871</v>
      </c>
      <c r="B29917" s="38">
        <v>22304.0</v>
      </c>
      <c r="C29917" s="38" t="s">
        <v>34298</v>
      </c>
      <c r="D29917" s="38" t="str">
        <f>IFERROR(__xludf.DUMMYFUNCTION("REGEXREPLACE(C29917,""-\d+(.*)|--\d+(.*)"","""")"),"SAINT-JEAN-KERDANIEL")</f>
        <v>SAINT-JEAN-KERDANIEL</v>
      </c>
      <c r="E29917" s="38" t="s">
        <v>89</v>
      </c>
      <c r="F29917" s="38" t="s">
        <v>90</v>
      </c>
      <c r="G29917" s="49" t="str">
        <f t="shared" si="1"/>
        <v>22170</v>
      </c>
      <c r="H29917" s="49">
        <f t="shared" si="2"/>
        <v>22304</v>
      </c>
    </row>
    <row r="29918">
      <c r="A29918" s="48" t="s">
        <v>17322</v>
      </c>
      <c r="B29918" s="38">
        <v>33120.0</v>
      </c>
      <c r="C29918" s="38" t="s">
        <v>34299</v>
      </c>
      <c r="D29918" s="38" t="str">
        <f>IFERROR(__xludf.DUMMYFUNCTION("REGEXREPLACE(C29918,""-\d+(.*)|--\d+(.*)"","""")"),"CERONS")</f>
        <v>CERONS</v>
      </c>
      <c r="E29918" s="38" t="s">
        <v>462</v>
      </c>
      <c r="F29918" s="38" t="s">
        <v>252</v>
      </c>
      <c r="G29918" s="49" t="str">
        <f t="shared" si="1"/>
        <v>33720</v>
      </c>
      <c r="H29918" s="49">
        <f t="shared" si="2"/>
        <v>33120</v>
      </c>
    </row>
    <row r="29919">
      <c r="A29919" s="48" t="s">
        <v>34300</v>
      </c>
      <c r="B29919" s="38">
        <v>66136.0</v>
      </c>
      <c r="C29919" s="38" t="s">
        <v>34301</v>
      </c>
      <c r="D29919" s="38" t="str">
        <f>IFERROR(__xludf.DUMMYFUNCTION("REGEXREPLACE(C29919,""-\d+(.*)|--\d+(.*)"","""")"),"PERPIGNAN")</f>
        <v>PERPIGNAN</v>
      </c>
      <c r="E29919" s="38" t="s">
        <v>248</v>
      </c>
      <c r="F29919" s="38" t="s">
        <v>119</v>
      </c>
      <c r="G29919" s="49" t="str">
        <f t="shared" si="1"/>
        <v>66000/66100</v>
      </c>
      <c r="H29919" s="49">
        <f t="shared" si="2"/>
        <v>66136</v>
      </c>
    </row>
    <row r="29920">
      <c r="A29920" s="48" t="s">
        <v>3821</v>
      </c>
      <c r="B29920" s="38">
        <v>57281.0</v>
      </c>
      <c r="C29920" s="38" t="s">
        <v>34302</v>
      </c>
      <c r="D29920" s="38" t="str">
        <f>IFERROR(__xludf.DUMMYFUNCTION("REGEXREPLACE(C29920,""-\d+(.*)|--\d+(.*)"","""")"),"HABOUDANGE")</f>
        <v>HABOUDANGE</v>
      </c>
      <c r="E29920" s="38" t="s">
        <v>303</v>
      </c>
      <c r="F29920" s="38" t="s">
        <v>195</v>
      </c>
      <c r="G29920" s="49" t="str">
        <f t="shared" si="1"/>
        <v>57340</v>
      </c>
      <c r="H29920" s="49">
        <f t="shared" si="2"/>
        <v>57281</v>
      </c>
    </row>
    <row r="29921">
      <c r="A29921" s="48" t="s">
        <v>2338</v>
      </c>
      <c r="B29921" s="38">
        <v>8131.0</v>
      </c>
      <c r="C29921" s="38" t="s">
        <v>34303</v>
      </c>
      <c r="D29921" s="38" t="str">
        <f>IFERROR(__xludf.DUMMYFUNCTION("REGEXREPLACE(C29921,""-\d+(.*)|--\d+(.*)"","""")"),"CORNAY")</f>
        <v>CORNAY</v>
      </c>
      <c r="E29921" s="38" t="s">
        <v>327</v>
      </c>
      <c r="F29921" s="38" t="s">
        <v>130</v>
      </c>
      <c r="G29921" s="49" t="str">
        <f t="shared" si="1"/>
        <v>08250</v>
      </c>
      <c r="H29921" s="49" t="str">
        <f t="shared" si="2"/>
        <v>08131</v>
      </c>
    </row>
    <row r="29922">
      <c r="A29922" s="48" t="s">
        <v>9772</v>
      </c>
      <c r="B29922" s="38">
        <v>25077.0</v>
      </c>
      <c r="C29922" s="38" t="s">
        <v>34304</v>
      </c>
      <c r="D29922" s="38" t="str">
        <f>IFERROR(__xludf.DUMMYFUNCTION("REGEXREPLACE(C29922,""-\d+(.*)|--\d+(.*)"","""")"),"LA BOSSE")</f>
        <v>LA BOSSE</v>
      </c>
      <c r="E29922" s="38" t="s">
        <v>213</v>
      </c>
      <c r="F29922" s="38" t="s">
        <v>214</v>
      </c>
      <c r="G29922" s="49" t="str">
        <f t="shared" si="1"/>
        <v>25210</v>
      </c>
      <c r="H29922" s="49">
        <f t="shared" si="2"/>
        <v>25077</v>
      </c>
    </row>
    <row r="29923">
      <c r="A29923" s="48" t="s">
        <v>6002</v>
      </c>
      <c r="B29923" s="38">
        <v>18233.0</v>
      </c>
      <c r="C29923" s="38" t="s">
        <v>34305</v>
      </c>
      <c r="D29923" s="38" t="str">
        <f>IFERROR(__xludf.DUMMYFUNCTION("REGEXREPLACE(C29923,""-\d+(.*)|--\d+(.*)"","""")"),"SAINT-SATUR")</f>
        <v>SAINT-SATUR</v>
      </c>
      <c r="E29923" s="38" t="s">
        <v>504</v>
      </c>
      <c r="F29923" s="38" t="s">
        <v>123</v>
      </c>
      <c r="G29923" s="49" t="str">
        <f t="shared" si="1"/>
        <v>18300</v>
      </c>
      <c r="H29923" s="49">
        <f t="shared" si="2"/>
        <v>18233</v>
      </c>
    </row>
    <row r="29924">
      <c r="A29924" s="48" t="s">
        <v>2893</v>
      </c>
      <c r="B29924" s="38">
        <v>27027.0</v>
      </c>
      <c r="C29924" s="38" t="s">
        <v>34306</v>
      </c>
      <c r="D29924" s="38" t="str">
        <f>IFERROR(__xludf.DUMMYFUNCTION("REGEXREPLACE(C29924,""-\d+(.*)|--\d+(.*)"","""")"),"LES AUTHIEUX")</f>
        <v>LES AUTHIEUX</v>
      </c>
      <c r="E29924" s="38" t="s">
        <v>241</v>
      </c>
      <c r="F29924" s="38" t="s">
        <v>134</v>
      </c>
      <c r="G29924" s="49" t="str">
        <f t="shared" si="1"/>
        <v>27220</v>
      </c>
      <c r="H29924" s="49">
        <f t="shared" si="2"/>
        <v>27027</v>
      </c>
    </row>
    <row r="29925">
      <c r="A29925" s="48" t="s">
        <v>10063</v>
      </c>
      <c r="B29925" s="38">
        <v>18197.0</v>
      </c>
      <c r="C29925" s="38" t="s">
        <v>34307</v>
      </c>
      <c r="D29925" s="38" t="str">
        <f>IFERROR(__xludf.DUMMYFUNCTION("REGEXREPLACE(C29925,""-\d+(.*)|--\d+(.*)"","""")"),"SAINT-AMAND-MONTROND")</f>
        <v>SAINT-AMAND-MONTROND</v>
      </c>
      <c r="E29925" s="38" t="s">
        <v>504</v>
      </c>
      <c r="F29925" s="38" t="s">
        <v>123</v>
      </c>
      <c r="G29925" s="49" t="str">
        <f t="shared" si="1"/>
        <v>18200</v>
      </c>
      <c r="H29925" s="49">
        <f t="shared" si="2"/>
        <v>18197</v>
      </c>
    </row>
    <row r="29926">
      <c r="A29926" s="48" t="s">
        <v>13395</v>
      </c>
      <c r="B29926" s="38">
        <v>57356.0</v>
      </c>
      <c r="C29926" s="38" t="s">
        <v>34308</v>
      </c>
      <c r="D29926" s="38" t="str">
        <f>IFERROR(__xludf.DUMMYFUNCTION("REGEXREPLACE(C29926,""-\d+(.*)|--\d+(.*)"","""")"),"KANFEN")</f>
        <v>KANFEN</v>
      </c>
      <c r="E29926" s="38" t="s">
        <v>303</v>
      </c>
      <c r="F29926" s="38" t="s">
        <v>195</v>
      </c>
      <c r="G29926" s="49" t="str">
        <f t="shared" si="1"/>
        <v>57330</v>
      </c>
      <c r="H29926" s="49">
        <f t="shared" si="2"/>
        <v>57356</v>
      </c>
    </row>
    <row r="29927">
      <c r="A29927" s="48" t="s">
        <v>2744</v>
      </c>
      <c r="B29927" s="38">
        <v>17034.0</v>
      </c>
      <c r="C29927" s="38" t="s">
        <v>34309</v>
      </c>
      <c r="D29927" s="38" t="str">
        <f>IFERROR(__xludf.DUMMYFUNCTION("REGEXREPLACE(C29927,""-\d+(.*)|--\d+(.*)"","""")"),"BARZAN")</f>
        <v>BARZAN</v>
      </c>
      <c r="E29927" s="38" t="s">
        <v>488</v>
      </c>
      <c r="F29927" s="38" t="s">
        <v>338</v>
      </c>
      <c r="G29927" s="49" t="str">
        <f t="shared" si="1"/>
        <v>17120</v>
      </c>
      <c r="H29927" s="49">
        <f t="shared" si="2"/>
        <v>17034</v>
      </c>
    </row>
    <row r="29928">
      <c r="A29928" s="48" t="s">
        <v>13263</v>
      </c>
      <c r="B29928" s="38">
        <v>50182.0</v>
      </c>
      <c r="C29928" s="38" t="s">
        <v>12006</v>
      </c>
      <c r="D29928" s="38" t="str">
        <f>IFERROR(__xludf.DUMMYFUNCTION("REGEXREPLACE(C29928,""-\d+(.*)|--\d+(.*)"","""")"),"LA FEUILLIE")</f>
        <v>LA FEUILLIE</v>
      </c>
      <c r="E29928" s="38" t="s">
        <v>157</v>
      </c>
      <c r="F29928" s="38" t="s">
        <v>138</v>
      </c>
      <c r="G29928" s="49" t="str">
        <f t="shared" si="1"/>
        <v>50190</v>
      </c>
      <c r="H29928" s="49">
        <f t="shared" si="2"/>
        <v>50182</v>
      </c>
    </row>
    <row r="29929">
      <c r="A29929" s="48" t="s">
        <v>378</v>
      </c>
      <c r="B29929" s="38">
        <v>37244.0</v>
      </c>
      <c r="C29929" s="38" t="s">
        <v>34310</v>
      </c>
      <c r="D29929" s="38" t="str">
        <f>IFERROR(__xludf.DUMMYFUNCTION("REGEXREPLACE(C29929,""-\d+(.*)|--\d+(.*)"","""")"),"SAZILLY")</f>
        <v>SAZILLY</v>
      </c>
      <c r="E29929" s="38" t="s">
        <v>205</v>
      </c>
      <c r="F29929" s="38" t="s">
        <v>123</v>
      </c>
      <c r="G29929" s="49" t="str">
        <f t="shared" si="1"/>
        <v>37220</v>
      </c>
      <c r="H29929" s="49">
        <f t="shared" si="2"/>
        <v>37244</v>
      </c>
    </row>
    <row r="29930">
      <c r="A29930" s="48" t="s">
        <v>8196</v>
      </c>
      <c r="B29930" s="38">
        <v>23033.0</v>
      </c>
      <c r="C29930" s="38" t="s">
        <v>34311</v>
      </c>
      <c r="D29930" s="38" t="str">
        <f>IFERROR(__xludf.DUMMYFUNCTION("REGEXREPLACE(C29930,""-\d+(.*)|--\d+(.*)"","""")"),"LA BRIONNE")</f>
        <v>LA BRIONNE</v>
      </c>
      <c r="E29930" s="38" t="s">
        <v>97</v>
      </c>
      <c r="F29930" s="38" t="s">
        <v>98</v>
      </c>
      <c r="G29930" s="49" t="str">
        <f t="shared" si="1"/>
        <v>23000</v>
      </c>
      <c r="H29930" s="49">
        <f t="shared" si="2"/>
        <v>23033</v>
      </c>
    </row>
    <row r="29931">
      <c r="A29931" s="48" t="s">
        <v>3804</v>
      </c>
      <c r="B29931" s="38">
        <v>80172.0</v>
      </c>
      <c r="C29931" s="38" t="s">
        <v>34312</v>
      </c>
      <c r="D29931" s="38" t="str">
        <f>IFERROR(__xludf.DUMMYFUNCTION("REGEXREPLACE(C29931,""-\d+(.*)|--\d+(.*)"","""")"),"CAPPY")</f>
        <v>CAPPY</v>
      </c>
      <c r="E29931" s="38" t="s">
        <v>224</v>
      </c>
      <c r="F29931" s="38" t="s">
        <v>113</v>
      </c>
      <c r="G29931" s="49" t="str">
        <f t="shared" si="1"/>
        <v>80340</v>
      </c>
      <c r="H29931" s="49">
        <f t="shared" si="2"/>
        <v>80172</v>
      </c>
    </row>
    <row r="29932">
      <c r="A29932" s="48" t="s">
        <v>309</v>
      </c>
      <c r="B29932" s="38">
        <v>48017.0</v>
      </c>
      <c r="C29932" s="38" t="s">
        <v>34313</v>
      </c>
      <c r="D29932" s="38" t="str">
        <f>IFERROR(__xludf.DUMMYFUNCTION("REGEXREPLACE(C29932,""-\d+(.*)|--\d+(.*)"","""")"),"BANASSAC")</f>
        <v>BANASSAC</v>
      </c>
      <c r="E29932" s="38" t="s">
        <v>154</v>
      </c>
      <c r="F29932" s="38" t="s">
        <v>119</v>
      </c>
      <c r="G29932" s="49" t="str">
        <f t="shared" si="1"/>
        <v>48500</v>
      </c>
      <c r="H29932" s="49">
        <f t="shared" si="2"/>
        <v>48017</v>
      </c>
    </row>
    <row r="29933">
      <c r="A29933" s="48" t="s">
        <v>11086</v>
      </c>
      <c r="B29933" s="38">
        <v>7337.0</v>
      </c>
      <c r="C29933" s="38" t="s">
        <v>34314</v>
      </c>
      <c r="D29933" s="38" t="str">
        <f>IFERROR(__xludf.DUMMYFUNCTION("REGEXREPLACE(C29933,""-\d+(.*)|--\d+(.*)"","""")"),"VERNOSC-LES-ANNONAY")</f>
        <v>VERNOSC-LES-ANNONAY</v>
      </c>
      <c r="E29933" s="38" t="s">
        <v>144</v>
      </c>
      <c r="F29933" s="38" t="s">
        <v>102</v>
      </c>
      <c r="G29933" s="49" t="str">
        <f t="shared" si="1"/>
        <v>07430</v>
      </c>
      <c r="H29933" s="49" t="str">
        <f t="shared" si="2"/>
        <v>07337</v>
      </c>
    </row>
    <row r="29934">
      <c r="A29934" s="48" t="s">
        <v>91</v>
      </c>
      <c r="B29934" s="38">
        <v>31111.0</v>
      </c>
      <c r="C29934" s="38" t="s">
        <v>34315</v>
      </c>
      <c r="D29934" s="38" t="str">
        <f>IFERROR(__xludf.DUMMYFUNCTION("REGEXREPLACE(C29934,""-\d+(.*)|--\d+(.*)"","""")"),"CASTAGNAC")</f>
        <v>CASTAGNAC</v>
      </c>
      <c r="E29934" s="38" t="s">
        <v>93</v>
      </c>
      <c r="F29934" s="38" t="s">
        <v>94</v>
      </c>
      <c r="G29934" s="49" t="str">
        <f t="shared" si="1"/>
        <v>31310</v>
      </c>
      <c r="H29934" s="49">
        <f t="shared" si="2"/>
        <v>31111</v>
      </c>
    </row>
    <row r="29935">
      <c r="A29935" s="48" t="s">
        <v>1070</v>
      </c>
      <c r="B29935" s="38">
        <v>39209.0</v>
      </c>
      <c r="C29935" s="38" t="s">
        <v>34316</v>
      </c>
      <c r="D29935" s="38" t="str">
        <f>IFERROR(__xludf.DUMMYFUNCTION("REGEXREPLACE(C29935,""-\d+(.*)|--\d+(.*)"","""")"),"VAL-D'EPY")</f>
        <v>VAL-D'EPY</v>
      </c>
      <c r="E29935" s="38" t="s">
        <v>400</v>
      </c>
      <c r="F29935" s="38" t="s">
        <v>214</v>
      </c>
      <c r="G29935" s="49" t="str">
        <f t="shared" si="1"/>
        <v>39160</v>
      </c>
      <c r="H29935" s="49">
        <f t="shared" si="2"/>
        <v>39209</v>
      </c>
    </row>
    <row r="29936">
      <c r="A29936" s="48" t="s">
        <v>342</v>
      </c>
      <c r="B29936" s="38">
        <v>71031.0</v>
      </c>
      <c r="C29936" s="38" t="s">
        <v>34317</v>
      </c>
      <c r="D29936" s="38" t="str">
        <f>IFERROR(__xludf.DUMMYFUNCTION("REGEXREPLACE(C29936,""-\d+(.*)|--\d+(.*)"","""")"),"BERZE-LE-CHATEL")</f>
        <v>BERZE-LE-CHATEL</v>
      </c>
      <c r="E29936" s="38" t="s">
        <v>344</v>
      </c>
      <c r="F29936" s="38" t="s">
        <v>106</v>
      </c>
      <c r="G29936" s="49" t="str">
        <f t="shared" si="1"/>
        <v>71960</v>
      </c>
      <c r="H29936" s="49">
        <f t="shared" si="2"/>
        <v>71031</v>
      </c>
    </row>
    <row r="29937">
      <c r="A29937" s="48" t="s">
        <v>2708</v>
      </c>
      <c r="B29937" s="38">
        <v>70360.0</v>
      </c>
      <c r="C29937" s="38" t="s">
        <v>34318</v>
      </c>
      <c r="D29937" s="38" t="str">
        <f>IFERROR(__xludf.DUMMYFUNCTION("REGEXREPLACE(C29937,""-\d+(.*)|--\d+(.*)"","""")"),"MONTDORE")</f>
        <v>MONTDORE</v>
      </c>
      <c r="E29937" s="38" t="s">
        <v>956</v>
      </c>
      <c r="F29937" s="38" t="s">
        <v>214</v>
      </c>
      <c r="G29937" s="49" t="str">
        <f t="shared" si="1"/>
        <v>70210</v>
      </c>
      <c r="H29937" s="49">
        <f t="shared" si="2"/>
        <v>70360</v>
      </c>
    </row>
    <row r="29938">
      <c r="A29938" s="48" t="s">
        <v>11177</v>
      </c>
      <c r="B29938" s="38">
        <v>12123.0</v>
      </c>
      <c r="C29938" s="38" t="s">
        <v>34319</v>
      </c>
      <c r="D29938" s="38" t="str">
        <f>IFERROR(__xludf.DUMMYFUNCTION("REGEXREPLACE(C29938,""-\d+(.*)|--\d+(.*)"","""")"),"LAPANOUSE")</f>
        <v>LAPANOUSE</v>
      </c>
      <c r="E29938" s="38" t="s">
        <v>465</v>
      </c>
      <c r="F29938" s="38" t="s">
        <v>94</v>
      </c>
      <c r="G29938" s="49" t="str">
        <f t="shared" si="1"/>
        <v>12150</v>
      </c>
      <c r="H29938" s="49">
        <f t="shared" si="2"/>
        <v>12123</v>
      </c>
    </row>
    <row r="29939">
      <c r="A29939" s="48" t="s">
        <v>34320</v>
      </c>
      <c r="B29939" s="38">
        <v>68375.0</v>
      </c>
      <c r="C29939" s="38" t="s">
        <v>34321</v>
      </c>
      <c r="D29939" s="38" t="str">
        <f>IFERROR(__xludf.DUMMYFUNCTION("REGEXREPLACE(C29939,""-\d+(.*)|--\d+(.*)"","""")"),"WITTELSHEIM")</f>
        <v>WITTELSHEIM</v>
      </c>
      <c r="E29939" s="38" t="s">
        <v>150</v>
      </c>
      <c r="F29939" s="38" t="s">
        <v>151</v>
      </c>
      <c r="G29939" s="49" t="str">
        <f t="shared" si="1"/>
        <v>68310</v>
      </c>
      <c r="H29939" s="49">
        <f t="shared" si="2"/>
        <v>68375</v>
      </c>
    </row>
    <row r="29940">
      <c r="A29940" s="48" t="s">
        <v>1091</v>
      </c>
      <c r="B29940" s="38">
        <v>57249.0</v>
      </c>
      <c r="C29940" s="38" t="s">
        <v>11728</v>
      </c>
      <c r="D29940" s="38" t="str">
        <f>IFERROR(__xludf.DUMMYFUNCTION("REGEXREPLACE(C29940,""-\d+(.*)|--\d+(.*)"","""")"),"GLATIGNY")</f>
        <v>GLATIGNY</v>
      </c>
      <c r="E29940" s="38" t="s">
        <v>303</v>
      </c>
      <c r="F29940" s="38" t="s">
        <v>195</v>
      </c>
      <c r="G29940" s="49" t="str">
        <f t="shared" si="1"/>
        <v>57530</v>
      </c>
      <c r="H29940" s="49">
        <f t="shared" si="2"/>
        <v>57249</v>
      </c>
    </row>
    <row r="29941">
      <c r="A29941" s="48" t="s">
        <v>1511</v>
      </c>
      <c r="B29941" s="38">
        <v>22265.0</v>
      </c>
      <c r="C29941" s="38" t="s">
        <v>34322</v>
      </c>
      <c r="D29941" s="38" t="str">
        <f>IFERROR(__xludf.DUMMYFUNCTION("REGEXREPLACE(C29941,""-\d+(.*)|--\d+(.*)"","""")"),"ROSPEZ")</f>
        <v>ROSPEZ</v>
      </c>
      <c r="E29941" s="38" t="s">
        <v>89</v>
      </c>
      <c r="F29941" s="38" t="s">
        <v>90</v>
      </c>
      <c r="G29941" s="49" t="str">
        <f t="shared" si="1"/>
        <v>22300</v>
      </c>
      <c r="H29941" s="49">
        <f t="shared" si="2"/>
        <v>22265</v>
      </c>
    </row>
    <row r="29942">
      <c r="A29942" s="48" t="s">
        <v>1995</v>
      </c>
      <c r="B29942" s="38">
        <v>77135.0</v>
      </c>
      <c r="C29942" s="38" t="s">
        <v>34323</v>
      </c>
      <c r="D29942" s="38" t="str">
        <f>IFERROR(__xludf.DUMMYFUNCTION("REGEXREPLACE(C29942,""-\d+(.*)|--\d+(.*)"","""")"),"COURPALAY")</f>
        <v>COURPALAY</v>
      </c>
      <c r="E29942" s="38" t="s">
        <v>244</v>
      </c>
      <c r="F29942" s="38" t="s">
        <v>245</v>
      </c>
      <c r="G29942" s="49" t="str">
        <f t="shared" si="1"/>
        <v>77540</v>
      </c>
      <c r="H29942" s="49">
        <f t="shared" si="2"/>
        <v>77135</v>
      </c>
    </row>
    <row r="29943">
      <c r="A29943" s="48" t="s">
        <v>12362</v>
      </c>
      <c r="B29943" s="38">
        <v>39368.0</v>
      </c>
      <c r="C29943" s="38" t="s">
        <v>34324</v>
      </c>
      <c r="D29943" s="38" t="str">
        <f>IFERROR(__xludf.DUMMYFUNCTION("REGEXREPLACE(C29943,""-\d+(.*)|--\d+(.*)"","""")"),"MOREZ")</f>
        <v>MOREZ</v>
      </c>
      <c r="E29943" s="38" t="s">
        <v>400</v>
      </c>
      <c r="F29943" s="38" t="s">
        <v>214</v>
      </c>
      <c r="G29943" s="49" t="str">
        <f t="shared" si="1"/>
        <v>39400</v>
      </c>
      <c r="H29943" s="49">
        <f t="shared" si="2"/>
        <v>39368</v>
      </c>
    </row>
    <row r="29944">
      <c r="A29944" s="48" t="s">
        <v>4955</v>
      </c>
      <c r="B29944" s="38">
        <v>4074.0</v>
      </c>
      <c r="C29944" s="38" t="s">
        <v>34325</v>
      </c>
      <c r="D29944" s="38" t="str">
        <f>IFERROR(__xludf.DUMMYFUNCTION("REGEXREPLACE(C29944,""-\d+(.*)|--\d+(.*)"","""")"),"ENTRAGES")</f>
        <v>ENTRAGES</v>
      </c>
      <c r="E29944" s="38" t="s">
        <v>662</v>
      </c>
      <c r="F29944" s="38" t="s">
        <v>228</v>
      </c>
      <c r="G29944" s="49" t="str">
        <f t="shared" si="1"/>
        <v>04000</v>
      </c>
      <c r="H29944" s="49" t="str">
        <f t="shared" si="2"/>
        <v>04074</v>
      </c>
    </row>
    <row r="29945">
      <c r="A29945" s="48" t="s">
        <v>7590</v>
      </c>
      <c r="B29945" s="38">
        <v>85050.0</v>
      </c>
      <c r="C29945" s="38" t="s">
        <v>34326</v>
      </c>
      <c r="D29945" s="38" t="str">
        <f>IFERROR(__xludf.DUMMYFUNCTION("REGEXREPLACE(C29945,""-\d+(.*)|--\d+(.*)"","""")"),"LE CHAMP-SAINT-PERE")</f>
        <v>LE CHAMP-SAINT-PERE</v>
      </c>
      <c r="E29945" s="38" t="s">
        <v>179</v>
      </c>
      <c r="F29945" s="38" t="s">
        <v>180</v>
      </c>
      <c r="G29945" s="49" t="str">
        <f t="shared" si="1"/>
        <v>85540</v>
      </c>
      <c r="H29945" s="49">
        <f t="shared" si="2"/>
        <v>85050</v>
      </c>
    </row>
    <row r="29946">
      <c r="A29946" s="48" t="s">
        <v>922</v>
      </c>
      <c r="B29946" s="38">
        <v>76343.0</v>
      </c>
      <c r="C29946" s="38" t="s">
        <v>19827</v>
      </c>
      <c r="D29946" s="38" t="str">
        <f>IFERROR(__xludf.DUMMYFUNCTION("REGEXREPLACE(C29946,""-\d+(.*)|--\d+(.*)"","""")"),"HAUCOURT")</f>
        <v>HAUCOURT</v>
      </c>
      <c r="E29946" s="38" t="s">
        <v>133</v>
      </c>
      <c r="F29946" s="38" t="s">
        <v>134</v>
      </c>
      <c r="G29946" s="49" t="str">
        <f t="shared" si="1"/>
        <v>76440</v>
      </c>
      <c r="H29946" s="49">
        <f t="shared" si="2"/>
        <v>76343</v>
      </c>
    </row>
    <row r="29947">
      <c r="A29947" s="48" t="s">
        <v>8883</v>
      </c>
      <c r="B29947" s="38">
        <v>39077.0</v>
      </c>
      <c r="C29947" s="38" t="s">
        <v>34327</v>
      </c>
      <c r="D29947" s="38" t="str">
        <f>IFERROR(__xludf.DUMMYFUNCTION("REGEXREPLACE(C29947,""-\d+(.*)|--\d+(.*)"","""")"),"BRETENIERES")</f>
        <v>BRETENIERES</v>
      </c>
      <c r="E29947" s="38" t="s">
        <v>400</v>
      </c>
      <c r="F29947" s="38" t="s">
        <v>214</v>
      </c>
      <c r="G29947" s="49" t="str">
        <f t="shared" si="1"/>
        <v>39120</v>
      </c>
      <c r="H29947" s="49">
        <f t="shared" si="2"/>
        <v>39077</v>
      </c>
    </row>
    <row r="29948">
      <c r="A29948" s="48" t="s">
        <v>2807</v>
      </c>
      <c r="B29948" s="38">
        <v>81076.0</v>
      </c>
      <c r="C29948" s="38" t="s">
        <v>34328</v>
      </c>
      <c r="D29948" s="38" t="str">
        <f>IFERROR(__xludf.DUMMYFUNCTION("REGEXREPLACE(C29948,""-\d+(.*)|--\d+(.*)"","""")"),"CUQ-TOULZA")</f>
        <v>CUQ-TOULZA</v>
      </c>
      <c r="E29948" s="38" t="s">
        <v>231</v>
      </c>
      <c r="F29948" s="38" t="s">
        <v>94</v>
      </c>
      <c r="G29948" s="49" t="str">
        <f t="shared" si="1"/>
        <v>81470</v>
      </c>
      <c r="H29948" s="49">
        <f t="shared" si="2"/>
        <v>81076</v>
      </c>
    </row>
    <row r="29949">
      <c r="A29949" s="48" t="s">
        <v>9026</v>
      </c>
      <c r="B29949" s="38">
        <v>21038.0</v>
      </c>
      <c r="C29949" s="38" t="s">
        <v>34329</v>
      </c>
      <c r="D29949" s="38" t="str">
        <f>IFERROR(__xludf.DUMMYFUNCTION("REGEXREPLACE(C29949,""-\d+(.*)|--\d+(.*)"","""")"),"AUXONNE")</f>
        <v>AUXONNE</v>
      </c>
      <c r="E29949" s="38" t="s">
        <v>105</v>
      </c>
      <c r="F29949" s="38" t="s">
        <v>106</v>
      </c>
      <c r="G29949" s="49" t="str">
        <f t="shared" si="1"/>
        <v>21130</v>
      </c>
      <c r="H29949" s="49">
        <f t="shared" si="2"/>
        <v>21038</v>
      </c>
    </row>
    <row r="29950">
      <c r="A29950" s="48" t="s">
        <v>12477</v>
      </c>
      <c r="B29950" s="38">
        <v>27649.0</v>
      </c>
      <c r="C29950" s="38" t="s">
        <v>19686</v>
      </c>
      <c r="D29950" s="38" t="str">
        <f>IFERROR(__xludf.DUMMYFUNCTION("REGEXREPLACE(C29950,""-\d+(.*)|--\d+(.*)"","""")"),"TOUFFREVILLE")</f>
        <v>TOUFFREVILLE</v>
      </c>
      <c r="E29950" s="38" t="s">
        <v>241</v>
      </c>
      <c r="F29950" s="38" t="s">
        <v>134</v>
      </c>
      <c r="G29950" s="49" t="str">
        <f t="shared" si="1"/>
        <v>27440</v>
      </c>
      <c r="H29950" s="49">
        <f t="shared" si="2"/>
        <v>27649</v>
      </c>
    </row>
    <row r="29951">
      <c r="A29951" s="48" t="s">
        <v>1174</v>
      </c>
      <c r="B29951" s="38">
        <v>51040.0</v>
      </c>
      <c r="C29951" s="38" t="s">
        <v>34330</v>
      </c>
      <c r="D29951" s="38" t="str">
        <f>IFERROR(__xludf.DUMMYFUNCTION("REGEXREPLACE(C29951,""-\d+(.*)|--\d+(.*)"","""")"),"BASSUET")</f>
        <v>BASSUET</v>
      </c>
      <c r="E29951" s="38" t="s">
        <v>129</v>
      </c>
      <c r="F29951" s="38" t="s">
        <v>130</v>
      </c>
      <c r="G29951" s="49" t="str">
        <f t="shared" si="1"/>
        <v>51300</v>
      </c>
      <c r="H29951" s="49">
        <f t="shared" si="2"/>
        <v>51040</v>
      </c>
    </row>
    <row r="29952">
      <c r="A29952" s="48" t="s">
        <v>4295</v>
      </c>
      <c r="B29952" s="38">
        <v>40302.0</v>
      </c>
      <c r="C29952" s="38" t="s">
        <v>34331</v>
      </c>
      <c r="D29952" s="38" t="str">
        <f>IFERROR(__xludf.DUMMYFUNCTION("REGEXREPLACE(C29952,""-\d+(.*)|--\d+(.*)"","""")"),"SINDERES")</f>
        <v>SINDERES</v>
      </c>
      <c r="E29952" s="38" t="s">
        <v>281</v>
      </c>
      <c r="F29952" s="38" t="s">
        <v>252</v>
      </c>
      <c r="G29952" s="49" t="str">
        <f t="shared" si="1"/>
        <v>40110</v>
      </c>
      <c r="H29952" s="49">
        <f t="shared" si="2"/>
        <v>40302</v>
      </c>
    </row>
    <row r="29953">
      <c r="A29953" s="48" t="s">
        <v>1772</v>
      </c>
      <c r="B29953" s="38">
        <v>53182.0</v>
      </c>
      <c r="C29953" s="38" t="s">
        <v>34332</v>
      </c>
      <c r="D29953" s="38" t="str">
        <f>IFERROR(__xludf.DUMMYFUNCTION("REGEXREPLACE(C29953,""-\d+(.*)|--\d+(.*)"","""")"),"PORT-BRILLET")</f>
        <v>PORT-BRILLET</v>
      </c>
      <c r="E29953" s="38" t="s">
        <v>518</v>
      </c>
      <c r="F29953" s="38" t="s">
        <v>180</v>
      </c>
      <c r="G29953" s="49" t="str">
        <f t="shared" si="1"/>
        <v>53410</v>
      </c>
      <c r="H29953" s="49">
        <f t="shared" si="2"/>
        <v>53182</v>
      </c>
    </row>
    <row r="29954">
      <c r="A29954" s="48" t="s">
        <v>34333</v>
      </c>
      <c r="B29954" s="38">
        <v>66028.0</v>
      </c>
      <c r="C29954" s="38" t="s">
        <v>34334</v>
      </c>
      <c r="D29954" s="38" t="str">
        <f>IFERROR(__xludf.DUMMYFUNCTION("REGEXREPLACE(C29954,""-\d+(.*)|--\d+(.*)"","""")"),"CABESTANY")</f>
        <v>CABESTANY</v>
      </c>
      <c r="E29954" s="38" t="s">
        <v>248</v>
      </c>
      <c r="F29954" s="38" t="s">
        <v>119</v>
      </c>
      <c r="G29954" s="49" t="str">
        <f t="shared" si="1"/>
        <v>66330</v>
      </c>
      <c r="H29954" s="49">
        <f t="shared" si="2"/>
        <v>66028</v>
      </c>
    </row>
    <row r="29955">
      <c r="A29955" s="48" t="s">
        <v>18675</v>
      </c>
      <c r="B29955" s="38">
        <v>19172.0</v>
      </c>
      <c r="C29955" s="38" t="s">
        <v>34335</v>
      </c>
      <c r="D29955" s="38" t="str">
        <f>IFERROR(__xludf.DUMMYFUNCTION("REGEXREPLACE(C29955,""-\d+(.*)|--\d+(.*)"","""")"),"RILHAC-TREIGNAC")</f>
        <v>RILHAC-TREIGNAC</v>
      </c>
      <c r="E29955" s="38" t="s">
        <v>271</v>
      </c>
      <c r="F29955" s="38" t="s">
        <v>98</v>
      </c>
      <c r="G29955" s="49" t="str">
        <f t="shared" si="1"/>
        <v>19260</v>
      </c>
      <c r="H29955" s="49">
        <f t="shared" si="2"/>
        <v>19172</v>
      </c>
    </row>
    <row r="29956">
      <c r="A29956" s="48" t="s">
        <v>5209</v>
      </c>
      <c r="B29956" s="38">
        <v>54180.0</v>
      </c>
      <c r="C29956" s="38" t="s">
        <v>34336</v>
      </c>
      <c r="D29956" s="38" t="str">
        <f>IFERROR(__xludf.DUMMYFUNCTION("REGEXREPLACE(C29956,""-\d+(.*)|--\d+(.*)"","""")"),"ERBEVILLER-SUR-AMEZULE")</f>
        <v>ERBEVILLER-SUR-AMEZULE</v>
      </c>
      <c r="E29956" s="38" t="s">
        <v>548</v>
      </c>
      <c r="F29956" s="38" t="s">
        <v>195</v>
      </c>
      <c r="G29956" s="49" t="str">
        <f t="shared" si="1"/>
        <v>54280</v>
      </c>
      <c r="H29956" s="49">
        <f t="shared" si="2"/>
        <v>54180</v>
      </c>
    </row>
    <row r="29957">
      <c r="A29957" s="48" t="s">
        <v>2016</v>
      </c>
      <c r="B29957" s="38">
        <v>50213.0</v>
      </c>
      <c r="C29957" s="38" t="s">
        <v>34337</v>
      </c>
      <c r="D29957" s="38" t="str">
        <f>IFERROR(__xludf.DUMMYFUNCTION("REGEXREPLACE(C29957,""-\d+(.*)|--\d+(.*)"","""")"),"GOURFALEUR")</f>
        <v>GOURFALEUR</v>
      </c>
      <c r="E29957" s="38" t="s">
        <v>157</v>
      </c>
      <c r="F29957" s="38" t="s">
        <v>138</v>
      </c>
      <c r="G29957" s="49" t="str">
        <f t="shared" si="1"/>
        <v>50750</v>
      </c>
      <c r="H29957" s="49">
        <f t="shared" si="2"/>
        <v>50213</v>
      </c>
    </row>
    <row r="29958">
      <c r="A29958" s="48" t="s">
        <v>2141</v>
      </c>
      <c r="B29958" s="38">
        <v>80573.0</v>
      </c>
      <c r="C29958" s="38" t="s">
        <v>34338</v>
      </c>
      <c r="D29958" s="38" t="str">
        <f>IFERROR(__xludf.DUMMYFUNCTION("REGEXREPLACE(C29958,""-\d+(.*)|--\d+(.*)"","""")"),"MORVILLERS-SAINT-SATURNIN")</f>
        <v>MORVILLERS-SAINT-SATURNIN</v>
      </c>
      <c r="E29958" s="38" t="s">
        <v>224</v>
      </c>
      <c r="F29958" s="38" t="s">
        <v>113</v>
      </c>
      <c r="G29958" s="49" t="str">
        <f t="shared" si="1"/>
        <v>80290</v>
      </c>
      <c r="H29958" s="49">
        <f t="shared" si="2"/>
        <v>80573</v>
      </c>
    </row>
    <row r="29959">
      <c r="A29959" s="48" t="s">
        <v>5423</v>
      </c>
      <c r="B29959" s="38">
        <v>31393.0</v>
      </c>
      <c r="C29959" s="38" t="s">
        <v>34339</v>
      </c>
      <c r="D29959" s="38" t="str">
        <f>IFERROR(__xludf.DUMMYFUNCTION("REGEXREPLACE(C29959,""-\d+(.*)|--\d+(.*)"","""")"),"MOURVILLES-HAUTES")</f>
        <v>MOURVILLES-HAUTES</v>
      </c>
      <c r="E29959" s="38" t="s">
        <v>93</v>
      </c>
      <c r="F29959" s="38" t="s">
        <v>94</v>
      </c>
      <c r="G29959" s="49" t="str">
        <f t="shared" si="1"/>
        <v>31540</v>
      </c>
      <c r="H29959" s="49">
        <f t="shared" si="2"/>
        <v>31393</v>
      </c>
    </row>
    <row r="29960">
      <c r="A29960" s="48" t="s">
        <v>5056</v>
      </c>
      <c r="B29960" s="38">
        <v>85295.0</v>
      </c>
      <c r="C29960" s="38" t="s">
        <v>34340</v>
      </c>
      <c r="D29960" s="38" t="str">
        <f>IFERROR(__xludf.DUMMYFUNCTION("REGEXREPLACE(C29960,""-\d+(.*)|--\d+(.*)"","""")"),"TREIZE-SEPTIERS")</f>
        <v>TREIZE-SEPTIERS</v>
      </c>
      <c r="E29960" s="38" t="s">
        <v>179</v>
      </c>
      <c r="F29960" s="38" t="s">
        <v>180</v>
      </c>
      <c r="G29960" s="49" t="str">
        <f t="shared" si="1"/>
        <v>85600</v>
      </c>
      <c r="H29960" s="49">
        <f t="shared" si="2"/>
        <v>85295</v>
      </c>
    </row>
    <row r="29961">
      <c r="A29961" s="48" t="s">
        <v>11534</v>
      </c>
      <c r="B29961" s="38">
        <v>30043.0</v>
      </c>
      <c r="C29961" s="38" t="s">
        <v>34341</v>
      </c>
      <c r="D29961" s="38" t="str">
        <f>IFERROR(__xludf.DUMMYFUNCTION("REGEXREPLACE(C29961,""-\d+(.*)|--\d+(.*)"","""")"),"BOISSIERES")</f>
        <v>BOISSIERES</v>
      </c>
      <c r="E29961" s="38" t="s">
        <v>526</v>
      </c>
      <c r="F29961" s="38" t="s">
        <v>119</v>
      </c>
      <c r="G29961" s="49" t="str">
        <f t="shared" si="1"/>
        <v>30114</v>
      </c>
      <c r="H29961" s="49">
        <f t="shared" si="2"/>
        <v>30043</v>
      </c>
    </row>
    <row r="29962">
      <c r="A29962" s="48" t="s">
        <v>8404</v>
      </c>
      <c r="B29962" s="38" t="s">
        <v>34342</v>
      </c>
      <c r="C29962" s="38" t="s">
        <v>34343</v>
      </c>
      <c r="D29962" s="38" t="str">
        <f>IFERROR(__xludf.DUMMYFUNCTION("REGEXREPLACE(C29962,""-\d+(.*)|--\d+(.*)"","""")"),"CAMPILE")</f>
        <v>CAMPILE</v>
      </c>
      <c r="E29962" s="38" t="s">
        <v>743</v>
      </c>
      <c r="F29962" s="38" t="s">
        <v>607</v>
      </c>
      <c r="G29962" s="49" t="str">
        <f t="shared" si="1"/>
        <v>20290</v>
      </c>
      <c r="H29962" s="49" t="str">
        <f t="shared" si="2"/>
        <v>2B054</v>
      </c>
    </row>
    <row r="29963">
      <c r="A29963" s="48" t="s">
        <v>4497</v>
      </c>
      <c r="B29963" s="38">
        <v>25517.0</v>
      </c>
      <c r="C29963" s="38" t="s">
        <v>34344</v>
      </c>
      <c r="D29963" s="38" t="str">
        <f>IFERROR(__xludf.DUMMYFUNCTION("REGEXREPLACE(C29963,""-\d+(.*)|--\d+(.*)"","""")"),"SAINT-GORGON-MAIN")</f>
        <v>SAINT-GORGON-MAIN</v>
      </c>
      <c r="E29963" s="38" t="s">
        <v>213</v>
      </c>
      <c r="F29963" s="38" t="s">
        <v>214</v>
      </c>
      <c r="G29963" s="49" t="str">
        <f t="shared" si="1"/>
        <v>25520</v>
      </c>
      <c r="H29963" s="49">
        <f t="shared" si="2"/>
        <v>25517</v>
      </c>
    </row>
    <row r="29964">
      <c r="A29964" s="48" t="s">
        <v>6052</v>
      </c>
      <c r="B29964" s="38">
        <v>4058.0</v>
      </c>
      <c r="C29964" s="38" t="s">
        <v>2667</v>
      </c>
      <c r="D29964" s="38" t="str">
        <f>IFERROR(__xludf.DUMMYFUNCTION("REGEXREPLACE(C29964,""-\d+(.*)|--\d+(.*)"","""")"),"CLARET")</f>
        <v>CLARET</v>
      </c>
      <c r="E29964" s="38" t="s">
        <v>662</v>
      </c>
      <c r="F29964" s="38" t="s">
        <v>228</v>
      </c>
      <c r="G29964" s="49" t="str">
        <f t="shared" si="1"/>
        <v>05110</v>
      </c>
      <c r="H29964" s="49" t="str">
        <f t="shared" si="2"/>
        <v>04058</v>
      </c>
    </row>
    <row r="29965">
      <c r="A29965" s="48" t="s">
        <v>12481</v>
      </c>
      <c r="B29965" s="38">
        <v>88383.0</v>
      </c>
      <c r="C29965" s="38" t="s">
        <v>34345</v>
      </c>
      <c r="D29965" s="38" t="str">
        <f>IFERROR(__xludf.DUMMYFUNCTION("REGEXREPLACE(C29965,""-\d+(.*)|--\d+(.*)"","""")"),"REMIREMONT")</f>
        <v>REMIREMONT</v>
      </c>
      <c r="E29965" s="38" t="s">
        <v>194</v>
      </c>
      <c r="F29965" s="38" t="s">
        <v>195</v>
      </c>
      <c r="G29965" s="49" t="str">
        <f t="shared" si="1"/>
        <v>88200</v>
      </c>
      <c r="H29965" s="49">
        <f t="shared" si="2"/>
        <v>88383</v>
      </c>
    </row>
    <row r="29966">
      <c r="A29966" s="48" t="s">
        <v>11498</v>
      </c>
      <c r="B29966" s="38">
        <v>26174.0</v>
      </c>
      <c r="C29966" s="38" t="s">
        <v>34346</v>
      </c>
      <c r="D29966" s="38" t="str">
        <f>IFERROR(__xludf.DUMMYFUNCTION("REGEXREPLACE(C29966,""-\d+(.*)|--\d+(.*)"","""")"),"MARGES")</f>
        <v>MARGES</v>
      </c>
      <c r="E29966" s="38" t="s">
        <v>126</v>
      </c>
      <c r="F29966" s="38" t="s">
        <v>102</v>
      </c>
      <c r="G29966" s="49" t="str">
        <f t="shared" si="1"/>
        <v>26260</v>
      </c>
      <c r="H29966" s="49">
        <f t="shared" si="2"/>
        <v>26174</v>
      </c>
    </row>
    <row r="29967">
      <c r="A29967" s="48" t="s">
        <v>3022</v>
      </c>
      <c r="B29967" s="38">
        <v>14240.0</v>
      </c>
      <c r="C29967" s="38" t="s">
        <v>34347</v>
      </c>
      <c r="D29967" s="38" t="str">
        <f>IFERROR(__xludf.DUMMYFUNCTION("REGEXREPLACE(C29967,""-\d+(.*)|--\d+(.*)"","""")"),"EPANEY")</f>
        <v>EPANEY</v>
      </c>
      <c r="E29967" s="38" t="s">
        <v>137</v>
      </c>
      <c r="F29967" s="38" t="s">
        <v>138</v>
      </c>
      <c r="G29967" s="49" t="str">
        <f t="shared" si="1"/>
        <v>14170</v>
      </c>
      <c r="H29967" s="49">
        <f t="shared" si="2"/>
        <v>14240</v>
      </c>
    </row>
    <row r="29968">
      <c r="A29968" s="48" t="s">
        <v>11061</v>
      </c>
      <c r="B29968" s="38">
        <v>16211.0</v>
      </c>
      <c r="C29968" s="38" t="s">
        <v>34348</v>
      </c>
      <c r="D29968" s="38" t="str">
        <f>IFERROR(__xludf.DUMMYFUNCTION("REGEXREPLACE(C29968,""-\d+(.*)|--\d+(.*)"","""")"),"MARTHON")</f>
        <v>MARTHON</v>
      </c>
      <c r="E29968" s="38" t="s">
        <v>429</v>
      </c>
      <c r="F29968" s="38" t="s">
        <v>338</v>
      </c>
      <c r="G29968" s="49" t="str">
        <f t="shared" si="1"/>
        <v>16380</v>
      </c>
      <c r="H29968" s="49">
        <f t="shared" si="2"/>
        <v>16211</v>
      </c>
    </row>
    <row r="29969">
      <c r="A29969" s="48" t="s">
        <v>17555</v>
      </c>
      <c r="B29969" s="38">
        <v>59007.0</v>
      </c>
      <c r="C29969" s="38" t="s">
        <v>34349</v>
      </c>
      <c r="D29969" s="38" t="str">
        <f>IFERROR(__xludf.DUMMYFUNCTION("REGEXREPLACE(C29969,""-\d+(.*)|--\d+(.*)"","""")"),"ANHIERS")</f>
        <v>ANHIERS</v>
      </c>
      <c r="E29969" s="38" t="s">
        <v>85</v>
      </c>
      <c r="F29969" s="38" t="s">
        <v>86</v>
      </c>
      <c r="G29969" s="49" t="str">
        <f t="shared" si="1"/>
        <v>59194</v>
      </c>
      <c r="H29969" s="49">
        <f t="shared" si="2"/>
        <v>59007</v>
      </c>
    </row>
    <row r="29970">
      <c r="A29970" s="48" t="s">
        <v>4596</v>
      </c>
      <c r="B29970" s="38">
        <v>2579.0</v>
      </c>
      <c r="C29970" s="38" t="s">
        <v>34350</v>
      </c>
      <c r="D29970" s="38" t="str">
        <f>IFERROR(__xludf.DUMMYFUNCTION("REGEXREPLACE(C29970,""-\d+(.*)|--\d+(.*)"","""")"),"OULCHY-LA-VILLE")</f>
        <v>OULCHY-LA-VILLE</v>
      </c>
      <c r="E29970" s="38" t="s">
        <v>191</v>
      </c>
      <c r="F29970" s="38" t="s">
        <v>113</v>
      </c>
      <c r="G29970" s="49" t="str">
        <f t="shared" si="1"/>
        <v>02210</v>
      </c>
      <c r="H29970" s="49" t="str">
        <f t="shared" si="2"/>
        <v>02579</v>
      </c>
    </row>
    <row r="29971">
      <c r="A29971" s="48" t="s">
        <v>7355</v>
      </c>
      <c r="B29971" s="38">
        <v>33270.0</v>
      </c>
      <c r="C29971" s="38" t="s">
        <v>34351</v>
      </c>
      <c r="D29971" s="38" t="str">
        <f>IFERROR(__xludf.DUMMYFUNCTION("REGEXREPLACE(C29971,""-\d+(.*)|--\d+(.*)"","""")"),"MARIMBAULT")</f>
        <v>MARIMBAULT</v>
      </c>
      <c r="E29971" s="38" t="s">
        <v>462</v>
      </c>
      <c r="F29971" s="38" t="s">
        <v>252</v>
      </c>
      <c r="G29971" s="49" t="str">
        <f t="shared" si="1"/>
        <v>33430</v>
      </c>
      <c r="H29971" s="49">
        <f t="shared" si="2"/>
        <v>33270</v>
      </c>
    </row>
    <row r="29972">
      <c r="A29972" s="48" t="s">
        <v>3810</v>
      </c>
      <c r="B29972" s="38">
        <v>77201.0</v>
      </c>
      <c r="C29972" s="38" t="s">
        <v>34352</v>
      </c>
      <c r="D29972" s="38" t="str">
        <f>IFERROR(__xludf.DUMMYFUNCTION("REGEXREPLACE(C29972,""-\d+(.*)|--\d+(.*)"","""")"),"GASTINS")</f>
        <v>GASTINS</v>
      </c>
      <c r="E29972" s="38" t="s">
        <v>244</v>
      </c>
      <c r="F29972" s="38" t="s">
        <v>245</v>
      </c>
      <c r="G29972" s="49" t="str">
        <f t="shared" si="1"/>
        <v>77370</v>
      </c>
      <c r="H29972" s="49">
        <f t="shared" si="2"/>
        <v>77201</v>
      </c>
    </row>
    <row r="29973">
      <c r="A29973" s="48" t="s">
        <v>3543</v>
      </c>
      <c r="B29973" s="38">
        <v>81325.0</v>
      </c>
      <c r="C29973" s="38" t="s">
        <v>34353</v>
      </c>
      <c r="D29973" s="38" t="str">
        <f>IFERROR(__xludf.DUMMYFUNCTION("REGEXREPLACE(C29973,""-\d+(.*)|--\d+(.*)"","""")"),"VIVIERS-LES-MONTAGNES")</f>
        <v>VIVIERS-LES-MONTAGNES</v>
      </c>
      <c r="E29973" s="38" t="s">
        <v>231</v>
      </c>
      <c r="F29973" s="38" t="s">
        <v>94</v>
      </c>
      <c r="G29973" s="49" t="str">
        <f t="shared" si="1"/>
        <v>81290</v>
      </c>
      <c r="H29973" s="49">
        <f t="shared" si="2"/>
        <v>81325</v>
      </c>
    </row>
    <row r="29974">
      <c r="A29974" s="48" t="s">
        <v>34354</v>
      </c>
      <c r="B29974" s="38">
        <v>83129.0</v>
      </c>
      <c r="C29974" s="38" t="s">
        <v>34355</v>
      </c>
      <c r="D29974" s="38" t="str">
        <f>IFERROR(__xludf.DUMMYFUNCTION("REGEXREPLACE(C29974,""-\d+(.*)|--\d+(.*)"","""")"),"SIX-FOURS-LES-PLAGES")</f>
        <v>SIX-FOURS-LES-PLAGES</v>
      </c>
      <c r="E29974" s="38" t="s">
        <v>813</v>
      </c>
      <c r="F29974" s="38" t="s">
        <v>228</v>
      </c>
      <c r="G29974" s="49" t="str">
        <f t="shared" si="1"/>
        <v>83140</v>
      </c>
      <c r="H29974" s="49">
        <f t="shared" si="2"/>
        <v>83129</v>
      </c>
    </row>
    <row r="29975">
      <c r="A29975" s="48" t="s">
        <v>10259</v>
      </c>
      <c r="B29975" s="38">
        <v>73224.0</v>
      </c>
      <c r="C29975" s="38" t="s">
        <v>34356</v>
      </c>
      <c r="D29975" s="38" t="str">
        <f>IFERROR(__xludf.DUMMYFUNCTION("REGEXREPLACE(C29975,""-\d+(.*)|--\d+(.*)"","""")"),"SAINT-AVRE")</f>
        <v>SAINT-AVRE</v>
      </c>
      <c r="E29975" s="38" t="s">
        <v>306</v>
      </c>
      <c r="F29975" s="38" t="s">
        <v>102</v>
      </c>
      <c r="G29975" s="49" t="str">
        <f t="shared" si="1"/>
        <v>73130</v>
      </c>
      <c r="H29975" s="49">
        <f t="shared" si="2"/>
        <v>73224</v>
      </c>
    </row>
    <row r="29976">
      <c r="A29976" s="48" t="s">
        <v>5483</v>
      </c>
      <c r="B29976" s="38">
        <v>58255.0</v>
      </c>
      <c r="C29976" s="38" t="s">
        <v>34357</v>
      </c>
      <c r="D29976" s="38" t="str">
        <f>IFERROR(__xludf.DUMMYFUNCTION("REGEXREPLACE(C29976,""-\d+(.*)|--\d+(.*)"","""")"),"SAINT-MARTIN-DU-PUY")</f>
        <v>SAINT-MARTIN-DU-PUY</v>
      </c>
      <c r="E29976" s="38" t="s">
        <v>219</v>
      </c>
      <c r="F29976" s="38" t="s">
        <v>106</v>
      </c>
      <c r="G29976" s="49" t="str">
        <f t="shared" si="1"/>
        <v>58140</v>
      </c>
      <c r="H29976" s="49">
        <f t="shared" si="2"/>
        <v>58255</v>
      </c>
    </row>
    <row r="29977">
      <c r="A29977" s="48" t="s">
        <v>2095</v>
      </c>
      <c r="B29977" s="38">
        <v>72266.0</v>
      </c>
      <c r="C29977" s="38" t="s">
        <v>34358</v>
      </c>
      <c r="D29977" s="38" t="str">
        <f>IFERROR(__xludf.DUMMYFUNCTION("REGEXREPLACE(C29977,""-\d+(.*)|--\d+(.*)"","""")"),"SAINT-AUBIN-DE-LOCQUENAY")</f>
        <v>SAINT-AUBIN-DE-LOCQUENAY</v>
      </c>
      <c r="E29977" s="38" t="s">
        <v>521</v>
      </c>
      <c r="F29977" s="38" t="s">
        <v>180</v>
      </c>
      <c r="G29977" s="49" t="str">
        <f t="shared" si="1"/>
        <v>72130</v>
      </c>
      <c r="H29977" s="49">
        <f t="shared" si="2"/>
        <v>72266</v>
      </c>
    </row>
    <row r="29978">
      <c r="A29978" s="48" t="s">
        <v>10689</v>
      </c>
      <c r="B29978" s="38">
        <v>59325.0</v>
      </c>
      <c r="C29978" s="38" t="s">
        <v>34359</v>
      </c>
      <c r="D29978" s="38" t="str">
        <f>IFERROR(__xludf.DUMMYFUNCTION("REGEXREPLACE(C29978,""-\d+(.*)|--\d+(.*)"","""")"),"JOLIMETZ")</f>
        <v>JOLIMETZ</v>
      </c>
      <c r="E29978" s="38" t="s">
        <v>85</v>
      </c>
      <c r="F29978" s="38" t="s">
        <v>86</v>
      </c>
      <c r="G29978" s="49" t="str">
        <f t="shared" si="1"/>
        <v>59530</v>
      </c>
      <c r="H29978" s="49">
        <f t="shared" si="2"/>
        <v>59325</v>
      </c>
    </row>
    <row r="29979">
      <c r="A29979" s="48" t="s">
        <v>34360</v>
      </c>
      <c r="B29979" s="38">
        <v>78615.0</v>
      </c>
      <c r="C29979" s="38" t="s">
        <v>34361</v>
      </c>
      <c r="D29979" s="38" t="str">
        <f>IFERROR(__xludf.DUMMYFUNCTION("REGEXREPLACE(C29979,""-\d+(.*)|--\d+(.*)"","""")"),"THIVERVAL-GRIGNON")</f>
        <v>THIVERVAL-GRIGNON</v>
      </c>
      <c r="E29979" s="38" t="s">
        <v>362</v>
      </c>
      <c r="F29979" s="38" t="s">
        <v>245</v>
      </c>
      <c r="G29979" s="49" t="str">
        <f t="shared" si="1"/>
        <v>78850</v>
      </c>
      <c r="H29979" s="49">
        <f t="shared" si="2"/>
        <v>78615</v>
      </c>
    </row>
    <row r="29980">
      <c r="A29980" s="48" t="s">
        <v>2033</v>
      </c>
      <c r="B29980" s="38">
        <v>18014.0</v>
      </c>
      <c r="C29980" s="38" t="s">
        <v>34362</v>
      </c>
      <c r="D29980" s="38" t="str">
        <f>IFERROR(__xludf.DUMMYFUNCTION("REGEXREPLACE(C29980,""-\d+(.*)|--\d+(.*)"","""")"),"ASSIGNY")</f>
        <v>ASSIGNY</v>
      </c>
      <c r="E29980" s="38" t="s">
        <v>504</v>
      </c>
      <c r="F29980" s="38" t="s">
        <v>123</v>
      </c>
      <c r="G29980" s="49" t="str">
        <f t="shared" si="1"/>
        <v>18260</v>
      </c>
      <c r="H29980" s="49">
        <f t="shared" si="2"/>
        <v>18014</v>
      </c>
    </row>
    <row r="29981">
      <c r="A29981" s="48" t="s">
        <v>9585</v>
      </c>
      <c r="B29981" s="38">
        <v>25518.0</v>
      </c>
      <c r="C29981" s="38" t="s">
        <v>3567</v>
      </c>
      <c r="D29981" s="38" t="str">
        <f>IFERROR(__xludf.DUMMYFUNCTION("REGEXREPLACE(C29981,""-\d+(.*)|--\d+(.*)"","""")"),"SAINT-HILAIRE")</f>
        <v>SAINT-HILAIRE</v>
      </c>
      <c r="E29981" s="38" t="s">
        <v>213</v>
      </c>
      <c r="F29981" s="38" t="s">
        <v>214</v>
      </c>
      <c r="G29981" s="49" t="str">
        <f t="shared" si="1"/>
        <v>25640</v>
      </c>
      <c r="H29981" s="49">
        <f t="shared" si="2"/>
        <v>25518</v>
      </c>
    </row>
    <row r="29982">
      <c r="A29982" s="48" t="s">
        <v>8345</v>
      </c>
      <c r="B29982" s="38">
        <v>10368.0</v>
      </c>
      <c r="C29982" s="38" t="s">
        <v>34363</v>
      </c>
      <c r="D29982" s="38" t="str">
        <f>IFERROR(__xludf.DUMMYFUNCTION("REGEXREPLACE(C29982,""-\d+(.*)|--\d+(.*)"","""")"),"SAVIERES")</f>
        <v>SAVIERES</v>
      </c>
      <c r="E29982" s="38" t="s">
        <v>147</v>
      </c>
      <c r="F29982" s="38" t="s">
        <v>130</v>
      </c>
      <c r="G29982" s="49" t="str">
        <f t="shared" si="1"/>
        <v>10600</v>
      </c>
      <c r="H29982" s="49">
        <f t="shared" si="2"/>
        <v>10368</v>
      </c>
    </row>
    <row r="29983">
      <c r="A29983" s="48" t="s">
        <v>5137</v>
      </c>
      <c r="B29983" s="38">
        <v>53216.0</v>
      </c>
      <c r="C29983" s="38" t="s">
        <v>34364</v>
      </c>
      <c r="D29983" s="38" t="str">
        <f>IFERROR(__xludf.DUMMYFUNCTION("REGEXREPLACE(C29983,""-\d+(.*)|--\d+(.*)"","""")"),"SAINT-FRAIMBAULT-DE-PRIERES")</f>
        <v>SAINT-FRAIMBAULT-DE-PRIERES</v>
      </c>
      <c r="E29983" s="38" t="s">
        <v>518</v>
      </c>
      <c r="F29983" s="38" t="s">
        <v>180</v>
      </c>
      <c r="G29983" s="49" t="str">
        <f t="shared" si="1"/>
        <v>53300</v>
      </c>
      <c r="H29983" s="49">
        <f t="shared" si="2"/>
        <v>53216</v>
      </c>
    </row>
    <row r="29984">
      <c r="A29984" s="48" t="s">
        <v>5805</v>
      </c>
      <c r="B29984" s="38">
        <v>21400.0</v>
      </c>
      <c r="C29984" s="38" t="s">
        <v>34365</v>
      </c>
      <c r="D29984" s="38" t="str">
        <f>IFERROR(__xludf.DUMMYFUNCTION("REGEXREPLACE(C29984,""-\d+(.*)|--\d+(.*)"","""")"),"LE MEIX")</f>
        <v>LE MEIX</v>
      </c>
      <c r="E29984" s="38" t="s">
        <v>105</v>
      </c>
      <c r="F29984" s="38" t="s">
        <v>106</v>
      </c>
      <c r="G29984" s="49" t="str">
        <f t="shared" si="1"/>
        <v>21580</v>
      </c>
      <c r="H29984" s="49">
        <f t="shared" si="2"/>
        <v>21400</v>
      </c>
    </row>
    <row r="29985">
      <c r="A29985" s="48" t="s">
        <v>34366</v>
      </c>
      <c r="B29985" s="38">
        <v>97417.0</v>
      </c>
      <c r="C29985" s="38" t="s">
        <v>34367</v>
      </c>
      <c r="D29985" s="38" t="str">
        <f>IFERROR(__xludf.DUMMYFUNCTION("REGEXREPLACE(C29985,""-\d+(.*)|--\d+(.*)"","""")"),"SAINT-PHILIPPE")</f>
        <v>SAINT-PHILIPPE</v>
      </c>
      <c r="E29985" s="38" t="s">
        <v>7739</v>
      </c>
      <c r="F29985" s="38" t="s">
        <v>7739</v>
      </c>
      <c r="G29985" s="49" t="str">
        <f t="shared" si="1"/>
        <v>97442</v>
      </c>
      <c r="H29985" s="49">
        <f t="shared" si="2"/>
        <v>97417</v>
      </c>
    </row>
    <row r="29986">
      <c r="A29986" s="48" t="s">
        <v>1106</v>
      </c>
      <c r="B29986" s="38">
        <v>14458.0</v>
      </c>
      <c r="C29986" s="38" t="s">
        <v>34368</v>
      </c>
      <c r="D29986" s="38" t="str">
        <f>IFERROR(__xludf.DUMMYFUNCTION("REGEXREPLACE(C29986,""-\d+(.*)|--\d+(.*)"","""")"),"LES MOUTIERS-EN-CINGLAIS")</f>
        <v>LES MOUTIERS-EN-CINGLAIS</v>
      </c>
      <c r="E29986" s="38" t="s">
        <v>137</v>
      </c>
      <c r="F29986" s="38" t="s">
        <v>138</v>
      </c>
      <c r="G29986" s="49" t="str">
        <f t="shared" si="1"/>
        <v>14220</v>
      </c>
      <c r="H29986" s="49">
        <f t="shared" si="2"/>
        <v>14458</v>
      </c>
    </row>
    <row r="29987">
      <c r="A29987" s="48" t="s">
        <v>3980</v>
      </c>
      <c r="B29987" s="38">
        <v>71205.0</v>
      </c>
      <c r="C29987" s="38" t="s">
        <v>34369</v>
      </c>
      <c r="D29987" s="38" t="str">
        <f>IFERROR(__xludf.DUMMYFUNCTION("REGEXREPLACE(C29987,""-\d+(.*)|--\d+(.*)"","""")"),"FRANGY-EN-BRESSE")</f>
        <v>FRANGY-EN-BRESSE</v>
      </c>
      <c r="E29987" s="38" t="s">
        <v>344</v>
      </c>
      <c r="F29987" s="38" t="s">
        <v>106</v>
      </c>
      <c r="G29987" s="49" t="str">
        <f t="shared" si="1"/>
        <v>71330</v>
      </c>
      <c r="H29987" s="49">
        <f t="shared" si="2"/>
        <v>71205</v>
      </c>
    </row>
    <row r="29988">
      <c r="A29988" s="48" t="s">
        <v>4579</v>
      </c>
      <c r="B29988" s="38">
        <v>81186.0</v>
      </c>
      <c r="C29988" s="38" t="s">
        <v>34370</v>
      </c>
      <c r="D29988" s="38" t="str">
        <f>IFERROR(__xludf.DUMMYFUNCTION("REGEXREPLACE(C29988,""-\d+(.*)|--\d+(.*)"","""")"),"MOULARES")</f>
        <v>MOULARES</v>
      </c>
      <c r="E29988" s="38" t="s">
        <v>231</v>
      </c>
      <c r="F29988" s="38" t="s">
        <v>94</v>
      </c>
      <c r="G29988" s="49" t="str">
        <f t="shared" si="1"/>
        <v>81190</v>
      </c>
      <c r="H29988" s="49">
        <f t="shared" si="2"/>
        <v>81186</v>
      </c>
    </row>
    <row r="29989">
      <c r="A29989" s="48" t="s">
        <v>997</v>
      </c>
      <c r="B29989" s="38">
        <v>55097.0</v>
      </c>
      <c r="C29989" s="38" t="s">
        <v>34371</v>
      </c>
      <c r="D29989" s="38" t="str">
        <f>IFERROR(__xludf.DUMMYFUNCTION("REGEXREPLACE(C29989,""-\d+(.*)|--\d+(.*)"","""")"),"CHALAINES")</f>
        <v>CHALAINES</v>
      </c>
      <c r="E29989" s="38" t="s">
        <v>322</v>
      </c>
      <c r="F29989" s="38" t="s">
        <v>195</v>
      </c>
      <c r="G29989" s="49" t="str">
        <f t="shared" si="1"/>
        <v>55140</v>
      </c>
      <c r="H29989" s="49">
        <f t="shared" si="2"/>
        <v>55097</v>
      </c>
    </row>
    <row r="29990">
      <c r="A29990" s="48" t="s">
        <v>17909</v>
      </c>
      <c r="B29990" s="38">
        <v>25085.0</v>
      </c>
      <c r="C29990" s="38" t="s">
        <v>34372</v>
      </c>
      <c r="D29990" s="38" t="str">
        <f>IFERROR(__xludf.DUMMYFUNCTION("REGEXREPLACE(C29990,""-\d+(.*)|--\d+(.*)"","""")"),"BOUVERANS")</f>
        <v>BOUVERANS</v>
      </c>
      <c r="E29990" s="38" t="s">
        <v>213</v>
      </c>
      <c r="F29990" s="38" t="s">
        <v>214</v>
      </c>
      <c r="G29990" s="49" t="str">
        <f t="shared" si="1"/>
        <v>25560</v>
      </c>
      <c r="H29990" s="49">
        <f t="shared" si="2"/>
        <v>25085</v>
      </c>
    </row>
    <row r="29991">
      <c r="A29991" s="48" t="s">
        <v>4215</v>
      </c>
      <c r="B29991" s="38">
        <v>27150.0</v>
      </c>
      <c r="C29991" s="38" t="s">
        <v>34373</v>
      </c>
      <c r="D29991" s="38" t="str">
        <f>IFERROR(__xludf.DUMMYFUNCTION("REGEXREPLACE(C29991,""-\d+(.*)|--\d+(.*)"","""")"),"LA CHAPELLE-REANVILLE")</f>
        <v>LA CHAPELLE-REANVILLE</v>
      </c>
      <c r="E29991" s="38" t="s">
        <v>241</v>
      </c>
      <c r="F29991" s="38" t="s">
        <v>134</v>
      </c>
      <c r="G29991" s="49" t="str">
        <f t="shared" si="1"/>
        <v>27950</v>
      </c>
      <c r="H29991" s="49">
        <f t="shared" si="2"/>
        <v>27150</v>
      </c>
    </row>
    <row r="29992">
      <c r="A29992" s="48" t="s">
        <v>34374</v>
      </c>
      <c r="B29992" s="38">
        <v>14384.0</v>
      </c>
      <c r="C29992" s="38" t="s">
        <v>34375</v>
      </c>
      <c r="D29992" s="38" t="str">
        <f>IFERROR(__xludf.DUMMYFUNCTION("REGEXREPLACE(C29992,""-\d+(.*)|--\d+(.*)"","""")"),"LUC-SUR-MER")</f>
        <v>LUC-SUR-MER</v>
      </c>
      <c r="E29992" s="38" t="s">
        <v>137</v>
      </c>
      <c r="F29992" s="38" t="s">
        <v>138</v>
      </c>
      <c r="G29992" s="49" t="str">
        <f t="shared" si="1"/>
        <v>14530</v>
      </c>
      <c r="H29992" s="49">
        <f t="shared" si="2"/>
        <v>14384</v>
      </c>
    </row>
    <row r="29993">
      <c r="A29993" s="48" t="s">
        <v>6557</v>
      </c>
      <c r="B29993" s="38">
        <v>82043.0</v>
      </c>
      <c r="C29993" s="38" t="s">
        <v>34376</v>
      </c>
      <c r="D29993" s="38" t="str">
        <f>IFERROR(__xludf.DUMMYFUNCTION("REGEXREPLACE(C29993,""-\d+(.*)|--\d+(.*)"","""")"),"COMBEROUGER")</f>
        <v>COMBEROUGER</v>
      </c>
      <c r="E29993" s="38" t="s">
        <v>570</v>
      </c>
      <c r="F29993" s="38" t="s">
        <v>94</v>
      </c>
      <c r="G29993" s="49" t="str">
        <f t="shared" si="1"/>
        <v>82600</v>
      </c>
      <c r="H29993" s="49">
        <f t="shared" si="2"/>
        <v>82043</v>
      </c>
    </row>
    <row r="29994">
      <c r="A29994" s="48" t="s">
        <v>5038</v>
      </c>
      <c r="B29994" s="38">
        <v>17434.0</v>
      </c>
      <c r="C29994" s="38" t="s">
        <v>34377</v>
      </c>
      <c r="D29994" s="38" t="str">
        <f>IFERROR(__xludf.DUMMYFUNCTION("REGEXREPLACE(C29994,""-\d+(.*)|--\d+(.*)"","""")"),"SURGERES")</f>
        <v>SURGERES</v>
      </c>
      <c r="E29994" s="38" t="s">
        <v>488</v>
      </c>
      <c r="F29994" s="38" t="s">
        <v>338</v>
      </c>
      <c r="G29994" s="49" t="str">
        <f t="shared" si="1"/>
        <v>17700</v>
      </c>
      <c r="H29994" s="49">
        <f t="shared" si="2"/>
        <v>17434</v>
      </c>
    </row>
    <row r="29995">
      <c r="A29995" s="48" t="s">
        <v>15716</v>
      </c>
      <c r="B29995" s="38">
        <v>35082.0</v>
      </c>
      <c r="C29995" s="38" t="s">
        <v>34378</v>
      </c>
      <c r="D29995" s="38" t="str">
        <f>IFERROR(__xludf.DUMMYFUNCTION("REGEXREPLACE(C29995,""-\d+(.*)|--\d+(.*)"","""")"),"COESMES")</f>
        <v>COESMES</v>
      </c>
      <c r="E29995" s="38" t="s">
        <v>347</v>
      </c>
      <c r="F29995" s="38" t="s">
        <v>90</v>
      </c>
      <c r="G29995" s="49" t="str">
        <f t="shared" si="1"/>
        <v>35134</v>
      </c>
      <c r="H29995" s="49">
        <f t="shared" si="2"/>
        <v>35082</v>
      </c>
    </row>
    <row r="29996">
      <c r="A29996" s="48" t="s">
        <v>2770</v>
      </c>
      <c r="B29996" s="38">
        <v>25482.0</v>
      </c>
      <c r="C29996" s="38" t="s">
        <v>32634</v>
      </c>
      <c r="D29996" s="38" t="str">
        <f>IFERROR(__xludf.DUMMYFUNCTION("REGEXREPLACE(C29996,""-\d+(.*)|--\d+(.*)"","""")"),"RECOLOGNE")</f>
        <v>RECOLOGNE</v>
      </c>
      <c r="E29996" s="38" t="s">
        <v>213</v>
      </c>
      <c r="F29996" s="38" t="s">
        <v>214</v>
      </c>
      <c r="G29996" s="49" t="str">
        <f t="shared" si="1"/>
        <v>25170</v>
      </c>
      <c r="H29996" s="49">
        <f t="shared" si="2"/>
        <v>25482</v>
      </c>
    </row>
    <row r="29997">
      <c r="A29997" s="48" t="s">
        <v>881</v>
      </c>
      <c r="B29997" s="38">
        <v>25213.0</v>
      </c>
      <c r="C29997" s="38" t="s">
        <v>34379</v>
      </c>
      <c r="D29997" s="38" t="str">
        <f>IFERROR(__xludf.DUMMYFUNCTION("REGEXREPLACE(C29997,""-\d+(.*)|--\d+(.*)"","""")"),"LES ECORCES")</f>
        <v>LES ECORCES</v>
      </c>
      <c r="E29997" s="38" t="s">
        <v>213</v>
      </c>
      <c r="F29997" s="38" t="s">
        <v>214</v>
      </c>
      <c r="G29997" s="49" t="str">
        <f t="shared" si="1"/>
        <v>25140</v>
      </c>
      <c r="H29997" s="49">
        <f t="shared" si="2"/>
        <v>25213</v>
      </c>
    </row>
    <row r="29998">
      <c r="A29998" s="48" t="s">
        <v>14940</v>
      </c>
      <c r="B29998" s="38">
        <v>17191.0</v>
      </c>
      <c r="C29998" s="38" t="s">
        <v>34380</v>
      </c>
      <c r="D29998" s="38" t="str">
        <f>IFERROR(__xludf.DUMMYFUNCTION("REGEXREPLACE(C29998,""-\d+(.*)|--\d+(.*)"","""")"),"LA JARD")</f>
        <v>LA JARD</v>
      </c>
      <c r="E29998" s="38" t="s">
        <v>488</v>
      </c>
      <c r="F29998" s="38" t="s">
        <v>338</v>
      </c>
      <c r="G29998" s="49" t="str">
        <f t="shared" si="1"/>
        <v>17460</v>
      </c>
      <c r="H29998" s="49">
        <f t="shared" si="2"/>
        <v>17191</v>
      </c>
    </row>
    <row r="29999">
      <c r="A29999" s="48" t="s">
        <v>8434</v>
      </c>
      <c r="B29999" s="38">
        <v>41057.0</v>
      </c>
      <c r="C29999" s="38" t="s">
        <v>34381</v>
      </c>
      <c r="D29999" s="38" t="str">
        <f>IFERROR(__xludf.DUMMYFUNCTION("REGEXREPLACE(C29999,""-\d+(.*)|--\d+(.*)"","""")"),"CONAN")</f>
        <v>CONAN</v>
      </c>
      <c r="E29999" s="38" t="s">
        <v>188</v>
      </c>
      <c r="F29999" s="38" t="s">
        <v>123</v>
      </c>
      <c r="G29999" s="49" t="str">
        <f t="shared" si="1"/>
        <v>41290</v>
      </c>
      <c r="H29999" s="49">
        <f t="shared" si="2"/>
        <v>41057</v>
      </c>
    </row>
    <row r="30000">
      <c r="A30000" s="48" t="s">
        <v>2848</v>
      </c>
      <c r="B30000" s="38">
        <v>51641.0</v>
      </c>
      <c r="C30000" s="38" t="s">
        <v>34382</v>
      </c>
      <c r="D30000" s="38" t="str">
        <f>IFERROR(__xludf.DUMMYFUNCTION("REGEXREPLACE(C30000,""-\d+(.*)|--\d+(.*)"","""")"),"VILLEVENARD")</f>
        <v>VILLEVENARD</v>
      </c>
      <c r="E30000" s="38" t="s">
        <v>129</v>
      </c>
      <c r="F30000" s="38" t="s">
        <v>130</v>
      </c>
      <c r="G30000" s="49" t="str">
        <f t="shared" si="1"/>
        <v>51270</v>
      </c>
      <c r="H30000" s="49">
        <f t="shared" si="2"/>
        <v>51641</v>
      </c>
    </row>
    <row r="30001">
      <c r="A30001" s="48" t="s">
        <v>23020</v>
      </c>
      <c r="B30001" s="38">
        <v>59189.0</v>
      </c>
      <c r="C30001" s="38" t="s">
        <v>34383</v>
      </c>
      <c r="D30001" s="38" t="str">
        <f>IFERROR(__xludf.DUMMYFUNCTION("REGEXREPLACE(C30001,""-\d+(.*)|--\d+(.*)"","""")"),"EECKE")</f>
        <v>EECKE</v>
      </c>
      <c r="E30001" s="38" t="s">
        <v>85</v>
      </c>
      <c r="F30001" s="38" t="s">
        <v>86</v>
      </c>
      <c r="G30001" s="49" t="str">
        <f t="shared" si="1"/>
        <v>59114</v>
      </c>
      <c r="H30001" s="49">
        <f t="shared" si="2"/>
        <v>59189</v>
      </c>
    </row>
    <row r="30002">
      <c r="A30002" s="48" t="s">
        <v>171</v>
      </c>
      <c r="B30002" s="38">
        <v>56253.0</v>
      </c>
      <c r="C30002" s="38" t="s">
        <v>34384</v>
      </c>
      <c r="D30002" s="38" t="str">
        <f>IFERROR(__xludf.DUMMYFUNCTION("REGEXREPLACE(C30002,""-\d+(.*)|--\d+(.*)"","""")"),"TREAL")</f>
        <v>TREAL</v>
      </c>
      <c r="E30002" s="38" t="s">
        <v>173</v>
      </c>
      <c r="F30002" s="38" t="s">
        <v>90</v>
      </c>
      <c r="G30002" s="49" t="str">
        <f t="shared" si="1"/>
        <v>56140</v>
      </c>
      <c r="H30002" s="49">
        <f t="shared" si="2"/>
        <v>56253</v>
      </c>
    </row>
    <row r="30003">
      <c r="A30003" s="48" t="s">
        <v>736</v>
      </c>
      <c r="B30003" s="38">
        <v>57445.0</v>
      </c>
      <c r="C30003" s="38" t="s">
        <v>34385</v>
      </c>
      <c r="D30003" s="38" t="str">
        <f>IFERROR(__xludf.DUMMYFUNCTION("REGEXREPLACE(C30003,""-\d+(.*)|--\d+(.*)"","""")"),"MARIEULLES")</f>
        <v>MARIEULLES</v>
      </c>
      <c r="E30003" s="38" t="s">
        <v>303</v>
      </c>
      <c r="F30003" s="38" t="s">
        <v>195</v>
      </c>
      <c r="G30003" s="49" t="str">
        <f t="shared" si="1"/>
        <v>57420</v>
      </c>
      <c r="H30003" s="49">
        <f t="shared" si="2"/>
        <v>57445</v>
      </c>
    </row>
    <row r="30004">
      <c r="A30004" s="48" t="s">
        <v>34386</v>
      </c>
      <c r="B30004" s="38">
        <v>60150.0</v>
      </c>
      <c r="C30004" s="38" t="s">
        <v>34387</v>
      </c>
      <c r="D30004" s="38" t="str">
        <f>IFERROR(__xludf.DUMMYFUNCTION("REGEXREPLACE(C30004,""-\d+(.*)|--\d+(.*)"","""")"),"CHIRY-OURSCAMP")</f>
        <v>CHIRY-OURSCAMP</v>
      </c>
      <c r="E30004" s="38" t="s">
        <v>112</v>
      </c>
      <c r="F30004" s="38" t="s">
        <v>113</v>
      </c>
      <c r="G30004" s="49" t="str">
        <f t="shared" si="1"/>
        <v>60138</v>
      </c>
      <c r="H30004" s="49">
        <f t="shared" si="2"/>
        <v>60150</v>
      </c>
    </row>
    <row r="30005">
      <c r="A30005" s="48" t="s">
        <v>9297</v>
      </c>
      <c r="B30005" s="38">
        <v>41286.0</v>
      </c>
      <c r="C30005" s="38" t="s">
        <v>34388</v>
      </c>
      <c r="D30005" s="38" t="str">
        <f>IFERROR(__xludf.DUMMYFUNCTION("REGEXREPLACE(C30005,""-\d+(.*)|--\d+(.*)"","""")"),"VILLEPORCHER")</f>
        <v>VILLEPORCHER</v>
      </c>
      <c r="E30005" s="38" t="s">
        <v>188</v>
      </c>
      <c r="F30005" s="38" t="s">
        <v>123</v>
      </c>
      <c r="G30005" s="49" t="str">
        <f t="shared" si="1"/>
        <v>41310</v>
      </c>
      <c r="H30005" s="49">
        <f t="shared" si="2"/>
        <v>41286</v>
      </c>
    </row>
    <row r="30006">
      <c r="A30006" s="48" t="s">
        <v>21119</v>
      </c>
      <c r="B30006" s="38">
        <v>81149.0</v>
      </c>
      <c r="C30006" s="38" t="s">
        <v>23672</v>
      </c>
      <c r="D30006" s="38" t="str">
        <f>IFERROR(__xludf.DUMMYFUNCTION("REGEXREPLACE(C30006,""-\d+(.*)|--\d+(.*)"","""")"),"LOUPIAC")</f>
        <v>LOUPIAC</v>
      </c>
      <c r="E30006" s="38" t="s">
        <v>231</v>
      </c>
      <c r="F30006" s="38" t="s">
        <v>94</v>
      </c>
      <c r="G30006" s="49" t="str">
        <f t="shared" si="1"/>
        <v>81800</v>
      </c>
      <c r="H30006" s="49">
        <f t="shared" si="2"/>
        <v>81149</v>
      </c>
    </row>
    <row r="30007">
      <c r="A30007" s="48" t="s">
        <v>3498</v>
      </c>
      <c r="B30007" s="38">
        <v>38228.0</v>
      </c>
      <c r="C30007" s="38" t="s">
        <v>34389</v>
      </c>
      <c r="D30007" s="38" t="str">
        <f>IFERROR(__xludf.DUMMYFUNCTION("REGEXREPLACE(C30007,""-\d+(.*)|--\d+(.*)"","""")"),"MERLAS")</f>
        <v>MERLAS</v>
      </c>
      <c r="E30007" s="38" t="s">
        <v>101</v>
      </c>
      <c r="F30007" s="38" t="s">
        <v>102</v>
      </c>
      <c r="G30007" s="49" t="str">
        <f t="shared" si="1"/>
        <v>38620</v>
      </c>
      <c r="H30007" s="49">
        <f t="shared" si="2"/>
        <v>38228</v>
      </c>
    </row>
    <row r="30008">
      <c r="A30008" s="48" t="s">
        <v>1408</v>
      </c>
      <c r="B30008" s="38">
        <v>88444.0</v>
      </c>
      <c r="C30008" s="38" t="s">
        <v>34390</v>
      </c>
      <c r="D30008" s="38" t="str">
        <f>IFERROR(__xludf.DUMMYFUNCTION("REGEXREPLACE(C30008,""-\d+(.*)|--\d+(.*)"","""")"),"LE SAULCY")</f>
        <v>LE SAULCY</v>
      </c>
      <c r="E30008" s="38" t="s">
        <v>194</v>
      </c>
      <c r="F30008" s="38" t="s">
        <v>195</v>
      </c>
      <c r="G30008" s="49" t="str">
        <f t="shared" si="1"/>
        <v>88210</v>
      </c>
      <c r="H30008" s="49">
        <f t="shared" si="2"/>
        <v>88444</v>
      </c>
    </row>
    <row r="30009">
      <c r="A30009" s="48" t="s">
        <v>5499</v>
      </c>
      <c r="B30009" s="38">
        <v>47276.0</v>
      </c>
      <c r="C30009" s="38" t="s">
        <v>6558</v>
      </c>
      <c r="D30009" s="38" t="str">
        <f>IFERROR(__xludf.DUMMYFUNCTION("REGEXREPLACE(C30009,""-\d+(.*)|--\d+(.*)"","""")"),"SAINT-SARDOS")</f>
        <v>SAINT-SARDOS</v>
      </c>
      <c r="E30009" s="38" t="s">
        <v>251</v>
      </c>
      <c r="F30009" s="38" t="s">
        <v>252</v>
      </c>
      <c r="G30009" s="49" t="str">
        <f t="shared" si="1"/>
        <v>47360</v>
      </c>
      <c r="H30009" s="49">
        <f t="shared" si="2"/>
        <v>47276</v>
      </c>
    </row>
    <row r="30010">
      <c r="A30010" s="48" t="s">
        <v>18040</v>
      </c>
      <c r="B30010" s="38">
        <v>68253.0</v>
      </c>
      <c r="C30010" s="38" t="s">
        <v>34391</v>
      </c>
      <c r="D30010" s="38" t="str">
        <f>IFERROR(__xludf.DUMMYFUNCTION("REGEXREPLACE(C30010,""-\d+(.*)|--\d+(.*)"","""")"),"OTTMARSHEIM")</f>
        <v>OTTMARSHEIM</v>
      </c>
      <c r="E30010" s="38" t="s">
        <v>150</v>
      </c>
      <c r="F30010" s="38" t="s">
        <v>151</v>
      </c>
      <c r="G30010" s="49" t="str">
        <f t="shared" si="1"/>
        <v>68490</v>
      </c>
      <c r="H30010" s="49">
        <f t="shared" si="2"/>
        <v>68253</v>
      </c>
    </row>
    <row r="30011">
      <c r="A30011" s="48" t="s">
        <v>4561</v>
      </c>
      <c r="B30011" s="38">
        <v>79142.0</v>
      </c>
      <c r="C30011" s="38" t="s">
        <v>33709</v>
      </c>
      <c r="D30011" s="38" t="str">
        <f>IFERROR(__xludf.DUMMYFUNCTION("REGEXREPLACE(C30011,""-\d+(.*)|--\d+(.*)"","""")"),"JUILLE")</f>
        <v>JUILLE</v>
      </c>
      <c r="E30011" s="38" t="s">
        <v>337</v>
      </c>
      <c r="F30011" s="38" t="s">
        <v>338</v>
      </c>
      <c r="G30011" s="49" t="str">
        <f t="shared" si="1"/>
        <v>79170</v>
      </c>
      <c r="H30011" s="49">
        <f t="shared" si="2"/>
        <v>79142</v>
      </c>
    </row>
    <row r="30012">
      <c r="A30012" s="48" t="s">
        <v>12539</v>
      </c>
      <c r="B30012" s="38">
        <v>14353.0</v>
      </c>
      <c r="C30012" s="38" t="s">
        <v>34392</v>
      </c>
      <c r="D30012" s="38" t="str">
        <f>IFERROR(__xludf.DUMMYFUNCTION("REGEXREPLACE(C30012,""-\d+(.*)|--\d+(.*)"","""")"),"LANDES-SUR-AJON")</f>
        <v>LANDES-SUR-AJON</v>
      </c>
      <c r="E30012" s="38" t="s">
        <v>137</v>
      </c>
      <c r="F30012" s="38" t="s">
        <v>138</v>
      </c>
      <c r="G30012" s="49" t="str">
        <f t="shared" si="1"/>
        <v>14310</v>
      </c>
      <c r="H30012" s="49">
        <f t="shared" si="2"/>
        <v>14353</v>
      </c>
    </row>
    <row r="30013">
      <c r="A30013" s="48" t="s">
        <v>3044</v>
      </c>
      <c r="B30013" s="38">
        <v>88373.0</v>
      </c>
      <c r="C30013" s="38" t="s">
        <v>34393</v>
      </c>
      <c r="D30013" s="38" t="str">
        <f>IFERROR(__xludf.DUMMYFUNCTION("REGEXREPLACE(C30013,""-\d+(.*)|--\d+(.*)"","""")"),"RAON-SUR-PLAINE")</f>
        <v>RAON-SUR-PLAINE</v>
      </c>
      <c r="E30013" s="38" t="s">
        <v>194</v>
      </c>
      <c r="F30013" s="38" t="s">
        <v>195</v>
      </c>
      <c r="G30013" s="49" t="str">
        <f t="shared" si="1"/>
        <v>88110</v>
      </c>
      <c r="H30013" s="49">
        <f t="shared" si="2"/>
        <v>88373</v>
      </c>
    </row>
    <row r="30014">
      <c r="A30014" s="48" t="s">
        <v>5111</v>
      </c>
      <c r="B30014" s="38">
        <v>47103.0</v>
      </c>
      <c r="C30014" s="38" t="s">
        <v>34394</v>
      </c>
      <c r="D30014" s="38" t="str">
        <f>IFERROR(__xludf.DUMMYFUNCTION("REGEXREPLACE(C30014,""-\d+(.*)|--\d+(.*)"","""")"),"FRECHOU")</f>
        <v>FRECHOU</v>
      </c>
      <c r="E30014" s="38" t="s">
        <v>251</v>
      </c>
      <c r="F30014" s="38" t="s">
        <v>252</v>
      </c>
      <c r="G30014" s="49" t="str">
        <f t="shared" si="1"/>
        <v>47600</v>
      </c>
      <c r="H30014" s="49">
        <f t="shared" si="2"/>
        <v>47103</v>
      </c>
    </row>
    <row r="30015">
      <c r="A30015" s="48" t="s">
        <v>3848</v>
      </c>
      <c r="B30015" s="38">
        <v>89430.0</v>
      </c>
      <c r="C30015" s="38" t="s">
        <v>13130</v>
      </c>
      <c r="D30015" s="38" t="str">
        <f>IFERROR(__xludf.DUMMYFUNCTION("REGEXREPLACE(C30015,""-\d+(.*)|--\d+(.*)"","""")"),"VARENNES")</f>
        <v>VARENNES</v>
      </c>
      <c r="E30015" s="38" t="s">
        <v>275</v>
      </c>
      <c r="F30015" s="38" t="s">
        <v>106</v>
      </c>
      <c r="G30015" s="49" t="str">
        <f t="shared" si="1"/>
        <v>89144</v>
      </c>
      <c r="H30015" s="49">
        <f t="shared" si="2"/>
        <v>89430</v>
      </c>
    </row>
    <row r="30016">
      <c r="A30016" s="48" t="s">
        <v>1667</v>
      </c>
      <c r="B30016" s="38">
        <v>38139.0</v>
      </c>
      <c r="C30016" s="38" t="s">
        <v>34395</v>
      </c>
      <c r="D30016" s="38" t="str">
        <f>IFERROR(__xludf.DUMMYFUNCTION("REGEXREPLACE(C30016,""-\d+(.*)|--\d+(.*)"","""")"),"CREYS-MEPIEU")</f>
        <v>CREYS-MEPIEU</v>
      </c>
      <c r="E30016" s="38" t="s">
        <v>101</v>
      </c>
      <c r="F30016" s="38" t="s">
        <v>102</v>
      </c>
      <c r="G30016" s="49" t="str">
        <f t="shared" si="1"/>
        <v>38510</v>
      </c>
      <c r="H30016" s="49">
        <f t="shared" si="2"/>
        <v>38139</v>
      </c>
    </row>
    <row r="30017">
      <c r="A30017" s="48" t="s">
        <v>12410</v>
      </c>
      <c r="B30017" s="38">
        <v>66159.0</v>
      </c>
      <c r="C30017" s="38" t="s">
        <v>34396</v>
      </c>
      <c r="D30017" s="38" t="str">
        <f>IFERROR(__xludf.DUMMYFUNCTION("REGEXREPLACE(C30017,""-\d+(.*)|--\d+(.*)"","""")"),"REAL")</f>
        <v>REAL</v>
      </c>
      <c r="E30017" s="38" t="s">
        <v>248</v>
      </c>
      <c r="F30017" s="38" t="s">
        <v>119</v>
      </c>
      <c r="G30017" s="49" t="str">
        <f t="shared" si="1"/>
        <v>66210</v>
      </c>
      <c r="H30017" s="49">
        <f t="shared" si="2"/>
        <v>66159</v>
      </c>
    </row>
    <row r="30018">
      <c r="A30018" s="48" t="s">
        <v>3943</v>
      </c>
      <c r="B30018" s="38">
        <v>15157.0</v>
      </c>
      <c r="C30018" s="38" t="s">
        <v>20735</v>
      </c>
      <c r="D30018" s="38" t="str">
        <f>IFERROR(__xludf.DUMMYFUNCTION("REGEXREPLACE(C30018,""-\d+(.*)|--\d+(.*)"","""")"),"QUEZAC")</f>
        <v>QUEZAC</v>
      </c>
      <c r="E30018" s="38" t="s">
        <v>632</v>
      </c>
      <c r="F30018" s="38" t="s">
        <v>161</v>
      </c>
      <c r="G30018" s="49" t="str">
        <f t="shared" si="1"/>
        <v>15600</v>
      </c>
      <c r="H30018" s="49">
        <f t="shared" si="2"/>
        <v>15157</v>
      </c>
    </row>
    <row r="30019">
      <c r="A30019" s="48" t="s">
        <v>443</v>
      </c>
      <c r="B30019" s="38">
        <v>24105.0</v>
      </c>
      <c r="C30019" s="38" t="s">
        <v>34397</v>
      </c>
      <c r="D30019" s="38" t="str">
        <f>IFERROR(__xludf.DUMMYFUNCTION("REGEXREPLACE(C30019,""-\d+(.*)|--\d+(.*)"","""")"),"CHAPDEUIL")</f>
        <v>CHAPDEUIL</v>
      </c>
      <c r="E30019" s="38" t="s">
        <v>261</v>
      </c>
      <c r="F30019" s="38" t="s">
        <v>252</v>
      </c>
      <c r="G30019" s="49" t="str">
        <f t="shared" si="1"/>
        <v>24320</v>
      </c>
      <c r="H30019" s="49">
        <f t="shared" si="2"/>
        <v>24105</v>
      </c>
    </row>
    <row r="30020">
      <c r="A30020" s="48" t="s">
        <v>635</v>
      </c>
      <c r="B30020" s="38">
        <v>15098.0</v>
      </c>
      <c r="C30020" s="38" t="s">
        <v>34398</v>
      </c>
      <c r="D30020" s="38" t="str">
        <f>IFERROR(__xludf.DUMMYFUNCTION("REGEXREPLACE(C30020,""-\d+(.*)|--\d+(.*)"","""")"),"LAURIE")</f>
        <v>LAURIE</v>
      </c>
      <c r="E30020" s="38" t="s">
        <v>632</v>
      </c>
      <c r="F30020" s="38" t="s">
        <v>161</v>
      </c>
      <c r="G30020" s="49" t="str">
        <f t="shared" si="1"/>
        <v>15500</v>
      </c>
      <c r="H30020" s="49">
        <f t="shared" si="2"/>
        <v>15098</v>
      </c>
    </row>
    <row r="30021">
      <c r="A30021" s="48" t="s">
        <v>2893</v>
      </c>
      <c r="B30021" s="38">
        <v>27277.0</v>
      </c>
      <c r="C30021" s="38" t="s">
        <v>34399</v>
      </c>
      <c r="D30021" s="38" t="str">
        <f>IFERROR(__xludf.DUMMYFUNCTION("REGEXREPLACE(C30021,""-\d+(.*)|--\d+(.*)"","""")"),"GARENCIERES")</f>
        <v>GARENCIERES</v>
      </c>
      <c r="E30021" s="38" t="s">
        <v>241</v>
      </c>
      <c r="F30021" s="38" t="s">
        <v>134</v>
      </c>
      <c r="G30021" s="49" t="str">
        <f t="shared" si="1"/>
        <v>27220</v>
      </c>
      <c r="H30021" s="49">
        <f t="shared" si="2"/>
        <v>27277</v>
      </c>
    </row>
    <row r="30022">
      <c r="A30022" s="48" t="s">
        <v>15274</v>
      </c>
      <c r="B30022" s="38">
        <v>79008.0</v>
      </c>
      <c r="C30022" s="38" t="s">
        <v>34400</v>
      </c>
      <c r="D30022" s="38" t="str">
        <f>IFERROR(__xludf.DUMMYFUNCTION("REGEXREPLACE(C30022,""-\d+(.*)|--\d+(.*)"","""")"),"AMAILLOUX")</f>
        <v>AMAILLOUX</v>
      </c>
      <c r="E30022" s="38" t="s">
        <v>337</v>
      </c>
      <c r="F30022" s="38" t="s">
        <v>338</v>
      </c>
      <c r="G30022" s="49" t="str">
        <f t="shared" si="1"/>
        <v>79350</v>
      </c>
      <c r="H30022" s="49">
        <f t="shared" si="2"/>
        <v>79008</v>
      </c>
    </row>
    <row r="30023">
      <c r="A30023" s="48" t="s">
        <v>20175</v>
      </c>
      <c r="B30023" s="38">
        <v>33365.0</v>
      </c>
      <c r="C30023" s="38" t="s">
        <v>7967</v>
      </c>
      <c r="D30023" s="38" t="str">
        <f>IFERROR(__xludf.DUMMYFUNCTION("REGEXREPLACE(C30023,""-\d+(.*)|--\d+(.*)"","""")"),"SAINT-AIGNAN")</f>
        <v>SAINT-AIGNAN</v>
      </c>
      <c r="E30023" s="38" t="s">
        <v>462</v>
      </c>
      <c r="F30023" s="38" t="s">
        <v>252</v>
      </c>
      <c r="G30023" s="49" t="str">
        <f t="shared" si="1"/>
        <v>33126</v>
      </c>
      <c r="H30023" s="49">
        <f t="shared" si="2"/>
        <v>33365</v>
      </c>
    </row>
    <row r="30024">
      <c r="A30024" s="48" t="s">
        <v>1212</v>
      </c>
      <c r="B30024" s="38">
        <v>11393.0</v>
      </c>
      <c r="C30024" s="38" t="s">
        <v>34401</v>
      </c>
      <c r="D30024" s="38" t="str">
        <f>IFERROR(__xludf.DUMMYFUNCTION("REGEXREPLACE(C30024,""-\d+(.*)|--\d+(.*)"","""")"),"TOUROUZELLE")</f>
        <v>TOUROUZELLE</v>
      </c>
      <c r="E30024" s="38" t="s">
        <v>278</v>
      </c>
      <c r="F30024" s="38" t="s">
        <v>119</v>
      </c>
      <c r="G30024" s="49" t="str">
        <f t="shared" si="1"/>
        <v>11200</v>
      </c>
      <c r="H30024" s="49">
        <f t="shared" si="2"/>
        <v>11393</v>
      </c>
    </row>
    <row r="30025">
      <c r="A30025" s="48" t="s">
        <v>6557</v>
      </c>
      <c r="B30025" s="38">
        <v>82190.0</v>
      </c>
      <c r="C30025" s="38" t="s">
        <v>34402</v>
      </c>
      <c r="D30025" s="38" t="str">
        <f>IFERROR(__xludf.DUMMYFUNCTION("REGEXREPLACE(C30025,""-\d+(.*)|--\d+(.*)"","""")"),"VERDUN-SUR-GARONNE")</f>
        <v>VERDUN-SUR-GARONNE</v>
      </c>
      <c r="E30025" s="38" t="s">
        <v>570</v>
      </c>
      <c r="F30025" s="38" t="s">
        <v>94</v>
      </c>
      <c r="G30025" s="49" t="str">
        <f t="shared" si="1"/>
        <v>82600</v>
      </c>
      <c r="H30025" s="49">
        <f t="shared" si="2"/>
        <v>82190</v>
      </c>
    </row>
    <row r="30026">
      <c r="A30026" s="48" t="s">
        <v>6264</v>
      </c>
      <c r="B30026" s="38">
        <v>77073.0</v>
      </c>
      <c r="C30026" s="38" t="s">
        <v>34403</v>
      </c>
      <c r="D30026" s="38" t="str">
        <f>IFERROR(__xludf.DUMMYFUNCTION("REGEXREPLACE(C30026,""-\d+(.*)|--\d+(.*)"","""")"),"CHALAUTRE-LA-PETITE")</f>
        <v>CHALAUTRE-LA-PETITE</v>
      </c>
      <c r="E30026" s="38" t="s">
        <v>244</v>
      </c>
      <c r="F30026" s="38" t="s">
        <v>245</v>
      </c>
      <c r="G30026" s="49" t="str">
        <f t="shared" si="1"/>
        <v>77160</v>
      </c>
      <c r="H30026" s="49">
        <f t="shared" si="2"/>
        <v>77073</v>
      </c>
    </row>
    <row r="30027">
      <c r="A30027" s="48" t="s">
        <v>34404</v>
      </c>
      <c r="B30027" s="38">
        <v>4112.0</v>
      </c>
      <c r="C30027" s="38" t="s">
        <v>34405</v>
      </c>
      <c r="D30027" s="38" t="str">
        <f>IFERROR(__xludf.DUMMYFUNCTION("REGEXREPLACE(C30027,""-\d+(.*)|--\d+(.*)"","""")"),"MANOSQUE")</f>
        <v>MANOSQUE</v>
      </c>
      <c r="E30027" s="38" t="s">
        <v>662</v>
      </c>
      <c r="F30027" s="38" t="s">
        <v>228</v>
      </c>
      <c r="G30027" s="49" t="str">
        <f t="shared" si="1"/>
        <v>04100</v>
      </c>
      <c r="H30027" s="49" t="str">
        <f t="shared" si="2"/>
        <v>04112</v>
      </c>
    </row>
    <row r="30028">
      <c r="A30028" s="48" t="s">
        <v>4512</v>
      </c>
      <c r="B30028" s="38">
        <v>86037.0</v>
      </c>
      <c r="C30028" s="38" t="s">
        <v>34406</v>
      </c>
      <c r="D30028" s="38" t="str">
        <f>IFERROR(__xludf.DUMMYFUNCTION("REGEXREPLACE(C30028,""-\d+(.*)|--\d+(.*)"","""")"),"BRIGUEIL-LE-CHANTRE")</f>
        <v>BRIGUEIL-LE-CHANTRE</v>
      </c>
      <c r="E30028" s="38" t="s">
        <v>529</v>
      </c>
      <c r="F30028" s="38" t="s">
        <v>338</v>
      </c>
      <c r="G30028" s="49" t="str">
        <f t="shared" si="1"/>
        <v>86290</v>
      </c>
      <c r="H30028" s="49">
        <f t="shared" si="2"/>
        <v>86037</v>
      </c>
    </row>
    <row r="30029">
      <c r="A30029" s="48" t="s">
        <v>34407</v>
      </c>
      <c r="B30029" s="38">
        <v>54300.0</v>
      </c>
      <c r="C30029" s="38" t="s">
        <v>34408</v>
      </c>
      <c r="D30029" s="38" t="str">
        <f>IFERROR(__xludf.DUMMYFUNCTION("REGEXREPLACE(C30029,""-\d+(.*)|--\d+(.*)"","""")"),"LANEUVEVILLE-DEVANT-NANCY")</f>
        <v>LANEUVEVILLE-DEVANT-NANCY</v>
      </c>
      <c r="E30029" s="38" t="s">
        <v>548</v>
      </c>
      <c r="F30029" s="38" t="s">
        <v>195</v>
      </c>
      <c r="G30029" s="49" t="str">
        <f t="shared" si="1"/>
        <v>54410</v>
      </c>
      <c r="H30029" s="49">
        <f t="shared" si="2"/>
        <v>54300</v>
      </c>
    </row>
    <row r="30030">
      <c r="A30030" s="48" t="s">
        <v>1408</v>
      </c>
      <c r="B30030" s="38">
        <v>88506.0</v>
      </c>
      <c r="C30030" s="38" t="s">
        <v>31550</v>
      </c>
      <c r="D30030" s="38" t="str">
        <f>IFERROR(__xludf.DUMMYFUNCTION("REGEXREPLACE(C30030,""-\d+(.*)|--\d+(.*)"","""")"),"VIEUX-MOULIN")</f>
        <v>VIEUX-MOULIN</v>
      </c>
      <c r="E30030" s="38" t="s">
        <v>194</v>
      </c>
      <c r="F30030" s="38" t="s">
        <v>195</v>
      </c>
      <c r="G30030" s="49" t="str">
        <f t="shared" si="1"/>
        <v>88210</v>
      </c>
      <c r="H30030" s="49">
        <f t="shared" si="2"/>
        <v>88506</v>
      </c>
    </row>
    <row r="30031">
      <c r="A30031" s="48" t="s">
        <v>1300</v>
      </c>
      <c r="B30031" s="38">
        <v>60337.0</v>
      </c>
      <c r="C30031" s="38" t="s">
        <v>34409</v>
      </c>
      <c r="D30031" s="38" t="str">
        <f>IFERROR(__xludf.DUMMYFUNCTION("REGEXREPLACE(C30031,""-\d+(.*)|--\d+(.*)"","""")"),"LACHELLE")</f>
        <v>LACHELLE</v>
      </c>
      <c r="E30031" s="38" t="s">
        <v>112</v>
      </c>
      <c r="F30031" s="38" t="s">
        <v>113</v>
      </c>
      <c r="G30031" s="49" t="str">
        <f t="shared" si="1"/>
        <v>60190</v>
      </c>
      <c r="H30031" s="49">
        <f t="shared" si="2"/>
        <v>60337</v>
      </c>
    </row>
    <row r="30032">
      <c r="A30032" s="48" t="s">
        <v>1603</v>
      </c>
      <c r="B30032" s="38">
        <v>25477.0</v>
      </c>
      <c r="C30032" s="38" t="s">
        <v>34410</v>
      </c>
      <c r="D30032" s="38" t="str">
        <f>IFERROR(__xludf.DUMMYFUNCTION("REGEXREPLACE(C30032,""-\d+(.*)|--\d+(.*)"","""")"),"RANCENAY")</f>
        <v>RANCENAY</v>
      </c>
      <c r="E30032" s="38" t="s">
        <v>213</v>
      </c>
      <c r="F30032" s="38" t="s">
        <v>214</v>
      </c>
      <c r="G30032" s="49" t="str">
        <f t="shared" si="1"/>
        <v>25320</v>
      </c>
      <c r="H30032" s="49">
        <f t="shared" si="2"/>
        <v>25477</v>
      </c>
    </row>
    <row r="30033">
      <c r="A30033" s="48" t="s">
        <v>2989</v>
      </c>
      <c r="B30033" s="38">
        <v>70431.0</v>
      </c>
      <c r="C30033" s="38" t="s">
        <v>34411</v>
      </c>
      <c r="D30033" s="38" t="str">
        <f>IFERROR(__xludf.DUMMYFUNCTION("REGEXREPLACE(C30033,""-\d+(.*)|--\d+(.*)"","""")"),"QUENOCHE")</f>
        <v>QUENOCHE</v>
      </c>
      <c r="E30033" s="38" t="s">
        <v>956</v>
      </c>
      <c r="F30033" s="38" t="s">
        <v>214</v>
      </c>
      <c r="G30033" s="49" t="str">
        <f t="shared" si="1"/>
        <v>70190</v>
      </c>
      <c r="H30033" s="49">
        <f t="shared" si="2"/>
        <v>70431</v>
      </c>
    </row>
    <row r="30034">
      <c r="A30034" s="48" t="s">
        <v>5381</v>
      </c>
      <c r="B30034" s="38">
        <v>38016.0</v>
      </c>
      <c r="C30034" s="38" t="s">
        <v>34412</v>
      </c>
      <c r="D30034" s="38" t="str">
        <f>IFERROR(__xludf.DUMMYFUNCTION("REGEXREPLACE(C30034,""-\d+(.*)|--\d+(.*)"","""")"),"ARZAY")</f>
        <v>ARZAY</v>
      </c>
      <c r="E30034" s="38" t="s">
        <v>101</v>
      </c>
      <c r="F30034" s="38" t="s">
        <v>102</v>
      </c>
      <c r="G30034" s="49" t="str">
        <f t="shared" si="1"/>
        <v>38260</v>
      </c>
      <c r="H30034" s="49">
        <f t="shared" si="2"/>
        <v>38016</v>
      </c>
    </row>
    <row r="30035">
      <c r="A30035" s="48" t="s">
        <v>2728</v>
      </c>
      <c r="B30035" s="38">
        <v>38384.0</v>
      </c>
      <c r="C30035" s="38" t="s">
        <v>34413</v>
      </c>
      <c r="D30035" s="38" t="str">
        <f>IFERROR(__xludf.DUMMYFUNCTION("REGEXREPLACE(C30035,""-\d+(.*)|--\d+(.*)"","""")"),"SAINT-ETIENNE-DE-SAINT-GEOIRS")</f>
        <v>SAINT-ETIENNE-DE-SAINT-GEOIRS</v>
      </c>
      <c r="E30035" s="38" t="s">
        <v>101</v>
      </c>
      <c r="F30035" s="38" t="s">
        <v>102</v>
      </c>
      <c r="G30035" s="49" t="str">
        <f t="shared" si="1"/>
        <v>38590</v>
      </c>
      <c r="H30035" s="49">
        <f t="shared" si="2"/>
        <v>38384</v>
      </c>
    </row>
    <row r="30036">
      <c r="A30036" s="48" t="s">
        <v>1616</v>
      </c>
      <c r="B30036" s="38">
        <v>10372.0</v>
      </c>
      <c r="C30036" s="38" t="s">
        <v>34414</v>
      </c>
      <c r="D30036" s="38" t="str">
        <f>IFERROR(__xludf.DUMMYFUNCTION("REGEXREPLACE(C30036,""-\d+(.*)|--\d+(.*)"","""")"),"SOULAINES-DHUYS")</f>
        <v>SOULAINES-DHUYS</v>
      </c>
      <c r="E30036" s="38" t="s">
        <v>147</v>
      </c>
      <c r="F30036" s="38" t="s">
        <v>130</v>
      </c>
      <c r="G30036" s="49" t="str">
        <f t="shared" si="1"/>
        <v>10200</v>
      </c>
      <c r="H30036" s="49">
        <f t="shared" si="2"/>
        <v>10372</v>
      </c>
    </row>
    <row r="30037">
      <c r="A30037" s="48" t="s">
        <v>1485</v>
      </c>
      <c r="B30037" s="38">
        <v>21564.0</v>
      </c>
      <c r="C30037" s="38" t="s">
        <v>34415</v>
      </c>
      <c r="D30037" s="38" t="str">
        <f>IFERROR(__xludf.DUMMYFUNCTION("REGEXREPLACE(C30037,""-\d+(.*)|--\d+(.*)"","""")"),"SAINT-NICOLAS-LES-CITEAUX")</f>
        <v>SAINT-NICOLAS-LES-CITEAUX</v>
      </c>
      <c r="E30037" s="38" t="s">
        <v>105</v>
      </c>
      <c r="F30037" s="38" t="s">
        <v>106</v>
      </c>
      <c r="G30037" s="49" t="str">
        <f t="shared" si="1"/>
        <v>21700</v>
      </c>
      <c r="H30037" s="49">
        <f t="shared" si="2"/>
        <v>21564</v>
      </c>
    </row>
    <row r="30038">
      <c r="A30038" s="48" t="s">
        <v>1673</v>
      </c>
      <c r="B30038" s="38">
        <v>5075.0</v>
      </c>
      <c r="C30038" s="38" t="s">
        <v>34416</v>
      </c>
      <c r="D30038" s="38" t="str">
        <f>IFERROR(__xludf.DUMMYFUNCTION("REGEXREPLACE(C30038,""-\d+(.*)|--\d+(.*)"","""")"),"MANTEYER")</f>
        <v>MANTEYER</v>
      </c>
      <c r="E30038" s="38" t="s">
        <v>706</v>
      </c>
      <c r="F30038" s="38" t="s">
        <v>228</v>
      </c>
      <c r="G30038" s="49" t="str">
        <f t="shared" si="1"/>
        <v>05400</v>
      </c>
      <c r="H30038" s="49" t="str">
        <f t="shared" si="2"/>
        <v>05075</v>
      </c>
    </row>
    <row r="30039">
      <c r="A30039" s="48" t="s">
        <v>2638</v>
      </c>
      <c r="B30039" s="38">
        <v>56244.0</v>
      </c>
      <c r="C30039" s="38" t="s">
        <v>34417</v>
      </c>
      <c r="D30039" s="38" t="str">
        <f>IFERROR(__xludf.DUMMYFUNCTION("REGEXREPLACE(C30039,""-\d+(.*)|--\d+(.*)"","""")"),"SERENT")</f>
        <v>SERENT</v>
      </c>
      <c r="E30039" s="38" t="s">
        <v>173</v>
      </c>
      <c r="F30039" s="38" t="s">
        <v>90</v>
      </c>
      <c r="G30039" s="49" t="str">
        <f t="shared" si="1"/>
        <v>56460</v>
      </c>
      <c r="H30039" s="49">
        <f t="shared" si="2"/>
        <v>56244</v>
      </c>
    </row>
    <row r="30040">
      <c r="A30040" s="48" t="s">
        <v>2413</v>
      </c>
      <c r="B30040" s="38">
        <v>72117.0</v>
      </c>
      <c r="C30040" s="38" t="s">
        <v>34418</v>
      </c>
      <c r="D30040" s="38" t="str">
        <f>IFERROR(__xludf.DUMMYFUNCTION("REGEXREPLACE(C30040,""-\d+(.*)|--\d+(.*)"","""")"),"DISSE-SOUS-LE-LUDE")</f>
        <v>DISSE-SOUS-LE-LUDE</v>
      </c>
      <c r="E30040" s="38" t="s">
        <v>521</v>
      </c>
      <c r="F30040" s="38" t="s">
        <v>180</v>
      </c>
      <c r="G30040" s="49" t="str">
        <f t="shared" si="1"/>
        <v>72800</v>
      </c>
      <c r="H30040" s="49">
        <f t="shared" si="2"/>
        <v>72117</v>
      </c>
    </row>
    <row r="30041">
      <c r="A30041" s="48" t="s">
        <v>974</v>
      </c>
      <c r="B30041" s="38">
        <v>83149.0</v>
      </c>
      <c r="C30041" s="38" t="s">
        <v>34419</v>
      </c>
      <c r="D30041" s="38" t="str">
        <f>IFERROR(__xludf.DUMMYFUNCTION("REGEXREPLACE(C30041,""-\d+(.*)|--\d+(.*)"","""")"),"VILLECROZE")</f>
        <v>VILLECROZE</v>
      </c>
      <c r="E30041" s="38" t="s">
        <v>813</v>
      </c>
      <c r="F30041" s="38" t="s">
        <v>228</v>
      </c>
      <c r="G30041" s="49" t="str">
        <f t="shared" si="1"/>
        <v>83690</v>
      </c>
      <c r="H30041" s="49">
        <f t="shared" si="2"/>
        <v>83149</v>
      </c>
    </row>
    <row r="30042">
      <c r="A30042" s="48" t="s">
        <v>5515</v>
      </c>
      <c r="B30042" s="38">
        <v>72184.0</v>
      </c>
      <c r="C30042" s="38" t="s">
        <v>34420</v>
      </c>
      <c r="D30042" s="38" t="str">
        <f>IFERROR(__xludf.DUMMYFUNCTION("REGEXREPLACE(C30042,""-\d+(.*)|--\d+(.*)"","""")"),"MAREIL-EN-CHAMPAGNE")</f>
        <v>MAREIL-EN-CHAMPAGNE</v>
      </c>
      <c r="E30042" s="38" t="s">
        <v>521</v>
      </c>
      <c r="F30042" s="38" t="s">
        <v>180</v>
      </c>
      <c r="G30042" s="49" t="str">
        <f t="shared" si="1"/>
        <v>72540</v>
      </c>
      <c r="H30042" s="49">
        <f t="shared" si="2"/>
        <v>72184</v>
      </c>
    </row>
    <row r="30043">
      <c r="A30043" s="48" t="s">
        <v>7590</v>
      </c>
      <c r="B30043" s="38">
        <v>85206.0</v>
      </c>
      <c r="C30043" s="38" t="s">
        <v>34421</v>
      </c>
      <c r="D30043" s="38" t="str">
        <f>IFERROR(__xludf.DUMMYFUNCTION("REGEXREPLACE(C30043,""-\d+(.*)|--\d+(.*)"","""")"),"SAINT-CYR-EN-TALMONDAIS")</f>
        <v>SAINT-CYR-EN-TALMONDAIS</v>
      </c>
      <c r="E30043" s="38" t="s">
        <v>179</v>
      </c>
      <c r="F30043" s="38" t="s">
        <v>180</v>
      </c>
      <c r="G30043" s="49" t="str">
        <f t="shared" si="1"/>
        <v>85540</v>
      </c>
      <c r="H30043" s="49">
        <f t="shared" si="2"/>
        <v>85206</v>
      </c>
    </row>
    <row r="30044">
      <c r="A30044" s="48" t="s">
        <v>5640</v>
      </c>
      <c r="B30044" s="38">
        <v>2402.0</v>
      </c>
      <c r="C30044" s="38" t="s">
        <v>34422</v>
      </c>
      <c r="D30044" s="38" t="str">
        <f>IFERROR(__xludf.DUMMYFUNCTION("REGEXREPLACE(C30044,""-\d+(.*)|--\d+(.*)"","""")"),"LANCHY")</f>
        <v>LANCHY</v>
      </c>
      <c r="E30044" s="38" t="s">
        <v>191</v>
      </c>
      <c r="F30044" s="38" t="s">
        <v>113</v>
      </c>
      <c r="G30044" s="49" t="str">
        <f t="shared" si="1"/>
        <v>02590</v>
      </c>
      <c r="H30044" s="49" t="str">
        <f t="shared" si="2"/>
        <v>02402</v>
      </c>
    </row>
    <row r="30045">
      <c r="A30045" s="48" t="s">
        <v>12200</v>
      </c>
      <c r="B30045" s="38">
        <v>74094.0</v>
      </c>
      <c r="C30045" s="38" t="s">
        <v>34423</v>
      </c>
      <c r="D30045" s="38" t="str">
        <f>IFERROR(__xludf.DUMMYFUNCTION("REGEXREPLACE(C30045,""-\d+(.*)|--\d+(.*)"","""")"),"CRANVES-SALES")</f>
        <v>CRANVES-SALES</v>
      </c>
      <c r="E30045" s="38" t="s">
        <v>319</v>
      </c>
      <c r="F30045" s="38" t="s">
        <v>102</v>
      </c>
      <c r="G30045" s="49" t="str">
        <f t="shared" si="1"/>
        <v>74380</v>
      </c>
      <c r="H30045" s="49">
        <f t="shared" si="2"/>
        <v>74094</v>
      </c>
    </row>
    <row r="30046">
      <c r="A30046" s="48" t="s">
        <v>3898</v>
      </c>
      <c r="B30046" s="38">
        <v>65268.0</v>
      </c>
      <c r="C30046" s="38" t="s">
        <v>34424</v>
      </c>
      <c r="D30046" s="38" t="str">
        <f>IFERROR(__xludf.DUMMYFUNCTION("REGEXREPLACE(C30046,""-\d+(.*)|--\d+(.*)"","""")"),"LAYRISSE")</f>
        <v>LAYRISSE</v>
      </c>
      <c r="E30046" s="38" t="s">
        <v>200</v>
      </c>
      <c r="F30046" s="38" t="s">
        <v>94</v>
      </c>
      <c r="G30046" s="49" t="str">
        <f t="shared" si="1"/>
        <v>65380</v>
      </c>
      <c r="H30046" s="49">
        <f t="shared" si="2"/>
        <v>65268</v>
      </c>
    </row>
    <row r="30047">
      <c r="A30047" s="48" t="s">
        <v>423</v>
      </c>
      <c r="B30047" s="38">
        <v>2415.0</v>
      </c>
      <c r="C30047" s="38" t="s">
        <v>34425</v>
      </c>
      <c r="D30047" s="38" t="str">
        <f>IFERROR(__xludf.DUMMYFUNCTION("REGEXREPLACE(C30047,""-\d+(.*)|--\d+(.*)"","""")"),"LAVERSINE")</f>
        <v>LAVERSINE</v>
      </c>
      <c r="E30047" s="38" t="s">
        <v>191</v>
      </c>
      <c r="F30047" s="38" t="s">
        <v>113</v>
      </c>
      <c r="G30047" s="49" t="str">
        <f t="shared" si="1"/>
        <v>02600</v>
      </c>
      <c r="H30047" s="49" t="str">
        <f t="shared" si="2"/>
        <v>02415</v>
      </c>
    </row>
    <row r="30048">
      <c r="A30048" s="48" t="s">
        <v>2130</v>
      </c>
      <c r="B30048" s="38">
        <v>62062.0</v>
      </c>
      <c r="C30048" s="38" t="s">
        <v>34426</v>
      </c>
      <c r="D30048" s="38" t="str">
        <f>IFERROR(__xludf.DUMMYFUNCTION("REGEXREPLACE(C30048,""-\d+(.*)|--\d+(.*)"","""")"),"AVESNES")</f>
        <v>AVESNES</v>
      </c>
      <c r="E30048" s="38" t="s">
        <v>109</v>
      </c>
      <c r="F30048" s="38" t="s">
        <v>86</v>
      </c>
      <c r="G30048" s="49" t="str">
        <f t="shared" si="1"/>
        <v>62650</v>
      </c>
      <c r="H30048" s="49">
        <f t="shared" si="2"/>
        <v>62062</v>
      </c>
    </row>
    <row r="30049">
      <c r="A30049" s="48" t="s">
        <v>1605</v>
      </c>
      <c r="B30049" s="38">
        <v>17439.0</v>
      </c>
      <c r="C30049" s="38" t="s">
        <v>34427</v>
      </c>
      <c r="D30049" s="38" t="str">
        <f>IFERROR(__xludf.DUMMYFUNCTION("REGEXREPLACE(C30049,""-\d+(.*)|--\d+(.*)"","""")"),"TAUGON")</f>
        <v>TAUGON</v>
      </c>
      <c r="E30049" s="38" t="s">
        <v>488</v>
      </c>
      <c r="F30049" s="38" t="s">
        <v>338</v>
      </c>
      <c r="G30049" s="49" t="str">
        <f t="shared" si="1"/>
        <v>17170</v>
      </c>
      <c r="H30049" s="49">
        <f t="shared" si="2"/>
        <v>17439</v>
      </c>
    </row>
    <row r="30050">
      <c r="A30050" s="48" t="s">
        <v>34428</v>
      </c>
      <c r="B30050" s="38">
        <v>97112.0</v>
      </c>
      <c r="C30050" s="38" t="s">
        <v>34429</v>
      </c>
      <c r="D30050" s="38" t="str">
        <f>IFERROR(__xludf.DUMMYFUNCTION("REGEXREPLACE(C30050,""-\d+(.*)|--\d+(.*)"","""")"),"GRAND-BOURG")</f>
        <v>GRAND-BOURG</v>
      </c>
      <c r="E30050" s="38" t="s">
        <v>2023</v>
      </c>
      <c r="F30050" s="38" t="s">
        <v>2023</v>
      </c>
      <c r="G30050" s="49" t="str">
        <f t="shared" si="1"/>
        <v>97112</v>
      </c>
      <c r="H30050" s="49">
        <f t="shared" si="2"/>
        <v>97112</v>
      </c>
    </row>
    <row r="30051">
      <c r="A30051" s="48" t="s">
        <v>3080</v>
      </c>
      <c r="B30051" s="38">
        <v>71185.0</v>
      </c>
      <c r="C30051" s="38" t="s">
        <v>34430</v>
      </c>
      <c r="D30051" s="38" t="str">
        <f>IFERROR(__xludf.DUMMYFUNCTION("REGEXREPLACE(C30051,""-\d+(.*)|--\d+(.*)"","""")"),"DYO")</f>
        <v>DYO</v>
      </c>
      <c r="E30051" s="38" t="s">
        <v>344</v>
      </c>
      <c r="F30051" s="38" t="s">
        <v>106</v>
      </c>
      <c r="G30051" s="49" t="str">
        <f t="shared" si="1"/>
        <v>71800</v>
      </c>
      <c r="H30051" s="49">
        <f t="shared" si="2"/>
        <v>71185</v>
      </c>
    </row>
    <row r="30052">
      <c r="A30052" s="48" t="s">
        <v>2168</v>
      </c>
      <c r="B30052" s="38">
        <v>77478.0</v>
      </c>
      <c r="C30052" s="38" t="s">
        <v>34431</v>
      </c>
      <c r="D30052" s="38" t="str">
        <f>IFERROR(__xludf.DUMMYFUNCTION("REGEXREPLACE(C30052,""-\d+(.*)|--\d+(.*)"","""")"),"USSY-SUR-MARNE")</f>
        <v>USSY-SUR-MARNE</v>
      </c>
      <c r="E30052" s="38" t="s">
        <v>244</v>
      </c>
      <c r="F30052" s="38" t="s">
        <v>245</v>
      </c>
      <c r="G30052" s="49" t="str">
        <f t="shared" si="1"/>
        <v>77260</v>
      </c>
      <c r="H30052" s="49">
        <f t="shared" si="2"/>
        <v>77478</v>
      </c>
    </row>
    <row r="30053">
      <c r="A30053" s="48" t="s">
        <v>17169</v>
      </c>
      <c r="B30053" s="38">
        <v>27199.0</v>
      </c>
      <c r="C30053" s="38" t="s">
        <v>34432</v>
      </c>
      <c r="D30053" s="38" t="str">
        <f>IFERROR(__xludf.DUMMYFUNCTION("REGEXREPLACE(C30053,""-\d+(.*)|--\d+(.*)"","""")"),"DANGU")</f>
        <v>DANGU</v>
      </c>
      <c r="E30053" s="38" t="s">
        <v>241</v>
      </c>
      <c r="F30053" s="38" t="s">
        <v>134</v>
      </c>
      <c r="G30053" s="49" t="str">
        <f t="shared" si="1"/>
        <v>27720</v>
      </c>
      <c r="H30053" s="49">
        <f t="shared" si="2"/>
        <v>27199</v>
      </c>
    </row>
    <row r="30054">
      <c r="A30054" s="48" t="s">
        <v>12258</v>
      </c>
      <c r="B30054" s="38">
        <v>69073.0</v>
      </c>
      <c r="C30054" s="38" t="s">
        <v>34433</v>
      </c>
      <c r="D30054" s="38" t="str">
        <f>IFERROR(__xludf.DUMMYFUNCTION("REGEXREPLACE(C30054,""-\d+(.*)|--\d+(.*)"","""")"),"DAREIZE")</f>
        <v>DAREIZE</v>
      </c>
      <c r="E30054" s="38" t="s">
        <v>350</v>
      </c>
      <c r="F30054" s="38" t="s">
        <v>102</v>
      </c>
      <c r="G30054" s="49" t="str">
        <f t="shared" si="1"/>
        <v>69490</v>
      </c>
      <c r="H30054" s="49">
        <f t="shared" si="2"/>
        <v>69073</v>
      </c>
    </row>
    <row r="30055">
      <c r="A30055" s="48" t="s">
        <v>8967</v>
      </c>
      <c r="B30055" s="38">
        <v>80344.0</v>
      </c>
      <c r="C30055" s="38" t="s">
        <v>31147</v>
      </c>
      <c r="D30055" s="38" t="str">
        <f>IFERROR(__xludf.DUMMYFUNCTION("REGEXREPLACE(C30055,""-\d+(.*)|--\d+(.*)"","""")"),"FRANCIERES")</f>
        <v>FRANCIERES</v>
      </c>
      <c r="E30055" s="38" t="s">
        <v>224</v>
      </c>
      <c r="F30055" s="38" t="s">
        <v>113</v>
      </c>
      <c r="G30055" s="49" t="str">
        <f t="shared" si="1"/>
        <v>80690</v>
      </c>
      <c r="H30055" s="49">
        <f t="shared" si="2"/>
        <v>80344</v>
      </c>
    </row>
    <row r="30056">
      <c r="A30056" s="48" t="s">
        <v>5190</v>
      </c>
      <c r="B30056" s="38">
        <v>35162.0</v>
      </c>
      <c r="C30056" s="38" t="s">
        <v>34434</v>
      </c>
      <c r="D30056" s="38" t="str">
        <f>IFERROR(__xludf.DUMMYFUNCTION("REGEXREPLACE(C30056,""-\d+(.*)|--\d+(.*)"","""")"),"LOUVIGNE-DU-DESERT")</f>
        <v>LOUVIGNE-DU-DESERT</v>
      </c>
      <c r="E30056" s="38" t="s">
        <v>347</v>
      </c>
      <c r="F30056" s="38" t="s">
        <v>90</v>
      </c>
      <c r="G30056" s="49" t="str">
        <f t="shared" si="1"/>
        <v>35420</v>
      </c>
      <c r="H30056" s="49">
        <f t="shared" si="2"/>
        <v>35162</v>
      </c>
    </row>
    <row r="30057">
      <c r="A30057" s="48" t="s">
        <v>14799</v>
      </c>
      <c r="B30057" s="38">
        <v>54336.0</v>
      </c>
      <c r="C30057" s="38" t="s">
        <v>10573</v>
      </c>
      <c r="D30057" s="38" t="str">
        <f>IFERROR(__xludf.DUMMYFUNCTION("REGEXREPLACE(C30057,""-\d+(.*)|--\d+(.*)"","""")"),"MAIZIERES")</f>
        <v>MAIZIERES</v>
      </c>
      <c r="E30057" s="38" t="s">
        <v>548</v>
      </c>
      <c r="F30057" s="38" t="s">
        <v>195</v>
      </c>
      <c r="G30057" s="49" t="str">
        <f t="shared" si="1"/>
        <v>54550</v>
      </c>
      <c r="H30057" s="49">
        <f t="shared" si="2"/>
        <v>54336</v>
      </c>
    </row>
    <row r="30058">
      <c r="A30058" s="48" t="s">
        <v>15237</v>
      </c>
      <c r="B30058" s="38">
        <v>4084.0</v>
      </c>
      <c r="C30058" s="38" t="s">
        <v>34435</v>
      </c>
      <c r="D30058" s="38" t="str">
        <f>IFERROR(__xludf.DUMMYFUNCTION("REGEXREPLACE(C30058,""-\d+(.*)|--\d+(.*)"","""")"),"ESTOUBLON")</f>
        <v>ESTOUBLON</v>
      </c>
      <c r="E30058" s="38" t="s">
        <v>662</v>
      </c>
      <c r="F30058" s="38" t="s">
        <v>228</v>
      </c>
      <c r="G30058" s="49" t="str">
        <f t="shared" si="1"/>
        <v>04270</v>
      </c>
      <c r="H30058" s="49" t="str">
        <f t="shared" si="2"/>
        <v>04084</v>
      </c>
    </row>
    <row r="30059">
      <c r="A30059" s="48" t="s">
        <v>34436</v>
      </c>
      <c r="B30059" s="38">
        <v>64140.0</v>
      </c>
      <c r="C30059" s="38" t="s">
        <v>34437</v>
      </c>
      <c r="D30059" s="38" t="str">
        <f>IFERROR(__xludf.DUMMYFUNCTION("REGEXREPLACE(C30059,""-\d+(.*)|--\d+(.*)"","""")"),"BOUCAU")</f>
        <v>BOUCAU</v>
      </c>
      <c r="E30059" s="38" t="s">
        <v>268</v>
      </c>
      <c r="F30059" s="38" t="s">
        <v>252</v>
      </c>
      <c r="G30059" s="49" t="str">
        <f t="shared" si="1"/>
        <v>64340</v>
      </c>
      <c r="H30059" s="49">
        <f t="shared" si="2"/>
        <v>64140</v>
      </c>
    </row>
    <row r="30060">
      <c r="A30060" s="48" t="s">
        <v>1274</v>
      </c>
      <c r="B30060" s="38">
        <v>33291.0</v>
      </c>
      <c r="C30060" s="38" t="s">
        <v>34438</v>
      </c>
      <c r="D30060" s="38" t="str">
        <f>IFERROR(__xludf.DUMMYFUNCTION("REGEXREPLACE(C30060,""-\d+(.*)|--\d+(.*)"","""")"),"MONTAGOUDIN")</f>
        <v>MONTAGOUDIN</v>
      </c>
      <c r="E30060" s="38" t="s">
        <v>462</v>
      </c>
      <c r="F30060" s="38" t="s">
        <v>252</v>
      </c>
      <c r="G30060" s="49" t="str">
        <f t="shared" si="1"/>
        <v>33190</v>
      </c>
      <c r="H30060" s="49">
        <f t="shared" si="2"/>
        <v>33291</v>
      </c>
    </row>
    <row r="30061">
      <c r="A30061" s="48" t="s">
        <v>276</v>
      </c>
      <c r="B30061" s="38">
        <v>11127.0</v>
      </c>
      <c r="C30061" s="38" t="s">
        <v>34439</v>
      </c>
      <c r="D30061" s="38" t="str">
        <f>IFERROR(__xludf.DUMMYFUNCTION("REGEXREPLACE(C30061,""-\d+(.*)|--\d+(.*)"","""")"),"ESCOULOUBRE")</f>
        <v>ESCOULOUBRE</v>
      </c>
      <c r="E30061" s="38" t="s">
        <v>278</v>
      </c>
      <c r="F30061" s="38" t="s">
        <v>119</v>
      </c>
      <c r="G30061" s="49" t="str">
        <f t="shared" si="1"/>
        <v>11140</v>
      </c>
      <c r="H30061" s="49">
        <f t="shared" si="2"/>
        <v>11127</v>
      </c>
    </row>
    <row r="30062">
      <c r="A30062" s="48" t="s">
        <v>3087</v>
      </c>
      <c r="B30062" s="38">
        <v>64352.0</v>
      </c>
      <c r="C30062" s="38" t="s">
        <v>34440</v>
      </c>
      <c r="D30062" s="38" t="str">
        <f>IFERROR(__xludf.DUMMYFUNCTION("REGEXREPLACE(C30062,""-\d+(.*)|--\d+(.*)"","""")"),"LOURENTIES")</f>
        <v>LOURENTIES</v>
      </c>
      <c r="E30062" s="38" t="s">
        <v>268</v>
      </c>
      <c r="F30062" s="38" t="s">
        <v>252</v>
      </c>
      <c r="G30062" s="49" t="str">
        <f t="shared" si="1"/>
        <v>64420</v>
      </c>
      <c r="H30062" s="49">
        <f t="shared" si="2"/>
        <v>64352</v>
      </c>
    </row>
    <row r="30063">
      <c r="A30063" s="48" t="s">
        <v>11129</v>
      </c>
      <c r="B30063" s="38">
        <v>43049.0</v>
      </c>
      <c r="C30063" s="38" t="s">
        <v>34441</v>
      </c>
      <c r="D30063" s="38" t="str">
        <f>IFERROR(__xludf.DUMMYFUNCTION("REGEXREPLACE(C30063,""-\d+(.*)|--\d+(.*)"","""")"),"CHAMALIERES-SUR-LOIRE")</f>
        <v>CHAMALIERES-SUR-LOIRE</v>
      </c>
      <c r="E30063" s="38" t="s">
        <v>332</v>
      </c>
      <c r="F30063" s="38" t="s">
        <v>161</v>
      </c>
      <c r="G30063" s="49" t="str">
        <f t="shared" si="1"/>
        <v>43800</v>
      </c>
      <c r="H30063" s="49">
        <f t="shared" si="2"/>
        <v>43049</v>
      </c>
    </row>
    <row r="30064">
      <c r="A30064" s="48" t="s">
        <v>7039</v>
      </c>
      <c r="B30064" s="38">
        <v>62854.0</v>
      </c>
      <c r="C30064" s="38" t="s">
        <v>34442</v>
      </c>
      <c r="D30064" s="38" t="str">
        <f>IFERROR(__xludf.DUMMYFUNCTION("REGEXREPLACE(C30064,""-\d+(.*)|--\d+(.*)"","""")"),"VILLERS-AU-BOIS")</f>
        <v>VILLERS-AU-BOIS</v>
      </c>
      <c r="E30064" s="38" t="s">
        <v>109</v>
      </c>
      <c r="F30064" s="38" t="s">
        <v>86</v>
      </c>
      <c r="G30064" s="49" t="str">
        <f t="shared" si="1"/>
        <v>62144</v>
      </c>
      <c r="H30064" s="49">
        <f t="shared" si="2"/>
        <v>62854</v>
      </c>
    </row>
    <row r="30065">
      <c r="A30065" s="48" t="s">
        <v>1665</v>
      </c>
      <c r="B30065" s="38">
        <v>22104.0</v>
      </c>
      <c r="C30065" s="38" t="s">
        <v>34443</v>
      </c>
      <c r="D30065" s="38" t="str">
        <f>IFERROR(__xludf.DUMMYFUNCTION("REGEXREPLACE(C30065,""-\d+(.*)|--\d+(.*)"","""")"),"LANGUEDIAS")</f>
        <v>LANGUEDIAS</v>
      </c>
      <c r="E30065" s="38" t="s">
        <v>89</v>
      </c>
      <c r="F30065" s="38" t="s">
        <v>90</v>
      </c>
      <c r="G30065" s="49" t="str">
        <f t="shared" si="1"/>
        <v>22980</v>
      </c>
      <c r="H30065" s="49">
        <f t="shared" si="2"/>
        <v>22104</v>
      </c>
    </row>
    <row r="30066">
      <c r="A30066" s="48" t="s">
        <v>4521</v>
      </c>
      <c r="B30066" s="38">
        <v>5128.0</v>
      </c>
      <c r="C30066" s="38" t="s">
        <v>34444</v>
      </c>
      <c r="D30066" s="38" t="str">
        <f>IFERROR(__xludf.DUMMYFUNCTION("REGEXREPLACE(C30066,""-\d+(.*)|--\d+(.*)"","""")"),"SAINT-ANDRE-D'EMBRUN")</f>
        <v>SAINT-ANDRE-D'EMBRUN</v>
      </c>
      <c r="E30066" s="38" t="s">
        <v>706</v>
      </c>
      <c r="F30066" s="38" t="s">
        <v>228</v>
      </c>
      <c r="G30066" s="49" t="str">
        <f t="shared" si="1"/>
        <v>05200</v>
      </c>
      <c r="H30066" s="49" t="str">
        <f t="shared" si="2"/>
        <v>05128</v>
      </c>
    </row>
    <row r="30067">
      <c r="A30067" s="48" t="s">
        <v>34445</v>
      </c>
      <c r="B30067" s="38">
        <v>78120.0</v>
      </c>
      <c r="C30067" s="38" t="s">
        <v>34446</v>
      </c>
      <c r="D30067" s="38" t="str">
        <f>IFERROR(__xludf.DUMMYFUNCTION("REGEXREPLACE(C30067,""-\d+(.*)|--\d+(.*)"","""")"),"BULLION")</f>
        <v>BULLION</v>
      </c>
      <c r="E30067" s="38" t="s">
        <v>362</v>
      </c>
      <c r="F30067" s="38" t="s">
        <v>245</v>
      </c>
      <c r="G30067" s="49" t="str">
        <f t="shared" si="1"/>
        <v>78830</v>
      </c>
      <c r="H30067" s="49">
        <f t="shared" si="2"/>
        <v>78120</v>
      </c>
    </row>
    <row r="30068">
      <c r="A30068" s="48" t="s">
        <v>13269</v>
      </c>
      <c r="B30068" s="38">
        <v>4205.0</v>
      </c>
      <c r="C30068" s="38" t="s">
        <v>34447</v>
      </c>
      <c r="D30068" s="38" t="str">
        <f>IFERROR(__xludf.DUMMYFUNCTION("REGEXREPLACE(C30068,""-\d+(.*)|--\d+(.*)"","""")"),"SEYNE")</f>
        <v>SEYNE</v>
      </c>
      <c r="E30068" s="38" t="s">
        <v>662</v>
      </c>
      <c r="F30068" s="38" t="s">
        <v>228</v>
      </c>
      <c r="G30068" s="49" t="str">
        <f t="shared" si="1"/>
        <v>04140</v>
      </c>
      <c r="H30068" s="49" t="str">
        <f t="shared" si="2"/>
        <v>04205</v>
      </c>
    </row>
    <row r="30069">
      <c r="A30069" s="48" t="s">
        <v>8678</v>
      </c>
      <c r="B30069" s="38">
        <v>65084.0</v>
      </c>
      <c r="C30069" s="38" t="s">
        <v>34448</v>
      </c>
      <c r="D30069" s="38" t="str">
        <f>IFERROR(__xludf.DUMMYFUNCTION("REGEXREPLACE(C30069,""-\d+(.*)|--\d+(.*)"","""")"),"BERNAC-DESSUS")</f>
        <v>BERNAC-DESSUS</v>
      </c>
      <c r="E30069" s="38" t="s">
        <v>200</v>
      </c>
      <c r="F30069" s="38" t="s">
        <v>94</v>
      </c>
      <c r="G30069" s="49" t="str">
        <f t="shared" si="1"/>
        <v>65360</v>
      </c>
      <c r="H30069" s="49">
        <f t="shared" si="2"/>
        <v>65084</v>
      </c>
    </row>
    <row r="30070">
      <c r="A30070" s="48" t="s">
        <v>2368</v>
      </c>
      <c r="B30070" s="38">
        <v>65212.0</v>
      </c>
      <c r="C30070" s="38" t="s">
        <v>34449</v>
      </c>
      <c r="D30070" s="38" t="str">
        <f>IFERROR(__xludf.DUMMYFUNCTION("REGEXREPLACE(C30070,""-\d+(.*)|--\d+(.*)"","""")"),"GUCHEN")</f>
        <v>GUCHEN</v>
      </c>
      <c r="E30070" s="38" t="s">
        <v>200</v>
      </c>
      <c r="F30070" s="38" t="s">
        <v>94</v>
      </c>
      <c r="G30070" s="49" t="str">
        <f t="shared" si="1"/>
        <v>65240</v>
      </c>
      <c r="H30070" s="49">
        <f t="shared" si="2"/>
        <v>65212</v>
      </c>
    </row>
    <row r="30071">
      <c r="A30071" s="48" t="s">
        <v>15474</v>
      </c>
      <c r="B30071" s="38">
        <v>49271.0</v>
      </c>
      <c r="C30071" s="38" t="s">
        <v>34450</v>
      </c>
      <c r="D30071" s="38" t="str">
        <f>IFERROR(__xludf.DUMMYFUNCTION("REGEXREPLACE(C30071,""-\d+(.*)|--\d+(.*)"","""")"),"SAINT-CLEMENT-DE-LA-PLACE")</f>
        <v>SAINT-CLEMENT-DE-LA-PLACE</v>
      </c>
      <c r="E30071" s="38" t="s">
        <v>653</v>
      </c>
      <c r="F30071" s="38" t="s">
        <v>180</v>
      </c>
      <c r="G30071" s="49" t="str">
        <f t="shared" si="1"/>
        <v>49370</v>
      </c>
      <c r="H30071" s="49">
        <f t="shared" si="2"/>
        <v>49271</v>
      </c>
    </row>
    <row r="30072">
      <c r="A30072" s="48" t="s">
        <v>3337</v>
      </c>
      <c r="B30072" s="38">
        <v>34261.0</v>
      </c>
      <c r="C30072" s="38" t="s">
        <v>34451</v>
      </c>
      <c r="D30072" s="38" t="str">
        <f>IFERROR(__xludf.DUMMYFUNCTION("REGEXREPLACE(C30072,""-\d+(.*)|--\d+(.*)"","""")"),"SAINT-GUILHEM-LE-DESERT")</f>
        <v>SAINT-GUILHEM-LE-DESERT</v>
      </c>
      <c r="E30072" s="38" t="s">
        <v>118</v>
      </c>
      <c r="F30072" s="38" t="s">
        <v>119</v>
      </c>
      <c r="G30072" s="49" t="str">
        <f t="shared" si="1"/>
        <v>34150</v>
      </c>
      <c r="H30072" s="49">
        <f t="shared" si="2"/>
        <v>34261</v>
      </c>
    </row>
    <row r="30073">
      <c r="A30073" s="48" t="s">
        <v>2419</v>
      </c>
      <c r="B30073" s="38">
        <v>58008.0</v>
      </c>
      <c r="C30073" s="38" t="s">
        <v>34452</v>
      </c>
      <c r="D30073" s="38" t="str">
        <f>IFERROR(__xludf.DUMMYFUNCTION("REGEXREPLACE(C30073,""-\d+(.*)|--\d+(.*)"","""")"),"ANTHIEN")</f>
        <v>ANTHIEN</v>
      </c>
      <c r="E30073" s="38" t="s">
        <v>219</v>
      </c>
      <c r="F30073" s="38" t="s">
        <v>106</v>
      </c>
      <c r="G30073" s="49" t="str">
        <f t="shared" si="1"/>
        <v>58800</v>
      </c>
      <c r="H30073" s="49">
        <f t="shared" si="2"/>
        <v>58008</v>
      </c>
    </row>
    <row r="30074">
      <c r="A30074" s="48" t="s">
        <v>177</v>
      </c>
      <c r="B30074" s="38">
        <v>85125.0</v>
      </c>
      <c r="C30074" s="38" t="s">
        <v>34453</v>
      </c>
      <c r="D30074" s="38" t="str">
        <f>IFERROR(__xludf.DUMMYFUNCTION("REGEXREPLACE(C30074,""-\d+(.*)|--\d+(.*)"","""")"),"LOGE-FOUGEREUSE")</f>
        <v>LOGE-FOUGEREUSE</v>
      </c>
      <c r="E30074" s="38" t="s">
        <v>179</v>
      </c>
      <c r="F30074" s="38" t="s">
        <v>180</v>
      </c>
      <c r="G30074" s="49" t="str">
        <f t="shared" si="1"/>
        <v>85120</v>
      </c>
      <c r="H30074" s="49">
        <f t="shared" si="2"/>
        <v>85125</v>
      </c>
    </row>
    <row r="30075">
      <c r="A30075" s="48" t="s">
        <v>13605</v>
      </c>
      <c r="B30075" s="38">
        <v>49272.0</v>
      </c>
      <c r="C30075" s="38" t="s">
        <v>34454</v>
      </c>
      <c r="D30075" s="38" t="str">
        <f>IFERROR(__xludf.DUMMYFUNCTION("REGEXREPLACE(C30075,""-\d+(.*)|--\d+(.*)"","""")"),"SAINT-CLEMENT-DES-LEVEES")</f>
        <v>SAINT-CLEMENT-DES-LEVEES</v>
      </c>
      <c r="E30075" s="38" t="s">
        <v>653</v>
      </c>
      <c r="F30075" s="38" t="s">
        <v>180</v>
      </c>
      <c r="G30075" s="49" t="str">
        <f t="shared" si="1"/>
        <v>49350</v>
      </c>
      <c r="H30075" s="49">
        <f t="shared" si="2"/>
        <v>49272</v>
      </c>
    </row>
    <row r="30076">
      <c r="A30076" s="48" t="s">
        <v>2008</v>
      </c>
      <c r="B30076" s="38">
        <v>46288.0</v>
      </c>
      <c r="C30076" s="38" t="s">
        <v>31813</v>
      </c>
      <c r="D30076" s="38" t="str">
        <f>IFERROR(__xludf.DUMMYFUNCTION("REGEXREPLACE(C30076,""-\d+(.*)|--\d+(.*)"","""")"),"SAINT-PERDOUX")</f>
        <v>SAINT-PERDOUX</v>
      </c>
      <c r="E30076" s="38" t="s">
        <v>185</v>
      </c>
      <c r="F30076" s="38" t="s">
        <v>94</v>
      </c>
      <c r="G30076" s="49" t="str">
        <f t="shared" si="1"/>
        <v>46100</v>
      </c>
      <c r="H30076" s="49">
        <f t="shared" si="2"/>
        <v>46288</v>
      </c>
    </row>
    <row r="30077">
      <c r="A30077" s="48" t="s">
        <v>3147</v>
      </c>
      <c r="B30077" s="38">
        <v>68032.0</v>
      </c>
      <c r="C30077" s="38" t="s">
        <v>34455</v>
      </c>
      <c r="D30077" s="38" t="str">
        <f>IFERROR(__xludf.DUMMYFUNCTION("REGEXREPLACE(C30077,""-\d+(.*)|--\d+(.*)"","""")"),"BERRWILLER")</f>
        <v>BERRWILLER</v>
      </c>
      <c r="E30077" s="38" t="s">
        <v>150</v>
      </c>
      <c r="F30077" s="38" t="s">
        <v>151</v>
      </c>
      <c r="G30077" s="49" t="str">
        <f t="shared" si="1"/>
        <v>68500</v>
      </c>
      <c r="H30077" s="49">
        <f t="shared" si="2"/>
        <v>68032</v>
      </c>
    </row>
    <row r="30078">
      <c r="A30078" s="48" t="s">
        <v>2571</v>
      </c>
      <c r="B30078" s="38">
        <v>61419.0</v>
      </c>
      <c r="C30078" s="38" t="s">
        <v>34456</v>
      </c>
      <c r="D30078" s="38" t="str">
        <f>IFERROR(__xludf.DUMMYFUNCTION("REGEXREPLACE(C30078,""-\d+(.*)|--\d+(.*)"","""")"),"SAINTE-MARGUERITE-DE-CARROUGES")</f>
        <v>SAINTE-MARGUERITE-DE-CARROUGES</v>
      </c>
      <c r="E30078" s="38" t="s">
        <v>141</v>
      </c>
      <c r="F30078" s="38" t="s">
        <v>138</v>
      </c>
      <c r="G30078" s="49" t="str">
        <f t="shared" si="1"/>
        <v>61320</v>
      </c>
      <c r="H30078" s="49">
        <f t="shared" si="2"/>
        <v>61419</v>
      </c>
    </row>
    <row r="30079">
      <c r="A30079" s="48" t="s">
        <v>4722</v>
      </c>
      <c r="B30079" s="38">
        <v>81090.0</v>
      </c>
      <c r="C30079" s="38" t="s">
        <v>34457</v>
      </c>
      <c r="D30079" s="38" t="str">
        <f>IFERROR(__xludf.DUMMYFUNCTION("REGEXREPLACE(C30079,""-\d+(.*)|--\d+(.*)"","""")"),"FENOLS")</f>
        <v>FENOLS</v>
      </c>
      <c r="E30079" s="38" t="s">
        <v>231</v>
      </c>
      <c r="F30079" s="38" t="s">
        <v>94</v>
      </c>
      <c r="G30079" s="49" t="str">
        <f t="shared" si="1"/>
        <v>81600</v>
      </c>
      <c r="H30079" s="49">
        <f t="shared" si="2"/>
        <v>81090</v>
      </c>
    </row>
    <row r="30080">
      <c r="A30080" s="48" t="s">
        <v>2859</v>
      </c>
      <c r="B30080" s="38">
        <v>22146.0</v>
      </c>
      <c r="C30080" s="38" t="s">
        <v>34458</v>
      </c>
      <c r="D30080" s="38" t="str">
        <f>IFERROR(__xludf.DUMMYFUNCTION("REGEXREPLACE(C30080,""-\d+(.*)|--\d+(.*)"","""")"),"MELLIONNEC")</f>
        <v>MELLIONNEC</v>
      </c>
      <c r="E30080" s="38" t="s">
        <v>89</v>
      </c>
      <c r="F30080" s="38" t="s">
        <v>90</v>
      </c>
      <c r="G30080" s="49" t="str">
        <f t="shared" si="1"/>
        <v>22110</v>
      </c>
      <c r="H30080" s="49">
        <f t="shared" si="2"/>
        <v>22146</v>
      </c>
    </row>
    <row r="30081">
      <c r="A30081" s="48" t="s">
        <v>5777</v>
      </c>
      <c r="B30081" s="38">
        <v>74194.0</v>
      </c>
      <c r="C30081" s="38" t="s">
        <v>34459</v>
      </c>
      <c r="D30081" s="38" t="str">
        <f>IFERROR(__xludf.DUMMYFUNCTION("REGEXREPLACE(C30081,""-\d+(.*)|--\d+(.*)"","""")"),"MURES")</f>
        <v>MURES</v>
      </c>
      <c r="E30081" s="38" t="s">
        <v>319</v>
      </c>
      <c r="F30081" s="38" t="s">
        <v>102</v>
      </c>
      <c r="G30081" s="49" t="str">
        <f t="shared" si="1"/>
        <v>74540</v>
      </c>
      <c r="H30081" s="49">
        <f t="shared" si="2"/>
        <v>74194</v>
      </c>
    </row>
    <row r="30082">
      <c r="A30082" s="48" t="s">
        <v>1118</v>
      </c>
      <c r="B30082" s="38">
        <v>50343.0</v>
      </c>
      <c r="C30082" s="38" t="s">
        <v>34460</v>
      </c>
      <c r="D30082" s="38" t="str">
        <f>IFERROR(__xludf.DUMMYFUNCTION("REGEXREPLACE(C30082,""-\d+(.*)|--\d+(.*)"","""")"),"MONTGARDON")</f>
        <v>MONTGARDON</v>
      </c>
      <c r="E30082" s="38" t="s">
        <v>157</v>
      </c>
      <c r="F30082" s="38" t="s">
        <v>138</v>
      </c>
      <c r="G30082" s="49" t="str">
        <f t="shared" si="1"/>
        <v>50250</v>
      </c>
      <c r="H30082" s="49">
        <f t="shared" si="2"/>
        <v>50343</v>
      </c>
    </row>
    <row r="30083">
      <c r="A30083" s="48" t="s">
        <v>2742</v>
      </c>
      <c r="B30083" s="38">
        <v>57119.0</v>
      </c>
      <c r="C30083" s="38" t="s">
        <v>34461</v>
      </c>
      <c r="D30083" s="38" t="str">
        <f>IFERROR(__xludf.DUMMYFUNCTION("REGEXREPLACE(C30083,""-\d+(.*)|--\d+(.*)"","""")"),"BUHL-LORRAINE")</f>
        <v>BUHL-LORRAINE</v>
      </c>
      <c r="E30083" s="38" t="s">
        <v>303</v>
      </c>
      <c r="F30083" s="38" t="s">
        <v>195</v>
      </c>
      <c r="G30083" s="49" t="str">
        <f t="shared" si="1"/>
        <v>57400</v>
      </c>
      <c r="H30083" s="49">
        <f t="shared" si="2"/>
        <v>57119</v>
      </c>
    </row>
    <row r="30084">
      <c r="A30084" s="48" t="s">
        <v>1002</v>
      </c>
      <c r="B30084" s="38">
        <v>46015.0</v>
      </c>
      <c r="C30084" s="38" t="s">
        <v>34462</v>
      </c>
      <c r="D30084" s="38" t="str">
        <f>IFERROR(__xludf.DUMMYFUNCTION("REGEXREPLACE(C30084,""-\d+(.*)|--\d+(.*)"","""")"),"BAGNAC-SUR-CELE")</f>
        <v>BAGNAC-SUR-CELE</v>
      </c>
      <c r="E30084" s="38" t="s">
        <v>185</v>
      </c>
      <c r="F30084" s="38" t="s">
        <v>94</v>
      </c>
      <c r="G30084" s="49" t="str">
        <f t="shared" si="1"/>
        <v>46270</v>
      </c>
      <c r="H30084" s="49">
        <f t="shared" si="2"/>
        <v>46015</v>
      </c>
    </row>
    <row r="30085">
      <c r="A30085" s="48" t="s">
        <v>1439</v>
      </c>
      <c r="B30085" s="38">
        <v>28058.0</v>
      </c>
      <c r="C30085" s="38" t="s">
        <v>34463</v>
      </c>
      <c r="D30085" s="38" t="str">
        <f>IFERROR(__xludf.DUMMYFUNCTION("REGEXREPLACE(C30085,""-\d+(.*)|--\d+(.*)"","""")"),"BRECHAMPS")</f>
        <v>BRECHAMPS</v>
      </c>
      <c r="E30085" s="38" t="s">
        <v>300</v>
      </c>
      <c r="F30085" s="38" t="s">
        <v>123</v>
      </c>
      <c r="G30085" s="49" t="str">
        <f t="shared" si="1"/>
        <v>28210</v>
      </c>
      <c r="H30085" s="49">
        <f t="shared" si="2"/>
        <v>28058</v>
      </c>
    </row>
    <row r="30086">
      <c r="A30086" s="48" t="s">
        <v>4853</v>
      </c>
      <c r="B30086" s="38">
        <v>32405.0</v>
      </c>
      <c r="C30086" s="38" t="s">
        <v>3856</v>
      </c>
      <c r="D30086" s="38" t="str">
        <f>IFERROR(__xludf.DUMMYFUNCTION("REGEXREPLACE(C30086,""-\d+(.*)|--\d+(.*)"","""")"),"SAINTE-RADEGONDE")</f>
        <v>SAINTE-RADEGONDE</v>
      </c>
      <c r="E30086" s="38" t="s">
        <v>440</v>
      </c>
      <c r="F30086" s="38" t="s">
        <v>94</v>
      </c>
      <c r="G30086" s="49" t="str">
        <f t="shared" si="1"/>
        <v>32500</v>
      </c>
      <c r="H30086" s="49">
        <f t="shared" si="2"/>
        <v>32405</v>
      </c>
    </row>
    <row r="30087">
      <c r="A30087" s="48" t="s">
        <v>8252</v>
      </c>
      <c r="B30087" s="38">
        <v>60008.0</v>
      </c>
      <c r="C30087" s="38" t="s">
        <v>34464</v>
      </c>
      <c r="D30087" s="38" t="str">
        <f>IFERROR(__xludf.DUMMYFUNCTION("REGEXREPLACE(C30087,""-\d+(.*)|--\d+(.*)"","""")"),"AIRION")</f>
        <v>AIRION</v>
      </c>
      <c r="E30087" s="38" t="s">
        <v>112</v>
      </c>
      <c r="F30087" s="38" t="s">
        <v>113</v>
      </c>
      <c r="G30087" s="49" t="str">
        <f t="shared" si="1"/>
        <v>60600</v>
      </c>
      <c r="H30087" s="49">
        <f t="shared" si="2"/>
        <v>60008</v>
      </c>
    </row>
    <row r="30088">
      <c r="A30088" s="48" t="s">
        <v>9883</v>
      </c>
      <c r="B30088" s="38">
        <v>24158.0</v>
      </c>
      <c r="C30088" s="38" t="s">
        <v>34465</v>
      </c>
      <c r="D30088" s="38" t="str">
        <f>IFERROR(__xludf.DUMMYFUNCTION("REGEXREPLACE(C30088,""-\d+(.*)|--\d+(.*)"","""")"),"DUSSAC")</f>
        <v>DUSSAC</v>
      </c>
      <c r="E30088" s="38" t="s">
        <v>261</v>
      </c>
      <c r="F30088" s="38" t="s">
        <v>252</v>
      </c>
      <c r="G30088" s="49" t="str">
        <f t="shared" si="1"/>
        <v>24270</v>
      </c>
      <c r="H30088" s="49">
        <f t="shared" si="2"/>
        <v>24158</v>
      </c>
    </row>
    <row r="30089">
      <c r="A30089" s="48" t="s">
        <v>34466</v>
      </c>
      <c r="B30089" s="38">
        <v>92040.0</v>
      </c>
      <c r="C30089" s="38" t="s">
        <v>34467</v>
      </c>
      <c r="D30089" s="38" t="str">
        <f>IFERROR(__xludf.DUMMYFUNCTION("REGEXREPLACE(C30089,""-\d+(.*)|--\d+(.*)"","""")"),"ISSY-LES-MOULINEAUX")</f>
        <v>ISSY-LES-MOULINEAUX</v>
      </c>
      <c r="E30089" s="38" t="s">
        <v>838</v>
      </c>
      <c r="F30089" s="38" t="s">
        <v>245</v>
      </c>
      <c r="G30089" s="49" t="str">
        <f t="shared" si="1"/>
        <v>92130</v>
      </c>
      <c r="H30089" s="49">
        <f t="shared" si="2"/>
        <v>92040</v>
      </c>
    </row>
    <row r="30090">
      <c r="A30090" s="48" t="s">
        <v>2116</v>
      </c>
      <c r="B30090" s="38">
        <v>26048.0</v>
      </c>
      <c r="C30090" s="38" t="s">
        <v>34468</v>
      </c>
      <c r="D30090" s="38" t="str">
        <f>IFERROR(__xludf.DUMMYFUNCTION("REGEXREPLACE(C30090,""-\d+(.*)|--\d+(.*)"","""")"),"BENIVAY-OLLON")</f>
        <v>BENIVAY-OLLON</v>
      </c>
      <c r="E30090" s="38" t="s">
        <v>126</v>
      </c>
      <c r="F30090" s="38" t="s">
        <v>102</v>
      </c>
      <c r="G30090" s="49" t="str">
        <f t="shared" si="1"/>
        <v>26170</v>
      </c>
      <c r="H30090" s="49">
        <f t="shared" si="2"/>
        <v>26048</v>
      </c>
    </row>
    <row r="30091">
      <c r="A30091" s="48" t="s">
        <v>34469</v>
      </c>
      <c r="B30091" s="38">
        <v>32079.0</v>
      </c>
      <c r="C30091" s="38" t="s">
        <v>34470</v>
      </c>
      <c r="D30091" s="38" t="str">
        <f>IFERROR(__xludf.DUMMYFUNCTION("REGEXREPLACE(C30091,""-\d+(.*)|--\d+(.*)"","""")"),"CASTELNAU-D'AUZAN")</f>
        <v>CASTELNAU-D'AUZAN</v>
      </c>
      <c r="E30091" s="38" t="s">
        <v>440</v>
      </c>
      <c r="F30091" s="38" t="s">
        <v>94</v>
      </c>
      <c r="G30091" s="49" t="str">
        <f t="shared" si="1"/>
        <v>32440</v>
      </c>
      <c r="H30091" s="49">
        <f t="shared" si="2"/>
        <v>32079</v>
      </c>
    </row>
    <row r="30092">
      <c r="A30092" s="48" t="s">
        <v>942</v>
      </c>
      <c r="B30092" s="38">
        <v>2805.0</v>
      </c>
      <c r="C30092" s="38" t="s">
        <v>34471</v>
      </c>
      <c r="D30092" s="38" t="str">
        <f>IFERROR(__xludf.DUMMYFUNCTION("REGEXREPLACE(C30092,""-\d+(.*)|--\d+(.*)"","""")"),"VILLENEUVE-SAINT-GERMAIN")</f>
        <v>VILLENEUVE-SAINT-GERMAIN</v>
      </c>
      <c r="E30092" s="38" t="s">
        <v>191</v>
      </c>
      <c r="F30092" s="38" t="s">
        <v>113</v>
      </c>
      <c r="G30092" s="49" t="str">
        <f t="shared" si="1"/>
        <v>02200</v>
      </c>
      <c r="H30092" s="49" t="str">
        <f t="shared" si="2"/>
        <v>02805</v>
      </c>
    </row>
    <row r="30093">
      <c r="A30093" s="48" t="s">
        <v>5866</v>
      </c>
      <c r="B30093" s="38">
        <v>33071.0</v>
      </c>
      <c r="C30093" s="38" t="s">
        <v>5283</v>
      </c>
      <c r="D30093" s="38" t="str">
        <f>IFERROR(__xludf.DUMMYFUNCTION("REGEXREPLACE(C30093,""-\d+(.*)|--\d+(.*)"","""")"),"BRANNE")</f>
        <v>BRANNE</v>
      </c>
      <c r="E30093" s="38" t="s">
        <v>462</v>
      </c>
      <c r="F30093" s="38" t="s">
        <v>252</v>
      </c>
      <c r="G30093" s="49" t="str">
        <f t="shared" si="1"/>
        <v>33420</v>
      </c>
      <c r="H30093" s="49">
        <f t="shared" si="2"/>
        <v>33071</v>
      </c>
    </row>
    <row r="30094">
      <c r="A30094" s="48" t="s">
        <v>28152</v>
      </c>
      <c r="B30094" s="38">
        <v>72329.0</v>
      </c>
      <c r="C30094" s="38" t="s">
        <v>34472</v>
      </c>
      <c r="D30094" s="38" t="str">
        <f>IFERROR(__xludf.DUMMYFUNCTION("REGEXREPLACE(C30094,""-\d+(.*)|--\d+(.*)"","""")"),"SAVIGNE-L'EVEQUE")</f>
        <v>SAVIGNE-L'EVEQUE</v>
      </c>
      <c r="E30094" s="38" t="s">
        <v>521</v>
      </c>
      <c r="F30094" s="38" t="s">
        <v>180</v>
      </c>
      <c r="G30094" s="49" t="str">
        <f t="shared" si="1"/>
        <v>72460</v>
      </c>
      <c r="H30094" s="49">
        <f t="shared" si="2"/>
        <v>72329</v>
      </c>
    </row>
    <row r="30095">
      <c r="A30095" s="48" t="s">
        <v>1864</v>
      </c>
      <c r="B30095" s="38">
        <v>70042.0</v>
      </c>
      <c r="C30095" s="38" t="s">
        <v>34473</v>
      </c>
      <c r="D30095" s="38" t="str">
        <f>IFERROR(__xludf.DUMMYFUNCTION("REGEXREPLACE(C30095,""-\d+(.*)|--\d+(.*)"","""")"),"AUTREY-LE-VAY")</f>
        <v>AUTREY-LE-VAY</v>
      </c>
      <c r="E30095" s="38" t="s">
        <v>956</v>
      </c>
      <c r="F30095" s="38" t="s">
        <v>214</v>
      </c>
      <c r="G30095" s="49" t="str">
        <f t="shared" si="1"/>
        <v>70110</v>
      </c>
      <c r="H30095" s="49">
        <f t="shared" si="2"/>
        <v>70042</v>
      </c>
    </row>
    <row r="30096">
      <c r="A30096" s="48" t="s">
        <v>3743</v>
      </c>
      <c r="B30096" s="38">
        <v>27110.0</v>
      </c>
      <c r="C30096" s="38" t="s">
        <v>34474</v>
      </c>
      <c r="D30096" s="38" t="str">
        <f>IFERROR(__xludf.DUMMYFUNCTION("REGEXREPLACE(C30096,""-\d+(.*)|--\d+(.*)"","""")"),"BRESTOT")</f>
        <v>BRESTOT</v>
      </c>
      <c r="E30096" s="38" t="s">
        <v>241</v>
      </c>
      <c r="F30096" s="38" t="s">
        <v>134</v>
      </c>
      <c r="G30096" s="49" t="str">
        <f t="shared" si="1"/>
        <v>27350</v>
      </c>
      <c r="H30096" s="49">
        <f t="shared" si="2"/>
        <v>27110</v>
      </c>
    </row>
    <row r="30097">
      <c r="A30097" s="48" t="s">
        <v>34475</v>
      </c>
      <c r="B30097" s="38" t="s">
        <v>34476</v>
      </c>
      <c r="C30097" s="38" t="s">
        <v>34477</v>
      </c>
      <c r="D30097" s="38" t="str">
        <f>IFERROR(__xludf.DUMMYFUNCTION("REGEXREPLACE(C30097,""-\d+(.*)|--\d+(.*)"","""")"),"BASTELICA")</f>
        <v>BASTELICA</v>
      </c>
      <c r="E30097" s="38" t="s">
        <v>606</v>
      </c>
      <c r="F30097" s="38" t="s">
        <v>607</v>
      </c>
      <c r="G30097" s="49" t="str">
        <f t="shared" si="1"/>
        <v>20119</v>
      </c>
      <c r="H30097" s="49" t="str">
        <f t="shared" si="2"/>
        <v>2A031</v>
      </c>
    </row>
    <row r="30098">
      <c r="A30098" s="48" t="s">
        <v>1518</v>
      </c>
      <c r="B30098" s="38">
        <v>88295.0</v>
      </c>
      <c r="C30098" s="38" t="s">
        <v>34478</v>
      </c>
      <c r="D30098" s="38" t="str">
        <f>IFERROR(__xludf.DUMMYFUNCTION("REGEXREPLACE(C30098,""-\d+(.*)|--\d+(.*)"","""")"),"MAZIROT")</f>
        <v>MAZIROT</v>
      </c>
      <c r="E30098" s="38" t="s">
        <v>194</v>
      </c>
      <c r="F30098" s="38" t="s">
        <v>195</v>
      </c>
      <c r="G30098" s="49" t="str">
        <f t="shared" si="1"/>
        <v>88500</v>
      </c>
      <c r="H30098" s="49">
        <f t="shared" si="2"/>
        <v>88295</v>
      </c>
    </row>
    <row r="30099">
      <c r="A30099" s="48" t="s">
        <v>866</v>
      </c>
      <c r="B30099" s="38">
        <v>63182.0</v>
      </c>
      <c r="C30099" s="38" t="s">
        <v>34479</v>
      </c>
      <c r="D30099" s="38" t="str">
        <f>IFERROR(__xludf.DUMMYFUNCTION("REGEXREPLACE(C30099,""-\d+(.*)|--\d+(.*)"","""")"),"JUMEAUX")</f>
        <v>JUMEAUX</v>
      </c>
      <c r="E30099" s="38" t="s">
        <v>353</v>
      </c>
      <c r="F30099" s="38" t="s">
        <v>161</v>
      </c>
      <c r="G30099" s="49" t="str">
        <f t="shared" si="1"/>
        <v>63570</v>
      </c>
      <c r="H30099" s="49">
        <f t="shared" si="2"/>
        <v>63182</v>
      </c>
    </row>
    <row r="30100">
      <c r="A30100" s="48" t="s">
        <v>4406</v>
      </c>
      <c r="B30100" s="38">
        <v>76401.0</v>
      </c>
      <c r="C30100" s="38" t="s">
        <v>34480</v>
      </c>
      <c r="D30100" s="38" t="str">
        <f>IFERROR(__xludf.DUMMYFUNCTION("REGEXREPLACE(C30100,""-\d+(.*)|--\d+(.*)"","""")"),"LA MAILLERAYE-SUR-SEINE")</f>
        <v>LA MAILLERAYE-SUR-SEINE</v>
      </c>
      <c r="E30100" s="38" t="s">
        <v>133</v>
      </c>
      <c r="F30100" s="38" t="s">
        <v>134</v>
      </c>
      <c r="G30100" s="49" t="str">
        <f t="shared" si="1"/>
        <v>76940</v>
      </c>
      <c r="H30100" s="49">
        <f t="shared" si="2"/>
        <v>76401</v>
      </c>
    </row>
    <row r="30101">
      <c r="A30101" s="48" t="s">
        <v>20226</v>
      </c>
      <c r="B30101" s="38">
        <v>63077.0</v>
      </c>
      <c r="C30101" s="38" t="s">
        <v>34481</v>
      </c>
      <c r="D30101" s="38" t="str">
        <f>IFERROR(__xludf.DUMMYFUNCTION("REGEXREPLACE(C30101,""-\d+(.*)|--\d+(.*)"","""")"),"CHAMBON-SUR-LAC")</f>
        <v>CHAMBON-SUR-LAC</v>
      </c>
      <c r="E30101" s="38" t="s">
        <v>353</v>
      </c>
      <c r="F30101" s="38" t="s">
        <v>161</v>
      </c>
      <c r="G30101" s="49" t="str">
        <f t="shared" si="1"/>
        <v>63790</v>
      </c>
      <c r="H30101" s="49">
        <f t="shared" si="2"/>
        <v>63077</v>
      </c>
    </row>
    <row r="30102">
      <c r="A30102" s="48" t="s">
        <v>3125</v>
      </c>
      <c r="B30102" s="38">
        <v>12245.0</v>
      </c>
      <c r="C30102" s="38" t="s">
        <v>34482</v>
      </c>
      <c r="D30102" s="38" t="str">
        <f>IFERROR(__xludf.DUMMYFUNCTION("REGEXREPLACE(C30102,""-\d+(.*)|--\d+(.*)"","""")"),"SAINT-SALVADOU")</f>
        <v>SAINT-SALVADOU</v>
      </c>
      <c r="E30102" s="38" t="s">
        <v>465</v>
      </c>
      <c r="F30102" s="38" t="s">
        <v>94</v>
      </c>
      <c r="G30102" s="49" t="str">
        <f t="shared" si="1"/>
        <v>12200</v>
      </c>
      <c r="H30102" s="49">
        <f t="shared" si="2"/>
        <v>12245</v>
      </c>
    </row>
    <row r="30103">
      <c r="A30103" s="48" t="s">
        <v>5020</v>
      </c>
      <c r="B30103" s="38">
        <v>51596.0</v>
      </c>
      <c r="C30103" s="38" t="s">
        <v>34483</v>
      </c>
      <c r="D30103" s="38" t="str">
        <f>IFERROR(__xludf.DUMMYFUNCTION("REGEXREPLACE(C30103,""-\d+(.*)|--\d+(.*)"","""")"),"VAUCHAMPS")</f>
        <v>VAUCHAMPS</v>
      </c>
      <c r="E30103" s="38" t="s">
        <v>129</v>
      </c>
      <c r="F30103" s="38" t="s">
        <v>130</v>
      </c>
      <c r="G30103" s="49" t="str">
        <f t="shared" si="1"/>
        <v>51210</v>
      </c>
      <c r="H30103" s="49">
        <f t="shared" si="2"/>
        <v>51596</v>
      </c>
    </row>
    <row r="30104">
      <c r="A30104" s="48" t="s">
        <v>1634</v>
      </c>
      <c r="B30104" s="38">
        <v>64354.0</v>
      </c>
      <c r="C30104" s="38" t="s">
        <v>34484</v>
      </c>
      <c r="D30104" s="38" t="str">
        <f>IFERROR(__xludf.DUMMYFUNCTION("REGEXREPLACE(C30104,""-\d+(.*)|--\d+(.*)"","""")"),"LOUVIE-SOUBIRON")</f>
        <v>LOUVIE-SOUBIRON</v>
      </c>
      <c r="E30104" s="38" t="s">
        <v>268</v>
      </c>
      <c r="F30104" s="38" t="s">
        <v>252</v>
      </c>
      <c r="G30104" s="49" t="str">
        <f t="shared" si="1"/>
        <v>64440</v>
      </c>
      <c r="H30104" s="49">
        <f t="shared" si="2"/>
        <v>64354</v>
      </c>
    </row>
    <row r="30105">
      <c r="A30105" s="48" t="s">
        <v>18684</v>
      </c>
      <c r="B30105" s="38">
        <v>86051.0</v>
      </c>
      <c r="C30105" s="38" t="s">
        <v>34485</v>
      </c>
      <c r="D30105" s="38" t="str">
        <f>IFERROR(__xludf.DUMMYFUNCTION("REGEXREPLACE(C30105,""-\d+(.*)|--\d+(.*)"","""")"),"CHAMPAGNE-LE-SEC")</f>
        <v>CHAMPAGNE-LE-SEC</v>
      </c>
      <c r="E30105" s="38" t="s">
        <v>529</v>
      </c>
      <c r="F30105" s="38" t="s">
        <v>338</v>
      </c>
      <c r="G30105" s="49" t="str">
        <f t="shared" si="1"/>
        <v>86510</v>
      </c>
      <c r="H30105" s="49">
        <f t="shared" si="2"/>
        <v>86051</v>
      </c>
    </row>
    <row r="30106">
      <c r="A30106" s="48" t="s">
        <v>10400</v>
      </c>
      <c r="B30106" s="38">
        <v>13012.0</v>
      </c>
      <c r="C30106" s="38" t="s">
        <v>34486</v>
      </c>
      <c r="D30106" s="38" t="str">
        <f>IFERROR(__xludf.DUMMYFUNCTION("REGEXREPLACE(C30106,""-\d+(.*)|--\d+(.*)"","""")"),"BEAURECUEIL")</f>
        <v>BEAURECUEIL</v>
      </c>
      <c r="E30106" s="38" t="s">
        <v>980</v>
      </c>
      <c r="F30106" s="38" t="s">
        <v>228</v>
      </c>
      <c r="G30106" s="49" t="str">
        <f t="shared" si="1"/>
        <v>13100</v>
      </c>
      <c r="H30106" s="49">
        <f t="shared" si="2"/>
        <v>13012</v>
      </c>
    </row>
    <row r="30107">
      <c r="A30107" s="48" t="s">
        <v>5086</v>
      </c>
      <c r="B30107" s="38">
        <v>7022.0</v>
      </c>
      <c r="C30107" s="38" t="s">
        <v>34487</v>
      </c>
      <c r="D30107" s="38" t="str">
        <f>IFERROR(__xludf.DUMMYFUNCTION("REGEXREPLACE(C30107,""-\d+(.*)|--\d+(.*)"","""")"),"BAIX")</f>
        <v>BAIX</v>
      </c>
      <c r="E30107" s="38" t="s">
        <v>144</v>
      </c>
      <c r="F30107" s="38" t="s">
        <v>102</v>
      </c>
      <c r="G30107" s="49" t="str">
        <f t="shared" si="1"/>
        <v>07210</v>
      </c>
      <c r="H30107" s="49" t="str">
        <f t="shared" si="2"/>
        <v>07022</v>
      </c>
    </row>
    <row r="30108">
      <c r="A30108" s="48" t="s">
        <v>3013</v>
      </c>
      <c r="B30108" s="38">
        <v>48126.0</v>
      </c>
      <c r="C30108" s="38" t="s">
        <v>34488</v>
      </c>
      <c r="D30108" s="38" t="str">
        <f>IFERROR(__xludf.DUMMYFUNCTION("REGEXREPLACE(C30108,""-\d+(.*)|--\d+(.*)"","""")"),"RIBENNES")</f>
        <v>RIBENNES</v>
      </c>
      <c r="E30108" s="38" t="s">
        <v>154</v>
      </c>
      <c r="F30108" s="38" t="s">
        <v>119</v>
      </c>
      <c r="G30108" s="49" t="str">
        <f t="shared" si="1"/>
        <v>48700</v>
      </c>
      <c r="H30108" s="49">
        <f t="shared" si="2"/>
        <v>48126</v>
      </c>
    </row>
    <row r="30109">
      <c r="A30109" s="48" t="s">
        <v>814</v>
      </c>
      <c r="B30109" s="38">
        <v>4104.0</v>
      </c>
      <c r="C30109" s="38" t="s">
        <v>34489</v>
      </c>
      <c r="D30109" s="38" t="str">
        <f>IFERROR(__xludf.DUMMYFUNCTION("REGEXREPLACE(C30109,""-\d+(.*)|--\d+(.*)"","""")"),"LIMANS")</f>
        <v>LIMANS</v>
      </c>
      <c r="E30109" s="38" t="s">
        <v>662</v>
      </c>
      <c r="F30109" s="38" t="s">
        <v>228</v>
      </c>
      <c r="G30109" s="49" t="str">
        <f t="shared" si="1"/>
        <v>04300</v>
      </c>
      <c r="H30109" s="49" t="str">
        <f t="shared" si="2"/>
        <v>04104</v>
      </c>
    </row>
    <row r="30110">
      <c r="A30110" s="48" t="s">
        <v>34490</v>
      </c>
      <c r="B30110" s="38">
        <v>97121.0</v>
      </c>
      <c r="C30110" s="38" t="s">
        <v>34491</v>
      </c>
      <c r="D30110" s="38" t="str">
        <f>IFERROR(__xludf.DUMMYFUNCTION("REGEXREPLACE(C30110,""-\d+(.*)|--\d+(.*)"","""")"),"POINTE-NOIRE")</f>
        <v>POINTE-NOIRE</v>
      </c>
      <c r="E30110" s="38" t="s">
        <v>2023</v>
      </c>
      <c r="F30110" s="38" t="s">
        <v>2023</v>
      </c>
      <c r="G30110" s="49" t="str">
        <f t="shared" si="1"/>
        <v>97116</v>
      </c>
      <c r="H30110" s="49">
        <f t="shared" si="2"/>
        <v>97121</v>
      </c>
    </row>
    <row r="30111">
      <c r="A30111" s="48" t="s">
        <v>22891</v>
      </c>
      <c r="B30111" s="38">
        <v>39403.0</v>
      </c>
      <c r="C30111" s="38" t="s">
        <v>34492</v>
      </c>
      <c r="D30111" s="38" t="str">
        <f>IFERROR(__xludf.DUMMYFUNCTION("REGEXREPLACE(C30111,""-\d+(.*)|--\d+(.*)"","""")"),"PAGNOZ")</f>
        <v>PAGNOZ</v>
      </c>
      <c r="E30111" s="38" t="s">
        <v>400</v>
      </c>
      <c r="F30111" s="38" t="s">
        <v>214</v>
      </c>
      <c r="G30111" s="49" t="str">
        <f t="shared" si="1"/>
        <v>39330</v>
      </c>
      <c r="H30111" s="49">
        <f t="shared" si="2"/>
        <v>39403</v>
      </c>
    </row>
    <row r="30112">
      <c r="A30112" s="48" t="s">
        <v>2924</v>
      </c>
      <c r="B30112" s="38">
        <v>8062.0</v>
      </c>
      <c r="C30112" s="38" t="s">
        <v>34493</v>
      </c>
      <c r="D30112" s="38" t="str">
        <f>IFERROR(__xludf.DUMMYFUNCTION("REGEXREPLACE(C30112,""-\d+(.*)|--\d+(.*)"","""")"),"BERTONCOURT")</f>
        <v>BERTONCOURT</v>
      </c>
      <c r="E30112" s="38" t="s">
        <v>327</v>
      </c>
      <c r="F30112" s="38" t="s">
        <v>130</v>
      </c>
      <c r="G30112" s="49" t="str">
        <f t="shared" si="1"/>
        <v>08300</v>
      </c>
      <c r="H30112" s="49" t="str">
        <f t="shared" si="2"/>
        <v>08062</v>
      </c>
    </row>
    <row r="30113">
      <c r="A30113" s="48" t="s">
        <v>2673</v>
      </c>
      <c r="B30113" s="38">
        <v>3245.0</v>
      </c>
      <c r="C30113" s="38" t="s">
        <v>34494</v>
      </c>
      <c r="D30113" s="38" t="str">
        <f>IFERROR(__xludf.DUMMYFUNCTION("REGEXREPLACE(C30113,""-\d+(.*)|--\d+(.*)"","""")"),"SAINT-MARTIN-DES-LAIS")</f>
        <v>SAINT-MARTIN-DES-LAIS</v>
      </c>
      <c r="E30113" s="38" t="s">
        <v>160</v>
      </c>
      <c r="F30113" s="38" t="s">
        <v>161</v>
      </c>
      <c r="G30113" s="49" t="str">
        <f t="shared" si="1"/>
        <v>03230</v>
      </c>
      <c r="H30113" s="49" t="str">
        <f t="shared" si="2"/>
        <v>03245</v>
      </c>
    </row>
    <row r="30114">
      <c r="A30114" s="48" t="s">
        <v>1002</v>
      </c>
      <c r="B30114" s="38">
        <v>46174.0</v>
      </c>
      <c r="C30114" s="38" t="s">
        <v>34495</v>
      </c>
      <c r="D30114" s="38" t="str">
        <f>IFERROR(__xludf.DUMMYFUNCTION("REGEXREPLACE(C30114,""-\d+(.*)|--\d+(.*)"","""")"),"LINAC")</f>
        <v>LINAC</v>
      </c>
      <c r="E30114" s="38" t="s">
        <v>185</v>
      </c>
      <c r="F30114" s="38" t="s">
        <v>94</v>
      </c>
      <c r="G30114" s="49" t="str">
        <f t="shared" si="1"/>
        <v>46270</v>
      </c>
      <c r="H30114" s="49">
        <f t="shared" si="2"/>
        <v>46174</v>
      </c>
    </row>
    <row r="30115">
      <c r="A30115" s="48" t="s">
        <v>3452</v>
      </c>
      <c r="B30115" s="38">
        <v>36169.0</v>
      </c>
      <c r="C30115" s="38" t="s">
        <v>34496</v>
      </c>
      <c r="D30115" s="38" t="str">
        <f>IFERROR(__xludf.DUMMYFUNCTION("REGEXREPLACE(C30115,""-\d+(.*)|--\d+(.*)"","""")"),"PRUNIERS")</f>
        <v>PRUNIERS</v>
      </c>
      <c r="E30115" s="38" t="s">
        <v>258</v>
      </c>
      <c r="F30115" s="38" t="s">
        <v>123</v>
      </c>
      <c r="G30115" s="49" t="str">
        <f t="shared" si="1"/>
        <v>36120</v>
      </c>
      <c r="H30115" s="49">
        <f t="shared" si="2"/>
        <v>36169</v>
      </c>
    </row>
    <row r="30116">
      <c r="A30116" s="48" t="s">
        <v>5313</v>
      </c>
      <c r="B30116" s="38">
        <v>60231.0</v>
      </c>
      <c r="C30116" s="38" t="s">
        <v>34497</v>
      </c>
      <c r="D30116" s="38" t="str">
        <f>IFERROR(__xludf.DUMMYFUNCTION("REGEXREPLACE(C30116,""-\d+(.*)|--\d+(.*)"","""")"),"FEIGNEUX")</f>
        <v>FEIGNEUX</v>
      </c>
      <c r="E30116" s="38" t="s">
        <v>112</v>
      </c>
      <c r="F30116" s="38" t="s">
        <v>113</v>
      </c>
      <c r="G30116" s="49" t="str">
        <f t="shared" si="1"/>
        <v>60800</v>
      </c>
      <c r="H30116" s="49">
        <f t="shared" si="2"/>
        <v>60231</v>
      </c>
    </row>
    <row r="30117">
      <c r="A30117" s="48" t="s">
        <v>452</v>
      </c>
      <c r="B30117" s="38">
        <v>21418.0</v>
      </c>
      <c r="C30117" s="38" t="s">
        <v>34498</v>
      </c>
      <c r="D30117" s="38" t="str">
        <f>IFERROR(__xludf.DUMMYFUNCTION("REGEXREPLACE(C30117,""-\d+(.*)|--\d+(.*)"","""")"),"MOITRON")</f>
        <v>MOITRON</v>
      </c>
      <c r="E30117" s="38" t="s">
        <v>105</v>
      </c>
      <c r="F30117" s="38" t="s">
        <v>106</v>
      </c>
      <c r="G30117" s="49" t="str">
        <f t="shared" si="1"/>
        <v>21510</v>
      </c>
      <c r="H30117" s="49">
        <f t="shared" si="2"/>
        <v>21418</v>
      </c>
    </row>
    <row r="30118">
      <c r="A30118" s="48" t="s">
        <v>4434</v>
      </c>
      <c r="B30118" s="38">
        <v>31039.0</v>
      </c>
      <c r="C30118" s="38" t="s">
        <v>34499</v>
      </c>
      <c r="D30118" s="38" t="str">
        <f>IFERROR(__xludf.DUMMYFUNCTION("REGEXREPLACE(C30118,""-\d+(.*)|--\d+(.*)"","""")"),"BACHAS")</f>
        <v>BACHAS</v>
      </c>
      <c r="E30118" s="38" t="s">
        <v>93</v>
      </c>
      <c r="F30118" s="38" t="s">
        <v>94</v>
      </c>
      <c r="G30118" s="49" t="str">
        <f t="shared" si="1"/>
        <v>31420</v>
      </c>
      <c r="H30118" s="49">
        <f t="shared" si="2"/>
        <v>31039</v>
      </c>
    </row>
    <row r="30119">
      <c r="A30119" s="48" t="s">
        <v>2708</v>
      </c>
      <c r="B30119" s="38">
        <v>70338.0</v>
      </c>
      <c r="C30119" s="38" t="s">
        <v>34500</v>
      </c>
      <c r="D30119" s="38" t="str">
        <f>IFERROR(__xludf.DUMMYFUNCTION("REGEXREPLACE(C30119,""-\d+(.*)|--\d+(.*)"","""")"),"MELINCOURT")</f>
        <v>MELINCOURT</v>
      </c>
      <c r="E30119" s="38" t="s">
        <v>956</v>
      </c>
      <c r="F30119" s="38" t="s">
        <v>214</v>
      </c>
      <c r="G30119" s="49" t="str">
        <f t="shared" si="1"/>
        <v>70210</v>
      </c>
      <c r="H30119" s="49">
        <f t="shared" si="2"/>
        <v>70338</v>
      </c>
    </row>
    <row r="30120">
      <c r="A30120" s="48" t="s">
        <v>9091</v>
      </c>
      <c r="B30120" s="38">
        <v>46152.0</v>
      </c>
      <c r="C30120" s="38" t="s">
        <v>34501</v>
      </c>
      <c r="D30120" s="38" t="str">
        <f>IFERROR(__xludf.DUMMYFUNCTION("REGEXREPLACE(C30120,""-\d+(.*)|--\d+(.*)"","""")"),"LAMOTHE-FENELON")</f>
        <v>LAMOTHE-FENELON</v>
      </c>
      <c r="E30120" s="38" t="s">
        <v>185</v>
      </c>
      <c r="F30120" s="38" t="s">
        <v>94</v>
      </c>
      <c r="G30120" s="49" t="str">
        <f t="shared" si="1"/>
        <v>46350</v>
      </c>
      <c r="H30120" s="49">
        <f t="shared" si="2"/>
        <v>46152</v>
      </c>
    </row>
    <row r="30121">
      <c r="A30121" s="48" t="s">
        <v>34502</v>
      </c>
      <c r="B30121" s="38">
        <v>97101.0</v>
      </c>
      <c r="C30121" s="38" t="s">
        <v>34503</v>
      </c>
      <c r="D30121" s="38" t="str">
        <f>IFERROR(__xludf.DUMMYFUNCTION("REGEXREPLACE(C30121,""-\d+(.*)|--\d+(.*)"","""")"),"LES ABYMES")</f>
        <v>LES ABYMES</v>
      </c>
      <c r="E30121" s="38" t="s">
        <v>2023</v>
      </c>
      <c r="F30121" s="38" t="s">
        <v>2023</v>
      </c>
      <c r="G30121" s="49" t="str">
        <f t="shared" si="1"/>
        <v>97139/97142</v>
      </c>
      <c r="H30121" s="49">
        <f t="shared" si="2"/>
        <v>97101</v>
      </c>
    </row>
    <row r="30122">
      <c r="A30122" s="48" t="s">
        <v>1932</v>
      </c>
      <c r="B30122" s="38">
        <v>70304.0</v>
      </c>
      <c r="C30122" s="38" t="s">
        <v>34504</v>
      </c>
      <c r="D30122" s="38" t="str">
        <f>IFERROR(__xludf.DUMMYFUNCTION("REGEXREPLACE(C30122,""-\d+(.*)|--\d+(.*)"","""")"),"LINEXERT")</f>
        <v>LINEXERT</v>
      </c>
      <c r="E30122" s="38" t="s">
        <v>956</v>
      </c>
      <c r="F30122" s="38" t="s">
        <v>214</v>
      </c>
      <c r="G30122" s="49" t="str">
        <f t="shared" si="1"/>
        <v>70200</v>
      </c>
      <c r="H30122" s="49">
        <f t="shared" si="2"/>
        <v>70304</v>
      </c>
    </row>
    <row r="30123">
      <c r="A30123" s="48" t="s">
        <v>948</v>
      </c>
      <c r="B30123" s="38">
        <v>68282.0</v>
      </c>
      <c r="C30123" s="38" t="s">
        <v>25393</v>
      </c>
      <c r="D30123" s="38" t="str">
        <f>IFERROR(__xludf.DUMMYFUNCTION("REGEXREPLACE(C30123,""-\d+(.*)|--\d+(.*)"","""")"),"ROMAGNY")</f>
        <v>ROMAGNY</v>
      </c>
      <c r="E30123" s="38" t="s">
        <v>150</v>
      </c>
      <c r="F30123" s="38" t="s">
        <v>151</v>
      </c>
      <c r="G30123" s="49" t="str">
        <f t="shared" si="1"/>
        <v>68210</v>
      </c>
      <c r="H30123" s="49">
        <f t="shared" si="2"/>
        <v>68282</v>
      </c>
    </row>
    <row r="30124">
      <c r="A30124" s="48" t="s">
        <v>4215</v>
      </c>
      <c r="B30124" s="38">
        <v>27554.0</v>
      </c>
      <c r="C30124" s="38" t="s">
        <v>13965</v>
      </c>
      <c r="D30124" s="38" t="str">
        <f>IFERROR(__xludf.DUMMYFUNCTION("REGEXREPLACE(C30124,""-\d+(.*)|--\d+(.*)"","""")"),"SAINT-JUST")</f>
        <v>SAINT-JUST</v>
      </c>
      <c r="E30124" s="38" t="s">
        <v>241</v>
      </c>
      <c r="F30124" s="38" t="s">
        <v>134</v>
      </c>
      <c r="G30124" s="49" t="str">
        <f t="shared" si="1"/>
        <v>27950</v>
      </c>
      <c r="H30124" s="49">
        <f t="shared" si="2"/>
        <v>27554</v>
      </c>
    </row>
    <row r="30125">
      <c r="A30125" s="48" t="s">
        <v>2837</v>
      </c>
      <c r="B30125" s="38">
        <v>17082.0</v>
      </c>
      <c r="C30125" s="38" t="s">
        <v>34505</v>
      </c>
      <c r="D30125" s="38" t="str">
        <f>IFERROR(__xludf.DUMMYFUNCTION("REGEXREPLACE(C30125,""-\d+(.*)|--\d+(.*)"","""")"),"CHAMPAGNAC")</f>
        <v>CHAMPAGNAC</v>
      </c>
      <c r="E30125" s="38" t="s">
        <v>488</v>
      </c>
      <c r="F30125" s="38" t="s">
        <v>338</v>
      </c>
      <c r="G30125" s="49" t="str">
        <f t="shared" si="1"/>
        <v>17500</v>
      </c>
      <c r="H30125" s="49">
        <f t="shared" si="2"/>
        <v>17082</v>
      </c>
    </row>
    <row r="30126">
      <c r="A30126" s="48" t="s">
        <v>11146</v>
      </c>
      <c r="B30126" s="38">
        <v>89344.0</v>
      </c>
      <c r="C30126" s="38" t="s">
        <v>34506</v>
      </c>
      <c r="D30126" s="38" t="str">
        <f>IFERROR(__xludf.DUMMYFUNCTION("REGEXREPLACE(C30126,""-\d+(.*)|--\d+(.*)"","""")"),"SAINT-FARGEAU")</f>
        <v>SAINT-FARGEAU</v>
      </c>
      <c r="E30126" s="38" t="s">
        <v>275</v>
      </c>
      <c r="F30126" s="38" t="s">
        <v>106</v>
      </c>
      <c r="G30126" s="49" t="str">
        <f t="shared" si="1"/>
        <v>89170</v>
      </c>
      <c r="H30126" s="49">
        <f t="shared" si="2"/>
        <v>89344</v>
      </c>
    </row>
    <row r="30127">
      <c r="A30127" s="48" t="s">
        <v>17909</v>
      </c>
      <c r="B30127" s="38">
        <v>25259.0</v>
      </c>
      <c r="C30127" s="38" t="s">
        <v>34507</v>
      </c>
      <c r="D30127" s="38" t="str">
        <f>IFERROR(__xludf.DUMMYFUNCTION("REGEXREPLACE(C30127,""-\d+(.*)|--\d+(.*)"","""")"),"FRASNE")</f>
        <v>FRASNE</v>
      </c>
      <c r="E30127" s="38" t="s">
        <v>213</v>
      </c>
      <c r="F30127" s="38" t="s">
        <v>214</v>
      </c>
      <c r="G30127" s="49" t="str">
        <f t="shared" si="1"/>
        <v>25560</v>
      </c>
      <c r="H30127" s="49">
        <f t="shared" si="2"/>
        <v>25259</v>
      </c>
    </row>
    <row r="30128">
      <c r="A30128" s="48" t="s">
        <v>920</v>
      </c>
      <c r="B30128" s="38">
        <v>31268.0</v>
      </c>
      <c r="C30128" s="38" t="s">
        <v>34508</v>
      </c>
      <c r="D30128" s="38" t="str">
        <f>IFERROR(__xludf.DUMMYFUNCTION("REGEXREPLACE(C30128,""-\d+(.*)|--\d+(.*)"","""")"),"LALOURET-LAFFITEAU")</f>
        <v>LALOURET-LAFFITEAU</v>
      </c>
      <c r="E30128" s="38" t="s">
        <v>93</v>
      </c>
      <c r="F30128" s="38" t="s">
        <v>94</v>
      </c>
      <c r="G30128" s="49" t="str">
        <f t="shared" si="1"/>
        <v>31800</v>
      </c>
      <c r="H30128" s="49">
        <f t="shared" si="2"/>
        <v>31268</v>
      </c>
    </row>
    <row r="30129">
      <c r="A30129" s="48" t="s">
        <v>3716</v>
      </c>
      <c r="B30129" s="38">
        <v>57131.0</v>
      </c>
      <c r="C30129" s="38" t="s">
        <v>34509</v>
      </c>
      <c r="D30129" s="38" t="str">
        <f>IFERROR(__xludf.DUMMYFUNCTION("REGEXREPLACE(C30129,""-\d+(.*)|--\d+(.*)"","""")"),"CHATEAU-ROUGE")</f>
        <v>CHATEAU-ROUGE</v>
      </c>
      <c r="E30129" s="38" t="s">
        <v>303</v>
      </c>
      <c r="F30129" s="38" t="s">
        <v>195</v>
      </c>
      <c r="G30129" s="49" t="str">
        <f t="shared" si="1"/>
        <v>57320</v>
      </c>
      <c r="H30129" s="49">
        <f t="shared" si="2"/>
        <v>57131</v>
      </c>
    </row>
    <row r="30130">
      <c r="A30130" s="48" t="s">
        <v>16993</v>
      </c>
      <c r="B30130" s="38">
        <v>59061.0</v>
      </c>
      <c r="C30130" s="38" t="s">
        <v>34510</v>
      </c>
      <c r="D30130" s="38" t="str">
        <f>IFERROR(__xludf.DUMMYFUNCTION("REGEXREPLACE(C30130,""-\d+(.*)|--\d+(.*)"","""")"),"BEAUREPAIRE-SUR-SAMBRE")</f>
        <v>BEAUREPAIRE-SUR-SAMBRE</v>
      </c>
      <c r="E30130" s="38" t="s">
        <v>85</v>
      </c>
      <c r="F30130" s="38" t="s">
        <v>86</v>
      </c>
      <c r="G30130" s="49" t="str">
        <f t="shared" si="1"/>
        <v>59550</v>
      </c>
      <c r="H30130" s="49">
        <f t="shared" si="2"/>
        <v>59061</v>
      </c>
    </row>
    <row r="30131">
      <c r="A30131" s="48" t="s">
        <v>4302</v>
      </c>
      <c r="B30131" s="38">
        <v>35068.0</v>
      </c>
      <c r="C30131" s="38" t="s">
        <v>34086</v>
      </c>
      <c r="D30131" s="38" t="str">
        <f>IFERROR(__xludf.DUMMYFUNCTION("REGEXREPLACE(C30131,""-\d+(.*)|--\d+(.*)"","""")"),"CHATEAUBOURG")</f>
        <v>CHATEAUBOURG</v>
      </c>
      <c r="E30131" s="38" t="s">
        <v>347</v>
      </c>
      <c r="F30131" s="38" t="s">
        <v>90</v>
      </c>
      <c r="G30131" s="49" t="str">
        <f t="shared" si="1"/>
        <v>35220</v>
      </c>
      <c r="H30131" s="49">
        <f t="shared" si="2"/>
        <v>35068</v>
      </c>
    </row>
    <row r="30132">
      <c r="A30132" s="48" t="s">
        <v>1562</v>
      </c>
      <c r="B30132" s="38">
        <v>24409.0</v>
      </c>
      <c r="C30132" s="38" t="s">
        <v>34511</v>
      </c>
      <c r="D30132" s="38" t="str">
        <f>IFERROR(__xludf.DUMMYFUNCTION("REGEXREPLACE(C30132,""-\d+(.*)|--\d+(.*)"","""")"),"SAINT-FRONT-DE-PRADOUX")</f>
        <v>SAINT-FRONT-DE-PRADOUX</v>
      </c>
      <c r="E30132" s="38" t="s">
        <v>261</v>
      </c>
      <c r="F30132" s="38" t="s">
        <v>252</v>
      </c>
      <c r="G30132" s="49" t="str">
        <f t="shared" si="1"/>
        <v>24400</v>
      </c>
      <c r="H30132" s="49">
        <f t="shared" si="2"/>
        <v>24409</v>
      </c>
    </row>
    <row r="30133">
      <c r="A30133" s="48" t="s">
        <v>3147</v>
      </c>
      <c r="B30133" s="38">
        <v>68030.0</v>
      </c>
      <c r="C30133" s="38" t="s">
        <v>34512</v>
      </c>
      <c r="D30133" s="38" t="str">
        <f>IFERROR(__xludf.DUMMYFUNCTION("REGEXREPLACE(C30133,""-\d+(.*)|--\d+(.*)"","""")"),"BERGHOLTZZELL")</f>
        <v>BERGHOLTZZELL</v>
      </c>
      <c r="E30133" s="38" t="s">
        <v>150</v>
      </c>
      <c r="F30133" s="38" t="s">
        <v>151</v>
      </c>
      <c r="G30133" s="49" t="str">
        <f t="shared" si="1"/>
        <v>68500</v>
      </c>
      <c r="H30133" s="49">
        <f t="shared" si="2"/>
        <v>68030</v>
      </c>
    </row>
    <row r="30134">
      <c r="A30134" s="48" t="s">
        <v>11166</v>
      </c>
      <c r="B30134" s="38">
        <v>55367.0</v>
      </c>
      <c r="C30134" s="38" t="s">
        <v>34513</v>
      </c>
      <c r="D30134" s="38" t="str">
        <f>IFERROR(__xludf.DUMMYFUNCTION("REGEXREPLACE(C30134,""-\d+(.*)|--\d+(.*)"","""")"),"MUZERAY")</f>
        <v>MUZERAY</v>
      </c>
      <c r="E30134" s="38" t="s">
        <v>322</v>
      </c>
      <c r="F30134" s="38" t="s">
        <v>195</v>
      </c>
      <c r="G30134" s="49" t="str">
        <f t="shared" si="1"/>
        <v>55230</v>
      </c>
      <c r="H30134" s="49">
        <f t="shared" si="2"/>
        <v>55367</v>
      </c>
    </row>
    <row r="30135">
      <c r="A30135" s="48" t="s">
        <v>9571</v>
      </c>
      <c r="B30135" s="38">
        <v>78401.0</v>
      </c>
      <c r="C30135" s="38" t="s">
        <v>34514</v>
      </c>
      <c r="D30135" s="38" t="str">
        <f>IFERROR(__xludf.DUMMYFUNCTION("REGEXREPLACE(C30135,""-\d+(.*)|--\d+(.*)"","""")"),"MEULAN-EN-YVELINES")</f>
        <v>MEULAN-EN-YVELINES</v>
      </c>
      <c r="E30135" s="38" t="s">
        <v>362</v>
      </c>
      <c r="F30135" s="38" t="s">
        <v>245</v>
      </c>
      <c r="G30135" s="49" t="str">
        <f t="shared" si="1"/>
        <v>78250</v>
      </c>
      <c r="H30135" s="49">
        <f t="shared" si="2"/>
        <v>78401</v>
      </c>
    </row>
    <row r="30136">
      <c r="A30136" s="48" t="s">
        <v>34515</v>
      </c>
      <c r="B30136" s="38">
        <v>88075.0</v>
      </c>
      <c r="C30136" s="38" t="s">
        <v>34516</v>
      </c>
      <c r="D30136" s="38" t="str">
        <f>IFERROR(__xludf.DUMMYFUNCTION("REGEXREPLACE(C30136,""-\d+(.*)|--\d+(.*)"","""")"),"LA BRESSE")</f>
        <v>LA BRESSE</v>
      </c>
      <c r="E30136" s="38" t="s">
        <v>194</v>
      </c>
      <c r="F30136" s="38" t="s">
        <v>195</v>
      </c>
      <c r="G30136" s="49" t="str">
        <f t="shared" si="1"/>
        <v>88250</v>
      </c>
      <c r="H30136" s="49">
        <f t="shared" si="2"/>
        <v>88075</v>
      </c>
    </row>
    <row r="30137">
      <c r="A30137" s="48" t="s">
        <v>5761</v>
      </c>
      <c r="B30137" s="38">
        <v>17402.0</v>
      </c>
      <c r="C30137" s="38" t="s">
        <v>34517</v>
      </c>
      <c r="D30137" s="38" t="str">
        <f>IFERROR(__xludf.DUMMYFUNCTION("REGEXREPLACE(C30137,""-\d+(.*)|--\d+(.*)"","""")"),"SAINT-SIGISMOND-DE-CLERMONT")</f>
        <v>SAINT-SIGISMOND-DE-CLERMONT</v>
      </c>
      <c r="E30137" s="38" t="s">
        <v>488</v>
      </c>
      <c r="F30137" s="38" t="s">
        <v>338</v>
      </c>
      <c r="G30137" s="49" t="str">
        <f t="shared" si="1"/>
        <v>17240</v>
      </c>
      <c r="H30137" s="49">
        <f t="shared" si="2"/>
        <v>17402</v>
      </c>
    </row>
    <row r="30138">
      <c r="A30138" s="48" t="s">
        <v>12047</v>
      </c>
      <c r="B30138" s="38">
        <v>66076.0</v>
      </c>
      <c r="C30138" s="38" t="s">
        <v>34518</v>
      </c>
      <c r="D30138" s="38" t="str">
        <f>IFERROR(__xludf.DUMMYFUNCTION("REGEXREPLACE(C30138,""-\d+(.*)|--\d+(.*)"","""")"),"FELLUNS")</f>
        <v>FELLUNS</v>
      </c>
      <c r="E30138" s="38" t="s">
        <v>248</v>
      </c>
      <c r="F30138" s="38" t="s">
        <v>119</v>
      </c>
      <c r="G30138" s="49" t="str">
        <f t="shared" si="1"/>
        <v>66730</v>
      </c>
      <c r="H30138" s="49">
        <f t="shared" si="2"/>
        <v>66076</v>
      </c>
    </row>
    <row r="30139">
      <c r="A30139" s="48" t="s">
        <v>34519</v>
      </c>
      <c r="B30139" s="38">
        <v>66038.0</v>
      </c>
      <c r="C30139" s="38" t="s">
        <v>34520</v>
      </c>
      <c r="D30139" s="38" t="str">
        <f>IFERROR(__xludf.DUMMYFUNCTION("REGEXREPLACE(C30139,""-\d+(.*)|--\d+(.*)"","""")"),"CANOHES")</f>
        <v>CANOHES</v>
      </c>
      <c r="E30139" s="38" t="s">
        <v>248</v>
      </c>
      <c r="F30139" s="38" t="s">
        <v>119</v>
      </c>
      <c r="G30139" s="49" t="str">
        <f t="shared" si="1"/>
        <v>66680</v>
      </c>
      <c r="H30139" s="49">
        <f t="shared" si="2"/>
        <v>66038</v>
      </c>
    </row>
    <row r="30140">
      <c r="A30140" s="48" t="s">
        <v>3156</v>
      </c>
      <c r="B30140" s="38">
        <v>77385.0</v>
      </c>
      <c r="C30140" s="38" t="s">
        <v>34521</v>
      </c>
      <c r="D30140" s="38" t="str">
        <f>IFERROR(__xludf.DUMMYFUNCTION("REGEXREPLACE(C30140,""-\d+(.*)|--\d+(.*)"","""")"),"REBAIS")</f>
        <v>REBAIS</v>
      </c>
      <c r="E30140" s="38" t="s">
        <v>244</v>
      </c>
      <c r="F30140" s="38" t="s">
        <v>245</v>
      </c>
      <c r="G30140" s="49" t="str">
        <f t="shared" si="1"/>
        <v>77510</v>
      </c>
      <c r="H30140" s="49">
        <f t="shared" si="2"/>
        <v>77385</v>
      </c>
    </row>
    <row r="30141">
      <c r="A30141" s="48" t="s">
        <v>13263</v>
      </c>
      <c r="B30141" s="38">
        <v>50510.0</v>
      </c>
      <c r="C30141" s="38" t="s">
        <v>34522</v>
      </c>
      <c r="D30141" s="38" t="str">
        <f>IFERROR(__xludf.DUMMYFUNCTION("REGEXREPLACE(C30141,""-\d+(.*)|--\d+(.*)"","""")"),"SAINT-MARTIN-D'AUBIGNY")</f>
        <v>SAINT-MARTIN-D'AUBIGNY</v>
      </c>
      <c r="E30141" s="38" t="s">
        <v>157</v>
      </c>
      <c r="F30141" s="38" t="s">
        <v>138</v>
      </c>
      <c r="G30141" s="49" t="str">
        <f t="shared" si="1"/>
        <v>50190</v>
      </c>
      <c r="H30141" s="49">
        <f t="shared" si="2"/>
        <v>50510</v>
      </c>
    </row>
    <row r="30142">
      <c r="A30142" s="48" t="s">
        <v>866</v>
      </c>
      <c r="B30142" s="38">
        <v>63029.0</v>
      </c>
      <c r="C30142" s="38" t="s">
        <v>34523</v>
      </c>
      <c r="D30142" s="38" t="str">
        <f>IFERROR(__xludf.DUMMYFUNCTION("REGEXREPLACE(C30142,""-\d+(.*)|--\d+(.*)"","""")"),"BANSAT")</f>
        <v>BANSAT</v>
      </c>
      <c r="E30142" s="38" t="s">
        <v>353</v>
      </c>
      <c r="F30142" s="38" t="s">
        <v>161</v>
      </c>
      <c r="G30142" s="49" t="str">
        <f t="shared" si="1"/>
        <v>63570</v>
      </c>
      <c r="H30142" s="49">
        <f t="shared" si="2"/>
        <v>63029</v>
      </c>
    </row>
    <row r="30143">
      <c r="A30143" s="48" t="s">
        <v>700</v>
      </c>
      <c r="B30143" s="38">
        <v>56104.0</v>
      </c>
      <c r="C30143" s="38" t="s">
        <v>34524</v>
      </c>
      <c r="D30143" s="38" t="str">
        <f>IFERROR(__xludf.DUMMYFUNCTION("REGEXREPLACE(C30143,""-\d+(.*)|--\d+(.*)"","""")"),"LANVAUDAN")</f>
        <v>LANVAUDAN</v>
      </c>
      <c r="E30143" s="38" t="s">
        <v>173</v>
      </c>
      <c r="F30143" s="38" t="s">
        <v>90</v>
      </c>
      <c r="G30143" s="49" t="str">
        <f t="shared" si="1"/>
        <v>56240</v>
      </c>
      <c r="H30143" s="49">
        <f t="shared" si="2"/>
        <v>56104</v>
      </c>
    </row>
    <row r="30144">
      <c r="A30144" s="48" t="s">
        <v>1754</v>
      </c>
      <c r="B30144" s="38">
        <v>14418.0</v>
      </c>
      <c r="C30144" s="38" t="s">
        <v>34525</v>
      </c>
      <c r="D30144" s="38" t="str">
        <f>IFERROR(__xludf.DUMMYFUNCTION("REGEXREPLACE(C30144,""-\d+(.*)|--\d+(.*)"","""")"),"LE MESNIL-DURAND")</f>
        <v>LE MESNIL-DURAND</v>
      </c>
      <c r="E30144" s="38" t="s">
        <v>137</v>
      </c>
      <c r="F30144" s="38" t="s">
        <v>138</v>
      </c>
      <c r="G30144" s="49" t="str">
        <f t="shared" si="1"/>
        <v>14140</v>
      </c>
      <c r="H30144" s="49">
        <f t="shared" si="2"/>
        <v>14418</v>
      </c>
    </row>
    <row r="30145">
      <c r="A30145" s="48" t="s">
        <v>2368</v>
      </c>
      <c r="B30145" s="38">
        <v>65039.0</v>
      </c>
      <c r="C30145" s="38" t="s">
        <v>34526</v>
      </c>
      <c r="D30145" s="38" t="str">
        <f>IFERROR(__xludf.DUMMYFUNCTION("REGEXREPLACE(C30145,""-\d+(.*)|--\d+(.*)"","""")"),"ASPIN-AURE")</f>
        <v>ASPIN-AURE</v>
      </c>
      <c r="E30145" s="38" t="s">
        <v>200</v>
      </c>
      <c r="F30145" s="38" t="s">
        <v>94</v>
      </c>
      <c r="G30145" s="49" t="str">
        <f t="shared" si="1"/>
        <v>65240</v>
      </c>
      <c r="H30145" s="49">
        <f t="shared" si="2"/>
        <v>65039</v>
      </c>
    </row>
    <row r="30146">
      <c r="A30146" s="48" t="s">
        <v>5030</v>
      </c>
      <c r="B30146" s="38">
        <v>65042.0</v>
      </c>
      <c r="C30146" s="38" t="s">
        <v>34527</v>
      </c>
      <c r="D30146" s="38" t="str">
        <f>IFERROR(__xludf.DUMMYFUNCTION("REGEXREPLACE(C30146,""-\d+(.*)|--\d+(.*)"","""")"),"ASTE")</f>
        <v>ASTE</v>
      </c>
      <c r="E30146" s="38" t="s">
        <v>200</v>
      </c>
      <c r="F30146" s="38" t="s">
        <v>94</v>
      </c>
      <c r="G30146" s="49" t="str">
        <f t="shared" si="1"/>
        <v>65200</v>
      </c>
      <c r="H30146" s="49">
        <f t="shared" si="2"/>
        <v>65042</v>
      </c>
    </row>
    <row r="30147">
      <c r="A30147" s="48" t="s">
        <v>1235</v>
      </c>
      <c r="B30147" s="38">
        <v>80736.0</v>
      </c>
      <c r="C30147" s="38" t="s">
        <v>34528</v>
      </c>
      <c r="D30147" s="38" t="str">
        <f>IFERROR(__xludf.DUMMYFUNCTION("REGEXREPLACE(C30147,""-\d+(.*)|--\d+(.*)"","""")"),"SOREL-EN-VIMEU")</f>
        <v>SOREL-EN-VIMEU</v>
      </c>
      <c r="E30147" s="38" t="s">
        <v>224</v>
      </c>
      <c r="F30147" s="38" t="s">
        <v>113</v>
      </c>
      <c r="G30147" s="49" t="str">
        <f t="shared" si="1"/>
        <v>80490</v>
      </c>
      <c r="H30147" s="49">
        <f t="shared" si="2"/>
        <v>80736</v>
      </c>
    </row>
    <row r="30148">
      <c r="A30148" s="48" t="s">
        <v>1081</v>
      </c>
      <c r="B30148" s="38">
        <v>14764.0</v>
      </c>
      <c r="C30148" s="38" t="s">
        <v>34529</v>
      </c>
      <c r="D30148" s="38" t="str">
        <f>IFERROR(__xludf.DUMMYFUNCTION("REGEXREPLACE(C30148,""-\d+(.*)|--\d+(.*)"","""")"),"PONT-D'OUILLY")</f>
        <v>PONT-D'OUILLY</v>
      </c>
      <c r="E30148" s="38" t="s">
        <v>137</v>
      </c>
      <c r="F30148" s="38" t="s">
        <v>138</v>
      </c>
      <c r="G30148" s="49" t="str">
        <f t="shared" si="1"/>
        <v>14690</v>
      </c>
      <c r="H30148" s="49">
        <f t="shared" si="2"/>
        <v>14764</v>
      </c>
    </row>
    <row r="30149">
      <c r="A30149" s="48" t="s">
        <v>1354</v>
      </c>
      <c r="B30149" s="38">
        <v>28173.0</v>
      </c>
      <c r="C30149" s="38" t="s">
        <v>34530</v>
      </c>
      <c r="D30149" s="38" t="str">
        <f>IFERROR(__xludf.DUMMYFUNCTION("REGEXREPLACE(C30149,""-\d+(.*)|--\d+(.*)"","""")"),"GASVILLE-OISEME")</f>
        <v>GASVILLE-OISEME</v>
      </c>
      <c r="E30149" s="38" t="s">
        <v>300</v>
      </c>
      <c r="F30149" s="38" t="s">
        <v>123</v>
      </c>
      <c r="G30149" s="49" t="str">
        <f t="shared" si="1"/>
        <v>28300</v>
      </c>
      <c r="H30149" s="49">
        <f t="shared" si="2"/>
        <v>28173</v>
      </c>
    </row>
    <row r="30150">
      <c r="A30150" s="48" t="s">
        <v>970</v>
      </c>
      <c r="B30150" s="38">
        <v>2369.0</v>
      </c>
      <c r="C30150" s="38" t="s">
        <v>34531</v>
      </c>
      <c r="D30150" s="38" t="str">
        <f>IFERROR(__xludf.DUMMYFUNCTION("REGEXREPLACE(C30150,""-\d+(.*)|--\d+(.*)"","""")"),"HARCIGNY")</f>
        <v>HARCIGNY</v>
      </c>
      <c r="E30150" s="38" t="s">
        <v>191</v>
      </c>
      <c r="F30150" s="38" t="s">
        <v>113</v>
      </c>
      <c r="G30150" s="49" t="str">
        <f t="shared" si="1"/>
        <v>02140</v>
      </c>
      <c r="H30150" s="49" t="str">
        <f t="shared" si="2"/>
        <v>02369</v>
      </c>
    </row>
    <row r="30151">
      <c r="A30151" s="48" t="s">
        <v>9264</v>
      </c>
      <c r="B30151" s="38">
        <v>32299.0</v>
      </c>
      <c r="C30151" s="38" t="s">
        <v>34532</v>
      </c>
      <c r="D30151" s="38" t="str">
        <f>IFERROR(__xludf.DUMMYFUNCTION("REGEXREPLACE(C30151,""-\d+(.*)|--\d+(.*)"","""")"),"NOULENS")</f>
        <v>NOULENS</v>
      </c>
      <c r="E30151" s="38" t="s">
        <v>440</v>
      </c>
      <c r="F30151" s="38" t="s">
        <v>94</v>
      </c>
      <c r="G30151" s="49" t="str">
        <f t="shared" si="1"/>
        <v>32800</v>
      </c>
      <c r="H30151" s="49">
        <f t="shared" si="2"/>
        <v>32299</v>
      </c>
    </row>
    <row r="30152">
      <c r="A30152" s="48" t="s">
        <v>34533</v>
      </c>
      <c r="B30152" s="38">
        <v>95427.0</v>
      </c>
      <c r="C30152" s="38" t="s">
        <v>34534</v>
      </c>
      <c r="D30152" s="38" t="str">
        <f>IFERROR(__xludf.DUMMYFUNCTION("REGEXREPLACE(C30152,""-\d+(.*)|--\d+(.*)"","""")"),"MONTMAGNY")</f>
        <v>MONTMAGNY</v>
      </c>
      <c r="E30152" s="38" t="s">
        <v>541</v>
      </c>
      <c r="F30152" s="38" t="s">
        <v>245</v>
      </c>
      <c r="G30152" s="49" t="str">
        <f t="shared" si="1"/>
        <v>95360</v>
      </c>
      <c r="H30152" s="49">
        <f t="shared" si="2"/>
        <v>95427</v>
      </c>
    </row>
    <row r="30153">
      <c r="A30153" s="48" t="s">
        <v>6615</v>
      </c>
      <c r="B30153" s="38">
        <v>65224.0</v>
      </c>
      <c r="C30153" s="38" t="s">
        <v>34535</v>
      </c>
      <c r="D30153" s="38" t="str">
        <f>IFERROR(__xludf.DUMMYFUNCTION("REGEXREPLACE(C30153,""-\d+(.*)|--\d+(.*)"","""")"),"HOUEYDETS")</f>
        <v>HOUEYDETS</v>
      </c>
      <c r="E30153" s="38" t="s">
        <v>200</v>
      </c>
      <c r="F30153" s="38" t="s">
        <v>94</v>
      </c>
      <c r="G30153" s="49" t="str">
        <f t="shared" si="1"/>
        <v>65330</v>
      </c>
      <c r="H30153" s="49">
        <f t="shared" si="2"/>
        <v>65224</v>
      </c>
    </row>
    <row r="30154">
      <c r="A30154" s="48" t="s">
        <v>4173</v>
      </c>
      <c r="B30154" s="38">
        <v>25123.0</v>
      </c>
      <c r="C30154" s="38" t="s">
        <v>34536</v>
      </c>
      <c r="D30154" s="38" t="str">
        <f>IFERROR(__xludf.DUMMYFUNCTION("REGEXREPLACE(C30154,""-\d+(.*)|--\d+(.*)"","""")"),"CHARBONNIERES-LES-SAPINS")</f>
        <v>CHARBONNIERES-LES-SAPINS</v>
      </c>
      <c r="E30154" s="38" t="s">
        <v>213</v>
      </c>
      <c r="F30154" s="38" t="s">
        <v>214</v>
      </c>
      <c r="G30154" s="49" t="str">
        <f t="shared" si="1"/>
        <v>25620</v>
      </c>
      <c r="H30154" s="49">
        <f t="shared" si="2"/>
        <v>25123</v>
      </c>
    </row>
    <row r="30155">
      <c r="A30155" s="48" t="s">
        <v>34537</v>
      </c>
      <c r="B30155" s="38">
        <v>33424.0</v>
      </c>
      <c r="C30155" s="38" t="s">
        <v>34538</v>
      </c>
      <c r="D30155" s="38" t="str">
        <f>IFERROR(__xludf.DUMMYFUNCTION("REGEXREPLACE(C30155,""-\d+(.*)|--\d+(.*)"","""")"),"SAINT-LAURENT-MEDOC")</f>
        <v>SAINT-LAURENT-MEDOC</v>
      </c>
      <c r="E30155" s="38" t="s">
        <v>462</v>
      </c>
      <c r="F30155" s="38" t="s">
        <v>252</v>
      </c>
      <c r="G30155" s="49" t="str">
        <f t="shared" si="1"/>
        <v>33112</v>
      </c>
      <c r="H30155" s="49">
        <f t="shared" si="2"/>
        <v>33424</v>
      </c>
    </row>
    <row r="30156">
      <c r="A30156" s="48" t="s">
        <v>2886</v>
      </c>
      <c r="B30156" s="38">
        <v>89115.0</v>
      </c>
      <c r="C30156" s="38" t="s">
        <v>34539</v>
      </c>
      <c r="D30156" s="38" t="str">
        <f>IFERROR(__xludf.DUMMYFUNCTION("REGEXREPLACE(C30156,""-\d+(.*)|--\d+(.*)"","""")"),"COMPIGNY")</f>
        <v>COMPIGNY</v>
      </c>
      <c r="E30156" s="38" t="s">
        <v>275</v>
      </c>
      <c r="F30156" s="38" t="s">
        <v>106</v>
      </c>
      <c r="G30156" s="49" t="str">
        <f t="shared" si="1"/>
        <v>89140</v>
      </c>
      <c r="H30156" s="49">
        <f t="shared" si="2"/>
        <v>89115</v>
      </c>
    </row>
    <row r="30157">
      <c r="A30157" s="48" t="s">
        <v>22242</v>
      </c>
      <c r="B30157" s="38">
        <v>63406.0</v>
      </c>
      <c r="C30157" s="38" t="s">
        <v>34540</v>
      </c>
      <c r="D30157" s="38" t="str">
        <f>IFERROR(__xludf.DUMMYFUNCTION("REGEXREPLACE(C30157,""-\d+(.*)|--\d+(.*)"","""")"),"SARDON")</f>
        <v>SARDON</v>
      </c>
      <c r="E30157" s="38" t="s">
        <v>353</v>
      </c>
      <c r="F30157" s="38" t="s">
        <v>161</v>
      </c>
      <c r="G30157" s="49" t="str">
        <f t="shared" si="1"/>
        <v>63260</v>
      </c>
      <c r="H30157" s="49">
        <f t="shared" si="2"/>
        <v>63406</v>
      </c>
    </row>
    <row r="30158">
      <c r="A30158" s="48" t="s">
        <v>715</v>
      </c>
      <c r="B30158" s="38">
        <v>88001.0</v>
      </c>
      <c r="C30158" s="38" t="s">
        <v>34541</v>
      </c>
      <c r="D30158" s="38" t="str">
        <f>IFERROR(__xludf.DUMMYFUNCTION("REGEXREPLACE(C30158,""-\d+(.*)|--\d+(.*)"","""")"),"LES ABLEUVENETTES")</f>
        <v>LES ABLEUVENETTES</v>
      </c>
      <c r="E30158" s="38" t="s">
        <v>194</v>
      </c>
      <c r="F30158" s="38" t="s">
        <v>195</v>
      </c>
      <c r="G30158" s="49" t="str">
        <f t="shared" si="1"/>
        <v>88270</v>
      </c>
      <c r="H30158" s="49">
        <f t="shared" si="2"/>
        <v>88001</v>
      </c>
    </row>
    <row r="30159">
      <c r="A30159" s="48" t="s">
        <v>3061</v>
      </c>
      <c r="B30159" s="38">
        <v>71233.0</v>
      </c>
      <c r="C30159" s="38" t="s">
        <v>34542</v>
      </c>
      <c r="D30159" s="38" t="str">
        <f>IFERROR(__xludf.DUMMYFUNCTION("REGEXREPLACE(C30159,""-\d+(.*)|--\d+(.*)"","""")"),"L'HOPITAL-LE-MERCIER")</f>
        <v>L'HOPITAL-LE-MERCIER</v>
      </c>
      <c r="E30159" s="38" t="s">
        <v>344</v>
      </c>
      <c r="F30159" s="38" t="s">
        <v>106</v>
      </c>
      <c r="G30159" s="49" t="str">
        <f t="shared" si="1"/>
        <v>71600</v>
      </c>
      <c r="H30159" s="49">
        <f t="shared" si="2"/>
        <v>71233</v>
      </c>
    </row>
    <row r="30160">
      <c r="A30160" s="48" t="s">
        <v>3056</v>
      </c>
      <c r="B30160" s="38">
        <v>24154.0</v>
      </c>
      <c r="C30160" s="38" t="s">
        <v>34543</v>
      </c>
      <c r="D30160" s="38" t="str">
        <f>IFERROR(__xludf.DUMMYFUNCTION("REGEXREPLACE(C30160,""-\d+(.*)|--\d+(.*)"","""")"),"DOUCHAPT")</f>
        <v>DOUCHAPT</v>
      </c>
      <c r="E30160" s="38" t="s">
        <v>261</v>
      </c>
      <c r="F30160" s="38" t="s">
        <v>252</v>
      </c>
      <c r="G30160" s="49" t="str">
        <f t="shared" si="1"/>
        <v>24350</v>
      </c>
      <c r="H30160" s="49">
        <f t="shared" si="2"/>
        <v>24154</v>
      </c>
    </row>
    <row r="30161">
      <c r="A30161" s="48" t="s">
        <v>26164</v>
      </c>
      <c r="B30161" s="38">
        <v>59500.0</v>
      </c>
      <c r="C30161" s="38" t="s">
        <v>34544</v>
      </c>
      <c r="D30161" s="38" t="str">
        <f>IFERROR(__xludf.DUMMYFUNCTION("REGEXREPLACE(C30161,""-\d+(.*)|--\d+(.*)"","""")"),"RIBECOURT-LA-TOUR")</f>
        <v>RIBECOURT-LA-TOUR</v>
      </c>
      <c r="E30161" s="38" t="s">
        <v>85</v>
      </c>
      <c r="F30161" s="38" t="s">
        <v>86</v>
      </c>
      <c r="G30161" s="49" t="str">
        <f t="shared" si="1"/>
        <v>59159</v>
      </c>
      <c r="H30161" s="49">
        <f t="shared" si="2"/>
        <v>59500</v>
      </c>
    </row>
    <row r="30162">
      <c r="A30162" s="48" t="s">
        <v>11336</v>
      </c>
      <c r="B30162" s="38">
        <v>10358.0</v>
      </c>
      <c r="C30162" s="38" t="s">
        <v>34545</v>
      </c>
      <c r="D30162" s="38" t="str">
        <f>IFERROR(__xludf.DUMMYFUNCTION("REGEXREPLACE(C30162,""-\d+(.*)|--\d+(.*)"","""")"),"SAINT-PARRES-LES-VAUDES")</f>
        <v>SAINT-PARRES-LES-VAUDES</v>
      </c>
      <c r="E30162" s="38" t="s">
        <v>147</v>
      </c>
      <c r="F30162" s="38" t="s">
        <v>130</v>
      </c>
      <c r="G30162" s="49" t="str">
        <f t="shared" si="1"/>
        <v>10260</v>
      </c>
      <c r="H30162" s="49">
        <f t="shared" si="2"/>
        <v>10358</v>
      </c>
    </row>
    <row r="30163">
      <c r="A30163" s="48" t="s">
        <v>7119</v>
      </c>
      <c r="B30163" s="38">
        <v>68060.0</v>
      </c>
      <c r="C30163" s="38" t="s">
        <v>34546</v>
      </c>
      <c r="D30163" s="38" t="str">
        <f>IFERROR(__xludf.DUMMYFUNCTION("REGEXREPLACE(C30163,""-\d+(.*)|--\d+(.*)"","""")"),"BURNHAUPT-LE-HAUT")</f>
        <v>BURNHAUPT-LE-HAUT</v>
      </c>
      <c r="E30163" s="38" t="s">
        <v>150</v>
      </c>
      <c r="F30163" s="38" t="s">
        <v>151</v>
      </c>
      <c r="G30163" s="49" t="str">
        <f t="shared" si="1"/>
        <v>68520</v>
      </c>
      <c r="H30163" s="49">
        <f t="shared" si="2"/>
        <v>68060</v>
      </c>
    </row>
    <row r="30164">
      <c r="A30164" s="48" t="s">
        <v>944</v>
      </c>
      <c r="B30164" s="38">
        <v>61321.0</v>
      </c>
      <c r="C30164" s="38" t="s">
        <v>31750</v>
      </c>
      <c r="D30164" s="38" t="str">
        <f>IFERROR(__xludf.DUMMYFUNCTION("REGEXREPLACE(C30164,""-\d+(.*)|--\d+(.*)"","""")"),"PACE")</f>
        <v>PACE</v>
      </c>
      <c r="E30164" s="38" t="s">
        <v>141</v>
      </c>
      <c r="F30164" s="38" t="s">
        <v>138</v>
      </c>
      <c r="G30164" s="49" t="str">
        <f t="shared" si="1"/>
        <v>61250</v>
      </c>
      <c r="H30164" s="49">
        <f t="shared" si="2"/>
        <v>61321</v>
      </c>
    </row>
    <row r="30165">
      <c r="A30165" s="48" t="s">
        <v>3716</v>
      </c>
      <c r="B30165" s="38">
        <v>57567.0</v>
      </c>
      <c r="C30165" s="38" t="s">
        <v>34547</v>
      </c>
      <c r="D30165" s="38" t="str">
        <f>IFERROR(__xludf.DUMMYFUNCTION("REGEXREPLACE(C30165,""-\d+(.*)|--\d+(.*)"","""")"),"REMELFANG")</f>
        <v>REMELFANG</v>
      </c>
      <c r="E30165" s="38" t="s">
        <v>303</v>
      </c>
      <c r="F30165" s="38" t="s">
        <v>195</v>
      </c>
      <c r="G30165" s="49" t="str">
        <f t="shared" si="1"/>
        <v>57320</v>
      </c>
      <c r="H30165" s="49">
        <f t="shared" si="2"/>
        <v>57567</v>
      </c>
    </row>
    <row r="30166">
      <c r="A30166" s="48" t="s">
        <v>12300</v>
      </c>
      <c r="B30166" s="38">
        <v>37162.0</v>
      </c>
      <c r="C30166" s="38" t="s">
        <v>572</v>
      </c>
      <c r="D30166" s="38" t="str">
        <f>IFERROR(__xludf.DUMMYFUNCTION("REGEXREPLACE(C30166,""-\d+(.*)|--\d+(.*)"","""")"),"MOUZAY")</f>
        <v>MOUZAY</v>
      </c>
      <c r="E30166" s="38" t="s">
        <v>205</v>
      </c>
      <c r="F30166" s="38" t="s">
        <v>123</v>
      </c>
      <c r="G30166" s="49" t="str">
        <f t="shared" si="1"/>
        <v>37600</v>
      </c>
      <c r="H30166" s="49">
        <f t="shared" si="2"/>
        <v>37162</v>
      </c>
    </row>
    <row r="30167">
      <c r="A30167" s="48" t="s">
        <v>2457</v>
      </c>
      <c r="B30167" s="38">
        <v>17474.0</v>
      </c>
      <c r="C30167" s="38" t="s">
        <v>34548</v>
      </c>
      <c r="D30167" s="38" t="str">
        <f>IFERROR(__xludf.DUMMYFUNCTION("REGEXREPLACE(C30167,""-\d+(.*)|--\d+(.*)"","""")"),"VILLENEUVE-LA-COMTESSE")</f>
        <v>VILLENEUVE-LA-COMTESSE</v>
      </c>
      <c r="E30167" s="38" t="s">
        <v>488</v>
      </c>
      <c r="F30167" s="38" t="s">
        <v>338</v>
      </c>
      <c r="G30167" s="49" t="str">
        <f t="shared" si="1"/>
        <v>17330</v>
      </c>
      <c r="H30167" s="49">
        <f t="shared" si="2"/>
        <v>17474</v>
      </c>
    </row>
    <row r="30168">
      <c r="A30168" s="48" t="s">
        <v>12245</v>
      </c>
      <c r="B30168" s="38">
        <v>33395.0</v>
      </c>
      <c r="C30168" s="38" t="s">
        <v>24706</v>
      </c>
      <c r="D30168" s="38" t="str">
        <f>IFERROR(__xludf.DUMMYFUNCTION("REGEXREPLACE(C30168,""-\d+(.*)|--\d+(.*)"","""")"),"SAINT-ESTEPHE")</f>
        <v>SAINT-ESTEPHE</v>
      </c>
      <c r="E30168" s="38" t="s">
        <v>462</v>
      </c>
      <c r="F30168" s="38" t="s">
        <v>252</v>
      </c>
      <c r="G30168" s="49" t="str">
        <f t="shared" si="1"/>
        <v>33180</v>
      </c>
      <c r="H30168" s="49">
        <f t="shared" si="2"/>
        <v>33395</v>
      </c>
    </row>
    <row r="30169">
      <c r="A30169" s="48" t="s">
        <v>2920</v>
      </c>
      <c r="B30169" s="38">
        <v>62046.0</v>
      </c>
      <c r="C30169" s="38" t="s">
        <v>34549</v>
      </c>
      <c r="D30169" s="38" t="str">
        <f>IFERROR(__xludf.DUMMYFUNCTION("REGEXREPLACE(C30169,""-\d+(.*)|--\d+(.*)"","""")"),"AUBIN-SAINT-VAAST")</f>
        <v>AUBIN-SAINT-VAAST</v>
      </c>
      <c r="E30169" s="38" t="s">
        <v>109</v>
      </c>
      <c r="F30169" s="38" t="s">
        <v>86</v>
      </c>
      <c r="G30169" s="49" t="str">
        <f t="shared" si="1"/>
        <v>62140</v>
      </c>
      <c r="H30169" s="49">
        <f t="shared" si="2"/>
        <v>62046</v>
      </c>
    </row>
    <row r="30170">
      <c r="A30170" s="48" t="s">
        <v>2540</v>
      </c>
      <c r="B30170" s="38">
        <v>2297.0</v>
      </c>
      <c r="C30170" s="38" t="s">
        <v>17769</v>
      </c>
      <c r="D30170" s="38" t="str">
        <f>IFERROR(__xludf.DUMMYFUNCTION("REGEXREPLACE(C30170,""-\d+(.*)|--\d+(.*)"","""")"),"ETREPILLY")</f>
        <v>ETREPILLY</v>
      </c>
      <c r="E30170" s="38" t="s">
        <v>191</v>
      </c>
      <c r="F30170" s="38" t="s">
        <v>113</v>
      </c>
      <c r="G30170" s="49" t="str">
        <f t="shared" si="1"/>
        <v>02400</v>
      </c>
      <c r="H30170" s="49" t="str">
        <f t="shared" si="2"/>
        <v>02297</v>
      </c>
    </row>
    <row r="30171">
      <c r="A30171" s="48" t="s">
        <v>2558</v>
      </c>
      <c r="B30171" s="38">
        <v>16386.0</v>
      </c>
      <c r="C30171" s="38" t="s">
        <v>34550</v>
      </c>
      <c r="D30171" s="38" t="str">
        <f>IFERROR(__xludf.DUMMYFUNCTION("REGEXREPLACE(C30171,""-\d+(.*)|--\d+(.*)"","""")"),"TOUZAC")</f>
        <v>TOUZAC</v>
      </c>
      <c r="E30171" s="38" t="s">
        <v>429</v>
      </c>
      <c r="F30171" s="38" t="s">
        <v>338</v>
      </c>
      <c r="G30171" s="49" t="str">
        <f t="shared" si="1"/>
        <v>16120</v>
      </c>
      <c r="H30171" s="49">
        <f t="shared" si="2"/>
        <v>16386</v>
      </c>
    </row>
    <row r="30172">
      <c r="A30172" s="48" t="s">
        <v>910</v>
      </c>
      <c r="B30172" s="38">
        <v>32261.0</v>
      </c>
      <c r="C30172" s="38" t="s">
        <v>34551</v>
      </c>
      <c r="D30172" s="38" t="str">
        <f>IFERROR(__xludf.DUMMYFUNCTION("REGEXREPLACE(C30172,""-\d+(.*)|--\d+(.*)"","""")"),"MONBLANC")</f>
        <v>MONBLANC</v>
      </c>
      <c r="E30172" s="38" t="s">
        <v>440</v>
      </c>
      <c r="F30172" s="38" t="s">
        <v>94</v>
      </c>
      <c r="G30172" s="49" t="str">
        <f t="shared" si="1"/>
        <v>32130</v>
      </c>
      <c r="H30172" s="49">
        <f t="shared" si="2"/>
        <v>32261</v>
      </c>
    </row>
    <row r="30173">
      <c r="A30173" s="48" t="s">
        <v>4844</v>
      </c>
      <c r="B30173" s="38">
        <v>14116.0</v>
      </c>
      <c r="C30173" s="38" t="s">
        <v>34552</v>
      </c>
      <c r="D30173" s="38" t="str">
        <f>IFERROR(__xludf.DUMMYFUNCTION("REGEXREPLACE(C30173,""-\d+(.*)|--\d+(.*)"","""")"),"LE BU-SUR-ROUVRES")</f>
        <v>LE BU-SUR-ROUVRES</v>
      </c>
      <c r="E30173" s="38" t="s">
        <v>137</v>
      </c>
      <c r="F30173" s="38" t="s">
        <v>138</v>
      </c>
      <c r="G30173" s="49" t="str">
        <f t="shared" si="1"/>
        <v>14190</v>
      </c>
      <c r="H30173" s="49">
        <f t="shared" si="2"/>
        <v>14116</v>
      </c>
    </row>
    <row r="30174">
      <c r="A30174" s="48" t="s">
        <v>4095</v>
      </c>
      <c r="B30174" s="38">
        <v>23091.0</v>
      </c>
      <c r="C30174" s="38" t="s">
        <v>34553</v>
      </c>
      <c r="D30174" s="38" t="str">
        <f>IFERROR(__xludf.DUMMYFUNCTION("REGEXREPLACE(C30174,""-\d+(.*)|--\d+(.*)"","""")"),"GIOUX")</f>
        <v>GIOUX</v>
      </c>
      <c r="E30174" s="38" t="s">
        <v>97</v>
      </c>
      <c r="F30174" s="38" t="s">
        <v>98</v>
      </c>
      <c r="G30174" s="49" t="str">
        <f t="shared" si="1"/>
        <v>23500</v>
      </c>
      <c r="H30174" s="49">
        <f t="shared" si="2"/>
        <v>23091</v>
      </c>
    </row>
    <row r="30175">
      <c r="A30175" s="48" t="s">
        <v>6542</v>
      </c>
      <c r="B30175" s="38">
        <v>40177.0</v>
      </c>
      <c r="C30175" s="38" t="s">
        <v>34554</v>
      </c>
      <c r="D30175" s="38" t="str">
        <f>IFERROR(__xludf.DUMMYFUNCTION("REGEXREPLACE(C30175,""-\d+(.*)|--\d+(.*)"","""")"),"MAYLIS")</f>
        <v>MAYLIS</v>
      </c>
      <c r="E30175" s="38" t="s">
        <v>281</v>
      </c>
      <c r="F30175" s="38" t="s">
        <v>252</v>
      </c>
      <c r="G30175" s="49" t="str">
        <f t="shared" si="1"/>
        <v>40250</v>
      </c>
      <c r="H30175" s="49">
        <f t="shared" si="2"/>
        <v>40177</v>
      </c>
    </row>
    <row r="30176">
      <c r="A30176" s="48" t="s">
        <v>401</v>
      </c>
      <c r="B30176" s="38">
        <v>24317.0</v>
      </c>
      <c r="C30176" s="38" t="s">
        <v>34555</v>
      </c>
      <c r="D30176" s="38" t="str">
        <f>IFERROR(__xludf.DUMMYFUNCTION("REGEXREPLACE(C30176,""-\d+(.*)|--\d+(.*)"","""")"),"PAULIN")</f>
        <v>PAULIN</v>
      </c>
      <c r="E30176" s="38" t="s">
        <v>261</v>
      </c>
      <c r="F30176" s="38" t="s">
        <v>252</v>
      </c>
      <c r="G30176" s="49" t="str">
        <f t="shared" si="1"/>
        <v>24590</v>
      </c>
      <c r="H30176" s="49">
        <f t="shared" si="2"/>
        <v>24317</v>
      </c>
    </row>
    <row r="30177">
      <c r="A30177" s="48" t="s">
        <v>588</v>
      </c>
      <c r="B30177" s="38">
        <v>14386.0</v>
      </c>
      <c r="C30177" s="38" t="s">
        <v>34556</v>
      </c>
      <c r="D30177" s="38" t="str">
        <f>IFERROR(__xludf.DUMMYFUNCTION("REGEXREPLACE(C30177,""-\d+(.*)|--\d+(.*)"","""")"),"MAGNY-LA-CAMPAGNE")</f>
        <v>MAGNY-LA-CAMPAGNE</v>
      </c>
      <c r="E30177" s="38" t="s">
        <v>137</v>
      </c>
      <c r="F30177" s="38" t="s">
        <v>138</v>
      </c>
      <c r="G30177" s="49" t="str">
        <f t="shared" si="1"/>
        <v>14270</v>
      </c>
      <c r="H30177" s="49">
        <f t="shared" si="2"/>
        <v>14386</v>
      </c>
    </row>
    <row r="30178">
      <c r="A30178" s="48" t="s">
        <v>1721</v>
      </c>
      <c r="B30178" s="38">
        <v>33504.0</v>
      </c>
      <c r="C30178" s="38" t="s">
        <v>34557</v>
      </c>
      <c r="D30178" s="38" t="str">
        <f>IFERROR(__xludf.DUMMYFUNCTION("REGEXREPLACE(C30178,""-\d+(.*)|--\d+(.*)"","""")"),"SAUTERNES")</f>
        <v>SAUTERNES</v>
      </c>
      <c r="E30178" s="38" t="s">
        <v>462</v>
      </c>
      <c r="F30178" s="38" t="s">
        <v>252</v>
      </c>
      <c r="G30178" s="49" t="str">
        <f t="shared" si="1"/>
        <v>33210</v>
      </c>
      <c r="H30178" s="49">
        <f t="shared" si="2"/>
        <v>33504</v>
      </c>
    </row>
    <row r="30179">
      <c r="A30179" s="48" t="s">
        <v>1022</v>
      </c>
      <c r="B30179" s="38">
        <v>2070.0</v>
      </c>
      <c r="C30179" s="38" t="s">
        <v>34558</v>
      </c>
      <c r="D30179" s="38" t="str">
        <f>IFERROR(__xludf.DUMMYFUNCTION("REGEXREPLACE(C30179,""-\d+(.*)|--\d+(.*)"","""")"),"BERNOT")</f>
        <v>BERNOT</v>
      </c>
      <c r="E30179" s="38" t="s">
        <v>191</v>
      </c>
      <c r="F30179" s="38" t="s">
        <v>113</v>
      </c>
      <c r="G30179" s="49" t="str">
        <f t="shared" si="1"/>
        <v>02120</v>
      </c>
      <c r="H30179" s="49" t="str">
        <f t="shared" si="2"/>
        <v>02070</v>
      </c>
    </row>
    <row r="30180">
      <c r="A30180" s="48" t="s">
        <v>18094</v>
      </c>
      <c r="B30180" s="38">
        <v>59303.0</v>
      </c>
      <c r="C30180" s="38" t="s">
        <v>34559</v>
      </c>
      <c r="D30180" s="38" t="str">
        <f>IFERROR(__xludf.DUMMYFUNCTION("REGEXREPLACE(C30180,""-\d+(.*)|--\d+(.*)"","""")"),"HERLIES")</f>
        <v>HERLIES</v>
      </c>
      <c r="E30180" s="38" t="s">
        <v>85</v>
      </c>
      <c r="F30180" s="38" t="s">
        <v>86</v>
      </c>
      <c r="G30180" s="49" t="str">
        <f t="shared" si="1"/>
        <v>59134</v>
      </c>
      <c r="H30180" s="49">
        <f t="shared" si="2"/>
        <v>59303</v>
      </c>
    </row>
    <row r="30181">
      <c r="A30181" s="48" t="s">
        <v>5616</v>
      </c>
      <c r="B30181" s="38">
        <v>71551.0</v>
      </c>
      <c r="C30181" s="38" t="s">
        <v>34560</v>
      </c>
      <c r="D30181" s="38" t="str">
        <f>IFERROR(__xludf.DUMMYFUNCTION("REGEXREPLACE(C30181,""-\d+(.*)|--\d+(.*)"","""")"),"UCHON")</f>
        <v>UCHON</v>
      </c>
      <c r="E30181" s="38" t="s">
        <v>344</v>
      </c>
      <c r="F30181" s="38" t="s">
        <v>106</v>
      </c>
      <c r="G30181" s="49" t="str">
        <f t="shared" si="1"/>
        <v>71190</v>
      </c>
      <c r="H30181" s="49">
        <f t="shared" si="2"/>
        <v>71551</v>
      </c>
    </row>
    <row r="30182">
      <c r="A30182" s="48" t="s">
        <v>2697</v>
      </c>
      <c r="B30182" s="38">
        <v>61294.0</v>
      </c>
      <c r="C30182" s="38" t="s">
        <v>34561</v>
      </c>
      <c r="D30182" s="38" t="str">
        <f>IFERROR(__xludf.DUMMYFUNCTION("REGEXREPLACE(C30182,""-\d+(.*)|--\d+(.*)"","""")"),"MORTREE")</f>
        <v>MORTREE</v>
      </c>
      <c r="E30182" s="38" t="s">
        <v>141</v>
      </c>
      <c r="F30182" s="38" t="s">
        <v>138</v>
      </c>
      <c r="G30182" s="49" t="str">
        <f t="shared" si="1"/>
        <v>61570</v>
      </c>
      <c r="H30182" s="49">
        <f t="shared" si="2"/>
        <v>61294</v>
      </c>
    </row>
    <row r="30183">
      <c r="A30183" s="48" t="s">
        <v>3475</v>
      </c>
      <c r="B30183" s="38">
        <v>35037.0</v>
      </c>
      <c r="C30183" s="38" t="s">
        <v>34562</v>
      </c>
      <c r="D30183" s="38" t="str">
        <f>IFERROR(__xludf.DUMMYFUNCTION("REGEXREPLACE(C30183,""-\d+(.*)|--\d+(.*)"","""")"),"BREAL-SOUS-MONTFORT")</f>
        <v>BREAL-SOUS-MONTFORT</v>
      </c>
      <c r="E30183" s="38" t="s">
        <v>347</v>
      </c>
      <c r="F30183" s="38" t="s">
        <v>90</v>
      </c>
      <c r="G30183" s="49" t="str">
        <f t="shared" si="1"/>
        <v>35310</v>
      </c>
      <c r="H30183" s="49">
        <f t="shared" si="2"/>
        <v>35037</v>
      </c>
    </row>
    <row r="30184">
      <c r="A30184" s="48" t="s">
        <v>1560</v>
      </c>
      <c r="B30184" s="38">
        <v>14260.0</v>
      </c>
      <c r="C30184" s="38" t="s">
        <v>34563</v>
      </c>
      <c r="D30184" s="38" t="str">
        <f>IFERROR(__xludf.DUMMYFUNCTION("REGEXREPLACE(C30184,""-\d+(.*)|--\d+(.*)"","""")"),"FAUGUERNON")</f>
        <v>FAUGUERNON</v>
      </c>
      <c r="E30184" s="38" t="s">
        <v>137</v>
      </c>
      <c r="F30184" s="38" t="s">
        <v>138</v>
      </c>
      <c r="G30184" s="49" t="str">
        <f t="shared" si="1"/>
        <v>14100</v>
      </c>
      <c r="H30184" s="49">
        <f t="shared" si="2"/>
        <v>14260</v>
      </c>
    </row>
    <row r="30185">
      <c r="A30185" s="48" t="s">
        <v>1268</v>
      </c>
      <c r="B30185" s="38">
        <v>8501.0</v>
      </c>
      <c r="C30185" s="38" t="s">
        <v>34564</v>
      </c>
      <c r="D30185" s="38" t="str">
        <f>IFERROR(__xludf.DUMMYFUNCTION("REGEXREPLACE(C30185,""-\d+(.*)|--\d+(.*)"","""")"),"WILLIERS")</f>
        <v>WILLIERS</v>
      </c>
      <c r="E30185" s="38" t="s">
        <v>327</v>
      </c>
      <c r="F30185" s="38" t="s">
        <v>130</v>
      </c>
      <c r="G30185" s="49" t="str">
        <f t="shared" si="1"/>
        <v>08110</v>
      </c>
      <c r="H30185" s="49" t="str">
        <f t="shared" si="2"/>
        <v>08501</v>
      </c>
    </row>
    <row r="30186">
      <c r="A30186" s="48" t="s">
        <v>5648</v>
      </c>
      <c r="B30186" s="38">
        <v>76527.0</v>
      </c>
      <c r="C30186" s="38" t="s">
        <v>12350</v>
      </c>
      <c r="D30186" s="38" t="str">
        <f>IFERROR(__xludf.DUMMYFUNCTION("REGEXREPLACE(C30186,""-\d+(.*)|--\d+(.*)"","""")"),"RICHEMONT")</f>
        <v>RICHEMONT</v>
      </c>
      <c r="E30186" s="38" t="s">
        <v>133</v>
      </c>
      <c r="F30186" s="38" t="s">
        <v>134</v>
      </c>
      <c r="G30186" s="49" t="str">
        <f t="shared" si="1"/>
        <v>76390</v>
      </c>
      <c r="H30186" s="49">
        <f t="shared" si="2"/>
        <v>76527</v>
      </c>
    </row>
    <row r="30187">
      <c r="A30187" s="48" t="s">
        <v>22838</v>
      </c>
      <c r="B30187" s="38">
        <v>25580.0</v>
      </c>
      <c r="C30187" s="38" t="s">
        <v>34565</v>
      </c>
      <c r="D30187" s="38" t="str">
        <f>IFERROR(__xludf.DUMMYFUNCTION("REGEXREPLACE(C30187,""-\d+(.*)|--\d+(.*)"","""")"),"VALENTIGNEY")</f>
        <v>VALENTIGNEY</v>
      </c>
      <c r="E30187" s="38" t="s">
        <v>213</v>
      </c>
      <c r="F30187" s="38" t="s">
        <v>214</v>
      </c>
      <c r="G30187" s="49" t="str">
        <f t="shared" si="1"/>
        <v>25700</v>
      </c>
      <c r="H30187" s="49">
        <f t="shared" si="2"/>
        <v>25580</v>
      </c>
    </row>
    <row r="30188">
      <c r="A30188" s="48" t="s">
        <v>12504</v>
      </c>
      <c r="B30188" s="38">
        <v>44066.0</v>
      </c>
      <c r="C30188" s="38" t="s">
        <v>34566</v>
      </c>
      <c r="D30188" s="38" t="str">
        <f>IFERROR(__xludf.DUMMYFUNCTION("REGEXREPLACE(C30188,""-\d+(.*)|--\d+(.*)"","""")"),"GRANDCHAMPS-DES-FONTAINES")</f>
        <v>GRANDCHAMPS-DES-FONTAINES</v>
      </c>
      <c r="E30188" s="38" t="s">
        <v>759</v>
      </c>
      <c r="F30188" s="38" t="s">
        <v>180</v>
      </c>
      <c r="G30188" s="49" t="str">
        <f t="shared" si="1"/>
        <v>44119</v>
      </c>
      <c r="H30188" s="49">
        <f t="shared" si="2"/>
        <v>44066</v>
      </c>
    </row>
    <row r="30189">
      <c r="A30189" s="48" t="s">
        <v>34567</v>
      </c>
      <c r="B30189" s="38">
        <v>42183.0</v>
      </c>
      <c r="C30189" s="38" t="s">
        <v>34568</v>
      </c>
      <c r="D30189" s="38" t="str">
        <f>IFERROR(__xludf.DUMMYFUNCTION("REGEXREPLACE(C30189,""-\d+(.*)|--\d+(.*)"","""")"),"LA RICAMARIE")</f>
        <v>LA RICAMARIE</v>
      </c>
      <c r="E30189" s="38" t="s">
        <v>166</v>
      </c>
      <c r="F30189" s="38" t="s">
        <v>102</v>
      </c>
      <c r="G30189" s="49" t="str">
        <f t="shared" si="1"/>
        <v>42150</v>
      </c>
      <c r="H30189" s="49">
        <f t="shared" si="2"/>
        <v>42183</v>
      </c>
    </row>
    <row r="30190">
      <c r="A30190" s="48" t="s">
        <v>4270</v>
      </c>
      <c r="B30190" s="38">
        <v>76124.0</v>
      </c>
      <c r="C30190" s="38" t="s">
        <v>34569</v>
      </c>
      <c r="D30190" s="38" t="str">
        <f>IFERROR(__xludf.DUMMYFUNCTION("REGEXREPLACE(C30190,""-\d+(.*)|--\d+(.*)"","""")"),"BOSC-HYONS")</f>
        <v>BOSC-HYONS</v>
      </c>
      <c r="E30190" s="38" t="s">
        <v>133</v>
      </c>
      <c r="F30190" s="38" t="s">
        <v>134</v>
      </c>
      <c r="G30190" s="49" t="str">
        <f t="shared" si="1"/>
        <v>76220</v>
      </c>
      <c r="H30190" s="49">
        <f t="shared" si="2"/>
        <v>76124</v>
      </c>
    </row>
    <row r="30191">
      <c r="A30191" s="48" t="s">
        <v>5761</v>
      </c>
      <c r="B30191" s="38">
        <v>17279.0</v>
      </c>
      <c r="C30191" s="38" t="s">
        <v>31933</v>
      </c>
      <c r="D30191" s="38" t="str">
        <f>IFERROR(__xludf.DUMMYFUNCTION("REGEXREPLACE(C30191,""-\d+(.*)|--\d+(.*)"","""")"),"PLASSAC")</f>
        <v>PLASSAC</v>
      </c>
      <c r="E30191" s="38" t="s">
        <v>488</v>
      </c>
      <c r="F30191" s="38" t="s">
        <v>338</v>
      </c>
      <c r="G30191" s="49" t="str">
        <f t="shared" si="1"/>
        <v>17240</v>
      </c>
      <c r="H30191" s="49">
        <f t="shared" si="2"/>
        <v>17279</v>
      </c>
    </row>
    <row r="30192">
      <c r="A30192" s="48" t="s">
        <v>734</v>
      </c>
      <c r="B30192" s="38">
        <v>54009.0</v>
      </c>
      <c r="C30192" s="38" t="s">
        <v>34570</v>
      </c>
      <c r="D30192" s="38" t="str">
        <f>IFERROR(__xludf.DUMMYFUNCTION("REGEXREPLACE(C30192,""-\d+(.*)|--\d+(.*)"","""")"),"ALLAMONT")</f>
        <v>ALLAMONT</v>
      </c>
      <c r="E30192" s="38" t="s">
        <v>548</v>
      </c>
      <c r="F30192" s="38" t="s">
        <v>195</v>
      </c>
      <c r="G30192" s="49" t="str">
        <f t="shared" si="1"/>
        <v>54800</v>
      </c>
      <c r="H30192" s="49">
        <f t="shared" si="2"/>
        <v>54009</v>
      </c>
    </row>
    <row r="30193">
      <c r="A30193" s="48" t="s">
        <v>31456</v>
      </c>
      <c r="B30193" s="38">
        <v>38362.0</v>
      </c>
      <c r="C30193" s="38" t="s">
        <v>34571</v>
      </c>
      <c r="D30193" s="38" t="str">
        <f>IFERROR(__xludf.DUMMYFUNCTION("REGEXREPLACE(C30193,""-\d+(.*)|--\d+(.*)"","""")"),"SAINT-AUPRE")</f>
        <v>SAINT-AUPRE</v>
      </c>
      <c r="E30193" s="38" t="s">
        <v>101</v>
      </c>
      <c r="F30193" s="38" t="s">
        <v>102</v>
      </c>
      <c r="G30193" s="49" t="str">
        <f t="shared" si="1"/>
        <v>38960</v>
      </c>
      <c r="H30193" s="49">
        <f t="shared" si="2"/>
        <v>38362</v>
      </c>
    </row>
    <row r="30194">
      <c r="A30194" s="48" t="s">
        <v>34572</v>
      </c>
      <c r="B30194" s="38">
        <v>67445.0</v>
      </c>
      <c r="C30194" s="38" t="s">
        <v>34573</v>
      </c>
      <c r="D30194" s="38" t="str">
        <f>IFERROR(__xludf.DUMMYFUNCTION("REGEXREPLACE(C30194,""-\d+(.*)|--\d+(.*)"","""")"),"SCHERWILLER")</f>
        <v>SCHERWILLER</v>
      </c>
      <c r="E30194" s="38" t="s">
        <v>210</v>
      </c>
      <c r="F30194" s="38" t="s">
        <v>151</v>
      </c>
      <c r="G30194" s="49" t="str">
        <f t="shared" si="1"/>
        <v>67750</v>
      </c>
      <c r="H30194" s="49">
        <f t="shared" si="2"/>
        <v>67445</v>
      </c>
    </row>
    <row r="30195">
      <c r="A30195" s="48" t="s">
        <v>4969</v>
      </c>
      <c r="B30195" s="38">
        <v>14446.0</v>
      </c>
      <c r="C30195" s="38" t="s">
        <v>5740</v>
      </c>
      <c r="D30195" s="38" t="str">
        <f>IFERROR(__xludf.DUMMYFUNCTION("REGEXREPLACE(C30195,""-\d+(.*)|--\d+(.*)"","""")"),"MONTIGNY")</f>
        <v>MONTIGNY</v>
      </c>
      <c r="E30195" s="38" t="s">
        <v>137</v>
      </c>
      <c r="F30195" s="38" t="s">
        <v>138</v>
      </c>
      <c r="G30195" s="49" t="str">
        <f t="shared" si="1"/>
        <v>14210</v>
      </c>
      <c r="H30195" s="49">
        <f t="shared" si="2"/>
        <v>14446</v>
      </c>
    </row>
    <row r="30196">
      <c r="A30196" s="48" t="s">
        <v>2318</v>
      </c>
      <c r="B30196" s="38">
        <v>43133.0</v>
      </c>
      <c r="C30196" s="38" t="s">
        <v>8970</v>
      </c>
      <c r="D30196" s="38" t="str">
        <f>IFERROR(__xludf.DUMMYFUNCTION("REGEXREPLACE(C30196,""-\d+(.*)|--\d+(.*)"","""")"),"MERCOEUR")</f>
        <v>MERCOEUR</v>
      </c>
      <c r="E30196" s="38" t="s">
        <v>332</v>
      </c>
      <c r="F30196" s="38" t="s">
        <v>161</v>
      </c>
      <c r="G30196" s="49" t="str">
        <f t="shared" si="1"/>
        <v>43100</v>
      </c>
      <c r="H30196" s="49">
        <f t="shared" si="2"/>
        <v>43133</v>
      </c>
    </row>
    <row r="30197">
      <c r="A30197" s="48" t="s">
        <v>10148</v>
      </c>
      <c r="B30197" s="38">
        <v>59190.0</v>
      </c>
      <c r="C30197" s="38" t="s">
        <v>34574</v>
      </c>
      <c r="D30197" s="38" t="str">
        <f>IFERROR(__xludf.DUMMYFUNCTION("REGEXREPLACE(C30197,""-\d+(.*)|--\d+(.*)"","""")"),"ELESMES")</f>
        <v>ELESMES</v>
      </c>
      <c r="E30197" s="38" t="s">
        <v>85</v>
      </c>
      <c r="F30197" s="38" t="s">
        <v>86</v>
      </c>
      <c r="G30197" s="49" t="str">
        <f t="shared" si="1"/>
        <v>59600</v>
      </c>
      <c r="H30197" s="49">
        <f t="shared" si="2"/>
        <v>59190</v>
      </c>
    </row>
    <row r="30198">
      <c r="A30198" s="48" t="s">
        <v>2650</v>
      </c>
      <c r="B30198" s="38">
        <v>65026.0</v>
      </c>
      <c r="C30198" s="38" t="s">
        <v>34575</v>
      </c>
      <c r="D30198" s="38" t="str">
        <f>IFERROR(__xludf.DUMMYFUNCTION("REGEXREPLACE(C30198,""-\d+(.*)|--\d+(.*)"","""")"),"ARIES-ESPENAN")</f>
        <v>ARIES-ESPENAN</v>
      </c>
      <c r="E30198" s="38" t="s">
        <v>200</v>
      </c>
      <c r="F30198" s="38" t="s">
        <v>94</v>
      </c>
      <c r="G30198" s="49" t="str">
        <f t="shared" si="1"/>
        <v>65230</v>
      </c>
      <c r="H30198" s="49">
        <f t="shared" si="2"/>
        <v>65026</v>
      </c>
    </row>
    <row r="30199">
      <c r="A30199" s="48" t="s">
        <v>580</v>
      </c>
      <c r="B30199" s="38">
        <v>31559.0</v>
      </c>
      <c r="C30199" s="38" t="s">
        <v>34576</v>
      </c>
      <c r="D30199" s="38" t="str">
        <f>IFERROR(__xludf.DUMMYFUNCTION("REGEXREPLACE(C30199,""-\d+(.*)|--\d+(.*)"","""")"),"TREBONS-DE-LUCHON")</f>
        <v>TREBONS-DE-LUCHON</v>
      </c>
      <c r="E30199" s="38" t="s">
        <v>93</v>
      </c>
      <c r="F30199" s="38" t="s">
        <v>94</v>
      </c>
      <c r="G30199" s="49" t="str">
        <f t="shared" si="1"/>
        <v>31110</v>
      </c>
      <c r="H30199" s="49">
        <f t="shared" si="2"/>
        <v>31559</v>
      </c>
    </row>
    <row r="30200">
      <c r="A30200" s="48" t="s">
        <v>4032</v>
      </c>
      <c r="B30200" s="38">
        <v>17256.0</v>
      </c>
      <c r="C30200" s="38" t="s">
        <v>34577</v>
      </c>
      <c r="D30200" s="38" t="str">
        <f>IFERROR(__xludf.DUMMYFUNCTION("REGEXREPLACE(C30200,""-\d+(.*)|--\d+(.*)"","""")"),"NANTILLE")</f>
        <v>NANTILLE</v>
      </c>
      <c r="E30200" s="38" t="s">
        <v>488</v>
      </c>
      <c r="F30200" s="38" t="s">
        <v>338</v>
      </c>
      <c r="G30200" s="49" t="str">
        <f t="shared" si="1"/>
        <v>17770</v>
      </c>
      <c r="H30200" s="49">
        <f t="shared" si="2"/>
        <v>17256</v>
      </c>
    </row>
    <row r="30201">
      <c r="A30201" s="48" t="s">
        <v>5008</v>
      </c>
      <c r="B30201" s="38">
        <v>76299.0</v>
      </c>
      <c r="C30201" s="38" t="s">
        <v>34578</v>
      </c>
      <c r="D30201" s="38" t="str">
        <f>IFERROR(__xludf.DUMMYFUNCTION("REGEXREPLACE(C30201,""-\d+(.*)|--\d+(.*)"","""")"),"GERPONVILLE")</f>
        <v>GERPONVILLE</v>
      </c>
      <c r="E30201" s="38" t="s">
        <v>133</v>
      </c>
      <c r="F30201" s="38" t="s">
        <v>134</v>
      </c>
      <c r="G30201" s="49" t="str">
        <f t="shared" si="1"/>
        <v>76540</v>
      </c>
      <c r="H30201" s="49">
        <f t="shared" si="2"/>
        <v>76299</v>
      </c>
    </row>
    <row r="30202">
      <c r="A30202" s="48" t="s">
        <v>2563</v>
      </c>
      <c r="B30202" s="38">
        <v>76396.0</v>
      </c>
      <c r="C30202" s="38" t="s">
        <v>34579</v>
      </c>
      <c r="D30202" s="38" t="str">
        <f>IFERROR(__xludf.DUMMYFUNCTION("REGEXREPLACE(C30202,""-\d+(.*)|--\d+(.*)"","""")"),"LONGUERUE")</f>
        <v>LONGUERUE</v>
      </c>
      <c r="E30202" s="38" t="s">
        <v>133</v>
      </c>
      <c r="F30202" s="38" t="s">
        <v>134</v>
      </c>
      <c r="G30202" s="49" t="str">
        <f t="shared" si="1"/>
        <v>76750</v>
      </c>
      <c r="H30202" s="49">
        <f t="shared" si="2"/>
        <v>76396</v>
      </c>
    </row>
    <row r="30203">
      <c r="A30203" s="48" t="s">
        <v>2393</v>
      </c>
      <c r="B30203" s="38">
        <v>38033.0</v>
      </c>
      <c r="C30203" s="38" t="s">
        <v>867</v>
      </c>
      <c r="D30203" s="38" t="str">
        <f>IFERROR(__xludf.DUMMYFUNCTION("REGEXREPLACE(C30203,""-\d+(.*)|--\d+(.*)"","""")"),"BEAULIEU")</f>
        <v>BEAULIEU</v>
      </c>
      <c r="E30203" s="38" t="s">
        <v>101</v>
      </c>
      <c r="F30203" s="38" t="s">
        <v>102</v>
      </c>
      <c r="G30203" s="49" t="str">
        <f t="shared" si="1"/>
        <v>38470</v>
      </c>
      <c r="H30203" s="49">
        <f t="shared" si="2"/>
        <v>38033</v>
      </c>
    </row>
    <row r="30204">
      <c r="A30204" s="48" t="s">
        <v>11370</v>
      </c>
      <c r="B30204" s="38">
        <v>26270.0</v>
      </c>
      <c r="C30204" s="38" t="s">
        <v>34580</v>
      </c>
      <c r="D30204" s="38" t="str">
        <f>IFERROR(__xludf.DUMMYFUNCTION("REGEXREPLACE(C30204,""-\d+(.*)|--\d+(.*)"","""")"),"ROCHECHINARD")</f>
        <v>ROCHECHINARD</v>
      </c>
      <c r="E30204" s="38" t="s">
        <v>126</v>
      </c>
      <c r="F30204" s="38" t="s">
        <v>102</v>
      </c>
      <c r="G30204" s="49" t="str">
        <f t="shared" si="1"/>
        <v>26190</v>
      </c>
      <c r="H30204" s="49">
        <f t="shared" si="2"/>
        <v>26270</v>
      </c>
    </row>
    <row r="30205">
      <c r="A30205" s="48" t="s">
        <v>4923</v>
      </c>
      <c r="B30205" s="38">
        <v>61089.0</v>
      </c>
      <c r="C30205" s="38" t="s">
        <v>34581</v>
      </c>
      <c r="D30205" s="38" t="str">
        <f>IFERROR(__xludf.DUMMYFUNCTION("REGEXREPLACE(C30205,""-\d+(.*)|--\d+(.*)"","""")"),"CHAMPOSOULT")</f>
        <v>CHAMPOSOULT</v>
      </c>
      <c r="E30205" s="38" t="s">
        <v>141</v>
      </c>
      <c r="F30205" s="38" t="s">
        <v>138</v>
      </c>
      <c r="G30205" s="49" t="str">
        <f t="shared" si="1"/>
        <v>61120</v>
      </c>
      <c r="H30205" s="49">
        <f t="shared" si="2"/>
        <v>61089</v>
      </c>
    </row>
    <row r="30206">
      <c r="A30206" s="48" t="s">
        <v>5679</v>
      </c>
      <c r="B30206" s="38">
        <v>66165.0</v>
      </c>
      <c r="C30206" s="38" t="s">
        <v>34582</v>
      </c>
      <c r="D30206" s="38" t="str">
        <f>IFERROR(__xludf.DUMMYFUNCTION("REGEXREPLACE(C30206,""-\d+(.*)|--\d+(.*)"","""")"),"RODES")</f>
        <v>RODES</v>
      </c>
      <c r="E30206" s="38" t="s">
        <v>248</v>
      </c>
      <c r="F30206" s="38" t="s">
        <v>119</v>
      </c>
      <c r="G30206" s="49" t="str">
        <f t="shared" si="1"/>
        <v>66320</v>
      </c>
      <c r="H30206" s="49">
        <f t="shared" si="2"/>
        <v>66165</v>
      </c>
    </row>
    <row r="30207">
      <c r="A30207" s="48" t="s">
        <v>34583</v>
      </c>
      <c r="B30207" s="38">
        <v>59378.0</v>
      </c>
      <c r="C30207" s="38" t="s">
        <v>34584</v>
      </c>
      <c r="D30207" s="38" t="str">
        <f>IFERROR(__xludf.DUMMYFUNCTION("REGEXREPLACE(C30207,""-\d+(.*)|--\d+(.*)"","""")"),"MARCQ-EN-BAROEUL")</f>
        <v>MARCQ-EN-BAROEUL</v>
      </c>
      <c r="E30207" s="38" t="s">
        <v>85</v>
      </c>
      <c r="F30207" s="38" t="s">
        <v>86</v>
      </c>
      <c r="G30207" s="49" t="str">
        <f t="shared" si="1"/>
        <v>59700</v>
      </c>
      <c r="H30207" s="49">
        <f t="shared" si="2"/>
        <v>59378</v>
      </c>
    </row>
    <row r="30208">
      <c r="A30208" s="48" t="s">
        <v>2402</v>
      </c>
      <c r="B30208" s="38">
        <v>68087.0</v>
      </c>
      <c r="C30208" s="38" t="s">
        <v>34585</v>
      </c>
      <c r="D30208" s="38" t="str">
        <f>IFERROR(__xludf.DUMMYFUNCTION("REGEXREPLACE(C30208,""-\d+(.*)|--\d+(.*)"","""")"),"FELDBACH")</f>
        <v>FELDBACH</v>
      </c>
      <c r="E30208" s="38" t="s">
        <v>150</v>
      </c>
      <c r="F30208" s="38" t="s">
        <v>151</v>
      </c>
      <c r="G30208" s="49" t="str">
        <f t="shared" si="1"/>
        <v>68640</v>
      </c>
      <c r="H30208" s="49">
        <f t="shared" si="2"/>
        <v>68087</v>
      </c>
    </row>
    <row r="30209">
      <c r="A30209" s="48" t="s">
        <v>2100</v>
      </c>
      <c r="B30209" s="38">
        <v>14111.0</v>
      </c>
      <c r="C30209" s="38" t="s">
        <v>34586</v>
      </c>
      <c r="D30209" s="38" t="str">
        <f>IFERROR(__xludf.DUMMYFUNCTION("REGEXREPLACE(C30209,""-\d+(.*)|--\d+(.*)"","""")"),"BUCEELS")</f>
        <v>BUCEELS</v>
      </c>
      <c r="E30209" s="38" t="s">
        <v>137</v>
      </c>
      <c r="F30209" s="38" t="s">
        <v>138</v>
      </c>
      <c r="G30209" s="49" t="str">
        <f t="shared" si="1"/>
        <v>14250</v>
      </c>
      <c r="H30209" s="49">
        <f t="shared" si="2"/>
        <v>14111</v>
      </c>
    </row>
    <row r="30210">
      <c r="A30210" s="48" t="s">
        <v>10324</v>
      </c>
      <c r="B30210" s="38">
        <v>54203.0</v>
      </c>
      <c r="C30210" s="38" t="s">
        <v>34587</v>
      </c>
      <c r="D30210" s="38" t="str">
        <f>IFERROR(__xludf.DUMMYFUNCTION("REGEXREPLACE(C30210,""-\d+(.*)|--\d+(.*)"","""")"),"FORCELLES-SAINT-GORGON")</f>
        <v>FORCELLES-SAINT-GORGON</v>
      </c>
      <c r="E30210" s="38" t="s">
        <v>548</v>
      </c>
      <c r="F30210" s="38" t="s">
        <v>195</v>
      </c>
      <c r="G30210" s="49" t="str">
        <f t="shared" si="1"/>
        <v>54330</v>
      </c>
      <c r="H30210" s="49">
        <f t="shared" si="2"/>
        <v>54203</v>
      </c>
    </row>
    <row r="30211">
      <c r="A30211" s="48" t="s">
        <v>1562</v>
      </c>
      <c r="B30211" s="38">
        <v>24059.0</v>
      </c>
      <c r="C30211" s="38" t="s">
        <v>34588</v>
      </c>
      <c r="D30211" s="38" t="str">
        <f>IFERROR(__xludf.DUMMYFUNCTION("REGEXREPLACE(C30211,""-\d+(.*)|--\d+(.*)"","""")"),"BOURGNAC")</f>
        <v>BOURGNAC</v>
      </c>
      <c r="E30211" s="38" t="s">
        <v>261</v>
      </c>
      <c r="F30211" s="38" t="s">
        <v>252</v>
      </c>
      <c r="G30211" s="49" t="str">
        <f t="shared" si="1"/>
        <v>24400</v>
      </c>
      <c r="H30211" s="49">
        <f t="shared" si="2"/>
        <v>24059</v>
      </c>
    </row>
    <row r="30212">
      <c r="A30212" s="48" t="s">
        <v>34589</v>
      </c>
      <c r="B30212" s="38">
        <v>14327.0</v>
      </c>
      <c r="C30212" s="38" t="s">
        <v>34590</v>
      </c>
      <c r="D30212" s="38" t="str">
        <f>IFERROR(__xludf.DUMMYFUNCTION("REGEXREPLACE(C30212,""-\d+(.*)|--\d+(.*)"","""")"),"HEROUVILLE-SAINT-CLAIR")</f>
        <v>HEROUVILLE-SAINT-CLAIR</v>
      </c>
      <c r="E30212" s="38" t="s">
        <v>137</v>
      </c>
      <c r="F30212" s="38" t="s">
        <v>138</v>
      </c>
      <c r="G30212" s="49" t="str">
        <f t="shared" si="1"/>
        <v>14200</v>
      </c>
      <c r="H30212" s="49">
        <f t="shared" si="2"/>
        <v>14327</v>
      </c>
    </row>
    <row r="30213">
      <c r="A30213" s="48" t="s">
        <v>618</v>
      </c>
      <c r="B30213" s="38">
        <v>54545.0</v>
      </c>
      <c r="C30213" s="38" t="s">
        <v>34591</v>
      </c>
      <c r="D30213" s="38" t="str">
        <f>IFERROR(__xludf.DUMMYFUNCTION("REGEXREPLACE(C30213,""-\d+(.*)|--\d+(.*)"","""")"),"VANDELEVILLE")</f>
        <v>VANDELEVILLE</v>
      </c>
      <c r="E30213" s="38" t="s">
        <v>548</v>
      </c>
      <c r="F30213" s="38" t="s">
        <v>195</v>
      </c>
      <c r="G30213" s="49" t="str">
        <f t="shared" si="1"/>
        <v>54115</v>
      </c>
      <c r="H30213" s="49">
        <f t="shared" si="2"/>
        <v>54545</v>
      </c>
    </row>
    <row r="30214">
      <c r="A30214" s="48" t="s">
        <v>826</v>
      </c>
      <c r="B30214" s="38">
        <v>21534.0</v>
      </c>
      <c r="C30214" s="38" t="s">
        <v>34592</v>
      </c>
      <c r="D30214" s="38" t="str">
        <f>IFERROR(__xludf.DUMMYFUNCTION("REGEXREPLACE(C30214,""-\d+(.*)|--\d+(.*)"","""")"),"RUFFEY-LES-BEAUNE")</f>
        <v>RUFFEY-LES-BEAUNE</v>
      </c>
      <c r="E30214" s="38" t="s">
        <v>105</v>
      </c>
      <c r="F30214" s="38" t="s">
        <v>106</v>
      </c>
      <c r="G30214" s="49" t="str">
        <f t="shared" si="1"/>
        <v>21200</v>
      </c>
      <c r="H30214" s="49">
        <f t="shared" si="2"/>
        <v>21534</v>
      </c>
    </row>
    <row r="30215">
      <c r="A30215" s="48" t="s">
        <v>1794</v>
      </c>
      <c r="B30215" s="38">
        <v>64097.0</v>
      </c>
      <c r="C30215" s="38" t="s">
        <v>34593</v>
      </c>
      <c r="D30215" s="38" t="str">
        <f>IFERROR(__xludf.DUMMYFUNCTION("REGEXREPLACE(C30215,""-\d+(.*)|--\d+(.*)"","""")"),"BARZUN")</f>
        <v>BARZUN</v>
      </c>
      <c r="E30215" s="38" t="s">
        <v>268</v>
      </c>
      <c r="F30215" s="38" t="s">
        <v>252</v>
      </c>
      <c r="G30215" s="49" t="str">
        <f t="shared" si="1"/>
        <v>64530</v>
      </c>
      <c r="H30215" s="49">
        <f t="shared" si="2"/>
        <v>64097</v>
      </c>
    </row>
    <row r="30216">
      <c r="A30216" s="48" t="s">
        <v>16775</v>
      </c>
      <c r="B30216" s="38">
        <v>2459.0</v>
      </c>
      <c r="C30216" s="38" t="s">
        <v>11924</v>
      </c>
      <c r="D30216" s="38" t="str">
        <f>IFERROR(__xludf.DUMMYFUNCTION("REGEXREPLACE(C30216,""-\d+(.*)|--\d+(.*)"","""")"),"MARCY")</f>
        <v>MARCY</v>
      </c>
      <c r="E30216" s="38" t="s">
        <v>191</v>
      </c>
      <c r="F30216" s="38" t="s">
        <v>113</v>
      </c>
      <c r="G30216" s="49" t="str">
        <f t="shared" si="1"/>
        <v>02720</v>
      </c>
      <c r="H30216" s="49" t="str">
        <f t="shared" si="2"/>
        <v>02459</v>
      </c>
    </row>
    <row r="30217">
      <c r="A30217" s="48" t="s">
        <v>4665</v>
      </c>
      <c r="B30217" s="38">
        <v>16234.0</v>
      </c>
      <c r="C30217" s="38" t="s">
        <v>34594</v>
      </c>
      <c r="D30217" s="38" t="str">
        <f>IFERROR(__xludf.DUMMYFUNCTION("REGEXREPLACE(C30217,""-\d+(.*)|--\d+(.*)"","""")"),"MOULIDARS")</f>
        <v>MOULIDARS</v>
      </c>
      <c r="E30217" s="38" t="s">
        <v>429</v>
      </c>
      <c r="F30217" s="38" t="s">
        <v>338</v>
      </c>
      <c r="G30217" s="49" t="str">
        <f t="shared" si="1"/>
        <v>16290</v>
      </c>
      <c r="H30217" s="49">
        <f t="shared" si="2"/>
        <v>16234</v>
      </c>
    </row>
    <row r="30218">
      <c r="A30218" s="48" t="s">
        <v>6628</v>
      </c>
      <c r="B30218" s="38">
        <v>1290.0</v>
      </c>
      <c r="C30218" s="38" t="s">
        <v>34595</v>
      </c>
      <c r="D30218" s="38" t="str">
        <f>IFERROR(__xludf.DUMMYFUNCTION("REGEXREPLACE(C30218,""-\d+(.*)|--\d+(.*)"","""")"),"PEROUGES")</f>
        <v>PEROUGES</v>
      </c>
      <c r="E30218" s="38" t="s">
        <v>255</v>
      </c>
      <c r="F30218" s="38" t="s">
        <v>102</v>
      </c>
      <c r="G30218" s="49" t="str">
        <f t="shared" si="1"/>
        <v>01800</v>
      </c>
      <c r="H30218" s="49" t="str">
        <f t="shared" si="2"/>
        <v>01290</v>
      </c>
    </row>
    <row r="30219">
      <c r="A30219" s="48" t="s">
        <v>6951</v>
      </c>
      <c r="B30219" s="38">
        <v>58292.0</v>
      </c>
      <c r="C30219" s="38" t="s">
        <v>34596</v>
      </c>
      <c r="D30219" s="38" t="str">
        <f>IFERROR(__xludf.DUMMYFUNCTION("REGEXREPLACE(C30219,""-\d+(.*)|--\d+(.*)"","""")"),"TINTURY")</f>
        <v>TINTURY</v>
      </c>
      <c r="E30219" s="38" t="s">
        <v>219</v>
      </c>
      <c r="F30219" s="38" t="s">
        <v>106</v>
      </c>
      <c r="G30219" s="49" t="str">
        <f t="shared" si="1"/>
        <v>58110</v>
      </c>
      <c r="H30219" s="49">
        <f t="shared" si="2"/>
        <v>58292</v>
      </c>
    </row>
    <row r="30220">
      <c r="A30220" s="48" t="s">
        <v>27032</v>
      </c>
      <c r="B30220" s="38">
        <v>63037.0</v>
      </c>
      <c r="C30220" s="38" t="s">
        <v>34597</v>
      </c>
      <c r="D30220" s="38" t="str">
        <f>IFERROR(__xludf.DUMMYFUNCTION("REGEXREPLACE(C30220,""-\d+(.*)|--\d+(.*)"","""")"),"BERTIGNAT")</f>
        <v>BERTIGNAT</v>
      </c>
      <c r="E30220" s="38" t="s">
        <v>353</v>
      </c>
      <c r="F30220" s="38" t="s">
        <v>161</v>
      </c>
      <c r="G30220" s="49" t="str">
        <f t="shared" si="1"/>
        <v>63480</v>
      </c>
      <c r="H30220" s="49">
        <f t="shared" si="2"/>
        <v>63037</v>
      </c>
    </row>
    <row r="30221">
      <c r="A30221" s="48" t="s">
        <v>17500</v>
      </c>
      <c r="B30221" s="38">
        <v>9128.0</v>
      </c>
      <c r="C30221" s="38" t="s">
        <v>7644</v>
      </c>
      <c r="D30221" s="38" t="str">
        <f>IFERROR(__xludf.DUMMYFUNCTION("REGEXREPLACE(C30221,""-\d+(.*)|--\d+(.*)"","""")"),"GAJAN")</f>
        <v>GAJAN</v>
      </c>
      <c r="E30221" s="38" t="s">
        <v>238</v>
      </c>
      <c r="F30221" s="38" t="s">
        <v>94</v>
      </c>
      <c r="G30221" s="49" t="str">
        <f t="shared" si="1"/>
        <v>09190</v>
      </c>
      <c r="H30221" s="49" t="str">
        <f t="shared" si="2"/>
        <v>09128</v>
      </c>
    </row>
    <row r="30222">
      <c r="A30222" s="48" t="s">
        <v>29938</v>
      </c>
      <c r="B30222" s="38">
        <v>60408.0</v>
      </c>
      <c r="C30222" s="38" t="s">
        <v>34598</v>
      </c>
      <c r="D30222" s="38" t="str">
        <f>IFERROR(__xludf.DUMMYFUNCTION("REGEXREPLACE(C30222,""-\d+(.*)|--\d+(.*)"","""")"),"MONCHY-HUMIERES")</f>
        <v>MONCHY-HUMIERES</v>
      </c>
      <c r="E30222" s="38" t="s">
        <v>112</v>
      </c>
      <c r="F30222" s="38" t="s">
        <v>113</v>
      </c>
      <c r="G30222" s="49" t="str">
        <f t="shared" si="1"/>
        <v>60113</v>
      </c>
      <c r="H30222" s="49">
        <f t="shared" si="2"/>
        <v>60408</v>
      </c>
    </row>
    <row r="30223">
      <c r="A30223" s="48" t="s">
        <v>201</v>
      </c>
      <c r="B30223" s="38">
        <v>2454.0</v>
      </c>
      <c r="C30223" s="38" t="s">
        <v>34599</v>
      </c>
      <c r="D30223" s="38" t="str">
        <f>IFERROR(__xludf.DUMMYFUNCTION("REGEXREPLACE(C30223,""-\d+(.*)|--\d+(.*)"","""")"),"LA MALMAISON")</f>
        <v>LA MALMAISON</v>
      </c>
      <c r="E30223" s="38" t="s">
        <v>191</v>
      </c>
      <c r="F30223" s="38" t="s">
        <v>113</v>
      </c>
      <c r="G30223" s="49" t="str">
        <f t="shared" si="1"/>
        <v>02190</v>
      </c>
      <c r="H30223" s="49" t="str">
        <f t="shared" si="2"/>
        <v>02454</v>
      </c>
    </row>
    <row r="30224">
      <c r="A30224" s="48" t="s">
        <v>2683</v>
      </c>
      <c r="B30224" s="38">
        <v>81034.0</v>
      </c>
      <c r="C30224" s="38" t="s">
        <v>34600</v>
      </c>
      <c r="D30224" s="38" t="str">
        <f>IFERROR(__xludf.DUMMYFUNCTION("REGEXREPLACE(C30224,""-\d+(.*)|--\d+(.*)"","""")"),"BOISSEZON")</f>
        <v>BOISSEZON</v>
      </c>
      <c r="E30224" s="38" t="s">
        <v>231</v>
      </c>
      <c r="F30224" s="38" t="s">
        <v>94</v>
      </c>
      <c r="G30224" s="49" t="str">
        <f t="shared" si="1"/>
        <v>81490</v>
      </c>
      <c r="H30224" s="49">
        <f t="shared" si="2"/>
        <v>81034</v>
      </c>
    </row>
    <row r="30225">
      <c r="A30225" s="48" t="s">
        <v>11099</v>
      </c>
      <c r="B30225" s="38">
        <v>1167.0</v>
      </c>
      <c r="C30225" s="38" t="s">
        <v>34601</v>
      </c>
      <c r="D30225" s="38" t="str">
        <f>IFERROR(__xludf.DUMMYFUNCTION("REGEXREPLACE(C30225,""-\d+(.*)|--\d+(.*)"","""")"),"GARNERANS")</f>
        <v>GARNERANS</v>
      </c>
      <c r="E30225" s="38" t="s">
        <v>255</v>
      </c>
      <c r="F30225" s="38" t="s">
        <v>102</v>
      </c>
      <c r="G30225" s="49" t="str">
        <f t="shared" si="1"/>
        <v>01140</v>
      </c>
      <c r="H30225" s="49" t="str">
        <f t="shared" si="2"/>
        <v>01167</v>
      </c>
    </row>
    <row r="30226">
      <c r="A30226" s="48" t="s">
        <v>3430</v>
      </c>
      <c r="B30226" s="38">
        <v>84126.0</v>
      </c>
      <c r="C30226" s="38" t="s">
        <v>34602</v>
      </c>
      <c r="D30226" s="38" t="str">
        <f>IFERROR(__xludf.DUMMYFUNCTION("REGEXREPLACE(C30226,""-\d+(.*)|--\d+(.*)"","""")"),"SEGURET")</f>
        <v>SEGURET</v>
      </c>
      <c r="E30226" s="38" t="s">
        <v>1026</v>
      </c>
      <c r="F30226" s="38" t="s">
        <v>228</v>
      </c>
      <c r="G30226" s="49" t="str">
        <f t="shared" si="1"/>
        <v>84110</v>
      </c>
      <c r="H30226" s="49">
        <f t="shared" si="2"/>
        <v>84126</v>
      </c>
    </row>
    <row r="30227">
      <c r="A30227" s="48" t="s">
        <v>18194</v>
      </c>
      <c r="B30227" s="38">
        <v>36009.0</v>
      </c>
      <c r="C30227" s="38" t="s">
        <v>34603</v>
      </c>
      <c r="D30227" s="38" t="str">
        <f>IFERROR(__xludf.DUMMYFUNCTION("REGEXREPLACE(C30227,""-\d+(.*)|--\d+(.*)"","""")"),"ARTHON")</f>
        <v>ARTHON</v>
      </c>
      <c r="E30227" s="38" t="s">
        <v>258</v>
      </c>
      <c r="F30227" s="38" t="s">
        <v>123</v>
      </c>
      <c r="G30227" s="49" t="str">
        <f t="shared" si="1"/>
        <v>36330</v>
      </c>
      <c r="H30227" s="49">
        <f t="shared" si="2"/>
        <v>36009</v>
      </c>
    </row>
    <row r="30228">
      <c r="A30228" s="48" t="s">
        <v>771</v>
      </c>
      <c r="B30228" s="38">
        <v>60292.0</v>
      </c>
      <c r="C30228" s="38" t="s">
        <v>34604</v>
      </c>
      <c r="D30228" s="38" t="str">
        <f>IFERROR(__xludf.DUMMYFUNCTION("REGEXREPLACE(C30228,""-\d+(.*)|--\d+(.*)"","""")"),"GURY")</f>
        <v>GURY</v>
      </c>
      <c r="E30228" s="38" t="s">
        <v>112</v>
      </c>
      <c r="F30228" s="38" t="s">
        <v>113</v>
      </c>
      <c r="G30228" s="49" t="str">
        <f t="shared" si="1"/>
        <v>60310</v>
      </c>
      <c r="H30228" s="49">
        <f t="shared" si="2"/>
        <v>60292</v>
      </c>
    </row>
    <row r="30229">
      <c r="A30229" s="48" t="s">
        <v>9021</v>
      </c>
      <c r="B30229" s="38">
        <v>88461.0</v>
      </c>
      <c r="C30229" s="38" t="s">
        <v>34605</v>
      </c>
      <c r="D30229" s="38" t="str">
        <f>IFERROR(__xludf.DUMMYFUNCTION("REGEXREPLACE(C30229,""-\d+(.*)|--\d+(.*)"","""")"),"SURIAUVILLE")</f>
        <v>SURIAUVILLE</v>
      </c>
      <c r="E30229" s="38" t="s">
        <v>194</v>
      </c>
      <c r="F30229" s="38" t="s">
        <v>195</v>
      </c>
      <c r="G30229" s="49" t="str">
        <f t="shared" si="1"/>
        <v>88140</v>
      </c>
      <c r="H30229" s="49">
        <f t="shared" si="2"/>
        <v>88461</v>
      </c>
    </row>
    <row r="30230">
      <c r="A30230" s="48" t="s">
        <v>1690</v>
      </c>
      <c r="B30230" s="38">
        <v>53230.0</v>
      </c>
      <c r="C30230" s="38" t="s">
        <v>34606</v>
      </c>
      <c r="D30230" s="38" t="str">
        <f>IFERROR(__xludf.DUMMYFUNCTION("REGEXREPLACE(C30230,""-\d+(.*)|--\d+(.*)"","""")"),"SAINT-JULIEN-DU-TERROUX")</f>
        <v>SAINT-JULIEN-DU-TERROUX</v>
      </c>
      <c r="E30230" s="38" t="s">
        <v>518</v>
      </c>
      <c r="F30230" s="38" t="s">
        <v>180</v>
      </c>
      <c r="G30230" s="49" t="str">
        <f t="shared" si="1"/>
        <v>53110</v>
      </c>
      <c r="H30230" s="49">
        <f t="shared" si="2"/>
        <v>53230</v>
      </c>
    </row>
    <row r="30231">
      <c r="A30231" s="48" t="s">
        <v>9965</v>
      </c>
      <c r="B30231" s="38">
        <v>19095.0</v>
      </c>
      <c r="C30231" s="38" t="s">
        <v>34607</v>
      </c>
      <c r="D30231" s="38" t="str">
        <f>IFERROR(__xludf.DUMMYFUNCTION("REGEXREPLACE(C30231,""-\d+(.*)|--\d+(.*)"","""")"),"LACELLE")</f>
        <v>LACELLE</v>
      </c>
      <c r="E30231" s="38" t="s">
        <v>271</v>
      </c>
      <c r="F30231" s="38" t="s">
        <v>98</v>
      </c>
      <c r="G30231" s="49" t="str">
        <f t="shared" si="1"/>
        <v>19170</v>
      </c>
      <c r="H30231" s="49">
        <f t="shared" si="2"/>
        <v>19095</v>
      </c>
    </row>
    <row r="30232">
      <c r="A30232" s="48" t="s">
        <v>1697</v>
      </c>
      <c r="B30232" s="38">
        <v>39420.0</v>
      </c>
      <c r="C30232" s="38" t="s">
        <v>34608</v>
      </c>
      <c r="D30232" s="38" t="str">
        <f>IFERROR(__xludf.DUMMYFUNCTION("REGEXREPLACE(C30232,""-\d+(.*)|--\d+(.*)"","""")"),"PIMORIN")</f>
        <v>PIMORIN</v>
      </c>
      <c r="E30232" s="38" t="s">
        <v>400</v>
      </c>
      <c r="F30232" s="38" t="s">
        <v>214</v>
      </c>
      <c r="G30232" s="49" t="str">
        <f t="shared" si="1"/>
        <v>39270</v>
      </c>
      <c r="H30232" s="49">
        <f t="shared" si="2"/>
        <v>39420</v>
      </c>
    </row>
    <row r="30233">
      <c r="A30233" s="48" t="s">
        <v>110</v>
      </c>
      <c r="B30233" s="38">
        <v>60644.0</v>
      </c>
      <c r="C30233" s="38" t="s">
        <v>34609</v>
      </c>
      <c r="D30233" s="38" t="str">
        <f>IFERROR(__xludf.DUMMYFUNCTION("REGEXREPLACE(C30233,""-\d+(.*)|--\d+(.*)"","""")"),"TRIE-CHATEAU")</f>
        <v>TRIE-CHATEAU</v>
      </c>
      <c r="E30233" s="38" t="s">
        <v>112</v>
      </c>
      <c r="F30233" s="38" t="s">
        <v>113</v>
      </c>
      <c r="G30233" s="49" t="str">
        <f t="shared" si="1"/>
        <v>60590</v>
      </c>
      <c r="H30233" s="49">
        <f t="shared" si="2"/>
        <v>60644</v>
      </c>
    </row>
    <row r="30234">
      <c r="A30234" s="48" t="s">
        <v>3763</v>
      </c>
      <c r="B30234" s="38">
        <v>76096.0</v>
      </c>
      <c r="C30234" s="38" t="s">
        <v>34610</v>
      </c>
      <c r="D30234" s="38" t="str">
        <f>IFERROR(__xludf.DUMMYFUNCTION("REGEXREPLACE(C30234,""-\d+(.*)|--\d+(.*)"","""")"),"BIVILLE-LA-BAIGNARDE")</f>
        <v>BIVILLE-LA-BAIGNARDE</v>
      </c>
      <c r="E30234" s="38" t="s">
        <v>133</v>
      </c>
      <c r="F30234" s="38" t="s">
        <v>134</v>
      </c>
      <c r="G30234" s="49" t="str">
        <f t="shared" si="1"/>
        <v>76890</v>
      </c>
      <c r="H30234" s="49">
        <f t="shared" si="2"/>
        <v>76096</v>
      </c>
    </row>
    <row r="30235">
      <c r="A30235" s="48" t="s">
        <v>900</v>
      </c>
      <c r="B30235" s="38">
        <v>12184.0</v>
      </c>
      <c r="C30235" s="38" t="s">
        <v>34611</v>
      </c>
      <c r="D30235" s="38" t="str">
        <f>IFERROR(__xludf.DUMMYFUNCTION("REGEXREPLACE(C30235,""-\d+(.*)|--\d+(.*)"","""")"),"POMAYROLS")</f>
        <v>POMAYROLS</v>
      </c>
      <c r="E30235" s="38" t="s">
        <v>465</v>
      </c>
      <c r="F30235" s="38" t="s">
        <v>94</v>
      </c>
      <c r="G30235" s="49" t="str">
        <f t="shared" si="1"/>
        <v>12130</v>
      </c>
      <c r="H30235" s="49">
        <f t="shared" si="2"/>
        <v>12184</v>
      </c>
    </row>
    <row r="30236">
      <c r="A30236" s="48" t="s">
        <v>1473</v>
      </c>
      <c r="B30236" s="38">
        <v>50062.0</v>
      </c>
      <c r="C30236" s="38" t="s">
        <v>34612</v>
      </c>
      <c r="D30236" s="38" t="str">
        <f>IFERROR(__xludf.DUMMYFUNCTION("REGEXREPLACE(C30236,""-\d+(.*)|--\d+(.*)"","""")"),"BOISYVON")</f>
        <v>BOISYVON</v>
      </c>
      <c r="E30236" s="38" t="s">
        <v>157</v>
      </c>
      <c r="F30236" s="38" t="s">
        <v>138</v>
      </c>
      <c r="G30236" s="49" t="str">
        <f t="shared" si="1"/>
        <v>50800</v>
      </c>
      <c r="H30236" s="49">
        <f t="shared" si="2"/>
        <v>50062</v>
      </c>
    </row>
    <row r="30237">
      <c r="A30237" s="48" t="s">
        <v>3990</v>
      </c>
      <c r="B30237" s="38">
        <v>2308.0</v>
      </c>
      <c r="C30237" s="38" t="s">
        <v>34613</v>
      </c>
      <c r="D30237" s="38" t="str">
        <f>IFERROR(__xludf.DUMMYFUNCTION("REGEXREPLACE(C30237,""-\d+(.*)|--\d+(.*)"","""")"),"FESMY-LE-SART")</f>
        <v>FESMY-LE-SART</v>
      </c>
      <c r="E30237" s="38" t="s">
        <v>191</v>
      </c>
      <c r="F30237" s="38" t="s">
        <v>113</v>
      </c>
      <c r="G30237" s="49" t="str">
        <f t="shared" si="1"/>
        <v>02450</v>
      </c>
      <c r="H30237" s="49" t="str">
        <f t="shared" si="2"/>
        <v>02308</v>
      </c>
    </row>
    <row r="30238">
      <c r="A30238" s="48" t="s">
        <v>5584</v>
      </c>
      <c r="B30238" s="38">
        <v>41244.0</v>
      </c>
      <c r="C30238" s="38" t="s">
        <v>34614</v>
      </c>
      <c r="D30238" s="38" t="str">
        <f>IFERROR(__xludf.DUMMYFUNCTION("REGEXREPLACE(C30238,""-\d+(.*)|--\d+(.*)"","""")"),"SEMERVILLE")</f>
        <v>SEMERVILLE</v>
      </c>
      <c r="E30238" s="38" t="s">
        <v>188</v>
      </c>
      <c r="F30238" s="38" t="s">
        <v>123</v>
      </c>
      <c r="G30238" s="49" t="str">
        <f t="shared" si="1"/>
        <v>41160</v>
      </c>
      <c r="H30238" s="49">
        <f t="shared" si="2"/>
        <v>41244</v>
      </c>
    </row>
    <row r="30239">
      <c r="A30239" s="48" t="s">
        <v>3488</v>
      </c>
      <c r="B30239" s="38">
        <v>67005.0</v>
      </c>
      <c r="C30239" s="38" t="s">
        <v>34615</v>
      </c>
      <c r="D30239" s="38" t="str">
        <f>IFERROR(__xludf.DUMMYFUNCTION("REGEXREPLACE(C30239,""-\d+(.*)|--\d+(.*)"","""")"),"ALTECKENDORF")</f>
        <v>ALTECKENDORF</v>
      </c>
      <c r="E30239" s="38" t="s">
        <v>210</v>
      </c>
      <c r="F30239" s="38" t="s">
        <v>151</v>
      </c>
      <c r="G30239" s="49" t="str">
        <f t="shared" si="1"/>
        <v>67270</v>
      </c>
      <c r="H30239" s="49">
        <f t="shared" si="2"/>
        <v>67005</v>
      </c>
    </row>
    <row r="30240">
      <c r="A30240" s="48" t="s">
        <v>10646</v>
      </c>
      <c r="B30240" s="38">
        <v>23217.0</v>
      </c>
      <c r="C30240" s="38" t="s">
        <v>34616</v>
      </c>
      <c r="D30240" s="38" t="str">
        <f>IFERROR(__xludf.DUMMYFUNCTION("REGEXREPLACE(C30240,""-\d+(.*)|--\d+(.*)"","""")"),"SAINT-MARTIN-SAINTE-CATHERINE")</f>
        <v>SAINT-MARTIN-SAINTE-CATHERINE</v>
      </c>
      <c r="E30240" s="38" t="s">
        <v>97</v>
      </c>
      <c r="F30240" s="38" t="s">
        <v>98</v>
      </c>
      <c r="G30240" s="49" t="str">
        <f t="shared" si="1"/>
        <v>23430</v>
      </c>
      <c r="H30240" s="49">
        <f t="shared" si="2"/>
        <v>23217</v>
      </c>
    </row>
    <row r="30241">
      <c r="A30241" s="48" t="s">
        <v>6235</v>
      </c>
      <c r="B30241" s="38">
        <v>49336.0</v>
      </c>
      <c r="C30241" s="38" t="s">
        <v>34617</v>
      </c>
      <c r="D30241" s="38" t="str">
        <f>IFERROR(__xludf.DUMMYFUNCTION("REGEXREPLACE(C30241,""-\d+(.*)|--\d+(.*)"","""")"),"SOMLOIRE")</f>
        <v>SOMLOIRE</v>
      </c>
      <c r="E30241" s="38" t="s">
        <v>653</v>
      </c>
      <c r="F30241" s="38" t="s">
        <v>180</v>
      </c>
      <c r="G30241" s="49" t="str">
        <f t="shared" si="1"/>
        <v>49360</v>
      </c>
      <c r="H30241" s="49">
        <f t="shared" si="2"/>
        <v>49336</v>
      </c>
    </row>
    <row r="30242">
      <c r="A30242" s="48" t="s">
        <v>34618</v>
      </c>
      <c r="B30242" s="38">
        <v>26313.0</v>
      </c>
      <c r="C30242" s="38" t="s">
        <v>34619</v>
      </c>
      <c r="D30242" s="38" t="str">
        <f>IFERROR(__xludf.DUMMYFUNCTION("REGEXREPLACE(C30242,""-\d+(.*)|--\d+(.*)"","""")"),"SAINT-MARCEL-LES-VALENCE")</f>
        <v>SAINT-MARCEL-LES-VALENCE</v>
      </c>
      <c r="E30242" s="38" t="s">
        <v>126</v>
      </c>
      <c r="F30242" s="38" t="s">
        <v>102</v>
      </c>
      <c r="G30242" s="49" t="str">
        <f t="shared" si="1"/>
        <v>26320</v>
      </c>
      <c r="H30242" s="49">
        <f t="shared" si="2"/>
        <v>26313</v>
      </c>
    </row>
    <row r="30243">
      <c r="A30243" s="48" t="s">
        <v>12550</v>
      </c>
      <c r="B30243" s="38">
        <v>22228.0</v>
      </c>
      <c r="C30243" s="38" t="s">
        <v>34620</v>
      </c>
      <c r="D30243" s="38" t="str">
        <f>IFERROR(__xludf.DUMMYFUNCTION("REGEXREPLACE(C30243,""-\d+(.*)|--\d+(.*)"","""")"),"PLOUNEVEZ-MOEDEC")</f>
        <v>PLOUNEVEZ-MOEDEC</v>
      </c>
      <c r="E30243" s="38" t="s">
        <v>89</v>
      </c>
      <c r="F30243" s="38" t="s">
        <v>90</v>
      </c>
      <c r="G30243" s="49" t="str">
        <f t="shared" si="1"/>
        <v>22810</v>
      </c>
      <c r="H30243" s="49">
        <f t="shared" si="2"/>
        <v>22228</v>
      </c>
    </row>
    <row r="30244">
      <c r="A30244" s="48" t="s">
        <v>369</v>
      </c>
      <c r="B30244" s="38">
        <v>63035.0</v>
      </c>
      <c r="C30244" s="38" t="s">
        <v>34621</v>
      </c>
      <c r="D30244" s="38" t="str">
        <f>IFERROR(__xludf.DUMMYFUNCTION("REGEXREPLACE(C30244,""-\d+(.*)|--\d+(.*)"","""")"),"BEAUREGARD-VENDON")</f>
        <v>BEAUREGARD-VENDON</v>
      </c>
      <c r="E30244" s="38" t="s">
        <v>353</v>
      </c>
      <c r="F30244" s="38" t="s">
        <v>161</v>
      </c>
      <c r="G30244" s="49" t="str">
        <f t="shared" si="1"/>
        <v>63460</v>
      </c>
      <c r="H30244" s="49">
        <f t="shared" si="2"/>
        <v>63035</v>
      </c>
    </row>
    <row r="30245">
      <c r="A30245" s="48" t="s">
        <v>3723</v>
      </c>
      <c r="B30245" s="38">
        <v>54095.0</v>
      </c>
      <c r="C30245" s="38" t="s">
        <v>34622</v>
      </c>
      <c r="D30245" s="38" t="str">
        <f>IFERROR(__xludf.DUMMYFUNCTION("REGEXREPLACE(C30245,""-\d+(.*)|--\d+(.*)"","""")"),"BRATTE")</f>
        <v>BRATTE</v>
      </c>
      <c r="E30245" s="38" t="s">
        <v>548</v>
      </c>
      <c r="F30245" s="38" t="s">
        <v>195</v>
      </c>
      <c r="G30245" s="49" t="str">
        <f t="shared" si="1"/>
        <v>54610</v>
      </c>
      <c r="H30245" s="49">
        <f t="shared" si="2"/>
        <v>54095</v>
      </c>
    </row>
    <row r="30246">
      <c r="A30246" s="48" t="s">
        <v>4193</v>
      </c>
      <c r="B30246" s="38">
        <v>17223.0</v>
      </c>
      <c r="C30246" s="38" t="s">
        <v>34623</v>
      </c>
      <c r="D30246" s="38" t="str">
        <f>IFERROR(__xludf.DUMMYFUNCTION("REGEXREPLACE(C30246,""-\d+(.*)|--\d+(.*)"","""")"),"MASSAC")</f>
        <v>MASSAC</v>
      </c>
      <c r="E30246" s="38" t="s">
        <v>488</v>
      </c>
      <c r="F30246" s="38" t="s">
        <v>338</v>
      </c>
      <c r="G30246" s="49" t="str">
        <f t="shared" si="1"/>
        <v>17490</v>
      </c>
      <c r="H30246" s="49">
        <f t="shared" si="2"/>
        <v>17223</v>
      </c>
    </row>
    <row r="30247">
      <c r="A30247" s="48" t="s">
        <v>7641</v>
      </c>
      <c r="B30247" s="38">
        <v>3189.0</v>
      </c>
      <c r="C30247" s="38" t="s">
        <v>34624</v>
      </c>
      <c r="D30247" s="38" t="str">
        <f>IFERROR(__xludf.DUMMYFUNCTION("REGEXREPLACE(C30247,""-\d+(.*)|--\d+(.*)"","""")"),"MONTVICQ")</f>
        <v>MONTVICQ</v>
      </c>
      <c r="E30247" s="38" t="s">
        <v>160</v>
      </c>
      <c r="F30247" s="38" t="s">
        <v>161</v>
      </c>
      <c r="G30247" s="49" t="str">
        <f t="shared" si="1"/>
        <v>03170</v>
      </c>
      <c r="H30247" s="49" t="str">
        <f t="shared" si="2"/>
        <v>03189</v>
      </c>
    </row>
    <row r="30248">
      <c r="A30248" s="48" t="s">
        <v>5913</v>
      </c>
      <c r="B30248" s="38">
        <v>7014.0</v>
      </c>
      <c r="C30248" s="38" t="s">
        <v>34625</v>
      </c>
      <c r="D30248" s="38" t="str">
        <f>IFERROR(__xludf.DUMMYFUNCTION("REGEXREPLACE(C30248,""-\d+(.*)|--\d+(.*)"","""")"),"ARLEBOSC")</f>
        <v>ARLEBOSC</v>
      </c>
      <c r="E30248" s="38" t="s">
        <v>144</v>
      </c>
      <c r="F30248" s="38" t="s">
        <v>102</v>
      </c>
      <c r="G30248" s="49" t="str">
        <f t="shared" si="1"/>
        <v>07410</v>
      </c>
      <c r="H30248" s="49" t="str">
        <f t="shared" si="2"/>
        <v>07014</v>
      </c>
    </row>
    <row r="30249">
      <c r="A30249" s="48" t="s">
        <v>1400</v>
      </c>
      <c r="B30249" s="38">
        <v>21362.0</v>
      </c>
      <c r="C30249" s="38" t="s">
        <v>34626</v>
      </c>
      <c r="D30249" s="38" t="str">
        <f>IFERROR(__xludf.DUMMYFUNCTION("REGEXREPLACE(C30249,""-\d+(.*)|--\d+(.*)"","""")"),"MACONGE")</f>
        <v>MACONGE</v>
      </c>
      <c r="E30249" s="38" t="s">
        <v>105</v>
      </c>
      <c r="F30249" s="38" t="s">
        <v>106</v>
      </c>
      <c r="G30249" s="49" t="str">
        <f t="shared" si="1"/>
        <v>21320</v>
      </c>
      <c r="H30249" s="49">
        <f t="shared" si="2"/>
        <v>21362</v>
      </c>
    </row>
    <row r="30250">
      <c r="A30250" s="48" t="s">
        <v>34627</v>
      </c>
      <c r="B30250" s="38">
        <v>49244.0</v>
      </c>
      <c r="C30250" s="38" t="s">
        <v>14969</v>
      </c>
      <c r="D30250" s="38" t="str">
        <f>IFERROR(__xludf.DUMMYFUNCTION("REGEXREPLACE(C30250,""-\d+(.*)|--\d+(.*)"","""")"),"LA POMMERAYE")</f>
        <v>LA POMMERAYE</v>
      </c>
      <c r="E30250" s="38" t="s">
        <v>653</v>
      </c>
      <c r="F30250" s="38" t="s">
        <v>180</v>
      </c>
      <c r="G30250" s="49" t="str">
        <f t="shared" si="1"/>
        <v>49620</v>
      </c>
      <c r="H30250" s="49">
        <f t="shared" si="2"/>
        <v>49244</v>
      </c>
    </row>
    <row r="30251">
      <c r="A30251" s="48" t="s">
        <v>34628</v>
      </c>
      <c r="B30251" s="38">
        <v>22210.0</v>
      </c>
      <c r="C30251" s="38" t="s">
        <v>34629</v>
      </c>
      <c r="D30251" s="38" t="str">
        <f>IFERROR(__xludf.DUMMYFUNCTION("REGEXREPLACE(C30251,""-\d+(.*)|--\d+(.*)"","""")"),"PLOUBAZLANEC")</f>
        <v>PLOUBAZLANEC</v>
      </c>
      <c r="E30251" s="38" t="s">
        <v>89</v>
      </c>
      <c r="F30251" s="38" t="s">
        <v>90</v>
      </c>
      <c r="G30251" s="49" t="str">
        <f t="shared" si="1"/>
        <v>22620</v>
      </c>
      <c r="H30251" s="49">
        <f t="shared" si="2"/>
        <v>22210</v>
      </c>
    </row>
    <row r="30252">
      <c r="A30252" s="48" t="s">
        <v>276</v>
      </c>
      <c r="B30252" s="38">
        <v>11229.0</v>
      </c>
      <c r="C30252" s="38" t="s">
        <v>34630</v>
      </c>
      <c r="D30252" s="38" t="str">
        <f>IFERROR(__xludf.DUMMYFUNCTION("REGEXREPLACE(C30252,""-\d+(.*)|--\d+(.*)"","""")"),"MAZUBY")</f>
        <v>MAZUBY</v>
      </c>
      <c r="E30252" s="38" t="s">
        <v>278</v>
      </c>
      <c r="F30252" s="38" t="s">
        <v>119</v>
      </c>
      <c r="G30252" s="49" t="str">
        <f t="shared" si="1"/>
        <v>11140</v>
      </c>
      <c r="H30252" s="49">
        <f t="shared" si="2"/>
        <v>11229</v>
      </c>
    </row>
    <row r="30253">
      <c r="A30253" s="48" t="s">
        <v>2176</v>
      </c>
      <c r="B30253" s="38">
        <v>62187.0</v>
      </c>
      <c r="C30253" s="38" t="s">
        <v>34631</v>
      </c>
      <c r="D30253" s="38" t="str">
        <f>IFERROR(__xludf.DUMMYFUNCTION("REGEXREPLACE(C30253,""-\d+(.*)|--\d+(.*)"","""")"),"BUNEVILLE")</f>
        <v>BUNEVILLE</v>
      </c>
      <c r="E30253" s="38" t="s">
        <v>109</v>
      </c>
      <c r="F30253" s="38" t="s">
        <v>86</v>
      </c>
      <c r="G30253" s="49" t="str">
        <f t="shared" si="1"/>
        <v>62130</v>
      </c>
      <c r="H30253" s="49">
        <f t="shared" si="2"/>
        <v>62187</v>
      </c>
    </row>
    <row r="30254">
      <c r="A30254" s="48" t="s">
        <v>34632</v>
      </c>
      <c r="B30254" s="38">
        <v>60463.0</v>
      </c>
      <c r="C30254" s="38" t="s">
        <v>34633</v>
      </c>
      <c r="D30254" s="38" t="str">
        <f>IFERROR(__xludf.DUMMYFUNCTION("REGEXREPLACE(C30254,""-\d+(.*)|--\d+(.*)"","""")"),"NOGENT-SUR-OISE")</f>
        <v>NOGENT-SUR-OISE</v>
      </c>
      <c r="E30254" s="38" t="s">
        <v>112</v>
      </c>
      <c r="F30254" s="38" t="s">
        <v>113</v>
      </c>
      <c r="G30254" s="49" t="str">
        <f t="shared" si="1"/>
        <v>60180</v>
      </c>
      <c r="H30254" s="49">
        <f t="shared" si="2"/>
        <v>60463</v>
      </c>
    </row>
    <row r="30255">
      <c r="A30255" s="48" t="s">
        <v>5687</v>
      </c>
      <c r="B30255" s="38">
        <v>3278.0</v>
      </c>
      <c r="C30255" s="38" t="s">
        <v>34634</v>
      </c>
      <c r="D30255" s="38" t="str">
        <f>IFERROR(__xludf.DUMMYFUNCTION("REGEXREPLACE(C30255,""-\d+(.*)|--\d+(.*)"","""")"),"TAXAT-SENAT")</f>
        <v>TAXAT-SENAT</v>
      </c>
      <c r="E30255" s="38" t="s">
        <v>160</v>
      </c>
      <c r="F30255" s="38" t="s">
        <v>161</v>
      </c>
      <c r="G30255" s="49" t="str">
        <f t="shared" si="1"/>
        <v>03140</v>
      </c>
      <c r="H30255" s="49" t="str">
        <f t="shared" si="2"/>
        <v>03278</v>
      </c>
    </row>
    <row r="30256">
      <c r="A30256" s="48" t="s">
        <v>1835</v>
      </c>
      <c r="B30256" s="38">
        <v>76472.0</v>
      </c>
      <c r="C30256" s="38" t="s">
        <v>34635</v>
      </c>
      <c r="D30256" s="38" t="str">
        <f>IFERROR(__xludf.DUMMYFUNCTION("REGEXREPLACE(C30256,""-\d+(.*)|--\d+(.*)"","""")"),"NOTRE-DAME-D'ALIERMONT")</f>
        <v>NOTRE-DAME-D'ALIERMONT</v>
      </c>
      <c r="E30256" s="38" t="s">
        <v>133</v>
      </c>
      <c r="F30256" s="38" t="s">
        <v>134</v>
      </c>
      <c r="G30256" s="49" t="str">
        <f t="shared" si="1"/>
        <v>76510</v>
      </c>
      <c r="H30256" s="49">
        <f t="shared" si="2"/>
        <v>76472</v>
      </c>
    </row>
    <row r="30257">
      <c r="A30257" s="48" t="s">
        <v>34636</v>
      </c>
      <c r="B30257" s="38">
        <v>51172.0</v>
      </c>
      <c r="C30257" s="38" t="s">
        <v>34637</v>
      </c>
      <c r="D30257" s="38" t="str">
        <f>IFERROR(__xludf.DUMMYFUNCTION("REGEXREPLACE(C30257,""-\d+(.*)|--\d+(.*)"","""")"),"CORMONTREUIL")</f>
        <v>CORMONTREUIL</v>
      </c>
      <c r="E30257" s="38" t="s">
        <v>129</v>
      </c>
      <c r="F30257" s="38" t="s">
        <v>130</v>
      </c>
      <c r="G30257" s="49" t="str">
        <f t="shared" si="1"/>
        <v>51350</v>
      </c>
      <c r="H30257" s="49">
        <f t="shared" si="2"/>
        <v>51172</v>
      </c>
    </row>
    <row r="30258">
      <c r="A30258" s="48" t="s">
        <v>2083</v>
      </c>
      <c r="B30258" s="38">
        <v>17400.0</v>
      </c>
      <c r="C30258" s="38" t="s">
        <v>34638</v>
      </c>
      <c r="D30258" s="38" t="str">
        <f>IFERROR(__xludf.DUMMYFUNCTION("REGEXREPLACE(C30258,""-\d+(.*)|--\d+(.*)"","""")"),"SAINT-SEVER-DE-SAINTONGE")</f>
        <v>SAINT-SEVER-DE-SAINTONGE</v>
      </c>
      <c r="E30258" s="38" t="s">
        <v>488</v>
      </c>
      <c r="F30258" s="38" t="s">
        <v>338</v>
      </c>
      <c r="G30258" s="49" t="str">
        <f t="shared" si="1"/>
        <v>17800</v>
      </c>
      <c r="H30258" s="49">
        <f t="shared" si="2"/>
        <v>17400</v>
      </c>
    </row>
    <row r="30259">
      <c r="A30259" s="48" t="s">
        <v>3928</v>
      </c>
      <c r="B30259" s="38">
        <v>78564.0</v>
      </c>
      <c r="C30259" s="38" t="s">
        <v>34639</v>
      </c>
      <c r="D30259" s="38" t="str">
        <f>IFERROR(__xludf.DUMMYFUNCTION("REGEXREPLACE(C30259,""-\d+(.*)|--\d+(.*)"","""")"),"SAINT-MARTIN-DE-BRETHENCOURT")</f>
        <v>SAINT-MARTIN-DE-BRETHENCOURT</v>
      </c>
      <c r="E30259" s="38" t="s">
        <v>362</v>
      </c>
      <c r="F30259" s="38" t="s">
        <v>245</v>
      </c>
      <c r="G30259" s="49" t="str">
        <f t="shared" si="1"/>
        <v>78660</v>
      </c>
      <c r="H30259" s="49">
        <f t="shared" si="2"/>
        <v>78564</v>
      </c>
    </row>
    <row r="30260">
      <c r="A30260" s="48" t="s">
        <v>15022</v>
      </c>
      <c r="B30260" s="38">
        <v>8115.0</v>
      </c>
      <c r="C30260" s="38" t="s">
        <v>34640</v>
      </c>
      <c r="D30260" s="38" t="str">
        <f>IFERROR(__xludf.DUMMYFUNCTION("REGEXREPLACE(C30260,""-\d+(.*)|--\d+(.*)"","""")"),"CHEMERY-SUR-BAR")</f>
        <v>CHEMERY-SUR-BAR</v>
      </c>
      <c r="E30260" s="38" t="s">
        <v>327</v>
      </c>
      <c r="F30260" s="38" t="s">
        <v>130</v>
      </c>
      <c r="G30260" s="49" t="str">
        <f t="shared" si="1"/>
        <v>08450</v>
      </c>
      <c r="H30260" s="49" t="str">
        <f t="shared" si="2"/>
        <v>08115</v>
      </c>
    </row>
    <row r="30261">
      <c r="A30261" s="48" t="s">
        <v>16765</v>
      </c>
      <c r="B30261" s="38">
        <v>76653.0</v>
      </c>
      <c r="C30261" s="38" t="s">
        <v>34641</v>
      </c>
      <c r="D30261" s="38" t="str">
        <f>IFERROR(__xludf.DUMMYFUNCTION("REGEXREPLACE(C30261,""-\d+(.*)|--\d+(.*)"","""")"),"SAINT-VAAST-DIEPPEDALLE")</f>
        <v>SAINT-VAAST-DIEPPEDALLE</v>
      </c>
      <c r="E30261" s="38" t="s">
        <v>133</v>
      </c>
      <c r="F30261" s="38" t="s">
        <v>134</v>
      </c>
      <c r="G30261" s="49" t="str">
        <f t="shared" si="1"/>
        <v>76450</v>
      </c>
      <c r="H30261" s="49">
        <f t="shared" si="2"/>
        <v>76653</v>
      </c>
    </row>
    <row r="30262">
      <c r="A30262" s="48" t="s">
        <v>20370</v>
      </c>
      <c r="B30262" s="38">
        <v>67517.0</v>
      </c>
      <c r="C30262" s="38" t="s">
        <v>34642</v>
      </c>
      <c r="D30262" s="38" t="str">
        <f>IFERROR(__xludf.DUMMYFUNCTION("REGEXREPLACE(C30262,""-\d+(.*)|--\d+(.*)"","""")"),"WANGEN")</f>
        <v>WANGEN</v>
      </c>
      <c r="E30262" s="38" t="s">
        <v>210</v>
      </c>
      <c r="F30262" s="38" t="s">
        <v>151</v>
      </c>
      <c r="G30262" s="49" t="str">
        <f t="shared" si="1"/>
        <v>67520</v>
      </c>
      <c r="H30262" s="49">
        <f t="shared" si="2"/>
        <v>67517</v>
      </c>
    </row>
    <row r="30263">
      <c r="A30263" s="48" t="s">
        <v>2917</v>
      </c>
      <c r="B30263" s="38">
        <v>49309.0</v>
      </c>
      <c r="C30263" s="38" t="s">
        <v>34643</v>
      </c>
      <c r="D30263" s="38" t="str">
        <f>IFERROR(__xludf.DUMMYFUNCTION("REGEXREPLACE(C30263,""-\d+(.*)|--\d+(.*)"","""")"),"SAINT-MICHEL-ET-CHANVEAUX")</f>
        <v>SAINT-MICHEL-ET-CHANVEAUX</v>
      </c>
      <c r="E30263" s="38" t="s">
        <v>653</v>
      </c>
      <c r="F30263" s="38" t="s">
        <v>180</v>
      </c>
      <c r="G30263" s="49" t="str">
        <f t="shared" si="1"/>
        <v>49420</v>
      </c>
      <c r="H30263" s="49">
        <f t="shared" si="2"/>
        <v>49309</v>
      </c>
    </row>
    <row r="30264">
      <c r="A30264" s="48" t="s">
        <v>3704</v>
      </c>
      <c r="B30264" s="38">
        <v>2167.0</v>
      </c>
      <c r="C30264" s="38" t="s">
        <v>34644</v>
      </c>
      <c r="D30264" s="38" t="str">
        <f>IFERROR(__xludf.DUMMYFUNCTION("REGEXREPLACE(C30264,""-\d+(.*)|--\d+(.*)"","""")"),"CHASSEMY")</f>
        <v>CHASSEMY</v>
      </c>
      <c r="E30264" s="38" t="s">
        <v>191</v>
      </c>
      <c r="F30264" s="38" t="s">
        <v>113</v>
      </c>
      <c r="G30264" s="49" t="str">
        <f t="shared" si="1"/>
        <v>02370</v>
      </c>
      <c r="H30264" s="49" t="str">
        <f t="shared" si="2"/>
        <v>02167</v>
      </c>
    </row>
    <row r="30265">
      <c r="A30265" s="48" t="s">
        <v>1135</v>
      </c>
      <c r="B30265" s="38">
        <v>79054.0</v>
      </c>
      <c r="C30265" s="38" t="s">
        <v>4578</v>
      </c>
      <c r="D30265" s="38" t="str">
        <f>IFERROR(__xludf.DUMMYFUNCTION("REGEXREPLACE(C30265,""-\d+(.*)|--\d+(.*)"","""")"),"BRIE")</f>
        <v>BRIE</v>
      </c>
      <c r="E30265" s="38" t="s">
        <v>337</v>
      </c>
      <c r="F30265" s="38" t="s">
        <v>338</v>
      </c>
      <c r="G30265" s="49" t="str">
        <f t="shared" si="1"/>
        <v>79100</v>
      </c>
      <c r="H30265" s="49">
        <f t="shared" si="2"/>
        <v>79054</v>
      </c>
    </row>
    <row r="30266">
      <c r="A30266" s="48" t="s">
        <v>1114</v>
      </c>
      <c r="B30266" s="38">
        <v>2139.0</v>
      </c>
      <c r="C30266" s="38" t="s">
        <v>34645</v>
      </c>
      <c r="D30266" s="38" t="str">
        <f>IFERROR(__xludf.DUMMYFUNCTION("REGEXREPLACE(C30266,""-\d+(.*)|--\d+(.*)"","""")"),"CAILLOUEL-CREPIGNY")</f>
        <v>CAILLOUEL-CREPIGNY</v>
      </c>
      <c r="E30266" s="38" t="s">
        <v>191</v>
      </c>
      <c r="F30266" s="38" t="s">
        <v>113</v>
      </c>
      <c r="G30266" s="49" t="str">
        <f t="shared" si="1"/>
        <v>02300</v>
      </c>
      <c r="H30266" s="49" t="str">
        <f t="shared" si="2"/>
        <v>02139</v>
      </c>
    </row>
    <row r="30267">
      <c r="A30267" s="48" t="s">
        <v>5417</v>
      </c>
      <c r="B30267" s="38">
        <v>24587.0</v>
      </c>
      <c r="C30267" s="38" t="s">
        <v>24171</v>
      </c>
      <c r="D30267" s="38" t="str">
        <f>IFERROR(__xludf.DUMMYFUNCTION("REGEXREPLACE(C30267,""-\d+(.*)|--\d+(.*)"","""")"),"VITRAC")</f>
        <v>VITRAC</v>
      </c>
      <c r="E30267" s="38" t="s">
        <v>261</v>
      </c>
      <c r="F30267" s="38" t="s">
        <v>252</v>
      </c>
      <c r="G30267" s="49" t="str">
        <f t="shared" si="1"/>
        <v>24200</v>
      </c>
      <c r="H30267" s="49">
        <f t="shared" si="2"/>
        <v>24587</v>
      </c>
    </row>
    <row r="30268">
      <c r="A30268" s="48" t="s">
        <v>11166</v>
      </c>
      <c r="B30268" s="38">
        <v>55008.0</v>
      </c>
      <c r="C30268" s="38" t="s">
        <v>34646</v>
      </c>
      <c r="D30268" s="38" t="str">
        <f>IFERROR(__xludf.DUMMYFUNCTION("REGEXREPLACE(C30268,""-\d+(.*)|--\d+(.*)"","""")"),"AMEL-SUR-L'ETANG")</f>
        <v>AMEL-SUR-L'ETANG</v>
      </c>
      <c r="E30268" s="38" t="s">
        <v>322</v>
      </c>
      <c r="F30268" s="38" t="s">
        <v>195</v>
      </c>
      <c r="G30268" s="49" t="str">
        <f t="shared" si="1"/>
        <v>55230</v>
      </c>
      <c r="H30268" s="49">
        <f t="shared" si="2"/>
        <v>55008</v>
      </c>
    </row>
    <row r="30269">
      <c r="A30269" s="48" t="s">
        <v>1923</v>
      </c>
      <c r="B30269" s="38">
        <v>60451.0</v>
      </c>
      <c r="C30269" s="38" t="s">
        <v>34647</v>
      </c>
      <c r="D30269" s="38" t="str">
        <f>IFERROR(__xludf.DUMMYFUNCTION("REGEXREPLACE(C30269,""-\d+(.*)|--\d+(.*)"","""")"),"NEUILLY-SOUS-CLERMONT")</f>
        <v>NEUILLY-SOUS-CLERMONT</v>
      </c>
      <c r="E30269" s="38" t="s">
        <v>112</v>
      </c>
      <c r="F30269" s="38" t="s">
        <v>113</v>
      </c>
      <c r="G30269" s="49" t="str">
        <f t="shared" si="1"/>
        <v>60290</v>
      </c>
      <c r="H30269" s="49">
        <f t="shared" si="2"/>
        <v>60451</v>
      </c>
    </row>
    <row r="30270">
      <c r="A30270" s="48" t="s">
        <v>30167</v>
      </c>
      <c r="B30270" s="38">
        <v>59427.0</v>
      </c>
      <c r="C30270" s="38" t="s">
        <v>34648</v>
      </c>
      <c r="D30270" s="38" t="str">
        <f>IFERROR(__xludf.DUMMYFUNCTION("REGEXREPLACE(C30270,""-\d+(.*)|--\d+(.*)"","""")"),"LA NEUVILLE")</f>
        <v>LA NEUVILLE</v>
      </c>
      <c r="E30270" s="38" t="s">
        <v>85</v>
      </c>
      <c r="F30270" s="38" t="s">
        <v>86</v>
      </c>
      <c r="G30270" s="49" t="str">
        <f t="shared" si="1"/>
        <v>59239</v>
      </c>
      <c r="H30270" s="49">
        <f t="shared" si="2"/>
        <v>59427</v>
      </c>
    </row>
    <row r="30271">
      <c r="A30271" s="48" t="s">
        <v>3359</v>
      </c>
      <c r="B30271" s="38">
        <v>9023.0</v>
      </c>
      <c r="C30271" s="38" t="s">
        <v>34649</v>
      </c>
      <c r="D30271" s="38" t="str">
        <f>IFERROR(__xludf.DUMMYFUNCTION("REGEXREPLACE(C30271,""-\d+(.*)|--\d+(.*)"","""")"),"ASCOU")</f>
        <v>ASCOU</v>
      </c>
      <c r="E30271" s="38" t="s">
        <v>238</v>
      </c>
      <c r="F30271" s="38" t="s">
        <v>94</v>
      </c>
      <c r="G30271" s="49" t="str">
        <f t="shared" si="1"/>
        <v>09110</v>
      </c>
      <c r="H30271" s="49" t="str">
        <f t="shared" si="2"/>
        <v>09023</v>
      </c>
    </row>
    <row r="30272">
      <c r="A30272" s="48" t="s">
        <v>26492</v>
      </c>
      <c r="B30272" s="38">
        <v>38565.0</v>
      </c>
      <c r="C30272" s="38" t="s">
        <v>34650</v>
      </c>
      <c r="D30272" s="38" t="str">
        <f>IFERROR(__xludf.DUMMYFUNCTION("REGEXREPLACE(C30272,""-\d+(.*)|--\d+(.*)"","""")"),"VOREPPE")</f>
        <v>VOREPPE</v>
      </c>
      <c r="E30272" s="38" t="s">
        <v>101</v>
      </c>
      <c r="F30272" s="38" t="s">
        <v>102</v>
      </c>
      <c r="G30272" s="49" t="str">
        <f t="shared" si="1"/>
        <v>38340</v>
      </c>
      <c r="H30272" s="49">
        <f t="shared" si="2"/>
        <v>38565</v>
      </c>
    </row>
    <row r="30273">
      <c r="A30273" s="48" t="s">
        <v>3349</v>
      </c>
      <c r="B30273" s="38">
        <v>34053.0</v>
      </c>
      <c r="C30273" s="38" t="s">
        <v>34651</v>
      </c>
      <c r="D30273" s="38" t="str">
        <f>IFERROR(__xludf.DUMMYFUNCTION("REGEXREPLACE(C30273,""-\d+(.*)|--\d+(.*)"","""")"),"CARLENCAS-ET-LEVAS")</f>
        <v>CARLENCAS-ET-LEVAS</v>
      </c>
      <c r="E30273" s="38" t="s">
        <v>118</v>
      </c>
      <c r="F30273" s="38" t="s">
        <v>119</v>
      </c>
      <c r="G30273" s="49" t="str">
        <f t="shared" si="1"/>
        <v>34600</v>
      </c>
      <c r="H30273" s="49">
        <f t="shared" si="2"/>
        <v>34053</v>
      </c>
    </row>
    <row r="30274">
      <c r="A30274" s="48" t="s">
        <v>724</v>
      </c>
      <c r="B30274" s="38">
        <v>32265.0</v>
      </c>
      <c r="C30274" s="38" t="s">
        <v>34652</v>
      </c>
      <c r="D30274" s="38" t="str">
        <f>IFERROR(__xludf.DUMMYFUNCTION("REGEXREPLACE(C30274,""-\d+(.*)|--\d+(.*)"","""")"),"MONCLAR-SUR-LOSSE")</f>
        <v>MONCLAR-SUR-LOSSE</v>
      </c>
      <c r="E30274" s="38" t="s">
        <v>440</v>
      </c>
      <c r="F30274" s="38" t="s">
        <v>94</v>
      </c>
      <c r="G30274" s="49" t="str">
        <f t="shared" si="1"/>
        <v>32300</v>
      </c>
      <c r="H30274" s="49">
        <f t="shared" si="2"/>
        <v>32265</v>
      </c>
    </row>
    <row r="30275">
      <c r="A30275" s="48" t="s">
        <v>12619</v>
      </c>
      <c r="B30275" s="38">
        <v>24565.0</v>
      </c>
      <c r="C30275" s="38" t="s">
        <v>34653</v>
      </c>
      <c r="D30275" s="38" t="str">
        <f>IFERROR(__xludf.DUMMYFUNCTION("REGEXREPLACE(C30275,""-\d+(.*)|--\d+(.*)"","""")"),"VARAIGNES")</f>
        <v>VARAIGNES</v>
      </c>
      <c r="E30275" s="38" t="s">
        <v>261</v>
      </c>
      <c r="F30275" s="38" t="s">
        <v>252</v>
      </c>
      <c r="G30275" s="49" t="str">
        <f t="shared" si="1"/>
        <v>24360</v>
      </c>
      <c r="H30275" s="49">
        <f t="shared" si="2"/>
        <v>24565</v>
      </c>
    </row>
    <row r="30276">
      <c r="A30276" s="48" t="s">
        <v>1153</v>
      </c>
      <c r="B30276" s="38">
        <v>73100.0</v>
      </c>
      <c r="C30276" s="38" t="s">
        <v>34654</v>
      </c>
      <c r="D30276" s="38" t="str">
        <f>IFERROR(__xludf.DUMMYFUNCTION("REGEXREPLACE(C30276,""-\d+(.*)|--\d+(.*)"","""")"),"DOMESSIN")</f>
        <v>DOMESSIN</v>
      </c>
      <c r="E30276" s="38" t="s">
        <v>306</v>
      </c>
      <c r="F30276" s="38" t="s">
        <v>102</v>
      </c>
      <c r="G30276" s="49" t="str">
        <f t="shared" si="1"/>
        <v>73330</v>
      </c>
      <c r="H30276" s="49">
        <f t="shared" si="2"/>
        <v>73100</v>
      </c>
    </row>
    <row r="30277">
      <c r="A30277" s="48" t="s">
        <v>3329</v>
      </c>
      <c r="B30277" s="38">
        <v>60271.0</v>
      </c>
      <c r="C30277" s="38" t="s">
        <v>34655</v>
      </c>
      <c r="D30277" s="38" t="str">
        <f>IFERROR(__xludf.DUMMYFUNCTION("REGEXREPLACE(C30277,""-\d+(.*)|--\d+(.*)"","""")"),"GERBEROY")</f>
        <v>GERBEROY</v>
      </c>
      <c r="E30277" s="38" t="s">
        <v>112</v>
      </c>
      <c r="F30277" s="38" t="s">
        <v>113</v>
      </c>
      <c r="G30277" s="49" t="str">
        <f t="shared" si="1"/>
        <v>60380</v>
      </c>
      <c r="H30277" s="49">
        <f t="shared" si="2"/>
        <v>60271</v>
      </c>
    </row>
    <row r="30278">
      <c r="A30278" s="48" t="s">
        <v>19358</v>
      </c>
      <c r="B30278" s="38">
        <v>67411.0</v>
      </c>
      <c r="C30278" s="38" t="s">
        <v>34656</v>
      </c>
      <c r="D30278" s="38" t="str">
        <f>IFERROR(__xludf.DUMMYFUNCTION("REGEXREPLACE(C30278,""-\d+(.*)|--\d+(.*)"","""")"),"ROSHEIM")</f>
        <v>ROSHEIM</v>
      </c>
      <c r="E30278" s="38" t="s">
        <v>210</v>
      </c>
      <c r="F30278" s="38" t="s">
        <v>151</v>
      </c>
      <c r="G30278" s="49" t="str">
        <f t="shared" si="1"/>
        <v>67560</v>
      </c>
      <c r="H30278" s="49">
        <f t="shared" si="2"/>
        <v>67411</v>
      </c>
    </row>
    <row r="30279">
      <c r="A30279" s="48" t="s">
        <v>2249</v>
      </c>
      <c r="B30279" s="38">
        <v>14679.0</v>
      </c>
      <c r="C30279" s="38" t="s">
        <v>34657</v>
      </c>
      <c r="D30279" s="38" t="str">
        <f>IFERROR(__xludf.DUMMYFUNCTION("REGEXREPLACE(C30279,""-\d+(.*)|--\d+(.*)"","""")"),"SUBLES")</f>
        <v>SUBLES</v>
      </c>
      <c r="E30279" s="38" t="s">
        <v>137</v>
      </c>
      <c r="F30279" s="38" t="s">
        <v>138</v>
      </c>
      <c r="G30279" s="49" t="str">
        <f t="shared" si="1"/>
        <v>14400</v>
      </c>
      <c r="H30279" s="49">
        <f t="shared" si="2"/>
        <v>14679</v>
      </c>
    </row>
    <row r="30280">
      <c r="A30280" s="48" t="s">
        <v>1864</v>
      </c>
      <c r="B30280" s="38">
        <v>70349.0</v>
      </c>
      <c r="C30280" s="38" t="s">
        <v>34658</v>
      </c>
      <c r="D30280" s="38" t="str">
        <f>IFERROR(__xludf.DUMMYFUNCTION("REGEXREPLACE(C30280,""-\d+(.*)|--\d+(.*)"","""")"),"MOIMAY")</f>
        <v>MOIMAY</v>
      </c>
      <c r="E30280" s="38" t="s">
        <v>956</v>
      </c>
      <c r="F30280" s="38" t="s">
        <v>214</v>
      </c>
      <c r="G30280" s="49" t="str">
        <f t="shared" si="1"/>
        <v>70110</v>
      </c>
      <c r="H30280" s="49">
        <f t="shared" si="2"/>
        <v>70349</v>
      </c>
    </row>
    <row r="30281">
      <c r="A30281" s="48" t="s">
        <v>4332</v>
      </c>
      <c r="B30281" s="38">
        <v>24051.0</v>
      </c>
      <c r="C30281" s="38" t="s">
        <v>34659</v>
      </c>
      <c r="D30281" s="38" t="str">
        <f>IFERROR(__xludf.DUMMYFUNCTION("REGEXREPLACE(C30281,""-\d+(.*)|--\d+(.*)"","""")"),"BOSSET")</f>
        <v>BOSSET</v>
      </c>
      <c r="E30281" s="38" t="s">
        <v>261</v>
      </c>
      <c r="F30281" s="38" t="s">
        <v>252</v>
      </c>
      <c r="G30281" s="49" t="str">
        <f t="shared" si="1"/>
        <v>24130</v>
      </c>
      <c r="H30281" s="49">
        <f t="shared" si="2"/>
        <v>24051</v>
      </c>
    </row>
    <row r="30282">
      <c r="A30282" s="48" t="s">
        <v>10324</v>
      </c>
      <c r="B30282" s="38">
        <v>54592.0</v>
      </c>
      <c r="C30282" s="38" t="s">
        <v>34660</v>
      </c>
      <c r="D30282" s="38" t="str">
        <f>IFERROR(__xludf.DUMMYFUNCTION("REGEXREPLACE(C30282,""-\d+(.*)|--\d+(.*)"","""")"),"VRONCOURT")</f>
        <v>VRONCOURT</v>
      </c>
      <c r="E30282" s="38" t="s">
        <v>548</v>
      </c>
      <c r="F30282" s="38" t="s">
        <v>195</v>
      </c>
      <c r="G30282" s="49" t="str">
        <f t="shared" si="1"/>
        <v>54330</v>
      </c>
      <c r="H30282" s="49">
        <f t="shared" si="2"/>
        <v>54592</v>
      </c>
    </row>
    <row r="30283">
      <c r="A30283" s="48" t="s">
        <v>30912</v>
      </c>
      <c r="B30283" s="38">
        <v>67125.0</v>
      </c>
      <c r="C30283" s="38" t="s">
        <v>34661</v>
      </c>
      <c r="D30283" s="38" t="str">
        <f>IFERROR(__xludf.DUMMYFUNCTION("REGEXREPLACE(C30283,""-\d+(.*)|--\d+(.*)"","""")"),"EPFIG")</f>
        <v>EPFIG</v>
      </c>
      <c r="E30283" s="38" t="s">
        <v>210</v>
      </c>
      <c r="F30283" s="38" t="s">
        <v>151</v>
      </c>
      <c r="G30283" s="49" t="str">
        <f t="shared" si="1"/>
        <v>67680</v>
      </c>
      <c r="H30283" s="49">
        <f t="shared" si="2"/>
        <v>67125</v>
      </c>
    </row>
    <row r="30284">
      <c r="A30284" s="48" t="s">
        <v>3747</v>
      </c>
      <c r="B30284" s="38">
        <v>52051.0</v>
      </c>
      <c r="C30284" s="38" t="s">
        <v>1925</v>
      </c>
      <c r="D30284" s="38" t="str">
        <f>IFERROR(__xludf.DUMMYFUNCTION("REGEXREPLACE(C30284,""-\d+(.*)|--\d+(.*)"","""")"),"BIZE")</f>
        <v>BIZE</v>
      </c>
      <c r="E30284" s="38" t="s">
        <v>234</v>
      </c>
      <c r="F30284" s="38" t="s">
        <v>130</v>
      </c>
      <c r="G30284" s="49" t="str">
        <f t="shared" si="1"/>
        <v>52500</v>
      </c>
      <c r="H30284" s="49">
        <f t="shared" si="2"/>
        <v>52051</v>
      </c>
    </row>
    <row r="30285">
      <c r="A30285" s="48" t="s">
        <v>8134</v>
      </c>
      <c r="B30285" s="38">
        <v>47029.0</v>
      </c>
      <c r="C30285" s="38" t="s">
        <v>34662</v>
      </c>
      <c r="D30285" s="38" t="str">
        <f>IFERROR(__xludf.DUMMYFUNCTION("REGEXREPLACE(C30285,""-\d+(.*)|--\d+(.*)"","""")"),"BLANQUEFORT-SUR-BRIOLANCE")</f>
        <v>BLANQUEFORT-SUR-BRIOLANCE</v>
      </c>
      <c r="E30285" s="38" t="s">
        <v>251</v>
      </c>
      <c r="F30285" s="38" t="s">
        <v>252</v>
      </c>
      <c r="G30285" s="49" t="str">
        <f t="shared" si="1"/>
        <v>47500</v>
      </c>
      <c r="H30285" s="49">
        <f t="shared" si="2"/>
        <v>47029</v>
      </c>
    </row>
    <row r="30286">
      <c r="A30286" s="48" t="s">
        <v>7305</v>
      </c>
      <c r="B30286" s="38">
        <v>49345.0</v>
      </c>
      <c r="C30286" s="38" t="s">
        <v>34663</v>
      </c>
      <c r="D30286" s="38" t="str">
        <f>IFERROR(__xludf.DUMMYFUNCTION("REGEXREPLACE(C30286,""-\d+(.*)|--\d+(.*)"","""")"),"THOUARCE")</f>
        <v>THOUARCE</v>
      </c>
      <c r="E30286" s="38" t="s">
        <v>653</v>
      </c>
      <c r="F30286" s="38" t="s">
        <v>180</v>
      </c>
      <c r="G30286" s="49" t="str">
        <f t="shared" si="1"/>
        <v>49380</v>
      </c>
      <c r="H30286" s="49">
        <f t="shared" si="2"/>
        <v>49345</v>
      </c>
    </row>
    <row r="30287">
      <c r="A30287" s="48" t="s">
        <v>3691</v>
      </c>
      <c r="B30287" s="38">
        <v>64521.0</v>
      </c>
      <c r="C30287" s="38" t="s">
        <v>34664</v>
      </c>
      <c r="D30287" s="38" t="str">
        <f>IFERROR(__xludf.DUMMYFUNCTION("REGEXREPLACE(C30287,""-\d+(.*)|--\d+(.*)"","""")"),"SERRES-SAINTE-MARIE")</f>
        <v>SERRES-SAINTE-MARIE</v>
      </c>
      <c r="E30287" s="38" t="s">
        <v>268</v>
      </c>
      <c r="F30287" s="38" t="s">
        <v>252</v>
      </c>
      <c r="G30287" s="49" t="str">
        <f t="shared" si="1"/>
        <v>64170</v>
      </c>
      <c r="H30287" s="49">
        <f t="shared" si="2"/>
        <v>64521</v>
      </c>
    </row>
    <row r="30288">
      <c r="A30288" s="48" t="s">
        <v>11007</v>
      </c>
      <c r="B30288" s="38">
        <v>17244.0</v>
      </c>
      <c r="C30288" s="38" t="s">
        <v>34665</v>
      </c>
      <c r="D30288" s="38" t="str">
        <f>IFERROR(__xludf.DUMMYFUNCTION("REGEXREPLACE(C30288,""-\d+(.*)|--\d+(.*)"","""")"),"MONTPELLIER-DE-MEDILLAN")</f>
        <v>MONTPELLIER-DE-MEDILLAN</v>
      </c>
      <c r="E30288" s="38" t="s">
        <v>488</v>
      </c>
      <c r="F30288" s="38" t="s">
        <v>338</v>
      </c>
      <c r="G30288" s="49" t="str">
        <f t="shared" si="1"/>
        <v>17260</v>
      </c>
      <c r="H30288" s="49">
        <f t="shared" si="2"/>
        <v>17244</v>
      </c>
    </row>
    <row r="30289">
      <c r="A30289" s="48" t="s">
        <v>14563</v>
      </c>
      <c r="B30289" s="38">
        <v>29229.0</v>
      </c>
      <c r="C30289" s="38" t="s">
        <v>34666</v>
      </c>
      <c r="D30289" s="38" t="str">
        <f>IFERROR(__xludf.DUMMYFUNCTION("REGEXREPLACE(C30289,""-\d+(.*)|--\d+(.*)"","""")"),"QUEMENEVEN")</f>
        <v>QUEMENEVEN</v>
      </c>
      <c r="E30289" s="38" t="s">
        <v>176</v>
      </c>
      <c r="F30289" s="38" t="s">
        <v>90</v>
      </c>
      <c r="G30289" s="49" t="str">
        <f t="shared" si="1"/>
        <v>29180</v>
      </c>
      <c r="H30289" s="49">
        <f t="shared" si="2"/>
        <v>29229</v>
      </c>
    </row>
    <row r="30290">
      <c r="A30290" s="48" t="s">
        <v>9225</v>
      </c>
      <c r="B30290" s="38">
        <v>23259.0</v>
      </c>
      <c r="C30290" s="38" t="s">
        <v>34667</v>
      </c>
      <c r="D30290" s="38" t="str">
        <f>IFERROR(__xludf.DUMMYFUNCTION("REGEXREPLACE(C30290,""-\d+(.*)|--\d+(.*)"","""")"),"VERNEIGES")</f>
        <v>VERNEIGES</v>
      </c>
      <c r="E30290" s="38" t="s">
        <v>97</v>
      </c>
      <c r="F30290" s="38" t="s">
        <v>98</v>
      </c>
      <c r="G30290" s="49" t="str">
        <f t="shared" si="1"/>
        <v>23170</v>
      </c>
      <c r="H30290" s="49">
        <f t="shared" si="2"/>
        <v>23259</v>
      </c>
    </row>
    <row r="30291">
      <c r="A30291" s="48" t="s">
        <v>13089</v>
      </c>
      <c r="B30291" s="38">
        <v>42016.0</v>
      </c>
      <c r="C30291" s="38" t="s">
        <v>34668</v>
      </c>
      <c r="D30291" s="38" t="str">
        <f>IFERROR(__xludf.DUMMYFUNCTION("REGEXREPLACE(C30291,""-\d+(.*)|--\d+(.*)"","""")"),"LA BENISSON-DIEU")</f>
        <v>LA BENISSON-DIEU</v>
      </c>
      <c r="E30291" s="38" t="s">
        <v>166</v>
      </c>
      <c r="F30291" s="38" t="s">
        <v>102</v>
      </c>
      <c r="G30291" s="49" t="str">
        <f t="shared" si="1"/>
        <v>42720</v>
      </c>
      <c r="H30291" s="49">
        <f t="shared" si="2"/>
        <v>42016</v>
      </c>
    </row>
    <row r="30292">
      <c r="A30292" s="48" t="s">
        <v>7549</v>
      </c>
      <c r="B30292" s="38">
        <v>50033.0</v>
      </c>
      <c r="C30292" s="38" t="s">
        <v>27639</v>
      </c>
      <c r="D30292" s="38" t="str">
        <f>IFERROR(__xludf.DUMMYFUNCTION("REGEXREPLACE(C30292,""-\d+(.*)|--\d+(.*)"","""")"),"BAUBIGNY")</f>
        <v>BAUBIGNY</v>
      </c>
      <c r="E30292" s="38" t="s">
        <v>157</v>
      </c>
      <c r="F30292" s="38" t="s">
        <v>138</v>
      </c>
      <c r="G30292" s="49" t="str">
        <f t="shared" si="1"/>
        <v>50270</v>
      </c>
      <c r="H30292" s="49">
        <f t="shared" si="2"/>
        <v>50033</v>
      </c>
    </row>
    <row r="30293">
      <c r="A30293" s="48" t="s">
        <v>5014</v>
      </c>
      <c r="B30293" s="38">
        <v>57712.0</v>
      </c>
      <c r="C30293" s="38" t="s">
        <v>34669</v>
      </c>
      <c r="D30293" s="38" t="str">
        <f>IFERROR(__xludf.DUMMYFUNCTION("REGEXREPLACE(C30293,""-\d+(.*)|--\d+(.*)"","""")"),"VIC-SUR-SEILLE")</f>
        <v>VIC-SUR-SEILLE</v>
      </c>
      <c r="E30293" s="38" t="s">
        <v>303</v>
      </c>
      <c r="F30293" s="38" t="s">
        <v>195</v>
      </c>
      <c r="G30293" s="49" t="str">
        <f t="shared" si="1"/>
        <v>57630</v>
      </c>
      <c r="H30293" s="49">
        <f t="shared" si="2"/>
        <v>57712</v>
      </c>
    </row>
    <row r="30294">
      <c r="A30294" s="48" t="s">
        <v>2120</v>
      </c>
      <c r="B30294" s="38">
        <v>50580.0</v>
      </c>
      <c r="C30294" s="38" t="s">
        <v>34670</v>
      </c>
      <c r="D30294" s="38" t="str">
        <f>IFERROR(__xludf.DUMMYFUNCTION("REGEXREPLACE(C30294,""-\d+(.*)|--\d+(.*)"","""")"),"SOTTEVILLE")</f>
        <v>SOTTEVILLE</v>
      </c>
      <c r="E30294" s="38" t="s">
        <v>157</v>
      </c>
      <c r="F30294" s="38" t="s">
        <v>138</v>
      </c>
      <c r="G30294" s="49" t="str">
        <f t="shared" si="1"/>
        <v>50340</v>
      </c>
      <c r="H30294" s="49">
        <f t="shared" si="2"/>
        <v>50580</v>
      </c>
    </row>
    <row r="30295">
      <c r="A30295" s="48" t="s">
        <v>15194</v>
      </c>
      <c r="B30295" s="38">
        <v>24473.0</v>
      </c>
      <c r="C30295" s="38" t="s">
        <v>34671</v>
      </c>
      <c r="D30295" s="38" t="str">
        <f>IFERROR(__xludf.DUMMYFUNCTION("REGEXREPLACE(C30295,""-\d+(.*)|--\d+(.*)"","""")"),"SAINTE-ORSE")</f>
        <v>SAINTE-ORSE</v>
      </c>
      <c r="E30295" s="38" t="s">
        <v>261</v>
      </c>
      <c r="F30295" s="38" t="s">
        <v>252</v>
      </c>
      <c r="G30295" s="49" t="str">
        <f t="shared" si="1"/>
        <v>24210</v>
      </c>
      <c r="H30295" s="49">
        <f t="shared" si="2"/>
        <v>24473</v>
      </c>
    </row>
    <row r="30296">
      <c r="A30296" s="48" t="s">
        <v>5642</v>
      </c>
      <c r="B30296" s="38">
        <v>73178.0</v>
      </c>
      <c r="C30296" s="38" t="s">
        <v>34672</v>
      </c>
      <c r="D30296" s="38" t="str">
        <f>IFERROR(__xludf.DUMMYFUNCTION("REGEXREPLACE(C30296,""-\d+(.*)|--\d+(.*)"","""")"),"LA MOTTE-EN-BAUGES")</f>
        <v>LA MOTTE-EN-BAUGES</v>
      </c>
      <c r="E30296" s="38" t="s">
        <v>306</v>
      </c>
      <c r="F30296" s="38" t="s">
        <v>102</v>
      </c>
      <c r="G30296" s="49" t="str">
        <f t="shared" si="1"/>
        <v>73340</v>
      </c>
      <c r="H30296" s="49">
        <f t="shared" si="2"/>
        <v>73178</v>
      </c>
    </row>
    <row r="30297">
      <c r="A30297" s="48" t="s">
        <v>3246</v>
      </c>
      <c r="B30297" s="38">
        <v>9182.0</v>
      </c>
      <c r="C30297" s="38" t="s">
        <v>34673</v>
      </c>
      <c r="D30297" s="38" t="str">
        <f>IFERROR(__xludf.DUMMYFUNCTION("REGEXREPLACE(C30297,""-\d+(.*)|--\d+(.*)"","""")"),"MASSAT")</f>
        <v>MASSAT</v>
      </c>
      <c r="E30297" s="38" t="s">
        <v>238</v>
      </c>
      <c r="F30297" s="38" t="s">
        <v>94</v>
      </c>
      <c r="G30297" s="49" t="str">
        <f t="shared" si="1"/>
        <v>09320</v>
      </c>
      <c r="H30297" s="49" t="str">
        <f t="shared" si="2"/>
        <v>09182</v>
      </c>
    </row>
    <row r="30298">
      <c r="A30298" s="48" t="s">
        <v>828</v>
      </c>
      <c r="B30298" s="38">
        <v>86279.0</v>
      </c>
      <c r="C30298" s="38" t="s">
        <v>34674</v>
      </c>
      <c r="D30298" s="38" t="str">
        <f>IFERROR(__xludf.DUMMYFUNCTION("REGEXREPLACE(C30298,""-\d+(.*)|--\d+(.*)"","""")"),"VAUX-SUR-VIENNE")</f>
        <v>VAUX-SUR-VIENNE</v>
      </c>
      <c r="E30298" s="38" t="s">
        <v>529</v>
      </c>
      <c r="F30298" s="38" t="s">
        <v>338</v>
      </c>
      <c r="G30298" s="49" t="str">
        <f t="shared" si="1"/>
        <v>86220</v>
      </c>
      <c r="H30298" s="49">
        <f t="shared" si="2"/>
        <v>86279</v>
      </c>
    </row>
    <row r="30299">
      <c r="A30299" s="48" t="s">
        <v>386</v>
      </c>
      <c r="B30299" s="38">
        <v>21623.0</v>
      </c>
      <c r="C30299" s="38" t="s">
        <v>34675</v>
      </c>
      <c r="D30299" s="38" t="str">
        <f>IFERROR(__xludf.DUMMYFUNCTION("REGEXREPLACE(C30299,""-\d+(.*)|--\d+(.*)"","""")"),"TART-LE-HAUT")</f>
        <v>TART-LE-HAUT</v>
      </c>
      <c r="E30299" s="38" t="s">
        <v>105</v>
      </c>
      <c r="F30299" s="38" t="s">
        <v>106</v>
      </c>
      <c r="G30299" s="49" t="str">
        <f t="shared" si="1"/>
        <v>21110</v>
      </c>
      <c r="H30299" s="49">
        <f t="shared" si="2"/>
        <v>21623</v>
      </c>
    </row>
    <row r="30300">
      <c r="A30300" s="48" t="s">
        <v>1582</v>
      </c>
      <c r="B30300" s="38">
        <v>45080.0</v>
      </c>
      <c r="C30300" s="38" t="s">
        <v>34676</v>
      </c>
      <c r="D30300" s="38" t="str">
        <f>IFERROR(__xludf.DUMMYFUNCTION("REGEXREPLACE(C30300,""-\d+(.*)|--\d+(.*)"","""")"),"CHARMONT-EN-BEAUCE")</f>
        <v>CHARMONT-EN-BEAUCE</v>
      </c>
      <c r="E30300" s="38" t="s">
        <v>122</v>
      </c>
      <c r="F30300" s="38" t="s">
        <v>123</v>
      </c>
      <c r="G30300" s="49" t="str">
        <f t="shared" si="1"/>
        <v>45480</v>
      </c>
      <c r="H30300" s="49">
        <f t="shared" si="2"/>
        <v>45080</v>
      </c>
    </row>
    <row r="30301">
      <c r="A30301" s="48" t="s">
        <v>12922</v>
      </c>
      <c r="B30301" s="38">
        <v>57562.0</v>
      </c>
      <c r="C30301" s="38" t="s">
        <v>34677</v>
      </c>
      <c r="D30301" s="38" t="str">
        <f>IFERROR(__xludf.DUMMYFUNCTION("REGEXREPLACE(C30301,""-\d+(.*)|--\d+(.*)"","""")"),"RANGUEVAUX")</f>
        <v>RANGUEVAUX</v>
      </c>
      <c r="E30301" s="38" t="s">
        <v>303</v>
      </c>
      <c r="F30301" s="38" t="s">
        <v>195</v>
      </c>
      <c r="G30301" s="49" t="str">
        <f t="shared" si="1"/>
        <v>57700</v>
      </c>
      <c r="H30301" s="49">
        <f t="shared" si="2"/>
        <v>57562</v>
      </c>
    </row>
    <row r="30302">
      <c r="A30302" s="48" t="s">
        <v>6025</v>
      </c>
      <c r="B30302" s="38">
        <v>31562.0</v>
      </c>
      <c r="C30302" s="38" t="s">
        <v>34678</v>
      </c>
      <c r="D30302" s="38" t="str">
        <f>IFERROR(__xludf.DUMMYFUNCTION("REGEXREPLACE(C30302,""-\d+(.*)|--\d+(.*)"","""")"),"URAU")</f>
        <v>URAU</v>
      </c>
      <c r="E30302" s="38" t="s">
        <v>93</v>
      </c>
      <c r="F30302" s="38" t="s">
        <v>94</v>
      </c>
      <c r="G30302" s="49" t="str">
        <f t="shared" si="1"/>
        <v>31260</v>
      </c>
      <c r="H30302" s="49">
        <f t="shared" si="2"/>
        <v>31562</v>
      </c>
    </row>
    <row r="30303">
      <c r="A30303" s="48" t="s">
        <v>3763</v>
      </c>
      <c r="B30303" s="38">
        <v>76602.0</v>
      </c>
      <c r="C30303" s="38" t="s">
        <v>34679</v>
      </c>
      <c r="D30303" s="38" t="str">
        <f>IFERROR(__xludf.DUMMYFUNCTION("REGEXREPLACE(C30303,""-\d+(.*)|--\d+(.*)"","""")"),"SAINT-MACLOU-DE-FOLLEVILLE")</f>
        <v>SAINT-MACLOU-DE-FOLLEVILLE</v>
      </c>
      <c r="E30303" s="38" t="s">
        <v>133</v>
      </c>
      <c r="F30303" s="38" t="s">
        <v>134</v>
      </c>
      <c r="G30303" s="49" t="str">
        <f t="shared" si="1"/>
        <v>76890</v>
      </c>
      <c r="H30303" s="49">
        <f t="shared" si="2"/>
        <v>76602</v>
      </c>
    </row>
    <row r="30304">
      <c r="A30304" s="48" t="s">
        <v>19282</v>
      </c>
      <c r="B30304" s="38">
        <v>65062.0</v>
      </c>
      <c r="C30304" s="38" t="s">
        <v>34680</v>
      </c>
      <c r="D30304" s="38" t="str">
        <f>IFERROR(__xludf.DUMMYFUNCTION("REGEXREPLACE(C30304,""-\d+(.*)|--\d+(.*)"","""")"),"BARBAZAN-DEBAT")</f>
        <v>BARBAZAN-DEBAT</v>
      </c>
      <c r="E30304" s="38" t="s">
        <v>200</v>
      </c>
      <c r="F30304" s="38" t="s">
        <v>94</v>
      </c>
      <c r="G30304" s="49" t="str">
        <f t="shared" si="1"/>
        <v>65690</v>
      </c>
      <c r="H30304" s="49">
        <f t="shared" si="2"/>
        <v>65062</v>
      </c>
    </row>
    <row r="30305">
      <c r="A30305" s="48" t="s">
        <v>8589</v>
      </c>
      <c r="B30305" s="38">
        <v>27064.0</v>
      </c>
      <c r="C30305" s="38" t="s">
        <v>34681</v>
      </c>
      <c r="D30305" s="38" t="str">
        <f>IFERROR(__xludf.DUMMYFUNCTION("REGEXREPLACE(C30305,""-\d+(.*)|--\d+(.*)"","""")"),"BERVILLE-SUR-MER")</f>
        <v>BERVILLE-SUR-MER</v>
      </c>
      <c r="E30305" s="38" t="s">
        <v>241</v>
      </c>
      <c r="F30305" s="38" t="s">
        <v>134</v>
      </c>
      <c r="G30305" s="49" t="str">
        <f t="shared" si="1"/>
        <v>27210</v>
      </c>
      <c r="H30305" s="49">
        <f t="shared" si="2"/>
        <v>27064</v>
      </c>
    </row>
    <row r="30306">
      <c r="A30306" s="48" t="s">
        <v>6517</v>
      </c>
      <c r="B30306" s="38">
        <v>50406.0</v>
      </c>
      <c r="C30306" s="38" t="s">
        <v>34682</v>
      </c>
      <c r="D30306" s="38" t="str">
        <f>IFERROR(__xludf.DUMMYFUNCTION("REGEXREPLACE(C30306,""-\d+(.*)|--\d+(.*)"","""")"),"PLOMB")</f>
        <v>PLOMB</v>
      </c>
      <c r="E30306" s="38" t="s">
        <v>157</v>
      </c>
      <c r="F30306" s="38" t="s">
        <v>138</v>
      </c>
      <c r="G30306" s="49" t="str">
        <f t="shared" si="1"/>
        <v>50870</v>
      </c>
      <c r="H30306" s="49">
        <f t="shared" si="2"/>
        <v>50406</v>
      </c>
    </row>
    <row r="30307">
      <c r="A30307" s="48" t="s">
        <v>3716</v>
      </c>
      <c r="B30307" s="38">
        <v>57502.0</v>
      </c>
      <c r="C30307" s="38" t="s">
        <v>34683</v>
      </c>
      <c r="D30307" s="38" t="str">
        <f>IFERROR(__xludf.DUMMYFUNCTION("REGEXREPLACE(C30307,""-\d+(.*)|--\d+(.*)"","""")"),"NEUNKIRCHEN-LES-BOUZONVILLE")</f>
        <v>NEUNKIRCHEN-LES-BOUZONVILLE</v>
      </c>
      <c r="E30307" s="38" t="s">
        <v>303</v>
      </c>
      <c r="F30307" s="38" t="s">
        <v>195</v>
      </c>
      <c r="G30307" s="49" t="str">
        <f t="shared" si="1"/>
        <v>57320</v>
      </c>
      <c r="H30307" s="49">
        <f t="shared" si="2"/>
        <v>57502</v>
      </c>
    </row>
    <row r="30308">
      <c r="A30308" s="48" t="s">
        <v>12834</v>
      </c>
      <c r="B30308" s="38">
        <v>73254.0</v>
      </c>
      <c r="C30308" s="38" t="s">
        <v>34684</v>
      </c>
      <c r="D30308" s="38" t="str">
        <f>IFERROR(__xludf.DUMMYFUNCTION("REGEXREPLACE(C30308,""-\d+(.*)|--\d+(.*)"","""")"),"SAINTE-MARIE-D'ALVEY")</f>
        <v>SAINTE-MARIE-D'ALVEY</v>
      </c>
      <c r="E30308" s="38" t="s">
        <v>306</v>
      </c>
      <c r="F30308" s="38" t="s">
        <v>102</v>
      </c>
      <c r="G30308" s="49" t="str">
        <f t="shared" si="1"/>
        <v>73240</v>
      </c>
      <c r="H30308" s="49">
        <f t="shared" si="2"/>
        <v>73254</v>
      </c>
    </row>
    <row r="30309">
      <c r="A30309" s="48" t="s">
        <v>5425</v>
      </c>
      <c r="B30309" s="38">
        <v>82158.0</v>
      </c>
      <c r="C30309" s="38" t="s">
        <v>34685</v>
      </c>
      <c r="D30309" s="38" t="str">
        <f>IFERROR(__xludf.DUMMYFUNCTION("REGEXREPLACE(C30309,""-\d+(.*)|--\d+(.*)"","""")"),"SAINT-CIRICE")</f>
        <v>SAINT-CIRICE</v>
      </c>
      <c r="E30309" s="38" t="s">
        <v>570</v>
      </c>
      <c r="F30309" s="38" t="s">
        <v>94</v>
      </c>
      <c r="G30309" s="49" t="str">
        <f t="shared" si="1"/>
        <v>82340</v>
      </c>
      <c r="H30309" s="49">
        <f t="shared" si="2"/>
        <v>82158</v>
      </c>
    </row>
    <row r="30310">
      <c r="A30310" s="48" t="s">
        <v>803</v>
      </c>
      <c r="B30310" s="38">
        <v>1097.0</v>
      </c>
      <c r="C30310" s="38" t="s">
        <v>34686</v>
      </c>
      <c r="D30310" s="38" t="str">
        <f>IFERROR(__xludf.DUMMYFUNCTION("REGEXREPLACE(C30310,""-\d+(.*)|--\d+(.*)"","""")"),"CHAVORNAY")</f>
        <v>CHAVORNAY</v>
      </c>
      <c r="E30310" s="38" t="s">
        <v>255</v>
      </c>
      <c r="F30310" s="38" t="s">
        <v>102</v>
      </c>
      <c r="G30310" s="49" t="str">
        <f t="shared" si="1"/>
        <v>01510</v>
      </c>
      <c r="H30310" s="49" t="str">
        <f t="shared" si="2"/>
        <v>01097</v>
      </c>
    </row>
    <row r="30311">
      <c r="A30311" s="48" t="s">
        <v>7598</v>
      </c>
      <c r="B30311" s="38">
        <v>32143.0</v>
      </c>
      <c r="C30311" s="38" t="s">
        <v>34687</v>
      </c>
      <c r="D30311" s="38" t="str">
        <f>IFERROR(__xludf.DUMMYFUNCTION("REGEXREPLACE(C30311,""-\d+(.*)|--\d+(.*)"","""")"),"GAZAUPOUY")</f>
        <v>GAZAUPOUY</v>
      </c>
      <c r="E30311" s="38" t="s">
        <v>440</v>
      </c>
      <c r="F30311" s="38" t="s">
        <v>94</v>
      </c>
      <c r="G30311" s="49" t="str">
        <f t="shared" si="1"/>
        <v>32480</v>
      </c>
      <c r="H30311" s="49">
        <f t="shared" si="2"/>
        <v>32143</v>
      </c>
    </row>
    <row r="30312">
      <c r="A30312" s="48" t="s">
        <v>2382</v>
      </c>
      <c r="B30312" s="38">
        <v>54008.0</v>
      </c>
      <c r="C30312" s="38" t="s">
        <v>34688</v>
      </c>
      <c r="D30312" s="38" t="str">
        <f>IFERROR(__xludf.DUMMYFUNCTION("REGEXREPLACE(C30312,""-\d+(.*)|--\d+(.*)"","""")"),"ALLAIN")</f>
        <v>ALLAIN</v>
      </c>
      <c r="E30312" s="38" t="s">
        <v>548</v>
      </c>
      <c r="F30312" s="38" t="s">
        <v>195</v>
      </c>
      <c r="G30312" s="49" t="str">
        <f t="shared" si="1"/>
        <v>54170</v>
      </c>
      <c r="H30312" s="49">
        <f t="shared" si="2"/>
        <v>54008</v>
      </c>
    </row>
    <row r="30313">
      <c r="A30313" s="48" t="s">
        <v>26838</v>
      </c>
      <c r="B30313" s="38">
        <v>51372.0</v>
      </c>
      <c r="C30313" s="38" t="s">
        <v>34689</v>
      </c>
      <c r="D30313" s="38" t="str">
        <f>IFERROR(__xludf.DUMMYFUNCTION("REGEXREPLACE(C30313,""-\d+(.*)|--\d+(.*)"","""")"),"MONCETZ-LONGEVAS")</f>
        <v>MONCETZ-LONGEVAS</v>
      </c>
      <c r="E30313" s="38" t="s">
        <v>129</v>
      </c>
      <c r="F30313" s="38" t="s">
        <v>130</v>
      </c>
      <c r="G30313" s="49" t="str">
        <f t="shared" si="1"/>
        <v>51470</v>
      </c>
      <c r="H30313" s="49">
        <f t="shared" si="2"/>
        <v>51372</v>
      </c>
    </row>
    <row r="30314">
      <c r="A30314" s="48" t="s">
        <v>3359</v>
      </c>
      <c r="B30314" s="38">
        <v>9298.0</v>
      </c>
      <c r="C30314" s="38" t="s">
        <v>34690</v>
      </c>
      <c r="D30314" s="38" t="str">
        <f>IFERROR(__xludf.DUMMYFUNCTION("REGEXREPLACE(C30314,""-\d+(.*)|--\d+(.*)"","""")"),"SORGEAT")</f>
        <v>SORGEAT</v>
      </c>
      <c r="E30314" s="38" t="s">
        <v>238</v>
      </c>
      <c r="F30314" s="38" t="s">
        <v>94</v>
      </c>
      <c r="G30314" s="49" t="str">
        <f t="shared" si="1"/>
        <v>09110</v>
      </c>
      <c r="H30314" s="49" t="str">
        <f t="shared" si="2"/>
        <v>09298</v>
      </c>
    </row>
    <row r="30315">
      <c r="A30315" s="48" t="s">
        <v>491</v>
      </c>
      <c r="B30315" s="38">
        <v>19148.0</v>
      </c>
      <c r="C30315" s="38" t="s">
        <v>28774</v>
      </c>
      <c r="D30315" s="38" t="str">
        <f>IFERROR(__xludf.DUMMYFUNCTION("REGEXREPLACE(C30315,""-\d+(.*)|--\d+(.*)"","""")"),"NEUVIC")</f>
        <v>NEUVIC</v>
      </c>
      <c r="E30315" s="38" t="s">
        <v>271</v>
      </c>
      <c r="F30315" s="38" t="s">
        <v>98</v>
      </c>
      <c r="G30315" s="49" t="str">
        <f t="shared" si="1"/>
        <v>19160</v>
      </c>
      <c r="H30315" s="49">
        <f t="shared" si="2"/>
        <v>19148</v>
      </c>
    </row>
    <row r="30316">
      <c r="A30316" s="48" t="s">
        <v>4826</v>
      </c>
      <c r="B30316" s="38">
        <v>57245.0</v>
      </c>
      <c r="C30316" s="38" t="s">
        <v>34691</v>
      </c>
      <c r="D30316" s="38" t="str">
        <f>IFERROR(__xludf.DUMMYFUNCTION("REGEXREPLACE(C30316,""-\d+(.*)|--\d+(.*)"","""")"),"GAVISSE")</f>
        <v>GAVISSE</v>
      </c>
      <c r="E30316" s="38" t="s">
        <v>303</v>
      </c>
      <c r="F30316" s="38" t="s">
        <v>195</v>
      </c>
      <c r="G30316" s="49" t="str">
        <f t="shared" si="1"/>
        <v>57570</v>
      </c>
      <c r="H30316" s="49">
        <f t="shared" si="2"/>
        <v>57245</v>
      </c>
    </row>
    <row r="30317">
      <c r="A30317" s="48" t="s">
        <v>266</v>
      </c>
      <c r="B30317" s="38">
        <v>64331.0</v>
      </c>
      <c r="C30317" s="38" t="s">
        <v>34692</v>
      </c>
      <c r="D30317" s="38" t="str">
        <f>IFERROR(__xludf.DUMMYFUNCTION("REGEXREPLACE(C30317,""-\d+(.*)|--\d+(.*)"","""")"),"LEMBEYE")</f>
        <v>LEMBEYE</v>
      </c>
      <c r="E30317" s="38" t="s">
        <v>268</v>
      </c>
      <c r="F30317" s="38" t="s">
        <v>252</v>
      </c>
      <c r="G30317" s="49" t="str">
        <f t="shared" si="1"/>
        <v>64350</v>
      </c>
      <c r="H30317" s="49">
        <f t="shared" si="2"/>
        <v>64331</v>
      </c>
    </row>
    <row r="30318">
      <c r="A30318" s="48" t="s">
        <v>9026</v>
      </c>
      <c r="B30318" s="38">
        <v>21701.0</v>
      </c>
      <c r="C30318" s="38" t="s">
        <v>34693</v>
      </c>
      <c r="D30318" s="38" t="str">
        <f>IFERROR(__xludf.DUMMYFUNCTION("REGEXREPLACE(C30318,""-\d+(.*)|--\d+(.*)"","""")"),"VILLERS-ROTIN")</f>
        <v>VILLERS-ROTIN</v>
      </c>
      <c r="E30318" s="38" t="s">
        <v>105</v>
      </c>
      <c r="F30318" s="38" t="s">
        <v>106</v>
      </c>
      <c r="G30318" s="49" t="str">
        <f t="shared" si="1"/>
        <v>21130</v>
      </c>
      <c r="H30318" s="49">
        <f t="shared" si="2"/>
        <v>21701</v>
      </c>
    </row>
    <row r="30319">
      <c r="A30319" s="48" t="s">
        <v>4519</v>
      </c>
      <c r="B30319" s="38">
        <v>26091.0</v>
      </c>
      <c r="C30319" s="38" t="s">
        <v>34694</v>
      </c>
      <c r="D30319" s="38" t="str">
        <f>IFERROR(__xludf.DUMMYFUNCTION("REGEXREPLACE(C30319,""-\d+(.*)|--\d+(.*)"","""")"),"CHAUVAC-LAUX-MONTAUX")</f>
        <v>CHAUVAC-LAUX-MONTAUX</v>
      </c>
      <c r="E30319" s="38" t="s">
        <v>126</v>
      </c>
      <c r="F30319" s="38" t="s">
        <v>102</v>
      </c>
      <c r="G30319" s="49" t="str">
        <f t="shared" si="1"/>
        <v>26510</v>
      </c>
      <c r="H30319" s="49">
        <f t="shared" si="2"/>
        <v>26091</v>
      </c>
    </row>
    <row r="30320">
      <c r="A30320" s="48" t="s">
        <v>765</v>
      </c>
      <c r="B30320" s="38">
        <v>89120.0</v>
      </c>
      <c r="C30320" s="38" t="s">
        <v>34695</v>
      </c>
      <c r="D30320" s="38" t="str">
        <f>IFERROR(__xludf.DUMMYFUNCTION("REGEXREPLACE(C30320,""-\d+(.*)|--\d+(.*)"","""")"),"COULOURS")</f>
        <v>COULOURS</v>
      </c>
      <c r="E30320" s="38" t="s">
        <v>275</v>
      </c>
      <c r="F30320" s="38" t="s">
        <v>106</v>
      </c>
      <c r="G30320" s="49" t="str">
        <f t="shared" si="1"/>
        <v>89320</v>
      </c>
      <c r="H30320" s="49">
        <f t="shared" si="2"/>
        <v>89120</v>
      </c>
    </row>
    <row r="30321">
      <c r="A30321" s="48" t="s">
        <v>307</v>
      </c>
      <c r="B30321" s="38">
        <v>88045.0</v>
      </c>
      <c r="C30321" s="38" t="s">
        <v>34696</v>
      </c>
      <c r="D30321" s="38" t="str">
        <f>IFERROR(__xludf.DUMMYFUNCTION("REGEXREPLACE(C30321,""-\d+(.*)|--\d+(.*)"","""")"),"BEAUFREMONT")</f>
        <v>BEAUFREMONT</v>
      </c>
      <c r="E30321" s="38" t="s">
        <v>194</v>
      </c>
      <c r="F30321" s="38" t="s">
        <v>195</v>
      </c>
      <c r="G30321" s="49" t="str">
        <f t="shared" si="1"/>
        <v>88300</v>
      </c>
      <c r="H30321" s="49">
        <f t="shared" si="2"/>
        <v>88045</v>
      </c>
    </row>
    <row r="30322">
      <c r="A30322" s="48" t="s">
        <v>3655</v>
      </c>
      <c r="B30322" s="38">
        <v>51102.0</v>
      </c>
      <c r="C30322" s="38" t="s">
        <v>34697</v>
      </c>
      <c r="D30322" s="38" t="str">
        <f>IFERROR(__xludf.DUMMYFUNCTION("REGEXREPLACE(C30322,""-\d+(.*)|--\d+(.*)"","""")"),"CAUROY-LES-HERMONVILLE")</f>
        <v>CAUROY-LES-HERMONVILLE</v>
      </c>
      <c r="E30322" s="38" t="s">
        <v>129</v>
      </c>
      <c r="F30322" s="38" t="s">
        <v>130</v>
      </c>
      <c r="G30322" s="49" t="str">
        <f t="shared" si="1"/>
        <v>51220</v>
      </c>
      <c r="H30322" s="49">
        <f t="shared" si="2"/>
        <v>51102</v>
      </c>
    </row>
    <row r="30323">
      <c r="A30323" s="48" t="s">
        <v>2837</v>
      </c>
      <c r="B30323" s="38">
        <v>17233.0</v>
      </c>
      <c r="C30323" s="38" t="s">
        <v>34698</v>
      </c>
      <c r="D30323" s="38" t="str">
        <f>IFERROR(__xludf.DUMMYFUNCTION("REGEXREPLACE(C30323,""-\d+(.*)|--\d+(.*)"","""")"),"MEUX")</f>
        <v>MEUX</v>
      </c>
      <c r="E30323" s="38" t="s">
        <v>488</v>
      </c>
      <c r="F30323" s="38" t="s">
        <v>338</v>
      </c>
      <c r="G30323" s="49" t="str">
        <f t="shared" si="1"/>
        <v>17500</v>
      </c>
      <c r="H30323" s="49">
        <f t="shared" si="2"/>
        <v>17233</v>
      </c>
    </row>
    <row r="30324">
      <c r="A30324" s="48" t="s">
        <v>2201</v>
      </c>
      <c r="B30324" s="38">
        <v>32116.0</v>
      </c>
      <c r="C30324" s="38" t="s">
        <v>34699</v>
      </c>
      <c r="D30324" s="38" t="str">
        <f>IFERROR(__xludf.DUMMYFUNCTION("REGEXREPLACE(C30324,""-\d+(.*)|--\d+(.*)"","""")"),"DUFFORT")</f>
        <v>DUFFORT</v>
      </c>
      <c r="E30324" s="38" t="s">
        <v>440</v>
      </c>
      <c r="F30324" s="38" t="s">
        <v>94</v>
      </c>
      <c r="G30324" s="49" t="str">
        <f t="shared" si="1"/>
        <v>32170</v>
      </c>
      <c r="H30324" s="49">
        <f t="shared" si="2"/>
        <v>32116</v>
      </c>
    </row>
    <row r="30325">
      <c r="A30325" s="48" t="s">
        <v>1027</v>
      </c>
      <c r="B30325" s="38">
        <v>1310.0</v>
      </c>
      <c r="C30325" s="38" t="s">
        <v>34700</v>
      </c>
      <c r="D30325" s="38" t="str">
        <f>IFERROR(__xludf.DUMMYFUNCTION("REGEXREPLACE(C30325,""-\d+(.*)|--\d+(.*)"","""")"),"PREMEYZEL")</f>
        <v>PREMEYZEL</v>
      </c>
      <c r="E30325" s="38" t="s">
        <v>255</v>
      </c>
      <c r="F30325" s="38" t="s">
        <v>102</v>
      </c>
      <c r="G30325" s="49" t="str">
        <f t="shared" si="1"/>
        <v>01300</v>
      </c>
      <c r="H30325" s="49" t="str">
        <f t="shared" si="2"/>
        <v>01310</v>
      </c>
    </row>
    <row r="30326">
      <c r="A30326" s="48" t="s">
        <v>5223</v>
      </c>
      <c r="B30326" s="38">
        <v>65170.0</v>
      </c>
      <c r="C30326" s="38" t="s">
        <v>34701</v>
      </c>
      <c r="D30326" s="38" t="str">
        <f>IFERROR(__xludf.DUMMYFUNCTION("REGEXREPLACE(C30326,""-\d+(.*)|--\d+(.*)"","""")"),"ESTAMPURES")</f>
        <v>ESTAMPURES</v>
      </c>
      <c r="E30326" s="38" t="s">
        <v>200</v>
      </c>
      <c r="F30326" s="38" t="s">
        <v>94</v>
      </c>
      <c r="G30326" s="49" t="str">
        <f t="shared" si="1"/>
        <v>65220</v>
      </c>
      <c r="H30326" s="49">
        <f t="shared" si="2"/>
        <v>65170</v>
      </c>
    </row>
    <row r="30327">
      <c r="A30327" s="48" t="s">
        <v>9430</v>
      </c>
      <c r="B30327" s="38">
        <v>24291.0</v>
      </c>
      <c r="C30327" s="38" t="s">
        <v>8727</v>
      </c>
      <c r="D30327" s="38" t="str">
        <f>IFERROR(__xludf.DUMMYFUNCTION("REGEXREPLACE(C30327,""-\d+(.*)|--\d+(.*)"","""")"),"MONTIGNAC")</f>
        <v>MONTIGNAC</v>
      </c>
      <c r="E30327" s="38" t="s">
        <v>261</v>
      </c>
      <c r="F30327" s="38" t="s">
        <v>252</v>
      </c>
      <c r="G30327" s="49" t="str">
        <f t="shared" si="1"/>
        <v>24290</v>
      </c>
      <c r="H30327" s="49">
        <f t="shared" si="2"/>
        <v>24291</v>
      </c>
    </row>
    <row r="30328">
      <c r="A30328" s="48" t="s">
        <v>2100</v>
      </c>
      <c r="B30328" s="38">
        <v>14346.0</v>
      </c>
      <c r="C30328" s="38" t="s">
        <v>34702</v>
      </c>
      <c r="D30328" s="38" t="str">
        <f>IFERROR(__xludf.DUMMYFUNCTION("REGEXREPLACE(C30328,""-\d+(.*)|--\d+(.*)"","""")"),"JUAYE-MONDAYE")</f>
        <v>JUAYE-MONDAYE</v>
      </c>
      <c r="E30328" s="38" t="s">
        <v>137</v>
      </c>
      <c r="F30328" s="38" t="s">
        <v>138</v>
      </c>
      <c r="G30328" s="49" t="str">
        <f t="shared" si="1"/>
        <v>14250</v>
      </c>
      <c r="H30328" s="49">
        <f t="shared" si="2"/>
        <v>14346</v>
      </c>
    </row>
    <row r="30329">
      <c r="A30329" s="48" t="s">
        <v>8267</v>
      </c>
      <c r="B30329" s="38">
        <v>22065.0</v>
      </c>
      <c r="C30329" s="38" t="s">
        <v>34703</v>
      </c>
      <c r="D30329" s="38" t="str">
        <f>IFERROR(__xludf.DUMMYFUNCTION("REGEXREPLACE(C30329,""-\d+(.*)|--\d+(.*)"","""")"),"GOUDELIN")</f>
        <v>GOUDELIN</v>
      </c>
      <c r="E30329" s="38" t="s">
        <v>89</v>
      </c>
      <c r="F30329" s="38" t="s">
        <v>90</v>
      </c>
      <c r="G30329" s="49" t="str">
        <f t="shared" si="1"/>
        <v>22290</v>
      </c>
      <c r="H30329" s="49">
        <f t="shared" si="2"/>
        <v>22065</v>
      </c>
    </row>
    <row r="30330">
      <c r="A30330" s="48" t="s">
        <v>34704</v>
      </c>
      <c r="B30330" s="38">
        <v>91161.0</v>
      </c>
      <c r="C30330" s="38" t="s">
        <v>34705</v>
      </c>
      <c r="D30330" s="38" t="str">
        <f>IFERROR(__xludf.DUMMYFUNCTION("REGEXREPLACE(C30330,""-\d+(.*)|--\d+(.*)"","""")"),"CHILLY-MAZARIN")</f>
        <v>CHILLY-MAZARIN</v>
      </c>
      <c r="E30330" s="38" t="s">
        <v>756</v>
      </c>
      <c r="F30330" s="38" t="s">
        <v>245</v>
      </c>
      <c r="G30330" s="49" t="str">
        <f t="shared" si="1"/>
        <v>91380</v>
      </c>
      <c r="H30330" s="49">
        <f t="shared" si="2"/>
        <v>91161</v>
      </c>
    </row>
    <row r="30331">
      <c r="A30331" s="48" t="s">
        <v>3904</v>
      </c>
      <c r="B30331" s="38">
        <v>43062.0</v>
      </c>
      <c r="C30331" s="38" t="s">
        <v>34706</v>
      </c>
      <c r="D30331" s="38" t="str">
        <f>IFERROR(__xludf.DUMMYFUNCTION("REGEXREPLACE(C30331,""-\d+(.*)|--\d+(.*)"","""")"),"CHASPUZAC")</f>
        <v>CHASPUZAC</v>
      </c>
      <c r="E30331" s="38" t="s">
        <v>332</v>
      </c>
      <c r="F30331" s="38" t="s">
        <v>161</v>
      </c>
      <c r="G30331" s="49" t="str">
        <f t="shared" si="1"/>
        <v>43320</v>
      </c>
      <c r="H30331" s="49">
        <f t="shared" si="2"/>
        <v>43062</v>
      </c>
    </row>
    <row r="30332">
      <c r="A30332" s="48" t="s">
        <v>1093</v>
      </c>
      <c r="B30332" s="38">
        <v>62819.0</v>
      </c>
      <c r="C30332" s="38" t="s">
        <v>34707</v>
      </c>
      <c r="D30332" s="38" t="str">
        <f>IFERROR(__xludf.DUMMYFUNCTION("REGEXREPLACE(C30332,""-\d+(.*)|--\d+(.*)"","""")"),"TILQUES")</f>
        <v>TILQUES</v>
      </c>
      <c r="E30332" s="38" t="s">
        <v>109</v>
      </c>
      <c r="F30332" s="38" t="s">
        <v>86</v>
      </c>
      <c r="G30332" s="49" t="str">
        <f t="shared" si="1"/>
        <v>62500</v>
      </c>
      <c r="H30332" s="49">
        <f t="shared" si="2"/>
        <v>62819</v>
      </c>
    </row>
    <row r="30333">
      <c r="A30333" s="48" t="s">
        <v>10849</v>
      </c>
      <c r="B30333" s="38">
        <v>64439.0</v>
      </c>
      <c r="C30333" s="38" t="s">
        <v>34708</v>
      </c>
      <c r="D30333" s="38" t="str">
        <f>IFERROR(__xludf.DUMMYFUNCTION("REGEXREPLACE(C30333,""-\d+(.*)|--\d+(.*)"","""")"),"OUSSE")</f>
        <v>OUSSE</v>
      </c>
      <c r="E30333" s="38" t="s">
        <v>268</v>
      </c>
      <c r="F30333" s="38" t="s">
        <v>252</v>
      </c>
      <c r="G30333" s="49" t="str">
        <f t="shared" si="1"/>
        <v>64320</v>
      </c>
      <c r="H30333" s="49">
        <f t="shared" si="2"/>
        <v>64439</v>
      </c>
    </row>
    <row r="30334">
      <c r="A30334" s="48" t="s">
        <v>34709</v>
      </c>
      <c r="B30334" s="38">
        <v>93030.0</v>
      </c>
      <c r="C30334" s="38" t="s">
        <v>34710</v>
      </c>
      <c r="D30334" s="38" t="str">
        <f>IFERROR(__xludf.DUMMYFUNCTION("REGEXREPLACE(C30334,""-\d+(.*)|--\d+(.*)"","""")"),"DUGNY")</f>
        <v>DUGNY</v>
      </c>
      <c r="E30334" s="38" t="s">
        <v>341</v>
      </c>
      <c r="F30334" s="38" t="s">
        <v>245</v>
      </c>
      <c r="G30334" s="49" t="str">
        <f t="shared" si="1"/>
        <v>93440</v>
      </c>
      <c r="H30334" s="49">
        <f t="shared" si="2"/>
        <v>93030</v>
      </c>
    </row>
    <row r="30335">
      <c r="A30335" s="48" t="s">
        <v>1317</v>
      </c>
      <c r="B30335" s="38">
        <v>8499.0</v>
      </c>
      <c r="C30335" s="38" t="s">
        <v>34711</v>
      </c>
      <c r="D30335" s="38" t="str">
        <f>IFERROR(__xludf.DUMMYFUNCTION("REGEXREPLACE(C30335,""-\d+(.*)|--\d+(.*)"","""")"),"WASIGNY")</f>
        <v>WASIGNY</v>
      </c>
      <c r="E30335" s="38" t="s">
        <v>327</v>
      </c>
      <c r="F30335" s="38" t="s">
        <v>130</v>
      </c>
      <c r="G30335" s="49" t="str">
        <f t="shared" si="1"/>
        <v>08270</v>
      </c>
      <c r="H30335" s="49" t="str">
        <f t="shared" si="2"/>
        <v>08499</v>
      </c>
    </row>
    <row r="30336">
      <c r="A30336" s="48" t="s">
        <v>3364</v>
      </c>
      <c r="B30336" s="38">
        <v>62882.0</v>
      </c>
      <c r="C30336" s="38" t="s">
        <v>34712</v>
      </c>
      <c r="D30336" s="38" t="str">
        <f>IFERROR(__xludf.DUMMYFUNCTION("REGEXREPLACE(C30336,""-\d+(.*)|--\d+(.*)"","""")"),"WAVRANS-SUR-L'AA")</f>
        <v>WAVRANS-SUR-L'AA</v>
      </c>
      <c r="E30336" s="38" t="s">
        <v>109</v>
      </c>
      <c r="F30336" s="38" t="s">
        <v>86</v>
      </c>
      <c r="G30336" s="49" t="str">
        <f t="shared" si="1"/>
        <v>62380</v>
      </c>
      <c r="H30336" s="49">
        <f t="shared" si="2"/>
        <v>62882</v>
      </c>
    </row>
    <row r="30337">
      <c r="A30337" s="48" t="s">
        <v>382</v>
      </c>
      <c r="B30337" s="38">
        <v>47022.0</v>
      </c>
      <c r="C30337" s="38" t="s">
        <v>34713</v>
      </c>
      <c r="D30337" s="38" t="str">
        <f>IFERROR(__xludf.DUMMYFUNCTION("REGEXREPLACE(C30337,""-\d+(.*)|--\d+(.*)"","""")"),"BAZENS")</f>
        <v>BAZENS</v>
      </c>
      <c r="E30337" s="38" t="s">
        <v>251</v>
      </c>
      <c r="F30337" s="38" t="s">
        <v>252</v>
      </c>
      <c r="G30337" s="49" t="str">
        <f t="shared" si="1"/>
        <v>47130</v>
      </c>
      <c r="H30337" s="49">
        <f t="shared" si="2"/>
        <v>47022</v>
      </c>
    </row>
    <row r="30338">
      <c r="A30338" s="48" t="s">
        <v>1850</v>
      </c>
      <c r="B30338" s="38">
        <v>48099.0</v>
      </c>
      <c r="C30338" s="38" t="s">
        <v>34714</v>
      </c>
      <c r="D30338" s="38" t="str">
        <f>IFERROR(__xludf.DUMMYFUNCTION("REGEXREPLACE(C30338,""-\d+(.*)|--\d+(.*)"","""")"),"LE MONASTIER-PIN-MORIES")</f>
        <v>LE MONASTIER-PIN-MORIES</v>
      </c>
      <c r="E30338" s="38" t="s">
        <v>154</v>
      </c>
      <c r="F30338" s="38" t="s">
        <v>119</v>
      </c>
      <c r="G30338" s="49" t="str">
        <f t="shared" si="1"/>
        <v>48100</v>
      </c>
      <c r="H30338" s="49">
        <f t="shared" si="2"/>
        <v>48099</v>
      </c>
    </row>
    <row r="30339">
      <c r="A30339" s="48" t="s">
        <v>5712</v>
      </c>
      <c r="B30339" s="38">
        <v>89452.0</v>
      </c>
      <c r="C30339" s="38" t="s">
        <v>34715</v>
      </c>
      <c r="D30339" s="38" t="str">
        <f>IFERROR(__xludf.DUMMYFUNCTION("REGEXREPLACE(C30339,""-\d+(.*)|--\d+(.*)"","""")"),"VILLECIEN")</f>
        <v>VILLECIEN</v>
      </c>
      <c r="E30339" s="38" t="s">
        <v>275</v>
      </c>
      <c r="F30339" s="38" t="s">
        <v>106</v>
      </c>
      <c r="G30339" s="49" t="str">
        <f t="shared" si="1"/>
        <v>89300</v>
      </c>
      <c r="H30339" s="49">
        <f t="shared" si="2"/>
        <v>89452</v>
      </c>
    </row>
    <row r="30340">
      <c r="A30340" s="48" t="s">
        <v>1728</v>
      </c>
      <c r="B30340" s="38">
        <v>45110.0</v>
      </c>
      <c r="C30340" s="38" t="s">
        <v>4680</v>
      </c>
      <c r="D30340" s="38" t="str">
        <f>IFERROR(__xludf.DUMMYFUNCTION("REGEXREPLACE(C30340,""-\d+(.*)|--\d+(.*)"","""")"),"COURCELLES")</f>
        <v>COURCELLES</v>
      </c>
      <c r="E30340" s="38" t="s">
        <v>122</v>
      </c>
      <c r="F30340" s="38" t="s">
        <v>123</v>
      </c>
      <c r="G30340" s="49" t="str">
        <f t="shared" si="1"/>
        <v>45300</v>
      </c>
      <c r="H30340" s="49">
        <f t="shared" si="2"/>
        <v>45110</v>
      </c>
    </row>
    <row r="30341">
      <c r="A30341" s="48" t="s">
        <v>8471</v>
      </c>
      <c r="B30341" s="38">
        <v>12097.0</v>
      </c>
      <c r="C30341" s="38" t="s">
        <v>34716</v>
      </c>
      <c r="D30341" s="38" t="str">
        <f>IFERROR(__xludf.DUMMYFUNCTION("REGEXREPLACE(C30341,""-\d+(.*)|--\d+(.*)"","""")"),"ESPEYRAC")</f>
        <v>ESPEYRAC</v>
      </c>
      <c r="E30341" s="38" t="s">
        <v>465</v>
      </c>
      <c r="F30341" s="38" t="s">
        <v>94</v>
      </c>
      <c r="G30341" s="49" t="str">
        <f t="shared" si="1"/>
        <v>12140</v>
      </c>
      <c r="H30341" s="49">
        <f t="shared" si="2"/>
        <v>12097</v>
      </c>
    </row>
    <row r="30342">
      <c r="A30342" s="48" t="s">
        <v>34717</v>
      </c>
      <c r="B30342" s="38">
        <v>54382.0</v>
      </c>
      <c r="C30342" s="38" t="s">
        <v>7976</v>
      </c>
      <c r="D30342" s="38" t="str">
        <f>IFERROR(__xludf.DUMMYFUNCTION("REGEXREPLACE(C30342,""-\d+(.*)|--\d+(.*)"","""")"),"MONT-SAINT-MARTIN")</f>
        <v>MONT-SAINT-MARTIN</v>
      </c>
      <c r="E30342" s="38" t="s">
        <v>548</v>
      </c>
      <c r="F30342" s="38" t="s">
        <v>195</v>
      </c>
      <c r="G30342" s="49" t="str">
        <f t="shared" si="1"/>
        <v>54350</v>
      </c>
      <c r="H30342" s="49">
        <f t="shared" si="2"/>
        <v>54382</v>
      </c>
    </row>
    <row r="30343">
      <c r="A30343" s="48" t="s">
        <v>8173</v>
      </c>
      <c r="B30343" s="38">
        <v>43103.0</v>
      </c>
      <c r="C30343" s="38" t="s">
        <v>34718</v>
      </c>
      <c r="D30343" s="38" t="str">
        <f>IFERROR(__xludf.DUMMYFUNCTION("REGEXREPLACE(C30343,""-\d+(.*)|--\d+(.*)"","""")"),"GRENIER-MONTGON")</f>
        <v>GRENIER-MONTGON</v>
      </c>
      <c r="E30343" s="38" t="s">
        <v>332</v>
      </c>
      <c r="F30343" s="38" t="s">
        <v>161</v>
      </c>
      <c r="G30343" s="49" t="str">
        <f t="shared" si="1"/>
        <v>43450</v>
      </c>
      <c r="H30343" s="49">
        <f t="shared" si="2"/>
        <v>43103</v>
      </c>
    </row>
    <row r="30344">
      <c r="A30344" s="48" t="s">
        <v>26913</v>
      </c>
      <c r="B30344" s="38">
        <v>38516.0</v>
      </c>
      <c r="C30344" s="38" t="s">
        <v>34719</v>
      </c>
      <c r="D30344" s="38" t="str">
        <f>IFERROR(__xludf.DUMMYFUNCTION("REGEXREPLACE(C30344,""-\d+(.*)|--\d+(.*)"","""")"),"LA TRONCHE")</f>
        <v>LA TRONCHE</v>
      </c>
      <c r="E30344" s="38" t="s">
        <v>101</v>
      </c>
      <c r="F30344" s="38" t="s">
        <v>102</v>
      </c>
      <c r="G30344" s="49" t="str">
        <f t="shared" si="1"/>
        <v>38700</v>
      </c>
      <c r="H30344" s="49">
        <f t="shared" si="2"/>
        <v>38516</v>
      </c>
    </row>
    <row r="30345">
      <c r="A30345" s="48" t="s">
        <v>28464</v>
      </c>
      <c r="B30345" s="38">
        <v>89460.0</v>
      </c>
      <c r="C30345" s="38" t="s">
        <v>34720</v>
      </c>
      <c r="D30345" s="38" t="str">
        <f>IFERROR(__xludf.DUMMYFUNCTION("REGEXREPLACE(C30345,""-\d+(.*)|--\d+(.*)"","""")"),"VILLENEUVE-LA-GUYARD")</f>
        <v>VILLENEUVE-LA-GUYARD</v>
      </c>
      <c r="E30345" s="38" t="s">
        <v>275</v>
      </c>
      <c r="F30345" s="38" t="s">
        <v>106</v>
      </c>
      <c r="G30345" s="49" t="str">
        <f t="shared" si="1"/>
        <v>89340</v>
      </c>
      <c r="H30345" s="49">
        <f t="shared" si="2"/>
        <v>89460</v>
      </c>
    </row>
    <row r="30346">
      <c r="A30346" s="48" t="s">
        <v>13581</v>
      </c>
      <c r="B30346" s="38">
        <v>78558.0</v>
      </c>
      <c r="C30346" s="38" t="s">
        <v>34721</v>
      </c>
      <c r="D30346" s="38" t="str">
        <f>IFERROR(__xludf.DUMMYFUNCTION("REGEXREPLACE(C30346,""-\d+(.*)|--\d+(.*)"","""")"),"SAINT-ILLIERS-LA-VILLE")</f>
        <v>SAINT-ILLIERS-LA-VILLE</v>
      </c>
      <c r="E30346" s="38" t="s">
        <v>362</v>
      </c>
      <c r="F30346" s="38" t="s">
        <v>245</v>
      </c>
      <c r="G30346" s="49" t="str">
        <f t="shared" si="1"/>
        <v>78980</v>
      </c>
      <c r="H30346" s="49">
        <f t="shared" si="2"/>
        <v>78558</v>
      </c>
    </row>
    <row r="30347">
      <c r="A30347" s="48" t="s">
        <v>2905</v>
      </c>
      <c r="B30347" s="38">
        <v>21243.0</v>
      </c>
      <c r="C30347" s="38" t="s">
        <v>34722</v>
      </c>
      <c r="D30347" s="38" t="str">
        <f>IFERROR(__xludf.DUMMYFUNCTION("REGEXREPLACE(C30347,""-\d+(.*)|--\d+(.*)"","""")"),"ECUTIGNY")</f>
        <v>ECUTIGNY</v>
      </c>
      <c r="E30347" s="38" t="s">
        <v>105</v>
      </c>
      <c r="F30347" s="38" t="s">
        <v>106</v>
      </c>
      <c r="G30347" s="49" t="str">
        <f t="shared" si="1"/>
        <v>21360</v>
      </c>
      <c r="H30347" s="49">
        <f t="shared" si="2"/>
        <v>21243</v>
      </c>
    </row>
    <row r="30348">
      <c r="A30348" s="48" t="s">
        <v>3486</v>
      </c>
      <c r="B30348" s="38">
        <v>76591.0</v>
      </c>
      <c r="C30348" s="38" t="s">
        <v>34723</v>
      </c>
      <c r="D30348" s="38" t="str">
        <f>IFERROR(__xludf.DUMMYFUNCTION("REGEXREPLACE(C30348,""-\d+(.*)|--\d+(.*)"","""")"),"SAINT-JACQUES-SUR-DARNETAL")</f>
        <v>SAINT-JACQUES-SUR-DARNETAL</v>
      </c>
      <c r="E30348" s="38" t="s">
        <v>133</v>
      </c>
      <c r="F30348" s="38" t="s">
        <v>134</v>
      </c>
      <c r="G30348" s="49" t="str">
        <f t="shared" si="1"/>
        <v>76160</v>
      </c>
      <c r="H30348" s="49">
        <f t="shared" si="2"/>
        <v>76591</v>
      </c>
    </row>
    <row r="30349">
      <c r="A30349" s="48" t="s">
        <v>4015</v>
      </c>
      <c r="B30349" s="38">
        <v>68291.0</v>
      </c>
      <c r="C30349" s="38" t="s">
        <v>34724</v>
      </c>
      <c r="D30349" s="38" t="str">
        <f>IFERROR(__xludf.DUMMYFUNCTION("REGEXREPLACE(C30349,""-\d+(.*)|--\d+(.*)"","""")"),"RUMERSHEIM-LE-HAUT")</f>
        <v>RUMERSHEIM-LE-HAUT</v>
      </c>
      <c r="E30349" s="38" t="s">
        <v>150</v>
      </c>
      <c r="F30349" s="38" t="s">
        <v>151</v>
      </c>
      <c r="G30349" s="49" t="str">
        <f t="shared" si="1"/>
        <v>68740</v>
      </c>
      <c r="H30349" s="49">
        <f t="shared" si="2"/>
        <v>68291</v>
      </c>
    </row>
    <row r="30350">
      <c r="A30350" s="48" t="s">
        <v>2920</v>
      </c>
      <c r="B30350" s="38">
        <v>62700.0</v>
      </c>
      <c r="C30350" s="38" t="s">
        <v>34725</v>
      </c>
      <c r="D30350" s="38" t="str">
        <f>IFERROR(__xludf.DUMMYFUNCTION("REGEXREPLACE(C30350,""-\d+(.*)|--\d+(.*)"","""")"),"REGNAUVILLE")</f>
        <v>REGNAUVILLE</v>
      </c>
      <c r="E30350" s="38" t="s">
        <v>109</v>
      </c>
      <c r="F30350" s="38" t="s">
        <v>86</v>
      </c>
      <c r="G30350" s="49" t="str">
        <f t="shared" si="1"/>
        <v>62140</v>
      </c>
      <c r="H30350" s="49">
        <f t="shared" si="2"/>
        <v>62700</v>
      </c>
    </row>
    <row r="30351">
      <c r="A30351" s="48" t="s">
        <v>1305</v>
      </c>
      <c r="B30351" s="38">
        <v>36121.0</v>
      </c>
      <c r="C30351" s="38" t="s">
        <v>34726</v>
      </c>
      <c r="D30351" s="38" t="str">
        <f>IFERROR(__xludf.DUMMYFUNCTION("REGEXREPLACE(C30351,""-\d+(.*)|--\d+(.*)"","""")"),"MEUNET-PLANCHES")</f>
        <v>MEUNET-PLANCHES</v>
      </c>
      <c r="E30351" s="38" t="s">
        <v>258</v>
      </c>
      <c r="F30351" s="38" t="s">
        <v>123</v>
      </c>
      <c r="G30351" s="49" t="str">
        <f t="shared" si="1"/>
        <v>36100</v>
      </c>
      <c r="H30351" s="49">
        <f t="shared" si="2"/>
        <v>36121</v>
      </c>
    </row>
    <row r="30352">
      <c r="A30352" s="48" t="s">
        <v>5982</v>
      </c>
      <c r="B30352" s="38">
        <v>63450.0</v>
      </c>
      <c r="C30352" s="38" t="s">
        <v>34727</v>
      </c>
      <c r="D30352" s="38" t="str">
        <f>IFERROR(__xludf.DUMMYFUNCTION("REGEXREPLACE(C30352,""-\d+(.*)|--\d+(.*)"","""")"),"VERNEUGHEOL")</f>
        <v>VERNEUGHEOL</v>
      </c>
      <c r="E30352" s="38" t="s">
        <v>353</v>
      </c>
      <c r="F30352" s="38" t="s">
        <v>161</v>
      </c>
      <c r="G30352" s="49" t="str">
        <f t="shared" si="1"/>
        <v>63470</v>
      </c>
      <c r="H30352" s="49">
        <f t="shared" si="2"/>
        <v>63450</v>
      </c>
    </row>
    <row r="30353">
      <c r="A30353" s="48" t="s">
        <v>26666</v>
      </c>
      <c r="B30353" s="38">
        <v>29195.0</v>
      </c>
      <c r="C30353" s="38" t="s">
        <v>34728</v>
      </c>
      <c r="D30353" s="38" t="str">
        <f>IFERROR(__xludf.DUMMYFUNCTION("REGEXREPLACE(C30353,""-\d+(.*)|--\d+(.*)"","""")"),"PLOUGUERNEAU")</f>
        <v>PLOUGUERNEAU</v>
      </c>
      <c r="E30353" s="38" t="s">
        <v>176</v>
      </c>
      <c r="F30353" s="38" t="s">
        <v>90</v>
      </c>
      <c r="G30353" s="49" t="str">
        <f t="shared" si="1"/>
        <v>29880</v>
      </c>
      <c r="H30353" s="49">
        <f t="shared" si="2"/>
        <v>29195</v>
      </c>
    </row>
    <row r="30354">
      <c r="A30354" s="48" t="s">
        <v>1008</v>
      </c>
      <c r="B30354" s="38">
        <v>2760.0</v>
      </c>
      <c r="C30354" s="38" t="s">
        <v>34729</v>
      </c>
      <c r="D30354" s="38" t="str">
        <f>IFERROR(__xludf.DUMMYFUNCTION("REGEXREPLACE(C30354,""-\d+(.*)|--\d+(.*)"","""")"),"LA VALLEE-MULATRE")</f>
        <v>LA VALLEE-MULATRE</v>
      </c>
      <c r="E30354" s="38" t="s">
        <v>191</v>
      </c>
      <c r="F30354" s="38" t="s">
        <v>113</v>
      </c>
      <c r="G30354" s="49" t="str">
        <f t="shared" si="1"/>
        <v>02110</v>
      </c>
      <c r="H30354" s="49" t="str">
        <f t="shared" si="2"/>
        <v>02760</v>
      </c>
    </row>
    <row r="30355">
      <c r="A30355" s="48" t="s">
        <v>12001</v>
      </c>
      <c r="B30355" s="38">
        <v>7002.0</v>
      </c>
      <c r="C30355" s="38" t="s">
        <v>34730</v>
      </c>
      <c r="D30355" s="38" t="str">
        <f>IFERROR(__xludf.DUMMYFUNCTION("REGEXREPLACE(C30355,""-\d+(.*)|--\d+(.*)"","""")"),"AILHON")</f>
        <v>AILHON</v>
      </c>
      <c r="E30355" s="38" t="s">
        <v>144</v>
      </c>
      <c r="F30355" s="38" t="s">
        <v>102</v>
      </c>
      <c r="G30355" s="49" t="str">
        <f t="shared" si="1"/>
        <v>07200</v>
      </c>
      <c r="H30355" s="49" t="str">
        <f t="shared" si="2"/>
        <v>07002</v>
      </c>
    </row>
    <row r="30356">
      <c r="A30356" s="48" t="s">
        <v>13834</v>
      </c>
      <c r="B30356" s="38">
        <v>36156.0</v>
      </c>
      <c r="C30356" s="38" t="s">
        <v>34731</v>
      </c>
      <c r="D30356" s="38" t="str">
        <f>IFERROR(__xludf.DUMMYFUNCTION("REGEXREPLACE(C30356,""-\d+(.*)|--\d+(.*)"","""")"),"PERASSAY")</f>
        <v>PERASSAY</v>
      </c>
      <c r="E30356" s="38" t="s">
        <v>258</v>
      </c>
      <c r="F30356" s="38" t="s">
        <v>123</v>
      </c>
      <c r="G30356" s="49" t="str">
        <f t="shared" si="1"/>
        <v>36160</v>
      </c>
      <c r="H30356" s="49">
        <f t="shared" si="2"/>
        <v>36156</v>
      </c>
    </row>
    <row r="30357">
      <c r="A30357" s="48" t="s">
        <v>3747</v>
      </c>
      <c r="B30357" s="38">
        <v>52438.0</v>
      </c>
      <c r="C30357" s="38" t="s">
        <v>34732</v>
      </c>
      <c r="D30357" s="38" t="str">
        <f>IFERROR(__xludf.DUMMYFUNCTION("REGEXREPLACE(C30357,""-\d+(.*)|--\d+(.*)"","""")"),"ROUGEUX")</f>
        <v>ROUGEUX</v>
      </c>
      <c r="E30357" s="38" t="s">
        <v>234</v>
      </c>
      <c r="F30357" s="38" t="s">
        <v>130</v>
      </c>
      <c r="G30357" s="49" t="str">
        <f t="shared" si="1"/>
        <v>52500</v>
      </c>
      <c r="H30357" s="49">
        <f t="shared" si="2"/>
        <v>52438</v>
      </c>
    </row>
    <row r="30358">
      <c r="A30358" s="48" t="s">
        <v>9315</v>
      </c>
      <c r="B30358" s="38">
        <v>68095.0</v>
      </c>
      <c r="C30358" s="38" t="s">
        <v>34733</v>
      </c>
      <c r="D30358" s="38" t="str">
        <f>IFERROR(__xludf.DUMMYFUNCTION("REGEXREPLACE(C30358,""-\d+(.*)|--\d+(.*)"","""")"),"FORTSCHWIHR")</f>
        <v>FORTSCHWIHR</v>
      </c>
      <c r="E30358" s="38" t="s">
        <v>150</v>
      </c>
      <c r="F30358" s="38" t="s">
        <v>151</v>
      </c>
      <c r="G30358" s="49" t="str">
        <f t="shared" si="1"/>
        <v>68320</v>
      </c>
      <c r="H30358" s="49">
        <f t="shared" si="2"/>
        <v>68095</v>
      </c>
    </row>
    <row r="30359">
      <c r="A30359" s="48" t="s">
        <v>34734</v>
      </c>
      <c r="B30359" s="38">
        <v>73015.0</v>
      </c>
      <c r="C30359" s="38" t="s">
        <v>34735</v>
      </c>
      <c r="D30359" s="38" t="str">
        <f>IFERROR(__xludf.DUMMYFUNCTION("REGEXREPLACE(C30359,""-\d+(.*)|--\d+(.*)"","""")"),"LES ALLUES")</f>
        <v>LES ALLUES</v>
      </c>
      <c r="E30359" s="38" t="s">
        <v>306</v>
      </c>
      <c r="F30359" s="38" t="s">
        <v>102</v>
      </c>
      <c r="G30359" s="49" t="str">
        <f t="shared" si="1"/>
        <v>73550</v>
      </c>
      <c r="H30359" s="49">
        <f t="shared" si="2"/>
        <v>73015</v>
      </c>
    </row>
    <row r="30360">
      <c r="A30360" s="48" t="s">
        <v>8671</v>
      </c>
      <c r="B30360" s="38">
        <v>87027.0</v>
      </c>
      <c r="C30360" s="38" t="s">
        <v>34736</v>
      </c>
      <c r="D30360" s="38" t="str">
        <f>IFERROR(__xludf.DUMMYFUNCTION("REGEXREPLACE(C30360,""-\d+(.*)|--\d+(.*)"","""")"),"BUSSIERE-GALANT")</f>
        <v>BUSSIERE-GALANT</v>
      </c>
      <c r="E30360" s="38" t="s">
        <v>897</v>
      </c>
      <c r="F30360" s="38" t="s">
        <v>98</v>
      </c>
      <c r="G30360" s="49" t="str">
        <f t="shared" si="1"/>
        <v>87230</v>
      </c>
      <c r="H30360" s="49">
        <f t="shared" si="2"/>
        <v>87027</v>
      </c>
    </row>
    <row r="30361">
      <c r="A30361" s="48" t="s">
        <v>1327</v>
      </c>
      <c r="B30361" s="38">
        <v>51337.0</v>
      </c>
      <c r="C30361" s="38" t="s">
        <v>324</v>
      </c>
      <c r="D30361" s="38" t="str">
        <f>IFERROR(__xludf.DUMMYFUNCTION("REGEXREPLACE(C30361,""-\d+(.*)|--\d+(.*)"","""")"),"MAGNEUX")</f>
        <v>MAGNEUX</v>
      </c>
      <c r="E30361" s="38" t="s">
        <v>129</v>
      </c>
      <c r="F30361" s="38" t="s">
        <v>130</v>
      </c>
      <c r="G30361" s="49" t="str">
        <f t="shared" si="1"/>
        <v>51170</v>
      </c>
      <c r="H30361" s="49">
        <f t="shared" si="2"/>
        <v>51337</v>
      </c>
    </row>
    <row r="30362">
      <c r="A30362" s="48" t="s">
        <v>4097</v>
      </c>
      <c r="B30362" s="38">
        <v>50362.0</v>
      </c>
      <c r="C30362" s="38" t="s">
        <v>4962</v>
      </c>
      <c r="D30362" s="38" t="str">
        <f>IFERROR(__xludf.DUMMYFUNCTION("REGEXREPLACE(C30362,""-\d+(.*)|--\d+(.*)"","""")"),"MOULINES")</f>
        <v>MOULINES</v>
      </c>
      <c r="E30362" s="38" t="s">
        <v>157</v>
      </c>
      <c r="F30362" s="38" t="s">
        <v>138</v>
      </c>
      <c r="G30362" s="49" t="str">
        <f t="shared" si="1"/>
        <v>50600</v>
      </c>
      <c r="H30362" s="49">
        <f t="shared" si="2"/>
        <v>50362</v>
      </c>
    </row>
    <row r="30363">
      <c r="A30363" s="48" t="s">
        <v>6032</v>
      </c>
      <c r="B30363" s="38">
        <v>4200.0</v>
      </c>
      <c r="C30363" s="38" t="s">
        <v>8067</v>
      </c>
      <c r="D30363" s="38" t="str">
        <f>IFERROR(__xludf.DUMMYFUNCTION("REGEXREPLACE(C30363,""-\d+(.*)|--\d+(.*)"","""")"),"SALIGNAC")</f>
        <v>SALIGNAC</v>
      </c>
      <c r="E30363" s="38" t="s">
        <v>662</v>
      </c>
      <c r="F30363" s="38" t="s">
        <v>228</v>
      </c>
      <c r="G30363" s="49" t="str">
        <f t="shared" si="1"/>
        <v>04290</v>
      </c>
      <c r="H30363" s="49" t="str">
        <f t="shared" si="2"/>
        <v>04200</v>
      </c>
    </row>
    <row r="30364">
      <c r="A30364" s="48" t="s">
        <v>1903</v>
      </c>
      <c r="B30364" s="38">
        <v>10063.0</v>
      </c>
      <c r="C30364" s="38" t="s">
        <v>34737</v>
      </c>
      <c r="D30364" s="38" t="str">
        <f>IFERROR(__xludf.DUMMYFUNCTION("REGEXREPLACE(C30364,""-\d+(.*)|--\d+(.*)"","""")"),"BRIENNE-LA-VIEILLE")</f>
        <v>BRIENNE-LA-VIEILLE</v>
      </c>
      <c r="E30364" s="38" t="s">
        <v>147</v>
      </c>
      <c r="F30364" s="38" t="s">
        <v>130</v>
      </c>
      <c r="G30364" s="49" t="str">
        <f t="shared" si="1"/>
        <v>10500</v>
      </c>
      <c r="H30364" s="49">
        <f t="shared" si="2"/>
        <v>10063</v>
      </c>
    </row>
    <row r="30365">
      <c r="A30365" s="48" t="s">
        <v>3275</v>
      </c>
      <c r="B30365" s="38">
        <v>59161.0</v>
      </c>
      <c r="C30365" s="38" t="s">
        <v>34738</v>
      </c>
      <c r="D30365" s="38" t="str">
        <f>IFERROR(__xludf.DUMMYFUNCTION("REGEXREPLACE(C30365,""-\d+(.*)|--\d+(.*)"","""")"),"CREVECOEUR-SUR-L'ESCAUT")</f>
        <v>CREVECOEUR-SUR-L'ESCAUT</v>
      </c>
      <c r="E30365" s="38" t="s">
        <v>85</v>
      </c>
      <c r="F30365" s="38" t="s">
        <v>86</v>
      </c>
      <c r="G30365" s="49" t="str">
        <f t="shared" si="1"/>
        <v>59258</v>
      </c>
      <c r="H30365" s="49">
        <f t="shared" si="2"/>
        <v>59161</v>
      </c>
    </row>
    <row r="30366">
      <c r="A30366" s="48" t="s">
        <v>5179</v>
      </c>
      <c r="B30366" s="38">
        <v>10084.0</v>
      </c>
      <c r="C30366" s="38" t="s">
        <v>34739</v>
      </c>
      <c r="D30366" s="38" t="str">
        <f>IFERROR(__xludf.DUMMYFUNCTION("REGEXREPLACE(C30366,""-\d+(.*)|--\d+(.*)"","""")"),"CHARMONT-SOUS-BARBUISE")</f>
        <v>CHARMONT-SOUS-BARBUISE</v>
      </c>
      <c r="E30366" s="38" t="s">
        <v>147</v>
      </c>
      <c r="F30366" s="38" t="s">
        <v>130</v>
      </c>
      <c r="G30366" s="49" t="str">
        <f t="shared" si="1"/>
        <v>10150</v>
      </c>
      <c r="H30366" s="49">
        <f t="shared" si="2"/>
        <v>10084</v>
      </c>
    </row>
    <row r="30367">
      <c r="A30367" s="48" t="s">
        <v>3925</v>
      </c>
      <c r="B30367" s="38">
        <v>41050.0</v>
      </c>
      <c r="C30367" s="38" t="s">
        <v>34740</v>
      </c>
      <c r="D30367" s="38" t="str">
        <f>IFERROR(__xludf.DUMMYFUNCTION("REGEXREPLACE(C30367,""-\d+(.*)|--\d+(.*)"","""")"),"CHEVERNY")</f>
        <v>CHEVERNY</v>
      </c>
      <c r="E30367" s="38" t="s">
        <v>188</v>
      </c>
      <c r="F30367" s="38" t="s">
        <v>123</v>
      </c>
      <c r="G30367" s="49" t="str">
        <f t="shared" si="1"/>
        <v>41700</v>
      </c>
      <c r="H30367" s="49">
        <f t="shared" si="2"/>
        <v>41050</v>
      </c>
    </row>
    <row r="30368">
      <c r="A30368" s="48" t="s">
        <v>14148</v>
      </c>
      <c r="B30368" s="38">
        <v>31442.0</v>
      </c>
      <c r="C30368" s="38" t="s">
        <v>34741</v>
      </c>
      <c r="D30368" s="38" t="str">
        <f>IFERROR(__xludf.DUMMYFUNCTION("REGEXREPLACE(C30368,""-\d+(.*)|--\d+(.*)"","""")"),"PUYDANIEL")</f>
        <v>PUYDANIEL</v>
      </c>
      <c r="E30368" s="38" t="s">
        <v>93</v>
      </c>
      <c r="F30368" s="38" t="s">
        <v>94</v>
      </c>
      <c r="G30368" s="49" t="str">
        <f t="shared" si="1"/>
        <v>31190</v>
      </c>
      <c r="H30368" s="49">
        <f t="shared" si="2"/>
        <v>31442</v>
      </c>
    </row>
    <row r="30369">
      <c r="A30369" s="48" t="s">
        <v>24319</v>
      </c>
      <c r="B30369" s="38">
        <v>3173.0</v>
      </c>
      <c r="C30369" s="38" t="s">
        <v>34742</v>
      </c>
      <c r="D30369" s="38" t="str">
        <f>IFERROR(__xludf.DUMMYFUNCTION("REGEXREPLACE(C30369,""-\d+(.*)|--\d+(.*)"","""")"),"MOLINET")</f>
        <v>MOLINET</v>
      </c>
      <c r="E30369" s="38" t="s">
        <v>160</v>
      </c>
      <c r="F30369" s="38" t="s">
        <v>161</v>
      </c>
      <c r="G30369" s="49" t="str">
        <f t="shared" si="1"/>
        <v>03510</v>
      </c>
      <c r="H30369" s="49" t="str">
        <f t="shared" si="2"/>
        <v>03173</v>
      </c>
    </row>
    <row r="30370">
      <c r="A30370" s="48" t="s">
        <v>6016</v>
      </c>
      <c r="B30370" s="38">
        <v>57387.0</v>
      </c>
      <c r="C30370" s="38" t="s">
        <v>34743</v>
      </c>
      <c r="D30370" s="38" t="str">
        <f>IFERROR(__xludf.DUMMYFUNCTION("REGEXREPLACE(C30370,""-\d+(.*)|--\d+(.*)"","""")"),"LAUMESFELD")</f>
        <v>LAUMESFELD</v>
      </c>
      <c r="E30370" s="38" t="s">
        <v>303</v>
      </c>
      <c r="F30370" s="38" t="s">
        <v>195</v>
      </c>
      <c r="G30370" s="49" t="str">
        <f t="shared" si="1"/>
        <v>57480</v>
      </c>
      <c r="H30370" s="49">
        <f t="shared" si="2"/>
        <v>57387</v>
      </c>
    </row>
    <row r="30371">
      <c r="A30371" s="48" t="s">
        <v>3250</v>
      </c>
      <c r="B30371" s="38">
        <v>59247.0</v>
      </c>
      <c r="C30371" s="38" t="s">
        <v>34744</v>
      </c>
      <c r="D30371" s="38" t="str">
        <f>IFERROR(__xludf.DUMMYFUNCTION("REGEXREPLACE(C30371,""-\d+(.*)|--\d+(.*)"","""")"),"FOREST-SUR-MARQUE")</f>
        <v>FOREST-SUR-MARQUE</v>
      </c>
      <c r="E30371" s="38" t="s">
        <v>85</v>
      </c>
      <c r="F30371" s="38" t="s">
        <v>86</v>
      </c>
      <c r="G30371" s="49" t="str">
        <f t="shared" si="1"/>
        <v>59510</v>
      </c>
      <c r="H30371" s="49">
        <f t="shared" si="2"/>
        <v>59247</v>
      </c>
    </row>
    <row r="30372">
      <c r="A30372" s="48" t="s">
        <v>423</v>
      </c>
      <c r="B30372" s="38">
        <v>2810.0</v>
      </c>
      <c r="C30372" s="38" t="s">
        <v>34745</v>
      </c>
      <c r="D30372" s="38" t="str">
        <f>IFERROR(__xludf.DUMMYFUNCTION("REGEXREPLACE(C30372,""-\d+(.*)|--\d+(.*)"","""")"),"VILLERS-COTTERETS")</f>
        <v>VILLERS-COTTERETS</v>
      </c>
      <c r="E30372" s="38" t="s">
        <v>191</v>
      </c>
      <c r="F30372" s="38" t="s">
        <v>113</v>
      </c>
      <c r="G30372" s="49" t="str">
        <f t="shared" si="1"/>
        <v>02600</v>
      </c>
      <c r="H30372" s="49" t="str">
        <f t="shared" si="2"/>
        <v>02810</v>
      </c>
    </row>
    <row r="30373">
      <c r="A30373" s="48" t="s">
        <v>1418</v>
      </c>
      <c r="B30373" s="38">
        <v>36092.0</v>
      </c>
      <c r="C30373" s="38" t="s">
        <v>34746</v>
      </c>
      <c r="D30373" s="38" t="str">
        <f>IFERROR(__xludf.DUMMYFUNCTION("REGEXREPLACE(C30373,""-\d+(.*)|--\d+(.*)"","""")"),"LANGE")</f>
        <v>LANGE</v>
      </c>
      <c r="E30373" s="38" t="s">
        <v>258</v>
      </c>
      <c r="F30373" s="38" t="s">
        <v>123</v>
      </c>
      <c r="G30373" s="49" t="str">
        <f t="shared" si="1"/>
        <v>36600</v>
      </c>
      <c r="H30373" s="49">
        <f t="shared" si="2"/>
        <v>36092</v>
      </c>
    </row>
    <row r="30374">
      <c r="A30374" s="48" t="s">
        <v>1022</v>
      </c>
      <c r="B30374" s="38">
        <v>2422.0</v>
      </c>
      <c r="C30374" s="38" t="s">
        <v>34747</v>
      </c>
      <c r="D30374" s="38" t="str">
        <f>IFERROR(__xludf.DUMMYFUNCTION("REGEXREPLACE(C30374,""-\d+(.*)|--\d+(.*)"","""")"),"LESQUIELLES-SAINT-GERMAIN")</f>
        <v>LESQUIELLES-SAINT-GERMAIN</v>
      </c>
      <c r="E30374" s="38" t="s">
        <v>191</v>
      </c>
      <c r="F30374" s="38" t="s">
        <v>113</v>
      </c>
      <c r="G30374" s="49" t="str">
        <f t="shared" si="1"/>
        <v>02120</v>
      </c>
      <c r="H30374" s="49" t="str">
        <f t="shared" si="2"/>
        <v>02422</v>
      </c>
    </row>
    <row r="30375">
      <c r="A30375" s="48" t="s">
        <v>34748</v>
      </c>
      <c r="B30375" s="38">
        <v>19031.0</v>
      </c>
      <c r="C30375" s="38" t="s">
        <v>34749</v>
      </c>
      <c r="D30375" s="38" t="str">
        <f>IFERROR(__xludf.DUMMYFUNCTION("REGEXREPLACE(C30375,""-\d+(.*)|--\d+(.*)"","""")"),"BRIVE-LA-GAILLARDE")</f>
        <v>BRIVE-LA-GAILLARDE</v>
      </c>
      <c r="E30375" s="38" t="s">
        <v>271</v>
      </c>
      <c r="F30375" s="38" t="s">
        <v>98</v>
      </c>
      <c r="G30375" s="49" t="str">
        <f t="shared" si="1"/>
        <v>19100</v>
      </c>
      <c r="H30375" s="49">
        <f t="shared" si="2"/>
        <v>19031</v>
      </c>
    </row>
    <row r="30376">
      <c r="A30376" s="48" t="s">
        <v>9801</v>
      </c>
      <c r="B30376" s="38">
        <v>2258.0</v>
      </c>
      <c r="C30376" s="38" t="s">
        <v>34750</v>
      </c>
      <c r="D30376" s="38" t="str">
        <f>IFERROR(__xludf.DUMMYFUNCTION("REGEXREPLACE(C30376,""-\d+(.*)|--\d+(.*)"","""")"),"DAMMARD")</f>
        <v>DAMMARD</v>
      </c>
      <c r="E30376" s="38" t="s">
        <v>191</v>
      </c>
      <c r="F30376" s="38" t="s">
        <v>113</v>
      </c>
      <c r="G30376" s="49" t="str">
        <f t="shared" si="1"/>
        <v>02470</v>
      </c>
      <c r="H30376" s="49" t="str">
        <f t="shared" si="2"/>
        <v>02258</v>
      </c>
    </row>
    <row r="30377">
      <c r="A30377" s="48" t="s">
        <v>6945</v>
      </c>
      <c r="B30377" s="38">
        <v>80103.0</v>
      </c>
      <c r="C30377" s="38" t="s">
        <v>34751</v>
      </c>
      <c r="D30377" s="38" t="str">
        <f>IFERROR(__xludf.DUMMYFUNCTION("REGEXREPLACE(C30377,""-\d+(.*)|--\d+(.*)"","""")"),"BIARRE")</f>
        <v>BIARRE</v>
      </c>
      <c r="E30377" s="38" t="s">
        <v>224</v>
      </c>
      <c r="F30377" s="38" t="s">
        <v>113</v>
      </c>
      <c r="G30377" s="49" t="str">
        <f t="shared" si="1"/>
        <v>80190</v>
      </c>
      <c r="H30377" s="49">
        <f t="shared" si="2"/>
        <v>80103</v>
      </c>
    </row>
    <row r="30378">
      <c r="A30378" s="48" t="s">
        <v>7824</v>
      </c>
      <c r="B30378" s="38">
        <v>82085.0</v>
      </c>
      <c r="C30378" s="38" t="s">
        <v>34752</v>
      </c>
      <c r="D30378" s="38" t="str">
        <f>IFERROR(__xludf.DUMMYFUNCTION("REGEXREPLACE(C30378,""-\d+(.*)|--\d+(.*)"","""")"),"LACOURT-SAINT-PIERRE")</f>
        <v>LACOURT-SAINT-PIERRE</v>
      </c>
      <c r="E30378" s="38" t="s">
        <v>570</v>
      </c>
      <c r="F30378" s="38" t="s">
        <v>94</v>
      </c>
      <c r="G30378" s="49" t="str">
        <f t="shared" si="1"/>
        <v>82290</v>
      </c>
      <c r="H30378" s="49">
        <f t="shared" si="2"/>
        <v>82085</v>
      </c>
    </row>
    <row r="30379">
      <c r="A30379" s="48" t="s">
        <v>1817</v>
      </c>
      <c r="B30379" s="38">
        <v>31262.0</v>
      </c>
      <c r="C30379" s="38" t="s">
        <v>20007</v>
      </c>
      <c r="D30379" s="38" t="str">
        <f>IFERROR(__xludf.DUMMYFUNCTION("REGEXREPLACE(C30379,""-\d+(.*)|--\d+(.*)"","""")"),"LAGARDE")</f>
        <v>LAGARDE</v>
      </c>
      <c r="E30379" s="38" t="s">
        <v>93</v>
      </c>
      <c r="F30379" s="38" t="s">
        <v>94</v>
      </c>
      <c r="G30379" s="49" t="str">
        <f t="shared" si="1"/>
        <v>31290</v>
      </c>
      <c r="H30379" s="49">
        <f t="shared" si="2"/>
        <v>31262</v>
      </c>
    </row>
    <row r="30380">
      <c r="A30380" s="48" t="s">
        <v>1534</v>
      </c>
      <c r="B30380" s="38">
        <v>19247.0</v>
      </c>
      <c r="C30380" s="38" t="s">
        <v>34753</v>
      </c>
      <c r="D30380" s="38" t="str">
        <f>IFERROR(__xludf.DUMMYFUNCTION("REGEXREPLACE(C30380,""-\d+(.*)|--\d+(.*)"","""")"),"SAINT-VICTOUR")</f>
        <v>SAINT-VICTOUR</v>
      </c>
      <c r="E30380" s="38" t="s">
        <v>271</v>
      </c>
      <c r="F30380" s="38" t="s">
        <v>98</v>
      </c>
      <c r="G30380" s="49" t="str">
        <f t="shared" si="1"/>
        <v>19200</v>
      </c>
      <c r="H30380" s="49">
        <f t="shared" si="2"/>
        <v>19247</v>
      </c>
    </row>
    <row r="30381">
      <c r="A30381" s="48" t="s">
        <v>3127</v>
      </c>
      <c r="B30381" s="38">
        <v>70012.0</v>
      </c>
      <c r="C30381" s="38" t="s">
        <v>25746</v>
      </c>
      <c r="D30381" s="38" t="str">
        <f>IFERROR(__xludf.DUMMYFUNCTION("REGEXREPLACE(C30381,""-\d+(.*)|--\d+(.*)"","""")"),"AMANCE")</f>
        <v>AMANCE</v>
      </c>
      <c r="E30381" s="38" t="s">
        <v>956</v>
      </c>
      <c r="F30381" s="38" t="s">
        <v>214</v>
      </c>
      <c r="G30381" s="49" t="str">
        <f t="shared" si="1"/>
        <v>70160</v>
      </c>
      <c r="H30381" s="49">
        <f t="shared" si="2"/>
        <v>70012</v>
      </c>
    </row>
    <row r="30382">
      <c r="A30382" s="48" t="s">
        <v>2640</v>
      </c>
      <c r="B30382" s="38">
        <v>58068.0</v>
      </c>
      <c r="C30382" s="38" t="s">
        <v>34754</v>
      </c>
      <c r="D30382" s="38" t="str">
        <f>IFERROR(__xludf.DUMMYFUNCTION("REGEXREPLACE(C30382,""-\d+(.*)|--\d+(.*)"","""")"),"CHAUMARD")</f>
        <v>CHAUMARD</v>
      </c>
      <c r="E30382" s="38" t="s">
        <v>219</v>
      </c>
      <c r="F30382" s="38" t="s">
        <v>106</v>
      </c>
      <c r="G30382" s="49" t="str">
        <f t="shared" si="1"/>
        <v>58120</v>
      </c>
      <c r="H30382" s="49">
        <f t="shared" si="2"/>
        <v>58068</v>
      </c>
    </row>
    <row r="30383">
      <c r="A30383" s="48" t="s">
        <v>34755</v>
      </c>
      <c r="B30383" s="38">
        <v>93064.0</v>
      </c>
      <c r="C30383" s="38" t="s">
        <v>34756</v>
      </c>
      <c r="D30383" s="38" t="str">
        <f>IFERROR(__xludf.DUMMYFUNCTION("REGEXREPLACE(C30383,""-\d+(.*)|--\d+(.*)"","""")"),"ROSNY-SOUS-BOIS")</f>
        <v>ROSNY-SOUS-BOIS</v>
      </c>
      <c r="E30383" s="38" t="s">
        <v>341</v>
      </c>
      <c r="F30383" s="38" t="s">
        <v>245</v>
      </c>
      <c r="G30383" s="49" t="str">
        <f t="shared" si="1"/>
        <v>93110</v>
      </c>
      <c r="H30383" s="49">
        <f t="shared" si="2"/>
        <v>93064</v>
      </c>
    </row>
    <row r="30384">
      <c r="A30384" s="48" t="s">
        <v>34757</v>
      </c>
      <c r="B30384" s="38">
        <v>16358.0</v>
      </c>
      <c r="C30384" s="38" t="s">
        <v>34758</v>
      </c>
      <c r="D30384" s="38" t="str">
        <f>IFERROR(__xludf.DUMMYFUNCTION("REGEXREPLACE(C30384,""-\d+(.*)|--\d+(.*)"","""")"),"SAINT-YRIEIX-SUR-CHARENTE")</f>
        <v>SAINT-YRIEIX-SUR-CHARENTE</v>
      </c>
      <c r="E30384" s="38" t="s">
        <v>429</v>
      </c>
      <c r="F30384" s="38" t="s">
        <v>338</v>
      </c>
      <c r="G30384" s="49" t="str">
        <f t="shared" si="1"/>
        <v>16710</v>
      </c>
      <c r="H30384" s="49">
        <f t="shared" si="2"/>
        <v>16358</v>
      </c>
    </row>
    <row r="30385">
      <c r="A30385" s="48" t="s">
        <v>944</v>
      </c>
      <c r="B30385" s="38">
        <v>61263.0</v>
      </c>
      <c r="C30385" s="38" t="s">
        <v>34759</v>
      </c>
      <c r="D30385" s="38" t="str">
        <f>IFERROR(__xludf.DUMMYFUNCTION("REGEXREPLACE(C30385,""-\d+(.*)|--\d+(.*)"","""")"),"MENIL-ERREUX")</f>
        <v>MENIL-ERREUX</v>
      </c>
      <c r="E30385" s="38" t="s">
        <v>141</v>
      </c>
      <c r="F30385" s="38" t="s">
        <v>138</v>
      </c>
      <c r="G30385" s="49" t="str">
        <f t="shared" si="1"/>
        <v>61250</v>
      </c>
      <c r="H30385" s="49">
        <f t="shared" si="2"/>
        <v>61263</v>
      </c>
    </row>
    <row r="30386">
      <c r="A30386" s="48" t="s">
        <v>1721</v>
      </c>
      <c r="B30386" s="38">
        <v>33357.0</v>
      </c>
      <c r="C30386" s="38" t="s">
        <v>34760</v>
      </c>
      <c r="D30386" s="38" t="str">
        <f>IFERROR(__xludf.DUMMYFUNCTION("REGEXREPLACE(C30386,""-\d+(.*)|--\d+(.*)"","""")"),"ROAILLAN")</f>
        <v>ROAILLAN</v>
      </c>
      <c r="E30386" s="38" t="s">
        <v>462</v>
      </c>
      <c r="F30386" s="38" t="s">
        <v>252</v>
      </c>
      <c r="G30386" s="49" t="str">
        <f t="shared" si="1"/>
        <v>33210</v>
      </c>
      <c r="H30386" s="49">
        <f t="shared" si="2"/>
        <v>33357</v>
      </c>
    </row>
    <row r="30387">
      <c r="A30387" s="48" t="s">
        <v>13972</v>
      </c>
      <c r="B30387" s="38">
        <v>54472.0</v>
      </c>
      <c r="C30387" s="38" t="s">
        <v>6198</v>
      </c>
      <c r="D30387" s="38" t="str">
        <f>IFERROR(__xludf.DUMMYFUNCTION("REGEXREPLACE(C30387,""-\d+(.*)|--\d+(.*)"","""")"),"SAINT-CLEMENT")</f>
        <v>SAINT-CLEMENT</v>
      </c>
      <c r="E30387" s="38" t="s">
        <v>548</v>
      </c>
      <c r="F30387" s="38" t="s">
        <v>195</v>
      </c>
      <c r="G30387" s="49" t="str">
        <f t="shared" si="1"/>
        <v>54950</v>
      </c>
      <c r="H30387" s="49">
        <f t="shared" si="2"/>
        <v>54472</v>
      </c>
    </row>
    <row r="30388">
      <c r="A30388" s="48" t="s">
        <v>1626</v>
      </c>
      <c r="B30388" s="38">
        <v>44088.0</v>
      </c>
      <c r="C30388" s="38" t="s">
        <v>34761</v>
      </c>
      <c r="D30388" s="38" t="str">
        <f>IFERROR(__xludf.DUMMYFUNCTION("REGEXREPLACE(C30388,""-\d+(.*)|--\d+(.*)"","""")"),"MAISDON-SUR-SEVRE")</f>
        <v>MAISDON-SUR-SEVRE</v>
      </c>
      <c r="E30388" s="38" t="s">
        <v>759</v>
      </c>
      <c r="F30388" s="38" t="s">
        <v>180</v>
      </c>
      <c r="G30388" s="49" t="str">
        <f t="shared" si="1"/>
        <v>44690</v>
      </c>
      <c r="H30388" s="49">
        <f t="shared" si="2"/>
        <v>44088</v>
      </c>
    </row>
    <row r="30389">
      <c r="A30389" s="48" t="s">
        <v>384</v>
      </c>
      <c r="B30389" s="38">
        <v>55120.0</v>
      </c>
      <c r="C30389" s="38" t="s">
        <v>34762</v>
      </c>
      <c r="D30389" s="38" t="str">
        <f>IFERROR(__xludf.DUMMYFUNCTION("REGEXREPLACE(C30389,""-\d+(.*)|--\d+(.*)"","""")"),"COMBLES-EN-BARROIS")</f>
        <v>COMBLES-EN-BARROIS</v>
      </c>
      <c r="E30389" s="38" t="s">
        <v>322</v>
      </c>
      <c r="F30389" s="38" t="s">
        <v>195</v>
      </c>
      <c r="G30389" s="49" t="str">
        <f t="shared" si="1"/>
        <v>55000</v>
      </c>
      <c r="H30389" s="49">
        <f t="shared" si="2"/>
        <v>55120</v>
      </c>
    </row>
    <row r="30390">
      <c r="A30390" s="48" t="s">
        <v>2447</v>
      </c>
      <c r="B30390" s="38">
        <v>42303.0</v>
      </c>
      <c r="C30390" s="38" t="s">
        <v>34763</v>
      </c>
      <c r="D30390" s="38" t="str">
        <f>IFERROR(__xludf.DUMMYFUNCTION("REGEXREPLACE(C30390,""-\d+(.*)|--\d+(.*)"","""")"),"SOUTERNON")</f>
        <v>SOUTERNON</v>
      </c>
      <c r="E30390" s="38" t="s">
        <v>166</v>
      </c>
      <c r="F30390" s="38" t="s">
        <v>102</v>
      </c>
      <c r="G30390" s="49" t="str">
        <f t="shared" si="1"/>
        <v>42260</v>
      </c>
      <c r="H30390" s="49">
        <f t="shared" si="2"/>
        <v>42303</v>
      </c>
    </row>
    <row r="30391">
      <c r="A30391" s="48" t="s">
        <v>2685</v>
      </c>
      <c r="B30391" s="38" t="s">
        <v>34764</v>
      </c>
      <c r="C30391" s="38" t="s">
        <v>34765</v>
      </c>
      <c r="D30391" s="38" t="str">
        <f>IFERROR(__xludf.DUMMYFUNCTION("REGEXREPLACE(C30391,""-\d+(.*)|--\d+(.*)"","""")"),"GUAGNO")</f>
        <v>GUAGNO</v>
      </c>
      <c r="E30391" s="38" t="s">
        <v>606</v>
      </c>
      <c r="F30391" s="38" t="s">
        <v>607</v>
      </c>
      <c r="G30391" s="49" t="str">
        <f t="shared" si="1"/>
        <v>20160</v>
      </c>
      <c r="H30391" s="49" t="str">
        <f t="shared" si="2"/>
        <v>2A131</v>
      </c>
    </row>
    <row r="30392">
      <c r="A30392" s="48" t="s">
        <v>3810</v>
      </c>
      <c r="B30392" s="38">
        <v>77327.0</v>
      </c>
      <c r="C30392" s="38" t="s">
        <v>34766</v>
      </c>
      <c r="D30392" s="38" t="str">
        <f>IFERROR(__xludf.DUMMYFUNCTION("REGEXREPLACE(C30392,""-\d+(.*)|--\d+(.*)"","""")"),"NANGIS")</f>
        <v>NANGIS</v>
      </c>
      <c r="E30392" s="38" t="s">
        <v>244</v>
      </c>
      <c r="F30392" s="38" t="s">
        <v>245</v>
      </c>
      <c r="G30392" s="49" t="str">
        <f t="shared" si="1"/>
        <v>77370</v>
      </c>
      <c r="H30392" s="49">
        <f t="shared" si="2"/>
        <v>77327</v>
      </c>
    </row>
    <row r="30393">
      <c r="A30393" s="48" t="s">
        <v>4267</v>
      </c>
      <c r="B30393" s="38">
        <v>62364.0</v>
      </c>
      <c r="C30393" s="38" t="s">
        <v>34767</v>
      </c>
      <c r="D30393" s="38" t="str">
        <f>IFERROR(__xludf.DUMMYFUNCTION("REGEXREPLACE(C30393,""-\d+(.*)|--\d+(.*)"","""")"),"FRUGES")</f>
        <v>FRUGES</v>
      </c>
      <c r="E30393" s="38" t="s">
        <v>109</v>
      </c>
      <c r="F30393" s="38" t="s">
        <v>86</v>
      </c>
      <c r="G30393" s="49" t="str">
        <f t="shared" si="1"/>
        <v>62310</v>
      </c>
      <c r="H30393" s="49">
        <f t="shared" si="2"/>
        <v>62364</v>
      </c>
    </row>
    <row r="30394">
      <c r="A30394" s="48" t="s">
        <v>4422</v>
      </c>
      <c r="B30394" s="38">
        <v>59566.0</v>
      </c>
      <c r="C30394" s="38" t="s">
        <v>34768</v>
      </c>
      <c r="D30394" s="38" t="str">
        <f>IFERROR(__xludf.DUMMYFUNCTION("REGEXREPLACE(C30394,""-\d+(.*)|--\d+(.*)"","""")"),"SEQUEDIN")</f>
        <v>SEQUEDIN</v>
      </c>
      <c r="E30394" s="38" t="s">
        <v>85</v>
      </c>
      <c r="F30394" s="38" t="s">
        <v>86</v>
      </c>
      <c r="G30394" s="49" t="str">
        <f t="shared" si="1"/>
        <v>59320</v>
      </c>
      <c r="H30394" s="49">
        <f t="shared" si="2"/>
        <v>59566</v>
      </c>
    </row>
    <row r="30395">
      <c r="A30395" s="48" t="s">
        <v>9613</v>
      </c>
      <c r="B30395" s="38">
        <v>16368.0</v>
      </c>
      <c r="C30395" s="38" t="s">
        <v>15244</v>
      </c>
      <c r="D30395" s="38" t="str">
        <f>IFERROR(__xludf.DUMMYFUNCTION("REGEXREPLACE(C30395,""-\d+(.*)|--\d+(.*)"","""")"),"SERS")</f>
        <v>SERS</v>
      </c>
      <c r="E30395" s="38" t="s">
        <v>429</v>
      </c>
      <c r="F30395" s="38" t="s">
        <v>338</v>
      </c>
      <c r="G30395" s="49" t="str">
        <f t="shared" si="1"/>
        <v>16410</v>
      </c>
      <c r="H30395" s="49">
        <f t="shared" si="2"/>
        <v>16368</v>
      </c>
    </row>
    <row r="30396">
      <c r="A30396" s="48" t="s">
        <v>7164</v>
      </c>
      <c r="B30396" s="38">
        <v>15081.0</v>
      </c>
      <c r="C30396" s="38" t="s">
        <v>34769</v>
      </c>
      <c r="D30396" s="38" t="str">
        <f>IFERROR(__xludf.DUMMYFUNCTION("REGEXREPLACE(C30396,""-\d+(.*)|--\d+(.*)"","""")"),"JOU-SOUS-MONJOU")</f>
        <v>JOU-SOUS-MONJOU</v>
      </c>
      <c r="E30396" s="38" t="s">
        <v>632</v>
      </c>
      <c r="F30396" s="38" t="s">
        <v>161</v>
      </c>
      <c r="G30396" s="49" t="str">
        <f t="shared" si="1"/>
        <v>15800</v>
      </c>
      <c r="H30396" s="49">
        <f t="shared" si="2"/>
        <v>15081</v>
      </c>
    </row>
    <row r="30397">
      <c r="A30397" s="48" t="s">
        <v>618</v>
      </c>
      <c r="B30397" s="38">
        <v>54531.0</v>
      </c>
      <c r="C30397" s="38" t="s">
        <v>34770</v>
      </c>
      <c r="D30397" s="38" t="str">
        <f>IFERROR(__xludf.DUMMYFUNCTION("REGEXREPLACE(C30397,""-\d+(.*)|--\d+(.*)"","""")"),"TRAMONT-SAINT-ANDRE")</f>
        <v>TRAMONT-SAINT-ANDRE</v>
      </c>
      <c r="E30397" s="38" t="s">
        <v>548</v>
      </c>
      <c r="F30397" s="38" t="s">
        <v>195</v>
      </c>
      <c r="G30397" s="49" t="str">
        <f t="shared" si="1"/>
        <v>54115</v>
      </c>
      <c r="H30397" s="49">
        <f t="shared" si="2"/>
        <v>54531</v>
      </c>
    </row>
    <row r="30398">
      <c r="A30398" s="48" t="s">
        <v>3448</v>
      </c>
      <c r="B30398" s="38">
        <v>65378.0</v>
      </c>
      <c r="C30398" s="38" t="s">
        <v>24832</v>
      </c>
      <c r="D30398" s="38" t="str">
        <f>IFERROR(__xludf.DUMMYFUNCTION("REGEXREPLACE(C30398,""-\d+(.*)|--\d+(.*)"","""")"),"RICAUD")</f>
        <v>RICAUD</v>
      </c>
      <c r="E30398" s="38" t="s">
        <v>200</v>
      </c>
      <c r="F30398" s="38" t="s">
        <v>94</v>
      </c>
      <c r="G30398" s="49" t="str">
        <f t="shared" si="1"/>
        <v>65190</v>
      </c>
      <c r="H30398" s="49">
        <f t="shared" si="2"/>
        <v>65378</v>
      </c>
    </row>
    <row r="30399">
      <c r="A30399" s="48" t="s">
        <v>2374</v>
      </c>
      <c r="B30399" s="38">
        <v>58071.0</v>
      </c>
      <c r="C30399" s="38" t="s">
        <v>34771</v>
      </c>
      <c r="D30399" s="38" t="str">
        <f>IFERROR(__xludf.DUMMYFUNCTION("REGEXREPLACE(C30399,""-\d+(.*)|--\d+(.*)"","""")"),"CHEVANNES-CHANGY")</f>
        <v>CHEVANNES-CHANGY</v>
      </c>
      <c r="E30399" s="38" t="s">
        <v>219</v>
      </c>
      <c r="F30399" s="38" t="s">
        <v>106</v>
      </c>
      <c r="G30399" s="49" t="str">
        <f t="shared" si="1"/>
        <v>58420</v>
      </c>
      <c r="H30399" s="49">
        <f t="shared" si="2"/>
        <v>58071</v>
      </c>
    </row>
    <row r="30400">
      <c r="A30400" s="48" t="s">
        <v>2035</v>
      </c>
      <c r="B30400" s="38">
        <v>64259.0</v>
      </c>
      <c r="C30400" s="38" t="s">
        <v>34772</v>
      </c>
      <c r="D30400" s="38" t="str">
        <f>IFERROR(__xludf.DUMMYFUNCTION("REGEXREPLACE(C30400,""-\d+(.*)|--\d+(.*)"","""")"),"HELETTE")</f>
        <v>HELETTE</v>
      </c>
      <c r="E30400" s="38" t="s">
        <v>268</v>
      </c>
      <c r="F30400" s="38" t="s">
        <v>252</v>
      </c>
      <c r="G30400" s="49" t="str">
        <f t="shared" si="1"/>
        <v>64640</v>
      </c>
      <c r="H30400" s="49">
        <f t="shared" si="2"/>
        <v>64259</v>
      </c>
    </row>
    <row r="30401">
      <c r="A30401" s="48" t="s">
        <v>3662</v>
      </c>
      <c r="B30401" s="38">
        <v>80606.0</v>
      </c>
      <c r="C30401" s="38" t="s">
        <v>34773</v>
      </c>
      <c r="D30401" s="38" t="str">
        <f>IFERROR(__xludf.DUMMYFUNCTION("REGEXREPLACE(C30401,""-\d+(.*)|--\d+(.*)"","""")"),"OISEMONT")</f>
        <v>OISEMONT</v>
      </c>
      <c r="E30401" s="38" t="s">
        <v>224</v>
      </c>
      <c r="F30401" s="38" t="s">
        <v>113</v>
      </c>
      <c r="G30401" s="49" t="str">
        <f t="shared" si="1"/>
        <v>80140</v>
      </c>
      <c r="H30401" s="49">
        <f t="shared" si="2"/>
        <v>80606</v>
      </c>
    </row>
    <row r="30402">
      <c r="A30402" s="48" t="s">
        <v>6271</v>
      </c>
      <c r="B30402" s="38">
        <v>66055.0</v>
      </c>
      <c r="C30402" s="38" t="s">
        <v>34774</v>
      </c>
      <c r="D30402" s="38" t="str">
        <f>IFERROR(__xludf.DUMMYFUNCTION("REGEXREPLACE(C30402,""-\d+(.*)|--\d+(.*)"","""")"),"CORBERE")</f>
        <v>CORBERE</v>
      </c>
      <c r="E30402" s="38" t="s">
        <v>248</v>
      </c>
      <c r="F30402" s="38" t="s">
        <v>119</v>
      </c>
      <c r="G30402" s="49" t="str">
        <f t="shared" si="1"/>
        <v>66130</v>
      </c>
      <c r="H30402" s="49">
        <f t="shared" si="2"/>
        <v>66055</v>
      </c>
    </row>
    <row r="30403">
      <c r="A30403" s="48" t="s">
        <v>4447</v>
      </c>
      <c r="B30403" s="38">
        <v>39436.0</v>
      </c>
      <c r="C30403" s="38" t="s">
        <v>34775</v>
      </c>
      <c r="D30403" s="38" t="str">
        <f>IFERROR(__xludf.DUMMYFUNCTION("REGEXREPLACE(C30403,""-\d+(.*)|--\d+(.*)"","""")"),"PONT-D'HERY")</f>
        <v>PONT-D'HERY</v>
      </c>
      <c r="E30403" s="38" t="s">
        <v>400</v>
      </c>
      <c r="F30403" s="38" t="s">
        <v>214</v>
      </c>
      <c r="G30403" s="49" t="str">
        <f t="shared" si="1"/>
        <v>39110</v>
      </c>
      <c r="H30403" s="49">
        <f t="shared" si="2"/>
        <v>39436</v>
      </c>
    </row>
    <row r="30404">
      <c r="A30404" s="48" t="s">
        <v>4748</v>
      </c>
      <c r="B30404" s="38">
        <v>77280.0</v>
      </c>
      <c r="C30404" s="38" t="s">
        <v>34776</v>
      </c>
      <c r="D30404" s="38" t="str">
        <f>IFERROR(__xludf.DUMMYFUNCTION("REGEXREPLACE(C30404,""-\d+(.*)|--\d+(.*)"","""")"),"MARY-SUR-MARNE")</f>
        <v>MARY-SUR-MARNE</v>
      </c>
      <c r="E30404" s="38" t="s">
        <v>244</v>
      </c>
      <c r="F30404" s="38" t="s">
        <v>245</v>
      </c>
      <c r="G30404" s="49" t="str">
        <f t="shared" si="1"/>
        <v>77440</v>
      </c>
      <c r="H30404" s="49">
        <f t="shared" si="2"/>
        <v>77280</v>
      </c>
    </row>
    <row r="30405">
      <c r="A30405" s="48" t="s">
        <v>17424</v>
      </c>
      <c r="B30405" s="38">
        <v>81042.0</v>
      </c>
      <c r="C30405" s="38" t="s">
        <v>34777</v>
      </c>
      <c r="D30405" s="38" t="str">
        <f>IFERROR(__xludf.DUMMYFUNCTION("REGEXREPLACE(C30405,""-\d+(.*)|--\d+(.*)"","""")"),"BURLATS")</f>
        <v>BURLATS</v>
      </c>
      <c r="E30405" s="38" t="s">
        <v>231</v>
      </c>
      <c r="F30405" s="38" t="s">
        <v>94</v>
      </c>
      <c r="G30405" s="49" t="str">
        <f t="shared" si="1"/>
        <v>81100</v>
      </c>
      <c r="H30405" s="49">
        <f t="shared" si="2"/>
        <v>81042</v>
      </c>
    </row>
    <row r="30406">
      <c r="A30406" s="48" t="s">
        <v>639</v>
      </c>
      <c r="B30406" s="38">
        <v>16005.0</v>
      </c>
      <c r="C30406" s="38" t="s">
        <v>34778</v>
      </c>
      <c r="D30406" s="38" t="str">
        <f>IFERROR(__xludf.DUMMYFUNCTION("REGEXREPLACE(C30406,""-\d+(.*)|--\d+(.*)"","""")"),"AIGRE")</f>
        <v>AIGRE</v>
      </c>
      <c r="E30406" s="38" t="s">
        <v>429</v>
      </c>
      <c r="F30406" s="38" t="s">
        <v>338</v>
      </c>
      <c r="G30406" s="49" t="str">
        <f t="shared" si="1"/>
        <v>16140</v>
      </c>
      <c r="H30406" s="49">
        <f t="shared" si="2"/>
        <v>16005</v>
      </c>
    </row>
    <row r="30407">
      <c r="A30407" s="48" t="s">
        <v>18796</v>
      </c>
      <c r="B30407" s="38">
        <v>29005.0</v>
      </c>
      <c r="C30407" s="38" t="s">
        <v>31925</v>
      </c>
      <c r="D30407" s="38" t="str">
        <f>IFERROR(__xludf.DUMMYFUNCTION("REGEXREPLACE(C30407,""-\d+(.*)|--\d+(.*)"","""")"),"BAYE")</f>
        <v>BAYE</v>
      </c>
      <c r="E30407" s="38" t="s">
        <v>176</v>
      </c>
      <c r="F30407" s="38" t="s">
        <v>90</v>
      </c>
      <c r="G30407" s="49" t="str">
        <f t="shared" si="1"/>
        <v>29300</v>
      </c>
      <c r="H30407" s="49">
        <f t="shared" si="2"/>
        <v>29005</v>
      </c>
    </row>
    <row r="30408">
      <c r="A30408" s="48" t="s">
        <v>9004</v>
      </c>
      <c r="B30408" s="38">
        <v>48014.0</v>
      </c>
      <c r="C30408" s="38" t="s">
        <v>34779</v>
      </c>
      <c r="D30408" s="38" t="str">
        <f>IFERROR(__xludf.DUMMYFUNCTION("REGEXREPLACE(C30408,""-\d+(.*)|--\d+(.*)"","""")"),"BAGNOLS-LES-BAINS")</f>
        <v>BAGNOLS-LES-BAINS</v>
      </c>
      <c r="E30408" s="38" t="s">
        <v>154</v>
      </c>
      <c r="F30408" s="38" t="s">
        <v>119</v>
      </c>
      <c r="G30408" s="49" t="str">
        <f t="shared" si="1"/>
        <v>48190</v>
      </c>
      <c r="H30408" s="49">
        <f t="shared" si="2"/>
        <v>48014</v>
      </c>
    </row>
    <row r="30409">
      <c r="A30409" s="48" t="s">
        <v>856</v>
      </c>
      <c r="B30409" s="38">
        <v>43034.0</v>
      </c>
      <c r="C30409" s="38" t="s">
        <v>20963</v>
      </c>
      <c r="D30409" s="38" t="str">
        <f>IFERROR(__xludf.DUMMYFUNCTION("REGEXREPLACE(C30409,""-\d+(.*)|--\d+(.*)"","""")"),"BOISSET")</f>
        <v>BOISSET</v>
      </c>
      <c r="E30409" s="38" t="s">
        <v>332</v>
      </c>
      <c r="F30409" s="38" t="s">
        <v>161</v>
      </c>
      <c r="G30409" s="49" t="str">
        <f t="shared" si="1"/>
        <v>43500</v>
      </c>
      <c r="H30409" s="49">
        <f t="shared" si="2"/>
        <v>43034</v>
      </c>
    </row>
    <row r="30410">
      <c r="A30410" s="48" t="s">
        <v>145</v>
      </c>
      <c r="B30410" s="38">
        <v>10422.0</v>
      </c>
      <c r="C30410" s="38" t="s">
        <v>34780</v>
      </c>
      <c r="D30410" s="38" t="str">
        <f>IFERROR(__xludf.DUMMYFUNCTION("REGEXREPLACE(C30410,""-\d+(.*)|--\d+(.*)"","""")"),"VILLENEUVE-AU-CHEMIN")</f>
        <v>VILLENEUVE-AU-CHEMIN</v>
      </c>
      <c r="E30410" s="38" t="s">
        <v>147</v>
      </c>
      <c r="F30410" s="38" t="s">
        <v>130</v>
      </c>
      <c r="G30410" s="49" t="str">
        <f t="shared" si="1"/>
        <v>10130</v>
      </c>
      <c r="H30410" s="49">
        <f t="shared" si="2"/>
        <v>10422</v>
      </c>
    </row>
    <row r="30411">
      <c r="A30411" s="48" t="s">
        <v>8120</v>
      </c>
      <c r="B30411" s="38">
        <v>61468.0</v>
      </c>
      <c r="C30411" s="38" t="s">
        <v>34781</v>
      </c>
      <c r="D30411" s="38" t="str">
        <f>IFERROR(__xludf.DUMMYFUNCTION("REGEXREPLACE(C30411,""-\d+(.*)|--\d+(.*)"","""")"),"SENTILLY")</f>
        <v>SENTILLY</v>
      </c>
      <c r="E30411" s="38" t="s">
        <v>141</v>
      </c>
      <c r="F30411" s="38" t="s">
        <v>138</v>
      </c>
      <c r="G30411" s="49" t="str">
        <f t="shared" si="1"/>
        <v>61150</v>
      </c>
      <c r="H30411" s="49">
        <f t="shared" si="2"/>
        <v>61468</v>
      </c>
    </row>
    <row r="30412">
      <c r="A30412" s="48" t="s">
        <v>3107</v>
      </c>
      <c r="B30412" s="38">
        <v>45097.0</v>
      </c>
      <c r="C30412" s="38" t="s">
        <v>34782</v>
      </c>
      <c r="D30412" s="38" t="str">
        <f>IFERROR(__xludf.DUMMYFUNCTION("REGEXREPLACE(C30412,""-\d+(.*)|--\d+(.*)"","""")"),"CHUELLES")</f>
        <v>CHUELLES</v>
      </c>
      <c r="E30412" s="38" t="s">
        <v>122</v>
      </c>
      <c r="F30412" s="38" t="s">
        <v>123</v>
      </c>
      <c r="G30412" s="49" t="str">
        <f t="shared" si="1"/>
        <v>45220</v>
      </c>
      <c r="H30412" s="49">
        <f t="shared" si="2"/>
        <v>45097</v>
      </c>
    </row>
    <row r="30413">
      <c r="A30413" s="48" t="s">
        <v>2075</v>
      </c>
      <c r="B30413" s="38">
        <v>46279.0</v>
      </c>
      <c r="C30413" s="38" t="s">
        <v>34783</v>
      </c>
      <c r="D30413" s="38" t="str">
        <f>IFERROR(__xludf.DUMMYFUNCTION("REGEXREPLACE(C30413,""-\d+(.*)|--\d+(.*)"","""")"),"SAINT-MAURICE-EN-QUERCY")</f>
        <v>SAINT-MAURICE-EN-QUERCY</v>
      </c>
      <c r="E30413" s="38" t="s">
        <v>185</v>
      </c>
      <c r="F30413" s="38" t="s">
        <v>94</v>
      </c>
      <c r="G30413" s="49" t="str">
        <f t="shared" si="1"/>
        <v>46120</v>
      </c>
      <c r="H30413" s="49">
        <f t="shared" si="2"/>
        <v>46279</v>
      </c>
    </row>
    <row r="30414">
      <c r="A30414" s="48" t="s">
        <v>5548</v>
      </c>
      <c r="B30414" s="38">
        <v>57260.0</v>
      </c>
      <c r="C30414" s="38" t="s">
        <v>34784</v>
      </c>
      <c r="D30414" s="38" t="str">
        <f>IFERROR(__xludf.DUMMYFUNCTION("REGEXREPLACE(C30414,""-\d+(.*)|--\d+(.*)"","""")"),"GROSBLIEDERSTROFF")</f>
        <v>GROSBLIEDERSTROFF</v>
      </c>
      <c r="E30414" s="38" t="s">
        <v>303</v>
      </c>
      <c r="F30414" s="38" t="s">
        <v>195</v>
      </c>
      <c r="G30414" s="49" t="str">
        <f t="shared" si="1"/>
        <v>57520</v>
      </c>
      <c r="H30414" s="49">
        <f t="shared" si="2"/>
        <v>57260</v>
      </c>
    </row>
    <row r="30415">
      <c r="A30415" s="48" t="s">
        <v>4481</v>
      </c>
      <c r="B30415" s="38">
        <v>66005.0</v>
      </c>
      <c r="C30415" s="38" t="s">
        <v>34785</v>
      </c>
      <c r="D30415" s="38" t="str">
        <f>IFERROR(__xludf.DUMMYFUNCTION("REGEXREPLACE(C30415,""-\d+(.*)|--\d+(.*)"","""")"),"ANGOUSTRINE-VILLENEUVE-DES-ESCALDES")</f>
        <v>ANGOUSTRINE-VILLENEUVE-DES-ESCALDES</v>
      </c>
      <c r="E30415" s="38" t="s">
        <v>248</v>
      </c>
      <c r="F30415" s="38" t="s">
        <v>119</v>
      </c>
      <c r="G30415" s="49" t="str">
        <f t="shared" si="1"/>
        <v>66760</v>
      </c>
      <c r="H30415" s="49">
        <f t="shared" si="2"/>
        <v>66005</v>
      </c>
    </row>
    <row r="30416">
      <c r="A30416" s="48" t="s">
        <v>3955</v>
      </c>
      <c r="B30416" s="38">
        <v>62822.0</v>
      </c>
      <c r="C30416" s="38" t="s">
        <v>34786</v>
      </c>
      <c r="D30416" s="38" t="str">
        <f>IFERROR(__xludf.DUMMYFUNCTION("REGEXREPLACE(C30416,""-\d+(.*)|--\d+(.*)"","""")"),"TOLLENT")</f>
        <v>TOLLENT</v>
      </c>
      <c r="E30416" s="38" t="s">
        <v>109</v>
      </c>
      <c r="F30416" s="38" t="s">
        <v>86</v>
      </c>
      <c r="G30416" s="49" t="str">
        <f t="shared" si="1"/>
        <v>62390</v>
      </c>
      <c r="H30416" s="49">
        <f t="shared" si="2"/>
        <v>62822</v>
      </c>
    </row>
    <row r="30417">
      <c r="A30417" s="48" t="s">
        <v>10307</v>
      </c>
      <c r="B30417" s="38">
        <v>35212.0</v>
      </c>
      <c r="C30417" s="38" t="s">
        <v>34787</v>
      </c>
      <c r="D30417" s="38" t="str">
        <f>IFERROR(__xludf.DUMMYFUNCTION("REGEXREPLACE(C30417,""-\d+(.*)|--\d+(.*)"","""")"),"PANCE")</f>
        <v>PANCE</v>
      </c>
      <c r="E30417" s="38" t="s">
        <v>347</v>
      </c>
      <c r="F30417" s="38" t="s">
        <v>90</v>
      </c>
      <c r="G30417" s="49" t="str">
        <f t="shared" si="1"/>
        <v>35320</v>
      </c>
      <c r="H30417" s="49">
        <f t="shared" si="2"/>
        <v>35212</v>
      </c>
    </row>
    <row r="30418">
      <c r="A30418" s="48" t="s">
        <v>12358</v>
      </c>
      <c r="B30418" s="38">
        <v>12244.0</v>
      </c>
      <c r="C30418" s="38" t="s">
        <v>34788</v>
      </c>
      <c r="D30418" s="38" t="str">
        <f>IFERROR(__xludf.DUMMYFUNCTION("REGEXREPLACE(C30418,""-\d+(.*)|--\d+(.*)"","""")"),"SAINT-ROME-DE-TARN")</f>
        <v>SAINT-ROME-DE-TARN</v>
      </c>
      <c r="E30418" s="38" t="s">
        <v>465</v>
      </c>
      <c r="F30418" s="38" t="s">
        <v>94</v>
      </c>
      <c r="G30418" s="49" t="str">
        <f t="shared" si="1"/>
        <v>12490</v>
      </c>
      <c r="H30418" s="49">
        <f t="shared" si="2"/>
        <v>12244</v>
      </c>
    </row>
    <row r="30419">
      <c r="A30419" s="48" t="s">
        <v>8116</v>
      </c>
      <c r="B30419" s="38">
        <v>64467.0</v>
      </c>
      <c r="C30419" s="38" t="s">
        <v>34789</v>
      </c>
      <c r="D30419" s="38" t="str">
        <f>IFERROR(__xludf.DUMMYFUNCTION("REGEXREPLACE(C30419,""-\d+(.*)|--\d+(.*)"","""")"),"RONTIGNON")</f>
        <v>RONTIGNON</v>
      </c>
      <c r="E30419" s="38" t="s">
        <v>268</v>
      </c>
      <c r="F30419" s="38" t="s">
        <v>252</v>
      </c>
      <c r="G30419" s="49" t="str">
        <f t="shared" si="1"/>
        <v>64110</v>
      </c>
      <c r="H30419" s="49">
        <f t="shared" si="2"/>
        <v>64467</v>
      </c>
    </row>
    <row r="30420">
      <c r="A30420" s="48" t="s">
        <v>14721</v>
      </c>
      <c r="B30420" s="38">
        <v>27085.0</v>
      </c>
      <c r="C30420" s="38" t="s">
        <v>34790</v>
      </c>
      <c r="D30420" s="38" t="str">
        <f>IFERROR(__xludf.DUMMYFUNCTION("REGEXREPLACE(C30420,""-\d+(.*)|--\d+(.*)"","""")"),"BOSC-BENARD-CRESCY")</f>
        <v>BOSC-BENARD-CRESCY</v>
      </c>
      <c r="E30420" s="38" t="s">
        <v>241</v>
      </c>
      <c r="F30420" s="38" t="s">
        <v>134</v>
      </c>
      <c r="G30420" s="49" t="str">
        <f t="shared" si="1"/>
        <v>27310</v>
      </c>
      <c r="H30420" s="49">
        <f t="shared" si="2"/>
        <v>27085</v>
      </c>
    </row>
    <row r="30421">
      <c r="A30421" s="48" t="s">
        <v>7532</v>
      </c>
      <c r="B30421" s="38">
        <v>37170.0</v>
      </c>
      <c r="C30421" s="38" t="s">
        <v>34791</v>
      </c>
      <c r="D30421" s="38" t="str">
        <f>IFERROR(__xludf.DUMMYFUNCTION("REGEXREPLACE(C30421,""-\d+(.*)|--\d+(.*)"","""")"),"NEUVY-LE-ROI")</f>
        <v>NEUVY-LE-ROI</v>
      </c>
      <c r="E30421" s="38" t="s">
        <v>205</v>
      </c>
      <c r="F30421" s="38" t="s">
        <v>123</v>
      </c>
      <c r="G30421" s="49" t="str">
        <f t="shared" si="1"/>
        <v>37370</v>
      </c>
      <c r="H30421" s="49">
        <f t="shared" si="2"/>
        <v>37170</v>
      </c>
    </row>
    <row r="30422">
      <c r="A30422" s="48" t="s">
        <v>5463</v>
      </c>
      <c r="B30422" s="38">
        <v>26372.0</v>
      </c>
      <c r="C30422" s="38" t="s">
        <v>34792</v>
      </c>
      <c r="D30422" s="38" t="str">
        <f>IFERROR(__xludf.DUMMYFUNCTION("REGEXREPLACE(C30422,""-\d+(.*)|--\d+(.*)"","""")"),"VERS-SUR-MEOUGE")</f>
        <v>VERS-SUR-MEOUGE</v>
      </c>
      <c r="E30422" s="38" t="s">
        <v>126</v>
      </c>
      <c r="F30422" s="38" t="s">
        <v>102</v>
      </c>
      <c r="G30422" s="49" t="str">
        <f t="shared" si="1"/>
        <v>26560</v>
      </c>
      <c r="H30422" s="49">
        <f t="shared" si="2"/>
        <v>26372</v>
      </c>
    </row>
    <row r="30423">
      <c r="A30423" s="48" t="s">
        <v>131</v>
      </c>
      <c r="B30423" s="38">
        <v>76556.0</v>
      </c>
      <c r="C30423" s="38" t="s">
        <v>34793</v>
      </c>
      <c r="D30423" s="38" t="str">
        <f>IFERROR(__xludf.DUMMYFUNCTION("REGEXREPLACE(C30423,""-\d+(.*)|--\d+(.*)"","""")"),"SAINT-ANTOINE-LA-FORET")</f>
        <v>SAINT-ANTOINE-LA-FORET</v>
      </c>
      <c r="E30423" s="38" t="s">
        <v>133</v>
      </c>
      <c r="F30423" s="38" t="s">
        <v>134</v>
      </c>
      <c r="G30423" s="49" t="str">
        <f t="shared" si="1"/>
        <v>76170</v>
      </c>
      <c r="H30423" s="49">
        <f t="shared" si="2"/>
        <v>76556</v>
      </c>
    </row>
    <row r="30424">
      <c r="A30424" s="48" t="s">
        <v>4092</v>
      </c>
      <c r="B30424" s="38">
        <v>17262.0</v>
      </c>
      <c r="C30424" s="38" t="s">
        <v>34794</v>
      </c>
      <c r="D30424" s="38" t="str">
        <f>IFERROR(__xludf.DUMMYFUNCTION("REGEXREPLACE(C30424,""-\d+(.*)|--\d+(.*)"","""")"),"NIEUL-LES-SAINTES")</f>
        <v>NIEUL-LES-SAINTES</v>
      </c>
      <c r="E30424" s="38" t="s">
        <v>488</v>
      </c>
      <c r="F30424" s="38" t="s">
        <v>338</v>
      </c>
      <c r="G30424" s="49" t="str">
        <f t="shared" si="1"/>
        <v>17810</v>
      </c>
      <c r="H30424" s="49">
        <f t="shared" si="2"/>
        <v>17262</v>
      </c>
    </row>
    <row r="30425">
      <c r="A30425" s="48" t="s">
        <v>5542</v>
      </c>
      <c r="B30425" s="38">
        <v>89125.0</v>
      </c>
      <c r="C30425" s="38" t="s">
        <v>34795</v>
      </c>
      <c r="D30425" s="38" t="str">
        <f>IFERROR(__xludf.DUMMYFUNCTION("REGEXREPLACE(C30425,""-\d+(.*)|--\d+(.*)"","""")"),"COURSON-LES-CARRIERES")</f>
        <v>COURSON-LES-CARRIERES</v>
      </c>
      <c r="E30425" s="38" t="s">
        <v>275</v>
      </c>
      <c r="F30425" s="38" t="s">
        <v>106</v>
      </c>
      <c r="G30425" s="49" t="str">
        <f t="shared" si="1"/>
        <v>89560</v>
      </c>
      <c r="H30425" s="49">
        <f t="shared" si="2"/>
        <v>89125</v>
      </c>
    </row>
    <row r="30426">
      <c r="A30426" s="48" t="s">
        <v>1174</v>
      </c>
      <c r="B30426" s="38">
        <v>51134.0</v>
      </c>
      <c r="C30426" s="38" t="s">
        <v>34796</v>
      </c>
      <c r="D30426" s="38" t="str">
        <f>IFERROR(__xludf.DUMMYFUNCTION("REGEXREPLACE(C30426,""-\d+(.*)|--\d+(.*)"","""")"),"CHATELRAOULD-SAINT-LOUVENT")</f>
        <v>CHATELRAOULD-SAINT-LOUVENT</v>
      </c>
      <c r="E30426" s="38" t="s">
        <v>129</v>
      </c>
      <c r="F30426" s="38" t="s">
        <v>130</v>
      </c>
      <c r="G30426" s="49" t="str">
        <f t="shared" si="1"/>
        <v>51300</v>
      </c>
      <c r="H30426" s="49">
        <f t="shared" si="2"/>
        <v>51134</v>
      </c>
    </row>
    <row r="30427">
      <c r="A30427" s="48" t="s">
        <v>5472</v>
      </c>
      <c r="B30427" s="38">
        <v>36128.0</v>
      </c>
      <c r="C30427" s="38" t="s">
        <v>34797</v>
      </c>
      <c r="D30427" s="38" t="str">
        <f>IFERROR(__xludf.DUMMYFUNCTION("REGEXREPLACE(C30427,""-\d+(.*)|--\d+(.*)"","""")"),"MONTIERCHAUME")</f>
        <v>MONTIERCHAUME</v>
      </c>
      <c r="E30427" s="38" t="s">
        <v>258</v>
      </c>
      <c r="F30427" s="38" t="s">
        <v>123</v>
      </c>
      <c r="G30427" s="49" t="str">
        <f t="shared" si="1"/>
        <v>36130</v>
      </c>
      <c r="H30427" s="49">
        <f t="shared" si="2"/>
        <v>36128</v>
      </c>
    </row>
    <row r="30428">
      <c r="A30428" s="48" t="s">
        <v>1048</v>
      </c>
      <c r="B30428" s="38">
        <v>24419.0</v>
      </c>
      <c r="C30428" s="38" t="s">
        <v>34798</v>
      </c>
      <c r="D30428" s="38" t="str">
        <f>IFERROR(__xludf.DUMMYFUNCTION("REGEXREPLACE(C30428,""-\d+(.*)|--\d+(.*)"","""")"),"SAINT-GERMAIN-ET-MONS")</f>
        <v>SAINT-GERMAIN-ET-MONS</v>
      </c>
      <c r="E30428" s="38" t="s">
        <v>261</v>
      </c>
      <c r="F30428" s="38" t="s">
        <v>252</v>
      </c>
      <c r="G30428" s="49" t="str">
        <f t="shared" si="1"/>
        <v>24520</v>
      </c>
      <c r="H30428" s="49">
        <f t="shared" si="2"/>
        <v>24419</v>
      </c>
    </row>
    <row r="30429">
      <c r="A30429" s="48" t="s">
        <v>4434</v>
      </c>
      <c r="B30429" s="38">
        <v>31386.0</v>
      </c>
      <c r="C30429" s="38" t="s">
        <v>34799</v>
      </c>
      <c r="D30429" s="38" t="str">
        <f>IFERROR(__xludf.DUMMYFUNCTION("REGEXREPLACE(C30429,""-\d+(.*)|--\d+(.*)"","""")"),"MONTOULIEU-SAINT-BERNARD")</f>
        <v>MONTOULIEU-SAINT-BERNARD</v>
      </c>
      <c r="E30429" s="38" t="s">
        <v>93</v>
      </c>
      <c r="F30429" s="38" t="s">
        <v>94</v>
      </c>
      <c r="G30429" s="49" t="str">
        <f t="shared" si="1"/>
        <v>31420</v>
      </c>
      <c r="H30429" s="49">
        <f t="shared" si="2"/>
        <v>31386</v>
      </c>
    </row>
    <row r="30430">
      <c r="A30430" s="48" t="s">
        <v>13106</v>
      </c>
      <c r="B30430" s="38">
        <v>88074.0</v>
      </c>
      <c r="C30430" s="38" t="s">
        <v>34800</v>
      </c>
      <c r="D30430" s="38" t="str">
        <f>IFERROR(__xludf.DUMMYFUNCTION("REGEXREPLACE(C30430,""-\d+(.*)|--\d+(.*)"","""")"),"BRECHAINVILLE")</f>
        <v>BRECHAINVILLE</v>
      </c>
      <c r="E30430" s="38" t="s">
        <v>194</v>
      </c>
      <c r="F30430" s="38" t="s">
        <v>195</v>
      </c>
      <c r="G30430" s="49" t="str">
        <f t="shared" si="1"/>
        <v>88350</v>
      </c>
      <c r="H30430" s="49">
        <f t="shared" si="2"/>
        <v>88074</v>
      </c>
    </row>
    <row r="30431">
      <c r="A30431" s="48" t="s">
        <v>1383</v>
      </c>
      <c r="B30431" s="38">
        <v>72100.0</v>
      </c>
      <c r="C30431" s="38" t="s">
        <v>34801</v>
      </c>
      <c r="D30431" s="38" t="str">
        <f>IFERROR(__xludf.DUMMYFUNCTION("REGEXREPLACE(C30431,""-\d+(.*)|--\d+(.*)"","""")"),"COURCELLES-LA-FORET")</f>
        <v>COURCELLES-LA-FORET</v>
      </c>
      <c r="E30431" s="38" t="s">
        <v>521</v>
      </c>
      <c r="F30431" s="38" t="s">
        <v>180</v>
      </c>
      <c r="G30431" s="49" t="str">
        <f t="shared" si="1"/>
        <v>72270</v>
      </c>
      <c r="H30431" s="49">
        <f t="shared" si="2"/>
        <v>72100</v>
      </c>
    </row>
    <row r="30432">
      <c r="A30432" s="48" t="s">
        <v>12526</v>
      </c>
      <c r="B30432" s="38">
        <v>44188.0</v>
      </c>
      <c r="C30432" s="38" t="s">
        <v>34802</v>
      </c>
      <c r="D30432" s="38" t="str">
        <f>IFERROR(__xludf.DUMMYFUNCTION("REGEXREPLACE(C30432,""-\d+(.*)|--\d+(.*)"","""")"),"SAINT-PHILBERT-DE-GRAND-LIEU")</f>
        <v>SAINT-PHILBERT-DE-GRAND-LIEU</v>
      </c>
      <c r="E30432" s="38" t="s">
        <v>759</v>
      </c>
      <c r="F30432" s="38" t="s">
        <v>180</v>
      </c>
      <c r="G30432" s="49" t="str">
        <f t="shared" si="1"/>
        <v>44310</v>
      </c>
      <c r="H30432" s="49">
        <f t="shared" si="2"/>
        <v>44188</v>
      </c>
    </row>
    <row r="30433">
      <c r="A30433" s="48" t="s">
        <v>22843</v>
      </c>
      <c r="B30433" s="38">
        <v>43244.0</v>
      </c>
      <c r="C30433" s="38" t="s">
        <v>34803</v>
      </c>
      <c r="D30433" s="38" t="str">
        <f>IFERROR(__xludf.DUMMYFUNCTION("REGEXREPLACE(C30433,""-\d+(.*)|--\d+(.*)"","""")"),"TENCE")</f>
        <v>TENCE</v>
      </c>
      <c r="E30433" s="38" t="s">
        <v>332</v>
      </c>
      <c r="F30433" s="38" t="s">
        <v>161</v>
      </c>
      <c r="G30433" s="49" t="str">
        <f t="shared" si="1"/>
        <v>43190</v>
      </c>
      <c r="H30433" s="49">
        <f t="shared" si="2"/>
        <v>43244</v>
      </c>
    </row>
    <row r="30434">
      <c r="A30434" s="48" t="s">
        <v>7680</v>
      </c>
      <c r="B30434" s="38">
        <v>71168.0</v>
      </c>
      <c r="C30434" s="38" t="s">
        <v>34804</v>
      </c>
      <c r="D30434" s="38" t="str">
        <f>IFERROR(__xludf.DUMMYFUNCTION("REGEXREPLACE(C30434,""-\d+(.*)|--\d+(.*)"","""")"),"DAMPIERRE-EN-BRESSE")</f>
        <v>DAMPIERRE-EN-BRESSE</v>
      </c>
      <c r="E30434" s="38" t="s">
        <v>344</v>
      </c>
      <c r="F30434" s="38" t="s">
        <v>106</v>
      </c>
      <c r="G30434" s="49" t="str">
        <f t="shared" si="1"/>
        <v>71310</v>
      </c>
      <c r="H30434" s="49">
        <f t="shared" si="2"/>
        <v>71168</v>
      </c>
    </row>
    <row r="30435">
      <c r="A30435" s="48" t="s">
        <v>3990</v>
      </c>
      <c r="B30435" s="38">
        <v>2548.0</v>
      </c>
      <c r="C30435" s="38" t="s">
        <v>34805</v>
      </c>
      <c r="D30435" s="38" t="str">
        <f>IFERROR(__xludf.DUMMYFUNCTION("REGEXREPLACE(C30435,""-\d+(.*)|--\d+(.*)"","""")"),"LA NEUVILLE-LES-DORENGT")</f>
        <v>LA NEUVILLE-LES-DORENGT</v>
      </c>
      <c r="E30435" s="38" t="s">
        <v>191</v>
      </c>
      <c r="F30435" s="38" t="s">
        <v>113</v>
      </c>
      <c r="G30435" s="49" t="str">
        <f t="shared" si="1"/>
        <v>02450</v>
      </c>
      <c r="H30435" s="49" t="str">
        <f t="shared" si="2"/>
        <v>02548</v>
      </c>
    </row>
    <row r="30436">
      <c r="A30436" s="48" t="s">
        <v>5063</v>
      </c>
      <c r="B30436" s="38">
        <v>24509.0</v>
      </c>
      <c r="C30436" s="38" t="s">
        <v>34806</v>
      </c>
      <c r="D30436" s="38" t="str">
        <f>IFERROR(__xludf.DUMMYFUNCTION("REGEXREPLACE(C30436,""-\d+(.*)|--\d+(.*)"","""")"),"SAINT-VINCENT-DE-CONNEZAC")</f>
        <v>SAINT-VINCENT-DE-CONNEZAC</v>
      </c>
      <c r="E30436" s="38" t="s">
        <v>261</v>
      </c>
      <c r="F30436" s="38" t="s">
        <v>252</v>
      </c>
      <c r="G30436" s="49" t="str">
        <f t="shared" si="1"/>
        <v>24190</v>
      </c>
      <c r="H30436" s="49">
        <f t="shared" si="2"/>
        <v>24509</v>
      </c>
    </row>
    <row r="30437">
      <c r="A30437" s="48" t="s">
        <v>7075</v>
      </c>
      <c r="B30437" s="38">
        <v>27206.0</v>
      </c>
      <c r="C30437" s="38" t="s">
        <v>10641</v>
      </c>
      <c r="D30437" s="38" t="str">
        <f>IFERROR(__xludf.DUMMYFUNCTION("REGEXREPLACE(C30437,""-\d+(.*)|--\d+(.*)"","""")"),"DROISY")</f>
        <v>DROISY</v>
      </c>
      <c r="E30437" s="38" t="s">
        <v>241</v>
      </c>
      <c r="F30437" s="38" t="s">
        <v>134</v>
      </c>
      <c r="G30437" s="49" t="str">
        <f t="shared" si="1"/>
        <v>27320</v>
      </c>
      <c r="H30437" s="49">
        <f t="shared" si="2"/>
        <v>27206</v>
      </c>
    </row>
    <row r="30438">
      <c r="A30438" s="48" t="s">
        <v>24075</v>
      </c>
      <c r="B30438" s="38">
        <v>73303.0</v>
      </c>
      <c r="C30438" s="38" t="s">
        <v>34807</v>
      </c>
      <c r="D30438" s="38" t="str">
        <f>IFERROR(__xludf.DUMMYFUNCTION("REGEXREPLACE(C30438,""-\d+(.*)|--\d+(.*)"","""")"),"UGINE")</f>
        <v>UGINE</v>
      </c>
      <c r="E30438" s="38" t="s">
        <v>306</v>
      </c>
      <c r="F30438" s="38" t="s">
        <v>102</v>
      </c>
      <c r="G30438" s="49" t="str">
        <f t="shared" si="1"/>
        <v>73400</v>
      </c>
      <c r="H30438" s="49">
        <f t="shared" si="2"/>
        <v>73303</v>
      </c>
    </row>
    <row r="30439">
      <c r="A30439" s="48" t="s">
        <v>354</v>
      </c>
      <c r="B30439" s="38">
        <v>68231.0</v>
      </c>
      <c r="C30439" s="38" t="s">
        <v>34808</v>
      </c>
      <c r="D30439" s="38" t="str">
        <f>IFERROR(__xludf.DUMMYFUNCTION("REGEXREPLACE(C30439,""-\d+(.*)|--\d+(.*)"","""")"),"NEUF-BRISACH")</f>
        <v>NEUF-BRISACH</v>
      </c>
      <c r="E30439" s="38" t="s">
        <v>150</v>
      </c>
      <c r="F30439" s="38" t="s">
        <v>151</v>
      </c>
      <c r="G30439" s="49" t="str">
        <f t="shared" si="1"/>
        <v>68600</v>
      </c>
      <c r="H30439" s="49">
        <f t="shared" si="2"/>
        <v>68231</v>
      </c>
    </row>
    <row r="30440">
      <c r="A30440" s="48" t="s">
        <v>12867</v>
      </c>
      <c r="B30440" s="38">
        <v>38150.0</v>
      </c>
      <c r="C30440" s="38" t="s">
        <v>34809</v>
      </c>
      <c r="D30440" s="38" t="str">
        <f>IFERROR(__xludf.DUMMYFUNCTION("REGEXREPLACE(C30440,""-\d+(.*)|--\d+(.*)"","""")"),"DOMENE")</f>
        <v>DOMENE</v>
      </c>
      <c r="E30440" s="38" t="s">
        <v>101</v>
      </c>
      <c r="F30440" s="38" t="s">
        <v>102</v>
      </c>
      <c r="G30440" s="49" t="str">
        <f t="shared" si="1"/>
        <v>38420</v>
      </c>
      <c r="H30440" s="49">
        <f t="shared" si="2"/>
        <v>38150</v>
      </c>
    </row>
    <row r="30441">
      <c r="A30441" s="48" t="s">
        <v>14783</v>
      </c>
      <c r="B30441" s="38">
        <v>42298.0</v>
      </c>
      <c r="C30441" s="38" t="s">
        <v>34810</v>
      </c>
      <c r="D30441" s="38" t="str">
        <f>IFERROR(__xludf.DUMMYFUNCTION("REGEXREPLACE(C30441,""-\d+(.*)|--\d+(.*)"","""")"),"SAUVAIN")</f>
        <v>SAUVAIN</v>
      </c>
      <c r="E30441" s="38" t="s">
        <v>166</v>
      </c>
      <c r="F30441" s="38" t="s">
        <v>102</v>
      </c>
      <c r="G30441" s="49" t="str">
        <f t="shared" si="1"/>
        <v>42990</v>
      </c>
      <c r="H30441" s="49">
        <f t="shared" si="2"/>
        <v>42298</v>
      </c>
    </row>
    <row r="30442">
      <c r="A30442" s="48" t="s">
        <v>11838</v>
      </c>
      <c r="B30442" s="38">
        <v>57575.0</v>
      </c>
      <c r="C30442" s="38" t="s">
        <v>34811</v>
      </c>
      <c r="D30442" s="38" t="str">
        <f>IFERROR(__xludf.DUMMYFUNCTION("REGEXREPLACE(C30442,""-\d+(.*)|--\d+(.*)"","""")"),"RETONFEY")</f>
        <v>RETONFEY</v>
      </c>
      <c r="E30442" s="38" t="s">
        <v>303</v>
      </c>
      <c r="F30442" s="38" t="s">
        <v>195</v>
      </c>
      <c r="G30442" s="49" t="str">
        <f t="shared" si="1"/>
        <v>57645</v>
      </c>
      <c r="H30442" s="49">
        <f t="shared" si="2"/>
        <v>57575</v>
      </c>
    </row>
    <row r="30443">
      <c r="A30443" s="48" t="s">
        <v>8786</v>
      </c>
      <c r="B30443" s="38">
        <v>44178.0</v>
      </c>
      <c r="C30443" s="38" t="s">
        <v>34812</v>
      </c>
      <c r="D30443" s="38" t="str">
        <f>IFERROR(__xludf.DUMMYFUNCTION("REGEXREPLACE(C30443,""-\d+(.*)|--\d+(.*)"","""")"),"SAINT-MARS-DE-COUTAIS")</f>
        <v>SAINT-MARS-DE-COUTAIS</v>
      </c>
      <c r="E30443" s="38" t="s">
        <v>759</v>
      </c>
      <c r="F30443" s="38" t="s">
        <v>180</v>
      </c>
      <c r="G30443" s="49" t="str">
        <f t="shared" si="1"/>
        <v>44680</v>
      </c>
      <c r="H30443" s="49">
        <f t="shared" si="2"/>
        <v>44178</v>
      </c>
    </row>
    <row r="30444">
      <c r="A30444" s="48" t="s">
        <v>5542</v>
      </c>
      <c r="B30444" s="38">
        <v>89270.0</v>
      </c>
      <c r="C30444" s="38" t="s">
        <v>34813</v>
      </c>
      <c r="D30444" s="38" t="str">
        <f>IFERROR(__xludf.DUMMYFUNCTION("REGEXREPLACE(C30444,""-\d+(.*)|--\d+(.*)"","""")"),"MOUFFY")</f>
        <v>MOUFFY</v>
      </c>
      <c r="E30444" s="38" t="s">
        <v>275</v>
      </c>
      <c r="F30444" s="38" t="s">
        <v>106</v>
      </c>
      <c r="G30444" s="49" t="str">
        <f t="shared" si="1"/>
        <v>89560</v>
      </c>
      <c r="H30444" s="49">
        <f t="shared" si="2"/>
        <v>89270</v>
      </c>
    </row>
    <row r="30445">
      <c r="A30445" s="48" t="s">
        <v>8196</v>
      </c>
      <c r="B30445" s="38">
        <v>23245.0</v>
      </c>
      <c r="C30445" s="38" t="s">
        <v>34814</v>
      </c>
      <c r="D30445" s="38" t="str">
        <f>IFERROR(__xludf.DUMMYFUNCTION("REGEXREPLACE(C30445,""-\d+(.*)|--\d+(.*)"","""")"),"SAINT-SULPICE-LE-GUERETOIS")</f>
        <v>SAINT-SULPICE-LE-GUERETOIS</v>
      </c>
      <c r="E30445" s="38" t="s">
        <v>97</v>
      </c>
      <c r="F30445" s="38" t="s">
        <v>98</v>
      </c>
      <c r="G30445" s="49" t="str">
        <f t="shared" si="1"/>
        <v>23000</v>
      </c>
      <c r="H30445" s="49">
        <f t="shared" si="2"/>
        <v>23245</v>
      </c>
    </row>
    <row r="30446">
      <c r="A30446" s="48" t="s">
        <v>6628</v>
      </c>
      <c r="B30446" s="38">
        <v>1260.0</v>
      </c>
      <c r="C30446" s="38" t="s">
        <v>34815</v>
      </c>
      <c r="D30446" s="38" t="str">
        <f>IFERROR(__xludf.DUMMYFUNCTION("REGEXREPLACE(C30446,""-\d+(.*)|--\d+(.*)"","""")"),"LE MONTELLIER")</f>
        <v>LE MONTELLIER</v>
      </c>
      <c r="E30446" s="38" t="s">
        <v>255</v>
      </c>
      <c r="F30446" s="38" t="s">
        <v>102</v>
      </c>
      <c r="G30446" s="49" t="str">
        <f t="shared" si="1"/>
        <v>01800</v>
      </c>
      <c r="H30446" s="49" t="str">
        <f t="shared" si="2"/>
        <v>01260</v>
      </c>
    </row>
    <row r="30447">
      <c r="A30447" s="48" t="s">
        <v>1452</v>
      </c>
      <c r="B30447" s="38">
        <v>55180.0</v>
      </c>
      <c r="C30447" s="38" t="s">
        <v>34816</v>
      </c>
      <c r="D30447" s="38" t="str">
        <f>IFERROR(__xludf.DUMMYFUNCTION("REGEXREPLACE(C30447,""-\d+(.*)|--\d+(.*)"","""")"),"ESNES-EN-ARGONNE")</f>
        <v>ESNES-EN-ARGONNE</v>
      </c>
      <c r="E30447" s="38" t="s">
        <v>322</v>
      </c>
      <c r="F30447" s="38" t="s">
        <v>195</v>
      </c>
      <c r="G30447" s="49" t="str">
        <f t="shared" si="1"/>
        <v>55100</v>
      </c>
      <c r="H30447" s="49">
        <f t="shared" si="2"/>
        <v>55180</v>
      </c>
    </row>
    <row r="30448">
      <c r="A30448" s="48" t="s">
        <v>1000</v>
      </c>
      <c r="B30448" s="38">
        <v>70571.0</v>
      </c>
      <c r="C30448" s="38" t="s">
        <v>34817</v>
      </c>
      <c r="D30448" s="38" t="str">
        <f>IFERROR(__xludf.DUMMYFUNCTION("REGEXREPLACE(C30448,""-\d+(.*)|--\d+(.*)"","""")"),"VISONCOURT")</f>
        <v>VISONCOURT</v>
      </c>
      <c r="E30448" s="38" t="s">
        <v>956</v>
      </c>
      <c r="F30448" s="38" t="s">
        <v>214</v>
      </c>
      <c r="G30448" s="49" t="str">
        <f t="shared" si="1"/>
        <v>70300</v>
      </c>
      <c r="H30448" s="49">
        <f t="shared" si="2"/>
        <v>70571</v>
      </c>
    </row>
    <row r="30449">
      <c r="A30449" s="48" t="s">
        <v>19788</v>
      </c>
      <c r="B30449" s="38">
        <v>17301.0</v>
      </c>
      <c r="C30449" s="38" t="s">
        <v>34818</v>
      </c>
      <c r="D30449" s="38" t="str">
        <f>IFERROR(__xludf.DUMMYFUNCTION("REGEXREPLACE(C30449,""-\d+(.*)|--\d+(.*)"","""")"),"ROMAZIERES")</f>
        <v>ROMAZIERES</v>
      </c>
      <c r="E30449" s="38" t="s">
        <v>488</v>
      </c>
      <c r="F30449" s="38" t="s">
        <v>338</v>
      </c>
      <c r="G30449" s="49" t="str">
        <f t="shared" si="1"/>
        <v>17510</v>
      </c>
      <c r="H30449" s="49">
        <f t="shared" si="2"/>
        <v>17301</v>
      </c>
    </row>
    <row r="30450">
      <c r="A30450" s="48" t="s">
        <v>13339</v>
      </c>
      <c r="B30450" s="38">
        <v>62280.0</v>
      </c>
      <c r="C30450" s="38" t="s">
        <v>17568</v>
      </c>
      <c r="D30450" s="38" t="str">
        <f>IFERROR(__xludf.DUMMYFUNCTION("REGEXREPLACE(C30450,""-\d+(.*)|--\d+(.*)"","""")"),"DURY")</f>
        <v>DURY</v>
      </c>
      <c r="E30450" s="38" t="s">
        <v>109</v>
      </c>
      <c r="F30450" s="38" t="s">
        <v>86</v>
      </c>
      <c r="G30450" s="49" t="str">
        <f t="shared" si="1"/>
        <v>62156</v>
      </c>
      <c r="H30450" s="49">
        <f t="shared" si="2"/>
        <v>62280</v>
      </c>
    </row>
    <row r="30451">
      <c r="A30451" s="48" t="s">
        <v>9824</v>
      </c>
      <c r="B30451" s="38">
        <v>68210.0</v>
      </c>
      <c r="C30451" s="38" t="s">
        <v>34819</v>
      </c>
      <c r="D30451" s="38" t="str">
        <f>IFERROR(__xludf.DUMMYFUNCTION("REGEXREPLACE(C30451,""-\d+(.*)|--\d+(.*)"","""")"),"MITTLACH")</f>
        <v>MITTLACH</v>
      </c>
      <c r="E30451" s="38" t="s">
        <v>150</v>
      </c>
      <c r="F30451" s="38" t="s">
        <v>151</v>
      </c>
      <c r="G30451" s="49" t="str">
        <f t="shared" si="1"/>
        <v>68380</v>
      </c>
      <c r="H30451" s="49">
        <f t="shared" si="2"/>
        <v>68210</v>
      </c>
    </row>
    <row r="30452">
      <c r="A30452" s="48" t="s">
        <v>1825</v>
      </c>
      <c r="B30452" s="38">
        <v>64523.0</v>
      </c>
      <c r="C30452" s="38" t="s">
        <v>34820</v>
      </c>
      <c r="D30452" s="38" t="str">
        <f>IFERROR(__xludf.DUMMYFUNCTION("REGEXREPLACE(C30452,""-\d+(.*)|--\d+(.*)"","""")"),"SEVIGNACQ")</f>
        <v>SEVIGNACQ</v>
      </c>
      <c r="E30452" s="38" t="s">
        <v>268</v>
      </c>
      <c r="F30452" s="38" t="s">
        <v>252</v>
      </c>
      <c r="G30452" s="49" t="str">
        <f t="shared" si="1"/>
        <v>64160</v>
      </c>
      <c r="H30452" s="49">
        <f t="shared" si="2"/>
        <v>64523</v>
      </c>
    </row>
    <row r="30453">
      <c r="A30453" s="48" t="s">
        <v>531</v>
      </c>
      <c r="B30453" s="38">
        <v>38480.0</v>
      </c>
      <c r="C30453" s="38" t="s">
        <v>34821</v>
      </c>
      <c r="D30453" s="38" t="str">
        <f>IFERROR(__xludf.DUMMYFUNCTION("REGEXREPLACE(C30453,""-\d+(.*)|--\d+(.*)"","""")"),"SEPTEME")</f>
        <v>SEPTEME</v>
      </c>
      <c r="E30453" s="38" t="s">
        <v>101</v>
      </c>
      <c r="F30453" s="38" t="s">
        <v>102</v>
      </c>
      <c r="G30453" s="49" t="str">
        <f t="shared" si="1"/>
        <v>38780</v>
      </c>
      <c r="H30453" s="49">
        <f t="shared" si="2"/>
        <v>38480</v>
      </c>
    </row>
    <row r="30454">
      <c r="A30454" s="48" t="s">
        <v>307</v>
      </c>
      <c r="B30454" s="38">
        <v>88249.0</v>
      </c>
      <c r="C30454" s="38" t="s">
        <v>34822</v>
      </c>
      <c r="D30454" s="38" t="str">
        <f>IFERROR(__xludf.DUMMYFUNCTION("REGEXREPLACE(C30454,""-\d+(.*)|--\d+(.*)"","""")"),"JAINVILLOTTE")</f>
        <v>JAINVILLOTTE</v>
      </c>
      <c r="E30454" s="38" t="s">
        <v>194</v>
      </c>
      <c r="F30454" s="38" t="s">
        <v>195</v>
      </c>
      <c r="G30454" s="49" t="str">
        <f t="shared" si="1"/>
        <v>88300</v>
      </c>
      <c r="H30454" s="49">
        <f t="shared" si="2"/>
        <v>88249</v>
      </c>
    </row>
    <row r="30455">
      <c r="A30455" s="48" t="s">
        <v>10324</v>
      </c>
      <c r="B30455" s="38">
        <v>54442.0</v>
      </c>
      <c r="C30455" s="38" t="s">
        <v>34823</v>
      </c>
      <c r="D30455" s="38" t="str">
        <f>IFERROR(__xludf.DUMMYFUNCTION("REGEXREPLACE(C30455,""-\d+(.*)|--\d+(.*)"","""")"),"QUEVILLONCOURT")</f>
        <v>QUEVILLONCOURT</v>
      </c>
      <c r="E30455" s="38" t="s">
        <v>548</v>
      </c>
      <c r="F30455" s="38" t="s">
        <v>195</v>
      </c>
      <c r="G30455" s="49" t="str">
        <f t="shared" si="1"/>
        <v>54330</v>
      </c>
      <c r="H30455" s="49">
        <f t="shared" si="2"/>
        <v>54442</v>
      </c>
    </row>
    <row r="30456">
      <c r="A30456" s="48" t="s">
        <v>1114</v>
      </c>
      <c r="B30456" s="38">
        <v>2686.0</v>
      </c>
      <c r="C30456" s="38" t="s">
        <v>34824</v>
      </c>
      <c r="D30456" s="38" t="str">
        <f>IFERROR(__xludf.DUMMYFUNCTION("REGEXREPLACE(C30456,""-\d+(.*)|--\d+(.*)"","""")"),"SAINT-PAUL-AUX-BOIS")</f>
        <v>SAINT-PAUL-AUX-BOIS</v>
      </c>
      <c r="E30456" s="38" t="s">
        <v>191</v>
      </c>
      <c r="F30456" s="38" t="s">
        <v>113</v>
      </c>
      <c r="G30456" s="49" t="str">
        <f t="shared" si="1"/>
        <v>02300</v>
      </c>
      <c r="H30456" s="49" t="str">
        <f t="shared" si="2"/>
        <v>02686</v>
      </c>
    </row>
    <row r="30457">
      <c r="A30457" s="48" t="s">
        <v>5162</v>
      </c>
      <c r="B30457" s="38">
        <v>47312.0</v>
      </c>
      <c r="C30457" s="38" t="s">
        <v>34825</v>
      </c>
      <c r="D30457" s="38" t="str">
        <f>IFERROR(__xludf.DUMMYFUNCTION("REGEXREPLACE(C30457,""-\d+(.*)|--\d+(.*)"","""")"),"TOURNON-D'AGENAIS")</f>
        <v>TOURNON-D'AGENAIS</v>
      </c>
      <c r="E30457" s="38" t="s">
        <v>251</v>
      </c>
      <c r="F30457" s="38" t="s">
        <v>252</v>
      </c>
      <c r="G30457" s="49" t="str">
        <f t="shared" si="1"/>
        <v>47370</v>
      </c>
      <c r="H30457" s="49">
        <f t="shared" si="2"/>
        <v>47312</v>
      </c>
    </row>
    <row r="30458">
      <c r="A30458" s="48" t="s">
        <v>1391</v>
      </c>
      <c r="B30458" s="38">
        <v>61204.0</v>
      </c>
      <c r="C30458" s="38" t="s">
        <v>34826</v>
      </c>
      <c r="D30458" s="38" t="str">
        <f>IFERROR(__xludf.DUMMYFUNCTION("REGEXREPLACE(C30458,""-\d+(.*)|--\d+(.*)"","""")"),"L'HERMITIERE")</f>
        <v>L'HERMITIERE</v>
      </c>
      <c r="E30458" s="38" t="s">
        <v>141</v>
      </c>
      <c r="F30458" s="38" t="s">
        <v>138</v>
      </c>
      <c r="G30458" s="49" t="str">
        <f t="shared" si="1"/>
        <v>61260</v>
      </c>
      <c r="H30458" s="49">
        <f t="shared" si="2"/>
        <v>61204</v>
      </c>
    </row>
    <row r="30459">
      <c r="A30459" s="48" t="s">
        <v>2310</v>
      </c>
      <c r="B30459" s="38">
        <v>60647.0</v>
      </c>
      <c r="C30459" s="38" t="s">
        <v>34827</v>
      </c>
      <c r="D30459" s="38" t="str">
        <f>IFERROR(__xludf.DUMMYFUNCTION("REGEXREPLACE(C30459,""-\d+(.*)|--\d+(.*)"","""")"),"TROSLY-BREUIL")</f>
        <v>TROSLY-BREUIL</v>
      </c>
      <c r="E30459" s="38" t="s">
        <v>112</v>
      </c>
      <c r="F30459" s="38" t="s">
        <v>113</v>
      </c>
      <c r="G30459" s="49" t="str">
        <f t="shared" si="1"/>
        <v>60350</v>
      </c>
      <c r="H30459" s="49">
        <f t="shared" si="2"/>
        <v>60647</v>
      </c>
    </row>
    <row r="30460">
      <c r="A30460" s="48" t="s">
        <v>2219</v>
      </c>
      <c r="B30460" s="38">
        <v>2306.0</v>
      </c>
      <c r="C30460" s="38" t="s">
        <v>34828</v>
      </c>
      <c r="D30460" s="38" t="str">
        <f>IFERROR(__xludf.DUMMYFUNCTION("REGEXREPLACE(C30460,""-\d+(.*)|--\d+(.*)"","""")"),"LA FERTE-CHEVRESIS")</f>
        <v>LA FERTE-CHEVRESIS</v>
      </c>
      <c r="E30460" s="38" t="s">
        <v>191</v>
      </c>
      <c r="F30460" s="38" t="s">
        <v>113</v>
      </c>
      <c r="G30460" s="49" t="str">
        <f t="shared" si="1"/>
        <v>02270</v>
      </c>
      <c r="H30460" s="49" t="str">
        <f t="shared" si="2"/>
        <v>02306</v>
      </c>
    </row>
    <row r="30461">
      <c r="A30461" s="48" t="s">
        <v>2974</v>
      </c>
      <c r="B30461" s="38">
        <v>40019.0</v>
      </c>
      <c r="C30461" s="38" t="s">
        <v>556</v>
      </c>
      <c r="D30461" s="38" t="str">
        <f>IFERROR(__xludf.DUMMYFUNCTION("REGEXREPLACE(C30461,""-\d+(.*)|--\d+(.*)"","""")"),"AUREILHAN")</f>
        <v>AUREILHAN</v>
      </c>
      <c r="E30461" s="38" t="s">
        <v>281</v>
      </c>
      <c r="F30461" s="38" t="s">
        <v>252</v>
      </c>
      <c r="G30461" s="49" t="str">
        <f t="shared" si="1"/>
        <v>40200</v>
      </c>
      <c r="H30461" s="49">
        <f t="shared" si="2"/>
        <v>40019</v>
      </c>
    </row>
    <row r="30462">
      <c r="A30462" s="48" t="s">
        <v>7893</v>
      </c>
      <c r="B30462" s="38">
        <v>63326.0</v>
      </c>
      <c r="C30462" s="38" t="s">
        <v>34829</v>
      </c>
      <c r="D30462" s="38" t="str">
        <f>IFERROR(__xludf.DUMMYFUNCTION("REGEXREPLACE(C30462,""-\d+(.*)|--\d+(.*)"","""")"),"SAINT-BONNET-PRES-ORCIVAL")</f>
        <v>SAINT-BONNET-PRES-ORCIVAL</v>
      </c>
      <c r="E30462" s="38" t="s">
        <v>353</v>
      </c>
      <c r="F30462" s="38" t="s">
        <v>161</v>
      </c>
      <c r="G30462" s="49" t="str">
        <f t="shared" si="1"/>
        <v>63210</v>
      </c>
      <c r="H30462" s="49">
        <f t="shared" si="2"/>
        <v>63326</v>
      </c>
    </row>
    <row r="30463">
      <c r="A30463" s="48" t="s">
        <v>3434</v>
      </c>
      <c r="B30463" s="38">
        <v>11239.0</v>
      </c>
      <c r="C30463" s="38" t="s">
        <v>19084</v>
      </c>
      <c r="D30463" s="38" t="str">
        <f>IFERROR(__xludf.DUMMYFUNCTION("REGEXREPLACE(C30463,""-\d+(.*)|--\d+(.*)"","""")"),"MONTAURIOL")</f>
        <v>MONTAURIOL</v>
      </c>
      <c r="E30463" s="38" t="s">
        <v>278</v>
      </c>
      <c r="F30463" s="38" t="s">
        <v>119</v>
      </c>
      <c r="G30463" s="49" t="str">
        <f t="shared" si="1"/>
        <v>11410</v>
      </c>
      <c r="H30463" s="49">
        <f t="shared" si="2"/>
        <v>11239</v>
      </c>
    </row>
    <row r="30464">
      <c r="A30464" s="48" t="s">
        <v>1885</v>
      </c>
      <c r="B30464" s="38">
        <v>27613.0</v>
      </c>
      <c r="C30464" s="38" t="s">
        <v>34830</v>
      </c>
      <c r="D30464" s="38" t="str">
        <f>IFERROR(__xludf.DUMMYFUNCTION("REGEXREPLACE(C30464,""-\d+(.*)|--\d+(.*)"","""")"),"SAINT-VINCENT-DU-BOULAY")</f>
        <v>SAINT-VINCENT-DU-BOULAY</v>
      </c>
      <c r="E30464" s="38" t="s">
        <v>241</v>
      </c>
      <c r="F30464" s="38" t="s">
        <v>134</v>
      </c>
      <c r="G30464" s="49" t="str">
        <f t="shared" si="1"/>
        <v>27230</v>
      </c>
      <c r="H30464" s="49">
        <f t="shared" si="2"/>
        <v>27613</v>
      </c>
    </row>
    <row r="30465">
      <c r="A30465" s="48" t="s">
        <v>14034</v>
      </c>
      <c r="B30465" s="38">
        <v>76499.0</v>
      </c>
      <c r="C30465" s="38" t="s">
        <v>25799</v>
      </c>
      <c r="D30465" s="38" t="str">
        <f>IFERROR(__xludf.DUMMYFUNCTION("REGEXREPLACE(C30465,""-\d+(.*)|--\d+(.*)"","""")"),"PETIVILLE")</f>
        <v>PETIVILLE</v>
      </c>
      <c r="E30465" s="38" t="s">
        <v>133</v>
      </c>
      <c r="F30465" s="38" t="s">
        <v>134</v>
      </c>
      <c r="G30465" s="49" t="str">
        <f t="shared" si="1"/>
        <v>76330</v>
      </c>
      <c r="H30465" s="49">
        <f t="shared" si="2"/>
        <v>76499</v>
      </c>
    </row>
    <row r="30466">
      <c r="A30466" s="48" t="s">
        <v>1428</v>
      </c>
      <c r="B30466" s="38">
        <v>31397.0</v>
      </c>
      <c r="C30466" s="38" t="s">
        <v>34831</v>
      </c>
      <c r="D30466" s="38" t="str">
        <f>IFERROR(__xludf.DUMMYFUNCTION("REGEXREPLACE(C30466,""-\d+(.*)|--\d+(.*)"","""")"),"NENIGAN")</f>
        <v>NENIGAN</v>
      </c>
      <c r="E30466" s="38" t="s">
        <v>93</v>
      </c>
      <c r="F30466" s="38" t="s">
        <v>94</v>
      </c>
      <c r="G30466" s="49" t="str">
        <f t="shared" si="1"/>
        <v>31350</v>
      </c>
      <c r="H30466" s="49">
        <f t="shared" si="2"/>
        <v>31397</v>
      </c>
    </row>
    <row r="30467">
      <c r="A30467" s="48" t="s">
        <v>2920</v>
      </c>
      <c r="B30467" s="38">
        <v>62461.0</v>
      </c>
      <c r="C30467" s="38" t="s">
        <v>34832</v>
      </c>
      <c r="D30467" s="38" t="str">
        <f>IFERROR(__xludf.DUMMYFUNCTION("REGEXREPLACE(C30467,""-\d+(.*)|--\d+(.*)"","""")"),"HUBY-SAINT-LEU")</f>
        <v>HUBY-SAINT-LEU</v>
      </c>
      <c r="E30467" s="38" t="s">
        <v>109</v>
      </c>
      <c r="F30467" s="38" t="s">
        <v>86</v>
      </c>
      <c r="G30467" s="49" t="str">
        <f t="shared" si="1"/>
        <v>62140</v>
      </c>
      <c r="H30467" s="49">
        <f t="shared" si="2"/>
        <v>62461</v>
      </c>
    </row>
    <row r="30468">
      <c r="A30468" s="48" t="s">
        <v>4895</v>
      </c>
      <c r="B30468" s="38">
        <v>34048.0</v>
      </c>
      <c r="C30468" s="38" t="s">
        <v>1651</v>
      </c>
      <c r="D30468" s="38" t="str">
        <f>IFERROR(__xludf.DUMMYFUNCTION("REGEXREPLACE(C30468,""-\d+(.*)|--\d+(.*)"","""")"),"CAMPAGNE")</f>
        <v>CAMPAGNE</v>
      </c>
      <c r="E30468" s="38" t="s">
        <v>118</v>
      </c>
      <c r="F30468" s="38" t="s">
        <v>119</v>
      </c>
      <c r="G30468" s="49" t="str">
        <f t="shared" si="1"/>
        <v>34160</v>
      </c>
      <c r="H30468" s="49">
        <f t="shared" si="2"/>
        <v>34048</v>
      </c>
    </row>
    <row r="30469">
      <c r="A30469" s="48" t="s">
        <v>1305</v>
      </c>
      <c r="B30469" s="38">
        <v>36021.0</v>
      </c>
      <c r="C30469" s="38" t="s">
        <v>15515</v>
      </c>
      <c r="D30469" s="38" t="str">
        <f>IFERROR(__xludf.DUMMYFUNCTION("REGEXREPLACE(C30469,""-\d+(.*)|--\d+(.*)"","""")"),"LES BORDES")</f>
        <v>LES BORDES</v>
      </c>
      <c r="E30469" s="38" t="s">
        <v>258</v>
      </c>
      <c r="F30469" s="38" t="s">
        <v>123</v>
      </c>
      <c r="G30469" s="49" t="str">
        <f t="shared" si="1"/>
        <v>36100</v>
      </c>
      <c r="H30469" s="49">
        <f t="shared" si="2"/>
        <v>36021</v>
      </c>
    </row>
    <row r="30470">
      <c r="A30470" s="48" t="s">
        <v>27971</v>
      </c>
      <c r="B30470" s="38">
        <v>88225.0</v>
      </c>
      <c r="C30470" s="38" t="s">
        <v>34833</v>
      </c>
      <c r="D30470" s="38" t="str">
        <f>IFERROR(__xludf.DUMMYFUNCTION("REGEXREPLACE(C30470,""-\d+(.*)|--\d+(.*)"","""")"),"HADOL")</f>
        <v>HADOL</v>
      </c>
      <c r="E30470" s="38" t="s">
        <v>194</v>
      </c>
      <c r="F30470" s="38" t="s">
        <v>195</v>
      </c>
      <c r="G30470" s="49" t="str">
        <f t="shared" si="1"/>
        <v>88220</v>
      </c>
      <c r="H30470" s="49">
        <f t="shared" si="2"/>
        <v>88225</v>
      </c>
    </row>
    <row r="30471">
      <c r="A30471" s="48" t="s">
        <v>5466</v>
      </c>
      <c r="B30471" s="38">
        <v>88256.0</v>
      </c>
      <c r="C30471" s="38" t="s">
        <v>34834</v>
      </c>
      <c r="D30471" s="38" t="str">
        <f>IFERROR(__xludf.DUMMYFUNCTION("REGEXREPLACE(C30471,""-\d+(.*)|--\d+(.*)"","""")"),"JUSSARUPT")</f>
        <v>JUSSARUPT</v>
      </c>
      <c r="E30471" s="38" t="s">
        <v>194</v>
      </c>
      <c r="F30471" s="38" t="s">
        <v>195</v>
      </c>
      <c r="G30471" s="49" t="str">
        <f t="shared" si="1"/>
        <v>88640</v>
      </c>
      <c r="H30471" s="49">
        <f t="shared" si="2"/>
        <v>88256</v>
      </c>
    </row>
    <row r="30472">
      <c r="A30472" s="48" t="s">
        <v>4308</v>
      </c>
      <c r="B30472" s="38" t="s">
        <v>34835</v>
      </c>
      <c r="C30472" s="38" t="s">
        <v>34836</v>
      </c>
      <c r="D30472" s="38" t="str">
        <f>IFERROR(__xludf.DUMMYFUNCTION("REGEXREPLACE(C30472,""-\d+(.*)|--\d+(.*)"","""")"),"ALZI")</f>
        <v>ALZI</v>
      </c>
      <c r="E30472" s="38" t="s">
        <v>743</v>
      </c>
      <c r="F30472" s="38" t="s">
        <v>607</v>
      </c>
      <c r="G30472" s="49" t="str">
        <f t="shared" si="1"/>
        <v>20212</v>
      </c>
      <c r="H30472" s="49" t="str">
        <f t="shared" si="2"/>
        <v>2B013</v>
      </c>
    </row>
    <row r="30473">
      <c r="A30473" s="48" t="s">
        <v>4352</v>
      </c>
      <c r="B30473" s="38">
        <v>81281.0</v>
      </c>
      <c r="C30473" s="38" t="s">
        <v>34837</v>
      </c>
      <c r="D30473" s="38" t="str">
        <f>IFERROR(__xludf.DUMMYFUNCTION("REGEXREPLACE(C30473,""-\d+(.*)|--\d+(.*)"","""")"),"SEMALENS")</f>
        <v>SEMALENS</v>
      </c>
      <c r="E30473" s="38" t="s">
        <v>231</v>
      </c>
      <c r="F30473" s="38" t="s">
        <v>94</v>
      </c>
      <c r="G30473" s="49" t="str">
        <f t="shared" si="1"/>
        <v>81570</v>
      </c>
      <c r="H30473" s="49">
        <f t="shared" si="2"/>
        <v>81281</v>
      </c>
    </row>
    <row r="30474">
      <c r="A30474" s="48" t="s">
        <v>6948</v>
      </c>
      <c r="B30474" s="38">
        <v>17355.0</v>
      </c>
      <c r="C30474" s="38" t="s">
        <v>34838</v>
      </c>
      <c r="D30474" s="38" t="str">
        <f>IFERROR(__xludf.DUMMYFUNCTION("REGEXREPLACE(C30474,""-\d+(.*)|--\d+(.*)"","""")"),"SAINTE-LHEURINE")</f>
        <v>SAINTE-LHEURINE</v>
      </c>
      <c r="E30474" s="38" t="s">
        <v>488</v>
      </c>
      <c r="F30474" s="38" t="s">
        <v>338</v>
      </c>
      <c r="G30474" s="49" t="str">
        <f t="shared" si="1"/>
        <v>17520</v>
      </c>
      <c r="H30474" s="49">
        <f t="shared" si="2"/>
        <v>17355</v>
      </c>
    </row>
    <row r="30475">
      <c r="A30475" s="48" t="s">
        <v>34839</v>
      </c>
      <c r="B30475" s="38">
        <v>43164.0</v>
      </c>
      <c r="C30475" s="38" t="s">
        <v>34840</v>
      </c>
      <c r="D30475" s="38" t="str">
        <f>IFERROR(__xludf.DUMMYFUNCTION("REGEXREPLACE(C30475,""-\d+(.*)|--\d+(.*)"","""")"),"ROCHE-EN-REGNIER")</f>
        <v>ROCHE-EN-REGNIER</v>
      </c>
      <c r="E30475" s="38" t="s">
        <v>332</v>
      </c>
      <c r="F30475" s="38" t="s">
        <v>161</v>
      </c>
      <c r="G30475" s="49" t="str">
        <f t="shared" si="1"/>
        <v>43810</v>
      </c>
      <c r="H30475" s="49">
        <f t="shared" si="2"/>
        <v>43164</v>
      </c>
    </row>
    <row r="30476">
      <c r="A30476" s="48" t="s">
        <v>1143</v>
      </c>
      <c r="B30476" s="38">
        <v>52326.0</v>
      </c>
      <c r="C30476" s="38" t="s">
        <v>34841</v>
      </c>
      <c r="D30476" s="38" t="str">
        <f>IFERROR(__xludf.DUMMYFUNCTION("REGEXREPLACE(C30476,""-\d+(.*)|--\d+(.*)"","""")"),"MIRBEL")</f>
        <v>MIRBEL</v>
      </c>
      <c r="E30476" s="38" t="s">
        <v>234</v>
      </c>
      <c r="F30476" s="38" t="s">
        <v>130</v>
      </c>
      <c r="G30476" s="49" t="str">
        <f t="shared" si="1"/>
        <v>52320</v>
      </c>
      <c r="H30476" s="49">
        <f t="shared" si="2"/>
        <v>52326</v>
      </c>
    </row>
    <row r="30477">
      <c r="A30477" s="48" t="s">
        <v>1864</v>
      </c>
      <c r="B30477" s="38">
        <v>70264.0</v>
      </c>
      <c r="C30477" s="38" t="s">
        <v>34842</v>
      </c>
      <c r="D30477" s="38" t="str">
        <f>IFERROR(__xludf.DUMMYFUNCTION("REGEXREPLACE(C30477,""-\d+(.*)|--\d+(.*)"","""")"),"GEORFANS")</f>
        <v>GEORFANS</v>
      </c>
      <c r="E30477" s="38" t="s">
        <v>956</v>
      </c>
      <c r="F30477" s="38" t="s">
        <v>214</v>
      </c>
      <c r="G30477" s="49" t="str">
        <f t="shared" si="1"/>
        <v>70110</v>
      </c>
      <c r="H30477" s="49">
        <f t="shared" si="2"/>
        <v>70264</v>
      </c>
    </row>
    <row r="30478">
      <c r="A30478" s="48" t="s">
        <v>7804</v>
      </c>
      <c r="B30478" s="38">
        <v>51652.0</v>
      </c>
      <c r="C30478" s="38" t="s">
        <v>34843</v>
      </c>
      <c r="D30478" s="38" t="str">
        <f>IFERROR(__xludf.DUMMYFUNCTION("REGEXREPLACE(C30478,""-\d+(.*)|--\d+(.*)"","""")"),"VOUARCES")</f>
        <v>VOUARCES</v>
      </c>
      <c r="E30478" s="38" t="s">
        <v>129</v>
      </c>
      <c r="F30478" s="38" t="s">
        <v>130</v>
      </c>
      <c r="G30478" s="49" t="str">
        <f t="shared" si="1"/>
        <v>51260</v>
      </c>
      <c r="H30478" s="49">
        <f t="shared" si="2"/>
        <v>51652</v>
      </c>
    </row>
    <row r="30479">
      <c r="A30479" s="48" t="s">
        <v>1462</v>
      </c>
      <c r="B30479" s="38">
        <v>11051.0</v>
      </c>
      <c r="C30479" s="38" t="s">
        <v>34844</v>
      </c>
      <c r="D30479" s="38" t="str">
        <f>IFERROR(__xludf.DUMMYFUNCTION("REGEXREPLACE(C30479,""-\d+(.*)|--\d+(.*)"","""")"),"BREZILHAC")</f>
        <v>BREZILHAC</v>
      </c>
      <c r="E30479" s="38" t="s">
        <v>278</v>
      </c>
      <c r="F30479" s="38" t="s">
        <v>119</v>
      </c>
      <c r="G30479" s="49" t="str">
        <f t="shared" si="1"/>
        <v>11270</v>
      </c>
      <c r="H30479" s="49">
        <f t="shared" si="2"/>
        <v>11051</v>
      </c>
    </row>
    <row r="30480">
      <c r="A30480" s="48" t="s">
        <v>3621</v>
      </c>
      <c r="B30480" s="38">
        <v>52240.0</v>
      </c>
      <c r="C30480" s="38" t="s">
        <v>34845</v>
      </c>
      <c r="D30480" s="38" t="str">
        <f>IFERROR(__xludf.DUMMYFUNCTION("REGEXREPLACE(C30480,""-\d+(.*)|--\d+(.*)"","""")"),"HEUILLEY-LE-GRAND")</f>
        <v>HEUILLEY-LE-GRAND</v>
      </c>
      <c r="E30480" s="38" t="s">
        <v>234</v>
      </c>
      <c r="F30480" s="38" t="s">
        <v>130</v>
      </c>
      <c r="G30480" s="49" t="str">
        <f t="shared" si="1"/>
        <v>52600</v>
      </c>
      <c r="H30480" s="49">
        <f t="shared" si="2"/>
        <v>52240</v>
      </c>
    </row>
    <row r="30481">
      <c r="A30481" s="48" t="s">
        <v>12589</v>
      </c>
      <c r="B30481" s="38">
        <v>1402.0</v>
      </c>
      <c r="C30481" s="38" t="s">
        <v>34846</v>
      </c>
      <c r="D30481" s="38" t="str">
        <f>IFERROR(__xludf.DUMMYFUNCTION("REGEXREPLACE(C30481,""-\d+(.*)|--\d+(.*)"","""")"),"SERMOYER")</f>
        <v>SERMOYER</v>
      </c>
      <c r="E30481" s="38" t="s">
        <v>255</v>
      </c>
      <c r="F30481" s="38" t="s">
        <v>102</v>
      </c>
      <c r="G30481" s="49" t="str">
        <f t="shared" si="1"/>
        <v>01190</v>
      </c>
      <c r="H30481" s="49" t="str">
        <f t="shared" si="2"/>
        <v>01402</v>
      </c>
    </row>
    <row r="30482">
      <c r="A30482" s="48" t="s">
        <v>1644</v>
      </c>
      <c r="B30482" s="38">
        <v>21419.0</v>
      </c>
      <c r="C30482" s="38" t="s">
        <v>34847</v>
      </c>
      <c r="D30482" s="38" t="str">
        <f>IFERROR(__xludf.DUMMYFUNCTION("REGEXREPLACE(C30482,""-\d+(.*)|--\d+(.*)"","""")"),"MOLESME")</f>
        <v>MOLESME</v>
      </c>
      <c r="E30482" s="38" t="s">
        <v>105</v>
      </c>
      <c r="F30482" s="38" t="s">
        <v>106</v>
      </c>
      <c r="G30482" s="49" t="str">
        <f t="shared" si="1"/>
        <v>21330</v>
      </c>
      <c r="H30482" s="49">
        <f t="shared" si="2"/>
        <v>21419</v>
      </c>
    </row>
    <row r="30483">
      <c r="A30483" s="48" t="s">
        <v>6899</v>
      </c>
      <c r="B30483" s="38">
        <v>60070.0</v>
      </c>
      <c r="C30483" s="38" t="s">
        <v>34848</v>
      </c>
      <c r="D30483" s="38" t="str">
        <f>IFERROR(__xludf.DUMMYFUNCTION("REGEXREPLACE(C30483,""-\d+(.*)|--\d+(.*)"","""")"),"BIENVILLE")</f>
        <v>BIENVILLE</v>
      </c>
      <c r="E30483" s="38" t="s">
        <v>112</v>
      </c>
      <c r="F30483" s="38" t="s">
        <v>113</v>
      </c>
      <c r="G30483" s="49" t="str">
        <f t="shared" si="1"/>
        <v>60280</v>
      </c>
      <c r="H30483" s="49">
        <f t="shared" si="2"/>
        <v>60070</v>
      </c>
    </row>
    <row r="30484">
      <c r="A30484" s="48" t="s">
        <v>2288</v>
      </c>
      <c r="B30484" s="38">
        <v>81061.0</v>
      </c>
      <c r="C30484" s="38" t="s">
        <v>29059</v>
      </c>
      <c r="D30484" s="38" t="str">
        <f>IFERROR(__xludf.DUMMYFUNCTION("REGEXREPLACE(C30484,""-\d+(.*)|--\d+(.*)"","""")"),"CASTANET")</f>
        <v>CASTANET</v>
      </c>
      <c r="E30484" s="38" t="s">
        <v>231</v>
      </c>
      <c r="F30484" s="38" t="s">
        <v>94</v>
      </c>
      <c r="G30484" s="49" t="str">
        <f t="shared" si="1"/>
        <v>81150</v>
      </c>
      <c r="H30484" s="49">
        <f t="shared" si="2"/>
        <v>81061</v>
      </c>
    </row>
    <row r="30485">
      <c r="A30485" s="48" t="s">
        <v>1385</v>
      </c>
      <c r="B30485" s="38">
        <v>17480.0</v>
      </c>
      <c r="C30485" s="38" t="s">
        <v>34849</v>
      </c>
      <c r="D30485" s="38" t="str">
        <f>IFERROR(__xludf.DUMMYFUNCTION("REGEXREPLACE(C30485,""-\d+(.*)|--\d+(.*)"","""")"),"VIRSON")</f>
        <v>VIRSON</v>
      </c>
      <c r="E30485" s="38" t="s">
        <v>488</v>
      </c>
      <c r="F30485" s="38" t="s">
        <v>338</v>
      </c>
      <c r="G30485" s="49" t="str">
        <f t="shared" si="1"/>
        <v>17290</v>
      </c>
      <c r="H30485" s="49">
        <f t="shared" si="2"/>
        <v>17480</v>
      </c>
    </row>
    <row r="30486">
      <c r="A30486" s="48" t="s">
        <v>6865</v>
      </c>
      <c r="B30486" s="38" t="s">
        <v>34850</v>
      </c>
      <c r="C30486" s="38" t="s">
        <v>34851</v>
      </c>
      <c r="D30486" s="38" t="str">
        <f>IFERROR(__xludf.DUMMYFUNCTION("REGEXREPLACE(C30486,""-\d+(.*)|--\d+(.*)"","""")"),"ALBITRECCIA")</f>
        <v>ALBITRECCIA</v>
      </c>
      <c r="E30486" s="38" t="s">
        <v>606</v>
      </c>
      <c r="F30486" s="38" t="s">
        <v>607</v>
      </c>
      <c r="G30486" s="49" t="str">
        <f t="shared" si="1"/>
        <v>20128</v>
      </c>
      <c r="H30486" s="49" t="str">
        <f t="shared" si="2"/>
        <v>2A008</v>
      </c>
    </row>
    <row r="30487">
      <c r="A30487" s="48" t="s">
        <v>6052</v>
      </c>
      <c r="B30487" s="38">
        <v>5049.0</v>
      </c>
      <c r="C30487" s="38" t="s">
        <v>27142</v>
      </c>
      <c r="D30487" s="38" t="str">
        <f>IFERROR(__xludf.DUMMYFUNCTION("REGEXREPLACE(C30487,""-\d+(.*)|--\d+(.*)"","""")"),"ESPARRON")</f>
        <v>ESPARRON</v>
      </c>
      <c r="E30487" s="38" t="s">
        <v>706</v>
      </c>
      <c r="F30487" s="38" t="s">
        <v>228</v>
      </c>
      <c r="G30487" s="49" t="str">
        <f t="shared" si="1"/>
        <v>05110</v>
      </c>
      <c r="H30487" s="49" t="str">
        <f t="shared" si="2"/>
        <v>05049</v>
      </c>
    </row>
    <row r="30488">
      <c r="A30488" s="48" t="s">
        <v>8808</v>
      </c>
      <c r="B30488" s="38">
        <v>44038.0</v>
      </c>
      <c r="C30488" s="38" t="s">
        <v>34852</v>
      </c>
      <c r="D30488" s="38" t="str">
        <f>IFERROR(__xludf.DUMMYFUNCTION("REGEXREPLACE(C30488,""-\d+(.*)|--\d+(.*)"","""")"),"CHAUVE")</f>
        <v>CHAUVE</v>
      </c>
      <c r="E30488" s="38" t="s">
        <v>759</v>
      </c>
      <c r="F30488" s="38" t="s">
        <v>180</v>
      </c>
      <c r="G30488" s="49" t="str">
        <f t="shared" si="1"/>
        <v>44320</v>
      </c>
      <c r="H30488" s="49">
        <f t="shared" si="2"/>
        <v>44038</v>
      </c>
    </row>
    <row r="30489">
      <c r="A30489" s="48" t="s">
        <v>13581</v>
      </c>
      <c r="B30489" s="38">
        <v>78608.0</v>
      </c>
      <c r="C30489" s="38" t="s">
        <v>34853</v>
      </c>
      <c r="D30489" s="38" t="str">
        <f>IFERROR(__xludf.DUMMYFUNCTION("REGEXREPLACE(C30489,""-\d+(.*)|--\d+(.*)"","""")"),"LE TERTRE-SAINT-DENIS")</f>
        <v>LE TERTRE-SAINT-DENIS</v>
      </c>
      <c r="E30489" s="38" t="s">
        <v>362</v>
      </c>
      <c r="F30489" s="38" t="s">
        <v>245</v>
      </c>
      <c r="G30489" s="49" t="str">
        <f t="shared" si="1"/>
        <v>78980</v>
      </c>
      <c r="H30489" s="49">
        <f t="shared" si="2"/>
        <v>78608</v>
      </c>
    </row>
    <row r="30490">
      <c r="A30490" s="48" t="s">
        <v>20857</v>
      </c>
      <c r="B30490" s="38">
        <v>64125.0</v>
      </c>
      <c r="C30490" s="38" t="s">
        <v>34854</v>
      </c>
      <c r="D30490" s="38" t="str">
        <f>IFERROR(__xludf.DUMMYFUNCTION("REGEXREPLACE(C30490,""-\d+(.*)|--\d+(.*)"","""")"),"BIDART")</f>
        <v>BIDART</v>
      </c>
      <c r="E30490" s="38" t="s">
        <v>268</v>
      </c>
      <c r="F30490" s="38" t="s">
        <v>252</v>
      </c>
      <c r="G30490" s="49" t="str">
        <f t="shared" si="1"/>
        <v>64210</v>
      </c>
      <c r="H30490" s="49">
        <f t="shared" si="2"/>
        <v>64125</v>
      </c>
    </row>
    <row r="30491">
      <c r="A30491" s="48" t="s">
        <v>4473</v>
      </c>
      <c r="B30491" s="38">
        <v>5124.0</v>
      </c>
      <c r="C30491" s="38" t="s">
        <v>4674</v>
      </c>
      <c r="D30491" s="38" t="str">
        <f>IFERROR(__xludf.DUMMYFUNCTION("REGEXREPLACE(C30491,""-\d+(.*)|--\d+(.*)"","""")"),"LA ROCHETTE")</f>
        <v>LA ROCHETTE</v>
      </c>
      <c r="E30491" s="38" t="s">
        <v>706</v>
      </c>
      <c r="F30491" s="38" t="s">
        <v>228</v>
      </c>
      <c r="G30491" s="49" t="str">
        <f t="shared" si="1"/>
        <v>05000</v>
      </c>
      <c r="H30491" s="49" t="str">
        <f t="shared" si="2"/>
        <v>05124</v>
      </c>
    </row>
    <row r="30492">
      <c r="A30492" s="48" t="s">
        <v>2893</v>
      </c>
      <c r="B30492" s="38">
        <v>27177.0</v>
      </c>
      <c r="C30492" s="38" t="s">
        <v>34855</v>
      </c>
      <c r="D30492" s="38" t="str">
        <f>IFERROR(__xludf.DUMMYFUNCTION("REGEXREPLACE(C30492,""-\d+(.*)|--\d+(.*)"","""")"),"COUDRES")</f>
        <v>COUDRES</v>
      </c>
      <c r="E30492" s="38" t="s">
        <v>241</v>
      </c>
      <c r="F30492" s="38" t="s">
        <v>134</v>
      </c>
      <c r="G30492" s="49" t="str">
        <f t="shared" si="1"/>
        <v>27220</v>
      </c>
      <c r="H30492" s="49">
        <f t="shared" si="2"/>
        <v>27177</v>
      </c>
    </row>
    <row r="30493">
      <c r="A30493" s="48" t="s">
        <v>16765</v>
      </c>
      <c r="B30493" s="38">
        <v>76189.0</v>
      </c>
      <c r="C30493" s="38" t="s">
        <v>34856</v>
      </c>
      <c r="D30493" s="38" t="str">
        <f>IFERROR(__xludf.DUMMYFUNCTION("REGEXREPLACE(C30493,""-\d+(.*)|--\d+(.*)"","""")"),"CRASVILLE-LA-MALLET")</f>
        <v>CRASVILLE-LA-MALLET</v>
      </c>
      <c r="E30493" s="38" t="s">
        <v>133</v>
      </c>
      <c r="F30493" s="38" t="s">
        <v>134</v>
      </c>
      <c r="G30493" s="49" t="str">
        <f t="shared" si="1"/>
        <v>76450</v>
      </c>
      <c r="H30493" s="49">
        <f t="shared" si="2"/>
        <v>76189</v>
      </c>
    </row>
    <row r="30494">
      <c r="A30494" s="48" t="s">
        <v>8302</v>
      </c>
      <c r="B30494" s="38">
        <v>66077.0</v>
      </c>
      <c r="C30494" s="38" t="s">
        <v>10142</v>
      </c>
      <c r="D30494" s="38" t="str">
        <f>IFERROR(__xludf.DUMMYFUNCTION("REGEXREPLACE(C30494,""-\d+(.*)|--\d+(.*)"","""")"),"FENOUILLET")</f>
        <v>FENOUILLET</v>
      </c>
      <c r="E30494" s="38" t="s">
        <v>248</v>
      </c>
      <c r="F30494" s="38" t="s">
        <v>119</v>
      </c>
      <c r="G30494" s="49" t="str">
        <f t="shared" si="1"/>
        <v>66220</v>
      </c>
      <c r="H30494" s="49">
        <f t="shared" si="2"/>
        <v>66077</v>
      </c>
    </row>
    <row r="30495">
      <c r="A30495" s="48" t="s">
        <v>2766</v>
      </c>
      <c r="B30495" s="38">
        <v>2309.0</v>
      </c>
      <c r="C30495" s="38" t="s">
        <v>34857</v>
      </c>
      <c r="D30495" s="38" t="str">
        <f>IFERROR(__xludf.DUMMYFUNCTION("REGEXREPLACE(C30495,""-\d+(.*)|--\d+(.*)"","""")"),"FESTIEUX")</f>
        <v>FESTIEUX</v>
      </c>
      <c r="E30495" s="38" t="s">
        <v>191</v>
      </c>
      <c r="F30495" s="38" t="s">
        <v>113</v>
      </c>
      <c r="G30495" s="49" t="str">
        <f t="shared" si="1"/>
        <v>02840</v>
      </c>
      <c r="H30495" s="49" t="str">
        <f t="shared" si="2"/>
        <v>02309</v>
      </c>
    </row>
    <row r="30496">
      <c r="A30496" s="48" t="s">
        <v>7414</v>
      </c>
      <c r="B30496" s="38">
        <v>77239.0</v>
      </c>
      <c r="C30496" s="38" t="s">
        <v>34858</v>
      </c>
      <c r="D30496" s="38" t="str">
        <f>IFERROR(__xludf.DUMMYFUNCTION("REGEXREPLACE(C30496,""-\d+(.*)|--\d+(.*)"","""")"),"JOUY-LE-CHATEL")</f>
        <v>JOUY-LE-CHATEL</v>
      </c>
      <c r="E30496" s="38" t="s">
        <v>244</v>
      </c>
      <c r="F30496" s="38" t="s">
        <v>245</v>
      </c>
      <c r="G30496" s="49" t="str">
        <f t="shared" si="1"/>
        <v>77970</v>
      </c>
      <c r="H30496" s="49">
        <f t="shared" si="2"/>
        <v>77239</v>
      </c>
    </row>
    <row r="30497">
      <c r="A30497" s="48" t="s">
        <v>3711</v>
      </c>
      <c r="B30497" s="38">
        <v>21252.0</v>
      </c>
      <c r="C30497" s="38" t="s">
        <v>34859</v>
      </c>
      <c r="D30497" s="38" t="str">
        <f>IFERROR(__xludf.DUMMYFUNCTION("REGEXREPLACE(C30497,""-\d+(.*)|--\d+(.*)"","""")"),"ETAIS")</f>
        <v>ETAIS</v>
      </c>
      <c r="E30497" s="38" t="s">
        <v>105</v>
      </c>
      <c r="F30497" s="38" t="s">
        <v>106</v>
      </c>
      <c r="G30497" s="49" t="str">
        <f t="shared" si="1"/>
        <v>21500</v>
      </c>
      <c r="H30497" s="49">
        <f t="shared" si="2"/>
        <v>21252</v>
      </c>
    </row>
    <row r="30498">
      <c r="A30498" s="48" t="s">
        <v>2340</v>
      </c>
      <c r="B30498" s="38">
        <v>21648.0</v>
      </c>
      <c r="C30498" s="38" t="s">
        <v>34860</v>
      </c>
      <c r="D30498" s="38" t="str">
        <f>IFERROR(__xludf.DUMMYFUNCTION("REGEXREPLACE(C30498,""-\d+(.*)|--\d+(.*)"","""")"),"TURCEY")</f>
        <v>TURCEY</v>
      </c>
      <c r="E30498" s="38" t="s">
        <v>105</v>
      </c>
      <c r="F30498" s="38" t="s">
        <v>106</v>
      </c>
      <c r="G30498" s="49" t="str">
        <f t="shared" si="1"/>
        <v>21540</v>
      </c>
      <c r="H30498" s="49">
        <f t="shared" si="2"/>
        <v>21648</v>
      </c>
    </row>
    <row r="30499">
      <c r="A30499" s="48" t="s">
        <v>325</v>
      </c>
      <c r="B30499" s="38">
        <v>8372.0</v>
      </c>
      <c r="C30499" s="38" t="s">
        <v>34861</v>
      </c>
      <c r="D30499" s="38" t="str">
        <f>IFERROR(__xludf.DUMMYFUNCTION("REGEXREPLACE(C30499,""-\d+(.*)|--\d+(.*)"","""")"),"RUBIGNY")</f>
        <v>RUBIGNY</v>
      </c>
      <c r="E30499" s="38" t="s">
        <v>327</v>
      </c>
      <c r="F30499" s="38" t="s">
        <v>130</v>
      </c>
      <c r="G30499" s="49" t="str">
        <f t="shared" si="1"/>
        <v>08220</v>
      </c>
      <c r="H30499" s="49" t="str">
        <f t="shared" si="2"/>
        <v>08372</v>
      </c>
    </row>
    <row r="30500">
      <c r="A30500" s="48" t="s">
        <v>3458</v>
      </c>
      <c r="B30500" s="38">
        <v>52525.0</v>
      </c>
      <c r="C30500" s="38" t="s">
        <v>34862</v>
      </c>
      <c r="D30500" s="38" t="str">
        <f>IFERROR(__xludf.DUMMYFUNCTION("REGEXREPLACE(C30500,""-\d+(.*)|--\d+(.*)"","""")"),"VILLARS-EN-AZOIS")</f>
        <v>VILLARS-EN-AZOIS</v>
      </c>
      <c r="E30500" s="38" t="s">
        <v>234</v>
      </c>
      <c r="F30500" s="38" t="s">
        <v>130</v>
      </c>
      <c r="G30500" s="49" t="str">
        <f t="shared" si="1"/>
        <v>52120</v>
      </c>
      <c r="H30500" s="49">
        <f t="shared" si="2"/>
        <v>52525</v>
      </c>
    </row>
    <row r="30501">
      <c r="A30501" s="48" t="s">
        <v>7602</v>
      </c>
      <c r="B30501" s="38">
        <v>11326.0</v>
      </c>
      <c r="C30501" s="38" t="s">
        <v>34863</v>
      </c>
      <c r="D30501" s="38" t="str">
        <f>IFERROR(__xludf.DUMMYFUNCTION("REGEXREPLACE(C30501,""-\d+(.*)|--\d+(.*)"","""")"),"ROUFFIAC-DES-CORBIERES")</f>
        <v>ROUFFIAC-DES-CORBIERES</v>
      </c>
      <c r="E30501" s="38" t="s">
        <v>278</v>
      </c>
      <c r="F30501" s="38" t="s">
        <v>119</v>
      </c>
      <c r="G30501" s="49" t="str">
        <f t="shared" si="1"/>
        <v>11350</v>
      </c>
      <c r="H30501" s="49">
        <f t="shared" si="2"/>
        <v>11326</v>
      </c>
    </row>
    <row r="30502">
      <c r="A30502" s="48" t="s">
        <v>1327</v>
      </c>
      <c r="B30502" s="38">
        <v>51073.0</v>
      </c>
      <c r="C30502" s="38" t="s">
        <v>34864</v>
      </c>
      <c r="D30502" s="38" t="str">
        <f>IFERROR(__xludf.DUMMYFUNCTION("REGEXREPLACE(C30502,""-\d+(.*)|--\d+(.*)"","""")"),"BOULEUSE")</f>
        <v>BOULEUSE</v>
      </c>
      <c r="E30502" s="38" t="s">
        <v>129</v>
      </c>
      <c r="F30502" s="38" t="s">
        <v>130</v>
      </c>
      <c r="G30502" s="49" t="str">
        <f t="shared" si="1"/>
        <v>51170</v>
      </c>
      <c r="H30502" s="49">
        <f t="shared" si="2"/>
        <v>51073</v>
      </c>
    </row>
    <row r="30503">
      <c r="A30503" s="48" t="s">
        <v>18855</v>
      </c>
      <c r="B30503" s="38">
        <v>86182.0</v>
      </c>
      <c r="C30503" s="38" t="s">
        <v>34865</v>
      </c>
      <c r="D30503" s="38" t="str">
        <f>IFERROR(__xludf.DUMMYFUNCTION("REGEXREPLACE(C30503,""-\d+(.*)|--\d+(.*)"","""")"),"ORCHES")</f>
        <v>ORCHES</v>
      </c>
      <c r="E30503" s="38" t="s">
        <v>529</v>
      </c>
      <c r="F30503" s="38" t="s">
        <v>338</v>
      </c>
      <c r="G30503" s="49" t="str">
        <f t="shared" si="1"/>
        <v>86230</v>
      </c>
      <c r="H30503" s="49">
        <f t="shared" si="2"/>
        <v>86182</v>
      </c>
    </row>
    <row r="30504">
      <c r="A30504" s="48" t="s">
        <v>1118</v>
      </c>
      <c r="B30504" s="38">
        <v>50415.0</v>
      </c>
      <c r="C30504" s="38" t="s">
        <v>34866</v>
      </c>
      <c r="D30504" s="38" t="str">
        <f>IFERROR(__xludf.DUMMYFUNCTION("REGEXREPLACE(C30504,""-\d+(.*)|--\d+(.*)"","""")"),"PRETOT-SAINTE-SUZANNE")</f>
        <v>PRETOT-SAINTE-SUZANNE</v>
      </c>
      <c r="E30504" s="38" t="s">
        <v>157</v>
      </c>
      <c r="F30504" s="38" t="s">
        <v>138</v>
      </c>
      <c r="G30504" s="49" t="str">
        <f t="shared" si="1"/>
        <v>50250</v>
      </c>
      <c r="H30504" s="49">
        <f t="shared" si="2"/>
        <v>50415</v>
      </c>
    </row>
    <row r="30505">
      <c r="A30505" s="48" t="s">
        <v>1555</v>
      </c>
      <c r="B30505" s="38">
        <v>52448.0</v>
      </c>
      <c r="C30505" s="38" t="s">
        <v>34867</v>
      </c>
      <c r="D30505" s="38" t="str">
        <f>IFERROR(__xludf.DUMMYFUNCTION("REGEXREPLACE(C30505,""-\d+(.*)|--\d+(.*)"","""")"),"SAINT-DIZIER")</f>
        <v>SAINT-DIZIER</v>
      </c>
      <c r="E30505" s="38" t="s">
        <v>234</v>
      </c>
      <c r="F30505" s="38" t="s">
        <v>130</v>
      </c>
      <c r="G30505" s="49" t="str">
        <f t="shared" si="1"/>
        <v>52100</v>
      </c>
      <c r="H30505" s="49">
        <f t="shared" si="2"/>
        <v>52448</v>
      </c>
    </row>
    <row r="30506">
      <c r="A30506" s="48" t="s">
        <v>584</v>
      </c>
      <c r="B30506" s="38">
        <v>62005.0</v>
      </c>
      <c r="C30506" s="38" t="s">
        <v>34868</v>
      </c>
      <c r="D30506" s="38" t="str">
        <f>IFERROR(__xludf.DUMMYFUNCTION("REGEXREPLACE(C30506,""-\d+(.*)|--\d+(.*)"","""")"),"ACHIET-LE-GRAND")</f>
        <v>ACHIET-LE-GRAND</v>
      </c>
      <c r="E30506" s="38" t="s">
        <v>109</v>
      </c>
      <c r="F30506" s="38" t="s">
        <v>86</v>
      </c>
      <c r="G30506" s="49" t="str">
        <f t="shared" si="1"/>
        <v>62121</v>
      </c>
      <c r="H30506" s="49">
        <f t="shared" si="2"/>
        <v>62005</v>
      </c>
    </row>
    <row r="30507">
      <c r="A30507" s="48" t="s">
        <v>1531</v>
      </c>
      <c r="B30507" s="38">
        <v>65327.0</v>
      </c>
      <c r="C30507" s="38" t="s">
        <v>34869</v>
      </c>
      <c r="D30507" s="38" t="str">
        <f>IFERROR(__xludf.DUMMYFUNCTION("REGEXREPLACE(C30507,""-\d+(.*)|--\d+(.*)"","""")"),"NESTIER")</f>
        <v>NESTIER</v>
      </c>
      <c r="E30507" s="38" t="s">
        <v>200</v>
      </c>
      <c r="F30507" s="38" t="s">
        <v>94</v>
      </c>
      <c r="G30507" s="49" t="str">
        <f t="shared" si="1"/>
        <v>65150</v>
      </c>
      <c r="H30507" s="49">
        <f t="shared" si="2"/>
        <v>65327</v>
      </c>
    </row>
    <row r="30508">
      <c r="A30508" s="48" t="s">
        <v>7435</v>
      </c>
      <c r="B30508" s="38">
        <v>52125.0</v>
      </c>
      <c r="C30508" s="38" t="s">
        <v>34870</v>
      </c>
      <c r="D30508" s="38" t="str">
        <f>IFERROR(__xludf.DUMMYFUNCTION("REGEXREPLACE(C30508,""-\d+(.*)|--\d+(.*)"","""")"),"CHAMARANDES-CHOIGNES")</f>
        <v>CHAMARANDES-CHOIGNES</v>
      </c>
      <c r="E30508" s="38" t="s">
        <v>234</v>
      </c>
      <c r="F30508" s="38" t="s">
        <v>130</v>
      </c>
      <c r="G30508" s="49" t="str">
        <f t="shared" si="1"/>
        <v>52000</v>
      </c>
      <c r="H30508" s="49">
        <f t="shared" si="2"/>
        <v>52125</v>
      </c>
    </row>
    <row r="30509">
      <c r="A30509" s="48" t="s">
        <v>9451</v>
      </c>
      <c r="B30509" s="38">
        <v>22105.0</v>
      </c>
      <c r="C30509" s="38" t="s">
        <v>34871</v>
      </c>
      <c r="D30509" s="38" t="str">
        <f>IFERROR(__xludf.DUMMYFUNCTION("REGEXREPLACE(C30509,""-\d+(.*)|--\d+(.*)"","""")"),"LANGUENAN")</f>
        <v>LANGUENAN</v>
      </c>
      <c r="E30509" s="38" t="s">
        <v>89</v>
      </c>
      <c r="F30509" s="38" t="s">
        <v>90</v>
      </c>
      <c r="G30509" s="49" t="str">
        <f t="shared" si="1"/>
        <v>22130</v>
      </c>
      <c r="H30509" s="49">
        <f t="shared" si="2"/>
        <v>22105</v>
      </c>
    </row>
    <row r="30510">
      <c r="A30510" s="48" t="s">
        <v>4733</v>
      </c>
      <c r="B30510" s="38">
        <v>38149.0</v>
      </c>
      <c r="C30510" s="38" t="s">
        <v>34872</v>
      </c>
      <c r="D30510" s="38" t="str">
        <f>IFERROR(__xludf.DUMMYFUNCTION("REGEXREPLACE(C30510,""-\d+(.*)|--\d+(.*)"","""")"),"DOMARIN")</f>
        <v>DOMARIN</v>
      </c>
      <c r="E30510" s="38" t="s">
        <v>101</v>
      </c>
      <c r="F30510" s="38" t="s">
        <v>102</v>
      </c>
      <c r="G30510" s="49" t="str">
        <f t="shared" si="1"/>
        <v>38300</v>
      </c>
      <c r="H30510" s="49">
        <f t="shared" si="2"/>
        <v>38149</v>
      </c>
    </row>
    <row r="30511">
      <c r="A30511" s="48" t="s">
        <v>5386</v>
      </c>
      <c r="B30511" s="38">
        <v>42226.0</v>
      </c>
      <c r="C30511" s="38" t="s">
        <v>34873</v>
      </c>
      <c r="D30511" s="38" t="str">
        <f>IFERROR(__xludf.DUMMYFUNCTION("REGEXREPLACE(C30511,""-\d+(.*)|--\d+(.*)"","""")"),"SAINT-GEORGES-DE-BAROILLE")</f>
        <v>SAINT-GEORGES-DE-BAROILLE</v>
      </c>
      <c r="E30511" s="38" t="s">
        <v>166</v>
      </c>
      <c r="F30511" s="38" t="s">
        <v>102</v>
      </c>
      <c r="G30511" s="49" t="str">
        <f t="shared" si="1"/>
        <v>42510</v>
      </c>
      <c r="H30511" s="49">
        <f t="shared" si="2"/>
        <v>42226</v>
      </c>
    </row>
    <row r="30512">
      <c r="A30512" s="48" t="s">
        <v>23710</v>
      </c>
      <c r="B30512" s="38">
        <v>6032.0</v>
      </c>
      <c r="C30512" s="38" t="s">
        <v>34874</v>
      </c>
      <c r="D30512" s="38" t="str">
        <f>IFERROR(__xludf.DUMMYFUNCTION("REGEXREPLACE(C30512,""-\d+(.*)|--\d+(.*)"","""")"),"CAP-D'AIL")</f>
        <v>CAP-D'AIL</v>
      </c>
      <c r="E30512" s="38" t="s">
        <v>227</v>
      </c>
      <c r="F30512" s="38" t="s">
        <v>228</v>
      </c>
      <c r="G30512" s="49" t="str">
        <f t="shared" si="1"/>
        <v>06320</v>
      </c>
      <c r="H30512" s="49" t="str">
        <f t="shared" si="2"/>
        <v>06032</v>
      </c>
    </row>
    <row r="30513">
      <c r="A30513" s="48" t="s">
        <v>24666</v>
      </c>
      <c r="B30513" s="38">
        <v>42022.0</v>
      </c>
      <c r="C30513" s="38" t="s">
        <v>5048</v>
      </c>
      <c r="D30513" s="38" t="str">
        <f>IFERROR(__xludf.DUMMYFUNCTION("REGEXREPLACE(C30513,""-\d+(.*)|--\d+(.*)"","""")"),"BONSON")</f>
        <v>BONSON</v>
      </c>
      <c r="E30513" s="38" t="s">
        <v>166</v>
      </c>
      <c r="F30513" s="38" t="s">
        <v>102</v>
      </c>
      <c r="G30513" s="49" t="str">
        <f t="shared" si="1"/>
        <v>42160</v>
      </c>
      <c r="H30513" s="49">
        <f t="shared" si="2"/>
        <v>42022</v>
      </c>
    </row>
    <row r="30514">
      <c r="A30514" s="48" t="s">
        <v>23479</v>
      </c>
      <c r="B30514" s="38">
        <v>12043.0</v>
      </c>
      <c r="C30514" s="38" t="s">
        <v>34875</v>
      </c>
      <c r="D30514" s="38" t="str">
        <f>IFERROR(__xludf.DUMMYFUNCTION("REGEXREPLACE(C30514,""-\d+(.*)|--\d+(.*)"","""")"),"CALMONT")</f>
        <v>CALMONT</v>
      </c>
      <c r="E30514" s="38" t="s">
        <v>465</v>
      </c>
      <c r="F30514" s="38" t="s">
        <v>94</v>
      </c>
      <c r="G30514" s="49" t="str">
        <f t="shared" si="1"/>
        <v>12450</v>
      </c>
      <c r="H30514" s="49">
        <f t="shared" si="2"/>
        <v>12043</v>
      </c>
    </row>
    <row r="30515">
      <c r="A30515" s="48" t="s">
        <v>6592</v>
      </c>
      <c r="B30515" s="38">
        <v>5154.0</v>
      </c>
      <c r="C30515" s="38" t="s">
        <v>34876</v>
      </c>
      <c r="D30515" s="38" t="str">
        <f>IFERROR(__xludf.DUMMYFUNCTION("REGEXREPLACE(C30515,""-\d+(.*)|--\d+(.*)"","""")"),"SAINT-PIERRE-D'ARGENCON")</f>
        <v>SAINT-PIERRE-D'ARGENCON</v>
      </c>
      <c r="E30515" s="38" t="s">
        <v>706</v>
      </c>
      <c r="F30515" s="38" t="s">
        <v>228</v>
      </c>
      <c r="G30515" s="49" t="str">
        <f t="shared" si="1"/>
        <v>05140</v>
      </c>
      <c r="H30515" s="49" t="str">
        <f t="shared" si="2"/>
        <v>05154</v>
      </c>
    </row>
    <row r="30516">
      <c r="A30516" s="48" t="s">
        <v>25344</v>
      </c>
      <c r="B30516" s="38">
        <v>40165.0</v>
      </c>
      <c r="C30516" s="38" t="s">
        <v>34877</v>
      </c>
      <c r="D30516" s="38" t="str">
        <f>IFERROR(__xludf.DUMMYFUNCTION("REGEXREPLACE(C30516,""-\d+(.*)|--\d+(.*)"","""")"),"LUGLON")</f>
        <v>LUGLON</v>
      </c>
      <c r="E30516" s="38" t="s">
        <v>281</v>
      </c>
      <c r="F30516" s="38" t="s">
        <v>252</v>
      </c>
      <c r="G30516" s="49" t="str">
        <f t="shared" si="1"/>
        <v>40630</v>
      </c>
      <c r="H30516" s="49">
        <f t="shared" si="2"/>
        <v>40165</v>
      </c>
    </row>
    <row r="30517">
      <c r="A30517" s="48" t="s">
        <v>2853</v>
      </c>
      <c r="B30517" s="38">
        <v>36040.0</v>
      </c>
      <c r="C30517" s="38" t="s">
        <v>34878</v>
      </c>
      <c r="D30517" s="38" t="str">
        <f>IFERROR(__xludf.DUMMYFUNCTION("REGEXREPLACE(C30517,""-\d+(.*)|--\d+(.*)"","""")"),"LA CHAPELLE-ORTHEMALE")</f>
        <v>LA CHAPELLE-ORTHEMALE</v>
      </c>
      <c r="E30517" s="38" t="s">
        <v>258</v>
      </c>
      <c r="F30517" s="38" t="s">
        <v>123</v>
      </c>
      <c r="G30517" s="49" t="str">
        <f t="shared" si="1"/>
        <v>36500</v>
      </c>
      <c r="H30517" s="49">
        <f t="shared" si="2"/>
        <v>36040</v>
      </c>
    </row>
    <row r="30518">
      <c r="A30518" s="48" t="s">
        <v>7933</v>
      </c>
      <c r="B30518" s="38">
        <v>27642.0</v>
      </c>
      <c r="C30518" s="38" t="s">
        <v>34879</v>
      </c>
      <c r="D30518" s="38" t="str">
        <f>IFERROR(__xludf.DUMMYFUNCTION("REGEXREPLACE(C30518,""-\d+(.*)|--\d+(.*)"","""")"),"LE TILLEUL-OTHON")</f>
        <v>LE TILLEUL-OTHON</v>
      </c>
      <c r="E30518" s="38" t="s">
        <v>241</v>
      </c>
      <c r="F30518" s="38" t="s">
        <v>134</v>
      </c>
      <c r="G30518" s="49" t="str">
        <f t="shared" si="1"/>
        <v>27170</v>
      </c>
      <c r="H30518" s="49">
        <f t="shared" si="2"/>
        <v>27642</v>
      </c>
    </row>
    <row r="30519">
      <c r="A30519" s="48" t="s">
        <v>13129</v>
      </c>
      <c r="B30519" s="38">
        <v>24143.0</v>
      </c>
      <c r="C30519" s="38" t="s">
        <v>34880</v>
      </c>
      <c r="D30519" s="38" t="str">
        <f>IFERROR(__xludf.DUMMYFUNCTION("REGEXREPLACE(C30519,""-\d+(.*)|--\d+(.*)"","""")"),"COUZE-ET-SAINT-FRONT")</f>
        <v>COUZE-ET-SAINT-FRONT</v>
      </c>
      <c r="E30519" s="38" t="s">
        <v>261</v>
      </c>
      <c r="F30519" s="38" t="s">
        <v>252</v>
      </c>
      <c r="G30519" s="49" t="str">
        <f t="shared" si="1"/>
        <v>24150</v>
      </c>
      <c r="H30519" s="49">
        <f t="shared" si="2"/>
        <v>24143</v>
      </c>
    </row>
    <row r="30520">
      <c r="A30520" s="48" t="s">
        <v>1186</v>
      </c>
      <c r="B30520" s="38">
        <v>16269.0</v>
      </c>
      <c r="C30520" s="38" t="s">
        <v>34881</v>
      </c>
      <c r="D30520" s="38" t="str">
        <f>IFERROR(__xludf.DUMMYFUNCTION("REGEXREPLACE(C30520,""-\d+(.*)|--\d+(.*)"","""")"),"PRANZAC")</f>
        <v>PRANZAC</v>
      </c>
      <c r="E30520" s="38" t="s">
        <v>429</v>
      </c>
      <c r="F30520" s="38" t="s">
        <v>338</v>
      </c>
      <c r="G30520" s="49" t="str">
        <f t="shared" si="1"/>
        <v>16110</v>
      </c>
      <c r="H30520" s="49">
        <f t="shared" si="2"/>
        <v>16269</v>
      </c>
    </row>
    <row r="30521">
      <c r="A30521" s="48" t="s">
        <v>9365</v>
      </c>
      <c r="B30521" s="38">
        <v>90002.0</v>
      </c>
      <c r="C30521" s="38" t="s">
        <v>34882</v>
      </c>
      <c r="D30521" s="38" t="str">
        <f>IFERROR(__xludf.DUMMYFUNCTION("REGEXREPLACE(C30521,""-\d+(.*)|--\d+(.*)"","""")"),"ANGEOT")</f>
        <v>ANGEOT</v>
      </c>
      <c r="E30521" s="38" t="s">
        <v>1283</v>
      </c>
      <c r="F30521" s="38" t="s">
        <v>214</v>
      </c>
      <c r="G30521" s="49" t="str">
        <f t="shared" si="1"/>
        <v>90150</v>
      </c>
      <c r="H30521" s="49">
        <f t="shared" si="2"/>
        <v>90002</v>
      </c>
    </row>
    <row r="30522">
      <c r="A30522" s="48" t="s">
        <v>6247</v>
      </c>
      <c r="B30522" s="38">
        <v>26094.0</v>
      </c>
      <c r="C30522" s="38" t="s">
        <v>34883</v>
      </c>
      <c r="D30522" s="38" t="str">
        <f>IFERROR(__xludf.DUMMYFUNCTION("REGEXREPLACE(C30522,""-\d+(.*)|--\d+(.*)"","""")"),"CLAVEYSON")</f>
        <v>CLAVEYSON</v>
      </c>
      <c r="E30522" s="38" t="s">
        <v>126</v>
      </c>
      <c r="F30522" s="38" t="s">
        <v>102</v>
      </c>
      <c r="G30522" s="49" t="str">
        <f t="shared" si="1"/>
        <v>26240</v>
      </c>
      <c r="H30522" s="49">
        <f t="shared" si="2"/>
        <v>26094</v>
      </c>
    </row>
    <row r="30523">
      <c r="A30523" s="48" t="s">
        <v>671</v>
      </c>
      <c r="B30523" s="38">
        <v>21291.0</v>
      </c>
      <c r="C30523" s="38" t="s">
        <v>31787</v>
      </c>
      <c r="D30523" s="38" t="str">
        <f>IFERROR(__xludf.DUMMYFUNCTION("REGEXREPLACE(C30523,""-\d+(.*)|--\d+(.*)"","""")"),"GENAY")</f>
        <v>GENAY</v>
      </c>
      <c r="E30523" s="38" t="s">
        <v>105</v>
      </c>
      <c r="F30523" s="38" t="s">
        <v>106</v>
      </c>
      <c r="G30523" s="49" t="str">
        <f t="shared" si="1"/>
        <v>21140</v>
      </c>
      <c r="H30523" s="49">
        <f t="shared" si="2"/>
        <v>21291</v>
      </c>
    </row>
    <row r="30524">
      <c r="A30524" s="48" t="s">
        <v>34884</v>
      </c>
      <c r="B30524" s="38">
        <v>91421.0</v>
      </c>
      <c r="C30524" s="38" t="s">
        <v>34885</v>
      </c>
      <c r="D30524" s="38" t="str">
        <f>IFERROR(__xludf.DUMMYFUNCTION("REGEXREPLACE(C30524,""-\d+(.*)|--\d+(.*)"","""")"),"MONTGERON")</f>
        <v>MONTGERON</v>
      </c>
      <c r="E30524" s="38" t="s">
        <v>756</v>
      </c>
      <c r="F30524" s="38" t="s">
        <v>245</v>
      </c>
      <c r="G30524" s="49" t="str">
        <f t="shared" si="1"/>
        <v>91230</v>
      </c>
      <c r="H30524" s="49">
        <f t="shared" si="2"/>
        <v>91421</v>
      </c>
    </row>
    <row r="30525">
      <c r="A30525" s="48" t="s">
        <v>34886</v>
      </c>
      <c r="B30525" s="38">
        <v>95428.0</v>
      </c>
      <c r="C30525" s="38" t="s">
        <v>34887</v>
      </c>
      <c r="D30525" s="38" t="str">
        <f>IFERROR(__xludf.DUMMYFUNCTION("REGEXREPLACE(C30525,""-\d+(.*)|--\d+(.*)"","""")"),"MONTMORENCY")</f>
        <v>MONTMORENCY</v>
      </c>
      <c r="E30525" s="38" t="s">
        <v>541</v>
      </c>
      <c r="F30525" s="38" t="s">
        <v>245</v>
      </c>
      <c r="G30525" s="49" t="str">
        <f t="shared" si="1"/>
        <v>95160</v>
      </c>
      <c r="H30525" s="49">
        <f t="shared" si="2"/>
        <v>95428</v>
      </c>
    </row>
    <row r="30526">
      <c r="A30526" s="48" t="s">
        <v>691</v>
      </c>
      <c r="B30526" s="38">
        <v>64291.0</v>
      </c>
      <c r="C30526" s="38" t="s">
        <v>34888</v>
      </c>
      <c r="D30526" s="38" t="str">
        <f>IFERROR(__xludf.DUMMYFUNCTION("REGEXREPLACE(C30526,""-\d+(.*)|--\d+(.*)"","""")"),"LABASTIDE-VILLEFRANCHE")</f>
        <v>LABASTIDE-VILLEFRANCHE</v>
      </c>
      <c r="E30526" s="38" t="s">
        <v>268</v>
      </c>
      <c r="F30526" s="38" t="s">
        <v>252</v>
      </c>
      <c r="G30526" s="49" t="str">
        <f t="shared" si="1"/>
        <v>64270</v>
      </c>
      <c r="H30526" s="49">
        <f t="shared" si="2"/>
        <v>64291</v>
      </c>
    </row>
    <row r="30527">
      <c r="A30527" s="48" t="s">
        <v>3333</v>
      </c>
      <c r="B30527" s="38">
        <v>44224.0</v>
      </c>
      <c r="C30527" s="38" t="s">
        <v>34889</v>
      </c>
      <c r="D30527" s="38" t="str">
        <f>IFERROR(__xludf.DUMMYFUNCTION("REGEXREPLACE(C30527,""-\d+(.*)|--\d+(.*)"","""")"),"LA GRIGONNAIS")</f>
        <v>LA GRIGONNAIS</v>
      </c>
      <c r="E30527" s="38" t="s">
        <v>759</v>
      </c>
      <c r="F30527" s="38" t="s">
        <v>180</v>
      </c>
      <c r="G30527" s="49" t="str">
        <f t="shared" si="1"/>
        <v>44170</v>
      </c>
      <c r="H30527" s="49">
        <f t="shared" si="2"/>
        <v>44224</v>
      </c>
    </row>
    <row r="30528">
      <c r="A30528" s="48" t="s">
        <v>4311</v>
      </c>
      <c r="B30528" s="38">
        <v>47226.0</v>
      </c>
      <c r="C30528" s="38" t="s">
        <v>34890</v>
      </c>
      <c r="D30528" s="38" t="str">
        <f>IFERROR(__xludf.DUMMYFUNCTION("REGEXREPLACE(C30528,""-\d+(.*)|--\d+(.*)"","""")"),"ROUMAGNE")</f>
        <v>ROUMAGNE</v>
      </c>
      <c r="E30528" s="38" t="s">
        <v>251</v>
      </c>
      <c r="F30528" s="38" t="s">
        <v>252</v>
      </c>
      <c r="G30528" s="49" t="str">
        <f t="shared" si="1"/>
        <v>47800</v>
      </c>
      <c r="H30528" s="49">
        <f t="shared" si="2"/>
        <v>47226</v>
      </c>
    </row>
    <row r="30529">
      <c r="A30529" s="48" t="s">
        <v>700</v>
      </c>
      <c r="B30529" s="38">
        <v>56089.0</v>
      </c>
      <c r="C30529" s="38" t="s">
        <v>34891</v>
      </c>
      <c r="D30529" s="38" t="str">
        <f>IFERROR(__xludf.DUMMYFUNCTION("REGEXREPLACE(C30529,""-\d+(.*)|--\d+(.*)"","""")"),"INGUINIEL")</f>
        <v>INGUINIEL</v>
      </c>
      <c r="E30529" s="38" t="s">
        <v>173</v>
      </c>
      <c r="F30529" s="38" t="s">
        <v>90</v>
      </c>
      <c r="G30529" s="49" t="str">
        <f t="shared" si="1"/>
        <v>56240</v>
      </c>
      <c r="H30529" s="49">
        <f t="shared" si="2"/>
        <v>56089</v>
      </c>
    </row>
    <row r="30530">
      <c r="A30530" s="48" t="s">
        <v>6224</v>
      </c>
      <c r="B30530" s="38">
        <v>38501.0</v>
      </c>
      <c r="C30530" s="38" t="s">
        <v>34892</v>
      </c>
      <c r="D30530" s="38" t="str">
        <f>IFERROR(__xludf.DUMMYFUNCTION("REGEXREPLACE(C30530,""-\d+(.*)|--\d+(.*)"","""")"),"TENCIN")</f>
        <v>TENCIN</v>
      </c>
      <c r="E30530" s="38" t="s">
        <v>101</v>
      </c>
      <c r="F30530" s="38" t="s">
        <v>102</v>
      </c>
      <c r="G30530" s="49" t="str">
        <f t="shared" si="1"/>
        <v>38570</v>
      </c>
      <c r="H30530" s="49">
        <f t="shared" si="2"/>
        <v>38501</v>
      </c>
    </row>
    <row r="30531">
      <c r="A30531" s="48" t="s">
        <v>16366</v>
      </c>
      <c r="B30531" s="38">
        <v>21448.0</v>
      </c>
      <c r="C30531" s="38" t="s">
        <v>34893</v>
      </c>
      <c r="D30531" s="38" t="str">
        <f>IFERROR(__xludf.DUMMYFUNCTION("REGEXREPLACE(C30531,""-\d+(.*)|--\d+(.*)"","""")"),"MUSSY-LA-FOSSE")</f>
        <v>MUSSY-LA-FOSSE</v>
      </c>
      <c r="E30531" s="38" t="s">
        <v>105</v>
      </c>
      <c r="F30531" s="38" t="s">
        <v>106</v>
      </c>
      <c r="G30531" s="49" t="str">
        <f t="shared" si="1"/>
        <v>21150</v>
      </c>
      <c r="H30531" s="49">
        <f t="shared" si="2"/>
        <v>21448</v>
      </c>
    </row>
    <row r="30532">
      <c r="A30532" s="48" t="s">
        <v>964</v>
      </c>
      <c r="B30532" s="38">
        <v>71572.0</v>
      </c>
      <c r="C30532" s="38" t="s">
        <v>20797</v>
      </c>
      <c r="D30532" s="38" t="str">
        <f>IFERROR(__xludf.DUMMYFUNCTION("REGEXREPLACE(C30532,""-\d+(.*)|--\d+(.*)"","""")"),"VERS")</f>
        <v>VERS</v>
      </c>
      <c r="E30532" s="38" t="s">
        <v>344</v>
      </c>
      <c r="F30532" s="38" t="s">
        <v>106</v>
      </c>
      <c r="G30532" s="49" t="str">
        <f t="shared" si="1"/>
        <v>71240</v>
      </c>
      <c r="H30532" s="49">
        <f t="shared" si="2"/>
        <v>71572</v>
      </c>
    </row>
    <row r="30533">
      <c r="A30533" s="48" t="s">
        <v>18392</v>
      </c>
      <c r="B30533" s="38">
        <v>63343.0</v>
      </c>
      <c r="C30533" s="38" t="s">
        <v>28896</v>
      </c>
      <c r="D30533" s="38" t="str">
        <f>IFERROR(__xludf.DUMMYFUNCTION("REGEXREPLACE(C30533,""-\d+(.*)|--\d+(.*)"","""")"),"SAINT-FLOUR")</f>
        <v>SAINT-FLOUR</v>
      </c>
      <c r="E30533" s="38" t="s">
        <v>353</v>
      </c>
      <c r="F30533" s="38" t="s">
        <v>161</v>
      </c>
      <c r="G30533" s="49" t="str">
        <f t="shared" si="1"/>
        <v>63520</v>
      </c>
      <c r="H30533" s="49">
        <f t="shared" si="2"/>
        <v>63343</v>
      </c>
    </row>
    <row r="30534">
      <c r="A30534" s="48" t="s">
        <v>9944</v>
      </c>
      <c r="B30534" s="38">
        <v>71380.0</v>
      </c>
      <c r="C30534" s="38" t="s">
        <v>34894</v>
      </c>
      <c r="D30534" s="38" t="str">
        <f>IFERROR(__xludf.DUMMYFUNCTION("REGEXREPLACE(C30534,""-\d+(.*)|--\d+(.*)"","""")"),"SAILLENARD")</f>
        <v>SAILLENARD</v>
      </c>
      <c r="E30534" s="38" t="s">
        <v>344</v>
      </c>
      <c r="F30534" s="38" t="s">
        <v>106</v>
      </c>
      <c r="G30534" s="49" t="str">
        <f t="shared" si="1"/>
        <v>71580</v>
      </c>
      <c r="H30534" s="49">
        <f t="shared" si="2"/>
        <v>71380</v>
      </c>
    </row>
    <row r="30535">
      <c r="A30535" s="48" t="s">
        <v>2697</v>
      </c>
      <c r="B30535" s="38">
        <v>61417.0</v>
      </c>
      <c r="C30535" s="38" t="s">
        <v>34895</v>
      </c>
      <c r="D30535" s="38" t="str">
        <f>IFERROR(__xludf.DUMMYFUNCTION("REGEXREPLACE(C30535,""-\d+(.*)|--\d+(.*)"","""")"),"SAINT-LOYER-DES-CHAMPS")</f>
        <v>SAINT-LOYER-DES-CHAMPS</v>
      </c>
      <c r="E30535" s="38" t="s">
        <v>141</v>
      </c>
      <c r="F30535" s="38" t="s">
        <v>138</v>
      </c>
      <c r="G30535" s="49" t="str">
        <f t="shared" si="1"/>
        <v>61570</v>
      </c>
      <c r="H30535" s="49">
        <f t="shared" si="2"/>
        <v>61417</v>
      </c>
    </row>
    <row r="30536">
      <c r="A30536" s="48" t="s">
        <v>28171</v>
      </c>
      <c r="B30536" s="38">
        <v>14215.0</v>
      </c>
      <c r="C30536" s="38" t="s">
        <v>22280</v>
      </c>
      <c r="D30536" s="38" t="str">
        <f>IFERROR(__xludf.DUMMYFUNCTION("REGEXREPLACE(C30536,""-\d+(.*)|--\d+(.*)"","""")"),"CUVERVILLE")</f>
        <v>CUVERVILLE</v>
      </c>
      <c r="E30536" s="38" t="s">
        <v>137</v>
      </c>
      <c r="F30536" s="38" t="s">
        <v>138</v>
      </c>
      <c r="G30536" s="49" t="str">
        <f t="shared" si="1"/>
        <v>14840</v>
      </c>
      <c r="H30536" s="49">
        <f t="shared" si="2"/>
        <v>14215</v>
      </c>
    </row>
    <row r="30537">
      <c r="A30537" s="48" t="s">
        <v>2482</v>
      </c>
      <c r="B30537" s="38">
        <v>28236.0</v>
      </c>
      <c r="C30537" s="38" t="s">
        <v>14541</v>
      </c>
      <c r="D30537" s="38" t="str">
        <f>IFERROR(__xludf.DUMMYFUNCTION("REGEXREPLACE(C30537,""-\d+(.*)|--\d+(.*)"","""")"),"MARGON")</f>
        <v>MARGON</v>
      </c>
      <c r="E30537" s="38" t="s">
        <v>300</v>
      </c>
      <c r="F30537" s="38" t="s">
        <v>123</v>
      </c>
      <c r="G30537" s="49" t="str">
        <f t="shared" si="1"/>
        <v>28400</v>
      </c>
      <c r="H30537" s="49">
        <f t="shared" si="2"/>
        <v>28236</v>
      </c>
    </row>
    <row r="30538">
      <c r="A30538" s="48" t="s">
        <v>1957</v>
      </c>
      <c r="B30538" s="38">
        <v>12058.0</v>
      </c>
      <c r="C30538" s="38" t="s">
        <v>34896</v>
      </c>
      <c r="D30538" s="38" t="str">
        <f>IFERROR(__xludf.DUMMYFUNCTION("REGEXREPLACE(C30538,""-\d+(.*)|--\d+(.*)"","""")"),"CASSUEJOULS")</f>
        <v>CASSUEJOULS</v>
      </c>
      <c r="E30538" s="38" t="s">
        <v>465</v>
      </c>
      <c r="F30538" s="38" t="s">
        <v>94</v>
      </c>
      <c r="G30538" s="49" t="str">
        <f t="shared" si="1"/>
        <v>12210</v>
      </c>
      <c r="H30538" s="49">
        <f t="shared" si="2"/>
        <v>12058</v>
      </c>
    </row>
    <row r="30539">
      <c r="A30539" s="48" t="s">
        <v>6519</v>
      </c>
      <c r="B30539" s="38">
        <v>81309.0</v>
      </c>
      <c r="C30539" s="38" t="s">
        <v>34897</v>
      </c>
      <c r="D30539" s="38" t="str">
        <f>IFERROR(__xludf.DUMMYFUNCTION("REGEXREPLACE(C30539,""-\d+(.*)|--\d+(.*)"","""")"),"VAOUR")</f>
        <v>VAOUR</v>
      </c>
      <c r="E30539" s="38" t="s">
        <v>231</v>
      </c>
      <c r="F30539" s="38" t="s">
        <v>94</v>
      </c>
      <c r="G30539" s="49" t="str">
        <f t="shared" si="1"/>
        <v>81140</v>
      </c>
      <c r="H30539" s="49">
        <f t="shared" si="2"/>
        <v>81309</v>
      </c>
    </row>
    <row r="30540">
      <c r="A30540" s="48" t="s">
        <v>2116</v>
      </c>
      <c r="B30540" s="38">
        <v>26303.0</v>
      </c>
      <c r="C30540" s="38" t="s">
        <v>34898</v>
      </c>
      <c r="D30540" s="38" t="str">
        <f>IFERROR(__xludf.DUMMYFUNCTION("REGEXREPLACE(C30540,""-\d+(.*)|--\d+(.*)"","""")"),"SAINTE-EUPHEMIE-SUR-OUVEZE")</f>
        <v>SAINTE-EUPHEMIE-SUR-OUVEZE</v>
      </c>
      <c r="E30540" s="38" t="s">
        <v>126</v>
      </c>
      <c r="F30540" s="38" t="s">
        <v>102</v>
      </c>
      <c r="G30540" s="49" t="str">
        <f t="shared" si="1"/>
        <v>26170</v>
      </c>
      <c r="H30540" s="49">
        <f t="shared" si="2"/>
        <v>26303</v>
      </c>
    </row>
    <row r="30541">
      <c r="A30541" s="48" t="s">
        <v>3755</v>
      </c>
      <c r="B30541" s="38">
        <v>76444.0</v>
      </c>
      <c r="C30541" s="38" t="s">
        <v>34899</v>
      </c>
      <c r="D30541" s="38" t="str">
        <f>IFERROR(__xludf.DUMMYFUNCTION("REGEXREPLACE(C30541,""-\d+(.*)|--\d+(.*)"","""")"),"MONT-DE-L'IF")</f>
        <v>MONT-DE-L'IF</v>
      </c>
      <c r="E30541" s="38" t="s">
        <v>133</v>
      </c>
      <c r="F30541" s="38" t="s">
        <v>134</v>
      </c>
      <c r="G30541" s="49" t="str">
        <f t="shared" si="1"/>
        <v>76190</v>
      </c>
      <c r="H30541" s="49">
        <f t="shared" si="2"/>
        <v>76444</v>
      </c>
    </row>
    <row r="30542">
      <c r="A30542" s="48" t="s">
        <v>2517</v>
      </c>
      <c r="B30542" s="38">
        <v>6135.0</v>
      </c>
      <c r="C30542" s="38" t="s">
        <v>34900</v>
      </c>
      <c r="D30542" s="38" t="str">
        <f>IFERROR(__xludf.DUMMYFUNCTION("REGEXREPLACE(C30542,""-\d+(.*)|--\d+(.*)"","""")"),"SIGALE")</f>
        <v>SIGALE</v>
      </c>
      <c r="E30542" s="38" t="s">
        <v>227</v>
      </c>
      <c r="F30542" s="38" t="s">
        <v>228</v>
      </c>
      <c r="G30542" s="49" t="str">
        <f t="shared" si="1"/>
        <v>06910</v>
      </c>
      <c r="H30542" s="49" t="str">
        <f t="shared" si="2"/>
        <v>06135</v>
      </c>
    </row>
    <row r="30543">
      <c r="A30543" s="48" t="s">
        <v>1178</v>
      </c>
      <c r="B30543" s="38">
        <v>1301.0</v>
      </c>
      <c r="C30543" s="38" t="s">
        <v>34901</v>
      </c>
      <c r="D30543" s="38" t="str">
        <f>IFERROR(__xludf.DUMMYFUNCTION("REGEXREPLACE(C30543,""-\d+(.*)|--\d+(.*)"","""")"),"POLLIAT")</f>
        <v>POLLIAT</v>
      </c>
      <c r="E30543" s="38" t="s">
        <v>255</v>
      </c>
      <c r="F30543" s="38" t="s">
        <v>102</v>
      </c>
      <c r="G30543" s="49" t="str">
        <f t="shared" si="1"/>
        <v>01310</v>
      </c>
      <c r="H30543" s="49" t="str">
        <f t="shared" si="2"/>
        <v>01301</v>
      </c>
    </row>
    <row r="30544">
      <c r="A30544" s="48" t="s">
        <v>948</v>
      </c>
      <c r="B30544" s="38">
        <v>68119.0</v>
      </c>
      <c r="C30544" s="38" t="s">
        <v>34902</v>
      </c>
      <c r="D30544" s="38" t="str">
        <f>IFERROR(__xludf.DUMMYFUNCTION("REGEXREPLACE(C30544,""-\d+(.*)|--\d+(.*)"","""")"),"HAGENBACH")</f>
        <v>HAGENBACH</v>
      </c>
      <c r="E30544" s="38" t="s">
        <v>150</v>
      </c>
      <c r="F30544" s="38" t="s">
        <v>151</v>
      </c>
      <c r="G30544" s="49" t="str">
        <f t="shared" si="1"/>
        <v>68210</v>
      </c>
      <c r="H30544" s="49">
        <f t="shared" si="2"/>
        <v>68119</v>
      </c>
    </row>
    <row r="30545">
      <c r="A30545" s="48" t="s">
        <v>34903</v>
      </c>
      <c r="B30545" s="38">
        <v>93063.0</v>
      </c>
      <c r="C30545" s="38" t="s">
        <v>34904</v>
      </c>
      <c r="D30545" s="38" t="str">
        <f>IFERROR(__xludf.DUMMYFUNCTION("REGEXREPLACE(C30545,""-\d+(.*)|--\d+(.*)"","""")"),"ROMAINVILLE")</f>
        <v>ROMAINVILLE</v>
      </c>
      <c r="E30545" s="38" t="s">
        <v>341</v>
      </c>
      <c r="F30545" s="38" t="s">
        <v>245</v>
      </c>
      <c r="G30545" s="49" t="str">
        <f t="shared" si="1"/>
        <v>93230</v>
      </c>
      <c r="H30545" s="49">
        <f t="shared" si="2"/>
        <v>93063</v>
      </c>
    </row>
    <row r="30546">
      <c r="A30546" s="48" t="s">
        <v>1310</v>
      </c>
      <c r="B30546" s="38">
        <v>25128.0</v>
      </c>
      <c r="C30546" s="38" t="s">
        <v>34905</v>
      </c>
      <c r="D30546" s="38" t="str">
        <f>IFERROR(__xludf.DUMMYFUNCTION("REGEXREPLACE(C30546,""-\d+(.*)|--\d+(.*)"","""")"),"CHASNANS")</f>
        <v>CHASNANS</v>
      </c>
      <c r="E30546" s="38" t="s">
        <v>213</v>
      </c>
      <c r="F30546" s="38" t="s">
        <v>214</v>
      </c>
      <c r="G30546" s="49" t="str">
        <f t="shared" si="1"/>
        <v>25580</v>
      </c>
      <c r="H30546" s="49">
        <f t="shared" si="2"/>
        <v>25128</v>
      </c>
    </row>
    <row r="30547">
      <c r="A30547" s="48" t="s">
        <v>18327</v>
      </c>
      <c r="B30547" s="38">
        <v>91568.0</v>
      </c>
      <c r="C30547" s="38" t="s">
        <v>34906</v>
      </c>
      <c r="D30547" s="38" t="str">
        <f>IFERROR(__xludf.DUMMYFUNCTION("REGEXREPLACE(C30547,""-\d+(.*)|--\d+(.*)"","""")"),"SAINT-MAURICE-MONTCOURONNE")</f>
        <v>SAINT-MAURICE-MONTCOURONNE</v>
      </c>
      <c r="E30547" s="38" t="s">
        <v>756</v>
      </c>
      <c r="F30547" s="38" t="s">
        <v>245</v>
      </c>
      <c r="G30547" s="49" t="str">
        <f t="shared" si="1"/>
        <v>91530</v>
      </c>
      <c r="H30547" s="49">
        <f t="shared" si="2"/>
        <v>91568</v>
      </c>
    </row>
    <row r="30548">
      <c r="A30548" s="48" t="s">
        <v>34907</v>
      </c>
      <c r="B30548" s="38">
        <v>97402.0</v>
      </c>
      <c r="C30548" s="38" t="s">
        <v>34908</v>
      </c>
      <c r="D30548" s="38" t="str">
        <f>IFERROR(__xludf.DUMMYFUNCTION("REGEXREPLACE(C30548,""-\d+(.*)|--\d+(.*)"","""")"),"BRAS-PANON")</f>
        <v>BRAS-PANON</v>
      </c>
      <c r="E30548" s="38" t="s">
        <v>7739</v>
      </c>
      <c r="F30548" s="38" t="s">
        <v>7739</v>
      </c>
      <c r="G30548" s="49" t="str">
        <f t="shared" si="1"/>
        <v>97412</v>
      </c>
      <c r="H30548" s="49">
        <f t="shared" si="2"/>
        <v>97402</v>
      </c>
    </row>
    <row r="30549">
      <c r="A30549" s="48" t="s">
        <v>2631</v>
      </c>
      <c r="B30549" s="38">
        <v>64371.0</v>
      </c>
      <c r="C30549" s="38" t="s">
        <v>34909</v>
      </c>
      <c r="D30549" s="38" t="str">
        <f>IFERROR(__xludf.DUMMYFUNCTION("REGEXREPLACE(C30549,""-\d+(.*)|--\d+(.*)"","""")"),"MAULEON-LICHARRE")</f>
        <v>MAULEON-LICHARRE</v>
      </c>
      <c r="E30549" s="38" t="s">
        <v>268</v>
      </c>
      <c r="F30549" s="38" t="s">
        <v>252</v>
      </c>
      <c r="G30549" s="49" t="str">
        <f t="shared" si="1"/>
        <v>64130</v>
      </c>
      <c r="H30549" s="49">
        <f t="shared" si="2"/>
        <v>64371</v>
      </c>
    </row>
    <row r="30550">
      <c r="A30550" s="48" t="s">
        <v>5732</v>
      </c>
      <c r="B30550" s="38">
        <v>12195.0</v>
      </c>
      <c r="C30550" s="38" t="s">
        <v>34910</v>
      </c>
      <c r="D30550" s="38" t="str">
        <f>IFERROR(__xludf.DUMMYFUNCTION("REGEXREPLACE(C30550,""-\d+(.*)|--\d+(.*)"","""")"),"REBOURGUIL")</f>
        <v>REBOURGUIL</v>
      </c>
      <c r="E30550" s="38" t="s">
        <v>465</v>
      </c>
      <c r="F30550" s="38" t="s">
        <v>94</v>
      </c>
      <c r="G30550" s="49" t="str">
        <f t="shared" si="1"/>
        <v>12400</v>
      </c>
      <c r="H30550" s="49">
        <f t="shared" si="2"/>
        <v>12195</v>
      </c>
    </row>
    <row r="30551">
      <c r="A30551" s="48" t="s">
        <v>4605</v>
      </c>
      <c r="B30551" s="38">
        <v>39042.0</v>
      </c>
      <c r="C30551" s="38" t="s">
        <v>34911</v>
      </c>
      <c r="D30551" s="38" t="str">
        <f>IFERROR(__xludf.DUMMYFUNCTION("REGEXREPLACE(C30551,""-\d+(.*)|--\d+(.*)"","""")"),"BAVERANS")</f>
        <v>BAVERANS</v>
      </c>
      <c r="E30551" s="38" t="s">
        <v>400</v>
      </c>
      <c r="F30551" s="38" t="s">
        <v>214</v>
      </c>
      <c r="G30551" s="49" t="str">
        <f t="shared" si="1"/>
        <v>39100</v>
      </c>
      <c r="H30551" s="49">
        <f t="shared" si="2"/>
        <v>39042</v>
      </c>
    </row>
    <row r="30552">
      <c r="A30552" s="48" t="s">
        <v>2031</v>
      </c>
      <c r="B30552" s="38">
        <v>62748.0</v>
      </c>
      <c r="C30552" s="38" t="s">
        <v>34912</v>
      </c>
      <c r="D30552" s="38" t="str">
        <f>IFERROR(__xludf.DUMMYFUNCTION("REGEXREPLACE(C30552,""-\d+(.*)|--\d+(.*)"","""")"),"SAINT-FOLQUIN")</f>
        <v>SAINT-FOLQUIN</v>
      </c>
      <c r="E30552" s="38" t="s">
        <v>109</v>
      </c>
      <c r="F30552" s="38" t="s">
        <v>86</v>
      </c>
      <c r="G30552" s="49" t="str">
        <f t="shared" si="1"/>
        <v>62370</v>
      </c>
      <c r="H30552" s="49">
        <f t="shared" si="2"/>
        <v>62748</v>
      </c>
    </row>
    <row r="30553">
      <c r="A30553" s="48" t="s">
        <v>2156</v>
      </c>
      <c r="B30553" s="38">
        <v>26244.0</v>
      </c>
      <c r="C30553" s="38" t="s">
        <v>34913</v>
      </c>
      <c r="D30553" s="38" t="str">
        <f>IFERROR(__xludf.DUMMYFUNCTION("REGEXREPLACE(C30553,""-\d+(.*)|--\d+(.*)"","""")"),"LE POET-SIGILLAT")</f>
        <v>LE POET-SIGILLAT</v>
      </c>
      <c r="E30553" s="38" t="s">
        <v>126</v>
      </c>
      <c r="F30553" s="38" t="s">
        <v>102</v>
      </c>
      <c r="G30553" s="49" t="str">
        <f t="shared" si="1"/>
        <v>26110</v>
      </c>
      <c r="H30553" s="49">
        <f t="shared" si="2"/>
        <v>26244</v>
      </c>
    </row>
    <row r="30554">
      <c r="A30554" s="48" t="s">
        <v>10037</v>
      </c>
      <c r="B30554" s="38">
        <v>7242.0</v>
      </c>
      <c r="C30554" s="38" t="s">
        <v>34914</v>
      </c>
      <c r="D30554" s="38" t="str">
        <f>IFERROR(__xludf.DUMMYFUNCTION("REGEXREPLACE(C30554,""-\d+(.*)|--\d+(.*)"","""")"),"SAINT-GINEIS-EN-COIRON")</f>
        <v>SAINT-GINEIS-EN-COIRON</v>
      </c>
      <c r="E30554" s="38" t="s">
        <v>144</v>
      </c>
      <c r="F30554" s="38" t="s">
        <v>102</v>
      </c>
      <c r="G30554" s="49" t="str">
        <f t="shared" si="1"/>
        <v>07580</v>
      </c>
      <c r="H30554" s="49" t="str">
        <f t="shared" si="2"/>
        <v>07242</v>
      </c>
    </row>
    <row r="30555">
      <c r="A30555" s="48" t="s">
        <v>4428</v>
      </c>
      <c r="B30555" s="38">
        <v>72056.0</v>
      </c>
      <c r="C30555" s="38" t="s">
        <v>34915</v>
      </c>
      <c r="D30555" s="38" t="str">
        <f>IFERROR(__xludf.DUMMYFUNCTION("REGEXREPLACE(C30555,""-\d+(.*)|--\d+(.*)"","""")"),"CHAMPFLEUR")</f>
        <v>CHAMPFLEUR</v>
      </c>
      <c r="E30555" s="38" t="s">
        <v>521</v>
      </c>
      <c r="F30555" s="38" t="s">
        <v>180</v>
      </c>
      <c r="G30555" s="49" t="str">
        <f t="shared" si="1"/>
        <v>72610</v>
      </c>
      <c r="H30555" s="49">
        <f t="shared" si="2"/>
        <v>72056</v>
      </c>
    </row>
    <row r="30556">
      <c r="A30556" s="48" t="s">
        <v>23069</v>
      </c>
      <c r="B30556" s="38">
        <v>19191.0</v>
      </c>
      <c r="C30556" s="38" t="s">
        <v>34916</v>
      </c>
      <c r="D30556" s="38" t="str">
        <f>IFERROR(__xludf.DUMMYFUNCTION("REGEXREPLACE(C30556,""-\d+(.*)|--\d+(.*)"","""")"),"SAINT-CERNIN-DE-LARCHE")</f>
        <v>SAINT-CERNIN-DE-LARCHE</v>
      </c>
      <c r="E30556" s="38" t="s">
        <v>271</v>
      </c>
      <c r="F30556" s="38" t="s">
        <v>98</v>
      </c>
      <c r="G30556" s="49" t="str">
        <f t="shared" si="1"/>
        <v>19600</v>
      </c>
      <c r="H30556" s="49">
        <f t="shared" si="2"/>
        <v>19191</v>
      </c>
    </row>
    <row r="30557">
      <c r="A30557" s="48" t="s">
        <v>34917</v>
      </c>
      <c r="B30557" s="38">
        <v>83148.0</v>
      </c>
      <c r="C30557" s="38" t="s">
        <v>34918</v>
      </c>
      <c r="D30557" s="38" t="str">
        <f>IFERROR(__xludf.DUMMYFUNCTION("REGEXREPLACE(C30557,""-\d+(.*)|--\d+(.*)"","""")"),"VIDAUBAN")</f>
        <v>VIDAUBAN</v>
      </c>
      <c r="E30557" s="38" t="s">
        <v>813</v>
      </c>
      <c r="F30557" s="38" t="s">
        <v>228</v>
      </c>
      <c r="G30557" s="49" t="str">
        <f t="shared" si="1"/>
        <v>83550</v>
      </c>
      <c r="H30557" s="49">
        <f t="shared" si="2"/>
        <v>83148</v>
      </c>
    </row>
    <row r="30558">
      <c r="A30558" s="48" t="s">
        <v>1352</v>
      </c>
      <c r="B30558" s="38">
        <v>79098.0</v>
      </c>
      <c r="C30558" s="38" t="s">
        <v>34919</v>
      </c>
      <c r="D30558" s="38" t="str">
        <f>IFERROR(__xludf.DUMMYFUNCTION("REGEXREPLACE(C30558,""-\d+(.*)|--\d+(.*)"","""")"),"LA COUARDE")</f>
        <v>LA COUARDE</v>
      </c>
      <c r="E30558" s="38" t="s">
        <v>337</v>
      </c>
      <c r="F30558" s="38" t="s">
        <v>338</v>
      </c>
      <c r="G30558" s="49" t="str">
        <f t="shared" si="1"/>
        <v>79800</v>
      </c>
      <c r="H30558" s="49">
        <f t="shared" si="2"/>
        <v>79098</v>
      </c>
    </row>
    <row r="30559">
      <c r="A30559" s="48" t="s">
        <v>1721</v>
      </c>
      <c r="B30559" s="38">
        <v>33465.0</v>
      </c>
      <c r="C30559" s="38" t="s">
        <v>34920</v>
      </c>
      <c r="D30559" s="38" t="str">
        <f>IFERROR(__xludf.DUMMYFUNCTION("REGEXREPLACE(C30559,""-\d+(.*)|--\d+(.*)"","""")"),"SAINT-PIERRE-DE-MONS")</f>
        <v>SAINT-PIERRE-DE-MONS</v>
      </c>
      <c r="E30559" s="38" t="s">
        <v>462</v>
      </c>
      <c r="F30559" s="38" t="s">
        <v>252</v>
      </c>
      <c r="G30559" s="49" t="str">
        <f t="shared" si="1"/>
        <v>33210</v>
      </c>
      <c r="H30559" s="49">
        <f t="shared" si="2"/>
        <v>33465</v>
      </c>
    </row>
    <row r="30560">
      <c r="A30560" s="48" t="s">
        <v>12252</v>
      </c>
      <c r="B30560" s="38">
        <v>56194.0</v>
      </c>
      <c r="C30560" s="38" t="s">
        <v>25885</v>
      </c>
      <c r="D30560" s="38" t="str">
        <f>IFERROR(__xludf.DUMMYFUNCTION("REGEXREPLACE(C30560,""-\d+(.*)|--\d+(.*)"","""")"),"RIEUX")</f>
        <v>RIEUX</v>
      </c>
      <c r="E30560" s="38" t="s">
        <v>173</v>
      </c>
      <c r="F30560" s="38" t="s">
        <v>90</v>
      </c>
      <c r="G30560" s="49" t="str">
        <f t="shared" si="1"/>
        <v>56350</v>
      </c>
      <c r="H30560" s="49">
        <f t="shared" si="2"/>
        <v>56194</v>
      </c>
    </row>
    <row r="30561">
      <c r="A30561" s="48" t="s">
        <v>1290</v>
      </c>
      <c r="B30561" s="38">
        <v>21223.0</v>
      </c>
      <c r="C30561" s="38" t="s">
        <v>34921</v>
      </c>
      <c r="D30561" s="38" t="str">
        <f>IFERROR(__xludf.DUMMYFUNCTION("REGEXREPLACE(C30561,""-\d+(.*)|--\d+(.*)"","""")"),"DAIX")</f>
        <v>DAIX</v>
      </c>
      <c r="E30561" s="38" t="s">
        <v>105</v>
      </c>
      <c r="F30561" s="38" t="s">
        <v>106</v>
      </c>
      <c r="G30561" s="49" t="str">
        <f t="shared" si="1"/>
        <v>21121</v>
      </c>
      <c r="H30561" s="49">
        <f t="shared" si="2"/>
        <v>21223</v>
      </c>
    </row>
    <row r="30562">
      <c r="A30562" s="48" t="s">
        <v>4086</v>
      </c>
      <c r="B30562" s="38">
        <v>79242.0</v>
      </c>
      <c r="C30562" s="38" t="s">
        <v>34922</v>
      </c>
      <c r="D30562" s="38" t="str">
        <f>IFERROR(__xludf.DUMMYFUNCTION("REGEXREPLACE(C30562,""-\d+(.*)|--\d+(.*)"","""")"),"SAINT-CLEMENTIN")</f>
        <v>SAINT-CLEMENTIN</v>
      </c>
      <c r="E30562" s="38" t="s">
        <v>337</v>
      </c>
      <c r="F30562" s="38" t="s">
        <v>338</v>
      </c>
      <c r="G30562" s="49" t="str">
        <f t="shared" si="1"/>
        <v>79150</v>
      </c>
      <c r="H30562" s="49">
        <f t="shared" si="2"/>
        <v>79242</v>
      </c>
    </row>
    <row r="30563">
      <c r="A30563" s="48" t="s">
        <v>18316</v>
      </c>
      <c r="B30563" s="38">
        <v>38304.0</v>
      </c>
      <c r="C30563" s="38" t="s">
        <v>34923</v>
      </c>
      <c r="D30563" s="38" t="str">
        <f>IFERROR(__xludf.DUMMYFUNCTION("REGEXREPLACE(C30563,""-\d+(.*)|--\d+(.*)"","""")"),"PIERRE-CHATEL")</f>
        <v>PIERRE-CHATEL</v>
      </c>
      <c r="E30563" s="38" t="s">
        <v>101</v>
      </c>
      <c r="F30563" s="38" t="s">
        <v>102</v>
      </c>
      <c r="G30563" s="49" t="str">
        <f t="shared" si="1"/>
        <v>38119</v>
      </c>
      <c r="H30563" s="49">
        <f t="shared" si="2"/>
        <v>38304</v>
      </c>
    </row>
    <row r="30564">
      <c r="A30564" s="48" t="s">
        <v>2650</v>
      </c>
      <c r="B30564" s="38">
        <v>65148.0</v>
      </c>
      <c r="C30564" s="38" t="s">
        <v>34924</v>
      </c>
      <c r="D30564" s="38" t="str">
        <f>IFERROR(__xludf.DUMMYFUNCTION("REGEXREPLACE(C30564,""-\d+(.*)|--\d+(.*)"","""")"),"CIZOS")</f>
        <v>CIZOS</v>
      </c>
      <c r="E30564" s="38" t="s">
        <v>200</v>
      </c>
      <c r="F30564" s="38" t="s">
        <v>94</v>
      </c>
      <c r="G30564" s="49" t="str">
        <f t="shared" si="1"/>
        <v>65230</v>
      </c>
      <c r="H30564" s="49">
        <f t="shared" si="2"/>
        <v>65148</v>
      </c>
    </row>
    <row r="30565">
      <c r="A30565" s="48" t="s">
        <v>34925</v>
      </c>
      <c r="B30565" s="38">
        <v>85060.0</v>
      </c>
      <c r="C30565" s="38" t="s">
        <v>34926</v>
      </c>
      <c r="D30565" s="38" t="str">
        <f>IFERROR(__xludf.DUMMYFUNCTION("REGEXREPLACE(C30565,""-\d+(.*)|--\d+(.*)"","""")"),"CHATEAU-D'OLONNE")</f>
        <v>CHATEAU-D'OLONNE</v>
      </c>
      <c r="E30565" s="38" t="s">
        <v>179</v>
      </c>
      <c r="F30565" s="38" t="s">
        <v>180</v>
      </c>
      <c r="G30565" s="49" t="str">
        <f t="shared" si="1"/>
        <v>85180</v>
      </c>
      <c r="H30565" s="49">
        <f t="shared" si="2"/>
        <v>85060</v>
      </c>
    </row>
    <row r="30566">
      <c r="A30566" s="48" t="s">
        <v>9975</v>
      </c>
      <c r="B30566" s="38">
        <v>41099.0</v>
      </c>
      <c r="C30566" s="38" t="s">
        <v>34927</v>
      </c>
      <c r="D30566" s="38" t="str">
        <f>IFERROR(__xludf.DUMMYFUNCTION("REGEXREPLACE(C30566,""-\d+(.*)|--\d+(.*)"","""")"),"GY-EN-SOLOGNE")</f>
        <v>GY-EN-SOLOGNE</v>
      </c>
      <c r="E30566" s="38" t="s">
        <v>188</v>
      </c>
      <c r="F30566" s="38" t="s">
        <v>123</v>
      </c>
      <c r="G30566" s="49" t="str">
        <f t="shared" si="1"/>
        <v>41230</v>
      </c>
      <c r="H30566" s="49">
        <f t="shared" si="2"/>
        <v>41099</v>
      </c>
    </row>
    <row r="30567">
      <c r="A30567" s="48" t="s">
        <v>5640</v>
      </c>
      <c r="B30567" s="38">
        <v>2658.0</v>
      </c>
      <c r="C30567" s="38" t="s">
        <v>34928</v>
      </c>
      <c r="D30567" s="38" t="str">
        <f>IFERROR(__xludf.DUMMYFUNCTION("REGEXREPLACE(C30567,""-\d+(.*)|--\d+(.*)"","""")"),"ROUPY")</f>
        <v>ROUPY</v>
      </c>
      <c r="E30567" s="38" t="s">
        <v>191</v>
      </c>
      <c r="F30567" s="38" t="s">
        <v>113</v>
      </c>
      <c r="G30567" s="49" t="str">
        <f t="shared" si="1"/>
        <v>02590</v>
      </c>
      <c r="H30567" s="49" t="str">
        <f t="shared" si="2"/>
        <v>02658</v>
      </c>
    </row>
    <row r="30568">
      <c r="A30568" s="48" t="s">
        <v>1332</v>
      </c>
      <c r="B30568" s="38">
        <v>51027.0</v>
      </c>
      <c r="C30568" s="38" t="s">
        <v>34929</v>
      </c>
      <c r="D30568" s="38" t="str">
        <f>IFERROR(__xludf.DUMMYFUNCTION("REGEXREPLACE(C30568,""-\d+(.*)|--\d+(.*)"","""")"),"AUVE")</f>
        <v>AUVE</v>
      </c>
      <c r="E30568" s="38" t="s">
        <v>129</v>
      </c>
      <c r="F30568" s="38" t="s">
        <v>130</v>
      </c>
      <c r="G30568" s="49" t="str">
        <f t="shared" si="1"/>
        <v>51800</v>
      </c>
      <c r="H30568" s="49">
        <f t="shared" si="2"/>
        <v>51027</v>
      </c>
    </row>
    <row r="30569">
      <c r="A30569" s="48" t="s">
        <v>450</v>
      </c>
      <c r="B30569" s="38">
        <v>71430.0</v>
      </c>
      <c r="C30569" s="38" t="s">
        <v>34930</v>
      </c>
      <c r="D30569" s="38" t="str">
        <f>IFERROR(__xludf.DUMMYFUNCTION("REGEXREPLACE(C30569,""-\d+(.*)|--\d+(.*)"","""")"),"SAINT-JEAN-DE-VAUX")</f>
        <v>SAINT-JEAN-DE-VAUX</v>
      </c>
      <c r="E30569" s="38" t="s">
        <v>344</v>
      </c>
      <c r="F30569" s="38" t="s">
        <v>106</v>
      </c>
      <c r="G30569" s="49" t="str">
        <f t="shared" si="1"/>
        <v>71640</v>
      </c>
      <c r="H30569" s="49">
        <f t="shared" si="2"/>
        <v>71430</v>
      </c>
    </row>
    <row r="30570">
      <c r="A30570" s="48" t="s">
        <v>5030</v>
      </c>
      <c r="B30570" s="38">
        <v>65221.0</v>
      </c>
      <c r="C30570" s="38" t="s">
        <v>34931</v>
      </c>
      <c r="D30570" s="38" t="str">
        <f>IFERROR(__xludf.DUMMYFUNCTION("REGEXREPLACE(C30570,""-\d+(.*)|--\d+(.*)"","""")"),"HIIS")</f>
        <v>HIIS</v>
      </c>
      <c r="E30570" s="38" t="s">
        <v>200</v>
      </c>
      <c r="F30570" s="38" t="s">
        <v>94</v>
      </c>
      <c r="G30570" s="49" t="str">
        <f t="shared" si="1"/>
        <v>65200</v>
      </c>
      <c r="H30570" s="49">
        <f t="shared" si="2"/>
        <v>65221</v>
      </c>
    </row>
    <row r="30571">
      <c r="A30571" s="48" t="s">
        <v>4129</v>
      </c>
      <c r="B30571" s="38">
        <v>3162.0</v>
      </c>
      <c r="C30571" s="38" t="s">
        <v>13668</v>
      </c>
      <c r="D30571" s="38" t="str">
        <f>IFERROR(__xludf.DUMMYFUNCTION("REGEXREPLACE(C30571,""-\d+(.*)|--\d+(.*)"","""")"),"MARIGNY")</f>
        <v>MARIGNY</v>
      </c>
      <c r="E30571" s="38" t="s">
        <v>160</v>
      </c>
      <c r="F30571" s="38" t="s">
        <v>161</v>
      </c>
      <c r="G30571" s="49" t="str">
        <f t="shared" si="1"/>
        <v>03210</v>
      </c>
      <c r="H30571" s="49" t="str">
        <f t="shared" si="2"/>
        <v>03162</v>
      </c>
    </row>
    <row r="30572">
      <c r="A30572" s="48" t="s">
        <v>1186</v>
      </c>
      <c r="B30572" s="38">
        <v>16209.0</v>
      </c>
      <c r="C30572" s="38" t="s">
        <v>34932</v>
      </c>
      <c r="D30572" s="38" t="str">
        <f>IFERROR(__xludf.DUMMYFUNCTION("REGEXREPLACE(C30572,""-\d+(.*)|--\d+(.*)"","""")"),"MARILLAC-LE-FRANC")</f>
        <v>MARILLAC-LE-FRANC</v>
      </c>
      <c r="E30572" s="38" t="s">
        <v>429</v>
      </c>
      <c r="F30572" s="38" t="s">
        <v>338</v>
      </c>
      <c r="G30572" s="49" t="str">
        <f t="shared" si="1"/>
        <v>16110</v>
      </c>
      <c r="H30572" s="49">
        <f t="shared" si="2"/>
        <v>16209</v>
      </c>
    </row>
    <row r="30573">
      <c r="A30573" s="48" t="s">
        <v>34933</v>
      </c>
      <c r="B30573" s="38">
        <v>78165.0</v>
      </c>
      <c r="C30573" s="38" t="s">
        <v>34934</v>
      </c>
      <c r="D30573" s="38" t="str">
        <f>IFERROR(__xludf.DUMMYFUNCTION("REGEXREPLACE(C30573,""-\d+(.*)|--\d+(.*)"","""")"),"LES CLAYES-SOUS-BOIS")</f>
        <v>LES CLAYES-SOUS-BOIS</v>
      </c>
      <c r="E30573" s="38" t="s">
        <v>362</v>
      </c>
      <c r="F30573" s="38" t="s">
        <v>245</v>
      </c>
      <c r="G30573" s="49" t="str">
        <f t="shared" si="1"/>
        <v>78340</v>
      </c>
      <c r="H30573" s="49">
        <f t="shared" si="2"/>
        <v>78165</v>
      </c>
    </row>
    <row r="30574">
      <c r="A30574" s="48" t="s">
        <v>4923</v>
      </c>
      <c r="B30574" s="38">
        <v>61198.0</v>
      </c>
      <c r="C30574" s="38" t="s">
        <v>34935</v>
      </c>
      <c r="D30574" s="38" t="str">
        <f>IFERROR(__xludf.DUMMYFUNCTION("REGEXREPLACE(C30574,""-\d+(.*)|--\d+(.*)"","""")"),"GUERQUESALLES")</f>
        <v>GUERQUESALLES</v>
      </c>
      <c r="E30574" s="38" t="s">
        <v>141</v>
      </c>
      <c r="F30574" s="38" t="s">
        <v>138</v>
      </c>
      <c r="G30574" s="49" t="str">
        <f t="shared" si="1"/>
        <v>61120</v>
      </c>
      <c r="H30574" s="49">
        <f t="shared" si="2"/>
        <v>61198</v>
      </c>
    </row>
    <row r="30575">
      <c r="A30575" s="48" t="s">
        <v>2554</v>
      </c>
      <c r="B30575" s="38">
        <v>95259.0</v>
      </c>
      <c r="C30575" s="38" t="s">
        <v>34936</v>
      </c>
      <c r="D30575" s="38" t="str">
        <f>IFERROR(__xludf.DUMMYFUNCTION("REGEXREPLACE(C30575,""-\d+(.*)|--\d+(.*)"","""")"),"GADANCOURT")</f>
        <v>GADANCOURT</v>
      </c>
      <c r="E30575" s="38" t="s">
        <v>541</v>
      </c>
      <c r="F30575" s="38" t="s">
        <v>245</v>
      </c>
      <c r="G30575" s="49" t="str">
        <f t="shared" si="1"/>
        <v>95450</v>
      </c>
      <c r="H30575" s="49">
        <f t="shared" si="2"/>
        <v>95259</v>
      </c>
    </row>
    <row r="30576">
      <c r="A30576" s="48" t="s">
        <v>6078</v>
      </c>
      <c r="B30576" s="38">
        <v>10065.0</v>
      </c>
      <c r="C30576" s="38" t="s">
        <v>34937</v>
      </c>
      <c r="D30576" s="38" t="str">
        <f>IFERROR(__xludf.DUMMYFUNCTION("REGEXREPLACE(C30576,""-\d+(.*)|--\d+(.*)"","""")"),"BRILLECOURT")</f>
        <v>BRILLECOURT</v>
      </c>
      <c r="E30576" s="38" t="s">
        <v>147</v>
      </c>
      <c r="F30576" s="38" t="s">
        <v>130</v>
      </c>
      <c r="G30576" s="49" t="str">
        <f t="shared" si="1"/>
        <v>10240</v>
      </c>
      <c r="H30576" s="49">
        <f t="shared" si="2"/>
        <v>10065</v>
      </c>
    </row>
    <row r="30577">
      <c r="A30577" s="48" t="s">
        <v>5485</v>
      </c>
      <c r="B30577" s="38">
        <v>27471.0</v>
      </c>
      <c r="C30577" s="38" t="s">
        <v>34938</v>
      </c>
      <c r="D30577" s="38" t="str">
        <f>IFERROR(__xludf.DUMMYFUNCTION("REGEXREPLACE(C30577,""-\d+(.*)|--\d+(.*)"","""")"),"PORTE-JOIE")</f>
        <v>PORTE-JOIE</v>
      </c>
      <c r="E30577" s="38" t="s">
        <v>241</v>
      </c>
      <c r="F30577" s="38" t="s">
        <v>134</v>
      </c>
      <c r="G30577" s="49" t="str">
        <f t="shared" si="1"/>
        <v>27430</v>
      </c>
      <c r="H30577" s="49">
        <f t="shared" si="2"/>
        <v>27471</v>
      </c>
    </row>
    <row r="30578">
      <c r="A30578" s="48" t="s">
        <v>4599</v>
      </c>
      <c r="B30578" s="38">
        <v>70102.0</v>
      </c>
      <c r="C30578" s="38" t="s">
        <v>34939</v>
      </c>
      <c r="D30578" s="38" t="str">
        <f>IFERROR(__xludf.DUMMYFUNCTION("REGEXREPLACE(C30578,""-\d+(.*)|--\d+(.*)"","""")"),"BRUSSEY")</f>
        <v>BRUSSEY</v>
      </c>
      <c r="E30578" s="38" t="s">
        <v>956</v>
      </c>
      <c r="F30578" s="38" t="s">
        <v>214</v>
      </c>
      <c r="G30578" s="49" t="str">
        <f t="shared" si="1"/>
        <v>70150</v>
      </c>
      <c r="H30578" s="49">
        <f t="shared" si="2"/>
        <v>70102</v>
      </c>
    </row>
    <row r="30579">
      <c r="A30579" s="48" t="s">
        <v>15350</v>
      </c>
      <c r="B30579" s="38">
        <v>49059.0</v>
      </c>
      <c r="C30579" s="38" t="s">
        <v>34940</v>
      </c>
      <c r="D30579" s="38" t="str">
        <f>IFERROR(__xludf.DUMMYFUNCTION("REGEXREPLACE(C30579,""-\d+(.*)|--\d+(.*)"","""")"),"LES CERQUEUX-SOUS-PASSAVANT")</f>
        <v>LES CERQUEUX-SOUS-PASSAVANT</v>
      </c>
      <c r="E30579" s="38" t="s">
        <v>653</v>
      </c>
      <c r="F30579" s="38" t="s">
        <v>180</v>
      </c>
      <c r="G30579" s="49" t="str">
        <f t="shared" si="1"/>
        <v>49310</v>
      </c>
      <c r="H30579" s="49">
        <f t="shared" si="2"/>
        <v>49059</v>
      </c>
    </row>
    <row r="30580">
      <c r="A30580" s="48" t="s">
        <v>2661</v>
      </c>
      <c r="B30580" s="38">
        <v>50468.0</v>
      </c>
      <c r="C30580" s="38" t="s">
        <v>34941</v>
      </c>
      <c r="D30580" s="38" t="str">
        <f>IFERROR(__xludf.DUMMYFUNCTION("REGEXREPLACE(C30580,""-\d+(.*)|--\d+(.*)"","""")"),"SAINT-FROMOND")</f>
        <v>SAINT-FROMOND</v>
      </c>
      <c r="E30580" s="38" t="s">
        <v>157</v>
      </c>
      <c r="F30580" s="38" t="s">
        <v>138</v>
      </c>
      <c r="G30580" s="49" t="str">
        <f t="shared" si="1"/>
        <v>50620</v>
      </c>
      <c r="H30580" s="49">
        <f t="shared" si="2"/>
        <v>50468</v>
      </c>
    </row>
    <row r="30581">
      <c r="A30581" s="48" t="s">
        <v>15148</v>
      </c>
      <c r="B30581" s="38">
        <v>57489.0</v>
      </c>
      <c r="C30581" s="38" t="s">
        <v>34942</v>
      </c>
      <c r="D30581" s="38" t="str">
        <f>IFERROR(__xludf.DUMMYFUNCTION("REGEXREPLACE(C30581,""-\d+(.*)|--\d+(.*)"","""")"),"MOUTERHOUSE")</f>
        <v>MOUTERHOUSE</v>
      </c>
      <c r="E30581" s="38" t="s">
        <v>303</v>
      </c>
      <c r="F30581" s="38" t="s">
        <v>195</v>
      </c>
      <c r="G30581" s="49" t="str">
        <f t="shared" si="1"/>
        <v>57620</v>
      </c>
      <c r="H30581" s="49">
        <f t="shared" si="2"/>
        <v>57489</v>
      </c>
    </row>
    <row r="30582">
      <c r="A30582" s="48" t="s">
        <v>983</v>
      </c>
      <c r="B30582" s="38">
        <v>52187.0</v>
      </c>
      <c r="C30582" s="38" t="s">
        <v>34943</v>
      </c>
      <c r="D30582" s="38" t="str">
        <f>IFERROR(__xludf.DUMMYFUNCTION("REGEXREPLACE(C30582,""-\d+(.*)|--\d+(.*)"","""")"),"EPIZON")</f>
        <v>EPIZON</v>
      </c>
      <c r="E30582" s="38" t="s">
        <v>234</v>
      </c>
      <c r="F30582" s="38" t="s">
        <v>130</v>
      </c>
      <c r="G30582" s="49" t="str">
        <f t="shared" si="1"/>
        <v>52230</v>
      </c>
      <c r="H30582" s="49">
        <f t="shared" si="2"/>
        <v>52187</v>
      </c>
    </row>
    <row r="30583">
      <c r="A30583" s="48" t="s">
        <v>427</v>
      </c>
      <c r="B30583" s="38">
        <v>16018.0</v>
      </c>
      <c r="C30583" s="38" t="s">
        <v>30350</v>
      </c>
      <c r="D30583" s="38" t="str">
        <f>IFERROR(__xludf.DUMMYFUNCTION("REGEXREPLACE(C30583,""-\d+(.*)|--\d+(.*)"","""")"),"ARS")</f>
        <v>ARS</v>
      </c>
      <c r="E30583" s="38" t="s">
        <v>429</v>
      </c>
      <c r="F30583" s="38" t="s">
        <v>338</v>
      </c>
      <c r="G30583" s="49" t="str">
        <f t="shared" si="1"/>
        <v>16130</v>
      </c>
      <c r="H30583" s="49">
        <f t="shared" si="2"/>
        <v>16018</v>
      </c>
    </row>
    <row r="30584">
      <c r="A30584" s="48" t="s">
        <v>2949</v>
      </c>
      <c r="B30584" s="38">
        <v>27075.0</v>
      </c>
      <c r="C30584" s="38" t="s">
        <v>34944</v>
      </c>
      <c r="D30584" s="38" t="str">
        <f>IFERROR(__xludf.DUMMYFUNCTION("REGEXREPLACE(C30584,""-\d+(.*)|--\d+(.*)"","""")"),"BOIS-NORMAND-PRES-LYRE")</f>
        <v>BOIS-NORMAND-PRES-LYRE</v>
      </c>
      <c r="E30584" s="38" t="s">
        <v>241</v>
      </c>
      <c r="F30584" s="38" t="s">
        <v>134</v>
      </c>
      <c r="G30584" s="49" t="str">
        <f t="shared" si="1"/>
        <v>27330</v>
      </c>
      <c r="H30584" s="49">
        <f t="shared" si="2"/>
        <v>27075</v>
      </c>
    </row>
    <row r="30585">
      <c r="A30585" s="48" t="s">
        <v>34945</v>
      </c>
      <c r="B30585" s="38">
        <v>5063.0</v>
      </c>
      <c r="C30585" s="38" t="s">
        <v>34946</v>
      </c>
      <c r="D30585" s="38" t="str">
        <f>IFERROR(__xludf.DUMMYFUNCTION("REGEXREPLACE(C30585,""-\d+(.*)|--\d+(.*)"","""")"),"LA GRAVE")</f>
        <v>LA GRAVE</v>
      </c>
      <c r="E30585" s="38" t="s">
        <v>706</v>
      </c>
      <c r="F30585" s="38" t="s">
        <v>228</v>
      </c>
      <c r="G30585" s="49" t="str">
        <f t="shared" si="1"/>
        <v>05320</v>
      </c>
      <c r="H30585" s="49" t="str">
        <f t="shared" si="2"/>
        <v>05063</v>
      </c>
    </row>
    <row r="30586">
      <c r="A30586" s="48" t="s">
        <v>22972</v>
      </c>
      <c r="B30586" s="38">
        <v>81048.0</v>
      </c>
      <c r="C30586" s="38" t="s">
        <v>34947</v>
      </c>
      <c r="D30586" s="38" t="str">
        <f>IFERROR(__xludf.DUMMYFUNCTION("REGEXREPLACE(C30586,""-\d+(.*)|--\d+(.*)"","""")"),"CAGNAC-LES-MINES")</f>
        <v>CAGNAC-LES-MINES</v>
      </c>
      <c r="E30586" s="38" t="s">
        <v>231</v>
      </c>
      <c r="F30586" s="38" t="s">
        <v>94</v>
      </c>
      <c r="G30586" s="49" t="str">
        <f t="shared" si="1"/>
        <v>81130</v>
      </c>
      <c r="H30586" s="49">
        <f t="shared" si="2"/>
        <v>81048</v>
      </c>
    </row>
    <row r="30587">
      <c r="A30587" s="48" t="s">
        <v>1621</v>
      </c>
      <c r="B30587" s="38">
        <v>64069.0</v>
      </c>
      <c r="C30587" s="38" t="s">
        <v>34948</v>
      </c>
      <c r="D30587" s="38" t="str">
        <f>IFERROR(__xludf.DUMMYFUNCTION("REGEXREPLACE(C30587,""-\d+(.*)|--\d+(.*)"","""")"),"ASTE-BEON")</f>
        <v>ASTE-BEON</v>
      </c>
      <c r="E30587" s="38" t="s">
        <v>268</v>
      </c>
      <c r="F30587" s="38" t="s">
        <v>252</v>
      </c>
      <c r="G30587" s="49" t="str">
        <f t="shared" si="1"/>
        <v>64260</v>
      </c>
      <c r="H30587" s="49">
        <f t="shared" si="2"/>
        <v>64069</v>
      </c>
    </row>
    <row r="30588">
      <c r="A30588" s="48" t="s">
        <v>2600</v>
      </c>
      <c r="B30588" s="38">
        <v>60132.0</v>
      </c>
      <c r="C30588" s="38" t="s">
        <v>34949</v>
      </c>
      <c r="D30588" s="38" t="str">
        <f>IFERROR(__xludf.DUMMYFUNCTION("REGEXREPLACE(C30588,""-\d+(.*)|--\d+(.*)"","""")"),"CATIGNY")</f>
        <v>CATIGNY</v>
      </c>
      <c r="E30588" s="38" t="s">
        <v>112</v>
      </c>
      <c r="F30588" s="38" t="s">
        <v>113</v>
      </c>
      <c r="G30588" s="49" t="str">
        <f t="shared" si="1"/>
        <v>60640</v>
      </c>
      <c r="H30588" s="49">
        <f t="shared" si="2"/>
        <v>60132</v>
      </c>
    </row>
    <row r="30589">
      <c r="A30589" s="48" t="s">
        <v>3539</v>
      </c>
      <c r="B30589" s="38">
        <v>54396.0</v>
      </c>
      <c r="C30589" s="38" t="s">
        <v>34950</v>
      </c>
      <c r="D30589" s="38" t="str">
        <f>IFERROR(__xludf.DUMMYFUNCTION("REGEXREPLACE(C30589,""-\d+(.*)|--\d+(.*)"","""")"),"NEUFMAISONS")</f>
        <v>NEUFMAISONS</v>
      </c>
      <c r="E30589" s="38" t="s">
        <v>548</v>
      </c>
      <c r="F30589" s="38" t="s">
        <v>195</v>
      </c>
      <c r="G30589" s="49" t="str">
        <f t="shared" si="1"/>
        <v>54540</v>
      </c>
      <c r="H30589" s="49">
        <f t="shared" si="2"/>
        <v>54396</v>
      </c>
    </row>
    <row r="30590">
      <c r="A30590" s="48" t="s">
        <v>10369</v>
      </c>
      <c r="B30590" s="38">
        <v>88029.0</v>
      </c>
      <c r="C30590" s="38" t="s">
        <v>34951</v>
      </c>
      <c r="D30590" s="38" t="str">
        <f>IFERROR(__xludf.DUMMYFUNCTION("REGEXREPLACE(C30590,""-\d+(.*)|--\d+(.*)"","""")"),"BAINS-LES-BAINS")</f>
        <v>BAINS-LES-BAINS</v>
      </c>
      <c r="E30590" s="38" t="s">
        <v>194</v>
      </c>
      <c r="F30590" s="38" t="s">
        <v>195</v>
      </c>
      <c r="G30590" s="49" t="str">
        <f t="shared" si="1"/>
        <v>88240</v>
      </c>
      <c r="H30590" s="49">
        <f t="shared" si="2"/>
        <v>88029</v>
      </c>
    </row>
    <row r="30591">
      <c r="A30591" s="48" t="s">
        <v>8120</v>
      </c>
      <c r="B30591" s="38">
        <v>61194.0</v>
      </c>
      <c r="C30591" s="38" t="s">
        <v>34952</v>
      </c>
      <c r="D30591" s="38" t="str">
        <f>IFERROR(__xludf.DUMMYFUNCTION("REGEXREPLACE(C30591,""-\d+(.*)|--\d+(.*)"","""")"),"GOULET")</f>
        <v>GOULET</v>
      </c>
      <c r="E30591" s="38" t="s">
        <v>141</v>
      </c>
      <c r="F30591" s="38" t="s">
        <v>138</v>
      </c>
      <c r="G30591" s="49" t="str">
        <f t="shared" si="1"/>
        <v>61150</v>
      </c>
      <c r="H30591" s="49">
        <f t="shared" si="2"/>
        <v>61194</v>
      </c>
    </row>
    <row r="30592">
      <c r="A30592" s="48" t="s">
        <v>1938</v>
      </c>
      <c r="B30592" s="38">
        <v>55251.0</v>
      </c>
      <c r="C30592" s="38" t="s">
        <v>34953</v>
      </c>
      <c r="D30592" s="38" t="str">
        <f>IFERROR(__xludf.DUMMYFUNCTION("REGEXREPLACE(C30592,""-\d+(.*)|--\d+(.*)"","""")"),"IPPECOURT")</f>
        <v>IPPECOURT</v>
      </c>
      <c r="E30592" s="38" t="s">
        <v>322</v>
      </c>
      <c r="F30592" s="38" t="s">
        <v>195</v>
      </c>
      <c r="G30592" s="49" t="str">
        <f t="shared" si="1"/>
        <v>55220</v>
      </c>
      <c r="H30592" s="49">
        <f t="shared" si="2"/>
        <v>55251</v>
      </c>
    </row>
    <row r="30593">
      <c r="A30593" s="48" t="s">
        <v>7166</v>
      </c>
      <c r="B30593" s="38">
        <v>52017.0</v>
      </c>
      <c r="C30593" s="38" t="s">
        <v>34954</v>
      </c>
      <c r="D30593" s="38" t="str">
        <f>IFERROR(__xludf.DUMMYFUNCTION("REGEXREPLACE(C30593,""-\d+(.*)|--\d+(.*)"","""")"),"ARC-EN-BARROIS")</f>
        <v>ARC-EN-BARROIS</v>
      </c>
      <c r="E30593" s="38" t="s">
        <v>234</v>
      </c>
      <c r="F30593" s="38" t="s">
        <v>130</v>
      </c>
      <c r="G30593" s="49" t="str">
        <f t="shared" si="1"/>
        <v>52210</v>
      </c>
      <c r="H30593" s="49">
        <f t="shared" si="2"/>
        <v>52017</v>
      </c>
    </row>
    <row r="30594">
      <c r="A30594" s="48" t="s">
        <v>3346</v>
      </c>
      <c r="B30594" s="38">
        <v>65102.0</v>
      </c>
      <c r="C30594" s="38" t="s">
        <v>34955</v>
      </c>
      <c r="D30594" s="38" t="str">
        <f>IFERROR(__xludf.DUMMYFUNCTION("REGEXREPLACE(C30594,""-\d+(.*)|--\d+(.*)"","""")"),"BOUILH-DEVANT")</f>
        <v>BOUILH-DEVANT</v>
      </c>
      <c r="E30594" s="38" t="s">
        <v>200</v>
      </c>
      <c r="F30594" s="38" t="s">
        <v>94</v>
      </c>
      <c r="G30594" s="49" t="str">
        <f t="shared" si="1"/>
        <v>65140</v>
      </c>
      <c r="H30594" s="49">
        <f t="shared" si="2"/>
        <v>65102</v>
      </c>
    </row>
    <row r="30595">
      <c r="A30595" s="48" t="s">
        <v>2406</v>
      </c>
      <c r="B30595" s="38">
        <v>55268.0</v>
      </c>
      <c r="C30595" s="38" t="s">
        <v>34956</v>
      </c>
      <c r="D30595" s="38" t="str">
        <f>IFERROR(__xludf.DUMMYFUNCTION("REGEXREPLACE(C30595,""-\d+(.*)|--\d+(.*)"","""")"),"LACROIX-SUR-MEUSE")</f>
        <v>LACROIX-SUR-MEUSE</v>
      </c>
      <c r="E30595" s="38" t="s">
        <v>322</v>
      </c>
      <c r="F30595" s="38" t="s">
        <v>195</v>
      </c>
      <c r="G30595" s="49" t="str">
        <f t="shared" si="1"/>
        <v>55300</v>
      </c>
      <c r="H30595" s="49">
        <f t="shared" si="2"/>
        <v>55268</v>
      </c>
    </row>
    <row r="30596">
      <c r="A30596" s="48" t="s">
        <v>323</v>
      </c>
      <c r="B30596" s="38">
        <v>52510.0</v>
      </c>
      <c r="C30596" s="38" t="s">
        <v>34957</v>
      </c>
      <c r="D30596" s="38" t="str">
        <f>IFERROR(__xludf.DUMMYFUNCTION("REGEXREPLACE(C30596,""-\d+(.*)|--\d+(.*)"","""")"),"VAUX-SUR-BLAISE")</f>
        <v>VAUX-SUR-BLAISE</v>
      </c>
      <c r="E30596" s="38" t="s">
        <v>234</v>
      </c>
      <c r="F30596" s="38" t="s">
        <v>130</v>
      </c>
      <c r="G30596" s="49" t="str">
        <f t="shared" si="1"/>
        <v>52130</v>
      </c>
      <c r="H30596" s="49">
        <f t="shared" si="2"/>
        <v>52510</v>
      </c>
    </row>
    <row r="30597">
      <c r="A30597" s="48" t="s">
        <v>21569</v>
      </c>
      <c r="B30597" s="38">
        <v>91560.0</v>
      </c>
      <c r="C30597" s="38" t="s">
        <v>34958</v>
      </c>
      <c r="D30597" s="38" t="str">
        <f>IFERROR(__xludf.DUMMYFUNCTION("REGEXREPLACE(C30597,""-\d+(.*)|--\d+(.*)"","""")"),"SAINT-JEAN-DE-BEAUREGARD")</f>
        <v>SAINT-JEAN-DE-BEAUREGARD</v>
      </c>
      <c r="E30597" s="38" t="s">
        <v>756</v>
      </c>
      <c r="F30597" s="38" t="s">
        <v>245</v>
      </c>
      <c r="G30597" s="49" t="str">
        <f t="shared" si="1"/>
        <v>91940</v>
      </c>
      <c r="H30597" s="49">
        <f t="shared" si="2"/>
        <v>91560</v>
      </c>
    </row>
    <row r="30598">
      <c r="A30598" s="48" t="s">
        <v>34959</v>
      </c>
      <c r="B30598" s="38">
        <v>83143.0</v>
      </c>
      <c r="C30598" s="38" t="s">
        <v>34960</v>
      </c>
      <c r="D30598" s="38" t="str">
        <f>IFERROR(__xludf.DUMMYFUNCTION("REGEXREPLACE(C30598,""-\d+(.*)|--\d+(.*)"","""")"),"LE VAL")</f>
        <v>LE VAL</v>
      </c>
      <c r="E30598" s="38" t="s">
        <v>813</v>
      </c>
      <c r="F30598" s="38" t="s">
        <v>228</v>
      </c>
      <c r="G30598" s="49" t="str">
        <f t="shared" si="1"/>
        <v>83143</v>
      </c>
      <c r="H30598" s="49">
        <f t="shared" si="2"/>
        <v>83143</v>
      </c>
    </row>
    <row r="30599">
      <c r="A30599" s="48" t="s">
        <v>1241</v>
      </c>
      <c r="B30599" s="38">
        <v>71471.0</v>
      </c>
      <c r="C30599" s="38" t="s">
        <v>6669</v>
      </c>
      <c r="D30599" s="38" t="str">
        <f>IFERROR(__xludf.DUMMYFUNCTION("REGEXREPLACE(C30599,""-\d+(.*)|--\d+(.*)"","""")"),"SAINT-PRIVE")</f>
        <v>SAINT-PRIVE</v>
      </c>
      <c r="E30599" s="38" t="s">
        <v>344</v>
      </c>
      <c r="F30599" s="38" t="s">
        <v>106</v>
      </c>
      <c r="G30599" s="49" t="str">
        <f t="shared" si="1"/>
        <v>71390</v>
      </c>
      <c r="H30599" s="49">
        <f t="shared" si="2"/>
        <v>71471</v>
      </c>
    </row>
    <row r="30600">
      <c r="A30600" s="48" t="s">
        <v>3154</v>
      </c>
      <c r="B30600" s="38">
        <v>15135.0</v>
      </c>
      <c r="C30600" s="38" t="s">
        <v>34961</v>
      </c>
      <c r="D30600" s="38" t="str">
        <f>IFERROR(__xludf.DUMMYFUNCTION("REGEXREPLACE(C30600,""-\d+(.*)|--\d+(.*)"","""")"),"MONTVERT")</f>
        <v>MONTVERT</v>
      </c>
      <c r="E30600" s="38" t="s">
        <v>632</v>
      </c>
      <c r="F30600" s="38" t="s">
        <v>161</v>
      </c>
      <c r="G30600" s="49" t="str">
        <f t="shared" si="1"/>
        <v>15150</v>
      </c>
      <c r="H30600" s="49">
        <f t="shared" si="2"/>
        <v>15135</v>
      </c>
    </row>
    <row r="30601">
      <c r="A30601" s="48" t="s">
        <v>7592</v>
      </c>
      <c r="B30601" s="38">
        <v>86124.0</v>
      </c>
      <c r="C30601" s="38" t="s">
        <v>34962</v>
      </c>
      <c r="D30601" s="38" t="str">
        <f>IFERROR(__xludf.DUMMYFUNCTION("REGEXREPLACE(C30601,""-\d+(.*)|--\d+(.*)"","""")"),"LAVOUX")</f>
        <v>LAVOUX</v>
      </c>
      <c r="E30601" s="38" t="s">
        <v>529</v>
      </c>
      <c r="F30601" s="38" t="s">
        <v>338</v>
      </c>
      <c r="G30601" s="49" t="str">
        <f t="shared" si="1"/>
        <v>86800</v>
      </c>
      <c r="H30601" s="49">
        <f t="shared" si="2"/>
        <v>86124</v>
      </c>
    </row>
    <row r="30602">
      <c r="A30602" s="48" t="s">
        <v>3061</v>
      </c>
      <c r="B30602" s="38">
        <v>71342.0</v>
      </c>
      <c r="C30602" s="38" t="s">
        <v>34963</v>
      </c>
      <c r="D30602" s="38" t="str">
        <f>IFERROR(__xludf.DUMMYFUNCTION("REGEXREPLACE(C30602,""-\d+(.*)|--\d+(.*)"","""")"),"PARAY-LE-MONIAL")</f>
        <v>PARAY-LE-MONIAL</v>
      </c>
      <c r="E30602" s="38" t="s">
        <v>344</v>
      </c>
      <c r="F30602" s="38" t="s">
        <v>106</v>
      </c>
      <c r="G30602" s="49" t="str">
        <f t="shared" si="1"/>
        <v>71600</v>
      </c>
      <c r="H30602" s="49">
        <f t="shared" si="2"/>
        <v>71342</v>
      </c>
    </row>
    <row r="30603">
      <c r="A30603" s="48" t="s">
        <v>7065</v>
      </c>
      <c r="B30603" s="38">
        <v>3293.0</v>
      </c>
      <c r="C30603" s="38" t="s">
        <v>34964</v>
      </c>
      <c r="D30603" s="38" t="str">
        <f>IFERROR(__xludf.DUMMYFUNCTION("REGEXREPLACE(C30603,""-\d+(.*)|--\d+(.*)"","""")"),"URCAY")</f>
        <v>URCAY</v>
      </c>
      <c r="E30603" s="38" t="s">
        <v>160</v>
      </c>
      <c r="F30603" s="38" t="s">
        <v>161</v>
      </c>
      <c r="G30603" s="49" t="str">
        <f t="shared" si="1"/>
        <v>03360</v>
      </c>
      <c r="H30603" s="49" t="str">
        <f t="shared" si="2"/>
        <v>03293</v>
      </c>
    </row>
    <row r="30604">
      <c r="A30604" s="48" t="s">
        <v>28196</v>
      </c>
      <c r="B30604" s="38">
        <v>82110.0</v>
      </c>
      <c r="C30604" s="38" t="s">
        <v>20315</v>
      </c>
      <c r="D30604" s="38" t="str">
        <f>IFERROR(__xludf.DUMMYFUNCTION("REGEXREPLACE(C30604,""-\d+(.*)|--\d+(.*)"","""")"),"MIRABEL")</f>
        <v>MIRABEL</v>
      </c>
      <c r="E30604" s="38" t="s">
        <v>570</v>
      </c>
      <c r="F30604" s="38" t="s">
        <v>94</v>
      </c>
      <c r="G30604" s="49" t="str">
        <f t="shared" si="1"/>
        <v>82440</v>
      </c>
      <c r="H30604" s="49">
        <f t="shared" si="2"/>
        <v>82110</v>
      </c>
    </row>
    <row r="30605">
      <c r="A30605" s="48" t="s">
        <v>5791</v>
      </c>
      <c r="B30605" s="38">
        <v>85138.0</v>
      </c>
      <c r="C30605" s="38" t="s">
        <v>34965</v>
      </c>
      <c r="D30605" s="38" t="str">
        <f>IFERROR(__xludf.DUMMYFUNCTION("REGEXREPLACE(C30605,""-\d+(.*)|--\d+(.*)"","""")"),"MARTINET")</f>
        <v>MARTINET</v>
      </c>
      <c r="E30605" s="38" t="s">
        <v>179</v>
      </c>
      <c r="F30605" s="38" t="s">
        <v>180</v>
      </c>
      <c r="G30605" s="49" t="str">
        <f t="shared" si="1"/>
        <v>85150</v>
      </c>
      <c r="H30605" s="49">
        <f t="shared" si="2"/>
        <v>85138</v>
      </c>
    </row>
    <row r="30606">
      <c r="A30606" s="48" t="s">
        <v>2059</v>
      </c>
      <c r="B30606" s="38">
        <v>37148.0</v>
      </c>
      <c r="C30606" s="38" t="s">
        <v>34966</v>
      </c>
      <c r="D30606" s="38" t="str">
        <f>IFERROR(__xludf.DUMMYFUNCTION("REGEXREPLACE(C30606,""-\d+(.*)|--\d+(.*)"","""")"),"MARIGNY-MARMANDE")</f>
        <v>MARIGNY-MARMANDE</v>
      </c>
      <c r="E30606" s="38" t="s">
        <v>205</v>
      </c>
      <c r="F30606" s="38" t="s">
        <v>123</v>
      </c>
      <c r="G30606" s="49" t="str">
        <f t="shared" si="1"/>
        <v>37120</v>
      </c>
      <c r="H30606" s="49">
        <f t="shared" si="2"/>
        <v>37148</v>
      </c>
    </row>
    <row r="30607">
      <c r="A30607" s="48" t="s">
        <v>1408</v>
      </c>
      <c r="B30607" s="38">
        <v>88053.0</v>
      </c>
      <c r="C30607" s="38" t="s">
        <v>26380</v>
      </c>
      <c r="D30607" s="38" t="str">
        <f>IFERROR(__xludf.DUMMYFUNCTION("REGEXREPLACE(C30607,""-\d+(.*)|--\d+(.*)"","""")"),"BELVAL")</f>
        <v>BELVAL</v>
      </c>
      <c r="E30607" s="38" t="s">
        <v>194</v>
      </c>
      <c r="F30607" s="38" t="s">
        <v>195</v>
      </c>
      <c r="G30607" s="49" t="str">
        <f t="shared" si="1"/>
        <v>88210</v>
      </c>
      <c r="H30607" s="49">
        <f t="shared" si="2"/>
        <v>88053</v>
      </c>
    </row>
    <row r="30608">
      <c r="A30608" s="48" t="s">
        <v>3662</v>
      </c>
      <c r="B30608" s="38">
        <v>80048.0</v>
      </c>
      <c r="C30608" s="38" t="s">
        <v>34967</v>
      </c>
      <c r="D30608" s="38" t="str">
        <f>IFERROR(__xludf.DUMMYFUNCTION("REGEXREPLACE(C30608,""-\d+(.*)|--\d+(.*)"","""")"),"AVESNES-CHAUSSOY")</f>
        <v>AVESNES-CHAUSSOY</v>
      </c>
      <c r="E30608" s="38" t="s">
        <v>224</v>
      </c>
      <c r="F30608" s="38" t="s">
        <v>113</v>
      </c>
      <c r="G30608" s="49" t="str">
        <f t="shared" si="1"/>
        <v>80140</v>
      </c>
      <c r="H30608" s="49">
        <f t="shared" si="2"/>
        <v>80048</v>
      </c>
    </row>
    <row r="30609">
      <c r="A30609" s="48" t="s">
        <v>12396</v>
      </c>
      <c r="B30609" s="38">
        <v>49114.0</v>
      </c>
      <c r="C30609" s="38" t="s">
        <v>34968</v>
      </c>
      <c r="D30609" s="38" t="str">
        <f>IFERROR(__xludf.DUMMYFUNCTION("REGEXREPLACE(C30609,""-\d+(.*)|--\d+(.*)"","""")"),"COURLEON")</f>
        <v>COURLEON</v>
      </c>
      <c r="E30609" s="38" t="s">
        <v>653</v>
      </c>
      <c r="F30609" s="38" t="s">
        <v>180</v>
      </c>
      <c r="G30609" s="49" t="str">
        <f t="shared" si="1"/>
        <v>49390</v>
      </c>
      <c r="H30609" s="49">
        <f t="shared" si="2"/>
        <v>49114</v>
      </c>
    </row>
    <row r="30610">
      <c r="A30610" s="48" t="s">
        <v>380</v>
      </c>
      <c r="B30610" s="38">
        <v>80373.0</v>
      </c>
      <c r="C30610" s="38" t="s">
        <v>34969</v>
      </c>
      <c r="D30610" s="38" t="str">
        <f>IFERROR(__xludf.DUMMYFUNCTION("REGEXREPLACE(C30610,""-\d+(.*)|--\d+(.*)"","""")"),"GAMACHES")</f>
        <v>GAMACHES</v>
      </c>
      <c r="E30610" s="38" t="s">
        <v>224</v>
      </c>
      <c r="F30610" s="38" t="s">
        <v>113</v>
      </c>
      <c r="G30610" s="49" t="str">
        <f t="shared" si="1"/>
        <v>80220</v>
      </c>
      <c r="H30610" s="49">
        <f t="shared" si="2"/>
        <v>80373</v>
      </c>
    </row>
    <row r="30611">
      <c r="A30611" s="48" t="s">
        <v>7107</v>
      </c>
      <c r="B30611" s="38">
        <v>10008.0</v>
      </c>
      <c r="C30611" s="38" t="s">
        <v>34970</v>
      </c>
      <c r="D30611" s="38" t="str">
        <f>IFERROR(__xludf.DUMMYFUNCTION("REGEXREPLACE(C30611,""-\d+(.*)|--\d+(.*)"","""")"),"ARGANCON")</f>
        <v>ARGANCON</v>
      </c>
      <c r="E30611" s="38" t="s">
        <v>147</v>
      </c>
      <c r="F30611" s="38" t="s">
        <v>130</v>
      </c>
      <c r="G30611" s="49" t="str">
        <f t="shared" si="1"/>
        <v>10140</v>
      </c>
      <c r="H30611" s="49">
        <f t="shared" si="2"/>
        <v>10008</v>
      </c>
    </row>
    <row r="30612">
      <c r="A30612" s="48" t="s">
        <v>1027</v>
      </c>
      <c r="B30612" s="38">
        <v>1058.0</v>
      </c>
      <c r="C30612" s="38" t="s">
        <v>34971</v>
      </c>
      <c r="D30612" s="38" t="str">
        <f>IFERROR(__xludf.DUMMYFUNCTION("REGEXREPLACE(C30612,""-\d+(.*)|--\d+(.*)"","""")"),"BREGNIER-CORDON")</f>
        <v>BREGNIER-CORDON</v>
      </c>
      <c r="E30612" s="38" t="s">
        <v>255</v>
      </c>
      <c r="F30612" s="38" t="s">
        <v>102</v>
      </c>
      <c r="G30612" s="49" t="str">
        <f t="shared" si="1"/>
        <v>01300</v>
      </c>
      <c r="H30612" s="49" t="str">
        <f t="shared" si="2"/>
        <v>01058</v>
      </c>
    </row>
    <row r="30613">
      <c r="A30613" s="48" t="s">
        <v>2259</v>
      </c>
      <c r="B30613" s="38">
        <v>22291.0</v>
      </c>
      <c r="C30613" s="38" t="s">
        <v>34972</v>
      </c>
      <c r="D30613" s="38" t="str">
        <f>IFERROR(__xludf.DUMMYFUNCTION("REGEXREPLACE(C30613,""-\d+(.*)|--\d+(.*)"","""")"),"SAINT-GILDAS")</f>
        <v>SAINT-GILDAS</v>
      </c>
      <c r="E30613" s="38" t="s">
        <v>89</v>
      </c>
      <c r="F30613" s="38" t="s">
        <v>90</v>
      </c>
      <c r="G30613" s="49" t="str">
        <f t="shared" si="1"/>
        <v>22800</v>
      </c>
      <c r="H30613" s="49">
        <f t="shared" si="2"/>
        <v>22291</v>
      </c>
    </row>
    <row r="30614">
      <c r="A30614" s="48" t="s">
        <v>11269</v>
      </c>
      <c r="B30614" s="38">
        <v>51411.0</v>
      </c>
      <c r="C30614" s="38" t="s">
        <v>34973</v>
      </c>
      <c r="D30614" s="38" t="str">
        <f>IFERROR(__xludf.DUMMYFUNCTION("REGEXREPLACE(C30614,""-\d+(.*)|--\d+(.*)"","""")"),"OGER")</f>
        <v>OGER</v>
      </c>
      <c r="E30614" s="38" t="s">
        <v>129</v>
      </c>
      <c r="F30614" s="38" t="s">
        <v>130</v>
      </c>
      <c r="G30614" s="49" t="str">
        <f t="shared" si="1"/>
        <v>51190</v>
      </c>
      <c r="H30614" s="49">
        <f t="shared" si="2"/>
        <v>51411</v>
      </c>
    </row>
    <row r="30615">
      <c r="A30615" s="48" t="s">
        <v>2845</v>
      </c>
      <c r="B30615" s="38" t="s">
        <v>34974</v>
      </c>
      <c r="C30615" s="38" t="s">
        <v>34975</v>
      </c>
      <c r="D30615" s="38" t="str">
        <f>IFERROR(__xludf.DUMMYFUNCTION("REGEXREPLACE(C30615,""-\d+(.*)|--\d+(.*)"","""")"),"SAN-NICOLAO")</f>
        <v>SAN-NICOLAO</v>
      </c>
      <c r="E30615" s="38" t="s">
        <v>743</v>
      </c>
      <c r="F30615" s="38" t="s">
        <v>607</v>
      </c>
      <c r="G30615" s="49" t="str">
        <f t="shared" si="1"/>
        <v>20230</v>
      </c>
      <c r="H30615" s="49" t="str">
        <f t="shared" si="2"/>
        <v>2B313</v>
      </c>
    </row>
    <row r="30616">
      <c r="A30616" s="48" t="s">
        <v>1233</v>
      </c>
      <c r="B30616" s="38">
        <v>60063.0</v>
      </c>
      <c r="C30616" s="38" t="s">
        <v>34976</v>
      </c>
      <c r="D30616" s="38" t="str">
        <f>IFERROR(__xludf.DUMMYFUNCTION("REGEXREPLACE(C30616,""-\d+(.*)|--\d+(.*)"","""")"),"BERNEUIL-EN-BRAY")</f>
        <v>BERNEUIL-EN-BRAY</v>
      </c>
      <c r="E30616" s="38" t="s">
        <v>112</v>
      </c>
      <c r="F30616" s="38" t="s">
        <v>113</v>
      </c>
      <c r="G30616" s="49" t="str">
        <f t="shared" si="1"/>
        <v>60390</v>
      </c>
      <c r="H30616" s="49">
        <f t="shared" si="2"/>
        <v>60063</v>
      </c>
    </row>
    <row r="30617">
      <c r="A30617" s="48" t="s">
        <v>14375</v>
      </c>
      <c r="B30617" s="38">
        <v>74265.0</v>
      </c>
      <c r="C30617" s="38" t="s">
        <v>34977</v>
      </c>
      <c r="D30617" s="38" t="str">
        <f>IFERROR(__xludf.DUMMYFUNCTION("REGEXREPLACE(C30617,""-\d+(.*)|--\d+(.*)"","""")"),"SERRAVAL")</f>
        <v>SERRAVAL</v>
      </c>
      <c r="E30617" s="38" t="s">
        <v>319</v>
      </c>
      <c r="F30617" s="38" t="s">
        <v>102</v>
      </c>
      <c r="G30617" s="49" t="str">
        <f t="shared" si="1"/>
        <v>74230</v>
      </c>
      <c r="H30617" s="49">
        <f t="shared" si="2"/>
        <v>74265</v>
      </c>
    </row>
    <row r="30618">
      <c r="A30618" s="48" t="s">
        <v>18855</v>
      </c>
      <c r="B30618" s="38">
        <v>86275.0</v>
      </c>
      <c r="C30618" s="38" t="s">
        <v>14366</v>
      </c>
      <c r="D30618" s="38" t="str">
        <f>IFERROR(__xludf.DUMMYFUNCTION("REGEXREPLACE(C30618,""-\d+(.*)|--\d+(.*)"","""")"),"USSEAU")</f>
        <v>USSEAU</v>
      </c>
      <c r="E30618" s="38" t="s">
        <v>529</v>
      </c>
      <c r="F30618" s="38" t="s">
        <v>338</v>
      </c>
      <c r="G30618" s="49" t="str">
        <f t="shared" si="1"/>
        <v>86230</v>
      </c>
      <c r="H30618" s="49">
        <f t="shared" si="2"/>
        <v>86275</v>
      </c>
    </row>
    <row r="30619">
      <c r="A30619" s="48" t="s">
        <v>1932</v>
      </c>
      <c r="B30619" s="38">
        <v>70014.0</v>
      </c>
      <c r="C30619" s="38" t="s">
        <v>34978</v>
      </c>
      <c r="D30619" s="38" t="str">
        <f>IFERROR(__xludf.DUMMYFUNCTION("REGEXREPLACE(C30619,""-\d+(.*)|--\d+(.*)"","""")"),"AMBLANS-ET-VELOTTE")</f>
        <v>AMBLANS-ET-VELOTTE</v>
      </c>
      <c r="E30619" s="38" t="s">
        <v>956</v>
      </c>
      <c r="F30619" s="38" t="s">
        <v>214</v>
      </c>
      <c r="G30619" s="49" t="str">
        <f t="shared" si="1"/>
        <v>70200</v>
      </c>
      <c r="H30619" s="49">
        <f t="shared" si="2"/>
        <v>70014</v>
      </c>
    </row>
    <row r="30620">
      <c r="A30620" s="48" t="s">
        <v>4969</v>
      </c>
      <c r="B30620" s="38">
        <v>14257.0</v>
      </c>
      <c r="C30620" s="38" t="s">
        <v>34979</v>
      </c>
      <c r="D30620" s="38" t="str">
        <f>IFERROR(__xludf.DUMMYFUNCTION("REGEXREPLACE(C30620,""-\d+(.*)|--\d+(.*)"","""")"),"EVRECY")</f>
        <v>EVRECY</v>
      </c>
      <c r="E30620" s="38" t="s">
        <v>137</v>
      </c>
      <c r="F30620" s="38" t="s">
        <v>138</v>
      </c>
      <c r="G30620" s="49" t="str">
        <f t="shared" si="1"/>
        <v>14210</v>
      </c>
      <c r="H30620" s="49">
        <f t="shared" si="2"/>
        <v>14257</v>
      </c>
    </row>
    <row r="30621">
      <c r="A30621" s="48" t="s">
        <v>19988</v>
      </c>
      <c r="B30621" s="38">
        <v>49259.0</v>
      </c>
      <c r="C30621" s="38" t="s">
        <v>34980</v>
      </c>
      <c r="D30621" s="38" t="str">
        <f>IFERROR(__xludf.DUMMYFUNCTION("REGEXREPLACE(C30621,""-\d+(.*)|--\d+(.*)"","""")"),"ROCHEFORT-SUR-LOIRE")</f>
        <v>ROCHEFORT-SUR-LOIRE</v>
      </c>
      <c r="E30621" s="38" t="s">
        <v>653</v>
      </c>
      <c r="F30621" s="38" t="s">
        <v>180</v>
      </c>
      <c r="G30621" s="49" t="str">
        <f t="shared" si="1"/>
        <v>49190</v>
      </c>
      <c r="H30621" s="49">
        <f t="shared" si="2"/>
        <v>49259</v>
      </c>
    </row>
    <row r="30622">
      <c r="A30622" s="48" t="s">
        <v>5235</v>
      </c>
      <c r="B30622" s="38">
        <v>61386.0</v>
      </c>
      <c r="C30622" s="38" t="s">
        <v>34981</v>
      </c>
      <c r="D30622" s="38" t="str">
        <f>IFERROR(__xludf.DUMMYFUNCTION("REGEXREPLACE(C30622,""-\d+(.*)|--\d+(.*)"","""")"),"SAINT-EVROULT-NOTRE-DAME-DU-BOIS")</f>
        <v>SAINT-EVROULT-NOTRE-DAME-DU-BOIS</v>
      </c>
      <c r="E30622" s="38" t="s">
        <v>141</v>
      </c>
      <c r="F30622" s="38" t="s">
        <v>138</v>
      </c>
      <c r="G30622" s="49" t="str">
        <f t="shared" si="1"/>
        <v>61550</v>
      </c>
      <c r="H30622" s="49">
        <f t="shared" si="2"/>
        <v>61386</v>
      </c>
    </row>
    <row r="30623">
      <c r="A30623" s="48" t="s">
        <v>18392</v>
      </c>
      <c r="B30623" s="38">
        <v>63365.0</v>
      </c>
      <c r="C30623" s="38" t="s">
        <v>34982</v>
      </c>
      <c r="D30623" s="38" t="str">
        <f>IFERROR(__xludf.DUMMYFUNCTION("REGEXREPLACE(C30623,""-\d+(.*)|--\d+(.*)"","""")"),"SAINT-JEAN-DES-OLLIERES")</f>
        <v>SAINT-JEAN-DES-OLLIERES</v>
      </c>
      <c r="E30623" s="38" t="s">
        <v>353</v>
      </c>
      <c r="F30623" s="38" t="s">
        <v>161</v>
      </c>
      <c r="G30623" s="49" t="str">
        <f t="shared" si="1"/>
        <v>63520</v>
      </c>
      <c r="H30623" s="49">
        <f t="shared" si="2"/>
        <v>63365</v>
      </c>
    </row>
    <row r="30624">
      <c r="A30624" s="48" t="s">
        <v>14989</v>
      </c>
      <c r="B30624" s="38">
        <v>74059.0</v>
      </c>
      <c r="C30624" s="38" t="s">
        <v>34983</v>
      </c>
      <c r="D30624" s="38" t="str">
        <f>IFERROR(__xludf.DUMMYFUNCTION("REGEXREPLACE(C30624,""-\d+(.*)|--\d+(.*)"","""")"),"LA CHAPELLE-RAMBAUD")</f>
        <v>LA CHAPELLE-RAMBAUD</v>
      </c>
      <c r="E30624" s="38" t="s">
        <v>319</v>
      </c>
      <c r="F30624" s="38" t="s">
        <v>102</v>
      </c>
      <c r="G30624" s="49" t="str">
        <f t="shared" si="1"/>
        <v>74800</v>
      </c>
      <c r="H30624" s="49">
        <f t="shared" si="2"/>
        <v>74059</v>
      </c>
    </row>
    <row r="30625">
      <c r="A30625" s="48" t="s">
        <v>3653</v>
      </c>
      <c r="B30625" s="38">
        <v>61366.0</v>
      </c>
      <c r="C30625" s="38" t="s">
        <v>34984</v>
      </c>
      <c r="D30625" s="38" t="str">
        <f>IFERROR(__xludf.DUMMYFUNCTION("REGEXREPLACE(C30625,""-\d+(.*)|--\d+(.*)"","""")"),"SAINT-AUBIN-DE-BONNEVAL")</f>
        <v>SAINT-AUBIN-DE-BONNEVAL</v>
      </c>
      <c r="E30625" s="38" t="s">
        <v>141</v>
      </c>
      <c r="F30625" s="38" t="s">
        <v>138</v>
      </c>
      <c r="G30625" s="49" t="str">
        <f t="shared" si="1"/>
        <v>61470</v>
      </c>
      <c r="H30625" s="49">
        <f t="shared" si="2"/>
        <v>61366</v>
      </c>
    </row>
    <row r="30626">
      <c r="A30626" s="48" t="s">
        <v>1010</v>
      </c>
      <c r="B30626" s="38">
        <v>27602.0</v>
      </c>
      <c r="C30626" s="38" t="s">
        <v>34985</v>
      </c>
      <c r="D30626" s="38" t="str">
        <f>IFERROR(__xludf.DUMMYFUNCTION("REGEXREPLACE(C30626,""-\d+(.*)|--\d+(.*)"","""")"),"SAINT-SEBASTIEN-DE-MORSENT")</f>
        <v>SAINT-SEBASTIEN-DE-MORSENT</v>
      </c>
      <c r="E30626" s="38" t="s">
        <v>241</v>
      </c>
      <c r="F30626" s="38" t="s">
        <v>134</v>
      </c>
      <c r="G30626" s="49" t="str">
        <f t="shared" si="1"/>
        <v>27180</v>
      </c>
      <c r="H30626" s="49">
        <f t="shared" si="2"/>
        <v>27602</v>
      </c>
    </row>
    <row r="30627">
      <c r="A30627" s="48" t="s">
        <v>6923</v>
      </c>
      <c r="B30627" s="38">
        <v>33061.0</v>
      </c>
      <c r="C30627" s="38" t="s">
        <v>34986</v>
      </c>
      <c r="D30627" s="38" t="str">
        <f>IFERROR(__xludf.DUMMYFUNCTION("REGEXREPLACE(C30627,""-\d+(.*)|--\d+(.*)"","""")"),"BONNETAN")</f>
        <v>BONNETAN</v>
      </c>
      <c r="E30627" s="38" t="s">
        <v>462</v>
      </c>
      <c r="F30627" s="38" t="s">
        <v>252</v>
      </c>
      <c r="G30627" s="49" t="str">
        <f t="shared" si="1"/>
        <v>33370</v>
      </c>
      <c r="H30627" s="49">
        <f t="shared" si="2"/>
        <v>33061</v>
      </c>
    </row>
    <row r="30628">
      <c r="A30628" s="48" t="s">
        <v>7876</v>
      </c>
      <c r="B30628" s="38">
        <v>58210.0</v>
      </c>
      <c r="C30628" s="38" t="s">
        <v>34987</v>
      </c>
      <c r="D30628" s="38" t="str">
        <f>IFERROR(__xludf.DUMMYFUNCTION("REGEXREPLACE(C30628,""-\d+(.*)|--\d+(.*)"","""")"),"PLANCHEZ")</f>
        <v>PLANCHEZ</v>
      </c>
      <c r="E30628" s="38" t="s">
        <v>219</v>
      </c>
      <c r="F30628" s="38" t="s">
        <v>106</v>
      </c>
      <c r="G30628" s="49" t="str">
        <f t="shared" si="1"/>
        <v>58230</v>
      </c>
      <c r="H30628" s="49">
        <f t="shared" si="2"/>
        <v>58210</v>
      </c>
    </row>
    <row r="30629">
      <c r="A30629" s="48" t="s">
        <v>2955</v>
      </c>
      <c r="B30629" s="38">
        <v>76371.0</v>
      </c>
      <c r="C30629" s="38" t="s">
        <v>34988</v>
      </c>
      <c r="D30629" s="38" t="str">
        <f>IFERROR(__xludf.DUMMYFUNCTION("REGEXREPLACE(C30629,""-\d+(.*)|--\d+(.*)"","""")"),"LES IFS")</f>
        <v>LES IFS</v>
      </c>
      <c r="E30629" s="38" t="s">
        <v>133</v>
      </c>
      <c r="F30629" s="38" t="s">
        <v>134</v>
      </c>
      <c r="G30629" s="49" t="str">
        <f t="shared" si="1"/>
        <v>76630</v>
      </c>
      <c r="H30629" s="49">
        <f t="shared" si="2"/>
        <v>76371</v>
      </c>
    </row>
    <row r="30630">
      <c r="A30630" s="48" t="s">
        <v>2040</v>
      </c>
      <c r="B30630" s="38">
        <v>59050.0</v>
      </c>
      <c r="C30630" s="38" t="s">
        <v>34989</v>
      </c>
      <c r="D30630" s="38" t="str">
        <f>IFERROR(__xludf.DUMMYFUNCTION("REGEXREPLACE(C30630,""-\d+(.*)|--\d+(.*)"","""")"),"BAS-LIEU")</f>
        <v>BAS-LIEU</v>
      </c>
      <c r="E30630" s="38" t="s">
        <v>85</v>
      </c>
      <c r="F30630" s="38" t="s">
        <v>86</v>
      </c>
      <c r="G30630" s="49" t="str">
        <f t="shared" si="1"/>
        <v>59440</v>
      </c>
      <c r="H30630" s="49">
        <f t="shared" si="2"/>
        <v>59050</v>
      </c>
    </row>
    <row r="30631">
      <c r="A30631" s="48" t="s">
        <v>746</v>
      </c>
      <c r="B30631" s="38">
        <v>76412.0</v>
      </c>
      <c r="C30631" s="38" t="s">
        <v>34990</v>
      </c>
      <c r="D30631" s="38" t="str">
        <f>IFERROR(__xludf.DUMMYFUNCTION("REGEXREPLACE(C30631,""-\d+(.*)|--\d+(.*)"","""")"),"MARTAINVILLE-EPREVILLE")</f>
        <v>MARTAINVILLE-EPREVILLE</v>
      </c>
      <c r="E30631" s="38" t="s">
        <v>133</v>
      </c>
      <c r="F30631" s="38" t="s">
        <v>134</v>
      </c>
      <c r="G30631" s="49" t="str">
        <f t="shared" si="1"/>
        <v>76116</v>
      </c>
      <c r="H30631" s="49">
        <f t="shared" si="2"/>
        <v>76412</v>
      </c>
    </row>
    <row r="30632">
      <c r="A30632" s="48" t="s">
        <v>7804</v>
      </c>
      <c r="B30632" s="38">
        <v>51056.0</v>
      </c>
      <c r="C30632" s="38" t="s">
        <v>34991</v>
      </c>
      <c r="D30632" s="38" t="str">
        <f>IFERROR(__xludf.DUMMYFUNCTION("REGEXREPLACE(C30632,""-\d+(.*)|--\d+(.*)"","""")"),"BETHON")</f>
        <v>BETHON</v>
      </c>
      <c r="E30632" s="38" t="s">
        <v>129</v>
      </c>
      <c r="F30632" s="38" t="s">
        <v>130</v>
      </c>
      <c r="G30632" s="49" t="str">
        <f t="shared" si="1"/>
        <v>51260</v>
      </c>
      <c r="H30632" s="49">
        <f t="shared" si="2"/>
        <v>51056</v>
      </c>
    </row>
    <row r="30633">
      <c r="A30633" s="48" t="s">
        <v>6753</v>
      </c>
      <c r="B30633" s="38">
        <v>42268.0</v>
      </c>
      <c r="C30633" s="38" t="s">
        <v>34992</v>
      </c>
      <c r="D30633" s="38" t="str">
        <f>IFERROR(__xludf.DUMMYFUNCTION("REGEXREPLACE(C30633,""-\d+(.*)|--\d+(.*)"","""")"),"SAINT-PAUL-DE-VEZELIN")</f>
        <v>SAINT-PAUL-DE-VEZELIN</v>
      </c>
      <c r="E30633" s="38" t="s">
        <v>166</v>
      </c>
      <c r="F30633" s="38" t="s">
        <v>102</v>
      </c>
      <c r="G30633" s="49" t="str">
        <f t="shared" si="1"/>
        <v>42590</v>
      </c>
      <c r="H30633" s="49">
        <f t="shared" si="2"/>
        <v>42268</v>
      </c>
    </row>
    <row r="30634">
      <c r="A30634" s="48" t="s">
        <v>10017</v>
      </c>
      <c r="B30634" s="38">
        <v>14758.0</v>
      </c>
      <c r="C30634" s="38" t="s">
        <v>34993</v>
      </c>
      <c r="D30634" s="38" t="str">
        <f>IFERROR(__xludf.DUMMYFUNCTION("REGEXREPLACE(C30634,""-\d+(.*)|--\d+(.*)"","""")"),"VILLONS-LES-BUISSONS")</f>
        <v>VILLONS-LES-BUISSONS</v>
      </c>
      <c r="E30634" s="38" t="s">
        <v>137</v>
      </c>
      <c r="F30634" s="38" t="s">
        <v>138</v>
      </c>
      <c r="G30634" s="49" t="str">
        <f t="shared" si="1"/>
        <v>14610</v>
      </c>
      <c r="H30634" s="49">
        <f t="shared" si="2"/>
        <v>14758</v>
      </c>
    </row>
    <row r="30635">
      <c r="A30635" s="48" t="s">
        <v>1966</v>
      </c>
      <c r="B30635" s="38">
        <v>2746.0</v>
      </c>
      <c r="C30635" s="38" t="s">
        <v>34994</v>
      </c>
      <c r="D30635" s="38" t="str">
        <f>IFERROR(__xludf.DUMMYFUNCTION("REGEXREPLACE(C30635,""-\d+(.*)|--\d+(.*)"","""")"),"TRAVECY")</f>
        <v>TRAVECY</v>
      </c>
      <c r="E30635" s="38" t="s">
        <v>191</v>
      </c>
      <c r="F30635" s="38" t="s">
        <v>113</v>
      </c>
      <c r="G30635" s="49" t="str">
        <f t="shared" si="1"/>
        <v>02800</v>
      </c>
      <c r="H30635" s="49" t="str">
        <f t="shared" si="2"/>
        <v>02746</v>
      </c>
    </row>
    <row r="30636">
      <c r="A30636" s="48" t="s">
        <v>744</v>
      </c>
      <c r="B30636" s="38">
        <v>14650.0</v>
      </c>
      <c r="C30636" s="38" t="s">
        <v>34995</v>
      </c>
      <c r="D30636" s="38" t="str">
        <f>IFERROR(__xludf.DUMMYFUNCTION("REGEXREPLACE(C30636,""-\d+(.*)|--\d+(.*)"","""")"),"SAINT-PIERRE-DU-FRESNE")</f>
        <v>SAINT-PIERRE-DU-FRESNE</v>
      </c>
      <c r="E30636" s="38" t="s">
        <v>137</v>
      </c>
      <c r="F30636" s="38" t="s">
        <v>138</v>
      </c>
      <c r="G30636" s="49" t="str">
        <f t="shared" si="1"/>
        <v>14260</v>
      </c>
      <c r="H30636" s="49">
        <f t="shared" si="2"/>
        <v>14650</v>
      </c>
    </row>
    <row r="30637">
      <c r="A30637" s="48" t="s">
        <v>1066</v>
      </c>
      <c r="B30637" s="38">
        <v>49290.0</v>
      </c>
      <c r="C30637" s="38" t="s">
        <v>34996</v>
      </c>
      <c r="D30637" s="38" t="str">
        <f>IFERROR(__xludf.DUMMYFUNCTION("REGEXREPLACE(C30637,""-\d+(.*)|--\d+(.*)"","""")"),"SAINT-JEAN-DES-MAUVRETS")</f>
        <v>SAINT-JEAN-DES-MAUVRETS</v>
      </c>
      <c r="E30637" s="38" t="s">
        <v>653</v>
      </c>
      <c r="F30637" s="38" t="s">
        <v>180</v>
      </c>
      <c r="G30637" s="49" t="str">
        <f t="shared" si="1"/>
        <v>49320</v>
      </c>
      <c r="H30637" s="49">
        <f t="shared" si="2"/>
        <v>49290</v>
      </c>
    </row>
    <row r="30638">
      <c r="A30638" s="48" t="s">
        <v>34997</v>
      </c>
      <c r="B30638" s="38">
        <v>44055.0</v>
      </c>
      <c r="C30638" s="38" t="s">
        <v>34998</v>
      </c>
      <c r="D30638" s="38" t="str">
        <f>IFERROR(__xludf.DUMMYFUNCTION("REGEXREPLACE(C30638,""-\d+(.*)|--\d+(.*)"","""")"),"LA BAULE-ESCOUBLAC")</f>
        <v>LA BAULE-ESCOUBLAC</v>
      </c>
      <c r="E30638" s="38" t="s">
        <v>759</v>
      </c>
      <c r="F30638" s="38" t="s">
        <v>180</v>
      </c>
      <c r="G30638" s="49" t="str">
        <f t="shared" si="1"/>
        <v>44500</v>
      </c>
      <c r="H30638" s="49">
        <f t="shared" si="2"/>
        <v>44055</v>
      </c>
    </row>
    <row r="30639">
      <c r="A30639" s="48" t="s">
        <v>7223</v>
      </c>
      <c r="B30639" s="38">
        <v>63465.0</v>
      </c>
      <c r="C30639" s="38" t="s">
        <v>34999</v>
      </c>
      <c r="D30639" s="38" t="str">
        <f>IFERROR(__xludf.DUMMYFUNCTION("REGEXREPLACE(C30639,""-\d+(.*)|--\d+(.*)"","""")"),"VIVEROLS")</f>
        <v>VIVEROLS</v>
      </c>
      <c r="E30639" s="38" t="s">
        <v>353</v>
      </c>
      <c r="F30639" s="38" t="s">
        <v>161</v>
      </c>
      <c r="G30639" s="49" t="str">
        <f t="shared" si="1"/>
        <v>63840</v>
      </c>
      <c r="H30639" s="49">
        <f t="shared" si="2"/>
        <v>63465</v>
      </c>
    </row>
    <row r="30640">
      <c r="A30640" s="48" t="s">
        <v>6948</v>
      </c>
      <c r="B30640" s="38">
        <v>17076.0</v>
      </c>
      <c r="C30640" s="38" t="s">
        <v>21351</v>
      </c>
      <c r="D30640" s="38" t="str">
        <f>IFERROR(__xludf.DUMMYFUNCTION("REGEXREPLACE(C30640,""-\d+(.*)|--\d+(.*)"","""")"),"CELLES")</f>
        <v>CELLES</v>
      </c>
      <c r="E30640" s="38" t="s">
        <v>488</v>
      </c>
      <c r="F30640" s="38" t="s">
        <v>338</v>
      </c>
      <c r="G30640" s="49" t="str">
        <f t="shared" si="1"/>
        <v>17520</v>
      </c>
      <c r="H30640" s="49">
        <f t="shared" si="2"/>
        <v>17076</v>
      </c>
    </row>
    <row r="30641">
      <c r="A30641" s="48" t="s">
        <v>1214</v>
      </c>
      <c r="B30641" s="38">
        <v>56151.0</v>
      </c>
      <c r="C30641" s="38" t="s">
        <v>35000</v>
      </c>
      <c r="D30641" s="38" t="str">
        <f>IFERROR(__xludf.DUMMYFUNCTION("REGEXREPLACE(C30641,""-\d+(.*)|--\d+(.*)"","""")"),"NOYAL-PONTIVY")</f>
        <v>NOYAL-PONTIVY</v>
      </c>
      <c r="E30641" s="38" t="s">
        <v>173</v>
      </c>
      <c r="F30641" s="38" t="s">
        <v>90</v>
      </c>
      <c r="G30641" s="49" t="str">
        <f t="shared" si="1"/>
        <v>56920</v>
      </c>
      <c r="H30641" s="49">
        <f t="shared" si="2"/>
        <v>56151</v>
      </c>
    </row>
    <row r="30642">
      <c r="A30642" s="48" t="s">
        <v>19883</v>
      </c>
      <c r="B30642" s="38">
        <v>38040.0</v>
      </c>
      <c r="C30642" s="38" t="s">
        <v>22672</v>
      </c>
      <c r="D30642" s="38" t="str">
        <f>IFERROR(__xludf.DUMMYFUNCTION("REGEXREPLACE(C30642,""-\d+(.*)|--\d+(.*)"","""")"),"BESSE")</f>
        <v>BESSE</v>
      </c>
      <c r="E30642" s="38" t="s">
        <v>101</v>
      </c>
      <c r="F30642" s="38" t="s">
        <v>102</v>
      </c>
      <c r="G30642" s="49" t="str">
        <f t="shared" si="1"/>
        <v>38142</v>
      </c>
      <c r="H30642" s="49">
        <f t="shared" si="2"/>
        <v>38040</v>
      </c>
    </row>
    <row r="30643">
      <c r="A30643" s="48" t="s">
        <v>6316</v>
      </c>
      <c r="B30643" s="38">
        <v>50360.0</v>
      </c>
      <c r="C30643" s="38" t="s">
        <v>10619</v>
      </c>
      <c r="D30643" s="38" t="str">
        <f>IFERROR(__xludf.DUMMYFUNCTION("REGEXREPLACE(C30643,""-\d+(.*)|--\d+(.*)"","""")"),"MORVILLE")</f>
        <v>MORVILLE</v>
      </c>
      <c r="E30643" s="38" t="s">
        <v>157</v>
      </c>
      <c r="F30643" s="38" t="s">
        <v>138</v>
      </c>
      <c r="G30643" s="49" t="str">
        <f t="shared" si="1"/>
        <v>50700</v>
      </c>
      <c r="H30643" s="49">
        <f t="shared" si="2"/>
        <v>50360</v>
      </c>
    </row>
    <row r="30644">
      <c r="A30644" s="48" t="s">
        <v>3983</v>
      </c>
      <c r="B30644" s="38">
        <v>67515.0</v>
      </c>
      <c r="C30644" s="38" t="s">
        <v>35001</v>
      </c>
      <c r="D30644" s="38" t="str">
        <f>IFERROR(__xludf.DUMMYFUNCTION("REGEXREPLACE(C30644,""-\d+(.*)|--\d+(.*)"","""")"),"WALDOLWISHEIM")</f>
        <v>WALDOLWISHEIM</v>
      </c>
      <c r="E30644" s="38" t="s">
        <v>210</v>
      </c>
      <c r="F30644" s="38" t="s">
        <v>151</v>
      </c>
      <c r="G30644" s="49" t="str">
        <f t="shared" si="1"/>
        <v>67700</v>
      </c>
      <c r="H30644" s="49">
        <f t="shared" si="2"/>
        <v>67515</v>
      </c>
    </row>
    <row r="30645">
      <c r="A30645" s="48" t="s">
        <v>2190</v>
      </c>
      <c r="B30645" s="38">
        <v>10355.0</v>
      </c>
      <c r="C30645" s="38" t="s">
        <v>4574</v>
      </c>
      <c r="D30645" s="38" t="str">
        <f>IFERROR(__xludf.DUMMYFUNCTION("REGEXREPLACE(C30645,""-\d+(.*)|--\d+(.*)"","""")"),"SAINT-NICOLAS-LA-CHAPELLE")</f>
        <v>SAINT-NICOLAS-LA-CHAPELLE</v>
      </c>
      <c r="E30645" s="38" t="s">
        <v>147</v>
      </c>
      <c r="F30645" s="38" t="s">
        <v>130</v>
      </c>
      <c r="G30645" s="49" t="str">
        <f t="shared" si="1"/>
        <v>10400</v>
      </c>
      <c r="H30645" s="49">
        <f t="shared" si="2"/>
        <v>10355</v>
      </c>
    </row>
    <row r="30646">
      <c r="A30646" s="48" t="s">
        <v>2073</v>
      </c>
      <c r="B30646" s="38">
        <v>8430.0</v>
      </c>
      <c r="C30646" s="38" t="s">
        <v>35002</v>
      </c>
      <c r="D30646" s="38" t="str">
        <f>IFERROR(__xludf.DUMMYFUNCTION("REGEXREPLACE(C30646,""-\d+(.*)|--\d+(.*)"","""")"),"STONNE")</f>
        <v>STONNE</v>
      </c>
      <c r="E30646" s="38" t="s">
        <v>327</v>
      </c>
      <c r="F30646" s="38" t="s">
        <v>130</v>
      </c>
      <c r="G30646" s="49" t="str">
        <f t="shared" si="1"/>
        <v>08390</v>
      </c>
      <c r="H30646" s="49" t="str">
        <f t="shared" si="2"/>
        <v>08430</v>
      </c>
    </row>
    <row r="30647">
      <c r="A30647" s="48" t="s">
        <v>2334</v>
      </c>
      <c r="B30647" s="38">
        <v>46114.0</v>
      </c>
      <c r="C30647" s="38" t="s">
        <v>35003</v>
      </c>
      <c r="D30647" s="38" t="str">
        <f>IFERROR(__xludf.DUMMYFUNCTION("REGEXREPLACE(C30647,""-\d+(.*)|--\d+(.*)"","""")"),"FRAYSSINET-LE-GELAT")</f>
        <v>FRAYSSINET-LE-GELAT</v>
      </c>
      <c r="E30647" s="38" t="s">
        <v>185</v>
      </c>
      <c r="F30647" s="38" t="s">
        <v>94</v>
      </c>
      <c r="G30647" s="49" t="str">
        <f t="shared" si="1"/>
        <v>46250</v>
      </c>
      <c r="H30647" s="49">
        <f t="shared" si="2"/>
        <v>46114</v>
      </c>
    </row>
    <row r="30648">
      <c r="A30648" s="48" t="s">
        <v>5823</v>
      </c>
      <c r="B30648" s="38">
        <v>49103.0</v>
      </c>
      <c r="C30648" s="38" t="s">
        <v>35004</v>
      </c>
      <c r="D30648" s="38" t="str">
        <f>IFERROR(__xludf.DUMMYFUNCTION("REGEXREPLACE(C30648,""-\d+(.*)|--\d+(.*)"","""")"),"COMBREE")</f>
        <v>COMBREE</v>
      </c>
      <c r="E30648" s="38" t="s">
        <v>653</v>
      </c>
      <c r="F30648" s="38" t="s">
        <v>180</v>
      </c>
      <c r="G30648" s="49" t="str">
        <f t="shared" si="1"/>
        <v>49520</v>
      </c>
      <c r="H30648" s="49">
        <f t="shared" si="2"/>
        <v>49103</v>
      </c>
    </row>
    <row r="30649">
      <c r="A30649" s="48" t="s">
        <v>9585</v>
      </c>
      <c r="B30649" s="38">
        <v>25368.0</v>
      </c>
      <c r="C30649" s="38" t="s">
        <v>35005</v>
      </c>
      <c r="D30649" s="38" t="str">
        <f>IFERROR(__xludf.DUMMYFUNCTION("REGEXREPLACE(C30649,""-\d+(.*)|--\d+(.*)"","""")"),"MARCHAUX")</f>
        <v>MARCHAUX</v>
      </c>
      <c r="E30649" s="38" t="s">
        <v>213</v>
      </c>
      <c r="F30649" s="38" t="s">
        <v>214</v>
      </c>
      <c r="G30649" s="49" t="str">
        <f t="shared" si="1"/>
        <v>25640</v>
      </c>
      <c r="H30649" s="49">
        <f t="shared" si="2"/>
        <v>25368</v>
      </c>
    </row>
    <row r="30650">
      <c r="A30650" s="48" t="s">
        <v>2469</v>
      </c>
      <c r="B30650" s="38">
        <v>8026.0</v>
      </c>
      <c r="C30650" s="38" t="s">
        <v>35006</v>
      </c>
      <c r="D30650" s="38" t="str">
        <f>IFERROR(__xludf.DUMMYFUNCTION("REGEXREPLACE(C30650,""-\d+(.*)|--\d+(.*)"","""")"),"AUBIGNY-LES-POTHEES")</f>
        <v>AUBIGNY-LES-POTHEES</v>
      </c>
      <c r="E30650" s="38" t="s">
        <v>327</v>
      </c>
      <c r="F30650" s="38" t="s">
        <v>130</v>
      </c>
      <c r="G30650" s="49" t="str">
        <f t="shared" si="1"/>
        <v>08150</v>
      </c>
      <c r="H30650" s="49" t="str">
        <f t="shared" si="2"/>
        <v>08026</v>
      </c>
    </row>
    <row r="30651">
      <c r="A30651" s="48" t="s">
        <v>1016</v>
      </c>
      <c r="B30651" s="38">
        <v>28254.0</v>
      </c>
      <c r="C30651" s="38" t="s">
        <v>35007</v>
      </c>
      <c r="D30651" s="38" t="str">
        <f>IFERROR(__xludf.DUMMYFUNCTION("REGEXREPLACE(C30651,""-\d+(.*)|--\d+(.*)"","""")"),"MITTAINVILLIERS")</f>
        <v>MITTAINVILLIERS</v>
      </c>
      <c r="E30651" s="38" t="s">
        <v>300</v>
      </c>
      <c r="F30651" s="38" t="s">
        <v>123</v>
      </c>
      <c r="G30651" s="49" t="str">
        <f t="shared" si="1"/>
        <v>28190</v>
      </c>
      <c r="H30651" s="49">
        <f t="shared" si="2"/>
        <v>28254</v>
      </c>
    </row>
    <row r="30652">
      <c r="A30652" s="48" t="s">
        <v>14051</v>
      </c>
      <c r="B30652" s="38">
        <v>33381.0</v>
      </c>
      <c r="C30652" s="38" t="s">
        <v>35008</v>
      </c>
      <c r="D30652" s="38" t="str">
        <f>IFERROR(__xludf.DUMMYFUNCTION("REGEXREPLACE(C30652,""-\d+(.*)|--\d+(.*)"","""")"),"SAINT-CAPRAIS-DE-BORDEAUX")</f>
        <v>SAINT-CAPRAIS-DE-BORDEAUX</v>
      </c>
      <c r="E30652" s="38" t="s">
        <v>462</v>
      </c>
      <c r="F30652" s="38" t="s">
        <v>252</v>
      </c>
      <c r="G30652" s="49" t="str">
        <f t="shared" si="1"/>
        <v>33880</v>
      </c>
      <c r="H30652" s="49">
        <f t="shared" si="2"/>
        <v>33381</v>
      </c>
    </row>
    <row r="30653">
      <c r="A30653" s="48" t="s">
        <v>35009</v>
      </c>
      <c r="B30653" s="38">
        <v>59350.0</v>
      </c>
      <c r="C30653" s="38" t="s">
        <v>35010</v>
      </c>
      <c r="D30653" s="38" t="str">
        <f>IFERROR(__xludf.DUMMYFUNCTION("REGEXREPLACE(C30653,""-\d+(.*)|--\d+(.*)"","""")"),"LILLE")</f>
        <v>LILLE</v>
      </c>
      <c r="E30653" s="38" t="s">
        <v>85</v>
      </c>
      <c r="F30653" s="38" t="s">
        <v>86</v>
      </c>
      <c r="G30653" s="49" t="str">
        <f t="shared" si="1"/>
        <v>59000/59160/59260/59777/59800</v>
      </c>
      <c r="H30653" s="49">
        <f t="shared" si="2"/>
        <v>59350</v>
      </c>
    </row>
    <row r="30654">
      <c r="A30654" s="48" t="s">
        <v>30197</v>
      </c>
      <c r="B30654" s="38">
        <v>25097.0</v>
      </c>
      <c r="C30654" s="38" t="s">
        <v>35011</v>
      </c>
      <c r="D30654" s="38" t="str">
        <f>IFERROR(__xludf.DUMMYFUNCTION("REGEXREPLACE(C30654,""-\d+(.*)|--\d+(.*)"","""")"),"BROGNARD")</f>
        <v>BROGNARD</v>
      </c>
      <c r="E30654" s="38" t="s">
        <v>213</v>
      </c>
      <c r="F30654" s="38" t="s">
        <v>214</v>
      </c>
      <c r="G30654" s="49" t="str">
        <f t="shared" si="1"/>
        <v>25600</v>
      </c>
      <c r="H30654" s="49">
        <f t="shared" si="2"/>
        <v>25097</v>
      </c>
    </row>
    <row r="30655">
      <c r="A30655" s="48" t="s">
        <v>390</v>
      </c>
      <c r="B30655" s="38">
        <v>11242.0</v>
      </c>
      <c r="C30655" s="38" t="s">
        <v>15180</v>
      </c>
      <c r="D30655" s="38" t="str">
        <f>IFERROR(__xludf.DUMMYFUNCTION("REGEXREPLACE(C30655,""-\d+(.*)|--\d+(.*)"","""")"),"MONTCLAR")</f>
        <v>MONTCLAR</v>
      </c>
      <c r="E30655" s="38" t="s">
        <v>278</v>
      </c>
      <c r="F30655" s="38" t="s">
        <v>119</v>
      </c>
      <c r="G30655" s="49" t="str">
        <f t="shared" si="1"/>
        <v>11250</v>
      </c>
      <c r="H30655" s="49">
        <f t="shared" si="2"/>
        <v>11242</v>
      </c>
    </row>
    <row r="30656">
      <c r="A30656" s="48" t="s">
        <v>17834</v>
      </c>
      <c r="B30656" s="38">
        <v>83074.0</v>
      </c>
      <c r="C30656" s="38" t="s">
        <v>35012</v>
      </c>
      <c r="D30656" s="38" t="str">
        <f>IFERROR(__xludf.DUMMYFUNCTION("REGEXREPLACE(C30656,""-\d+(.*)|--\d+(.*)"","""")"),"LA MARTRE")</f>
        <v>LA MARTRE</v>
      </c>
      <c r="E30656" s="38" t="s">
        <v>813</v>
      </c>
      <c r="F30656" s="38" t="s">
        <v>228</v>
      </c>
      <c r="G30656" s="49" t="str">
        <f t="shared" si="1"/>
        <v>83840</v>
      </c>
      <c r="H30656" s="49">
        <f t="shared" si="2"/>
        <v>83074</v>
      </c>
    </row>
    <row r="30657">
      <c r="A30657" s="48" t="s">
        <v>4752</v>
      </c>
      <c r="B30657" s="38">
        <v>33085.0</v>
      </c>
      <c r="C30657" s="38" t="s">
        <v>35013</v>
      </c>
      <c r="D30657" s="38" t="str">
        <f>IFERROR(__xludf.DUMMYFUNCTION("REGEXREPLACE(C30657,""-\d+(.*)|--\d+(.*)"","""")"),"CAMBLANES-ET-MEYNAC")</f>
        <v>CAMBLANES-ET-MEYNAC</v>
      </c>
      <c r="E30657" s="38" t="s">
        <v>462</v>
      </c>
      <c r="F30657" s="38" t="s">
        <v>252</v>
      </c>
      <c r="G30657" s="49" t="str">
        <f t="shared" si="1"/>
        <v>33360</v>
      </c>
      <c r="H30657" s="49">
        <f t="shared" si="2"/>
        <v>33085</v>
      </c>
    </row>
    <row r="30658">
      <c r="A30658" s="48" t="s">
        <v>12935</v>
      </c>
      <c r="B30658" s="38">
        <v>91272.0</v>
      </c>
      <c r="C30658" s="38" t="s">
        <v>35014</v>
      </c>
      <c r="D30658" s="38" t="str">
        <f>IFERROR(__xludf.DUMMYFUNCTION("REGEXREPLACE(C30658,""-\d+(.*)|--\d+(.*)"","""")"),"GIF-SUR-YVETTE")</f>
        <v>GIF-SUR-YVETTE</v>
      </c>
      <c r="E30658" s="38" t="s">
        <v>756</v>
      </c>
      <c r="F30658" s="38" t="s">
        <v>245</v>
      </c>
      <c r="G30658" s="49" t="str">
        <f t="shared" si="1"/>
        <v>91190</v>
      </c>
      <c r="H30658" s="49">
        <f t="shared" si="2"/>
        <v>91272</v>
      </c>
    </row>
    <row r="30659">
      <c r="A30659" s="48" t="s">
        <v>4620</v>
      </c>
      <c r="B30659" s="38">
        <v>12059.0</v>
      </c>
      <c r="C30659" s="38" t="s">
        <v>29059</v>
      </c>
      <c r="D30659" s="38" t="str">
        <f>IFERROR(__xludf.DUMMYFUNCTION("REGEXREPLACE(C30659,""-\d+(.*)|--\d+(.*)"","""")"),"CASTANET")</f>
        <v>CASTANET</v>
      </c>
      <c r="E30659" s="38" t="s">
        <v>465</v>
      </c>
      <c r="F30659" s="38" t="s">
        <v>94</v>
      </c>
      <c r="G30659" s="49" t="str">
        <f t="shared" si="1"/>
        <v>12240</v>
      </c>
      <c r="H30659" s="49">
        <f t="shared" si="2"/>
        <v>12059</v>
      </c>
    </row>
    <row r="30660">
      <c r="A30660" s="48" t="s">
        <v>12358</v>
      </c>
      <c r="B30660" s="38">
        <v>12153.0</v>
      </c>
      <c r="C30660" s="38" t="s">
        <v>35015</v>
      </c>
      <c r="D30660" s="38" t="str">
        <f>IFERROR(__xludf.DUMMYFUNCTION("REGEXREPLACE(C30660,""-\d+(.*)|--\d+(.*)"","""")"),"MONTJAUX")</f>
        <v>MONTJAUX</v>
      </c>
      <c r="E30660" s="38" t="s">
        <v>465</v>
      </c>
      <c r="F30660" s="38" t="s">
        <v>94</v>
      </c>
      <c r="G30660" s="49" t="str">
        <f t="shared" si="1"/>
        <v>12490</v>
      </c>
      <c r="H30660" s="49">
        <f t="shared" si="2"/>
        <v>12153</v>
      </c>
    </row>
    <row r="30661">
      <c r="A30661" s="48" t="s">
        <v>1216</v>
      </c>
      <c r="B30661" s="38">
        <v>21658.0</v>
      </c>
      <c r="C30661" s="38" t="s">
        <v>35016</v>
      </c>
      <c r="D30661" s="38" t="str">
        <f>IFERROR(__xludf.DUMMYFUNCTION("REGEXREPLACE(C30661,""-\d+(.*)|--\d+(.*)"","""")"),"VAUCHIGNON")</f>
        <v>VAUCHIGNON</v>
      </c>
      <c r="E30661" s="38" t="s">
        <v>105</v>
      </c>
      <c r="F30661" s="38" t="s">
        <v>106</v>
      </c>
      <c r="G30661" s="49" t="str">
        <f t="shared" si="1"/>
        <v>21340</v>
      </c>
      <c r="H30661" s="49">
        <f t="shared" si="2"/>
        <v>21658</v>
      </c>
    </row>
    <row r="30662">
      <c r="A30662" s="48" t="s">
        <v>3783</v>
      </c>
      <c r="B30662" s="38">
        <v>62154.0</v>
      </c>
      <c r="C30662" s="38" t="s">
        <v>4759</v>
      </c>
      <c r="D30662" s="38" t="str">
        <f>IFERROR(__xludf.DUMMYFUNCTION("REGEXREPLACE(C30662,""-\d+(.*)|--\d+(.*)"","""")"),"BONNIERES")</f>
        <v>BONNIERES</v>
      </c>
      <c r="E30662" s="38" t="s">
        <v>109</v>
      </c>
      <c r="F30662" s="38" t="s">
        <v>86</v>
      </c>
      <c r="G30662" s="49" t="str">
        <f t="shared" si="1"/>
        <v>62270</v>
      </c>
      <c r="H30662" s="49">
        <f t="shared" si="2"/>
        <v>62154</v>
      </c>
    </row>
    <row r="30663">
      <c r="A30663" s="48" t="s">
        <v>3735</v>
      </c>
      <c r="B30663" s="38">
        <v>28161.0</v>
      </c>
      <c r="C30663" s="38" t="s">
        <v>35017</v>
      </c>
      <c r="D30663" s="38" t="str">
        <f>IFERROR(__xludf.DUMMYFUNCTION("REGEXREPLACE(C30663,""-\d+(.*)|--\d+(.*)"","""")"),"FRAZE")</f>
        <v>FRAZE</v>
      </c>
      <c r="E30663" s="38" t="s">
        <v>300</v>
      </c>
      <c r="F30663" s="38" t="s">
        <v>123</v>
      </c>
      <c r="G30663" s="49" t="str">
        <f t="shared" si="1"/>
        <v>28160</v>
      </c>
      <c r="H30663" s="49">
        <f t="shared" si="2"/>
        <v>28161</v>
      </c>
    </row>
    <row r="30664">
      <c r="A30664" s="48" t="s">
        <v>773</v>
      </c>
      <c r="B30664" s="38">
        <v>27448.0</v>
      </c>
      <c r="C30664" s="38" t="s">
        <v>35018</v>
      </c>
      <c r="D30664" s="38" t="str">
        <f>IFERROR(__xludf.DUMMYFUNCTION("REGEXREPLACE(C30664,""-\d+(.*)|--\d+(.*)"","""")"),"PACY-SUR-EURE")</f>
        <v>PACY-SUR-EURE</v>
      </c>
      <c r="E30664" s="38" t="s">
        <v>241</v>
      </c>
      <c r="F30664" s="38" t="s">
        <v>134</v>
      </c>
      <c r="G30664" s="49" t="str">
        <f t="shared" si="1"/>
        <v>27120</v>
      </c>
      <c r="H30664" s="49">
        <f t="shared" si="2"/>
        <v>27448</v>
      </c>
    </row>
    <row r="30665">
      <c r="A30665" s="48" t="s">
        <v>9795</v>
      </c>
      <c r="B30665" s="38">
        <v>33377.0</v>
      </c>
      <c r="C30665" s="38" t="s">
        <v>35019</v>
      </c>
      <c r="D30665" s="38" t="str">
        <f>IFERROR(__xludf.DUMMYFUNCTION("REGEXREPLACE(C30665,""-\d+(.*)|--\d+(.*)"","""")"),"SAINT-AVIT-DE-SOULEGE")</f>
        <v>SAINT-AVIT-DE-SOULEGE</v>
      </c>
      <c r="E30665" s="38" t="s">
        <v>462</v>
      </c>
      <c r="F30665" s="38" t="s">
        <v>252</v>
      </c>
      <c r="G30665" s="49" t="str">
        <f t="shared" si="1"/>
        <v>33220</v>
      </c>
      <c r="H30665" s="49">
        <f t="shared" si="2"/>
        <v>33377</v>
      </c>
    </row>
    <row r="30666">
      <c r="A30666" s="48" t="s">
        <v>2800</v>
      </c>
      <c r="B30666" s="38">
        <v>77115.0</v>
      </c>
      <c r="C30666" s="38" t="s">
        <v>35020</v>
      </c>
      <c r="D30666" s="38" t="str">
        <f>IFERROR(__xludf.DUMMYFUNCTION("REGEXREPLACE(C30666,""-\d+(.*)|--\d+(.*)"","""")"),"CHEVRY-EN-SEREINE")</f>
        <v>CHEVRY-EN-SEREINE</v>
      </c>
      <c r="E30666" s="38" t="s">
        <v>244</v>
      </c>
      <c r="F30666" s="38" t="s">
        <v>245</v>
      </c>
      <c r="G30666" s="49" t="str">
        <f t="shared" si="1"/>
        <v>77710</v>
      </c>
      <c r="H30666" s="49">
        <f t="shared" si="2"/>
        <v>77115</v>
      </c>
    </row>
    <row r="30667">
      <c r="A30667" s="48" t="s">
        <v>5045</v>
      </c>
      <c r="B30667" s="38">
        <v>24274.0</v>
      </c>
      <c r="C30667" s="38" t="s">
        <v>35021</v>
      </c>
      <c r="D30667" s="38" t="str">
        <f>IFERROR(__xludf.DUMMYFUNCTION("REGEXREPLACE(C30667,""-\d+(.*)|--\d+(.*)"","""")"),"MONBAZILLAC")</f>
        <v>MONBAZILLAC</v>
      </c>
      <c r="E30667" s="38" t="s">
        <v>261</v>
      </c>
      <c r="F30667" s="38" t="s">
        <v>252</v>
      </c>
      <c r="G30667" s="49" t="str">
        <f t="shared" si="1"/>
        <v>24240</v>
      </c>
      <c r="H30667" s="49">
        <f t="shared" si="2"/>
        <v>24274</v>
      </c>
    </row>
    <row r="30668">
      <c r="A30668" s="48" t="s">
        <v>3508</v>
      </c>
      <c r="B30668" s="38">
        <v>51627.0</v>
      </c>
      <c r="C30668" s="38" t="s">
        <v>35022</v>
      </c>
      <c r="D30668" s="38" t="str">
        <f>IFERROR(__xludf.DUMMYFUNCTION("REGEXREPLACE(C30668,""-\d+(.*)|--\d+(.*)"","""")"),"VILLENEUVE-RENNEVILLE-CHEVIGNY")</f>
        <v>VILLENEUVE-RENNEVILLE-CHEVIGNY</v>
      </c>
      <c r="E30668" s="38" t="s">
        <v>129</v>
      </c>
      <c r="F30668" s="38" t="s">
        <v>130</v>
      </c>
      <c r="G30668" s="49" t="str">
        <f t="shared" si="1"/>
        <v>51130</v>
      </c>
      <c r="H30668" s="49">
        <f t="shared" si="2"/>
        <v>51627</v>
      </c>
    </row>
    <row r="30669">
      <c r="A30669" s="48" t="s">
        <v>908</v>
      </c>
      <c r="B30669" s="38">
        <v>41181.0</v>
      </c>
      <c r="C30669" s="38" t="s">
        <v>7002</v>
      </c>
      <c r="D30669" s="38" t="str">
        <f>IFERROR(__xludf.DUMMYFUNCTION("REGEXREPLACE(C30669,""-\d+(.*)|--\d+(.*)"","""")"),"POUILLE")</f>
        <v>POUILLE</v>
      </c>
      <c r="E30669" s="38" t="s">
        <v>188</v>
      </c>
      <c r="F30669" s="38" t="s">
        <v>123</v>
      </c>
      <c r="G30669" s="49" t="str">
        <f t="shared" si="1"/>
        <v>41110</v>
      </c>
      <c r="H30669" s="49">
        <f t="shared" si="2"/>
        <v>41181</v>
      </c>
    </row>
    <row r="30670">
      <c r="A30670" s="48" t="s">
        <v>796</v>
      </c>
      <c r="B30670" s="38">
        <v>89447.0</v>
      </c>
      <c r="C30670" s="38" t="s">
        <v>35023</v>
      </c>
      <c r="D30670" s="38" t="str">
        <f>IFERROR(__xludf.DUMMYFUNCTION("REGEXREPLACE(C30670,""-\d+(.*)|--\d+(.*)"","""")"),"VEZINNES")</f>
        <v>VEZINNES</v>
      </c>
      <c r="E30670" s="38" t="s">
        <v>275</v>
      </c>
      <c r="F30670" s="38" t="s">
        <v>106</v>
      </c>
      <c r="G30670" s="49" t="str">
        <f t="shared" si="1"/>
        <v>89700</v>
      </c>
      <c r="H30670" s="49">
        <f t="shared" si="2"/>
        <v>89447</v>
      </c>
    </row>
    <row r="30671">
      <c r="A30671" s="48" t="s">
        <v>9135</v>
      </c>
      <c r="B30671" s="38">
        <v>1319.0</v>
      </c>
      <c r="C30671" s="38" t="s">
        <v>35024</v>
      </c>
      <c r="D30671" s="38" t="str">
        <f>IFERROR(__xludf.DUMMYFUNCTION("REGEXREPLACE(C30671,""-\d+(.*)|--\d+(.*)"","""")"),"RELEVANT")</f>
        <v>RELEVANT</v>
      </c>
      <c r="E30671" s="38" t="s">
        <v>255</v>
      </c>
      <c r="F30671" s="38" t="s">
        <v>102</v>
      </c>
      <c r="G30671" s="49" t="str">
        <f t="shared" si="1"/>
        <v>01990</v>
      </c>
      <c r="H30671" s="49" t="str">
        <f t="shared" si="2"/>
        <v>01319</v>
      </c>
    </row>
    <row r="30672">
      <c r="A30672" s="48" t="s">
        <v>13048</v>
      </c>
      <c r="B30672" s="38">
        <v>77291.0</v>
      </c>
      <c r="C30672" s="38" t="s">
        <v>35025</v>
      </c>
      <c r="D30672" s="38" t="str">
        <f>IFERROR(__xludf.DUMMYFUNCTION("REGEXREPLACE(C30672,""-\d+(.*)|--\d+(.*)"","""")"),"LE MESNIL-AMELOT")</f>
        <v>LE MESNIL-AMELOT</v>
      </c>
      <c r="E30672" s="38" t="s">
        <v>244</v>
      </c>
      <c r="F30672" s="38" t="s">
        <v>245</v>
      </c>
      <c r="G30672" s="49" t="str">
        <f t="shared" si="1"/>
        <v>77990</v>
      </c>
      <c r="H30672" s="49">
        <f t="shared" si="2"/>
        <v>77291</v>
      </c>
    </row>
    <row r="30673">
      <c r="A30673" s="48" t="s">
        <v>4203</v>
      </c>
      <c r="B30673" s="38">
        <v>77076.0</v>
      </c>
      <c r="C30673" s="38" t="s">
        <v>35026</v>
      </c>
      <c r="D30673" s="38" t="str">
        <f>IFERROR(__xludf.DUMMYFUNCTION("REGEXREPLACE(C30673,""-\d+(.*)|--\d+(.*)"","""")"),"CHALMAISON")</f>
        <v>CHALMAISON</v>
      </c>
      <c r="E30673" s="38" t="s">
        <v>244</v>
      </c>
      <c r="F30673" s="38" t="s">
        <v>245</v>
      </c>
      <c r="G30673" s="49" t="str">
        <f t="shared" si="1"/>
        <v>77650</v>
      </c>
      <c r="H30673" s="49">
        <f t="shared" si="2"/>
        <v>77076</v>
      </c>
    </row>
    <row r="30674">
      <c r="A30674" s="48" t="s">
        <v>35027</v>
      </c>
      <c r="B30674" s="38">
        <v>31263.0</v>
      </c>
      <c r="C30674" s="38" t="s">
        <v>35028</v>
      </c>
      <c r="D30674" s="38" t="str">
        <f>IFERROR(__xludf.DUMMYFUNCTION("REGEXREPLACE(C30674,""-\d+(.*)|--\d+(.*)"","""")"),"LAGARDELLE-SUR-LEZE")</f>
        <v>LAGARDELLE-SUR-LEZE</v>
      </c>
      <c r="E30674" s="38" t="s">
        <v>93</v>
      </c>
      <c r="F30674" s="38" t="s">
        <v>94</v>
      </c>
      <c r="G30674" s="49" t="str">
        <f t="shared" si="1"/>
        <v>31870</v>
      </c>
      <c r="H30674" s="49">
        <f t="shared" si="2"/>
        <v>31263</v>
      </c>
    </row>
    <row r="30675">
      <c r="A30675" s="48" t="s">
        <v>27263</v>
      </c>
      <c r="B30675" s="38">
        <v>58121.0</v>
      </c>
      <c r="C30675" s="38" t="s">
        <v>35029</v>
      </c>
      <c r="D30675" s="38" t="str">
        <f>IFERROR(__xludf.DUMMYFUNCTION("REGEXREPLACE(C30675,""-\d+(.*)|--\d+(.*)"","""")"),"GARCHIZY")</f>
        <v>GARCHIZY</v>
      </c>
      <c r="E30675" s="38" t="s">
        <v>219</v>
      </c>
      <c r="F30675" s="38" t="s">
        <v>106</v>
      </c>
      <c r="G30675" s="49" t="str">
        <f t="shared" si="1"/>
        <v>58600</v>
      </c>
      <c r="H30675" s="49">
        <f t="shared" si="2"/>
        <v>58121</v>
      </c>
    </row>
    <row r="30676">
      <c r="A30676" s="48" t="s">
        <v>35030</v>
      </c>
      <c r="B30676" s="38">
        <v>59491.0</v>
      </c>
      <c r="C30676" s="38" t="s">
        <v>35031</v>
      </c>
      <c r="D30676" s="38" t="str">
        <f>IFERROR(__xludf.DUMMYFUNCTION("REGEXREPLACE(C30676,""-\d+(.*)|--\d+(.*)"","""")"),"RAISMES")</f>
        <v>RAISMES</v>
      </c>
      <c r="E30676" s="38" t="s">
        <v>85</v>
      </c>
      <c r="F30676" s="38" t="s">
        <v>86</v>
      </c>
      <c r="G30676" s="49" t="str">
        <f t="shared" si="1"/>
        <v>59590</v>
      </c>
      <c r="H30676" s="49">
        <f t="shared" si="2"/>
        <v>59491</v>
      </c>
    </row>
    <row r="30677">
      <c r="A30677" s="48" t="s">
        <v>8471</v>
      </c>
      <c r="B30677" s="38">
        <v>12226.0</v>
      </c>
      <c r="C30677" s="38" t="s">
        <v>5910</v>
      </c>
      <c r="D30677" s="38" t="str">
        <f>IFERROR(__xludf.DUMMYFUNCTION("REGEXREPLACE(C30677,""-\d+(.*)|--\d+(.*)"","""")"),"SAINT-HIPPOLYTE")</f>
        <v>SAINT-HIPPOLYTE</v>
      </c>
      <c r="E30677" s="38" t="s">
        <v>465</v>
      </c>
      <c r="F30677" s="38" t="s">
        <v>94</v>
      </c>
      <c r="G30677" s="49" t="str">
        <f t="shared" si="1"/>
        <v>12140</v>
      </c>
      <c r="H30677" s="49">
        <f t="shared" si="2"/>
        <v>12226</v>
      </c>
    </row>
    <row r="30678">
      <c r="A30678" s="48" t="s">
        <v>1796</v>
      </c>
      <c r="B30678" s="38">
        <v>31405.0</v>
      </c>
      <c r="C30678" s="38" t="s">
        <v>35032</v>
      </c>
      <c r="D30678" s="38" t="str">
        <f>IFERROR(__xludf.DUMMYFUNCTION("REGEXREPLACE(C30678,""-\d+(.*)|--\d+(.*)"","""")"),"ORE")</f>
        <v>ORE</v>
      </c>
      <c r="E30678" s="38" t="s">
        <v>93</v>
      </c>
      <c r="F30678" s="38" t="s">
        <v>94</v>
      </c>
      <c r="G30678" s="49" t="str">
        <f t="shared" si="1"/>
        <v>31510</v>
      </c>
      <c r="H30678" s="49">
        <f t="shared" si="2"/>
        <v>31405</v>
      </c>
    </row>
    <row r="30679">
      <c r="A30679" s="48" t="s">
        <v>10651</v>
      </c>
      <c r="B30679" s="38">
        <v>81028.0</v>
      </c>
      <c r="C30679" s="38" t="s">
        <v>35033</v>
      </c>
      <c r="D30679" s="38" t="str">
        <f>IFERROR(__xludf.DUMMYFUNCTION("REGEXREPLACE(C30679,""-\d+(.*)|--\d+(.*)"","""")"),"BERLATS")</f>
        <v>BERLATS</v>
      </c>
      <c r="E30679" s="38" t="s">
        <v>231</v>
      </c>
      <c r="F30679" s="38" t="s">
        <v>94</v>
      </c>
      <c r="G30679" s="49" t="str">
        <f t="shared" si="1"/>
        <v>81260</v>
      </c>
      <c r="H30679" s="49">
        <f t="shared" si="2"/>
        <v>81028</v>
      </c>
    </row>
    <row r="30680">
      <c r="A30680" s="48" t="s">
        <v>1356</v>
      </c>
      <c r="B30680" s="38">
        <v>57342.0</v>
      </c>
      <c r="C30680" s="38" t="s">
        <v>35034</v>
      </c>
      <c r="D30680" s="38" t="str">
        <f>IFERROR(__xludf.DUMMYFUNCTION("REGEXREPLACE(C30680,""-\d+(.*)|--\d+(.*)"","""")"),"IBIGNY")</f>
        <v>IBIGNY</v>
      </c>
      <c r="E30680" s="38" t="s">
        <v>303</v>
      </c>
      <c r="F30680" s="38" t="s">
        <v>195</v>
      </c>
      <c r="G30680" s="49" t="str">
        <f t="shared" si="1"/>
        <v>57830</v>
      </c>
      <c r="H30680" s="49">
        <f t="shared" si="2"/>
        <v>57342</v>
      </c>
    </row>
    <row r="30681">
      <c r="A30681" s="48" t="s">
        <v>2839</v>
      </c>
      <c r="B30681" s="38">
        <v>60018.0</v>
      </c>
      <c r="C30681" s="38" t="s">
        <v>35035</v>
      </c>
      <c r="D30681" s="38" t="str">
        <f>IFERROR(__xludf.DUMMYFUNCTION("REGEXREPLACE(C30681,""-\d+(.*)|--\d+(.*)"","""")"),"ANSERVILLE")</f>
        <v>ANSERVILLE</v>
      </c>
      <c r="E30681" s="38" t="s">
        <v>112</v>
      </c>
      <c r="F30681" s="38" t="s">
        <v>113</v>
      </c>
      <c r="G30681" s="49" t="str">
        <f t="shared" si="1"/>
        <v>60540</v>
      </c>
      <c r="H30681" s="49">
        <f t="shared" si="2"/>
        <v>60018</v>
      </c>
    </row>
    <row r="30682">
      <c r="A30682" s="48" t="s">
        <v>3120</v>
      </c>
      <c r="B30682" s="38">
        <v>10305.0</v>
      </c>
      <c r="C30682" s="38" t="s">
        <v>35036</v>
      </c>
      <c r="D30682" s="38" t="str">
        <f>IFERROR(__xludf.DUMMYFUNCTION("REGEXREPLACE(C30682,""-\d+(.*)|--\d+(.*)"","""")"),"PREMIERFAIT")</f>
        <v>PREMIERFAIT</v>
      </c>
      <c r="E30682" s="38" t="s">
        <v>147</v>
      </c>
      <c r="F30682" s="38" t="s">
        <v>130</v>
      </c>
      <c r="G30682" s="49" t="str">
        <f t="shared" si="1"/>
        <v>10170</v>
      </c>
      <c r="H30682" s="49">
        <f t="shared" si="2"/>
        <v>10305</v>
      </c>
    </row>
    <row r="30683">
      <c r="A30683" s="48" t="s">
        <v>354</v>
      </c>
      <c r="B30683" s="38">
        <v>68136.0</v>
      </c>
      <c r="C30683" s="38" t="s">
        <v>35037</v>
      </c>
      <c r="D30683" s="38" t="str">
        <f>IFERROR(__xludf.DUMMYFUNCTION("REGEXREPLACE(C30683,""-\d+(.*)|--\d+(.*)"","""")"),"HETTENSCHLAG")</f>
        <v>HETTENSCHLAG</v>
      </c>
      <c r="E30683" s="38" t="s">
        <v>150</v>
      </c>
      <c r="F30683" s="38" t="s">
        <v>151</v>
      </c>
      <c r="G30683" s="49" t="str">
        <f t="shared" si="1"/>
        <v>68600</v>
      </c>
      <c r="H30683" s="49">
        <f t="shared" si="2"/>
        <v>68136</v>
      </c>
    </row>
    <row r="30684">
      <c r="A30684" s="48" t="s">
        <v>12108</v>
      </c>
      <c r="B30684" s="38">
        <v>38137.0</v>
      </c>
      <c r="C30684" s="38" t="s">
        <v>16382</v>
      </c>
      <c r="D30684" s="38" t="str">
        <f>IFERROR(__xludf.DUMMYFUNCTION("REGEXREPLACE(C30684,""-\d+(.*)|--\d+(.*)"","""")"),"CRAS")</f>
        <v>CRAS</v>
      </c>
      <c r="E30684" s="38" t="s">
        <v>101</v>
      </c>
      <c r="F30684" s="38" t="s">
        <v>102</v>
      </c>
      <c r="G30684" s="49" t="str">
        <f t="shared" si="1"/>
        <v>38210</v>
      </c>
      <c r="H30684" s="49">
        <f t="shared" si="2"/>
        <v>38137</v>
      </c>
    </row>
    <row r="30685">
      <c r="A30685" s="48" t="s">
        <v>15308</v>
      </c>
      <c r="B30685" s="38">
        <v>69114.0</v>
      </c>
      <c r="C30685" s="38" t="s">
        <v>35038</v>
      </c>
      <c r="D30685" s="38" t="str">
        <f>IFERROR(__xludf.DUMMYFUNCTION("REGEXREPLACE(C30685,""-\d+(.*)|--\d+(.*)"","""")"),"LIERGUES")</f>
        <v>LIERGUES</v>
      </c>
      <c r="E30685" s="38" t="s">
        <v>350</v>
      </c>
      <c r="F30685" s="38" t="s">
        <v>102</v>
      </c>
      <c r="G30685" s="49" t="str">
        <f t="shared" si="1"/>
        <v>69400</v>
      </c>
      <c r="H30685" s="49">
        <f t="shared" si="2"/>
        <v>69114</v>
      </c>
    </row>
    <row r="30686">
      <c r="A30686" s="48" t="s">
        <v>35039</v>
      </c>
      <c r="B30686" s="38">
        <v>63106.0</v>
      </c>
      <c r="C30686" s="38" t="s">
        <v>35040</v>
      </c>
      <c r="D30686" s="38" t="str">
        <f>IFERROR(__xludf.DUMMYFUNCTION("REGEXREPLACE(C30686,""-\d+(.*)|--\d+(.*)"","""")"),"CHAURIAT")</f>
        <v>CHAURIAT</v>
      </c>
      <c r="E30686" s="38" t="s">
        <v>353</v>
      </c>
      <c r="F30686" s="38" t="s">
        <v>161</v>
      </c>
      <c r="G30686" s="49" t="str">
        <f t="shared" si="1"/>
        <v>63117</v>
      </c>
      <c r="H30686" s="49">
        <f t="shared" si="2"/>
        <v>63106</v>
      </c>
    </row>
    <row r="30687">
      <c r="A30687" s="48" t="s">
        <v>3158</v>
      </c>
      <c r="B30687" s="38">
        <v>50101.0</v>
      </c>
      <c r="C30687" s="38" t="s">
        <v>35041</v>
      </c>
      <c r="D30687" s="38" t="str">
        <f>IFERROR(__xludf.DUMMYFUNCTION("REGEXREPLACE(C30687,""-\d+(.*)|--\d+(.*)"","""")"),"CARNEVILLE")</f>
        <v>CARNEVILLE</v>
      </c>
      <c r="E30687" s="38" t="s">
        <v>157</v>
      </c>
      <c r="F30687" s="38" t="s">
        <v>138</v>
      </c>
      <c r="G30687" s="49" t="str">
        <f t="shared" si="1"/>
        <v>50330</v>
      </c>
      <c r="H30687" s="49">
        <f t="shared" si="2"/>
        <v>50101</v>
      </c>
    </row>
    <row r="30688">
      <c r="A30688" s="48" t="s">
        <v>13106</v>
      </c>
      <c r="B30688" s="38">
        <v>88212.0</v>
      </c>
      <c r="C30688" s="38" t="s">
        <v>35042</v>
      </c>
      <c r="D30688" s="38" t="str">
        <f>IFERROR(__xludf.DUMMYFUNCTION("REGEXREPLACE(C30688,""-\d+(.*)|--\d+(.*)"","""")"),"GRAND")</f>
        <v>GRAND</v>
      </c>
      <c r="E30688" s="38" t="s">
        <v>194</v>
      </c>
      <c r="F30688" s="38" t="s">
        <v>195</v>
      </c>
      <c r="G30688" s="49" t="str">
        <f t="shared" si="1"/>
        <v>88350</v>
      </c>
      <c r="H30688" s="49">
        <f t="shared" si="2"/>
        <v>88212</v>
      </c>
    </row>
    <row r="30689">
      <c r="A30689" s="48" t="s">
        <v>10075</v>
      </c>
      <c r="B30689" s="38">
        <v>56186.0</v>
      </c>
      <c r="C30689" s="38" t="s">
        <v>35043</v>
      </c>
      <c r="D30689" s="38" t="str">
        <f>IFERROR(__xludf.DUMMYFUNCTION("REGEXREPLACE(C30689,""-\d+(.*)|--\d+(.*)"","""")"),"QUIBERON")</f>
        <v>QUIBERON</v>
      </c>
      <c r="E30689" s="38" t="s">
        <v>173</v>
      </c>
      <c r="F30689" s="38" t="s">
        <v>90</v>
      </c>
      <c r="G30689" s="49" t="str">
        <f t="shared" si="1"/>
        <v>56170</v>
      </c>
      <c r="H30689" s="49">
        <f t="shared" si="2"/>
        <v>56186</v>
      </c>
    </row>
    <row r="30690">
      <c r="A30690" s="48" t="s">
        <v>1845</v>
      </c>
      <c r="B30690" s="38">
        <v>79102.0</v>
      </c>
      <c r="C30690" s="38" t="s">
        <v>35044</v>
      </c>
      <c r="D30690" s="38" t="str">
        <f>IFERROR(__xludf.DUMMYFUNCTION("REGEXREPLACE(C30690,""-\d+(.*)|--\d+(.*)"","""")"),"COULONGES-THOUARSAIS")</f>
        <v>COULONGES-THOUARSAIS</v>
      </c>
      <c r="E30690" s="38" t="s">
        <v>337</v>
      </c>
      <c r="F30690" s="38" t="s">
        <v>338</v>
      </c>
      <c r="G30690" s="49" t="str">
        <f t="shared" si="1"/>
        <v>79330</v>
      </c>
      <c r="H30690" s="49">
        <f t="shared" si="2"/>
        <v>79102</v>
      </c>
    </row>
    <row r="30691">
      <c r="A30691" s="48" t="s">
        <v>6328</v>
      </c>
      <c r="B30691" s="38">
        <v>30286.0</v>
      </c>
      <c r="C30691" s="38" t="s">
        <v>25887</v>
      </c>
      <c r="D30691" s="38" t="str">
        <f>IFERROR(__xludf.DUMMYFUNCTION("REGEXREPLACE(C30691,""-\d+(.*)|--\d+(.*)"","""")"),"SAINT-MAXIMIN")</f>
        <v>SAINT-MAXIMIN</v>
      </c>
      <c r="E30691" s="38" t="s">
        <v>526</v>
      </c>
      <c r="F30691" s="38" t="s">
        <v>119</v>
      </c>
      <c r="G30691" s="49" t="str">
        <f t="shared" si="1"/>
        <v>30700</v>
      </c>
      <c r="H30691" s="49">
        <f t="shared" si="2"/>
        <v>30286</v>
      </c>
    </row>
    <row r="30692">
      <c r="A30692" s="48" t="s">
        <v>3364</v>
      </c>
      <c r="B30692" s="38">
        <v>62008.0</v>
      </c>
      <c r="C30692" s="38" t="s">
        <v>35045</v>
      </c>
      <c r="D30692" s="38" t="str">
        <f>IFERROR(__xludf.DUMMYFUNCTION("REGEXREPLACE(C30692,""-\d+(.*)|--\d+(.*)"","""")"),"ACQUIN-WESTBECOURT")</f>
        <v>ACQUIN-WESTBECOURT</v>
      </c>
      <c r="E30692" s="38" t="s">
        <v>109</v>
      </c>
      <c r="F30692" s="38" t="s">
        <v>86</v>
      </c>
      <c r="G30692" s="49" t="str">
        <f t="shared" si="1"/>
        <v>62380</v>
      </c>
      <c r="H30692" s="49">
        <f t="shared" si="2"/>
        <v>62008</v>
      </c>
    </row>
    <row r="30693">
      <c r="A30693" s="48" t="s">
        <v>17850</v>
      </c>
      <c r="B30693" s="38">
        <v>59044.0</v>
      </c>
      <c r="C30693" s="38" t="s">
        <v>35046</v>
      </c>
      <c r="D30693" s="38" t="str">
        <f>IFERROR(__xludf.DUMMYFUNCTION("REGEXREPLACE(C30693,""-\d+(.*)|--\d+(.*)"","""")"),"BAISIEUX")</f>
        <v>BAISIEUX</v>
      </c>
      <c r="E30693" s="38" t="s">
        <v>85</v>
      </c>
      <c r="F30693" s="38" t="s">
        <v>86</v>
      </c>
      <c r="G30693" s="49" t="str">
        <f t="shared" si="1"/>
        <v>59780</v>
      </c>
      <c r="H30693" s="49">
        <f t="shared" si="2"/>
        <v>59044</v>
      </c>
    </row>
    <row r="30694">
      <c r="A30694" s="48" t="s">
        <v>5848</v>
      </c>
      <c r="B30694" s="38">
        <v>50114.0</v>
      </c>
      <c r="C30694" s="38" t="s">
        <v>35047</v>
      </c>
      <c r="D30694" s="38" t="str">
        <f>IFERROR(__xludf.DUMMYFUNCTION("REGEXREPLACE(C30694,""-\d+(.*)|--\d+(.*)"","""")"),"LES CHAMBRES")</f>
        <v>LES CHAMBRES</v>
      </c>
      <c r="E30694" s="38" t="s">
        <v>157</v>
      </c>
      <c r="F30694" s="38" t="s">
        <v>138</v>
      </c>
      <c r="G30694" s="49" t="str">
        <f t="shared" si="1"/>
        <v>50320</v>
      </c>
      <c r="H30694" s="49">
        <f t="shared" si="2"/>
        <v>50114</v>
      </c>
    </row>
    <row r="30695">
      <c r="A30695" s="48" t="s">
        <v>18533</v>
      </c>
      <c r="B30695" s="38">
        <v>77054.0</v>
      </c>
      <c r="C30695" s="38" t="s">
        <v>35048</v>
      </c>
      <c r="D30695" s="38" t="str">
        <f>IFERROR(__xludf.DUMMYFUNCTION("REGEXREPLACE(C30695,""-\d+(.*)|--\d+(.*)"","""")"),"LA BROSSE-MONTCEAUX")</f>
        <v>LA BROSSE-MONTCEAUX</v>
      </c>
      <c r="E30695" s="38" t="s">
        <v>244</v>
      </c>
      <c r="F30695" s="38" t="s">
        <v>245</v>
      </c>
      <c r="G30695" s="49" t="str">
        <f t="shared" si="1"/>
        <v>77940</v>
      </c>
      <c r="H30695" s="49">
        <f t="shared" si="2"/>
        <v>77054</v>
      </c>
    </row>
    <row r="30696">
      <c r="A30696" s="48" t="s">
        <v>6557</v>
      </c>
      <c r="B30696" s="38">
        <v>82105.0</v>
      </c>
      <c r="C30696" s="38" t="s">
        <v>35049</v>
      </c>
      <c r="D30696" s="38" t="str">
        <f>IFERROR(__xludf.DUMMYFUNCTION("REGEXREPLACE(C30696,""-\d+(.*)|--\d+(.*)"","""")"),"MAS-GRENIER")</f>
        <v>MAS-GRENIER</v>
      </c>
      <c r="E30696" s="38" t="s">
        <v>570</v>
      </c>
      <c r="F30696" s="38" t="s">
        <v>94</v>
      </c>
      <c r="G30696" s="49" t="str">
        <f t="shared" si="1"/>
        <v>82600</v>
      </c>
      <c r="H30696" s="49">
        <f t="shared" si="2"/>
        <v>82105</v>
      </c>
    </row>
    <row r="30697">
      <c r="A30697" s="48" t="s">
        <v>3329</v>
      </c>
      <c r="B30697" s="38">
        <v>60306.0</v>
      </c>
      <c r="C30697" s="38" t="s">
        <v>1297</v>
      </c>
      <c r="D30697" s="38" t="str">
        <f>IFERROR(__xludf.DUMMYFUNCTION("REGEXREPLACE(C30697,""-\d+(.*)|--\d+(.*)"","""")"),"HECOURT")</f>
        <v>HECOURT</v>
      </c>
      <c r="E30697" s="38" t="s">
        <v>112</v>
      </c>
      <c r="F30697" s="38" t="s">
        <v>113</v>
      </c>
      <c r="G30697" s="49" t="str">
        <f t="shared" si="1"/>
        <v>60380</v>
      </c>
      <c r="H30697" s="49">
        <f t="shared" si="2"/>
        <v>60306</v>
      </c>
    </row>
    <row r="30698">
      <c r="A30698" s="48" t="s">
        <v>474</v>
      </c>
      <c r="B30698" s="38">
        <v>76518.0</v>
      </c>
      <c r="C30698" s="38" t="s">
        <v>35050</v>
      </c>
      <c r="D30698" s="38" t="str">
        <f>IFERROR(__xludf.DUMMYFUNCTION("REGEXREPLACE(C30698,""-\d+(.*)|--\d+(.*)"","""")"),"RAFFETOT")</f>
        <v>RAFFETOT</v>
      </c>
      <c r="E30698" s="38" t="s">
        <v>133</v>
      </c>
      <c r="F30698" s="38" t="s">
        <v>134</v>
      </c>
      <c r="G30698" s="49" t="str">
        <f t="shared" si="1"/>
        <v>76210</v>
      </c>
      <c r="H30698" s="49">
        <f t="shared" si="2"/>
        <v>76518</v>
      </c>
    </row>
    <row r="30699">
      <c r="A30699" s="48" t="s">
        <v>2059</v>
      </c>
      <c r="B30699" s="38">
        <v>37121.0</v>
      </c>
      <c r="C30699" s="38" t="s">
        <v>35051</v>
      </c>
      <c r="D30699" s="38" t="str">
        <f>IFERROR(__xludf.DUMMYFUNCTION("REGEXREPLACE(C30699,""-\d+(.*)|--\d+(.*)"","""")"),"JAULNAY")</f>
        <v>JAULNAY</v>
      </c>
      <c r="E30699" s="38" t="s">
        <v>205</v>
      </c>
      <c r="F30699" s="38" t="s">
        <v>123</v>
      </c>
      <c r="G30699" s="49" t="str">
        <f t="shared" si="1"/>
        <v>37120</v>
      </c>
      <c r="H30699" s="49">
        <f t="shared" si="2"/>
        <v>37121</v>
      </c>
    </row>
    <row r="30700">
      <c r="A30700" s="48" t="s">
        <v>12157</v>
      </c>
      <c r="B30700" s="38">
        <v>80137.0</v>
      </c>
      <c r="C30700" s="38" t="s">
        <v>35052</v>
      </c>
      <c r="D30700" s="38" t="str">
        <f>IFERROR(__xludf.DUMMYFUNCTION("REGEXREPLACE(C30700,""-\d+(.*)|--\d+(.*)"","""")"),"BREILLY")</f>
        <v>BREILLY</v>
      </c>
      <c r="E30700" s="38" t="s">
        <v>224</v>
      </c>
      <c r="F30700" s="38" t="s">
        <v>113</v>
      </c>
      <c r="G30700" s="49" t="str">
        <f t="shared" si="1"/>
        <v>80470</v>
      </c>
      <c r="H30700" s="49">
        <f t="shared" si="2"/>
        <v>80137</v>
      </c>
    </row>
    <row r="30701">
      <c r="A30701" s="48" t="s">
        <v>3943</v>
      </c>
      <c r="B30701" s="38">
        <v>15194.0</v>
      </c>
      <c r="C30701" s="38" t="s">
        <v>35053</v>
      </c>
      <c r="D30701" s="38" t="str">
        <f>IFERROR(__xludf.DUMMYFUNCTION("REGEXREPLACE(C30701,""-\d+(.*)|--\d+(.*)"","""")"),"SAINT-JULIEN-DE-TOURSAC")</f>
        <v>SAINT-JULIEN-DE-TOURSAC</v>
      </c>
      <c r="E30701" s="38" t="s">
        <v>632</v>
      </c>
      <c r="F30701" s="38" t="s">
        <v>161</v>
      </c>
      <c r="G30701" s="49" t="str">
        <f t="shared" si="1"/>
        <v>15600</v>
      </c>
      <c r="H30701" s="49">
        <f t="shared" si="2"/>
        <v>15194</v>
      </c>
    </row>
    <row r="30702">
      <c r="A30702" s="48" t="s">
        <v>2469</v>
      </c>
      <c r="B30702" s="38">
        <v>8212.0</v>
      </c>
      <c r="C30702" s="38" t="s">
        <v>35054</v>
      </c>
      <c r="D30702" s="38" t="str">
        <f>IFERROR(__xludf.DUMMYFUNCTION("REGEXREPLACE(C30702,""-\d+(.*)|--\d+(.*)"","""")"),"HARCY")</f>
        <v>HARCY</v>
      </c>
      <c r="E30702" s="38" t="s">
        <v>327</v>
      </c>
      <c r="F30702" s="38" t="s">
        <v>130</v>
      </c>
      <c r="G30702" s="49" t="str">
        <f t="shared" si="1"/>
        <v>08150</v>
      </c>
      <c r="H30702" s="49" t="str">
        <f t="shared" si="2"/>
        <v>08212</v>
      </c>
    </row>
    <row r="30703">
      <c r="A30703" s="48" t="s">
        <v>1012</v>
      </c>
      <c r="B30703" s="38">
        <v>21678.0</v>
      </c>
      <c r="C30703" s="38" t="s">
        <v>35055</v>
      </c>
      <c r="D30703" s="38" t="str">
        <f>IFERROR(__xludf.DUMMYFUNCTION("REGEXREPLACE(C30703,""-\d+(.*)|--\d+(.*)"","""")"),"VIC-SOUS-THIL")</f>
        <v>VIC-SOUS-THIL</v>
      </c>
      <c r="E30703" s="38" t="s">
        <v>105</v>
      </c>
      <c r="F30703" s="38" t="s">
        <v>106</v>
      </c>
      <c r="G30703" s="49" t="str">
        <f t="shared" si="1"/>
        <v>21390</v>
      </c>
      <c r="H30703" s="49">
        <f t="shared" si="2"/>
        <v>21678</v>
      </c>
    </row>
    <row r="30704">
      <c r="A30704" s="48" t="s">
        <v>2897</v>
      </c>
      <c r="B30704" s="38">
        <v>7197.0</v>
      </c>
      <c r="C30704" s="38" t="s">
        <v>35056</v>
      </c>
      <c r="D30704" s="38" t="str">
        <f>IFERROR(__xludf.DUMMYFUNCTION("REGEXREPLACE(C30704,""-\d+(.*)|--\d+(.*)"","""")"),"ROIFFIEUX")</f>
        <v>ROIFFIEUX</v>
      </c>
      <c r="E30704" s="38" t="s">
        <v>144</v>
      </c>
      <c r="F30704" s="38" t="s">
        <v>102</v>
      </c>
      <c r="G30704" s="49" t="str">
        <f t="shared" si="1"/>
        <v>07100</v>
      </c>
      <c r="H30704" s="49" t="str">
        <f t="shared" si="2"/>
        <v>07197</v>
      </c>
    </row>
    <row r="30705">
      <c r="A30705" s="48" t="s">
        <v>1157</v>
      </c>
      <c r="B30705" s="38">
        <v>16342.0</v>
      </c>
      <c r="C30705" s="38" t="s">
        <v>35057</v>
      </c>
      <c r="D30705" s="38" t="str">
        <f>IFERROR(__xludf.DUMMYFUNCTION("REGEXREPLACE(C30705,""-\d+(.*)|--\d+(.*)"","""")"),"SAINT-PALAIS-DU-NE")</f>
        <v>SAINT-PALAIS-DU-NE</v>
      </c>
      <c r="E30705" s="38" t="s">
        <v>429</v>
      </c>
      <c r="F30705" s="38" t="s">
        <v>338</v>
      </c>
      <c r="G30705" s="49" t="str">
        <f t="shared" si="1"/>
        <v>16300</v>
      </c>
      <c r="H30705" s="49">
        <f t="shared" si="2"/>
        <v>16342</v>
      </c>
    </row>
    <row r="30706">
      <c r="A30706" s="48" t="s">
        <v>382</v>
      </c>
      <c r="B30706" s="38">
        <v>47249.0</v>
      </c>
      <c r="C30706" s="38" t="s">
        <v>13532</v>
      </c>
      <c r="D30706" s="38" t="str">
        <f>IFERROR(__xludf.DUMMYFUNCTION("REGEXREPLACE(C30706,""-\d+(.*)|--\d+(.*)"","""")"),"SAINT-LAURENT")</f>
        <v>SAINT-LAURENT</v>
      </c>
      <c r="E30706" s="38" t="s">
        <v>251</v>
      </c>
      <c r="F30706" s="38" t="s">
        <v>252</v>
      </c>
      <c r="G30706" s="49" t="str">
        <f t="shared" si="1"/>
        <v>47130</v>
      </c>
      <c r="H30706" s="49">
        <f t="shared" si="2"/>
        <v>47249</v>
      </c>
    </row>
    <row r="30707">
      <c r="A30707" s="48" t="s">
        <v>2868</v>
      </c>
      <c r="B30707" s="38">
        <v>80185.0</v>
      </c>
      <c r="C30707" s="38" t="s">
        <v>35058</v>
      </c>
      <c r="D30707" s="38" t="str">
        <f>IFERROR(__xludf.DUMMYFUNCTION("REGEXREPLACE(C30707,""-\d+(.*)|--\d+(.*)"","""")"),"CHAMPIEN")</f>
        <v>CHAMPIEN</v>
      </c>
      <c r="E30707" s="38" t="s">
        <v>224</v>
      </c>
      <c r="F30707" s="38" t="s">
        <v>113</v>
      </c>
      <c r="G30707" s="49" t="str">
        <f t="shared" si="1"/>
        <v>80700</v>
      </c>
      <c r="H30707" s="49">
        <f t="shared" si="2"/>
        <v>80185</v>
      </c>
    </row>
    <row r="30708">
      <c r="A30708" s="48" t="s">
        <v>7263</v>
      </c>
      <c r="B30708" s="38">
        <v>88497.0</v>
      </c>
      <c r="C30708" s="38" t="s">
        <v>35059</v>
      </c>
      <c r="D30708" s="38" t="str">
        <f>IFERROR(__xludf.DUMMYFUNCTION("REGEXREPLACE(C30708,""-\d+(.*)|--\d+(.*)"","""")"),"VAXONCOURT")</f>
        <v>VAXONCOURT</v>
      </c>
      <c r="E30708" s="38" t="s">
        <v>194</v>
      </c>
      <c r="F30708" s="38" t="s">
        <v>195</v>
      </c>
      <c r="G30708" s="49" t="str">
        <f t="shared" si="1"/>
        <v>88330</v>
      </c>
      <c r="H30708" s="49">
        <f t="shared" si="2"/>
        <v>88497</v>
      </c>
    </row>
    <row r="30709">
      <c r="A30709" s="48" t="s">
        <v>425</v>
      </c>
      <c r="B30709" s="38">
        <v>88331.0</v>
      </c>
      <c r="C30709" s="38" t="s">
        <v>35060</v>
      </c>
      <c r="D30709" s="38" t="str">
        <f>IFERROR(__xludf.DUMMYFUNCTION("REGEXREPLACE(C30709,""-\d+(.*)|--\d+(.*)"","""")"),"NONZEVILLE")</f>
        <v>NONZEVILLE</v>
      </c>
      <c r="E30709" s="38" t="s">
        <v>194</v>
      </c>
      <c r="F30709" s="38" t="s">
        <v>195</v>
      </c>
      <c r="G30709" s="49" t="str">
        <f t="shared" si="1"/>
        <v>88600</v>
      </c>
      <c r="H30709" s="49">
        <f t="shared" si="2"/>
        <v>88331</v>
      </c>
    </row>
    <row r="30710">
      <c r="A30710" s="48" t="s">
        <v>5372</v>
      </c>
      <c r="B30710" s="38">
        <v>73266.0</v>
      </c>
      <c r="C30710" s="38" t="s">
        <v>35061</v>
      </c>
      <c r="D30710" s="38" t="str">
        <f>IFERROR(__xludf.DUMMYFUNCTION("REGEXREPLACE(C30710,""-\d+(.*)|--\d+(.*)"","""")"),"SAINT-OYEN")</f>
        <v>SAINT-OYEN</v>
      </c>
      <c r="E30710" s="38" t="s">
        <v>306</v>
      </c>
      <c r="F30710" s="38" t="s">
        <v>102</v>
      </c>
      <c r="G30710" s="49" t="str">
        <f t="shared" si="1"/>
        <v>73260</v>
      </c>
      <c r="H30710" s="49">
        <f t="shared" si="2"/>
        <v>73266</v>
      </c>
    </row>
    <row r="30711">
      <c r="A30711" s="48" t="s">
        <v>148</v>
      </c>
      <c r="B30711" s="38">
        <v>68158.0</v>
      </c>
      <c r="C30711" s="38" t="s">
        <v>35062</v>
      </c>
      <c r="D30711" s="38" t="str">
        <f>IFERROR(__xludf.DUMMYFUNCTION("REGEXREPLACE(C30711,""-\d+(.*)|--\d+(.*)"","""")"),"JETTINGEN")</f>
        <v>JETTINGEN</v>
      </c>
      <c r="E30711" s="38" t="s">
        <v>150</v>
      </c>
      <c r="F30711" s="38" t="s">
        <v>151</v>
      </c>
      <c r="G30711" s="49" t="str">
        <f t="shared" si="1"/>
        <v>68130</v>
      </c>
      <c r="H30711" s="49">
        <f t="shared" si="2"/>
        <v>68158</v>
      </c>
    </row>
    <row r="30712">
      <c r="A30712" s="48" t="s">
        <v>9257</v>
      </c>
      <c r="B30712" s="38">
        <v>11129.0</v>
      </c>
      <c r="C30712" s="38" t="s">
        <v>35063</v>
      </c>
      <c r="D30712" s="38" t="str">
        <f>IFERROR(__xludf.DUMMYFUNCTION("REGEXREPLACE(C30712,""-\d+(.*)|--\d+(.*)"","""")"),"ESPERAZA")</f>
        <v>ESPERAZA</v>
      </c>
      <c r="E30712" s="38" t="s">
        <v>278</v>
      </c>
      <c r="F30712" s="38" t="s">
        <v>119</v>
      </c>
      <c r="G30712" s="49" t="str">
        <f t="shared" si="1"/>
        <v>11260</v>
      </c>
      <c r="H30712" s="49">
        <f t="shared" si="2"/>
        <v>11129</v>
      </c>
    </row>
    <row r="30713">
      <c r="A30713" s="48" t="s">
        <v>1114</v>
      </c>
      <c r="B30713" s="38">
        <v>2719.0</v>
      </c>
      <c r="C30713" s="38" t="s">
        <v>35064</v>
      </c>
      <c r="D30713" s="38" t="str">
        <f>IFERROR(__xludf.DUMMYFUNCTION("REGEXREPLACE(C30713,""-\d+(.*)|--\d+(.*)"","""")"),"SINCENY")</f>
        <v>SINCENY</v>
      </c>
      <c r="E30713" s="38" t="s">
        <v>191</v>
      </c>
      <c r="F30713" s="38" t="s">
        <v>113</v>
      </c>
      <c r="G30713" s="49" t="str">
        <f t="shared" si="1"/>
        <v>02300</v>
      </c>
      <c r="H30713" s="49" t="str">
        <f t="shared" si="2"/>
        <v>02719</v>
      </c>
    </row>
    <row r="30714">
      <c r="A30714" s="48" t="s">
        <v>1481</v>
      </c>
      <c r="B30714" s="38">
        <v>2281.0</v>
      </c>
      <c r="C30714" s="38" t="s">
        <v>35065</v>
      </c>
      <c r="D30714" s="38" t="str">
        <f>IFERROR(__xludf.DUMMYFUNCTION("REGEXREPLACE(C30714,""-\d+(.*)|--\d+(.*)"","""")"),"L'EPINE-AUX-BOIS")</f>
        <v>L'EPINE-AUX-BOIS</v>
      </c>
      <c r="E30714" s="38" t="s">
        <v>191</v>
      </c>
      <c r="F30714" s="38" t="s">
        <v>113</v>
      </c>
      <c r="G30714" s="49" t="str">
        <f t="shared" si="1"/>
        <v>02540</v>
      </c>
      <c r="H30714" s="49" t="str">
        <f t="shared" si="2"/>
        <v>02281</v>
      </c>
    </row>
    <row r="30715">
      <c r="A30715" s="48" t="s">
        <v>236</v>
      </c>
      <c r="B30715" s="38">
        <v>9002.0</v>
      </c>
      <c r="C30715" s="38" t="s">
        <v>5177</v>
      </c>
      <c r="D30715" s="38" t="str">
        <f>IFERROR(__xludf.DUMMYFUNCTION("REGEXREPLACE(C30715,""-\d+(.*)|--\d+(.*)"","""")"),"AIGUES-VIVES")</f>
        <v>AIGUES-VIVES</v>
      </c>
      <c r="E30715" s="38" t="s">
        <v>238</v>
      </c>
      <c r="F30715" s="38" t="s">
        <v>94</v>
      </c>
      <c r="G30715" s="49" t="str">
        <f t="shared" si="1"/>
        <v>09600</v>
      </c>
      <c r="H30715" s="49" t="str">
        <f t="shared" si="2"/>
        <v>09002</v>
      </c>
    </row>
    <row r="30716">
      <c r="A30716" s="48" t="s">
        <v>35066</v>
      </c>
      <c r="B30716" s="38">
        <v>54331.0</v>
      </c>
      <c r="C30716" s="38" t="s">
        <v>35067</v>
      </c>
      <c r="D30716" s="38" t="str">
        <f>IFERROR(__xludf.DUMMYFUNCTION("REGEXREPLACE(C30716,""-\d+(.*)|--\d+(.*)"","""")"),"MAGNIERES")</f>
        <v>MAGNIERES</v>
      </c>
      <c r="E30716" s="38" t="s">
        <v>548</v>
      </c>
      <c r="F30716" s="38" t="s">
        <v>195</v>
      </c>
      <c r="G30716" s="49" t="str">
        <f t="shared" si="1"/>
        <v>54129</v>
      </c>
      <c r="H30716" s="49">
        <f t="shared" si="2"/>
        <v>54331</v>
      </c>
    </row>
    <row r="30717">
      <c r="A30717" s="48" t="s">
        <v>1667</v>
      </c>
      <c r="B30717" s="38">
        <v>38465.0</v>
      </c>
      <c r="C30717" s="38" t="s">
        <v>35068</v>
      </c>
      <c r="D30717" s="38" t="str">
        <f>IFERROR(__xludf.DUMMYFUNCTION("REGEXREPLACE(C30717,""-\d+(.*)|--\d+(.*)"","""")"),"SAINT-VICTOR-DE-MORESTEL")</f>
        <v>SAINT-VICTOR-DE-MORESTEL</v>
      </c>
      <c r="E30717" s="38" t="s">
        <v>101</v>
      </c>
      <c r="F30717" s="38" t="s">
        <v>102</v>
      </c>
      <c r="G30717" s="49" t="str">
        <f t="shared" si="1"/>
        <v>38510</v>
      </c>
      <c r="H30717" s="49">
        <f t="shared" si="2"/>
        <v>38465</v>
      </c>
    </row>
    <row r="30718">
      <c r="A30718" s="48" t="s">
        <v>4308</v>
      </c>
      <c r="B30718" s="38" t="s">
        <v>35069</v>
      </c>
      <c r="C30718" s="38" t="s">
        <v>35070</v>
      </c>
      <c r="D30718" s="38" t="str">
        <f>IFERROR(__xludf.DUMMYFUNCTION("REGEXREPLACE(C30718,""-\d+(.*)|--\d+(.*)"","""")"),"FOCICCHIA")</f>
        <v>FOCICCHIA</v>
      </c>
      <c r="E30718" s="38" t="s">
        <v>743</v>
      </c>
      <c r="F30718" s="38" t="s">
        <v>607</v>
      </c>
      <c r="G30718" s="49" t="str">
        <f t="shared" si="1"/>
        <v>20212</v>
      </c>
      <c r="H30718" s="49" t="str">
        <f t="shared" si="2"/>
        <v>2B116</v>
      </c>
    </row>
    <row r="30719">
      <c r="A30719" s="48" t="s">
        <v>7754</v>
      </c>
      <c r="B30719" s="38">
        <v>23207.0</v>
      </c>
      <c r="C30719" s="38" t="s">
        <v>35071</v>
      </c>
      <c r="D30719" s="38" t="str">
        <f>IFERROR(__xludf.DUMMYFUNCTION("REGEXREPLACE(C30719,""-\d+(.*)|--\d+(.*)"","""")"),"SAINT-LEGER-BRIDEREIX")</f>
        <v>SAINT-LEGER-BRIDEREIX</v>
      </c>
      <c r="E30719" s="38" t="s">
        <v>97</v>
      </c>
      <c r="F30719" s="38" t="s">
        <v>98</v>
      </c>
      <c r="G30719" s="49" t="str">
        <f t="shared" si="1"/>
        <v>23300</v>
      </c>
      <c r="H30719" s="49">
        <f t="shared" si="2"/>
        <v>23207</v>
      </c>
    </row>
    <row r="30720">
      <c r="A30720" s="48" t="s">
        <v>3131</v>
      </c>
      <c r="B30720" s="38">
        <v>50349.0</v>
      </c>
      <c r="C30720" s="38" t="s">
        <v>35072</v>
      </c>
      <c r="D30720" s="38" t="str">
        <f>IFERROR(__xludf.DUMMYFUNCTION("REGEXREPLACE(C30720,""-\d+(.*)|--\d+(.*)"","""")"),"MONTMARTIN-SUR-MER")</f>
        <v>MONTMARTIN-SUR-MER</v>
      </c>
      <c r="E30720" s="38" t="s">
        <v>157</v>
      </c>
      <c r="F30720" s="38" t="s">
        <v>138</v>
      </c>
      <c r="G30720" s="49" t="str">
        <f t="shared" si="1"/>
        <v>50590</v>
      </c>
      <c r="H30720" s="49">
        <f t="shared" si="2"/>
        <v>50349</v>
      </c>
    </row>
    <row r="30721">
      <c r="A30721" s="48" t="s">
        <v>5846</v>
      </c>
      <c r="B30721" s="38">
        <v>60554.0</v>
      </c>
      <c r="C30721" s="38" t="s">
        <v>35073</v>
      </c>
      <c r="D30721" s="38" t="str">
        <f>IFERROR(__xludf.DUMMYFUNCTION("REGEXREPLACE(C30721,""-\d+(.*)|--\d+(.*)"","""")"),"ROUVRES-EN-MULTIEN")</f>
        <v>ROUVRES-EN-MULTIEN</v>
      </c>
      <c r="E30721" s="38" t="s">
        <v>112</v>
      </c>
      <c r="F30721" s="38" t="s">
        <v>113</v>
      </c>
      <c r="G30721" s="49" t="str">
        <f t="shared" si="1"/>
        <v>60620</v>
      </c>
      <c r="H30721" s="49">
        <f t="shared" si="2"/>
        <v>60554</v>
      </c>
    </row>
    <row r="30722">
      <c r="A30722" s="48" t="s">
        <v>15358</v>
      </c>
      <c r="B30722" s="38">
        <v>78302.0</v>
      </c>
      <c r="C30722" s="38" t="s">
        <v>35074</v>
      </c>
      <c r="D30722" s="38" t="str">
        <f>IFERROR(__xludf.DUMMYFUNCTION("REGEXREPLACE(C30722,""-\d+(.*)|--\d+(.*)"","""")"),"LA HAUTEVILLE")</f>
        <v>LA HAUTEVILLE</v>
      </c>
      <c r="E30722" s="38" t="s">
        <v>362</v>
      </c>
      <c r="F30722" s="38" t="s">
        <v>245</v>
      </c>
      <c r="G30722" s="49" t="str">
        <f t="shared" si="1"/>
        <v>78113</v>
      </c>
      <c r="H30722" s="49">
        <f t="shared" si="2"/>
        <v>78302</v>
      </c>
    </row>
    <row r="30723">
      <c r="A30723" s="48" t="s">
        <v>6626</v>
      </c>
      <c r="B30723" s="38">
        <v>58195.0</v>
      </c>
      <c r="C30723" s="38" t="s">
        <v>35075</v>
      </c>
      <c r="D30723" s="38" t="str">
        <f>IFERROR(__xludf.DUMMYFUNCTION("REGEXREPLACE(C30723,""-\d+(.*)|--\d+(.*)"","""")"),"LA NOCLE-MAULAIX")</f>
        <v>LA NOCLE-MAULAIX</v>
      </c>
      <c r="E30723" s="38" t="s">
        <v>219</v>
      </c>
      <c r="F30723" s="38" t="s">
        <v>106</v>
      </c>
      <c r="G30723" s="49" t="str">
        <f t="shared" si="1"/>
        <v>58250</v>
      </c>
      <c r="H30723" s="49">
        <f t="shared" si="2"/>
        <v>58195</v>
      </c>
    </row>
    <row r="30724">
      <c r="A30724" s="48" t="s">
        <v>35076</v>
      </c>
      <c r="B30724" s="38">
        <v>69149.0</v>
      </c>
      <c r="C30724" s="38" t="s">
        <v>35077</v>
      </c>
      <c r="D30724" s="38" t="str">
        <f>IFERROR(__xludf.DUMMYFUNCTION("REGEXREPLACE(C30724,""-\d+(.*)|--\d+(.*)"","""")"),"OULLINS")</f>
        <v>OULLINS</v>
      </c>
      <c r="E30724" s="38" t="s">
        <v>350</v>
      </c>
      <c r="F30724" s="38" t="s">
        <v>102</v>
      </c>
      <c r="G30724" s="49" t="str">
        <f t="shared" si="1"/>
        <v>69600</v>
      </c>
      <c r="H30724" s="49">
        <f t="shared" si="2"/>
        <v>69149</v>
      </c>
    </row>
    <row r="30725">
      <c r="A30725" s="48" t="s">
        <v>35078</v>
      </c>
      <c r="B30725" s="38">
        <v>77373.0</v>
      </c>
      <c r="C30725" s="38" t="s">
        <v>35079</v>
      </c>
      <c r="D30725" s="38" t="str">
        <f>IFERROR(__xludf.DUMMYFUNCTION("REGEXREPLACE(C30725,""-\d+(.*)|--\d+(.*)"","""")"),"PONTAULT-COMBAULT")</f>
        <v>PONTAULT-COMBAULT</v>
      </c>
      <c r="E30725" s="38" t="s">
        <v>244</v>
      </c>
      <c r="F30725" s="38" t="s">
        <v>245</v>
      </c>
      <c r="G30725" s="49" t="str">
        <f t="shared" si="1"/>
        <v>77340</v>
      </c>
      <c r="H30725" s="49">
        <f t="shared" si="2"/>
        <v>77373</v>
      </c>
    </row>
    <row r="30726">
      <c r="A30726" s="48" t="s">
        <v>8906</v>
      </c>
      <c r="B30726" s="38">
        <v>6028.0</v>
      </c>
      <c r="C30726" s="38" t="s">
        <v>35080</v>
      </c>
      <c r="D30726" s="38" t="str">
        <f>IFERROR(__xludf.DUMMYFUNCTION("REGEXREPLACE(C30726,""-\d+(.*)|--\d+(.*)"","""")"),"CAILLE")</f>
        <v>CAILLE</v>
      </c>
      <c r="E30726" s="38" t="s">
        <v>227</v>
      </c>
      <c r="F30726" s="38" t="s">
        <v>228</v>
      </c>
      <c r="G30726" s="49" t="str">
        <f t="shared" si="1"/>
        <v>06750</v>
      </c>
      <c r="H30726" s="49" t="str">
        <f t="shared" si="2"/>
        <v>06028</v>
      </c>
    </row>
    <row r="30727">
      <c r="A30727" s="48" t="s">
        <v>734</v>
      </c>
      <c r="B30727" s="38">
        <v>54103.0</v>
      </c>
      <c r="C30727" s="38" t="s">
        <v>35081</v>
      </c>
      <c r="D30727" s="38" t="str">
        <f>IFERROR(__xludf.DUMMYFUNCTION("REGEXREPLACE(C30727,""-\d+(.*)|--\d+(.*)"","""")"),"BRUVILLE")</f>
        <v>BRUVILLE</v>
      </c>
      <c r="E30727" s="38" t="s">
        <v>548</v>
      </c>
      <c r="F30727" s="38" t="s">
        <v>195</v>
      </c>
      <c r="G30727" s="49" t="str">
        <f t="shared" si="1"/>
        <v>54800</v>
      </c>
      <c r="H30727" s="49">
        <f t="shared" si="2"/>
        <v>54103</v>
      </c>
    </row>
    <row r="30728">
      <c r="A30728" s="48" t="s">
        <v>16765</v>
      </c>
      <c r="B30728" s="38">
        <v>76339.0</v>
      </c>
      <c r="C30728" s="38" t="s">
        <v>35082</v>
      </c>
      <c r="D30728" s="38" t="str">
        <f>IFERROR(__xludf.DUMMYFUNCTION("REGEXREPLACE(C30728,""-\d+(.*)|--\d+(.*)"","""")"),"LE HANOUARD")</f>
        <v>LE HANOUARD</v>
      </c>
      <c r="E30728" s="38" t="s">
        <v>133</v>
      </c>
      <c r="F30728" s="38" t="s">
        <v>134</v>
      </c>
      <c r="G30728" s="49" t="str">
        <f t="shared" si="1"/>
        <v>76450</v>
      </c>
      <c r="H30728" s="49">
        <f t="shared" si="2"/>
        <v>76339</v>
      </c>
    </row>
    <row r="30729">
      <c r="A30729" s="48" t="s">
        <v>2989</v>
      </c>
      <c r="B30729" s="38">
        <v>70575.0</v>
      </c>
      <c r="C30729" s="38" t="s">
        <v>35083</v>
      </c>
      <c r="D30729" s="38" t="str">
        <f>IFERROR(__xludf.DUMMYFUNCTION("REGEXREPLACE(C30729,""-\d+(.*)|--\d+(.*)"","""")"),"VORAY-SUR-L'OGNON")</f>
        <v>VORAY-SUR-L'OGNON</v>
      </c>
      <c r="E30729" s="38" t="s">
        <v>956</v>
      </c>
      <c r="F30729" s="38" t="s">
        <v>214</v>
      </c>
      <c r="G30729" s="49" t="str">
        <f t="shared" si="1"/>
        <v>70190</v>
      </c>
      <c r="H30729" s="49">
        <f t="shared" si="2"/>
        <v>70575</v>
      </c>
    </row>
    <row r="30730">
      <c r="A30730" s="48" t="s">
        <v>6849</v>
      </c>
      <c r="B30730" s="38">
        <v>28403.0</v>
      </c>
      <c r="C30730" s="38" t="s">
        <v>35084</v>
      </c>
      <c r="D30730" s="38" t="str">
        <f>IFERROR(__xludf.DUMMYFUNCTION("REGEXREPLACE(C30730,""-\d+(.*)|--\d+(.*)"","""")"),"VER-LES-CHARTRES")</f>
        <v>VER-LES-CHARTRES</v>
      </c>
      <c r="E30730" s="38" t="s">
        <v>300</v>
      </c>
      <c r="F30730" s="38" t="s">
        <v>123</v>
      </c>
      <c r="G30730" s="49" t="str">
        <f t="shared" si="1"/>
        <v>28630</v>
      </c>
      <c r="H30730" s="49">
        <f t="shared" si="2"/>
        <v>28403</v>
      </c>
    </row>
    <row r="30731">
      <c r="A30731" s="48" t="s">
        <v>1754</v>
      </c>
      <c r="B30731" s="38">
        <v>14638.0</v>
      </c>
      <c r="C30731" s="38" t="s">
        <v>35085</v>
      </c>
      <c r="D30731" s="38" t="str">
        <f>IFERROR(__xludf.DUMMYFUNCTION("REGEXREPLACE(C30731,""-\d+(.*)|--\d+(.*)"","""")"),"SAINT-OUEN-LE-HOUX")</f>
        <v>SAINT-OUEN-LE-HOUX</v>
      </c>
      <c r="E30731" s="38" t="s">
        <v>137</v>
      </c>
      <c r="F30731" s="38" t="s">
        <v>138</v>
      </c>
      <c r="G30731" s="49" t="str">
        <f t="shared" si="1"/>
        <v>14140</v>
      </c>
      <c r="H30731" s="49">
        <f t="shared" si="2"/>
        <v>14638</v>
      </c>
    </row>
    <row r="30732">
      <c r="A30732" s="48" t="s">
        <v>15034</v>
      </c>
      <c r="B30732" s="38">
        <v>22246.0</v>
      </c>
      <c r="C30732" s="38" t="s">
        <v>35086</v>
      </c>
      <c r="D30732" s="38" t="str">
        <f>IFERROR(__xludf.DUMMYFUNCTION("REGEXREPLACE(C30732,""-\d+(.*)|--\d+(.*)"","""")"),"POMMERET")</f>
        <v>POMMERET</v>
      </c>
      <c r="E30732" s="38" t="s">
        <v>89</v>
      </c>
      <c r="F30732" s="38" t="s">
        <v>90</v>
      </c>
      <c r="G30732" s="49" t="str">
        <f t="shared" si="1"/>
        <v>22120</v>
      </c>
      <c r="H30732" s="49">
        <f t="shared" si="2"/>
        <v>22246</v>
      </c>
    </row>
    <row r="30733">
      <c r="A30733" s="48" t="s">
        <v>87</v>
      </c>
      <c r="B30733" s="38">
        <v>22046.0</v>
      </c>
      <c r="C30733" s="38" t="s">
        <v>35087</v>
      </c>
      <c r="D30733" s="38" t="str">
        <f>IFERROR(__xludf.DUMMYFUNCTION("REGEXREPLACE(C30733,""-\d+(.*)|--\d+(.*)"","""")"),"COLLINEE")</f>
        <v>COLLINEE</v>
      </c>
      <c r="E30733" s="38" t="s">
        <v>89</v>
      </c>
      <c r="F30733" s="38" t="s">
        <v>90</v>
      </c>
      <c r="G30733" s="49" t="str">
        <f t="shared" si="1"/>
        <v>22330</v>
      </c>
      <c r="H30733" s="49">
        <f t="shared" si="2"/>
        <v>22046</v>
      </c>
    </row>
    <row r="30734">
      <c r="A30734" s="48" t="s">
        <v>12252</v>
      </c>
      <c r="B30734" s="38">
        <v>56216.0</v>
      </c>
      <c r="C30734" s="38" t="s">
        <v>31688</v>
      </c>
      <c r="D30734" s="38" t="str">
        <f>IFERROR(__xludf.DUMMYFUNCTION("REGEXREPLACE(C30734,""-\d+(.*)|--\d+(.*)"","""")"),"SAINT-GORGON")</f>
        <v>SAINT-GORGON</v>
      </c>
      <c r="E30734" s="38" t="s">
        <v>173</v>
      </c>
      <c r="F30734" s="38" t="s">
        <v>90</v>
      </c>
      <c r="G30734" s="49" t="str">
        <f t="shared" si="1"/>
        <v>56350</v>
      </c>
      <c r="H30734" s="49">
        <f t="shared" si="2"/>
        <v>56216</v>
      </c>
    </row>
    <row r="30735">
      <c r="A30735" s="48" t="s">
        <v>11498</v>
      </c>
      <c r="B30735" s="38">
        <v>26096.0</v>
      </c>
      <c r="C30735" s="38" t="s">
        <v>35088</v>
      </c>
      <c r="D30735" s="38" t="str">
        <f>IFERROR(__xludf.DUMMYFUNCTION("REGEXREPLACE(C30735,""-\d+(.*)|--\d+(.*)"","""")"),"CLERIEUX")</f>
        <v>CLERIEUX</v>
      </c>
      <c r="E30735" s="38" t="s">
        <v>126</v>
      </c>
      <c r="F30735" s="38" t="s">
        <v>102</v>
      </c>
      <c r="G30735" s="49" t="str">
        <f t="shared" si="1"/>
        <v>26260</v>
      </c>
      <c r="H30735" s="49">
        <f t="shared" si="2"/>
        <v>26096</v>
      </c>
    </row>
    <row r="30736">
      <c r="A30736" s="48" t="s">
        <v>1046</v>
      </c>
      <c r="B30736" s="38">
        <v>26011.0</v>
      </c>
      <c r="C30736" s="38" t="s">
        <v>35089</v>
      </c>
      <c r="D30736" s="38" t="str">
        <f>IFERROR(__xludf.DUMMYFUNCTION("REGEXREPLACE(C30736,""-\d+(.*)|--\d+(.*)"","""")"),"AOUSTE-SUR-SYE")</f>
        <v>AOUSTE-SUR-SYE</v>
      </c>
      <c r="E30736" s="38" t="s">
        <v>126</v>
      </c>
      <c r="F30736" s="38" t="s">
        <v>102</v>
      </c>
      <c r="G30736" s="49" t="str">
        <f t="shared" si="1"/>
        <v>26400</v>
      </c>
      <c r="H30736" s="49">
        <f t="shared" si="2"/>
        <v>26011</v>
      </c>
    </row>
    <row r="30737">
      <c r="A30737" s="48" t="s">
        <v>232</v>
      </c>
      <c r="B30737" s="38">
        <v>52092.0</v>
      </c>
      <c r="C30737" s="38" t="s">
        <v>35090</v>
      </c>
      <c r="D30737" s="38" t="str">
        <f>IFERROR(__xludf.DUMMYFUNCTION("REGEXREPLACE(C30737,""-\d+(.*)|--\d+(.*)"","""")"),"CHALANCEY")</f>
        <v>CHALANCEY</v>
      </c>
      <c r="E30737" s="38" t="s">
        <v>234</v>
      </c>
      <c r="F30737" s="38" t="s">
        <v>130</v>
      </c>
      <c r="G30737" s="49" t="str">
        <f t="shared" si="1"/>
        <v>52160</v>
      </c>
      <c r="H30737" s="49">
        <f t="shared" si="2"/>
        <v>52092</v>
      </c>
    </row>
    <row r="30738">
      <c r="A30738" s="48" t="s">
        <v>9772</v>
      </c>
      <c r="B30738" s="38">
        <v>25351.0</v>
      </c>
      <c r="C30738" s="38" t="s">
        <v>35091</v>
      </c>
      <c r="D30738" s="38" t="str">
        <f>IFERROR(__xludf.DUMMYFUNCTION("REGEXREPLACE(C30738,""-\d+(.*)|--\d+(.*)"","""")"),"LE LUHIER")</f>
        <v>LE LUHIER</v>
      </c>
      <c r="E30738" s="38" t="s">
        <v>213</v>
      </c>
      <c r="F30738" s="38" t="s">
        <v>214</v>
      </c>
      <c r="G30738" s="49" t="str">
        <f t="shared" si="1"/>
        <v>25210</v>
      </c>
      <c r="H30738" s="49">
        <f t="shared" si="2"/>
        <v>25351</v>
      </c>
    </row>
    <row r="30739">
      <c r="A30739" s="48" t="s">
        <v>4768</v>
      </c>
      <c r="B30739" s="38">
        <v>6109.0</v>
      </c>
      <c r="C30739" s="38" t="s">
        <v>35092</v>
      </c>
      <c r="D30739" s="38" t="str">
        <f>IFERROR(__xludf.DUMMYFUNCTION("REGEXREPLACE(C30739,""-\d+(.*)|--\d+(.*)"","""")"),"LA ROQUETTE-SUR-VAR")</f>
        <v>LA ROQUETTE-SUR-VAR</v>
      </c>
      <c r="E30739" s="38" t="s">
        <v>227</v>
      </c>
      <c r="F30739" s="38" t="s">
        <v>228</v>
      </c>
      <c r="G30739" s="49" t="str">
        <f t="shared" si="1"/>
        <v>06670</v>
      </c>
      <c r="H30739" s="49" t="str">
        <f t="shared" si="2"/>
        <v>06109</v>
      </c>
    </row>
    <row r="30740">
      <c r="A30740" s="48" t="s">
        <v>4790</v>
      </c>
      <c r="B30740" s="38">
        <v>67299.0</v>
      </c>
      <c r="C30740" s="38" t="s">
        <v>35093</v>
      </c>
      <c r="D30740" s="38" t="str">
        <f>IFERROR(__xludf.DUMMYFUNCTION("REGEXREPLACE(C30740,""-\d+(.*)|--\d+(.*)"","""")"),"MOLLKIRCH")</f>
        <v>MOLLKIRCH</v>
      </c>
      <c r="E30740" s="38" t="s">
        <v>210</v>
      </c>
      <c r="F30740" s="38" t="s">
        <v>151</v>
      </c>
      <c r="G30740" s="49" t="str">
        <f t="shared" si="1"/>
        <v>67190</v>
      </c>
      <c r="H30740" s="49">
        <f t="shared" si="2"/>
        <v>67299</v>
      </c>
    </row>
    <row r="30741">
      <c r="A30741" s="48" t="s">
        <v>8032</v>
      </c>
      <c r="B30741" s="38">
        <v>46273.0</v>
      </c>
      <c r="C30741" s="38" t="s">
        <v>35094</v>
      </c>
      <c r="D30741" s="38" t="str">
        <f>IFERROR(__xludf.DUMMYFUNCTION("REGEXREPLACE(C30741,""-\d+(.*)|--\d+(.*)"","""")"),"SAINT-LAURENT-LES-TOURS")</f>
        <v>SAINT-LAURENT-LES-TOURS</v>
      </c>
      <c r="E30741" s="38" t="s">
        <v>185</v>
      </c>
      <c r="F30741" s="38" t="s">
        <v>94</v>
      </c>
      <c r="G30741" s="49" t="str">
        <f t="shared" si="1"/>
        <v>46400</v>
      </c>
      <c r="H30741" s="49">
        <f t="shared" si="2"/>
        <v>46273</v>
      </c>
    </row>
    <row r="30742">
      <c r="A30742" s="48" t="s">
        <v>9311</v>
      </c>
      <c r="B30742" s="38">
        <v>24198.0</v>
      </c>
      <c r="C30742" s="38" t="s">
        <v>35095</v>
      </c>
      <c r="D30742" s="38" t="str">
        <f>IFERROR(__xludf.DUMMYFUNCTION("REGEXREPLACE(C30742,""-\d+(.*)|--\d+(.*)"","""")"),"LA GONTERIE-BOULOUNEIX")</f>
        <v>LA GONTERIE-BOULOUNEIX</v>
      </c>
      <c r="E30742" s="38" t="s">
        <v>261</v>
      </c>
      <c r="F30742" s="38" t="s">
        <v>252</v>
      </c>
      <c r="G30742" s="49" t="str">
        <f t="shared" si="1"/>
        <v>24310</v>
      </c>
      <c r="H30742" s="49">
        <f t="shared" si="2"/>
        <v>24198</v>
      </c>
    </row>
    <row r="30743">
      <c r="A30743" s="48" t="s">
        <v>564</v>
      </c>
      <c r="B30743" s="38">
        <v>73330.0</v>
      </c>
      <c r="C30743" s="38" t="s">
        <v>35096</v>
      </c>
      <c r="D30743" s="38" t="str">
        <f>IFERROR(__xludf.DUMMYFUNCTION("REGEXREPLACE(C30743,""-\d+(.*)|--\d+(.*)"","""")"),"YENNE")</f>
        <v>YENNE</v>
      </c>
      <c r="E30743" s="38" t="s">
        <v>306</v>
      </c>
      <c r="F30743" s="38" t="s">
        <v>102</v>
      </c>
      <c r="G30743" s="49" t="str">
        <f t="shared" si="1"/>
        <v>73170</v>
      </c>
      <c r="H30743" s="49">
        <f t="shared" si="2"/>
        <v>73330</v>
      </c>
    </row>
    <row r="30744">
      <c r="A30744" s="48" t="s">
        <v>11370</v>
      </c>
      <c r="B30744" s="38">
        <v>26217.0</v>
      </c>
      <c r="C30744" s="38" t="s">
        <v>35097</v>
      </c>
      <c r="D30744" s="38" t="str">
        <f>IFERROR(__xludf.DUMMYFUNCTION("REGEXREPLACE(C30744,""-\d+(.*)|--\d+(.*)"","""")"),"LA MOTTE-FANJAS")</f>
        <v>LA MOTTE-FANJAS</v>
      </c>
      <c r="E30744" s="38" t="s">
        <v>126</v>
      </c>
      <c r="F30744" s="38" t="s">
        <v>102</v>
      </c>
      <c r="G30744" s="49" t="str">
        <f t="shared" si="1"/>
        <v>26190</v>
      </c>
      <c r="H30744" s="49">
        <f t="shared" si="2"/>
        <v>26217</v>
      </c>
    </row>
    <row r="30745">
      <c r="A30745" s="48" t="s">
        <v>8298</v>
      </c>
      <c r="B30745" s="38">
        <v>54294.0</v>
      </c>
      <c r="C30745" s="38" t="s">
        <v>35098</v>
      </c>
      <c r="D30745" s="38" t="str">
        <f>IFERROR(__xludf.DUMMYFUNCTION("REGEXREPLACE(C30745,""-\d+(.*)|--\d+(.*)"","""")"),"LANDREMONT")</f>
        <v>LANDREMONT</v>
      </c>
      <c r="E30745" s="38" t="s">
        <v>548</v>
      </c>
      <c r="F30745" s="38" t="s">
        <v>195</v>
      </c>
      <c r="G30745" s="49" t="str">
        <f t="shared" si="1"/>
        <v>54380</v>
      </c>
      <c r="H30745" s="49">
        <f t="shared" si="2"/>
        <v>54294</v>
      </c>
    </row>
    <row r="30746">
      <c r="A30746" s="48" t="s">
        <v>1588</v>
      </c>
      <c r="B30746" s="38">
        <v>9034.0</v>
      </c>
      <c r="C30746" s="38" t="s">
        <v>35099</v>
      </c>
      <c r="D30746" s="38" t="str">
        <f>IFERROR(__xludf.DUMMYFUNCTION("REGEXREPLACE(C30746,""-\d+(.*)|--\d+(.*)"","""")"),"BALACET")</f>
        <v>BALACET</v>
      </c>
      <c r="E30746" s="38" t="s">
        <v>238</v>
      </c>
      <c r="F30746" s="38" t="s">
        <v>94</v>
      </c>
      <c r="G30746" s="49" t="str">
        <f t="shared" si="1"/>
        <v>09800</v>
      </c>
      <c r="H30746" s="49" t="str">
        <f t="shared" si="2"/>
        <v>09034</v>
      </c>
    </row>
    <row r="30747">
      <c r="A30747" s="48" t="s">
        <v>5432</v>
      </c>
      <c r="B30747" s="38">
        <v>33549.0</v>
      </c>
      <c r="C30747" s="38" t="s">
        <v>35100</v>
      </c>
      <c r="D30747" s="38" t="str">
        <f>IFERROR(__xludf.DUMMYFUNCTION("REGEXREPLACE(C30747,""-\d+(.*)|--\d+(.*)"","""")"),"VILLENAVE-DE-RIONS")</f>
        <v>VILLENAVE-DE-RIONS</v>
      </c>
      <c r="E30747" s="38" t="s">
        <v>462</v>
      </c>
      <c r="F30747" s="38" t="s">
        <v>252</v>
      </c>
      <c r="G30747" s="49" t="str">
        <f t="shared" si="1"/>
        <v>33550</v>
      </c>
      <c r="H30747" s="49">
        <f t="shared" si="2"/>
        <v>33549</v>
      </c>
    </row>
    <row r="30748">
      <c r="A30748" s="48" t="s">
        <v>2817</v>
      </c>
      <c r="B30748" s="38">
        <v>64498.0</v>
      </c>
      <c r="C30748" s="38" t="s">
        <v>17805</v>
      </c>
      <c r="D30748" s="38" t="str">
        <f>IFERROR(__xludf.DUMMYFUNCTION("REGEXREPLACE(C30748,""-\d+(.*)|--\d+(.*)"","""")"),"SAINT-VINCENT")</f>
        <v>SAINT-VINCENT</v>
      </c>
      <c r="E30748" s="38" t="s">
        <v>268</v>
      </c>
      <c r="F30748" s="38" t="s">
        <v>252</v>
      </c>
      <c r="G30748" s="49" t="str">
        <f t="shared" si="1"/>
        <v>64800</v>
      </c>
      <c r="H30748" s="49">
        <f t="shared" si="2"/>
        <v>64498</v>
      </c>
    </row>
    <row r="30749">
      <c r="A30749" s="48" t="s">
        <v>1233</v>
      </c>
      <c r="B30749" s="38">
        <v>60029.0</v>
      </c>
      <c r="C30749" s="38" t="s">
        <v>35101</v>
      </c>
      <c r="D30749" s="38" t="str">
        <f>IFERROR(__xludf.DUMMYFUNCTION("REGEXREPLACE(C30749,""-\d+(.*)|--\d+(.*)"","""")"),"AUNEUIL")</f>
        <v>AUNEUIL</v>
      </c>
      <c r="E30749" s="38" t="s">
        <v>112</v>
      </c>
      <c r="F30749" s="38" t="s">
        <v>113</v>
      </c>
      <c r="G30749" s="49" t="str">
        <f t="shared" si="1"/>
        <v>60390</v>
      </c>
      <c r="H30749" s="49">
        <f t="shared" si="2"/>
        <v>60029</v>
      </c>
    </row>
    <row r="30750">
      <c r="A30750" s="48" t="s">
        <v>4830</v>
      </c>
      <c r="B30750" s="38">
        <v>61035.0</v>
      </c>
      <c r="C30750" s="38" t="s">
        <v>35102</v>
      </c>
      <c r="D30750" s="38" t="str">
        <f>IFERROR(__xludf.DUMMYFUNCTION("REGEXREPLACE(C30750,""-\d+(.*)|--\d+(.*)"","""")"),"BEAUVAIN")</f>
        <v>BEAUVAIN</v>
      </c>
      <c r="E30750" s="38" t="s">
        <v>141</v>
      </c>
      <c r="F30750" s="38" t="s">
        <v>138</v>
      </c>
      <c r="G30750" s="49" t="str">
        <f t="shared" si="1"/>
        <v>61600</v>
      </c>
      <c r="H30750" s="49">
        <f t="shared" si="2"/>
        <v>61035</v>
      </c>
    </row>
    <row r="30751">
      <c r="A30751" s="48" t="s">
        <v>4165</v>
      </c>
      <c r="B30751" s="38">
        <v>46072.0</v>
      </c>
      <c r="C30751" s="38" t="s">
        <v>35103</v>
      </c>
      <c r="D30751" s="38" t="str">
        <f>IFERROR(__xludf.DUMMYFUNCTION("REGEXREPLACE(C30751,""-\d+(.*)|--\d+(.*)"","""")"),"CONCORES")</f>
        <v>CONCORES</v>
      </c>
      <c r="E30751" s="38" t="s">
        <v>185</v>
      </c>
      <c r="F30751" s="38" t="s">
        <v>94</v>
      </c>
      <c r="G30751" s="49" t="str">
        <f t="shared" si="1"/>
        <v>46310</v>
      </c>
      <c r="H30751" s="49">
        <f t="shared" si="2"/>
        <v>46072</v>
      </c>
    </row>
    <row r="30752">
      <c r="A30752" s="48" t="s">
        <v>5383</v>
      </c>
      <c r="B30752" s="38">
        <v>44191.0</v>
      </c>
      <c r="C30752" s="38" t="s">
        <v>29405</v>
      </c>
      <c r="D30752" s="38" t="str">
        <f>IFERROR(__xludf.DUMMYFUNCTION("REGEXREPLACE(C30752,""-\d+(.*)|--\d+(.*)"","""")"),"SAINT-SULPICE-DES-LANDES")</f>
        <v>SAINT-SULPICE-DES-LANDES</v>
      </c>
      <c r="E30752" s="38" t="s">
        <v>759</v>
      </c>
      <c r="F30752" s="38" t="s">
        <v>180</v>
      </c>
      <c r="G30752" s="49" t="str">
        <f t="shared" si="1"/>
        <v>44540</v>
      </c>
      <c r="H30752" s="49">
        <f t="shared" si="2"/>
        <v>44191</v>
      </c>
    </row>
    <row r="30753">
      <c r="A30753" s="48" t="s">
        <v>6038</v>
      </c>
      <c r="B30753" s="38">
        <v>88124.0</v>
      </c>
      <c r="C30753" s="38" t="s">
        <v>35104</v>
      </c>
      <c r="D30753" s="38" t="str">
        <f>IFERROR(__xludf.DUMMYFUNCTION("REGEXREPLACE(C30753,""-\d+(.*)|--\d+(.*)"","""")"),"DARNEY")</f>
        <v>DARNEY</v>
      </c>
      <c r="E30753" s="38" t="s">
        <v>194</v>
      </c>
      <c r="F30753" s="38" t="s">
        <v>195</v>
      </c>
      <c r="G30753" s="49" t="str">
        <f t="shared" si="1"/>
        <v>88260</v>
      </c>
      <c r="H30753" s="49">
        <f t="shared" si="2"/>
        <v>88124</v>
      </c>
    </row>
    <row r="30754">
      <c r="A30754" s="48" t="s">
        <v>10760</v>
      </c>
      <c r="B30754" s="38">
        <v>25497.0</v>
      </c>
      <c r="C30754" s="38" t="s">
        <v>35105</v>
      </c>
      <c r="D30754" s="38" t="str">
        <f>IFERROR(__xludf.DUMMYFUNCTION("REGEXREPLACE(C30754,""-\d+(.*)|--\d+(.*)"","""")"),"ROCHES-LES-BLAMONT")</f>
        <v>ROCHES-LES-BLAMONT</v>
      </c>
      <c r="E30754" s="38" t="s">
        <v>213</v>
      </c>
      <c r="F30754" s="38" t="s">
        <v>214</v>
      </c>
      <c r="G30754" s="49" t="str">
        <f t="shared" si="1"/>
        <v>25310</v>
      </c>
      <c r="H30754" s="49">
        <f t="shared" si="2"/>
        <v>25497</v>
      </c>
    </row>
    <row r="30755">
      <c r="A30755" s="48" t="s">
        <v>307</v>
      </c>
      <c r="B30755" s="38">
        <v>88259.0</v>
      </c>
      <c r="C30755" s="38" t="s">
        <v>35106</v>
      </c>
      <c r="D30755" s="38" t="str">
        <f>IFERROR(__xludf.DUMMYFUNCTION("REGEXREPLACE(C30755,""-\d+(.*)|--\d+(.*)"","""")"),"LANDAVILLE")</f>
        <v>LANDAVILLE</v>
      </c>
      <c r="E30755" s="38" t="s">
        <v>194</v>
      </c>
      <c r="F30755" s="38" t="s">
        <v>195</v>
      </c>
      <c r="G30755" s="49" t="str">
        <f t="shared" si="1"/>
        <v>88300</v>
      </c>
      <c r="H30755" s="49">
        <f t="shared" si="2"/>
        <v>88259</v>
      </c>
    </row>
    <row r="30756">
      <c r="A30756" s="48" t="s">
        <v>1870</v>
      </c>
      <c r="B30756" s="38">
        <v>37158.0</v>
      </c>
      <c r="C30756" s="38" t="s">
        <v>35107</v>
      </c>
      <c r="D30756" s="38" t="str">
        <f>IFERROR(__xludf.DUMMYFUNCTION("REGEXREPLACE(C30756,""-\d+(.*)|--\d+(.*)"","""")"),"MONTREUIL-EN-TOURAINE")</f>
        <v>MONTREUIL-EN-TOURAINE</v>
      </c>
      <c r="E30756" s="38" t="s">
        <v>205</v>
      </c>
      <c r="F30756" s="38" t="s">
        <v>123</v>
      </c>
      <c r="G30756" s="49" t="str">
        <f t="shared" si="1"/>
        <v>37530</v>
      </c>
      <c r="H30756" s="49">
        <f t="shared" si="2"/>
        <v>37158</v>
      </c>
    </row>
    <row r="30757">
      <c r="A30757" s="48" t="s">
        <v>2266</v>
      </c>
      <c r="B30757" s="38">
        <v>55172.0</v>
      </c>
      <c r="C30757" s="38" t="s">
        <v>35108</v>
      </c>
      <c r="D30757" s="38" t="str">
        <f>IFERROR(__xludf.DUMMYFUNCTION("REGEXREPLACE(C30757,""-\d+(.*)|--\d+(.*)"","""")"),"LES EPARGES")</f>
        <v>LES EPARGES</v>
      </c>
      <c r="E30757" s="38" t="s">
        <v>322</v>
      </c>
      <c r="F30757" s="38" t="s">
        <v>195</v>
      </c>
      <c r="G30757" s="49" t="str">
        <f t="shared" si="1"/>
        <v>55160</v>
      </c>
      <c r="H30757" s="49">
        <f t="shared" si="2"/>
        <v>55172</v>
      </c>
    </row>
    <row r="30758">
      <c r="A30758" s="48" t="s">
        <v>948</v>
      </c>
      <c r="B30758" s="38">
        <v>68196.0</v>
      </c>
      <c r="C30758" s="38" t="s">
        <v>5437</v>
      </c>
      <c r="D30758" s="38" t="str">
        <f>IFERROR(__xludf.DUMMYFUNCTION("REGEXREPLACE(C30758,""-\d+(.*)|--\d+(.*)"","""")"),"MAGNY")</f>
        <v>MAGNY</v>
      </c>
      <c r="E30758" s="38" t="s">
        <v>150</v>
      </c>
      <c r="F30758" s="38" t="s">
        <v>151</v>
      </c>
      <c r="G30758" s="49" t="str">
        <f t="shared" si="1"/>
        <v>68210</v>
      </c>
      <c r="H30758" s="49">
        <f t="shared" si="2"/>
        <v>68196</v>
      </c>
    </row>
    <row r="30759">
      <c r="A30759" s="48" t="s">
        <v>3244</v>
      </c>
      <c r="B30759" s="38">
        <v>27570.0</v>
      </c>
      <c r="C30759" s="38" t="s">
        <v>35109</v>
      </c>
      <c r="D30759" s="38" t="str">
        <f>IFERROR(__xludf.DUMMYFUNCTION("REGEXREPLACE(C30759,""-\d+(.*)|--\d+(.*)"","""")"),"SAINT-MARTIN-LA-CAMPAGNE")</f>
        <v>SAINT-MARTIN-LA-CAMPAGNE</v>
      </c>
      <c r="E30759" s="38" t="s">
        <v>241</v>
      </c>
      <c r="F30759" s="38" t="s">
        <v>134</v>
      </c>
      <c r="G30759" s="49" t="str">
        <f t="shared" si="1"/>
        <v>27930</v>
      </c>
      <c r="H30759" s="49">
        <f t="shared" si="2"/>
        <v>27570</v>
      </c>
    </row>
    <row r="30760">
      <c r="A30760" s="48" t="s">
        <v>3723</v>
      </c>
      <c r="B30760" s="38">
        <v>54126.0</v>
      </c>
      <c r="C30760" s="38" t="s">
        <v>35110</v>
      </c>
      <c r="D30760" s="38" t="str">
        <f>IFERROR(__xludf.DUMMYFUNCTION("REGEXREPLACE(C30760,""-\d+(.*)|--\d+(.*)"","""")"),"CHENICOURT")</f>
        <v>CHENICOURT</v>
      </c>
      <c r="E30760" s="38" t="s">
        <v>548</v>
      </c>
      <c r="F30760" s="38" t="s">
        <v>195</v>
      </c>
      <c r="G30760" s="49" t="str">
        <f t="shared" si="1"/>
        <v>54610</v>
      </c>
      <c r="H30760" s="49">
        <f t="shared" si="2"/>
        <v>54126</v>
      </c>
    </row>
    <row r="30761">
      <c r="A30761" s="48" t="s">
        <v>10849</v>
      </c>
      <c r="B30761" s="38">
        <v>64041.0</v>
      </c>
      <c r="C30761" s="38" t="s">
        <v>35111</v>
      </c>
      <c r="D30761" s="38" t="str">
        <f>IFERROR(__xludf.DUMMYFUNCTION("REGEXREPLACE(C30761,""-\d+(.*)|--\d+(.*)"","""")"),"ARESSY")</f>
        <v>ARESSY</v>
      </c>
      <c r="E30761" s="38" t="s">
        <v>268</v>
      </c>
      <c r="F30761" s="38" t="s">
        <v>252</v>
      </c>
      <c r="G30761" s="49" t="str">
        <f t="shared" si="1"/>
        <v>64320</v>
      </c>
      <c r="H30761" s="49">
        <f t="shared" si="2"/>
        <v>64041</v>
      </c>
    </row>
    <row r="30762">
      <c r="A30762" s="48" t="s">
        <v>2491</v>
      </c>
      <c r="B30762" s="38">
        <v>46315.0</v>
      </c>
      <c r="C30762" s="38" t="s">
        <v>35112</v>
      </c>
      <c r="D30762" s="38" t="str">
        <f>IFERROR(__xludf.DUMMYFUNCTION("REGEXREPLACE(C30762,""-\d+(.*)|--\d+(.*)"","""")"),"TEYSSIEU")</f>
        <v>TEYSSIEU</v>
      </c>
      <c r="E30762" s="38" t="s">
        <v>185</v>
      </c>
      <c r="F30762" s="38" t="s">
        <v>94</v>
      </c>
      <c r="G30762" s="49" t="str">
        <f t="shared" si="1"/>
        <v>46190</v>
      </c>
      <c r="H30762" s="49">
        <f t="shared" si="2"/>
        <v>46315</v>
      </c>
    </row>
    <row r="30763">
      <c r="A30763" s="48" t="s">
        <v>5207</v>
      </c>
      <c r="B30763" s="38">
        <v>85090.0</v>
      </c>
      <c r="C30763" s="38" t="s">
        <v>35113</v>
      </c>
      <c r="D30763" s="38" t="str">
        <f>IFERROR(__xludf.DUMMYFUNCTION("REGEXREPLACE(C30763,""-\d+(.*)|--\d+(.*)"","""")"),"LA FLOCELLIERE")</f>
        <v>LA FLOCELLIERE</v>
      </c>
      <c r="E30763" s="38" t="s">
        <v>179</v>
      </c>
      <c r="F30763" s="38" t="s">
        <v>180</v>
      </c>
      <c r="G30763" s="49" t="str">
        <f t="shared" si="1"/>
        <v>85700</v>
      </c>
      <c r="H30763" s="49">
        <f t="shared" si="2"/>
        <v>85090</v>
      </c>
    </row>
    <row r="30764">
      <c r="A30764" s="48" t="s">
        <v>2019</v>
      </c>
      <c r="B30764" s="38">
        <v>90028.0</v>
      </c>
      <c r="C30764" s="38" t="s">
        <v>35114</v>
      </c>
      <c r="D30764" s="38" t="str">
        <f>IFERROR(__xludf.DUMMYFUNCTION("REGEXREPLACE(C30764,""-\d+(.*)|--\d+(.*)"","""")"),"COURTELEVANT")</f>
        <v>COURTELEVANT</v>
      </c>
      <c r="E30764" s="38" t="s">
        <v>1283</v>
      </c>
      <c r="F30764" s="38" t="s">
        <v>214</v>
      </c>
      <c r="G30764" s="49" t="str">
        <f t="shared" si="1"/>
        <v>90100</v>
      </c>
      <c r="H30764" s="49">
        <f t="shared" si="2"/>
        <v>90028</v>
      </c>
    </row>
    <row r="30765">
      <c r="A30765" s="48" t="s">
        <v>14563</v>
      </c>
      <c r="B30765" s="38">
        <v>29169.0</v>
      </c>
      <c r="C30765" s="38" t="s">
        <v>35115</v>
      </c>
      <c r="D30765" s="38" t="str">
        <f>IFERROR(__xludf.DUMMYFUNCTION("REGEXREPLACE(C30765,""-\d+(.*)|--\d+(.*)"","""")"),"PLOGONNEC")</f>
        <v>PLOGONNEC</v>
      </c>
      <c r="E30765" s="38" t="s">
        <v>176</v>
      </c>
      <c r="F30765" s="38" t="s">
        <v>90</v>
      </c>
      <c r="G30765" s="49" t="str">
        <f t="shared" si="1"/>
        <v>29180</v>
      </c>
      <c r="H30765" s="49">
        <f t="shared" si="2"/>
        <v>29169</v>
      </c>
    </row>
    <row r="30766">
      <c r="A30766" s="48" t="s">
        <v>7203</v>
      </c>
      <c r="B30766" s="38">
        <v>49020.0</v>
      </c>
      <c r="C30766" s="38" t="s">
        <v>35116</v>
      </c>
      <c r="D30766" s="38" t="str">
        <f>IFERROR(__xludf.DUMMYFUNCTION("REGEXREPLACE(C30766,""-\d+(.*)|--\d+(.*)"","""")"),"BEAUCOUZE")</f>
        <v>BEAUCOUZE</v>
      </c>
      <c r="E30766" s="38" t="s">
        <v>653</v>
      </c>
      <c r="F30766" s="38" t="s">
        <v>180</v>
      </c>
      <c r="G30766" s="49" t="str">
        <f t="shared" si="1"/>
        <v>49070</v>
      </c>
      <c r="H30766" s="49">
        <f t="shared" si="2"/>
        <v>49020</v>
      </c>
    </row>
    <row r="30767">
      <c r="A30767" s="48" t="s">
        <v>665</v>
      </c>
      <c r="B30767" s="38">
        <v>76164.0</v>
      </c>
      <c r="C30767" s="38" t="s">
        <v>35117</v>
      </c>
      <c r="D30767" s="38" t="str">
        <f>IFERROR(__xludf.DUMMYFUNCTION("REGEXREPLACE(C30767,""-\d+(.*)|--\d+(.*)"","""")"),"CAUDEBEC-EN-CAUX")</f>
        <v>CAUDEBEC-EN-CAUX</v>
      </c>
      <c r="E30767" s="38" t="s">
        <v>133</v>
      </c>
      <c r="F30767" s="38" t="s">
        <v>134</v>
      </c>
      <c r="G30767" s="49" t="str">
        <f t="shared" si="1"/>
        <v>76490</v>
      </c>
      <c r="H30767" s="49">
        <f t="shared" si="2"/>
        <v>76164</v>
      </c>
    </row>
    <row r="30768">
      <c r="A30768" s="48" t="s">
        <v>3087</v>
      </c>
      <c r="B30768" s="38">
        <v>64419.0</v>
      </c>
      <c r="C30768" s="38" t="s">
        <v>35118</v>
      </c>
      <c r="D30768" s="38" t="str">
        <f>IFERROR(__xludf.DUMMYFUNCTION("REGEXREPLACE(C30768,""-\d+(.*)|--\d+(.*)"","""")"),"NOUSTY")</f>
        <v>NOUSTY</v>
      </c>
      <c r="E30768" s="38" t="s">
        <v>268</v>
      </c>
      <c r="F30768" s="38" t="s">
        <v>252</v>
      </c>
      <c r="G30768" s="49" t="str">
        <f t="shared" si="1"/>
        <v>64420</v>
      </c>
      <c r="H30768" s="49">
        <f t="shared" si="2"/>
        <v>64419</v>
      </c>
    </row>
    <row r="30769">
      <c r="A30769" s="48" t="s">
        <v>6633</v>
      </c>
      <c r="B30769" s="38">
        <v>64295.0</v>
      </c>
      <c r="C30769" s="38" t="s">
        <v>35119</v>
      </c>
      <c r="D30769" s="38" t="str">
        <f>IFERROR(__xludf.DUMMYFUNCTION("REGEXREPLACE(C30769,""-\d+(.*)|--\d+(.*)"","""")"),"LABEYRIE")</f>
        <v>LABEYRIE</v>
      </c>
      <c r="E30769" s="38" t="s">
        <v>268</v>
      </c>
      <c r="F30769" s="38" t="s">
        <v>252</v>
      </c>
      <c r="G30769" s="49" t="str">
        <f t="shared" si="1"/>
        <v>64300</v>
      </c>
      <c r="H30769" s="49">
        <f t="shared" si="2"/>
        <v>64295</v>
      </c>
    </row>
    <row r="30770">
      <c r="A30770" s="48" t="s">
        <v>1180</v>
      </c>
      <c r="B30770" s="38">
        <v>60290.0</v>
      </c>
      <c r="C30770" s="38" t="s">
        <v>35120</v>
      </c>
      <c r="D30770" s="38" t="str">
        <f>IFERROR(__xludf.DUMMYFUNCTION("REGEXREPLACE(C30770,""-\d+(.*)|--\d+(.*)"","""")"),"GUIGNECOURT")</f>
        <v>GUIGNECOURT</v>
      </c>
      <c r="E30770" s="38" t="s">
        <v>112</v>
      </c>
      <c r="F30770" s="38" t="s">
        <v>113</v>
      </c>
      <c r="G30770" s="49" t="str">
        <f t="shared" si="1"/>
        <v>60480</v>
      </c>
      <c r="H30770" s="49">
        <f t="shared" si="2"/>
        <v>60290</v>
      </c>
    </row>
    <row r="30771">
      <c r="A30771" s="48" t="s">
        <v>3819</v>
      </c>
      <c r="B30771" s="38">
        <v>38454.0</v>
      </c>
      <c r="C30771" s="38" t="s">
        <v>4403</v>
      </c>
      <c r="D30771" s="38" t="str">
        <f>IFERROR(__xludf.DUMMYFUNCTION("REGEXREPLACE(C30771,""-\d+(.*)|--\d+(.*)"","""")"),"SAINT-SAUVEUR")</f>
        <v>SAINT-SAUVEUR</v>
      </c>
      <c r="E30771" s="38" t="s">
        <v>101</v>
      </c>
      <c r="F30771" s="38" t="s">
        <v>102</v>
      </c>
      <c r="G30771" s="49" t="str">
        <f t="shared" si="1"/>
        <v>38160</v>
      </c>
      <c r="H30771" s="49">
        <f t="shared" si="2"/>
        <v>38454</v>
      </c>
    </row>
    <row r="30772">
      <c r="A30772" s="48" t="s">
        <v>1733</v>
      </c>
      <c r="B30772" s="38">
        <v>23073.0</v>
      </c>
      <c r="C30772" s="38" t="s">
        <v>35121</v>
      </c>
      <c r="D30772" s="38" t="str">
        <f>IFERROR(__xludf.DUMMYFUNCTION("REGEXREPLACE(C30772,""-\d+(.*)|--\d+(.*)"","""")"),"DONTREIX")</f>
        <v>DONTREIX</v>
      </c>
      <c r="E30772" s="38" t="s">
        <v>97</v>
      </c>
      <c r="F30772" s="38" t="s">
        <v>98</v>
      </c>
      <c r="G30772" s="49" t="str">
        <f t="shared" si="1"/>
        <v>23700</v>
      </c>
      <c r="H30772" s="49">
        <f t="shared" si="2"/>
        <v>23073</v>
      </c>
    </row>
    <row r="30773">
      <c r="A30773" s="48" t="s">
        <v>7107</v>
      </c>
      <c r="B30773" s="38">
        <v>10050.0</v>
      </c>
      <c r="C30773" s="38" t="s">
        <v>35122</v>
      </c>
      <c r="D30773" s="38" t="str">
        <f>IFERROR(__xludf.DUMMYFUNCTION("REGEXREPLACE(C30773,""-\d+(.*)|--\d+(.*)"","""")"),"BOSSANCOURT")</f>
        <v>BOSSANCOURT</v>
      </c>
      <c r="E30773" s="38" t="s">
        <v>147</v>
      </c>
      <c r="F30773" s="38" t="s">
        <v>130</v>
      </c>
      <c r="G30773" s="49" t="str">
        <f t="shared" si="1"/>
        <v>10140</v>
      </c>
      <c r="H30773" s="49">
        <f t="shared" si="2"/>
        <v>10050</v>
      </c>
    </row>
    <row r="30774">
      <c r="A30774" s="48" t="s">
        <v>5043</v>
      </c>
      <c r="B30774" s="38">
        <v>19096.0</v>
      </c>
      <c r="C30774" s="38" t="s">
        <v>35123</v>
      </c>
      <c r="D30774" s="38" t="str">
        <f>IFERROR(__xludf.DUMMYFUNCTION("REGEXREPLACE(C30774,""-\d+(.*)|--\d+(.*)"","""")"),"LADIGNAC-SUR-RONDELLES")</f>
        <v>LADIGNAC-SUR-RONDELLES</v>
      </c>
      <c r="E30774" s="38" t="s">
        <v>271</v>
      </c>
      <c r="F30774" s="38" t="s">
        <v>98</v>
      </c>
      <c r="G30774" s="49" t="str">
        <f t="shared" si="1"/>
        <v>19150</v>
      </c>
      <c r="H30774" s="49">
        <f t="shared" si="2"/>
        <v>19096</v>
      </c>
    </row>
    <row r="30775">
      <c r="A30775" s="48" t="s">
        <v>1872</v>
      </c>
      <c r="B30775" s="38">
        <v>80374.0</v>
      </c>
      <c r="C30775" s="38" t="s">
        <v>35124</v>
      </c>
      <c r="D30775" s="38" t="str">
        <f>IFERROR(__xludf.DUMMYFUNCTION("REGEXREPLACE(C30775,""-\d+(.*)|--\d+(.*)"","""")"),"GAPENNES")</f>
        <v>GAPENNES</v>
      </c>
      <c r="E30775" s="38" t="s">
        <v>224</v>
      </c>
      <c r="F30775" s="38" t="s">
        <v>113</v>
      </c>
      <c r="G30775" s="49" t="str">
        <f t="shared" si="1"/>
        <v>80150</v>
      </c>
      <c r="H30775" s="49">
        <f t="shared" si="2"/>
        <v>80374</v>
      </c>
    </row>
    <row r="30776">
      <c r="A30776" s="48" t="s">
        <v>2579</v>
      </c>
      <c r="B30776" s="38">
        <v>32272.0</v>
      </c>
      <c r="C30776" s="38" t="s">
        <v>35125</v>
      </c>
      <c r="D30776" s="38" t="str">
        <f>IFERROR(__xludf.DUMMYFUNCTION("REGEXREPLACE(C30776,""-\d+(.*)|--\d+(.*)"","""")"),"MONLAUR-BERNET")</f>
        <v>MONLAUR-BERNET</v>
      </c>
      <c r="E30776" s="38" t="s">
        <v>440</v>
      </c>
      <c r="F30776" s="38" t="s">
        <v>94</v>
      </c>
      <c r="G30776" s="49" t="str">
        <f t="shared" si="1"/>
        <v>32140</v>
      </c>
      <c r="H30776" s="49">
        <f t="shared" si="2"/>
        <v>32272</v>
      </c>
    </row>
    <row r="30777">
      <c r="A30777" s="48" t="s">
        <v>2308</v>
      </c>
      <c r="B30777" s="38">
        <v>33263.0</v>
      </c>
      <c r="C30777" s="38" t="s">
        <v>35126</v>
      </c>
      <c r="D30777" s="38" t="str">
        <f>IFERROR(__xludf.DUMMYFUNCTION("REGEXREPLACE(C30777,""-\d+(.*)|--\d+(.*)"","""")"),"MADIRAC")</f>
        <v>MADIRAC</v>
      </c>
      <c r="E30777" s="38" t="s">
        <v>462</v>
      </c>
      <c r="F30777" s="38" t="s">
        <v>252</v>
      </c>
      <c r="G30777" s="49" t="str">
        <f t="shared" si="1"/>
        <v>33670</v>
      </c>
      <c r="H30777" s="49">
        <f t="shared" si="2"/>
        <v>33263</v>
      </c>
    </row>
    <row r="30778">
      <c r="A30778" s="48" t="s">
        <v>5985</v>
      </c>
      <c r="B30778" s="38">
        <v>85304.0</v>
      </c>
      <c r="C30778" s="38" t="s">
        <v>35127</v>
      </c>
      <c r="D30778" s="38" t="str">
        <f>IFERROR(__xludf.DUMMYFUNCTION("REGEXREPLACE(C30778,""-\d+(.*)|--\d+(.*)"","""")"),"VOUILLE-LES-MARAIS")</f>
        <v>VOUILLE-LES-MARAIS</v>
      </c>
      <c r="E30778" s="38" t="s">
        <v>179</v>
      </c>
      <c r="F30778" s="38" t="s">
        <v>180</v>
      </c>
      <c r="G30778" s="49" t="str">
        <f t="shared" si="1"/>
        <v>85450</v>
      </c>
      <c r="H30778" s="49">
        <f t="shared" si="2"/>
        <v>85304</v>
      </c>
    </row>
    <row r="30779">
      <c r="A30779" s="48" t="s">
        <v>1305</v>
      </c>
      <c r="B30779" s="38">
        <v>36088.0</v>
      </c>
      <c r="C30779" s="38" t="s">
        <v>35128</v>
      </c>
      <c r="D30779" s="38" t="str">
        <f>IFERROR(__xludf.DUMMYFUNCTION("REGEXREPLACE(C30779,""-\d+(.*)|--\d+(.*)"","""")"),"ISSOUDUN")</f>
        <v>ISSOUDUN</v>
      </c>
      <c r="E30779" s="38" t="s">
        <v>258</v>
      </c>
      <c r="F30779" s="38" t="s">
        <v>123</v>
      </c>
      <c r="G30779" s="49" t="str">
        <f t="shared" si="1"/>
        <v>36100</v>
      </c>
      <c r="H30779" s="49">
        <f t="shared" si="2"/>
        <v>36088</v>
      </c>
    </row>
    <row r="30780">
      <c r="A30780" s="48" t="s">
        <v>1800</v>
      </c>
      <c r="B30780" s="38">
        <v>88318.0</v>
      </c>
      <c r="C30780" s="38" t="s">
        <v>35129</v>
      </c>
      <c r="D30780" s="38" t="str">
        <f>IFERROR(__xludf.DUMMYFUNCTION("REGEXREPLACE(C30780,""-\d+(.*)|--\d+(.*)"","""")"),"MOYEMONT")</f>
        <v>MOYEMONT</v>
      </c>
      <c r="E30780" s="38" t="s">
        <v>194</v>
      </c>
      <c r="F30780" s="38" t="s">
        <v>195</v>
      </c>
      <c r="G30780" s="49" t="str">
        <f t="shared" si="1"/>
        <v>88700</v>
      </c>
      <c r="H30780" s="49">
        <f t="shared" si="2"/>
        <v>88318</v>
      </c>
    </row>
    <row r="30781">
      <c r="A30781" s="48" t="s">
        <v>5525</v>
      </c>
      <c r="B30781" s="38">
        <v>10199.0</v>
      </c>
      <c r="C30781" s="38" t="s">
        <v>35130</v>
      </c>
      <c r="D30781" s="38" t="str">
        <f>IFERROR(__xludf.DUMMYFUNCTION("REGEXREPLACE(C30781,""-\d+(.*)|--\d+(.*)"","""")"),"LOCHES-SUR-OURCE")</f>
        <v>LOCHES-SUR-OURCE</v>
      </c>
      <c r="E30781" s="38" t="s">
        <v>147</v>
      </c>
      <c r="F30781" s="38" t="s">
        <v>130</v>
      </c>
      <c r="G30781" s="49" t="str">
        <f t="shared" si="1"/>
        <v>10110</v>
      </c>
      <c r="H30781" s="49">
        <f t="shared" si="2"/>
        <v>10199</v>
      </c>
    </row>
    <row r="30782">
      <c r="A30782" s="48" t="s">
        <v>35131</v>
      </c>
      <c r="B30782" s="38">
        <v>57163.0</v>
      </c>
      <c r="C30782" s="38" t="s">
        <v>35132</v>
      </c>
      <c r="D30782" s="38" t="str">
        <f>IFERROR(__xludf.DUMMYFUNCTION("REGEXREPLACE(C30782,""-\d+(.*)|--\d+(.*)"","""")"),"DABO")</f>
        <v>DABO</v>
      </c>
      <c r="E30782" s="38" t="s">
        <v>303</v>
      </c>
      <c r="F30782" s="38" t="s">
        <v>195</v>
      </c>
      <c r="G30782" s="49" t="str">
        <f t="shared" si="1"/>
        <v>57850</v>
      </c>
      <c r="H30782" s="49">
        <f t="shared" si="2"/>
        <v>57163</v>
      </c>
    </row>
    <row r="30783">
      <c r="A30783" s="48" t="s">
        <v>4745</v>
      </c>
      <c r="B30783" s="38">
        <v>1138.0</v>
      </c>
      <c r="C30783" s="38" t="s">
        <v>35133</v>
      </c>
      <c r="D30783" s="38" t="str">
        <f>IFERROR(__xludf.DUMMYFUNCTION("REGEXREPLACE(C30783,""-\d+(.*)|--\d+(.*)"","""")"),"CULOZ")</f>
        <v>CULOZ</v>
      </c>
      <c r="E30783" s="38" t="s">
        <v>255</v>
      </c>
      <c r="F30783" s="38" t="s">
        <v>102</v>
      </c>
      <c r="G30783" s="49" t="str">
        <f t="shared" si="1"/>
        <v>01350</v>
      </c>
      <c r="H30783" s="49" t="str">
        <f t="shared" si="2"/>
        <v>01138</v>
      </c>
    </row>
    <row r="30784">
      <c r="A30784" s="48" t="s">
        <v>9378</v>
      </c>
      <c r="B30784" s="38">
        <v>11180.0</v>
      </c>
      <c r="C30784" s="38" t="s">
        <v>35134</v>
      </c>
      <c r="D30784" s="38" t="str">
        <f>IFERROR(__xludf.DUMMYFUNCTION("REGEXREPLACE(C30784,""-\d+(.*)|--\d+(.*)"","""")"),"LABASTIDE-ESPARBAIRENQUE")</f>
        <v>LABASTIDE-ESPARBAIRENQUE</v>
      </c>
      <c r="E30784" s="38" t="s">
        <v>278</v>
      </c>
      <c r="F30784" s="38" t="s">
        <v>119</v>
      </c>
      <c r="G30784" s="49" t="str">
        <f t="shared" si="1"/>
        <v>11380</v>
      </c>
      <c r="H30784" s="49">
        <f t="shared" si="2"/>
        <v>11180</v>
      </c>
    </row>
    <row r="30785">
      <c r="A30785" s="48" t="s">
        <v>6210</v>
      </c>
      <c r="B30785" s="38">
        <v>54194.0</v>
      </c>
      <c r="C30785" s="38" t="s">
        <v>35135</v>
      </c>
      <c r="D30785" s="38" t="str">
        <f>IFERROR(__xludf.DUMMYFUNCTION("REGEXREPLACE(C30785,""-\d+(.*)|--\d+(.*)"","""")"),"FILLIERES")</f>
        <v>FILLIERES</v>
      </c>
      <c r="E30785" s="38" t="s">
        <v>548</v>
      </c>
      <c r="F30785" s="38" t="s">
        <v>195</v>
      </c>
      <c r="G30785" s="49" t="str">
        <f t="shared" si="1"/>
        <v>54560</v>
      </c>
      <c r="H30785" s="49">
        <f t="shared" si="2"/>
        <v>54194</v>
      </c>
    </row>
    <row r="30786">
      <c r="A30786" s="48" t="s">
        <v>13936</v>
      </c>
      <c r="B30786" s="38">
        <v>85288.0</v>
      </c>
      <c r="C30786" s="38" t="s">
        <v>35136</v>
      </c>
      <c r="D30786" s="38" t="str">
        <f>IFERROR(__xludf.DUMMYFUNCTION("REGEXREPLACE(C30786,""-\d+(.*)|--\d+(.*)"","""")"),"TALMONT-SAINT-HILAIRE")</f>
        <v>TALMONT-SAINT-HILAIRE</v>
      </c>
      <c r="E30786" s="38" t="s">
        <v>179</v>
      </c>
      <c r="F30786" s="38" t="s">
        <v>180</v>
      </c>
      <c r="G30786" s="49" t="str">
        <f t="shared" si="1"/>
        <v>85440</v>
      </c>
      <c r="H30786" s="49">
        <f t="shared" si="2"/>
        <v>85288</v>
      </c>
    </row>
    <row r="30787">
      <c r="A30787" s="48" t="s">
        <v>6690</v>
      </c>
      <c r="B30787" s="38">
        <v>38045.0</v>
      </c>
      <c r="C30787" s="38" t="s">
        <v>35137</v>
      </c>
      <c r="D30787" s="38" t="str">
        <f>IFERROR(__xludf.DUMMYFUNCTION("REGEXREPLACE(C30787,""-\d+(.*)|--\d+(.*)"","""")"),"BIVIERS")</f>
        <v>BIVIERS</v>
      </c>
      <c r="E30787" s="38" t="s">
        <v>101</v>
      </c>
      <c r="F30787" s="38" t="s">
        <v>102</v>
      </c>
      <c r="G30787" s="49" t="str">
        <f t="shared" si="1"/>
        <v>38330</v>
      </c>
      <c r="H30787" s="49">
        <f t="shared" si="2"/>
        <v>38045</v>
      </c>
    </row>
    <row r="30788">
      <c r="A30788" s="48" t="s">
        <v>1381</v>
      </c>
      <c r="B30788" s="38">
        <v>62778.0</v>
      </c>
      <c r="C30788" s="38" t="s">
        <v>35138</v>
      </c>
      <c r="D30788" s="38" t="str">
        <f>IFERROR(__xludf.DUMMYFUNCTION("REGEXREPLACE(C30788,""-\d+(.*)|--\d+(.*)"","""")"),"SARS-LE-BOIS")</f>
        <v>SARS-LE-BOIS</v>
      </c>
      <c r="E30788" s="38" t="s">
        <v>109</v>
      </c>
      <c r="F30788" s="38" t="s">
        <v>86</v>
      </c>
      <c r="G30788" s="49" t="str">
        <f t="shared" si="1"/>
        <v>62810</v>
      </c>
      <c r="H30788" s="49">
        <f t="shared" si="2"/>
        <v>62778</v>
      </c>
    </row>
    <row r="30789">
      <c r="A30789" s="48" t="s">
        <v>7549</v>
      </c>
      <c r="B30789" s="38">
        <v>50577.0</v>
      </c>
      <c r="C30789" s="38" t="s">
        <v>35139</v>
      </c>
      <c r="D30789" s="38" t="str">
        <f>IFERROR(__xludf.DUMMYFUNCTION("REGEXREPLACE(C30789,""-\d+(.*)|--\d+(.*)"","""")"),"SORTOSVILLE-EN-BEAUMONT")</f>
        <v>SORTOSVILLE-EN-BEAUMONT</v>
      </c>
      <c r="E30789" s="38" t="s">
        <v>157</v>
      </c>
      <c r="F30789" s="38" t="s">
        <v>138</v>
      </c>
      <c r="G30789" s="49" t="str">
        <f t="shared" si="1"/>
        <v>50270</v>
      </c>
      <c r="H30789" s="49">
        <f t="shared" si="2"/>
        <v>50577</v>
      </c>
    </row>
    <row r="30790">
      <c r="A30790" s="48" t="s">
        <v>5622</v>
      </c>
      <c r="B30790" s="38">
        <v>45180.0</v>
      </c>
      <c r="C30790" s="38" t="s">
        <v>35140</v>
      </c>
      <c r="D30790" s="38" t="str">
        <f>IFERROR(__xludf.DUMMYFUNCTION("REGEXREPLACE(C30790,""-\d+(.*)|--\d+(.*)"","""")"),"LANGESSE")</f>
        <v>LANGESSE</v>
      </c>
      <c r="E30790" s="38" t="s">
        <v>122</v>
      </c>
      <c r="F30790" s="38" t="s">
        <v>123</v>
      </c>
      <c r="G30790" s="49" t="str">
        <f t="shared" si="1"/>
        <v>45290</v>
      </c>
      <c r="H30790" s="49">
        <f t="shared" si="2"/>
        <v>45180</v>
      </c>
    </row>
    <row r="30791">
      <c r="A30791" s="48" t="s">
        <v>4287</v>
      </c>
      <c r="B30791" s="38">
        <v>62865.0</v>
      </c>
      <c r="C30791" s="38" t="s">
        <v>35141</v>
      </c>
      <c r="D30791" s="38" t="str">
        <f>IFERROR(__xludf.DUMMYFUNCTION("REGEXREPLACE(C30791,""-\d+(.*)|--\d+(.*)"","""")"),"VITRY-EN-ARTOIS")</f>
        <v>VITRY-EN-ARTOIS</v>
      </c>
      <c r="E30791" s="38" t="s">
        <v>109</v>
      </c>
      <c r="F30791" s="38" t="s">
        <v>86</v>
      </c>
      <c r="G30791" s="49" t="str">
        <f t="shared" si="1"/>
        <v>62490</v>
      </c>
      <c r="H30791" s="49">
        <f t="shared" si="2"/>
        <v>62865</v>
      </c>
    </row>
    <row r="30792">
      <c r="A30792" s="48" t="s">
        <v>8752</v>
      </c>
      <c r="B30792" s="38">
        <v>6071.0</v>
      </c>
      <c r="C30792" s="38" t="s">
        <v>35142</v>
      </c>
      <c r="D30792" s="38" t="str">
        <f>IFERROR(__xludf.DUMMYFUNCTION("REGEXREPLACE(C30792,""-\d+(.*)|--\d+(.*)"","""")"),"GUILLAUMES")</f>
        <v>GUILLAUMES</v>
      </c>
      <c r="E30792" s="38" t="s">
        <v>227</v>
      </c>
      <c r="F30792" s="38" t="s">
        <v>228</v>
      </c>
      <c r="G30792" s="49" t="str">
        <f t="shared" si="1"/>
        <v>06470</v>
      </c>
      <c r="H30792" s="49" t="str">
        <f t="shared" si="2"/>
        <v>06071</v>
      </c>
    </row>
    <row r="30793">
      <c r="A30793" s="48" t="s">
        <v>8711</v>
      </c>
      <c r="B30793" s="38">
        <v>33049.0</v>
      </c>
      <c r="C30793" s="38" t="s">
        <v>35143</v>
      </c>
      <c r="D30793" s="38" t="str">
        <f>IFERROR(__xludf.DUMMYFUNCTION("REGEXREPLACE(C30793,""-\d+(.*)|--\d+(.*)"","""")"),"BEYCHAC-ET-CAILLAU")</f>
        <v>BEYCHAC-ET-CAILLAU</v>
      </c>
      <c r="E30793" s="38" t="s">
        <v>462</v>
      </c>
      <c r="F30793" s="38" t="s">
        <v>252</v>
      </c>
      <c r="G30793" s="49" t="str">
        <f t="shared" si="1"/>
        <v>33750</v>
      </c>
      <c r="H30793" s="49">
        <f t="shared" si="2"/>
        <v>33049</v>
      </c>
    </row>
    <row r="30794">
      <c r="A30794" s="48" t="s">
        <v>930</v>
      </c>
      <c r="B30794" s="38">
        <v>32334.0</v>
      </c>
      <c r="C30794" s="38" t="s">
        <v>35144</v>
      </c>
      <c r="D30794" s="38" t="str">
        <f>IFERROR(__xludf.DUMMYFUNCTION("REGEXREPLACE(C30794,""-\d+(.*)|--\d+(.*)"","""")"),"PUJAUDRAN")</f>
        <v>PUJAUDRAN</v>
      </c>
      <c r="E30794" s="38" t="s">
        <v>440</v>
      </c>
      <c r="F30794" s="38" t="s">
        <v>94</v>
      </c>
      <c r="G30794" s="49" t="str">
        <f t="shared" si="1"/>
        <v>32600</v>
      </c>
      <c r="H30794" s="49">
        <f t="shared" si="2"/>
        <v>32334</v>
      </c>
    </row>
    <row r="30795">
      <c r="A30795" s="48" t="s">
        <v>9141</v>
      </c>
      <c r="B30795" s="38">
        <v>1285.0</v>
      </c>
      <c r="C30795" s="38" t="s">
        <v>35145</v>
      </c>
      <c r="D30795" s="38" t="str">
        <f>IFERROR(__xludf.DUMMYFUNCTION("REGEXREPLACE(C30795,""-\d+(.*)|--\d+(.*)"","""")"),"PARCIEUX")</f>
        <v>PARCIEUX</v>
      </c>
      <c r="E30795" s="38" t="s">
        <v>255</v>
      </c>
      <c r="F30795" s="38" t="s">
        <v>102</v>
      </c>
      <c r="G30795" s="49" t="str">
        <f t="shared" si="1"/>
        <v>01600</v>
      </c>
      <c r="H30795" s="49" t="str">
        <f t="shared" si="2"/>
        <v>01285</v>
      </c>
    </row>
    <row r="30796">
      <c r="A30796" s="48" t="s">
        <v>3262</v>
      </c>
      <c r="B30796" s="38">
        <v>3137.0</v>
      </c>
      <c r="C30796" s="38" t="s">
        <v>35146</v>
      </c>
      <c r="D30796" s="38" t="str">
        <f>IFERROR(__xludf.DUMMYFUNCTION("REGEXREPLACE(C30796,""-\d+(.*)|--\d+(.*)"","""")"),"LANGY")</f>
        <v>LANGY</v>
      </c>
      <c r="E30796" s="38" t="s">
        <v>160</v>
      </c>
      <c r="F30796" s="38" t="s">
        <v>161</v>
      </c>
      <c r="G30796" s="49" t="str">
        <f t="shared" si="1"/>
        <v>03150</v>
      </c>
      <c r="H30796" s="49" t="str">
        <f t="shared" si="2"/>
        <v>03137</v>
      </c>
    </row>
    <row r="30797">
      <c r="A30797" s="48" t="s">
        <v>12979</v>
      </c>
      <c r="B30797" s="38">
        <v>19066.0</v>
      </c>
      <c r="C30797" s="38" t="s">
        <v>35147</v>
      </c>
      <c r="D30797" s="38" t="str">
        <f>IFERROR(__xludf.DUMMYFUNCTION("REGEXREPLACE(C30797,""-\d+(.*)|--\d+(.*)"","""")"),"CUBLAC")</f>
        <v>CUBLAC</v>
      </c>
      <c r="E30797" s="38" t="s">
        <v>271</v>
      </c>
      <c r="F30797" s="38" t="s">
        <v>98</v>
      </c>
      <c r="G30797" s="49" t="str">
        <f t="shared" si="1"/>
        <v>19520</v>
      </c>
      <c r="H30797" s="49">
        <f t="shared" si="2"/>
        <v>19066</v>
      </c>
    </row>
    <row r="30798">
      <c r="A30798" s="48" t="s">
        <v>6521</v>
      </c>
      <c r="B30798" s="38">
        <v>34189.0</v>
      </c>
      <c r="C30798" s="38" t="s">
        <v>35148</v>
      </c>
      <c r="D30798" s="38" t="str">
        <f>IFERROR(__xludf.DUMMYFUNCTION("REGEXREPLACE(C30798,""-\d+(.*)|--\d+(.*)"","""")"),"OLONZAC")</f>
        <v>OLONZAC</v>
      </c>
      <c r="E30798" s="38" t="s">
        <v>118</v>
      </c>
      <c r="F30798" s="38" t="s">
        <v>119</v>
      </c>
      <c r="G30798" s="49" t="str">
        <f t="shared" si="1"/>
        <v>34210</v>
      </c>
      <c r="H30798" s="49">
        <f t="shared" si="2"/>
        <v>34189</v>
      </c>
    </row>
    <row r="30799">
      <c r="A30799" s="48" t="s">
        <v>1959</v>
      </c>
      <c r="B30799" s="38">
        <v>82065.0</v>
      </c>
      <c r="C30799" s="38" t="s">
        <v>35149</v>
      </c>
      <c r="D30799" s="38" t="str">
        <f>IFERROR(__xludf.DUMMYFUNCTION("REGEXREPLACE(C30799,""-\d+(.*)|--\d+(.*)"","""")"),"GASQUES")</f>
        <v>GASQUES</v>
      </c>
      <c r="E30799" s="38" t="s">
        <v>570</v>
      </c>
      <c r="F30799" s="38" t="s">
        <v>94</v>
      </c>
      <c r="G30799" s="49" t="str">
        <f t="shared" si="1"/>
        <v>82400</v>
      </c>
      <c r="H30799" s="49">
        <f t="shared" si="2"/>
        <v>82065</v>
      </c>
    </row>
    <row r="30800">
      <c r="A30800" s="48" t="s">
        <v>26950</v>
      </c>
      <c r="B30800" s="38">
        <v>77154.0</v>
      </c>
      <c r="C30800" s="38" t="s">
        <v>35150</v>
      </c>
      <c r="D30800" s="38" t="str">
        <f>IFERROR(__xludf.DUMMYFUNCTION("REGEXREPLACE(C30800,""-\d+(.*)|--\d+(.*)"","""")"),"DAMMARTIN-SUR-TIGEAUX")</f>
        <v>DAMMARTIN-SUR-TIGEAUX</v>
      </c>
      <c r="E30800" s="38" t="s">
        <v>244</v>
      </c>
      <c r="F30800" s="38" t="s">
        <v>245</v>
      </c>
      <c r="G30800" s="49" t="str">
        <f t="shared" si="1"/>
        <v>77163</v>
      </c>
      <c r="H30800" s="49">
        <f t="shared" si="2"/>
        <v>77154</v>
      </c>
    </row>
    <row r="30801">
      <c r="A30801" s="48" t="s">
        <v>8429</v>
      </c>
      <c r="B30801" s="38">
        <v>44050.0</v>
      </c>
      <c r="C30801" s="38" t="s">
        <v>35151</v>
      </c>
      <c r="D30801" s="38" t="str">
        <f>IFERROR(__xludf.DUMMYFUNCTION("REGEXREPLACE(C30801,""-\d+(.*)|--\d+(.*)"","""")"),"CROSSAC")</f>
        <v>CROSSAC</v>
      </c>
      <c r="E30801" s="38" t="s">
        <v>759</v>
      </c>
      <c r="F30801" s="38" t="s">
        <v>180</v>
      </c>
      <c r="G30801" s="49" t="str">
        <f t="shared" si="1"/>
        <v>44160</v>
      </c>
      <c r="H30801" s="49">
        <f t="shared" si="2"/>
        <v>44050</v>
      </c>
    </row>
    <row r="30802">
      <c r="A30802" s="48" t="s">
        <v>4308</v>
      </c>
      <c r="B30802" s="38" t="s">
        <v>35152</v>
      </c>
      <c r="C30802" s="38" t="s">
        <v>35153</v>
      </c>
      <c r="D30802" s="38" t="str">
        <f>IFERROR(__xludf.DUMMYFUNCTION("REGEXREPLACE(C30802,""-\d+(.*)|--\d+(.*)"","""")"),"ERBAJOLO")</f>
        <v>ERBAJOLO</v>
      </c>
      <c r="E30802" s="38" t="s">
        <v>743</v>
      </c>
      <c r="F30802" s="38" t="s">
        <v>607</v>
      </c>
      <c r="G30802" s="49" t="str">
        <f t="shared" si="1"/>
        <v>20212</v>
      </c>
      <c r="H30802" s="49" t="str">
        <f t="shared" si="2"/>
        <v>2B105</v>
      </c>
    </row>
    <row r="30803">
      <c r="A30803" s="48" t="s">
        <v>427</v>
      </c>
      <c r="B30803" s="38">
        <v>16366.0</v>
      </c>
      <c r="C30803" s="38" t="s">
        <v>22861</v>
      </c>
      <c r="D30803" s="38" t="str">
        <f>IFERROR(__xludf.DUMMYFUNCTION("REGEXREPLACE(C30803,""-\d+(.*)|--\d+(.*)"","""")"),"SEGONZAC")</f>
        <v>SEGONZAC</v>
      </c>
      <c r="E30803" s="38" t="s">
        <v>429</v>
      </c>
      <c r="F30803" s="38" t="s">
        <v>338</v>
      </c>
      <c r="G30803" s="49" t="str">
        <f t="shared" si="1"/>
        <v>16130</v>
      </c>
      <c r="H30803" s="49">
        <f t="shared" si="2"/>
        <v>16366</v>
      </c>
    </row>
    <row r="30804">
      <c r="A30804" s="48" t="s">
        <v>7039</v>
      </c>
      <c r="B30804" s="38">
        <v>62007.0</v>
      </c>
      <c r="C30804" s="38" t="s">
        <v>35154</v>
      </c>
      <c r="D30804" s="38" t="str">
        <f>IFERROR(__xludf.DUMMYFUNCTION("REGEXREPLACE(C30804,""-\d+(.*)|--\d+(.*)"","""")"),"ACQ")</f>
        <v>ACQ</v>
      </c>
      <c r="E30804" s="38" t="s">
        <v>109</v>
      </c>
      <c r="F30804" s="38" t="s">
        <v>86</v>
      </c>
      <c r="G30804" s="49" t="str">
        <f t="shared" si="1"/>
        <v>62144</v>
      </c>
      <c r="H30804" s="49">
        <f t="shared" si="2"/>
        <v>62007</v>
      </c>
    </row>
    <row r="30805">
      <c r="A30805" s="48" t="s">
        <v>1898</v>
      </c>
      <c r="B30805" s="38">
        <v>31100.0</v>
      </c>
      <c r="C30805" s="38" t="s">
        <v>34875</v>
      </c>
      <c r="D30805" s="38" t="str">
        <f>IFERROR(__xludf.DUMMYFUNCTION("REGEXREPLACE(C30805,""-\d+(.*)|--\d+(.*)"","""")"),"CALMONT")</f>
        <v>CALMONT</v>
      </c>
      <c r="E30805" s="38" t="s">
        <v>93</v>
      </c>
      <c r="F30805" s="38" t="s">
        <v>94</v>
      </c>
      <c r="G30805" s="49" t="str">
        <f t="shared" si="1"/>
        <v>31560</v>
      </c>
      <c r="H30805" s="49">
        <f t="shared" si="2"/>
        <v>31100</v>
      </c>
    </row>
    <row r="30806">
      <c r="A30806" s="48" t="s">
        <v>18722</v>
      </c>
      <c r="B30806" s="38">
        <v>38184.0</v>
      </c>
      <c r="C30806" s="38" t="s">
        <v>35155</v>
      </c>
      <c r="D30806" s="38" t="str">
        <f>IFERROR(__xludf.DUMMYFUNCTION("REGEXREPLACE(C30806,""-\d+(.*)|--\d+(.*)"","""")"),"GRENAY")</f>
        <v>GRENAY</v>
      </c>
      <c r="E30806" s="38" t="s">
        <v>101</v>
      </c>
      <c r="F30806" s="38" t="s">
        <v>102</v>
      </c>
      <c r="G30806" s="49" t="str">
        <f t="shared" si="1"/>
        <v>38540</v>
      </c>
      <c r="H30806" s="49">
        <f t="shared" si="2"/>
        <v>38184</v>
      </c>
    </row>
    <row r="30807">
      <c r="A30807" s="48" t="s">
        <v>7492</v>
      </c>
      <c r="B30807" s="38">
        <v>15250.0</v>
      </c>
      <c r="C30807" s="38" t="s">
        <v>35156</v>
      </c>
      <c r="D30807" s="38" t="str">
        <f>IFERROR(__xludf.DUMMYFUNCTION("REGEXREPLACE(C30807,""-\d+(.*)|--\d+(.*)"","""")"),"VEBRET")</f>
        <v>VEBRET</v>
      </c>
      <c r="E30807" s="38" t="s">
        <v>632</v>
      </c>
      <c r="F30807" s="38" t="s">
        <v>161</v>
      </c>
      <c r="G30807" s="49" t="str">
        <f t="shared" si="1"/>
        <v>15240</v>
      </c>
      <c r="H30807" s="49">
        <f t="shared" si="2"/>
        <v>15250</v>
      </c>
    </row>
    <row r="30808">
      <c r="A30808" s="48" t="s">
        <v>920</v>
      </c>
      <c r="B30808" s="38">
        <v>31344.0</v>
      </c>
      <c r="C30808" s="38" t="s">
        <v>35157</v>
      </c>
      <c r="D30808" s="38" t="str">
        <f>IFERROR(__xludf.DUMMYFUNCTION("REGEXREPLACE(C30808,""-\d+(.*)|--\d+(.*)"","""")"),"MIRAMONT-DE-COMMINGES")</f>
        <v>MIRAMONT-DE-COMMINGES</v>
      </c>
      <c r="E30808" s="38" t="s">
        <v>93</v>
      </c>
      <c r="F30808" s="38" t="s">
        <v>94</v>
      </c>
      <c r="G30808" s="49" t="str">
        <f t="shared" si="1"/>
        <v>31800</v>
      </c>
      <c r="H30808" s="49">
        <f t="shared" si="2"/>
        <v>31344</v>
      </c>
    </row>
    <row r="30809">
      <c r="A30809" s="48" t="s">
        <v>1501</v>
      </c>
      <c r="B30809" s="38">
        <v>39126.0</v>
      </c>
      <c r="C30809" s="38" t="s">
        <v>35158</v>
      </c>
      <c r="D30809" s="38" t="str">
        <f>IFERROR(__xludf.DUMMYFUNCTION("REGEXREPLACE(C30809,""-\d+(.*)|--\d+(.*)"","""")"),"LA CHAUMUSSE")</f>
        <v>LA CHAUMUSSE</v>
      </c>
      <c r="E30809" s="38" t="s">
        <v>400</v>
      </c>
      <c r="F30809" s="38" t="s">
        <v>214</v>
      </c>
      <c r="G30809" s="49" t="str">
        <f t="shared" si="1"/>
        <v>39150</v>
      </c>
      <c r="H30809" s="49">
        <f t="shared" si="2"/>
        <v>39126</v>
      </c>
    </row>
    <row r="30810">
      <c r="A30810" s="48" t="s">
        <v>3986</v>
      </c>
      <c r="B30810" s="38">
        <v>62198.0</v>
      </c>
      <c r="C30810" s="38" t="s">
        <v>35159</v>
      </c>
      <c r="D30810" s="38" t="str">
        <f>IFERROR(__xludf.DUMMYFUNCTION("REGEXREPLACE(C30810,""-\d+(.*)|--\d+(.*)"","""")"),"CAMBLIGNEUL")</f>
        <v>CAMBLIGNEUL</v>
      </c>
      <c r="E30810" s="38" t="s">
        <v>109</v>
      </c>
      <c r="F30810" s="38" t="s">
        <v>86</v>
      </c>
      <c r="G30810" s="49" t="str">
        <f t="shared" si="1"/>
        <v>62690</v>
      </c>
      <c r="H30810" s="49">
        <f t="shared" si="2"/>
        <v>62198</v>
      </c>
    </row>
    <row r="30811">
      <c r="A30811" s="48" t="s">
        <v>3932</v>
      </c>
      <c r="B30811" s="38">
        <v>61114.0</v>
      </c>
      <c r="C30811" s="38" t="s">
        <v>35160</v>
      </c>
      <c r="D30811" s="38" t="str">
        <f>IFERROR(__xludf.DUMMYFUNCTION("REGEXREPLACE(C30811,""-\d+(.*)|--\d+(.*)"","""")"),"COMMEAUX")</f>
        <v>COMMEAUX</v>
      </c>
      <c r="E30811" s="38" t="s">
        <v>141</v>
      </c>
      <c r="F30811" s="38" t="s">
        <v>138</v>
      </c>
      <c r="G30811" s="49" t="str">
        <f t="shared" si="1"/>
        <v>61200</v>
      </c>
      <c r="H30811" s="49">
        <f t="shared" si="2"/>
        <v>61114</v>
      </c>
    </row>
    <row r="30812">
      <c r="A30812" s="48" t="s">
        <v>1398</v>
      </c>
      <c r="B30812" s="38">
        <v>45022.0</v>
      </c>
      <c r="C30812" s="38" t="s">
        <v>35161</v>
      </c>
      <c r="D30812" s="38" t="str">
        <f>IFERROR(__xludf.DUMMYFUNCTION("REGEXREPLACE(C30812,""-\d+(.*)|--\d+(.*)"","""")"),"BATILLY-EN-GATINAIS")</f>
        <v>BATILLY-EN-GATINAIS</v>
      </c>
      <c r="E30812" s="38" t="s">
        <v>122</v>
      </c>
      <c r="F30812" s="38" t="s">
        <v>123</v>
      </c>
      <c r="G30812" s="49" t="str">
        <f t="shared" si="1"/>
        <v>45340</v>
      </c>
      <c r="H30812" s="49">
        <f t="shared" si="2"/>
        <v>45022</v>
      </c>
    </row>
    <row r="30813">
      <c r="A30813" s="48" t="s">
        <v>4553</v>
      </c>
      <c r="B30813" s="38">
        <v>56039.0</v>
      </c>
      <c r="C30813" s="38" t="s">
        <v>33528</v>
      </c>
      <c r="D30813" s="38" t="str">
        <f>IFERROR(__xludf.DUMMYFUNCTION("REGEXREPLACE(C30813,""-\d+(.*)|--\d+(.*)"","""")"),"LA CHAPELLE-NEUVE")</f>
        <v>LA CHAPELLE-NEUVE</v>
      </c>
      <c r="E30813" s="38" t="s">
        <v>173</v>
      </c>
      <c r="F30813" s="38" t="s">
        <v>90</v>
      </c>
      <c r="G30813" s="49" t="str">
        <f t="shared" si="1"/>
        <v>56500</v>
      </c>
      <c r="H30813" s="49">
        <f t="shared" si="2"/>
        <v>56039</v>
      </c>
    </row>
    <row r="30814">
      <c r="A30814" s="48" t="s">
        <v>20370</v>
      </c>
      <c r="B30814" s="38">
        <v>67253.0</v>
      </c>
      <c r="C30814" s="38" t="s">
        <v>35162</v>
      </c>
      <c r="D30814" s="38" t="str">
        <f>IFERROR(__xludf.DUMMYFUNCTION("REGEXREPLACE(C30814,""-\d+(.*)|--\d+(.*)"","""")"),"KUTTOLSHEIM")</f>
        <v>KUTTOLSHEIM</v>
      </c>
      <c r="E30814" s="38" t="s">
        <v>210</v>
      </c>
      <c r="F30814" s="38" t="s">
        <v>151</v>
      </c>
      <c r="G30814" s="49" t="str">
        <f t="shared" si="1"/>
        <v>67520</v>
      </c>
      <c r="H30814" s="49">
        <f t="shared" si="2"/>
        <v>67253</v>
      </c>
    </row>
    <row r="30815">
      <c r="A30815" s="48" t="s">
        <v>225</v>
      </c>
      <c r="B30815" s="38">
        <v>6149.0</v>
      </c>
      <c r="C30815" s="38" t="s">
        <v>7648</v>
      </c>
      <c r="D30815" s="38" t="str">
        <f>IFERROR(__xludf.DUMMYFUNCTION("REGEXREPLACE(C30815,""-\d+(.*)|--\d+(.*)"","""")"),"LA TRINITE")</f>
        <v>LA TRINITE</v>
      </c>
      <c r="E30815" s="38" t="s">
        <v>227</v>
      </c>
      <c r="F30815" s="38" t="s">
        <v>228</v>
      </c>
      <c r="G30815" s="49" t="str">
        <f t="shared" si="1"/>
        <v>06340</v>
      </c>
      <c r="H30815" s="49" t="str">
        <f t="shared" si="2"/>
        <v>06149</v>
      </c>
    </row>
    <row r="30816">
      <c r="A30816" s="48" t="s">
        <v>4088</v>
      </c>
      <c r="B30816" s="38">
        <v>39505.0</v>
      </c>
      <c r="C30816" s="38" t="s">
        <v>35163</v>
      </c>
      <c r="D30816" s="38" t="str">
        <f>IFERROR(__xludf.DUMMYFUNCTION("REGEXREPLACE(C30816,""-\d+(.*)|--\d+(.*)"","""")"),"SAUGEOT")</f>
        <v>SAUGEOT</v>
      </c>
      <c r="E30816" s="38" t="s">
        <v>400</v>
      </c>
      <c r="F30816" s="38" t="s">
        <v>214</v>
      </c>
      <c r="G30816" s="49" t="str">
        <f t="shared" si="1"/>
        <v>39130</v>
      </c>
      <c r="H30816" s="49">
        <f t="shared" si="2"/>
        <v>39505</v>
      </c>
    </row>
    <row r="30817">
      <c r="A30817" s="48" t="s">
        <v>4086</v>
      </c>
      <c r="B30817" s="38">
        <v>79187.0</v>
      </c>
      <c r="C30817" s="38" t="s">
        <v>35164</v>
      </c>
      <c r="D30817" s="38" t="str">
        <f>IFERROR(__xludf.DUMMYFUNCTION("REGEXREPLACE(C30817,""-\d+(.*)|--\d+(.*)"","""")"),"MOUTIERS-SOUS-ARGENTON")</f>
        <v>MOUTIERS-SOUS-ARGENTON</v>
      </c>
      <c r="E30817" s="38" t="s">
        <v>337</v>
      </c>
      <c r="F30817" s="38" t="s">
        <v>338</v>
      </c>
      <c r="G30817" s="49" t="str">
        <f t="shared" si="1"/>
        <v>79150</v>
      </c>
      <c r="H30817" s="49">
        <f t="shared" si="2"/>
        <v>79187</v>
      </c>
    </row>
    <row r="30818">
      <c r="A30818" s="48" t="s">
        <v>8025</v>
      </c>
      <c r="B30818" s="38">
        <v>18167.0</v>
      </c>
      <c r="C30818" s="38" t="s">
        <v>35165</v>
      </c>
      <c r="D30818" s="38" t="str">
        <f>IFERROR(__xludf.DUMMYFUNCTION("REGEXREPLACE(C30818,""-\d+(.*)|--\d+(.*)"","""")"),"NOHANT-EN-GRACAY")</f>
        <v>NOHANT-EN-GRACAY</v>
      </c>
      <c r="E30818" s="38" t="s">
        <v>504</v>
      </c>
      <c r="F30818" s="38" t="s">
        <v>123</v>
      </c>
      <c r="G30818" s="49" t="str">
        <f t="shared" si="1"/>
        <v>18310</v>
      </c>
      <c r="H30818" s="49">
        <f t="shared" si="2"/>
        <v>18167</v>
      </c>
    </row>
    <row r="30819">
      <c r="A30819" s="48" t="s">
        <v>35166</v>
      </c>
      <c r="B30819" s="38">
        <v>94080.0</v>
      </c>
      <c r="C30819" s="38" t="s">
        <v>35167</v>
      </c>
      <c r="D30819" s="38" t="str">
        <f>IFERROR(__xludf.DUMMYFUNCTION("REGEXREPLACE(C30819,""-\d+(.*)|--\d+(.*)"","""")"),"VINCENNES")</f>
        <v>VINCENNES</v>
      </c>
      <c r="E30819" s="38" t="s">
        <v>561</v>
      </c>
      <c r="F30819" s="38" t="s">
        <v>245</v>
      </c>
      <c r="G30819" s="49" t="str">
        <f t="shared" si="1"/>
        <v>94300</v>
      </c>
      <c r="H30819" s="49">
        <f t="shared" si="2"/>
        <v>94080</v>
      </c>
    </row>
    <row r="30820">
      <c r="A30820" s="48" t="s">
        <v>7804</v>
      </c>
      <c r="B30820" s="38">
        <v>51492.0</v>
      </c>
      <c r="C30820" s="38" t="s">
        <v>35168</v>
      </c>
      <c r="D30820" s="38" t="str">
        <f>IFERROR(__xludf.DUMMYFUNCTION("REGEXREPLACE(C30820,""-\d+(.*)|--\d+(.*)"","""")"),"SAINT-JUST-SAUVAGE")</f>
        <v>SAINT-JUST-SAUVAGE</v>
      </c>
      <c r="E30820" s="38" t="s">
        <v>129</v>
      </c>
      <c r="F30820" s="38" t="s">
        <v>130</v>
      </c>
      <c r="G30820" s="49" t="str">
        <f t="shared" si="1"/>
        <v>51260</v>
      </c>
      <c r="H30820" s="49">
        <f t="shared" si="2"/>
        <v>51492</v>
      </c>
    </row>
    <row r="30821">
      <c r="A30821" s="48" t="s">
        <v>3337</v>
      </c>
      <c r="B30821" s="38">
        <v>34011.0</v>
      </c>
      <c r="C30821" s="38" t="s">
        <v>35169</v>
      </c>
      <c r="D30821" s="38" t="str">
        <f>IFERROR(__xludf.DUMMYFUNCTION("REGEXREPLACE(C30821,""-\d+(.*)|--\d+(.*)"","""")"),"ARBORAS")</f>
        <v>ARBORAS</v>
      </c>
      <c r="E30821" s="38" t="s">
        <v>118</v>
      </c>
      <c r="F30821" s="38" t="s">
        <v>119</v>
      </c>
      <c r="G30821" s="49" t="str">
        <f t="shared" si="1"/>
        <v>34150</v>
      </c>
      <c r="H30821" s="49">
        <f t="shared" si="2"/>
        <v>34011</v>
      </c>
    </row>
    <row r="30822">
      <c r="A30822" s="48" t="s">
        <v>12997</v>
      </c>
      <c r="B30822" s="38">
        <v>65460.0</v>
      </c>
      <c r="C30822" s="38" t="s">
        <v>35170</v>
      </c>
      <c r="D30822" s="38" t="str">
        <f>IFERROR(__xludf.DUMMYFUNCTION("REGEXREPLACE(C30822,""-\d+(.*)|--\d+(.*)"","""")"),"VIC-EN-BIGORRE")</f>
        <v>VIC-EN-BIGORRE</v>
      </c>
      <c r="E30822" s="38" t="s">
        <v>200</v>
      </c>
      <c r="F30822" s="38" t="s">
        <v>94</v>
      </c>
      <c r="G30822" s="49" t="str">
        <f t="shared" si="1"/>
        <v>65500</v>
      </c>
      <c r="H30822" s="49">
        <f t="shared" si="2"/>
        <v>65460</v>
      </c>
    </row>
    <row r="30823">
      <c r="A30823" s="48" t="s">
        <v>171</v>
      </c>
      <c r="B30823" s="38">
        <v>56202.0</v>
      </c>
      <c r="C30823" s="38" t="s">
        <v>35171</v>
      </c>
      <c r="D30823" s="38" t="str">
        <f>IFERROR(__xludf.DUMMYFUNCTION("REGEXREPLACE(C30823,""-\d+(.*)|--\d+(.*)"","""")"),"SAINT-ABRAHAM")</f>
        <v>SAINT-ABRAHAM</v>
      </c>
      <c r="E30823" s="38" t="s">
        <v>173</v>
      </c>
      <c r="F30823" s="38" t="s">
        <v>90</v>
      </c>
      <c r="G30823" s="49" t="str">
        <f t="shared" si="1"/>
        <v>56140</v>
      </c>
      <c r="H30823" s="49">
        <f t="shared" si="2"/>
        <v>56202</v>
      </c>
    </row>
    <row r="30824">
      <c r="A30824" s="48" t="s">
        <v>4570</v>
      </c>
      <c r="B30824" s="38">
        <v>57205.0</v>
      </c>
      <c r="C30824" s="38" t="s">
        <v>35172</v>
      </c>
      <c r="D30824" s="38" t="str">
        <f>IFERROR(__xludf.DUMMYFUNCTION("REGEXREPLACE(C30824,""-\d+(.*)|--\d+(.*)"","""")"),"FALCK")</f>
        <v>FALCK</v>
      </c>
      <c r="E30824" s="38" t="s">
        <v>303</v>
      </c>
      <c r="F30824" s="38" t="s">
        <v>195</v>
      </c>
      <c r="G30824" s="49" t="str">
        <f t="shared" si="1"/>
        <v>57550</v>
      </c>
      <c r="H30824" s="49">
        <f t="shared" si="2"/>
        <v>57205</v>
      </c>
    </row>
    <row r="30825">
      <c r="A30825" s="48" t="s">
        <v>1184</v>
      </c>
      <c r="B30825" s="38">
        <v>8139.0</v>
      </c>
      <c r="C30825" s="38" t="s">
        <v>35173</v>
      </c>
      <c r="D30825" s="38" t="str">
        <f>IFERROR(__xludf.DUMMYFUNCTION("REGEXREPLACE(C30825,""-\d+(.*)|--\d+(.*)"","""")"),"DEVILLE")</f>
        <v>DEVILLE</v>
      </c>
      <c r="E30825" s="38" t="s">
        <v>327</v>
      </c>
      <c r="F30825" s="38" t="s">
        <v>130</v>
      </c>
      <c r="G30825" s="49" t="str">
        <f t="shared" si="1"/>
        <v>08800</v>
      </c>
      <c r="H30825" s="49" t="str">
        <f t="shared" si="2"/>
        <v>08139</v>
      </c>
    </row>
    <row r="30826">
      <c r="A30826" s="48" t="s">
        <v>1609</v>
      </c>
      <c r="B30826" s="38">
        <v>30104.0</v>
      </c>
      <c r="C30826" s="38" t="s">
        <v>35174</v>
      </c>
      <c r="D30826" s="38" t="str">
        <f>IFERROR(__xludf.DUMMYFUNCTION("REGEXREPLACE(C30826,""-\d+(.*)|--\d+(.*)"","""")"),"DOMESSARGUES")</f>
        <v>DOMESSARGUES</v>
      </c>
      <c r="E30826" s="38" t="s">
        <v>526</v>
      </c>
      <c r="F30826" s="38" t="s">
        <v>119</v>
      </c>
      <c r="G30826" s="49" t="str">
        <f t="shared" si="1"/>
        <v>30350</v>
      </c>
      <c r="H30826" s="49">
        <f t="shared" si="2"/>
        <v>30104</v>
      </c>
    </row>
    <row r="30827">
      <c r="A30827" s="48" t="s">
        <v>158</v>
      </c>
      <c r="B30827" s="38">
        <v>3042.0</v>
      </c>
      <c r="C30827" s="38" t="s">
        <v>21813</v>
      </c>
      <c r="D30827" s="38" t="str">
        <f>IFERROR(__xludf.DUMMYFUNCTION("REGEXREPLACE(C30827,""-\d+(.*)|--\d+(.*)"","""")"),"LE BREUIL")</f>
        <v>LE BREUIL</v>
      </c>
      <c r="E30827" s="38" t="s">
        <v>160</v>
      </c>
      <c r="F30827" s="38" t="s">
        <v>161</v>
      </c>
      <c r="G30827" s="49" t="str">
        <f t="shared" si="1"/>
        <v>03120</v>
      </c>
      <c r="H30827" s="49" t="str">
        <f t="shared" si="2"/>
        <v>03042</v>
      </c>
    </row>
    <row r="30828">
      <c r="A30828" s="48" t="s">
        <v>35175</v>
      </c>
      <c r="B30828" s="38">
        <v>1439.0</v>
      </c>
      <c r="C30828" s="38" t="s">
        <v>35176</v>
      </c>
      <c r="D30828" s="38" t="str">
        <f>IFERROR(__xludf.DUMMYFUNCTION("REGEXREPLACE(C30828,""-\d+(.*)|--\d+(.*)"","""")"),"VESINES")</f>
        <v>VESINES</v>
      </c>
      <c r="E30828" s="38" t="s">
        <v>255</v>
      </c>
      <c r="F30828" s="38" t="s">
        <v>102</v>
      </c>
      <c r="G30828" s="49" t="str">
        <f t="shared" si="1"/>
        <v>01570</v>
      </c>
      <c r="H30828" s="49" t="str">
        <f t="shared" si="2"/>
        <v>01439</v>
      </c>
    </row>
    <row r="30829">
      <c r="A30829" s="48" t="s">
        <v>1806</v>
      </c>
      <c r="B30829" s="38">
        <v>90068.0</v>
      </c>
      <c r="C30829" s="38" t="s">
        <v>35177</v>
      </c>
      <c r="D30829" s="38" t="str">
        <f>IFERROR(__xludf.DUMMYFUNCTION("REGEXREPLACE(C30829,""-\d+(.*)|--\d+(.*)"","""")"),"MEROUX")</f>
        <v>MEROUX</v>
      </c>
      <c r="E30829" s="38" t="s">
        <v>1283</v>
      </c>
      <c r="F30829" s="38" t="s">
        <v>214</v>
      </c>
      <c r="G30829" s="49" t="str">
        <f t="shared" si="1"/>
        <v>90400</v>
      </c>
      <c r="H30829" s="49">
        <f t="shared" si="2"/>
        <v>90068</v>
      </c>
    </row>
    <row r="30830">
      <c r="A30830" s="48" t="s">
        <v>12617</v>
      </c>
      <c r="B30830" s="38">
        <v>68294.0</v>
      </c>
      <c r="C30830" s="38" t="s">
        <v>35178</v>
      </c>
      <c r="D30830" s="38" t="str">
        <f>IFERROR(__xludf.DUMMYFUNCTION("REGEXREPLACE(C30830,""-\d+(.*)|--\d+(.*)"","""")"),"SAINTE-CROIX-AUX-MINES")</f>
        <v>SAINTE-CROIX-AUX-MINES</v>
      </c>
      <c r="E30830" s="38" t="s">
        <v>150</v>
      </c>
      <c r="F30830" s="38" t="s">
        <v>151</v>
      </c>
      <c r="G30830" s="49" t="str">
        <f t="shared" si="1"/>
        <v>68160</v>
      </c>
      <c r="H30830" s="49">
        <f t="shared" si="2"/>
        <v>68294</v>
      </c>
    </row>
    <row r="30831">
      <c r="A30831" s="48" t="s">
        <v>1008</v>
      </c>
      <c r="B30831" s="38">
        <v>2293.0</v>
      </c>
      <c r="C30831" s="38" t="s">
        <v>35179</v>
      </c>
      <c r="D30831" s="38" t="str">
        <f>IFERROR(__xludf.DUMMYFUNCTION("REGEXREPLACE(C30831,""-\d+(.*)|--\d+(.*)"","""")"),"ETAVES-ET-BOCQUIAUX")</f>
        <v>ETAVES-ET-BOCQUIAUX</v>
      </c>
      <c r="E30831" s="38" t="s">
        <v>191</v>
      </c>
      <c r="F30831" s="38" t="s">
        <v>113</v>
      </c>
      <c r="G30831" s="49" t="str">
        <f t="shared" si="1"/>
        <v>02110</v>
      </c>
      <c r="H30831" s="49" t="str">
        <f t="shared" si="2"/>
        <v>02293</v>
      </c>
    </row>
    <row r="30832">
      <c r="A30832" s="48" t="s">
        <v>4328</v>
      </c>
      <c r="B30832" s="38">
        <v>70356.0</v>
      </c>
      <c r="C30832" s="38" t="s">
        <v>35180</v>
      </c>
      <c r="D30832" s="38" t="str">
        <f>IFERROR(__xludf.DUMMYFUNCTION("REGEXREPLACE(C30832,""-\d+(.*)|--\d+(.*)"","""")"),"MONTBOILLON")</f>
        <v>MONTBOILLON</v>
      </c>
      <c r="E30832" s="38" t="s">
        <v>956</v>
      </c>
      <c r="F30832" s="38" t="s">
        <v>214</v>
      </c>
      <c r="G30832" s="49" t="str">
        <f t="shared" si="1"/>
        <v>70700</v>
      </c>
      <c r="H30832" s="49">
        <f t="shared" si="2"/>
        <v>70356</v>
      </c>
    </row>
    <row r="30833">
      <c r="A30833" s="48" t="s">
        <v>13129</v>
      </c>
      <c r="B30833" s="38">
        <v>24223.0</v>
      </c>
      <c r="C30833" s="38" t="s">
        <v>35181</v>
      </c>
      <c r="D30833" s="38" t="str">
        <f>IFERROR(__xludf.DUMMYFUNCTION("REGEXREPLACE(C30833,""-\d+(.*)|--\d+(.*)"","""")"),"LALINDE")</f>
        <v>LALINDE</v>
      </c>
      <c r="E30833" s="38" t="s">
        <v>261</v>
      </c>
      <c r="F30833" s="38" t="s">
        <v>252</v>
      </c>
      <c r="G30833" s="49" t="str">
        <f t="shared" si="1"/>
        <v>24150</v>
      </c>
      <c r="H30833" s="49">
        <f t="shared" si="2"/>
        <v>24223</v>
      </c>
    </row>
    <row r="30834">
      <c r="A30834" s="48" t="s">
        <v>16634</v>
      </c>
      <c r="B30834" s="38">
        <v>17348.0</v>
      </c>
      <c r="C30834" s="38" t="s">
        <v>35182</v>
      </c>
      <c r="D30834" s="38" t="str">
        <f>IFERROR(__xludf.DUMMYFUNCTION("REGEXREPLACE(C30834,""-\d+(.*)|--\d+(.*)"","""")"),"SAINT-JEAN-D'ANGLE")</f>
        <v>SAINT-JEAN-D'ANGLE</v>
      </c>
      <c r="E30834" s="38" t="s">
        <v>488</v>
      </c>
      <c r="F30834" s="38" t="s">
        <v>338</v>
      </c>
      <c r="G30834" s="49" t="str">
        <f t="shared" si="1"/>
        <v>17620</v>
      </c>
      <c r="H30834" s="49">
        <f t="shared" si="2"/>
        <v>17348</v>
      </c>
    </row>
    <row r="30835">
      <c r="A30835" s="48" t="s">
        <v>24405</v>
      </c>
      <c r="B30835" s="38">
        <v>60369.0</v>
      </c>
      <c r="C30835" s="38" t="s">
        <v>35183</v>
      </c>
      <c r="D30835" s="38" t="str">
        <f>IFERROR(__xludf.DUMMYFUNCTION("REGEXREPLACE(C30835,""-\d+(.*)|--\d+(.*)"","""")"),"LONGUEIL-SAINTE-MARIE")</f>
        <v>LONGUEIL-SAINTE-MARIE</v>
      </c>
      <c r="E30835" s="38" t="s">
        <v>112</v>
      </c>
      <c r="F30835" s="38" t="s">
        <v>113</v>
      </c>
      <c r="G30835" s="49" t="str">
        <f t="shared" si="1"/>
        <v>60126</v>
      </c>
      <c r="H30835" s="49">
        <f t="shared" si="2"/>
        <v>60369</v>
      </c>
    </row>
    <row r="30836">
      <c r="A30836" s="48" t="s">
        <v>1475</v>
      </c>
      <c r="B30836" s="38">
        <v>50359.0</v>
      </c>
      <c r="C30836" s="38" t="s">
        <v>35184</v>
      </c>
      <c r="D30836" s="38" t="str">
        <f>IFERROR(__xludf.DUMMYFUNCTION("REGEXREPLACE(C30836,""-\d+(.*)|--\d+(.*)"","""")"),"MORTAIN")</f>
        <v>MORTAIN</v>
      </c>
      <c r="E30836" s="38" t="s">
        <v>157</v>
      </c>
      <c r="F30836" s="38" t="s">
        <v>138</v>
      </c>
      <c r="G30836" s="49" t="str">
        <f t="shared" si="1"/>
        <v>50140</v>
      </c>
      <c r="H30836" s="49">
        <f t="shared" si="2"/>
        <v>50359</v>
      </c>
    </row>
    <row r="30837">
      <c r="A30837" s="48" t="s">
        <v>608</v>
      </c>
      <c r="B30837" s="38">
        <v>74261.0</v>
      </c>
      <c r="C30837" s="38" t="s">
        <v>35185</v>
      </c>
      <c r="D30837" s="38" t="str">
        <f>IFERROR(__xludf.DUMMYFUNCTION("REGEXREPLACE(C30837,""-\d+(.*)|--\d+(.*)"","""")"),"SAXEL")</f>
        <v>SAXEL</v>
      </c>
      <c r="E30837" s="38" t="s">
        <v>319</v>
      </c>
      <c r="F30837" s="38" t="s">
        <v>102</v>
      </c>
      <c r="G30837" s="49" t="str">
        <f t="shared" si="1"/>
        <v>74420</v>
      </c>
      <c r="H30837" s="49">
        <f t="shared" si="2"/>
        <v>74261</v>
      </c>
    </row>
    <row r="30838">
      <c r="A30838" s="48" t="s">
        <v>1947</v>
      </c>
      <c r="B30838" s="38">
        <v>52247.0</v>
      </c>
      <c r="C30838" s="38" t="s">
        <v>35186</v>
      </c>
      <c r="D30838" s="38" t="str">
        <f>IFERROR(__xludf.DUMMYFUNCTION("REGEXREPLACE(C30838,""-\d+(.*)|--\d+(.*)"","""")"),"ILLOUD")</f>
        <v>ILLOUD</v>
      </c>
      <c r="E30838" s="38" t="s">
        <v>234</v>
      </c>
      <c r="F30838" s="38" t="s">
        <v>130</v>
      </c>
      <c r="G30838" s="49" t="str">
        <f t="shared" si="1"/>
        <v>52150</v>
      </c>
      <c r="H30838" s="49">
        <f t="shared" si="2"/>
        <v>52247</v>
      </c>
    </row>
    <row r="30839">
      <c r="A30839" s="48" t="s">
        <v>4274</v>
      </c>
      <c r="B30839" s="38">
        <v>52328.0</v>
      </c>
      <c r="C30839" s="38" t="s">
        <v>35187</v>
      </c>
      <c r="D30839" s="38" t="str">
        <f>IFERROR(__xludf.DUMMYFUNCTION("REGEXREPLACE(C30839,""-\d+(.*)|--\d+(.*)"","""")"),"MONTCHARVOT")</f>
        <v>MONTCHARVOT</v>
      </c>
      <c r="E30839" s="38" t="s">
        <v>234</v>
      </c>
      <c r="F30839" s="38" t="s">
        <v>130</v>
      </c>
      <c r="G30839" s="49" t="str">
        <f t="shared" si="1"/>
        <v>52400</v>
      </c>
      <c r="H30839" s="49">
        <f t="shared" si="2"/>
        <v>52328</v>
      </c>
    </row>
    <row r="30840">
      <c r="A30840" s="48" t="s">
        <v>6649</v>
      </c>
      <c r="B30840" s="38">
        <v>18175.0</v>
      </c>
      <c r="C30840" s="38" t="s">
        <v>35188</v>
      </c>
      <c r="D30840" s="38" t="str">
        <f>IFERROR(__xludf.DUMMYFUNCTION("REGEXREPLACE(C30840,""-\d+(.*)|--\d+(.*)"","""")"),"OUROUER-LES-BOURDELINS")</f>
        <v>OUROUER-LES-BOURDELINS</v>
      </c>
      <c r="E30840" s="38" t="s">
        <v>504</v>
      </c>
      <c r="F30840" s="38" t="s">
        <v>123</v>
      </c>
      <c r="G30840" s="49" t="str">
        <f t="shared" si="1"/>
        <v>18350</v>
      </c>
      <c r="H30840" s="49">
        <f t="shared" si="2"/>
        <v>18175</v>
      </c>
    </row>
    <row r="30841">
      <c r="A30841" s="48" t="s">
        <v>9587</v>
      </c>
      <c r="B30841" s="38">
        <v>67011.0</v>
      </c>
      <c r="C30841" s="38" t="s">
        <v>35189</v>
      </c>
      <c r="D30841" s="38" t="str">
        <f>IFERROR(__xludf.DUMMYFUNCTION("REGEXREPLACE(C30841,""-\d+(.*)|--\d+(.*)"","""")"),"ARTOLSHEIM")</f>
        <v>ARTOLSHEIM</v>
      </c>
      <c r="E30841" s="38" t="s">
        <v>210</v>
      </c>
      <c r="F30841" s="38" t="s">
        <v>151</v>
      </c>
      <c r="G30841" s="49" t="str">
        <f t="shared" si="1"/>
        <v>67390</v>
      </c>
      <c r="H30841" s="49">
        <f t="shared" si="2"/>
        <v>67011</v>
      </c>
    </row>
    <row r="30842">
      <c r="A30842" s="48" t="s">
        <v>5743</v>
      </c>
      <c r="B30842" s="38">
        <v>52319.0</v>
      </c>
      <c r="C30842" s="38" t="s">
        <v>35190</v>
      </c>
      <c r="D30842" s="38" t="str">
        <f>IFERROR(__xludf.DUMMYFUNCTION("REGEXREPLACE(C30842,""-\d+(.*)|--\d+(.*)"","""")"),"MENNOUVEAUX")</f>
        <v>MENNOUVEAUX</v>
      </c>
      <c r="E30842" s="38" t="s">
        <v>234</v>
      </c>
      <c r="F30842" s="38" t="s">
        <v>130</v>
      </c>
      <c r="G30842" s="49" t="str">
        <f t="shared" si="1"/>
        <v>52240</v>
      </c>
      <c r="H30842" s="49">
        <f t="shared" si="2"/>
        <v>52319</v>
      </c>
    </row>
    <row r="30843">
      <c r="A30843" s="48" t="s">
        <v>1710</v>
      </c>
      <c r="B30843" s="38">
        <v>24544.0</v>
      </c>
      <c r="C30843" s="38" t="s">
        <v>35191</v>
      </c>
      <c r="D30843" s="38" t="str">
        <f>IFERROR(__xludf.DUMMYFUNCTION("REGEXREPLACE(C30843,""-\d+(.*)|--\d+(.*)"","""")"),"TAMNIES")</f>
        <v>TAMNIES</v>
      </c>
      <c r="E30843" s="38" t="s">
        <v>261</v>
      </c>
      <c r="F30843" s="38" t="s">
        <v>252</v>
      </c>
      <c r="G30843" s="49" t="str">
        <f t="shared" si="1"/>
        <v>24620</v>
      </c>
      <c r="H30843" s="49">
        <f t="shared" si="2"/>
        <v>24544</v>
      </c>
    </row>
    <row r="30844">
      <c r="A30844" s="48" t="s">
        <v>6483</v>
      </c>
      <c r="B30844" s="38">
        <v>58301.0</v>
      </c>
      <c r="C30844" s="38" t="s">
        <v>35192</v>
      </c>
      <c r="D30844" s="38" t="str">
        <f>IFERROR(__xludf.DUMMYFUNCTION("REGEXREPLACE(C30844,""-\d+(.*)|--\d+(.*)"","""")"),"VANDENESSE")</f>
        <v>VANDENESSE</v>
      </c>
      <c r="E30844" s="38" t="s">
        <v>219</v>
      </c>
      <c r="F30844" s="38" t="s">
        <v>106</v>
      </c>
      <c r="G30844" s="49" t="str">
        <f t="shared" si="1"/>
        <v>58290</v>
      </c>
      <c r="H30844" s="49">
        <f t="shared" si="2"/>
        <v>58301</v>
      </c>
    </row>
    <row r="30845">
      <c r="A30845" s="48" t="s">
        <v>3532</v>
      </c>
      <c r="B30845" s="38">
        <v>2124.0</v>
      </c>
      <c r="C30845" s="38" t="s">
        <v>35193</v>
      </c>
      <c r="D30845" s="38" t="str">
        <f>IFERROR(__xludf.DUMMYFUNCTION("REGEXREPLACE(C30845,""-\d+(.*)|--\d+(.*)"","""")"),"BRISSY-HAMEGICOURT")</f>
        <v>BRISSY-HAMEGICOURT</v>
      </c>
      <c r="E30845" s="38" t="s">
        <v>191</v>
      </c>
      <c r="F30845" s="38" t="s">
        <v>113</v>
      </c>
      <c r="G30845" s="49" t="str">
        <f t="shared" si="1"/>
        <v>02240</v>
      </c>
      <c r="H30845" s="49" t="str">
        <f t="shared" si="2"/>
        <v>02124</v>
      </c>
    </row>
    <row r="30846">
      <c r="A30846" s="48" t="s">
        <v>4581</v>
      </c>
      <c r="B30846" s="38">
        <v>79219.0</v>
      </c>
      <c r="C30846" s="38" t="s">
        <v>35194</v>
      </c>
      <c r="D30846" s="38" t="str">
        <f>IFERROR(__xludf.DUMMYFUNCTION("REGEXREPLACE(C30846,""-\d+(.*)|--\d+(.*)"","""")"),"PRIAIRES")</f>
        <v>PRIAIRES</v>
      </c>
      <c r="E30846" s="38" t="s">
        <v>337</v>
      </c>
      <c r="F30846" s="38" t="s">
        <v>338</v>
      </c>
      <c r="G30846" s="49" t="str">
        <f t="shared" si="1"/>
        <v>79210</v>
      </c>
      <c r="H30846" s="49">
        <f t="shared" si="2"/>
        <v>79219</v>
      </c>
    </row>
    <row r="30847">
      <c r="A30847" s="48" t="s">
        <v>4519</v>
      </c>
      <c r="B30847" s="38">
        <v>26318.0</v>
      </c>
      <c r="C30847" s="38" t="s">
        <v>35195</v>
      </c>
      <c r="D30847" s="38" t="str">
        <f>IFERROR(__xludf.DUMMYFUNCTION("REGEXREPLACE(C30847,""-\d+(.*)|--\d+(.*)"","""")"),"SAINT-MAY")</f>
        <v>SAINT-MAY</v>
      </c>
      <c r="E30847" s="38" t="s">
        <v>126</v>
      </c>
      <c r="F30847" s="38" t="s">
        <v>102</v>
      </c>
      <c r="G30847" s="49" t="str">
        <f t="shared" si="1"/>
        <v>26510</v>
      </c>
      <c r="H30847" s="49">
        <f t="shared" si="2"/>
        <v>26318</v>
      </c>
    </row>
    <row r="30848">
      <c r="A30848" s="48" t="s">
        <v>8480</v>
      </c>
      <c r="B30848" s="38">
        <v>8106.0</v>
      </c>
      <c r="C30848" s="38" t="s">
        <v>35196</v>
      </c>
      <c r="D30848" s="38" t="str">
        <f>IFERROR(__xludf.DUMMYFUNCTION("REGEXREPLACE(C30848,""-\d+(.*)|--\d+(.*)"","""")"),"CHARNOIS")</f>
        <v>CHARNOIS</v>
      </c>
      <c r="E30848" s="38" t="s">
        <v>327</v>
      </c>
      <c r="F30848" s="38" t="s">
        <v>130</v>
      </c>
      <c r="G30848" s="49" t="str">
        <f t="shared" si="1"/>
        <v>08600</v>
      </c>
      <c r="H30848" s="49" t="str">
        <f t="shared" si="2"/>
        <v>08106</v>
      </c>
    </row>
    <row r="30849">
      <c r="A30849" s="48" t="s">
        <v>11600</v>
      </c>
      <c r="B30849" s="38">
        <v>14271.0</v>
      </c>
      <c r="C30849" s="38" t="s">
        <v>35197</v>
      </c>
      <c r="D30849" s="38" t="str">
        <f>IFERROR(__xludf.DUMMYFUNCTION("REGEXREPLACE(C30849,""-\d+(.*)|--\d+(.*)"","""")"),"FLEURY-SUR-ORNE")</f>
        <v>FLEURY-SUR-ORNE</v>
      </c>
      <c r="E30849" s="38" t="s">
        <v>137</v>
      </c>
      <c r="F30849" s="38" t="s">
        <v>138</v>
      </c>
      <c r="G30849" s="49" t="str">
        <f t="shared" si="1"/>
        <v>14123</v>
      </c>
      <c r="H30849" s="49">
        <f t="shared" si="2"/>
        <v>14271</v>
      </c>
    </row>
    <row r="30850">
      <c r="A30850" s="48" t="s">
        <v>1195</v>
      </c>
      <c r="B30850" s="38">
        <v>80411.0</v>
      </c>
      <c r="C30850" s="38" t="s">
        <v>30007</v>
      </c>
      <c r="D30850" s="38" t="str">
        <f>IFERROR(__xludf.DUMMYFUNCTION("REGEXREPLACE(C30850,""-\d+(.*)|--\d+(.*)"","""")"),"LE HAMEL")</f>
        <v>LE HAMEL</v>
      </c>
      <c r="E30850" s="38" t="s">
        <v>224</v>
      </c>
      <c r="F30850" s="38" t="s">
        <v>113</v>
      </c>
      <c r="G30850" s="49" t="str">
        <f t="shared" si="1"/>
        <v>80800</v>
      </c>
      <c r="H30850" s="49">
        <f t="shared" si="2"/>
        <v>80411</v>
      </c>
    </row>
    <row r="30851">
      <c r="A30851" s="48" t="s">
        <v>2059</v>
      </c>
      <c r="B30851" s="38">
        <v>37007.0</v>
      </c>
      <c r="C30851" s="38" t="s">
        <v>35198</v>
      </c>
      <c r="D30851" s="38" t="str">
        <f>IFERROR(__xludf.DUMMYFUNCTION("REGEXREPLACE(C30851,""-\d+(.*)|--\d+(.*)"","""")"),"ASSAY")</f>
        <v>ASSAY</v>
      </c>
      <c r="E30851" s="38" t="s">
        <v>205</v>
      </c>
      <c r="F30851" s="38" t="s">
        <v>123</v>
      </c>
      <c r="G30851" s="49" t="str">
        <f t="shared" si="1"/>
        <v>37120</v>
      </c>
      <c r="H30851" s="49">
        <f t="shared" si="2"/>
        <v>37007</v>
      </c>
    </row>
    <row r="30852">
      <c r="A30852" s="48" t="s">
        <v>407</v>
      </c>
      <c r="B30852" s="38">
        <v>71515.0</v>
      </c>
      <c r="C30852" s="38" t="s">
        <v>35199</v>
      </c>
      <c r="D30852" s="38" t="str">
        <f>IFERROR(__xludf.DUMMYFUNCTION("REGEXREPLACE(C30852,""-\d+(.*)|--\d+(.*)"","""")"),"SERCY")</f>
        <v>SERCY</v>
      </c>
      <c r="E30852" s="38" t="s">
        <v>344</v>
      </c>
      <c r="F30852" s="38" t="s">
        <v>106</v>
      </c>
      <c r="G30852" s="49" t="str">
        <f t="shared" si="1"/>
        <v>71460</v>
      </c>
      <c r="H30852" s="49">
        <f t="shared" si="2"/>
        <v>71515</v>
      </c>
    </row>
    <row r="30853">
      <c r="A30853" s="48" t="s">
        <v>734</v>
      </c>
      <c r="B30853" s="38">
        <v>54389.0</v>
      </c>
      <c r="C30853" s="38" t="s">
        <v>35200</v>
      </c>
      <c r="D30853" s="38" t="str">
        <f>IFERROR(__xludf.DUMMYFUNCTION("REGEXREPLACE(C30853,""-\d+(.*)|--\d+(.*)"","""")"),"MOUAVILLE")</f>
        <v>MOUAVILLE</v>
      </c>
      <c r="E30853" s="38" t="s">
        <v>548</v>
      </c>
      <c r="F30853" s="38" t="s">
        <v>195</v>
      </c>
      <c r="G30853" s="49" t="str">
        <f t="shared" si="1"/>
        <v>54800</v>
      </c>
      <c r="H30853" s="49">
        <f t="shared" si="2"/>
        <v>54389</v>
      </c>
    </row>
    <row r="30854">
      <c r="A30854" s="48" t="s">
        <v>9067</v>
      </c>
      <c r="B30854" s="38">
        <v>73138.0</v>
      </c>
      <c r="C30854" s="38" t="s">
        <v>35201</v>
      </c>
      <c r="D30854" s="38" t="str">
        <f>IFERROR(__xludf.DUMMYFUNCTION("REGEXREPLACE(C30854,""-\d+(.*)|--\d+(.*)"","""")"),"JARRIER")</f>
        <v>JARRIER</v>
      </c>
      <c r="E30854" s="38" t="s">
        <v>306</v>
      </c>
      <c r="F30854" s="38" t="s">
        <v>102</v>
      </c>
      <c r="G30854" s="49" t="str">
        <f t="shared" si="1"/>
        <v>73300</v>
      </c>
      <c r="H30854" s="49">
        <f t="shared" si="2"/>
        <v>73138</v>
      </c>
    </row>
    <row r="30855">
      <c r="A30855" s="48" t="s">
        <v>15560</v>
      </c>
      <c r="B30855" s="38">
        <v>60250.0</v>
      </c>
      <c r="C30855" s="38" t="s">
        <v>35202</v>
      </c>
      <c r="D30855" s="38" t="str">
        <f>IFERROR(__xludf.DUMMYFUNCTION("REGEXREPLACE(C30855,""-\d+(.*)|--\d+(.*)"","""")"),"FOUQUENIES")</f>
        <v>FOUQUENIES</v>
      </c>
      <c r="E30855" s="38" t="s">
        <v>112</v>
      </c>
      <c r="F30855" s="38" t="s">
        <v>113</v>
      </c>
      <c r="G30855" s="49" t="str">
        <f t="shared" si="1"/>
        <v>60000</v>
      </c>
      <c r="H30855" s="49">
        <f t="shared" si="2"/>
        <v>60250</v>
      </c>
    </row>
    <row r="30856">
      <c r="A30856" s="48" t="s">
        <v>18144</v>
      </c>
      <c r="B30856" s="38">
        <v>3321.0</v>
      </c>
      <c r="C30856" s="38" t="s">
        <v>35203</v>
      </c>
      <c r="D30856" s="38" t="str">
        <f>IFERROR(__xludf.DUMMYFUNCTION("REGEXREPLACE(C30856,""-\d+(.*)|--\d+(.*)"","""")"),"YZEURE")</f>
        <v>YZEURE</v>
      </c>
      <c r="E30856" s="38" t="s">
        <v>160</v>
      </c>
      <c r="F30856" s="38" t="s">
        <v>161</v>
      </c>
      <c r="G30856" s="49" t="str">
        <f t="shared" si="1"/>
        <v>03400</v>
      </c>
      <c r="H30856" s="49" t="str">
        <f t="shared" si="2"/>
        <v>03321</v>
      </c>
    </row>
    <row r="30857">
      <c r="A30857" s="48" t="s">
        <v>660</v>
      </c>
      <c r="B30857" s="38">
        <v>4092.0</v>
      </c>
      <c r="C30857" s="38" t="s">
        <v>8050</v>
      </c>
      <c r="D30857" s="38" t="str">
        <f>IFERROR(__xludf.DUMMYFUNCTION("REGEXREPLACE(C30857,""-\d+(.*)|--\d+(.*)"","""")"),"LA GARDE")</f>
        <v>LA GARDE</v>
      </c>
      <c r="E30857" s="38" t="s">
        <v>662</v>
      </c>
      <c r="F30857" s="38" t="s">
        <v>228</v>
      </c>
      <c r="G30857" s="49" t="str">
        <f t="shared" si="1"/>
        <v>04120</v>
      </c>
      <c r="H30857" s="49" t="str">
        <f t="shared" si="2"/>
        <v>04092</v>
      </c>
    </row>
    <row r="30858">
      <c r="A30858" s="48" t="s">
        <v>35204</v>
      </c>
      <c r="B30858" s="38">
        <v>91186.0</v>
      </c>
      <c r="C30858" s="38" t="s">
        <v>35205</v>
      </c>
      <c r="D30858" s="38" t="str">
        <f>IFERROR(__xludf.DUMMYFUNCTION("REGEXREPLACE(C30858,""-\d+(.*)|--\d+(.*)"","""")"),"COURSON-MONTELOUP")</f>
        <v>COURSON-MONTELOUP</v>
      </c>
      <c r="E30858" s="38" t="s">
        <v>756</v>
      </c>
      <c r="F30858" s="38" t="s">
        <v>245</v>
      </c>
      <c r="G30858" s="49" t="str">
        <f t="shared" si="1"/>
        <v>91680</v>
      </c>
      <c r="H30858" s="49">
        <f t="shared" si="2"/>
        <v>91186</v>
      </c>
    </row>
    <row r="30859">
      <c r="A30859" s="48" t="s">
        <v>10369</v>
      </c>
      <c r="B30859" s="38">
        <v>88214.0</v>
      </c>
      <c r="C30859" s="38" t="s">
        <v>35206</v>
      </c>
      <c r="D30859" s="38" t="str">
        <f>IFERROR(__xludf.DUMMYFUNCTION("REGEXREPLACE(C30859,""-\d+(.*)|--\d+(.*)"","""")"),"GRANDRUPT-DE-BAINS")</f>
        <v>GRANDRUPT-DE-BAINS</v>
      </c>
      <c r="E30859" s="38" t="s">
        <v>194</v>
      </c>
      <c r="F30859" s="38" t="s">
        <v>195</v>
      </c>
      <c r="G30859" s="49" t="str">
        <f t="shared" si="1"/>
        <v>88240</v>
      </c>
      <c r="H30859" s="49">
        <f t="shared" si="2"/>
        <v>88214</v>
      </c>
    </row>
    <row r="30860">
      <c r="A30860" s="48" t="s">
        <v>2182</v>
      </c>
      <c r="B30860" s="38">
        <v>89395.0</v>
      </c>
      <c r="C30860" s="38" t="s">
        <v>35207</v>
      </c>
      <c r="D30860" s="38" t="str">
        <f>IFERROR(__xludf.DUMMYFUNCTION("REGEXREPLACE(C30860,""-\d+(.*)|--\d+(.*)"","""")"),"LES SIEGES")</f>
        <v>LES SIEGES</v>
      </c>
      <c r="E30860" s="38" t="s">
        <v>275</v>
      </c>
      <c r="F30860" s="38" t="s">
        <v>106</v>
      </c>
      <c r="G30860" s="49" t="str">
        <f t="shared" si="1"/>
        <v>89190</v>
      </c>
      <c r="H30860" s="49">
        <f t="shared" si="2"/>
        <v>89395</v>
      </c>
    </row>
    <row r="30861">
      <c r="A30861" s="48" t="s">
        <v>11007</v>
      </c>
      <c r="B30861" s="38">
        <v>17172.0</v>
      </c>
      <c r="C30861" s="38" t="s">
        <v>35208</v>
      </c>
      <c r="D30861" s="38" t="str">
        <f>IFERROR(__xludf.DUMMYFUNCTION("REGEXREPLACE(C30861,""-\d+(.*)|--\d+(.*)"","""")"),"GEMOZAC")</f>
        <v>GEMOZAC</v>
      </c>
      <c r="E30861" s="38" t="s">
        <v>488</v>
      </c>
      <c r="F30861" s="38" t="s">
        <v>338</v>
      </c>
      <c r="G30861" s="49" t="str">
        <f t="shared" si="1"/>
        <v>17260</v>
      </c>
      <c r="H30861" s="49">
        <f t="shared" si="2"/>
        <v>17172</v>
      </c>
    </row>
    <row r="30862">
      <c r="A30862" s="48" t="s">
        <v>622</v>
      </c>
      <c r="B30862" s="38">
        <v>14332.0</v>
      </c>
      <c r="C30862" s="38" t="s">
        <v>35209</v>
      </c>
      <c r="D30862" s="38" t="str">
        <f>IFERROR(__xludf.DUMMYFUNCTION("REGEXREPLACE(C30862,""-\d+(.*)|--\d+(.*)"","""")"),"LA HOGUETTE")</f>
        <v>LA HOGUETTE</v>
      </c>
      <c r="E30862" s="38" t="s">
        <v>137</v>
      </c>
      <c r="F30862" s="38" t="s">
        <v>138</v>
      </c>
      <c r="G30862" s="49" t="str">
        <f t="shared" si="1"/>
        <v>14700</v>
      </c>
      <c r="H30862" s="49">
        <f t="shared" si="2"/>
        <v>14332</v>
      </c>
    </row>
    <row r="30863">
      <c r="A30863" s="48" t="s">
        <v>2227</v>
      </c>
      <c r="B30863" s="38">
        <v>74084.0</v>
      </c>
      <c r="C30863" s="38" t="s">
        <v>35210</v>
      </c>
      <c r="D30863" s="38" t="str">
        <f>IFERROR(__xludf.DUMMYFUNCTION("REGEXREPLACE(C30863,""-\d+(.*)|--\d+(.*)"","""")"),"CONS-SAINTE-COLOMBE")</f>
        <v>CONS-SAINTE-COLOMBE</v>
      </c>
      <c r="E30863" s="38" t="s">
        <v>319</v>
      </c>
      <c r="F30863" s="38" t="s">
        <v>102</v>
      </c>
      <c r="G30863" s="49" t="str">
        <f t="shared" si="1"/>
        <v>74210</v>
      </c>
      <c r="H30863" s="49">
        <f t="shared" si="2"/>
        <v>74084</v>
      </c>
    </row>
    <row r="30864">
      <c r="A30864" s="48" t="s">
        <v>10060</v>
      </c>
      <c r="B30864" s="38">
        <v>35127.0</v>
      </c>
      <c r="C30864" s="38" t="s">
        <v>35211</v>
      </c>
      <c r="D30864" s="38" t="str">
        <f>IFERROR(__xludf.DUMMYFUNCTION("REGEXREPLACE(C30864,""-\d+(.*)|--\d+(.*)"","""")"),"GUIGNEN")</f>
        <v>GUIGNEN</v>
      </c>
      <c r="E30864" s="38" t="s">
        <v>347</v>
      </c>
      <c r="F30864" s="38" t="s">
        <v>90</v>
      </c>
      <c r="G30864" s="49" t="str">
        <f t="shared" si="1"/>
        <v>35580</v>
      </c>
      <c r="H30864" s="49">
        <f t="shared" si="2"/>
        <v>35127</v>
      </c>
    </row>
    <row r="30865">
      <c r="A30865" s="48" t="s">
        <v>1166</v>
      </c>
      <c r="B30865" s="38">
        <v>9164.0</v>
      </c>
      <c r="C30865" s="38" t="s">
        <v>35212</v>
      </c>
      <c r="D30865" s="38" t="str">
        <f>IFERROR(__xludf.DUMMYFUNCTION("REGEXREPLACE(C30865,""-\d+(.*)|--\d+(.*)"","""")"),"LESCURE")</f>
        <v>LESCURE</v>
      </c>
      <c r="E30865" s="38" t="s">
        <v>238</v>
      </c>
      <c r="F30865" s="38" t="s">
        <v>94</v>
      </c>
      <c r="G30865" s="49" t="str">
        <f t="shared" si="1"/>
        <v>09420</v>
      </c>
      <c r="H30865" s="49" t="str">
        <f t="shared" si="2"/>
        <v>09164</v>
      </c>
    </row>
    <row r="30866">
      <c r="A30866" s="48" t="s">
        <v>4497</v>
      </c>
      <c r="B30866" s="38">
        <v>25060.0</v>
      </c>
      <c r="C30866" s="38" t="s">
        <v>35213</v>
      </c>
      <c r="D30866" s="38" t="str">
        <f>IFERROR(__xludf.DUMMYFUNCTION("REGEXREPLACE(C30866,""-\d+(.*)|--\d+(.*)"","""")"),"BIANS-LES-USIERS")</f>
        <v>BIANS-LES-USIERS</v>
      </c>
      <c r="E30866" s="38" t="s">
        <v>213</v>
      </c>
      <c r="F30866" s="38" t="s">
        <v>214</v>
      </c>
      <c r="G30866" s="49" t="str">
        <f t="shared" si="1"/>
        <v>25520</v>
      </c>
      <c r="H30866" s="49">
        <f t="shared" si="2"/>
        <v>25060</v>
      </c>
    </row>
    <row r="30867">
      <c r="A30867" s="48" t="s">
        <v>3596</v>
      </c>
      <c r="B30867" s="38">
        <v>25157.0</v>
      </c>
      <c r="C30867" s="38" t="s">
        <v>35214</v>
      </c>
      <c r="D30867" s="38" t="str">
        <f>IFERROR(__xludf.DUMMYFUNCTION("REGEXREPLACE(C30867,""-\d+(.*)|--\d+(.*)"","""")"),"LA CLUSE-ET-MIJOUX")</f>
        <v>LA CLUSE-ET-MIJOUX</v>
      </c>
      <c r="E30867" s="38" t="s">
        <v>213</v>
      </c>
      <c r="F30867" s="38" t="s">
        <v>214</v>
      </c>
      <c r="G30867" s="49" t="str">
        <f t="shared" si="1"/>
        <v>25300</v>
      </c>
      <c r="H30867" s="49">
        <f t="shared" si="2"/>
        <v>25157</v>
      </c>
    </row>
    <row r="30868">
      <c r="A30868" s="48" t="s">
        <v>3723</v>
      </c>
      <c r="B30868" s="38">
        <v>54179.0</v>
      </c>
      <c r="C30868" s="38" t="s">
        <v>35215</v>
      </c>
      <c r="D30868" s="38" t="str">
        <f>IFERROR(__xludf.DUMMYFUNCTION("REGEXREPLACE(C30868,""-\d+(.*)|--\d+(.*)"","""")"),"EPLY")</f>
        <v>EPLY</v>
      </c>
      <c r="E30868" s="38" t="s">
        <v>548</v>
      </c>
      <c r="F30868" s="38" t="s">
        <v>195</v>
      </c>
      <c r="G30868" s="49" t="str">
        <f t="shared" si="1"/>
        <v>54610</v>
      </c>
      <c r="H30868" s="49">
        <f t="shared" si="2"/>
        <v>54179</v>
      </c>
    </row>
    <row r="30869">
      <c r="A30869" s="48" t="s">
        <v>12200</v>
      </c>
      <c r="B30869" s="38">
        <v>74197.0</v>
      </c>
      <c r="C30869" s="38" t="s">
        <v>35216</v>
      </c>
      <c r="D30869" s="38" t="str">
        <f>IFERROR(__xludf.DUMMYFUNCTION("REGEXREPLACE(C30869,""-\d+(.*)|--\d+(.*)"","""")"),"NANGY")</f>
        <v>NANGY</v>
      </c>
      <c r="E30869" s="38" t="s">
        <v>319</v>
      </c>
      <c r="F30869" s="38" t="s">
        <v>102</v>
      </c>
      <c r="G30869" s="49" t="str">
        <f t="shared" si="1"/>
        <v>74380</v>
      </c>
      <c r="H30869" s="49">
        <f t="shared" si="2"/>
        <v>74197</v>
      </c>
    </row>
    <row r="30870">
      <c r="A30870" s="48" t="s">
        <v>11981</v>
      </c>
      <c r="B30870" s="38">
        <v>49224.0</v>
      </c>
      <c r="C30870" s="38" t="s">
        <v>35217</v>
      </c>
      <c r="D30870" s="38" t="str">
        <f>IFERROR(__xludf.DUMMYFUNCTION("REGEXREPLACE(C30870,""-\d+(.*)|--\d+(.*)"","""")"),"NEUILLE")</f>
        <v>NEUILLE</v>
      </c>
      <c r="E30870" s="38" t="s">
        <v>653</v>
      </c>
      <c r="F30870" s="38" t="s">
        <v>180</v>
      </c>
      <c r="G30870" s="49" t="str">
        <f t="shared" si="1"/>
        <v>49680</v>
      </c>
      <c r="H30870" s="49">
        <f t="shared" si="2"/>
        <v>49224</v>
      </c>
    </row>
    <row r="30871">
      <c r="A30871" s="48" t="s">
        <v>14115</v>
      </c>
      <c r="B30871" s="38">
        <v>77069.0</v>
      </c>
      <c r="C30871" s="38" t="s">
        <v>35218</v>
      </c>
      <c r="D30871" s="38" t="str">
        <f>IFERROR(__xludf.DUMMYFUNCTION("REGEXREPLACE(C30871,""-\d+(.*)|--\d+(.*)"","""")"),"CHAILLY-EN-BIERE")</f>
        <v>CHAILLY-EN-BIERE</v>
      </c>
      <c r="E30871" s="38" t="s">
        <v>244</v>
      </c>
      <c r="F30871" s="38" t="s">
        <v>245</v>
      </c>
      <c r="G30871" s="49" t="str">
        <f t="shared" si="1"/>
        <v>77930</v>
      </c>
      <c r="H30871" s="49">
        <f t="shared" si="2"/>
        <v>77069</v>
      </c>
    </row>
    <row r="30872">
      <c r="A30872" s="48" t="s">
        <v>17621</v>
      </c>
      <c r="B30872" s="38">
        <v>7349.0</v>
      </c>
      <c r="C30872" s="38" t="s">
        <v>35219</v>
      </c>
      <c r="D30872" s="38" t="str">
        <f>IFERROR(__xludf.DUMMYFUNCTION("REGEXREPLACE(C30872,""-\d+(.*)|--\d+(.*)"","""")"),"LA VOULTE-SUR-RHONE")</f>
        <v>LA VOULTE-SUR-RHONE</v>
      </c>
      <c r="E30872" s="38" t="s">
        <v>144</v>
      </c>
      <c r="F30872" s="38" t="s">
        <v>102</v>
      </c>
      <c r="G30872" s="49" t="str">
        <f t="shared" si="1"/>
        <v>07800</v>
      </c>
      <c r="H30872" s="49" t="str">
        <f t="shared" si="2"/>
        <v>07349</v>
      </c>
    </row>
    <row r="30873">
      <c r="A30873" s="48" t="s">
        <v>19883</v>
      </c>
      <c r="B30873" s="38">
        <v>38112.0</v>
      </c>
      <c r="C30873" s="38" t="s">
        <v>35220</v>
      </c>
      <c r="D30873" s="38" t="str">
        <f>IFERROR(__xludf.DUMMYFUNCTION("REGEXREPLACE(C30873,""-\d+(.*)|--\d+(.*)"","""")"),"CLAVANS-EN-HAUT-OISANS")</f>
        <v>CLAVANS-EN-HAUT-OISANS</v>
      </c>
      <c r="E30873" s="38" t="s">
        <v>101</v>
      </c>
      <c r="F30873" s="38" t="s">
        <v>102</v>
      </c>
      <c r="G30873" s="49" t="str">
        <f t="shared" si="1"/>
        <v>38142</v>
      </c>
      <c r="H30873" s="49">
        <f t="shared" si="2"/>
        <v>38112</v>
      </c>
    </row>
    <row r="30874">
      <c r="A30874" s="48" t="s">
        <v>5542</v>
      </c>
      <c r="B30874" s="38">
        <v>89174.0</v>
      </c>
      <c r="C30874" s="38" t="s">
        <v>33328</v>
      </c>
      <c r="D30874" s="38" t="str">
        <f>IFERROR(__xludf.DUMMYFUNCTION("REGEXREPLACE(C30874,""-\d+(.*)|--\d+(.*)"","""")"),"FONTENAILLES")</f>
        <v>FONTENAILLES</v>
      </c>
      <c r="E30874" s="38" t="s">
        <v>275</v>
      </c>
      <c r="F30874" s="38" t="s">
        <v>106</v>
      </c>
      <c r="G30874" s="49" t="str">
        <f t="shared" si="1"/>
        <v>89560</v>
      </c>
      <c r="H30874" s="49">
        <f t="shared" si="2"/>
        <v>89174</v>
      </c>
    </row>
    <row r="30875">
      <c r="A30875" s="48" t="s">
        <v>3662</v>
      </c>
      <c r="B30875" s="38">
        <v>80269.0</v>
      </c>
      <c r="C30875" s="38" t="s">
        <v>35221</v>
      </c>
      <c r="D30875" s="38" t="str">
        <f>IFERROR(__xludf.DUMMYFUNCTION("REGEXREPLACE(C30875,""-\d+(.*)|--\d+(.*)"","""")"),"EPAUMESNIL")</f>
        <v>EPAUMESNIL</v>
      </c>
      <c r="E30875" s="38" t="s">
        <v>224</v>
      </c>
      <c r="F30875" s="38" t="s">
        <v>113</v>
      </c>
      <c r="G30875" s="49" t="str">
        <f t="shared" si="1"/>
        <v>80140</v>
      </c>
      <c r="H30875" s="49">
        <f t="shared" si="2"/>
        <v>80269</v>
      </c>
    </row>
    <row r="30876">
      <c r="A30876" s="48" t="s">
        <v>28663</v>
      </c>
      <c r="B30876" s="38">
        <v>63189.0</v>
      </c>
      <c r="C30876" s="38" t="s">
        <v>35222</v>
      </c>
      <c r="D30876" s="38" t="str">
        <f>IFERROR(__xludf.DUMMYFUNCTION("REGEXREPLACE(C30876,""-\d+(.*)|--\d+(.*)"","""")"),"LAQUEUILLE")</f>
        <v>LAQUEUILLE</v>
      </c>
      <c r="E30876" s="38" t="s">
        <v>353</v>
      </c>
      <c r="F30876" s="38" t="s">
        <v>161</v>
      </c>
      <c r="G30876" s="49" t="str">
        <f t="shared" si="1"/>
        <v>63820</v>
      </c>
      <c r="H30876" s="49">
        <f t="shared" si="2"/>
        <v>63189</v>
      </c>
    </row>
    <row r="30877">
      <c r="A30877" s="48" t="s">
        <v>13106</v>
      </c>
      <c r="B30877" s="38">
        <v>88344.0</v>
      </c>
      <c r="C30877" s="38" t="s">
        <v>35223</v>
      </c>
      <c r="D30877" s="38" t="str">
        <f>IFERROR(__xludf.DUMMYFUNCTION("REGEXREPLACE(C30877,""-\d+(.*)|--\d+(.*)"","""")"),"PARGNY-SOUS-MUREAU")</f>
        <v>PARGNY-SOUS-MUREAU</v>
      </c>
      <c r="E30877" s="38" t="s">
        <v>194</v>
      </c>
      <c r="F30877" s="38" t="s">
        <v>195</v>
      </c>
      <c r="G30877" s="49" t="str">
        <f t="shared" si="1"/>
        <v>88350</v>
      </c>
      <c r="H30877" s="49">
        <f t="shared" si="2"/>
        <v>88344</v>
      </c>
    </row>
    <row r="30878">
      <c r="A30878" s="48" t="s">
        <v>8001</v>
      </c>
      <c r="B30878" s="38">
        <v>89314.0</v>
      </c>
      <c r="C30878" s="38" t="s">
        <v>35224</v>
      </c>
      <c r="D30878" s="38" t="str">
        <f>IFERROR(__xludf.DUMMYFUNCTION("REGEXREPLACE(C30878,""-\d+(.*)|--\d+(.*)"","""")"),"PREGILBERT")</f>
        <v>PREGILBERT</v>
      </c>
      <c r="E30878" s="38" t="s">
        <v>275</v>
      </c>
      <c r="F30878" s="38" t="s">
        <v>106</v>
      </c>
      <c r="G30878" s="49" t="str">
        <f t="shared" si="1"/>
        <v>89460</v>
      </c>
      <c r="H30878" s="49">
        <f t="shared" si="2"/>
        <v>89314</v>
      </c>
    </row>
    <row r="30879">
      <c r="A30879" s="48" t="s">
        <v>2229</v>
      </c>
      <c r="B30879" s="38">
        <v>64397.0</v>
      </c>
      <c r="C30879" s="38" t="s">
        <v>35225</v>
      </c>
      <c r="D30879" s="38" t="str">
        <f>IFERROR(__xludf.DUMMYFUNCTION("REGEXREPLACE(C30879,""-\d+(.*)|--\d+(.*)"","""")"),"MONTAGUT")</f>
        <v>MONTAGUT</v>
      </c>
      <c r="E30879" s="38" t="s">
        <v>268</v>
      </c>
      <c r="F30879" s="38" t="s">
        <v>252</v>
      </c>
      <c r="G30879" s="49" t="str">
        <f t="shared" si="1"/>
        <v>64410</v>
      </c>
      <c r="H30879" s="49">
        <f t="shared" si="2"/>
        <v>64397</v>
      </c>
    </row>
    <row r="30880">
      <c r="A30880" s="48" t="s">
        <v>8806</v>
      </c>
      <c r="B30880" s="38">
        <v>5067.0</v>
      </c>
      <c r="C30880" s="38" t="s">
        <v>35226</v>
      </c>
      <c r="D30880" s="38" t="str">
        <f>IFERROR(__xludf.DUMMYFUNCTION("REGEXREPLACE(C30880,""-\d+(.*)|--\d+(.*)"","""")"),"LES INFOURNAS")</f>
        <v>LES INFOURNAS</v>
      </c>
      <c r="E30880" s="38" t="s">
        <v>706</v>
      </c>
      <c r="F30880" s="38" t="s">
        <v>228</v>
      </c>
      <c r="G30880" s="49" t="str">
        <f t="shared" si="1"/>
        <v>05500</v>
      </c>
      <c r="H30880" s="49" t="str">
        <f t="shared" si="2"/>
        <v>05067</v>
      </c>
    </row>
    <row r="30881">
      <c r="A30881" s="48" t="s">
        <v>15260</v>
      </c>
      <c r="B30881" s="38">
        <v>57660.0</v>
      </c>
      <c r="C30881" s="38" t="s">
        <v>35227</v>
      </c>
      <c r="D30881" s="38" t="str">
        <f>IFERROR(__xludf.DUMMYFUNCTION("REGEXREPLACE(C30881,""-\d+(.*)|--\d+(.*)"","""")"),"STIRING-WENDEL")</f>
        <v>STIRING-WENDEL</v>
      </c>
      <c r="E30881" s="38" t="s">
        <v>303</v>
      </c>
      <c r="F30881" s="38" t="s">
        <v>195</v>
      </c>
      <c r="G30881" s="49" t="str">
        <f t="shared" si="1"/>
        <v>57350</v>
      </c>
      <c r="H30881" s="49">
        <f t="shared" si="2"/>
        <v>57660</v>
      </c>
    </row>
    <row r="30882">
      <c r="A30882" s="48" t="s">
        <v>35228</v>
      </c>
      <c r="B30882" s="38">
        <v>57644.0</v>
      </c>
      <c r="C30882" s="38" t="s">
        <v>35229</v>
      </c>
      <c r="D30882" s="38" t="str">
        <f>IFERROR(__xludf.DUMMYFUNCTION("REGEXREPLACE(C30882,""-\d+(.*)|--\d+(.*)"","""")"),"SEINGBOUSE")</f>
        <v>SEINGBOUSE</v>
      </c>
      <c r="E30882" s="38" t="s">
        <v>303</v>
      </c>
      <c r="F30882" s="38" t="s">
        <v>195</v>
      </c>
      <c r="G30882" s="49" t="str">
        <f t="shared" si="1"/>
        <v>57455</v>
      </c>
      <c r="H30882" s="49">
        <f t="shared" si="2"/>
        <v>57644</v>
      </c>
    </row>
    <row r="30883">
      <c r="A30883" s="48" t="s">
        <v>2296</v>
      </c>
      <c r="B30883" s="38">
        <v>47047.0</v>
      </c>
      <c r="C30883" s="38" t="s">
        <v>9213</v>
      </c>
      <c r="D30883" s="38" t="str">
        <f>IFERROR(__xludf.DUMMYFUNCTION("REGEXREPLACE(C30883,""-\d+(.*)|--\d+(.*)"","""")"),"CAMBES")</f>
        <v>CAMBES</v>
      </c>
      <c r="E30883" s="38" t="s">
        <v>251</v>
      </c>
      <c r="F30883" s="38" t="s">
        <v>252</v>
      </c>
      <c r="G30883" s="49" t="str">
        <f t="shared" si="1"/>
        <v>47350</v>
      </c>
      <c r="H30883" s="49">
        <f t="shared" si="2"/>
        <v>47047</v>
      </c>
    </row>
    <row r="30884">
      <c r="A30884" s="48" t="s">
        <v>18871</v>
      </c>
      <c r="B30884" s="38">
        <v>42023.0</v>
      </c>
      <c r="C30884" s="38" t="s">
        <v>35230</v>
      </c>
      <c r="D30884" s="38" t="str">
        <f>IFERROR(__xludf.DUMMYFUNCTION("REGEXREPLACE(C30884,""-\d+(.*)|--\d+(.*)"","""")"),"BOURG-ARGENTAL")</f>
        <v>BOURG-ARGENTAL</v>
      </c>
      <c r="E30884" s="38" t="s">
        <v>166</v>
      </c>
      <c r="F30884" s="38" t="s">
        <v>102</v>
      </c>
      <c r="G30884" s="49" t="str">
        <f t="shared" si="1"/>
        <v>42220</v>
      </c>
      <c r="H30884" s="49">
        <f t="shared" si="2"/>
        <v>42023</v>
      </c>
    </row>
    <row r="30885">
      <c r="A30885" s="48" t="s">
        <v>2149</v>
      </c>
      <c r="B30885" s="38">
        <v>83005.0</v>
      </c>
      <c r="C30885" s="38" t="s">
        <v>35231</v>
      </c>
      <c r="D30885" s="38" t="str">
        <f>IFERROR(__xludf.DUMMYFUNCTION("REGEXREPLACE(C30885,""-\d+(.*)|--\d+(.*)"","""")"),"ARTIGNOSC-SUR-VERDON")</f>
        <v>ARTIGNOSC-SUR-VERDON</v>
      </c>
      <c r="E30885" s="38" t="s">
        <v>813</v>
      </c>
      <c r="F30885" s="38" t="s">
        <v>228</v>
      </c>
      <c r="G30885" s="49" t="str">
        <f t="shared" si="1"/>
        <v>83630</v>
      </c>
      <c r="H30885" s="49">
        <f t="shared" si="2"/>
        <v>83005</v>
      </c>
    </row>
    <row r="30886">
      <c r="A30886" s="48" t="s">
        <v>9340</v>
      </c>
      <c r="B30886" s="38">
        <v>4077.0</v>
      </c>
      <c r="C30886" s="38" t="s">
        <v>35232</v>
      </c>
      <c r="D30886" s="38" t="str">
        <f>IFERROR(__xludf.DUMMYFUNCTION("REGEXREPLACE(C30886,""-\d+(.*)|--\d+(.*)"","""")"),"ENTREVENNES")</f>
        <v>ENTREVENNES</v>
      </c>
      <c r="E30886" s="38" t="s">
        <v>662</v>
      </c>
      <c r="F30886" s="38" t="s">
        <v>228</v>
      </c>
      <c r="G30886" s="49" t="str">
        <f t="shared" si="1"/>
        <v>04700</v>
      </c>
      <c r="H30886" s="49" t="str">
        <f t="shared" si="2"/>
        <v>04077</v>
      </c>
    </row>
    <row r="30887">
      <c r="A30887" s="48" t="s">
        <v>286</v>
      </c>
      <c r="B30887" s="38">
        <v>68132.0</v>
      </c>
      <c r="C30887" s="38" t="s">
        <v>35233</v>
      </c>
      <c r="D30887" s="38" t="str">
        <f>IFERROR(__xludf.DUMMYFUNCTION("REGEXREPLACE(C30887,""-\d+(.*)|--\d+(.*)"","""")"),"HELFRANTZKIRCH")</f>
        <v>HELFRANTZKIRCH</v>
      </c>
      <c r="E30887" s="38" t="s">
        <v>150</v>
      </c>
      <c r="F30887" s="38" t="s">
        <v>151</v>
      </c>
      <c r="G30887" s="49" t="str">
        <f t="shared" si="1"/>
        <v>68510</v>
      </c>
      <c r="H30887" s="49">
        <f t="shared" si="2"/>
        <v>68132</v>
      </c>
    </row>
    <row r="30888">
      <c r="A30888" s="48" t="s">
        <v>2788</v>
      </c>
      <c r="B30888" s="38">
        <v>35062.0</v>
      </c>
      <c r="C30888" s="38" t="s">
        <v>35234</v>
      </c>
      <c r="D30888" s="38" t="str">
        <f>IFERROR(__xludf.DUMMYFUNCTION("REGEXREPLACE(C30888,""-\d+(.*)|--\d+(.*)"","""")"),"LA CHAPELLE-JANSON")</f>
        <v>LA CHAPELLE-JANSON</v>
      </c>
      <c r="E30888" s="38" t="s">
        <v>347</v>
      </c>
      <c r="F30888" s="38" t="s">
        <v>90</v>
      </c>
      <c r="G30888" s="49" t="str">
        <f t="shared" si="1"/>
        <v>35133</v>
      </c>
      <c r="H30888" s="49">
        <f t="shared" si="2"/>
        <v>35062</v>
      </c>
    </row>
    <row r="30889">
      <c r="A30889" s="48" t="s">
        <v>5831</v>
      </c>
      <c r="B30889" s="38">
        <v>5143.0</v>
      </c>
      <c r="C30889" s="38" t="s">
        <v>35235</v>
      </c>
      <c r="D30889" s="38" t="str">
        <f>IFERROR(__xludf.DUMMYFUNCTION("REGEXREPLACE(C30889,""-\d+(.*)|--\d+(.*)"","""")"),"SAINT-GENIS")</f>
        <v>SAINT-GENIS</v>
      </c>
      <c r="E30889" s="38" t="s">
        <v>706</v>
      </c>
      <c r="F30889" s="38" t="s">
        <v>228</v>
      </c>
      <c r="G30889" s="49" t="str">
        <f t="shared" si="1"/>
        <v>05300</v>
      </c>
      <c r="H30889" s="49" t="str">
        <f t="shared" si="2"/>
        <v>05143</v>
      </c>
    </row>
    <row r="30890">
      <c r="A30890" s="48" t="s">
        <v>895</v>
      </c>
      <c r="B30890" s="38">
        <v>87105.0</v>
      </c>
      <c r="C30890" s="38" t="s">
        <v>35236</v>
      </c>
      <c r="D30890" s="38" t="str">
        <f>IFERROR(__xludf.DUMMYFUNCTION("REGEXREPLACE(C30890,""-\d+(.*)|--\d+(.*)"","""")"),"NEUVIC-ENTIER")</f>
        <v>NEUVIC-ENTIER</v>
      </c>
      <c r="E30890" s="38" t="s">
        <v>897</v>
      </c>
      <c r="F30890" s="38" t="s">
        <v>98</v>
      </c>
      <c r="G30890" s="49" t="str">
        <f t="shared" si="1"/>
        <v>87130</v>
      </c>
      <c r="H30890" s="49">
        <f t="shared" si="2"/>
        <v>87105</v>
      </c>
    </row>
    <row r="30891">
      <c r="A30891" s="48" t="s">
        <v>944</v>
      </c>
      <c r="B30891" s="38">
        <v>61372.0</v>
      </c>
      <c r="C30891" s="38" t="s">
        <v>35237</v>
      </c>
      <c r="D30891" s="38" t="str">
        <f>IFERROR(__xludf.DUMMYFUNCTION("REGEXREPLACE(C30891,""-\d+(.*)|--\d+(.*)"","""")"),"SAINT-CENERI-LE-GEREI")</f>
        <v>SAINT-CENERI-LE-GEREI</v>
      </c>
      <c r="E30891" s="38" t="s">
        <v>141</v>
      </c>
      <c r="F30891" s="38" t="s">
        <v>138</v>
      </c>
      <c r="G30891" s="49" t="str">
        <f t="shared" si="1"/>
        <v>61250</v>
      </c>
      <c r="H30891" s="49">
        <f t="shared" si="2"/>
        <v>61372</v>
      </c>
    </row>
    <row r="30892">
      <c r="A30892" s="48" t="s">
        <v>4624</v>
      </c>
      <c r="B30892" s="38">
        <v>74016.0</v>
      </c>
      <c r="C30892" s="38" t="s">
        <v>35238</v>
      </c>
      <c r="D30892" s="38" t="str">
        <f>IFERROR(__xludf.DUMMYFUNCTION("REGEXREPLACE(C30892,""-\d+(.*)|--\d+(.*)"","""")"),"ARCHAMPS")</f>
        <v>ARCHAMPS</v>
      </c>
      <c r="E30892" s="38" t="s">
        <v>319</v>
      </c>
      <c r="F30892" s="38" t="s">
        <v>102</v>
      </c>
      <c r="G30892" s="49" t="str">
        <f t="shared" si="1"/>
        <v>74160</v>
      </c>
      <c r="H30892" s="49">
        <f t="shared" si="2"/>
        <v>74016</v>
      </c>
    </row>
    <row r="30893">
      <c r="A30893" s="48" t="s">
        <v>16863</v>
      </c>
      <c r="B30893" s="38">
        <v>45072.0</v>
      </c>
      <c r="C30893" s="38" t="s">
        <v>35239</v>
      </c>
      <c r="D30893" s="38" t="str">
        <f>IFERROR(__xludf.DUMMYFUNCTION("REGEXREPLACE(C30893,""-\d+(.*)|--\d+(.*)"","""")"),"CHANTEAU")</f>
        <v>CHANTEAU</v>
      </c>
      <c r="E30893" s="38" t="s">
        <v>122</v>
      </c>
      <c r="F30893" s="38" t="s">
        <v>123</v>
      </c>
      <c r="G30893" s="49" t="str">
        <f t="shared" si="1"/>
        <v>45400</v>
      </c>
      <c r="H30893" s="49">
        <f t="shared" si="2"/>
        <v>45072</v>
      </c>
    </row>
    <row r="30894">
      <c r="A30894" s="48" t="s">
        <v>624</v>
      </c>
      <c r="B30894" s="38">
        <v>67377.0</v>
      </c>
      <c r="C30894" s="38" t="s">
        <v>35240</v>
      </c>
      <c r="D30894" s="38" t="str">
        <f>IFERROR(__xludf.DUMMYFUNCTION("REGEXREPLACE(C30894,""-\d+(.*)|--\d+(.*)"","""")"),"PLAINE")</f>
        <v>PLAINE</v>
      </c>
      <c r="E30894" s="38" t="s">
        <v>210</v>
      </c>
      <c r="F30894" s="38" t="s">
        <v>151</v>
      </c>
      <c r="G30894" s="49" t="str">
        <f t="shared" si="1"/>
        <v>67420</v>
      </c>
      <c r="H30894" s="49">
        <f t="shared" si="2"/>
        <v>67377</v>
      </c>
    </row>
    <row r="30895">
      <c r="A30895" s="48" t="s">
        <v>3009</v>
      </c>
      <c r="B30895" s="38">
        <v>11250.0</v>
      </c>
      <c r="C30895" s="38" t="s">
        <v>1960</v>
      </c>
      <c r="D30895" s="38" t="str">
        <f>IFERROR(__xludf.DUMMYFUNCTION("REGEXREPLACE(C30895,""-\d+(.*)|--\d+(.*)"","""")"),"MONTJOI")</f>
        <v>MONTJOI</v>
      </c>
      <c r="E30895" s="38" t="s">
        <v>278</v>
      </c>
      <c r="F30895" s="38" t="s">
        <v>119</v>
      </c>
      <c r="G30895" s="49" t="str">
        <f t="shared" si="1"/>
        <v>11330</v>
      </c>
      <c r="H30895" s="49">
        <f t="shared" si="2"/>
        <v>11250</v>
      </c>
    </row>
    <row r="30896">
      <c r="A30896" s="48" t="s">
        <v>25836</v>
      </c>
      <c r="B30896" s="38">
        <v>29184.0</v>
      </c>
      <c r="C30896" s="38" t="s">
        <v>35241</v>
      </c>
      <c r="D30896" s="38" t="str">
        <f>IFERROR(__xludf.DUMMYFUNCTION("REGEXREPLACE(C30896,""-\d+(.*)|--\d+(.*)"","""")"),"PLOUENAN")</f>
        <v>PLOUENAN</v>
      </c>
      <c r="E30896" s="38" t="s">
        <v>176</v>
      </c>
      <c r="F30896" s="38" t="s">
        <v>90</v>
      </c>
      <c r="G30896" s="49" t="str">
        <f t="shared" si="1"/>
        <v>29420</v>
      </c>
      <c r="H30896" s="49">
        <f t="shared" si="2"/>
        <v>29184</v>
      </c>
    </row>
    <row r="30897">
      <c r="A30897" s="48" t="s">
        <v>1141</v>
      </c>
      <c r="B30897" s="38">
        <v>59480.0</v>
      </c>
      <c r="C30897" s="38" t="s">
        <v>35242</v>
      </c>
      <c r="D30897" s="38" t="str">
        <f>IFERROR(__xludf.DUMMYFUNCTION("REGEXREPLACE(C30897,""-\d+(.*)|--\d+(.*)"","""")"),"QUERENAING")</f>
        <v>QUERENAING</v>
      </c>
      <c r="E30897" s="38" t="s">
        <v>85</v>
      </c>
      <c r="F30897" s="38" t="s">
        <v>86</v>
      </c>
      <c r="G30897" s="49" t="str">
        <f t="shared" si="1"/>
        <v>59269</v>
      </c>
      <c r="H30897" s="49">
        <f t="shared" si="2"/>
        <v>59480</v>
      </c>
    </row>
    <row r="30898">
      <c r="A30898" s="48" t="s">
        <v>35243</v>
      </c>
      <c r="B30898" s="38">
        <v>14101.0</v>
      </c>
      <c r="C30898" s="38" t="s">
        <v>35244</v>
      </c>
      <c r="D30898" s="38" t="str">
        <f>IFERROR(__xludf.DUMMYFUNCTION("REGEXREPLACE(C30898,""-\d+(.*)|--\d+(.*)"","""")"),"BRETTEVILLE-SUR-ODON")</f>
        <v>BRETTEVILLE-SUR-ODON</v>
      </c>
      <c r="E30898" s="38" t="s">
        <v>137</v>
      </c>
      <c r="F30898" s="38" t="s">
        <v>138</v>
      </c>
      <c r="G30898" s="49" t="str">
        <f t="shared" si="1"/>
        <v>14760</v>
      </c>
      <c r="H30898" s="49">
        <f t="shared" si="2"/>
        <v>14101</v>
      </c>
    </row>
    <row r="30899">
      <c r="A30899" s="48" t="s">
        <v>3900</v>
      </c>
      <c r="B30899" s="38">
        <v>2024.0</v>
      </c>
      <c r="C30899" s="38" t="s">
        <v>35245</v>
      </c>
      <c r="D30899" s="38" t="str">
        <f>IFERROR(__xludf.DUMMYFUNCTION("REGEXREPLACE(C30899,""-\d+(.*)|--\d+(.*)"","""")"),"ARRANCY")</f>
        <v>ARRANCY</v>
      </c>
      <c r="E30899" s="38" t="s">
        <v>191</v>
      </c>
      <c r="F30899" s="38" t="s">
        <v>113</v>
      </c>
      <c r="G30899" s="49" t="str">
        <f t="shared" si="1"/>
        <v>02860</v>
      </c>
      <c r="H30899" s="49" t="str">
        <f t="shared" si="2"/>
        <v>02024</v>
      </c>
    </row>
    <row r="30900">
      <c r="A30900" s="48" t="s">
        <v>4840</v>
      </c>
      <c r="B30900" s="38">
        <v>16272.0</v>
      </c>
      <c r="C30900" s="38" t="s">
        <v>35246</v>
      </c>
      <c r="D30900" s="38" t="str">
        <f>IFERROR(__xludf.DUMMYFUNCTION("REGEXREPLACE(C30900,""-\d+(.*)|--\d+(.*)"","""")"),"PUYREAUX")</f>
        <v>PUYREAUX</v>
      </c>
      <c r="E30900" s="38" t="s">
        <v>429</v>
      </c>
      <c r="F30900" s="38" t="s">
        <v>338</v>
      </c>
      <c r="G30900" s="49" t="str">
        <f t="shared" si="1"/>
        <v>16230</v>
      </c>
      <c r="H30900" s="49">
        <f t="shared" si="2"/>
        <v>16272</v>
      </c>
    </row>
    <row r="30901">
      <c r="A30901" s="48" t="s">
        <v>1607</v>
      </c>
      <c r="B30901" s="38">
        <v>81237.0</v>
      </c>
      <c r="C30901" s="38" t="s">
        <v>35247</v>
      </c>
      <c r="D30901" s="38" t="str">
        <f>IFERROR(__xludf.DUMMYFUNCTION("REGEXREPLACE(C30901,""-\d+(.*)|--\d+(.*)"","""")"),"SAINT-AMANCET")</f>
        <v>SAINT-AMANCET</v>
      </c>
      <c r="E30901" s="38" t="s">
        <v>231</v>
      </c>
      <c r="F30901" s="38" t="s">
        <v>94</v>
      </c>
      <c r="G30901" s="49" t="str">
        <f t="shared" si="1"/>
        <v>81110</v>
      </c>
      <c r="H30901" s="49">
        <f t="shared" si="2"/>
        <v>81237</v>
      </c>
    </row>
    <row r="30902">
      <c r="A30902" s="48" t="s">
        <v>5268</v>
      </c>
      <c r="B30902" s="38">
        <v>49319.0</v>
      </c>
      <c r="C30902" s="38" t="s">
        <v>35248</v>
      </c>
      <c r="D30902" s="38" t="str">
        <f>IFERROR(__xludf.DUMMYFUNCTION("REGEXREPLACE(C30902,""-\d+(.*)|--\d+(.*)"","""")"),"SAINT-SAUVEUR-DE-FLEE")</f>
        <v>SAINT-SAUVEUR-DE-FLEE</v>
      </c>
      <c r="E30902" s="38" t="s">
        <v>653</v>
      </c>
      <c r="F30902" s="38" t="s">
        <v>180</v>
      </c>
      <c r="G30902" s="49" t="str">
        <f t="shared" si="1"/>
        <v>49500</v>
      </c>
      <c r="H30902" s="49">
        <f t="shared" si="2"/>
        <v>49319</v>
      </c>
    </row>
    <row r="30903">
      <c r="A30903" s="48" t="s">
        <v>7239</v>
      </c>
      <c r="B30903" s="38">
        <v>24196.0</v>
      </c>
      <c r="C30903" s="38" t="s">
        <v>35249</v>
      </c>
      <c r="D30903" s="38" t="str">
        <f>IFERROR(__xludf.DUMMYFUNCTION("REGEXREPLACE(C30903,""-\d+(.*)|--\d+(.*)"","""")"),"GENIS")</f>
        <v>GENIS</v>
      </c>
      <c r="E30903" s="38" t="s">
        <v>261</v>
      </c>
      <c r="F30903" s="38" t="s">
        <v>252</v>
      </c>
      <c r="G30903" s="49" t="str">
        <f t="shared" si="1"/>
        <v>24160</v>
      </c>
      <c r="H30903" s="49">
        <f t="shared" si="2"/>
        <v>24196</v>
      </c>
    </row>
    <row r="30904">
      <c r="A30904" s="48" t="s">
        <v>35250</v>
      </c>
      <c r="B30904" s="38">
        <v>23231.0</v>
      </c>
      <c r="C30904" s="38" t="s">
        <v>35251</v>
      </c>
      <c r="D30904" s="38" t="str">
        <f>IFERROR(__xludf.DUMMYFUNCTION("REGEXREPLACE(C30904,""-\d+(.*)|--\d+(.*)"","""")"),"SAINT-PIERRE-DE-FURSAC")</f>
        <v>SAINT-PIERRE-DE-FURSAC</v>
      </c>
      <c r="E30904" s="38" t="s">
        <v>97</v>
      </c>
      <c r="F30904" s="38" t="s">
        <v>98</v>
      </c>
      <c r="G30904" s="49" t="str">
        <f t="shared" si="1"/>
        <v>23290</v>
      </c>
      <c r="H30904" s="49">
        <f t="shared" si="2"/>
        <v>23231</v>
      </c>
    </row>
    <row r="30905">
      <c r="A30905" s="48" t="s">
        <v>6301</v>
      </c>
      <c r="B30905" s="38">
        <v>81013.0</v>
      </c>
      <c r="C30905" s="38" t="s">
        <v>35252</v>
      </c>
      <c r="D30905" s="38" t="str">
        <f>IFERROR(__xludf.DUMMYFUNCTION("REGEXREPLACE(C30905,""-\d+(.*)|--\d+(.*)"","""")"),"ANDOUQUE")</f>
        <v>ANDOUQUE</v>
      </c>
      <c r="E30905" s="38" t="s">
        <v>231</v>
      </c>
      <c r="F30905" s="38" t="s">
        <v>94</v>
      </c>
      <c r="G30905" s="49" t="str">
        <f t="shared" si="1"/>
        <v>81350</v>
      </c>
      <c r="H30905" s="49">
        <f t="shared" si="2"/>
        <v>81013</v>
      </c>
    </row>
    <row r="30906">
      <c r="A30906" s="48" t="s">
        <v>8080</v>
      </c>
      <c r="B30906" s="38" t="s">
        <v>35253</v>
      </c>
      <c r="C30906" s="38" t="s">
        <v>35254</v>
      </c>
      <c r="D30906" s="38" t="str">
        <f>IFERROR(__xludf.DUMMYFUNCTION("REGEXREPLACE(C30906,""-\d+(.*)|--\d+(.*)"","""")"),"OLCANI")</f>
        <v>OLCANI</v>
      </c>
      <c r="E30906" s="38" t="s">
        <v>743</v>
      </c>
      <c r="F30906" s="38" t="s">
        <v>607</v>
      </c>
      <c r="G30906" s="49" t="str">
        <f t="shared" si="1"/>
        <v>20217</v>
      </c>
      <c r="H30906" s="49" t="str">
        <f t="shared" si="2"/>
        <v>2B184</v>
      </c>
    </row>
    <row r="30907">
      <c r="A30907" s="48" t="s">
        <v>6250</v>
      </c>
      <c r="B30907" s="38">
        <v>38551.0</v>
      </c>
      <c r="C30907" s="38" t="s">
        <v>35255</v>
      </c>
      <c r="D30907" s="38" t="str">
        <f>IFERROR(__xludf.DUMMYFUNCTION("REGEXREPLACE(C30907,""-\d+(.*)|--\d+(.*)"","""")"),"VILLARD-REYMOND")</f>
        <v>VILLARD-REYMOND</v>
      </c>
      <c r="E30907" s="38" t="s">
        <v>101</v>
      </c>
      <c r="F30907" s="38" t="s">
        <v>102</v>
      </c>
      <c r="G30907" s="49" t="str">
        <f t="shared" si="1"/>
        <v>38520</v>
      </c>
      <c r="H30907" s="49">
        <f t="shared" si="2"/>
        <v>38551</v>
      </c>
    </row>
    <row r="30908">
      <c r="A30908" s="48" t="s">
        <v>413</v>
      </c>
      <c r="B30908" s="38">
        <v>35348.0</v>
      </c>
      <c r="C30908" s="38" t="s">
        <v>35256</v>
      </c>
      <c r="D30908" s="38" t="str">
        <f>IFERROR(__xludf.DUMMYFUNCTION("REGEXREPLACE(C30908,""-\d+(.*)|--\d+(.*)"","""")"),"VENDEL")</f>
        <v>VENDEL</v>
      </c>
      <c r="E30908" s="38" t="s">
        <v>347</v>
      </c>
      <c r="F30908" s="38" t="s">
        <v>90</v>
      </c>
      <c r="G30908" s="49" t="str">
        <f t="shared" si="1"/>
        <v>35140</v>
      </c>
      <c r="H30908" s="49">
        <f t="shared" si="2"/>
        <v>35348</v>
      </c>
    </row>
    <row r="30909">
      <c r="A30909" s="48" t="s">
        <v>2773</v>
      </c>
      <c r="B30909" s="38">
        <v>21655.0</v>
      </c>
      <c r="C30909" s="38" t="s">
        <v>35257</v>
      </c>
      <c r="D30909" s="38" t="str">
        <f>IFERROR(__xludf.DUMMYFUNCTION("REGEXREPLACE(C30909,""-\d+(.*)|--\d+(.*)"","""")"),"VANVEY")</f>
        <v>VANVEY</v>
      </c>
      <c r="E30909" s="38" t="s">
        <v>105</v>
      </c>
      <c r="F30909" s="38" t="s">
        <v>106</v>
      </c>
      <c r="G30909" s="49" t="str">
        <f t="shared" si="1"/>
        <v>21400</v>
      </c>
      <c r="H30909" s="49">
        <f t="shared" si="2"/>
        <v>21655</v>
      </c>
    </row>
    <row r="30910">
      <c r="A30910" s="48" t="s">
        <v>771</v>
      </c>
      <c r="B30910" s="38">
        <v>60174.0</v>
      </c>
      <c r="C30910" s="38" t="s">
        <v>35258</v>
      </c>
      <c r="D30910" s="38" t="str">
        <f>IFERROR(__xludf.DUMMYFUNCTION("REGEXREPLACE(C30910,""-\d+(.*)|--\d+(.*)"","""")"),"CRAPEAUMESNIL")</f>
        <v>CRAPEAUMESNIL</v>
      </c>
      <c r="E30910" s="38" t="s">
        <v>112</v>
      </c>
      <c r="F30910" s="38" t="s">
        <v>113</v>
      </c>
      <c r="G30910" s="49" t="str">
        <f t="shared" si="1"/>
        <v>60310</v>
      </c>
      <c r="H30910" s="49">
        <f t="shared" si="2"/>
        <v>60174</v>
      </c>
    </row>
    <row r="30911">
      <c r="A30911" s="48" t="s">
        <v>2190</v>
      </c>
      <c r="B30911" s="38">
        <v>10254.0</v>
      </c>
      <c r="C30911" s="38" t="s">
        <v>35259</v>
      </c>
      <c r="D30911" s="38" t="str">
        <f>IFERROR(__xludf.DUMMYFUNCTION("REGEXREPLACE(C30911,""-\d+(.*)|--\d+(.*)"","""")"),"MONTPOTHIER")</f>
        <v>MONTPOTHIER</v>
      </c>
      <c r="E30911" s="38" t="s">
        <v>147</v>
      </c>
      <c r="F30911" s="38" t="s">
        <v>130</v>
      </c>
      <c r="G30911" s="49" t="str">
        <f t="shared" si="1"/>
        <v>10400</v>
      </c>
      <c r="H30911" s="49">
        <f t="shared" si="2"/>
        <v>10254</v>
      </c>
    </row>
    <row r="30912">
      <c r="A30912" s="48" t="s">
        <v>325</v>
      </c>
      <c r="B30912" s="38">
        <v>8307.0</v>
      </c>
      <c r="C30912" s="38" t="s">
        <v>35260</v>
      </c>
      <c r="D30912" s="38" t="str">
        <f>IFERROR(__xludf.DUMMYFUNCTION("REGEXREPLACE(C30912,""-\d+(.*)|--\d+(.*)"","""")"),"MONTMEILLANT")</f>
        <v>MONTMEILLANT</v>
      </c>
      <c r="E30912" s="38" t="s">
        <v>327</v>
      </c>
      <c r="F30912" s="38" t="s">
        <v>130</v>
      </c>
      <c r="G30912" s="49" t="str">
        <f t="shared" si="1"/>
        <v>08220</v>
      </c>
      <c r="H30912" s="49" t="str">
        <f t="shared" si="2"/>
        <v>08307</v>
      </c>
    </row>
    <row r="30913">
      <c r="A30913" s="48" t="s">
        <v>27416</v>
      </c>
      <c r="B30913" s="38">
        <v>60260.0</v>
      </c>
      <c r="C30913" s="38" t="s">
        <v>35261</v>
      </c>
      <c r="D30913" s="38" t="str">
        <f>IFERROR(__xludf.DUMMYFUNCTION("REGEXREPLACE(C30913,""-\d+(.*)|--\d+(.*)"","""")"),"FRESNOY-LA-RIVIERE")</f>
        <v>FRESNOY-LA-RIVIERE</v>
      </c>
      <c r="E30913" s="38" t="s">
        <v>112</v>
      </c>
      <c r="F30913" s="38" t="s">
        <v>113</v>
      </c>
      <c r="G30913" s="49" t="str">
        <f t="shared" si="1"/>
        <v>60127</v>
      </c>
      <c r="H30913" s="49">
        <f t="shared" si="2"/>
        <v>60260</v>
      </c>
    </row>
    <row r="30914">
      <c r="A30914" s="48" t="s">
        <v>12715</v>
      </c>
      <c r="B30914" s="38">
        <v>29090.0</v>
      </c>
      <c r="C30914" s="38" t="s">
        <v>35262</v>
      </c>
      <c r="D30914" s="38" t="str">
        <f>IFERROR(__xludf.DUMMYFUNCTION("REGEXREPLACE(C30914,""-\d+(.*)|--\d+(.*)"","""")"),"KERLAZ")</f>
        <v>KERLAZ</v>
      </c>
      <c r="E30914" s="38" t="s">
        <v>176</v>
      </c>
      <c r="F30914" s="38" t="s">
        <v>90</v>
      </c>
      <c r="G30914" s="49" t="str">
        <f t="shared" si="1"/>
        <v>29100</v>
      </c>
      <c r="H30914" s="49">
        <f t="shared" si="2"/>
        <v>29090</v>
      </c>
    </row>
    <row r="30915">
      <c r="A30915" s="48" t="s">
        <v>2176</v>
      </c>
      <c r="B30915" s="38">
        <v>62114.0</v>
      </c>
      <c r="C30915" s="38" t="s">
        <v>35263</v>
      </c>
      <c r="D30915" s="38" t="str">
        <f>IFERROR(__xludf.DUMMYFUNCTION("REGEXREPLACE(C30915,""-\d+(.*)|--\d+(.*)"","""")"),"BERMICOURT")</f>
        <v>BERMICOURT</v>
      </c>
      <c r="E30915" s="38" t="s">
        <v>109</v>
      </c>
      <c r="F30915" s="38" t="s">
        <v>86</v>
      </c>
      <c r="G30915" s="49" t="str">
        <f t="shared" si="1"/>
        <v>62130</v>
      </c>
      <c r="H30915" s="49">
        <f t="shared" si="2"/>
        <v>62114</v>
      </c>
    </row>
    <row r="30916">
      <c r="A30916" s="48" t="s">
        <v>3089</v>
      </c>
      <c r="B30916" s="38">
        <v>18194.0</v>
      </c>
      <c r="C30916" s="38" t="s">
        <v>35264</v>
      </c>
      <c r="D30916" s="38" t="str">
        <f>IFERROR(__xludf.DUMMYFUNCTION("REGEXREPLACE(C30916,""-\d+(.*)|--\d+(.*)"","""")"),"RIANS")</f>
        <v>RIANS</v>
      </c>
      <c r="E30916" s="38" t="s">
        <v>504</v>
      </c>
      <c r="F30916" s="38" t="s">
        <v>123</v>
      </c>
      <c r="G30916" s="49" t="str">
        <f t="shared" si="1"/>
        <v>18220</v>
      </c>
      <c r="H30916" s="49">
        <f t="shared" si="2"/>
        <v>18194</v>
      </c>
    </row>
    <row r="30917">
      <c r="A30917" s="48" t="s">
        <v>35265</v>
      </c>
      <c r="B30917" s="38">
        <v>44010.0</v>
      </c>
      <c r="C30917" s="38" t="s">
        <v>35266</v>
      </c>
      <c r="D30917" s="38" t="str">
        <f>IFERROR(__xludf.DUMMYFUNCTION("REGEXREPLACE(C30917,""-\d+(.*)|--\d+(.*)"","""")"),"BATZ-SUR-MER")</f>
        <v>BATZ-SUR-MER</v>
      </c>
      <c r="E30917" s="38" t="s">
        <v>759</v>
      </c>
      <c r="F30917" s="38" t="s">
        <v>180</v>
      </c>
      <c r="G30917" s="49" t="str">
        <f t="shared" si="1"/>
        <v>44740</v>
      </c>
      <c r="H30917" s="49">
        <f t="shared" si="2"/>
        <v>44010</v>
      </c>
    </row>
    <row r="30918">
      <c r="A30918" s="48" t="s">
        <v>8831</v>
      </c>
      <c r="B30918" s="38">
        <v>15069.0</v>
      </c>
      <c r="C30918" s="38" t="s">
        <v>35267</v>
      </c>
      <c r="D30918" s="38" t="str">
        <f>IFERROR(__xludf.DUMMYFUNCTION("REGEXREPLACE(C30918,""-\d+(.*)|--\d+(.*)"","""")"),"FERRIERES-SAINT-MARY")</f>
        <v>FERRIERES-SAINT-MARY</v>
      </c>
      <c r="E30918" s="38" t="s">
        <v>632</v>
      </c>
      <c r="F30918" s="38" t="s">
        <v>161</v>
      </c>
      <c r="G30918" s="49" t="str">
        <f t="shared" si="1"/>
        <v>15170</v>
      </c>
      <c r="H30918" s="49">
        <f t="shared" si="2"/>
        <v>15069</v>
      </c>
    </row>
    <row r="30919">
      <c r="A30919" s="48" t="s">
        <v>789</v>
      </c>
      <c r="B30919" s="38">
        <v>10395.0</v>
      </c>
      <c r="C30919" s="38" t="s">
        <v>35268</v>
      </c>
      <c r="D30919" s="38" t="str">
        <f>IFERROR(__xludf.DUMMYFUNCTION("REGEXREPLACE(C30919,""-\d+(.*)|--\d+(.*)"","""")"),"VANLAY")</f>
        <v>VANLAY</v>
      </c>
      <c r="E30919" s="38" t="s">
        <v>147</v>
      </c>
      <c r="F30919" s="38" t="s">
        <v>130</v>
      </c>
      <c r="G30919" s="49" t="str">
        <f t="shared" si="1"/>
        <v>10210</v>
      </c>
      <c r="H30919" s="49">
        <f t="shared" si="2"/>
        <v>10395</v>
      </c>
    </row>
    <row r="30920">
      <c r="A30920" s="48" t="s">
        <v>1106</v>
      </c>
      <c r="B30920" s="38">
        <v>14226.0</v>
      </c>
      <c r="C30920" s="38" t="s">
        <v>35269</v>
      </c>
      <c r="D30920" s="38" t="str">
        <f>IFERROR(__xludf.DUMMYFUNCTION("REGEXREPLACE(C30920,""-\d+(.*)|--\d+(.*)"","""")"),"DONNAY")</f>
        <v>DONNAY</v>
      </c>
      <c r="E30920" s="38" t="s">
        <v>137</v>
      </c>
      <c r="F30920" s="38" t="s">
        <v>138</v>
      </c>
      <c r="G30920" s="49" t="str">
        <f t="shared" si="1"/>
        <v>14220</v>
      </c>
      <c r="H30920" s="49">
        <f t="shared" si="2"/>
        <v>14226</v>
      </c>
    </row>
    <row r="30921">
      <c r="A30921" s="48" t="s">
        <v>7904</v>
      </c>
      <c r="B30921" s="38">
        <v>62028.0</v>
      </c>
      <c r="C30921" s="38" t="s">
        <v>35270</v>
      </c>
      <c r="D30921" s="38" t="str">
        <f>IFERROR(__xludf.DUMMYFUNCTION("REGEXREPLACE(C30921,""-\d+(.*)|--\d+(.*)"","""")"),"AMES")</f>
        <v>AMES</v>
      </c>
      <c r="E30921" s="38" t="s">
        <v>109</v>
      </c>
      <c r="F30921" s="38" t="s">
        <v>86</v>
      </c>
      <c r="G30921" s="49" t="str">
        <f t="shared" si="1"/>
        <v>62190</v>
      </c>
      <c r="H30921" s="49">
        <f t="shared" si="2"/>
        <v>62028</v>
      </c>
    </row>
    <row r="30922">
      <c r="A30922" s="48" t="s">
        <v>201</v>
      </c>
      <c r="B30922" s="38">
        <v>2076.0</v>
      </c>
      <c r="C30922" s="38" t="s">
        <v>35271</v>
      </c>
      <c r="D30922" s="38" t="str">
        <f>IFERROR(__xludf.DUMMYFUNCTION("REGEXREPLACE(C30922,""-\d+(.*)|--\d+(.*)"","""")"),"BERTRICOURT")</f>
        <v>BERTRICOURT</v>
      </c>
      <c r="E30922" s="38" t="s">
        <v>191</v>
      </c>
      <c r="F30922" s="38" t="s">
        <v>113</v>
      </c>
      <c r="G30922" s="49" t="str">
        <f t="shared" si="1"/>
        <v>02190</v>
      </c>
      <c r="H30922" s="49" t="str">
        <f t="shared" si="2"/>
        <v>02076</v>
      </c>
    </row>
    <row r="30923">
      <c r="A30923" s="48" t="s">
        <v>24631</v>
      </c>
      <c r="B30923" s="38">
        <v>30237.0</v>
      </c>
      <c r="C30923" s="38" t="s">
        <v>24515</v>
      </c>
      <c r="D30923" s="38" t="str">
        <f>IFERROR(__xludf.DUMMYFUNCTION("REGEXREPLACE(C30923,""-\d+(.*)|--\d+(.*)"","""")"),"SAINT-BRES")</f>
        <v>SAINT-BRES</v>
      </c>
      <c r="E30923" s="38" t="s">
        <v>526</v>
      </c>
      <c r="F30923" s="38" t="s">
        <v>119</v>
      </c>
      <c r="G30923" s="49" t="str">
        <f t="shared" si="1"/>
        <v>30500</v>
      </c>
      <c r="H30923" s="49">
        <f t="shared" si="2"/>
        <v>30237</v>
      </c>
    </row>
    <row r="30924">
      <c r="A30924" s="48" t="s">
        <v>10052</v>
      </c>
      <c r="B30924" s="38">
        <v>39463.0</v>
      </c>
      <c r="C30924" s="38" t="s">
        <v>35272</v>
      </c>
      <c r="D30924" s="38" t="str">
        <f>IFERROR(__xludf.DUMMYFUNCTION("REGEXREPLACE(C30924,""-\d+(.*)|--\d+(.*)"","""")"),"ROGNA")</f>
        <v>ROGNA</v>
      </c>
      <c r="E30924" s="38" t="s">
        <v>400</v>
      </c>
      <c r="F30924" s="38" t="s">
        <v>214</v>
      </c>
      <c r="G30924" s="49" t="str">
        <f t="shared" si="1"/>
        <v>39360</v>
      </c>
      <c r="H30924" s="49">
        <f t="shared" si="2"/>
        <v>39463</v>
      </c>
    </row>
    <row r="30925">
      <c r="A30925" s="48" t="s">
        <v>1718</v>
      </c>
      <c r="B30925" s="38">
        <v>43268.0</v>
      </c>
      <c r="C30925" s="38" t="s">
        <v>35273</v>
      </c>
      <c r="D30925" s="38" t="str">
        <f>IFERROR(__xludf.DUMMYFUNCTION("REGEXREPLACE(C30925,""-\d+(.*)|--\d+(.*)"","""")"),"YSSINGEAUX")</f>
        <v>YSSINGEAUX</v>
      </c>
      <c r="E30925" s="38" t="s">
        <v>332</v>
      </c>
      <c r="F30925" s="38" t="s">
        <v>161</v>
      </c>
      <c r="G30925" s="49" t="str">
        <f t="shared" si="1"/>
        <v>43200</v>
      </c>
      <c r="H30925" s="49">
        <f t="shared" si="2"/>
        <v>43268</v>
      </c>
    </row>
    <row r="30926">
      <c r="A30926" s="48" t="s">
        <v>425</v>
      </c>
      <c r="B30926" s="38">
        <v>88175.0</v>
      </c>
      <c r="C30926" s="38" t="s">
        <v>21471</v>
      </c>
      <c r="D30926" s="38" t="str">
        <f>IFERROR(__xludf.DUMMYFUNCTION("REGEXREPLACE(C30926,""-\d+(.*)|--\d+(.*)"","""")"),"FONTENAY")</f>
        <v>FONTENAY</v>
      </c>
      <c r="E30926" s="38" t="s">
        <v>194</v>
      </c>
      <c r="F30926" s="38" t="s">
        <v>195</v>
      </c>
      <c r="G30926" s="49" t="str">
        <f t="shared" si="1"/>
        <v>88600</v>
      </c>
      <c r="H30926" s="49">
        <f t="shared" si="2"/>
        <v>88175</v>
      </c>
    </row>
    <row r="30927">
      <c r="A30927" s="48" t="s">
        <v>3691</v>
      </c>
      <c r="B30927" s="38">
        <v>64288.0</v>
      </c>
      <c r="C30927" s="38" t="s">
        <v>35274</v>
      </c>
      <c r="D30927" s="38" t="str">
        <f>IFERROR(__xludf.DUMMYFUNCTION("REGEXREPLACE(C30927,""-\d+(.*)|--\d+(.*)"","""")"),"LABASTIDE-CEZERACQ")</f>
        <v>LABASTIDE-CEZERACQ</v>
      </c>
      <c r="E30927" s="38" t="s">
        <v>268</v>
      </c>
      <c r="F30927" s="38" t="s">
        <v>252</v>
      </c>
      <c r="G30927" s="49" t="str">
        <f t="shared" si="1"/>
        <v>64170</v>
      </c>
      <c r="H30927" s="49">
        <f t="shared" si="2"/>
        <v>64288</v>
      </c>
    </row>
    <row r="30928">
      <c r="A30928" s="48" t="s">
        <v>4101</v>
      </c>
      <c r="B30928" s="38">
        <v>30089.0</v>
      </c>
      <c r="C30928" s="38" t="s">
        <v>14753</v>
      </c>
      <c r="D30928" s="38" t="str">
        <f>IFERROR(__xludf.DUMMYFUNCTION("REGEXREPLACE(C30928,""-\d+(.*)|--\d+(.*)"","""")"),"COMPS")</f>
        <v>COMPS</v>
      </c>
      <c r="E30928" s="38" t="s">
        <v>526</v>
      </c>
      <c r="F30928" s="38" t="s">
        <v>119</v>
      </c>
      <c r="G30928" s="49" t="str">
        <f t="shared" si="1"/>
        <v>30300</v>
      </c>
      <c r="H30928" s="49">
        <f t="shared" si="2"/>
        <v>30089</v>
      </c>
    </row>
    <row r="30929">
      <c r="A30929" s="48" t="s">
        <v>4745</v>
      </c>
      <c r="B30929" s="38">
        <v>1208.0</v>
      </c>
      <c r="C30929" s="38" t="s">
        <v>35275</v>
      </c>
      <c r="D30929" s="38" t="str">
        <f>IFERROR(__xludf.DUMMYFUNCTION("REGEXREPLACE(C30929,""-\d+(.*)|--\d+(.*)"","""")"),"LAVOURS")</f>
        <v>LAVOURS</v>
      </c>
      <c r="E30929" s="38" t="s">
        <v>255</v>
      </c>
      <c r="F30929" s="38" t="s">
        <v>102</v>
      </c>
      <c r="G30929" s="49" t="str">
        <f t="shared" si="1"/>
        <v>01350</v>
      </c>
      <c r="H30929" s="49" t="str">
        <f t="shared" si="2"/>
        <v>01208</v>
      </c>
    </row>
    <row r="30930">
      <c r="A30930" s="48" t="s">
        <v>35276</v>
      </c>
      <c r="B30930" s="38">
        <v>91578.0</v>
      </c>
      <c r="C30930" s="38" t="s">
        <v>35277</v>
      </c>
      <c r="D30930" s="38" t="str">
        <f>IFERROR(__xludf.DUMMYFUNCTION("REGEXREPLACE(C30930,""-\d+(.*)|--\d+(.*)"","""")"),"SAINT-SULPICE-DE-FAVIERES")</f>
        <v>SAINT-SULPICE-DE-FAVIERES</v>
      </c>
      <c r="E30930" s="38" t="s">
        <v>756</v>
      </c>
      <c r="F30930" s="38" t="s">
        <v>245</v>
      </c>
      <c r="G30930" s="49" t="str">
        <f t="shared" si="1"/>
        <v>91910</v>
      </c>
      <c r="H30930" s="49">
        <f t="shared" si="2"/>
        <v>91578</v>
      </c>
    </row>
    <row r="30931">
      <c r="A30931" s="48" t="s">
        <v>2688</v>
      </c>
      <c r="B30931" s="38">
        <v>36182.0</v>
      </c>
      <c r="C30931" s="38" t="s">
        <v>35278</v>
      </c>
      <c r="D30931" s="38" t="str">
        <f>IFERROR(__xludf.DUMMYFUNCTION("REGEXREPLACE(C30931,""-\d+(.*)|--\d+(.*)"","""")"),"SAINT-BENOIT-DU-SAULT")</f>
        <v>SAINT-BENOIT-DU-SAULT</v>
      </c>
      <c r="E30931" s="38" t="s">
        <v>258</v>
      </c>
      <c r="F30931" s="38" t="s">
        <v>123</v>
      </c>
      <c r="G30931" s="49" t="str">
        <f t="shared" si="1"/>
        <v>36170</v>
      </c>
      <c r="H30931" s="49">
        <f t="shared" si="2"/>
        <v>36182</v>
      </c>
    </row>
    <row r="30932">
      <c r="A30932" s="48" t="s">
        <v>2411</v>
      </c>
      <c r="B30932" s="38">
        <v>37258.0</v>
      </c>
      <c r="C30932" s="38" t="s">
        <v>33660</v>
      </c>
      <c r="D30932" s="38" t="str">
        <f>IFERROR(__xludf.DUMMYFUNCTION("REGEXREPLACE(C30932,""-\d+(.*)|--\d+(.*)"","""")"),"THIZAY")</f>
        <v>THIZAY</v>
      </c>
      <c r="E30932" s="38" t="s">
        <v>205</v>
      </c>
      <c r="F30932" s="38" t="s">
        <v>123</v>
      </c>
      <c r="G30932" s="49" t="str">
        <f t="shared" si="1"/>
        <v>37500</v>
      </c>
      <c r="H30932" s="49">
        <f t="shared" si="2"/>
        <v>37258</v>
      </c>
    </row>
    <row r="30933">
      <c r="A30933" s="48" t="s">
        <v>5702</v>
      </c>
      <c r="B30933" s="38">
        <v>26047.0</v>
      </c>
      <c r="C30933" s="38" t="s">
        <v>35279</v>
      </c>
      <c r="D30933" s="38" t="str">
        <f>IFERROR(__xludf.DUMMYFUNCTION("REGEXREPLACE(C30933,""-\d+(.*)|--\d+(.*)"","""")"),"BELLEGARDE-EN-DIOIS")</f>
        <v>BELLEGARDE-EN-DIOIS</v>
      </c>
      <c r="E30933" s="38" t="s">
        <v>126</v>
      </c>
      <c r="F30933" s="38" t="s">
        <v>102</v>
      </c>
      <c r="G30933" s="49" t="str">
        <f t="shared" si="1"/>
        <v>26470</v>
      </c>
      <c r="H30933" s="49">
        <f t="shared" si="2"/>
        <v>26047</v>
      </c>
    </row>
    <row r="30934">
      <c r="A30934" s="48" t="s">
        <v>3002</v>
      </c>
      <c r="B30934" s="38">
        <v>43083.0</v>
      </c>
      <c r="C30934" s="38" t="s">
        <v>35280</v>
      </c>
      <c r="D30934" s="38" t="str">
        <f>IFERROR(__xludf.DUMMYFUNCTION("REGEXREPLACE(C30934,""-\d+(.*)|--\d+(.*)"","""")"),"CUBELLES")</f>
        <v>CUBELLES</v>
      </c>
      <c r="E30934" s="38" t="s">
        <v>332</v>
      </c>
      <c r="F30934" s="38" t="s">
        <v>161</v>
      </c>
      <c r="G30934" s="49" t="str">
        <f t="shared" si="1"/>
        <v>43170</v>
      </c>
      <c r="H30934" s="49">
        <f t="shared" si="2"/>
        <v>43083</v>
      </c>
    </row>
    <row r="30935">
      <c r="A30935" s="48" t="s">
        <v>7005</v>
      </c>
      <c r="B30935" s="38">
        <v>82021.0</v>
      </c>
      <c r="C30935" s="38" t="s">
        <v>35281</v>
      </c>
      <c r="D30935" s="38" t="str">
        <f>IFERROR(__xludf.DUMMYFUNCTION("REGEXREPLACE(C30935,""-\d+(.*)|--\d+(.*)"","""")"),"BOULOC")</f>
        <v>BOULOC</v>
      </c>
      <c r="E30935" s="38" t="s">
        <v>570</v>
      </c>
      <c r="F30935" s="38" t="s">
        <v>94</v>
      </c>
      <c r="G30935" s="49" t="str">
        <f t="shared" si="1"/>
        <v>82110</v>
      </c>
      <c r="H30935" s="49">
        <f t="shared" si="2"/>
        <v>82021</v>
      </c>
    </row>
    <row r="30936">
      <c r="A30936" s="48" t="s">
        <v>1654</v>
      </c>
      <c r="B30936" s="38">
        <v>72383.0</v>
      </c>
      <c r="C30936" s="38" t="s">
        <v>35282</v>
      </c>
      <c r="D30936" s="38" t="str">
        <f>IFERROR(__xludf.DUMMYFUNCTION("REGEXREPLACE(C30936,""-\d+(.*)|--\d+(.*)"","""")"),"VOUVRAY-SUR-HUISNE")</f>
        <v>VOUVRAY-SUR-HUISNE</v>
      </c>
      <c r="E30936" s="38" t="s">
        <v>521</v>
      </c>
      <c r="F30936" s="38" t="s">
        <v>180</v>
      </c>
      <c r="G30936" s="49" t="str">
        <f t="shared" si="1"/>
        <v>72160</v>
      </c>
      <c r="H30936" s="49">
        <f t="shared" si="2"/>
        <v>72383</v>
      </c>
    </row>
    <row r="30937">
      <c r="A30937" s="48" t="s">
        <v>12254</v>
      </c>
      <c r="B30937" s="38">
        <v>29249.0</v>
      </c>
      <c r="C30937" s="38" t="s">
        <v>35283</v>
      </c>
      <c r="D30937" s="38" t="str">
        <f>IFERROR(__xludf.DUMMYFUNCTION("REGEXREPLACE(C30937,""-\d+(.*)|--\d+(.*)"","""")"),"SAINT-GOAZEC")</f>
        <v>SAINT-GOAZEC</v>
      </c>
      <c r="E30937" s="38" t="s">
        <v>176</v>
      </c>
      <c r="F30937" s="38" t="s">
        <v>90</v>
      </c>
      <c r="G30937" s="49" t="str">
        <f t="shared" si="1"/>
        <v>29520</v>
      </c>
      <c r="H30937" s="49">
        <f t="shared" si="2"/>
        <v>29249</v>
      </c>
    </row>
    <row r="30938">
      <c r="A30938" s="48" t="s">
        <v>7144</v>
      </c>
      <c r="B30938" s="38">
        <v>76358.0</v>
      </c>
      <c r="C30938" s="38" t="s">
        <v>35284</v>
      </c>
      <c r="D30938" s="38" t="str">
        <f>IFERROR(__xludf.DUMMYFUNCTION("REGEXREPLACE(C30938,""-\d+(.*)|--\d+(.*)"","""")"),"LE HERON")</f>
        <v>LE HERON</v>
      </c>
      <c r="E30938" s="38" t="s">
        <v>133</v>
      </c>
      <c r="F30938" s="38" t="s">
        <v>134</v>
      </c>
      <c r="G30938" s="49" t="str">
        <f t="shared" si="1"/>
        <v>76780</v>
      </c>
      <c r="H30938" s="49">
        <f t="shared" si="2"/>
        <v>76358</v>
      </c>
    </row>
    <row r="30939">
      <c r="A30939" s="48" t="s">
        <v>14030</v>
      </c>
      <c r="B30939" s="38">
        <v>44110.0</v>
      </c>
      <c r="C30939" s="38" t="s">
        <v>35285</v>
      </c>
      <c r="D30939" s="38" t="str">
        <f>IFERROR(__xludf.DUMMYFUNCTION("REGEXREPLACE(C30939,""-\d+(.*)|--\d+(.*)"","""")"),"NORT-SUR-ERDRE")</f>
        <v>NORT-SUR-ERDRE</v>
      </c>
      <c r="E30939" s="38" t="s">
        <v>759</v>
      </c>
      <c r="F30939" s="38" t="s">
        <v>180</v>
      </c>
      <c r="G30939" s="49" t="str">
        <f t="shared" si="1"/>
        <v>44390</v>
      </c>
      <c r="H30939" s="49">
        <f t="shared" si="2"/>
        <v>44110</v>
      </c>
    </row>
    <row r="30940">
      <c r="A30940" s="48" t="s">
        <v>3819</v>
      </c>
      <c r="B30940" s="38">
        <v>38453.0</v>
      </c>
      <c r="C30940" s="38" t="s">
        <v>35286</v>
      </c>
      <c r="D30940" s="38" t="str">
        <f>IFERROR(__xludf.DUMMYFUNCTION("REGEXREPLACE(C30940,""-\d+(.*)|--\d+(.*)"","""")"),"SAINT-ROMANS")</f>
        <v>SAINT-ROMANS</v>
      </c>
      <c r="E30940" s="38" t="s">
        <v>101</v>
      </c>
      <c r="F30940" s="38" t="s">
        <v>102</v>
      </c>
      <c r="G30940" s="49" t="str">
        <f t="shared" si="1"/>
        <v>38160</v>
      </c>
      <c r="H30940" s="49">
        <f t="shared" si="2"/>
        <v>38453</v>
      </c>
    </row>
    <row r="30941">
      <c r="A30941" s="48" t="s">
        <v>378</v>
      </c>
      <c r="B30941" s="38">
        <v>37199.0</v>
      </c>
      <c r="C30941" s="38" t="s">
        <v>35287</v>
      </c>
      <c r="D30941" s="38" t="str">
        <f>IFERROR(__xludf.DUMMYFUNCTION("REGEXREPLACE(C30941,""-\d+(.*)|--\d+(.*)"","""")"),"RILLY-SUR-VIENNE")</f>
        <v>RILLY-SUR-VIENNE</v>
      </c>
      <c r="E30941" s="38" t="s">
        <v>205</v>
      </c>
      <c r="F30941" s="38" t="s">
        <v>123</v>
      </c>
      <c r="G30941" s="49" t="str">
        <f t="shared" si="1"/>
        <v>37220</v>
      </c>
      <c r="H30941" s="49">
        <f t="shared" si="2"/>
        <v>37199</v>
      </c>
    </row>
    <row r="30942">
      <c r="A30942" s="48" t="s">
        <v>12929</v>
      </c>
      <c r="B30942" s="38">
        <v>73121.0</v>
      </c>
      <c r="C30942" s="38" t="s">
        <v>35288</v>
      </c>
      <c r="D30942" s="38" t="str">
        <f>IFERROR(__xludf.DUMMYFUNCTION("REGEXREPLACE(C30942,""-\d+(.*)|--\d+(.*)"","""")"),"FRONTENEX")</f>
        <v>FRONTENEX</v>
      </c>
      <c r="E30942" s="38" t="s">
        <v>306</v>
      </c>
      <c r="F30942" s="38" t="s">
        <v>102</v>
      </c>
      <c r="G30942" s="49" t="str">
        <f t="shared" si="1"/>
        <v>73460</v>
      </c>
      <c r="H30942" s="49">
        <f t="shared" si="2"/>
        <v>73121</v>
      </c>
    </row>
    <row r="30943">
      <c r="A30943" s="48" t="s">
        <v>4851</v>
      </c>
      <c r="B30943" s="38">
        <v>33126.0</v>
      </c>
      <c r="C30943" s="38" t="s">
        <v>35289</v>
      </c>
      <c r="D30943" s="38" t="str">
        <f>IFERROR(__xludf.DUMMYFUNCTION("REGEXREPLACE(C30943,""-\d+(.*)|--\d+(.*)"","""")"),"CIVRAC-DE-BLAYE")</f>
        <v>CIVRAC-DE-BLAYE</v>
      </c>
      <c r="E30943" s="38" t="s">
        <v>462</v>
      </c>
      <c r="F30943" s="38" t="s">
        <v>252</v>
      </c>
      <c r="G30943" s="49" t="str">
        <f t="shared" si="1"/>
        <v>33920</v>
      </c>
      <c r="H30943" s="49">
        <f t="shared" si="2"/>
        <v>33126</v>
      </c>
    </row>
    <row r="30944">
      <c r="A30944" s="48" t="s">
        <v>12114</v>
      </c>
      <c r="B30944" s="38">
        <v>77302.0</v>
      </c>
      <c r="C30944" s="38" t="s">
        <v>35290</v>
      </c>
      <c r="D30944" s="38" t="str">
        <f>IFERROR(__xludf.DUMMYFUNCTION("REGEXREPLACE(C30944,""-\d+(.*)|--\d+(.*)"","""")"),"MONTCOURT-FROMONVILLE")</f>
        <v>MONTCOURT-FROMONVILLE</v>
      </c>
      <c r="E30944" s="38" t="s">
        <v>244</v>
      </c>
      <c r="F30944" s="38" t="s">
        <v>245</v>
      </c>
      <c r="G30944" s="49" t="str">
        <f t="shared" si="1"/>
        <v>77140</v>
      </c>
      <c r="H30944" s="49">
        <f t="shared" si="2"/>
        <v>77302</v>
      </c>
    </row>
    <row r="30945">
      <c r="A30945" s="48" t="s">
        <v>20103</v>
      </c>
      <c r="B30945" s="38">
        <v>59404.0</v>
      </c>
      <c r="C30945" s="38" t="s">
        <v>35291</v>
      </c>
      <c r="D30945" s="38" t="str">
        <f>IFERROR(__xludf.DUMMYFUNCTION("REGEXREPLACE(C30945,""-\d+(.*)|--\d+(.*)"","""")"),"LES MOERES")</f>
        <v>LES MOERES</v>
      </c>
      <c r="E30945" s="38" t="s">
        <v>85</v>
      </c>
      <c r="F30945" s="38" t="s">
        <v>86</v>
      </c>
      <c r="G30945" s="49" t="str">
        <f t="shared" si="1"/>
        <v>59122</v>
      </c>
      <c r="H30945" s="49">
        <f t="shared" si="2"/>
        <v>59404</v>
      </c>
    </row>
    <row r="30946">
      <c r="A30946" s="48" t="s">
        <v>8873</v>
      </c>
      <c r="B30946" s="38">
        <v>34280.0</v>
      </c>
      <c r="C30946" s="38" t="s">
        <v>35292</v>
      </c>
      <c r="D30946" s="38" t="str">
        <f>IFERROR(__xludf.DUMMYFUNCTION("REGEXREPLACE(C30946,""-\d+(.*)|--\d+(.*)"","""")"),"SAINT-NAZAIRE-DE-PEZAN")</f>
        <v>SAINT-NAZAIRE-DE-PEZAN</v>
      </c>
      <c r="E30946" s="38" t="s">
        <v>118</v>
      </c>
      <c r="F30946" s="38" t="s">
        <v>119</v>
      </c>
      <c r="G30946" s="49" t="str">
        <f t="shared" si="1"/>
        <v>34400</v>
      </c>
      <c r="H30946" s="49">
        <f t="shared" si="2"/>
        <v>34280</v>
      </c>
    </row>
    <row r="30947">
      <c r="A30947" s="48" t="s">
        <v>4145</v>
      </c>
      <c r="B30947" s="38">
        <v>46028.0</v>
      </c>
      <c r="C30947" s="38" t="s">
        <v>35293</v>
      </c>
      <c r="D30947" s="38" t="str">
        <f>IFERROR(__xludf.DUMMYFUNCTION("REGEXREPLACE(C30947,""-\d+(.*)|--\d+(.*)"","""")"),"BETAILLE")</f>
        <v>BETAILLE</v>
      </c>
      <c r="E30947" s="38" t="s">
        <v>185</v>
      </c>
      <c r="F30947" s="38" t="s">
        <v>94</v>
      </c>
      <c r="G30947" s="49" t="str">
        <f t="shared" si="1"/>
        <v>46110</v>
      </c>
      <c r="H30947" s="49">
        <f t="shared" si="2"/>
        <v>46028</v>
      </c>
    </row>
    <row r="30948">
      <c r="A30948" s="48" t="s">
        <v>6825</v>
      </c>
      <c r="B30948" s="38">
        <v>14686.0</v>
      </c>
      <c r="C30948" s="38" t="s">
        <v>35294</v>
      </c>
      <c r="D30948" s="38" t="str">
        <f>IFERROR(__xludf.DUMMYFUNCTION("REGEXREPLACE(C30948,""-\d+(.*)|--\d+(.*)"","""")"),"LE THEIL-BOCAGE")</f>
        <v>LE THEIL-BOCAGE</v>
      </c>
      <c r="E30948" s="38" t="s">
        <v>137</v>
      </c>
      <c r="F30948" s="38" t="s">
        <v>138</v>
      </c>
      <c r="G30948" s="49" t="str">
        <f t="shared" si="1"/>
        <v>14410</v>
      </c>
      <c r="H30948" s="49">
        <f t="shared" si="2"/>
        <v>14686</v>
      </c>
    </row>
    <row r="30949">
      <c r="A30949" s="48" t="s">
        <v>16548</v>
      </c>
      <c r="B30949" s="38" t="s">
        <v>35295</v>
      </c>
      <c r="C30949" s="38" t="s">
        <v>35296</v>
      </c>
      <c r="D30949" s="38" t="str">
        <f>IFERROR(__xludf.DUMMYFUNCTION("REGEXREPLACE(C30949,""-\d+(.*)|--\d+(.*)"","""")"),"ZIGLIARA")</f>
        <v>ZIGLIARA</v>
      </c>
      <c r="E30949" s="38" t="s">
        <v>606</v>
      </c>
      <c r="F30949" s="38" t="s">
        <v>607</v>
      </c>
      <c r="G30949" s="49" t="str">
        <f t="shared" si="1"/>
        <v>20190</v>
      </c>
      <c r="H30949" s="49" t="str">
        <f t="shared" si="2"/>
        <v>2A360</v>
      </c>
    </row>
    <row r="30950">
      <c r="A30950" s="48" t="s">
        <v>948</v>
      </c>
      <c r="B30950" s="38">
        <v>68079.0</v>
      </c>
      <c r="C30950" s="38" t="s">
        <v>35297</v>
      </c>
      <c r="D30950" s="38" t="str">
        <f>IFERROR(__xludf.DUMMYFUNCTION("REGEXREPLACE(C30950,""-\d+(.*)|--\d+(.*)"","""")"),"ELBACH")</f>
        <v>ELBACH</v>
      </c>
      <c r="E30950" s="38" t="s">
        <v>150</v>
      </c>
      <c r="F30950" s="38" t="s">
        <v>151</v>
      </c>
      <c r="G30950" s="49" t="str">
        <f t="shared" si="1"/>
        <v>68210</v>
      </c>
      <c r="H30950" s="49">
        <f t="shared" si="2"/>
        <v>68079</v>
      </c>
    </row>
    <row r="30951">
      <c r="A30951" s="48" t="s">
        <v>3804</v>
      </c>
      <c r="B30951" s="38">
        <v>80367.0</v>
      </c>
      <c r="C30951" s="38" t="s">
        <v>35298</v>
      </c>
      <c r="D30951" s="38" t="str">
        <f>IFERROR(__xludf.DUMMYFUNCTION("REGEXREPLACE(C30951,""-\d+(.*)|--\d+(.*)"","""")"),"FRISE")</f>
        <v>FRISE</v>
      </c>
      <c r="E30951" s="38" t="s">
        <v>224</v>
      </c>
      <c r="F30951" s="38" t="s">
        <v>113</v>
      </c>
      <c r="G30951" s="49" t="str">
        <f t="shared" si="1"/>
        <v>80340</v>
      </c>
      <c r="H30951" s="49">
        <f t="shared" si="2"/>
        <v>80367</v>
      </c>
    </row>
    <row r="30952">
      <c r="A30952" s="48" t="s">
        <v>5383</v>
      </c>
      <c r="B30952" s="38">
        <v>44180.0</v>
      </c>
      <c r="C30952" s="38" t="s">
        <v>35299</v>
      </c>
      <c r="D30952" s="38" t="str">
        <f>IFERROR(__xludf.DUMMYFUNCTION("REGEXREPLACE(C30952,""-\d+(.*)|--\d+(.*)"","""")"),"SAINT-MARS-LA-JAILLE")</f>
        <v>SAINT-MARS-LA-JAILLE</v>
      </c>
      <c r="E30952" s="38" t="s">
        <v>759</v>
      </c>
      <c r="F30952" s="38" t="s">
        <v>180</v>
      </c>
      <c r="G30952" s="49" t="str">
        <f t="shared" si="1"/>
        <v>44540</v>
      </c>
      <c r="H30952" s="49">
        <f t="shared" si="2"/>
        <v>44180</v>
      </c>
    </row>
    <row r="30953">
      <c r="A30953" s="48" t="s">
        <v>858</v>
      </c>
      <c r="B30953" s="38">
        <v>77332.0</v>
      </c>
      <c r="C30953" s="38" t="s">
        <v>35300</v>
      </c>
      <c r="D30953" s="38" t="str">
        <f>IFERROR(__xludf.DUMMYFUNCTION("REGEXREPLACE(C30953,""-\d+(.*)|--\d+(.*)"","""")"),"NANTOUILLET")</f>
        <v>NANTOUILLET</v>
      </c>
      <c r="E30953" s="38" t="s">
        <v>244</v>
      </c>
      <c r="F30953" s="38" t="s">
        <v>245</v>
      </c>
      <c r="G30953" s="49" t="str">
        <f t="shared" si="1"/>
        <v>77230</v>
      </c>
      <c r="H30953" s="49">
        <f t="shared" si="2"/>
        <v>77332</v>
      </c>
    </row>
    <row r="30954">
      <c r="A30954" s="48" t="s">
        <v>785</v>
      </c>
      <c r="B30954" s="38">
        <v>33136.0</v>
      </c>
      <c r="C30954" s="38" t="s">
        <v>35301</v>
      </c>
      <c r="D30954" s="38" t="str">
        <f>IFERROR(__xludf.DUMMYFUNCTION("REGEXREPLACE(C30954,""-\d+(.*)|--\d+(.*)"","""")"),"COURS-DE-MONSEGUR")</f>
        <v>COURS-DE-MONSEGUR</v>
      </c>
      <c r="E30954" s="38" t="s">
        <v>462</v>
      </c>
      <c r="F30954" s="38" t="s">
        <v>252</v>
      </c>
      <c r="G30954" s="49" t="str">
        <f t="shared" si="1"/>
        <v>33580</v>
      </c>
      <c r="H30954" s="49">
        <f t="shared" si="2"/>
        <v>33136</v>
      </c>
    </row>
    <row r="30955">
      <c r="A30955" s="48" t="s">
        <v>35302</v>
      </c>
      <c r="B30955" s="38">
        <v>13097.0</v>
      </c>
      <c r="C30955" s="38" t="s">
        <v>35303</v>
      </c>
      <c r="D30955" s="38" t="str">
        <f>IFERROR(__xludf.DUMMYFUNCTION("REGEXREPLACE(C30955,""-\d+(.*)|--\d+(.*)"","""")"),"SAINT-MARTIN-DE-CRAU")</f>
        <v>SAINT-MARTIN-DE-CRAU</v>
      </c>
      <c r="E30955" s="38" t="s">
        <v>980</v>
      </c>
      <c r="F30955" s="38" t="s">
        <v>228</v>
      </c>
      <c r="G30955" s="49" t="str">
        <f t="shared" si="1"/>
        <v>13310</v>
      </c>
      <c r="H30955" s="49">
        <f t="shared" si="2"/>
        <v>13097</v>
      </c>
    </row>
    <row r="30956">
      <c r="A30956" s="48" t="s">
        <v>1669</v>
      </c>
      <c r="B30956" s="38">
        <v>21071.0</v>
      </c>
      <c r="C30956" s="38" t="s">
        <v>35304</v>
      </c>
      <c r="D30956" s="38" t="str">
        <f>IFERROR(__xludf.DUMMYFUNCTION("REGEXREPLACE(C30956,""-\d+(.*)|--\d+(.*)"","""")"),"BEZE")</f>
        <v>BEZE</v>
      </c>
      <c r="E30956" s="38" t="s">
        <v>105</v>
      </c>
      <c r="F30956" s="38" t="s">
        <v>106</v>
      </c>
      <c r="G30956" s="49" t="str">
        <f t="shared" si="1"/>
        <v>21310</v>
      </c>
      <c r="H30956" s="49">
        <f t="shared" si="2"/>
        <v>21071</v>
      </c>
    </row>
    <row r="30957">
      <c r="A30957" s="48" t="s">
        <v>5012</v>
      </c>
      <c r="B30957" s="38">
        <v>55117.0</v>
      </c>
      <c r="C30957" s="38" t="s">
        <v>35305</v>
      </c>
      <c r="D30957" s="38" t="str">
        <f>IFERROR(__xludf.DUMMYFUNCTION("REGEXREPLACE(C30957,""-\d+(.*)|--\d+(.*)"","""")"),"CLERMONT-EN-ARGONNE")</f>
        <v>CLERMONT-EN-ARGONNE</v>
      </c>
      <c r="E30957" s="38" t="s">
        <v>322</v>
      </c>
      <c r="F30957" s="38" t="s">
        <v>195</v>
      </c>
      <c r="G30957" s="49" t="str">
        <f t="shared" si="1"/>
        <v>55120</v>
      </c>
      <c r="H30957" s="49">
        <f t="shared" si="2"/>
        <v>55117</v>
      </c>
    </row>
    <row r="30958">
      <c r="A30958" s="48" t="s">
        <v>5631</v>
      </c>
      <c r="B30958" s="38">
        <v>76019.0</v>
      </c>
      <c r="C30958" s="38" t="s">
        <v>35306</v>
      </c>
      <c r="D30958" s="38" t="str">
        <f>IFERROR(__xludf.DUMMYFUNCTION("REGEXREPLACE(C30958,""-\d+(.*)|--\d+(.*)"","""")"),"ANNEVILLE-SUR-SCIE")</f>
        <v>ANNEVILLE-SUR-SCIE</v>
      </c>
      <c r="E30958" s="38" t="s">
        <v>133</v>
      </c>
      <c r="F30958" s="38" t="s">
        <v>134</v>
      </c>
      <c r="G30958" s="49" t="str">
        <f t="shared" si="1"/>
        <v>76590</v>
      </c>
      <c r="H30958" s="49">
        <f t="shared" si="2"/>
        <v>76019</v>
      </c>
    </row>
    <row r="30959">
      <c r="A30959" s="48" t="s">
        <v>10778</v>
      </c>
      <c r="B30959" s="38">
        <v>21180.0</v>
      </c>
      <c r="C30959" s="38" t="s">
        <v>22175</v>
      </c>
      <c r="D30959" s="38" t="str">
        <f>IFERROR(__xludf.DUMMYFUNCTION("REGEXREPLACE(C30959,""-\d+(.*)|--\d+(.*)"","""")"),"CLERY")</f>
        <v>CLERY</v>
      </c>
      <c r="E30959" s="38" t="s">
        <v>105</v>
      </c>
      <c r="F30959" s="38" t="s">
        <v>106</v>
      </c>
      <c r="G30959" s="49" t="str">
        <f t="shared" si="1"/>
        <v>21270</v>
      </c>
      <c r="H30959" s="49">
        <f t="shared" si="2"/>
        <v>21180</v>
      </c>
    </row>
    <row r="30960">
      <c r="A30960" s="48" t="s">
        <v>1201</v>
      </c>
      <c r="B30960" s="38">
        <v>78501.0</v>
      </c>
      <c r="C30960" s="38" t="s">
        <v>35307</v>
      </c>
      <c r="D30960" s="38" t="str">
        <f>IFERROR(__xludf.DUMMYFUNCTION("REGEXREPLACE(C30960,""-\d+(.*)|--\d+(.*)"","""")"),"PORCHEVILLE")</f>
        <v>PORCHEVILLE</v>
      </c>
      <c r="E30960" s="38" t="s">
        <v>362</v>
      </c>
      <c r="F30960" s="38" t="s">
        <v>245</v>
      </c>
      <c r="G30960" s="49" t="str">
        <f t="shared" si="1"/>
        <v>78440</v>
      </c>
      <c r="H30960" s="49">
        <f t="shared" si="2"/>
        <v>78501</v>
      </c>
    </row>
    <row r="30961">
      <c r="A30961" s="48" t="s">
        <v>1825</v>
      </c>
      <c r="B30961" s="38">
        <v>64405.0</v>
      </c>
      <c r="C30961" s="38" t="s">
        <v>35308</v>
      </c>
      <c r="D30961" s="38" t="str">
        <f>IFERROR(__xludf.DUMMYFUNCTION("REGEXREPLACE(C30961,""-\d+(.*)|--\d+(.*)"","""")"),"MORLAAS")</f>
        <v>MORLAAS</v>
      </c>
      <c r="E30961" s="38" t="s">
        <v>268</v>
      </c>
      <c r="F30961" s="38" t="s">
        <v>252</v>
      </c>
      <c r="G30961" s="49" t="str">
        <f t="shared" si="1"/>
        <v>64160</v>
      </c>
      <c r="H30961" s="49">
        <f t="shared" si="2"/>
        <v>64405</v>
      </c>
    </row>
    <row r="30962">
      <c r="A30962" s="48" t="s">
        <v>22674</v>
      </c>
      <c r="B30962" s="38">
        <v>40271.0</v>
      </c>
      <c r="C30962" s="38" t="s">
        <v>35309</v>
      </c>
      <c r="D30962" s="38" t="str">
        <f>IFERROR(__xludf.DUMMYFUNCTION("REGEXREPLACE(C30962,""-\d+(.*)|--\d+(.*)"","""")"),"SAINTE-MARIE-DE-GOSSE")</f>
        <v>SAINTE-MARIE-DE-GOSSE</v>
      </c>
      <c r="E30962" s="38" t="s">
        <v>281</v>
      </c>
      <c r="F30962" s="38" t="s">
        <v>252</v>
      </c>
      <c r="G30962" s="49" t="str">
        <f t="shared" si="1"/>
        <v>40390</v>
      </c>
      <c r="H30962" s="49">
        <f t="shared" si="2"/>
        <v>40271</v>
      </c>
    </row>
    <row r="30963">
      <c r="A30963" s="48" t="s">
        <v>87</v>
      </c>
      <c r="B30963" s="38">
        <v>22066.0</v>
      </c>
      <c r="C30963" s="38" t="s">
        <v>35310</v>
      </c>
      <c r="D30963" s="38" t="str">
        <f>IFERROR(__xludf.DUMMYFUNCTION("REGEXREPLACE(C30963,""-\d+(.*)|--\d+(.*)"","""")"),"LE GOURAY")</f>
        <v>LE GOURAY</v>
      </c>
      <c r="E30963" s="38" t="s">
        <v>89</v>
      </c>
      <c r="F30963" s="38" t="s">
        <v>90</v>
      </c>
      <c r="G30963" s="49" t="str">
        <f t="shared" si="1"/>
        <v>22330</v>
      </c>
      <c r="H30963" s="49">
        <f t="shared" si="2"/>
        <v>22066</v>
      </c>
    </row>
    <row r="30964">
      <c r="A30964" s="48" t="s">
        <v>5214</v>
      </c>
      <c r="B30964" s="38">
        <v>9008.0</v>
      </c>
      <c r="C30964" s="38" t="s">
        <v>26073</v>
      </c>
      <c r="D30964" s="38" t="str">
        <f>IFERROR(__xludf.DUMMYFUNCTION("REGEXREPLACE(C30964,""-\d+(.*)|--\d+(.*)"","""")"),"ALOS")</f>
        <v>ALOS</v>
      </c>
      <c r="E30964" s="38" t="s">
        <v>238</v>
      </c>
      <c r="F30964" s="38" t="s">
        <v>94</v>
      </c>
      <c r="G30964" s="49" t="str">
        <f t="shared" si="1"/>
        <v>09200</v>
      </c>
      <c r="H30964" s="49" t="str">
        <f t="shared" si="2"/>
        <v>09008</v>
      </c>
    </row>
    <row r="30965">
      <c r="A30965" s="48" t="s">
        <v>15069</v>
      </c>
      <c r="B30965" s="38">
        <v>22323.0</v>
      </c>
      <c r="C30965" s="38" t="s">
        <v>35311</v>
      </c>
      <c r="D30965" s="38" t="str">
        <f>IFERROR(__xludf.DUMMYFUNCTION("REGEXREPLACE(C30965,""-\d+(.*)|--\d+(.*)"","""")"),"SAINT-POTAN")</f>
        <v>SAINT-POTAN</v>
      </c>
      <c r="E30965" s="38" t="s">
        <v>89</v>
      </c>
      <c r="F30965" s="38" t="s">
        <v>90</v>
      </c>
      <c r="G30965" s="49" t="str">
        <f t="shared" si="1"/>
        <v>22550</v>
      </c>
      <c r="H30965" s="49">
        <f t="shared" si="2"/>
        <v>22323</v>
      </c>
    </row>
    <row r="30966">
      <c r="A30966" s="48" t="s">
        <v>15862</v>
      </c>
      <c r="B30966" s="38">
        <v>31203.0</v>
      </c>
      <c r="C30966" s="38" t="s">
        <v>35312</v>
      </c>
      <c r="D30966" s="38" t="str">
        <f>IFERROR(__xludf.DUMMYFUNCTION("REGEXREPLACE(C30966,""-\d+(.*)|--\d+(.*)"","""")"),"FROUZINS")</f>
        <v>FROUZINS</v>
      </c>
      <c r="E30966" s="38" t="s">
        <v>93</v>
      </c>
      <c r="F30966" s="38" t="s">
        <v>94</v>
      </c>
      <c r="G30966" s="49" t="str">
        <f t="shared" si="1"/>
        <v>31270</v>
      </c>
      <c r="H30966" s="49">
        <f t="shared" si="2"/>
        <v>31203</v>
      </c>
    </row>
    <row r="30967">
      <c r="A30967" s="48" t="s">
        <v>3816</v>
      </c>
      <c r="B30967" s="38">
        <v>25308.0</v>
      </c>
      <c r="C30967" s="38" t="s">
        <v>35313</v>
      </c>
      <c r="D30967" s="38" t="str">
        <f>IFERROR(__xludf.DUMMYFUNCTION("REGEXREPLACE(C30967,""-\d+(.*)|--\d+(.*)"","""")"),"LES HOPITAUX-VIEUX")</f>
        <v>LES HOPITAUX-VIEUX</v>
      </c>
      <c r="E30967" s="38" t="s">
        <v>213</v>
      </c>
      <c r="F30967" s="38" t="s">
        <v>214</v>
      </c>
      <c r="G30967" s="49" t="str">
        <f t="shared" si="1"/>
        <v>25370</v>
      </c>
      <c r="H30967" s="49">
        <f t="shared" si="2"/>
        <v>25308</v>
      </c>
    </row>
    <row r="30968">
      <c r="A30968" s="48" t="s">
        <v>35314</v>
      </c>
      <c r="B30968" s="38">
        <v>58193.0</v>
      </c>
      <c r="C30968" s="38" t="s">
        <v>35315</v>
      </c>
      <c r="D30968" s="38" t="str">
        <f>IFERROR(__xludf.DUMMYFUNCTION("REGEXREPLACE(C30968,""-\d+(.*)|--\d+(.*)"","""")"),"NEUVY-SUR-LOIRE")</f>
        <v>NEUVY-SUR-LOIRE</v>
      </c>
      <c r="E30968" s="38" t="s">
        <v>219</v>
      </c>
      <c r="F30968" s="38" t="s">
        <v>106</v>
      </c>
      <c r="G30968" s="49" t="str">
        <f t="shared" si="1"/>
        <v>58450</v>
      </c>
      <c r="H30968" s="49">
        <f t="shared" si="2"/>
        <v>58193</v>
      </c>
    </row>
    <row r="30969">
      <c r="A30969" s="48" t="s">
        <v>7403</v>
      </c>
      <c r="B30969" s="38">
        <v>1344.0</v>
      </c>
      <c r="C30969" s="38" t="s">
        <v>35316</v>
      </c>
      <c r="D30969" s="38" t="str">
        <f>IFERROR(__xludf.DUMMYFUNCTION("REGEXREPLACE(C30969,""-\d+(.*)|--\d+(.*)"","""")"),"SAINT-DENIS-LES-BOURG")</f>
        <v>SAINT-DENIS-LES-BOURG</v>
      </c>
      <c r="E30969" s="38" t="s">
        <v>255</v>
      </c>
      <c r="F30969" s="38" t="s">
        <v>102</v>
      </c>
      <c r="G30969" s="49" t="str">
        <f t="shared" si="1"/>
        <v>01000</v>
      </c>
      <c r="H30969" s="49" t="str">
        <f t="shared" si="2"/>
        <v>01344</v>
      </c>
    </row>
    <row r="30970">
      <c r="A30970" s="48" t="s">
        <v>2421</v>
      </c>
      <c r="B30970" s="38">
        <v>4050.0</v>
      </c>
      <c r="C30970" s="38" t="s">
        <v>31295</v>
      </c>
      <c r="D30970" s="38" t="str">
        <f>IFERROR(__xludf.DUMMYFUNCTION("REGEXREPLACE(C30970,""-\d+(.*)|--\d+(.*)"","""")"),"CHATEAUFORT")</f>
        <v>CHATEAUFORT</v>
      </c>
      <c r="E30970" s="38" t="s">
        <v>662</v>
      </c>
      <c r="F30970" s="38" t="s">
        <v>228</v>
      </c>
      <c r="G30970" s="49" t="str">
        <f t="shared" si="1"/>
        <v>04250</v>
      </c>
      <c r="H30970" s="49" t="str">
        <f t="shared" si="2"/>
        <v>04050</v>
      </c>
    </row>
    <row r="30971">
      <c r="A30971" s="48" t="s">
        <v>2742</v>
      </c>
      <c r="B30971" s="38">
        <v>57344.0</v>
      </c>
      <c r="C30971" s="38" t="s">
        <v>35317</v>
      </c>
      <c r="D30971" s="38" t="str">
        <f>IFERROR(__xludf.DUMMYFUNCTION("REGEXREPLACE(C30971,""-\d+(.*)|--\d+(.*)"","""")"),"IMLING")</f>
        <v>IMLING</v>
      </c>
      <c r="E30971" s="38" t="s">
        <v>303</v>
      </c>
      <c r="F30971" s="38" t="s">
        <v>195</v>
      </c>
      <c r="G30971" s="49" t="str">
        <f t="shared" si="1"/>
        <v>57400</v>
      </c>
      <c r="H30971" s="49">
        <f t="shared" si="2"/>
        <v>57344</v>
      </c>
    </row>
    <row r="30972">
      <c r="A30972" s="48" t="s">
        <v>5243</v>
      </c>
      <c r="B30972" s="38">
        <v>18214.0</v>
      </c>
      <c r="C30972" s="38" t="s">
        <v>35318</v>
      </c>
      <c r="D30972" s="38" t="str">
        <f>IFERROR(__xludf.DUMMYFUNCTION("REGEXREPLACE(C30972,""-\d+(.*)|--\d+(.*)"","""")"),"SAINT-HILAIRE-DE-COURT")</f>
        <v>SAINT-HILAIRE-DE-COURT</v>
      </c>
      <c r="E30972" s="38" t="s">
        <v>504</v>
      </c>
      <c r="F30972" s="38" t="s">
        <v>123</v>
      </c>
      <c r="G30972" s="49" t="str">
        <f t="shared" si="1"/>
        <v>18100</v>
      </c>
      <c r="H30972" s="49">
        <f t="shared" si="2"/>
        <v>18214</v>
      </c>
    </row>
    <row r="30973">
      <c r="A30973" s="48" t="s">
        <v>1800</v>
      </c>
      <c r="B30973" s="38">
        <v>88251.0</v>
      </c>
      <c r="C30973" s="38" t="s">
        <v>35319</v>
      </c>
      <c r="D30973" s="38" t="str">
        <f>IFERROR(__xludf.DUMMYFUNCTION("REGEXREPLACE(C30973,""-\d+(.*)|--\d+(.*)"","""")"),"JEANMENIL")</f>
        <v>JEANMENIL</v>
      </c>
      <c r="E30973" s="38" t="s">
        <v>194</v>
      </c>
      <c r="F30973" s="38" t="s">
        <v>195</v>
      </c>
      <c r="G30973" s="49" t="str">
        <f t="shared" si="1"/>
        <v>88700</v>
      </c>
      <c r="H30973" s="49">
        <f t="shared" si="2"/>
        <v>88251</v>
      </c>
    </row>
    <row r="30974">
      <c r="A30974" s="48" t="s">
        <v>898</v>
      </c>
      <c r="B30974" s="38">
        <v>54576.0</v>
      </c>
      <c r="C30974" s="38" t="s">
        <v>35320</v>
      </c>
      <c r="D30974" s="38" t="str">
        <f>IFERROR(__xludf.DUMMYFUNCTION("REGEXREPLACE(C30974,""-\d+(.*)|--\d+(.*)"","""")"),"VILLERS-LE-ROND")</f>
        <v>VILLERS-LE-ROND</v>
      </c>
      <c r="E30974" s="38" t="s">
        <v>548</v>
      </c>
      <c r="F30974" s="38" t="s">
        <v>195</v>
      </c>
      <c r="G30974" s="49" t="str">
        <f t="shared" si="1"/>
        <v>54260</v>
      </c>
      <c r="H30974" s="49">
        <f t="shared" si="2"/>
        <v>54576</v>
      </c>
    </row>
    <row r="30975">
      <c r="A30975" s="48" t="s">
        <v>35321</v>
      </c>
      <c r="B30975" s="38">
        <v>42145.0</v>
      </c>
      <c r="C30975" s="38" t="s">
        <v>9839</v>
      </c>
      <c r="D30975" s="38" t="str">
        <f>IFERROR(__xludf.DUMMYFUNCTION("REGEXREPLACE(C30975,""-\d+(.*)|--\d+(.*)"","""")"),"MONTAGNY")</f>
        <v>MONTAGNY</v>
      </c>
      <c r="E30975" s="38" t="s">
        <v>166</v>
      </c>
      <c r="F30975" s="38" t="s">
        <v>102</v>
      </c>
      <c r="G30975" s="49" t="str">
        <f t="shared" si="1"/>
        <v>42840</v>
      </c>
      <c r="H30975" s="49">
        <f t="shared" si="2"/>
        <v>42145</v>
      </c>
    </row>
    <row r="30976">
      <c r="A30976" s="48" t="s">
        <v>15015</v>
      </c>
      <c r="B30976" s="38">
        <v>9100.0</v>
      </c>
      <c r="C30976" s="38" t="s">
        <v>35322</v>
      </c>
      <c r="D30976" s="38" t="str">
        <f>IFERROR(__xludf.DUMMYFUNCTION("REGEXREPLACE(C30976,""-\d+(.*)|--\d+(.*)"","""")"),"COUFLENS")</f>
        <v>COUFLENS</v>
      </c>
      <c r="E30976" s="38" t="s">
        <v>238</v>
      </c>
      <c r="F30976" s="38" t="s">
        <v>94</v>
      </c>
      <c r="G30976" s="49" t="str">
        <f t="shared" si="1"/>
        <v>09140</v>
      </c>
      <c r="H30976" s="49" t="str">
        <f t="shared" si="2"/>
        <v>09100</v>
      </c>
    </row>
    <row r="30977">
      <c r="A30977" s="48" t="s">
        <v>35323</v>
      </c>
      <c r="B30977" s="38">
        <v>57447.0</v>
      </c>
      <c r="C30977" s="38" t="s">
        <v>35324</v>
      </c>
      <c r="D30977" s="38" t="str">
        <f>IFERROR(__xludf.DUMMYFUNCTION("REGEXREPLACE(C30977,""-\d+(.*)|--\d+(.*)"","""")"),"MARLY")</f>
        <v>MARLY</v>
      </c>
      <c r="E30977" s="38" t="s">
        <v>303</v>
      </c>
      <c r="F30977" s="38" t="s">
        <v>195</v>
      </c>
      <c r="G30977" s="49" t="str">
        <f t="shared" si="1"/>
        <v>57155</v>
      </c>
      <c r="H30977" s="49">
        <f t="shared" si="2"/>
        <v>57447</v>
      </c>
    </row>
    <row r="30978">
      <c r="A30978" s="48" t="s">
        <v>966</v>
      </c>
      <c r="B30978" s="38">
        <v>70302.0</v>
      </c>
      <c r="C30978" s="38" t="s">
        <v>35325</v>
      </c>
      <c r="D30978" s="38" t="str">
        <f>IFERROR(__xludf.DUMMYFUNCTION("REGEXREPLACE(C30978,""-\d+(.*)|--\d+(.*)"","""")"),"LIEUCOURT")</f>
        <v>LIEUCOURT</v>
      </c>
      <c r="E30978" s="38" t="s">
        <v>956</v>
      </c>
      <c r="F30978" s="38" t="s">
        <v>214</v>
      </c>
      <c r="G30978" s="49" t="str">
        <f t="shared" si="1"/>
        <v>70140</v>
      </c>
      <c r="H30978" s="49">
        <f t="shared" si="2"/>
        <v>70302</v>
      </c>
    </row>
    <row r="30979">
      <c r="A30979" s="48" t="s">
        <v>9004</v>
      </c>
      <c r="B30979" s="38">
        <v>48053.0</v>
      </c>
      <c r="C30979" s="38" t="s">
        <v>35326</v>
      </c>
      <c r="D30979" s="38" t="str">
        <f>IFERROR(__xludf.DUMMYFUNCTION("REGEXREPLACE(C30979,""-\d+(.*)|--\d+(.*)"","""")"),"CUBIERES")</f>
        <v>CUBIERES</v>
      </c>
      <c r="E30979" s="38" t="s">
        <v>154</v>
      </c>
      <c r="F30979" s="38" t="s">
        <v>119</v>
      </c>
      <c r="G30979" s="49" t="str">
        <f t="shared" si="1"/>
        <v>48190</v>
      </c>
      <c r="H30979" s="49">
        <f t="shared" si="2"/>
        <v>48053</v>
      </c>
    </row>
    <row r="30980">
      <c r="A30980" s="48" t="s">
        <v>522</v>
      </c>
      <c r="B30980" s="38">
        <v>39165.0</v>
      </c>
      <c r="C30980" s="38" t="s">
        <v>35327</v>
      </c>
      <c r="D30980" s="38" t="str">
        <f>IFERROR(__xludf.DUMMYFUNCTION("REGEXREPLACE(C30980,""-\d+(.*)|--\d+(.*)"","""")"),"CONTE")</f>
        <v>CONTE</v>
      </c>
      <c r="E30980" s="38" t="s">
        <v>400</v>
      </c>
      <c r="F30980" s="38" t="s">
        <v>214</v>
      </c>
      <c r="G30980" s="49" t="str">
        <f t="shared" si="1"/>
        <v>39300</v>
      </c>
      <c r="H30980" s="49">
        <f t="shared" si="2"/>
        <v>39165</v>
      </c>
    </row>
    <row r="30981">
      <c r="A30981" s="48" t="s">
        <v>4880</v>
      </c>
      <c r="B30981" s="38">
        <v>89371.0</v>
      </c>
      <c r="C30981" s="38" t="s">
        <v>35328</v>
      </c>
      <c r="D30981" s="38" t="str">
        <f>IFERROR(__xludf.DUMMYFUNCTION("REGEXREPLACE(C30981,""-\d+(.*)|--\d+(.*)"","""")"),"SAINTE-VERTU")</f>
        <v>SAINTE-VERTU</v>
      </c>
      <c r="E30981" s="38" t="s">
        <v>275</v>
      </c>
      <c r="F30981" s="38" t="s">
        <v>106</v>
      </c>
      <c r="G30981" s="49" t="str">
        <f t="shared" si="1"/>
        <v>89310</v>
      </c>
      <c r="H30981" s="49">
        <f t="shared" si="2"/>
        <v>89371</v>
      </c>
    </row>
    <row r="30982">
      <c r="A30982" s="48" t="s">
        <v>8134</v>
      </c>
      <c r="B30982" s="38">
        <v>47077.0</v>
      </c>
      <c r="C30982" s="38" t="s">
        <v>35329</v>
      </c>
      <c r="D30982" s="38" t="str">
        <f>IFERROR(__xludf.DUMMYFUNCTION("REGEXREPLACE(C30982,""-\d+(.*)|--\d+(.*)"","""")"),"CUZORN")</f>
        <v>CUZORN</v>
      </c>
      <c r="E30982" s="38" t="s">
        <v>251</v>
      </c>
      <c r="F30982" s="38" t="s">
        <v>252</v>
      </c>
      <c r="G30982" s="49" t="str">
        <f t="shared" si="1"/>
        <v>47500</v>
      </c>
      <c r="H30982" s="49">
        <f t="shared" si="2"/>
        <v>47077</v>
      </c>
    </row>
    <row r="30983">
      <c r="A30983" s="48" t="s">
        <v>1276</v>
      </c>
      <c r="B30983" s="38">
        <v>64534.0</v>
      </c>
      <c r="C30983" s="38" t="s">
        <v>35330</v>
      </c>
      <c r="D30983" s="38" t="str">
        <f>IFERROR(__xludf.DUMMYFUNCTION("REGEXREPLACE(C30983,""-\d+(.*)|--\d+(.*)"","""")"),"TARON-SADIRAC-VIELLENAVE")</f>
        <v>TARON-SADIRAC-VIELLENAVE</v>
      </c>
      <c r="E30983" s="38" t="s">
        <v>268</v>
      </c>
      <c r="F30983" s="38" t="s">
        <v>252</v>
      </c>
      <c r="G30983" s="49" t="str">
        <f t="shared" si="1"/>
        <v>64330</v>
      </c>
      <c r="H30983" s="49">
        <f t="shared" si="2"/>
        <v>64534</v>
      </c>
    </row>
    <row r="30984">
      <c r="A30984" s="48" t="s">
        <v>15148</v>
      </c>
      <c r="B30984" s="38">
        <v>57390.0</v>
      </c>
      <c r="C30984" s="38" t="s">
        <v>35331</v>
      </c>
      <c r="D30984" s="38" t="str">
        <f>IFERROR(__xludf.DUMMYFUNCTION("REGEXREPLACE(C30984,""-\d+(.*)|--\d+(.*)"","""")"),"LEMBERG")</f>
        <v>LEMBERG</v>
      </c>
      <c r="E30984" s="38" t="s">
        <v>303</v>
      </c>
      <c r="F30984" s="38" t="s">
        <v>195</v>
      </c>
      <c r="G30984" s="49" t="str">
        <f t="shared" si="1"/>
        <v>57620</v>
      </c>
      <c r="H30984" s="49">
        <f t="shared" si="2"/>
        <v>57390</v>
      </c>
    </row>
    <row r="30985">
      <c r="A30985" s="48" t="s">
        <v>35332</v>
      </c>
      <c r="B30985" s="38">
        <v>56098.0</v>
      </c>
      <c r="C30985" s="38" t="s">
        <v>35333</v>
      </c>
      <c r="D30985" s="38" t="str">
        <f>IFERROR(__xludf.DUMMYFUNCTION("REGEXREPLACE(C30985,""-\d+(.*)|--\d+(.*)"","""")"),"LANESTER")</f>
        <v>LANESTER</v>
      </c>
      <c r="E30985" s="38" t="s">
        <v>173</v>
      </c>
      <c r="F30985" s="38" t="s">
        <v>90</v>
      </c>
      <c r="G30985" s="49" t="str">
        <f t="shared" si="1"/>
        <v>56600</v>
      </c>
      <c r="H30985" s="49">
        <f t="shared" si="2"/>
        <v>56098</v>
      </c>
    </row>
    <row r="30986">
      <c r="A30986" s="48" t="s">
        <v>5555</v>
      </c>
      <c r="B30986" s="38">
        <v>82093.0</v>
      </c>
      <c r="C30986" s="38" t="s">
        <v>35334</v>
      </c>
      <c r="D30986" s="38" t="str">
        <f>IFERROR(__xludf.DUMMYFUNCTION("REGEXREPLACE(C30986,""-\d+(.*)|--\d+(.*)"","""")"),"LARRAZET")</f>
        <v>LARRAZET</v>
      </c>
      <c r="E30986" s="38" t="s">
        <v>570</v>
      </c>
      <c r="F30986" s="38" t="s">
        <v>94</v>
      </c>
      <c r="G30986" s="49" t="str">
        <f t="shared" si="1"/>
        <v>82500</v>
      </c>
      <c r="H30986" s="49">
        <f t="shared" si="2"/>
        <v>82093</v>
      </c>
    </row>
    <row r="30987">
      <c r="A30987" s="48" t="s">
        <v>4397</v>
      </c>
      <c r="B30987" s="38">
        <v>43166.0</v>
      </c>
      <c r="C30987" s="38" t="s">
        <v>35335</v>
      </c>
      <c r="D30987" s="38" t="str">
        <f>IFERROR(__xludf.DUMMYFUNCTION("REGEXREPLACE(C30987,""-\d+(.*)|--\d+(.*)"","""")"),"SAINT-ANDRE-DE-CHALENCON")</f>
        <v>SAINT-ANDRE-DE-CHALENCON</v>
      </c>
      <c r="E30987" s="38" t="s">
        <v>332</v>
      </c>
      <c r="F30987" s="38" t="s">
        <v>161</v>
      </c>
      <c r="G30987" s="49" t="str">
        <f t="shared" si="1"/>
        <v>43130</v>
      </c>
      <c r="H30987" s="49">
        <f t="shared" si="2"/>
        <v>43166</v>
      </c>
    </row>
    <row r="30988">
      <c r="A30988" s="48" t="s">
        <v>3806</v>
      </c>
      <c r="B30988" s="38">
        <v>7038.0</v>
      </c>
      <c r="C30988" s="38" t="s">
        <v>15663</v>
      </c>
      <c r="D30988" s="38" t="str">
        <f>IFERROR(__xludf.DUMMYFUNCTION("REGEXREPLACE(C30988,""-\d+(.*)|--\d+(.*)"","""")"),"BORNE")</f>
        <v>BORNE</v>
      </c>
      <c r="E30988" s="38" t="s">
        <v>144</v>
      </c>
      <c r="F30988" s="38" t="s">
        <v>102</v>
      </c>
      <c r="G30988" s="49" t="str">
        <f t="shared" si="1"/>
        <v>07590</v>
      </c>
      <c r="H30988" s="49" t="str">
        <f t="shared" si="2"/>
        <v>07038</v>
      </c>
    </row>
    <row r="30989">
      <c r="A30989" s="48" t="s">
        <v>25884</v>
      </c>
      <c r="B30989" s="38">
        <v>60684.0</v>
      </c>
      <c r="C30989" s="38" t="s">
        <v>35336</v>
      </c>
      <c r="D30989" s="38" t="str">
        <f>IFERROR(__xludf.DUMMYFUNCTION("REGEXREPLACE(C30989,""-\d+(.*)|--\d+(.*)"","""")"),"VILLERS-SAINT-PAUL")</f>
        <v>VILLERS-SAINT-PAUL</v>
      </c>
      <c r="E30989" s="38" t="s">
        <v>112</v>
      </c>
      <c r="F30989" s="38" t="s">
        <v>113</v>
      </c>
      <c r="G30989" s="49" t="str">
        <f t="shared" si="1"/>
        <v>60870</v>
      </c>
      <c r="H30989" s="49">
        <f t="shared" si="2"/>
        <v>60684</v>
      </c>
    </row>
    <row r="30990">
      <c r="A30990" s="48" t="s">
        <v>7824</v>
      </c>
      <c r="B30990" s="38">
        <v>82124.0</v>
      </c>
      <c r="C30990" s="38" t="s">
        <v>35337</v>
      </c>
      <c r="D30990" s="38" t="str">
        <f>IFERROR(__xludf.DUMMYFUNCTION("REGEXREPLACE(C30990,""-\d+(.*)|--\d+(.*)"","""")"),"MONTBETON")</f>
        <v>MONTBETON</v>
      </c>
      <c r="E30990" s="38" t="s">
        <v>570</v>
      </c>
      <c r="F30990" s="38" t="s">
        <v>94</v>
      </c>
      <c r="G30990" s="49" t="str">
        <f t="shared" si="1"/>
        <v>82290</v>
      </c>
      <c r="H30990" s="49">
        <f t="shared" si="2"/>
        <v>82124</v>
      </c>
    </row>
    <row r="30991">
      <c r="A30991" s="48" t="s">
        <v>7435</v>
      </c>
      <c r="B30991" s="38">
        <v>52421.0</v>
      </c>
      <c r="C30991" s="38" t="s">
        <v>35338</v>
      </c>
      <c r="D30991" s="38" t="str">
        <f>IFERROR(__xludf.DUMMYFUNCTION("REGEXREPLACE(C30991,""-\d+(.*)|--\d+(.*)"","""")"),"RIAUCOURT")</f>
        <v>RIAUCOURT</v>
      </c>
      <c r="E30991" s="38" t="s">
        <v>234</v>
      </c>
      <c r="F30991" s="38" t="s">
        <v>130</v>
      </c>
      <c r="G30991" s="49" t="str">
        <f t="shared" si="1"/>
        <v>52000</v>
      </c>
      <c r="H30991" s="49">
        <f t="shared" si="2"/>
        <v>52421</v>
      </c>
    </row>
    <row r="30992">
      <c r="A30992" s="48" t="s">
        <v>7549</v>
      </c>
      <c r="B30992" s="38">
        <v>50471.0</v>
      </c>
      <c r="C30992" s="38" t="s">
        <v>35339</v>
      </c>
      <c r="D30992" s="38" t="str">
        <f>IFERROR(__xludf.DUMMYFUNCTION("REGEXREPLACE(C30992,""-\d+(.*)|--\d+(.*)"","""")"),"SAINT-GEORGES-DE-LA-RIVIERE")</f>
        <v>SAINT-GEORGES-DE-LA-RIVIERE</v>
      </c>
      <c r="E30992" s="38" t="s">
        <v>157</v>
      </c>
      <c r="F30992" s="38" t="s">
        <v>138</v>
      </c>
      <c r="G30992" s="49" t="str">
        <f t="shared" si="1"/>
        <v>50270</v>
      </c>
      <c r="H30992" s="49">
        <f t="shared" si="2"/>
        <v>50471</v>
      </c>
    </row>
    <row r="30993">
      <c r="A30993" s="48" t="s">
        <v>6125</v>
      </c>
      <c r="B30993" s="38">
        <v>38403.0</v>
      </c>
      <c r="C30993" s="38" t="s">
        <v>35340</v>
      </c>
      <c r="D30993" s="38" t="str">
        <f>IFERROR(__xludf.DUMMYFUNCTION("REGEXREPLACE(C30993,""-\d+(.*)|--\d+(.*)"","""")"),"SAINT-JEAN-D'HERANS")</f>
        <v>SAINT-JEAN-D'HERANS</v>
      </c>
      <c r="E30993" s="38" t="s">
        <v>101</v>
      </c>
      <c r="F30993" s="38" t="s">
        <v>102</v>
      </c>
      <c r="G30993" s="49" t="str">
        <f t="shared" si="1"/>
        <v>38710</v>
      </c>
      <c r="H30993" s="49">
        <f t="shared" si="2"/>
        <v>38403</v>
      </c>
    </row>
    <row r="30994">
      <c r="A30994" s="48" t="s">
        <v>2861</v>
      </c>
      <c r="B30994" s="38">
        <v>62780.0</v>
      </c>
      <c r="C30994" s="38" t="s">
        <v>35341</v>
      </c>
      <c r="D30994" s="38" t="str">
        <f>IFERROR(__xludf.DUMMYFUNCTION("REGEXREPLACE(C30994,""-\d+(.*)|--\d+(.*)"","""")"),"SAUCHY-CAUCHY")</f>
        <v>SAUCHY-CAUCHY</v>
      </c>
      <c r="E30994" s="38" t="s">
        <v>109</v>
      </c>
      <c r="F30994" s="38" t="s">
        <v>86</v>
      </c>
      <c r="G30994" s="49" t="str">
        <f t="shared" si="1"/>
        <v>62860</v>
      </c>
      <c r="H30994" s="49">
        <f t="shared" si="2"/>
        <v>62780</v>
      </c>
    </row>
    <row r="30995">
      <c r="A30995" s="48" t="s">
        <v>3598</v>
      </c>
      <c r="B30995" s="38">
        <v>7065.0</v>
      </c>
      <c r="C30995" s="38" t="s">
        <v>35342</v>
      </c>
      <c r="D30995" s="38" t="str">
        <f>IFERROR(__xludf.DUMMYFUNCTION("REGEXREPLACE(C30995,""-\d+(.*)|--\d+(.*)"","""")"),"CHIROLS")</f>
        <v>CHIROLS</v>
      </c>
      <c r="E30995" s="38" t="s">
        <v>144</v>
      </c>
      <c r="F30995" s="38" t="s">
        <v>102</v>
      </c>
      <c r="G30995" s="49" t="str">
        <f t="shared" si="1"/>
        <v>07380</v>
      </c>
      <c r="H30995" s="49" t="str">
        <f t="shared" si="2"/>
        <v>07065</v>
      </c>
    </row>
    <row r="30996">
      <c r="A30996" s="48" t="s">
        <v>1806</v>
      </c>
      <c r="B30996" s="38">
        <v>90032.0</v>
      </c>
      <c r="C30996" s="38" t="s">
        <v>35343</v>
      </c>
      <c r="D30996" s="38" t="str">
        <f>IFERROR(__xludf.DUMMYFUNCTION("REGEXREPLACE(C30996,""-\d+(.*)|--\d+(.*)"","""")"),"DANJOUTIN")</f>
        <v>DANJOUTIN</v>
      </c>
      <c r="E30996" s="38" t="s">
        <v>1283</v>
      </c>
      <c r="F30996" s="38" t="s">
        <v>214</v>
      </c>
      <c r="G30996" s="49" t="str">
        <f t="shared" si="1"/>
        <v>90400</v>
      </c>
      <c r="H30996" s="49">
        <f t="shared" si="2"/>
        <v>90032</v>
      </c>
    </row>
    <row r="30997">
      <c r="A30997" s="48" t="s">
        <v>35344</v>
      </c>
      <c r="B30997" s="38">
        <v>80714.0</v>
      </c>
      <c r="C30997" s="38" t="s">
        <v>35345</v>
      </c>
      <c r="D30997" s="38" t="str">
        <f>IFERROR(__xludf.DUMMYFUNCTION("REGEXREPLACE(C30997,""-\d+(.*)|--\d+(.*)"","""")"),"SAINT-QUENTIN-LA-MOTTE-CROIX-AU-BAILLY")</f>
        <v>SAINT-QUENTIN-LA-MOTTE-CROIX-AU-BAILLY</v>
      </c>
      <c r="E30997" s="38" t="s">
        <v>224</v>
      </c>
      <c r="F30997" s="38" t="s">
        <v>113</v>
      </c>
      <c r="G30997" s="49" t="str">
        <f t="shared" si="1"/>
        <v>80880</v>
      </c>
      <c r="H30997" s="49">
        <f t="shared" si="2"/>
        <v>80714</v>
      </c>
    </row>
    <row r="30998">
      <c r="A30998" s="48" t="s">
        <v>15947</v>
      </c>
      <c r="B30998" s="38">
        <v>2830.0</v>
      </c>
      <c r="C30998" s="38" t="s">
        <v>35346</v>
      </c>
      <c r="D30998" s="38" t="str">
        <f>IFERROR(__xludf.DUMMYFUNCTION("REGEXREPLACE(C30998,""-\d+(.*)|--\d+(.*)"","""")"),"WASSIGNY")</f>
        <v>WASSIGNY</v>
      </c>
      <c r="E30998" s="38" t="s">
        <v>191</v>
      </c>
      <c r="F30998" s="38" t="s">
        <v>113</v>
      </c>
      <c r="G30998" s="49" t="str">
        <f t="shared" si="1"/>
        <v>02630</v>
      </c>
      <c r="H30998" s="49" t="str">
        <f t="shared" si="2"/>
        <v>02830</v>
      </c>
    </row>
    <row r="30999">
      <c r="A30999" s="48" t="s">
        <v>773</v>
      </c>
      <c r="B30999" s="38">
        <v>27689.0</v>
      </c>
      <c r="C30999" s="38" t="s">
        <v>20002</v>
      </c>
      <c r="D30999" s="38" t="str">
        <f>IFERROR(__xludf.DUMMYFUNCTION("REGEXREPLACE(C30999,""-\d+(.*)|--\d+(.*)"","""")"),"VILLEGATS")</f>
        <v>VILLEGATS</v>
      </c>
      <c r="E30999" s="38" t="s">
        <v>241</v>
      </c>
      <c r="F30999" s="38" t="s">
        <v>134</v>
      </c>
      <c r="G30999" s="49" t="str">
        <f t="shared" si="1"/>
        <v>27120</v>
      </c>
      <c r="H30999" s="49">
        <f t="shared" si="2"/>
        <v>27689</v>
      </c>
    </row>
    <row r="31000">
      <c r="A31000" s="48" t="s">
        <v>2721</v>
      </c>
      <c r="B31000" s="38">
        <v>26354.0</v>
      </c>
      <c r="C31000" s="38" t="s">
        <v>35347</v>
      </c>
      <c r="D31000" s="38" t="str">
        <f>IFERROR(__xludf.DUMMYFUNCTION("REGEXREPLACE(C31000,""-\d+(.*)|--\d+(.*)"","""")"),"TRESCHENU-CREYERS")</f>
        <v>TRESCHENU-CREYERS</v>
      </c>
      <c r="E31000" s="38" t="s">
        <v>126</v>
      </c>
      <c r="F31000" s="38" t="s">
        <v>102</v>
      </c>
      <c r="G31000" s="49" t="str">
        <f t="shared" si="1"/>
        <v>26410</v>
      </c>
      <c r="H31000" s="49">
        <f t="shared" si="2"/>
        <v>26354</v>
      </c>
    </row>
    <row r="31001">
      <c r="A31001" s="48" t="s">
        <v>1036</v>
      </c>
      <c r="B31001" s="38">
        <v>57424.0</v>
      </c>
      <c r="C31001" s="38" t="s">
        <v>35348</v>
      </c>
      <c r="D31001" s="38" t="str">
        <f>IFERROR(__xludf.DUMMYFUNCTION("REGEXREPLACE(C31001,""-\d+(.*)|--\d+(.*)"","""")"),"LUCY")</f>
        <v>LUCY</v>
      </c>
      <c r="E31001" s="38" t="s">
        <v>303</v>
      </c>
      <c r="F31001" s="38" t="s">
        <v>195</v>
      </c>
      <c r="G31001" s="49" t="str">
        <f t="shared" si="1"/>
        <v>57590</v>
      </c>
      <c r="H31001" s="49">
        <f t="shared" si="2"/>
        <v>57424</v>
      </c>
    </row>
    <row r="31002">
      <c r="A31002" s="48" t="s">
        <v>5935</v>
      </c>
      <c r="B31002" s="38">
        <v>1275.0</v>
      </c>
      <c r="C31002" s="38" t="s">
        <v>35349</v>
      </c>
      <c r="D31002" s="38" t="str">
        <f>IFERROR(__xludf.DUMMYFUNCTION("REGEXREPLACE(C31002,""-\d+(.*)|--\d+(.*)"","""")"),"NEYRON")</f>
        <v>NEYRON</v>
      </c>
      <c r="E31002" s="38" t="s">
        <v>255</v>
      </c>
      <c r="F31002" s="38" t="s">
        <v>102</v>
      </c>
      <c r="G31002" s="49" t="str">
        <f t="shared" si="1"/>
        <v>01700</v>
      </c>
      <c r="H31002" s="49" t="str">
        <f t="shared" si="2"/>
        <v>01275</v>
      </c>
    </row>
    <row r="31003">
      <c r="A31003" s="48" t="s">
        <v>35350</v>
      </c>
      <c r="B31003" s="38">
        <v>94044.0</v>
      </c>
      <c r="C31003" s="38" t="s">
        <v>35351</v>
      </c>
      <c r="D31003" s="38" t="str">
        <f>IFERROR(__xludf.DUMMYFUNCTION("REGEXREPLACE(C31003,""-\d+(.*)|--\d+(.*)"","""")"),"LIMEIL-BREVANNES")</f>
        <v>LIMEIL-BREVANNES</v>
      </c>
      <c r="E31003" s="38" t="s">
        <v>561</v>
      </c>
      <c r="F31003" s="38" t="s">
        <v>245</v>
      </c>
      <c r="G31003" s="49" t="str">
        <f t="shared" si="1"/>
        <v>94450</v>
      </c>
      <c r="H31003" s="49">
        <f t="shared" si="2"/>
        <v>94044</v>
      </c>
    </row>
    <row r="31004">
      <c r="A31004" s="48" t="s">
        <v>6775</v>
      </c>
      <c r="B31004" s="38">
        <v>79144.0</v>
      </c>
      <c r="C31004" s="38" t="s">
        <v>35352</v>
      </c>
      <c r="D31004" s="38" t="str">
        <f>IFERROR(__xludf.DUMMYFUNCTION("REGEXREPLACE(C31004,""-\d+(.*)|--\d+(.*)"","""")"),"JUSCORPS")</f>
        <v>JUSCORPS</v>
      </c>
      <c r="E31004" s="38" t="s">
        <v>337</v>
      </c>
      <c r="F31004" s="38" t="s">
        <v>338</v>
      </c>
      <c r="G31004" s="49" t="str">
        <f t="shared" si="1"/>
        <v>79230</v>
      </c>
      <c r="H31004" s="49">
        <f t="shared" si="2"/>
        <v>79144</v>
      </c>
    </row>
    <row r="31005">
      <c r="A31005" s="48" t="s">
        <v>9067</v>
      </c>
      <c r="B31005" s="38">
        <v>73318.0</v>
      </c>
      <c r="C31005" s="38" t="s">
        <v>35353</v>
      </c>
      <c r="D31005" s="38" t="str">
        <f>IFERROR(__xludf.DUMMYFUNCTION("REGEXREPLACE(C31005,""-\d+(.*)|--\d+(.*)"","""")"),"VILLAREMBERT")</f>
        <v>VILLAREMBERT</v>
      </c>
      <c r="E31005" s="38" t="s">
        <v>306</v>
      </c>
      <c r="F31005" s="38" t="s">
        <v>102</v>
      </c>
      <c r="G31005" s="49" t="str">
        <f t="shared" si="1"/>
        <v>73300</v>
      </c>
      <c r="H31005" s="49">
        <f t="shared" si="2"/>
        <v>73318</v>
      </c>
    </row>
    <row r="31006">
      <c r="A31006" s="48" t="s">
        <v>28015</v>
      </c>
      <c r="B31006" s="38" t="s">
        <v>35354</v>
      </c>
      <c r="C31006" s="38" t="s">
        <v>35355</v>
      </c>
      <c r="D31006" s="38" t="str">
        <f>IFERROR(__xludf.DUMMYFUNCTION("REGEXREPLACE(C31006,""-\d+(.*)|--\d+(.*)"","""")"),"ROSAZIA")</f>
        <v>ROSAZIA</v>
      </c>
      <c r="E31006" s="38" t="s">
        <v>606</v>
      </c>
      <c r="F31006" s="38" t="s">
        <v>607</v>
      </c>
      <c r="G31006" s="49" t="str">
        <f t="shared" si="1"/>
        <v>20121</v>
      </c>
      <c r="H31006" s="49" t="str">
        <f t="shared" si="2"/>
        <v>2A262</v>
      </c>
    </row>
    <row r="31007">
      <c r="A31007" s="48" t="s">
        <v>7166</v>
      </c>
      <c r="B31007" s="38">
        <v>52486.0</v>
      </c>
      <c r="C31007" s="38" t="s">
        <v>35356</v>
      </c>
      <c r="D31007" s="38" t="str">
        <f>IFERROR(__xludf.DUMMYFUNCTION("REGEXREPLACE(C31007,""-\d+(.*)|--\d+(.*)"","""")"),"TERNAT")</f>
        <v>TERNAT</v>
      </c>
      <c r="E31007" s="38" t="s">
        <v>234</v>
      </c>
      <c r="F31007" s="38" t="s">
        <v>130</v>
      </c>
      <c r="G31007" s="49" t="str">
        <f t="shared" si="1"/>
        <v>52210</v>
      </c>
      <c r="H31007" s="49">
        <f t="shared" si="2"/>
        <v>52486</v>
      </c>
    </row>
    <row r="31008">
      <c r="A31008" s="48" t="s">
        <v>5775</v>
      </c>
      <c r="B31008" s="38">
        <v>73157.0</v>
      </c>
      <c r="C31008" s="38" t="s">
        <v>35357</v>
      </c>
      <c r="D31008" s="38" t="str">
        <f>IFERROR(__xludf.DUMMYFUNCTION("REGEXREPLACE(C31008,""-\d+(.*)|--\d+(.*)"","""")"),"MODANE")</f>
        <v>MODANE</v>
      </c>
      <c r="E31008" s="38" t="s">
        <v>306</v>
      </c>
      <c r="F31008" s="38" t="s">
        <v>102</v>
      </c>
      <c r="G31008" s="49" t="str">
        <f t="shared" si="1"/>
        <v>73500</v>
      </c>
      <c r="H31008" s="49">
        <f t="shared" si="2"/>
        <v>73157</v>
      </c>
    </row>
    <row r="31009">
      <c r="A31009" s="48" t="s">
        <v>3846</v>
      </c>
      <c r="B31009" s="38">
        <v>19125.0</v>
      </c>
      <c r="C31009" s="38" t="s">
        <v>35358</v>
      </c>
      <c r="D31009" s="38" t="str">
        <f>IFERROR(__xludf.DUMMYFUNCTION("REGEXREPLACE(C31009,""-\d+(.*)|--\d+(.*)"","""")"),"MARCILLAC-LA-CROISILLE")</f>
        <v>MARCILLAC-LA-CROISILLE</v>
      </c>
      <c r="E31009" s="38" t="s">
        <v>271</v>
      </c>
      <c r="F31009" s="38" t="s">
        <v>98</v>
      </c>
      <c r="G31009" s="49" t="str">
        <f t="shared" si="1"/>
        <v>19320</v>
      </c>
      <c r="H31009" s="49">
        <f t="shared" si="2"/>
        <v>19125</v>
      </c>
    </row>
    <row r="31010">
      <c r="A31010" s="48" t="s">
        <v>1716</v>
      </c>
      <c r="B31010" s="38">
        <v>38354.0</v>
      </c>
      <c r="C31010" s="38" t="s">
        <v>35359</v>
      </c>
      <c r="D31010" s="38" t="str">
        <f>IFERROR(__xludf.DUMMYFUNCTION("REGEXREPLACE(C31010,""-\d+(.*)|--\d+(.*)"","""")"),"SAINT-ALBIN-DE-VAULSERRE")</f>
        <v>SAINT-ALBIN-DE-VAULSERRE</v>
      </c>
      <c r="E31010" s="38" t="s">
        <v>101</v>
      </c>
      <c r="F31010" s="38" t="s">
        <v>102</v>
      </c>
      <c r="G31010" s="49" t="str">
        <f t="shared" si="1"/>
        <v>38480</v>
      </c>
      <c r="H31010" s="49">
        <f t="shared" si="2"/>
        <v>38354</v>
      </c>
    </row>
    <row r="31011">
      <c r="A31011" s="48" t="s">
        <v>7571</v>
      </c>
      <c r="B31011" s="38">
        <v>77378.0</v>
      </c>
      <c r="C31011" s="38" t="s">
        <v>14107</v>
      </c>
      <c r="D31011" s="38" t="str">
        <f>IFERROR(__xludf.DUMMYFUNCTION("REGEXREPLACE(C31011,""-\d+(.*)|--\d+(.*)"","""")"),"PRINGY")</f>
        <v>PRINGY</v>
      </c>
      <c r="E31011" s="38" t="s">
        <v>244</v>
      </c>
      <c r="F31011" s="38" t="s">
        <v>245</v>
      </c>
      <c r="G31011" s="49" t="str">
        <f t="shared" si="1"/>
        <v>77310</v>
      </c>
      <c r="H31011" s="49">
        <f t="shared" si="2"/>
        <v>77378</v>
      </c>
    </row>
    <row r="31012">
      <c r="A31012" s="48" t="s">
        <v>26042</v>
      </c>
      <c r="B31012" s="38">
        <v>26213.0</v>
      </c>
      <c r="C31012" s="38" t="s">
        <v>35360</v>
      </c>
      <c r="D31012" s="38" t="str">
        <f>IFERROR(__xludf.DUMMYFUNCTION("REGEXREPLACE(C31012,""-\d+(.*)|--\d+(.*)"","""")"),"MORAS-EN-VALLOIRE")</f>
        <v>MORAS-EN-VALLOIRE</v>
      </c>
      <c r="E31012" s="38" t="s">
        <v>126</v>
      </c>
      <c r="F31012" s="38" t="s">
        <v>102</v>
      </c>
      <c r="G31012" s="49" t="str">
        <f t="shared" si="1"/>
        <v>26210</v>
      </c>
      <c r="H31012" s="49">
        <f t="shared" si="2"/>
        <v>26213</v>
      </c>
    </row>
    <row r="31013">
      <c r="A31013" s="48" t="s">
        <v>7512</v>
      </c>
      <c r="B31013" s="38">
        <v>35108.0</v>
      </c>
      <c r="C31013" s="38" t="s">
        <v>14578</v>
      </c>
      <c r="D31013" s="38" t="str">
        <f>IFERROR(__xludf.DUMMYFUNCTION("REGEXREPLACE(C31013,""-\d+(.*)|--\d+(.*)"","""")"),"ESSE")</f>
        <v>ESSE</v>
      </c>
      <c r="E31013" s="38" t="s">
        <v>347</v>
      </c>
      <c r="F31013" s="38" t="s">
        <v>90</v>
      </c>
      <c r="G31013" s="49" t="str">
        <f t="shared" si="1"/>
        <v>35150</v>
      </c>
      <c r="H31013" s="49">
        <f t="shared" si="2"/>
        <v>35108</v>
      </c>
    </row>
    <row r="31014">
      <c r="A31014" s="48" t="s">
        <v>12491</v>
      </c>
      <c r="B31014" s="38">
        <v>21357.0</v>
      </c>
      <c r="C31014" s="38" t="s">
        <v>35361</v>
      </c>
      <c r="D31014" s="38" t="str">
        <f>IFERROR(__xludf.DUMMYFUNCTION("REGEXREPLACE(C31014,""-\d+(.*)|--\d+(.*)"","""")"),"LOUESME")</f>
        <v>LOUESME</v>
      </c>
      <c r="E31014" s="38" t="s">
        <v>105</v>
      </c>
      <c r="F31014" s="38" t="s">
        <v>106</v>
      </c>
      <c r="G31014" s="49" t="str">
        <f t="shared" si="1"/>
        <v>21520</v>
      </c>
      <c r="H31014" s="49">
        <f t="shared" si="2"/>
        <v>21357</v>
      </c>
    </row>
    <row r="31015">
      <c r="A31015" s="48" t="s">
        <v>8956</v>
      </c>
      <c r="B31015" s="38">
        <v>34162.0</v>
      </c>
      <c r="C31015" s="38" t="s">
        <v>30195</v>
      </c>
      <c r="D31015" s="38" t="str">
        <f>IFERROR(__xludf.DUMMYFUNCTION("REGEXREPLACE(C31015,""-\d+(.*)|--\d+(.*)"","""")"),"MONTAGNAC")</f>
        <v>MONTAGNAC</v>
      </c>
      <c r="E31015" s="38" t="s">
        <v>118</v>
      </c>
      <c r="F31015" s="38" t="s">
        <v>119</v>
      </c>
      <c r="G31015" s="49" t="str">
        <f t="shared" si="1"/>
        <v>34530</v>
      </c>
      <c r="H31015" s="49">
        <f t="shared" si="2"/>
        <v>34162</v>
      </c>
    </row>
    <row r="31016">
      <c r="A31016" s="48" t="s">
        <v>7676</v>
      </c>
      <c r="B31016" s="38">
        <v>63167.0</v>
      </c>
      <c r="C31016" s="38" t="s">
        <v>35362</v>
      </c>
      <c r="D31016" s="38" t="str">
        <f>IFERROR(__xludf.DUMMYFUNCTION("REGEXREPLACE(C31016,""-\d+(.*)|--\d+(.*)"","""")"),"GIMEAUX")</f>
        <v>GIMEAUX</v>
      </c>
      <c r="E31016" s="38" t="s">
        <v>353</v>
      </c>
      <c r="F31016" s="38" t="s">
        <v>161</v>
      </c>
      <c r="G31016" s="49" t="str">
        <f t="shared" si="1"/>
        <v>63200</v>
      </c>
      <c r="H31016" s="49">
        <f t="shared" si="2"/>
        <v>63167</v>
      </c>
    </row>
    <row r="31017">
      <c r="A31017" s="48" t="s">
        <v>3418</v>
      </c>
      <c r="B31017" s="38">
        <v>47199.0</v>
      </c>
      <c r="C31017" s="38" t="s">
        <v>35363</v>
      </c>
      <c r="D31017" s="38" t="str">
        <f>IFERROR(__xludf.DUMMYFUNCTION("REGEXREPLACE(C31017,""-\d+(.*)|--\d+(.*)"","""")"),"PARDAILLAN")</f>
        <v>PARDAILLAN</v>
      </c>
      <c r="E31017" s="38" t="s">
        <v>251</v>
      </c>
      <c r="F31017" s="38" t="s">
        <v>252</v>
      </c>
      <c r="G31017" s="49" t="str">
        <f t="shared" si="1"/>
        <v>47120</v>
      </c>
      <c r="H31017" s="49">
        <f t="shared" si="2"/>
        <v>47199</v>
      </c>
    </row>
    <row r="31018">
      <c r="A31018" s="48" t="s">
        <v>13269</v>
      </c>
      <c r="B31018" s="38">
        <v>4191.0</v>
      </c>
      <c r="C31018" s="38" t="s">
        <v>35364</v>
      </c>
      <c r="D31018" s="38" t="str">
        <f>IFERROR(__xludf.DUMMYFUNCTION("REGEXREPLACE(C31018,""-\d+(.*)|--\d+(.*)"","""")"),"SAINT-MARTIN-LES-SEYNE")</f>
        <v>SAINT-MARTIN-LES-SEYNE</v>
      </c>
      <c r="E31018" s="38" t="s">
        <v>662</v>
      </c>
      <c r="F31018" s="38" t="s">
        <v>228</v>
      </c>
      <c r="G31018" s="49" t="str">
        <f t="shared" si="1"/>
        <v>04140</v>
      </c>
      <c r="H31018" s="49" t="str">
        <f t="shared" si="2"/>
        <v>04191</v>
      </c>
    </row>
    <row r="31019">
      <c r="A31019" s="48" t="s">
        <v>3349</v>
      </c>
      <c r="B31019" s="38">
        <v>34008.0</v>
      </c>
      <c r="C31019" s="38" t="s">
        <v>35365</v>
      </c>
      <c r="D31019" s="38" t="str">
        <f>IFERROR(__xludf.DUMMYFUNCTION("REGEXREPLACE(C31019,""-\d+(.*)|--\d+(.*)"","""")"),"LES AIRES")</f>
        <v>LES AIRES</v>
      </c>
      <c r="E31019" s="38" t="s">
        <v>118</v>
      </c>
      <c r="F31019" s="38" t="s">
        <v>119</v>
      </c>
      <c r="G31019" s="49" t="str">
        <f t="shared" si="1"/>
        <v>34600</v>
      </c>
      <c r="H31019" s="49">
        <f t="shared" si="2"/>
        <v>34008</v>
      </c>
    </row>
    <row r="31020">
      <c r="A31020" s="48" t="s">
        <v>9100</v>
      </c>
      <c r="B31020" s="38">
        <v>42010.0</v>
      </c>
      <c r="C31020" s="38" t="s">
        <v>35366</v>
      </c>
      <c r="D31020" s="38" t="str">
        <f>IFERROR(__xludf.DUMMYFUNCTION("REGEXREPLACE(C31020,""-\d+(.*)|--\d+(.*)"","""")"),"AVEIZIEUX")</f>
        <v>AVEIZIEUX</v>
      </c>
      <c r="E31020" s="38" t="s">
        <v>166</v>
      </c>
      <c r="F31020" s="38" t="s">
        <v>102</v>
      </c>
      <c r="G31020" s="49" t="str">
        <f t="shared" si="1"/>
        <v>42330</v>
      </c>
      <c r="H31020" s="49">
        <f t="shared" si="2"/>
        <v>42010</v>
      </c>
    </row>
    <row r="31021">
      <c r="A31021" s="48" t="s">
        <v>3291</v>
      </c>
      <c r="B31021" s="38">
        <v>3213.0</v>
      </c>
      <c r="C31021" s="38" t="s">
        <v>35367</v>
      </c>
      <c r="D31021" s="38" t="str">
        <f>IFERROR(__xludf.DUMMYFUNCTION("REGEXREPLACE(C31021,""-\d+(.*)|--\d+(.*)"","""")"),"REUGNY")</f>
        <v>REUGNY</v>
      </c>
      <c r="E31021" s="38" t="s">
        <v>160</v>
      </c>
      <c r="F31021" s="38" t="s">
        <v>161</v>
      </c>
      <c r="G31021" s="49" t="str">
        <f t="shared" si="1"/>
        <v>03190</v>
      </c>
      <c r="H31021" s="49" t="str">
        <f t="shared" si="2"/>
        <v>03213</v>
      </c>
    </row>
    <row r="31022">
      <c r="A31022" s="48" t="s">
        <v>25768</v>
      </c>
      <c r="B31022" s="38">
        <v>31541.0</v>
      </c>
      <c r="C31022" s="38" t="s">
        <v>35368</v>
      </c>
      <c r="D31022" s="38" t="str">
        <f>IFERROR(__xludf.DUMMYFUNCTION("REGEXREPLACE(C31022,""-\d+(.*)|--\d+(.*)"","""")"),"SEILH")</f>
        <v>SEILH</v>
      </c>
      <c r="E31022" s="38" t="s">
        <v>93</v>
      </c>
      <c r="F31022" s="38" t="s">
        <v>94</v>
      </c>
      <c r="G31022" s="49" t="str">
        <f t="shared" si="1"/>
        <v>31840</v>
      </c>
      <c r="H31022" s="49">
        <f t="shared" si="2"/>
        <v>31541</v>
      </c>
    </row>
    <row r="31023">
      <c r="A31023" s="48" t="s">
        <v>8702</v>
      </c>
      <c r="B31023" s="38" t="s">
        <v>35369</v>
      </c>
      <c r="C31023" s="38" t="s">
        <v>35370</v>
      </c>
      <c r="D31023" s="38" t="str">
        <f>IFERROR(__xludf.DUMMYFUNCTION("REGEXREPLACE(C31023,""-\d+(.*)|--\d+(.*)"","""")"),"BELVEDERE-CAMPOMORO")</f>
        <v>BELVEDERE-CAMPOMORO</v>
      </c>
      <c r="E31023" s="38" t="s">
        <v>606</v>
      </c>
      <c r="F31023" s="38" t="s">
        <v>607</v>
      </c>
      <c r="G31023" s="49" t="str">
        <f t="shared" si="1"/>
        <v>20110</v>
      </c>
      <c r="H31023" s="49" t="str">
        <f t="shared" si="2"/>
        <v>2A035</v>
      </c>
    </row>
    <row r="31024">
      <c r="A31024" s="48" t="s">
        <v>13730</v>
      </c>
      <c r="B31024" s="38">
        <v>95059.0</v>
      </c>
      <c r="C31024" s="38" t="s">
        <v>13797</v>
      </c>
      <c r="D31024" s="38" t="str">
        <f>IFERROR(__xludf.DUMMYFUNCTION("REGEXREPLACE(C31024,""-\d+(.*)|--\d+(.*)"","""")"),"BERVILLE")</f>
        <v>BERVILLE</v>
      </c>
      <c r="E31024" s="38" t="s">
        <v>541</v>
      </c>
      <c r="F31024" s="38" t="s">
        <v>245</v>
      </c>
      <c r="G31024" s="49" t="str">
        <f t="shared" si="1"/>
        <v>95810</v>
      </c>
      <c r="H31024" s="49">
        <f t="shared" si="2"/>
        <v>95059</v>
      </c>
    </row>
    <row r="31025">
      <c r="A31025" s="48" t="s">
        <v>5882</v>
      </c>
      <c r="B31025" s="38">
        <v>36094.0</v>
      </c>
      <c r="C31025" s="38" t="s">
        <v>35371</v>
      </c>
      <c r="D31025" s="38" t="str">
        <f>IFERROR(__xludf.DUMMYFUNCTION("REGEXREPLACE(C31025,""-\d+(.*)|--\d+(.*)"","""")"),"LIGNAC")</f>
        <v>LIGNAC</v>
      </c>
      <c r="E31025" s="38" t="s">
        <v>258</v>
      </c>
      <c r="F31025" s="38" t="s">
        <v>123</v>
      </c>
      <c r="G31025" s="49" t="str">
        <f t="shared" si="1"/>
        <v>36370</v>
      </c>
      <c r="H31025" s="49">
        <f t="shared" si="2"/>
        <v>36094</v>
      </c>
    </row>
    <row r="31026">
      <c r="A31026" s="48" t="s">
        <v>2523</v>
      </c>
      <c r="B31026" s="38">
        <v>46138.0</v>
      </c>
      <c r="C31026" s="38" t="s">
        <v>35372</v>
      </c>
      <c r="D31026" s="38" t="str">
        <f>IFERROR(__xludf.DUMMYFUNCTION("REGEXREPLACE(C31026,""-\d+(.*)|--\d+(.*)"","""")"),"LABASTIDE-MURAT")</f>
        <v>LABASTIDE-MURAT</v>
      </c>
      <c r="E31026" s="38" t="s">
        <v>185</v>
      </c>
      <c r="F31026" s="38" t="s">
        <v>94</v>
      </c>
      <c r="G31026" s="49" t="str">
        <f t="shared" si="1"/>
        <v>46240</v>
      </c>
      <c r="H31026" s="49">
        <f t="shared" si="2"/>
        <v>46138</v>
      </c>
    </row>
    <row r="31027">
      <c r="A31027" s="48" t="s">
        <v>21432</v>
      </c>
      <c r="B31027" s="38">
        <v>44116.0</v>
      </c>
      <c r="C31027" s="38" t="s">
        <v>35373</v>
      </c>
      <c r="D31027" s="38" t="str">
        <f>IFERROR(__xludf.DUMMYFUNCTION("REGEXREPLACE(C31027,""-\d+(.*)|--\d+(.*)"","""")"),"PAIMBOEUF")</f>
        <v>PAIMBOEUF</v>
      </c>
      <c r="E31027" s="38" t="s">
        <v>759</v>
      </c>
      <c r="F31027" s="38" t="s">
        <v>180</v>
      </c>
      <c r="G31027" s="49" t="str">
        <f t="shared" si="1"/>
        <v>44560</v>
      </c>
      <c r="H31027" s="49">
        <f t="shared" si="2"/>
        <v>44116</v>
      </c>
    </row>
    <row r="31028">
      <c r="A31028" s="48" t="s">
        <v>2176</v>
      </c>
      <c r="B31028" s="38">
        <v>62352.0</v>
      </c>
      <c r="C31028" s="38" t="s">
        <v>35374</v>
      </c>
      <c r="D31028" s="38" t="str">
        <f>IFERROR(__xludf.DUMMYFUNCTION("REGEXREPLACE(C31028,""-\d+(.*)|--\d+(.*)"","""")"),"FRAMECOURT")</f>
        <v>FRAMECOURT</v>
      </c>
      <c r="E31028" s="38" t="s">
        <v>109</v>
      </c>
      <c r="F31028" s="38" t="s">
        <v>86</v>
      </c>
      <c r="G31028" s="49" t="str">
        <f t="shared" si="1"/>
        <v>62130</v>
      </c>
      <c r="H31028" s="49">
        <f t="shared" si="2"/>
        <v>62352</v>
      </c>
    </row>
    <row r="31029">
      <c r="A31029" s="48" t="s">
        <v>1327</v>
      </c>
      <c r="B31029" s="38">
        <v>51348.0</v>
      </c>
      <c r="C31029" s="38" t="s">
        <v>35375</v>
      </c>
      <c r="D31029" s="38" t="str">
        <f>IFERROR(__xludf.DUMMYFUNCTION("REGEXREPLACE(C31029,""-\d+(.*)|--\d+(.*)"","""")"),"MARFAUX")</f>
        <v>MARFAUX</v>
      </c>
      <c r="E31029" s="38" t="s">
        <v>129</v>
      </c>
      <c r="F31029" s="38" t="s">
        <v>130</v>
      </c>
      <c r="G31029" s="49" t="str">
        <f t="shared" si="1"/>
        <v>51170</v>
      </c>
      <c r="H31029" s="49">
        <f t="shared" si="2"/>
        <v>51348</v>
      </c>
    </row>
    <row r="31030">
      <c r="A31030" s="48" t="s">
        <v>8742</v>
      </c>
      <c r="B31030" s="38">
        <v>27690.0</v>
      </c>
      <c r="C31030" s="38" t="s">
        <v>35376</v>
      </c>
      <c r="D31030" s="38" t="str">
        <f>IFERROR(__xludf.DUMMYFUNCTION("REGEXREPLACE(C31030,""-\d+(.*)|--\d+(.*)"","""")"),"VILLERS-EN-VEXIN")</f>
        <v>VILLERS-EN-VEXIN</v>
      </c>
      <c r="E31030" s="38" t="s">
        <v>241</v>
      </c>
      <c r="F31030" s="38" t="s">
        <v>134</v>
      </c>
      <c r="G31030" s="49" t="str">
        <f t="shared" si="1"/>
        <v>27420</v>
      </c>
      <c r="H31030" s="49">
        <f t="shared" si="2"/>
        <v>27690</v>
      </c>
    </row>
    <row r="31031">
      <c r="A31031" s="48" t="s">
        <v>7689</v>
      </c>
      <c r="B31031" s="38">
        <v>61483.0</v>
      </c>
      <c r="C31031" s="38" t="s">
        <v>35377</v>
      </c>
      <c r="D31031" s="38" t="str">
        <f>IFERROR(__xludf.DUMMYFUNCTION("REGEXREPLACE(C31031,""-\d+(.*)|--\d+(.*)"","""")"),"BAGNOLES-DE-L'ORNE")</f>
        <v>BAGNOLES-DE-L'ORNE</v>
      </c>
      <c r="E31031" s="38" t="s">
        <v>141</v>
      </c>
      <c r="F31031" s="38" t="s">
        <v>138</v>
      </c>
      <c r="G31031" s="49" t="str">
        <f t="shared" si="1"/>
        <v>61140</v>
      </c>
      <c r="H31031" s="49">
        <f t="shared" si="2"/>
        <v>61483</v>
      </c>
    </row>
    <row r="31032">
      <c r="A31032" s="48" t="s">
        <v>7811</v>
      </c>
      <c r="B31032" s="38">
        <v>59058.0</v>
      </c>
      <c r="C31032" s="38" t="s">
        <v>17567</v>
      </c>
      <c r="D31032" s="38" t="str">
        <f>IFERROR(__xludf.DUMMYFUNCTION("REGEXREPLACE(C31032,""-\d+(.*)|--\d+(.*)"","""")"),"BEAUFORT")</f>
        <v>BEAUFORT</v>
      </c>
      <c r="E31032" s="38" t="s">
        <v>85</v>
      </c>
      <c r="F31032" s="38" t="s">
        <v>86</v>
      </c>
      <c r="G31032" s="49" t="str">
        <f t="shared" si="1"/>
        <v>59330</v>
      </c>
      <c r="H31032" s="49">
        <f t="shared" si="2"/>
        <v>59058</v>
      </c>
    </row>
    <row r="31033">
      <c r="A31033" s="48" t="s">
        <v>12536</v>
      </c>
      <c r="B31033" s="38">
        <v>6037.0</v>
      </c>
      <c r="C31033" s="38" t="s">
        <v>35378</v>
      </c>
      <c r="D31033" s="38" t="str">
        <f>IFERROR(__xludf.DUMMYFUNCTION("REGEXREPLACE(C31033,""-\d+(.*)|--\d+(.*)"","""")"),"CAUSSOLS")</f>
        <v>CAUSSOLS</v>
      </c>
      <c r="E31033" s="38" t="s">
        <v>227</v>
      </c>
      <c r="F31033" s="38" t="s">
        <v>228</v>
      </c>
      <c r="G31033" s="49" t="str">
        <f t="shared" si="1"/>
        <v>06460</v>
      </c>
      <c r="H31033" s="49" t="str">
        <f t="shared" si="2"/>
        <v>06037</v>
      </c>
    </row>
    <row r="31034">
      <c r="A31034" s="48" t="s">
        <v>7966</v>
      </c>
      <c r="B31034" s="38">
        <v>56209.0</v>
      </c>
      <c r="C31034" s="38" t="s">
        <v>35379</v>
      </c>
      <c r="D31034" s="38" t="str">
        <f>IFERROR(__xludf.DUMMYFUNCTION("REGEXREPLACE(C31034,""-\d+(.*)|--\d+(.*)"","""")"),"SAINTE-BRIGITTE")</f>
        <v>SAINTE-BRIGITTE</v>
      </c>
      <c r="E31034" s="38" t="s">
        <v>173</v>
      </c>
      <c r="F31034" s="38" t="s">
        <v>90</v>
      </c>
      <c r="G31034" s="49" t="str">
        <f t="shared" si="1"/>
        <v>56480</v>
      </c>
      <c r="H31034" s="49">
        <f t="shared" si="2"/>
        <v>56209</v>
      </c>
    </row>
    <row r="31035">
      <c r="A31035" s="48" t="s">
        <v>10919</v>
      </c>
      <c r="B31035" s="38">
        <v>24269.0</v>
      </c>
      <c r="C31035" s="38" t="s">
        <v>35380</v>
      </c>
      <c r="D31035" s="38" t="str">
        <f>IFERROR(__xludf.DUMMYFUNCTION("REGEXREPLACE(C31035,""-\d+(.*)|--\d+(.*)"","""")"),"MIALET")</f>
        <v>MIALET</v>
      </c>
      <c r="E31035" s="38" t="s">
        <v>261</v>
      </c>
      <c r="F31035" s="38" t="s">
        <v>252</v>
      </c>
      <c r="G31035" s="49" t="str">
        <f t="shared" si="1"/>
        <v>24450</v>
      </c>
      <c r="H31035" s="49">
        <f t="shared" si="2"/>
        <v>24269</v>
      </c>
    </row>
    <row r="31036">
      <c r="A31036" s="48" t="s">
        <v>4011</v>
      </c>
      <c r="B31036" s="38">
        <v>80717.0</v>
      </c>
      <c r="C31036" s="38" t="s">
        <v>35381</v>
      </c>
      <c r="D31036" s="38" t="str">
        <f>IFERROR(__xludf.DUMMYFUNCTION("REGEXREPLACE(C31036,""-\d+(.*)|--\d+(.*)"","""")"),"SAINT-SAUFLIEU")</f>
        <v>SAINT-SAUFLIEU</v>
      </c>
      <c r="E31036" s="38" t="s">
        <v>224</v>
      </c>
      <c r="F31036" s="38" t="s">
        <v>113</v>
      </c>
      <c r="G31036" s="49" t="str">
        <f t="shared" si="1"/>
        <v>80160</v>
      </c>
      <c r="H31036" s="49">
        <f t="shared" si="2"/>
        <v>80717</v>
      </c>
    </row>
    <row r="31037">
      <c r="A31037" s="48" t="s">
        <v>576</v>
      </c>
      <c r="B31037" s="38">
        <v>54230.0</v>
      </c>
      <c r="C31037" s="38" t="s">
        <v>35382</v>
      </c>
      <c r="D31037" s="38" t="str">
        <f>IFERROR(__xludf.DUMMYFUNCTION("REGEXREPLACE(C31037,""-\d+(.*)|--\d+(.*)"","""")"),"GOGNEY")</f>
        <v>GOGNEY</v>
      </c>
      <c r="E31037" s="38" t="s">
        <v>548</v>
      </c>
      <c r="F31037" s="38" t="s">
        <v>195</v>
      </c>
      <c r="G31037" s="49" t="str">
        <f t="shared" si="1"/>
        <v>54450</v>
      </c>
      <c r="H31037" s="49">
        <f t="shared" si="2"/>
        <v>54230</v>
      </c>
    </row>
    <row r="31038">
      <c r="A31038" s="48" t="s">
        <v>4311</v>
      </c>
      <c r="B31038" s="38">
        <v>47264.0</v>
      </c>
      <c r="C31038" s="38" t="s">
        <v>35383</v>
      </c>
      <c r="D31038" s="38" t="str">
        <f>IFERROR(__xludf.DUMMYFUNCTION("REGEXREPLACE(C31038,""-\d+(.*)|--\d+(.*)"","""")"),"SAINT-PARDOUX-ISAAC")</f>
        <v>SAINT-PARDOUX-ISAAC</v>
      </c>
      <c r="E31038" s="38" t="s">
        <v>251</v>
      </c>
      <c r="F31038" s="38" t="s">
        <v>252</v>
      </c>
      <c r="G31038" s="49" t="str">
        <f t="shared" si="1"/>
        <v>47800</v>
      </c>
      <c r="H31038" s="49">
        <f t="shared" si="2"/>
        <v>47264</v>
      </c>
    </row>
    <row r="31039">
      <c r="A31039" s="48" t="s">
        <v>183</v>
      </c>
      <c r="B31039" s="38">
        <v>46194.0</v>
      </c>
      <c r="C31039" s="38" t="s">
        <v>35384</v>
      </c>
      <c r="D31039" s="38" t="str">
        <f>IFERROR(__xludf.DUMMYFUNCTION("REGEXREPLACE(C31039,""-\d+(.*)|--\d+(.*)"","""")"),"MILHAC")</f>
        <v>MILHAC</v>
      </c>
      <c r="E31039" s="38" t="s">
        <v>185</v>
      </c>
      <c r="F31039" s="38" t="s">
        <v>94</v>
      </c>
      <c r="G31039" s="49" t="str">
        <f t="shared" si="1"/>
        <v>46300</v>
      </c>
      <c r="H31039" s="49">
        <f t="shared" si="2"/>
        <v>46194</v>
      </c>
    </row>
    <row r="31040">
      <c r="A31040" s="48" t="s">
        <v>35385</v>
      </c>
      <c r="B31040" s="38">
        <v>95060.0</v>
      </c>
      <c r="C31040" s="38" t="s">
        <v>35386</v>
      </c>
      <c r="D31040" s="38" t="str">
        <f>IFERROR(__xludf.DUMMYFUNCTION("REGEXREPLACE(C31040,""-\d+(.*)|--\d+(.*)"","""")"),"BESSANCOURT")</f>
        <v>BESSANCOURT</v>
      </c>
      <c r="E31040" s="38" t="s">
        <v>541</v>
      </c>
      <c r="F31040" s="38" t="s">
        <v>245</v>
      </c>
      <c r="G31040" s="49" t="str">
        <f t="shared" si="1"/>
        <v>95550</v>
      </c>
      <c r="H31040" s="49">
        <f t="shared" si="2"/>
        <v>95060</v>
      </c>
    </row>
    <row r="31041">
      <c r="A31041" s="48" t="s">
        <v>7435</v>
      </c>
      <c r="B31041" s="38">
        <v>52535.0</v>
      </c>
      <c r="C31041" s="38" t="s">
        <v>3549</v>
      </c>
      <c r="D31041" s="38" t="str">
        <f>IFERROR(__xludf.DUMMYFUNCTION("REGEXREPLACE(C31041,""-\d+(.*)|--\d+(.*)"","""")"),"VILLIERS-LE-SEC")</f>
        <v>VILLIERS-LE-SEC</v>
      </c>
      <c r="E31041" s="38" t="s">
        <v>234</v>
      </c>
      <c r="F31041" s="38" t="s">
        <v>130</v>
      </c>
      <c r="G31041" s="49" t="str">
        <f t="shared" si="1"/>
        <v>52000</v>
      </c>
      <c r="H31041" s="49">
        <f t="shared" si="2"/>
        <v>52535</v>
      </c>
    </row>
    <row r="31042">
      <c r="A31042" s="48" t="s">
        <v>2757</v>
      </c>
      <c r="B31042" s="38">
        <v>24415.0</v>
      </c>
      <c r="C31042" s="38" t="s">
        <v>35387</v>
      </c>
      <c r="D31042" s="38" t="str">
        <f>IFERROR(__xludf.DUMMYFUNCTION("REGEXREPLACE(C31042,""-\d+(.*)|--\d+(.*)"","""")"),"SAINT-GERAUD-DE-CORPS")</f>
        <v>SAINT-GERAUD-DE-CORPS</v>
      </c>
      <c r="E31042" s="38" t="s">
        <v>261</v>
      </c>
      <c r="F31042" s="38" t="s">
        <v>252</v>
      </c>
      <c r="G31042" s="49" t="str">
        <f t="shared" si="1"/>
        <v>24700</v>
      </c>
      <c r="H31042" s="49">
        <f t="shared" si="2"/>
        <v>24415</v>
      </c>
    </row>
    <row r="31043">
      <c r="A31043" s="48" t="s">
        <v>683</v>
      </c>
      <c r="B31043" s="38">
        <v>64427.0</v>
      </c>
      <c r="C31043" s="38" t="s">
        <v>35388</v>
      </c>
      <c r="D31043" s="38" t="str">
        <f>IFERROR(__xludf.DUMMYFUNCTION("REGEXREPLACE(C31043,""-\d+(.*)|--\d+(.*)"","""")"),"ORION")</f>
        <v>ORION</v>
      </c>
      <c r="E31043" s="38" t="s">
        <v>268</v>
      </c>
      <c r="F31043" s="38" t="s">
        <v>252</v>
      </c>
      <c r="G31043" s="49" t="str">
        <f t="shared" si="1"/>
        <v>64390</v>
      </c>
      <c r="H31043" s="49">
        <f t="shared" si="2"/>
        <v>64427</v>
      </c>
    </row>
    <row r="31044">
      <c r="A31044" s="48" t="s">
        <v>2208</v>
      </c>
      <c r="B31044" s="38">
        <v>55002.0</v>
      </c>
      <c r="C31044" s="38" t="s">
        <v>35389</v>
      </c>
      <c r="D31044" s="38" t="str">
        <f>IFERROR(__xludf.DUMMYFUNCTION("REGEXREPLACE(C31044,""-\d+(.*)|--\d+(.*)"","""")"),"ABAUCOURT-HAUTECOURT")</f>
        <v>ABAUCOURT-HAUTECOURT</v>
      </c>
      <c r="E31044" s="38" t="s">
        <v>322</v>
      </c>
      <c r="F31044" s="38" t="s">
        <v>195</v>
      </c>
      <c r="G31044" s="49" t="str">
        <f t="shared" si="1"/>
        <v>55400</v>
      </c>
      <c r="H31044" s="49">
        <f t="shared" si="2"/>
        <v>55002</v>
      </c>
    </row>
    <row r="31045">
      <c r="A31045" s="48" t="s">
        <v>35390</v>
      </c>
      <c r="B31045" s="38">
        <v>66176.0</v>
      </c>
      <c r="C31045" s="38" t="s">
        <v>5910</v>
      </c>
      <c r="D31045" s="38" t="str">
        <f>IFERROR(__xludf.DUMMYFUNCTION("REGEXREPLACE(C31045,""-\d+(.*)|--\d+(.*)"","""")"),"SAINT-HIPPOLYTE")</f>
        <v>SAINT-HIPPOLYTE</v>
      </c>
      <c r="E31045" s="38" t="s">
        <v>248</v>
      </c>
      <c r="F31045" s="38" t="s">
        <v>119</v>
      </c>
      <c r="G31045" s="49" t="str">
        <f t="shared" si="1"/>
        <v>66510</v>
      </c>
      <c r="H31045" s="49">
        <f t="shared" si="2"/>
        <v>66176</v>
      </c>
    </row>
    <row r="31046">
      <c r="A31046" s="48" t="s">
        <v>5608</v>
      </c>
      <c r="B31046" s="38">
        <v>57105.0</v>
      </c>
      <c r="C31046" s="38" t="s">
        <v>35391</v>
      </c>
      <c r="D31046" s="38" t="str">
        <f>IFERROR(__xludf.DUMMYFUNCTION("REGEXREPLACE(C31046,""-\d+(.*)|--\d+(.*)"","""")"),"BOUSTROFF")</f>
        <v>BOUSTROFF</v>
      </c>
      <c r="E31046" s="38" t="s">
        <v>303</v>
      </c>
      <c r="F31046" s="38" t="s">
        <v>195</v>
      </c>
      <c r="G31046" s="49" t="str">
        <f t="shared" si="1"/>
        <v>57380</v>
      </c>
      <c r="H31046" s="49">
        <f t="shared" si="2"/>
        <v>57105</v>
      </c>
    </row>
    <row r="31047">
      <c r="A31047" s="48" t="s">
        <v>5300</v>
      </c>
      <c r="B31047" s="38">
        <v>59180.0</v>
      </c>
      <c r="C31047" s="38" t="s">
        <v>35392</v>
      </c>
      <c r="D31047" s="38" t="str">
        <f>IFERROR(__xludf.DUMMYFUNCTION("REGEXREPLACE(C31047,""-\d+(.*)|--\d+(.*)"","""")"),"LE DOULIEU")</f>
        <v>LE DOULIEU</v>
      </c>
      <c r="E31047" s="38" t="s">
        <v>85</v>
      </c>
      <c r="F31047" s="38" t="s">
        <v>86</v>
      </c>
      <c r="G31047" s="49" t="str">
        <f t="shared" si="1"/>
        <v>59940</v>
      </c>
      <c r="H31047" s="49">
        <f t="shared" si="2"/>
        <v>59180</v>
      </c>
    </row>
    <row r="31048">
      <c r="A31048" s="48" t="s">
        <v>11516</v>
      </c>
      <c r="B31048" s="38" t="s">
        <v>35393</v>
      </c>
      <c r="C31048" s="38" t="s">
        <v>35394</v>
      </c>
      <c r="D31048" s="38" t="str">
        <f>IFERROR(__xludf.DUMMYFUNCTION("REGEXREPLACE(C31048,""-\d+(.*)|--\d+(.*)"","""")"),"AMPRIANI")</f>
        <v>AMPRIANI</v>
      </c>
      <c r="E31048" s="38" t="s">
        <v>743</v>
      </c>
      <c r="F31048" s="38" t="s">
        <v>607</v>
      </c>
      <c r="G31048" s="49" t="str">
        <f t="shared" si="1"/>
        <v>20272</v>
      </c>
      <c r="H31048" s="49" t="str">
        <f t="shared" si="2"/>
        <v>2B015</v>
      </c>
    </row>
    <row r="31049">
      <c r="A31049" s="48" t="s">
        <v>4119</v>
      </c>
      <c r="B31049" s="38">
        <v>36161.0</v>
      </c>
      <c r="C31049" s="38" t="s">
        <v>35395</v>
      </c>
      <c r="D31049" s="38" t="str">
        <f>IFERROR(__xludf.DUMMYFUNCTION("REGEXREPLACE(C31049,""-\d+(.*)|--\d+(.*)"","""")"),"LE PONT-CHRETIEN-CHABENET")</f>
        <v>LE PONT-CHRETIEN-CHABENET</v>
      </c>
      <c r="E31049" s="38" t="s">
        <v>258</v>
      </c>
      <c r="F31049" s="38" t="s">
        <v>123</v>
      </c>
      <c r="G31049" s="49" t="str">
        <f t="shared" si="1"/>
        <v>36800</v>
      </c>
      <c r="H31049" s="49">
        <f t="shared" si="2"/>
        <v>36161</v>
      </c>
    </row>
    <row r="31050">
      <c r="A31050" s="48" t="s">
        <v>573</v>
      </c>
      <c r="B31050" s="38">
        <v>65163.0</v>
      </c>
      <c r="C31050" s="38" t="s">
        <v>35396</v>
      </c>
      <c r="D31050" s="38" t="str">
        <f>IFERROR(__xludf.DUMMYFUNCTION("REGEXREPLACE(C31050,""-\d+(.*)|--\d+(.*)"","""")"),"ESCOTS")</f>
        <v>ESCOTS</v>
      </c>
      <c r="E31050" s="38" t="s">
        <v>200</v>
      </c>
      <c r="F31050" s="38" t="s">
        <v>94</v>
      </c>
      <c r="G31050" s="49" t="str">
        <f t="shared" si="1"/>
        <v>65130</v>
      </c>
      <c r="H31050" s="49">
        <f t="shared" si="2"/>
        <v>65163</v>
      </c>
    </row>
    <row r="31051">
      <c r="A31051" s="48" t="s">
        <v>1616</v>
      </c>
      <c r="B31051" s="38">
        <v>10150.0</v>
      </c>
      <c r="C31051" s="38" t="s">
        <v>13092</v>
      </c>
      <c r="D31051" s="38" t="str">
        <f>IFERROR(__xludf.DUMMYFUNCTION("REGEXREPLACE(C31051,""-\d+(.*)|--\d+(.*)"","""")"),"FONTAINE")</f>
        <v>FONTAINE</v>
      </c>
      <c r="E31051" s="38" t="s">
        <v>147</v>
      </c>
      <c r="F31051" s="38" t="s">
        <v>130</v>
      </c>
      <c r="G31051" s="49" t="str">
        <f t="shared" si="1"/>
        <v>10200</v>
      </c>
      <c r="H31051" s="49">
        <f t="shared" si="2"/>
        <v>10150</v>
      </c>
    </row>
    <row r="31052">
      <c r="A31052" s="48" t="s">
        <v>2159</v>
      </c>
      <c r="B31052" s="38">
        <v>57392.0</v>
      </c>
      <c r="C31052" s="38" t="s">
        <v>35397</v>
      </c>
      <c r="D31052" s="38" t="str">
        <f>IFERROR(__xludf.DUMMYFUNCTION("REGEXREPLACE(C31052,""-\d+(.*)|--\d+(.*)"","""")"),"LEMUD")</f>
        <v>LEMUD</v>
      </c>
      <c r="E31052" s="38" t="s">
        <v>303</v>
      </c>
      <c r="F31052" s="38" t="s">
        <v>195</v>
      </c>
      <c r="G31052" s="49" t="str">
        <f t="shared" si="1"/>
        <v>57580</v>
      </c>
      <c r="H31052" s="49">
        <f t="shared" si="2"/>
        <v>57392</v>
      </c>
    </row>
    <row r="31053">
      <c r="A31053" s="48" t="s">
        <v>3475</v>
      </c>
      <c r="B31053" s="38">
        <v>35076.0</v>
      </c>
      <c r="C31053" s="38" t="s">
        <v>35398</v>
      </c>
      <c r="D31053" s="38" t="str">
        <f>IFERROR(__xludf.DUMMYFUNCTION("REGEXREPLACE(C31053,""-\d+(.*)|--\d+(.*)"","""")"),"CHAVAGNE")</f>
        <v>CHAVAGNE</v>
      </c>
      <c r="E31053" s="38" t="s">
        <v>347</v>
      </c>
      <c r="F31053" s="38" t="s">
        <v>90</v>
      </c>
      <c r="G31053" s="49" t="str">
        <f t="shared" si="1"/>
        <v>35310</v>
      </c>
      <c r="H31053" s="49">
        <f t="shared" si="2"/>
        <v>35076</v>
      </c>
    </row>
    <row r="31054">
      <c r="A31054" s="48" t="s">
        <v>3783</v>
      </c>
      <c r="B31054" s="38">
        <v>62518.0</v>
      </c>
      <c r="C31054" s="38" t="s">
        <v>35399</v>
      </c>
      <c r="D31054" s="38" t="str">
        <f>IFERROR(__xludf.DUMMYFUNCTION("REGEXREPLACE(C31054,""-\d+(.*)|--\d+(.*)"","""")"),"LINZEUX")</f>
        <v>LINZEUX</v>
      </c>
      <c r="E31054" s="38" t="s">
        <v>109</v>
      </c>
      <c r="F31054" s="38" t="s">
        <v>86</v>
      </c>
      <c r="G31054" s="49" t="str">
        <f t="shared" si="1"/>
        <v>62270</v>
      </c>
      <c r="H31054" s="49">
        <f t="shared" si="2"/>
        <v>62518</v>
      </c>
    </row>
    <row r="31055">
      <c r="A31055" s="48" t="s">
        <v>8752</v>
      </c>
      <c r="B31055" s="38">
        <v>6160.0</v>
      </c>
      <c r="C31055" s="38" t="s">
        <v>35400</v>
      </c>
      <c r="D31055" s="38" t="str">
        <f>IFERROR(__xludf.DUMMYFUNCTION("REGEXREPLACE(C31055,""-\d+(.*)|--\d+(.*)"","""")"),"VILLENEUVE-D'ENTRAUNES")</f>
        <v>VILLENEUVE-D'ENTRAUNES</v>
      </c>
      <c r="E31055" s="38" t="s">
        <v>227</v>
      </c>
      <c r="F31055" s="38" t="s">
        <v>228</v>
      </c>
      <c r="G31055" s="49" t="str">
        <f t="shared" si="1"/>
        <v>06470</v>
      </c>
      <c r="H31055" s="49" t="str">
        <f t="shared" si="2"/>
        <v>06160</v>
      </c>
    </row>
    <row r="31056">
      <c r="A31056" s="48" t="s">
        <v>9778</v>
      </c>
      <c r="B31056" s="38">
        <v>23166.0</v>
      </c>
      <c r="C31056" s="38" t="s">
        <v>35401</v>
      </c>
      <c r="D31056" s="38" t="str">
        <f>IFERROR(__xludf.DUMMYFUNCTION("REGEXREPLACE(C31056,""-\d+(.*)|--\d+(.*)"","""")"),"SAGNAT")</f>
        <v>SAGNAT</v>
      </c>
      <c r="E31056" s="38" t="s">
        <v>97</v>
      </c>
      <c r="F31056" s="38" t="s">
        <v>98</v>
      </c>
      <c r="G31056" s="49" t="str">
        <f t="shared" si="1"/>
        <v>23800</v>
      </c>
      <c r="H31056" s="49">
        <f t="shared" si="2"/>
        <v>23166</v>
      </c>
    </row>
    <row r="31057">
      <c r="A31057" s="48" t="s">
        <v>4553</v>
      </c>
      <c r="B31057" s="38">
        <v>56204.0</v>
      </c>
      <c r="C31057" s="38" t="s">
        <v>35402</v>
      </c>
      <c r="D31057" s="38" t="str">
        <f>IFERROR(__xludf.DUMMYFUNCTION("REGEXREPLACE(C31057,""-\d+(.*)|--\d+(.*)"","""")"),"SAINT-ALLOUESTRE")</f>
        <v>SAINT-ALLOUESTRE</v>
      </c>
      <c r="E31057" s="38" t="s">
        <v>173</v>
      </c>
      <c r="F31057" s="38" t="s">
        <v>90</v>
      </c>
      <c r="G31057" s="49" t="str">
        <f t="shared" si="1"/>
        <v>56500</v>
      </c>
      <c r="H31057" s="49">
        <f t="shared" si="2"/>
        <v>56204</v>
      </c>
    </row>
    <row r="31058">
      <c r="A31058" s="48" t="s">
        <v>25654</v>
      </c>
      <c r="B31058" s="38">
        <v>58059.0</v>
      </c>
      <c r="C31058" s="38" t="s">
        <v>35403</v>
      </c>
      <c r="D31058" s="38" t="str">
        <f>IFERROR(__xludf.DUMMYFUNCTION("REGEXREPLACE(C31058,""-\d+(.*)|--\d+(.*)"","""")"),"LA CHARITE-SUR-LOIRE")</f>
        <v>LA CHARITE-SUR-LOIRE</v>
      </c>
      <c r="E31058" s="38" t="s">
        <v>219</v>
      </c>
      <c r="F31058" s="38" t="s">
        <v>106</v>
      </c>
      <c r="G31058" s="49" t="str">
        <f t="shared" si="1"/>
        <v>58400</v>
      </c>
      <c r="H31058" s="49">
        <f t="shared" si="2"/>
        <v>58059</v>
      </c>
    </row>
    <row r="31059">
      <c r="A31059" s="48" t="s">
        <v>7418</v>
      </c>
      <c r="B31059" s="38">
        <v>29102.0</v>
      </c>
      <c r="C31059" s="38" t="s">
        <v>35404</v>
      </c>
      <c r="D31059" s="38" t="str">
        <f>IFERROR(__xludf.DUMMYFUNCTION("REGEXREPLACE(C31059,""-\d+(.*)|--\d+(.*)"","""")"),"LANDELEAU")</f>
        <v>LANDELEAU</v>
      </c>
      <c r="E31059" s="38" t="s">
        <v>176</v>
      </c>
      <c r="F31059" s="38" t="s">
        <v>90</v>
      </c>
      <c r="G31059" s="49" t="str">
        <f t="shared" si="1"/>
        <v>29530</v>
      </c>
      <c r="H31059" s="49">
        <f t="shared" si="2"/>
        <v>29102</v>
      </c>
    </row>
    <row r="31060">
      <c r="A31060" s="48" t="s">
        <v>9795</v>
      </c>
      <c r="B31060" s="38">
        <v>24335.0</v>
      </c>
      <c r="C31060" s="38" t="s">
        <v>35405</v>
      </c>
      <c r="D31060" s="38" t="str">
        <f>IFERROR(__xludf.DUMMYFUNCTION("REGEXREPLACE(C31060,""-\d+(.*)|--\d+(.*)"","""")"),"PORT-SAINTE-FOY-ET-PONCHAPT")</f>
        <v>PORT-SAINTE-FOY-ET-PONCHAPT</v>
      </c>
      <c r="E31060" s="38" t="s">
        <v>261</v>
      </c>
      <c r="F31060" s="38" t="s">
        <v>252</v>
      </c>
      <c r="G31060" s="49" t="str">
        <f t="shared" si="1"/>
        <v>33220</v>
      </c>
      <c r="H31060" s="49">
        <f t="shared" si="2"/>
        <v>24335</v>
      </c>
    </row>
    <row r="31061">
      <c r="A31061" s="48" t="s">
        <v>1667</v>
      </c>
      <c r="B31061" s="38">
        <v>38458.0</v>
      </c>
      <c r="C31061" s="38" t="s">
        <v>35406</v>
      </c>
      <c r="D31061" s="38" t="str">
        <f>IFERROR(__xludf.DUMMYFUNCTION("REGEXREPLACE(C31061,""-\d+(.*)|--\d+(.*)"","""")"),"SAINT-SORLIN-DE-MORESTEL")</f>
        <v>SAINT-SORLIN-DE-MORESTEL</v>
      </c>
      <c r="E31061" s="38" t="s">
        <v>101</v>
      </c>
      <c r="F31061" s="38" t="s">
        <v>102</v>
      </c>
      <c r="G31061" s="49" t="str">
        <f t="shared" si="1"/>
        <v>38510</v>
      </c>
      <c r="H31061" s="49">
        <f t="shared" si="2"/>
        <v>38458</v>
      </c>
    </row>
    <row r="31062">
      <c r="A31062" s="48" t="s">
        <v>2208</v>
      </c>
      <c r="B31062" s="38">
        <v>55339.0</v>
      </c>
      <c r="C31062" s="38" t="s">
        <v>35407</v>
      </c>
      <c r="D31062" s="38" t="str">
        <f>IFERROR(__xludf.DUMMYFUNCTION("REGEXREPLACE(C31062,""-\d+(.*)|--\d+(.*)"","""")"),"MOGEVILLE")</f>
        <v>MOGEVILLE</v>
      </c>
      <c r="E31062" s="38" t="s">
        <v>322</v>
      </c>
      <c r="F31062" s="38" t="s">
        <v>195</v>
      </c>
      <c r="G31062" s="49" t="str">
        <f t="shared" si="1"/>
        <v>55400</v>
      </c>
      <c r="H31062" s="49">
        <f t="shared" si="2"/>
        <v>55339</v>
      </c>
    </row>
    <row r="31063">
      <c r="A31063" s="48" t="s">
        <v>3448</v>
      </c>
      <c r="B31063" s="38">
        <v>65181.0</v>
      </c>
      <c r="C31063" s="38" t="s">
        <v>35408</v>
      </c>
      <c r="D31063" s="38" t="str">
        <f>IFERROR(__xludf.DUMMYFUNCTION("REGEXREPLACE(C31063,""-\d+(.*)|--\d+(.*)"","""")"),"FRECHOU-FRECHET")</f>
        <v>FRECHOU-FRECHET</v>
      </c>
      <c r="E31063" s="38" t="s">
        <v>200</v>
      </c>
      <c r="F31063" s="38" t="s">
        <v>94</v>
      </c>
      <c r="G31063" s="49" t="str">
        <f t="shared" si="1"/>
        <v>65190</v>
      </c>
      <c r="H31063" s="49">
        <f t="shared" si="2"/>
        <v>65181</v>
      </c>
    </row>
    <row r="31064">
      <c r="A31064" s="48" t="s">
        <v>1439</v>
      </c>
      <c r="B31064" s="38">
        <v>28055.0</v>
      </c>
      <c r="C31064" s="38" t="s">
        <v>35409</v>
      </c>
      <c r="D31064" s="38" t="str">
        <f>IFERROR(__xludf.DUMMYFUNCTION("REGEXREPLACE(C31064,""-\d+(.*)|--\d+(.*)"","""")"),"LE BOULLAY-THIERRY")</f>
        <v>LE BOULLAY-THIERRY</v>
      </c>
      <c r="E31064" s="38" t="s">
        <v>300</v>
      </c>
      <c r="F31064" s="38" t="s">
        <v>123</v>
      </c>
      <c r="G31064" s="49" t="str">
        <f t="shared" si="1"/>
        <v>28210</v>
      </c>
      <c r="H31064" s="49">
        <f t="shared" si="2"/>
        <v>28055</v>
      </c>
    </row>
    <row r="31065">
      <c r="A31065" s="48" t="s">
        <v>582</v>
      </c>
      <c r="B31065" s="38">
        <v>39191.0</v>
      </c>
      <c r="C31065" s="38" t="s">
        <v>35410</v>
      </c>
      <c r="D31065" s="38" t="str">
        <f>IFERROR(__xludf.DUMMYFUNCTION("REGEXREPLACE(C31065,""-\d+(.*)|--\d+(.*)"","""")"),"DARBONNAY")</f>
        <v>DARBONNAY</v>
      </c>
      <c r="E31065" s="38" t="s">
        <v>400</v>
      </c>
      <c r="F31065" s="38" t="s">
        <v>214</v>
      </c>
      <c r="G31065" s="49" t="str">
        <f t="shared" si="1"/>
        <v>39230</v>
      </c>
      <c r="H31065" s="49">
        <f t="shared" si="2"/>
        <v>39191</v>
      </c>
    </row>
    <row r="31066">
      <c r="A31066" s="48" t="s">
        <v>4447</v>
      </c>
      <c r="B31066" s="38">
        <v>39291.0</v>
      </c>
      <c r="C31066" s="38" t="s">
        <v>35411</v>
      </c>
      <c r="D31066" s="38" t="str">
        <f>IFERROR(__xludf.DUMMYFUNCTION("REGEXREPLACE(C31066,""-\d+(.*)|--\d+(.*)"","""")"),"LEMUY")</f>
        <v>LEMUY</v>
      </c>
      <c r="E31066" s="38" t="s">
        <v>400</v>
      </c>
      <c r="F31066" s="38" t="s">
        <v>214</v>
      </c>
      <c r="G31066" s="49" t="str">
        <f t="shared" si="1"/>
        <v>39110</v>
      </c>
      <c r="H31066" s="49">
        <f t="shared" si="2"/>
        <v>39291</v>
      </c>
    </row>
    <row r="31067">
      <c r="A31067" s="48" t="s">
        <v>6572</v>
      </c>
      <c r="B31067" s="38">
        <v>31419.0</v>
      </c>
      <c r="C31067" s="38" t="s">
        <v>35412</v>
      </c>
      <c r="D31067" s="38" t="str">
        <f>IFERROR(__xludf.DUMMYFUNCTION("REGEXREPLACE(C31067,""-\d+(.*)|--\d+(.*)"","""")"),"LE PIN-MURELET")</f>
        <v>LE PIN-MURELET</v>
      </c>
      <c r="E31067" s="38" t="s">
        <v>93</v>
      </c>
      <c r="F31067" s="38" t="s">
        <v>94</v>
      </c>
      <c r="G31067" s="49" t="str">
        <f t="shared" si="1"/>
        <v>31370</v>
      </c>
      <c r="H31067" s="49">
        <f t="shared" si="2"/>
        <v>31419</v>
      </c>
    </row>
    <row r="31068">
      <c r="A31068" s="48" t="s">
        <v>9234</v>
      </c>
      <c r="B31068" s="38">
        <v>16087.0</v>
      </c>
      <c r="C31068" s="38" t="s">
        <v>35413</v>
      </c>
      <c r="D31068" s="38" t="str">
        <f>IFERROR(__xludf.DUMMYFUNCTION("REGEXREPLACE(C31068,""-\d+(.*)|--\d+(.*)"","""")"),"CHASSIECQ")</f>
        <v>CHASSIECQ</v>
      </c>
      <c r="E31068" s="38" t="s">
        <v>429</v>
      </c>
      <c r="F31068" s="38" t="s">
        <v>338</v>
      </c>
      <c r="G31068" s="49" t="str">
        <f t="shared" si="1"/>
        <v>16350</v>
      </c>
      <c r="H31068" s="49">
        <f t="shared" si="2"/>
        <v>16087</v>
      </c>
    </row>
    <row r="31069">
      <c r="A31069" s="48" t="s">
        <v>11269</v>
      </c>
      <c r="B31069" s="38">
        <v>51251.0</v>
      </c>
      <c r="C31069" s="38" t="s">
        <v>6650</v>
      </c>
      <c r="D31069" s="38" t="str">
        <f>IFERROR(__xludf.DUMMYFUNCTION("REGEXREPLACE(C31069,""-\d+(.*)|--\d+(.*)"","""")"),"FLAVIGNY")</f>
        <v>FLAVIGNY</v>
      </c>
      <c r="E31069" s="38" t="s">
        <v>129</v>
      </c>
      <c r="F31069" s="38" t="s">
        <v>130</v>
      </c>
      <c r="G31069" s="49" t="str">
        <f t="shared" si="1"/>
        <v>51190</v>
      </c>
      <c r="H31069" s="49">
        <f t="shared" si="2"/>
        <v>51251</v>
      </c>
    </row>
    <row r="31070">
      <c r="A31070" s="48" t="s">
        <v>6606</v>
      </c>
      <c r="B31070" s="38">
        <v>25148.0</v>
      </c>
      <c r="C31070" s="38" t="s">
        <v>35414</v>
      </c>
      <c r="D31070" s="38" t="str">
        <f>IFERROR(__xludf.DUMMYFUNCTION("REGEXREPLACE(C31070,""-\d+(.*)|--\d+(.*)"","""")"),"LA CHENALOTTE")</f>
        <v>LA CHENALOTTE</v>
      </c>
      <c r="E31070" s="38" t="s">
        <v>213</v>
      </c>
      <c r="F31070" s="38" t="s">
        <v>214</v>
      </c>
      <c r="G31070" s="49" t="str">
        <f t="shared" si="1"/>
        <v>25500</v>
      </c>
      <c r="H31070" s="49">
        <f t="shared" si="2"/>
        <v>25148</v>
      </c>
    </row>
    <row r="31071">
      <c r="A31071" s="48" t="s">
        <v>13891</v>
      </c>
      <c r="B31071" s="38" t="s">
        <v>35415</v>
      </c>
      <c r="C31071" s="38" t="s">
        <v>35416</v>
      </c>
      <c r="D31071" s="38" t="str">
        <f>IFERROR(__xludf.DUMMYFUNCTION("REGEXREPLACE(C31071,""-\d+(.*)|--\d+(.*)"","""")"),"FOZZANO")</f>
        <v>FOZZANO</v>
      </c>
      <c r="E31071" s="38" t="s">
        <v>606</v>
      </c>
      <c r="F31071" s="38" t="s">
        <v>607</v>
      </c>
      <c r="G31071" s="49" t="str">
        <f t="shared" si="1"/>
        <v>20143</v>
      </c>
      <c r="H31071" s="49" t="str">
        <f t="shared" si="2"/>
        <v>2A118</v>
      </c>
    </row>
    <row r="31072">
      <c r="A31072" s="48" t="s">
        <v>8462</v>
      </c>
      <c r="B31072" s="38">
        <v>22185.0</v>
      </c>
      <c r="C31072" s="38" t="s">
        <v>35417</v>
      </c>
      <c r="D31072" s="38" t="str">
        <f>IFERROR(__xludf.DUMMYFUNCTION("REGEXREPLACE(C31072,""-\d+(.*)|--\d+(.*)"","""")"),"PLENEE-JUGON")</f>
        <v>PLENEE-JUGON</v>
      </c>
      <c r="E31072" s="38" t="s">
        <v>89</v>
      </c>
      <c r="F31072" s="38" t="s">
        <v>90</v>
      </c>
      <c r="G31072" s="49" t="str">
        <f t="shared" si="1"/>
        <v>22640</v>
      </c>
      <c r="H31072" s="49">
        <f t="shared" si="2"/>
        <v>22185</v>
      </c>
    </row>
    <row r="31073">
      <c r="A31073" s="48" t="s">
        <v>1903</v>
      </c>
      <c r="B31073" s="38">
        <v>10411.0</v>
      </c>
      <c r="C31073" s="38" t="s">
        <v>35418</v>
      </c>
      <c r="D31073" s="38" t="str">
        <f>IFERROR(__xludf.DUMMYFUNCTION("REGEXREPLACE(C31073,""-\d+(.*)|--\d+(.*)"","""")"),"LA VILLE-AUX-BOIS")</f>
        <v>LA VILLE-AUX-BOIS</v>
      </c>
      <c r="E31073" s="38" t="s">
        <v>147</v>
      </c>
      <c r="F31073" s="38" t="s">
        <v>130</v>
      </c>
      <c r="G31073" s="49" t="str">
        <f t="shared" si="1"/>
        <v>10500</v>
      </c>
      <c r="H31073" s="49">
        <f t="shared" si="2"/>
        <v>10411</v>
      </c>
    </row>
    <row r="31074">
      <c r="A31074" s="48" t="s">
        <v>1161</v>
      </c>
      <c r="B31074" s="38">
        <v>45216.0</v>
      </c>
      <c r="C31074" s="38" t="s">
        <v>35419</v>
      </c>
      <c r="D31074" s="38" t="str">
        <f>IFERROR(__xludf.DUMMYFUNCTION("REGEXREPLACE(C31074,""-\d+(.*)|--\d+(.*)"","""")"),"MORMANT-SUR-VERNISSON")</f>
        <v>MORMANT-SUR-VERNISSON</v>
      </c>
      <c r="E31074" s="38" t="s">
        <v>122</v>
      </c>
      <c r="F31074" s="38" t="s">
        <v>123</v>
      </c>
      <c r="G31074" s="49" t="str">
        <f t="shared" si="1"/>
        <v>45700</v>
      </c>
      <c r="H31074" s="49">
        <f t="shared" si="2"/>
        <v>45216</v>
      </c>
    </row>
    <row r="31075">
      <c r="A31075" s="48" t="s">
        <v>2318</v>
      </c>
      <c r="B31075" s="38">
        <v>43105.0</v>
      </c>
      <c r="C31075" s="38" t="s">
        <v>35420</v>
      </c>
      <c r="D31075" s="38" t="str">
        <f>IFERROR(__xludf.DUMMYFUNCTION("REGEXREPLACE(C31075,""-\d+(.*)|--\d+(.*)"","""")"),"JAVAUGUES")</f>
        <v>JAVAUGUES</v>
      </c>
      <c r="E31075" s="38" t="s">
        <v>332</v>
      </c>
      <c r="F31075" s="38" t="s">
        <v>161</v>
      </c>
      <c r="G31075" s="49" t="str">
        <f t="shared" si="1"/>
        <v>43100</v>
      </c>
      <c r="H31075" s="49">
        <f t="shared" si="2"/>
        <v>43105</v>
      </c>
    </row>
    <row r="31076">
      <c r="A31076" s="48" t="s">
        <v>2708</v>
      </c>
      <c r="B31076" s="38">
        <v>70200.0</v>
      </c>
      <c r="C31076" s="38" t="s">
        <v>35421</v>
      </c>
      <c r="D31076" s="38" t="str">
        <f>IFERROR(__xludf.DUMMYFUNCTION("REGEXREPLACE(C31076,""-\d+(.*)|--\d+(.*)"","""")"),"DAMPVALLEY-SAINT-PANCRAS")</f>
        <v>DAMPVALLEY-SAINT-PANCRAS</v>
      </c>
      <c r="E31076" s="38" t="s">
        <v>956</v>
      </c>
      <c r="F31076" s="38" t="s">
        <v>214</v>
      </c>
      <c r="G31076" s="49" t="str">
        <f t="shared" si="1"/>
        <v>70210</v>
      </c>
      <c r="H31076" s="49">
        <f t="shared" si="2"/>
        <v>70200</v>
      </c>
    </row>
    <row r="31077">
      <c r="A31077" s="48" t="s">
        <v>1393</v>
      </c>
      <c r="B31077" s="38">
        <v>25316.0</v>
      </c>
      <c r="C31077" s="38" t="s">
        <v>35422</v>
      </c>
      <c r="D31077" s="38" t="str">
        <f>IFERROR(__xludf.DUMMYFUNCTION("REGEXREPLACE(C31077,""-\d+(.*)|--\d+(.*)"","""")"),"ISSANS")</f>
        <v>ISSANS</v>
      </c>
      <c r="E31077" s="38" t="s">
        <v>213</v>
      </c>
      <c r="F31077" s="38" t="s">
        <v>214</v>
      </c>
      <c r="G31077" s="49" t="str">
        <f t="shared" si="1"/>
        <v>25550</v>
      </c>
      <c r="H31077" s="49">
        <f t="shared" si="2"/>
        <v>25316</v>
      </c>
    </row>
    <row r="31078">
      <c r="A31078" s="48" t="s">
        <v>1473</v>
      </c>
      <c r="B31078" s="38">
        <v>50607.0</v>
      </c>
      <c r="C31078" s="38" t="s">
        <v>7648</v>
      </c>
      <c r="D31078" s="38" t="str">
        <f>IFERROR(__xludf.DUMMYFUNCTION("REGEXREPLACE(C31078,""-\d+(.*)|--\d+(.*)"","""")"),"LA TRINITE")</f>
        <v>LA TRINITE</v>
      </c>
      <c r="E31078" s="38" t="s">
        <v>157</v>
      </c>
      <c r="F31078" s="38" t="s">
        <v>138</v>
      </c>
      <c r="G31078" s="49" t="str">
        <f t="shared" si="1"/>
        <v>50800</v>
      </c>
      <c r="H31078" s="49">
        <f t="shared" si="2"/>
        <v>50607</v>
      </c>
    </row>
    <row r="31079">
      <c r="A31079" s="48" t="s">
        <v>9297</v>
      </c>
      <c r="B31079" s="38">
        <v>41199.0</v>
      </c>
      <c r="C31079" s="38" t="s">
        <v>35423</v>
      </c>
      <c r="D31079" s="38" t="str">
        <f>IFERROR(__xludf.DUMMYFUNCTION("REGEXREPLACE(C31079,""-\d+(.*)|--\d+(.*)"","""")"),"SAINT-AMAND-LONGPRE")</f>
        <v>SAINT-AMAND-LONGPRE</v>
      </c>
      <c r="E31079" s="38" t="s">
        <v>188</v>
      </c>
      <c r="F31079" s="38" t="s">
        <v>123</v>
      </c>
      <c r="G31079" s="49" t="str">
        <f t="shared" si="1"/>
        <v>41310</v>
      </c>
      <c r="H31079" s="49">
        <f t="shared" si="2"/>
        <v>41199</v>
      </c>
    </row>
    <row r="31080">
      <c r="A31080" s="48" t="s">
        <v>709</v>
      </c>
      <c r="B31080" s="38">
        <v>43237.0</v>
      </c>
      <c r="C31080" s="38" t="s">
        <v>35424</v>
      </c>
      <c r="D31080" s="38" t="str">
        <f>IFERROR(__xludf.DUMMYFUNCTION("REGEXREPLACE(C31080,""-\d+(.*)|--\d+(.*)"","""")"),"SEMBADEL")</f>
        <v>SEMBADEL</v>
      </c>
      <c r="E31080" s="38" t="s">
        <v>332</v>
      </c>
      <c r="F31080" s="38" t="s">
        <v>161</v>
      </c>
      <c r="G31080" s="49" t="str">
        <f t="shared" si="1"/>
        <v>43160</v>
      </c>
      <c r="H31080" s="49">
        <f t="shared" si="2"/>
        <v>43237</v>
      </c>
    </row>
    <row r="31081">
      <c r="A31081" s="48" t="s">
        <v>599</v>
      </c>
      <c r="B31081" s="38">
        <v>16089.0</v>
      </c>
      <c r="C31081" s="38" t="s">
        <v>35425</v>
      </c>
      <c r="D31081" s="38" t="str">
        <f>IFERROR(__xludf.DUMMYFUNCTION("REGEXREPLACE(C31081,""-\d+(.*)|--\d+(.*)"","""")"),"CHATEAUBERNARD")</f>
        <v>CHATEAUBERNARD</v>
      </c>
      <c r="E31081" s="38" t="s">
        <v>429</v>
      </c>
      <c r="F31081" s="38" t="s">
        <v>338</v>
      </c>
      <c r="G31081" s="49" t="str">
        <f t="shared" si="1"/>
        <v>16100</v>
      </c>
      <c r="H31081" s="49">
        <f t="shared" si="2"/>
        <v>16089</v>
      </c>
    </row>
    <row r="31082">
      <c r="A31082" s="48" t="s">
        <v>771</v>
      </c>
      <c r="B31082" s="38">
        <v>60192.0</v>
      </c>
      <c r="C31082" s="38" t="s">
        <v>17960</v>
      </c>
      <c r="D31082" s="38" t="str">
        <f>IFERROR(__xludf.DUMMYFUNCTION("REGEXREPLACE(C31082,""-\d+(.*)|--\d+(.*)"","""")"),"CUY")</f>
        <v>CUY</v>
      </c>
      <c r="E31082" s="38" t="s">
        <v>112</v>
      </c>
      <c r="F31082" s="38" t="s">
        <v>113</v>
      </c>
      <c r="G31082" s="49" t="str">
        <f t="shared" si="1"/>
        <v>60310</v>
      </c>
      <c r="H31082" s="49">
        <f t="shared" si="2"/>
        <v>60192</v>
      </c>
    </row>
    <row r="31083">
      <c r="A31083" s="48" t="s">
        <v>35426</v>
      </c>
      <c r="B31083" s="38">
        <v>49323.0</v>
      </c>
      <c r="C31083" s="38" t="s">
        <v>35427</v>
      </c>
      <c r="D31083" s="38" t="str">
        <f>IFERROR(__xludf.DUMMYFUNCTION("REGEXREPLACE(C31083,""-\d+(.*)|--\d+(.*)"","""")"),"SAINT-SYLVAIN-D'ANJOU")</f>
        <v>SAINT-SYLVAIN-D'ANJOU</v>
      </c>
      <c r="E31083" s="38" t="s">
        <v>653</v>
      </c>
      <c r="F31083" s="38" t="s">
        <v>180</v>
      </c>
      <c r="G31083" s="49" t="str">
        <f t="shared" si="1"/>
        <v>49480</v>
      </c>
      <c r="H31083" s="49">
        <f t="shared" si="2"/>
        <v>49323</v>
      </c>
    </row>
    <row r="31084">
      <c r="A31084" s="48" t="s">
        <v>874</v>
      </c>
      <c r="B31084" s="38" t="s">
        <v>35428</v>
      </c>
      <c r="C31084" s="38" t="s">
        <v>35429</v>
      </c>
      <c r="D31084" s="38" t="str">
        <f>IFERROR(__xludf.DUMMYFUNCTION("REGEXREPLACE(C31084,""-\d+(.*)|--\d+(.*)"","""")"),"POLVEROSO")</f>
        <v>POLVEROSO</v>
      </c>
      <c r="E31084" s="38" t="s">
        <v>743</v>
      </c>
      <c r="F31084" s="38" t="s">
        <v>607</v>
      </c>
      <c r="G31084" s="49" t="str">
        <f t="shared" si="1"/>
        <v>20229</v>
      </c>
      <c r="H31084" s="49" t="str">
        <f t="shared" si="2"/>
        <v>2B243</v>
      </c>
    </row>
    <row r="31085">
      <c r="A31085" s="48" t="s">
        <v>721</v>
      </c>
      <c r="B31085" s="38">
        <v>14281.0</v>
      </c>
      <c r="C31085" s="38" t="s">
        <v>35430</v>
      </c>
      <c r="D31085" s="38" t="str">
        <f>IFERROR(__xludf.DUMMYFUNCTION("REGEXREPLACE(C31085,""-\d+(.*)|--\d+(.*)"","""")"),"FORMIGNY")</f>
        <v>FORMIGNY</v>
      </c>
      <c r="E31085" s="38" t="s">
        <v>137</v>
      </c>
      <c r="F31085" s="38" t="s">
        <v>138</v>
      </c>
      <c r="G31085" s="49" t="str">
        <f t="shared" si="1"/>
        <v>14710</v>
      </c>
      <c r="H31085" s="49">
        <f t="shared" si="2"/>
        <v>14281</v>
      </c>
    </row>
    <row r="31086">
      <c r="A31086" s="48" t="s">
        <v>1827</v>
      </c>
      <c r="B31086" s="38">
        <v>77247.0</v>
      </c>
      <c r="C31086" s="38" t="s">
        <v>35431</v>
      </c>
      <c r="D31086" s="38" t="str">
        <f>IFERROR(__xludf.DUMMYFUNCTION("REGEXREPLACE(C31086,""-\d+(.*)|--\d+(.*)"","""")"),"LESCHEROLLES")</f>
        <v>LESCHEROLLES</v>
      </c>
      <c r="E31086" s="38" t="s">
        <v>244</v>
      </c>
      <c r="F31086" s="38" t="s">
        <v>245</v>
      </c>
      <c r="G31086" s="49" t="str">
        <f t="shared" si="1"/>
        <v>77320</v>
      </c>
      <c r="H31086" s="49">
        <f t="shared" si="2"/>
        <v>77247</v>
      </c>
    </row>
    <row r="31087">
      <c r="A31087" s="48" t="s">
        <v>13636</v>
      </c>
      <c r="B31087" s="38">
        <v>57415.0</v>
      </c>
      <c r="C31087" s="38" t="s">
        <v>35432</v>
      </c>
      <c r="D31087" s="38" t="str">
        <f>IFERROR(__xludf.DUMMYFUNCTION("REGEXREPLACE(C31087,""-\d+(.*)|--\d+(.*)"","""")"),"LORRY-LES-METZ")</f>
        <v>LORRY-LES-METZ</v>
      </c>
      <c r="E31087" s="38" t="s">
        <v>303</v>
      </c>
      <c r="F31087" s="38" t="s">
        <v>195</v>
      </c>
      <c r="G31087" s="49" t="str">
        <f t="shared" si="1"/>
        <v>57050</v>
      </c>
      <c r="H31087" s="49">
        <f t="shared" si="2"/>
        <v>57415</v>
      </c>
    </row>
    <row r="31088">
      <c r="A31088" s="48" t="s">
        <v>4377</v>
      </c>
      <c r="B31088" s="38">
        <v>31281.0</v>
      </c>
      <c r="C31088" s="38" t="s">
        <v>35433</v>
      </c>
      <c r="D31088" s="38" t="str">
        <f>IFERROR(__xludf.DUMMYFUNCTION("REGEXREPLACE(C31088,""-\d+(.*)|--\d+(.*)"","""")"),"LAUNAC")</f>
        <v>LAUNAC</v>
      </c>
      <c r="E31088" s="38" t="s">
        <v>93</v>
      </c>
      <c r="F31088" s="38" t="s">
        <v>94</v>
      </c>
      <c r="G31088" s="49" t="str">
        <f t="shared" si="1"/>
        <v>31330</v>
      </c>
      <c r="H31088" s="49">
        <f t="shared" si="2"/>
        <v>31281</v>
      </c>
    </row>
    <row r="31089">
      <c r="A31089" s="48" t="s">
        <v>484</v>
      </c>
      <c r="B31089" s="38">
        <v>16349.0</v>
      </c>
      <c r="C31089" s="38" t="s">
        <v>35434</v>
      </c>
      <c r="D31089" s="38" t="str">
        <f>IFERROR(__xludf.DUMMYFUNCTION("REGEXREPLACE(C31089,""-\d+(.*)|--\d+(.*)"","""")"),"SAINTE-SEVERE")</f>
        <v>SAINTE-SEVERE</v>
      </c>
      <c r="E31089" s="38" t="s">
        <v>429</v>
      </c>
      <c r="F31089" s="38" t="s">
        <v>338</v>
      </c>
      <c r="G31089" s="49" t="str">
        <f t="shared" si="1"/>
        <v>16200</v>
      </c>
      <c r="H31089" s="49">
        <f t="shared" si="2"/>
        <v>16349</v>
      </c>
    </row>
    <row r="31090">
      <c r="A31090" s="48" t="s">
        <v>754</v>
      </c>
      <c r="B31090" s="38">
        <v>91525.0</v>
      </c>
      <c r="C31090" s="38" t="s">
        <v>35435</v>
      </c>
      <c r="D31090" s="38" t="str">
        <f>IFERROR(__xludf.DUMMYFUNCTION("REGEXREPLACE(C31090,""-\d+(.*)|--\d+(.*)"","""")"),"ROINVILLE")</f>
        <v>ROINVILLE</v>
      </c>
      <c r="E31090" s="38" t="s">
        <v>756</v>
      </c>
      <c r="F31090" s="38" t="s">
        <v>245</v>
      </c>
      <c r="G31090" s="49" t="str">
        <f t="shared" si="1"/>
        <v>91410</v>
      </c>
      <c r="H31090" s="49">
        <f t="shared" si="2"/>
        <v>91525</v>
      </c>
    </row>
    <row r="31091">
      <c r="A31091" s="48" t="s">
        <v>7012</v>
      </c>
      <c r="B31091" s="38">
        <v>68386.0</v>
      </c>
      <c r="C31091" s="38" t="s">
        <v>35436</v>
      </c>
      <c r="D31091" s="38" t="str">
        <f>IFERROR(__xludf.DUMMYFUNCTION("REGEXREPLACE(C31091,""-\d+(.*)|--\d+(.*)"","""")"),"ZIMMERSHEIM")</f>
        <v>ZIMMERSHEIM</v>
      </c>
      <c r="E31091" s="38" t="s">
        <v>150</v>
      </c>
      <c r="F31091" s="38" t="s">
        <v>151</v>
      </c>
      <c r="G31091" s="49" t="str">
        <f t="shared" si="1"/>
        <v>68440</v>
      </c>
      <c r="H31091" s="49">
        <f t="shared" si="2"/>
        <v>68386</v>
      </c>
    </row>
    <row r="31092">
      <c r="A31092" s="48" t="s">
        <v>13129</v>
      </c>
      <c r="B31092" s="38">
        <v>24334.0</v>
      </c>
      <c r="C31092" s="38" t="s">
        <v>35437</v>
      </c>
      <c r="D31092" s="38" t="str">
        <f>IFERROR(__xludf.DUMMYFUNCTION("REGEXREPLACE(C31092,""-\d+(.*)|--\d+(.*)"","""")"),"PONTOURS")</f>
        <v>PONTOURS</v>
      </c>
      <c r="E31092" s="38" t="s">
        <v>261</v>
      </c>
      <c r="F31092" s="38" t="s">
        <v>252</v>
      </c>
      <c r="G31092" s="49" t="str">
        <f t="shared" si="1"/>
        <v>24150</v>
      </c>
      <c r="H31092" s="49">
        <f t="shared" si="2"/>
        <v>24334</v>
      </c>
    </row>
    <row r="31093">
      <c r="A31093" s="48" t="s">
        <v>1616</v>
      </c>
      <c r="B31093" s="38">
        <v>10102.0</v>
      </c>
      <c r="C31093" s="38" t="s">
        <v>35438</v>
      </c>
      <c r="D31093" s="38" t="str">
        <f>IFERROR(__xludf.DUMMYFUNCTION("REGEXREPLACE(C31093,""-\d+(.*)|--\d+(.*)"","""")"),"COLOMBE-LA-FOSSE")</f>
        <v>COLOMBE-LA-FOSSE</v>
      </c>
      <c r="E31093" s="38" t="s">
        <v>147</v>
      </c>
      <c r="F31093" s="38" t="s">
        <v>130</v>
      </c>
      <c r="G31093" s="49" t="str">
        <f t="shared" si="1"/>
        <v>10200</v>
      </c>
      <c r="H31093" s="49">
        <f t="shared" si="2"/>
        <v>10102</v>
      </c>
    </row>
    <row r="31094">
      <c r="A31094" s="48" t="s">
        <v>31452</v>
      </c>
      <c r="B31094" s="38">
        <v>21263.0</v>
      </c>
      <c r="C31094" s="38" t="s">
        <v>35439</v>
      </c>
      <c r="D31094" s="38" t="str">
        <f>IFERROR(__xludf.DUMMYFUNCTION("REGEXREPLACE(C31094,""-\d+(.*)|--\d+(.*)"","""")"),"FENAY")</f>
        <v>FENAY</v>
      </c>
      <c r="E31094" s="38" t="s">
        <v>105</v>
      </c>
      <c r="F31094" s="38" t="s">
        <v>106</v>
      </c>
      <c r="G31094" s="49" t="str">
        <f t="shared" si="1"/>
        <v>21600</v>
      </c>
      <c r="H31094" s="49">
        <f t="shared" si="2"/>
        <v>21263</v>
      </c>
    </row>
    <row r="31095">
      <c r="A31095" s="48" t="s">
        <v>8902</v>
      </c>
      <c r="B31095" s="38">
        <v>25319.0</v>
      </c>
      <c r="C31095" s="38" t="s">
        <v>35440</v>
      </c>
      <c r="D31095" s="38" t="str">
        <f>IFERROR(__xludf.DUMMYFUNCTION("REGEXREPLACE(C31095,""-\d+(.*)|--\d+(.*)"","""")"),"LABERGEMENT-DU-NAVOIS")</f>
        <v>LABERGEMENT-DU-NAVOIS</v>
      </c>
      <c r="E31095" s="38" t="s">
        <v>213</v>
      </c>
      <c r="F31095" s="38" t="s">
        <v>214</v>
      </c>
      <c r="G31095" s="49" t="str">
        <f t="shared" si="1"/>
        <v>25270</v>
      </c>
      <c r="H31095" s="49">
        <f t="shared" si="2"/>
        <v>25319</v>
      </c>
    </row>
    <row r="31096">
      <c r="A31096" s="48" t="s">
        <v>2532</v>
      </c>
      <c r="B31096" s="38">
        <v>51235.0</v>
      </c>
      <c r="C31096" s="38" t="s">
        <v>35441</v>
      </c>
      <c r="D31096" s="38" t="str">
        <f>IFERROR(__xludf.DUMMYFUNCTION("REGEXREPLACE(C31096,""-\d+(.*)|--\d+(.*)"","""")"),"LES ESSARTS-LES-SEZANNE")</f>
        <v>LES ESSARTS-LES-SEZANNE</v>
      </c>
      <c r="E31096" s="38" t="s">
        <v>129</v>
      </c>
      <c r="F31096" s="38" t="s">
        <v>130</v>
      </c>
      <c r="G31096" s="49" t="str">
        <f t="shared" si="1"/>
        <v>51120</v>
      </c>
      <c r="H31096" s="49">
        <f t="shared" si="2"/>
        <v>51235</v>
      </c>
    </row>
    <row r="31097">
      <c r="A31097" s="48" t="s">
        <v>10689</v>
      </c>
      <c r="B31097" s="38">
        <v>59194.0</v>
      </c>
      <c r="C31097" s="38" t="s">
        <v>35442</v>
      </c>
      <c r="D31097" s="38" t="str">
        <f>IFERROR(__xludf.DUMMYFUNCTION("REGEXREPLACE(C31097,""-\d+(.*)|--\d+(.*)"","""")"),"ENGLEFONTAINE")</f>
        <v>ENGLEFONTAINE</v>
      </c>
      <c r="E31097" s="38" t="s">
        <v>85</v>
      </c>
      <c r="F31097" s="38" t="s">
        <v>86</v>
      </c>
      <c r="G31097" s="49" t="str">
        <f t="shared" si="1"/>
        <v>59530</v>
      </c>
      <c r="H31097" s="49">
        <f t="shared" si="2"/>
        <v>59194</v>
      </c>
    </row>
    <row r="31098">
      <c r="A31098" s="48" t="s">
        <v>13884</v>
      </c>
      <c r="B31098" s="38">
        <v>14243.0</v>
      </c>
      <c r="C31098" s="38" t="s">
        <v>35443</v>
      </c>
      <c r="D31098" s="38" t="str">
        <f>IFERROR(__xludf.DUMMYFUNCTION("REGEXREPLACE(C31098,""-\d+(.*)|--\d+(.*)"","""")"),"EQUEMAUVILLE")</f>
        <v>EQUEMAUVILLE</v>
      </c>
      <c r="E31098" s="38" t="s">
        <v>137</v>
      </c>
      <c r="F31098" s="38" t="s">
        <v>138</v>
      </c>
      <c r="G31098" s="49" t="str">
        <f t="shared" si="1"/>
        <v>14600</v>
      </c>
      <c r="H31098" s="49">
        <f t="shared" si="2"/>
        <v>14243</v>
      </c>
    </row>
    <row r="31099">
      <c r="A31099" s="48" t="s">
        <v>386</v>
      </c>
      <c r="B31099" s="38">
        <v>21622.0</v>
      </c>
      <c r="C31099" s="38" t="s">
        <v>35444</v>
      </c>
      <c r="D31099" s="38" t="str">
        <f>IFERROR(__xludf.DUMMYFUNCTION("REGEXREPLACE(C31099,""-\d+(.*)|--\d+(.*)"","""")"),"TART-LE-BAS")</f>
        <v>TART-LE-BAS</v>
      </c>
      <c r="E31099" s="38" t="s">
        <v>105</v>
      </c>
      <c r="F31099" s="38" t="s">
        <v>106</v>
      </c>
      <c r="G31099" s="49" t="str">
        <f t="shared" si="1"/>
        <v>21110</v>
      </c>
      <c r="H31099" s="49">
        <f t="shared" si="2"/>
        <v>21622</v>
      </c>
    </row>
    <row r="31100">
      <c r="A31100" s="48" t="s">
        <v>9467</v>
      </c>
      <c r="B31100" s="38">
        <v>67458.0</v>
      </c>
      <c r="C31100" s="38" t="s">
        <v>35445</v>
      </c>
      <c r="D31100" s="38" t="str">
        <f>IFERROR(__xludf.DUMMYFUNCTION("REGEXREPLACE(C31100,""-\d+(.*)|--\d+(.*)"","""")"),"SCHWEIGHOUSE-SUR-MODER")</f>
        <v>SCHWEIGHOUSE-SUR-MODER</v>
      </c>
      <c r="E31100" s="38" t="s">
        <v>210</v>
      </c>
      <c r="F31100" s="38" t="s">
        <v>151</v>
      </c>
      <c r="G31100" s="49" t="str">
        <f t="shared" si="1"/>
        <v>67590</v>
      </c>
      <c r="H31100" s="49">
        <f t="shared" si="2"/>
        <v>67458</v>
      </c>
    </row>
    <row r="31101">
      <c r="A31101" s="48" t="s">
        <v>792</v>
      </c>
      <c r="B31101" s="38">
        <v>2442.0</v>
      </c>
      <c r="C31101" s="38" t="s">
        <v>35446</v>
      </c>
      <c r="D31101" s="38" t="str">
        <f>IFERROR(__xludf.DUMMYFUNCTION("REGEXREPLACE(C31101,""-\d+(.*)|--\d+(.*)"","""")"),"LOUPEIGNE")</f>
        <v>LOUPEIGNE</v>
      </c>
      <c r="E31101" s="38" t="s">
        <v>191</v>
      </c>
      <c r="F31101" s="38" t="s">
        <v>113</v>
      </c>
      <c r="G31101" s="49" t="str">
        <f t="shared" si="1"/>
        <v>02130</v>
      </c>
      <c r="H31101" s="49" t="str">
        <f t="shared" si="2"/>
        <v>02442</v>
      </c>
    </row>
    <row r="31102">
      <c r="A31102" s="48" t="s">
        <v>9207</v>
      </c>
      <c r="B31102" s="38">
        <v>57217.0</v>
      </c>
      <c r="C31102" s="38" t="s">
        <v>35447</v>
      </c>
      <c r="D31102" s="38" t="str">
        <f>IFERROR(__xludf.DUMMYFUNCTION("REGEXREPLACE(C31102,""-\d+(.*)|--\d+(.*)"","""")"),"FLETRANGE")</f>
        <v>FLETRANGE</v>
      </c>
      <c r="E31102" s="38" t="s">
        <v>303</v>
      </c>
      <c r="F31102" s="38" t="s">
        <v>195</v>
      </c>
      <c r="G31102" s="49" t="str">
        <f t="shared" si="1"/>
        <v>57690</v>
      </c>
      <c r="H31102" s="49">
        <f t="shared" si="2"/>
        <v>57217</v>
      </c>
    </row>
    <row r="31103">
      <c r="A31103" s="48" t="s">
        <v>1885</v>
      </c>
      <c r="B31103" s="38">
        <v>27334.0</v>
      </c>
      <c r="C31103" s="38" t="s">
        <v>35448</v>
      </c>
      <c r="D31103" s="38" t="str">
        <f>IFERROR(__xludf.DUMMYFUNCTION("REGEXREPLACE(C31103,""-\d+(.*)|--\d+(.*)"","""")"),"HEUDREVILLE-EN-LIEUVIN")</f>
        <v>HEUDREVILLE-EN-LIEUVIN</v>
      </c>
      <c r="E31103" s="38" t="s">
        <v>241</v>
      </c>
      <c r="F31103" s="38" t="s">
        <v>134</v>
      </c>
      <c r="G31103" s="49" t="str">
        <f t="shared" si="1"/>
        <v>27230</v>
      </c>
      <c r="H31103" s="49">
        <f t="shared" si="2"/>
        <v>27334</v>
      </c>
    </row>
    <row r="31104">
      <c r="A31104" s="48" t="s">
        <v>16561</v>
      </c>
      <c r="B31104" s="38">
        <v>27444.0</v>
      </c>
      <c r="C31104" s="38" t="s">
        <v>35449</v>
      </c>
      <c r="D31104" s="38" t="str">
        <f>IFERROR(__xludf.DUMMYFUNCTION("REGEXREPLACE(C31104,""-\d+(.*)|--\d+(.*)"","""")"),"LE NOYER-EN-OUCHE")</f>
        <v>LE NOYER-EN-OUCHE</v>
      </c>
      <c r="E31104" s="38" t="s">
        <v>241</v>
      </c>
      <c r="F31104" s="38" t="s">
        <v>134</v>
      </c>
      <c r="G31104" s="49" t="str">
        <f t="shared" si="1"/>
        <v>27410</v>
      </c>
      <c r="H31104" s="49">
        <f t="shared" si="2"/>
        <v>27444</v>
      </c>
    </row>
    <row r="31105">
      <c r="A31105" s="48" t="s">
        <v>4270</v>
      </c>
      <c r="B31105" s="38">
        <v>76463.0</v>
      </c>
      <c r="C31105" s="38" t="s">
        <v>35450</v>
      </c>
      <c r="D31105" s="38" t="str">
        <f>IFERROR(__xludf.DUMMYFUNCTION("REGEXREPLACE(C31105,""-\d+(.*)|--\d+(.*)"","""")"),"NEUF-MARCHE")</f>
        <v>NEUF-MARCHE</v>
      </c>
      <c r="E31105" s="38" t="s">
        <v>133</v>
      </c>
      <c r="F31105" s="38" t="s">
        <v>134</v>
      </c>
      <c r="G31105" s="49" t="str">
        <f t="shared" si="1"/>
        <v>76220</v>
      </c>
      <c r="H31105" s="49">
        <f t="shared" si="2"/>
        <v>76463</v>
      </c>
    </row>
    <row r="31106">
      <c r="A31106" s="48" t="s">
        <v>31121</v>
      </c>
      <c r="B31106" s="38">
        <v>49093.0</v>
      </c>
      <c r="C31106" s="38" t="s">
        <v>35451</v>
      </c>
      <c r="D31106" s="38" t="str">
        <f>IFERROR(__xludf.DUMMYFUNCTION("REGEXREPLACE(C31106,""-\d+(.*)|--\d+(.*)"","""")"),"CHEMIRE-SUR-SARTHE")</f>
        <v>CHEMIRE-SUR-SARTHE</v>
      </c>
      <c r="E31106" s="38" t="s">
        <v>653</v>
      </c>
      <c r="F31106" s="38" t="s">
        <v>180</v>
      </c>
      <c r="G31106" s="49" t="str">
        <f t="shared" si="1"/>
        <v>49640</v>
      </c>
      <c r="H31106" s="49">
        <f t="shared" si="2"/>
        <v>49093</v>
      </c>
    </row>
    <row r="31107">
      <c r="A31107" s="48" t="s">
        <v>4617</v>
      </c>
      <c r="B31107" s="38">
        <v>15009.0</v>
      </c>
      <c r="C31107" s="38" t="s">
        <v>35452</v>
      </c>
      <c r="D31107" s="38" t="str">
        <f>IFERROR(__xludf.DUMMYFUNCTION("REGEXREPLACE(C31107,""-\d+(.*)|--\d+(.*)"","""")"),"APCHON")</f>
        <v>APCHON</v>
      </c>
      <c r="E31107" s="38" t="s">
        <v>632</v>
      </c>
      <c r="F31107" s="38" t="s">
        <v>161</v>
      </c>
      <c r="G31107" s="49" t="str">
        <f t="shared" si="1"/>
        <v>15400</v>
      </c>
      <c r="H31107" s="49">
        <f t="shared" si="2"/>
        <v>15009</v>
      </c>
    </row>
    <row r="31108">
      <c r="A31108" s="48" t="s">
        <v>5223</v>
      </c>
      <c r="B31108" s="38">
        <v>65423.0</v>
      </c>
      <c r="C31108" s="38" t="s">
        <v>35453</v>
      </c>
      <c r="D31108" s="38" t="str">
        <f>IFERROR(__xludf.DUMMYFUNCTION("REGEXREPLACE(C31108,""-\d+(.*)|--\d+(.*)"","""")"),"SERE-RUSTAING")</f>
        <v>SERE-RUSTAING</v>
      </c>
      <c r="E31108" s="38" t="s">
        <v>200</v>
      </c>
      <c r="F31108" s="38" t="s">
        <v>94</v>
      </c>
      <c r="G31108" s="49" t="str">
        <f t="shared" si="1"/>
        <v>65220</v>
      </c>
      <c r="H31108" s="49">
        <f t="shared" si="2"/>
        <v>65423</v>
      </c>
    </row>
    <row r="31109">
      <c r="A31109" s="48" t="s">
        <v>12009</v>
      </c>
      <c r="B31109" s="38">
        <v>71580.0</v>
      </c>
      <c r="C31109" s="38" t="s">
        <v>20249</v>
      </c>
      <c r="D31109" s="38" t="str">
        <f>IFERROR(__xludf.DUMMYFUNCTION("REGEXREPLACE(C31109,""-\d+(.*)|--\d+(.*)"","""")"),"VINCELLES")</f>
        <v>VINCELLES</v>
      </c>
      <c r="E31109" s="38" t="s">
        <v>344</v>
      </c>
      <c r="F31109" s="38" t="s">
        <v>106</v>
      </c>
      <c r="G31109" s="49" t="str">
        <f t="shared" si="1"/>
        <v>71500</v>
      </c>
      <c r="H31109" s="49">
        <f t="shared" si="2"/>
        <v>71580</v>
      </c>
    </row>
    <row r="31110">
      <c r="A31110" s="48" t="s">
        <v>1256</v>
      </c>
      <c r="B31110" s="38">
        <v>87056.0</v>
      </c>
      <c r="C31110" s="38" t="s">
        <v>35454</v>
      </c>
      <c r="D31110" s="38" t="str">
        <f>IFERROR(__xludf.DUMMYFUNCTION("REGEXREPLACE(C31110,""-\d+(.*)|--\d+(.*)"","""")"),"DINSAC")</f>
        <v>DINSAC</v>
      </c>
      <c r="E31110" s="38" t="s">
        <v>897</v>
      </c>
      <c r="F31110" s="38" t="s">
        <v>98</v>
      </c>
      <c r="G31110" s="49" t="str">
        <f t="shared" si="1"/>
        <v>87210</v>
      </c>
      <c r="H31110" s="49">
        <f t="shared" si="2"/>
        <v>87056</v>
      </c>
    </row>
    <row r="31111">
      <c r="A31111" s="48" t="s">
        <v>658</v>
      </c>
      <c r="B31111" s="38">
        <v>62102.0</v>
      </c>
      <c r="C31111" s="38" t="s">
        <v>35455</v>
      </c>
      <c r="D31111" s="38" t="str">
        <f>IFERROR(__xludf.DUMMYFUNCTION("REGEXREPLACE(C31111,""-\d+(.*)|--\d+(.*)"","""")"),"BECOURT")</f>
        <v>BECOURT</v>
      </c>
      <c r="E31111" s="38" t="s">
        <v>109</v>
      </c>
      <c r="F31111" s="38" t="s">
        <v>86</v>
      </c>
      <c r="G31111" s="49" t="str">
        <f t="shared" si="1"/>
        <v>62240</v>
      </c>
      <c r="H31111" s="49">
        <f t="shared" si="2"/>
        <v>62102</v>
      </c>
    </row>
    <row r="31112">
      <c r="A31112" s="48" t="s">
        <v>35456</v>
      </c>
      <c r="B31112" s="38">
        <v>35361.0</v>
      </c>
      <c r="C31112" s="38" t="s">
        <v>35457</v>
      </c>
      <c r="D31112" s="38" t="str">
        <f>IFERROR(__xludf.DUMMYFUNCTION("REGEXREPLACE(C31112,""-\d+(.*)|--\d+(.*)"","""")"),"LE VIVIER-SUR-MER")</f>
        <v>LE VIVIER-SUR-MER</v>
      </c>
      <c r="E31112" s="38" t="s">
        <v>347</v>
      </c>
      <c r="F31112" s="38" t="s">
        <v>90</v>
      </c>
      <c r="G31112" s="49" t="str">
        <f t="shared" si="1"/>
        <v>35960</v>
      </c>
      <c r="H31112" s="49">
        <f t="shared" si="2"/>
        <v>35361</v>
      </c>
    </row>
    <row r="31113">
      <c r="A31113" s="48" t="s">
        <v>413</v>
      </c>
      <c r="B31113" s="38">
        <v>35282.0</v>
      </c>
      <c r="C31113" s="38" t="s">
        <v>35458</v>
      </c>
      <c r="D31113" s="38" t="str">
        <f>IFERROR(__xludf.DUMMYFUNCTION("REGEXREPLACE(C31113,""-\d+(.*)|--\d+(.*)"","""")"),"SAINT-JEAN-SUR-COUESNON")</f>
        <v>SAINT-JEAN-SUR-COUESNON</v>
      </c>
      <c r="E31113" s="38" t="s">
        <v>347</v>
      </c>
      <c r="F31113" s="38" t="s">
        <v>90</v>
      </c>
      <c r="G31113" s="49" t="str">
        <f t="shared" si="1"/>
        <v>35140</v>
      </c>
      <c r="H31113" s="49">
        <f t="shared" si="2"/>
        <v>35282</v>
      </c>
    </row>
    <row r="31114">
      <c r="A31114" s="48" t="s">
        <v>18681</v>
      </c>
      <c r="B31114" s="38">
        <v>69130.0</v>
      </c>
      <c r="C31114" s="38" t="s">
        <v>35459</v>
      </c>
      <c r="D31114" s="38" t="str">
        <f>IFERROR(__xludf.DUMMYFUNCTION("REGEXREPLACE(C31114,""-\d+(.*)|--\d+(.*)"","""")"),"MEAUX-LA-MONTAGNE")</f>
        <v>MEAUX-LA-MONTAGNE</v>
      </c>
      <c r="E31114" s="38" t="s">
        <v>350</v>
      </c>
      <c r="F31114" s="38" t="s">
        <v>102</v>
      </c>
      <c r="G31114" s="49" t="str">
        <f t="shared" si="1"/>
        <v>69550</v>
      </c>
      <c r="H31114" s="49">
        <f t="shared" si="2"/>
        <v>69130</v>
      </c>
    </row>
    <row r="31115">
      <c r="A31115" s="48" t="s">
        <v>4173</v>
      </c>
      <c r="B31115" s="38">
        <v>25360.0</v>
      </c>
      <c r="C31115" s="38" t="s">
        <v>35460</v>
      </c>
      <c r="D31115" s="38" t="str">
        <f>IFERROR(__xludf.DUMMYFUNCTION("REGEXREPLACE(C31115,""-\d+(.*)|--\d+(.*)"","""")"),"MALBRANS")</f>
        <v>MALBRANS</v>
      </c>
      <c r="E31115" s="38" t="s">
        <v>213</v>
      </c>
      <c r="F31115" s="38" t="s">
        <v>214</v>
      </c>
      <c r="G31115" s="49" t="str">
        <f t="shared" si="1"/>
        <v>25620</v>
      </c>
      <c r="H31115" s="49">
        <f t="shared" si="2"/>
        <v>25360</v>
      </c>
    </row>
    <row r="31116">
      <c r="A31116" s="48" t="s">
        <v>35461</v>
      </c>
      <c r="B31116" s="38">
        <v>94076.0</v>
      </c>
      <c r="C31116" s="38" t="s">
        <v>35462</v>
      </c>
      <c r="D31116" s="38" t="str">
        <f>IFERROR(__xludf.DUMMYFUNCTION("REGEXREPLACE(C31116,""-\d+(.*)|--\d+(.*)"","""")"),"VILLEJUIF")</f>
        <v>VILLEJUIF</v>
      </c>
      <c r="E31116" s="38" t="s">
        <v>561</v>
      </c>
      <c r="F31116" s="38" t="s">
        <v>245</v>
      </c>
      <c r="G31116" s="49" t="str">
        <f t="shared" si="1"/>
        <v>94800</v>
      </c>
      <c r="H31116" s="49">
        <f t="shared" si="2"/>
        <v>94076</v>
      </c>
    </row>
    <row r="31117">
      <c r="A31117" s="48" t="s">
        <v>12396</v>
      </c>
      <c r="B31117" s="38">
        <v>49368.0</v>
      </c>
      <c r="C31117" s="38" t="s">
        <v>35463</v>
      </c>
      <c r="D31117" s="38" t="str">
        <f>IFERROR(__xludf.DUMMYFUNCTION("REGEXREPLACE(C31117,""-\d+(.*)|--\d+(.*)"","""")"),"VERNANTES")</f>
        <v>VERNANTES</v>
      </c>
      <c r="E31117" s="38" t="s">
        <v>653</v>
      </c>
      <c r="F31117" s="38" t="s">
        <v>180</v>
      </c>
      <c r="G31117" s="49" t="str">
        <f t="shared" si="1"/>
        <v>49390</v>
      </c>
      <c r="H31117" s="49">
        <f t="shared" si="2"/>
        <v>49368</v>
      </c>
    </row>
    <row r="31118">
      <c r="A31118" s="48" t="s">
        <v>12114</v>
      </c>
      <c r="B31118" s="38">
        <v>77340.0</v>
      </c>
      <c r="C31118" s="38" t="s">
        <v>35464</v>
      </c>
      <c r="D31118" s="38" t="str">
        <f>IFERROR(__xludf.DUMMYFUNCTION("REGEXREPLACE(C31118,""-\d+(.*)|--\d+(.*)"","""")"),"NONVILLE")</f>
        <v>NONVILLE</v>
      </c>
      <c r="E31118" s="38" t="s">
        <v>244</v>
      </c>
      <c r="F31118" s="38" t="s">
        <v>245</v>
      </c>
      <c r="G31118" s="49" t="str">
        <f t="shared" si="1"/>
        <v>77140</v>
      </c>
      <c r="H31118" s="49">
        <f t="shared" si="2"/>
        <v>77340</v>
      </c>
    </row>
    <row r="31119">
      <c r="A31119" s="48" t="s">
        <v>12300</v>
      </c>
      <c r="B31119" s="38">
        <v>37218.0</v>
      </c>
      <c r="C31119" s="38" t="s">
        <v>35465</v>
      </c>
      <c r="D31119" s="38" t="str">
        <f>IFERROR(__xludf.DUMMYFUNCTION("REGEXREPLACE(C31119,""-\d+(.*)|--\d+(.*)"","""")"),"SAINT-FLOVIER")</f>
        <v>SAINT-FLOVIER</v>
      </c>
      <c r="E31119" s="38" t="s">
        <v>205</v>
      </c>
      <c r="F31119" s="38" t="s">
        <v>123</v>
      </c>
      <c r="G31119" s="49" t="str">
        <f t="shared" si="1"/>
        <v>37600</v>
      </c>
      <c r="H31119" s="49">
        <f t="shared" si="2"/>
        <v>37218</v>
      </c>
    </row>
    <row r="31120">
      <c r="A31120" s="48" t="s">
        <v>6107</v>
      </c>
      <c r="B31120" s="38">
        <v>61394.0</v>
      </c>
      <c r="C31120" s="38" t="s">
        <v>35466</v>
      </c>
      <c r="D31120" s="38" t="str">
        <f>IFERROR(__xludf.DUMMYFUNCTION("REGEXREPLACE(C31120,""-\d+(.*)|--\d+(.*)"","""")"),"SAINT-GERMAIN-DE-LA-COUDRE")</f>
        <v>SAINT-GERMAIN-DE-LA-COUDRE</v>
      </c>
      <c r="E31120" s="38" t="s">
        <v>141</v>
      </c>
      <c r="F31120" s="38" t="s">
        <v>138</v>
      </c>
      <c r="G31120" s="49" t="str">
        <f t="shared" si="1"/>
        <v>61130</v>
      </c>
      <c r="H31120" s="49">
        <f t="shared" si="2"/>
        <v>61394</v>
      </c>
    </row>
    <row r="31121">
      <c r="A31121" s="48" t="s">
        <v>320</v>
      </c>
      <c r="B31121" s="38">
        <v>55409.0</v>
      </c>
      <c r="C31121" s="38" t="s">
        <v>35467</v>
      </c>
      <c r="D31121" s="38" t="str">
        <f>IFERROR(__xludf.DUMMYFUNCTION("REGEXREPLACE(C31121,""-\d+(.*)|--\d+(.*)"","""")"),"PRETZ-EN-ARGONNE")</f>
        <v>PRETZ-EN-ARGONNE</v>
      </c>
      <c r="E31121" s="38" t="s">
        <v>322</v>
      </c>
      <c r="F31121" s="38" t="s">
        <v>195</v>
      </c>
      <c r="G31121" s="49" t="str">
        <f t="shared" si="1"/>
        <v>55250</v>
      </c>
      <c r="H31121" s="49">
        <f t="shared" si="2"/>
        <v>55409</v>
      </c>
    </row>
    <row r="31122">
      <c r="A31122" s="48" t="s">
        <v>10227</v>
      </c>
      <c r="B31122" s="38">
        <v>16250.0</v>
      </c>
      <c r="C31122" s="38" t="s">
        <v>35468</v>
      </c>
      <c r="D31122" s="38" t="str">
        <f>IFERROR(__xludf.DUMMYFUNCTION("REGEXREPLACE(C31122,""-\d+(.*)|--\d+(.*)"","""")"),"ORGEDEUIL")</f>
        <v>ORGEDEUIL</v>
      </c>
      <c r="E31122" s="38" t="s">
        <v>429</v>
      </c>
      <c r="F31122" s="38" t="s">
        <v>338</v>
      </c>
      <c r="G31122" s="49" t="str">
        <f t="shared" si="1"/>
        <v>16220</v>
      </c>
      <c r="H31122" s="49">
        <f t="shared" si="2"/>
        <v>16250</v>
      </c>
    </row>
    <row r="31123">
      <c r="A31123" s="48" t="s">
        <v>6651</v>
      </c>
      <c r="B31123" s="38">
        <v>31055.0</v>
      </c>
      <c r="C31123" s="38" t="s">
        <v>30568</v>
      </c>
      <c r="D31123" s="38" t="str">
        <f>IFERROR(__xludf.DUMMYFUNCTION("REGEXREPLACE(C31123,""-\d+(.*)|--\d+(.*)"","""")"),"BEAUVILLE")</f>
        <v>BEAUVILLE</v>
      </c>
      <c r="E31123" s="38" t="s">
        <v>93</v>
      </c>
      <c r="F31123" s="38" t="s">
        <v>94</v>
      </c>
      <c r="G31123" s="49" t="str">
        <f t="shared" si="1"/>
        <v>31460</v>
      </c>
      <c r="H31123" s="49">
        <f t="shared" si="2"/>
        <v>31055</v>
      </c>
    </row>
    <row r="31124">
      <c r="A31124" s="48" t="s">
        <v>15975</v>
      </c>
      <c r="B31124" s="38">
        <v>72159.0</v>
      </c>
      <c r="C31124" s="38" t="s">
        <v>35469</v>
      </c>
      <c r="D31124" s="38" t="str">
        <f>IFERROR(__xludf.DUMMYFUNCTION("REGEXREPLACE(C31124,""-\d+(.*)|--\d+(.*)"","""")"),"LAVENAY")</f>
        <v>LAVENAY</v>
      </c>
      <c r="E31124" s="38" t="s">
        <v>521</v>
      </c>
      <c r="F31124" s="38" t="s">
        <v>180</v>
      </c>
      <c r="G31124" s="49" t="str">
        <f t="shared" si="1"/>
        <v>72310</v>
      </c>
      <c r="H31124" s="49">
        <f t="shared" si="2"/>
        <v>72159</v>
      </c>
    </row>
    <row r="31125">
      <c r="A31125" s="48" t="s">
        <v>256</v>
      </c>
      <c r="B31125" s="38">
        <v>36025.0</v>
      </c>
      <c r="C31125" s="38" t="s">
        <v>35470</v>
      </c>
      <c r="D31125" s="38" t="str">
        <f>IFERROR(__xludf.DUMMYFUNCTION("REGEXREPLACE(C31125,""-\d+(.*)|--\d+(.*)"","""")"),"BRIANTES")</f>
        <v>BRIANTES</v>
      </c>
      <c r="E31125" s="38" t="s">
        <v>258</v>
      </c>
      <c r="F31125" s="38" t="s">
        <v>123</v>
      </c>
      <c r="G31125" s="49" t="str">
        <f t="shared" si="1"/>
        <v>36400</v>
      </c>
      <c r="H31125" s="49">
        <f t="shared" si="2"/>
        <v>36025</v>
      </c>
    </row>
    <row r="31126">
      <c r="A31126" s="48" t="s">
        <v>4722</v>
      </c>
      <c r="B31126" s="38">
        <v>81225.0</v>
      </c>
      <c r="C31126" s="38" t="s">
        <v>10735</v>
      </c>
      <c r="D31126" s="38" t="str">
        <f>IFERROR(__xludf.DUMMYFUNCTION("REGEXREPLACE(C31126,""-\d+(.*)|--\d+(.*)"","""")"),"RIVIERES")</f>
        <v>RIVIERES</v>
      </c>
      <c r="E31126" s="38" t="s">
        <v>231</v>
      </c>
      <c r="F31126" s="38" t="s">
        <v>94</v>
      </c>
      <c r="G31126" s="49" t="str">
        <f t="shared" si="1"/>
        <v>81600</v>
      </c>
      <c r="H31126" s="49">
        <f t="shared" si="2"/>
        <v>81225</v>
      </c>
    </row>
    <row r="31127">
      <c r="A31127" s="48" t="s">
        <v>3714</v>
      </c>
      <c r="B31127" s="38">
        <v>28048.0</v>
      </c>
      <c r="C31127" s="38" t="s">
        <v>35471</v>
      </c>
      <c r="D31127" s="38" t="str">
        <f>IFERROR(__xludf.DUMMYFUNCTION("REGEXREPLACE(C31127,""-\d+(.*)|--\d+(.*)"","""")"),"LA BOURDINIERE-SAINT-LOUP")</f>
        <v>LA BOURDINIERE-SAINT-LOUP</v>
      </c>
      <c r="E31127" s="38" t="s">
        <v>300</v>
      </c>
      <c r="F31127" s="38" t="s">
        <v>123</v>
      </c>
      <c r="G31127" s="49" t="str">
        <f t="shared" si="1"/>
        <v>28360</v>
      </c>
      <c r="H31127" s="49">
        <f t="shared" si="2"/>
        <v>28048</v>
      </c>
    </row>
    <row r="31128">
      <c r="A31128" s="48" t="s">
        <v>5941</v>
      </c>
      <c r="B31128" s="38">
        <v>22322.0</v>
      </c>
      <c r="C31128" s="38" t="s">
        <v>35472</v>
      </c>
      <c r="D31128" s="38" t="str">
        <f>IFERROR(__xludf.DUMMYFUNCTION("REGEXREPLACE(C31128,""-\d+(.*)|--\d+(.*)"","""")"),"SAINT-PEVER")</f>
        <v>SAINT-PEVER</v>
      </c>
      <c r="E31128" s="38" t="s">
        <v>89</v>
      </c>
      <c r="F31128" s="38" t="s">
        <v>90</v>
      </c>
      <c r="G31128" s="49" t="str">
        <f t="shared" si="1"/>
        <v>22720</v>
      </c>
      <c r="H31128" s="49">
        <f t="shared" si="2"/>
        <v>22322</v>
      </c>
    </row>
    <row r="31129">
      <c r="A31129" s="48" t="s">
        <v>35473</v>
      </c>
      <c r="B31129" s="38">
        <v>21231.0</v>
      </c>
      <c r="C31129" s="38" t="s">
        <v>35474</v>
      </c>
      <c r="D31129" s="38" t="str">
        <f>IFERROR(__xludf.DUMMYFUNCTION("REGEXREPLACE(C31129,""-\d+(.*)|--\d+(.*)"","""")"),"DIJON")</f>
        <v>DIJON</v>
      </c>
      <c r="E31129" s="38" t="s">
        <v>105</v>
      </c>
      <c r="F31129" s="38" t="s">
        <v>106</v>
      </c>
      <c r="G31129" s="49" t="str">
        <f t="shared" si="1"/>
        <v>21000</v>
      </c>
      <c r="H31129" s="49">
        <f t="shared" si="2"/>
        <v>21231</v>
      </c>
    </row>
    <row r="31130">
      <c r="A31130" s="48" t="s">
        <v>2805</v>
      </c>
      <c r="B31130" s="38">
        <v>23174.0</v>
      </c>
      <c r="C31130" s="38" t="s">
        <v>35475</v>
      </c>
      <c r="D31130" s="38" t="str">
        <f>IFERROR(__xludf.DUMMYFUNCTION("REGEXREPLACE(C31130,""-\d+(.*)|--\d+(.*)"","""")"),"SOUMANS")</f>
        <v>SOUMANS</v>
      </c>
      <c r="E31130" s="38" t="s">
        <v>97</v>
      </c>
      <c r="F31130" s="38" t="s">
        <v>98</v>
      </c>
      <c r="G31130" s="49" t="str">
        <f t="shared" si="1"/>
        <v>23600</v>
      </c>
      <c r="H31130" s="49">
        <f t="shared" si="2"/>
        <v>23174</v>
      </c>
    </row>
    <row r="31131">
      <c r="A31131" s="48" t="s">
        <v>4907</v>
      </c>
      <c r="B31131" s="38">
        <v>73292.0</v>
      </c>
      <c r="C31131" s="38" t="s">
        <v>35476</v>
      </c>
      <c r="D31131" s="38" t="str">
        <f>IFERROR(__xludf.DUMMYFUNCTION("REGEXREPLACE(C31131,""-\d+(.*)|--\d+(.*)"","""")"),"THENESOL")</f>
        <v>THENESOL</v>
      </c>
      <c r="E31131" s="38" t="s">
        <v>306</v>
      </c>
      <c r="F31131" s="38" t="s">
        <v>102</v>
      </c>
      <c r="G31131" s="49" t="str">
        <f t="shared" si="1"/>
        <v>73200</v>
      </c>
      <c r="H31131" s="49">
        <f t="shared" si="2"/>
        <v>73292</v>
      </c>
    </row>
    <row r="31132">
      <c r="A31132" s="48" t="s">
        <v>1208</v>
      </c>
      <c r="B31132" s="38">
        <v>32461.0</v>
      </c>
      <c r="C31132" s="38" t="s">
        <v>35477</v>
      </c>
      <c r="D31132" s="38" t="str">
        <f>IFERROR(__xludf.DUMMYFUNCTION("REGEXREPLACE(C31132,""-\d+(.*)|--\d+(.*)"","""")"),"VERLUS")</f>
        <v>VERLUS</v>
      </c>
      <c r="E31132" s="38" t="s">
        <v>440</v>
      </c>
      <c r="F31132" s="38" t="s">
        <v>94</v>
      </c>
      <c r="G31132" s="49" t="str">
        <f t="shared" si="1"/>
        <v>32400</v>
      </c>
      <c r="H31132" s="49">
        <f t="shared" si="2"/>
        <v>32461</v>
      </c>
    </row>
    <row r="31133">
      <c r="A31133" s="48" t="s">
        <v>3329</v>
      </c>
      <c r="B31133" s="38">
        <v>60624.0</v>
      </c>
      <c r="C31133" s="38" t="s">
        <v>18618</v>
      </c>
      <c r="D31133" s="38" t="str">
        <f>IFERROR(__xludf.DUMMYFUNCTION("REGEXREPLACE(C31133,""-\d+(.*)|--\d+(.*)"","""")"),"SULLY")</f>
        <v>SULLY</v>
      </c>
      <c r="E31133" s="38" t="s">
        <v>112</v>
      </c>
      <c r="F31133" s="38" t="s">
        <v>113</v>
      </c>
      <c r="G31133" s="49" t="str">
        <f t="shared" si="1"/>
        <v>60380</v>
      </c>
      <c r="H31133" s="49">
        <f t="shared" si="2"/>
        <v>60624</v>
      </c>
    </row>
    <row r="31134">
      <c r="A31134" s="48" t="s">
        <v>8883</v>
      </c>
      <c r="B31134" s="38">
        <v>39090.0</v>
      </c>
      <c r="C31134" s="38" t="s">
        <v>35478</v>
      </c>
      <c r="D31134" s="38" t="str">
        <f>IFERROR(__xludf.DUMMYFUNCTION("REGEXREPLACE(C31134,""-\d+(.*)|--\d+(.*)"","""")"),"CHAINEE-DES-COUPIS")</f>
        <v>CHAINEE-DES-COUPIS</v>
      </c>
      <c r="E31134" s="38" t="s">
        <v>400</v>
      </c>
      <c r="F31134" s="38" t="s">
        <v>214</v>
      </c>
      <c r="G31134" s="49" t="str">
        <f t="shared" si="1"/>
        <v>39120</v>
      </c>
      <c r="H31134" s="49">
        <f t="shared" si="2"/>
        <v>39090</v>
      </c>
    </row>
    <row r="31135">
      <c r="A31135" s="48" t="s">
        <v>8129</v>
      </c>
      <c r="B31135" s="38">
        <v>70308.0</v>
      </c>
      <c r="C31135" s="38" t="s">
        <v>35479</v>
      </c>
      <c r="D31135" s="38" t="str">
        <f>IFERROR(__xludf.DUMMYFUNCTION("REGEXREPLACE(C31135,""-\d+(.*)|--\d+(.*)"","""")"),"LA LONGINE")</f>
        <v>LA LONGINE</v>
      </c>
      <c r="E31135" s="38" t="s">
        <v>956</v>
      </c>
      <c r="F31135" s="38" t="s">
        <v>214</v>
      </c>
      <c r="G31135" s="49" t="str">
        <f t="shared" si="1"/>
        <v>70310</v>
      </c>
      <c r="H31135" s="49">
        <f t="shared" si="2"/>
        <v>70308</v>
      </c>
    </row>
    <row r="31136">
      <c r="A31136" s="48" t="s">
        <v>3689</v>
      </c>
      <c r="B31136" s="38">
        <v>1146.0</v>
      </c>
      <c r="C31136" s="38" t="s">
        <v>35480</v>
      </c>
      <c r="D31136" s="38" t="str">
        <f>IFERROR(__xludf.DUMMYFUNCTION("REGEXREPLACE(C31136,""-\d+(.*)|--\d+(.*)"","""")"),"DOMPIERRE-SUR-CHALARONNE")</f>
        <v>DOMPIERRE-SUR-CHALARONNE</v>
      </c>
      <c r="E31136" s="38" t="s">
        <v>255</v>
      </c>
      <c r="F31136" s="38" t="s">
        <v>102</v>
      </c>
      <c r="G31136" s="49" t="str">
        <f t="shared" si="1"/>
        <v>01400</v>
      </c>
      <c r="H31136" s="49" t="str">
        <f t="shared" si="2"/>
        <v>01146</v>
      </c>
    </row>
    <row r="31137">
      <c r="A31137" s="48" t="s">
        <v>14636</v>
      </c>
      <c r="B31137" s="38">
        <v>38377.0</v>
      </c>
      <c r="C31137" s="38" t="s">
        <v>35481</v>
      </c>
      <c r="D31137" s="38" t="str">
        <f>IFERROR(__xludf.DUMMYFUNCTION("REGEXREPLACE(C31137,""-\d+(.*)|--\d+(.*)"","""")"),"SAINT-CLAIR-DE-LA-TOUR")</f>
        <v>SAINT-CLAIR-DE-LA-TOUR</v>
      </c>
      <c r="E31137" s="38" t="s">
        <v>101</v>
      </c>
      <c r="F31137" s="38" t="s">
        <v>102</v>
      </c>
      <c r="G31137" s="49" t="str">
        <f t="shared" si="1"/>
        <v>38110</v>
      </c>
      <c r="H31137" s="49">
        <f t="shared" si="2"/>
        <v>38377</v>
      </c>
    </row>
    <row r="31138">
      <c r="A31138" s="48" t="s">
        <v>35482</v>
      </c>
      <c r="B31138" s="38">
        <v>62528.0</v>
      </c>
      <c r="C31138" s="38" t="s">
        <v>35483</v>
      </c>
      <c r="D31138" s="38" t="str">
        <f>IFERROR(__xludf.DUMMYFUNCTION("REGEXREPLACE(C31138,""-\d+(.*)|--\d+(.*)"","""")"),"LOOS-EN-GOHELLE")</f>
        <v>LOOS-EN-GOHELLE</v>
      </c>
      <c r="E31138" s="38" t="s">
        <v>109</v>
      </c>
      <c r="F31138" s="38" t="s">
        <v>86</v>
      </c>
      <c r="G31138" s="49" t="str">
        <f t="shared" si="1"/>
        <v>62750</v>
      </c>
      <c r="H31138" s="49">
        <f t="shared" si="2"/>
        <v>62528</v>
      </c>
    </row>
    <row r="31139">
      <c r="A31139" s="48" t="s">
        <v>450</v>
      </c>
      <c r="B31139" s="38">
        <v>71019.0</v>
      </c>
      <c r="C31139" s="38" t="s">
        <v>35484</v>
      </c>
      <c r="D31139" s="38" t="str">
        <f>IFERROR(__xludf.DUMMYFUNCTION("REGEXREPLACE(C31139,""-\d+(.*)|--\d+(.*)"","""")"),"BARIZEY")</f>
        <v>BARIZEY</v>
      </c>
      <c r="E31139" s="38" t="s">
        <v>344</v>
      </c>
      <c r="F31139" s="38" t="s">
        <v>106</v>
      </c>
      <c r="G31139" s="49" t="str">
        <f t="shared" si="1"/>
        <v>71640</v>
      </c>
      <c r="H31139" s="49">
        <f t="shared" si="2"/>
        <v>71019</v>
      </c>
    </row>
    <row r="31140">
      <c r="A31140" s="48" t="s">
        <v>942</v>
      </c>
      <c r="B31140" s="38">
        <v>2770.0</v>
      </c>
      <c r="C31140" s="38" t="s">
        <v>35485</v>
      </c>
      <c r="D31140" s="38" t="str">
        <f>IFERROR(__xludf.DUMMYFUNCTION("REGEXREPLACE(C31140,""-\d+(.*)|--\d+(.*)"","""")"),"VAUXBUIN")</f>
        <v>VAUXBUIN</v>
      </c>
      <c r="E31140" s="38" t="s">
        <v>191</v>
      </c>
      <c r="F31140" s="38" t="s">
        <v>113</v>
      </c>
      <c r="G31140" s="49" t="str">
        <f t="shared" si="1"/>
        <v>02200</v>
      </c>
      <c r="H31140" s="49" t="str">
        <f t="shared" si="2"/>
        <v>02770</v>
      </c>
    </row>
    <row r="31141">
      <c r="A31141" s="48" t="s">
        <v>1514</v>
      </c>
      <c r="B31141" s="38">
        <v>70506.0</v>
      </c>
      <c r="C31141" s="38" t="s">
        <v>35486</v>
      </c>
      <c r="D31141" s="38" t="str">
        <f>IFERROR(__xludf.DUMMYFUNCTION("REGEXREPLACE(C31141,""-\d+(.*)|--\d+(.*)"","""")"),"TREMOINS")</f>
        <v>TREMOINS</v>
      </c>
      <c r="E31141" s="38" t="s">
        <v>956</v>
      </c>
      <c r="F31141" s="38" t="s">
        <v>214</v>
      </c>
      <c r="G31141" s="49" t="str">
        <f t="shared" si="1"/>
        <v>70400</v>
      </c>
      <c r="H31141" s="49">
        <f t="shared" si="2"/>
        <v>70506</v>
      </c>
    </row>
    <row r="31142">
      <c r="A31142" s="48" t="s">
        <v>5823</v>
      </c>
      <c r="B31142" s="38">
        <v>49226.0</v>
      </c>
      <c r="C31142" s="38" t="s">
        <v>35487</v>
      </c>
      <c r="D31142" s="38" t="str">
        <f>IFERROR(__xludf.DUMMYFUNCTION("REGEXREPLACE(C31142,""-\d+(.*)|--\d+(.*)"","""")"),"NOELLET")</f>
        <v>NOELLET</v>
      </c>
      <c r="E31142" s="38" t="s">
        <v>653</v>
      </c>
      <c r="F31142" s="38" t="s">
        <v>180</v>
      </c>
      <c r="G31142" s="49" t="str">
        <f t="shared" si="1"/>
        <v>49520</v>
      </c>
      <c r="H31142" s="49">
        <f t="shared" si="2"/>
        <v>49226</v>
      </c>
    </row>
    <row r="31143">
      <c r="A31143" s="48" t="s">
        <v>18308</v>
      </c>
      <c r="B31143" s="38">
        <v>78550.0</v>
      </c>
      <c r="C31143" s="38" t="s">
        <v>35488</v>
      </c>
      <c r="D31143" s="38" t="str">
        <f>IFERROR(__xludf.DUMMYFUNCTION("REGEXREPLACE(C31143,""-\d+(.*)|--\d+(.*)"","""")"),"SAINT-GERMAIN-DE-LA-GRANGE")</f>
        <v>SAINT-GERMAIN-DE-LA-GRANGE</v>
      </c>
      <c r="E31143" s="38" t="s">
        <v>362</v>
      </c>
      <c r="F31143" s="38" t="s">
        <v>245</v>
      </c>
      <c r="G31143" s="49" t="str">
        <f t="shared" si="1"/>
        <v>78640</v>
      </c>
      <c r="H31143" s="49">
        <f t="shared" si="2"/>
        <v>78550</v>
      </c>
    </row>
    <row r="31144">
      <c r="A31144" s="48" t="s">
        <v>4589</v>
      </c>
      <c r="B31144" s="38">
        <v>41016.0</v>
      </c>
      <c r="C31144" s="38" t="s">
        <v>27934</v>
      </c>
      <c r="D31144" s="38" t="str">
        <f>IFERROR(__xludf.DUMMYFUNCTION("REGEXREPLACE(C31144,""-\d+(.*)|--\d+(.*)"","""")"),"BILLY")</f>
        <v>BILLY</v>
      </c>
      <c r="E31144" s="38" t="s">
        <v>188</v>
      </c>
      <c r="F31144" s="38" t="s">
        <v>123</v>
      </c>
      <c r="G31144" s="49" t="str">
        <f t="shared" si="1"/>
        <v>41130</v>
      </c>
      <c r="H31144" s="49">
        <f t="shared" si="2"/>
        <v>41016</v>
      </c>
    </row>
    <row r="31145">
      <c r="A31145" s="48" t="s">
        <v>3266</v>
      </c>
      <c r="B31145" s="38">
        <v>55581.0</v>
      </c>
      <c r="C31145" s="38" t="s">
        <v>35489</v>
      </c>
      <c r="D31145" s="38" t="str">
        <f>IFERROR(__xludf.DUMMYFUNCTION("REGEXREPLACE(C31145,""-\d+(.*)|--\d+(.*)"","""")"),"WILLERONCOURT")</f>
        <v>WILLERONCOURT</v>
      </c>
      <c r="E31145" s="38" t="s">
        <v>322</v>
      </c>
      <c r="F31145" s="38" t="s">
        <v>195</v>
      </c>
      <c r="G31145" s="49" t="str">
        <f t="shared" si="1"/>
        <v>55500</v>
      </c>
      <c r="H31145" s="49">
        <f t="shared" si="2"/>
        <v>55581</v>
      </c>
    </row>
    <row r="31146">
      <c r="A31146" s="48" t="s">
        <v>8265</v>
      </c>
      <c r="B31146" s="38">
        <v>28425.0</v>
      </c>
      <c r="C31146" s="38" t="s">
        <v>35490</v>
      </c>
      <c r="D31146" s="38" t="str">
        <f>IFERROR(__xludf.DUMMYFUNCTION("REGEXREPLACE(C31146,""-\d+(.*)|--\d+(.*)"","""")"),"YMERAY")</f>
        <v>YMERAY</v>
      </c>
      <c r="E31146" s="38" t="s">
        <v>300</v>
      </c>
      <c r="F31146" s="38" t="s">
        <v>123</v>
      </c>
      <c r="G31146" s="49" t="str">
        <f t="shared" si="1"/>
        <v>28320</v>
      </c>
      <c r="H31146" s="49">
        <f t="shared" si="2"/>
        <v>28425</v>
      </c>
    </row>
    <row r="31147">
      <c r="A31147" s="48" t="s">
        <v>24310</v>
      </c>
      <c r="B31147" s="38">
        <v>72047.0</v>
      </c>
      <c r="C31147" s="38" t="s">
        <v>35491</v>
      </c>
      <c r="D31147" s="38" t="str">
        <f>IFERROR(__xludf.DUMMYFUNCTION("REGEXREPLACE(C31147,""-\d+(.*)|--\d+(.*)"","""")"),"BRETTE-LES-PINS")</f>
        <v>BRETTE-LES-PINS</v>
      </c>
      <c r="E31147" s="38" t="s">
        <v>521</v>
      </c>
      <c r="F31147" s="38" t="s">
        <v>180</v>
      </c>
      <c r="G31147" s="49" t="str">
        <f t="shared" si="1"/>
        <v>72250</v>
      </c>
      <c r="H31147" s="49">
        <f t="shared" si="2"/>
        <v>72047</v>
      </c>
    </row>
    <row r="31148">
      <c r="A31148" s="48" t="s">
        <v>507</v>
      </c>
      <c r="B31148" s="38">
        <v>8364.0</v>
      </c>
      <c r="C31148" s="38" t="s">
        <v>35492</v>
      </c>
      <c r="D31148" s="38" t="str">
        <f>IFERROR(__xludf.DUMMYFUNCTION("REGEXREPLACE(C31148,""-\d+(.*)|--\d+(.*)"","""")"),"RILLY-SUR-AISNE")</f>
        <v>RILLY-SUR-AISNE</v>
      </c>
      <c r="E31148" s="38" t="s">
        <v>327</v>
      </c>
      <c r="F31148" s="38" t="s">
        <v>130</v>
      </c>
      <c r="G31148" s="49" t="str">
        <f t="shared" si="1"/>
        <v>08130</v>
      </c>
      <c r="H31148" s="49" t="str">
        <f t="shared" si="2"/>
        <v>08364</v>
      </c>
    </row>
    <row r="31149">
      <c r="A31149" s="48" t="s">
        <v>14167</v>
      </c>
      <c r="B31149" s="38">
        <v>30289.0</v>
      </c>
      <c r="C31149" s="38" t="s">
        <v>35493</v>
      </c>
      <c r="D31149" s="38" t="str">
        <f>IFERROR(__xludf.DUMMYFUNCTION("REGEXREPLACE(C31149,""-\d+(.*)|--\d+(.*)"","""")"),"SAINT-NAZAIRE-DES-GARDIES")</f>
        <v>SAINT-NAZAIRE-DES-GARDIES</v>
      </c>
      <c r="E31149" s="38" t="s">
        <v>526</v>
      </c>
      <c r="F31149" s="38" t="s">
        <v>119</v>
      </c>
      <c r="G31149" s="49" t="str">
        <f t="shared" si="1"/>
        <v>30610</v>
      </c>
      <c r="H31149" s="49">
        <f t="shared" si="2"/>
        <v>30289</v>
      </c>
    </row>
    <row r="31150">
      <c r="A31150" s="48" t="s">
        <v>6060</v>
      </c>
      <c r="B31150" s="38">
        <v>37099.0</v>
      </c>
      <c r="C31150" s="38" t="s">
        <v>35494</v>
      </c>
      <c r="D31150" s="38" t="str">
        <f>IFERROR(__xludf.DUMMYFUNCTION("REGEXREPLACE(C31150,""-\d+(.*)|--\d+(.*)"","""")"),"DRUYE")</f>
        <v>DRUYE</v>
      </c>
      <c r="E31150" s="38" t="s">
        <v>205</v>
      </c>
      <c r="F31150" s="38" t="s">
        <v>123</v>
      </c>
      <c r="G31150" s="49" t="str">
        <f t="shared" si="1"/>
        <v>37190</v>
      </c>
      <c r="H31150" s="49">
        <f t="shared" si="2"/>
        <v>37099</v>
      </c>
    </row>
    <row r="31151">
      <c r="A31151" s="48" t="s">
        <v>16223</v>
      </c>
      <c r="B31151" s="38">
        <v>60492.0</v>
      </c>
      <c r="C31151" s="38" t="s">
        <v>35495</v>
      </c>
      <c r="D31151" s="38" t="str">
        <f>IFERROR(__xludf.DUMMYFUNCTION("REGEXREPLACE(C31151,""-\d+(.*)|--\d+(.*)"","""")"),"PIMPREZ")</f>
        <v>PIMPREZ</v>
      </c>
      <c r="E31151" s="38" t="s">
        <v>112</v>
      </c>
      <c r="F31151" s="38" t="s">
        <v>113</v>
      </c>
      <c r="G31151" s="49" t="str">
        <f t="shared" si="1"/>
        <v>60170</v>
      </c>
      <c r="H31151" s="49">
        <f t="shared" si="2"/>
        <v>60492</v>
      </c>
    </row>
    <row r="31152">
      <c r="A31152" s="48" t="s">
        <v>13682</v>
      </c>
      <c r="B31152" s="38">
        <v>43120.0</v>
      </c>
      <c r="C31152" s="38" t="s">
        <v>35496</v>
      </c>
      <c r="D31152" s="38" t="str">
        <f>IFERROR(__xludf.DUMMYFUNCTION("REGEXREPLACE(C31152,""-\d+(.*)|--\d+(.*)"","""")"),"LEMPDES-SUR-ALLAGNON")</f>
        <v>LEMPDES-SUR-ALLAGNON</v>
      </c>
      <c r="E31152" s="38" t="s">
        <v>332</v>
      </c>
      <c r="F31152" s="38" t="s">
        <v>161</v>
      </c>
      <c r="G31152" s="49" t="str">
        <f t="shared" si="1"/>
        <v>43410</v>
      </c>
      <c r="H31152" s="49">
        <f t="shared" si="2"/>
        <v>43120</v>
      </c>
    </row>
    <row r="31153">
      <c r="A31153" s="48" t="s">
        <v>2547</v>
      </c>
      <c r="B31153" s="38">
        <v>8052.0</v>
      </c>
      <c r="C31153" s="38" t="s">
        <v>35497</v>
      </c>
      <c r="D31153" s="38" t="str">
        <f>IFERROR(__xludf.DUMMYFUNCTION("REGEXREPLACE(C31153,""-\d+(.*)|--\d+(.*)"","""")"),"BAYONVILLE")</f>
        <v>BAYONVILLE</v>
      </c>
      <c r="E31153" s="38" t="s">
        <v>327</v>
      </c>
      <c r="F31153" s="38" t="s">
        <v>130</v>
      </c>
      <c r="G31153" s="49" t="str">
        <f t="shared" si="1"/>
        <v>08240</v>
      </c>
      <c r="H31153" s="49" t="str">
        <f t="shared" si="2"/>
        <v>08052</v>
      </c>
    </row>
    <row r="31154">
      <c r="A31154" s="48" t="s">
        <v>2903</v>
      </c>
      <c r="B31154" s="38">
        <v>85045.0</v>
      </c>
      <c r="C31154" s="38" t="s">
        <v>35498</v>
      </c>
      <c r="D31154" s="38" t="str">
        <f>IFERROR(__xludf.DUMMYFUNCTION("REGEXREPLACE(C31154,""-\d+(.*)|--\d+(.*)"","""")"),"LA CHAIZE-GIRAUD")</f>
        <v>LA CHAIZE-GIRAUD</v>
      </c>
      <c r="E31154" s="38" t="s">
        <v>179</v>
      </c>
      <c r="F31154" s="38" t="s">
        <v>180</v>
      </c>
      <c r="G31154" s="49" t="str">
        <f t="shared" si="1"/>
        <v>85220</v>
      </c>
      <c r="H31154" s="49">
        <f t="shared" si="2"/>
        <v>85045</v>
      </c>
    </row>
    <row r="31155">
      <c r="A31155" s="48" t="s">
        <v>8196</v>
      </c>
      <c r="B31155" s="38">
        <v>23186.0</v>
      </c>
      <c r="C31155" s="38" t="s">
        <v>6001</v>
      </c>
      <c r="D31155" s="38" t="str">
        <f>IFERROR(__xludf.DUMMYFUNCTION("REGEXREPLACE(C31155,""-\d+(.*)|--\d+(.*)"","""")"),"SAINT-CHRISTOPHE")</f>
        <v>SAINT-CHRISTOPHE</v>
      </c>
      <c r="E31155" s="38" t="s">
        <v>97</v>
      </c>
      <c r="F31155" s="38" t="s">
        <v>98</v>
      </c>
      <c r="G31155" s="49" t="str">
        <f t="shared" si="1"/>
        <v>23000</v>
      </c>
      <c r="H31155" s="49">
        <f t="shared" si="2"/>
        <v>23186</v>
      </c>
    </row>
    <row r="31156">
      <c r="A31156" s="48" t="s">
        <v>10768</v>
      </c>
      <c r="B31156" s="38">
        <v>44133.0</v>
      </c>
      <c r="C31156" s="38" t="s">
        <v>35499</v>
      </c>
      <c r="D31156" s="38" t="str">
        <f>IFERROR(__xludf.DUMMYFUNCTION("REGEXREPLACE(C31156,""-\d+(.*)|--\d+(.*)"","""")"),"PORT-SAINT-PERE")</f>
        <v>PORT-SAINT-PERE</v>
      </c>
      <c r="E31156" s="38" t="s">
        <v>759</v>
      </c>
      <c r="F31156" s="38" t="s">
        <v>180</v>
      </c>
      <c r="G31156" s="49" t="str">
        <f t="shared" si="1"/>
        <v>44710</v>
      </c>
      <c r="H31156" s="49">
        <f t="shared" si="2"/>
        <v>44133</v>
      </c>
    </row>
    <row r="31157">
      <c r="A31157" s="48" t="s">
        <v>3154</v>
      </c>
      <c r="B31157" s="38">
        <v>15143.0</v>
      </c>
      <c r="C31157" s="38" t="s">
        <v>35500</v>
      </c>
      <c r="D31157" s="38" t="str">
        <f>IFERROR(__xludf.DUMMYFUNCTION("REGEXREPLACE(C31157,""-\d+(.*)|--\d+(.*)"","""")"),"NIEUDAN")</f>
        <v>NIEUDAN</v>
      </c>
      <c r="E31157" s="38" t="s">
        <v>632</v>
      </c>
      <c r="F31157" s="38" t="s">
        <v>161</v>
      </c>
      <c r="G31157" s="49" t="str">
        <f t="shared" si="1"/>
        <v>15150</v>
      </c>
      <c r="H31157" s="49">
        <f t="shared" si="2"/>
        <v>15143</v>
      </c>
    </row>
    <row r="31158">
      <c r="A31158" s="48" t="s">
        <v>3838</v>
      </c>
      <c r="B31158" s="38">
        <v>27520.0</v>
      </c>
      <c r="C31158" s="38" t="s">
        <v>35501</v>
      </c>
      <c r="D31158" s="38" t="str">
        <f>IFERROR(__xludf.DUMMYFUNCTION("REGEXREPLACE(C31158,""-\d+(.*)|--\d+(.*)"","""")"),"SAINT-BENOIT-DES-OMBRES")</f>
        <v>SAINT-BENOIT-DES-OMBRES</v>
      </c>
      <c r="E31158" s="38" t="s">
        <v>241</v>
      </c>
      <c r="F31158" s="38" t="s">
        <v>134</v>
      </c>
      <c r="G31158" s="49" t="str">
        <f t="shared" si="1"/>
        <v>27450</v>
      </c>
      <c r="H31158" s="49">
        <f t="shared" si="2"/>
        <v>27520</v>
      </c>
    </row>
    <row r="31159">
      <c r="A31159" s="48" t="s">
        <v>17178</v>
      </c>
      <c r="B31159" s="38">
        <v>50452.0</v>
      </c>
      <c r="C31159" s="38" t="s">
        <v>35502</v>
      </c>
      <c r="D31159" s="38" t="str">
        <f>IFERROR(__xludf.DUMMYFUNCTION("REGEXREPLACE(C31159,""-\d+(.*)|--\d+(.*)"","""")"),"SAINT-BRICE-DE-LANDELLES")</f>
        <v>SAINT-BRICE-DE-LANDELLES</v>
      </c>
      <c r="E31159" s="38" t="s">
        <v>157</v>
      </c>
      <c r="F31159" s="38" t="s">
        <v>138</v>
      </c>
      <c r="G31159" s="49" t="str">
        <f t="shared" si="1"/>
        <v>50730</v>
      </c>
      <c r="H31159" s="49">
        <f t="shared" si="2"/>
        <v>50452</v>
      </c>
    </row>
    <row r="31160">
      <c r="A31160" s="48" t="s">
        <v>5166</v>
      </c>
      <c r="B31160" s="38">
        <v>26186.0</v>
      </c>
      <c r="C31160" s="38" t="s">
        <v>35503</v>
      </c>
      <c r="D31160" s="38" t="str">
        <f>IFERROR(__xludf.DUMMYFUNCTION("REGEXREPLACE(C31160,""-\d+(.*)|--\d+(.*)"","""")"),"MISCON")</f>
        <v>MISCON</v>
      </c>
      <c r="E31160" s="38" t="s">
        <v>126</v>
      </c>
      <c r="F31160" s="38" t="s">
        <v>102</v>
      </c>
      <c r="G31160" s="49" t="str">
        <f t="shared" si="1"/>
        <v>26310</v>
      </c>
      <c r="H31160" s="49">
        <f t="shared" si="2"/>
        <v>26186</v>
      </c>
    </row>
    <row r="31161">
      <c r="A31161" s="48" t="s">
        <v>1182</v>
      </c>
      <c r="B31161" s="38">
        <v>67128.0</v>
      </c>
      <c r="C31161" s="38" t="s">
        <v>35504</v>
      </c>
      <c r="D31161" s="38" t="str">
        <f>IFERROR(__xludf.DUMMYFUNCTION("REGEXREPLACE(C31161,""-\d+(.*)|--\d+(.*)"","""")"),"ERNOLSHEIM-BRUCHE")</f>
        <v>ERNOLSHEIM-BRUCHE</v>
      </c>
      <c r="E31161" s="38" t="s">
        <v>210</v>
      </c>
      <c r="F31161" s="38" t="s">
        <v>151</v>
      </c>
      <c r="G31161" s="49" t="str">
        <f t="shared" si="1"/>
        <v>67120</v>
      </c>
      <c r="H31161" s="49">
        <f t="shared" si="2"/>
        <v>67128</v>
      </c>
    </row>
    <row r="31162">
      <c r="A31162" s="48" t="s">
        <v>9967</v>
      </c>
      <c r="B31162" s="38">
        <v>35309.0</v>
      </c>
      <c r="C31162" s="38" t="s">
        <v>35505</v>
      </c>
      <c r="D31162" s="38" t="str">
        <f>IFERROR(__xludf.DUMMYFUNCTION("REGEXREPLACE(C31162,""-\d+(.*)|--\d+(.*)"","""")"),"SAINT-REMY-DU-PLAIN")</f>
        <v>SAINT-REMY-DU-PLAIN</v>
      </c>
      <c r="E31162" s="38" t="s">
        <v>347</v>
      </c>
      <c r="F31162" s="38" t="s">
        <v>90</v>
      </c>
      <c r="G31162" s="49" t="str">
        <f t="shared" si="1"/>
        <v>35560</v>
      </c>
      <c r="H31162" s="49">
        <f t="shared" si="2"/>
        <v>35309</v>
      </c>
    </row>
    <row r="31163">
      <c r="A31163" s="48" t="s">
        <v>5712</v>
      </c>
      <c r="B31163" s="38">
        <v>89289.0</v>
      </c>
      <c r="C31163" s="38" t="s">
        <v>35506</v>
      </c>
      <c r="D31163" s="38" t="str">
        <f>IFERROR(__xludf.DUMMYFUNCTION("REGEXREPLACE(C31163,""-\d+(.*)|--\d+(.*)"","""")"),"PAROY-SUR-THOLON")</f>
        <v>PAROY-SUR-THOLON</v>
      </c>
      <c r="E31163" s="38" t="s">
        <v>275</v>
      </c>
      <c r="F31163" s="38" t="s">
        <v>106</v>
      </c>
      <c r="G31163" s="49" t="str">
        <f t="shared" si="1"/>
        <v>89300</v>
      </c>
      <c r="H31163" s="49">
        <f t="shared" si="2"/>
        <v>89289</v>
      </c>
    </row>
    <row r="31164">
      <c r="A31164" s="48" t="s">
        <v>1104</v>
      </c>
      <c r="B31164" s="38">
        <v>52110.0</v>
      </c>
      <c r="C31164" s="38" t="s">
        <v>35507</v>
      </c>
      <c r="D31164" s="38" t="str">
        <f>IFERROR(__xludf.DUMMYFUNCTION("REGEXREPLACE(C31164,""-\d+(.*)|--\d+(.*)"","""")"),"CHARMES-LA-GRANDE")</f>
        <v>CHARMES-LA-GRANDE</v>
      </c>
      <c r="E31164" s="38" t="s">
        <v>234</v>
      </c>
      <c r="F31164" s="38" t="s">
        <v>130</v>
      </c>
      <c r="G31164" s="49" t="str">
        <f t="shared" si="1"/>
        <v>52110</v>
      </c>
      <c r="H31164" s="49">
        <f t="shared" si="2"/>
        <v>52110</v>
      </c>
    </row>
    <row r="31165">
      <c r="A31165" s="48" t="s">
        <v>6256</v>
      </c>
      <c r="B31165" s="38">
        <v>55341.0</v>
      </c>
      <c r="C31165" s="38" t="s">
        <v>35508</v>
      </c>
      <c r="D31165" s="38" t="str">
        <f>IFERROR(__xludf.DUMMYFUNCTION("REGEXREPLACE(C31165,""-\d+(.*)|--\d+(.*)"","""")"),"MOIREY-FLABAS-CREPION")</f>
        <v>MOIREY-FLABAS-CREPION</v>
      </c>
      <c r="E31165" s="38" t="s">
        <v>322</v>
      </c>
      <c r="F31165" s="38" t="s">
        <v>195</v>
      </c>
      <c r="G31165" s="49" t="str">
        <f t="shared" si="1"/>
        <v>55150</v>
      </c>
      <c r="H31165" s="49">
        <f t="shared" si="2"/>
        <v>55341</v>
      </c>
    </row>
    <row r="31166">
      <c r="A31166" s="48" t="s">
        <v>2582</v>
      </c>
      <c r="B31166" s="38">
        <v>14410.0</v>
      </c>
      <c r="C31166" s="38" t="s">
        <v>35509</v>
      </c>
      <c r="D31166" s="38" t="str">
        <f>IFERROR(__xludf.DUMMYFUNCTION("REGEXREPLACE(C31166,""-\d+(.*)|--\d+(.*)"","""")"),"MERY-CORBON")</f>
        <v>MERY-CORBON</v>
      </c>
      <c r="E31166" s="38" t="s">
        <v>137</v>
      </c>
      <c r="F31166" s="38" t="s">
        <v>138</v>
      </c>
      <c r="G31166" s="49" t="str">
        <f t="shared" si="1"/>
        <v>14370</v>
      </c>
      <c r="H31166" s="49">
        <f t="shared" si="2"/>
        <v>14410</v>
      </c>
    </row>
    <row r="31167">
      <c r="A31167" s="48" t="s">
        <v>28015</v>
      </c>
      <c r="B31167" s="38" t="s">
        <v>35510</v>
      </c>
      <c r="C31167" s="38" t="s">
        <v>35511</v>
      </c>
      <c r="D31167" s="38" t="str">
        <f>IFERROR(__xludf.DUMMYFUNCTION("REGEXREPLACE(C31167,""-\d+(.*)|--\d+(.*)"","""")"),"PASTRICCIOLA")</f>
        <v>PASTRICCIOLA</v>
      </c>
      <c r="E31167" s="38" t="s">
        <v>606</v>
      </c>
      <c r="F31167" s="38" t="s">
        <v>607</v>
      </c>
      <c r="G31167" s="49" t="str">
        <f t="shared" si="1"/>
        <v>20121</v>
      </c>
      <c r="H31167" s="49" t="str">
        <f t="shared" si="2"/>
        <v>2A204</v>
      </c>
    </row>
    <row r="31168">
      <c r="A31168" s="48" t="s">
        <v>2773</v>
      </c>
      <c r="B31168" s="38">
        <v>21545.0</v>
      </c>
      <c r="C31168" s="38" t="s">
        <v>35512</v>
      </c>
      <c r="D31168" s="38" t="str">
        <f>IFERROR(__xludf.DUMMYFUNCTION("REGEXREPLACE(C31168,""-\d+(.*)|--\d+(.*)"","""")"),"SAINTE-COLOMBE-SUR-SEINE")</f>
        <v>SAINTE-COLOMBE-SUR-SEINE</v>
      </c>
      <c r="E31168" s="38" t="s">
        <v>105</v>
      </c>
      <c r="F31168" s="38" t="s">
        <v>106</v>
      </c>
      <c r="G31168" s="49" t="str">
        <f t="shared" si="1"/>
        <v>21400</v>
      </c>
      <c r="H31168" s="49">
        <f t="shared" si="2"/>
        <v>21545</v>
      </c>
    </row>
    <row r="31169">
      <c r="A31169" s="48" t="s">
        <v>18681</v>
      </c>
      <c r="B31169" s="38">
        <v>69070.0</v>
      </c>
      <c r="C31169" s="38" t="s">
        <v>35513</v>
      </c>
      <c r="D31169" s="38" t="str">
        <f>IFERROR(__xludf.DUMMYFUNCTION("REGEXREPLACE(C31169,""-\d+(.*)|--\d+(.*)"","""")"),"CUBLIZE")</f>
        <v>CUBLIZE</v>
      </c>
      <c r="E31169" s="38" t="s">
        <v>350</v>
      </c>
      <c r="F31169" s="38" t="s">
        <v>102</v>
      </c>
      <c r="G31169" s="49" t="str">
        <f t="shared" si="1"/>
        <v>69550</v>
      </c>
      <c r="H31169" s="49">
        <f t="shared" si="2"/>
        <v>69070</v>
      </c>
    </row>
    <row r="31170">
      <c r="A31170" s="48" t="s">
        <v>4646</v>
      </c>
      <c r="B31170" s="38">
        <v>79225.0</v>
      </c>
      <c r="C31170" s="38" t="s">
        <v>35514</v>
      </c>
      <c r="D31170" s="38" t="str">
        <f>IFERROR(__xludf.DUMMYFUNCTION("REGEXREPLACE(C31170,""-\d+(.*)|--\d+(.*)"","""")"),"REFFANNES")</f>
        <v>REFFANNES</v>
      </c>
      <c r="E31170" s="38" t="s">
        <v>337</v>
      </c>
      <c r="F31170" s="38" t="s">
        <v>338</v>
      </c>
      <c r="G31170" s="49" t="str">
        <f t="shared" si="1"/>
        <v>79420</v>
      </c>
      <c r="H31170" s="49">
        <f t="shared" si="2"/>
        <v>79225</v>
      </c>
    </row>
    <row r="31171">
      <c r="A31171" s="48" t="s">
        <v>3693</v>
      </c>
      <c r="B31171" s="38">
        <v>24245.0</v>
      </c>
      <c r="C31171" s="38" t="s">
        <v>35515</v>
      </c>
      <c r="D31171" s="38" t="str">
        <f>IFERROR(__xludf.DUMMYFUNCTION("REGEXREPLACE(C31171,""-\d+(.*)|--\d+(.*)"","""")"),"LOUBEJAC")</f>
        <v>LOUBEJAC</v>
      </c>
      <c r="E31171" s="38" t="s">
        <v>261</v>
      </c>
      <c r="F31171" s="38" t="s">
        <v>252</v>
      </c>
      <c r="G31171" s="49" t="str">
        <f t="shared" si="1"/>
        <v>24550</v>
      </c>
      <c r="H31171" s="49">
        <f t="shared" si="2"/>
        <v>24245</v>
      </c>
    </row>
    <row r="31172">
      <c r="A31172" s="48" t="s">
        <v>7129</v>
      </c>
      <c r="B31172" s="38">
        <v>15144.0</v>
      </c>
      <c r="C31172" s="38" t="s">
        <v>35516</v>
      </c>
      <c r="D31172" s="38" t="str">
        <f>IFERROR(__xludf.DUMMYFUNCTION("REGEXREPLACE(C31172,""-\d+(.*)|--\d+(.*)"","""")"),"OMPS")</f>
        <v>OMPS</v>
      </c>
      <c r="E31172" s="38" t="s">
        <v>632</v>
      </c>
      <c r="F31172" s="38" t="s">
        <v>161</v>
      </c>
      <c r="G31172" s="49" t="str">
        <f t="shared" si="1"/>
        <v>15290</v>
      </c>
      <c r="H31172" s="49">
        <f t="shared" si="2"/>
        <v>15144</v>
      </c>
    </row>
    <row r="31173">
      <c r="A31173" s="48" t="s">
        <v>16158</v>
      </c>
      <c r="B31173" s="38">
        <v>54196.0</v>
      </c>
      <c r="C31173" s="38" t="s">
        <v>35517</v>
      </c>
      <c r="D31173" s="38" t="str">
        <f>IFERROR(__xludf.DUMMYFUNCTION("REGEXREPLACE(C31173,""-\d+(.*)|--\d+(.*)"","""")"),"FLAVIGNY-SUR-MOSELLE")</f>
        <v>FLAVIGNY-SUR-MOSELLE</v>
      </c>
      <c r="E31173" s="38" t="s">
        <v>548</v>
      </c>
      <c r="F31173" s="38" t="s">
        <v>195</v>
      </c>
      <c r="G31173" s="49" t="str">
        <f t="shared" si="1"/>
        <v>54630</v>
      </c>
      <c r="H31173" s="49">
        <f t="shared" si="2"/>
        <v>54196</v>
      </c>
    </row>
    <row r="31174">
      <c r="A31174" s="48" t="s">
        <v>5750</v>
      </c>
      <c r="B31174" s="38">
        <v>26042.0</v>
      </c>
      <c r="C31174" s="38" t="s">
        <v>35518</v>
      </c>
      <c r="D31174" s="38" t="str">
        <f>IFERROR(__xludf.DUMMYFUNCTION("REGEXREPLACE(C31174,""-\d+(.*)|--\d+(.*)"","""")"),"BEAUVALLON")</f>
        <v>BEAUVALLON</v>
      </c>
      <c r="E31174" s="38" t="s">
        <v>126</v>
      </c>
      <c r="F31174" s="38" t="s">
        <v>102</v>
      </c>
      <c r="G31174" s="49" t="str">
        <f t="shared" si="1"/>
        <v>26800</v>
      </c>
      <c r="H31174" s="49">
        <f t="shared" si="2"/>
        <v>26042</v>
      </c>
    </row>
    <row r="31175">
      <c r="A31175" s="48" t="s">
        <v>1688</v>
      </c>
      <c r="B31175" s="38">
        <v>76368.0</v>
      </c>
      <c r="C31175" s="38" t="s">
        <v>35519</v>
      </c>
      <c r="D31175" s="38" t="str">
        <f>IFERROR(__xludf.DUMMYFUNCTION("REGEXREPLACE(C31175,""-\d+(.*)|--\d+(.*)"","""")"),"HOUQUETOT")</f>
        <v>HOUQUETOT</v>
      </c>
      <c r="E31175" s="38" t="s">
        <v>133</v>
      </c>
      <c r="F31175" s="38" t="s">
        <v>134</v>
      </c>
      <c r="G31175" s="49" t="str">
        <f t="shared" si="1"/>
        <v>76110</v>
      </c>
      <c r="H31175" s="49">
        <f t="shared" si="2"/>
        <v>76368</v>
      </c>
    </row>
    <row r="31176">
      <c r="A31176" s="48" t="s">
        <v>232</v>
      </c>
      <c r="B31176" s="38">
        <v>52437.0</v>
      </c>
      <c r="C31176" s="38" t="s">
        <v>35520</v>
      </c>
      <c r="D31176" s="38" t="str">
        <f>IFERROR(__xludf.DUMMYFUNCTION("REGEXREPLACE(C31176,""-\d+(.*)|--\d+(.*)"","""")"),"ROUELLES")</f>
        <v>ROUELLES</v>
      </c>
      <c r="E31176" s="38" t="s">
        <v>234</v>
      </c>
      <c r="F31176" s="38" t="s">
        <v>130</v>
      </c>
      <c r="G31176" s="49" t="str">
        <f t="shared" si="1"/>
        <v>52160</v>
      </c>
      <c r="H31176" s="49">
        <f t="shared" si="2"/>
        <v>52437</v>
      </c>
    </row>
    <row r="31177">
      <c r="A31177" s="48" t="s">
        <v>10570</v>
      </c>
      <c r="B31177" s="38">
        <v>63129.0</v>
      </c>
      <c r="C31177" s="38" t="s">
        <v>7156</v>
      </c>
      <c r="D31177" s="38" t="str">
        <f>IFERROR(__xludf.DUMMYFUNCTION("REGEXREPLACE(C31177,""-\d+(.*)|--\d+(.*)"","""")"),"CROS")</f>
        <v>CROS</v>
      </c>
      <c r="E31177" s="38" t="s">
        <v>353</v>
      </c>
      <c r="F31177" s="38" t="s">
        <v>161</v>
      </c>
      <c r="G31177" s="49" t="str">
        <f t="shared" si="1"/>
        <v>63810</v>
      </c>
      <c r="H31177" s="49">
        <f t="shared" si="2"/>
        <v>63129</v>
      </c>
    </row>
    <row r="31178">
      <c r="A31178" s="48" t="s">
        <v>10383</v>
      </c>
      <c r="B31178" s="38">
        <v>38090.0</v>
      </c>
      <c r="C31178" s="38" t="s">
        <v>35521</v>
      </c>
      <c r="D31178" s="38" t="str">
        <f>IFERROR(__xludf.DUMMYFUNCTION("REGEXREPLACE(C31178,""-\d+(.*)|--\d+(.*)"","""")"),"CHATEAU-BERNARD")</f>
        <v>CHATEAU-BERNARD</v>
      </c>
      <c r="E31178" s="38" t="s">
        <v>101</v>
      </c>
      <c r="F31178" s="38" t="s">
        <v>102</v>
      </c>
      <c r="G31178" s="49" t="str">
        <f t="shared" si="1"/>
        <v>38650</v>
      </c>
      <c r="H31178" s="49">
        <f t="shared" si="2"/>
        <v>38090</v>
      </c>
    </row>
    <row r="31179">
      <c r="A31179" s="48" t="s">
        <v>6526</v>
      </c>
      <c r="B31179" s="38">
        <v>69119.0</v>
      </c>
      <c r="C31179" s="38" t="s">
        <v>35522</v>
      </c>
      <c r="D31179" s="38" t="str">
        <f>IFERROR(__xludf.DUMMYFUNCTION("REGEXREPLACE(C31179,""-\d+(.*)|--\d+(.*)"","""")"),"LONGES")</f>
        <v>LONGES</v>
      </c>
      <c r="E31179" s="38" t="s">
        <v>350</v>
      </c>
      <c r="F31179" s="38" t="s">
        <v>102</v>
      </c>
      <c r="G31179" s="49" t="str">
        <f t="shared" si="1"/>
        <v>69420</v>
      </c>
      <c r="H31179" s="49">
        <f t="shared" si="2"/>
        <v>69119</v>
      </c>
    </row>
    <row r="31180">
      <c r="A31180" s="48" t="s">
        <v>8365</v>
      </c>
      <c r="B31180" s="38">
        <v>39093.0</v>
      </c>
      <c r="C31180" s="38" t="s">
        <v>35523</v>
      </c>
      <c r="D31180" s="38" t="str">
        <f>IFERROR(__xludf.DUMMYFUNCTION("REGEXREPLACE(C31180,""-\d+(.*)|--\d+(.*)"","""")"),"CHAMBLAY")</f>
        <v>CHAMBLAY</v>
      </c>
      <c r="E31180" s="38" t="s">
        <v>400</v>
      </c>
      <c r="F31180" s="38" t="s">
        <v>214</v>
      </c>
      <c r="G31180" s="49" t="str">
        <f t="shared" si="1"/>
        <v>39380</v>
      </c>
      <c r="H31180" s="49">
        <f t="shared" si="2"/>
        <v>39093</v>
      </c>
    </row>
    <row r="31181">
      <c r="A31181" s="48" t="s">
        <v>2141</v>
      </c>
      <c r="B31181" s="38">
        <v>80604.0</v>
      </c>
      <c r="C31181" s="38" t="s">
        <v>35524</v>
      </c>
      <c r="D31181" s="38" t="str">
        <f>IFERROR(__xludf.DUMMYFUNCTION("REGEXREPLACE(C31181,""-\d+(.*)|--\d+(.*)"","""")"),"OFFIGNIES")</f>
        <v>OFFIGNIES</v>
      </c>
      <c r="E31181" s="38" t="s">
        <v>224</v>
      </c>
      <c r="F31181" s="38" t="s">
        <v>113</v>
      </c>
      <c r="G31181" s="49" t="str">
        <f t="shared" si="1"/>
        <v>80290</v>
      </c>
      <c r="H31181" s="49">
        <f t="shared" si="2"/>
        <v>80604</v>
      </c>
    </row>
    <row r="31182">
      <c r="A31182" s="48" t="s">
        <v>1036</v>
      </c>
      <c r="B31182" s="38">
        <v>57406.0</v>
      </c>
      <c r="C31182" s="38" t="s">
        <v>35525</v>
      </c>
      <c r="D31182" s="38" t="str">
        <f>IFERROR(__xludf.DUMMYFUNCTION("REGEXREPLACE(C31182,""-\d+(.*)|--\d+(.*)"","""")"),"LIOCOURT")</f>
        <v>LIOCOURT</v>
      </c>
      <c r="E31182" s="38" t="s">
        <v>303</v>
      </c>
      <c r="F31182" s="38" t="s">
        <v>195</v>
      </c>
      <c r="G31182" s="49" t="str">
        <f t="shared" si="1"/>
        <v>57590</v>
      </c>
      <c r="H31182" s="49">
        <f t="shared" si="2"/>
        <v>57406</v>
      </c>
    </row>
    <row r="31183">
      <c r="A31183" s="48" t="s">
        <v>1993</v>
      </c>
      <c r="B31183" s="38">
        <v>2039.0</v>
      </c>
      <c r="C31183" s="38" t="s">
        <v>35526</v>
      </c>
      <c r="D31183" s="38" t="str">
        <f>IFERROR(__xludf.DUMMYFUNCTION("REGEXREPLACE(C31183,""-\d+(.*)|--\d+(.*)"","""")"),"AUTREMENCOURT")</f>
        <v>AUTREMENCOURT</v>
      </c>
      <c r="E31183" s="38" t="s">
        <v>191</v>
      </c>
      <c r="F31183" s="38" t="s">
        <v>113</v>
      </c>
      <c r="G31183" s="49" t="str">
        <f t="shared" si="1"/>
        <v>02250</v>
      </c>
      <c r="H31183" s="49" t="str">
        <f t="shared" si="2"/>
        <v>02039</v>
      </c>
    </row>
    <row r="31184">
      <c r="A31184" s="48" t="s">
        <v>1155</v>
      </c>
      <c r="B31184" s="38">
        <v>67088.0</v>
      </c>
      <c r="C31184" s="38" t="s">
        <v>35527</v>
      </c>
      <c r="D31184" s="38" t="str">
        <f>IFERROR(__xludf.DUMMYFUNCTION("REGEXREPLACE(C31184,""-\d+(.*)|--\d+(.*)"","""")"),"DEHLINGEN")</f>
        <v>DEHLINGEN</v>
      </c>
      <c r="E31184" s="38" t="s">
        <v>210</v>
      </c>
      <c r="F31184" s="38" t="s">
        <v>151</v>
      </c>
      <c r="G31184" s="49" t="str">
        <f t="shared" si="1"/>
        <v>67430</v>
      </c>
      <c r="H31184" s="49">
        <f t="shared" si="2"/>
        <v>67088</v>
      </c>
    </row>
    <row r="31185">
      <c r="A31185" s="48" t="s">
        <v>16121</v>
      </c>
      <c r="B31185" s="38">
        <v>62894.0</v>
      </c>
      <c r="C31185" s="38" t="s">
        <v>35528</v>
      </c>
      <c r="D31185" s="38" t="str">
        <f>IFERROR(__xludf.DUMMYFUNCTION("REGEXREPLACE(C31185,""-\d+(.*)|--\d+(.*)"","""")"),"WIMILLE")</f>
        <v>WIMILLE</v>
      </c>
      <c r="E31185" s="38" t="s">
        <v>109</v>
      </c>
      <c r="F31185" s="38" t="s">
        <v>86</v>
      </c>
      <c r="G31185" s="49" t="str">
        <f t="shared" si="1"/>
        <v>62126</v>
      </c>
      <c r="H31185" s="49">
        <f t="shared" si="2"/>
        <v>62894</v>
      </c>
    </row>
    <row r="31186">
      <c r="A31186" s="48" t="s">
        <v>14867</v>
      </c>
      <c r="B31186" s="38">
        <v>49370.0</v>
      </c>
      <c r="C31186" s="38" t="s">
        <v>35529</v>
      </c>
      <c r="D31186" s="38" t="str">
        <f>IFERROR(__xludf.DUMMYFUNCTION("REGEXREPLACE(C31186,""-\d+(.*)|--\d+(.*)"","""")"),"VERRIE")</f>
        <v>VERRIE</v>
      </c>
      <c r="E31186" s="38" t="s">
        <v>653</v>
      </c>
      <c r="F31186" s="38" t="s">
        <v>180</v>
      </c>
      <c r="G31186" s="49" t="str">
        <f t="shared" si="1"/>
        <v>49400</v>
      </c>
      <c r="H31186" s="49">
        <f t="shared" si="2"/>
        <v>49370</v>
      </c>
    </row>
    <row r="31187">
      <c r="A31187" s="48" t="s">
        <v>5650</v>
      </c>
      <c r="B31187" s="38">
        <v>1152.0</v>
      </c>
      <c r="C31187" s="38" t="s">
        <v>35530</v>
      </c>
      <c r="D31187" s="38" t="str">
        <f>IFERROR(__xludf.DUMMYFUNCTION("REGEXREPLACE(C31187,""-\d+(.*)|--\d+(.*)"","""")"),"ECHALLON")</f>
        <v>ECHALLON</v>
      </c>
      <c r="E31187" s="38" t="s">
        <v>255</v>
      </c>
      <c r="F31187" s="38" t="s">
        <v>102</v>
      </c>
      <c r="G31187" s="49" t="str">
        <f t="shared" si="1"/>
        <v>01130</v>
      </c>
      <c r="H31187" s="49" t="str">
        <f t="shared" si="2"/>
        <v>01152</v>
      </c>
    </row>
    <row r="31188">
      <c r="A31188" s="48" t="s">
        <v>8019</v>
      </c>
      <c r="B31188" s="38">
        <v>53233.0</v>
      </c>
      <c r="C31188" s="38" t="s">
        <v>35531</v>
      </c>
      <c r="D31188" s="38" t="str">
        <f>IFERROR(__xludf.DUMMYFUNCTION("REGEXREPLACE(C31188,""-\d+(.*)|--\d+(.*)"","""")"),"SAINT-LOUP-DU-DORAT")</f>
        <v>SAINT-LOUP-DU-DORAT</v>
      </c>
      <c r="E31188" s="38" t="s">
        <v>518</v>
      </c>
      <c r="F31188" s="38" t="s">
        <v>180</v>
      </c>
      <c r="G31188" s="49" t="str">
        <f t="shared" si="1"/>
        <v>53290</v>
      </c>
      <c r="H31188" s="49">
        <f t="shared" si="2"/>
        <v>53233</v>
      </c>
    </row>
    <row r="31189">
      <c r="A31189" s="48" t="s">
        <v>3750</v>
      </c>
      <c r="B31189" s="38">
        <v>47170.0</v>
      </c>
      <c r="C31189" s="38" t="s">
        <v>35532</v>
      </c>
      <c r="D31189" s="38" t="str">
        <f>IFERROR(__xludf.DUMMYFUNCTION("REGEXREPLACE(C31189,""-\d+(.*)|--\d+(.*)"","""")"),"MONBAHUS")</f>
        <v>MONBAHUS</v>
      </c>
      <c r="E31189" s="38" t="s">
        <v>251</v>
      </c>
      <c r="F31189" s="38" t="s">
        <v>252</v>
      </c>
      <c r="G31189" s="49" t="str">
        <f t="shared" si="1"/>
        <v>47290</v>
      </c>
      <c r="H31189" s="49">
        <f t="shared" si="2"/>
        <v>47170</v>
      </c>
    </row>
    <row r="31190">
      <c r="A31190" s="48" t="s">
        <v>6572</v>
      </c>
      <c r="B31190" s="38">
        <v>31283.0</v>
      </c>
      <c r="C31190" s="38" t="s">
        <v>35533</v>
      </c>
      <c r="D31190" s="38" t="str">
        <f>IFERROR(__xludf.DUMMYFUNCTION("REGEXREPLACE(C31190,""-\d+(.*)|--\d+(.*)"","""")"),"LAUTIGNAC")</f>
        <v>LAUTIGNAC</v>
      </c>
      <c r="E31190" s="38" t="s">
        <v>93</v>
      </c>
      <c r="F31190" s="38" t="s">
        <v>94</v>
      </c>
      <c r="G31190" s="49" t="str">
        <f t="shared" si="1"/>
        <v>31370</v>
      </c>
      <c r="H31190" s="49">
        <f t="shared" si="2"/>
        <v>31283</v>
      </c>
    </row>
    <row r="31191">
      <c r="A31191" s="48" t="s">
        <v>4116</v>
      </c>
      <c r="B31191" s="38">
        <v>18193.0</v>
      </c>
      <c r="C31191" s="38" t="s">
        <v>35534</v>
      </c>
      <c r="D31191" s="38" t="str">
        <f>IFERROR(__xludf.DUMMYFUNCTION("REGEXREPLACE(C31191,""-\d+(.*)|--\d+(.*)"","""")"),"REZAY")</f>
        <v>REZAY</v>
      </c>
      <c r="E31191" s="38" t="s">
        <v>504</v>
      </c>
      <c r="F31191" s="38" t="s">
        <v>123</v>
      </c>
      <c r="G31191" s="49" t="str">
        <f t="shared" si="1"/>
        <v>18170</v>
      </c>
      <c r="H31191" s="49">
        <f t="shared" si="2"/>
        <v>18193</v>
      </c>
    </row>
    <row r="31192">
      <c r="A31192" s="48" t="s">
        <v>1137</v>
      </c>
      <c r="B31192" s="38">
        <v>60428.0</v>
      </c>
      <c r="C31192" s="38" t="s">
        <v>35535</v>
      </c>
      <c r="D31192" s="38" t="str">
        <f>IFERROR(__xludf.DUMMYFUNCTION("REGEXREPLACE(C31192,""-\d+(.*)|--\d+(.*)"","""")"),"LE MONT-SAINT-ADRIEN")</f>
        <v>LE MONT-SAINT-ADRIEN</v>
      </c>
      <c r="E31192" s="38" t="s">
        <v>112</v>
      </c>
      <c r="F31192" s="38" t="s">
        <v>113</v>
      </c>
      <c r="G31192" s="49" t="str">
        <f t="shared" si="1"/>
        <v>60650</v>
      </c>
      <c r="H31192" s="49">
        <f t="shared" si="2"/>
        <v>60428</v>
      </c>
    </row>
    <row r="31193">
      <c r="A31193" s="48" t="s">
        <v>3260</v>
      </c>
      <c r="B31193" s="38">
        <v>3299.0</v>
      </c>
      <c r="C31193" s="38" t="s">
        <v>35536</v>
      </c>
      <c r="D31193" s="38" t="str">
        <f>IFERROR(__xludf.DUMMYFUNCTION("REGEXREPLACE(C31193,""-\d+(.*)|--\d+(.*)"","""")"),"VARENNES-SUR-TECHE")</f>
        <v>VARENNES-SUR-TECHE</v>
      </c>
      <c r="E31193" s="38" t="s">
        <v>160</v>
      </c>
      <c r="F31193" s="38" t="s">
        <v>161</v>
      </c>
      <c r="G31193" s="49" t="str">
        <f t="shared" si="1"/>
        <v>03220</v>
      </c>
      <c r="H31193" s="49" t="str">
        <f t="shared" si="2"/>
        <v>03299</v>
      </c>
    </row>
    <row r="31194">
      <c r="A31194" s="48" t="s">
        <v>474</v>
      </c>
      <c r="B31194" s="38">
        <v>76715.0</v>
      </c>
      <c r="C31194" s="38" t="s">
        <v>35537</v>
      </c>
      <c r="D31194" s="38" t="str">
        <f>IFERROR(__xludf.DUMMYFUNCTION("REGEXREPLACE(C31194,""-\d+(.*)|--\d+(.*)"","""")"),"TROUVILLE")</f>
        <v>TROUVILLE</v>
      </c>
      <c r="E31194" s="38" t="s">
        <v>133</v>
      </c>
      <c r="F31194" s="38" t="s">
        <v>134</v>
      </c>
      <c r="G31194" s="49" t="str">
        <f t="shared" si="1"/>
        <v>76210</v>
      </c>
      <c r="H31194" s="49">
        <f t="shared" si="2"/>
        <v>76715</v>
      </c>
    </row>
    <row r="31195">
      <c r="A31195" s="48" t="s">
        <v>33673</v>
      </c>
      <c r="B31195" s="38">
        <v>64519.0</v>
      </c>
      <c r="C31195" s="38" t="s">
        <v>35538</v>
      </c>
      <c r="D31195" s="38" t="str">
        <f>IFERROR(__xludf.DUMMYFUNCTION("REGEXREPLACE(C31195,""-\d+(.*)|--\d+(.*)"","""")"),"SERRES-CASTET")</f>
        <v>SERRES-CASTET</v>
      </c>
      <c r="E31195" s="38" t="s">
        <v>268</v>
      </c>
      <c r="F31195" s="38" t="s">
        <v>252</v>
      </c>
      <c r="G31195" s="49" t="str">
        <f t="shared" si="1"/>
        <v>64121</v>
      </c>
      <c r="H31195" s="49">
        <f t="shared" si="2"/>
        <v>64519</v>
      </c>
    </row>
    <row r="31196">
      <c r="A31196" s="48" t="s">
        <v>11056</v>
      </c>
      <c r="B31196" s="38">
        <v>3087.0</v>
      </c>
      <c r="C31196" s="38" t="s">
        <v>35539</v>
      </c>
      <c r="D31196" s="38" t="str">
        <f>IFERROR(__xludf.DUMMYFUNCTION("REGEXREPLACE(C31196,""-\d+(.*)|--\d+(.*)"","""")"),"COULEUVRE")</f>
        <v>COULEUVRE</v>
      </c>
      <c r="E31196" s="38" t="s">
        <v>160</v>
      </c>
      <c r="F31196" s="38" t="s">
        <v>161</v>
      </c>
      <c r="G31196" s="49" t="str">
        <f t="shared" si="1"/>
        <v>03320</v>
      </c>
      <c r="H31196" s="49" t="str">
        <f t="shared" si="2"/>
        <v>03087</v>
      </c>
    </row>
    <row r="31197">
      <c r="A31197" s="48" t="s">
        <v>676</v>
      </c>
      <c r="B31197" s="38">
        <v>81238.0</v>
      </c>
      <c r="C31197" s="38" t="s">
        <v>35540</v>
      </c>
      <c r="D31197" s="38" t="str">
        <f>IFERROR(__xludf.DUMMYFUNCTION("REGEXREPLACE(C31197,""-\d+(.*)|--\d+(.*)"","""")"),"SAINT-AMANS-SOULT")</f>
        <v>SAINT-AMANS-SOULT</v>
      </c>
      <c r="E31197" s="38" t="s">
        <v>231</v>
      </c>
      <c r="F31197" s="38" t="s">
        <v>94</v>
      </c>
      <c r="G31197" s="49" t="str">
        <f t="shared" si="1"/>
        <v>81240</v>
      </c>
      <c r="H31197" s="49">
        <f t="shared" si="2"/>
        <v>81238</v>
      </c>
    </row>
    <row r="31198">
      <c r="A31198" s="48" t="s">
        <v>23069</v>
      </c>
      <c r="B31198" s="38">
        <v>19117.0</v>
      </c>
      <c r="C31198" s="38" t="s">
        <v>35541</v>
      </c>
      <c r="D31198" s="38" t="str">
        <f>IFERROR(__xludf.DUMMYFUNCTION("REGEXREPLACE(C31198,""-\d+(.*)|--\d+(.*)"","""")"),"LISSAC-SUR-COUZE")</f>
        <v>LISSAC-SUR-COUZE</v>
      </c>
      <c r="E31198" s="38" t="s">
        <v>271</v>
      </c>
      <c r="F31198" s="38" t="s">
        <v>98</v>
      </c>
      <c r="G31198" s="49" t="str">
        <f t="shared" si="1"/>
        <v>19600</v>
      </c>
      <c r="H31198" s="49">
        <f t="shared" si="2"/>
        <v>19117</v>
      </c>
    </row>
    <row r="31199">
      <c r="A31199" s="48" t="s">
        <v>232</v>
      </c>
      <c r="B31199" s="38">
        <v>52094.0</v>
      </c>
      <c r="C31199" s="38" t="s">
        <v>35542</v>
      </c>
      <c r="D31199" s="38" t="str">
        <f>IFERROR(__xludf.DUMMYFUNCTION("REGEXREPLACE(C31199,""-\d+(.*)|--\d+(.*)"","""")"),"VALS-DES-TILLES")</f>
        <v>VALS-DES-TILLES</v>
      </c>
      <c r="E31199" s="38" t="s">
        <v>234</v>
      </c>
      <c r="F31199" s="38" t="s">
        <v>130</v>
      </c>
      <c r="G31199" s="49" t="str">
        <f t="shared" si="1"/>
        <v>52160</v>
      </c>
      <c r="H31199" s="49">
        <f t="shared" si="2"/>
        <v>52094</v>
      </c>
    </row>
    <row r="31200">
      <c r="A31200" s="48" t="s">
        <v>809</v>
      </c>
      <c r="B31200" s="38">
        <v>33288.0</v>
      </c>
      <c r="C31200" s="38" t="s">
        <v>35543</v>
      </c>
      <c r="D31200" s="38" t="str">
        <f>IFERROR(__xludf.DUMMYFUNCTION("REGEXREPLACE(C31200,""-\d+(.*)|--\d+(.*)"","""")"),"MONPRIMBLANC")</f>
        <v>MONPRIMBLANC</v>
      </c>
      <c r="E31200" s="38" t="s">
        <v>462</v>
      </c>
      <c r="F31200" s="38" t="s">
        <v>252</v>
      </c>
      <c r="G31200" s="49" t="str">
        <f t="shared" si="1"/>
        <v>33410</v>
      </c>
      <c r="H31200" s="49">
        <f t="shared" si="2"/>
        <v>33288</v>
      </c>
    </row>
    <row r="31201">
      <c r="A31201" s="48" t="s">
        <v>1060</v>
      </c>
      <c r="B31201" s="38">
        <v>57095.0</v>
      </c>
      <c r="C31201" s="38" t="s">
        <v>35544</v>
      </c>
      <c r="D31201" s="38" t="str">
        <f>IFERROR(__xludf.DUMMYFUNCTION("REGEXREPLACE(C31201,""-\d+(.*)|--\d+(.*)"","""")"),"BOUCHEPORN")</f>
        <v>BOUCHEPORN</v>
      </c>
      <c r="E31201" s="38" t="s">
        <v>303</v>
      </c>
      <c r="F31201" s="38" t="s">
        <v>195</v>
      </c>
      <c r="G31201" s="49" t="str">
        <f t="shared" si="1"/>
        <v>57220</v>
      </c>
      <c r="H31201" s="49">
        <f t="shared" si="2"/>
        <v>57095</v>
      </c>
    </row>
    <row r="31202">
      <c r="A31202" s="48" t="s">
        <v>27222</v>
      </c>
      <c r="B31202" s="38">
        <v>27093.0</v>
      </c>
      <c r="C31202" s="38" t="s">
        <v>35545</v>
      </c>
      <c r="D31202" s="38" t="str">
        <f>IFERROR(__xludf.DUMMYFUNCTION("REGEXREPLACE(C31202,""-\d+(.*)|--\d+(.*)"","""")"),"BOSNORMAND")</f>
        <v>BOSNORMAND</v>
      </c>
      <c r="E31202" s="38" t="s">
        <v>241</v>
      </c>
      <c r="F31202" s="38" t="s">
        <v>134</v>
      </c>
      <c r="G31202" s="49" t="str">
        <f t="shared" si="1"/>
        <v>27670</v>
      </c>
      <c r="H31202" s="49">
        <f t="shared" si="2"/>
        <v>27093</v>
      </c>
    </row>
    <row r="31203">
      <c r="A31203" s="48" t="s">
        <v>10468</v>
      </c>
      <c r="B31203" s="38">
        <v>87144.0</v>
      </c>
      <c r="C31203" s="38" t="s">
        <v>35546</v>
      </c>
      <c r="D31203" s="38" t="str">
        <f>IFERROR(__xludf.DUMMYFUNCTION("REGEXREPLACE(C31203,""-\d+(.*)|--\d+(.*)"","""")"),"SAINT-GENEST-SUR-ROSELLE")</f>
        <v>SAINT-GENEST-SUR-ROSELLE</v>
      </c>
      <c r="E31203" s="38" t="s">
        <v>897</v>
      </c>
      <c r="F31203" s="38" t="s">
        <v>98</v>
      </c>
      <c r="G31203" s="49" t="str">
        <f t="shared" si="1"/>
        <v>87260</v>
      </c>
      <c r="H31203" s="49">
        <f t="shared" si="2"/>
        <v>87144</v>
      </c>
    </row>
    <row r="31204">
      <c r="A31204" s="48" t="s">
        <v>1018</v>
      </c>
      <c r="B31204" s="38">
        <v>60363.0</v>
      </c>
      <c r="C31204" s="38" t="s">
        <v>35547</v>
      </c>
      <c r="D31204" s="38" t="str">
        <f>IFERROR(__xludf.DUMMYFUNCTION("REGEXREPLACE(C31204,""-\d+(.*)|--\d+(.*)"","""")"),"LIERVILLE")</f>
        <v>LIERVILLE</v>
      </c>
      <c r="E31204" s="38" t="s">
        <v>112</v>
      </c>
      <c r="F31204" s="38" t="s">
        <v>113</v>
      </c>
      <c r="G31204" s="49" t="str">
        <f t="shared" si="1"/>
        <v>60240</v>
      </c>
      <c r="H31204" s="49">
        <f t="shared" si="2"/>
        <v>60363</v>
      </c>
    </row>
    <row r="31205">
      <c r="A31205" s="48" t="s">
        <v>2083</v>
      </c>
      <c r="B31205" s="38">
        <v>17388.0</v>
      </c>
      <c r="C31205" s="38" t="s">
        <v>35548</v>
      </c>
      <c r="D31205" s="38" t="str">
        <f>IFERROR(__xludf.DUMMYFUNCTION("REGEXREPLACE(C31205,""-\d+(.*)|--\d+(.*)"","""")"),"SAINT-QUANTIN-DE-RANCANNE")</f>
        <v>SAINT-QUANTIN-DE-RANCANNE</v>
      </c>
      <c r="E31205" s="38" t="s">
        <v>488</v>
      </c>
      <c r="F31205" s="38" t="s">
        <v>338</v>
      </c>
      <c r="G31205" s="49" t="str">
        <f t="shared" si="1"/>
        <v>17800</v>
      </c>
      <c r="H31205" s="49">
        <f t="shared" si="2"/>
        <v>17388</v>
      </c>
    </row>
    <row r="31206">
      <c r="A31206" s="48" t="s">
        <v>1393</v>
      </c>
      <c r="B31206" s="38">
        <v>25469.0</v>
      </c>
      <c r="C31206" s="38" t="s">
        <v>35549</v>
      </c>
      <c r="D31206" s="38" t="str">
        <f>IFERROR(__xludf.DUMMYFUNCTION("REGEXREPLACE(C31206,""-\d+(.*)|--\d+(.*)"","""")"),"PRESENTEVILLERS")</f>
        <v>PRESENTEVILLERS</v>
      </c>
      <c r="E31206" s="38" t="s">
        <v>213</v>
      </c>
      <c r="F31206" s="38" t="s">
        <v>214</v>
      </c>
      <c r="G31206" s="49" t="str">
        <f t="shared" si="1"/>
        <v>25550</v>
      </c>
      <c r="H31206" s="49">
        <f t="shared" si="2"/>
        <v>25469</v>
      </c>
    </row>
    <row r="31207">
      <c r="A31207" s="48" t="s">
        <v>9975</v>
      </c>
      <c r="B31207" s="38">
        <v>41271.0</v>
      </c>
      <c r="C31207" s="38" t="s">
        <v>35550</v>
      </c>
      <c r="D31207" s="38" t="str">
        <f>IFERROR(__xludf.DUMMYFUNCTION("REGEXREPLACE(C31207,""-\d+(.*)|--\d+(.*)"","""")"),"VERNOU-EN-SOLOGNE")</f>
        <v>VERNOU-EN-SOLOGNE</v>
      </c>
      <c r="E31207" s="38" t="s">
        <v>188</v>
      </c>
      <c r="F31207" s="38" t="s">
        <v>123</v>
      </c>
      <c r="G31207" s="49" t="str">
        <f t="shared" si="1"/>
        <v>41230</v>
      </c>
      <c r="H31207" s="49">
        <f t="shared" si="2"/>
        <v>41271</v>
      </c>
    </row>
    <row r="31208">
      <c r="A31208" s="48" t="s">
        <v>6633</v>
      </c>
      <c r="B31208" s="38">
        <v>64177.0</v>
      </c>
      <c r="C31208" s="38" t="s">
        <v>35551</v>
      </c>
      <c r="D31208" s="38" t="str">
        <f>IFERROR(__xludf.DUMMYFUNCTION("REGEXREPLACE(C31208,""-\d+(.*)|--\d+(.*)"","""")"),"CASTETIS")</f>
        <v>CASTETIS</v>
      </c>
      <c r="E31208" s="38" t="s">
        <v>268</v>
      </c>
      <c r="F31208" s="38" t="s">
        <v>252</v>
      </c>
      <c r="G31208" s="49" t="str">
        <f t="shared" si="1"/>
        <v>64300</v>
      </c>
      <c r="H31208" s="49">
        <f t="shared" si="2"/>
        <v>64177</v>
      </c>
    </row>
    <row r="31209">
      <c r="A31209" s="48" t="s">
        <v>2922</v>
      </c>
      <c r="B31209" s="38">
        <v>5119.0</v>
      </c>
      <c r="C31209" s="38" t="s">
        <v>35552</v>
      </c>
      <c r="D31209" s="38" t="str">
        <f>IFERROR(__xludf.DUMMYFUNCTION("REGEXREPLACE(C31209,""-\d+(.*)|--\d+(.*)"","""")"),"RISOUL")</f>
        <v>RISOUL</v>
      </c>
      <c r="E31209" s="38" t="s">
        <v>706</v>
      </c>
      <c r="F31209" s="38" t="s">
        <v>228</v>
      </c>
      <c r="G31209" s="49" t="str">
        <f t="shared" si="1"/>
        <v>05600</v>
      </c>
      <c r="H31209" s="49" t="str">
        <f t="shared" si="2"/>
        <v>05119</v>
      </c>
    </row>
    <row r="31210">
      <c r="A31210" s="48" t="s">
        <v>1959</v>
      </c>
      <c r="B31210" s="38">
        <v>82073.0</v>
      </c>
      <c r="C31210" s="38" t="s">
        <v>35553</v>
      </c>
      <c r="D31210" s="38" t="str">
        <f>IFERROR(__xludf.DUMMYFUNCTION("REGEXREPLACE(C31210,""-\d+(.*)|--\d+(.*)"","""")"),"GOUDOURVILLE")</f>
        <v>GOUDOURVILLE</v>
      </c>
      <c r="E31210" s="38" t="s">
        <v>570</v>
      </c>
      <c r="F31210" s="38" t="s">
        <v>94</v>
      </c>
      <c r="G31210" s="49" t="str">
        <f t="shared" si="1"/>
        <v>82400</v>
      </c>
      <c r="H31210" s="49">
        <f t="shared" si="2"/>
        <v>82073</v>
      </c>
    </row>
    <row r="31211">
      <c r="A31211" s="48" t="s">
        <v>10463</v>
      </c>
      <c r="B31211" s="38">
        <v>50389.0</v>
      </c>
      <c r="C31211" s="38" t="s">
        <v>35554</v>
      </c>
      <c r="D31211" s="38" t="str">
        <f>IFERROR(__xludf.DUMMYFUNCTION("REGEXREPLACE(C31211,""-\d+(.*)|--\d+(.*)"","""")"),"OUVILLE")</f>
        <v>OUVILLE</v>
      </c>
      <c r="E31211" s="38" t="s">
        <v>157</v>
      </c>
      <c r="F31211" s="38" t="s">
        <v>138</v>
      </c>
      <c r="G31211" s="49" t="str">
        <f t="shared" si="1"/>
        <v>50210</v>
      </c>
      <c r="H31211" s="49">
        <f t="shared" si="2"/>
        <v>50389</v>
      </c>
    </row>
    <row r="31212">
      <c r="A31212" s="48" t="s">
        <v>5753</v>
      </c>
      <c r="B31212" s="38">
        <v>72189.0</v>
      </c>
      <c r="C31212" s="38" t="s">
        <v>35555</v>
      </c>
      <c r="D31212" s="38" t="str">
        <f>IFERROR(__xludf.DUMMYFUNCTION("REGEXREPLACE(C31212,""-\d+(.*)|--\d+(.*)"","""")"),"MAROLLES-LES-BRAULTS")</f>
        <v>MAROLLES-LES-BRAULTS</v>
      </c>
      <c r="E31212" s="38" t="s">
        <v>521</v>
      </c>
      <c r="F31212" s="38" t="s">
        <v>180</v>
      </c>
      <c r="G31212" s="49" t="str">
        <f t="shared" si="1"/>
        <v>72260</v>
      </c>
      <c r="H31212" s="49">
        <f t="shared" si="2"/>
        <v>72189</v>
      </c>
    </row>
    <row r="31213">
      <c r="A31213" s="48" t="s">
        <v>35556</v>
      </c>
      <c r="B31213" s="38">
        <v>81271.0</v>
      </c>
      <c r="C31213" s="38" t="s">
        <v>1346</v>
      </c>
      <c r="D31213" s="38" t="str">
        <f>IFERROR(__xludf.DUMMYFUNCTION("REGEXREPLACE(C31213,""-\d+(.*)|--\d+(.*)"","""")"),"SAINT-SULPICE")</f>
        <v>SAINT-SULPICE</v>
      </c>
      <c r="E31213" s="38" t="s">
        <v>231</v>
      </c>
      <c r="F31213" s="38" t="s">
        <v>94</v>
      </c>
      <c r="G31213" s="49" t="str">
        <f t="shared" si="1"/>
        <v>81370</v>
      </c>
      <c r="H31213" s="49">
        <f t="shared" si="2"/>
        <v>81271</v>
      </c>
    </row>
    <row r="31214">
      <c r="A31214" s="48" t="s">
        <v>9405</v>
      </c>
      <c r="B31214" s="38">
        <v>15186.0</v>
      </c>
      <c r="C31214" s="38" t="s">
        <v>20493</v>
      </c>
      <c r="D31214" s="38" t="str">
        <f>IFERROR(__xludf.DUMMYFUNCTION("REGEXREPLACE(C31214,""-\d+(.*)|--\d+(.*)"","""")"),"SAINTE-EULALIE")</f>
        <v>SAINTE-EULALIE</v>
      </c>
      <c r="E31214" s="38" t="s">
        <v>632</v>
      </c>
      <c r="F31214" s="38" t="s">
        <v>161</v>
      </c>
      <c r="G31214" s="49" t="str">
        <f t="shared" si="1"/>
        <v>15140</v>
      </c>
      <c r="H31214" s="49">
        <f t="shared" si="2"/>
        <v>15186</v>
      </c>
    </row>
    <row r="31215">
      <c r="A31215" s="48" t="s">
        <v>5223</v>
      </c>
      <c r="B31215" s="38">
        <v>65452.0</v>
      </c>
      <c r="C31215" s="38" t="s">
        <v>35557</v>
      </c>
      <c r="D31215" s="38" t="str">
        <f>IFERROR(__xludf.DUMMYFUNCTION("REGEXREPLACE(C31215,""-\d+(.*)|--\d+(.*)"","""")"),"TRIE-SUR-BAISE")</f>
        <v>TRIE-SUR-BAISE</v>
      </c>
      <c r="E31215" s="38" t="s">
        <v>200</v>
      </c>
      <c r="F31215" s="38" t="s">
        <v>94</v>
      </c>
      <c r="G31215" s="49" t="str">
        <f t="shared" si="1"/>
        <v>65220</v>
      </c>
      <c r="H31215" s="49">
        <f t="shared" si="2"/>
        <v>65452</v>
      </c>
    </row>
    <row r="31216">
      <c r="A31216" s="48" t="s">
        <v>12807</v>
      </c>
      <c r="B31216" s="38">
        <v>42075.0</v>
      </c>
      <c r="C31216" s="38" t="s">
        <v>35558</v>
      </c>
      <c r="D31216" s="38" t="str">
        <f>IFERROR(__xludf.DUMMYFUNCTION("REGEXREPLACE(C31216,""-\d+(.*)|--\d+(.*)"","""")"),"CRAINTILLEUX")</f>
        <v>CRAINTILLEUX</v>
      </c>
      <c r="E31216" s="38" t="s">
        <v>166</v>
      </c>
      <c r="F31216" s="38" t="s">
        <v>102</v>
      </c>
      <c r="G31216" s="49" t="str">
        <f t="shared" si="1"/>
        <v>42210</v>
      </c>
      <c r="H31216" s="49">
        <f t="shared" si="2"/>
        <v>42075</v>
      </c>
    </row>
    <row r="31217">
      <c r="A31217" s="48" t="s">
        <v>1726</v>
      </c>
      <c r="B31217" s="38">
        <v>14517.0</v>
      </c>
      <c r="C31217" s="38" t="s">
        <v>35559</v>
      </c>
      <c r="D31217" s="38" t="str">
        <f>IFERROR(__xludf.DUMMYFUNCTION("REGEXREPLACE(C31217,""-\d+(.*)|--\d+(.*)"","""")"),"POUSSY-LA-CAMPAGNE")</f>
        <v>POUSSY-LA-CAMPAGNE</v>
      </c>
      <c r="E31217" s="38" t="s">
        <v>137</v>
      </c>
      <c r="F31217" s="38" t="s">
        <v>138</v>
      </c>
      <c r="G31217" s="49" t="str">
        <f t="shared" si="1"/>
        <v>14540</v>
      </c>
      <c r="H31217" s="49">
        <f t="shared" si="2"/>
        <v>14517</v>
      </c>
    </row>
    <row r="31218">
      <c r="A31218" s="48" t="s">
        <v>35560</v>
      </c>
      <c r="B31218" s="38">
        <v>25526.0</v>
      </c>
      <c r="C31218" s="38" t="s">
        <v>6659</v>
      </c>
      <c r="D31218" s="38" t="str">
        <f>IFERROR(__xludf.DUMMYFUNCTION("REGEXREPLACE(C31218,""-\d+(.*)|--\d+(.*)"","""")"),"SAINTE-SUZANNE")</f>
        <v>SAINTE-SUZANNE</v>
      </c>
      <c r="E31218" s="38" t="s">
        <v>213</v>
      </c>
      <c r="F31218" s="38" t="s">
        <v>214</v>
      </c>
      <c r="G31218" s="49" t="str">
        <f t="shared" si="1"/>
        <v>25630</v>
      </c>
      <c r="H31218" s="49">
        <f t="shared" si="2"/>
        <v>25526</v>
      </c>
    </row>
    <row r="31219">
      <c r="A31219" s="48" t="s">
        <v>2794</v>
      </c>
      <c r="B31219" s="38">
        <v>39050.0</v>
      </c>
      <c r="C31219" s="38" t="s">
        <v>35561</v>
      </c>
      <c r="D31219" s="38" t="str">
        <f>IFERROR(__xludf.DUMMYFUNCTION("REGEXREPLACE(C31219,""-\d+(.*)|--\d+(.*)"","""")"),"BESAIN")</f>
        <v>BESAIN</v>
      </c>
      <c r="E31219" s="38" t="s">
        <v>400</v>
      </c>
      <c r="F31219" s="38" t="s">
        <v>214</v>
      </c>
      <c r="G31219" s="49" t="str">
        <f t="shared" si="1"/>
        <v>39800</v>
      </c>
      <c r="H31219" s="49">
        <f t="shared" si="2"/>
        <v>39050</v>
      </c>
    </row>
    <row r="31220">
      <c r="A31220" s="48" t="s">
        <v>2886</v>
      </c>
      <c r="B31220" s="38">
        <v>89369.0</v>
      </c>
      <c r="C31220" s="38" t="s">
        <v>35562</v>
      </c>
      <c r="D31220" s="38" t="str">
        <f>IFERROR(__xludf.DUMMYFUNCTION("REGEXREPLACE(C31220,""-\d+(.*)|--\d+(.*)"","""")"),"SAINT-SEROTIN")</f>
        <v>SAINT-SEROTIN</v>
      </c>
      <c r="E31220" s="38" t="s">
        <v>275</v>
      </c>
      <c r="F31220" s="38" t="s">
        <v>106</v>
      </c>
      <c r="G31220" s="49" t="str">
        <f t="shared" si="1"/>
        <v>89140</v>
      </c>
      <c r="H31220" s="49">
        <f t="shared" si="2"/>
        <v>89369</v>
      </c>
    </row>
    <row r="31221">
      <c r="A31221" s="48" t="s">
        <v>11884</v>
      </c>
      <c r="B31221" s="38">
        <v>37157.0</v>
      </c>
      <c r="C31221" s="38" t="s">
        <v>35563</v>
      </c>
      <c r="D31221" s="38" t="str">
        <f>IFERROR(__xludf.DUMMYFUNCTION("REGEXREPLACE(C31221,""-\d+(.*)|--\d+(.*)"","""")"),"MONTRESOR")</f>
        <v>MONTRESOR</v>
      </c>
      <c r="E31221" s="38" t="s">
        <v>205</v>
      </c>
      <c r="F31221" s="38" t="s">
        <v>123</v>
      </c>
      <c r="G31221" s="49" t="str">
        <f t="shared" si="1"/>
        <v>37460</v>
      </c>
      <c r="H31221" s="49">
        <f t="shared" si="2"/>
        <v>37157</v>
      </c>
    </row>
    <row r="31222">
      <c r="A31222" s="48" t="s">
        <v>2666</v>
      </c>
      <c r="B31222" s="38">
        <v>34066.0</v>
      </c>
      <c r="C31222" s="38" t="s">
        <v>35564</v>
      </c>
      <c r="D31222" s="38" t="str">
        <f>IFERROR(__xludf.DUMMYFUNCTION("REGEXREPLACE(C31222,""-\d+(.*)|--\d+(.*)"","""")"),"CAZEVIEILLE")</f>
        <v>CAZEVIEILLE</v>
      </c>
      <c r="E31222" s="38" t="s">
        <v>118</v>
      </c>
      <c r="F31222" s="38" t="s">
        <v>119</v>
      </c>
      <c r="G31222" s="49" t="str">
        <f t="shared" si="1"/>
        <v>34270</v>
      </c>
      <c r="H31222" s="49">
        <f t="shared" si="2"/>
        <v>34066</v>
      </c>
    </row>
    <row r="31223">
      <c r="A31223" s="48" t="s">
        <v>9905</v>
      </c>
      <c r="B31223" s="38">
        <v>65109.0</v>
      </c>
      <c r="C31223" s="38" t="s">
        <v>35565</v>
      </c>
      <c r="D31223" s="38" t="str">
        <f>IFERROR(__xludf.DUMMYFUNCTION("REGEXREPLACE(C31223,""-\d+(.*)|--\d+(.*)"","""")"),"BRAMEVAQUE")</f>
        <v>BRAMEVAQUE</v>
      </c>
      <c r="E31223" s="38" t="s">
        <v>200</v>
      </c>
      <c r="F31223" s="38" t="s">
        <v>94</v>
      </c>
      <c r="G31223" s="49" t="str">
        <f t="shared" si="1"/>
        <v>65370</v>
      </c>
      <c r="H31223" s="49">
        <f t="shared" si="2"/>
        <v>65109</v>
      </c>
    </row>
    <row r="31224">
      <c r="A31224" s="48" t="s">
        <v>16765</v>
      </c>
      <c r="B31224" s="38">
        <v>76346.0</v>
      </c>
      <c r="C31224" s="38" t="s">
        <v>35566</v>
      </c>
      <c r="D31224" s="38" t="str">
        <f>IFERROR(__xludf.DUMMYFUNCTION("REGEXREPLACE(C31224,""-\d+(.*)|--\d+(.*)"","""")"),"HAUTOT-L'AUVRAY")</f>
        <v>HAUTOT-L'AUVRAY</v>
      </c>
      <c r="E31224" s="38" t="s">
        <v>133</v>
      </c>
      <c r="F31224" s="38" t="s">
        <v>134</v>
      </c>
      <c r="G31224" s="49" t="str">
        <f t="shared" si="1"/>
        <v>76450</v>
      </c>
      <c r="H31224" s="49">
        <f t="shared" si="2"/>
        <v>76346</v>
      </c>
    </row>
    <row r="31225">
      <c r="A31225" s="48" t="s">
        <v>983</v>
      </c>
      <c r="B31225" s="38">
        <v>52012.0</v>
      </c>
      <c r="C31225" s="38" t="s">
        <v>35567</v>
      </c>
      <c r="D31225" s="38" t="str">
        <f>IFERROR(__xludf.DUMMYFUNCTION("REGEXREPLACE(C31225,""-\d+(.*)|--\d+(.*)"","""")"),"ANNONVILLE")</f>
        <v>ANNONVILLE</v>
      </c>
      <c r="E31225" s="38" t="s">
        <v>234</v>
      </c>
      <c r="F31225" s="38" t="s">
        <v>130</v>
      </c>
      <c r="G31225" s="49" t="str">
        <f t="shared" si="1"/>
        <v>52230</v>
      </c>
      <c r="H31225" s="49">
        <f t="shared" si="2"/>
        <v>52012</v>
      </c>
    </row>
    <row r="31226">
      <c r="A31226" s="48" t="s">
        <v>5933</v>
      </c>
      <c r="B31226" s="38">
        <v>64085.0</v>
      </c>
      <c r="C31226" s="38" t="s">
        <v>35568</v>
      </c>
      <c r="D31226" s="38" t="str">
        <f>IFERROR(__xludf.DUMMYFUNCTION("REGEXREPLACE(C31226,""-\d+(.*)|--\d+(.*)"","""")"),"AYDIUS")</f>
        <v>AYDIUS</v>
      </c>
      <c r="E31226" s="38" t="s">
        <v>268</v>
      </c>
      <c r="F31226" s="38" t="s">
        <v>252</v>
      </c>
      <c r="G31226" s="49" t="str">
        <f t="shared" si="1"/>
        <v>64490</v>
      </c>
      <c r="H31226" s="49">
        <f t="shared" si="2"/>
        <v>64085</v>
      </c>
    </row>
    <row r="31227">
      <c r="A31227" s="48" t="s">
        <v>9981</v>
      </c>
      <c r="B31227" s="38">
        <v>59379.0</v>
      </c>
      <c r="C31227" s="38" t="s">
        <v>35569</v>
      </c>
      <c r="D31227" s="38" t="str">
        <f>IFERROR(__xludf.DUMMYFUNCTION("REGEXREPLACE(C31227,""-\d+(.*)|--\d+(.*)"","""")"),"MARCQ-EN-OSTREVENT")</f>
        <v>MARCQ-EN-OSTREVENT</v>
      </c>
      <c r="E31227" s="38" t="s">
        <v>85</v>
      </c>
      <c r="F31227" s="38" t="s">
        <v>86</v>
      </c>
      <c r="G31227" s="49" t="str">
        <f t="shared" si="1"/>
        <v>59252</v>
      </c>
      <c r="H31227" s="49">
        <f t="shared" si="2"/>
        <v>59379</v>
      </c>
    </row>
    <row r="31228">
      <c r="A31228" s="48" t="s">
        <v>1781</v>
      </c>
      <c r="B31228" s="38">
        <v>27523.0</v>
      </c>
      <c r="C31228" s="38" t="s">
        <v>35570</v>
      </c>
      <c r="D31228" s="38" t="str">
        <f>IFERROR(__xludf.DUMMYFUNCTION("REGEXREPLACE(C31228,""-\d+(.*)|--\d+(.*)"","""")"),"SAINT-CLAIR-D'ARCEY")</f>
        <v>SAINT-CLAIR-D'ARCEY</v>
      </c>
      <c r="E31228" s="38" t="s">
        <v>241</v>
      </c>
      <c r="F31228" s="38" t="s">
        <v>134</v>
      </c>
      <c r="G31228" s="49" t="str">
        <f t="shared" si="1"/>
        <v>27300</v>
      </c>
      <c r="H31228" s="49">
        <f t="shared" si="2"/>
        <v>27523</v>
      </c>
    </row>
    <row r="31229">
      <c r="A31229" s="48" t="s">
        <v>1534</v>
      </c>
      <c r="B31229" s="38">
        <v>19232.0</v>
      </c>
      <c r="C31229" s="38" t="s">
        <v>28109</v>
      </c>
      <c r="D31229" s="38" t="str">
        <f>IFERROR(__xludf.DUMMYFUNCTION("REGEXREPLACE(C31229,""-\d+(.*)|--\d+(.*)"","""")"),"SAINT-PARDOUX-LE-NEUF")</f>
        <v>SAINT-PARDOUX-LE-NEUF</v>
      </c>
      <c r="E31229" s="38" t="s">
        <v>271</v>
      </c>
      <c r="F31229" s="38" t="s">
        <v>98</v>
      </c>
      <c r="G31229" s="49" t="str">
        <f t="shared" si="1"/>
        <v>19200</v>
      </c>
      <c r="H31229" s="49">
        <f t="shared" si="2"/>
        <v>19232</v>
      </c>
    </row>
    <row r="31230">
      <c r="A31230" s="48" t="s">
        <v>9569</v>
      </c>
      <c r="B31230" s="38">
        <v>62895.0</v>
      </c>
      <c r="C31230" s="38" t="s">
        <v>35571</v>
      </c>
      <c r="D31230" s="38" t="str">
        <f>IFERROR(__xludf.DUMMYFUNCTION("REGEXREPLACE(C31230,""-\d+(.*)|--\d+(.*)"","""")"),"WINGLES")</f>
        <v>WINGLES</v>
      </c>
      <c r="E31230" s="38" t="s">
        <v>109</v>
      </c>
      <c r="F31230" s="38" t="s">
        <v>86</v>
      </c>
      <c r="G31230" s="49" t="str">
        <f t="shared" si="1"/>
        <v>62410</v>
      </c>
      <c r="H31230" s="49">
        <f t="shared" si="2"/>
        <v>62895</v>
      </c>
    </row>
    <row r="31231">
      <c r="A31231" s="48" t="s">
        <v>1048</v>
      </c>
      <c r="B31231" s="38">
        <v>24472.0</v>
      </c>
      <c r="C31231" s="38" t="s">
        <v>35572</v>
      </c>
      <c r="D31231" s="38" t="str">
        <f>IFERROR(__xludf.DUMMYFUNCTION("REGEXREPLACE(C31231,""-\d+(.*)|--\d+(.*)"","""")"),"SAINT-NEXANS")</f>
        <v>SAINT-NEXANS</v>
      </c>
      <c r="E31231" s="38" t="s">
        <v>261</v>
      </c>
      <c r="F31231" s="38" t="s">
        <v>252</v>
      </c>
      <c r="G31231" s="49" t="str">
        <f t="shared" si="1"/>
        <v>24520</v>
      </c>
      <c r="H31231" s="49">
        <f t="shared" si="2"/>
        <v>24472</v>
      </c>
    </row>
    <row r="31232">
      <c r="A31232" s="48" t="s">
        <v>796</v>
      </c>
      <c r="B31232" s="38">
        <v>89137.0</v>
      </c>
      <c r="C31232" s="38" t="s">
        <v>35573</v>
      </c>
      <c r="D31232" s="38" t="str">
        <f>IFERROR(__xludf.DUMMYFUNCTION("REGEXREPLACE(C31232,""-\d+(.*)|--\d+(.*)"","""")"),"DANNEMOINE")</f>
        <v>DANNEMOINE</v>
      </c>
      <c r="E31232" s="38" t="s">
        <v>275</v>
      </c>
      <c r="F31232" s="38" t="s">
        <v>106</v>
      </c>
      <c r="G31232" s="49" t="str">
        <f t="shared" si="1"/>
        <v>89700</v>
      </c>
      <c r="H31232" s="49">
        <f t="shared" si="2"/>
        <v>89137</v>
      </c>
    </row>
    <row r="31233">
      <c r="A31233" s="48" t="s">
        <v>1222</v>
      </c>
      <c r="B31233" s="38">
        <v>47078.0</v>
      </c>
      <c r="C31233" s="38" t="s">
        <v>35574</v>
      </c>
      <c r="D31233" s="38" t="str">
        <f>IFERROR(__xludf.DUMMYFUNCTION("REGEXREPLACE(C31233,""-\d+(.*)|--\d+(.*)"","""")"),"DAMAZAN")</f>
        <v>DAMAZAN</v>
      </c>
      <c r="E31233" s="38" t="s">
        <v>251</v>
      </c>
      <c r="F31233" s="38" t="s">
        <v>252</v>
      </c>
      <c r="G31233" s="49" t="str">
        <f t="shared" si="1"/>
        <v>47160</v>
      </c>
      <c r="H31233" s="49">
        <f t="shared" si="2"/>
        <v>47078</v>
      </c>
    </row>
    <row r="31234">
      <c r="A31234" s="48" t="s">
        <v>3539</v>
      </c>
      <c r="B31234" s="38">
        <v>54481.0</v>
      </c>
      <c r="C31234" s="38" t="s">
        <v>35575</v>
      </c>
      <c r="D31234" s="38" t="str">
        <f>IFERROR(__xludf.DUMMYFUNCTION("REGEXREPLACE(C31234,""-\d+(.*)|--\d+(.*)"","""")"),"SAINT-MAURICE-AUX-FORGES")</f>
        <v>SAINT-MAURICE-AUX-FORGES</v>
      </c>
      <c r="E31234" s="38" t="s">
        <v>548</v>
      </c>
      <c r="F31234" s="38" t="s">
        <v>195</v>
      </c>
      <c r="G31234" s="49" t="str">
        <f t="shared" si="1"/>
        <v>54540</v>
      </c>
      <c r="H31234" s="49">
        <f t="shared" si="2"/>
        <v>54481</v>
      </c>
    </row>
    <row r="31235">
      <c r="A31235" s="48" t="s">
        <v>17439</v>
      </c>
      <c r="B31235" s="38">
        <v>3082.0</v>
      </c>
      <c r="C31235" s="38" t="s">
        <v>35576</v>
      </c>
      <c r="D31235" s="38" t="str">
        <f>IFERROR(__xludf.DUMMYFUNCTION("REGEXREPLACE(C31235,""-\d+(.*)|--\d+(.*)"","""")"),"COMMENTRY")</f>
        <v>COMMENTRY</v>
      </c>
      <c r="E31235" s="38" t="s">
        <v>160</v>
      </c>
      <c r="F31235" s="38" t="s">
        <v>161</v>
      </c>
      <c r="G31235" s="49" t="str">
        <f t="shared" si="1"/>
        <v>03600</v>
      </c>
      <c r="H31235" s="49" t="str">
        <f t="shared" si="2"/>
        <v>03082</v>
      </c>
    </row>
    <row r="31236">
      <c r="A31236" s="48" t="s">
        <v>6264</v>
      </c>
      <c r="B31236" s="38">
        <v>77109.0</v>
      </c>
      <c r="C31236" s="38" t="s">
        <v>35577</v>
      </c>
      <c r="D31236" s="38" t="str">
        <f>IFERROR(__xludf.DUMMYFUNCTION("REGEXREPLACE(C31236,""-\d+(.*)|--\d+(.*)"","""")"),"CHENOISE")</f>
        <v>CHENOISE</v>
      </c>
      <c r="E31236" s="38" t="s">
        <v>244</v>
      </c>
      <c r="F31236" s="38" t="s">
        <v>245</v>
      </c>
      <c r="G31236" s="49" t="str">
        <f t="shared" si="1"/>
        <v>77160</v>
      </c>
      <c r="H31236" s="49">
        <f t="shared" si="2"/>
        <v>77109</v>
      </c>
    </row>
    <row r="31237">
      <c r="A31237" s="48" t="s">
        <v>6142</v>
      </c>
      <c r="B31237" s="38">
        <v>44217.0</v>
      </c>
      <c r="C31237" s="38" t="s">
        <v>35578</v>
      </c>
      <c r="D31237" s="38" t="str">
        <f>IFERROR(__xludf.DUMMYFUNCTION("REGEXREPLACE(C31237,""-\d+(.*)|--\d+(.*)"","""")"),"VIGNEUX-DE-BRETAGNE")</f>
        <v>VIGNEUX-DE-BRETAGNE</v>
      </c>
      <c r="E31237" s="38" t="s">
        <v>759</v>
      </c>
      <c r="F31237" s="38" t="s">
        <v>180</v>
      </c>
      <c r="G31237" s="49" t="str">
        <f t="shared" si="1"/>
        <v>44360</v>
      </c>
      <c r="H31237" s="49">
        <f t="shared" si="2"/>
        <v>44217</v>
      </c>
    </row>
    <row r="31238">
      <c r="A31238" s="48" t="s">
        <v>11810</v>
      </c>
      <c r="B31238" s="38">
        <v>50382.0</v>
      </c>
      <c r="C31238" s="38" t="s">
        <v>35579</v>
      </c>
      <c r="D31238" s="38" t="str">
        <f>IFERROR(__xludf.DUMMYFUNCTION("REGEXREPLACE(C31238,""-\d+(.*)|--\d+(.*)"","""")"),"NOUAINVILLE")</f>
        <v>NOUAINVILLE</v>
      </c>
      <c r="E31238" s="38" t="s">
        <v>157</v>
      </c>
      <c r="F31238" s="38" t="s">
        <v>138</v>
      </c>
      <c r="G31238" s="49" t="str">
        <f t="shared" si="1"/>
        <v>50690</v>
      </c>
      <c r="H31238" s="49">
        <f t="shared" si="2"/>
        <v>50382</v>
      </c>
    </row>
    <row r="31239">
      <c r="A31239" s="48" t="s">
        <v>7360</v>
      </c>
      <c r="B31239" s="38">
        <v>86109.0</v>
      </c>
      <c r="C31239" s="38" t="s">
        <v>35580</v>
      </c>
      <c r="D31239" s="38" t="str">
        <f>IFERROR(__xludf.DUMMYFUNCTION("REGEXREPLACE(C31239,""-\d+(.*)|--\d+(.*)"","""")"),"GUESNES")</f>
        <v>GUESNES</v>
      </c>
      <c r="E31239" s="38" t="s">
        <v>529</v>
      </c>
      <c r="F31239" s="38" t="s">
        <v>338</v>
      </c>
      <c r="G31239" s="49" t="str">
        <f t="shared" si="1"/>
        <v>86420</v>
      </c>
      <c r="H31239" s="49">
        <f t="shared" si="2"/>
        <v>86109</v>
      </c>
    </row>
    <row r="31240">
      <c r="A31240" s="48" t="s">
        <v>7144</v>
      </c>
      <c r="B31240" s="38">
        <v>76171.0</v>
      </c>
      <c r="C31240" s="38" t="s">
        <v>35581</v>
      </c>
      <c r="D31240" s="38" t="str">
        <f>IFERROR(__xludf.DUMMYFUNCTION("REGEXREPLACE(C31240,""-\d+(.*)|--\d+(.*)"","""")"),"LA CHAPELLE-SAINT-OUEN")</f>
        <v>LA CHAPELLE-SAINT-OUEN</v>
      </c>
      <c r="E31240" s="38" t="s">
        <v>133</v>
      </c>
      <c r="F31240" s="38" t="s">
        <v>134</v>
      </c>
      <c r="G31240" s="49" t="str">
        <f t="shared" si="1"/>
        <v>76780</v>
      </c>
      <c r="H31240" s="49">
        <f t="shared" si="2"/>
        <v>76171</v>
      </c>
    </row>
    <row r="31241">
      <c r="A31241" s="48" t="s">
        <v>1022</v>
      </c>
      <c r="B31241" s="38">
        <v>2783.0</v>
      </c>
      <c r="C31241" s="38" t="s">
        <v>35582</v>
      </c>
      <c r="D31241" s="38" t="str">
        <f>IFERROR(__xludf.DUMMYFUNCTION("REGEXREPLACE(C31241,""-\d+(.*)|--\d+(.*)"","""")"),"GRAND-VERLY")</f>
        <v>GRAND-VERLY</v>
      </c>
      <c r="E31241" s="38" t="s">
        <v>191</v>
      </c>
      <c r="F31241" s="38" t="s">
        <v>113</v>
      </c>
      <c r="G31241" s="49" t="str">
        <f t="shared" si="1"/>
        <v>02120</v>
      </c>
      <c r="H31241" s="49" t="str">
        <f t="shared" si="2"/>
        <v>02783</v>
      </c>
    </row>
    <row r="31242">
      <c r="A31242" s="48" t="s">
        <v>1518</v>
      </c>
      <c r="B31242" s="38">
        <v>88335.0</v>
      </c>
      <c r="C31242" s="38" t="s">
        <v>35583</v>
      </c>
      <c r="D31242" s="38" t="str">
        <f>IFERROR(__xludf.DUMMYFUNCTION("REGEXREPLACE(C31242,""-\d+(.*)|--\d+(.*)"","""")"),"OFFROICOURT")</f>
        <v>OFFROICOURT</v>
      </c>
      <c r="E31242" s="38" t="s">
        <v>194</v>
      </c>
      <c r="F31242" s="38" t="s">
        <v>195</v>
      </c>
      <c r="G31242" s="49" t="str">
        <f t="shared" si="1"/>
        <v>88500</v>
      </c>
      <c r="H31242" s="49">
        <f t="shared" si="2"/>
        <v>88335</v>
      </c>
    </row>
    <row r="31243">
      <c r="A31243" s="48" t="s">
        <v>25197</v>
      </c>
      <c r="B31243" s="38">
        <v>78305.0</v>
      </c>
      <c r="C31243" s="38" t="s">
        <v>35584</v>
      </c>
      <c r="D31243" s="38" t="str">
        <f>IFERROR(__xludf.DUMMYFUNCTION("REGEXREPLACE(C31243,""-\d+(.*)|--\d+(.*)"","""")"),"HERBEVILLE")</f>
        <v>HERBEVILLE</v>
      </c>
      <c r="E31243" s="38" t="s">
        <v>362</v>
      </c>
      <c r="F31243" s="38" t="s">
        <v>245</v>
      </c>
      <c r="G31243" s="49" t="str">
        <f t="shared" si="1"/>
        <v>78580</v>
      </c>
      <c r="H31243" s="49">
        <f t="shared" si="2"/>
        <v>78305</v>
      </c>
    </row>
    <row r="31244">
      <c r="A31244" s="48" t="s">
        <v>19788</v>
      </c>
      <c r="B31244" s="38">
        <v>17162.0</v>
      </c>
      <c r="C31244" s="38" t="s">
        <v>35585</v>
      </c>
      <c r="D31244" s="38" t="str">
        <f>IFERROR(__xludf.DUMMYFUNCTION("REGEXREPLACE(C31244,""-\d+(.*)|--\d+(.*)"","""")"),"FONTAINE-CHALENDRAY")</f>
        <v>FONTAINE-CHALENDRAY</v>
      </c>
      <c r="E31244" s="38" t="s">
        <v>488</v>
      </c>
      <c r="F31244" s="38" t="s">
        <v>338</v>
      </c>
      <c r="G31244" s="49" t="str">
        <f t="shared" si="1"/>
        <v>17510</v>
      </c>
      <c r="H31244" s="49">
        <f t="shared" si="2"/>
        <v>17162</v>
      </c>
    </row>
    <row r="31245">
      <c r="A31245" s="48" t="s">
        <v>29088</v>
      </c>
      <c r="B31245" s="38">
        <v>62029.0</v>
      </c>
      <c r="C31245" s="38" t="s">
        <v>35586</v>
      </c>
      <c r="D31245" s="38" t="str">
        <f>IFERROR(__xludf.DUMMYFUNCTION("REGEXREPLACE(C31245,""-\d+(.*)|--\d+(.*)"","""")"),"AMETTES")</f>
        <v>AMETTES</v>
      </c>
      <c r="E31245" s="38" t="s">
        <v>109</v>
      </c>
      <c r="F31245" s="38" t="s">
        <v>86</v>
      </c>
      <c r="G31245" s="49" t="str">
        <f t="shared" si="1"/>
        <v>62260</v>
      </c>
      <c r="H31245" s="49">
        <f t="shared" si="2"/>
        <v>62029</v>
      </c>
    </row>
    <row r="31246">
      <c r="A31246" s="48" t="s">
        <v>2122</v>
      </c>
      <c r="B31246" s="38">
        <v>7300.0</v>
      </c>
      <c r="C31246" s="38" t="s">
        <v>35587</v>
      </c>
      <c r="D31246" s="38" t="str">
        <f>IFERROR(__xludf.DUMMYFUNCTION("REGEXREPLACE(C31246,""-\d+(.*)|--\d+(.*)"","""")"),"SAINT-THOME")</f>
        <v>SAINT-THOME</v>
      </c>
      <c r="E31246" s="38" t="s">
        <v>144</v>
      </c>
      <c r="F31246" s="38" t="s">
        <v>102</v>
      </c>
      <c r="G31246" s="49" t="str">
        <f t="shared" si="1"/>
        <v>07220</v>
      </c>
      <c r="H31246" s="49" t="str">
        <f t="shared" si="2"/>
        <v>07300</v>
      </c>
    </row>
    <row r="31247">
      <c r="A31247" s="48" t="s">
        <v>2229</v>
      </c>
      <c r="B31247" s="38">
        <v>64234.0</v>
      </c>
      <c r="C31247" s="38" t="s">
        <v>35588</v>
      </c>
      <c r="D31247" s="38" t="str">
        <f>IFERROR(__xludf.DUMMYFUNCTION("REGEXREPLACE(C31247,""-\d+(.*)|--\d+(.*)"","""")"),"GAROS")</f>
        <v>GAROS</v>
      </c>
      <c r="E31247" s="38" t="s">
        <v>268</v>
      </c>
      <c r="F31247" s="38" t="s">
        <v>252</v>
      </c>
      <c r="G31247" s="49" t="str">
        <f t="shared" si="1"/>
        <v>64410</v>
      </c>
      <c r="H31247" s="49">
        <f t="shared" si="2"/>
        <v>64234</v>
      </c>
    </row>
    <row r="31248">
      <c r="A31248" s="48" t="s">
        <v>738</v>
      </c>
      <c r="B31248" s="38">
        <v>59607.0</v>
      </c>
      <c r="C31248" s="38" t="s">
        <v>35589</v>
      </c>
      <c r="D31248" s="38" t="str">
        <f>IFERROR(__xludf.DUMMYFUNCTION("REGEXREPLACE(C31248,""-\d+(.*)|--\d+(.*)"","""")"),"VENDEGIES-AU-BOIS")</f>
        <v>VENDEGIES-AU-BOIS</v>
      </c>
      <c r="E31248" s="38" t="s">
        <v>85</v>
      </c>
      <c r="F31248" s="38" t="s">
        <v>86</v>
      </c>
      <c r="G31248" s="49" t="str">
        <f t="shared" si="1"/>
        <v>59218</v>
      </c>
      <c r="H31248" s="49">
        <f t="shared" si="2"/>
        <v>59607</v>
      </c>
    </row>
    <row r="31249">
      <c r="A31249" s="48" t="s">
        <v>2995</v>
      </c>
      <c r="B31249" s="38">
        <v>28041.0</v>
      </c>
      <c r="C31249" s="38" t="s">
        <v>35590</v>
      </c>
      <c r="D31249" s="38" t="str">
        <f>IFERROR(__xludf.DUMMYFUNCTION("REGEXREPLACE(C31249,""-\d+(.*)|--\d+(.*)"","""")"),"BLANDAINVILLE")</f>
        <v>BLANDAINVILLE</v>
      </c>
      <c r="E31249" s="38" t="s">
        <v>300</v>
      </c>
      <c r="F31249" s="38" t="s">
        <v>123</v>
      </c>
      <c r="G31249" s="49" t="str">
        <f t="shared" si="1"/>
        <v>28120</v>
      </c>
      <c r="H31249" s="49">
        <f t="shared" si="2"/>
        <v>28041</v>
      </c>
    </row>
    <row r="31250">
      <c r="A31250" s="48" t="s">
        <v>1060</v>
      </c>
      <c r="B31250" s="38">
        <v>57128.0</v>
      </c>
      <c r="C31250" s="38" t="s">
        <v>35591</v>
      </c>
      <c r="D31250" s="38" t="str">
        <f>IFERROR(__xludf.DUMMYFUNCTION("REGEXREPLACE(C31250,""-\d+(.*)|--\d+(.*)"","""")"),"CHARLEVILLE-SOUS-BOIS")</f>
        <v>CHARLEVILLE-SOUS-BOIS</v>
      </c>
      <c r="E31250" s="38" t="s">
        <v>303</v>
      </c>
      <c r="F31250" s="38" t="s">
        <v>195</v>
      </c>
      <c r="G31250" s="49" t="str">
        <f t="shared" si="1"/>
        <v>57220</v>
      </c>
      <c r="H31250" s="49">
        <f t="shared" si="2"/>
        <v>57128</v>
      </c>
    </row>
    <row r="31251">
      <c r="A31251" s="48" t="s">
        <v>35592</v>
      </c>
      <c r="B31251" s="38">
        <v>30166.0</v>
      </c>
      <c r="C31251" s="38" t="s">
        <v>35593</v>
      </c>
      <c r="D31251" s="38" t="str">
        <f>IFERROR(__xludf.DUMMYFUNCTION("REGEXREPLACE(C31251,""-\d+(.*)|--\d+(.*)"","""")"),"MEYNES")</f>
        <v>MEYNES</v>
      </c>
      <c r="E31251" s="38" t="s">
        <v>526</v>
      </c>
      <c r="F31251" s="38" t="s">
        <v>119</v>
      </c>
      <c r="G31251" s="49" t="str">
        <f t="shared" si="1"/>
        <v>30840</v>
      </c>
      <c r="H31251" s="49">
        <f t="shared" si="2"/>
        <v>30166</v>
      </c>
    </row>
    <row r="31252">
      <c r="A31252" s="48" t="s">
        <v>4900</v>
      </c>
      <c r="B31252" s="38">
        <v>33553.0</v>
      </c>
      <c r="C31252" s="38" t="s">
        <v>35594</v>
      </c>
      <c r="D31252" s="38" t="str">
        <f>IFERROR(__xludf.DUMMYFUNCTION("REGEXREPLACE(C31252,""-\d+(.*)|--\d+(.*)"","""")"),"VIRSAC")</f>
        <v>VIRSAC</v>
      </c>
      <c r="E31252" s="38" t="s">
        <v>462</v>
      </c>
      <c r="F31252" s="38" t="s">
        <v>252</v>
      </c>
      <c r="G31252" s="49" t="str">
        <f t="shared" si="1"/>
        <v>33240</v>
      </c>
      <c r="H31252" s="49">
        <f t="shared" si="2"/>
        <v>33553</v>
      </c>
    </row>
    <row r="31253">
      <c r="A31253" s="48" t="s">
        <v>1695</v>
      </c>
      <c r="B31253" s="38">
        <v>80429.0</v>
      </c>
      <c r="C31253" s="38" t="s">
        <v>35595</v>
      </c>
      <c r="D31253" s="38" t="str">
        <f>IFERROR(__xludf.DUMMYFUNCTION("REGEXREPLACE(C31253,""-\d+(.*)|--\d+(.*)"","""")"),"HENENCOURT")</f>
        <v>HENENCOURT</v>
      </c>
      <c r="E31253" s="38" t="s">
        <v>224</v>
      </c>
      <c r="F31253" s="38" t="s">
        <v>113</v>
      </c>
      <c r="G31253" s="49" t="str">
        <f t="shared" si="1"/>
        <v>80300</v>
      </c>
      <c r="H31253" s="49">
        <f t="shared" si="2"/>
        <v>80429</v>
      </c>
    </row>
    <row r="31254">
      <c r="A31254" s="48" t="s">
        <v>466</v>
      </c>
      <c r="B31254" s="38">
        <v>52199.0</v>
      </c>
      <c r="C31254" s="38" t="s">
        <v>35596</v>
      </c>
      <c r="D31254" s="38" t="str">
        <f>IFERROR(__xludf.DUMMYFUNCTION("REGEXREPLACE(C31254,""-\d+(.*)|--\d+(.*)"","""")"),"FERRIERE-ET-LAFOLIE")</f>
        <v>FERRIERE-ET-LAFOLIE</v>
      </c>
      <c r="E31254" s="38" t="s">
        <v>234</v>
      </c>
      <c r="F31254" s="38" t="s">
        <v>130</v>
      </c>
      <c r="G31254" s="49" t="str">
        <f t="shared" si="1"/>
        <v>52300</v>
      </c>
      <c r="H31254" s="49">
        <f t="shared" si="2"/>
        <v>52199</v>
      </c>
    </row>
    <row r="31255">
      <c r="A31255" s="48" t="s">
        <v>6121</v>
      </c>
      <c r="B31255" s="38">
        <v>51634.0</v>
      </c>
      <c r="C31255" s="38" t="s">
        <v>35597</v>
      </c>
      <c r="D31255" s="38" t="str">
        <f>IFERROR(__xludf.DUMMYFUNCTION("REGEXREPLACE(C31255,""-\d+(.*)|--\d+(.*)"","""")"),"VILLERS-LE-CHATEAU")</f>
        <v>VILLERS-LE-CHATEAU</v>
      </c>
      <c r="E31255" s="38" t="s">
        <v>129</v>
      </c>
      <c r="F31255" s="38" t="s">
        <v>130</v>
      </c>
      <c r="G31255" s="49" t="str">
        <f t="shared" si="1"/>
        <v>51510</v>
      </c>
      <c r="H31255" s="49">
        <f t="shared" si="2"/>
        <v>51634</v>
      </c>
    </row>
    <row r="31256">
      <c r="A31256" s="48" t="s">
        <v>23556</v>
      </c>
      <c r="B31256" s="38">
        <v>44150.0</v>
      </c>
      <c r="C31256" s="38" t="s">
        <v>35598</v>
      </c>
      <c r="D31256" s="38" t="str">
        <f>IFERROR(__xludf.DUMMYFUNCTION("REGEXREPLACE(C31256,""-\d+(.*)|--\d+(.*)"","""")"),"SAINT-AIGNAN-GRANDLIEU")</f>
        <v>SAINT-AIGNAN-GRANDLIEU</v>
      </c>
      <c r="E31256" s="38" t="s">
        <v>759</v>
      </c>
      <c r="F31256" s="38" t="s">
        <v>180</v>
      </c>
      <c r="G31256" s="49" t="str">
        <f t="shared" si="1"/>
        <v>44860</v>
      </c>
      <c r="H31256" s="49">
        <f t="shared" si="2"/>
        <v>44150</v>
      </c>
    </row>
    <row r="31257">
      <c r="A31257" s="48" t="s">
        <v>3681</v>
      </c>
      <c r="B31257" s="38">
        <v>39145.0</v>
      </c>
      <c r="C31257" s="38" t="s">
        <v>35599</v>
      </c>
      <c r="D31257" s="38" t="str">
        <f>IFERROR(__xludf.DUMMYFUNCTION("REGEXREPLACE(C31257,""-\d+(.*)|--\d+(.*)"","""")"),"CHILLE")</f>
        <v>CHILLE</v>
      </c>
      <c r="E31257" s="38" t="s">
        <v>400</v>
      </c>
      <c r="F31257" s="38" t="s">
        <v>214</v>
      </c>
      <c r="G31257" s="49" t="str">
        <f t="shared" si="1"/>
        <v>39570</v>
      </c>
      <c r="H31257" s="49">
        <f t="shared" si="2"/>
        <v>39145</v>
      </c>
    </row>
    <row r="31258">
      <c r="A31258" s="48" t="s">
        <v>1540</v>
      </c>
      <c r="B31258" s="38">
        <v>70381.0</v>
      </c>
      <c r="C31258" s="38" t="s">
        <v>35600</v>
      </c>
      <c r="D31258" s="38" t="str">
        <f>IFERROR(__xludf.DUMMYFUNCTION("REGEXREPLACE(C31258,""-\d+(.*)|--\d+(.*)"","""")"),"NEUREY-LES-LA-DEMIE")</f>
        <v>NEUREY-LES-LA-DEMIE</v>
      </c>
      <c r="E31258" s="38" t="s">
        <v>956</v>
      </c>
      <c r="F31258" s="38" t="s">
        <v>214</v>
      </c>
      <c r="G31258" s="49" t="str">
        <f t="shared" si="1"/>
        <v>70000</v>
      </c>
      <c r="H31258" s="49">
        <f t="shared" si="2"/>
        <v>70381</v>
      </c>
    </row>
    <row r="31259">
      <c r="A31259" s="48" t="s">
        <v>8587</v>
      </c>
      <c r="B31259" s="38">
        <v>66123.0</v>
      </c>
      <c r="C31259" s="38" t="s">
        <v>35601</v>
      </c>
      <c r="D31259" s="38" t="str">
        <f>IFERROR(__xludf.DUMMYFUNCTION("REGEXREPLACE(C31259,""-\d+(.*)|--\d+(.*)"","""")"),"NYER")</f>
        <v>NYER</v>
      </c>
      <c r="E31259" s="38" t="s">
        <v>248</v>
      </c>
      <c r="F31259" s="38" t="s">
        <v>119</v>
      </c>
      <c r="G31259" s="49" t="str">
        <f t="shared" si="1"/>
        <v>66360</v>
      </c>
      <c r="H31259" s="49">
        <f t="shared" si="2"/>
        <v>66123</v>
      </c>
    </row>
    <row r="31260">
      <c r="A31260" s="48" t="s">
        <v>2073</v>
      </c>
      <c r="B31260" s="38">
        <v>8019.0</v>
      </c>
      <c r="C31260" s="38" t="s">
        <v>35602</v>
      </c>
      <c r="D31260" s="38" t="str">
        <f>IFERROR(__xludf.DUMMYFUNCTION("REGEXREPLACE(C31260,""-\d+(.*)|--\d+(.*)"","""")"),"LES GRANDES-ARMOISES")</f>
        <v>LES GRANDES-ARMOISES</v>
      </c>
      <c r="E31260" s="38" t="s">
        <v>327</v>
      </c>
      <c r="F31260" s="38" t="s">
        <v>130</v>
      </c>
      <c r="G31260" s="49" t="str">
        <f t="shared" si="1"/>
        <v>08390</v>
      </c>
      <c r="H31260" s="49" t="str">
        <f t="shared" si="2"/>
        <v>08019</v>
      </c>
    </row>
    <row r="31261">
      <c r="A31261" s="48" t="s">
        <v>3618</v>
      </c>
      <c r="B31261" s="38">
        <v>31132.0</v>
      </c>
      <c r="C31261" s="38" t="s">
        <v>35603</v>
      </c>
      <c r="D31261" s="38" t="str">
        <f>IFERROR(__xludf.DUMMYFUNCTION("REGEXREPLACE(C31261,""-\d+(.*)|--\d+(.*)"","""")"),"CAZAUX-LAYRISSE")</f>
        <v>CAZAUX-LAYRISSE</v>
      </c>
      <c r="E31261" s="38" t="s">
        <v>93</v>
      </c>
      <c r="F31261" s="38" t="s">
        <v>94</v>
      </c>
      <c r="G31261" s="49" t="str">
        <f t="shared" si="1"/>
        <v>31440</v>
      </c>
      <c r="H31261" s="49">
        <f t="shared" si="2"/>
        <v>31132</v>
      </c>
    </row>
    <row r="31262">
      <c r="A31262" s="48" t="s">
        <v>26168</v>
      </c>
      <c r="B31262" s="38">
        <v>12214.0</v>
      </c>
      <c r="C31262" s="38" t="s">
        <v>35604</v>
      </c>
      <c r="D31262" s="38" t="str">
        <f>IFERROR(__xludf.DUMMYFUNCTION("REGEXREPLACE(C31262,""-\d+(.*)|--\d+(.*)"","""")"),"SAINT-CHELY-D'AUBRAC")</f>
        <v>SAINT-CHELY-D'AUBRAC</v>
      </c>
      <c r="E31262" s="38" t="s">
        <v>465</v>
      </c>
      <c r="F31262" s="38" t="s">
        <v>94</v>
      </c>
      <c r="G31262" s="49" t="str">
        <f t="shared" si="1"/>
        <v>12470</v>
      </c>
      <c r="H31262" s="49">
        <f t="shared" si="2"/>
        <v>12214</v>
      </c>
    </row>
    <row r="31263">
      <c r="A31263" s="48" t="s">
        <v>2549</v>
      </c>
      <c r="B31263" s="38">
        <v>55290.0</v>
      </c>
      <c r="C31263" s="38" t="s">
        <v>35605</v>
      </c>
      <c r="D31263" s="38" t="str">
        <f>IFERROR(__xludf.DUMMYFUNCTION("REGEXREPLACE(C31263,""-\d+(.*)|--\d+(.*)"","""")"),"LIGNIERES-SUR-AIRE")</f>
        <v>LIGNIERES-SUR-AIRE</v>
      </c>
      <c r="E31263" s="38" t="s">
        <v>322</v>
      </c>
      <c r="F31263" s="38" t="s">
        <v>195</v>
      </c>
      <c r="G31263" s="49" t="str">
        <f t="shared" si="1"/>
        <v>55260</v>
      </c>
      <c r="H31263" s="49">
        <f t="shared" si="2"/>
        <v>55290</v>
      </c>
    </row>
    <row r="31264">
      <c r="A31264" s="48" t="s">
        <v>944</v>
      </c>
      <c r="B31264" s="38">
        <v>61141.0</v>
      </c>
      <c r="C31264" s="38" t="s">
        <v>35606</v>
      </c>
      <c r="D31264" s="38" t="str">
        <f>IFERROR(__xludf.DUMMYFUNCTION("REGEXREPLACE(C31264,""-\d+(.*)|--\d+(.*)"","""")"),"CUISSAI")</f>
        <v>CUISSAI</v>
      </c>
      <c r="E31264" s="38" t="s">
        <v>141</v>
      </c>
      <c r="F31264" s="38" t="s">
        <v>138</v>
      </c>
      <c r="G31264" s="49" t="str">
        <f t="shared" si="1"/>
        <v>61250</v>
      </c>
      <c r="H31264" s="49">
        <f t="shared" si="2"/>
        <v>61141</v>
      </c>
    </row>
    <row r="31265">
      <c r="A31265" s="48" t="s">
        <v>2893</v>
      </c>
      <c r="B31265" s="38">
        <v>27078.0</v>
      </c>
      <c r="C31265" s="38" t="s">
        <v>17711</v>
      </c>
      <c r="D31265" s="38" t="str">
        <f>IFERROR(__xludf.DUMMYFUNCTION("REGEXREPLACE(C31265,""-\d+(.*)|--\d+(.*)"","""")"),"LA BOISSIERE")</f>
        <v>LA BOISSIERE</v>
      </c>
      <c r="E31265" s="38" t="s">
        <v>241</v>
      </c>
      <c r="F31265" s="38" t="s">
        <v>134</v>
      </c>
      <c r="G31265" s="49" t="str">
        <f t="shared" si="1"/>
        <v>27220</v>
      </c>
      <c r="H31265" s="49">
        <f t="shared" si="2"/>
        <v>27078</v>
      </c>
    </row>
    <row r="31266">
      <c r="A31266" s="48" t="s">
        <v>667</v>
      </c>
      <c r="B31266" s="38">
        <v>64011.0</v>
      </c>
      <c r="C31266" s="38" t="s">
        <v>35607</v>
      </c>
      <c r="D31266" s="38" t="str">
        <f>IFERROR(__xludf.DUMMYFUNCTION("REGEXREPLACE(C31266,""-\d+(.*)|--\d+(.*)"","""")"),"AINCILLE")</f>
        <v>AINCILLE</v>
      </c>
      <c r="E31266" s="38" t="s">
        <v>268</v>
      </c>
      <c r="F31266" s="38" t="s">
        <v>252</v>
      </c>
      <c r="G31266" s="49" t="str">
        <f t="shared" si="1"/>
        <v>64220</v>
      </c>
      <c r="H31266" s="49">
        <f t="shared" si="2"/>
        <v>64011</v>
      </c>
    </row>
    <row r="31267">
      <c r="A31267" s="48" t="s">
        <v>2993</v>
      </c>
      <c r="B31267" s="38">
        <v>66044.0</v>
      </c>
      <c r="C31267" s="38" t="s">
        <v>35608</v>
      </c>
      <c r="D31267" s="38" t="str">
        <f>IFERROR(__xludf.DUMMYFUNCTION("REGEXREPLACE(C31267,""-\d+(.*)|--\d+(.*)"","""")"),"CASTELNOU")</f>
        <v>CASTELNOU</v>
      </c>
      <c r="E31267" s="38" t="s">
        <v>248</v>
      </c>
      <c r="F31267" s="38" t="s">
        <v>119</v>
      </c>
      <c r="G31267" s="49" t="str">
        <f t="shared" si="1"/>
        <v>66300</v>
      </c>
      <c r="H31267" s="49">
        <f t="shared" si="2"/>
        <v>66044</v>
      </c>
    </row>
    <row r="31268">
      <c r="A31268" s="48" t="s">
        <v>3252</v>
      </c>
      <c r="B31268" s="38">
        <v>63341.0</v>
      </c>
      <c r="C31268" s="38" t="s">
        <v>35609</v>
      </c>
      <c r="D31268" s="38" t="str">
        <f>IFERROR(__xludf.DUMMYFUNCTION("REGEXREPLACE(C31268,""-\d+(.*)|--\d+(.*)"","""")"),"SAINT-FERREOL-DES-COTES")</f>
        <v>SAINT-FERREOL-DES-COTES</v>
      </c>
      <c r="E31268" s="38" t="s">
        <v>353</v>
      </c>
      <c r="F31268" s="38" t="s">
        <v>161</v>
      </c>
      <c r="G31268" s="49" t="str">
        <f t="shared" si="1"/>
        <v>63600</v>
      </c>
      <c r="H31268" s="49">
        <f t="shared" si="2"/>
        <v>63341</v>
      </c>
    </row>
    <row r="31269">
      <c r="A31269" s="48" t="s">
        <v>6230</v>
      </c>
      <c r="B31269" s="38">
        <v>53022.0</v>
      </c>
      <c r="C31269" s="38" t="s">
        <v>35610</v>
      </c>
      <c r="D31269" s="38" t="str">
        <f>IFERROR(__xludf.DUMMYFUNCTION("REGEXREPLACE(C31269,""-\d+(.*)|--\d+(.*)"","""")"),"LA BAZOUGE-DE-CHEMERE")</f>
        <v>LA BAZOUGE-DE-CHEMERE</v>
      </c>
      <c r="E31269" s="38" t="s">
        <v>518</v>
      </c>
      <c r="F31269" s="38" t="s">
        <v>180</v>
      </c>
      <c r="G31269" s="49" t="str">
        <f t="shared" si="1"/>
        <v>53170</v>
      </c>
      <c r="H31269" s="49">
        <f t="shared" si="2"/>
        <v>53022</v>
      </c>
    </row>
    <row r="31270">
      <c r="A31270" s="48" t="s">
        <v>507</v>
      </c>
      <c r="B31270" s="38">
        <v>8151.0</v>
      </c>
      <c r="C31270" s="38" t="s">
        <v>35611</v>
      </c>
      <c r="D31270" s="38" t="str">
        <f>IFERROR(__xludf.DUMMYFUNCTION("REGEXREPLACE(C31270,""-\d+(.*)|--\d+(.*)"","""")"),"ECORDAL")</f>
        <v>ECORDAL</v>
      </c>
      <c r="E31270" s="38" t="s">
        <v>327</v>
      </c>
      <c r="F31270" s="38" t="s">
        <v>130</v>
      </c>
      <c r="G31270" s="49" t="str">
        <f t="shared" si="1"/>
        <v>08130</v>
      </c>
      <c r="H31270" s="49" t="str">
        <f t="shared" si="2"/>
        <v>08151</v>
      </c>
    </row>
    <row r="31271">
      <c r="A31271" s="48" t="s">
        <v>1033</v>
      </c>
      <c r="B31271" s="38">
        <v>67495.0</v>
      </c>
      <c r="C31271" s="38" t="s">
        <v>35612</v>
      </c>
      <c r="D31271" s="38" t="str">
        <f>IFERROR(__xludf.DUMMYFUNCTION("REGEXREPLACE(C31271,""-\d+(.*)|--\d+(.*)"","""")"),"TRUCHTERSHEIM")</f>
        <v>TRUCHTERSHEIM</v>
      </c>
      <c r="E31271" s="38" t="s">
        <v>210</v>
      </c>
      <c r="F31271" s="38" t="s">
        <v>151</v>
      </c>
      <c r="G31271" s="49" t="str">
        <f t="shared" si="1"/>
        <v>67370</v>
      </c>
      <c r="H31271" s="49">
        <f t="shared" si="2"/>
        <v>67495</v>
      </c>
    </row>
    <row r="31272">
      <c r="A31272" s="48" t="s">
        <v>8446</v>
      </c>
      <c r="B31272" s="38">
        <v>22330.0</v>
      </c>
      <c r="C31272" s="38" t="s">
        <v>35613</v>
      </c>
      <c r="D31272" s="38" t="str">
        <f>IFERROR(__xludf.DUMMYFUNCTION("REGEXREPLACE(C31272,""-\d+(.*)|--\d+(.*)"","""")"),"SAINT-THELO")</f>
        <v>SAINT-THELO</v>
      </c>
      <c r="E31272" s="38" t="s">
        <v>89</v>
      </c>
      <c r="F31272" s="38" t="s">
        <v>90</v>
      </c>
      <c r="G31272" s="49" t="str">
        <f t="shared" si="1"/>
        <v>22460</v>
      </c>
      <c r="H31272" s="49">
        <f t="shared" si="2"/>
        <v>22330</v>
      </c>
    </row>
    <row r="31273">
      <c r="A31273" s="48" t="s">
        <v>671</v>
      </c>
      <c r="B31273" s="38">
        <v>21431.0</v>
      </c>
      <c r="C31273" s="38" t="s">
        <v>35614</v>
      </c>
      <c r="D31273" s="38" t="str">
        <f>IFERROR(__xludf.DUMMYFUNCTION("REGEXREPLACE(C31273,""-\d+(.*)|--\d+(.*)"","""")"),"MONTIGNY-SUR-ARMANCON")</f>
        <v>MONTIGNY-SUR-ARMANCON</v>
      </c>
      <c r="E31273" s="38" t="s">
        <v>105</v>
      </c>
      <c r="F31273" s="38" t="s">
        <v>106</v>
      </c>
      <c r="G31273" s="49" t="str">
        <f t="shared" si="1"/>
        <v>21140</v>
      </c>
      <c r="H31273" s="49">
        <f t="shared" si="2"/>
        <v>21431</v>
      </c>
    </row>
    <row r="31274">
      <c r="A31274" s="48" t="s">
        <v>11059</v>
      </c>
      <c r="B31274" s="38">
        <v>48128.0</v>
      </c>
      <c r="C31274" s="38" t="s">
        <v>35615</v>
      </c>
      <c r="D31274" s="38" t="str">
        <f>IFERROR(__xludf.DUMMYFUNCTION("REGEXREPLACE(C31274,""-\d+(.*)|--\d+(.*)"","""")"),"RIMEIZE")</f>
        <v>RIMEIZE</v>
      </c>
      <c r="E31274" s="38" t="s">
        <v>154</v>
      </c>
      <c r="F31274" s="38" t="s">
        <v>119</v>
      </c>
      <c r="G31274" s="49" t="str">
        <f t="shared" si="1"/>
        <v>48200</v>
      </c>
      <c r="H31274" s="49">
        <f t="shared" si="2"/>
        <v>48128</v>
      </c>
    </row>
    <row r="31275">
      <c r="A31275" s="48" t="s">
        <v>2848</v>
      </c>
      <c r="B31275" s="38">
        <v>51238.0</v>
      </c>
      <c r="C31275" s="38" t="s">
        <v>35616</v>
      </c>
      <c r="D31275" s="38" t="str">
        <f>IFERROR(__xludf.DUMMYFUNCTION("REGEXREPLACE(C31275,""-\d+(.*)|--\d+(.*)"","""")"),"ETOGES")</f>
        <v>ETOGES</v>
      </c>
      <c r="E31275" s="38" t="s">
        <v>129</v>
      </c>
      <c r="F31275" s="38" t="s">
        <v>130</v>
      </c>
      <c r="G31275" s="49" t="str">
        <f t="shared" si="1"/>
        <v>51270</v>
      </c>
      <c r="H31275" s="49">
        <f t="shared" si="2"/>
        <v>51238</v>
      </c>
    </row>
    <row r="31276">
      <c r="A31276" s="48" t="s">
        <v>2868</v>
      </c>
      <c r="B31276" s="38">
        <v>80759.0</v>
      </c>
      <c r="C31276" s="38" t="s">
        <v>35617</v>
      </c>
      <c r="D31276" s="38" t="str">
        <f>IFERROR(__xludf.DUMMYFUNCTION("REGEXREPLACE(C31276,""-\d+(.*)|--\d+(.*)"","""")"),"TILLOLOY")</f>
        <v>TILLOLOY</v>
      </c>
      <c r="E31276" s="38" t="s">
        <v>224</v>
      </c>
      <c r="F31276" s="38" t="s">
        <v>113</v>
      </c>
      <c r="G31276" s="49" t="str">
        <f t="shared" si="1"/>
        <v>80700</v>
      </c>
      <c r="H31276" s="49">
        <f t="shared" si="2"/>
        <v>80759</v>
      </c>
    </row>
    <row r="31277">
      <c r="A31277" s="48" t="s">
        <v>5445</v>
      </c>
      <c r="B31277" s="38">
        <v>30326.0</v>
      </c>
      <c r="C31277" s="38" t="s">
        <v>35618</v>
      </c>
      <c r="D31277" s="38" t="str">
        <f>IFERROR(__xludf.DUMMYFUNCTION("REGEXREPLACE(C31277,""-\d+(.*)|--\d+(.*)"","""")"),"TAVEL")</f>
        <v>TAVEL</v>
      </c>
      <c r="E31277" s="38" t="s">
        <v>526</v>
      </c>
      <c r="F31277" s="38" t="s">
        <v>119</v>
      </c>
      <c r="G31277" s="49" t="str">
        <f t="shared" si="1"/>
        <v>30126</v>
      </c>
      <c r="H31277" s="49">
        <f t="shared" si="2"/>
        <v>30326</v>
      </c>
    </row>
    <row r="31278">
      <c r="A31278" s="48" t="s">
        <v>35619</v>
      </c>
      <c r="B31278" s="38">
        <v>94022.0</v>
      </c>
      <c r="C31278" s="38" t="s">
        <v>35620</v>
      </c>
      <c r="D31278" s="38" t="str">
        <f>IFERROR(__xludf.DUMMYFUNCTION("REGEXREPLACE(C31278,""-\d+(.*)|--\d+(.*)"","""")"),"CHOISY-LE-ROI")</f>
        <v>CHOISY-LE-ROI</v>
      </c>
      <c r="E31278" s="38" t="s">
        <v>561</v>
      </c>
      <c r="F31278" s="38" t="s">
        <v>245</v>
      </c>
      <c r="G31278" s="49" t="str">
        <f t="shared" si="1"/>
        <v>94600</v>
      </c>
      <c r="H31278" s="49">
        <f t="shared" si="2"/>
        <v>94022</v>
      </c>
    </row>
    <row r="31279">
      <c r="A31279" s="48" t="s">
        <v>3448</v>
      </c>
      <c r="B31279" s="38">
        <v>65353.0</v>
      </c>
      <c r="C31279" s="38" t="s">
        <v>6378</v>
      </c>
      <c r="D31279" s="38" t="str">
        <f>IFERROR(__xludf.DUMMYFUNCTION("REGEXREPLACE(C31279,""-\d+(.*)|--\d+(.*)"","""")"),"OZON")</f>
        <v>OZON</v>
      </c>
      <c r="E31279" s="38" t="s">
        <v>200</v>
      </c>
      <c r="F31279" s="38" t="s">
        <v>94</v>
      </c>
      <c r="G31279" s="49" t="str">
        <f t="shared" si="1"/>
        <v>65190</v>
      </c>
      <c r="H31279" s="49">
        <f t="shared" si="2"/>
        <v>65353</v>
      </c>
    </row>
    <row r="31280">
      <c r="A31280" s="48" t="s">
        <v>415</v>
      </c>
      <c r="B31280" s="38">
        <v>21023.0</v>
      </c>
      <c r="C31280" s="38" t="s">
        <v>35621</v>
      </c>
      <c r="D31280" s="38" t="str">
        <f>IFERROR(__xludf.DUMMYFUNCTION("REGEXREPLACE(C31280,""-\d+(.*)|--\d+(.*)"","""")"),"ARNAY-LE-DUC")</f>
        <v>ARNAY-LE-DUC</v>
      </c>
      <c r="E31280" s="38" t="s">
        <v>105</v>
      </c>
      <c r="F31280" s="38" t="s">
        <v>106</v>
      </c>
      <c r="G31280" s="49" t="str">
        <f t="shared" si="1"/>
        <v>21230</v>
      </c>
      <c r="H31280" s="49">
        <f t="shared" si="2"/>
        <v>21023</v>
      </c>
    </row>
    <row r="31281">
      <c r="A31281" s="48" t="s">
        <v>1618</v>
      </c>
      <c r="B31281" s="38">
        <v>11368.0</v>
      </c>
      <c r="C31281" s="38" t="s">
        <v>35622</v>
      </c>
      <c r="D31281" s="38" t="str">
        <f>IFERROR(__xludf.DUMMYFUNCTION("REGEXREPLACE(C31281,""-\d+(.*)|--\d+(.*)"","""")"),"SALLELES-CABARDES")</f>
        <v>SALLELES-CABARDES</v>
      </c>
      <c r="E31281" s="38" t="s">
        <v>278</v>
      </c>
      <c r="F31281" s="38" t="s">
        <v>119</v>
      </c>
      <c r="G31281" s="49" t="str">
        <f t="shared" si="1"/>
        <v>11600</v>
      </c>
      <c r="H31281" s="49">
        <f t="shared" si="2"/>
        <v>11368</v>
      </c>
    </row>
    <row r="31282">
      <c r="A31282" s="48" t="s">
        <v>1999</v>
      </c>
      <c r="B31282" s="38">
        <v>2213.0</v>
      </c>
      <c r="C31282" s="38" t="s">
        <v>35623</v>
      </c>
      <c r="D31282" s="38" t="str">
        <f>IFERROR(__xludf.DUMMYFUNCTION("REGEXREPLACE(C31282,""-\d+(.*)|--\d+(.*)"","""")"),"CONNIGIS")</f>
        <v>CONNIGIS</v>
      </c>
      <c r="E31282" s="38" t="s">
        <v>191</v>
      </c>
      <c r="F31282" s="38" t="s">
        <v>113</v>
      </c>
      <c r="G31282" s="49" t="str">
        <f t="shared" si="1"/>
        <v>02330</v>
      </c>
      <c r="H31282" s="49" t="str">
        <f t="shared" si="2"/>
        <v>02213</v>
      </c>
    </row>
    <row r="31283">
      <c r="A31283" s="48" t="s">
        <v>635</v>
      </c>
      <c r="B31283" s="38">
        <v>15097.0</v>
      </c>
      <c r="C31283" s="38" t="s">
        <v>35624</v>
      </c>
      <c r="D31283" s="38" t="str">
        <f>IFERROR(__xludf.DUMMYFUNCTION("REGEXREPLACE(C31283,""-\d+(.*)|--\d+(.*)"","""")"),"LASTIC")</f>
        <v>LASTIC</v>
      </c>
      <c r="E31283" s="38" t="s">
        <v>632</v>
      </c>
      <c r="F31283" s="38" t="s">
        <v>161</v>
      </c>
      <c r="G31283" s="49" t="str">
        <f t="shared" si="1"/>
        <v>15500</v>
      </c>
      <c r="H31283" s="49">
        <f t="shared" si="2"/>
        <v>15097</v>
      </c>
    </row>
    <row r="31284">
      <c r="A31284" s="48" t="s">
        <v>13265</v>
      </c>
      <c r="B31284" s="38">
        <v>77005.0</v>
      </c>
      <c r="C31284" s="38" t="s">
        <v>35625</v>
      </c>
      <c r="D31284" s="38" t="str">
        <f>IFERROR(__xludf.DUMMYFUNCTION("REGEXREPLACE(C31284,""-\d+(.*)|--\d+(.*)"","""")"),"ANNET-SUR-MARNE")</f>
        <v>ANNET-SUR-MARNE</v>
      </c>
      <c r="E31284" s="38" t="s">
        <v>244</v>
      </c>
      <c r="F31284" s="38" t="s">
        <v>245</v>
      </c>
      <c r="G31284" s="49" t="str">
        <f t="shared" si="1"/>
        <v>77410</v>
      </c>
      <c r="H31284" s="49">
        <f t="shared" si="2"/>
        <v>77005</v>
      </c>
    </row>
    <row r="31285">
      <c r="A31285" s="48" t="s">
        <v>3662</v>
      </c>
      <c r="B31285" s="38">
        <v>80297.0</v>
      </c>
      <c r="C31285" s="38" t="s">
        <v>35626</v>
      </c>
      <c r="D31285" s="38" t="str">
        <f>IFERROR(__xludf.DUMMYFUNCTION("REGEXREPLACE(C31285,""-\d+(.*)|--\d+(.*)"","""")"),"ETREJUST")</f>
        <v>ETREJUST</v>
      </c>
      <c r="E31285" s="38" t="s">
        <v>224</v>
      </c>
      <c r="F31285" s="38" t="s">
        <v>113</v>
      </c>
      <c r="G31285" s="49" t="str">
        <f t="shared" si="1"/>
        <v>80140</v>
      </c>
      <c r="H31285" s="49">
        <f t="shared" si="2"/>
        <v>80297</v>
      </c>
    </row>
    <row r="31286">
      <c r="A31286" s="48" t="s">
        <v>1272</v>
      </c>
      <c r="B31286" s="38">
        <v>51149.0</v>
      </c>
      <c r="C31286" s="38" t="s">
        <v>30996</v>
      </c>
      <c r="D31286" s="38" t="str">
        <f>IFERROR(__xludf.DUMMYFUNCTION("REGEXREPLACE(C31286,""-\d+(.*)|--\d+(.*)"","""")"),"CHEPY")</f>
        <v>CHEPY</v>
      </c>
      <c r="E31286" s="38" t="s">
        <v>129</v>
      </c>
      <c r="F31286" s="38" t="s">
        <v>130</v>
      </c>
      <c r="G31286" s="49" t="str">
        <f t="shared" si="1"/>
        <v>51240</v>
      </c>
      <c r="H31286" s="49">
        <f t="shared" si="2"/>
        <v>51149</v>
      </c>
    </row>
    <row r="31287">
      <c r="A31287" s="48" t="s">
        <v>2083</v>
      </c>
      <c r="B31287" s="38">
        <v>17159.0</v>
      </c>
      <c r="C31287" s="38" t="s">
        <v>35627</v>
      </c>
      <c r="D31287" s="38" t="str">
        <f>IFERROR(__xludf.DUMMYFUNCTION("REGEXREPLACE(C31287,""-\d+(.*)|--\d+(.*)"","""")"),"FLEAC-SUR-SEUGNE")</f>
        <v>FLEAC-SUR-SEUGNE</v>
      </c>
      <c r="E31287" s="38" t="s">
        <v>488</v>
      </c>
      <c r="F31287" s="38" t="s">
        <v>338</v>
      </c>
      <c r="G31287" s="49" t="str">
        <f t="shared" si="1"/>
        <v>17800</v>
      </c>
      <c r="H31287" s="49">
        <f t="shared" si="2"/>
        <v>17159</v>
      </c>
    </row>
    <row r="31288">
      <c r="A31288" s="48" t="s">
        <v>3718</v>
      </c>
      <c r="B31288" s="38">
        <v>62586.0</v>
      </c>
      <c r="C31288" s="38" t="s">
        <v>35628</v>
      </c>
      <c r="D31288" s="38" t="str">
        <f>IFERROR(__xludf.DUMMYFUNCTION("REGEXREPLACE(C31288,""-\d+(.*)|--\d+(.*)"","""")"),"MONTENESCOURT")</f>
        <v>MONTENESCOURT</v>
      </c>
      <c r="E31288" s="38" t="s">
        <v>109</v>
      </c>
      <c r="F31288" s="38" t="s">
        <v>86</v>
      </c>
      <c r="G31288" s="49" t="str">
        <f t="shared" si="1"/>
        <v>62123</v>
      </c>
      <c r="H31288" s="49">
        <f t="shared" si="2"/>
        <v>62586</v>
      </c>
    </row>
    <row r="31289">
      <c r="A31289" s="48" t="s">
        <v>12252</v>
      </c>
      <c r="B31289" s="38">
        <v>56223.0</v>
      </c>
      <c r="C31289" s="38" t="s">
        <v>35629</v>
      </c>
      <c r="D31289" s="38" t="str">
        <f>IFERROR(__xludf.DUMMYFUNCTION("REGEXREPLACE(C31289,""-\d+(.*)|--\d+(.*)"","""")"),"SAINT-JEAN-LA-POTERIE")</f>
        <v>SAINT-JEAN-LA-POTERIE</v>
      </c>
      <c r="E31289" s="38" t="s">
        <v>173</v>
      </c>
      <c r="F31289" s="38" t="s">
        <v>90</v>
      </c>
      <c r="G31289" s="49" t="str">
        <f t="shared" si="1"/>
        <v>56350</v>
      </c>
      <c r="H31289" s="49">
        <f t="shared" si="2"/>
        <v>56223</v>
      </c>
    </row>
    <row r="31290">
      <c r="A31290" s="48" t="s">
        <v>3335</v>
      </c>
      <c r="B31290" s="38">
        <v>53132.0</v>
      </c>
      <c r="C31290" s="38" t="s">
        <v>35630</v>
      </c>
      <c r="D31290" s="38" t="str">
        <f>IFERROR(__xludf.DUMMYFUNCTION("REGEXREPLACE(C31290,""-\d+(.*)|--\d+(.*)"","""")"),"LEVARE")</f>
        <v>LEVARE</v>
      </c>
      <c r="E31290" s="38" t="s">
        <v>518</v>
      </c>
      <c r="F31290" s="38" t="s">
        <v>180</v>
      </c>
      <c r="G31290" s="49" t="str">
        <f t="shared" si="1"/>
        <v>53120</v>
      </c>
      <c r="H31290" s="49">
        <f t="shared" si="2"/>
        <v>53132</v>
      </c>
    </row>
    <row r="31291">
      <c r="A31291" s="48" t="s">
        <v>6602</v>
      </c>
      <c r="B31291" s="38">
        <v>68161.0</v>
      </c>
      <c r="C31291" s="38" t="s">
        <v>35631</v>
      </c>
      <c r="D31291" s="38" t="str">
        <f>IFERROR(__xludf.DUMMYFUNCTION("REGEXREPLACE(C31291,""-\d+(.*)|--\d+(.*)"","""")"),"KATZENTHAL")</f>
        <v>KATZENTHAL</v>
      </c>
      <c r="E31291" s="38" t="s">
        <v>150</v>
      </c>
      <c r="F31291" s="38" t="s">
        <v>151</v>
      </c>
      <c r="G31291" s="49" t="str">
        <f t="shared" si="1"/>
        <v>68230</v>
      </c>
      <c r="H31291" s="49">
        <f t="shared" si="2"/>
        <v>68161</v>
      </c>
    </row>
    <row r="31292">
      <c r="A31292" s="48" t="s">
        <v>3795</v>
      </c>
      <c r="B31292" s="38">
        <v>24111.0</v>
      </c>
      <c r="C31292" s="38" t="s">
        <v>35632</v>
      </c>
      <c r="D31292" s="38" t="str">
        <f>IFERROR(__xludf.DUMMYFUNCTION("REGEXREPLACE(C31292,""-\d+(.*)|--\d+(.*)"","""")"),"LA CHAPELLE-MONTMOREAU")</f>
        <v>LA CHAPELLE-MONTMOREAU</v>
      </c>
      <c r="E31292" s="38" t="s">
        <v>261</v>
      </c>
      <c r="F31292" s="38" t="s">
        <v>252</v>
      </c>
      <c r="G31292" s="49" t="str">
        <f t="shared" si="1"/>
        <v>24300</v>
      </c>
      <c r="H31292" s="49">
        <f t="shared" si="2"/>
        <v>24111</v>
      </c>
    </row>
    <row r="31293">
      <c r="A31293" s="48" t="s">
        <v>5479</v>
      </c>
      <c r="B31293" s="38">
        <v>67336.0</v>
      </c>
      <c r="C31293" s="38" t="s">
        <v>35633</v>
      </c>
      <c r="D31293" s="38" t="str">
        <f>IFERROR(__xludf.DUMMYFUNCTION("REGEXREPLACE(C31293,""-\d+(.*)|--\d+(.*)"","""")"),"NORDHOUSE")</f>
        <v>NORDHOUSE</v>
      </c>
      <c r="E31293" s="38" t="s">
        <v>210</v>
      </c>
      <c r="F31293" s="38" t="s">
        <v>151</v>
      </c>
      <c r="G31293" s="49" t="str">
        <f t="shared" si="1"/>
        <v>67150</v>
      </c>
      <c r="H31293" s="49">
        <f t="shared" si="2"/>
        <v>67336</v>
      </c>
    </row>
    <row r="31294">
      <c r="A31294" s="48" t="s">
        <v>10965</v>
      </c>
      <c r="B31294" s="38">
        <v>80229.0</v>
      </c>
      <c r="C31294" s="38" t="s">
        <v>35634</v>
      </c>
      <c r="D31294" s="38" t="str">
        <f>IFERROR(__xludf.DUMMYFUNCTION("REGEXREPLACE(C31294,""-\d+(.*)|--\d+(.*)"","""")"),"CROUY-SAINT-PIERRE")</f>
        <v>CROUY-SAINT-PIERRE</v>
      </c>
      <c r="E31294" s="38" t="s">
        <v>224</v>
      </c>
      <c r="F31294" s="38" t="s">
        <v>113</v>
      </c>
      <c r="G31294" s="49" t="str">
        <f t="shared" si="1"/>
        <v>80310</v>
      </c>
      <c r="H31294" s="49">
        <f t="shared" si="2"/>
        <v>80229</v>
      </c>
    </row>
    <row r="31295">
      <c r="A31295" s="48" t="s">
        <v>4264</v>
      </c>
      <c r="B31295" s="38">
        <v>69035.0</v>
      </c>
      <c r="C31295" s="38" t="s">
        <v>35635</v>
      </c>
      <c r="D31295" s="38" t="str">
        <f>IFERROR(__xludf.DUMMYFUNCTION("REGEXREPLACE(C31295,""-\d+(.*)|--\d+(.*)"","""")"),"CENVES")</f>
        <v>CENVES</v>
      </c>
      <c r="E31295" s="38" t="s">
        <v>350</v>
      </c>
      <c r="F31295" s="38" t="s">
        <v>102</v>
      </c>
      <c r="G31295" s="49" t="str">
        <f t="shared" si="1"/>
        <v>69840</v>
      </c>
      <c r="H31295" s="49">
        <f t="shared" si="2"/>
        <v>69035</v>
      </c>
    </row>
    <row r="31296">
      <c r="A31296" s="48" t="s">
        <v>3506</v>
      </c>
      <c r="B31296" s="38">
        <v>16332.0</v>
      </c>
      <c r="C31296" s="38" t="s">
        <v>11669</v>
      </c>
      <c r="D31296" s="38" t="str">
        <f>IFERROR(__xludf.DUMMYFUNCTION("REGEXREPLACE(C31296,""-\d+(.*)|--\d+(.*)"","""")"),"SAINT-LEGER")</f>
        <v>SAINT-LEGER</v>
      </c>
      <c r="E31296" s="38" t="s">
        <v>429</v>
      </c>
      <c r="F31296" s="38" t="s">
        <v>338</v>
      </c>
      <c r="G31296" s="49" t="str">
        <f t="shared" si="1"/>
        <v>16250</v>
      </c>
      <c r="H31296" s="49">
        <f t="shared" si="2"/>
        <v>16332</v>
      </c>
    </row>
    <row r="31297">
      <c r="A31297" s="48" t="s">
        <v>12127</v>
      </c>
      <c r="B31297" s="38">
        <v>7187.0</v>
      </c>
      <c r="C31297" s="38" t="s">
        <v>26591</v>
      </c>
      <c r="D31297" s="38" t="str">
        <f>IFERROR(__xludf.DUMMYFUNCTION("REGEXREPLACE(C31297,""-\d+(.*)|--\d+(.*)"","""")"),"PRUNET")</f>
        <v>PRUNET</v>
      </c>
      <c r="E31297" s="38" t="s">
        <v>144</v>
      </c>
      <c r="F31297" s="38" t="s">
        <v>102</v>
      </c>
      <c r="G31297" s="49" t="str">
        <f t="shared" si="1"/>
        <v>07110</v>
      </c>
      <c r="H31297" s="49" t="str">
        <f t="shared" si="2"/>
        <v>07187</v>
      </c>
    </row>
    <row r="31298">
      <c r="A31298" s="48" t="s">
        <v>35636</v>
      </c>
      <c r="B31298" s="38">
        <v>44047.0</v>
      </c>
      <c r="C31298" s="38" t="s">
        <v>35637</v>
      </c>
      <c r="D31298" s="38" t="str">
        <f>IFERROR(__xludf.DUMMYFUNCTION("REGEXREPLACE(C31298,""-\d+(.*)|--\d+(.*)"","""")"),"COUERON")</f>
        <v>COUERON</v>
      </c>
      <c r="E31298" s="38" t="s">
        <v>759</v>
      </c>
      <c r="F31298" s="38" t="s">
        <v>180</v>
      </c>
      <c r="G31298" s="49" t="str">
        <f t="shared" si="1"/>
        <v>44220</v>
      </c>
      <c r="H31298" s="49">
        <f t="shared" si="2"/>
        <v>44047</v>
      </c>
    </row>
    <row r="31299">
      <c r="A31299" s="48" t="s">
        <v>11240</v>
      </c>
      <c r="B31299" s="38">
        <v>51232.0</v>
      </c>
      <c r="C31299" s="38" t="s">
        <v>35638</v>
      </c>
      <c r="D31299" s="38" t="str">
        <f>IFERROR(__xludf.DUMMYFUNCTION("REGEXREPLACE(C31299,""-\d+(.*)|--\d+(.*)"","""")"),"EPOYE")</f>
        <v>EPOYE</v>
      </c>
      <c r="E31299" s="38" t="s">
        <v>129</v>
      </c>
      <c r="F31299" s="38" t="s">
        <v>130</v>
      </c>
      <c r="G31299" s="49" t="str">
        <f t="shared" si="1"/>
        <v>51490</v>
      </c>
      <c r="H31299" s="49">
        <f t="shared" si="2"/>
        <v>51232</v>
      </c>
    </row>
    <row r="31300">
      <c r="A31300" s="48" t="s">
        <v>1170</v>
      </c>
      <c r="B31300" s="38">
        <v>14469.0</v>
      </c>
      <c r="C31300" s="38" t="s">
        <v>35639</v>
      </c>
      <c r="D31300" s="38" t="str">
        <f>IFERROR(__xludf.DUMMYFUNCTION("REGEXREPLACE(C31300,""-\d+(.*)|--\d+(.*)"","""")"),"NORREY-EN-AUGE")</f>
        <v>NORREY-EN-AUGE</v>
      </c>
      <c r="E31300" s="38" t="s">
        <v>137</v>
      </c>
      <c r="F31300" s="38" t="s">
        <v>138</v>
      </c>
      <c r="G31300" s="49" t="str">
        <f t="shared" si="1"/>
        <v>14620</v>
      </c>
      <c r="H31300" s="49">
        <f t="shared" si="2"/>
        <v>14469</v>
      </c>
    </row>
    <row r="31301">
      <c r="A31301" s="48" t="s">
        <v>15207</v>
      </c>
      <c r="B31301" s="38">
        <v>74013.0</v>
      </c>
      <c r="C31301" s="38" t="s">
        <v>35640</v>
      </c>
      <c r="D31301" s="38" t="str">
        <f>IFERROR(__xludf.DUMMYFUNCTION("REGEXREPLACE(C31301,""-\d+(.*)|--\d+(.*)"","""")"),"ANTHY-SUR-LEMAN")</f>
        <v>ANTHY-SUR-LEMAN</v>
      </c>
      <c r="E31301" s="38" t="s">
        <v>319</v>
      </c>
      <c r="F31301" s="38" t="s">
        <v>102</v>
      </c>
      <c r="G31301" s="49" t="str">
        <f t="shared" si="1"/>
        <v>74200</v>
      </c>
      <c r="H31301" s="49">
        <f t="shared" si="2"/>
        <v>74013</v>
      </c>
    </row>
    <row r="31302">
      <c r="A31302" s="48" t="s">
        <v>2554</v>
      </c>
      <c r="B31302" s="38">
        <v>95625.0</v>
      </c>
      <c r="C31302" s="38" t="s">
        <v>35641</v>
      </c>
      <c r="D31302" s="38" t="str">
        <f>IFERROR(__xludf.DUMMYFUNCTION("REGEXREPLACE(C31302,""-\d+(.*)|--\d+(.*)"","""")"),"US")</f>
        <v>US</v>
      </c>
      <c r="E31302" s="38" t="s">
        <v>541</v>
      </c>
      <c r="F31302" s="38" t="s">
        <v>245</v>
      </c>
      <c r="G31302" s="49" t="str">
        <f t="shared" si="1"/>
        <v>95450</v>
      </c>
      <c r="H31302" s="49">
        <f t="shared" si="2"/>
        <v>95625</v>
      </c>
    </row>
    <row r="31303">
      <c r="A31303" s="48" t="s">
        <v>2805</v>
      </c>
      <c r="B31303" s="38">
        <v>23038.0</v>
      </c>
      <c r="C31303" s="38" t="s">
        <v>35642</v>
      </c>
      <c r="D31303" s="38" t="str">
        <f>IFERROR(__xludf.DUMMYFUNCTION("REGEXREPLACE(C31303,""-\d+(.*)|--\d+(.*)"","""")"),"BUSSIERE-SAINT-GEORGES")</f>
        <v>BUSSIERE-SAINT-GEORGES</v>
      </c>
      <c r="E31303" s="38" t="s">
        <v>97</v>
      </c>
      <c r="F31303" s="38" t="s">
        <v>98</v>
      </c>
      <c r="G31303" s="49" t="str">
        <f t="shared" si="1"/>
        <v>23600</v>
      </c>
      <c r="H31303" s="49">
        <f t="shared" si="2"/>
        <v>23038</v>
      </c>
    </row>
    <row r="31304">
      <c r="A31304" s="48" t="s">
        <v>910</v>
      </c>
      <c r="B31304" s="38">
        <v>32295.0</v>
      </c>
      <c r="C31304" s="38" t="s">
        <v>21015</v>
      </c>
      <c r="D31304" s="38" t="str">
        <f>IFERROR(__xludf.DUMMYFUNCTION("REGEXREPLACE(C31304,""-\d+(.*)|--\d+(.*)"","""")"),"NIZAS")</f>
        <v>NIZAS</v>
      </c>
      <c r="E31304" s="38" t="s">
        <v>440</v>
      </c>
      <c r="F31304" s="38" t="s">
        <v>94</v>
      </c>
      <c r="G31304" s="49" t="str">
        <f t="shared" si="1"/>
        <v>32130</v>
      </c>
      <c r="H31304" s="49">
        <f t="shared" si="2"/>
        <v>32295</v>
      </c>
    </row>
    <row r="31305">
      <c r="A31305" s="48" t="s">
        <v>7988</v>
      </c>
      <c r="B31305" s="38">
        <v>24432.0</v>
      </c>
      <c r="C31305" s="38" t="s">
        <v>35643</v>
      </c>
      <c r="D31305" s="38" t="str">
        <f>IFERROR(__xludf.DUMMYFUNCTION("REGEXREPLACE(C31305,""-\d+(.*)|--\d+(.*)"","""")"),"SAINT-JULIEN-DE-LAMPON")</f>
        <v>SAINT-JULIEN-DE-LAMPON</v>
      </c>
      <c r="E31305" s="38" t="s">
        <v>261</v>
      </c>
      <c r="F31305" s="38" t="s">
        <v>252</v>
      </c>
      <c r="G31305" s="49" t="str">
        <f t="shared" si="1"/>
        <v>24370</v>
      </c>
      <c r="H31305" s="49">
        <f t="shared" si="2"/>
        <v>24432</v>
      </c>
    </row>
    <row r="31306">
      <c r="A31306" s="48" t="s">
        <v>6858</v>
      </c>
      <c r="B31306" s="38">
        <v>71137.0</v>
      </c>
      <c r="C31306" s="38" t="s">
        <v>35644</v>
      </c>
      <c r="D31306" s="38" t="str">
        <f>IFERROR(__xludf.DUMMYFUNCTION("REGEXREPLACE(C31306,""-\d+(.*)|--\d+(.*)"","""")"),"CLUNY")</f>
        <v>CLUNY</v>
      </c>
      <c r="E31306" s="38" t="s">
        <v>344</v>
      </c>
      <c r="F31306" s="38" t="s">
        <v>106</v>
      </c>
      <c r="G31306" s="49" t="str">
        <f t="shared" si="1"/>
        <v>71250</v>
      </c>
      <c r="H31306" s="49">
        <f t="shared" si="2"/>
        <v>71137</v>
      </c>
    </row>
    <row r="31307">
      <c r="A31307" s="48" t="s">
        <v>1542</v>
      </c>
      <c r="B31307" s="38">
        <v>24388.0</v>
      </c>
      <c r="C31307" s="38" t="s">
        <v>35645</v>
      </c>
      <c r="D31307" s="38" t="str">
        <f>IFERROR(__xludf.DUMMYFUNCTION("REGEXREPLACE(C31307,""-\d+(.*)|--\d+(.*)"","""")"),"SAINT-CHAMASSY")</f>
        <v>SAINT-CHAMASSY</v>
      </c>
      <c r="E31307" s="38" t="s">
        <v>261</v>
      </c>
      <c r="F31307" s="38" t="s">
        <v>252</v>
      </c>
      <c r="G31307" s="49" t="str">
        <f t="shared" si="1"/>
        <v>24260</v>
      </c>
      <c r="H31307" s="49">
        <f t="shared" si="2"/>
        <v>24388</v>
      </c>
    </row>
    <row r="31308">
      <c r="A31308" s="48" t="s">
        <v>2447</v>
      </c>
      <c r="B31308" s="38">
        <v>42230.0</v>
      </c>
      <c r="C31308" s="38" t="s">
        <v>35646</v>
      </c>
      <c r="D31308" s="38" t="str">
        <f>IFERROR(__xludf.DUMMYFUNCTION("REGEXREPLACE(C31308,""-\d+(.*)|--\d+(.*)"","""")"),"SAINT-GERMAIN-LAVAL")</f>
        <v>SAINT-GERMAIN-LAVAL</v>
      </c>
      <c r="E31308" s="38" t="s">
        <v>166</v>
      </c>
      <c r="F31308" s="38" t="s">
        <v>102</v>
      </c>
      <c r="G31308" s="49" t="str">
        <f t="shared" si="1"/>
        <v>42260</v>
      </c>
      <c r="H31308" s="49">
        <f t="shared" si="2"/>
        <v>42230</v>
      </c>
    </row>
    <row r="31309">
      <c r="A31309" s="48" t="s">
        <v>4270</v>
      </c>
      <c r="B31309" s="38">
        <v>76242.0</v>
      </c>
      <c r="C31309" s="38" t="s">
        <v>35647</v>
      </c>
      <c r="D31309" s="38" t="str">
        <f>IFERROR(__xludf.DUMMYFUNCTION("REGEXREPLACE(C31309,""-\d+(.*)|--\d+(.*)"","""")"),"ERNEMONT-LA-VILLETTE")</f>
        <v>ERNEMONT-LA-VILLETTE</v>
      </c>
      <c r="E31309" s="38" t="s">
        <v>133</v>
      </c>
      <c r="F31309" s="38" t="s">
        <v>134</v>
      </c>
      <c r="G31309" s="49" t="str">
        <f t="shared" si="1"/>
        <v>76220</v>
      </c>
      <c r="H31309" s="49">
        <f t="shared" si="2"/>
        <v>76242</v>
      </c>
    </row>
    <row r="31310">
      <c r="A31310" s="48" t="s">
        <v>14258</v>
      </c>
      <c r="B31310" s="38">
        <v>34040.0</v>
      </c>
      <c r="C31310" s="38" t="s">
        <v>35648</v>
      </c>
      <c r="D31310" s="38" t="str">
        <f>IFERROR(__xludf.DUMMYFUNCTION("REGEXREPLACE(C31310,""-\d+(.*)|--\d+(.*)"","""")"),"BRENAS")</f>
        <v>BRENAS</v>
      </c>
      <c r="E31310" s="38" t="s">
        <v>118</v>
      </c>
      <c r="F31310" s="38" t="s">
        <v>119</v>
      </c>
      <c r="G31310" s="49" t="str">
        <f t="shared" si="1"/>
        <v>34650</v>
      </c>
      <c r="H31310" s="49">
        <f t="shared" si="2"/>
        <v>34040</v>
      </c>
    </row>
    <row r="31311">
      <c r="A31311" s="48" t="s">
        <v>17820</v>
      </c>
      <c r="B31311" s="38">
        <v>14325.0</v>
      </c>
      <c r="C31311" s="38" t="s">
        <v>35649</v>
      </c>
      <c r="D31311" s="38" t="str">
        <f>IFERROR(__xludf.DUMMYFUNCTION("REGEXREPLACE(C31311,""-\d+(.*)|--\d+(.*)"","""")"),"HERMANVILLE-SUR-MER")</f>
        <v>HERMANVILLE-SUR-MER</v>
      </c>
      <c r="E31311" s="38" t="s">
        <v>137</v>
      </c>
      <c r="F31311" s="38" t="s">
        <v>138</v>
      </c>
      <c r="G31311" s="49" t="str">
        <f t="shared" si="1"/>
        <v>14880</v>
      </c>
      <c r="H31311" s="49">
        <f t="shared" si="2"/>
        <v>14325</v>
      </c>
    </row>
    <row r="31312">
      <c r="A31312" s="48" t="s">
        <v>2946</v>
      </c>
      <c r="B31312" s="38">
        <v>51147.0</v>
      </c>
      <c r="C31312" s="38" t="s">
        <v>35650</v>
      </c>
      <c r="D31312" s="38" t="str">
        <f>IFERROR(__xludf.DUMMYFUNCTION("REGEXREPLACE(C31312,""-\d+(.*)|--\d+(.*)"","""")"),"LA CHEPPE")</f>
        <v>LA CHEPPE</v>
      </c>
      <c r="E31312" s="38" t="s">
        <v>129</v>
      </c>
      <c r="F31312" s="38" t="s">
        <v>130</v>
      </c>
      <c r="G31312" s="49" t="str">
        <f t="shared" si="1"/>
        <v>51600</v>
      </c>
      <c r="H31312" s="49">
        <f t="shared" si="2"/>
        <v>51147</v>
      </c>
    </row>
    <row r="31313">
      <c r="A31313" s="48" t="s">
        <v>2534</v>
      </c>
      <c r="B31313" s="38">
        <v>27344.0</v>
      </c>
      <c r="C31313" s="38" t="s">
        <v>35651</v>
      </c>
      <c r="D31313" s="38" t="str">
        <f>IFERROR(__xludf.DUMMYFUNCTION("REGEXREPLACE(C31313,""-\d+(.*)|--\d+(.*)"","""")"),"HOULBEC-PRES-LE-GROS-THEIL")</f>
        <v>HOULBEC-PRES-LE-GROS-THEIL</v>
      </c>
      <c r="E31313" s="38" t="s">
        <v>241</v>
      </c>
      <c r="F31313" s="38" t="s">
        <v>134</v>
      </c>
      <c r="G31313" s="49" t="str">
        <f t="shared" si="1"/>
        <v>27370</v>
      </c>
      <c r="H31313" s="49">
        <f t="shared" si="2"/>
        <v>27344</v>
      </c>
    </row>
    <row r="31314">
      <c r="A31314" s="48" t="s">
        <v>15028</v>
      </c>
      <c r="B31314" s="38">
        <v>79089.0</v>
      </c>
      <c r="C31314" s="38" t="s">
        <v>35652</v>
      </c>
      <c r="D31314" s="38" t="str">
        <f>IFERROR(__xludf.DUMMYFUNCTION("REGEXREPLACE(C31314,""-\d+(.*)|--\d+(.*)"","""")"),"LE CHILLOU")</f>
        <v>LE CHILLOU</v>
      </c>
      <c r="E31314" s="38" t="s">
        <v>337</v>
      </c>
      <c r="F31314" s="38" t="s">
        <v>338</v>
      </c>
      <c r="G31314" s="49" t="str">
        <f t="shared" si="1"/>
        <v>79600</v>
      </c>
      <c r="H31314" s="49">
        <f t="shared" si="2"/>
        <v>79089</v>
      </c>
    </row>
    <row r="31315">
      <c r="A31315" s="48" t="s">
        <v>35653</v>
      </c>
      <c r="B31315" s="38">
        <v>13101.0</v>
      </c>
      <c r="C31315" s="38" t="s">
        <v>35654</v>
      </c>
      <c r="D31315" s="38" t="str">
        <f>IFERROR(__xludf.DUMMYFUNCTION("REGEXREPLACE(C31315,""-\d+(.*)|--\d+(.*)"","""")"),"SAINT-SAVOURNIN")</f>
        <v>SAINT-SAVOURNIN</v>
      </c>
      <c r="E31315" s="38" t="s">
        <v>980</v>
      </c>
      <c r="F31315" s="38" t="s">
        <v>228</v>
      </c>
      <c r="G31315" s="49" t="str">
        <f t="shared" si="1"/>
        <v>13119</v>
      </c>
      <c r="H31315" s="49">
        <f t="shared" si="2"/>
        <v>13101</v>
      </c>
    </row>
    <row r="31316">
      <c r="A31316" s="48" t="s">
        <v>5732</v>
      </c>
      <c r="B31316" s="38">
        <v>12286.0</v>
      </c>
      <c r="C31316" s="38" t="s">
        <v>35655</v>
      </c>
      <c r="D31316" s="38" t="str">
        <f>IFERROR(__xludf.DUMMYFUNCTION("REGEXREPLACE(C31316,""-\d+(.*)|--\d+(.*)"","""")"),"VABRES-L'ABBAYE")</f>
        <v>VABRES-L'ABBAYE</v>
      </c>
      <c r="E31316" s="38" t="s">
        <v>465</v>
      </c>
      <c r="F31316" s="38" t="s">
        <v>94</v>
      </c>
      <c r="G31316" s="49" t="str">
        <f t="shared" si="1"/>
        <v>12400</v>
      </c>
      <c r="H31316" s="49">
        <f t="shared" si="2"/>
        <v>12286</v>
      </c>
    </row>
    <row r="31317">
      <c r="A31317" s="48" t="s">
        <v>3755</v>
      </c>
      <c r="B31317" s="38">
        <v>76758.0</v>
      </c>
      <c r="C31317" s="38" t="s">
        <v>35656</v>
      </c>
      <c r="D31317" s="38" t="str">
        <f>IFERROR(__xludf.DUMMYFUNCTION("REGEXREPLACE(C31317,""-\d+(.*)|--\d+(.*)"","""")"),"YVETOT")</f>
        <v>YVETOT</v>
      </c>
      <c r="E31317" s="38" t="s">
        <v>133</v>
      </c>
      <c r="F31317" s="38" t="s">
        <v>134</v>
      </c>
      <c r="G31317" s="49" t="str">
        <f t="shared" si="1"/>
        <v>76190</v>
      </c>
      <c r="H31317" s="49">
        <f t="shared" si="2"/>
        <v>76758</v>
      </c>
    </row>
    <row r="31318">
      <c r="A31318" s="48" t="s">
        <v>5012</v>
      </c>
      <c r="B31318" s="38">
        <v>55266.0</v>
      </c>
      <c r="C31318" s="38" t="s">
        <v>35657</v>
      </c>
      <c r="D31318" s="38" t="str">
        <f>IFERROR(__xludf.DUMMYFUNCTION("REGEXREPLACE(C31318,""-\d+(.*)|--\d+(.*)"","""")"),"LACHALADE")</f>
        <v>LACHALADE</v>
      </c>
      <c r="E31318" s="38" t="s">
        <v>322</v>
      </c>
      <c r="F31318" s="38" t="s">
        <v>195</v>
      </c>
      <c r="G31318" s="49" t="str">
        <f t="shared" si="1"/>
        <v>55120</v>
      </c>
      <c r="H31318" s="49">
        <f t="shared" si="2"/>
        <v>55266</v>
      </c>
    </row>
    <row r="31319">
      <c r="A31319" s="48" t="s">
        <v>6186</v>
      </c>
      <c r="B31319" s="38">
        <v>68300.0</v>
      </c>
      <c r="C31319" s="38" t="s">
        <v>35658</v>
      </c>
      <c r="D31319" s="38" t="str">
        <f>IFERROR(__xludf.DUMMYFUNCTION("REGEXREPLACE(C31319,""-\d+(.*)|--\d+(.*)"","""")"),"SAUSHEIM")</f>
        <v>SAUSHEIM</v>
      </c>
      <c r="E31319" s="38" t="s">
        <v>150</v>
      </c>
      <c r="F31319" s="38" t="s">
        <v>151</v>
      </c>
      <c r="G31319" s="49" t="str">
        <f t="shared" si="1"/>
        <v>68390</v>
      </c>
      <c r="H31319" s="49">
        <f t="shared" si="2"/>
        <v>68300</v>
      </c>
    </row>
    <row r="31320">
      <c r="A31320" s="48" t="s">
        <v>16073</v>
      </c>
      <c r="B31320" s="38">
        <v>25625.0</v>
      </c>
      <c r="C31320" s="38" t="s">
        <v>35659</v>
      </c>
      <c r="D31320" s="38" t="str">
        <f>IFERROR(__xludf.DUMMYFUNCTION("REGEXREPLACE(C31320,""-\d+(.*)|--\d+(.*)"","""")"),"VILLERS-LA-COMBE")</f>
        <v>VILLERS-LA-COMBE</v>
      </c>
      <c r="E31320" s="38" t="s">
        <v>213</v>
      </c>
      <c r="F31320" s="38" t="s">
        <v>214</v>
      </c>
      <c r="G31320" s="49" t="str">
        <f t="shared" si="1"/>
        <v>25510</v>
      </c>
      <c r="H31320" s="49">
        <f t="shared" si="2"/>
        <v>25625</v>
      </c>
    </row>
    <row r="31321">
      <c r="A31321" s="48" t="s">
        <v>3637</v>
      </c>
      <c r="B31321" s="38">
        <v>63045.0</v>
      </c>
      <c r="C31321" s="38" t="s">
        <v>35660</v>
      </c>
      <c r="D31321" s="38" t="str">
        <f>IFERROR(__xludf.DUMMYFUNCTION("REGEXREPLACE(C31321,""-\d+(.*)|--\d+(.*)"","""")"),"BORT-L'ETANG")</f>
        <v>BORT-L'ETANG</v>
      </c>
      <c r="E31321" s="38" t="s">
        <v>353</v>
      </c>
      <c r="F31321" s="38" t="s">
        <v>161</v>
      </c>
      <c r="G31321" s="49" t="str">
        <f t="shared" si="1"/>
        <v>63190</v>
      </c>
      <c r="H31321" s="49">
        <f t="shared" si="2"/>
        <v>63045</v>
      </c>
    </row>
    <row r="31322">
      <c r="A31322" s="48" t="s">
        <v>11952</v>
      </c>
      <c r="B31322" s="38">
        <v>35202.0</v>
      </c>
      <c r="C31322" s="38" t="s">
        <v>35661</v>
      </c>
      <c r="D31322" s="38" t="str">
        <f>IFERROR(__xludf.DUMMYFUNCTION("REGEXREPLACE(C31322,""-\d+(.*)|--\d+(.*)"","""")"),"LA NOE-BLANCHE")</f>
        <v>LA NOE-BLANCHE</v>
      </c>
      <c r="E31322" s="38" t="s">
        <v>347</v>
      </c>
      <c r="F31322" s="38" t="s">
        <v>90</v>
      </c>
      <c r="G31322" s="49" t="str">
        <f t="shared" si="1"/>
        <v>35470</v>
      </c>
      <c r="H31322" s="49">
        <f t="shared" si="2"/>
        <v>35202</v>
      </c>
    </row>
    <row r="31323">
      <c r="A31323" s="48" t="s">
        <v>4123</v>
      </c>
      <c r="B31323" s="38">
        <v>60301.0</v>
      </c>
      <c r="C31323" s="38" t="s">
        <v>19827</v>
      </c>
      <c r="D31323" s="38" t="str">
        <f>IFERROR(__xludf.DUMMYFUNCTION("REGEXREPLACE(C31323,""-\d+(.*)|--\d+(.*)"","""")"),"HAUCOURT")</f>
        <v>HAUCOURT</v>
      </c>
      <c r="E31323" s="38" t="s">
        <v>112</v>
      </c>
      <c r="F31323" s="38" t="s">
        <v>113</v>
      </c>
      <c r="G31323" s="49" t="str">
        <f t="shared" si="1"/>
        <v>60112</v>
      </c>
      <c r="H31323" s="49">
        <f t="shared" si="2"/>
        <v>60301</v>
      </c>
    </row>
    <row r="31324">
      <c r="A31324" s="48" t="s">
        <v>8629</v>
      </c>
      <c r="B31324" s="38">
        <v>7153.0</v>
      </c>
      <c r="C31324" s="38" t="s">
        <v>35662</v>
      </c>
      <c r="D31324" s="38" t="str">
        <f>IFERROR(__xludf.DUMMYFUNCTION("REGEXREPLACE(C31324,""-\d+(.*)|--\d+(.*)"","""")"),"MAYRES")</f>
        <v>MAYRES</v>
      </c>
      <c r="E31324" s="38" t="s">
        <v>144</v>
      </c>
      <c r="F31324" s="38" t="s">
        <v>102</v>
      </c>
      <c r="G31324" s="49" t="str">
        <f t="shared" si="1"/>
        <v>07330</v>
      </c>
      <c r="H31324" s="49" t="str">
        <f t="shared" si="2"/>
        <v>07153</v>
      </c>
    </row>
    <row r="31325">
      <c r="A31325" s="48" t="s">
        <v>7784</v>
      </c>
      <c r="B31325" s="38">
        <v>30137.0</v>
      </c>
      <c r="C31325" s="38" t="s">
        <v>35663</v>
      </c>
      <c r="D31325" s="38" t="str">
        <f>IFERROR(__xludf.DUMMYFUNCTION("REGEXREPLACE(C31325,""-\d+(.*)|--\d+(.*)"","""")"),"LAMELOUZE")</f>
        <v>LAMELOUZE</v>
      </c>
      <c r="E31325" s="38" t="s">
        <v>526</v>
      </c>
      <c r="F31325" s="38" t="s">
        <v>119</v>
      </c>
      <c r="G31325" s="49" t="str">
        <f t="shared" si="1"/>
        <v>30110</v>
      </c>
      <c r="H31325" s="49">
        <f t="shared" si="2"/>
        <v>30137</v>
      </c>
    </row>
    <row r="31326">
      <c r="A31326" s="48" t="s">
        <v>22573</v>
      </c>
      <c r="B31326" s="38">
        <v>18043.0</v>
      </c>
      <c r="C31326" s="38" t="s">
        <v>35664</v>
      </c>
      <c r="D31326" s="38" t="str">
        <f>IFERROR(__xludf.DUMMYFUNCTION("REGEXREPLACE(C31326,""-\d+(.*)|--\d+(.*)"","""")"),"LA CELLE-CONDE")</f>
        <v>LA CELLE-CONDE</v>
      </c>
      <c r="E31326" s="38" t="s">
        <v>504</v>
      </c>
      <c r="F31326" s="38" t="s">
        <v>123</v>
      </c>
      <c r="G31326" s="49" t="str">
        <f t="shared" si="1"/>
        <v>18160</v>
      </c>
      <c r="H31326" s="49">
        <f t="shared" si="2"/>
        <v>18043</v>
      </c>
    </row>
    <row r="31327">
      <c r="A31327" s="48" t="s">
        <v>12029</v>
      </c>
      <c r="B31327" s="38">
        <v>84021.0</v>
      </c>
      <c r="C31327" s="38" t="s">
        <v>35665</v>
      </c>
      <c r="D31327" s="38" t="str">
        <f>IFERROR(__xludf.DUMMYFUNCTION("REGEXREPLACE(C31327,""-\d+(.*)|--\d+(.*)"","""")"),"BRANTES")</f>
        <v>BRANTES</v>
      </c>
      <c r="E31327" s="38" t="s">
        <v>1026</v>
      </c>
      <c r="F31327" s="38" t="s">
        <v>228</v>
      </c>
      <c r="G31327" s="49" t="str">
        <f t="shared" si="1"/>
        <v>84390</v>
      </c>
      <c r="H31327" s="49">
        <f t="shared" si="2"/>
        <v>84021</v>
      </c>
    </row>
    <row r="31328">
      <c r="A31328" s="48" t="s">
        <v>3806</v>
      </c>
      <c r="B31328" s="38">
        <v>7206.0</v>
      </c>
      <c r="C31328" s="38" t="s">
        <v>35666</v>
      </c>
      <c r="D31328" s="38" t="str">
        <f>IFERROR(__xludf.DUMMYFUNCTION("REGEXREPLACE(C31328,""-\d+(.*)|--\d+(.*)"","""")"),"SAINT-ALBAN-EN-MONTAGNE")</f>
        <v>SAINT-ALBAN-EN-MONTAGNE</v>
      </c>
      <c r="E31328" s="38" t="s">
        <v>144</v>
      </c>
      <c r="F31328" s="38" t="s">
        <v>102</v>
      </c>
      <c r="G31328" s="49" t="str">
        <f t="shared" si="1"/>
        <v>07590</v>
      </c>
      <c r="H31328" s="49" t="str">
        <f t="shared" si="2"/>
        <v>07206</v>
      </c>
    </row>
    <row r="31329">
      <c r="A31329" s="48" t="s">
        <v>4101</v>
      </c>
      <c r="B31329" s="38">
        <v>30336.0</v>
      </c>
      <c r="C31329" s="38" t="s">
        <v>35667</v>
      </c>
      <c r="D31329" s="38" t="str">
        <f>IFERROR(__xludf.DUMMYFUNCTION("REGEXREPLACE(C31329,""-\d+(.*)|--\d+(.*)"","""")"),"VALLABREGUES")</f>
        <v>VALLABREGUES</v>
      </c>
      <c r="E31329" s="38" t="s">
        <v>526</v>
      </c>
      <c r="F31329" s="38" t="s">
        <v>119</v>
      </c>
      <c r="G31329" s="49" t="str">
        <f t="shared" si="1"/>
        <v>30300</v>
      </c>
      <c r="H31329" s="49">
        <f t="shared" si="2"/>
        <v>30336</v>
      </c>
    </row>
    <row r="31330">
      <c r="A31330" s="48" t="s">
        <v>2515</v>
      </c>
      <c r="B31330" s="38">
        <v>87103.0</v>
      </c>
      <c r="C31330" s="38" t="s">
        <v>35668</v>
      </c>
      <c r="D31330" s="38" t="str">
        <f>IFERROR(__xludf.DUMMYFUNCTION("REGEXREPLACE(C31330,""-\d+(.*)|--\d+(.*)"","""")"),"NANTIAT")</f>
        <v>NANTIAT</v>
      </c>
      <c r="E31330" s="38" t="s">
        <v>897</v>
      </c>
      <c r="F31330" s="38" t="s">
        <v>98</v>
      </c>
      <c r="G31330" s="49" t="str">
        <f t="shared" si="1"/>
        <v>87140</v>
      </c>
      <c r="H31330" s="49">
        <f t="shared" si="2"/>
        <v>87103</v>
      </c>
    </row>
    <row r="31331">
      <c r="A31331" s="48" t="s">
        <v>4706</v>
      </c>
      <c r="B31331" s="38">
        <v>74073.0</v>
      </c>
      <c r="C31331" s="38" t="s">
        <v>35669</v>
      </c>
      <c r="D31331" s="38" t="str">
        <f>IFERROR(__xludf.DUMMYFUNCTION("REGEXREPLACE(C31331,""-\d+(.*)|--\d+(.*)"","""")"),"CHEVENOZ")</f>
        <v>CHEVENOZ</v>
      </c>
      <c r="E31331" s="38" t="s">
        <v>319</v>
      </c>
      <c r="F31331" s="38" t="s">
        <v>102</v>
      </c>
      <c r="G31331" s="49" t="str">
        <f t="shared" si="1"/>
        <v>74500</v>
      </c>
      <c r="H31331" s="49">
        <f t="shared" si="2"/>
        <v>74073</v>
      </c>
    </row>
    <row r="31332">
      <c r="A31332" s="48" t="s">
        <v>12009</v>
      </c>
      <c r="B31332" s="38">
        <v>71263.0</v>
      </c>
      <c r="C31332" s="38" t="s">
        <v>35670</v>
      </c>
      <c r="D31332" s="38" t="str">
        <f>IFERROR(__xludf.DUMMYFUNCTION("REGEXREPLACE(C31332,""-\d+(.*)|--\d+(.*)"","""")"),"LOUHANS")</f>
        <v>LOUHANS</v>
      </c>
      <c r="E31332" s="38" t="s">
        <v>344</v>
      </c>
      <c r="F31332" s="38" t="s">
        <v>106</v>
      </c>
      <c r="G31332" s="49" t="str">
        <f t="shared" si="1"/>
        <v>71500</v>
      </c>
      <c r="H31332" s="49">
        <f t="shared" si="2"/>
        <v>71263</v>
      </c>
    </row>
    <row r="31333">
      <c r="A31333" s="48" t="s">
        <v>1947</v>
      </c>
      <c r="B31333" s="38">
        <v>52174.0</v>
      </c>
      <c r="C31333" s="38" t="s">
        <v>35671</v>
      </c>
      <c r="D31333" s="38" t="str">
        <f>IFERROR(__xludf.DUMMYFUNCTION("REGEXREPLACE(C31333,""-\d+(.*)|--\d+(.*)"","""")"),"DONCOURT-SUR-MEUSE")</f>
        <v>DONCOURT-SUR-MEUSE</v>
      </c>
      <c r="E31333" s="38" t="s">
        <v>234</v>
      </c>
      <c r="F31333" s="38" t="s">
        <v>130</v>
      </c>
      <c r="G31333" s="49" t="str">
        <f t="shared" si="1"/>
        <v>52150</v>
      </c>
      <c r="H31333" s="49">
        <f t="shared" si="2"/>
        <v>52174</v>
      </c>
    </row>
    <row r="31334">
      <c r="A31334" s="48" t="s">
        <v>995</v>
      </c>
      <c r="B31334" s="38">
        <v>31277.0</v>
      </c>
      <c r="C31334" s="38" t="s">
        <v>5510</v>
      </c>
      <c r="D31334" s="38" t="str">
        <f>IFERROR(__xludf.DUMMYFUNCTION("REGEXREPLACE(C31334,""-\d+(.*)|--\d+(.*)"","""")"),"LASSERRE")</f>
        <v>LASSERRE</v>
      </c>
      <c r="E31334" s="38" t="s">
        <v>93</v>
      </c>
      <c r="F31334" s="38" t="s">
        <v>94</v>
      </c>
      <c r="G31334" s="49" t="str">
        <f t="shared" si="1"/>
        <v>31530</v>
      </c>
      <c r="H31334" s="49">
        <f t="shared" si="2"/>
        <v>31277</v>
      </c>
    </row>
    <row r="31335">
      <c r="A31335" s="48" t="s">
        <v>11056</v>
      </c>
      <c r="B31335" s="38">
        <v>3309.0</v>
      </c>
      <c r="C31335" s="38" t="s">
        <v>35672</v>
      </c>
      <c r="D31335" s="38" t="str">
        <f>IFERROR(__xludf.DUMMYFUNCTION("REGEXREPLACE(C31335,""-\d+(.*)|--\d+(.*)"","""")"),"LE VEURDRE")</f>
        <v>LE VEURDRE</v>
      </c>
      <c r="E31335" s="38" t="s">
        <v>160</v>
      </c>
      <c r="F31335" s="38" t="s">
        <v>161</v>
      </c>
      <c r="G31335" s="49" t="str">
        <f t="shared" si="1"/>
        <v>03320</v>
      </c>
      <c r="H31335" s="49" t="str">
        <f t="shared" si="2"/>
        <v>03309</v>
      </c>
    </row>
    <row r="31336">
      <c r="A31336" s="48" t="s">
        <v>20610</v>
      </c>
      <c r="B31336" s="38">
        <v>47069.0</v>
      </c>
      <c r="C31336" s="38" t="s">
        <v>35673</v>
      </c>
      <c r="D31336" s="38" t="str">
        <f>IFERROR(__xludf.DUMMYFUNCTION("REGEXREPLACE(C31336,""-\d+(.*)|--\d+(.*)"","""")"),"COLAYRAC-SAINT-CIRQ")</f>
        <v>COLAYRAC-SAINT-CIRQ</v>
      </c>
      <c r="E31336" s="38" t="s">
        <v>251</v>
      </c>
      <c r="F31336" s="38" t="s">
        <v>252</v>
      </c>
      <c r="G31336" s="49" t="str">
        <f t="shared" si="1"/>
        <v>47450</v>
      </c>
      <c r="H31336" s="49">
        <f t="shared" si="2"/>
        <v>47069</v>
      </c>
    </row>
    <row r="31337">
      <c r="A31337" s="48" t="s">
        <v>12362</v>
      </c>
      <c r="B31337" s="38">
        <v>39294.0</v>
      </c>
      <c r="C31337" s="38" t="s">
        <v>35674</v>
      </c>
      <c r="D31337" s="38" t="str">
        <f>IFERROR(__xludf.DUMMYFUNCTION("REGEXREPLACE(C31337,""-\d+(.*)|--\d+(.*)"","""")"),"LEZAT")</f>
        <v>LEZAT</v>
      </c>
      <c r="E31337" s="38" t="s">
        <v>400</v>
      </c>
      <c r="F31337" s="38" t="s">
        <v>214</v>
      </c>
      <c r="G31337" s="49" t="str">
        <f t="shared" si="1"/>
        <v>39400</v>
      </c>
      <c r="H31337" s="49">
        <f t="shared" si="2"/>
        <v>39294</v>
      </c>
    </row>
    <row r="31338">
      <c r="A31338" s="48" t="s">
        <v>9264</v>
      </c>
      <c r="B31338" s="38">
        <v>32064.0</v>
      </c>
      <c r="C31338" s="38" t="s">
        <v>35675</v>
      </c>
      <c r="D31338" s="38" t="str">
        <f>IFERROR(__xludf.DUMMYFUNCTION("REGEXREPLACE(C31338,""-\d+(.*)|--\d+(.*)"","""")"),"BRETAGNE-D'ARMAGNAC")</f>
        <v>BRETAGNE-D'ARMAGNAC</v>
      </c>
      <c r="E31338" s="38" t="s">
        <v>440</v>
      </c>
      <c r="F31338" s="38" t="s">
        <v>94</v>
      </c>
      <c r="G31338" s="49" t="str">
        <f t="shared" si="1"/>
        <v>32800</v>
      </c>
      <c r="H31338" s="49">
        <f t="shared" si="2"/>
        <v>32064</v>
      </c>
    </row>
    <row r="31339">
      <c r="A31339" s="48" t="s">
        <v>3721</v>
      </c>
      <c r="B31339" s="38">
        <v>71401.0</v>
      </c>
      <c r="C31339" s="38" t="s">
        <v>1715</v>
      </c>
      <c r="D31339" s="38" t="str">
        <f>IFERROR(__xludf.DUMMYFUNCTION("REGEXREPLACE(C31339,""-\d+(.*)|--\d+(.*)"","""")"),"SAINTE-CROIX")</f>
        <v>SAINTE-CROIX</v>
      </c>
      <c r="E31339" s="38" t="s">
        <v>344</v>
      </c>
      <c r="F31339" s="38" t="s">
        <v>106</v>
      </c>
      <c r="G31339" s="49" t="str">
        <f t="shared" si="1"/>
        <v>71470</v>
      </c>
      <c r="H31339" s="49">
        <f t="shared" si="2"/>
        <v>71401</v>
      </c>
    </row>
    <row r="31340">
      <c r="A31340" s="48" t="s">
        <v>2438</v>
      </c>
      <c r="B31340" s="38">
        <v>64340.0</v>
      </c>
      <c r="C31340" s="38" t="s">
        <v>35676</v>
      </c>
      <c r="D31340" s="38" t="str">
        <f>IFERROR(__xludf.DUMMYFUNCTION("REGEXREPLACE(C31340,""-\d+(.*)|--\d+(.*)"","""")"),"LICHANS-SUNHAR")</f>
        <v>LICHANS-SUNHAR</v>
      </c>
      <c r="E31340" s="38" t="s">
        <v>268</v>
      </c>
      <c r="F31340" s="38" t="s">
        <v>252</v>
      </c>
      <c r="G31340" s="49" t="str">
        <f t="shared" si="1"/>
        <v>64470</v>
      </c>
      <c r="H31340" s="49">
        <f t="shared" si="2"/>
        <v>64340</v>
      </c>
    </row>
    <row r="31341">
      <c r="A31341" s="48" t="s">
        <v>8167</v>
      </c>
      <c r="B31341" s="38">
        <v>41053.0</v>
      </c>
      <c r="C31341" s="38" t="s">
        <v>35677</v>
      </c>
      <c r="D31341" s="38" t="str">
        <f>IFERROR(__xludf.DUMMYFUNCTION("REGEXREPLACE(C31341,""-\d+(.*)|--\d+(.*)"","""")"),"CHOUE")</f>
        <v>CHOUE</v>
      </c>
      <c r="E31341" s="38" t="s">
        <v>188</v>
      </c>
      <c r="F31341" s="38" t="s">
        <v>123</v>
      </c>
      <c r="G31341" s="49" t="str">
        <f t="shared" si="1"/>
        <v>41170</v>
      </c>
      <c r="H31341" s="49">
        <f t="shared" si="2"/>
        <v>41053</v>
      </c>
    </row>
    <row r="31342">
      <c r="A31342" s="48" t="s">
        <v>30929</v>
      </c>
      <c r="B31342" s="38">
        <v>52173.0</v>
      </c>
      <c r="C31342" s="38" t="s">
        <v>35678</v>
      </c>
      <c r="D31342" s="38" t="str">
        <f>IFERROR(__xludf.DUMMYFUNCTION("REGEXREPLACE(C31342,""-\d+(.*)|--\d+(.*)"","""")"),"DOMREMY-LANDEVILLE")</f>
        <v>DOMREMY-LANDEVILLE</v>
      </c>
      <c r="E31342" s="38" t="s">
        <v>234</v>
      </c>
      <c r="F31342" s="38" t="s">
        <v>130</v>
      </c>
      <c r="G31342" s="49" t="str">
        <f t="shared" si="1"/>
        <v>52270</v>
      </c>
      <c r="H31342" s="49">
        <f t="shared" si="2"/>
        <v>52173</v>
      </c>
    </row>
    <row r="31343">
      <c r="A31343" s="48" t="s">
        <v>1514</v>
      </c>
      <c r="B31343" s="38">
        <v>70160.0</v>
      </c>
      <c r="C31343" s="38" t="s">
        <v>35679</v>
      </c>
      <c r="D31343" s="38" t="str">
        <f>IFERROR(__xludf.DUMMYFUNCTION("REGEXREPLACE(C31343,""-\d+(.*)|--\d+(.*)"","""")"),"COISEVAUX")</f>
        <v>COISEVAUX</v>
      </c>
      <c r="E31343" s="38" t="s">
        <v>956</v>
      </c>
      <c r="F31343" s="38" t="s">
        <v>214</v>
      </c>
      <c r="G31343" s="49" t="str">
        <f t="shared" si="1"/>
        <v>70400</v>
      </c>
      <c r="H31343" s="49">
        <f t="shared" si="2"/>
        <v>70160</v>
      </c>
    </row>
    <row r="31344">
      <c r="A31344" s="48" t="s">
        <v>24573</v>
      </c>
      <c r="B31344" s="38">
        <v>30107.0</v>
      </c>
      <c r="C31344" s="38" t="s">
        <v>35680</v>
      </c>
      <c r="D31344" s="38" t="str">
        <f>IFERROR(__xludf.DUMMYFUNCTION("REGEXREPLACE(C31344,""-\d+(.*)|--\d+(.*)"","""")"),"ESTEZARGUES")</f>
        <v>ESTEZARGUES</v>
      </c>
      <c r="E31344" s="38" t="s">
        <v>526</v>
      </c>
      <c r="F31344" s="38" t="s">
        <v>119</v>
      </c>
      <c r="G31344" s="49" t="str">
        <f t="shared" si="1"/>
        <v>30390</v>
      </c>
      <c r="H31344" s="49">
        <f t="shared" si="2"/>
        <v>30107</v>
      </c>
    </row>
    <row r="31345">
      <c r="A31345" s="48" t="s">
        <v>1246</v>
      </c>
      <c r="B31345" s="38">
        <v>62598.0</v>
      </c>
      <c r="C31345" s="38" t="s">
        <v>35681</v>
      </c>
      <c r="D31345" s="38" t="str">
        <f>IFERROR(__xludf.DUMMYFUNCTION("REGEXREPLACE(C31345,""-\d+(.*)|--\d+(.*)"","""")"),"MUNCQ-NIEURLET")</f>
        <v>MUNCQ-NIEURLET</v>
      </c>
      <c r="E31345" s="38" t="s">
        <v>109</v>
      </c>
      <c r="F31345" s="38" t="s">
        <v>86</v>
      </c>
      <c r="G31345" s="49" t="str">
        <f t="shared" si="1"/>
        <v>62890</v>
      </c>
      <c r="H31345" s="49">
        <f t="shared" si="2"/>
        <v>62598</v>
      </c>
    </row>
    <row r="31346">
      <c r="A31346" s="48" t="s">
        <v>2368</v>
      </c>
      <c r="B31346" s="38">
        <v>65283.0</v>
      </c>
      <c r="C31346" s="38" t="s">
        <v>35682</v>
      </c>
      <c r="D31346" s="38" t="str">
        <f>IFERROR(__xludf.DUMMYFUNCTION("REGEXREPLACE(C31346,""-\d+(.*)|--\d+(.*)"","""")"),"LOUDERVIELLE")</f>
        <v>LOUDERVIELLE</v>
      </c>
      <c r="E31346" s="38" t="s">
        <v>200</v>
      </c>
      <c r="F31346" s="38" t="s">
        <v>94</v>
      </c>
      <c r="G31346" s="49" t="str">
        <f t="shared" si="1"/>
        <v>65240</v>
      </c>
      <c r="H31346" s="49">
        <f t="shared" si="2"/>
        <v>65283</v>
      </c>
    </row>
    <row r="31347">
      <c r="A31347" s="48" t="s">
        <v>4508</v>
      </c>
      <c r="B31347" s="38">
        <v>77050.0</v>
      </c>
      <c r="C31347" s="38" t="s">
        <v>35683</v>
      </c>
      <c r="D31347" s="38" t="str">
        <f>IFERROR(__xludf.DUMMYFUNCTION("REGEXREPLACE(C31347,""-\d+(.*)|--\d+(.*)"","""")"),"BRANSLES")</f>
        <v>BRANSLES</v>
      </c>
      <c r="E31347" s="38" t="s">
        <v>244</v>
      </c>
      <c r="F31347" s="38" t="s">
        <v>245</v>
      </c>
      <c r="G31347" s="49" t="str">
        <f t="shared" si="1"/>
        <v>77620</v>
      </c>
      <c r="H31347" s="49">
        <f t="shared" si="2"/>
        <v>77050</v>
      </c>
    </row>
    <row r="31348">
      <c r="A31348" s="48" t="s">
        <v>1224</v>
      </c>
      <c r="B31348" s="38">
        <v>18278.0</v>
      </c>
      <c r="C31348" s="38" t="s">
        <v>35684</v>
      </c>
      <c r="D31348" s="38" t="str">
        <f>IFERROR(__xludf.DUMMYFUNCTION("REGEXREPLACE(C31348,""-\d+(.*)|--\d+(.*)"","""")"),"VESDUN")</f>
        <v>VESDUN</v>
      </c>
      <c r="E31348" s="38" t="s">
        <v>504</v>
      </c>
      <c r="F31348" s="38" t="s">
        <v>123</v>
      </c>
      <c r="G31348" s="49" t="str">
        <f t="shared" si="1"/>
        <v>18360</v>
      </c>
      <c r="H31348" s="49">
        <f t="shared" si="2"/>
        <v>18278</v>
      </c>
    </row>
    <row r="31349">
      <c r="A31349" s="48" t="s">
        <v>8523</v>
      </c>
      <c r="B31349" s="38">
        <v>9078.0</v>
      </c>
      <c r="C31349" s="38" t="s">
        <v>35685</v>
      </c>
      <c r="D31349" s="38" t="str">
        <f>IFERROR(__xludf.DUMMYFUNCTION("REGEXREPLACE(C31349,""-\d+(.*)|--\d+(.*)"","""")"),"CARCANIERES")</f>
        <v>CARCANIERES</v>
      </c>
      <c r="E31349" s="38" t="s">
        <v>238</v>
      </c>
      <c r="F31349" s="38" t="s">
        <v>94</v>
      </c>
      <c r="G31349" s="49" t="str">
        <f t="shared" si="1"/>
        <v>09460</v>
      </c>
      <c r="H31349" s="49" t="str">
        <f t="shared" si="2"/>
        <v>09078</v>
      </c>
    </row>
    <row r="31350">
      <c r="A31350" s="48" t="s">
        <v>3483</v>
      </c>
      <c r="B31350" s="38">
        <v>77072.0</v>
      </c>
      <c r="C31350" s="38" t="s">
        <v>35686</v>
      </c>
      <c r="D31350" s="38" t="str">
        <f>IFERROR(__xludf.DUMMYFUNCTION("REGEXREPLACE(C31350,""-\d+(.*)|--\d+(.*)"","""")"),"CHALAUTRE-LA-GRANDE")</f>
        <v>CHALAUTRE-LA-GRANDE</v>
      </c>
      <c r="E31350" s="38" t="s">
        <v>244</v>
      </c>
      <c r="F31350" s="38" t="s">
        <v>245</v>
      </c>
      <c r="G31350" s="49" t="str">
        <f t="shared" si="1"/>
        <v>77171</v>
      </c>
      <c r="H31350" s="49">
        <f t="shared" si="2"/>
        <v>77072</v>
      </c>
    </row>
    <row r="31351">
      <c r="A31351" s="48" t="s">
        <v>4586</v>
      </c>
      <c r="B31351" s="38">
        <v>40073.0</v>
      </c>
      <c r="C31351" s="38" t="s">
        <v>35687</v>
      </c>
      <c r="D31351" s="38" t="str">
        <f>IFERROR(__xludf.DUMMYFUNCTION("REGEXREPLACE(C31351,""-\d+(.*)|--\d+(.*)"","""")"),"CASTELNER")</f>
        <v>CASTELNER</v>
      </c>
      <c r="E31351" s="38" t="s">
        <v>281</v>
      </c>
      <c r="F31351" s="38" t="s">
        <v>252</v>
      </c>
      <c r="G31351" s="49" t="str">
        <f t="shared" si="1"/>
        <v>40700</v>
      </c>
      <c r="H31351" s="49">
        <f t="shared" si="2"/>
        <v>40073</v>
      </c>
    </row>
    <row r="31352">
      <c r="A31352" s="48" t="s">
        <v>889</v>
      </c>
      <c r="B31352" s="38">
        <v>30023.0</v>
      </c>
      <c r="C31352" s="38" t="s">
        <v>35688</v>
      </c>
      <c r="D31352" s="38" t="str">
        <f>IFERROR(__xludf.DUMMYFUNCTION("REGEXREPLACE(C31352,""-\d+(.*)|--\d+(.*)"","""")"),"AUJARGUES")</f>
        <v>AUJARGUES</v>
      </c>
      <c r="E31352" s="38" t="s">
        <v>526</v>
      </c>
      <c r="F31352" s="38" t="s">
        <v>119</v>
      </c>
      <c r="G31352" s="49" t="str">
        <f t="shared" si="1"/>
        <v>30250</v>
      </c>
      <c r="H31352" s="49">
        <f t="shared" si="2"/>
        <v>30023</v>
      </c>
    </row>
    <row r="31353">
      <c r="A31353" s="48" t="s">
        <v>4447</v>
      </c>
      <c r="B31353" s="38">
        <v>39147.0</v>
      </c>
      <c r="C31353" s="38" t="s">
        <v>35689</v>
      </c>
      <c r="D31353" s="38" t="str">
        <f>IFERROR(__xludf.DUMMYFUNCTION("REGEXREPLACE(C31353,""-\d+(.*)|--\d+(.*)"","""")"),"CHILLY-SUR-SALINS")</f>
        <v>CHILLY-SUR-SALINS</v>
      </c>
      <c r="E31353" s="38" t="s">
        <v>400</v>
      </c>
      <c r="F31353" s="38" t="s">
        <v>214</v>
      </c>
      <c r="G31353" s="49" t="str">
        <f t="shared" si="1"/>
        <v>39110</v>
      </c>
      <c r="H31353" s="49">
        <f t="shared" si="2"/>
        <v>39147</v>
      </c>
    </row>
    <row r="31354">
      <c r="A31354" s="48" t="s">
        <v>2156</v>
      </c>
      <c r="B31354" s="38">
        <v>26082.0</v>
      </c>
      <c r="C31354" s="38" t="s">
        <v>35690</v>
      </c>
      <c r="D31354" s="38" t="str">
        <f>IFERROR(__xludf.DUMMYFUNCTION("REGEXREPLACE(C31354,""-\d+(.*)|--\d+(.*)"","""")"),"CHATEAUNEUF-DE-BORDETTE")</f>
        <v>CHATEAUNEUF-DE-BORDETTE</v>
      </c>
      <c r="E31354" s="38" t="s">
        <v>126</v>
      </c>
      <c r="F31354" s="38" t="s">
        <v>102</v>
      </c>
      <c r="G31354" s="49" t="str">
        <f t="shared" si="1"/>
        <v>26110</v>
      </c>
      <c r="H31354" s="49">
        <f t="shared" si="2"/>
        <v>26082</v>
      </c>
    </row>
    <row r="31355">
      <c r="A31355" s="48" t="s">
        <v>15738</v>
      </c>
      <c r="B31355" s="38">
        <v>84029.0</v>
      </c>
      <c r="C31355" s="38" t="s">
        <v>35691</v>
      </c>
      <c r="D31355" s="38" t="str">
        <f>IFERROR(__xludf.DUMMYFUNCTION("REGEXREPLACE(C31355,""-\d+(.*)|--\d+(.*)"","""")"),"CAMARET-SUR-AIGUES")</f>
        <v>CAMARET-SUR-AIGUES</v>
      </c>
      <c r="E31355" s="38" t="s">
        <v>1026</v>
      </c>
      <c r="F31355" s="38" t="s">
        <v>228</v>
      </c>
      <c r="G31355" s="49" t="str">
        <f t="shared" si="1"/>
        <v>84850</v>
      </c>
      <c r="H31355" s="49">
        <f t="shared" si="2"/>
        <v>84029</v>
      </c>
    </row>
    <row r="31356">
      <c r="A31356" s="48" t="s">
        <v>566</v>
      </c>
      <c r="B31356" s="38">
        <v>23132.0</v>
      </c>
      <c r="C31356" s="38" t="s">
        <v>21218</v>
      </c>
      <c r="D31356" s="38" t="str">
        <f>IFERROR(__xludf.DUMMYFUNCTION("REGEXREPLACE(C31356,""-\d+(.*)|--\d+(.*)"","""")"),"MONTAIGUT-LE-BLANC")</f>
        <v>MONTAIGUT-LE-BLANC</v>
      </c>
      <c r="E31356" s="38" t="s">
        <v>97</v>
      </c>
      <c r="F31356" s="38" t="s">
        <v>98</v>
      </c>
      <c r="G31356" s="49" t="str">
        <f t="shared" si="1"/>
        <v>23320</v>
      </c>
      <c r="H31356" s="49">
        <f t="shared" si="2"/>
        <v>23132</v>
      </c>
    </row>
    <row r="31357">
      <c r="A31357" s="48" t="s">
        <v>35692</v>
      </c>
      <c r="B31357" s="38">
        <v>51108.0</v>
      </c>
      <c r="C31357" s="38" t="s">
        <v>35693</v>
      </c>
      <c r="D31357" s="38" t="str">
        <f>IFERROR(__xludf.DUMMYFUNCTION("REGEXREPLACE(C31357,""-\d+(.*)|--\d+(.*)"","""")"),"CHALONS-EN-CHAMPAGNE")</f>
        <v>CHALONS-EN-CHAMPAGNE</v>
      </c>
      <c r="E31357" s="38" t="s">
        <v>129</v>
      </c>
      <c r="F31357" s="38" t="s">
        <v>130</v>
      </c>
      <c r="G31357" s="49" t="str">
        <f t="shared" si="1"/>
        <v>51000</v>
      </c>
      <c r="H31357" s="49">
        <f t="shared" si="2"/>
        <v>51108</v>
      </c>
    </row>
    <row r="31358">
      <c r="A31358" s="48" t="s">
        <v>1439</v>
      </c>
      <c r="B31358" s="38">
        <v>28343.0</v>
      </c>
      <c r="C31358" s="38" t="s">
        <v>35694</v>
      </c>
      <c r="D31358" s="38" t="str">
        <f>IFERROR(__xludf.DUMMYFUNCTION("REGEXREPLACE(C31358,""-\d+(.*)|--\d+(.*)"","""")"),"SAINT-LAURENT-LA-GATINE")</f>
        <v>SAINT-LAURENT-LA-GATINE</v>
      </c>
      <c r="E31358" s="38" t="s">
        <v>300</v>
      </c>
      <c r="F31358" s="38" t="s">
        <v>123</v>
      </c>
      <c r="G31358" s="49" t="str">
        <f t="shared" si="1"/>
        <v>28210</v>
      </c>
      <c r="H31358" s="49">
        <f t="shared" si="2"/>
        <v>28343</v>
      </c>
    </row>
    <row r="31359">
      <c r="A31359" s="48" t="s">
        <v>1763</v>
      </c>
      <c r="B31359" s="38">
        <v>76429.0</v>
      </c>
      <c r="C31359" s="38" t="s">
        <v>35695</v>
      </c>
      <c r="D31359" s="38" t="str">
        <f>IFERROR(__xludf.DUMMYFUNCTION("REGEXREPLACE(C31359,""-\d+(.*)|--\d+(.*)"","""")"),"LE MESNIL-ESNARD")</f>
        <v>LE MESNIL-ESNARD</v>
      </c>
      <c r="E31359" s="38" t="s">
        <v>133</v>
      </c>
      <c r="F31359" s="38" t="s">
        <v>134</v>
      </c>
      <c r="G31359" s="49" t="str">
        <f t="shared" si="1"/>
        <v>76240</v>
      </c>
      <c r="H31359" s="49">
        <f t="shared" si="2"/>
        <v>76429</v>
      </c>
    </row>
    <row r="31360">
      <c r="A31360" s="48" t="s">
        <v>3411</v>
      </c>
      <c r="B31360" s="38">
        <v>40290.0</v>
      </c>
      <c r="C31360" s="38" t="s">
        <v>35696</v>
      </c>
      <c r="D31360" s="38" t="str">
        <f>IFERROR(__xludf.DUMMYFUNCTION("REGEXREPLACE(C31360,""-\d+(.*)|--\d+(.*)"","""")"),"SARRON")</f>
        <v>SARRON</v>
      </c>
      <c r="E31360" s="38" t="s">
        <v>281</v>
      </c>
      <c r="F31360" s="38" t="s">
        <v>252</v>
      </c>
      <c r="G31360" s="49" t="str">
        <f t="shared" si="1"/>
        <v>40800</v>
      </c>
      <c r="H31360" s="49">
        <f t="shared" si="2"/>
        <v>40290</v>
      </c>
    </row>
    <row r="31361">
      <c r="A31361" s="48" t="s">
        <v>3733</v>
      </c>
      <c r="B31361" s="38">
        <v>78276.0</v>
      </c>
      <c r="C31361" s="38" t="s">
        <v>12439</v>
      </c>
      <c r="D31361" s="38" t="str">
        <f>IFERROR(__xludf.DUMMYFUNCTION("REGEXREPLACE(C31361,""-\d+(.*)|--\d+(.*)"","""")"),"GOMMECOURT")</f>
        <v>GOMMECOURT</v>
      </c>
      <c r="E31361" s="38" t="s">
        <v>362</v>
      </c>
      <c r="F31361" s="38" t="s">
        <v>245</v>
      </c>
      <c r="G31361" s="49" t="str">
        <f t="shared" si="1"/>
        <v>78270</v>
      </c>
      <c r="H31361" s="49">
        <f t="shared" si="2"/>
        <v>78276</v>
      </c>
    </row>
    <row r="31362">
      <c r="A31362" s="48" t="s">
        <v>960</v>
      </c>
      <c r="B31362" s="38">
        <v>28082.0</v>
      </c>
      <c r="C31362" s="38" t="s">
        <v>35697</v>
      </c>
      <c r="D31362" s="38" t="str">
        <f>IFERROR(__xludf.DUMMYFUNCTION("REGEXREPLACE(C31362,""-\d+(.*)|--\d+(.*)"","""")"),"CHARPONT")</f>
        <v>CHARPONT</v>
      </c>
      <c r="E31362" s="38" t="s">
        <v>300</v>
      </c>
      <c r="F31362" s="38" t="s">
        <v>123</v>
      </c>
      <c r="G31362" s="49" t="str">
        <f t="shared" si="1"/>
        <v>28500</v>
      </c>
      <c r="H31362" s="49">
        <f t="shared" si="2"/>
        <v>28082</v>
      </c>
    </row>
    <row r="31363">
      <c r="A31363" s="48" t="s">
        <v>14034</v>
      </c>
      <c r="B31363" s="38">
        <v>76476.0</v>
      </c>
      <c r="C31363" s="38" t="s">
        <v>35698</v>
      </c>
      <c r="D31363" s="38" t="str">
        <f>IFERROR(__xludf.DUMMYFUNCTION("REGEXREPLACE(C31363,""-\d+(.*)|--\d+(.*)"","""")"),"NOTRE-DAME-DE-GRAVENCHON")</f>
        <v>NOTRE-DAME-DE-GRAVENCHON</v>
      </c>
      <c r="E31363" s="38" t="s">
        <v>133</v>
      </c>
      <c r="F31363" s="38" t="s">
        <v>134</v>
      </c>
      <c r="G31363" s="49" t="str">
        <f t="shared" si="1"/>
        <v>76330</v>
      </c>
      <c r="H31363" s="49">
        <f t="shared" si="2"/>
        <v>76476</v>
      </c>
    </row>
    <row r="31364">
      <c r="A31364" s="48" t="s">
        <v>28173</v>
      </c>
      <c r="B31364" s="38">
        <v>58097.0</v>
      </c>
      <c r="C31364" s="38" t="s">
        <v>35699</v>
      </c>
      <c r="D31364" s="38" t="str">
        <f>IFERROR(__xludf.DUMMYFUNCTION("REGEXREPLACE(C31364,""-\d+(.*)|--\d+(.*)"","""")"),"DIENNES-AUBIGNY")</f>
        <v>DIENNES-AUBIGNY</v>
      </c>
      <c r="E31364" s="38" t="s">
        <v>219</v>
      </c>
      <c r="F31364" s="38" t="s">
        <v>106</v>
      </c>
      <c r="G31364" s="49" t="str">
        <f t="shared" si="1"/>
        <v>58340</v>
      </c>
      <c r="H31364" s="49">
        <f t="shared" si="2"/>
        <v>58097</v>
      </c>
    </row>
    <row r="31365">
      <c r="A31365" s="48" t="s">
        <v>4065</v>
      </c>
      <c r="B31365" s="38">
        <v>21672.0</v>
      </c>
      <c r="C31365" s="38" t="s">
        <v>35700</v>
      </c>
      <c r="D31365" s="38" t="str">
        <f>IFERROR(__xludf.DUMMYFUNCTION("REGEXREPLACE(C31365,""-\d+(.*)|--\d+(.*)"","""")"),"VESVRES")</f>
        <v>VESVRES</v>
      </c>
      <c r="E31365" s="38" t="s">
        <v>105</v>
      </c>
      <c r="F31365" s="38" t="s">
        <v>106</v>
      </c>
      <c r="G31365" s="49" t="str">
        <f t="shared" si="1"/>
        <v>21350</v>
      </c>
      <c r="H31365" s="49">
        <f t="shared" si="2"/>
        <v>21672</v>
      </c>
    </row>
    <row r="31366">
      <c r="A31366" s="48" t="s">
        <v>14148</v>
      </c>
      <c r="B31366" s="38">
        <v>31256.0</v>
      </c>
      <c r="C31366" s="38" t="s">
        <v>35701</v>
      </c>
      <c r="D31366" s="38" t="str">
        <f>IFERROR(__xludf.DUMMYFUNCTION("REGEXREPLACE(C31366,""-\d+(.*)|--\d+(.*)"","""")"),"LABRUYERE-DORSA")</f>
        <v>LABRUYERE-DORSA</v>
      </c>
      <c r="E31366" s="38" t="s">
        <v>93</v>
      </c>
      <c r="F31366" s="38" t="s">
        <v>94</v>
      </c>
      <c r="G31366" s="49" t="str">
        <f t="shared" si="1"/>
        <v>31190</v>
      </c>
      <c r="H31366" s="49">
        <f t="shared" si="2"/>
        <v>31256</v>
      </c>
    </row>
    <row r="31367">
      <c r="A31367" s="48" t="s">
        <v>1661</v>
      </c>
      <c r="B31367" s="38">
        <v>36045.0</v>
      </c>
      <c r="C31367" s="38" t="s">
        <v>35702</v>
      </c>
      <c r="D31367" s="38" t="str">
        <f>IFERROR(__xludf.DUMMYFUNCTION("REGEXREPLACE(C31367,""-\d+(.*)|--\d+(.*)"","""")"),"CHATILLON-SUR-INDRE")</f>
        <v>CHATILLON-SUR-INDRE</v>
      </c>
      <c r="E31367" s="38" t="s">
        <v>258</v>
      </c>
      <c r="F31367" s="38" t="s">
        <v>123</v>
      </c>
      <c r="G31367" s="49" t="str">
        <f t="shared" si="1"/>
        <v>36700</v>
      </c>
      <c r="H31367" s="49">
        <f t="shared" si="2"/>
        <v>36045</v>
      </c>
    </row>
    <row r="31368">
      <c r="A31368" s="48" t="s">
        <v>1930</v>
      </c>
      <c r="B31368" s="38">
        <v>28147.0</v>
      </c>
      <c r="C31368" s="38" t="s">
        <v>5896</v>
      </c>
      <c r="D31368" s="38" t="str">
        <f>IFERROR(__xludf.DUMMYFUNCTION("REGEXREPLACE(C31368,""-\d+(.*)|--\d+(.*)"","""")"),"FAVIERES")</f>
        <v>FAVIERES</v>
      </c>
      <c r="E31368" s="38" t="s">
        <v>300</v>
      </c>
      <c r="F31368" s="38" t="s">
        <v>123</v>
      </c>
      <c r="G31368" s="49" t="str">
        <f t="shared" si="1"/>
        <v>28170</v>
      </c>
      <c r="H31368" s="49">
        <f t="shared" si="2"/>
        <v>28147</v>
      </c>
    </row>
    <row r="31369">
      <c r="A31369" s="48" t="s">
        <v>2132</v>
      </c>
      <c r="B31369" s="38">
        <v>61269.0</v>
      </c>
      <c r="C31369" s="38" t="s">
        <v>35703</v>
      </c>
      <c r="D31369" s="38" t="str">
        <f>IFERROR(__xludf.DUMMYFUNCTION("REGEXREPLACE(C31369,""-\d+(.*)|--\d+(.*)"","""")"),"MENIL-HUBERT-SUR-ORNE")</f>
        <v>MENIL-HUBERT-SUR-ORNE</v>
      </c>
      <c r="E31369" s="38" t="s">
        <v>141</v>
      </c>
      <c r="F31369" s="38" t="s">
        <v>138</v>
      </c>
      <c r="G31369" s="49" t="str">
        <f t="shared" si="1"/>
        <v>61430</v>
      </c>
      <c r="H31369" s="49">
        <f t="shared" si="2"/>
        <v>61269</v>
      </c>
    </row>
    <row r="31370">
      <c r="A31370" s="48" t="s">
        <v>6515</v>
      </c>
      <c r="B31370" s="38">
        <v>62094.0</v>
      </c>
      <c r="C31370" s="38" t="s">
        <v>35704</v>
      </c>
      <c r="D31370" s="38" t="str">
        <f>IFERROR(__xludf.DUMMYFUNCTION("REGEXREPLACE(C31370,""-\d+(.*)|--\d+(.*)"","""")"),"BEAUMERIE-SAINT-MARTIN")</f>
        <v>BEAUMERIE-SAINT-MARTIN</v>
      </c>
      <c r="E31370" s="38" t="s">
        <v>109</v>
      </c>
      <c r="F31370" s="38" t="s">
        <v>86</v>
      </c>
      <c r="G31370" s="49" t="str">
        <f t="shared" si="1"/>
        <v>62170</v>
      </c>
      <c r="H31370" s="49">
        <f t="shared" si="2"/>
        <v>62094</v>
      </c>
    </row>
    <row r="31371">
      <c r="A31371" s="48" t="s">
        <v>4412</v>
      </c>
      <c r="B31371" s="38">
        <v>68109.0</v>
      </c>
      <c r="C31371" s="38" t="s">
        <v>35705</v>
      </c>
      <c r="D31371" s="38" t="str">
        <f>IFERROR(__xludf.DUMMYFUNCTION("REGEXREPLACE(C31371,""-\d+(.*)|--\d+(.*)"","""")"),"GRIESBACH-AU-VAL")</f>
        <v>GRIESBACH-AU-VAL</v>
      </c>
      <c r="E31371" s="38" t="s">
        <v>150</v>
      </c>
      <c r="F31371" s="38" t="s">
        <v>151</v>
      </c>
      <c r="G31371" s="49" t="str">
        <f t="shared" si="1"/>
        <v>68140</v>
      </c>
      <c r="H31371" s="49">
        <f t="shared" si="2"/>
        <v>68109</v>
      </c>
    </row>
    <row r="31372">
      <c r="A31372" s="48" t="s">
        <v>4561</v>
      </c>
      <c r="B31372" s="38">
        <v>79346.0</v>
      </c>
      <c r="C31372" s="38" t="s">
        <v>35706</v>
      </c>
      <c r="D31372" s="38" t="str">
        <f>IFERROR(__xludf.DUMMYFUNCTION("REGEXREPLACE(C31372,""-\d+(.*)|--\d+(.*)"","""")"),"LE VERT")</f>
        <v>LE VERT</v>
      </c>
      <c r="E31372" s="38" t="s">
        <v>337</v>
      </c>
      <c r="F31372" s="38" t="s">
        <v>338</v>
      </c>
      <c r="G31372" s="49" t="str">
        <f t="shared" si="1"/>
        <v>79170</v>
      </c>
      <c r="H31372" s="49">
        <f t="shared" si="2"/>
        <v>79346</v>
      </c>
    </row>
    <row r="31373">
      <c r="A31373" s="48" t="s">
        <v>7122</v>
      </c>
      <c r="B31373" s="38">
        <v>57577.0</v>
      </c>
      <c r="C31373" s="38" t="s">
        <v>35707</v>
      </c>
      <c r="D31373" s="38" t="str">
        <f>IFERROR(__xludf.DUMMYFUNCTION("REGEXREPLACE(C31373,""-\d+(.*)|--\d+(.*)"","""")"),"REYERSVILLER")</f>
        <v>REYERSVILLER</v>
      </c>
      <c r="E31373" s="38" t="s">
        <v>303</v>
      </c>
      <c r="F31373" s="38" t="s">
        <v>195</v>
      </c>
      <c r="G31373" s="49" t="str">
        <f t="shared" si="1"/>
        <v>57230</v>
      </c>
      <c r="H31373" s="49">
        <f t="shared" si="2"/>
        <v>57577</v>
      </c>
    </row>
    <row r="31374">
      <c r="A31374" s="48" t="s">
        <v>3287</v>
      </c>
      <c r="B31374" s="38">
        <v>1212.0</v>
      </c>
      <c r="C31374" s="38" t="s">
        <v>35708</v>
      </c>
      <c r="D31374" s="38" t="str">
        <f>IFERROR(__xludf.DUMMYFUNCTION("REGEXREPLACE(C31374,""-\d+(.*)|--\d+(.*)"","""")"),"LESCHEROUX")</f>
        <v>LESCHEROUX</v>
      </c>
      <c r="E31374" s="38" t="s">
        <v>255</v>
      </c>
      <c r="F31374" s="38" t="s">
        <v>102</v>
      </c>
      <c r="G31374" s="49" t="str">
        <f t="shared" si="1"/>
        <v>01560</v>
      </c>
      <c r="H31374" s="49" t="str">
        <f t="shared" si="2"/>
        <v>01212</v>
      </c>
    </row>
    <row r="31375">
      <c r="A31375" s="48" t="s">
        <v>15034</v>
      </c>
      <c r="B31375" s="38">
        <v>22081.0</v>
      </c>
      <c r="C31375" s="38" t="s">
        <v>35709</v>
      </c>
      <c r="D31375" s="38" t="str">
        <f>IFERROR(__xludf.DUMMYFUNCTION("REGEXREPLACE(C31375,""-\d+(.*)|--\d+(.*)"","""")"),"HILLION")</f>
        <v>HILLION</v>
      </c>
      <c r="E31375" s="38" t="s">
        <v>89</v>
      </c>
      <c r="F31375" s="38" t="s">
        <v>90</v>
      </c>
      <c r="G31375" s="49" t="str">
        <f t="shared" si="1"/>
        <v>22120</v>
      </c>
      <c r="H31375" s="49">
        <f t="shared" si="2"/>
        <v>22081</v>
      </c>
    </row>
    <row r="31376">
      <c r="A31376" s="48" t="s">
        <v>651</v>
      </c>
      <c r="B31376" s="38">
        <v>49207.0</v>
      </c>
      <c r="C31376" s="38" t="s">
        <v>20762</v>
      </c>
      <c r="D31376" s="38" t="str">
        <f>IFERROR(__xludf.DUMMYFUNCTION("REGEXREPLACE(C31376,""-\d+(.*)|--\d+(.*)"","""")"),"MONTFORT")</f>
        <v>MONTFORT</v>
      </c>
      <c r="E31376" s="38" t="s">
        <v>653</v>
      </c>
      <c r="F31376" s="38" t="s">
        <v>180</v>
      </c>
      <c r="G31376" s="49" t="str">
        <f t="shared" si="1"/>
        <v>49700</v>
      </c>
      <c r="H31376" s="49">
        <f t="shared" si="2"/>
        <v>49207</v>
      </c>
    </row>
    <row r="31377">
      <c r="A31377" s="48" t="s">
        <v>13594</v>
      </c>
      <c r="B31377" s="38">
        <v>59398.0</v>
      </c>
      <c r="C31377" s="38" t="s">
        <v>35710</v>
      </c>
      <c r="D31377" s="38" t="str">
        <f>IFERROR(__xludf.DUMMYFUNCTION("REGEXREPLACE(C31377,""-\d+(.*)|--\d+(.*)"","""")"),"MERIGNIES")</f>
        <v>MERIGNIES</v>
      </c>
      <c r="E31377" s="38" t="s">
        <v>85</v>
      </c>
      <c r="F31377" s="38" t="s">
        <v>86</v>
      </c>
      <c r="G31377" s="49" t="str">
        <f t="shared" si="1"/>
        <v>59710</v>
      </c>
      <c r="H31377" s="49">
        <f t="shared" si="2"/>
        <v>59398</v>
      </c>
    </row>
    <row r="31378">
      <c r="A31378" s="48" t="s">
        <v>35711</v>
      </c>
      <c r="B31378" s="38">
        <v>56046.0</v>
      </c>
      <c r="C31378" s="38" t="s">
        <v>35712</v>
      </c>
      <c r="D31378" s="38" t="str">
        <f>IFERROR(__xludf.DUMMYFUNCTION("REGEXREPLACE(C31378,""-\d+(.*)|--\d+(.*)"","""")"),"CRACH")</f>
        <v>CRACH</v>
      </c>
      <c r="E31378" s="38" t="s">
        <v>173</v>
      </c>
      <c r="F31378" s="38" t="s">
        <v>90</v>
      </c>
      <c r="G31378" s="49" t="str">
        <f t="shared" si="1"/>
        <v>56950</v>
      </c>
      <c r="H31378" s="49">
        <f t="shared" si="2"/>
        <v>56046</v>
      </c>
    </row>
    <row r="31379">
      <c r="A31379" s="48" t="s">
        <v>5483</v>
      </c>
      <c r="B31379" s="38">
        <v>58157.0</v>
      </c>
      <c r="C31379" s="38" t="s">
        <v>35713</v>
      </c>
      <c r="D31379" s="38" t="str">
        <f>IFERROR(__xludf.DUMMYFUNCTION("REGEXREPLACE(C31379,""-\d+(.*)|--\d+(.*)"","""")"),"MARIGNY-L'EGLISE")</f>
        <v>MARIGNY-L'EGLISE</v>
      </c>
      <c r="E31379" s="38" t="s">
        <v>219</v>
      </c>
      <c r="F31379" s="38" t="s">
        <v>106</v>
      </c>
      <c r="G31379" s="49" t="str">
        <f t="shared" si="1"/>
        <v>58140</v>
      </c>
      <c r="H31379" s="49">
        <f t="shared" si="2"/>
        <v>58157</v>
      </c>
    </row>
    <row r="31380">
      <c r="A31380" s="48" t="s">
        <v>35714</v>
      </c>
      <c r="B31380" s="38">
        <v>59202.0</v>
      </c>
      <c r="C31380" s="38" t="s">
        <v>35715</v>
      </c>
      <c r="D31380" s="38" t="str">
        <f>IFERROR(__xludf.DUMMYFUNCTION("REGEXREPLACE(C31380,""-\d+(.*)|--\d+(.*)"","""")"),"ERQUINGHEM-LYS")</f>
        <v>ERQUINGHEM-LYS</v>
      </c>
      <c r="E31380" s="38" t="s">
        <v>85</v>
      </c>
      <c r="F31380" s="38" t="s">
        <v>86</v>
      </c>
      <c r="G31380" s="49" t="str">
        <f t="shared" si="1"/>
        <v>59193</v>
      </c>
      <c r="H31380" s="49">
        <f t="shared" si="2"/>
        <v>59202</v>
      </c>
    </row>
    <row r="31381">
      <c r="A31381" s="48" t="s">
        <v>2057</v>
      </c>
      <c r="B31381" s="38">
        <v>89311.0</v>
      </c>
      <c r="C31381" s="38" t="s">
        <v>35716</v>
      </c>
      <c r="D31381" s="38" t="str">
        <f>IFERROR(__xludf.DUMMYFUNCTION("REGEXREPLACE(C31381,""-\d+(.*)|--\d+(.*)"","""")"),"POURRAIN")</f>
        <v>POURRAIN</v>
      </c>
      <c r="E31381" s="38" t="s">
        <v>275</v>
      </c>
      <c r="F31381" s="38" t="s">
        <v>106</v>
      </c>
      <c r="G31381" s="49" t="str">
        <f t="shared" si="1"/>
        <v>89240</v>
      </c>
      <c r="H31381" s="49">
        <f t="shared" si="2"/>
        <v>89311</v>
      </c>
    </row>
    <row r="31382">
      <c r="A31382" s="48" t="s">
        <v>2402</v>
      </c>
      <c r="B31382" s="38">
        <v>68222.0</v>
      </c>
      <c r="C31382" s="38" t="s">
        <v>35717</v>
      </c>
      <c r="D31382" s="38" t="str">
        <f>IFERROR(__xludf.DUMMYFUNCTION("REGEXREPLACE(C31382,""-\d+(.*)|--\d+(.*)"","""")"),"MUESPACH-LE-HAUT")</f>
        <v>MUESPACH-LE-HAUT</v>
      </c>
      <c r="E31382" s="38" t="s">
        <v>150</v>
      </c>
      <c r="F31382" s="38" t="s">
        <v>151</v>
      </c>
      <c r="G31382" s="49" t="str">
        <f t="shared" si="1"/>
        <v>68640</v>
      </c>
      <c r="H31382" s="49">
        <f t="shared" si="2"/>
        <v>68222</v>
      </c>
    </row>
    <row r="31383">
      <c r="A31383" s="48" t="s">
        <v>468</v>
      </c>
      <c r="B31383" s="38">
        <v>26159.0</v>
      </c>
      <c r="C31383" s="38" t="s">
        <v>35718</v>
      </c>
      <c r="D31383" s="38" t="str">
        <f>IFERROR(__xludf.DUMMYFUNCTION("REGEXREPLACE(C31383,""-\d+(.*)|--\d+(.*)"","""")"),"LAVAL-D'AIX")</f>
        <v>LAVAL-D'AIX</v>
      </c>
      <c r="E31383" s="38" t="s">
        <v>126</v>
      </c>
      <c r="F31383" s="38" t="s">
        <v>102</v>
      </c>
      <c r="G31383" s="49" t="str">
        <f t="shared" si="1"/>
        <v>26150</v>
      </c>
      <c r="H31383" s="49">
        <f t="shared" si="2"/>
        <v>26159</v>
      </c>
    </row>
    <row r="31384">
      <c r="A31384" s="48" t="s">
        <v>21358</v>
      </c>
      <c r="B31384" s="38">
        <v>77049.0</v>
      </c>
      <c r="C31384" s="38" t="s">
        <v>35719</v>
      </c>
      <c r="D31384" s="38" t="str">
        <f>IFERROR(__xludf.DUMMYFUNCTION("REGEXREPLACE(C31384,""-\d+(.*)|--\d+(.*)"","""")"),"BOUTIGNY")</f>
        <v>BOUTIGNY</v>
      </c>
      <c r="E31384" s="38" t="s">
        <v>244</v>
      </c>
      <c r="F31384" s="38" t="s">
        <v>245</v>
      </c>
      <c r="G31384" s="49" t="str">
        <f t="shared" si="1"/>
        <v>77470</v>
      </c>
      <c r="H31384" s="49">
        <f t="shared" si="2"/>
        <v>77049</v>
      </c>
    </row>
    <row r="31385">
      <c r="A31385" s="48" t="s">
        <v>1454</v>
      </c>
      <c r="B31385" s="38">
        <v>60557.0</v>
      </c>
      <c r="C31385" s="38" t="s">
        <v>35720</v>
      </c>
      <c r="D31385" s="38" t="str">
        <f>IFERROR(__xludf.DUMMYFUNCTION("REGEXREPLACE(C31385,""-\d+(.*)|--\d+(.*)"","""")"),"ROY-BOISSY")</f>
        <v>ROY-BOISSY</v>
      </c>
      <c r="E31385" s="38" t="s">
        <v>112</v>
      </c>
      <c r="F31385" s="38" t="s">
        <v>113</v>
      </c>
      <c r="G31385" s="49" t="str">
        <f t="shared" si="1"/>
        <v>60690</v>
      </c>
      <c r="H31385" s="49">
        <f t="shared" si="2"/>
        <v>60557</v>
      </c>
    </row>
    <row r="31386">
      <c r="A31386" s="48" t="s">
        <v>2942</v>
      </c>
      <c r="B31386" s="38">
        <v>14052.0</v>
      </c>
      <c r="C31386" s="38" t="s">
        <v>867</v>
      </c>
      <c r="D31386" s="38" t="str">
        <f>IFERROR(__xludf.DUMMYFUNCTION("REGEXREPLACE(C31386,""-\d+(.*)|--\d+(.*)"","""")"),"BEAULIEU")</f>
        <v>BEAULIEU</v>
      </c>
      <c r="E31386" s="38" t="s">
        <v>137</v>
      </c>
      <c r="F31386" s="38" t="s">
        <v>138</v>
      </c>
      <c r="G31386" s="49" t="str">
        <f t="shared" si="1"/>
        <v>14350</v>
      </c>
      <c r="H31386" s="49">
        <f t="shared" si="2"/>
        <v>14052</v>
      </c>
    </row>
    <row r="31387">
      <c r="A31387" s="48" t="s">
        <v>7614</v>
      </c>
      <c r="B31387" s="38">
        <v>50398.0</v>
      </c>
      <c r="C31387" s="38" t="s">
        <v>35721</v>
      </c>
      <c r="D31387" s="38" t="str">
        <f>IFERROR(__xludf.DUMMYFUNCTION("REGEXREPLACE(C31387,""-\d+(.*)|--\d+(.*)"","""")"),"LE PERRON")</f>
        <v>LE PERRON</v>
      </c>
      <c r="E31387" s="38" t="s">
        <v>157</v>
      </c>
      <c r="F31387" s="38" t="s">
        <v>138</v>
      </c>
      <c r="G31387" s="49" t="str">
        <f t="shared" si="1"/>
        <v>50160</v>
      </c>
      <c r="H31387" s="49">
        <f t="shared" si="2"/>
        <v>50398</v>
      </c>
    </row>
    <row r="31388">
      <c r="A31388" s="48" t="s">
        <v>1903</v>
      </c>
      <c r="B31388" s="38">
        <v>10285.0</v>
      </c>
      <c r="C31388" s="38" t="s">
        <v>35722</v>
      </c>
      <c r="D31388" s="38" t="str">
        <f>IFERROR(__xludf.DUMMYFUNCTION("REGEXREPLACE(C31388,""-\d+(.*)|--\d+(.*)"","""")"),"PERTHES-LES-BRIENNE")</f>
        <v>PERTHES-LES-BRIENNE</v>
      </c>
      <c r="E31388" s="38" t="s">
        <v>147</v>
      </c>
      <c r="F31388" s="38" t="s">
        <v>130</v>
      </c>
      <c r="G31388" s="49" t="str">
        <f t="shared" si="1"/>
        <v>10500</v>
      </c>
      <c r="H31388" s="49">
        <f t="shared" si="2"/>
        <v>10285</v>
      </c>
    </row>
    <row r="31389">
      <c r="A31389" s="48" t="s">
        <v>9044</v>
      </c>
      <c r="B31389" s="38">
        <v>32311.0</v>
      </c>
      <c r="C31389" s="38" t="s">
        <v>35723</v>
      </c>
      <c r="D31389" s="38" t="str">
        <f>IFERROR(__xludf.DUMMYFUNCTION("REGEXREPLACE(C31389,""-\d+(.*)|--\d+(.*)"","""")"),"PERGAIN-TAILLAC")</f>
        <v>PERGAIN-TAILLAC</v>
      </c>
      <c r="E31389" s="38" t="s">
        <v>440</v>
      </c>
      <c r="F31389" s="38" t="s">
        <v>94</v>
      </c>
      <c r="G31389" s="49" t="str">
        <f t="shared" si="1"/>
        <v>32700</v>
      </c>
      <c r="H31389" s="49">
        <f t="shared" si="2"/>
        <v>32311</v>
      </c>
    </row>
    <row r="31390">
      <c r="A31390" s="48" t="s">
        <v>5772</v>
      </c>
      <c r="B31390" s="38">
        <v>43009.0</v>
      </c>
      <c r="C31390" s="38" t="s">
        <v>35724</v>
      </c>
      <c r="D31390" s="38" t="str">
        <f>IFERROR(__xludf.DUMMYFUNCTION("REGEXREPLACE(C31390,""-\d+(.*)|--\d+(.*)"","""")"),"ARLET")</f>
        <v>ARLET</v>
      </c>
      <c r="E31390" s="38" t="s">
        <v>332</v>
      </c>
      <c r="F31390" s="38" t="s">
        <v>161</v>
      </c>
      <c r="G31390" s="49" t="str">
        <f t="shared" si="1"/>
        <v>43380</v>
      </c>
      <c r="H31390" s="49">
        <f t="shared" si="2"/>
        <v>43009</v>
      </c>
    </row>
    <row r="31391">
      <c r="A31391" s="48" t="s">
        <v>12753</v>
      </c>
      <c r="B31391" s="38">
        <v>49223.0</v>
      </c>
      <c r="C31391" s="38" t="s">
        <v>35725</v>
      </c>
      <c r="D31391" s="38" t="str">
        <f>IFERROR(__xludf.DUMMYFUNCTION("REGEXREPLACE(C31391,""-\d+(.*)|--\d+(.*)"","""")"),"MURS-ERIGNE")</f>
        <v>MURS-ERIGNE</v>
      </c>
      <c r="E31391" s="38" t="s">
        <v>653</v>
      </c>
      <c r="F31391" s="38" t="s">
        <v>180</v>
      </c>
      <c r="G31391" s="49" t="str">
        <f t="shared" si="1"/>
        <v>49610</v>
      </c>
      <c r="H31391" s="49">
        <f t="shared" si="2"/>
        <v>49223</v>
      </c>
    </row>
    <row r="31392">
      <c r="A31392" s="48" t="s">
        <v>35726</v>
      </c>
      <c r="B31392" s="38">
        <v>97412.0</v>
      </c>
      <c r="C31392" s="38" t="s">
        <v>19485</v>
      </c>
      <c r="D31392" s="38" t="str">
        <f>IFERROR(__xludf.DUMMYFUNCTION("REGEXREPLACE(C31392,""-\d+(.*)|--\d+(.*)"","""")"),"SAINT-JOSEPH")</f>
        <v>SAINT-JOSEPH</v>
      </c>
      <c r="E31392" s="38" t="s">
        <v>7739</v>
      </c>
      <c r="F31392" s="38" t="s">
        <v>7739</v>
      </c>
      <c r="G31392" s="49" t="str">
        <f t="shared" si="1"/>
        <v>97480</v>
      </c>
      <c r="H31392" s="49">
        <f t="shared" si="2"/>
        <v>97412</v>
      </c>
    </row>
    <row r="31393">
      <c r="A31393" s="48" t="s">
        <v>1993</v>
      </c>
      <c r="B31393" s="38">
        <v>2182.0</v>
      </c>
      <c r="C31393" s="38" t="s">
        <v>35727</v>
      </c>
      <c r="D31393" s="38" t="str">
        <f>IFERROR(__xludf.DUMMYFUNCTION("REGEXREPLACE(C31393,""-\d+(.*)|--\d+(.*)"","""")"),"CHEVENNES")</f>
        <v>CHEVENNES</v>
      </c>
      <c r="E31393" s="38" t="s">
        <v>191</v>
      </c>
      <c r="F31393" s="38" t="s">
        <v>113</v>
      </c>
      <c r="G31393" s="49" t="str">
        <f t="shared" si="1"/>
        <v>02250</v>
      </c>
      <c r="H31393" s="49" t="str">
        <f t="shared" si="2"/>
        <v>02182</v>
      </c>
    </row>
    <row r="31394">
      <c r="A31394" s="48" t="s">
        <v>7416</v>
      </c>
      <c r="B31394" s="38">
        <v>49097.0</v>
      </c>
      <c r="C31394" s="38" t="s">
        <v>35728</v>
      </c>
      <c r="D31394" s="38" t="str">
        <f>IFERROR(__xludf.DUMMYFUNCTION("REGEXREPLACE(C31394,""-\d+(.*)|--\d+(.*)"","""")"),"CHEVIRE-LE-ROUGE")</f>
        <v>CHEVIRE-LE-ROUGE</v>
      </c>
      <c r="E31394" s="38" t="s">
        <v>653</v>
      </c>
      <c r="F31394" s="38" t="s">
        <v>180</v>
      </c>
      <c r="G31394" s="49" t="str">
        <f t="shared" si="1"/>
        <v>49150</v>
      </c>
      <c r="H31394" s="49">
        <f t="shared" si="2"/>
        <v>49097</v>
      </c>
    </row>
    <row r="31395">
      <c r="A31395" s="48" t="s">
        <v>6997</v>
      </c>
      <c r="B31395" s="38">
        <v>62845.0</v>
      </c>
      <c r="C31395" s="38" t="s">
        <v>35729</v>
      </c>
      <c r="D31395" s="38" t="str">
        <f>IFERROR(__xludf.DUMMYFUNCTION("REGEXREPLACE(C31395,""-\d+(.*)|--\d+(.*)"","""")"),"VERLINCTHUN")</f>
        <v>VERLINCTHUN</v>
      </c>
      <c r="E31395" s="38" t="s">
        <v>109</v>
      </c>
      <c r="F31395" s="38" t="s">
        <v>86</v>
      </c>
      <c r="G31395" s="49" t="str">
        <f t="shared" si="1"/>
        <v>62830</v>
      </c>
      <c r="H31395" s="49">
        <f t="shared" si="2"/>
        <v>62845</v>
      </c>
    </row>
    <row r="31396">
      <c r="A31396" s="48" t="s">
        <v>3628</v>
      </c>
      <c r="B31396" s="38">
        <v>16161.0</v>
      </c>
      <c r="C31396" s="38" t="s">
        <v>35730</v>
      </c>
      <c r="D31396" s="38" t="str">
        <f>IFERROR(__xludf.DUMMYFUNCTION("REGEXREPLACE(C31396,""-\d+(.*)|--\d+(.*)"","""")"),"GUIZENGEARD")</f>
        <v>GUIZENGEARD</v>
      </c>
      <c r="E31396" s="38" t="s">
        <v>429</v>
      </c>
      <c r="F31396" s="38" t="s">
        <v>338</v>
      </c>
      <c r="G31396" s="49" t="str">
        <f t="shared" si="1"/>
        <v>16480</v>
      </c>
      <c r="H31396" s="49">
        <f t="shared" si="2"/>
        <v>16161</v>
      </c>
    </row>
    <row r="31397">
      <c r="A31397" s="48" t="s">
        <v>27707</v>
      </c>
      <c r="B31397" s="38">
        <v>69094.0</v>
      </c>
      <c r="C31397" s="38" t="s">
        <v>35731</v>
      </c>
      <c r="D31397" s="38" t="str">
        <f>IFERROR(__xludf.DUMMYFUNCTION("REGEXREPLACE(C31397,""-\d+(.*)|--\d+(.*)"","""")"),"GREZIEU-LA-VARENNE")</f>
        <v>GREZIEU-LA-VARENNE</v>
      </c>
      <c r="E31397" s="38" t="s">
        <v>350</v>
      </c>
      <c r="F31397" s="38" t="s">
        <v>102</v>
      </c>
      <c r="G31397" s="49" t="str">
        <f t="shared" si="1"/>
        <v>69290</v>
      </c>
      <c r="H31397" s="49">
        <f t="shared" si="2"/>
        <v>69094</v>
      </c>
    </row>
    <row r="31398">
      <c r="A31398" s="48" t="s">
        <v>3335</v>
      </c>
      <c r="B31398" s="38">
        <v>53047.0</v>
      </c>
      <c r="C31398" s="38" t="s">
        <v>35732</v>
      </c>
      <c r="D31398" s="38" t="str">
        <f>IFERROR(__xludf.DUMMYFUNCTION("REGEXREPLACE(C31398,""-\d+(.*)|--\d+(.*)"","""")"),"CARELLES")</f>
        <v>CARELLES</v>
      </c>
      <c r="E31398" s="38" t="s">
        <v>518</v>
      </c>
      <c r="F31398" s="38" t="s">
        <v>180</v>
      </c>
      <c r="G31398" s="49" t="str">
        <f t="shared" si="1"/>
        <v>53120</v>
      </c>
      <c r="H31398" s="49">
        <f t="shared" si="2"/>
        <v>53047</v>
      </c>
    </row>
    <row r="31399">
      <c r="A31399" s="48" t="s">
        <v>10416</v>
      </c>
      <c r="B31399" s="38">
        <v>50557.0</v>
      </c>
      <c r="C31399" s="38" t="s">
        <v>35733</v>
      </c>
      <c r="D31399" s="38" t="str">
        <f>IFERROR(__xludf.DUMMYFUNCTION("REGEXREPLACE(C31399,""-\d+(.*)|--\d+(.*)"","""")"),"SAINT-SYMPHORIEN-DES-MONTS")</f>
        <v>SAINT-SYMPHORIEN-DES-MONTS</v>
      </c>
      <c r="E31399" s="38" t="s">
        <v>157</v>
      </c>
      <c r="F31399" s="38" t="s">
        <v>138</v>
      </c>
      <c r="G31399" s="49" t="str">
        <f t="shared" si="1"/>
        <v>50640</v>
      </c>
      <c r="H31399" s="49">
        <f t="shared" si="2"/>
        <v>50557</v>
      </c>
    </row>
    <row r="31400">
      <c r="A31400" s="48" t="s">
        <v>3869</v>
      </c>
      <c r="B31400" s="38">
        <v>21428.0</v>
      </c>
      <c r="C31400" s="38" t="s">
        <v>35734</v>
      </c>
      <c r="D31400" s="38" t="str">
        <f>IFERROR(__xludf.DUMMYFUNCTION("REGEXREPLACE(C31400,""-\d+(.*)|--\d+(.*)"","""")"),"MONTHELIE")</f>
        <v>MONTHELIE</v>
      </c>
      <c r="E31400" s="38" t="s">
        <v>105</v>
      </c>
      <c r="F31400" s="38" t="s">
        <v>106</v>
      </c>
      <c r="G31400" s="49" t="str">
        <f t="shared" si="1"/>
        <v>21190</v>
      </c>
      <c r="H31400" s="49">
        <f t="shared" si="2"/>
        <v>21428</v>
      </c>
    </row>
    <row r="31401">
      <c r="A31401" s="48" t="s">
        <v>3404</v>
      </c>
      <c r="B31401" s="38">
        <v>39576.0</v>
      </c>
      <c r="C31401" s="38" t="s">
        <v>20249</v>
      </c>
      <c r="D31401" s="38" t="str">
        <f>IFERROR(__xludf.DUMMYFUNCTION("REGEXREPLACE(C31401,""-\d+(.*)|--\d+(.*)"","""")"),"VINCELLES")</f>
        <v>VINCELLES</v>
      </c>
      <c r="E31401" s="38" t="s">
        <v>400</v>
      </c>
      <c r="F31401" s="38" t="s">
        <v>214</v>
      </c>
      <c r="G31401" s="49" t="str">
        <f t="shared" si="1"/>
        <v>39190</v>
      </c>
      <c r="H31401" s="49">
        <f t="shared" si="2"/>
        <v>39576</v>
      </c>
    </row>
    <row r="31402">
      <c r="A31402" s="48" t="s">
        <v>9135</v>
      </c>
      <c r="B31402" s="38">
        <v>1083.0</v>
      </c>
      <c r="C31402" s="38" t="s">
        <v>35735</v>
      </c>
      <c r="D31402" s="38" t="str">
        <f>IFERROR(__xludf.DUMMYFUNCTION("REGEXREPLACE(C31402,""-\d+(.*)|--\d+(.*)"","""")"),"CHANEINS")</f>
        <v>CHANEINS</v>
      </c>
      <c r="E31402" s="38" t="s">
        <v>255</v>
      </c>
      <c r="F31402" s="38" t="s">
        <v>102</v>
      </c>
      <c r="G31402" s="49" t="str">
        <f t="shared" si="1"/>
        <v>01990</v>
      </c>
      <c r="H31402" s="49" t="str">
        <f t="shared" si="2"/>
        <v>01083</v>
      </c>
    </row>
    <row r="31403">
      <c r="A31403" s="48" t="s">
        <v>26909</v>
      </c>
      <c r="B31403" s="38">
        <v>76367.0</v>
      </c>
      <c r="C31403" s="38" t="s">
        <v>35736</v>
      </c>
      <c r="D31403" s="38" t="str">
        <f>IFERROR(__xludf.DUMMYFUNCTION("REGEXREPLACE(C31403,""-\d+(.*)|--\d+(.*)"","""")"),"HOUPPEVILLE")</f>
        <v>HOUPPEVILLE</v>
      </c>
      <c r="E31403" s="38" t="s">
        <v>133</v>
      </c>
      <c r="F31403" s="38" t="s">
        <v>134</v>
      </c>
      <c r="G31403" s="49" t="str">
        <f t="shared" si="1"/>
        <v>76770</v>
      </c>
      <c r="H31403" s="49">
        <f t="shared" si="2"/>
        <v>76367</v>
      </c>
    </row>
    <row r="31404">
      <c r="A31404" s="48" t="s">
        <v>35737</v>
      </c>
      <c r="B31404" s="38">
        <v>49238.0</v>
      </c>
      <c r="C31404" s="38" t="s">
        <v>35738</v>
      </c>
      <c r="D31404" s="38" t="str">
        <f>IFERROR(__xludf.DUMMYFUNCTION("REGEXREPLACE(C31404,""-\d+(.*)|--\d+(.*)"","""")"),"PELLOUAILLES-LES-VIGNES")</f>
        <v>PELLOUAILLES-LES-VIGNES</v>
      </c>
      <c r="E31404" s="38" t="s">
        <v>653</v>
      </c>
      <c r="F31404" s="38" t="s">
        <v>180</v>
      </c>
      <c r="G31404" s="49" t="str">
        <f t="shared" si="1"/>
        <v>49112</v>
      </c>
      <c r="H31404" s="49">
        <f t="shared" si="2"/>
        <v>49238</v>
      </c>
    </row>
    <row r="31405">
      <c r="A31405" s="48" t="s">
        <v>2981</v>
      </c>
      <c r="B31405" s="38">
        <v>21107.0</v>
      </c>
      <c r="C31405" s="38" t="s">
        <v>14422</v>
      </c>
      <c r="D31405" s="38" t="str">
        <f>IFERROR(__xludf.DUMMYFUNCTION("REGEXREPLACE(C31405,""-\d+(.*)|--\d+(.*)"","""")"),"BRETIGNY")</f>
        <v>BRETIGNY</v>
      </c>
      <c r="E31405" s="38" t="s">
        <v>105</v>
      </c>
      <c r="F31405" s="38" t="s">
        <v>106</v>
      </c>
      <c r="G31405" s="49" t="str">
        <f t="shared" si="1"/>
        <v>21490</v>
      </c>
      <c r="H31405" s="49">
        <f t="shared" si="2"/>
        <v>21107</v>
      </c>
    </row>
    <row r="31406">
      <c r="A31406" s="48" t="s">
        <v>4308</v>
      </c>
      <c r="B31406" s="38" t="s">
        <v>35739</v>
      </c>
      <c r="C31406" s="38" t="s">
        <v>35740</v>
      </c>
      <c r="D31406" s="38" t="str">
        <f>IFERROR(__xludf.DUMMYFUNCTION("REGEXREPLACE(C31406,""-\d+(.*)|--\d+(.*)"","""")"),"FAVALELLO")</f>
        <v>FAVALELLO</v>
      </c>
      <c r="E31406" s="38" t="s">
        <v>743</v>
      </c>
      <c r="F31406" s="38" t="s">
        <v>607</v>
      </c>
      <c r="G31406" s="49" t="str">
        <f t="shared" si="1"/>
        <v>20212</v>
      </c>
      <c r="H31406" s="49" t="str">
        <f t="shared" si="2"/>
        <v>2B110</v>
      </c>
    </row>
    <row r="31407">
      <c r="A31407" s="48" t="s">
        <v>5481</v>
      </c>
      <c r="B31407" s="38">
        <v>53260.0</v>
      </c>
      <c r="C31407" s="38" t="s">
        <v>35741</v>
      </c>
      <c r="D31407" s="38" t="str">
        <f>IFERROR(__xludf.DUMMYFUNCTION("REGEXREPLACE(C31407,""-\d+(.*)|--\d+(.*)"","""")"),"SIMPLE")</f>
        <v>SIMPLE</v>
      </c>
      <c r="E31407" s="38" t="s">
        <v>518</v>
      </c>
      <c r="F31407" s="38" t="s">
        <v>180</v>
      </c>
      <c r="G31407" s="49" t="str">
        <f t="shared" si="1"/>
        <v>53360</v>
      </c>
      <c r="H31407" s="49">
        <f t="shared" si="2"/>
        <v>53260</v>
      </c>
    </row>
    <row r="31408">
      <c r="A31408" s="48" t="s">
        <v>5772</v>
      </c>
      <c r="B31408" s="38">
        <v>43195.0</v>
      </c>
      <c r="C31408" s="38" t="s">
        <v>35742</v>
      </c>
      <c r="D31408" s="38" t="str">
        <f>IFERROR(__xludf.DUMMYFUNCTION("REGEXREPLACE(C31408,""-\d+(.*)|--\d+(.*)"","""")"),"SAINT-ILPIZE")</f>
        <v>SAINT-ILPIZE</v>
      </c>
      <c r="E31408" s="38" t="s">
        <v>332</v>
      </c>
      <c r="F31408" s="38" t="s">
        <v>161</v>
      </c>
      <c r="G31408" s="49" t="str">
        <f t="shared" si="1"/>
        <v>43380</v>
      </c>
      <c r="H31408" s="49">
        <f t="shared" si="2"/>
        <v>43195</v>
      </c>
    </row>
    <row r="31409">
      <c r="A31409" s="48" t="s">
        <v>1000</v>
      </c>
      <c r="B31409" s="38">
        <v>70258.0</v>
      </c>
      <c r="C31409" s="38" t="s">
        <v>35743</v>
      </c>
      <c r="D31409" s="38" t="str">
        <f>IFERROR(__xludf.DUMMYFUNCTION("REGEXREPLACE(C31409,""-\d+(.*)|--\d+(.*)"","""")"),"FROIDECONCHE")</f>
        <v>FROIDECONCHE</v>
      </c>
      <c r="E31409" s="38" t="s">
        <v>956</v>
      </c>
      <c r="F31409" s="38" t="s">
        <v>214</v>
      </c>
      <c r="G31409" s="49" t="str">
        <f t="shared" si="1"/>
        <v>70300</v>
      </c>
      <c r="H31409" s="49">
        <f t="shared" si="2"/>
        <v>70258</v>
      </c>
    </row>
    <row r="31410">
      <c r="A31410" s="48" t="s">
        <v>8902</v>
      </c>
      <c r="B31410" s="38">
        <v>25627.0</v>
      </c>
      <c r="C31410" s="38" t="s">
        <v>35744</v>
      </c>
      <c r="D31410" s="38" t="str">
        <f>IFERROR(__xludf.DUMMYFUNCTION("REGEXREPLACE(C31410,""-\d+(.*)|--\d+(.*)"","""")"),"VILLERS-SOUS-CHALAMONT")</f>
        <v>VILLERS-SOUS-CHALAMONT</v>
      </c>
      <c r="E31410" s="38" t="s">
        <v>213</v>
      </c>
      <c r="F31410" s="38" t="s">
        <v>214</v>
      </c>
      <c r="G31410" s="49" t="str">
        <f t="shared" si="1"/>
        <v>25270</v>
      </c>
      <c r="H31410" s="49">
        <f t="shared" si="2"/>
        <v>25627</v>
      </c>
    </row>
    <row r="31411">
      <c r="A31411" s="48" t="s">
        <v>3133</v>
      </c>
      <c r="B31411" s="38">
        <v>79210.0</v>
      </c>
      <c r="C31411" s="38" t="s">
        <v>820</v>
      </c>
      <c r="D31411" s="38" t="str">
        <f>IFERROR(__xludf.DUMMYFUNCTION("REGEXREPLACE(C31411,""-\d+(.*)|--\d+(.*)"","""")"),"LE PIN")</f>
        <v>LE PIN</v>
      </c>
      <c r="E31411" s="38" t="s">
        <v>337</v>
      </c>
      <c r="F31411" s="38" t="s">
        <v>338</v>
      </c>
      <c r="G31411" s="49" t="str">
        <f t="shared" si="1"/>
        <v>79140</v>
      </c>
      <c r="H31411" s="49">
        <f t="shared" si="2"/>
        <v>79210</v>
      </c>
    </row>
    <row r="31412">
      <c r="A31412" s="48" t="s">
        <v>8999</v>
      </c>
      <c r="B31412" s="38">
        <v>49263.0</v>
      </c>
      <c r="C31412" s="38" t="s">
        <v>35745</v>
      </c>
      <c r="D31412" s="38" t="str">
        <f>IFERROR(__xludf.DUMMYFUNCTION("REGEXREPLACE(C31412,""-\d+(.*)|--\d+(.*)"","""")"),"ROUSSAY")</f>
        <v>ROUSSAY</v>
      </c>
      <c r="E31412" s="38" t="s">
        <v>653</v>
      </c>
      <c r="F31412" s="38" t="s">
        <v>180</v>
      </c>
      <c r="G31412" s="49" t="str">
        <f t="shared" si="1"/>
        <v>49450</v>
      </c>
      <c r="H31412" s="49">
        <f t="shared" si="2"/>
        <v>49263</v>
      </c>
    </row>
    <row r="31413">
      <c r="A31413" s="48" t="s">
        <v>26527</v>
      </c>
      <c r="B31413" s="38">
        <v>77014.0</v>
      </c>
      <c r="C31413" s="38" t="s">
        <v>21148</v>
      </c>
      <c r="D31413" s="38" t="str">
        <f>IFERROR(__xludf.DUMMYFUNCTION("REGEXREPLACE(C31413,""-\d+(.*)|--\d+(.*)"","""")"),"AVON")</f>
        <v>AVON</v>
      </c>
      <c r="E31413" s="38" t="s">
        <v>244</v>
      </c>
      <c r="F31413" s="38" t="s">
        <v>245</v>
      </c>
      <c r="G31413" s="49" t="str">
        <f t="shared" si="1"/>
        <v>77210</v>
      </c>
      <c r="H31413" s="49">
        <f t="shared" si="2"/>
        <v>77014</v>
      </c>
    </row>
    <row r="31414">
      <c r="A31414" s="48" t="s">
        <v>502</v>
      </c>
      <c r="B31414" s="38">
        <v>18273.0</v>
      </c>
      <c r="C31414" s="38" t="s">
        <v>35746</v>
      </c>
      <c r="D31414" s="38" t="str">
        <f>IFERROR(__xludf.DUMMYFUNCTION("REGEXREPLACE(C31414,""-\d+(.*)|--\d+(.*)"","""")"),"VENESMES")</f>
        <v>VENESMES</v>
      </c>
      <c r="E31414" s="38" t="s">
        <v>504</v>
      </c>
      <c r="F31414" s="38" t="s">
        <v>123</v>
      </c>
      <c r="G31414" s="49" t="str">
        <f t="shared" si="1"/>
        <v>18190</v>
      </c>
      <c r="H31414" s="49">
        <f t="shared" si="2"/>
        <v>18273</v>
      </c>
    </row>
    <row r="31415">
      <c r="A31415" s="48" t="s">
        <v>11261</v>
      </c>
      <c r="B31415" s="38">
        <v>38399.0</v>
      </c>
      <c r="C31415" s="38" t="s">
        <v>35747</v>
      </c>
      <c r="D31415" s="38" t="str">
        <f>IFERROR(__xludf.DUMMYFUNCTION("REGEXREPLACE(C31415,""-\d+(.*)|--\d+(.*)"","""")"),"SAINT-JEAN-DE-BOURNAY")</f>
        <v>SAINT-JEAN-DE-BOURNAY</v>
      </c>
      <c r="E31415" s="38" t="s">
        <v>101</v>
      </c>
      <c r="F31415" s="38" t="s">
        <v>102</v>
      </c>
      <c r="G31415" s="49" t="str">
        <f t="shared" si="1"/>
        <v>38440</v>
      </c>
      <c r="H31415" s="49">
        <f t="shared" si="2"/>
        <v>38399</v>
      </c>
    </row>
    <row r="31416">
      <c r="A31416" s="48" t="s">
        <v>8892</v>
      </c>
      <c r="B31416" s="38">
        <v>60559.0</v>
      </c>
      <c r="C31416" s="38" t="s">
        <v>23693</v>
      </c>
      <c r="D31416" s="38" t="str">
        <f>IFERROR(__xludf.DUMMYFUNCTION("REGEXREPLACE(C31416,""-\d+(.*)|--\d+(.*)"","""")"),"LA RUE-SAINT-PIERRE")</f>
        <v>LA RUE-SAINT-PIERRE</v>
      </c>
      <c r="E31416" s="38" t="s">
        <v>112</v>
      </c>
      <c r="F31416" s="38" t="s">
        <v>113</v>
      </c>
      <c r="G31416" s="49" t="str">
        <f t="shared" si="1"/>
        <v>60510</v>
      </c>
      <c r="H31416" s="49">
        <f t="shared" si="2"/>
        <v>60559</v>
      </c>
    </row>
    <row r="31417">
      <c r="A31417" s="48" t="s">
        <v>4013</v>
      </c>
      <c r="B31417" s="38">
        <v>9071.0</v>
      </c>
      <c r="C31417" s="38" t="s">
        <v>35748</v>
      </c>
      <c r="D31417" s="38" t="str">
        <f>IFERROR(__xludf.DUMMYFUNCTION("REGEXREPLACE(C31417,""-\d+(.*)|--\d+(.*)"","""")"),"CADARCET")</f>
        <v>CADARCET</v>
      </c>
      <c r="E31417" s="38" t="s">
        <v>238</v>
      </c>
      <c r="F31417" s="38" t="s">
        <v>94</v>
      </c>
      <c r="G31417" s="49" t="str">
        <f t="shared" si="1"/>
        <v>09240</v>
      </c>
      <c r="H31417" s="49" t="str">
        <f t="shared" si="2"/>
        <v>09071</v>
      </c>
    </row>
    <row r="31418">
      <c r="A31418" s="48" t="s">
        <v>4733</v>
      </c>
      <c r="B31418" s="38">
        <v>38481.0</v>
      </c>
      <c r="C31418" s="38" t="s">
        <v>35749</v>
      </c>
      <c r="D31418" s="38" t="str">
        <f>IFERROR(__xludf.DUMMYFUNCTION("REGEXREPLACE(C31418,""-\d+(.*)|--\d+(.*)"","""")"),"SEREZIN-DE-LA-TOUR")</f>
        <v>SEREZIN-DE-LA-TOUR</v>
      </c>
      <c r="E31418" s="38" t="s">
        <v>101</v>
      </c>
      <c r="F31418" s="38" t="s">
        <v>102</v>
      </c>
      <c r="G31418" s="49" t="str">
        <f t="shared" si="1"/>
        <v>38300</v>
      </c>
      <c r="H31418" s="49">
        <f t="shared" si="2"/>
        <v>38481</v>
      </c>
    </row>
    <row r="31419">
      <c r="A31419" s="48" t="s">
        <v>304</v>
      </c>
      <c r="B31419" s="38">
        <v>73193.0</v>
      </c>
      <c r="C31419" s="38" t="s">
        <v>35750</v>
      </c>
      <c r="D31419" s="38" t="str">
        <f>IFERROR(__xludf.DUMMYFUNCTION("REGEXREPLACE(C31419,""-\d+(.*)|--\d+(.*)"","""")"),"ONTEX")</f>
        <v>ONTEX</v>
      </c>
      <c r="E31419" s="38" t="s">
        <v>306</v>
      </c>
      <c r="F31419" s="38" t="s">
        <v>102</v>
      </c>
      <c r="G31419" s="49" t="str">
        <f t="shared" si="1"/>
        <v>73310</v>
      </c>
      <c r="H31419" s="49">
        <f t="shared" si="2"/>
        <v>73193</v>
      </c>
    </row>
    <row r="31420">
      <c r="A31420" s="48" t="s">
        <v>1582</v>
      </c>
      <c r="B31420" s="38">
        <v>45181.0</v>
      </c>
      <c r="C31420" s="38" t="s">
        <v>35751</v>
      </c>
      <c r="D31420" s="38" t="str">
        <f>IFERROR(__xludf.DUMMYFUNCTION("REGEXREPLACE(C31420,""-\d+(.*)|--\d+(.*)"","""")"),"LEOUVILLE")</f>
        <v>LEOUVILLE</v>
      </c>
      <c r="E31420" s="38" t="s">
        <v>122</v>
      </c>
      <c r="F31420" s="38" t="s">
        <v>123</v>
      </c>
      <c r="G31420" s="49" t="str">
        <f t="shared" si="1"/>
        <v>45480</v>
      </c>
      <c r="H31420" s="49">
        <f t="shared" si="2"/>
        <v>45181</v>
      </c>
    </row>
    <row r="31421">
      <c r="A31421" s="48" t="s">
        <v>4703</v>
      </c>
      <c r="B31421" s="38">
        <v>66045.0</v>
      </c>
      <c r="C31421" s="38" t="s">
        <v>35752</v>
      </c>
      <c r="D31421" s="38" t="str">
        <f>IFERROR(__xludf.DUMMYFUNCTION("REGEXREPLACE(C31421,""-\d+(.*)|--\d+(.*)"","""")"),"CATLLAR")</f>
        <v>CATLLAR</v>
      </c>
      <c r="E31421" s="38" t="s">
        <v>248</v>
      </c>
      <c r="F31421" s="38" t="s">
        <v>119</v>
      </c>
      <c r="G31421" s="49" t="str">
        <f t="shared" si="1"/>
        <v>66500</v>
      </c>
      <c r="H31421" s="49">
        <f t="shared" si="2"/>
        <v>66045</v>
      </c>
    </row>
    <row r="31422">
      <c r="A31422" s="48" t="s">
        <v>10037</v>
      </c>
      <c r="B31422" s="38">
        <v>7287.0</v>
      </c>
      <c r="C31422" s="38" t="s">
        <v>2437</v>
      </c>
      <c r="D31422" s="38" t="str">
        <f>IFERROR(__xludf.DUMMYFUNCTION("REGEXREPLACE(C31422,""-\d+(.*)|--\d+(.*)"","""")"),"SAINT-PONS")</f>
        <v>SAINT-PONS</v>
      </c>
      <c r="E31422" s="38" t="s">
        <v>144</v>
      </c>
      <c r="F31422" s="38" t="s">
        <v>102</v>
      </c>
      <c r="G31422" s="49" t="str">
        <f t="shared" si="1"/>
        <v>07580</v>
      </c>
      <c r="H31422" s="49" t="str">
        <f t="shared" si="2"/>
        <v>07287</v>
      </c>
    </row>
    <row r="31423">
      <c r="A31423" s="48" t="s">
        <v>3681</v>
      </c>
      <c r="B31423" s="38">
        <v>39241.0</v>
      </c>
      <c r="C31423" s="38" t="s">
        <v>35753</v>
      </c>
      <c r="D31423" s="38" t="str">
        <f>IFERROR(__xludf.DUMMYFUNCTION("REGEXREPLACE(C31423,""-\d+(.*)|--\d+(.*)"","""")"),"FREBUANS")</f>
        <v>FREBUANS</v>
      </c>
      <c r="E31423" s="38" t="s">
        <v>400</v>
      </c>
      <c r="F31423" s="38" t="s">
        <v>214</v>
      </c>
      <c r="G31423" s="49" t="str">
        <f t="shared" si="1"/>
        <v>39570</v>
      </c>
      <c r="H31423" s="49">
        <f t="shared" si="2"/>
        <v>39241</v>
      </c>
    </row>
    <row r="31424">
      <c r="A31424" s="48" t="s">
        <v>5322</v>
      </c>
      <c r="B31424" s="38">
        <v>32165.0</v>
      </c>
      <c r="C31424" s="38" t="s">
        <v>35754</v>
      </c>
      <c r="D31424" s="38" t="str">
        <f>IFERROR(__xludf.DUMMYFUNCTION("REGEXREPLACE(C31424,""-\d+(.*)|--\d+(.*)"","""")"),"JUILLES")</f>
        <v>JUILLES</v>
      </c>
      <c r="E31424" s="38" t="s">
        <v>440</v>
      </c>
      <c r="F31424" s="38" t="s">
        <v>94</v>
      </c>
      <c r="G31424" s="49" t="str">
        <f t="shared" si="1"/>
        <v>32200</v>
      </c>
      <c r="H31424" s="49">
        <f t="shared" si="2"/>
        <v>32165</v>
      </c>
    </row>
    <row r="31425">
      <c r="A31425" s="48" t="s">
        <v>12635</v>
      </c>
      <c r="B31425" s="38">
        <v>59256.0</v>
      </c>
      <c r="C31425" s="38" t="s">
        <v>35755</v>
      </c>
      <c r="D31425" s="38" t="str">
        <f>IFERROR(__xludf.DUMMYFUNCTION("REGEXREPLACE(C31425,""-\d+(.*)|--\d+(.*)"","""")"),"FRETIN")</f>
        <v>FRETIN</v>
      </c>
      <c r="E31425" s="38" t="s">
        <v>85</v>
      </c>
      <c r="F31425" s="38" t="s">
        <v>86</v>
      </c>
      <c r="G31425" s="49" t="str">
        <f t="shared" si="1"/>
        <v>59273</v>
      </c>
      <c r="H31425" s="49">
        <f t="shared" si="2"/>
        <v>59256</v>
      </c>
    </row>
    <row r="31426">
      <c r="A31426" s="48" t="s">
        <v>1046</v>
      </c>
      <c r="B31426" s="38">
        <v>26065.0</v>
      </c>
      <c r="C31426" s="38" t="s">
        <v>35756</v>
      </c>
      <c r="D31426" s="38" t="str">
        <f>IFERROR(__xludf.DUMMYFUNCTION("REGEXREPLACE(C31426,""-\d+(.*)|--\d+(.*)"","""")"),"CHABRILLAN")</f>
        <v>CHABRILLAN</v>
      </c>
      <c r="E31426" s="38" t="s">
        <v>126</v>
      </c>
      <c r="F31426" s="38" t="s">
        <v>102</v>
      </c>
      <c r="G31426" s="49" t="str">
        <f t="shared" si="1"/>
        <v>26400</v>
      </c>
      <c r="H31426" s="49">
        <f t="shared" si="2"/>
        <v>26065</v>
      </c>
    </row>
    <row r="31427">
      <c r="A31427" s="48" t="s">
        <v>19821</v>
      </c>
      <c r="B31427" s="38">
        <v>53021.0</v>
      </c>
      <c r="C31427" s="38" t="s">
        <v>35757</v>
      </c>
      <c r="D31427" s="38" t="str">
        <f>IFERROR(__xludf.DUMMYFUNCTION("REGEXREPLACE(C31427,""-\d+(.*)|--\d+(.*)"","""")"),"LA BAZOGE-MONTPINCON")</f>
        <v>LA BAZOGE-MONTPINCON</v>
      </c>
      <c r="E31427" s="38" t="s">
        <v>518</v>
      </c>
      <c r="F31427" s="38" t="s">
        <v>180</v>
      </c>
      <c r="G31427" s="49" t="str">
        <f t="shared" si="1"/>
        <v>53440</v>
      </c>
      <c r="H31427" s="49">
        <f t="shared" si="2"/>
        <v>53021</v>
      </c>
    </row>
    <row r="31428">
      <c r="A31428" s="48" t="s">
        <v>2817</v>
      </c>
      <c r="B31428" s="38">
        <v>64257.0</v>
      </c>
      <c r="C31428" s="38" t="s">
        <v>35758</v>
      </c>
      <c r="D31428" s="38" t="str">
        <f>IFERROR(__xludf.DUMMYFUNCTION("REGEXREPLACE(C31428,""-\d+(.*)|--\d+(.*)"","""")"),"HAUT-DE-BOSDARROS")</f>
        <v>HAUT-DE-BOSDARROS</v>
      </c>
      <c r="E31428" s="38" t="s">
        <v>268</v>
      </c>
      <c r="F31428" s="38" t="s">
        <v>252</v>
      </c>
      <c r="G31428" s="49" t="str">
        <f t="shared" si="1"/>
        <v>64800</v>
      </c>
      <c r="H31428" s="49">
        <f t="shared" si="2"/>
        <v>64257</v>
      </c>
    </row>
    <row r="31429">
      <c r="A31429" s="48" t="s">
        <v>6073</v>
      </c>
      <c r="B31429" s="38">
        <v>40092.0</v>
      </c>
      <c r="C31429" s="38" t="s">
        <v>35759</v>
      </c>
      <c r="D31429" s="38" t="str">
        <f>IFERROR(__xludf.DUMMYFUNCTION("REGEXREPLACE(C31429,""-\d+(.*)|--\d+(.*)"","""")"),"DUMES")</f>
        <v>DUMES</v>
      </c>
      <c r="E31429" s="38" t="s">
        <v>281</v>
      </c>
      <c r="F31429" s="38" t="s">
        <v>252</v>
      </c>
      <c r="G31429" s="49" t="str">
        <f t="shared" si="1"/>
        <v>40500</v>
      </c>
      <c r="H31429" s="49">
        <f t="shared" si="2"/>
        <v>40092</v>
      </c>
    </row>
    <row r="31430">
      <c r="A31430" s="48" t="s">
        <v>19921</v>
      </c>
      <c r="B31430" s="38">
        <v>57515.0</v>
      </c>
      <c r="C31430" s="38" t="s">
        <v>35760</v>
      </c>
      <c r="D31430" s="38" t="str">
        <f>IFERROR(__xludf.DUMMYFUNCTION("REGEXREPLACE(C31430,""-\d+(.*)|--\d+(.*)"","""")"),"NOVEANT-SUR-MOSELLE")</f>
        <v>NOVEANT-SUR-MOSELLE</v>
      </c>
      <c r="E31430" s="38" t="s">
        <v>303</v>
      </c>
      <c r="F31430" s="38" t="s">
        <v>195</v>
      </c>
      <c r="G31430" s="49" t="str">
        <f t="shared" si="1"/>
        <v>57680</v>
      </c>
      <c r="H31430" s="49">
        <f t="shared" si="2"/>
        <v>57515</v>
      </c>
    </row>
    <row r="31431">
      <c r="A31431" s="48" t="s">
        <v>1724</v>
      </c>
      <c r="B31431" s="38">
        <v>26380.0</v>
      </c>
      <c r="C31431" s="38" t="s">
        <v>35761</v>
      </c>
      <c r="D31431" s="38" t="str">
        <f>IFERROR(__xludf.DUMMYFUNCTION("REGEXREPLACE(C31431,""-\d+(.*)|--\d+(.*)"","""")"),"GERVANS")</f>
        <v>GERVANS</v>
      </c>
      <c r="E31431" s="38" t="s">
        <v>126</v>
      </c>
      <c r="F31431" s="38" t="s">
        <v>102</v>
      </c>
      <c r="G31431" s="49" t="str">
        <f t="shared" si="1"/>
        <v>26600</v>
      </c>
      <c r="H31431" s="49">
        <f t="shared" si="2"/>
        <v>26380</v>
      </c>
    </row>
    <row r="31432">
      <c r="A31432" s="48" t="s">
        <v>1114</v>
      </c>
      <c r="B31432" s="38">
        <v>2001.0</v>
      </c>
      <c r="C31432" s="38" t="s">
        <v>12548</v>
      </c>
      <c r="D31432" s="38" t="str">
        <f>IFERROR(__xludf.DUMMYFUNCTION("REGEXREPLACE(C31432,""-\d+(.*)|--\d+(.*)"","""")"),"ABBECOURT")</f>
        <v>ABBECOURT</v>
      </c>
      <c r="E31432" s="38" t="s">
        <v>191</v>
      </c>
      <c r="F31432" s="38" t="s">
        <v>113</v>
      </c>
      <c r="G31432" s="49" t="str">
        <f t="shared" si="1"/>
        <v>02300</v>
      </c>
      <c r="H31432" s="49" t="str">
        <f t="shared" si="2"/>
        <v>02001</v>
      </c>
    </row>
    <row r="31433">
      <c r="A31433" s="48" t="s">
        <v>2332</v>
      </c>
      <c r="B31433" s="38">
        <v>81213.0</v>
      </c>
      <c r="C31433" s="38" t="s">
        <v>35762</v>
      </c>
      <c r="D31433" s="38" t="str">
        <f>IFERROR(__xludf.DUMMYFUNCTION("REGEXREPLACE(C31433,""-\d+(.*)|--\d+(.*)"","""")"),"PRATVIEL")</f>
        <v>PRATVIEL</v>
      </c>
      <c r="E31433" s="38" t="s">
        <v>231</v>
      </c>
      <c r="F31433" s="38" t="s">
        <v>94</v>
      </c>
      <c r="G31433" s="49" t="str">
        <f t="shared" si="1"/>
        <v>81500</v>
      </c>
      <c r="H31433" s="49">
        <f t="shared" si="2"/>
        <v>81213</v>
      </c>
    </row>
    <row r="31434">
      <c r="A31434" s="48" t="s">
        <v>6807</v>
      </c>
      <c r="B31434" s="38">
        <v>73306.0</v>
      </c>
      <c r="C31434" s="38" t="s">
        <v>35763</v>
      </c>
      <c r="D31434" s="38" t="str">
        <f>IFERROR(__xludf.DUMMYFUNCTION("REGEXREPLACE(C31434,""-\d+(.*)|--\d+(.*)"","""")"),"VALLOIRE")</f>
        <v>VALLOIRE</v>
      </c>
      <c r="E31434" s="38" t="s">
        <v>306</v>
      </c>
      <c r="F31434" s="38" t="s">
        <v>102</v>
      </c>
      <c r="G31434" s="49" t="str">
        <f t="shared" si="1"/>
        <v>73450</v>
      </c>
      <c r="H31434" s="49">
        <f t="shared" si="2"/>
        <v>73306</v>
      </c>
    </row>
    <row r="31435">
      <c r="A31435" s="48" t="s">
        <v>18890</v>
      </c>
      <c r="B31435" s="38">
        <v>64502.0</v>
      </c>
      <c r="C31435" s="38" t="s">
        <v>35764</v>
      </c>
      <c r="D31435" s="38" t="str">
        <f>IFERROR(__xludf.DUMMYFUNCTION("REGEXREPLACE(C31435,""-\d+(.*)|--\d+(.*)"","""")"),"SAMES")</f>
        <v>SAMES</v>
      </c>
      <c r="E31435" s="38" t="s">
        <v>268</v>
      </c>
      <c r="F31435" s="38" t="s">
        <v>252</v>
      </c>
      <c r="G31435" s="49" t="str">
        <f t="shared" si="1"/>
        <v>64520</v>
      </c>
      <c r="H31435" s="49">
        <f t="shared" si="2"/>
        <v>64502</v>
      </c>
    </row>
    <row r="31436">
      <c r="A31436" s="48" t="s">
        <v>7914</v>
      </c>
      <c r="B31436" s="38">
        <v>84108.0</v>
      </c>
      <c r="C31436" s="38" t="s">
        <v>3049</v>
      </c>
      <c r="D31436" s="38" t="str">
        <f>IFERROR(__xludf.DUMMYFUNCTION("REGEXREPLACE(C31436,""-\d+(.*)|--\d+(.*)"","""")"),"SAINT-DIDIER")</f>
        <v>SAINT-DIDIER</v>
      </c>
      <c r="E31436" s="38" t="s">
        <v>1026</v>
      </c>
      <c r="F31436" s="38" t="s">
        <v>228</v>
      </c>
      <c r="G31436" s="49" t="str">
        <f t="shared" si="1"/>
        <v>84210</v>
      </c>
      <c r="H31436" s="49">
        <f t="shared" si="2"/>
        <v>84108</v>
      </c>
    </row>
    <row r="31437">
      <c r="A31437" s="48" t="s">
        <v>12249</v>
      </c>
      <c r="B31437" s="38">
        <v>71585.0</v>
      </c>
      <c r="C31437" s="38" t="s">
        <v>35765</v>
      </c>
      <c r="D31437" s="38" t="str">
        <f>IFERROR(__xludf.DUMMYFUNCTION("REGEXREPLACE(C31437,""-\d+(.*)|--\d+(.*)"","""")"),"VIREY-LE-GRAND")</f>
        <v>VIREY-LE-GRAND</v>
      </c>
      <c r="E31437" s="38" t="s">
        <v>344</v>
      </c>
      <c r="F31437" s="38" t="s">
        <v>106</v>
      </c>
      <c r="G31437" s="49" t="str">
        <f t="shared" si="1"/>
        <v>71530</v>
      </c>
      <c r="H31437" s="49">
        <f t="shared" si="2"/>
        <v>71585</v>
      </c>
    </row>
    <row r="31438">
      <c r="A31438" s="48" t="s">
        <v>16304</v>
      </c>
      <c r="B31438" s="38">
        <v>87025.0</v>
      </c>
      <c r="C31438" s="38" t="s">
        <v>35766</v>
      </c>
      <c r="D31438" s="38" t="str">
        <f>IFERROR(__xludf.DUMMYFUNCTION("REGEXREPLACE(C31438,""-\d+(.*)|--\d+(.*)"","""")"),"BURGNAC")</f>
        <v>BURGNAC</v>
      </c>
      <c r="E31438" s="38" t="s">
        <v>897</v>
      </c>
      <c r="F31438" s="38" t="s">
        <v>98</v>
      </c>
      <c r="G31438" s="49" t="str">
        <f t="shared" si="1"/>
        <v>87800</v>
      </c>
      <c r="H31438" s="49">
        <f t="shared" si="2"/>
        <v>87025</v>
      </c>
    </row>
    <row r="31439">
      <c r="A31439" s="48" t="s">
        <v>6698</v>
      </c>
      <c r="B31439" s="38">
        <v>25196.0</v>
      </c>
      <c r="C31439" s="38" t="s">
        <v>35767</v>
      </c>
      <c r="D31439" s="38" t="str">
        <f>IFERROR(__xludf.DUMMYFUNCTION("REGEXREPLACE(C31439,""-\d+(.*)|--\d+(.*)"","""")"),"DASLE")</f>
        <v>DASLE</v>
      </c>
      <c r="E31439" s="38" t="s">
        <v>213</v>
      </c>
      <c r="F31439" s="38" t="s">
        <v>214</v>
      </c>
      <c r="G31439" s="49" t="str">
        <f t="shared" si="1"/>
        <v>25230</v>
      </c>
      <c r="H31439" s="49">
        <f t="shared" si="2"/>
        <v>25196</v>
      </c>
    </row>
    <row r="31440">
      <c r="A31440" s="48" t="s">
        <v>29575</v>
      </c>
      <c r="B31440" s="38">
        <v>86133.0</v>
      </c>
      <c r="C31440" s="38" t="s">
        <v>35768</v>
      </c>
      <c r="D31440" s="38" t="str">
        <f>IFERROR(__xludf.DUMMYFUNCTION("REGEXREPLACE(C31440,""-\d+(.*)|--\d+(.*)"","""")"),"LIGUGE")</f>
        <v>LIGUGE</v>
      </c>
      <c r="E31440" s="38" t="s">
        <v>529</v>
      </c>
      <c r="F31440" s="38" t="s">
        <v>338</v>
      </c>
      <c r="G31440" s="49" t="str">
        <f t="shared" si="1"/>
        <v>86240</v>
      </c>
      <c r="H31440" s="49">
        <f t="shared" si="2"/>
        <v>86133</v>
      </c>
    </row>
    <row r="31441">
      <c r="A31441" s="48" t="s">
        <v>2623</v>
      </c>
      <c r="B31441" s="38">
        <v>86024.0</v>
      </c>
      <c r="C31441" s="38" t="s">
        <v>35769</v>
      </c>
      <c r="D31441" s="38" t="str">
        <f>IFERROR(__xludf.DUMMYFUNCTION("REGEXREPLACE(C31441,""-\d+(.*)|--\d+(.*)"","""")"),"BERUGES")</f>
        <v>BERUGES</v>
      </c>
      <c r="E31441" s="38" t="s">
        <v>529</v>
      </c>
      <c r="F31441" s="38" t="s">
        <v>338</v>
      </c>
      <c r="G31441" s="49" t="str">
        <f t="shared" si="1"/>
        <v>86190</v>
      </c>
      <c r="H31441" s="49">
        <f t="shared" si="2"/>
        <v>86024</v>
      </c>
    </row>
    <row r="31442">
      <c r="A31442" s="48" t="s">
        <v>1058</v>
      </c>
      <c r="B31442" s="38">
        <v>21322.0</v>
      </c>
      <c r="C31442" s="38" t="s">
        <v>35770</v>
      </c>
      <c r="D31442" s="38" t="str">
        <f>IFERROR(__xludf.DUMMYFUNCTION("REGEXREPLACE(C31442,""-\d+(.*)|--\d+(.*)"","""")"),"JALLANGES")</f>
        <v>JALLANGES</v>
      </c>
      <c r="E31442" s="38" t="s">
        <v>105</v>
      </c>
      <c r="F31442" s="38" t="s">
        <v>106</v>
      </c>
      <c r="G31442" s="49" t="str">
        <f t="shared" si="1"/>
        <v>21250</v>
      </c>
      <c r="H31442" s="49">
        <f t="shared" si="2"/>
        <v>21322</v>
      </c>
    </row>
    <row r="31443">
      <c r="A31443" s="48" t="s">
        <v>2379</v>
      </c>
      <c r="B31443" s="38">
        <v>65058.0</v>
      </c>
      <c r="C31443" s="38" t="s">
        <v>35771</v>
      </c>
      <c r="D31443" s="38" t="str">
        <f>IFERROR(__xludf.DUMMYFUNCTION("REGEXREPLACE(C31443,""-\d+(.*)|--\d+(.*)"","""")"),"AZET")</f>
        <v>AZET</v>
      </c>
      <c r="E31443" s="38" t="s">
        <v>200</v>
      </c>
      <c r="F31443" s="38" t="s">
        <v>94</v>
      </c>
      <c r="G31443" s="49" t="str">
        <f t="shared" si="1"/>
        <v>65170</v>
      </c>
      <c r="H31443" s="49">
        <f t="shared" si="2"/>
        <v>65058</v>
      </c>
    </row>
    <row r="31444">
      <c r="A31444" s="48" t="s">
        <v>35772</v>
      </c>
      <c r="B31444" s="38">
        <v>75117.0</v>
      </c>
      <c r="C31444" s="38" t="s">
        <v>35773</v>
      </c>
      <c r="D31444" s="38" t="str">
        <f>IFERROR(__xludf.DUMMYFUNCTION("REGEXREPLACE(C31444,""-\d+(.*)|--\d+(.*)"","""")"),"PARIS")</f>
        <v>PARIS</v>
      </c>
      <c r="E31444" s="38" t="s">
        <v>823</v>
      </c>
      <c r="F31444" s="38" t="s">
        <v>245</v>
      </c>
      <c r="G31444" s="49" t="str">
        <f t="shared" si="1"/>
        <v>75017</v>
      </c>
      <c r="H31444" s="49">
        <f t="shared" si="2"/>
        <v>75117</v>
      </c>
    </row>
    <row r="31445">
      <c r="A31445" s="48" t="s">
        <v>4011</v>
      </c>
      <c r="B31445" s="38">
        <v>80219.0</v>
      </c>
      <c r="C31445" s="38" t="s">
        <v>35774</v>
      </c>
      <c r="D31445" s="38" t="str">
        <f>IFERROR(__xludf.DUMMYFUNCTION("REGEXREPLACE(C31445,""-\d+(.*)|--\d+(.*)"","""")"),"COURCELLES-SOUS-THOIX")</f>
        <v>COURCELLES-SOUS-THOIX</v>
      </c>
      <c r="E31445" s="38" t="s">
        <v>224</v>
      </c>
      <c r="F31445" s="38" t="s">
        <v>113</v>
      </c>
      <c r="G31445" s="49" t="str">
        <f t="shared" si="1"/>
        <v>80160</v>
      </c>
      <c r="H31445" s="49">
        <f t="shared" si="2"/>
        <v>80219</v>
      </c>
    </row>
    <row r="31446">
      <c r="A31446" s="48" t="s">
        <v>4287</v>
      </c>
      <c r="B31446" s="38">
        <v>62627.0</v>
      </c>
      <c r="C31446" s="38" t="s">
        <v>35775</v>
      </c>
      <c r="D31446" s="38" t="str">
        <f>IFERROR(__xludf.DUMMYFUNCTION("REGEXREPLACE(C31446,""-\d+(.*)|--\d+(.*)"","""")"),"NOYELLES-SOUS-BELLONNE")</f>
        <v>NOYELLES-SOUS-BELLONNE</v>
      </c>
      <c r="E31446" s="38" t="s">
        <v>109</v>
      </c>
      <c r="F31446" s="38" t="s">
        <v>86</v>
      </c>
      <c r="G31446" s="49" t="str">
        <f t="shared" si="1"/>
        <v>62490</v>
      </c>
      <c r="H31446" s="49">
        <f t="shared" si="2"/>
        <v>62627</v>
      </c>
    </row>
    <row r="31447">
      <c r="A31447" s="48" t="s">
        <v>8779</v>
      </c>
      <c r="B31447" s="38">
        <v>45296.0</v>
      </c>
      <c r="C31447" s="38" t="s">
        <v>35776</v>
      </c>
      <c r="D31447" s="38" t="str">
        <f>IFERROR(__xludf.DUMMYFUNCTION("REGEXREPLACE(C31447,""-\d+(.*)|--\d+(.*)"","""")"),"SAINT-PERAVY-LA-COLOMBE")</f>
        <v>SAINT-PERAVY-LA-COLOMBE</v>
      </c>
      <c r="E31447" s="38" t="s">
        <v>122</v>
      </c>
      <c r="F31447" s="38" t="s">
        <v>123</v>
      </c>
      <c r="G31447" s="49" t="str">
        <f t="shared" si="1"/>
        <v>45310</v>
      </c>
      <c r="H31447" s="49">
        <f t="shared" si="2"/>
        <v>45296</v>
      </c>
    </row>
    <row r="31448">
      <c r="A31448" s="48" t="s">
        <v>2406</v>
      </c>
      <c r="B31448" s="38">
        <v>55487.0</v>
      </c>
      <c r="C31448" s="38" t="s">
        <v>35777</v>
      </c>
      <c r="D31448" s="38" t="str">
        <f>IFERROR(__xludf.DUMMYFUNCTION("REGEXREPLACE(C31448,""-\d+(.*)|--\d+(.*)"","""")"),"SEUZEY")</f>
        <v>SEUZEY</v>
      </c>
      <c r="E31448" s="38" t="s">
        <v>322</v>
      </c>
      <c r="F31448" s="38" t="s">
        <v>195</v>
      </c>
      <c r="G31448" s="49" t="str">
        <f t="shared" si="1"/>
        <v>55300</v>
      </c>
      <c r="H31448" s="49">
        <f t="shared" si="2"/>
        <v>55487</v>
      </c>
    </row>
    <row r="31449">
      <c r="A31449" s="48" t="s">
        <v>2374</v>
      </c>
      <c r="B31449" s="38">
        <v>58181.0</v>
      </c>
      <c r="C31449" s="38" t="s">
        <v>35778</v>
      </c>
      <c r="D31449" s="38" t="str">
        <f>IFERROR(__xludf.DUMMYFUNCTION("REGEXREPLACE(C31449,""-\d+(.*)|--\d+(.*)"","""")"),"MORACHES")</f>
        <v>MORACHES</v>
      </c>
      <c r="E31449" s="38" t="s">
        <v>219</v>
      </c>
      <c r="F31449" s="38" t="s">
        <v>106</v>
      </c>
      <c r="G31449" s="49" t="str">
        <f t="shared" si="1"/>
        <v>58420</v>
      </c>
      <c r="H31449" s="49">
        <f t="shared" si="2"/>
        <v>58181</v>
      </c>
    </row>
    <row r="31450">
      <c r="A31450" s="48" t="s">
        <v>12195</v>
      </c>
      <c r="B31450" s="38">
        <v>22321.0</v>
      </c>
      <c r="C31450" s="38" t="s">
        <v>35779</v>
      </c>
      <c r="D31450" s="38" t="str">
        <f>IFERROR(__xludf.DUMMYFUNCTION("REGEXREPLACE(C31450,""-\d+(.*)|--\d+(.*)"","""")"),"SAINT-NICOLAS-DU-PELEM")</f>
        <v>SAINT-NICOLAS-DU-PELEM</v>
      </c>
      <c r="E31450" s="38" t="s">
        <v>89</v>
      </c>
      <c r="F31450" s="38" t="s">
        <v>90</v>
      </c>
      <c r="G31450" s="49" t="str">
        <f t="shared" si="1"/>
        <v>22480</v>
      </c>
      <c r="H31450" s="49">
        <f t="shared" si="2"/>
        <v>22321</v>
      </c>
    </row>
    <row r="31451">
      <c r="A31451" s="48" t="s">
        <v>6674</v>
      </c>
      <c r="B31451" s="38">
        <v>27096.0</v>
      </c>
      <c r="C31451" s="38" t="s">
        <v>35780</v>
      </c>
      <c r="D31451" s="38" t="str">
        <f>IFERROR(__xludf.DUMMYFUNCTION("REGEXREPLACE(C31451,""-\d+(.*)|--\d+(.*)"","""")"),"LES BOTTEREAUX")</f>
        <v>LES BOTTEREAUX</v>
      </c>
      <c r="E31451" s="38" t="s">
        <v>241</v>
      </c>
      <c r="F31451" s="38" t="s">
        <v>134</v>
      </c>
      <c r="G31451" s="49" t="str">
        <f t="shared" si="1"/>
        <v>27250</v>
      </c>
      <c r="H31451" s="49">
        <f t="shared" si="2"/>
        <v>27096</v>
      </c>
    </row>
    <row r="31452">
      <c r="A31452" s="48" t="s">
        <v>1452</v>
      </c>
      <c r="B31452" s="38">
        <v>55073.0</v>
      </c>
      <c r="C31452" s="38" t="s">
        <v>35781</v>
      </c>
      <c r="D31452" s="38" t="str">
        <f>IFERROR(__xludf.DUMMYFUNCTION("REGEXREPLACE(C31452,""-\d+(.*)|--\d+(.*)"","""")"),"BRAS-SUR-MEUSE")</f>
        <v>BRAS-SUR-MEUSE</v>
      </c>
      <c r="E31452" s="38" t="s">
        <v>322</v>
      </c>
      <c r="F31452" s="38" t="s">
        <v>195</v>
      </c>
      <c r="G31452" s="49" t="str">
        <f t="shared" si="1"/>
        <v>55100</v>
      </c>
      <c r="H31452" s="49">
        <f t="shared" si="2"/>
        <v>55073</v>
      </c>
    </row>
    <row r="31453">
      <c r="A31453" s="48" t="s">
        <v>35175</v>
      </c>
      <c r="B31453" s="38">
        <v>1023.0</v>
      </c>
      <c r="C31453" s="38" t="s">
        <v>35782</v>
      </c>
      <c r="D31453" s="38" t="str">
        <f>IFERROR(__xludf.DUMMYFUNCTION("REGEXREPLACE(C31453,""-\d+(.*)|--\d+(.*)"","""")"),"ASNIERES-SUR-SAONE")</f>
        <v>ASNIERES-SUR-SAONE</v>
      </c>
      <c r="E31453" s="38" t="s">
        <v>255</v>
      </c>
      <c r="F31453" s="38" t="s">
        <v>102</v>
      </c>
      <c r="G31453" s="49" t="str">
        <f t="shared" si="1"/>
        <v>01570</v>
      </c>
      <c r="H31453" s="49" t="str">
        <f t="shared" si="2"/>
        <v>01023</v>
      </c>
    </row>
    <row r="31454">
      <c r="A31454" s="48" t="s">
        <v>6007</v>
      </c>
      <c r="B31454" s="38">
        <v>24384.0</v>
      </c>
      <c r="C31454" s="38" t="s">
        <v>10211</v>
      </c>
      <c r="D31454" s="38" t="str">
        <f>IFERROR(__xludf.DUMMYFUNCTION("REGEXREPLACE(C31454,""-\d+(.*)|--\d+(.*)"","""")"),"SAINT-CASSIEN")</f>
        <v>SAINT-CASSIEN</v>
      </c>
      <c r="E31454" s="38" t="s">
        <v>261</v>
      </c>
      <c r="F31454" s="38" t="s">
        <v>252</v>
      </c>
      <c r="G31454" s="49" t="str">
        <f t="shared" si="1"/>
        <v>24540</v>
      </c>
      <c r="H31454" s="49">
        <f t="shared" si="2"/>
        <v>24384</v>
      </c>
    </row>
    <row r="31455">
      <c r="A31455" s="48" t="s">
        <v>12777</v>
      </c>
      <c r="B31455" s="38">
        <v>73281.0</v>
      </c>
      <c r="C31455" s="38" t="s">
        <v>1346</v>
      </c>
      <c r="D31455" s="38" t="str">
        <f>IFERROR(__xludf.DUMMYFUNCTION("REGEXREPLACE(C31455,""-\d+(.*)|--\d+(.*)"","""")"),"SAINT-SULPICE")</f>
        <v>SAINT-SULPICE</v>
      </c>
      <c r="E31455" s="38" t="s">
        <v>306</v>
      </c>
      <c r="F31455" s="38" t="s">
        <v>102</v>
      </c>
      <c r="G31455" s="49" t="str">
        <f t="shared" si="1"/>
        <v>73160</v>
      </c>
      <c r="H31455" s="49">
        <f t="shared" si="2"/>
        <v>73281</v>
      </c>
    </row>
    <row r="31456">
      <c r="A31456" s="48" t="s">
        <v>721</v>
      </c>
      <c r="B31456" s="38">
        <v>14547.0</v>
      </c>
      <c r="C31456" s="38" t="s">
        <v>35783</v>
      </c>
      <c r="D31456" s="38" t="str">
        <f>IFERROR(__xludf.DUMMYFUNCTION("REGEXREPLACE(C31456,""-\d+(.*)|--\d+(.*)"","""")"),"RUBERCY")</f>
        <v>RUBERCY</v>
      </c>
      <c r="E31456" s="38" t="s">
        <v>137</v>
      </c>
      <c r="F31456" s="38" t="s">
        <v>138</v>
      </c>
      <c r="G31456" s="49" t="str">
        <f t="shared" si="1"/>
        <v>14710</v>
      </c>
      <c r="H31456" s="49">
        <f t="shared" si="2"/>
        <v>14547</v>
      </c>
    </row>
    <row r="31457">
      <c r="A31457" s="48" t="s">
        <v>3925</v>
      </c>
      <c r="B31457" s="38">
        <v>41067.0</v>
      </c>
      <c r="C31457" s="38" t="s">
        <v>35784</v>
      </c>
      <c r="D31457" s="38" t="str">
        <f>IFERROR(__xludf.DUMMYFUNCTION("REGEXREPLACE(C31457,""-\d+(.*)|--\d+(.*)"","""")"),"COUR-CHEVERNY")</f>
        <v>COUR-CHEVERNY</v>
      </c>
      <c r="E31457" s="38" t="s">
        <v>188</v>
      </c>
      <c r="F31457" s="38" t="s">
        <v>123</v>
      </c>
      <c r="G31457" s="49" t="str">
        <f t="shared" si="1"/>
        <v>41700</v>
      </c>
      <c r="H31457" s="49">
        <f t="shared" si="2"/>
        <v>41067</v>
      </c>
    </row>
    <row r="31458">
      <c r="A31458" s="48" t="s">
        <v>11403</v>
      </c>
      <c r="B31458" s="38" t="s">
        <v>35785</v>
      </c>
      <c r="C31458" s="38" t="s">
        <v>35786</v>
      </c>
      <c r="D31458" s="38" t="str">
        <f>IFERROR(__xludf.DUMMYFUNCTION("REGEXREPLACE(C31458,""-\d+(.*)|--\d+(.*)"","""")"),"OSANI")</f>
        <v>OSANI</v>
      </c>
      <c r="E31458" s="38" t="s">
        <v>606</v>
      </c>
      <c r="F31458" s="38" t="s">
        <v>607</v>
      </c>
      <c r="G31458" s="49" t="str">
        <f t="shared" si="1"/>
        <v>20147</v>
      </c>
      <c r="H31458" s="49" t="str">
        <f t="shared" si="2"/>
        <v>2A197</v>
      </c>
    </row>
    <row r="31459">
      <c r="A31459" s="48" t="s">
        <v>773</v>
      </c>
      <c r="B31459" s="38">
        <v>27501.0</v>
      </c>
      <c r="C31459" s="38" t="s">
        <v>19648</v>
      </c>
      <c r="D31459" s="38" t="str">
        <f>IFERROR(__xludf.DUMMYFUNCTION("REGEXREPLACE(C31459,""-\d+(.*)|--\d+(.*)"","""")"),"ROUVRAY")</f>
        <v>ROUVRAY</v>
      </c>
      <c r="E31459" s="38" t="s">
        <v>241</v>
      </c>
      <c r="F31459" s="38" t="s">
        <v>134</v>
      </c>
      <c r="G31459" s="49" t="str">
        <f t="shared" si="1"/>
        <v>27120</v>
      </c>
      <c r="H31459" s="49">
        <f t="shared" si="2"/>
        <v>27501</v>
      </c>
    </row>
    <row r="31460">
      <c r="A31460" s="48" t="s">
        <v>6235</v>
      </c>
      <c r="B31460" s="38">
        <v>49352.0</v>
      </c>
      <c r="C31460" s="38" t="s">
        <v>35787</v>
      </c>
      <c r="D31460" s="38" t="str">
        <f>IFERROR(__xludf.DUMMYFUNCTION("REGEXREPLACE(C31460,""-\d+(.*)|--\d+(.*)"","""")"),"TOUTLEMONDE")</f>
        <v>TOUTLEMONDE</v>
      </c>
      <c r="E31460" s="38" t="s">
        <v>653</v>
      </c>
      <c r="F31460" s="38" t="s">
        <v>180</v>
      </c>
      <c r="G31460" s="49" t="str">
        <f t="shared" si="1"/>
        <v>49360</v>
      </c>
      <c r="H31460" s="49">
        <f t="shared" si="2"/>
        <v>49352</v>
      </c>
    </row>
    <row r="31461">
      <c r="A31461" s="48" t="s">
        <v>839</v>
      </c>
      <c r="B31461" s="38">
        <v>62451.0</v>
      </c>
      <c r="C31461" s="38" t="s">
        <v>35788</v>
      </c>
      <c r="D31461" s="38" t="str">
        <f>IFERROR(__xludf.DUMMYFUNCTION("REGEXREPLACE(C31461,""-\d+(.*)|--\d+(.*)"","""")"),"HEUCHIN")</f>
        <v>HEUCHIN</v>
      </c>
      <c r="E31461" s="38" t="s">
        <v>109</v>
      </c>
      <c r="F31461" s="38" t="s">
        <v>86</v>
      </c>
      <c r="G31461" s="49" t="str">
        <f t="shared" si="1"/>
        <v>62134</v>
      </c>
      <c r="H31461" s="49">
        <f t="shared" si="2"/>
        <v>62451</v>
      </c>
    </row>
    <row r="31462">
      <c r="A31462" s="48" t="s">
        <v>12410</v>
      </c>
      <c r="B31462" s="38">
        <v>66004.0</v>
      </c>
      <c r="C31462" s="38" t="s">
        <v>26177</v>
      </c>
      <c r="D31462" s="38" t="str">
        <f>IFERROR(__xludf.DUMMYFUNCTION("REGEXREPLACE(C31462,""-\d+(.*)|--\d+(.*)"","""")"),"LES ANGLES")</f>
        <v>LES ANGLES</v>
      </c>
      <c r="E31462" s="38" t="s">
        <v>248</v>
      </c>
      <c r="F31462" s="38" t="s">
        <v>119</v>
      </c>
      <c r="G31462" s="49" t="str">
        <f t="shared" si="1"/>
        <v>66210</v>
      </c>
      <c r="H31462" s="49">
        <f t="shared" si="2"/>
        <v>66004</v>
      </c>
    </row>
    <row r="31463">
      <c r="A31463" s="48" t="s">
        <v>2097</v>
      </c>
      <c r="B31463" s="38">
        <v>42094.0</v>
      </c>
      <c r="C31463" s="38" t="s">
        <v>35789</v>
      </c>
      <c r="D31463" s="38" t="str">
        <f>IFERROR(__xludf.DUMMYFUNCTION("REGEXREPLACE(C31463,""-\d+(.*)|--\d+(.*)"","""")"),"FEURS")</f>
        <v>FEURS</v>
      </c>
      <c r="E31463" s="38" t="s">
        <v>166</v>
      </c>
      <c r="F31463" s="38" t="s">
        <v>102</v>
      </c>
      <c r="G31463" s="49" t="str">
        <f t="shared" si="1"/>
        <v>42110</v>
      </c>
      <c r="H31463" s="49">
        <f t="shared" si="2"/>
        <v>42094</v>
      </c>
    </row>
    <row r="31464">
      <c r="A31464" s="48" t="s">
        <v>698</v>
      </c>
      <c r="B31464" s="38">
        <v>11351.0</v>
      </c>
      <c r="C31464" s="38" t="s">
        <v>35790</v>
      </c>
      <c r="D31464" s="38" t="str">
        <f>IFERROR(__xludf.DUMMYFUNCTION("REGEXREPLACE(C31464,""-\d+(.*)|--\d+(.*)"","""")"),"SAINT-LAURENT-DE-LA-CABRERISSE")</f>
        <v>SAINT-LAURENT-DE-LA-CABRERISSE</v>
      </c>
      <c r="E31464" s="38" t="s">
        <v>278</v>
      </c>
      <c r="F31464" s="38" t="s">
        <v>119</v>
      </c>
      <c r="G31464" s="49" t="str">
        <f t="shared" si="1"/>
        <v>11220</v>
      </c>
      <c r="H31464" s="49">
        <f t="shared" si="2"/>
        <v>11351</v>
      </c>
    </row>
    <row r="31465">
      <c r="A31465" s="48" t="s">
        <v>1859</v>
      </c>
      <c r="B31465" s="38">
        <v>88146.0</v>
      </c>
      <c r="C31465" s="38" t="s">
        <v>35791</v>
      </c>
      <c r="D31465" s="38" t="str">
        <f>IFERROR(__xludf.DUMMYFUNCTION("REGEXREPLACE(C31465,""-\d+(.*)|--\d+(.*)"","""")"),"DOMJULIEN")</f>
        <v>DOMJULIEN</v>
      </c>
      <c r="E31465" s="38" t="s">
        <v>194</v>
      </c>
      <c r="F31465" s="38" t="s">
        <v>195</v>
      </c>
      <c r="G31465" s="49" t="str">
        <f t="shared" si="1"/>
        <v>88800</v>
      </c>
      <c r="H31465" s="49">
        <f t="shared" si="2"/>
        <v>88146</v>
      </c>
    </row>
    <row r="31466">
      <c r="A31466" s="48" t="s">
        <v>3161</v>
      </c>
      <c r="B31466" s="38">
        <v>70369.0</v>
      </c>
      <c r="C31466" s="38" t="s">
        <v>35792</v>
      </c>
      <c r="D31466" s="38" t="str">
        <f>IFERROR(__xludf.DUMMYFUNCTION("REGEXREPLACE(C31466,""-\d+(.*)|--\d+(.*)"","""")"),"MONT-SAINT-LEGER")</f>
        <v>MONT-SAINT-LEGER</v>
      </c>
      <c r="E31466" s="38" t="s">
        <v>956</v>
      </c>
      <c r="F31466" s="38" t="s">
        <v>214</v>
      </c>
      <c r="G31466" s="49" t="str">
        <f t="shared" si="1"/>
        <v>70120</v>
      </c>
      <c r="H31466" s="49">
        <f t="shared" si="2"/>
        <v>70369</v>
      </c>
    </row>
    <row r="31467">
      <c r="A31467" s="48" t="s">
        <v>1332</v>
      </c>
      <c r="B31467" s="38">
        <v>51368.0</v>
      </c>
      <c r="C31467" s="38" t="s">
        <v>35793</v>
      </c>
      <c r="D31467" s="38" t="str">
        <f>IFERROR(__xludf.DUMMYFUNCTION("REGEXREPLACE(C31467,""-\d+(.*)|--\d+(.*)"","""")"),"MINAUCOURT-LE-MESNIL-LES-HURLUS")</f>
        <v>MINAUCOURT-LE-MESNIL-LES-HURLUS</v>
      </c>
      <c r="E31467" s="38" t="s">
        <v>129</v>
      </c>
      <c r="F31467" s="38" t="s">
        <v>130</v>
      </c>
      <c r="G31467" s="49" t="str">
        <f t="shared" si="1"/>
        <v>51800</v>
      </c>
      <c r="H31467" s="49">
        <f t="shared" si="2"/>
        <v>51368</v>
      </c>
    </row>
    <row r="31468">
      <c r="A31468" s="48" t="s">
        <v>3031</v>
      </c>
      <c r="B31468" s="38">
        <v>21160.0</v>
      </c>
      <c r="C31468" s="38" t="s">
        <v>35794</v>
      </c>
      <c r="D31468" s="38" t="str">
        <f>IFERROR(__xludf.DUMMYFUNCTION("REGEXREPLACE(C31468,""-\d+(.*)|--\d+(.*)"","""")"),"CHAUME-LES-BAIGNEUX")</f>
        <v>CHAUME-LES-BAIGNEUX</v>
      </c>
      <c r="E31468" s="38" t="s">
        <v>105</v>
      </c>
      <c r="F31468" s="38" t="s">
        <v>106</v>
      </c>
      <c r="G31468" s="49" t="str">
        <f t="shared" si="1"/>
        <v>21450</v>
      </c>
      <c r="H31468" s="49">
        <f t="shared" si="2"/>
        <v>21160</v>
      </c>
    </row>
    <row r="31469">
      <c r="A31469" s="48" t="s">
        <v>9028</v>
      </c>
      <c r="B31469" s="38">
        <v>65204.0</v>
      </c>
      <c r="C31469" s="38" t="s">
        <v>35795</v>
      </c>
      <c r="D31469" s="38" t="str">
        <f>IFERROR(__xludf.DUMMYFUNCTION("REGEXREPLACE(C31469,""-\d+(.*)|--\d+(.*)"","""")"),"GONEZ")</f>
        <v>GONEZ</v>
      </c>
      <c r="E31469" s="38" t="s">
        <v>200</v>
      </c>
      <c r="F31469" s="38" t="s">
        <v>94</v>
      </c>
      <c r="G31469" s="49" t="str">
        <f t="shared" si="1"/>
        <v>65350</v>
      </c>
      <c r="H31469" s="49">
        <f t="shared" si="2"/>
        <v>65204</v>
      </c>
    </row>
    <row r="31470">
      <c r="A31470" s="48" t="s">
        <v>35796</v>
      </c>
      <c r="B31470" s="38">
        <v>62445.0</v>
      </c>
      <c r="C31470" s="38" t="s">
        <v>35797</v>
      </c>
      <c r="D31470" s="38" t="str">
        <f>IFERROR(__xludf.DUMMYFUNCTION("REGEXREPLACE(C31470,""-\d+(.*)|--\d+(.*)"","""")"),"HESDIGNEUL-LES-BETHUNE")</f>
        <v>HESDIGNEUL-LES-BETHUNE</v>
      </c>
      <c r="E31470" s="38" t="s">
        <v>109</v>
      </c>
      <c r="F31470" s="38" t="s">
        <v>86</v>
      </c>
      <c r="G31470" s="49" t="str">
        <f t="shared" si="1"/>
        <v>62196</v>
      </c>
      <c r="H31470" s="49">
        <f t="shared" si="2"/>
        <v>62445</v>
      </c>
    </row>
    <row r="31471">
      <c r="A31471" s="48" t="s">
        <v>2521</v>
      </c>
      <c r="B31471" s="38">
        <v>28160.0</v>
      </c>
      <c r="C31471" s="38" t="s">
        <v>35798</v>
      </c>
      <c r="D31471" s="38" t="str">
        <f>IFERROR(__xludf.DUMMYFUNCTION("REGEXREPLACE(C31471,""-\d+(.*)|--\d+(.*)"","""")"),"FRANCOURVILLE")</f>
        <v>FRANCOURVILLE</v>
      </c>
      <c r="E31471" s="38" t="s">
        <v>300</v>
      </c>
      <c r="F31471" s="38" t="s">
        <v>123</v>
      </c>
      <c r="G31471" s="49" t="str">
        <f t="shared" si="1"/>
        <v>28700</v>
      </c>
      <c r="H31471" s="49">
        <f t="shared" si="2"/>
        <v>28160</v>
      </c>
    </row>
    <row r="31472">
      <c r="A31472" s="48" t="s">
        <v>13958</v>
      </c>
      <c r="B31472" s="38">
        <v>77526.0</v>
      </c>
      <c r="C31472" s="38" t="s">
        <v>35799</v>
      </c>
      <c r="D31472" s="38" t="str">
        <f>IFERROR(__xludf.DUMMYFUNCTION("REGEXREPLACE(C31472,""-\d+(.*)|--\d+(.*)"","""")"),"VINCY-MANOEUVRE")</f>
        <v>VINCY-MANOEUVRE</v>
      </c>
      <c r="E31472" s="38" t="s">
        <v>244</v>
      </c>
      <c r="F31472" s="38" t="s">
        <v>245</v>
      </c>
      <c r="G31472" s="49" t="str">
        <f t="shared" si="1"/>
        <v>77139</v>
      </c>
      <c r="H31472" s="49">
        <f t="shared" si="2"/>
        <v>77526</v>
      </c>
    </row>
    <row r="31473">
      <c r="A31473" s="48" t="s">
        <v>19737</v>
      </c>
      <c r="B31473" s="38">
        <v>24557.0</v>
      </c>
      <c r="C31473" s="38" t="s">
        <v>35800</v>
      </c>
      <c r="D31473" s="38" t="str">
        <f>IFERROR(__xludf.DUMMYFUNCTION("REGEXREPLACE(C31473,""-\d+(.*)|--\d+(.*)"","""")"),"TRELISSAC")</f>
        <v>TRELISSAC</v>
      </c>
      <c r="E31473" s="38" t="s">
        <v>261</v>
      </c>
      <c r="F31473" s="38" t="s">
        <v>252</v>
      </c>
      <c r="G31473" s="49" t="str">
        <f t="shared" si="1"/>
        <v>24750</v>
      </c>
      <c r="H31473" s="49">
        <f t="shared" si="2"/>
        <v>24557</v>
      </c>
    </row>
    <row r="31474">
      <c r="A31474" s="48" t="s">
        <v>4457</v>
      </c>
      <c r="B31474" s="38">
        <v>80246.0</v>
      </c>
      <c r="C31474" s="38" t="s">
        <v>23062</v>
      </c>
      <c r="D31474" s="38" t="str">
        <f>IFERROR(__xludf.DUMMYFUNCTION("REGEXREPLACE(C31474,""-\d+(.*)|--\d+(.*)"","""")"),"DOMMARTIN")</f>
        <v>DOMMARTIN</v>
      </c>
      <c r="E31474" s="38" t="s">
        <v>224</v>
      </c>
      <c r="F31474" s="38" t="s">
        <v>113</v>
      </c>
      <c r="G31474" s="49" t="str">
        <f t="shared" si="1"/>
        <v>80440</v>
      </c>
      <c r="H31474" s="49">
        <f t="shared" si="2"/>
        <v>80246</v>
      </c>
    </row>
    <row r="31475">
      <c r="A31475" s="48" t="s">
        <v>323</v>
      </c>
      <c r="B31475" s="38">
        <v>52497.0</v>
      </c>
      <c r="C31475" s="38" t="s">
        <v>35801</v>
      </c>
      <c r="D31475" s="38" t="str">
        <f>IFERROR(__xludf.DUMMYFUNCTION("REGEXREPLACE(C31475,""-\d+(.*)|--\d+(.*)"","""")"),"TROISFONTAINES-LA-VILLE")</f>
        <v>TROISFONTAINES-LA-VILLE</v>
      </c>
      <c r="E31475" s="38" t="s">
        <v>234</v>
      </c>
      <c r="F31475" s="38" t="s">
        <v>130</v>
      </c>
      <c r="G31475" s="49" t="str">
        <f t="shared" si="1"/>
        <v>52130</v>
      </c>
      <c r="H31475" s="49">
        <f t="shared" si="2"/>
        <v>52497</v>
      </c>
    </row>
    <row r="31476">
      <c r="A31476" s="48" t="s">
        <v>2136</v>
      </c>
      <c r="B31476" s="38">
        <v>52140.0</v>
      </c>
      <c r="C31476" s="38" t="s">
        <v>35802</v>
      </c>
      <c r="D31476" s="38" t="str">
        <f>IFERROR(__xludf.DUMMYFUNCTION("REGEXREPLACE(C31476,""-\d+(.*)|--\d+(.*)"","""")"),"COLOMBEY-LES-DEUX-EGLISES")</f>
        <v>COLOMBEY-LES-DEUX-EGLISES</v>
      </c>
      <c r="E31476" s="38" t="s">
        <v>234</v>
      </c>
      <c r="F31476" s="38" t="s">
        <v>130</v>
      </c>
      <c r="G31476" s="49" t="str">
        <f t="shared" si="1"/>
        <v>52330</v>
      </c>
      <c r="H31476" s="49">
        <f t="shared" si="2"/>
        <v>52140</v>
      </c>
    </row>
    <row r="31477">
      <c r="A31477" s="48" t="s">
        <v>1031</v>
      </c>
      <c r="B31477" s="38">
        <v>2037.0</v>
      </c>
      <c r="C31477" s="38" t="s">
        <v>35803</v>
      </c>
      <c r="D31477" s="38" t="str">
        <f>IFERROR(__xludf.DUMMYFUNCTION("REGEXREPLACE(C31477,""-\d+(.*)|--\d+(.*)"","""")"),"AULNOIS-SOUS-LAON")</f>
        <v>AULNOIS-SOUS-LAON</v>
      </c>
      <c r="E31477" s="38" t="s">
        <v>191</v>
      </c>
      <c r="F31477" s="38" t="s">
        <v>113</v>
      </c>
      <c r="G31477" s="49" t="str">
        <f t="shared" si="1"/>
        <v>02000</v>
      </c>
      <c r="H31477" s="49" t="str">
        <f t="shared" si="2"/>
        <v>02037</v>
      </c>
    </row>
    <row r="31478">
      <c r="A31478" s="48" t="s">
        <v>23580</v>
      </c>
      <c r="B31478" s="38">
        <v>87014.0</v>
      </c>
      <c r="C31478" s="38" t="s">
        <v>35804</v>
      </c>
      <c r="D31478" s="38" t="str">
        <f>IFERROR(__xludf.DUMMYFUNCTION("REGEXREPLACE(C31478,""-\d+(.*)|--\d+(.*)"","""")"),"BESSINES-SUR-GARTEMPE")</f>
        <v>BESSINES-SUR-GARTEMPE</v>
      </c>
      <c r="E31478" s="38" t="s">
        <v>897</v>
      </c>
      <c r="F31478" s="38" t="s">
        <v>98</v>
      </c>
      <c r="G31478" s="49" t="str">
        <f t="shared" si="1"/>
        <v>87250</v>
      </c>
      <c r="H31478" s="49">
        <f t="shared" si="2"/>
        <v>87014</v>
      </c>
    </row>
    <row r="31479">
      <c r="A31479" s="48" t="s">
        <v>35805</v>
      </c>
      <c r="B31479" s="38">
        <v>88500.0</v>
      </c>
      <c r="C31479" s="38" t="s">
        <v>35806</v>
      </c>
      <c r="D31479" s="38" t="str">
        <f>IFERROR(__xludf.DUMMYFUNCTION("REGEXREPLACE(C31479,""-\d+(.*)|--\d+(.*)"","""")"),"VENTRON")</f>
        <v>VENTRON</v>
      </c>
      <c r="E31479" s="38" t="s">
        <v>194</v>
      </c>
      <c r="F31479" s="38" t="s">
        <v>195</v>
      </c>
      <c r="G31479" s="49" t="str">
        <f t="shared" si="1"/>
        <v>88310</v>
      </c>
      <c r="H31479" s="49">
        <f t="shared" si="2"/>
        <v>88500</v>
      </c>
    </row>
    <row r="31480">
      <c r="A31480" s="48" t="s">
        <v>9297</v>
      </c>
      <c r="B31480" s="38">
        <v>41163.0</v>
      </c>
      <c r="C31480" s="38" t="s">
        <v>35807</v>
      </c>
      <c r="D31480" s="38" t="str">
        <f>IFERROR(__xludf.DUMMYFUNCTION("REGEXREPLACE(C31480,""-\d+(.*)|--\d+(.*)"","""")"),"NOURRAY")</f>
        <v>NOURRAY</v>
      </c>
      <c r="E31480" s="38" t="s">
        <v>188</v>
      </c>
      <c r="F31480" s="38" t="s">
        <v>123</v>
      </c>
      <c r="G31480" s="49" t="str">
        <f t="shared" si="1"/>
        <v>41310</v>
      </c>
      <c r="H31480" s="49">
        <f t="shared" si="2"/>
        <v>41163</v>
      </c>
    </row>
    <row r="31481">
      <c r="A31481" s="48" t="s">
        <v>10939</v>
      </c>
      <c r="B31481" s="38">
        <v>77263.0</v>
      </c>
      <c r="C31481" s="38" t="s">
        <v>35808</v>
      </c>
      <c r="D31481" s="38" t="str">
        <f>IFERROR(__xludf.DUMMYFUNCTION("REGEXREPLACE(C31481,""-\d+(.*)|--\d+(.*)"","""")"),"LUISETAINES")</f>
        <v>LUISETAINES</v>
      </c>
      <c r="E31481" s="38" t="s">
        <v>244</v>
      </c>
      <c r="F31481" s="38" t="s">
        <v>245</v>
      </c>
      <c r="G31481" s="49" t="str">
        <f t="shared" si="1"/>
        <v>77520</v>
      </c>
      <c r="H31481" s="49">
        <f t="shared" si="2"/>
        <v>77263</v>
      </c>
    </row>
    <row r="31482">
      <c r="A31482" s="48" t="s">
        <v>29024</v>
      </c>
      <c r="B31482" s="38">
        <v>95429.0</v>
      </c>
      <c r="C31482" s="38" t="s">
        <v>35809</v>
      </c>
      <c r="D31482" s="38" t="str">
        <f>IFERROR(__xludf.DUMMYFUNCTION("REGEXREPLACE(C31482,""-\d+(.*)|--\d+(.*)"","""")"),"MONTREUIL-SUR-EPTE")</f>
        <v>MONTREUIL-SUR-EPTE</v>
      </c>
      <c r="E31482" s="38" t="s">
        <v>541</v>
      </c>
      <c r="F31482" s="38" t="s">
        <v>245</v>
      </c>
      <c r="G31482" s="49" t="str">
        <f t="shared" si="1"/>
        <v>95770</v>
      </c>
      <c r="H31482" s="49">
        <f t="shared" si="2"/>
        <v>95429</v>
      </c>
    </row>
    <row r="31483">
      <c r="A31483" s="48" t="s">
        <v>1903</v>
      </c>
      <c r="B31483" s="38">
        <v>10093.0</v>
      </c>
      <c r="C31483" s="38" t="s">
        <v>35810</v>
      </c>
      <c r="D31483" s="38" t="str">
        <f>IFERROR(__xludf.DUMMYFUNCTION("REGEXREPLACE(C31483,""-\d+(.*)|--\d+(.*)"","""")"),"CHAUMESNIL")</f>
        <v>CHAUMESNIL</v>
      </c>
      <c r="E31483" s="38" t="s">
        <v>147</v>
      </c>
      <c r="F31483" s="38" t="s">
        <v>130</v>
      </c>
      <c r="G31483" s="49" t="str">
        <f t="shared" si="1"/>
        <v>10500</v>
      </c>
      <c r="H31483" s="49">
        <f t="shared" si="2"/>
        <v>10093</v>
      </c>
    </row>
    <row r="31484">
      <c r="A31484" s="48" t="s">
        <v>557</v>
      </c>
      <c r="B31484" s="38">
        <v>16337.0</v>
      </c>
      <c r="C31484" s="38" t="s">
        <v>35811</v>
      </c>
      <c r="D31484" s="38" t="str">
        <f>IFERROR(__xludf.DUMMYFUNCTION("REGEXREPLACE(C31484,""-\d+(.*)|--\d+(.*)"","""")"),"SAINT-MAURICE-DES-LIONS")</f>
        <v>SAINT-MAURICE-DES-LIONS</v>
      </c>
      <c r="E31484" s="38" t="s">
        <v>429</v>
      </c>
      <c r="F31484" s="38" t="s">
        <v>338</v>
      </c>
      <c r="G31484" s="49" t="str">
        <f t="shared" si="1"/>
        <v>16500</v>
      </c>
      <c r="H31484" s="49">
        <f t="shared" si="2"/>
        <v>16337</v>
      </c>
    </row>
    <row r="31485">
      <c r="A31485" s="48" t="s">
        <v>6875</v>
      </c>
      <c r="B31485" s="38">
        <v>2634.0</v>
      </c>
      <c r="C31485" s="38" t="s">
        <v>35812</v>
      </c>
      <c r="D31485" s="38" t="str">
        <f>IFERROR(__xludf.DUMMYFUNCTION("REGEXREPLACE(C31485,""-\d+(.*)|--\d+(.*)"","""")"),"RAILLIMONT")</f>
        <v>RAILLIMONT</v>
      </c>
      <c r="E31485" s="38" t="s">
        <v>191</v>
      </c>
      <c r="F31485" s="38" t="s">
        <v>113</v>
      </c>
      <c r="G31485" s="49" t="str">
        <f t="shared" si="1"/>
        <v>02360</v>
      </c>
      <c r="H31485" s="49" t="str">
        <f t="shared" si="2"/>
        <v>02634</v>
      </c>
    </row>
    <row r="31486">
      <c r="A31486" s="48" t="s">
        <v>11579</v>
      </c>
      <c r="B31486" s="38">
        <v>57143.0</v>
      </c>
      <c r="C31486" s="38" t="s">
        <v>35813</v>
      </c>
      <c r="D31486" s="38" t="str">
        <f>IFERROR(__xludf.DUMMYFUNCTION("REGEXREPLACE(C31486,""-\d+(.*)|--\d+(.*)"","""")"),"CLOUANGE")</f>
        <v>CLOUANGE</v>
      </c>
      <c r="E31486" s="38" t="s">
        <v>303</v>
      </c>
      <c r="F31486" s="38" t="s">
        <v>195</v>
      </c>
      <c r="G31486" s="49" t="str">
        <f t="shared" si="1"/>
        <v>57185</v>
      </c>
      <c r="H31486" s="49">
        <f t="shared" si="2"/>
        <v>57143</v>
      </c>
    </row>
    <row r="31487">
      <c r="A31487" s="48" t="s">
        <v>2934</v>
      </c>
      <c r="B31487" s="38">
        <v>78194.0</v>
      </c>
      <c r="C31487" s="38" t="s">
        <v>19183</v>
      </c>
      <c r="D31487" s="38" t="str">
        <f>IFERROR(__xludf.DUMMYFUNCTION("REGEXREPLACE(C31487,""-\d+(.*)|--\d+(.*)"","""")"),"DANNEMARIE")</f>
        <v>DANNEMARIE</v>
      </c>
      <c r="E31487" s="38" t="s">
        <v>362</v>
      </c>
      <c r="F31487" s="38" t="s">
        <v>245</v>
      </c>
      <c r="G31487" s="49" t="str">
        <f t="shared" si="1"/>
        <v>78550</v>
      </c>
      <c r="H31487" s="49">
        <f t="shared" si="2"/>
        <v>78194</v>
      </c>
    </row>
    <row r="31488">
      <c r="A31488" s="48" t="s">
        <v>10034</v>
      </c>
      <c r="B31488" s="38">
        <v>78084.0</v>
      </c>
      <c r="C31488" s="38" t="s">
        <v>35814</v>
      </c>
      <c r="D31488" s="38" t="str">
        <f>IFERROR(__xludf.DUMMYFUNCTION("REGEXREPLACE(C31488,""-\d+(.*)|--\d+(.*)"","""")"),"BOISSY-SANS-AVOIR")</f>
        <v>BOISSY-SANS-AVOIR</v>
      </c>
      <c r="E31488" s="38" t="s">
        <v>362</v>
      </c>
      <c r="F31488" s="38" t="s">
        <v>245</v>
      </c>
      <c r="G31488" s="49" t="str">
        <f t="shared" si="1"/>
        <v>78490</v>
      </c>
      <c r="H31488" s="49">
        <f t="shared" si="2"/>
        <v>78084</v>
      </c>
    </row>
    <row r="31489">
      <c r="A31489" s="48" t="s">
        <v>1540</v>
      </c>
      <c r="B31489" s="38">
        <v>70439.0</v>
      </c>
      <c r="C31489" s="38" t="s">
        <v>35815</v>
      </c>
      <c r="D31489" s="38" t="str">
        <f>IFERROR(__xludf.DUMMYFUNCTION("REGEXREPLACE(C31489,""-\d+(.*)|--\d+(.*)"","""")"),"RAZE")</f>
        <v>RAZE</v>
      </c>
      <c r="E31489" s="38" t="s">
        <v>956</v>
      </c>
      <c r="F31489" s="38" t="s">
        <v>214</v>
      </c>
      <c r="G31489" s="49" t="str">
        <f t="shared" si="1"/>
        <v>70000</v>
      </c>
      <c r="H31489" s="49">
        <f t="shared" si="2"/>
        <v>70439</v>
      </c>
    </row>
    <row r="31490">
      <c r="A31490" s="48" t="s">
        <v>970</v>
      </c>
      <c r="B31490" s="38">
        <v>2657.0</v>
      </c>
      <c r="C31490" s="38" t="s">
        <v>35816</v>
      </c>
      <c r="D31490" s="38" t="str">
        <f>IFERROR(__xludf.DUMMYFUNCTION("REGEXREPLACE(C31490,""-\d+(.*)|--\d+(.*)"","""")"),"ROUGERIES")</f>
        <v>ROUGERIES</v>
      </c>
      <c r="E31490" s="38" t="s">
        <v>191</v>
      </c>
      <c r="F31490" s="38" t="s">
        <v>113</v>
      </c>
      <c r="G31490" s="49" t="str">
        <f t="shared" si="1"/>
        <v>02140</v>
      </c>
      <c r="H31490" s="49" t="str">
        <f t="shared" si="2"/>
        <v>02657</v>
      </c>
    </row>
    <row r="31491">
      <c r="A31491" s="48" t="s">
        <v>6256</v>
      </c>
      <c r="B31491" s="38">
        <v>55076.0</v>
      </c>
      <c r="C31491" s="38" t="s">
        <v>35817</v>
      </c>
      <c r="D31491" s="38" t="str">
        <f>IFERROR(__xludf.DUMMYFUNCTION("REGEXREPLACE(C31491,""-\d+(.*)|--\d+(.*)"","""")"),"BREHEVILLE")</f>
        <v>BREHEVILLE</v>
      </c>
      <c r="E31491" s="38" t="s">
        <v>322</v>
      </c>
      <c r="F31491" s="38" t="s">
        <v>195</v>
      </c>
      <c r="G31491" s="49" t="str">
        <f t="shared" si="1"/>
        <v>55150</v>
      </c>
      <c r="H31491" s="49">
        <f t="shared" si="2"/>
        <v>55076</v>
      </c>
    </row>
    <row r="31492">
      <c r="A31492" s="48" t="s">
        <v>7954</v>
      </c>
      <c r="B31492" s="38">
        <v>40207.0</v>
      </c>
      <c r="C31492" s="38" t="s">
        <v>35818</v>
      </c>
      <c r="D31492" s="38" t="str">
        <f>IFERROR(__xludf.DUMMYFUNCTION("REGEXREPLACE(C31492,""-\d+(.*)|--\d+(.*)"","""")"),"OEYRELUY")</f>
        <v>OEYRELUY</v>
      </c>
      <c r="E31492" s="38" t="s">
        <v>281</v>
      </c>
      <c r="F31492" s="38" t="s">
        <v>252</v>
      </c>
      <c r="G31492" s="49" t="str">
        <f t="shared" si="1"/>
        <v>40180</v>
      </c>
      <c r="H31492" s="49">
        <f t="shared" si="2"/>
        <v>40207</v>
      </c>
    </row>
    <row r="31493">
      <c r="A31493" s="48" t="s">
        <v>1220</v>
      </c>
      <c r="B31493" s="38">
        <v>76006.0</v>
      </c>
      <c r="C31493" s="38" t="s">
        <v>24222</v>
      </c>
      <c r="D31493" s="38" t="str">
        <f>IFERROR(__xludf.DUMMYFUNCTION("REGEXREPLACE(C31493,""-\d+(.*)|--\d+(.*)"","""")"),"AMFREVILLE-LES-CHAMPS")</f>
        <v>AMFREVILLE-LES-CHAMPS</v>
      </c>
      <c r="E31493" s="38" t="s">
        <v>133</v>
      </c>
      <c r="F31493" s="38" t="s">
        <v>134</v>
      </c>
      <c r="G31493" s="49" t="str">
        <f t="shared" si="1"/>
        <v>76560</v>
      </c>
      <c r="H31493" s="49">
        <f t="shared" si="2"/>
        <v>76006</v>
      </c>
    </row>
    <row r="31494">
      <c r="A31494" s="48" t="s">
        <v>35819</v>
      </c>
      <c r="B31494" s="38">
        <v>84074.0</v>
      </c>
      <c r="C31494" s="38" t="s">
        <v>35820</v>
      </c>
      <c r="D31494" s="38" t="str">
        <f>IFERROR(__xludf.DUMMYFUNCTION("REGEXREPLACE(C31494,""-\d+(.*)|--\d+(.*)"","""")"),"MERINDOL")</f>
        <v>MERINDOL</v>
      </c>
      <c r="E31494" s="38" t="s">
        <v>1026</v>
      </c>
      <c r="F31494" s="38" t="s">
        <v>228</v>
      </c>
      <c r="G31494" s="49" t="str">
        <f t="shared" si="1"/>
        <v>84360</v>
      </c>
      <c r="H31494" s="49">
        <f t="shared" si="2"/>
        <v>84074</v>
      </c>
    </row>
    <row r="31495">
      <c r="A31495" s="48" t="s">
        <v>4181</v>
      </c>
      <c r="B31495" s="38">
        <v>89351.0</v>
      </c>
      <c r="C31495" s="38" t="s">
        <v>35821</v>
      </c>
      <c r="D31495" s="38" t="str">
        <f>IFERROR(__xludf.DUMMYFUNCTION("REGEXREPLACE(C31495,""-\d+(.*)|--\d+(.*)"","""")"),"SAINTE-MAGNANCE")</f>
        <v>SAINTE-MAGNANCE</v>
      </c>
      <c r="E31495" s="38" t="s">
        <v>275</v>
      </c>
      <c r="F31495" s="38" t="s">
        <v>106</v>
      </c>
      <c r="G31495" s="49" t="str">
        <f t="shared" si="1"/>
        <v>89420</v>
      </c>
      <c r="H31495" s="49">
        <f t="shared" si="2"/>
        <v>89351</v>
      </c>
    </row>
    <row r="31496">
      <c r="A31496" s="48" t="s">
        <v>4462</v>
      </c>
      <c r="B31496" s="38">
        <v>79222.0</v>
      </c>
      <c r="C31496" s="38" t="s">
        <v>35822</v>
      </c>
      <c r="D31496" s="38" t="str">
        <f>IFERROR(__xludf.DUMMYFUNCTION("REGEXREPLACE(C31496,""-\d+(.*)|--\d+(.*)"","""")"),"PUGNY")</f>
        <v>PUGNY</v>
      </c>
      <c r="E31496" s="38" t="s">
        <v>337</v>
      </c>
      <c r="F31496" s="38" t="s">
        <v>338</v>
      </c>
      <c r="G31496" s="49" t="str">
        <f t="shared" si="1"/>
        <v>79320</v>
      </c>
      <c r="H31496" s="49">
        <f t="shared" si="2"/>
        <v>79222</v>
      </c>
    </row>
    <row r="31497">
      <c r="A31497" s="48" t="s">
        <v>3508</v>
      </c>
      <c r="B31497" s="38">
        <v>51435.0</v>
      </c>
      <c r="C31497" s="38" t="s">
        <v>35823</v>
      </c>
      <c r="D31497" s="38" t="str">
        <f>IFERROR(__xludf.DUMMYFUNCTION("REGEXREPLACE(C31497,""-\d+(.*)|--\d+(.*)"","""")"),"POCANCY")</f>
        <v>POCANCY</v>
      </c>
      <c r="E31497" s="38" t="s">
        <v>129</v>
      </c>
      <c r="F31497" s="38" t="s">
        <v>130</v>
      </c>
      <c r="G31497" s="49" t="str">
        <f t="shared" si="1"/>
        <v>51130</v>
      </c>
      <c r="H31497" s="49">
        <f t="shared" si="2"/>
        <v>51435</v>
      </c>
    </row>
    <row r="31498">
      <c r="A31498" s="48" t="s">
        <v>2521</v>
      </c>
      <c r="B31498" s="38">
        <v>28230.0</v>
      </c>
      <c r="C31498" s="38" t="s">
        <v>6454</v>
      </c>
      <c r="D31498" s="38" t="str">
        <f>IFERROR(__xludf.DUMMYFUNCTION("REGEXREPLACE(C31498,""-\d+(.*)|--\d+(.*)"","""")"),"MAISONS")</f>
        <v>MAISONS</v>
      </c>
      <c r="E31498" s="38" t="s">
        <v>300</v>
      </c>
      <c r="F31498" s="38" t="s">
        <v>123</v>
      </c>
      <c r="G31498" s="49" t="str">
        <f t="shared" si="1"/>
        <v>28700</v>
      </c>
      <c r="H31498" s="49">
        <f t="shared" si="2"/>
        <v>28230</v>
      </c>
    </row>
    <row r="31499">
      <c r="A31499" s="48" t="s">
        <v>3716</v>
      </c>
      <c r="B31499" s="38">
        <v>57516.0</v>
      </c>
      <c r="C31499" s="38" t="s">
        <v>35824</v>
      </c>
      <c r="D31499" s="38" t="str">
        <f>IFERROR(__xludf.DUMMYFUNCTION("REGEXREPLACE(C31499,""-\d+(.*)|--\d+(.*)"","""")"),"OBERDORFF")</f>
        <v>OBERDORFF</v>
      </c>
      <c r="E31499" s="38" t="s">
        <v>303</v>
      </c>
      <c r="F31499" s="38" t="s">
        <v>195</v>
      </c>
      <c r="G31499" s="49" t="str">
        <f t="shared" si="1"/>
        <v>57320</v>
      </c>
      <c r="H31499" s="49">
        <f t="shared" si="2"/>
        <v>57516</v>
      </c>
    </row>
    <row r="31500">
      <c r="A31500" s="48" t="s">
        <v>6522</v>
      </c>
      <c r="B31500" s="38" t="s">
        <v>35825</v>
      </c>
      <c r="C31500" s="38" t="s">
        <v>35826</v>
      </c>
      <c r="D31500" s="38" t="str">
        <f>IFERROR(__xludf.DUMMYFUNCTION("REGEXREPLACE(C31500,""-\d+(.*)|--\d+(.*)"","""")"),"SAN-GAVINO-DI-TENDA")</f>
        <v>SAN-GAVINO-DI-TENDA</v>
      </c>
      <c r="E31500" s="38" t="s">
        <v>743</v>
      </c>
      <c r="F31500" s="38" t="s">
        <v>607</v>
      </c>
      <c r="G31500" s="49" t="str">
        <f t="shared" si="1"/>
        <v>20246</v>
      </c>
      <c r="H31500" s="49" t="str">
        <f t="shared" si="2"/>
        <v>2B301</v>
      </c>
    </row>
    <row r="31501">
      <c r="A31501" s="48" t="s">
        <v>2251</v>
      </c>
      <c r="B31501" s="38">
        <v>2392.0</v>
      </c>
      <c r="C31501" s="38" t="s">
        <v>35827</v>
      </c>
      <c r="D31501" s="38" t="str">
        <f>IFERROR(__xludf.DUMMYFUNCTION("REGEXREPLACE(C31501,""-\d+(.*)|--\d+(.*)"","""")"),"JONCOURT")</f>
        <v>JONCOURT</v>
      </c>
      <c r="E31501" s="38" t="s">
        <v>191</v>
      </c>
      <c r="F31501" s="38" t="s">
        <v>113</v>
      </c>
      <c r="G31501" s="49" t="str">
        <f t="shared" si="1"/>
        <v>02420</v>
      </c>
      <c r="H31501" s="49" t="str">
        <f t="shared" si="2"/>
        <v>02392</v>
      </c>
    </row>
    <row r="31502">
      <c r="A31502" s="48" t="s">
        <v>7986</v>
      </c>
      <c r="B31502" s="38">
        <v>69146.0</v>
      </c>
      <c r="C31502" s="38" t="s">
        <v>35828</v>
      </c>
      <c r="D31502" s="38" t="str">
        <f>IFERROR(__xludf.DUMMYFUNCTION("REGEXREPLACE(C31502,""-\d+(.*)|--\d+(.*)"","""")"),"OINGT")</f>
        <v>OINGT</v>
      </c>
      <c r="E31502" s="38" t="s">
        <v>350</v>
      </c>
      <c r="F31502" s="38" t="s">
        <v>102</v>
      </c>
      <c r="G31502" s="49" t="str">
        <f t="shared" si="1"/>
        <v>69620</v>
      </c>
      <c r="H31502" s="49">
        <f t="shared" si="2"/>
        <v>69146</v>
      </c>
    </row>
    <row r="31503">
      <c r="A31503" s="48" t="s">
        <v>25989</v>
      </c>
      <c r="B31503" s="38">
        <v>25224.0</v>
      </c>
      <c r="C31503" s="38" t="s">
        <v>35829</v>
      </c>
      <c r="D31503" s="38" t="str">
        <f>IFERROR(__xludf.DUMMYFUNCTION("REGEXREPLACE(C31503,""-\d+(.*)|--\d+(.*)"","""")"),"ETOUVANS")</f>
        <v>ETOUVANS</v>
      </c>
      <c r="E31503" s="38" t="s">
        <v>213</v>
      </c>
      <c r="F31503" s="38" t="s">
        <v>214</v>
      </c>
      <c r="G31503" s="49" t="str">
        <f t="shared" si="1"/>
        <v>25260</v>
      </c>
      <c r="H31503" s="49">
        <f t="shared" si="2"/>
        <v>25224</v>
      </c>
    </row>
    <row r="31504">
      <c r="A31504" s="48" t="s">
        <v>35830</v>
      </c>
      <c r="B31504" s="38" t="s">
        <v>35831</v>
      </c>
      <c r="C31504" s="38" t="s">
        <v>35832</v>
      </c>
      <c r="D31504" s="38" t="str">
        <f>IFERROR(__xludf.DUMMYFUNCTION("REGEXREPLACE(C31504,""-\d+(.*)|--\d+(.*)"","""")"),"BRANDO")</f>
        <v>BRANDO</v>
      </c>
      <c r="E31504" s="38" t="s">
        <v>743</v>
      </c>
      <c r="F31504" s="38" t="s">
        <v>607</v>
      </c>
      <c r="G31504" s="49" t="str">
        <f t="shared" si="1"/>
        <v>20222</v>
      </c>
      <c r="H31504" s="49" t="str">
        <f t="shared" si="2"/>
        <v>2B043</v>
      </c>
    </row>
    <row r="31505">
      <c r="A31505" s="48" t="s">
        <v>35833</v>
      </c>
      <c r="B31505" s="38">
        <v>78688.0</v>
      </c>
      <c r="C31505" s="38" t="s">
        <v>35834</v>
      </c>
      <c r="D31505" s="38" t="str">
        <f>IFERROR(__xludf.DUMMYFUNCTION("REGEXREPLACE(C31505,""-\d+(.*)|--\d+(.*)"","""")"),"VOISINS-LE-BRETONNEUX")</f>
        <v>VOISINS-LE-BRETONNEUX</v>
      </c>
      <c r="E31505" s="38" t="s">
        <v>362</v>
      </c>
      <c r="F31505" s="38" t="s">
        <v>245</v>
      </c>
      <c r="G31505" s="49" t="str">
        <f t="shared" si="1"/>
        <v>78960</v>
      </c>
      <c r="H31505" s="49">
        <f t="shared" si="2"/>
        <v>78688</v>
      </c>
    </row>
    <row r="31506">
      <c r="A31506" s="48" t="s">
        <v>5596</v>
      </c>
      <c r="B31506" s="38">
        <v>25591.0</v>
      </c>
      <c r="C31506" s="38" t="s">
        <v>35835</v>
      </c>
      <c r="D31506" s="38" t="str">
        <f>IFERROR(__xludf.DUMMYFUNCTION("REGEXREPLACE(C31506,""-\d+(.*)|--\d+(.*)"","""")"),"VAUFREY")</f>
        <v>VAUFREY</v>
      </c>
      <c r="E31506" s="38" t="s">
        <v>213</v>
      </c>
      <c r="F31506" s="38" t="s">
        <v>214</v>
      </c>
      <c r="G31506" s="49" t="str">
        <f t="shared" si="1"/>
        <v>25190</v>
      </c>
      <c r="H31506" s="49">
        <f t="shared" si="2"/>
        <v>25591</v>
      </c>
    </row>
    <row r="31507">
      <c r="A31507" s="48" t="s">
        <v>4140</v>
      </c>
      <c r="B31507" s="38">
        <v>54330.0</v>
      </c>
      <c r="C31507" s="38" t="s">
        <v>35836</v>
      </c>
      <c r="D31507" s="38" t="str">
        <f>IFERROR(__xludf.DUMMYFUNCTION("REGEXREPLACE(C31507,""-\d+(.*)|--\d+(.*)"","""")"),"LUPCOURT")</f>
        <v>LUPCOURT</v>
      </c>
      <c r="E31507" s="38" t="s">
        <v>548</v>
      </c>
      <c r="F31507" s="38" t="s">
        <v>195</v>
      </c>
      <c r="G31507" s="49" t="str">
        <f t="shared" si="1"/>
        <v>54210</v>
      </c>
      <c r="H31507" s="49">
        <f t="shared" si="2"/>
        <v>54330</v>
      </c>
    </row>
    <row r="31508">
      <c r="A31508" s="48" t="s">
        <v>26655</v>
      </c>
      <c r="B31508" s="38">
        <v>71451.0</v>
      </c>
      <c r="C31508" s="38" t="s">
        <v>35837</v>
      </c>
      <c r="D31508" s="38" t="str">
        <f>IFERROR(__xludf.DUMMYFUNCTION("REGEXREPLACE(C31508,""-\d+(.*)|--\d+(.*)"","""")"),"SAINT-MARTIN-DE-LIXY")</f>
        <v>SAINT-MARTIN-DE-LIXY</v>
      </c>
      <c r="E31508" s="38" t="s">
        <v>344</v>
      </c>
      <c r="F31508" s="38" t="s">
        <v>106</v>
      </c>
      <c r="G31508" s="49" t="str">
        <f t="shared" si="1"/>
        <v>71740</v>
      </c>
      <c r="H31508" s="49">
        <f t="shared" si="2"/>
        <v>71451</v>
      </c>
    </row>
    <row r="31509">
      <c r="A31509" s="48" t="s">
        <v>2915</v>
      </c>
      <c r="B31509" s="38">
        <v>79298.0</v>
      </c>
      <c r="C31509" s="38" t="s">
        <v>863</v>
      </c>
      <c r="D31509" s="38" t="str">
        <f>IFERROR(__xludf.DUMMYFUNCTION("REGEXREPLACE(C31509,""-\d+(.*)|--\d+(.*)"","""")"),"SAINT-SYMPHORIEN")</f>
        <v>SAINT-SYMPHORIEN</v>
      </c>
      <c r="E31509" s="38" t="s">
        <v>337</v>
      </c>
      <c r="F31509" s="38" t="s">
        <v>338</v>
      </c>
      <c r="G31509" s="49" t="str">
        <f t="shared" si="1"/>
        <v>79270</v>
      </c>
      <c r="H31509" s="49">
        <f t="shared" si="2"/>
        <v>79298</v>
      </c>
    </row>
    <row r="31510">
      <c r="A31510" s="48" t="s">
        <v>11516</v>
      </c>
      <c r="B31510" s="38" t="s">
        <v>35838</v>
      </c>
      <c r="C31510" s="38" t="s">
        <v>35839</v>
      </c>
      <c r="D31510" s="38" t="str">
        <f>IFERROR(__xludf.DUMMYFUNCTION("REGEXREPLACE(C31510,""-\d+(.*)|--\d+(.*)"","""")"),"ZUANI")</f>
        <v>ZUANI</v>
      </c>
      <c r="E31510" s="38" t="s">
        <v>743</v>
      </c>
      <c r="F31510" s="38" t="s">
        <v>607</v>
      </c>
      <c r="G31510" s="49" t="str">
        <f t="shared" si="1"/>
        <v>20272</v>
      </c>
      <c r="H31510" s="49" t="str">
        <f t="shared" si="2"/>
        <v>2B364</v>
      </c>
    </row>
    <row r="31511">
      <c r="A31511" s="48" t="s">
        <v>35840</v>
      </c>
      <c r="B31511" s="38">
        <v>66178.0</v>
      </c>
      <c r="C31511" s="38" t="s">
        <v>35841</v>
      </c>
      <c r="D31511" s="38" t="str">
        <f>IFERROR(__xludf.DUMMYFUNCTION("REGEXREPLACE(C31511,""-\d+(.*)|--\d+(.*)"","""")"),"SAINT-JEAN-PLA-DE-CORTS")</f>
        <v>SAINT-JEAN-PLA-DE-CORTS</v>
      </c>
      <c r="E31511" s="38" t="s">
        <v>248</v>
      </c>
      <c r="F31511" s="38" t="s">
        <v>119</v>
      </c>
      <c r="G31511" s="49" t="str">
        <f t="shared" si="1"/>
        <v>66490</v>
      </c>
      <c r="H31511" s="49">
        <f t="shared" si="2"/>
        <v>66178</v>
      </c>
    </row>
    <row r="31512">
      <c r="A31512" s="48" t="s">
        <v>3723</v>
      </c>
      <c r="B31512" s="38">
        <v>54131.0</v>
      </c>
      <c r="C31512" s="38" t="s">
        <v>35842</v>
      </c>
      <c r="D31512" s="38" t="str">
        <f>IFERROR(__xludf.DUMMYFUNCTION("REGEXREPLACE(C31512,""-\d+(.*)|--\d+(.*)"","""")"),"CLEMERY")</f>
        <v>CLEMERY</v>
      </c>
      <c r="E31512" s="38" t="s">
        <v>548</v>
      </c>
      <c r="F31512" s="38" t="s">
        <v>195</v>
      </c>
      <c r="G31512" s="49" t="str">
        <f t="shared" si="1"/>
        <v>54610</v>
      </c>
      <c r="H31512" s="49">
        <f t="shared" si="2"/>
        <v>54131</v>
      </c>
    </row>
    <row r="31513">
      <c r="A31513" s="48" t="s">
        <v>35843</v>
      </c>
      <c r="B31513" s="38">
        <v>75107.0</v>
      </c>
      <c r="C31513" s="38" t="s">
        <v>35844</v>
      </c>
      <c r="D31513" s="38" t="str">
        <f>IFERROR(__xludf.DUMMYFUNCTION("REGEXREPLACE(C31513,""-\d+(.*)|--\d+(.*)"","""")"),"PARIS")</f>
        <v>PARIS</v>
      </c>
      <c r="E31513" s="38" t="s">
        <v>823</v>
      </c>
      <c r="F31513" s="38" t="s">
        <v>245</v>
      </c>
      <c r="G31513" s="49" t="str">
        <f t="shared" si="1"/>
        <v>75007</v>
      </c>
      <c r="H31513" s="49">
        <f t="shared" si="2"/>
        <v>75107</v>
      </c>
    </row>
    <row r="31514">
      <c r="A31514" s="48" t="s">
        <v>4332</v>
      </c>
      <c r="B31514" s="38">
        <v>24246.0</v>
      </c>
      <c r="C31514" s="38" t="s">
        <v>28210</v>
      </c>
      <c r="D31514" s="38" t="str">
        <f>IFERROR(__xludf.DUMMYFUNCTION("REGEXREPLACE(C31514,""-\d+(.*)|--\d+(.*)"","""")"),"LUNAS")</f>
        <v>LUNAS</v>
      </c>
      <c r="E31514" s="38" t="s">
        <v>261</v>
      </c>
      <c r="F31514" s="38" t="s">
        <v>252</v>
      </c>
      <c r="G31514" s="49" t="str">
        <f t="shared" si="1"/>
        <v>24130</v>
      </c>
      <c r="H31514" s="49">
        <f t="shared" si="2"/>
        <v>24246</v>
      </c>
    </row>
    <row r="31515">
      <c r="A31515" s="48" t="s">
        <v>2156</v>
      </c>
      <c r="B31515" s="38">
        <v>26377.0</v>
      </c>
      <c r="C31515" s="38" t="s">
        <v>35845</v>
      </c>
      <c r="D31515" s="38" t="str">
        <f>IFERROR(__xludf.DUMMYFUNCTION("REGEXREPLACE(C31515,""-\d+(.*)|--\d+(.*)"","""")"),"VINSOBRES")</f>
        <v>VINSOBRES</v>
      </c>
      <c r="E31515" s="38" t="s">
        <v>126</v>
      </c>
      <c r="F31515" s="38" t="s">
        <v>102</v>
      </c>
      <c r="G31515" s="49" t="str">
        <f t="shared" si="1"/>
        <v>26110</v>
      </c>
      <c r="H31515" s="49">
        <f t="shared" si="2"/>
        <v>26377</v>
      </c>
    </row>
    <row r="31516">
      <c r="A31516" s="48" t="s">
        <v>8579</v>
      </c>
      <c r="B31516" s="38">
        <v>32049.0</v>
      </c>
      <c r="C31516" s="38" t="s">
        <v>35846</v>
      </c>
      <c r="D31516" s="38" t="str">
        <f>IFERROR(__xludf.DUMMYFUNCTION("REGEXREPLACE(C31516,""-\d+(.*)|--\d+(.*)"","""")"),"BETOUS")</f>
        <v>BETOUS</v>
      </c>
      <c r="E31516" s="38" t="s">
        <v>440</v>
      </c>
      <c r="F31516" s="38" t="s">
        <v>94</v>
      </c>
      <c r="G31516" s="49" t="str">
        <f t="shared" si="1"/>
        <v>32110</v>
      </c>
      <c r="H31516" s="49">
        <f t="shared" si="2"/>
        <v>32049</v>
      </c>
    </row>
    <row r="31517">
      <c r="A31517" s="48" t="s">
        <v>6647</v>
      </c>
      <c r="B31517" s="38">
        <v>58084.0</v>
      </c>
      <c r="C31517" s="38" t="s">
        <v>35847</v>
      </c>
      <c r="D31517" s="38" t="str">
        <f>IFERROR(__xludf.DUMMYFUNCTION("REGEXREPLACE(C31517,""-\d+(.*)|--\d+(.*)"","""")"),"CORVOL-D'EMBERNARD")</f>
        <v>CORVOL-D'EMBERNARD</v>
      </c>
      <c r="E31517" s="38" t="s">
        <v>219</v>
      </c>
      <c r="F31517" s="38" t="s">
        <v>106</v>
      </c>
      <c r="G31517" s="49" t="str">
        <f t="shared" si="1"/>
        <v>58210</v>
      </c>
      <c r="H31517" s="49">
        <f t="shared" si="2"/>
        <v>58084</v>
      </c>
    </row>
    <row r="31518">
      <c r="A31518" s="48" t="s">
        <v>1345</v>
      </c>
      <c r="B31518" s="38">
        <v>46183.0</v>
      </c>
      <c r="C31518" s="38" t="s">
        <v>35848</v>
      </c>
      <c r="D31518" s="38" t="str">
        <f>IFERROR(__xludf.DUMMYFUNCTION("REGEXREPLACE(C31518,""-\d+(.*)|--\d+(.*)"","""")"),"MARCILHAC-SUR-CELE")</f>
        <v>MARCILHAC-SUR-CELE</v>
      </c>
      <c r="E31518" s="38" t="s">
        <v>185</v>
      </c>
      <c r="F31518" s="38" t="s">
        <v>94</v>
      </c>
      <c r="G31518" s="49" t="str">
        <f t="shared" si="1"/>
        <v>46160</v>
      </c>
      <c r="H31518" s="49">
        <f t="shared" si="2"/>
        <v>46183</v>
      </c>
    </row>
    <row r="31519">
      <c r="A31519" s="48" t="s">
        <v>5775</v>
      </c>
      <c r="B31519" s="38">
        <v>73322.0</v>
      </c>
      <c r="C31519" s="38" t="s">
        <v>35849</v>
      </c>
      <c r="D31519" s="38" t="str">
        <f>IFERROR(__xludf.DUMMYFUNCTION("REGEXREPLACE(C31519,""-\d+(.*)|--\d+(.*)"","""")"),"VILLARODIN-BOURGET")</f>
        <v>VILLARODIN-BOURGET</v>
      </c>
      <c r="E31519" s="38" t="s">
        <v>306</v>
      </c>
      <c r="F31519" s="38" t="s">
        <v>102</v>
      </c>
      <c r="G31519" s="49" t="str">
        <f t="shared" si="1"/>
        <v>73500</v>
      </c>
      <c r="H31519" s="49">
        <f t="shared" si="2"/>
        <v>73322</v>
      </c>
    </row>
    <row r="31520">
      <c r="A31520" s="48" t="s">
        <v>1360</v>
      </c>
      <c r="B31520" s="38">
        <v>23048.0</v>
      </c>
      <c r="C31520" s="38" t="s">
        <v>35850</v>
      </c>
      <c r="D31520" s="38" t="str">
        <f>IFERROR(__xludf.DUMMYFUNCTION("REGEXREPLACE(C31520,""-\d+(.*)|--\d+(.*)"","""")"),"CHAMPAGNAT")</f>
        <v>CHAMPAGNAT</v>
      </c>
      <c r="E31520" s="38" t="s">
        <v>97</v>
      </c>
      <c r="F31520" s="38" t="s">
        <v>98</v>
      </c>
      <c r="G31520" s="49" t="str">
        <f t="shared" si="1"/>
        <v>23190</v>
      </c>
      <c r="H31520" s="49">
        <f t="shared" si="2"/>
        <v>23048</v>
      </c>
    </row>
    <row r="31521">
      <c r="A31521" s="48" t="s">
        <v>456</v>
      </c>
      <c r="B31521" s="38">
        <v>63275.0</v>
      </c>
      <c r="C31521" s="38" t="s">
        <v>35851</v>
      </c>
      <c r="D31521" s="38" t="str">
        <f>IFERROR(__xludf.DUMMYFUNCTION("REGEXREPLACE(C31521,""-\d+(.*)|--\d+(.*)"","""")"),"PERRIER")</f>
        <v>PERRIER</v>
      </c>
      <c r="E31521" s="38" t="s">
        <v>353</v>
      </c>
      <c r="F31521" s="38" t="s">
        <v>161</v>
      </c>
      <c r="G31521" s="49" t="str">
        <f t="shared" si="1"/>
        <v>63500</v>
      </c>
      <c r="H31521" s="49">
        <f t="shared" si="2"/>
        <v>63275</v>
      </c>
    </row>
    <row r="31522">
      <c r="A31522" s="48" t="s">
        <v>582</v>
      </c>
      <c r="B31522" s="38">
        <v>39136.0</v>
      </c>
      <c r="C31522" s="38" t="s">
        <v>35852</v>
      </c>
      <c r="D31522" s="38" t="str">
        <f>IFERROR(__xludf.DUMMYFUNCTION("REGEXREPLACE(C31522,""-\d+(.*)|--\d+(.*)"","""")"),"CHEMENOT")</f>
        <v>CHEMENOT</v>
      </c>
      <c r="E31522" s="38" t="s">
        <v>400</v>
      </c>
      <c r="F31522" s="38" t="s">
        <v>214</v>
      </c>
      <c r="G31522" s="49" t="str">
        <f t="shared" si="1"/>
        <v>39230</v>
      </c>
      <c r="H31522" s="49">
        <f t="shared" si="2"/>
        <v>39136</v>
      </c>
    </row>
    <row r="31523">
      <c r="A31523" s="48" t="s">
        <v>12281</v>
      </c>
      <c r="B31523" s="38">
        <v>54509.0</v>
      </c>
      <c r="C31523" s="38" t="s">
        <v>35853</v>
      </c>
      <c r="D31523" s="38" t="str">
        <f>IFERROR(__xludf.DUMMYFUNCTION("REGEXREPLACE(C31523,""-\d+(.*)|--\d+(.*)"","""")"),"SOMMERVILLER")</f>
        <v>SOMMERVILLER</v>
      </c>
      <c r="E31523" s="38" t="s">
        <v>548</v>
      </c>
      <c r="F31523" s="38" t="s">
        <v>195</v>
      </c>
      <c r="G31523" s="49" t="str">
        <f t="shared" si="1"/>
        <v>54110</v>
      </c>
      <c r="H31523" s="49">
        <f t="shared" si="2"/>
        <v>54509</v>
      </c>
    </row>
    <row r="31524">
      <c r="A31524" s="48" t="s">
        <v>11261</v>
      </c>
      <c r="B31524" s="38">
        <v>38232.0</v>
      </c>
      <c r="C31524" s="38" t="s">
        <v>35854</v>
      </c>
      <c r="D31524" s="38" t="str">
        <f>IFERROR(__xludf.DUMMYFUNCTION("REGEXREPLACE(C31524,""-\d+(.*)|--\d+(.*)"","""")"),"MEYSSIES")</f>
        <v>MEYSSIES</v>
      </c>
      <c r="E31524" s="38" t="s">
        <v>101</v>
      </c>
      <c r="F31524" s="38" t="s">
        <v>102</v>
      </c>
      <c r="G31524" s="49" t="str">
        <f t="shared" si="1"/>
        <v>38440</v>
      </c>
      <c r="H31524" s="49">
        <f t="shared" si="2"/>
        <v>38232</v>
      </c>
    </row>
    <row r="31525">
      <c r="A31525" s="48" t="s">
        <v>8196</v>
      </c>
      <c r="B31525" s="38">
        <v>23193.0</v>
      </c>
      <c r="C31525" s="38" t="s">
        <v>35855</v>
      </c>
      <c r="D31525" s="38" t="str">
        <f>IFERROR(__xludf.DUMMYFUNCTION("REGEXREPLACE(C31525,""-\d+(.*)|--\d+(.*)"","""")"),"SAINTE-FEYRE")</f>
        <v>SAINTE-FEYRE</v>
      </c>
      <c r="E31525" s="38" t="s">
        <v>97</v>
      </c>
      <c r="F31525" s="38" t="s">
        <v>98</v>
      </c>
      <c r="G31525" s="49" t="str">
        <f t="shared" si="1"/>
        <v>23000</v>
      </c>
      <c r="H31525" s="49">
        <f t="shared" si="2"/>
        <v>23193</v>
      </c>
    </row>
    <row r="31526">
      <c r="A31526" s="48" t="s">
        <v>2517</v>
      </c>
      <c r="B31526" s="38">
        <v>6131.0</v>
      </c>
      <c r="C31526" s="38" t="s">
        <v>35856</v>
      </c>
      <c r="D31526" s="38" t="str">
        <f>IFERROR(__xludf.DUMMYFUNCTION("REGEXREPLACE(C31526,""-\d+(.*)|--\d+(.*)"","""")"),"SALLAGRIFFON")</f>
        <v>SALLAGRIFFON</v>
      </c>
      <c r="E31526" s="38" t="s">
        <v>227</v>
      </c>
      <c r="F31526" s="38" t="s">
        <v>228</v>
      </c>
      <c r="G31526" s="49" t="str">
        <f t="shared" si="1"/>
        <v>06910</v>
      </c>
      <c r="H31526" s="49" t="str">
        <f t="shared" si="2"/>
        <v>06131</v>
      </c>
    </row>
    <row r="31527">
      <c r="A31527" s="48" t="s">
        <v>1210</v>
      </c>
      <c r="B31527" s="38">
        <v>50390.0</v>
      </c>
      <c r="C31527" s="38" t="s">
        <v>35857</v>
      </c>
      <c r="D31527" s="38" t="str">
        <f>IFERROR(__xludf.DUMMYFUNCTION("REGEXREPLACE(C31527,""-\d+(.*)|--\d+(.*)"","""")"),"OZEVILLE")</f>
        <v>OZEVILLE</v>
      </c>
      <c r="E31527" s="38" t="s">
        <v>157</v>
      </c>
      <c r="F31527" s="38" t="s">
        <v>138</v>
      </c>
      <c r="G31527" s="49" t="str">
        <f t="shared" si="1"/>
        <v>50310</v>
      </c>
      <c r="H31527" s="49">
        <f t="shared" si="2"/>
        <v>50390</v>
      </c>
    </row>
    <row r="31528">
      <c r="A31528" s="48" t="s">
        <v>3387</v>
      </c>
      <c r="B31528" s="38">
        <v>34154.0</v>
      </c>
      <c r="C31528" s="38" t="s">
        <v>35858</v>
      </c>
      <c r="D31528" s="38" t="str">
        <f>IFERROR(__xludf.DUMMYFUNCTION("REGEXREPLACE(C31528,""-\d+(.*)|--\d+(.*)"","""")"),"MAUGUIO")</f>
        <v>MAUGUIO</v>
      </c>
      <c r="E31528" s="38" t="s">
        <v>118</v>
      </c>
      <c r="F31528" s="38" t="s">
        <v>119</v>
      </c>
      <c r="G31528" s="49" t="str">
        <f t="shared" si="1"/>
        <v>34130</v>
      </c>
      <c r="H31528" s="49">
        <f t="shared" si="2"/>
        <v>34154</v>
      </c>
    </row>
    <row r="31529">
      <c r="A31529" s="48" t="s">
        <v>5125</v>
      </c>
      <c r="B31529" s="38">
        <v>49052.0</v>
      </c>
      <c r="C31529" s="38" t="s">
        <v>35859</v>
      </c>
      <c r="D31529" s="38" t="str">
        <f>IFERROR(__xludf.DUMMYFUNCTION("REGEXREPLACE(C31529,""-\d+(.*)|--\d+(.*)"","""")"),"BROC")</f>
        <v>BROC</v>
      </c>
      <c r="E31529" s="38" t="s">
        <v>653</v>
      </c>
      <c r="F31529" s="38" t="s">
        <v>180</v>
      </c>
      <c r="G31529" s="49" t="str">
        <f t="shared" si="1"/>
        <v>49490</v>
      </c>
      <c r="H31529" s="49">
        <f t="shared" si="2"/>
        <v>49052</v>
      </c>
    </row>
    <row r="31530">
      <c r="A31530" s="48" t="s">
        <v>2016</v>
      </c>
      <c r="B31530" s="38">
        <v>50287.0</v>
      </c>
      <c r="C31530" s="38" t="s">
        <v>35860</v>
      </c>
      <c r="D31530" s="38" t="str">
        <f>IFERROR(__xludf.DUMMYFUNCTION("REGEXREPLACE(C31530,""-\d+(.*)|--\d+(.*)"","""")"),"LA MANCELLIERE-SUR-VIRE")</f>
        <v>LA MANCELLIERE-SUR-VIRE</v>
      </c>
      <c r="E31530" s="38" t="s">
        <v>157</v>
      </c>
      <c r="F31530" s="38" t="s">
        <v>138</v>
      </c>
      <c r="G31530" s="49" t="str">
        <f t="shared" si="1"/>
        <v>50750</v>
      </c>
      <c r="H31530" s="49">
        <f t="shared" si="2"/>
        <v>50287</v>
      </c>
    </row>
    <row r="31531">
      <c r="A31531" s="48" t="s">
        <v>8298</v>
      </c>
      <c r="B31531" s="38">
        <v>54157.0</v>
      </c>
      <c r="C31531" s="38" t="s">
        <v>35861</v>
      </c>
      <c r="D31531" s="38" t="str">
        <f>IFERROR(__xludf.DUMMYFUNCTION("REGEXREPLACE(C31531,""-\d+(.*)|--\d+(.*)"","""")"),"DIEULOUARD")</f>
        <v>DIEULOUARD</v>
      </c>
      <c r="E31531" s="38" t="s">
        <v>548</v>
      </c>
      <c r="F31531" s="38" t="s">
        <v>195</v>
      </c>
      <c r="G31531" s="49" t="str">
        <f t="shared" si="1"/>
        <v>54380</v>
      </c>
      <c r="H31531" s="49">
        <f t="shared" si="2"/>
        <v>54157</v>
      </c>
    </row>
    <row r="31532">
      <c r="A31532" s="48" t="s">
        <v>3675</v>
      </c>
      <c r="B31532" s="38">
        <v>58288.0</v>
      </c>
      <c r="C31532" s="38" t="s">
        <v>35862</v>
      </c>
      <c r="D31532" s="38" t="str">
        <f>IFERROR(__xludf.DUMMYFUNCTION("REGEXREPLACE(C31532,""-\d+(.*)|--\d+(.*)"","""")"),"TEIGNY")</f>
        <v>TEIGNY</v>
      </c>
      <c r="E31532" s="38" t="s">
        <v>219</v>
      </c>
      <c r="F31532" s="38" t="s">
        <v>106</v>
      </c>
      <c r="G31532" s="49" t="str">
        <f t="shared" si="1"/>
        <v>58190</v>
      </c>
      <c r="H31532" s="49">
        <f t="shared" si="2"/>
        <v>58288</v>
      </c>
    </row>
    <row r="31533">
      <c r="A31533" s="48" t="s">
        <v>16366</v>
      </c>
      <c r="B31533" s="38">
        <v>21307.0</v>
      </c>
      <c r="C31533" s="38" t="s">
        <v>35863</v>
      </c>
      <c r="D31533" s="38" t="str">
        <f>IFERROR(__xludf.DUMMYFUNCTION("REGEXREPLACE(C31533,""-\d+(.*)|--\d+(.*)"","""")"),"GRESIGNY-SAINTE-REINE")</f>
        <v>GRESIGNY-SAINTE-REINE</v>
      </c>
      <c r="E31533" s="38" t="s">
        <v>105</v>
      </c>
      <c r="F31533" s="38" t="s">
        <v>106</v>
      </c>
      <c r="G31533" s="49" t="str">
        <f t="shared" si="1"/>
        <v>21150</v>
      </c>
      <c r="H31533" s="49">
        <f t="shared" si="2"/>
        <v>21307</v>
      </c>
    </row>
    <row r="31534">
      <c r="A31534" s="48" t="s">
        <v>4543</v>
      </c>
      <c r="B31534" s="38">
        <v>64045.0</v>
      </c>
      <c r="C31534" s="38" t="s">
        <v>35864</v>
      </c>
      <c r="D31534" s="38" t="str">
        <f>IFERROR(__xludf.DUMMYFUNCTION("REGEXREPLACE(C31534,""-\d+(.*)|--\d+(.*)"","""")"),"ARHANSUS")</f>
        <v>ARHANSUS</v>
      </c>
      <c r="E31534" s="38" t="s">
        <v>268</v>
      </c>
      <c r="F31534" s="38" t="s">
        <v>252</v>
      </c>
      <c r="G31534" s="49" t="str">
        <f t="shared" si="1"/>
        <v>64120</v>
      </c>
      <c r="H31534" s="49">
        <f t="shared" si="2"/>
        <v>64045</v>
      </c>
    </row>
    <row r="31535">
      <c r="A31535" s="48" t="s">
        <v>7749</v>
      </c>
      <c r="B31535" s="38">
        <v>85073.0</v>
      </c>
      <c r="C31535" s="38" t="s">
        <v>35865</v>
      </c>
      <c r="D31535" s="38" t="str">
        <f>IFERROR(__xludf.DUMMYFUNCTION("REGEXREPLACE(C31535,""-\d+(.*)|--\d+(.*)"","""")"),"CORPE")</f>
        <v>CORPE</v>
      </c>
      <c r="E31535" s="38" t="s">
        <v>179</v>
      </c>
      <c r="F31535" s="38" t="s">
        <v>180</v>
      </c>
      <c r="G31535" s="49" t="str">
        <f t="shared" si="1"/>
        <v>85320</v>
      </c>
      <c r="H31535" s="49">
        <f t="shared" si="2"/>
        <v>85073</v>
      </c>
    </row>
    <row r="31536">
      <c r="A31536" s="48" t="s">
        <v>35866</v>
      </c>
      <c r="B31536" s="38">
        <v>95257.0</v>
      </c>
      <c r="C31536" s="38" t="s">
        <v>35867</v>
      </c>
      <c r="D31536" s="38" t="str">
        <f>IFERROR(__xludf.DUMMYFUNCTION("REGEXREPLACE(C31536,""-\d+(.*)|--\d+(.*)"","""")"),"LA FRETTE-SUR-SEINE")</f>
        <v>LA FRETTE-SUR-SEINE</v>
      </c>
      <c r="E31536" s="38" t="s">
        <v>541</v>
      </c>
      <c r="F31536" s="38" t="s">
        <v>245</v>
      </c>
      <c r="G31536" s="49" t="str">
        <f t="shared" si="1"/>
        <v>95530</v>
      </c>
      <c r="H31536" s="49">
        <f t="shared" si="2"/>
        <v>95257</v>
      </c>
    </row>
    <row r="31537">
      <c r="A31537" s="48" t="s">
        <v>2592</v>
      </c>
      <c r="B31537" s="38">
        <v>34204.0</v>
      </c>
      <c r="C31537" s="38" t="s">
        <v>35868</v>
      </c>
      <c r="D31537" s="38" t="str">
        <f>IFERROR(__xludf.DUMMYFUNCTION("REGEXREPLACE(C31537,""-\d+(.*)|--\d+(.*)"","""")"),"PLAISSAN")</f>
        <v>PLAISSAN</v>
      </c>
      <c r="E31537" s="38" t="s">
        <v>118</v>
      </c>
      <c r="F31537" s="38" t="s">
        <v>119</v>
      </c>
      <c r="G31537" s="49" t="str">
        <f t="shared" si="1"/>
        <v>34230</v>
      </c>
      <c r="H31537" s="49">
        <f t="shared" si="2"/>
        <v>34204</v>
      </c>
    </row>
    <row r="31538">
      <c r="A31538" s="48" t="s">
        <v>942</v>
      </c>
      <c r="B31538" s="38">
        <v>2767.0</v>
      </c>
      <c r="C31538" s="38" t="s">
        <v>35869</v>
      </c>
      <c r="D31538" s="38" t="str">
        <f>IFERROR(__xludf.DUMMYFUNCTION("REGEXREPLACE(C31538,""-\d+(.*)|--\d+(.*)"","""")"),"VAUXREZIS")</f>
        <v>VAUXREZIS</v>
      </c>
      <c r="E31538" s="38" t="s">
        <v>191</v>
      </c>
      <c r="F31538" s="38" t="s">
        <v>113</v>
      </c>
      <c r="G31538" s="49" t="str">
        <f t="shared" si="1"/>
        <v>02200</v>
      </c>
      <c r="H31538" s="49" t="str">
        <f t="shared" si="2"/>
        <v>02767</v>
      </c>
    </row>
    <row r="31539">
      <c r="A31539" s="48" t="s">
        <v>11861</v>
      </c>
      <c r="B31539" s="38">
        <v>30105.0</v>
      </c>
      <c r="C31539" s="38" t="s">
        <v>35870</v>
      </c>
      <c r="D31539" s="38" t="str">
        <f>IFERROR(__xludf.DUMMYFUNCTION("REGEXREPLACE(C31539,""-\d+(.*)|--\d+(.*)"","""")"),"DOURBIES")</f>
        <v>DOURBIES</v>
      </c>
      <c r="E31539" s="38" t="s">
        <v>526</v>
      </c>
      <c r="F31539" s="38" t="s">
        <v>119</v>
      </c>
      <c r="G31539" s="49" t="str">
        <f t="shared" si="1"/>
        <v>30750</v>
      </c>
      <c r="H31539" s="49">
        <f t="shared" si="2"/>
        <v>30105</v>
      </c>
    </row>
    <row r="31540">
      <c r="A31540" s="48" t="s">
        <v>1903</v>
      </c>
      <c r="B31540" s="38">
        <v>10189.0</v>
      </c>
      <c r="C31540" s="38" t="s">
        <v>35871</v>
      </c>
      <c r="D31540" s="38" t="str">
        <f>IFERROR(__xludf.DUMMYFUNCTION("REGEXREPLACE(C31540,""-\d+(.*)|--\d+(.*)"","""")"),"LASSICOURT")</f>
        <v>LASSICOURT</v>
      </c>
      <c r="E31540" s="38" t="s">
        <v>147</v>
      </c>
      <c r="F31540" s="38" t="s">
        <v>130</v>
      </c>
      <c r="G31540" s="49" t="str">
        <f t="shared" si="1"/>
        <v>10500</v>
      </c>
      <c r="H31540" s="49">
        <f t="shared" si="2"/>
        <v>10189</v>
      </c>
    </row>
    <row r="31541">
      <c r="A31541" s="48" t="s">
        <v>3543</v>
      </c>
      <c r="B31541" s="38">
        <v>81084.0</v>
      </c>
      <c r="C31541" s="38" t="s">
        <v>35872</v>
      </c>
      <c r="D31541" s="38" t="str">
        <f>IFERROR(__xludf.DUMMYFUNCTION("REGEXREPLACE(C31541,""-\d+(.*)|--\d+(.*)"","""")"),"ESCOUSSENS")</f>
        <v>ESCOUSSENS</v>
      </c>
      <c r="E31541" s="38" t="s">
        <v>231</v>
      </c>
      <c r="F31541" s="38" t="s">
        <v>94</v>
      </c>
      <c r="G31541" s="49" t="str">
        <f t="shared" si="1"/>
        <v>81290</v>
      </c>
      <c r="H31541" s="49">
        <f t="shared" si="2"/>
        <v>81084</v>
      </c>
    </row>
    <row r="31542">
      <c r="A31542" s="48" t="s">
        <v>2128</v>
      </c>
      <c r="B31542" s="38">
        <v>2250.0</v>
      </c>
      <c r="C31542" s="38" t="s">
        <v>35873</v>
      </c>
      <c r="D31542" s="38" t="str">
        <f>IFERROR(__xludf.DUMMYFUNCTION("REGEXREPLACE(C31542,""-\d+(.*)|--\d+(.*)"","""")"),"CUIRY-LES-CHAUDARDES")</f>
        <v>CUIRY-LES-CHAUDARDES</v>
      </c>
      <c r="E31542" s="38" t="s">
        <v>191</v>
      </c>
      <c r="F31542" s="38" t="s">
        <v>113</v>
      </c>
      <c r="G31542" s="49" t="str">
        <f t="shared" si="1"/>
        <v>02160</v>
      </c>
      <c r="H31542" s="49" t="str">
        <f t="shared" si="2"/>
        <v>02250</v>
      </c>
    </row>
    <row r="31543">
      <c r="A31543" s="48" t="s">
        <v>2139</v>
      </c>
      <c r="B31543" s="38">
        <v>72108.0</v>
      </c>
      <c r="C31543" s="38" t="s">
        <v>35874</v>
      </c>
      <c r="D31543" s="38" t="str">
        <f>IFERROR(__xludf.DUMMYFUNCTION("REGEXREPLACE(C31543,""-\d+(.*)|--\d+(.*)"","""")"),"CRE")</f>
        <v>CRE</v>
      </c>
      <c r="E31543" s="38" t="s">
        <v>521</v>
      </c>
      <c r="F31543" s="38" t="s">
        <v>180</v>
      </c>
      <c r="G31543" s="49" t="str">
        <f t="shared" si="1"/>
        <v>72200</v>
      </c>
      <c r="H31543" s="49">
        <f t="shared" si="2"/>
        <v>72108</v>
      </c>
    </row>
    <row r="31544">
      <c r="A31544" s="48" t="s">
        <v>1681</v>
      </c>
      <c r="B31544" s="38">
        <v>80306.0</v>
      </c>
      <c r="C31544" s="38" t="s">
        <v>35875</v>
      </c>
      <c r="D31544" s="38" t="str">
        <f>IFERROR(__xludf.DUMMYFUNCTION("REGEXREPLACE(C31544,""-\d+(.*)|--\d+(.*)"","""")"),"FESCAMPS")</f>
        <v>FESCAMPS</v>
      </c>
      <c r="E31544" s="38" t="s">
        <v>224</v>
      </c>
      <c r="F31544" s="38" t="s">
        <v>113</v>
      </c>
      <c r="G31544" s="49" t="str">
        <f t="shared" si="1"/>
        <v>80500</v>
      </c>
      <c r="H31544" s="49">
        <f t="shared" si="2"/>
        <v>80306</v>
      </c>
    </row>
    <row r="31545">
      <c r="A31545" s="48" t="s">
        <v>3283</v>
      </c>
      <c r="B31545" s="38">
        <v>52183.0</v>
      </c>
      <c r="C31545" s="38" t="s">
        <v>35876</v>
      </c>
      <c r="D31545" s="38" t="str">
        <f>IFERROR(__xludf.DUMMYFUNCTION("REGEXREPLACE(C31545,""-\d+(.*)|--\d+(.*)"","""")"),"ECOT-LA-COMBE")</f>
        <v>ECOT-LA-COMBE</v>
      </c>
      <c r="E31545" s="38" t="s">
        <v>234</v>
      </c>
      <c r="F31545" s="38" t="s">
        <v>130</v>
      </c>
      <c r="G31545" s="49" t="str">
        <f t="shared" si="1"/>
        <v>52700</v>
      </c>
      <c r="H31545" s="49">
        <f t="shared" si="2"/>
        <v>52183</v>
      </c>
    </row>
    <row r="31546">
      <c r="A31546" s="48" t="s">
        <v>1669</v>
      </c>
      <c r="B31546" s="38">
        <v>21682.0</v>
      </c>
      <c r="C31546" s="38" t="s">
        <v>35877</v>
      </c>
      <c r="D31546" s="38" t="str">
        <f>IFERROR(__xludf.DUMMYFUNCTION("REGEXREPLACE(C31546,""-\d+(.*)|--\d+(.*)"","""")"),"VIEVIGNE")</f>
        <v>VIEVIGNE</v>
      </c>
      <c r="E31546" s="38" t="s">
        <v>105</v>
      </c>
      <c r="F31546" s="38" t="s">
        <v>106</v>
      </c>
      <c r="G31546" s="49" t="str">
        <f t="shared" si="1"/>
        <v>21310</v>
      </c>
      <c r="H31546" s="49">
        <f t="shared" si="2"/>
        <v>21682</v>
      </c>
    </row>
    <row r="31547">
      <c r="A31547" s="48" t="s">
        <v>1777</v>
      </c>
      <c r="B31547" s="38">
        <v>10051.0</v>
      </c>
      <c r="C31547" s="38" t="s">
        <v>32654</v>
      </c>
      <c r="D31547" s="38" t="str">
        <f>IFERROR(__xludf.DUMMYFUNCTION("REGEXREPLACE(C31547,""-\d+(.*)|--\d+(.*)"","""")"),"BOUILLY")</f>
        <v>BOUILLY</v>
      </c>
      <c r="E31547" s="38" t="s">
        <v>147</v>
      </c>
      <c r="F31547" s="38" t="s">
        <v>130</v>
      </c>
      <c r="G31547" s="49" t="str">
        <f t="shared" si="1"/>
        <v>10320</v>
      </c>
      <c r="H31547" s="49">
        <f t="shared" si="2"/>
        <v>10051</v>
      </c>
    </row>
    <row r="31548">
      <c r="A31548" s="48" t="s">
        <v>8883</v>
      </c>
      <c r="B31548" s="38">
        <v>39415.0</v>
      </c>
      <c r="C31548" s="38" t="s">
        <v>35878</v>
      </c>
      <c r="D31548" s="38" t="str">
        <f>IFERROR(__xludf.DUMMYFUNCTION("REGEXREPLACE(C31548,""-\d+(.*)|--\d+(.*)"","""")"),"PETIT-NOIR")</f>
        <v>PETIT-NOIR</v>
      </c>
      <c r="E31548" s="38" t="s">
        <v>400</v>
      </c>
      <c r="F31548" s="38" t="s">
        <v>214</v>
      </c>
      <c r="G31548" s="49" t="str">
        <f t="shared" si="1"/>
        <v>39120</v>
      </c>
      <c r="H31548" s="49">
        <f t="shared" si="2"/>
        <v>39415</v>
      </c>
    </row>
    <row r="31549">
      <c r="A31549" s="48" t="s">
        <v>5325</v>
      </c>
      <c r="B31549" s="38">
        <v>60016.0</v>
      </c>
      <c r="C31549" s="38" t="s">
        <v>35879</v>
      </c>
      <c r="D31549" s="38" t="str">
        <f>IFERROR(__xludf.DUMMYFUNCTION("REGEXREPLACE(C31549,""-\d+(.*)|--\d+(.*)"","""")"),"ANSACQ")</f>
        <v>ANSACQ</v>
      </c>
      <c r="E31549" s="38" t="s">
        <v>112</v>
      </c>
      <c r="F31549" s="38" t="s">
        <v>113</v>
      </c>
      <c r="G31549" s="49" t="str">
        <f t="shared" si="1"/>
        <v>60250</v>
      </c>
      <c r="H31549" s="49">
        <f t="shared" si="2"/>
        <v>60016</v>
      </c>
    </row>
    <row r="31550">
      <c r="A31550" s="48" t="s">
        <v>2249</v>
      </c>
      <c r="B31550" s="38">
        <v>14552.0</v>
      </c>
      <c r="C31550" s="38" t="s">
        <v>35880</v>
      </c>
      <c r="D31550" s="38" t="str">
        <f>IFERROR(__xludf.DUMMYFUNCTION("REGEXREPLACE(C31550,""-\d+(.*)|--\d+(.*)"","""")"),"RYES")</f>
        <v>RYES</v>
      </c>
      <c r="E31550" s="38" t="s">
        <v>137</v>
      </c>
      <c r="F31550" s="38" t="s">
        <v>138</v>
      </c>
      <c r="G31550" s="49" t="str">
        <f t="shared" si="1"/>
        <v>14400</v>
      </c>
      <c r="H31550" s="49">
        <f t="shared" si="2"/>
        <v>14552</v>
      </c>
    </row>
    <row r="31551">
      <c r="A31551" s="48" t="s">
        <v>1174</v>
      </c>
      <c r="B31551" s="38">
        <v>51601.0</v>
      </c>
      <c r="C31551" s="38" t="s">
        <v>35881</v>
      </c>
      <c r="D31551" s="38" t="str">
        <f>IFERROR(__xludf.DUMMYFUNCTION("REGEXREPLACE(C31551,""-\d+(.*)|--\d+(.*)"","""")"),"VAVRAY-LE-GRAND")</f>
        <v>VAVRAY-LE-GRAND</v>
      </c>
      <c r="E31551" s="38" t="s">
        <v>129</v>
      </c>
      <c r="F31551" s="38" t="s">
        <v>130</v>
      </c>
      <c r="G31551" s="49" t="str">
        <f t="shared" si="1"/>
        <v>51300</v>
      </c>
      <c r="H31551" s="49">
        <f t="shared" si="2"/>
        <v>51601</v>
      </c>
    </row>
    <row r="31552">
      <c r="A31552" s="48" t="s">
        <v>4557</v>
      </c>
      <c r="B31552" s="38">
        <v>46187.0</v>
      </c>
      <c r="C31552" s="38" t="s">
        <v>17759</v>
      </c>
      <c r="D31552" s="38" t="str">
        <f>IFERROR(__xludf.DUMMYFUNCTION("REGEXREPLACE(C31552,""-\d+(.*)|--\d+(.*)"","""")"),"MAUROUX")</f>
        <v>MAUROUX</v>
      </c>
      <c r="E31552" s="38" t="s">
        <v>185</v>
      </c>
      <c r="F31552" s="38" t="s">
        <v>94</v>
      </c>
      <c r="G31552" s="49" t="str">
        <f t="shared" si="1"/>
        <v>46700</v>
      </c>
      <c r="H31552" s="49">
        <f t="shared" si="2"/>
        <v>46187</v>
      </c>
    </row>
    <row r="31553">
      <c r="A31553" s="48" t="s">
        <v>2215</v>
      </c>
      <c r="B31553" s="38">
        <v>64273.0</v>
      </c>
      <c r="C31553" s="38" t="s">
        <v>35882</v>
      </c>
      <c r="D31553" s="38" t="str">
        <f>IFERROR(__xludf.DUMMYFUNCTION("REGEXREPLACE(C31553,""-\d+(.*)|--\d+(.*)"","""")"),"IRISSARRY")</f>
        <v>IRISSARRY</v>
      </c>
      <c r="E31553" s="38" t="s">
        <v>268</v>
      </c>
      <c r="F31553" s="38" t="s">
        <v>252</v>
      </c>
      <c r="G31553" s="49" t="str">
        <f t="shared" si="1"/>
        <v>64780</v>
      </c>
      <c r="H31553" s="49">
        <f t="shared" si="2"/>
        <v>64273</v>
      </c>
    </row>
    <row r="31554">
      <c r="A31554" s="48" t="s">
        <v>3465</v>
      </c>
      <c r="B31554" s="38">
        <v>11032.0</v>
      </c>
      <c r="C31554" s="38" t="s">
        <v>35883</v>
      </c>
      <c r="D31554" s="38" t="str">
        <f>IFERROR(__xludf.DUMMYFUNCTION("REGEXREPLACE(C31554,""-\d+(.*)|--\d+(.*)"","""")"),"BELLEGARDE-DU-RAZES")</f>
        <v>BELLEGARDE-DU-RAZES</v>
      </c>
      <c r="E31554" s="38" t="s">
        <v>278</v>
      </c>
      <c r="F31554" s="38" t="s">
        <v>119</v>
      </c>
      <c r="G31554" s="49" t="str">
        <f t="shared" si="1"/>
        <v>11240</v>
      </c>
      <c r="H31554" s="49">
        <f t="shared" si="2"/>
        <v>11032</v>
      </c>
    </row>
    <row r="31555">
      <c r="A31555" s="48" t="s">
        <v>1120</v>
      </c>
      <c r="B31555" s="38">
        <v>64200.0</v>
      </c>
      <c r="C31555" s="38" t="s">
        <v>35884</v>
      </c>
      <c r="D31555" s="38" t="str">
        <f>IFERROR(__xludf.DUMMYFUNCTION("REGEXREPLACE(C31555,""-\d+(.*)|--\d+(.*)"","""")"),"DOAZON")</f>
        <v>DOAZON</v>
      </c>
      <c r="E31555" s="38" t="s">
        <v>268</v>
      </c>
      <c r="F31555" s="38" t="s">
        <v>252</v>
      </c>
      <c r="G31555" s="49" t="str">
        <f t="shared" si="1"/>
        <v>64370</v>
      </c>
      <c r="H31555" s="49">
        <f t="shared" si="2"/>
        <v>64200</v>
      </c>
    </row>
    <row r="31556">
      <c r="A31556" s="48" t="s">
        <v>1841</v>
      </c>
      <c r="B31556" s="38">
        <v>27374.0</v>
      </c>
      <c r="C31556" s="38" t="s">
        <v>35885</v>
      </c>
      <c r="D31556" s="38" t="str">
        <f>IFERROR(__xludf.DUMMYFUNCTION("REGEXREPLACE(C31556,""-\d+(.*)|--\d+(.*)"","""")"),"LOUVERSEY")</f>
        <v>LOUVERSEY</v>
      </c>
      <c r="E31556" s="38" t="s">
        <v>241</v>
      </c>
      <c r="F31556" s="38" t="s">
        <v>134</v>
      </c>
      <c r="G31556" s="49" t="str">
        <f t="shared" si="1"/>
        <v>27190</v>
      </c>
      <c r="H31556" s="49">
        <f t="shared" si="2"/>
        <v>27374</v>
      </c>
    </row>
    <row r="31557">
      <c r="A31557" s="48" t="s">
        <v>3458</v>
      </c>
      <c r="B31557" s="38">
        <v>52272.0</v>
      </c>
      <c r="C31557" s="38" t="s">
        <v>35886</v>
      </c>
      <c r="D31557" s="38" t="str">
        <f>IFERROR(__xludf.DUMMYFUNCTION("REGEXREPLACE(C31557,""-\d+(.*)|--\d+(.*)"","""")"),"LANTY-SUR-AUBE")</f>
        <v>LANTY-SUR-AUBE</v>
      </c>
      <c r="E31557" s="38" t="s">
        <v>234</v>
      </c>
      <c r="F31557" s="38" t="s">
        <v>130</v>
      </c>
      <c r="G31557" s="49" t="str">
        <f t="shared" si="1"/>
        <v>52120</v>
      </c>
      <c r="H31557" s="49">
        <f t="shared" si="2"/>
        <v>52272</v>
      </c>
    </row>
    <row r="31558">
      <c r="A31558" s="48" t="s">
        <v>9585</v>
      </c>
      <c r="B31558" s="38">
        <v>25491.0</v>
      </c>
      <c r="C31558" s="38" t="s">
        <v>35887</v>
      </c>
      <c r="D31558" s="38" t="str">
        <f>IFERROR(__xludf.DUMMYFUNCTION("REGEXREPLACE(C31558,""-\d+(.*)|--\d+(.*)"","""")"),"RIGNOSOT")</f>
        <v>RIGNOSOT</v>
      </c>
      <c r="E31558" s="38" t="s">
        <v>213</v>
      </c>
      <c r="F31558" s="38" t="s">
        <v>214</v>
      </c>
      <c r="G31558" s="49" t="str">
        <f t="shared" si="1"/>
        <v>25640</v>
      </c>
      <c r="H31558" s="49">
        <f t="shared" si="2"/>
        <v>25491</v>
      </c>
    </row>
    <row r="31559">
      <c r="A31559" s="48" t="s">
        <v>6633</v>
      </c>
      <c r="B31559" s="38">
        <v>64088.0</v>
      </c>
      <c r="C31559" s="38" t="s">
        <v>35888</v>
      </c>
      <c r="D31559" s="38" t="str">
        <f>IFERROR(__xludf.DUMMYFUNCTION("REGEXREPLACE(C31559,""-\d+(.*)|--\d+(.*)"","""")"),"BALANSUN")</f>
        <v>BALANSUN</v>
      </c>
      <c r="E31559" s="38" t="s">
        <v>268</v>
      </c>
      <c r="F31559" s="38" t="s">
        <v>252</v>
      </c>
      <c r="G31559" s="49" t="str">
        <f t="shared" si="1"/>
        <v>64300</v>
      </c>
      <c r="H31559" s="49">
        <f t="shared" si="2"/>
        <v>64088</v>
      </c>
    </row>
    <row r="31560">
      <c r="A31560" s="48" t="s">
        <v>1621</v>
      </c>
      <c r="B31560" s="38">
        <v>64240.0</v>
      </c>
      <c r="C31560" s="38" t="s">
        <v>35889</v>
      </c>
      <c r="D31560" s="38" t="str">
        <f>IFERROR(__xludf.DUMMYFUNCTION("REGEXREPLACE(C31560,""-\d+(.*)|--\d+(.*)"","""")"),"GERE-BELESTEN")</f>
        <v>GERE-BELESTEN</v>
      </c>
      <c r="E31560" s="38" t="s">
        <v>268</v>
      </c>
      <c r="F31560" s="38" t="s">
        <v>252</v>
      </c>
      <c r="G31560" s="49" t="str">
        <f t="shared" si="1"/>
        <v>64260</v>
      </c>
      <c r="H31560" s="49">
        <f t="shared" si="2"/>
        <v>64240</v>
      </c>
    </row>
    <row r="31561">
      <c r="A31561" s="48" t="s">
        <v>10904</v>
      </c>
      <c r="B31561" s="38">
        <v>74087.0</v>
      </c>
      <c r="C31561" s="38" t="s">
        <v>35890</v>
      </c>
      <c r="D31561" s="38" t="str">
        <f>IFERROR(__xludf.DUMMYFUNCTION("REGEXREPLACE(C31561,""-\d+(.*)|--\d+(.*)"","""")"),"CONTAMINE-SUR-ARVE")</f>
        <v>CONTAMINE-SUR-ARVE</v>
      </c>
      <c r="E31561" s="38" t="s">
        <v>319</v>
      </c>
      <c r="F31561" s="38" t="s">
        <v>102</v>
      </c>
      <c r="G31561" s="49" t="str">
        <f t="shared" si="1"/>
        <v>74130</v>
      </c>
      <c r="H31561" s="49">
        <f t="shared" si="2"/>
        <v>74087</v>
      </c>
    </row>
    <row r="31562">
      <c r="A31562" s="48" t="s">
        <v>1781</v>
      </c>
      <c r="B31562" s="38">
        <v>27129.0</v>
      </c>
      <c r="C31562" s="38" t="s">
        <v>35891</v>
      </c>
      <c r="D31562" s="38" t="str">
        <f>IFERROR(__xludf.DUMMYFUNCTION("REGEXREPLACE(C31562,""-\d+(.*)|--\d+(.*)"","""")"),"CAORCHES-SAINT-NICOLAS")</f>
        <v>CAORCHES-SAINT-NICOLAS</v>
      </c>
      <c r="E31562" s="38" t="s">
        <v>241</v>
      </c>
      <c r="F31562" s="38" t="s">
        <v>134</v>
      </c>
      <c r="G31562" s="49" t="str">
        <f t="shared" si="1"/>
        <v>27300</v>
      </c>
      <c r="H31562" s="49">
        <f t="shared" si="2"/>
        <v>27129</v>
      </c>
    </row>
    <row r="31563">
      <c r="A31563" s="48" t="s">
        <v>7166</v>
      </c>
      <c r="B31563" s="38">
        <v>52151.0</v>
      </c>
      <c r="C31563" s="38" t="s">
        <v>35892</v>
      </c>
      <c r="D31563" s="38" t="str">
        <f>IFERROR(__xludf.DUMMYFUNCTION("REGEXREPLACE(C31563,""-\d+(.*)|--\d+(.*)"","""")"),"COUR-L'EVEQUE")</f>
        <v>COUR-L'EVEQUE</v>
      </c>
      <c r="E31563" s="38" t="s">
        <v>234</v>
      </c>
      <c r="F31563" s="38" t="s">
        <v>130</v>
      </c>
      <c r="G31563" s="49" t="str">
        <f t="shared" si="1"/>
        <v>52210</v>
      </c>
      <c r="H31563" s="49">
        <f t="shared" si="2"/>
        <v>52151</v>
      </c>
    </row>
    <row r="31564">
      <c r="A31564" s="48" t="s">
        <v>889</v>
      </c>
      <c r="B31564" s="38">
        <v>30144.0</v>
      </c>
      <c r="C31564" s="38" t="s">
        <v>35893</v>
      </c>
      <c r="D31564" s="38" t="str">
        <f>IFERROR(__xludf.DUMMYFUNCTION("REGEXREPLACE(C31564,""-\d+(.*)|--\d+(.*)"","""")"),"LECQUES")</f>
        <v>LECQUES</v>
      </c>
      <c r="E31564" s="38" t="s">
        <v>526</v>
      </c>
      <c r="F31564" s="38" t="s">
        <v>119</v>
      </c>
      <c r="G31564" s="49" t="str">
        <f t="shared" si="1"/>
        <v>30250</v>
      </c>
      <c r="H31564" s="49">
        <f t="shared" si="2"/>
        <v>30144</v>
      </c>
    </row>
    <row r="31565">
      <c r="A31565" s="48" t="s">
        <v>1226</v>
      </c>
      <c r="B31565" s="38">
        <v>71143.0</v>
      </c>
      <c r="C31565" s="38" t="s">
        <v>35894</v>
      </c>
      <c r="D31565" s="38" t="str">
        <f>IFERROR(__xludf.DUMMYFUNCTION("REGEXREPLACE(C31565,""-\d+(.*)|--\d+(.*)"","""")"),"CONDAL")</f>
        <v>CONDAL</v>
      </c>
      <c r="E31565" s="38" t="s">
        <v>344</v>
      </c>
      <c r="F31565" s="38" t="s">
        <v>106</v>
      </c>
      <c r="G31565" s="49" t="str">
        <f t="shared" si="1"/>
        <v>71480</v>
      </c>
      <c r="H31565" s="49">
        <f t="shared" si="2"/>
        <v>71143</v>
      </c>
    </row>
    <row r="31566">
      <c r="A31566" s="48" t="s">
        <v>12662</v>
      </c>
      <c r="B31566" s="38">
        <v>85111.0</v>
      </c>
      <c r="C31566" s="38" t="s">
        <v>35895</v>
      </c>
      <c r="D31566" s="38" t="str">
        <f>IFERROR(__xludf.DUMMYFUNCTION("REGEXREPLACE(C31566,""-\d+(.*)|--\d+(.*)"","""")"),"L'ILE-D'ELLE")</f>
        <v>L'ILE-D'ELLE</v>
      </c>
      <c r="E31566" s="38" t="s">
        <v>179</v>
      </c>
      <c r="F31566" s="38" t="s">
        <v>180</v>
      </c>
      <c r="G31566" s="49" t="str">
        <f t="shared" si="1"/>
        <v>85770</v>
      </c>
      <c r="H31566" s="49">
        <f t="shared" si="2"/>
        <v>85111</v>
      </c>
    </row>
    <row r="31567">
      <c r="A31567" s="48" t="s">
        <v>365</v>
      </c>
      <c r="B31567" s="38">
        <v>50120.0</v>
      </c>
      <c r="C31567" s="38" t="s">
        <v>5633</v>
      </c>
      <c r="D31567" s="38" t="str">
        <f>IFERROR(__xludf.DUMMYFUNCTION("REGEXREPLACE(C31567,""-\d+(.*)|--\d+(.*)"","""")"),"CHANTELOUP")</f>
        <v>CHANTELOUP</v>
      </c>
      <c r="E31567" s="38" t="s">
        <v>157</v>
      </c>
      <c r="F31567" s="38" t="s">
        <v>138</v>
      </c>
      <c r="G31567" s="49" t="str">
        <f t="shared" si="1"/>
        <v>50510</v>
      </c>
      <c r="H31567" s="49">
        <f t="shared" si="2"/>
        <v>50120</v>
      </c>
    </row>
    <row r="31568">
      <c r="A31568" s="48" t="s">
        <v>8577</v>
      </c>
      <c r="B31568" s="38">
        <v>3216.0</v>
      </c>
      <c r="C31568" s="38" t="s">
        <v>35896</v>
      </c>
      <c r="D31568" s="38" t="str">
        <f>IFERROR(__xludf.DUMMYFUNCTION("REGEXREPLACE(C31568,""-\d+(.*)|--\d+(.*)"","""")"),"RONNET")</f>
        <v>RONNET</v>
      </c>
      <c r="E31568" s="38" t="s">
        <v>160</v>
      </c>
      <c r="F31568" s="38" t="s">
        <v>161</v>
      </c>
      <c r="G31568" s="49" t="str">
        <f t="shared" si="1"/>
        <v>03420</v>
      </c>
      <c r="H31568" s="49" t="str">
        <f t="shared" si="2"/>
        <v>03216</v>
      </c>
    </row>
    <row r="31569">
      <c r="A31569" s="48" t="s">
        <v>6414</v>
      </c>
      <c r="B31569" s="38">
        <v>34071.0</v>
      </c>
      <c r="C31569" s="38" t="s">
        <v>35897</v>
      </c>
      <c r="D31569" s="38" t="str">
        <f>IFERROR(__xludf.DUMMYFUNCTION("REGEXREPLACE(C31569,""-\d+(.*)|--\d+(.*)"","""")"),"CEILHES-ET-ROCOZELS")</f>
        <v>CEILHES-ET-ROCOZELS</v>
      </c>
      <c r="E31569" s="38" t="s">
        <v>118</v>
      </c>
      <c r="F31569" s="38" t="s">
        <v>119</v>
      </c>
      <c r="G31569" s="49" t="str">
        <f t="shared" si="1"/>
        <v>34260</v>
      </c>
      <c r="H31569" s="49">
        <f t="shared" si="2"/>
        <v>34071</v>
      </c>
    </row>
    <row r="31570">
      <c r="A31570" s="48" t="s">
        <v>4235</v>
      </c>
      <c r="B31570" s="38">
        <v>50206.0</v>
      </c>
      <c r="C31570" s="38" t="s">
        <v>35898</v>
      </c>
      <c r="D31570" s="38" t="str">
        <f>IFERROR(__xludf.DUMMYFUNCTION("REGEXREPLACE(C31570,""-\d+(.*)|--\d+(.*)"","""")"),"LA GOHANNIERE")</f>
        <v>LA GOHANNIERE</v>
      </c>
      <c r="E31570" s="38" t="s">
        <v>157</v>
      </c>
      <c r="F31570" s="38" t="s">
        <v>138</v>
      </c>
      <c r="G31570" s="49" t="str">
        <f t="shared" si="1"/>
        <v>50300</v>
      </c>
      <c r="H31570" s="49">
        <f t="shared" si="2"/>
        <v>50206</v>
      </c>
    </row>
    <row r="31571">
      <c r="A31571" s="48" t="s">
        <v>546</v>
      </c>
      <c r="B31571" s="38">
        <v>54114.0</v>
      </c>
      <c r="C31571" s="38" t="s">
        <v>35899</v>
      </c>
      <c r="D31571" s="38" t="str">
        <f>IFERROR(__xludf.DUMMYFUNCTION("REGEXREPLACE(C31571,""-\d+(.*)|--\d+(.*)"","""")"),"CHAMPEY-SUR-MOSELLE")</f>
        <v>CHAMPEY-SUR-MOSELLE</v>
      </c>
      <c r="E31571" s="38" t="s">
        <v>548</v>
      </c>
      <c r="F31571" s="38" t="s">
        <v>195</v>
      </c>
      <c r="G31571" s="49" t="str">
        <f t="shared" si="1"/>
        <v>54700</v>
      </c>
      <c r="H31571" s="49">
        <f t="shared" si="2"/>
        <v>54114</v>
      </c>
    </row>
    <row r="31572">
      <c r="A31572" s="48" t="s">
        <v>2920</v>
      </c>
      <c r="B31572" s="38">
        <v>62212.0</v>
      </c>
      <c r="C31572" s="38" t="s">
        <v>35900</v>
      </c>
      <c r="D31572" s="38" t="str">
        <f>IFERROR(__xludf.DUMMYFUNCTION("REGEXREPLACE(C31572,""-\d+(.*)|--\d+(.*)"","""")"),"CAPELLE-LES-HESDIN")</f>
        <v>CAPELLE-LES-HESDIN</v>
      </c>
      <c r="E31572" s="38" t="s">
        <v>109</v>
      </c>
      <c r="F31572" s="38" t="s">
        <v>86</v>
      </c>
      <c r="G31572" s="49" t="str">
        <f t="shared" si="1"/>
        <v>62140</v>
      </c>
      <c r="H31572" s="49">
        <f t="shared" si="2"/>
        <v>62212</v>
      </c>
    </row>
    <row r="31573">
      <c r="A31573" s="48" t="s">
        <v>2176</v>
      </c>
      <c r="B31573" s="38">
        <v>62686.0</v>
      </c>
      <c r="C31573" s="38" t="s">
        <v>22849</v>
      </c>
      <c r="D31573" s="38" t="str">
        <f>IFERROR(__xludf.DUMMYFUNCTION("REGEXREPLACE(C31573,""-\d+(.*)|--\d+(.*)"","""")"),"RAMECOURT")</f>
        <v>RAMECOURT</v>
      </c>
      <c r="E31573" s="38" t="s">
        <v>109</v>
      </c>
      <c r="F31573" s="38" t="s">
        <v>86</v>
      </c>
      <c r="G31573" s="49" t="str">
        <f t="shared" si="1"/>
        <v>62130</v>
      </c>
      <c r="H31573" s="49">
        <f t="shared" si="2"/>
        <v>62686</v>
      </c>
    </row>
    <row r="31574">
      <c r="A31574" s="48" t="s">
        <v>1276</v>
      </c>
      <c r="B31574" s="38">
        <v>64159.0</v>
      </c>
      <c r="C31574" s="38" t="s">
        <v>35901</v>
      </c>
      <c r="D31574" s="38" t="str">
        <f>IFERROR(__xludf.DUMMYFUNCTION("REGEXREPLACE(C31574,""-\d+(.*)|--\d+(.*)"","""")"),"CADILLON")</f>
        <v>CADILLON</v>
      </c>
      <c r="E31574" s="38" t="s">
        <v>268</v>
      </c>
      <c r="F31574" s="38" t="s">
        <v>252</v>
      </c>
      <c r="G31574" s="49" t="str">
        <f t="shared" si="1"/>
        <v>64330</v>
      </c>
      <c r="H31574" s="49">
        <f t="shared" si="2"/>
        <v>64159</v>
      </c>
    </row>
    <row r="31575">
      <c r="A31575" s="48" t="s">
        <v>1959</v>
      </c>
      <c r="B31575" s="38">
        <v>82072.0</v>
      </c>
      <c r="C31575" s="38" t="s">
        <v>35902</v>
      </c>
      <c r="D31575" s="38" t="str">
        <f>IFERROR(__xludf.DUMMYFUNCTION("REGEXREPLACE(C31575,""-\d+(.*)|--\d+(.*)"","""")"),"GOLFECH")</f>
        <v>GOLFECH</v>
      </c>
      <c r="E31575" s="38" t="s">
        <v>570</v>
      </c>
      <c r="F31575" s="38" t="s">
        <v>94</v>
      </c>
      <c r="G31575" s="49" t="str">
        <f t="shared" si="1"/>
        <v>82400</v>
      </c>
      <c r="H31575" s="49">
        <f t="shared" si="2"/>
        <v>82072</v>
      </c>
    </row>
    <row r="31576">
      <c r="A31576" s="48" t="s">
        <v>360</v>
      </c>
      <c r="B31576" s="38">
        <v>78163.0</v>
      </c>
      <c r="C31576" s="38" t="s">
        <v>35903</v>
      </c>
      <c r="D31576" s="38" t="str">
        <f>IFERROR(__xludf.DUMMYFUNCTION("REGEXREPLACE(C31576,""-\d+(.*)|--\d+(.*)"","""")"),"CIVRY-LA-FORET")</f>
        <v>CIVRY-LA-FORET</v>
      </c>
      <c r="E31576" s="38" t="s">
        <v>362</v>
      </c>
      <c r="F31576" s="38" t="s">
        <v>245</v>
      </c>
      <c r="G31576" s="49" t="str">
        <f t="shared" si="1"/>
        <v>78910</v>
      </c>
      <c r="H31576" s="49">
        <f t="shared" si="2"/>
        <v>78163</v>
      </c>
    </row>
    <row r="31577">
      <c r="A31577" s="48" t="s">
        <v>1999</v>
      </c>
      <c r="B31577" s="38">
        <v>2677.0</v>
      </c>
      <c r="C31577" s="38" t="s">
        <v>11747</v>
      </c>
      <c r="D31577" s="38" t="str">
        <f>IFERROR(__xludf.DUMMYFUNCTION("REGEXREPLACE(C31577,""-\d+(.*)|--\d+(.*)"","""")"),"SAINT-EUGENE")</f>
        <v>SAINT-EUGENE</v>
      </c>
      <c r="E31577" s="38" t="s">
        <v>191</v>
      </c>
      <c r="F31577" s="38" t="s">
        <v>113</v>
      </c>
      <c r="G31577" s="49" t="str">
        <f t="shared" si="1"/>
        <v>02330</v>
      </c>
      <c r="H31577" s="49" t="str">
        <f t="shared" si="2"/>
        <v>02677</v>
      </c>
    </row>
    <row r="31578">
      <c r="A31578" s="48" t="s">
        <v>386</v>
      </c>
      <c r="B31578" s="38">
        <v>21330.0</v>
      </c>
      <c r="C31578" s="38" t="s">
        <v>35904</v>
      </c>
      <c r="D31578" s="38" t="str">
        <f>IFERROR(__xludf.DUMMYFUNCTION("REGEXREPLACE(C31578,""-\d+(.*)|--\d+(.*)"","""")"),"LABERGEMENT-FOIGNEY")</f>
        <v>LABERGEMENT-FOIGNEY</v>
      </c>
      <c r="E31578" s="38" t="s">
        <v>105</v>
      </c>
      <c r="F31578" s="38" t="s">
        <v>106</v>
      </c>
      <c r="G31578" s="49" t="str">
        <f t="shared" si="1"/>
        <v>21110</v>
      </c>
      <c r="H31578" s="49">
        <f t="shared" si="2"/>
        <v>21330</v>
      </c>
    </row>
    <row r="31579">
      <c r="A31579" s="48" t="s">
        <v>1728</v>
      </c>
      <c r="B31579" s="38">
        <v>45038.0</v>
      </c>
      <c r="C31579" s="38" t="s">
        <v>35905</v>
      </c>
      <c r="D31579" s="38" t="str">
        <f>IFERROR(__xludf.DUMMYFUNCTION("REGEXREPLACE(C31579,""-\d+(.*)|--\d+(.*)"","""")"),"BONDAROY")</f>
        <v>BONDAROY</v>
      </c>
      <c r="E31579" s="38" t="s">
        <v>122</v>
      </c>
      <c r="F31579" s="38" t="s">
        <v>123</v>
      </c>
      <c r="G31579" s="49" t="str">
        <f t="shared" si="1"/>
        <v>45300</v>
      </c>
      <c r="H31579" s="49">
        <f t="shared" si="2"/>
        <v>45038</v>
      </c>
    </row>
    <row r="31580">
      <c r="A31580" s="48" t="s">
        <v>1471</v>
      </c>
      <c r="B31580" s="38">
        <v>3020.0</v>
      </c>
      <c r="C31580" s="38" t="s">
        <v>35906</v>
      </c>
      <c r="D31580" s="38" t="str">
        <f>IFERROR(__xludf.DUMMYFUNCTION("REGEXREPLACE(C31580,""-\d+(.*)|--\d+(.*)"","""")"),"BEAUNE-D'ALLIER")</f>
        <v>BEAUNE-D'ALLIER</v>
      </c>
      <c r="E31580" s="38" t="s">
        <v>160</v>
      </c>
      <c r="F31580" s="38" t="s">
        <v>161</v>
      </c>
      <c r="G31580" s="49" t="str">
        <f t="shared" si="1"/>
        <v>03390</v>
      </c>
      <c r="H31580" s="49" t="str">
        <f t="shared" si="2"/>
        <v>03020</v>
      </c>
    </row>
    <row r="31581">
      <c r="A31581" s="48" t="s">
        <v>807</v>
      </c>
      <c r="B31581" s="38">
        <v>68077.0</v>
      </c>
      <c r="C31581" s="38" t="s">
        <v>35907</v>
      </c>
      <c r="D31581" s="38" t="str">
        <f>IFERROR(__xludf.DUMMYFUNCTION("REGEXREPLACE(C31581,""-\d+(.*)|--\d+(.*)"","""")"),"EGLINGEN")</f>
        <v>EGLINGEN</v>
      </c>
      <c r="E31581" s="38" t="s">
        <v>150</v>
      </c>
      <c r="F31581" s="38" t="s">
        <v>151</v>
      </c>
      <c r="G31581" s="49" t="str">
        <f t="shared" si="1"/>
        <v>68720</v>
      </c>
      <c r="H31581" s="49">
        <f t="shared" si="2"/>
        <v>68077</v>
      </c>
    </row>
    <row r="31582">
      <c r="A31582" s="48" t="s">
        <v>3853</v>
      </c>
      <c r="B31582" s="38">
        <v>71155.0</v>
      </c>
      <c r="C31582" s="38" t="s">
        <v>35908</v>
      </c>
      <c r="D31582" s="38" t="str">
        <f>IFERROR(__xludf.DUMMYFUNCTION("REGEXREPLACE(C31582,""-\d+(.*)|--\d+(.*)"","""")"),"CRONAT")</f>
        <v>CRONAT</v>
      </c>
      <c r="E31582" s="38" t="s">
        <v>344</v>
      </c>
      <c r="F31582" s="38" t="s">
        <v>106</v>
      </c>
      <c r="G31582" s="49" t="str">
        <f t="shared" si="1"/>
        <v>71140</v>
      </c>
      <c r="H31582" s="49">
        <f t="shared" si="2"/>
        <v>71155</v>
      </c>
    </row>
    <row r="31583">
      <c r="A31583" s="48" t="s">
        <v>4969</v>
      </c>
      <c r="B31583" s="38">
        <v>14721.0</v>
      </c>
      <c r="C31583" s="38" t="s">
        <v>35909</v>
      </c>
      <c r="D31583" s="38" t="str">
        <f>IFERROR(__xludf.DUMMYFUNCTION("REGEXREPLACE(C31583,""-\d+(.*)|--\d+(.*)"","""")"),"VACOGNES-NEUILLY")</f>
        <v>VACOGNES-NEUILLY</v>
      </c>
      <c r="E31583" s="38" t="s">
        <v>137</v>
      </c>
      <c r="F31583" s="38" t="s">
        <v>138</v>
      </c>
      <c r="G31583" s="49" t="str">
        <f t="shared" si="1"/>
        <v>14210</v>
      </c>
      <c r="H31583" s="49">
        <f t="shared" si="2"/>
        <v>14721</v>
      </c>
    </row>
    <row r="31584">
      <c r="A31584" s="48" t="s">
        <v>6316</v>
      </c>
      <c r="B31584" s="38">
        <v>50335.0</v>
      </c>
      <c r="C31584" s="38" t="s">
        <v>35910</v>
      </c>
      <c r="D31584" s="38" t="str">
        <f>IFERROR(__xludf.DUMMYFUNCTION("REGEXREPLACE(C31584,""-\d+(.*)|--\d+(.*)"","""")"),"MONTAIGU-LA-BRISETTE")</f>
        <v>MONTAIGU-LA-BRISETTE</v>
      </c>
      <c r="E31584" s="38" t="s">
        <v>157</v>
      </c>
      <c r="F31584" s="38" t="s">
        <v>138</v>
      </c>
      <c r="G31584" s="49" t="str">
        <f t="shared" si="1"/>
        <v>50700</v>
      </c>
      <c r="H31584" s="49">
        <f t="shared" si="2"/>
        <v>50335</v>
      </c>
    </row>
    <row r="31585">
      <c r="A31585" s="48" t="s">
        <v>29607</v>
      </c>
      <c r="B31585" s="38">
        <v>6023.0</v>
      </c>
      <c r="C31585" s="38" t="s">
        <v>35911</v>
      </c>
      <c r="D31585" s="38" t="str">
        <f>IFERROR(__xludf.DUMMYFUNCTION("REGEXREPLACE(C31585,""-\d+(.*)|--\d+(.*)"","""")"),"BREIL-SUR-ROYA")</f>
        <v>BREIL-SUR-ROYA</v>
      </c>
      <c r="E31585" s="38" t="s">
        <v>227</v>
      </c>
      <c r="F31585" s="38" t="s">
        <v>228</v>
      </c>
      <c r="G31585" s="49" t="str">
        <f t="shared" si="1"/>
        <v>06540</v>
      </c>
      <c r="H31585" s="49" t="str">
        <f t="shared" si="2"/>
        <v>06023</v>
      </c>
    </row>
    <row r="31586">
      <c r="A31586" s="48" t="s">
        <v>4392</v>
      </c>
      <c r="B31586" s="38">
        <v>59032.0</v>
      </c>
      <c r="C31586" s="38" t="s">
        <v>35912</v>
      </c>
      <c r="D31586" s="38" t="str">
        <f>IFERROR(__xludf.DUMMYFUNCTION("REGEXREPLACE(C31586,""-\d+(.*)|--\d+(.*)"","""")"),"AULNOY-LEZ-VALENCIENNES")</f>
        <v>AULNOY-LEZ-VALENCIENNES</v>
      </c>
      <c r="E31586" s="38" t="s">
        <v>85</v>
      </c>
      <c r="F31586" s="38" t="s">
        <v>86</v>
      </c>
      <c r="G31586" s="49" t="str">
        <f t="shared" si="1"/>
        <v>59300</v>
      </c>
      <c r="H31586" s="49">
        <f t="shared" si="2"/>
        <v>59032</v>
      </c>
    </row>
    <row r="31587">
      <c r="A31587" s="48" t="s">
        <v>1031</v>
      </c>
      <c r="B31587" s="38">
        <v>2174.0</v>
      </c>
      <c r="C31587" s="38" t="s">
        <v>35913</v>
      </c>
      <c r="D31587" s="38" t="str">
        <f>IFERROR(__xludf.DUMMYFUNCTION("REGEXREPLACE(C31587,""-\d+(.*)|--\d+(.*)"","""")"),"CHAVIGNON")</f>
        <v>CHAVIGNON</v>
      </c>
      <c r="E31587" s="38" t="s">
        <v>191</v>
      </c>
      <c r="F31587" s="38" t="s">
        <v>113</v>
      </c>
      <c r="G31587" s="49" t="str">
        <f t="shared" si="1"/>
        <v>02000</v>
      </c>
      <c r="H31587" s="49" t="str">
        <f t="shared" si="2"/>
        <v>02174</v>
      </c>
    </row>
    <row r="31588">
      <c r="A31588" s="48" t="s">
        <v>5122</v>
      </c>
      <c r="B31588" s="38">
        <v>62059.0</v>
      </c>
      <c r="C31588" s="38" t="s">
        <v>35914</v>
      </c>
      <c r="D31588" s="38" t="str">
        <f>IFERROR(__xludf.DUMMYFUNCTION("REGEXREPLACE(C31588,""-\d+(.*)|--\d+(.*)"","""")"),"AUTINGUES")</f>
        <v>AUTINGUES</v>
      </c>
      <c r="E31588" s="38" t="s">
        <v>109</v>
      </c>
      <c r="F31588" s="38" t="s">
        <v>86</v>
      </c>
      <c r="G31588" s="49" t="str">
        <f t="shared" si="1"/>
        <v>62610</v>
      </c>
      <c r="H31588" s="49">
        <f t="shared" si="2"/>
        <v>62059</v>
      </c>
    </row>
    <row r="31589">
      <c r="A31589" s="48" t="s">
        <v>1825</v>
      </c>
      <c r="B31589" s="38">
        <v>64488.0</v>
      </c>
      <c r="C31589" s="38" t="s">
        <v>35915</v>
      </c>
      <c r="D31589" s="38" t="str">
        <f>IFERROR(__xludf.DUMMYFUNCTION("REGEXREPLACE(C31589,""-\d+(.*)|--\d+(.*)"","""")"),"SAINT-LAURENT-BRETAGNE")</f>
        <v>SAINT-LAURENT-BRETAGNE</v>
      </c>
      <c r="E31589" s="38" t="s">
        <v>268</v>
      </c>
      <c r="F31589" s="38" t="s">
        <v>252</v>
      </c>
      <c r="G31589" s="49" t="str">
        <f t="shared" si="1"/>
        <v>64160</v>
      </c>
      <c r="H31589" s="49">
        <f t="shared" si="2"/>
        <v>64488</v>
      </c>
    </row>
    <row r="31590">
      <c r="A31590" s="48" t="s">
        <v>3925</v>
      </c>
      <c r="B31590" s="38">
        <v>41166.0</v>
      </c>
      <c r="C31590" s="38" t="s">
        <v>35916</v>
      </c>
      <c r="D31590" s="38" t="str">
        <f>IFERROR(__xludf.DUMMYFUNCTION("REGEXREPLACE(C31590,""-\d+(.*)|--\d+(.*)"","""")"),"OISLY")</f>
        <v>OISLY</v>
      </c>
      <c r="E31590" s="38" t="s">
        <v>188</v>
      </c>
      <c r="F31590" s="38" t="s">
        <v>123</v>
      </c>
      <c r="G31590" s="49" t="str">
        <f t="shared" si="1"/>
        <v>41700</v>
      </c>
      <c r="H31590" s="49">
        <f t="shared" si="2"/>
        <v>41166</v>
      </c>
    </row>
    <row r="31591">
      <c r="A31591" s="48" t="s">
        <v>4125</v>
      </c>
      <c r="B31591" s="38">
        <v>19119.0</v>
      </c>
      <c r="C31591" s="38" t="s">
        <v>35917</v>
      </c>
      <c r="D31591" s="38" t="str">
        <f>IFERROR(__xludf.DUMMYFUNCTION("REGEXREPLACE(C31591,""-\d+(.*)|--\d+(.*)"","""")"),"LOSTANGES")</f>
        <v>LOSTANGES</v>
      </c>
      <c r="E31591" s="38" t="s">
        <v>271</v>
      </c>
      <c r="F31591" s="38" t="s">
        <v>98</v>
      </c>
      <c r="G31591" s="49" t="str">
        <f t="shared" si="1"/>
        <v>19500</v>
      </c>
      <c r="H31591" s="49">
        <f t="shared" si="2"/>
        <v>19119</v>
      </c>
    </row>
    <row r="31592">
      <c r="A31592" s="48" t="s">
        <v>8502</v>
      </c>
      <c r="B31592" s="38">
        <v>67435.0</v>
      </c>
      <c r="C31592" s="38" t="s">
        <v>35918</v>
      </c>
      <c r="D31592" s="38" t="str">
        <f>IFERROR(__xludf.DUMMYFUNCTION("REGEXREPLACE(C31592,""-\d+(.*)|--\d+(.*)"","""")"),"SARREWERDEN")</f>
        <v>SARREWERDEN</v>
      </c>
      <c r="E31592" s="38" t="s">
        <v>210</v>
      </c>
      <c r="F31592" s="38" t="s">
        <v>151</v>
      </c>
      <c r="G31592" s="49" t="str">
        <f t="shared" si="1"/>
        <v>67260</v>
      </c>
      <c r="H31592" s="49">
        <f t="shared" si="2"/>
        <v>67435</v>
      </c>
    </row>
    <row r="31593">
      <c r="A31593" s="48" t="s">
        <v>2668</v>
      </c>
      <c r="B31593" s="38">
        <v>55471.0</v>
      </c>
      <c r="C31593" s="38" t="s">
        <v>35919</v>
      </c>
      <c r="D31593" s="38" t="str">
        <f>IFERROR(__xludf.DUMMYFUNCTION("REGEXREPLACE(C31593,""-\d+(.*)|--\d+(.*)"","""")"),"SAULMORY-ET-VILLEFRANCHE")</f>
        <v>SAULMORY-ET-VILLEFRANCHE</v>
      </c>
      <c r="E31593" s="38" t="s">
        <v>322</v>
      </c>
      <c r="F31593" s="38" t="s">
        <v>195</v>
      </c>
      <c r="G31593" s="49" t="str">
        <f t="shared" si="1"/>
        <v>55110</v>
      </c>
      <c r="H31593" s="49">
        <f t="shared" si="2"/>
        <v>55471</v>
      </c>
    </row>
    <row r="31594">
      <c r="A31594" s="48" t="s">
        <v>4013</v>
      </c>
      <c r="B31594" s="38">
        <v>9007.0</v>
      </c>
      <c r="C31594" s="38" t="s">
        <v>35920</v>
      </c>
      <c r="D31594" s="38" t="str">
        <f>IFERROR(__xludf.DUMMYFUNCTION("REGEXREPLACE(C31594,""-\d+(.*)|--\d+(.*)"","""")"),"ALLIERES")</f>
        <v>ALLIERES</v>
      </c>
      <c r="E31594" s="38" t="s">
        <v>238</v>
      </c>
      <c r="F31594" s="38" t="s">
        <v>94</v>
      </c>
      <c r="G31594" s="49" t="str">
        <f t="shared" si="1"/>
        <v>09240</v>
      </c>
      <c r="H31594" s="49" t="str">
        <f t="shared" si="2"/>
        <v>09007</v>
      </c>
    </row>
    <row r="31595">
      <c r="A31595" s="48" t="s">
        <v>28554</v>
      </c>
      <c r="B31595" s="38">
        <v>35153.0</v>
      </c>
      <c r="C31595" s="38" t="s">
        <v>35921</v>
      </c>
      <c r="D31595" s="38" t="str">
        <f>IFERROR(__xludf.DUMMYFUNCTION("REGEXREPLACE(C31595,""-\d+(.*)|--\d+(.*)"","""")"),"LILLEMER")</f>
        <v>LILLEMER</v>
      </c>
      <c r="E31595" s="38" t="s">
        <v>347</v>
      </c>
      <c r="F31595" s="38" t="s">
        <v>90</v>
      </c>
      <c r="G31595" s="49" t="str">
        <f t="shared" si="1"/>
        <v>35111</v>
      </c>
      <c r="H31595" s="49">
        <f t="shared" si="2"/>
        <v>35153</v>
      </c>
    </row>
    <row r="31596">
      <c r="A31596" s="48" t="s">
        <v>17192</v>
      </c>
      <c r="B31596" s="38">
        <v>35032.0</v>
      </c>
      <c r="C31596" s="38" t="s">
        <v>35922</v>
      </c>
      <c r="D31596" s="38" t="str">
        <f>IFERROR(__xludf.DUMMYFUNCTION("REGEXREPLACE(C31596,""-\d+(.*)|--\d+(.*)"","""")"),"BOURGBARRE")</f>
        <v>BOURGBARRE</v>
      </c>
      <c r="E31596" s="38" t="s">
        <v>347</v>
      </c>
      <c r="F31596" s="38" t="s">
        <v>90</v>
      </c>
      <c r="G31596" s="49" t="str">
        <f t="shared" si="1"/>
        <v>35230</v>
      </c>
      <c r="H31596" s="49">
        <f t="shared" si="2"/>
        <v>35032</v>
      </c>
    </row>
    <row r="31597">
      <c r="A31597" s="48" t="s">
        <v>1180</v>
      </c>
      <c r="B31597" s="38">
        <v>60442.0</v>
      </c>
      <c r="C31597" s="38" t="s">
        <v>35923</v>
      </c>
      <c r="D31597" s="38" t="str">
        <f>IFERROR(__xludf.DUMMYFUNCTION("REGEXREPLACE(C31597,""-\d+(.*)|--\d+(.*)"","""")"),"MUIDORGE")</f>
        <v>MUIDORGE</v>
      </c>
      <c r="E31597" s="38" t="s">
        <v>112</v>
      </c>
      <c r="F31597" s="38" t="s">
        <v>113</v>
      </c>
      <c r="G31597" s="49" t="str">
        <f t="shared" si="1"/>
        <v>60480</v>
      </c>
      <c r="H31597" s="49">
        <f t="shared" si="2"/>
        <v>60442</v>
      </c>
    </row>
    <row r="31598">
      <c r="A31598" s="48" t="s">
        <v>2845</v>
      </c>
      <c r="B31598" s="38" t="s">
        <v>35924</v>
      </c>
      <c r="C31598" s="38" t="s">
        <v>35925</v>
      </c>
      <c r="D31598" s="38" t="str">
        <f>IFERROR(__xludf.DUMMYFUNCTION("REGEXREPLACE(C31598,""-\d+(.*)|--\d+(.*)"","""")"),"TALASANI")</f>
        <v>TALASANI</v>
      </c>
      <c r="E31598" s="38" t="s">
        <v>743</v>
      </c>
      <c r="F31598" s="38" t="s">
        <v>607</v>
      </c>
      <c r="G31598" s="49" t="str">
        <f t="shared" si="1"/>
        <v>20230</v>
      </c>
      <c r="H31598" s="49" t="str">
        <f t="shared" si="2"/>
        <v>2B319</v>
      </c>
    </row>
    <row r="31599">
      <c r="A31599" s="48" t="s">
        <v>19967</v>
      </c>
      <c r="B31599" s="38">
        <v>4113.0</v>
      </c>
      <c r="C31599" s="38" t="s">
        <v>34079</v>
      </c>
      <c r="D31599" s="38" t="str">
        <f>IFERROR(__xludf.DUMMYFUNCTION("REGEXREPLACE(C31599,""-\d+(.*)|--\d+(.*)"","""")"),"MARCOUX")</f>
        <v>MARCOUX</v>
      </c>
      <c r="E31599" s="38" t="s">
        <v>662</v>
      </c>
      <c r="F31599" s="38" t="s">
        <v>228</v>
      </c>
      <c r="G31599" s="49" t="str">
        <f t="shared" si="1"/>
        <v>04420</v>
      </c>
      <c r="H31599" s="49" t="str">
        <f t="shared" si="2"/>
        <v>04113</v>
      </c>
    </row>
    <row r="31600">
      <c r="A31600" s="48" t="s">
        <v>8587</v>
      </c>
      <c r="B31600" s="38">
        <v>66125.0</v>
      </c>
      <c r="C31600" s="38" t="s">
        <v>35926</v>
      </c>
      <c r="D31600" s="38" t="str">
        <f>IFERROR(__xludf.DUMMYFUNCTION("REGEXREPLACE(C31600,""-\d+(.*)|--\d+(.*)"","""")"),"OLETTE")</f>
        <v>OLETTE</v>
      </c>
      <c r="E31600" s="38" t="s">
        <v>248</v>
      </c>
      <c r="F31600" s="38" t="s">
        <v>119</v>
      </c>
      <c r="G31600" s="49" t="str">
        <f t="shared" si="1"/>
        <v>66360</v>
      </c>
      <c r="H31600" s="49">
        <f t="shared" si="2"/>
        <v>66125</v>
      </c>
    </row>
    <row r="31601">
      <c r="A31601" s="48" t="s">
        <v>2251</v>
      </c>
      <c r="B31601" s="38">
        <v>2065.0</v>
      </c>
      <c r="C31601" s="38" t="s">
        <v>35927</v>
      </c>
      <c r="D31601" s="38" t="str">
        <f>IFERROR(__xludf.DUMMYFUNCTION("REGEXREPLACE(C31601,""-\d+(.*)|--\d+(.*)"","""")"),"BELLICOURT")</f>
        <v>BELLICOURT</v>
      </c>
      <c r="E31601" s="38" t="s">
        <v>191</v>
      </c>
      <c r="F31601" s="38" t="s">
        <v>113</v>
      </c>
      <c r="G31601" s="49" t="str">
        <f t="shared" si="1"/>
        <v>02420</v>
      </c>
      <c r="H31601" s="49" t="str">
        <f t="shared" si="2"/>
        <v>02065</v>
      </c>
    </row>
    <row r="31602">
      <c r="A31602" s="48" t="s">
        <v>2736</v>
      </c>
      <c r="B31602" s="38">
        <v>89354.0</v>
      </c>
      <c r="C31602" s="38" t="s">
        <v>15040</v>
      </c>
      <c r="D31602" s="38" t="str">
        <f>IFERROR(__xludf.DUMMYFUNCTION("REGEXREPLACE(C31602,""-\d+(.*)|--\d+(.*)"","""")"),"SAINT-MARTIN-DU-TERTRE")</f>
        <v>SAINT-MARTIN-DU-TERTRE</v>
      </c>
      <c r="E31602" s="38" t="s">
        <v>275</v>
      </c>
      <c r="F31602" s="38" t="s">
        <v>106</v>
      </c>
      <c r="G31602" s="49" t="str">
        <f t="shared" si="1"/>
        <v>89100</v>
      </c>
      <c r="H31602" s="49">
        <f t="shared" si="2"/>
        <v>89354</v>
      </c>
    </row>
    <row r="31603">
      <c r="A31603" s="48" t="s">
        <v>5227</v>
      </c>
      <c r="B31603" s="38">
        <v>34255.0</v>
      </c>
      <c r="C31603" s="38" t="s">
        <v>35928</v>
      </c>
      <c r="D31603" s="38" t="str">
        <f>IFERROR(__xludf.DUMMYFUNCTION("REGEXREPLACE(C31603,""-\d+(.*)|--\d+(.*)"","""")"),"SAINT-GELY-DU-FESC")</f>
        <v>SAINT-GELY-DU-FESC</v>
      </c>
      <c r="E31603" s="38" t="s">
        <v>118</v>
      </c>
      <c r="F31603" s="38" t="s">
        <v>119</v>
      </c>
      <c r="G31603" s="49" t="str">
        <f t="shared" si="1"/>
        <v>34980</v>
      </c>
      <c r="H31603" s="49">
        <f t="shared" si="2"/>
        <v>34255</v>
      </c>
    </row>
    <row r="31604">
      <c r="A31604" s="48" t="s">
        <v>35929</v>
      </c>
      <c r="B31604" s="38">
        <v>74010.0</v>
      </c>
      <c r="C31604" s="38" t="s">
        <v>35930</v>
      </c>
      <c r="D31604" s="38" t="str">
        <f>IFERROR(__xludf.DUMMYFUNCTION("REGEXREPLACE(C31604,""-\d+(.*)|--\d+(.*)"","""")"),"ANNECY")</f>
        <v>ANNECY</v>
      </c>
      <c r="E31604" s="38" t="s">
        <v>319</v>
      </c>
      <c r="F31604" s="38" t="s">
        <v>102</v>
      </c>
      <c r="G31604" s="49" t="str">
        <f t="shared" si="1"/>
        <v>74000</v>
      </c>
      <c r="H31604" s="49">
        <f t="shared" si="2"/>
        <v>74010</v>
      </c>
    </row>
    <row r="31605">
      <c r="A31605" s="48" t="s">
        <v>9944</v>
      </c>
      <c r="B31605" s="38">
        <v>71198.0</v>
      </c>
      <c r="C31605" s="38" t="s">
        <v>35931</v>
      </c>
      <c r="D31605" s="38" t="str">
        <f>IFERROR(__xludf.DUMMYFUNCTION("REGEXREPLACE(C31605,""-\d+(.*)|--\d+(.*)"","""")"),"FLACEY-EN-BRESSE")</f>
        <v>FLACEY-EN-BRESSE</v>
      </c>
      <c r="E31605" s="38" t="s">
        <v>344</v>
      </c>
      <c r="F31605" s="38" t="s">
        <v>106</v>
      </c>
      <c r="G31605" s="49" t="str">
        <f t="shared" si="1"/>
        <v>71580</v>
      </c>
      <c r="H31605" s="49">
        <f t="shared" si="2"/>
        <v>71198</v>
      </c>
    </row>
    <row r="31606">
      <c r="A31606" s="48" t="s">
        <v>872</v>
      </c>
      <c r="B31606" s="38">
        <v>35109.0</v>
      </c>
      <c r="C31606" s="38" t="s">
        <v>35932</v>
      </c>
      <c r="D31606" s="38" t="str">
        <f>IFERROR(__xludf.DUMMYFUNCTION("REGEXREPLACE(C31606,""-\d+(.*)|--\d+(.*)"","""")"),"ETRELLES")</f>
        <v>ETRELLES</v>
      </c>
      <c r="E31606" s="38" t="s">
        <v>347</v>
      </c>
      <c r="F31606" s="38" t="s">
        <v>90</v>
      </c>
      <c r="G31606" s="49" t="str">
        <f t="shared" si="1"/>
        <v>35370</v>
      </c>
      <c r="H31606" s="49">
        <f t="shared" si="2"/>
        <v>35109</v>
      </c>
    </row>
    <row r="31607">
      <c r="A31607" s="48" t="s">
        <v>35933</v>
      </c>
      <c r="B31607" s="38">
        <v>29085.0</v>
      </c>
      <c r="C31607" s="38" t="s">
        <v>35934</v>
      </c>
      <c r="D31607" s="38" t="str">
        <f>IFERROR(__xludf.DUMMYFUNCTION("REGEXREPLACE(C31607,""-\d+(.*)|--\d+(.*)"","""")"),"ILE-TUDY")</f>
        <v>ILE-TUDY</v>
      </c>
      <c r="E31607" s="38" t="s">
        <v>176</v>
      </c>
      <c r="F31607" s="38" t="s">
        <v>90</v>
      </c>
      <c r="G31607" s="49" t="str">
        <f t="shared" si="1"/>
        <v>29980</v>
      </c>
      <c r="H31607" s="49">
        <f t="shared" si="2"/>
        <v>29085</v>
      </c>
    </row>
    <row r="31608">
      <c r="A31608" s="48" t="s">
        <v>1781</v>
      </c>
      <c r="B31608" s="38">
        <v>27516.0</v>
      </c>
      <c r="C31608" s="38" t="s">
        <v>35935</v>
      </c>
      <c r="D31608" s="38" t="str">
        <f>IFERROR(__xludf.DUMMYFUNCTION("REGEXREPLACE(C31608,""-\d+(.*)|--\d+(.*)"","""")"),"SAINT-AUBIN-LE-VERTUEUX")</f>
        <v>SAINT-AUBIN-LE-VERTUEUX</v>
      </c>
      <c r="E31608" s="38" t="s">
        <v>241</v>
      </c>
      <c r="F31608" s="38" t="s">
        <v>134</v>
      </c>
      <c r="G31608" s="49" t="str">
        <f t="shared" si="1"/>
        <v>27300</v>
      </c>
      <c r="H31608" s="49">
        <f t="shared" si="2"/>
        <v>27516</v>
      </c>
    </row>
    <row r="31609">
      <c r="A31609" s="48" t="s">
        <v>135</v>
      </c>
      <c r="B31609" s="38">
        <v>14349.0</v>
      </c>
      <c r="C31609" s="38" t="s">
        <v>35936</v>
      </c>
      <c r="D31609" s="38" t="str">
        <f>IFERROR(__xludf.DUMMYFUNCTION("REGEXREPLACE(C31609,""-\d+(.*)|--\d+(.*)"","""")"),"LAIZE-LA-VILLE")</f>
        <v>LAIZE-LA-VILLE</v>
      </c>
      <c r="E31609" s="38" t="s">
        <v>137</v>
      </c>
      <c r="F31609" s="38" t="s">
        <v>138</v>
      </c>
      <c r="G31609" s="49" t="str">
        <f t="shared" si="1"/>
        <v>14320</v>
      </c>
      <c r="H31609" s="49">
        <f t="shared" si="2"/>
        <v>14349</v>
      </c>
    </row>
    <row r="31610">
      <c r="A31610" s="48" t="s">
        <v>13129</v>
      </c>
      <c r="B31610" s="38">
        <v>24228.0</v>
      </c>
      <c r="C31610" s="38" t="s">
        <v>35937</v>
      </c>
      <c r="D31610" s="38" t="str">
        <f>IFERROR(__xludf.DUMMYFUNCTION("REGEXREPLACE(C31610,""-\d+(.*)|--\d+(.*)"","""")"),"LANQUAIS")</f>
        <v>LANQUAIS</v>
      </c>
      <c r="E31610" s="38" t="s">
        <v>261</v>
      </c>
      <c r="F31610" s="38" t="s">
        <v>252</v>
      </c>
      <c r="G31610" s="49" t="str">
        <f t="shared" si="1"/>
        <v>24150</v>
      </c>
      <c r="H31610" s="49">
        <f t="shared" si="2"/>
        <v>24228</v>
      </c>
    </row>
    <row r="31611">
      <c r="A31611" s="48" t="s">
        <v>2563</v>
      </c>
      <c r="B31611" s="38">
        <v>76094.0</v>
      </c>
      <c r="C31611" s="38" t="s">
        <v>35938</v>
      </c>
      <c r="D31611" s="38" t="str">
        <f>IFERROR(__xludf.DUMMYFUNCTION("REGEXREPLACE(C31611,""-\d+(.*)|--\d+(.*)"","""")"),"BIERVILLE")</f>
        <v>BIERVILLE</v>
      </c>
      <c r="E31611" s="38" t="s">
        <v>133</v>
      </c>
      <c r="F31611" s="38" t="s">
        <v>134</v>
      </c>
      <c r="G31611" s="49" t="str">
        <f t="shared" si="1"/>
        <v>76750</v>
      </c>
      <c r="H31611" s="49">
        <f t="shared" si="2"/>
        <v>76094</v>
      </c>
    </row>
    <row r="31612">
      <c r="A31612" s="48" t="s">
        <v>8502</v>
      </c>
      <c r="B31612" s="38">
        <v>67401.0</v>
      </c>
      <c r="C31612" s="38" t="s">
        <v>35939</v>
      </c>
      <c r="D31612" s="38" t="str">
        <f>IFERROR(__xludf.DUMMYFUNCTION("REGEXREPLACE(C31612,""-\d+(.*)|--\d+(.*)"","""")"),"RIMSDORF")</f>
        <v>RIMSDORF</v>
      </c>
      <c r="E31612" s="38" t="s">
        <v>210</v>
      </c>
      <c r="F31612" s="38" t="s">
        <v>151</v>
      </c>
      <c r="G31612" s="49" t="str">
        <f t="shared" si="1"/>
        <v>67260</v>
      </c>
      <c r="H31612" s="49">
        <f t="shared" si="2"/>
        <v>67401</v>
      </c>
    </row>
    <row r="31613">
      <c r="A31613" s="48" t="s">
        <v>846</v>
      </c>
      <c r="B31613" s="38">
        <v>44002.0</v>
      </c>
      <c r="C31613" s="38" t="s">
        <v>35940</v>
      </c>
      <c r="D31613" s="38" t="str">
        <f>IFERROR(__xludf.DUMMYFUNCTION("REGEXREPLACE(C31613,""-\d+(.*)|--\d+(.*)"","""")"),"AIGREFEUILLE-SUR-MAINE")</f>
        <v>AIGREFEUILLE-SUR-MAINE</v>
      </c>
      <c r="E31613" s="38" t="s">
        <v>759</v>
      </c>
      <c r="F31613" s="38" t="s">
        <v>180</v>
      </c>
      <c r="G31613" s="49" t="str">
        <f t="shared" si="1"/>
        <v>44140</v>
      </c>
      <c r="H31613" s="49">
        <f t="shared" si="2"/>
        <v>44002</v>
      </c>
    </row>
    <row r="31614">
      <c r="A31614" s="48" t="s">
        <v>10342</v>
      </c>
      <c r="B31614" s="38">
        <v>12111.0</v>
      </c>
      <c r="C31614" s="38" t="s">
        <v>35941</v>
      </c>
      <c r="D31614" s="38" t="str">
        <f>IFERROR(__xludf.DUMMYFUNCTION("REGEXREPLACE(C31614,""-\d+(.*)|--\d+(.*)"","""")"),"GOUTRENS")</f>
        <v>GOUTRENS</v>
      </c>
      <c r="E31614" s="38" t="s">
        <v>465</v>
      </c>
      <c r="F31614" s="38" t="s">
        <v>94</v>
      </c>
      <c r="G31614" s="49" t="str">
        <f t="shared" si="1"/>
        <v>12390</v>
      </c>
      <c r="H31614" s="49">
        <f t="shared" si="2"/>
        <v>12111</v>
      </c>
    </row>
    <row r="31615">
      <c r="A31615" s="48" t="s">
        <v>8826</v>
      </c>
      <c r="B31615" s="38">
        <v>49106.0</v>
      </c>
      <c r="C31615" s="38" t="s">
        <v>35942</v>
      </c>
      <c r="D31615" s="38" t="str">
        <f>IFERROR(__xludf.DUMMYFUNCTION("REGEXREPLACE(C31615,""-\d+(.*)|--\d+(.*)"","""")"),"CORNE")</f>
        <v>CORNE</v>
      </c>
      <c r="E31615" s="38" t="s">
        <v>653</v>
      </c>
      <c r="F31615" s="38" t="s">
        <v>180</v>
      </c>
      <c r="G31615" s="49" t="str">
        <f t="shared" si="1"/>
        <v>49630</v>
      </c>
      <c r="H31615" s="49">
        <f t="shared" si="2"/>
        <v>49106</v>
      </c>
    </row>
    <row r="31616">
      <c r="A31616" s="48" t="s">
        <v>1564</v>
      </c>
      <c r="B31616" s="38">
        <v>45014.0</v>
      </c>
      <c r="C31616" s="38" t="s">
        <v>35943</v>
      </c>
      <c r="D31616" s="38" t="str">
        <f>IFERROR(__xludf.DUMMYFUNCTION("REGEXREPLACE(C31616,""-\d+(.*)|--\d+(.*)"","""")"),"AULNAY-LA-RIVIERE")</f>
        <v>AULNAY-LA-RIVIERE</v>
      </c>
      <c r="E31616" s="38" t="s">
        <v>122</v>
      </c>
      <c r="F31616" s="38" t="s">
        <v>123</v>
      </c>
      <c r="G31616" s="49" t="str">
        <f t="shared" si="1"/>
        <v>45390</v>
      </c>
      <c r="H31616" s="49">
        <f t="shared" si="2"/>
        <v>45014</v>
      </c>
    </row>
    <row r="31617">
      <c r="A31617" s="48" t="s">
        <v>3036</v>
      </c>
      <c r="B31617" s="38">
        <v>61283.0</v>
      </c>
      <c r="C31617" s="38" t="s">
        <v>35944</v>
      </c>
      <c r="D31617" s="38" t="str">
        <f>IFERROR(__xludf.DUMMYFUNCTION("REGEXREPLACE(C31617,""-\d+(.*)|--\d+(.*)"","""")"),"MONTABARD")</f>
        <v>MONTABARD</v>
      </c>
      <c r="E31617" s="38" t="s">
        <v>141</v>
      </c>
      <c r="F31617" s="38" t="s">
        <v>138</v>
      </c>
      <c r="G31617" s="49" t="str">
        <f t="shared" si="1"/>
        <v>61160</v>
      </c>
      <c r="H31617" s="49">
        <f t="shared" si="2"/>
        <v>61283</v>
      </c>
    </row>
    <row r="31618">
      <c r="A31618" s="48" t="s">
        <v>1404</v>
      </c>
      <c r="B31618" s="38">
        <v>30241.0</v>
      </c>
      <c r="C31618" s="38" t="s">
        <v>35945</v>
      </c>
      <c r="D31618" s="38" t="str">
        <f>IFERROR(__xludf.DUMMYFUNCTION("REGEXREPLACE(C31618,""-\d+(.*)|--\d+(.*)"","""")"),"SAINT-CHAPTES")</f>
        <v>SAINT-CHAPTES</v>
      </c>
      <c r="E31618" s="38" t="s">
        <v>526</v>
      </c>
      <c r="F31618" s="38" t="s">
        <v>119</v>
      </c>
      <c r="G31618" s="49" t="str">
        <f t="shared" si="1"/>
        <v>30190</v>
      </c>
      <c r="H31618" s="49">
        <f t="shared" si="2"/>
        <v>30241</v>
      </c>
    </row>
    <row r="31619">
      <c r="A31619" s="48" t="s">
        <v>22573</v>
      </c>
      <c r="B31619" s="38">
        <v>18127.0</v>
      </c>
      <c r="C31619" s="38" t="s">
        <v>146</v>
      </c>
      <c r="D31619" s="38" t="str">
        <f>IFERROR(__xludf.DUMMYFUNCTION("REGEXREPLACE(C31619,""-\d+(.*)|--\d+(.*)"","""")"),"LIGNIERES")</f>
        <v>LIGNIERES</v>
      </c>
      <c r="E31619" s="38" t="s">
        <v>504</v>
      </c>
      <c r="F31619" s="38" t="s">
        <v>123</v>
      </c>
      <c r="G31619" s="49" t="str">
        <f t="shared" si="1"/>
        <v>18160</v>
      </c>
      <c r="H31619" s="49">
        <f t="shared" si="2"/>
        <v>18127</v>
      </c>
    </row>
    <row r="31620">
      <c r="A31620" s="48" t="s">
        <v>8393</v>
      </c>
      <c r="B31620" s="38">
        <v>80592.0</v>
      </c>
      <c r="C31620" s="38" t="s">
        <v>35946</v>
      </c>
      <c r="D31620" s="38" t="str">
        <f>IFERROR(__xludf.DUMMYFUNCTION("REGEXREPLACE(C31620,""-\d+(.*)|--\d+(.*)"","""")"),"NEUVILLE-COPPEGUEULE")</f>
        <v>NEUVILLE-COPPEGUEULE</v>
      </c>
      <c r="E31620" s="38" t="s">
        <v>224</v>
      </c>
      <c r="F31620" s="38" t="s">
        <v>113</v>
      </c>
      <c r="G31620" s="49" t="str">
        <f t="shared" si="1"/>
        <v>80430</v>
      </c>
      <c r="H31620" s="49">
        <f t="shared" si="2"/>
        <v>80592</v>
      </c>
    </row>
    <row r="31621">
      <c r="A31621" s="48" t="s">
        <v>3301</v>
      </c>
      <c r="B31621" s="38">
        <v>58140.0</v>
      </c>
      <c r="C31621" s="38" t="s">
        <v>35947</v>
      </c>
      <c r="D31621" s="38" t="str">
        <f>IFERROR(__xludf.DUMMYFUNCTION("REGEXREPLACE(C31621,""-\d+(.*)|--\d+(.*)"","""")"),"LAROCHEMILLAY")</f>
        <v>LAROCHEMILLAY</v>
      </c>
      <c r="E31621" s="38" t="s">
        <v>219</v>
      </c>
      <c r="F31621" s="38" t="s">
        <v>106</v>
      </c>
      <c r="G31621" s="49" t="str">
        <f t="shared" si="1"/>
        <v>58370</v>
      </c>
      <c r="H31621" s="49">
        <f t="shared" si="2"/>
        <v>58140</v>
      </c>
    </row>
    <row r="31622">
      <c r="A31622" s="48" t="s">
        <v>5479</v>
      </c>
      <c r="B31622" s="38">
        <v>67054.0</v>
      </c>
      <c r="C31622" s="38" t="s">
        <v>35948</v>
      </c>
      <c r="D31622" s="38" t="str">
        <f>IFERROR(__xludf.DUMMYFUNCTION("REGEXREPLACE(C31622,""-\d+(.*)|--\d+(.*)"","""")"),"BOLSENHEIM")</f>
        <v>BOLSENHEIM</v>
      </c>
      <c r="E31622" s="38" t="s">
        <v>210</v>
      </c>
      <c r="F31622" s="38" t="s">
        <v>151</v>
      </c>
      <c r="G31622" s="49" t="str">
        <f t="shared" si="1"/>
        <v>67150</v>
      </c>
      <c r="H31622" s="49">
        <f t="shared" si="2"/>
        <v>67054</v>
      </c>
    </row>
    <row r="31623">
      <c r="A31623" s="48" t="s">
        <v>2128</v>
      </c>
      <c r="B31623" s="38">
        <v>2531.0</v>
      </c>
      <c r="C31623" s="38" t="s">
        <v>35949</v>
      </c>
      <c r="D31623" s="38" t="str">
        <f>IFERROR(__xludf.DUMMYFUNCTION("REGEXREPLACE(C31623,""-\d+(.*)|--\d+(.*)"","""")"),"MOUSSY-VERNEUIL")</f>
        <v>MOUSSY-VERNEUIL</v>
      </c>
      <c r="E31623" s="38" t="s">
        <v>191</v>
      </c>
      <c r="F31623" s="38" t="s">
        <v>113</v>
      </c>
      <c r="G31623" s="49" t="str">
        <f t="shared" si="1"/>
        <v>02160</v>
      </c>
      <c r="H31623" s="49" t="str">
        <f t="shared" si="2"/>
        <v>02531</v>
      </c>
    </row>
    <row r="31624">
      <c r="A31624" s="48" t="s">
        <v>6606</v>
      </c>
      <c r="B31624" s="38">
        <v>25403.0</v>
      </c>
      <c r="C31624" s="38" t="s">
        <v>35950</v>
      </c>
      <c r="D31624" s="38" t="str">
        <f>IFERROR(__xludf.DUMMYFUNCTION("REGEXREPLACE(C31624,""-\d+(.*)|--\d+(.*)"","""")"),"MONTLEBON")</f>
        <v>MONTLEBON</v>
      </c>
      <c r="E31624" s="38" t="s">
        <v>213</v>
      </c>
      <c r="F31624" s="38" t="s">
        <v>214</v>
      </c>
      <c r="G31624" s="49" t="str">
        <f t="shared" si="1"/>
        <v>25500</v>
      </c>
      <c r="H31624" s="49">
        <f t="shared" si="2"/>
        <v>25403</v>
      </c>
    </row>
    <row r="31625">
      <c r="A31625" s="48" t="s">
        <v>17847</v>
      </c>
      <c r="B31625" s="38" t="s">
        <v>35951</v>
      </c>
      <c r="C31625" s="38" t="s">
        <v>35952</v>
      </c>
      <c r="D31625" s="38" t="str">
        <f>IFERROR(__xludf.DUMMYFUNCTION("REGEXREPLACE(C31625,""-\d+(.*)|--\d+(.*)"","""")"),"VALLE-DI-MEZZANA")</f>
        <v>VALLE-DI-MEZZANA</v>
      </c>
      <c r="E31625" s="38" t="s">
        <v>606</v>
      </c>
      <c r="F31625" s="38" t="s">
        <v>607</v>
      </c>
      <c r="G31625" s="49" t="str">
        <f t="shared" si="1"/>
        <v>20167</v>
      </c>
      <c r="H31625" s="49" t="str">
        <f t="shared" si="2"/>
        <v>2A336</v>
      </c>
    </row>
    <row r="31626">
      <c r="A31626" s="48" t="s">
        <v>7813</v>
      </c>
      <c r="B31626" s="38">
        <v>35292.0</v>
      </c>
      <c r="C31626" s="38" t="s">
        <v>35953</v>
      </c>
      <c r="D31626" s="38" t="str">
        <f>IFERROR(__xludf.DUMMYFUNCTION("REGEXREPLACE(C31626,""-\d+(.*)|--\d+(.*)"","""")"),"SAINT-MARC-LE-BLANC")</f>
        <v>SAINT-MARC-LE-BLANC</v>
      </c>
      <c r="E31626" s="38" t="s">
        <v>347</v>
      </c>
      <c r="F31626" s="38" t="s">
        <v>90</v>
      </c>
      <c r="G31626" s="49" t="str">
        <f t="shared" si="1"/>
        <v>35460</v>
      </c>
      <c r="H31626" s="49">
        <f t="shared" si="2"/>
        <v>35292</v>
      </c>
    </row>
    <row r="31627">
      <c r="A31627" s="48" t="s">
        <v>2668</v>
      </c>
      <c r="B31627" s="38">
        <v>55338.0</v>
      </c>
      <c r="C31627" s="38" t="s">
        <v>35954</v>
      </c>
      <c r="D31627" s="38" t="str">
        <f>IFERROR(__xludf.DUMMYFUNCTION("REGEXREPLACE(C31627,""-\d+(.*)|--\d+(.*)"","""")"),"MILLY-SUR-BRADON")</f>
        <v>MILLY-SUR-BRADON</v>
      </c>
      <c r="E31627" s="38" t="s">
        <v>322</v>
      </c>
      <c r="F31627" s="38" t="s">
        <v>195</v>
      </c>
      <c r="G31627" s="49" t="str">
        <f t="shared" si="1"/>
        <v>55110</v>
      </c>
      <c r="H31627" s="49">
        <f t="shared" si="2"/>
        <v>55338</v>
      </c>
    </row>
    <row r="31628">
      <c r="A31628" s="48" t="s">
        <v>2168</v>
      </c>
      <c r="B31628" s="38">
        <v>77078.0</v>
      </c>
      <c r="C31628" s="38" t="s">
        <v>35955</v>
      </c>
      <c r="D31628" s="38" t="str">
        <f>IFERROR(__xludf.DUMMYFUNCTION("REGEXREPLACE(C31628,""-\d+(.*)|--\d+(.*)"","""")"),"CHAMIGNY")</f>
        <v>CHAMIGNY</v>
      </c>
      <c r="E31628" s="38" t="s">
        <v>244</v>
      </c>
      <c r="F31628" s="38" t="s">
        <v>245</v>
      </c>
      <c r="G31628" s="49" t="str">
        <f t="shared" si="1"/>
        <v>77260</v>
      </c>
      <c r="H31628" s="49">
        <f t="shared" si="2"/>
        <v>77078</v>
      </c>
    </row>
    <row r="31629">
      <c r="A31629" s="48" t="s">
        <v>2817</v>
      </c>
      <c r="B31629" s="38">
        <v>64302.0</v>
      </c>
      <c r="C31629" s="38" t="s">
        <v>35956</v>
      </c>
      <c r="D31629" s="38" t="str">
        <f>IFERROR(__xludf.DUMMYFUNCTION("REGEXREPLACE(C31629,""-\d+(.*)|--\d+(.*)"","""")"),"LAGOS")</f>
        <v>LAGOS</v>
      </c>
      <c r="E31629" s="38" t="s">
        <v>268</v>
      </c>
      <c r="F31629" s="38" t="s">
        <v>252</v>
      </c>
      <c r="G31629" s="49" t="str">
        <f t="shared" si="1"/>
        <v>64800</v>
      </c>
      <c r="H31629" s="49">
        <f t="shared" si="2"/>
        <v>64302</v>
      </c>
    </row>
    <row r="31630">
      <c r="A31630" s="48" t="s">
        <v>35957</v>
      </c>
      <c r="B31630" s="38">
        <v>13067.0</v>
      </c>
      <c r="C31630" s="38" t="s">
        <v>35958</v>
      </c>
      <c r="D31630" s="38" t="str">
        <f>IFERROR(__xludf.DUMMYFUNCTION("REGEXREPLACE(C31630,""-\d+(.*)|--\d+(.*)"","""")"),"ORGON")</f>
        <v>ORGON</v>
      </c>
      <c r="E31630" s="38" t="s">
        <v>980</v>
      </c>
      <c r="F31630" s="38" t="s">
        <v>228</v>
      </c>
      <c r="G31630" s="49" t="str">
        <f t="shared" si="1"/>
        <v>13660</v>
      </c>
      <c r="H31630" s="49">
        <f t="shared" si="2"/>
        <v>13067</v>
      </c>
    </row>
    <row r="31631">
      <c r="A31631" s="48" t="s">
        <v>1697</v>
      </c>
      <c r="B31631" s="38">
        <v>39134.0</v>
      </c>
      <c r="C31631" s="38" t="s">
        <v>35959</v>
      </c>
      <c r="D31631" s="38" t="str">
        <f>IFERROR(__xludf.DUMMYFUNCTION("REGEXREPLACE(C31631,""-\d+(.*)|--\d+(.*)"","""")"),"CHAVERIA")</f>
        <v>CHAVERIA</v>
      </c>
      <c r="E31631" s="38" t="s">
        <v>400</v>
      </c>
      <c r="F31631" s="38" t="s">
        <v>214</v>
      </c>
      <c r="G31631" s="49" t="str">
        <f t="shared" si="1"/>
        <v>39270</v>
      </c>
      <c r="H31631" s="49">
        <f t="shared" si="2"/>
        <v>39134</v>
      </c>
    </row>
    <row r="31632">
      <c r="A31632" s="48" t="s">
        <v>1137</v>
      </c>
      <c r="B31632" s="38">
        <v>60687.0</v>
      </c>
      <c r="C31632" s="38" t="s">
        <v>35960</v>
      </c>
      <c r="D31632" s="38" t="str">
        <f>IFERROR(__xludf.DUMMYFUNCTION("REGEXREPLACE(C31632,""-\d+(.*)|--\d+(.*)"","""")"),"VILLERS-SUR-AUCHY")</f>
        <v>VILLERS-SUR-AUCHY</v>
      </c>
      <c r="E31632" s="38" t="s">
        <v>112</v>
      </c>
      <c r="F31632" s="38" t="s">
        <v>113</v>
      </c>
      <c r="G31632" s="49" t="str">
        <f t="shared" si="1"/>
        <v>60650</v>
      </c>
      <c r="H31632" s="49">
        <f t="shared" si="2"/>
        <v>60687</v>
      </c>
    </row>
    <row r="31633">
      <c r="A31633" s="48" t="s">
        <v>5687</v>
      </c>
      <c r="B31633" s="38">
        <v>3112.0</v>
      </c>
      <c r="C31633" s="38" t="s">
        <v>35961</v>
      </c>
      <c r="D31633" s="38" t="str">
        <f>IFERROR(__xludf.DUMMYFUNCTION("REGEXREPLACE(C31633,""-\d+(.*)|--\d+(.*)"","""")"),"ETROUSSAT")</f>
        <v>ETROUSSAT</v>
      </c>
      <c r="E31633" s="38" t="s">
        <v>160</v>
      </c>
      <c r="F31633" s="38" t="s">
        <v>161</v>
      </c>
      <c r="G31633" s="49" t="str">
        <f t="shared" si="1"/>
        <v>03140</v>
      </c>
      <c r="H31633" s="49" t="str">
        <f t="shared" si="2"/>
        <v>03112</v>
      </c>
    </row>
    <row r="31634">
      <c r="A31634" s="48" t="s">
        <v>35962</v>
      </c>
      <c r="B31634" s="38">
        <v>31116.0</v>
      </c>
      <c r="C31634" s="38" t="s">
        <v>35963</v>
      </c>
      <c r="D31634" s="38" t="str">
        <f>IFERROR(__xludf.DUMMYFUNCTION("REGEXREPLACE(C31634,""-\d+(.*)|--\d+(.*)"","""")"),"CASTELGINEST")</f>
        <v>CASTELGINEST</v>
      </c>
      <c r="E31634" s="38" t="s">
        <v>93</v>
      </c>
      <c r="F31634" s="38" t="s">
        <v>94</v>
      </c>
      <c r="G31634" s="49" t="str">
        <f t="shared" si="1"/>
        <v>31780</v>
      </c>
      <c r="H31634" s="49">
        <f t="shared" si="2"/>
        <v>31116</v>
      </c>
    </row>
    <row r="31635">
      <c r="A31635" s="48" t="s">
        <v>5111</v>
      </c>
      <c r="B31635" s="38">
        <v>47174.0</v>
      </c>
      <c r="C31635" s="38" t="s">
        <v>35964</v>
      </c>
      <c r="D31635" s="38" t="str">
        <f>IFERROR(__xludf.DUMMYFUNCTION("REGEXREPLACE(C31635,""-\d+(.*)|--\d+(.*)"","""")"),"MONCRABEAU")</f>
        <v>MONCRABEAU</v>
      </c>
      <c r="E31635" s="38" t="s">
        <v>251</v>
      </c>
      <c r="F31635" s="38" t="s">
        <v>252</v>
      </c>
      <c r="G31635" s="49" t="str">
        <f t="shared" si="1"/>
        <v>47600</v>
      </c>
      <c r="H31635" s="49">
        <f t="shared" si="2"/>
        <v>47174</v>
      </c>
    </row>
    <row r="31636">
      <c r="A31636" s="48" t="s">
        <v>27285</v>
      </c>
      <c r="B31636" s="38">
        <v>57586.0</v>
      </c>
      <c r="C31636" s="38" t="s">
        <v>35965</v>
      </c>
      <c r="D31636" s="38" t="str">
        <f>IFERROR(__xludf.DUMMYFUNCTION("REGEXREPLACE(C31636,""-\d+(.*)|--\d+(.*)"","""")"),"ROCHONVILLERS")</f>
        <v>ROCHONVILLERS</v>
      </c>
      <c r="E31636" s="38" t="s">
        <v>303</v>
      </c>
      <c r="F31636" s="38" t="s">
        <v>195</v>
      </c>
      <c r="G31636" s="49" t="str">
        <f t="shared" si="1"/>
        <v>57840</v>
      </c>
      <c r="H31636" s="49">
        <f t="shared" si="2"/>
        <v>57586</v>
      </c>
    </row>
    <row r="31637">
      <c r="A31637" s="48" t="s">
        <v>618</v>
      </c>
      <c r="B31637" s="38">
        <v>54164.0</v>
      </c>
      <c r="C31637" s="38" t="s">
        <v>35966</v>
      </c>
      <c r="D31637" s="38" t="str">
        <f>IFERROR(__xludf.DUMMYFUNCTION("REGEXREPLACE(C31637,""-\d+(.*)|--\d+(.*)"","""")"),"DOMMARIE-EULMONT")</f>
        <v>DOMMARIE-EULMONT</v>
      </c>
      <c r="E31637" s="38" t="s">
        <v>548</v>
      </c>
      <c r="F31637" s="38" t="s">
        <v>195</v>
      </c>
      <c r="G31637" s="49" t="str">
        <f t="shared" si="1"/>
        <v>54115</v>
      </c>
      <c r="H31637" s="49">
        <f t="shared" si="2"/>
        <v>54164</v>
      </c>
    </row>
    <row r="31638">
      <c r="A31638" s="48" t="s">
        <v>35967</v>
      </c>
      <c r="B31638" s="38">
        <v>77451.0</v>
      </c>
      <c r="C31638" s="38" t="s">
        <v>35968</v>
      </c>
      <c r="D31638" s="38" t="str">
        <f>IFERROR(__xludf.DUMMYFUNCTION("REGEXREPLACE(C31638,""-\d+(.*)|--\d+(.*)"","""")"),"SIGNY-SIGNETS")</f>
        <v>SIGNY-SIGNETS</v>
      </c>
      <c r="E31638" s="38" t="s">
        <v>244</v>
      </c>
      <c r="F31638" s="38" t="s">
        <v>245</v>
      </c>
      <c r="G31638" s="49" t="str">
        <f t="shared" si="1"/>
        <v>77640</v>
      </c>
      <c r="H31638" s="49">
        <f t="shared" si="2"/>
        <v>77451</v>
      </c>
    </row>
    <row r="31639">
      <c r="A31639" s="48" t="s">
        <v>3506</v>
      </c>
      <c r="B31639" s="38">
        <v>16021.0</v>
      </c>
      <c r="C31639" s="38" t="s">
        <v>35969</v>
      </c>
      <c r="D31639" s="38" t="str">
        <f>IFERROR(__xludf.DUMMYFUNCTION("REGEXREPLACE(C31639,""-\d+(.*)|--\d+(.*)"","""")"),"AUBEVILLE")</f>
        <v>AUBEVILLE</v>
      </c>
      <c r="E31639" s="38" t="s">
        <v>429</v>
      </c>
      <c r="F31639" s="38" t="s">
        <v>338</v>
      </c>
      <c r="G31639" s="49" t="str">
        <f t="shared" si="1"/>
        <v>16250</v>
      </c>
      <c r="H31639" s="49">
        <f t="shared" si="2"/>
        <v>16021</v>
      </c>
    </row>
    <row r="31640">
      <c r="A31640" s="48" t="s">
        <v>12491</v>
      </c>
      <c r="B31640" s="38">
        <v>21077.0</v>
      </c>
      <c r="C31640" s="38" t="s">
        <v>35970</v>
      </c>
      <c r="D31640" s="38" t="str">
        <f>IFERROR(__xludf.DUMMYFUNCTION("REGEXREPLACE(C31640,""-\d+(.*)|--\d+(.*)"","""")"),"BISSEY-LA-COTE")</f>
        <v>BISSEY-LA-COTE</v>
      </c>
      <c r="E31640" s="38" t="s">
        <v>105</v>
      </c>
      <c r="F31640" s="38" t="s">
        <v>106</v>
      </c>
      <c r="G31640" s="49" t="str">
        <f t="shared" si="1"/>
        <v>21520</v>
      </c>
      <c r="H31640" s="49">
        <f t="shared" si="2"/>
        <v>21077</v>
      </c>
    </row>
    <row r="31641">
      <c r="A31641" s="48" t="s">
        <v>5631</v>
      </c>
      <c r="B31641" s="38">
        <v>76458.0</v>
      </c>
      <c r="C31641" s="38" t="s">
        <v>35971</v>
      </c>
      <c r="D31641" s="38" t="str">
        <f>IFERROR(__xludf.DUMMYFUNCTION("REGEXREPLACE(C31641,""-\d+(.*)|--\d+(.*)"","""")"),"MUCHEDENT")</f>
        <v>MUCHEDENT</v>
      </c>
      <c r="E31641" s="38" t="s">
        <v>133</v>
      </c>
      <c r="F31641" s="38" t="s">
        <v>134</v>
      </c>
      <c r="G31641" s="49" t="str">
        <f t="shared" si="1"/>
        <v>76590</v>
      </c>
      <c r="H31641" s="49">
        <f t="shared" si="2"/>
        <v>76458</v>
      </c>
    </row>
    <row r="31642">
      <c r="A31642" s="48" t="s">
        <v>3827</v>
      </c>
      <c r="B31642" s="38">
        <v>58051.0</v>
      </c>
      <c r="C31642" s="38" t="s">
        <v>35972</v>
      </c>
      <c r="D31642" s="38" t="str">
        <f>IFERROR(__xludf.DUMMYFUNCTION("REGEXREPLACE(C31642,""-\d+(.*)|--\d+(.*)"","""")"),"CHALLUY")</f>
        <v>CHALLUY</v>
      </c>
      <c r="E31642" s="38" t="s">
        <v>219</v>
      </c>
      <c r="F31642" s="38" t="s">
        <v>106</v>
      </c>
      <c r="G31642" s="49" t="str">
        <f t="shared" si="1"/>
        <v>58000</v>
      </c>
      <c r="H31642" s="49">
        <f t="shared" si="2"/>
        <v>58051</v>
      </c>
    </row>
    <row r="31643">
      <c r="A31643" s="48" t="s">
        <v>2040</v>
      </c>
      <c r="B31643" s="38">
        <v>59181.0</v>
      </c>
      <c r="C31643" s="38" t="s">
        <v>35973</v>
      </c>
      <c r="D31643" s="38" t="str">
        <f>IFERROR(__xludf.DUMMYFUNCTION("REGEXREPLACE(C31643,""-\d+(.*)|--\d+(.*)"","""")"),"DOURLERS")</f>
        <v>DOURLERS</v>
      </c>
      <c r="E31643" s="38" t="s">
        <v>85</v>
      </c>
      <c r="F31643" s="38" t="s">
        <v>86</v>
      </c>
      <c r="G31643" s="49" t="str">
        <f t="shared" si="1"/>
        <v>59440</v>
      </c>
      <c r="H31643" s="49">
        <f t="shared" si="2"/>
        <v>59181</v>
      </c>
    </row>
    <row r="31644">
      <c r="A31644" s="48" t="s">
        <v>1018</v>
      </c>
      <c r="B31644" s="38">
        <v>60613.0</v>
      </c>
      <c r="C31644" s="38" t="s">
        <v>35974</v>
      </c>
      <c r="D31644" s="38" t="str">
        <f>IFERROR(__xludf.DUMMYFUNCTION("REGEXREPLACE(C31644,""-\d+(.*)|--\d+(.*)"","""")"),"SENOTS")</f>
        <v>SENOTS</v>
      </c>
      <c r="E31644" s="38" t="s">
        <v>112</v>
      </c>
      <c r="F31644" s="38" t="s">
        <v>113</v>
      </c>
      <c r="G31644" s="49" t="str">
        <f t="shared" si="1"/>
        <v>60240</v>
      </c>
      <c r="H31644" s="49">
        <f t="shared" si="2"/>
        <v>60613</v>
      </c>
    </row>
    <row r="31645">
      <c r="A31645" s="48" t="s">
        <v>9021</v>
      </c>
      <c r="B31645" s="38">
        <v>88114.0</v>
      </c>
      <c r="C31645" s="38" t="s">
        <v>35975</v>
      </c>
      <c r="D31645" s="38" t="str">
        <f>IFERROR(__xludf.DUMMYFUNCTION("REGEXREPLACE(C31645,""-\d+(.*)|--\d+(.*)"","""")"),"CONTREXEVILLE")</f>
        <v>CONTREXEVILLE</v>
      </c>
      <c r="E31645" s="38" t="s">
        <v>194</v>
      </c>
      <c r="F31645" s="38" t="s">
        <v>195</v>
      </c>
      <c r="G31645" s="49" t="str">
        <f t="shared" si="1"/>
        <v>88140</v>
      </c>
      <c r="H31645" s="49">
        <f t="shared" si="2"/>
        <v>88114</v>
      </c>
    </row>
    <row r="31646">
      <c r="A31646" s="48" t="s">
        <v>15790</v>
      </c>
      <c r="B31646" s="38">
        <v>1289.0</v>
      </c>
      <c r="C31646" s="38" t="s">
        <v>35976</v>
      </c>
      <c r="D31646" s="38" t="str">
        <f>IFERROR(__xludf.DUMMYFUNCTION("REGEXREPLACE(C31646,""-\d+(.*)|--\d+(.*)"","""")"),"PERONNAS")</f>
        <v>PERONNAS</v>
      </c>
      <c r="E31646" s="38" t="s">
        <v>255</v>
      </c>
      <c r="F31646" s="38" t="s">
        <v>102</v>
      </c>
      <c r="G31646" s="49" t="str">
        <f t="shared" si="1"/>
        <v>01960</v>
      </c>
      <c r="H31646" s="49" t="str">
        <f t="shared" si="2"/>
        <v>01289</v>
      </c>
    </row>
    <row r="31647">
      <c r="A31647" s="48" t="s">
        <v>35977</v>
      </c>
      <c r="B31647" s="38" t="s">
        <v>35978</v>
      </c>
      <c r="C31647" s="38" t="s">
        <v>35979</v>
      </c>
      <c r="D31647" s="38" t="str">
        <f>IFERROR(__xludf.DUMMYFUNCTION("REGEXREPLACE(C31647,""-\d+(.*)|--\d+(.*)"","""")"),"SORBOLLANO")</f>
        <v>SORBOLLANO</v>
      </c>
      <c r="E31647" s="38" t="s">
        <v>606</v>
      </c>
      <c r="F31647" s="38" t="s">
        <v>607</v>
      </c>
      <c r="G31647" s="49" t="str">
        <f t="shared" si="1"/>
        <v>20152</v>
      </c>
      <c r="H31647" s="49" t="str">
        <f t="shared" si="2"/>
        <v>2A285</v>
      </c>
    </row>
    <row r="31648">
      <c r="A31648" s="48" t="s">
        <v>18834</v>
      </c>
      <c r="B31648" s="38">
        <v>88369.0</v>
      </c>
      <c r="C31648" s="38" t="s">
        <v>35980</v>
      </c>
      <c r="D31648" s="38" t="str">
        <f>IFERROR(__xludf.DUMMYFUNCTION("REGEXREPLACE(C31648,""-\d+(.*)|--\d+(.*)"","""")"),"RAMONCHAMP")</f>
        <v>RAMONCHAMP</v>
      </c>
      <c r="E31648" s="38" t="s">
        <v>194</v>
      </c>
      <c r="F31648" s="38" t="s">
        <v>195</v>
      </c>
      <c r="G31648" s="49" t="str">
        <f t="shared" si="1"/>
        <v>88160</v>
      </c>
      <c r="H31648" s="49">
        <f t="shared" si="2"/>
        <v>88369</v>
      </c>
    </row>
    <row r="31649">
      <c r="A31649" s="48" t="s">
        <v>35981</v>
      </c>
      <c r="B31649" s="38">
        <v>42003.0</v>
      </c>
      <c r="C31649" s="38" t="s">
        <v>35982</v>
      </c>
      <c r="D31649" s="38" t="str">
        <f>IFERROR(__xludf.DUMMYFUNCTION("REGEXREPLACE(C31649,""-\d+(.*)|--\d+(.*)"","""")"),"AMBIERLE")</f>
        <v>AMBIERLE</v>
      </c>
      <c r="E31649" s="38" t="s">
        <v>166</v>
      </c>
      <c r="F31649" s="38" t="s">
        <v>102</v>
      </c>
      <c r="G31649" s="49" t="str">
        <f t="shared" si="1"/>
        <v>42820</v>
      </c>
      <c r="H31649" s="49">
        <f t="shared" si="2"/>
        <v>42003</v>
      </c>
    </row>
    <row r="31650">
      <c r="A31650" s="48" t="s">
        <v>10299</v>
      </c>
      <c r="B31650" s="38">
        <v>67087.0</v>
      </c>
      <c r="C31650" s="38" t="s">
        <v>35983</v>
      </c>
      <c r="D31650" s="38" t="str">
        <f>IFERROR(__xludf.DUMMYFUNCTION("REGEXREPLACE(C31650,""-\d+(.*)|--\d+(.*)"","""")"),"DAUENDORF")</f>
        <v>DAUENDORF</v>
      </c>
      <c r="E31650" s="38" t="s">
        <v>210</v>
      </c>
      <c r="F31650" s="38" t="s">
        <v>151</v>
      </c>
      <c r="G31650" s="49" t="str">
        <f t="shared" si="1"/>
        <v>67350</v>
      </c>
      <c r="H31650" s="49">
        <f t="shared" si="2"/>
        <v>67087</v>
      </c>
    </row>
    <row r="31651">
      <c r="A31651" s="48" t="s">
        <v>215</v>
      </c>
      <c r="B31651" s="38">
        <v>2004.0</v>
      </c>
      <c r="C31651" s="38" t="s">
        <v>35984</v>
      </c>
      <c r="D31651" s="38" t="str">
        <f>IFERROR(__xludf.DUMMYFUNCTION("REGEXREPLACE(C31651,""-\d+(.*)|--\d+(.*)"","""")"),"AGNICOURT-ET-SECHELLES")</f>
        <v>AGNICOURT-ET-SECHELLES</v>
      </c>
      <c r="E31651" s="38" t="s">
        <v>191</v>
      </c>
      <c r="F31651" s="38" t="s">
        <v>113</v>
      </c>
      <c r="G31651" s="49" t="str">
        <f t="shared" si="1"/>
        <v>02340</v>
      </c>
      <c r="H31651" s="49" t="str">
        <f t="shared" si="2"/>
        <v>02004</v>
      </c>
    </row>
    <row r="31652">
      <c r="A31652" s="48" t="s">
        <v>16223</v>
      </c>
      <c r="B31652" s="38">
        <v>60641.0</v>
      </c>
      <c r="C31652" s="38" t="s">
        <v>35985</v>
      </c>
      <c r="D31652" s="38" t="str">
        <f>IFERROR(__xludf.DUMMYFUNCTION("REGEXREPLACE(C31652,""-\d+(.*)|--\d+(.*)"","""")"),"TRACY-LE-MONT")</f>
        <v>TRACY-LE-MONT</v>
      </c>
      <c r="E31652" s="38" t="s">
        <v>112</v>
      </c>
      <c r="F31652" s="38" t="s">
        <v>113</v>
      </c>
      <c r="G31652" s="49" t="str">
        <f t="shared" si="1"/>
        <v>60170</v>
      </c>
      <c r="H31652" s="49">
        <f t="shared" si="2"/>
        <v>60641</v>
      </c>
    </row>
    <row r="31653">
      <c r="A31653" s="48" t="s">
        <v>8218</v>
      </c>
      <c r="B31653" s="38">
        <v>80259.0</v>
      </c>
      <c r="C31653" s="38" t="s">
        <v>35986</v>
      </c>
      <c r="D31653" s="38" t="str">
        <f>IFERROR(__xludf.DUMMYFUNCTION("REGEXREPLACE(C31653,""-\d+(.*)|--\d+(.*)"","""")"),"DROMESNIL")</f>
        <v>DROMESNIL</v>
      </c>
      <c r="E31653" s="38" t="s">
        <v>224</v>
      </c>
      <c r="F31653" s="38" t="s">
        <v>113</v>
      </c>
      <c r="G31653" s="49" t="str">
        <f t="shared" si="1"/>
        <v>80640</v>
      </c>
      <c r="H31653" s="49">
        <f t="shared" si="2"/>
        <v>80259</v>
      </c>
    </row>
    <row r="31654">
      <c r="A31654" s="48" t="s">
        <v>6156</v>
      </c>
      <c r="B31654" s="38">
        <v>35177.0</v>
      </c>
      <c r="C31654" s="38" t="s">
        <v>35987</v>
      </c>
      <c r="D31654" s="38" t="str">
        <f>IFERROR(__xludf.DUMMYFUNCTION("REGEXREPLACE(C31654,""-\d+(.*)|--\d+(.*)"","""")"),"LA MEZIERE")</f>
        <v>LA MEZIERE</v>
      </c>
      <c r="E31654" s="38" t="s">
        <v>347</v>
      </c>
      <c r="F31654" s="38" t="s">
        <v>90</v>
      </c>
      <c r="G31654" s="49" t="str">
        <f t="shared" si="1"/>
        <v>35520</v>
      </c>
      <c r="H31654" s="49">
        <f t="shared" si="2"/>
        <v>35177</v>
      </c>
    </row>
    <row r="31655">
      <c r="A31655" s="48" t="s">
        <v>3102</v>
      </c>
      <c r="B31655" s="38">
        <v>55085.0</v>
      </c>
      <c r="C31655" s="38" t="s">
        <v>35988</v>
      </c>
      <c r="D31655" s="38" t="str">
        <f>IFERROR(__xludf.DUMMYFUNCTION("REGEXREPLACE(C31655,""-\d+(.*)|--\d+(.*)"","""")"),"BROUSSEY-RAULECOURT")</f>
        <v>BROUSSEY-RAULECOURT</v>
      </c>
      <c r="E31655" s="38" t="s">
        <v>322</v>
      </c>
      <c r="F31655" s="38" t="s">
        <v>195</v>
      </c>
      <c r="G31655" s="49" t="str">
        <f t="shared" si="1"/>
        <v>55200</v>
      </c>
      <c r="H31655" s="49">
        <f t="shared" si="2"/>
        <v>55085</v>
      </c>
    </row>
    <row r="31656">
      <c r="A31656" s="48" t="s">
        <v>6844</v>
      </c>
      <c r="B31656" s="38">
        <v>12297.0</v>
      </c>
      <c r="C31656" s="38" t="s">
        <v>35989</v>
      </c>
      <c r="D31656" s="38" t="str">
        <f>IFERROR(__xludf.DUMMYFUNCTION("REGEXREPLACE(C31656,""-\d+(.*)|--\d+(.*)"","""")"),"LE VIBAL")</f>
        <v>LE VIBAL</v>
      </c>
      <c r="E31656" s="38" t="s">
        <v>465</v>
      </c>
      <c r="F31656" s="38" t="s">
        <v>94</v>
      </c>
      <c r="G31656" s="49" t="str">
        <f t="shared" si="1"/>
        <v>12290</v>
      </c>
      <c r="H31656" s="49">
        <f t="shared" si="2"/>
        <v>12297</v>
      </c>
    </row>
    <row r="31657">
      <c r="A31657" s="48" t="s">
        <v>3867</v>
      </c>
      <c r="B31657" s="38">
        <v>35203.0</v>
      </c>
      <c r="C31657" s="38" t="s">
        <v>35990</v>
      </c>
      <c r="D31657" s="38" t="str">
        <f>IFERROR(__xludf.DUMMYFUNCTION("REGEXREPLACE(C31657,""-\d+(.*)|--\d+(.*)"","""")"),"LA NOUAYE")</f>
        <v>LA NOUAYE</v>
      </c>
      <c r="E31657" s="38" t="s">
        <v>347</v>
      </c>
      <c r="F31657" s="38" t="s">
        <v>90</v>
      </c>
      <c r="G31657" s="49" t="str">
        <f t="shared" si="1"/>
        <v>35137</v>
      </c>
      <c r="H31657" s="49">
        <f t="shared" si="2"/>
        <v>35203</v>
      </c>
    </row>
    <row r="31658">
      <c r="A31658" s="48" t="s">
        <v>1364</v>
      </c>
      <c r="B31658" s="38">
        <v>64332.0</v>
      </c>
      <c r="C31658" s="38" t="s">
        <v>25568</v>
      </c>
      <c r="D31658" s="38" t="str">
        <f>IFERROR(__xludf.DUMMYFUNCTION("REGEXREPLACE(C31658,""-\d+(.*)|--\d+(.*)"","""")"),"LEME")</f>
        <v>LEME</v>
      </c>
      <c r="E31658" s="38" t="s">
        <v>268</v>
      </c>
      <c r="F31658" s="38" t="s">
        <v>252</v>
      </c>
      <c r="G31658" s="49" t="str">
        <f t="shared" si="1"/>
        <v>64450</v>
      </c>
      <c r="H31658" s="49">
        <f t="shared" si="2"/>
        <v>64332</v>
      </c>
    </row>
    <row r="31659">
      <c r="A31659" s="48" t="s">
        <v>1526</v>
      </c>
      <c r="B31659" s="38">
        <v>60405.0</v>
      </c>
      <c r="C31659" s="38" t="s">
        <v>35991</v>
      </c>
      <c r="D31659" s="38" t="str">
        <f>IFERROR(__xludf.DUMMYFUNCTION("REGEXREPLACE(C31659,""-\d+(.*)|--\d+(.*)"","""")"),"MOLIENS")</f>
        <v>MOLIENS</v>
      </c>
      <c r="E31659" s="38" t="s">
        <v>112</v>
      </c>
      <c r="F31659" s="38" t="s">
        <v>113</v>
      </c>
      <c r="G31659" s="49" t="str">
        <f t="shared" si="1"/>
        <v>60220</v>
      </c>
      <c r="H31659" s="49">
        <f t="shared" si="2"/>
        <v>60405</v>
      </c>
    </row>
    <row r="31660">
      <c r="A31660" s="48" t="s">
        <v>576</v>
      </c>
      <c r="B31660" s="38">
        <v>54447.0</v>
      </c>
      <c r="C31660" s="38" t="s">
        <v>35992</v>
      </c>
      <c r="D31660" s="38" t="str">
        <f>IFERROR(__xludf.DUMMYFUNCTION("REGEXREPLACE(C31660,""-\d+(.*)|--\d+(.*)"","""")"),"RECLONVILLE")</f>
        <v>RECLONVILLE</v>
      </c>
      <c r="E31660" s="38" t="s">
        <v>548</v>
      </c>
      <c r="F31660" s="38" t="s">
        <v>195</v>
      </c>
      <c r="G31660" s="49" t="str">
        <f t="shared" si="1"/>
        <v>54450</v>
      </c>
      <c r="H31660" s="49">
        <f t="shared" si="2"/>
        <v>54447</v>
      </c>
    </row>
    <row r="31661">
      <c r="A31661" s="48" t="s">
        <v>4504</v>
      </c>
      <c r="B31661" s="38">
        <v>40288.0</v>
      </c>
      <c r="C31661" s="38" t="s">
        <v>35993</v>
      </c>
      <c r="D31661" s="38" t="str">
        <f>IFERROR(__xludf.DUMMYFUNCTION("REGEXREPLACE(C31661,""-\d+(.*)|--\d+(.*)"","""")"),"SARBAZAN")</f>
        <v>SARBAZAN</v>
      </c>
      <c r="E31661" s="38" t="s">
        <v>281</v>
      </c>
      <c r="F31661" s="38" t="s">
        <v>252</v>
      </c>
      <c r="G31661" s="49" t="str">
        <f t="shared" si="1"/>
        <v>40120</v>
      </c>
      <c r="H31661" s="49">
        <f t="shared" si="2"/>
        <v>40288</v>
      </c>
    </row>
    <row r="31662">
      <c r="A31662" s="48" t="s">
        <v>20816</v>
      </c>
      <c r="B31662" s="38">
        <v>26037.0</v>
      </c>
      <c r="C31662" s="38" t="s">
        <v>35994</v>
      </c>
      <c r="D31662" s="38" t="str">
        <f>IFERROR(__xludf.DUMMYFUNCTION("REGEXREPLACE(C31662,""-\d+(.*)|--\d+(.*)"","""")"),"BEAUMONT-LES-VALENCE")</f>
        <v>BEAUMONT-LES-VALENCE</v>
      </c>
      <c r="E31662" s="38" t="s">
        <v>126</v>
      </c>
      <c r="F31662" s="38" t="s">
        <v>102</v>
      </c>
      <c r="G31662" s="49" t="str">
        <f t="shared" si="1"/>
        <v>26760</v>
      </c>
      <c r="H31662" s="49">
        <f t="shared" si="2"/>
        <v>26037</v>
      </c>
    </row>
    <row r="31663">
      <c r="A31663" s="48" t="s">
        <v>1060</v>
      </c>
      <c r="B31663" s="38">
        <v>57085.0</v>
      </c>
      <c r="C31663" s="38" t="s">
        <v>35995</v>
      </c>
      <c r="D31663" s="38" t="str">
        <f>IFERROR(__xludf.DUMMYFUNCTION("REGEXREPLACE(C31663,""-\d+(.*)|--\d+(.*)"","""")"),"BIONVILLE-SUR-NIED")</f>
        <v>BIONVILLE-SUR-NIED</v>
      </c>
      <c r="E31663" s="38" t="s">
        <v>303</v>
      </c>
      <c r="F31663" s="38" t="s">
        <v>195</v>
      </c>
      <c r="G31663" s="49" t="str">
        <f t="shared" si="1"/>
        <v>57220</v>
      </c>
      <c r="H31663" s="49">
        <f t="shared" si="2"/>
        <v>57085</v>
      </c>
    </row>
    <row r="31664">
      <c r="A31664" s="48" t="s">
        <v>11477</v>
      </c>
      <c r="B31664" s="38">
        <v>33448.0</v>
      </c>
      <c r="C31664" s="38" t="s">
        <v>35996</v>
      </c>
      <c r="D31664" s="38" t="str">
        <f>IFERROR(__xludf.DUMMYFUNCTION("REGEXREPLACE(C31664,""-\d+(.*)|--\d+(.*)"","""")"),"SAINT-MEDARD-D'EYRANS")</f>
        <v>SAINT-MEDARD-D'EYRANS</v>
      </c>
      <c r="E31664" s="38" t="s">
        <v>462</v>
      </c>
      <c r="F31664" s="38" t="s">
        <v>252</v>
      </c>
      <c r="G31664" s="49" t="str">
        <f t="shared" si="1"/>
        <v>33650</v>
      </c>
      <c r="H31664" s="49">
        <f t="shared" si="2"/>
        <v>33448</v>
      </c>
    </row>
    <row r="31665">
      <c r="A31665" s="48" t="s">
        <v>2868</v>
      </c>
      <c r="B31665" s="38">
        <v>80803.0</v>
      </c>
      <c r="C31665" s="38" t="s">
        <v>35997</v>
      </c>
      <c r="D31665" s="38" t="str">
        <f>IFERROR(__xludf.DUMMYFUNCTION("REGEXREPLACE(C31665,""-\d+(.*)|--\d+(.*)"","""")"),"VILLERS-LES-ROYE")</f>
        <v>VILLERS-LES-ROYE</v>
      </c>
      <c r="E31665" s="38" t="s">
        <v>224</v>
      </c>
      <c r="F31665" s="38" t="s">
        <v>113</v>
      </c>
      <c r="G31665" s="49" t="str">
        <f t="shared" si="1"/>
        <v>80700</v>
      </c>
      <c r="H31665" s="49">
        <f t="shared" si="2"/>
        <v>80803</v>
      </c>
    </row>
    <row r="31666">
      <c r="A31666" s="48" t="s">
        <v>12157</v>
      </c>
      <c r="B31666" s="38">
        <v>80024.0</v>
      </c>
      <c r="C31666" s="38" t="s">
        <v>35998</v>
      </c>
      <c r="D31666" s="38" t="str">
        <f>IFERROR(__xludf.DUMMYFUNCTION("REGEXREPLACE(C31666,""-\d+(.*)|--\d+(.*)"","""")"),"ARGOEUVES")</f>
        <v>ARGOEUVES</v>
      </c>
      <c r="E31666" s="38" t="s">
        <v>224</v>
      </c>
      <c r="F31666" s="38" t="s">
        <v>113</v>
      </c>
      <c r="G31666" s="49" t="str">
        <f t="shared" si="1"/>
        <v>80470</v>
      </c>
      <c r="H31666" s="49">
        <f t="shared" si="2"/>
        <v>80024</v>
      </c>
    </row>
    <row r="31667">
      <c r="A31667" s="48" t="s">
        <v>1058</v>
      </c>
      <c r="B31667" s="38">
        <v>21301.0</v>
      </c>
      <c r="C31667" s="38" t="s">
        <v>35999</v>
      </c>
      <c r="D31667" s="38" t="str">
        <f>IFERROR(__xludf.DUMMYFUNCTION("REGEXREPLACE(C31667,""-\d+(.*)|--\d+(.*)"","""")"),"GLANON")</f>
        <v>GLANON</v>
      </c>
      <c r="E31667" s="38" t="s">
        <v>105</v>
      </c>
      <c r="F31667" s="38" t="s">
        <v>106</v>
      </c>
      <c r="G31667" s="49" t="str">
        <f t="shared" si="1"/>
        <v>21250</v>
      </c>
      <c r="H31667" s="49">
        <f t="shared" si="2"/>
        <v>21301</v>
      </c>
    </row>
    <row r="31668">
      <c r="A31668" s="48" t="s">
        <v>374</v>
      </c>
      <c r="B31668" s="38">
        <v>85232.0</v>
      </c>
      <c r="C31668" s="38" t="s">
        <v>36000</v>
      </c>
      <c r="D31668" s="38" t="str">
        <f>IFERROR(__xludf.DUMMYFUNCTION("REGEXREPLACE(C31668,""-\d+(.*)|--\d+(.*)"","""")"),"SAINT-HILAIRE-LE-VOUHIS")</f>
        <v>SAINT-HILAIRE-LE-VOUHIS</v>
      </c>
      <c r="E31668" s="38" t="s">
        <v>179</v>
      </c>
      <c r="F31668" s="38" t="s">
        <v>180</v>
      </c>
      <c r="G31668" s="49" t="str">
        <f t="shared" si="1"/>
        <v>85480</v>
      </c>
      <c r="H31668" s="49">
        <f t="shared" si="2"/>
        <v>85232</v>
      </c>
    </row>
    <row r="31669">
      <c r="A31669" s="48" t="s">
        <v>22188</v>
      </c>
      <c r="B31669" s="38">
        <v>14160.0</v>
      </c>
      <c r="C31669" s="38" t="s">
        <v>36001</v>
      </c>
      <c r="D31669" s="38" t="str">
        <f>IFERROR(__xludf.DUMMYFUNCTION("REGEXREPLACE(C31669,""-\d+(.*)|--\d+(.*)"","""")"),"CINTHEAUX")</f>
        <v>CINTHEAUX</v>
      </c>
      <c r="E31669" s="38" t="s">
        <v>137</v>
      </c>
      <c r="F31669" s="38" t="s">
        <v>138</v>
      </c>
      <c r="G31669" s="49" t="str">
        <f t="shared" si="1"/>
        <v>14680</v>
      </c>
      <c r="H31669" s="49">
        <f t="shared" si="2"/>
        <v>14160</v>
      </c>
    </row>
    <row r="31670">
      <c r="A31670" s="48" t="s">
        <v>1540</v>
      </c>
      <c r="B31670" s="38">
        <v>70047.0</v>
      </c>
      <c r="C31670" s="38" t="s">
        <v>36002</v>
      </c>
      <c r="D31670" s="38" t="str">
        <f>IFERROR(__xludf.DUMMYFUNCTION("REGEXREPLACE(C31670,""-\d+(.*)|--\d+(.*)"","""")"),"BAIGNES")</f>
        <v>BAIGNES</v>
      </c>
      <c r="E31670" s="38" t="s">
        <v>956</v>
      </c>
      <c r="F31670" s="38" t="s">
        <v>214</v>
      </c>
      <c r="G31670" s="49" t="str">
        <f t="shared" si="1"/>
        <v>70000</v>
      </c>
      <c r="H31670" s="49">
        <f t="shared" si="2"/>
        <v>70047</v>
      </c>
    </row>
    <row r="31671">
      <c r="A31671" s="48" t="s">
        <v>1368</v>
      </c>
      <c r="B31671" s="38">
        <v>8164.0</v>
      </c>
      <c r="C31671" s="38" t="s">
        <v>36003</v>
      </c>
      <c r="D31671" s="38" t="str">
        <f>IFERROR(__xludf.DUMMYFUNCTION("REGEXREPLACE(C31671,""-\d+(.*)|--\d+(.*)"","""")"),"FALAISE")</f>
        <v>FALAISE</v>
      </c>
      <c r="E31671" s="38" t="s">
        <v>327</v>
      </c>
      <c r="F31671" s="38" t="s">
        <v>130</v>
      </c>
      <c r="G31671" s="49" t="str">
        <f t="shared" si="1"/>
        <v>08400</v>
      </c>
      <c r="H31671" s="49" t="str">
        <f t="shared" si="2"/>
        <v>08164</v>
      </c>
    </row>
    <row r="31672">
      <c r="A31672" s="48" t="s">
        <v>7082</v>
      </c>
      <c r="B31672" s="38">
        <v>79197.0</v>
      </c>
      <c r="C31672" s="38" t="s">
        <v>36004</v>
      </c>
      <c r="D31672" s="38" t="str">
        <f>IFERROR(__xludf.DUMMYFUNCTION("REGEXREPLACE(C31672,""-\d+(.*)|--\d+(.*)"","""")"),"OROUX")</f>
        <v>OROUX</v>
      </c>
      <c r="E31672" s="38" t="s">
        <v>337</v>
      </c>
      <c r="F31672" s="38" t="s">
        <v>338</v>
      </c>
      <c r="G31672" s="49" t="str">
        <f t="shared" si="1"/>
        <v>79390</v>
      </c>
      <c r="H31672" s="49">
        <f t="shared" si="2"/>
        <v>79197</v>
      </c>
    </row>
    <row r="31673">
      <c r="A31673" s="48" t="s">
        <v>7265</v>
      </c>
      <c r="B31673" s="38">
        <v>68013.0</v>
      </c>
      <c r="C31673" s="38" t="s">
        <v>36005</v>
      </c>
      <c r="D31673" s="38" t="str">
        <f>IFERROR(__xludf.DUMMYFUNCTION("REGEXREPLACE(C31673,""-\d+(.*)|--\d+(.*)"","""")"),"ATTENSCHWILLER")</f>
        <v>ATTENSCHWILLER</v>
      </c>
      <c r="E31673" s="38" t="s">
        <v>150</v>
      </c>
      <c r="F31673" s="38" t="s">
        <v>151</v>
      </c>
      <c r="G31673" s="49" t="str">
        <f t="shared" si="1"/>
        <v>68220</v>
      </c>
      <c r="H31673" s="49">
        <f t="shared" si="2"/>
        <v>68013</v>
      </c>
    </row>
    <row r="31674">
      <c r="A31674" s="48" t="s">
        <v>6504</v>
      </c>
      <c r="B31674" s="38">
        <v>24555.0</v>
      </c>
      <c r="C31674" s="38" t="s">
        <v>36006</v>
      </c>
      <c r="D31674" s="38" t="str">
        <f>IFERROR(__xludf.DUMMYFUNCTION("REGEXREPLACE(C31674,""-\d+(.*)|--\d+(.*)"","""")"),"TOURTOIRAC")</f>
        <v>TOURTOIRAC</v>
      </c>
      <c r="E31674" s="38" t="s">
        <v>261</v>
      </c>
      <c r="F31674" s="38" t="s">
        <v>252</v>
      </c>
      <c r="G31674" s="49" t="str">
        <f t="shared" si="1"/>
        <v>24390</v>
      </c>
      <c r="H31674" s="49">
        <f t="shared" si="2"/>
        <v>24555</v>
      </c>
    </row>
    <row r="31675">
      <c r="A31675" s="48" t="s">
        <v>2594</v>
      </c>
      <c r="B31675" s="38">
        <v>69242.0</v>
      </c>
      <c r="C31675" s="38" t="s">
        <v>36007</v>
      </c>
      <c r="D31675" s="38" t="str">
        <f>IFERROR(__xludf.DUMMYFUNCTION("REGEXREPLACE(C31675,""-\d+(.*)|--\d+(.*)"","""")"),"TAPONAS")</f>
        <v>TAPONAS</v>
      </c>
      <c r="E31675" s="38" t="s">
        <v>350</v>
      </c>
      <c r="F31675" s="38" t="s">
        <v>102</v>
      </c>
      <c r="G31675" s="49" t="str">
        <f t="shared" si="1"/>
        <v>69220</v>
      </c>
      <c r="H31675" s="49">
        <f t="shared" si="2"/>
        <v>69242</v>
      </c>
    </row>
    <row r="31676">
      <c r="A31676" s="48" t="s">
        <v>5241</v>
      </c>
      <c r="B31676" s="38">
        <v>36247.0</v>
      </c>
      <c r="C31676" s="38" t="s">
        <v>17400</v>
      </c>
      <c r="D31676" s="38" t="str">
        <f>IFERROR(__xludf.DUMMYFUNCTION("REGEXREPLACE(C31676,""-\d+(.*)|--\d+(.*)"","""")"),"VINEUIL")</f>
        <v>VINEUIL</v>
      </c>
      <c r="E31676" s="38" t="s">
        <v>258</v>
      </c>
      <c r="F31676" s="38" t="s">
        <v>123</v>
      </c>
      <c r="G31676" s="49" t="str">
        <f t="shared" si="1"/>
        <v>36110</v>
      </c>
      <c r="H31676" s="49">
        <f t="shared" si="2"/>
        <v>36247</v>
      </c>
    </row>
    <row r="31677">
      <c r="A31677" s="48" t="s">
        <v>3152</v>
      </c>
      <c r="B31677" s="38">
        <v>7085.0</v>
      </c>
      <c r="C31677" s="38" t="s">
        <v>36008</v>
      </c>
      <c r="D31677" s="38" t="str">
        <f>IFERROR(__xludf.DUMMYFUNCTION("REGEXREPLACE(C31677,""-\d+(.*)|--\d+(.*)"","""")"),"EMPURANY")</f>
        <v>EMPURANY</v>
      </c>
      <c r="E31677" s="38" t="s">
        <v>144</v>
      </c>
      <c r="F31677" s="38" t="s">
        <v>102</v>
      </c>
      <c r="G31677" s="49" t="str">
        <f t="shared" si="1"/>
        <v>07270</v>
      </c>
      <c r="H31677" s="49" t="str">
        <f t="shared" si="2"/>
        <v>07085</v>
      </c>
    </row>
    <row r="31678">
      <c r="A31678" s="48" t="s">
        <v>211</v>
      </c>
      <c r="B31678" s="38">
        <v>25120.0</v>
      </c>
      <c r="C31678" s="38" t="s">
        <v>36009</v>
      </c>
      <c r="D31678" s="38" t="str">
        <f>IFERROR(__xludf.DUMMYFUNCTION("REGEXREPLACE(C31678,""-\d+(.*)|--\d+(.*)"","""")"),"CHANTRANS")</f>
        <v>CHANTRANS</v>
      </c>
      <c r="E31678" s="38" t="s">
        <v>213</v>
      </c>
      <c r="F31678" s="38" t="s">
        <v>214</v>
      </c>
      <c r="G31678" s="49" t="str">
        <f t="shared" si="1"/>
        <v>25330</v>
      </c>
      <c r="H31678" s="49">
        <f t="shared" si="2"/>
        <v>25120</v>
      </c>
    </row>
    <row r="31679">
      <c r="A31679" s="48" t="s">
        <v>1896</v>
      </c>
      <c r="B31679" s="38">
        <v>51631.0</v>
      </c>
      <c r="C31679" s="38" t="s">
        <v>36010</v>
      </c>
      <c r="D31679" s="38" t="str">
        <f>IFERROR(__xludf.DUMMYFUNCTION("REGEXREPLACE(C31679,""-\d+(.*)|--\d+(.*)"","""")"),"VILLERS-AUX-NOEUDS")</f>
        <v>VILLERS-AUX-NOEUDS</v>
      </c>
      <c r="E31679" s="38" t="s">
        <v>129</v>
      </c>
      <c r="F31679" s="38" t="s">
        <v>130</v>
      </c>
      <c r="G31679" s="49" t="str">
        <f t="shared" si="1"/>
        <v>51500</v>
      </c>
      <c r="H31679" s="49">
        <f t="shared" si="2"/>
        <v>51631</v>
      </c>
    </row>
    <row r="31680">
      <c r="A31680" s="48" t="s">
        <v>9615</v>
      </c>
      <c r="B31680" s="38">
        <v>86189.0</v>
      </c>
      <c r="C31680" s="38" t="s">
        <v>36011</v>
      </c>
      <c r="D31680" s="38" t="str">
        <f>IFERROR(__xludf.DUMMYFUNCTION("REGEXREPLACE(C31680,""-\d+(.*)|--\d+(.*)"","""")"),"PAYROUX")</f>
        <v>PAYROUX</v>
      </c>
      <c r="E31680" s="38" t="s">
        <v>529</v>
      </c>
      <c r="F31680" s="38" t="s">
        <v>338</v>
      </c>
      <c r="G31680" s="49" t="str">
        <f t="shared" si="1"/>
        <v>86350</v>
      </c>
      <c r="H31680" s="49">
        <f t="shared" si="2"/>
        <v>86189</v>
      </c>
    </row>
    <row r="31681">
      <c r="A31681" s="48" t="s">
        <v>1290</v>
      </c>
      <c r="B31681" s="38">
        <v>21255.0</v>
      </c>
      <c r="C31681" s="38" t="s">
        <v>29393</v>
      </c>
      <c r="D31681" s="38" t="str">
        <f>IFERROR(__xludf.DUMMYFUNCTION("REGEXREPLACE(C31681,""-\d+(.*)|--\d+(.*)"","""")"),"ETAULES")</f>
        <v>ETAULES</v>
      </c>
      <c r="E31681" s="38" t="s">
        <v>105</v>
      </c>
      <c r="F31681" s="38" t="s">
        <v>106</v>
      </c>
      <c r="G31681" s="49" t="str">
        <f t="shared" si="1"/>
        <v>21121</v>
      </c>
      <c r="H31681" s="49">
        <f t="shared" si="2"/>
        <v>21255</v>
      </c>
    </row>
    <row r="31682">
      <c r="A31682" s="48" t="s">
        <v>7920</v>
      </c>
      <c r="B31682" s="38">
        <v>77455.0</v>
      </c>
      <c r="C31682" s="38" t="s">
        <v>36012</v>
      </c>
      <c r="D31682" s="38" t="str">
        <f>IFERROR(__xludf.DUMMYFUNCTION("REGEXREPLACE(C31682,""-\d+(.*)|--\d+(.*)"","""")"),"SOIGNOLLES-EN-BRIE")</f>
        <v>SOIGNOLLES-EN-BRIE</v>
      </c>
      <c r="E31682" s="38" t="s">
        <v>244</v>
      </c>
      <c r="F31682" s="38" t="s">
        <v>245</v>
      </c>
      <c r="G31682" s="49" t="str">
        <f t="shared" si="1"/>
        <v>77111</v>
      </c>
      <c r="H31682" s="49">
        <f t="shared" si="2"/>
        <v>77455</v>
      </c>
    </row>
    <row r="31683">
      <c r="A31683" s="48" t="s">
        <v>14218</v>
      </c>
      <c r="B31683" s="38">
        <v>62555.0</v>
      </c>
      <c r="C31683" s="38" t="s">
        <v>36013</v>
      </c>
      <c r="D31683" s="38" t="str">
        <f>IFERROR(__xludf.DUMMYFUNCTION("REGEXREPLACE(C31683,""-\d+(.*)|--\d+(.*)"","""")"),"MARLES-LES-MINES")</f>
        <v>MARLES-LES-MINES</v>
      </c>
      <c r="E31683" s="38" t="s">
        <v>109</v>
      </c>
      <c r="F31683" s="38" t="s">
        <v>86</v>
      </c>
      <c r="G31683" s="49" t="str">
        <f t="shared" si="1"/>
        <v>62540</v>
      </c>
      <c r="H31683" s="49">
        <f t="shared" si="2"/>
        <v>62555</v>
      </c>
    </row>
    <row r="31684">
      <c r="A31684" s="48" t="s">
        <v>12410</v>
      </c>
      <c r="B31684" s="38">
        <v>66027.0</v>
      </c>
      <c r="C31684" s="38" t="s">
        <v>36014</v>
      </c>
      <c r="D31684" s="38" t="str">
        <f>IFERROR(__xludf.DUMMYFUNCTION("REGEXREPLACE(C31684,""-\d+(.*)|--\d+(.*)"","""")"),"LA CABANASSE")</f>
        <v>LA CABANASSE</v>
      </c>
      <c r="E31684" s="38" t="s">
        <v>248</v>
      </c>
      <c r="F31684" s="38" t="s">
        <v>119</v>
      </c>
      <c r="G31684" s="49" t="str">
        <f t="shared" si="1"/>
        <v>66210</v>
      </c>
      <c r="H31684" s="49">
        <f t="shared" si="2"/>
        <v>66027</v>
      </c>
    </row>
    <row r="31685">
      <c r="A31685" s="48" t="s">
        <v>1845</v>
      </c>
      <c r="B31685" s="38">
        <v>79159.0</v>
      </c>
      <c r="C31685" s="38" t="s">
        <v>36015</v>
      </c>
      <c r="D31685" s="38" t="str">
        <f>IFERROR(__xludf.DUMMYFUNCTION("REGEXREPLACE(C31685,""-\d+(.*)|--\d+(.*)"","""")"),"LUCHE-THOUARSAIS")</f>
        <v>LUCHE-THOUARSAIS</v>
      </c>
      <c r="E31685" s="38" t="s">
        <v>337</v>
      </c>
      <c r="F31685" s="38" t="s">
        <v>338</v>
      </c>
      <c r="G31685" s="49" t="str">
        <f t="shared" si="1"/>
        <v>79330</v>
      </c>
      <c r="H31685" s="49">
        <f t="shared" si="2"/>
        <v>79159</v>
      </c>
    </row>
    <row r="31686">
      <c r="A31686" s="48" t="s">
        <v>1020</v>
      </c>
      <c r="B31686" s="38">
        <v>1432.0</v>
      </c>
      <c r="C31686" s="38" t="s">
        <v>36016</v>
      </c>
      <c r="D31686" s="38" t="str">
        <f>IFERROR(__xludf.DUMMYFUNCTION("REGEXREPLACE(C31686,""-\d+(.*)|--\d+(.*)"","""")"),"VERJON")</f>
        <v>VERJON</v>
      </c>
      <c r="E31686" s="38" t="s">
        <v>255</v>
      </c>
      <c r="F31686" s="38" t="s">
        <v>102</v>
      </c>
      <c r="G31686" s="49" t="str">
        <f t="shared" si="1"/>
        <v>01270</v>
      </c>
      <c r="H31686" s="49" t="str">
        <f t="shared" si="2"/>
        <v>01432</v>
      </c>
    </row>
    <row r="31687">
      <c r="A31687" s="48" t="s">
        <v>5304</v>
      </c>
      <c r="B31687" s="38">
        <v>27394.0</v>
      </c>
      <c r="C31687" s="38" t="s">
        <v>36017</v>
      </c>
      <c r="D31687" s="38" t="str">
        <f>IFERROR(__xludf.DUMMYFUNCTION("REGEXREPLACE(C31687,""-\d+(.*)|--\d+(.*)"","""")"),"MARTOT")</f>
        <v>MARTOT</v>
      </c>
      <c r="E31687" s="38" t="s">
        <v>241</v>
      </c>
      <c r="F31687" s="38" t="s">
        <v>134</v>
      </c>
      <c r="G31687" s="49" t="str">
        <f t="shared" si="1"/>
        <v>27340</v>
      </c>
      <c r="H31687" s="49">
        <f t="shared" si="2"/>
        <v>27394</v>
      </c>
    </row>
    <row r="31688">
      <c r="A31688" s="48" t="s">
        <v>4131</v>
      </c>
      <c r="B31688" s="38">
        <v>27311.0</v>
      </c>
      <c r="C31688" s="38" t="s">
        <v>36018</v>
      </c>
      <c r="D31688" s="38" t="str">
        <f>IFERROR(__xludf.DUMMYFUNCTION("REGEXREPLACE(C31688,""-\d+(.*)|--\d+(.*)"","""")"),"HARCOURT")</f>
        <v>HARCOURT</v>
      </c>
      <c r="E31688" s="38" t="s">
        <v>241</v>
      </c>
      <c r="F31688" s="38" t="s">
        <v>134</v>
      </c>
      <c r="G31688" s="49" t="str">
        <f t="shared" si="1"/>
        <v>27800</v>
      </c>
      <c r="H31688" s="49">
        <f t="shared" si="2"/>
        <v>27311</v>
      </c>
    </row>
    <row r="31689">
      <c r="A31689" s="48" t="s">
        <v>732</v>
      </c>
      <c r="B31689" s="38">
        <v>10272.0</v>
      </c>
      <c r="C31689" s="38" t="s">
        <v>21385</v>
      </c>
      <c r="D31689" s="38" t="str">
        <f>IFERROR(__xludf.DUMMYFUNCTION("REGEXREPLACE(C31689,""-\d+(.*)|--\d+(.*)"","""")"),"ORMES")</f>
        <v>ORMES</v>
      </c>
      <c r="E31689" s="38" t="s">
        <v>147</v>
      </c>
      <c r="F31689" s="38" t="s">
        <v>130</v>
      </c>
      <c r="G31689" s="49" t="str">
        <f t="shared" si="1"/>
        <v>10700</v>
      </c>
      <c r="H31689" s="49">
        <f t="shared" si="2"/>
        <v>10272</v>
      </c>
    </row>
    <row r="31690">
      <c r="A31690" s="48" t="s">
        <v>8788</v>
      </c>
      <c r="B31690" s="38">
        <v>59593.0</v>
      </c>
      <c r="C31690" s="38" t="s">
        <v>36019</v>
      </c>
      <c r="D31690" s="38" t="str">
        <f>IFERROR(__xludf.DUMMYFUNCTION("REGEXREPLACE(C31690,""-\d+(.*)|--\d+(.*)"","""")"),"THUN-L'EVEQUE")</f>
        <v>THUN-L'EVEQUE</v>
      </c>
      <c r="E31690" s="38" t="s">
        <v>85</v>
      </c>
      <c r="F31690" s="38" t="s">
        <v>86</v>
      </c>
      <c r="G31690" s="49" t="str">
        <f t="shared" si="1"/>
        <v>59141</v>
      </c>
      <c r="H31690" s="49">
        <f t="shared" si="2"/>
        <v>59593</v>
      </c>
    </row>
    <row r="31691">
      <c r="A31691" s="48" t="s">
        <v>3046</v>
      </c>
      <c r="B31691" s="38">
        <v>70394.0</v>
      </c>
      <c r="C31691" s="38" t="s">
        <v>36020</v>
      </c>
      <c r="D31691" s="38" t="str">
        <f>IFERROR(__xludf.DUMMYFUNCTION("REGEXREPLACE(C31691,""-\d+(.*)|--\d+(.*)"","""")"),"ONAY")</f>
        <v>ONAY</v>
      </c>
      <c r="E31691" s="38" t="s">
        <v>956</v>
      </c>
      <c r="F31691" s="38" t="s">
        <v>214</v>
      </c>
      <c r="G31691" s="49" t="str">
        <f t="shared" si="1"/>
        <v>70100</v>
      </c>
      <c r="H31691" s="49">
        <f t="shared" si="2"/>
        <v>70394</v>
      </c>
    </row>
    <row r="31692">
      <c r="A31692" s="48" t="s">
        <v>4131</v>
      </c>
      <c r="B31692" s="38">
        <v>27609.0</v>
      </c>
      <c r="C31692" s="38" t="s">
        <v>36021</v>
      </c>
      <c r="D31692" s="38" t="str">
        <f>IFERROR(__xludf.DUMMYFUNCTION("REGEXREPLACE(C31692,""-\d+(.*)|--\d+(.*)"","""")"),"SAINT-VICTOR-D'EPINE")</f>
        <v>SAINT-VICTOR-D'EPINE</v>
      </c>
      <c r="E31692" s="38" t="s">
        <v>241</v>
      </c>
      <c r="F31692" s="38" t="s">
        <v>134</v>
      </c>
      <c r="G31692" s="49" t="str">
        <f t="shared" si="1"/>
        <v>27800</v>
      </c>
      <c r="H31692" s="49">
        <f t="shared" si="2"/>
        <v>27609</v>
      </c>
    </row>
    <row r="31693">
      <c r="A31693" s="48" t="s">
        <v>683</v>
      </c>
      <c r="B31693" s="38">
        <v>64251.0</v>
      </c>
      <c r="C31693" s="38" t="s">
        <v>36022</v>
      </c>
      <c r="D31693" s="38" t="str">
        <f>IFERROR(__xludf.DUMMYFUNCTION("REGEXREPLACE(C31693,""-\d+(.*)|--\d+(.*)"","""")"),"GUINARTHE-PARENTIES")</f>
        <v>GUINARTHE-PARENTIES</v>
      </c>
      <c r="E31693" s="38" t="s">
        <v>268</v>
      </c>
      <c r="F31693" s="38" t="s">
        <v>252</v>
      </c>
      <c r="G31693" s="49" t="str">
        <f t="shared" si="1"/>
        <v>64390</v>
      </c>
      <c r="H31693" s="49">
        <f t="shared" si="2"/>
        <v>64251</v>
      </c>
    </row>
    <row r="31694">
      <c r="A31694" s="48" t="s">
        <v>3637</v>
      </c>
      <c r="B31694" s="38">
        <v>63364.0</v>
      </c>
      <c r="C31694" s="38" t="s">
        <v>36023</v>
      </c>
      <c r="D31694" s="38" t="str">
        <f>IFERROR(__xludf.DUMMYFUNCTION("REGEXREPLACE(C31694,""-\d+(.*)|--\d+(.*)"","""")"),"SAINT-JEAN-D'HEURS")</f>
        <v>SAINT-JEAN-D'HEURS</v>
      </c>
      <c r="E31694" s="38" t="s">
        <v>353</v>
      </c>
      <c r="F31694" s="38" t="s">
        <v>161</v>
      </c>
      <c r="G31694" s="49" t="str">
        <f t="shared" si="1"/>
        <v>63190</v>
      </c>
      <c r="H31694" s="49">
        <f t="shared" si="2"/>
        <v>63364</v>
      </c>
    </row>
    <row r="31695">
      <c r="A31695" s="48" t="s">
        <v>36024</v>
      </c>
      <c r="B31695" s="38">
        <v>94042.0</v>
      </c>
      <c r="C31695" s="38" t="s">
        <v>36025</v>
      </c>
      <c r="D31695" s="38" t="str">
        <f>IFERROR(__xludf.DUMMYFUNCTION("REGEXREPLACE(C31695,""-\d+(.*)|--\d+(.*)"","""")"),"JOINVILLE-LE-PONT")</f>
        <v>JOINVILLE-LE-PONT</v>
      </c>
      <c r="E31695" s="38" t="s">
        <v>561</v>
      </c>
      <c r="F31695" s="38" t="s">
        <v>245</v>
      </c>
      <c r="G31695" s="49" t="str">
        <f t="shared" si="1"/>
        <v>94340</v>
      </c>
      <c r="H31695" s="49">
        <f t="shared" si="2"/>
        <v>94042</v>
      </c>
    </row>
    <row r="31696">
      <c r="A31696" s="48" t="s">
        <v>1452</v>
      </c>
      <c r="B31696" s="38">
        <v>55189.0</v>
      </c>
      <c r="C31696" s="38" t="s">
        <v>36026</v>
      </c>
      <c r="D31696" s="38" t="str">
        <f>IFERROR(__xludf.DUMMYFUNCTION("REGEXREPLACE(C31696,""-\d+(.*)|--\d+(.*)"","""")"),"FLEURY-DEVANT-DOUAUMONT")</f>
        <v>FLEURY-DEVANT-DOUAUMONT</v>
      </c>
      <c r="E31696" s="38" t="s">
        <v>322</v>
      </c>
      <c r="F31696" s="38" t="s">
        <v>195</v>
      </c>
      <c r="G31696" s="49" t="str">
        <f t="shared" si="1"/>
        <v>55100</v>
      </c>
      <c r="H31696" s="49">
        <f t="shared" si="2"/>
        <v>55189</v>
      </c>
    </row>
    <row r="31697">
      <c r="A31697" s="48" t="s">
        <v>4267</v>
      </c>
      <c r="B31697" s="38">
        <v>62823.0</v>
      </c>
      <c r="C31697" s="38" t="s">
        <v>17304</v>
      </c>
      <c r="D31697" s="38" t="str">
        <f>IFERROR(__xludf.DUMMYFUNCTION("REGEXREPLACE(C31697,""-\d+(.*)|--\d+(.*)"","""")"),"TORCY")</f>
        <v>TORCY</v>
      </c>
      <c r="E31697" s="38" t="s">
        <v>109</v>
      </c>
      <c r="F31697" s="38" t="s">
        <v>86</v>
      </c>
      <c r="G31697" s="49" t="str">
        <f t="shared" si="1"/>
        <v>62310</v>
      </c>
      <c r="H31697" s="49">
        <f t="shared" si="2"/>
        <v>62823</v>
      </c>
    </row>
    <row r="31698">
      <c r="A31698" s="48" t="s">
        <v>3804</v>
      </c>
      <c r="B31698" s="38">
        <v>80569.0</v>
      </c>
      <c r="C31698" s="38" t="s">
        <v>9162</v>
      </c>
      <c r="D31698" s="38" t="str">
        <f>IFERROR(__xludf.DUMMYFUNCTION("REGEXREPLACE(C31698,""-\d+(.*)|--\d+(.*)"","""")"),"MORCOURT")</f>
        <v>MORCOURT</v>
      </c>
      <c r="E31698" s="38" t="s">
        <v>224</v>
      </c>
      <c r="F31698" s="38" t="s">
        <v>113</v>
      </c>
      <c r="G31698" s="49" t="str">
        <f t="shared" si="1"/>
        <v>80340</v>
      </c>
      <c r="H31698" s="49">
        <f t="shared" si="2"/>
        <v>80569</v>
      </c>
    </row>
    <row r="31699">
      <c r="A31699" s="48" t="s">
        <v>8287</v>
      </c>
      <c r="B31699" s="38">
        <v>31460.0</v>
      </c>
      <c r="C31699" s="38" t="s">
        <v>36027</v>
      </c>
      <c r="D31699" s="38" t="str">
        <f>IFERROR(__xludf.DUMMYFUNCTION("REGEXREPLACE(C31699,""-\d+(.*)|--\d+(.*)"","""")"),"ROQUETTES")</f>
        <v>ROQUETTES</v>
      </c>
      <c r="E31699" s="38" t="s">
        <v>93</v>
      </c>
      <c r="F31699" s="38" t="s">
        <v>94</v>
      </c>
      <c r="G31699" s="49" t="str">
        <f t="shared" si="1"/>
        <v>31120</v>
      </c>
      <c r="H31699" s="49">
        <f t="shared" si="2"/>
        <v>31460</v>
      </c>
    </row>
    <row r="31700">
      <c r="A31700" s="48" t="s">
        <v>5330</v>
      </c>
      <c r="B31700" s="38">
        <v>30168.0</v>
      </c>
      <c r="C31700" s="38" t="s">
        <v>35380</v>
      </c>
      <c r="D31700" s="38" t="str">
        <f>IFERROR(__xludf.DUMMYFUNCTION("REGEXREPLACE(C31700,""-\d+(.*)|--\d+(.*)"","""")"),"MIALET")</f>
        <v>MIALET</v>
      </c>
      <c r="E31700" s="38" t="s">
        <v>526</v>
      </c>
      <c r="F31700" s="38" t="s">
        <v>119</v>
      </c>
      <c r="G31700" s="49" t="str">
        <f t="shared" si="1"/>
        <v>30140</v>
      </c>
      <c r="H31700" s="49">
        <f t="shared" si="2"/>
        <v>30168</v>
      </c>
    </row>
    <row r="31701">
      <c r="A31701" s="48" t="s">
        <v>4830</v>
      </c>
      <c r="B31701" s="38">
        <v>61428.0</v>
      </c>
      <c r="C31701" s="38" t="s">
        <v>36028</v>
      </c>
      <c r="D31701" s="38" t="str">
        <f>IFERROR(__xludf.DUMMYFUNCTION("REGEXREPLACE(C31701,""-\d+(.*)|--\d+(.*)"","""")"),"SAINT-MAURICE-DU-DESERT")</f>
        <v>SAINT-MAURICE-DU-DESERT</v>
      </c>
      <c r="E31701" s="38" t="s">
        <v>141</v>
      </c>
      <c r="F31701" s="38" t="s">
        <v>138</v>
      </c>
      <c r="G31701" s="49" t="str">
        <f t="shared" si="1"/>
        <v>61600</v>
      </c>
      <c r="H31701" s="49">
        <f t="shared" si="2"/>
        <v>61428</v>
      </c>
    </row>
    <row r="31702">
      <c r="A31702" s="48" t="s">
        <v>3539</v>
      </c>
      <c r="B31702" s="38">
        <v>54398.0</v>
      </c>
      <c r="C31702" s="38" t="s">
        <v>36029</v>
      </c>
      <c r="D31702" s="38" t="str">
        <f>IFERROR(__xludf.DUMMYFUNCTION("REGEXREPLACE(C31702,""-\d+(.*)|--\d+(.*)"","""")"),"NEUVILLER-LES-BADONVILLER")</f>
        <v>NEUVILLER-LES-BADONVILLER</v>
      </c>
      <c r="E31702" s="38" t="s">
        <v>548</v>
      </c>
      <c r="F31702" s="38" t="s">
        <v>195</v>
      </c>
      <c r="G31702" s="49" t="str">
        <f t="shared" si="1"/>
        <v>54540</v>
      </c>
      <c r="H31702" s="49">
        <f t="shared" si="2"/>
        <v>54398</v>
      </c>
    </row>
    <row r="31703">
      <c r="A31703" s="48" t="s">
        <v>19465</v>
      </c>
      <c r="B31703" s="38">
        <v>16227.0</v>
      </c>
      <c r="C31703" s="38" t="s">
        <v>36030</v>
      </c>
      <c r="D31703" s="38" t="str">
        <f>IFERROR(__xludf.DUMMYFUNCTION("REGEXREPLACE(C31703,""-\d+(.*)|--\d+(.*)"","""")"),"MONTIGNAC-LE-COQ")</f>
        <v>MONTIGNAC-LE-COQ</v>
      </c>
      <c r="E31703" s="38" t="s">
        <v>429</v>
      </c>
      <c r="F31703" s="38" t="s">
        <v>338</v>
      </c>
      <c r="G31703" s="49" t="str">
        <f t="shared" si="1"/>
        <v>16390</v>
      </c>
      <c r="H31703" s="49">
        <f t="shared" si="2"/>
        <v>16227</v>
      </c>
    </row>
    <row r="31704">
      <c r="A31704" s="48" t="s">
        <v>3789</v>
      </c>
      <c r="B31704" s="38">
        <v>51007.0</v>
      </c>
      <c r="C31704" s="38" t="s">
        <v>36031</v>
      </c>
      <c r="D31704" s="38" t="str">
        <f>IFERROR(__xludf.DUMMYFUNCTION("REGEXREPLACE(C31704,""-\d+(.*)|--\d+(.*)"","""")"),"AMBONNAY")</f>
        <v>AMBONNAY</v>
      </c>
      <c r="E31704" s="38" t="s">
        <v>129</v>
      </c>
      <c r="F31704" s="38" t="s">
        <v>130</v>
      </c>
      <c r="G31704" s="49" t="str">
        <f t="shared" si="1"/>
        <v>51150</v>
      </c>
      <c r="H31704" s="49">
        <f t="shared" si="2"/>
        <v>51007</v>
      </c>
    </row>
    <row r="31705">
      <c r="A31705" s="48" t="s">
        <v>333</v>
      </c>
      <c r="B31705" s="38">
        <v>43067.0</v>
      </c>
      <c r="C31705" s="38" t="s">
        <v>36032</v>
      </c>
      <c r="D31705" s="38" t="str">
        <f>IFERROR(__xludf.DUMMYFUNCTION("REGEXREPLACE(C31705,""-\d+(.*)|--\d+(.*)"","""")"),"CHAVANIAC-LAFAYETTE")</f>
        <v>CHAVANIAC-LAFAYETTE</v>
      </c>
      <c r="E31705" s="38" t="s">
        <v>332</v>
      </c>
      <c r="F31705" s="38" t="s">
        <v>161</v>
      </c>
      <c r="G31705" s="49" t="str">
        <f t="shared" si="1"/>
        <v>43230</v>
      </c>
      <c r="H31705" s="49">
        <f t="shared" si="2"/>
        <v>43067</v>
      </c>
    </row>
    <row r="31706">
      <c r="A31706" s="48" t="s">
        <v>3651</v>
      </c>
      <c r="B31706" s="38">
        <v>19069.0</v>
      </c>
      <c r="C31706" s="38" t="s">
        <v>36033</v>
      </c>
      <c r="D31706" s="38" t="str">
        <f>IFERROR(__xludf.DUMMYFUNCTION("REGEXREPLACE(C31706,""-\d+(.*)|--\d+(.*)"","""")"),"DARAZAC")</f>
        <v>DARAZAC</v>
      </c>
      <c r="E31706" s="38" t="s">
        <v>271</v>
      </c>
      <c r="F31706" s="38" t="s">
        <v>98</v>
      </c>
      <c r="G31706" s="49" t="str">
        <f t="shared" si="1"/>
        <v>19220</v>
      </c>
      <c r="H31706" s="49">
        <f t="shared" si="2"/>
        <v>19069</v>
      </c>
    </row>
    <row r="31707">
      <c r="A31707" s="48" t="s">
        <v>3714</v>
      </c>
      <c r="B31707" s="38">
        <v>28309.0</v>
      </c>
      <c r="C31707" s="38" t="s">
        <v>36034</v>
      </c>
      <c r="D31707" s="38" t="str">
        <f>IFERROR(__xludf.DUMMYFUNCTION("REGEXREPLACE(C31707,""-\d+(.*)|--\d+(.*)"","""")"),"PRUNAY-LE-GILLON")</f>
        <v>PRUNAY-LE-GILLON</v>
      </c>
      <c r="E31707" s="38" t="s">
        <v>300</v>
      </c>
      <c r="F31707" s="38" t="s">
        <v>123</v>
      </c>
      <c r="G31707" s="49" t="str">
        <f t="shared" si="1"/>
        <v>28360</v>
      </c>
      <c r="H31707" s="49">
        <f t="shared" si="2"/>
        <v>28309</v>
      </c>
    </row>
    <row r="31708">
      <c r="A31708" s="48" t="s">
        <v>3810</v>
      </c>
      <c r="B31708" s="38">
        <v>77098.0</v>
      </c>
      <c r="C31708" s="38" t="s">
        <v>36035</v>
      </c>
      <c r="D31708" s="38" t="str">
        <f>IFERROR(__xludf.DUMMYFUNCTION("REGEXREPLACE(C31708,""-\d+(.*)|--\d+(.*)"","""")"),"CHATEAUBLEAU")</f>
        <v>CHATEAUBLEAU</v>
      </c>
      <c r="E31708" s="38" t="s">
        <v>244</v>
      </c>
      <c r="F31708" s="38" t="s">
        <v>245</v>
      </c>
      <c r="G31708" s="49" t="str">
        <f t="shared" si="1"/>
        <v>77370</v>
      </c>
      <c r="H31708" s="49">
        <f t="shared" si="2"/>
        <v>77098</v>
      </c>
    </row>
    <row r="31709">
      <c r="A31709" s="48" t="s">
        <v>958</v>
      </c>
      <c r="B31709" s="38">
        <v>71077.0</v>
      </c>
      <c r="C31709" s="38" t="s">
        <v>36036</v>
      </c>
      <c r="D31709" s="38" t="str">
        <f>IFERROR(__xludf.DUMMYFUNCTION("REGEXREPLACE(C31709,""-\d+(.*)|--\d+(.*)"","""")"),"CHAMBILLY")</f>
        <v>CHAMBILLY</v>
      </c>
      <c r="E31709" s="38" t="s">
        <v>344</v>
      </c>
      <c r="F31709" s="38" t="s">
        <v>106</v>
      </c>
      <c r="G31709" s="49" t="str">
        <f t="shared" si="1"/>
        <v>71110</v>
      </c>
      <c r="H31709" s="49">
        <f t="shared" si="2"/>
        <v>71077</v>
      </c>
    </row>
    <row r="31710">
      <c r="A31710" s="48" t="s">
        <v>8042</v>
      </c>
      <c r="B31710" s="38">
        <v>26002.0</v>
      </c>
      <c r="C31710" s="38" t="s">
        <v>36037</v>
      </c>
      <c r="D31710" s="38" t="str">
        <f>IFERROR(__xludf.DUMMYFUNCTION("REGEXREPLACE(C31710,""-\d+(.*)|--\d+(.*)"","""")"),"ALBON")</f>
        <v>ALBON</v>
      </c>
      <c r="E31710" s="38" t="s">
        <v>126</v>
      </c>
      <c r="F31710" s="38" t="s">
        <v>102</v>
      </c>
      <c r="G31710" s="49" t="str">
        <f t="shared" si="1"/>
        <v>26140</v>
      </c>
      <c r="H31710" s="49">
        <f t="shared" si="2"/>
        <v>26002</v>
      </c>
    </row>
    <row r="31711">
      <c r="A31711" s="48" t="s">
        <v>13080</v>
      </c>
      <c r="B31711" s="38">
        <v>71409.0</v>
      </c>
      <c r="C31711" s="38" t="s">
        <v>36038</v>
      </c>
      <c r="D31711" s="38" t="str">
        <f>IFERROR(__xludf.DUMMYFUNCTION("REGEXREPLACE(C31711,""-\d+(.*)|--\d+(.*)"","""")"),"SAINT-EMILAND")</f>
        <v>SAINT-EMILAND</v>
      </c>
      <c r="E31711" s="38" t="s">
        <v>344</v>
      </c>
      <c r="F31711" s="38" t="s">
        <v>106</v>
      </c>
      <c r="G31711" s="49" t="str">
        <f t="shared" si="1"/>
        <v>71490</v>
      </c>
      <c r="H31711" s="49">
        <f t="shared" si="2"/>
        <v>71409</v>
      </c>
    </row>
    <row r="31712">
      <c r="A31712" s="48" t="s">
        <v>3596</v>
      </c>
      <c r="B31712" s="38">
        <v>25204.0</v>
      </c>
      <c r="C31712" s="38" t="s">
        <v>36039</v>
      </c>
      <c r="D31712" s="38" t="str">
        <f>IFERROR(__xludf.DUMMYFUNCTION("REGEXREPLACE(C31712,""-\d+(.*)|--\d+(.*)"","""")"),"DOUBS")</f>
        <v>DOUBS</v>
      </c>
      <c r="E31712" s="38" t="s">
        <v>213</v>
      </c>
      <c r="F31712" s="38" t="s">
        <v>214</v>
      </c>
      <c r="G31712" s="49" t="str">
        <f t="shared" si="1"/>
        <v>25300</v>
      </c>
      <c r="H31712" s="49">
        <f t="shared" si="2"/>
        <v>25204</v>
      </c>
    </row>
    <row r="31713">
      <c r="A31713" s="48" t="s">
        <v>1531</v>
      </c>
      <c r="B31713" s="38">
        <v>65277.0</v>
      </c>
      <c r="C31713" s="38" t="s">
        <v>36040</v>
      </c>
      <c r="D31713" s="38" t="str">
        <f>IFERROR(__xludf.DUMMYFUNCTION("REGEXREPLACE(C31713,""-\d+(.*)|--\d+(.*)"","""")"),"LOMBRES")</f>
        <v>LOMBRES</v>
      </c>
      <c r="E31713" s="38" t="s">
        <v>200</v>
      </c>
      <c r="F31713" s="38" t="s">
        <v>94</v>
      </c>
      <c r="G31713" s="49" t="str">
        <f t="shared" si="1"/>
        <v>65150</v>
      </c>
      <c r="H31713" s="49">
        <f t="shared" si="2"/>
        <v>65277</v>
      </c>
    </row>
    <row r="31714">
      <c r="A31714" s="48" t="s">
        <v>557</v>
      </c>
      <c r="B31714" s="38">
        <v>16106.0</v>
      </c>
      <c r="C31714" s="38" t="s">
        <v>36041</v>
      </c>
      <c r="D31714" s="38" t="str">
        <f>IFERROR(__xludf.DUMMYFUNCTION("REGEXREPLACE(C31714,""-\d+(.*)|--\d+(.*)"","""")"),"CONFOLENS")</f>
        <v>CONFOLENS</v>
      </c>
      <c r="E31714" s="38" t="s">
        <v>429</v>
      </c>
      <c r="F31714" s="38" t="s">
        <v>338</v>
      </c>
      <c r="G31714" s="49" t="str">
        <f t="shared" si="1"/>
        <v>16500</v>
      </c>
      <c r="H31714" s="49">
        <f t="shared" si="2"/>
        <v>16106</v>
      </c>
    </row>
    <row r="31715">
      <c r="A31715" s="48" t="s">
        <v>28196</v>
      </c>
      <c r="B31715" s="38">
        <v>82149.0</v>
      </c>
      <c r="C31715" s="38" t="s">
        <v>36042</v>
      </c>
      <c r="D31715" s="38" t="str">
        <f>IFERROR(__xludf.DUMMYFUNCTION("REGEXREPLACE(C31715,""-\d+(.*)|--\d+(.*)"","""")"),"REALVILLE")</f>
        <v>REALVILLE</v>
      </c>
      <c r="E31715" s="38" t="s">
        <v>570</v>
      </c>
      <c r="F31715" s="38" t="s">
        <v>94</v>
      </c>
      <c r="G31715" s="49" t="str">
        <f t="shared" si="1"/>
        <v>82440</v>
      </c>
      <c r="H31715" s="49">
        <f t="shared" si="2"/>
        <v>82149</v>
      </c>
    </row>
    <row r="31716">
      <c r="A31716" s="48" t="s">
        <v>958</v>
      </c>
      <c r="B31716" s="38">
        <v>71510.0</v>
      </c>
      <c r="C31716" s="38" t="s">
        <v>36043</v>
      </c>
      <c r="D31716" s="38" t="str">
        <f>IFERROR(__xludf.DUMMYFUNCTION("REGEXREPLACE(C31716,""-\d+(.*)|--\d+(.*)"","""")"),"SEMUR-EN-BRIONNAIS")</f>
        <v>SEMUR-EN-BRIONNAIS</v>
      </c>
      <c r="E31716" s="38" t="s">
        <v>344</v>
      </c>
      <c r="F31716" s="38" t="s">
        <v>106</v>
      </c>
      <c r="G31716" s="49" t="str">
        <f t="shared" si="1"/>
        <v>71110</v>
      </c>
      <c r="H31716" s="49">
        <f t="shared" si="2"/>
        <v>71510</v>
      </c>
    </row>
    <row r="31717">
      <c r="A31717" s="48" t="s">
        <v>4941</v>
      </c>
      <c r="B31717" s="38">
        <v>89086.0</v>
      </c>
      <c r="C31717" s="38" t="s">
        <v>20018</v>
      </c>
      <c r="D31717" s="38" t="str">
        <f>IFERROR(__xludf.DUMMYFUNCTION("REGEXREPLACE(C31717,""-\d+(.*)|--\d+(.*)"","""")"),"CHARNY")</f>
        <v>CHARNY</v>
      </c>
      <c r="E31717" s="38" t="s">
        <v>275</v>
      </c>
      <c r="F31717" s="38" t="s">
        <v>106</v>
      </c>
      <c r="G31717" s="49" t="str">
        <f t="shared" si="1"/>
        <v>89120</v>
      </c>
      <c r="H31717" s="49">
        <f t="shared" si="2"/>
        <v>89086</v>
      </c>
    </row>
    <row r="31718">
      <c r="A31718" s="48" t="s">
        <v>5525</v>
      </c>
      <c r="B31718" s="38">
        <v>10232.0</v>
      </c>
      <c r="C31718" s="38" t="s">
        <v>36044</v>
      </c>
      <c r="D31718" s="38" t="str">
        <f>IFERROR(__xludf.DUMMYFUNCTION("REGEXREPLACE(C31718,""-\d+(.*)|--\d+(.*)"","""")"),"MERREY-SUR-ARCE")</f>
        <v>MERREY-SUR-ARCE</v>
      </c>
      <c r="E31718" s="38" t="s">
        <v>147</v>
      </c>
      <c r="F31718" s="38" t="s">
        <v>130</v>
      </c>
      <c r="G31718" s="49" t="str">
        <f t="shared" si="1"/>
        <v>10110</v>
      </c>
      <c r="H31718" s="49">
        <f t="shared" si="2"/>
        <v>10232</v>
      </c>
    </row>
    <row r="31719">
      <c r="A31719" s="48" t="s">
        <v>423</v>
      </c>
      <c r="B31719" s="38">
        <v>2506.0</v>
      </c>
      <c r="C31719" s="38" t="s">
        <v>36045</v>
      </c>
      <c r="D31719" s="38" t="str">
        <f>IFERROR(__xludf.DUMMYFUNCTION("REGEXREPLACE(C31719,""-\d+(.*)|--\d+(.*)"","""")"),"MONTGOBERT")</f>
        <v>MONTGOBERT</v>
      </c>
      <c r="E31719" s="38" t="s">
        <v>191</v>
      </c>
      <c r="F31719" s="38" t="s">
        <v>113</v>
      </c>
      <c r="G31719" s="49" t="str">
        <f t="shared" si="1"/>
        <v>02600</v>
      </c>
      <c r="H31719" s="49" t="str">
        <f t="shared" si="2"/>
        <v>02506</v>
      </c>
    </row>
    <row r="31720">
      <c r="A31720" s="48" t="s">
        <v>315</v>
      </c>
      <c r="B31720" s="38">
        <v>27456.0</v>
      </c>
      <c r="C31720" s="38" t="s">
        <v>36046</v>
      </c>
      <c r="D31720" s="38" t="str">
        <f>IFERROR(__xludf.DUMMYFUNCTION("REGEXREPLACE(C31720,""-\d+(.*)|--\d+(.*)"","""")"),"PINTERVILLE")</f>
        <v>PINTERVILLE</v>
      </c>
      <c r="E31720" s="38" t="s">
        <v>241</v>
      </c>
      <c r="F31720" s="38" t="s">
        <v>134</v>
      </c>
      <c r="G31720" s="49" t="str">
        <f t="shared" si="1"/>
        <v>27400</v>
      </c>
      <c r="H31720" s="49">
        <f t="shared" si="2"/>
        <v>27456</v>
      </c>
    </row>
    <row r="31721">
      <c r="A31721" s="48" t="s">
        <v>3046</v>
      </c>
      <c r="B31721" s="38">
        <v>70026.0</v>
      </c>
      <c r="C31721" s="38" t="s">
        <v>36047</v>
      </c>
      <c r="D31721" s="38" t="str">
        <f>IFERROR(__xludf.DUMMYFUNCTION("REGEXREPLACE(C31721,""-\d+(.*)|--\d+(.*)"","""")"),"ARC-LES-GRAY")</f>
        <v>ARC-LES-GRAY</v>
      </c>
      <c r="E31721" s="38" t="s">
        <v>956</v>
      </c>
      <c r="F31721" s="38" t="s">
        <v>214</v>
      </c>
      <c r="G31721" s="49" t="str">
        <f t="shared" si="1"/>
        <v>70100</v>
      </c>
      <c r="H31721" s="49">
        <f t="shared" si="2"/>
        <v>70026</v>
      </c>
    </row>
    <row r="31722">
      <c r="A31722" s="48" t="s">
        <v>4272</v>
      </c>
      <c r="B31722" s="38">
        <v>76139.0</v>
      </c>
      <c r="C31722" s="38" t="s">
        <v>36048</v>
      </c>
      <c r="D31722" s="38" t="str">
        <f>IFERROR(__xludf.DUMMYFUNCTION("REGEXREPLACE(C31722,""-\d+(.*)|--\d+(.*)"","""")"),"BRADIANCOURT")</f>
        <v>BRADIANCOURT</v>
      </c>
      <c r="E31722" s="38" t="s">
        <v>133</v>
      </c>
      <c r="F31722" s="38" t="s">
        <v>134</v>
      </c>
      <c r="G31722" s="49" t="str">
        <f t="shared" si="1"/>
        <v>76680</v>
      </c>
      <c r="H31722" s="49">
        <f t="shared" si="2"/>
        <v>76139</v>
      </c>
    </row>
    <row r="31723">
      <c r="A31723" s="48" t="s">
        <v>2366</v>
      </c>
      <c r="B31723" s="38">
        <v>29038.0</v>
      </c>
      <c r="C31723" s="38" t="s">
        <v>36049</v>
      </c>
      <c r="D31723" s="38" t="str">
        <f>IFERROR(__xludf.DUMMYFUNCTION("REGEXREPLACE(C31723,""-\d+(.*)|--\d+(.*)"","""")"),"COMMANA")</f>
        <v>COMMANA</v>
      </c>
      <c r="E31723" s="38" t="s">
        <v>176</v>
      </c>
      <c r="F31723" s="38" t="s">
        <v>90</v>
      </c>
      <c r="G31723" s="49" t="str">
        <f t="shared" si="1"/>
        <v>29450</v>
      </c>
      <c r="H31723" s="49">
        <f t="shared" si="2"/>
        <v>29038</v>
      </c>
    </row>
    <row r="31724">
      <c r="A31724" s="48" t="s">
        <v>6078</v>
      </c>
      <c r="B31724" s="38">
        <v>10206.0</v>
      </c>
      <c r="C31724" s="38" t="s">
        <v>36050</v>
      </c>
      <c r="D31724" s="38" t="str">
        <f>IFERROR(__xludf.DUMMYFUNCTION("REGEXREPLACE(C31724,""-\d+(.*)|--\d+(.*)"","""")"),"LONGSOLS")</f>
        <v>LONGSOLS</v>
      </c>
      <c r="E31724" s="38" t="s">
        <v>147</v>
      </c>
      <c r="F31724" s="38" t="s">
        <v>130</v>
      </c>
      <c r="G31724" s="49" t="str">
        <f t="shared" si="1"/>
        <v>10240</v>
      </c>
      <c r="H31724" s="49">
        <f t="shared" si="2"/>
        <v>10206</v>
      </c>
    </row>
    <row r="31725">
      <c r="A31725" s="48" t="s">
        <v>5622</v>
      </c>
      <c r="B31725" s="38">
        <v>45036.0</v>
      </c>
      <c r="C31725" s="38" t="s">
        <v>36051</v>
      </c>
      <c r="D31725" s="38" t="str">
        <f>IFERROR(__xludf.DUMMYFUNCTION("REGEXREPLACE(C31725,""-\d+(.*)|--\d+(.*)"","""")"),"BOISMORAND")</f>
        <v>BOISMORAND</v>
      </c>
      <c r="E31725" s="38" t="s">
        <v>122</v>
      </c>
      <c r="F31725" s="38" t="s">
        <v>123</v>
      </c>
      <c r="G31725" s="49" t="str">
        <f t="shared" si="1"/>
        <v>45290</v>
      </c>
      <c r="H31725" s="49">
        <f t="shared" si="2"/>
        <v>45036</v>
      </c>
    </row>
    <row r="31726">
      <c r="A31726" s="48" t="s">
        <v>7760</v>
      </c>
      <c r="B31726" s="38">
        <v>54450.0</v>
      </c>
      <c r="C31726" s="38" t="s">
        <v>36052</v>
      </c>
      <c r="D31726" s="38" t="str">
        <f>IFERROR(__xludf.DUMMYFUNCTION("REGEXREPLACE(C31726,""-\d+(.*)|--\d+(.*)"","""")"),"REHERREY")</f>
        <v>REHERREY</v>
      </c>
      <c r="E31726" s="38" t="s">
        <v>548</v>
      </c>
      <c r="F31726" s="38" t="s">
        <v>195</v>
      </c>
      <c r="G31726" s="49" t="str">
        <f t="shared" si="1"/>
        <v>54120</v>
      </c>
      <c r="H31726" s="49">
        <f t="shared" si="2"/>
        <v>54450</v>
      </c>
    </row>
    <row r="31727">
      <c r="A31727" s="48" t="s">
        <v>8111</v>
      </c>
      <c r="B31727" s="38">
        <v>40100.0</v>
      </c>
      <c r="C31727" s="38" t="s">
        <v>36053</v>
      </c>
      <c r="D31727" s="38" t="str">
        <f>IFERROR(__xludf.DUMMYFUNCTION("REGEXREPLACE(C31727,""-\d+(.*)|--\d+(.*)"","""")"),"LE FRECHE")</f>
        <v>LE FRECHE</v>
      </c>
      <c r="E31727" s="38" t="s">
        <v>281</v>
      </c>
      <c r="F31727" s="38" t="s">
        <v>252</v>
      </c>
      <c r="G31727" s="49" t="str">
        <f t="shared" si="1"/>
        <v>40190</v>
      </c>
      <c r="H31727" s="49">
        <f t="shared" si="2"/>
        <v>40100</v>
      </c>
    </row>
    <row r="31728">
      <c r="A31728" s="48" t="s">
        <v>887</v>
      </c>
      <c r="B31728" s="38">
        <v>62840.0</v>
      </c>
      <c r="C31728" s="38" t="s">
        <v>36054</v>
      </c>
      <c r="D31728" s="38" t="str">
        <f>IFERROR(__xludf.DUMMYFUNCTION("REGEXREPLACE(C31728,""-\d+(.*)|--\d+(.*)"","""")"),"VELU")</f>
        <v>VELU</v>
      </c>
      <c r="E31728" s="38" t="s">
        <v>109</v>
      </c>
      <c r="F31728" s="38" t="s">
        <v>86</v>
      </c>
      <c r="G31728" s="49" t="str">
        <f t="shared" si="1"/>
        <v>62124</v>
      </c>
      <c r="H31728" s="49">
        <f t="shared" si="2"/>
        <v>62840</v>
      </c>
    </row>
    <row r="31729">
      <c r="A31729" s="48" t="s">
        <v>3628</v>
      </c>
      <c r="B31729" s="38">
        <v>16251.0</v>
      </c>
      <c r="C31729" s="38" t="s">
        <v>36055</v>
      </c>
      <c r="D31729" s="38" t="str">
        <f>IFERROR(__xludf.DUMMYFUNCTION("REGEXREPLACE(C31729,""-\d+(.*)|--\d+(.*)"","""")"),"ORIOLLES")</f>
        <v>ORIOLLES</v>
      </c>
      <c r="E31729" s="38" t="s">
        <v>429</v>
      </c>
      <c r="F31729" s="38" t="s">
        <v>338</v>
      </c>
      <c r="G31729" s="49" t="str">
        <f t="shared" si="1"/>
        <v>16480</v>
      </c>
      <c r="H31729" s="49">
        <f t="shared" si="2"/>
        <v>16251</v>
      </c>
    </row>
    <row r="31730">
      <c r="A31730" s="48" t="s">
        <v>1485</v>
      </c>
      <c r="B31730" s="38">
        <v>21698.0</v>
      </c>
      <c r="C31730" s="38" t="s">
        <v>36056</v>
      </c>
      <c r="D31730" s="38" t="str">
        <f>IFERROR(__xludf.DUMMYFUNCTION("REGEXREPLACE(C31730,""-\d+(.*)|--\d+(.*)"","""")"),"VILLERS-LA-FAYE")</f>
        <v>VILLERS-LA-FAYE</v>
      </c>
      <c r="E31730" s="38" t="s">
        <v>105</v>
      </c>
      <c r="F31730" s="38" t="s">
        <v>106</v>
      </c>
      <c r="G31730" s="49" t="str">
        <f t="shared" si="1"/>
        <v>21700</v>
      </c>
      <c r="H31730" s="49">
        <f t="shared" si="2"/>
        <v>21698</v>
      </c>
    </row>
    <row r="31731">
      <c r="A31731" s="48" t="s">
        <v>3219</v>
      </c>
      <c r="B31731" s="38">
        <v>22369.0</v>
      </c>
      <c r="C31731" s="38" t="s">
        <v>36057</v>
      </c>
      <c r="D31731" s="38" t="str">
        <f>IFERROR(__xludf.DUMMYFUNCTION("REGEXREPLACE(C31731,""-\d+(.*)|--\d+(.*)"","""")"),"TREMEUR")</f>
        <v>TREMEUR</v>
      </c>
      <c r="E31731" s="38" t="s">
        <v>89</v>
      </c>
      <c r="F31731" s="38" t="s">
        <v>90</v>
      </c>
      <c r="G31731" s="49" t="str">
        <f t="shared" si="1"/>
        <v>22250</v>
      </c>
      <c r="H31731" s="49">
        <f t="shared" si="2"/>
        <v>22369</v>
      </c>
    </row>
    <row r="31732">
      <c r="A31732" s="48" t="s">
        <v>36058</v>
      </c>
      <c r="B31732" s="38">
        <v>93029.0</v>
      </c>
      <c r="C31732" s="38" t="s">
        <v>36059</v>
      </c>
      <c r="D31732" s="38" t="str">
        <f>IFERROR(__xludf.DUMMYFUNCTION("REGEXREPLACE(C31732,""-\d+(.*)|--\d+(.*)"","""")"),"DRANCY")</f>
        <v>DRANCY</v>
      </c>
      <c r="E31732" s="38" t="s">
        <v>341</v>
      </c>
      <c r="F31732" s="38" t="s">
        <v>245</v>
      </c>
      <c r="G31732" s="49" t="str">
        <f t="shared" si="1"/>
        <v>93700</v>
      </c>
      <c r="H31732" s="49">
        <f t="shared" si="2"/>
        <v>93029</v>
      </c>
    </row>
    <row r="31733">
      <c r="A31733" s="48" t="s">
        <v>36060</v>
      </c>
      <c r="B31733" s="38">
        <v>17452.0</v>
      </c>
      <c r="C31733" s="38" t="s">
        <v>36061</v>
      </c>
      <c r="D31733" s="38" t="str">
        <f>IFERROR(__xludf.DUMMYFUNCTION("REGEXREPLACE(C31733,""-\d+(.*)|--\d+(.*)"","""")"),"LA TREMBLADE")</f>
        <v>LA TREMBLADE</v>
      </c>
      <c r="E31733" s="38" t="s">
        <v>488</v>
      </c>
      <c r="F31733" s="38" t="s">
        <v>338</v>
      </c>
      <c r="G31733" s="49" t="str">
        <f t="shared" si="1"/>
        <v>17390</v>
      </c>
      <c r="H31733" s="49">
        <f t="shared" si="2"/>
        <v>17452</v>
      </c>
    </row>
    <row r="31734">
      <c r="A31734" s="48" t="s">
        <v>4497</v>
      </c>
      <c r="B31734" s="38">
        <v>25229.0</v>
      </c>
      <c r="C31734" s="38" t="s">
        <v>36062</v>
      </c>
      <c r="D31734" s="38" t="str">
        <f>IFERROR(__xludf.DUMMYFUNCTION("REGEXREPLACE(C31734,""-\d+(.*)|--\d+(.*)"","""")"),"EVILLERS")</f>
        <v>EVILLERS</v>
      </c>
      <c r="E31734" s="38" t="s">
        <v>213</v>
      </c>
      <c r="F31734" s="38" t="s">
        <v>214</v>
      </c>
      <c r="G31734" s="49" t="str">
        <f t="shared" si="1"/>
        <v>25520</v>
      </c>
      <c r="H31734" s="49">
        <f t="shared" si="2"/>
        <v>25229</v>
      </c>
    </row>
    <row r="31735">
      <c r="A31735" s="48" t="s">
        <v>8883</v>
      </c>
      <c r="B31735" s="38">
        <v>39525.0</v>
      </c>
      <c r="C31735" s="38" t="s">
        <v>36063</v>
      </c>
      <c r="D31735" s="38" t="str">
        <f>IFERROR(__xludf.DUMMYFUNCTION("REGEXREPLACE(C31735,""-\d+(.*)|--\d+(.*)"","""")"),"TASSENIERES")</f>
        <v>TASSENIERES</v>
      </c>
      <c r="E31735" s="38" t="s">
        <v>400</v>
      </c>
      <c r="F31735" s="38" t="s">
        <v>214</v>
      </c>
      <c r="G31735" s="49" t="str">
        <f t="shared" si="1"/>
        <v>39120</v>
      </c>
      <c r="H31735" s="49">
        <f t="shared" si="2"/>
        <v>39525</v>
      </c>
    </row>
    <row r="31736">
      <c r="A31736" s="48" t="s">
        <v>5870</v>
      </c>
      <c r="B31736" s="38">
        <v>12278.0</v>
      </c>
      <c r="C31736" s="38" t="s">
        <v>28246</v>
      </c>
      <c r="D31736" s="38" t="str">
        <f>IFERROR(__xludf.DUMMYFUNCTION("REGEXREPLACE(C31736,""-\d+(.*)|--\d+(.*)"","""")"),"TAYRAC")</f>
        <v>TAYRAC</v>
      </c>
      <c r="E31736" s="38" t="s">
        <v>465</v>
      </c>
      <c r="F31736" s="38" t="s">
        <v>94</v>
      </c>
      <c r="G31736" s="49" t="str">
        <f t="shared" si="1"/>
        <v>12440</v>
      </c>
      <c r="H31736" s="49">
        <f t="shared" si="2"/>
        <v>12278</v>
      </c>
    </row>
    <row r="31737">
      <c r="A31737" s="48" t="s">
        <v>3532</v>
      </c>
      <c r="B31737" s="38">
        <v>2387.0</v>
      </c>
      <c r="C31737" s="38" t="s">
        <v>36064</v>
      </c>
      <c r="D31737" s="38" t="str">
        <f>IFERROR(__xludf.DUMMYFUNCTION("REGEXREPLACE(C31737,""-\d+(.*)|--\d+(.*)"","""")"),"ITANCOURT")</f>
        <v>ITANCOURT</v>
      </c>
      <c r="E31737" s="38" t="s">
        <v>191</v>
      </c>
      <c r="F31737" s="38" t="s">
        <v>113</v>
      </c>
      <c r="G31737" s="49" t="str">
        <f t="shared" si="1"/>
        <v>02240</v>
      </c>
      <c r="H31737" s="49" t="str">
        <f t="shared" si="2"/>
        <v>02387</v>
      </c>
    </row>
    <row r="31738">
      <c r="A31738" s="48" t="s">
        <v>36065</v>
      </c>
      <c r="B31738" s="38">
        <v>5101.0</v>
      </c>
      <c r="C31738" s="38" t="s">
        <v>36066</v>
      </c>
      <c r="D31738" s="38" t="str">
        <f>IFERROR(__xludf.DUMMYFUNCTION("REGEXREPLACE(C31738,""-\d+(.*)|--\d+(.*)"","""")"),"PELVOUX")</f>
        <v>PELVOUX</v>
      </c>
      <c r="E31738" s="38" t="s">
        <v>706</v>
      </c>
      <c r="F31738" s="38" t="s">
        <v>228</v>
      </c>
      <c r="G31738" s="49" t="str">
        <f t="shared" si="1"/>
        <v>05340</v>
      </c>
      <c r="H31738" s="49" t="str">
        <f t="shared" si="2"/>
        <v>05101</v>
      </c>
    </row>
    <row r="31739">
      <c r="A31739" s="48" t="s">
        <v>4499</v>
      </c>
      <c r="B31739" s="38">
        <v>25336.0</v>
      </c>
      <c r="C31739" s="38" t="s">
        <v>36067</v>
      </c>
      <c r="D31739" s="38" t="str">
        <f>IFERROR(__xludf.DUMMYFUNCTION("REGEXREPLACE(C31739,""-\d+(.*)|--\d+(.*)"","""")"),"LIESLE")</f>
        <v>LIESLE</v>
      </c>
      <c r="E31739" s="38" t="s">
        <v>213</v>
      </c>
      <c r="F31739" s="38" t="s">
        <v>214</v>
      </c>
      <c r="G31739" s="49" t="str">
        <f t="shared" si="1"/>
        <v>25440</v>
      </c>
      <c r="H31739" s="49">
        <f t="shared" si="2"/>
        <v>25336</v>
      </c>
    </row>
    <row r="31740">
      <c r="A31740" s="48" t="s">
        <v>5513</v>
      </c>
      <c r="B31740" s="38">
        <v>57410.0</v>
      </c>
      <c r="C31740" s="38" t="s">
        <v>36068</v>
      </c>
      <c r="D31740" s="38" t="str">
        <f>IFERROR(__xludf.DUMMYFUNCTION("REGEXREPLACE(C31740,""-\d+(.*)|--\d+(.*)"","""")"),"LHOR")</f>
        <v>LHOR</v>
      </c>
      <c r="E31740" s="38" t="s">
        <v>303</v>
      </c>
      <c r="F31740" s="38" t="s">
        <v>195</v>
      </c>
      <c r="G31740" s="49" t="str">
        <f t="shared" si="1"/>
        <v>57670</v>
      </c>
      <c r="H31740" s="49">
        <f t="shared" si="2"/>
        <v>57410</v>
      </c>
    </row>
    <row r="31741">
      <c r="A31741" s="48" t="s">
        <v>1868</v>
      </c>
      <c r="B31741" s="38">
        <v>86040.0</v>
      </c>
      <c r="C31741" s="38" t="s">
        <v>25585</v>
      </c>
      <c r="D31741" s="38" t="str">
        <f>IFERROR(__xludf.DUMMYFUNCTION("REGEXREPLACE(C31741,""-\d+(.*)|--\d+(.*)"","""")"),"LA BUSSIERE")</f>
        <v>LA BUSSIERE</v>
      </c>
      <c r="E31741" s="38" t="s">
        <v>529</v>
      </c>
      <c r="F31741" s="38" t="s">
        <v>338</v>
      </c>
      <c r="G31741" s="49" t="str">
        <f t="shared" si="1"/>
        <v>86310</v>
      </c>
      <c r="H31741" s="49">
        <f t="shared" si="2"/>
        <v>86040</v>
      </c>
    </row>
    <row r="31742">
      <c r="A31742" s="48" t="s">
        <v>7940</v>
      </c>
      <c r="B31742" s="38">
        <v>49281.0</v>
      </c>
      <c r="C31742" s="38" t="s">
        <v>36069</v>
      </c>
      <c r="D31742" s="38" t="str">
        <f>IFERROR(__xludf.DUMMYFUNCTION("REGEXREPLACE(C31742,""-\d+(.*)|--\d+(.*)"","""")"),"SAINT-GEORGES-DES-GARDES")</f>
        <v>SAINT-GEORGES-DES-GARDES</v>
      </c>
      <c r="E31742" s="38" t="s">
        <v>653</v>
      </c>
      <c r="F31742" s="38" t="s">
        <v>180</v>
      </c>
      <c r="G31742" s="49" t="str">
        <f t="shared" si="1"/>
        <v>49120</v>
      </c>
      <c r="H31742" s="49">
        <f t="shared" si="2"/>
        <v>49281</v>
      </c>
    </row>
    <row r="31743">
      <c r="A31743" s="48" t="s">
        <v>3279</v>
      </c>
      <c r="B31743" s="38">
        <v>26211.0</v>
      </c>
      <c r="C31743" s="38" t="s">
        <v>36070</v>
      </c>
      <c r="D31743" s="38" t="str">
        <f>IFERROR(__xludf.DUMMYFUNCTION("REGEXREPLACE(C31743,""-\d+(.*)|--\d+(.*)"","""")"),"MONTSEGUR-SUR-LAUZON")</f>
        <v>MONTSEGUR-SUR-LAUZON</v>
      </c>
      <c r="E31743" s="38" t="s">
        <v>126</v>
      </c>
      <c r="F31743" s="38" t="s">
        <v>102</v>
      </c>
      <c r="G31743" s="49" t="str">
        <f t="shared" si="1"/>
        <v>26130</v>
      </c>
      <c r="H31743" s="49">
        <f t="shared" si="2"/>
        <v>26211</v>
      </c>
    </row>
    <row r="31744">
      <c r="A31744" s="48" t="s">
        <v>36071</v>
      </c>
      <c r="B31744" s="38">
        <v>4192.0</v>
      </c>
      <c r="C31744" s="38" t="s">
        <v>36072</v>
      </c>
      <c r="D31744" s="38" t="str">
        <f>IFERROR(__xludf.DUMMYFUNCTION("REGEXREPLACE(C31744,""-\d+(.*)|--\d+(.*)"","""")"),"SAINT-MICHEL-L'OBSERVATOIRE")</f>
        <v>SAINT-MICHEL-L'OBSERVATOIRE</v>
      </c>
      <c r="E31744" s="38" t="s">
        <v>662</v>
      </c>
      <c r="F31744" s="38" t="s">
        <v>228</v>
      </c>
      <c r="G31744" s="49" t="str">
        <f t="shared" si="1"/>
        <v>04870</v>
      </c>
      <c r="H31744" s="49" t="str">
        <f t="shared" si="2"/>
        <v>04192</v>
      </c>
    </row>
    <row r="31745">
      <c r="A31745" s="48" t="s">
        <v>14721</v>
      </c>
      <c r="B31745" s="38">
        <v>27223.0</v>
      </c>
      <c r="C31745" s="38" t="s">
        <v>36073</v>
      </c>
      <c r="D31745" s="38" t="str">
        <f>IFERROR(__xludf.DUMMYFUNCTION("REGEXREPLACE(C31745,""-\d+(.*)|--\d+(.*)"","""")"),"EPREVILLE-EN-ROUMOIS")</f>
        <v>EPREVILLE-EN-ROUMOIS</v>
      </c>
      <c r="E31745" s="38" t="s">
        <v>241</v>
      </c>
      <c r="F31745" s="38" t="s">
        <v>134</v>
      </c>
      <c r="G31745" s="49" t="str">
        <f t="shared" si="1"/>
        <v>27310</v>
      </c>
      <c r="H31745" s="49">
        <f t="shared" si="2"/>
        <v>27223</v>
      </c>
    </row>
    <row r="31746">
      <c r="A31746" s="48" t="s">
        <v>36074</v>
      </c>
      <c r="B31746" s="38">
        <v>16061.0</v>
      </c>
      <c r="C31746" s="38" t="s">
        <v>4578</v>
      </c>
      <c r="D31746" s="38" t="str">
        <f>IFERROR(__xludf.DUMMYFUNCTION("REGEXREPLACE(C31746,""-\d+(.*)|--\d+(.*)"","""")"),"BRIE")</f>
        <v>BRIE</v>
      </c>
      <c r="E31746" s="38" t="s">
        <v>429</v>
      </c>
      <c r="F31746" s="38" t="s">
        <v>338</v>
      </c>
      <c r="G31746" s="49" t="str">
        <f t="shared" si="1"/>
        <v>16590</v>
      </c>
      <c r="H31746" s="49">
        <f t="shared" si="2"/>
        <v>16061</v>
      </c>
    </row>
    <row r="31747">
      <c r="A31747" s="48" t="s">
        <v>6438</v>
      </c>
      <c r="B31747" s="38">
        <v>29301.0</v>
      </c>
      <c r="C31747" s="38" t="s">
        <v>36075</v>
      </c>
      <c r="D31747" s="38" t="str">
        <f>IFERROR(__xludf.DUMMYFUNCTION("REGEXREPLACE(C31747,""-\d+(.*)|--\d+(.*)"","""")"),"TREZILIDE")</f>
        <v>TREZILIDE</v>
      </c>
      <c r="E31747" s="38" t="s">
        <v>176</v>
      </c>
      <c r="F31747" s="38" t="s">
        <v>90</v>
      </c>
      <c r="G31747" s="49" t="str">
        <f t="shared" si="1"/>
        <v>29440</v>
      </c>
      <c r="H31747" s="49">
        <f t="shared" si="2"/>
        <v>29301</v>
      </c>
    </row>
    <row r="31748">
      <c r="A31748" s="48" t="s">
        <v>35321</v>
      </c>
      <c r="B31748" s="38">
        <v>42068.0</v>
      </c>
      <c r="C31748" s="38" t="s">
        <v>36076</v>
      </c>
      <c r="D31748" s="38" t="str">
        <f>IFERROR(__xludf.DUMMYFUNCTION("REGEXREPLACE(C31748,""-\d+(.*)|--\d+(.*)"","""")"),"COMBRE")</f>
        <v>COMBRE</v>
      </c>
      <c r="E31748" s="38" t="s">
        <v>166</v>
      </c>
      <c r="F31748" s="38" t="s">
        <v>102</v>
      </c>
      <c r="G31748" s="49" t="str">
        <f t="shared" si="1"/>
        <v>42840</v>
      </c>
      <c r="H31748" s="49">
        <f t="shared" si="2"/>
        <v>42068</v>
      </c>
    </row>
    <row r="31749">
      <c r="A31749" s="48" t="s">
        <v>3747</v>
      </c>
      <c r="B31749" s="38">
        <v>52503.0</v>
      </c>
      <c r="C31749" s="38" t="s">
        <v>6995</v>
      </c>
      <c r="D31749" s="38" t="str">
        <f>IFERROR(__xludf.DUMMYFUNCTION("REGEXREPLACE(C31749,""-\d+(.*)|--\d+(.*)"","""")"),"VALLEROY")</f>
        <v>VALLEROY</v>
      </c>
      <c r="E31749" s="38" t="s">
        <v>234</v>
      </c>
      <c r="F31749" s="38" t="s">
        <v>130</v>
      </c>
      <c r="G31749" s="49" t="str">
        <f t="shared" si="1"/>
        <v>52500</v>
      </c>
      <c r="H31749" s="49">
        <f t="shared" si="2"/>
        <v>52503</v>
      </c>
    </row>
    <row r="31750">
      <c r="A31750" s="48" t="s">
        <v>2016</v>
      </c>
      <c r="B31750" s="38">
        <v>50465.0</v>
      </c>
      <c r="C31750" s="38" t="s">
        <v>36077</v>
      </c>
      <c r="D31750" s="38" t="str">
        <f>IFERROR(__xludf.DUMMYFUNCTION("REGEXREPLACE(C31750,""-\d+(.*)|--\d+(.*)"","""")"),"SAINT-EBREMOND-DE-BONFOSSE")</f>
        <v>SAINT-EBREMOND-DE-BONFOSSE</v>
      </c>
      <c r="E31750" s="38" t="s">
        <v>157</v>
      </c>
      <c r="F31750" s="38" t="s">
        <v>138</v>
      </c>
      <c r="G31750" s="49" t="str">
        <f t="shared" si="1"/>
        <v>50750</v>
      </c>
      <c r="H31750" s="49">
        <f t="shared" si="2"/>
        <v>50465</v>
      </c>
    </row>
    <row r="31751">
      <c r="A31751" s="48" t="s">
        <v>639</v>
      </c>
      <c r="B31751" s="38">
        <v>16194.0</v>
      </c>
      <c r="C31751" s="38" t="s">
        <v>36078</v>
      </c>
      <c r="D31751" s="38" t="str">
        <f>IFERROR(__xludf.DUMMYFUNCTION("REGEXREPLACE(C31751,""-\d+(.*)|--\d+(.*)"","""")"),"LUPSAULT")</f>
        <v>LUPSAULT</v>
      </c>
      <c r="E31751" s="38" t="s">
        <v>429</v>
      </c>
      <c r="F31751" s="38" t="s">
        <v>338</v>
      </c>
      <c r="G31751" s="49" t="str">
        <f t="shared" si="1"/>
        <v>16140</v>
      </c>
      <c r="H31751" s="49">
        <f t="shared" si="2"/>
        <v>16194</v>
      </c>
    </row>
    <row r="31752">
      <c r="A31752" s="48" t="s">
        <v>4334</v>
      </c>
      <c r="B31752" s="38">
        <v>3177.0</v>
      </c>
      <c r="C31752" s="38" t="s">
        <v>36079</v>
      </c>
      <c r="D31752" s="38" t="str">
        <f>IFERROR(__xludf.DUMMYFUNCTION("REGEXREPLACE(C31752,""-\d+(.*)|--\d+(.*)"","""")"),"MONETAY-SUR-LOIRE")</f>
        <v>MONETAY-SUR-LOIRE</v>
      </c>
      <c r="E31752" s="38" t="s">
        <v>160</v>
      </c>
      <c r="F31752" s="38" t="s">
        <v>161</v>
      </c>
      <c r="G31752" s="49" t="str">
        <f t="shared" si="1"/>
        <v>03470</v>
      </c>
      <c r="H31752" s="49" t="str">
        <f t="shared" si="2"/>
        <v>03177</v>
      </c>
    </row>
    <row r="31753">
      <c r="A31753" s="48" t="s">
        <v>2477</v>
      </c>
      <c r="B31753" s="38">
        <v>76148.0</v>
      </c>
      <c r="C31753" s="38" t="s">
        <v>36080</v>
      </c>
      <c r="D31753" s="38" t="str">
        <f>IFERROR(__xludf.DUMMYFUNCTION("REGEXREPLACE(C31753,""-\d+(.*)|--\d+(.*)"","""")"),"BURES-EN-BRAY")</f>
        <v>BURES-EN-BRAY</v>
      </c>
      <c r="E31753" s="38" t="s">
        <v>133</v>
      </c>
      <c r="F31753" s="38" t="s">
        <v>134</v>
      </c>
      <c r="G31753" s="49" t="str">
        <f t="shared" si="1"/>
        <v>76660</v>
      </c>
      <c r="H31753" s="49">
        <f t="shared" si="2"/>
        <v>76148</v>
      </c>
    </row>
    <row r="31754">
      <c r="A31754" s="48" t="s">
        <v>1266</v>
      </c>
      <c r="B31754" s="38">
        <v>67248.0</v>
      </c>
      <c r="C31754" s="38" t="s">
        <v>36081</v>
      </c>
      <c r="D31754" s="38" t="str">
        <f>IFERROR(__xludf.DUMMYFUNCTION("REGEXREPLACE(C31754,""-\d+(.*)|--\d+(.*)"","""")"),"KRAUTERGERSHEIM")</f>
        <v>KRAUTERGERSHEIM</v>
      </c>
      <c r="E31754" s="38" t="s">
        <v>210</v>
      </c>
      <c r="F31754" s="38" t="s">
        <v>151</v>
      </c>
      <c r="G31754" s="49" t="str">
        <f t="shared" si="1"/>
        <v>67880</v>
      </c>
      <c r="H31754" s="49">
        <f t="shared" si="2"/>
        <v>67248</v>
      </c>
    </row>
    <row r="31755">
      <c r="A31755" s="48" t="s">
        <v>273</v>
      </c>
      <c r="B31755" s="38">
        <v>89397.0</v>
      </c>
      <c r="C31755" s="38" t="s">
        <v>36082</v>
      </c>
      <c r="D31755" s="38" t="str">
        <f>IFERROR(__xludf.DUMMYFUNCTION("REGEXREPLACE(C31755,""-\d+(.*)|--\d+(.*)"","""")"),"SOMMECAISE")</f>
        <v>SOMMECAISE</v>
      </c>
      <c r="E31755" s="38" t="s">
        <v>275</v>
      </c>
      <c r="F31755" s="38" t="s">
        <v>106</v>
      </c>
      <c r="G31755" s="49" t="str">
        <f t="shared" si="1"/>
        <v>89110</v>
      </c>
      <c r="H31755" s="49">
        <f t="shared" si="2"/>
        <v>89397</v>
      </c>
    </row>
    <row r="31756">
      <c r="A31756" s="48" t="s">
        <v>3341</v>
      </c>
      <c r="B31756" s="38">
        <v>25131.0</v>
      </c>
      <c r="C31756" s="38" t="s">
        <v>36083</v>
      </c>
      <c r="D31756" s="38" t="str">
        <f>IFERROR(__xludf.DUMMYFUNCTION("REGEXREPLACE(C31756,""-\d+(.*)|--\d+(.*)"","""")"),"CHATELBLANC")</f>
        <v>CHATELBLANC</v>
      </c>
      <c r="E31756" s="38" t="s">
        <v>213</v>
      </c>
      <c r="F31756" s="38" t="s">
        <v>214</v>
      </c>
      <c r="G31756" s="49" t="str">
        <f t="shared" si="1"/>
        <v>25240</v>
      </c>
      <c r="H31756" s="49">
        <f t="shared" si="2"/>
        <v>25131</v>
      </c>
    </row>
    <row r="31757">
      <c r="A31757" s="48" t="s">
        <v>5894</v>
      </c>
      <c r="B31757" s="38">
        <v>69125.0</v>
      </c>
      <c r="C31757" s="38" t="s">
        <v>36084</v>
      </c>
      <c r="D31757" s="38" t="str">
        <f>IFERROR(__xludf.DUMMYFUNCTION("REGEXREPLACE(C31757,""-\d+(.*)|--\d+(.*)"","""")"),"MARCILLY-D'AZERGUES")</f>
        <v>MARCILLY-D'AZERGUES</v>
      </c>
      <c r="E31757" s="38" t="s">
        <v>350</v>
      </c>
      <c r="F31757" s="38" t="s">
        <v>102</v>
      </c>
      <c r="G31757" s="49" t="str">
        <f t="shared" si="1"/>
        <v>69380</v>
      </c>
      <c r="H31757" s="49">
        <f t="shared" si="2"/>
        <v>69125</v>
      </c>
    </row>
    <row r="31758">
      <c r="A31758" s="48" t="s">
        <v>3048</v>
      </c>
      <c r="B31758" s="38">
        <v>21422.0</v>
      </c>
      <c r="C31758" s="38" t="s">
        <v>36085</v>
      </c>
      <c r="D31758" s="38" t="str">
        <f>IFERROR(__xludf.DUMMYFUNCTION("REGEXREPLACE(C31758,""-\d+(.*)|--\d+(.*)"","""")"),"MOLPHEY")</f>
        <v>MOLPHEY</v>
      </c>
      <c r="E31758" s="38" t="s">
        <v>105</v>
      </c>
      <c r="F31758" s="38" t="s">
        <v>106</v>
      </c>
      <c r="G31758" s="49" t="str">
        <f t="shared" si="1"/>
        <v>21210</v>
      </c>
      <c r="H31758" s="49">
        <f t="shared" si="2"/>
        <v>21422</v>
      </c>
    </row>
    <row r="31759">
      <c r="A31759" s="48" t="s">
        <v>5750</v>
      </c>
      <c r="B31759" s="38">
        <v>26007.0</v>
      </c>
      <c r="C31759" s="38" t="s">
        <v>36086</v>
      </c>
      <c r="D31759" s="38" t="str">
        <f>IFERROR(__xludf.DUMMYFUNCTION("REGEXREPLACE(C31759,""-\d+(.*)|--\d+(.*)"","""")"),"AMBONIL")</f>
        <v>AMBONIL</v>
      </c>
      <c r="E31759" s="38" t="s">
        <v>126</v>
      </c>
      <c r="F31759" s="38" t="s">
        <v>102</v>
      </c>
      <c r="G31759" s="49" t="str">
        <f t="shared" si="1"/>
        <v>26800</v>
      </c>
      <c r="H31759" s="49">
        <f t="shared" si="2"/>
        <v>26007</v>
      </c>
    </row>
    <row r="31760">
      <c r="A31760" s="48" t="s">
        <v>1609</v>
      </c>
      <c r="B31760" s="38">
        <v>30002.0</v>
      </c>
      <c r="C31760" s="38" t="s">
        <v>14037</v>
      </c>
      <c r="D31760" s="38" t="str">
        <f>IFERROR(__xludf.DUMMYFUNCTION("REGEXREPLACE(C31760,""-\d+(.*)|--\d+(.*)"","""")"),"AIGREMONT")</f>
        <v>AIGREMONT</v>
      </c>
      <c r="E31760" s="38" t="s">
        <v>526</v>
      </c>
      <c r="F31760" s="38" t="s">
        <v>119</v>
      </c>
      <c r="G31760" s="49" t="str">
        <f t="shared" si="1"/>
        <v>30350</v>
      </c>
      <c r="H31760" s="49">
        <f t="shared" si="2"/>
        <v>30002</v>
      </c>
    </row>
    <row r="31761">
      <c r="A31761" s="48" t="s">
        <v>36087</v>
      </c>
      <c r="B31761" s="38">
        <v>62351.0</v>
      </c>
      <c r="C31761" s="38" t="s">
        <v>36088</v>
      </c>
      <c r="D31761" s="38" t="str">
        <f>IFERROR(__xludf.DUMMYFUNCTION("REGEXREPLACE(C31761,""-\d+(.*)|--\d+(.*)"","""")"),"FOUQUIERES-LES-LENS")</f>
        <v>FOUQUIERES-LES-LENS</v>
      </c>
      <c r="E31761" s="38" t="s">
        <v>109</v>
      </c>
      <c r="F31761" s="38" t="s">
        <v>86</v>
      </c>
      <c r="G31761" s="49" t="str">
        <f t="shared" si="1"/>
        <v>62740</v>
      </c>
      <c r="H31761" s="49">
        <f t="shared" si="2"/>
        <v>62351</v>
      </c>
    </row>
    <row r="31762">
      <c r="A31762" s="48" t="s">
        <v>3612</v>
      </c>
      <c r="B31762" s="38">
        <v>60138.0</v>
      </c>
      <c r="C31762" s="38" t="s">
        <v>36089</v>
      </c>
      <c r="D31762" s="38" t="str">
        <f>IFERROR(__xludf.DUMMYFUNCTION("REGEXREPLACE(C31762,""-\d+(.*)|--\d+(.*)"","""")"),"CHAMANT")</f>
        <v>CHAMANT</v>
      </c>
      <c r="E31762" s="38" t="s">
        <v>112</v>
      </c>
      <c r="F31762" s="38" t="s">
        <v>113</v>
      </c>
      <c r="G31762" s="49" t="str">
        <f t="shared" si="1"/>
        <v>60300</v>
      </c>
      <c r="H31762" s="49">
        <f t="shared" si="2"/>
        <v>60138</v>
      </c>
    </row>
    <row r="31763">
      <c r="A31763" s="48" t="s">
        <v>325</v>
      </c>
      <c r="B31763" s="38">
        <v>8102.0</v>
      </c>
      <c r="C31763" s="38" t="s">
        <v>9121</v>
      </c>
      <c r="D31763" s="38" t="str">
        <f>IFERROR(__xludf.DUMMYFUNCTION("REGEXREPLACE(C31763,""-\d+(.*)|--\d+(.*)"","""")"),"CHAPPES")</f>
        <v>CHAPPES</v>
      </c>
      <c r="E31763" s="38" t="s">
        <v>327</v>
      </c>
      <c r="F31763" s="38" t="s">
        <v>130</v>
      </c>
      <c r="G31763" s="49" t="str">
        <f t="shared" si="1"/>
        <v>08220</v>
      </c>
      <c r="H31763" s="49" t="str">
        <f t="shared" si="2"/>
        <v>08102</v>
      </c>
    </row>
    <row r="31764">
      <c r="A31764" s="48" t="s">
        <v>3349</v>
      </c>
      <c r="B31764" s="38">
        <v>34062.0</v>
      </c>
      <c r="C31764" s="38" t="s">
        <v>36090</v>
      </c>
      <c r="D31764" s="38" t="str">
        <f>IFERROR(__xludf.DUMMYFUNCTION("REGEXREPLACE(C31764,""-\d+(.*)|--\d+(.*)"","""")"),"CAUSSINIOJOULS")</f>
        <v>CAUSSINIOJOULS</v>
      </c>
      <c r="E31764" s="38" t="s">
        <v>118</v>
      </c>
      <c r="F31764" s="38" t="s">
        <v>119</v>
      </c>
      <c r="G31764" s="49" t="str">
        <f t="shared" si="1"/>
        <v>34600</v>
      </c>
      <c r="H31764" s="49">
        <f t="shared" si="2"/>
        <v>34062</v>
      </c>
    </row>
    <row r="31765">
      <c r="A31765" s="48" t="s">
        <v>2515</v>
      </c>
      <c r="B31765" s="38">
        <v>87197.0</v>
      </c>
      <c r="C31765" s="38" t="s">
        <v>36091</v>
      </c>
      <c r="D31765" s="38" t="str">
        <f>IFERROR(__xludf.DUMMYFUNCTION("REGEXREPLACE(C31765,""-\d+(.*)|--\d+(.*)"","""")"),"THOURON")</f>
        <v>THOURON</v>
      </c>
      <c r="E31765" s="38" t="s">
        <v>897</v>
      </c>
      <c r="F31765" s="38" t="s">
        <v>98</v>
      </c>
      <c r="G31765" s="49" t="str">
        <f t="shared" si="1"/>
        <v>87140</v>
      </c>
      <c r="H31765" s="49">
        <f t="shared" si="2"/>
        <v>87197</v>
      </c>
    </row>
    <row r="31766">
      <c r="A31766" s="48" t="s">
        <v>844</v>
      </c>
      <c r="B31766" s="38">
        <v>72086.0</v>
      </c>
      <c r="C31766" s="38" t="s">
        <v>36092</v>
      </c>
      <c r="D31766" s="38" t="str">
        <f>IFERROR(__xludf.DUMMYFUNCTION("REGEXREPLACE(C31766,""-\d+(.*)|--\d+(.*)"","""")"),"COMMERVEIL")</f>
        <v>COMMERVEIL</v>
      </c>
      <c r="E31766" s="38" t="s">
        <v>521</v>
      </c>
      <c r="F31766" s="38" t="s">
        <v>180</v>
      </c>
      <c r="G31766" s="49" t="str">
        <f t="shared" si="1"/>
        <v>72600</v>
      </c>
      <c r="H31766" s="49">
        <f t="shared" si="2"/>
        <v>72086</v>
      </c>
    </row>
    <row r="31767">
      <c r="A31767" s="48" t="s">
        <v>7595</v>
      </c>
      <c r="B31767" s="38">
        <v>81288.0</v>
      </c>
      <c r="C31767" s="38" t="s">
        <v>36093</v>
      </c>
      <c r="D31767" s="38" t="str">
        <f>IFERROR(__xludf.DUMMYFUNCTION("REGEXREPLACE(C31767,""-\d+(.*)|--\d+(.*)"","""")"),"SOREZE")</f>
        <v>SOREZE</v>
      </c>
      <c r="E31767" s="38" t="s">
        <v>231</v>
      </c>
      <c r="F31767" s="38" t="s">
        <v>94</v>
      </c>
      <c r="G31767" s="49" t="str">
        <f t="shared" si="1"/>
        <v>81540</v>
      </c>
      <c r="H31767" s="49">
        <f t="shared" si="2"/>
        <v>81288</v>
      </c>
    </row>
    <row r="31768">
      <c r="A31768" s="48" t="s">
        <v>4215</v>
      </c>
      <c r="B31768" s="38">
        <v>27694.0</v>
      </c>
      <c r="C31768" s="38" t="s">
        <v>36094</v>
      </c>
      <c r="D31768" s="38" t="str">
        <f>IFERROR(__xludf.DUMMYFUNCTION("REGEXREPLACE(C31768,""-\d+(.*)|--\d+(.*)"","""")"),"VILLEZ-SOUS-BAILLEUL")</f>
        <v>VILLEZ-SOUS-BAILLEUL</v>
      </c>
      <c r="E31768" s="38" t="s">
        <v>241</v>
      </c>
      <c r="F31768" s="38" t="s">
        <v>134</v>
      </c>
      <c r="G31768" s="49" t="str">
        <f t="shared" si="1"/>
        <v>27950</v>
      </c>
      <c r="H31768" s="49">
        <f t="shared" si="2"/>
        <v>27694</v>
      </c>
    </row>
    <row r="31769">
      <c r="A31769" s="48" t="s">
        <v>5525</v>
      </c>
      <c r="B31769" s="38">
        <v>10068.0</v>
      </c>
      <c r="C31769" s="38" t="s">
        <v>10275</v>
      </c>
      <c r="D31769" s="38" t="str">
        <f>IFERROR(__xludf.DUMMYFUNCTION("REGEXREPLACE(C31769,""-\d+(.*)|--\d+(.*)"","""")"),"BUXEUIL")</f>
        <v>BUXEUIL</v>
      </c>
      <c r="E31769" s="38" t="s">
        <v>147</v>
      </c>
      <c r="F31769" s="38" t="s">
        <v>130</v>
      </c>
      <c r="G31769" s="49" t="str">
        <f t="shared" si="1"/>
        <v>10110</v>
      </c>
      <c r="H31769" s="49">
        <f t="shared" si="2"/>
        <v>10068</v>
      </c>
    </row>
    <row r="31770">
      <c r="A31770" s="48" t="s">
        <v>6148</v>
      </c>
      <c r="B31770" s="38">
        <v>78431.0</v>
      </c>
      <c r="C31770" s="38" t="s">
        <v>36095</v>
      </c>
      <c r="D31770" s="38" t="str">
        <f>IFERROR(__xludf.DUMMYFUNCTION("REGEXREPLACE(C31770,""-\d+(.*)|--\d+(.*)"","""")"),"MORAINVILLIERS")</f>
        <v>MORAINVILLIERS</v>
      </c>
      <c r="E31770" s="38" t="s">
        <v>362</v>
      </c>
      <c r="F31770" s="38" t="s">
        <v>245</v>
      </c>
      <c r="G31770" s="49" t="str">
        <f t="shared" si="1"/>
        <v>78630</v>
      </c>
      <c r="H31770" s="49">
        <f t="shared" si="2"/>
        <v>78431</v>
      </c>
    </row>
    <row r="31771">
      <c r="A31771" s="48" t="s">
        <v>1601</v>
      </c>
      <c r="B31771" s="38">
        <v>72297.0</v>
      </c>
      <c r="C31771" s="38" t="s">
        <v>36096</v>
      </c>
      <c r="D31771" s="38" t="str">
        <f>IFERROR(__xludf.DUMMYFUNCTION("REGEXREPLACE(C31771,""-\d+(.*)|--\d+(.*)"","""")"),"SAINT-MARCEAU")</f>
        <v>SAINT-MARCEAU</v>
      </c>
      <c r="E31771" s="38" t="s">
        <v>521</v>
      </c>
      <c r="F31771" s="38" t="s">
        <v>180</v>
      </c>
      <c r="G31771" s="49" t="str">
        <f t="shared" si="1"/>
        <v>72170</v>
      </c>
      <c r="H31771" s="49">
        <f t="shared" si="2"/>
        <v>72297</v>
      </c>
    </row>
    <row r="31772">
      <c r="A31772" s="48" t="s">
        <v>8492</v>
      </c>
      <c r="B31772" s="38">
        <v>80502.0</v>
      </c>
      <c r="C31772" s="38" t="s">
        <v>36097</v>
      </c>
      <c r="D31772" s="38" t="str">
        <f>IFERROR(__xludf.DUMMYFUNCTION("REGEXREPLACE(C31772,""-\d+(.*)|--\d+(.*)"","""")"),"MAISON-ROLAND")</f>
        <v>MAISON-ROLAND</v>
      </c>
      <c r="E31772" s="38" t="s">
        <v>224</v>
      </c>
      <c r="F31772" s="38" t="s">
        <v>113</v>
      </c>
      <c r="G31772" s="49" t="str">
        <f t="shared" si="1"/>
        <v>80135</v>
      </c>
      <c r="H31772" s="49">
        <f t="shared" si="2"/>
        <v>80502</v>
      </c>
    </row>
    <row r="31773">
      <c r="A31773" s="48" t="s">
        <v>5558</v>
      </c>
      <c r="B31773" s="38">
        <v>14763.0</v>
      </c>
      <c r="C31773" s="38" t="s">
        <v>36098</v>
      </c>
      <c r="D31773" s="38" t="str">
        <f>IFERROR(__xludf.DUMMYFUNCTION("REGEXREPLACE(C31773,""-\d+(.*)|--\d+(.*)"","""")"),"VOUILLY")</f>
        <v>VOUILLY</v>
      </c>
      <c r="E31773" s="38" t="s">
        <v>137</v>
      </c>
      <c r="F31773" s="38" t="s">
        <v>138</v>
      </c>
      <c r="G31773" s="49" t="str">
        <f t="shared" si="1"/>
        <v>14230</v>
      </c>
      <c r="H31773" s="49">
        <f t="shared" si="2"/>
        <v>14763</v>
      </c>
    </row>
    <row r="31774">
      <c r="A31774" s="48" t="s">
        <v>8587</v>
      </c>
      <c r="B31774" s="38">
        <v>66209.0</v>
      </c>
      <c r="C31774" s="38" t="s">
        <v>36099</v>
      </c>
      <c r="D31774" s="38" t="str">
        <f>IFERROR(__xludf.DUMMYFUNCTION("REGEXREPLACE(C31774,""-\d+(.*)|--\d+(.*)"","""")"),"THUES-ENTRE-VALLS")</f>
        <v>THUES-ENTRE-VALLS</v>
      </c>
      <c r="E31774" s="38" t="s">
        <v>248</v>
      </c>
      <c r="F31774" s="38" t="s">
        <v>119</v>
      </c>
      <c r="G31774" s="49" t="str">
        <f t="shared" si="1"/>
        <v>66360</v>
      </c>
      <c r="H31774" s="49">
        <f t="shared" si="2"/>
        <v>66209</v>
      </c>
    </row>
    <row r="31775">
      <c r="A31775" s="48" t="s">
        <v>1957</v>
      </c>
      <c r="B31775" s="38">
        <v>12088.0</v>
      </c>
      <c r="C31775" s="38" t="s">
        <v>36100</v>
      </c>
      <c r="D31775" s="38" t="str">
        <f>IFERROR(__xludf.DUMMYFUNCTION("REGEXREPLACE(C31775,""-\d+(.*)|--\d+(.*)"","""")"),"CURIERES")</f>
        <v>CURIERES</v>
      </c>
      <c r="E31775" s="38" t="s">
        <v>465</v>
      </c>
      <c r="F31775" s="38" t="s">
        <v>94</v>
      </c>
      <c r="G31775" s="49" t="str">
        <f t="shared" si="1"/>
        <v>12210</v>
      </c>
      <c r="H31775" s="49">
        <f t="shared" si="2"/>
        <v>12088</v>
      </c>
    </row>
    <row r="31776">
      <c r="A31776" s="48" t="s">
        <v>5953</v>
      </c>
      <c r="B31776" s="38">
        <v>76207.0</v>
      </c>
      <c r="C31776" s="38" t="s">
        <v>36101</v>
      </c>
      <c r="D31776" s="38" t="str">
        <f>IFERROR(__xludf.DUMMYFUNCTION("REGEXREPLACE(C31776,""-\d+(.*)|--\d+(.*)"","""")"),"CUVERVILLE-SUR-YERES")</f>
        <v>CUVERVILLE-SUR-YERES</v>
      </c>
      <c r="E31776" s="38" t="s">
        <v>133</v>
      </c>
      <c r="F31776" s="38" t="s">
        <v>134</v>
      </c>
      <c r="G31776" s="49" t="str">
        <f t="shared" si="1"/>
        <v>76260</v>
      </c>
      <c r="H31776" s="49">
        <f t="shared" si="2"/>
        <v>76207</v>
      </c>
    </row>
    <row r="31777">
      <c r="A31777" s="48" t="s">
        <v>4428</v>
      </c>
      <c r="B31777" s="38">
        <v>72036.0</v>
      </c>
      <c r="C31777" s="38" t="s">
        <v>34991</v>
      </c>
      <c r="D31777" s="38" t="str">
        <f>IFERROR(__xludf.DUMMYFUNCTION("REGEXREPLACE(C31777,""-\d+(.*)|--\d+(.*)"","""")"),"BETHON")</f>
        <v>BETHON</v>
      </c>
      <c r="E31777" s="38" t="s">
        <v>521</v>
      </c>
      <c r="F31777" s="38" t="s">
        <v>180</v>
      </c>
      <c r="G31777" s="49" t="str">
        <f t="shared" si="1"/>
        <v>72610</v>
      </c>
      <c r="H31777" s="49">
        <f t="shared" si="2"/>
        <v>72036</v>
      </c>
    </row>
    <row r="31778">
      <c r="A31778" s="48" t="s">
        <v>17356</v>
      </c>
      <c r="B31778" s="38">
        <v>29151.0</v>
      </c>
      <c r="C31778" s="38" t="s">
        <v>36102</v>
      </c>
      <c r="D31778" s="38" t="str">
        <f>IFERROR(__xludf.DUMMYFUNCTION("REGEXREPLACE(C31778,""-\d+(.*)|--\d+(.*)"","""")"),"MORLAIX")</f>
        <v>MORLAIX</v>
      </c>
      <c r="E31778" s="38" t="s">
        <v>176</v>
      </c>
      <c r="F31778" s="38" t="s">
        <v>90</v>
      </c>
      <c r="G31778" s="49" t="str">
        <f t="shared" si="1"/>
        <v>29600</v>
      </c>
      <c r="H31778" s="49">
        <f t="shared" si="2"/>
        <v>29151</v>
      </c>
    </row>
    <row r="31779">
      <c r="A31779" s="48" t="s">
        <v>819</v>
      </c>
      <c r="B31779" s="38">
        <v>77139.0</v>
      </c>
      <c r="C31779" s="38" t="s">
        <v>36103</v>
      </c>
      <c r="D31779" s="38" t="str">
        <f>IFERROR(__xludf.DUMMYFUNCTION("REGEXREPLACE(C31779,""-\d+(.*)|--\d+(.*)"","""")"),"COURTRY")</f>
        <v>COURTRY</v>
      </c>
      <c r="E31779" s="38" t="s">
        <v>244</v>
      </c>
      <c r="F31779" s="38" t="s">
        <v>245</v>
      </c>
      <c r="G31779" s="49" t="str">
        <f t="shared" si="1"/>
        <v>77181</v>
      </c>
      <c r="H31779" s="49">
        <f t="shared" si="2"/>
        <v>77139</v>
      </c>
    </row>
    <row r="31780">
      <c r="A31780" s="48" t="s">
        <v>12952</v>
      </c>
      <c r="B31780" s="38" t="s">
        <v>36104</v>
      </c>
      <c r="C31780" s="38" t="s">
        <v>36105</v>
      </c>
      <c r="D31780" s="38" t="str">
        <f>IFERROR(__xludf.DUMMYFUNCTION("REGEXREPLACE(C31780,""-\d+(.*)|--\d+(.*)"","""")"),"CAMPI")</f>
        <v>CAMPI</v>
      </c>
      <c r="E31780" s="38" t="s">
        <v>743</v>
      </c>
      <c r="F31780" s="38" t="s">
        <v>607</v>
      </c>
      <c r="G31780" s="49" t="str">
        <f t="shared" si="1"/>
        <v>20270</v>
      </c>
      <c r="H31780" s="49" t="str">
        <f t="shared" si="2"/>
        <v>2B053</v>
      </c>
    </row>
    <row r="31781">
      <c r="A31781" s="48" t="s">
        <v>7829</v>
      </c>
      <c r="B31781" s="38">
        <v>89038.0</v>
      </c>
      <c r="C31781" s="38" t="s">
        <v>36106</v>
      </c>
      <c r="D31781" s="38" t="str">
        <f>IFERROR(__xludf.DUMMYFUNCTION("REGEXREPLACE(C31781,""-\d+(.*)|--\d+(.*)"","""")"),"BERNOUIL")</f>
        <v>BERNOUIL</v>
      </c>
      <c r="E31781" s="38" t="s">
        <v>275</v>
      </c>
      <c r="F31781" s="38" t="s">
        <v>106</v>
      </c>
      <c r="G31781" s="49" t="str">
        <f t="shared" si="1"/>
        <v>89360</v>
      </c>
      <c r="H31781" s="49">
        <f t="shared" si="2"/>
        <v>89038</v>
      </c>
    </row>
    <row r="31782">
      <c r="A31782" s="48" t="s">
        <v>1630</v>
      </c>
      <c r="B31782" s="38">
        <v>57178.0</v>
      </c>
      <c r="C31782" s="38" t="s">
        <v>36107</v>
      </c>
      <c r="D31782" s="38" t="str">
        <f>IFERROR(__xludf.DUMMYFUNCTION("REGEXREPLACE(C31782,""-\d+(.*)|--\d+(.*)"","""")"),"DIFFEMBACH-LES-HELLIMER")</f>
        <v>DIFFEMBACH-LES-HELLIMER</v>
      </c>
      <c r="E31782" s="38" t="s">
        <v>303</v>
      </c>
      <c r="F31782" s="38" t="s">
        <v>195</v>
      </c>
      <c r="G31782" s="49" t="str">
        <f t="shared" si="1"/>
        <v>57660</v>
      </c>
      <c r="H31782" s="49">
        <f t="shared" si="2"/>
        <v>57178</v>
      </c>
    </row>
    <row r="31783">
      <c r="A31783" s="48" t="s">
        <v>3666</v>
      </c>
      <c r="B31783" s="38">
        <v>21198.0</v>
      </c>
      <c r="C31783" s="38" t="s">
        <v>36108</v>
      </c>
      <c r="D31783" s="38" t="str">
        <f>IFERROR(__xludf.DUMMYFUNCTION("REGEXREPLACE(C31783,""-\d+(.*)|--\d+(.*)"","""")"),"CORROMBLES")</f>
        <v>CORROMBLES</v>
      </c>
      <c r="E31783" s="38" t="s">
        <v>105</v>
      </c>
      <c r="F31783" s="38" t="s">
        <v>106</v>
      </c>
      <c r="G31783" s="49" t="str">
        <f t="shared" si="1"/>
        <v>21460</v>
      </c>
      <c r="H31783" s="49">
        <f t="shared" si="2"/>
        <v>21198</v>
      </c>
    </row>
    <row r="31784">
      <c r="A31784" s="48" t="s">
        <v>14017</v>
      </c>
      <c r="B31784" s="38">
        <v>23148.0</v>
      </c>
      <c r="C31784" s="38" t="s">
        <v>36109</v>
      </c>
      <c r="D31784" s="38" t="str">
        <f>IFERROR(__xludf.DUMMYFUNCTION("REGEXREPLACE(C31784,""-\d+(.*)|--\d+(.*)"","""")"),"NOUZIERS")</f>
        <v>NOUZIERS</v>
      </c>
      <c r="E31784" s="38" t="s">
        <v>97</v>
      </c>
      <c r="F31784" s="38" t="s">
        <v>98</v>
      </c>
      <c r="G31784" s="49" t="str">
        <f t="shared" si="1"/>
        <v>23350</v>
      </c>
      <c r="H31784" s="49">
        <f t="shared" si="2"/>
        <v>23148</v>
      </c>
    </row>
    <row r="31785">
      <c r="A31785" s="48" t="s">
        <v>1568</v>
      </c>
      <c r="B31785" s="38">
        <v>36075.0</v>
      </c>
      <c r="C31785" s="38" t="s">
        <v>21471</v>
      </c>
      <c r="D31785" s="38" t="str">
        <f>IFERROR(__xludf.DUMMYFUNCTION("REGEXREPLACE(C31785,""-\d+(.*)|--\d+(.*)"","""")"),"FONTENAY")</f>
        <v>FONTENAY</v>
      </c>
      <c r="E31785" s="38" t="s">
        <v>258</v>
      </c>
      <c r="F31785" s="38" t="s">
        <v>123</v>
      </c>
      <c r="G31785" s="49" t="str">
        <f t="shared" si="1"/>
        <v>36150</v>
      </c>
      <c r="H31785" s="49">
        <f t="shared" si="2"/>
        <v>36075</v>
      </c>
    </row>
    <row r="31786">
      <c r="A31786" s="48" t="s">
        <v>36110</v>
      </c>
      <c r="B31786" s="38">
        <v>48155.0</v>
      </c>
      <c r="C31786" s="38" t="s">
        <v>36111</v>
      </c>
      <c r="D31786" s="38" t="str">
        <f>IFERROR(__xludf.DUMMYFUNCTION("REGEXREPLACE(C31786,""-\d+(.*)|--\d+(.*)"","""")"),"SAINT-GERMAIN-DE-CALBERTE")</f>
        <v>SAINT-GERMAIN-DE-CALBERTE</v>
      </c>
      <c r="E31786" s="38" t="s">
        <v>154</v>
      </c>
      <c r="F31786" s="38" t="s">
        <v>119</v>
      </c>
      <c r="G31786" s="49" t="str">
        <f t="shared" si="1"/>
        <v>48370</v>
      </c>
      <c r="H31786" s="49">
        <f t="shared" si="2"/>
        <v>48155</v>
      </c>
    </row>
    <row r="31787">
      <c r="A31787" s="48" t="s">
        <v>36112</v>
      </c>
      <c r="B31787" s="38">
        <v>83118.0</v>
      </c>
      <c r="C31787" s="38" t="s">
        <v>9085</v>
      </c>
      <c r="D31787" s="38" t="str">
        <f>IFERROR(__xludf.DUMMYFUNCTION("REGEXREPLACE(C31787,""-\d+(.*)|--\d+(.*)"","""")"),"SAINT-RAPHAEL")</f>
        <v>SAINT-RAPHAEL</v>
      </c>
      <c r="E31787" s="38" t="s">
        <v>813</v>
      </c>
      <c r="F31787" s="38" t="s">
        <v>228</v>
      </c>
      <c r="G31787" s="49" t="str">
        <f t="shared" si="1"/>
        <v>83700/83530</v>
      </c>
      <c r="H31787" s="49">
        <f t="shared" si="2"/>
        <v>83118</v>
      </c>
    </row>
    <row r="31788">
      <c r="A31788" s="48" t="s">
        <v>3061</v>
      </c>
      <c r="B31788" s="38">
        <v>71557.0</v>
      </c>
      <c r="C31788" s="38" t="s">
        <v>36113</v>
      </c>
      <c r="D31788" s="38" t="str">
        <f>IFERROR(__xludf.DUMMYFUNCTION("REGEXREPLACE(C31788,""-\d+(.*)|--\d+(.*)"","""")"),"VARENNE-SAINT-GERMAIN")</f>
        <v>VARENNE-SAINT-GERMAIN</v>
      </c>
      <c r="E31788" s="38" t="s">
        <v>344</v>
      </c>
      <c r="F31788" s="38" t="s">
        <v>106</v>
      </c>
      <c r="G31788" s="49" t="str">
        <f t="shared" si="1"/>
        <v>71600</v>
      </c>
      <c r="H31788" s="49">
        <f t="shared" si="2"/>
        <v>71557</v>
      </c>
    </row>
    <row r="31789">
      <c r="A31789" s="48" t="s">
        <v>3711</v>
      </c>
      <c r="B31789" s="38">
        <v>21212.0</v>
      </c>
      <c r="C31789" s="38" t="s">
        <v>36114</v>
      </c>
      <c r="D31789" s="38" t="str">
        <f>IFERROR(__xludf.DUMMYFUNCTION("REGEXREPLACE(C31789,""-\d+(.*)|--\d+(.*)"","""")"),"CREPAND")</f>
        <v>CREPAND</v>
      </c>
      <c r="E31789" s="38" t="s">
        <v>105</v>
      </c>
      <c r="F31789" s="38" t="s">
        <v>106</v>
      </c>
      <c r="G31789" s="49" t="str">
        <f t="shared" si="1"/>
        <v>21500</v>
      </c>
      <c r="H31789" s="49">
        <f t="shared" si="2"/>
        <v>21212</v>
      </c>
    </row>
    <row r="31790">
      <c r="A31790" s="48" t="s">
        <v>7821</v>
      </c>
      <c r="B31790" s="38">
        <v>8273.0</v>
      </c>
      <c r="C31790" s="38" t="s">
        <v>36115</v>
      </c>
      <c r="D31790" s="38" t="str">
        <f>IFERROR(__xludf.DUMMYFUNCTION("REGEXREPLACE(C31790,""-\d+(.*)|--\d+(.*)"","""")"),"MARBY")</f>
        <v>MARBY</v>
      </c>
      <c r="E31790" s="38" t="s">
        <v>327</v>
      </c>
      <c r="F31790" s="38" t="s">
        <v>130</v>
      </c>
      <c r="G31790" s="49" t="str">
        <f t="shared" si="1"/>
        <v>08260</v>
      </c>
      <c r="H31790" s="49" t="str">
        <f t="shared" si="2"/>
        <v>08273</v>
      </c>
    </row>
    <row r="31791">
      <c r="A31791" s="48" t="s">
        <v>2004</v>
      </c>
      <c r="B31791" s="38">
        <v>88453.0</v>
      </c>
      <c r="C31791" s="38" t="s">
        <v>36116</v>
      </c>
      <c r="D31791" s="38" t="str">
        <f>IFERROR(__xludf.DUMMYFUNCTION("REGEXREPLACE(C31791,""-\d+(.*)|--\d+(.*)"","""")"),"SERAUMONT")</f>
        <v>SERAUMONT</v>
      </c>
      <c r="E31791" s="38" t="s">
        <v>194</v>
      </c>
      <c r="F31791" s="38" t="s">
        <v>195</v>
      </c>
      <c r="G31791" s="49" t="str">
        <f t="shared" si="1"/>
        <v>88630</v>
      </c>
      <c r="H31791" s="49">
        <f t="shared" si="2"/>
        <v>88453</v>
      </c>
    </row>
    <row r="31792">
      <c r="A31792" s="48" t="s">
        <v>3814</v>
      </c>
      <c r="B31792" s="38">
        <v>71128.0</v>
      </c>
      <c r="C31792" s="38" t="s">
        <v>9555</v>
      </c>
      <c r="D31792" s="38" t="str">
        <f>IFERROR(__xludf.DUMMYFUNCTION("REGEXREPLACE(C31792,""-\d+(.*)|--\d+(.*)"","""")"),"CHIDDES")</f>
        <v>CHIDDES</v>
      </c>
      <c r="E31792" s="38" t="s">
        <v>344</v>
      </c>
      <c r="F31792" s="38" t="s">
        <v>106</v>
      </c>
      <c r="G31792" s="49" t="str">
        <f t="shared" si="1"/>
        <v>71220</v>
      </c>
      <c r="H31792" s="49">
        <f t="shared" si="2"/>
        <v>71128</v>
      </c>
    </row>
    <row r="31793">
      <c r="A31793" s="48" t="s">
        <v>16185</v>
      </c>
      <c r="B31793" s="38">
        <v>18133.0</v>
      </c>
      <c r="C31793" s="38" t="s">
        <v>36117</v>
      </c>
      <c r="D31793" s="38" t="str">
        <f>IFERROR(__xludf.DUMMYFUNCTION("REGEXREPLACE(C31793,""-\d+(.*)|--\d+(.*)"","""")"),"LUNERY")</f>
        <v>LUNERY</v>
      </c>
      <c r="E31793" s="38" t="s">
        <v>504</v>
      </c>
      <c r="F31793" s="38" t="s">
        <v>123</v>
      </c>
      <c r="G31793" s="49" t="str">
        <f t="shared" si="1"/>
        <v>18400</v>
      </c>
      <c r="H31793" s="49">
        <f t="shared" si="2"/>
        <v>18133</v>
      </c>
    </row>
    <row r="31794">
      <c r="A31794" s="48" t="s">
        <v>2631</v>
      </c>
      <c r="B31794" s="38">
        <v>64093.0</v>
      </c>
      <c r="C31794" s="38" t="s">
        <v>36118</v>
      </c>
      <c r="D31794" s="38" t="str">
        <f>IFERROR(__xludf.DUMMYFUNCTION("REGEXREPLACE(C31794,""-\d+(.*)|--\d+(.*)"","""")"),"BARCUS")</f>
        <v>BARCUS</v>
      </c>
      <c r="E31794" s="38" t="s">
        <v>268</v>
      </c>
      <c r="F31794" s="38" t="s">
        <v>252</v>
      </c>
      <c r="G31794" s="49" t="str">
        <f t="shared" si="1"/>
        <v>64130</v>
      </c>
      <c r="H31794" s="49">
        <f t="shared" si="2"/>
        <v>64093</v>
      </c>
    </row>
    <row r="31795">
      <c r="A31795" s="48" t="s">
        <v>13625</v>
      </c>
      <c r="B31795" s="38">
        <v>38314.0</v>
      </c>
      <c r="C31795" s="38" t="s">
        <v>36119</v>
      </c>
      <c r="D31795" s="38" t="str">
        <f>IFERROR(__xludf.DUMMYFUNCTION("REGEXREPLACE(C31795,""-\d+(.*)|--\d+(.*)"","""")"),"PONTCHARRA")</f>
        <v>PONTCHARRA</v>
      </c>
      <c r="E31795" s="38" t="s">
        <v>101</v>
      </c>
      <c r="F31795" s="38" t="s">
        <v>102</v>
      </c>
      <c r="G31795" s="49" t="str">
        <f t="shared" si="1"/>
        <v>38530</v>
      </c>
      <c r="H31795" s="49">
        <f t="shared" si="2"/>
        <v>38314</v>
      </c>
    </row>
    <row r="31796">
      <c r="A31796" s="48" t="s">
        <v>724</v>
      </c>
      <c r="B31796" s="38">
        <v>32363.0</v>
      </c>
      <c r="C31796" s="38" t="s">
        <v>36120</v>
      </c>
      <c r="D31796" s="38" t="str">
        <f>IFERROR(__xludf.DUMMYFUNCTION("REGEXREPLACE(C31796,""-\d+(.*)|--\d+(.*)"","""")"),"SAINTE-AURENCE-CAZAUX")</f>
        <v>SAINTE-AURENCE-CAZAUX</v>
      </c>
      <c r="E31796" s="38" t="s">
        <v>440</v>
      </c>
      <c r="F31796" s="38" t="s">
        <v>94</v>
      </c>
      <c r="G31796" s="49" t="str">
        <f t="shared" si="1"/>
        <v>32300</v>
      </c>
      <c r="H31796" s="49">
        <f t="shared" si="2"/>
        <v>32363</v>
      </c>
    </row>
    <row r="31797">
      <c r="A31797" s="48" t="s">
        <v>3772</v>
      </c>
      <c r="B31797" s="38">
        <v>45313.0</v>
      </c>
      <c r="C31797" s="38" t="s">
        <v>36121</v>
      </c>
      <c r="D31797" s="38" t="str">
        <f>IFERROR(__xludf.DUMMYFUNCTION("REGEXREPLACE(C31797,""-\d+(.*)|--\d+(.*)"","""")"),"SOUGY")</f>
        <v>SOUGY</v>
      </c>
      <c r="E31797" s="38" t="s">
        <v>122</v>
      </c>
      <c r="F31797" s="38" t="s">
        <v>123</v>
      </c>
      <c r="G31797" s="49" t="str">
        <f t="shared" si="1"/>
        <v>45410</v>
      </c>
      <c r="H31797" s="49">
        <f t="shared" si="2"/>
        <v>45313</v>
      </c>
    </row>
    <row r="31798">
      <c r="A31798" s="48" t="s">
        <v>9311</v>
      </c>
      <c r="B31798" s="38">
        <v>24530.0</v>
      </c>
      <c r="C31798" s="38" t="s">
        <v>36122</v>
      </c>
      <c r="D31798" s="38" t="str">
        <f>IFERROR(__xludf.DUMMYFUNCTION("REGEXREPLACE(C31798,""-\d+(.*)|--\d+(.*)"","""")"),"SENCENAC-PUY-DE-FOURCHES")</f>
        <v>SENCENAC-PUY-DE-FOURCHES</v>
      </c>
      <c r="E31798" s="38" t="s">
        <v>261</v>
      </c>
      <c r="F31798" s="38" t="s">
        <v>252</v>
      </c>
      <c r="G31798" s="49" t="str">
        <f t="shared" si="1"/>
        <v>24310</v>
      </c>
      <c r="H31798" s="49">
        <f t="shared" si="2"/>
        <v>24530</v>
      </c>
    </row>
    <row r="31799">
      <c r="A31799" s="48" t="s">
        <v>7813</v>
      </c>
      <c r="B31799" s="38">
        <v>35341.0</v>
      </c>
      <c r="C31799" s="38" t="s">
        <v>36123</v>
      </c>
      <c r="D31799" s="38" t="str">
        <f>IFERROR(__xludf.DUMMYFUNCTION("REGEXREPLACE(C31799,""-\d+(.*)|--\d+(.*)"","""")"),"TREMBLAY")</f>
        <v>TREMBLAY</v>
      </c>
      <c r="E31799" s="38" t="s">
        <v>347</v>
      </c>
      <c r="F31799" s="38" t="s">
        <v>90</v>
      </c>
      <c r="G31799" s="49" t="str">
        <f t="shared" si="1"/>
        <v>35460</v>
      </c>
      <c r="H31799" s="49">
        <f t="shared" si="2"/>
        <v>35341</v>
      </c>
    </row>
    <row r="31800">
      <c r="A31800" s="48" t="s">
        <v>2905</v>
      </c>
      <c r="B31800" s="38">
        <v>21631.0</v>
      </c>
      <c r="C31800" s="38" t="s">
        <v>36124</v>
      </c>
      <c r="D31800" s="38" t="str">
        <f>IFERROR(__xludf.DUMMYFUNCTION("REGEXREPLACE(C31800,""-\d+(.*)|--\d+(.*)"","""")"),"THOMIREY")</f>
        <v>THOMIREY</v>
      </c>
      <c r="E31800" s="38" t="s">
        <v>105</v>
      </c>
      <c r="F31800" s="38" t="s">
        <v>106</v>
      </c>
      <c r="G31800" s="49" t="str">
        <f t="shared" si="1"/>
        <v>21360</v>
      </c>
      <c r="H31800" s="49">
        <f t="shared" si="2"/>
        <v>21631</v>
      </c>
    </row>
    <row r="31801">
      <c r="A31801" s="48" t="s">
        <v>1887</v>
      </c>
      <c r="B31801" s="38">
        <v>88475.0</v>
      </c>
      <c r="C31801" s="38" t="s">
        <v>36125</v>
      </c>
      <c r="D31801" s="38" t="str">
        <f>IFERROR(__xludf.DUMMYFUNCTION("REGEXREPLACE(C31801,""-\d+(.*)|--\d+(.*)"","""")"),"TOLLAINCOURT")</f>
        <v>TOLLAINCOURT</v>
      </c>
      <c r="E31801" s="38" t="s">
        <v>194</v>
      </c>
      <c r="F31801" s="38" t="s">
        <v>195</v>
      </c>
      <c r="G31801" s="49" t="str">
        <f t="shared" si="1"/>
        <v>88320</v>
      </c>
      <c r="H31801" s="49">
        <f t="shared" si="2"/>
        <v>88475</v>
      </c>
    </row>
    <row r="31802">
      <c r="A31802" s="48" t="s">
        <v>4840</v>
      </c>
      <c r="B31802" s="38">
        <v>16241.0</v>
      </c>
      <c r="C31802" s="38" t="s">
        <v>36126</v>
      </c>
      <c r="D31802" s="38" t="str">
        <f>IFERROR(__xludf.DUMMYFUNCTION("REGEXREPLACE(C31802,""-\d+(.*)|--\d+(.*)"","""")"),"NANCLARS")</f>
        <v>NANCLARS</v>
      </c>
      <c r="E31802" s="38" t="s">
        <v>429</v>
      </c>
      <c r="F31802" s="38" t="s">
        <v>338</v>
      </c>
      <c r="G31802" s="49" t="str">
        <f t="shared" si="1"/>
        <v>16230</v>
      </c>
      <c r="H31802" s="49">
        <f t="shared" si="2"/>
        <v>16241</v>
      </c>
    </row>
    <row r="31803">
      <c r="A31803" s="48" t="s">
        <v>36127</v>
      </c>
      <c r="B31803" s="38">
        <v>83033.0</v>
      </c>
      <c r="C31803" s="38" t="s">
        <v>36128</v>
      </c>
      <c r="D31803" s="38" t="str">
        <f>IFERROR(__xludf.DUMMYFUNCTION("REGEXREPLACE(C31803,""-\d+(.*)|--\d+(.*)"","""")"),"CARNOULES")</f>
        <v>CARNOULES</v>
      </c>
      <c r="E31803" s="38" t="s">
        <v>813</v>
      </c>
      <c r="F31803" s="38" t="s">
        <v>228</v>
      </c>
      <c r="G31803" s="49" t="str">
        <f t="shared" si="1"/>
        <v>83660</v>
      </c>
      <c r="H31803" s="49">
        <f t="shared" si="2"/>
        <v>83033</v>
      </c>
    </row>
    <row r="31804">
      <c r="A31804" s="48" t="s">
        <v>4364</v>
      </c>
      <c r="B31804" s="38">
        <v>78324.0</v>
      </c>
      <c r="C31804" s="38" t="s">
        <v>36129</v>
      </c>
      <c r="D31804" s="38" t="str">
        <f>IFERROR(__xludf.DUMMYFUNCTION("REGEXREPLACE(C31804,""-\d+(.*)|--\d+(.*)"","""")"),"JOUY-MAUVOISIN")</f>
        <v>JOUY-MAUVOISIN</v>
      </c>
      <c r="E31804" s="38" t="s">
        <v>362</v>
      </c>
      <c r="F31804" s="38" t="s">
        <v>245</v>
      </c>
      <c r="G31804" s="49" t="str">
        <f t="shared" si="1"/>
        <v>78200</v>
      </c>
      <c r="H31804" s="49">
        <f t="shared" si="2"/>
        <v>78324</v>
      </c>
    </row>
    <row r="31805">
      <c r="A31805" s="48" t="s">
        <v>1124</v>
      </c>
      <c r="B31805" s="38">
        <v>61339.0</v>
      </c>
      <c r="C31805" s="38" t="s">
        <v>36130</v>
      </c>
      <c r="D31805" s="38" t="str">
        <f>IFERROR(__xludf.DUMMYFUNCTION("REGEXREPLACE(C31805,""-\d+(.*)|--\d+(.*)"","""")"),"PUTANGES-PONT-ECREPIN")</f>
        <v>PUTANGES-PONT-ECREPIN</v>
      </c>
      <c r="E31805" s="38" t="s">
        <v>141</v>
      </c>
      <c r="F31805" s="38" t="s">
        <v>138</v>
      </c>
      <c r="G31805" s="49" t="str">
        <f t="shared" si="1"/>
        <v>61210</v>
      </c>
      <c r="H31805" s="49">
        <f t="shared" si="2"/>
        <v>61339</v>
      </c>
    </row>
    <row r="31806">
      <c r="A31806" s="48" t="s">
        <v>7012</v>
      </c>
      <c r="B31806" s="38">
        <v>68174.0</v>
      </c>
      <c r="C31806" s="38" t="s">
        <v>36131</v>
      </c>
      <c r="D31806" s="38" t="str">
        <f>IFERROR(__xludf.DUMMYFUNCTION("REGEXREPLACE(C31806,""-\d+(.*)|--\d+(.*)"","""")"),"LANDSER")</f>
        <v>LANDSER</v>
      </c>
      <c r="E31806" s="38" t="s">
        <v>150</v>
      </c>
      <c r="F31806" s="38" t="s">
        <v>151</v>
      </c>
      <c r="G31806" s="49" t="str">
        <f t="shared" si="1"/>
        <v>68440</v>
      </c>
      <c r="H31806" s="49">
        <f t="shared" si="2"/>
        <v>68174</v>
      </c>
    </row>
    <row r="31807">
      <c r="A31807" s="48" t="s">
        <v>868</v>
      </c>
      <c r="B31807" s="38">
        <v>33088.0</v>
      </c>
      <c r="C31807" s="38" t="s">
        <v>36132</v>
      </c>
      <c r="D31807" s="38" t="str">
        <f>IFERROR(__xludf.DUMMYFUNCTION("REGEXREPLACE(C31807,""-\d+(.*)|--\d+(.*)"","""")"),"CAMPS-SUR-L'ISLE")</f>
        <v>CAMPS-SUR-L'ISLE</v>
      </c>
      <c r="E31807" s="38" t="s">
        <v>462</v>
      </c>
      <c r="F31807" s="38" t="s">
        <v>252</v>
      </c>
      <c r="G31807" s="49" t="str">
        <f t="shared" si="1"/>
        <v>33660</v>
      </c>
      <c r="H31807" s="49">
        <f t="shared" si="2"/>
        <v>33088</v>
      </c>
    </row>
    <row r="31808">
      <c r="A31808" s="48" t="s">
        <v>103</v>
      </c>
      <c r="B31808" s="38">
        <v>21575.0</v>
      </c>
      <c r="C31808" s="38" t="s">
        <v>36133</v>
      </c>
      <c r="D31808" s="38" t="str">
        <f>IFERROR(__xludf.DUMMYFUNCTION("REGEXREPLACE(C31808,""-\d+(.*)|--\d+(.*)"","""")"),"SAINT-SYMPHORIEN-SUR-SAONE")</f>
        <v>SAINT-SYMPHORIEN-SUR-SAONE</v>
      </c>
      <c r="E31808" s="38" t="s">
        <v>105</v>
      </c>
      <c r="F31808" s="38" t="s">
        <v>106</v>
      </c>
      <c r="G31808" s="49" t="str">
        <f t="shared" si="1"/>
        <v>21170</v>
      </c>
      <c r="H31808" s="49">
        <f t="shared" si="2"/>
        <v>21575</v>
      </c>
    </row>
    <row r="31809">
      <c r="A31809" s="48" t="s">
        <v>5616</v>
      </c>
      <c r="B31809" s="38">
        <v>71172.0</v>
      </c>
      <c r="C31809" s="38" t="s">
        <v>36134</v>
      </c>
      <c r="D31809" s="38" t="str">
        <f>IFERROR(__xludf.DUMMYFUNCTION("REGEXREPLACE(C31809,""-\d+(.*)|--\d+(.*)"","""")"),"DETTEY")</f>
        <v>DETTEY</v>
      </c>
      <c r="E31809" s="38" t="s">
        <v>344</v>
      </c>
      <c r="F31809" s="38" t="s">
        <v>106</v>
      </c>
      <c r="G31809" s="49" t="str">
        <f t="shared" si="1"/>
        <v>71190</v>
      </c>
      <c r="H31809" s="49">
        <f t="shared" si="2"/>
        <v>71172</v>
      </c>
    </row>
    <row r="31810">
      <c r="A31810" s="48" t="s">
        <v>445</v>
      </c>
      <c r="B31810" s="38">
        <v>76467.0</v>
      </c>
      <c r="C31810" s="38" t="s">
        <v>36135</v>
      </c>
      <c r="D31810" s="38" t="str">
        <f>IFERROR(__xludf.DUMMYFUNCTION("REGEXREPLACE(C31810,""-\d+(.*)|--\d+(.*)"","""")"),"NEVILLE")</f>
        <v>NEVILLE</v>
      </c>
      <c r="E31810" s="38" t="s">
        <v>133</v>
      </c>
      <c r="F31810" s="38" t="s">
        <v>134</v>
      </c>
      <c r="G31810" s="49" t="str">
        <f t="shared" si="1"/>
        <v>76460</v>
      </c>
      <c r="H31810" s="49">
        <f t="shared" si="2"/>
        <v>76467</v>
      </c>
    </row>
    <row r="31811">
      <c r="A31811" s="48" t="s">
        <v>6002</v>
      </c>
      <c r="B31811" s="38">
        <v>18098.0</v>
      </c>
      <c r="C31811" s="38" t="s">
        <v>36136</v>
      </c>
      <c r="D31811" s="38" t="str">
        <f>IFERROR(__xludf.DUMMYFUNCTION("REGEXREPLACE(C31811,""-\d+(.*)|--\d+(.*)"","""")"),"GARDEFORT")</f>
        <v>GARDEFORT</v>
      </c>
      <c r="E31811" s="38" t="s">
        <v>504</v>
      </c>
      <c r="F31811" s="38" t="s">
        <v>123</v>
      </c>
      <c r="G31811" s="49" t="str">
        <f t="shared" si="1"/>
        <v>18300</v>
      </c>
      <c r="H31811" s="49">
        <f t="shared" si="2"/>
        <v>18098</v>
      </c>
    </row>
    <row r="31812">
      <c r="A31812" s="48" t="s">
        <v>484</v>
      </c>
      <c r="B31812" s="38">
        <v>16220.0</v>
      </c>
      <c r="C31812" s="38" t="s">
        <v>36137</v>
      </c>
      <c r="D31812" s="38" t="str">
        <f>IFERROR(__xludf.DUMMYFUNCTION("REGEXREPLACE(C31812,""-\d+(.*)|--\d+(.*)"","""")"),"LES METAIRIES")</f>
        <v>LES METAIRIES</v>
      </c>
      <c r="E31812" s="38" t="s">
        <v>429</v>
      </c>
      <c r="F31812" s="38" t="s">
        <v>338</v>
      </c>
      <c r="G31812" s="49" t="str">
        <f t="shared" si="1"/>
        <v>16200</v>
      </c>
      <c r="H31812" s="49">
        <f t="shared" si="2"/>
        <v>16220</v>
      </c>
    </row>
    <row r="31813">
      <c r="A31813" s="48" t="s">
        <v>16193</v>
      </c>
      <c r="B31813" s="38">
        <v>73239.0</v>
      </c>
      <c r="C31813" s="38" t="s">
        <v>36138</v>
      </c>
      <c r="D31813" s="38" t="str">
        <f>IFERROR(__xludf.DUMMYFUNCTION("REGEXREPLACE(C31813,""-\d+(.*)|--\d+(.*)"","""")"),"SAINT-GIROD")</f>
        <v>SAINT-GIROD</v>
      </c>
      <c r="E31813" s="38" t="s">
        <v>306</v>
      </c>
      <c r="F31813" s="38" t="s">
        <v>102</v>
      </c>
      <c r="G31813" s="49" t="str">
        <f t="shared" si="1"/>
        <v>73410</v>
      </c>
      <c r="H31813" s="49">
        <f t="shared" si="2"/>
        <v>73239</v>
      </c>
    </row>
    <row r="31814">
      <c r="A31814" s="48" t="s">
        <v>484</v>
      </c>
      <c r="B31814" s="38">
        <v>16216.0</v>
      </c>
      <c r="C31814" s="38" t="s">
        <v>26869</v>
      </c>
      <c r="D31814" s="38" t="str">
        <f>IFERROR(__xludf.DUMMYFUNCTION("REGEXREPLACE(C31814,""-\d+(.*)|--\d+(.*)"","""")"),"MERIGNAC")</f>
        <v>MERIGNAC</v>
      </c>
      <c r="E31814" s="38" t="s">
        <v>429</v>
      </c>
      <c r="F31814" s="38" t="s">
        <v>338</v>
      </c>
      <c r="G31814" s="49" t="str">
        <f t="shared" si="1"/>
        <v>16200</v>
      </c>
      <c r="H31814" s="49">
        <f t="shared" si="2"/>
        <v>16216</v>
      </c>
    </row>
    <row r="31815">
      <c r="A31815" s="48" t="s">
        <v>396</v>
      </c>
      <c r="B31815" s="38">
        <v>71008.0</v>
      </c>
      <c r="C31815" s="38" t="s">
        <v>36139</v>
      </c>
      <c r="D31815" s="38" t="str">
        <f>IFERROR(__xludf.DUMMYFUNCTION("REGEXREPLACE(C31815,""-\d+(.*)|--\d+(.*)"","""")"),"ANGLURE-SOUS-DUN")</f>
        <v>ANGLURE-SOUS-DUN</v>
      </c>
      <c r="E31815" s="38" t="s">
        <v>344</v>
      </c>
      <c r="F31815" s="38" t="s">
        <v>106</v>
      </c>
      <c r="G31815" s="49" t="str">
        <f t="shared" si="1"/>
        <v>71170</v>
      </c>
      <c r="H31815" s="49">
        <f t="shared" si="2"/>
        <v>71008</v>
      </c>
    </row>
    <row r="31816">
      <c r="A31816" s="48" t="s">
        <v>2521</v>
      </c>
      <c r="B31816" s="38">
        <v>28363.0</v>
      </c>
      <c r="C31816" s="38" t="s">
        <v>36140</v>
      </c>
      <c r="D31816" s="38" t="str">
        <f>IFERROR(__xludf.DUMMYFUNCTION("REGEXREPLACE(C31816,""-\d+(.*)|--\d+(.*)"","""")"),"SAINVILLE")</f>
        <v>SAINVILLE</v>
      </c>
      <c r="E31816" s="38" t="s">
        <v>300</v>
      </c>
      <c r="F31816" s="38" t="s">
        <v>123</v>
      </c>
      <c r="G31816" s="49" t="str">
        <f t="shared" si="1"/>
        <v>28700</v>
      </c>
      <c r="H31816" s="49">
        <f t="shared" si="2"/>
        <v>28363</v>
      </c>
    </row>
    <row r="31817">
      <c r="A31817" s="48" t="s">
        <v>2642</v>
      </c>
      <c r="B31817" s="38">
        <v>37168.0</v>
      </c>
      <c r="C31817" s="38" t="s">
        <v>36141</v>
      </c>
      <c r="D31817" s="38" t="str">
        <f>IFERROR(__xludf.DUMMYFUNCTION("REGEXREPLACE(C31817,""-\d+(.*)|--\d+(.*)"","""")"),"NEUILLY-LE-BRIGNON")</f>
        <v>NEUILLY-LE-BRIGNON</v>
      </c>
      <c r="E31817" s="38" t="s">
        <v>205</v>
      </c>
      <c r="F31817" s="38" t="s">
        <v>123</v>
      </c>
      <c r="G31817" s="49" t="str">
        <f t="shared" si="1"/>
        <v>37160</v>
      </c>
      <c r="H31817" s="49">
        <f t="shared" si="2"/>
        <v>37168</v>
      </c>
    </row>
    <row r="31818">
      <c r="A31818" s="48" t="s">
        <v>3763</v>
      </c>
      <c r="B31818" s="38">
        <v>76149.0</v>
      </c>
      <c r="C31818" s="38" t="s">
        <v>36142</v>
      </c>
      <c r="D31818" s="38" t="str">
        <f>IFERROR(__xludf.DUMMYFUNCTION("REGEXREPLACE(C31818,""-\d+(.*)|--\d+(.*)"","""")"),"BUTOT")</f>
        <v>BUTOT</v>
      </c>
      <c r="E31818" s="38" t="s">
        <v>133</v>
      </c>
      <c r="F31818" s="38" t="s">
        <v>134</v>
      </c>
      <c r="G31818" s="49" t="str">
        <f t="shared" si="1"/>
        <v>76890</v>
      </c>
      <c r="H31818" s="49">
        <f t="shared" si="2"/>
        <v>76149</v>
      </c>
    </row>
    <row r="31819">
      <c r="A31819" s="48" t="s">
        <v>1781</v>
      </c>
      <c r="B31819" s="38">
        <v>27569.0</v>
      </c>
      <c r="C31819" s="38" t="s">
        <v>36143</v>
      </c>
      <c r="D31819" s="38" t="str">
        <f>IFERROR(__xludf.DUMMYFUNCTION("REGEXREPLACE(C31819,""-\d+(.*)|--\d+(.*)"","""")"),"SAINT-MARTIN-DU-TILLEUL")</f>
        <v>SAINT-MARTIN-DU-TILLEUL</v>
      </c>
      <c r="E31819" s="38" t="s">
        <v>241</v>
      </c>
      <c r="F31819" s="38" t="s">
        <v>134</v>
      </c>
      <c r="G31819" s="49" t="str">
        <f t="shared" si="1"/>
        <v>27300</v>
      </c>
      <c r="H31819" s="49">
        <f t="shared" si="2"/>
        <v>27569</v>
      </c>
    </row>
    <row r="31820">
      <c r="A31820" s="48" t="s">
        <v>811</v>
      </c>
      <c r="B31820" s="38">
        <v>83006.0</v>
      </c>
      <c r="C31820" s="38" t="s">
        <v>8725</v>
      </c>
      <c r="D31820" s="38" t="str">
        <f>IFERROR(__xludf.DUMMYFUNCTION("REGEXREPLACE(C31820,""-\d+(.*)|--\d+(.*)"","""")"),"ARTIGUES")</f>
        <v>ARTIGUES</v>
      </c>
      <c r="E31820" s="38" t="s">
        <v>813</v>
      </c>
      <c r="F31820" s="38" t="s">
        <v>228</v>
      </c>
      <c r="G31820" s="49" t="str">
        <f t="shared" si="1"/>
        <v>83560</v>
      </c>
      <c r="H31820" s="49">
        <f t="shared" si="2"/>
        <v>83006</v>
      </c>
    </row>
    <row r="31821">
      <c r="A31821" s="48" t="s">
        <v>5281</v>
      </c>
      <c r="B31821" s="38">
        <v>25587.0</v>
      </c>
      <c r="C31821" s="38" t="s">
        <v>34483</v>
      </c>
      <c r="D31821" s="38" t="str">
        <f>IFERROR(__xludf.DUMMYFUNCTION("REGEXREPLACE(C31821,""-\d+(.*)|--\d+(.*)"","""")"),"VAUCHAMPS")</f>
        <v>VAUCHAMPS</v>
      </c>
      <c r="E31821" s="38" t="s">
        <v>213</v>
      </c>
      <c r="F31821" s="38" t="s">
        <v>214</v>
      </c>
      <c r="G31821" s="49" t="str">
        <f t="shared" si="1"/>
        <v>25360</v>
      </c>
      <c r="H31821" s="49">
        <f t="shared" si="2"/>
        <v>25587</v>
      </c>
    </row>
    <row r="31822">
      <c r="A31822" s="48" t="s">
        <v>8345</v>
      </c>
      <c r="B31822" s="38">
        <v>10030.0</v>
      </c>
      <c r="C31822" s="38" t="s">
        <v>36144</v>
      </c>
      <c r="D31822" s="38" t="str">
        <f>IFERROR(__xludf.DUMMYFUNCTION("REGEXREPLACE(C31822,""-\d+(.*)|--\d+(.*)"","""")"),"BARBEREY-SAINT-SULPICE")</f>
        <v>BARBEREY-SAINT-SULPICE</v>
      </c>
      <c r="E31822" s="38" t="s">
        <v>147</v>
      </c>
      <c r="F31822" s="38" t="s">
        <v>130</v>
      </c>
      <c r="G31822" s="49" t="str">
        <f t="shared" si="1"/>
        <v>10600</v>
      </c>
      <c r="H31822" s="49">
        <f t="shared" si="2"/>
        <v>10030</v>
      </c>
    </row>
    <row r="31823">
      <c r="A31823" s="48" t="s">
        <v>7546</v>
      </c>
      <c r="B31823" s="38">
        <v>35284.0</v>
      </c>
      <c r="C31823" s="38" t="s">
        <v>36145</v>
      </c>
      <c r="D31823" s="38" t="str">
        <f>IFERROR(__xludf.DUMMYFUNCTION("REGEXREPLACE(C31823,""-\d+(.*)|--\d+(.*)"","""")"),"SAINT-JOUAN-DES-GUERETS")</f>
        <v>SAINT-JOUAN-DES-GUERETS</v>
      </c>
      <c r="E31823" s="38" t="s">
        <v>347</v>
      </c>
      <c r="F31823" s="38" t="s">
        <v>90</v>
      </c>
      <c r="G31823" s="49" t="str">
        <f t="shared" si="1"/>
        <v>35430</v>
      </c>
      <c r="H31823" s="49">
        <f t="shared" si="2"/>
        <v>35284</v>
      </c>
    </row>
    <row r="31824">
      <c r="A31824" s="48" t="s">
        <v>3912</v>
      </c>
      <c r="B31824" s="38">
        <v>38214.0</v>
      </c>
      <c r="C31824" s="38" t="s">
        <v>36146</v>
      </c>
      <c r="D31824" s="38" t="str">
        <f>IFERROR(__xludf.DUMMYFUNCTION("REGEXREPLACE(C31824,""-\d+(.*)|--\d+(.*)"","""")"),"LUMBIN")</f>
        <v>LUMBIN</v>
      </c>
      <c r="E31824" s="38" t="s">
        <v>101</v>
      </c>
      <c r="F31824" s="38" t="s">
        <v>102</v>
      </c>
      <c r="G31824" s="49" t="str">
        <f t="shared" si="1"/>
        <v>38660</v>
      </c>
      <c r="H31824" s="49">
        <f t="shared" si="2"/>
        <v>38214</v>
      </c>
    </row>
    <row r="31825">
      <c r="A31825" s="48" t="s">
        <v>36147</v>
      </c>
      <c r="B31825" s="38">
        <v>74309.0</v>
      </c>
      <c r="C31825" s="38" t="s">
        <v>23916</v>
      </c>
      <c r="D31825" s="38" t="str">
        <f>IFERROR(__xludf.DUMMYFUNCTION("REGEXREPLACE(C31825,""-\d+(.*)|--\d+(.*)"","""")"),"VIRY")</f>
        <v>VIRY</v>
      </c>
      <c r="E31825" s="38" t="s">
        <v>319</v>
      </c>
      <c r="F31825" s="38" t="s">
        <v>102</v>
      </c>
      <c r="G31825" s="49" t="str">
        <f t="shared" si="1"/>
        <v>74580</v>
      </c>
      <c r="H31825" s="49">
        <f t="shared" si="2"/>
        <v>74309</v>
      </c>
    </row>
    <row r="31826">
      <c r="A31826" s="48" t="s">
        <v>14652</v>
      </c>
      <c r="B31826" s="38">
        <v>2330.0</v>
      </c>
      <c r="C31826" s="38" t="s">
        <v>36148</v>
      </c>
      <c r="D31826" s="38" t="str">
        <f>IFERROR(__xludf.DUMMYFUNCTION("REGEXREPLACE(C31826,""-\d+(.*)|--\d+(.*)"","""")"),"FRANCILLY-SELENCY")</f>
        <v>FRANCILLY-SELENCY</v>
      </c>
      <c r="E31826" s="38" t="s">
        <v>191</v>
      </c>
      <c r="F31826" s="38" t="s">
        <v>113</v>
      </c>
      <c r="G31826" s="49" t="str">
        <f t="shared" si="1"/>
        <v>02760</v>
      </c>
      <c r="H31826" s="49" t="str">
        <f t="shared" si="2"/>
        <v>02330</v>
      </c>
    </row>
    <row r="31827">
      <c r="A31827" s="48" t="s">
        <v>2239</v>
      </c>
      <c r="B31827" s="38">
        <v>87129.0</v>
      </c>
      <c r="C31827" s="38" t="s">
        <v>36149</v>
      </c>
      <c r="D31827" s="38" t="str">
        <f>IFERROR(__xludf.DUMMYFUNCTION("REGEXREPLACE(C31827,""-\d+(.*)|--\d+(.*)"","""")"),"ROYERES")</f>
        <v>ROYERES</v>
      </c>
      <c r="E31827" s="38" t="s">
        <v>897</v>
      </c>
      <c r="F31827" s="38" t="s">
        <v>98</v>
      </c>
      <c r="G31827" s="49" t="str">
        <f t="shared" si="1"/>
        <v>87400</v>
      </c>
      <c r="H31827" s="49">
        <f t="shared" si="2"/>
        <v>87129</v>
      </c>
    </row>
    <row r="31828">
      <c r="A31828" s="48" t="s">
        <v>3077</v>
      </c>
      <c r="B31828" s="38">
        <v>32232.0</v>
      </c>
      <c r="C31828" s="38" t="s">
        <v>36150</v>
      </c>
      <c r="D31828" s="38" t="str">
        <f>IFERROR(__xludf.DUMMYFUNCTION("REGEXREPLACE(C31828,""-\d+(.*)|--\d+(.*)"","""")"),"MARAVAT")</f>
        <v>MARAVAT</v>
      </c>
      <c r="E31828" s="38" t="s">
        <v>440</v>
      </c>
      <c r="F31828" s="38" t="s">
        <v>94</v>
      </c>
      <c r="G31828" s="49" t="str">
        <f t="shared" si="1"/>
        <v>32120</v>
      </c>
      <c r="H31828" s="49">
        <f t="shared" si="2"/>
        <v>32232</v>
      </c>
    </row>
    <row r="31829">
      <c r="A31829" s="48" t="s">
        <v>656</v>
      </c>
      <c r="B31829" s="38">
        <v>61144.0</v>
      </c>
      <c r="C31829" s="38" t="s">
        <v>9856</v>
      </c>
      <c r="D31829" s="38" t="str">
        <f>IFERROR(__xludf.DUMMYFUNCTION("REGEXREPLACE(C31829,""-\d+(.*)|--\d+(.*)"","""")"),"DANCE")</f>
        <v>DANCE</v>
      </c>
      <c r="E31829" s="38" t="s">
        <v>141</v>
      </c>
      <c r="F31829" s="38" t="s">
        <v>138</v>
      </c>
      <c r="G31829" s="49" t="str">
        <f t="shared" si="1"/>
        <v>61340</v>
      </c>
      <c r="H31829" s="49">
        <f t="shared" si="2"/>
        <v>61144</v>
      </c>
    </row>
    <row r="31830">
      <c r="A31830" s="48" t="s">
        <v>36151</v>
      </c>
      <c r="B31830" s="38">
        <v>92026.0</v>
      </c>
      <c r="C31830" s="38" t="s">
        <v>36152</v>
      </c>
      <c r="D31830" s="38" t="str">
        <f>IFERROR(__xludf.DUMMYFUNCTION("REGEXREPLACE(C31830,""-\d+(.*)|--\d+(.*)"","""")"),"COURBEVOIE")</f>
        <v>COURBEVOIE</v>
      </c>
      <c r="E31830" s="38" t="s">
        <v>838</v>
      </c>
      <c r="F31830" s="38" t="s">
        <v>245</v>
      </c>
      <c r="G31830" s="49" t="str">
        <f t="shared" si="1"/>
        <v>92400</v>
      </c>
      <c r="H31830" s="49">
        <f t="shared" si="2"/>
        <v>92026</v>
      </c>
    </row>
    <row r="31831">
      <c r="A31831" s="48" t="s">
        <v>1638</v>
      </c>
      <c r="B31831" s="38">
        <v>70315.0</v>
      </c>
      <c r="C31831" s="38" t="s">
        <v>36153</v>
      </c>
      <c r="D31831" s="38" t="str">
        <f>IFERROR(__xludf.DUMMYFUNCTION("REGEXREPLACE(C31831,""-\d+(.*)|--\d+(.*)"","""")"),"MAGNONCOURT")</f>
        <v>MAGNONCOURT</v>
      </c>
      <c r="E31831" s="38" t="s">
        <v>956</v>
      </c>
      <c r="F31831" s="38" t="s">
        <v>214</v>
      </c>
      <c r="G31831" s="49" t="str">
        <f t="shared" si="1"/>
        <v>70800</v>
      </c>
      <c r="H31831" s="49">
        <f t="shared" si="2"/>
        <v>70315</v>
      </c>
    </row>
    <row r="31832">
      <c r="A31832" s="48" t="s">
        <v>36154</v>
      </c>
      <c r="B31832" s="38">
        <v>59155.0</v>
      </c>
      <c r="C31832" s="38" t="s">
        <v>36155</v>
      </c>
      <c r="D31832" s="38" t="str">
        <f>IFERROR(__xludf.DUMMYFUNCTION("REGEXREPLACE(C31832,""-\d+(.*)|--\d+(.*)"","""")"),"COUDEKERQUE-BRANCHE")</f>
        <v>COUDEKERQUE-BRANCHE</v>
      </c>
      <c r="E31832" s="38" t="s">
        <v>85</v>
      </c>
      <c r="F31832" s="38" t="s">
        <v>86</v>
      </c>
      <c r="G31832" s="49" t="str">
        <f t="shared" si="1"/>
        <v>59210</v>
      </c>
      <c r="H31832" s="49">
        <f t="shared" si="2"/>
        <v>59155</v>
      </c>
    </row>
    <row r="31833">
      <c r="A31833" s="48" t="s">
        <v>9385</v>
      </c>
      <c r="B31833" s="38">
        <v>89353.0</v>
      </c>
      <c r="C31833" s="38" t="s">
        <v>36156</v>
      </c>
      <c r="D31833" s="38" t="str">
        <f>IFERROR(__xludf.DUMMYFUNCTION("REGEXREPLACE(C31833,""-\d+(.*)|--\d+(.*)"","""")"),"SAINT-MARTIN-D'ORDON")</f>
        <v>SAINT-MARTIN-D'ORDON</v>
      </c>
      <c r="E31833" s="38" t="s">
        <v>275</v>
      </c>
      <c r="F31833" s="38" t="s">
        <v>106</v>
      </c>
      <c r="G31833" s="49" t="str">
        <f t="shared" si="1"/>
        <v>89330</v>
      </c>
      <c r="H31833" s="49">
        <f t="shared" si="2"/>
        <v>89353</v>
      </c>
    </row>
    <row r="31834">
      <c r="A31834" s="48" t="s">
        <v>860</v>
      </c>
      <c r="B31834" s="38">
        <v>80119.0</v>
      </c>
      <c r="C31834" s="38" t="s">
        <v>36157</v>
      </c>
      <c r="D31834" s="38" t="str">
        <f>IFERROR(__xludf.DUMMYFUNCTION("REGEXREPLACE(C31834,""-\d+(.*)|--\d+(.*)"","""")"),"BOUGAINVILLE")</f>
        <v>BOUGAINVILLE</v>
      </c>
      <c r="E31834" s="38" t="s">
        <v>224</v>
      </c>
      <c r="F31834" s="38" t="s">
        <v>113</v>
      </c>
      <c r="G31834" s="49" t="str">
        <f t="shared" si="1"/>
        <v>80540</v>
      </c>
      <c r="H31834" s="49">
        <f t="shared" si="2"/>
        <v>80119</v>
      </c>
    </row>
    <row r="31835">
      <c r="A31835" s="48" t="s">
        <v>1437</v>
      </c>
      <c r="B31835" s="38">
        <v>39194.0</v>
      </c>
      <c r="C31835" s="38" t="s">
        <v>36158</v>
      </c>
      <c r="D31835" s="38" t="str">
        <f>IFERROR(__xludf.DUMMYFUNCTION("REGEXREPLACE(C31835,""-\d+(.*)|--\d+(.*)"","""")"),"DESNES")</f>
        <v>DESNES</v>
      </c>
      <c r="E31835" s="38" t="s">
        <v>400</v>
      </c>
      <c r="F31835" s="38" t="s">
        <v>214</v>
      </c>
      <c r="G31835" s="49" t="str">
        <f t="shared" si="1"/>
        <v>39140</v>
      </c>
      <c r="H31835" s="49">
        <f t="shared" si="2"/>
        <v>39194</v>
      </c>
    </row>
    <row r="31836">
      <c r="A31836" s="48" t="s">
        <v>966</v>
      </c>
      <c r="B31836" s="38">
        <v>70101.0</v>
      </c>
      <c r="C31836" s="38" t="s">
        <v>36159</v>
      </c>
      <c r="D31836" s="38" t="str">
        <f>IFERROR(__xludf.DUMMYFUNCTION("REGEXREPLACE(C31836,""-\d+(.*)|--\d+(.*)"","""")"),"BROYE-AUBIGNEY-MONTSEUGNY")</f>
        <v>BROYE-AUBIGNEY-MONTSEUGNY</v>
      </c>
      <c r="E31836" s="38" t="s">
        <v>956</v>
      </c>
      <c r="F31836" s="38" t="s">
        <v>214</v>
      </c>
      <c r="G31836" s="49" t="str">
        <f t="shared" si="1"/>
        <v>70140</v>
      </c>
      <c r="H31836" s="49">
        <f t="shared" si="2"/>
        <v>70101</v>
      </c>
    </row>
    <row r="31837">
      <c r="A31837" s="48" t="s">
        <v>17943</v>
      </c>
      <c r="B31837" s="38">
        <v>60100.0</v>
      </c>
      <c r="C31837" s="38" t="s">
        <v>36160</v>
      </c>
      <c r="D31837" s="38" t="str">
        <f>IFERROR(__xludf.DUMMYFUNCTION("REGEXREPLACE(C31837,""-\d+(.*)|--\d+(.*)"","""")"),"BRASSEUSE")</f>
        <v>BRASSEUSE</v>
      </c>
      <c r="E31837" s="38" t="s">
        <v>112</v>
      </c>
      <c r="F31837" s="38" t="s">
        <v>113</v>
      </c>
      <c r="G31837" s="49" t="str">
        <f t="shared" si="1"/>
        <v>60810</v>
      </c>
      <c r="H31837" s="49">
        <f t="shared" si="2"/>
        <v>60100</v>
      </c>
    </row>
    <row r="31838">
      <c r="A31838" s="48" t="s">
        <v>2989</v>
      </c>
      <c r="B31838" s="38">
        <v>70503.0</v>
      </c>
      <c r="C31838" s="38" t="s">
        <v>36161</v>
      </c>
      <c r="D31838" s="38" t="str">
        <f>IFERROR(__xludf.DUMMYFUNCTION("REGEXREPLACE(C31838,""-\d+(.*)|--\d+(.*)"","""")"),"TRAITIEFONTAINE")</f>
        <v>TRAITIEFONTAINE</v>
      </c>
      <c r="E31838" s="38" t="s">
        <v>956</v>
      </c>
      <c r="F31838" s="38" t="s">
        <v>214</v>
      </c>
      <c r="G31838" s="49" t="str">
        <f t="shared" si="1"/>
        <v>70190</v>
      </c>
      <c r="H31838" s="49">
        <f t="shared" si="2"/>
        <v>70503</v>
      </c>
    </row>
    <row r="31839">
      <c r="A31839" s="48" t="s">
        <v>11086</v>
      </c>
      <c r="B31839" s="38">
        <v>7067.0</v>
      </c>
      <c r="C31839" s="38" t="s">
        <v>36162</v>
      </c>
      <c r="D31839" s="38" t="str">
        <f>IFERROR(__xludf.DUMMYFUNCTION("REGEXREPLACE(C31839,""-\d+(.*)|--\d+(.*)"","""")"),"COLOMBIER-LE-CARDINAL")</f>
        <v>COLOMBIER-LE-CARDINAL</v>
      </c>
      <c r="E31839" s="38" t="s">
        <v>144</v>
      </c>
      <c r="F31839" s="38" t="s">
        <v>102</v>
      </c>
      <c r="G31839" s="49" t="str">
        <f t="shared" si="1"/>
        <v>07430</v>
      </c>
      <c r="H31839" s="49" t="str">
        <f t="shared" si="2"/>
        <v>07067</v>
      </c>
    </row>
    <row r="31840">
      <c r="A31840" s="48" t="s">
        <v>1106</v>
      </c>
      <c r="B31840" s="38">
        <v>14039.0</v>
      </c>
      <c r="C31840" s="38" t="s">
        <v>18122</v>
      </c>
      <c r="D31840" s="38" t="str">
        <f>IFERROR(__xludf.DUMMYFUNCTION("REGEXREPLACE(C31840,""-\d+(.*)|--\d+(.*)"","""")"),"BARBERY")</f>
        <v>BARBERY</v>
      </c>
      <c r="E31840" s="38" t="s">
        <v>137</v>
      </c>
      <c r="F31840" s="38" t="s">
        <v>138</v>
      </c>
      <c r="G31840" s="49" t="str">
        <f t="shared" si="1"/>
        <v>14220</v>
      </c>
      <c r="H31840" s="49">
        <f t="shared" si="2"/>
        <v>14039</v>
      </c>
    </row>
    <row r="31841">
      <c r="A31841" s="48" t="s">
        <v>8054</v>
      </c>
      <c r="B31841" s="38">
        <v>95509.0</v>
      </c>
      <c r="C31841" s="38" t="s">
        <v>36163</v>
      </c>
      <c r="D31841" s="38" t="str">
        <f>IFERROR(__xludf.DUMMYFUNCTION("REGEXREPLACE(C31841,""-\d+(.*)|--\d+(.*)"","""")"),"PUISEUX-EN-FRANCE")</f>
        <v>PUISEUX-EN-FRANCE</v>
      </c>
      <c r="E31841" s="38" t="s">
        <v>541</v>
      </c>
      <c r="F31841" s="38" t="s">
        <v>245</v>
      </c>
      <c r="G31841" s="49" t="str">
        <f t="shared" si="1"/>
        <v>95380</v>
      </c>
      <c r="H31841" s="49">
        <f t="shared" si="2"/>
        <v>95509</v>
      </c>
    </row>
    <row r="31842">
      <c r="A31842" s="48" t="s">
        <v>1855</v>
      </c>
      <c r="B31842" s="38">
        <v>72027.0</v>
      </c>
      <c r="C31842" s="38" t="s">
        <v>36164</v>
      </c>
      <c r="D31842" s="38" t="str">
        <f>IFERROR(__xludf.DUMMYFUNCTION("REGEXREPLACE(C31842,""-\d+(.*)|--\d+(.*)"","""")"),"BEAUMONT-SUR-DEME")</f>
        <v>BEAUMONT-SUR-DEME</v>
      </c>
      <c r="E31842" s="38" t="s">
        <v>521</v>
      </c>
      <c r="F31842" s="38" t="s">
        <v>180</v>
      </c>
      <c r="G31842" s="49" t="str">
        <f t="shared" si="1"/>
        <v>72340</v>
      </c>
      <c r="H31842" s="49">
        <f t="shared" si="2"/>
        <v>72027</v>
      </c>
    </row>
    <row r="31843">
      <c r="A31843" s="48" t="s">
        <v>1016</v>
      </c>
      <c r="B31843" s="38">
        <v>28290.0</v>
      </c>
      <c r="C31843" s="38" t="s">
        <v>36165</v>
      </c>
      <c r="D31843" s="38" t="str">
        <f>IFERROR(__xludf.DUMMYFUNCTION("REGEXREPLACE(C31843,""-\d+(.*)|--\d+(.*)"","""")"),"ORROUER")</f>
        <v>ORROUER</v>
      </c>
      <c r="E31843" s="38" t="s">
        <v>300</v>
      </c>
      <c r="F31843" s="38" t="s">
        <v>123</v>
      </c>
      <c r="G31843" s="49" t="str">
        <f t="shared" si="1"/>
        <v>28190</v>
      </c>
      <c r="H31843" s="49">
        <f t="shared" si="2"/>
        <v>28290</v>
      </c>
    </row>
    <row r="31844">
      <c r="A31844" s="48" t="s">
        <v>7758</v>
      </c>
      <c r="B31844" s="38">
        <v>63338.0</v>
      </c>
      <c r="C31844" s="38" t="s">
        <v>36166</v>
      </c>
      <c r="D31844" s="38" t="str">
        <f>IFERROR(__xludf.DUMMYFUNCTION("REGEXREPLACE(C31844,""-\d+(.*)|--\d+(.*)"","""")"),"SAINT-ELOY-LES-MINES")</f>
        <v>SAINT-ELOY-LES-MINES</v>
      </c>
      <c r="E31844" s="38" t="s">
        <v>353</v>
      </c>
      <c r="F31844" s="38" t="s">
        <v>161</v>
      </c>
      <c r="G31844" s="49" t="str">
        <f t="shared" si="1"/>
        <v>63700</v>
      </c>
      <c r="H31844" s="49">
        <f t="shared" si="2"/>
        <v>63338</v>
      </c>
    </row>
    <row r="31845">
      <c r="A31845" s="48" t="s">
        <v>4536</v>
      </c>
      <c r="B31845" s="38">
        <v>77099.0</v>
      </c>
      <c r="C31845" s="38" t="s">
        <v>36167</v>
      </c>
      <c r="D31845" s="38" t="str">
        <f>IFERROR(__xludf.DUMMYFUNCTION("REGEXREPLACE(C31845,""-\d+(.*)|--\d+(.*)"","""")"),"CHATEAU-LANDON")</f>
        <v>CHATEAU-LANDON</v>
      </c>
      <c r="E31845" s="38" t="s">
        <v>244</v>
      </c>
      <c r="F31845" s="38" t="s">
        <v>245</v>
      </c>
      <c r="G31845" s="49" t="str">
        <f t="shared" si="1"/>
        <v>77570</v>
      </c>
      <c r="H31845" s="49">
        <f t="shared" si="2"/>
        <v>77099</v>
      </c>
    </row>
    <row r="31846">
      <c r="A31846" s="48" t="s">
        <v>3046</v>
      </c>
      <c r="B31846" s="38">
        <v>70054.0</v>
      </c>
      <c r="C31846" s="38" t="s">
        <v>36168</v>
      </c>
      <c r="D31846" s="38" t="str">
        <f>IFERROR(__xludf.DUMMYFUNCTION("REGEXREPLACE(C31846,""-\d+(.*)|--\d+(.*)"","""")"),"BATTRANS")</f>
        <v>BATTRANS</v>
      </c>
      <c r="E31846" s="38" t="s">
        <v>956</v>
      </c>
      <c r="F31846" s="38" t="s">
        <v>214</v>
      </c>
      <c r="G31846" s="49" t="str">
        <f t="shared" si="1"/>
        <v>70100</v>
      </c>
      <c r="H31846" s="49">
        <f t="shared" si="2"/>
        <v>70054</v>
      </c>
    </row>
    <row r="31847">
      <c r="A31847" s="48" t="s">
        <v>17203</v>
      </c>
      <c r="B31847" s="38" t="s">
        <v>36169</v>
      </c>
      <c r="C31847" s="38" t="s">
        <v>36170</v>
      </c>
      <c r="D31847" s="38" t="str">
        <f>IFERROR(__xludf.DUMMYFUNCTION("REGEXREPLACE(C31847,""-\d+(.*)|--\d+(.*)"","""")"),"MURO")</f>
        <v>MURO</v>
      </c>
      <c r="E31847" s="38" t="s">
        <v>743</v>
      </c>
      <c r="F31847" s="38" t="s">
        <v>607</v>
      </c>
      <c r="G31847" s="49" t="str">
        <f t="shared" si="1"/>
        <v>20225</v>
      </c>
      <c r="H31847" s="49" t="str">
        <f t="shared" si="2"/>
        <v>2B173</v>
      </c>
    </row>
    <row r="31848">
      <c r="A31848" s="48" t="s">
        <v>36171</v>
      </c>
      <c r="B31848" s="38">
        <v>59014.0</v>
      </c>
      <c r="C31848" s="38" t="s">
        <v>36172</v>
      </c>
      <c r="D31848" s="38" t="str">
        <f>IFERROR(__xludf.DUMMYFUNCTION("REGEXREPLACE(C31848,""-\d+(.*)|--\d+(.*)"","""")"),"ANZIN")</f>
        <v>ANZIN</v>
      </c>
      <c r="E31848" s="38" t="s">
        <v>85</v>
      </c>
      <c r="F31848" s="38" t="s">
        <v>86</v>
      </c>
      <c r="G31848" s="49" t="str">
        <f t="shared" si="1"/>
        <v>59410</v>
      </c>
      <c r="H31848" s="49">
        <f t="shared" si="2"/>
        <v>59014</v>
      </c>
    </row>
    <row r="31849">
      <c r="A31849" s="48" t="s">
        <v>10039</v>
      </c>
      <c r="B31849" s="38">
        <v>47171.0</v>
      </c>
      <c r="C31849" s="38" t="s">
        <v>36173</v>
      </c>
      <c r="D31849" s="38" t="str">
        <f>IFERROR(__xludf.DUMMYFUNCTION("REGEXREPLACE(C31849,""-\d+(.*)|--\d+(.*)"","""")"),"MONBALEN")</f>
        <v>MONBALEN</v>
      </c>
      <c r="E31849" s="38" t="s">
        <v>251</v>
      </c>
      <c r="F31849" s="38" t="s">
        <v>252</v>
      </c>
      <c r="G31849" s="49" t="str">
        <f t="shared" si="1"/>
        <v>47340</v>
      </c>
      <c r="H31849" s="49">
        <f t="shared" si="2"/>
        <v>47171</v>
      </c>
    </row>
    <row r="31850">
      <c r="A31850" s="48" t="s">
        <v>452</v>
      </c>
      <c r="B31850" s="38">
        <v>21253.0</v>
      </c>
      <c r="C31850" s="38" t="s">
        <v>36174</v>
      </c>
      <c r="D31850" s="38" t="str">
        <f>IFERROR(__xludf.DUMMYFUNCTION("REGEXREPLACE(C31850,""-\d+(.*)|--\d+(.*)"","""")"),"ETALANTE")</f>
        <v>ETALANTE</v>
      </c>
      <c r="E31850" s="38" t="s">
        <v>105</v>
      </c>
      <c r="F31850" s="38" t="s">
        <v>106</v>
      </c>
      <c r="G31850" s="49" t="str">
        <f t="shared" si="1"/>
        <v>21510</v>
      </c>
      <c r="H31850" s="49">
        <f t="shared" si="2"/>
        <v>21253</v>
      </c>
    </row>
    <row r="31851">
      <c r="A31851" s="48" t="s">
        <v>3077</v>
      </c>
      <c r="B31851" s="38">
        <v>32014.0</v>
      </c>
      <c r="C31851" s="38" t="s">
        <v>36175</v>
      </c>
      <c r="D31851" s="38" t="str">
        <f>IFERROR(__xludf.DUMMYFUNCTION("REGEXREPLACE(C31851,""-\d+(.*)|--\d+(.*)"","""")"),"AUGNAX")</f>
        <v>AUGNAX</v>
      </c>
      <c r="E31851" s="38" t="s">
        <v>440</v>
      </c>
      <c r="F31851" s="38" t="s">
        <v>94</v>
      </c>
      <c r="G31851" s="49" t="str">
        <f t="shared" si="1"/>
        <v>32120</v>
      </c>
      <c r="H31851" s="49">
        <f t="shared" si="2"/>
        <v>32014</v>
      </c>
    </row>
    <row r="31852">
      <c r="A31852" s="48" t="s">
        <v>1501</v>
      </c>
      <c r="B31852" s="38">
        <v>39258.0</v>
      </c>
      <c r="C31852" s="38" t="s">
        <v>36176</v>
      </c>
      <c r="D31852" s="38" t="str">
        <f>IFERROR(__xludf.DUMMYFUNCTION("REGEXREPLACE(C31852,""-\d+(.*)|--\d+(.*)"","""")"),"GRANDE-RIVIERE")</f>
        <v>GRANDE-RIVIERE</v>
      </c>
      <c r="E31852" s="38" t="s">
        <v>400</v>
      </c>
      <c r="F31852" s="38" t="s">
        <v>214</v>
      </c>
      <c r="G31852" s="49" t="str">
        <f t="shared" si="1"/>
        <v>39150</v>
      </c>
      <c r="H31852" s="49">
        <f t="shared" si="2"/>
        <v>39258</v>
      </c>
    </row>
    <row r="31853">
      <c r="A31853" s="48" t="s">
        <v>4434</v>
      </c>
      <c r="B31853" s="38">
        <v>31468.0</v>
      </c>
      <c r="C31853" s="38" t="s">
        <v>1952</v>
      </c>
      <c r="D31853" s="38" t="str">
        <f>IFERROR(__xludf.DUMMYFUNCTION("REGEXREPLACE(C31853,""-\d+(.*)|--\d+(.*)"","""")"),"SAINT-ANDRE")</f>
        <v>SAINT-ANDRE</v>
      </c>
      <c r="E31853" s="38" t="s">
        <v>93</v>
      </c>
      <c r="F31853" s="38" t="s">
        <v>94</v>
      </c>
      <c r="G31853" s="49" t="str">
        <f t="shared" si="1"/>
        <v>31420</v>
      </c>
      <c r="H31853" s="49">
        <f t="shared" si="2"/>
        <v>31468</v>
      </c>
    </row>
    <row r="31854">
      <c r="A31854" s="48" t="s">
        <v>3465</v>
      </c>
      <c r="B31854" s="38">
        <v>11375.0</v>
      </c>
      <c r="C31854" s="38" t="s">
        <v>36177</v>
      </c>
      <c r="D31854" s="38" t="str">
        <f>IFERROR(__xludf.DUMMYFUNCTION("REGEXREPLACE(C31854,""-\d+(.*)|--\d+(.*)"","""")"),"SEIGNALENS")</f>
        <v>SEIGNALENS</v>
      </c>
      <c r="E31854" s="38" t="s">
        <v>278</v>
      </c>
      <c r="F31854" s="38" t="s">
        <v>119</v>
      </c>
      <c r="G31854" s="49" t="str">
        <f t="shared" si="1"/>
        <v>11240</v>
      </c>
      <c r="H31854" s="49">
        <f t="shared" si="2"/>
        <v>11375</v>
      </c>
    </row>
    <row r="31855">
      <c r="A31855" s="48" t="s">
        <v>7760</v>
      </c>
      <c r="B31855" s="38">
        <v>54154.0</v>
      </c>
      <c r="C31855" s="38" t="s">
        <v>36178</v>
      </c>
      <c r="D31855" s="38" t="str">
        <f>IFERROR(__xludf.DUMMYFUNCTION("REGEXREPLACE(C31855,""-\d+(.*)|--\d+(.*)"","""")"),"DENEUVRE")</f>
        <v>DENEUVRE</v>
      </c>
      <c r="E31855" s="38" t="s">
        <v>548</v>
      </c>
      <c r="F31855" s="38" t="s">
        <v>195</v>
      </c>
      <c r="G31855" s="49" t="str">
        <f t="shared" si="1"/>
        <v>54120</v>
      </c>
      <c r="H31855" s="49">
        <f t="shared" si="2"/>
        <v>54154</v>
      </c>
    </row>
    <row r="31856">
      <c r="A31856" s="48" t="s">
        <v>1216</v>
      </c>
      <c r="B31856" s="38">
        <v>21527.0</v>
      </c>
      <c r="C31856" s="38" t="s">
        <v>36179</v>
      </c>
      <c r="D31856" s="38" t="str">
        <f>IFERROR(__xludf.DUMMYFUNCTION("REGEXREPLACE(C31856,""-\d+(.*)|--\d+(.*)"","""")"),"LA ROCHEPOT")</f>
        <v>LA ROCHEPOT</v>
      </c>
      <c r="E31856" s="38" t="s">
        <v>105</v>
      </c>
      <c r="F31856" s="38" t="s">
        <v>106</v>
      </c>
      <c r="G31856" s="49" t="str">
        <f t="shared" si="1"/>
        <v>21340</v>
      </c>
      <c r="H31856" s="49">
        <f t="shared" si="2"/>
        <v>21527</v>
      </c>
    </row>
    <row r="31857">
      <c r="A31857" s="48" t="s">
        <v>5200</v>
      </c>
      <c r="B31857" s="38">
        <v>45269.0</v>
      </c>
      <c r="C31857" s="38" t="s">
        <v>36180</v>
      </c>
      <c r="D31857" s="38" t="str">
        <f>IFERROR(__xludf.DUMMYFUNCTION("REGEXREPLACE(C31857,""-\d+(.*)|--\d+(.*)"","""")"),"SAINT-AY")</f>
        <v>SAINT-AY</v>
      </c>
      <c r="E31857" s="38" t="s">
        <v>122</v>
      </c>
      <c r="F31857" s="38" t="s">
        <v>123</v>
      </c>
      <c r="G31857" s="49" t="str">
        <f t="shared" si="1"/>
        <v>45130</v>
      </c>
      <c r="H31857" s="49">
        <f t="shared" si="2"/>
        <v>45269</v>
      </c>
    </row>
    <row r="31858">
      <c r="A31858" s="48" t="s">
        <v>5823</v>
      </c>
      <c r="B31858" s="38">
        <v>49354.0</v>
      </c>
      <c r="C31858" s="38" t="s">
        <v>36181</v>
      </c>
      <c r="D31858" s="38" t="str">
        <f>IFERROR(__xludf.DUMMYFUNCTION("REGEXREPLACE(C31858,""-\d+(.*)|--\d+(.*)"","""")"),"LE TREMBLAY")</f>
        <v>LE TREMBLAY</v>
      </c>
      <c r="E31858" s="38" t="s">
        <v>653</v>
      </c>
      <c r="F31858" s="38" t="s">
        <v>180</v>
      </c>
      <c r="G31858" s="49" t="str">
        <f t="shared" si="1"/>
        <v>49520</v>
      </c>
      <c r="H31858" s="49">
        <f t="shared" si="2"/>
        <v>49354</v>
      </c>
    </row>
    <row r="31859">
      <c r="A31859" s="48" t="s">
        <v>9965</v>
      </c>
      <c r="B31859" s="38">
        <v>19160.0</v>
      </c>
      <c r="C31859" s="38" t="s">
        <v>36182</v>
      </c>
      <c r="D31859" s="38" t="str">
        <f>IFERROR(__xludf.DUMMYFUNCTION("REGEXREPLACE(C31859,""-\d+(.*)|--\d+(.*)"","""")"),"PEROLS-SUR-VEZERE")</f>
        <v>PEROLS-SUR-VEZERE</v>
      </c>
      <c r="E31859" s="38" t="s">
        <v>271</v>
      </c>
      <c r="F31859" s="38" t="s">
        <v>98</v>
      </c>
      <c r="G31859" s="49" t="str">
        <f t="shared" si="1"/>
        <v>19170</v>
      </c>
      <c r="H31859" s="49">
        <f t="shared" si="2"/>
        <v>19160</v>
      </c>
    </row>
    <row r="31860">
      <c r="A31860" s="48" t="s">
        <v>5398</v>
      </c>
      <c r="B31860" s="38">
        <v>64452.0</v>
      </c>
      <c r="C31860" s="38" t="s">
        <v>36183</v>
      </c>
      <c r="D31860" s="38" t="str">
        <f>IFERROR(__xludf.DUMMYFUNCTION("REGEXREPLACE(C31860,""-\d+(.*)|--\d+(.*)"","""")"),"PONSON-DESSUS")</f>
        <v>PONSON-DESSUS</v>
      </c>
      <c r="E31860" s="38" t="s">
        <v>268</v>
      </c>
      <c r="F31860" s="38" t="s">
        <v>252</v>
      </c>
      <c r="G31860" s="49" t="str">
        <f t="shared" si="1"/>
        <v>64460</v>
      </c>
      <c r="H31860" s="49">
        <f t="shared" si="2"/>
        <v>64452</v>
      </c>
    </row>
    <row r="31861">
      <c r="A31861" s="48" t="s">
        <v>36184</v>
      </c>
      <c r="B31861" s="38">
        <v>38111.0</v>
      </c>
      <c r="C31861" s="38" t="s">
        <v>19733</v>
      </c>
      <c r="D31861" s="38" t="str">
        <f>IFERROR(__xludf.DUMMYFUNCTION("REGEXREPLACE(C31861,""-\d+(.*)|--\d+(.*)"","""")"),"CLAIX")</f>
        <v>CLAIX</v>
      </c>
      <c r="E31861" s="38" t="s">
        <v>101</v>
      </c>
      <c r="F31861" s="38" t="s">
        <v>102</v>
      </c>
      <c r="G31861" s="49" t="str">
        <f t="shared" si="1"/>
        <v>38640</v>
      </c>
      <c r="H31861" s="49">
        <f t="shared" si="2"/>
        <v>38111</v>
      </c>
    </row>
    <row r="31862">
      <c r="A31862" s="48" t="s">
        <v>1540</v>
      </c>
      <c r="B31862" s="38">
        <v>70535.0</v>
      </c>
      <c r="C31862" s="38" t="s">
        <v>36185</v>
      </c>
      <c r="D31862" s="38" t="str">
        <f>IFERROR(__xludf.DUMMYFUNCTION("REGEXREPLACE(C31862,""-\d+(.*)|--\d+(.*)"","""")"),"VELLEGUINDRY-ET-LEVRECEY")</f>
        <v>VELLEGUINDRY-ET-LEVRECEY</v>
      </c>
      <c r="E31862" s="38" t="s">
        <v>956</v>
      </c>
      <c r="F31862" s="38" t="s">
        <v>214</v>
      </c>
      <c r="G31862" s="49" t="str">
        <f t="shared" si="1"/>
        <v>70000</v>
      </c>
      <c r="H31862" s="49">
        <f t="shared" si="2"/>
        <v>70535</v>
      </c>
    </row>
    <row r="31863">
      <c r="A31863" s="48" t="s">
        <v>14076</v>
      </c>
      <c r="B31863" s="38">
        <v>7152.0</v>
      </c>
      <c r="C31863" s="38" t="s">
        <v>36186</v>
      </c>
      <c r="D31863" s="38" t="str">
        <f>IFERROR(__xludf.DUMMYFUNCTION("REGEXREPLACE(C31863,""-\d+(.*)|--\d+(.*)"","""")"),"MAUVES")</f>
        <v>MAUVES</v>
      </c>
      <c r="E31863" s="38" t="s">
        <v>144</v>
      </c>
      <c r="F31863" s="38" t="s">
        <v>102</v>
      </c>
      <c r="G31863" s="49" t="str">
        <f t="shared" si="1"/>
        <v>07300</v>
      </c>
      <c r="H31863" s="49" t="str">
        <f t="shared" si="2"/>
        <v>07152</v>
      </c>
    </row>
    <row r="31864">
      <c r="A31864" s="48" t="s">
        <v>616</v>
      </c>
      <c r="B31864" s="38">
        <v>89306.0</v>
      </c>
      <c r="C31864" s="38" t="s">
        <v>36187</v>
      </c>
      <c r="D31864" s="38" t="str">
        <f>IFERROR(__xludf.DUMMYFUNCTION("REGEXREPLACE(C31864,""-\d+(.*)|--\d+(.*)"","""")"),"PONTAUBERT")</f>
        <v>PONTAUBERT</v>
      </c>
      <c r="E31864" s="38" t="s">
        <v>275</v>
      </c>
      <c r="F31864" s="38" t="s">
        <v>106</v>
      </c>
      <c r="G31864" s="49" t="str">
        <f t="shared" si="1"/>
        <v>89200</v>
      </c>
      <c r="H31864" s="49">
        <f t="shared" si="2"/>
        <v>89306</v>
      </c>
    </row>
    <row r="31865">
      <c r="A31865" s="48" t="s">
        <v>12108</v>
      </c>
      <c r="B31865" s="38">
        <v>38248.0</v>
      </c>
      <c r="C31865" s="38" t="s">
        <v>4896</v>
      </c>
      <c r="D31865" s="38" t="str">
        <f>IFERROR(__xludf.DUMMYFUNCTION("REGEXREPLACE(C31865,""-\d+(.*)|--\d+(.*)"","""")"),"MONTAUD")</f>
        <v>MONTAUD</v>
      </c>
      <c r="E31865" s="38" t="s">
        <v>101</v>
      </c>
      <c r="F31865" s="38" t="s">
        <v>102</v>
      </c>
      <c r="G31865" s="49" t="str">
        <f t="shared" si="1"/>
        <v>38210</v>
      </c>
      <c r="H31865" s="49">
        <f t="shared" si="2"/>
        <v>38248</v>
      </c>
    </row>
    <row r="31866">
      <c r="A31866" s="48" t="s">
        <v>390</v>
      </c>
      <c r="B31866" s="38">
        <v>11102.0</v>
      </c>
      <c r="C31866" s="38" t="s">
        <v>36188</v>
      </c>
      <c r="D31866" s="38" t="str">
        <f>IFERROR(__xludf.DUMMYFUNCTION("REGEXREPLACE(C31866,""-\d+(.*)|--\d+(.*)"","""")"),"COUFFOULENS")</f>
        <v>COUFFOULENS</v>
      </c>
      <c r="E31866" s="38" t="s">
        <v>278</v>
      </c>
      <c r="F31866" s="38" t="s">
        <v>119</v>
      </c>
      <c r="G31866" s="49" t="str">
        <f t="shared" si="1"/>
        <v>11250</v>
      </c>
      <c r="H31866" s="49">
        <f t="shared" si="2"/>
        <v>11102</v>
      </c>
    </row>
    <row r="31867">
      <c r="A31867" s="48" t="s">
        <v>8393</v>
      </c>
      <c r="B31867" s="38">
        <v>80456.0</v>
      </c>
      <c r="C31867" s="38" t="s">
        <v>36189</v>
      </c>
      <c r="D31867" s="38" t="str">
        <f>IFERROR(__xludf.DUMMYFUNCTION("REGEXREPLACE(C31867,""-\d+(.*)|--\d+(.*)"","""")"),"LAFRESGUIMONT-SAINT-MARTIN")</f>
        <v>LAFRESGUIMONT-SAINT-MARTIN</v>
      </c>
      <c r="E31867" s="38" t="s">
        <v>224</v>
      </c>
      <c r="F31867" s="38" t="s">
        <v>113</v>
      </c>
      <c r="G31867" s="49" t="str">
        <f t="shared" si="1"/>
        <v>80430</v>
      </c>
      <c r="H31867" s="49">
        <f t="shared" si="2"/>
        <v>80456</v>
      </c>
    </row>
    <row r="31868">
      <c r="A31868" s="48" t="s">
        <v>3133</v>
      </c>
      <c r="B31868" s="38">
        <v>79062.0</v>
      </c>
      <c r="C31868" s="38" t="s">
        <v>36190</v>
      </c>
      <c r="D31868" s="38" t="str">
        <f>IFERROR(__xludf.DUMMYFUNCTION("REGEXREPLACE(C31868,""-\d+(.*)|--\d+(.*)"","""")"),"CERIZAY")</f>
        <v>CERIZAY</v>
      </c>
      <c r="E31868" s="38" t="s">
        <v>337</v>
      </c>
      <c r="F31868" s="38" t="s">
        <v>338</v>
      </c>
      <c r="G31868" s="49" t="str">
        <f t="shared" si="1"/>
        <v>79140</v>
      </c>
      <c r="H31868" s="49">
        <f t="shared" si="2"/>
        <v>79062</v>
      </c>
    </row>
    <row r="31869">
      <c r="A31869" s="48" t="s">
        <v>4036</v>
      </c>
      <c r="B31869" s="38">
        <v>49005.0</v>
      </c>
      <c r="C31869" s="38" t="s">
        <v>36191</v>
      </c>
      <c r="D31869" s="38" t="str">
        <f>IFERROR(__xludf.DUMMYFUNCTION("REGEXREPLACE(C31869,""-\d+(.*)|--\d+(.*)"","""")"),"ANDIGNE")</f>
        <v>ANDIGNE</v>
      </c>
      <c r="E31869" s="38" t="s">
        <v>653</v>
      </c>
      <c r="F31869" s="38" t="s">
        <v>180</v>
      </c>
      <c r="G31869" s="49" t="str">
        <f t="shared" si="1"/>
        <v>49220</v>
      </c>
      <c r="H31869" s="49">
        <f t="shared" si="2"/>
        <v>49005</v>
      </c>
    </row>
    <row r="31870">
      <c r="A31870" s="48" t="s">
        <v>3077</v>
      </c>
      <c r="B31870" s="38">
        <v>32229.0</v>
      </c>
      <c r="C31870" s="38" t="s">
        <v>36192</v>
      </c>
      <c r="D31870" s="38" t="str">
        <f>IFERROR(__xludf.DUMMYFUNCTION("REGEXREPLACE(C31870,""-\d+(.*)|--\d+(.*)"","""")"),"MANSEMPUY")</f>
        <v>MANSEMPUY</v>
      </c>
      <c r="E31870" s="38" t="s">
        <v>440</v>
      </c>
      <c r="F31870" s="38" t="s">
        <v>94</v>
      </c>
      <c r="G31870" s="49" t="str">
        <f t="shared" si="1"/>
        <v>32120</v>
      </c>
      <c r="H31870" s="49">
        <f t="shared" si="2"/>
        <v>32229</v>
      </c>
    </row>
    <row r="31871">
      <c r="A31871" s="48" t="s">
        <v>384</v>
      </c>
      <c r="B31871" s="38">
        <v>55488.0</v>
      </c>
      <c r="C31871" s="38" t="s">
        <v>36193</v>
      </c>
      <c r="D31871" s="38" t="str">
        <f>IFERROR(__xludf.DUMMYFUNCTION("REGEXREPLACE(C31871,""-\d+(.*)|--\d+(.*)"","""")"),"SILMONT")</f>
        <v>SILMONT</v>
      </c>
      <c r="E31871" s="38" t="s">
        <v>322</v>
      </c>
      <c r="F31871" s="38" t="s">
        <v>195</v>
      </c>
      <c r="G31871" s="49" t="str">
        <f t="shared" si="1"/>
        <v>55000</v>
      </c>
      <c r="H31871" s="49">
        <f t="shared" si="2"/>
        <v>55488</v>
      </c>
    </row>
    <row r="31872">
      <c r="A31872" s="48" t="s">
        <v>18830</v>
      </c>
      <c r="B31872" s="38">
        <v>22196.0</v>
      </c>
      <c r="C31872" s="38" t="s">
        <v>36194</v>
      </c>
      <c r="D31872" s="38" t="str">
        <f>IFERROR(__xludf.DUMMYFUNCTION("REGEXREPLACE(C31872,""-\d+(.*)|--\d+(.*)"","""")"),"PLEUDANIEL")</f>
        <v>PLEUDANIEL</v>
      </c>
      <c r="E31872" s="38" t="s">
        <v>89</v>
      </c>
      <c r="F31872" s="38" t="s">
        <v>90</v>
      </c>
      <c r="G31872" s="49" t="str">
        <f t="shared" si="1"/>
        <v>22740</v>
      </c>
      <c r="H31872" s="49">
        <f t="shared" si="2"/>
        <v>22196</v>
      </c>
    </row>
    <row r="31873">
      <c r="A31873" s="48" t="s">
        <v>916</v>
      </c>
      <c r="B31873" s="38">
        <v>76227.0</v>
      </c>
      <c r="C31873" s="38" t="s">
        <v>36195</v>
      </c>
      <c r="D31873" s="38" t="str">
        <f>IFERROR(__xludf.DUMMYFUNCTION("REGEXREPLACE(C31873,""-\d+(.*)|--\d+(.*)"","""")"),"ECTOT-L'AUBER")</f>
        <v>ECTOT-L'AUBER</v>
      </c>
      <c r="E31873" s="38" t="s">
        <v>133</v>
      </c>
      <c r="F31873" s="38" t="s">
        <v>134</v>
      </c>
      <c r="G31873" s="49" t="str">
        <f t="shared" si="1"/>
        <v>76760</v>
      </c>
      <c r="H31873" s="49">
        <f t="shared" si="2"/>
        <v>76227</v>
      </c>
    </row>
    <row r="31874">
      <c r="A31874" s="48" t="s">
        <v>2924</v>
      </c>
      <c r="B31874" s="38">
        <v>8416.0</v>
      </c>
      <c r="C31874" s="38" t="s">
        <v>36196</v>
      </c>
      <c r="D31874" s="38" t="str">
        <f>IFERROR(__xludf.DUMMYFUNCTION("REGEXREPLACE(C31874,""-\d+(.*)|--\d+(.*)"","""")"),"SEUIL")</f>
        <v>SEUIL</v>
      </c>
      <c r="E31874" s="38" t="s">
        <v>327</v>
      </c>
      <c r="F31874" s="38" t="s">
        <v>130</v>
      </c>
      <c r="G31874" s="49" t="str">
        <f t="shared" si="1"/>
        <v>08300</v>
      </c>
      <c r="H31874" s="49" t="str">
        <f t="shared" si="2"/>
        <v>08416</v>
      </c>
    </row>
    <row r="31875">
      <c r="A31875" s="48" t="s">
        <v>2204</v>
      </c>
      <c r="B31875" s="38">
        <v>42327.0</v>
      </c>
      <c r="C31875" s="38" t="s">
        <v>36197</v>
      </c>
      <c r="D31875" s="38" t="str">
        <f>IFERROR(__xludf.DUMMYFUNCTION("REGEXREPLACE(C31875,""-\d+(.*)|--\d+(.*)"","""")"),"VERIN")</f>
        <v>VERIN</v>
      </c>
      <c r="E31875" s="38" t="s">
        <v>166</v>
      </c>
      <c r="F31875" s="38" t="s">
        <v>102</v>
      </c>
      <c r="G31875" s="49" t="str">
        <f t="shared" si="1"/>
        <v>42410</v>
      </c>
      <c r="H31875" s="49">
        <f t="shared" si="2"/>
        <v>42327</v>
      </c>
    </row>
    <row r="31876">
      <c r="A31876" s="48" t="s">
        <v>1114</v>
      </c>
      <c r="B31876" s="38">
        <v>2754.0</v>
      </c>
      <c r="C31876" s="38" t="s">
        <v>36198</v>
      </c>
      <c r="D31876" s="38" t="str">
        <f>IFERROR(__xludf.DUMMYFUNCTION("REGEXREPLACE(C31876,""-\d+(.*)|--\d+(.*)"","""")"),"UGNY-LE-GAY")</f>
        <v>UGNY-LE-GAY</v>
      </c>
      <c r="E31876" s="38" t="s">
        <v>191</v>
      </c>
      <c r="F31876" s="38" t="s">
        <v>113</v>
      </c>
      <c r="G31876" s="49" t="str">
        <f t="shared" si="1"/>
        <v>02300</v>
      </c>
      <c r="H31876" s="49" t="str">
        <f t="shared" si="2"/>
        <v>02754</v>
      </c>
    </row>
    <row r="31877">
      <c r="A31877" s="48" t="s">
        <v>441</v>
      </c>
      <c r="B31877" s="38">
        <v>42047.0</v>
      </c>
      <c r="C31877" s="38" t="s">
        <v>36199</v>
      </c>
      <c r="D31877" s="38" t="str">
        <f>IFERROR(__xludf.DUMMYFUNCTION("REGEXREPLACE(C31877,""-\d+(.*)|--\d+(.*)"","""")"),"CHAMPOLY")</f>
        <v>CHAMPOLY</v>
      </c>
      <c r="E31877" s="38" t="s">
        <v>166</v>
      </c>
      <c r="F31877" s="38" t="s">
        <v>102</v>
      </c>
      <c r="G31877" s="49" t="str">
        <f t="shared" si="1"/>
        <v>42430</v>
      </c>
      <c r="H31877" s="49">
        <f t="shared" si="2"/>
        <v>42047</v>
      </c>
    </row>
    <row r="31878">
      <c r="A31878" s="48" t="s">
        <v>12029</v>
      </c>
      <c r="B31878" s="38">
        <v>84079.0</v>
      </c>
      <c r="C31878" s="38" t="s">
        <v>36200</v>
      </c>
      <c r="D31878" s="38" t="str">
        <f>IFERROR(__xludf.DUMMYFUNCTION("REGEXREPLACE(C31878,""-\d+(.*)|--\d+(.*)"","""")"),"MONIEUX")</f>
        <v>MONIEUX</v>
      </c>
      <c r="E31878" s="38" t="s">
        <v>1026</v>
      </c>
      <c r="F31878" s="38" t="s">
        <v>228</v>
      </c>
      <c r="G31878" s="49" t="str">
        <f t="shared" si="1"/>
        <v>84390</v>
      </c>
      <c r="H31878" s="49">
        <f t="shared" si="2"/>
        <v>84079</v>
      </c>
    </row>
    <row r="31879">
      <c r="A31879" s="48" t="s">
        <v>36201</v>
      </c>
      <c r="B31879" s="38">
        <v>62563.0</v>
      </c>
      <c r="C31879" s="38" t="s">
        <v>36202</v>
      </c>
      <c r="D31879" s="38" t="str">
        <f>IFERROR(__xludf.DUMMYFUNCTION("REGEXREPLACE(C31879,""-\d+(.*)|--\d+(.*)"","""")"),"MAZINGARBE")</f>
        <v>MAZINGARBE</v>
      </c>
      <c r="E31879" s="38" t="s">
        <v>109</v>
      </c>
      <c r="F31879" s="38" t="s">
        <v>86</v>
      </c>
      <c r="G31879" s="49" t="str">
        <f t="shared" si="1"/>
        <v>62670</v>
      </c>
      <c r="H31879" s="49">
        <f t="shared" si="2"/>
        <v>62563</v>
      </c>
    </row>
    <row r="31880">
      <c r="A31880" s="48" t="s">
        <v>3747</v>
      </c>
      <c r="B31880" s="38">
        <v>52257.0</v>
      </c>
      <c r="C31880" s="38" t="s">
        <v>36203</v>
      </c>
      <c r="D31880" s="38" t="str">
        <f>IFERROR(__xludf.DUMMYFUNCTION("REGEXREPLACE(C31880,""-\d+(.*)|--\d+(.*)"","""")"),"LAFERTE-SUR-AMANCE")</f>
        <v>LAFERTE-SUR-AMANCE</v>
      </c>
      <c r="E31880" s="38" t="s">
        <v>234</v>
      </c>
      <c r="F31880" s="38" t="s">
        <v>130</v>
      </c>
      <c r="G31880" s="49" t="str">
        <f t="shared" si="1"/>
        <v>52500</v>
      </c>
      <c r="H31880" s="49">
        <f t="shared" si="2"/>
        <v>52257</v>
      </c>
    </row>
    <row r="31881">
      <c r="A31881" s="48" t="s">
        <v>36204</v>
      </c>
      <c r="B31881" s="38">
        <v>37266.0</v>
      </c>
      <c r="C31881" s="38" t="s">
        <v>36205</v>
      </c>
      <c r="D31881" s="38" t="str">
        <f>IFERROR(__xludf.DUMMYFUNCTION("REGEXREPLACE(C31881,""-\d+(.*)|--\d+(.*)"","""")"),"VEIGNE")</f>
        <v>VEIGNE</v>
      </c>
      <c r="E31881" s="38" t="s">
        <v>205</v>
      </c>
      <c r="F31881" s="38" t="s">
        <v>123</v>
      </c>
      <c r="G31881" s="49" t="str">
        <f t="shared" si="1"/>
        <v>37250</v>
      </c>
      <c r="H31881" s="49">
        <f t="shared" si="2"/>
        <v>37266</v>
      </c>
    </row>
    <row r="31882">
      <c r="A31882" s="48" t="s">
        <v>1900</v>
      </c>
      <c r="B31882" s="38">
        <v>45017.0</v>
      </c>
      <c r="C31882" s="38" t="s">
        <v>36206</v>
      </c>
      <c r="D31882" s="38" t="str">
        <f>IFERROR(__xludf.DUMMYFUNCTION("REGEXREPLACE(C31882,""-\d+(.*)|--\d+(.*)"","""")"),"AUVILLIERS-EN-GATINAIS")</f>
        <v>AUVILLIERS-EN-GATINAIS</v>
      </c>
      <c r="E31882" s="38" t="s">
        <v>122</v>
      </c>
      <c r="F31882" s="38" t="s">
        <v>123</v>
      </c>
      <c r="G31882" s="49" t="str">
        <f t="shared" si="1"/>
        <v>45270</v>
      </c>
      <c r="H31882" s="49">
        <f t="shared" si="2"/>
        <v>45017</v>
      </c>
    </row>
    <row r="31883">
      <c r="A31883" s="48" t="s">
        <v>5608</v>
      </c>
      <c r="B31883" s="38">
        <v>57008.0</v>
      </c>
      <c r="C31883" s="38" t="s">
        <v>36207</v>
      </c>
      <c r="D31883" s="38" t="str">
        <f>IFERROR(__xludf.DUMMYFUNCTION("REGEXREPLACE(C31883,""-\d+(.*)|--\d+(.*)"","""")"),"ADELANGE")</f>
        <v>ADELANGE</v>
      </c>
      <c r="E31883" s="38" t="s">
        <v>303</v>
      </c>
      <c r="F31883" s="38" t="s">
        <v>195</v>
      </c>
      <c r="G31883" s="49" t="str">
        <f t="shared" si="1"/>
        <v>57380</v>
      </c>
      <c r="H31883" s="49">
        <f t="shared" si="2"/>
        <v>57008</v>
      </c>
    </row>
    <row r="31884">
      <c r="A31884" s="48" t="s">
        <v>6266</v>
      </c>
      <c r="B31884" s="38">
        <v>76222.0</v>
      </c>
      <c r="C31884" s="38" t="s">
        <v>36208</v>
      </c>
      <c r="D31884" s="38" t="str">
        <f>IFERROR(__xludf.DUMMYFUNCTION("REGEXREPLACE(C31884,""-\d+(.*)|--\d+(.*)"","""")"),"DUCLAIR")</f>
        <v>DUCLAIR</v>
      </c>
      <c r="E31884" s="38" t="s">
        <v>133</v>
      </c>
      <c r="F31884" s="38" t="s">
        <v>134</v>
      </c>
      <c r="G31884" s="49" t="str">
        <f t="shared" si="1"/>
        <v>76480</v>
      </c>
      <c r="H31884" s="49">
        <f t="shared" si="2"/>
        <v>76222</v>
      </c>
    </row>
    <row r="31885">
      <c r="A31885" s="48" t="s">
        <v>36209</v>
      </c>
      <c r="B31885" s="38">
        <v>59028.0</v>
      </c>
      <c r="C31885" s="38" t="s">
        <v>36210</v>
      </c>
      <c r="D31885" s="38" t="str">
        <f>IFERROR(__xludf.DUMMYFUNCTION("REGEXREPLACE(C31885,""-\d+(.*)|--\d+(.*)"","""")"),"AUBY")</f>
        <v>AUBY</v>
      </c>
      <c r="E31885" s="38" t="s">
        <v>85</v>
      </c>
      <c r="F31885" s="38" t="s">
        <v>86</v>
      </c>
      <c r="G31885" s="49" t="str">
        <f t="shared" si="1"/>
        <v>59950</v>
      </c>
      <c r="H31885" s="49">
        <f t="shared" si="2"/>
        <v>59028</v>
      </c>
    </row>
    <row r="31886">
      <c r="A31886" s="48" t="s">
        <v>1872</v>
      </c>
      <c r="B31886" s="38">
        <v>80477.0</v>
      </c>
      <c r="C31886" s="38" t="s">
        <v>36211</v>
      </c>
      <c r="D31886" s="38" t="str">
        <f>IFERROR(__xludf.DUMMYFUNCTION("REGEXREPLACE(C31886,""-\d+(.*)|--\d+(.*)"","""")"),"LIGESCOURT")</f>
        <v>LIGESCOURT</v>
      </c>
      <c r="E31886" s="38" t="s">
        <v>224</v>
      </c>
      <c r="F31886" s="38" t="s">
        <v>113</v>
      </c>
      <c r="G31886" s="49" t="str">
        <f t="shared" si="1"/>
        <v>80150</v>
      </c>
      <c r="H31886" s="49">
        <f t="shared" si="2"/>
        <v>80477</v>
      </c>
    </row>
    <row r="31887">
      <c r="A31887" s="48" t="s">
        <v>576</v>
      </c>
      <c r="B31887" s="38">
        <v>54480.0</v>
      </c>
      <c r="C31887" s="38" t="s">
        <v>3189</v>
      </c>
      <c r="D31887" s="38" t="str">
        <f>IFERROR(__xludf.DUMMYFUNCTION("REGEXREPLACE(C31887,""-\d+(.*)|--\d+(.*)"","""")"),"SAINT-MARTIN")</f>
        <v>SAINT-MARTIN</v>
      </c>
      <c r="E31887" s="38" t="s">
        <v>548</v>
      </c>
      <c r="F31887" s="38" t="s">
        <v>195</v>
      </c>
      <c r="G31887" s="49" t="str">
        <f t="shared" si="1"/>
        <v>54450</v>
      </c>
      <c r="H31887" s="49">
        <f t="shared" si="2"/>
        <v>54480</v>
      </c>
    </row>
    <row r="31888">
      <c r="A31888" s="48" t="s">
        <v>1441</v>
      </c>
      <c r="B31888" s="38">
        <v>52037.0</v>
      </c>
      <c r="C31888" s="38" t="s">
        <v>14152</v>
      </c>
      <c r="D31888" s="38" t="str">
        <f>IFERROR(__xludf.DUMMYFUNCTION("REGEXREPLACE(C31888,""-\d+(.*)|--\d+(.*)"","""")"),"BANNES")</f>
        <v>BANNES</v>
      </c>
      <c r="E31888" s="38" t="s">
        <v>234</v>
      </c>
      <c r="F31888" s="38" t="s">
        <v>130</v>
      </c>
      <c r="G31888" s="49" t="str">
        <f t="shared" si="1"/>
        <v>52360</v>
      </c>
      <c r="H31888" s="49">
        <f t="shared" si="2"/>
        <v>52037</v>
      </c>
    </row>
    <row r="31889">
      <c r="A31889" s="48" t="s">
        <v>36212</v>
      </c>
      <c r="B31889" s="38">
        <v>19211.0</v>
      </c>
      <c r="C31889" s="38" t="s">
        <v>36213</v>
      </c>
      <c r="D31889" s="38" t="str">
        <f>IFERROR(__xludf.DUMMYFUNCTION("REGEXREPLACE(C31889,""-\d+(.*)|--\d+(.*)"","""")"),"SAINT-HILAIRE-PEYROUX")</f>
        <v>SAINT-HILAIRE-PEYROUX</v>
      </c>
      <c r="E31889" s="38" t="s">
        <v>271</v>
      </c>
      <c r="F31889" s="38" t="s">
        <v>98</v>
      </c>
      <c r="G31889" s="49" t="str">
        <f t="shared" si="1"/>
        <v>19560</v>
      </c>
      <c r="H31889" s="49">
        <f t="shared" si="2"/>
        <v>19211</v>
      </c>
    </row>
    <row r="31890">
      <c r="A31890" s="48" t="s">
        <v>15924</v>
      </c>
      <c r="B31890" s="38">
        <v>57142.0</v>
      </c>
      <c r="C31890" s="38" t="s">
        <v>36214</v>
      </c>
      <c r="D31890" s="38" t="str">
        <f>IFERROR(__xludf.DUMMYFUNCTION("REGEXREPLACE(C31890,""-\d+(.*)|--\d+(.*)"","""")"),"CHIEULLES")</f>
        <v>CHIEULLES</v>
      </c>
      <c r="E31890" s="38" t="s">
        <v>303</v>
      </c>
      <c r="F31890" s="38" t="s">
        <v>195</v>
      </c>
      <c r="G31890" s="49" t="str">
        <f t="shared" si="1"/>
        <v>57070</v>
      </c>
      <c r="H31890" s="49">
        <f t="shared" si="2"/>
        <v>57142</v>
      </c>
    </row>
    <row r="31891">
      <c r="A31891" s="48" t="s">
        <v>7968</v>
      </c>
      <c r="B31891" s="38">
        <v>74126.0</v>
      </c>
      <c r="C31891" s="38" t="s">
        <v>36215</v>
      </c>
      <c r="D31891" s="38" t="str">
        <f>IFERROR(__xludf.DUMMYFUNCTION("REGEXREPLACE(C31891,""-\d+(.*)|--\d+(.*)"","""")"),"FESSY")</f>
        <v>FESSY</v>
      </c>
      <c r="E31891" s="38" t="s">
        <v>319</v>
      </c>
      <c r="F31891" s="38" t="s">
        <v>102</v>
      </c>
      <c r="G31891" s="49" t="str">
        <f t="shared" si="1"/>
        <v>74890</v>
      </c>
      <c r="H31891" s="49">
        <f t="shared" si="2"/>
        <v>74126</v>
      </c>
    </row>
    <row r="31892">
      <c r="A31892" s="48" t="s">
        <v>1452</v>
      </c>
      <c r="B31892" s="38">
        <v>55545.0</v>
      </c>
      <c r="C31892" s="38" t="s">
        <v>24698</v>
      </c>
      <c r="D31892" s="38" t="str">
        <f>IFERROR(__xludf.DUMMYFUNCTION("REGEXREPLACE(C31892,""-\d+(.*)|--\d+(.*)"","""")"),"VERDUN")</f>
        <v>VERDUN</v>
      </c>
      <c r="E31892" s="38" t="s">
        <v>322</v>
      </c>
      <c r="F31892" s="38" t="s">
        <v>195</v>
      </c>
      <c r="G31892" s="49" t="str">
        <f t="shared" si="1"/>
        <v>55100</v>
      </c>
      <c r="H31892" s="49">
        <f t="shared" si="2"/>
        <v>55545</v>
      </c>
    </row>
    <row r="31893">
      <c r="A31893" s="48" t="s">
        <v>1626</v>
      </c>
      <c r="B31893" s="38">
        <v>44159.0</v>
      </c>
      <c r="C31893" s="38" t="s">
        <v>36216</v>
      </c>
      <c r="D31893" s="38" t="str">
        <f>IFERROR(__xludf.DUMMYFUNCTION("REGEXREPLACE(C31893,""-\d+(.*)|--\d+(.*)"","""")"),"SAINT-FIACRE-SUR-MAINE")</f>
        <v>SAINT-FIACRE-SUR-MAINE</v>
      </c>
      <c r="E31893" s="38" t="s">
        <v>759</v>
      </c>
      <c r="F31893" s="38" t="s">
        <v>180</v>
      </c>
      <c r="G31893" s="49" t="str">
        <f t="shared" si="1"/>
        <v>44690</v>
      </c>
      <c r="H31893" s="49">
        <f t="shared" si="2"/>
        <v>44159</v>
      </c>
    </row>
    <row r="31894">
      <c r="A31894" s="48" t="s">
        <v>8320</v>
      </c>
      <c r="B31894" s="38">
        <v>1077.0</v>
      </c>
      <c r="C31894" s="38" t="s">
        <v>36217</v>
      </c>
      <c r="D31894" s="38" t="str">
        <f>IFERROR(__xludf.DUMMYFUNCTION("REGEXREPLACE(C31894,""-\d+(.*)|--\d+(.*)"","""")"),"CHALLES-LA-MONTAGNE")</f>
        <v>CHALLES-LA-MONTAGNE</v>
      </c>
      <c r="E31894" s="38" t="s">
        <v>255</v>
      </c>
      <c r="F31894" s="38" t="s">
        <v>102</v>
      </c>
      <c r="G31894" s="49" t="str">
        <f t="shared" si="1"/>
        <v>01450</v>
      </c>
      <c r="H31894" s="49" t="str">
        <f t="shared" si="2"/>
        <v>01077</v>
      </c>
    </row>
    <row r="31895">
      <c r="A31895" s="48" t="s">
        <v>9133</v>
      </c>
      <c r="B31895" s="38">
        <v>34257.0</v>
      </c>
      <c r="C31895" s="38" t="s">
        <v>36218</v>
      </c>
      <c r="D31895" s="38" t="str">
        <f>IFERROR(__xludf.DUMMYFUNCTION("REGEXREPLACE(C31895,""-\d+(.*)|--\d+(.*)"","""")"),"SAINT-GENIES-DE-VARENSAL")</f>
        <v>SAINT-GENIES-DE-VARENSAL</v>
      </c>
      <c r="E31895" s="38" t="s">
        <v>118</v>
      </c>
      <c r="F31895" s="38" t="s">
        <v>119</v>
      </c>
      <c r="G31895" s="49" t="str">
        <f t="shared" si="1"/>
        <v>34610</v>
      </c>
      <c r="H31895" s="49">
        <f t="shared" si="2"/>
        <v>34257</v>
      </c>
    </row>
    <row r="31896">
      <c r="A31896" s="48" t="s">
        <v>26042</v>
      </c>
      <c r="B31896" s="38">
        <v>26118.0</v>
      </c>
      <c r="C31896" s="38" t="s">
        <v>36219</v>
      </c>
      <c r="D31896" s="38" t="str">
        <f>IFERROR(__xludf.DUMMYFUNCTION("REGEXREPLACE(C31896,""-\d+(.*)|--\d+(.*)"","""")"),"EPINOUZE")</f>
        <v>EPINOUZE</v>
      </c>
      <c r="E31896" s="38" t="s">
        <v>126</v>
      </c>
      <c r="F31896" s="38" t="s">
        <v>102</v>
      </c>
      <c r="G31896" s="49" t="str">
        <f t="shared" si="1"/>
        <v>26210</v>
      </c>
      <c r="H31896" s="49">
        <f t="shared" si="2"/>
        <v>26118</v>
      </c>
    </row>
    <row r="31897">
      <c r="A31897" s="48" t="s">
        <v>5463</v>
      </c>
      <c r="B31897" s="38">
        <v>26150.0</v>
      </c>
      <c r="C31897" s="38" t="s">
        <v>36220</v>
      </c>
      <c r="D31897" s="38" t="str">
        <f>IFERROR(__xludf.DUMMYFUNCTION("REGEXREPLACE(C31897,""-\d+(.*)|--\d+(.*)"","""")"),"IZON-LA-BRUISSE")</f>
        <v>IZON-LA-BRUISSE</v>
      </c>
      <c r="E31897" s="38" t="s">
        <v>126</v>
      </c>
      <c r="F31897" s="38" t="s">
        <v>102</v>
      </c>
      <c r="G31897" s="49" t="str">
        <f t="shared" si="1"/>
        <v>26560</v>
      </c>
      <c r="H31897" s="49">
        <f t="shared" si="2"/>
        <v>26150</v>
      </c>
    </row>
    <row r="31898">
      <c r="A31898" s="48" t="s">
        <v>4412</v>
      </c>
      <c r="B31898" s="38">
        <v>68193.0</v>
      </c>
      <c r="C31898" s="38" t="s">
        <v>36221</v>
      </c>
      <c r="D31898" s="38" t="str">
        <f>IFERROR(__xludf.DUMMYFUNCTION("REGEXREPLACE(C31898,""-\d+(.*)|--\d+(.*)"","""")"),"LUTTENBACH-PRES-MUNSTER")</f>
        <v>LUTTENBACH-PRES-MUNSTER</v>
      </c>
      <c r="E31898" s="38" t="s">
        <v>150</v>
      </c>
      <c r="F31898" s="38" t="s">
        <v>151</v>
      </c>
      <c r="G31898" s="49" t="str">
        <f t="shared" si="1"/>
        <v>68140</v>
      </c>
      <c r="H31898" s="49">
        <f t="shared" si="2"/>
        <v>68193</v>
      </c>
    </row>
    <row r="31899">
      <c r="A31899" s="48" t="s">
        <v>2893</v>
      </c>
      <c r="B31899" s="38">
        <v>27259.0</v>
      </c>
      <c r="C31899" s="38" t="s">
        <v>36222</v>
      </c>
      <c r="D31899" s="38" t="str">
        <f>IFERROR(__xludf.DUMMYFUNCTION("REGEXREPLACE(C31899,""-\d+(.*)|--\d+(.*)"","""")"),"FOUCRAINVILLE")</f>
        <v>FOUCRAINVILLE</v>
      </c>
      <c r="E31899" s="38" t="s">
        <v>241</v>
      </c>
      <c r="F31899" s="38" t="s">
        <v>134</v>
      </c>
      <c r="G31899" s="49" t="str">
        <f t="shared" si="1"/>
        <v>27220</v>
      </c>
      <c r="H31899" s="49">
        <f t="shared" si="2"/>
        <v>27259</v>
      </c>
    </row>
    <row r="31900">
      <c r="A31900" s="48" t="s">
        <v>4799</v>
      </c>
      <c r="B31900" s="38">
        <v>38187.0</v>
      </c>
      <c r="C31900" s="38" t="s">
        <v>11790</v>
      </c>
      <c r="D31900" s="38" t="str">
        <f>IFERROR(__xludf.DUMMYFUNCTION("REGEXREPLACE(C31900,""-\d+(.*)|--\d+(.*)"","""")"),"LE GUA")</f>
        <v>LE GUA</v>
      </c>
      <c r="E31900" s="38" t="s">
        <v>101</v>
      </c>
      <c r="F31900" s="38" t="s">
        <v>102</v>
      </c>
      <c r="G31900" s="49" t="str">
        <f t="shared" si="1"/>
        <v>38450</v>
      </c>
      <c r="H31900" s="49">
        <f t="shared" si="2"/>
        <v>38187</v>
      </c>
    </row>
    <row r="31901">
      <c r="A31901" s="48" t="s">
        <v>6200</v>
      </c>
      <c r="B31901" s="38">
        <v>86166.0</v>
      </c>
      <c r="C31901" s="38" t="s">
        <v>36223</v>
      </c>
      <c r="D31901" s="38" t="str">
        <f>IFERROR(__xludf.DUMMYFUNCTION("REGEXREPLACE(C31901,""-\d+(.*)|--\d+(.*)"","""")"),"MONTREUIL-BONNIN")</f>
        <v>MONTREUIL-BONNIN</v>
      </c>
      <c r="E31901" s="38" t="s">
        <v>529</v>
      </c>
      <c r="F31901" s="38" t="s">
        <v>338</v>
      </c>
      <c r="G31901" s="49" t="str">
        <f t="shared" si="1"/>
        <v>86470</v>
      </c>
      <c r="H31901" s="49">
        <f t="shared" si="2"/>
        <v>86166</v>
      </c>
    </row>
    <row r="31902">
      <c r="A31902" s="48" t="s">
        <v>1036</v>
      </c>
      <c r="B31902" s="38">
        <v>57486.0</v>
      </c>
      <c r="C31902" s="38" t="s">
        <v>36224</v>
      </c>
      <c r="D31902" s="38" t="str">
        <f>IFERROR(__xludf.DUMMYFUNCTION("REGEXREPLACE(C31902,""-\d+(.*)|--\d+(.*)"","""")"),"MORVILLE-SUR-NIED")</f>
        <v>MORVILLE-SUR-NIED</v>
      </c>
      <c r="E31902" s="38" t="s">
        <v>303</v>
      </c>
      <c r="F31902" s="38" t="s">
        <v>195</v>
      </c>
      <c r="G31902" s="49" t="str">
        <f t="shared" si="1"/>
        <v>57590</v>
      </c>
      <c r="H31902" s="49">
        <f t="shared" si="2"/>
        <v>57486</v>
      </c>
    </row>
    <row r="31903">
      <c r="A31903" s="48" t="s">
        <v>17658</v>
      </c>
      <c r="B31903" s="38">
        <v>71269.0</v>
      </c>
      <c r="C31903" s="38" t="s">
        <v>21769</v>
      </c>
      <c r="D31903" s="38" t="str">
        <f>IFERROR(__xludf.DUMMYFUNCTION("REGEXREPLACE(C31903,""-\d+(.*)|--\d+(.*)"","""")"),"LUX")</f>
        <v>LUX</v>
      </c>
      <c r="E31903" s="38" t="s">
        <v>344</v>
      </c>
      <c r="F31903" s="38" t="s">
        <v>106</v>
      </c>
      <c r="G31903" s="49" t="str">
        <f t="shared" si="1"/>
        <v>71100</v>
      </c>
      <c r="H31903" s="49">
        <f t="shared" si="2"/>
        <v>71269</v>
      </c>
    </row>
    <row r="31904">
      <c r="A31904" s="48" t="s">
        <v>1861</v>
      </c>
      <c r="B31904" s="38">
        <v>46335.0</v>
      </c>
      <c r="C31904" s="38" t="s">
        <v>36225</v>
      </c>
      <c r="D31904" s="38" t="str">
        <f>IFERROR(__xludf.DUMMYFUNCTION("REGEXREPLACE(C31904,""-\d+(.*)|--\d+(.*)"","""")"),"VILLESEQUE")</f>
        <v>VILLESEQUE</v>
      </c>
      <c r="E31904" s="38" t="s">
        <v>185</v>
      </c>
      <c r="F31904" s="38" t="s">
        <v>94</v>
      </c>
      <c r="G31904" s="49" t="str">
        <f t="shared" si="1"/>
        <v>46090</v>
      </c>
      <c r="H31904" s="49">
        <f t="shared" si="2"/>
        <v>46335</v>
      </c>
    </row>
    <row r="31905">
      <c r="A31905" s="48" t="s">
        <v>16961</v>
      </c>
      <c r="B31905" s="38">
        <v>86066.0</v>
      </c>
      <c r="C31905" s="38" t="s">
        <v>36226</v>
      </c>
      <c r="D31905" s="38" t="str">
        <f>IFERROR(__xludf.DUMMYFUNCTION("REGEXREPLACE(C31905,""-\d+(.*)|--\d+(.*)"","""")"),"CHATELLERAULT")</f>
        <v>CHATELLERAULT</v>
      </c>
      <c r="E31905" s="38" t="s">
        <v>529</v>
      </c>
      <c r="F31905" s="38" t="s">
        <v>338</v>
      </c>
      <c r="G31905" s="49" t="str">
        <f t="shared" si="1"/>
        <v>86100</v>
      </c>
      <c r="H31905" s="49">
        <f t="shared" si="2"/>
        <v>86066</v>
      </c>
    </row>
    <row r="31906">
      <c r="A31906" s="48" t="s">
        <v>14904</v>
      </c>
      <c r="B31906" s="38">
        <v>68219.0</v>
      </c>
      <c r="C31906" s="38" t="s">
        <v>36227</v>
      </c>
      <c r="D31906" s="38" t="str">
        <f>IFERROR(__xludf.DUMMYFUNCTION("REGEXREPLACE(C31906,""-\d+(.*)|--\d+(.*)"","""")"),"MORTZWILLER")</f>
        <v>MORTZWILLER</v>
      </c>
      <c r="E31906" s="38" t="s">
        <v>150</v>
      </c>
      <c r="F31906" s="38" t="s">
        <v>151</v>
      </c>
      <c r="G31906" s="49" t="str">
        <f t="shared" si="1"/>
        <v>68780</v>
      </c>
      <c r="H31906" s="49">
        <f t="shared" si="2"/>
        <v>68219</v>
      </c>
    </row>
    <row r="31907">
      <c r="A31907" s="48" t="s">
        <v>5275</v>
      </c>
      <c r="B31907" s="38">
        <v>17113.0</v>
      </c>
      <c r="C31907" s="38" t="s">
        <v>36228</v>
      </c>
      <c r="D31907" s="38" t="str">
        <f>IFERROR(__xludf.DUMMYFUNCTION("REGEXREPLACE(C31907,""-\d+(.*)|--\d+(.*)"","""")"),"LA CLOTTE")</f>
        <v>LA CLOTTE</v>
      </c>
      <c r="E31907" s="38" t="s">
        <v>488</v>
      </c>
      <c r="F31907" s="38" t="s">
        <v>338</v>
      </c>
      <c r="G31907" s="49" t="str">
        <f t="shared" si="1"/>
        <v>17360</v>
      </c>
      <c r="H31907" s="49">
        <f t="shared" si="2"/>
        <v>17113</v>
      </c>
    </row>
    <row r="31908">
      <c r="A31908" s="48" t="s">
        <v>9772</v>
      </c>
      <c r="B31908" s="38">
        <v>25329.0</v>
      </c>
      <c r="C31908" s="38" t="s">
        <v>36229</v>
      </c>
      <c r="D31908" s="38" t="str">
        <f>IFERROR(__xludf.DUMMYFUNCTION("REGEXREPLACE(C31908,""-\d+(.*)|--\d+(.*)"","""")"),"LAVAL-LE-PRIEURE")</f>
        <v>LAVAL-LE-PRIEURE</v>
      </c>
      <c r="E31908" s="38" t="s">
        <v>213</v>
      </c>
      <c r="F31908" s="38" t="s">
        <v>214</v>
      </c>
      <c r="G31908" s="49" t="str">
        <f t="shared" si="1"/>
        <v>25210</v>
      </c>
      <c r="H31908" s="49">
        <f t="shared" si="2"/>
        <v>25329</v>
      </c>
    </row>
    <row r="31909">
      <c r="A31909" s="48" t="s">
        <v>4573</v>
      </c>
      <c r="B31909" s="38">
        <v>73123.0</v>
      </c>
      <c r="C31909" s="38" t="s">
        <v>36230</v>
      </c>
      <c r="D31909" s="38" t="str">
        <f>IFERROR(__xludf.DUMMYFUNCTION("REGEXREPLACE(C31909,""-\d+(.*)|--\d+(.*)"","""")"),"LA GIETTAZ")</f>
        <v>LA GIETTAZ</v>
      </c>
      <c r="E31909" s="38" t="s">
        <v>306</v>
      </c>
      <c r="F31909" s="38" t="s">
        <v>102</v>
      </c>
      <c r="G31909" s="49" t="str">
        <f t="shared" si="1"/>
        <v>73590</v>
      </c>
      <c r="H31909" s="49">
        <f t="shared" si="2"/>
        <v>73123</v>
      </c>
    </row>
    <row r="31910">
      <c r="A31910" s="48" t="s">
        <v>17178</v>
      </c>
      <c r="B31910" s="38">
        <v>50229.0</v>
      </c>
      <c r="C31910" s="38" t="s">
        <v>36231</v>
      </c>
      <c r="D31910" s="38" t="str">
        <f>IFERROR(__xludf.DUMMYFUNCTION("REGEXREPLACE(C31910,""-\d+(.*)|--\d+(.*)"","""")"),"HAMELIN")</f>
        <v>HAMELIN</v>
      </c>
      <c r="E31910" s="38" t="s">
        <v>157</v>
      </c>
      <c r="F31910" s="38" t="s">
        <v>138</v>
      </c>
      <c r="G31910" s="49" t="str">
        <f t="shared" si="1"/>
        <v>50730</v>
      </c>
      <c r="H31910" s="49">
        <f t="shared" si="2"/>
        <v>50229</v>
      </c>
    </row>
    <row r="31911">
      <c r="A31911" s="48" t="s">
        <v>22173</v>
      </c>
      <c r="B31911" s="38">
        <v>59063.0</v>
      </c>
      <c r="C31911" s="38" t="s">
        <v>36232</v>
      </c>
      <c r="D31911" s="38" t="str">
        <f>IFERROR(__xludf.DUMMYFUNCTION("REGEXREPLACE(C31911,""-\d+(.*)|--\d+(.*)"","""")"),"BEAUVOIS-EN-CAMBRESIS")</f>
        <v>BEAUVOIS-EN-CAMBRESIS</v>
      </c>
      <c r="E31911" s="38" t="s">
        <v>85</v>
      </c>
      <c r="F31911" s="38" t="s">
        <v>86</v>
      </c>
      <c r="G31911" s="49" t="str">
        <f t="shared" si="1"/>
        <v>59157</v>
      </c>
      <c r="H31911" s="49">
        <f t="shared" si="2"/>
        <v>59063</v>
      </c>
    </row>
    <row r="31912">
      <c r="A31912" s="48" t="s">
        <v>7659</v>
      </c>
      <c r="B31912" s="38">
        <v>53249.0</v>
      </c>
      <c r="C31912" s="38" t="s">
        <v>36233</v>
      </c>
      <c r="D31912" s="38" t="str">
        <f>IFERROR(__xludf.DUMMYFUNCTION("REGEXREPLACE(C31912,""-\d+(.*)|--\d+(.*)"","""")"),"SAINT-PIERRE-SUR-ORTHE")</f>
        <v>SAINT-PIERRE-SUR-ORTHE</v>
      </c>
      <c r="E31912" s="38" t="s">
        <v>518</v>
      </c>
      <c r="F31912" s="38" t="s">
        <v>180</v>
      </c>
      <c r="G31912" s="49" t="str">
        <f t="shared" si="1"/>
        <v>53160</v>
      </c>
      <c r="H31912" s="49">
        <f t="shared" si="2"/>
        <v>53249</v>
      </c>
    </row>
    <row r="31913">
      <c r="A31913" s="48" t="s">
        <v>531</v>
      </c>
      <c r="B31913" s="38">
        <v>38288.0</v>
      </c>
      <c r="C31913" s="38" t="s">
        <v>36234</v>
      </c>
      <c r="D31913" s="38" t="str">
        <f>IFERROR(__xludf.DUMMYFUNCTION("REGEXREPLACE(C31913,""-\d+(.*)|--\d+(.*)"","""")"),"OYTIER-SAINT-OBLAS")</f>
        <v>OYTIER-SAINT-OBLAS</v>
      </c>
      <c r="E31913" s="38" t="s">
        <v>101</v>
      </c>
      <c r="F31913" s="38" t="s">
        <v>102</v>
      </c>
      <c r="G31913" s="49" t="str">
        <f t="shared" si="1"/>
        <v>38780</v>
      </c>
      <c r="H31913" s="49">
        <f t="shared" si="2"/>
        <v>38288</v>
      </c>
    </row>
    <row r="31914">
      <c r="A31914" s="48" t="s">
        <v>7639</v>
      </c>
      <c r="B31914" s="38">
        <v>11074.0</v>
      </c>
      <c r="C31914" s="38" t="s">
        <v>36235</v>
      </c>
      <c r="D31914" s="38" t="str">
        <f>IFERROR(__xludf.DUMMYFUNCTION("REGEXREPLACE(C31914,""-\d+(.*)|--\d+(.*)"","""")"),"LES CASSES")</f>
        <v>LES CASSES</v>
      </c>
      <c r="E31914" s="38" t="s">
        <v>278</v>
      </c>
      <c r="F31914" s="38" t="s">
        <v>119</v>
      </c>
      <c r="G31914" s="49" t="str">
        <f t="shared" si="1"/>
        <v>11320</v>
      </c>
      <c r="H31914" s="49">
        <f t="shared" si="2"/>
        <v>11074</v>
      </c>
    </row>
    <row r="31915">
      <c r="A31915" s="48" t="s">
        <v>3439</v>
      </c>
      <c r="B31915" s="38">
        <v>86235.0</v>
      </c>
      <c r="C31915" s="38" t="s">
        <v>36236</v>
      </c>
      <c r="D31915" s="38" t="str">
        <f>IFERROR(__xludf.DUMMYFUNCTION("REGEXREPLACE(C31915,""-\d+(.*)|--\d+(.*)"","""")"),"SAINT-MAURICE-LA-CLOUERE")</f>
        <v>SAINT-MAURICE-LA-CLOUERE</v>
      </c>
      <c r="E31915" s="38" t="s">
        <v>529</v>
      </c>
      <c r="F31915" s="38" t="s">
        <v>338</v>
      </c>
      <c r="G31915" s="49" t="str">
        <f t="shared" si="1"/>
        <v>86160</v>
      </c>
      <c r="H31915" s="49">
        <f t="shared" si="2"/>
        <v>86235</v>
      </c>
    </row>
    <row r="31916">
      <c r="A31916" s="48" t="s">
        <v>1706</v>
      </c>
      <c r="B31916" s="38">
        <v>50579.0</v>
      </c>
      <c r="C31916" s="38" t="s">
        <v>36237</v>
      </c>
      <c r="D31916" s="38" t="str">
        <f>IFERROR(__xludf.DUMMYFUNCTION("REGEXREPLACE(C31916,""-\d+(.*)|--\d+(.*)"","""")"),"SOTTEVAST")</f>
        <v>SOTTEVAST</v>
      </c>
      <c r="E31916" s="38" t="s">
        <v>157</v>
      </c>
      <c r="F31916" s="38" t="s">
        <v>138</v>
      </c>
      <c r="G31916" s="49" t="str">
        <f t="shared" si="1"/>
        <v>50260</v>
      </c>
      <c r="H31916" s="49">
        <f t="shared" si="2"/>
        <v>50579</v>
      </c>
    </row>
    <row r="31917">
      <c r="A31917" s="48" t="s">
        <v>5933</v>
      </c>
      <c r="B31917" s="38">
        <v>64206.0</v>
      </c>
      <c r="C31917" s="38" t="s">
        <v>36238</v>
      </c>
      <c r="D31917" s="38" t="str">
        <f>IFERROR(__xludf.DUMMYFUNCTION("REGEXREPLACE(C31917,""-\d+(.*)|--\d+(.*)"","""")"),"ESCOT")</f>
        <v>ESCOT</v>
      </c>
      <c r="E31917" s="38" t="s">
        <v>268</v>
      </c>
      <c r="F31917" s="38" t="s">
        <v>252</v>
      </c>
      <c r="G31917" s="49" t="str">
        <f t="shared" si="1"/>
        <v>64490</v>
      </c>
      <c r="H31917" s="49">
        <f t="shared" si="2"/>
        <v>64206</v>
      </c>
    </row>
    <row r="31918">
      <c r="A31918" s="48" t="s">
        <v>15274</v>
      </c>
      <c r="B31918" s="38">
        <v>79088.0</v>
      </c>
      <c r="C31918" s="38" t="s">
        <v>36239</v>
      </c>
      <c r="D31918" s="38" t="str">
        <f>IFERROR(__xludf.DUMMYFUNCTION("REGEXREPLACE(C31918,""-\d+(.*)|--\d+(.*)"","""")"),"CHICHE")</f>
        <v>CHICHE</v>
      </c>
      <c r="E31918" s="38" t="s">
        <v>337</v>
      </c>
      <c r="F31918" s="38" t="s">
        <v>338</v>
      </c>
      <c r="G31918" s="49" t="str">
        <f t="shared" si="1"/>
        <v>79350</v>
      </c>
      <c r="H31918" s="49">
        <f t="shared" si="2"/>
        <v>79088</v>
      </c>
    </row>
    <row r="31919">
      <c r="A31919" s="48" t="s">
        <v>36240</v>
      </c>
      <c r="B31919" s="38">
        <v>88209.0</v>
      </c>
      <c r="C31919" s="38" t="s">
        <v>36241</v>
      </c>
      <c r="D31919" s="38" t="str">
        <f>IFERROR(__xludf.DUMMYFUNCTION("REGEXREPLACE(C31919,""-\d+(.*)|--\d+(.*)"","""")"),"GOLBEY")</f>
        <v>GOLBEY</v>
      </c>
      <c r="E31919" s="38" t="s">
        <v>194</v>
      </c>
      <c r="F31919" s="38" t="s">
        <v>195</v>
      </c>
      <c r="G31919" s="49" t="str">
        <f t="shared" si="1"/>
        <v>88190</v>
      </c>
      <c r="H31919" s="49">
        <f t="shared" si="2"/>
        <v>88209</v>
      </c>
    </row>
    <row r="31920">
      <c r="A31920" s="48" t="s">
        <v>1391</v>
      </c>
      <c r="B31920" s="38">
        <v>61484.0</v>
      </c>
      <c r="C31920" s="38" t="s">
        <v>21993</v>
      </c>
      <c r="D31920" s="38" t="str">
        <f>IFERROR(__xludf.DUMMYFUNCTION("REGEXREPLACE(C31920,""-\d+(.*)|--\d+(.*)"","""")"),"LE THEIL")</f>
        <v>LE THEIL</v>
      </c>
      <c r="E31920" s="38" t="s">
        <v>141</v>
      </c>
      <c r="F31920" s="38" t="s">
        <v>138</v>
      </c>
      <c r="G31920" s="49" t="str">
        <f t="shared" si="1"/>
        <v>61260</v>
      </c>
      <c r="H31920" s="49">
        <f t="shared" si="2"/>
        <v>61484</v>
      </c>
    </row>
    <row r="31921">
      <c r="A31921" s="48" t="s">
        <v>167</v>
      </c>
      <c r="B31921" s="38">
        <v>34197.0</v>
      </c>
      <c r="C31921" s="38" t="s">
        <v>36242</v>
      </c>
      <c r="D31921" s="38" t="str">
        <f>IFERROR(__xludf.DUMMYFUNCTION("REGEXREPLACE(C31921,""-\d+(.*)|--\d+(.*)"","""")"),"PERET")</f>
        <v>PERET</v>
      </c>
      <c r="E31921" s="38" t="s">
        <v>118</v>
      </c>
      <c r="F31921" s="38" t="s">
        <v>119</v>
      </c>
      <c r="G31921" s="49" t="str">
        <f t="shared" si="1"/>
        <v>34800</v>
      </c>
      <c r="H31921" s="49">
        <f t="shared" si="2"/>
        <v>34197</v>
      </c>
    </row>
    <row r="31922">
      <c r="A31922" s="48" t="s">
        <v>2611</v>
      </c>
      <c r="B31922" s="38">
        <v>40230.0</v>
      </c>
      <c r="C31922" s="38" t="s">
        <v>36243</v>
      </c>
      <c r="D31922" s="38" t="str">
        <f>IFERROR(__xludf.DUMMYFUNCTION("REGEXREPLACE(C31922,""-\d+(.*)|--\d+(.*)"","""")"),"PONTONX-SUR-L'ADOUR")</f>
        <v>PONTONX-SUR-L'ADOUR</v>
      </c>
      <c r="E31922" s="38" t="s">
        <v>281</v>
      </c>
      <c r="F31922" s="38" t="s">
        <v>252</v>
      </c>
      <c r="G31922" s="49" t="str">
        <f t="shared" si="1"/>
        <v>40465</v>
      </c>
      <c r="H31922" s="49">
        <f t="shared" si="2"/>
        <v>40230</v>
      </c>
    </row>
    <row r="31923">
      <c r="A31923" s="48" t="s">
        <v>3206</v>
      </c>
      <c r="B31923" s="38">
        <v>40131.0</v>
      </c>
      <c r="C31923" s="38" t="s">
        <v>36244</v>
      </c>
      <c r="D31923" s="38" t="str">
        <f>IFERROR(__xludf.DUMMYFUNCTION("REGEXREPLACE(C31923,""-\d+(.*)|--\d+(.*)"","""")"),"LABASTIDE-D'ARMAGNAC")</f>
        <v>LABASTIDE-D'ARMAGNAC</v>
      </c>
      <c r="E31923" s="38" t="s">
        <v>281</v>
      </c>
      <c r="F31923" s="38" t="s">
        <v>252</v>
      </c>
      <c r="G31923" s="49" t="str">
        <f t="shared" si="1"/>
        <v>40240</v>
      </c>
      <c r="H31923" s="49">
        <f t="shared" si="2"/>
        <v>40131</v>
      </c>
    </row>
    <row r="31924">
      <c r="A31924" s="48" t="s">
        <v>11115</v>
      </c>
      <c r="B31924" s="38">
        <v>34068.0</v>
      </c>
      <c r="C31924" s="38" t="s">
        <v>36245</v>
      </c>
      <c r="D31924" s="38" t="str">
        <f>IFERROR(__xludf.DUMMYFUNCTION("REGEXREPLACE(C31924,""-\d+(.*)|--\d+(.*)"","""")"),"CAZOULS-D'HERAULT")</f>
        <v>CAZOULS-D'HERAULT</v>
      </c>
      <c r="E31924" s="38" t="s">
        <v>118</v>
      </c>
      <c r="F31924" s="38" t="s">
        <v>119</v>
      </c>
      <c r="G31924" s="49" t="str">
        <f t="shared" si="1"/>
        <v>34120</v>
      </c>
      <c r="H31924" s="49">
        <f t="shared" si="2"/>
        <v>34068</v>
      </c>
    </row>
    <row r="31925">
      <c r="A31925" s="48" t="s">
        <v>2803</v>
      </c>
      <c r="B31925" s="38">
        <v>80538.0</v>
      </c>
      <c r="C31925" s="38" t="s">
        <v>36246</v>
      </c>
      <c r="D31925" s="38" t="str">
        <f>IFERROR(__xludf.DUMMYFUNCTION("REGEXREPLACE(C31925,""-\d+(.*)|--\d+(.*)"","""")"),"MESNIL-EN-ARROUAISE")</f>
        <v>MESNIL-EN-ARROUAISE</v>
      </c>
      <c r="E31925" s="38" t="s">
        <v>224</v>
      </c>
      <c r="F31925" s="38" t="s">
        <v>113</v>
      </c>
      <c r="G31925" s="49" t="str">
        <f t="shared" si="1"/>
        <v>80360</v>
      </c>
      <c r="H31925" s="49">
        <f t="shared" si="2"/>
        <v>80538</v>
      </c>
    </row>
    <row r="31926">
      <c r="A31926" s="48" t="s">
        <v>4213</v>
      </c>
      <c r="B31926" s="38">
        <v>7033.0</v>
      </c>
      <c r="C31926" s="38" t="s">
        <v>36247</v>
      </c>
      <c r="D31926" s="38" t="str">
        <f>IFERROR(__xludf.DUMMYFUNCTION("REGEXREPLACE(C31926,""-\d+(.*)|--\d+(.*)"","""")"),"BESSAS")</f>
        <v>BESSAS</v>
      </c>
      <c r="E31926" s="38" t="s">
        <v>144</v>
      </c>
      <c r="F31926" s="38" t="s">
        <v>102</v>
      </c>
      <c r="G31926" s="49" t="str">
        <f t="shared" si="1"/>
        <v>07150</v>
      </c>
      <c r="H31926" s="49" t="str">
        <f t="shared" si="2"/>
        <v>07033</v>
      </c>
    </row>
    <row r="31927">
      <c r="A31927" s="48" t="s">
        <v>454</v>
      </c>
      <c r="B31927" s="38">
        <v>71357.0</v>
      </c>
      <c r="C31927" s="38" t="s">
        <v>36248</v>
      </c>
      <c r="D31927" s="38" t="str">
        <f>IFERROR(__xludf.DUMMYFUNCTION("REGEXREPLACE(C31927,""-\d+(.*)|--\d+(.*)"","""")"),"POURLANS")</f>
        <v>POURLANS</v>
      </c>
      <c r="E31927" s="38" t="s">
        <v>344</v>
      </c>
      <c r="F31927" s="38" t="s">
        <v>106</v>
      </c>
      <c r="G31927" s="49" t="str">
        <f t="shared" si="1"/>
        <v>71270</v>
      </c>
      <c r="H31927" s="49">
        <f t="shared" si="2"/>
        <v>71357</v>
      </c>
    </row>
    <row r="31928">
      <c r="A31928" s="48" t="s">
        <v>398</v>
      </c>
      <c r="B31928" s="38">
        <v>39428.0</v>
      </c>
      <c r="C31928" s="38" t="s">
        <v>36249</v>
      </c>
      <c r="D31928" s="38" t="str">
        <f>IFERROR(__xludf.DUMMYFUNCTION("REGEXREPLACE(C31928,""-\d+(.*)|--\d+(.*)"","""")"),"PLENISETTE")</f>
        <v>PLENISETTE</v>
      </c>
      <c r="E31928" s="38" t="s">
        <v>400</v>
      </c>
      <c r="F31928" s="38" t="s">
        <v>214</v>
      </c>
      <c r="G31928" s="49" t="str">
        <f t="shared" si="1"/>
        <v>39250</v>
      </c>
      <c r="H31928" s="49">
        <f t="shared" si="2"/>
        <v>39428</v>
      </c>
    </row>
    <row r="31929">
      <c r="A31929" s="48" t="s">
        <v>8214</v>
      </c>
      <c r="B31929" s="38">
        <v>59179.0</v>
      </c>
      <c r="C31929" s="38" t="s">
        <v>36250</v>
      </c>
      <c r="D31929" s="38" t="str">
        <f>IFERROR(__xludf.DUMMYFUNCTION("REGEXREPLACE(C31929,""-\d+(.*)|--\d+(.*)"","""")"),"DOUCHY-LES-MINES")</f>
        <v>DOUCHY-LES-MINES</v>
      </c>
      <c r="E31929" s="38" t="s">
        <v>85</v>
      </c>
      <c r="F31929" s="38" t="s">
        <v>86</v>
      </c>
      <c r="G31929" s="49" t="str">
        <f t="shared" si="1"/>
        <v>59282</v>
      </c>
      <c r="H31929" s="49">
        <f t="shared" si="2"/>
        <v>59179</v>
      </c>
    </row>
    <row r="31930">
      <c r="A31930" s="48" t="s">
        <v>19878</v>
      </c>
      <c r="B31930" s="38">
        <v>77284.0</v>
      </c>
      <c r="C31930" s="38" t="s">
        <v>36251</v>
      </c>
      <c r="D31930" s="38" t="str">
        <f>IFERROR(__xludf.DUMMYFUNCTION("REGEXREPLACE(C31930,""-\d+(.*)|--\d+(.*)"","""")"),"MEAUX")</f>
        <v>MEAUX</v>
      </c>
      <c r="E31930" s="38" t="s">
        <v>244</v>
      </c>
      <c r="F31930" s="38" t="s">
        <v>245</v>
      </c>
      <c r="G31930" s="49" t="str">
        <f t="shared" si="1"/>
        <v>77100</v>
      </c>
      <c r="H31930" s="49">
        <f t="shared" si="2"/>
        <v>77284</v>
      </c>
    </row>
    <row r="31931">
      <c r="A31931" s="48" t="s">
        <v>5846</v>
      </c>
      <c r="B31931" s="38">
        <v>60190.0</v>
      </c>
      <c r="C31931" s="38" t="s">
        <v>36252</v>
      </c>
      <c r="D31931" s="38" t="str">
        <f>IFERROR(__xludf.DUMMYFUNCTION("REGEXREPLACE(C31931,""-\d+(.*)|--\d+(.*)"","""")"),"CUVERGNON")</f>
        <v>CUVERGNON</v>
      </c>
      <c r="E31931" s="38" t="s">
        <v>112</v>
      </c>
      <c r="F31931" s="38" t="s">
        <v>113</v>
      </c>
      <c r="G31931" s="49" t="str">
        <f t="shared" si="1"/>
        <v>60620</v>
      </c>
      <c r="H31931" s="49">
        <f t="shared" si="2"/>
        <v>60190</v>
      </c>
    </row>
    <row r="31932">
      <c r="A31932" s="48" t="s">
        <v>7107</v>
      </c>
      <c r="B31932" s="38">
        <v>10200.0</v>
      </c>
      <c r="C31932" s="38" t="s">
        <v>36253</v>
      </c>
      <c r="D31932" s="38" t="str">
        <f>IFERROR(__xludf.DUMMYFUNCTION("REGEXREPLACE(C31932,""-\d+(.*)|--\d+(.*)"","""")"),"LA LOGE-AUX-CHEVRES")</f>
        <v>LA LOGE-AUX-CHEVRES</v>
      </c>
      <c r="E31932" s="38" t="s">
        <v>147</v>
      </c>
      <c r="F31932" s="38" t="s">
        <v>130</v>
      </c>
      <c r="G31932" s="49" t="str">
        <f t="shared" si="1"/>
        <v>10140</v>
      </c>
      <c r="H31932" s="49">
        <f t="shared" si="2"/>
        <v>10200</v>
      </c>
    </row>
    <row r="31933">
      <c r="A31933" s="48" t="s">
        <v>6795</v>
      </c>
      <c r="B31933" s="38">
        <v>37194.0</v>
      </c>
      <c r="C31933" s="38" t="s">
        <v>35367</v>
      </c>
      <c r="D31933" s="38" t="str">
        <f>IFERROR(__xludf.DUMMYFUNCTION("REGEXREPLACE(C31933,""-\d+(.*)|--\d+(.*)"","""")"),"REUGNY")</f>
        <v>REUGNY</v>
      </c>
      <c r="E31933" s="38" t="s">
        <v>205</v>
      </c>
      <c r="F31933" s="38" t="s">
        <v>123</v>
      </c>
      <c r="G31933" s="49" t="str">
        <f t="shared" si="1"/>
        <v>37380</v>
      </c>
      <c r="H31933" s="49">
        <f t="shared" si="2"/>
        <v>37194</v>
      </c>
    </row>
    <row r="31934">
      <c r="A31934" s="48" t="s">
        <v>1124</v>
      </c>
      <c r="B31934" s="38">
        <v>61217.0</v>
      </c>
      <c r="C31934" s="38" t="s">
        <v>36254</v>
      </c>
      <c r="D31934" s="38" t="str">
        <f>IFERROR(__xludf.DUMMYFUNCTION("REGEXREPLACE(C31934,""-\d+(.*)|--\d+(.*)"","""")"),"LA LANDE-DE-LOUGE")</f>
        <v>LA LANDE-DE-LOUGE</v>
      </c>
      <c r="E31934" s="38" t="s">
        <v>141</v>
      </c>
      <c r="F31934" s="38" t="s">
        <v>138</v>
      </c>
      <c r="G31934" s="49" t="str">
        <f t="shared" si="1"/>
        <v>61210</v>
      </c>
      <c r="H31934" s="49">
        <f t="shared" si="2"/>
        <v>61217</v>
      </c>
    </row>
    <row r="31935">
      <c r="A31935" s="48" t="s">
        <v>2328</v>
      </c>
      <c r="B31935" s="38">
        <v>57621.0</v>
      </c>
      <c r="C31935" s="38" t="s">
        <v>9699</v>
      </c>
      <c r="D31935" s="38" t="str">
        <f>IFERROR(__xludf.DUMMYFUNCTION("REGEXREPLACE(C31935,""-\d+(.*)|--\d+(.*)"","""")"),"SAINT-MEDARD")</f>
        <v>SAINT-MEDARD</v>
      </c>
      <c r="E31935" s="38" t="s">
        <v>303</v>
      </c>
      <c r="F31935" s="38" t="s">
        <v>195</v>
      </c>
      <c r="G31935" s="49" t="str">
        <f t="shared" si="1"/>
        <v>57260</v>
      </c>
      <c r="H31935" s="49">
        <f t="shared" si="2"/>
        <v>57621</v>
      </c>
    </row>
    <row r="31936">
      <c r="A31936" s="48" t="s">
        <v>721</v>
      </c>
      <c r="B31936" s="38">
        <v>14272.0</v>
      </c>
      <c r="C31936" s="38" t="s">
        <v>36255</v>
      </c>
      <c r="D31936" s="38" t="str">
        <f>IFERROR(__xludf.DUMMYFUNCTION("REGEXREPLACE(C31936,""-\d+(.*)|--\d+(.*)"","""")"),"LA FOLIE")</f>
        <v>LA FOLIE</v>
      </c>
      <c r="E31936" s="38" t="s">
        <v>137</v>
      </c>
      <c r="F31936" s="38" t="s">
        <v>138</v>
      </c>
      <c r="G31936" s="49" t="str">
        <f t="shared" si="1"/>
        <v>14710</v>
      </c>
      <c r="H31936" s="49">
        <f t="shared" si="2"/>
        <v>14272</v>
      </c>
    </row>
    <row r="31937">
      <c r="A31937" s="48" t="s">
        <v>211</v>
      </c>
      <c r="B31937" s="38">
        <v>25359.0</v>
      </c>
      <c r="C31937" s="38" t="s">
        <v>36256</v>
      </c>
      <c r="D31937" s="38" t="str">
        <f>IFERROR(__xludf.DUMMYFUNCTION("REGEXREPLACE(C31937,""-\d+(.*)|--\d+(.*)"","""")"),"MALANS")</f>
        <v>MALANS</v>
      </c>
      <c r="E31937" s="38" t="s">
        <v>213</v>
      </c>
      <c r="F31937" s="38" t="s">
        <v>214</v>
      </c>
      <c r="G31937" s="49" t="str">
        <f t="shared" si="1"/>
        <v>25330</v>
      </c>
      <c r="H31937" s="49">
        <f t="shared" si="2"/>
        <v>25359</v>
      </c>
    </row>
    <row r="31938">
      <c r="A31938" s="48" t="s">
        <v>2617</v>
      </c>
      <c r="B31938" s="38">
        <v>89368.0</v>
      </c>
      <c r="C31938" s="38" t="s">
        <v>36257</v>
      </c>
      <c r="D31938" s="38" t="str">
        <f>IFERROR(__xludf.DUMMYFUNCTION("REGEXREPLACE(C31938,""-\d+(.*)|--\d+(.*)"","""")"),"SAINT-SAUVEUR-EN-PUISAYE")</f>
        <v>SAINT-SAUVEUR-EN-PUISAYE</v>
      </c>
      <c r="E31938" s="38" t="s">
        <v>275</v>
      </c>
      <c r="F31938" s="38" t="s">
        <v>106</v>
      </c>
      <c r="G31938" s="49" t="str">
        <f t="shared" si="1"/>
        <v>89520</v>
      </c>
      <c r="H31938" s="49">
        <f t="shared" si="2"/>
        <v>89368</v>
      </c>
    </row>
    <row r="31939">
      <c r="A31939" s="48" t="s">
        <v>36258</v>
      </c>
      <c r="B31939" s="38">
        <v>11188.0</v>
      </c>
      <c r="C31939" s="38" t="s">
        <v>36259</v>
      </c>
      <c r="D31939" s="38" t="str">
        <f>IFERROR(__xludf.DUMMYFUNCTION("REGEXREPLACE(C31939,""-\d+(.*)|--\d+(.*)"","""")"),"LA PALME")</f>
        <v>LA PALME</v>
      </c>
      <c r="E31939" s="38" t="s">
        <v>278</v>
      </c>
      <c r="F31939" s="38" t="s">
        <v>119</v>
      </c>
      <c r="G31939" s="49" t="str">
        <f t="shared" si="1"/>
        <v>11480</v>
      </c>
      <c r="H31939" s="49">
        <f t="shared" si="2"/>
        <v>11188</v>
      </c>
    </row>
    <row r="31940">
      <c r="A31940" s="48" t="s">
        <v>2400</v>
      </c>
      <c r="B31940" s="38">
        <v>25072.0</v>
      </c>
      <c r="C31940" s="38" t="s">
        <v>36260</v>
      </c>
      <c r="D31940" s="38" t="str">
        <f>IFERROR(__xludf.DUMMYFUNCTION("REGEXREPLACE(C31940,""-\d+(.*)|--\d+(.*)"","""")"),"BONNAL")</f>
        <v>BONNAL</v>
      </c>
      <c r="E31940" s="38" t="s">
        <v>213</v>
      </c>
      <c r="F31940" s="38" t="s">
        <v>214</v>
      </c>
      <c r="G31940" s="49" t="str">
        <f t="shared" si="1"/>
        <v>25680</v>
      </c>
      <c r="H31940" s="49">
        <f t="shared" si="2"/>
        <v>25072</v>
      </c>
    </row>
    <row r="31941">
      <c r="A31941" s="48" t="s">
        <v>1381</v>
      </c>
      <c r="B31941" s="38">
        <v>62879.0</v>
      </c>
      <c r="C31941" s="38" t="s">
        <v>36261</v>
      </c>
      <c r="D31941" s="38" t="str">
        <f>IFERROR(__xludf.DUMMYFUNCTION("REGEXREPLACE(C31941,""-\d+(.*)|--\d+(.*)"","""")"),"WARLUZEL")</f>
        <v>WARLUZEL</v>
      </c>
      <c r="E31941" s="38" t="s">
        <v>109</v>
      </c>
      <c r="F31941" s="38" t="s">
        <v>86</v>
      </c>
      <c r="G31941" s="49" t="str">
        <f t="shared" si="1"/>
        <v>62810</v>
      </c>
      <c r="H31941" s="49">
        <f t="shared" si="2"/>
        <v>62879</v>
      </c>
    </row>
    <row r="31942">
      <c r="A31942" s="48" t="s">
        <v>6372</v>
      </c>
      <c r="B31942" s="38">
        <v>79075.0</v>
      </c>
      <c r="C31942" s="38" t="s">
        <v>36262</v>
      </c>
      <c r="D31942" s="38" t="str">
        <f>IFERROR(__xludf.DUMMYFUNCTION("REGEXREPLACE(C31942,""-\d+(.*)|--\d+(.*)"","""")"),"LA CHAPELLE-SAINT-ETIENNE")</f>
        <v>LA CHAPELLE-SAINT-ETIENNE</v>
      </c>
      <c r="E31942" s="38" t="s">
        <v>337</v>
      </c>
      <c r="F31942" s="38" t="s">
        <v>338</v>
      </c>
      <c r="G31942" s="49" t="str">
        <f t="shared" si="1"/>
        <v>79240</v>
      </c>
      <c r="H31942" s="49">
        <f t="shared" si="2"/>
        <v>79075</v>
      </c>
    </row>
    <row r="31943">
      <c r="A31943" s="48" t="s">
        <v>944</v>
      </c>
      <c r="B31943" s="38">
        <v>61341.0</v>
      </c>
      <c r="C31943" s="38" t="s">
        <v>36263</v>
      </c>
      <c r="D31943" s="38" t="str">
        <f>IFERROR(__xludf.DUMMYFUNCTION("REGEXREPLACE(C31943,""-\d+(.*)|--\d+(.*)"","""")"),"RADON")</f>
        <v>RADON</v>
      </c>
      <c r="E31943" s="38" t="s">
        <v>141</v>
      </c>
      <c r="F31943" s="38" t="s">
        <v>138</v>
      </c>
      <c r="G31943" s="49" t="str">
        <f t="shared" si="1"/>
        <v>61250</v>
      </c>
      <c r="H31943" s="49">
        <f t="shared" si="2"/>
        <v>61341</v>
      </c>
    </row>
    <row r="31944">
      <c r="A31944" s="48" t="s">
        <v>2243</v>
      </c>
      <c r="B31944" s="38">
        <v>17473.0</v>
      </c>
      <c r="C31944" s="38" t="s">
        <v>36264</v>
      </c>
      <c r="D31944" s="38" t="str">
        <f>IFERROR(__xludf.DUMMYFUNCTION("REGEXREPLACE(C31944,""-\d+(.*)|--\d+(.*)"","""")"),"VILLEMORIN")</f>
        <v>VILLEMORIN</v>
      </c>
      <c r="E31944" s="38" t="s">
        <v>488</v>
      </c>
      <c r="F31944" s="38" t="s">
        <v>338</v>
      </c>
      <c r="G31944" s="49" t="str">
        <f t="shared" si="1"/>
        <v>17470</v>
      </c>
      <c r="H31944" s="49">
        <f t="shared" si="2"/>
        <v>17473</v>
      </c>
    </row>
    <row r="31945">
      <c r="A31945" s="48" t="s">
        <v>781</v>
      </c>
      <c r="B31945" s="38">
        <v>65280.0</v>
      </c>
      <c r="C31945" s="38" t="s">
        <v>36265</v>
      </c>
      <c r="D31945" s="38" t="str">
        <f>IFERROR(__xludf.DUMMYFUNCTION("REGEXREPLACE(C31945,""-\d+(.*)|--\d+(.*)"","""")"),"LOUBAJAC")</f>
        <v>LOUBAJAC</v>
      </c>
      <c r="E31945" s="38" t="s">
        <v>200</v>
      </c>
      <c r="F31945" s="38" t="s">
        <v>94</v>
      </c>
      <c r="G31945" s="49" t="str">
        <f t="shared" si="1"/>
        <v>65100</v>
      </c>
      <c r="H31945" s="49">
        <f t="shared" si="2"/>
        <v>65280</v>
      </c>
    </row>
    <row r="31946">
      <c r="A31946" s="48" t="s">
        <v>2781</v>
      </c>
      <c r="B31946" s="38">
        <v>6093.0</v>
      </c>
      <c r="C31946" s="38" t="s">
        <v>36266</v>
      </c>
      <c r="D31946" s="38" t="str">
        <f>IFERROR(__xludf.DUMMYFUNCTION("REGEXREPLACE(C31946,""-\d+(.*)|--\d+(.*)"","""")"),"LA PENNE")</f>
        <v>LA PENNE</v>
      </c>
      <c r="E31946" s="38" t="s">
        <v>227</v>
      </c>
      <c r="F31946" s="38" t="s">
        <v>228</v>
      </c>
      <c r="G31946" s="49" t="str">
        <f t="shared" si="1"/>
        <v>06260</v>
      </c>
      <c r="H31946" s="49" t="str">
        <f t="shared" si="2"/>
        <v>06093</v>
      </c>
    </row>
    <row r="31947">
      <c r="A31947" s="48" t="s">
        <v>443</v>
      </c>
      <c r="B31947" s="38">
        <v>24482.0</v>
      </c>
      <c r="C31947" s="38" t="s">
        <v>36267</v>
      </c>
      <c r="D31947" s="38" t="str">
        <f>IFERROR(__xludf.DUMMYFUNCTION("REGEXREPLACE(C31947,""-\d+(.*)|--\d+(.*)"","""")"),"SAINT-PAUL-LIZONNE")</f>
        <v>SAINT-PAUL-LIZONNE</v>
      </c>
      <c r="E31947" s="38" t="s">
        <v>261</v>
      </c>
      <c r="F31947" s="38" t="s">
        <v>252</v>
      </c>
      <c r="G31947" s="49" t="str">
        <f t="shared" si="1"/>
        <v>24320</v>
      </c>
      <c r="H31947" s="49">
        <f t="shared" si="2"/>
        <v>24482</v>
      </c>
    </row>
    <row r="31948">
      <c r="A31948" s="48" t="s">
        <v>17146</v>
      </c>
      <c r="B31948" s="38">
        <v>1401.0</v>
      </c>
      <c r="C31948" s="38" t="s">
        <v>16996</v>
      </c>
      <c r="D31948" s="38" t="str">
        <f>IFERROR(__xludf.DUMMYFUNCTION("REGEXREPLACE(C31948,""-\d+(.*)|--\d+(.*)"","""")"),"SERGY")</f>
        <v>SERGY</v>
      </c>
      <c r="E31948" s="38" t="s">
        <v>255</v>
      </c>
      <c r="F31948" s="38" t="s">
        <v>102</v>
      </c>
      <c r="G31948" s="49" t="str">
        <f t="shared" si="1"/>
        <v>01630</v>
      </c>
      <c r="H31948" s="49" t="str">
        <f t="shared" si="2"/>
        <v>01401</v>
      </c>
    </row>
    <row r="31949">
      <c r="A31949" s="48" t="s">
        <v>36268</v>
      </c>
      <c r="B31949" s="38">
        <v>59472.0</v>
      </c>
      <c r="C31949" s="38" t="s">
        <v>36269</v>
      </c>
      <c r="D31949" s="38" t="str">
        <f>IFERROR(__xludf.DUMMYFUNCTION("REGEXREPLACE(C31949,""-\d+(.*)|--\d+(.*)"","""")"),"PREUX-AU-BOIS")</f>
        <v>PREUX-AU-BOIS</v>
      </c>
      <c r="E31949" s="38" t="s">
        <v>85</v>
      </c>
      <c r="F31949" s="38" t="s">
        <v>86</v>
      </c>
      <c r="G31949" s="49" t="str">
        <f t="shared" si="1"/>
        <v>59288</v>
      </c>
      <c r="H31949" s="49">
        <f t="shared" si="2"/>
        <v>59472</v>
      </c>
    </row>
    <row r="31950">
      <c r="A31950" s="48" t="s">
        <v>21358</v>
      </c>
      <c r="B31950" s="38">
        <v>77300.0</v>
      </c>
      <c r="C31950" s="38" t="s">
        <v>36270</v>
      </c>
      <c r="D31950" s="38" t="str">
        <f>IFERROR(__xludf.DUMMYFUNCTION("REGEXREPLACE(C31950,""-\d+(.*)|--\d+(.*)"","""")"),"MONTCEAUX-LES-MEAUX")</f>
        <v>MONTCEAUX-LES-MEAUX</v>
      </c>
      <c r="E31950" s="38" t="s">
        <v>244</v>
      </c>
      <c r="F31950" s="38" t="s">
        <v>245</v>
      </c>
      <c r="G31950" s="49" t="str">
        <f t="shared" si="1"/>
        <v>77470</v>
      </c>
      <c r="H31950" s="49">
        <f t="shared" si="2"/>
        <v>77300</v>
      </c>
    </row>
    <row r="31951">
      <c r="A31951" s="48" t="s">
        <v>12922</v>
      </c>
      <c r="B31951" s="38">
        <v>57306.0</v>
      </c>
      <c r="C31951" s="38" t="s">
        <v>36271</v>
      </c>
      <c r="D31951" s="38" t="str">
        <f>IFERROR(__xludf.DUMMYFUNCTION("REGEXREPLACE(C31951,""-\d+(.*)|--\d+(.*)"","""")"),"HAYANGE")</f>
        <v>HAYANGE</v>
      </c>
      <c r="E31951" s="38" t="s">
        <v>303</v>
      </c>
      <c r="F31951" s="38" t="s">
        <v>195</v>
      </c>
      <c r="G31951" s="49" t="str">
        <f t="shared" si="1"/>
        <v>57700</v>
      </c>
      <c r="H31951" s="49">
        <f t="shared" si="2"/>
        <v>57306</v>
      </c>
    </row>
    <row r="31952">
      <c r="A31952" s="48" t="s">
        <v>36272</v>
      </c>
      <c r="B31952" s="38">
        <v>68155.0</v>
      </c>
      <c r="C31952" s="38" t="s">
        <v>36273</v>
      </c>
      <c r="D31952" s="38" t="str">
        <f>IFERROR(__xludf.DUMMYFUNCTION("REGEXREPLACE(C31952,""-\d+(.*)|--\d+(.*)"","""")"),"INGERSHEIM")</f>
        <v>INGERSHEIM</v>
      </c>
      <c r="E31952" s="38" t="s">
        <v>150</v>
      </c>
      <c r="F31952" s="38" t="s">
        <v>151</v>
      </c>
      <c r="G31952" s="49" t="str">
        <f t="shared" si="1"/>
        <v>68040</v>
      </c>
      <c r="H31952" s="49">
        <f t="shared" si="2"/>
        <v>68155</v>
      </c>
    </row>
    <row r="31953">
      <c r="A31953" s="48" t="s">
        <v>16376</v>
      </c>
      <c r="B31953" s="38">
        <v>77127.0</v>
      </c>
      <c r="C31953" s="38" t="s">
        <v>36274</v>
      </c>
      <c r="D31953" s="38" t="str">
        <f>IFERROR(__xludf.DUMMYFUNCTION("REGEXREPLACE(C31953,""-\d+(.*)|--\d+(.*)"","""")"),"COUBERT")</f>
        <v>COUBERT</v>
      </c>
      <c r="E31953" s="38" t="s">
        <v>244</v>
      </c>
      <c r="F31953" s="38" t="s">
        <v>245</v>
      </c>
      <c r="G31953" s="49" t="str">
        <f t="shared" si="1"/>
        <v>77170</v>
      </c>
      <c r="H31953" s="49">
        <f t="shared" si="2"/>
        <v>77127</v>
      </c>
    </row>
    <row r="31954">
      <c r="A31954" s="48" t="s">
        <v>12175</v>
      </c>
      <c r="B31954" s="38">
        <v>80268.0</v>
      </c>
      <c r="C31954" s="38" t="s">
        <v>36275</v>
      </c>
      <c r="D31954" s="38" t="str">
        <f>IFERROR(__xludf.DUMMYFUNCTION("REGEXREPLACE(C31954,""-\d+(.*)|--\d+(.*)"","""")"),"EPAGNE-EPAGNETTE")</f>
        <v>EPAGNE-EPAGNETTE</v>
      </c>
      <c r="E31954" s="38" t="s">
        <v>224</v>
      </c>
      <c r="F31954" s="38" t="s">
        <v>113</v>
      </c>
      <c r="G31954" s="49" t="str">
        <f t="shared" si="1"/>
        <v>80580</v>
      </c>
      <c r="H31954" s="49">
        <f t="shared" si="2"/>
        <v>80268</v>
      </c>
    </row>
    <row r="31955">
      <c r="A31955" s="48" t="s">
        <v>5499</v>
      </c>
      <c r="B31955" s="38">
        <v>47154.0</v>
      </c>
      <c r="C31955" s="38" t="s">
        <v>36276</v>
      </c>
      <c r="D31955" s="38" t="str">
        <f>IFERROR(__xludf.DUMMYFUNCTION("REGEXREPLACE(C31955,""-\d+(.*)|--\d+(.*)"","""")"),"LUSIGNAN-PETIT")</f>
        <v>LUSIGNAN-PETIT</v>
      </c>
      <c r="E31955" s="38" t="s">
        <v>251</v>
      </c>
      <c r="F31955" s="38" t="s">
        <v>252</v>
      </c>
      <c r="G31955" s="49" t="str">
        <f t="shared" si="1"/>
        <v>47360</v>
      </c>
      <c r="H31955" s="49">
        <f t="shared" si="2"/>
        <v>47154</v>
      </c>
    </row>
    <row r="31956">
      <c r="A31956" s="48" t="s">
        <v>12249</v>
      </c>
      <c r="B31956" s="38">
        <v>71081.0</v>
      </c>
      <c r="C31956" s="38" t="s">
        <v>36277</v>
      </c>
      <c r="D31956" s="38" t="str">
        <f>IFERROR(__xludf.DUMMYFUNCTION("REGEXREPLACE(C31956,""-\d+(.*)|--\d+(.*)"","""")"),"CHAMPFORGEUIL")</f>
        <v>CHAMPFORGEUIL</v>
      </c>
      <c r="E31956" s="38" t="s">
        <v>344</v>
      </c>
      <c r="F31956" s="38" t="s">
        <v>106</v>
      </c>
      <c r="G31956" s="49" t="str">
        <f t="shared" si="1"/>
        <v>71530</v>
      </c>
      <c r="H31956" s="49">
        <f t="shared" si="2"/>
        <v>71081</v>
      </c>
    </row>
    <row r="31957">
      <c r="A31957" s="48" t="s">
        <v>3046</v>
      </c>
      <c r="B31957" s="38">
        <v>70422.0</v>
      </c>
      <c r="C31957" s="38" t="s">
        <v>36278</v>
      </c>
      <c r="D31957" s="38" t="str">
        <f>IFERROR(__xludf.DUMMYFUNCTION("REGEXREPLACE(C31957,""-\d+(.*)|--\d+(.*)"","""")"),"POYANS")</f>
        <v>POYANS</v>
      </c>
      <c r="E31957" s="38" t="s">
        <v>956</v>
      </c>
      <c r="F31957" s="38" t="s">
        <v>214</v>
      </c>
      <c r="G31957" s="49" t="str">
        <f t="shared" si="1"/>
        <v>70100</v>
      </c>
      <c r="H31957" s="49">
        <f t="shared" si="2"/>
        <v>70422</v>
      </c>
    </row>
    <row r="31958">
      <c r="A31958" s="48" t="s">
        <v>3633</v>
      </c>
      <c r="B31958" s="38">
        <v>48080.0</v>
      </c>
      <c r="C31958" s="38" t="s">
        <v>36279</v>
      </c>
      <c r="D31958" s="38" t="str">
        <f>IFERROR(__xludf.DUMMYFUNCTION("REGEXREPLACE(C31958,""-\d+(.*)|--\d+(.*)"","""")"),"LANGOGNE")</f>
        <v>LANGOGNE</v>
      </c>
      <c r="E31958" s="38" t="s">
        <v>154</v>
      </c>
      <c r="F31958" s="38" t="s">
        <v>119</v>
      </c>
      <c r="G31958" s="49" t="str">
        <f t="shared" si="1"/>
        <v>48300</v>
      </c>
      <c r="H31958" s="49">
        <f t="shared" si="2"/>
        <v>48080</v>
      </c>
    </row>
    <row r="31959">
      <c r="A31959" s="48" t="s">
        <v>7514</v>
      </c>
      <c r="B31959" s="38">
        <v>88278.0</v>
      </c>
      <c r="C31959" s="38" t="s">
        <v>36280</v>
      </c>
      <c r="D31959" s="38" t="str">
        <f>IFERROR(__xludf.DUMMYFUNCTION("REGEXREPLACE(C31959,""-\d+(.*)|--\d+(.*)"","""")"),"MACONCOURT")</f>
        <v>MACONCOURT</v>
      </c>
      <c r="E31959" s="38" t="s">
        <v>194</v>
      </c>
      <c r="F31959" s="38" t="s">
        <v>195</v>
      </c>
      <c r="G31959" s="49" t="str">
        <f t="shared" si="1"/>
        <v>88170</v>
      </c>
      <c r="H31959" s="49">
        <f t="shared" si="2"/>
        <v>88278</v>
      </c>
    </row>
    <row r="31960">
      <c r="A31960" s="48" t="s">
        <v>775</v>
      </c>
      <c r="B31960" s="38">
        <v>14374.0</v>
      </c>
      <c r="C31960" s="38" t="s">
        <v>21778</v>
      </c>
      <c r="D31960" s="38" t="str">
        <f>IFERROR(__xludf.DUMMYFUNCTION("REGEXREPLACE(C31960,""-\d+(.*)|--\d+(.*)"","""")"),"LES LOGES")</f>
        <v>LES LOGES</v>
      </c>
      <c r="E31960" s="38" t="s">
        <v>137</v>
      </c>
      <c r="F31960" s="38" t="s">
        <v>138</v>
      </c>
      <c r="G31960" s="49" t="str">
        <f t="shared" si="1"/>
        <v>14240</v>
      </c>
      <c r="H31960" s="49">
        <f t="shared" si="2"/>
        <v>14374</v>
      </c>
    </row>
    <row r="31961">
      <c r="A31961" s="48" t="s">
        <v>31061</v>
      </c>
      <c r="B31961" s="38">
        <v>30345.0</v>
      </c>
      <c r="C31961" s="38" t="s">
        <v>36281</v>
      </c>
      <c r="D31961" s="38" t="str">
        <f>IFERROR(__xludf.DUMMYFUNCTION("REGEXREPLACE(C31961,""-\d+(.*)|--\d+(.*)"","""")"),"LA VERNAREDE")</f>
        <v>LA VERNAREDE</v>
      </c>
      <c r="E31961" s="38" t="s">
        <v>526</v>
      </c>
      <c r="F31961" s="38" t="s">
        <v>119</v>
      </c>
      <c r="G31961" s="49" t="str">
        <f t="shared" si="1"/>
        <v>30530</v>
      </c>
      <c r="H31961" s="49">
        <f t="shared" si="2"/>
        <v>30345</v>
      </c>
    </row>
    <row r="31962">
      <c r="A31962" s="48" t="s">
        <v>1288</v>
      </c>
      <c r="B31962" s="38">
        <v>64003.0</v>
      </c>
      <c r="C31962" s="38" t="s">
        <v>36282</v>
      </c>
      <c r="D31962" s="38" t="str">
        <f>IFERROR(__xludf.DUMMYFUNCTION("REGEXREPLACE(C31962,""-\d+(.*)|--\d+(.*)"","""")"),"ABIDOS")</f>
        <v>ABIDOS</v>
      </c>
      <c r="E31962" s="38" t="s">
        <v>268</v>
      </c>
      <c r="F31962" s="38" t="s">
        <v>252</v>
      </c>
      <c r="G31962" s="49" t="str">
        <f t="shared" si="1"/>
        <v>64150</v>
      </c>
      <c r="H31962" s="49">
        <f t="shared" si="2"/>
        <v>64003</v>
      </c>
    </row>
    <row r="31963">
      <c r="A31963" s="48" t="s">
        <v>330</v>
      </c>
      <c r="B31963" s="38">
        <v>43097.0</v>
      </c>
      <c r="C31963" s="38" t="s">
        <v>36283</v>
      </c>
      <c r="D31963" s="38" t="str">
        <f>IFERROR(__xludf.DUMMYFUNCTION("REGEXREPLACE(C31963,""-\d+(.*)|--\d+(.*)"","""")"),"FREYCENET-LA-CUCHE")</f>
        <v>FREYCENET-LA-CUCHE</v>
      </c>
      <c r="E31963" s="38" t="s">
        <v>332</v>
      </c>
      <c r="F31963" s="38" t="s">
        <v>161</v>
      </c>
      <c r="G31963" s="49" t="str">
        <f t="shared" si="1"/>
        <v>43150</v>
      </c>
      <c r="H31963" s="49">
        <f t="shared" si="2"/>
        <v>43097</v>
      </c>
    </row>
    <row r="31964">
      <c r="A31964" s="48" t="s">
        <v>1819</v>
      </c>
      <c r="B31964" s="38">
        <v>16195.0</v>
      </c>
      <c r="C31964" s="38" t="s">
        <v>7531</v>
      </c>
      <c r="D31964" s="38" t="str">
        <f>IFERROR(__xludf.DUMMYFUNCTION("REGEXREPLACE(C31964,""-\d+(.*)|--\d+(.*)"","""")"),"LUSSAC")</f>
        <v>LUSSAC</v>
      </c>
      <c r="E31964" s="38" t="s">
        <v>429</v>
      </c>
      <c r="F31964" s="38" t="s">
        <v>338</v>
      </c>
      <c r="G31964" s="49" t="str">
        <f t="shared" si="1"/>
        <v>16450</v>
      </c>
      <c r="H31964" s="49">
        <f t="shared" si="2"/>
        <v>16195</v>
      </c>
    </row>
    <row r="31965">
      <c r="A31965" s="48" t="s">
        <v>1157</v>
      </c>
      <c r="B31965" s="38">
        <v>16176.0</v>
      </c>
      <c r="C31965" s="38" t="s">
        <v>36284</v>
      </c>
      <c r="D31965" s="38" t="str">
        <f>IFERROR(__xludf.DUMMYFUNCTION("REGEXREPLACE(C31965,""-\d+(.*)|--\d+(.*)"","""")"),"LACHAISE")</f>
        <v>LACHAISE</v>
      </c>
      <c r="E31965" s="38" t="s">
        <v>429</v>
      </c>
      <c r="F31965" s="38" t="s">
        <v>338</v>
      </c>
      <c r="G31965" s="49" t="str">
        <f t="shared" si="1"/>
        <v>16300</v>
      </c>
      <c r="H31965" s="49">
        <f t="shared" si="2"/>
        <v>16176</v>
      </c>
    </row>
    <row r="31966">
      <c r="A31966" s="48" t="s">
        <v>1526</v>
      </c>
      <c r="B31966" s="38">
        <v>60248.0</v>
      </c>
      <c r="C31966" s="38" t="s">
        <v>21240</v>
      </c>
      <c r="D31966" s="38" t="str">
        <f>IFERROR(__xludf.DUMMYFUNCTION("REGEXREPLACE(C31966,""-\d+(.*)|--\d+(.*)"","""")"),"FOUILLOY")</f>
        <v>FOUILLOY</v>
      </c>
      <c r="E31966" s="38" t="s">
        <v>112</v>
      </c>
      <c r="F31966" s="38" t="s">
        <v>113</v>
      </c>
      <c r="G31966" s="49" t="str">
        <f t="shared" si="1"/>
        <v>60220</v>
      </c>
      <c r="H31966" s="49">
        <f t="shared" si="2"/>
        <v>60248</v>
      </c>
    </row>
    <row r="31967">
      <c r="A31967" s="48" t="s">
        <v>2190</v>
      </c>
      <c r="B31967" s="38">
        <v>10225.0</v>
      </c>
      <c r="C31967" s="38" t="s">
        <v>36285</v>
      </c>
      <c r="D31967" s="38" t="str">
        <f>IFERROR(__xludf.DUMMYFUNCTION("REGEXREPLACE(C31967,""-\d+(.*)|--\d+(.*)"","""")"),"MARNAY-SUR-SEINE")</f>
        <v>MARNAY-SUR-SEINE</v>
      </c>
      <c r="E31967" s="38" t="s">
        <v>147</v>
      </c>
      <c r="F31967" s="38" t="s">
        <v>130</v>
      </c>
      <c r="G31967" s="49" t="str">
        <f t="shared" si="1"/>
        <v>10400</v>
      </c>
      <c r="H31967" s="49">
        <f t="shared" si="2"/>
        <v>10225</v>
      </c>
    </row>
    <row r="31968">
      <c r="A31968" s="48" t="s">
        <v>2886</v>
      </c>
      <c r="B31968" s="38">
        <v>89229.0</v>
      </c>
      <c r="C31968" s="38" t="s">
        <v>36286</v>
      </c>
      <c r="D31968" s="38" t="str">
        <f>IFERROR(__xludf.DUMMYFUNCTION("REGEXREPLACE(C31968,""-\d+(.*)|--\d+(.*)"","""")"),"LIXY")</f>
        <v>LIXY</v>
      </c>
      <c r="E31968" s="38" t="s">
        <v>275</v>
      </c>
      <c r="F31968" s="38" t="s">
        <v>106</v>
      </c>
      <c r="G31968" s="49" t="str">
        <f t="shared" si="1"/>
        <v>89140</v>
      </c>
      <c r="H31968" s="49">
        <f t="shared" si="2"/>
        <v>89229</v>
      </c>
    </row>
    <row r="31969">
      <c r="A31969" s="48" t="s">
        <v>3266</v>
      </c>
      <c r="B31969" s="38">
        <v>55454.0</v>
      </c>
      <c r="C31969" s="38" t="s">
        <v>36287</v>
      </c>
      <c r="D31969" s="38" t="str">
        <f>IFERROR(__xludf.DUMMYFUNCTION("REGEXREPLACE(C31969,""-\d+(.*)|--\d+(.*)"","""")"),"SAINT-AUBIN-SUR-AIRE")</f>
        <v>SAINT-AUBIN-SUR-AIRE</v>
      </c>
      <c r="E31969" s="38" t="s">
        <v>322</v>
      </c>
      <c r="F31969" s="38" t="s">
        <v>195</v>
      </c>
      <c r="G31969" s="49" t="str">
        <f t="shared" si="1"/>
        <v>55500</v>
      </c>
      <c r="H31969" s="49">
        <f t="shared" si="2"/>
        <v>55454</v>
      </c>
    </row>
    <row r="31970">
      <c r="A31970" s="48" t="s">
        <v>11422</v>
      </c>
      <c r="B31970" s="38">
        <v>95078.0</v>
      </c>
      <c r="C31970" s="38" t="s">
        <v>36288</v>
      </c>
      <c r="D31970" s="38" t="str">
        <f>IFERROR(__xludf.DUMMYFUNCTION("REGEXREPLACE(C31970,""-\d+(.*)|--\d+(.*)"","""")"),"BOISSY-L'AILLERIE")</f>
        <v>BOISSY-L'AILLERIE</v>
      </c>
      <c r="E31970" s="38" t="s">
        <v>541</v>
      </c>
      <c r="F31970" s="38" t="s">
        <v>245</v>
      </c>
      <c r="G31970" s="49" t="str">
        <f t="shared" si="1"/>
        <v>95650</v>
      </c>
      <c r="H31970" s="49">
        <f t="shared" si="2"/>
        <v>95078</v>
      </c>
    </row>
    <row r="31971">
      <c r="A31971" s="48" t="s">
        <v>10552</v>
      </c>
      <c r="B31971" s="38">
        <v>22334.0</v>
      </c>
      <c r="C31971" s="38" t="s">
        <v>36289</v>
      </c>
      <c r="D31971" s="38" t="str">
        <f>IFERROR(__xludf.DUMMYFUNCTION("REGEXREPLACE(C31971,""-\d+(.*)|--\d+(.*)"","""")"),"SAINT-IGEAUX")</f>
        <v>SAINT-IGEAUX</v>
      </c>
      <c r="E31971" s="38" t="s">
        <v>89</v>
      </c>
      <c r="F31971" s="38" t="s">
        <v>90</v>
      </c>
      <c r="G31971" s="49" t="str">
        <f t="shared" si="1"/>
        <v>22570</v>
      </c>
      <c r="H31971" s="49">
        <f t="shared" si="2"/>
        <v>22334</v>
      </c>
    </row>
    <row r="31972">
      <c r="A31972" s="48" t="s">
        <v>35819</v>
      </c>
      <c r="B31972" s="38">
        <v>84065.0</v>
      </c>
      <c r="C31972" s="38" t="s">
        <v>36290</v>
      </c>
      <c r="D31972" s="38" t="str">
        <f>IFERROR(__xludf.DUMMYFUNCTION("REGEXREPLACE(C31972,""-\d+(.*)|--\d+(.*)"","""")"),"LAURIS")</f>
        <v>LAURIS</v>
      </c>
      <c r="E31972" s="38" t="s">
        <v>1026</v>
      </c>
      <c r="F31972" s="38" t="s">
        <v>228</v>
      </c>
      <c r="G31972" s="49" t="str">
        <f t="shared" si="1"/>
        <v>84360</v>
      </c>
      <c r="H31972" s="49">
        <f t="shared" si="2"/>
        <v>84065</v>
      </c>
    </row>
    <row r="31973">
      <c r="A31973" s="48" t="s">
        <v>12929</v>
      </c>
      <c r="B31973" s="38">
        <v>73283.0</v>
      </c>
      <c r="C31973" s="38" t="s">
        <v>36291</v>
      </c>
      <c r="D31973" s="38" t="str">
        <f>IFERROR(__xludf.DUMMYFUNCTION("REGEXREPLACE(C31973,""-\d+(.*)|--\d+(.*)"","""")"),"SAINT-VITAL")</f>
        <v>SAINT-VITAL</v>
      </c>
      <c r="E31973" s="38" t="s">
        <v>306</v>
      </c>
      <c r="F31973" s="38" t="s">
        <v>102</v>
      </c>
      <c r="G31973" s="49" t="str">
        <f t="shared" si="1"/>
        <v>73460</v>
      </c>
      <c r="H31973" s="49">
        <f t="shared" si="2"/>
        <v>73283</v>
      </c>
    </row>
    <row r="31974">
      <c r="A31974" s="48" t="s">
        <v>2330</v>
      </c>
      <c r="B31974" s="38">
        <v>65022.0</v>
      </c>
      <c r="C31974" s="38" t="s">
        <v>36292</v>
      </c>
      <c r="D31974" s="38" t="str">
        <f>IFERROR(__xludf.DUMMYFUNCTION("REGEXREPLACE(C31974,""-\d+(.*)|--\d+(.*)"","""")"),"ARCIZANS-DESSUS")</f>
        <v>ARCIZANS-DESSUS</v>
      </c>
      <c r="E31974" s="38" t="s">
        <v>200</v>
      </c>
      <c r="F31974" s="38" t="s">
        <v>94</v>
      </c>
      <c r="G31974" s="49" t="str">
        <f t="shared" si="1"/>
        <v>65400</v>
      </c>
      <c r="H31974" s="49">
        <f t="shared" si="2"/>
        <v>65022</v>
      </c>
    </row>
    <row r="31975">
      <c r="A31975" s="48" t="s">
        <v>4880</v>
      </c>
      <c r="B31975" s="38">
        <v>89376.0</v>
      </c>
      <c r="C31975" s="38" t="s">
        <v>2392</v>
      </c>
      <c r="D31975" s="38" t="str">
        <f>IFERROR(__xludf.DUMMYFUNCTION("REGEXREPLACE(C31975,""-\d+(.*)|--\d+(.*)"","""")"),"SARRY")</f>
        <v>SARRY</v>
      </c>
      <c r="E31975" s="38" t="s">
        <v>275</v>
      </c>
      <c r="F31975" s="38" t="s">
        <v>106</v>
      </c>
      <c r="G31975" s="49" t="str">
        <f t="shared" si="1"/>
        <v>89310</v>
      </c>
      <c r="H31975" s="49">
        <f t="shared" si="2"/>
        <v>89376</v>
      </c>
    </row>
    <row r="31976">
      <c r="A31976" s="48" t="s">
        <v>36293</v>
      </c>
      <c r="B31976" s="38">
        <v>95218.0</v>
      </c>
      <c r="C31976" s="38" t="s">
        <v>36294</v>
      </c>
      <c r="D31976" s="38" t="str">
        <f>IFERROR(__xludf.DUMMYFUNCTION("REGEXREPLACE(C31976,""-\d+(.*)|--\d+(.*)"","""")"),"ERAGNY")</f>
        <v>ERAGNY</v>
      </c>
      <c r="E31976" s="38" t="s">
        <v>541</v>
      </c>
      <c r="F31976" s="38" t="s">
        <v>245</v>
      </c>
      <c r="G31976" s="49" t="str">
        <f t="shared" si="1"/>
        <v>95610</v>
      </c>
      <c r="H31976" s="49">
        <f t="shared" si="2"/>
        <v>95218</v>
      </c>
    </row>
    <row r="31977">
      <c r="A31977" s="48" t="s">
        <v>7247</v>
      </c>
      <c r="B31977" s="38">
        <v>24298.0</v>
      </c>
      <c r="C31977" s="38" t="s">
        <v>25934</v>
      </c>
      <c r="D31977" s="38" t="str">
        <f>IFERROR(__xludf.DUMMYFUNCTION("REGEXREPLACE(C31977,""-\d+(.*)|--\d+(.*)"","""")"),"MOUZENS")</f>
        <v>MOUZENS</v>
      </c>
      <c r="E31977" s="38" t="s">
        <v>261</v>
      </c>
      <c r="F31977" s="38" t="s">
        <v>252</v>
      </c>
      <c r="G31977" s="49" t="str">
        <f t="shared" si="1"/>
        <v>24220</v>
      </c>
      <c r="H31977" s="49">
        <f t="shared" si="2"/>
        <v>24298</v>
      </c>
    </row>
    <row r="31978">
      <c r="A31978" s="48" t="s">
        <v>516</v>
      </c>
      <c r="B31978" s="38">
        <v>53139.0</v>
      </c>
      <c r="C31978" s="38" t="s">
        <v>36295</v>
      </c>
      <c r="D31978" s="38" t="str">
        <f>IFERROR(__xludf.DUMMYFUNCTION("REGEXREPLACE(C31978,""-\d+(.*)|--\d+(.*)"","""")"),"LOUPFOUGERES")</f>
        <v>LOUPFOUGERES</v>
      </c>
      <c r="E31978" s="38" t="s">
        <v>518</v>
      </c>
      <c r="F31978" s="38" t="s">
        <v>180</v>
      </c>
      <c r="G31978" s="49" t="str">
        <f t="shared" si="1"/>
        <v>53700</v>
      </c>
      <c r="H31978" s="49">
        <f t="shared" si="2"/>
        <v>53139</v>
      </c>
    </row>
    <row r="31979">
      <c r="A31979" s="48" t="s">
        <v>3089</v>
      </c>
      <c r="B31979" s="38">
        <v>18235.0</v>
      </c>
      <c r="C31979" s="38" t="s">
        <v>36296</v>
      </c>
      <c r="D31979" s="38" t="str">
        <f>IFERROR(__xludf.DUMMYFUNCTION("REGEXREPLACE(C31979,""-\d+(.*)|--\d+(.*)"","""")"),"SAINTE-SOLANGE")</f>
        <v>SAINTE-SOLANGE</v>
      </c>
      <c r="E31979" s="38" t="s">
        <v>504</v>
      </c>
      <c r="F31979" s="38" t="s">
        <v>123</v>
      </c>
      <c r="G31979" s="49" t="str">
        <f t="shared" si="1"/>
        <v>18220</v>
      </c>
      <c r="H31979" s="49">
        <f t="shared" si="2"/>
        <v>18235</v>
      </c>
    </row>
    <row r="31980">
      <c r="A31980" s="48" t="s">
        <v>21112</v>
      </c>
      <c r="B31980" s="38">
        <v>67292.0</v>
      </c>
      <c r="C31980" s="38" t="s">
        <v>36297</v>
      </c>
      <c r="D31980" s="38" t="str">
        <f>IFERROR(__xludf.DUMMYFUNCTION("REGEXREPLACE(C31980,""-\d+(.*)|--\d+(.*)"","""")"),"MIETESHEIM")</f>
        <v>MIETESHEIM</v>
      </c>
      <c r="E31980" s="38" t="s">
        <v>210</v>
      </c>
      <c r="F31980" s="38" t="s">
        <v>151</v>
      </c>
      <c r="G31980" s="49" t="str">
        <f t="shared" si="1"/>
        <v>67580</v>
      </c>
      <c r="H31980" s="49">
        <f t="shared" si="2"/>
        <v>67292</v>
      </c>
    </row>
    <row r="31981">
      <c r="A31981" s="48" t="s">
        <v>4354</v>
      </c>
      <c r="B31981" s="38">
        <v>72105.0</v>
      </c>
      <c r="C31981" s="38" t="s">
        <v>36298</v>
      </c>
      <c r="D31981" s="38" t="str">
        <f>IFERROR(__xludf.DUMMYFUNCTION("REGEXREPLACE(C31981,""-\d+(.*)|--\d+(.*)"","""")"),"COURGENARD")</f>
        <v>COURGENARD</v>
      </c>
      <c r="E31981" s="38" t="s">
        <v>521</v>
      </c>
      <c r="F31981" s="38" t="s">
        <v>180</v>
      </c>
      <c r="G31981" s="49" t="str">
        <f t="shared" si="1"/>
        <v>72320</v>
      </c>
      <c r="H31981" s="49">
        <f t="shared" si="2"/>
        <v>72105</v>
      </c>
    </row>
    <row r="31982">
      <c r="A31982" s="48" t="s">
        <v>21358</v>
      </c>
      <c r="B31982" s="38">
        <v>77475.0</v>
      </c>
      <c r="C31982" s="38" t="s">
        <v>36299</v>
      </c>
      <c r="D31982" s="38" t="str">
        <f>IFERROR(__xludf.DUMMYFUNCTION("REGEXREPLACE(C31982,""-\d+(.*)|--\d+(.*)"","""")"),"TRILPORT")</f>
        <v>TRILPORT</v>
      </c>
      <c r="E31982" s="38" t="s">
        <v>244</v>
      </c>
      <c r="F31982" s="38" t="s">
        <v>245</v>
      </c>
      <c r="G31982" s="49" t="str">
        <f t="shared" si="1"/>
        <v>77470</v>
      </c>
      <c r="H31982" s="49">
        <f t="shared" si="2"/>
        <v>77475</v>
      </c>
    </row>
    <row r="31983">
      <c r="A31983" s="48" t="s">
        <v>2389</v>
      </c>
      <c r="B31983" s="38">
        <v>64414.0</v>
      </c>
      <c r="C31983" s="38" t="s">
        <v>36300</v>
      </c>
      <c r="D31983" s="38" t="str">
        <f>IFERROR(__xludf.DUMMYFUNCTION("REGEXREPLACE(C31983,""-\d+(.*)|--\d+(.*)"","""")"),"NARP")</f>
        <v>NARP</v>
      </c>
      <c r="E31983" s="38" t="s">
        <v>268</v>
      </c>
      <c r="F31983" s="38" t="s">
        <v>252</v>
      </c>
      <c r="G31983" s="49" t="str">
        <f t="shared" si="1"/>
        <v>64190</v>
      </c>
      <c r="H31983" s="49">
        <f t="shared" si="2"/>
        <v>64414</v>
      </c>
    </row>
    <row r="31984">
      <c r="A31984" s="48" t="s">
        <v>651</v>
      </c>
      <c r="B31984" s="38">
        <v>49053.0</v>
      </c>
      <c r="C31984" s="38" t="s">
        <v>36301</v>
      </c>
      <c r="D31984" s="38" t="str">
        <f>IFERROR(__xludf.DUMMYFUNCTION("REGEXREPLACE(C31984,""-\d+(.*)|--\d+(.*)"","""")"),"BROSSAY")</f>
        <v>BROSSAY</v>
      </c>
      <c r="E31984" s="38" t="s">
        <v>653</v>
      </c>
      <c r="F31984" s="38" t="s">
        <v>180</v>
      </c>
      <c r="G31984" s="49" t="str">
        <f t="shared" si="1"/>
        <v>49700</v>
      </c>
      <c r="H31984" s="49">
        <f t="shared" si="2"/>
        <v>49053</v>
      </c>
    </row>
    <row r="31985">
      <c r="A31985" s="48" t="s">
        <v>3252</v>
      </c>
      <c r="B31985" s="38">
        <v>63441.0</v>
      </c>
      <c r="C31985" s="38" t="s">
        <v>36302</v>
      </c>
      <c r="D31985" s="38" t="str">
        <f>IFERROR(__xludf.DUMMYFUNCTION("REGEXREPLACE(C31985,""-\d+(.*)|--\d+(.*)"","""")"),"VALCIVIERES")</f>
        <v>VALCIVIERES</v>
      </c>
      <c r="E31985" s="38" t="s">
        <v>353</v>
      </c>
      <c r="F31985" s="38" t="s">
        <v>161</v>
      </c>
      <c r="G31985" s="49" t="str">
        <f t="shared" si="1"/>
        <v>63600</v>
      </c>
      <c r="H31985" s="49">
        <f t="shared" si="2"/>
        <v>63441</v>
      </c>
    </row>
    <row r="31986">
      <c r="A31986" s="48" t="s">
        <v>1887</v>
      </c>
      <c r="B31986" s="38">
        <v>88287.0</v>
      </c>
      <c r="C31986" s="38" t="s">
        <v>36303</v>
      </c>
      <c r="D31986" s="38" t="str">
        <f>IFERROR(__xludf.DUMMYFUNCTION("REGEXREPLACE(C31986,""-\d+(.*)|--\d+(.*)"","""")"),"MAREY")</f>
        <v>MAREY</v>
      </c>
      <c r="E31986" s="38" t="s">
        <v>194</v>
      </c>
      <c r="F31986" s="38" t="s">
        <v>195</v>
      </c>
      <c r="G31986" s="49" t="str">
        <f t="shared" si="1"/>
        <v>88320</v>
      </c>
      <c r="H31986" s="49">
        <f t="shared" si="2"/>
        <v>88287</v>
      </c>
    </row>
    <row r="31987">
      <c r="A31987" s="48" t="s">
        <v>954</v>
      </c>
      <c r="B31987" s="38">
        <v>70138.0</v>
      </c>
      <c r="C31987" s="38" t="s">
        <v>36304</v>
      </c>
      <c r="D31987" s="38" t="str">
        <f>IFERROR(__xludf.DUMMYFUNCTION("REGEXREPLACE(C31987,""-\d+(.*)|--\d+(.*)"","""")"),"CHASSEY-LES-SCEY")</f>
        <v>CHASSEY-LES-SCEY</v>
      </c>
      <c r="E31987" s="38" t="s">
        <v>956</v>
      </c>
      <c r="F31987" s="38" t="s">
        <v>214</v>
      </c>
      <c r="G31987" s="49" t="str">
        <f t="shared" si="1"/>
        <v>70360</v>
      </c>
      <c r="H31987" s="49">
        <f t="shared" si="2"/>
        <v>70138</v>
      </c>
    </row>
    <row r="31988">
      <c r="A31988" s="48" t="s">
        <v>148</v>
      </c>
      <c r="B31988" s="38">
        <v>68377.0</v>
      </c>
      <c r="C31988" s="38" t="s">
        <v>36305</v>
      </c>
      <c r="D31988" s="38" t="str">
        <f>IFERROR(__xludf.DUMMYFUNCTION("REGEXREPLACE(C31988,""-\d+(.*)|--\d+(.*)"","""")"),"WITTERSDORF")</f>
        <v>WITTERSDORF</v>
      </c>
      <c r="E31988" s="38" t="s">
        <v>150</v>
      </c>
      <c r="F31988" s="38" t="s">
        <v>151</v>
      </c>
      <c r="G31988" s="49" t="str">
        <f t="shared" si="1"/>
        <v>68130</v>
      </c>
      <c r="H31988" s="49">
        <f t="shared" si="2"/>
        <v>68377</v>
      </c>
    </row>
    <row r="31989">
      <c r="A31989" s="48" t="s">
        <v>3244</v>
      </c>
      <c r="B31989" s="38">
        <v>27031.0</v>
      </c>
      <c r="C31989" s="38" t="s">
        <v>36306</v>
      </c>
      <c r="D31989" s="38" t="str">
        <f>IFERROR(__xludf.DUMMYFUNCTION("REGEXREPLACE(C31989,""-\d+(.*)|--\d+(.*)"","""")"),"AVIRON")</f>
        <v>AVIRON</v>
      </c>
      <c r="E31989" s="38" t="s">
        <v>241</v>
      </c>
      <c r="F31989" s="38" t="s">
        <v>134</v>
      </c>
      <c r="G31989" s="49" t="str">
        <f t="shared" si="1"/>
        <v>27930</v>
      </c>
      <c r="H31989" s="49">
        <f t="shared" si="2"/>
        <v>27031</v>
      </c>
    </row>
    <row r="31990">
      <c r="A31990" s="48" t="s">
        <v>4418</v>
      </c>
      <c r="B31990" s="38">
        <v>42098.0</v>
      </c>
      <c r="C31990" s="38" t="s">
        <v>18178</v>
      </c>
      <c r="D31990" s="38" t="str">
        <f>IFERROR(__xludf.DUMMYFUNCTION("REGEXREPLACE(C31990,""-\d+(.*)|--\d+(.*)"","""")"),"FOURNEAUX")</f>
        <v>FOURNEAUX</v>
      </c>
      <c r="E31990" s="38" t="s">
        <v>166</v>
      </c>
      <c r="F31990" s="38" t="s">
        <v>102</v>
      </c>
      <c r="G31990" s="49" t="str">
        <f t="shared" si="1"/>
        <v>42470</v>
      </c>
      <c r="H31990" s="49">
        <f t="shared" si="2"/>
        <v>42098</v>
      </c>
    </row>
    <row r="31991">
      <c r="A31991" s="48" t="s">
        <v>3980</v>
      </c>
      <c r="B31991" s="38">
        <v>71044.0</v>
      </c>
      <c r="C31991" s="38" t="s">
        <v>36307</v>
      </c>
      <c r="D31991" s="38" t="str">
        <f>IFERROR(__xludf.DUMMYFUNCTION("REGEXREPLACE(C31991,""-\d+(.*)|--\d+(.*)"","""")"),"BOSJEAN")</f>
        <v>BOSJEAN</v>
      </c>
      <c r="E31991" s="38" t="s">
        <v>344</v>
      </c>
      <c r="F31991" s="38" t="s">
        <v>106</v>
      </c>
      <c r="G31991" s="49" t="str">
        <f t="shared" si="1"/>
        <v>71330</v>
      </c>
      <c r="H31991" s="49">
        <f t="shared" si="2"/>
        <v>71044</v>
      </c>
    </row>
    <row r="31992">
      <c r="A31992" s="48" t="s">
        <v>2217</v>
      </c>
      <c r="B31992" s="38">
        <v>24150.0</v>
      </c>
      <c r="C31992" s="38" t="s">
        <v>36308</v>
      </c>
      <c r="D31992" s="38" t="str">
        <f>IFERROR(__xludf.DUMMYFUNCTION("REGEXREPLACE(C31992,""-\d+(.*)|--\d+(.*)"","""")"),"DAGLAN")</f>
        <v>DAGLAN</v>
      </c>
      <c r="E31992" s="38" t="s">
        <v>261</v>
      </c>
      <c r="F31992" s="38" t="s">
        <v>252</v>
      </c>
      <c r="G31992" s="49" t="str">
        <f t="shared" si="1"/>
        <v>24250</v>
      </c>
      <c r="H31992" s="49">
        <f t="shared" si="2"/>
        <v>24150</v>
      </c>
    </row>
    <row r="31993">
      <c r="A31993" s="48" t="s">
        <v>2029</v>
      </c>
      <c r="B31993" s="38">
        <v>50021.0</v>
      </c>
      <c r="C31993" s="38" t="s">
        <v>36309</v>
      </c>
      <c r="D31993" s="38" t="str">
        <f>IFERROR(__xludf.DUMMYFUNCTION("REGEXREPLACE(C31993,""-\d+(.*)|--\d+(.*)"","""")"),"AUDOUVILLE-LA-HUBERT")</f>
        <v>AUDOUVILLE-LA-HUBERT</v>
      </c>
      <c r="E31993" s="38" t="s">
        <v>157</v>
      </c>
      <c r="F31993" s="38" t="s">
        <v>138</v>
      </c>
      <c r="G31993" s="49" t="str">
        <f t="shared" si="1"/>
        <v>50480</v>
      </c>
      <c r="H31993" s="49">
        <f t="shared" si="2"/>
        <v>50021</v>
      </c>
    </row>
    <row r="31994">
      <c r="A31994" s="48" t="s">
        <v>1199</v>
      </c>
      <c r="B31994" s="38">
        <v>55247.0</v>
      </c>
      <c r="C31994" s="38" t="s">
        <v>36310</v>
      </c>
      <c r="D31994" s="38" t="str">
        <f>IFERROR(__xludf.DUMMYFUNCTION("REGEXREPLACE(C31994,""-\d+(.*)|--\d+(.*)"","""")"),"HORVILLE-EN-ORNOIS")</f>
        <v>HORVILLE-EN-ORNOIS</v>
      </c>
      <c r="E31994" s="38" t="s">
        <v>322</v>
      </c>
      <c r="F31994" s="38" t="s">
        <v>195</v>
      </c>
      <c r="G31994" s="49" t="str">
        <f t="shared" si="1"/>
        <v>55130</v>
      </c>
      <c r="H31994" s="49">
        <f t="shared" si="2"/>
        <v>55247</v>
      </c>
    </row>
    <row r="31995">
      <c r="A31995" s="48" t="s">
        <v>8336</v>
      </c>
      <c r="B31995" s="38">
        <v>85269.0</v>
      </c>
      <c r="C31995" s="38" t="s">
        <v>18090</v>
      </c>
      <c r="D31995" s="38" t="str">
        <f>IFERROR(__xludf.DUMMYFUNCTION("REGEXREPLACE(C31995,""-\d+(.*)|--\d+(.*)"","""")"),"SAINT-SIGISMOND")</f>
        <v>SAINT-SIGISMOND</v>
      </c>
      <c r="E31995" s="38" t="s">
        <v>179</v>
      </c>
      <c r="F31995" s="38" t="s">
        <v>180</v>
      </c>
      <c r="G31995" s="49" t="str">
        <f t="shared" si="1"/>
        <v>85420</v>
      </c>
      <c r="H31995" s="49">
        <f t="shared" si="2"/>
        <v>85269</v>
      </c>
    </row>
    <row r="31996">
      <c r="A31996" s="48" t="s">
        <v>9965</v>
      </c>
      <c r="B31996" s="38">
        <v>19168.0</v>
      </c>
      <c r="C31996" s="38" t="s">
        <v>10352</v>
      </c>
      <c r="D31996" s="38" t="str">
        <f>IFERROR(__xludf.DUMMYFUNCTION("REGEXREPLACE(C31996,""-\d+(.*)|--\d+(.*)"","""")"),"PRADINES")</f>
        <v>PRADINES</v>
      </c>
      <c r="E31996" s="38" t="s">
        <v>271</v>
      </c>
      <c r="F31996" s="38" t="s">
        <v>98</v>
      </c>
      <c r="G31996" s="49" t="str">
        <f t="shared" si="1"/>
        <v>19170</v>
      </c>
      <c r="H31996" s="49">
        <f t="shared" si="2"/>
        <v>19168</v>
      </c>
    </row>
    <row r="31997">
      <c r="A31997" s="48" t="s">
        <v>6275</v>
      </c>
      <c r="B31997" s="38">
        <v>8158.0</v>
      </c>
      <c r="C31997" s="38" t="s">
        <v>36311</v>
      </c>
      <c r="D31997" s="38" t="str">
        <f>IFERROR(__xludf.DUMMYFUNCTION("REGEXREPLACE(C31997,""-\d+(.*)|--\d+(.*)"","""")"),"ETREPIGNY")</f>
        <v>ETREPIGNY</v>
      </c>
      <c r="E31997" s="38" t="s">
        <v>327</v>
      </c>
      <c r="F31997" s="38" t="s">
        <v>130</v>
      </c>
      <c r="G31997" s="49" t="str">
        <f t="shared" si="1"/>
        <v>08160</v>
      </c>
      <c r="H31997" s="49" t="str">
        <f t="shared" si="2"/>
        <v>08158</v>
      </c>
    </row>
    <row r="31998">
      <c r="A31998" s="48" t="s">
        <v>23262</v>
      </c>
      <c r="B31998" s="38">
        <v>57481.0</v>
      </c>
      <c r="C31998" s="38" t="s">
        <v>36312</v>
      </c>
      <c r="D31998" s="38" t="str">
        <f>IFERROR(__xludf.DUMMYFUNCTION("REGEXREPLACE(C31998,""-\d+(.*)|--\d+(.*)"","""")"),"MONTOIS-LA-MONTAGNE")</f>
        <v>MONTOIS-LA-MONTAGNE</v>
      </c>
      <c r="E31998" s="38" t="s">
        <v>303</v>
      </c>
      <c r="F31998" s="38" t="s">
        <v>195</v>
      </c>
      <c r="G31998" s="49" t="str">
        <f t="shared" si="1"/>
        <v>57860</v>
      </c>
      <c r="H31998" s="49">
        <f t="shared" si="2"/>
        <v>57481</v>
      </c>
    </row>
    <row r="31999">
      <c r="A31999" s="48" t="s">
        <v>9772</v>
      </c>
      <c r="B31999" s="38">
        <v>25512.0</v>
      </c>
      <c r="C31999" s="38" t="s">
        <v>36313</v>
      </c>
      <c r="D31999" s="38" t="str">
        <f>IFERROR(__xludf.DUMMYFUNCTION("REGEXREPLACE(C31999,""-\d+(.*)|--\d+(.*)"","""")"),"LE RUSSEY")</f>
        <v>LE RUSSEY</v>
      </c>
      <c r="E31999" s="38" t="s">
        <v>213</v>
      </c>
      <c r="F31999" s="38" t="s">
        <v>214</v>
      </c>
      <c r="G31999" s="49" t="str">
        <f t="shared" si="1"/>
        <v>25210</v>
      </c>
      <c r="H31999" s="49">
        <f t="shared" si="2"/>
        <v>25512</v>
      </c>
    </row>
    <row r="32000">
      <c r="A32000" s="48" t="s">
        <v>1993</v>
      </c>
      <c r="B32000" s="38">
        <v>2068.0</v>
      </c>
      <c r="C32000" s="38" t="s">
        <v>13336</v>
      </c>
      <c r="D32000" s="38" t="str">
        <f>IFERROR(__xludf.DUMMYFUNCTION("REGEXREPLACE(C32000,""-\d+(.*)|--\d+(.*)"","""")"),"BERLANCOURT")</f>
        <v>BERLANCOURT</v>
      </c>
      <c r="E32000" s="38" t="s">
        <v>191</v>
      </c>
      <c r="F32000" s="38" t="s">
        <v>113</v>
      </c>
      <c r="G32000" s="49" t="str">
        <f t="shared" si="1"/>
        <v>02250</v>
      </c>
      <c r="H32000" s="49" t="str">
        <f t="shared" si="2"/>
        <v>02068</v>
      </c>
    </row>
    <row r="32001">
      <c r="A32001" s="48" t="s">
        <v>5601</v>
      </c>
      <c r="B32001" s="38">
        <v>71393.0</v>
      </c>
      <c r="C32001" s="38" t="s">
        <v>36314</v>
      </c>
      <c r="D32001" s="38" t="str">
        <f>IFERROR(__xludf.DUMMYFUNCTION("REGEXREPLACE(C32001,""-\d+(.*)|--\d+(.*)"","""")"),"SAINT-BONNET-DE-CRAY")</f>
        <v>SAINT-BONNET-DE-CRAY</v>
      </c>
      <c r="E32001" s="38" t="s">
        <v>344</v>
      </c>
      <c r="F32001" s="38" t="s">
        <v>106</v>
      </c>
      <c r="G32001" s="49" t="str">
        <f t="shared" si="1"/>
        <v>71340</v>
      </c>
      <c r="H32001" s="49">
        <f t="shared" si="2"/>
        <v>71393</v>
      </c>
    </row>
    <row r="32002">
      <c r="A32002" s="48" t="s">
        <v>507</v>
      </c>
      <c r="B32002" s="38">
        <v>8204.0</v>
      </c>
      <c r="C32002" s="38" t="s">
        <v>36315</v>
      </c>
      <c r="D32002" s="38" t="str">
        <f>IFERROR(__xludf.DUMMYFUNCTION("REGEXREPLACE(C32002,""-\d+(.*)|--\d+(.*)"","""")"),"GUINCOURT")</f>
        <v>GUINCOURT</v>
      </c>
      <c r="E32002" s="38" t="s">
        <v>327</v>
      </c>
      <c r="F32002" s="38" t="s">
        <v>130</v>
      </c>
      <c r="G32002" s="49" t="str">
        <f t="shared" si="1"/>
        <v>08130</v>
      </c>
      <c r="H32002" s="49" t="str">
        <f t="shared" si="2"/>
        <v>08204</v>
      </c>
    </row>
    <row r="32003">
      <c r="A32003" s="48" t="s">
        <v>562</v>
      </c>
      <c r="B32003" s="38">
        <v>54426.0</v>
      </c>
      <c r="C32003" s="38" t="s">
        <v>36316</v>
      </c>
      <c r="D32003" s="38" t="str">
        <f>IFERROR(__xludf.DUMMYFUNCTION("REGEXREPLACE(C32003,""-\d+(.*)|--\d+(.*)"","""")"),"PIERRE-LA-TREICHE")</f>
        <v>PIERRE-LA-TREICHE</v>
      </c>
      <c r="E32003" s="38" t="s">
        <v>548</v>
      </c>
      <c r="F32003" s="38" t="s">
        <v>195</v>
      </c>
      <c r="G32003" s="49" t="str">
        <f t="shared" si="1"/>
        <v>54200</v>
      </c>
      <c r="H32003" s="49">
        <f t="shared" si="2"/>
        <v>54426</v>
      </c>
    </row>
    <row r="32004">
      <c r="A32004" s="48" t="s">
        <v>2225</v>
      </c>
      <c r="B32004" s="38">
        <v>22026.0</v>
      </c>
      <c r="C32004" s="38" t="s">
        <v>36317</v>
      </c>
      <c r="D32004" s="38" t="str">
        <f>IFERROR(__xludf.DUMMYFUNCTION("REGEXREPLACE(C32004,""-\d+(.*)|--\d+(.*)"","""")"),"CALORGUEN")</f>
        <v>CALORGUEN</v>
      </c>
      <c r="E32004" s="38" t="s">
        <v>89</v>
      </c>
      <c r="F32004" s="38" t="s">
        <v>90</v>
      </c>
      <c r="G32004" s="49" t="str">
        <f t="shared" si="1"/>
        <v>22100</v>
      </c>
      <c r="H32004" s="49">
        <f t="shared" si="2"/>
        <v>22026</v>
      </c>
    </row>
    <row r="32005">
      <c r="A32005" s="48" t="s">
        <v>2532</v>
      </c>
      <c r="B32005" s="38">
        <v>51395.0</v>
      </c>
      <c r="C32005" s="38" t="s">
        <v>36318</v>
      </c>
      <c r="D32005" s="38" t="str">
        <f>IFERROR(__xludf.DUMMYFUNCTION("REGEXREPLACE(C32005,""-\d+(.*)|--\d+(.*)"","""")"),"NESLE-LA-REPOSTE")</f>
        <v>NESLE-LA-REPOSTE</v>
      </c>
      <c r="E32005" s="38" t="s">
        <v>129</v>
      </c>
      <c r="F32005" s="38" t="s">
        <v>130</v>
      </c>
      <c r="G32005" s="49" t="str">
        <f t="shared" si="1"/>
        <v>51120</v>
      </c>
      <c r="H32005" s="49">
        <f t="shared" si="2"/>
        <v>51395</v>
      </c>
    </row>
    <row r="32006">
      <c r="A32006" s="48" t="s">
        <v>24394</v>
      </c>
      <c r="B32006" s="38">
        <v>12304.0</v>
      </c>
      <c r="C32006" s="38" t="s">
        <v>36319</v>
      </c>
      <c r="D32006" s="38" t="str">
        <f>IFERROR(__xludf.DUMMYFUNCTION("REGEXREPLACE(C32006,""-\d+(.*)|--\d+(.*)"","""")"),"VITRAC-EN-VIADENE")</f>
        <v>VITRAC-EN-VIADENE</v>
      </c>
      <c r="E32006" s="38" t="s">
        <v>465</v>
      </c>
      <c r="F32006" s="38" t="s">
        <v>94</v>
      </c>
      <c r="G32006" s="49" t="str">
        <f t="shared" si="1"/>
        <v>12420</v>
      </c>
      <c r="H32006" s="49">
        <f t="shared" si="2"/>
        <v>12304</v>
      </c>
    </row>
    <row r="32007">
      <c r="A32007" s="48" t="s">
        <v>3093</v>
      </c>
      <c r="B32007" s="38">
        <v>57042.0</v>
      </c>
      <c r="C32007" s="38" t="s">
        <v>20162</v>
      </c>
      <c r="D32007" s="38" t="str">
        <f>IFERROR(__xludf.DUMMYFUNCTION("REGEXREPLACE(C32007,""-\d+(.*)|--\d+(.*)"","""")"),"AVRICOURT")</f>
        <v>AVRICOURT</v>
      </c>
      <c r="E32007" s="38" t="s">
        <v>303</v>
      </c>
      <c r="F32007" s="38" t="s">
        <v>195</v>
      </c>
      <c r="G32007" s="49" t="str">
        <f t="shared" si="1"/>
        <v>57810</v>
      </c>
      <c r="H32007" s="49">
        <f t="shared" si="2"/>
        <v>57042</v>
      </c>
    </row>
    <row r="32008">
      <c r="A32008" s="48" t="s">
        <v>10063</v>
      </c>
      <c r="B32008" s="38">
        <v>18142.0</v>
      </c>
      <c r="C32008" s="38" t="s">
        <v>36320</v>
      </c>
      <c r="D32008" s="38" t="str">
        <f>IFERROR(__xludf.DUMMYFUNCTION("REGEXREPLACE(C32008,""-\d+(.*)|--\d+(.*)"","""")"),"MEILLANT")</f>
        <v>MEILLANT</v>
      </c>
      <c r="E32008" s="38" t="s">
        <v>504</v>
      </c>
      <c r="F32008" s="38" t="s">
        <v>123</v>
      </c>
      <c r="G32008" s="49" t="str">
        <f t="shared" si="1"/>
        <v>18200</v>
      </c>
      <c r="H32008" s="49">
        <f t="shared" si="2"/>
        <v>18142</v>
      </c>
    </row>
    <row r="32009">
      <c r="A32009" s="48" t="s">
        <v>25989</v>
      </c>
      <c r="B32009" s="38">
        <v>25350.0</v>
      </c>
      <c r="C32009" s="38" t="s">
        <v>36321</v>
      </c>
      <c r="D32009" s="38" t="str">
        <f>IFERROR(__xludf.DUMMYFUNCTION("REGEXREPLACE(C32009,""-\d+(.*)|--\d+(.*)"","""")"),"LOUGRES")</f>
        <v>LOUGRES</v>
      </c>
      <c r="E32009" s="38" t="s">
        <v>213</v>
      </c>
      <c r="F32009" s="38" t="s">
        <v>214</v>
      </c>
      <c r="G32009" s="49" t="str">
        <f t="shared" si="1"/>
        <v>25260</v>
      </c>
      <c r="H32009" s="49">
        <f t="shared" si="2"/>
        <v>25350</v>
      </c>
    </row>
    <row r="32010">
      <c r="A32010" s="48" t="s">
        <v>12952</v>
      </c>
      <c r="B32010" s="38" t="s">
        <v>36322</v>
      </c>
      <c r="C32010" s="38" t="s">
        <v>36323</v>
      </c>
      <c r="D32010" s="38" t="str">
        <f>IFERROR(__xludf.DUMMYFUNCTION("REGEXREPLACE(C32010,""-\d+(.*)|--\d+(.*)"","""")"),"CASEVECCHIE")</f>
        <v>CASEVECCHIE</v>
      </c>
      <c r="E32010" s="38" t="s">
        <v>743</v>
      </c>
      <c r="F32010" s="38" t="s">
        <v>607</v>
      </c>
      <c r="G32010" s="49" t="str">
        <f t="shared" si="1"/>
        <v>20270</v>
      </c>
      <c r="H32010" s="49" t="str">
        <f t="shared" si="2"/>
        <v>2B075</v>
      </c>
    </row>
    <row r="32011">
      <c r="A32011" s="48" t="s">
        <v>33477</v>
      </c>
      <c r="B32011" s="38">
        <v>91441.0</v>
      </c>
      <c r="C32011" s="38" t="s">
        <v>36324</v>
      </c>
      <c r="D32011" s="38" t="str">
        <f>IFERROR(__xludf.DUMMYFUNCTION("REGEXREPLACE(C32011,""-\d+(.*)|--\d+(.*)"","""")"),"NAINVILLE-LES-ROCHES")</f>
        <v>NAINVILLE-LES-ROCHES</v>
      </c>
      <c r="E32011" s="38" t="s">
        <v>756</v>
      </c>
      <c r="F32011" s="38" t="s">
        <v>245</v>
      </c>
      <c r="G32011" s="49" t="str">
        <f t="shared" si="1"/>
        <v>91750</v>
      </c>
      <c r="H32011" s="49">
        <f t="shared" si="2"/>
        <v>91441</v>
      </c>
    </row>
    <row r="32012">
      <c r="A32012" s="48" t="s">
        <v>4434</v>
      </c>
      <c r="B32012" s="38">
        <v>31172.0</v>
      </c>
      <c r="C32012" s="38" t="s">
        <v>27142</v>
      </c>
      <c r="D32012" s="38" t="str">
        <f>IFERROR(__xludf.DUMMYFUNCTION("REGEXREPLACE(C32012,""-\d+(.*)|--\d+(.*)"","""")"),"ESPARRON")</f>
        <v>ESPARRON</v>
      </c>
      <c r="E32012" s="38" t="s">
        <v>93</v>
      </c>
      <c r="F32012" s="38" t="s">
        <v>94</v>
      </c>
      <c r="G32012" s="49" t="str">
        <f t="shared" si="1"/>
        <v>31420</v>
      </c>
      <c r="H32012" s="49">
        <f t="shared" si="2"/>
        <v>31172</v>
      </c>
    </row>
    <row r="32013">
      <c r="A32013" s="48" t="s">
        <v>7012</v>
      </c>
      <c r="B32013" s="38">
        <v>68301.0</v>
      </c>
      <c r="C32013" s="38" t="s">
        <v>36325</v>
      </c>
      <c r="D32013" s="38" t="str">
        <f>IFERROR(__xludf.DUMMYFUNCTION("REGEXREPLACE(C32013,""-\d+(.*)|--\d+(.*)"","""")"),"SCHLIERBACH")</f>
        <v>SCHLIERBACH</v>
      </c>
      <c r="E32013" s="38" t="s">
        <v>150</v>
      </c>
      <c r="F32013" s="38" t="s">
        <v>151</v>
      </c>
      <c r="G32013" s="49" t="str">
        <f t="shared" si="1"/>
        <v>68440</v>
      </c>
      <c r="H32013" s="49">
        <f t="shared" si="2"/>
        <v>68301</v>
      </c>
    </row>
    <row r="32014">
      <c r="A32014" s="48" t="s">
        <v>6521</v>
      </c>
      <c r="B32014" s="38">
        <v>34097.0</v>
      </c>
      <c r="C32014" s="38" t="s">
        <v>36326</v>
      </c>
      <c r="D32014" s="38" t="str">
        <f>IFERROR(__xludf.DUMMYFUNCTION("REGEXREPLACE(C32014,""-\d+(.*)|--\d+(.*)"","""")"),"FELINES-MINERVOIS")</f>
        <v>FELINES-MINERVOIS</v>
      </c>
      <c r="E32014" s="38" t="s">
        <v>118</v>
      </c>
      <c r="F32014" s="38" t="s">
        <v>119</v>
      </c>
      <c r="G32014" s="49" t="str">
        <f t="shared" si="1"/>
        <v>34210</v>
      </c>
      <c r="H32014" s="49">
        <f t="shared" si="2"/>
        <v>34097</v>
      </c>
    </row>
    <row r="32015">
      <c r="A32015" s="48" t="s">
        <v>2447</v>
      </c>
      <c r="B32015" s="38">
        <v>42076.0</v>
      </c>
      <c r="C32015" s="38" t="s">
        <v>36327</v>
      </c>
      <c r="D32015" s="38" t="str">
        <f>IFERROR(__xludf.DUMMYFUNCTION("REGEXREPLACE(C32015,""-\d+(.*)|--\d+(.*)"","""")"),"CREMEAUX")</f>
        <v>CREMEAUX</v>
      </c>
      <c r="E32015" s="38" t="s">
        <v>166</v>
      </c>
      <c r="F32015" s="38" t="s">
        <v>102</v>
      </c>
      <c r="G32015" s="49" t="str">
        <f t="shared" si="1"/>
        <v>42260</v>
      </c>
      <c r="H32015" s="49">
        <f t="shared" si="2"/>
        <v>42076</v>
      </c>
    </row>
    <row r="32016">
      <c r="A32016" s="48" t="s">
        <v>744</v>
      </c>
      <c r="B32016" s="38">
        <v>14412.0</v>
      </c>
      <c r="C32016" s="38" t="s">
        <v>36328</v>
      </c>
      <c r="D32016" s="38" t="str">
        <f>IFERROR(__xludf.DUMMYFUNCTION("REGEXREPLACE(C32016,""-\d+(.*)|--\d+(.*)"","""")"),"LE MESNIL-AU-GRAIN")</f>
        <v>LE MESNIL-AU-GRAIN</v>
      </c>
      <c r="E32016" s="38" t="s">
        <v>137</v>
      </c>
      <c r="F32016" s="38" t="s">
        <v>138</v>
      </c>
      <c r="G32016" s="49" t="str">
        <f t="shared" si="1"/>
        <v>14260</v>
      </c>
      <c r="H32016" s="49">
        <f t="shared" si="2"/>
        <v>14412</v>
      </c>
    </row>
    <row r="32017">
      <c r="A32017" s="48" t="s">
        <v>19821</v>
      </c>
      <c r="B32017" s="38">
        <v>53008.0</v>
      </c>
      <c r="C32017" s="38" t="s">
        <v>36329</v>
      </c>
      <c r="D32017" s="38" t="str">
        <f>IFERROR(__xludf.DUMMYFUNCTION("REGEXREPLACE(C32017,""-\d+(.*)|--\d+(.*)"","""")"),"ARON")</f>
        <v>ARON</v>
      </c>
      <c r="E32017" s="38" t="s">
        <v>518</v>
      </c>
      <c r="F32017" s="38" t="s">
        <v>180</v>
      </c>
      <c r="G32017" s="49" t="str">
        <f t="shared" si="1"/>
        <v>53440</v>
      </c>
      <c r="H32017" s="49">
        <f t="shared" si="2"/>
        <v>53008</v>
      </c>
    </row>
    <row r="32018">
      <c r="A32018" s="48" t="s">
        <v>10025</v>
      </c>
      <c r="B32018" s="38">
        <v>66158.0</v>
      </c>
      <c r="C32018" s="38" t="s">
        <v>36330</v>
      </c>
      <c r="D32018" s="38" t="str">
        <f>IFERROR(__xludf.DUMMYFUNCTION("REGEXREPLACE(C32018,""-\d+(.*)|--\d+(.*)"","""")"),"RASIGUERES")</f>
        <v>RASIGUERES</v>
      </c>
      <c r="E32018" s="38" t="s">
        <v>248</v>
      </c>
      <c r="F32018" s="38" t="s">
        <v>119</v>
      </c>
      <c r="G32018" s="49" t="str">
        <f t="shared" si="1"/>
        <v>66720</v>
      </c>
      <c r="H32018" s="49">
        <f t="shared" si="2"/>
        <v>66158</v>
      </c>
    </row>
    <row r="32019">
      <c r="A32019" s="48" t="s">
        <v>2328</v>
      </c>
      <c r="B32019" s="38">
        <v>57081.0</v>
      </c>
      <c r="C32019" s="38" t="s">
        <v>36331</v>
      </c>
      <c r="D32019" s="38" t="str">
        <f>IFERROR(__xludf.DUMMYFUNCTION("REGEXREPLACE(C32019,""-\d+(.*)|--\d+(.*)"","""")"),"BIDESTROFF")</f>
        <v>BIDESTROFF</v>
      </c>
      <c r="E32019" s="38" t="s">
        <v>303</v>
      </c>
      <c r="F32019" s="38" t="s">
        <v>195</v>
      </c>
      <c r="G32019" s="49" t="str">
        <f t="shared" si="1"/>
        <v>57260</v>
      </c>
      <c r="H32019" s="49">
        <f t="shared" si="2"/>
        <v>57081</v>
      </c>
    </row>
    <row r="32020">
      <c r="A32020" s="48" t="s">
        <v>730</v>
      </c>
      <c r="B32020" s="38">
        <v>48061.0</v>
      </c>
      <c r="C32020" s="38" t="s">
        <v>36332</v>
      </c>
      <c r="D32020" s="38" t="str">
        <f>IFERROR(__xludf.DUMMYFUNCTION("REGEXREPLACE(C32020,""-\d+(.*)|--\d+(.*)"","""")"),"FLORAC")</f>
        <v>FLORAC</v>
      </c>
      <c r="E32020" s="38" t="s">
        <v>154</v>
      </c>
      <c r="F32020" s="38" t="s">
        <v>119</v>
      </c>
      <c r="G32020" s="49" t="str">
        <f t="shared" si="1"/>
        <v>48400</v>
      </c>
      <c r="H32020" s="49">
        <f t="shared" si="2"/>
        <v>48061</v>
      </c>
    </row>
    <row r="32021">
      <c r="A32021" s="48" t="s">
        <v>2201</v>
      </c>
      <c r="B32021" s="38">
        <v>32415.0</v>
      </c>
      <c r="C32021" s="38" t="s">
        <v>36333</v>
      </c>
      <c r="D32021" s="38" t="str">
        <f>IFERROR(__xludf.DUMMYFUNCTION("REGEXREPLACE(C32021,""-\d+(.*)|--\d+(.*)"","""")"),"SARRAGUZAN")</f>
        <v>SARRAGUZAN</v>
      </c>
      <c r="E32021" s="38" t="s">
        <v>440</v>
      </c>
      <c r="F32021" s="38" t="s">
        <v>94</v>
      </c>
      <c r="G32021" s="49" t="str">
        <f t="shared" si="1"/>
        <v>32170</v>
      </c>
      <c r="H32021" s="49">
        <f t="shared" si="2"/>
        <v>32415</v>
      </c>
    </row>
    <row r="32022">
      <c r="A32022" s="48" t="s">
        <v>29414</v>
      </c>
      <c r="B32022" s="38">
        <v>56024.0</v>
      </c>
      <c r="C32022" s="38" t="s">
        <v>36334</v>
      </c>
      <c r="D32022" s="38" t="str">
        <f>IFERROR(__xludf.DUMMYFUNCTION("REGEXREPLACE(C32022,""-\d+(.*)|--\d+(.*)"","""")"),"BREHAN")</f>
        <v>BREHAN</v>
      </c>
      <c r="E32022" s="38" t="s">
        <v>173</v>
      </c>
      <c r="F32022" s="38" t="s">
        <v>90</v>
      </c>
      <c r="G32022" s="49" t="str">
        <f t="shared" si="1"/>
        <v>56580</v>
      </c>
      <c r="H32022" s="49">
        <f t="shared" si="2"/>
        <v>56024</v>
      </c>
    </row>
    <row r="32023">
      <c r="A32023" s="48" t="s">
        <v>8684</v>
      </c>
      <c r="B32023" s="38">
        <v>37062.0</v>
      </c>
      <c r="C32023" s="38" t="s">
        <v>36335</v>
      </c>
      <c r="D32023" s="38" t="str">
        <f>IFERROR(__xludf.DUMMYFUNCTION("REGEXREPLACE(C32023,""-\d+(.*)|--\d+(.*)"","""")"),"CHATEAU-LA-VALLIERE")</f>
        <v>CHATEAU-LA-VALLIERE</v>
      </c>
      <c r="E32023" s="38" t="s">
        <v>205</v>
      </c>
      <c r="F32023" s="38" t="s">
        <v>123</v>
      </c>
      <c r="G32023" s="49" t="str">
        <f t="shared" si="1"/>
        <v>37330</v>
      </c>
      <c r="H32023" s="49">
        <f t="shared" si="2"/>
        <v>37062</v>
      </c>
    </row>
    <row r="32024">
      <c r="A32024" s="48" t="s">
        <v>2893</v>
      </c>
      <c r="B32024" s="38">
        <v>27073.0</v>
      </c>
      <c r="C32024" s="38" t="s">
        <v>19273</v>
      </c>
      <c r="D32024" s="38" t="str">
        <f>IFERROR(__xludf.DUMMYFUNCTION("REGEXREPLACE(C32024,""-\d+(.*)|--\d+(.*)"","""")"),"BOIS-LE-ROI")</f>
        <v>BOIS-LE-ROI</v>
      </c>
      <c r="E32024" s="38" t="s">
        <v>241</v>
      </c>
      <c r="F32024" s="38" t="s">
        <v>134</v>
      </c>
      <c r="G32024" s="49" t="str">
        <f t="shared" si="1"/>
        <v>27220</v>
      </c>
      <c r="H32024" s="49">
        <f t="shared" si="2"/>
        <v>27073</v>
      </c>
    </row>
    <row r="32025">
      <c r="A32025" s="48" t="s">
        <v>2833</v>
      </c>
      <c r="B32025" s="38">
        <v>77052.0</v>
      </c>
      <c r="C32025" s="38" t="s">
        <v>36336</v>
      </c>
      <c r="D32025" s="38" t="str">
        <f>IFERROR(__xludf.DUMMYFUNCTION("REGEXREPLACE(C32025,""-\d+(.*)|--\d+(.*)"","""")"),"BREAU")</f>
        <v>BREAU</v>
      </c>
      <c r="E32025" s="38" t="s">
        <v>244</v>
      </c>
      <c r="F32025" s="38" t="s">
        <v>245</v>
      </c>
      <c r="G32025" s="49" t="str">
        <f t="shared" si="1"/>
        <v>77720</v>
      </c>
      <c r="H32025" s="49">
        <f t="shared" si="2"/>
        <v>77052</v>
      </c>
    </row>
    <row r="32026">
      <c r="A32026" s="48" t="s">
        <v>13094</v>
      </c>
      <c r="B32026" s="38">
        <v>56226.0</v>
      </c>
      <c r="C32026" s="38" t="s">
        <v>36337</v>
      </c>
      <c r="D32026" s="38" t="str">
        <f>IFERROR(__xludf.DUMMYFUNCTION("REGEXREPLACE(C32026,""-\d+(.*)|--\d+(.*)"","""")"),"SAINT-MALO-DE-BEIGNON")</f>
        <v>SAINT-MALO-DE-BEIGNON</v>
      </c>
      <c r="E32026" s="38" t="s">
        <v>173</v>
      </c>
      <c r="F32026" s="38" t="s">
        <v>90</v>
      </c>
      <c r="G32026" s="49" t="str">
        <f t="shared" si="1"/>
        <v>56380</v>
      </c>
      <c r="H32026" s="49">
        <f t="shared" si="2"/>
        <v>56226</v>
      </c>
    </row>
    <row r="32027">
      <c r="A32027" s="48" t="s">
        <v>6075</v>
      </c>
      <c r="B32027" s="38">
        <v>63340.0</v>
      </c>
      <c r="C32027" s="38" t="s">
        <v>36338</v>
      </c>
      <c r="D32027" s="38" t="str">
        <f>IFERROR(__xludf.DUMMYFUNCTION("REGEXREPLACE(C32027,""-\d+(.*)|--\d+(.*)"","""")"),"SAINT-ETIENNE-SUR-USSON")</f>
        <v>SAINT-ETIENNE-SUR-USSON</v>
      </c>
      <c r="E32027" s="38" t="s">
        <v>353</v>
      </c>
      <c r="F32027" s="38" t="s">
        <v>161</v>
      </c>
      <c r="G32027" s="49" t="str">
        <f t="shared" si="1"/>
        <v>63580</v>
      </c>
      <c r="H32027" s="49">
        <f t="shared" si="2"/>
        <v>63340</v>
      </c>
    </row>
    <row r="32028">
      <c r="A32028" s="48" t="s">
        <v>4844</v>
      </c>
      <c r="B32028" s="38">
        <v>14486.0</v>
      </c>
      <c r="C32028" s="38" t="s">
        <v>36339</v>
      </c>
      <c r="D32028" s="38" t="str">
        <f>IFERROR(__xludf.DUMMYFUNCTION("REGEXREPLACE(C32028,""-\d+(.*)|--\d+(.*)"","""")"),"OUILLY-LE-TESSON")</f>
        <v>OUILLY-LE-TESSON</v>
      </c>
      <c r="E32028" s="38" t="s">
        <v>137</v>
      </c>
      <c r="F32028" s="38" t="s">
        <v>138</v>
      </c>
      <c r="G32028" s="49" t="str">
        <f t="shared" si="1"/>
        <v>14190</v>
      </c>
      <c r="H32028" s="49">
        <f t="shared" si="2"/>
        <v>14486</v>
      </c>
    </row>
    <row r="32029">
      <c r="A32029" s="48" t="s">
        <v>1754</v>
      </c>
      <c r="B32029" s="38">
        <v>14616.0</v>
      </c>
      <c r="C32029" s="38" t="s">
        <v>36340</v>
      </c>
      <c r="D32029" s="38" t="str">
        <f>IFERROR(__xludf.DUMMYFUNCTION("REGEXREPLACE(C32029,""-\d+(.*)|--\d+(.*)"","""")"),"SAINTE-MARGUERITE-DE-VIETTE")</f>
        <v>SAINTE-MARGUERITE-DE-VIETTE</v>
      </c>
      <c r="E32029" s="38" t="s">
        <v>137</v>
      </c>
      <c r="F32029" s="38" t="s">
        <v>138</v>
      </c>
      <c r="G32029" s="49" t="str">
        <f t="shared" si="1"/>
        <v>14140</v>
      </c>
      <c r="H32029" s="49">
        <f t="shared" si="2"/>
        <v>14616</v>
      </c>
    </row>
    <row r="32030">
      <c r="A32030" s="48" t="s">
        <v>1104</v>
      </c>
      <c r="B32030" s="38">
        <v>52171.0</v>
      </c>
      <c r="C32030" s="38" t="s">
        <v>36341</v>
      </c>
      <c r="D32030" s="38" t="str">
        <f>IFERROR(__xludf.DUMMYFUNCTION("REGEXREPLACE(C32030,""-\d+(.*)|--\d+(.*)"","""")"),"DOMMARTIN-LE-FRANC")</f>
        <v>DOMMARTIN-LE-FRANC</v>
      </c>
      <c r="E32030" s="38" t="s">
        <v>234</v>
      </c>
      <c r="F32030" s="38" t="s">
        <v>130</v>
      </c>
      <c r="G32030" s="49" t="str">
        <f t="shared" si="1"/>
        <v>52110</v>
      </c>
      <c r="H32030" s="49">
        <f t="shared" si="2"/>
        <v>52171</v>
      </c>
    </row>
    <row r="32031">
      <c r="A32031" s="48" t="s">
        <v>1452</v>
      </c>
      <c r="B32031" s="38">
        <v>55050.0</v>
      </c>
      <c r="C32031" s="38" t="s">
        <v>36342</v>
      </c>
      <c r="D32031" s="38" t="str">
        <f>IFERROR(__xludf.DUMMYFUNCTION("REGEXREPLACE(C32031,""-\d+(.*)|--\d+(.*)"","""")"),"BEZONVAUX")</f>
        <v>BEZONVAUX</v>
      </c>
      <c r="E32031" s="38" t="s">
        <v>322</v>
      </c>
      <c r="F32031" s="38" t="s">
        <v>195</v>
      </c>
      <c r="G32031" s="49" t="str">
        <f t="shared" si="1"/>
        <v>55100</v>
      </c>
      <c r="H32031" s="49">
        <f t="shared" si="2"/>
        <v>55050</v>
      </c>
    </row>
    <row r="32032">
      <c r="A32032" s="48" t="s">
        <v>10324</v>
      </c>
      <c r="B32032" s="38">
        <v>54552.0</v>
      </c>
      <c r="C32032" s="38" t="s">
        <v>36343</v>
      </c>
      <c r="D32032" s="38" t="str">
        <f>IFERROR(__xludf.DUMMYFUNCTION("REGEXREPLACE(C32032,""-\d+(.*)|--\d+(.*)"","""")"),"VAUDEMONT")</f>
        <v>VAUDEMONT</v>
      </c>
      <c r="E32032" s="38" t="s">
        <v>548</v>
      </c>
      <c r="F32032" s="38" t="s">
        <v>195</v>
      </c>
      <c r="G32032" s="49" t="str">
        <f t="shared" si="1"/>
        <v>54330</v>
      </c>
      <c r="H32032" s="49">
        <f t="shared" si="2"/>
        <v>54552</v>
      </c>
    </row>
    <row r="32033">
      <c r="A32033" s="48" t="s">
        <v>3436</v>
      </c>
      <c r="B32033" s="38">
        <v>33315.0</v>
      </c>
      <c r="C32033" s="38" t="s">
        <v>36344</v>
      </c>
      <c r="D32033" s="38" t="str">
        <f>IFERROR(__xludf.DUMMYFUNCTION("REGEXREPLACE(C32033,""-\d+(.*)|--\d+(.*)"","""")"),"LES PEINTURES")</f>
        <v>LES PEINTURES</v>
      </c>
      <c r="E32033" s="38" t="s">
        <v>462</v>
      </c>
      <c r="F32033" s="38" t="s">
        <v>252</v>
      </c>
      <c r="G32033" s="49" t="str">
        <f t="shared" si="1"/>
        <v>33230</v>
      </c>
      <c r="H32033" s="49">
        <f t="shared" si="2"/>
        <v>33315</v>
      </c>
    </row>
    <row r="32034">
      <c r="A32034" s="48" t="s">
        <v>1681</v>
      </c>
      <c r="B32034" s="38">
        <v>80541.0</v>
      </c>
      <c r="C32034" s="38" t="s">
        <v>36345</v>
      </c>
      <c r="D32034" s="38" t="str">
        <f>IFERROR(__xludf.DUMMYFUNCTION("REGEXREPLACE(C32034,""-\d+(.*)|--\d+(.*)"","""")"),"MESNIL-SAINT-GEORGES")</f>
        <v>MESNIL-SAINT-GEORGES</v>
      </c>
      <c r="E32034" s="38" t="s">
        <v>224</v>
      </c>
      <c r="F32034" s="38" t="s">
        <v>113</v>
      </c>
      <c r="G32034" s="49" t="str">
        <f t="shared" si="1"/>
        <v>80500</v>
      </c>
      <c r="H32034" s="49">
        <f t="shared" si="2"/>
        <v>80541</v>
      </c>
    </row>
    <row r="32035">
      <c r="A32035" s="48" t="s">
        <v>597</v>
      </c>
      <c r="B32035" s="38">
        <v>31363.0</v>
      </c>
      <c r="C32035" s="38" t="s">
        <v>36346</v>
      </c>
      <c r="D32035" s="38" t="str">
        <f>IFERROR(__xludf.DUMMYFUNCTION("REGEXREPLACE(C32035,""-\d+(.*)|--\d+(.*)"","""")"),"MONTBERNARD")</f>
        <v>MONTBERNARD</v>
      </c>
      <c r="E32035" s="38" t="s">
        <v>93</v>
      </c>
      <c r="F32035" s="38" t="s">
        <v>94</v>
      </c>
      <c r="G32035" s="49" t="str">
        <f t="shared" si="1"/>
        <v>31230</v>
      </c>
      <c r="H32035" s="49">
        <f t="shared" si="2"/>
        <v>31363</v>
      </c>
    </row>
    <row r="32036">
      <c r="A32036" s="48" t="s">
        <v>4447</v>
      </c>
      <c r="B32036" s="38">
        <v>39268.0</v>
      </c>
      <c r="C32036" s="38" t="s">
        <v>36347</v>
      </c>
      <c r="D32036" s="38" t="str">
        <f>IFERROR(__xludf.DUMMYFUNCTION("REGEXREPLACE(C32036,""-\d+(.*)|--\d+(.*)"","""")"),"IVREY")</f>
        <v>IVREY</v>
      </c>
      <c r="E32036" s="38" t="s">
        <v>400</v>
      </c>
      <c r="F32036" s="38" t="s">
        <v>214</v>
      </c>
      <c r="G32036" s="49" t="str">
        <f t="shared" si="1"/>
        <v>39110</v>
      </c>
      <c r="H32036" s="49">
        <f t="shared" si="2"/>
        <v>39268</v>
      </c>
    </row>
    <row r="32037">
      <c r="A32037" s="48" t="s">
        <v>3677</v>
      </c>
      <c r="B32037" s="38">
        <v>89018.0</v>
      </c>
      <c r="C32037" s="38" t="s">
        <v>36348</v>
      </c>
      <c r="D32037" s="38" t="str">
        <f>IFERROR(__xludf.DUMMYFUNCTION("REGEXREPLACE(C32037,""-\d+(.*)|--\d+(.*)"","""")"),"ARMEAU")</f>
        <v>ARMEAU</v>
      </c>
      <c r="E32037" s="38" t="s">
        <v>275</v>
      </c>
      <c r="F32037" s="38" t="s">
        <v>106</v>
      </c>
      <c r="G32037" s="49" t="str">
        <f t="shared" si="1"/>
        <v>89500</v>
      </c>
      <c r="H32037" s="49">
        <f t="shared" si="2"/>
        <v>89018</v>
      </c>
    </row>
    <row r="32038">
      <c r="A32038" s="48" t="s">
        <v>976</v>
      </c>
      <c r="B32038" s="38">
        <v>38163.0</v>
      </c>
      <c r="C32038" s="38" t="s">
        <v>2908</v>
      </c>
      <c r="D32038" s="38" t="str">
        <f>IFERROR(__xludf.DUMMYFUNCTION("REGEXREPLACE(C32038,""-\d+(.*)|--\d+(.*)"","""")"),"LA FERRIERE")</f>
        <v>LA FERRIERE</v>
      </c>
      <c r="E32038" s="38" t="s">
        <v>101</v>
      </c>
      <c r="F32038" s="38" t="s">
        <v>102</v>
      </c>
      <c r="G32038" s="49" t="str">
        <f t="shared" si="1"/>
        <v>38580</v>
      </c>
      <c r="H32038" s="49">
        <f t="shared" si="2"/>
        <v>38163</v>
      </c>
    </row>
    <row r="32039">
      <c r="A32039" s="48" t="s">
        <v>3851</v>
      </c>
      <c r="B32039" s="38">
        <v>59668.0</v>
      </c>
      <c r="C32039" s="38" t="s">
        <v>36349</v>
      </c>
      <c r="D32039" s="38" t="str">
        <f>IFERROR(__xludf.DUMMYFUNCTION("REGEXREPLACE(C32039,""-\d+(.*)|--\d+(.*)"","""")"),"ZUYDCOOTE")</f>
        <v>ZUYDCOOTE</v>
      </c>
      <c r="E32039" s="38" t="s">
        <v>85</v>
      </c>
      <c r="F32039" s="38" t="s">
        <v>86</v>
      </c>
      <c r="G32039" s="49" t="str">
        <f t="shared" si="1"/>
        <v>59123</v>
      </c>
      <c r="H32039" s="49">
        <f t="shared" si="2"/>
        <v>59668</v>
      </c>
    </row>
    <row r="32040">
      <c r="A32040" s="48" t="s">
        <v>4235</v>
      </c>
      <c r="B32040" s="38">
        <v>50489.0</v>
      </c>
      <c r="C32040" s="38" t="s">
        <v>36350</v>
      </c>
      <c r="D32040" s="38" t="str">
        <f>IFERROR(__xludf.DUMMYFUNCTION("REGEXREPLACE(C32040,""-\d+(.*)|--\d+(.*)"","""")"),"SAINT-JEAN-DE-LA-HAIZE")</f>
        <v>SAINT-JEAN-DE-LA-HAIZE</v>
      </c>
      <c r="E32040" s="38" t="s">
        <v>157</v>
      </c>
      <c r="F32040" s="38" t="s">
        <v>138</v>
      </c>
      <c r="G32040" s="49" t="str">
        <f t="shared" si="1"/>
        <v>50300</v>
      </c>
      <c r="H32040" s="49">
        <f t="shared" si="2"/>
        <v>50489</v>
      </c>
    </row>
    <row r="32041">
      <c r="A32041" s="48" t="s">
        <v>36351</v>
      </c>
      <c r="B32041" s="38">
        <v>86213.0</v>
      </c>
      <c r="C32041" s="38" t="s">
        <v>36352</v>
      </c>
      <c r="D32041" s="38" t="str">
        <f>IFERROR(__xludf.DUMMYFUNCTION("REGEXREPLACE(C32041,""-\d+(.*)|--\d+(.*)"","""")"),"ROUILLE")</f>
        <v>ROUILLE</v>
      </c>
      <c r="E32041" s="38" t="s">
        <v>529</v>
      </c>
      <c r="F32041" s="38" t="s">
        <v>338</v>
      </c>
      <c r="G32041" s="49" t="str">
        <f t="shared" si="1"/>
        <v>86480</v>
      </c>
      <c r="H32041" s="49">
        <f t="shared" si="2"/>
        <v>86213</v>
      </c>
    </row>
    <row r="32042">
      <c r="A32042" s="48" t="s">
        <v>2457</v>
      </c>
      <c r="B32042" s="38">
        <v>17124.0</v>
      </c>
      <c r="C32042" s="38" t="s">
        <v>36353</v>
      </c>
      <c r="D32042" s="38" t="str">
        <f>IFERROR(__xludf.DUMMYFUNCTION("REGEXREPLACE(C32042,""-\d+(.*)|--\d+(.*)"","""")"),"COURANT")</f>
        <v>COURANT</v>
      </c>
      <c r="E32042" s="38" t="s">
        <v>488</v>
      </c>
      <c r="F32042" s="38" t="s">
        <v>338</v>
      </c>
      <c r="G32042" s="49" t="str">
        <f t="shared" si="1"/>
        <v>17330</v>
      </c>
      <c r="H32042" s="49">
        <f t="shared" si="2"/>
        <v>17124</v>
      </c>
    </row>
    <row r="32043">
      <c r="A32043" s="48" t="s">
        <v>1989</v>
      </c>
      <c r="B32043" s="38">
        <v>60168.0</v>
      </c>
      <c r="C32043" s="38" t="s">
        <v>36354</v>
      </c>
      <c r="D32043" s="38" t="str">
        <f>IFERROR(__xludf.DUMMYFUNCTION("REGEXREPLACE(C32043,""-\d+(.*)|--\d+(.*)"","""")"),"COURCELLES-EPAYELLES")</f>
        <v>COURCELLES-EPAYELLES</v>
      </c>
      <c r="E32043" s="38" t="s">
        <v>112</v>
      </c>
      <c r="F32043" s="38" t="s">
        <v>113</v>
      </c>
      <c r="G32043" s="49" t="str">
        <f t="shared" si="1"/>
        <v>60420</v>
      </c>
      <c r="H32043" s="49">
        <f t="shared" si="2"/>
        <v>60168</v>
      </c>
    </row>
    <row r="32044">
      <c r="A32044" s="48" t="s">
        <v>851</v>
      </c>
      <c r="B32044" s="38">
        <v>44118.0</v>
      </c>
      <c r="C32044" s="38" t="s">
        <v>36355</v>
      </c>
      <c r="D32044" s="38" t="str">
        <f>IFERROR(__xludf.DUMMYFUNCTION("REGEXREPLACE(C32044,""-\d+(.*)|--\d+(.*)"","""")"),"PANNECE")</f>
        <v>PANNECE</v>
      </c>
      <c r="E32044" s="38" t="s">
        <v>759</v>
      </c>
      <c r="F32044" s="38" t="s">
        <v>180</v>
      </c>
      <c r="G32044" s="49" t="str">
        <f t="shared" si="1"/>
        <v>44440</v>
      </c>
      <c r="H32044" s="49">
        <f t="shared" si="2"/>
        <v>44118</v>
      </c>
    </row>
    <row r="32045">
      <c r="A32045" s="48" t="s">
        <v>1781</v>
      </c>
      <c r="B32045" s="38">
        <v>27056.0</v>
      </c>
      <c r="C32045" s="38" t="s">
        <v>36356</v>
      </c>
      <c r="D32045" s="38" t="str">
        <f>IFERROR(__xludf.DUMMYFUNCTION("REGEXREPLACE(C32045,""-\d+(.*)|--\d+(.*)"","""")"),"BERNAY")</f>
        <v>BERNAY</v>
      </c>
      <c r="E32045" s="38" t="s">
        <v>241</v>
      </c>
      <c r="F32045" s="38" t="s">
        <v>134</v>
      </c>
      <c r="G32045" s="49" t="str">
        <f t="shared" si="1"/>
        <v>27300</v>
      </c>
      <c r="H32045" s="49">
        <f t="shared" si="2"/>
        <v>27056</v>
      </c>
    </row>
    <row r="32046">
      <c r="A32046" s="48" t="s">
        <v>9569</v>
      </c>
      <c r="B32046" s="38">
        <v>62107.0</v>
      </c>
      <c r="C32046" s="38" t="s">
        <v>36357</v>
      </c>
      <c r="D32046" s="38" t="str">
        <f>IFERROR(__xludf.DUMMYFUNCTION("REGEXREPLACE(C32046,""-\d+(.*)|--\d+(.*)"","""")"),"BENIFONTAINE")</f>
        <v>BENIFONTAINE</v>
      </c>
      <c r="E32046" s="38" t="s">
        <v>109</v>
      </c>
      <c r="F32046" s="38" t="s">
        <v>86</v>
      </c>
      <c r="G32046" s="49" t="str">
        <f t="shared" si="1"/>
        <v>62410</v>
      </c>
      <c r="H32046" s="49">
        <f t="shared" si="2"/>
        <v>62107</v>
      </c>
    </row>
    <row r="32047">
      <c r="A32047" s="48" t="s">
        <v>36358</v>
      </c>
      <c r="B32047" s="38">
        <v>14365.0</v>
      </c>
      <c r="C32047" s="38" t="s">
        <v>36359</v>
      </c>
      <c r="D32047" s="38" t="str">
        <f>IFERROR(__xludf.DUMMYFUNCTION("REGEXREPLACE(C32047,""-\d+(.*)|--\d+(.*)"","""")"),"LION-SUR-MER")</f>
        <v>LION-SUR-MER</v>
      </c>
      <c r="E32047" s="38" t="s">
        <v>137</v>
      </c>
      <c r="F32047" s="38" t="s">
        <v>138</v>
      </c>
      <c r="G32047" s="49" t="str">
        <f t="shared" si="1"/>
        <v>14780</v>
      </c>
      <c r="H32047" s="49">
        <f t="shared" si="2"/>
        <v>14365</v>
      </c>
    </row>
    <row r="32048">
      <c r="A32048" s="48" t="s">
        <v>1872</v>
      </c>
      <c r="B32048" s="38">
        <v>80371.0</v>
      </c>
      <c r="C32048" s="38" t="s">
        <v>36360</v>
      </c>
      <c r="D32048" s="38" t="str">
        <f>IFERROR(__xludf.DUMMYFUNCTION("REGEXREPLACE(C32048,""-\d+(.*)|--\d+(.*)"","""")"),"FROYELLES")</f>
        <v>FROYELLES</v>
      </c>
      <c r="E32048" s="38" t="s">
        <v>224</v>
      </c>
      <c r="F32048" s="38" t="s">
        <v>113</v>
      </c>
      <c r="G32048" s="49" t="str">
        <f t="shared" si="1"/>
        <v>80150</v>
      </c>
      <c r="H32048" s="49">
        <f t="shared" si="2"/>
        <v>80371</v>
      </c>
    </row>
    <row r="32049">
      <c r="A32049" s="48" t="s">
        <v>6275</v>
      </c>
      <c r="B32049" s="38">
        <v>8388.0</v>
      </c>
      <c r="C32049" s="38" t="s">
        <v>36096</v>
      </c>
      <c r="D32049" s="38" t="str">
        <f>IFERROR(__xludf.DUMMYFUNCTION("REGEXREPLACE(C32049,""-\d+(.*)|--\d+(.*)"","""")"),"SAINT-MARCEAU")</f>
        <v>SAINT-MARCEAU</v>
      </c>
      <c r="E32049" s="38" t="s">
        <v>327</v>
      </c>
      <c r="F32049" s="38" t="s">
        <v>130</v>
      </c>
      <c r="G32049" s="49" t="str">
        <f t="shared" si="1"/>
        <v>08160</v>
      </c>
      <c r="H32049" s="49" t="str">
        <f t="shared" si="2"/>
        <v>08388</v>
      </c>
    </row>
    <row r="32050">
      <c r="A32050" s="48" t="s">
        <v>12619</v>
      </c>
      <c r="B32050" s="38">
        <v>24163.0</v>
      </c>
      <c r="C32050" s="38" t="s">
        <v>36361</v>
      </c>
      <c r="D32050" s="38" t="str">
        <f>IFERROR(__xludf.DUMMYFUNCTION("REGEXREPLACE(C32050,""-\d+(.*)|--\d+(.*)"","""")"),"ETOUARS")</f>
        <v>ETOUARS</v>
      </c>
      <c r="E32050" s="38" t="s">
        <v>261</v>
      </c>
      <c r="F32050" s="38" t="s">
        <v>252</v>
      </c>
      <c r="G32050" s="49" t="str">
        <f t="shared" si="1"/>
        <v>24360</v>
      </c>
      <c r="H32050" s="49">
        <f t="shared" si="2"/>
        <v>24163</v>
      </c>
    </row>
    <row r="32051">
      <c r="A32051" s="48" t="s">
        <v>16706</v>
      </c>
      <c r="B32051" s="38">
        <v>82082.0</v>
      </c>
      <c r="C32051" s="38" t="s">
        <v>36362</v>
      </c>
      <c r="D32051" s="38" t="str">
        <f>IFERROR(__xludf.DUMMYFUNCTION("REGEXREPLACE(C32051,""-\d+(.*)|--\d+(.*)"","""")"),"LACAPELLE-LIVRON")</f>
        <v>LACAPELLE-LIVRON</v>
      </c>
      <c r="E32051" s="38" t="s">
        <v>570</v>
      </c>
      <c r="F32051" s="38" t="s">
        <v>94</v>
      </c>
      <c r="G32051" s="49" t="str">
        <f t="shared" si="1"/>
        <v>82160</v>
      </c>
      <c r="H32051" s="49">
        <f t="shared" si="2"/>
        <v>82082</v>
      </c>
    </row>
    <row r="32052">
      <c r="A32052" s="48" t="s">
        <v>8506</v>
      </c>
      <c r="B32052" s="38">
        <v>79307.0</v>
      </c>
      <c r="C32052" s="38" t="s">
        <v>36363</v>
      </c>
      <c r="D32052" s="38" t="str">
        <f>IFERROR(__xludf.DUMMYFUNCTION("REGEXREPLACE(C32052,""-\d+(.*)|--\d+(.*)"","""")"),"SAUZE-VAUSSAIS")</f>
        <v>SAUZE-VAUSSAIS</v>
      </c>
      <c r="E32052" s="38" t="s">
        <v>337</v>
      </c>
      <c r="F32052" s="38" t="s">
        <v>338</v>
      </c>
      <c r="G32052" s="49" t="str">
        <f t="shared" si="1"/>
        <v>79190</v>
      </c>
      <c r="H32052" s="49">
        <f t="shared" si="2"/>
        <v>79307</v>
      </c>
    </row>
    <row r="32053">
      <c r="A32053" s="48" t="s">
        <v>19064</v>
      </c>
      <c r="B32053" s="38">
        <v>61116.0</v>
      </c>
      <c r="C32053" s="38" t="s">
        <v>36364</v>
      </c>
      <c r="D32053" s="38" t="str">
        <f>IFERROR(__xludf.DUMMYFUNCTION("REGEXREPLACE(C32053,""-\d+(.*)|--\d+(.*)"","""")"),"CONDE-SUR-HUISNE")</f>
        <v>CONDE-SUR-HUISNE</v>
      </c>
      <c r="E32053" s="38" t="s">
        <v>141</v>
      </c>
      <c r="F32053" s="38" t="s">
        <v>138</v>
      </c>
      <c r="G32053" s="49" t="str">
        <f t="shared" si="1"/>
        <v>61110</v>
      </c>
      <c r="H32053" s="49">
        <f t="shared" si="2"/>
        <v>61116</v>
      </c>
    </row>
    <row r="32054">
      <c r="A32054" s="48" t="s">
        <v>4784</v>
      </c>
      <c r="B32054" s="38">
        <v>24058.0</v>
      </c>
      <c r="C32054" s="38" t="s">
        <v>36365</v>
      </c>
      <c r="D32054" s="38" t="str">
        <f>IFERROR(__xludf.DUMMYFUNCTION("REGEXREPLACE(C32054,""-\d+(.*)|--\d+(.*)"","""")"),"BOURG-DU-BOST")</f>
        <v>BOURG-DU-BOST</v>
      </c>
      <c r="E32054" s="38" t="s">
        <v>261</v>
      </c>
      <c r="F32054" s="38" t="s">
        <v>252</v>
      </c>
      <c r="G32054" s="49" t="str">
        <f t="shared" si="1"/>
        <v>24600</v>
      </c>
      <c r="H32054" s="49">
        <f t="shared" si="2"/>
        <v>24058</v>
      </c>
    </row>
    <row r="32055">
      <c r="A32055" s="48" t="s">
        <v>9131</v>
      </c>
      <c r="B32055" s="38">
        <v>49030.0</v>
      </c>
      <c r="C32055" s="38" t="s">
        <v>36366</v>
      </c>
      <c r="D32055" s="38" t="str">
        <f>IFERROR(__xludf.DUMMYFUNCTION("REGEXREPLACE(C32055,""-\d+(.*)|--\d+(.*)"","""")"),"BLOU")</f>
        <v>BLOU</v>
      </c>
      <c r="E32055" s="38" t="s">
        <v>653</v>
      </c>
      <c r="F32055" s="38" t="s">
        <v>180</v>
      </c>
      <c r="G32055" s="49" t="str">
        <f t="shared" si="1"/>
        <v>49160</v>
      </c>
      <c r="H32055" s="49">
        <f t="shared" si="2"/>
        <v>49030</v>
      </c>
    </row>
    <row r="32056">
      <c r="A32056" s="48" t="s">
        <v>31882</v>
      </c>
      <c r="B32056" s="38">
        <v>76275.0</v>
      </c>
      <c r="C32056" s="38" t="s">
        <v>21471</v>
      </c>
      <c r="D32056" s="38" t="str">
        <f>IFERROR(__xludf.DUMMYFUNCTION("REGEXREPLACE(C32056,""-\d+(.*)|--\d+(.*)"","""")"),"FONTENAY")</f>
        <v>FONTENAY</v>
      </c>
      <c r="E32056" s="38" t="s">
        <v>133</v>
      </c>
      <c r="F32056" s="38" t="s">
        <v>134</v>
      </c>
      <c r="G32056" s="49" t="str">
        <f t="shared" si="1"/>
        <v>76290</v>
      </c>
      <c r="H32056" s="49">
        <f t="shared" si="2"/>
        <v>76275</v>
      </c>
    </row>
    <row r="32057">
      <c r="A32057" s="48" t="s">
        <v>1883</v>
      </c>
      <c r="B32057" s="38">
        <v>39308.0</v>
      </c>
      <c r="C32057" s="38" t="s">
        <v>36367</v>
      </c>
      <c r="D32057" s="38" t="str">
        <f>IFERROR(__xludf.DUMMYFUNCTION("REGEXREPLACE(C32057,""-\d+(.*)|--\d+(.*)"","""")"),"MALANGE")</f>
        <v>MALANGE</v>
      </c>
      <c r="E32057" s="38" t="s">
        <v>400</v>
      </c>
      <c r="F32057" s="38" t="s">
        <v>214</v>
      </c>
      <c r="G32057" s="49" t="str">
        <f t="shared" si="1"/>
        <v>39700</v>
      </c>
      <c r="H32057" s="49">
        <f t="shared" si="2"/>
        <v>39308</v>
      </c>
    </row>
    <row r="32058">
      <c r="A32058" s="48" t="s">
        <v>839</v>
      </c>
      <c r="B32058" s="38">
        <v>62036.0</v>
      </c>
      <c r="C32058" s="38" t="s">
        <v>36368</v>
      </c>
      <c r="D32058" s="38" t="str">
        <f>IFERROR(__xludf.DUMMYFUNCTION("REGEXREPLACE(C32058,""-\d+(.*)|--\d+(.*)"","""")"),"ANVIN")</f>
        <v>ANVIN</v>
      </c>
      <c r="E32058" s="38" t="s">
        <v>109</v>
      </c>
      <c r="F32058" s="38" t="s">
        <v>86</v>
      </c>
      <c r="G32058" s="49" t="str">
        <f t="shared" si="1"/>
        <v>62134</v>
      </c>
      <c r="H32058" s="49">
        <f t="shared" si="2"/>
        <v>62036</v>
      </c>
    </row>
    <row r="32059">
      <c r="A32059" s="48" t="s">
        <v>8404</v>
      </c>
      <c r="B32059" s="38" t="s">
        <v>36369</v>
      </c>
      <c r="C32059" s="38" t="s">
        <v>36370</v>
      </c>
      <c r="D32059" s="38" t="str">
        <f>IFERROR(__xludf.DUMMYFUNCTION("REGEXREPLACE(C32059,""-\d+(.*)|--\d+(.*)"","""")"),"VOLPAJOLA")</f>
        <v>VOLPAJOLA</v>
      </c>
      <c r="E32059" s="38" t="s">
        <v>743</v>
      </c>
      <c r="F32059" s="38" t="s">
        <v>607</v>
      </c>
      <c r="G32059" s="49" t="str">
        <f t="shared" si="1"/>
        <v>20290</v>
      </c>
      <c r="H32059" s="49" t="str">
        <f t="shared" si="2"/>
        <v>2B355</v>
      </c>
    </row>
    <row r="32060">
      <c r="A32060" s="48" t="s">
        <v>21697</v>
      </c>
      <c r="B32060" s="38">
        <v>29192.0</v>
      </c>
      <c r="C32060" s="38" t="s">
        <v>36371</v>
      </c>
      <c r="D32060" s="38" t="str">
        <f>IFERROR(__xludf.DUMMYFUNCTION("REGEXREPLACE(C32060,""-\d+(.*)|--\d+(.*)"","""")"),"PLOUGOULM")</f>
        <v>PLOUGOULM</v>
      </c>
      <c r="E32060" s="38" t="s">
        <v>176</v>
      </c>
      <c r="F32060" s="38" t="s">
        <v>90</v>
      </c>
      <c r="G32060" s="49" t="str">
        <f t="shared" si="1"/>
        <v>29250</v>
      </c>
      <c r="H32060" s="49">
        <f t="shared" si="2"/>
        <v>29192</v>
      </c>
    </row>
    <row r="32061">
      <c r="A32061" s="48" t="s">
        <v>215</v>
      </c>
      <c r="B32061" s="38">
        <v>2069.0</v>
      </c>
      <c r="C32061" s="38" t="s">
        <v>36372</v>
      </c>
      <c r="D32061" s="38" t="str">
        <f>IFERROR(__xludf.DUMMYFUNCTION("REGEXREPLACE(C32061,""-\d+(.*)|--\d+(.*)"","""")"),"BERLISE")</f>
        <v>BERLISE</v>
      </c>
      <c r="E32061" s="38" t="s">
        <v>191</v>
      </c>
      <c r="F32061" s="38" t="s">
        <v>113</v>
      </c>
      <c r="G32061" s="49" t="str">
        <f t="shared" si="1"/>
        <v>02340</v>
      </c>
      <c r="H32061" s="49" t="str">
        <f t="shared" si="2"/>
        <v>02069</v>
      </c>
    </row>
    <row r="32062">
      <c r="A32062" s="48" t="s">
        <v>27971</v>
      </c>
      <c r="B32062" s="38">
        <v>88157.0</v>
      </c>
      <c r="C32062" s="38" t="s">
        <v>36373</v>
      </c>
      <c r="D32062" s="38" t="str">
        <f>IFERROR(__xludf.DUMMYFUNCTION("REGEXREPLACE(C32062,""-\d+(.*)|--\d+(.*)"","""")"),"DOUNOUX")</f>
        <v>DOUNOUX</v>
      </c>
      <c r="E32062" s="38" t="s">
        <v>194</v>
      </c>
      <c r="F32062" s="38" t="s">
        <v>195</v>
      </c>
      <c r="G32062" s="49" t="str">
        <f t="shared" si="1"/>
        <v>88220</v>
      </c>
      <c r="H32062" s="49">
        <f t="shared" si="2"/>
        <v>88157</v>
      </c>
    </row>
    <row r="32063">
      <c r="A32063" s="48" t="s">
        <v>1000</v>
      </c>
      <c r="B32063" s="38">
        <v>70344.0</v>
      </c>
      <c r="C32063" s="38" t="s">
        <v>36374</v>
      </c>
      <c r="D32063" s="38" t="str">
        <f>IFERROR(__xludf.DUMMYFUNCTION("REGEXREPLACE(C32063,""-\d+(.*)|--\d+(.*)"","""")"),"MEURCOURT")</f>
        <v>MEURCOURT</v>
      </c>
      <c r="E32063" s="38" t="s">
        <v>956</v>
      </c>
      <c r="F32063" s="38" t="s">
        <v>214</v>
      </c>
      <c r="G32063" s="49" t="str">
        <f t="shared" si="1"/>
        <v>70300</v>
      </c>
      <c r="H32063" s="49">
        <f t="shared" si="2"/>
        <v>70344</v>
      </c>
    </row>
    <row r="32064">
      <c r="A32064" s="48" t="s">
        <v>14940</v>
      </c>
      <c r="B32064" s="38">
        <v>17289.0</v>
      </c>
      <c r="C32064" s="38" t="s">
        <v>36375</v>
      </c>
      <c r="D32064" s="38" t="str">
        <f>IFERROR(__xludf.DUMMYFUNCTION("REGEXREPLACE(C32064,""-\d+(.*)|--\d+(.*)"","""")"),"PREGUILLAC")</f>
        <v>PREGUILLAC</v>
      </c>
      <c r="E32064" s="38" t="s">
        <v>488</v>
      </c>
      <c r="F32064" s="38" t="s">
        <v>338</v>
      </c>
      <c r="G32064" s="49" t="str">
        <f t="shared" si="1"/>
        <v>17460</v>
      </c>
      <c r="H32064" s="49">
        <f t="shared" si="2"/>
        <v>17289</v>
      </c>
    </row>
    <row r="32065">
      <c r="A32065" s="48" t="s">
        <v>704</v>
      </c>
      <c r="B32065" s="38">
        <v>5040.0</v>
      </c>
      <c r="C32065" s="38" t="s">
        <v>36376</v>
      </c>
      <c r="D32065" s="38" t="str">
        <f>IFERROR(__xludf.DUMMYFUNCTION("REGEXREPLACE(C32065,""-\d+(.*)|--\d+(.*)"","""")"),"CHORGES")</f>
        <v>CHORGES</v>
      </c>
      <c r="E32065" s="38" t="s">
        <v>706</v>
      </c>
      <c r="F32065" s="38" t="s">
        <v>228</v>
      </c>
      <c r="G32065" s="49" t="str">
        <f t="shared" si="1"/>
        <v>05230</v>
      </c>
      <c r="H32065" s="49" t="str">
        <f t="shared" si="2"/>
        <v>05040</v>
      </c>
    </row>
    <row r="32066">
      <c r="A32066" s="48" t="s">
        <v>4941</v>
      </c>
      <c r="B32066" s="38">
        <v>89097.0</v>
      </c>
      <c r="C32066" s="38" t="s">
        <v>36377</v>
      </c>
      <c r="D32066" s="38" t="str">
        <f>IFERROR(__xludf.DUMMYFUNCTION("REGEXREPLACE(C32066,""-\d+(.*)|--\d+(.*)"","""")"),"CHENE-ARNOULT")</f>
        <v>CHENE-ARNOULT</v>
      </c>
      <c r="E32066" s="38" t="s">
        <v>275</v>
      </c>
      <c r="F32066" s="38" t="s">
        <v>106</v>
      </c>
      <c r="G32066" s="49" t="str">
        <f t="shared" si="1"/>
        <v>89120</v>
      </c>
      <c r="H32066" s="49">
        <f t="shared" si="2"/>
        <v>89097</v>
      </c>
    </row>
    <row r="32067">
      <c r="A32067" s="48" t="s">
        <v>584</v>
      </c>
      <c r="B32067" s="38">
        <v>62248.0</v>
      </c>
      <c r="C32067" s="38" t="s">
        <v>36378</v>
      </c>
      <c r="D32067" s="38" t="str">
        <f>IFERROR(__xludf.DUMMYFUNCTION("REGEXREPLACE(C32067,""-\d+(.*)|--\d+(.*)"","""")"),"COURCELLES-LE-COMTE")</f>
        <v>COURCELLES-LE-COMTE</v>
      </c>
      <c r="E32067" s="38" t="s">
        <v>109</v>
      </c>
      <c r="F32067" s="38" t="s">
        <v>86</v>
      </c>
      <c r="G32067" s="49" t="str">
        <f t="shared" si="1"/>
        <v>62121</v>
      </c>
      <c r="H32067" s="49">
        <f t="shared" si="2"/>
        <v>62248</v>
      </c>
    </row>
    <row r="32068">
      <c r="A32068" s="48" t="s">
        <v>1422</v>
      </c>
      <c r="B32068" s="38">
        <v>14541.0</v>
      </c>
      <c r="C32068" s="38" t="s">
        <v>36379</v>
      </c>
      <c r="D32068" s="38" t="str">
        <f>IFERROR(__xludf.DUMMYFUNCTION("REGEXREPLACE(C32068,""-\d+(.*)|--\d+(.*)"","""")"),"LA ROQUE-BAIGNARD")</f>
        <v>LA ROQUE-BAIGNARD</v>
      </c>
      <c r="E32068" s="38" t="s">
        <v>137</v>
      </c>
      <c r="F32068" s="38" t="s">
        <v>138</v>
      </c>
      <c r="G32068" s="49" t="str">
        <f t="shared" si="1"/>
        <v>14340</v>
      </c>
      <c r="H32068" s="49">
        <f t="shared" si="2"/>
        <v>14541</v>
      </c>
    </row>
    <row r="32069">
      <c r="A32069" s="48" t="s">
        <v>4530</v>
      </c>
      <c r="B32069" s="38">
        <v>11014.0</v>
      </c>
      <c r="C32069" s="38" t="s">
        <v>36380</v>
      </c>
      <c r="D32069" s="38" t="str">
        <f>IFERROR(__xludf.DUMMYFUNCTION("REGEXREPLACE(C32069,""-\d+(.*)|--\d+(.*)"","""")"),"ARMISSAN")</f>
        <v>ARMISSAN</v>
      </c>
      <c r="E32069" s="38" t="s">
        <v>278</v>
      </c>
      <c r="F32069" s="38" t="s">
        <v>119</v>
      </c>
      <c r="G32069" s="49" t="str">
        <f t="shared" si="1"/>
        <v>11110</v>
      </c>
      <c r="H32069" s="49">
        <f t="shared" si="2"/>
        <v>11014</v>
      </c>
    </row>
    <row r="32070">
      <c r="A32070" s="48" t="s">
        <v>5831</v>
      </c>
      <c r="B32070" s="38">
        <v>5159.0</v>
      </c>
      <c r="C32070" s="38" t="s">
        <v>36381</v>
      </c>
      <c r="D32070" s="38" t="str">
        <f>IFERROR(__xludf.DUMMYFUNCTION("REGEXREPLACE(C32070,""-\d+(.*)|--\d+(.*)"","""")"),"SALEON")</f>
        <v>SALEON</v>
      </c>
      <c r="E32070" s="38" t="s">
        <v>706</v>
      </c>
      <c r="F32070" s="38" t="s">
        <v>228</v>
      </c>
      <c r="G32070" s="49" t="str">
        <f t="shared" si="1"/>
        <v>05300</v>
      </c>
      <c r="H32070" s="49" t="str">
        <f t="shared" si="2"/>
        <v>05159</v>
      </c>
    </row>
    <row r="32071">
      <c r="A32071" s="48" t="s">
        <v>499</v>
      </c>
      <c r="B32071" s="38">
        <v>57697.0</v>
      </c>
      <c r="C32071" s="38" t="s">
        <v>36382</v>
      </c>
      <c r="D32071" s="38" t="str">
        <f>IFERROR(__xludf.DUMMYFUNCTION("REGEXREPLACE(C32071,""-\d+(.*)|--\d+(.*)"","""")"),"VASPERVILLER")</f>
        <v>VASPERVILLER</v>
      </c>
      <c r="E32071" s="38" t="s">
        <v>303</v>
      </c>
      <c r="F32071" s="38" t="s">
        <v>195</v>
      </c>
      <c r="G32071" s="49" t="str">
        <f t="shared" si="1"/>
        <v>57560</v>
      </c>
      <c r="H32071" s="49">
        <f t="shared" si="2"/>
        <v>57697</v>
      </c>
    </row>
    <row r="32072">
      <c r="A32072" s="48" t="s">
        <v>2573</v>
      </c>
      <c r="B32072" s="38">
        <v>31079.0</v>
      </c>
      <c r="C32072" s="38" t="s">
        <v>35281</v>
      </c>
      <c r="D32072" s="38" t="str">
        <f>IFERROR(__xludf.DUMMYFUNCTION("REGEXREPLACE(C32072,""-\d+(.*)|--\d+(.*)"","""")"),"BOULOC")</f>
        <v>BOULOC</v>
      </c>
      <c r="E32072" s="38" t="s">
        <v>93</v>
      </c>
      <c r="F32072" s="38" t="s">
        <v>94</v>
      </c>
      <c r="G32072" s="49" t="str">
        <f t="shared" si="1"/>
        <v>31620</v>
      </c>
      <c r="H32072" s="49">
        <f t="shared" si="2"/>
        <v>31079</v>
      </c>
    </row>
    <row r="32073">
      <c r="A32073" s="48" t="s">
        <v>1319</v>
      </c>
      <c r="B32073" s="38">
        <v>58002.0</v>
      </c>
      <c r="C32073" s="38" t="s">
        <v>36383</v>
      </c>
      <c r="D32073" s="38" t="str">
        <f>IFERROR(__xludf.DUMMYFUNCTION("REGEXREPLACE(C32073,""-\d+(.*)|--\d+(.*)"","""")"),"ALLIGNY-COSNE")</f>
        <v>ALLIGNY-COSNE</v>
      </c>
      <c r="E32073" s="38" t="s">
        <v>219</v>
      </c>
      <c r="F32073" s="38" t="s">
        <v>106</v>
      </c>
      <c r="G32073" s="49" t="str">
        <f t="shared" si="1"/>
        <v>58200</v>
      </c>
      <c r="H32073" s="49">
        <f t="shared" si="2"/>
        <v>58002</v>
      </c>
    </row>
    <row r="32074">
      <c r="A32074" s="48" t="s">
        <v>3958</v>
      </c>
      <c r="B32074" s="38">
        <v>31150.0</v>
      </c>
      <c r="C32074" s="38" t="s">
        <v>36384</v>
      </c>
      <c r="D32074" s="38" t="str">
        <f>IFERROR(__xludf.DUMMYFUNCTION("REGEXREPLACE(C32074,""-\d+(.*)|--\d+(.*)"","""")"),"CORNEBARRIEU")</f>
        <v>CORNEBARRIEU</v>
      </c>
      <c r="E32074" s="38" t="s">
        <v>93</v>
      </c>
      <c r="F32074" s="38" t="s">
        <v>94</v>
      </c>
      <c r="G32074" s="49" t="str">
        <f t="shared" si="1"/>
        <v>31700</v>
      </c>
      <c r="H32074" s="49">
        <f t="shared" si="2"/>
        <v>31150</v>
      </c>
    </row>
    <row r="32075">
      <c r="A32075" s="48" t="s">
        <v>736</v>
      </c>
      <c r="B32075" s="38">
        <v>57403.0</v>
      </c>
      <c r="C32075" s="38" t="s">
        <v>36385</v>
      </c>
      <c r="D32075" s="38" t="str">
        <f>IFERROR(__xludf.DUMMYFUNCTION("REGEXREPLACE(C32075,""-\d+(.*)|--\d+(.*)"","""")"),"LIEHON")</f>
        <v>LIEHON</v>
      </c>
      <c r="E32075" s="38" t="s">
        <v>303</v>
      </c>
      <c r="F32075" s="38" t="s">
        <v>195</v>
      </c>
      <c r="G32075" s="49" t="str">
        <f t="shared" si="1"/>
        <v>57420</v>
      </c>
      <c r="H32075" s="49">
        <f t="shared" si="2"/>
        <v>57403</v>
      </c>
    </row>
    <row r="32076">
      <c r="A32076" s="48" t="s">
        <v>36386</v>
      </c>
      <c r="B32076" s="38">
        <v>70245.0</v>
      </c>
      <c r="C32076" s="38" t="s">
        <v>24923</v>
      </c>
      <c r="D32076" s="38" t="str">
        <f>IFERROR(__xludf.DUMMYFUNCTION("REGEXREPLACE(C32076,""-\d+(.*)|--\d+(.*)"","""")"),"FOUGEROLLES")</f>
        <v>FOUGEROLLES</v>
      </c>
      <c r="E32076" s="38" t="s">
        <v>956</v>
      </c>
      <c r="F32076" s="38" t="s">
        <v>214</v>
      </c>
      <c r="G32076" s="49" t="str">
        <f t="shared" si="1"/>
        <v>70220</v>
      </c>
      <c r="H32076" s="49">
        <f t="shared" si="2"/>
        <v>70245</v>
      </c>
    </row>
    <row r="32077">
      <c r="A32077" s="48" t="s">
        <v>1205</v>
      </c>
      <c r="B32077" s="38">
        <v>54120.0</v>
      </c>
      <c r="C32077" s="38" t="s">
        <v>36387</v>
      </c>
      <c r="D32077" s="38" t="str">
        <f>IFERROR(__xludf.DUMMYFUNCTION("REGEXREPLACE(C32077,""-\d+(.*)|--\d+(.*)"","""")"),"CHARMES-LA-COTE")</f>
        <v>CHARMES-LA-COTE</v>
      </c>
      <c r="E32077" s="38" t="s">
        <v>548</v>
      </c>
      <c r="F32077" s="38" t="s">
        <v>195</v>
      </c>
      <c r="G32077" s="49" t="str">
        <f t="shared" si="1"/>
        <v>54113</v>
      </c>
      <c r="H32077" s="49">
        <f t="shared" si="2"/>
        <v>54120</v>
      </c>
    </row>
    <row r="32078">
      <c r="A32078" s="48" t="s">
        <v>1997</v>
      </c>
      <c r="B32078" s="38">
        <v>21503.0</v>
      </c>
      <c r="C32078" s="38" t="s">
        <v>36388</v>
      </c>
      <c r="D32078" s="38" t="str">
        <f>IFERROR(__xludf.DUMMYFUNCTION("REGEXREPLACE(C32078,""-\d+(.*)|--\d+(.*)"","""")"),"POUILLY-SUR-VINGEANNE")</f>
        <v>POUILLY-SUR-VINGEANNE</v>
      </c>
      <c r="E32078" s="38" t="s">
        <v>105</v>
      </c>
      <c r="F32078" s="38" t="s">
        <v>106</v>
      </c>
      <c r="G32078" s="49" t="str">
        <f t="shared" si="1"/>
        <v>21610</v>
      </c>
      <c r="H32078" s="49">
        <f t="shared" si="2"/>
        <v>21503</v>
      </c>
    </row>
    <row r="32079">
      <c r="A32079" s="48" t="s">
        <v>2340</v>
      </c>
      <c r="B32079" s="38">
        <v>21406.0</v>
      </c>
      <c r="C32079" s="38" t="s">
        <v>24431</v>
      </c>
      <c r="D32079" s="38" t="str">
        <f>IFERROR(__xludf.DUMMYFUNCTION("REGEXREPLACE(C32079,""-\d+(.*)|--\d+(.*)"","""")"),"MESMONT")</f>
        <v>MESMONT</v>
      </c>
      <c r="E32079" s="38" t="s">
        <v>105</v>
      </c>
      <c r="F32079" s="38" t="s">
        <v>106</v>
      </c>
      <c r="G32079" s="49" t="str">
        <f t="shared" si="1"/>
        <v>21540</v>
      </c>
      <c r="H32079" s="49">
        <f t="shared" si="2"/>
        <v>21406</v>
      </c>
    </row>
    <row r="32080">
      <c r="A32080" s="48" t="s">
        <v>1538</v>
      </c>
      <c r="B32080" s="38">
        <v>27414.0</v>
      </c>
      <c r="C32080" s="38" t="s">
        <v>36389</v>
      </c>
      <c r="D32080" s="38" t="str">
        <f>IFERROR(__xludf.DUMMYFUNCTION("REGEXREPLACE(C32080,""-\d+(.*)|--\d+(.*)"","""")"),"MONTREUIL-L'ARGILLE")</f>
        <v>MONTREUIL-L'ARGILLE</v>
      </c>
      <c r="E32080" s="38" t="s">
        <v>241</v>
      </c>
      <c r="F32080" s="38" t="s">
        <v>134</v>
      </c>
      <c r="G32080" s="49" t="str">
        <f t="shared" si="1"/>
        <v>27390</v>
      </c>
      <c r="H32080" s="49">
        <f t="shared" si="2"/>
        <v>27414</v>
      </c>
    </row>
    <row r="32081">
      <c r="A32081" s="48" t="s">
        <v>4326</v>
      </c>
      <c r="B32081" s="38">
        <v>46248.0</v>
      </c>
      <c r="C32081" s="38" t="s">
        <v>36390</v>
      </c>
      <c r="D32081" s="38" t="str">
        <f>IFERROR(__xludf.DUMMYFUNCTION("REGEXREPLACE(C32081,""-\d+(.*)|--\d+(.*)"","""")"),"SAINTE-ALAUZIE")</f>
        <v>SAINTE-ALAUZIE</v>
      </c>
      <c r="E32081" s="38" t="s">
        <v>185</v>
      </c>
      <c r="F32081" s="38" t="s">
        <v>94</v>
      </c>
      <c r="G32081" s="49" t="str">
        <f t="shared" si="1"/>
        <v>46170</v>
      </c>
      <c r="H32081" s="49">
        <f t="shared" si="2"/>
        <v>46248</v>
      </c>
    </row>
    <row r="32082">
      <c r="A32082" s="48" t="s">
        <v>4679</v>
      </c>
      <c r="B32082" s="38">
        <v>17350.0</v>
      </c>
      <c r="C32082" s="38" t="s">
        <v>36391</v>
      </c>
      <c r="D32082" s="38" t="str">
        <f>IFERROR(__xludf.DUMMYFUNCTION("REGEXREPLACE(C32082,""-\d+(.*)|--\d+(.*)"","""")"),"SAINT-JULIEN-DE-L'ESCAP")</f>
        <v>SAINT-JULIEN-DE-L'ESCAP</v>
      </c>
      <c r="E32082" s="38" t="s">
        <v>488</v>
      </c>
      <c r="F32082" s="38" t="s">
        <v>338</v>
      </c>
      <c r="G32082" s="49" t="str">
        <f t="shared" si="1"/>
        <v>17400</v>
      </c>
      <c r="H32082" s="49">
        <f t="shared" si="2"/>
        <v>17350</v>
      </c>
    </row>
    <row r="32083">
      <c r="A32083" s="48" t="s">
        <v>5483</v>
      </c>
      <c r="B32083" s="38">
        <v>58229.0</v>
      </c>
      <c r="C32083" s="38" t="s">
        <v>36392</v>
      </c>
      <c r="D32083" s="38" t="str">
        <f>IFERROR(__xludf.DUMMYFUNCTION("REGEXREPLACE(C32083,""-\d+(.*)|--\d+(.*)"","""")"),"SAINT-ANDRE-EN-MORVAN")</f>
        <v>SAINT-ANDRE-EN-MORVAN</v>
      </c>
      <c r="E32083" s="38" t="s">
        <v>219</v>
      </c>
      <c r="F32083" s="38" t="s">
        <v>106</v>
      </c>
      <c r="G32083" s="49" t="str">
        <f t="shared" si="1"/>
        <v>58140</v>
      </c>
      <c r="H32083" s="49">
        <f t="shared" si="2"/>
        <v>58229</v>
      </c>
    </row>
    <row r="32084">
      <c r="A32084" s="48" t="s">
        <v>8263</v>
      </c>
      <c r="B32084" s="38">
        <v>43200.0</v>
      </c>
      <c r="C32084" s="38" t="s">
        <v>36393</v>
      </c>
      <c r="D32084" s="38" t="str">
        <f>IFERROR(__xludf.DUMMYFUNCTION("REGEXREPLACE(C32084,""-\d+(.*)|--\d+(.*)"","""")"),"SAINT-JULIEN-CHAPTEUIL")</f>
        <v>SAINT-JULIEN-CHAPTEUIL</v>
      </c>
      <c r="E32084" s="38" t="s">
        <v>332</v>
      </c>
      <c r="F32084" s="38" t="s">
        <v>161</v>
      </c>
      <c r="G32084" s="49" t="str">
        <f t="shared" si="1"/>
        <v>43260</v>
      </c>
      <c r="H32084" s="49">
        <f t="shared" si="2"/>
        <v>43200</v>
      </c>
    </row>
    <row r="32085">
      <c r="A32085" s="48" t="s">
        <v>8365</v>
      </c>
      <c r="B32085" s="38">
        <v>39117.0</v>
      </c>
      <c r="C32085" s="38" t="s">
        <v>36394</v>
      </c>
      <c r="D32085" s="38" t="str">
        <f>IFERROR(__xludf.DUMMYFUNCTION("REGEXREPLACE(C32085,""-\d+(.*)|--\d+(.*)"","""")"),"CHATELAY")</f>
        <v>CHATELAY</v>
      </c>
      <c r="E32085" s="38" t="s">
        <v>400</v>
      </c>
      <c r="F32085" s="38" t="s">
        <v>214</v>
      </c>
      <c r="G32085" s="49" t="str">
        <f t="shared" si="1"/>
        <v>39380</v>
      </c>
      <c r="H32085" s="49">
        <f t="shared" si="2"/>
        <v>39117</v>
      </c>
    </row>
    <row r="32086">
      <c r="A32086" s="48" t="s">
        <v>18533</v>
      </c>
      <c r="B32086" s="38">
        <v>77313.0</v>
      </c>
      <c r="C32086" s="38" t="s">
        <v>36395</v>
      </c>
      <c r="D32086" s="38" t="str">
        <f>IFERROR(__xludf.DUMMYFUNCTION("REGEXREPLACE(C32086,""-\d+(.*)|--\d+(.*)"","""")"),"MONTMACHOUX")</f>
        <v>MONTMACHOUX</v>
      </c>
      <c r="E32086" s="38" t="s">
        <v>244</v>
      </c>
      <c r="F32086" s="38" t="s">
        <v>245</v>
      </c>
      <c r="G32086" s="49" t="str">
        <f t="shared" si="1"/>
        <v>77940</v>
      </c>
      <c r="H32086" s="49">
        <f t="shared" si="2"/>
        <v>77313</v>
      </c>
    </row>
    <row r="32087">
      <c r="A32087" s="48" t="s">
        <v>6992</v>
      </c>
      <c r="B32087" s="38">
        <v>24292.0</v>
      </c>
      <c r="C32087" s="38" t="s">
        <v>8273</v>
      </c>
      <c r="D32087" s="38" t="str">
        <f>IFERROR(__xludf.DUMMYFUNCTION("REGEXREPLACE(C32087,""-\d+(.*)|--\d+(.*)"","""")"),"MONTPEYROUX")</f>
        <v>MONTPEYROUX</v>
      </c>
      <c r="E32087" s="38" t="s">
        <v>261</v>
      </c>
      <c r="F32087" s="38" t="s">
        <v>252</v>
      </c>
      <c r="G32087" s="49" t="str">
        <f t="shared" si="1"/>
        <v>24610</v>
      </c>
      <c r="H32087" s="49">
        <f t="shared" si="2"/>
        <v>24292</v>
      </c>
    </row>
    <row r="32088">
      <c r="A32088" s="48" t="s">
        <v>4032</v>
      </c>
      <c r="B32088" s="38">
        <v>17426.0</v>
      </c>
      <c r="C32088" s="38" t="s">
        <v>36396</v>
      </c>
      <c r="D32088" s="38" t="str">
        <f>IFERROR(__xludf.DUMMYFUNCTION("REGEXREPLACE(C32088,""-\d+(.*)|--\d+(.*)"","""")"),"LE SEURE")</f>
        <v>LE SEURE</v>
      </c>
      <c r="E32088" s="38" t="s">
        <v>488</v>
      </c>
      <c r="F32088" s="38" t="s">
        <v>338</v>
      </c>
      <c r="G32088" s="49" t="str">
        <f t="shared" si="1"/>
        <v>17770</v>
      </c>
      <c r="H32088" s="49">
        <f t="shared" si="2"/>
        <v>17426</v>
      </c>
    </row>
    <row r="32089">
      <c r="A32089" s="48" t="s">
        <v>1905</v>
      </c>
      <c r="B32089" s="38">
        <v>29264.0</v>
      </c>
      <c r="C32089" s="38" t="s">
        <v>20421</v>
      </c>
      <c r="D32089" s="38" t="str">
        <f>IFERROR(__xludf.DUMMYFUNCTION("REGEXREPLACE(C32089,""-\d+(.*)|--\d+(.*)"","""")"),"SAINT-SERVAIS")</f>
        <v>SAINT-SERVAIS</v>
      </c>
      <c r="E32089" s="38" t="s">
        <v>176</v>
      </c>
      <c r="F32089" s="38" t="s">
        <v>90</v>
      </c>
      <c r="G32089" s="49" t="str">
        <f t="shared" si="1"/>
        <v>29400</v>
      </c>
      <c r="H32089" s="49">
        <f t="shared" si="2"/>
        <v>29264</v>
      </c>
    </row>
    <row r="32090">
      <c r="A32090" s="48" t="s">
        <v>15071</v>
      </c>
      <c r="B32090" s="38">
        <v>91274.0</v>
      </c>
      <c r="C32090" s="38" t="s">
        <v>36397</v>
      </c>
      <c r="D32090" s="38" t="str">
        <f>IFERROR(__xludf.DUMMYFUNCTION("REGEXREPLACE(C32090,""-\d+(.*)|--\d+(.*)"","""")"),"GOMETZ-LA-VILLE")</f>
        <v>GOMETZ-LA-VILLE</v>
      </c>
      <c r="E32090" s="38" t="s">
        <v>756</v>
      </c>
      <c r="F32090" s="38" t="s">
        <v>245</v>
      </c>
      <c r="G32090" s="49" t="str">
        <f t="shared" si="1"/>
        <v>91400</v>
      </c>
      <c r="H32090" s="49">
        <f t="shared" si="2"/>
        <v>91274</v>
      </c>
    </row>
    <row r="32091">
      <c r="A32091" s="48" t="s">
        <v>14379</v>
      </c>
      <c r="B32091" s="38">
        <v>35087.0</v>
      </c>
      <c r="C32091" s="38" t="s">
        <v>23678</v>
      </c>
      <c r="D32091" s="38" t="str">
        <f>IFERROR(__xludf.DUMMYFUNCTION("REGEXREPLACE(C32091,""-\d+(.*)|--\d+(.*)"","""")"),"CORNILLE")</f>
        <v>CORNILLE</v>
      </c>
      <c r="E32091" s="38" t="s">
        <v>347</v>
      </c>
      <c r="F32091" s="38" t="s">
        <v>90</v>
      </c>
      <c r="G32091" s="49" t="str">
        <f t="shared" si="1"/>
        <v>35500</v>
      </c>
      <c r="H32091" s="49">
        <f t="shared" si="2"/>
        <v>35087</v>
      </c>
    </row>
    <row r="32092">
      <c r="A32092" s="48" t="s">
        <v>2433</v>
      </c>
      <c r="B32092" s="38">
        <v>70402.0</v>
      </c>
      <c r="C32092" s="38" t="s">
        <v>36398</v>
      </c>
      <c r="D32092" s="38" t="str">
        <f>IFERROR(__xludf.DUMMYFUNCTION("REGEXREPLACE(C32092,""-\d+(.*)|--\d+(.*)"","""")"),"OYRIERES")</f>
        <v>OYRIERES</v>
      </c>
      <c r="E32092" s="38" t="s">
        <v>956</v>
      </c>
      <c r="F32092" s="38" t="s">
        <v>214</v>
      </c>
      <c r="G32092" s="49" t="str">
        <f t="shared" si="1"/>
        <v>70600</v>
      </c>
      <c r="H32092" s="49">
        <f t="shared" si="2"/>
        <v>70402</v>
      </c>
    </row>
    <row r="32093">
      <c r="A32093" s="48" t="s">
        <v>5636</v>
      </c>
      <c r="B32093" s="38">
        <v>40071.0</v>
      </c>
      <c r="C32093" s="38" t="s">
        <v>36399</v>
      </c>
      <c r="D32093" s="38" t="str">
        <f>IFERROR(__xludf.DUMMYFUNCTION("REGEXREPLACE(C32093,""-\d+(.*)|--\d+(.*)"","""")"),"CASTELNAU-CHALOSSE")</f>
        <v>CASTELNAU-CHALOSSE</v>
      </c>
      <c r="E32093" s="38" t="s">
        <v>281</v>
      </c>
      <c r="F32093" s="38" t="s">
        <v>252</v>
      </c>
      <c r="G32093" s="49" t="str">
        <f t="shared" si="1"/>
        <v>40360</v>
      </c>
      <c r="H32093" s="49">
        <f t="shared" si="2"/>
        <v>40071</v>
      </c>
    </row>
    <row r="32094">
      <c r="A32094" s="48" t="s">
        <v>2851</v>
      </c>
      <c r="B32094" s="38">
        <v>41122.0</v>
      </c>
      <c r="C32094" s="38" t="s">
        <v>36400</v>
      </c>
      <c r="D32094" s="38" t="str">
        <f>IFERROR(__xludf.DUMMYFUNCTION("REGEXREPLACE(C32094,""-\d+(.*)|--\d+(.*)"","""")"),"MARAY")</f>
        <v>MARAY</v>
      </c>
      <c r="E32094" s="38" t="s">
        <v>188</v>
      </c>
      <c r="F32094" s="38" t="s">
        <v>123</v>
      </c>
      <c r="G32094" s="49" t="str">
        <f t="shared" si="1"/>
        <v>41320</v>
      </c>
      <c r="H32094" s="49">
        <f t="shared" si="2"/>
        <v>41122</v>
      </c>
    </row>
    <row r="32095">
      <c r="A32095" s="48" t="s">
        <v>5648</v>
      </c>
      <c r="B32095" s="38">
        <v>76537.0</v>
      </c>
      <c r="C32095" s="38" t="s">
        <v>36401</v>
      </c>
      <c r="D32095" s="38" t="str">
        <f>IFERROR(__xludf.DUMMYFUNCTION("REGEXREPLACE(C32095,""-\d+(.*)|--\d+(.*)"","""")"),"RONCHOIS")</f>
        <v>RONCHOIS</v>
      </c>
      <c r="E32095" s="38" t="s">
        <v>133</v>
      </c>
      <c r="F32095" s="38" t="s">
        <v>134</v>
      </c>
      <c r="G32095" s="49" t="str">
        <f t="shared" si="1"/>
        <v>76390</v>
      </c>
      <c r="H32095" s="49">
        <f t="shared" si="2"/>
        <v>76537</v>
      </c>
    </row>
    <row r="32096">
      <c r="A32096" s="48" t="s">
        <v>5195</v>
      </c>
      <c r="B32096" s="38">
        <v>47067.0</v>
      </c>
      <c r="C32096" s="38" t="s">
        <v>36402</v>
      </c>
      <c r="D32096" s="38" t="str">
        <f>IFERROR(__xludf.DUMMYFUNCTION("REGEXREPLACE(C32096,""-\d+(.*)|--\d+(.*)"","""")"),"CLERMONT-SOUBIRAN")</f>
        <v>CLERMONT-SOUBIRAN</v>
      </c>
      <c r="E32096" s="38" t="s">
        <v>251</v>
      </c>
      <c r="F32096" s="38" t="s">
        <v>252</v>
      </c>
      <c r="G32096" s="49" t="str">
        <f t="shared" si="1"/>
        <v>47270</v>
      </c>
      <c r="H32096" s="49">
        <f t="shared" si="2"/>
        <v>47067</v>
      </c>
    </row>
    <row r="32097">
      <c r="A32097" s="48" t="s">
        <v>773</v>
      </c>
      <c r="B32097" s="38">
        <v>27081.0</v>
      </c>
      <c r="C32097" s="38" t="s">
        <v>3326</v>
      </c>
      <c r="D32097" s="38" t="str">
        <f>IFERROR(__xludf.DUMMYFUNCTION("REGEXREPLACE(C32097,""-\d+(.*)|--\d+(.*)"","""")"),"BONCOURT")</f>
        <v>BONCOURT</v>
      </c>
      <c r="E32097" s="38" t="s">
        <v>241</v>
      </c>
      <c r="F32097" s="38" t="s">
        <v>134</v>
      </c>
      <c r="G32097" s="49" t="str">
        <f t="shared" si="1"/>
        <v>27120</v>
      </c>
      <c r="H32097" s="49">
        <f t="shared" si="2"/>
        <v>27081</v>
      </c>
    </row>
    <row r="32098">
      <c r="A32098" s="48" t="s">
        <v>2285</v>
      </c>
      <c r="B32098" s="38">
        <v>23255.0</v>
      </c>
      <c r="C32098" s="38" t="s">
        <v>36403</v>
      </c>
      <c r="D32098" s="38" t="str">
        <f>IFERROR(__xludf.DUMMYFUNCTION("REGEXREPLACE(C32098,""-\d+(.*)|--\d+(.*)"","""")"),"TROIS-FONDS")</f>
        <v>TROIS-FONDS</v>
      </c>
      <c r="E32098" s="38" t="s">
        <v>97</v>
      </c>
      <c r="F32098" s="38" t="s">
        <v>98</v>
      </c>
      <c r="G32098" s="49" t="str">
        <f t="shared" si="1"/>
        <v>23230</v>
      </c>
      <c r="H32098" s="49">
        <f t="shared" si="2"/>
        <v>23255</v>
      </c>
    </row>
    <row r="32099">
      <c r="A32099" s="48" t="s">
        <v>1742</v>
      </c>
      <c r="B32099" s="38">
        <v>21421.0</v>
      </c>
      <c r="C32099" s="38" t="s">
        <v>36404</v>
      </c>
      <c r="D32099" s="38" t="str">
        <f>IFERROR(__xludf.DUMMYFUNCTION("REGEXREPLACE(C32099,""-\d+(.*)|--\d+(.*)"","""")"),"MOLOY")</f>
        <v>MOLOY</v>
      </c>
      <c r="E32099" s="38" t="s">
        <v>105</v>
      </c>
      <c r="F32099" s="38" t="s">
        <v>106</v>
      </c>
      <c r="G32099" s="49" t="str">
        <f t="shared" si="1"/>
        <v>21120</v>
      </c>
      <c r="H32099" s="49">
        <f t="shared" si="2"/>
        <v>21421</v>
      </c>
    </row>
    <row r="32100">
      <c r="A32100" s="48" t="s">
        <v>325</v>
      </c>
      <c r="B32100" s="38">
        <v>8178.0</v>
      </c>
      <c r="C32100" s="38" t="s">
        <v>36405</v>
      </c>
      <c r="D32100" s="38" t="str">
        <f>IFERROR(__xludf.DUMMYFUNCTION("REGEXREPLACE(C32100,""-\d+(.*)|--\d+(.*)"","""")"),"FRAILLICOURT")</f>
        <v>FRAILLICOURT</v>
      </c>
      <c r="E32100" s="38" t="s">
        <v>327</v>
      </c>
      <c r="F32100" s="38" t="s">
        <v>130</v>
      </c>
      <c r="G32100" s="49" t="str">
        <f t="shared" si="1"/>
        <v>08220</v>
      </c>
      <c r="H32100" s="49" t="str">
        <f t="shared" si="2"/>
        <v>08178</v>
      </c>
    </row>
    <row r="32101">
      <c r="A32101" s="48" t="s">
        <v>10286</v>
      </c>
      <c r="B32101" s="38" t="s">
        <v>36406</v>
      </c>
      <c r="C32101" s="38" t="s">
        <v>36407</v>
      </c>
      <c r="D32101" s="38" t="str">
        <f>IFERROR(__xludf.DUMMYFUNCTION("REGEXREPLACE(C32101,""-\d+(.*)|--\d+(.*)"","""")"),"FARINOLE")</f>
        <v>FARINOLE</v>
      </c>
      <c r="E32101" s="38" t="s">
        <v>743</v>
      </c>
      <c r="F32101" s="38" t="s">
        <v>607</v>
      </c>
      <c r="G32101" s="49" t="str">
        <f t="shared" si="1"/>
        <v>20253</v>
      </c>
      <c r="H32101" s="49" t="str">
        <f t="shared" si="2"/>
        <v>2B109</v>
      </c>
    </row>
    <row r="32102">
      <c r="A32102" s="48" t="s">
        <v>10564</v>
      </c>
      <c r="B32102" s="38">
        <v>56007.0</v>
      </c>
      <c r="C32102" s="38" t="s">
        <v>36408</v>
      </c>
      <c r="D32102" s="38" t="str">
        <f>IFERROR(__xludf.DUMMYFUNCTION("REGEXREPLACE(C32102,""-\d+(.*)|--\d+(.*)"","""")"),"AURAY")</f>
        <v>AURAY</v>
      </c>
      <c r="E32102" s="38" t="s">
        <v>173</v>
      </c>
      <c r="F32102" s="38" t="s">
        <v>90</v>
      </c>
      <c r="G32102" s="49" t="str">
        <f t="shared" si="1"/>
        <v>56400</v>
      </c>
      <c r="H32102" s="49">
        <f t="shared" si="2"/>
        <v>56007</v>
      </c>
    </row>
    <row r="32103">
      <c r="A32103" s="48" t="s">
        <v>7278</v>
      </c>
      <c r="B32103" s="38">
        <v>61469.0</v>
      </c>
      <c r="C32103" s="38" t="s">
        <v>36409</v>
      </c>
      <c r="D32103" s="38" t="str">
        <f>IFERROR(__xludf.DUMMYFUNCTION("REGEXREPLACE(C32103,""-\d+(.*)|--\d+(.*)"","""")"),"SEPT-FORGES")</f>
        <v>SEPT-FORGES</v>
      </c>
      <c r="E32103" s="38" t="s">
        <v>141</v>
      </c>
      <c r="F32103" s="38" t="s">
        <v>138</v>
      </c>
      <c r="G32103" s="49" t="str">
        <f t="shared" si="1"/>
        <v>61330</v>
      </c>
      <c r="H32103" s="49">
        <f t="shared" si="2"/>
        <v>61469</v>
      </c>
    </row>
    <row r="32104">
      <c r="A32104" s="48" t="s">
        <v>36410</v>
      </c>
      <c r="B32104" s="38">
        <v>93045.0</v>
      </c>
      <c r="C32104" s="38" t="s">
        <v>36411</v>
      </c>
      <c r="D32104" s="38" t="str">
        <f>IFERROR(__xludf.DUMMYFUNCTION("REGEXREPLACE(C32104,""-\d+(.*)|--\d+(.*)"","""")"),"LES LILAS")</f>
        <v>LES LILAS</v>
      </c>
      <c r="E32104" s="38" t="s">
        <v>341</v>
      </c>
      <c r="F32104" s="38" t="s">
        <v>245</v>
      </c>
      <c r="G32104" s="49" t="str">
        <f t="shared" si="1"/>
        <v>93260</v>
      </c>
      <c r="H32104" s="49">
        <f t="shared" si="2"/>
        <v>93045</v>
      </c>
    </row>
    <row r="32105">
      <c r="A32105" s="48" t="s">
        <v>9293</v>
      </c>
      <c r="B32105" s="38">
        <v>9039.0</v>
      </c>
      <c r="C32105" s="38" t="s">
        <v>36412</v>
      </c>
      <c r="D32105" s="38" t="str">
        <f>IFERROR(__xludf.DUMMYFUNCTION("REGEXREPLACE(C32105,""-\d+(.*)|--\d+(.*)"","""")"),"LA BASTIDE-DE-BOUSIGNAC")</f>
        <v>LA BASTIDE-DE-BOUSIGNAC</v>
      </c>
      <c r="E32105" s="38" t="s">
        <v>238</v>
      </c>
      <c r="F32105" s="38" t="s">
        <v>94</v>
      </c>
      <c r="G32105" s="49" t="str">
        <f t="shared" si="1"/>
        <v>09500</v>
      </c>
      <c r="H32105" s="49" t="str">
        <f t="shared" si="2"/>
        <v>09039</v>
      </c>
    </row>
    <row r="32106">
      <c r="A32106" s="48" t="s">
        <v>4467</v>
      </c>
      <c r="B32106" s="38">
        <v>53015.0</v>
      </c>
      <c r="C32106" s="38" t="s">
        <v>36413</v>
      </c>
      <c r="D32106" s="38" t="str">
        <f>IFERROR(__xludf.DUMMYFUNCTION("REGEXREPLACE(C32106,""-\d+(.*)|--\d+(.*)"","""")"),"LA BACONNIERE")</f>
        <v>LA BACONNIERE</v>
      </c>
      <c r="E32106" s="38" t="s">
        <v>518</v>
      </c>
      <c r="F32106" s="38" t="s">
        <v>180</v>
      </c>
      <c r="G32106" s="49" t="str">
        <f t="shared" si="1"/>
        <v>53240</v>
      </c>
      <c r="H32106" s="49">
        <f t="shared" si="2"/>
        <v>53015</v>
      </c>
    </row>
    <row r="32107">
      <c r="A32107" s="48" t="s">
        <v>1276</v>
      </c>
      <c r="B32107" s="38">
        <v>64486.0</v>
      </c>
      <c r="C32107" s="38" t="s">
        <v>36414</v>
      </c>
      <c r="D32107" s="38" t="str">
        <f>IFERROR(__xludf.DUMMYFUNCTION("REGEXREPLACE(C32107,""-\d+(.*)|--\d+(.*)"","""")"),"SAINT-JEAN-POUDGE")</f>
        <v>SAINT-JEAN-POUDGE</v>
      </c>
      <c r="E32107" s="38" t="s">
        <v>268</v>
      </c>
      <c r="F32107" s="38" t="s">
        <v>252</v>
      </c>
      <c r="G32107" s="49" t="str">
        <f t="shared" si="1"/>
        <v>64330</v>
      </c>
      <c r="H32107" s="49">
        <f t="shared" si="2"/>
        <v>64486</v>
      </c>
    </row>
    <row r="32108">
      <c r="A32108" s="48" t="s">
        <v>601</v>
      </c>
      <c r="B32108" s="38">
        <v>51583.0</v>
      </c>
      <c r="C32108" s="38" t="s">
        <v>36415</v>
      </c>
      <c r="D32108" s="38" t="str">
        <f>IFERROR(__xludf.DUMMYFUNCTION("REGEXREPLACE(C32108,""-\d+(.*)|--\d+(.*)"","""")"),"TROIS-FONTAINES-L'ABBAYE")</f>
        <v>TROIS-FONTAINES-L'ABBAYE</v>
      </c>
      <c r="E32108" s="38" t="s">
        <v>129</v>
      </c>
      <c r="F32108" s="38" t="s">
        <v>130</v>
      </c>
      <c r="G32108" s="49" t="str">
        <f t="shared" si="1"/>
        <v>51340</v>
      </c>
      <c r="H32108" s="49">
        <f t="shared" si="2"/>
        <v>51583</v>
      </c>
    </row>
    <row r="32109">
      <c r="A32109" s="48" t="s">
        <v>18025</v>
      </c>
      <c r="B32109" s="38">
        <v>82142.0</v>
      </c>
      <c r="C32109" s="38" t="s">
        <v>36416</v>
      </c>
      <c r="D32109" s="38" t="str">
        <f>IFERROR(__xludf.DUMMYFUNCTION("REGEXREPLACE(C32109,""-\d+(.*)|--\d+(.*)"","""")"),"POMPIGNAN")</f>
        <v>POMPIGNAN</v>
      </c>
      <c r="E32109" s="38" t="s">
        <v>570</v>
      </c>
      <c r="F32109" s="38" t="s">
        <v>94</v>
      </c>
      <c r="G32109" s="49" t="str">
        <f t="shared" si="1"/>
        <v>82170</v>
      </c>
      <c r="H32109" s="49">
        <f t="shared" si="2"/>
        <v>82142</v>
      </c>
    </row>
    <row r="32110">
      <c r="A32110" s="48" t="s">
        <v>4030</v>
      </c>
      <c r="B32110" s="38">
        <v>16416.0</v>
      </c>
      <c r="C32110" s="38" t="s">
        <v>36417</v>
      </c>
      <c r="D32110" s="38" t="str">
        <f>IFERROR(__xludf.DUMMYFUNCTION("REGEXREPLACE(C32110,""-\d+(.*)|--\d+(.*)"","""")"),"VITRAC-SAINT-VINCENT")</f>
        <v>VITRAC-SAINT-VINCENT</v>
      </c>
      <c r="E32110" s="38" t="s">
        <v>429</v>
      </c>
      <c r="F32110" s="38" t="s">
        <v>338</v>
      </c>
      <c r="G32110" s="49" t="str">
        <f t="shared" si="1"/>
        <v>16310</v>
      </c>
      <c r="H32110" s="49">
        <f t="shared" si="2"/>
        <v>16416</v>
      </c>
    </row>
    <row r="32111">
      <c r="A32111" s="48" t="s">
        <v>13581</v>
      </c>
      <c r="B32111" s="38">
        <v>78413.0</v>
      </c>
      <c r="C32111" s="38" t="s">
        <v>16966</v>
      </c>
      <c r="D32111" s="38" t="str">
        <f>IFERROR(__xludf.DUMMYFUNCTION("REGEXREPLACE(C32111,""-\d+(.*)|--\d+(.*)"","""")"),"MONDREVILLE")</f>
        <v>MONDREVILLE</v>
      </c>
      <c r="E32111" s="38" t="s">
        <v>362</v>
      </c>
      <c r="F32111" s="38" t="s">
        <v>245</v>
      </c>
      <c r="G32111" s="49" t="str">
        <f t="shared" si="1"/>
        <v>78980</v>
      </c>
      <c r="H32111" s="49">
        <f t="shared" si="2"/>
        <v>78413</v>
      </c>
    </row>
    <row r="32112">
      <c r="A32112" s="48" t="s">
        <v>288</v>
      </c>
      <c r="B32112" s="38">
        <v>3041.0</v>
      </c>
      <c r="C32112" s="38" t="s">
        <v>36418</v>
      </c>
      <c r="D32112" s="38" t="str">
        <f>IFERROR(__xludf.DUMMYFUNCTION("REGEXREPLACE(C32112,""-\d+(.*)|--\d+(.*)"","""")"),"LE BRETHON")</f>
        <v>LE BRETHON</v>
      </c>
      <c r="E32112" s="38" t="s">
        <v>160</v>
      </c>
      <c r="F32112" s="38" t="s">
        <v>161</v>
      </c>
      <c r="G32112" s="49" t="str">
        <f t="shared" si="1"/>
        <v>03350</v>
      </c>
      <c r="H32112" s="49" t="str">
        <f t="shared" si="2"/>
        <v>03041</v>
      </c>
    </row>
    <row r="32113">
      <c r="A32113" s="48" t="s">
        <v>31121</v>
      </c>
      <c r="B32113" s="38">
        <v>49220.0</v>
      </c>
      <c r="C32113" s="38" t="s">
        <v>36419</v>
      </c>
      <c r="D32113" s="38" t="str">
        <f>IFERROR(__xludf.DUMMYFUNCTION("REGEXREPLACE(C32113,""-\d+(.*)|--\d+(.*)"","""")"),"MORANNES")</f>
        <v>MORANNES</v>
      </c>
      <c r="E32113" s="38" t="s">
        <v>653</v>
      </c>
      <c r="F32113" s="38" t="s">
        <v>180</v>
      </c>
      <c r="G32113" s="49" t="str">
        <f t="shared" si="1"/>
        <v>49640</v>
      </c>
      <c r="H32113" s="49">
        <f t="shared" si="2"/>
        <v>49220</v>
      </c>
    </row>
    <row r="32114">
      <c r="A32114" s="48" t="s">
        <v>36420</v>
      </c>
      <c r="B32114" s="38">
        <v>67547.0</v>
      </c>
      <c r="C32114" s="38" t="s">
        <v>36421</v>
      </c>
      <c r="D32114" s="38" t="str">
        <f>IFERROR(__xludf.DUMMYFUNCTION("REGEXREPLACE(C32114,""-\d+(.*)|--\d+(.*)"","""")"),"WITTISHEIM")</f>
        <v>WITTISHEIM</v>
      </c>
      <c r="E32114" s="38" t="s">
        <v>210</v>
      </c>
      <c r="F32114" s="38" t="s">
        <v>151</v>
      </c>
      <c r="G32114" s="49" t="str">
        <f t="shared" si="1"/>
        <v>67820</v>
      </c>
      <c r="H32114" s="49">
        <f t="shared" si="2"/>
        <v>67547</v>
      </c>
    </row>
    <row r="32115">
      <c r="A32115" s="48" t="s">
        <v>11099</v>
      </c>
      <c r="B32115" s="38">
        <v>1295.0</v>
      </c>
      <c r="C32115" s="38" t="s">
        <v>36422</v>
      </c>
      <c r="D32115" s="38" t="str">
        <f>IFERROR(__xludf.DUMMYFUNCTION("REGEXREPLACE(C32115,""-\d+(.*)|--\d+(.*)"","""")"),"PEYZIEUX-SUR-SAONE")</f>
        <v>PEYZIEUX-SUR-SAONE</v>
      </c>
      <c r="E32115" s="38" t="s">
        <v>255</v>
      </c>
      <c r="F32115" s="38" t="s">
        <v>102</v>
      </c>
      <c r="G32115" s="49" t="str">
        <f t="shared" si="1"/>
        <v>01140</v>
      </c>
      <c r="H32115" s="49" t="str">
        <f t="shared" si="2"/>
        <v>01295</v>
      </c>
    </row>
    <row r="32116">
      <c r="A32116" s="48" t="s">
        <v>6025</v>
      </c>
      <c r="B32116" s="38">
        <v>31195.0</v>
      </c>
      <c r="C32116" s="38" t="s">
        <v>36423</v>
      </c>
      <c r="D32116" s="38" t="str">
        <f>IFERROR(__xludf.DUMMYFUNCTION("REGEXREPLACE(C32116,""-\d+(.*)|--\d+(.*)"","""")"),"FRANCAZAL")</f>
        <v>FRANCAZAL</v>
      </c>
      <c r="E32116" s="38" t="s">
        <v>93</v>
      </c>
      <c r="F32116" s="38" t="s">
        <v>94</v>
      </c>
      <c r="G32116" s="49" t="str">
        <f t="shared" si="1"/>
        <v>31260</v>
      </c>
      <c r="H32116" s="49">
        <f t="shared" si="2"/>
        <v>31195</v>
      </c>
    </row>
    <row r="32117">
      <c r="A32117" s="48" t="s">
        <v>24666</v>
      </c>
      <c r="B32117" s="38">
        <v>42211.0</v>
      </c>
      <c r="C32117" s="38" t="s">
        <v>3527</v>
      </c>
      <c r="D32117" s="38" t="str">
        <f>IFERROR(__xludf.DUMMYFUNCTION("REGEXREPLACE(C32117,""-\d+(.*)|--\d+(.*)"","""")"),"SAINT-CYPRIEN")</f>
        <v>SAINT-CYPRIEN</v>
      </c>
      <c r="E32117" s="38" t="s">
        <v>166</v>
      </c>
      <c r="F32117" s="38" t="s">
        <v>102</v>
      </c>
      <c r="G32117" s="49" t="str">
        <f t="shared" si="1"/>
        <v>42160</v>
      </c>
      <c r="H32117" s="49">
        <f t="shared" si="2"/>
        <v>42211</v>
      </c>
    </row>
    <row r="32118">
      <c r="A32118" s="48" t="s">
        <v>11028</v>
      </c>
      <c r="B32118" s="38">
        <v>72094.0</v>
      </c>
      <c r="C32118" s="38" t="s">
        <v>36424</v>
      </c>
      <c r="D32118" s="38" t="str">
        <f>IFERROR(__xludf.DUMMYFUNCTION("REGEXREPLACE(C32118,""-\d+(.*)|--\d+(.*)"","""")"),"COUDRECIEUX")</f>
        <v>COUDRECIEUX</v>
      </c>
      <c r="E32118" s="38" t="s">
        <v>521</v>
      </c>
      <c r="F32118" s="38" t="s">
        <v>180</v>
      </c>
      <c r="G32118" s="49" t="str">
        <f t="shared" si="1"/>
        <v>72440</v>
      </c>
      <c r="H32118" s="49">
        <f t="shared" si="2"/>
        <v>72094</v>
      </c>
    </row>
    <row r="32119">
      <c r="A32119" s="48" t="s">
        <v>394</v>
      </c>
      <c r="B32119" s="38">
        <v>41290.0</v>
      </c>
      <c r="C32119" s="38" t="s">
        <v>36425</v>
      </c>
      <c r="D32119" s="38" t="str">
        <f>IFERROR(__xludf.DUMMYFUNCTION("REGEXREPLACE(C32119,""-\d+(.*)|--\d+(.*)"","""")"),"VILLEROMAIN")</f>
        <v>VILLEROMAIN</v>
      </c>
      <c r="E32119" s="38" t="s">
        <v>188</v>
      </c>
      <c r="F32119" s="38" t="s">
        <v>123</v>
      </c>
      <c r="G32119" s="49" t="str">
        <f t="shared" si="1"/>
        <v>41100</v>
      </c>
      <c r="H32119" s="49">
        <f t="shared" si="2"/>
        <v>41290</v>
      </c>
    </row>
    <row r="32120">
      <c r="A32120" s="48" t="s">
        <v>5887</v>
      </c>
      <c r="B32120" s="38">
        <v>61306.0</v>
      </c>
      <c r="C32120" s="38" t="s">
        <v>36426</v>
      </c>
      <c r="D32120" s="38" t="str">
        <f>IFERROR(__xludf.DUMMYFUNCTION("REGEXREPLACE(C32120,""-\d+(.*)|--\d+(.*)"","""")"),"NEUVILLE-PRES-SEES")</f>
        <v>NEUVILLE-PRES-SEES</v>
      </c>
      <c r="E32120" s="38" t="s">
        <v>141</v>
      </c>
      <c r="F32120" s="38" t="s">
        <v>138</v>
      </c>
      <c r="G32120" s="49" t="str">
        <f t="shared" si="1"/>
        <v>61500</v>
      </c>
      <c r="H32120" s="49">
        <f t="shared" si="2"/>
        <v>61306</v>
      </c>
    </row>
    <row r="32121">
      <c r="A32121" s="48" t="s">
        <v>11009</v>
      </c>
      <c r="B32121" s="38">
        <v>33338.0</v>
      </c>
      <c r="C32121" s="38" t="s">
        <v>36427</v>
      </c>
      <c r="D32121" s="38" t="str">
        <f>IFERROR(__xludf.DUMMYFUNCTION("REGEXREPLACE(C32121,""-\d+(.*)|--\d+(.*)"","""")"),"PRIGNAC-EN-MEDOC")</f>
        <v>PRIGNAC-EN-MEDOC</v>
      </c>
      <c r="E32121" s="38" t="s">
        <v>462</v>
      </c>
      <c r="F32121" s="38" t="s">
        <v>252</v>
      </c>
      <c r="G32121" s="49" t="str">
        <f t="shared" si="1"/>
        <v>33340</v>
      </c>
      <c r="H32121" s="49">
        <f t="shared" si="2"/>
        <v>33338</v>
      </c>
    </row>
    <row r="32122">
      <c r="A32122" s="48" t="s">
        <v>3137</v>
      </c>
      <c r="B32122" s="38">
        <v>67040.0</v>
      </c>
      <c r="C32122" s="38" t="s">
        <v>36428</v>
      </c>
      <c r="D32122" s="38" t="str">
        <f>IFERROR(__xludf.DUMMYFUNCTION("REGEXREPLACE(C32122,""-\d+(.*)|--\d+(.*)"","""")"),"BINDERNHEIM")</f>
        <v>BINDERNHEIM</v>
      </c>
      <c r="E32122" s="38" t="s">
        <v>210</v>
      </c>
      <c r="F32122" s="38" t="s">
        <v>151</v>
      </c>
      <c r="G32122" s="49" t="str">
        <f t="shared" si="1"/>
        <v>67600</v>
      </c>
      <c r="H32122" s="49">
        <f t="shared" si="2"/>
        <v>67040</v>
      </c>
    </row>
    <row r="32123">
      <c r="A32123" s="48" t="s">
        <v>14571</v>
      </c>
      <c r="B32123" s="38">
        <v>59403.0</v>
      </c>
      <c r="C32123" s="38" t="s">
        <v>36429</v>
      </c>
      <c r="D32123" s="38" t="str">
        <f>IFERROR(__xludf.DUMMYFUNCTION("REGEXREPLACE(C32123,""-\d+(.*)|--\d+(.*)"","""")"),"MILLONFOSSE")</f>
        <v>MILLONFOSSE</v>
      </c>
      <c r="E32123" s="38" t="s">
        <v>85</v>
      </c>
      <c r="F32123" s="38" t="s">
        <v>86</v>
      </c>
      <c r="G32123" s="49" t="str">
        <f t="shared" si="1"/>
        <v>59178</v>
      </c>
      <c r="H32123" s="49">
        <f t="shared" si="2"/>
        <v>59403</v>
      </c>
    </row>
    <row r="32124">
      <c r="A32124" s="48" t="s">
        <v>6184</v>
      </c>
      <c r="B32124" s="38">
        <v>7081.0</v>
      </c>
      <c r="C32124" s="38" t="s">
        <v>36430</v>
      </c>
      <c r="D32124" s="38" t="str">
        <f>IFERROR(__xludf.DUMMYFUNCTION("REGEXREPLACE(C32124,""-\d+(.*)|--\d+(.*)"","""")"),"DOMPNAC")</f>
        <v>DOMPNAC</v>
      </c>
      <c r="E32124" s="38" t="s">
        <v>144</v>
      </c>
      <c r="F32124" s="38" t="s">
        <v>102</v>
      </c>
      <c r="G32124" s="49" t="str">
        <f t="shared" si="1"/>
        <v>07260</v>
      </c>
      <c r="H32124" s="49" t="str">
        <f t="shared" si="2"/>
        <v>07081</v>
      </c>
    </row>
    <row r="32125">
      <c r="A32125" s="48" t="s">
        <v>2748</v>
      </c>
      <c r="B32125" s="38">
        <v>32427.0</v>
      </c>
      <c r="C32125" s="38" t="s">
        <v>36431</v>
      </c>
      <c r="D32125" s="38" t="str">
        <f>IFERROR(__xludf.DUMMYFUNCTION("REGEXREPLACE(C32125,""-\d+(.*)|--\d+(.*)"","""")"),"SEMBOUES")</f>
        <v>SEMBOUES</v>
      </c>
      <c r="E32125" s="38" t="s">
        <v>440</v>
      </c>
      <c r="F32125" s="38" t="s">
        <v>94</v>
      </c>
      <c r="G32125" s="49" t="str">
        <f t="shared" si="1"/>
        <v>32230</v>
      </c>
      <c r="H32125" s="49">
        <f t="shared" si="2"/>
        <v>32427</v>
      </c>
    </row>
    <row r="32126">
      <c r="A32126" s="48" t="s">
        <v>9781</v>
      </c>
      <c r="B32126" s="38">
        <v>19245.0</v>
      </c>
      <c r="C32126" s="38" t="s">
        <v>17504</v>
      </c>
      <c r="D32126" s="38" t="str">
        <f>IFERROR(__xludf.DUMMYFUNCTION("REGEXREPLACE(C32126,""-\d+(.*)|--\d+(.*)"","""")"),"SAINT-SYLVAIN")</f>
        <v>SAINT-SYLVAIN</v>
      </c>
      <c r="E32126" s="38" t="s">
        <v>271</v>
      </c>
      <c r="F32126" s="38" t="s">
        <v>98</v>
      </c>
      <c r="G32126" s="49" t="str">
        <f t="shared" si="1"/>
        <v>19380</v>
      </c>
      <c r="H32126" s="49">
        <f t="shared" si="2"/>
        <v>19245</v>
      </c>
    </row>
    <row r="32127">
      <c r="A32127" s="48" t="s">
        <v>12223</v>
      </c>
      <c r="B32127" s="38">
        <v>3157.0</v>
      </c>
      <c r="C32127" s="38" t="s">
        <v>36432</v>
      </c>
      <c r="D32127" s="38" t="str">
        <f>IFERROR(__xludf.DUMMYFUNCTION("REGEXREPLACE(C32127,""-\d+(.*)|--\d+(.*)"","""")"),"MAGNET")</f>
        <v>MAGNET</v>
      </c>
      <c r="E32127" s="38" t="s">
        <v>160</v>
      </c>
      <c r="F32127" s="38" t="s">
        <v>161</v>
      </c>
      <c r="G32127" s="49" t="str">
        <f t="shared" si="1"/>
        <v>03260</v>
      </c>
      <c r="H32127" s="49" t="str">
        <f t="shared" si="2"/>
        <v>03157</v>
      </c>
    </row>
    <row r="32128">
      <c r="A32128" s="48" t="s">
        <v>3733</v>
      </c>
      <c r="B32128" s="38">
        <v>78089.0</v>
      </c>
      <c r="C32128" s="38" t="s">
        <v>36433</v>
      </c>
      <c r="D32128" s="38" t="str">
        <f>IFERROR(__xludf.DUMMYFUNCTION("REGEXREPLACE(C32128,""-\d+(.*)|--\d+(.*)"","""")"),"BONNIERES-SUR-SEINE")</f>
        <v>BONNIERES-SUR-SEINE</v>
      </c>
      <c r="E32128" s="38" t="s">
        <v>362</v>
      </c>
      <c r="F32128" s="38" t="s">
        <v>245</v>
      </c>
      <c r="G32128" s="49" t="str">
        <f t="shared" si="1"/>
        <v>78270</v>
      </c>
      <c r="H32128" s="49">
        <f t="shared" si="2"/>
        <v>78089</v>
      </c>
    </row>
    <row r="32129">
      <c r="A32129" s="48" t="s">
        <v>18855</v>
      </c>
      <c r="B32129" s="38">
        <v>86260.0</v>
      </c>
      <c r="C32129" s="38" t="s">
        <v>36434</v>
      </c>
      <c r="D32129" s="38" t="str">
        <f>IFERROR(__xludf.DUMMYFUNCTION("REGEXREPLACE(C32129,""-\d+(.*)|--\d+(.*)"","""")"),"SERIGNY")</f>
        <v>SERIGNY</v>
      </c>
      <c r="E32129" s="38" t="s">
        <v>529</v>
      </c>
      <c r="F32129" s="38" t="s">
        <v>338</v>
      </c>
      <c r="G32129" s="49" t="str">
        <f t="shared" si="1"/>
        <v>86230</v>
      </c>
      <c r="H32129" s="49">
        <f t="shared" si="2"/>
        <v>86260</v>
      </c>
    </row>
    <row r="32130">
      <c r="A32130" s="48" t="s">
        <v>36435</v>
      </c>
      <c r="B32130" s="38">
        <v>84099.0</v>
      </c>
      <c r="C32130" s="38" t="s">
        <v>36436</v>
      </c>
      <c r="D32130" s="38" t="str">
        <f>IFERROR(__xludf.DUMMYFUNCTION("REGEXREPLACE(C32130,""-\d+(.*)|--\d+(.*)"","""")"),"ROBION")</f>
        <v>ROBION</v>
      </c>
      <c r="E32130" s="38" t="s">
        <v>1026</v>
      </c>
      <c r="F32130" s="38" t="s">
        <v>228</v>
      </c>
      <c r="G32130" s="49" t="str">
        <f t="shared" si="1"/>
        <v>84440</v>
      </c>
      <c r="H32130" s="49">
        <f t="shared" si="2"/>
        <v>84099</v>
      </c>
    </row>
    <row r="32131">
      <c r="A32131" s="48" t="s">
        <v>1966</v>
      </c>
      <c r="B32131" s="38">
        <v>2651.0</v>
      </c>
      <c r="C32131" s="38" t="s">
        <v>36437</v>
      </c>
      <c r="D32131" s="38" t="str">
        <f>IFERROR(__xludf.DUMMYFUNCTION("REGEXREPLACE(C32131,""-\d+(.*)|--\d+(.*)"","""")"),"ROGECOURT")</f>
        <v>ROGECOURT</v>
      </c>
      <c r="E32131" s="38" t="s">
        <v>191</v>
      </c>
      <c r="F32131" s="38" t="s">
        <v>113</v>
      </c>
      <c r="G32131" s="49" t="str">
        <f t="shared" si="1"/>
        <v>02800</v>
      </c>
      <c r="H32131" s="49" t="str">
        <f t="shared" si="2"/>
        <v>02651</v>
      </c>
    </row>
    <row r="32132">
      <c r="A32132" s="48" t="s">
        <v>13057</v>
      </c>
      <c r="B32132" s="38">
        <v>58207.0</v>
      </c>
      <c r="C32132" s="38" t="s">
        <v>36438</v>
      </c>
      <c r="D32132" s="38" t="str">
        <f>IFERROR(__xludf.DUMMYFUNCTION("REGEXREPLACE(C32132,""-\d+(.*)|--\d+(.*)"","""")"),"PARIGNY-LES-VAUX")</f>
        <v>PARIGNY-LES-VAUX</v>
      </c>
      <c r="E32132" s="38" t="s">
        <v>219</v>
      </c>
      <c r="F32132" s="38" t="s">
        <v>106</v>
      </c>
      <c r="G32132" s="49" t="str">
        <f t="shared" si="1"/>
        <v>58320</v>
      </c>
      <c r="H32132" s="49">
        <f t="shared" si="2"/>
        <v>58207</v>
      </c>
    </row>
    <row r="32133">
      <c r="A32133" s="48" t="s">
        <v>773</v>
      </c>
      <c r="B32133" s="38">
        <v>27668.0</v>
      </c>
      <c r="C32133" s="38" t="s">
        <v>36439</v>
      </c>
      <c r="D32133" s="38" t="str">
        <f>IFERROR(__xludf.DUMMYFUNCTION("REGEXREPLACE(C32133,""-\d+(.*)|--\d+(.*)"","""")"),"LE VAL-DAVID")</f>
        <v>LE VAL-DAVID</v>
      </c>
      <c r="E32133" s="38" t="s">
        <v>241</v>
      </c>
      <c r="F32133" s="38" t="s">
        <v>134</v>
      </c>
      <c r="G32133" s="49" t="str">
        <f t="shared" si="1"/>
        <v>27120</v>
      </c>
      <c r="H32133" s="49">
        <f t="shared" si="2"/>
        <v>27668</v>
      </c>
    </row>
    <row r="32134">
      <c r="A32134" s="48" t="s">
        <v>9871</v>
      </c>
      <c r="B32134" s="38">
        <v>22234.0</v>
      </c>
      <c r="C32134" s="38" t="s">
        <v>36440</v>
      </c>
      <c r="D32134" s="38" t="str">
        <f>IFERROR(__xludf.DUMMYFUNCTION("REGEXREPLACE(C32134,""-\d+(.*)|--\d+(.*)"","""")"),"PLOUVARA")</f>
        <v>PLOUVARA</v>
      </c>
      <c r="E32134" s="38" t="s">
        <v>89</v>
      </c>
      <c r="F32134" s="38" t="s">
        <v>90</v>
      </c>
      <c r="G32134" s="49" t="str">
        <f t="shared" si="1"/>
        <v>22170</v>
      </c>
      <c r="H32134" s="49">
        <f t="shared" si="2"/>
        <v>22234</v>
      </c>
    </row>
    <row r="32135">
      <c r="A32135" s="48" t="s">
        <v>5163</v>
      </c>
      <c r="B32135" s="38">
        <v>76731.0</v>
      </c>
      <c r="C32135" s="38" t="s">
        <v>36441</v>
      </c>
      <c r="D32135" s="38" t="str">
        <f>IFERROR(__xludf.DUMMYFUNCTION("REGEXREPLACE(C32135,""-\d+(.*)|--\d+(.*)"","""")"),"VENESTANVILLE")</f>
        <v>VENESTANVILLE</v>
      </c>
      <c r="E32135" s="38" t="s">
        <v>133</v>
      </c>
      <c r="F32135" s="38" t="s">
        <v>134</v>
      </c>
      <c r="G32135" s="49" t="str">
        <f t="shared" si="1"/>
        <v>76730</v>
      </c>
      <c r="H32135" s="49">
        <f t="shared" si="2"/>
        <v>76731</v>
      </c>
    </row>
    <row r="32136">
      <c r="A32136" s="48" t="s">
        <v>5065</v>
      </c>
      <c r="B32136" s="38">
        <v>50352.0</v>
      </c>
      <c r="C32136" s="38" t="s">
        <v>36442</v>
      </c>
      <c r="D32136" s="38" t="str">
        <f>IFERROR(__xludf.DUMMYFUNCTION("REGEXREPLACE(C32136,""-\d+(.*)|--\d+(.*)"","""")"),"MONTREUIL-SUR-LOZON")</f>
        <v>MONTREUIL-SUR-LOZON</v>
      </c>
      <c r="E32136" s="38" t="s">
        <v>157</v>
      </c>
      <c r="F32136" s="38" t="s">
        <v>138</v>
      </c>
      <c r="G32136" s="49" t="str">
        <f t="shared" si="1"/>
        <v>50570</v>
      </c>
      <c r="H32136" s="49">
        <f t="shared" si="2"/>
        <v>50352</v>
      </c>
    </row>
    <row r="32137">
      <c r="A32137" s="48" t="s">
        <v>24310</v>
      </c>
      <c r="B32137" s="38">
        <v>72053.0</v>
      </c>
      <c r="C32137" s="38" t="s">
        <v>36443</v>
      </c>
      <c r="D32137" s="38" t="str">
        <f>IFERROR(__xludf.DUMMYFUNCTION("REGEXREPLACE(C32137,""-\d+(.*)|--\d+(.*)"","""")"),"CHALLES")</f>
        <v>CHALLES</v>
      </c>
      <c r="E32137" s="38" t="s">
        <v>521</v>
      </c>
      <c r="F32137" s="38" t="s">
        <v>180</v>
      </c>
      <c r="G32137" s="49" t="str">
        <f t="shared" si="1"/>
        <v>72250</v>
      </c>
      <c r="H32137" s="49">
        <f t="shared" si="2"/>
        <v>72053</v>
      </c>
    </row>
    <row r="32138">
      <c r="A32138" s="48" t="s">
        <v>3992</v>
      </c>
      <c r="B32138" s="38">
        <v>46240.0</v>
      </c>
      <c r="C32138" s="38" t="s">
        <v>36444</v>
      </c>
      <c r="D32138" s="38" t="str">
        <f>IFERROR(__xludf.DUMMYFUNCTION("REGEXREPLACE(C32138,""-\d+(.*)|--\d+(.*)"","""")"),"ROCAMADOUR")</f>
        <v>ROCAMADOUR</v>
      </c>
      <c r="E32138" s="38" t="s">
        <v>185</v>
      </c>
      <c r="F32138" s="38" t="s">
        <v>94</v>
      </c>
      <c r="G32138" s="49" t="str">
        <f t="shared" si="1"/>
        <v>46500</v>
      </c>
      <c r="H32138" s="49">
        <f t="shared" si="2"/>
        <v>46240</v>
      </c>
    </row>
    <row r="32139">
      <c r="A32139" s="48" t="s">
        <v>279</v>
      </c>
      <c r="B32139" s="38">
        <v>40050.0</v>
      </c>
      <c r="C32139" s="38" t="s">
        <v>36445</v>
      </c>
      <c r="D32139" s="38" t="str">
        <f>IFERROR(__xludf.DUMMYFUNCTION("REGEXREPLACE(C32139,""-\d+(.*)|--\d+(.*)"","""")"),"BOSTENS")</f>
        <v>BOSTENS</v>
      </c>
      <c r="E32139" s="38" t="s">
        <v>281</v>
      </c>
      <c r="F32139" s="38" t="s">
        <v>252</v>
      </c>
      <c r="G32139" s="49" t="str">
        <f t="shared" si="1"/>
        <v>40090</v>
      </c>
      <c r="H32139" s="49">
        <f t="shared" si="2"/>
        <v>40050</v>
      </c>
    </row>
    <row r="32140">
      <c r="A32140" s="48" t="s">
        <v>1441</v>
      </c>
      <c r="B32140" s="38">
        <v>52311.0</v>
      </c>
      <c r="C32140" s="38" t="s">
        <v>36446</v>
      </c>
      <c r="D32140" s="38" t="str">
        <f>IFERROR(__xludf.DUMMYFUNCTION("REGEXREPLACE(C32140,""-\d+(.*)|--\d+(.*)"","""")"),"MARCILLY-EN-BASSIGNY")</f>
        <v>MARCILLY-EN-BASSIGNY</v>
      </c>
      <c r="E32140" s="38" t="s">
        <v>234</v>
      </c>
      <c r="F32140" s="38" t="s">
        <v>130</v>
      </c>
      <c r="G32140" s="49" t="str">
        <f t="shared" si="1"/>
        <v>52360</v>
      </c>
      <c r="H32140" s="49">
        <f t="shared" si="2"/>
        <v>52311</v>
      </c>
    </row>
    <row r="32141">
      <c r="A32141" s="48" t="s">
        <v>1016</v>
      </c>
      <c r="B32141" s="38">
        <v>28154.0</v>
      </c>
      <c r="C32141" s="38" t="s">
        <v>36447</v>
      </c>
      <c r="D32141" s="38" t="str">
        <f>IFERROR(__xludf.DUMMYFUNCTION("REGEXREPLACE(C32141,""-\d+(.*)|--\d+(.*)"","""")"),"FONTAINE-LA-GUYON")</f>
        <v>FONTAINE-LA-GUYON</v>
      </c>
      <c r="E32141" s="38" t="s">
        <v>300</v>
      </c>
      <c r="F32141" s="38" t="s">
        <v>123</v>
      </c>
      <c r="G32141" s="49" t="str">
        <f t="shared" si="1"/>
        <v>28190</v>
      </c>
      <c r="H32141" s="49">
        <f t="shared" si="2"/>
        <v>28154</v>
      </c>
    </row>
    <row r="32142">
      <c r="A32142" s="48" t="s">
        <v>1383</v>
      </c>
      <c r="B32142" s="38">
        <v>72163.0</v>
      </c>
      <c r="C32142" s="38" t="s">
        <v>36448</v>
      </c>
      <c r="D32142" s="38" t="str">
        <f>IFERROR(__xludf.DUMMYFUNCTION("REGEXREPLACE(C32142,""-\d+(.*)|--\d+(.*)"","""")"),"LIGRON")</f>
        <v>LIGRON</v>
      </c>
      <c r="E32142" s="38" t="s">
        <v>521</v>
      </c>
      <c r="F32142" s="38" t="s">
        <v>180</v>
      </c>
      <c r="G32142" s="49" t="str">
        <f t="shared" si="1"/>
        <v>72270</v>
      </c>
      <c r="H32142" s="49">
        <f t="shared" si="2"/>
        <v>72163</v>
      </c>
    </row>
    <row r="32143">
      <c r="A32143" s="48" t="s">
        <v>33606</v>
      </c>
      <c r="B32143" s="38">
        <v>88190.0</v>
      </c>
      <c r="C32143" s="38" t="s">
        <v>36449</v>
      </c>
      <c r="D32143" s="38" t="str">
        <f>IFERROR(__xludf.DUMMYFUNCTION("REGEXREPLACE(C32143,""-\d+(.*)|--\d+(.*)"","""")"),"FRIZON")</f>
        <v>FRIZON</v>
      </c>
      <c r="E32143" s="38" t="s">
        <v>194</v>
      </c>
      <c r="F32143" s="38" t="s">
        <v>195</v>
      </c>
      <c r="G32143" s="49" t="str">
        <f t="shared" si="1"/>
        <v>88440</v>
      </c>
      <c r="H32143" s="49">
        <f t="shared" si="2"/>
        <v>88190</v>
      </c>
    </row>
    <row r="32144">
      <c r="A32144" s="48" t="s">
        <v>513</v>
      </c>
      <c r="B32144" s="38">
        <v>76377.0</v>
      </c>
      <c r="C32144" s="38" t="s">
        <v>36450</v>
      </c>
      <c r="D32144" s="38" t="str">
        <f>IFERROR(__xludf.DUMMYFUNCTION("REGEXREPLACE(C32144,""-\d+(.*)|--\d+(.*)"","""")"),"ISNEAUVILLE")</f>
        <v>ISNEAUVILLE</v>
      </c>
      <c r="E32144" s="38" t="s">
        <v>133</v>
      </c>
      <c r="F32144" s="38" t="s">
        <v>134</v>
      </c>
      <c r="G32144" s="49" t="str">
        <f t="shared" si="1"/>
        <v>76230</v>
      </c>
      <c r="H32144" s="49">
        <f t="shared" si="2"/>
        <v>76377</v>
      </c>
    </row>
    <row r="32145">
      <c r="A32145" s="48" t="s">
        <v>262</v>
      </c>
      <c r="B32145" s="38">
        <v>9109.0</v>
      </c>
      <c r="C32145" s="38" t="s">
        <v>27199</v>
      </c>
      <c r="D32145" s="38" t="str">
        <f>IFERROR(__xludf.DUMMYFUNCTION("REGEXREPLACE(C32145,""-\d+(.*)|--\d+(.*)"","""")"),"DURFORT")</f>
        <v>DURFORT</v>
      </c>
      <c r="E32145" s="38" t="s">
        <v>238</v>
      </c>
      <c r="F32145" s="38" t="s">
        <v>94</v>
      </c>
      <c r="G32145" s="49" t="str">
        <f t="shared" si="1"/>
        <v>09130</v>
      </c>
      <c r="H32145" s="49" t="str">
        <f t="shared" si="2"/>
        <v>09109</v>
      </c>
    </row>
    <row r="32146">
      <c r="A32146" s="48" t="s">
        <v>2370</v>
      </c>
      <c r="B32146" s="38">
        <v>33129.0</v>
      </c>
      <c r="C32146" s="38" t="s">
        <v>36451</v>
      </c>
      <c r="D32146" s="38" t="str">
        <f>IFERROR(__xludf.DUMMYFUNCTION("REGEXREPLACE(C32146,""-\d+(.*)|--\d+(.*)"","""")"),"CLEYRAC")</f>
        <v>CLEYRAC</v>
      </c>
      <c r="E32146" s="38" t="s">
        <v>462</v>
      </c>
      <c r="F32146" s="38" t="s">
        <v>252</v>
      </c>
      <c r="G32146" s="49" t="str">
        <f t="shared" si="1"/>
        <v>33540</v>
      </c>
      <c r="H32146" s="49">
        <f t="shared" si="2"/>
        <v>33129</v>
      </c>
    </row>
    <row r="32147">
      <c r="A32147" s="48" t="s">
        <v>460</v>
      </c>
      <c r="B32147" s="38">
        <v>33511.0</v>
      </c>
      <c r="C32147" s="38" t="s">
        <v>21096</v>
      </c>
      <c r="D32147" s="38" t="str">
        <f>IFERROR(__xludf.DUMMYFUNCTION("REGEXREPLACE(C32147,""-\d+(.*)|--\d+(.*)"","""")"),"SENDETS")</f>
        <v>SENDETS</v>
      </c>
      <c r="E32147" s="38" t="s">
        <v>462</v>
      </c>
      <c r="F32147" s="38" t="s">
        <v>252</v>
      </c>
      <c r="G32147" s="49" t="str">
        <f t="shared" si="1"/>
        <v>33690</v>
      </c>
      <c r="H32147" s="49">
        <f t="shared" si="2"/>
        <v>33511</v>
      </c>
    </row>
    <row r="32148">
      <c r="A32148" s="48" t="s">
        <v>30936</v>
      </c>
      <c r="B32148" s="38">
        <v>50599.0</v>
      </c>
      <c r="C32148" s="38" t="s">
        <v>36452</v>
      </c>
      <c r="D32148" s="38" t="str">
        <f>IFERROR(__xludf.DUMMYFUNCTION("REGEXREPLACE(C32148,""-\d+(.*)|--\d+(.*)"","""")"),"TOLLEVAST")</f>
        <v>TOLLEVAST</v>
      </c>
      <c r="E32148" s="38" t="s">
        <v>157</v>
      </c>
      <c r="F32148" s="38" t="s">
        <v>138</v>
      </c>
      <c r="G32148" s="49" t="str">
        <f t="shared" si="1"/>
        <v>50470</v>
      </c>
      <c r="H32148" s="49">
        <f t="shared" si="2"/>
        <v>50599</v>
      </c>
    </row>
    <row r="32149">
      <c r="A32149" s="48" t="s">
        <v>13997</v>
      </c>
      <c r="B32149" s="38">
        <v>32243.0</v>
      </c>
      <c r="C32149" s="38" t="s">
        <v>36453</v>
      </c>
      <c r="D32149" s="38" t="str">
        <f>IFERROR(__xludf.DUMMYFUNCTION("REGEXREPLACE(C32149,""-\d+(.*)|--\d+(.*)"","""")"),"MAULEON-D'ARMAGNAC")</f>
        <v>MAULEON-D'ARMAGNAC</v>
      </c>
      <c r="E32149" s="38" t="s">
        <v>440</v>
      </c>
      <c r="F32149" s="38" t="s">
        <v>94</v>
      </c>
      <c r="G32149" s="49" t="str">
        <f t="shared" si="1"/>
        <v>32240</v>
      </c>
      <c r="H32149" s="49">
        <f t="shared" si="2"/>
        <v>32243</v>
      </c>
    </row>
    <row r="32150">
      <c r="A32150" s="48" t="s">
        <v>3572</v>
      </c>
      <c r="B32150" s="38">
        <v>63125.0</v>
      </c>
      <c r="C32150" s="38" t="s">
        <v>36454</v>
      </c>
      <c r="D32150" s="38" t="str">
        <f>IFERROR(__xludf.DUMMYFUNCTION("REGEXREPLACE(C32150,""-\d+(.*)|--\d+(.*)"","""")"),"COURPIERE")</f>
        <v>COURPIERE</v>
      </c>
      <c r="E32150" s="38" t="s">
        <v>353</v>
      </c>
      <c r="F32150" s="38" t="s">
        <v>161</v>
      </c>
      <c r="G32150" s="49" t="str">
        <f t="shared" si="1"/>
        <v>63120</v>
      </c>
      <c r="H32150" s="49">
        <f t="shared" si="2"/>
        <v>63125</v>
      </c>
    </row>
    <row r="32151">
      <c r="A32151" s="48" t="s">
        <v>4400</v>
      </c>
      <c r="B32151" s="38">
        <v>66181.0</v>
      </c>
      <c r="C32151" s="38" t="s">
        <v>36455</v>
      </c>
      <c r="D32151" s="38" t="str">
        <f>IFERROR(__xludf.DUMMYFUNCTION("REGEXREPLACE(C32151,""-\d+(.*)|--\d+(.*)"","""")"),"SAINTE-LEOCADIE")</f>
        <v>SAINTE-LEOCADIE</v>
      </c>
      <c r="E32151" s="38" t="s">
        <v>248</v>
      </c>
      <c r="F32151" s="38" t="s">
        <v>119</v>
      </c>
      <c r="G32151" s="49" t="str">
        <f t="shared" si="1"/>
        <v>66800</v>
      </c>
      <c r="H32151" s="49">
        <f t="shared" si="2"/>
        <v>66181</v>
      </c>
    </row>
    <row r="32152">
      <c r="A32152" s="48" t="s">
        <v>2227</v>
      </c>
      <c r="B32152" s="38">
        <v>74147.0</v>
      </c>
      <c r="C32152" s="38" t="s">
        <v>36456</v>
      </c>
      <c r="D32152" s="38" t="str">
        <f>IFERROR(__xludf.DUMMYFUNCTION("REGEXREPLACE(C32152,""-\d+(.*)|--\d+(.*)"","""")"),"LATHUILE")</f>
        <v>LATHUILE</v>
      </c>
      <c r="E32152" s="38" t="s">
        <v>319</v>
      </c>
      <c r="F32152" s="38" t="s">
        <v>102</v>
      </c>
      <c r="G32152" s="49" t="str">
        <f t="shared" si="1"/>
        <v>74210</v>
      </c>
      <c r="H32152" s="49">
        <f t="shared" si="2"/>
        <v>74147</v>
      </c>
    </row>
    <row r="32153">
      <c r="A32153" s="48" t="s">
        <v>2523</v>
      </c>
      <c r="B32153" s="38">
        <v>46291.0</v>
      </c>
      <c r="C32153" s="38" t="s">
        <v>36457</v>
      </c>
      <c r="D32153" s="38" t="str">
        <f>IFERROR(__xludf.DUMMYFUNCTION("REGEXREPLACE(C32153,""-\d+(.*)|--\d+(.*)"","""")"),"SAINT-SAUVEUR-LA-VALLEE")</f>
        <v>SAINT-SAUVEUR-LA-VALLEE</v>
      </c>
      <c r="E32153" s="38" t="s">
        <v>185</v>
      </c>
      <c r="F32153" s="38" t="s">
        <v>94</v>
      </c>
      <c r="G32153" s="49" t="str">
        <f t="shared" si="1"/>
        <v>46240</v>
      </c>
      <c r="H32153" s="49">
        <f t="shared" si="2"/>
        <v>46291</v>
      </c>
    </row>
    <row r="32154">
      <c r="A32154" s="48" t="s">
        <v>1812</v>
      </c>
      <c r="B32154" s="38">
        <v>51153.0</v>
      </c>
      <c r="C32154" s="38" t="s">
        <v>36458</v>
      </c>
      <c r="D32154" s="38" t="str">
        <f>IFERROR(__xludf.DUMMYFUNCTION("REGEXREPLACE(C32154,""-\d+(.*)|--\d+(.*)"","""")"),"CHOUILLY")</f>
        <v>CHOUILLY</v>
      </c>
      <c r="E32154" s="38" t="s">
        <v>129</v>
      </c>
      <c r="F32154" s="38" t="s">
        <v>130</v>
      </c>
      <c r="G32154" s="49" t="str">
        <f t="shared" si="1"/>
        <v>51530</v>
      </c>
      <c r="H32154" s="49">
        <f t="shared" si="2"/>
        <v>51153</v>
      </c>
    </row>
    <row r="32155">
      <c r="A32155" s="48" t="s">
        <v>4668</v>
      </c>
      <c r="B32155" s="38">
        <v>88528.0</v>
      </c>
      <c r="C32155" s="38" t="s">
        <v>36459</v>
      </c>
      <c r="D32155" s="38" t="str">
        <f>IFERROR(__xludf.DUMMYFUNCTION("REGEXREPLACE(C32155,""-\d+(.*)|--\d+(.*)"","""")"),"XAMONTARUPT")</f>
        <v>XAMONTARUPT</v>
      </c>
      <c r="E32155" s="38" t="s">
        <v>194</v>
      </c>
      <c r="F32155" s="38" t="s">
        <v>195</v>
      </c>
      <c r="G32155" s="49" t="str">
        <f t="shared" si="1"/>
        <v>88460</v>
      </c>
      <c r="H32155" s="49">
        <f t="shared" si="2"/>
        <v>88528</v>
      </c>
    </row>
    <row r="32156">
      <c r="A32156" s="48" t="s">
        <v>2922</v>
      </c>
      <c r="B32156" s="38">
        <v>5082.0</v>
      </c>
      <c r="C32156" s="38" t="s">
        <v>36460</v>
      </c>
      <c r="D32156" s="38" t="str">
        <f>IFERROR(__xludf.DUMMYFUNCTION("REGEXREPLACE(C32156,""-\d+(.*)|--\d+(.*)"","""")"),"MONT-DAUPHIN")</f>
        <v>MONT-DAUPHIN</v>
      </c>
      <c r="E32156" s="38" t="s">
        <v>706</v>
      </c>
      <c r="F32156" s="38" t="s">
        <v>228</v>
      </c>
      <c r="G32156" s="49" t="str">
        <f t="shared" si="1"/>
        <v>05600</v>
      </c>
      <c r="H32156" s="49" t="str">
        <f t="shared" si="2"/>
        <v>05082</v>
      </c>
    </row>
    <row r="32157">
      <c r="A32157" s="48" t="s">
        <v>1802</v>
      </c>
      <c r="B32157" s="38">
        <v>53163.0</v>
      </c>
      <c r="C32157" s="38" t="s">
        <v>36461</v>
      </c>
      <c r="D32157" s="38" t="str">
        <f>IFERROR(__xludf.DUMMYFUNCTION("REGEXREPLACE(C32157,""-\d+(.*)|--\d+(.*)"","""")"),"NEAU")</f>
        <v>NEAU</v>
      </c>
      <c r="E32157" s="38" t="s">
        <v>518</v>
      </c>
      <c r="F32157" s="38" t="s">
        <v>180</v>
      </c>
      <c r="G32157" s="49" t="str">
        <f t="shared" si="1"/>
        <v>53150</v>
      </c>
      <c r="H32157" s="49">
        <f t="shared" si="2"/>
        <v>53163</v>
      </c>
    </row>
    <row r="32158">
      <c r="A32158" s="48" t="s">
        <v>11490</v>
      </c>
      <c r="B32158" s="38">
        <v>59096.0</v>
      </c>
      <c r="C32158" s="38" t="s">
        <v>36462</v>
      </c>
      <c r="D32158" s="38" t="str">
        <f>IFERROR(__xludf.DUMMYFUNCTION("REGEXREPLACE(C32158,""-\d+(.*)|--\d+(.*)"","""")"),"BOURGHELLES")</f>
        <v>BOURGHELLES</v>
      </c>
      <c r="E32158" s="38" t="s">
        <v>85</v>
      </c>
      <c r="F32158" s="38" t="s">
        <v>86</v>
      </c>
      <c r="G32158" s="49" t="str">
        <f t="shared" si="1"/>
        <v>59830</v>
      </c>
      <c r="H32158" s="49">
        <f t="shared" si="2"/>
        <v>59096</v>
      </c>
    </row>
    <row r="32159">
      <c r="A32159" s="48" t="s">
        <v>22709</v>
      </c>
      <c r="B32159" s="38">
        <v>33384.0</v>
      </c>
      <c r="C32159" s="38" t="s">
        <v>36463</v>
      </c>
      <c r="D32159" s="38" t="str">
        <f>IFERROR(__xludf.DUMMYFUNCTION("REGEXREPLACE(C32159,""-\d+(.*)|--\d+(.*)"","""")"),"SAINT-CHRISTOPHE-DES-BARDES")</f>
        <v>SAINT-CHRISTOPHE-DES-BARDES</v>
      </c>
      <c r="E32159" s="38" t="s">
        <v>462</v>
      </c>
      <c r="F32159" s="38" t="s">
        <v>252</v>
      </c>
      <c r="G32159" s="49" t="str">
        <f t="shared" si="1"/>
        <v>33330</v>
      </c>
      <c r="H32159" s="49">
        <f t="shared" si="2"/>
        <v>33384</v>
      </c>
    </row>
    <row r="32160">
      <c r="A32160" s="48" t="s">
        <v>10369</v>
      </c>
      <c r="B32160" s="38">
        <v>88282.0</v>
      </c>
      <c r="C32160" s="38" t="s">
        <v>5217</v>
      </c>
      <c r="D32160" s="38" t="str">
        <f>IFERROR(__xludf.DUMMYFUNCTION("REGEXREPLACE(C32160,""-\d+(.*)|--\d+(.*)"","""")"),"LE MAGNY")</f>
        <v>LE MAGNY</v>
      </c>
      <c r="E32160" s="38" t="s">
        <v>194</v>
      </c>
      <c r="F32160" s="38" t="s">
        <v>195</v>
      </c>
      <c r="G32160" s="49" t="str">
        <f t="shared" si="1"/>
        <v>88240</v>
      </c>
      <c r="H32160" s="49">
        <f t="shared" si="2"/>
        <v>88282</v>
      </c>
    </row>
    <row r="32161">
      <c r="A32161" s="48" t="s">
        <v>3747</v>
      </c>
      <c r="B32161" s="38">
        <v>52388.0</v>
      </c>
      <c r="C32161" s="38" t="s">
        <v>36464</v>
      </c>
      <c r="D32161" s="38" t="str">
        <f>IFERROR(__xludf.DUMMYFUNCTION("REGEXREPLACE(C32161,""-\d+(.*)|--\d+(.*)"","""")"),"PIERREMONT-SUR-AMANCE")</f>
        <v>PIERREMONT-SUR-AMANCE</v>
      </c>
      <c r="E32161" s="38" t="s">
        <v>234</v>
      </c>
      <c r="F32161" s="38" t="s">
        <v>130</v>
      </c>
      <c r="G32161" s="49" t="str">
        <f t="shared" si="1"/>
        <v>52500</v>
      </c>
      <c r="H32161" s="49">
        <f t="shared" si="2"/>
        <v>52388</v>
      </c>
    </row>
    <row r="32162">
      <c r="A32162" s="48" t="s">
        <v>1435</v>
      </c>
      <c r="B32162" s="38">
        <v>14161.0</v>
      </c>
      <c r="C32162" s="38" t="s">
        <v>36465</v>
      </c>
      <c r="D32162" s="38" t="str">
        <f>IFERROR(__xludf.DUMMYFUNCTION("REGEXREPLACE(C32162,""-\d+(.*)|--\d+(.*)"","""")"),"CLARBEC")</f>
        <v>CLARBEC</v>
      </c>
      <c r="E32162" s="38" t="s">
        <v>137</v>
      </c>
      <c r="F32162" s="38" t="s">
        <v>138</v>
      </c>
      <c r="G32162" s="49" t="str">
        <f t="shared" si="1"/>
        <v>14130</v>
      </c>
      <c r="H32162" s="49">
        <f t="shared" si="2"/>
        <v>14161</v>
      </c>
    </row>
    <row r="32163">
      <c r="A32163" s="48" t="s">
        <v>5451</v>
      </c>
      <c r="B32163" s="38">
        <v>19263.0</v>
      </c>
      <c r="C32163" s="38" t="s">
        <v>36466</v>
      </c>
      <c r="D32163" s="38" t="str">
        <f>IFERROR(__xludf.DUMMYFUNCTION("REGEXREPLACE(C32163,""-\d+(.*)|--\d+(.*)"","""")"),"SOUDEILLES")</f>
        <v>SOUDEILLES</v>
      </c>
      <c r="E32163" s="38" t="s">
        <v>271</v>
      </c>
      <c r="F32163" s="38" t="s">
        <v>98</v>
      </c>
      <c r="G32163" s="49" t="str">
        <f t="shared" si="1"/>
        <v>19300</v>
      </c>
      <c r="H32163" s="49">
        <f t="shared" si="2"/>
        <v>19263</v>
      </c>
    </row>
    <row r="32164">
      <c r="A32164" s="48" t="s">
        <v>5831</v>
      </c>
      <c r="B32164" s="38">
        <v>5103.0</v>
      </c>
      <c r="C32164" s="38" t="s">
        <v>36467</v>
      </c>
      <c r="D32164" s="38" t="str">
        <f>IFERROR(__xludf.DUMMYFUNCTION("REGEXREPLACE(C32164,""-\d+(.*)|--\d+(.*)"","""")"),"LE POET")</f>
        <v>LE POET</v>
      </c>
      <c r="E32164" s="38" t="s">
        <v>706</v>
      </c>
      <c r="F32164" s="38" t="s">
        <v>228</v>
      </c>
      <c r="G32164" s="49" t="str">
        <f t="shared" si="1"/>
        <v>05300</v>
      </c>
      <c r="H32164" s="49" t="str">
        <f t="shared" si="2"/>
        <v>05103</v>
      </c>
    </row>
    <row r="32165">
      <c r="A32165" s="48" t="s">
        <v>7712</v>
      </c>
      <c r="B32165" s="38">
        <v>9210.0</v>
      </c>
      <c r="C32165" s="38" t="s">
        <v>36468</v>
      </c>
      <c r="D32165" s="38" t="str">
        <f>IFERROR(__xludf.DUMMYFUNCTION("REGEXREPLACE(C32165,""-\d+(.*)|--\d+(.*)"","""")"),"MONTOULIEU")</f>
        <v>MONTOULIEU</v>
      </c>
      <c r="E32165" s="38" t="s">
        <v>238</v>
      </c>
      <c r="F32165" s="38" t="s">
        <v>94</v>
      </c>
      <c r="G32165" s="49" t="str">
        <f t="shared" si="1"/>
        <v>09000</v>
      </c>
      <c r="H32165" s="49" t="str">
        <f t="shared" si="2"/>
        <v>09210</v>
      </c>
    </row>
    <row r="32166">
      <c r="A32166" s="48" t="s">
        <v>2310</v>
      </c>
      <c r="B32166" s="38">
        <v>60072.0</v>
      </c>
      <c r="C32166" s="38" t="s">
        <v>6639</v>
      </c>
      <c r="D32166" s="38" t="str">
        <f>IFERROR(__xludf.DUMMYFUNCTION("REGEXREPLACE(C32166,""-\d+(.*)|--\d+(.*)"","""")"),"BITRY")</f>
        <v>BITRY</v>
      </c>
      <c r="E32166" s="38" t="s">
        <v>112</v>
      </c>
      <c r="F32166" s="38" t="s">
        <v>113</v>
      </c>
      <c r="G32166" s="49" t="str">
        <f t="shared" si="1"/>
        <v>60350</v>
      </c>
      <c r="H32166" s="49">
        <f t="shared" si="2"/>
        <v>60072</v>
      </c>
    </row>
    <row r="32167">
      <c r="A32167" s="48" t="s">
        <v>2837</v>
      </c>
      <c r="B32167" s="38">
        <v>17215.0</v>
      </c>
      <c r="C32167" s="38" t="s">
        <v>7531</v>
      </c>
      <c r="D32167" s="38" t="str">
        <f>IFERROR(__xludf.DUMMYFUNCTION("REGEXREPLACE(C32167,""-\d+(.*)|--\d+(.*)"","""")"),"LUSSAC")</f>
        <v>LUSSAC</v>
      </c>
      <c r="E32167" s="38" t="s">
        <v>488</v>
      </c>
      <c r="F32167" s="38" t="s">
        <v>338</v>
      </c>
      <c r="G32167" s="49" t="str">
        <f t="shared" si="1"/>
        <v>17500</v>
      </c>
      <c r="H32167" s="49">
        <f t="shared" si="2"/>
        <v>17215</v>
      </c>
    </row>
    <row r="32168">
      <c r="A32168" s="48" t="s">
        <v>1538</v>
      </c>
      <c r="B32168" s="38">
        <v>27680.0</v>
      </c>
      <c r="C32168" s="38" t="s">
        <v>36469</v>
      </c>
      <c r="D32168" s="38" t="str">
        <f>IFERROR(__xludf.DUMMYFUNCTION("REGEXREPLACE(C32168,""-\d+(.*)|--\d+(.*)"","""")"),"VERNEUSSES")</f>
        <v>VERNEUSSES</v>
      </c>
      <c r="E32168" s="38" t="s">
        <v>241</v>
      </c>
      <c r="F32168" s="38" t="s">
        <v>134</v>
      </c>
      <c r="G32168" s="49" t="str">
        <f t="shared" si="1"/>
        <v>27390</v>
      </c>
      <c r="H32168" s="49">
        <f t="shared" si="2"/>
        <v>27680</v>
      </c>
    </row>
    <row r="32169">
      <c r="A32169" s="48" t="s">
        <v>27971</v>
      </c>
      <c r="B32169" s="38">
        <v>88481.0</v>
      </c>
      <c r="C32169" s="38" t="s">
        <v>36470</v>
      </c>
      <c r="D32169" s="38" t="str">
        <f>IFERROR(__xludf.DUMMYFUNCTION("REGEXREPLACE(C32169,""-\d+(.*)|--\d+(.*)"","""")"),"URIMENIL")</f>
        <v>URIMENIL</v>
      </c>
      <c r="E32169" s="38" t="s">
        <v>194</v>
      </c>
      <c r="F32169" s="38" t="s">
        <v>195</v>
      </c>
      <c r="G32169" s="49" t="str">
        <f t="shared" si="1"/>
        <v>88220</v>
      </c>
      <c r="H32169" s="49">
        <f t="shared" si="2"/>
        <v>88481</v>
      </c>
    </row>
    <row r="32170">
      <c r="A32170" s="48" t="s">
        <v>3718</v>
      </c>
      <c r="B32170" s="38">
        <v>62085.0</v>
      </c>
      <c r="C32170" s="38" t="s">
        <v>36471</v>
      </c>
      <c r="D32170" s="38" t="str">
        <f>IFERROR(__xludf.DUMMYFUNCTION("REGEXREPLACE(C32170,""-\d+(.*)|--\d+(.*)"","""")"),"BASSEUX")</f>
        <v>BASSEUX</v>
      </c>
      <c r="E32170" s="38" t="s">
        <v>109</v>
      </c>
      <c r="F32170" s="38" t="s">
        <v>86</v>
      </c>
      <c r="G32170" s="49" t="str">
        <f t="shared" si="1"/>
        <v>62123</v>
      </c>
      <c r="H32170" s="49">
        <f t="shared" si="2"/>
        <v>62085</v>
      </c>
    </row>
    <row r="32171">
      <c r="A32171" s="48" t="s">
        <v>2083</v>
      </c>
      <c r="B32171" s="38">
        <v>17273.0</v>
      </c>
      <c r="C32171" s="38" t="s">
        <v>21789</v>
      </c>
      <c r="D32171" s="38" t="str">
        <f>IFERROR(__xludf.DUMMYFUNCTION("REGEXREPLACE(C32171,""-\d+(.*)|--\d+(.*)"","""")"),"PERIGNAC")</f>
        <v>PERIGNAC</v>
      </c>
      <c r="E32171" s="38" t="s">
        <v>488</v>
      </c>
      <c r="F32171" s="38" t="s">
        <v>338</v>
      </c>
      <c r="G32171" s="49" t="str">
        <f t="shared" si="1"/>
        <v>17800</v>
      </c>
      <c r="H32171" s="49">
        <f t="shared" si="2"/>
        <v>17273</v>
      </c>
    </row>
    <row r="32172">
      <c r="A32172" s="48" t="s">
        <v>531</v>
      </c>
      <c r="B32172" s="38">
        <v>38157.0</v>
      </c>
      <c r="C32172" s="38" t="s">
        <v>36472</v>
      </c>
      <c r="D32172" s="38" t="str">
        <f>IFERROR(__xludf.DUMMYFUNCTION("REGEXREPLACE(C32172,""-\d+(.*)|--\d+(.*)"","""")"),"ESTRABLIN")</f>
        <v>ESTRABLIN</v>
      </c>
      <c r="E32172" s="38" t="s">
        <v>101</v>
      </c>
      <c r="F32172" s="38" t="s">
        <v>102</v>
      </c>
      <c r="G32172" s="49" t="str">
        <f t="shared" si="1"/>
        <v>38780</v>
      </c>
      <c r="H32172" s="49">
        <f t="shared" si="2"/>
        <v>38157</v>
      </c>
    </row>
    <row r="32173">
      <c r="A32173" s="48" t="s">
        <v>1835</v>
      </c>
      <c r="B32173" s="38">
        <v>76526.0</v>
      </c>
      <c r="C32173" s="38" t="s">
        <v>36473</v>
      </c>
      <c r="D32173" s="38" t="str">
        <f>IFERROR(__xludf.DUMMYFUNCTION("REGEXREPLACE(C32173,""-\d+(.*)|--\d+(.*)"","""")"),"RICARVILLE-DU-VAL")</f>
        <v>RICARVILLE-DU-VAL</v>
      </c>
      <c r="E32173" s="38" t="s">
        <v>133</v>
      </c>
      <c r="F32173" s="38" t="s">
        <v>134</v>
      </c>
      <c r="G32173" s="49" t="str">
        <f t="shared" si="1"/>
        <v>76510</v>
      </c>
      <c r="H32173" s="49">
        <f t="shared" si="2"/>
        <v>76526</v>
      </c>
    </row>
    <row r="32174">
      <c r="A32174" s="48" t="s">
        <v>2103</v>
      </c>
      <c r="B32174" s="38">
        <v>54349.0</v>
      </c>
      <c r="C32174" s="38" t="s">
        <v>36474</v>
      </c>
      <c r="D32174" s="38" t="str">
        <f>IFERROR(__xludf.DUMMYFUNCTION("REGEXREPLACE(C32174,""-\d+(.*)|--\d+(.*)"","""")"),"MANONVILLER")</f>
        <v>MANONVILLER</v>
      </c>
      <c r="E32174" s="38" t="s">
        <v>548</v>
      </c>
      <c r="F32174" s="38" t="s">
        <v>195</v>
      </c>
      <c r="G32174" s="49" t="str">
        <f t="shared" si="1"/>
        <v>54300</v>
      </c>
      <c r="H32174" s="49">
        <f t="shared" si="2"/>
        <v>54349</v>
      </c>
    </row>
    <row r="32175">
      <c r="A32175" s="48" t="s">
        <v>36475</v>
      </c>
      <c r="B32175" s="38">
        <v>68349.0</v>
      </c>
      <c r="C32175" s="38" t="s">
        <v>36476</v>
      </c>
      <c r="D32175" s="38" t="str">
        <f>IFERROR(__xludf.DUMMYFUNCTION("REGEXREPLACE(C32175,""-\d+(.*)|--\d+(.*)"","""")"),"VILLAGE-NEUF")</f>
        <v>VILLAGE-NEUF</v>
      </c>
      <c r="E32175" s="38" t="s">
        <v>150</v>
      </c>
      <c r="F32175" s="38" t="s">
        <v>151</v>
      </c>
      <c r="G32175" s="49" t="str">
        <f t="shared" si="1"/>
        <v>68128</v>
      </c>
      <c r="H32175" s="49">
        <f t="shared" si="2"/>
        <v>68349</v>
      </c>
    </row>
    <row r="32176">
      <c r="A32176" s="48" t="s">
        <v>6728</v>
      </c>
      <c r="B32176" s="38">
        <v>89187.0</v>
      </c>
      <c r="C32176" s="38" t="s">
        <v>30523</v>
      </c>
      <c r="D32176" s="38" t="str">
        <f>IFERROR(__xludf.DUMMYFUNCTION("REGEXREPLACE(C32176,""-\d+(.*)|--\d+(.*)"","""")"),"GIGNY")</f>
        <v>GIGNY</v>
      </c>
      <c r="E32176" s="38" t="s">
        <v>275</v>
      </c>
      <c r="F32176" s="38" t="s">
        <v>106</v>
      </c>
      <c r="G32176" s="49" t="str">
        <f t="shared" si="1"/>
        <v>89160</v>
      </c>
      <c r="H32176" s="49">
        <f t="shared" si="2"/>
        <v>89187</v>
      </c>
    </row>
    <row r="32177">
      <c r="A32177" s="48" t="s">
        <v>18911</v>
      </c>
      <c r="B32177" s="38">
        <v>14508.0</v>
      </c>
      <c r="C32177" s="38" t="s">
        <v>36477</v>
      </c>
      <c r="D32177" s="38" t="str">
        <f>IFERROR(__xludf.DUMMYFUNCTION("REGEXREPLACE(C32177,""-\d+(.*)|--\d+(.*)"","""")"),"LE PLESSIS-GRIMOULT")</f>
        <v>LE PLESSIS-GRIMOULT</v>
      </c>
      <c r="E32177" s="38" t="s">
        <v>137</v>
      </c>
      <c r="F32177" s="38" t="s">
        <v>138</v>
      </c>
      <c r="G32177" s="49" t="str">
        <f t="shared" si="1"/>
        <v>14770</v>
      </c>
      <c r="H32177" s="49">
        <f t="shared" si="2"/>
        <v>14508</v>
      </c>
    </row>
    <row r="32178">
      <c r="A32178" s="48" t="s">
        <v>2506</v>
      </c>
      <c r="B32178" s="38">
        <v>80499.0</v>
      </c>
      <c r="C32178" s="38" t="s">
        <v>36478</v>
      </c>
      <c r="D32178" s="38" t="str">
        <f>IFERROR(__xludf.DUMMYFUNCTION("REGEXREPLACE(C32178,""-\d+(.*)|--\d+(.*)"","""")"),"MAILLY-RAINEVAL")</f>
        <v>MAILLY-RAINEVAL</v>
      </c>
      <c r="E32178" s="38" t="s">
        <v>224</v>
      </c>
      <c r="F32178" s="38" t="s">
        <v>113</v>
      </c>
      <c r="G32178" s="49" t="str">
        <f t="shared" si="1"/>
        <v>80110</v>
      </c>
      <c r="H32178" s="49">
        <f t="shared" si="2"/>
        <v>80499</v>
      </c>
    </row>
    <row r="32179">
      <c r="A32179" s="48" t="s">
        <v>2605</v>
      </c>
      <c r="B32179" s="38">
        <v>39158.0</v>
      </c>
      <c r="C32179" s="38" t="s">
        <v>36479</v>
      </c>
      <c r="D32179" s="38" t="str">
        <f>IFERROR(__xludf.DUMMYFUNCTION("REGEXREPLACE(C32179,""-\d+(.*)|--\d+(.*)"","""")"),"COISIA")</f>
        <v>COISIA</v>
      </c>
      <c r="E32179" s="38" t="s">
        <v>400</v>
      </c>
      <c r="F32179" s="38" t="s">
        <v>214</v>
      </c>
      <c r="G32179" s="49" t="str">
        <f t="shared" si="1"/>
        <v>39240</v>
      </c>
      <c r="H32179" s="49">
        <f t="shared" si="2"/>
        <v>39158</v>
      </c>
    </row>
    <row r="32180">
      <c r="A32180" s="48" t="s">
        <v>29607</v>
      </c>
      <c r="B32180" s="38">
        <v>6132.0</v>
      </c>
      <c r="C32180" s="38" t="s">
        <v>36480</v>
      </c>
      <c r="D32180" s="38" t="str">
        <f>IFERROR(__xludf.DUMMYFUNCTION("REGEXREPLACE(C32180,""-\d+(.*)|--\d+(.*)"","""")"),"SAORGE")</f>
        <v>SAORGE</v>
      </c>
      <c r="E32180" s="38" t="s">
        <v>227</v>
      </c>
      <c r="F32180" s="38" t="s">
        <v>228</v>
      </c>
      <c r="G32180" s="49" t="str">
        <f t="shared" si="1"/>
        <v>06540</v>
      </c>
      <c r="H32180" s="49" t="str">
        <f t="shared" si="2"/>
        <v>06132</v>
      </c>
    </row>
    <row r="32181">
      <c r="A32181" s="48" t="s">
        <v>2272</v>
      </c>
      <c r="B32181" s="38">
        <v>27531.0</v>
      </c>
      <c r="C32181" s="38" t="s">
        <v>36481</v>
      </c>
      <c r="D32181" s="38" t="str">
        <f>IFERROR(__xludf.DUMMYFUNCTION("REGEXREPLACE(C32181,""-\d+(.*)|--\d+(.*)"","""")"),"SAINT-DENIS-DES-MONTS")</f>
        <v>SAINT-DENIS-DES-MONTS</v>
      </c>
      <c r="E32181" s="38" t="s">
        <v>241</v>
      </c>
      <c r="F32181" s="38" t="s">
        <v>134</v>
      </c>
      <c r="G32181" s="49" t="str">
        <f t="shared" si="1"/>
        <v>27520</v>
      </c>
      <c r="H32181" s="49">
        <f t="shared" si="2"/>
        <v>27531</v>
      </c>
    </row>
    <row r="32182">
      <c r="A32182" s="48" t="s">
        <v>262</v>
      </c>
      <c r="B32182" s="38">
        <v>9224.0</v>
      </c>
      <c r="C32182" s="38" t="s">
        <v>36482</v>
      </c>
      <c r="D32182" s="38" t="str">
        <f>IFERROR(__xludf.DUMMYFUNCTION("REGEXREPLACE(C32182,""-\d+(.*)|--\d+(.*)"","""")"),"PAILHES")</f>
        <v>PAILHES</v>
      </c>
      <c r="E32182" s="38" t="s">
        <v>238</v>
      </c>
      <c r="F32182" s="38" t="s">
        <v>94</v>
      </c>
      <c r="G32182" s="49" t="str">
        <f t="shared" si="1"/>
        <v>09130</v>
      </c>
      <c r="H32182" s="49" t="str">
        <f t="shared" si="2"/>
        <v>09224</v>
      </c>
    </row>
    <row r="32183">
      <c r="A32183" s="48" t="s">
        <v>29421</v>
      </c>
      <c r="B32183" s="38">
        <v>60666.0</v>
      </c>
      <c r="C32183" s="38" t="s">
        <v>36483</v>
      </c>
      <c r="D32183" s="38" t="str">
        <f>IFERROR(__xludf.DUMMYFUNCTION("REGEXREPLACE(C32183,""-\d+(.*)|--\d+(.*)"","""")"),"VER-SUR-LAUNETTE")</f>
        <v>VER-SUR-LAUNETTE</v>
      </c>
      <c r="E32183" s="38" t="s">
        <v>112</v>
      </c>
      <c r="F32183" s="38" t="s">
        <v>113</v>
      </c>
      <c r="G32183" s="49" t="str">
        <f t="shared" si="1"/>
        <v>60950</v>
      </c>
      <c r="H32183" s="49">
        <f t="shared" si="2"/>
        <v>60666</v>
      </c>
    </row>
    <row r="32184">
      <c r="A32184" s="48" t="s">
        <v>2097</v>
      </c>
      <c r="B32184" s="38">
        <v>42041.0</v>
      </c>
      <c r="C32184" s="38" t="s">
        <v>36484</v>
      </c>
      <c r="D32184" s="38" t="str">
        <f>IFERROR(__xludf.DUMMYFUNCTION("REGEXREPLACE(C32184,""-\d+(.*)|--\d+(.*)"","""")"),"CHAMBEON")</f>
        <v>CHAMBEON</v>
      </c>
      <c r="E32184" s="38" t="s">
        <v>166</v>
      </c>
      <c r="F32184" s="38" t="s">
        <v>102</v>
      </c>
      <c r="G32184" s="49" t="str">
        <f t="shared" si="1"/>
        <v>42110</v>
      </c>
      <c r="H32184" s="49">
        <f t="shared" si="2"/>
        <v>42041</v>
      </c>
    </row>
    <row r="32185">
      <c r="A32185" s="48" t="s">
        <v>30875</v>
      </c>
      <c r="B32185" s="38">
        <v>56179.0</v>
      </c>
      <c r="C32185" s="38" t="s">
        <v>36485</v>
      </c>
      <c r="D32185" s="38" t="str">
        <f>IFERROR(__xludf.DUMMYFUNCTION("REGEXREPLACE(C32185,""-\d+(.*)|--\d+(.*)"","""")"),"PONT-SCORFF")</f>
        <v>PONT-SCORFF</v>
      </c>
      <c r="E32185" s="38" t="s">
        <v>173</v>
      </c>
      <c r="F32185" s="38" t="s">
        <v>90</v>
      </c>
      <c r="G32185" s="49" t="str">
        <f t="shared" si="1"/>
        <v>56620</v>
      </c>
      <c r="H32185" s="49">
        <f t="shared" si="2"/>
        <v>56179</v>
      </c>
    </row>
    <row r="32186">
      <c r="A32186" s="48" t="s">
        <v>36486</v>
      </c>
      <c r="B32186" s="38">
        <v>94021.0</v>
      </c>
      <c r="C32186" s="38" t="s">
        <v>36487</v>
      </c>
      <c r="D32186" s="38" t="str">
        <f>IFERROR(__xludf.DUMMYFUNCTION("REGEXREPLACE(C32186,""-\d+(.*)|--\d+(.*)"","""")"),"CHEVILLY-LARUE")</f>
        <v>CHEVILLY-LARUE</v>
      </c>
      <c r="E32186" s="38" t="s">
        <v>561</v>
      </c>
      <c r="F32186" s="38" t="s">
        <v>245</v>
      </c>
      <c r="G32186" s="49" t="str">
        <f t="shared" si="1"/>
        <v>94550</v>
      </c>
      <c r="H32186" s="49">
        <f t="shared" si="2"/>
        <v>94021</v>
      </c>
    </row>
    <row r="32187">
      <c r="A32187" s="48" t="s">
        <v>4900</v>
      </c>
      <c r="B32187" s="38">
        <v>33414.0</v>
      </c>
      <c r="C32187" s="38" t="s">
        <v>36488</v>
      </c>
      <c r="D32187" s="38" t="str">
        <f>IFERROR(__xludf.DUMMYFUNCTION("REGEXREPLACE(C32187,""-\d+(.*)|--\d+(.*)"","""")"),"SAINT-GERMAIN-DE-LA-RIVIERE")</f>
        <v>SAINT-GERMAIN-DE-LA-RIVIERE</v>
      </c>
      <c r="E32187" s="38" t="s">
        <v>462</v>
      </c>
      <c r="F32187" s="38" t="s">
        <v>252</v>
      </c>
      <c r="G32187" s="49" t="str">
        <f t="shared" si="1"/>
        <v>33240</v>
      </c>
      <c r="H32187" s="49">
        <f t="shared" si="2"/>
        <v>33414</v>
      </c>
    </row>
    <row r="32188">
      <c r="A32188" s="48" t="s">
        <v>2482</v>
      </c>
      <c r="B32188" s="38">
        <v>28063.0</v>
      </c>
      <c r="C32188" s="38" t="s">
        <v>36489</v>
      </c>
      <c r="D32188" s="38" t="str">
        <f>IFERROR(__xludf.DUMMYFUNCTION("REGEXREPLACE(C32188,""-\d+(.*)|--\d+(.*)"","""")"),"BRUNELLES")</f>
        <v>BRUNELLES</v>
      </c>
      <c r="E32188" s="38" t="s">
        <v>300</v>
      </c>
      <c r="F32188" s="38" t="s">
        <v>123</v>
      </c>
      <c r="G32188" s="49" t="str">
        <f t="shared" si="1"/>
        <v>28400</v>
      </c>
      <c r="H32188" s="49">
        <f t="shared" si="2"/>
        <v>28063</v>
      </c>
    </row>
    <row r="32189">
      <c r="A32189" s="48" t="s">
        <v>1089</v>
      </c>
      <c r="B32189" s="38">
        <v>67241.0</v>
      </c>
      <c r="C32189" s="38" t="s">
        <v>36490</v>
      </c>
      <c r="D32189" s="38" t="str">
        <f>IFERROR(__xludf.DUMMYFUNCTION("REGEXREPLACE(C32189,""-\d+(.*)|--\d+(.*)"","""")"),"KIRRBERG")</f>
        <v>KIRRBERG</v>
      </c>
      <c r="E32189" s="38" t="s">
        <v>210</v>
      </c>
      <c r="F32189" s="38" t="s">
        <v>151</v>
      </c>
      <c r="G32189" s="49" t="str">
        <f t="shared" si="1"/>
        <v>67320</v>
      </c>
      <c r="H32189" s="49">
        <f t="shared" si="2"/>
        <v>67241</v>
      </c>
    </row>
    <row r="32190">
      <c r="A32190" s="48" t="s">
        <v>36491</v>
      </c>
      <c r="B32190" s="38">
        <v>69040.0</v>
      </c>
      <c r="C32190" s="38" t="s">
        <v>36492</v>
      </c>
      <c r="D32190" s="38" t="str">
        <f>IFERROR(__xludf.DUMMYFUNCTION("REGEXREPLACE(C32190,""-\d+(.*)|--\d+(.*)"","""")"),"CHAMPAGNE-AU-MONT-D'OR")</f>
        <v>CHAMPAGNE-AU-MONT-D'OR</v>
      </c>
      <c r="E32190" s="38" t="s">
        <v>350</v>
      </c>
      <c r="F32190" s="38" t="s">
        <v>102</v>
      </c>
      <c r="G32190" s="49" t="str">
        <f t="shared" si="1"/>
        <v>69410</v>
      </c>
      <c r="H32190" s="49">
        <f t="shared" si="2"/>
        <v>69040</v>
      </c>
    </row>
    <row r="32191">
      <c r="A32191" s="48" t="s">
        <v>2558</v>
      </c>
      <c r="B32191" s="38">
        <v>16177.0</v>
      </c>
      <c r="C32191" s="38" t="s">
        <v>36493</v>
      </c>
      <c r="D32191" s="38" t="str">
        <f>IFERROR(__xludf.DUMMYFUNCTION("REGEXREPLACE(C32191,""-\d+(.*)|--\d+(.*)"","""")"),"LADIVILLE")</f>
        <v>LADIVILLE</v>
      </c>
      <c r="E32191" s="38" t="s">
        <v>429</v>
      </c>
      <c r="F32191" s="38" t="s">
        <v>338</v>
      </c>
      <c r="G32191" s="49" t="str">
        <f t="shared" si="1"/>
        <v>16120</v>
      </c>
      <c r="H32191" s="49">
        <f t="shared" si="2"/>
        <v>16177</v>
      </c>
    </row>
    <row r="32192">
      <c r="A32192" s="48" t="s">
        <v>1332</v>
      </c>
      <c r="B32192" s="38">
        <v>51336.0</v>
      </c>
      <c r="C32192" s="38" t="s">
        <v>36494</v>
      </c>
      <c r="D32192" s="38" t="str">
        <f>IFERROR(__xludf.DUMMYFUNCTION("REGEXREPLACE(C32192,""-\d+(.*)|--\d+(.*)"","""")"),"MAFFRECOURT")</f>
        <v>MAFFRECOURT</v>
      </c>
      <c r="E32192" s="38" t="s">
        <v>129</v>
      </c>
      <c r="F32192" s="38" t="s">
        <v>130</v>
      </c>
      <c r="G32192" s="49" t="str">
        <f t="shared" si="1"/>
        <v>51800</v>
      </c>
      <c r="H32192" s="49">
        <f t="shared" si="2"/>
        <v>51336</v>
      </c>
    </row>
    <row r="32193">
      <c r="A32193" s="48" t="s">
        <v>5038</v>
      </c>
      <c r="B32193" s="38">
        <v>17457.0</v>
      </c>
      <c r="C32193" s="38" t="s">
        <v>36495</v>
      </c>
      <c r="D32193" s="38" t="str">
        <f>IFERROR(__xludf.DUMMYFUNCTION("REGEXREPLACE(C32193,""-\d+(.*)|--\d+(.*)"","""")"),"VANDRE")</f>
        <v>VANDRE</v>
      </c>
      <c r="E32193" s="38" t="s">
        <v>488</v>
      </c>
      <c r="F32193" s="38" t="s">
        <v>338</v>
      </c>
      <c r="G32193" s="49" t="str">
        <f t="shared" si="1"/>
        <v>17700</v>
      </c>
      <c r="H32193" s="49">
        <f t="shared" si="2"/>
        <v>17457</v>
      </c>
    </row>
    <row r="32194">
      <c r="A32194" s="48" t="s">
        <v>1733</v>
      </c>
      <c r="B32194" s="38">
        <v>23054.0</v>
      </c>
      <c r="C32194" s="38" t="s">
        <v>13447</v>
      </c>
      <c r="D32194" s="38" t="str">
        <f>IFERROR(__xludf.DUMMYFUNCTION("REGEXREPLACE(C32194,""-\d+(.*)|--\d+(.*)"","""")"),"CHARRON")</f>
        <v>CHARRON</v>
      </c>
      <c r="E32194" s="38" t="s">
        <v>97</v>
      </c>
      <c r="F32194" s="38" t="s">
        <v>98</v>
      </c>
      <c r="G32194" s="49" t="str">
        <f t="shared" si="1"/>
        <v>23700</v>
      </c>
      <c r="H32194" s="49">
        <f t="shared" si="2"/>
        <v>23054</v>
      </c>
    </row>
    <row r="32195">
      <c r="A32195" s="48" t="s">
        <v>2503</v>
      </c>
      <c r="B32195" s="38">
        <v>33458.0</v>
      </c>
      <c r="C32195" s="38" t="s">
        <v>5044</v>
      </c>
      <c r="D32195" s="38" t="str">
        <f>IFERROR(__xludf.DUMMYFUNCTION("REGEXREPLACE(C32195,""-\d+(.*)|--\d+(.*)"","""")"),"SAINT-PAUL")</f>
        <v>SAINT-PAUL</v>
      </c>
      <c r="E32195" s="38" t="s">
        <v>462</v>
      </c>
      <c r="F32195" s="38" t="s">
        <v>252</v>
      </c>
      <c r="G32195" s="49" t="str">
        <f t="shared" si="1"/>
        <v>33390</v>
      </c>
      <c r="H32195" s="49">
        <f t="shared" si="2"/>
        <v>33458</v>
      </c>
    </row>
    <row r="32196">
      <c r="A32196" s="48" t="s">
        <v>5449</v>
      </c>
      <c r="B32196" s="38">
        <v>59105.0</v>
      </c>
      <c r="C32196" s="38" t="s">
        <v>36496</v>
      </c>
      <c r="D32196" s="38" t="str">
        <f>IFERROR(__xludf.DUMMYFUNCTION("REGEXREPLACE(C32196,""-\d+(.*)|--\d+(.*)"","""")"),"BOUVIGNIES")</f>
        <v>BOUVIGNIES</v>
      </c>
      <c r="E32196" s="38" t="s">
        <v>85</v>
      </c>
      <c r="F32196" s="38" t="s">
        <v>86</v>
      </c>
      <c r="G32196" s="49" t="str">
        <f t="shared" si="1"/>
        <v>59870</v>
      </c>
      <c r="H32196" s="49">
        <f t="shared" si="2"/>
        <v>59105</v>
      </c>
    </row>
    <row r="32197">
      <c r="A32197" s="48" t="s">
        <v>10259</v>
      </c>
      <c r="B32197" s="38">
        <v>73259.0</v>
      </c>
      <c r="C32197" s="38" t="s">
        <v>36497</v>
      </c>
      <c r="D32197" s="38" t="str">
        <f>IFERROR(__xludf.DUMMYFUNCTION("REGEXREPLACE(C32197,""-\d+(.*)|--\d+(.*)"","""")"),"SAINT-MARTIN-SUR-LA-CHAMBRE")</f>
        <v>SAINT-MARTIN-SUR-LA-CHAMBRE</v>
      </c>
      <c r="E32197" s="38" t="s">
        <v>306</v>
      </c>
      <c r="F32197" s="38" t="s">
        <v>102</v>
      </c>
      <c r="G32197" s="49" t="str">
        <f t="shared" si="1"/>
        <v>73130</v>
      </c>
      <c r="H32197" s="49">
        <f t="shared" si="2"/>
        <v>73259</v>
      </c>
    </row>
    <row r="32198">
      <c r="A32198" s="48" t="s">
        <v>2261</v>
      </c>
      <c r="B32198" s="38">
        <v>9221.0</v>
      </c>
      <c r="C32198" s="38" t="s">
        <v>36498</v>
      </c>
      <c r="D32198" s="38" t="str">
        <f>IFERROR(__xludf.DUMMYFUNCTION("REGEXREPLACE(C32198,""-\d+(.*)|--\d+(.*)"","""")"),"ORNOLAC-USSAT-LES-BAINS")</f>
        <v>ORNOLAC-USSAT-LES-BAINS</v>
      </c>
      <c r="E32198" s="38" t="s">
        <v>238</v>
      </c>
      <c r="F32198" s="38" t="s">
        <v>94</v>
      </c>
      <c r="G32198" s="49" t="str">
        <f t="shared" si="1"/>
        <v>09400</v>
      </c>
      <c r="H32198" s="49" t="str">
        <f t="shared" si="2"/>
        <v>09221</v>
      </c>
    </row>
    <row r="32199">
      <c r="A32199" s="48" t="s">
        <v>2075</v>
      </c>
      <c r="B32199" s="38">
        <v>46243.0</v>
      </c>
      <c r="C32199" s="38" t="s">
        <v>36499</v>
      </c>
      <c r="D32199" s="38" t="str">
        <f>IFERROR(__xludf.DUMMYFUNCTION("REGEXREPLACE(C32199,""-\d+(.*)|--\d+(.*)"","""")"),"RUEYRES")</f>
        <v>RUEYRES</v>
      </c>
      <c r="E32199" s="38" t="s">
        <v>185</v>
      </c>
      <c r="F32199" s="38" t="s">
        <v>94</v>
      </c>
      <c r="G32199" s="49" t="str">
        <f t="shared" si="1"/>
        <v>46120</v>
      </c>
      <c r="H32199" s="49">
        <f t="shared" si="2"/>
        <v>46243</v>
      </c>
    </row>
    <row r="32200">
      <c r="A32200" s="48" t="s">
        <v>4659</v>
      </c>
      <c r="B32200" s="38">
        <v>32412.0</v>
      </c>
      <c r="C32200" s="38" t="s">
        <v>36500</v>
      </c>
      <c r="D32200" s="38" t="str">
        <f>IFERROR(__xludf.DUMMYFUNCTION("REGEXREPLACE(C32200,""-\d+(.*)|--\d+(.*)"","""")"),"SARAMON")</f>
        <v>SARAMON</v>
      </c>
      <c r="E32200" s="38" t="s">
        <v>440</v>
      </c>
      <c r="F32200" s="38" t="s">
        <v>94</v>
      </c>
      <c r="G32200" s="49" t="str">
        <f t="shared" si="1"/>
        <v>32450</v>
      </c>
      <c r="H32200" s="49">
        <f t="shared" si="2"/>
        <v>32412</v>
      </c>
    </row>
    <row r="32201">
      <c r="A32201" s="48" t="s">
        <v>9536</v>
      </c>
      <c r="B32201" s="38">
        <v>8275.0</v>
      </c>
      <c r="C32201" s="38" t="s">
        <v>15011</v>
      </c>
      <c r="D32201" s="38" t="str">
        <f>IFERROR(__xludf.DUMMYFUNCTION("REGEXREPLACE(C32201,""-\d+(.*)|--\d+(.*)"","""")"),"MARGNY")</f>
        <v>MARGNY</v>
      </c>
      <c r="E32201" s="38" t="s">
        <v>327</v>
      </c>
      <c r="F32201" s="38" t="s">
        <v>130</v>
      </c>
      <c r="G32201" s="49" t="str">
        <f t="shared" si="1"/>
        <v>08370</v>
      </c>
      <c r="H32201" s="49" t="str">
        <f t="shared" si="2"/>
        <v>08275</v>
      </c>
    </row>
    <row r="32202">
      <c r="A32202" s="48" t="s">
        <v>4450</v>
      </c>
      <c r="B32202" s="38">
        <v>34167.0</v>
      </c>
      <c r="C32202" s="38" t="s">
        <v>11876</v>
      </c>
      <c r="D32202" s="38" t="str">
        <f>IFERROR(__xludf.DUMMYFUNCTION("REGEXREPLACE(C32202,""-\d+(.*)|--\d+(.*)"","""")"),"MONTELS")</f>
        <v>MONTELS</v>
      </c>
      <c r="E32202" s="38" t="s">
        <v>118</v>
      </c>
      <c r="F32202" s="38" t="s">
        <v>119</v>
      </c>
      <c r="G32202" s="49" t="str">
        <f t="shared" si="1"/>
        <v>34310</v>
      </c>
      <c r="H32202" s="49">
        <f t="shared" si="2"/>
        <v>34167</v>
      </c>
    </row>
    <row r="32203">
      <c r="A32203" s="48" t="s">
        <v>1618</v>
      </c>
      <c r="B32203" s="38">
        <v>11411.0</v>
      </c>
      <c r="C32203" s="38" t="s">
        <v>36501</v>
      </c>
      <c r="D32203" s="38" t="str">
        <f>IFERROR(__xludf.DUMMYFUNCTION("REGEXREPLACE(C32203,""-\d+(.*)|--\d+(.*)"","""")"),"VILLANIERE")</f>
        <v>VILLANIERE</v>
      </c>
      <c r="E32203" s="38" t="s">
        <v>278</v>
      </c>
      <c r="F32203" s="38" t="s">
        <v>119</v>
      </c>
      <c r="G32203" s="49" t="str">
        <f t="shared" si="1"/>
        <v>11600</v>
      </c>
      <c r="H32203" s="49">
        <f t="shared" si="2"/>
        <v>11411</v>
      </c>
    </row>
    <row r="32204">
      <c r="A32204" s="48" t="s">
        <v>3283</v>
      </c>
      <c r="B32204" s="38">
        <v>52075.0</v>
      </c>
      <c r="C32204" s="38" t="s">
        <v>29166</v>
      </c>
      <c r="D32204" s="38" t="str">
        <f>IFERROR(__xludf.DUMMYFUNCTION("REGEXREPLACE(C32204,""-\d+(.*)|--\d+(.*)"","""")"),"BRIAUCOURT")</f>
        <v>BRIAUCOURT</v>
      </c>
      <c r="E32204" s="38" t="s">
        <v>234</v>
      </c>
      <c r="F32204" s="38" t="s">
        <v>130</v>
      </c>
      <c r="G32204" s="49" t="str">
        <f t="shared" si="1"/>
        <v>52700</v>
      </c>
      <c r="H32204" s="49">
        <f t="shared" si="2"/>
        <v>52075</v>
      </c>
    </row>
    <row r="32205">
      <c r="A32205" s="48" t="s">
        <v>7852</v>
      </c>
      <c r="B32205" s="38">
        <v>38065.0</v>
      </c>
      <c r="C32205" s="38" t="s">
        <v>36502</v>
      </c>
      <c r="D32205" s="38" t="str">
        <f>IFERROR(__xludf.DUMMYFUNCTION("REGEXREPLACE(C32205,""-\d+(.*)|--\d+(.*)"","""")"),"CHABONS")</f>
        <v>CHABONS</v>
      </c>
      <c r="E32205" s="38" t="s">
        <v>101</v>
      </c>
      <c r="F32205" s="38" t="s">
        <v>102</v>
      </c>
      <c r="G32205" s="49" t="str">
        <f t="shared" si="1"/>
        <v>38690</v>
      </c>
      <c r="H32205" s="49">
        <f t="shared" si="2"/>
        <v>38065</v>
      </c>
    </row>
    <row r="32206">
      <c r="A32206" s="48" t="s">
        <v>2805</v>
      </c>
      <c r="B32206" s="38">
        <v>23146.0</v>
      </c>
      <c r="C32206" s="38" t="s">
        <v>36503</v>
      </c>
      <c r="D32206" s="38" t="str">
        <f>IFERROR(__xludf.DUMMYFUNCTION("REGEXREPLACE(C32206,""-\d+(.*)|--\d+(.*)"","""")"),"NOUZERINES")</f>
        <v>NOUZERINES</v>
      </c>
      <c r="E32206" s="38" t="s">
        <v>97</v>
      </c>
      <c r="F32206" s="38" t="s">
        <v>98</v>
      </c>
      <c r="G32206" s="49" t="str">
        <f t="shared" si="1"/>
        <v>23600</v>
      </c>
      <c r="H32206" s="49">
        <f t="shared" si="2"/>
        <v>23146</v>
      </c>
    </row>
    <row r="32207">
      <c r="A32207" s="48" t="s">
        <v>2600</v>
      </c>
      <c r="B32207" s="38">
        <v>60389.0</v>
      </c>
      <c r="C32207" s="38" t="s">
        <v>25177</v>
      </c>
      <c r="D32207" s="38" t="str">
        <f>IFERROR(__xludf.DUMMYFUNCTION("REGEXREPLACE(C32207,""-\d+(.*)|--\d+(.*)"","""")"),"MAUCOURT")</f>
        <v>MAUCOURT</v>
      </c>
      <c r="E32207" s="38" t="s">
        <v>112</v>
      </c>
      <c r="F32207" s="38" t="s">
        <v>113</v>
      </c>
      <c r="G32207" s="49" t="str">
        <f t="shared" si="1"/>
        <v>60640</v>
      </c>
      <c r="H32207" s="49">
        <f t="shared" si="2"/>
        <v>60389</v>
      </c>
    </row>
    <row r="32208">
      <c r="A32208" s="48" t="s">
        <v>522</v>
      </c>
      <c r="B32208" s="38">
        <v>39301.0</v>
      </c>
      <c r="C32208" s="38" t="s">
        <v>36504</v>
      </c>
      <c r="D32208" s="38" t="str">
        <f>IFERROR(__xludf.DUMMYFUNCTION("REGEXREPLACE(C32208,""-\d+(.*)|--\d+(.*)"","""")"),"LOULLE")</f>
        <v>LOULLE</v>
      </c>
      <c r="E32208" s="38" t="s">
        <v>400</v>
      </c>
      <c r="F32208" s="38" t="s">
        <v>214</v>
      </c>
      <c r="G32208" s="49" t="str">
        <f t="shared" si="1"/>
        <v>39300</v>
      </c>
      <c r="H32208" s="49">
        <f t="shared" si="2"/>
        <v>39301</v>
      </c>
    </row>
    <row r="32209">
      <c r="A32209" s="48" t="s">
        <v>4097</v>
      </c>
      <c r="B32209" s="38">
        <v>50329.0</v>
      </c>
      <c r="C32209" s="38" t="s">
        <v>36505</v>
      </c>
      <c r="D32209" s="38" t="str">
        <f>IFERROR(__xludf.DUMMYFUNCTION("REGEXREPLACE(C32209,""-\d+(.*)|--\d+(.*)"","""")"),"MILLY")</f>
        <v>MILLY</v>
      </c>
      <c r="E32209" s="38" t="s">
        <v>157</v>
      </c>
      <c r="F32209" s="38" t="s">
        <v>138</v>
      </c>
      <c r="G32209" s="49" t="str">
        <f t="shared" si="1"/>
        <v>50600</v>
      </c>
      <c r="H32209" s="49">
        <f t="shared" si="2"/>
        <v>50329</v>
      </c>
    </row>
    <row r="32210">
      <c r="A32210" s="48" t="s">
        <v>6800</v>
      </c>
      <c r="B32210" s="38">
        <v>77293.0</v>
      </c>
      <c r="C32210" s="38" t="s">
        <v>36506</v>
      </c>
      <c r="D32210" s="38" t="str">
        <f>IFERROR(__xludf.DUMMYFUNCTION("REGEXREPLACE(C32210,""-\d+(.*)|--\d+(.*)"","""")"),"MISY-SUR-YONNE")</f>
        <v>MISY-SUR-YONNE</v>
      </c>
      <c r="E32210" s="38" t="s">
        <v>244</v>
      </c>
      <c r="F32210" s="38" t="s">
        <v>245</v>
      </c>
      <c r="G32210" s="49" t="str">
        <f t="shared" si="1"/>
        <v>77130</v>
      </c>
      <c r="H32210" s="49">
        <f t="shared" si="2"/>
        <v>77293</v>
      </c>
    </row>
    <row r="32211">
      <c r="A32211" s="48" t="s">
        <v>6328</v>
      </c>
      <c r="B32211" s="38">
        <v>30334.0</v>
      </c>
      <c r="C32211" s="38" t="s">
        <v>36507</v>
      </c>
      <c r="D32211" s="38" t="str">
        <f>IFERROR(__xludf.DUMMYFUNCTION("REGEXREPLACE(C32211,""-\d+(.*)|--\d+(.*)"","""")"),"UZES")</f>
        <v>UZES</v>
      </c>
      <c r="E32211" s="38" t="s">
        <v>526</v>
      </c>
      <c r="F32211" s="38" t="s">
        <v>119</v>
      </c>
      <c r="G32211" s="49" t="str">
        <f t="shared" si="1"/>
        <v>30700</v>
      </c>
      <c r="H32211" s="49">
        <f t="shared" si="2"/>
        <v>30334</v>
      </c>
    </row>
    <row r="32212">
      <c r="A32212" s="48" t="s">
        <v>3036</v>
      </c>
      <c r="B32212" s="38">
        <v>61171.0</v>
      </c>
      <c r="C32212" s="38" t="s">
        <v>36508</v>
      </c>
      <c r="D32212" s="38" t="str">
        <f>IFERROR(__xludf.DUMMYFUNCTION("REGEXREPLACE(C32212,""-\d+(.*)|--\d+(.*)"","""")"),"FONTAINE-LES-BASSETS")</f>
        <v>FONTAINE-LES-BASSETS</v>
      </c>
      <c r="E32212" s="38" t="s">
        <v>141</v>
      </c>
      <c r="F32212" s="38" t="s">
        <v>138</v>
      </c>
      <c r="G32212" s="49" t="str">
        <f t="shared" si="1"/>
        <v>61160</v>
      </c>
      <c r="H32212" s="49">
        <f t="shared" si="2"/>
        <v>61171</v>
      </c>
    </row>
    <row r="32213">
      <c r="A32213" s="48" t="s">
        <v>9991</v>
      </c>
      <c r="B32213" s="38">
        <v>9131.0</v>
      </c>
      <c r="C32213" s="38" t="s">
        <v>36509</v>
      </c>
      <c r="D32213" s="38" t="str">
        <f>IFERROR(__xludf.DUMMYFUNCTION("REGEXREPLACE(C32213,""-\d+(.*)|--\d+(.*)"","""")"),"GARANOU")</f>
        <v>GARANOU</v>
      </c>
      <c r="E32213" s="38" t="s">
        <v>238</v>
      </c>
      <c r="F32213" s="38" t="s">
        <v>94</v>
      </c>
      <c r="G32213" s="49" t="str">
        <f t="shared" si="1"/>
        <v>09250</v>
      </c>
      <c r="H32213" s="49" t="str">
        <f t="shared" si="2"/>
        <v>09131</v>
      </c>
    </row>
    <row r="32214">
      <c r="A32214" s="48" t="s">
        <v>1491</v>
      </c>
      <c r="B32214" s="38">
        <v>70283.0</v>
      </c>
      <c r="C32214" s="38" t="s">
        <v>36510</v>
      </c>
      <c r="D32214" s="38" t="str">
        <f>IFERROR(__xludf.DUMMYFUNCTION("REGEXREPLACE(C32214,""-\d+(.*)|--\d+(.*)"","""")"),"HAUT-DU-THEM-CHATEAU-LAMBERT")</f>
        <v>HAUT-DU-THEM-CHATEAU-LAMBERT</v>
      </c>
      <c r="E32214" s="38" t="s">
        <v>956</v>
      </c>
      <c r="F32214" s="38" t="s">
        <v>214</v>
      </c>
      <c r="G32214" s="49" t="str">
        <f t="shared" si="1"/>
        <v>70440</v>
      </c>
      <c r="H32214" s="49">
        <f t="shared" si="2"/>
        <v>70283</v>
      </c>
    </row>
    <row r="32215">
      <c r="A32215" s="48" t="s">
        <v>6651</v>
      </c>
      <c r="B32215" s="38">
        <v>31571.0</v>
      </c>
      <c r="C32215" s="38" t="s">
        <v>36511</v>
      </c>
      <c r="D32215" s="38" t="str">
        <f>IFERROR(__xludf.DUMMYFUNCTION("REGEXREPLACE(C32215,""-\d+(.*)|--\d+(.*)"","""")"),"VENDINE")</f>
        <v>VENDINE</v>
      </c>
      <c r="E32215" s="38" t="s">
        <v>93</v>
      </c>
      <c r="F32215" s="38" t="s">
        <v>94</v>
      </c>
      <c r="G32215" s="49" t="str">
        <f t="shared" si="1"/>
        <v>31460</v>
      </c>
      <c r="H32215" s="49">
        <f t="shared" si="2"/>
        <v>31571</v>
      </c>
    </row>
    <row r="32216">
      <c r="A32216" s="48" t="s">
        <v>36512</v>
      </c>
      <c r="B32216" s="38">
        <v>40065.0</v>
      </c>
      <c r="C32216" s="38" t="s">
        <v>36513</v>
      </c>
      <c r="D32216" s="38" t="str">
        <f>IFERROR(__xludf.DUMMYFUNCTION("REGEXREPLACE(C32216,""-\d+(.*)|--\d+(.*)"","""")"),"CAPBRETON")</f>
        <v>CAPBRETON</v>
      </c>
      <c r="E32216" s="38" t="s">
        <v>281</v>
      </c>
      <c r="F32216" s="38" t="s">
        <v>252</v>
      </c>
      <c r="G32216" s="49" t="str">
        <f t="shared" si="1"/>
        <v>40130</v>
      </c>
      <c r="H32216" s="49">
        <f t="shared" si="2"/>
        <v>40065</v>
      </c>
    </row>
    <row r="32217">
      <c r="A32217" s="48" t="s">
        <v>7020</v>
      </c>
      <c r="B32217" s="38">
        <v>2132.0</v>
      </c>
      <c r="C32217" s="38" t="s">
        <v>36514</v>
      </c>
      <c r="D32217" s="38" t="str">
        <f>IFERROR(__xludf.DUMMYFUNCTION("REGEXREPLACE(C32217,""-\d+(.*)|--\d+(.*)"","""")"),"BUCY-LES-CERNY")</f>
        <v>BUCY-LES-CERNY</v>
      </c>
      <c r="E32217" s="38" t="s">
        <v>191</v>
      </c>
      <c r="F32217" s="38" t="s">
        <v>113</v>
      </c>
      <c r="G32217" s="49" t="str">
        <f t="shared" si="1"/>
        <v>02870</v>
      </c>
      <c r="H32217" s="49" t="str">
        <f t="shared" si="2"/>
        <v>02132</v>
      </c>
    </row>
    <row r="32218">
      <c r="A32218" s="48" t="s">
        <v>8196</v>
      </c>
      <c r="B32218" s="38">
        <v>23169.0</v>
      </c>
      <c r="C32218" s="38" t="s">
        <v>36515</v>
      </c>
      <c r="D32218" s="38" t="str">
        <f>IFERROR(__xludf.DUMMYFUNCTION("REGEXREPLACE(C32218,""-\d+(.*)|--\d+(.*)"","""")"),"LA SAUNIERE")</f>
        <v>LA SAUNIERE</v>
      </c>
      <c r="E32218" s="38" t="s">
        <v>97</v>
      </c>
      <c r="F32218" s="38" t="s">
        <v>98</v>
      </c>
      <c r="G32218" s="49" t="str">
        <f t="shared" si="1"/>
        <v>23000</v>
      </c>
      <c r="H32218" s="49">
        <f t="shared" si="2"/>
        <v>23169</v>
      </c>
    </row>
    <row r="32219">
      <c r="A32219" s="48" t="s">
        <v>5846</v>
      </c>
      <c r="B32219" s="38">
        <v>60527.0</v>
      </c>
      <c r="C32219" s="38" t="s">
        <v>36516</v>
      </c>
      <c r="D32219" s="38" t="str">
        <f>IFERROR(__xludf.DUMMYFUNCTION("REGEXREPLACE(C32219,""-\d+(.*)|--\d+(.*)"","""")"),"REEZ-FOSSE-MARTIN")</f>
        <v>REEZ-FOSSE-MARTIN</v>
      </c>
      <c r="E32219" s="38" t="s">
        <v>112</v>
      </c>
      <c r="F32219" s="38" t="s">
        <v>113</v>
      </c>
      <c r="G32219" s="49" t="str">
        <f t="shared" si="1"/>
        <v>60620</v>
      </c>
      <c r="H32219" s="49">
        <f t="shared" si="2"/>
        <v>60527</v>
      </c>
    </row>
    <row r="32220">
      <c r="A32220" s="48" t="s">
        <v>6340</v>
      </c>
      <c r="B32220" s="38">
        <v>89422.0</v>
      </c>
      <c r="C32220" s="38" t="s">
        <v>36517</v>
      </c>
      <c r="D32220" s="38" t="str">
        <f>IFERROR(__xludf.DUMMYFUNCTION("REGEXREPLACE(C32220,""-\d+(.*)|--\d+(.*)"","""")"),"TRICHEY")</f>
        <v>TRICHEY</v>
      </c>
      <c r="E32220" s="38" t="s">
        <v>275</v>
      </c>
      <c r="F32220" s="38" t="s">
        <v>106</v>
      </c>
      <c r="G32220" s="49" t="str">
        <f t="shared" si="1"/>
        <v>89430</v>
      </c>
      <c r="H32220" s="49">
        <f t="shared" si="2"/>
        <v>89422</v>
      </c>
    </row>
    <row r="32221">
      <c r="A32221" s="48" t="s">
        <v>11538</v>
      </c>
      <c r="B32221" s="38">
        <v>61457.0</v>
      </c>
      <c r="C32221" s="38" t="s">
        <v>36518</v>
      </c>
      <c r="D32221" s="38" t="str">
        <f>IFERROR(__xludf.DUMMYFUNCTION("REGEXREPLACE(C32221,""-\d+(.*)|--\d+(.*)"","""")"),"SAINT-SYMPHORIEN-DES-BRUYERES")</f>
        <v>SAINT-SYMPHORIEN-DES-BRUYERES</v>
      </c>
      <c r="E32221" s="38" t="s">
        <v>141</v>
      </c>
      <c r="F32221" s="38" t="s">
        <v>138</v>
      </c>
      <c r="G32221" s="49" t="str">
        <f t="shared" si="1"/>
        <v>61300</v>
      </c>
      <c r="H32221" s="49">
        <f t="shared" si="2"/>
        <v>61457</v>
      </c>
    </row>
    <row r="32222">
      <c r="A32222" s="48" t="s">
        <v>1385</v>
      </c>
      <c r="B32222" s="38">
        <v>17003.0</v>
      </c>
      <c r="C32222" s="38" t="s">
        <v>36519</v>
      </c>
      <c r="D32222" s="38" t="str">
        <f>IFERROR(__xludf.DUMMYFUNCTION("REGEXREPLACE(C32222,""-\d+(.*)|--\d+(.*)"","""")"),"AIGREFEUILLE-D'AUNIS")</f>
        <v>AIGREFEUILLE-D'AUNIS</v>
      </c>
      <c r="E32222" s="38" t="s">
        <v>488</v>
      </c>
      <c r="F32222" s="38" t="s">
        <v>338</v>
      </c>
      <c r="G32222" s="49" t="str">
        <f t="shared" si="1"/>
        <v>17290</v>
      </c>
      <c r="H32222" s="49">
        <f t="shared" si="2"/>
        <v>17003</v>
      </c>
    </row>
    <row r="32223">
      <c r="A32223" s="48" t="s">
        <v>654</v>
      </c>
      <c r="B32223" s="38">
        <v>8502.0</v>
      </c>
      <c r="C32223" s="38" t="s">
        <v>36520</v>
      </c>
      <c r="D32223" s="38" t="str">
        <f>IFERROR(__xludf.DUMMYFUNCTION("REGEXREPLACE(C32223,""-\d+(.*)|--\d+(.*)"","""")"),"YONCQ")</f>
        <v>YONCQ</v>
      </c>
      <c r="E32223" s="38" t="s">
        <v>327</v>
      </c>
      <c r="F32223" s="38" t="s">
        <v>130</v>
      </c>
      <c r="G32223" s="49" t="str">
        <f t="shared" si="1"/>
        <v>08210</v>
      </c>
      <c r="H32223" s="49" t="str">
        <f t="shared" si="2"/>
        <v>08502</v>
      </c>
    </row>
    <row r="32224">
      <c r="A32224" s="48" t="s">
        <v>1495</v>
      </c>
      <c r="B32224" s="38">
        <v>33344.0</v>
      </c>
      <c r="C32224" s="38" t="s">
        <v>250</v>
      </c>
      <c r="D32224" s="38" t="str">
        <f>IFERROR(__xludf.DUMMYFUNCTION("REGEXREPLACE(C32224,""-\d+(.*)|--\d+(.*)"","""")"),"PUJOLS")</f>
        <v>PUJOLS</v>
      </c>
      <c r="E32224" s="38" t="s">
        <v>462</v>
      </c>
      <c r="F32224" s="38" t="s">
        <v>252</v>
      </c>
      <c r="G32224" s="49" t="str">
        <f t="shared" si="1"/>
        <v>33350</v>
      </c>
      <c r="H32224" s="49">
        <f t="shared" si="2"/>
        <v>33344</v>
      </c>
    </row>
    <row r="32225">
      <c r="A32225" s="48" t="s">
        <v>1677</v>
      </c>
      <c r="B32225" s="38">
        <v>59449.0</v>
      </c>
      <c r="C32225" s="38" t="s">
        <v>36521</v>
      </c>
      <c r="D32225" s="38" t="str">
        <f>IFERROR(__xludf.DUMMYFUNCTION("REGEXREPLACE(C32225,""-\d+(.*)|--\d+(.*)"","""")"),"ORCHIES")</f>
        <v>ORCHIES</v>
      </c>
      <c r="E32225" s="38" t="s">
        <v>85</v>
      </c>
      <c r="F32225" s="38" t="s">
        <v>86</v>
      </c>
      <c r="G32225" s="49" t="str">
        <f t="shared" si="1"/>
        <v>59310</v>
      </c>
      <c r="H32225" s="49">
        <f t="shared" si="2"/>
        <v>59449</v>
      </c>
    </row>
    <row r="32226">
      <c r="A32226" s="48" t="s">
        <v>1485</v>
      </c>
      <c r="B32226" s="38">
        <v>21186.0</v>
      </c>
      <c r="C32226" s="38" t="s">
        <v>36522</v>
      </c>
      <c r="D32226" s="38" t="str">
        <f>IFERROR(__xludf.DUMMYFUNCTION("REGEXREPLACE(C32226,""-\d+(.*)|--\d+(.*)"","""")"),"COMBLANCHIEN")</f>
        <v>COMBLANCHIEN</v>
      </c>
      <c r="E32226" s="38" t="s">
        <v>105</v>
      </c>
      <c r="F32226" s="38" t="s">
        <v>106</v>
      </c>
      <c r="G32226" s="49" t="str">
        <f t="shared" si="1"/>
        <v>21700</v>
      </c>
      <c r="H32226" s="49">
        <f t="shared" si="2"/>
        <v>21186</v>
      </c>
    </row>
    <row r="32227">
      <c r="A32227" s="48" t="s">
        <v>23382</v>
      </c>
      <c r="B32227" s="38">
        <v>43265.0</v>
      </c>
      <c r="C32227" s="38" t="s">
        <v>36523</v>
      </c>
      <c r="D32227" s="38" t="str">
        <f>IFERROR(__xludf.DUMMYFUNCTION("REGEXREPLACE(C32227,""-\d+(.*)|--\d+(.*)"","""")"),"LES VILLETTES")</f>
        <v>LES VILLETTES</v>
      </c>
      <c r="E32227" s="38" t="s">
        <v>332</v>
      </c>
      <c r="F32227" s="38" t="s">
        <v>161</v>
      </c>
      <c r="G32227" s="49" t="str">
        <f t="shared" si="1"/>
        <v>43600</v>
      </c>
      <c r="H32227" s="49">
        <f t="shared" si="2"/>
        <v>43265</v>
      </c>
    </row>
    <row r="32228">
      <c r="A32228" s="48" t="s">
        <v>333</v>
      </c>
      <c r="B32228" s="38">
        <v>43188.0</v>
      </c>
      <c r="C32228" s="38" t="s">
        <v>36524</v>
      </c>
      <c r="D32228" s="38" t="str">
        <f>IFERROR(__xludf.DUMMYFUNCTION("REGEXREPLACE(C32228,""-\d+(.*)|--\d+(.*)"","""")"),"SAINT-GEORGES-D'AURAC")</f>
        <v>SAINT-GEORGES-D'AURAC</v>
      </c>
      <c r="E32228" s="38" t="s">
        <v>332</v>
      </c>
      <c r="F32228" s="38" t="s">
        <v>161</v>
      </c>
      <c r="G32228" s="49" t="str">
        <f t="shared" si="1"/>
        <v>43230</v>
      </c>
      <c r="H32228" s="49">
        <f t="shared" si="2"/>
        <v>43188</v>
      </c>
    </row>
    <row r="32229">
      <c r="A32229" s="48" t="s">
        <v>36525</v>
      </c>
      <c r="B32229" s="38">
        <v>39300.0</v>
      </c>
      <c r="C32229" s="38" t="s">
        <v>36526</v>
      </c>
      <c r="D32229" s="38" t="str">
        <f>IFERROR(__xludf.DUMMYFUNCTION("REGEXREPLACE(C32229,""-\d+(.*)|--\d+(.*)"","""")"),"LONS-LE-SAUNIER")</f>
        <v>LONS-LE-SAUNIER</v>
      </c>
      <c r="E32229" s="38" t="s">
        <v>400</v>
      </c>
      <c r="F32229" s="38" t="s">
        <v>214</v>
      </c>
      <c r="G32229" s="49" t="str">
        <f t="shared" si="1"/>
        <v>39000</v>
      </c>
      <c r="H32229" s="49">
        <f t="shared" si="2"/>
        <v>39300</v>
      </c>
    </row>
    <row r="32230">
      <c r="A32230" s="48" t="s">
        <v>1089</v>
      </c>
      <c r="B32230" s="38">
        <v>67201.0</v>
      </c>
      <c r="C32230" s="38" t="s">
        <v>36527</v>
      </c>
      <c r="D32230" s="38" t="str">
        <f>IFERROR(__xludf.DUMMYFUNCTION("REGEXREPLACE(C32230,""-\d+(.*)|--\d+(.*)"","""")"),"HIRSCHLAND")</f>
        <v>HIRSCHLAND</v>
      </c>
      <c r="E32230" s="38" t="s">
        <v>210</v>
      </c>
      <c r="F32230" s="38" t="s">
        <v>151</v>
      </c>
      <c r="G32230" s="49" t="str">
        <f t="shared" si="1"/>
        <v>67320</v>
      </c>
      <c r="H32230" s="49">
        <f t="shared" si="2"/>
        <v>67201</v>
      </c>
    </row>
    <row r="32231">
      <c r="A32231" s="48" t="s">
        <v>4416</v>
      </c>
      <c r="B32231" s="38">
        <v>56123.0</v>
      </c>
      <c r="C32231" s="38" t="s">
        <v>36528</v>
      </c>
      <c r="D32231" s="38" t="str">
        <f>IFERROR(__xludf.DUMMYFUNCTION("REGEXREPLACE(C32231,""-\d+(.*)|--\d+(.*)"","""")"),"MALANSAC")</f>
        <v>MALANSAC</v>
      </c>
      <c r="E32231" s="38" t="s">
        <v>173</v>
      </c>
      <c r="F32231" s="38" t="s">
        <v>90</v>
      </c>
      <c r="G32231" s="49" t="str">
        <f t="shared" si="1"/>
        <v>56220</v>
      </c>
      <c r="H32231" s="49">
        <f t="shared" si="2"/>
        <v>56123</v>
      </c>
    </row>
    <row r="32232">
      <c r="A32232" s="48" t="s">
        <v>25654</v>
      </c>
      <c r="B32232" s="38">
        <v>58067.0</v>
      </c>
      <c r="C32232" s="38" t="s">
        <v>36529</v>
      </c>
      <c r="D32232" s="38" t="str">
        <f>IFERROR(__xludf.DUMMYFUNCTION("REGEXREPLACE(C32232,""-\d+(.*)|--\d+(.*)"","""")"),"CHAULGNES")</f>
        <v>CHAULGNES</v>
      </c>
      <c r="E32232" s="38" t="s">
        <v>219</v>
      </c>
      <c r="F32232" s="38" t="s">
        <v>106</v>
      </c>
      <c r="G32232" s="49" t="str">
        <f t="shared" si="1"/>
        <v>58400</v>
      </c>
      <c r="H32232" s="49">
        <f t="shared" si="2"/>
        <v>58067</v>
      </c>
    </row>
    <row r="32233">
      <c r="A32233" s="48" t="s">
        <v>15419</v>
      </c>
      <c r="B32233" s="38">
        <v>65379.0</v>
      </c>
      <c r="C32233" s="38" t="s">
        <v>30082</v>
      </c>
      <c r="D32233" s="38" t="str">
        <f>IFERROR(__xludf.DUMMYFUNCTION("REGEXREPLACE(C32233,""-\d+(.*)|--\d+(.*)"","""")"),"RIS")</f>
        <v>RIS</v>
      </c>
      <c r="E32233" s="38" t="s">
        <v>200</v>
      </c>
      <c r="F32233" s="38" t="s">
        <v>94</v>
      </c>
      <c r="G32233" s="49" t="str">
        <f t="shared" si="1"/>
        <v>65590</v>
      </c>
      <c r="H32233" s="49">
        <f t="shared" si="2"/>
        <v>65379</v>
      </c>
    </row>
    <row r="32234">
      <c r="A32234" s="48" t="s">
        <v>8810</v>
      </c>
      <c r="B32234" s="38">
        <v>63216.0</v>
      </c>
      <c r="C32234" s="38" t="s">
        <v>36530</v>
      </c>
      <c r="D32234" s="38" t="str">
        <f>IFERROR(__xludf.DUMMYFUNCTION("REGEXREPLACE(C32234,""-\d+(.*)|--\d+(.*)"","""")"),"MAUZUN")</f>
        <v>MAUZUN</v>
      </c>
      <c r="E32234" s="38" t="s">
        <v>353</v>
      </c>
      <c r="F32234" s="38" t="s">
        <v>161</v>
      </c>
      <c r="G32234" s="49" t="str">
        <f t="shared" si="1"/>
        <v>63160</v>
      </c>
      <c r="H32234" s="49">
        <f t="shared" si="2"/>
        <v>63216</v>
      </c>
    </row>
    <row r="32235">
      <c r="A32235" s="48" t="s">
        <v>36531</v>
      </c>
      <c r="B32235" s="38">
        <v>6060.0</v>
      </c>
      <c r="C32235" s="38" t="s">
        <v>36532</v>
      </c>
      <c r="D32235" s="38" t="str">
        <f>IFERROR(__xludf.DUMMYFUNCTION("REGEXREPLACE(C32235,""-\d+(.*)|--\d+(.*)"","""")"),"FALICON")</f>
        <v>FALICON</v>
      </c>
      <c r="E32235" s="38" t="s">
        <v>227</v>
      </c>
      <c r="F32235" s="38" t="s">
        <v>228</v>
      </c>
      <c r="G32235" s="49" t="str">
        <f t="shared" si="1"/>
        <v>06950</v>
      </c>
      <c r="H32235" s="49" t="str">
        <f t="shared" si="2"/>
        <v>06060</v>
      </c>
    </row>
    <row r="32236">
      <c r="A32236" s="48" t="s">
        <v>6323</v>
      </c>
      <c r="B32236" s="38">
        <v>50244.0</v>
      </c>
      <c r="C32236" s="38" t="s">
        <v>36533</v>
      </c>
      <c r="D32236" s="38" t="str">
        <f>IFERROR(__xludf.DUMMYFUNCTION("REGEXREPLACE(C32236,""-\d+(.*)|--\d+(.*)"","""")"),"HERENGUERVILLE")</f>
        <v>HERENGUERVILLE</v>
      </c>
      <c r="E32236" s="38" t="s">
        <v>157</v>
      </c>
      <c r="F32236" s="38" t="s">
        <v>138</v>
      </c>
      <c r="G32236" s="49" t="str">
        <f t="shared" si="1"/>
        <v>50660</v>
      </c>
      <c r="H32236" s="49">
        <f t="shared" si="2"/>
        <v>50244</v>
      </c>
    </row>
    <row r="32237">
      <c r="A32237" s="48" t="s">
        <v>4328</v>
      </c>
      <c r="B32237" s="38">
        <v>70393.0</v>
      </c>
      <c r="C32237" s="38" t="s">
        <v>36534</v>
      </c>
      <c r="D32237" s="38" t="str">
        <f>IFERROR(__xludf.DUMMYFUNCTION("REGEXREPLACE(C32237,""-\d+(.*)|--\d+(.*)"","""")"),"OISELAY-ET-GRACHAUX")</f>
        <v>OISELAY-ET-GRACHAUX</v>
      </c>
      <c r="E32237" s="38" t="s">
        <v>956</v>
      </c>
      <c r="F32237" s="38" t="s">
        <v>214</v>
      </c>
      <c r="G32237" s="49" t="str">
        <f t="shared" si="1"/>
        <v>70700</v>
      </c>
      <c r="H32237" s="49">
        <f t="shared" si="2"/>
        <v>70393</v>
      </c>
    </row>
    <row r="32238">
      <c r="A32238" s="48" t="s">
        <v>3208</v>
      </c>
      <c r="B32238" s="38">
        <v>80252.0</v>
      </c>
      <c r="C32238" s="38" t="s">
        <v>36535</v>
      </c>
      <c r="D32238" s="38" t="str">
        <f>IFERROR(__xludf.DUMMYFUNCTION("REGEXREPLACE(C32238,""-\d+(.*)|--\d+(.*)"","""")"),"DOUILLY")</f>
        <v>DOUILLY</v>
      </c>
      <c r="E32238" s="38" t="s">
        <v>224</v>
      </c>
      <c r="F32238" s="38" t="s">
        <v>113</v>
      </c>
      <c r="G32238" s="49" t="str">
        <f t="shared" si="1"/>
        <v>80400</v>
      </c>
      <c r="H32238" s="49">
        <f t="shared" si="2"/>
        <v>80252</v>
      </c>
    </row>
    <row r="32239">
      <c r="A32239" s="48" t="s">
        <v>3642</v>
      </c>
      <c r="B32239" s="38">
        <v>22013.0</v>
      </c>
      <c r="C32239" s="38" t="s">
        <v>36536</v>
      </c>
      <c r="D32239" s="38" t="str">
        <f>IFERROR(__xludf.DUMMYFUNCTION("REGEXREPLACE(C32239,""-\d+(.*)|--\d+(.*)"","""")"),"BOURBRIAC")</f>
        <v>BOURBRIAC</v>
      </c>
      <c r="E32239" s="38" t="s">
        <v>89</v>
      </c>
      <c r="F32239" s="38" t="s">
        <v>90</v>
      </c>
      <c r="G32239" s="49" t="str">
        <f t="shared" si="1"/>
        <v>22390</v>
      </c>
      <c r="H32239" s="49">
        <f t="shared" si="2"/>
        <v>22013</v>
      </c>
    </row>
    <row r="32240">
      <c r="A32240" s="48" t="s">
        <v>3050</v>
      </c>
      <c r="B32240" s="38">
        <v>11168.0</v>
      </c>
      <c r="C32240" s="38" t="s">
        <v>36537</v>
      </c>
      <c r="D32240" s="38" t="str">
        <f>IFERROR(__xludf.DUMMYFUNCTION("REGEXREPLACE(C32240,""-\d+(.*)|--\d+(.*)"","""")"),"GRANES")</f>
        <v>GRANES</v>
      </c>
      <c r="E32240" s="38" t="s">
        <v>278</v>
      </c>
      <c r="F32240" s="38" t="s">
        <v>119</v>
      </c>
      <c r="G32240" s="49" t="str">
        <f t="shared" si="1"/>
        <v>11500</v>
      </c>
      <c r="H32240" s="49">
        <f t="shared" si="2"/>
        <v>11168</v>
      </c>
    </row>
    <row r="32241">
      <c r="A32241" s="48" t="s">
        <v>18126</v>
      </c>
      <c r="B32241" s="38">
        <v>59025.0</v>
      </c>
      <c r="C32241" s="38" t="s">
        <v>36538</v>
      </c>
      <c r="D32241" s="38" t="str">
        <f>IFERROR(__xludf.DUMMYFUNCTION("REGEXREPLACE(C32241,""-\d+(.*)|--\d+(.*)"","""")"),"AUBERS")</f>
        <v>AUBERS</v>
      </c>
      <c r="E32241" s="38" t="s">
        <v>85</v>
      </c>
      <c r="F32241" s="38" t="s">
        <v>86</v>
      </c>
      <c r="G32241" s="49" t="str">
        <f t="shared" si="1"/>
        <v>59249</v>
      </c>
      <c r="H32241" s="49">
        <f t="shared" si="2"/>
        <v>59025</v>
      </c>
    </row>
    <row r="32242">
      <c r="A32242" s="48" t="s">
        <v>6781</v>
      </c>
      <c r="B32242" s="38">
        <v>56178.0</v>
      </c>
      <c r="C32242" s="38" t="s">
        <v>36539</v>
      </c>
      <c r="D32242" s="38" t="str">
        <f>IFERROR(__xludf.DUMMYFUNCTION("REGEXREPLACE(C32242,""-\d+(.*)|--\d+(.*)"","""")"),"PONTIVY")</f>
        <v>PONTIVY</v>
      </c>
      <c r="E32242" s="38" t="s">
        <v>173</v>
      </c>
      <c r="F32242" s="38" t="s">
        <v>90</v>
      </c>
      <c r="G32242" s="49" t="str">
        <f t="shared" si="1"/>
        <v>56300</v>
      </c>
      <c r="H32242" s="49">
        <f t="shared" si="2"/>
        <v>56178</v>
      </c>
    </row>
    <row r="32243">
      <c r="A32243" s="48" t="s">
        <v>26335</v>
      </c>
      <c r="B32243" s="38">
        <v>70120.0</v>
      </c>
      <c r="C32243" s="38" t="s">
        <v>19605</v>
      </c>
      <c r="D32243" s="38" t="str">
        <f>IFERROR(__xludf.DUMMYFUNCTION("REGEXREPLACE(C32243,""-\d+(.*)|--\d+(.*)"","""")"),"CHAMPAGNEY")</f>
        <v>CHAMPAGNEY</v>
      </c>
      <c r="E32243" s="38" t="s">
        <v>956</v>
      </c>
      <c r="F32243" s="38" t="s">
        <v>214</v>
      </c>
      <c r="G32243" s="49" t="str">
        <f t="shared" si="1"/>
        <v>70290</v>
      </c>
      <c r="H32243" s="49">
        <f t="shared" si="2"/>
        <v>70120</v>
      </c>
    </row>
    <row r="32244">
      <c r="A32244" s="48" t="s">
        <v>696</v>
      </c>
      <c r="B32244" s="38">
        <v>9235.0</v>
      </c>
      <c r="C32244" s="38" t="s">
        <v>36540</v>
      </c>
      <c r="D32244" s="38" t="str">
        <f>IFERROR(__xludf.DUMMYFUNCTION("REGEXREPLACE(C32244,""-\d+(.*)|--\d+(.*)"","""")"),"PRAT-BONREPAUX")</f>
        <v>PRAT-BONREPAUX</v>
      </c>
      <c r="E32244" s="38" t="s">
        <v>238</v>
      </c>
      <c r="F32244" s="38" t="s">
        <v>94</v>
      </c>
      <c r="G32244" s="49" t="str">
        <f t="shared" si="1"/>
        <v>09160</v>
      </c>
      <c r="H32244" s="49" t="str">
        <f t="shared" si="2"/>
        <v>09235</v>
      </c>
    </row>
    <row r="32245">
      <c r="A32245" s="48" t="s">
        <v>1930</v>
      </c>
      <c r="B32245" s="38">
        <v>28341.0</v>
      </c>
      <c r="C32245" s="38" t="s">
        <v>36541</v>
      </c>
      <c r="D32245" s="38" t="str">
        <f>IFERROR(__xludf.DUMMYFUNCTION("REGEXREPLACE(C32245,""-\d+(.*)|--\d+(.*)"","""")"),"SAINT-JEAN-DE-REBERVILLIERS")</f>
        <v>SAINT-JEAN-DE-REBERVILLIERS</v>
      </c>
      <c r="E32245" s="38" t="s">
        <v>300</v>
      </c>
      <c r="F32245" s="38" t="s">
        <v>123</v>
      </c>
      <c r="G32245" s="49" t="str">
        <f t="shared" si="1"/>
        <v>28170</v>
      </c>
      <c r="H32245" s="49">
        <f t="shared" si="2"/>
        <v>28341</v>
      </c>
    </row>
    <row r="32246">
      <c r="A32246" s="48" t="s">
        <v>576</v>
      </c>
      <c r="B32246" s="38">
        <v>54401.0</v>
      </c>
      <c r="C32246" s="38" t="s">
        <v>36542</v>
      </c>
      <c r="D32246" s="38" t="str">
        <f>IFERROR(__xludf.DUMMYFUNCTION("REGEXREPLACE(C32246,""-\d+(.*)|--\d+(.*)"","""")"),"NONHIGNY")</f>
        <v>NONHIGNY</v>
      </c>
      <c r="E32246" s="38" t="s">
        <v>548</v>
      </c>
      <c r="F32246" s="38" t="s">
        <v>195</v>
      </c>
      <c r="G32246" s="49" t="str">
        <f t="shared" si="1"/>
        <v>54450</v>
      </c>
      <c r="H32246" s="49">
        <f t="shared" si="2"/>
        <v>54401</v>
      </c>
    </row>
    <row r="32247">
      <c r="A32247" s="48" t="s">
        <v>1547</v>
      </c>
      <c r="B32247" s="38">
        <v>24503.0</v>
      </c>
      <c r="C32247" s="38" t="s">
        <v>36543</v>
      </c>
      <c r="D32247" s="38" t="str">
        <f>IFERROR(__xludf.DUMMYFUNCTION("REGEXREPLACE(C32247,""-\d+(.*)|--\d+(.*)"","""")"),"SAINT-SULPICE-DE-MAREUIL")</f>
        <v>SAINT-SULPICE-DE-MAREUIL</v>
      </c>
      <c r="E32247" s="38" t="s">
        <v>261</v>
      </c>
      <c r="F32247" s="38" t="s">
        <v>252</v>
      </c>
      <c r="G32247" s="49" t="str">
        <f t="shared" si="1"/>
        <v>24340</v>
      </c>
      <c r="H32247" s="49">
        <f t="shared" si="2"/>
        <v>24503</v>
      </c>
    </row>
    <row r="32248">
      <c r="A32248" s="48" t="s">
        <v>3928</v>
      </c>
      <c r="B32248" s="38">
        <v>78009.0</v>
      </c>
      <c r="C32248" s="38" t="s">
        <v>26934</v>
      </c>
      <c r="D32248" s="38" t="str">
        <f>IFERROR(__xludf.DUMMYFUNCTION("REGEXREPLACE(C32248,""-\d+(.*)|--\d+(.*)"","""")"),"ALLAINVILLE")</f>
        <v>ALLAINVILLE</v>
      </c>
      <c r="E32248" s="38" t="s">
        <v>362</v>
      </c>
      <c r="F32248" s="38" t="s">
        <v>245</v>
      </c>
      <c r="G32248" s="49" t="str">
        <f t="shared" si="1"/>
        <v>78660</v>
      </c>
      <c r="H32248" s="49">
        <f t="shared" si="2"/>
        <v>78009</v>
      </c>
    </row>
    <row r="32249">
      <c r="A32249" s="48" t="s">
        <v>28392</v>
      </c>
      <c r="B32249" s="38">
        <v>91634.0</v>
      </c>
      <c r="C32249" s="38" t="s">
        <v>36544</v>
      </c>
      <c r="D32249" s="38" t="str">
        <f>IFERROR(__xludf.DUMMYFUNCTION("REGEXREPLACE(C32249,""-\d+(.*)|--\d+(.*)"","""")"),"VAUGRIGNEUSE")</f>
        <v>VAUGRIGNEUSE</v>
      </c>
      <c r="E32249" s="38" t="s">
        <v>756</v>
      </c>
      <c r="F32249" s="38" t="s">
        <v>245</v>
      </c>
      <c r="G32249" s="49" t="str">
        <f t="shared" si="1"/>
        <v>91640</v>
      </c>
      <c r="H32249" s="49">
        <f t="shared" si="2"/>
        <v>91634</v>
      </c>
    </row>
    <row r="32250">
      <c r="A32250" s="48" t="s">
        <v>3339</v>
      </c>
      <c r="B32250" s="38">
        <v>67557.0</v>
      </c>
      <c r="C32250" s="38" t="s">
        <v>36545</v>
      </c>
      <c r="D32250" s="38" t="str">
        <f>IFERROR(__xludf.DUMMYFUNCTION("REGEXREPLACE(C32250,""-\d+(.*)|--\d+(.*)"","""")"),"ZELLWILLER")</f>
        <v>ZELLWILLER</v>
      </c>
      <c r="E32250" s="38" t="s">
        <v>210</v>
      </c>
      <c r="F32250" s="38" t="s">
        <v>151</v>
      </c>
      <c r="G32250" s="49" t="str">
        <f t="shared" si="1"/>
        <v>67140</v>
      </c>
      <c r="H32250" s="49">
        <f t="shared" si="2"/>
        <v>67557</v>
      </c>
    </row>
    <row r="32251">
      <c r="A32251" s="48" t="s">
        <v>3747</v>
      </c>
      <c r="B32251" s="38">
        <v>52394.0</v>
      </c>
      <c r="C32251" s="38" t="s">
        <v>36546</v>
      </c>
      <c r="D32251" s="38" t="str">
        <f>IFERROR(__xludf.DUMMYFUNCTION("REGEXREPLACE(C32251,""-\d+(.*)|--\d+(.*)"","""")"),"POINSON-LES-FAYL")</f>
        <v>POINSON-LES-FAYL</v>
      </c>
      <c r="E32251" s="38" t="s">
        <v>234</v>
      </c>
      <c r="F32251" s="38" t="s">
        <v>130</v>
      </c>
      <c r="G32251" s="49" t="str">
        <f t="shared" si="1"/>
        <v>52500</v>
      </c>
      <c r="H32251" s="49">
        <f t="shared" si="2"/>
        <v>52394</v>
      </c>
    </row>
    <row r="32252">
      <c r="A32252" s="48" t="s">
        <v>13594</v>
      </c>
      <c r="B32252" s="38">
        <v>59197.0</v>
      </c>
      <c r="C32252" s="38" t="s">
        <v>36547</v>
      </c>
      <c r="D32252" s="38" t="str">
        <f>IFERROR(__xludf.DUMMYFUNCTION("REGEXREPLACE(C32252,""-\d+(.*)|--\d+(.*)"","""")"),"ENNEVELIN")</f>
        <v>ENNEVELIN</v>
      </c>
      <c r="E32252" s="38" t="s">
        <v>85</v>
      </c>
      <c r="F32252" s="38" t="s">
        <v>86</v>
      </c>
      <c r="G32252" s="49" t="str">
        <f t="shared" si="1"/>
        <v>59710</v>
      </c>
      <c r="H32252" s="49">
        <f t="shared" si="2"/>
        <v>59197</v>
      </c>
    </row>
    <row r="32253">
      <c r="A32253" s="48" t="s">
        <v>25884</v>
      </c>
      <c r="B32253" s="38">
        <v>60102.0</v>
      </c>
      <c r="C32253" s="38" t="s">
        <v>36548</v>
      </c>
      <c r="D32253" s="38" t="str">
        <f>IFERROR(__xludf.DUMMYFUNCTION("REGEXREPLACE(C32253,""-\d+(.*)|--\d+(.*)"","""")"),"BRENOUILLE")</f>
        <v>BRENOUILLE</v>
      </c>
      <c r="E32253" s="38" t="s">
        <v>112</v>
      </c>
      <c r="F32253" s="38" t="s">
        <v>113</v>
      </c>
      <c r="G32253" s="49" t="str">
        <f t="shared" si="1"/>
        <v>60870</v>
      </c>
      <c r="H32253" s="49">
        <f t="shared" si="2"/>
        <v>60102</v>
      </c>
    </row>
    <row r="32254">
      <c r="A32254" s="48" t="s">
        <v>11659</v>
      </c>
      <c r="B32254" s="38">
        <v>59457.0</v>
      </c>
      <c r="C32254" s="38" t="s">
        <v>36549</v>
      </c>
      <c r="D32254" s="38" t="str">
        <f>IFERROR(__xludf.DUMMYFUNCTION("REGEXREPLACE(C32254,""-\d+(.*)|--\d+(.*)"","""")"),"PERENCHIES")</f>
        <v>PERENCHIES</v>
      </c>
      <c r="E32254" s="38" t="s">
        <v>85</v>
      </c>
      <c r="F32254" s="38" t="s">
        <v>86</v>
      </c>
      <c r="G32254" s="49" t="str">
        <f t="shared" si="1"/>
        <v>59840</v>
      </c>
      <c r="H32254" s="49">
        <f t="shared" si="2"/>
        <v>59457</v>
      </c>
    </row>
    <row r="32255">
      <c r="A32255" s="48" t="s">
        <v>4196</v>
      </c>
      <c r="B32255" s="38">
        <v>8170.0</v>
      </c>
      <c r="C32255" s="38" t="s">
        <v>36550</v>
      </c>
      <c r="D32255" s="38" t="str">
        <f>IFERROR(__xludf.DUMMYFUNCTION("REGEXREPLACE(C32255,""-\d+(.*)|--\d+(.*)"","""")"),"FLEIGNEUX")</f>
        <v>FLEIGNEUX</v>
      </c>
      <c r="E32255" s="38" t="s">
        <v>327</v>
      </c>
      <c r="F32255" s="38" t="s">
        <v>130</v>
      </c>
      <c r="G32255" s="49" t="str">
        <f t="shared" si="1"/>
        <v>08200</v>
      </c>
      <c r="H32255" s="49" t="str">
        <f t="shared" si="2"/>
        <v>08170</v>
      </c>
    </row>
    <row r="32256">
      <c r="A32256" s="48" t="s">
        <v>5111</v>
      </c>
      <c r="B32256" s="38">
        <v>47102.0</v>
      </c>
      <c r="C32256" s="38" t="s">
        <v>36551</v>
      </c>
      <c r="D32256" s="38" t="str">
        <f>IFERROR(__xludf.DUMMYFUNCTION("REGEXREPLACE(C32256,""-\d+(.*)|--\d+(.*)"","""")"),"FRANCESCAS")</f>
        <v>FRANCESCAS</v>
      </c>
      <c r="E32256" s="38" t="s">
        <v>251</v>
      </c>
      <c r="F32256" s="38" t="s">
        <v>252</v>
      </c>
      <c r="G32256" s="49" t="str">
        <f t="shared" si="1"/>
        <v>47600</v>
      </c>
      <c r="H32256" s="49">
        <f t="shared" si="2"/>
        <v>47102</v>
      </c>
    </row>
    <row r="32257">
      <c r="A32257" s="48" t="s">
        <v>3031</v>
      </c>
      <c r="B32257" s="38">
        <v>21490.0</v>
      </c>
      <c r="C32257" s="38" t="s">
        <v>36552</v>
      </c>
      <c r="D32257" s="38" t="str">
        <f>IFERROR(__xludf.DUMMYFUNCTION("REGEXREPLACE(C32257,""-\d+(.*)|--\d+(.*)"","""")"),"POISEUL-LA-VILLE-ET-LAPERRIERE")</f>
        <v>POISEUL-LA-VILLE-ET-LAPERRIERE</v>
      </c>
      <c r="E32257" s="38" t="s">
        <v>105</v>
      </c>
      <c r="F32257" s="38" t="s">
        <v>106</v>
      </c>
      <c r="G32257" s="49" t="str">
        <f t="shared" si="1"/>
        <v>21450</v>
      </c>
      <c r="H32257" s="49">
        <f t="shared" si="2"/>
        <v>21490</v>
      </c>
    </row>
    <row r="32258">
      <c r="A32258" s="48" t="s">
        <v>773</v>
      </c>
      <c r="B32258" s="38">
        <v>27397.0</v>
      </c>
      <c r="C32258" s="38" t="s">
        <v>36553</v>
      </c>
      <c r="D32258" s="38" t="str">
        <f>IFERROR(__xludf.DUMMYFUNCTION("REGEXREPLACE(C32258,""-\d+(.*)|--\d+(.*)"","""")"),"MENILLES")</f>
        <v>MENILLES</v>
      </c>
      <c r="E32258" s="38" t="s">
        <v>241</v>
      </c>
      <c r="F32258" s="38" t="s">
        <v>134</v>
      </c>
      <c r="G32258" s="49" t="str">
        <f t="shared" si="1"/>
        <v>27120</v>
      </c>
      <c r="H32258" s="49">
        <f t="shared" si="2"/>
        <v>27397</v>
      </c>
    </row>
    <row r="32259">
      <c r="A32259" s="48" t="s">
        <v>608</v>
      </c>
      <c r="B32259" s="38">
        <v>74140.0</v>
      </c>
      <c r="C32259" s="38" t="s">
        <v>36554</v>
      </c>
      <c r="D32259" s="38" t="str">
        <f>IFERROR(__xludf.DUMMYFUNCTION("REGEXREPLACE(C32259,""-\d+(.*)|--\d+(.*)"","""")"),"HABERE-POCHE")</f>
        <v>HABERE-POCHE</v>
      </c>
      <c r="E32259" s="38" t="s">
        <v>319</v>
      </c>
      <c r="F32259" s="38" t="s">
        <v>102</v>
      </c>
      <c r="G32259" s="49" t="str">
        <f t="shared" si="1"/>
        <v>74420</v>
      </c>
      <c r="H32259" s="49">
        <f t="shared" si="2"/>
        <v>74140</v>
      </c>
    </row>
    <row r="32260">
      <c r="A32260" s="48" t="s">
        <v>2116</v>
      </c>
      <c r="B32260" s="38">
        <v>26279.0</v>
      </c>
      <c r="C32260" s="38" t="s">
        <v>36555</v>
      </c>
      <c r="D32260" s="38" t="str">
        <f>IFERROR(__xludf.DUMMYFUNCTION("REGEXREPLACE(C32260,""-\d+(.*)|--\d+(.*)"","""")"),"LA ROCHETTE-DU-BUIS")</f>
        <v>LA ROCHETTE-DU-BUIS</v>
      </c>
      <c r="E32260" s="38" t="s">
        <v>126</v>
      </c>
      <c r="F32260" s="38" t="s">
        <v>102</v>
      </c>
      <c r="G32260" s="49" t="str">
        <f t="shared" si="1"/>
        <v>26170</v>
      </c>
      <c r="H32260" s="49">
        <f t="shared" si="2"/>
        <v>26279</v>
      </c>
    </row>
    <row r="32261">
      <c r="A32261" s="48" t="s">
        <v>4097</v>
      </c>
      <c r="B32261" s="38">
        <v>50293.0</v>
      </c>
      <c r="C32261" s="38" t="s">
        <v>6220</v>
      </c>
      <c r="D32261" s="38" t="str">
        <f>IFERROR(__xludf.DUMMYFUNCTION("REGEXREPLACE(C32261,""-\d+(.*)|--\d+(.*)"","""")"),"MARTIGNY")</f>
        <v>MARTIGNY</v>
      </c>
      <c r="E32261" s="38" t="s">
        <v>157</v>
      </c>
      <c r="F32261" s="38" t="s">
        <v>138</v>
      </c>
      <c r="G32261" s="49" t="str">
        <f t="shared" si="1"/>
        <v>50600</v>
      </c>
      <c r="H32261" s="49">
        <f t="shared" si="2"/>
        <v>50293</v>
      </c>
    </row>
    <row r="32262">
      <c r="A32262" s="48" t="s">
        <v>12997</v>
      </c>
      <c r="B32262" s="38">
        <v>65372.0</v>
      </c>
      <c r="C32262" s="38" t="s">
        <v>36556</v>
      </c>
      <c r="D32262" s="38" t="str">
        <f>IFERROR(__xludf.DUMMYFUNCTION("REGEXREPLACE(C32262,""-\d+(.*)|--\d+(.*)"","""")"),"PUJO")</f>
        <v>PUJO</v>
      </c>
      <c r="E32262" s="38" t="s">
        <v>200</v>
      </c>
      <c r="F32262" s="38" t="s">
        <v>94</v>
      </c>
      <c r="G32262" s="49" t="str">
        <f t="shared" si="1"/>
        <v>65500</v>
      </c>
      <c r="H32262" s="49">
        <f t="shared" si="2"/>
        <v>65372</v>
      </c>
    </row>
    <row r="32263">
      <c r="A32263" s="48" t="s">
        <v>1398</v>
      </c>
      <c r="B32263" s="38">
        <v>45209.0</v>
      </c>
      <c r="C32263" s="38" t="s">
        <v>36557</v>
      </c>
      <c r="D32263" s="38" t="str">
        <f>IFERROR(__xludf.DUMMYFUNCTION("REGEXREPLACE(C32263,""-\d+(.*)|--\d+(.*)"","""")"),"MONTBARROIS")</f>
        <v>MONTBARROIS</v>
      </c>
      <c r="E32263" s="38" t="s">
        <v>122</v>
      </c>
      <c r="F32263" s="38" t="s">
        <v>123</v>
      </c>
      <c r="G32263" s="49" t="str">
        <f t="shared" si="1"/>
        <v>45340</v>
      </c>
      <c r="H32263" s="49">
        <f t="shared" si="2"/>
        <v>45209</v>
      </c>
    </row>
    <row r="32264">
      <c r="A32264" s="48" t="s">
        <v>18589</v>
      </c>
      <c r="B32264" s="38">
        <v>7071.0</v>
      </c>
      <c r="C32264" s="38" t="s">
        <v>36558</v>
      </c>
      <c r="D32264" s="38" t="str">
        <f>IFERROR(__xludf.DUMMYFUNCTION("REGEXREPLACE(C32264,""-\d+(.*)|--\d+(.*)"","""")"),"COUCOURON")</f>
        <v>COUCOURON</v>
      </c>
      <c r="E32264" s="38" t="s">
        <v>144</v>
      </c>
      <c r="F32264" s="38" t="s">
        <v>102</v>
      </c>
      <c r="G32264" s="49" t="str">
        <f t="shared" si="1"/>
        <v>07470</v>
      </c>
      <c r="H32264" s="49" t="str">
        <f t="shared" si="2"/>
        <v>07071</v>
      </c>
    </row>
    <row r="32265">
      <c r="A32265" s="48" t="s">
        <v>32022</v>
      </c>
      <c r="B32265" s="38">
        <v>74219.0</v>
      </c>
      <c r="C32265" s="38" t="s">
        <v>36559</v>
      </c>
      <c r="D32265" s="38" t="str">
        <f>IFERROR(__xludf.DUMMYFUNCTION("REGEXREPLACE(C32265,""-\d+(.*)|--\d+(.*)"","""")"),"QUINTAL")</f>
        <v>QUINTAL</v>
      </c>
      <c r="E32265" s="38" t="s">
        <v>319</v>
      </c>
      <c r="F32265" s="38" t="s">
        <v>102</v>
      </c>
      <c r="G32265" s="49" t="str">
        <f t="shared" si="1"/>
        <v>74600</v>
      </c>
      <c r="H32265" s="49">
        <f t="shared" si="2"/>
        <v>74219</v>
      </c>
    </row>
    <row r="32266">
      <c r="A32266" s="48" t="s">
        <v>2332</v>
      </c>
      <c r="B32266" s="38">
        <v>81092.0</v>
      </c>
      <c r="C32266" s="38" t="s">
        <v>36560</v>
      </c>
      <c r="D32266" s="38" t="str">
        <f>IFERROR(__xludf.DUMMYFUNCTION("REGEXREPLACE(C32266,""-\d+(.*)|--\d+(.*)"","""")"),"FIAC")</f>
        <v>FIAC</v>
      </c>
      <c r="E32266" s="38" t="s">
        <v>231</v>
      </c>
      <c r="F32266" s="38" t="s">
        <v>94</v>
      </c>
      <c r="G32266" s="49" t="str">
        <f t="shared" si="1"/>
        <v>81500</v>
      </c>
      <c r="H32266" s="49">
        <f t="shared" si="2"/>
        <v>81092</v>
      </c>
    </row>
    <row r="32267">
      <c r="A32267" s="48" t="s">
        <v>856</v>
      </c>
      <c r="B32267" s="38">
        <v>43201.0</v>
      </c>
      <c r="C32267" s="38" t="s">
        <v>36561</v>
      </c>
      <c r="D32267" s="38" t="str">
        <f>IFERROR(__xludf.DUMMYFUNCTION("REGEXREPLACE(C32267,""-\d+(.*)|--\d+(.*)"","""")"),"SAINT-JULIEN-D'ANCE")</f>
        <v>SAINT-JULIEN-D'ANCE</v>
      </c>
      <c r="E32267" s="38" t="s">
        <v>332</v>
      </c>
      <c r="F32267" s="38" t="s">
        <v>161</v>
      </c>
      <c r="G32267" s="49" t="str">
        <f t="shared" si="1"/>
        <v>43500</v>
      </c>
      <c r="H32267" s="49">
        <f t="shared" si="2"/>
        <v>43201</v>
      </c>
    </row>
    <row r="32268">
      <c r="A32268" s="48" t="s">
        <v>5302</v>
      </c>
      <c r="B32268" s="38">
        <v>14279.0</v>
      </c>
      <c r="C32268" s="38" t="s">
        <v>36562</v>
      </c>
      <c r="D32268" s="38" t="str">
        <f>IFERROR(__xludf.DUMMYFUNCTION("REGEXREPLACE(C32268,""-\d+(.*)|--\d+(.*)"","""")"),"FONTENERMONT")</f>
        <v>FONTENERMONT</v>
      </c>
      <c r="E32268" s="38" t="s">
        <v>137</v>
      </c>
      <c r="F32268" s="38" t="s">
        <v>138</v>
      </c>
      <c r="G32268" s="49" t="str">
        <f t="shared" si="1"/>
        <v>14380</v>
      </c>
      <c r="H32268" s="49">
        <f t="shared" si="2"/>
        <v>14279</v>
      </c>
    </row>
    <row r="32269">
      <c r="A32269" s="48" t="s">
        <v>3621</v>
      </c>
      <c r="B32269" s="38">
        <v>52354.0</v>
      </c>
      <c r="C32269" s="38" t="s">
        <v>36563</v>
      </c>
      <c r="D32269" s="38" t="str">
        <f>IFERROR(__xludf.DUMMYFUNCTION("REGEXREPLACE(C32269,""-\d+(.*)|--\d+(.*)"","""")"),"NOIDANT-CHATENOY")</f>
        <v>NOIDANT-CHATENOY</v>
      </c>
      <c r="E32269" s="38" t="s">
        <v>234</v>
      </c>
      <c r="F32269" s="38" t="s">
        <v>130</v>
      </c>
      <c r="G32269" s="49" t="str">
        <f t="shared" si="1"/>
        <v>52600</v>
      </c>
      <c r="H32269" s="49">
        <f t="shared" si="2"/>
        <v>52354</v>
      </c>
    </row>
    <row r="32270">
      <c r="A32270" s="48" t="s">
        <v>6025</v>
      </c>
      <c r="B32270" s="38">
        <v>31315.0</v>
      </c>
      <c r="C32270" s="38" t="s">
        <v>3495</v>
      </c>
      <c r="D32270" s="38" t="str">
        <f>IFERROR(__xludf.DUMMYFUNCTION("REGEXREPLACE(C32270,""-\d+(.*)|--\d+(.*)"","""")"),"MANE")</f>
        <v>MANE</v>
      </c>
      <c r="E32270" s="38" t="s">
        <v>93</v>
      </c>
      <c r="F32270" s="38" t="s">
        <v>94</v>
      </c>
      <c r="G32270" s="49" t="str">
        <f t="shared" si="1"/>
        <v>31260</v>
      </c>
      <c r="H32270" s="49">
        <f t="shared" si="2"/>
        <v>31315</v>
      </c>
    </row>
    <row r="32271">
      <c r="A32271" s="48" t="s">
        <v>2340</v>
      </c>
      <c r="B32271" s="38">
        <v>21563.0</v>
      </c>
      <c r="C32271" s="38" t="s">
        <v>17924</v>
      </c>
      <c r="D32271" s="38" t="str">
        <f>IFERROR(__xludf.DUMMYFUNCTION("REGEXREPLACE(C32271,""-\d+(.*)|--\d+(.*)"","""")"),"SAINT-MESMIN")</f>
        <v>SAINT-MESMIN</v>
      </c>
      <c r="E32271" s="38" t="s">
        <v>105</v>
      </c>
      <c r="F32271" s="38" t="s">
        <v>106</v>
      </c>
      <c r="G32271" s="49" t="str">
        <f t="shared" si="1"/>
        <v>21540</v>
      </c>
      <c r="H32271" s="49">
        <f t="shared" si="2"/>
        <v>21563</v>
      </c>
    </row>
    <row r="32272">
      <c r="A32272" s="48" t="s">
        <v>3291</v>
      </c>
      <c r="B32272" s="38">
        <v>3297.0</v>
      </c>
      <c r="C32272" s="38" t="s">
        <v>36564</v>
      </c>
      <c r="D32272" s="38" t="str">
        <f>IFERROR(__xludf.DUMMYFUNCTION("REGEXREPLACE(C32272,""-\d+(.*)|--\d+(.*)"","""")"),"VALLON-EN-SULLY")</f>
        <v>VALLON-EN-SULLY</v>
      </c>
      <c r="E32272" s="38" t="s">
        <v>160</v>
      </c>
      <c r="F32272" s="38" t="s">
        <v>161</v>
      </c>
      <c r="G32272" s="49" t="str">
        <f t="shared" si="1"/>
        <v>03190</v>
      </c>
      <c r="H32272" s="49" t="str">
        <f t="shared" si="2"/>
        <v>03297</v>
      </c>
    </row>
    <row r="32273">
      <c r="A32273" s="48" t="s">
        <v>11592</v>
      </c>
      <c r="B32273" s="38">
        <v>68234.0</v>
      </c>
      <c r="C32273" s="38" t="s">
        <v>36565</v>
      </c>
      <c r="D32273" s="38" t="str">
        <f>IFERROR(__xludf.DUMMYFUNCTION("REGEXREPLACE(C32273,""-\d+(.*)|--\d+(.*)"","""")"),"NIEDERENTZEN")</f>
        <v>NIEDERENTZEN</v>
      </c>
      <c r="E32273" s="38" t="s">
        <v>150</v>
      </c>
      <c r="F32273" s="38" t="s">
        <v>151</v>
      </c>
      <c r="G32273" s="49" t="str">
        <f t="shared" si="1"/>
        <v>68127</v>
      </c>
      <c r="H32273" s="49">
        <f t="shared" si="2"/>
        <v>68234</v>
      </c>
    </row>
    <row r="32274">
      <c r="A32274" s="48" t="s">
        <v>36566</v>
      </c>
      <c r="B32274" s="38">
        <v>42218.0</v>
      </c>
      <c r="C32274" s="38" t="s">
        <v>36567</v>
      </c>
      <c r="D32274" s="38" t="str">
        <f>IFERROR(__xludf.DUMMYFUNCTION("REGEXREPLACE(C32274,""-\d+(.*)|--\d+(.*)"","""")"),"SAINT-ETIENNE")</f>
        <v>SAINT-ETIENNE</v>
      </c>
      <c r="E32274" s="38" t="s">
        <v>166</v>
      </c>
      <c r="F32274" s="38" t="s">
        <v>102</v>
      </c>
      <c r="G32274" s="49" t="str">
        <f t="shared" si="1"/>
        <v>42000/42100/42230</v>
      </c>
      <c r="H32274" s="49">
        <f t="shared" si="2"/>
        <v>42218</v>
      </c>
    </row>
    <row r="32275">
      <c r="A32275" s="48" t="s">
        <v>5565</v>
      </c>
      <c r="B32275" s="38">
        <v>63067.0</v>
      </c>
      <c r="C32275" s="38" t="s">
        <v>14018</v>
      </c>
      <c r="D32275" s="38" t="str">
        <f>IFERROR(__xludf.DUMMYFUNCTION("REGEXREPLACE(C32275,""-\d+(.*)|--\d+(.*)"","""")"),"LA CELLETTE")</f>
        <v>LA CELLETTE</v>
      </c>
      <c r="E32275" s="38" t="s">
        <v>353</v>
      </c>
      <c r="F32275" s="38" t="s">
        <v>161</v>
      </c>
      <c r="G32275" s="49" t="str">
        <f t="shared" si="1"/>
        <v>63330</v>
      </c>
      <c r="H32275" s="49">
        <f t="shared" si="2"/>
        <v>63067</v>
      </c>
    </row>
    <row r="32276">
      <c r="A32276" s="48" t="s">
        <v>2479</v>
      </c>
      <c r="B32276" s="38">
        <v>45112.0</v>
      </c>
      <c r="C32276" s="38" t="s">
        <v>36568</v>
      </c>
      <c r="D32276" s="38" t="str">
        <f>IFERROR(__xludf.DUMMYFUNCTION("REGEXREPLACE(C32276,""-\d+(.*)|--\d+(.*)"","""")"),"LA COUR-MARIGNY")</f>
        <v>LA COUR-MARIGNY</v>
      </c>
      <c r="E32276" s="38" t="s">
        <v>122</v>
      </c>
      <c r="F32276" s="38" t="s">
        <v>123</v>
      </c>
      <c r="G32276" s="49" t="str">
        <f t="shared" si="1"/>
        <v>45260</v>
      </c>
      <c r="H32276" s="49">
        <f t="shared" si="2"/>
        <v>45112</v>
      </c>
    </row>
    <row r="32277">
      <c r="A32277" s="48" t="s">
        <v>7786</v>
      </c>
      <c r="B32277" s="38">
        <v>8083.0</v>
      </c>
      <c r="C32277" s="38" t="s">
        <v>36569</v>
      </c>
      <c r="D32277" s="38" t="str">
        <f>IFERROR(__xludf.DUMMYFUNCTION("REGEXREPLACE(C32277,""-\d+(.*)|--\d+(.*)"","""")"),"BREVILLY")</f>
        <v>BREVILLY</v>
      </c>
      <c r="E32277" s="38" t="s">
        <v>327</v>
      </c>
      <c r="F32277" s="38" t="s">
        <v>130</v>
      </c>
      <c r="G32277" s="49" t="str">
        <f t="shared" si="1"/>
        <v>08140</v>
      </c>
      <c r="H32277" s="49" t="str">
        <f t="shared" si="2"/>
        <v>08083</v>
      </c>
    </row>
    <row r="32278">
      <c r="A32278" s="48" t="s">
        <v>13269</v>
      </c>
      <c r="B32278" s="38">
        <v>4237.0</v>
      </c>
      <c r="C32278" s="38" t="s">
        <v>3905</v>
      </c>
      <c r="D32278" s="38" t="str">
        <f>IFERROR(__xludf.DUMMYFUNCTION("REGEXREPLACE(C32278,""-\d+(.*)|--\d+(.*)"","""")"),"LE VERNET")</f>
        <v>LE VERNET</v>
      </c>
      <c r="E32278" s="38" t="s">
        <v>662</v>
      </c>
      <c r="F32278" s="38" t="s">
        <v>228</v>
      </c>
      <c r="G32278" s="49" t="str">
        <f t="shared" si="1"/>
        <v>04140</v>
      </c>
      <c r="H32278" s="49" t="str">
        <f t="shared" si="2"/>
        <v>04237</v>
      </c>
    </row>
    <row r="32279">
      <c r="A32279" s="48" t="s">
        <v>7874</v>
      </c>
      <c r="B32279" s="38">
        <v>40292.0</v>
      </c>
      <c r="C32279" s="38" t="s">
        <v>36570</v>
      </c>
      <c r="D32279" s="38" t="str">
        <f>IFERROR(__xludf.DUMMYFUNCTION("REGEXREPLACE(C32279,""-\d+(.*)|--\d+(.*)"","""")"),"SAUBRIGUES")</f>
        <v>SAUBRIGUES</v>
      </c>
      <c r="E32279" s="38" t="s">
        <v>281</v>
      </c>
      <c r="F32279" s="38" t="s">
        <v>252</v>
      </c>
      <c r="G32279" s="49" t="str">
        <f t="shared" si="1"/>
        <v>40230</v>
      </c>
      <c r="H32279" s="49">
        <f t="shared" si="2"/>
        <v>40292</v>
      </c>
    </row>
    <row r="32280">
      <c r="A32280" s="48" t="s">
        <v>186</v>
      </c>
      <c r="B32280" s="38">
        <v>41221.0</v>
      </c>
      <c r="C32280" s="38" t="s">
        <v>36571</v>
      </c>
      <c r="D32280" s="38" t="str">
        <f>IFERROR(__xludf.DUMMYFUNCTION("REGEXREPLACE(C32280,""-\d+(.*)|--\d+(.*)"","""")"),"SAINT-LEONARD-EN-BEAUCE")</f>
        <v>SAINT-LEONARD-EN-BEAUCE</v>
      </c>
      <c r="E32280" s="38" t="s">
        <v>188</v>
      </c>
      <c r="F32280" s="38" t="s">
        <v>123</v>
      </c>
      <c r="G32280" s="49" t="str">
        <f t="shared" si="1"/>
        <v>41370</v>
      </c>
      <c r="H32280" s="49">
        <f t="shared" si="2"/>
        <v>41221</v>
      </c>
    </row>
    <row r="32281">
      <c r="A32281" s="48" t="s">
        <v>24927</v>
      </c>
      <c r="B32281" s="38">
        <v>65410.0</v>
      </c>
      <c r="C32281" s="38" t="s">
        <v>36572</v>
      </c>
      <c r="D32281" s="38" t="str">
        <f>IFERROR(__xludf.DUMMYFUNCTION("REGEXREPLACE(C32281,""-\d+(.*)|--\d+(.*)"","""")"),"SARROUILLES")</f>
        <v>SARROUILLES</v>
      </c>
      <c r="E32281" s="38" t="s">
        <v>200</v>
      </c>
      <c r="F32281" s="38" t="s">
        <v>94</v>
      </c>
      <c r="G32281" s="49" t="str">
        <f t="shared" si="1"/>
        <v>65600</v>
      </c>
      <c r="H32281" s="49">
        <f t="shared" si="2"/>
        <v>65410</v>
      </c>
    </row>
    <row r="32282">
      <c r="A32282" s="48" t="s">
        <v>18007</v>
      </c>
      <c r="B32282" s="38">
        <v>81305.0</v>
      </c>
      <c r="C32282" s="38" t="s">
        <v>36573</v>
      </c>
      <c r="D32282" s="38" t="str">
        <f>IFERROR(__xludf.DUMMYFUNCTION("REGEXREPLACE(C32282,""-\d+(.*)|--\d+(.*)"","""")"),"VABRE")</f>
        <v>VABRE</v>
      </c>
      <c r="E32282" s="38" t="s">
        <v>231</v>
      </c>
      <c r="F32282" s="38" t="s">
        <v>94</v>
      </c>
      <c r="G32282" s="49" t="str">
        <f t="shared" si="1"/>
        <v>81330</v>
      </c>
      <c r="H32282" s="49">
        <f t="shared" si="2"/>
        <v>81305</v>
      </c>
    </row>
    <row r="32283">
      <c r="A32283" s="48" t="s">
        <v>1089</v>
      </c>
      <c r="B32283" s="38">
        <v>67133.0</v>
      </c>
      <c r="C32283" s="38" t="s">
        <v>36574</v>
      </c>
      <c r="D32283" s="38" t="str">
        <f>IFERROR(__xludf.DUMMYFUNCTION("REGEXREPLACE(C32283,""-\d+(.*)|--\d+(.*)"","""")"),"ESCHBOURG")</f>
        <v>ESCHBOURG</v>
      </c>
      <c r="E32283" s="38" t="s">
        <v>210</v>
      </c>
      <c r="F32283" s="38" t="s">
        <v>151</v>
      </c>
      <c r="G32283" s="49" t="str">
        <f t="shared" si="1"/>
        <v>67320</v>
      </c>
      <c r="H32283" s="49">
        <f t="shared" si="2"/>
        <v>67133</v>
      </c>
    </row>
    <row r="32284">
      <c r="A32284" s="48" t="s">
        <v>3892</v>
      </c>
      <c r="B32284" s="38">
        <v>42102.0</v>
      </c>
      <c r="C32284" s="38" t="s">
        <v>36575</v>
      </c>
      <c r="D32284" s="38" t="str">
        <f>IFERROR(__xludf.DUMMYFUNCTION("REGEXREPLACE(C32284,""-\d+(.*)|--\d+(.*)"","""")"),"GRAMMOND")</f>
        <v>GRAMMOND</v>
      </c>
      <c r="E32284" s="38" t="s">
        <v>166</v>
      </c>
      <c r="F32284" s="38" t="s">
        <v>102</v>
      </c>
      <c r="G32284" s="49" t="str">
        <f t="shared" si="1"/>
        <v>42140</v>
      </c>
      <c r="H32284" s="49">
        <f t="shared" si="2"/>
        <v>42102</v>
      </c>
    </row>
    <row r="32285">
      <c r="A32285" s="48" t="s">
        <v>3755</v>
      </c>
      <c r="B32285" s="38">
        <v>76718.0</v>
      </c>
      <c r="C32285" s="38" t="s">
        <v>36576</v>
      </c>
      <c r="D32285" s="38" t="str">
        <f>IFERROR(__xludf.DUMMYFUNCTION("REGEXREPLACE(C32285,""-\d+(.*)|--\d+(.*)"","""")"),"VALLIQUERVILLE")</f>
        <v>VALLIQUERVILLE</v>
      </c>
      <c r="E32285" s="38" t="s">
        <v>133</v>
      </c>
      <c r="F32285" s="38" t="s">
        <v>134</v>
      </c>
      <c r="G32285" s="49" t="str">
        <f t="shared" si="1"/>
        <v>76190</v>
      </c>
      <c r="H32285" s="49">
        <f t="shared" si="2"/>
        <v>76718</v>
      </c>
    </row>
    <row r="32286">
      <c r="A32286" s="48" t="s">
        <v>4358</v>
      </c>
      <c r="B32286" s="38">
        <v>1114.0</v>
      </c>
      <c r="C32286" s="38" t="s">
        <v>36577</v>
      </c>
      <c r="D32286" s="38" t="str">
        <f>IFERROR(__xludf.DUMMYFUNCTION("REGEXREPLACE(C32286,""-\d+(.*)|--\d+(.*)"","""")"),"CONFORT")</f>
        <v>CONFORT</v>
      </c>
      <c r="E32286" s="38" t="s">
        <v>255</v>
      </c>
      <c r="F32286" s="38" t="s">
        <v>102</v>
      </c>
      <c r="G32286" s="49" t="str">
        <f t="shared" si="1"/>
        <v>01200</v>
      </c>
      <c r="H32286" s="49" t="str">
        <f t="shared" si="2"/>
        <v>01114</v>
      </c>
    </row>
    <row r="32287">
      <c r="A32287" s="48" t="s">
        <v>25682</v>
      </c>
      <c r="B32287" s="38">
        <v>76446.0</v>
      </c>
      <c r="C32287" s="38" t="s">
        <v>5740</v>
      </c>
      <c r="D32287" s="38" t="str">
        <f>IFERROR(__xludf.DUMMYFUNCTION("REGEXREPLACE(C32287,""-\d+(.*)|--\d+(.*)"","""")"),"MONTIGNY")</f>
        <v>MONTIGNY</v>
      </c>
      <c r="E32287" s="38" t="s">
        <v>133</v>
      </c>
      <c r="F32287" s="38" t="s">
        <v>134</v>
      </c>
      <c r="G32287" s="49" t="str">
        <f t="shared" si="1"/>
        <v>76380</v>
      </c>
      <c r="H32287" s="49">
        <f t="shared" si="2"/>
        <v>76446</v>
      </c>
    </row>
    <row r="32288">
      <c r="A32288" s="48" t="s">
        <v>15237</v>
      </c>
      <c r="B32288" s="38">
        <v>4182.0</v>
      </c>
      <c r="C32288" s="38" t="s">
        <v>36578</v>
      </c>
      <c r="D32288" s="38" t="str">
        <f>IFERROR(__xludf.DUMMYFUNCTION("REGEXREPLACE(C32288,""-\d+(.*)|--\d+(.*)"","""")"),"SAINT-JULIEN-D'ASSE")</f>
        <v>SAINT-JULIEN-D'ASSE</v>
      </c>
      <c r="E32288" s="38" t="s">
        <v>662</v>
      </c>
      <c r="F32288" s="38" t="s">
        <v>228</v>
      </c>
      <c r="G32288" s="49" t="str">
        <f t="shared" si="1"/>
        <v>04270</v>
      </c>
      <c r="H32288" s="49" t="str">
        <f t="shared" si="2"/>
        <v>04182</v>
      </c>
    </row>
    <row r="32289">
      <c r="A32289" s="48" t="s">
        <v>5257</v>
      </c>
      <c r="B32289" s="38">
        <v>15139.0</v>
      </c>
      <c r="C32289" s="38" t="s">
        <v>36579</v>
      </c>
      <c r="D32289" s="38" t="str">
        <f>IFERROR(__xludf.DUMMYFUNCTION("REGEXREPLACE(C32289,""-\d+(.*)|--\d+(.*)"","""")"),"NARNHAC")</f>
        <v>NARNHAC</v>
      </c>
      <c r="E32289" s="38" t="s">
        <v>632</v>
      </c>
      <c r="F32289" s="38" t="s">
        <v>161</v>
      </c>
      <c r="G32289" s="49" t="str">
        <f t="shared" si="1"/>
        <v>15230</v>
      </c>
      <c r="H32289" s="49">
        <f t="shared" si="2"/>
        <v>15139</v>
      </c>
    </row>
    <row r="32290">
      <c r="A32290" s="48" t="s">
        <v>2328</v>
      </c>
      <c r="B32290" s="38">
        <v>57664.0</v>
      </c>
      <c r="C32290" s="38" t="s">
        <v>36580</v>
      </c>
      <c r="D32290" s="38" t="str">
        <f>IFERROR(__xludf.DUMMYFUNCTION("REGEXREPLACE(C32290,""-\d+(.*)|--\d+(.*)"","""")"),"TARQUIMPOL")</f>
        <v>TARQUIMPOL</v>
      </c>
      <c r="E32290" s="38" t="s">
        <v>303</v>
      </c>
      <c r="F32290" s="38" t="s">
        <v>195</v>
      </c>
      <c r="G32290" s="49" t="str">
        <f t="shared" si="1"/>
        <v>57260</v>
      </c>
      <c r="H32290" s="49">
        <f t="shared" si="2"/>
        <v>57664</v>
      </c>
    </row>
    <row r="32291">
      <c r="A32291" s="48" t="s">
        <v>4447</v>
      </c>
      <c r="B32291" s="38">
        <v>39267.0</v>
      </c>
      <c r="C32291" s="38" t="s">
        <v>36581</v>
      </c>
      <c r="D32291" s="38" t="str">
        <f>IFERROR(__xludf.DUMMYFUNCTION("REGEXREPLACE(C32291,""-\d+(.*)|--\d+(.*)"","""")"),"IVORY")</f>
        <v>IVORY</v>
      </c>
      <c r="E32291" s="38" t="s">
        <v>400</v>
      </c>
      <c r="F32291" s="38" t="s">
        <v>214</v>
      </c>
      <c r="G32291" s="49" t="str">
        <f t="shared" si="1"/>
        <v>39110</v>
      </c>
      <c r="H32291" s="49">
        <f t="shared" si="2"/>
        <v>39267</v>
      </c>
    </row>
    <row r="32292">
      <c r="A32292" s="48" t="s">
        <v>5612</v>
      </c>
      <c r="B32292" s="38">
        <v>52545.0</v>
      </c>
      <c r="C32292" s="38" t="s">
        <v>36582</v>
      </c>
      <c r="D32292" s="38" t="str">
        <f>IFERROR(__xludf.DUMMYFUNCTION("REGEXREPLACE(C32292,""-\d+(.*)|--\d+(.*)"","""")"),"VOISINES")</f>
        <v>VOISINES</v>
      </c>
      <c r="E32292" s="38" t="s">
        <v>234</v>
      </c>
      <c r="F32292" s="38" t="s">
        <v>130</v>
      </c>
      <c r="G32292" s="49" t="str">
        <f t="shared" si="1"/>
        <v>52200</v>
      </c>
      <c r="H32292" s="49">
        <f t="shared" si="2"/>
        <v>52545</v>
      </c>
    </row>
    <row r="32293">
      <c r="A32293" s="48" t="s">
        <v>1700</v>
      </c>
      <c r="B32293" s="38">
        <v>35148.0</v>
      </c>
      <c r="C32293" s="38" t="s">
        <v>36583</v>
      </c>
      <c r="D32293" s="38" t="str">
        <f>IFERROR(__xludf.DUMMYFUNCTION("REGEXREPLACE(C32293,""-\d+(.*)|--\d+(.*)"","""")"),"LANRIGAN")</f>
        <v>LANRIGAN</v>
      </c>
      <c r="E32293" s="38" t="s">
        <v>347</v>
      </c>
      <c r="F32293" s="38" t="s">
        <v>90</v>
      </c>
      <c r="G32293" s="49" t="str">
        <f t="shared" si="1"/>
        <v>35270</v>
      </c>
      <c r="H32293" s="49">
        <f t="shared" si="2"/>
        <v>35148</v>
      </c>
    </row>
    <row r="32294">
      <c r="A32294" s="48" t="s">
        <v>2619</v>
      </c>
      <c r="B32294" s="38">
        <v>71158.0</v>
      </c>
      <c r="C32294" s="38" t="s">
        <v>36584</v>
      </c>
      <c r="D32294" s="38" t="str">
        <f>IFERROR(__xludf.DUMMYFUNCTION("REGEXREPLACE(C32294,""-\d+(.*)|--\d+(.*)"","""")"),"CUISERY")</f>
        <v>CUISERY</v>
      </c>
      <c r="E32294" s="38" t="s">
        <v>344</v>
      </c>
      <c r="F32294" s="38" t="s">
        <v>106</v>
      </c>
      <c r="G32294" s="49" t="str">
        <f t="shared" si="1"/>
        <v>71290</v>
      </c>
      <c r="H32294" s="49">
        <f t="shared" si="2"/>
        <v>71158</v>
      </c>
    </row>
    <row r="32295">
      <c r="A32295" s="48" t="s">
        <v>5650</v>
      </c>
      <c r="B32295" s="38">
        <v>1274.0</v>
      </c>
      <c r="C32295" s="38" t="s">
        <v>36585</v>
      </c>
      <c r="D32295" s="38" t="str">
        <f>IFERROR(__xludf.DUMMYFUNCTION("REGEXREPLACE(C32295,""-\d+(.*)|--\d+(.*)"","""")"),"LES NEYROLLES")</f>
        <v>LES NEYROLLES</v>
      </c>
      <c r="E32295" s="38" t="s">
        <v>255</v>
      </c>
      <c r="F32295" s="38" t="s">
        <v>102</v>
      </c>
      <c r="G32295" s="49" t="str">
        <f t="shared" si="1"/>
        <v>01130</v>
      </c>
      <c r="H32295" s="49" t="str">
        <f t="shared" si="2"/>
        <v>01274</v>
      </c>
    </row>
    <row r="32296">
      <c r="A32296" s="48" t="s">
        <v>5525</v>
      </c>
      <c r="B32296" s="38">
        <v>10296.0</v>
      </c>
      <c r="C32296" s="38" t="s">
        <v>36586</v>
      </c>
      <c r="D32296" s="38" t="str">
        <f>IFERROR(__xludf.DUMMYFUNCTION("REGEXREPLACE(C32296,""-\d+(.*)|--\d+(.*)"","""")"),"POLISY")</f>
        <v>POLISY</v>
      </c>
      <c r="E32296" s="38" t="s">
        <v>147</v>
      </c>
      <c r="F32296" s="38" t="s">
        <v>130</v>
      </c>
      <c r="G32296" s="49" t="str">
        <f t="shared" si="1"/>
        <v>10110</v>
      </c>
      <c r="H32296" s="49">
        <f t="shared" si="2"/>
        <v>10296</v>
      </c>
    </row>
    <row r="32297">
      <c r="A32297" s="48" t="s">
        <v>5953</v>
      </c>
      <c r="B32297" s="38">
        <v>76619.0</v>
      </c>
      <c r="C32297" s="38" t="s">
        <v>36587</v>
      </c>
      <c r="D32297" s="38" t="str">
        <f>IFERROR(__xludf.DUMMYFUNCTION("REGEXREPLACE(C32297,""-\d+(.*)|--\d+(.*)"","""")"),"SAINT-MARTIN-LE-GAILLARD")</f>
        <v>SAINT-MARTIN-LE-GAILLARD</v>
      </c>
      <c r="E32297" s="38" t="s">
        <v>133</v>
      </c>
      <c r="F32297" s="38" t="s">
        <v>134</v>
      </c>
      <c r="G32297" s="49" t="str">
        <f t="shared" si="1"/>
        <v>76260</v>
      </c>
      <c r="H32297" s="49">
        <f t="shared" si="2"/>
        <v>76619</v>
      </c>
    </row>
    <row r="32298">
      <c r="A32298" s="48" t="s">
        <v>22972</v>
      </c>
      <c r="B32298" s="38">
        <v>81319.0</v>
      </c>
      <c r="C32298" s="38" t="s">
        <v>36588</v>
      </c>
      <c r="D32298" s="38" t="str">
        <f>IFERROR(__xludf.DUMMYFUNCTION("REGEXREPLACE(C32298,""-\d+(.*)|--\d+(.*)"","""")"),"VILLENEUVE-SUR-VERE")</f>
        <v>VILLENEUVE-SUR-VERE</v>
      </c>
      <c r="E32298" s="38" t="s">
        <v>231</v>
      </c>
      <c r="F32298" s="38" t="s">
        <v>94</v>
      </c>
      <c r="G32298" s="49" t="str">
        <f t="shared" si="1"/>
        <v>81130</v>
      </c>
      <c r="H32298" s="49">
        <f t="shared" si="2"/>
        <v>81319</v>
      </c>
    </row>
    <row r="32299">
      <c r="A32299" s="48" t="s">
        <v>36589</v>
      </c>
      <c r="B32299" s="38">
        <v>97419.0</v>
      </c>
      <c r="C32299" s="38" t="s">
        <v>3092</v>
      </c>
      <c r="D32299" s="38" t="str">
        <f>IFERROR(__xludf.DUMMYFUNCTION("REGEXREPLACE(C32299,""-\d+(.*)|--\d+(.*)"","""")"),"SAINTE-ROSE")</f>
        <v>SAINTE-ROSE</v>
      </c>
      <c r="E32299" s="38" t="s">
        <v>7739</v>
      </c>
      <c r="F32299" s="38" t="s">
        <v>7739</v>
      </c>
      <c r="G32299" s="49" t="str">
        <f t="shared" si="1"/>
        <v>97439</v>
      </c>
      <c r="H32299" s="49">
        <f t="shared" si="2"/>
        <v>97419</v>
      </c>
    </row>
    <row r="32300">
      <c r="A32300" s="48" t="s">
        <v>36590</v>
      </c>
      <c r="B32300" s="38">
        <v>97131.0</v>
      </c>
      <c r="C32300" s="38" t="s">
        <v>36591</v>
      </c>
      <c r="D32300" s="38" t="str">
        <f>IFERROR(__xludf.DUMMYFUNCTION("REGEXREPLACE(C32300,""-\d+(.*)|--\d+(.*)"","""")"),"TERRE-DE-HAUT")</f>
        <v>TERRE-DE-HAUT</v>
      </c>
      <c r="E32300" s="38" t="s">
        <v>2023</v>
      </c>
      <c r="F32300" s="38" t="s">
        <v>2023</v>
      </c>
      <c r="G32300" s="49" t="str">
        <f t="shared" si="1"/>
        <v>97137</v>
      </c>
      <c r="H32300" s="49">
        <f t="shared" si="2"/>
        <v>97131</v>
      </c>
    </row>
    <row r="32301">
      <c r="A32301" s="48" t="s">
        <v>2882</v>
      </c>
      <c r="B32301" s="38">
        <v>76130.0</v>
      </c>
      <c r="C32301" s="38" t="s">
        <v>36592</v>
      </c>
      <c r="D32301" s="38" t="str">
        <f>IFERROR(__xludf.DUMMYFUNCTION("REGEXREPLACE(C32301,""-\d+(.*)|--\d+(.*)"","""")"),"BOUELLES")</f>
        <v>BOUELLES</v>
      </c>
      <c r="E32301" s="38" t="s">
        <v>133</v>
      </c>
      <c r="F32301" s="38" t="s">
        <v>134</v>
      </c>
      <c r="G32301" s="49" t="str">
        <f t="shared" si="1"/>
        <v>76270</v>
      </c>
      <c r="H32301" s="49">
        <f t="shared" si="2"/>
        <v>76130</v>
      </c>
    </row>
    <row r="32302">
      <c r="A32302" s="48" t="s">
        <v>9967</v>
      </c>
      <c r="B32302" s="38">
        <v>35019.0</v>
      </c>
      <c r="C32302" s="38" t="s">
        <v>36593</v>
      </c>
      <c r="D32302" s="38" t="str">
        <f>IFERROR(__xludf.DUMMYFUNCTION("REGEXREPLACE(C32302,""-\d+(.*)|--\d+(.*)"","""")"),"BAZOUGES-LA-PEROUSE")</f>
        <v>BAZOUGES-LA-PEROUSE</v>
      </c>
      <c r="E32302" s="38" t="s">
        <v>347</v>
      </c>
      <c r="F32302" s="38" t="s">
        <v>90</v>
      </c>
      <c r="G32302" s="49" t="str">
        <f t="shared" si="1"/>
        <v>35560</v>
      </c>
      <c r="H32302" s="49">
        <f t="shared" si="2"/>
        <v>35019</v>
      </c>
    </row>
    <row r="32303">
      <c r="A32303" s="48" t="s">
        <v>601</v>
      </c>
      <c r="B32303" s="38">
        <v>51521.0</v>
      </c>
      <c r="C32303" s="38" t="s">
        <v>36594</v>
      </c>
      <c r="D32303" s="38" t="str">
        <f>IFERROR(__xludf.DUMMYFUNCTION("REGEXREPLACE(C32303,""-\d+(.*)|--\d+(.*)"","""")"),"SAINT-VRAIN")</f>
        <v>SAINT-VRAIN</v>
      </c>
      <c r="E32303" s="38" t="s">
        <v>129</v>
      </c>
      <c r="F32303" s="38" t="s">
        <v>130</v>
      </c>
      <c r="G32303" s="49" t="str">
        <f t="shared" si="1"/>
        <v>51340</v>
      </c>
      <c r="H32303" s="49">
        <f t="shared" si="2"/>
        <v>51521</v>
      </c>
    </row>
    <row r="32304">
      <c r="A32304" s="48" t="s">
        <v>2668</v>
      </c>
      <c r="B32304" s="38">
        <v>55167.0</v>
      </c>
      <c r="C32304" s="38" t="s">
        <v>36595</v>
      </c>
      <c r="D32304" s="38" t="str">
        <f>IFERROR(__xludf.DUMMYFUNCTION("REGEXREPLACE(C32304,""-\d+(.*)|--\d+(.*)"","""")"),"DUN-SUR-MEUSE")</f>
        <v>DUN-SUR-MEUSE</v>
      </c>
      <c r="E32304" s="38" t="s">
        <v>322</v>
      </c>
      <c r="F32304" s="38" t="s">
        <v>195</v>
      </c>
      <c r="G32304" s="49" t="str">
        <f t="shared" si="1"/>
        <v>55110</v>
      </c>
      <c r="H32304" s="49">
        <f t="shared" si="2"/>
        <v>55167</v>
      </c>
    </row>
    <row r="32305">
      <c r="A32305" s="48" t="s">
        <v>10433</v>
      </c>
      <c r="B32305" s="38">
        <v>46263.0</v>
      </c>
      <c r="C32305" s="38" t="s">
        <v>36596</v>
      </c>
      <c r="D32305" s="38" t="str">
        <f>IFERROR(__xludf.DUMMYFUNCTION("REGEXREPLACE(C32305,""-\d+(.*)|--\d+(.*)"","""")"),"SAINT-DAUNES")</f>
        <v>SAINT-DAUNES</v>
      </c>
      <c r="E32305" s="38" t="s">
        <v>185</v>
      </c>
      <c r="F32305" s="38" t="s">
        <v>94</v>
      </c>
      <c r="G32305" s="49" t="str">
        <f t="shared" si="1"/>
        <v>46800</v>
      </c>
      <c r="H32305" s="49">
        <f t="shared" si="2"/>
        <v>46263</v>
      </c>
    </row>
    <row r="32306">
      <c r="A32306" s="48" t="s">
        <v>266</v>
      </c>
      <c r="B32306" s="38">
        <v>64079.0</v>
      </c>
      <c r="C32306" s="38" t="s">
        <v>36597</v>
      </c>
      <c r="D32306" s="38" t="str">
        <f>IFERROR(__xludf.DUMMYFUNCTION("REGEXREPLACE(C32306,""-\d+(.*)|--\d+(.*)"","""")"),"AURIONS-IDERNES")</f>
        <v>AURIONS-IDERNES</v>
      </c>
      <c r="E32306" s="38" t="s">
        <v>268</v>
      </c>
      <c r="F32306" s="38" t="s">
        <v>252</v>
      </c>
      <c r="G32306" s="49" t="str">
        <f t="shared" si="1"/>
        <v>64350</v>
      </c>
      <c r="H32306" s="49">
        <f t="shared" si="2"/>
        <v>64079</v>
      </c>
    </row>
    <row r="32307">
      <c r="A32307" s="48" t="s">
        <v>13291</v>
      </c>
      <c r="B32307" s="38">
        <v>38370.0</v>
      </c>
      <c r="C32307" s="38" t="s">
        <v>36598</v>
      </c>
      <c r="D32307" s="38" t="str">
        <f>IFERROR(__xludf.DUMMYFUNCTION("REGEXREPLACE(C32307,""-\d+(.*)|--\d+(.*)"","""")"),"SAINT-BONNET-DE-CHAVAGNE")</f>
        <v>SAINT-BONNET-DE-CHAVAGNE</v>
      </c>
      <c r="E32307" s="38" t="s">
        <v>101</v>
      </c>
      <c r="F32307" s="38" t="s">
        <v>102</v>
      </c>
      <c r="G32307" s="49" t="str">
        <f t="shared" si="1"/>
        <v>38840</v>
      </c>
      <c r="H32307" s="49">
        <f t="shared" si="2"/>
        <v>38370</v>
      </c>
    </row>
    <row r="32308">
      <c r="A32308" s="48" t="s">
        <v>1518</v>
      </c>
      <c r="B32308" s="38">
        <v>88469.0</v>
      </c>
      <c r="C32308" s="38" t="s">
        <v>36599</v>
      </c>
      <c r="D32308" s="38" t="str">
        <f>IFERROR(__xludf.DUMMYFUNCTION("REGEXREPLACE(C32308,""-\d+(.*)|--\d+(.*)"","""")"),"THIRAUCOURT")</f>
        <v>THIRAUCOURT</v>
      </c>
      <c r="E32308" s="38" t="s">
        <v>194</v>
      </c>
      <c r="F32308" s="38" t="s">
        <v>195</v>
      </c>
      <c r="G32308" s="49" t="str">
        <f t="shared" si="1"/>
        <v>88500</v>
      </c>
      <c r="H32308" s="49">
        <f t="shared" si="2"/>
        <v>88469</v>
      </c>
    </row>
    <row r="32309">
      <c r="A32309" s="48" t="s">
        <v>5038</v>
      </c>
      <c r="B32309" s="38">
        <v>17359.0</v>
      </c>
      <c r="C32309" s="38" t="s">
        <v>13818</v>
      </c>
      <c r="D32309" s="38" t="str">
        <f>IFERROR(__xludf.DUMMYFUNCTION("REGEXREPLACE(C32309,""-\d+(.*)|--\d+(.*)"","""")"),"SAINT-MARD")</f>
        <v>SAINT-MARD</v>
      </c>
      <c r="E32309" s="38" t="s">
        <v>488</v>
      </c>
      <c r="F32309" s="38" t="s">
        <v>338</v>
      </c>
      <c r="G32309" s="49" t="str">
        <f t="shared" si="1"/>
        <v>17700</v>
      </c>
      <c r="H32309" s="49">
        <f t="shared" si="2"/>
        <v>17359</v>
      </c>
    </row>
    <row r="32310">
      <c r="A32310" s="48" t="s">
        <v>13577</v>
      </c>
      <c r="B32310" s="38">
        <v>21508.0</v>
      </c>
      <c r="C32310" s="38" t="s">
        <v>36600</v>
      </c>
      <c r="D32310" s="38" t="str">
        <f>IFERROR(__xludf.DUMMYFUNCTION("REGEXREPLACE(C32310,""-\d+(.*)|--\d+(.*)"","""")"),"PRENOIS")</f>
        <v>PRENOIS</v>
      </c>
      <c r="E32310" s="38" t="s">
        <v>105</v>
      </c>
      <c r="F32310" s="38" t="s">
        <v>106</v>
      </c>
      <c r="G32310" s="49" t="str">
        <f t="shared" si="1"/>
        <v>21370</v>
      </c>
      <c r="H32310" s="49">
        <f t="shared" si="2"/>
        <v>21508</v>
      </c>
    </row>
    <row r="32311">
      <c r="A32311" s="48" t="s">
        <v>17658</v>
      </c>
      <c r="B32311" s="38">
        <v>71520.0</v>
      </c>
      <c r="C32311" s="38" t="s">
        <v>36601</v>
      </c>
      <c r="D32311" s="38" t="str">
        <f>IFERROR(__xludf.DUMMYFUNCTION("REGEXREPLACE(C32311,""-\d+(.*)|--\d+(.*)"","""")"),"SEVREY")</f>
        <v>SEVREY</v>
      </c>
      <c r="E32311" s="38" t="s">
        <v>344</v>
      </c>
      <c r="F32311" s="38" t="s">
        <v>106</v>
      </c>
      <c r="G32311" s="49" t="str">
        <f t="shared" si="1"/>
        <v>71100</v>
      </c>
      <c r="H32311" s="49">
        <f t="shared" si="2"/>
        <v>71520</v>
      </c>
    </row>
    <row r="32312">
      <c r="A32312" s="48" t="s">
        <v>23348</v>
      </c>
      <c r="B32312" s="38" t="s">
        <v>36602</v>
      </c>
      <c r="C32312" s="38" t="s">
        <v>36603</v>
      </c>
      <c r="D32312" s="38" t="str">
        <f>IFERROR(__xludf.DUMMYFUNCTION("REGEXREPLACE(C32312,""-\d+(.*)|--\d+(.*)"","""")"),"CAGNANO")</f>
        <v>CAGNANO</v>
      </c>
      <c r="E32312" s="38" t="s">
        <v>743</v>
      </c>
      <c r="F32312" s="38" t="s">
        <v>607</v>
      </c>
      <c r="G32312" s="49" t="str">
        <f t="shared" si="1"/>
        <v>20228</v>
      </c>
      <c r="H32312" s="49" t="str">
        <f t="shared" si="2"/>
        <v>2B046</v>
      </c>
    </row>
    <row r="32313">
      <c r="A32313" s="48" t="s">
        <v>1986</v>
      </c>
      <c r="B32313" s="38">
        <v>79066.0</v>
      </c>
      <c r="C32313" s="38" t="s">
        <v>36604</v>
      </c>
      <c r="D32313" s="38" t="str">
        <f>IFERROR(__xludf.DUMMYFUNCTION("REGEXREPLACE(C32313,""-\d+(.*)|--\d+(.*)"","""")"),"CHAMPDENIERS-SAINT-DENIS")</f>
        <v>CHAMPDENIERS-SAINT-DENIS</v>
      </c>
      <c r="E32313" s="38" t="s">
        <v>337</v>
      </c>
      <c r="F32313" s="38" t="s">
        <v>338</v>
      </c>
      <c r="G32313" s="49" t="str">
        <f t="shared" si="1"/>
        <v>79220</v>
      </c>
      <c r="H32313" s="49">
        <f t="shared" si="2"/>
        <v>79066</v>
      </c>
    </row>
    <row r="32314">
      <c r="A32314" s="48" t="s">
        <v>2368</v>
      </c>
      <c r="B32314" s="38">
        <v>65064.0</v>
      </c>
      <c r="C32314" s="38" t="s">
        <v>36605</v>
      </c>
      <c r="D32314" s="38" t="str">
        <f>IFERROR(__xludf.DUMMYFUNCTION("REGEXREPLACE(C32314,""-\d+(.*)|--\d+(.*)"","""")"),"BAREILLES")</f>
        <v>BAREILLES</v>
      </c>
      <c r="E32314" s="38" t="s">
        <v>200</v>
      </c>
      <c r="F32314" s="38" t="s">
        <v>94</v>
      </c>
      <c r="G32314" s="49" t="str">
        <f t="shared" si="1"/>
        <v>65240</v>
      </c>
      <c r="H32314" s="49">
        <f t="shared" si="2"/>
        <v>65064</v>
      </c>
    </row>
    <row r="32315">
      <c r="A32315" s="48" t="s">
        <v>11703</v>
      </c>
      <c r="B32315" s="38">
        <v>16418.0</v>
      </c>
      <c r="C32315" s="38" t="s">
        <v>36606</v>
      </c>
      <c r="D32315" s="38" t="str">
        <f>IFERROR(__xludf.DUMMYFUNCTION("REGEXREPLACE(C32315,""-\d+(.*)|--\d+(.*)"","""")"),"VOEUIL-ET-GIGET")</f>
        <v>VOEUIL-ET-GIGET</v>
      </c>
      <c r="E32315" s="38" t="s">
        <v>429</v>
      </c>
      <c r="F32315" s="38" t="s">
        <v>338</v>
      </c>
      <c r="G32315" s="49" t="str">
        <f t="shared" si="1"/>
        <v>16400</v>
      </c>
      <c r="H32315" s="49">
        <f t="shared" si="2"/>
        <v>16418</v>
      </c>
    </row>
    <row r="32316">
      <c r="A32316" s="48" t="s">
        <v>29575</v>
      </c>
      <c r="B32316" s="38">
        <v>86088.0</v>
      </c>
      <c r="C32316" s="38" t="s">
        <v>36607</v>
      </c>
      <c r="D32316" s="38" t="str">
        <f>IFERROR(__xludf.DUMMYFUNCTION("REGEXREPLACE(C32316,""-\d+(.*)|--\d+(.*)"","""")"),"CROUTELLE")</f>
        <v>CROUTELLE</v>
      </c>
      <c r="E32316" s="38" t="s">
        <v>529</v>
      </c>
      <c r="F32316" s="38" t="s">
        <v>338</v>
      </c>
      <c r="G32316" s="49" t="str">
        <f t="shared" si="1"/>
        <v>86240</v>
      </c>
      <c r="H32316" s="49">
        <f t="shared" si="2"/>
        <v>86088</v>
      </c>
    </row>
    <row r="32317">
      <c r="A32317" s="48" t="s">
        <v>7423</v>
      </c>
      <c r="B32317" s="38">
        <v>22272.0</v>
      </c>
      <c r="C32317" s="38" t="s">
        <v>36608</v>
      </c>
      <c r="D32317" s="38" t="str">
        <f>IFERROR(__xludf.DUMMYFUNCTION("REGEXREPLACE(C32317,""-\d+(.*)|--\d+(.*)"","""")"),"SAINT-AGATHON")</f>
        <v>SAINT-AGATHON</v>
      </c>
      <c r="E32317" s="38" t="s">
        <v>89</v>
      </c>
      <c r="F32317" s="38" t="s">
        <v>90</v>
      </c>
      <c r="G32317" s="49" t="str">
        <f t="shared" si="1"/>
        <v>22200</v>
      </c>
      <c r="H32317" s="49">
        <f t="shared" si="2"/>
        <v>22272</v>
      </c>
    </row>
    <row r="32318">
      <c r="A32318" s="48" t="s">
        <v>7414</v>
      </c>
      <c r="B32318" s="38">
        <v>77357.0</v>
      </c>
      <c r="C32318" s="38" t="s">
        <v>36609</v>
      </c>
      <c r="D32318" s="38" t="str">
        <f>IFERROR(__xludf.DUMMYFUNCTION("REGEXREPLACE(C32318,""-\d+(.*)|--\d+(.*)"","""")"),"PECY")</f>
        <v>PECY</v>
      </c>
      <c r="E32318" s="38" t="s">
        <v>244</v>
      </c>
      <c r="F32318" s="38" t="s">
        <v>245</v>
      </c>
      <c r="G32318" s="49" t="str">
        <f t="shared" si="1"/>
        <v>77970</v>
      </c>
      <c r="H32318" s="49">
        <f t="shared" si="2"/>
        <v>77357</v>
      </c>
    </row>
    <row r="32319">
      <c r="A32319" s="48" t="s">
        <v>6278</v>
      </c>
      <c r="B32319" s="38">
        <v>3093.0</v>
      </c>
      <c r="C32319" s="38" t="s">
        <v>36610</v>
      </c>
      <c r="D32319" s="38" t="str">
        <f>IFERROR(__xludf.DUMMYFUNCTION("REGEXREPLACE(C32319,""-\d+(.*)|--\d+(.*)"","""")"),"CREUZIER-LE-NEUF")</f>
        <v>CREUZIER-LE-NEUF</v>
      </c>
      <c r="E32319" s="38" t="s">
        <v>160</v>
      </c>
      <c r="F32319" s="38" t="s">
        <v>161</v>
      </c>
      <c r="G32319" s="49" t="str">
        <f t="shared" si="1"/>
        <v>03300</v>
      </c>
      <c r="H32319" s="49" t="str">
        <f t="shared" si="2"/>
        <v>03093</v>
      </c>
    </row>
    <row r="32320">
      <c r="A32320" s="48" t="s">
        <v>586</v>
      </c>
      <c r="B32320" s="38">
        <v>67069.0</v>
      </c>
      <c r="C32320" s="38" t="s">
        <v>32004</v>
      </c>
      <c r="D32320" s="38" t="str">
        <f>IFERROR(__xludf.DUMMYFUNCTION("REGEXREPLACE(C32320,""-\d+(.*)|--\d+(.*)"","""")"),"BUHL")</f>
        <v>BUHL</v>
      </c>
      <c r="E32320" s="38" t="s">
        <v>210</v>
      </c>
      <c r="F32320" s="38" t="s">
        <v>151</v>
      </c>
      <c r="G32320" s="49" t="str">
        <f t="shared" si="1"/>
        <v>67470</v>
      </c>
      <c r="H32320" s="49">
        <f t="shared" si="2"/>
        <v>67069</v>
      </c>
    </row>
    <row r="32321">
      <c r="A32321" s="48" t="s">
        <v>14840</v>
      </c>
      <c r="B32321" s="38">
        <v>73315.0</v>
      </c>
      <c r="C32321" s="38" t="s">
        <v>36611</v>
      </c>
      <c r="D32321" s="38" t="str">
        <f>IFERROR(__xludf.DUMMYFUNCTION("REGEXREPLACE(C32321,""-\d+(.*)|--\d+(.*)"","""")"),"VILLARD-LEGER")</f>
        <v>VILLARD-LEGER</v>
      </c>
      <c r="E32321" s="38" t="s">
        <v>306</v>
      </c>
      <c r="F32321" s="38" t="s">
        <v>102</v>
      </c>
      <c r="G32321" s="49" t="str">
        <f t="shared" si="1"/>
        <v>73390</v>
      </c>
      <c r="H32321" s="49">
        <f t="shared" si="2"/>
        <v>73315</v>
      </c>
    </row>
    <row r="32322">
      <c r="A32322" s="48" t="s">
        <v>4384</v>
      </c>
      <c r="B32322" s="38">
        <v>41173.0</v>
      </c>
      <c r="C32322" s="38" t="s">
        <v>36612</v>
      </c>
      <c r="D32322" s="38" t="str">
        <f>IFERROR(__xludf.DUMMYFUNCTION("REGEXREPLACE(C32322,""-\d+(.*)|--\d+(.*)"","""")"),"OUZOUER-LE-MARCHE")</f>
        <v>OUZOUER-LE-MARCHE</v>
      </c>
      <c r="E32322" s="38" t="s">
        <v>188</v>
      </c>
      <c r="F32322" s="38" t="s">
        <v>123</v>
      </c>
      <c r="G32322" s="49" t="str">
        <f t="shared" si="1"/>
        <v>41240</v>
      </c>
      <c r="H32322" s="49">
        <f t="shared" si="2"/>
        <v>41173</v>
      </c>
    </row>
    <row r="32323">
      <c r="A32323" s="48" t="s">
        <v>4521</v>
      </c>
      <c r="B32323" s="38">
        <v>5012.0</v>
      </c>
      <c r="C32323" s="38" t="s">
        <v>36613</v>
      </c>
      <c r="D32323" s="38" t="str">
        <f>IFERROR(__xludf.DUMMYFUNCTION("REGEXREPLACE(C32323,""-\d+(.*)|--\d+(.*)"","""")"),"BARATIER")</f>
        <v>BARATIER</v>
      </c>
      <c r="E32323" s="38" t="s">
        <v>706</v>
      </c>
      <c r="F32323" s="38" t="s">
        <v>228</v>
      </c>
      <c r="G32323" s="49" t="str">
        <f t="shared" si="1"/>
        <v>05200</v>
      </c>
      <c r="H32323" s="49" t="str">
        <f t="shared" si="2"/>
        <v>05012</v>
      </c>
    </row>
    <row r="32324">
      <c r="A32324" s="48" t="s">
        <v>564</v>
      </c>
      <c r="B32324" s="38">
        <v>73042.0</v>
      </c>
      <c r="C32324" s="38" t="s">
        <v>36614</v>
      </c>
      <c r="D32324" s="38" t="str">
        <f>IFERROR(__xludf.DUMMYFUNCTION("REGEXREPLACE(C32324,""-\d+(.*)|--\d+(.*)"","""")"),"BILLIEME")</f>
        <v>BILLIEME</v>
      </c>
      <c r="E32324" s="38" t="s">
        <v>306</v>
      </c>
      <c r="F32324" s="38" t="s">
        <v>102</v>
      </c>
      <c r="G32324" s="49" t="str">
        <f t="shared" si="1"/>
        <v>73170</v>
      </c>
      <c r="H32324" s="49">
        <f t="shared" si="2"/>
        <v>73042</v>
      </c>
    </row>
    <row r="32325">
      <c r="A32325" s="48" t="s">
        <v>2170</v>
      </c>
      <c r="B32325" s="38">
        <v>80750.0</v>
      </c>
      <c r="C32325" s="38" t="s">
        <v>36615</v>
      </c>
      <c r="D32325" s="38" t="str">
        <f>IFERROR(__xludf.DUMMYFUNCTION("REGEXREPLACE(C32325,""-\d+(.*)|--\d+(.*)"","""")"),"TERTRY")</f>
        <v>TERTRY</v>
      </c>
      <c r="E32325" s="38" t="s">
        <v>224</v>
      </c>
      <c r="F32325" s="38" t="s">
        <v>113</v>
      </c>
      <c r="G32325" s="49" t="str">
        <f t="shared" si="1"/>
        <v>80200</v>
      </c>
      <c r="H32325" s="49">
        <f t="shared" si="2"/>
        <v>80750</v>
      </c>
    </row>
    <row r="32326">
      <c r="A32326" s="48" t="s">
        <v>330</v>
      </c>
      <c r="B32326" s="38">
        <v>43231.0</v>
      </c>
      <c r="C32326" s="38" t="s">
        <v>6428</v>
      </c>
      <c r="D32326" s="38" t="str">
        <f>IFERROR(__xludf.DUMMYFUNCTION("REGEXREPLACE(C32326,""-\d+(.*)|--\d+(.*)"","""")"),"SALETTES")</f>
        <v>SALETTES</v>
      </c>
      <c r="E32326" s="38" t="s">
        <v>332</v>
      </c>
      <c r="F32326" s="38" t="s">
        <v>161</v>
      </c>
      <c r="G32326" s="49" t="str">
        <f t="shared" si="1"/>
        <v>43150</v>
      </c>
      <c r="H32326" s="49">
        <f t="shared" si="2"/>
        <v>43231</v>
      </c>
    </row>
    <row r="32327">
      <c r="A32327" s="48" t="s">
        <v>1628</v>
      </c>
      <c r="B32327" s="38">
        <v>70143.0</v>
      </c>
      <c r="C32327" s="38" t="s">
        <v>36616</v>
      </c>
      <c r="D32327" s="38" t="str">
        <f>IFERROR(__xludf.DUMMYFUNCTION("REGEXREPLACE(C32327,""-\d+(.*)|--\d+(.*)"","""")"),"CHAUVIREY-LE-CHATEL")</f>
        <v>CHAUVIREY-LE-CHATEL</v>
      </c>
      <c r="E32327" s="38" t="s">
        <v>956</v>
      </c>
      <c r="F32327" s="38" t="s">
        <v>214</v>
      </c>
      <c r="G32327" s="49" t="str">
        <f t="shared" si="1"/>
        <v>70500</v>
      </c>
      <c r="H32327" s="49">
        <f t="shared" si="2"/>
        <v>70143</v>
      </c>
    </row>
    <row r="32328">
      <c r="A32328" s="48" t="s">
        <v>1665</v>
      </c>
      <c r="B32328" s="38">
        <v>22388.0</v>
      </c>
      <c r="C32328" s="38" t="s">
        <v>36617</v>
      </c>
      <c r="D32328" s="38" t="str">
        <f>IFERROR(__xludf.DUMMYFUNCTION("REGEXREPLACE(C32328,""-\d+(.*)|--\d+(.*)"","""")"),"VILDE-GUINGALAN")</f>
        <v>VILDE-GUINGALAN</v>
      </c>
      <c r="E32328" s="38" t="s">
        <v>89</v>
      </c>
      <c r="F32328" s="38" t="s">
        <v>90</v>
      </c>
      <c r="G32328" s="49" t="str">
        <f t="shared" si="1"/>
        <v>22980</v>
      </c>
      <c r="H32328" s="49">
        <f t="shared" si="2"/>
        <v>22388</v>
      </c>
    </row>
    <row r="32329">
      <c r="A32329" s="48" t="s">
        <v>15194</v>
      </c>
      <c r="B32329" s="38">
        <v>24004.0</v>
      </c>
      <c r="C32329" s="38" t="s">
        <v>36618</v>
      </c>
      <c r="D32329" s="38" t="str">
        <f>IFERROR(__xludf.DUMMYFUNCTION("REGEXREPLACE(C32329,""-\d+(.*)|--\d+(.*)"","""")"),"AJAT")</f>
        <v>AJAT</v>
      </c>
      <c r="E32329" s="38" t="s">
        <v>261</v>
      </c>
      <c r="F32329" s="38" t="s">
        <v>252</v>
      </c>
      <c r="G32329" s="49" t="str">
        <f t="shared" si="1"/>
        <v>24210</v>
      </c>
      <c r="H32329" s="49">
        <f t="shared" si="2"/>
        <v>24004</v>
      </c>
    </row>
    <row r="32330">
      <c r="A32330" s="48" t="s">
        <v>1128</v>
      </c>
      <c r="B32330" s="38">
        <v>2790.0</v>
      </c>
      <c r="C32330" s="38" t="s">
        <v>36619</v>
      </c>
      <c r="D32330" s="38" t="str">
        <f>IFERROR(__xludf.DUMMYFUNCTION("REGEXREPLACE(C32330,""-\d+(.*)|--\d+(.*)"","""")"),"VESLES-ET-CAUMONT")</f>
        <v>VESLES-ET-CAUMONT</v>
      </c>
      <c r="E32330" s="38" t="s">
        <v>191</v>
      </c>
      <c r="F32330" s="38" t="s">
        <v>113</v>
      </c>
      <c r="G32330" s="49" t="str">
        <f t="shared" si="1"/>
        <v>02350</v>
      </c>
      <c r="H32330" s="49" t="str">
        <f t="shared" si="2"/>
        <v>02790</v>
      </c>
    </row>
    <row r="32331">
      <c r="A32331" s="48" t="s">
        <v>36620</v>
      </c>
      <c r="B32331" s="38">
        <v>94053.0</v>
      </c>
      <c r="C32331" s="38" t="s">
        <v>36621</v>
      </c>
      <c r="D32331" s="38" t="str">
        <f>IFERROR(__xludf.DUMMYFUNCTION("REGEXREPLACE(C32331,""-\d+(.*)|--\d+(.*)"","""")"),"NOISEAU")</f>
        <v>NOISEAU</v>
      </c>
      <c r="E32331" s="38" t="s">
        <v>561</v>
      </c>
      <c r="F32331" s="38" t="s">
        <v>245</v>
      </c>
      <c r="G32331" s="49" t="str">
        <f t="shared" si="1"/>
        <v>94880</v>
      </c>
      <c r="H32331" s="49">
        <f t="shared" si="2"/>
        <v>94053</v>
      </c>
    </row>
    <row r="32332">
      <c r="A32332" s="48" t="s">
        <v>2029</v>
      </c>
      <c r="B32332" s="38">
        <v>50191.0</v>
      </c>
      <c r="C32332" s="38" t="s">
        <v>36622</v>
      </c>
      <c r="D32332" s="38" t="str">
        <f>IFERROR(__xludf.DUMMYFUNCTION("REGEXREPLACE(C32332,""-\d+(.*)|--\d+(.*)"","""")"),"FOUCARVILLE")</f>
        <v>FOUCARVILLE</v>
      </c>
      <c r="E32332" s="38" t="s">
        <v>157</v>
      </c>
      <c r="F32332" s="38" t="s">
        <v>138</v>
      </c>
      <c r="G32332" s="49" t="str">
        <f t="shared" si="1"/>
        <v>50480</v>
      </c>
      <c r="H32332" s="49">
        <f t="shared" si="2"/>
        <v>50191</v>
      </c>
    </row>
    <row r="32333">
      <c r="A32333" s="48" t="s">
        <v>394</v>
      </c>
      <c r="B32333" s="38">
        <v>41138.0</v>
      </c>
      <c r="C32333" s="38" t="s">
        <v>25680</v>
      </c>
      <c r="D32333" s="38" t="str">
        <f>IFERROR(__xludf.DUMMYFUNCTION("REGEXREPLACE(C32333,""-\d+(.*)|--\d+(.*)"","""")"),"MESLAY")</f>
        <v>MESLAY</v>
      </c>
      <c r="E32333" s="38" t="s">
        <v>188</v>
      </c>
      <c r="F32333" s="38" t="s">
        <v>123</v>
      </c>
      <c r="G32333" s="49" t="str">
        <f t="shared" si="1"/>
        <v>41100</v>
      </c>
      <c r="H32333" s="49">
        <f t="shared" si="2"/>
        <v>41138</v>
      </c>
    </row>
    <row r="32334">
      <c r="A32334" s="48" t="s">
        <v>1040</v>
      </c>
      <c r="B32334" s="38">
        <v>62835.0</v>
      </c>
      <c r="C32334" s="38" t="s">
        <v>36623</v>
      </c>
      <c r="D32334" s="38" t="str">
        <f>IFERROR(__xludf.DUMMYFUNCTION("REGEXREPLACE(C32334,""-\d+(.*)|--\d+(.*)"","""")"),"VALHUON")</f>
        <v>VALHUON</v>
      </c>
      <c r="E32334" s="38" t="s">
        <v>109</v>
      </c>
      <c r="F32334" s="38" t="s">
        <v>86</v>
      </c>
      <c r="G32334" s="49" t="str">
        <f t="shared" si="1"/>
        <v>62550</v>
      </c>
      <c r="H32334" s="49">
        <f t="shared" si="2"/>
        <v>62835</v>
      </c>
    </row>
    <row r="32335">
      <c r="A32335" s="48" t="s">
        <v>6504</v>
      </c>
      <c r="B32335" s="38">
        <v>24546.0</v>
      </c>
      <c r="C32335" s="38" t="s">
        <v>36624</v>
      </c>
      <c r="D32335" s="38" t="str">
        <f>IFERROR(__xludf.DUMMYFUNCTION("REGEXREPLACE(C32335,""-\d+(.*)|--\d+(.*)"","""")"),"TEMPLE-LAGUYON")</f>
        <v>TEMPLE-LAGUYON</v>
      </c>
      <c r="E32335" s="38" t="s">
        <v>261</v>
      </c>
      <c r="F32335" s="38" t="s">
        <v>252</v>
      </c>
      <c r="G32335" s="49" t="str">
        <f t="shared" si="1"/>
        <v>24390</v>
      </c>
      <c r="H32335" s="49">
        <f t="shared" si="2"/>
        <v>24546</v>
      </c>
    </row>
    <row r="32336">
      <c r="A32336" s="48" t="s">
        <v>5008</v>
      </c>
      <c r="B32336" s="38">
        <v>76226.0</v>
      </c>
      <c r="C32336" s="38" t="s">
        <v>36625</v>
      </c>
      <c r="D32336" s="38" t="str">
        <f>IFERROR(__xludf.DUMMYFUNCTION("REGEXREPLACE(C32336,""-\d+(.*)|--\d+(.*)"","""")"),"ECRETTEVILLE-SUR-MER")</f>
        <v>ECRETTEVILLE-SUR-MER</v>
      </c>
      <c r="E32336" s="38" t="s">
        <v>133</v>
      </c>
      <c r="F32336" s="38" t="s">
        <v>134</v>
      </c>
      <c r="G32336" s="49" t="str">
        <f t="shared" si="1"/>
        <v>76540</v>
      </c>
      <c r="H32336" s="49">
        <f t="shared" si="2"/>
        <v>76226</v>
      </c>
    </row>
    <row r="32337">
      <c r="A32337" s="48" t="s">
        <v>1054</v>
      </c>
      <c r="B32337" s="38">
        <v>46024.0</v>
      </c>
      <c r="C32337" s="38" t="s">
        <v>36626</v>
      </c>
      <c r="D32337" s="38" t="str">
        <f>IFERROR(__xludf.DUMMYFUNCTION("REGEXREPLACE(C32337,""-\d+(.*)|--\d+(.*)"","""")"),"BELMONT-BRETENOUX")</f>
        <v>BELMONT-BRETENOUX</v>
      </c>
      <c r="E32337" s="38" t="s">
        <v>185</v>
      </c>
      <c r="F32337" s="38" t="s">
        <v>94</v>
      </c>
      <c r="G32337" s="49" t="str">
        <f t="shared" si="1"/>
        <v>46130</v>
      </c>
      <c r="H32337" s="49">
        <f t="shared" si="2"/>
        <v>46024</v>
      </c>
    </row>
    <row r="32338">
      <c r="A32338" s="48" t="s">
        <v>2272</v>
      </c>
      <c r="B32338" s="38">
        <v>27092.0</v>
      </c>
      <c r="C32338" s="38" t="s">
        <v>36627</v>
      </c>
      <c r="D32338" s="38" t="str">
        <f>IFERROR(__xludf.DUMMYFUNCTION("REGEXREPLACE(C32338,""-\d+(.*)|--\d+(.*)"","""")"),"BOSGUERARD-DE-MARCOUVILLE")</f>
        <v>BOSGUERARD-DE-MARCOUVILLE</v>
      </c>
      <c r="E32338" s="38" t="s">
        <v>241</v>
      </c>
      <c r="F32338" s="38" t="s">
        <v>134</v>
      </c>
      <c r="G32338" s="49" t="str">
        <f t="shared" si="1"/>
        <v>27520</v>
      </c>
      <c r="H32338" s="49">
        <f t="shared" si="2"/>
        <v>27092</v>
      </c>
    </row>
    <row r="32339">
      <c r="A32339" s="48" t="s">
        <v>36628</v>
      </c>
      <c r="B32339" s="38">
        <v>77122.0</v>
      </c>
      <c r="C32339" s="38" t="s">
        <v>36629</v>
      </c>
      <c r="D32339" s="38" t="str">
        <f>IFERROR(__xludf.DUMMYFUNCTION("REGEXREPLACE(C32339,""-\d+(.*)|--\d+(.*)"","""")"),"COMBS-LA-VILLE")</f>
        <v>COMBS-LA-VILLE</v>
      </c>
      <c r="E32339" s="38" t="s">
        <v>244</v>
      </c>
      <c r="F32339" s="38" t="s">
        <v>245</v>
      </c>
      <c r="G32339" s="49" t="str">
        <f t="shared" si="1"/>
        <v>77380</v>
      </c>
      <c r="H32339" s="49">
        <f t="shared" si="2"/>
        <v>77122</v>
      </c>
    </row>
    <row r="32340">
      <c r="A32340" s="48" t="s">
        <v>1686</v>
      </c>
      <c r="B32340" s="38">
        <v>51298.0</v>
      </c>
      <c r="C32340" s="38" t="s">
        <v>36630</v>
      </c>
      <c r="D32340" s="38" t="str">
        <f>IFERROR(__xludf.DUMMYFUNCTION("REGEXREPLACE(C32340,""-\d+(.*)|--\d+(.*)"","""")"),"IGNY-COMBLIZY")</f>
        <v>IGNY-COMBLIZY</v>
      </c>
      <c r="E32340" s="38" t="s">
        <v>129</v>
      </c>
      <c r="F32340" s="38" t="s">
        <v>130</v>
      </c>
      <c r="G32340" s="49" t="str">
        <f t="shared" si="1"/>
        <v>51700</v>
      </c>
      <c r="H32340" s="49">
        <f t="shared" si="2"/>
        <v>51298</v>
      </c>
    </row>
    <row r="32341">
      <c r="A32341" s="48" t="s">
        <v>1274</v>
      </c>
      <c r="B32341" s="38">
        <v>33170.0</v>
      </c>
      <c r="C32341" s="38" t="s">
        <v>36631</v>
      </c>
      <c r="D32341" s="38" t="str">
        <f>IFERROR(__xludf.DUMMYFUNCTION("REGEXREPLACE(C32341,""-\d+(.*)|--\d+(.*)"","""")"),"FONTET")</f>
        <v>FONTET</v>
      </c>
      <c r="E32341" s="38" t="s">
        <v>462</v>
      </c>
      <c r="F32341" s="38" t="s">
        <v>252</v>
      </c>
      <c r="G32341" s="49" t="str">
        <f t="shared" si="1"/>
        <v>33190</v>
      </c>
      <c r="H32341" s="49">
        <f t="shared" si="2"/>
        <v>33170</v>
      </c>
    </row>
    <row r="32342">
      <c r="A32342" s="48" t="s">
        <v>2642</v>
      </c>
      <c r="B32342" s="38">
        <v>37080.0</v>
      </c>
      <c r="C32342" s="38" t="s">
        <v>36632</v>
      </c>
      <c r="D32342" s="38" t="str">
        <f>IFERROR(__xludf.DUMMYFUNCTION("REGEXREPLACE(C32342,""-\d+(.*)|--\d+(.*)"","""")"),"CIVRAY-SUR-ESVES")</f>
        <v>CIVRAY-SUR-ESVES</v>
      </c>
      <c r="E32342" s="38" t="s">
        <v>205</v>
      </c>
      <c r="F32342" s="38" t="s">
        <v>123</v>
      </c>
      <c r="G32342" s="49" t="str">
        <f t="shared" si="1"/>
        <v>37160</v>
      </c>
      <c r="H32342" s="49">
        <f t="shared" si="2"/>
        <v>37080</v>
      </c>
    </row>
    <row r="32343">
      <c r="A32343" s="48" t="s">
        <v>7129</v>
      </c>
      <c r="B32343" s="38">
        <v>15030.0</v>
      </c>
      <c r="C32343" s="38" t="s">
        <v>36633</v>
      </c>
      <c r="D32343" s="38" t="str">
        <f>IFERROR(__xludf.DUMMYFUNCTION("REGEXREPLACE(C32343,""-\d+(.*)|--\d+(.*)"","""")"),"CAYROLS")</f>
        <v>CAYROLS</v>
      </c>
      <c r="E32343" s="38" t="s">
        <v>632</v>
      </c>
      <c r="F32343" s="38" t="s">
        <v>161</v>
      </c>
      <c r="G32343" s="49" t="str">
        <f t="shared" si="1"/>
        <v>15290</v>
      </c>
      <c r="H32343" s="49">
        <f t="shared" si="2"/>
        <v>15030</v>
      </c>
    </row>
    <row r="32344">
      <c r="A32344" s="48" t="s">
        <v>2338</v>
      </c>
      <c r="B32344" s="38">
        <v>8197.0</v>
      </c>
      <c r="C32344" s="38" t="s">
        <v>36634</v>
      </c>
      <c r="D32344" s="38" t="str">
        <f>IFERROR(__xludf.DUMMYFUNCTION("REGEXREPLACE(C32344,""-\d+(.*)|--\d+(.*)"","""")"),"GRANDHAM")</f>
        <v>GRANDHAM</v>
      </c>
      <c r="E32344" s="38" t="s">
        <v>327</v>
      </c>
      <c r="F32344" s="38" t="s">
        <v>130</v>
      </c>
      <c r="G32344" s="49" t="str">
        <f t="shared" si="1"/>
        <v>08250</v>
      </c>
      <c r="H32344" s="49" t="str">
        <f t="shared" si="2"/>
        <v>08197</v>
      </c>
    </row>
    <row r="32345">
      <c r="A32345" s="48" t="s">
        <v>10657</v>
      </c>
      <c r="B32345" s="38">
        <v>50014.0</v>
      </c>
      <c r="C32345" s="38" t="s">
        <v>36635</v>
      </c>
      <c r="D32345" s="38" t="str">
        <f>IFERROR(__xludf.DUMMYFUNCTION("REGEXREPLACE(C32345,""-\d+(.*)|--\d+(.*)"","""")"),"ANNEVILLE-SUR-MER")</f>
        <v>ANNEVILLE-SUR-MER</v>
      </c>
      <c r="E32345" s="38" t="s">
        <v>157</v>
      </c>
      <c r="F32345" s="38" t="s">
        <v>138</v>
      </c>
      <c r="G32345" s="49" t="str">
        <f t="shared" si="1"/>
        <v>50560</v>
      </c>
      <c r="H32345" s="49">
        <f t="shared" si="2"/>
        <v>50014</v>
      </c>
    </row>
    <row r="32346">
      <c r="A32346" s="48" t="s">
        <v>1428</v>
      </c>
      <c r="B32346" s="38">
        <v>31218.0</v>
      </c>
      <c r="C32346" s="38" t="s">
        <v>36636</v>
      </c>
      <c r="D32346" s="38" t="str">
        <f>IFERROR(__xludf.DUMMYFUNCTION("REGEXREPLACE(C32346,""-\d+(.*)|--\d+(.*)"","""")"),"GENSAC-DE-BOULOGNE")</f>
        <v>GENSAC-DE-BOULOGNE</v>
      </c>
      <c r="E32346" s="38" t="s">
        <v>93</v>
      </c>
      <c r="F32346" s="38" t="s">
        <v>94</v>
      </c>
      <c r="G32346" s="49" t="str">
        <f t="shared" si="1"/>
        <v>31350</v>
      </c>
      <c r="H32346" s="49">
        <f t="shared" si="2"/>
        <v>31218</v>
      </c>
    </row>
    <row r="32347">
      <c r="A32347" s="48" t="s">
        <v>5631</v>
      </c>
      <c r="B32347" s="38">
        <v>76162.0</v>
      </c>
      <c r="C32347" s="38" t="s">
        <v>36637</v>
      </c>
      <c r="D32347" s="38" t="str">
        <f>IFERROR(__xludf.DUMMYFUNCTION("REGEXREPLACE(C32347,""-\d+(.*)|--\d+(.*)"","""")"),"LE CATELIER")</f>
        <v>LE CATELIER</v>
      </c>
      <c r="E32347" s="38" t="s">
        <v>133</v>
      </c>
      <c r="F32347" s="38" t="s">
        <v>134</v>
      </c>
      <c r="G32347" s="49" t="str">
        <f t="shared" si="1"/>
        <v>76590</v>
      </c>
      <c r="H32347" s="49">
        <f t="shared" si="2"/>
        <v>76162</v>
      </c>
    </row>
    <row r="32348">
      <c r="A32348" s="48" t="s">
        <v>21119</v>
      </c>
      <c r="B32348" s="38">
        <v>81070.0</v>
      </c>
      <c r="C32348" s="38" t="s">
        <v>36638</v>
      </c>
      <c r="D32348" s="38" t="str">
        <f>IFERROR(__xludf.DUMMYFUNCTION("REGEXREPLACE(C32348,""-\d+(.*)|--\d+(.*)"","""")"),"COUFOULEUX")</f>
        <v>COUFOULEUX</v>
      </c>
      <c r="E32348" s="38" t="s">
        <v>231</v>
      </c>
      <c r="F32348" s="38" t="s">
        <v>94</v>
      </c>
      <c r="G32348" s="49" t="str">
        <f t="shared" si="1"/>
        <v>81800</v>
      </c>
      <c r="H32348" s="49">
        <f t="shared" si="2"/>
        <v>81070</v>
      </c>
    </row>
    <row r="32349">
      <c r="A32349" s="48" t="s">
        <v>765</v>
      </c>
      <c r="B32349" s="38">
        <v>89451.0</v>
      </c>
      <c r="C32349" s="38" t="s">
        <v>36639</v>
      </c>
      <c r="D32349" s="38" t="str">
        <f>IFERROR(__xludf.DUMMYFUNCTION("REGEXREPLACE(C32349,""-\d+(.*)|--\d+(.*)"","""")"),"VILLECHETIVE")</f>
        <v>VILLECHETIVE</v>
      </c>
      <c r="E32349" s="38" t="s">
        <v>275</v>
      </c>
      <c r="F32349" s="38" t="s">
        <v>106</v>
      </c>
      <c r="G32349" s="49" t="str">
        <f t="shared" si="1"/>
        <v>89320</v>
      </c>
      <c r="H32349" s="49">
        <f t="shared" si="2"/>
        <v>89451</v>
      </c>
    </row>
    <row r="32350">
      <c r="A32350" s="48" t="s">
        <v>9871</v>
      </c>
      <c r="B32350" s="38">
        <v>22038.0</v>
      </c>
      <c r="C32350" s="38" t="s">
        <v>36640</v>
      </c>
      <c r="D32350" s="38" t="str">
        <f>IFERROR(__xludf.DUMMYFUNCTION("REGEXREPLACE(C32350,""-\d+(.*)|--\d+(.*)"","""")"),"CHATELAUDREN")</f>
        <v>CHATELAUDREN</v>
      </c>
      <c r="E32350" s="38" t="s">
        <v>89</v>
      </c>
      <c r="F32350" s="38" t="s">
        <v>90</v>
      </c>
      <c r="G32350" s="49" t="str">
        <f t="shared" si="1"/>
        <v>22170</v>
      </c>
      <c r="H32350" s="49">
        <f t="shared" si="2"/>
        <v>22038</v>
      </c>
    </row>
    <row r="32351">
      <c r="A32351" s="48" t="s">
        <v>4939</v>
      </c>
      <c r="B32351" s="38">
        <v>23173.0</v>
      </c>
      <c r="C32351" s="38" t="s">
        <v>36641</v>
      </c>
      <c r="D32351" s="38" t="str">
        <f>IFERROR(__xludf.DUMMYFUNCTION("REGEXREPLACE(C32351,""-\d+(.*)|--\d+(.*)"","""")"),"SOUBREBOST")</f>
        <v>SOUBREBOST</v>
      </c>
      <c r="E32351" s="38" t="s">
        <v>97</v>
      </c>
      <c r="F32351" s="38" t="s">
        <v>98</v>
      </c>
      <c r="G32351" s="49" t="str">
        <f t="shared" si="1"/>
        <v>23250</v>
      </c>
      <c r="H32351" s="49">
        <f t="shared" si="2"/>
        <v>23173</v>
      </c>
    </row>
    <row r="32352">
      <c r="A32352" s="48" t="s">
        <v>9376</v>
      </c>
      <c r="B32352" s="38">
        <v>14148.0</v>
      </c>
      <c r="C32352" s="38" t="s">
        <v>36642</v>
      </c>
      <c r="D32352" s="38" t="str">
        <f>IFERROR(__xludf.DUMMYFUNCTION("REGEXREPLACE(C32352,""-\d+(.*)|--\d+(.*)"","""")"),"CERQUEUX")</f>
        <v>CERQUEUX</v>
      </c>
      <c r="E32352" s="38" t="s">
        <v>137</v>
      </c>
      <c r="F32352" s="38" t="s">
        <v>138</v>
      </c>
      <c r="G32352" s="49" t="str">
        <f t="shared" si="1"/>
        <v>14290</v>
      </c>
      <c r="H32352" s="49">
        <f t="shared" si="2"/>
        <v>14148</v>
      </c>
    </row>
    <row r="32353">
      <c r="A32353" s="48" t="s">
        <v>19113</v>
      </c>
      <c r="B32353" s="38">
        <v>1457.0</v>
      </c>
      <c r="C32353" s="38" t="s">
        <v>36643</v>
      </c>
      <c r="D32353" s="38" t="str">
        <f>IFERROR(__xludf.DUMMYFUNCTION("REGEXREPLACE(C32353,""-\d+(.*)|--\d+(.*)"","""")"),"VONNAS")</f>
        <v>VONNAS</v>
      </c>
      <c r="E32353" s="38" t="s">
        <v>255</v>
      </c>
      <c r="F32353" s="38" t="s">
        <v>102</v>
      </c>
      <c r="G32353" s="49" t="str">
        <f t="shared" si="1"/>
        <v>01540</v>
      </c>
      <c r="H32353" s="49" t="str">
        <f t="shared" si="2"/>
        <v>01457</v>
      </c>
    </row>
    <row r="32354">
      <c r="A32354" s="48" t="s">
        <v>5461</v>
      </c>
      <c r="B32354" s="38">
        <v>86144.0</v>
      </c>
      <c r="C32354" s="38" t="s">
        <v>36644</v>
      </c>
      <c r="D32354" s="38" t="str">
        <f>IFERROR(__xludf.DUMMYFUNCTION("REGEXREPLACE(C32354,""-\d+(.*)|--\d+(.*)"","""")"),"MAISONNEUVE")</f>
        <v>MAISONNEUVE</v>
      </c>
      <c r="E32354" s="38" t="s">
        <v>529</v>
      </c>
      <c r="F32354" s="38" t="s">
        <v>338</v>
      </c>
      <c r="G32354" s="49" t="str">
        <f t="shared" si="1"/>
        <v>86170</v>
      </c>
      <c r="H32354" s="49">
        <f t="shared" si="2"/>
        <v>86144</v>
      </c>
    </row>
    <row r="32355">
      <c r="A32355" s="48" t="s">
        <v>1362</v>
      </c>
      <c r="B32355" s="38">
        <v>34217.0</v>
      </c>
      <c r="C32355" s="38" t="s">
        <v>36645</v>
      </c>
      <c r="D32355" s="38" t="str">
        <f>IFERROR(__xludf.DUMMYFUNCTION("REGEXREPLACE(C32355,""-\d+(.*)|--\d+(.*)"","""")"),"PRADES-LE-LEZ")</f>
        <v>PRADES-LE-LEZ</v>
      </c>
      <c r="E32355" s="38" t="s">
        <v>118</v>
      </c>
      <c r="F32355" s="38" t="s">
        <v>119</v>
      </c>
      <c r="G32355" s="49" t="str">
        <f t="shared" si="1"/>
        <v>34730</v>
      </c>
      <c r="H32355" s="49">
        <f t="shared" si="2"/>
        <v>34217</v>
      </c>
    </row>
    <row r="32356">
      <c r="A32356" s="48" t="s">
        <v>2326</v>
      </c>
      <c r="B32356" s="38">
        <v>54335.0</v>
      </c>
      <c r="C32356" s="38" t="s">
        <v>36646</v>
      </c>
      <c r="D32356" s="38" t="str">
        <f>IFERROR(__xludf.DUMMYFUNCTION("REGEXREPLACE(C32356,""-\d+(.*)|--\d+(.*)"","""")"),"MAIXE")</f>
        <v>MAIXE</v>
      </c>
      <c r="E32356" s="38" t="s">
        <v>548</v>
      </c>
      <c r="F32356" s="38" t="s">
        <v>195</v>
      </c>
      <c r="G32356" s="49" t="str">
        <f t="shared" si="1"/>
        <v>54370</v>
      </c>
      <c r="H32356" s="49">
        <f t="shared" si="2"/>
        <v>54335</v>
      </c>
    </row>
    <row r="32357">
      <c r="A32357" s="48" t="s">
        <v>970</v>
      </c>
      <c r="B32357" s="38">
        <v>2463.0</v>
      </c>
      <c r="C32357" s="38" t="s">
        <v>36647</v>
      </c>
      <c r="D32357" s="38" t="str">
        <f>IFERROR(__xludf.DUMMYFUNCTION("REGEXREPLACE(C32357,""-\d+(.*)|--\d+(.*)"","""")"),"MARFONTAINE")</f>
        <v>MARFONTAINE</v>
      </c>
      <c r="E32357" s="38" t="s">
        <v>191</v>
      </c>
      <c r="F32357" s="38" t="s">
        <v>113</v>
      </c>
      <c r="G32357" s="49" t="str">
        <f t="shared" si="1"/>
        <v>02140</v>
      </c>
      <c r="H32357" s="49" t="str">
        <f t="shared" si="2"/>
        <v>02463</v>
      </c>
    </row>
    <row r="32358">
      <c r="A32358" s="48" t="s">
        <v>6107</v>
      </c>
      <c r="B32358" s="38">
        <v>61196.0</v>
      </c>
      <c r="C32358" s="38" t="s">
        <v>36648</v>
      </c>
      <c r="D32358" s="38" t="str">
        <f>IFERROR(__xludf.DUMMYFUNCTION("REGEXREPLACE(C32358,""-\d+(.*)|--\d+(.*)"","""")"),"LE GUE-DE-LA-CHAINE")</f>
        <v>LE GUE-DE-LA-CHAINE</v>
      </c>
      <c r="E32358" s="38" t="s">
        <v>141</v>
      </c>
      <c r="F32358" s="38" t="s">
        <v>138</v>
      </c>
      <c r="G32358" s="49" t="str">
        <f t="shared" si="1"/>
        <v>61130</v>
      </c>
      <c r="H32358" s="49">
        <f t="shared" si="2"/>
        <v>61196</v>
      </c>
    </row>
    <row r="32359">
      <c r="A32359" s="48" t="s">
        <v>12195</v>
      </c>
      <c r="B32359" s="38">
        <v>22294.0</v>
      </c>
      <c r="C32359" s="38" t="s">
        <v>36649</v>
      </c>
      <c r="D32359" s="38" t="str">
        <f>IFERROR(__xludf.DUMMYFUNCTION("REGEXREPLACE(C32359,""-\d+(.*)|--\d+(.*)"","""")"),"SAINT-GILLES-PLIGEAUX")</f>
        <v>SAINT-GILLES-PLIGEAUX</v>
      </c>
      <c r="E32359" s="38" t="s">
        <v>89</v>
      </c>
      <c r="F32359" s="38" t="s">
        <v>90</v>
      </c>
      <c r="G32359" s="49" t="str">
        <f t="shared" si="1"/>
        <v>22480</v>
      </c>
      <c r="H32359" s="49">
        <f t="shared" si="2"/>
        <v>22294</v>
      </c>
    </row>
    <row r="32360">
      <c r="A32360" s="48" t="s">
        <v>3341</v>
      </c>
      <c r="B32360" s="38">
        <v>25464.0</v>
      </c>
      <c r="C32360" s="38" t="s">
        <v>36650</v>
      </c>
      <c r="D32360" s="38" t="str">
        <f>IFERROR(__xludf.DUMMYFUNCTION("REGEXREPLACE(C32360,""-\d+(.*)|--\d+(.*)"","""")"),"LES PONTETS")</f>
        <v>LES PONTETS</v>
      </c>
      <c r="E32360" s="38" t="s">
        <v>213</v>
      </c>
      <c r="F32360" s="38" t="s">
        <v>214</v>
      </c>
      <c r="G32360" s="49" t="str">
        <f t="shared" si="1"/>
        <v>25240</v>
      </c>
      <c r="H32360" s="49">
        <f t="shared" si="2"/>
        <v>25464</v>
      </c>
    </row>
    <row r="32361">
      <c r="A32361" s="48" t="s">
        <v>2575</v>
      </c>
      <c r="B32361" s="38">
        <v>91075.0</v>
      </c>
      <c r="C32361" s="38" t="s">
        <v>36651</v>
      </c>
      <c r="D32361" s="38" t="str">
        <f>IFERROR(__xludf.DUMMYFUNCTION("REGEXREPLACE(C32361,""-\d+(.*)|--\d+(.*)"","""")"),"BOIS-HERPIN")</f>
        <v>BOIS-HERPIN</v>
      </c>
      <c r="E32361" s="38" t="s">
        <v>756</v>
      </c>
      <c r="F32361" s="38" t="s">
        <v>245</v>
      </c>
      <c r="G32361" s="49" t="str">
        <f t="shared" si="1"/>
        <v>91150</v>
      </c>
      <c r="H32361" s="49">
        <f t="shared" si="2"/>
        <v>91075</v>
      </c>
    </row>
    <row r="32362">
      <c r="A32362" s="48" t="s">
        <v>16436</v>
      </c>
      <c r="B32362" s="38">
        <v>11052.0</v>
      </c>
      <c r="C32362" s="38" t="s">
        <v>36652</v>
      </c>
      <c r="D32362" s="38" t="str">
        <f>IFERROR(__xludf.DUMMYFUNCTION("REGEXREPLACE(C32362,""-\d+(.*)|--\d+(.*)"","""")"),"BROUSSES-ET-VILLARET")</f>
        <v>BROUSSES-ET-VILLARET</v>
      </c>
      <c r="E32362" s="38" t="s">
        <v>278</v>
      </c>
      <c r="F32362" s="38" t="s">
        <v>119</v>
      </c>
      <c r="G32362" s="49" t="str">
        <f t="shared" si="1"/>
        <v>11390</v>
      </c>
      <c r="H32362" s="49">
        <f t="shared" si="2"/>
        <v>11052</v>
      </c>
    </row>
    <row r="32363">
      <c r="A32363" s="48" t="s">
        <v>6613</v>
      </c>
      <c r="B32363" s="38">
        <v>61063.0</v>
      </c>
      <c r="C32363" s="38" t="s">
        <v>36653</v>
      </c>
      <c r="D32363" s="38" t="str">
        <f>IFERROR(__xludf.DUMMYFUNCTION("REGEXREPLACE(C32363,""-\d+(.*)|--\d+(.*)"","""")"),"BRIOUZE")</f>
        <v>BRIOUZE</v>
      </c>
      <c r="E32363" s="38" t="s">
        <v>141</v>
      </c>
      <c r="F32363" s="38" t="s">
        <v>138</v>
      </c>
      <c r="G32363" s="49" t="str">
        <f t="shared" si="1"/>
        <v>61220</v>
      </c>
      <c r="H32363" s="49">
        <f t="shared" si="2"/>
        <v>61063</v>
      </c>
    </row>
    <row r="32364">
      <c r="A32364" s="48" t="s">
        <v>5235</v>
      </c>
      <c r="B32364" s="38">
        <v>61434.0</v>
      </c>
      <c r="C32364" s="38" t="s">
        <v>36654</v>
      </c>
      <c r="D32364" s="38" t="str">
        <f>IFERROR(__xludf.DUMMYFUNCTION("REGEXREPLACE(C32364,""-\d+(.*)|--\d+(.*)"","""")"),"SAINT-NICOLAS-DES-LAITIERS")</f>
        <v>SAINT-NICOLAS-DES-LAITIERS</v>
      </c>
      <c r="E32364" s="38" t="s">
        <v>141</v>
      </c>
      <c r="F32364" s="38" t="s">
        <v>138</v>
      </c>
      <c r="G32364" s="49" t="str">
        <f t="shared" si="1"/>
        <v>61550</v>
      </c>
      <c r="H32364" s="49">
        <f t="shared" si="2"/>
        <v>61434</v>
      </c>
    </row>
    <row r="32365">
      <c r="A32365" s="48" t="s">
        <v>32610</v>
      </c>
      <c r="B32365" s="38">
        <v>84087.0</v>
      </c>
      <c r="C32365" s="38" t="s">
        <v>36655</v>
      </c>
      <c r="D32365" s="38" t="str">
        <f>IFERROR(__xludf.DUMMYFUNCTION("REGEXREPLACE(C32365,""-\d+(.*)|--\d+(.*)"","""")"),"ORANGE")</f>
        <v>ORANGE</v>
      </c>
      <c r="E32365" s="38" t="s">
        <v>1026</v>
      </c>
      <c r="F32365" s="38" t="s">
        <v>228</v>
      </c>
      <c r="G32365" s="49" t="str">
        <f t="shared" si="1"/>
        <v>84100</v>
      </c>
      <c r="H32365" s="49">
        <f t="shared" si="2"/>
        <v>84087</v>
      </c>
    </row>
    <row r="32366">
      <c r="A32366" s="48" t="s">
        <v>4820</v>
      </c>
      <c r="B32366" s="38">
        <v>7198.0</v>
      </c>
      <c r="C32366" s="38" t="s">
        <v>36656</v>
      </c>
      <c r="D32366" s="38" t="str">
        <f>IFERROR(__xludf.DUMMYFUNCTION("REGEXREPLACE(C32366,""-\d+(.*)|--\d+(.*)"","""")"),"ROMPON")</f>
        <v>ROMPON</v>
      </c>
      <c r="E32366" s="38" t="s">
        <v>144</v>
      </c>
      <c r="F32366" s="38" t="s">
        <v>102</v>
      </c>
      <c r="G32366" s="49" t="str">
        <f t="shared" si="1"/>
        <v>07250</v>
      </c>
      <c r="H32366" s="49" t="str">
        <f t="shared" si="2"/>
        <v>07198</v>
      </c>
    </row>
    <row r="32367">
      <c r="A32367" s="48" t="s">
        <v>507</v>
      </c>
      <c r="B32367" s="38">
        <v>8458.0</v>
      </c>
      <c r="C32367" s="38" t="s">
        <v>36657</v>
      </c>
      <c r="D32367" s="38" t="str">
        <f>IFERROR(__xludf.DUMMYFUNCTION("REGEXREPLACE(C32367,""-\d+(.*)|--\d+(.*)"","""")"),"TOURTERON")</f>
        <v>TOURTERON</v>
      </c>
      <c r="E32367" s="38" t="s">
        <v>327</v>
      </c>
      <c r="F32367" s="38" t="s">
        <v>130</v>
      </c>
      <c r="G32367" s="49" t="str">
        <f t="shared" si="1"/>
        <v>08130</v>
      </c>
      <c r="H32367" s="49" t="str">
        <f t="shared" si="2"/>
        <v>08458</v>
      </c>
    </row>
    <row r="32368">
      <c r="A32368" s="48" t="s">
        <v>36658</v>
      </c>
      <c r="B32368" s="38">
        <v>51055.0</v>
      </c>
      <c r="C32368" s="38" t="s">
        <v>36659</v>
      </c>
      <c r="D32368" s="38" t="str">
        <f>IFERROR(__xludf.DUMMYFUNCTION("REGEXREPLACE(C32368,""-\d+(.*)|--\d+(.*)"","""")"),"BETHENY")</f>
        <v>BETHENY</v>
      </c>
      <c r="E32368" s="38" t="s">
        <v>129</v>
      </c>
      <c r="F32368" s="38" t="s">
        <v>130</v>
      </c>
      <c r="G32368" s="49" t="str">
        <f t="shared" si="1"/>
        <v>51450</v>
      </c>
      <c r="H32368" s="49">
        <f t="shared" si="2"/>
        <v>51055</v>
      </c>
    </row>
    <row r="32369">
      <c r="A32369" s="48" t="s">
        <v>13739</v>
      </c>
      <c r="B32369" s="38">
        <v>72129.0</v>
      </c>
      <c r="C32369" s="38" t="s">
        <v>36660</v>
      </c>
      <c r="D32369" s="38" t="str">
        <f>IFERROR(__xludf.DUMMYFUNCTION("REGEXREPLACE(C32369,""-\d+(.*)|--\d+(.*)"","""")"),"FATINES")</f>
        <v>FATINES</v>
      </c>
      <c r="E32369" s="38" t="s">
        <v>521</v>
      </c>
      <c r="F32369" s="38" t="s">
        <v>180</v>
      </c>
      <c r="G32369" s="49" t="str">
        <f t="shared" si="1"/>
        <v>72470</v>
      </c>
      <c r="H32369" s="49">
        <f t="shared" si="2"/>
        <v>72129</v>
      </c>
    </row>
    <row r="32370">
      <c r="A32370" s="48" t="s">
        <v>15617</v>
      </c>
      <c r="B32370" s="38">
        <v>82126.0</v>
      </c>
      <c r="C32370" s="38" t="s">
        <v>30331</v>
      </c>
      <c r="D32370" s="38" t="str">
        <f>IFERROR(__xludf.DUMMYFUNCTION("REGEXREPLACE(C32370,""-\d+(.*)|--\d+(.*)"","""")"),"MONTEILS")</f>
        <v>MONTEILS</v>
      </c>
      <c r="E32370" s="38" t="s">
        <v>570</v>
      </c>
      <c r="F32370" s="38" t="s">
        <v>94</v>
      </c>
      <c r="G32370" s="49" t="str">
        <f t="shared" si="1"/>
        <v>82300</v>
      </c>
      <c r="H32370" s="49">
        <f t="shared" si="2"/>
        <v>82126</v>
      </c>
    </row>
    <row r="32371">
      <c r="A32371" s="48" t="s">
        <v>960</v>
      </c>
      <c r="B32371" s="38">
        <v>28292.0</v>
      </c>
      <c r="C32371" s="38" t="s">
        <v>36661</v>
      </c>
      <c r="D32371" s="38" t="str">
        <f>IFERROR(__xludf.DUMMYFUNCTION("REGEXREPLACE(C32371,""-\d+(.*)|--\d+(.*)"","""")"),"OUERRE")</f>
        <v>OUERRE</v>
      </c>
      <c r="E32371" s="38" t="s">
        <v>300</v>
      </c>
      <c r="F32371" s="38" t="s">
        <v>123</v>
      </c>
      <c r="G32371" s="49" t="str">
        <f t="shared" si="1"/>
        <v>28500</v>
      </c>
      <c r="H32371" s="49">
        <f t="shared" si="2"/>
        <v>28292</v>
      </c>
    </row>
    <row r="32372">
      <c r="A32372" s="48" t="s">
        <v>6849</v>
      </c>
      <c r="B32372" s="38">
        <v>28107.0</v>
      </c>
      <c r="C32372" s="38" t="s">
        <v>36662</v>
      </c>
      <c r="D32372" s="38" t="str">
        <f>IFERROR(__xludf.DUMMYFUNCTION("REGEXREPLACE(C32372,""-\d+(.*)|--\d+(.*)"","""")"),"CORANCEZ")</f>
        <v>CORANCEZ</v>
      </c>
      <c r="E32372" s="38" t="s">
        <v>300</v>
      </c>
      <c r="F32372" s="38" t="s">
        <v>123</v>
      </c>
      <c r="G32372" s="49" t="str">
        <f t="shared" si="1"/>
        <v>28630</v>
      </c>
      <c r="H32372" s="49">
        <f t="shared" si="2"/>
        <v>28107</v>
      </c>
    </row>
    <row r="32373">
      <c r="A32373" s="48" t="s">
        <v>2225</v>
      </c>
      <c r="B32373" s="38">
        <v>22118.0</v>
      </c>
      <c r="C32373" s="38" t="s">
        <v>36663</v>
      </c>
      <c r="D32373" s="38" t="str">
        <f>IFERROR(__xludf.DUMMYFUNCTION("REGEXREPLACE(C32373,""-\d+(.*)|--\d+(.*)"","""")"),"LANVALLAY")</f>
        <v>LANVALLAY</v>
      </c>
      <c r="E32373" s="38" t="s">
        <v>89</v>
      </c>
      <c r="F32373" s="38" t="s">
        <v>90</v>
      </c>
      <c r="G32373" s="49" t="str">
        <f t="shared" si="1"/>
        <v>22100</v>
      </c>
      <c r="H32373" s="49">
        <f t="shared" si="2"/>
        <v>22118</v>
      </c>
    </row>
    <row r="32374">
      <c r="A32374" s="48" t="s">
        <v>11490</v>
      </c>
      <c r="B32374" s="38">
        <v>59042.0</v>
      </c>
      <c r="C32374" s="38" t="s">
        <v>36664</v>
      </c>
      <c r="D32374" s="38" t="str">
        <f>IFERROR(__xludf.DUMMYFUNCTION("REGEXREPLACE(C32374,""-\d+(.*)|--\d+(.*)"","""")"),"BACHY")</f>
        <v>BACHY</v>
      </c>
      <c r="E32374" s="38" t="s">
        <v>85</v>
      </c>
      <c r="F32374" s="38" t="s">
        <v>86</v>
      </c>
      <c r="G32374" s="49" t="str">
        <f t="shared" si="1"/>
        <v>59830</v>
      </c>
      <c r="H32374" s="49">
        <f t="shared" si="2"/>
        <v>59042</v>
      </c>
    </row>
    <row r="32375">
      <c r="A32375" s="48" t="s">
        <v>5501</v>
      </c>
      <c r="B32375" s="38">
        <v>62454.0</v>
      </c>
      <c r="C32375" s="38" t="s">
        <v>36665</v>
      </c>
      <c r="D32375" s="38" t="str">
        <f>IFERROR(__xludf.DUMMYFUNCTION("REGEXREPLACE(C32375,""-\d+(.*)|--\d+(.*)"","""")"),"HINGES")</f>
        <v>HINGES</v>
      </c>
      <c r="E32375" s="38" t="s">
        <v>109</v>
      </c>
      <c r="F32375" s="38" t="s">
        <v>86</v>
      </c>
      <c r="G32375" s="49" t="str">
        <f t="shared" si="1"/>
        <v>62232</v>
      </c>
      <c r="H32375" s="49">
        <f t="shared" si="2"/>
        <v>62454</v>
      </c>
    </row>
    <row r="32376">
      <c r="A32376" s="48" t="s">
        <v>2083</v>
      </c>
      <c r="B32376" s="38">
        <v>17220.0</v>
      </c>
      <c r="C32376" s="38" t="s">
        <v>11585</v>
      </c>
      <c r="D32376" s="38" t="str">
        <f>IFERROR(__xludf.DUMMYFUNCTION("REGEXREPLACE(C32376,""-\d+(.*)|--\d+(.*)"","""")"),"MARIGNAC")</f>
        <v>MARIGNAC</v>
      </c>
      <c r="E32376" s="38" t="s">
        <v>488</v>
      </c>
      <c r="F32376" s="38" t="s">
        <v>338</v>
      </c>
      <c r="G32376" s="49" t="str">
        <f t="shared" si="1"/>
        <v>17800</v>
      </c>
      <c r="H32376" s="49">
        <f t="shared" si="2"/>
        <v>17220</v>
      </c>
    </row>
    <row r="32377">
      <c r="A32377" s="48" t="s">
        <v>721</v>
      </c>
      <c r="B32377" s="38">
        <v>14165.0</v>
      </c>
      <c r="C32377" s="38" t="s">
        <v>36666</v>
      </c>
      <c r="D32377" s="38" t="str">
        <f>IFERROR(__xludf.DUMMYFUNCTION("REGEXREPLACE(C32377,""-\d+(.*)|--\d+(.*)"","""")"),"COLLEVILLE-SUR-MER")</f>
        <v>COLLEVILLE-SUR-MER</v>
      </c>
      <c r="E32377" s="38" t="s">
        <v>137</v>
      </c>
      <c r="F32377" s="38" t="s">
        <v>138</v>
      </c>
      <c r="G32377" s="49" t="str">
        <f t="shared" si="1"/>
        <v>14710</v>
      </c>
      <c r="H32377" s="49">
        <f t="shared" si="2"/>
        <v>14165</v>
      </c>
    </row>
    <row r="32378">
      <c r="A32378" s="48" t="s">
        <v>6121</v>
      </c>
      <c r="B32378" s="38">
        <v>51509.0</v>
      </c>
      <c r="C32378" s="38" t="s">
        <v>4772</v>
      </c>
      <c r="D32378" s="38" t="str">
        <f>IFERROR(__xludf.DUMMYFUNCTION("REGEXREPLACE(C32378,""-\d+(.*)|--\d+(.*)"","""")"),"SAINT-PIERRE")</f>
        <v>SAINT-PIERRE</v>
      </c>
      <c r="E32378" s="38" t="s">
        <v>129</v>
      </c>
      <c r="F32378" s="38" t="s">
        <v>130</v>
      </c>
      <c r="G32378" s="49" t="str">
        <f t="shared" si="1"/>
        <v>51510</v>
      </c>
      <c r="H32378" s="49">
        <f t="shared" si="2"/>
        <v>51509</v>
      </c>
    </row>
    <row r="32379">
      <c r="A32379" s="48" t="s">
        <v>10668</v>
      </c>
      <c r="B32379" s="38">
        <v>61248.0</v>
      </c>
      <c r="C32379" s="38" t="s">
        <v>36667</v>
      </c>
      <c r="D32379" s="38" t="str">
        <f>IFERROR(__xludf.DUMMYFUNCTION("REGEXREPLACE(C32379,""-\d+(.*)|--\d+(.*)"","""")"),"MANTILLY")</f>
        <v>MANTILLY</v>
      </c>
      <c r="E32379" s="38" t="s">
        <v>141</v>
      </c>
      <c r="F32379" s="38" t="s">
        <v>138</v>
      </c>
      <c r="G32379" s="49" t="str">
        <f t="shared" si="1"/>
        <v>61350</v>
      </c>
      <c r="H32379" s="49">
        <f t="shared" si="2"/>
        <v>61248</v>
      </c>
    </row>
    <row r="32380">
      <c r="A32380" s="48" t="s">
        <v>7418</v>
      </c>
      <c r="B32380" s="38">
        <v>29141.0</v>
      </c>
      <c r="C32380" s="38" t="s">
        <v>36668</v>
      </c>
      <c r="D32380" s="38" t="str">
        <f>IFERROR(__xludf.DUMMYFUNCTION("REGEXREPLACE(C32380,""-\d+(.*)|--\d+(.*)"","""")"),"LOQUEFFRET")</f>
        <v>LOQUEFFRET</v>
      </c>
      <c r="E32380" s="38" t="s">
        <v>176</v>
      </c>
      <c r="F32380" s="38" t="s">
        <v>90</v>
      </c>
      <c r="G32380" s="49" t="str">
        <f t="shared" si="1"/>
        <v>29530</v>
      </c>
      <c r="H32380" s="49">
        <f t="shared" si="2"/>
        <v>29141</v>
      </c>
    </row>
    <row r="32381">
      <c r="A32381" s="48" t="s">
        <v>983</v>
      </c>
      <c r="B32381" s="38">
        <v>52357.0</v>
      </c>
      <c r="C32381" s="38" t="s">
        <v>36669</v>
      </c>
      <c r="D32381" s="38" t="str">
        <f>IFERROR(__xludf.DUMMYFUNCTION("REGEXREPLACE(C32381,""-\d+(.*)|--\d+(.*)"","""")"),"NONCOURT-SUR-LE-RONGEANT")</f>
        <v>NONCOURT-SUR-LE-RONGEANT</v>
      </c>
      <c r="E32381" s="38" t="s">
        <v>234</v>
      </c>
      <c r="F32381" s="38" t="s">
        <v>130</v>
      </c>
      <c r="G32381" s="49" t="str">
        <f t="shared" si="1"/>
        <v>52230</v>
      </c>
      <c r="H32381" s="49">
        <f t="shared" si="2"/>
        <v>52357</v>
      </c>
    </row>
    <row r="32382">
      <c r="A32382" s="48" t="s">
        <v>1174</v>
      </c>
      <c r="B32382" s="38">
        <v>51275.0</v>
      </c>
      <c r="C32382" s="38" t="s">
        <v>36670</v>
      </c>
      <c r="D32382" s="38" t="str">
        <f>IFERROR(__xludf.DUMMYFUNCTION("REGEXREPLACE(C32382,""-\d+(.*)|--\d+(.*)"","""")"),"GLANNES")</f>
        <v>GLANNES</v>
      </c>
      <c r="E32382" s="38" t="s">
        <v>129</v>
      </c>
      <c r="F32382" s="38" t="s">
        <v>130</v>
      </c>
      <c r="G32382" s="49" t="str">
        <f t="shared" si="1"/>
        <v>51300</v>
      </c>
      <c r="H32382" s="49">
        <f t="shared" si="2"/>
        <v>51275</v>
      </c>
    </row>
    <row r="32383">
      <c r="A32383" s="48" t="s">
        <v>7758</v>
      </c>
      <c r="B32383" s="38">
        <v>63187.0</v>
      </c>
      <c r="C32383" s="38" t="s">
        <v>5931</v>
      </c>
      <c r="D32383" s="38" t="str">
        <f>IFERROR(__xludf.DUMMYFUNCTION("REGEXREPLACE(C32383,""-\d+(.*)|--\d+(.*)"","""")"),"LAPEYROUSE")</f>
        <v>LAPEYROUSE</v>
      </c>
      <c r="E32383" s="38" t="s">
        <v>353</v>
      </c>
      <c r="F32383" s="38" t="s">
        <v>161</v>
      </c>
      <c r="G32383" s="49" t="str">
        <f t="shared" si="1"/>
        <v>63700</v>
      </c>
      <c r="H32383" s="49">
        <f t="shared" si="2"/>
        <v>63187</v>
      </c>
    </row>
    <row r="32384">
      <c r="A32384" s="48" t="s">
        <v>11129</v>
      </c>
      <c r="B32384" s="38">
        <v>43230.0</v>
      </c>
      <c r="C32384" s="38" t="s">
        <v>17805</v>
      </c>
      <c r="D32384" s="38" t="str">
        <f>IFERROR(__xludf.DUMMYFUNCTION("REGEXREPLACE(C32384,""-\d+(.*)|--\d+(.*)"","""")"),"SAINT-VINCENT")</f>
        <v>SAINT-VINCENT</v>
      </c>
      <c r="E32384" s="38" t="s">
        <v>332</v>
      </c>
      <c r="F32384" s="38" t="s">
        <v>161</v>
      </c>
      <c r="G32384" s="49" t="str">
        <f t="shared" si="1"/>
        <v>43800</v>
      </c>
      <c r="H32384" s="49">
        <f t="shared" si="2"/>
        <v>43230</v>
      </c>
    </row>
    <row r="32385">
      <c r="A32385" s="48" t="s">
        <v>3344</v>
      </c>
      <c r="B32385" s="38">
        <v>76751.0</v>
      </c>
      <c r="C32385" s="38" t="s">
        <v>36671</v>
      </c>
      <c r="D32385" s="38" t="str">
        <f>IFERROR(__xludf.DUMMYFUNCTION("REGEXREPLACE(C32385,""-\d+(.*)|--\d+(.*)"","""")"),"YEBLERON")</f>
        <v>YEBLERON</v>
      </c>
      <c r="E32385" s="38" t="s">
        <v>133</v>
      </c>
      <c r="F32385" s="38" t="s">
        <v>134</v>
      </c>
      <c r="G32385" s="49" t="str">
        <f t="shared" si="1"/>
        <v>76640</v>
      </c>
      <c r="H32385" s="49">
        <f t="shared" si="2"/>
        <v>76751</v>
      </c>
    </row>
    <row r="32386">
      <c r="A32386" s="48" t="s">
        <v>5805</v>
      </c>
      <c r="B32386" s="38">
        <v>21207.0</v>
      </c>
      <c r="C32386" s="38" t="s">
        <v>36672</v>
      </c>
      <c r="D32386" s="38" t="str">
        <f>IFERROR(__xludf.DUMMYFUNCTION("REGEXREPLACE(C32386,""-\d+(.*)|--\d+(.*)"","""")"),"COURLON")</f>
        <v>COURLON</v>
      </c>
      <c r="E32386" s="38" t="s">
        <v>105</v>
      </c>
      <c r="F32386" s="38" t="s">
        <v>106</v>
      </c>
      <c r="G32386" s="49" t="str">
        <f t="shared" si="1"/>
        <v>21580</v>
      </c>
      <c r="H32386" s="49">
        <f t="shared" si="2"/>
        <v>21207</v>
      </c>
    </row>
    <row r="32387">
      <c r="A32387" s="48" t="s">
        <v>3506</v>
      </c>
      <c r="B32387" s="38">
        <v>16175.0</v>
      </c>
      <c r="C32387" s="38" t="s">
        <v>36673</v>
      </c>
      <c r="D32387" s="38" t="str">
        <f>IFERROR(__xludf.DUMMYFUNCTION("REGEXREPLACE(C32387,""-\d+(.*)|--\d+(.*)"","""")"),"JURIGNAC")</f>
        <v>JURIGNAC</v>
      </c>
      <c r="E32387" s="38" t="s">
        <v>429</v>
      </c>
      <c r="F32387" s="38" t="s">
        <v>338</v>
      </c>
      <c r="G32387" s="49" t="str">
        <f t="shared" si="1"/>
        <v>16250</v>
      </c>
      <c r="H32387" s="49">
        <f t="shared" si="2"/>
        <v>16175</v>
      </c>
    </row>
    <row r="32388">
      <c r="A32388" s="48" t="s">
        <v>2710</v>
      </c>
      <c r="B32388" s="38">
        <v>68312.0</v>
      </c>
      <c r="C32388" s="38" t="s">
        <v>36674</v>
      </c>
      <c r="D32388" s="38" t="str">
        <f>IFERROR(__xludf.DUMMYFUNCTION("REGEXREPLACE(C32388,""-\d+(.*)|--\d+(.*)"","""")"),"SONDERSDORF")</f>
        <v>SONDERSDORF</v>
      </c>
      <c r="E32388" s="38" t="s">
        <v>150</v>
      </c>
      <c r="F32388" s="38" t="s">
        <v>151</v>
      </c>
      <c r="G32388" s="49" t="str">
        <f t="shared" si="1"/>
        <v>68480</v>
      </c>
      <c r="H32388" s="49">
        <f t="shared" si="2"/>
        <v>68312</v>
      </c>
    </row>
    <row r="32389">
      <c r="A32389" s="48" t="s">
        <v>36675</v>
      </c>
      <c r="B32389" s="38">
        <v>78551.0</v>
      </c>
      <c r="C32389" s="38" t="s">
        <v>36676</v>
      </c>
      <c r="D32389" s="38" t="str">
        <f>IFERROR(__xludf.DUMMYFUNCTION("REGEXREPLACE(C32389,""-\d+(.*)|--\d+(.*)"","""")"),"SAINT-GERMAIN-EN-LAYE")</f>
        <v>SAINT-GERMAIN-EN-LAYE</v>
      </c>
      <c r="E32389" s="38" t="s">
        <v>362</v>
      </c>
      <c r="F32389" s="38" t="s">
        <v>245</v>
      </c>
      <c r="G32389" s="49" t="str">
        <f t="shared" si="1"/>
        <v>78100</v>
      </c>
      <c r="H32389" s="49">
        <f t="shared" si="2"/>
        <v>78551</v>
      </c>
    </row>
    <row r="32390">
      <c r="A32390" s="48" t="s">
        <v>7581</v>
      </c>
      <c r="B32390" s="38">
        <v>95529.0</v>
      </c>
      <c r="C32390" s="38" t="s">
        <v>36677</v>
      </c>
      <c r="D32390" s="38" t="str">
        <f>IFERROR(__xludf.DUMMYFUNCTION("REGEXREPLACE(C32390,""-\d+(.*)|--\d+(.*)"","""")"),"RONQUEROLLES")</f>
        <v>RONQUEROLLES</v>
      </c>
      <c r="E32390" s="38" t="s">
        <v>541</v>
      </c>
      <c r="F32390" s="38" t="s">
        <v>245</v>
      </c>
      <c r="G32390" s="49" t="str">
        <f t="shared" si="1"/>
        <v>95340</v>
      </c>
      <c r="H32390" s="49">
        <f t="shared" si="2"/>
        <v>95529</v>
      </c>
    </row>
    <row r="32391">
      <c r="A32391" s="48" t="s">
        <v>2779</v>
      </c>
      <c r="B32391" s="38">
        <v>80085.0</v>
      </c>
      <c r="C32391" s="38" t="s">
        <v>36678</v>
      </c>
      <c r="D32391" s="38" t="str">
        <f>IFERROR(__xludf.DUMMYFUNCTION("REGEXREPLACE(C32391,""-\d+(.*)|--\d+(.*)"","""")"),"BERNATRE")</f>
        <v>BERNATRE</v>
      </c>
      <c r="E32391" s="38" t="s">
        <v>224</v>
      </c>
      <c r="F32391" s="38" t="s">
        <v>113</v>
      </c>
      <c r="G32391" s="49" t="str">
        <f t="shared" si="1"/>
        <v>80370</v>
      </c>
      <c r="H32391" s="49">
        <f t="shared" si="2"/>
        <v>80085</v>
      </c>
    </row>
    <row r="32392">
      <c r="A32392" s="48" t="s">
        <v>2487</v>
      </c>
      <c r="B32392" s="38">
        <v>70335.0</v>
      </c>
      <c r="C32392" s="38" t="s">
        <v>36679</v>
      </c>
      <c r="D32392" s="38" t="str">
        <f>IFERROR(__xludf.DUMMYFUNCTION("REGEXREPLACE(C32392,""-\d+(.*)|--\d+(.*)"","""")"),"MAUSSANS")</f>
        <v>MAUSSANS</v>
      </c>
      <c r="E32392" s="38" t="s">
        <v>956</v>
      </c>
      <c r="F32392" s="38" t="s">
        <v>214</v>
      </c>
      <c r="G32392" s="49" t="str">
        <f t="shared" si="1"/>
        <v>70230</v>
      </c>
      <c r="H32392" s="49">
        <f t="shared" si="2"/>
        <v>70335</v>
      </c>
    </row>
    <row r="32393">
      <c r="A32393" s="48" t="s">
        <v>6150</v>
      </c>
      <c r="B32393" s="38">
        <v>71436.0</v>
      </c>
      <c r="C32393" s="38" t="s">
        <v>36680</v>
      </c>
      <c r="D32393" s="38" t="str">
        <f>IFERROR(__xludf.DUMMYFUNCTION("REGEXREPLACE(C32393,""-\d+(.*)|--\d+(.*)"","""")"),"SAINT-LAURENT-D'ANDENAY")</f>
        <v>SAINT-LAURENT-D'ANDENAY</v>
      </c>
      <c r="E32393" s="38" t="s">
        <v>344</v>
      </c>
      <c r="F32393" s="38" t="s">
        <v>106</v>
      </c>
      <c r="G32393" s="49" t="str">
        <f t="shared" si="1"/>
        <v>71210</v>
      </c>
      <c r="H32393" s="49">
        <f t="shared" si="2"/>
        <v>71436</v>
      </c>
    </row>
    <row r="32394">
      <c r="A32394" s="48" t="s">
        <v>2427</v>
      </c>
      <c r="B32394" s="38">
        <v>47162.0</v>
      </c>
      <c r="C32394" s="38" t="s">
        <v>36681</v>
      </c>
      <c r="D32394" s="38" t="str">
        <f>IFERROR(__xludf.DUMMYFUNCTION("REGEXREPLACE(C32394,""-\d+(.*)|--\d+(.*)"","""")"),"MASSOULES")</f>
        <v>MASSOULES</v>
      </c>
      <c r="E32394" s="38" t="s">
        <v>251</v>
      </c>
      <c r="F32394" s="38" t="s">
        <v>252</v>
      </c>
      <c r="G32394" s="49" t="str">
        <f t="shared" si="1"/>
        <v>47140</v>
      </c>
      <c r="H32394" s="49">
        <f t="shared" si="2"/>
        <v>47162</v>
      </c>
    </row>
    <row r="32395">
      <c r="A32395" s="48" t="s">
        <v>2374</v>
      </c>
      <c r="B32395" s="38">
        <v>58130.0</v>
      </c>
      <c r="C32395" s="38" t="s">
        <v>36682</v>
      </c>
      <c r="D32395" s="38" t="str">
        <f>IFERROR(__xludf.DUMMYFUNCTION("REGEXREPLACE(C32395,""-\d+(.*)|--\d+(.*)"","""")"),"GRENOIS")</f>
        <v>GRENOIS</v>
      </c>
      <c r="E32395" s="38" t="s">
        <v>219</v>
      </c>
      <c r="F32395" s="38" t="s">
        <v>106</v>
      </c>
      <c r="G32395" s="49" t="str">
        <f t="shared" si="1"/>
        <v>58420</v>
      </c>
      <c r="H32395" s="49">
        <f t="shared" si="2"/>
        <v>58130</v>
      </c>
    </row>
    <row r="32396">
      <c r="A32396" s="48" t="s">
        <v>2402</v>
      </c>
      <c r="B32396" s="38">
        <v>68273.0</v>
      </c>
      <c r="C32396" s="38" t="s">
        <v>36683</v>
      </c>
      <c r="D32396" s="38" t="str">
        <f>IFERROR(__xludf.DUMMYFUNCTION("REGEXREPLACE(C32396,""-\d+(.*)|--\d+(.*)"","""")"),"RIESPACH")</f>
        <v>RIESPACH</v>
      </c>
      <c r="E32396" s="38" t="s">
        <v>150</v>
      </c>
      <c r="F32396" s="38" t="s">
        <v>151</v>
      </c>
      <c r="G32396" s="49" t="str">
        <f t="shared" si="1"/>
        <v>68640</v>
      </c>
      <c r="H32396" s="49">
        <f t="shared" si="2"/>
        <v>68273</v>
      </c>
    </row>
    <row r="32397">
      <c r="A32397" s="48" t="s">
        <v>7527</v>
      </c>
      <c r="B32397" s="38">
        <v>29026.0</v>
      </c>
      <c r="C32397" s="38" t="s">
        <v>36684</v>
      </c>
      <c r="D32397" s="38" t="str">
        <f>IFERROR(__xludf.DUMMYFUNCTION("REGEXREPLACE(C32397,""-\d+(.*)|--\d+(.*)"","""")"),"CHATEAULIN")</f>
        <v>CHATEAULIN</v>
      </c>
      <c r="E32397" s="38" t="s">
        <v>176</v>
      </c>
      <c r="F32397" s="38" t="s">
        <v>90</v>
      </c>
      <c r="G32397" s="49" t="str">
        <f t="shared" si="1"/>
        <v>29150</v>
      </c>
      <c r="H32397" s="49">
        <f t="shared" si="2"/>
        <v>29026</v>
      </c>
    </row>
    <row r="32398">
      <c r="A32398" s="48" t="s">
        <v>3683</v>
      </c>
      <c r="B32398" s="38">
        <v>58273.0</v>
      </c>
      <c r="C32398" s="38" t="s">
        <v>36685</v>
      </c>
      <c r="D32398" s="38" t="str">
        <f>IFERROR(__xludf.DUMMYFUNCTION("REGEXREPLACE(C32398,""-\d+(.*)|--\d+(.*)"","""")"),"SAUVIGNY-LES-BOIS")</f>
        <v>SAUVIGNY-LES-BOIS</v>
      </c>
      <c r="E32398" s="38" t="s">
        <v>219</v>
      </c>
      <c r="F32398" s="38" t="s">
        <v>106</v>
      </c>
      <c r="G32398" s="49" t="str">
        <f t="shared" si="1"/>
        <v>58160</v>
      </c>
      <c r="H32398" s="49">
        <f t="shared" si="2"/>
        <v>58273</v>
      </c>
    </row>
    <row r="32399">
      <c r="A32399" s="48" t="s">
        <v>29406</v>
      </c>
      <c r="B32399" s="38">
        <v>73274.0</v>
      </c>
      <c r="C32399" s="38" t="s">
        <v>18741</v>
      </c>
      <c r="D32399" s="38" t="str">
        <f>IFERROR(__xludf.DUMMYFUNCTION("REGEXREPLACE(C32399,""-\d+(.*)|--\d+(.*)"","""")"),"SAINT-PIERRE-D'ENTREMONT")</f>
        <v>SAINT-PIERRE-D'ENTREMONT</v>
      </c>
      <c r="E32399" s="38" t="s">
        <v>306</v>
      </c>
      <c r="F32399" s="38" t="s">
        <v>102</v>
      </c>
      <c r="G32399" s="49" t="str">
        <f t="shared" si="1"/>
        <v>73670</v>
      </c>
      <c r="H32399" s="49">
        <f t="shared" si="2"/>
        <v>73274</v>
      </c>
    </row>
    <row r="32400">
      <c r="A32400" s="48" t="s">
        <v>1368</v>
      </c>
      <c r="B32400" s="38">
        <v>8303.0</v>
      </c>
      <c r="C32400" s="38" t="s">
        <v>36686</v>
      </c>
      <c r="D32400" s="38" t="str">
        <f>IFERROR(__xludf.DUMMYFUNCTION("REGEXREPLACE(C32400,""-\d+(.*)|--\d+(.*)"","""")"),"MONTHOIS")</f>
        <v>MONTHOIS</v>
      </c>
      <c r="E32400" s="38" t="s">
        <v>327</v>
      </c>
      <c r="F32400" s="38" t="s">
        <v>130</v>
      </c>
      <c r="G32400" s="49" t="str">
        <f t="shared" si="1"/>
        <v>08400</v>
      </c>
      <c r="H32400" s="49" t="str">
        <f t="shared" si="2"/>
        <v>08303</v>
      </c>
    </row>
    <row r="32401">
      <c r="A32401" s="48" t="s">
        <v>36687</v>
      </c>
      <c r="B32401" s="38">
        <v>92022.0</v>
      </c>
      <c r="C32401" s="38" t="s">
        <v>36688</v>
      </c>
      <c r="D32401" s="38" t="str">
        <f>IFERROR(__xludf.DUMMYFUNCTION("REGEXREPLACE(C32401,""-\d+(.*)|--\d+(.*)"","""")"),"CHAVILLE")</f>
        <v>CHAVILLE</v>
      </c>
      <c r="E32401" s="38" t="s">
        <v>838</v>
      </c>
      <c r="F32401" s="38" t="s">
        <v>245</v>
      </c>
      <c r="G32401" s="49" t="str">
        <f t="shared" si="1"/>
        <v>92370</v>
      </c>
      <c r="H32401" s="49">
        <f t="shared" si="2"/>
        <v>92022</v>
      </c>
    </row>
    <row r="32402">
      <c r="A32402" s="48" t="s">
        <v>36689</v>
      </c>
      <c r="B32402" s="38">
        <v>90053.0</v>
      </c>
      <c r="C32402" s="38" t="s">
        <v>36690</v>
      </c>
      <c r="D32402" s="38" t="str">
        <f>IFERROR(__xludf.DUMMYFUNCTION("REGEXREPLACE(C32402,""-\d+(.*)|--\d+(.*)"","""")"),"GRANDVILLARS")</f>
        <v>GRANDVILLARS</v>
      </c>
      <c r="E32402" s="38" t="s">
        <v>1283</v>
      </c>
      <c r="F32402" s="38" t="s">
        <v>214</v>
      </c>
      <c r="G32402" s="49" t="str">
        <f t="shared" si="1"/>
        <v>90600</v>
      </c>
      <c r="H32402" s="49">
        <f t="shared" si="2"/>
        <v>90053</v>
      </c>
    </row>
    <row r="32403">
      <c r="A32403" s="48" t="s">
        <v>9778</v>
      </c>
      <c r="B32403" s="38">
        <v>23117.0</v>
      </c>
      <c r="C32403" s="38" t="s">
        <v>36691</v>
      </c>
      <c r="D32403" s="38" t="str">
        <f>IFERROR(__xludf.DUMMYFUNCTION("REGEXREPLACE(C32403,""-\d+(.*)|--\d+(.*)"","""")"),"MAISON-FEYNE")</f>
        <v>MAISON-FEYNE</v>
      </c>
      <c r="E32403" s="38" t="s">
        <v>97</v>
      </c>
      <c r="F32403" s="38" t="s">
        <v>98</v>
      </c>
      <c r="G32403" s="49" t="str">
        <f t="shared" si="1"/>
        <v>23800</v>
      </c>
      <c r="H32403" s="49">
        <f t="shared" si="2"/>
        <v>23117</v>
      </c>
    </row>
    <row r="32404">
      <c r="A32404" s="48" t="s">
        <v>9755</v>
      </c>
      <c r="B32404" s="38">
        <v>51473.0</v>
      </c>
      <c r="C32404" s="38" t="s">
        <v>36692</v>
      </c>
      <c r="D32404" s="38" t="str">
        <f>IFERROR(__xludf.DUMMYFUNCTION("REGEXREPLACE(C32404,""-\d+(.*)|--\d+(.*)"","""")"),"SAINT-BON")</f>
        <v>SAINT-BON</v>
      </c>
      <c r="E32404" s="38" t="s">
        <v>129</v>
      </c>
      <c r="F32404" s="38" t="s">
        <v>130</v>
      </c>
      <c r="G32404" s="49" t="str">
        <f t="shared" si="1"/>
        <v>51310</v>
      </c>
      <c r="H32404" s="49">
        <f t="shared" si="2"/>
        <v>51473</v>
      </c>
    </row>
    <row r="32405">
      <c r="A32405" s="48" t="s">
        <v>8883</v>
      </c>
      <c r="B32405" s="38">
        <v>39448.0</v>
      </c>
      <c r="C32405" s="38" t="s">
        <v>27796</v>
      </c>
      <c r="D32405" s="38" t="str">
        <f>IFERROR(__xludf.DUMMYFUNCTION("REGEXREPLACE(C32405,""-\d+(.*)|--\d+(.*)"","""")"),"RAHON")</f>
        <v>RAHON</v>
      </c>
      <c r="E32405" s="38" t="s">
        <v>400</v>
      </c>
      <c r="F32405" s="38" t="s">
        <v>214</v>
      </c>
      <c r="G32405" s="49" t="str">
        <f t="shared" si="1"/>
        <v>39120</v>
      </c>
      <c r="H32405" s="49">
        <f t="shared" si="2"/>
        <v>39448</v>
      </c>
    </row>
    <row r="32406">
      <c r="A32406" s="48" t="s">
        <v>898</v>
      </c>
      <c r="B32406" s="38">
        <v>54582.0</v>
      </c>
      <c r="C32406" s="38" t="s">
        <v>25834</v>
      </c>
      <c r="D32406" s="38" t="str">
        <f>IFERROR(__xludf.DUMMYFUNCTION("REGEXREPLACE(C32406,""-\d+(.*)|--\d+(.*)"","""")"),"VILLETTE")</f>
        <v>VILLETTE</v>
      </c>
      <c r="E32406" s="38" t="s">
        <v>548</v>
      </c>
      <c r="F32406" s="38" t="s">
        <v>195</v>
      </c>
      <c r="G32406" s="49" t="str">
        <f t="shared" si="1"/>
        <v>54260</v>
      </c>
      <c r="H32406" s="49">
        <f t="shared" si="2"/>
        <v>54582</v>
      </c>
    </row>
    <row r="32407">
      <c r="A32407" s="48" t="s">
        <v>4709</v>
      </c>
      <c r="B32407" s="38">
        <v>95554.0</v>
      </c>
      <c r="C32407" s="38" t="s">
        <v>20940</v>
      </c>
      <c r="D32407" s="38" t="str">
        <f>IFERROR(__xludf.DUMMYFUNCTION("REGEXREPLACE(C32407,""-\d+(.*)|--\d+(.*)"","""")"),"SAINT-GERVAIS")</f>
        <v>SAINT-GERVAIS</v>
      </c>
      <c r="E32407" s="38" t="s">
        <v>541</v>
      </c>
      <c r="F32407" s="38" t="s">
        <v>245</v>
      </c>
      <c r="G32407" s="49" t="str">
        <f t="shared" si="1"/>
        <v>95420</v>
      </c>
      <c r="H32407" s="49">
        <f t="shared" si="2"/>
        <v>95554</v>
      </c>
    </row>
    <row r="32408">
      <c r="A32408" s="48" t="s">
        <v>693</v>
      </c>
      <c r="B32408" s="38">
        <v>23068.0</v>
      </c>
      <c r="C32408" s="38" t="s">
        <v>36693</v>
      </c>
      <c r="D32408" s="38" t="str">
        <f>IFERROR(__xludf.DUMMYFUNCTION("REGEXREPLACE(C32408,""-\d+(.*)|--\d+(.*)"","""")"),"CRESSAT")</f>
        <v>CRESSAT</v>
      </c>
      <c r="E32408" s="38" t="s">
        <v>97</v>
      </c>
      <c r="F32408" s="38" t="s">
        <v>98</v>
      </c>
      <c r="G32408" s="49" t="str">
        <f t="shared" si="1"/>
        <v>23140</v>
      </c>
      <c r="H32408" s="49">
        <f t="shared" si="2"/>
        <v>23068</v>
      </c>
    </row>
    <row r="32409">
      <c r="A32409" s="48" t="s">
        <v>7845</v>
      </c>
      <c r="B32409" s="38">
        <v>12101.0</v>
      </c>
      <c r="C32409" s="38" t="s">
        <v>36694</v>
      </c>
      <c r="D32409" s="38" t="str">
        <f>IFERROR(__xludf.DUMMYFUNCTION("REGEXREPLACE(C32409,""-\d+(.*)|--\d+(.*)"","""")"),"FLAGNAC")</f>
        <v>FLAGNAC</v>
      </c>
      <c r="E32409" s="38" t="s">
        <v>465</v>
      </c>
      <c r="F32409" s="38" t="s">
        <v>94</v>
      </c>
      <c r="G32409" s="49" t="str">
        <f t="shared" si="1"/>
        <v>12300</v>
      </c>
      <c r="H32409" s="49">
        <f t="shared" si="2"/>
        <v>12101</v>
      </c>
    </row>
    <row r="32410">
      <c r="A32410" s="48" t="s">
        <v>4797</v>
      </c>
      <c r="B32410" s="38">
        <v>30219.0</v>
      </c>
      <c r="C32410" s="38" t="s">
        <v>36695</v>
      </c>
      <c r="D32410" s="38" t="str">
        <f>IFERROR(__xludf.DUMMYFUNCTION("REGEXREPLACE(C32410,""-\d+(.*)|--\d+(.*)"","""")"),"ROGUES")</f>
        <v>ROGUES</v>
      </c>
      <c r="E32410" s="38" t="s">
        <v>526</v>
      </c>
      <c r="F32410" s="38" t="s">
        <v>119</v>
      </c>
      <c r="G32410" s="49" t="str">
        <f t="shared" si="1"/>
        <v>30120</v>
      </c>
      <c r="H32410" s="49">
        <f t="shared" si="2"/>
        <v>30219</v>
      </c>
    </row>
    <row r="32411">
      <c r="A32411" s="48" t="s">
        <v>1022</v>
      </c>
      <c r="B32411" s="38">
        <v>2563.0</v>
      </c>
      <c r="C32411" s="38" t="s">
        <v>36696</v>
      </c>
      <c r="D32411" s="38" t="str">
        <f>IFERROR(__xludf.DUMMYFUNCTION("REGEXREPLACE(C32411,""-\d+(.*)|--\d+(.*)"","""")"),"NOYALES")</f>
        <v>NOYALES</v>
      </c>
      <c r="E32411" s="38" t="s">
        <v>191</v>
      </c>
      <c r="F32411" s="38" t="s">
        <v>113</v>
      </c>
      <c r="G32411" s="49" t="str">
        <f t="shared" si="1"/>
        <v>02120</v>
      </c>
      <c r="H32411" s="49" t="str">
        <f t="shared" si="2"/>
        <v>02563</v>
      </c>
    </row>
    <row r="32412">
      <c r="A32412" s="48" t="s">
        <v>12761</v>
      </c>
      <c r="B32412" s="38">
        <v>36155.0</v>
      </c>
      <c r="C32412" s="38" t="s">
        <v>36697</v>
      </c>
      <c r="D32412" s="38" t="str">
        <f>IFERROR(__xludf.DUMMYFUNCTION("REGEXREPLACE(C32412,""-\d+(.*)|--\d+(.*)"","""")"),"PELLEVOISIN")</f>
        <v>PELLEVOISIN</v>
      </c>
      <c r="E32412" s="38" t="s">
        <v>258</v>
      </c>
      <c r="F32412" s="38" t="s">
        <v>123</v>
      </c>
      <c r="G32412" s="49" t="str">
        <f t="shared" si="1"/>
        <v>36180</v>
      </c>
      <c r="H32412" s="49">
        <f t="shared" si="2"/>
        <v>36155</v>
      </c>
    </row>
    <row r="32413">
      <c r="A32413" s="48" t="s">
        <v>948</v>
      </c>
      <c r="B32413" s="38">
        <v>68293.0</v>
      </c>
      <c r="C32413" s="38" t="s">
        <v>36698</v>
      </c>
      <c r="D32413" s="38" t="str">
        <f>IFERROR(__xludf.DUMMYFUNCTION("REGEXREPLACE(C32413,""-\d+(.*)|--\d+(.*)"","""")"),"SAINT-COSME")</f>
        <v>SAINT-COSME</v>
      </c>
      <c r="E32413" s="38" t="s">
        <v>150</v>
      </c>
      <c r="F32413" s="38" t="s">
        <v>151</v>
      </c>
      <c r="G32413" s="49" t="str">
        <f t="shared" si="1"/>
        <v>68210</v>
      </c>
      <c r="H32413" s="49">
        <f t="shared" si="2"/>
        <v>68293</v>
      </c>
    </row>
    <row r="32414">
      <c r="A32414" s="48" t="s">
        <v>6256</v>
      </c>
      <c r="B32414" s="38">
        <v>55394.0</v>
      </c>
      <c r="C32414" s="38" t="s">
        <v>36699</v>
      </c>
      <c r="D32414" s="38" t="str">
        <f>IFERROR(__xludf.DUMMYFUNCTION("REGEXREPLACE(C32414,""-\d+(.*)|--\d+(.*)"","""")"),"ORNES")</f>
        <v>ORNES</v>
      </c>
      <c r="E32414" s="38" t="s">
        <v>322</v>
      </c>
      <c r="F32414" s="38" t="s">
        <v>195</v>
      </c>
      <c r="G32414" s="49" t="str">
        <f t="shared" si="1"/>
        <v>55150</v>
      </c>
      <c r="H32414" s="49">
        <f t="shared" si="2"/>
        <v>55394</v>
      </c>
    </row>
    <row r="32415">
      <c r="A32415" s="48" t="s">
        <v>403</v>
      </c>
      <c r="B32415" s="38">
        <v>59662.0</v>
      </c>
      <c r="C32415" s="38" t="s">
        <v>36700</v>
      </c>
      <c r="D32415" s="38" t="str">
        <f>IFERROR(__xludf.DUMMYFUNCTION("REGEXREPLACE(C32415,""-\d+(.*)|--\d+(.*)"","""")"),"WINNEZEELE")</f>
        <v>WINNEZEELE</v>
      </c>
      <c r="E32415" s="38" t="s">
        <v>85</v>
      </c>
      <c r="F32415" s="38" t="s">
        <v>86</v>
      </c>
      <c r="G32415" s="49" t="str">
        <f t="shared" si="1"/>
        <v>59670</v>
      </c>
      <c r="H32415" s="49">
        <f t="shared" si="2"/>
        <v>59662</v>
      </c>
    </row>
    <row r="32416">
      <c r="A32416" s="48" t="s">
        <v>7549</v>
      </c>
      <c r="B32416" s="38">
        <v>50490.0</v>
      </c>
      <c r="C32416" s="38" t="s">
        <v>36701</v>
      </c>
      <c r="D32416" s="38" t="str">
        <f>IFERROR(__xludf.DUMMYFUNCTION("REGEXREPLACE(C32416,""-\d+(.*)|--\d+(.*)"","""")"),"SAINT-JEAN-DE-LA-RIVIERE")</f>
        <v>SAINT-JEAN-DE-LA-RIVIERE</v>
      </c>
      <c r="E32416" s="38" t="s">
        <v>157</v>
      </c>
      <c r="F32416" s="38" t="s">
        <v>138</v>
      </c>
      <c r="G32416" s="49" t="str">
        <f t="shared" si="1"/>
        <v>50270</v>
      </c>
      <c r="H32416" s="49">
        <f t="shared" si="2"/>
        <v>50490</v>
      </c>
    </row>
    <row r="32417">
      <c r="A32417" s="48" t="s">
        <v>9692</v>
      </c>
      <c r="B32417" s="38">
        <v>18137.0</v>
      </c>
      <c r="C32417" s="38" t="s">
        <v>36702</v>
      </c>
      <c r="D32417" s="38" t="str">
        <f>IFERROR(__xludf.DUMMYFUNCTION("REGEXREPLACE(C32417,""-\d+(.*)|--\d+(.*)"","""")"),"MAREUIL-SUR-ARNON")</f>
        <v>MAREUIL-SUR-ARNON</v>
      </c>
      <c r="E32417" s="38" t="s">
        <v>504</v>
      </c>
      <c r="F32417" s="38" t="s">
        <v>123</v>
      </c>
      <c r="G32417" s="49" t="str">
        <f t="shared" si="1"/>
        <v>18290</v>
      </c>
      <c r="H32417" s="49">
        <f t="shared" si="2"/>
        <v>18137</v>
      </c>
    </row>
    <row r="32418">
      <c r="A32418" s="48" t="s">
        <v>542</v>
      </c>
      <c r="B32418" s="38">
        <v>50027.0</v>
      </c>
      <c r="C32418" s="38" t="s">
        <v>36703</v>
      </c>
      <c r="D32418" s="38" t="str">
        <f>IFERROR(__xludf.DUMMYFUNCTION("REGEXREPLACE(C32418,""-\d+(.*)|--\d+(.*)"","""")"),"BACILLY")</f>
        <v>BACILLY</v>
      </c>
      <c r="E32418" s="38" t="s">
        <v>157</v>
      </c>
      <c r="F32418" s="38" t="s">
        <v>138</v>
      </c>
      <c r="G32418" s="49" t="str">
        <f t="shared" si="1"/>
        <v>50530</v>
      </c>
      <c r="H32418" s="49">
        <f t="shared" si="2"/>
        <v>50027</v>
      </c>
    </row>
    <row r="32419">
      <c r="A32419" s="48" t="s">
        <v>9334</v>
      </c>
      <c r="B32419" s="38">
        <v>62075.0</v>
      </c>
      <c r="C32419" s="38" t="s">
        <v>36704</v>
      </c>
      <c r="D32419" s="38" t="str">
        <f>IFERROR(__xludf.DUMMYFUNCTION("REGEXREPLACE(C32419,""-\d+(.*)|--\d+(.*)"","""")"),"BAINCTHUN")</f>
        <v>BAINCTHUN</v>
      </c>
      <c r="E32419" s="38" t="s">
        <v>109</v>
      </c>
      <c r="F32419" s="38" t="s">
        <v>86</v>
      </c>
      <c r="G32419" s="49" t="str">
        <f t="shared" si="1"/>
        <v>62360</v>
      </c>
      <c r="H32419" s="49">
        <f t="shared" si="2"/>
        <v>62075</v>
      </c>
    </row>
    <row r="32420">
      <c r="A32420" s="48" t="s">
        <v>2794</v>
      </c>
      <c r="B32420" s="38">
        <v>39065.0</v>
      </c>
      <c r="C32420" s="38" t="s">
        <v>36705</v>
      </c>
      <c r="D32420" s="38" t="str">
        <f>IFERROR(__xludf.DUMMYFUNCTION("REGEXREPLACE(C32420,""-\d+(.*)|--\d+(.*)"","""")"),"BONNEFONTAINE")</f>
        <v>BONNEFONTAINE</v>
      </c>
      <c r="E32420" s="38" t="s">
        <v>400</v>
      </c>
      <c r="F32420" s="38" t="s">
        <v>214</v>
      </c>
      <c r="G32420" s="49" t="str">
        <f t="shared" si="1"/>
        <v>39800</v>
      </c>
      <c r="H32420" s="49">
        <f t="shared" si="2"/>
        <v>39065</v>
      </c>
    </row>
    <row r="32421">
      <c r="A32421" s="48" t="s">
        <v>14082</v>
      </c>
      <c r="B32421" s="38">
        <v>64543.0</v>
      </c>
      <c r="C32421" s="38" t="s">
        <v>36706</v>
      </c>
      <c r="D32421" s="38" t="str">
        <f>IFERROR(__xludf.DUMMYFUNCTION("REGEXREPLACE(C32421,""-\d+(.*)|--\d+(.*)"","""")"),"UREPEL")</f>
        <v>UREPEL</v>
      </c>
      <c r="E32421" s="38" t="s">
        <v>268</v>
      </c>
      <c r="F32421" s="38" t="s">
        <v>252</v>
      </c>
      <c r="G32421" s="49" t="str">
        <f t="shared" si="1"/>
        <v>64430</v>
      </c>
      <c r="H32421" s="49">
        <f t="shared" si="2"/>
        <v>64543</v>
      </c>
    </row>
    <row r="32422">
      <c r="A32422" s="48" t="s">
        <v>11166</v>
      </c>
      <c r="B32422" s="38">
        <v>55053.0</v>
      </c>
      <c r="C32422" s="38" t="s">
        <v>36707</v>
      </c>
      <c r="D32422" s="38" t="str">
        <f>IFERROR(__xludf.DUMMYFUNCTION("REGEXREPLACE(C32422,""-\d+(.*)|--\d+(.*)"","""")"),"BILLY-SOUS-MANGIENNES")</f>
        <v>BILLY-SOUS-MANGIENNES</v>
      </c>
      <c r="E32422" s="38" t="s">
        <v>322</v>
      </c>
      <c r="F32422" s="38" t="s">
        <v>195</v>
      </c>
      <c r="G32422" s="49" t="str">
        <f t="shared" si="1"/>
        <v>55230</v>
      </c>
      <c r="H32422" s="49">
        <f t="shared" si="2"/>
        <v>55053</v>
      </c>
    </row>
    <row r="32423">
      <c r="A32423" s="48" t="s">
        <v>9297</v>
      </c>
      <c r="B32423" s="38">
        <v>41098.0</v>
      </c>
      <c r="C32423" s="38" t="s">
        <v>36708</v>
      </c>
      <c r="D32423" s="38" t="str">
        <f>IFERROR(__xludf.DUMMYFUNCTION("REGEXREPLACE(C32423,""-\d+(.*)|--\d+(.*)"","""")"),"GOMBERGEAN")</f>
        <v>GOMBERGEAN</v>
      </c>
      <c r="E32423" s="38" t="s">
        <v>188</v>
      </c>
      <c r="F32423" s="38" t="s">
        <v>123</v>
      </c>
      <c r="G32423" s="49" t="str">
        <f t="shared" si="1"/>
        <v>41310</v>
      </c>
      <c r="H32423" s="49">
        <f t="shared" si="2"/>
        <v>41098</v>
      </c>
    </row>
    <row r="32424">
      <c r="A32424" s="48" t="s">
        <v>19878</v>
      </c>
      <c r="B32424" s="38">
        <v>77276.0</v>
      </c>
      <c r="C32424" s="38" t="s">
        <v>36709</v>
      </c>
      <c r="D32424" s="38" t="str">
        <f>IFERROR(__xludf.DUMMYFUNCTION("REGEXREPLACE(C32424,""-\d+(.*)|--\d+(.*)"","""")"),"MAREUIL-LES-MEAUX")</f>
        <v>MAREUIL-LES-MEAUX</v>
      </c>
      <c r="E32424" s="38" t="s">
        <v>244</v>
      </c>
      <c r="F32424" s="38" t="s">
        <v>245</v>
      </c>
      <c r="G32424" s="49" t="str">
        <f t="shared" si="1"/>
        <v>77100</v>
      </c>
      <c r="H32424" s="49">
        <f t="shared" si="2"/>
        <v>77276</v>
      </c>
    </row>
    <row r="32425">
      <c r="A32425" s="48" t="s">
        <v>8779</v>
      </c>
      <c r="B32425" s="38">
        <v>45055.0</v>
      </c>
      <c r="C32425" s="38" t="s">
        <v>36710</v>
      </c>
      <c r="D32425" s="38" t="str">
        <f>IFERROR(__xludf.DUMMYFUNCTION("REGEXREPLACE(C32425,""-\d+(.*)|--\d+(.*)"","""")"),"BRICY")</f>
        <v>BRICY</v>
      </c>
      <c r="E32425" s="38" t="s">
        <v>122</v>
      </c>
      <c r="F32425" s="38" t="s">
        <v>123</v>
      </c>
      <c r="G32425" s="49" t="str">
        <f t="shared" si="1"/>
        <v>45310</v>
      </c>
      <c r="H32425" s="49">
        <f t="shared" si="2"/>
        <v>45055</v>
      </c>
    </row>
    <row r="32426">
      <c r="A32426" s="48" t="s">
        <v>24086</v>
      </c>
      <c r="B32426" s="38">
        <v>8328.0</v>
      </c>
      <c r="C32426" s="38" t="s">
        <v>36711</v>
      </c>
      <c r="D32426" s="38" t="str">
        <f>IFERROR(__xludf.DUMMYFUNCTION("REGEXREPLACE(C32426,""-\d+(.*)|--\d+(.*)"","""")"),"NOUZONVILLE")</f>
        <v>NOUZONVILLE</v>
      </c>
      <c r="E32426" s="38" t="s">
        <v>327</v>
      </c>
      <c r="F32426" s="38" t="s">
        <v>130</v>
      </c>
      <c r="G32426" s="49" t="str">
        <f t="shared" si="1"/>
        <v>08700</v>
      </c>
      <c r="H32426" s="49" t="str">
        <f t="shared" si="2"/>
        <v>08328</v>
      </c>
    </row>
    <row r="32427">
      <c r="A32427" s="48" t="s">
        <v>3545</v>
      </c>
      <c r="B32427" s="38">
        <v>17081.0</v>
      </c>
      <c r="C32427" s="38" t="s">
        <v>36712</v>
      </c>
      <c r="D32427" s="38" t="str">
        <f>IFERROR(__xludf.DUMMYFUNCTION("REGEXREPLACE(C32427,""-\d+(.*)|--\d+(.*)"","""")"),"CHAMOUILLAC")</f>
        <v>CHAMOUILLAC</v>
      </c>
      <c r="E32427" s="38" t="s">
        <v>488</v>
      </c>
      <c r="F32427" s="38" t="s">
        <v>338</v>
      </c>
      <c r="G32427" s="49" t="str">
        <f t="shared" si="1"/>
        <v>17130</v>
      </c>
      <c r="H32427" s="49">
        <f t="shared" si="2"/>
        <v>17081</v>
      </c>
    </row>
    <row r="32428">
      <c r="A32428" s="48" t="s">
        <v>3576</v>
      </c>
      <c r="B32428" s="38">
        <v>63346.0</v>
      </c>
      <c r="C32428" s="38" t="s">
        <v>36713</v>
      </c>
      <c r="D32428" s="38" t="str">
        <f>IFERROR(__xludf.DUMMYFUNCTION("REGEXREPLACE(C32428,""-\d+(.*)|--\d+(.*)"","""")"),"SAINT-GENES-CHAMPESPE")</f>
        <v>SAINT-GENES-CHAMPESPE</v>
      </c>
      <c r="E32428" s="38" t="s">
        <v>353</v>
      </c>
      <c r="F32428" s="38" t="s">
        <v>161</v>
      </c>
      <c r="G32428" s="49" t="str">
        <f t="shared" si="1"/>
        <v>63850</v>
      </c>
      <c r="H32428" s="49">
        <f t="shared" si="2"/>
        <v>63346</v>
      </c>
    </row>
    <row r="32429">
      <c r="A32429" s="48" t="s">
        <v>663</v>
      </c>
      <c r="B32429" s="38">
        <v>86012.0</v>
      </c>
      <c r="C32429" s="38" t="s">
        <v>30528</v>
      </c>
      <c r="D32429" s="38" t="str">
        <f>IFERROR(__xludf.DUMMYFUNCTION("REGEXREPLACE(C32429,""-\d+(.*)|--\d+(.*)"","""")"),"ASNOIS")</f>
        <v>ASNOIS</v>
      </c>
      <c r="E32429" s="38" t="s">
        <v>529</v>
      </c>
      <c r="F32429" s="38" t="s">
        <v>338</v>
      </c>
      <c r="G32429" s="49" t="str">
        <f t="shared" si="1"/>
        <v>86250</v>
      </c>
      <c r="H32429" s="49">
        <f t="shared" si="2"/>
        <v>86012</v>
      </c>
    </row>
    <row r="32430">
      <c r="A32430" s="48" t="s">
        <v>4292</v>
      </c>
      <c r="B32430" s="38">
        <v>74071.0</v>
      </c>
      <c r="C32430" s="38" t="s">
        <v>36714</v>
      </c>
      <c r="D32430" s="38" t="str">
        <f>IFERROR(__xludf.DUMMYFUNCTION("REGEXREPLACE(C32430,""-\d+(.*)|--\d+(.*)"","""")"),"CHESSENAZ")</f>
        <v>CHESSENAZ</v>
      </c>
      <c r="E32430" s="38" t="s">
        <v>319</v>
      </c>
      <c r="F32430" s="38" t="s">
        <v>102</v>
      </c>
      <c r="G32430" s="49" t="str">
        <f t="shared" si="1"/>
        <v>74270</v>
      </c>
      <c r="H32430" s="49">
        <f t="shared" si="2"/>
        <v>74071</v>
      </c>
    </row>
    <row r="32431">
      <c r="A32431" s="48" t="s">
        <v>36715</v>
      </c>
      <c r="B32431" s="38">
        <v>66008.0</v>
      </c>
      <c r="C32431" s="38" t="s">
        <v>36716</v>
      </c>
      <c r="D32431" s="38" t="str">
        <f>IFERROR(__xludf.DUMMYFUNCTION("REGEXREPLACE(C32431,""-\d+(.*)|--\d+(.*)"","""")"),"ARGELES-SUR-MER")</f>
        <v>ARGELES-SUR-MER</v>
      </c>
      <c r="E32431" s="38" t="s">
        <v>248</v>
      </c>
      <c r="F32431" s="38" t="s">
        <v>119</v>
      </c>
      <c r="G32431" s="49" t="str">
        <f t="shared" si="1"/>
        <v>66700</v>
      </c>
      <c r="H32431" s="49">
        <f t="shared" si="2"/>
        <v>66008</v>
      </c>
    </row>
    <row r="32432">
      <c r="A32432" s="48" t="s">
        <v>2521</v>
      </c>
      <c r="B32432" s="38">
        <v>28317.0</v>
      </c>
      <c r="C32432" s="38" t="s">
        <v>35435</v>
      </c>
      <c r="D32432" s="38" t="str">
        <f>IFERROR(__xludf.DUMMYFUNCTION("REGEXREPLACE(C32432,""-\d+(.*)|--\d+(.*)"","""")"),"ROINVILLE")</f>
        <v>ROINVILLE</v>
      </c>
      <c r="E32432" s="38" t="s">
        <v>300</v>
      </c>
      <c r="F32432" s="38" t="s">
        <v>123</v>
      </c>
      <c r="G32432" s="49" t="str">
        <f t="shared" si="1"/>
        <v>28700</v>
      </c>
      <c r="H32432" s="49">
        <f t="shared" si="2"/>
        <v>28317</v>
      </c>
    </row>
    <row r="32433">
      <c r="A32433" s="48" t="s">
        <v>1495</v>
      </c>
      <c r="B32433" s="38">
        <v>33282.0</v>
      </c>
      <c r="C32433" s="38" t="s">
        <v>36717</v>
      </c>
      <c r="D32433" s="38" t="str">
        <f>IFERROR(__xludf.DUMMYFUNCTION("REGEXREPLACE(C32433,""-\d+(.*)|--\d+(.*)"","""")"),"MERIGNAS")</f>
        <v>MERIGNAS</v>
      </c>
      <c r="E32433" s="38" t="s">
        <v>462</v>
      </c>
      <c r="F32433" s="38" t="s">
        <v>252</v>
      </c>
      <c r="G32433" s="49" t="str">
        <f t="shared" si="1"/>
        <v>33350</v>
      </c>
      <c r="H32433" s="49">
        <f t="shared" si="2"/>
        <v>33282</v>
      </c>
    </row>
    <row r="32434">
      <c r="A32434" s="48" t="s">
        <v>22807</v>
      </c>
      <c r="B32434" s="38">
        <v>68280.0</v>
      </c>
      <c r="C32434" s="38" t="s">
        <v>36718</v>
      </c>
      <c r="D32434" s="38" t="str">
        <f>IFERROR(__xludf.DUMMYFUNCTION("REGEXREPLACE(C32434,""-\d+(.*)|--\d+(.*)"","""")"),"RODERN")</f>
        <v>RODERN</v>
      </c>
      <c r="E32434" s="38" t="s">
        <v>150</v>
      </c>
      <c r="F32434" s="38" t="s">
        <v>151</v>
      </c>
      <c r="G32434" s="49" t="str">
        <f t="shared" si="1"/>
        <v>68590</v>
      </c>
      <c r="H32434" s="49">
        <f t="shared" si="2"/>
        <v>68280</v>
      </c>
    </row>
    <row r="32435">
      <c r="A32435" s="48" t="s">
        <v>6658</v>
      </c>
      <c r="B32435" s="38">
        <v>53050.0</v>
      </c>
      <c r="C32435" s="38" t="s">
        <v>36719</v>
      </c>
      <c r="D32435" s="38" t="str">
        <f>IFERROR(__xludf.DUMMYFUNCTION("REGEXREPLACE(C32435,""-\d+(.*)|--\d+(.*)"","""")"),"CHAMMES")</f>
        <v>CHAMMES</v>
      </c>
      <c r="E32435" s="38" t="s">
        <v>518</v>
      </c>
      <c r="F32435" s="38" t="s">
        <v>180</v>
      </c>
      <c r="G32435" s="49" t="str">
        <f t="shared" si="1"/>
        <v>53270</v>
      </c>
      <c r="H32435" s="49">
        <f t="shared" si="2"/>
        <v>53050</v>
      </c>
    </row>
    <row r="32436">
      <c r="A32436" s="48" t="s">
        <v>18589</v>
      </c>
      <c r="B32436" s="38">
        <v>7119.0</v>
      </c>
      <c r="C32436" s="38" t="s">
        <v>36720</v>
      </c>
      <c r="D32436" s="38" t="str">
        <f>IFERROR(__xludf.DUMMYFUNCTION("REGEXREPLACE(C32436,""-\d+(.*)|--\d+(.*)"","""")"),"LE LAC-D'ISSARLES")</f>
        <v>LE LAC-D'ISSARLES</v>
      </c>
      <c r="E32436" s="38" t="s">
        <v>144</v>
      </c>
      <c r="F32436" s="38" t="s">
        <v>102</v>
      </c>
      <c r="G32436" s="49" t="str">
        <f t="shared" si="1"/>
        <v>07470</v>
      </c>
      <c r="H32436" s="49" t="str">
        <f t="shared" si="2"/>
        <v>07119</v>
      </c>
    </row>
    <row r="32437">
      <c r="A32437" s="48" t="s">
        <v>2419</v>
      </c>
      <c r="B32437" s="38">
        <v>58110.0</v>
      </c>
      <c r="C32437" s="38" t="s">
        <v>36721</v>
      </c>
      <c r="D32437" s="38" t="str">
        <f>IFERROR(__xludf.DUMMYFUNCTION("REGEXREPLACE(C32437,""-\d+(.*)|--\d+(.*)"","""")"),"EPIRY")</f>
        <v>EPIRY</v>
      </c>
      <c r="E32437" s="38" t="s">
        <v>219</v>
      </c>
      <c r="F32437" s="38" t="s">
        <v>106</v>
      </c>
      <c r="G32437" s="49" t="str">
        <f t="shared" si="1"/>
        <v>58800</v>
      </c>
      <c r="H32437" s="49">
        <f t="shared" si="2"/>
        <v>58110</v>
      </c>
    </row>
    <row r="32438">
      <c r="A32438" s="48" t="s">
        <v>3364</v>
      </c>
      <c r="B32438" s="38">
        <v>62088.0</v>
      </c>
      <c r="C32438" s="38" t="s">
        <v>36722</v>
      </c>
      <c r="D32438" s="38" t="str">
        <f>IFERROR(__xludf.DUMMYFUNCTION("REGEXREPLACE(C32438,""-\d+(.*)|--\d+(.*)"","""")"),"BAYENGHEM-LES-SENINGHEM")</f>
        <v>BAYENGHEM-LES-SENINGHEM</v>
      </c>
      <c r="E32438" s="38" t="s">
        <v>109</v>
      </c>
      <c r="F32438" s="38" t="s">
        <v>86</v>
      </c>
      <c r="G32438" s="49" t="str">
        <f t="shared" si="1"/>
        <v>62380</v>
      </c>
      <c r="H32438" s="49">
        <f t="shared" si="2"/>
        <v>62088</v>
      </c>
    </row>
    <row r="32439">
      <c r="A32439" s="48" t="s">
        <v>15358</v>
      </c>
      <c r="B32439" s="38">
        <v>78283.0</v>
      </c>
      <c r="C32439" s="38" t="s">
        <v>13779</v>
      </c>
      <c r="D32439" s="38" t="str">
        <f>IFERROR(__xludf.DUMMYFUNCTION("REGEXREPLACE(C32439,""-\d+(.*)|--\d+(.*)"","""")"),"GRANDCHAMP")</f>
        <v>GRANDCHAMP</v>
      </c>
      <c r="E32439" s="38" t="s">
        <v>362</v>
      </c>
      <c r="F32439" s="38" t="s">
        <v>245</v>
      </c>
      <c r="G32439" s="49" t="str">
        <f t="shared" si="1"/>
        <v>78113</v>
      </c>
      <c r="H32439" s="49">
        <f t="shared" si="2"/>
        <v>78283</v>
      </c>
    </row>
    <row r="32440">
      <c r="A32440" s="48" t="s">
        <v>10363</v>
      </c>
      <c r="B32440" s="38">
        <v>43253.0</v>
      </c>
      <c r="C32440" s="38" t="s">
        <v>36723</v>
      </c>
      <c r="D32440" s="38" t="str">
        <f>IFERROR(__xludf.DUMMYFUNCTION("REGEXREPLACE(C32440,""-\d+(.*)|--\d+(.*)"","""")"),"LES VASTRES")</f>
        <v>LES VASTRES</v>
      </c>
      <c r="E32440" s="38" t="s">
        <v>332</v>
      </c>
      <c r="F32440" s="38" t="s">
        <v>161</v>
      </c>
      <c r="G32440" s="49" t="str">
        <f t="shared" si="1"/>
        <v>43430</v>
      </c>
      <c r="H32440" s="49">
        <f t="shared" si="2"/>
        <v>43253</v>
      </c>
    </row>
    <row r="32441">
      <c r="A32441" s="48" t="s">
        <v>987</v>
      </c>
      <c r="B32441" s="38">
        <v>40219.0</v>
      </c>
      <c r="C32441" s="38" t="s">
        <v>36724</v>
      </c>
      <c r="D32441" s="38" t="str">
        <f>IFERROR(__xludf.DUMMYFUNCTION("REGEXREPLACE(C32441,""-\d+(.*)|--\d+(.*)"","""")"),"PAYROS-CAZAUTETS")</f>
        <v>PAYROS-CAZAUTETS</v>
      </c>
      <c r="E32441" s="38" t="s">
        <v>281</v>
      </c>
      <c r="F32441" s="38" t="s">
        <v>252</v>
      </c>
      <c r="G32441" s="49" t="str">
        <f t="shared" si="1"/>
        <v>40320</v>
      </c>
      <c r="H32441" s="49">
        <f t="shared" si="2"/>
        <v>40219</v>
      </c>
    </row>
    <row r="32442">
      <c r="A32442" s="48" t="s">
        <v>1450</v>
      </c>
      <c r="B32442" s="38">
        <v>50608.0</v>
      </c>
      <c r="C32442" s="38" t="s">
        <v>36725</v>
      </c>
      <c r="D32442" s="38" t="str">
        <f>IFERROR(__xludf.DUMMYFUNCTION("REGEXREPLACE(C32442,""-\d+(.*)|--\d+(.*)"","""")"),"TROISGOTS")</f>
        <v>TROISGOTS</v>
      </c>
      <c r="E32442" s="38" t="s">
        <v>157</v>
      </c>
      <c r="F32442" s="38" t="s">
        <v>138</v>
      </c>
      <c r="G32442" s="49" t="str">
        <f t="shared" si="1"/>
        <v>50420</v>
      </c>
      <c r="H32442" s="49">
        <f t="shared" si="2"/>
        <v>50608</v>
      </c>
    </row>
    <row r="32443">
      <c r="A32443" s="48" t="s">
        <v>36726</v>
      </c>
      <c r="B32443" s="38" t="s">
        <v>36727</v>
      </c>
      <c r="C32443" s="38" t="s">
        <v>36728</v>
      </c>
      <c r="D32443" s="38" t="str">
        <f>IFERROR(__xludf.DUMMYFUNCTION("REGEXREPLACE(C32443,""-\d+(.*)|--\d+(.*)"","""")"),"ZONZA")</f>
        <v>ZONZA</v>
      </c>
      <c r="E32443" s="38" t="s">
        <v>606</v>
      </c>
      <c r="F32443" s="38" t="s">
        <v>607</v>
      </c>
      <c r="G32443" s="49" t="str">
        <f t="shared" si="1"/>
        <v>20124</v>
      </c>
      <c r="H32443" s="49" t="str">
        <f t="shared" si="2"/>
        <v>2A362</v>
      </c>
    </row>
    <row r="32444">
      <c r="A32444" s="48" t="s">
        <v>13730</v>
      </c>
      <c r="B32444" s="38">
        <v>95213.0</v>
      </c>
      <c r="C32444" s="38" t="s">
        <v>36729</v>
      </c>
      <c r="D32444" s="38" t="str">
        <f>IFERROR(__xludf.DUMMYFUNCTION("REGEXREPLACE(C32444,""-\d+(.*)|--\d+(.*)"","""")"),"EPIAIS-RHUS")</f>
        <v>EPIAIS-RHUS</v>
      </c>
      <c r="E32444" s="38" t="s">
        <v>541</v>
      </c>
      <c r="F32444" s="38" t="s">
        <v>245</v>
      </c>
      <c r="G32444" s="49" t="str">
        <f t="shared" si="1"/>
        <v>95810</v>
      </c>
      <c r="H32444" s="49">
        <f t="shared" si="2"/>
        <v>95213</v>
      </c>
    </row>
    <row r="32445">
      <c r="A32445" s="48" t="s">
        <v>1424</v>
      </c>
      <c r="B32445" s="38">
        <v>86228.0</v>
      </c>
      <c r="C32445" s="38" t="s">
        <v>36730</v>
      </c>
      <c r="D32445" s="38" t="str">
        <f>IFERROR(__xludf.DUMMYFUNCTION("REGEXREPLACE(C32445,""-\d+(.*)|--\d+(.*)"","""")"),"SAINT-LAURENT-DE-JOURDES")</f>
        <v>SAINT-LAURENT-DE-JOURDES</v>
      </c>
      <c r="E32445" s="38" t="s">
        <v>529</v>
      </c>
      <c r="F32445" s="38" t="s">
        <v>338</v>
      </c>
      <c r="G32445" s="49" t="str">
        <f t="shared" si="1"/>
        <v>86410</v>
      </c>
      <c r="H32445" s="49">
        <f t="shared" si="2"/>
        <v>86228</v>
      </c>
    </row>
    <row r="32446">
      <c r="A32446" s="48" t="s">
        <v>3975</v>
      </c>
      <c r="B32446" s="38">
        <v>19037.0</v>
      </c>
      <c r="C32446" s="38" t="s">
        <v>36731</v>
      </c>
      <c r="D32446" s="38" t="str">
        <f>IFERROR(__xludf.DUMMYFUNCTION("REGEXREPLACE(C32446,""-\d+(.*)|--\d+(.*)"","""")"),"CHAMBOULIVE")</f>
        <v>CHAMBOULIVE</v>
      </c>
      <c r="E32446" s="38" t="s">
        <v>271</v>
      </c>
      <c r="F32446" s="38" t="s">
        <v>98</v>
      </c>
      <c r="G32446" s="49" t="str">
        <f t="shared" si="1"/>
        <v>19450</v>
      </c>
      <c r="H32446" s="49">
        <f t="shared" si="2"/>
        <v>19037</v>
      </c>
    </row>
    <row r="32447">
      <c r="A32447" s="48" t="s">
        <v>2549</v>
      </c>
      <c r="B32447" s="38">
        <v>55177.0</v>
      </c>
      <c r="C32447" s="38" t="s">
        <v>36732</v>
      </c>
      <c r="D32447" s="38" t="str">
        <f>IFERROR(__xludf.DUMMYFUNCTION("REGEXREPLACE(C32447,""-\d+(.*)|--\d+(.*)"","""")"),"ERIZE-LA-PETITE")</f>
        <v>ERIZE-LA-PETITE</v>
      </c>
      <c r="E32447" s="38" t="s">
        <v>322</v>
      </c>
      <c r="F32447" s="38" t="s">
        <v>195</v>
      </c>
      <c r="G32447" s="49" t="str">
        <f t="shared" si="1"/>
        <v>55260</v>
      </c>
      <c r="H32447" s="49">
        <f t="shared" si="2"/>
        <v>55177</v>
      </c>
    </row>
    <row r="32448">
      <c r="A32448" s="48" t="s">
        <v>15022</v>
      </c>
      <c r="B32448" s="38">
        <v>8013.0</v>
      </c>
      <c r="C32448" s="38" t="s">
        <v>36733</v>
      </c>
      <c r="D32448" s="38" t="str">
        <f>IFERROR(__xludf.DUMMYFUNCTION("REGEXREPLACE(C32448,""-\d+(.*)|--\d+(.*)"","""")"),"ANGECOURT")</f>
        <v>ANGECOURT</v>
      </c>
      <c r="E32448" s="38" t="s">
        <v>327</v>
      </c>
      <c r="F32448" s="38" t="s">
        <v>130</v>
      </c>
      <c r="G32448" s="49" t="str">
        <f t="shared" si="1"/>
        <v>08450</v>
      </c>
      <c r="H32448" s="49" t="str">
        <f t="shared" si="2"/>
        <v>08013</v>
      </c>
    </row>
    <row r="32449">
      <c r="A32449" s="48" t="s">
        <v>6296</v>
      </c>
      <c r="B32449" s="38">
        <v>50112.0</v>
      </c>
      <c r="C32449" s="38" t="s">
        <v>36734</v>
      </c>
      <c r="D32449" s="38" t="str">
        <f>IFERROR(__xludf.DUMMYFUNCTION("REGEXREPLACE(C32449,""-\d+(.*)|--\d+(.*)"","""")"),"LA CHAISE-BAUDOUIN")</f>
        <v>LA CHAISE-BAUDOUIN</v>
      </c>
      <c r="E32449" s="38" t="s">
        <v>157</v>
      </c>
      <c r="F32449" s="38" t="s">
        <v>138</v>
      </c>
      <c r="G32449" s="49" t="str">
        <f t="shared" si="1"/>
        <v>50370</v>
      </c>
      <c r="H32449" s="49">
        <f t="shared" si="2"/>
        <v>50112</v>
      </c>
    </row>
    <row r="32450">
      <c r="A32450" s="48" t="s">
        <v>643</v>
      </c>
      <c r="B32450" s="38">
        <v>88084.0</v>
      </c>
      <c r="C32450" s="38" t="s">
        <v>36735</v>
      </c>
      <c r="D32450" s="38" t="str">
        <f>IFERROR(__xludf.DUMMYFUNCTION("REGEXREPLACE(C32450,""-\d+(.*)|--\d+(.*)"","""")"),"CHAMAGNE")</f>
        <v>CHAMAGNE</v>
      </c>
      <c r="E32450" s="38" t="s">
        <v>194</v>
      </c>
      <c r="F32450" s="38" t="s">
        <v>195</v>
      </c>
      <c r="G32450" s="49" t="str">
        <f t="shared" si="1"/>
        <v>88130</v>
      </c>
      <c r="H32450" s="49">
        <f t="shared" si="2"/>
        <v>88084</v>
      </c>
    </row>
    <row r="32451">
      <c r="A32451" s="48" t="s">
        <v>964</v>
      </c>
      <c r="B32451" s="38">
        <v>71384.0</v>
      </c>
      <c r="C32451" s="38" t="s">
        <v>36736</v>
      </c>
      <c r="D32451" s="38" t="str">
        <f>IFERROR(__xludf.DUMMYFUNCTION("REGEXREPLACE(C32451,""-\d+(.*)|--\d+(.*)"","""")"),"SAINT-AMBREUIL")</f>
        <v>SAINT-AMBREUIL</v>
      </c>
      <c r="E32451" s="38" t="s">
        <v>344</v>
      </c>
      <c r="F32451" s="38" t="s">
        <v>106</v>
      </c>
      <c r="G32451" s="49" t="str">
        <f t="shared" si="1"/>
        <v>71240</v>
      </c>
      <c r="H32451" s="49">
        <f t="shared" si="2"/>
        <v>71384</v>
      </c>
    </row>
    <row r="32452">
      <c r="A32452" s="48" t="s">
        <v>962</v>
      </c>
      <c r="B32452" s="38">
        <v>24427.0</v>
      </c>
      <c r="C32452" s="38" t="s">
        <v>36737</v>
      </c>
      <c r="D32452" s="38" t="str">
        <f>IFERROR(__xludf.DUMMYFUNCTION("REGEXREPLACE(C32452,""-\d+(.*)|--\d+(.*)"","""")"),"SAINT-JEAN-D'EYRAUD")</f>
        <v>SAINT-JEAN-D'EYRAUD</v>
      </c>
      <c r="E32452" s="38" t="s">
        <v>261</v>
      </c>
      <c r="F32452" s="38" t="s">
        <v>252</v>
      </c>
      <c r="G32452" s="49" t="str">
        <f t="shared" si="1"/>
        <v>24140</v>
      </c>
      <c r="H32452" s="49">
        <f t="shared" si="2"/>
        <v>24427</v>
      </c>
    </row>
    <row r="32453">
      <c r="A32453" s="48" t="s">
        <v>489</v>
      </c>
      <c r="B32453" s="38">
        <v>9276.0</v>
      </c>
      <c r="C32453" s="38" t="s">
        <v>36738</v>
      </c>
      <c r="D32453" s="38" t="str">
        <f>IFERROR(__xludf.DUMMYFUNCTION("REGEXREPLACE(C32453,""-\d+(.*)|--\d+(.*)"","""")"),"SAINT-VICTOR-ROUZAUD")</f>
        <v>SAINT-VICTOR-ROUZAUD</v>
      </c>
      <c r="E32453" s="38" t="s">
        <v>238</v>
      </c>
      <c r="F32453" s="38" t="s">
        <v>94</v>
      </c>
      <c r="G32453" s="49" t="str">
        <f t="shared" si="1"/>
        <v>09100</v>
      </c>
      <c r="H32453" s="49" t="str">
        <f t="shared" si="2"/>
        <v>09276</v>
      </c>
    </row>
    <row r="32454">
      <c r="A32454" s="48" t="s">
        <v>4895</v>
      </c>
      <c r="B32454" s="38">
        <v>34242.0</v>
      </c>
      <c r="C32454" s="38" t="s">
        <v>36739</v>
      </c>
      <c r="D32454" s="38" t="str">
        <f>IFERROR(__xludf.DUMMYFUNCTION("REGEXREPLACE(C32454,""-\d+(.*)|--\d+(.*)"","""")"),"SAINT-BAUZILLE-DE-MONTMEL")</f>
        <v>SAINT-BAUZILLE-DE-MONTMEL</v>
      </c>
      <c r="E32454" s="38" t="s">
        <v>118</v>
      </c>
      <c r="F32454" s="38" t="s">
        <v>119</v>
      </c>
      <c r="G32454" s="49" t="str">
        <f t="shared" si="1"/>
        <v>34160</v>
      </c>
      <c r="H32454" s="49">
        <f t="shared" si="2"/>
        <v>34242</v>
      </c>
    </row>
    <row r="32455">
      <c r="A32455" s="48" t="s">
        <v>1754</v>
      </c>
      <c r="B32455" s="38">
        <v>14522.0</v>
      </c>
      <c r="C32455" s="38" t="s">
        <v>36740</v>
      </c>
      <c r="D32455" s="38" t="str">
        <f>IFERROR(__xludf.DUMMYFUNCTION("REGEXREPLACE(C32455,""-\d+(.*)|--\d+(.*)"","""")"),"PRETREVILLE")</f>
        <v>PRETREVILLE</v>
      </c>
      <c r="E32455" s="38" t="s">
        <v>137</v>
      </c>
      <c r="F32455" s="38" t="s">
        <v>138</v>
      </c>
      <c r="G32455" s="49" t="str">
        <f t="shared" si="1"/>
        <v>14140</v>
      </c>
      <c r="H32455" s="49">
        <f t="shared" si="2"/>
        <v>14522</v>
      </c>
    </row>
    <row r="32456">
      <c r="A32456" s="48" t="s">
        <v>1628</v>
      </c>
      <c r="B32456" s="38">
        <v>70454.0</v>
      </c>
      <c r="C32456" s="38" t="s">
        <v>36741</v>
      </c>
      <c r="D32456" s="38" t="str">
        <f>IFERROR(__xludf.DUMMYFUNCTION("REGEXREPLACE(C32456,""-\d+(.*)|--\d+(.*)"","""")"),"ROSIERES-SUR-MANCE")</f>
        <v>ROSIERES-SUR-MANCE</v>
      </c>
      <c r="E32456" s="38" t="s">
        <v>956</v>
      </c>
      <c r="F32456" s="38" t="s">
        <v>214</v>
      </c>
      <c r="G32456" s="49" t="str">
        <f t="shared" si="1"/>
        <v>70500</v>
      </c>
      <c r="H32456" s="49">
        <f t="shared" si="2"/>
        <v>70454</v>
      </c>
    </row>
    <row r="32457">
      <c r="A32457" s="48" t="s">
        <v>3706</v>
      </c>
      <c r="B32457" s="38">
        <v>77434.0</v>
      </c>
      <c r="C32457" s="38" t="s">
        <v>36742</v>
      </c>
      <c r="D32457" s="38" t="str">
        <f>IFERROR(__xludf.DUMMYFUNCTION("REGEXREPLACE(C32457,""-\d+(.*)|--\d+(.*)"","""")"),"SAINT-SAUVEUR-LES-BRAY")</f>
        <v>SAINT-SAUVEUR-LES-BRAY</v>
      </c>
      <c r="E32457" s="38" t="s">
        <v>244</v>
      </c>
      <c r="F32457" s="38" t="s">
        <v>245</v>
      </c>
      <c r="G32457" s="49" t="str">
        <f t="shared" si="1"/>
        <v>77480</v>
      </c>
      <c r="H32457" s="49">
        <f t="shared" si="2"/>
        <v>77434</v>
      </c>
    </row>
    <row r="32458">
      <c r="A32458" s="48" t="s">
        <v>15975</v>
      </c>
      <c r="B32458" s="38">
        <v>72368.0</v>
      </c>
      <c r="C32458" s="38" t="s">
        <v>36743</v>
      </c>
      <c r="D32458" s="38" t="str">
        <f>IFERROR(__xludf.DUMMYFUNCTION("REGEXREPLACE(C32458,""-\d+(.*)|--\d+(.*)"","""")"),"VANCE")</f>
        <v>VANCE</v>
      </c>
      <c r="E32458" s="38" t="s">
        <v>521</v>
      </c>
      <c r="F32458" s="38" t="s">
        <v>180</v>
      </c>
      <c r="G32458" s="49" t="str">
        <f t="shared" si="1"/>
        <v>72310</v>
      </c>
      <c r="H32458" s="49">
        <f t="shared" si="2"/>
        <v>72368</v>
      </c>
    </row>
    <row r="32459">
      <c r="A32459" s="48" t="s">
        <v>253</v>
      </c>
      <c r="B32459" s="38">
        <v>1343.0</v>
      </c>
      <c r="C32459" s="38" t="s">
        <v>36744</v>
      </c>
      <c r="D32459" s="38" t="str">
        <f>IFERROR(__xludf.DUMMYFUNCTION("REGEXREPLACE(C32459,""-\d+(.*)|--\d+(.*)"","""")"),"SAINT-CYR-SUR-MENTHON")</f>
        <v>SAINT-CYR-SUR-MENTHON</v>
      </c>
      <c r="E32459" s="38" t="s">
        <v>255</v>
      </c>
      <c r="F32459" s="38" t="s">
        <v>102</v>
      </c>
      <c r="G32459" s="49" t="str">
        <f t="shared" si="1"/>
        <v>01380</v>
      </c>
      <c r="H32459" s="49" t="str">
        <f t="shared" si="2"/>
        <v>01343</v>
      </c>
    </row>
    <row r="32460">
      <c r="A32460" s="48" t="s">
        <v>2370</v>
      </c>
      <c r="B32460" s="38">
        <v>33446.0</v>
      </c>
      <c r="C32460" s="38" t="s">
        <v>34357</v>
      </c>
      <c r="D32460" s="38" t="str">
        <f>IFERROR(__xludf.DUMMYFUNCTION("REGEXREPLACE(C32460,""-\d+(.*)|--\d+(.*)"","""")"),"SAINT-MARTIN-DU-PUY")</f>
        <v>SAINT-MARTIN-DU-PUY</v>
      </c>
      <c r="E32460" s="38" t="s">
        <v>462</v>
      </c>
      <c r="F32460" s="38" t="s">
        <v>252</v>
      </c>
      <c r="G32460" s="49" t="str">
        <f t="shared" si="1"/>
        <v>33540</v>
      </c>
      <c r="H32460" s="49">
        <f t="shared" si="2"/>
        <v>33446</v>
      </c>
    </row>
    <row r="32461">
      <c r="A32461" s="48" t="s">
        <v>9293</v>
      </c>
      <c r="B32461" s="38">
        <v>9266.0</v>
      </c>
      <c r="C32461" s="38" t="s">
        <v>36745</v>
      </c>
      <c r="D32461" s="38" t="str">
        <f>IFERROR(__xludf.DUMMYFUNCTION("REGEXREPLACE(C32461,""-\d+(.*)|--\d+(.*)"","""")"),"SAINT-JULIEN-DE-GRAS-CAPOU")</f>
        <v>SAINT-JULIEN-DE-GRAS-CAPOU</v>
      </c>
      <c r="E32461" s="38" t="s">
        <v>238</v>
      </c>
      <c r="F32461" s="38" t="s">
        <v>94</v>
      </c>
      <c r="G32461" s="49" t="str">
        <f t="shared" si="1"/>
        <v>09500</v>
      </c>
      <c r="H32461" s="49" t="str">
        <f t="shared" si="2"/>
        <v>09266</v>
      </c>
    </row>
    <row r="32462">
      <c r="A32462" s="48" t="s">
        <v>10970</v>
      </c>
      <c r="B32462" s="38">
        <v>59657.0</v>
      </c>
      <c r="C32462" s="38" t="s">
        <v>36746</v>
      </c>
      <c r="D32462" s="38" t="str">
        <f>IFERROR(__xludf.DUMMYFUNCTION("REGEXREPLACE(C32462,""-\d+(.*)|--\d+(.*)"","""")"),"WEST-CAPPEL")</f>
        <v>WEST-CAPPEL</v>
      </c>
      <c r="E32462" s="38" t="s">
        <v>85</v>
      </c>
      <c r="F32462" s="38" t="s">
        <v>86</v>
      </c>
      <c r="G32462" s="49" t="str">
        <f t="shared" si="1"/>
        <v>59380</v>
      </c>
      <c r="H32462" s="49">
        <f t="shared" si="2"/>
        <v>59657</v>
      </c>
    </row>
    <row r="32463">
      <c r="A32463" s="48" t="s">
        <v>232</v>
      </c>
      <c r="B32463" s="38">
        <v>52216.0</v>
      </c>
      <c r="C32463" s="38" t="s">
        <v>36747</v>
      </c>
      <c r="D32463" s="38" t="str">
        <f>IFERROR(__xludf.DUMMYFUNCTION("REGEXREPLACE(C32463,""-\d+(.*)|--\d+(.*)"","""")"),"GERMAINES")</f>
        <v>GERMAINES</v>
      </c>
      <c r="E32463" s="38" t="s">
        <v>234</v>
      </c>
      <c r="F32463" s="38" t="s">
        <v>130</v>
      </c>
      <c r="G32463" s="49" t="str">
        <f t="shared" si="1"/>
        <v>52160</v>
      </c>
      <c r="H32463" s="49">
        <f t="shared" si="2"/>
        <v>52216</v>
      </c>
    </row>
    <row r="32464">
      <c r="A32464" s="48" t="s">
        <v>2940</v>
      </c>
      <c r="B32464" s="38">
        <v>53090.0</v>
      </c>
      <c r="C32464" s="38" t="s">
        <v>36748</v>
      </c>
      <c r="D32464" s="38" t="str">
        <f>IFERROR(__xludf.DUMMYFUNCTION("REGEXREPLACE(C32464,""-\d+(.*)|--\d+(.*)"","""")"),"DENAZE")</f>
        <v>DENAZE</v>
      </c>
      <c r="E32464" s="38" t="s">
        <v>518</v>
      </c>
      <c r="F32464" s="38" t="s">
        <v>180</v>
      </c>
      <c r="G32464" s="49" t="str">
        <f t="shared" si="1"/>
        <v>53400</v>
      </c>
      <c r="H32464" s="49">
        <f t="shared" si="2"/>
        <v>53090</v>
      </c>
    </row>
    <row r="32465">
      <c r="A32465" s="48" t="s">
        <v>2229</v>
      </c>
      <c r="B32465" s="38">
        <v>64365.0</v>
      </c>
      <c r="C32465" s="38" t="s">
        <v>36749</v>
      </c>
      <c r="D32465" s="38" t="str">
        <f>IFERROR(__xludf.DUMMYFUNCTION("REGEXREPLACE(C32465,""-\d+(.*)|--\d+(.*)"","""")"),"MALAUSSANNE")</f>
        <v>MALAUSSANNE</v>
      </c>
      <c r="E32465" s="38" t="s">
        <v>268</v>
      </c>
      <c r="F32465" s="38" t="s">
        <v>252</v>
      </c>
      <c r="G32465" s="49" t="str">
        <f t="shared" si="1"/>
        <v>64410</v>
      </c>
      <c r="H32465" s="49">
        <f t="shared" si="2"/>
        <v>64365</v>
      </c>
    </row>
    <row r="32466">
      <c r="A32466" s="48" t="s">
        <v>4199</v>
      </c>
      <c r="B32466" s="38">
        <v>17319.0</v>
      </c>
      <c r="C32466" s="38" t="s">
        <v>10166</v>
      </c>
      <c r="D32466" s="38" t="str">
        <f>IFERROR(__xludf.DUMMYFUNCTION("REGEXREPLACE(C32466,""-\d+(.*)|--\d+(.*)"","""")"),"SAINTE-COLOMBE")</f>
        <v>SAINTE-COLOMBE</v>
      </c>
      <c r="E32466" s="38" t="s">
        <v>488</v>
      </c>
      <c r="F32466" s="38" t="s">
        <v>338</v>
      </c>
      <c r="G32466" s="49" t="str">
        <f t="shared" si="1"/>
        <v>17210</v>
      </c>
      <c r="H32466" s="49">
        <f t="shared" si="2"/>
        <v>17319</v>
      </c>
    </row>
    <row r="32467">
      <c r="A32467" s="48" t="s">
        <v>9028</v>
      </c>
      <c r="B32467" s="38">
        <v>65285.0</v>
      </c>
      <c r="C32467" s="38" t="s">
        <v>36750</v>
      </c>
      <c r="D32467" s="38" t="str">
        <f>IFERROR(__xludf.DUMMYFUNCTION("REGEXREPLACE(C32467,""-\d+(.*)|--\d+(.*)"","""")"),"LOUIT")</f>
        <v>LOUIT</v>
      </c>
      <c r="E32467" s="38" t="s">
        <v>200</v>
      </c>
      <c r="F32467" s="38" t="s">
        <v>94</v>
      </c>
      <c r="G32467" s="49" t="str">
        <f t="shared" si="1"/>
        <v>65350</v>
      </c>
      <c r="H32467" s="49">
        <f t="shared" si="2"/>
        <v>65285</v>
      </c>
    </row>
    <row r="32468">
      <c r="A32468" s="48" t="s">
        <v>10705</v>
      </c>
      <c r="B32468" s="38">
        <v>64359.0</v>
      </c>
      <c r="C32468" s="38" t="s">
        <v>36751</v>
      </c>
      <c r="D32468" s="38" t="str">
        <f>IFERROR(__xludf.DUMMYFUNCTION("REGEXREPLACE(C32468,""-\d+(.*)|--\d+(.*)"","""")"),"LUCQ-DE-BEARN")</f>
        <v>LUCQ-DE-BEARN</v>
      </c>
      <c r="E32468" s="38" t="s">
        <v>268</v>
      </c>
      <c r="F32468" s="38" t="s">
        <v>252</v>
      </c>
      <c r="G32468" s="49" t="str">
        <f t="shared" si="1"/>
        <v>64360</v>
      </c>
      <c r="H32468" s="49">
        <f t="shared" si="2"/>
        <v>64359</v>
      </c>
    </row>
    <row r="32469">
      <c r="A32469" s="48" t="s">
        <v>9475</v>
      </c>
      <c r="B32469" s="38">
        <v>38412.0</v>
      </c>
      <c r="C32469" s="38" t="s">
        <v>36752</v>
      </c>
      <c r="D32469" s="38" t="str">
        <f>IFERROR(__xludf.DUMMYFUNCTION("REGEXREPLACE(C32469,""-\d+(.*)|--\d+(.*)"","""")"),"SAINT-LAURENT-DU-PONT")</f>
        <v>SAINT-LAURENT-DU-PONT</v>
      </c>
      <c r="E32469" s="38" t="s">
        <v>101</v>
      </c>
      <c r="F32469" s="38" t="s">
        <v>102</v>
      </c>
      <c r="G32469" s="49" t="str">
        <f t="shared" si="1"/>
        <v>38380</v>
      </c>
      <c r="H32469" s="49">
        <f t="shared" si="2"/>
        <v>38412</v>
      </c>
    </row>
    <row r="32470">
      <c r="A32470" s="48" t="s">
        <v>36753</v>
      </c>
      <c r="B32470" s="38">
        <v>69383.0</v>
      </c>
      <c r="C32470" s="38" t="s">
        <v>36754</v>
      </c>
      <c r="D32470" s="38" t="str">
        <f>IFERROR(__xludf.DUMMYFUNCTION("REGEXREPLACE(C32470,""-\d+(.*)|--\d+(.*)"","""")"),"LYON")</f>
        <v>LYON</v>
      </c>
      <c r="E32470" s="38" t="s">
        <v>350</v>
      </c>
      <c r="F32470" s="38" t="s">
        <v>102</v>
      </c>
      <c r="G32470" s="49" t="str">
        <f t="shared" si="1"/>
        <v>69003</v>
      </c>
      <c r="H32470" s="49">
        <f t="shared" si="2"/>
        <v>69383</v>
      </c>
    </row>
    <row r="32471">
      <c r="A32471" s="48" t="s">
        <v>30785</v>
      </c>
      <c r="B32471" s="38">
        <v>85192.0</v>
      </c>
      <c r="C32471" s="38" t="s">
        <v>36755</v>
      </c>
      <c r="D32471" s="38" t="str">
        <f>IFERROR(__xludf.DUMMYFUNCTION("REGEXREPLACE(C32471,""-\d+(.*)|--\d+(.*)"","""")"),"ROCHETREJOUX")</f>
        <v>ROCHETREJOUX</v>
      </c>
      <c r="E32471" s="38" t="s">
        <v>179</v>
      </c>
      <c r="F32471" s="38" t="s">
        <v>180</v>
      </c>
      <c r="G32471" s="49" t="str">
        <f t="shared" si="1"/>
        <v>85510</v>
      </c>
      <c r="H32471" s="49">
        <f t="shared" si="2"/>
        <v>85192</v>
      </c>
    </row>
    <row r="32472">
      <c r="A32472" s="48" t="s">
        <v>1787</v>
      </c>
      <c r="B32472" s="38">
        <v>62844.0</v>
      </c>
      <c r="C32472" s="38" t="s">
        <v>36756</v>
      </c>
      <c r="D32472" s="38" t="str">
        <f>IFERROR(__xludf.DUMMYFUNCTION("REGEXREPLACE(C32472,""-\d+(.*)|--\d+(.*)"","""")"),"VERCHOCQ")</f>
        <v>VERCHOCQ</v>
      </c>
      <c r="E32472" s="38" t="s">
        <v>109</v>
      </c>
      <c r="F32472" s="38" t="s">
        <v>86</v>
      </c>
      <c r="G32472" s="49" t="str">
        <f t="shared" si="1"/>
        <v>62560</v>
      </c>
      <c r="H32472" s="49">
        <f t="shared" si="2"/>
        <v>62844</v>
      </c>
    </row>
    <row r="32473">
      <c r="A32473" s="48" t="s">
        <v>2182</v>
      </c>
      <c r="B32473" s="38">
        <v>89171.0</v>
      </c>
      <c r="C32473" s="38" t="s">
        <v>36757</v>
      </c>
      <c r="D32473" s="38" t="str">
        <f>IFERROR(__xludf.DUMMYFUNCTION("REGEXREPLACE(C32473,""-\d+(.*)|--\d+(.*)"","""")"),"FOISSY-SUR-VANNE")</f>
        <v>FOISSY-SUR-VANNE</v>
      </c>
      <c r="E32473" s="38" t="s">
        <v>275</v>
      </c>
      <c r="F32473" s="38" t="s">
        <v>106</v>
      </c>
      <c r="G32473" s="49" t="str">
        <f t="shared" si="1"/>
        <v>89190</v>
      </c>
      <c r="H32473" s="49">
        <f t="shared" si="2"/>
        <v>89171</v>
      </c>
    </row>
    <row r="32474">
      <c r="A32474" s="48" t="s">
        <v>7657</v>
      </c>
      <c r="B32474" s="38">
        <v>80659.0</v>
      </c>
      <c r="C32474" s="38" t="s">
        <v>36758</v>
      </c>
      <c r="D32474" s="38" t="str">
        <f>IFERROR(__xludf.DUMMYFUNCTION("REGEXREPLACE(C32474,""-\d+(.*)|--\d+(.*)"","""")"),"RAINCHEVAL")</f>
        <v>RAINCHEVAL</v>
      </c>
      <c r="E32474" s="38" t="s">
        <v>224</v>
      </c>
      <c r="F32474" s="38" t="s">
        <v>113</v>
      </c>
      <c r="G32474" s="49" t="str">
        <f t="shared" si="1"/>
        <v>80600</v>
      </c>
      <c r="H32474" s="49">
        <f t="shared" si="2"/>
        <v>80659</v>
      </c>
    </row>
    <row r="32475">
      <c r="A32475" s="48" t="s">
        <v>5681</v>
      </c>
      <c r="B32475" s="38">
        <v>58257.0</v>
      </c>
      <c r="C32475" s="38" t="s">
        <v>209</v>
      </c>
      <c r="D32475" s="38" t="str">
        <f>IFERROR(__xludf.DUMMYFUNCTION("REGEXREPLACE(C32475,""-\d+(.*)|--\d+(.*)"","""")"),"SAINT-MAURICE")</f>
        <v>SAINT-MAURICE</v>
      </c>
      <c r="E32475" s="38" t="s">
        <v>219</v>
      </c>
      <c r="F32475" s="38" t="s">
        <v>106</v>
      </c>
      <c r="G32475" s="49" t="str">
        <f t="shared" si="1"/>
        <v>58330</v>
      </c>
      <c r="H32475" s="49">
        <f t="shared" si="2"/>
        <v>58257</v>
      </c>
    </row>
    <row r="32476">
      <c r="A32476" s="48" t="s">
        <v>450</v>
      </c>
      <c r="B32476" s="38">
        <v>71241.0</v>
      </c>
      <c r="C32476" s="38" t="s">
        <v>36759</v>
      </c>
      <c r="D32476" s="38" t="str">
        <f>IFERROR(__xludf.DUMMYFUNCTION("REGEXREPLACE(C32476,""-\d+(.*)|--\d+(.*)"","""")"),"JAMBLES")</f>
        <v>JAMBLES</v>
      </c>
      <c r="E32476" s="38" t="s">
        <v>344</v>
      </c>
      <c r="F32476" s="38" t="s">
        <v>106</v>
      </c>
      <c r="G32476" s="49" t="str">
        <f t="shared" si="1"/>
        <v>71640</v>
      </c>
      <c r="H32476" s="49">
        <f t="shared" si="2"/>
        <v>71241</v>
      </c>
    </row>
    <row r="32477">
      <c r="A32477" s="48" t="s">
        <v>891</v>
      </c>
      <c r="B32477" s="38">
        <v>66085.0</v>
      </c>
      <c r="C32477" s="38" t="s">
        <v>36760</v>
      </c>
      <c r="D32477" s="38" t="str">
        <f>IFERROR(__xludf.DUMMYFUNCTION("REGEXREPLACE(C32477,""-\d+(.*)|--\d+(.*)"","""")"),"FUILLA")</f>
        <v>FUILLA</v>
      </c>
      <c r="E32477" s="38" t="s">
        <v>248</v>
      </c>
      <c r="F32477" s="38" t="s">
        <v>119</v>
      </c>
      <c r="G32477" s="49" t="str">
        <f t="shared" si="1"/>
        <v>66820</v>
      </c>
      <c r="H32477" s="49">
        <f t="shared" si="2"/>
        <v>66085</v>
      </c>
    </row>
    <row r="32478">
      <c r="A32478" s="48" t="s">
        <v>6858</v>
      </c>
      <c r="B32478" s="38">
        <v>71199.0</v>
      </c>
      <c r="C32478" s="38" t="s">
        <v>23528</v>
      </c>
      <c r="D32478" s="38" t="str">
        <f>IFERROR(__xludf.DUMMYFUNCTION("REGEXREPLACE(C32478,""-\d+(.*)|--\d+(.*)"","""")"),"FLAGY")</f>
        <v>FLAGY</v>
      </c>
      <c r="E32478" s="38" t="s">
        <v>344</v>
      </c>
      <c r="F32478" s="38" t="s">
        <v>106</v>
      </c>
      <c r="G32478" s="49" t="str">
        <f t="shared" si="1"/>
        <v>71250</v>
      </c>
      <c r="H32478" s="49">
        <f t="shared" si="2"/>
        <v>71199</v>
      </c>
    </row>
    <row r="32479">
      <c r="A32479" s="48" t="s">
        <v>15015</v>
      </c>
      <c r="B32479" s="38">
        <v>9223.0</v>
      </c>
      <c r="C32479" s="38" t="s">
        <v>36761</v>
      </c>
      <c r="D32479" s="38" t="str">
        <f>IFERROR(__xludf.DUMMYFUNCTION("REGEXREPLACE(C32479,""-\d+(.*)|--\d+(.*)"","""")"),"OUST")</f>
        <v>OUST</v>
      </c>
      <c r="E32479" s="38" t="s">
        <v>238</v>
      </c>
      <c r="F32479" s="38" t="s">
        <v>94</v>
      </c>
      <c r="G32479" s="49" t="str">
        <f t="shared" si="1"/>
        <v>09140</v>
      </c>
      <c r="H32479" s="49" t="str">
        <f t="shared" si="2"/>
        <v>09223</v>
      </c>
    </row>
    <row r="32480">
      <c r="A32480" s="48" t="s">
        <v>834</v>
      </c>
      <c r="B32480" s="38">
        <v>25162.0</v>
      </c>
      <c r="C32480" s="38" t="s">
        <v>36762</v>
      </c>
      <c r="D32480" s="38" t="str">
        <f>IFERROR(__xludf.DUMMYFUNCTION("REGEXREPLACE(C32480,""-\d+(.*)|--\d+(.*)"","""")"),"CORCELLES-FERRIERES")</f>
        <v>CORCELLES-FERRIERES</v>
      </c>
      <c r="E32480" s="38" t="s">
        <v>213</v>
      </c>
      <c r="F32480" s="38" t="s">
        <v>214</v>
      </c>
      <c r="G32480" s="49" t="str">
        <f t="shared" si="1"/>
        <v>25410</v>
      </c>
      <c r="H32480" s="49">
        <f t="shared" si="2"/>
        <v>25162</v>
      </c>
    </row>
    <row r="32481">
      <c r="A32481" s="48" t="s">
        <v>36763</v>
      </c>
      <c r="B32481" s="38">
        <v>11322.0</v>
      </c>
      <c r="C32481" s="38" t="s">
        <v>36764</v>
      </c>
      <c r="D32481" s="38" t="str">
        <f>IFERROR(__xludf.DUMMYFUNCTION("REGEXREPLACE(C32481,""-\d+(.*)|--\d+(.*)"","""")"),"ROQUEFORT-DES-CORBIERES")</f>
        <v>ROQUEFORT-DES-CORBIERES</v>
      </c>
      <c r="E32481" s="38" t="s">
        <v>278</v>
      </c>
      <c r="F32481" s="38" t="s">
        <v>119</v>
      </c>
      <c r="G32481" s="49" t="str">
        <f t="shared" si="1"/>
        <v>11540</v>
      </c>
      <c r="H32481" s="49">
        <f t="shared" si="2"/>
        <v>11322</v>
      </c>
    </row>
    <row r="32482">
      <c r="A32482" s="48" t="s">
        <v>8365</v>
      </c>
      <c r="B32482" s="38">
        <v>39249.0</v>
      </c>
      <c r="C32482" s="38" t="s">
        <v>6284</v>
      </c>
      <c r="D32482" s="38" t="str">
        <f>IFERROR(__xludf.DUMMYFUNCTION("REGEXREPLACE(C32482,""-\d+(.*)|--\d+(.*)"","""")"),"GERMIGNEY")</f>
        <v>GERMIGNEY</v>
      </c>
      <c r="E32482" s="38" t="s">
        <v>400</v>
      </c>
      <c r="F32482" s="38" t="s">
        <v>214</v>
      </c>
      <c r="G32482" s="49" t="str">
        <f t="shared" si="1"/>
        <v>39380</v>
      </c>
      <c r="H32482" s="49">
        <f t="shared" si="2"/>
        <v>39249</v>
      </c>
    </row>
    <row r="32483">
      <c r="A32483" s="48" t="s">
        <v>2794</v>
      </c>
      <c r="B32483" s="38">
        <v>39028.0</v>
      </c>
      <c r="C32483" s="38" t="s">
        <v>8219</v>
      </c>
      <c r="D32483" s="38" t="str">
        <f>IFERROR(__xludf.DUMMYFUNCTION("REGEXREPLACE(C32483,""-\d+(.*)|--\d+(.*)"","""")"),"AUMONT")</f>
        <v>AUMONT</v>
      </c>
      <c r="E32483" s="38" t="s">
        <v>400</v>
      </c>
      <c r="F32483" s="38" t="s">
        <v>214</v>
      </c>
      <c r="G32483" s="49" t="str">
        <f t="shared" si="1"/>
        <v>39800</v>
      </c>
      <c r="H32483" s="49">
        <f t="shared" si="2"/>
        <v>39028</v>
      </c>
    </row>
    <row r="32484">
      <c r="A32484" s="48" t="s">
        <v>3869</v>
      </c>
      <c r="B32484" s="38">
        <v>21150.0</v>
      </c>
      <c r="C32484" s="38" t="s">
        <v>36765</v>
      </c>
      <c r="D32484" s="38" t="str">
        <f>IFERROR(__xludf.DUMMYFUNCTION("REGEXREPLACE(C32484,""-\d+(.*)|--\d+(.*)"","""")"),"CHASSAGNE-MONTRACHET")</f>
        <v>CHASSAGNE-MONTRACHET</v>
      </c>
      <c r="E32484" s="38" t="s">
        <v>105</v>
      </c>
      <c r="F32484" s="38" t="s">
        <v>106</v>
      </c>
      <c r="G32484" s="49" t="str">
        <f t="shared" si="1"/>
        <v>21190</v>
      </c>
      <c r="H32484" s="49">
        <f t="shared" si="2"/>
        <v>21150</v>
      </c>
    </row>
    <row r="32485">
      <c r="A32485" s="48" t="s">
        <v>13699</v>
      </c>
      <c r="B32485" s="38">
        <v>22031.0</v>
      </c>
      <c r="C32485" s="38" t="s">
        <v>36766</v>
      </c>
      <c r="D32485" s="38" t="str">
        <f>IFERROR(__xludf.DUMMYFUNCTION("REGEXREPLACE(C32485,""-\d+(.*)|--\d+(.*)"","""")"),"CARNOET")</f>
        <v>CARNOET</v>
      </c>
      <c r="E32485" s="38" t="s">
        <v>89</v>
      </c>
      <c r="F32485" s="38" t="s">
        <v>90</v>
      </c>
      <c r="G32485" s="49" t="str">
        <f t="shared" si="1"/>
        <v>22160</v>
      </c>
      <c r="H32485" s="49">
        <f t="shared" si="2"/>
        <v>22031</v>
      </c>
    </row>
    <row r="32486">
      <c r="A32486" s="48" t="s">
        <v>630</v>
      </c>
      <c r="B32486" s="38">
        <v>15138.0</v>
      </c>
      <c r="C32486" s="38" t="s">
        <v>24597</v>
      </c>
      <c r="D32486" s="38" t="str">
        <f>IFERROR(__xludf.DUMMYFUNCTION("REGEXREPLACE(C32486,""-\d+(.*)|--\d+(.*)"","""")"),"MURAT")</f>
        <v>MURAT</v>
      </c>
      <c r="E32486" s="38" t="s">
        <v>632</v>
      </c>
      <c r="F32486" s="38" t="s">
        <v>161</v>
      </c>
      <c r="G32486" s="49" t="str">
        <f t="shared" si="1"/>
        <v>15300</v>
      </c>
      <c r="H32486" s="49">
        <f t="shared" si="2"/>
        <v>15138</v>
      </c>
    </row>
    <row r="32487">
      <c r="A32487" s="48" t="s">
        <v>3341</v>
      </c>
      <c r="B32487" s="38">
        <v>25413.0</v>
      </c>
      <c r="C32487" s="38" t="s">
        <v>36767</v>
      </c>
      <c r="D32487" s="38" t="str">
        <f>IFERROR(__xludf.DUMMYFUNCTION("REGEXREPLACE(C32487,""-\d+(.*)|--\d+(.*)"","""")"),"MOUTHE")</f>
        <v>MOUTHE</v>
      </c>
      <c r="E32487" s="38" t="s">
        <v>213</v>
      </c>
      <c r="F32487" s="38" t="s">
        <v>214</v>
      </c>
      <c r="G32487" s="49" t="str">
        <f t="shared" si="1"/>
        <v>25240</v>
      </c>
      <c r="H32487" s="49">
        <f t="shared" si="2"/>
        <v>25413</v>
      </c>
    </row>
    <row r="32488">
      <c r="A32488" s="48" t="s">
        <v>1522</v>
      </c>
      <c r="B32488" s="38">
        <v>32158.0</v>
      </c>
      <c r="C32488" s="38" t="s">
        <v>36768</v>
      </c>
      <c r="D32488" s="38" t="str">
        <f>IFERROR(__xludf.DUMMYFUNCTION("REGEXREPLACE(C32488,""-\d+(.*)|--\d+(.*)"","""")"),"L'ISLE-BOUZON")</f>
        <v>L'ISLE-BOUZON</v>
      </c>
      <c r="E32488" s="38" t="s">
        <v>440</v>
      </c>
      <c r="F32488" s="38" t="s">
        <v>94</v>
      </c>
      <c r="G32488" s="49" t="str">
        <f t="shared" si="1"/>
        <v>32380</v>
      </c>
      <c r="H32488" s="49">
        <f t="shared" si="2"/>
        <v>32158</v>
      </c>
    </row>
    <row r="32489">
      <c r="A32489" s="48" t="s">
        <v>470</v>
      </c>
      <c r="B32489" s="38">
        <v>8142.0</v>
      </c>
      <c r="C32489" s="38" t="s">
        <v>36769</v>
      </c>
      <c r="D32489" s="38" t="str">
        <f>IFERROR(__xludf.DUMMYFUNCTION("REGEXREPLACE(C32489,""-\d+(.*)|--\d+(.*)"","""")"),"DONCHERY")</f>
        <v>DONCHERY</v>
      </c>
      <c r="E32489" s="38" t="s">
        <v>327</v>
      </c>
      <c r="F32489" s="38" t="s">
        <v>130</v>
      </c>
      <c r="G32489" s="49" t="str">
        <f t="shared" si="1"/>
        <v>08350</v>
      </c>
      <c r="H32489" s="49" t="str">
        <f t="shared" si="2"/>
        <v>08142</v>
      </c>
    </row>
    <row r="32490">
      <c r="A32490" s="48" t="s">
        <v>24999</v>
      </c>
      <c r="B32490" s="38">
        <v>78158.0</v>
      </c>
      <c r="C32490" s="38" t="s">
        <v>36770</v>
      </c>
      <c r="D32490" s="38" t="str">
        <f>IFERROR(__xludf.DUMMYFUNCTION("REGEXREPLACE(C32490,""-\d+(.*)|--\d+(.*)"","""")"),"LE CHESNAY")</f>
        <v>LE CHESNAY</v>
      </c>
      <c r="E32490" s="38" t="s">
        <v>362</v>
      </c>
      <c r="F32490" s="38" t="s">
        <v>245</v>
      </c>
      <c r="G32490" s="49" t="str">
        <f t="shared" si="1"/>
        <v>78150</v>
      </c>
      <c r="H32490" s="49">
        <f t="shared" si="2"/>
        <v>78158</v>
      </c>
    </row>
    <row r="32491">
      <c r="A32491" s="48" t="s">
        <v>10307</v>
      </c>
      <c r="B32491" s="38">
        <v>35090.0</v>
      </c>
      <c r="C32491" s="38" t="s">
        <v>36771</v>
      </c>
      <c r="D32491" s="38" t="str">
        <f>IFERROR(__xludf.DUMMYFUNCTION("REGEXREPLACE(C32491,""-\d+(.*)|--\d+(.*)"","""")"),"CREVIN")</f>
        <v>CREVIN</v>
      </c>
      <c r="E32491" s="38" t="s">
        <v>347</v>
      </c>
      <c r="F32491" s="38" t="s">
        <v>90</v>
      </c>
      <c r="G32491" s="49" t="str">
        <f t="shared" si="1"/>
        <v>35320</v>
      </c>
      <c r="H32491" s="49">
        <f t="shared" si="2"/>
        <v>35090</v>
      </c>
    </row>
    <row r="32492">
      <c r="A32492" s="48" t="s">
        <v>11050</v>
      </c>
      <c r="B32492" s="38">
        <v>38101.0</v>
      </c>
      <c r="C32492" s="38" t="s">
        <v>36772</v>
      </c>
      <c r="D32492" s="38" t="str">
        <f>IFERROR(__xludf.DUMMYFUNCTION("REGEXREPLACE(C32492,""-\d+(.*)|--\d+(.*)"","""")"),"CHEYSSIEU")</f>
        <v>CHEYSSIEU</v>
      </c>
      <c r="E32492" s="38" t="s">
        <v>101</v>
      </c>
      <c r="F32492" s="38" t="s">
        <v>102</v>
      </c>
      <c r="G32492" s="49" t="str">
        <f t="shared" si="1"/>
        <v>38550</v>
      </c>
      <c r="H32492" s="49">
        <f t="shared" si="2"/>
        <v>38101</v>
      </c>
    </row>
    <row r="32493">
      <c r="A32493" s="48" t="s">
        <v>36773</v>
      </c>
      <c r="B32493" s="38">
        <v>14715.0</v>
      </c>
      <c r="C32493" s="38" t="s">
        <v>36774</v>
      </c>
      <c r="D32493" s="38" t="str">
        <f>IFERROR(__xludf.DUMMYFUNCTION("REGEXREPLACE(C32493,""-\d+(.*)|--\d+(.*)"","""")"),"TROUVILLE-SUR-MER")</f>
        <v>TROUVILLE-SUR-MER</v>
      </c>
      <c r="E32493" s="38" t="s">
        <v>137</v>
      </c>
      <c r="F32493" s="38" t="s">
        <v>138</v>
      </c>
      <c r="G32493" s="49" t="str">
        <f t="shared" si="1"/>
        <v>14360</v>
      </c>
      <c r="H32493" s="49">
        <f t="shared" si="2"/>
        <v>14715</v>
      </c>
    </row>
    <row r="32494">
      <c r="A32494" s="48" t="s">
        <v>6278</v>
      </c>
      <c r="B32494" s="38">
        <v>3094.0</v>
      </c>
      <c r="C32494" s="38" t="s">
        <v>36775</v>
      </c>
      <c r="D32494" s="38" t="str">
        <f>IFERROR(__xludf.DUMMYFUNCTION("REGEXREPLACE(C32494,""-\d+(.*)|--\d+(.*)"","""")"),"CREUZIER-LE-VIEUX")</f>
        <v>CREUZIER-LE-VIEUX</v>
      </c>
      <c r="E32494" s="38" t="s">
        <v>160</v>
      </c>
      <c r="F32494" s="38" t="s">
        <v>161</v>
      </c>
      <c r="G32494" s="49" t="str">
        <f t="shared" si="1"/>
        <v>03300</v>
      </c>
      <c r="H32494" s="49" t="str">
        <f t="shared" si="2"/>
        <v>03094</v>
      </c>
    </row>
    <row r="32495">
      <c r="A32495" s="48" t="s">
        <v>2721</v>
      </c>
      <c r="B32495" s="38">
        <v>26055.0</v>
      </c>
      <c r="C32495" s="38" t="s">
        <v>36776</v>
      </c>
      <c r="D32495" s="38" t="str">
        <f>IFERROR(__xludf.DUMMYFUNCTION("REGEXREPLACE(C32495,""-\d+(.*)|--\d+(.*)"","""")"),"BOULC")</f>
        <v>BOULC</v>
      </c>
      <c r="E32495" s="38" t="s">
        <v>126</v>
      </c>
      <c r="F32495" s="38" t="s">
        <v>102</v>
      </c>
      <c r="G32495" s="49" t="str">
        <f t="shared" si="1"/>
        <v>26410</v>
      </c>
      <c r="H32495" s="49">
        <f t="shared" si="2"/>
        <v>26055</v>
      </c>
    </row>
    <row r="32496">
      <c r="A32496" s="48" t="s">
        <v>4142</v>
      </c>
      <c r="B32496" s="38">
        <v>16092.0</v>
      </c>
      <c r="C32496" s="38" t="s">
        <v>36777</v>
      </c>
      <c r="D32496" s="38" t="str">
        <f>IFERROR(__xludf.DUMMYFUNCTION("REGEXREPLACE(C32496,""-\d+(.*)|--\d+(.*)"","""")"),"CHAVENAT")</f>
        <v>CHAVENAT</v>
      </c>
      <c r="E32496" s="38" t="s">
        <v>429</v>
      </c>
      <c r="F32496" s="38" t="s">
        <v>338</v>
      </c>
      <c r="G32496" s="49" t="str">
        <f t="shared" si="1"/>
        <v>16320</v>
      </c>
      <c r="H32496" s="49">
        <f t="shared" si="2"/>
        <v>16092</v>
      </c>
    </row>
    <row r="32497">
      <c r="A32497" s="48" t="s">
        <v>2170</v>
      </c>
      <c r="B32497" s="38">
        <v>80620.0</v>
      </c>
      <c r="C32497" s="38" t="s">
        <v>15444</v>
      </c>
      <c r="D32497" s="38" t="str">
        <f>IFERROR(__xludf.DUMMYFUNCTION("REGEXREPLACE(C32497,""-\d+(.*)|--\d+(.*)"","""")"),"PERONNE")</f>
        <v>PERONNE</v>
      </c>
      <c r="E32497" s="38" t="s">
        <v>224</v>
      </c>
      <c r="F32497" s="38" t="s">
        <v>113</v>
      </c>
      <c r="G32497" s="49" t="str">
        <f t="shared" si="1"/>
        <v>80200</v>
      </c>
      <c r="H32497" s="49">
        <f t="shared" si="2"/>
        <v>80620</v>
      </c>
    </row>
    <row r="32498">
      <c r="A32498" s="48" t="s">
        <v>13807</v>
      </c>
      <c r="B32498" s="38">
        <v>38085.0</v>
      </c>
      <c r="C32498" s="38" t="s">
        <v>36778</v>
      </c>
      <c r="D32498" s="38" t="str">
        <f>IFERROR(__xludf.DUMMYFUNCTION("REGEXREPLACE(C32498,""-\d+(.*)|--\d+(.*)"","""")"),"CHARVIEU-CHAVAGNEUX")</f>
        <v>CHARVIEU-CHAVAGNEUX</v>
      </c>
      <c r="E32498" s="38" t="s">
        <v>101</v>
      </c>
      <c r="F32498" s="38" t="s">
        <v>102</v>
      </c>
      <c r="G32498" s="49" t="str">
        <f t="shared" si="1"/>
        <v>38230</v>
      </c>
      <c r="H32498" s="49">
        <f t="shared" si="2"/>
        <v>38085</v>
      </c>
    </row>
    <row r="32499">
      <c r="A32499" s="48" t="s">
        <v>5334</v>
      </c>
      <c r="B32499" s="38" t="s">
        <v>36779</v>
      </c>
      <c r="C32499" s="38" t="s">
        <v>36780</v>
      </c>
      <c r="D32499" s="38" t="str">
        <f>IFERROR(__xludf.DUMMYFUNCTION("REGEXREPLACE(C32499,""-\d+(.*)|--\d+(.*)"","""")"),"POPOLASCA")</f>
        <v>POPOLASCA</v>
      </c>
      <c r="E32499" s="38" t="s">
        <v>743</v>
      </c>
      <c r="F32499" s="38" t="s">
        <v>607</v>
      </c>
      <c r="G32499" s="49" t="str">
        <f t="shared" si="1"/>
        <v>20218</v>
      </c>
      <c r="H32499" s="49" t="str">
        <f t="shared" si="2"/>
        <v>2B244</v>
      </c>
    </row>
    <row r="32500">
      <c r="A32500" s="48" t="s">
        <v>1323</v>
      </c>
      <c r="B32500" s="38">
        <v>21703.0</v>
      </c>
      <c r="C32500" s="38" t="s">
        <v>36781</v>
      </c>
      <c r="D32500" s="38" t="str">
        <f>IFERROR(__xludf.DUMMYFUNCTION("REGEXREPLACE(C32500,""-\d+(.*)|--\d+(.*)"","""")"),"VILLIERS-EN-MORVAN")</f>
        <v>VILLIERS-EN-MORVAN</v>
      </c>
      <c r="E32500" s="38" t="s">
        <v>105</v>
      </c>
      <c r="F32500" s="38" t="s">
        <v>106</v>
      </c>
      <c r="G32500" s="49" t="str">
        <f t="shared" si="1"/>
        <v>21430</v>
      </c>
      <c r="H32500" s="49">
        <f t="shared" si="2"/>
        <v>21703</v>
      </c>
    </row>
    <row r="32501">
      <c r="A32501" s="48" t="s">
        <v>192</v>
      </c>
      <c r="B32501" s="38">
        <v>88223.0</v>
      </c>
      <c r="C32501" s="38" t="s">
        <v>36782</v>
      </c>
      <c r="D32501" s="38" t="str">
        <f>IFERROR(__xludf.DUMMYFUNCTION("REGEXREPLACE(C32501,""-\d+(.*)|--\d+(.*)"","""")"),"GUGNEY-AUX-AULX")</f>
        <v>GUGNEY-AUX-AULX</v>
      </c>
      <c r="E32501" s="38" t="s">
        <v>194</v>
      </c>
      <c r="F32501" s="38" t="s">
        <v>195</v>
      </c>
      <c r="G32501" s="49" t="str">
        <f t="shared" si="1"/>
        <v>88450</v>
      </c>
      <c r="H32501" s="49">
        <f t="shared" si="2"/>
        <v>88223</v>
      </c>
    </row>
    <row r="32502">
      <c r="A32502" s="48" t="s">
        <v>5038</v>
      </c>
      <c r="B32502" s="38">
        <v>17063.0</v>
      </c>
      <c r="C32502" s="38" t="s">
        <v>36783</v>
      </c>
      <c r="D32502" s="38" t="str">
        <f>IFERROR(__xludf.DUMMYFUNCTION("REGEXREPLACE(C32502,""-\d+(.*)|--\d+(.*)"","""")"),"BREUIL-LA-REORTE")</f>
        <v>BREUIL-LA-REORTE</v>
      </c>
      <c r="E32502" s="38" t="s">
        <v>488</v>
      </c>
      <c r="F32502" s="38" t="s">
        <v>338</v>
      </c>
      <c r="G32502" s="49" t="str">
        <f t="shared" si="1"/>
        <v>17700</v>
      </c>
      <c r="H32502" s="49">
        <f t="shared" si="2"/>
        <v>17063</v>
      </c>
    </row>
    <row r="32503">
      <c r="A32503" s="48" t="s">
        <v>36784</v>
      </c>
      <c r="B32503" s="38" t="s">
        <v>36785</v>
      </c>
      <c r="C32503" s="38" t="s">
        <v>36786</v>
      </c>
      <c r="D32503" s="38" t="str">
        <f>IFERROR(__xludf.DUMMYFUNCTION("REGEXREPLACE(C32503,""-\d+(.*)|--\d+(.*)"","""")"),"LORETO-DI-TALLANO")</f>
        <v>LORETO-DI-TALLANO</v>
      </c>
      <c r="E32503" s="38" t="s">
        <v>606</v>
      </c>
      <c r="F32503" s="38" t="s">
        <v>607</v>
      </c>
      <c r="G32503" s="49" t="str">
        <f t="shared" si="1"/>
        <v>20165</v>
      </c>
      <c r="H32503" s="49" t="str">
        <f t="shared" si="2"/>
        <v>2A146</v>
      </c>
    </row>
    <row r="32504">
      <c r="A32504" s="48" t="s">
        <v>425</v>
      </c>
      <c r="B32504" s="38">
        <v>88050.0</v>
      </c>
      <c r="C32504" s="38" t="s">
        <v>36787</v>
      </c>
      <c r="D32504" s="38" t="str">
        <f>IFERROR(__xludf.DUMMYFUNCTION("REGEXREPLACE(C32504,""-\d+(.*)|--\d+(.*)"","""")"),"BELMONT-SUR-BUTTANT")</f>
        <v>BELMONT-SUR-BUTTANT</v>
      </c>
      <c r="E32504" s="38" t="s">
        <v>194</v>
      </c>
      <c r="F32504" s="38" t="s">
        <v>195</v>
      </c>
      <c r="G32504" s="49" t="str">
        <f t="shared" si="1"/>
        <v>88600</v>
      </c>
      <c r="H32504" s="49">
        <f t="shared" si="2"/>
        <v>88050</v>
      </c>
    </row>
    <row r="32505">
      <c r="A32505" s="48" t="s">
        <v>944</v>
      </c>
      <c r="B32505" s="38">
        <v>61261.0</v>
      </c>
      <c r="C32505" s="38" t="s">
        <v>36788</v>
      </c>
      <c r="D32505" s="38" t="str">
        <f>IFERROR(__xludf.DUMMYFUNCTION("REGEXREPLACE(C32505,""-\d+(.*)|--\d+(.*)"","""")"),"LE MENIL-BROUT")</f>
        <v>LE MENIL-BROUT</v>
      </c>
      <c r="E32505" s="38" t="s">
        <v>141</v>
      </c>
      <c r="F32505" s="38" t="s">
        <v>138</v>
      </c>
      <c r="G32505" s="49" t="str">
        <f t="shared" si="1"/>
        <v>61250</v>
      </c>
      <c r="H32505" s="49">
        <f t="shared" si="2"/>
        <v>61261</v>
      </c>
    </row>
    <row r="32506">
      <c r="A32506" s="48" t="s">
        <v>2213</v>
      </c>
      <c r="B32506" s="38">
        <v>59492.0</v>
      </c>
      <c r="C32506" s="38" t="s">
        <v>36789</v>
      </c>
      <c r="D32506" s="38" t="str">
        <f>IFERROR(__xludf.DUMMYFUNCTION("REGEXREPLACE(C32506,""-\d+(.*)|--\d+(.*)"","""")"),"RAMILLIES")</f>
        <v>RAMILLIES</v>
      </c>
      <c r="E32506" s="38" t="s">
        <v>85</v>
      </c>
      <c r="F32506" s="38" t="s">
        <v>86</v>
      </c>
      <c r="G32506" s="49" t="str">
        <f t="shared" si="1"/>
        <v>59161</v>
      </c>
      <c r="H32506" s="49">
        <f t="shared" si="2"/>
        <v>59492</v>
      </c>
    </row>
    <row r="32507">
      <c r="A32507" s="48" t="s">
        <v>14030</v>
      </c>
      <c r="B32507" s="38">
        <v>44205.0</v>
      </c>
      <c r="C32507" s="38" t="s">
        <v>36790</v>
      </c>
      <c r="D32507" s="38" t="str">
        <f>IFERROR(__xludf.DUMMYFUNCTION("REGEXREPLACE(C32507,""-\d+(.*)|--\d+(.*)"","""")"),"LES TOUCHES")</f>
        <v>LES TOUCHES</v>
      </c>
      <c r="E32507" s="38" t="s">
        <v>759</v>
      </c>
      <c r="F32507" s="38" t="s">
        <v>180</v>
      </c>
      <c r="G32507" s="49" t="str">
        <f t="shared" si="1"/>
        <v>44390</v>
      </c>
      <c r="H32507" s="49">
        <f t="shared" si="2"/>
        <v>44205</v>
      </c>
    </row>
    <row r="32508">
      <c r="A32508" s="48" t="s">
        <v>83</v>
      </c>
      <c r="B32508" s="38">
        <v>59469.0</v>
      </c>
      <c r="C32508" s="38" t="s">
        <v>7054</v>
      </c>
      <c r="D32508" s="38" t="str">
        <f>IFERROR(__xludf.DUMMYFUNCTION("REGEXREPLACE(C32508,""-\d+(.*)|--\d+(.*)"","""")"),"PRADELLES")</f>
        <v>PRADELLES</v>
      </c>
      <c r="E32508" s="38" t="s">
        <v>85</v>
      </c>
      <c r="F32508" s="38" t="s">
        <v>86</v>
      </c>
      <c r="G32508" s="49" t="str">
        <f t="shared" si="1"/>
        <v>59190</v>
      </c>
      <c r="H32508" s="49">
        <f t="shared" si="2"/>
        <v>59469</v>
      </c>
    </row>
    <row r="32509">
      <c r="A32509" s="48" t="s">
        <v>36791</v>
      </c>
      <c r="B32509" s="38">
        <v>80438.0</v>
      </c>
      <c r="C32509" s="38" t="s">
        <v>20654</v>
      </c>
      <c r="D32509" s="38" t="str">
        <f>IFERROR(__xludf.DUMMYFUNCTION("REGEXREPLACE(C32509,""-\d+(.*)|--\d+(.*)"","""")"),"HEUDICOURT")</f>
        <v>HEUDICOURT</v>
      </c>
      <c r="E32509" s="38" t="s">
        <v>224</v>
      </c>
      <c r="F32509" s="38" t="s">
        <v>113</v>
      </c>
      <c r="G32509" s="49" t="str">
        <f t="shared" si="1"/>
        <v>80122</v>
      </c>
      <c r="H32509" s="49">
        <f t="shared" si="2"/>
        <v>80438</v>
      </c>
    </row>
    <row r="32510">
      <c r="A32510" s="48" t="s">
        <v>12322</v>
      </c>
      <c r="B32510" s="38">
        <v>89105.0</v>
      </c>
      <c r="C32510" s="38" t="s">
        <v>36792</v>
      </c>
      <c r="D32510" s="38" t="str">
        <f>IFERROR(__xludf.DUMMYFUNCTION("REGEXREPLACE(C32510,""-\d+(.*)|--\d+(.*)"","""")"),"CHICHERY")</f>
        <v>CHICHERY</v>
      </c>
      <c r="E32510" s="38" t="s">
        <v>275</v>
      </c>
      <c r="F32510" s="38" t="s">
        <v>106</v>
      </c>
      <c r="G32510" s="49" t="str">
        <f t="shared" si="1"/>
        <v>89400</v>
      </c>
      <c r="H32510" s="49">
        <f t="shared" si="2"/>
        <v>89105</v>
      </c>
    </row>
    <row r="32511">
      <c r="A32511" s="48" t="s">
        <v>5499</v>
      </c>
      <c r="B32511" s="38">
        <v>47073.0</v>
      </c>
      <c r="C32511" s="38" t="s">
        <v>2816</v>
      </c>
      <c r="D32511" s="38" t="str">
        <f>IFERROR(__xludf.DUMMYFUNCTION("REGEXREPLACE(C32511,""-\d+(.*)|--\d+(.*)"","""")"),"COURS")</f>
        <v>COURS</v>
      </c>
      <c r="E32511" s="38" t="s">
        <v>251</v>
      </c>
      <c r="F32511" s="38" t="s">
        <v>252</v>
      </c>
      <c r="G32511" s="49" t="str">
        <f t="shared" si="1"/>
        <v>47360</v>
      </c>
      <c r="H32511" s="49">
        <f t="shared" si="2"/>
        <v>47073</v>
      </c>
    </row>
    <row r="32512">
      <c r="A32512" s="48" t="s">
        <v>6460</v>
      </c>
      <c r="B32512" s="38">
        <v>85017.0</v>
      </c>
      <c r="C32512" s="38" t="s">
        <v>7405</v>
      </c>
      <c r="D32512" s="38" t="str">
        <f>IFERROR(__xludf.DUMMYFUNCTION("REGEXREPLACE(C32512,""-\d+(.*)|--\d+(.*)"","""")"),"BEAUREPAIRE")</f>
        <v>BEAUREPAIRE</v>
      </c>
      <c r="E32512" s="38" t="s">
        <v>179</v>
      </c>
      <c r="F32512" s="38" t="s">
        <v>180</v>
      </c>
      <c r="G32512" s="49" t="str">
        <f t="shared" si="1"/>
        <v>85500</v>
      </c>
      <c r="H32512" s="49">
        <f t="shared" si="2"/>
        <v>85017</v>
      </c>
    </row>
    <row r="32513">
      <c r="A32513" s="48" t="s">
        <v>11050</v>
      </c>
      <c r="B32513" s="38">
        <v>38425.0</v>
      </c>
      <c r="C32513" s="38" t="s">
        <v>36793</v>
      </c>
      <c r="D32513" s="38" t="str">
        <f>IFERROR(__xludf.DUMMYFUNCTION("REGEXREPLACE(C32513,""-\d+(.*)|--\d+(.*)"","""")"),"SAINT-MAURICE-L'EXIL")</f>
        <v>SAINT-MAURICE-L'EXIL</v>
      </c>
      <c r="E32513" s="38" t="s">
        <v>101</v>
      </c>
      <c r="F32513" s="38" t="s">
        <v>102</v>
      </c>
      <c r="G32513" s="49" t="str">
        <f t="shared" si="1"/>
        <v>38550</v>
      </c>
      <c r="H32513" s="49">
        <f t="shared" si="2"/>
        <v>38425</v>
      </c>
    </row>
    <row r="32514">
      <c r="A32514" s="48" t="s">
        <v>5162</v>
      </c>
      <c r="B32514" s="38">
        <v>47011.0</v>
      </c>
      <c r="C32514" s="38" t="s">
        <v>36794</v>
      </c>
      <c r="D32514" s="38" t="str">
        <f>IFERROR(__xludf.DUMMYFUNCTION("REGEXREPLACE(C32514,""-\d+(.*)|--\d+(.*)"","""")"),"ANTHE")</f>
        <v>ANTHE</v>
      </c>
      <c r="E32514" s="38" t="s">
        <v>251</v>
      </c>
      <c r="F32514" s="38" t="s">
        <v>252</v>
      </c>
      <c r="G32514" s="49" t="str">
        <f t="shared" si="1"/>
        <v>47370</v>
      </c>
      <c r="H32514" s="49">
        <f t="shared" si="2"/>
        <v>47011</v>
      </c>
    </row>
    <row r="32515">
      <c r="A32515" s="48" t="s">
        <v>4568</v>
      </c>
      <c r="B32515" s="38">
        <v>32019.0</v>
      </c>
      <c r="C32515" s="38" t="s">
        <v>14836</v>
      </c>
      <c r="D32515" s="38" t="str">
        <f>IFERROR(__xludf.DUMMYFUNCTION("REGEXREPLACE(C32515,""-\d+(.*)|--\d+(.*)"","""")"),"AUTERIVE")</f>
        <v>AUTERIVE</v>
      </c>
      <c r="E32515" s="38" t="s">
        <v>440</v>
      </c>
      <c r="F32515" s="38" t="s">
        <v>94</v>
      </c>
      <c r="G32515" s="49" t="str">
        <f t="shared" si="1"/>
        <v>32550</v>
      </c>
      <c r="H32515" s="49">
        <f t="shared" si="2"/>
        <v>32019</v>
      </c>
    </row>
    <row r="32516">
      <c r="A32516" s="48" t="s">
        <v>2659</v>
      </c>
      <c r="B32516" s="38">
        <v>80686.0</v>
      </c>
      <c r="C32516" s="38" t="s">
        <v>36795</v>
      </c>
      <c r="D32516" s="38" t="str">
        <f>IFERROR(__xludf.DUMMYFUNCTION("REGEXREPLACE(C32516,""-\d+(.*)|--\d+(.*)"","""")"),"RUBEMPRE")</f>
        <v>RUBEMPRE</v>
      </c>
      <c r="E32516" s="38" t="s">
        <v>224</v>
      </c>
      <c r="F32516" s="38" t="s">
        <v>113</v>
      </c>
      <c r="G32516" s="49" t="str">
        <f t="shared" si="1"/>
        <v>80260</v>
      </c>
      <c r="H32516" s="49">
        <f t="shared" si="2"/>
        <v>80686</v>
      </c>
    </row>
    <row r="32517">
      <c r="A32517" s="48" t="s">
        <v>2917</v>
      </c>
      <c r="B32517" s="38">
        <v>49248.0</v>
      </c>
      <c r="C32517" s="38" t="s">
        <v>36796</v>
      </c>
      <c r="D32517" s="38" t="str">
        <f>IFERROR(__xludf.DUMMYFUNCTION("REGEXREPLACE(C32517,""-\d+(.*)|--\d+(.*)"","""")"),"POUANCE")</f>
        <v>POUANCE</v>
      </c>
      <c r="E32517" s="38" t="s">
        <v>653</v>
      </c>
      <c r="F32517" s="38" t="s">
        <v>180</v>
      </c>
      <c r="G32517" s="49" t="str">
        <f t="shared" si="1"/>
        <v>49420</v>
      </c>
      <c r="H32517" s="49">
        <f t="shared" si="2"/>
        <v>49248</v>
      </c>
    </row>
    <row r="32518">
      <c r="A32518" s="48" t="s">
        <v>750</v>
      </c>
      <c r="B32518" s="38">
        <v>64209.0</v>
      </c>
      <c r="C32518" s="38" t="s">
        <v>36797</v>
      </c>
      <c r="D32518" s="38" t="str">
        <f>IFERROR(__xludf.DUMMYFUNCTION("REGEXREPLACE(C32518,""-\d+(.*)|--\d+(.*)"","""")"),"ESCOUT")</f>
        <v>ESCOUT</v>
      </c>
      <c r="E32518" s="38" t="s">
        <v>268</v>
      </c>
      <c r="F32518" s="38" t="s">
        <v>252</v>
      </c>
      <c r="G32518" s="49" t="str">
        <f t="shared" si="1"/>
        <v>64870</v>
      </c>
      <c r="H32518" s="49">
        <f t="shared" si="2"/>
        <v>64209</v>
      </c>
    </row>
    <row r="32519">
      <c r="A32519" s="48" t="s">
        <v>36798</v>
      </c>
      <c r="B32519" s="38">
        <v>95555.0</v>
      </c>
      <c r="C32519" s="38" t="s">
        <v>29212</v>
      </c>
      <c r="D32519" s="38" t="str">
        <f>IFERROR(__xludf.DUMMYFUNCTION("REGEXREPLACE(C32519,""-\d+(.*)|--\d+(.*)"","""")"),"SAINT-GRATIEN")</f>
        <v>SAINT-GRATIEN</v>
      </c>
      <c r="E32519" s="38" t="s">
        <v>541</v>
      </c>
      <c r="F32519" s="38" t="s">
        <v>245</v>
      </c>
      <c r="G32519" s="49" t="str">
        <f t="shared" si="1"/>
        <v>95210</v>
      </c>
      <c r="H32519" s="49">
        <f t="shared" si="2"/>
        <v>95555</v>
      </c>
    </row>
    <row r="32520">
      <c r="A32520" s="48" t="s">
        <v>1618</v>
      </c>
      <c r="B32520" s="38">
        <v>11011.0</v>
      </c>
      <c r="C32520" s="38" t="s">
        <v>36799</v>
      </c>
      <c r="D32520" s="38" t="str">
        <f>IFERROR(__xludf.DUMMYFUNCTION("REGEXREPLACE(C32520,""-\d+(.*)|--\d+(.*)"","""")"),"ARAGON")</f>
        <v>ARAGON</v>
      </c>
      <c r="E32520" s="38" t="s">
        <v>278</v>
      </c>
      <c r="F32520" s="38" t="s">
        <v>119</v>
      </c>
      <c r="G32520" s="49" t="str">
        <f t="shared" si="1"/>
        <v>11600</v>
      </c>
      <c r="H32520" s="49">
        <f t="shared" si="2"/>
        <v>11011</v>
      </c>
    </row>
    <row r="32521">
      <c r="A32521" s="48" t="s">
        <v>36204</v>
      </c>
      <c r="B32521" s="38">
        <v>37250.0</v>
      </c>
      <c r="C32521" s="38" t="s">
        <v>36800</v>
      </c>
      <c r="D32521" s="38" t="str">
        <f>IFERROR(__xludf.DUMMYFUNCTION("REGEXREPLACE(C32521,""-\d+(.*)|--\d+(.*)"","""")"),"SORIGNY")</f>
        <v>SORIGNY</v>
      </c>
      <c r="E32521" s="38" t="s">
        <v>205</v>
      </c>
      <c r="F32521" s="38" t="s">
        <v>123</v>
      </c>
      <c r="G32521" s="49" t="str">
        <f t="shared" si="1"/>
        <v>37250</v>
      </c>
      <c r="H32521" s="49">
        <f t="shared" si="2"/>
        <v>37250</v>
      </c>
    </row>
    <row r="32522">
      <c r="A32522" s="48" t="s">
        <v>719</v>
      </c>
      <c r="B32522" s="38">
        <v>8454.0</v>
      </c>
      <c r="C32522" s="38" t="s">
        <v>36801</v>
      </c>
      <c r="D32522" s="38" t="str">
        <f>IFERROR(__xludf.DUMMYFUNCTION("REGEXREPLACE(C32522,""-\d+(.*)|--\d+(.*)"","""")"),"TOULIGNY")</f>
        <v>TOULIGNY</v>
      </c>
      <c r="E32522" s="38" t="s">
        <v>327</v>
      </c>
      <c r="F32522" s="38" t="s">
        <v>130</v>
      </c>
      <c r="G32522" s="49" t="str">
        <f t="shared" si="1"/>
        <v>08430</v>
      </c>
      <c r="H32522" s="49" t="str">
        <f t="shared" si="2"/>
        <v>08454</v>
      </c>
    </row>
    <row r="32523">
      <c r="A32523" s="48" t="s">
        <v>7592</v>
      </c>
      <c r="B32523" s="38">
        <v>86114.0</v>
      </c>
      <c r="C32523" s="38" t="s">
        <v>36802</v>
      </c>
      <c r="D32523" s="38" t="str">
        <f>IFERROR(__xludf.DUMMYFUNCTION("REGEXREPLACE(C32523,""-\d+(.*)|--\d+(.*)"","""")"),"JARDRES")</f>
        <v>JARDRES</v>
      </c>
      <c r="E32523" s="38" t="s">
        <v>529</v>
      </c>
      <c r="F32523" s="38" t="s">
        <v>338</v>
      </c>
      <c r="G32523" s="49" t="str">
        <f t="shared" si="1"/>
        <v>86800</v>
      </c>
      <c r="H32523" s="49">
        <f t="shared" si="2"/>
        <v>86114</v>
      </c>
    </row>
    <row r="32524">
      <c r="A32524" s="48" t="s">
        <v>591</v>
      </c>
      <c r="B32524" s="38">
        <v>85176.0</v>
      </c>
      <c r="C32524" s="38" t="s">
        <v>36803</v>
      </c>
      <c r="D32524" s="38" t="str">
        <f>IFERROR(__xludf.DUMMYFUNCTION("REGEXREPLACE(C32524,""-\d+(.*)|--\d+(.*)"","""")"),"PISSOTTE")</f>
        <v>PISSOTTE</v>
      </c>
      <c r="E32524" s="38" t="s">
        <v>179</v>
      </c>
      <c r="F32524" s="38" t="s">
        <v>180</v>
      </c>
      <c r="G32524" s="49" t="str">
        <f t="shared" si="1"/>
        <v>85200</v>
      </c>
      <c r="H32524" s="49">
        <f t="shared" si="2"/>
        <v>85176</v>
      </c>
    </row>
    <row r="32525">
      <c r="A32525" s="48" t="s">
        <v>181</v>
      </c>
      <c r="B32525" s="38">
        <v>51364.0</v>
      </c>
      <c r="C32525" s="38" t="s">
        <v>36804</v>
      </c>
      <c r="D32525" s="38" t="str">
        <f>IFERROR(__xludf.DUMMYFUNCTION("REGEXREPLACE(C32525,""-\d+(.*)|--\d+(.*)"","""")"),"MERY-PREMECY")</f>
        <v>MERY-PREMECY</v>
      </c>
      <c r="E32525" s="38" t="s">
        <v>129</v>
      </c>
      <c r="F32525" s="38" t="s">
        <v>130</v>
      </c>
      <c r="G32525" s="49" t="str">
        <f t="shared" si="1"/>
        <v>51390</v>
      </c>
      <c r="H32525" s="49">
        <f t="shared" si="2"/>
        <v>51364</v>
      </c>
    </row>
    <row r="32526">
      <c r="A32526" s="48" t="s">
        <v>8607</v>
      </c>
      <c r="B32526" s="38">
        <v>1092.0</v>
      </c>
      <c r="C32526" s="38" t="s">
        <v>36805</v>
      </c>
      <c r="D32526" s="38" t="str">
        <f>IFERROR(__xludf.DUMMYFUNCTION("REGEXREPLACE(C32526,""-\d+(.*)|--\d+(.*)"","""")"),"CHATILLON-LA-PALUD")</f>
        <v>CHATILLON-LA-PALUD</v>
      </c>
      <c r="E32526" s="38" t="s">
        <v>255</v>
      </c>
      <c r="F32526" s="38" t="s">
        <v>102</v>
      </c>
      <c r="G32526" s="49" t="str">
        <f t="shared" si="1"/>
        <v>01320</v>
      </c>
      <c r="H32526" s="49" t="str">
        <f t="shared" si="2"/>
        <v>01092</v>
      </c>
    </row>
    <row r="32527">
      <c r="A32527" s="48" t="s">
        <v>562</v>
      </c>
      <c r="B32527" s="38">
        <v>54073.0</v>
      </c>
      <c r="C32527" s="38" t="s">
        <v>36806</v>
      </c>
      <c r="D32527" s="38" t="str">
        <f>IFERROR(__xludf.DUMMYFUNCTION("REGEXREPLACE(C32527,""-\d+(.*)|--\d+(.*)"","""")"),"BICQUELEY")</f>
        <v>BICQUELEY</v>
      </c>
      <c r="E32527" s="38" t="s">
        <v>548</v>
      </c>
      <c r="F32527" s="38" t="s">
        <v>195</v>
      </c>
      <c r="G32527" s="49" t="str">
        <f t="shared" si="1"/>
        <v>54200</v>
      </c>
      <c r="H32527" s="49">
        <f t="shared" si="2"/>
        <v>54073</v>
      </c>
    </row>
    <row r="32528">
      <c r="A32528" s="48" t="s">
        <v>2946</v>
      </c>
      <c r="B32528" s="38">
        <v>51097.0</v>
      </c>
      <c r="C32528" s="38" t="s">
        <v>36807</v>
      </c>
      <c r="D32528" s="38" t="str">
        <f>IFERROR(__xludf.DUMMYFUNCTION("REGEXREPLACE(C32528,""-\d+(.*)|--\d+(.*)"","""")"),"BUSSY-LE-CHATEAU")</f>
        <v>BUSSY-LE-CHATEAU</v>
      </c>
      <c r="E32528" s="38" t="s">
        <v>129</v>
      </c>
      <c r="F32528" s="38" t="s">
        <v>130</v>
      </c>
      <c r="G32528" s="49" t="str">
        <f t="shared" si="1"/>
        <v>51600</v>
      </c>
      <c r="H32528" s="49">
        <f t="shared" si="2"/>
        <v>51097</v>
      </c>
    </row>
    <row r="32529">
      <c r="A32529" s="48" t="s">
        <v>6107</v>
      </c>
      <c r="B32529" s="38">
        <v>61471.0</v>
      </c>
      <c r="C32529" s="38" t="s">
        <v>36434</v>
      </c>
      <c r="D32529" s="38" t="str">
        <f>IFERROR(__xludf.DUMMYFUNCTION("REGEXREPLACE(C32529,""-\d+(.*)|--\d+(.*)"","""")"),"SERIGNY")</f>
        <v>SERIGNY</v>
      </c>
      <c r="E32529" s="38" t="s">
        <v>141</v>
      </c>
      <c r="F32529" s="38" t="s">
        <v>138</v>
      </c>
      <c r="G32529" s="49" t="str">
        <f t="shared" si="1"/>
        <v>61130</v>
      </c>
      <c r="H32529" s="49">
        <f t="shared" si="2"/>
        <v>61471</v>
      </c>
    </row>
    <row r="32530">
      <c r="A32530" s="48" t="s">
        <v>2728</v>
      </c>
      <c r="B32530" s="38">
        <v>38427.0</v>
      </c>
      <c r="C32530" s="38" t="s">
        <v>36808</v>
      </c>
      <c r="D32530" s="38" t="str">
        <f>IFERROR(__xludf.DUMMYFUNCTION("REGEXREPLACE(C32530,""-\d+(.*)|--\d+(.*)"","""")"),"SAINT-MICHEL-DE-SAINT-GEOIRS")</f>
        <v>SAINT-MICHEL-DE-SAINT-GEOIRS</v>
      </c>
      <c r="E32530" s="38" t="s">
        <v>101</v>
      </c>
      <c r="F32530" s="38" t="s">
        <v>102</v>
      </c>
      <c r="G32530" s="49" t="str">
        <f t="shared" si="1"/>
        <v>38590</v>
      </c>
      <c r="H32530" s="49">
        <f t="shared" si="2"/>
        <v>38427</v>
      </c>
    </row>
    <row r="32531">
      <c r="A32531" s="48" t="s">
        <v>2773</v>
      </c>
      <c r="B32531" s="38">
        <v>21510.0</v>
      </c>
      <c r="C32531" s="38" t="s">
        <v>36809</v>
      </c>
      <c r="D32531" s="38" t="str">
        <f>IFERROR(__xludf.DUMMYFUNCTION("REGEXREPLACE(C32531,""-\d+(.*)|--\d+(.*)"","""")"),"PRUSLY-SUR-OURCE")</f>
        <v>PRUSLY-SUR-OURCE</v>
      </c>
      <c r="E32531" s="38" t="s">
        <v>105</v>
      </c>
      <c r="F32531" s="38" t="s">
        <v>106</v>
      </c>
      <c r="G32531" s="49" t="str">
        <f t="shared" si="1"/>
        <v>21400</v>
      </c>
      <c r="H32531" s="49">
        <f t="shared" si="2"/>
        <v>21510</v>
      </c>
    </row>
    <row r="32532">
      <c r="A32532" s="48" t="s">
        <v>995</v>
      </c>
      <c r="B32532" s="38">
        <v>31339.0</v>
      </c>
      <c r="C32532" s="38" t="s">
        <v>36810</v>
      </c>
      <c r="D32532" s="38" t="str">
        <f>IFERROR(__xludf.DUMMYFUNCTION("REGEXREPLACE(C32532,""-\d+(.*)|--\d+(.*)"","""")"),"MERENVIELLE")</f>
        <v>MERENVIELLE</v>
      </c>
      <c r="E32532" s="38" t="s">
        <v>93</v>
      </c>
      <c r="F32532" s="38" t="s">
        <v>94</v>
      </c>
      <c r="G32532" s="49" t="str">
        <f t="shared" si="1"/>
        <v>31530</v>
      </c>
      <c r="H32532" s="49">
        <f t="shared" si="2"/>
        <v>31339</v>
      </c>
    </row>
    <row r="32533">
      <c r="A32533" s="48" t="s">
        <v>1991</v>
      </c>
      <c r="B32533" s="38">
        <v>54193.0</v>
      </c>
      <c r="C32533" s="38" t="s">
        <v>36811</v>
      </c>
      <c r="D32533" s="38" t="str">
        <f>IFERROR(__xludf.DUMMYFUNCTION("REGEXREPLACE(C32533,""-\d+(.*)|--\d+(.*)"","""")"),"FEY-EN-HAYE")</f>
        <v>FEY-EN-HAYE</v>
      </c>
      <c r="E32533" s="38" t="s">
        <v>548</v>
      </c>
      <c r="F32533" s="38" t="s">
        <v>195</v>
      </c>
      <c r="G32533" s="49" t="str">
        <f t="shared" si="1"/>
        <v>54470</v>
      </c>
      <c r="H32533" s="49">
        <f t="shared" si="2"/>
        <v>54193</v>
      </c>
    </row>
    <row r="32534">
      <c r="A32534" s="48" t="s">
        <v>2266</v>
      </c>
      <c r="B32534" s="38">
        <v>55399.0</v>
      </c>
      <c r="C32534" s="38" t="s">
        <v>36812</v>
      </c>
      <c r="D32534" s="38" t="str">
        <f>IFERROR(__xludf.DUMMYFUNCTION("REGEXREPLACE(C32534,""-\d+(.*)|--\d+(.*)"","""")"),"PAREID")</f>
        <v>PAREID</v>
      </c>
      <c r="E32534" s="38" t="s">
        <v>322</v>
      </c>
      <c r="F32534" s="38" t="s">
        <v>195</v>
      </c>
      <c r="G32534" s="49" t="str">
        <f t="shared" si="1"/>
        <v>55160</v>
      </c>
      <c r="H32534" s="49">
        <f t="shared" si="2"/>
        <v>55399</v>
      </c>
    </row>
    <row r="32535">
      <c r="A32535" s="48" t="s">
        <v>2794</v>
      </c>
      <c r="B32535" s="38">
        <v>39401.0</v>
      </c>
      <c r="C32535" s="38" t="s">
        <v>36813</v>
      </c>
      <c r="D32535" s="38" t="str">
        <f>IFERROR(__xludf.DUMMYFUNCTION("REGEXREPLACE(C32535,""-\d+(.*)|--\d+(.*)"","""")"),"OUSSIERES")</f>
        <v>OUSSIERES</v>
      </c>
      <c r="E32535" s="38" t="s">
        <v>400</v>
      </c>
      <c r="F32535" s="38" t="s">
        <v>214</v>
      </c>
      <c r="G32535" s="49" t="str">
        <f t="shared" si="1"/>
        <v>39800</v>
      </c>
      <c r="H32535" s="49">
        <f t="shared" si="2"/>
        <v>39401</v>
      </c>
    </row>
    <row r="32536">
      <c r="A32536" s="48" t="s">
        <v>2703</v>
      </c>
      <c r="B32536" s="38">
        <v>69014.0</v>
      </c>
      <c r="C32536" s="38" t="s">
        <v>36814</v>
      </c>
      <c r="D32536" s="38" t="str">
        <f>IFERROR(__xludf.DUMMYFUNCTION("REGEXREPLACE(C32536,""-\d+(.*)|--\d+(.*)"","""")"),"AVEIZE")</f>
        <v>AVEIZE</v>
      </c>
      <c r="E32536" s="38" t="s">
        <v>350</v>
      </c>
      <c r="F32536" s="38" t="s">
        <v>102</v>
      </c>
      <c r="G32536" s="49" t="str">
        <f t="shared" si="1"/>
        <v>69610</v>
      </c>
      <c r="H32536" s="49">
        <f t="shared" si="2"/>
        <v>69014</v>
      </c>
    </row>
    <row r="32537">
      <c r="A32537" s="48" t="s">
        <v>1857</v>
      </c>
      <c r="B32537" s="38">
        <v>4053.0</v>
      </c>
      <c r="C32537" s="38" t="s">
        <v>36815</v>
      </c>
      <c r="D32537" s="38" t="str">
        <f>IFERROR(__xludf.DUMMYFUNCTION("REGEXREPLACE(C32537,""-\d+(.*)|--\d+(.*)"","""")"),"CHATEAUNEUF-VAL-SAINT-DONAT")</f>
        <v>CHATEAUNEUF-VAL-SAINT-DONAT</v>
      </c>
      <c r="E32537" s="38" t="s">
        <v>662</v>
      </c>
      <c r="F32537" s="38" t="s">
        <v>228</v>
      </c>
      <c r="G32537" s="49" t="str">
        <f t="shared" si="1"/>
        <v>04200</v>
      </c>
      <c r="H32537" s="49" t="str">
        <f t="shared" si="2"/>
        <v>04053</v>
      </c>
    </row>
    <row r="32538">
      <c r="A32538" s="48" t="s">
        <v>434</v>
      </c>
      <c r="B32538" s="38">
        <v>55169.0</v>
      </c>
      <c r="C32538" s="38" t="s">
        <v>36816</v>
      </c>
      <c r="D32538" s="38" t="str">
        <f>IFERROR(__xludf.DUMMYFUNCTION("REGEXREPLACE(C32538,""-\d+(.*)|--\d+(.*)"","""")"),"ECOUVIEZ")</f>
        <v>ECOUVIEZ</v>
      </c>
      <c r="E32538" s="38" t="s">
        <v>322</v>
      </c>
      <c r="F32538" s="38" t="s">
        <v>195</v>
      </c>
      <c r="G32538" s="49" t="str">
        <f t="shared" si="1"/>
        <v>55600</v>
      </c>
      <c r="H32538" s="49">
        <f t="shared" si="2"/>
        <v>55169</v>
      </c>
    </row>
    <row r="32539">
      <c r="A32539" s="48" t="s">
        <v>5631</v>
      </c>
      <c r="B32539" s="38">
        <v>76085.0</v>
      </c>
      <c r="C32539" s="38" t="s">
        <v>36817</v>
      </c>
      <c r="D32539" s="38" t="str">
        <f>IFERROR(__xludf.DUMMYFUNCTION("REGEXREPLACE(C32539,""-\d+(.*)|--\d+(.*)"","""")"),"BERTREVILLE-SAINT-OUEN")</f>
        <v>BERTREVILLE-SAINT-OUEN</v>
      </c>
      <c r="E32539" s="38" t="s">
        <v>133</v>
      </c>
      <c r="F32539" s="38" t="s">
        <v>134</v>
      </c>
      <c r="G32539" s="49" t="str">
        <f t="shared" si="1"/>
        <v>76590</v>
      </c>
      <c r="H32539" s="49">
        <f t="shared" si="2"/>
        <v>76085</v>
      </c>
    </row>
    <row r="32540">
      <c r="A32540" s="48" t="s">
        <v>8742</v>
      </c>
      <c r="B32540" s="38">
        <v>27490.0</v>
      </c>
      <c r="C32540" s="38" t="s">
        <v>36818</v>
      </c>
      <c r="D32540" s="38" t="str">
        <f>IFERROR(__xludf.DUMMYFUNCTION("REGEXREPLACE(C32540,""-\d+(.*)|--\d+(.*)"","""")"),"RICHEVILLE")</f>
        <v>RICHEVILLE</v>
      </c>
      <c r="E32540" s="38" t="s">
        <v>241</v>
      </c>
      <c r="F32540" s="38" t="s">
        <v>134</v>
      </c>
      <c r="G32540" s="49" t="str">
        <f t="shared" si="1"/>
        <v>27420</v>
      </c>
      <c r="H32540" s="49">
        <f t="shared" si="2"/>
        <v>27490</v>
      </c>
    </row>
    <row r="32541">
      <c r="A32541" s="48" t="s">
        <v>36204</v>
      </c>
      <c r="B32541" s="38">
        <v>37154.0</v>
      </c>
      <c r="C32541" s="38" t="s">
        <v>36819</v>
      </c>
      <c r="D32541" s="38" t="str">
        <f>IFERROR(__xludf.DUMMYFUNCTION("REGEXREPLACE(C32541,""-\d+(.*)|--\d+(.*)"","""")"),"MONTBAZON")</f>
        <v>MONTBAZON</v>
      </c>
      <c r="E32541" s="38" t="s">
        <v>205</v>
      </c>
      <c r="F32541" s="38" t="s">
        <v>123</v>
      </c>
      <c r="G32541" s="49" t="str">
        <f t="shared" si="1"/>
        <v>37250</v>
      </c>
      <c r="H32541" s="49">
        <f t="shared" si="2"/>
        <v>37154</v>
      </c>
    </row>
    <row r="32542">
      <c r="A32542" s="48" t="s">
        <v>5793</v>
      </c>
      <c r="B32542" s="38">
        <v>54485.0</v>
      </c>
      <c r="C32542" s="38" t="s">
        <v>36820</v>
      </c>
      <c r="D32542" s="38" t="str">
        <f>IFERROR(__xludf.DUMMYFUNCTION("REGEXREPLACE(C32542,""-\d+(.*)|--\d+(.*)"","""")"),"SAINT-PANCRE")</f>
        <v>SAINT-PANCRE</v>
      </c>
      <c r="E32542" s="38" t="s">
        <v>548</v>
      </c>
      <c r="F32542" s="38" t="s">
        <v>195</v>
      </c>
      <c r="G32542" s="49" t="str">
        <f t="shared" si="1"/>
        <v>54730</v>
      </c>
      <c r="H32542" s="49">
        <f t="shared" si="2"/>
        <v>54485</v>
      </c>
    </row>
    <row r="32543">
      <c r="A32543" s="48" t="s">
        <v>10126</v>
      </c>
      <c r="B32543" s="38">
        <v>1181.0</v>
      </c>
      <c r="C32543" s="38" t="s">
        <v>36821</v>
      </c>
      <c r="D32543" s="38" t="str">
        <f>IFERROR(__xludf.DUMMYFUNCTION("REGEXREPLACE(C32543,""-\d+(.*)|--\d+(.*)"","""")"),"GROISSIAT")</f>
        <v>GROISSIAT</v>
      </c>
      <c r="E32543" s="38" t="s">
        <v>255</v>
      </c>
      <c r="F32543" s="38" t="s">
        <v>102</v>
      </c>
      <c r="G32543" s="49" t="str">
        <f t="shared" si="1"/>
        <v>01100</v>
      </c>
      <c r="H32543" s="49" t="str">
        <f t="shared" si="2"/>
        <v>01181</v>
      </c>
    </row>
    <row r="32544">
      <c r="A32544" s="48" t="s">
        <v>36822</v>
      </c>
      <c r="B32544" s="38">
        <v>42234.0</v>
      </c>
      <c r="C32544" s="38" t="s">
        <v>36823</v>
      </c>
      <c r="D32544" s="38" t="str">
        <f>IFERROR(__xludf.DUMMYFUNCTION("REGEXREPLACE(C32544,""-\d+(.*)|--\d+(.*)"","""")"),"SAINT-HEAND")</f>
        <v>SAINT-HEAND</v>
      </c>
      <c r="E32544" s="38" t="s">
        <v>166</v>
      </c>
      <c r="F32544" s="38" t="s">
        <v>102</v>
      </c>
      <c r="G32544" s="49" t="str">
        <f t="shared" si="1"/>
        <v>42570</v>
      </c>
      <c r="H32544" s="49">
        <f t="shared" si="2"/>
        <v>42234</v>
      </c>
    </row>
    <row r="32545">
      <c r="A32545" s="48" t="s">
        <v>11166</v>
      </c>
      <c r="B32545" s="38">
        <v>55495.0</v>
      </c>
      <c r="C32545" s="38" t="s">
        <v>15526</v>
      </c>
      <c r="D32545" s="38" t="str">
        <f>IFERROR(__xludf.DUMMYFUNCTION("REGEXREPLACE(C32545,""-\d+(.*)|--\d+(.*)"","""")"),"SORBEY")</f>
        <v>SORBEY</v>
      </c>
      <c r="E32545" s="38" t="s">
        <v>322</v>
      </c>
      <c r="F32545" s="38" t="s">
        <v>195</v>
      </c>
      <c r="G32545" s="49" t="str">
        <f t="shared" si="1"/>
        <v>55230</v>
      </c>
      <c r="H32545" s="49">
        <f t="shared" si="2"/>
        <v>55495</v>
      </c>
    </row>
    <row r="32546">
      <c r="A32546" s="48" t="s">
        <v>36824</v>
      </c>
      <c r="B32546" s="38">
        <v>30351.0</v>
      </c>
      <c r="C32546" s="38" t="s">
        <v>36825</v>
      </c>
      <c r="D32546" s="38" t="str">
        <f>IFERROR(__xludf.DUMMYFUNCTION("REGEXREPLACE(C32546,""-\d+(.*)|--\d+(.*)"","""")"),"VILLENEUVE-LES-AVIGNON")</f>
        <v>VILLENEUVE-LES-AVIGNON</v>
      </c>
      <c r="E32546" s="38" t="s">
        <v>526</v>
      </c>
      <c r="F32546" s="38" t="s">
        <v>119</v>
      </c>
      <c r="G32546" s="49" t="str">
        <f t="shared" si="1"/>
        <v>30400</v>
      </c>
      <c r="H32546" s="49">
        <f t="shared" si="2"/>
        <v>30351</v>
      </c>
    </row>
    <row r="32547">
      <c r="A32547" s="48" t="s">
        <v>8678</v>
      </c>
      <c r="B32547" s="38">
        <v>65019.0</v>
      </c>
      <c r="C32547" s="38" t="s">
        <v>36826</v>
      </c>
      <c r="D32547" s="38" t="str">
        <f>IFERROR(__xludf.DUMMYFUNCTION("REGEXREPLACE(C32547,""-\d+(.*)|--\d+(.*)"","""")"),"ARCIZAC-ADOUR")</f>
        <v>ARCIZAC-ADOUR</v>
      </c>
      <c r="E32547" s="38" t="s">
        <v>200</v>
      </c>
      <c r="F32547" s="38" t="s">
        <v>94</v>
      </c>
      <c r="G32547" s="49" t="str">
        <f t="shared" si="1"/>
        <v>65360</v>
      </c>
      <c r="H32547" s="49">
        <f t="shared" si="2"/>
        <v>65019</v>
      </c>
    </row>
    <row r="32548">
      <c r="A32548" s="48" t="s">
        <v>155</v>
      </c>
      <c r="B32548" s="38">
        <v>50092.0</v>
      </c>
      <c r="C32548" s="38" t="s">
        <v>36827</v>
      </c>
      <c r="D32548" s="38" t="str">
        <f>IFERROR(__xludf.DUMMYFUNCTION("REGEXREPLACE(C32548,""-\d+(.*)|--\d+(.*)"","""")"),"CAMBERNON")</f>
        <v>CAMBERNON</v>
      </c>
      <c r="E32548" s="38" t="s">
        <v>157</v>
      </c>
      <c r="F32548" s="38" t="s">
        <v>138</v>
      </c>
      <c r="G32548" s="49" t="str">
        <f t="shared" si="1"/>
        <v>50200</v>
      </c>
      <c r="H32548" s="49">
        <f t="shared" si="2"/>
        <v>50092</v>
      </c>
    </row>
    <row r="32549">
      <c r="A32549" s="48" t="s">
        <v>7824</v>
      </c>
      <c r="B32549" s="38">
        <v>82096.0</v>
      </c>
      <c r="C32549" s="38" t="s">
        <v>36828</v>
      </c>
      <c r="D32549" s="38" t="str">
        <f>IFERROR(__xludf.DUMMYFUNCTION("REGEXREPLACE(C32549,""-\d+(.*)|--\d+(.*)"","""")"),"LA VILLE-DIEU-DU-TEMPLE")</f>
        <v>LA VILLE-DIEU-DU-TEMPLE</v>
      </c>
      <c r="E32549" s="38" t="s">
        <v>570</v>
      </c>
      <c r="F32549" s="38" t="s">
        <v>94</v>
      </c>
      <c r="G32549" s="49" t="str">
        <f t="shared" si="1"/>
        <v>82290</v>
      </c>
      <c r="H32549" s="49">
        <f t="shared" si="2"/>
        <v>82096</v>
      </c>
    </row>
    <row r="32550">
      <c r="A32550" s="48" t="s">
        <v>12184</v>
      </c>
      <c r="B32550" s="38">
        <v>49135.0</v>
      </c>
      <c r="C32550" s="38" t="s">
        <v>36829</v>
      </c>
      <c r="D32550" s="38" t="str">
        <f>IFERROR(__xludf.DUMMYFUNCTION("REGEXREPLACE(C32550,""-\d+(.*)|--\d+(.*)"","""")"),"FENEU")</f>
        <v>FENEU</v>
      </c>
      <c r="E32550" s="38" t="s">
        <v>653</v>
      </c>
      <c r="F32550" s="38" t="s">
        <v>180</v>
      </c>
      <c r="G32550" s="49" t="str">
        <f t="shared" si="1"/>
        <v>49460</v>
      </c>
      <c r="H32550" s="49">
        <f t="shared" si="2"/>
        <v>49135</v>
      </c>
    </row>
    <row r="32551">
      <c r="A32551" s="48" t="s">
        <v>1796</v>
      </c>
      <c r="B32551" s="38">
        <v>31313.0</v>
      </c>
      <c r="C32551" s="38" t="s">
        <v>36830</v>
      </c>
      <c r="D32551" s="38" t="str">
        <f>IFERROR(__xludf.DUMMYFUNCTION("REGEXREPLACE(C32551,""-\d+(.*)|--\d+(.*)"","""")"),"MALVEZIE")</f>
        <v>MALVEZIE</v>
      </c>
      <c r="E32551" s="38" t="s">
        <v>93</v>
      </c>
      <c r="F32551" s="38" t="s">
        <v>94</v>
      </c>
      <c r="G32551" s="49" t="str">
        <f t="shared" si="1"/>
        <v>31510</v>
      </c>
      <c r="H32551" s="49">
        <f t="shared" si="2"/>
        <v>31313</v>
      </c>
    </row>
    <row r="32552">
      <c r="A32552" s="48" t="s">
        <v>3986</v>
      </c>
      <c r="B32552" s="38">
        <v>62856.0</v>
      </c>
      <c r="C32552" s="38" t="s">
        <v>36831</v>
      </c>
      <c r="D32552" s="38" t="str">
        <f>IFERROR(__xludf.DUMMYFUNCTION("REGEXREPLACE(C32552,""-\d+(.*)|--\d+(.*)"","""")"),"VILLERS-BRULIN")</f>
        <v>VILLERS-BRULIN</v>
      </c>
      <c r="E32552" s="38" t="s">
        <v>109</v>
      </c>
      <c r="F32552" s="38" t="s">
        <v>86</v>
      </c>
      <c r="G32552" s="49" t="str">
        <f t="shared" si="1"/>
        <v>62690</v>
      </c>
      <c r="H32552" s="49">
        <f t="shared" si="2"/>
        <v>62856</v>
      </c>
    </row>
    <row r="32553">
      <c r="A32553" s="48" t="s">
        <v>2004</v>
      </c>
      <c r="B32553" s="38">
        <v>88457.0</v>
      </c>
      <c r="C32553" s="38" t="s">
        <v>36832</v>
      </c>
      <c r="D32553" s="38" t="str">
        <f>IFERROR(__xludf.DUMMYFUNCTION("REGEXREPLACE(C32553,""-\d+(.*)|--\d+(.*)"","""")"),"SIONNE")</f>
        <v>SIONNE</v>
      </c>
      <c r="E32553" s="38" t="s">
        <v>194</v>
      </c>
      <c r="F32553" s="38" t="s">
        <v>195</v>
      </c>
      <c r="G32553" s="49" t="str">
        <f t="shared" si="1"/>
        <v>88630</v>
      </c>
      <c r="H32553" s="49">
        <f t="shared" si="2"/>
        <v>88457</v>
      </c>
    </row>
    <row r="32554">
      <c r="A32554" s="48" t="s">
        <v>24546</v>
      </c>
      <c r="B32554" s="38">
        <v>39275.0</v>
      </c>
      <c r="C32554" s="38" t="s">
        <v>36833</v>
      </c>
      <c r="D32554" s="38" t="str">
        <f>IFERROR(__xludf.DUMMYFUNCTION("REGEXREPLACE(C32554,""-\d+(.*)|--\d+(.*)"","""")"),"LAMOURA")</f>
        <v>LAMOURA</v>
      </c>
      <c r="E32554" s="38" t="s">
        <v>400</v>
      </c>
      <c r="F32554" s="38" t="s">
        <v>214</v>
      </c>
      <c r="G32554" s="49" t="str">
        <f t="shared" si="1"/>
        <v>39310</v>
      </c>
      <c r="H32554" s="49">
        <f t="shared" si="2"/>
        <v>39275</v>
      </c>
    </row>
    <row r="32555">
      <c r="A32555" s="48" t="s">
        <v>19208</v>
      </c>
      <c r="B32555" s="38">
        <v>14274.0</v>
      </c>
      <c r="C32555" s="38" t="s">
        <v>36834</v>
      </c>
      <c r="D32555" s="38" t="str">
        <f>IFERROR(__xludf.DUMMYFUNCTION("REGEXREPLACE(C32555,""-\d+(.*)|--\d+(.*)"","""")"),"FONTAINE-ETOUPEFOUR")</f>
        <v>FONTAINE-ETOUPEFOUR</v>
      </c>
      <c r="E32555" s="38" t="s">
        <v>137</v>
      </c>
      <c r="F32555" s="38" t="s">
        <v>138</v>
      </c>
      <c r="G32555" s="49" t="str">
        <f t="shared" si="1"/>
        <v>14790</v>
      </c>
      <c r="H32555" s="49">
        <f t="shared" si="2"/>
        <v>14274</v>
      </c>
    </row>
    <row r="32556">
      <c r="A32556" s="48" t="s">
        <v>2726</v>
      </c>
      <c r="B32556" s="38">
        <v>46125.0</v>
      </c>
      <c r="C32556" s="38" t="s">
        <v>36835</v>
      </c>
      <c r="D32556" s="38" t="str">
        <f>IFERROR(__xludf.DUMMYFUNCTION("REGEXREPLACE(C32556,""-\d+(.*)|--\d+(.*)"","""")"),"GORSES")</f>
        <v>GORSES</v>
      </c>
      <c r="E32556" s="38" t="s">
        <v>185</v>
      </c>
      <c r="F32556" s="38" t="s">
        <v>94</v>
      </c>
      <c r="G32556" s="49" t="str">
        <f t="shared" si="1"/>
        <v>46210</v>
      </c>
      <c r="H32556" s="49">
        <f t="shared" si="2"/>
        <v>46125</v>
      </c>
    </row>
    <row r="32557">
      <c r="A32557" s="48" t="s">
        <v>16993</v>
      </c>
      <c r="B32557" s="38">
        <v>59583.0</v>
      </c>
      <c r="C32557" s="38" t="s">
        <v>36836</v>
      </c>
      <c r="D32557" s="38" t="str">
        <f>IFERROR(__xludf.DUMMYFUNCTION("REGEXREPLACE(C32557,""-\d+(.*)|--\d+(.*)"","""")"),"TAISNIERES-EN-THIERACHE")</f>
        <v>TAISNIERES-EN-THIERACHE</v>
      </c>
      <c r="E32557" s="38" t="s">
        <v>85</v>
      </c>
      <c r="F32557" s="38" t="s">
        <v>86</v>
      </c>
      <c r="G32557" s="49" t="str">
        <f t="shared" si="1"/>
        <v>59550</v>
      </c>
      <c r="H32557" s="49">
        <f t="shared" si="2"/>
        <v>59583</v>
      </c>
    </row>
    <row r="32558">
      <c r="A32558" s="48" t="s">
        <v>1754</v>
      </c>
      <c r="B32558" s="38">
        <v>14633.0</v>
      </c>
      <c r="C32558" s="38" t="s">
        <v>36837</v>
      </c>
      <c r="D32558" s="38" t="str">
        <f>IFERROR(__xludf.DUMMYFUNCTION("REGEXREPLACE(C32558,""-\d+(.*)|--\d+(.*)"","""")"),"SAINT-MARTIN-DU-MESNIL-OURY")</f>
        <v>SAINT-MARTIN-DU-MESNIL-OURY</v>
      </c>
      <c r="E32558" s="38" t="s">
        <v>137</v>
      </c>
      <c r="F32558" s="38" t="s">
        <v>138</v>
      </c>
      <c r="G32558" s="49" t="str">
        <f t="shared" si="1"/>
        <v>14140</v>
      </c>
      <c r="H32558" s="49">
        <f t="shared" si="2"/>
        <v>14633</v>
      </c>
    </row>
    <row r="32559">
      <c r="A32559" s="48" t="s">
        <v>6078</v>
      </c>
      <c r="B32559" s="38">
        <v>10127.0</v>
      </c>
      <c r="C32559" s="38" t="s">
        <v>36838</v>
      </c>
      <c r="D32559" s="38" t="str">
        <f>IFERROR(__xludf.DUMMYFUNCTION("REGEXREPLACE(C32559,""-\d+(.*)|--\d+(.*)"","""")"),"DOMMARTIN-LE-COQ")</f>
        <v>DOMMARTIN-LE-COQ</v>
      </c>
      <c r="E32559" s="38" t="s">
        <v>147</v>
      </c>
      <c r="F32559" s="38" t="s">
        <v>130</v>
      </c>
      <c r="G32559" s="49" t="str">
        <f t="shared" si="1"/>
        <v>10240</v>
      </c>
      <c r="H32559" s="49">
        <f t="shared" si="2"/>
        <v>10127</v>
      </c>
    </row>
    <row r="32560">
      <c r="A32560" s="48" t="s">
        <v>1552</v>
      </c>
      <c r="B32560" s="38">
        <v>53058.0</v>
      </c>
      <c r="C32560" s="38" t="s">
        <v>36839</v>
      </c>
      <c r="D32560" s="38" t="str">
        <f>IFERROR(__xludf.DUMMYFUNCTION("REGEXREPLACE(C32560,""-\d+(.*)|--\d+(.*)"","""")"),"LA CHAPELLE-CRAONNAISE")</f>
        <v>LA CHAPELLE-CRAONNAISE</v>
      </c>
      <c r="E32560" s="38" t="s">
        <v>518</v>
      </c>
      <c r="F32560" s="38" t="s">
        <v>180</v>
      </c>
      <c r="G32560" s="49" t="str">
        <f t="shared" si="1"/>
        <v>53230</v>
      </c>
      <c r="H32560" s="49">
        <f t="shared" si="2"/>
        <v>53058</v>
      </c>
    </row>
    <row r="32561">
      <c r="A32561" s="48" t="s">
        <v>3653</v>
      </c>
      <c r="B32561" s="38">
        <v>61205.0</v>
      </c>
      <c r="C32561" s="38" t="s">
        <v>36840</v>
      </c>
      <c r="D32561" s="38" t="str">
        <f>IFERROR(__xludf.DUMMYFUNCTION("REGEXREPLACE(C32561,""-\d+(.*)|--\d+(.*)"","""")"),"HEUGON")</f>
        <v>HEUGON</v>
      </c>
      <c r="E32561" s="38" t="s">
        <v>141</v>
      </c>
      <c r="F32561" s="38" t="s">
        <v>138</v>
      </c>
      <c r="G32561" s="49" t="str">
        <f t="shared" si="1"/>
        <v>61470</v>
      </c>
      <c r="H32561" s="49">
        <f t="shared" si="2"/>
        <v>61205</v>
      </c>
    </row>
    <row r="32562">
      <c r="A32562" s="48" t="s">
        <v>3208</v>
      </c>
      <c r="B32562" s="38">
        <v>80226.0</v>
      </c>
      <c r="C32562" s="38" t="s">
        <v>36841</v>
      </c>
      <c r="D32562" s="38" t="str">
        <f>IFERROR(__xludf.DUMMYFUNCTION("REGEXREPLACE(C32562,""-\d+(.*)|--\d+(.*)"","""")"),"CROIX-MOLIGNEAUX")</f>
        <v>CROIX-MOLIGNEAUX</v>
      </c>
      <c r="E32562" s="38" t="s">
        <v>224</v>
      </c>
      <c r="F32562" s="38" t="s">
        <v>113</v>
      </c>
      <c r="G32562" s="49" t="str">
        <f t="shared" si="1"/>
        <v>80400</v>
      </c>
      <c r="H32562" s="49">
        <f t="shared" si="2"/>
        <v>80226</v>
      </c>
    </row>
    <row r="32563">
      <c r="A32563" s="48" t="s">
        <v>20407</v>
      </c>
      <c r="B32563" s="38">
        <v>87089.0</v>
      </c>
      <c r="C32563" s="38" t="s">
        <v>36842</v>
      </c>
      <c r="D32563" s="38" t="str">
        <f>IFERROR(__xludf.DUMMYFUNCTION("REGEXREPLACE(C32563,""-\d+(.*)|--\d+(.*)"","""")"),"MAGNAC-LAVAL")</f>
        <v>MAGNAC-LAVAL</v>
      </c>
      <c r="E32563" s="38" t="s">
        <v>897</v>
      </c>
      <c r="F32563" s="38" t="s">
        <v>98</v>
      </c>
      <c r="G32563" s="49" t="str">
        <f t="shared" si="1"/>
        <v>87190</v>
      </c>
      <c r="H32563" s="49">
        <f t="shared" si="2"/>
        <v>87089</v>
      </c>
    </row>
    <row r="32564">
      <c r="A32564" s="48" t="s">
        <v>1531</v>
      </c>
      <c r="B32564" s="38">
        <v>65389.0</v>
      </c>
      <c r="C32564" s="38" t="s">
        <v>36843</v>
      </c>
      <c r="D32564" s="38" t="str">
        <f>IFERROR(__xludf.DUMMYFUNCTION("REGEXREPLACE(C32564,""-\d+(.*)|--\d+(.*)"","""")"),"SAINT-LAURENT-DE-NESTE")</f>
        <v>SAINT-LAURENT-DE-NESTE</v>
      </c>
      <c r="E32564" s="38" t="s">
        <v>200</v>
      </c>
      <c r="F32564" s="38" t="s">
        <v>94</v>
      </c>
      <c r="G32564" s="49" t="str">
        <f t="shared" si="1"/>
        <v>65150</v>
      </c>
      <c r="H32564" s="49">
        <f t="shared" si="2"/>
        <v>65389</v>
      </c>
    </row>
    <row r="32565">
      <c r="A32565" s="48" t="s">
        <v>6047</v>
      </c>
      <c r="B32565" s="38">
        <v>38307.0</v>
      </c>
      <c r="C32565" s="38" t="s">
        <v>36844</v>
      </c>
      <c r="D32565" s="38" t="str">
        <f>IFERROR(__xludf.DUMMYFUNCTION("REGEXREPLACE(C32565,""-\d+(.*)|--\d+(.*)"","""")"),"PISIEU")</f>
        <v>PISIEU</v>
      </c>
      <c r="E32565" s="38" t="s">
        <v>101</v>
      </c>
      <c r="F32565" s="38" t="s">
        <v>102</v>
      </c>
      <c r="G32565" s="49" t="str">
        <f t="shared" si="1"/>
        <v>38270</v>
      </c>
      <c r="H32565" s="49">
        <f t="shared" si="2"/>
        <v>38307</v>
      </c>
    </row>
    <row r="32566">
      <c r="A32566" s="48" t="s">
        <v>9500</v>
      </c>
      <c r="B32566" s="38">
        <v>49235.0</v>
      </c>
      <c r="C32566" s="38" t="s">
        <v>6491</v>
      </c>
      <c r="D32566" s="38" t="str">
        <f>IFERROR(__xludf.DUMMYFUNCTION("REGEXREPLACE(C32566,""-\d+(.*)|--\d+(.*)"","""")"),"PARNAY")</f>
        <v>PARNAY</v>
      </c>
      <c r="E32566" s="38" t="s">
        <v>653</v>
      </c>
      <c r="F32566" s="38" t="s">
        <v>180</v>
      </c>
      <c r="G32566" s="49" t="str">
        <f t="shared" si="1"/>
        <v>49730</v>
      </c>
      <c r="H32566" s="49">
        <f t="shared" si="2"/>
        <v>49235</v>
      </c>
    </row>
    <row r="32567">
      <c r="A32567" s="48" t="s">
        <v>1796</v>
      </c>
      <c r="B32567" s="38">
        <v>31408.0</v>
      </c>
      <c r="C32567" s="38" t="s">
        <v>36845</v>
      </c>
      <c r="D32567" s="38" t="str">
        <f>IFERROR(__xludf.DUMMYFUNCTION("REGEXREPLACE(C32567,""-\d+(.*)|--\d+(.*)"","""")"),"PAYSSOUS")</f>
        <v>PAYSSOUS</v>
      </c>
      <c r="E32567" s="38" t="s">
        <v>93</v>
      </c>
      <c r="F32567" s="38" t="s">
        <v>94</v>
      </c>
      <c r="G32567" s="49" t="str">
        <f t="shared" si="1"/>
        <v>31510</v>
      </c>
      <c r="H32567" s="49">
        <f t="shared" si="2"/>
        <v>31408</v>
      </c>
    </row>
    <row r="32568">
      <c r="A32568" s="48" t="s">
        <v>29088</v>
      </c>
      <c r="B32568" s="38">
        <v>62048.0</v>
      </c>
      <c r="C32568" s="38" t="s">
        <v>36846</v>
      </c>
      <c r="D32568" s="38" t="str">
        <f>IFERROR(__xludf.DUMMYFUNCTION("REGEXREPLACE(C32568,""-\d+(.*)|--\d+(.*)"","""")"),"AUCHEL")</f>
        <v>AUCHEL</v>
      </c>
      <c r="E32568" s="38" t="s">
        <v>109</v>
      </c>
      <c r="F32568" s="38" t="s">
        <v>86</v>
      </c>
      <c r="G32568" s="49" t="str">
        <f t="shared" si="1"/>
        <v>62260</v>
      </c>
      <c r="H32568" s="49">
        <f t="shared" si="2"/>
        <v>62048</v>
      </c>
    </row>
    <row r="32569">
      <c r="A32569" s="48" t="s">
        <v>860</v>
      </c>
      <c r="B32569" s="38">
        <v>80735.0</v>
      </c>
      <c r="C32569" s="38" t="s">
        <v>36847</v>
      </c>
      <c r="D32569" s="38" t="str">
        <f>IFERROR(__xludf.DUMMYFUNCTION("REGEXREPLACE(C32569,""-\d+(.*)|--\d+(.*)"","""")"),"SEUX")</f>
        <v>SEUX</v>
      </c>
      <c r="E32569" s="38" t="s">
        <v>224</v>
      </c>
      <c r="F32569" s="38" t="s">
        <v>113</v>
      </c>
      <c r="G32569" s="49" t="str">
        <f t="shared" si="1"/>
        <v>80540</v>
      </c>
      <c r="H32569" s="49">
        <f t="shared" si="2"/>
        <v>80735</v>
      </c>
    </row>
    <row r="32570">
      <c r="A32570" s="48" t="s">
        <v>5174</v>
      </c>
      <c r="B32570" s="38">
        <v>82118.0</v>
      </c>
      <c r="C32570" s="38" t="s">
        <v>15698</v>
      </c>
      <c r="D32570" s="38" t="str">
        <f>IFERROR(__xludf.DUMMYFUNCTION("REGEXREPLACE(C32570,""-\d+(.*)|--\d+(.*)"","""")"),"MONTAIN")</f>
        <v>MONTAIN</v>
      </c>
      <c r="E32570" s="38" t="s">
        <v>570</v>
      </c>
      <c r="F32570" s="38" t="s">
        <v>94</v>
      </c>
      <c r="G32570" s="49" t="str">
        <f t="shared" si="1"/>
        <v>82100</v>
      </c>
      <c r="H32570" s="49">
        <f t="shared" si="2"/>
        <v>82118</v>
      </c>
    </row>
    <row r="32571">
      <c r="A32571" s="48" t="s">
        <v>7435</v>
      </c>
      <c r="B32571" s="38">
        <v>52251.0</v>
      </c>
      <c r="C32571" s="38" t="s">
        <v>36848</v>
      </c>
      <c r="D32571" s="38" t="str">
        <f>IFERROR(__xludf.DUMMYFUNCTION("REGEXREPLACE(C32571,""-\d+(.*)|--\d+(.*)"","""")"),"JONCHERY")</f>
        <v>JONCHERY</v>
      </c>
      <c r="E32571" s="38" t="s">
        <v>234</v>
      </c>
      <c r="F32571" s="38" t="s">
        <v>130</v>
      </c>
      <c r="G32571" s="49" t="str">
        <f t="shared" si="1"/>
        <v>52000</v>
      </c>
      <c r="H32571" s="49">
        <f t="shared" si="2"/>
        <v>52251</v>
      </c>
    </row>
    <row r="32572">
      <c r="A32572" s="48" t="s">
        <v>28152</v>
      </c>
      <c r="B32572" s="38">
        <v>72275.0</v>
      </c>
      <c r="C32572" s="38" t="s">
        <v>36849</v>
      </c>
      <c r="D32572" s="38" t="str">
        <f>IFERROR(__xludf.DUMMYFUNCTION("REGEXREPLACE(C32572,""-\d+(.*)|--\d+(.*)"","""")"),"SAINT-CORNEILLE")</f>
        <v>SAINT-CORNEILLE</v>
      </c>
      <c r="E32572" s="38" t="s">
        <v>521</v>
      </c>
      <c r="F32572" s="38" t="s">
        <v>180</v>
      </c>
      <c r="G32572" s="49" t="str">
        <f t="shared" si="1"/>
        <v>72460</v>
      </c>
      <c r="H32572" s="49">
        <f t="shared" si="2"/>
        <v>72275</v>
      </c>
    </row>
    <row r="32573">
      <c r="A32573" s="48" t="s">
        <v>10861</v>
      </c>
      <c r="B32573" s="38">
        <v>35005.0</v>
      </c>
      <c r="C32573" s="38" t="s">
        <v>36850</v>
      </c>
      <c r="D32573" s="38" t="str">
        <f>IFERROR(__xludf.DUMMYFUNCTION("REGEXREPLACE(C32573,""-\d+(.*)|--\d+(.*)"","""")"),"ARBRISSEL")</f>
        <v>ARBRISSEL</v>
      </c>
      <c r="E32573" s="38" t="s">
        <v>347</v>
      </c>
      <c r="F32573" s="38" t="s">
        <v>90</v>
      </c>
      <c r="G32573" s="49" t="str">
        <f t="shared" si="1"/>
        <v>35130</v>
      </c>
      <c r="H32573" s="49">
        <f t="shared" si="2"/>
        <v>35005</v>
      </c>
    </row>
    <row r="32574">
      <c r="A32574" s="48" t="s">
        <v>22674</v>
      </c>
      <c r="B32574" s="38">
        <v>40273.0</v>
      </c>
      <c r="C32574" s="38" t="s">
        <v>36851</v>
      </c>
      <c r="D32574" s="38" t="str">
        <f>IFERROR(__xludf.DUMMYFUNCTION("REGEXREPLACE(C32574,""-\d+(.*)|--\d+(.*)"","""")"),"SAINT-MARTIN-DE-SEIGNANX")</f>
        <v>SAINT-MARTIN-DE-SEIGNANX</v>
      </c>
      <c r="E32574" s="38" t="s">
        <v>281</v>
      </c>
      <c r="F32574" s="38" t="s">
        <v>252</v>
      </c>
      <c r="G32574" s="49" t="str">
        <f t="shared" si="1"/>
        <v>40390</v>
      </c>
      <c r="H32574" s="49">
        <f t="shared" si="2"/>
        <v>40273</v>
      </c>
    </row>
    <row r="32575">
      <c r="A32575" s="48" t="s">
        <v>3071</v>
      </c>
      <c r="B32575" s="38">
        <v>59077.0</v>
      </c>
      <c r="C32575" s="38" t="s">
        <v>36852</v>
      </c>
      <c r="D32575" s="38" t="str">
        <f>IFERROR(__xludf.DUMMYFUNCTION("REGEXREPLACE(C32575,""-\d+(.*)|--\d+(.*)"","""")"),"BETTRECHIES")</f>
        <v>BETTRECHIES</v>
      </c>
      <c r="E32575" s="38" t="s">
        <v>85</v>
      </c>
      <c r="F32575" s="38" t="s">
        <v>86</v>
      </c>
      <c r="G32575" s="49" t="str">
        <f t="shared" si="1"/>
        <v>59570</v>
      </c>
      <c r="H32575" s="49">
        <f t="shared" si="2"/>
        <v>59077</v>
      </c>
    </row>
    <row r="32576">
      <c r="A32576" s="48" t="s">
        <v>10651</v>
      </c>
      <c r="B32576" s="38">
        <v>81037.0</v>
      </c>
      <c r="C32576" s="38" t="s">
        <v>19352</v>
      </c>
      <c r="D32576" s="38" t="str">
        <f>IFERROR(__xludf.DUMMYFUNCTION("REGEXREPLACE(C32576,""-\d+(.*)|--\d+(.*)"","""")"),"BRASSAC")</f>
        <v>BRASSAC</v>
      </c>
      <c r="E32576" s="38" t="s">
        <v>231</v>
      </c>
      <c r="F32576" s="38" t="s">
        <v>94</v>
      </c>
      <c r="G32576" s="49" t="str">
        <f t="shared" si="1"/>
        <v>81260</v>
      </c>
      <c r="H32576" s="49">
        <f t="shared" si="2"/>
        <v>81037</v>
      </c>
    </row>
    <row r="32577">
      <c r="A32577" s="48" t="s">
        <v>22188</v>
      </c>
      <c r="B32577" s="38">
        <v>14309.0</v>
      </c>
      <c r="C32577" s="38" t="s">
        <v>36853</v>
      </c>
      <c r="D32577" s="38" t="str">
        <f>IFERROR(__xludf.DUMMYFUNCTION("REGEXREPLACE(C32577,""-\d+(.*)|--\d+(.*)"","""")"),"GOUVIX")</f>
        <v>GOUVIX</v>
      </c>
      <c r="E32577" s="38" t="s">
        <v>137</v>
      </c>
      <c r="F32577" s="38" t="s">
        <v>138</v>
      </c>
      <c r="G32577" s="49" t="str">
        <f t="shared" si="1"/>
        <v>14680</v>
      </c>
      <c r="H32577" s="49">
        <f t="shared" si="2"/>
        <v>14309</v>
      </c>
    </row>
    <row r="32578">
      <c r="A32578" s="48" t="s">
        <v>1072</v>
      </c>
      <c r="B32578" s="38">
        <v>86029.0</v>
      </c>
      <c r="C32578" s="38" t="s">
        <v>36854</v>
      </c>
      <c r="D32578" s="38" t="str">
        <f>IFERROR(__xludf.DUMMYFUNCTION("REGEXREPLACE(C32578,""-\d+(.*)|--\d+(.*)"","""")"),"BLANZAY")</f>
        <v>BLANZAY</v>
      </c>
      <c r="E32578" s="38" t="s">
        <v>529</v>
      </c>
      <c r="F32578" s="38" t="s">
        <v>338</v>
      </c>
      <c r="G32578" s="49" t="str">
        <f t="shared" si="1"/>
        <v>86400</v>
      </c>
      <c r="H32578" s="49">
        <f t="shared" si="2"/>
        <v>86029</v>
      </c>
    </row>
    <row r="32579">
      <c r="A32579" s="48" t="s">
        <v>1601</v>
      </c>
      <c r="B32579" s="38">
        <v>72370.0</v>
      </c>
      <c r="C32579" s="38" t="s">
        <v>36855</v>
      </c>
      <c r="D32579" s="38" t="str">
        <f>IFERROR(__xludf.DUMMYFUNCTION("REGEXREPLACE(C32579,""-\d+(.*)|--\d+(.*)"","""")"),"VERNIE")</f>
        <v>VERNIE</v>
      </c>
      <c r="E32579" s="38" t="s">
        <v>521</v>
      </c>
      <c r="F32579" s="38" t="s">
        <v>180</v>
      </c>
      <c r="G32579" s="49" t="str">
        <f t="shared" si="1"/>
        <v>72170</v>
      </c>
      <c r="H32579" s="49">
        <f t="shared" si="2"/>
        <v>72370</v>
      </c>
    </row>
    <row r="32580">
      <c r="A32580" s="48" t="s">
        <v>3973</v>
      </c>
      <c r="B32580" s="38">
        <v>33341.0</v>
      </c>
      <c r="C32580" s="38" t="s">
        <v>36856</v>
      </c>
      <c r="D32580" s="38" t="str">
        <f>IFERROR(__xludf.DUMMYFUNCTION("REGEXREPLACE(C32580,""-\d+(.*)|--\d+(.*)"","""")"),"PUGNAC")</f>
        <v>PUGNAC</v>
      </c>
      <c r="E32580" s="38" t="s">
        <v>462</v>
      </c>
      <c r="F32580" s="38" t="s">
        <v>252</v>
      </c>
      <c r="G32580" s="49" t="str">
        <f t="shared" si="1"/>
        <v>33710</v>
      </c>
      <c r="H32580" s="49">
        <f t="shared" si="2"/>
        <v>33341</v>
      </c>
    </row>
    <row r="32581">
      <c r="A32581" s="48" t="s">
        <v>932</v>
      </c>
      <c r="B32581" s="38">
        <v>17188.0</v>
      </c>
      <c r="C32581" s="38" t="s">
        <v>36857</v>
      </c>
      <c r="D32581" s="38" t="str">
        <f>IFERROR(__xludf.DUMMYFUNCTION("REGEXREPLACE(C32581,""-\d+(.*)|--\d+(.*)"","""")"),"HAIMPS")</f>
        <v>HAIMPS</v>
      </c>
      <c r="E32581" s="38" t="s">
        <v>488</v>
      </c>
      <c r="F32581" s="38" t="s">
        <v>338</v>
      </c>
      <c r="G32581" s="49" t="str">
        <f t="shared" si="1"/>
        <v>17160</v>
      </c>
      <c r="H32581" s="49">
        <f t="shared" si="2"/>
        <v>17188</v>
      </c>
    </row>
    <row r="32582">
      <c r="A32582" s="48" t="s">
        <v>1683</v>
      </c>
      <c r="B32582" s="38">
        <v>78548.0</v>
      </c>
      <c r="C32582" s="38" t="s">
        <v>36858</v>
      </c>
      <c r="D32582" s="38" t="str">
        <f>IFERROR(__xludf.DUMMYFUNCTION("REGEXREPLACE(C32582,""-\d+(.*)|--\d+(.*)"","""")"),"SAINT-FORGET")</f>
        <v>SAINT-FORGET</v>
      </c>
      <c r="E32582" s="38" t="s">
        <v>362</v>
      </c>
      <c r="F32582" s="38" t="s">
        <v>245</v>
      </c>
      <c r="G32582" s="49" t="str">
        <f t="shared" si="1"/>
        <v>78720</v>
      </c>
      <c r="H32582" s="49">
        <f t="shared" si="2"/>
        <v>78548</v>
      </c>
    </row>
    <row r="32583">
      <c r="A32583" s="48" t="s">
        <v>6875</v>
      </c>
      <c r="B32583" s="38">
        <v>2251.0</v>
      </c>
      <c r="C32583" s="38" t="s">
        <v>36859</v>
      </c>
      <c r="D32583" s="38" t="str">
        <f>IFERROR(__xludf.DUMMYFUNCTION("REGEXREPLACE(C32583,""-\d+(.*)|--\d+(.*)"","""")"),"CUIRY-LES-IVIERS")</f>
        <v>CUIRY-LES-IVIERS</v>
      </c>
      <c r="E32583" s="38" t="s">
        <v>191</v>
      </c>
      <c r="F32583" s="38" t="s">
        <v>113</v>
      </c>
      <c r="G32583" s="49" t="str">
        <f t="shared" si="1"/>
        <v>02360</v>
      </c>
      <c r="H32583" s="49" t="str">
        <f t="shared" si="2"/>
        <v>02251</v>
      </c>
    </row>
    <row r="32584">
      <c r="A32584" s="48" t="s">
        <v>7144</v>
      </c>
      <c r="B32584" s="38">
        <v>76230.0</v>
      </c>
      <c r="C32584" s="38" t="s">
        <v>36860</v>
      </c>
      <c r="D32584" s="38" t="str">
        <f>IFERROR(__xludf.DUMMYFUNCTION("REGEXREPLACE(C32584,""-\d+(.*)|--\d+(.*)"","""")"),"ELBEUF-SUR-ANDELLE")</f>
        <v>ELBEUF-SUR-ANDELLE</v>
      </c>
      <c r="E32584" s="38" t="s">
        <v>133</v>
      </c>
      <c r="F32584" s="38" t="s">
        <v>134</v>
      </c>
      <c r="G32584" s="49" t="str">
        <f t="shared" si="1"/>
        <v>76780</v>
      </c>
      <c r="H32584" s="49">
        <f t="shared" si="2"/>
        <v>76230</v>
      </c>
    </row>
    <row r="32585">
      <c r="A32585" s="48" t="s">
        <v>5030</v>
      </c>
      <c r="B32585" s="38">
        <v>65310.0</v>
      </c>
      <c r="C32585" s="38" t="s">
        <v>36861</v>
      </c>
      <c r="D32585" s="38" t="str">
        <f>IFERROR(__xludf.DUMMYFUNCTION("REGEXREPLACE(C32585,""-\d+(.*)|--\d+(.*)"","""")"),"MERILHEU")</f>
        <v>MERILHEU</v>
      </c>
      <c r="E32585" s="38" t="s">
        <v>200</v>
      </c>
      <c r="F32585" s="38" t="s">
        <v>94</v>
      </c>
      <c r="G32585" s="49" t="str">
        <f t="shared" si="1"/>
        <v>65200</v>
      </c>
      <c r="H32585" s="49">
        <f t="shared" si="2"/>
        <v>65310</v>
      </c>
    </row>
    <row r="32586">
      <c r="A32586" s="48" t="s">
        <v>11025</v>
      </c>
      <c r="B32586" s="38">
        <v>88196.0</v>
      </c>
      <c r="C32586" s="38" t="s">
        <v>36862</v>
      </c>
      <c r="D32586" s="38" t="str">
        <f>IFERROR(__xludf.DUMMYFUNCTION("REGEXREPLACE(C32586,""-\d+(.*)|--\d+(.*)"","""")"),"GERARDMER")</f>
        <v>GERARDMER</v>
      </c>
      <c r="E32586" s="38" t="s">
        <v>194</v>
      </c>
      <c r="F32586" s="38" t="s">
        <v>195</v>
      </c>
      <c r="G32586" s="49" t="str">
        <f t="shared" si="1"/>
        <v>88400</v>
      </c>
      <c r="H32586" s="49">
        <f t="shared" si="2"/>
        <v>88196</v>
      </c>
    </row>
    <row r="32587">
      <c r="A32587" s="48" t="s">
        <v>773</v>
      </c>
      <c r="B32587" s="38">
        <v>27076.0</v>
      </c>
      <c r="C32587" s="38" t="s">
        <v>36863</v>
      </c>
      <c r="D32587" s="38" t="str">
        <f>IFERROR(__xludf.DUMMYFUNCTION("REGEXREPLACE(C32587,""-\d+(.*)|--\d+(.*)"","""")"),"BOISSET-LES-PREVANCHES")</f>
        <v>BOISSET-LES-PREVANCHES</v>
      </c>
      <c r="E32587" s="38" t="s">
        <v>241</v>
      </c>
      <c r="F32587" s="38" t="s">
        <v>134</v>
      </c>
      <c r="G32587" s="49" t="str">
        <f t="shared" si="1"/>
        <v>27120</v>
      </c>
      <c r="H32587" s="49">
        <f t="shared" si="2"/>
        <v>27076</v>
      </c>
    </row>
    <row r="32588">
      <c r="A32588" s="48" t="s">
        <v>14783</v>
      </c>
      <c r="B32588" s="38">
        <v>42164.0</v>
      </c>
      <c r="C32588" s="38" t="s">
        <v>36864</v>
      </c>
      <c r="D32588" s="38" t="str">
        <f>IFERROR(__xludf.DUMMYFUNCTION("REGEXREPLACE(C32588,""-\d+(.*)|--\d+(.*)"","""")"),"PALOGNEUX")</f>
        <v>PALOGNEUX</v>
      </c>
      <c r="E32588" s="38" t="s">
        <v>166</v>
      </c>
      <c r="F32588" s="38" t="s">
        <v>102</v>
      </c>
      <c r="G32588" s="49" t="str">
        <f t="shared" si="1"/>
        <v>42990</v>
      </c>
      <c r="H32588" s="49">
        <f t="shared" si="2"/>
        <v>42164</v>
      </c>
    </row>
    <row r="32589">
      <c r="A32589" s="48" t="s">
        <v>2554</v>
      </c>
      <c r="B32589" s="38">
        <v>95282.0</v>
      </c>
      <c r="C32589" s="38" t="s">
        <v>36865</v>
      </c>
      <c r="D32589" s="38" t="str">
        <f>IFERROR(__xludf.DUMMYFUNCTION("REGEXREPLACE(C32589,""-\d+(.*)|--\d+(.*)"","""")"),"GOUZANGREZ")</f>
        <v>GOUZANGREZ</v>
      </c>
      <c r="E32589" s="38" t="s">
        <v>541</v>
      </c>
      <c r="F32589" s="38" t="s">
        <v>245</v>
      </c>
      <c r="G32589" s="49" t="str">
        <f t="shared" si="1"/>
        <v>95450</v>
      </c>
      <c r="H32589" s="49">
        <f t="shared" si="2"/>
        <v>95282</v>
      </c>
    </row>
    <row r="32590">
      <c r="A32590" s="48" t="s">
        <v>1947</v>
      </c>
      <c r="B32590" s="38">
        <v>52505.0</v>
      </c>
      <c r="C32590" s="38" t="s">
        <v>36866</v>
      </c>
      <c r="D32590" s="38" t="str">
        <f>IFERROR(__xludf.DUMMYFUNCTION("REGEXREPLACE(C32590,""-\d+(.*)|--\d+(.*)"","""")"),"VAUDRECOURT")</f>
        <v>VAUDRECOURT</v>
      </c>
      <c r="E32590" s="38" t="s">
        <v>234</v>
      </c>
      <c r="F32590" s="38" t="s">
        <v>130</v>
      </c>
      <c r="G32590" s="49" t="str">
        <f t="shared" si="1"/>
        <v>52150</v>
      </c>
      <c r="H32590" s="49">
        <f t="shared" si="2"/>
        <v>52505</v>
      </c>
    </row>
    <row r="32591">
      <c r="A32591" s="48" t="s">
        <v>2122</v>
      </c>
      <c r="B32591" s="38">
        <v>7279.0</v>
      </c>
      <c r="C32591" s="38" t="s">
        <v>36867</v>
      </c>
      <c r="D32591" s="38" t="str">
        <f>IFERROR(__xludf.DUMMYFUNCTION("REGEXREPLACE(C32591,""-\d+(.*)|--\d+(.*)"","""")"),"SAINT-MONTAN")</f>
        <v>SAINT-MONTAN</v>
      </c>
      <c r="E32591" s="38" t="s">
        <v>144</v>
      </c>
      <c r="F32591" s="38" t="s">
        <v>102</v>
      </c>
      <c r="G32591" s="49" t="str">
        <f t="shared" si="1"/>
        <v>07220</v>
      </c>
      <c r="H32591" s="49" t="str">
        <f t="shared" si="2"/>
        <v>07279</v>
      </c>
    </row>
    <row r="32592">
      <c r="A32592" s="48" t="s">
        <v>3036</v>
      </c>
      <c r="B32592" s="38">
        <v>61302.0</v>
      </c>
      <c r="C32592" s="38" t="s">
        <v>36868</v>
      </c>
      <c r="D32592" s="38" t="str">
        <f>IFERROR(__xludf.DUMMYFUNCTION("REGEXREPLACE(C32592,""-\d+(.*)|--\d+(.*)"","""")"),"NEAUPHE-SUR-DIVE")</f>
        <v>NEAUPHE-SUR-DIVE</v>
      </c>
      <c r="E32592" s="38" t="s">
        <v>141</v>
      </c>
      <c r="F32592" s="38" t="s">
        <v>138</v>
      </c>
      <c r="G32592" s="49" t="str">
        <f t="shared" si="1"/>
        <v>61160</v>
      </c>
      <c r="H32592" s="49">
        <f t="shared" si="2"/>
        <v>61302</v>
      </c>
    </row>
    <row r="32593">
      <c r="A32593" s="48" t="s">
        <v>23479</v>
      </c>
      <c r="B32593" s="38">
        <v>12102.0</v>
      </c>
      <c r="C32593" s="38" t="s">
        <v>36869</v>
      </c>
      <c r="D32593" s="38" t="str">
        <f>IFERROR(__xludf.DUMMYFUNCTION("REGEXREPLACE(C32593,""-\d+(.*)|--\d+(.*)"","""")"),"FLAVIN")</f>
        <v>FLAVIN</v>
      </c>
      <c r="E32593" s="38" t="s">
        <v>465</v>
      </c>
      <c r="F32593" s="38" t="s">
        <v>94</v>
      </c>
      <c r="G32593" s="49" t="str">
        <f t="shared" si="1"/>
        <v>12450</v>
      </c>
      <c r="H32593" s="49">
        <f t="shared" si="2"/>
        <v>12102</v>
      </c>
    </row>
    <row r="32594">
      <c r="A32594" s="48" t="s">
        <v>2619</v>
      </c>
      <c r="B32594" s="38">
        <v>71359.0</v>
      </c>
      <c r="C32594" s="38" t="s">
        <v>36870</v>
      </c>
      <c r="D32594" s="38" t="str">
        <f>IFERROR(__xludf.DUMMYFUNCTION("REGEXREPLACE(C32594,""-\d+(.*)|--\d+(.*)"","""")"),"PRETY")</f>
        <v>PRETY</v>
      </c>
      <c r="E32594" s="38" t="s">
        <v>344</v>
      </c>
      <c r="F32594" s="38" t="s">
        <v>106</v>
      </c>
      <c r="G32594" s="49" t="str">
        <f t="shared" si="1"/>
        <v>71290</v>
      </c>
      <c r="H32594" s="49">
        <f t="shared" si="2"/>
        <v>71359</v>
      </c>
    </row>
    <row r="32595">
      <c r="A32595" s="48" t="s">
        <v>8414</v>
      </c>
      <c r="B32595" s="38">
        <v>60701.0</v>
      </c>
      <c r="C32595" s="38" t="s">
        <v>36871</v>
      </c>
      <c r="D32595" s="38" t="str">
        <f>IFERROR(__xludf.DUMMYFUNCTION("REGEXREPLACE(C32595,""-\d+(.*)|--\d+(.*)"","""")"),"WAVIGNIES")</f>
        <v>WAVIGNIES</v>
      </c>
      <c r="E32595" s="38" t="s">
        <v>112</v>
      </c>
      <c r="F32595" s="38" t="s">
        <v>113</v>
      </c>
      <c r="G32595" s="49" t="str">
        <f t="shared" si="1"/>
        <v>60130</v>
      </c>
      <c r="H32595" s="49">
        <f t="shared" si="2"/>
        <v>60701</v>
      </c>
    </row>
    <row r="32596">
      <c r="A32596" s="48" t="s">
        <v>6628</v>
      </c>
      <c r="B32596" s="38">
        <v>1088.0</v>
      </c>
      <c r="C32596" s="38" t="s">
        <v>36872</v>
      </c>
      <c r="D32596" s="38" t="str">
        <f>IFERROR(__xludf.DUMMYFUNCTION("REGEXREPLACE(C32596,""-\d+(.*)|--\d+(.*)"","""")"),"CHARNOZ-SUR-AIN")</f>
        <v>CHARNOZ-SUR-AIN</v>
      </c>
      <c r="E32596" s="38" t="s">
        <v>255</v>
      </c>
      <c r="F32596" s="38" t="s">
        <v>102</v>
      </c>
      <c r="G32596" s="49" t="str">
        <f t="shared" si="1"/>
        <v>01800</v>
      </c>
      <c r="H32596" s="49" t="str">
        <f t="shared" si="2"/>
        <v>01088</v>
      </c>
    </row>
    <row r="32597">
      <c r="A32597" s="48" t="s">
        <v>18499</v>
      </c>
      <c r="B32597" s="38">
        <v>37044.0</v>
      </c>
      <c r="C32597" s="38" t="s">
        <v>36873</v>
      </c>
      <c r="D32597" s="38" t="str">
        <f>IFERROR(__xludf.DUMMYFUNCTION("REGEXREPLACE(C32597,""-\d+(.*)|--\d+(.*)"","""")"),"LA CELLE-GUENAND")</f>
        <v>LA CELLE-GUENAND</v>
      </c>
      <c r="E32597" s="38" t="s">
        <v>205</v>
      </c>
      <c r="F32597" s="38" t="s">
        <v>123</v>
      </c>
      <c r="G32597" s="49" t="str">
        <f t="shared" si="1"/>
        <v>37350</v>
      </c>
      <c r="H32597" s="49">
        <f t="shared" si="2"/>
        <v>37044</v>
      </c>
    </row>
    <row r="32598">
      <c r="A32598" s="48" t="s">
        <v>6075</v>
      </c>
      <c r="B32598" s="38">
        <v>63328.0</v>
      </c>
      <c r="C32598" s="38" t="s">
        <v>32369</v>
      </c>
      <c r="D32598" s="38" t="str">
        <f>IFERROR(__xludf.DUMMYFUNCTION("REGEXREPLACE(C32598,""-\d+(.*)|--\d+(.*)"","""")"),"SAINTE-CATHERINE")</f>
        <v>SAINTE-CATHERINE</v>
      </c>
      <c r="E32598" s="38" t="s">
        <v>353</v>
      </c>
      <c r="F32598" s="38" t="s">
        <v>161</v>
      </c>
      <c r="G32598" s="49" t="str">
        <f t="shared" si="1"/>
        <v>63580</v>
      </c>
      <c r="H32598" s="49">
        <f t="shared" si="2"/>
        <v>63328</v>
      </c>
    </row>
    <row r="32599">
      <c r="A32599" s="48" t="s">
        <v>726</v>
      </c>
      <c r="B32599" s="38">
        <v>54010.0</v>
      </c>
      <c r="C32599" s="38" t="s">
        <v>36874</v>
      </c>
      <c r="D32599" s="38" t="str">
        <f>IFERROR(__xludf.DUMMYFUNCTION("REGEXREPLACE(C32599,""-\d+(.*)|--\d+(.*)"","""")"),"ALLAMPS")</f>
        <v>ALLAMPS</v>
      </c>
      <c r="E32599" s="38" t="s">
        <v>548</v>
      </c>
      <c r="F32599" s="38" t="s">
        <v>195</v>
      </c>
      <c r="G32599" s="49" t="str">
        <f t="shared" si="1"/>
        <v>54112</v>
      </c>
      <c r="H32599" s="49">
        <f t="shared" si="2"/>
        <v>54010</v>
      </c>
    </row>
    <row r="32600">
      <c r="A32600" s="48" t="s">
        <v>489</v>
      </c>
      <c r="B32600" s="38">
        <v>9050.0</v>
      </c>
      <c r="C32600" s="38" t="s">
        <v>36875</v>
      </c>
      <c r="D32600" s="38" t="str">
        <f>IFERROR(__xludf.DUMMYFUNCTION("REGEXREPLACE(C32600,""-\d+(.*)|--\d+(.*)"","""")"),"BENAGUES")</f>
        <v>BENAGUES</v>
      </c>
      <c r="E32600" s="38" t="s">
        <v>238</v>
      </c>
      <c r="F32600" s="38" t="s">
        <v>94</v>
      </c>
      <c r="G32600" s="49" t="str">
        <f t="shared" si="1"/>
        <v>09100</v>
      </c>
      <c r="H32600" s="49" t="str">
        <f t="shared" si="2"/>
        <v>09050</v>
      </c>
    </row>
    <row r="32601">
      <c r="A32601" s="48" t="s">
        <v>6504</v>
      </c>
      <c r="B32601" s="38">
        <v>24545.0</v>
      </c>
      <c r="C32601" s="38" t="s">
        <v>36876</v>
      </c>
      <c r="D32601" s="38" t="str">
        <f>IFERROR(__xludf.DUMMYFUNCTION("REGEXREPLACE(C32601,""-\d+(.*)|--\d+(.*)"","""")"),"TEILLOTS")</f>
        <v>TEILLOTS</v>
      </c>
      <c r="E32601" s="38" t="s">
        <v>261</v>
      </c>
      <c r="F32601" s="38" t="s">
        <v>252</v>
      </c>
      <c r="G32601" s="49" t="str">
        <f t="shared" si="1"/>
        <v>24390</v>
      </c>
      <c r="H32601" s="49">
        <f t="shared" si="2"/>
        <v>24545</v>
      </c>
    </row>
    <row r="32602">
      <c r="A32602" s="48" t="s">
        <v>9772</v>
      </c>
      <c r="B32602" s="38">
        <v>25456.0</v>
      </c>
      <c r="C32602" s="38" t="s">
        <v>36877</v>
      </c>
      <c r="D32602" s="38" t="str">
        <f>IFERROR(__xludf.DUMMYFUNCTION("REGEXREPLACE(C32602,""-\d+(.*)|--\d+(.*)"","""")"),"PLAIMBOIS-DU-MIROIR")</f>
        <v>PLAIMBOIS-DU-MIROIR</v>
      </c>
      <c r="E32602" s="38" t="s">
        <v>213</v>
      </c>
      <c r="F32602" s="38" t="s">
        <v>214</v>
      </c>
      <c r="G32602" s="49" t="str">
        <f t="shared" si="1"/>
        <v>25210</v>
      </c>
      <c r="H32602" s="49">
        <f t="shared" si="2"/>
        <v>25456</v>
      </c>
    </row>
    <row r="32603">
      <c r="A32603" s="48" t="s">
        <v>16436</v>
      </c>
      <c r="B32603" s="38">
        <v>11189.0</v>
      </c>
      <c r="C32603" s="38" t="s">
        <v>36878</v>
      </c>
      <c r="D32603" s="38" t="str">
        <f>IFERROR(__xludf.DUMMYFUNCTION("REGEXREPLACE(C32603,""-\d+(.*)|--\d+(.*)"","""")"),"LAPRADE")</f>
        <v>LAPRADE</v>
      </c>
      <c r="E32603" s="38" t="s">
        <v>278</v>
      </c>
      <c r="F32603" s="38" t="s">
        <v>119</v>
      </c>
      <c r="G32603" s="49" t="str">
        <f t="shared" si="1"/>
        <v>11390</v>
      </c>
      <c r="H32603" s="49">
        <f t="shared" si="2"/>
        <v>11189</v>
      </c>
    </row>
    <row r="32604">
      <c r="A32604" s="48" t="s">
        <v>891</v>
      </c>
      <c r="B32604" s="38">
        <v>66057.0</v>
      </c>
      <c r="C32604" s="38" t="s">
        <v>36879</v>
      </c>
      <c r="D32604" s="38" t="str">
        <f>IFERROR(__xludf.DUMMYFUNCTION("REGEXREPLACE(C32604,""-\d+(.*)|--\d+(.*)"","""")"),"CORNEILLA-DE-CONFLENT")</f>
        <v>CORNEILLA-DE-CONFLENT</v>
      </c>
      <c r="E32604" s="38" t="s">
        <v>248</v>
      </c>
      <c r="F32604" s="38" t="s">
        <v>119</v>
      </c>
      <c r="G32604" s="49" t="str">
        <f t="shared" si="1"/>
        <v>66820</v>
      </c>
      <c r="H32604" s="49">
        <f t="shared" si="2"/>
        <v>66057</v>
      </c>
    </row>
    <row r="32605">
      <c r="A32605" s="48" t="s">
        <v>9385</v>
      </c>
      <c r="B32605" s="38">
        <v>89348.0</v>
      </c>
      <c r="C32605" s="38" t="s">
        <v>36880</v>
      </c>
      <c r="D32605" s="38" t="str">
        <f>IFERROR(__xludf.DUMMYFUNCTION("REGEXREPLACE(C32605,""-\d+(.*)|--\d+(.*)"","""")"),"SAINT-JULIEN-DU-SAULT")</f>
        <v>SAINT-JULIEN-DU-SAULT</v>
      </c>
      <c r="E32605" s="38" t="s">
        <v>275</v>
      </c>
      <c r="F32605" s="38" t="s">
        <v>106</v>
      </c>
      <c r="G32605" s="49" t="str">
        <f t="shared" si="1"/>
        <v>89330</v>
      </c>
      <c r="H32605" s="49">
        <f t="shared" si="2"/>
        <v>89348</v>
      </c>
    </row>
    <row r="32606">
      <c r="A32606" s="48" t="s">
        <v>4596</v>
      </c>
      <c r="B32606" s="38">
        <v>2241.0</v>
      </c>
      <c r="C32606" s="38" t="s">
        <v>36881</v>
      </c>
      <c r="D32606" s="38" t="str">
        <f>IFERROR(__xludf.DUMMYFUNCTION("REGEXREPLACE(C32606,""-\d+(.*)|--\d+(.*)"","""")"),"LA CROIX-SUR-OURCQ")</f>
        <v>LA CROIX-SUR-OURCQ</v>
      </c>
      <c r="E32606" s="38" t="s">
        <v>191</v>
      </c>
      <c r="F32606" s="38" t="s">
        <v>113</v>
      </c>
      <c r="G32606" s="49" t="str">
        <f t="shared" si="1"/>
        <v>02210</v>
      </c>
      <c r="H32606" s="49" t="str">
        <f t="shared" si="2"/>
        <v>02241</v>
      </c>
    </row>
    <row r="32607">
      <c r="A32607" s="48" t="s">
        <v>2249</v>
      </c>
      <c r="B32607" s="38">
        <v>14436.0</v>
      </c>
      <c r="C32607" s="38" t="s">
        <v>36882</v>
      </c>
      <c r="D32607" s="38" t="str">
        <f>IFERROR(__xludf.DUMMYFUNCTION("REGEXREPLACE(C32607,""-\d+(.*)|--\d+(.*)"","""")"),"MONCEAUX-EN-BESSIN")</f>
        <v>MONCEAUX-EN-BESSIN</v>
      </c>
      <c r="E32607" s="38" t="s">
        <v>137</v>
      </c>
      <c r="F32607" s="38" t="s">
        <v>138</v>
      </c>
      <c r="G32607" s="49" t="str">
        <f t="shared" si="1"/>
        <v>14400</v>
      </c>
      <c r="H32607" s="49">
        <f t="shared" si="2"/>
        <v>14436</v>
      </c>
    </row>
    <row r="32608">
      <c r="A32608" s="48" t="s">
        <v>13699</v>
      </c>
      <c r="B32608" s="38">
        <v>22231.0</v>
      </c>
      <c r="C32608" s="38" t="s">
        <v>36883</v>
      </c>
      <c r="D32608" s="38" t="str">
        <f>IFERROR(__xludf.DUMMYFUNCTION("REGEXREPLACE(C32608,""-\d+(.*)|--\d+(.*)"","""")"),"PLOURAC'H")</f>
        <v>PLOURAC'H</v>
      </c>
      <c r="E32608" s="38" t="s">
        <v>89</v>
      </c>
      <c r="F32608" s="38" t="s">
        <v>90</v>
      </c>
      <c r="G32608" s="49" t="str">
        <f t="shared" si="1"/>
        <v>22160</v>
      </c>
      <c r="H32608" s="49">
        <f t="shared" si="2"/>
        <v>22231</v>
      </c>
    </row>
    <row r="32609">
      <c r="A32609" s="48" t="s">
        <v>15250</v>
      </c>
      <c r="B32609" s="38">
        <v>86269.0</v>
      </c>
      <c r="C32609" s="38" t="s">
        <v>20116</v>
      </c>
      <c r="D32609" s="38" t="str">
        <f>IFERROR(__xludf.DUMMYFUNCTION("REGEXREPLACE(C32609,""-\d+(.*)|--\d+(.*)"","""")"),"TERNAY")</f>
        <v>TERNAY</v>
      </c>
      <c r="E32609" s="38" t="s">
        <v>529</v>
      </c>
      <c r="F32609" s="38" t="s">
        <v>338</v>
      </c>
      <c r="G32609" s="49" t="str">
        <f t="shared" si="1"/>
        <v>86120</v>
      </c>
      <c r="H32609" s="49">
        <f t="shared" si="2"/>
        <v>86269</v>
      </c>
    </row>
    <row r="32610">
      <c r="A32610" s="48" t="s">
        <v>10463</v>
      </c>
      <c r="B32610" s="38">
        <v>50378.0</v>
      </c>
      <c r="C32610" s="38" t="s">
        <v>36884</v>
      </c>
      <c r="D32610" s="38" t="str">
        <f>IFERROR(__xludf.DUMMYFUNCTION("REGEXREPLACE(C32610,""-\d+(.*)|--\d+(.*)"","""")"),"NOTRE-DAME-DE-CENILLY")</f>
        <v>NOTRE-DAME-DE-CENILLY</v>
      </c>
      <c r="E32610" s="38" t="s">
        <v>157</v>
      </c>
      <c r="F32610" s="38" t="s">
        <v>138</v>
      </c>
      <c r="G32610" s="49" t="str">
        <f t="shared" si="1"/>
        <v>50210</v>
      </c>
      <c r="H32610" s="49">
        <f t="shared" si="2"/>
        <v>50378</v>
      </c>
    </row>
    <row r="32611">
      <c r="A32611" s="48" t="s">
        <v>8441</v>
      </c>
      <c r="B32611" s="38">
        <v>30343.0</v>
      </c>
      <c r="C32611" s="38" t="s">
        <v>36885</v>
      </c>
      <c r="D32611" s="38" t="str">
        <f>IFERROR(__xludf.DUMMYFUNCTION("REGEXREPLACE(C32611,""-\d+(.*)|--\d+(.*)"","""")"),"VERFEUIL")</f>
        <v>VERFEUIL</v>
      </c>
      <c r="E32611" s="38" t="s">
        <v>526</v>
      </c>
      <c r="F32611" s="38" t="s">
        <v>119</v>
      </c>
      <c r="G32611" s="49" t="str">
        <f t="shared" si="1"/>
        <v>30630</v>
      </c>
      <c r="H32611" s="49">
        <f t="shared" si="2"/>
        <v>30343</v>
      </c>
    </row>
    <row r="32612">
      <c r="A32612" s="48" t="s">
        <v>960</v>
      </c>
      <c r="B32612" s="38">
        <v>28369.0</v>
      </c>
      <c r="C32612" s="38" t="s">
        <v>26078</v>
      </c>
      <c r="D32612" s="38" t="str">
        <f>IFERROR(__xludf.DUMMYFUNCTION("REGEXREPLACE(C32612,""-\d+(.*)|--\d+(.*)"","""")"),"SAULNIERES")</f>
        <v>SAULNIERES</v>
      </c>
      <c r="E32612" s="38" t="s">
        <v>300</v>
      </c>
      <c r="F32612" s="38" t="s">
        <v>123</v>
      </c>
      <c r="G32612" s="49" t="str">
        <f t="shared" si="1"/>
        <v>28500</v>
      </c>
      <c r="H32612" s="49">
        <f t="shared" si="2"/>
        <v>28369</v>
      </c>
    </row>
    <row r="32613">
      <c r="A32613" s="48" t="s">
        <v>15291</v>
      </c>
      <c r="B32613" s="38">
        <v>3264.0</v>
      </c>
      <c r="C32613" s="38" t="s">
        <v>36886</v>
      </c>
      <c r="D32613" s="38" t="str">
        <f>IFERROR(__xludf.DUMMYFUNCTION("REGEXREPLACE(C32613,""-\d+(.*)|--\d+(.*)"","""")"),"SAINT-YORRE")</f>
        <v>SAINT-YORRE</v>
      </c>
      <c r="E32613" s="38" t="s">
        <v>160</v>
      </c>
      <c r="F32613" s="38" t="s">
        <v>161</v>
      </c>
      <c r="G32613" s="49" t="str">
        <f t="shared" si="1"/>
        <v>03270</v>
      </c>
      <c r="H32613" s="49" t="str">
        <f t="shared" si="2"/>
        <v>03264</v>
      </c>
    </row>
    <row r="32614">
      <c r="A32614" s="48" t="s">
        <v>36887</v>
      </c>
      <c r="B32614" s="38">
        <v>72058.0</v>
      </c>
      <c r="C32614" s="38" t="s">
        <v>5602</v>
      </c>
      <c r="D32614" s="38" t="str">
        <f>IFERROR(__xludf.DUMMYFUNCTION("REGEXREPLACE(C32614,""-\d+(.*)|--\d+(.*)"","""")"),"CHANGE")</f>
        <v>CHANGE</v>
      </c>
      <c r="E32614" s="38" t="s">
        <v>521</v>
      </c>
      <c r="F32614" s="38" t="s">
        <v>180</v>
      </c>
      <c r="G32614" s="49" t="str">
        <f t="shared" si="1"/>
        <v>72560</v>
      </c>
      <c r="H32614" s="49">
        <f t="shared" si="2"/>
        <v>72058</v>
      </c>
    </row>
    <row r="32615">
      <c r="A32615" s="48" t="s">
        <v>13409</v>
      </c>
      <c r="B32615" s="38">
        <v>35050.0</v>
      </c>
      <c r="C32615" s="38" t="s">
        <v>36888</v>
      </c>
      <c r="D32615" s="38" t="str">
        <f>IFERROR(__xludf.DUMMYFUNCTION("REGEXREPLACE(C32615,""-\d+(.*)|--\d+(.*)"","""")"),"CARDROC")</f>
        <v>CARDROC</v>
      </c>
      <c r="E32615" s="38" t="s">
        <v>347</v>
      </c>
      <c r="F32615" s="38" t="s">
        <v>90</v>
      </c>
      <c r="G32615" s="49" t="str">
        <f t="shared" si="1"/>
        <v>35190</v>
      </c>
      <c r="H32615" s="49">
        <f t="shared" si="2"/>
        <v>35050</v>
      </c>
    </row>
    <row r="32616">
      <c r="A32616" s="48" t="s">
        <v>36889</v>
      </c>
      <c r="B32616" s="38">
        <v>34207.0</v>
      </c>
      <c r="C32616" s="38" t="s">
        <v>36890</v>
      </c>
      <c r="D32616" s="38" t="str">
        <f>IFERROR(__xludf.DUMMYFUNCTION("REGEXREPLACE(C32616,""-\d+(.*)|--\d+(.*)"","""")"),"POMEROLS")</f>
        <v>POMEROLS</v>
      </c>
      <c r="E32616" s="38" t="s">
        <v>118</v>
      </c>
      <c r="F32616" s="38" t="s">
        <v>119</v>
      </c>
      <c r="G32616" s="49" t="str">
        <f t="shared" si="1"/>
        <v>34810</v>
      </c>
      <c r="H32616" s="49">
        <f t="shared" si="2"/>
        <v>34207</v>
      </c>
    </row>
    <row r="32617">
      <c r="A32617" s="48" t="s">
        <v>2296</v>
      </c>
      <c r="B32617" s="38">
        <v>47204.0</v>
      </c>
      <c r="C32617" s="38" t="s">
        <v>36891</v>
      </c>
      <c r="D32617" s="38" t="str">
        <f>IFERROR(__xludf.DUMMYFUNCTION("REGEXREPLACE(C32617,""-\d+(.*)|--\d+(.*)"","""")"),"PEYRIERE")</f>
        <v>PEYRIERE</v>
      </c>
      <c r="E32617" s="38" t="s">
        <v>251</v>
      </c>
      <c r="F32617" s="38" t="s">
        <v>252</v>
      </c>
      <c r="G32617" s="49" t="str">
        <f t="shared" si="1"/>
        <v>47350</v>
      </c>
      <c r="H32617" s="49">
        <f t="shared" si="2"/>
        <v>47204</v>
      </c>
    </row>
    <row r="32618">
      <c r="A32618" s="48" t="s">
        <v>3743</v>
      </c>
      <c r="B32618" s="38">
        <v>27363.0</v>
      </c>
      <c r="C32618" s="38" t="s">
        <v>36892</v>
      </c>
      <c r="D32618" s="38" t="str">
        <f>IFERROR(__xludf.DUMMYFUNCTION("REGEXREPLACE(C32618,""-\d+(.*)|--\d+(.*)"","""")"),"LE LANDIN")</f>
        <v>LE LANDIN</v>
      </c>
      <c r="E32618" s="38" t="s">
        <v>241</v>
      </c>
      <c r="F32618" s="38" t="s">
        <v>134</v>
      </c>
      <c r="G32618" s="49" t="str">
        <f t="shared" si="1"/>
        <v>27350</v>
      </c>
      <c r="H32618" s="49">
        <f t="shared" si="2"/>
        <v>27363</v>
      </c>
    </row>
    <row r="32619">
      <c r="A32619" s="48" t="s">
        <v>36893</v>
      </c>
      <c r="B32619" s="38" t="s">
        <v>36894</v>
      </c>
      <c r="C32619" s="38" t="s">
        <v>36895</v>
      </c>
      <c r="D32619" s="38" t="str">
        <f>IFERROR(__xludf.DUMMYFUNCTION("REGEXREPLACE(C32619,""-\d+(.*)|--\d+(.*)"","""")"),"FIGARI")</f>
        <v>FIGARI</v>
      </c>
      <c r="E32619" s="38" t="s">
        <v>606</v>
      </c>
      <c r="F32619" s="38" t="s">
        <v>607</v>
      </c>
      <c r="G32619" s="49" t="str">
        <f t="shared" si="1"/>
        <v>20114</v>
      </c>
      <c r="H32619" s="49" t="str">
        <f t="shared" si="2"/>
        <v>2A114</v>
      </c>
    </row>
    <row r="32620">
      <c r="A32620" s="48" t="s">
        <v>2631</v>
      </c>
      <c r="B32620" s="38">
        <v>64468.0</v>
      </c>
      <c r="C32620" s="38" t="s">
        <v>36896</v>
      </c>
      <c r="D32620" s="38" t="str">
        <f>IFERROR(__xludf.DUMMYFUNCTION("REGEXREPLACE(C32620,""-\d+(.*)|--\d+(.*)"","""")"),"ROQUIAGUE")</f>
        <v>ROQUIAGUE</v>
      </c>
      <c r="E32620" s="38" t="s">
        <v>268</v>
      </c>
      <c r="F32620" s="38" t="s">
        <v>252</v>
      </c>
      <c r="G32620" s="49" t="str">
        <f t="shared" si="1"/>
        <v>64130</v>
      </c>
      <c r="H32620" s="49">
        <f t="shared" si="2"/>
        <v>64468</v>
      </c>
    </row>
    <row r="32621">
      <c r="A32621" s="48" t="s">
        <v>1195</v>
      </c>
      <c r="B32621" s="38">
        <v>80507.0</v>
      </c>
      <c r="C32621" s="38" t="s">
        <v>36897</v>
      </c>
      <c r="D32621" s="38" t="str">
        <f>IFERROR(__xludf.DUMMYFUNCTION("REGEXREPLACE(C32621,""-\d+(.*)|--\d+(.*)"","""")"),"MARCELCAVE")</f>
        <v>MARCELCAVE</v>
      </c>
      <c r="E32621" s="38" t="s">
        <v>224</v>
      </c>
      <c r="F32621" s="38" t="s">
        <v>113</v>
      </c>
      <c r="G32621" s="49" t="str">
        <f t="shared" si="1"/>
        <v>80800</v>
      </c>
      <c r="H32621" s="49">
        <f t="shared" si="2"/>
        <v>80507</v>
      </c>
    </row>
    <row r="32622">
      <c r="A32622" s="48" t="s">
        <v>13834</v>
      </c>
      <c r="B32622" s="38">
        <v>36163.0</v>
      </c>
      <c r="C32622" s="38" t="s">
        <v>36898</v>
      </c>
      <c r="D32622" s="38" t="str">
        <f>IFERROR(__xludf.DUMMYFUNCTION("REGEXREPLACE(C32622,""-\d+(.*)|--\d+(.*)"","""")"),"POULIGNY-NOTRE-DAME")</f>
        <v>POULIGNY-NOTRE-DAME</v>
      </c>
      <c r="E32622" s="38" t="s">
        <v>258</v>
      </c>
      <c r="F32622" s="38" t="s">
        <v>123</v>
      </c>
      <c r="G32622" s="49" t="str">
        <f t="shared" si="1"/>
        <v>36160</v>
      </c>
      <c r="H32622" s="49">
        <f t="shared" si="2"/>
        <v>36163</v>
      </c>
    </row>
    <row r="32623">
      <c r="A32623" s="48" t="s">
        <v>2130</v>
      </c>
      <c r="B32623" s="38">
        <v>62202.0</v>
      </c>
      <c r="C32623" s="38" t="s">
        <v>36899</v>
      </c>
      <c r="D32623" s="38" t="str">
        <f>IFERROR(__xludf.DUMMYFUNCTION("REGEXREPLACE(C32623,""-\d+(.*)|--\d+(.*)"","""")"),"CAMPAGNE-LES-BOULONNAIS")</f>
        <v>CAMPAGNE-LES-BOULONNAIS</v>
      </c>
      <c r="E32623" s="38" t="s">
        <v>109</v>
      </c>
      <c r="F32623" s="38" t="s">
        <v>86</v>
      </c>
      <c r="G32623" s="49" t="str">
        <f t="shared" si="1"/>
        <v>62650</v>
      </c>
      <c r="H32623" s="49">
        <f t="shared" si="2"/>
        <v>62202</v>
      </c>
    </row>
    <row r="32624">
      <c r="A32624" s="48" t="s">
        <v>12742</v>
      </c>
      <c r="B32624" s="38">
        <v>56264.0</v>
      </c>
      <c r="C32624" s="38" t="s">
        <v>36900</v>
      </c>
      <c r="D32624" s="38" t="str">
        <f>IFERROR(__xludf.DUMMYFUNCTION("REGEXREPLACE(C32624,""-\d+(.*)|--\d+(.*)"","""")"),"KERNASCLEDEN")</f>
        <v>KERNASCLEDEN</v>
      </c>
      <c r="E32624" s="38" t="s">
        <v>173</v>
      </c>
      <c r="F32624" s="38" t="s">
        <v>90</v>
      </c>
      <c r="G32624" s="49" t="str">
        <f t="shared" si="1"/>
        <v>56540</v>
      </c>
      <c r="H32624" s="49">
        <f t="shared" si="2"/>
        <v>56264</v>
      </c>
    </row>
    <row r="32625">
      <c r="A32625" s="48" t="s">
        <v>3196</v>
      </c>
      <c r="B32625" s="38">
        <v>1095.0</v>
      </c>
      <c r="C32625" s="38" t="s">
        <v>36901</v>
      </c>
      <c r="D32625" s="38" t="str">
        <f>IFERROR(__xludf.DUMMYFUNCTION("REGEXREPLACE(C32625,""-\d+(.*)|--\d+(.*)"","""")"),"CHAVANNES-SUR-SURAN")</f>
        <v>CHAVANNES-SUR-SURAN</v>
      </c>
      <c r="E32625" s="38" t="s">
        <v>255</v>
      </c>
      <c r="F32625" s="38" t="s">
        <v>102</v>
      </c>
      <c r="G32625" s="49" t="str">
        <f t="shared" si="1"/>
        <v>01250</v>
      </c>
      <c r="H32625" s="49" t="str">
        <f t="shared" si="2"/>
        <v>01095</v>
      </c>
    </row>
    <row r="32626">
      <c r="A32626" s="48" t="s">
        <v>5503</v>
      </c>
      <c r="B32626" s="38">
        <v>78439.0</v>
      </c>
      <c r="C32626" s="38" t="s">
        <v>36902</v>
      </c>
      <c r="D32626" s="38" t="str">
        <f>IFERROR(__xludf.DUMMYFUNCTION("REGEXREPLACE(C32626,""-\d+(.*)|--\d+(.*)"","""")"),"MULCENT")</f>
        <v>MULCENT</v>
      </c>
      <c r="E32626" s="38" t="s">
        <v>362</v>
      </c>
      <c r="F32626" s="38" t="s">
        <v>245</v>
      </c>
      <c r="G32626" s="49" t="str">
        <f t="shared" si="1"/>
        <v>78790</v>
      </c>
      <c r="H32626" s="49">
        <f t="shared" si="2"/>
        <v>78439</v>
      </c>
    </row>
    <row r="32627">
      <c r="A32627" s="48" t="s">
        <v>6316</v>
      </c>
      <c r="B32627" s="38">
        <v>50610.0</v>
      </c>
      <c r="C32627" s="38" t="s">
        <v>6769</v>
      </c>
      <c r="D32627" s="38" t="str">
        <f>IFERROR(__xludf.DUMMYFUNCTION("REGEXREPLACE(C32627,""-\d+(.*)|--\d+(.*)"","""")"),"URVILLE")</f>
        <v>URVILLE</v>
      </c>
      <c r="E32627" s="38" t="s">
        <v>157</v>
      </c>
      <c r="F32627" s="38" t="s">
        <v>138</v>
      </c>
      <c r="G32627" s="49" t="str">
        <f t="shared" si="1"/>
        <v>50700</v>
      </c>
      <c r="H32627" s="49">
        <f t="shared" si="2"/>
        <v>50610</v>
      </c>
    </row>
    <row r="32628">
      <c r="A32628" s="48" t="s">
        <v>2650</v>
      </c>
      <c r="B32628" s="38">
        <v>65468.0</v>
      </c>
      <c r="C32628" s="38" t="s">
        <v>36903</v>
      </c>
      <c r="D32628" s="38" t="str">
        <f>IFERROR(__xludf.DUMMYFUNCTION("REGEXREPLACE(C32628,""-\d+(.*)|--\d+(.*)"","""")"),"VIEUZOS")</f>
        <v>VIEUZOS</v>
      </c>
      <c r="E32628" s="38" t="s">
        <v>200</v>
      </c>
      <c r="F32628" s="38" t="s">
        <v>94</v>
      </c>
      <c r="G32628" s="49" t="str">
        <f t="shared" si="1"/>
        <v>65230</v>
      </c>
      <c r="H32628" s="49">
        <f t="shared" si="2"/>
        <v>65468</v>
      </c>
    </row>
    <row r="32629">
      <c r="A32629" s="48" t="s">
        <v>15291</v>
      </c>
      <c r="B32629" s="38">
        <v>3126.0</v>
      </c>
      <c r="C32629" s="38" t="s">
        <v>3953</v>
      </c>
      <c r="D32629" s="38" t="str">
        <f>IFERROR(__xludf.DUMMYFUNCTION("REGEXREPLACE(C32629,""-\d+(.*)|--\d+(.*)"","""")"),"HAUTERIVE")</f>
        <v>HAUTERIVE</v>
      </c>
      <c r="E32629" s="38" t="s">
        <v>160</v>
      </c>
      <c r="F32629" s="38" t="s">
        <v>161</v>
      </c>
      <c r="G32629" s="49" t="str">
        <f t="shared" si="1"/>
        <v>03270</v>
      </c>
      <c r="H32629" s="49" t="str">
        <f t="shared" si="2"/>
        <v>03126</v>
      </c>
    </row>
    <row r="32630">
      <c r="A32630" s="48" t="s">
        <v>1212</v>
      </c>
      <c r="B32630" s="38">
        <v>11421.0</v>
      </c>
      <c r="C32630" s="38" t="s">
        <v>36904</v>
      </c>
      <c r="D32630" s="38" t="str">
        <f>IFERROR(__xludf.DUMMYFUNCTION("REGEXREPLACE(C32630,""-\d+(.*)|--\d+(.*)"","""")"),"VILLEDAIGNE")</f>
        <v>VILLEDAIGNE</v>
      </c>
      <c r="E32630" s="38" t="s">
        <v>278</v>
      </c>
      <c r="F32630" s="38" t="s">
        <v>119</v>
      </c>
      <c r="G32630" s="49" t="str">
        <f t="shared" si="1"/>
        <v>11200</v>
      </c>
      <c r="H32630" s="49">
        <f t="shared" si="2"/>
        <v>11421</v>
      </c>
    </row>
    <row r="32631">
      <c r="A32631" s="48" t="s">
        <v>3370</v>
      </c>
      <c r="B32631" s="38">
        <v>72267.0</v>
      </c>
      <c r="C32631" s="38" t="s">
        <v>36905</v>
      </c>
      <c r="D32631" s="38" t="str">
        <f>IFERROR(__xludf.DUMMYFUNCTION("REGEXREPLACE(C32631,""-\d+(.*)|--\d+(.*)"","""")"),"SAINT-AUBIN-DES-COUDRAIS")</f>
        <v>SAINT-AUBIN-DES-COUDRAIS</v>
      </c>
      <c r="E32631" s="38" t="s">
        <v>521</v>
      </c>
      <c r="F32631" s="38" t="s">
        <v>180</v>
      </c>
      <c r="G32631" s="49" t="str">
        <f t="shared" si="1"/>
        <v>72400</v>
      </c>
      <c r="H32631" s="49">
        <f t="shared" si="2"/>
        <v>72267</v>
      </c>
    </row>
    <row r="32632">
      <c r="A32632" s="48" t="s">
        <v>7598</v>
      </c>
      <c r="B32632" s="38">
        <v>32345.0</v>
      </c>
      <c r="C32632" s="38" t="s">
        <v>36906</v>
      </c>
      <c r="D32632" s="38" t="str">
        <f>IFERROR(__xludf.DUMMYFUNCTION("REGEXREPLACE(C32632,""-\d+(.*)|--\d+(.*)"","""")"),"LA ROMIEU")</f>
        <v>LA ROMIEU</v>
      </c>
      <c r="E32632" s="38" t="s">
        <v>440</v>
      </c>
      <c r="F32632" s="38" t="s">
        <v>94</v>
      </c>
      <c r="G32632" s="49" t="str">
        <f t="shared" si="1"/>
        <v>32480</v>
      </c>
      <c r="H32632" s="49">
        <f t="shared" si="2"/>
        <v>32345</v>
      </c>
    </row>
    <row r="32633">
      <c r="A32633" s="48" t="s">
        <v>1802</v>
      </c>
      <c r="B32633" s="38">
        <v>53092.0</v>
      </c>
      <c r="C32633" s="38" t="s">
        <v>36907</v>
      </c>
      <c r="D32633" s="38" t="str">
        <f>IFERROR(__xludf.DUMMYFUNCTION("REGEXREPLACE(C32633,""-\d+(.*)|--\d+(.*)"","""")"),"DEUX-EVAILLES")</f>
        <v>DEUX-EVAILLES</v>
      </c>
      <c r="E32633" s="38" t="s">
        <v>518</v>
      </c>
      <c r="F32633" s="38" t="s">
        <v>180</v>
      </c>
      <c r="G32633" s="49" t="str">
        <f t="shared" si="1"/>
        <v>53150</v>
      </c>
      <c r="H32633" s="49">
        <f t="shared" si="2"/>
        <v>53092</v>
      </c>
    </row>
    <row r="32634">
      <c r="A32634" s="48" t="s">
        <v>5032</v>
      </c>
      <c r="B32634" s="38">
        <v>44075.0</v>
      </c>
      <c r="C32634" s="38" t="s">
        <v>36908</v>
      </c>
      <c r="D32634" s="38" t="str">
        <f>IFERROR(__xludf.DUMMYFUNCTION("REGEXREPLACE(C32634,""-\d+(.*)|--\d+(.*)"","""")"),"ISSE")</f>
        <v>ISSE</v>
      </c>
      <c r="E32634" s="38" t="s">
        <v>759</v>
      </c>
      <c r="F32634" s="38" t="s">
        <v>180</v>
      </c>
      <c r="G32634" s="49" t="str">
        <f t="shared" si="1"/>
        <v>44520</v>
      </c>
      <c r="H32634" s="49">
        <f t="shared" si="2"/>
        <v>44075</v>
      </c>
    </row>
    <row r="32635">
      <c r="A32635" s="48" t="s">
        <v>3687</v>
      </c>
      <c r="B32635" s="38">
        <v>53007.0</v>
      </c>
      <c r="C32635" s="38" t="s">
        <v>36909</v>
      </c>
      <c r="D32635" s="38" t="str">
        <f>IFERROR(__xludf.DUMMYFUNCTION("REGEXREPLACE(C32635,""-\d+(.*)|--\d+(.*)"","""")"),"ARGENTRE")</f>
        <v>ARGENTRE</v>
      </c>
      <c r="E32635" s="38" t="s">
        <v>518</v>
      </c>
      <c r="F32635" s="38" t="s">
        <v>180</v>
      </c>
      <c r="G32635" s="49" t="str">
        <f t="shared" si="1"/>
        <v>53210</v>
      </c>
      <c r="H32635" s="49">
        <f t="shared" si="2"/>
        <v>53007</v>
      </c>
    </row>
    <row r="32636">
      <c r="A32636" s="48" t="s">
        <v>6256</v>
      </c>
      <c r="B32636" s="38">
        <v>55572.0</v>
      </c>
      <c r="C32636" s="38" t="s">
        <v>36910</v>
      </c>
      <c r="D32636" s="38" t="str">
        <f>IFERROR(__xludf.DUMMYFUNCTION("REGEXREPLACE(C32636,""-\d+(.*)|--\d+(.*)"","""")"),"VITTARVILLE")</f>
        <v>VITTARVILLE</v>
      </c>
      <c r="E32636" s="38" t="s">
        <v>322</v>
      </c>
      <c r="F32636" s="38" t="s">
        <v>195</v>
      </c>
      <c r="G32636" s="49" t="str">
        <f t="shared" si="1"/>
        <v>55150</v>
      </c>
      <c r="H32636" s="49">
        <f t="shared" si="2"/>
        <v>55572</v>
      </c>
    </row>
    <row r="32637">
      <c r="A32637" s="48" t="s">
        <v>8145</v>
      </c>
      <c r="B32637" s="38">
        <v>9064.0</v>
      </c>
      <c r="C32637" s="38" t="s">
        <v>36911</v>
      </c>
      <c r="D32637" s="38" t="str">
        <f>IFERROR(__xludf.DUMMYFUNCTION("REGEXREPLACE(C32637,""-\d+(.*)|--\d+(.*)"","""")"),"BOUAN")</f>
        <v>BOUAN</v>
      </c>
      <c r="E32637" s="38" t="s">
        <v>238</v>
      </c>
      <c r="F32637" s="38" t="s">
        <v>94</v>
      </c>
      <c r="G32637" s="49" t="str">
        <f t="shared" si="1"/>
        <v>09310</v>
      </c>
      <c r="H32637" s="49" t="str">
        <f t="shared" si="2"/>
        <v>09064</v>
      </c>
    </row>
    <row r="32638">
      <c r="A32638" s="48" t="s">
        <v>1172</v>
      </c>
      <c r="B32638" s="38">
        <v>76250.0</v>
      </c>
      <c r="C32638" s="38" t="s">
        <v>36912</v>
      </c>
      <c r="D32638" s="38" t="str">
        <f>IFERROR(__xludf.DUMMYFUNCTION("REGEXREPLACE(C32638,""-\d+(.*)|--\d+(.*)"","""")"),"ETAINHUS")</f>
        <v>ETAINHUS</v>
      </c>
      <c r="E32638" s="38" t="s">
        <v>133</v>
      </c>
      <c r="F32638" s="38" t="s">
        <v>134</v>
      </c>
      <c r="G32638" s="49" t="str">
        <f t="shared" si="1"/>
        <v>76430</v>
      </c>
      <c r="H32638" s="49">
        <f t="shared" si="2"/>
        <v>76250</v>
      </c>
    </row>
    <row r="32639">
      <c r="A32639" s="48" t="s">
        <v>2040</v>
      </c>
      <c r="B32639" s="38">
        <v>59563.0</v>
      </c>
      <c r="C32639" s="38" t="s">
        <v>36913</v>
      </c>
      <c r="D32639" s="38" t="str">
        <f>IFERROR(__xludf.DUMMYFUNCTION("REGEXREPLACE(C32639,""-\d+(.*)|--\d+(.*)"","""")"),"SEMOUSIES")</f>
        <v>SEMOUSIES</v>
      </c>
      <c r="E32639" s="38" t="s">
        <v>85</v>
      </c>
      <c r="F32639" s="38" t="s">
        <v>86</v>
      </c>
      <c r="G32639" s="49" t="str">
        <f t="shared" si="1"/>
        <v>59440</v>
      </c>
      <c r="H32639" s="49">
        <f t="shared" si="2"/>
        <v>59563</v>
      </c>
    </row>
    <row r="32640">
      <c r="A32640" s="48" t="s">
        <v>12175</v>
      </c>
      <c r="B32640" s="38">
        <v>80635.0</v>
      </c>
      <c r="C32640" s="38" t="s">
        <v>36914</v>
      </c>
      <c r="D32640" s="38" t="str">
        <f>IFERROR(__xludf.DUMMYFUNCTION("REGEXREPLACE(C32640,""-\d+(.*)|--\d+(.*)"","""")"),"PONT-REMY")</f>
        <v>PONT-REMY</v>
      </c>
      <c r="E32640" s="38" t="s">
        <v>224</v>
      </c>
      <c r="F32640" s="38" t="s">
        <v>113</v>
      </c>
      <c r="G32640" s="49" t="str">
        <f t="shared" si="1"/>
        <v>80580</v>
      </c>
      <c r="H32640" s="49">
        <f t="shared" si="2"/>
        <v>80635</v>
      </c>
    </row>
    <row r="32641">
      <c r="A32641" s="48" t="s">
        <v>9585</v>
      </c>
      <c r="B32641" s="38">
        <v>25508.0</v>
      </c>
      <c r="C32641" s="38" t="s">
        <v>36915</v>
      </c>
      <c r="D32641" s="38" t="str">
        <f>IFERROR(__xludf.DUMMYFUNCTION("REGEXREPLACE(C32641,""-\d+(.*)|--\d+(.*)"","""")"),"ROULANS")</f>
        <v>ROULANS</v>
      </c>
      <c r="E32641" s="38" t="s">
        <v>213</v>
      </c>
      <c r="F32641" s="38" t="s">
        <v>214</v>
      </c>
      <c r="G32641" s="49" t="str">
        <f t="shared" si="1"/>
        <v>25640</v>
      </c>
      <c r="H32641" s="49">
        <f t="shared" si="2"/>
        <v>25508</v>
      </c>
    </row>
    <row r="32642">
      <c r="A32642" s="48" t="s">
        <v>6761</v>
      </c>
      <c r="B32642" s="38">
        <v>1030.0</v>
      </c>
      <c r="C32642" s="38" t="s">
        <v>2741</v>
      </c>
      <c r="D32642" s="38" t="str">
        <f>IFERROR(__xludf.DUMMYFUNCTION("REGEXREPLACE(C32642,""-\d+(.*)|--\d+(.*)"","""")"),"BEAUREGARD")</f>
        <v>BEAUREGARD</v>
      </c>
      <c r="E32642" s="38" t="s">
        <v>255</v>
      </c>
      <c r="F32642" s="38" t="s">
        <v>102</v>
      </c>
      <c r="G32642" s="49" t="str">
        <f t="shared" si="1"/>
        <v>01480</v>
      </c>
      <c r="H32642" s="49" t="str">
        <f t="shared" si="2"/>
        <v>01030</v>
      </c>
    </row>
    <row r="32643">
      <c r="A32643" s="48" t="s">
        <v>1540</v>
      </c>
      <c r="B32643" s="38">
        <v>70208.0</v>
      </c>
      <c r="C32643" s="38" t="s">
        <v>36916</v>
      </c>
      <c r="D32643" s="38" t="str">
        <f>IFERROR(__xludf.DUMMYFUNCTION("REGEXREPLACE(C32643,""-\d+(.*)|--\d+(.*)"","""")"),"ECHENOZ-LE-SEC")</f>
        <v>ECHENOZ-LE-SEC</v>
      </c>
      <c r="E32643" s="38" t="s">
        <v>956</v>
      </c>
      <c r="F32643" s="38" t="s">
        <v>214</v>
      </c>
      <c r="G32643" s="49" t="str">
        <f t="shared" si="1"/>
        <v>70000</v>
      </c>
      <c r="H32643" s="49">
        <f t="shared" si="2"/>
        <v>70208</v>
      </c>
    </row>
    <row r="32644">
      <c r="A32644" s="48" t="s">
        <v>1740</v>
      </c>
      <c r="B32644" s="38">
        <v>26184.0</v>
      </c>
      <c r="C32644" s="38" t="s">
        <v>34160</v>
      </c>
      <c r="D32644" s="38" t="str">
        <f>IFERROR(__xludf.DUMMYFUNCTION("REGEXREPLACE(C32644,""-\d+(.*)|--\d+(.*)"","""")"),"MIRIBEL")</f>
        <v>MIRIBEL</v>
      </c>
      <c r="E32644" s="38" t="s">
        <v>126</v>
      </c>
      <c r="F32644" s="38" t="s">
        <v>102</v>
      </c>
      <c r="G32644" s="49" t="str">
        <f t="shared" si="1"/>
        <v>26350</v>
      </c>
      <c r="H32644" s="49">
        <f t="shared" si="2"/>
        <v>26184</v>
      </c>
    </row>
    <row r="32645">
      <c r="A32645" s="48" t="s">
        <v>1381</v>
      </c>
      <c r="B32645" s="38">
        <v>62372.0</v>
      </c>
      <c r="C32645" s="38" t="s">
        <v>36917</v>
      </c>
      <c r="D32645" s="38" t="str">
        <f>IFERROR(__xludf.DUMMYFUNCTION("REGEXREPLACE(C32645,""-\d+(.*)|--\d+(.*)"","""")"),"GIVENCHY-LE-NOBLE")</f>
        <v>GIVENCHY-LE-NOBLE</v>
      </c>
      <c r="E32645" s="38" t="s">
        <v>109</v>
      </c>
      <c r="F32645" s="38" t="s">
        <v>86</v>
      </c>
      <c r="G32645" s="49" t="str">
        <f t="shared" si="1"/>
        <v>62810</v>
      </c>
      <c r="H32645" s="49">
        <f t="shared" si="2"/>
        <v>62372</v>
      </c>
    </row>
    <row r="32646">
      <c r="A32646" s="48" t="s">
        <v>522</v>
      </c>
      <c r="B32646" s="38">
        <v>39344.0</v>
      </c>
      <c r="C32646" s="38" t="s">
        <v>36918</v>
      </c>
      <c r="D32646" s="38" t="str">
        <f>IFERROR(__xludf.DUMMYFUNCTION("REGEXREPLACE(C32646,""-\d+(.*)|--\d+(.*)"","""")"),"MONNET-LA-VILLE")</f>
        <v>MONNET-LA-VILLE</v>
      </c>
      <c r="E32646" s="38" t="s">
        <v>400</v>
      </c>
      <c r="F32646" s="38" t="s">
        <v>214</v>
      </c>
      <c r="G32646" s="49" t="str">
        <f t="shared" si="1"/>
        <v>39300</v>
      </c>
      <c r="H32646" s="49">
        <f t="shared" si="2"/>
        <v>39344</v>
      </c>
    </row>
    <row r="32647">
      <c r="A32647" s="48" t="s">
        <v>1100</v>
      </c>
      <c r="B32647" s="38">
        <v>8338.0</v>
      </c>
      <c r="C32647" s="38" t="s">
        <v>36919</v>
      </c>
      <c r="D32647" s="38" t="str">
        <f>IFERROR(__xludf.DUMMYFUNCTION("REGEXREPLACE(C32647,""-\d+(.*)|--\d+(.*)"","""")"),"PAUVRES")</f>
        <v>PAUVRES</v>
      </c>
      <c r="E32647" s="38" t="s">
        <v>327</v>
      </c>
      <c r="F32647" s="38" t="s">
        <v>130</v>
      </c>
      <c r="G32647" s="49" t="str">
        <f t="shared" si="1"/>
        <v>08310</v>
      </c>
      <c r="H32647" s="49" t="str">
        <f t="shared" si="2"/>
        <v>08338</v>
      </c>
    </row>
    <row r="32648">
      <c r="A32648" s="48" t="s">
        <v>315</v>
      </c>
      <c r="B32648" s="38">
        <v>27339.0</v>
      </c>
      <c r="C32648" s="38" t="s">
        <v>36920</v>
      </c>
      <c r="D32648" s="38" t="str">
        <f>IFERROR(__xludf.DUMMYFUNCTION("REGEXREPLACE(C32648,""-\d+(.*)|--\d+(.*)"","""")"),"HONDOUVILLE")</f>
        <v>HONDOUVILLE</v>
      </c>
      <c r="E32648" s="38" t="s">
        <v>241</v>
      </c>
      <c r="F32648" s="38" t="s">
        <v>134</v>
      </c>
      <c r="G32648" s="49" t="str">
        <f t="shared" si="1"/>
        <v>27400</v>
      </c>
      <c r="H32648" s="49">
        <f t="shared" si="2"/>
        <v>27339</v>
      </c>
    </row>
    <row r="32649">
      <c r="A32649" s="48" t="s">
        <v>1276</v>
      </c>
      <c r="B32649" s="38">
        <v>64401.0</v>
      </c>
      <c r="C32649" s="38" t="s">
        <v>36921</v>
      </c>
      <c r="D32649" s="38" t="str">
        <f>IFERROR(__xludf.DUMMYFUNCTION("REGEXREPLACE(C32649,""-\d+(.*)|--\d+(.*)"","""")"),"MONT-DISSE")</f>
        <v>MONT-DISSE</v>
      </c>
      <c r="E32649" s="38" t="s">
        <v>268</v>
      </c>
      <c r="F32649" s="38" t="s">
        <v>252</v>
      </c>
      <c r="G32649" s="49" t="str">
        <f t="shared" si="1"/>
        <v>64330</v>
      </c>
      <c r="H32649" s="49">
        <f t="shared" si="2"/>
        <v>64401</v>
      </c>
    </row>
    <row r="32650">
      <c r="A32650" s="48" t="s">
        <v>31882</v>
      </c>
      <c r="B32650" s="38">
        <v>76409.0</v>
      </c>
      <c r="C32650" s="38" t="s">
        <v>36922</v>
      </c>
      <c r="D32650" s="38" t="str">
        <f>IFERROR(__xludf.DUMMYFUNCTION("REGEXREPLACE(C32650,""-\d+(.*)|--\d+(.*)"","""")"),"MANNEVILLETTE")</f>
        <v>MANNEVILLETTE</v>
      </c>
      <c r="E32650" s="38" t="s">
        <v>133</v>
      </c>
      <c r="F32650" s="38" t="s">
        <v>134</v>
      </c>
      <c r="G32650" s="49" t="str">
        <f t="shared" si="1"/>
        <v>76290</v>
      </c>
      <c r="H32650" s="49">
        <f t="shared" si="2"/>
        <v>76409</v>
      </c>
    </row>
    <row r="32651">
      <c r="A32651" s="48" t="s">
        <v>7084</v>
      </c>
      <c r="B32651" s="38">
        <v>45121.0</v>
      </c>
      <c r="C32651" s="38" t="s">
        <v>36923</v>
      </c>
      <c r="D32651" s="38" t="str">
        <f>IFERROR(__xludf.DUMMYFUNCTION("REGEXREPLACE(C32651,""-\d+(.*)|--\d+(.*)"","""")"),"DAMMARIE-SUR-LOING")</f>
        <v>DAMMARIE-SUR-LOING</v>
      </c>
      <c r="E32651" s="38" t="s">
        <v>122</v>
      </c>
      <c r="F32651" s="38" t="s">
        <v>123</v>
      </c>
      <c r="G32651" s="49" t="str">
        <f t="shared" si="1"/>
        <v>45230</v>
      </c>
      <c r="H32651" s="49">
        <f t="shared" si="2"/>
        <v>45121</v>
      </c>
    </row>
    <row r="32652">
      <c r="A32652" s="48" t="s">
        <v>4011</v>
      </c>
      <c r="B32652" s="38">
        <v>80485.0</v>
      </c>
      <c r="C32652" s="38" t="s">
        <v>36924</v>
      </c>
      <c r="D32652" s="38" t="str">
        <f>IFERROR(__xludf.DUMMYFUNCTION("REGEXREPLACE(C32652,""-\d+(.*)|--\d+(.*)"","""")"),"LOEUILLY")</f>
        <v>LOEUILLY</v>
      </c>
      <c r="E32652" s="38" t="s">
        <v>224</v>
      </c>
      <c r="F32652" s="38" t="s">
        <v>113</v>
      </c>
      <c r="G32652" s="49" t="str">
        <f t="shared" si="1"/>
        <v>80160</v>
      </c>
      <c r="H32652" s="49">
        <f t="shared" si="2"/>
        <v>80485</v>
      </c>
    </row>
    <row r="32653">
      <c r="A32653" s="48" t="s">
        <v>1389</v>
      </c>
      <c r="B32653" s="38">
        <v>5074.0</v>
      </c>
      <c r="C32653" s="38" t="s">
        <v>36925</v>
      </c>
      <c r="D32653" s="38" t="str">
        <f>IFERROR(__xludf.DUMMYFUNCTION("REGEXREPLACE(C32653,""-\d+(.*)|--\d+(.*)"","""")"),"LETTRET")</f>
        <v>LETTRET</v>
      </c>
      <c r="E32653" s="38" t="s">
        <v>706</v>
      </c>
      <c r="F32653" s="38" t="s">
        <v>228</v>
      </c>
      <c r="G32653" s="49" t="str">
        <f t="shared" si="1"/>
        <v>05130</v>
      </c>
      <c r="H32653" s="49" t="str">
        <f t="shared" si="2"/>
        <v>05074</v>
      </c>
    </row>
    <row r="32654">
      <c r="A32654" s="48" t="s">
        <v>9881</v>
      </c>
      <c r="B32654" s="38">
        <v>73277.0</v>
      </c>
      <c r="C32654" s="38" t="s">
        <v>32475</v>
      </c>
      <c r="D32654" s="38" t="str">
        <f>IFERROR(__xludf.DUMMYFUNCTION("REGEXREPLACE(C32654,""-\d+(.*)|--\d+(.*)"","""")"),"SAINTE-REINE")</f>
        <v>SAINTE-REINE</v>
      </c>
      <c r="E32654" s="38" t="s">
        <v>306</v>
      </c>
      <c r="F32654" s="38" t="s">
        <v>102</v>
      </c>
      <c r="G32654" s="49" t="str">
        <f t="shared" si="1"/>
        <v>73630</v>
      </c>
      <c r="H32654" s="49">
        <f t="shared" si="2"/>
        <v>73277</v>
      </c>
    </row>
    <row r="32655">
      <c r="A32655" s="48" t="s">
        <v>2907</v>
      </c>
      <c r="B32655" s="38">
        <v>22241.0</v>
      </c>
      <c r="C32655" s="38" t="s">
        <v>36926</v>
      </c>
      <c r="D32655" s="38" t="str">
        <f>IFERROR(__xludf.DUMMYFUNCTION("REGEXREPLACE(C32655,""-\d+(.*)|--\d+(.*)"","""")"),"PLUMIEUX")</f>
        <v>PLUMIEUX</v>
      </c>
      <c r="E32655" s="38" t="s">
        <v>89</v>
      </c>
      <c r="F32655" s="38" t="s">
        <v>90</v>
      </c>
      <c r="G32655" s="49" t="str">
        <f t="shared" si="1"/>
        <v>22210</v>
      </c>
      <c r="H32655" s="49">
        <f t="shared" si="2"/>
        <v>22241</v>
      </c>
    </row>
    <row r="32656">
      <c r="A32656" s="48" t="s">
        <v>2316</v>
      </c>
      <c r="B32656" s="38">
        <v>25249.0</v>
      </c>
      <c r="C32656" s="38" t="s">
        <v>36927</v>
      </c>
      <c r="D32656" s="38" t="str">
        <f>IFERROR(__xludf.DUMMYFUNCTION("REGEXREPLACE(C32656,""-\d+(.*)|--\d+(.*)"","""")"),"FONTENOTTE")</f>
        <v>FONTENOTTE</v>
      </c>
      <c r="E32656" s="38" t="s">
        <v>213</v>
      </c>
      <c r="F32656" s="38" t="s">
        <v>214</v>
      </c>
      <c r="G32656" s="49" t="str">
        <f t="shared" si="1"/>
        <v>25110</v>
      </c>
      <c r="H32656" s="49">
        <f t="shared" si="2"/>
        <v>25249</v>
      </c>
    </row>
    <row r="32657">
      <c r="A32657" s="48" t="s">
        <v>17834</v>
      </c>
      <c r="B32657" s="38">
        <v>83109.0</v>
      </c>
      <c r="C32657" s="38" t="s">
        <v>36928</v>
      </c>
      <c r="D32657" s="38" t="str">
        <f>IFERROR(__xludf.DUMMYFUNCTION("REGEXREPLACE(C32657,""-\d+(.*)|--\d+(.*)"","""")"),"LA ROQUE-ESCLAPON")</f>
        <v>LA ROQUE-ESCLAPON</v>
      </c>
      <c r="E32657" s="38" t="s">
        <v>813</v>
      </c>
      <c r="F32657" s="38" t="s">
        <v>228</v>
      </c>
      <c r="G32657" s="49" t="str">
        <f t="shared" si="1"/>
        <v>83840</v>
      </c>
      <c r="H32657" s="49">
        <f t="shared" si="2"/>
        <v>83109</v>
      </c>
    </row>
    <row r="32658">
      <c r="A32658" s="48" t="s">
        <v>9585</v>
      </c>
      <c r="B32658" s="38">
        <v>25117.0</v>
      </c>
      <c r="C32658" s="38" t="s">
        <v>36929</v>
      </c>
      <c r="D32658" s="38" t="str">
        <f>IFERROR(__xludf.DUMMYFUNCTION("REGEXREPLACE(C32658,""-\d+(.*)|--\d+(.*)"","""")"),"CHAMPOUX")</f>
        <v>CHAMPOUX</v>
      </c>
      <c r="E32658" s="38" t="s">
        <v>213</v>
      </c>
      <c r="F32658" s="38" t="s">
        <v>214</v>
      </c>
      <c r="G32658" s="49" t="str">
        <f t="shared" si="1"/>
        <v>25640</v>
      </c>
      <c r="H32658" s="49">
        <f t="shared" si="2"/>
        <v>25117</v>
      </c>
    </row>
    <row r="32659">
      <c r="A32659" s="48" t="s">
        <v>2451</v>
      </c>
      <c r="B32659" s="38">
        <v>31107.0</v>
      </c>
      <c r="C32659" s="38" t="s">
        <v>36930</v>
      </c>
      <c r="D32659" s="38" t="str">
        <f>IFERROR(__xludf.DUMMYFUNCTION("REGEXREPLACE(C32659,""-\d+(.*)|--\d+(.*)"","""")"),"CARBONNE")</f>
        <v>CARBONNE</v>
      </c>
      <c r="E32659" s="38" t="s">
        <v>93</v>
      </c>
      <c r="F32659" s="38" t="s">
        <v>94</v>
      </c>
      <c r="G32659" s="49" t="str">
        <f t="shared" si="1"/>
        <v>31390</v>
      </c>
      <c r="H32659" s="49">
        <f t="shared" si="2"/>
        <v>31107</v>
      </c>
    </row>
    <row r="32660">
      <c r="A32660" s="48" t="s">
        <v>10904</v>
      </c>
      <c r="B32660" s="38">
        <v>74042.0</v>
      </c>
      <c r="C32660" s="38" t="s">
        <v>23458</v>
      </c>
      <c r="D32660" s="38" t="str">
        <f>IFERROR(__xludf.DUMMYFUNCTION("REGEXREPLACE(C32660,""-\d+(.*)|--\d+(.*)"","""")"),"BONNEVILLE")</f>
        <v>BONNEVILLE</v>
      </c>
      <c r="E32660" s="38" t="s">
        <v>319</v>
      </c>
      <c r="F32660" s="38" t="s">
        <v>102</v>
      </c>
      <c r="G32660" s="49" t="str">
        <f t="shared" si="1"/>
        <v>74130</v>
      </c>
      <c r="H32660" s="49">
        <f t="shared" si="2"/>
        <v>74042</v>
      </c>
    </row>
    <row r="32661">
      <c r="A32661" s="48" t="s">
        <v>4566</v>
      </c>
      <c r="B32661" s="38">
        <v>24492.0</v>
      </c>
      <c r="C32661" s="38" t="s">
        <v>3856</v>
      </c>
      <c r="D32661" s="38" t="str">
        <f>IFERROR(__xludf.DUMMYFUNCTION("REGEXREPLACE(C32661,""-\d+(.*)|--\d+(.*)"","""")"),"SAINTE-RADEGONDE")</f>
        <v>SAINTE-RADEGONDE</v>
      </c>
      <c r="E32661" s="38" t="s">
        <v>261</v>
      </c>
      <c r="F32661" s="38" t="s">
        <v>252</v>
      </c>
      <c r="G32661" s="49" t="str">
        <f t="shared" si="1"/>
        <v>24560</v>
      </c>
      <c r="H32661" s="49">
        <f t="shared" si="2"/>
        <v>24492</v>
      </c>
    </row>
    <row r="32662">
      <c r="A32662" s="48" t="s">
        <v>36931</v>
      </c>
      <c r="B32662" s="38">
        <v>25323.0</v>
      </c>
      <c r="C32662" s="38" t="s">
        <v>36932</v>
      </c>
      <c r="D32662" s="38" t="str">
        <f>IFERROR(__xludf.DUMMYFUNCTION("REGEXREPLACE(C32662,""-\d+(.*)|--\d+(.*)"","""")"),"LAISSEY")</f>
        <v>LAISSEY</v>
      </c>
      <c r="E32662" s="38" t="s">
        <v>213</v>
      </c>
      <c r="F32662" s="38" t="s">
        <v>214</v>
      </c>
      <c r="G32662" s="49" t="str">
        <f t="shared" si="1"/>
        <v>25820</v>
      </c>
      <c r="H32662" s="49">
        <f t="shared" si="2"/>
        <v>25323</v>
      </c>
    </row>
    <row r="32663">
      <c r="A32663" s="48" t="s">
        <v>2389</v>
      </c>
      <c r="B32663" s="38">
        <v>64434.0</v>
      </c>
      <c r="C32663" s="38" t="s">
        <v>36933</v>
      </c>
      <c r="D32663" s="38" t="str">
        <f>IFERROR(__xludf.DUMMYFUNCTION("REGEXREPLACE(C32663,""-\d+(.*)|--\d+(.*)"","""")"),"OSSENX")</f>
        <v>OSSENX</v>
      </c>
      <c r="E32663" s="38" t="s">
        <v>268</v>
      </c>
      <c r="F32663" s="38" t="s">
        <v>252</v>
      </c>
      <c r="G32663" s="49" t="str">
        <f t="shared" si="1"/>
        <v>64190</v>
      </c>
      <c r="H32663" s="49">
        <f t="shared" si="2"/>
        <v>64434</v>
      </c>
    </row>
    <row r="32664">
      <c r="A32664" s="48" t="s">
        <v>8945</v>
      </c>
      <c r="B32664" s="38">
        <v>72083.0</v>
      </c>
      <c r="C32664" s="38" t="s">
        <v>36934</v>
      </c>
      <c r="D32664" s="38" t="str">
        <f>IFERROR(__xludf.DUMMYFUNCTION("REGEXREPLACE(C32664,""-\d+(.*)|--\d+(.*)"","""")"),"CHEVILLE")</f>
        <v>CHEVILLE</v>
      </c>
      <c r="E32664" s="38" t="s">
        <v>521</v>
      </c>
      <c r="F32664" s="38" t="s">
        <v>180</v>
      </c>
      <c r="G32664" s="49" t="str">
        <f t="shared" si="1"/>
        <v>72350</v>
      </c>
      <c r="H32664" s="49">
        <f t="shared" si="2"/>
        <v>72083</v>
      </c>
    </row>
    <row r="32665">
      <c r="A32665" s="48" t="s">
        <v>2770</v>
      </c>
      <c r="B32665" s="38">
        <v>25172.0</v>
      </c>
      <c r="C32665" s="38" t="s">
        <v>36935</v>
      </c>
      <c r="D32665" s="38" t="str">
        <f>IFERROR(__xludf.DUMMYFUNCTION("REGEXREPLACE(C32665,""-\d+(.*)|--\d+(.*)"","""")"),"COURCHAPON")</f>
        <v>COURCHAPON</v>
      </c>
      <c r="E32665" s="38" t="s">
        <v>213</v>
      </c>
      <c r="F32665" s="38" t="s">
        <v>214</v>
      </c>
      <c r="G32665" s="49" t="str">
        <f t="shared" si="1"/>
        <v>25170</v>
      </c>
      <c r="H32665" s="49">
        <f t="shared" si="2"/>
        <v>25172</v>
      </c>
    </row>
    <row r="32666">
      <c r="A32666" s="48" t="s">
        <v>2673</v>
      </c>
      <c r="B32666" s="38">
        <v>3283.0</v>
      </c>
      <c r="C32666" s="38" t="s">
        <v>36936</v>
      </c>
      <c r="D32666" s="38" t="str">
        <f>IFERROR(__xludf.DUMMYFUNCTION("REGEXREPLACE(C32666,""-\d+(.*)|--\d+(.*)"","""")"),"THIEL-SUR-ACOLIN")</f>
        <v>THIEL-SUR-ACOLIN</v>
      </c>
      <c r="E32666" s="38" t="s">
        <v>160</v>
      </c>
      <c r="F32666" s="38" t="s">
        <v>161</v>
      </c>
      <c r="G32666" s="49" t="str">
        <f t="shared" si="1"/>
        <v>03230</v>
      </c>
      <c r="H32666" s="49" t="str">
        <f t="shared" si="2"/>
        <v>03283</v>
      </c>
    </row>
    <row r="32667">
      <c r="A32667" s="48" t="s">
        <v>658</v>
      </c>
      <c r="B32667" s="38">
        <v>62524.0</v>
      </c>
      <c r="C32667" s="38" t="s">
        <v>36937</v>
      </c>
      <c r="D32667" s="38" t="str">
        <f>IFERROR(__xludf.DUMMYFUNCTION("REGEXREPLACE(C32667,""-\d+(.*)|--\d+(.*)"","""")"),"LONGFOSSE")</f>
        <v>LONGFOSSE</v>
      </c>
      <c r="E32667" s="38" t="s">
        <v>109</v>
      </c>
      <c r="F32667" s="38" t="s">
        <v>86</v>
      </c>
      <c r="G32667" s="49" t="str">
        <f t="shared" si="1"/>
        <v>62240</v>
      </c>
      <c r="H32667" s="49">
        <f t="shared" si="2"/>
        <v>62524</v>
      </c>
    </row>
    <row r="32668">
      <c r="A32668" s="48" t="s">
        <v>11166</v>
      </c>
      <c r="B32668" s="38">
        <v>55013.0</v>
      </c>
      <c r="C32668" s="38" t="s">
        <v>36938</v>
      </c>
      <c r="D32668" s="38" t="str">
        <f>IFERROR(__xludf.DUMMYFUNCTION("REGEXREPLACE(C32668,""-\d+(.*)|--\d+(.*)"","""")"),"ARRANCY-SUR-CRUSNE")</f>
        <v>ARRANCY-SUR-CRUSNE</v>
      </c>
      <c r="E32668" s="38" t="s">
        <v>322</v>
      </c>
      <c r="F32668" s="38" t="s">
        <v>195</v>
      </c>
      <c r="G32668" s="49" t="str">
        <f t="shared" si="1"/>
        <v>55230</v>
      </c>
      <c r="H32668" s="49">
        <f t="shared" si="2"/>
        <v>55013</v>
      </c>
    </row>
    <row r="32669">
      <c r="A32669" s="48" t="s">
        <v>11242</v>
      </c>
      <c r="B32669" s="38">
        <v>1246.0</v>
      </c>
      <c r="C32669" s="38" t="s">
        <v>36939</v>
      </c>
      <c r="D32669" s="38" t="str">
        <f>IFERROR(__xludf.DUMMYFUNCTION("REGEXREPLACE(C32669,""-\d+(.*)|--\d+(.*)"","""")"),"MEZERIAT")</f>
        <v>MEZERIAT</v>
      </c>
      <c r="E32669" s="38" t="s">
        <v>255</v>
      </c>
      <c r="F32669" s="38" t="s">
        <v>102</v>
      </c>
      <c r="G32669" s="49" t="str">
        <f t="shared" si="1"/>
        <v>01660</v>
      </c>
      <c r="H32669" s="49" t="str">
        <f t="shared" si="2"/>
        <v>01246</v>
      </c>
    </row>
    <row r="32670">
      <c r="A32670" s="48" t="s">
        <v>2668</v>
      </c>
      <c r="B32670" s="38">
        <v>55571.0</v>
      </c>
      <c r="C32670" s="38" t="s">
        <v>36940</v>
      </c>
      <c r="D32670" s="38" t="str">
        <f>IFERROR(__xludf.DUMMYFUNCTION("REGEXREPLACE(C32670,""-\d+(.*)|--\d+(.*)"","""")"),"VILOSNES-HARAUMONT")</f>
        <v>VILOSNES-HARAUMONT</v>
      </c>
      <c r="E32670" s="38" t="s">
        <v>322</v>
      </c>
      <c r="F32670" s="38" t="s">
        <v>195</v>
      </c>
      <c r="G32670" s="49" t="str">
        <f t="shared" si="1"/>
        <v>55110</v>
      </c>
      <c r="H32670" s="49">
        <f t="shared" si="2"/>
        <v>55571</v>
      </c>
    </row>
    <row r="32671">
      <c r="A32671" s="48" t="s">
        <v>2360</v>
      </c>
      <c r="B32671" s="38">
        <v>79109.0</v>
      </c>
      <c r="C32671" s="38" t="s">
        <v>36941</v>
      </c>
      <c r="D32671" s="38" t="str">
        <f>IFERROR(__xludf.DUMMYFUNCTION("REGEXREPLACE(C32671,""-\d+(.*)|--\d+(.*)"","""")"),"ECHIRE")</f>
        <v>ECHIRE</v>
      </c>
      <c r="E32671" s="38" t="s">
        <v>337</v>
      </c>
      <c r="F32671" s="38" t="s">
        <v>338</v>
      </c>
      <c r="G32671" s="49" t="str">
        <f t="shared" si="1"/>
        <v>79410</v>
      </c>
      <c r="H32671" s="49">
        <f t="shared" si="2"/>
        <v>79109</v>
      </c>
    </row>
    <row r="32672">
      <c r="A32672" s="48" t="s">
        <v>330</v>
      </c>
      <c r="B32672" s="38">
        <v>43115.0</v>
      </c>
      <c r="C32672" s="38" t="s">
        <v>36942</v>
      </c>
      <c r="D32672" s="38" t="str">
        <f>IFERROR(__xludf.DUMMYFUNCTION("REGEXREPLACE(C32672,""-\d+(.*)|--\d+(.*)"","""")"),"LAUSSONNE")</f>
        <v>LAUSSONNE</v>
      </c>
      <c r="E32672" s="38" t="s">
        <v>332</v>
      </c>
      <c r="F32672" s="38" t="s">
        <v>161</v>
      </c>
      <c r="G32672" s="49" t="str">
        <f t="shared" si="1"/>
        <v>43150</v>
      </c>
      <c r="H32672" s="49">
        <f t="shared" si="2"/>
        <v>43115</v>
      </c>
    </row>
    <row r="32673">
      <c r="A32673" s="48" t="s">
        <v>860</v>
      </c>
      <c r="B32673" s="38">
        <v>80670.0</v>
      </c>
      <c r="C32673" s="38" t="s">
        <v>36943</v>
      </c>
      <c r="D32673" s="38" t="str">
        <f>IFERROR(__xludf.DUMMYFUNCTION("REGEXREPLACE(C32673,""-\d+(.*)|--\d+(.*)"","""")"),"REVELLES")</f>
        <v>REVELLES</v>
      </c>
      <c r="E32673" s="38" t="s">
        <v>224</v>
      </c>
      <c r="F32673" s="38" t="s">
        <v>113</v>
      </c>
      <c r="G32673" s="49" t="str">
        <f t="shared" si="1"/>
        <v>80540</v>
      </c>
      <c r="H32673" s="49">
        <f t="shared" si="2"/>
        <v>80670</v>
      </c>
    </row>
    <row r="32674">
      <c r="A32674" s="48" t="s">
        <v>2292</v>
      </c>
      <c r="B32674" s="38">
        <v>76555.0</v>
      </c>
      <c r="C32674" s="38" t="s">
        <v>36944</v>
      </c>
      <c r="D32674" s="38" t="str">
        <f>IFERROR(__xludf.DUMMYFUNCTION("REGEXREPLACE(C32674,""-\d+(.*)|--\d+(.*)"","""")"),"SAINT-ANDRE-SUR-CAILLY")</f>
        <v>SAINT-ANDRE-SUR-CAILLY</v>
      </c>
      <c r="E32674" s="38" t="s">
        <v>133</v>
      </c>
      <c r="F32674" s="38" t="s">
        <v>134</v>
      </c>
      <c r="G32674" s="49" t="str">
        <f t="shared" si="1"/>
        <v>76690</v>
      </c>
      <c r="H32674" s="49">
        <f t="shared" si="2"/>
        <v>76555</v>
      </c>
    </row>
    <row r="32675">
      <c r="A32675" s="48" t="s">
        <v>3206</v>
      </c>
      <c r="B32675" s="38">
        <v>40327.0</v>
      </c>
      <c r="C32675" s="38" t="s">
        <v>36945</v>
      </c>
      <c r="D32675" s="38" t="str">
        <f>IFERROR(__xludf.DUMMYFUNCTION("REGEXREPLACE(C32675,""-\d+(.*)|--\d+(.*)"","""")"),"VIELLE-SOUBIRAN")</f>
        <v>VIELLE-SOUBIRAN</v>
      </c>
      <c r="E32675" s="38" t="s">
        <v>281</v>
      </c>
      <c r="F32675" s="38" t="s">
        <v>252</v>
      </c>
      <c r="G32675" s="49" t="str">
        <f t="shared" si="1"/>
        <v>40240</v>
      </c>
      <c r="H32675" s="49">
        <f t="shared" si="2"/>
        <v>40327</v>
      </c>
    </row>
    <row r="32676">
      <c r="A32676" s="48" t="s">
        <v>5965</v>
      </c>
      <c r="B32676" s="38">
        <v>62288.0</v>
      </c>
      <c r="C32676" s="38" t="s">
        <v>36946</v>
      </c>
      <c r="D32676" s="38" t="str">
        <f>IFERROR(__xludf.DUMMYFUNCTION("REGEXREPLACE(C32676,""-\d+(.*)|--\d+(.*)"","""")"),"ECQUES")</f>
        <v>ECQUES</v>
      </c>
      <c r="E32676" s="38" t="s">
        <v>109</v>
      </c>
      <c r="F32676" s="38" t="s">
        <v>86</v>
      </c>
      <c r="G32676" s="49" t="str">
        <f t="shared" si="1"/>
        <v>62129</v>
      </c>
      <c r="H32676" s="49">
        <f t="shared" si="2"/>
        <v>62288</v>
      </c>
    </row>
    <row r="32677">
      <c r="A32677" s="48" t="s">
        <v>284</v>
      </c>
      <c r="B32677" s="38">
        <v>60061.0</v>
      </c>
      <c r="C32677" s="38" t="s">
        <v>36947</v>
      </c>
      <c r="D32677" s="38" t="str">
        <f>IFERROR(__xludf.DUMMYFUNCTION("REGEXREPLACE(C32677,""-\d+(.*)|--\d+(.*)"","""")"),"BELLOY")</f>
        <v>BELLOY</v>
      </c>
      <c r="E32677" s="38" t="s">
        <v>112</v>
      </c>
      <c r="F32677" s="38" t="s">
        <v>113</v>
      </c>
      <c r="G32677" s="49" t="str">
        <f t="shared" si="1"/>
        <v>60490</v>
      </c>
      <c r="H32677" s="49">
        <f t="shared" si="2"/>
        <v>60061</v>
      </c>
    </row>
    <row r="32678">
      <c r="A32678" s="48" t="s">
        <v>6097</v>
      </c>
      <c r="B32678" s="38">
        <v>33277.0</v>
      </c>
      <c r="C32678" s="38" t="s">
        <v>36948</v>
      </c>
      <c r="D32678" s="38" t="str">
        <f>IFERROR(__xludf.DUMMYFUNCTION("REGEXREPLACE(C32678,""-\d+(.*)|--\d+(.*)"","""")"),"MASSUGAS")</f>
        <v>MASSUGAS</v>
      </c>
      <c r="E32678" s="38" t="s">
        <v>462</v>
      </c>
      <c r="F32678" s="38" t="s">
        <v>252</v>
      </c>
      <c r="G32678" s="49" t="str">
        <f t="shared" si="1"/>
        <v>33790</v>
      </c>
      <c r="H32678" s="49">
        <f t="shared" si="2"/>
        <v>33277</v>
      </c>
    </row>
    <row r="32679">
      <c r="A32679" s="48" t="s">
        <v>10227</v>
      </c>
      <c r="B32679" s="38">
        <v>16290.0</v>
      </c>
      <c r="C32679" s="38" t="s">
        <v>36949</v>
      </c>
      <c r="D32679" s="38" t="str">
        <f>IFERROR(__xludf.DUMMYFUNCTION("REGEXREPLACE(C32679,""-\d+(.*)|--\d+(.*)"","""")"),"ROUZEDE")</f>
        <v>ROUZEDE</v>
      </c>
      <c r="E32679" s="38" t="s">
        <v>429</v>
      </c>
      <c r="F32679" s="38" t="s">
        <v>338</v>
      </c>
      <c r="G32679" s="49" t="str">
        <f t="shared" si="1"/>
        <v>16220</v>
      </c>
      <c r="H32679" s="49">
        <f t="shared" si="2"/>
        <v>16290</v>
      </c>
    </row>
    <row r="32680">
      <c r="A32680" s="48" t="s">
        <v>2734</v>
      </c>
      <c r="B32680" s="38">
        <v>89143.0</v>
      </c>
      <c r="C32680" s="38" t="s">
        <v>36950</v>
      </c>
      <c r="D32680" s="38" t="str">
        <f>IFERROR(__xludf.DUMMYFUNCTION("REGEXREPLACE(C32680,""-\d+(.*)|--\d+(.*)"","""")"),"DOLLOT")</f>
        <v>DOLLOT</v>
      </c>
      <c r="E32680" s="38" t="s">
        <v>275</v>
      </c>
      <c r="F32680" s="38" t="s">
        <v>106</v>
      </c>
      <c r="G32680" s="49" t="str">
        <f t="shared" si="1"/>
        <v>89150</v>
      </c>
      <c r="H32680" s="49">
        <f t="shared" si="2"/>
        <v>89143</v>
      </c>
    </row>
    <row r="32681">
      <c r="A32681" s="48" t="s">
        <v>23069</v>
      </c>
      <c r="B32681" s="38">
        <v>19151.0</v>
      </c>
      <c r="C32681" s="38" t="s">
        <v>13025</v>
      </c>
      <c r="D32681" s="38" t="str">
        <f>IFERROR(__xludf.DUMMYFUNCTION("REGEXREPLACE(C32681,""-\d+(.*)|--\d+(.*)"","""")"),"NOAILLES")</f>
        <v>NOAILLES</v>
      </c>
      <c r="E32681" s="38" t="s">
        <v>271</v>
      </c>
      <c r="F32681" s="38" t="s">
        <v>98</v>
      </c>
      <c r="G32681" s="49" t="str">
        <f t="shared" si="1"/>
        <v>19600</v>
      </c>
      <c r="H32681" s="49">
        <f t="shared" si="2"/>
        <v>19151</v>
      </c>
    </row>
    <row r="32682">
      <c r="A32682" s="48" t="s">
        <v>8883</v>
      </c>
      <c r="B32682" s="38">
        <v>39429.0</v>
      </c>
      <c r="C32682" s="38" t="s">
        <v>36951</v>
      </c>
      <c r="D32682" s="38" t="str">
        <f>IFERROR(__xludf.DUMMYFUNCTION("REGEXREPLACE(C32682,""-\d+(.*)|--\d+(.*)"","""")"),"PLEURE")</f>
        <v>PLEURE</v>
      </c>
      <c r="E32682" s="38" t="s">
        <v>400</v>
      </c>
      <c r="F32682" s="38" t="s">
        <v>214</v>
      </c>
      <c r="G32682" s="49" t="str">
        <f t="shared" si="1"/>
        <v>39120</v>
      </c>
      <c r="H32682" s="49">
        <f t="shared" si="2"/>
        <v>39429</v>
      </c>
    </row>
    <row r="32683">
      <c r="A32683" s="48" t="s">
        <v>658</v>
      </c>
      <c r="B32683" s="38">
        <v>62678.0</v>
      </c>
      <c r="C32683" s="38" t="s">
        <v>36952</v>
      </c>
      <c r="D32683" s="38" t="str">
        <f>IFERROR(__xludf.DUMMYFUNCTION("REGEXREPLACE(C32683,""-\d+(.*)|--\d+(.*)"","""")"),"QUESQUES")</f>
        <v>QUESQUES</v>
      </c>
      <c r="E32683" s="38" t="s">
        <v>109</v>
      </c>
      <c r="F32683" s="38" t="s">
        <v>86</v>
      </c>
      <c r="G32683" s="49" t="str">
        <f t="shared" si="1"/>
        <v>62240</v>
      </c>
      <c r="H32683" s="49">
        <f t="shared" si="2"/>
        <v>62678</v>
      </c>
    </row>
    <row r="32684">
      <c r="A32684" s="48" t="s">
        <v>3488</v>
      </c>
      <c r="B32684" s="38">
        <v>67209.0</v>
      </c>
      <c r="C32684" s="38" t="s">
        <v>36953</v>
      </c>
      <c r="D32684" s="38" t="str">
        <f>IFERROR(__xludf.DUMMYFUNCTION("REGEXREPLACE(C32684,""-\d+(.*)|--\d+(.*)"","""")"),"HOHFRANKENHEIM")</f>
        <v>HOHFRANKENHEIM</v>
      </c>
      <c r="E32684" s="38" t="s">
        <v>210</v>
      </c>
      <c r="F32684" s="38" t="s">
        <v>151</v>
      </c>
      <c r="G32684" s="49" t="str">
        <f t="shared" si="1"/>
        <v>67270</v>
      </c>
      <c r="H32684" s="49">
        <f t="shared" si="2"/>
        <v>67209</v>
      </c>
    </row>
    <row r="32685">
      <c r="A32685" s="48" t="s">
        <v>3224</v>
      </c>
      <c r="B32685" s="38">
        <v>54411.0</v>
      </c>
      <c r="C32685" s="38" t="s">
        <v>36954</v>
      </c>
      <c r="D32685" s="38" t="str">
        <f>IFERROR(__xludf.DUMMYFUNCTION("REGEXREPLACE(C32685,""-\d+(.*)|--\d+(.*)"","""")"),"ORMES-ET-VILLE")</f>
        <v>ORMES-ET-VILLE</v>
      </c>
      <c r="E32685" s="38" t="s">
        <v>548</v>
      </c>
      <c r="F32685" s="38" t="s">
        <v>195</v>
      </c>
      <c r="G32685" s="49" t="str">
        <f t="shared" si="1"/>
        <v>54740</v>
      </c>
      <c r="H32685" s="49">
        <f t="shared" si="2"/>
        <v>54411</v>
      </c>
    </row>
    <row r="32686">
      <c r="A32686" s="48" t="s">
        <v>3400</v>
      </c>
      <c r="B32686" s="38">
        <v>89256.0</v>
      </c>
      <c r="C32686" s="38" t="s">
        <v>36955</v>
      </c>
      <c r="D32686" s="38" t="str">
        <f>IFERROR(__xludf.DUMMYFUNCTION("REGEXREPLACE(C32686,""-\d+(.*)|--\d+(.*)"","""")"),"MIGE")</f>
        <v>MIGE</v>
      </c>
      <c r="E32686" s="38" t="s">
        <v>275</v>
      </c>
      <c r="F32686" s="38" t="s">
        <v>106</v>
      </c>
      <c r="G32686" s="49" t="str">
        <f t="shared" si="1"/>
        <v>89580</v>
      </c>
      <c r="H32686" s="49">
        <f t="shared" si="2"/>
        <v>89256</v>
      </c>
    </row>
    <row r="32687">
      <c r="A32687" s="48" t="s">
        <v>2249</v>
      </c>
      <c r="B32687" s="38">
        <v>14184.0</v>
      </c>
      <c r="C32687" s="38" t="s">
        <v>36956</v>
      </c>
      <c r="D32687" s="38" t="str">
        <f>IFERROR(__xludf.DUMMYFUNCTION("REGEXREPLACE(C32687,""-\d+(.*)|--\d+(.*)"","""")"),"COTTUN")</f>
        <v>COTTUN</v>
      </c>
      <c r="E32687" s="38" t="s">
        <v>137</v>
      </c>
      <c r="F32687" s="38" t="s">
        <v>138</v>
      </c>
      <c r="G32687" s="49" t="str">
        <f t="shared" si="1"/>
        <v>14400</v>
      </c>
      <c r="H32687" s="49">
        <f t="shared" si="2"/>
        <v>14184</v>
      </c>
    </row>
    <row r="32688">
      <c r="A32688" s="48" t="s">
        <v>386</v>
      </c>
      <c r="B32688" s="38">
        <v>21507.0</v>
      </c>
      <c r="C32688" s="38" t="s">
        <v>36957</v>
      </c>
      <c r="D32688" s="38" t="str">
        <f>IFERROR(__xludf.DUMMYFUNCTION("REGEXREPLACE(C32688,""-\d+(.*)|--\d+(.*)"","""")"),"PREMIERES")</f>
        <v>PREMIERES</v>
      </c>
      <c r="E32688" s="38" t="s">
        <v>105</v>
      </c>
      <c r="F32688" s="38" t="s">
        <v>106</v>
      </c>
      <c r="G32688" s="49" t="str">
        <f t="shared" si="1"/>
        <v>21110</v>
      </c>
      <c r="H32688" s="49">
        <f t="shared" si="2"/>
        <v>21507</v>
      </c>
    </row>
    <row r="32689">
      <c r="A32689" s="48" t="s">
        <v>2109</v>
      </c>
      <c r="B32689" s="38">
        <v>29112.0</v>
      </c>
      <c r="C32689" s="38" t="s">
        <v>36958</v>
      </c>
      <c r="D32689" s="38" t="str">
        <f>IFERROR(__xludf.DUMMYFUNCTION("REGEXREPLACE(C32689,""-\d+(.*)|--\d+(.*)"","""")"),"LANILDUT")</f>
        <v>LANILDUT</v>
      </c>
      <c r="E32689" s="38" t="s">
        <v>176</v>
      </c>
      <c r="F32689" s="38" t="s">
        <v>90</v>
      </c>
      <c r="G32689" s="49" t="str">
        <f t="shared" si="1"/>
        <v>29840</v>
      </c>
      <c r="H32689" s="49">
        <f t="shared" si="2"/>
        <v>29112</v>
      </c>
    </row>
    <row r="32690">
      <c r="A32690" s="48" t="s">
        <v>7622</v>
      </c>
      <c r="B32690" s="38">
        <v>10344.0</v>
      </c>
      <c r="C32690" s="38" t="s">
        <v>36959</v>
      </c>
      <c r="D32690" s="38" t="str">
        <f>IFERROR(__xludf.DUMMYFUNCTION("REGEXREPLACE(C32690,""-\d+(.*)|--\d+(.*)"","""")"),"SAINT-LEGER-PRES-TROYES")</f>
        <v>SAINT-LEGER-PRES-TROYES</v>
      </c>
      <c r="E32690" s="38" t="s">
        <v>147</v>
      </c>
      <c r="F32690" s="38" t="s">
        <v>130</v>
      </c>
      <c r="G32690" s="49" t="str">
        <f t="shared" si="1"/>
        <v>10800</v>
      </c>
      <c r="H32690" s="49">
        <f t="shared" si="2"/>
        <v>10344</v>
      </c>
    </row>
    <row r="32691">
      <c r="A32691" s="48" t="s">
        <v>20265</v>
      </c>
      <c r="B32691" s="38">
        <v>12294.0</v>
      </c>
      <c r="C32691" s="38" t="s">
        <v>36960</v>
      </c>
      <c r="D32691" s="38" t="str">
        <f>IFERROR(__xludf.DUMMYFUNCTION("REGEXREPLACE(C32691,""-\d+(.*)|--\d+(.*)"","""")"),"VEZINS-DE-LEVEZOU")</f>
        <v>VEZINS-DE-LEVEZOU</v>
      </c>
      <c r="E32691" s="38" t="s">
        <v>465</v>
      </c>
      <c r="F32691" s="38" t="s">
        <v>94</v>
      </c>
      <c r="G32691" s="49" t="str">
        <f t="shared" si="1"/>
        <v>12780</v>
      </c>
      <c r="H32691" s="49">
        <f t="shared" si="2"/>
        <v>12294</v>
      </c>
    </row>
    <row r="32692">
      <c r="A32692" s="48" t="s">
        <v>995</v>
      </c>
      <c r="B32692" s="38">
        <v>31356.0</v>
      </c>
      <c r="C32692" s="38" t="s">
        <v>36961</v>
      </c>
      <c r="D32692" s="38" t="str">
        <f>IFERROR(__xludf.DUMMYFUNCTION("REGEXREPLACE(C32692,""-\d+(.*)|--\d+(.*)"","""")"),"MONTAIGUT-SUR-SAVE")</f>
        <v>MONTAIGUT-SUR-SAVE</v>
      </c>
      <c r="E32692" s="38" t="s">
        <v>93</v>
      </c>
      <c r="F32692" s="38" t="s">
        <v>94</v>
      </c>
      <c r="G32692" s="49" t="str">
        <f t="shared" si="1"/>
        <v>31530</v>
      </c>
      <c r="H32692" s="49">
        <f t="shared" si="2"/>
        <v>31356</v>
      </c>
    </row>
    <row r="32693">
      <c r="A32693" s="48" t="s">
        <v>10533</v>
      </c>
      <c r="B32693" s="38">
        <v>87088.0</v>
      </c>
      <c r="C32693" s="38" t="s">
        <v>36962</v>
      </c>
      <c r="D32693" s="38" t="str">
        <f>IFERROR(__xludf.DUMMYFUNCTION("REGEXREPLACE(C32693,""-\d+(.*)|--\d+(.*)"","""")"),"MAGNAC-BOURG")</f>
        <v>MAGNAC-BOURG</v>
      </c>
      <c r="E32693" s="38" t="s">
        <v>897</v>
      </c>
      <c r="F32693" s="38" t="s">
        <v>98</v>
      </c>
      <c r="G32693" s="49" t="str">
        <f t="shared" si="1"/>
        <v>87380</v>
      </c>
      <c r="H32693" s="49">
        <f t="shared" si="2"/>
        <v>87088</v>
      </c>
    </row>
    <row r="32694">
      <c r="A32694" s="48" t="s">
        <v>36963</v>
      </c>
      <c r="B32694" s="38">
        <v>78350.0</v>
      </c>
      <c r="C32694" s="38" t="s">
        <v>36964</v>
      </c>
      <c r="D32694" s="38" t="str">
        <f>IFERROR(__xludf.DUMMYFUNCTION("REGEXREPLACE(C32694,""-\d+(.*)|--\d+(.*)"","""")"),"LOUVECIENNES")</f>
        <v>LOUVECIENNES</v>
      </c>
      <c r="E32694" s="38" t="s">
        <v>362</v>
      </c>
      <c r="F32694" s="38" t="s">
        <v>245</v>
      </c>
      <c r="G32694" s="49" t="str">
        <f t="shared" si="1"/>
        <v>78430</v>
      </c>
      <c r="H32694" s="49">
        <f t="shared" si="2"/>
        <v>78350</v>
      </c>
    </row>
    <row r="32695">
      <c r="A32695" s="48" t="s">
        <v>23894</v>
      </c>
      <c r="B32695" s="38">
        <v>69030.0</v>
      </c>
      <c r="C32695" s="38" t="s">
        <v>36965</v>
      </c>
      <c r="D32695" s="38" t="str">
        <f>IFERROR(__xludf.DUMMYFUNCTION("REGEXREPLACE(C32695,""-\d+(.*)|--\d+(.*)"","""")"),"BRULLIOLES")</f>
        <v>BRULLIOLES</v>
      </c>
      <c r="E32695" s="38" t="s">
        <v>350</v>
      </c>
      <c r="F32695" s="38" t="s">
        <v>102</v>
      </c>
      <c r="G32695" s="49" t="str">
        <f t="shared" si="1"/>
        <v>69690</v>
      </c>
      <c r="H32695" s="49">
        <f t="shared" si="2"/>
        <v>69030</v>
      </c>
    </row>
    <row r="32696">
      <c r="A32696" s="48" t="s">
        <v>4873</v>
      </c>
      <c r="B32696" s="38">
        <v>67198.0</v>
      </c>
      <c r="C32696" s="38" t="s">
        <v>36966</v>
      </c>
      <c r="D32696" s="38" t="str">
        <f>IFERROR(__xludf.DUMMYFUNCTION("REGEXREPLACE(C32696,""-\d+(.*)|--\d+(.*)"","""")"),"HINSBOURG")</f>
        <v>HINSBOURG</v>
      </c>
      <c r="E32696" s="38" t="s">
        <v>210</v>
      </c>
      <c r="F32696" s="38" t="s">
        <v>151</v>
      </c>
      <c r="G32696" s="49" t="str">
        <f t="shared" si="1"/>
        <v>67290</v>
      </c>
      <c r="H32696" s="49">
        <f t="shared" si="2"/>
        <v>67198</v>
      </c>
    </row>
    <row r="32697">
      <c r="A32697" s="48" t="s">
        <v>145</v>
      </c>
      <c r="B32697" s="38">
        <v>10133.0</v>
      </c>
      <c r="C32697" s="38" t="s">
        <v>36967</v>
      </c>
      <c r="D32697" s="38" t="str">
        <f>IFERROR(__xludf.DUMMYFUNCTION("REGEXREPLACE(C32697,""-\d+(.*)|--\d+(.*)"","""")"),"EAUX-PUISEAUX")</f>
        <v>EAUX-PUISEAUX</v>
      </c>
      <c r="E32697" s="38" t="s">
        <v>147</v>
      </c>
      <c r="F32697" s="38" t="s">
        <v>130</v>
      </c>
      <c r="G32697" s="49" t="str">
        <f t="shared" si="1"/>
        <v>10130</v>
      </c>
      <c r="H32697" s="49">
        <f t="shared" si="2"/>
        <v>10133</v>
      </c>
    </row>
    <row r="32698">
      <c r="A32698" s="48" t="s">
        <v>4596</v>
      </c>
      <c r="B32698" s="38">
        <v>2082.0</v>
      </c>
      <c r="C32698" s="38" t="s">
        <v>36968</v>
      </c>
      <c r="D32698" s="38" t="str">
        <f>IFERROR(__xludf.DUMMYFUNCTION("REGEXREPLACE(C32698,""-\d+(.*)|--\d+(.*)"","""")"),"BEUGNEUX")</f>
        <v>BEUGNEUX</v>
      </c>
      <c r="E32698" s="38" t="s">
        <v>191</v>
      </c>
      <c r="F32698" s="38" t="s">
        <v>113</v>
      </c>
      <c r="G32698" s="49" t="str">
        <f t="shared" si="1"/>
        <v>02210</v>
      </c>
      <c r="H32698" s="49" t="str">
        <f t="shared" si="2"/>
        <v>02082</v>
      </c>
    </row>
    <row r="32699">
      <c r="A32699" s="48" t="s">
        <v>14095</v>
      </c>
      <c r="B32699" s="38">
        <v>1135.0</v>
      </c>
      <c r="C32699" s="38" t="s">
        <v>36969</v>
      </c>
      <c r="D32699" s="38" t="str">
        <f>IFERROR(__xludf.DUMMYFUNCTION("REGEXREPLACE(C32699,""-\d+(.*)|--\d+(.*)"","""")"),"CROZET")</f>
        <v>CROZET</v>
      </c>
      <c r="E32699" s="38" t="s">
        <v>255</v>
      </c>
      <c r="F32699" s="38" t="s">
        <v>102</v>
      </c>
      <c r="G32699" s="49" t="str">
        <f t="shared" si="1"/>
        <v>01170</v>
      </c>
      <c r="H32699" s="49" t="str">
        <f t="shared" si="2"/>
        <v>01135</v>
      </c>
    </row>
    <row r="32700">
      <c r="A32700" s="48" t="s">
        <v>2549</v>
      </c>
      <c r="B32700" s="38">
        <v>55175.0</v>
      </c>
      <c r="C32700" s="38" t="s">
        <v>36970</v>
      </c>
      <c r="D32700" s="38" t="str">
        <f>IFERROR(__xludf.DUMMYFUNCTION("REGEXREPLACE(C32700,""-\d+(.*)|--\d+(.*)"","""")"),"ERIZE-LA-BRULEE")</f>
        <v>ERIZE-LA-BRULEE</v>
      </c>
      <c r="E32700" s="38" t="s">
        <v>322</v>
      </c>
      <c r="F32700" s="38" t="s">
        <v>195</v>
      </c>
      <c r="G32700" s="49" t="str">
        <f t="shared" si="1"/>
        <v>55260</v>
      </c>
      <c r="H32700" s="49">
        <f t="shared" si="2"/>
        <v>55175</v>
      </c>
    </row>
    <row r="32701">
      <c r="A32701" s="48" t="s">
        <v>1798</v>
      </c>
      <c r="B32701" s="38">
        <v>28046.0</v>
      </c>
      <c r="C32701" s="38" t="s">
        <v>36971</v>
      </c>
      <c r="D32701" s="38" t="str">
        <f>IFERROR(__xludf.DUMMYFUNCTION("REGEXREPLACE(C32701,""-\d+(.*)|--\d+(.*)"","""")"),"BOISSY-LES-PERCHE")</f>
        <v>BOISSY-LES-PERCHE</v>
      </c>
      <c r="E32701" s="38" t="s">
        <v>300</v>
      </c>
      <c r="F32701" s="38" t="s">
        <v>123</v>
      </c>
      <c r="G32701" s="49" t="str">
        <f t="shared" si="1"/>
        <v>28340</v>
      </c>
      <c r="H32701" s="49">
        <f t="shared" si="2"/>
        <v>28046</v>
      </c>
    </row>
    <row r="32702">
      <c r="A32702" s="48" t="s">
        <v>1398</v>
      </c>
      <c r="B32702" s="38">
        <v>45288.0</v>
      </c>
      <c r="C32702" s="38" t="s">
        <v>36972</v>
      </c>
      <c r="D32702" s="38" t="str">
        <f>IFERROR(__xludf.DUMMYFUNCTION("REGEXREPLACE(C32702,""-\d+(.*)|--\d+(.*)"","""")"),"SAINT-LOUP-DES-VIGNES")</f>
        <v>SAINT-LOUP-DES-VIGNES</v>
      </c>
      <c r="E32702" s="38" t="s">
        <v>122</v>
      </c>
      <c r="F32702" s="38" t="s">
        <v>123</v>
      </c>
      <c r="G32702" s="49" t="str">
        <f t="shared" si="1"/>
        <v>45340</v>
      </c>
      <c r="H32702" s="49">
        <f t="shared" si="2"/>
        <v>45288</v>
      </c>
    </row>
    <row r="32703">
      <c r="A32703" s="48" t="s">
        <v>7416</v>
      </c>
      <c r="B32703" s="38">
        <v>49128.0</v>
      </c>
      <c r="C32703" s="38" t="s">
        <v>36973</v>
      </c>
      <c r="D32703" s="38" t="str">
        <f>IFERROR(__xludf.DUMMYFUNCTION("REGEXREPLACE(C32703,""-\d+(.*)|--\d+(.*)"","""")"),"ECHEMIRE")</f>
        <v>ECHEMIRE</v>
      </c>
      <c r="E32703" s="38" t="s">
        <v>653</v>
      </c>
      <c r="F32703" s="38" t="s">
        <v>180</v>
      </c>
      <c r="G32703" s="49" t="str">
        <f t="shared" si="1"/>
        <v>49150</v>
      </c>
      <c r="H32703" s="49">
        <f t="shared" si="2"/>
        <v>49128</v>
      </c>
    </row>
    <row r="32704">
      <c r="A32704" s="48" t="s">
        <v>21364</v>
      </c>
      <c r="B32704" s="38">
        <v>62604.0</v>
      </c>
      <c r="C32704" s="38" t="s">
        <v>36974</v>
      </c>
      <c r="D32704" s="38" t="str">
        <f>IFERROR(__xludf.DUMMYFUNCTION("REGEXREPLACE(C32704,""-\d+(.*)|--\d+(.*)"","""")"),"NEUFCHATEL-HARDELOT")</f>
        <v>NEUFCHATEL-HARDELOT</v>
      </c>
      <c r="E32704" s="38" t="s">
        <v>109</v>
      </c>
      <c r="F32704" s="38" t="s">
        <v>86</v>
      </c>
      <c r="G32704" s="49" t="str">
        <f t="shared" si="1"/>
        <v>62152</v>
      </c>
      <c r="H32704" s="49">
        <f t="shared" si="2"/>
        <v>62604</v>
      </c>
    </row>
    <row r="32705">
      <c r="A32705" s="48" t="s">
        <v>232</v>
      </c>
      <c r="B32705" s="38">
        <v>52395.0</v>
      </c>
      <c r="C32705" s="38" t="s">
        <v>36975</v>
      </c>
      <c r="D32705" s="38" t="str">
        <f>IFERROR(__xludf.DUMMYFUNCTION("REGEXREPLACE(C32705,""-\d+(.*)|--\d+(.*)"","""")"),"POINSON-LES-GRANCEY")</f>
        <v>POINSON-LES-GRANCEY</v>
      </c>
      <c r="E32705" s="38" t="s">
        <v>234</v>
      </c>
      <c r="F32705" s="38" t="s">
        <v>130</v>
      </c>
      <c r="G32705" s="49" t="str">
        <f t="shared" si="1"/>
        <v>52160</v>
      </c>
      <c r="H32705" s="49">
        <f t="shared" si="2"/>
        <v>52395</v>
      </c>
    </row>
    <row r="32706">
      <c r="A32706" s="48" t="s">
        <v>736</v>
      </c>
      <c r="B32706" s="38">
        <v>57116.0</v>
      </c>
      <c r="C32706" s="38" t="s">
        <v>16917</v>
      </c>
      <c r="D32706" s="38" t="str">
        <f>IFERROR(__xludf.DUMMYFUNCTION("REGEXREPLACE(C32706,""-\d+(.*)|--\d+(.*)"","""")"),"BUCHY")</f>
        <v>BUCHY</v>
      </c>
      <c r="E32706" s="38" t="s">
        <v>303</v>
      </c>
      <c r="F32706" s="38" t="s">
        <v>195</v>
      </c>
      <c r="G32706" s="49" t="str">
        <f t="shared" si="1"/>
        <v>57420</v>
      </c>
      <c r="H32706" s="49">
        <f t="shared" si="2"/>
        <v>57116</v>
      </c>
    </row>
    <row r="32707">
      <c r="A32707" s="48" t="s">
        <v>1524</v>
      </c>
      <c r="B32707" s="38">
        <v>25125.0</v>
      </c>
      <c r="C32707" s="38" t="s">
        <v>26686</v>
      </c>
      <c r="D32707" s="38" t="str">
        <f>IFERROR(__xludf.DUMMYFUNCTION("REGEXREPLACE(C32707,""-\d+(.*)|--\d+(.*)"","""")"),"CHARMOILLE")</f>
        <v>CHARMOILLE</v>
      </c>
      <c r="E32707" s="38" t="s">
        <v>213</v>
      </c>
      <c r="F32707" s="38" t="s">
        <v>214</v>
      </c>
      <c r="G32707" s="49" t="str">
        <f t="shared" si="1"/>
        <v>25380</v>
      </c>
      <c r="H32707" s="49">
        <f t="shared" si="2"/>
        <v>25125</v>
      </c>
    </row>
    <row r="32708">
      <c r="A32708" s="48" t="s">
        <v>22709</v>
      </c>
      <c r="B32708" s="38">
        <v>33426.0</v>
      </c>
      <c r="C32708" s="38" t="s">
        <v>33390</v>
      </c>
      <c r="D32708" s="38" t="str">
        <f>IFERROR(__xludf.DUMMYFUNCTION("REGEXREPLACE(C32708,""-\d+(.*)|--\d+(.*)"","""")"),"SAINT-LAURENT-DES-COMBES")</f>
        <v>SAINT-LAURENT-DES-COMBES</v>
      </c>
      <c r="E32708" s="38" t="s">
        <v>462</v>
      </c>
      <c r="F32708" s="38" t="s">
        <v>252</v>
      </c>
      <c r="G32708" s="49" t="str">
        <f t="shared" si="1"/>
        <v>33330</v>
      </c>
      <c r="H32708" s="49">
        <f t="shared" si="2"/>
        <v>33426</v>
      </c>
    </row>
    <row r="32709">
      <c r="A32709" s="48" t="s">
        <v>9587</v>
      </c>
      <c r="B32709" s="38">
        <v>67360.0</v>
      </c>
      <c r="C32709" s="38" t="s">
        <v>36976</v>
      </c>
      <c r="D32709" s="38" t="str">
        <f>IFERROR(__xludf.DUMMYFUNCTION("REGEXREPLACE(C32709,""-\d+(.*)|--\d+(.*)"","""")"),"OHNENHEIM")</f>
        <v>OHNENHEIM</v>
      </c>
      <c r="E32709" s="38" t="s">
        <v>210</v>
      </c>
      <c r="F32709" s="38" t="s">
        <v>151</v>
      </c>
      <c r="G32709" s="49" t="str">
        <f t="shared" si="1"/>
        <v>67390</v>
      </c>
      <c r="H32709" s="49">
        <f t="shared" si="2"/>
        <v>67360</v>
      </c>
    </row>
    <row r="32710">
      <c r="A32710" s="48" t="s">
        <v>2839</v>
      </c>
      <c r="B32710" s="38">
        <v>60060.0</v>
      </c>
      <c r="C32710" s="38" t="s">
        <v>36977</v>
      </c>
      <c r="D32710" s="38" t="str">
        <f>IFERROR(__xludf.DUMMYFUNCTION("REGEXREPLACE(C32710,""-\d+(.*)|--\d+(.*)"","""")"),"BELLE-EGLISE")</f>
        <v>BELLE-EGLISE</v>
      </c>
      <c r="E32710" s="38" t="s">
        <v>112</v>
      </c>
      <c r="F32710" s="38" t="s">
        <v>113</v>
      </c>
      <c r="G32710" s="49" t="str">
        <f t="shared" si="1"/>
        <v>60540</v>
      </c>
      <c r="H32710" s="49">
        <f t="shared" si="2"/>
        <v>60060</v>
      </c>
    </row>
    <row r="32711">
      <c r="A32711" s="48" t="s">
        <v>5944</v>
      </c>
      <c r="B32711" s="38">
        <v>62218.0</v>
      </c>
      <c r="C32711" s="38" t="s">
        <v>36978</v>
      </c>
      <c r="D32711" s="38" t="str">
        <f>IFERROR(__xludf.DUMMYFUNCTION("REGEXREPLACE(C32711,""-\d+(.*)|--\d+(.*)"","""")"),"CAUCOURT")</f>
        <v>CAUCOURT</v>
      </c>
      <c r="E32711" s="38" t="s">
        <v>109</v>
      </c>
      <c r="F32711" s="38" t="s">
        <v>86</v>
      </c>
      <c r="G32711" s="49" t="str">
        <f t="shared" si="1"/>
        <v>62150</v>
      </c>
      <c r="H32711" s="49">
        <f t="shared" si="2"/>
        <v>62218</v>
      </c>
    </row>
    <row r="32712">
      <c r="A32712" s="48" t="s">
        <v>6736</v>
      </c>
      <c r="B32712" s="38">
        <v>31401.0</v>
      </c>
      <c r="C32712" s="38" t="s">
        <v>36979</v>
      </c>
      <c r="D32712" s="38" t="str">
        <f>IFERROR(__xludf.DUMMYFUNCTION("REGEXREPLACE(C32712,""-\d+(.*)|--\d+(.*)"","""")"),"NOUEILLES")</f>
        <v>NOUEILLES</v>
      </c>
      <c r="E32712" s="38" t="s">
        <v>93</v>
      </c>
      <c r="F32712" s="38" t="s">
        <v>94</v>
      </c>
      <c r="G32712" s="49" t="str">
        <f t="shared" si="1"/>
        <v>31450</v>
      </c>
      <c r="H32712" s="49">
        <f t="shared" si="2"/>
        <v>31401</v>
      </c>
    </row>
    <row r="32713">
      <c r="A32713" s="48" t="s">
        <v>36980</v>
      </c>
      <c r="B32713" s="38">
        <v>77468.0</v>
      </c>
      <c r="C32713" s="38" t="s">
        <v>17304</v>
      </c>
      <c r="D32713" s="38" t="str">
        <f>IFERROR(__xludf.DUMMYFUNCTION("REGEXREPLACE(C32713,""-\d+(.*)|--\d+(.*)"","""")"),"TORCY")</f>
        <v>TORCY</v>
      </c>
      <c r="E32713" s="38" t="s">
        <v>244</v>
      </c>
      <c r="F32713" s="38" t="s">
        <v>245</v>
      </c>
      <c r="G32713" s="49" t="str">
        <f t="shared" si="1"/>
        <v>77200</v>
      </c>
      <c r="H32713" s="49">
        <f t="shared" si="2"/>
        <v>77468</v>
      </c>
    </row>
    <row r="32714">
      <c r="A32714" s="48" t="s">
        <v>660</v>
      </c>
      <c r="B32714" s="38">
        <v>4210.0</v>
      </c>
      <c r="C32714" s="38" t="s">
        <v>36981</v>
      </c>
      <c r="D32714" s="38" t="str">
        <f>IFERROR(__xludf.DUMMYFUNCTION("REGEXREPLACE(C32714,""-\d+(.*)|--\d+(.*)"","""")"),"SOLEILHAS")</f>
        <v>SOLEILHAS</v>
      </c>
      <c r="E32714" s="38" t="s">
        <v>662</v>
      </c>
      <c r="F32714" s="38" t="s">
        <v>228</v>
      </c>
      <c r="G32714" s="49" t="str">
        <f t="shared" si="1"/>
        <v>04120</v>
      </c>
      <c r="H32714" s="49" t="str">
        <f t="shared" si="2"/>
        <v>04210</v>
      </c>
    </row>
    <row r="32715">
      <c r="A32715" s="48" t="s">
        <v>262</v>
      </c>
      <c r="B32715" s="38">
        <v>9079.0</v>
      </c>
      <c r="C32715" s="38" t="s">
        <v>36982</v>
      </c>
      <c r="D32715" s="38" t="str">
        <f>IFERROR(__xludf.DUMMYFUNCTION("REGEXREPLACE(C32715,""-\d+(.*)|--\d+(.*)"","""")"),"CARLA-BAYLE")</f>
        <v>CARLA-BAYLE</v>
      </c>
      <c r="E32715" s="38" t="s">
        <v>238</v>
      </c>
      <c r="F32715" s="38" t="s">
        <v>94</v>
      </c>
      <c r="G32715" s="49" t="str">
        <f t="shared" si="1"/>
        <v>09130</v>
      </c>
      <c r="H32715" s="49" t="str">
        <f t="shared" si="2"/>
        <v>09079</v>
      </c>
    </row>
    <row r="32716">
      <c r="A32716" s="48" t="s">
        <v>771</v>
      </c>
      <c r="B32716" s="38">
        <v>60340.0</v>
      </c>
      <c r="C32716" s="38" t="s">
        <v>36983</v>
      </c>
      <c r="D32716" s="38" t="str">
        <f>IFERROR(__xludf.DUMMYFUNCTION("REGEXREPLACE(C32716,""-\d+(.*)|--\d+(.*)"","""")"),"LAGNY")</f>
        <v>LAGNY</v>
      </c>
      <c r="E32716" s="38" t="s">
        <v>112</v>
      </c>
      <c r="F32716" s="38" t="s">
        <v>113</v>
      </c>
      <c r="G32716" s="49" t="str">
        <f t="shared" si="1"/>
        <v>60310</v>
      </c>
      <c r="H32716" s="49">
        <f t="shared" si="2"/>
        <v>60340</v>
      </c>
    </row>
    <row r="32717">
      <c r="A32717" s="48" t="s">
        <v>8883</v>
      </c>
      <c r="B32717" s="38">
        <v>39385.0</v>
      </c>
      <c r="C32717" s="38" t="s">
        <v>36984</v>
      </c>
      <c r="D32717" s="38" t="str">
        <f>IFERROR(__xludf.DUMMYFUNCTION("REGEXREPLACE(C32717,""-\d+(.*)|--\d+(.*)"","""")"),"NEUBLANS-ABERGEMENT")</f>
        <v>NEUBLANS-ABERGEMENT</v>
      </c>
      <c r="E32717" s="38" t="s">
        <v>400</v>
      </c>
      <c r="F32717" s="38" t="s">
        <v>214</v>
      </c>
      <c r="G32717" s="49" t="str">
        <f t="shared" si="1"/>
        <v>39120</v>
      </c>
      <c r="H32717" s="49">
        <f t="shared" si="2"/>
        <v>39385</v>
      </c>
    </row>
    <row r="32718">
      <c r="A32718" s="48" t="s">
        <v>9214</v>
      </c>
      <c r="B32718" s="38">
        <v>29098.0</v>
      </c>
      <c r="C32718" s="38" t="s">
        <v>36985</v>
      </c>
      <c r="D32718" s="38" t="str">
        <f>IFERROR(__xludf.DUMMYFUNCTION("REGEXREPLACE(C32718,""-\d+(.*)|--\d+(.*)"","""")"),"LAMPAUL-PLOUARZEL")</f>
        <v>LAMPAUL-PLOUARZEL</v>
      </c>
      <c r="E32718" s="38" t="s">
        <v>176</v>
      </c>
      <c r="F32718" s="38" t="s">
        <v>90</v>
      </c>
      <c r="G32718" s="49" t="str">
        <f t="shared" si="1"/>
        <v>29810</v>
      </c>
      <c r="H32718" s="49">
        <f t="shared" si="2"/>
        <v>29098</v>
      </c>
    </row>
    <row r="32719">
      <c r="A32719" s="48" t="s">
        <v>4437</v>
      </c>
      <c r="B32719" s="38">
        <v>90020.0</v>
      </c>
      <c r="C32719" s="38" t="s">
        <v>17240</v>
      </c>
      <c r="D32719" s="38" t="str">
        <f>IFERROR(__xludf.DUMMYFUNCTION("REGEXREPLACE(C32719,""-\d+(.*)|--\d+(.*)"","""")"),"BUC")</f>
        <v>BUC</v>
      </c>
      <c r="E32719" s="38" t="s">
        <v>1283</v>
      </c>
      <c r="F32719" s="38" t="s">
        <v>214</v>
      </c>
      <c r="G32719" s="49" t="str">
        <f t="shared" si="1"/>
        <v>90800</v>
      </c>
      <c r="H32719" s="49">
        <f t="shared" si="2"/>
        <v>90020</v>
      </c>
    </row>
    <row r="32720">
      <c r="A32720" s="48" t="s">
        <v>14133</v>
      </c>
      <c r="B32720" s="38">
        <v>45051.0</v>
      </c>
      <c r="C32720" s="38" t="s">
        <v>36986</v>
      </c>
      <c r="D32720" s="38" t="str">
        <f>IFERROR(__xludf.DUMMYFUNCTION("REGEXREPLACE(C32720,""-\d+(.*)|--\d+(.*)"","""")"),"BRAY-EN-VAL")</f>
        <v>BRAY-EN-VAL</v>
      </c>
      <c r="E32720" s="38" t="s">
        <v>122</v>
      </c>
      <c r="F32720" s="38" t="s">
        <v>123</v>
      </c>
      <c r="G32720" s="49" t="str">
        <f t="shared" si="1"/>
        <v>45460</v>
      </c>
      <c r="H32720" s="49">
        <f t="shared" si="2"/>
        <v>45051</v>
      </c>
    </row>
    <row r="32721">
      <c r="A32721" s="48" t="s">
        <v>981</v>
      </c>
      <c r="B32721" s="38">
        <v>24156.0</v>
      </c>
      <c r="C32721" s="38" t="s">
        <v>36987</v>
      </c>
      <c r="D32721" s="38" t="str">
        <f>IFERROR(__xludf.DUMMYFUNCTION("REGEXREPLACE(C32721,""-\d+(.*)|--\d+(.*)"","""")"),"LA DOUZE")</f>
        <v>LA DOUZE</v>
      </c>
      <c r="E32721" s="38" t="s">
        <v>261</v>
      </c>
      <c r="F32721" s="38" t="s">
        <v>252</v>
      </c>
      <c r="G32721" s="49" t="str">
        <f t="shared" si="1"/>
        <v>24330</v>
      </c>
      <c r="H32721" s="49">
        <f t="shared" si="2"/>
        <v>24156</v>
      </c>
    </row>
    <row r="32722">
      <c r="A32722" s="48" t="s">
        <v>3924</v>
      </c>
      <c r="B32722" s="38">
        <v>81032.0</v>
      </c>
      <c r="C32722" s="38" t="s">
        <v>36988</v>
      </c>
      <c r="D32722" s="38" t="str">
        <f>IFERROR(__xludf.DUMMYFUNCTION("REGEXREPLACE(C32722,""-\d+(.*)|--\d+(.*)"","""")"),"BLAN")</f>
        <v>BLAN</v>
      </c>
      <c r="E32722" s="38" t="s">
        <v>231</v>
      </c>
      <c r="F32722" s="38" t="s">
        <v>94</v>
      </c>
      <c r="G32722" s="49" t="str">
        <f t="shared" si="1"/>
        <v>81700</v>
      </c>
      <c r="H32722" s="49">
        <f t="shared" si="2"/>
        <v>81032</v>
      </c>
    </row>
    <row r="32723">
      <c r="A32723" s="48" t="s">
        <v>10008</v>
      </c>
      <c r="B32723" s="38">
        <v>36200.0</v>
      </c>
      <c r="C32723" s="38" t="s">
        <v>7456</v>
      </c>
      <c r="D32723" s="38" t="str">
        <f>IFERROR(__xludf.DUMMYFUNCTION("REGEXREPLACE(C32723,""-\d+(.*)|--\d+(.*)"","""")"),"SAINT-MARCEL")</f>
        <v>SAINT-MARCEL</v>
      </c>
      <c r="E32723" s="38" t="s">
        <v>258</v>
      </c>
      <c r="F32723" s="38" t="s">
        <v>123</v>
      </c>
      <c r="G32723" s="49" t="str">
        <f t="shared" si="1"/>
        <v>36200</v>
      </c>
      <c r="H32723" s="49">
        <f t="shared" si="2"/>
        <v>36200</v>
      </c>
    </row>
    <row r="32724">
      <c r="A32724" s="48" t="s">
        <v>1667</v>
      </c>
      <c r="B32724" s="38">
        <v>38543.0</v>
      </c>
      <c r="C32724" s="38" t="s">
        <v>36989</v>
      </c>
      <c r="D32724" s="38" t="str">
        <f>IFERROR(__xludf.DUMMYFUNCTION("REGEXREPLACE(C32724,""-\d+(.*)|--\d+(.*)"","""")"),"VEZERONCE-CURTIN")</f>
        <v>VEZERONCE-CURTIN</v>
      </c>
      <c r="E32724" s="38" t="s">
        <v>101</v>
      </c>
      <c r="F32724" s="38" t="s">
        <v>102</v>
      </c>
      <c r="G32724" s="49" t="str">
        <f t="shared" si="1"/>
        <v>38510</v>
      </c>
      <c r="H32724" s="49">
        <f t="shared" si="2"/>
        <v>38543</v>
      </c>
    </row>
    <row r="32725">
      <c r="A32725" s="48" t="s">
        <v>1796</v>
      </c>
      <c r="B32725" s="38">
        <v>31509.0</v>
      </c>
      <c r="C32725" s="38" t="s">
        <v>36990</v>
      </c>
      <c r="D32725" s="38" t="str">
        <f>IFERROR(__xludf.DUMMYFUNCTION("REGEXREPLACE(C32725,""-\d+(.*)|--\d+(.*)"","""")"),"SAINT-PE-D'ARDET")</f>
        <v>SAINT-PE-D'ARDET</v>
      </c>
      <c r="E32725" s="38" t="s">
        <v>93</v>
      </c>
      <c r="F32725" s="38" t="s">
        <v>94</v>
      </c>
      <c r="G32725" s="49" t="str">
        <f t="shared" si="1"/>
        <v>31510</v>
      </c>
      <c r="H32725" s="49">
        <f t="shared" si="2"/>
        <v>31509</v>
      </c>
    </row>
    <row r="32726">
      <c r="A32726" s="48" t="s">
        <v>1555</v>
      </c>
      <c r="B32726" s="38">
        <v>52327.0</v>
      </c>
      <c r="C32726" s="38" t="s">
        <v>36991</v>
      </c>
      <c r="D32726" s="38" t="str">
        <f>IFERROR(__xludf.DUMMYFUNCTION("REGEXREPLACE(C32726,""-\d+(.*)|--\d+(.*)"","""")"),"MOESLAINS")</f>
        <v>MOESLAINS</v>
      </c>
      <c r="E32726" s="38" t="s">
        <v>234</v>
      </c>
      <c r="F32726" s="38" t="s">
        <v>130</v>
      </c>
      <c r="G32726" s="49" t="str">
        <f t="shared" si="1"/>
        <v>52100</v>
      </c>
      <c r="H32726" s="49">
        <f t="shared" si="2"/>
        <v>52327</v>
      </c>
    </row>
    <row r="32727">
      <c r="A32727" s="48" t="s">
        <v>1060</v>
      </c>
      <c r="B32727" s="38">
        <v>57187.0</v>
      </c>
      <c r="C32727" s="38" t="s">
        <v>36992</v>
      </c>
      <c r="D32727" s="38" t="str">
        <f>IFERROR(__xludf.DUMMYFUNCTION("REGEXREPLACE(C32727,""-\d+(.*)|--\d+(.*)"","""")"),"EBLANGE")</f>
        <v>EBLANGE</v>
      </c>
      <c r="E32727" s="38" t="s">
        <v>303</v>
      </c>
      <c r="F32727" s="38" t="s">
        <v>195</v>
      </c>
      <c r="G32727" s="49" t="str">
        <f t="shared" si="1"/>
        <v>57220</v>
      </c>
      <c r="H32727" s="49">
        <f t="shared" si="2"/>
        <v>57187</v>
      </c>
    </row>
    <row r="32728">
      <c r="A32728" s="48" t="s">
        <v>717</v>
      </c>
      <c r="B32728" s="38">
        <v>31075.0</v>
      </c>
      <c r="C32728" s="38" t="s">
        <v>36993</v>
      </c>
      <c r="D32728" s="38" t="str">
        <f>IFERROR(__xludf.DUMMYFUNCTION("REGEXREPLACE(C32728,""-\d+(.*)|--\d+(.*)"","""")"),"BONREPOS-SUR-AUSSONNELLE")</f>
        <v>BONREPOS-SUR-AUSSONNELLE</v>
      </c>
      <c r="E32728" s="38" t="s">
        <v>93</v>
      </c>
      <c r="F32728" s="38" t="s">
        <v>94</v>
      </c>
      <c r="G32728" s="49" t="str">
        <f t="shared" si="1"/>
        <v>31470</v>
      </c>
      <c r="H32728" s="49">
        <f t="shared" si="2"/>
        <v>31075</v>
      </c>
    </row>
    <row r="32729">
      <c r="A32729" s="48" t="s">
        <v>32196</v>
      </c>
      <c r="B32729" s="38">
        <v>15111.0</v>
      </c>
      <c r="C32729" s="38" t="s">
        <v>36994</v>
      </c>
      <c r="D32729" s="38" t="str">
        <f>IFERROR(__xludf.DUMMYFUNCTION("REGEXREPLACE(C32729,""-\d+(.*)|--\d+(.*)"","""")"),"MADIC")</f>
        <v>MADIC</v>
      </c>
      <c r="E32729" s="38" t="s">
        <v>632</v>
      </c>
      <c r="F32729" s="38" t="s">
        <v>161</v>
      </c>
      <c r="G32729" s="49" t="str">
        <f t="shared" si="1"/>
        <v>15210</v>
      </c>
      <c r="H32729" s="49">
        <f t="shared" si="2"/>
        <v>15111</v>
      </c>
    </row>
    <row r="32730">
      <c r="A32730" s="48" t="s">
        <v>6298</v>
      </c>
      <c r="B32730" s="38">
        <v>26226.0</v>
      </c>
      <c r="C32730" s="38" t="s">
        <v>36995</v>
      </c>
      <c r="D32730" s="38" t="str">
        <f>IFERROR(__xludf.DUMMYFUNCTION("REGEXREPLACE(C32730,""-\d+(.*)|--\d+(.*)"","""")"),"LE PEGUE")</f>
        <v>LE PEGUE</v>
      </c>
      <c r="E32730" s="38" t="s">
        <v>126</v>
      </c>
      <c r="F32730" s="38" t="s">
        <v>102</v>
      </c>
      <c r="G32730" s="49" t="str">
        <f t="shared" si="1"/>
        <v>26770</v>
      </c>
      <c r="H32730" s="49">
        <f t="shared" si="2"/>
        <v>26226</v>
      </c>
    </row>
    <row r="32731">
      <c r="A32731" s="48" t="s">
        <v>5483</v>
      </c>
      <c r="B32731" s="38">
        <v>58166.0</v>
      </c>
      <c r="C32731" s="38" t="s">
        <v>36996</v>
      </c>
      <c r="D32731" s="38" t="str">
        <f>IFERROR(__xludf.DUMMYFUNCTION("REGEXREPLACE(C32731,""-\d+(.*)|--\d+(.*)"","""")"),"MHERE")</f>
        <v>MHERE</v>
      </c>
      <c r="E32731" s="38" t="s">
        <v>219</v>
      </c>
      <c r="F32731" s="38" t="s">
        <v>106</v>
      </c>
      <c r="G32731" s="49" t="str">
        <f t="shared" si="1"/>
        <v>58140</v>
      </c>
      <c r="H32731" s="49">
        <f t="shared" si="2"/>
        <v>58166</v>
      </c>
    </row>
    <row r="32732">
      <c r="A32732" s="48" t="s">
        <v>3256</v>
      </c>
      <c r="B32732" s="38">
        <v>36099.0</v>
      </c>
      <c r="C32732" s="38" t="s">
        <v>36997</v>
      </c>
      <c r="D32732" s="38" t="str">
        <f>IFERROR(__xludf.DUMMYFUNCTION("REGEXREPLACE(C32732,""-\d+(.*)|--\d+(.*)"","""")"),"LOURDOUEIX-SAINT-MICHEL")</f>
        <v>LOURDOUEIX-SAINT-MICHEL</v>
      </c>
      <c r="E32732" s="38" t="s">
        <v>258</v>
      </c>
      <c r="F32732" s="38" t="s">
        <v>123</v>
      </c>
      <c r="G32732" s="49" t="str">
        <f t="shared" si="1"/>
        <v>36140</v>
      </c>
      <c r="H32732" s="49">
        <f t="shared" si="2"/>
        <v>36099</v>
      </c>
    </row>
    <row r="32733">
      <c r="A32733" s="48" t="s">
        <v>4028</v>
      </c>
      <c r="B32733" s="38">
        <v>76178.0</v>
      </c>
      <c r="C32733" s="38" t="s">
        <v>36998</v>
      </c>
      <c r="D32733" s="38" t="str">
        <f>IFERROR(__xludf.DUMMYFUNCTION("REGEXREPLACE(C32733,""-\d+(.*)|--\d+(.*)"","""")"),"CLEON")</f>
        <v>CLEON</v>
      </c>
      <c r="E32733" s="38" t="s">
        <v>133</v>
      </c>
      <c r="F32733" s="38" t="s">
        <v>134</v>
      </c>
      <c r="G32733" s="49" t="str">
        <f t="shared" si="1"/>
        <v>76410</v>
      </c>
      <c r="H32733" s="49">
        <f t="shared" si="2"/>
        <v>76178</v>
      </c>
    </row>
    <row r="32734">
      <c r="A32734" s="48" t="s">
        <v>2389</v>
      </c>
      <c r="B32734" s="38">
        <v>64466.0</v>
      </c>
      <c r="C32734" s="38" t="s">
        <v>36999</v>
      </c>
      <c r="D32734" s="38" t="str">
        <f>IFERROR(__xludf.DUMMYFUNCTION("REGEXREPLACE(C32734,""-\d+(.*)|--\d+(.*)"","""")"),"RIVEHAUTE")</f>
        <v>RIVEHAUTE</v>
      </c>
      <c r="E32734" s="38" t="s">
        <v>268</v>
      </c>
      <c r="F32734" s="38" t="s">
        <v>252</v>
      </c>
      <c r="G32734" s="49" t="str">
        <f t="shared" si="1"/>
        <v>64190</v>
      </c>
      <c r="H32734" s="49">
        <f t="shared" si="2"/>
        <v>64466</v>
      </c>
    </row>
    <row r="32735">
      <c r="A32735" s="48" t="s">
        <v>555</v>
      </c>
      <c r="B32735" s="38">
        <v>65340.0</v>
      </c>
      <c r="C32735" s="38" t="s">
        <v>37000</v>
      </c>
      <c r="D32735" s="38" t="str">
        <f>IFERROR(__xludf.DUMMYFUNCTION("REGEXREPLACE(C32735,""-\d+(.*)|--\d+(.*)"","""")"),"ORLEIX")</f>
        <v>ORLEIX</v>
      </c>
      <c r="E32735" s="38" t="s">
        <v>200</v>
      </c>
      <c r="F32735" s="38" t="s">
        <v>94</v>
      </c>
      <c r="G32735" s="49" t="str">
        <f t="shared" si="1"/>
        <v>65800</v>
      </c>
      <c r="H32735" s="49">
        <f t="shared" si="2"/>
        <v>65340</v>
      </c>
    </row>
    <row r="32736">
      <c r="A32736" s="48" t="s">
        <v>4416</v>
      </c>
      <c r="B32736" s="38">
        <v>56171.0</v>
      </c>
      <c r="C32736" s="38" t="s">
        <v>37001</v>
      </c>
      <c r="D32736" s="38" t="str">
        <f>IFERROR(__xludf.DUMMYFUNCTION("REGEXREPLACE(C32736,""-\d+(.*)|--\d+(.*)"","""")"),"PLUHERLIN")</f>
        <v>PLUHERLIN</v>
      </c>
      <c r="E32736" s="38" t="s">
        <v>173</v>
      </c>
      <c r="F32736" s="38" t="s">
        <v>90</v>
      </c>
      <c r="G32736" s="49" t="str">
        <f t="shared" si="1"/>
        <v>56220</v>
      </c>
      <c r="H32736" s="49">
        <f t="shared" si="2"/>
        <v>56171</v>
      </c>
    </row>
    <row r="32737">
      <c r="A32737" s="48" t="s">
        <v>5726</v>
      </c>
      <c r="B32737" s="38">
        <v>86035.0</v>
      </c>
      <c r="C32737" s="38" t="s">
        <v>37002</v>
      </c>
      <c r="D32737" s="38" t="str">
        <f>IFERROR(__xludf.DUMMYFUNCTION("REGEXREPLACE(C32737,""-\d+(.*)|--\d+(.*)"","""")"),"BOURG-ARCHAMBAULT")</f>
        <v>BOURG-ARCHAMBAULT</v>
      </c>
      <c r="E32737" s="38" t="s">
        <v>529</v>
      </c>
      <c r="F32737" s="38" t="s">
        <v>338</v>
      </c>
      <c r="G32737" s="49" t="str">
        <f t="shared" si="1"/>
        <v>86390</v>
      </c>
      <c r="H32737" s="49">
        <f t="shared" si="2"/>
        <v>86035</v>
      </c>
    </row>
    <row r="32738">
      <c r="A32738" s="48" t="s">
        <v>14628</v>
      </c>
      <c r="B32738" s="38">
        <v>76234.0</v>
      </c>
      <c r="C32738" s="38" t="s">
        <v>29493</v>
      </c>
      <c r="D32738" s="38" t="str">
        <f>IFERROR(__xludf.DUMMYFUNCTION("REGEXREPLACE(C32738,""-\d+(.*)|--\d+(.*)"","""")"),"EMANVILLE")</f>
        <v>EMANVILLE</v>
      </c>
      <c r="E32738" s="38" t="s">
        <v>133</v>
      </c>
      <c r="F32738" s="38" t="s">
        <v>134</v>
      </c>
      <c r="G32738" s="49" t="str">
        <f t="shared" si="1"/>
        <v>76570</v>
      </c>
      <c r="H32738" s="49">
        <f t="shared" si="2"/>
        <v>76234</v>
      </c>
    </row>
    <row r="32739">
      <c r="A32739" s="48" t="s">
        <v>748</v>
      </c>
      <c r="B32739" s="38">
        <v>60147.0</v>
      </c>
      <c r="C32739" s="38" t="s">
        <v>37003</v>
      </c>
      <c r="D32739" s="38" t="str">
        <f>IFERROR(__xludf.DUMMYFUNCTION("REGEXREPLACE(C32739,""-\d+(.*)|--\d+(.*)"","""")"),"CHEVINCOURT")</f>
        <v>CHEVINCOURT</v>
      </c>
      <c r="E32739" s="38" t="s">
        <v>112</v>
      </c>
      <c r="F32739" s="38" t="s">
        <v>113</v>
      </c>
      <c r="G32739" s="49" t="str">
        <f t="shared" si="1"/>
        <v>60150</v>
      </c>
      <c r="H32739" s="49">
        <f t="shared" si="2"/>
        <v>60147</v>
      </c>
    </row>
    <row r="32740">
      <c r="A32740" s="48" t="s">
        <v>18911</v>
      </c>
      <c r="B32740" s="38">
        <v>14662.0</v>
      </c>
      <c r="C32740" s="38" t="s">
        <v>37004</v>
      </c>
      <c r="D32740" s="38" t="str">
        <f>IFERROR(__xludf.DUMMYFUNCTION("REGEXREPLACE(C32740,""-\d+(.*)|--\d+(.*)"","""")"),"SAINT-VIGOR-DES-MEZERETS")</f>
        <v>SAINT-VIGOR-DES-MEZERETS</v>
      </c>
      <c r="E32740" s="38" t="s">
        <v>137</v>
      </c>
      <c r="F32740" s="38" t="s">
        <v>138</v>
      </c>
      <c r="G32740" s="49" t="str">
        <f t="shared" si="1"/>
        <v>14770</v>
      </c>
      <c r="H32740" s="49">
        <f t="shared" si="2"/>
        <v>14662</v>
      </c>
    </row>
    <row r="32741">
      <c r="A32741" s="48" t="s">
        <v>2851</v>
      </c>
      <c r="B32741" s="38">
        <v>41044.0</v>
      </c>
      <c r="C32741" s="38" t="s">
        <v>37005</v>
      </c>
      <c r="D32741" s="38" t="str">
        <f>IFERROR(__xludf.DUMMYFUNCTION("REGEXREPLACE(C32741,""-\d+(.*)|--\d+(.*)"","""")"),"CHATRES-SUR-CHER")</f>
        <v>CHATRES-SUR-CHER</v>
      </c>
      <c r="E32741" s="38" t="s">
        <v>188</v>
      </c>
      <c r="F32741" s="38" t="s">
        <v>123</v>
      </c>
      <c r="G32741" s="49" t="str">
        <f t="shared" si="1"/>
        <v>41320</v>
      </c>
      <c r="H32741" s="49">
        <f t="shared" si="2"/>
        <v>41044</v>
      </c>
    </row>
    <row r="32742">
      <c r="A32742" s="48" t="s">
        <v>15934</v>
      </c>
      <c r="B32742" s="38">
        <v>5145.0</v>
      </c>
      <c r="C32742" s="38" t="s">
        <v>37006</v>
      </c>
      <c r="D32742" s="38" t="str">
        <f>IFERROR(__xludf.DUMMYFUNCTION("REGEXREPLACE(C32742,""-\d+(.*)|--\d+(.*)"","""")"),"SAINT-JEAN-SAINT-NICOLAS")</f>
        <v>SAINT-JEAN-SAINT-NICOLAS</v>
      </c>
      <c r="E32742" s="38" t="s">
        <v>706</v>
      </c>
      <c r="F32742" s="38" t="s">
        <v>228</v>
      </c>
      <c r="G32742" s="49" t="str">
        <f t="shared" si="1"/>
        <v>05260</v>
      </c>
      <c r="H32742" s="49" t="str">
        <f t="shared" si="2"/>
        <v>05145</v>
      </c>
    </row>
    <row r="32743">
      <c r="A32743" s="48" t="s">
        <v>1276</v>
      </c>
      <c r="B32743" s="38">
        <v>64552.0</v>
      </c>
      <c r="C32743" s="38" t="s">
        <v>37007</v>
      </c>
      <c r="D32743" s="38" t="str">
        <f>IFERROR(__xludf.DUMMYFUNCTION("REGEXREPLACE(C32743,""-\d+(.*)|--\d+(.*)"","""")"),"VIALER")</f>
        <v>VIALER</v>
      </c>
      <c r="E32743" s="38" t="s">
        <v>268</v>
      </c>
      <c r="F32743" s="38" t="s">
        <v>252</v>
      </c>
      <c r="G32743" s="49" t="str">
        <f t="shared" si="1"/>
        <v>64330</v>
      </c>
      <c r="H32743" s="49">
        <f t="shared" si="2"/>
        <v>64552</v>
      </c>
    </row>
    <row r="32744">
      <c r="A32744" s="48" t="s">
        <v>167</v>
      </c>
      <c r="B32744" s="38">
        <v>34041.0</v>
      </c>
      <c r="C32744" s="38" t="s">
        <v>22636</v>
      </c>
      <c r="D32744" s="38" t="str">
        <f>IFERROR(__xludf.DUMMYFUNCTION("REGEXREPLACE(C32744,""-\d+(.*)|--\d+(.*)"","""")"),"BRIGNAC")</f>
        <v>BRIGNAC</v>
      </c>
      <c r="E32744" s="38" t="s">
        <v>118</v>
      </c>
      <c r="F32744" s="38" t="s">
        <v>119</v>
      </c>
      <c r="G32744" s="49" t="str">
        <f t="shared" si="1"/>
        <v>34800</v>
      </c>
      <c r="H32744" s="49">
        <f t="shared" si="2"/>
        <v>34041</v>
      </c>
    </row>
    <row r="32745">
      <c r="A32745" s="48" t="s">
        <v>4434</v>
      </c>
      <c r="B32745" s="38">
        <v>31028.0</v>
      </c>
      <c r="C32745" s="38" t="s">
        <v>37008</v>
      </c>
      <c r="D32745" s="38" t="str">
        <f>IFERROR(__xludf.DUMMYFUNCTION("REGEXREPLACE(C32745,""-\d+(.*)|--\d+(.*)"","""")"),"AURIGNAC")</f>
        <v>AURIGNAC</v>
      </c>
      <c r="E32745" s="38" t="s">
        <v>93</v>
      </c>
      <c r="F32745" s="38" t="s">
        <v>94</v>
      </c>
      <c r="G32745" s="49" t="str">
        <f t="shared" si="1"/>
        <v>31420</v>
      </c>
      <c r="H32745" s="49">
        <f t="shared" si="2"/>
        <v>31028</v>
      </c>
    </row>
    <row r="32746">
      <c r="A32746" s="48" t="s">
        <v>2493</v>
      </c>
      <c r="B32746" s="38">
        <v>25532.0</v>
      </c>
      <c r="C32746" s="38" t="s">
        <v>37009</v>
      </c>
      <c r="D32746" s="38" t="str">
        <f>IFERROR(__xludf.DUMMYFUNCTION("REGEXREPLACE(C32746,""-\d+(.*)|--\d+(.*)"","""")"),"SAONE")</f>
        <v>SAONE</v>
      </c>
      <c r="E32746" s="38" t="s">
        <v>213</v>
      </c>
      <c r="F32746" s="38" t="s">
        <v>214</v>
      </c>
      <c r="G32746" s="49" t="str">
        <f t="shared" si="1"/>
        <v>25660</v>
      </c>
      <c r="H32746" s="49">
        <f t="shared" si="2"/>
        <v>25532</v>
      </c>
    </row>
    <row r="32747">
      <c r="A32747" s="48" t="s">
        <v>220</v>
      </c>
      <c r="B32747" s="38">
        <v>67144.0</v>
      </c>
      <c r="C32747" s="38" t="s">
        <v>37010</v>
      </c>
      <c r="D32747" s="38" t="str">
        <f>IFERROR(__xludf.DUMMYFUNCTION("REGEXREPLACE(C32747,""-\d+(.*)|--\d+(.*)"","""")"),"FOUDAY")</f>
        <v>FOUDAY</v>
      </c>
      <c r="E32747" s="38" t="s">
        <v>210</v>
      </c>
      <c r="F32747" s="38" t="s">
        <v>151</v>
      </c>
      <c r="G32747" s="49" t="str">
        <f t="shared" si="1"/>
        <v>67130</v>
      </c>
      <c r="H32747" s="49">
        <f t="shared" si="2"/>
        <v>67144</v>
      </c>
    </row>
    <row r="32748">
      <c r="A32748" s="48" t="s">
        <v>23231</v>
      </c>
      <c r="B32748" s="38">
        <v>63191.0</v>
      </c>
      <c r="C32748" s="38" t="s">
        <v>35624</v>
      </c>
      <c r="D32748" s="38" t="str">
        <f>IFERROR(__xludf.DUMMYFUNCTION("REGEXREPLACE(C32748,""-\d+(.*)|--\d+(.*)"","""")"),"LASTIC")</f>
        <v>LASTIC</v>
      </c>
      <c r="E32748" s="38" t="s">
        <v>353</v>
      </c>
      <c r="F32748" s="38" t="s">
        <v>161</v>
      </c>
      <c r="G32748" s="49" t="str">
        <f t="shared" si="1"/>
        <v>63760</v>
      </c>
      <c r="H32748" s="49">
        <f t="shared" si="2"/>
        <v>63191</v>
      </c>
    </row>
    <row r="32749">
      <c r="A32749" s="48" t="s">
        <v>3337</v>
      </c>
      <c r="B32749" s="38">
        <v>34125.0</v>
      </c>
      <c r="C32749" s="38" t="s">
        <v>37011</v>
      </c>
      <c r="D32749" s="38" t="str">
        <f>IFERROR(__xludf.DUMMYFUNCTION("REGEXREPLACE(C32749,""-\d+(.*)|--\d+(.*)"","""")"),"LAGAMAS")</f>
        <v>LAGAMAS</v>
      </c>
      <c r="E32749" s="38" t="s">
        <v>118</v>
      </c>
      <c r="F32749" s="38" t="s">
        <v>119</v>
      </c>
      <c r="G32749" s="49" t="str">
        <f t="shared" si="1"/>
        <v>34150</v>
      </c>
      <c r="H32749" s="49">
        <f t="shared" si="2"/>
        <v>34125</v>
      </c>
    </row>
    <row r="32750">
      <c r="A32750" s="48" t="s">
        <v>5086</v>
      </c>
      <c r="B32750" s="38">
        <v>7260.0</v>
      </c>
      <c r="C32750" s="38" t="s">
        <v>37012</v>
      </c>
      <c r="D32750" s="38" t="str">
        <f>IFERROR(__xludf.DUMMYFUNCTION("REGEXREPLACE(C32750,""-\d+(.*)|--\d+(.*)"","""")"),"SAINT-LAGER-BRESSAC")</f>
        <v>SAINT-LAGER-BRESSAC</v>
      </c>
      <c r="E32750" s="38" t="s">
        <v>144</v>
      </c>
      <c r="F32750" s="38" t="s">
        <v>102</v>
      </c>
      <c r="G32750" s="49" t="str">
        <f t="shared" si="1"/>
        <v>07210</v>
      </c>
      <c r="H32750" s="49" t="str">
        <f t="shared" si="2"/>
        <v>07260</v>
      </c>
    </row>
    <row r="32751">
      <c r="A32751" s="48" t="s">
        <v>1036</v>
      </c>
      <c r="B32751" s="38">
        <v>57440.0</v>
      </c>
      <c r="C32751" s="38" t="s">
        <v>37013</v>
      </c>
      <c r="D32751" s="38" t="str">
        <f>IFERROR(__xludf.DUMMYFUNCTION("REGEXREPLACE(C32751,""-\d+(.*)|--\d+(.*)"","""")"),"MANHOUE")</f>
        <v>MANHOUE</v>
      </c>
      <c r="E32751" s="38" t="s">
        <v>303</v>
      </c>
      <c r="F32751" s="38" t="s">
        <v>195</v>
      </c>
      <c r="G32751" s="49" t="str">
        <f t="shared" si="1"/>
        <v>57590</v>
      </c>
      <c r="H32751" s="49">
        <f t="shared" si="2"/>
        <v>57440</v>
      </c>
    </row>
    <row r="32752">
      <c r="A32752" s="48" t="s">
        <v>2710</v>
      </c>
      <c r="B32752" s="38">
        <v>68169.0</v>
      </c>
      <c r="C32752" s="38" t="s">
        <v>37014</v>
      </c>
      <c r="D32752" s="38" t="str">
        <f>IFERROR(__xludf.DUMMYFUNCTION("REGEXREPLACE(C32752,""-\d+(.*)|--\d+(.*)"","""")"),"KOESTLACH")</f>
        <v>KOESTLACH</v>
      </c>
      <c r="E32752" s="38" t="s">
        <v>150</v>
      </c>
      <c r="F32752" s="38" t="s">
        <v>151</v>
      </c>
      <c r="G32752" s="49" t="str">
        <f t="shared" si="1"/>
        <v>68480</v>
      </c>
      <c r="H32752" s="49">
        <f t="shared" si="2"/>
        <v>68169</v>
      </c>
    </row>
    <row r="32753">
      <c r="A32753" s="48" t="s">
        <v>1137</v>
      </c>
      <c r="B32753" s="38">
        <v>60576.0</v>
      </c>
      <c r="C32753" s="38" t="s">
        <v>37015</v>
      </c>
      <c r="D32753" s="38" t="str">
        <f>IFERROR(__xludf.DUMMYFUNCTION("REGEXREPLACE(C32753,""-\d+(.*)|--\d+(.*)"","""")"),"SAINT-GERMAIN-LA-POTERIE")</f>
        <v>SAINT-GERMAIN-LA-POTERIE</v>
      </c>
      <c r="E32753" s="38" t="s">
        <v>112</v>
      </c>
      <c r="F32753" s="38" t="s">
        <v>113</v>
      </c>
      <c r="G32753" s="49" t="str">
        <f t="shared" si="1"/>
        <v>60650</v>
      </c>
      <c r="H32753" s="49">
        <f t="shared" si="2"/>
        <v>60576</v>
      </c>
    </row>
    <row r="32754">
      <c r="A32754" s="48" t="s">
        <v>3305</v>
      </c>
      <c r="B32754" s="38">
        <v>24488.0</v>
      </c>
      <c r="C32754" s="38" t="s">
        <v>37016</v>
      </c>
      <c r="D32754" s="38" t="str">
        <f>IFERROR(__xludf.DUMMYFUNCTION("REGEXREPLACE(C32754,""-\d+(.*)|--\d+(.*)"","""")"),"SAINT-POMPONT")</f>
        <v>SAINT-POMPONT</v>
      </c>
      <c r="E32754" s="38" t="s">
        <v>261</v>
      </c>
      <c r="F32754" s="38" t="s">
        <v>252</v>
      </c>
      <c r="G32754" s="49" t="str">
        <f t="shared" si="1"/>
        <v>24170</v>
      </c>
      <c r="H32754" s="49">
        <f t="shared" si="2"/>
        <v>24488</v>
      </c>
    </row>
    <row r="32755">
      <c r="A32755" s="48" t="s">
        <v>8105</v>
      </c>
      <c r="B32755" s="38">
        <v>25214.0</v>
      </c>
      <c r="C32755" s="38" t="s">
        <v>37017</v>
      </c>
      <c r="D32755" s="38" t="str">
        <f>IFERROR(__xludf.DUMMYFUNCTION("REGEXREPLACE(C32755,""-\d+(.*)|--\d+(.*)"","""")"),"ECOT")</f>
        <v>ECOT</v>
      </c>
      <c r="E32755" s="38" t="s">
        <v>213</v>
      </c>
      <c r="F32755" s="38" t="s">
        <v>214</v>
      </c>
      <c r="G32755" s="49" t="str">
        <f t="shared" si="1"/>
        <v>25150</v>
      </c>
      <c r="H32755" s="49">
        <f t="shared" si="2"/>
        <v>25214</v>
      </c>
    </row>
    <row r="32756">
      <c r="A32756" s="48" t="s">
        <v>2886</v>
      </c>
      <c r="B32756" s="38">
        <v>89162.0</v>
      </c>
      <c r="C32756" s="38" t="s">
        <v>31172</v>
      </c>
      <c r="D32756" s="38" t="str">
        <f>IFERROR(__xludf.DUMMYFUNCTION("REGEXREPLACE(C32756,""-\d+(.*)|--\d+(.*)"","""")"),"EVRY")</f>
        <v>EVRY</v>
      </c>
      <c r="E32756" s="38" t="s">
        <v>275</v>
      </c>
      <c r="F32756" s="38" t="s">
        <v>106</v>
      </c>
      <c r="G32756" s="49" t="str">
        <f t="shared" si="1"/>
        <v>89140</v>
      </c>
      <c r="H32756" s="49">
        <f t="shared" si="2"/>
        <v>89162</v>
      </c>
    </row>
    <row r="32757">
      <c r="A32757" s="48" t="s">
        <v>1957</v>
      </c>
      <c r="B32757" s="38">
        <v>12279.0</v>
      </c>
      <c r="C32757" s="38" t="s">
        <v>37018</v>
      </c>
      <c r="D32757" s="38" t="str">
        <f>IFERROR(__xludf.DUMMYFUNCTION("REGEXREPLACE(C32757,""-\d+(.*)|--\d+(.*)"","""")"),"LA TERRISSE")</f>
        <v>LA TERRISSE</v>
      </c>
      <c r="E32757" s="38" t="s">
        <v>465</v>
      </c>
      <c r="F32757" s="38" t="s">
        <v>94</v>
      </c>
      <c r="G32757" s="49" t="str">
        <f t="shared" si="1"/>
        <v>12210</v>
      </c>
      <c r="H32757" s="49">
        <f t="shared" si="2"/>
        <v>12279</v>
      </c>
    </row>
    <row r="32758">
      <c r="A32758" s="48" t="s">
        <v>4259</v>
      </c>
      <c r="B32758" s="38">
        <v>32203.0</v>
      </c>
      <c r="C32758" s="38" t="s">
        <v>37019</v>
      </c>
      <c r="D32758" s="38" t="str">
        <f>IFERROR(__xludf.DUMMYFUNCTION("REGEXREPLACE(C32758,""-\d+(.*)|--\d+(.*)"","""")"),"LAURAET")</f>
        <v>LAURAET</v>
      </c>
      <c r="E32758" s="38" t="s">
        <v>440</v>
      </c>
      <c r="F32758" s="38" t="s">
        <v>94</v>
      </c>
      <c r="G32758" s="49" t="str">
        <f t="shared" si="1"/>
        <v>32330</v>
      </c>
      <c r="H32758" s="49">
        <f t="shared" si="2"/>
        <v>32203</v>
      </c>
    </row>
    <row r="32759">
      <c r="A32759" s="48" t="s">
        <v>6191</v>
      </c>
      <c r="B32759" s="38">
        <v>50088.0</v>
      </c>
      <c r="C32759" s="38" t="s">
        <v>37020</v>
      </c>
      <c r="D32759" s="38" t="str">
        <f>IFERROR(__xludf.DUMMYFUNCTION("REGEXREPLACE(C32759,""-\d+(.*)|--\d+(.*)"","""")"),"BROUAINS")</f>
        <v>BROUAINS</v>
      </c>
      <c r="E32759" s="38" t="s">
        <v>157</v>
      </c>
      <c r="F32759" s="38" t="s">
        <v>138</v>
      </c>
      <c r="G32759" s="49" t="str">
        <f t="shared" si="1"/>
        <v>50150</v>
      </c>
      <c r="H32759" s="49">
        <f t="shared" si="2"/>
        <v>50088</v>
      </c>
    </row>
    <row r="32760">
      <c r="A32760" s="48" t="s">
        <v>9881</v>
      </c>
      <c r="B32760" s="38">
        <v>73139.0</v>
      </c>
      <c r="C32760" s="38" t="s">
        <v>37021</v>
      </c>
      <c r="D32760" s="38" t="str">
        <f>IFERROR(__xludf.DUMMYFUNCTION("REGEXREPLACE(C32760,""-\d+(.*)|--\d+(.*)"","""")"),"JARSY")</f>
        <v>JARSY</v>
      </c>
      <c r="E32760" s="38" t="s">
        <v>306</v>
      </c>
      <c r="F32760" s="38" t="s">
        <v>102</v>
      </c>
      <c r="G32760" s="49" t="str">
        <f t="shared" si="1"/>
        <v>73630</v>
      </c>
      <c r="H32760" s="49">
        <f t="shared" si="2"/>
        <v>73139</v>
      </c>
    </row>
    <row r="32761">
      <c r="A32761" s="48" t="s">
        <v>1742</v>
      </c>
      <c r="B32761" s="38">
        <v>21692.0</v>
      </c>
      <c r="C32761" s="38" t="s">
        <v>37022</v>
      </c>
      <c r="D32761" s="38" t="str">
        <f>IFERROR(__xludf.DUMMYFUNCTION("REGEXREPLACE(C32761,""-\d+(.*)|--\d+(.*)"","""")"),"VILLECOMTE")</f>
        <v>VILLECOMTE</v>
      </c>
      <c r="E32761" s="38" t="s">
        <v>105</v>
      </c>
      <c r="F32761" s="38" t="s">
        <v>106</v>
      </c>
      <c r="G32761" s="49" t="str">
        <f t="shared" si="1"/>
        <v>21120</v>
      </c>
      <c r="H32761" s="49">
        <f t="shared" si="2"/>
        <v>21692</v>
      </c>
    </row>
    <row r="32762">
      <c r="A32762" s="48" t="s">
        <v>3506</v>
      </c>
      <c r="B32762" s="38">
        <v>16075.0</v>
      </c>
      <c r="C32762" s="38" t="s">
        <v>37023</v>
      </c>
      <c r="D32762" s="38" t="str">
        <f>IFERROR(__xludf.DUMMYFUNCTION("REGEXREPLACE(C32762,""-\d+(.*)|--\d+(.*)"","""")"),"CHAMPAGNE-VIGNY")</f>
        <v>CHAMPAGNE-VIGNY</v>
      </c>
      <c r="E32762" s="38" t="s">
        <v>429</v>
      </c>
      <c r="F32762" s="38" t="s">
        <v>338</v>
      </c>
      <c r="G32762" s="49" t="str">
        <f t="shared" si="1"/>
        <v>16250</v>
      </c>
      <c r="H32762" s="49">
        <f t="shared" si="2"/>
        <v>16075</v>
      </c>
    </row>
    <row r="32763">
      <c r="A32763" s="48" t="s">
        <v>11712</v>
      </c>
      <c r="B32763" s="38">
        <v>58312.0</v>
      </c>
      <c r="C32763" s="38" t="s">
        <v>37024</v>
      </c>
      <c r="D32763" s="38" t="str">
        <f>IFERROR(__xludf.DUMMYFUNCTION("REGEXREPLACE(C32763,""-\d+(.*)|--\d+(.*)"","""")"),"VILLIERS-SUR-YONNE")</f>
        <v>VILLIERS-SUR-YONNE</v>
      </c>
      <c r="E32763" s="38" t="s">
        <v>219</v>
      </c>
      <c r="F32763" s="38" t="s">
        <v>106</v>
      </c>
      <c r="G32763" s="49" t="str">
        <f t="shared" si="1"/>
        <v>58500</v>
      </c>
      <c r="H32763" s="49">
        <f t="shared" si="2"/>
        <v>58312</v>
      </c>
    </row>
    <row r="32764">
      <c r="A32764" s="48" t="s">
        <v>37025</v>
      </c>
      <c r="B32764" s="38" t="s">
        <v>37026</v>
      </c>
      <c r="C32764" s="38" t="s">
        <v>37027</v>
      </c>
      <c r="D32764" s="38" t="str">
        <f>IFERROR(__xludf.DUMMYFUNCTION("REGEXREPLACE(C32764,""-\d+(.*)|--\d+(.*)"","""")"),"MURACCIOLE")</f>
        <v>MURACCIOLE</v>
      </c>
      <c r="E32764" s="38" t="s">
        <v>743</v>
      </c>
      <c r="F32764" s="38" t="s">
        <v>607</v>
      </c>
      <c r="G32764" s="49" t="str">
        <f t="shared" si="1"/>
        <v>20219</v>
      </c>
      <c r="H32764" s="49" t="str">
        <f t="shared" si="2"/>
        <v>2B171</v>
      </c>
    </row>
    <row r="32765">
      <c r="A32765" s="48" t="s">
        <v>2882</v>
      </c>
      <c r="B32765" s="38">
        <v>76724.0</v>
      </c>
      <c r="C32765" s="38" t="s">
        <v>37028</v>
      </c>
      <c r="D32765" s="38" t="str">
        <f>IFERROR(__xludf.DUMMYFUNCTION("REGEXREPLACE(C32765,""-\d+(.*)|--\d+(.*)"","""")"),"VATIERVILLE")</f>
        <v>VATIERVILLE</v>
      </c>
      <c r="E32765" s="38" t="s">
        <v>133</v>
      </c>
      <c r="F32765" s="38" t="s">
        <v>134</v>
      </c>
      <c r="G32765" s="49" t="str">
        <f t="shared" si="1"/>
        <v>76270</v>
      </c>
      <c r="H32765" s="49">
        <f t="shared" si="2"/>
        <v>76724</v>
      </c>
    </row>
    <row r="32766">
      <c r="A32766" s="48" t="s">
        <v>7807</v>
      </c>
      <c r="B32766" s="38">
        <v>57665.0</v>
      </c>
      <c r="C32766" s="38" t="s">
        <v>37029</v>
      </c>
      <c r="D32766" s="38" t="str">
        <f>IFERROR(__xludf.DUMMYFUNCTION("REGEXREPLACE(C32766,""-\d+(.*)|--\d+(.*)"","""")"),"TENTELING")</f>
        <v>TENTELING</v>
      </c>
      <c r="E32766" s="38" t="s">
        <v>303</v>
      </c>
      <c r="F32766" s="38" t="s">
        <v>195</v>
      </c>
      <c r="G32766" s="49" t="str">
        <f t="shared" si="1"/>
        <v>57980</v>
      </c>
      <c r="H32766" s="49">
        <f t="shared" si="2"/>
        <v>57665</v>
      </c>
    </row>
    <row r="32767">
      <c r="A32767" s="48" t="s">
        <v>7752</v>
      </c>
      <c r="B32767" s="38">
        <v>69184.0</v>
      </c>
      <c r="C32767" s="38" t="s">
        <v>32369</v>
      </c>
      <c r="D32767" s="38" t="str">
        <f>IFERROR(__xludf.DUMMYFUNCTION("REGEXREPLACE(C32767,""-\d+(.*)|--\d+(.*)"","""")"),"SAINTE-CATHERINE")</f>
        <v>SAINTE-CATHERINE</v>
      </c>
      <c r="E32767" s="38" t="s">
        <v>350</v>
      </c>
      <c r="F32767" s="38" t="s">
        <v>102</v>
      </c>
      <c r="G32767" s="49" t="str">
        <f t="shared" si="1"/>
        <v>69440</v>
      </c>
      <c r="H32767" s="49">
        <f t="shared" si="2"/>
        <v>69184</v>
      </c>
    </row>
    <row r="32768">
      <c r="A32768" s="48" t="s">
        <v>14727</v>
      </c>
      <c r="B32768" s="38">
        <v>87015.0</v>
      </c>
      <c r="C32768" s="38" t="s">
        <v>37030</v>
      </c>
      <c r="D32768" s="38" t="str">
        <f>IFERROR(__xludf.DUMMYFUNCTION("REGEXREPLACE(C32768,""-\d+(.*)|--\d+(.*)"","""")"),"BEYNAC")</f>
        <v>BEYNAC</v>
      </c>
      <c r="E32768" s="38" t="s">
        <v>897</v>
      </c>
      <c r="F32768" s="38" t="s">
        <v>98</v>
      </c>
      <c r="G32768" s="49" t="str">
        <f t="shared" si="1"/>
        <v>87700</v>
      </c>
      <c r="H32768" s="49">
        <f t="shared" si="2"/>
        <v>87015</v>
      </c>
    </row>
    <row r="32769">
      <c r="A32769" s="48" t="s">
        <v>2824</v>
      </c>
      <c r="B32769" s="38">
        <v>25106.0</v>
      </c>
      <c r="C32769" s="38" t="s">
        <v>37031</v>
      </c>
      <c r="D32769" s="38" t="str">
        <f>IFERROR(__xludf.DUMMYFUNCTION("REGEXREPLACE(C32769,""-\d+(.*)|--\d+(.*)"","""")"),"CADEMENE")</f>
        <v>CADEMENE</v>
      </c>
      <c r="E32769" s="38" t="s">
        <v>213</v>
      </c>
      <c r="F32769" s="38" t="s">
        <v>214</v>
      </c>
      <c r="G32769" s="49" t="str">
        <f t="shared" si="1"/>
        <v>25290</v>
      </c>
      <c r="H32769" s="49">
        <f t="shared" si="2"/>
        <v>25106</v>
      </c>
    </row>
    <row r="32770">
      <c r="A32770" s="48" t="s">
        <v>809</v>
      </c>
      <c r="B32770" s="38">
        <v>33253.0</v>
      </c>
      <c r="C32770" s="38" t="s">
        <v>23672</v>
      </c>
      <c r="D32770" s="38" t="str">
        <f>IFERROR(__xludf.DUMMYFUNCTION("REGEXREPLACE(C32770,""-\d+(.*)|--\d+(.*)"","""")"),"LOUPIAC")</f>
        <v>LOUPIAC</v>
      </c>
      <c r="E32770" s="38" t="s">
        <v>462</v>
      </c>
      <c r="F32770" s="38" t="s">
        <v>252</v>
      </c>
      <c r="G32770" s="49" t="str">
        <f t="shared" si="1"/>
        <v>33410</v>
      </c>
      <c r="H32770" s="49">
        <f t="shared" si="2"/>
        <v>33253</v>
      </c>
    </row>
    <row r="32771">
      <c r="A32771" s="48" t="s">
        <v>3048</v>
      </c>
      <c r="B32771" s="38">
        <v>21687.0</v>
      </c>
      <c r="C32771" s="38" t="s">
        <v>37032</v>
      </c>
      <c r="D32771" s="38" t="str">
        <f>IFERROR(__xludf.DUMMYFUNCTION("REGEXREPLACE(C32771,""-\d+(.*)|--\d+(.*)"","""")"),"VILLARGOIX")</f>
        <v>VILLARGOIX</v>
      </c>
      <c r="E32771" s="38" t="s">
        <v>105</v>
      </c>
      <c r="F32771" s="38" t="s">
        <v>106</v>
      </c>
      <c r="G32771" s="49" t="str">
        <f t="shared" si="1"/>
        <v>21210</v>
      </c>
      <c r="H32771" s="49">
        <f t="shared" si="2"/>
        <v>21687</v>
      </c>
    </row>
    <row r="32772">
      <c r="A32772" s="48" t="s">
        <v>16724</v>
      </c>
      <c r="B32772" s="38">
        <v>10125.0</v>
      </c>
      <c r="C32772" s="38" t="s">
        <v>37033</v>
      </c>
      <c r="D32772" s="38" t="str">
        <f>IFERROR(__xludf.DUMMYFUNCTION("REGEXREPLACE(C32772,""-\d+(.*)|--\d+(.*)"","""")"),"DIERREY-SAINT-PIERRE")</f>
        <v>DIERREY-SAINT-PIERRE</v>
      </c>
      <c r="E32772" s="38" t="s">
        <v>147</v>
      </c>
      <c r="F32772" s="38" t="s">
        <v>130</v>
      </c>
      <c r="G32772" s="49" t="str">
        <f t="shared" si="1"/>
        <v>10190</v>
      </c>
      <c r="H32772" s="49">
        <f t="shared" si="2"/>
        <v>10125</v>
      </c>
    </row>
    <row r="32773">
      <c r="A32773" s="48" t="s">
        <v>7166</v>
      </c>
      <c r="B32773" s="38">
        <v>52431.0</v>
      </c>
      <c r="C32773" s="38" t="s">
        <v>37034</v>
      </c>
      <c r="D32773" s="38" t="str">
        <f>IFERROR(__xludf.DUMMYFUNCTION("REGEXREPLACE(C32773,""-\d+(.*)|--\d+(.*)"","""")"),"ROCHETAILLEE")</f>
        <v>ROCHETAILLEE</v>
      </c>
      <c r="E32773" s="38" t="s">
        <v>234</v>
      </c>
      <c r="F32773" s="38" t="s">
        <v>130</v>
      </c>
      <c r="G32773" s="49" t="str">
        <f t="shared" si="1"/>
        <v>52210</v>
      </c>
      <c r="H32773" s="49">
        <f t="shared" si="2"/>
        <v>52431</v>
      </c>
    </row>
    <row r="32774">
      <c r="A32774" s="48" t="s">
        <v>1222</v>
      </c>
      <c r="B32774" s="38">
        <v>47267.0</v>
      </c>
      <c r="C32774" s="38" t="s">
        <v>37035</v>
      </c>
      <c r="D32774" s="38" t="str">
        <f>IFERROR(__xludf.DUMMYFUNCTION("REGEXREPLACE(C32774,""-\d+(.*)|--\d+(.*)"","""")"),"SAINT-PIERRE-DE-BUZET")</f>
        <v>SAINT-PIERRE-DE-BUZET</v>
      </c>
      <c r="E32774" s="38" t="s">
        <v>251</v>
      </c>
      <c r="F32774" s="38" t="s">
        <v>252</v>
      </c>
      <c r="G32774" s="49" t="str">
        <f t="shared" si="1"/>
        <v>47160</v>
      </c>
      <c r="H32774" s="49">
        <f t="shared" si="2"/>
        <v>47267</v>
      </c>
    </row>
    <row r="32775">
      <c r="A32775" s="48" t="s">
        <v>10416</v>
      </c>
      <c r="B32775" s="38">
        <v>50508.0</v>
      </c>
      <c r="C32775" s="38" t="s">
        <v>16861</v>
      </c>
      <c r="D32775" s="38" t="str">
        <f>IFERROR(__xludf.DUMMYFUNCTION("REGEXREPLACE(C32775,""-\d+(.*)|--\d+(.*)"","""")"),"SAINTE-MARIE-DU-BOIS")</f>
        <v>SAINTE-MARIE-DU-BOIS</v>
      </c>
      <c r="E32775" s="38" t="s">
        <v>157</v>
      </c>
      <c r="F32775" s="38" t="s">
        <v>138</v>
      </c>
      <c r="G32775" s="49" t="str">
        <f t="shared" si="1"/>
        <v>50640</v>
      </c>
      <c r="H32775" s="49">
        <f t="shared" si="2"/>
        <v>50508</v>
      </c>
    </row>
    <row r="32776">
      <c r="A32776" s="48" t="s">
        <v>192</v>
      </c>
      <c r="B32776" s="38">
        <v>88055.0</v>
      </c>
      <c r="C32776" s="38" t="s">
        <v>37036</v>
      </c>
      <c r="D32776" s="38" t="str">
        <f>IFERROR(__xludf.DUMMYFUNCTION("REGEXREPLACE(C32776,""-\d+(.*)|--\d+(.*)"","""")"),"BETTEGNEY-SAINT-BRICE")</f>
        <v>BETTEGNEY-SAINT-BRICE</v>
      </c>
      <c r="E32776" s="38" t="s">
        <v>194</v>
      </c>
      <c r="F32776" s="38" t="s">
        <v>195</v>
      </c>
      <c r="G32776" s="49" t="str">
        <f t="shared" si="1"/>
        <v>88450</v>
      </c>
      <c r="H32776" s="49">
        <f t="shared" si="2"/>
        <v>88055</v>
      </c>
    </row>
    <row r="32777">
      <c r="A32777" s="48" t="s">
        <v>2427</v>
      </c>
      <c r="B32777" s="38">
        <v>47017.0</v>
      </c>
      <c r="C32777" s="38" t="s">
        <v>37037</v>
      </c>
      <c r="D32777" s="38" t="str">
        <f>IFERROR(__xludf.DUMMYFUNCTION("REGEXREPLACE(C32777,""-\d+(.*)|--\d+(.*)"","""")"),"AURADOU")</f>
        <v>AURADOU</v>
      </c>
      <c r="E32777" s="38" t="s">
        <v>251</v>
      </c>
      <c r="F32777" s="38" t="s">
        <v>252</v>
      </c>
      <c r="G32777" s="49" t="str">
        <f t="shared" si="1"/>
        <v>47140</v>
      </c>
      <c r="H32777" s="49">
        <f t="shared" si="2"/>
        <v>47017</v>
      </c>
    </row>
    <row r="32778">
      <c r="A32778" s="48" t="s">
        <v>6052</v>
      </c>
      <c r="B32778" s="38">
        <v>5013.0</v>
      </c>
      <c r="C32778" s="38" t="s">
        <v>37038</v>
      </c>
      <c r="D32778" s="38" t="str">
        <f>IFERROR(__xludf.DUMMYFUNCTION("REGEXREPLACE(C32778,""-\d+(.*)|--\d+(.*)"","""")"),"BARCILLONNETTE")</f>
        <v>BARCILLONNETTE</v>
      </c>
      <c r="E32778" s="38" t="s">
        <v>706</v>
      </c>
      <c r="F32778" s="38" t="s">
        <v>228</v>
      </c>
      <c r="G32778" s="49" t="str">
        <f t="shared" si="1"/>
        <v>05110</v>
      </c>
      <c r="H32778" s="49" t="str">
        <f t="shared" si="2"/>
        <v>05013</v>
      </c>
    </row>
    <row r="32779">
      <c r="A32779" s="48" t="s">
        <v>25197</v>
      </c>
      <c r="B32779" s="38">
        <v>78380.0</v>
      </c>
      <c r="C32779" s="38" t="s">
        <v>37039</v>
      </c>
      <c r="D32779" s="38" t="str">
        <f>IFERROR(__xludf.DUMMYFUNCTION("REGEXREPLACE(C32779,""-\d+(.*)|--\d+(.*)"","""")"),"MAULE")</f>
        <v>MAULE</v>
      </c>
      <c r="E32779" s="38" t="s">
        <v>362</v>
      </c>
      <c r="F32779" s="38" t="s">
        <v>245</v>
      </c>
      <c r="G32779" s="49" t="str">
        <f t="shared" si="1"/>
        <v>78580</v>
      </c>
      <c r="H32779" s="49">
        <f t="shared" si="2"/>
        <v>78380</v>
      </c>
    </row>
    <row r="32780">
      <c r="A32780" s="48" t="s">
        <v>37040</v>
      </c>
      <c r="B32780" s="38">
        <v>38087.0</v>
      </c>
      <c r="C32780" s="38" t="s">
        <v>37041</v>
      </c>
      <c r="D32780" s="38" t="str">
        <f>IFERROR(__xludf.DUMMYFUNCTION("REGEXREPLACE(C32780,""-\d+(.*)|--\d+(.*)"","""")"),"CHASSE-SUR-RHONE")</f>
        <v>CHASSE-SUR-RHONE</v>
      </c>
      <c r="E32780" s="38" t="s">
        <v>101</v>
      </c>
      <c r="F32780" s="38" t="s">
        <v>102</v>
      </c>
      <c r="G32780" s="49" t="str">
        <f t="shared" si="1"/>
        <v>38670</v>
      </c>
      <c r="H32780" s="49">
        <f t="shared" si="2"/>
        <v>38087</v>
      </c>
    </row>
    <row r="32781">
      <c r="A32781" s="48" t="s">
        <v>8607</v>
      </c>
      <c r="B32781" s="38">
        <v>1449.0</v>
      </c>
      <c r="C32781" s="38" t="s">
        <v>37042</v>
      </c>
      <c r="D32781" s="38" t="str">
        <f>IFERROR(__xludf.DUMMYFUNCTION("REGEXREPLACE(C32781,""-\d+(.*)|--\d+(.*)"","""")"),"VILLETTE-SUR-AIN")</f>
        <v>VILLETTE-SUR-AIN</v>
      </c>
      <c r="E32781" s="38" t="s">
        <v>255</v>
      </c>
      <c r="F32781" s="38" t="s">
        <v>102</v>
      </c>
      <c r="G32781" s="49" t="str">
        <f t="shared" si="1"/>
        <v>01320</v>
      </c>
      <c r="H32781" s="49" t="str">
        <f t="shared" si="2"/>
        <v>01449</v>
      </c>
    </row>
    <row r="32782">
      <c r="A32782" s="48" t="s">
        <v>6709</v>
      </c>
      <c r="B32782" s="38">
        <v>29163.0</v>
      </c>
      <c r="C32782" s="38" t="s">
        <v>37043</v>
      </c>
      <c r="D32782" s="38" t="str">
        <f>IFERROR(__xludf.DUMMYFUNCTION("REGEXREPLACE(C32782,""-\d+(.*)|--\d+(.*)"","""")"),"PLEYBER-CHRIST")</f>
        <v>PLEYBER-CHRIST</v>
      </c>
      <c r="E32782" s="38" t="s">
        <v>176</v>
      </c>
      <c r="F32782" s="38" t="s">
        <v>90</v>
      </c>
      <c r="G32782" s="49" t="str">
        <f t="shared" si="1"/>
        <v>29410</v>
      </c>
      <c r="H32782" s="49">
        <f t="shared" si="2"/>
        <v>29163</v>
      </c>
    </row>
    <row r="32783">
      <c r="A32783" s="48" t="s">
        <v>20370</v>
      </c>
      <c r="B32783" s="38">
        <v>67282.0</v>
      </c>
      <c r="C32783" s="38" t="s">
        <v>37044</v>
      </c>
      <c r="D32783" s="38" t="str">
        <f>IFERROR(__xludf.DUMMYFUNCTION("REGEXREPLACE(C32783,""-\d+(.*)|--\d+(.*)"","""")"),"MARLENHEIM")</f>
        <v>MARLENHEIM</v>
      </c>
      <c r="E32783" s="38" t="s">
        <v>210</v>
      </c>
      <c r="F32783" s="38" t="s">
        <v>151</v>
      </c>
      <c r="G32783" s="49" t="str">
        <f t="shared" si="1"/>
        <v>67520</v>
      </c>
      <c r="H32783" s="49">
        <f t="shared" si="2"/>
        <v>67282</v>
      </c>
    </row>
    <row r="32784">
      <c r="A32784" s="48" t="s">
        <v>1370</v>
      </c>
      <c r="B32784" s="38">
        <v>10323.0</v>
      </c>
      <c r="C32784" s="38" t="s">
        <v>37045</v>
      </c>
      <c r="D32784" s="38" t="str">
        <f>IFERROR(__xludf.DUMMYFUNCTION("REGEXREPLACE(C32784,""-\d+(.*)|--\d+(.*)"","""")"),"ROMILLY-SUR-SEINE")</f>
        <v>ROMILLY-SUR-SEINE</v>
      </c>
      <c r="E32784" s="38" t="s">
        <v>147</v>
      </c>
      <c r="F32784" s="38" t="s">
        <v>130</v>
      </c>
      <c r="G32784" s="49" t="str">
        <f t="shared" si="1"/>
        <v>10100</v>
      </c>
      <c r="H32784" s="49">
        <f t="shared" si="2"/>
        <v>10323</v>
      </c>
    </row>
    <row r="32785">
      <c r="A32785" s="48" t="s">
        <v>28503</v>
      </c>
      <c r="B32785" s="38">
        <v>78335.0</v>
      </c>
      <c r="C32785" s="38" t="s">
        <v>37046</v>
      </c>
      <c r="D32785" s="38" t="str">
        <f>IFERROR(__xludf.DUMMYFUNCTION("REGEXREPLACE(C32785,""-\d+(.*)|--\d+(.*)"","""")"),"LIMAY")</f>
        <v>LIMAY</v>
      </c>
      <c r="E32785" s="38" t="s">
        <v>362</v>
      </c>
      <c r="F32785" s="38" t="s">
        <v>245</v>
      </c>
      <c r="G32785" s="49" t="str">
        <f t="shared" si="1"/>
        <v>78520</v>
      </c>
      <c r="H32785" s="49">
        <f t="shared" si="2"/>
        <v>78335</v>
      </c>
    </row>
    <row r="32786">
      <c r="A32786" s="48" t="s">
        <v>2320</v>
      </c>
      <c r="B32786" s="38">
        <v>74130.0</v>
      </c>
      <c r="C32786" s="38" t="s">
        <v>37047</v>
      </c>
      <c r="D32786" s="38" t="str">
        <f>IFERROR(__xludf.DUMMYFUNCTION("REGEXREPLACE(C32786,""-\d+(.*)|--\d+(.*)"","""")"),"FRANCLENS")</f>
        <v>FRANCLENS</v>
      </c>
      <c r="E32786" s="38" t="s">
        <v>319</v>
      </c>
      <c r="F32786" s="38" t="s">
        <v>102</v>
      </c>
      <c r="G32786" s="49" t="str">
        <f t="shared" si="1"/>
        <v>74910</v>
      </c>
      <c r="H32786" s="49">
        <f t="shared" si="2"/>
        <v>74130</v>
      </c>
    </row>
    <row r="32787">
      <c r="A32787" s="48" t="s">
        <v>2316</v>
      </c>
      <c r="B32787" s="38">
        <v>25465.0</v>
      </c>
      <c r="C32787" s="38" t="s">
        <v>37048</v>
      </c>
      <c r="D32787" s="38" t="str">
        <f>IFERROR(__xludf.DUMMYFUNCTION("REGEXREPLACE(C32787,""-\d+(.*)|--\d+(.*)"","""")"),"PONT-LES-MOULINS")</f>
        <v>PONT-LES-MOULINS</v>
      </c>
      <c r="E32787" s="38" t="s">
        <v>213</v>
      </c>
      <c r="F32787" s="38" t="s">
        <v>214</v>
      </c>
      <c r="G32787" s="49" t="str">
        <f t="shared" si="1"/>
        <v>25110</v>
      </c>
      <c r="H32787" s="49">
        <f t="shared" si="2"/>
        <v>25465</v>
      </c>
    </row>
    <row r="32788">
      <c r="A32788" s="48" t="s">
        <v>17466</v>
      </c>
      <c r="B32788" s="38">
        <v>63302.0</v>
      </c>
      <c r="C32788" s="38" t="s">
        <v>21217</v>
      </c>
      <c r="D32788" s="38" t="str">
        <f>IFERROR(__xludf.DUMMYFUNCTION("REGEXREPLACE(C32788,""-\d+(.*)|--\d+(.*)"","""")"),"LA ROCHE-BLANCHE")</f>
        <v>LA ROCHE-BLANCHE</v>
      </c>
      <c r="E32788" s="38" t="s">
        <v>353</v>
      </c>
      <c r="F32788" s="38" t="s">
        <v>161</v>
      </c>
      <c r="G32788" s="49" t="str">
        <f t="shared" si="1"/>
        <v>63670</v>
      </c>
      <c r="H32788" s="49">
        <f t="shared" si="2"/>
        <v>63302</v>
      </c>
    </row>
    <row r="32789">
      <c r="A32789" s="48" t="s">
        <v>724</v>
      </c>
      <c r="B32789" s="38">
        <v>32159.0</v>
      </c>
      <c r="C32789" s="38" t="s">
        <v>37049</v>
      </c>
      <c r="D32789" s="38" t="str">
        <f>IFERROR(__xludf.DUMMYFUNCTION("REGEXREPLACE(C32789,""-\d+(.*)|--\d+(.*)"","""")"),"L'ISLE-DE-NOE")</f>
        <v>L'ISLE-DE-NOE</v>
      </c>
      <c r="E32789" s="38" t="s">
        <v>440</v>
      </c>
      <c r="F32789" s="38" t="s">
        <v>94</v>
      </c>
      <c r="G32789" s="49" t="str">
        <f t="shared" si="1"/>
        <v>32300</v>
      </c>
      <c r="H32789" s="49">
        <f t="shared" si="2"/>
        <v>32159</v>
      </c>
    </row>
    <row r="32790">
      <c r="A32790" s="48" t="s">
        <v>13232</v>
      </c>
      <c r="B32790" s="38">
        <v>8440.0</v>
      </c>
      <c r="C32790" s="38" t="s">
        <v>37050</v>
      </c>
      <c r="D32790" s="38" t="str">
        <f>IFERROR(__xludf.DUMMYFUNCTION("REGEXREPLACE(C32790,""-\d+(.*)|--\d+(.*)"","""")"),"TARZY")</f>
        <v>TARZY</v>
      </c>
      <c r="E32790" s="38" t="s">
        <v>327</v>
      </c>
      <c r="F32790" s="38" t="s">
        <v>130</v>
      </c>
      <c r="G32790" s="49" t="str">
        <f t="shared" si="1"/>
        <v>08380</v>
      </c>
      <c r="H32790" s="49" t="str">
        <f t="shared" si="2"/>
        <v>08440</v>
      </c>
    </row>
    <row r="32791">
      <c r="A32791" s="48" t="s">
        <v>456</v>
      </c>
      <c r="B32791" s="38">
        <v>63051.0</v>
      </c>
      <c r="C32791" s="38" t="s">
        <v>37051</v>
      </c>
      <c r="D32791" s="38" t="str">
        <f>IFERROR(__xludf.DUMMYFUNCTION("REGEXREPLACE(C32791,""-\d+(.*)|--\d+(.*)"","""")"),"BRENAT")</f>
        <v>BRENAT</v>
      </c>
      <c r="E32791" s="38" t="s">
        <v>353</v>
      </c>
      <c r="F32791" s="38" t="s">
        <v>161</v>
      </c>
      <c r="G32791" s="49" t="str">
        <f t="shared" si="1"/>
        <v>63500</v>
      </c>
      <c r="H32791" s="49">
        <f t="shared" si="2"/>
        <v>63051</v>
      </c>
    </row>
    <row r="32792">
      <c r="A32792" s="48" t="s">
        <v>7247</v>
      </c>
      <c r="B32792" s="38">
        <v>24006.0</v>
      </c>
      <c r="C32792" s="38" t="s">
        <v>37052</v>
      </c>
      <c r="D32792" s="38" t="str">
        <f>IFERROR(__xludf.DUMMYFUNCTION("REGEXREPLACE(C32792,""-\d+(.*)|--\d+(.*)"","""")"),"ALLAS-LES-MINES")</f>
        <v>ALLAS-LES-MINES</v>
      </c>
      <c r="E32792" s="38" t="s">
        <v>261</v>
      </c>
      <c r="F32792" s="38" t="s">
        <v>252</v>
      </c>
      <c r="G32792" s="49" t="str">
        <f t="shared" si="1"/>
        <v>24220</v>
      </c>
      <c r="H32792" s="49">
        <f t="shared" si="2"/>
        <v>24006</v>
      </c>
    </row>
    <row r="32793">
      <c r="A32793" s="48" t="s">
        <v>29984</v>
      </c>
      <c r="B32793" s="38">
        <v>73226.0</v>
      </c>
      <c r="C32793" s="38" t="s">
        <v>37053</v>
      </c>
      <c r="D32793" s="38" t="str">
        <f>IFERROR(__xludf.DUMMYFUNCTION("REGEXREPLACE(C32793,""-\d+(.*)|--\d+(.*)"","""")"),"SAINT-BERON")</f>
        <v>SAINT-BERON</v>
      </c>
      <c r="E32793" s="38" t="s">
        <v>306</v>
      </c>
      <c r="F32793" s="38" t="s">
        <v>102</v>
      </c>
      <c r="G32793" s="49" t="str">
        <f t="shared" si="1"/>
        <v>73520</v>
      </c>
      <c r="H32793" s="49">
        <f t="shared" si="2"/>
        <v>73226</v>
      </c>
    </row>
    <row r="32794">
      <c r="A32794" s="48" t="s">
        <v>8839</v>
      </c>
      <c r="B32794" s="38">
        <v>53252.0</v>
      </c>
      <c r="C32794" s="38" t="s">
        <v>31349</v>
      </c>
      <c r="D32794" s="38" t="str">
        <f>IFERROR(__xludf.DUMMYFUNCTION("REGEXREPLACE(C32794,""-\d+(.*)|--\d+(.*)"","""")"),"SAINT-SAMSON")</f>
        <v>SAINT-SAMSON</v>
      </c>
      <c r="E32794" s="38" t="s">
        <v>518</v>
      </c>
      <c r="F32794" s="38" t="s">
        <v>180</v>
      </c>
      <c r="G32794" s="49" t="str">
        <f t="shared" si="1"/>
        <v>53140</v>
      </c>
      <c r="H32794" s="49">
        <f t="shared" si="2"/>
        <v>53252</v>
      </c>
    </row>
    <row r="32795">
      <c r="A32795" s="48" t="s">
        <v>18796</v>
      </c>
      <c r="B32795" s="38">
        <v>29147.0</v>
      </c>
      <c r="C32795" s="38" t="s">
        <v>37054</v>
      </c>
      <c r="D32795" s="38" t="str">
        <f>IFERROR(__xludf.DUMMYFUNCTION("REGEXREPLACE(C32795,""-\d+(.*)|--\d+(.*)"","""")"),"MELLAC")</f>
        <v>MELLAC</v>
      </c>
      <c r="E32795" s="38" t="s">
        <v>176</v>
      </c>
      <c r="F32795" s="38" t="s">
        <v>90</v>
      </c>
      <c r="G32795" s="49" t="str">
        <f t="shared" si="1"/>
        <v>29300</v>
      </c>
      <c r="H32795" s="49">
        <f t="shared" si="2"/>
        <v>29147</v>
      </c>
    </row>
    <row r="32796">
      <c r="A32796" s="48" t="s">
        <v>12236</v>
      </c>
      <c r="B32796" s="38">
        <v>10089.0</v>
      </c>
      <c r="C32796" s="38" t="s">
        <v>7261</v>
      </c>
      <c r="D32796" s="38" t="str">
        <f>IFERROR(__xludf.DUMMYFUNCTION("REGEXREPLACE(C32796,""-\d+(.*)|--\d+(.*)"","""")"),"CHATRES")</f>
        <v>CHATRES</v>
      </c>
      <c r="E32796" s="38" t="s">
        <v>147</v>
      </c>
      <c r="F32796" s="38" t="s">
        <v>130</v>
      </c>
      <c r="G32796" s="49" t="str">
        <f t="shared" si="1"/>
        <v>10510</v>
      </c>
      <c r="H32796" s="49">
        <f t="shared" si="2"/>
        <v>10089</v>
      </c>
    </row>
    <row r="32797">
      <c r="A32797" s="48" t="s">
        <v>8577</v>
      </c>
      <c r="B32797" s="38">
        <v>3161.0</v>
      </c>
      <c r="C32797" s="38" t="s">
        <v>37055</v>
      </c>
      <c r="D32797" s="38" t="str">
        <f>IFERROR(__xludf.DUMMYFUNCTION("REGEXREPLACE(C32797,""-\d+(.*)|--\d+(.*)"","""")"),"MARCILLAT-EN-COMBRAILLE")</f>
        <v>MARCILLAT-EN-COMBRAILLE</v>
      </c>
      <c r="E32797" s="38" t="s">
        <v>160</v>
      </c>
      <c r="F32797" s="38" t="s">
        <v>161</v>
      </c>
      <c r="G32797" s="49" t="str">
        <f t="shared" si="1"/>
        <v>03420</v>
      </c>
      <c r="H32797" s="49" t="str">
        <f t="shared" si="2"/>
        <v>03161</v>
      </c>
    </row>
    <row r="32798">
      <c r="A32798" s="48" t="s">
        <v>11131</v>
      </c>
      <c r="B32798" s="38">
        <v>53069.0</v>
      </c>
      <c r="C32798" s="38" t="s">
        <v>37056</v>
      </c>
      <c r="D32798" s="38" t="str">
        <f>IFERROR(__xludf.DUMMYFUNCTION("REGEXREPLACE(C32798,""-\d+(.*)|--\d+(.*)"","""")"),"CHEVAIGNE-DU-MAINE")</f>
        <v>CHEVAIGNE-DU-MAINE</v>
      </c>
      <c r="E32798" s="38" t="s">
        <v>518</v>
      </c>
      <c r="F32798" s="38" t="s">
        <v>180</v>
      </c>
      <c r="G32798" s="49" t="str">
        <f t="shared" si="1"/>
        <v>53250</v>
      </c>
      <c r="H32798" s="49">
        <f t="shared" si="2"/>
        <v>53069</v>
      </c>
    </row>
    <row r="32799">
      <c r="A32799" s="48" t="s">
        <v>6555</v>
      </c>
      <c r="B32799" s="38">
        <v>67140.0</v>
      </c>
      <c r="C32799" s="38" t="s">
        <v>37057</v>
      </c>
      <c r="D32799" s="38" t="str">
        <f>IFERROR(__xludf.DUMMYFUNCTION("REGEXREPLACE(C32799,""-\d+(.*)|--\d+(.*)"","""")"),"FORSTFELD")</f>
        <v>FORSTFELD</v>
      </c>
      <c r="E32799" s="38" t="s">
        <v>210</v>
      </c>
      <c r="F32799" s="38" t="s">
        <v>151</v>
      </c>
      <c r="G32799" s="49" t="str">
        <f t="shared" si="1"/>
        <v>67480</v>
      </c>
      <c r="H32799" s="49">
        <f t="shared" si="2"/>
        <v>67140</v>
      </c>
    </row>
    <row r="32800">
      <c r="A32800" s="48" t="s">
        <v>3821</v>
      </c>
      <c r="B32800" s="38">
        <v>57065.0</v>
      </c>
      <c r="C32800" s="38" t="s">
        <v>37058</v>
      </c>
      <c r="D32800" s="38" t="str">
        <f>IFERROR(__xludf.DUMMYFUNCTION("REGEXREPLACE(C32800,""-\d+(.*)|--\d+(.*)"","""")"),"BERMERING")</f>
        <v>BERMERING</v>
      </c>
      <c r="E32800" s="38" t="s">
        <v>303</v>
      </c>
      <c r="F32800" s="38" t="s">
        <v>195</v>
      </c>
      <c r="G32800" s="49" t="str">
        <f t="shared" si="1"/>
        <v>57340</v>
      </c>
      <c r="H32800" s="49">
        <f t="shared" si="2"/>
        <v>57065</v>
      </c>
    </row>
    <row r="32801">
      <c r="A32801" s="48" t="s">
        <v>4065</v>
      </c>
      <c r="B32801" s="38">
        <v>21649.0</v>
      </c>
      <c r="C32801" s="38" t="s">
        <v>37059</v>
      </c>
      <c r="D32801" s="38" t="str">
        <f>IFERROR(__xludf.DUMMYFUNCTION("REGEXREPLACE(C32801,""-\d+(.*)|--\d+(.*)"","""")"),"UNCEY-LE-FRANC")</f>
        <v>UNCEY-LE-FRANC</v>
      </c>
      <c r="E32801" s="38" t="s">
        <v>105</v>
      </c>
      <c r="F32801" s="38" t="s">
        <v>106</v>
      </c>
      <c r="G32801" s="49" t="str">
        <f t="shared" si="1"/>
        <v>21350</v>
      </c>
      <c r="H32801" s="49">
        <f t="shared" si="2"/>
        <v>21649</v>
      </c>
    </row>
    <row r="32802">
      <c r="A32802" s="48" t="s">
        <v>781</v>
      </c>
      <c r="B32802" s="38">
        <v>65233.0</v>
      </c>
      <c r="C32802" s="38" t="s">
        <v>37060</v>
      </c>
      <c r="D32802" s="38" t="str">
        <f>IFERROR(__xludf.DUMMYFUNCTION("REGEXREPLACE(C32802,""-\d+(.*)|--\d+(.*)"","""")"),"JARRET")</f>
        <v>JARRET</v>
      </c>
      <c r="E32802" s="38" t="s">
        <v>200</v>
      </c>
      <c r="F32802" s="38" t="s">
        <v>94</v>
      </c>
      <c r="G32802" s="49" t="str">
        <f t="shared" si="1"/>
        <v>65100</v>
      </c>
      <c r="H32802" s="49">
        <f t="shared" si="2"/>
        <v>65233</v>
      </c>
    </row>
    <row r="32803">
      <c r="A32803" s="48" t="s">
        <v>2156</v>
      </c>
      <c r="B32803" s="38">
        <v>26304.0</v>
      </c>
      <c r="C32803" s="38" t="s">
        <v>37061</v>
      </c>
      <c r="D32803" s="38" t="str">
        <f>IFERROR(__xludf.DUMMYFUNCTION("REGEXREPLACE(C32803,""-\d+(.*)|--\d+(.*)"","""")"),"SAINT-FERREOL-TRENTE-PAS")</f>
        <v>SAINT-FERREOL-TRENTE-PAS</v>
      </c>
      <c r="E32803" s="38" t="s">
        <v>126</v>
      </c>
      <c r="F32803" s="38" t="s">
        <v>102</v>
      </c>
      <c r="G32803" s="49" t="str">
        <f t="shared" si="1"/>
        <v>26110</v>
      </c>
      <c r="H32803" s="49">
        <f t="shared" si="2"/>
        <v>26304</v>
      </c>
    </row>
    <row r="32804">
      <c r="A32804" s="48" t="s">
        <v>279</v>
      </c>
      <c r="B32804" s="38">
        <v>40103.0</v>
      </c>
      <c r="C32804" s="38" t="s">
        <v>37062</v>
      </c>
      <c r="D32804" s="38" t="str">
        <f>IFERROR(__xludf.DUMMYFUNCTION("REGEXREPLACE(C32804,""-\d+(.*)|--\d+(.*)"","""")"),"GAILLERES")</f>
        <v>GAILLERES</v>
      </c>
      <c r="E32804" s="38" t="s">
        <v>281</v>
      </c>
      <c r="F32804" s="38" t="s">
        <v>252</v>
      </c>
      <c r="G32804" s="49" t="str">
        <f t="shared" si="1"/>
        <v>40090</v>
      </c>
      <c r="H32804" s="49">
        <f t="shared" si="2"/>
        <v>40103</v>
      </c>
    </row>
    <row r="32805">
      <c r="A32805" s="48" t="s">
        <v>7175</v>
      </c>
      <c r="B32805" s="38">
        <v>88037.0</v>
      </c>
      <c r="C32805" s="38" t="s">
        <v>37063</v>
      </c>
      <c r="D32805" s="38" t="str">
        <f>IFERROR(__xludf.DUMMYFUNCTION("REGEXREPLACE(C32805,""-\d+(.*)|--\d+(.*)"","""")"),"BASSE-SUR-LE-RUPT")</f>
        <v>BASSE-SUR-LE-RUPT</v>
      </c>
      <c r="E32805" s="38" t="s">
        <v>194</v>
      </c>
      <c r="F32805" s="38" t="s">
        <v>195</v>
      </c>
      <c r="G32805" s="49" t="str">
        <f t="shared" si="1"/>
        <v>88120</v>
      </c>
      <c r="H32805" s="49">
        <f t="shared" si="2"/>
        <v>88037</v>
      </c>
    </row>
    <row r="32806">
      <c r="A32806" s="48" t="s">
        <v>8678</v>
      </c>
      <c r="B32806" s="38">
        <v>65063.0</v>
      </c>
      <c r="C32806" s="38" t="s">
        <v>37064</v>
      </c>
      <c r="D32806" s="38" t="str">
        <f>IFERROR(__xludf.DUMMYFUNCTION("REGEXREPLACE(C32806,""-\d+(.*)|--\d+(.*)"","""")"),"BARBAZAN-DESSUS")</f>
        <v>BARBAZAN-DESSUS</v>
      </c>
      <c r="E32806" s="38" t="s">
        <v>200</v>
      </c>
      <c r="F32806" s="38" t="s">
        <v>94</v>
      </c>
      <c r="G32806" s="49" t="str">
        <f t="shared" si="1"/>
        <v>65360</v>
      </c>
      <c r="H32806" s="49">
        <f t="shared" si="2"/>
        <v>65063</v>
      </c>
    </row>
    <row r="32807">
      <c r="A32807" s="48" t="s">
        <v>702</v>
      </c>
      <c r="B32807" s="38">
        <v>31018.0</v>
      </c>
      <c r="C32807" s="38" t="s">
        <v>37065</v>
      </c>
      <c r="D32807" s="38" t="str">
        <f>IFERROR(__xludf.DUMMYFUNCTION("REGEXREPLACE(C32807,""-\d+(.*)|--\d+(.*)"","""")"),"ARNAUD-GUILHEM")</f>
        <v>ARNAUD-GUILHEM</v>
      </c>
      <c r="E32807" s="38" t="s">
        <v>93</v>
      </c>
      <c r="F32807" s="38" t="s">
        <v>94</v>
      </c>
      <c r="G32807" s="49" t="str">
        <f t="shared" si="1"/>
        <v>31360</v>
      </c>
      <c r="H32807" s="49">
        <f t="shared" si="2"/>
        <v>31018</v>
      </c>
    </row>
    <row r="32808">
      <c r="A32808" s="48" t="s">
        <v>3448</v>
      </c>
      <c r="B32808" s="38">
        <v>65079.0</v>
      </c>
      <c r="C32808" s="38" t="s">
        <v>37066</v>
      </c>
      <c r="D32808" s="38" t="str">
        <f>IFERROR(__xludf.DUMMYFUNCTION("REGEXREPLACE(C32808,""-\d+(.*)|--\d+(.*)"","""")"),"BEGOLE")</f>
        <v>BEGOLE</v>
      </c>
      <c r="E32808" s="38" t="s">
        <v>200</v>
      </c>
      <c r="F32808" s="38" t="s">
        <v>94</v>
      </c>
      <c r="G32808" s="49" t="str">
        <f t="shared" si="1"/>
        <v>65190</v>
      </c>
      <c r="H32808" s="49">
        <f t="shared" si="2"/>
        <v>65079</v>
      </c>
    </row>
    <row r="32809">
      <c r="A32809" s="48" t="s">
        <v>591</v>
      </c>
      <c r="B32809" s="38">
        <v>85126.0</v>
      </c>
      <c r="C32809" s="38" t="s">
        <v>37067</v>
      </c>
      <c r="D32809" s="38" t="str">
        <f>IFERROR(__xludf.DUMMYFUNCTION("REGEXREPLACE(C32809,""-\d+(.*)|--\d+(.*)"","""")"),"LONGEVES")</f>
        <v>LONGEVES</v>
      </c>
      <c r="E32809" s="38" t="s">
        <v>179</v>
      </c>
      <c r="F32809" s="38" t="s">
        <v>180</v>
      </c>
      <c r="G32809" s="49" t="str">
        <f t="shared" si="1"/>
        <v>85200</v>
      </c>
      <c r="H32809" s="49">
        <f t="shared" si="2"/>
        <v>85126</v>
      </c>
    </row>
    <row r="32810">
      <c r="A32810" s="48" t="s">
        <v>398</v>
      </c>
      <c r="B32810" s="38">
        <v>39055.0</v>
      </c>
      <c r="C32810" s="38" t="s">
        <v>37068</v>
      </c>
      <c r="D32810" s="38" t="str">
        <f>IFERROR(__xludf.DUMMYFUNCTION("REGEXREPLACE(C32810,""-\d+(.*)|--\d+(.*)"","""")"),"BILLECUL")</f>
        <v>BILLECUL</v>
      </c>
      <c r="E32810" s="38" t="s">
        <v>400</v>
      </c>
      <c r="F32810" s="38" t="s">
        <v>214</v>
      </c>
      <c r="G32810" s="49" t="str">
        <f t="shared" si="1"/>
        <v>39250</v>
      </c>
      <c r="H32810" s="49">
        <f t="shared" si="2"/>
        <v>39055</v>
      </c>
    </row>
    <row r="32811">
      <c r="A32811" s="48" t="s">
        <v>839</v>
      </c>
      <c r="B32811" s="38">
        <v>62808.0</v>
      </c>
      <c r="C32811" s="38" t="s">
        <v>37069</v>
      </c>
      <c r="D32811" s="38" t="str">
        <f>IFERROR(__xludf.DUMMYFUNCTION("REGEXREPLACE(C32811,""-\d+(.*)|--\d+(.*)"","""")"),"TENEUR")</f>
        <v>TENEUR</v>
      </c>
      <c r="E32811" s="38" t="s">
        <v>109</v>
      </c>
      <c r="F32811" s="38" t="s">
        <v>86</v>
      </c>
      <c r="G32811" s="49" t="str">
        <f t="shared" si="1"/>
        <v>62134</v>
      </c>
      <c r="H32811" s="49">
        <f t="shared" si="2"/>
        <v>62808</v>
      </c>
    </row>
    <row r="32812">
      <c r="A32812" s="48" t="s">
        <v>3621</v>
      </c>
      <c r="B32812" s="38">
        <v>52239.0</v>
      </c>
      <c r="C32812" s="38" t="s">
        <v>37070</v>
      </c>
      <c r="D32812" s="38" t="str">
        <f>IFERROR(__xludf.DUMMYFUNCTION("REGEXREPLACE(C32812,""-\d+(.*)|--\d+(.*)"","""")"),"HEUILLEY-COTTON")</f>
        <v>HEUILLEY-COTTON</v>
      </c>
      <c r="E32812" s="38" t="s">
        <v>234</v>
      </c>
      <c r="F32812" s="38" t="s">
        <v>130</v>
      </c>
      <c r="G32812" s="49" t="str">
        <f t="shared" si="1"/>
        <v>52600</v>
      </c>
      <c r="H32812" s="49">
        <f t="shared" si="2"/>
        <v>52239</v>
      </c>
    </row>
    <row r="32813">
      <c r="A32813" s="48" t="s">
        <v>2968</v>
      </c>
      <c r="B32813" s="38">
        <v>45303.0</v>
      </c>
      <c r="C32813" s="38" t="s">
        <v>37071</v>
      </c>
      <c r="D32813" s="38" t="str">
        <f>IFERROR(__xludf.DUMMYFUNCTION("REGEXREPLACE(C32813,""-\d+(.*)|--\d+(.*)"","""")"),"SCEAUX-DU-GATINAIS")</f>
        <v>SCEAUX-DU-GATINAIS</v>
      </c>
      <c r="E32813" s="38" t="s">
        <v>122</v>
      </c>
      <c r="F32813" s="38" t="s">
        <v>123</v>
      </c>
      <c r="G32813" s="49" t="str">
        <f t="shared" si="1"/>
        <v>45490</v>
      </c>
      <c r="H32813" s="49">
        <f t="shared" si="2"/>
        <v>45303</v>
      </c>
    </row>
    <row r="32814">
      <c r="A32814" s="48" t="s">
        <v>3458</v>
      </c>
      <c r="B32814" s="38">
        <v>52258.0</v>
      </c>
      <c r="C32814" s="38" t="s">
        <v>37072</v>
      </c>
      <c r="D32814" s="38" t="str">
        <f>IFERROR(__xludf.DUMMYFUNCTION("REGEXREPLACE(C32814,""-\d+(.*)|--\d+(.*)"","""")"),"LAFERTE-SUR-AUBE")</f>
        <v>LAFERTE-SUR-AUBE</v>
      </c>
      <c r="E32814" s="38" t="s">
        <v>234</v>
      </c>
      <c r="F32814" s="38" t="s">
        <v>130</v>
      </c>
      <c r="G32814" s="49" t="str">
        <f t="shared" si="1"/>
        <v>52120</v>
      </c>
      <c r="H32814" s="49">
        <f t="shared" si="2"/>
        <v>52258</v>
      </c>
    </row>
    <row r="32815">
      <c r="A32815" s="48" t="s">
        <v>5008</v>
      </c>
      <c r="B32815" s="38">
        <v>76663.0</v>
      </c>
      <c r="C32815" s="38" t="s">
        <v>37073</v>
      </c>
      <c r="D32815" s="38" t="str">
        <f>IFERROR(__xludf.DUMMYFUNCTION("REGEXREPLACE(C32815,""-\d+(.*)|--\d+(.*)"","""")"),"SASSETOT-LE-MAUCONDUIT")</f>
        <v>SASSETOT-LE-MAUCONDUIT</v>
      </c>
      <c r="E32815" s="38" t="s">
        <v>133</v>
      </c>
      <c r="F32815" s="38" t="s">
        <v>134</v>
      </c>
      <c r="G32815" s="49" t="str">
        <f t="shared" si="1"/>
        <v>76540</v>
      </c>
      <c r="H32815" s="49">
        <f t="shared" si="2"/>
        <v>76663</v>
      </c>
    </row>
    <row r="32816">
      <c r="A32816" s="48" t="s">
        <v>5894</v>
      </c>
      <c r="B32816" s="38">
        <v>69117.0</v>
      </c>
      <c r="C32816" s="38" t="s">
        <v>37074</v>
      </c>
      <c r="D32816" s="38" t="str">
        <f>IFERROR(__xludf.DUMMYFUNCTION("REGEXREPLACE(C32816,""-\d+(.*)|--\d+(.*)"","""")"),"LISSIEU")</f>
        <v>LISSIEU</v>
      </c>
      <c r="E32816" s="38" t="s">
        <v>350</v>
      </c>
      <c r="F32816" s="38" t="s">
        <v>102</v>
      </c>
      <c r="G32816" s="49" t="str">
        <f t="shared" si="1"/>
        <v>69380</v>
      </c>
      <c r="H32816" s="49">
        <f t="shared" si="2"/>
        <v>69117</v>
      </c>
    </row>
    <row r="32817">
      <c r="A32817" s="48" t="s">
        <v>4900</v>
      </c>
      <c r="B32817" s="38">
        <v>33524.0</v>
      </c>
      <c r="C32817" s="38" t="s">
        <v>37075</v>
      </c>
      <c r="D32817" s="38" t="str">
        <f>IFERROR(__xludf.DUMMYFUNCTION("REGEXREPLACE(C32817,""-\d+(.*)|--\d+(.*)"","""")"),"TARNES")</f>
        <v>TARNES</v>
      </c>
      <c r="E32817" s="38" t="s">
        <v>462</v>
      </c>
      <c r="F32817" s="38" t="s">
        <v>252</v>
      </c>
      <c r="G32817" s="49" t="str">
        <f t="shared" si="1"/>
        <v>33240</v>
      </c>
      <c r="H32817" s="49">
        <f t="shared" si="2"/>
        <v>33524</v>
      </c>
    </row>
    <row r="32818">
      <c r="A32818" s="48" t="s">
        <v>4605</v>
      </c>
      <c r="B32818" s="38">
        <v>39501.0</v>
      </c>
      <c r="C32818" s="38" t="s">
        <v>37076</v>
      </c>
      <c r="D32818" s="38" t="str">
        <f>IFERROR(__xludf.DUMMYFUNCTION("REGEXREPLACE(C32818,""-\d+(.*)|--\d+(.*)"","""")"),"SAMPANS")</f>
        <v>SAMPANS</v>
      </c>
      <c r="E32818" s="38" t="s">
        <v>400</v>
      </c>
      <c r="F32818" s="38" t="s">
        <v>214</v>
      </c>
      <c r="G32818" s="49" t="str">
        <f t="shared" si="1"/>
        <v>39100</v>
      </c>
      <c r="H32818" s="49">
        <f t="shared" si="2"/>
        <v>39501</v>
      </c>
    </row>
    <row r="32819">
      <c r="A32819" s="48" t="s">
        <v>12364</v>
      </c>
      <c r="B32819" s="38">
        <v>89313.0</v>
      </c>
      <c r="C32819" s="38" t="s">
        <v>37077</v>
      </c>
      <c r="D32819" s="38" t="str">
        <f>IFERROR(__xludf.DUMMYFUNCTION("REGEXREPLACE(C32819,""-\d+(.*)|--\d+(.*)"","""")"),"PRECY-SUR-VRIN")</f>
        <v>PRECY-SUR-VRIN</v>
      </c>
      <c r="E32819" s="38" t="s">
        <v>275</v>
      </c>
      <c r="F32819" s="38" t="s">
        <v>106</v>
      </c>
      <c r="G32819" s="49" t="str">
        <f t="shared" si="1"/>
        <v>89116</v>
      </c>
      <c r="H32819" s="49">
        <f t="shared" si="2"/>
        <v>89313</v>
      </c>
    </row>
    <row r="32820">
      <c r="A32820" s="48" t="s">
        <v>1547</v>
      </c>
      <c r="B32820" s="38">
        <v>24099.0</v>
      </c>
      <c r="C32820" s="38" t="s">
        <v>37078</v>
      </c>
      <c r="D32820" s="38" t="str">
        <f>IFERROR(__xludf.DUMMYFUNCTION("REGEXREPLACE(C32820,""-\d+(.*)|--\d+(.*)"","""")"),"CHAMPEAUX-ET-LA-CHAPELLE-POMMIER")</f>
        <v>CHAMPEAUX-ET-LA-CHAPELLE-POMMIER</v>
      </c>
      <c r="E32820" s="38" t="s">
        <v>261</v>
      </c>
      <c r="F32820" s="38" t="s">
        <v>252</v>
      </c>
      <c r="G32820" s="49" t="str">
        <f t="shared" si="1"/>
        <v>24340</v>
      </c>
      <c r="H32820" s="49">
        <f t="shared" si="2"/>
        <v>24099</v>
      </c>
    </row>
    <row r="32821">
      <c r="A32821" s="48" t="s">
        <v>1570</v>
      </c>
      <c r="B32821" s="38">
        <v>16252.0</v>
      </c>
      <c r="C32821" s="38" t="s">
        <v>17217</v>
      </c>
      <c r="D32821" s="38" t="str">
        <f>IFERROR(__xludf.DUMMYFUNCTION("REGEXREPLACE(C32821,""-\d+(.*)|--\d+(.*)"","""")"),"ORIVAL")</f>
        <v>ORIVAL</v>
      </c>
      <c r="E32821" s="38" t="s">
        <v>429</v>
      </c>
      <c r="F32821" s="38" t="s">
        <v>338</v>
      </c>
      <c r="G32821" s="49" t="str">
        <f t="shared" si="1"/>
        <v>16210</v>
      </c>
      <c r="H32821" s="49">
        <f t="shared" si="2"/>
        <v>16252</v>
      </c>
    </row>
    <row r="32822">
      <c r="A32822" s="48" t="s">
        <v>37079</v>
      </c>
      <c r="B32822" s="38">
        <v>42097.0</v>
      </c>
      <c r="C32822" s="38" t="s">
        <v>37080</v>
      </c>
      <c r="D32822" s="38" t="str">
        <f>IFERROR(__xludf.DUMMYFUNCTION("REGEXREPLACE(C32822,""-\d+(.*)|--\d+(.*)"","""")"),"LA FOUILLOUSE")</f>
        <v>LA FOUILLOUSE</v>
      </c>
      <c r="E32822" s="38" t="s">
        <v>166</v>
      </c>
      <c r="F32822" s="38" t="s">
        <v>102</v>
      </c>
      <c r="G32822" s="49" t="str">
        <f t="shared" si="1"/>
        <v>42480</v>
      </c>
      <c r="H32822" s="49">
        <f t="shared" si="2"/>
        <v>42097</v>
      </c>
    </row>
    <row r="32823">
      <c r="A32823" s="48" t="s">
        <v>904</v>
      </c>
      <c r="B32823" s="38">
        <v>69210.0</v>
      </c>
      <c r="C32823" s="38" t="s">
        <v>37081</v>
      </c>
      <c r="D32823" s="38" t="str">
        <f>IFERROR(__xludf.DUMMYFUNCTION("REGEXREPLACE(C32823,""-\d+(.*)|--\d+(.*)"","""")"),"SAINT-JACQUES-DES-ARRETS")</f>
        <v>SAINT-JACQUES-DES-ARRETS</v>
      </c>
      <c r="E32823" s="38" t="s">
        <v>350</v>
      </c>
      <c r="F32823" s="38" t="s">
        <v>102</v>
      </c>
      <c r="G32823" s="49" t="str">
        <f t="shared" si="1"/>
        <v>69860</v>
      </c>
      <c r="H32823" s="49">
        <f t="shared" si="2"/>
        <v>69210</v>
      </c>
    </row>
    <row r="32824">
      <c r="A32824" s="48" t="s">
        <v>3795</v>
      </c>
      <c r="B32824" s="38">
        <v>24451.0</v>
      </c>
      <c r="C32824" s="38" t="s">
        <v>37082</v>
      </c>
      <c r="D32824" s="38" t="str">
        <f>IFERROR(__xludf.DUMMYFUNCTION("REGEXREPLACE(C32824,""-\d+(.*)|--\d+(.*)"","""")"),"SAINT-MARTIAL-DE-VALETTE")</f>
        <v>SAINT-MARTIAL-DE-VALETTE</v>
      </c>
      <c r="E32824" s="38" t="s">
        <v>261</v>
      </c>
      <c r="F32824" s="38" t="s">
        <v>252</v>
      </c>
      <c r="G32824" s="49" t="str">
        <f t="shared" si="1"/>
        <v>24300</v>
      </c>
      <c r="H32824" s="49">
        <f t="shared" si="2"/>
        <v>24451</v>
      </c>
    </row>
    <row r="32825">
      <c r="A32825" s="48" t="s">
        <v>7940</v>
      </c>
      <c r="B32825" s="38">
        <v>49111.0</v>
      </c>
      <c r="C32825" s="38" t="s">
        <v>37083</v>
      </c>
      <c r="D32825" s="38" t="str">
        <f>IFERROR(__xludf.DUMMYFUNCTION("REGEXREPLACE(C32825,""-\d+(.*)|--\d+(.*)"","""")"),"COSSE-D'ANJOU")</f>
        <v>COSSE-D'ANJOU</v>
      </c>
      <c r="E32825" s="38" t="s">
        <v>653</v>
      </c>
      <c r="F32825" s="38" t="s">
        <v>180</v>
      </c>
      <c r="G32825" s="49" t="str">
        <f t="shared" si="1"/>
        <v>49120</v>
      </c>
      <c r="H32825" s="49">
        <f t="shared" si="2"/>
        <v>49111</v>
      </c>
    </row>
    <row r="32826">
      <c r="A32826" s="48" t="s">
        <v>27539</v>
      </c>
      <c r="B32826" s="38">
        <v>38433.0</v>
      </c>
      <c r="C32826" s="38" t="s">
        <v>37084</v>
      </c>
      <c r="D32826" s="38" t="str">
        <f>IFERROR(__xludf.DUMMYFUNCTION("REGEXREPLACE(C32826,""-\d+(.*)|--\d+(.*)"","""")"),"SAINT-NIZIER-DU-MOUCHEROTTE")</f>
        <v>SAINT-NIZIER-DU-MOUCHEROTTE</v>
      </c>
      <c r="E32826" s="38" t="s">
        <v>101</v>
      </c>
      <c r="F32826" s="38" t="s">
        <v>102</v>
      </c>
      <c r="G32826" s="49" t="str">
        <f t="shared" si="1"/>
        <v>38250</v>
      </c>
      <c r="H32826" s="49">
        <f t="shared" si="2"/>
        <v>38433</v>
      </c>
    </row>
    <row r="32827">
      <c r="A32827" s="48" t="s">
        <v>12221</v>
      </c>
      <c r="B32827" s="38">
        <v>41245.0</v>
      </c>
      <c r="C32827" s="38" t="s">
        <v>37085</v>
      </c>
      <c r="D32827" s="38" t="str">
        <f>IFERROR(__xludf.DUMMYFUNCTION("REGEXREPLACE(C32827,""-\d+(.*)|--\d+(.*)"","""")"),"SERIS")</f>
        <v>SERIS</v>
      </c>
      <c r="E32827" s="38" t="s">
        <v>188</v>
      </c>
      <c r="F32827" s="38" t="s">
        <v>123</v>
      </c>
      <c r="G32827" s="49" t="str">
        <f t="shared" si="1"/>
        <v>41500</v>
      </c>
      <c r="H32827" s="49">
        <f t="shared" si="2"/>
        <v>41245</v>
      </c>
    </row>
    <row r="32828">
      <c r="A32828" s="48" t="s">
        <v>11469</v>
      </c>
      <c r="B32828" s="38">
        <v>17353.0</v>
      </c>
      <c r="C32828" s="38" t="s">
        <v>37086</v>
      </c>
      <c r="D32828" s="38" t="str">
        <f>IFERROR(__xludf.DUMMYFUNCTION("REGEXREPLACE(C32828,""-\d+(.*)|--\d+(.*)"","""")"),"SAINT-LAURENT-DE-LA-PREE")</f>
        <v>SAINT-LAURENT-DE-LA-PREE</v>
      </c>
      <c r="E32828" s="38" t="s">
        <v>488</v>
      </c>
      <c r="F32828" s="38" t="s">
        <v>338</v>
      </c>
      <c r="G32828" s="49" t="str">
        <f t="shared" si="1"/>
        <v>17450</v>
      </c>
      <c r="H32828" s="49">
        <f t="shared" si="2"/>
        <v>17353</v>
      </c>
    </row>
    <row r="32829">
      <c r="A32829" s="48" t="s">
        <v>4388</v>
      </c>
      <c r="B32829" s="38">
        <v>31406.0</v>
      </c>
      <c r="C32829" s="38" t="s">
        <v>37087</v>
      </c>
      <c r="D32829" s="38" t="str">
        <f>IFERROR(__xludf.DUMMYFUNCTION("REGEXREPLACE(C32829,""-\d+(.*)|--\d+(.*)"","""")"),"PALAMINY")</f>
        <v>PALAMINY</v>
      </c>
      <c r="E32829" s="38" t="s">
        <v>93</v>
      </c>
      <c r="F32829" s="38" t="s">
        <v>94</v>
      </c>
      <c r="G32829" s="49" t="str">
        <f t="shared" si="1"/>
        <v>31220</v>
      </c>
      <c r="H32829" s="49">
        <f t="shared" si="2"/>
        <v>31406</v>
      </c>
    </row>
    <row r="32830">
      <c r="A32830" s="48" t="s">
        <v>1514</v>
      </c>
      <c r="B32830" s="38">
        <v>70312.0</v>
      </c>
      <c r="C32830" s="38" t="s">
        <v>27586</v>
      </c>
      <c r="D32830" s="38" t="str">
        <f>IFERROR(__xludf.DUMMYFUNCTION("REGEXREPLACE(C32830,""-\d+(.*)|--\d+(.*)"","""")"),"LUZE")</f>
        <v>LUZE</v>
      </c>
      <c r="E32830" s="38" t="s">
        <v>956</v>
      </c>
      <c r="F32830" s="38" t="s">
        <v>214</v>
      </c>
      <c r="G32830" s="49" t="str">
        <f t="shared" si="1"/>
        <v>70400</v>
      </c>
      <c r="H32830" s="49">
        <f t="shared" si="2"/>
        <v>70312</v>
      </c>
    </row>
    <row r="32831">
      <c r="A32831" s="48" t="s">
        <v>3450</v>
      </c>
      <c r="B32831" s="38">
        <v>60055.0</v>
      </c>
      <c r="C32831" s="38" t="s">
        <v>37088</v>
      </c>
      <c r="D32831" s="38" t="str">
        <f>IFERROR(__xludf.DUMMYFUNCTION("REGEXREPLACE(C32831,""-\d+(.*)|--\d+(.*)"","""")"),"BEAURAINS-LES-NOYON")</f>
        <v>BEAURAINS-LES-NOYON</v>
      </c>
      <c r="E32831" s="38" t="s">
        <v>112</v>
      </c>
      <c r="F32831" s="38" t="s">
        <v>113</v>
      </c>
      <c r="G32831" s="49" t="str">
        <f t="shared" si="1"/>
        <v>60400</v>
      </c>
      <c r="H32831" s="49">
        <f t="shared" si="2"/>
        <v>60055</v>
      </c>
    </row>
    <row r="32832">
      <c r="A32832" s="48" t="s">
        <v>3093</v>
      </c>
      <c r="B32832" s="38">
        <v>57397.0</v>
      </c>
      <c r="C32832" s="38" t="s">
        <v>37089</v>
      </c>
      <c r="D32832" s="38" t="str">
        <f>IFERROR(__xludf.DUMMYFUNCTION("REGEXREPLACE(C32832,""-\d+(.*)|--\d+(.*)"","""")"),"LEY")</f>
        <v>LEY</v>
      </c>
      <c r="E32832" s="38" t="s">
        <v>303</v>
      </c>
      <c r="F32832" s="38" t="s">
        <v>195</v>
      </c>
      <c r="G32832" s="49" t="str">
        <f t="shared" si="1"/>
        <v>57810</v>
      </c>
      <c r="H32832" s="49">
        <f t="shared" si="2"/>
        <v>57397</v>
      </c>
    </row>
    <row r="32833">
      <c r="A32833" s="48" t="s">
        <v>23139</v>
      </c>
      <c r="B32833" s="38" t="s">
        <v>37090</v>
      </c>
      <c r="C32833" s="38" t="s">
        <v>37091</v>
      </c>
      <c r="D32833" s="38" t="str">
        <f>IFERROR(__xludf.DUMMYFUNCTION("REGEXREPLACE(C32833,""-\d+(.*)|--\d+(.*)"","""")"),"SANT'ANDREA-D'ORCINO")</f>
        <v>SANT'ANDREA-D'ORCINO</v>
      </c>
      <c r="E32833" s="38" t="s">
        <v>606</v>
      </c>
      <c r="F32833" s="38" t="s">
        <v>607</v>
      </c>
      <c r="G32833" s="49" t="str">
        <f t="shared" si="1"/>
        <v>20151</v>
      </c>
      <c r="H32833" s="49" t="str">
        <f t="shared" si="2"/>
        <v>2A295</v>
      </c>
    </row>
    <row r="32834">
      <c r="A32834" s="48" t="s">
        <v>286</v>
      </c>
      <c r="B32834" s="38">
        <v>68341.0</v>
      </c>
      <c r="C32834" s="38" t="s">
        <v>37092</v>
      </c>
      <c r="D32834" s="38" t="str">
        <f>IFERROR(__xludf.DUMMYFUNCTION("REGEXREPLACE(C32834,""-\d+(.*)|--\d+(.*)"","""")"),"UFFHEIM")</f>
        <v>UFFHEIM</v>
      </c>
      <c r="E32834" s="38" t="s">
        <v>150</v>
      </c>
      <c r="F32834" s="38" t="s">
        <v>151</v>
      </c>
      <c r="G32834" s="49" t="str">
        <f t="shared" si="1"/>
        <v>68510</v>
      </c>
      <c r="H32834" s="49">
        <f t="shared" si="2"/>
        <v>68341</v>
      </c>
    </row>
    <row r="32835">
      <c r="A32835" s="48" t="s">
        <v>9585</v>
      </c>
      <c r="B32835" s="38">
        <v>25566.0</v>
      </c>
      <c r="C32835" s="38" t="s">
        <v>37093</v>
      </c>
      <c r="D32835" s="38" t="str">
        <f>IFERROR(__xludf.DUMMYFUNCTION("REGEXREPLACE(C32835,""-\d+(.*)|--\d+(.*)"","""")"),"LA TOUR-DE-SCAY")</f>
        <v>LA TOUR-DE-SCAY</v>
      </c>
      <c r="E32835" s="38" t="s">
        <v>213</v>
      </c>
      <c r="F32835" s="38" t="s">
        <v>214</v>
      </c>
      <c r="G32835" s="49" t="str">
        <f t="shared" si="1"/>
        <v>25640</v>
      </c>
      <c r="H32835" s="49">
        <f t="shared" si="2"/>
        <v>25566</v>
      </c>
    </row>
    <row r="32836">
      <c r="A32836" s="48" t="s">
        <v>1590</v>
      </c>
      <c r="B32836" s="38">
        <v>33175.0</v>
      </c>
      <c r="C32836" s="38" t="s">
        <v>37094</v>
      </c>
      <c r="D32836" s="38" t="str">
        <f>IFERROR(__xludf.DUMMYFUNCTION("REGEXREPLACE(C32836,""-\d+(.*)|--\d+(.*)"","""")"),"FRONTENAC")</f>
        <v>FRONTENAC</v>
      </c>
      <c r="E32836" s="38" t="s">
        <v>462</v>
      </c>
      <c r="F32836" s="38" t="s">
        <v>252</v>
      </c>
      <c r="G32836" s="49" t="str">
        <f t="shared" si="1"/>
        <v>33760</v>
      </c>
      <c r="H32836" s="49">
        <f t="shared" si="2"/>
        <v>33175</v>
      </c>
    </row>
    <row r="32837">
      <c r="A32837" s="48" t="s">
        <v>7084</v>
      </c>
      <c r="B32837" s="38">
        <v>45077.0</v>
      </c>
      <c r="C32837" s="38" t="s">
        <v>37095</v>
      </c>
      <c r="D32837" s="38" t="str">
        <f>IFERROR(__xludf.DUMMYFUNCTION("REGEXREPLACE(C32837,""-\d+(.*)|--\d+(.*)"","""")"),"LA CHAPELLE-SUR-AVEYRON")</f>
        <v>LA CHAPELLE-SUR-AVEYRON</v>
      </c>
      <c r="E32837" s="38" t="s">
        <v>122</v>
      </c>
      <c r="F32837" s="38" t="s">
        <v>123</v>
      </c>
      <c r="G32837" s="49" t="str">
        <f t="shared" si="1"/>
        <v>45230</v>
      </c>
      <c r="H32837" s="49">
        <f t="shared" si="2"/>
        <v>45077</v>
      </c>
    </row>
    <row r="32838">
      <c r="A32838" s="48" t="s">
        <v>881</v>
      </c>
      <c r="B32838" s="38">
        <v>25127.0</v>
      </c>
      <c r="C32838" s="38" t="s">
        <v>37096</v>
      </c>
      <c r="D32838" s="38" t="str">
        <f>IFERROR(__xludf.DUMMYFUNCTION("REGEXREPLACE(C32838,""-\d+(.*)|--\d+(.*)"","""")"),"CHARQUEMONT")</f>
        <v>CHARQUEMONT</v>
      </c>
      <c r="E32838" s="38" t="s">
        <v>213</v>
      </c>
      <c r="F32838" s="38" t="s">
        <v>214</v>
      </c>
      <c r="G32838" s="49" t="str">
        <f t="shared" si="1"/>
        <v>25140</v>
      </c>
      <c r="H32838" s="49">
        <f t="shared" si="2"/>
        <v>25127</v>
      </c>
    </row>
    <row r="32839">
      <c r="A32839" s="48" t="s">
        <v>1970</v>
      </c>
      <c r="B32839" s="38">
        <v>74231.0</v>
      </c>
      <c r="C32839" s="38" t="s">
        <v>6151</v>
      </c>
      <c r="D32839" s="38" t="str">
        <f>IFERROR(__xludf.DUMMYFUNCTION("REGEXREPLACE(C32839,""-\d+(.*)|--\d+(.*)"","""")"),"SAINT-EUSEBE")</f>
        <v>SAINT-EUSEBE</v>
      </c>
      <c r="E32839" s="38" t="s">
        <v>319</v>
      </c>
      <c r="F32839" s="38" t="s">
        <v>102</v>
      </c>
      <c r="G32839" s="49" t="str">
        <f t="shared" si="1"/>
        <v>74150</v>
      </c>
      <c r="H32839" s="49">
        <f t="shared" si="2"/>
        <v>74231</v>
      </c>
    </row>
    <row r="32840">
      <c r="A32840" s="48" t="s">
        <v>2176</v>
      </c>
      <c r="B32840" s="38">
        <v>62462.0</v>
      </c>
      <c r="C32840" s="38" t="s">
        <v>37097</v>
      </c>
      <c r="D32840" s="38" t="str">
        <f>IFERROR(__xludf.DUMMYFUNCTION("REGEXREPLACE(C32840,""-\d+(.*)|--\d+(.*)"","""")"),"HUCLIER")</f>
        <v>HUCLIER</v>
      </c>
      <c r="E32840" s="38" t="s">
        <v>109</v>
      </c>
      <c r="F32840" s="38" t="s">
        <v>86</v>
      </c>
      <c r="G32840" s="49" t="str">
        <f t="shared" si="1"/>
        <v>62130</v>
      </c>
      <c r="H32840" s="49">
        <f t="shared" si="2"/>
        <v>62462</v>
      </c>
    </row>
    <row r="32841">
      <c r="A32841" s="48" t="s">
        <v>2800</v>
      </c>
      <c r="B32841" s="38">
        <v>77489.0</v>
      </c>
      <c r="C32841" s="38" t="s">
        <v>37098</v>
      </c>
      <c r="D32841" s="38" t="str">
        <f>IFERROR(__xludf.DUMMYFUNCTION("REGEXREPLACE(C32841,""-\d+(.*)|--\d+(.*)"","""")"),"VAUX-SUR-LUNAIN")</f>
        <v>VAUX-SUR-LUNAIN</v>
      </c>
      <c r="E32841" s="38" t="s">
        <v>244</v>
      </c>
      <c r="F32841" s="38" t="s">
        <v>245</v>
      </c>
      <c r="G32841" s="49" t="str">
        <f t="shared" si="1"/>
        <v>77710</v>
      </c>
      <c r="H32841" s="49">
        <f t="shared" si="2"/>
        <v>77489</v>
      </c>
    </row>
    <row r="32842">
      <c r="A32842" s="48" t="s">
        <v>860</v>
      </c>
      <c r="B32842" s="38">
        <v>80198.0</v>
      </c>
      <c r="C32842" s="38" t="s">
        <v>37099</v>
      </c>
      <c r="D32842" s="38" t="str">
        <f>IFERROR(__xludf.DUMMYFUNCTION("REGEXREPLACE(C32842,""-\d+(.*)|--\d+(.*)"","""")"),"CLAIRY-SAULCHOIX")</f>
        <v>CLAIRY-SAULCHOIX</v>
      </c>
      <c r="E32842" s="38" t="s">
        <v>224</v>
      </c>
      <c r="F32842" s="38" t="s">
        <v>113</v>
      </c>
      <c r="G32842" s="49" t="str">
        <f t="shared" si="1"/>
        <v>80540</v>
      </c>
      <c r="H32842" s="49">
        <f t="shared" si="2"/>
        <v>80198</v>
      </c>
    </row>
    <row r="32843">
      <c r="A32843" s="48" t="s">
        <v>1754</v>
      </c>
      <c r="B32843" s="38">
        <v>14600.0</v>
      </c>
      <c r="C32843" s="38" t="s">
        <v>37100</v>
      </c>
      <c r="D32843" s="38" t="str">
        <f>IFERROR(__xludf.DUMMYFUNCTION("REGEXREPLACE(C32843,""-\d+(.*)|--\d+(.*)"","""")"),"SAINT-JULIEN-LE-FAUCON")</f>
        <v>SAINT-JULIEN-LE-FAUCON</v>
      </c>
      <c r="E32843" s="38" t="s">
        <v>137</v>
      </c>
      <c r="F32843" s="38" t="s">
        <v>138</v>
      </c>
      <c r="G32843" s="49" t="str">
        <f t="shared" si="1"/>
        <v>14140</v>
      </c>
      <c r="H32843" s="49">
        <f t="shared" si="2"/>
        <v>14600</v>
      </c>
    </row>
    <row r="32844">
      <c r="A32844" s="48" t="s">
        <v>222</v>
      </c>
      <c r="B32844" s="38">
        <v>80217.0</v>
      </c>
      <c r="C32844" s="38" t="s">
        <v>37101</v>
      </c>
      <c r="D32844" s="38" t="str">
        <f>IFERROR(__xludf.DUMMYFUNCTION("REGEXREPLACE(C32844,""-\d+(.*)|--\d+(.*)"","""")"),"COURCELLES-AU-BOIS")</f>
        <v>COURCELLES-AU-BOIS</v>
      </c>
      <c r="E32844" s="38" t="s">
        <v>224</v>
      </c>
      <c r="F32844" s="38" t="s">
        <v>113</v>
      </c>
      <c r="G32844" s="49" t="str">
        <f t="shared" si="1"/>
        <v>80560</v>
      </c>
      <c r="H32844" s="49">
        <f t="shared" si="2"/>
        <v>80217</v>
      </c>
    </row>
    <row r="32845">
      <c r="A32845" s="48" t="s">
        <v>3167</v>
      </c>
      <c r="B32845" s="38">
        <v>33302.0</v>
      </c>
      <c r="C32845" s="38" t="s">
        <v>37102</v>
      </c>
      <c r="D32845" s="38" t="str">
        <f>IFERROR(__xludf.DUMMYFUNCTION("REGEXREPLACE(C32845,""-\d+(.*)|--\d+(.*)"","""")"),"NEAC")</f>
        <v>NEAC</v>
      </c>
      <c r="E32845" s="38" t="s">
        <v>462</v>
      </c>
      <c r="F32845" s="38" t="s">
        <v>252</v>
      </c>
      <c r="G32845" s="49" t="str">
        <f t="shared" si="1"/>
        <v>33500</v>
      </c>
      <c r="H32845" s="49">
        <f t="shared" si="2"/>
        <v>33302</v>
      </c>
    </row>
    <row r="32846">
      <c r="A32846" s="48" t="s">
        <v>18641</v>
      </c>
      <c r="B32846" s="38">
        <v>14021.0</v>
      </c>
      <c r="C32846" s="38" t="s">
        <v>37103</v>
      </c>
      <c r="D32846" s="38" t="str">
        <f>IFERROR(__xludf.DUMMYFUNCTION("REGEXREPLACE(C32846,""-\d+(.*)|--\d+(.*)"","""")"),"ARROMANCHES-LES-BAINS")</f>
        <v>ARROMANCHES-LES-BAINS</v>
      </c>
      <c r="E32846" s="38" t="s">
        <v>137</v>
      </c>
      <c r="F32846" s="38" t="s">
        <v>138</v>
      </c>
      <c r="G32846" s="49" t="str">
        <f t="shared" si="1"/>
        <v>14117</v>
      </c>
      <c r="H32846" s="49">
        <f t="shared" si="2"/>
        <v>14021</v>
      </c>
    </row>
    <row r="32847">
      <c r="A32847" s="48" t="s">
        <v>7843</v>
      </c>
      <c r="B32847" s="38">
        <v>49042.0</v>
      </c>
      <c r="C32847" s="38" t="s">
        <v>37104</v>
      </c>
      <c r="D32847" s="38" t="str">
        <f>IFERROR(__xludf.DUMMYFUNCTION("REGEXREPLACE(C32847,""-\d+(.*)|--\d+(.*)"","""")"),"BRAIN-SUR-L'AUTHION")</f>
        <v>BRAIN-SUR-L'AUTHION</v>
      </c>
      <c r="E32847" s="38" t="s">
        <v>653</v>
      </c>
      <c r="F32847" s="38" t="s">
        <v>180</v>
      </c>
      <c r="G32847" s="49" t="str">
        <f t="shared" si="1"/>
        <v>49800</v>
      </c>
      <c r="H32847" s="49">
        <f t="shared" si="2"/>
        <v>49042</v>
      </c>
    </row>
    <row r="32848">
      <c r="A32848" s="48" t="s">
        <v>22188</v>
      </c>
      <c r="B32848" s="38">
        <v>14290.0</v>
      </c>
      <c r="C32848" s="38" t="s">
        <v>37105</v>
      </c>
      <c r="D32848" s="38" t="str">
        <f>IFERROR(__xludf.DUMMYFUNCTION("REGEXREPLACE(C32848,""-\d+(.*)|--\d+(.*)"","""")"),"FRESNEY-LE-PUCEUX")</f>
        <v>FRESNEY-LE-PUCEUX</v>
      </c>
      <c r="E32848" s="38" t="s">
        <v>137</v>
      </c>
      <c r="F32848" s="38" t="s">
        <v>138</v>
      </c>
      <c r="G32848" s="49" t="str">
        <f t="shared" si="1"/>
        <v>14680</v>
      </c>
      <c r="H32848" s="49">
        <f t="shared" si="2"/>
        <v>14290</v>
      </c>
    </row>
    <row r="32849">
      <c r="A32849" s="48" t="s">
        <v>1356</v>
      </c>
      <c r="B32849" s="38">
        <v>57050.0</v>
      </c>
      <c r="C32849" s="38" t="s">
        <v>37106</v>
      </c>
      <c r="D32849" s="38" t="str">
        <f>IFERROR(__xludf.DUMMYFUNCTION("REGEXREPLACE(C32849,""-\d+(.*)|--\d+(.*)"","""")"),"BARCHAIN")</f>
        <v>BARCHAIN</v>
      </c>
      <c r="E32849" s="38" t="s">
        <v>303</v>
      </c>
      <c r="F32849" s="38" t="s">
        <v>195</v>
      </c>
      <c r="G32849" s="49" t="str">
        <f t="shared" si="1"/>
        <v>57830</v>
      </c>
      <c r="H32849" s="49">
        <f t="shared" si="2"/>
        <v>57050</v>
      </c>
    </row>
    <row r="32850">
      <c r="A32850" s="48" t="s">
        <v>8107</v>
      </c>
      <c r="B32850" s="38">
        <v>86278.0</v>
      </c>
      <c r="C32850" s="38" t="s">
        <v>1771</v>
      </c>
      <c r="D32850" s="38" t="str">
        <f>IFERROR(__xludf.DUMMYFUNCTION("REGEXREPLACE(C32850,""-\d+(.*)|--\d+(.*)"","""")"),"VAUX")</f>
        <v>VAUX</v>
      </c>
      <c r="E32850" s="38" t="s">
        <v>529</v>
      </c>
      <c r="F32850" s="38" t="s">
        <v>338</v>
      </c>
      <c r="G32850" s="49" t="str">
        <f t="shared" si="1"/>
        <v>86700</v>
      </c>
      <c r="H32850" s="49">
        <f t="shared" si="2"/>
        <v>86278</v>
      </c>
    </row>
    <row r="32851">
      <c r="A32851" s="48" t="s">
        <v>2052</v>
      </c>
      <c r="B32851" s="38">
        <v>80819.0</v>
      </c>
      <c r="C32851" s="38" t="s">
        <v>37107</v>
      </c>
      <c r="D32851" s="38" t="str">
        <f>IFERROR(__xludf.DUMMYFUNCTION("REGEXREPLACE(C32851,""-\d+(.*)|--\d+(.*)"","""")"),"WARGNIES")</f>
        <v>WARGNIES</v>
      </c>
      <c r="E32851" s="38" t="s">
        <v>224</v>
      </c>
      <c r="F32851" s="38" t="s">
        <v>113</v>
      </c>
      <c r="G32851" s="49" t="str">
        <f t="shared" si="1"/>
        <v>80670</v>
      </c>
      <c r="H32851" s="49">
        <f t="shared" si="2"/>
        <v>80819</v>
      </c>
    </row>
    <row r="32852">
      <c r="A32852" s="48" t="s">
        <v>1630</v>
      </c>
      <c r="B32852" s="38">
        <v>57088.0</v>
      </c>
      <c r="C32852" s="38" t="s">
        <v>37108</v>
      </c>
      <c r="D32852" s="38" t="str">
        <f>IFERROR(__xludf.DUMMYFUNCTION("REGEXREPLACE(C32852,""-\d+(.*)|--\d+(.*)"","""")"),"BISTROFF")</f>
        <v>BISTROFF</v>
      </c>
      <c r="E32852" s="38" t="s">
        <v>303</v>
      </c>
      <c r="F32852" s="38" t="s">
        <v>195</v>
      </c>
      <c r="G32852" s="49" t="str">
        <f t="shared" si="1"/>
        <v>57660</v>
      </c>
      <c r="H32852" s="49">
        <f t="shared" si="2"/>
        <v>57088</v>
      </c>
    </row>
    <row r="32853">
      <c r="A32853" s="48" t="s">
        <v>3039</v>
      </c>
      <c r="B32853" s="38">
        <v>76305.0</v>
      </c>
      <c r="C32853" s="38" t="s">
        <v>37109</v>
      </c>
      <c r="D32853" s="38" t="str">
        <f>IFERROR(__xludf.DUMMYFUNCTION("REGEXREPLACE(C32853,""-\d+(.*)|--\d+(.*)"","""")"),"GONFREVILLE-L'ORCHER")</f>
        <v>GONFREVILLE-L'ORCHER</v>
      </c>
      <c r="E32853" s="38" t="s">
        <v>133</v>
      </c>
      <c r="F32853" s="38" t="s">
        <v>134</v>
      </c>
      <c r="G32853" s="49" t="str">
        <f t="shared" si="1"/>
        <v>76700</v>
      </c>
      <c r="H32853" s="49">
        <f t="shared" si="2"/>
        <v>76305</v>
      </c>
    </row>
    <row r="32854">
      <c r="A32854" s="48" t="s">
        <v>7514</v>
      </c>
      <c r="B32854" s="38">
        <v>88350.0</v>
      </c>
      <c r="C32854" s="38" t="s">
        <v>37110</v>
      </c>
      <c r="D32854" s="38" t="str">
        <f>IFERROR(__xludf.DUMMYFUNCTION("REGEXREPLACE(C32854,""-\d+(.*)|--\d+(.*)"","""")"),"PLEUVEZAIN")</f>
        <v>PLEUVEZAIN</v>
      </c>
      <c r="E32854" s="38" t="s">
        <v>194</v>
      </c>
      <c r="F32854" s="38" t="s">
        <v>195</v>
      </c>
      <c r="G32854" s="49" t="str">
        <f t="shared" si="1"/>
        <v>88170</v>
      </c>
      <c r="H32854" s="49">
        <f t="shared" si="2"/>
        <v>88350</v>
      </c>
    </row>
    <row r="32855">
      <c r="A32855" s="48" t="s">
        <v>8122</v>
      </c>
      <c r="B32855" s="38">
        <v>42281.0</v>
      </c>
      <c r="C32855" s="38" t="s">
        <v>37111</v>
      </c>
      <c r="D32855" s="38" t="str">
        <f>IFERROR(__xludf.DUMMYFUNCTION("REGEXREPLACE(C32855,""-\d+(.*)|--\d+(.*)"","""")"),"SAINT-RIRAND")</f>
        <v>SAINT-RIRAND</v>
      </c>
      <c r="E32855" s="38" t="s">
        <v>166</v>
      </c>
      <c r="F32855" s="38" t="s">
        <v>102</v>
      </c>
      <c r="G32855" s="49" t="str">
        <f t="shared" si="1"/>
        <v>42370</v>
      </c>
      <c r="H32855" s="49">
        <f t="shared" si="2"/>
        <v>42281</v>
      </c>
    </row>
    <row r="32856">
      <c r="A32856" s="48" t="s">
        <v>10710</v>
      </c>
      <c r="B32856" s="38">
        <v>77443.0</v>
      </c>
      <c r="C32856" s="38" t="s">
        <v>23389</v>
      </c>
      <c r="D32856" s="38" t="str">
        <f>IFERROR(__xludf.DUMMYFUNCTION("REGEXREPLACE(C32856,""-\d+(.*)|--\d+(.*)"","""")"),"SANCY")</f>
        <v>SANCY</v>
      </c>
      <c r="E32856" s="38" t="s">
        <v>244</v>
      </c>
      <c r="F32856" s="38" t="s">
        <v>245</v>
      </c>
      <c r="G32856" s="49" t="str">
        <f t="shared" si="1"/>
        <v>77580</v>
      </c>
      <c r="H32856" s="49">
        <f t="shared" si="2"/>
        <v>77443</v>
      </c>
    </row>
    <row r="32857">
      <c r="A32857" s="48" t="s">
        <v>1483</v>
      </c>
      <c r="B32857" s="38">
        <v>80512.0</v>
      </c>
      <c r="C32857" s="38" t="s">
        <v>37112</v>
      </c>
      <c r="D32857" s="38" t="str">
        <f>IFERROR(__xludf.DUMMYFUNCTION("REGEXREPLACE(C32857,""-\d+(.*)|--\d+(.*)"","""")"),"MAREUIL-CAUBERT")</f>
        <v>MAREUIL-CAUBERT</v>
      </c>
      <c r="E32857" s="38" t="s">
        <v>224</v>
      </c>
      <c r="F32857" s="38" t="s">
        <v>113</v>
      </c>
      <c r="G32857" s="49" t="str">
        <f t="shared" si="1"/>
        <v>80132</v>
      </c>
      <c r="H32857" s="49">
        <f t="shared" si="2"/>
        <v>80512</v>
      </c>
    </row>
    <row r="32858">
      <c r="A32858" s="48" t="s">
        <v>1483</v>
      </c>
      <c r="B32858" s="38">
        <v>80149.0</v>
      </c>
      <c r="C32858" s="38" t="s">
        <v>37113</v>
      </c>
      <c r="D32858" s="38" t="str">
        <f>IFERROR(__xludf.DUMMYFUNCTION("REGEXREPLACE(C32858,""-\d+(.*)|--\d+(.*)"","""")"),"BUIGNY-SAINT-MACLOU")</f>
        <v>BUIGNY-SAINT-MACLOU</v>
      </c>
      <c r="E32858" s="38" t="s">
        <v>224</v>
      </c>
      <c r="F32858" s="38" t="s">
        <v>113</v>
      </c>
      <c r="G32858" s="49" t="str">
        <f t="shared" si="1"/>
        <v>80132</v>
      </c>
      <c r="H32858" s="49">
        <f t="shared" si="2"/>
        <v>80149</v>
      </c>
    </row>
    <row r="32859">
      <c r="A32859" s="48" t="s">
        <v>2957</v>
      </c>
      <c r="B32859" s="38">
        <v>86153.0</v>
      </c>
      <c r="C32859" s="38" t="s">
        <v>10143</v>
      </c>
      <c r="D32859" s="38" t="str">
        <f>IFERROR(__xludf.DUMMYFUNCTION("REGEXREPLACE(C32859,""-\d+(.*)|--\d+(.*)"","""")"),"MAZEROLLES")</f>
        <v>MAZEROLLES</v>
      </c>
      <c r="E32859" s="38" t="s">
        <v>529</v>
      </c>
      <c r="F32859" s="38" t="s">
        <v>338</v>
      </c>
      <c r="G32859" s="49" t="str">
        <f t="shared" si="1"/>
        <v>86320</v>
      </c>
      <c r="H32859" s="49">
        <f t="shared" si="2"/>
        <v>86153</v>
      </c>
    </row>
    <row r="32860">
      <c r="A32860" s="48" t="s">
        <v>18876</v>
      </c>
      <c r="B32860" s="38">
        <v>22111.0</v>
      </c>
      <c r="C32860" s="38" t="s">
        <v>37114</v>
      </c>
      <c r="D32860" s="38" t="str">
        <f>IFERROR(__xludf.DUMMYFUNCTION("REGEXREPLACE(C32860,""-\d+(.*)|--\d+(.*)"","""")"),"LANMODEZ")</f>
        <v>LANMODEZ</v>
      </c>
      <c r="E32860" s="38" t="s">
        <v>89</v>
      </c>
      <c r="F32860" s="38" t="s">
        <v>90</v>
      </c>
      <c r="G32860" s="49" t="str">
        <f t="shared" si="1"/>
        <v>22610</v>
      </c>
      <c r="H32860" s="49">
        <f t="shared" si="2"/>
        <v>22111</v>
      </c>
    </row>
    <row r="32861">
      <c r="A32861" s="48" t="s">
        <v>8515</v>
      </c>
      <c r="B32861" s="38">
        <v>8315.0</v>
      </c>
      <c r="C32861" s="38" t="s">
        <v>37115</v>
      </c>
      <c r="D32861" s="38" t="str">
        <f>IFERROR(__xludf.DUMMYFUNCTION("REGEXREPLACE(C32861,""-\d+(.*)|--\d+(.*)"","""")"),"NEUFMAISON")</f>
        <v>NEUFMAISON</v>
      </c>
      <c r="E32861" s="38" t="s">
        <v>327</v>
      </c>
      <c r="F32861" s="38" t="s">
        <v>130</v>
      </c>
      <c r="G32861" s="49" t="str">
        <f t="shared" si="1"/>
        <v>08460</v>
      </c>
      <c r="H32861" s="49" t="str">
        <f t="shared" si="2"/>
        <v>08315</v>
      </c>
    </row>
    <row r="32862">
      <c r="A32862" s="48" t="s">
        <v>5470</v>
      </c>
      <c r="B32862" s="38">
        <v>65362.0</v>
      </c>
      <c r="C32862" s="38" t="s">
        <v>37116</v>
      </c>
      <c r="D32862" s="38" t="str">
        <f>IFERROR(__xludf.DUMMYFUNCTION("REGEXREPLACE(C32862,""-\d+(.*)|--\d+(.*)"","""")"),"PIERREFITTE-NESTALAS")</f>
        <v>PIERREFITTE-NESTALAS</v>
      </c>
      <c r="E32862" s="38" t="s">
        <v>200</v>
      </c>
      <c r="F32862" s="38" t="s">
        <v>94</v>
      </c>
      <c r="G32862" s="49" t="str">
        <f t="shared" si="1"/>
        <v>65260</v>
      </c>
      <c r="H32862" s="49">
        <f t="shared" si="2"/>
        <v>65362</v>
      </c>
    </row>
    <row r="32863">
      <c r="A32863" s="48" t="s">
        <v>16813</v>
      </c>
      <c r="B32863" s="38">
        <v>36202.0</v>
      </c>
      <c r="C32863" s="38" t="s">
        <v>16952</v>
      </c>
      <c r="D32863" s="38" t="str">
        <f>IFERROR(__xludf.DUMMYFUNCTION("REGEXREPLACE(C32863,""-\d+(.*)|--\d+(.*)"","""")"),"SAINT-MAUR")</f>
        <v>SAINT-MAUR</v>
      </c>
      <c r="E32863" s="38" t="s">
        <v>258</v>
      </c>
      <c r="F32863" s="38" t="s">
        <v>123</v>
      </c>
      <c r="G32863" s="49" t="str">
        <f t="shared" si="1"/>
        <v>36250</v>
      </c>
      <c r="H32863" s="49">
        <f t="shared" si="2"/>
        <v>36202</v>
      </c>
    </row>
    <row r="32864">
      <c r="A32864" s="48" t="s">
        <v>5596</v>
      </c>
      <c r="B32864" s="38">
        <v>25386.0</v>
      </c>
      <c r="C32864" s="38" t="s">
        <v>37117</v>
      </c>
      <c r="D32864" s="38" t="str">
        <f>IFERROR(__xludf.DUMMYFUNCTION("REGEXREPLACE(C32864,""-\d+(.*)|--\d+(.*)"","""")"),"MONTANCY")</f>
        <v>MONTANCY</v>
      </c>
      <c r="E32864" s="38" t="s">
        <v>213</v>
      </c>
      <c r="F32864" s="38" t="s">
        <v>214</v>
      </c>
      <c r="G32864" s="49" t="str">
        <f t="shared" si="1"/>
        <v>25190</v>
      </c>
      <c r="H32864" s="49">
        <f t="shared" si="2"/>
        <v>25386</v>
      </c>
    </row>
    <row r="32865">
      <c r="A32865" s="48" t="s">
        <v>4706</v>
      </c>
      <c r="B32865" s="38">
        <v>74200.0</v>
      </c>
      <c r="C32865" s="38" t="s">
        <v>37118</v>
      </c>
      <c r="D32865" s="38" t="str">
        <f>IFERROR(__xludf.DUMMYFUNCTION("REGEXREPLACE(C32865,""-\d+(.*)|--\d+(.*)"","""")"),"NEUVECELLE")</f>
        <v>NEUVECELLE</v>
      </c>
      <c r="E32865" s="38" t="s">
        <v>319</v>
      </c>
      <c r="F32865" s="38" t="s">
        <v>102</v>
      </c>
      <c r="G32865" s="49" t="str">
        <f t="shared" si="1"/>
        <v>74500</v>
      </c>
      <c r="H32865" s="49">
        <f t="shared" si="2"/>
        <v>74200</v>
      </c>
    </row>
    <row r="32866">
      <c r="A32866" s="48" t="s">
        <v>1495</v>
      </c>
      <c r="B32866" s="38">
        <v>33401.0</v>
      </c>
      <c r="C32866" s="38" t="s">
        <v>31328</v>
      </c>
      <c r="D32866" s="38" t="str">
        <f>IFERROR(__xludf.DUMMYFUNCTION("REGEXREPLACE(C32866,""-\d+(.*)|--\d+(.*)"","""")"),"SAINTE-FLORENCE")</f>
        <v>SAINTE-FLORENCE</v>
      </c>
      <c r="E32866" s="38" t="s">
        <v>462</v>
      </c>
      <c r="F32866" s="38" t="s">
        <v>252</v>
      </c>
      <c r="G32866" s="49" t="str">
        <f t="shared" si="1"/>
        <v>33350</v>
      </c>
      <c r="H32866" s="49">
        <f t="shared" si="2"/>
        <v>33401</v>
      </c>
    </row>
    <row r="32867">
      <c r="A32867" s="48" t="s">
        <v>1731</v>
      </c>
      <c r="B32867" s="38">
        <v>38542.0</v>
      </c>
      <c r="C32867" s="38" t="s">
        <v>37119</v>
      </c>
      <c r="D32867" s="38" t="str">
        <f>IFERROR(__xludf.DUMMYFUNCTION("REGEXREPLACE(C32867,""-\d+(.*)|--\d+(.*)"","""")"),"VEYSSILIEU")</f>
        <v>VEYSSILIEU</v>
      </c>
      <c r="E32867" s="38" t="s">
        <v>101</v>
      </c>
      <c r="F32867" s="38" t="s">
        <v>102</v>
      </c>
      <c r="G32867" s="49" t="str">
        <f t="shared" si="1"/>
        <v>38460</v>
      </c>
      <c r="H32867" s="49">
        <f t="shared" si="2"/>
        <v>38542</v>
      </c>
    </row>
    <row r="32868">
      <c r="A32868" s="48" t="s">
        <v>1293</v>
      </c>
      <c r="B32868" s="38">
        <v>25530.0</v>
      </c>
      <c r="C32868" s="38" t="s">
        <v>37120</v>
      </c>
      <c r="D32868" s="38" t="str">
        <f>IFERROR(__xludf.DUMMYFUNCTION("REGEXREPLACE(C32868,""-\d+(.*)|--\d+(.*)"","""")"),"SANCEY-LE-LONG")</f>
        <v>SANCEY-LE-LONG</v>
      </c>
      <c r="E32868" s="38" t="s">
        <v>213</v>
      </c>
      <c r="F32868" s="38" t="s">
        <v>214</v>
      </c>
      <c r="G32868" s="49" t="str">
        <f t="shared" si="1"/>
        <v>25430</v>
      </c>
      <c r="H32868" s="49">
        <f t="shared" si="2"/>
        <v>25530</v>
      </c>
    </row>
    <row r="32869">
      <c r="A32869" s="48" t="s">
        <v>1742</v>
      </c>
      <c r="B32869" s="38">
        <v>21483.0</v>
      </c>
      <c r="C32869" s="38" t="s">
        <v>37121</v>
      </c>
      <c r="D32869" s="38" t="str">
        <f>IFERROR(__xludf.DUMMYFUNCTION("REGEXREPLACE(C32869,""-\d+(.*)|--\d+(.*)"","""")"),"PICHANGES")</f>
        <v>PICHANGES</v>
      </c>
      <c r="E32869" s="38" t="s">
        <v>105</v>
      </c>
      <c r="F32869" s="38" t="s">
        <v>106</v>
      </c>
      <c r="G32869" s="49" t="str">
        <f t="shared" si="1"/>
        <v>21120</v>
      </c>
      <c r="H32869" s="49">
        <f t="shared" si="2"/>
        <v>21483</v>
      </c>
    </row>
    <row r="32870">
      <c r="A32870" s="48" t="s">
        <v>3434</v>
      </c>
      <c r="B32870" s="38">
        <v>11114.0</v>
      </c>
      <c r="C32870" s="38" t="s">
        <v>37122</v>
      </c>
      <c r="D32870" s="38" t="str">
        <f>IFERROR(__xludf.DUMMYFUNCTION("REGEXREPLACE(C32870,""-\d+(.*)|--\d+(.*)"","""")"),"CUMIES")</f>
        <v>CUMIES</v>
      </c>
      <c r="E32870" s="38" t="s">
        <v>278</v>
      </c>
      <c r="F32870" s="38" t="s">
        <v>119</v>
      </c>
      <c r="G32870" s="49" t="str">
        <f t="shared" si="1"/>
        <v>11410</v>
      </c>
      <c r="H32870" s="49">
        <f t="shared" si="2"/>
        <v>11114</v>
      </c>
    </row>
    <row r="32871">
      <c r="A32871" s="48" t="s">
        <v>12692</v>
      </c>
      <c r="B32871" s="38">
        <v>47012.0</v>
      </c>
      <c r="C32871" s="38" t="s">
        <v>37123</v>
      </c>
      <c r="D32871" s="38" t="str">
        <f>IFERROR(__xludf.DUMMYFUNCTION("REGEXREPLACE(C32871,""-\d+(.*)|--\d+(.*)"","""")"),"ANZEX")</f>
        <v>ANZEX</v>
      </c>
      <c r="E32871" s="38" t="s">
        <v>251</v>
      </c>
      <c r="F32871" s="38" t="s">
        <v>252</v>
      </c>
      <c r="G32871" s="49" t="str">
        <f t="shared" si="1"/>
        <v>47700</v>
      </c>
      <c r="H32871" s="49">
        <f t="shared" si="2"/>
        <v>47012</v>
      </c>
    </row>
    <row r="32872">
      <c r="A32872" s="48" t="s">
        <v>256</v>
      </c>
      <c r="B32872" s="38">
        <v>36130.0</v>
      </c>
      <c r="C32872" s="38" t="s">
        <v>37124</v>
      </c>
      <c r="D32872" s="38" t="str">
        <f>IFERROR(__xludf.DUMMYFUNCTION("REGEXREPLACE(C32872,""-\d+(.*)|--\d+(.*)"","""")"),"MONTLEVICQ")</f>
        <v>MONTLEVICQ</v>
      </c>
      <c r="E32872" s="38" t="s">
        <v>258</v>
      </c>
      <c r="F32872" s="38" t="s">
        <v>123</v>
      </c>
      <c r="G32872" s="49" t="str">
        <f t="shared" si="1"/>
        <v>36400</v>
      </c>
      <c r="H32872" s="49">
        <f t="shared" si="2"/>
        <v>36130</v>
      </c>
    </row>
    <row r="32873">
      <c r="A32873" s="48" t="s">
        <v>1100</v>
      </c>
      <c r="B32873" s="38">
        <v>8147.0</v>
      </c>
      <c r="C32873" s="38" t="s">
        <v>37125</v>
      </c>
      <c r="D32873" s="38" t="str">
        <f>IFERROR(__xludf.DUMMYFUNCTION("REGEXREPLACE(C32873,""-\d+(.*)|--\d+(.*)"","""")"),"DRICOURT")</f>
        <v>DRICOURT</v>
      </c>
      <c r="E32873" s="38" t="s">
        <v>327</v>
      </c>
      <c r="F32873" s="38" t="s">
        <v>130</v>
      </c>
      <c r="G32873" s="49" t="str">
        <f t="shared" si="1"/>
        <v>08310</v>
      </c>
      <c r="H32873" s="49" t="str">
        <f t="shared" si="2"/>
        <v>08147</v>
      </c>
    </row>
    <row r="32874">
      <c r="A32874" s="48" t="s">
        <v>12281</v>
      </c>
      <c r="B32874" s="38">
        <v>54549.0</v>
      </c>
      <c r="C32874" s="38" t="s">
        <v>37126</v>
      </c>
      <c r="D32874" s="38" t="str">
        <f>IFERROR(__xludf.DUMMYFUNCTION("REGEXREPLACE(C32874,""-\d+(.*)|--\d+(.*)"","""")"),"VARANGEVILLE")</f>
        <v>VARANGEVILLE</v>
      </c>
      <c r="E32874" s="38" t="s">
        <v>548</v>
      </c>
      <c r="F32874" s="38" t="s">
        <v>195</v>
      </c>
      <c r="G32874" s="49" t="str">
        <f t="shared" si="1"/>
        <v>54110</v>
      </c>
      <c r="H32874" s="49">
        <f t="shared" si="2"/>
        <v>54549</v>
      </c>
    </row>
    <row r="32875">
      <c r="A32875" s="48" t="s">
        <v>8806</v>
      </c>
      <c r="B32875" s="38">
        <v>5025.0</v>
      </c>
      <c r="C32875" s="38" t="s">
        <v>37127</v>
      </c>
      <c r="D32875" s="38" t="str">
        <f>IFERROR(__xludf.DUMMYFUNCTION("REGEXREPLACE(C32875,""-\d+(.*)|--\d+(.*)"","""")"),"BUISSARD")</f>
        <v>BUISSARD</v>
      </c>
      <c r="E32875" s="38" t="s">
        <v>706</v>
      </c>
      <c r="F32875" s="38" t="s">
        <v>228</v>
      </c>
      <c r="G32875" s="49" t="str">
        <f t="shared" si="1"/>
        <v>05500</v>
      </c>
      <c r="H32875" s="49" t="str">
        <f t="shared" si="2"/>
        <v>05025</v>
      </c>
    </row>
    <row r="32876">
      <c r="A32876" s="48" t="s">
        <v>5304</v>
      </c>
      <c r="B32876" s="38">
        <v>27188.0</v>
      </c>
      <c r="C32876" s="38" t="s">
        <v>37128</v>
      </c>
      <c r="D32876" s="38" t="str">
        <f>IFERROR(__xludf.DUMMYFUNCTION("REGEXREPLACE(C32876,""-\d+(.*)|--\d+(.*)"","""")"),"CRIQUEBEUF-SUR-SEINE")</f>
        <v>CRIQUEBEUF-SUR-SEINE</v>
      </c>
      <c r="E32876" s="38" t="s">
        <v>241</v>
      </c>
      <c r="F32876" s="38" t="s">
        <v>134</v>
      </c>
      <c r="G32876" s="49" t="str">
        <f t="shared" si="1"/>
        <v>27340</v>
      </c>
      <c r="H32876" s="49">
        <f t="shared" si="2"/>
        <v>27188</v>
      </c>
    </row>
    <row r="32877">
      <c r="A32877" s="48" t="s">
        <v>1661</v>
      </c>
      <c r="B32877" s="38">
        <v>36225.0</v>
      </c>
      <c r="C32877" s="38" t="s">
        <v>37129</v>
      </c>
      <c r="D32877" s="38" t="str">
        <f>IFERROR(__xludf.DUMMYFUNCTION("REGEXREPLACE(C32877,""-\d+(.*)|--\d+(.*)"","""")"),"LE TRANGER")</f>
        <v>LE TRANGER</v>
      </c>
      <c r="E32877" s="38" t="s">
        <v>258</v>
      </c>
      <c r="F32877" s="38" t="s">
        <v>123</v>
      </c>
      <c r="G32877" s="49" t="str">
        <f t="shared" si="1"/>
        <v>36700</v>
      </c>
      <c r="H32877" s="49">
        <f t="shared" si="2"/>
        <v>36225</v>
      </c>
    </row>
    <row r="32878">
      <c r="A32878" s="48" t="s">
        <v>211</v>
      </c>
      <c r="B32878" s="38">
        <v>25346.0</v>
      </c>
      <c r="C32878" s="38" t="s">
        <v>37130</v>
      </c>
      <c r="D32878" s="38" t="str">
        <f>IFERROR(__xludf.DUMMYFUNCTION("REGEXREPLACE(C32878,""-\d+(.*)|--\d+(.*)"","""")"),"LONGEVILLE")</f>
        <v>LONGEVILLE</v>
      </c>
      <c r="E32878" s="38" t="s">
        <v>213</v>
      </c>
      <c r="F32878" s="38" t="s">
        <v>214</v>
      </c>
      <c r="G32878" s="49" t="str">
        <f t="shared" si="1"/>
        <v>25330</v>
      </c>
      <c r="H32878" s="49">
        <f t="shared" si="2"/>
        <v>25346</v>
      </c>
    </row>
    <row r="32879">
      <c r="A32879" s="48" t="s">
        <v>37131</v>
      </c>
      <c r="B32879" s="38">
        <v>83092.0</v>
      </c>
      <c r="C32879" s="38" t="s">
        <v>37132</v>
      </c>
      <c r="D32879" s="38" t="str">
        <f>IFERROR(__xludf.DUMMYFUNCTION("REGEXREPLACE(C32879,""-\d+(.*)|--\d+(.*)"","""")"),"PIGNANS")</f>
        <v>PIGNANS</v>
      </c>
      <c r="E32879" s="38" t="s">
        <v>813</v>
      </c>
      <c r="F32879" s="38" t="s">
        <v>228</v>
      </c>
      <c r="G32879" s="49" t="str">
        <f t="shared" si="1"/>
        <v>83790</v>
      </c>
      <c r="H32879" s="49">
        <f t="shared" si="2"/>
        <v>83092</v>
      </c>
    </row>
    <row r="32880">
      <c r="A32880" s="48" t="s">
        <v>1323</v>
      </c>
      <c r="B32880" s="38">
        <v>21229.0</v>
      </c>
      <c r="C32880" s="38" t="s">
        <v>37133</v>
      </c>
      <c r="D32880" s="38" t="str">
        <f>IFERROR(__xludf.DUMMYFUNCTION("REGEXREPLACE(C32880,""-\d+(.*)|--\d+(.*)"","""")"),"DIANCEY")</f>
        <v>DIANCEY</v>
      </c>
      <c r="E32880" s="38" t="s">
        <v>105</v>
      </c>
      <c r="F32880" s="38" t="s">
        <v>106</v>
      </c>
      <c r="G32880" s="49" t="str">
        <f t="shared" si="1"/>
        <v>21430</v>
      </c>
      <c r="H32880" s="49">
        <f t="shared" si="2"/>
        <v>21229</v>
      </c>
    </row>
    <row r="32881">
      <c r="A32881" s="48" t="s">
        <v>11481</v>
      </c>
      <c r="B32881" s="38">
        <v>33146.0</v>
      </c>
      <c r="C32881" s="38" t="s">
        <v>37134</v>
      </c>
      <c r="D32881" s="38" t="str">
        <f>IFERROR(__xludf.DUMMYFUNCTION("REGEXREPLACE(C32881,""-\d+(.*)|--\d+(.*)"","""")"),"CUSSAC-FORT-MEDOC")</f>
        <v>CUSSAC-FORT-MEDOC</v>
      </c>
      <c r="E32881" s="38" t="s">
        <v>462</v>
      </c>
      <c r="F32881" s="38" t="s">
        <v>252</v>
      </c>
      <c r="G32881" s="49" t="str">
        <f t="shared" si="1"/>
        <v>33460</v>
      </c>
      <c r="H32881" s="49">
        <f t="shared" si="2"/>
        <v>33146</v>
      </c>
    </row>
    <row r="32882">
      <c r="A32882" s="48" t="s">
        <v>12322</v>
      </c>
      <c r="B32882" s="38">
        <v>89050.0</v>
      </c>
      <c r="C32882" s="38" t="s">
        <v>37135</v>
      </c>
      <c r="D32882" s="38" t="str">
        <f>IFERROR(__xludf.DUMMYFUNCTION("REGEXREPLACE(C32882,""-\d+(.*)|--\d+(.*)"","""")"),"BONNARD")</f>
        <v>BONNARD</v>
      </c>
      <c r="E32882" s="38" t="s">
        <v>275</v>
      </c>
      <c r="F32882" s="38" t="s">
        <v>106</v>
      </c>
      <c r="G32882" s="49" t="str">
        <f t="shared" si="1"/>
        <v>89400</v>
      </c>
      <c r="H32882" s="49">
        <f t="shared" si="2"/>
        <v>89050</v>
      </c>
    </row>
    <row r="32883">
      <c r="A32883" s="48" t="s">
        <v>12799</v>
      </c>
      <c r="B32883" s="38">
        <v>11012.0</v>
      </c>
      <c r="C32883" s="38" t="s">
        <v>37136</v>
      </c>
      <c r="D32883" s="38" t="str">
        <f>IFERROR(__xludf.DUMMYFUNCTION("REGEXREPLACE(C32883,""-\d+(.*)|--\d+(.*)"","""")"),"ARGELIERS")</f>
        <v>ARGELIERS</v>
      </c>
      <c r="E32883" s="38" t="s">
        <v>278</v>
      </c>
      <c r="F32883" s="38" t="s">
        <v>119</v>
      </c>
      <c r="G32883" s="49" t="str">
        <f t="shared" si="1"/>
        <v>11120</v>
      </c>
      <c r="H32883" s="49">
        <f t="shared" si="2"/>
        <v>11012</v>
      </c>
    </row>
    <row r="32884">
      <c r="A32884" s="48" t="s">
        <v>7399</v>
      </c>
      <c r="B32884" s="38">
        <v>28252.0</v>
      </c>
      <c r="C32884" s="38" t="s">
        <v>37137</v>
      </c>
      <c r="D32884" s="38" t="str">
        <f>IFERROR(__xludf.DUMMYFUNCTION("REGEXREPLACE(C32884,""-\d+(.*)|--\d+(.*)"","""")"),"MIERMAIGNE")</f>
        <v>MIERMAIGNE</v>
      </c>
      <c r="E32884" s="38" t="s">
        <v>300</v>
      </c>
      <c r="F32884" s="38" t="s">
        <v>123</v>
      </c>
      <c r="G32884" s="49" t="str">
        <f t="shared" si="1"/>
        <v>28480</v>
      </c>
      <c r="H32884" s="49">
        <f t="shared" si="2"/>
        <v>28252</v>
      </c>
    </row>
    <row r="32885">
      <c r="A32885" s="48" t="s">
        <v>33610</v>
      </c>
      <c r="B32885" s="38">
        <v>85155.0</v>
      </c>
      <c r="C32885" s="38" t="s">
        <v>37138</v>
      </c>
      <c r="D32885" s="38" t="str">
        <f>IFERROR(__xludf.DUMMYFUNCTION("REGEXREPLACE(C32885,""-\d+(.*)|--\d+(.*)"","""")"),"MOUILLERON-LE-CAPTIF")</f>
        <v>MOUILLERON-LE-CAPTIF</v>
      </c>
      <c r="E32885" s="38" t="s">
        <v>179</v>
      </c>
      <c r="F32885" s="38" t="s">
        <v>180</v>
      </c>
      <c r="G32885" s="49" t="str">
        <f t="shared" si="1"/>
        <v>85000</v>
      </c>
      <c r="H32885" s="49">
        <f t="shared" si="2"/>
        <v>85155</v>
      </c>
    </row>
    <row r="32886">
      <c r="A32886" s="48" t="s">
        <v>7680</v>
      </c>
      <c r="B32886" s="38">
        <v>71295.0</v>
      </c>
      <c r="C32886" s="38" t="s">
        <v>37139</v>
      </c>
      <c r="D32886" s="38" t="str">
        <f>IFERROR(__xludf.DUMMYFUNCTION("REGEXREPLACE(C32886,""-\d+(.*)|--\d+(.*)"","""")"),"MERVANS")</f>
        <v>MERVANS</v>
      </c>
      <c r="E32886" s="38" t="s">
        <v>344</v>
      </c>
      <c r="F32886" s="38" t="s">
        <v>106</v>
      </c>
      <c r="G32886" s="49" t="str">
        <f t="shared" si="1"/>
        <v>71310</v>
      </c>
      <c r="H32886" s="49">
        <f t="shared" si="2"/>
        <v>71295</v>
      </c>
    </row>
    <row r="32887">
      <c r="A32887" s="48" t="s">
        <v>6858</v>
      </c>
      <c r="B32887" s="38">
        <v>71030.0</v>
      </c>
      <c r="C32887" s="38" t="s">
        <v>37140</v>
      </c>
      <c r="D32887" s="38" t="str">
        <f>IFERROR(__xludf.DUMMYFUNCTION("REGEXREPLACE(C32887,""-\d+(.*)|--\d+(.*)"","""")"),"BERGESSERIN")</f>
        <v>BERGESSERIN</v>
      </c>
      <c r="E32887" s="38" t="s">
        <v>344</v>
      </c>
      <c r="F32887" s="38" t="s">
        <v>106</v>
      </c>
      <c r="G32887" s="49" t="str">
        <f t="shared" si="1"/>
        <v>71250</v>
      </c>
      <c r="H32887" s="49">
        <f t="shared" si="2"/>
        <v>71030</v>
      </c>
    </row>
    <row r="32888">
      <c r="A32888" s="48" t="s">
        <v>17992</v>
      </c>
      <c r="B32888" s="38">
        <v>78227.0</v>
      </c>
      <c r="C32888" s="38" t="s">
        <v>37141</v>
      </c>
      <c r="D32888" s="38" t="str">
        <f>IFERROR(__xludf.DUMMYFUNCTION("REGEXREPLACE(C32888,""-\d+(.*)|--\d+(.*)"","""")"),"EVECQUEMONT")</f>
        <v>EVECQUEMONT</v>
      </c>
      <c r="E32888" s="38" t="s">
        <v>362</v>
      </c>
      <c r="F32888" s="38" t="s">
        <v>245</v>
      </c>
      <c r="G32888" s="49" t="str">
        <f t="shared" si="1"/>
        <v>78740</v>
      </c>
      <c r="H32888" s="49">
        <f t="shared" si="2"/>
        <v>78227</v>
      </c>
    </row>
    <row r="32889">
      <c r="A32889" s="48" t="s">
        <v>2292</v>
      </c>
      <c r="B32889" s="38">
        <v>76179.0</v>
      </c>
      <c r="C32889" s="38" t="s">
        <v>37142</v>
      </c>
      <c r="D32889" s="38" t="str">
        <f>IFERROR(__xludf.DUMMYFUNCTION("REGEXREPLACE(C32889,""-\d+(.*)|--\d+(.*)"","""")"),"CLERES")</f>
        <v>CLERES</v>
      </c>
      <c r="E32889" s="38" t="s">
        <v>133</v>
      </c>
      <c r="F32889" s="38" t="s">
        <v>134</v>
      </c>
      <c r="G32889" s="49" t="str">
        <f t="shared" si="1"/>
        <v>76690</v>
      </c>
      <c r="H32889" s="49">
        <f t="shared" si="2"/>
        <v>76179</v>
      </c>
    </row>
    <row r="32890">
      <c r="A32890" s="48" t="s">
        <v>6526</v>
      </c>
      <c r="B32890" s="38">
        <v>69252.0</v>
      </c>
      <c r="C32890" s="38" t="s">
        <v>37143</v>
      </c>
      <c r="D32890" s="38" t="str">
        <f>IFERROR(__xludf.DUMMYFUNCTION("REGEXREPLACE(C32890,""-\d+(.*)|--\d+(.*)"","""")"),"TREVES")</f>
        <v>TREVES</v>
      </c>
      <c r="E32890" s="38" t="s">
        <v>350</v>
      </c>
      <c r="F32890" s="38" t="s">
        <v>102</v>
      </c>
      <c r="G32890" s="49" t="str">
        <f t="shared" si="1"/>
        <v>69420</v>
      </c>
      <c r="H32890" s="49">
        <f t="shared" si="2"/>
        <v>69252</v>
      </c>
    </row>
    <row r="32891">
      <c r="A32891" s="48" t="s">
        <v>2075</v>
      </c>
      <c r="B32891" s="38">
        <v>46249.0</v>
      </c>
      <c r="C32891" s="38" t="s">
        <v>37144</v>
      </c>
      <c r="D32891" s="38" t="str">
        <f>IFERROR(__xludf.DUMMYFUNCTION("REGEXREPLACE(C32891,""-\d+(.*)|--\d+(.*)"","""")"),"SAINT-BRESSOU")</f>
        <v>SAINT-BRESSOU</v>
      </c>
      <c r="E32891" s="38" t="s">
        <v>185</v>
      </c>
      <c r="F32891" s="38" t="s">
        <v>94</v>
      </c>
      <c r="G32891" s="49" t="str">
        <f t="shared" si="1"/>
        <v>46120</v>
      </c>
      <c r="H32891" s="49">
        <f t="shared" si="2"/>
        <v>46249</v>
      </c>
    </row>
    <row r="32892">
      <c r="A32892" s="48" t="s">
        <v>2638</v>
      </c>
      <c r="B32892" s="38">
        <v>56112.0</v>
      </c>
      <c r="C32892" s="38" t="s">
        <v>37145</v>
      </c>
      <c r="D32892" s="38" t="str">
        <f>IFERROR(__xludf.DUMMYFUNCTION("REGEXREPLACE(C32892,""-\d+(.*)|--\d+(.*)"","""")"),"LIZIO")</f>
        <v>LIZIO</v>
      </c>
      <c r="E32892" s="38" t="s">
        <v>173</v>
      </c>
      <c r="F32892" s="38" t="s">
        <v>90</v>
      </c>
      <c r="G32892" s="49" t="str">
        <f t="shared" si="1"/>
        <v>56460</v>
      </c>
      <c r="H32892" s="49">
        <f t="shared" si="2"/>
        <v>56112</v>
      </c>
    </row>
    <row r="32893">
      <c r="A32893" s="48" t="s">
        <v>2623</v>
      </c>
      <c r="B32893" s="38">
        <v>86074.0</v>
      </c>
      <c r="C32893" s="38" t="s">
        <v>37146</v>
      </c>
      <c r="D32893" s="38" t="str">
        <f>IFERROR(__xludf.DUMMYFUNCTION("REGEXREPLACE(C32893,""-\d+(.*)|--\d+(.*)"","""")"),"CHIRE-EN-MONTREUIL")</f>
        <v>CHIRE-EN-MONTREUIL</v>
      </c>
      <c r="E32893" s="38" t="s">
        <v>529</v>
      </c>
      <c r="F32893" s="38" t="s">
        <v>338</v>
      </c>
      <c r="G32893" s="49" t="str">
        <f t="shared" si="1"/>
        <v>86190</v>
      </c>
      <c r="H32893" s="49">
        <f t="shared" si="2"/>
        <v>86074</v>
      </c>
    </row>
    <row r="32894">
      <c r="A32894" s="48" t="s">
        <v>2469</v>
      </c>
      <c r="B32894" s="38">
        <v>8110.0</v>
      </c>
      <c r="C32894" s="38" t="s">
        <v>37147</v>
      </c>
      <c r="D32894" s="38" t="str">
        <f>IFERROR(__xludf.DUMMYFUNCTION("REGEXREPLACE(C32894,""-\d+(.*)|--\d+(.*)"","""")"),"LE CHATELET-SUR-SORMONNE")</f>
        <v>LE CHATELET-SUR-SORMONNE</v>
      </c>
      <c r="E32894" s="38" t="s">
        <v>327</v>
      </c>
      <c r="F32894" s="38" t="s">
        <v>130</v>
      </c>
      <c r="G32894" s="49" t="str">
        <f t="shared" si="1"/>
        <v>08150</v>
      </c>
      <c r="H32894" s="49" t="str">
        <f t="shared" si="2"/>
        <v>08110</v>
      </c>
    </row>
    <row r="32895">
      <c r="A32895" s="48" t="s">
        <v>11861</v>
      </c>
      <c r="B32895" s="38">
        <v>30332.0</v>
      </c>
      <c r="C32895" s="38" t="s">
        <v>37143</v>
      </c>
      <c r="D32895" s="38" t="str">
        <f>IFERROR(__xludf.DUMMYFUNCTION("REGEXREPLACE(C32895,""-\d+(.*)|--\d+(.*)"","""")"),"TREVES")</f>
        <v>TREVES</v>
      </c>
      <c r="E32895" s="38" t="s">
        <v>526</v>
      </c>
      <c r="F32895" s="38" t="s">
        <v>119</v>
      </c>
      <c r="G32895" s="49" t="str">
        <f t="shared" si="1"/>
        <v>30750</v>
      </c>
      <c r="H32895" s="49">
        <f t="shared" si="2"/>
        <v>30332</v>
      </c>
    </row>
    <row r="32896">
      <c r="A32896" s="48" t="s">
        <v>1070</v>
      </c>
      <c r="B32896" s="38">
        <v>39532.0</v>
      </c>
      <c r="C32896" s="38" t="s">
        <v>37148</v>
      </c>
      <c r="D32896" s="38" t="str">
        <f>IFERROR(__xludf.DUMMYFUNCTION("REGEXREPLACE(C32896,""-\d+(.*)|--\d+(.*)"","""")"),"THOISSIA")</f>
        <v>THOISSIA</v>
      </c>
      <c r="E32896" s="38" t="s">
        <v>400</v>
      </c>
      <c r="F32896" s="38" t="s">
        <v>214</v>
      </c>
      <c r="G32896" s="49" t="str">
        <f t="shared" si="1"/>
        <v>39160</v>
      </c>
      <c r="H32896" s="49">
        <f t="shared" si="2"/>
        <v>39532</v>
      </c>
    </row>
    <row r="32897">
      <c r="A32897" s="48" t="s">
        <v>120</v>
      </c>
      <c r="B32897" s="38">
        <v>45281.0</v>
      </c>
      <c r="C32897" s="38" t="s">
        <v>37149</v>
      </c>
      <c r="D32897" s="38" t="str">
        <f>IFERROR(__xludf.DUMMYFUNCTION("REGEXREPLACE(C32897,""-\d+(.*)|--\d+(.*)"","""")"),"SAINT-HILAIRE-LES-ANDRESIS")</f>
        <v>SAINT-HILAIRE-LES-ANDRESIS</v>
      </c>
      <c r="E32897" s="38" t="s">
        <v>122</v>
      </c>
      <c r="F32897" s="38" t="s">
        <v>123</v>
      </c>
      <c r="G32897" s="49" t="str">
        <f t="shared" si="1"/>
        <v>45320</v>
      </c>
      <c r="H32897" s="49">
        <f t="shared" si="2"/>
        <v>45281</v>
      </c>
    </row>
    <row r="32898">
      <c r="A32898" s="48" t="s">
        <v>14636</v>
      </c>
      <c r="B32898" s="38">
        <v>38246.0</v>
      </c>
      <c r="C32898" s="38" t="s">
        <v>23526</v>
      </c>
      <c r="D32898" s="38" t="str">
        <f>IFERROR(__xludf.DUMMYFUNCTION("REGEXREPLACE(C32898,""-\d+(.*)|--\d+(.*)"","""")"),"MONTAGNIEU")</f>
        <v>MONTAGNIEU</v>
      </c>
      <c r="E32898" s="38" t="s">
        <v>101</v>
      </c>
      <c r="F32898" s="38" t="s">
        <v>102</v>
      </c>
      <c r="G32898" s="49" t="str">
        <f t="shared" si="1"/>
        <v>38110</v>
      </c>
      <c r="H32898" s="49">
        <f t="shared" si="2"/>
        <v>38246</v>
      </c>
    </row>
    <row r="32899">
      <c r="A32899" s="48" t="s">
        <v>1908</v>
      </c>
      <c r="B32899" s="38">
        <v>62061.0</v>
      </c>
      <c r="C32899" s="38" t="s">
        <v>37150</v>
      </c>
      <c r="D32899" s="38" t="str">
        <f>IFERROR(__xludf.DUMMYFUNCTION("REGEXREPLACE(C32899,""-\d+(.*)|--\d+(.*)"","""")"),"AVERDOINGT")</f>
        <v>AVERDOINGT</v>
      </c>
      <c r="E32899" s="38" t="s">
        <v>109</v>
      </c>
      <c r="F32899" s="38" t="s">
        <v>86</v>
      </c>
      <c r="G32899" s="49" t="str">
        <f t="shared" si="1"/>
        <v>62127</v>
      </c>
      <c r="H32899" s="49">
        <f t="shared" si="2"/>
        <v>62061</v>
      </c>
    </row>
    <row r="32900">
      <c r="A32900" s="48" t="s">
        <v>2783</v>
      </c>
      <c r="B32900" s="38">
        <v>31191.0</v>
      </c>
      <c r="C32900" s="38" t="s">
        <v>37151</v>
      </c>
      <c r="D32900" s="38" t="str">
        <f>IFERROR(__xludf.DUMMYFUNCTION("REGEXREPLACE(C32900,""-\d+(.*)|--\d+(.*)"","""")"),"FOUGARON")</f>
        <v>FOUGARON</v>
      </c>
      <c r="E32900" s="38" t="s">
        <v>93</v>
      </c>
      <c r="F32900" s="38" t="s">
        <v>94</v>
      </c>
      <c r="G32900" s="49" t="str">
        <f t="shared" si="1"/>
        <v>31160</v>
      </c>
      <c r="H32900" s="49">
        <f t="shared" si="2"/>
        <v>31191</v>
      </c>
    </row>
    <row r="32901">
      <c r="A32901" s="48" t="s">
        <v>145</v>
      </c>
      <c r="B32901" s="38">
        <v>10024.0</v>
      </c>
      <c r="C32901" s="38" t="s">
        <v>37152</v>
      </c>
      <c r="D32901" s="38" t="str">
        <f>IFERROR(__xludf.DUMMYFUNCTION("REGEXREPLACE(C32901,""-\d+(.*)|--\d+(.*)"","""")"),"AVREUIL")</f>
        <v>AVREUIL</v>
      </c>
      <c r="E32901" s="38" t="s">
        <v>147</v>
      </c>
      <c r="F32901" s="38" t="s">
        <v>130</v>
      </c>
      <c r="G32901" s="49" t="str">
        <f t="shared" si="1"/>
        <v>10130</v>
      </c>
      <c r="H32901" s="49">
        <f t="shared" si="2"/>
        <v>10024</v>
      </c>
    </row>
    <row r="32902">
      <c r="A32902" s="48" t="s">
        <v>2176</v>
      </c>
      <c r="B32902" s="38">
        <v>62367.0</v>
      </c>
      <c r="C32902" s="38" t="s">
        <v>37153</v>
      </c>
      <c r="D32902" s="38" t="str">
        <f>IFERROR(__xludf.DUMMYFUNCTION("REGEXREPLACE(C32902,""-\d+(.*)|--\d+(.*)"","""")"),"GAUCHIN-VERLOINGT")</f>
        <v>GAUCHIN-VERLOINGT</v>
      </c>
      <c r="E32902" s="38" t="s">
        <v>109</v>
      </c>
      <c r="F32902" s="38" t="s">
        <v>86</v>
      </c>
      <c r="G32902" s="49" t="str">
        <f t="shared" si="1"/>
        <v>62130</v>
      </c>
      <c r="H32902" s="49">
        <f t="shared" si="2"/>
        <v>62367</v>
      </c>
    </row>
    <row r="32903">
      <c r="A32903" s="48" t="s">
        <v>5453</v>
      </c>
      <c r="B32903" s="38">
        <v>52305.0</v>
      </c>
      <c r="C32903" s="38" t="s">
        <v>37154</v>
      </c>
      <c r="D32903" s="38" t="str">
        <f>IFERROR(__xludf.DUMMYFUNCTION("REGEXREPLACE(C32903,""-\d+(.*)|--\d+(.*)"","""")"),"MANDRES-LA-COTE")</f>
        <v>MANDRES-LA-COTE</v>
      </c>
      <c r="E32903" s="38" t="s">
        <v>234</v>
      </c>
      <c r="F32903" s="38" t="s">
        <v>130</v>
      </c>
      <c r="G32903" s="49" t="str">
        <f t="shared" si="1"/>
        <v>52800</v>
      </c>
      <c r="H32903" s="49">
        <f t="shared" si="2"/>
        <v>52305</v>
      </c>
    </row>
    <row r="32904">
      <c r="A32904" s="48" t="s">
        <v>2521</v>
      </c>
      <c r="B32904" s="38">
        <v>28009.0</v>
      </c>
      <c r="C32904" s="38" t="s">
        <v>37155</v>
      </c>
      <c r="D32904" s="38" t="str">
        <f>IFERROR(__xludf.DUMMYFUNCTION("REGEXREPLACE(C32904,""-\d+(.*)|--\d+(.*)"","""")"),"ARDELU")</f>
        <v>ARDELU</v>
      </c>
      <c r="E32904" s="38" t="s">
        <v>300</v>
      </c>
      <c r="F32904" s="38" t="s">
        <v>123</v>
      </c>
      <c r="G32904" s="49" t="str">
        <f t="shared" si="1"/>
        <v>28700</v>
      </c>
      <c r="H32904" s="49">
        <f t="shared" si="2"/>
        <v>28009</v>
      </c>
    </row>
    <row r="32905">
      <c r="A32905" s="48" t="s">
        <v>2506</v>
      </c>
      <c r="B32905" s="38">
        <v>80628.0</v>
      </c>
      <c r="C32905" s="38" t="s">
        <v>37156</v>
      </c>
      <c r="D32905" s="38" t="str">
        <f>IFERROR(__xludf.DUMMYFUNCTION("REGEXREPLACE(C32905,""-\d+(.*)|--\d+(.*)"","""")"),"LE PLESSIER-ROZAINVILLERS")</f>
        <v>LE PLESSIER-ROZAINVILLERS</v>
      </c>
      <c r="E32905" s="38" t="s">
        <v>224</v>
      </c>
      <c r="F32905" s="38" t="s">
        <v>113</v>
      </c>
      <c r="G32905" s="49" t="str">
        <f t="shared" si="1"/>
        <v>80110</v>
      </c>
      <c r="H32905" s="49">
        <f t="shared" si="2"/>
        <v>80628</v>
      </c>
    </row>
    <row r="32906">
      <c r="A32906" s="48" t="s">
        <v>25648</v>
      </c>
      <c r="B32906" s="38">
        <v>14484.0</v>
      </c>
      <c r="C32906" s="38" t="s">
        <v>37157</v>
      </c>
      <c r="D32906" s="38" t="str">
        <f>IFERROR(__xludf.DUMMYFUNCTION("REGEXREPLACE(C32906,""-\d+(.*)|--\d+(.*)"","""")"),"OUILLY-DU-HOULEY")</f>
        <v>OUILLY-DU-HOULEY</v>
      </c>
      <c r="E32906" s="38" t="s">
        <v>137</v>
      </c>
      <c r="F32906" s="38" t="s">
        <v>138</v>
      </c>
      <c r="G32906" s="49" t="str">
        <f t="shared" si="1"/>
        <v>14590</v>
      </c>
      <c r="H32906" s="49">
        <f t="shared" si="2"/>
        <v>14484</v>
      </c>
    </row>
    <row r="32907">
      <c r="A32907" s="48" t="s">
        <v>8502</v>
      </c>
      <c r="B32907" s="38">
        <v>67009.0</v>
      </c>
      <c r="C32907" s="38" t="s">
        <v>37158</v>
      </c>
      <c r="D32907" s="38" t="str">
        <f>IFERROR(__xludf.DUMMYFUNCTION("REGEXREPLACE(C32907,""-\d+(.*)|--\d+(.*)"","""")"),"ALTWILLER")</f>
        <v>ALTWILLER</v>
      </c>
      <c r="E32907" s="38" t="s">
        <v>210</v>
      </c>
      <c r="F32907" s="38" t="s">
        <v>151</v>
      </c>
      <c r="G32907" s="49" t="str">
        <f t="shared" si="1"/>
        <v>67260</v>
      </c>
      <c r="H32907" s="49">
        <f t="shared" si="2"/>
        <v>67009</v>
      </c>
    </row>
    <row r="32908">
      <c r="A32908" s="48" t="s">
        <v>2406</v>
      </c>
      <c r="B32908" s="38">
        <v>55431.0</v>
      </c>
      <c r="C32908" s="38" t="s">
        <v>37159</v>
      </c>
      <c r="D32908" s="38" t="str">
        <f>IFERROR(__xludf.DUMMYFUNCTION("REGEXREPLACE(C32908,""-\d+(.*)|--\d+(.*)"","""")"),"RICHECOURT")</f>
        <v>RICHECOURT</v>
      </c>
      <c r="E32908" s="38" t="s">
        <v>322</v>
      </c>
      <c r="F32908" s="38" t="s">
        <v>195</v>
      </c>
      <c r="G32908" s="49" t="str">
        <f t="shared" si="1"/>
        <v>55300</v>
      </c>
      <c r="H32908" s="49">
        <f t="shared" si="2"/>
        <v>55431</v>
      </c>
    </row>
    <row r="32909">
      <c r="A32909" s="48" t="s">
        <v>816</v>
      </c>
      <c r="B32909" s="38">
        <v>11310.0</v>
      </c>
      <c r="C32909" s="38" t="s">
        <v>37160</v>
      </c>
      <c r="D32909" s="38" t="str">
        <f>IFERROR(__xludf.DUMMYFUNCTION("REGEXREPLACE(C32909,""-\d+(.*)|--\d+(.*)"","""")"),"RENNES-LES-BAINS")</f>
        <v>RENNES-LES-BAINS</v>
      </c>
      <c r="E32909" s="38" t="s">
        <v>278</v>
      </c>
      <c r="F32909" s="38" t="s">
        <v>119</v>
      </c>
      <c r="G32909" s="49" t="str">
        <f t="shared" si="1"/>
        <v>11190</v>
      </c>
      <c r="H32909" s="49">
        <f t="shared" si="2"/>
        <v>11310</v>
      </c>
    </row>
    <row r="32910">
      <c r="A32910" s="48" t="s">
        <v>3283</v>
      </c>
      <c r="B32910" s="38">
        <v>52289.0</v>
      </c>
      <c r="C32910" s="38" t="s">
        <v>37161</v>
      </c>
      <c r="D32910" s="38" t="str">
        <f>IFERROR(__xludf.DUMMYFUNCTION("REGEXREPLACE(C32910,""-\d+(.*)|--\d+(.*)"","""")"),"LIFFOL-LE-PETIT")</f>
        <v>LIFFOL-LE-PETIT</v>
      </c>
      <c r="E32910" s="38" t="s">
        <v>234</v>
      </c>
      <c r="F32910" s="38" t="s">
        <v>130</v>
      </c>
      <c r="G32910" s="49" t="str">
        <f t="shared" si="1"/>
        <v>52700</v>
      </c>
      <c r="H32910" s="49">
        <f t="shared" si="2"/>
        <v>52289</v>
      </c>
    </row>
    <row r="32911">
      <c r="A32911" s="48" t="s">
        <v>8122</v>
      </c>
      <c r="B32911" s="38">
        <v>42158.0</v>
      </c>
      <c r="C32911" s="38" t="s">
        <v>37162</v>
      </c>
      <c r="D32911" s="38" t="str">
        <f>IFERROR(__xludf.DUMMYFUNCTION("REGEXREPLACE(C32911,""-\d+(.*)|--\d+(.*)"","""")"),"LES NOES")</f>
        <v>LES NOES</v>
      </c>
      <c r="E32911" s="38" t="s">
        <v>166</v>
      </c>
      <c r="F32911" s="38" t="s">
        <v>102</v>
      </c>
      <c r="G32911" s="49" t="str">
        <f t="shared" si="1"/>
        <v>42370</v>
      </c>
      <c r="H32911" s="49">
        <f t="shared" si="2"/>
        <v>42158</v>
      </c>
    </row>
    <row r="32912">
      <c r="A32912" s="48" t="s">
        <v>10107</v>
      </c>
      <c r="B32912" s="38" t="s">
        <v>37163</v>
      </c>
      <c r="C32912" s="38" t="s">
        <v>37164</v>
      </c>
      <c r="D32912" s="38" t="str">
        <f>IFERROR(__xludf.DUMMYFUNCTION("REGEXREPLACE(C32912,""-\d+(.*)|--\d+(.*)"","""")"),"VESCOVATO")</f>
        <v>VESCOVATO</v>
      </c>
      <c r="E32912" s="38" t="s">
        <v>743</v>
      </c>
      <c r="F32912" s="38" t="s">
        <v>607</v>
      </c>
      <c r="G32912" s="49" t="str">
        <f t="shared" si="1"/>
        <v>20215</v>
      </c>
      <c r="H32912" s="49" t="str">
        <f t="shared" si="2"/>
        <v>2B346</v>
      </c>
    </row>
    <row r="32913">
      <c r="A32913" s="48" t="s">
        <v>3196</v>
      </c>
      <c r="B32913" s="38">
        <v>1125.0</v>
      </c>
      <c r="C32913" s="38" t="s">
        <v>37165</v>
      </c>
      <c r="D32913" s="38" t="str">
        <f>IFERROR(__xludf.DUMMYFUNCTION("REGEXREPLACE(C32913,""-\d+(.*)|--\d+(.*)"","""")"),"CORVEISSIAT")</f>
        <v>CORVEISSIAT</v>
      </c>
      <c r="E32913" s="38" t="s">
        <v>255</v>
      </c>
      <c r="F32913" s="38" t="s">
        <v>102</v>
      </c>
      <c r="G32913" s="49" t="str">
        <f t="shared" si="1"/>
        <v>01250</v>
      </c>
      <c r="H32913" s="49" t="str">
        <f t="shared" si="2"/>
        <v>01125</v>
      </c>
    </row>
    <row r="32914">
      <c r="A32914" s="48" t="s">
        <v>2318</v>
      </c>
      <c r="B32914" s="38">
        <v>43125.0</v>
      </c>
      <c r="C32914" s="38" t="s">
        <v>37166</v>
      </c>
      <c r="D32914" s="38" t="str">
        <f>IFERROR(__xludf.DUMMYFUNCTION("REGEXREPLACE(C32914,""-\d+(.*)|--\d+(.*)"","""")"),"LUBILHAC")</f>
        <v>LUBILHAC</v>
      </c>
      <c r="E32914" s="38" t="s">
        <v>332</v>
      </c>
      <c r="F32914" s="38" t="s">
        <v>161</v>
      </c>
      <c r="G32914" s="49" t="str">
        <f t="shared" si="1"/>
        <v>43100</v>
      </c>
      <c r="H32914" s="49">
        <f t="shared" si="2"/>
        <v>43125</v>
      </c>
    </row>
    <row r="32915">
      <c r="A32915" s="48" t="s">
        <v>3983</v>
      </c>
      <c r="B32915" s="38">
        <v>67117.0</v>
      </c>
      <c r="C32915" s="38" t="s">
        <v>37167</v>
      </c>
      <c r="D32915" s="38" t="str">
        <f>IFERROR(__xludf.DUMMYFUNCTION("REGEXREPLACE(C32915,""-\d+(.*)|--\d+(.*)"","""")"),"ECKARTSWILLER")</f>
        <v>ECKARTSWILLER</v>
      </c>
      <c r="E32915" s="38" t="s">
        <v>210</v>
      </c>
      <c r="F32915" s="38" t="s">
        <v>151</v>
      </c>
      <c r="G32915" s="49" t="str">
        <f t="shared" si="1"/>
        <v>67700</v>
      </c>
      <c r="H32915" s="49">
        <f t="shared" si="2"/>
        <v>67117</v>
      </c>
    </row>
    <row r="32916">
      <c r="A32916" s="48" t="s">
        <v>1991</v>
      </c>
      <c r="B32916" s="38">
        <v>54240.0</v>
      </c>
      <c r="C32916" s="38" t="s">
        <v>37168</v>
      </c>
      <c r="D32916" s="38" t="str">
        <f>IFERROR(__xludf.DUMMYFUNCTION("REGEXREPLACE(C32916,""-\d+(.*)|--\d+(.*)"","""")"),"GROSROUVRES")</f>
        <v>GROSROUVRES</v>
      </c>
      <c r="E32916" s="38" t="s">
        <v>548</v>
      </c>
      <c r="F32916" s="38" t="s">
        <v>195</v>
      </c>
      <c r="G32916" s="49" t="str">
        <f t="shared" si="1"/>
        <v>54470</v>
      </c>
      <c r="H32916" s="49">
        <f t="shared" si="2"/>
        <v>54240</v>
      </c>
    </row>
    <row r="32917">
      <c r="A32917" s="48" t="s">
        <v>28743</v>
      </c>
      <c r="B32917" s="38">
        <v>2718.0</v>
      </c>
      <c r="C32917" s="38" t="s">
        <v>37169</v>
      </c>
      <c r="D32917" s="38" t="str">
        <f>IFERROR(__xludf.DUMMYFUNCTION("REGEXREPLACE(C32917,""-\d+(.*)|--\d+(.*)"","""")"),"SILLY-LA-POTERIE")</f>
        <v>SILLY-LA-POTERIE</v>
      </c>
      <c r="E32917" s="38" t="s">
        <v>191</v>
      </c>
      <c r="F32917" s="38" t="s">
        <v>113</v>
      </c>
      <c r="G32917" s="49" t="str">
        <f t="shared" si="1"/>
        <v>02460</v>
      </c>
      <c r="H32917" s="49" t="str">
        <f t="shared" si="2"/>
        <v>02718</v>
      </c>
    </row>
    <row r="32918">
      <c r="A32918" s="48" t="s">
        <v>5358</v>
      </c>
      <c r="B32918" s="38">
        <v>23140.0</v>
      </c>
      <c r="C32918" s="38" t="s">
        <v>37170</v>
      </c>
      <c r="D32918" s="38" t="str">
        <f>IFERROR(__xludf.DUMMYFUNCTION("REGEXREPLACE(C32918,""-\d+(.*)|--\d+(.*)"","""")"),"MOUTIER-ROZEILLE")</f>
        <v>MOUTIER-ROZEILLE</v>
      </c>
      <c r="E32918" s="38" t="s">
        <v>97</v>
      </c>
      <c r="F32918" s="38" t="s">
        <v>98</v>
      </c>
      <c r="G32918" s="49" t="str">
        <f t="shared" si="1"/>
        <v>23200</v>
      </c>
      <c r="H32918" s="49">
        <f t="shared" si="2"/>
        <v>23140</v>
      </c>
    </row>
    <row r="32919">
      <c r="A32919" s="48" t="s">
        <v>5622</v>
      </c>
      <c r="B32919" s="38">
        <v>45096.0</v>
      </c>
      <c r="C32919" s="38" t="s">
        <v>37171</v>
      </c>
      <c r="D32919" s="38" t="str">
        <f>IFERROR(__xludf.DUMMYFUNCTION("REGEXREPLACE(C32919,""-\d+(.*)|--\d+(.*)"","""")"),"LES CHOUX")</f>
        <v>LES CHOUX</v>
      </c>
      <c r="E32919" s="38" t="s">
        <v>122</v>
      </c>
      <c r="F32919" s="38" t="s">
        <v>123</v>
      </c>
      <c r="G32919" s="49" t="str">
        <f t="shared" si="1"/>
        <v>45290</v>
      </c>
      <c r="H32919" s="49">
        <f t="shared" si="2"/>
        <v>45096</v>
      </c>
    </row>
    <row r="32920">
      <c r="A32920" s="48" t="s">
        <v>5043</v>
      </c>
      <c r="B32920" s="38">
        <v>19220.0</v>
      </c>
      <c r="C32920" s="38" t="s">
        <v>37172</v>
      </c>
      <c r="D32920" s="38" t="str">
        <f>IFERROR(__xludf.DUMMYFUNCTION("REGEXREPLACE(C32920,""-\d+(.*)|--\d+(.*)"","""")"),"SAINT-MARTIAL-DE-GIMEL")</f>
        <v>SAINT-MARTIAL-DE-GIMEL</v>
      </c>
      <c r="E32920" s="38" t="s">
        <v>271</v>
      </c>
      <c r="F32920" s="38" t="s">
        <v>98</v>
      </c>
      <c r="G32920" s="49" t="str">
        <f t="shared" si="1"/>
        <v>19150</v>
      </c>
      <c r="H32920" s="49">
        <f t="shared" si="2"/>
        <v>19220</v>
      </c>
    </row>
    <row r="32921">
      <c r="A32921" s="48" t="s">
        <v>5239</v>
      </c>
      <c r="B32921" s="38">
        <v>65125.0</v>
      </c>
      <c r="C32921" s="38" t="s">
        <v>37173</v>
      </c>
      <c r="D32921" s="38" t="str">
        <f>IFERROR(__xludf.DUMMYFUNCTION("REGEXREPLACE(C32921,""-\d+(.*)|--\d+(.*)"","""")"),"CAMPISTROUS")</f>
        <v>CAMPISTROUS</v>
      </c>
      <c r="E32921" s="38" t="s">
        <v>200</v>
      </c>
      <c r="F32921" s="38" t="s">
        <v>94</v>
      </c>
      <c r="G32921" s="49" t="str">
        <f t="shared" si="1"/>
        <v>65300</v>
      </c>
      <c r="H32921" s="49">
        <f t="shared" si="2"/>
        <v>65125</v>
      </c>
    </row>
    <row r="32922">
      <c r="A32922" s="48" t="s">
        <v>9345</v>
      </c>
      <c r="B32922" s="38">
        <v>22244.0</v>
      </c>
      <c r="C32922" s="38" t="s">
        <v>37174</v>
      </c>
      <c r="D32922" s="38" t="str">
        <f>IFERROR(__xludf.DUMMYFUNCTION("REGEXREPLACE(C32922,""-\d+(.*)|--\d+(.*)"","""")"),"PLUSSULIEN")</f>
        <v>PLUSSULIEN</v>
      </c>
      <c r="E32922" s="38" t="s">
        <v>89</v>
      </c>
      <c r="F32922" s="38" t="s">
        <v>90</v>
      </c>
      <c r="G32922" s="49" t="str">
        <f t="shared" si="1"/>
        <v>22320</v>
      </c>
      <c r="H32922" s="49">
        <f t="shared" si="2"/>
        <v>22244</v>
      </c>
    </row>
    <row r="32923">
      <c r="A32923" s="48" t="s">
        <v>1210</v>
      </c>
      <c r="B32923" s="38">
        <v>50461.0</v>
      </c>
      <c r="C32923" s="38" t="s">
        <v>2665</v>
      </c>
      <c r="D32923" s="38" t="str">
        <f>IFERROR(__xludf.DUMMYFUNCTION("REGEXREPLACE(C32923,""-\d+(.*)|--\d+(.*)"","""")"),"SAINT-CYR")</f>
        <v>SAINT-CYR</v>
      </c>
      <c r="E32923" s="38" t="s">
        <v>157</v>
      </c>
      <c r="F32923" s="38" t="s">
        <v>138</v>
      </c>
      <c r="G32923" s="49" t="str">
        <f t="shared" si="1"/>
        <v>50310</v>
      </c>
      <c r="H32923" s="49">
        <f t="shared" si="2"/>
        <v>50461</v>
      </c>
    </row>
    <row r="32924">
      <c r="A32924" s="48" t="s">
        <v>10646</v>
      </c>
      <c r="B32924" s="38">
        <v>23230.0</v>
      </c>
      <c r="C32924" s="38" t="s">
        <v>37175</v>
      </c>
      <c r="D32924" s="38" t="str">
        <f>IFERROR(__xludf.DUMMYFUNCTION("REGEXREPLACE(C32924,""-\d+(.*)|--\d+(.*)"","""")"),"SAINT-PIERRE-CHERIGNAT")</f>
        <v>SAINT-PIERRE-CHERIGNAT</v>
      </c>
      <c r="E32924" s="38" t="s">
        <v>97</v>
      </c>
      <c r="F32924" s="38" t="s">
        <v>98</v>
      </c>
      <c r="G32924" s="49" t="str">
        <f t="shared" si="1"/>
        <v>23430</v>
      </c>
      <c r="H32924" s="49">
        <f t="shared" si="2"/>
        <v>23230</v>
      </c>
    </row>
    <row r="32925">
      <c r="A32925" s="48" t="s">
        <v>5848</v>
      </c>
      <c r="B32925" s="38">
        <v>50493.0</v>
      </c>
      <c r="C32925" s="38" t="s">
        <v>37176</v>
      </c>
      <c r="D32925" s="38" t="str">
        <f>IFERROR(__xludf.DUMMYFUNCTION("REGEXREPLACE(C32925,""-\d+(.*)|--\d+(.*)"","""")"),"SAINT-JEAN-DES-CHAMPS")</f>
        <v>SAINT-JEAN-DES-CHAMPS</v>
      </c>
      <c r="E32925" s="38" t="s">
        <v>157</v>
      </c>
      <c r="F32925" s="38" t="s">
        <v>138</v>
      </c>
      <c r="G32925" s="49" t="str">
        <f t="shared" si="1"/>
        <v>50320</v>
      </c>
      <c r="H32925" s="49">
        <f t="shared" si="2"/>
        <v>50493</v>
      </c>
    </row>
    <row r="32926">
      <c r="A32926" s="48" t="s">
        <v>37177</v>
      </c>
      <c r="B32926" s="38">
        <v>38486.0</v>
      </c>
      <c r="C32926" s="38" t="s">
        <v>37178</v>
      </c>
      <c r="D32926" s="38" t="str">
        <f>IFERROR(__xludf.DUMMYFUNCTION("REGEXREPLACE(C32926,""-\d+(.*)|--\d+(.*)"","""")"),"SEYSSINS")</f>
        <v>SEYSSINS</v>
      </c>
      <c r="E32926" s="38" t="s">
        <v>101</v>
      </c>
      <c r="F32926" s="38" t="s">
        <v>102</v>
      </c>
      <c r="G32926" s="49" t="str">
        <f t="shared" si="1"/>
        <v>38180</v>
      </c>
      <c r="H32926" s="49">
        <f t="shared" si="2"/>
        <v>38486</v>
      </c>
    </row>
    <row r="32927">
      <c r="A32927" s="48" t="s">
        <v>28188</v>
      </c>
      <c r="B32927" s="38">
        <v>48192.0</v>
      </c>
      <c r="C32927" s="38" t="s">
        <v>37179</v>
      </c>
      <c r="D32927" s="38" t="str">
        <f>IFERROR(__xludf.DUMMYFUNCTION("REGEXREPLACE(C32927,""-\d+(.*)|--\d+(.*)"","""")"),"TRELANS")</f>
        <v>TRELANS</v>
      </c>
      <c r="E32927" s="38" t="s">
        <v>154</v>
      </c>
      <c r="F32927" s="38" t="s">
        <v>119</v>
      </c>
      <c r="G32927" s="49" t="str">
        <f t="shared" si="1"/>
        <v>48340</v>
      </c>
      <c r="H32927" s="49">
        <f t="shared" si="2"/>
        <v>48192</v>
      </c>
    </row>
    <row r="32928">
      <c r="A32928" s="48" t="s">
        <v>16073</v>
      </c>
      <c r="B32928" s="38">
        <v>25203.0</v>
      </c>
      <c r="C32928" s="38" t="s">
        <v>37180</v>
      </c>
      <c r="D32928" s="38" t="str">
        <f>IFERROR(__xludf.DUMMYFUNCTION("REGEXREPLACE(C32928,""-\d+(.*)|--\d+(.*)"","""")"),"DOMPREL")</f>
        <v>DOMPREL</v>
      </c>
      <c r="E32928" s="38" t="s">
        <v>213</v>
      </c>
      <c r="F32928" s="38" t="s">
        <v>214</v>
      </c>
      <c r="G32928" s="49" t="str">
        <f t="shared" si="1"/>
        <v>25510</v>
      </c>
      <c r="H32928" s="49">
        <f t="shared" si="2"/>
        <v>25203</v>
      </c>
    </row>
    <row r="32929">
      <c r="A32929" s="48" t="s">
        <v>1400</v>
      </c>
      <c r="B32929" s="38">
        <v>21082.0</v>
      </c>
      <c r="C32929" s="38" t="s">
        <v>37181</v>
      </c>
      <c r="D32929" s="38" t="str">
        <f>IFERROR(__xludf.DUMMYFUNCTION("REGEXREPLACE(C32929,""-\d+(.*)|--\d+(.*)"","""")"),"BLANCEY")</f>
        <v>BLANCEY</v>
      </c>
      <c r="E32929" s="38" t="s">
        <v>105</v>
      </c>
      <c r="F32929" s="38" t="s">
        <v>106</v>
      </c>
      <c r="G32929" s="49" t="str">
        <f t="shared" si="1"/>
        <v>21320</v>
      </c>
      <c r="H32929" s="49">
        <f t="shared" si="2"/>
        <v>21082</v>
      </c>
    </row>
    <row r="32930">
      <c r="A32930" s="48" t="s">
        <v>279</v>
      </c>
      <c r="B32930" s="38">
        <v>40274.0</v>
      </c>
      <c r="C32930" s="38" t="s">
        <v>37182</v>
      </c>
      <c r="D32930" s="38" t="str">
        <f>IFERROR(__xludf.DUMMYFUNCTION("REGEXREPLACE(C32930,""-\d+(.*)|--\d+(.*)"","""")"),"SAINT-MARTIN-D'ONEY")</f>
        <v>SAINT-MARTIN-D'ONEY</v>
      </c>
      <c r="E32930" s="38" t="s">
        <v>281</v>
      </c>
      <c r="F32930" s="38" t="s">
        <v>252</v>
      </c>
      <c r="G32930" s="49" t="str">
        <f t="shared" si="1"/>
        <v>40090</v>
      </c>
      <c r="H32930" s="49">
        <f t="shared" si="2"/>
        <v>40274</v>
      </c>
    </row>
    <row r="32931">
      <c r="A32931" s="48" t="s">
        <v>4873</v>
      </c>
      <c r="B32931" s="38">
        <v>67126.0</v>
      </c>
      <c r="C32931" s="38" t="s">
        <v>37183</v>
      </c>
      <c r="D32931" s="38" t="str">
        <f>IFERROR(__xludf.DUMMYFUNCTION("REGEXREPLACE(C32931,""-\d+(.*)|--\d+(.*)"","""")"),"ERCKARTSWILLER")</f>
        <v>ERCKARTSWILLER</v>
      </c>
      <c r="E32931" s="38" t="s">
        <v>210</v>
      </c>
      <c r="F32931" s="38" t="s">
        <v>151</v>
      </c>
      <c r="G32931" s="49" t="str">
        <f t="shared" si="1"/>
        <v>67290</v>
      </c>
      <c r="H32931" s="49">
        <f t="shared" si="2"/>
        <v>67126</v>
      </c>
    </row>
    <row r="32932">
      <c r="A32932" s="48" t="s">
        <v>12748</v>
      </c>
      <c r="B32932" s="38">
        <v>62615.0</v>
      </c>
      <c r="C32932" s="38" t="s">
        <v>37184</v>
      </c>
      <c r="D32932" s="38" t="str">
        <f>IFERROR(__xludf.DUMMYFUNCTION("REGEXREPLACE(C32932,""-\d+(.*)|--\d+(.*)"","""")"),"NIELLES-LES-CALAIS")</f>
        <v>NIELLES-LES-CALAIS</v>
      </c>
      <c r="E32932" s="38" t="s">
        <v>109</v>
      </c>
      <c r="F32932" s="38" t="s">
        <v>86</v>
      </c>
      <c r="G32932" s="49" t="str">
        <f t="shared" si="1"/>
        <v>62185</v>
      </c>
      <c r="H32932" s="49">
        <f t="shared" si="2"/>
        <v>62615</v>
      </c>
    </row>
    <row r="32933">
      <c r="A32933" s="48" t="s">
        <v>2861</v>
      </c>
      <c r="B32933" s="38">
        <v>62081.0</v>
      </c>
      <c r="C32933" s="38" t="s">
        <v>37185</v>
      </c>
      <c r="D32933" s="38" t="str">
        <f>IFERROR(__xludf.DUMMYFUNCTION("REGEXREPLACE(C32933,""-\d+(.*)|--\d+(.*)"","""")"),"BARALLE")</f>
        <v>BARALLE</v>
      </c>
      <c r="E32933" s="38" t="s">
        <v>109</v>
      </c>
      <c r="F32933" s="38" t="s">
        <v>86</v>
      </c>
      <c r="G32933" s="49" t="str">
        <f t="shared" si="1"/>
        <v>62860</v>
      </c>
      <c r="H32933" s="49">
        <f t="shared" si="2"/>
        <v>62081</v>
      </c>
    </row>
    <row r="32934">
      <c r="A32934" s="48" t="s">
        <v>24573</v>
      </c>
      <c r="B32934" s="38">
        <v>30012.0</v>
      </c>
      <c r="C32934" s="38" t="s">
        <v>37186</v>
      </c>
      <c r="D32934" s="38" t="str">
        <f>IFERROR(__xludf.DUMMYFUNCTION("REGEXREPLACE(C32934,""-\d+(.*)|--\d+(.*)"","""")"),"ARAMON")</f>
        <v>ARAMON</v>
      </c>
      <c r="E32934" s="38" t="s">
        <v>526</v>
      </c>
      <c r="F32934" s="38" t="s">
        <v>119</v>
      </c>
      <c r="G32934" s="49" t="str">
        <f t="shared" si="1"/>
        <v>30390</v>
      </c>
      <c r="H32934" s="49">
        <f t="shared" si="2"/>
        <v>30012</v>
      </c>
    </row>
    <row r="32935">
      <c r="A32935" s="48" t="s">
        <v>37187</v>
      </c>
      <c r="B32935" s="38">
        <v>60172.0</v>
      </c>
      <c r="C32935" s="38" t="s">
        <v>37188</v>
      </c>
      <c r="D32935" s="38" t="str">
        <f>IFERROR(__xludf.DUMMYFUNCTION("REGEXREPLACE(C32935,""-\d+(.*)|--\d+(.*)"","""")"),"COYE-LA-FORET")</f>
        <v>COYE-LA-FORET</v>
      </c>
      <c r="E32935" s="38" t="s">
        <v>112</v>
      </c>
      <c r="F32935" s="38" t="s">
        <v>113</v>
      </c>
      <c r="G32935" s="49" t="str">
        <f t="shared" si="1"/>
        <v>60580</v>
      </c>
      <c r="H32935" s="49">
        <f t="shared" si="2"/>
        <v>60172</v>
      </c>
    </row>
    <row r="32936">
      <c r="A32936" s="48" t="s">
        <v>384</v>
      </c>
      <c r="B32936" s="38">
        <v>55446.0</v>
      </c>
      <c r="C32936" s="38" t="s">
        <v>29551</v>
      </c>
      <c r="D32936" s="38" t="str">
        <f>IFERROR(__xludf.DUMMYFUNCTION("REGEXREPLACE(C32936,""-\d+(.*)|--\d+(.*)"","""")"),"RUMONT")</f>
        <v>RUMONT</v>
      </c>
      <c r="E32936" s="38" t="s">
        <v>322</v>
      </c>
      <c r="F32936" s="38" t="s">
        <v>195</v>
      </c>
      <c r="G32936" s="49" t="str">
        <f t="shared" si="1"/>
        <v>55000</v>
      </c>
      <c r="H32936" s="49">
        <f t="shared" si="2"/>
        <v>55446</v>
      </c>
    </row>
    <row r="32937">
      <c r="A32937" s="48" t="s">
        <v>6517</v>
      </c>
      <c r="B32937" s="38">
        <v>50584.0</v>
      </c>
      <c r="C32937" s="38" t="s">
        <v>2737</v>
      </c>
      <c r="D32937" s="38" t="str">
        <f>IFERROR(__xludf.DUMMYFUNCTION("REGEXREPLACE(C32937,""-\d+(.*)|--\d+(.*)"","""")"),"SUBLIGNY")</f>
        <v>SUBLIGNY</v>
      </c>
      <c r="E32937" s="38" t="s">
        <v>157</v>
      </c>
      <c r="F32937" s="38" t="s">
        <v>138</v>
      </c>
      <c r="G32937" s="49" t="str">
        <f t="shared" si="1"/>
        <v>50870</v>
      </c>
      <c r="H32937" s="49">
        <f t="shared" si="2"/>
        <v>50584</v>
      </c>
    </row>
    <row r="32938">
      <c r="A32938" s="48" t="s">
        <v>844</v>
      </c>
      <c r="B32938" s="38">
        <v>72180.0</v>
      </c>
      <c r="C32938" s="38" t="s">
        <v>37189</v>
      </c>
      <c r="D32938" s="38" t="str">
        <f>IFERROR(__xludf.DUMMYFUNCTION("REGEXREPLACE(C32938,""-\d+(.*)|--\d+(.*)"","""")"),"MAMERS")</f>
        <v>MAMERS</v>
      </c>
      <c r="E32938" s="38" t="s">
        <v>521</v>
      </c>
      <c r="F32938" s="38" t="s">
        <v>180</v>
      </c>
      <c r="G32938" s="49" t="str">
        <f t="shared" si="1"/>
        <v>72600</v>
      </c>
      <c r="H32938" s="49">
        <f t="shared" si="2"/>
        <v>72180</v>
      </c>
    </row>
    <row r="32939">
      <c r="A32939" s="48" t="s">
        <v>3763</v>
      </c>
      <c r="B32939" s="38">
        <v>76632.0</v>
      </c>
      <c r="C32939" s="38" t="s">
        <v>37190</v>
      </c>
      <c r="D32939" s="38" t="str">
        <f>IFERROR(__xludf.DUMMYFUNCTION("REGEXREPLACE(C32939,""-\d+(.*)|--\d+(.*)"","""")"),"SAINT-PIERRE-BENOUVILLE")</f>
        <v>SAINT-PIERRE-BENOUVILLE</v>
      </c>
      <c r="E32939" s="38" t="s">
        <v>133</v>
      </c>
      <c r="F32939" s="38" t="s">
        <v>134</v>
      </c>
      <c r="G32939" s="49" t="str">
        <f t="shared" si="1"/>
        <v>76890</v>
      </c>
      <c r="H32939" s="49">
        <f t="shared" si="2"/>
        <v>76632</v>
      </c>
    </row>
    <row r="32940">
      <c r="A32940" s="48" t="s">
        <v>21063</v>
      </c>
      <c r="B32940" s="38">
        <v>84041.0</v>
      </c>
      <c r="C32940" s="38" t="s">
        <v>37191</v>
      </c>
      <c r="D32940" s="38" t="str">
        <f>IFERROR(__xludf.DUMMYFUNCTION("REGEXREPLACE(C32940,""-\d+(.*)|--\d+(.*)"","""")"),"CRILLON-LE-BRAVE")</f>
        <v>CRILLON-LE-BRAVE</v>
      </c>
      <c r="E32940" s="38" t="s">
        <v>1026</v>
      </c>
      <c r="F32940" s="38" t="s">
        <v>228</v>
      </c>
      <c r="G32940" s="49" t="str">
        <f t="shared" si="1"/>
        <v>84410</v>
      </c>
      <c r="H32940" s="49">
        <f t="shared" si="2"/>
        <v>84041</v>
      </c>
    </row>
    <row r="32941">
      <c r="A32941" s="48" t="s">
        <v>1526</v>
      </c>
      <c r="B32941" s="38">
        <v>60566.0</v>
      </c>
      <c r="C32941" s="38" t="s">
        <v>4913</v>
      </c>
      <c r="D32941" s="38" t="str">
        <f>IFERROR(__xludf.DUMMYFUNCTION("REGEXREPLACE(C32941,""-\d+(.*)|--\d+(.*)"","""")"),"SAINT-ARNOULT")</f>
        <v>SAINT-ARNOULT</v>
      </c>
      <c r="E32941" s="38" t="s">
        <v>112</v>
      </c>
      <c r="F32941" s="38" t="s">
        <v>113</v>
      </c>
      <c r="G32941" s="49" t="str">
        <f t="shared" si="1"/>
        <v>60220</v>
      </c>
      <c r="H32941" s="49">
        <f t="shared" si="2"/>
        <v>60566</v>
      </c>
    </row>
    <row r="32942">
      <c r="A32942" s="48" t="s">
        <v>3763</v>
      </c>
      <c r="B32942" s="38">
        <v>76721.0</v>
      </c>
      <c r="C32942" s="38" t="s">
        <v>37192</v>
      </c>
      <c r="D32942" s="38" t="str">
        <f>IFERROR(__xludf.DUMMYFUNCTION("REGEXREPLACE(C32942,""-\d+(.*)|--\d+(.*)"","""")"),"VARNEVILLE-BRETTEVILLE")</f>
        <v>VARNEVILLE-BRETTEVILLE</v>
      </c>
      <c r="E32942" s="38" t="s">
        <v>133</v>
      </c>
      <c r="F32942" s="38" t="s">
        <v>134</v>
      </c>
      <c r="G32942" s="49" t="str">
        <f t="shared" si="1"/>
        <v>76890</v>
      </c>
      <c r="H32942" s="49">
        <f t="shared" si="2"/>
        <v>76721</v>
      </c>
    </row>
    <row r="32943">
      <c r="A32943" s="48" t="s">
        <v>25719</v>
      </c>
      <c r="B32943" s="38">
        <v>62310.0</v>
      </c>
      <c r="C32943" s="38" t="s">
        <v>37193</v>
      </c>
      <c r="D32943" s="38" t="str">
        <f>IFERROR(__xludf.DUMMYFUNCTION("REGEXREPLACE(C32943,""-\d+(.*)|--\d+(.*)"","""")"),"ESSARS")</f>
        <v>ESSARS</v>
      </c>
      <c r="E32943" s="38" t="s">
        <v>109</v>
      </c>
      <c r="F32943" s="38" t="s">
        <v>86</v>
      </c>
      <c r="G32943" s="49" t="str">
        <f t="shared" si="1"/>
        <v>62400</v>
      </c>
      <c r="H32943" s="49">
        <f t="shared" si="2"/>
        <v>62310</v>
      </c>
    </row>
    <row r="32944">
      <c r="A32944" s="48" t="s">
        <v>3089</v>
      </c>
      <c r="B32944" s="38">
        <v>18253.0</v>
      </c>
      <c r="C32944" s="38" t="s">
        <v>37194</v>
      </c>
      <c r="D32944" s="38" t="str">
        <f>IFERROR(__xludf.DUMMYFUNCTION("REGEXREPLACE(C32944,""-\d+(.*)|--\d+(.*)"","""")"),"SOULANGIS")</f>
        <v>SOULANGIS</v>
      </c>
      <c r="E32944" s="38" t="s">
        <v>504</v>
      </c>
      <c r="F32944" s="38" t="s">
        <v>123</v>
      </c>
      <c r="G32944" s="49" t="str">
        <f t="shared" si="1"/>
        <v>18220</v>
      </c>
      <c r="H32944" s="49">
        <f t="shared" si="2"/>
        <v>18253</v>
      </c>
    </row>
    <row r="32945">
      <c r="A32945" s="48" t="s">
        <v>4469</v>
      </c>
      <c r="B32945" s="38">
        <v>83117.0</v>
      </c>
      <c r="C32945" s="38" t="s">
        <v>37195</v>
      </c>
      <c r="D32945" s="38" t="str">
        <f>IFERROR(__xludf.DUMMYFUNCTION("REGEXREPLACE(C32945,""-\d+(.*)|--\d+(.*)"","""")"),"SAINT-PAUL-EN-FORET")</f>
        <v>SAINT-PAUL-EN-FORET</v>
      </c>
      <c r="E32945" s="38" t="s">
        <v>813</v>
      </c>
      <c r="F32945" s="38" t="s">
        <v>228</v>
      </c>
      <c r="G32945" s="49" t="str">
        <f t="shared" si="1"/>
        <v>83440</v>
      </c>
      <c r="H32945" s="49">
        <f t="shared" si="2"/>
        <v>83117</v>
      </c>
    </row>
    <row r="32946">
      <c r="A32946" s="48" t="s">
        <v>37196</v>
      </c>
      <c r="B32946" s="38">
        <v>97226.0</v>
      </c>
      <c r="C32946" s="38" t="s">
        <v>7832</v>
      </c>
      <c r="D32946" s="38" t="str">
        <f>IFERROR(__xludf.DUMMYFUNCTION("REGEXREPLACE(C32946,""-\d+(.*)|--\d+(.*)"","""")"),"SAINTE-ANNE")</f>
        <v>SAINTE-ANNE</v>
      </c>
      <c r="E32946" s="38" t="s">
        <v>2282</v>
      </c>
      <c r="F32946" s="38" t="s">
        <v>2282</v>
      </c>
      <c r="G32946" s="49" t="str">
        <f t="shared" si="1"/>
        <v>97227</v>
      </c>
      <c r="H32946" s="49">
        <f t="shared" si="2"/>
        <v>97226</v>
      </c>
    </row>
    <row r="32947">
      <c r="A32947" s="48" t="s">
        <v>11481</v>
      </c>
      <c r="B32947" s="38">
        <v>33012.0</v>
      </c>
      <c r="C32947" s="38" t="s">
        <v>37197</v>
      </c>
      <c r="D32947" s="38" t="str">
        <f>IFERROR(__xludf.DUMMYFUNCTION("REGEXREPLACE(C32947,""-\d+(.*)|--\d+(.*)"","""")"),"ARSAC")</f>
        <v>ARSAC</v>
      </c>
      <c r="E32947" s="38" t="s">
        <v>462</v>
      </c>
      <c r="F32947" s="38" t="s">
        <v>252</v>
      </c>
      <c r="G32947" s="49" t="str">
        <f t="shared" si="1"/>
        <v>33460</v>
      </c>
      <c r="H32947" s="49">
        <f t="shared" si="2"/>
        <v>33012</v>
      </c>
    </row>
    <row r="32948">
      <c r="A32948" s="48" t="s">
        <v>9225</v>
      </c>
      <c r="B32948" s="38">
        <v>23106.0</v>
      </c>
      <c r="C32948" s="38" t="s">
        <v>37198</v>
      </c>
      <c r="D32948" s="38" t="str">
        <f>IFERROR(__xludf.DUMMYFUNCTION("REGEXREPLACE(C32948,""-\d+(.*)|--\d+(.*)"","""")"),"LEPAUD")</f>
        <v>LEPAUD</v>
      </c>
      <c r="E32948" s="38" t="s">
        <v>97</v>
      </c>
      <c r="F32948" s="38" t="s">
        <v>98</v>
      </c>
      <c r="G32948" s="49" t="str">
        <f t="shared" si="1"/>
        <v>23170</v>
      </c>
      <c r="H32948" s="49">
        <f t="shared" si="2"/>
        <v>23106</v>
      </c>
    </row>
    <row r="32949">
      <c r="A32949" s="48" t="s">
        <v>1046</v>
      </c>
      <c r="B32949" s="38">
        <v>26344.0</v>
      </c>
      <c r="C32949" s="38" t="s">
        <v>37199</v>
      </c>
      <c r="D32949" s="38" t="str">
        <f>IFERROR(__xludf.DUMMYFUNCTION("REGEXREPLACE(C32949,""-\d+(.*)|--\d+(.*)"","""")"),"SOYANS")</f>
        <v>SOYANS</v>
      </c>
      <c r="E32949" s="38" t="s">
        <v>126</v>
      </c>
      <c r="F32949" s="38" t="s">
        <v>102</v>
      </c>
      <c r="G32949" s="49" t="str">
        <f t="shared" si="1"/>
        <v>26400</v>
      </c>
      <c r="H32949" s="49">
        <f t="shared" si="2"/>
        <v>26344</v>
      </c>
    </row>
    <row r="32950">
      <c r="A32950" s="48" t="s">
        <v>9587</v>
      </c>
      <c r="B32950" s="38">
        <v>67053.0</v>
      </c>
      <c r="C32950" s="38" t="s">
        <v>37200</v>
      </c>
      <c r="D32950" s="38" t="str">
        <f>IFERROR(__xludf.DUMMYFUNCTION("REGEXREPLACE(C32950,""-\d+(.*)|--\d+(.*)"","""")"),"BOESENBIESEN")</f>
        <v>BOESENBIESEN</v>
      </c>
      <c r="E32950" s="38" t="s">
        <v>210</v>
      </c>
      <c r="F32950" s="38" t="s">
        <v>151</v>
      </c>
      <c r="G32950" s="49" t="str">
        <f t="shared" si="1"/>
        <v>67390</v>
      </c>
      <c r="H32950" s="49">
        <f t="shared" si="2"/>
        <v>67053</v>
      </c>
    </row>
    <row r="32951">
      <c r="A32951" s="48" t="s">
        <v>597</v>
      </c>
      <c r="B32951" s="38">
        <v>31239.0</v>
      </c>
      <c r="C32951" s="38" t="s">
        <v>37201</v>
      </c>
      <c r="D32951" s="38" t="str">
        <f>IFERROR(__xludf.DUMMYFUNCTION("REGEXREPLACE(C32951,""-\d+(.*)|--\d+(.*)"","""")"),"L'ISLE-EN-DODON")</f>
        <v>L'ISLE-EN-DODON</v>
      </c>
      <c r="E32951" s="38" t="s">
        <v>93</v>
      </c>
      <c r="F32951" s="38" t="s">
        <v>94</v>
      </c>
      <c r="G32951" s="49" t="str">
        <f t="shared" si="1"/>
        <v>31230</v>
      </c>
      <c r="H32951" s="49">
        <f t="shared" si="2"/>
        <v>31239</v>
      </c>
    </row>
    <row r="32952">
      <c r="A32952" s="48" t="s">
        <v>656</v>
      </c>
      <c r="B32952" s="38">
        <v>61409.0</v>
      </c>
      <c r="C32952" s="38" t="s">
        <v>37202</v>
      </c>
      <c r="D32952" s="38" t="str">
        <f>IFERROR(__xludf.DUMMYFUNCTION("REGEXREPLACE(C32952,""-\d+(.*)|--\d+(.*)"","""")"),"SAINT-JEAN-DE-LA-FORET")</f>
        <v>SAINT-JEAN-DE-LA-FORET</v>
      </c>
      <c r="E32952" s="38" t="s">
        <v>141</v>
      </c>
      <c r="F32952" s="38" t="s">
        <v>138</v>
      </c>
      <c r="G32952" s="49" t="str">
        <f t="shared" si="1"/>
        <v>61340</v>
      </c>
      <c r="H32952" s="49">
        <f t="shared" si="2"/>
        <v>61409</v>
      </c>
    </row>
    <row r="32953">
      <c r="A32953" s="48" t="s">
        <v>4199</v>
      </c>
      <c r="B32953" s="38">
        <v>17104.0</v>
      </c>
      <c r="C32953" s="38" t="s">
        <v>37203</v>
      </c>
      <c r="D32953" s="38" t="str">
        <f>IFERROR(__xludf.DUMMYFUNCTION("REGEXREPLACE(C32953,""-\d+(.*)|--\d+(.*)"","""")"),"CHEVANCEAUX")</f>
        <v>CHEVANCEAUX</v>
      </c>
      <c r="E32953" s="38" t="s">
        <v>488</v>
      </c>
      <c r="F32953" s="38" t="s">
        <v>338</v>
      </c>
      <c r="G32953" s="49" t="str">
        <f t="shared" si="1"/>
        <v>17210</v>
      </c>
      <c r="H32953" s="49">
        <f t="shared" si="2"/>
        <v>17104</v>
      </c>
    </row>
    <row r="32954">
      <c r="A32954" s="48" t="s">
        <v>26328</v>
      </c>
      <c r="B32954" s="38" t="s">
        <v>37204</v>
      </c>
      <c r="C32954" s="38" t="s">
        <v>37205</v>
      </c>
      <c r="D32954" s="38" t="str">
        <f>IFERROR(__xludf.DUMMYFUNCTION("REGEXREPLACE(C32954,""-\d+(.*)|--\d+(.*)"","""")"),"BELGODERE")</f>
        <v>BELGODERE</v>
      </c>
      <c r="E32954" s="38" t="s">
        <v>743</v>
      </c>
      <c r="F32954" s="38" t="s">
        <v>607</v>
      </c>
      <c r="G32954" s="49" t="str">
        <f t="shared" si="1"/>
        <v>20226</v>
      </c>
      <c r="H32954" s="49" t="str">
        <f t="shared" si="2"/>
        <v>2B034</v>
      </c>
    </row>
    <row r="32955">
      <c r="A32955" s="48" t="s">
        <v>25989</v>
      </c>
      <c r="B32955" s="38">
        <v>25159.0</v>
      </c>
      <c r="C32955" s="38" t="s">
        <v>37206</v>
      </c>
      <c r="D32955" s="38" t="str">
        <f>IFERROR(__xludf.DUMMYFUNCTION("REGEXREPLACE(C32955,""-\d+(.*)|--\d+(.*)"","""")"),"COLOMBIER-FONTAINE")</f>
        <v>COLOMBIER-FONTAINE</v>
      </c>
      <c r="E32955" s="38" t="s">
        <v>213</v>
      </c>
      <c r="F32955" s="38" t="s">
        <v>214</v>
      </c>
      <c r="G32955" s="49" t="str">
        <f t="shared" si="1"/>
        <v>25260</v>
      </c>
      <c r="H32955" s="49">
        <f t="shared" si="2"/>
        <v>25159</v>
      </c>
    </row>
    <row r="32956">
      <c r="A32956" s="48" t="s">
        <v>14518</v>
      </c>
      <c r="B32956" s="38">
        <v>7013.0</v>
      </c>
      <c r="C32956" s="38" t="s">
        <v>37207</v>
      </c>
      <c r="D32956" s="38" t="str">
        <f>IFERROR(__xludf.DUMMYFUNCTION("REGEXREPLACE(C32956,""-\d+(.*)|--\d+(.*)"","""")"),"ARDOIX")</f>
        <v>ARDOIX</v>
      </c>
      <c r="E32956" s="38" t="s">
        <v>144</v>
      </c>
      <c r="F32956" s="38" t="s">
        <v>102</v>
      </c>
      <c r="G32956" s="49" t="str">
        <f t="shared" si="1"/>
        <v>07290</v>
      </c>
      <c r="H32956" s="49" t="str">
        <f t="shared" si="2"/>
        <v>07013</v>
      </c>
    </row>
    <row r="32957">
      <c r="A32957" s="48" t="s">
        <v>1310</v>
      </c>
      <c r="B32957" s="38">
        <v>25331.0</v>
      </c>
      <c r="C32957" s="38" t="s">
        <v>37208</v>
      </c>
      <c r="D32957" s="38" t="str">
        <f>IFERROR(__xludf.DUMMYFUNCTION("REGEXREPLACE(C32957,""-\d+(.*)|--\d+(.*)"","""")"),"LAVANS-VUILLAFANS")</f>
        <v>LAVANS-VUILLAFANS</v>
      </c>
      <c r="E32957" s="38" t="s">
        <v>213</v>
      </c>
      <c r="F32957" s="38" t="s">
        <v>214</v>
      </c>
      <c r="G32957" s="49" t="str">
        <f t="shared" si="1"/>
        <v>25580</v>
      </c>
      <c r="H32957" s="49">
        <f t="shared" si="2"/>
        <v>25331</v>
      </c>
    </row>
    <row r="32958">
      <c r="A32958" s="48" t="s">
        <v>1632</v>
      </c>
      <c r="B32958" s="38">
        <v>63357.0</v>
      </c>
      <c r="C32958" s="38" t="s">
        <v>37209</v>
      </c>
      <c r="D32958" s="38" t="str">
        <f>IFERROR(__xludf.DUMMYFUNCTION("REGEXREPLACE(C32958,""-\d+(.*)|--\d+(.*)"","""")"),"SAINT-HERENT")</f>
        <v>SAINT-HERENT</v>
      </c>
      <c r="E32958" s="38" t="s">
        <v>353</v>
      </c>
      <c r="F32958" s="38" t="s">
        <v>161</v>
      </c>
      <c r="G32958" s="49" t="str">
        <f t="shared" si="1"/>
        <v>63340</v>
      </c>
      <c r="H32958" s="49">
        <f t="shared" si="2"/>
        <v>63357</v>
      </c>
    </row>
    <row r="32959">
      <c r="A32959" s="48" t="s">
        <v>6856</v>
      </c>
      <c r="B32959" s="38">
        <v>59087.0</v>
      </c>
      <c r="C32959" s="38" t="s">
        <v>37210</v>
      </c>
      <c r="D32959" s="38" t="str">
        <f>IFERROR(__xludf.DUMMYFUNCTION("REGEXREPLACE(C32959,""-\d+(.*)|--\d+(.*)"","""")"),"BOESEGHEM")</f>
        <v>BOESEGHEM</v>
      </c>
      <c r="E32959" s="38" t="s">
        <v>85</v>
      </c>
      <c r="F32959" s="38" t="s">
        <v>86</v>
      </c>
      <c r="G32959" s="49" t="str">
        <f t="shared" si="1"/>
        <v>59189</v>
      </c>
      <c r="H32959" s="49">
        <f t="shared" si="2"/>
        <v>59087</v>
      </c>
    </row>
    <row r="32960">
      <c r="A32960" s="48" t="s">
        <v>4596</v>
      </c>
      <c r="B32960" s="38">
        <v>2356.0</v>
      </c>
      <c r="C32960" s="38" t="s">
        <v>21535</v>
      </c>
      <c r="D32960" s="38" t="str">
        <f>IFERROR(__xludf.DUMMYFUNCTION("REGEXREPLACE(C32960,""-\d+(.*)|--\d+(.*)"","""")"),"GRISOLLES")</f>
        <v>GRISOLLES</v>
      </c>
      <c r="E32960" s="38" t="s">
        <v>191</v>
      </c>
      <c r="F32960" s="38" t="s">
        <v>113</v>
      </c>
      <c r="G32960" s="49" t="str">
        <f t="shared" si="1"/>
        <v>02210</v>
      </c>
      <c r="H32960" s="49" t="str">
        <f t="shared" si="2"/>
        <v>02356</v>
      </c>
    </row>
    <row r="32961">
      <c r="A32961" s="48" t="s">
        <v>12001</v>
      </c>
      <c r="B32961" s="38">
        <v>7254.0</v>
      </c>
      <c r="C32961" s="38" t="s">
        <v>37211</v>
      </c>
      <c r="D32961" s="38" t="str">
        <f>IFERROR(__xludf.DUMMYFUNCTION("REGEXREPLACE(C32961,""-\d+(.*)|--\d+(.*)"","""")"),"SAINT-JULIEN-DU-SERRE")</f>
        <v>SAINT-JULIEN-DU-SERRE</v>
      </c>
      <c r="E32961" s="38" t="s">
        <v>144</v>
      </c>
      <c r="F32961" s="38" t="s">
        <v>102</v>
      </c>
      <c r="G32961" s="49" t="str">
        <f t="shared" si="1"/>
        <v>07200</v>
      </c>
      <c r="H32961" s="49" t="str">
        <f t="shared" si="2"/>
        <v>07254</v>
      </c>
    </row>
    <row r="32962">
      <c r="A32962" s="48" t="s">
        <v>1467</v>
      </c>
      <c r="B32962" s="38">
        <v>7003.0</v>
      </c>
      <c r="C32962" s="38" t="s">
        <v>37212</v>
      </c>
      <c r="D32962" s="38" t="str">
        <f>IFERROR(__xludf.DUMMYFUNCTION("REGEXREPLACE(C32962,""-\d+(.*)|--\d+(.*)"","""")"),"AIZAC")</f>
        <v>AIZAC</v>
      </c>
      <c r="E32962" s="38" t="s">
        <v>144</v>
      </c>
      <c r="F32962" s="38" t="s">
        <v>102</v>
      </c>
      <c r="G32962" s="49" t="str">
        <f t="shared" si="1"/>
        <v>07530</v>
      </c>
      <c r="H32962" s="49" t="str">
        <f t="shared" si="2"/>
        <v>07003</v>
      </c>
    </row>
    <row r="32963">
      <c r="A32963" s="48" t="s">
        <v>4895</v>
      </c>
      <c r="B32963" s="38">
        <v>34110.0</v>
      </c>
      <c r="C32963" s="38" t="s">
        <v>37213</v>
      </c>
      <c r="D32963" s="38" t="str">
        <f>IFERROR(__xludf.DUMMYFUNCTION("REGEXREPLACE(C32963,""-\d+(.*)|--\d+(.*)"","""")"),"GALARGUES")</f>
        <v>GALARGUES</v>
      </c>
      <c r="E32963" s="38" t="s">
        <v>118</v>
      </c>
      <c r="F32963" s="38" t="s">
        <v>119</v>
      </c>
      <c r="G32963" s="49" t="str">
        <f t="shared" si="1"/>
        <v>34160</v>
      </c>
      <c r="H32963" s="49">
        <f t="shared" si="2"/>
        <v>34110</v>
      </c>
    </row>
    <row r="32964">
      <c r="A32964" s="48" t="s">
        <v>7237</v>
      </c>
      <c r="B32964" s="38">
        <v>17431.0</v>
      </c>
      <c r="C32964" s="38" t="s">
        <v>37214</v>
      </c>
      <c r="D32964" s="38" t="str">
        <f>IFERROR(__xludf.DUMMYFUNCTION("REGEXREPLACE(C32964,""-\d+(.*)|--\d+(.*)"","""")"),"SOULIGNONNE")</f>
        <v>SOULIGNONNE</v>
      </c>
      <c r="E32964" s="38" t="s">
        <v>488</v>
      </c>
      <c r="F32964" s="38" t="s">
        <v>338</v>
      </c>
      <c r="G32964" s="49" t="str">
        <f t="shared" si="1"/>
        <v>17250</v>
      </c>
      <c r="H32964" s="49">
        <f t="shared" si="2"/>
        <v>17431</v>
      </c>
    </row>
    <row r="32965">
      <c r="A32965" s="48" t="s">
        <v>698</v>
      </c>
      <c r="B32965" s="38">
        <v>11083.0</v>
      </c>
      <c r="C32965" s="38" t="s">
        <v>37215</v>
      </c>
      <c r="D32965" s="38" t="str">
        <f>IFERROR(__xludf.DUMMYFUNCTION("REGEXREPLACE(C32965,""-\d+(.*)|--\d+(.*)"","""")"),"CAUNETTES-EN-VAL")</f>
        <v>CAUNETTES-EN-VAL</v>
      </c>
      <c r="E32965" s="38" t="s">
        <v>278</v>
      </c>
      <c r="F32965" s="38" t="s">
        <v>119</v>
      </c>
      <c r="G32965" s="49" t="str">
        <f t="shared" si="1"/>
        <v>11220</v>
      </c>
      <c r="H32965" s="49">
        <f t="shared" si="2"/>
        <v>11083</v>
      </c>
    </row>
    <row r="32966">
      <c r="A32966" s="48" t="s">
        <v>1184</v>
      </c>
      <c r="B32966" s="38">
        <v>8302.0</v>
      </c>
      <c r="C32966" s="38" t="s">
        <v>37216</v>
      </c>
      <c r="D32966" s="38" t="str">
        <f>IFERROR(__xludf.DUMMYFUNCTION("REGEXREPLACE(C32966,""-\d+(.*)|--\d+(.*)"","""")"),"MONTHERME")</f>
        <v>MONTHERME</v>
      </c>
      <c r="E32966" s="38" t="s">
        <v>327</v>
      </c>
      <c r="F32966" s="38" t="s">
        <v>130</v>
      </c>
      <c r="G32966" s="49" t="str">
        <f t="shared" si="1"/>
        <v>08800</v>
      </c>
      <c r="H32966" s="49" t="str">
        <f t="shared" si="2"/>
        <v>08302</v>
      </c>
    </row>
    <row r="32967">
      <c r="A32967" s="48" t="s">
        <v>14284</v>
      </c>
      <c r="B32967" s="38">
        <v>19028.0</v>
      </c>
      <c r="C32967" s="38" t="s">
        <v>37217</v>
      </c>
      <c r="D32967" s="38" t="str">
        <f>IFERROR(__xludf.DUMMYFUNCTION("REGEXREPLACE(C32967,""-\d+(.*)|--\d+(.*)"","""")"),"BORT-LES-ORGUES")</f>
        <v>BORT-LES-ORGUES</v>
      </c>
      <c r="E32967" s="38" t="s">
        <v>271</v>
      </c>
      <c r="F32967" s="38" t="s">
        <v>98</v>
      </c>
      <c r="G32967" s="49" t="str">
        <f t="shared" si="1"/>
        <v>19110</v>
      </c>
      <c r="H32967" s="49">
        <f t="shared" si="2"/>
        <v>19028</v>
      </c>
    </row>
    <row r="32968">
      <c r="A32968" s="48" t="s">
        <v>2370</v>
      </c>
      <c r="B32968" s="38">
        <v>33443.0</v>
      </c>
      <c r="C32968" s="38" t="s">
        <v>37218</v>
      </c>
      <c r="D32968" s="38" t="str">
        <f>IFERROR(__xludf.DUMMYFUNCTION("REGEXREPLACE(C32968,""-\d+(.*)|--\d+(.*)"","""")"),"SAINT-MARTIN-DE-LERM")</f>
        <v>SAINT-MARTIN-DE-LERM</v>
      </c>
      <c r="E32968" s="38" t="s">
        <v>462</v>
      </c>
      <c r="F32968" s="38" t="s">
        <v>252</v>
      </c>
      <c r="G32968" s="49" t="str">
        <f t="shared" si="1"/>
        <v>33540</v>
      </c>
      <c r="H32968" s="49">
        <f t="shared" si="2"/>
        <v>33443</v>
      </c>
    </row>
    <row r="32969">
      <c r="A32969" s="48" t="s">
        <v>7140</v>
      </c>
      <c r="B32969" s="38">
        <v>3049.0</v>
      </c>
      <c r="C32969" s="38" t="s">
        <v>37219</v>
      </c>
      <c r="D32969" s="38" t="str">
        <f>IFERROR(__xludf.DUMMYFUNCTION("REGEXREPLACE(C32969,""-\d+(.*)|--\d+(.*)"","""")"),"CESSET")</f>
        <v>CESSET</v>
      </c>
      <c r="E32969" s="38" t="s">
        <v>160</v>
      </c>
      <c r="F32969" s="38" t="s">
        <v>161</v>
      </c>
      <c r="G32969" s="49" t="str">
        <f t="shared" si="1"/>
        <v>03500</v>
      </c>
      <c r="H32969" s="49" t="str">
        <f t="shared" si="2"/>
        <v>03049</v>
      </c>
    </row>
    <row r="32970">
      <c r="A32970" s="48" t="s">
        <v>35819</v>
      </c>
      <c r="B32970" s="38">
        <v>84093.0</v>
      </c>
      <c r="C32970" s="38" t="s">
        <v>37220</v>
      </c>
      <c r="D32970" s="38" t="str">
        <f>IFERROR(__xludf.DUMMYFUNCTION("REGEXREPLACE(C32970,""-\d+(.*)|--\d+(.*)"","""")"),"PUGET")</f>
        <v>PUGET</v>
      </c>
      <c r="E32970" s="38" t="s">
        <v>1026</v>
      </c>
      <c r="F32970" s="38" t="s">
        <v>228</v>
      </c>
      <c r="G32970" s="49" t="str">
        <f t="shared" si="1"/>
        <v>84360</v>
      </c>
      <c r="H32970" s="49">
        <f t="shared" si="2"/>
        <v>84093</v>
      </c>
    </row>
    <row r="32971">
      <c r="A32971" s="48" t="s">
        <v>1356</v>
      </c>
      <c r="B32971" s="38">
        <v>57175.0</v>
      </c>
      <c r="C32971" s="38" t="s">
        <v>37221</v>
      </c>
      <c r="D32971" s="38" t="str">
        <f>IFERROR(__xludf.DUMMYFUNCTION("REGEXREPLACE(C32971,""-\d+(.*)|--\d+(.*)"","""")"),"DIANE-CAPELLE")</f>
        <v>DIANE-CAPELLE</v>
      </c>
      <c r="E32971" s="38" t="s">
        <v>303</v>
      </c>
      <c r="F32971" s="38" t="s">
        <v>195</v>
      </c>
      <c r="G32971" s="49" t="str">
        <f t="shared" si="1"/>
        <v>57830</v>
      </c>
      <c r="H32971" s="49">
        <f t="shared" si="2"/>
        <v>57175</v>
      </c>
    </row>
    <row r="32972">
      <c r="A32972" s="48" t="s">
        <v>4754</v>
      </c>
      <c r="B32972" s="38">
        <v>12162.0</v>
      </c>
      <c r="C32972" s="38" t="s">
        <v>37222</v>
      </c>
      <c r="D32972" s="38" t="str">
        <f>IFERROR(__xludf.DUMMYFUNCTION("REGEXREPLACE(C32972,""-\d+(.*)|--\d+(.*)"","""")"),"MOYRAZES")</f>
        <v>MOYRAZES</v>
      </c>
      <c r="E32972" s="38" t="s">
        <v>465</v>
      </c>
      <c r="F32972" s="38" t="s">
        <v>94</v>
      </c>
      <c r="G32972" s="49" t="str">
        <f t="shared" si="1"/>
        <v>12160</v>
      </c>
      <c r="H32972" s="49">
        <f t="shared" si="2"/>
        <v>12162</v>
      </c>
    </row>
    <row r="32973">
      <c r="A32973" s="48" t="s">
        <v>37223</v>
      </c>
      <c r="B32973" s="38">
        <v>94037.0</v>
      </c>
      <c r="C32973" s="38" t="s">
        <v>37224</v>
      </c>
      <c r="D32973" s="38" t="str">
        <f>IFERROR(__xludf.DUMMYFUNCTION("REGEXREPLACE(C32973,""-\d+(.*)|--\d+(.*)"","""")"),"GENTILLY")</f>
        <v>GENTILLY</v>
      </c>
      <c r="E32973" s="38" t="s">
        <v>561</v>
      </c>
      <c r="F32973" s="38" t="s">
        <v>245</v>
      </c>
      <c r="G32973" s="49" t="str">
        <f t="shared" si="1"/>
        <v>94250</v>
      </c>
      <c r="H32973" s="49">
        <f t="shared" si="2"/>
        <v>94037</v>
      </c>
    </row>
    <row r="32974">
      <c r="A32974" s="48" t="s">
        <v>4170</v>
      </c>
      <c r="B32974" s="38">
        <v>37193.0</v>
      </c>
      <c r="C32974" s="38" t="s">
        <v>37225</v>
      </c>
      <c r="D32974" s="38" t="str">
        <f>IFERROR(__xludf.DUMMYFUNCTION("REGEXREPLACE(C32974,""-\d+(.*)|--\d+(.*)"","""")"),"RESTIGNE")</f>
        <v>RESTIGNE</v>
      </c>
      <c r="E32974" s="38" t="s">
        <v>205</v>
      </c>
      <c r="F32974" s="38" t="s">
        <v>123</v>
      </c>
      <c r="G32974" s="49" t="str">
        <f t="shared" si="1"/>
        <v>37140</v>
      </c>
      <c r="H32974" s="49">
        <f t="shared" si="2"/>
        <v>37193</v>
      </c>
    </row>
    <row r="32975">
      <c r="A32975" s="48" t="s">
        <v>1713</v>
      </c>
      <c r="B32975" s="38">
        <v>36229.0</v>
      </c>
      <c r="C32975" s="38" t="s">
        <v>37226</v>
      </c>
      <c r="D32975" s="38" t="str">
        <f>IFERROR(__xludf.DUMMYFUNCTION("REGEXREPLACE(C32975,""-\d+(.*)|--\d+(.*)"","""")"),"VARENNES-SUR-FOUZON")</f>
        <v>VARENNES-SUR-FOUZON</v>
      </c>
      <c r="E32975" s="38" t="s">
        <v>258</v>
      </c>
      <c r="F32975" s="38" t="s">
        <v>123</v>
      </c>
      <c r="G32975" s="49" t="str">
        <f t="shared" si="1"/>
        <v>36210</v>
      </c>
      <c r="H32975" s="49">
        <f t="shared" si="2"/>
        <v>36229</v>
      </c>
    </row>
    <row r="32976">
      <c r="A32976" s="48" t="s">
        <v>19064</v>
      </c>
      <c r="B32976" s="38">
        <v>61501.0</v>
      </c>
      <c r="C32976" s="38" t="s">
        <v>3348</v>
      </c>
      <c r="D32976" s="38" t="str">
        <f>IFERROR(__xludf.DUMMYFUNCTION("REGEXREPLACE(C32976,""-\d+(.*)|--\d+(.*)"","""")"),"VERRIERES")</f>
        <v>VERRIERES</v>
      </c>
      <c r="E32976" s="38" t="s">
        <v>141</v>
      </c>
      <c r="F32976" s="38" t="s">
        <v>138</v>
      </c>
      <c r="G32976" s="49" t="str">
        <f t="shared" si="1"/>
        <v>61110</v>
      </c>
      <c r="H32976" s="49">
        <f t="shared" si="2"/>
        <v>61501</v>
      </c>
    </row>
    <row r="32977">
      <c r="A32977" s="48" t="s">
        <v>12258</v>
      </c>
      <c r="B32977" s="38">
        <v>69223.0</v>
      </c>
      <c r="C32977" s="38" t="s">
        <v>1320</v>
      </c>
      <c r="D32977" s="38" t="str">
        <f>IFERROR(__xludf.DUMMYFUNCTION("REGEXREPLACE(C32977,""-\d+(.*)|--\d+(.*)"","""")"),"SAINT-LOUP")</f>
        <v>SAINT-LOUP</v>
      </c>
      <c r="E32977" s="38" t="s">
        <v>350</v>
      </c>
      <c r="F32977" s="38" t="s">
        <v>102</v>
      </c>
      <c r="G32977" s="49" t="str">
        <f t="shared" si="1"/>
        <v>69490</v>
      </c>
      <c r="H32977" s="49">
        <f t="shared" si="2"/>
        <v>69223</v>
      </c>
    </row>
    <row r="32978">
      <c r="A32978" s="48" t="s">
        <v>1636</v>
      </c>
      <c r="B32978" s="38">
        <v>14091.0</v>
      </c>
      <c r="C32978" s="38" t="s">
        <v>37227</v>
      </c>
      <c r="D32978" s="38" t="str">
        <f>IFERROR(__xludf.DUMMYFUNCTION("REGEXREPLACE(C32978,""-\d+(.*)|--\d+(.*)"","""")"),"BOURGEAUVILLE")</f>
        <v>BOURGEAUVILLE</v>
      </c>
      <c r="E32978" s="38" t="s">
        <v>137</v>
      </c>
      <c r="F32978" s="38" t="s">
        <v>138</v>
      </c>
      <c r="G32978" s="49" t="str">
        <f t="shared" si="1"/>
        <v>14430</v>
      </c>
      <c r="H32978" s="49">
        <f t="shared" si="2"/>
        <v>14091</v>
      </c>
    </row>
    <row r="32979">
      <c r="A32979" s="48" t="s">
        <v>11336</v>
      </c>
      <c r="B32979" s="38">
        <v>10419.0</v>
      </c>
      <c r="C32979" s="38" t="s">
        <v>37228</v>
      </c>
      <c r="D32979" s="38" t="str">
        <f>IFERROR(__xludf.DUMMYFUNCTION("REGEXREPLACE(C32979,""-\d+(.*)|--\d+(.*)"","""")"),"VILLEMOYENNE")</f>
        <v>VILLEMOYENNE</v>
      </c>
      <c r="E32979" s="38" t="s">
        <v>147</v>
      </c>
      <c r="F32979" s="38" t="s">
        <v>130</v>
      </c>
      <c r="G32979" s="49" t="str">
        <f t="shared" si="1"/>
        <v>10260</v>
      </c>
      <c r="H32979" s="49">
        <f t="shared" si="2"/>
        <v>10419</v>
      </c>
    </row>
    <row r="32980">
      <c r="A32980" s="48" t="s">
        <v>32636</v>
      </c>
      <c r="B32980" s="38">
        <v>78015.0</v>
      </c>
      <c r="C32980" s="38" t="s">
        <v>37229</v>
      </c>
      <c r="D32980" s="38" t="str">
        <f>IFERROR(__xludf.DUMMYFUNCTION("REGEXREPLACE(C32980,""-\d+(.*)|--\d+(.*)"","""")"),"ANDRESY")</f>
        <v>ANDRESY</v>
      </c>
      <c r="E32980" s="38" t="s">
        <v>362</v>
      </c>
      <c r="F32980" s="38" t="s">
        <v>245</v>
      </c>
      <c r="G32980" s="49" t="str">
        <f t="shared" si="1"/>
        <v>78570</v>
      </c>
      <c r="H32980" s="49">
        <f t="shared" si="2"/>
        <v>78015</v>
      </c>
    </row>
    <row r="32981">
      <c r="A32981" s="48" t="s">
        <v>1000</v>
      </c>
      <c r="B32981" s="38">
        <v>70098.0</v>
      </c>
      <c r="C32981" s="38" t="s">
        <v>37230</v>
      </c>
      <c r="D32981" s="38" t="str">
        <f>IFERROR(__xludf.DUMMYFUNCTION("REGEXREPLACE(C32981,""-\d+(.*)|--\d+(.*)"","""")"),"BROTTE-LES-LUXEUIL")</f>
        <v>BROTTE-LES-LUXEUIL</v>
      </c>
      <c r="E32981" s="38" t="s">
        <v>956</v>
      </c>
      <c r="F32981" s="38" t="s">
        <v>214</v>
      </c>
      <c r="G32981" s="49" t="str">
        <f t="shared" si="1"/>
        <v>70300</v>
      </c>
      <c r="H32981" s="49">
        <f t="shared" si="2"/>
        <v>70098</v>
      </c>
    </row>
    <row r="32982">
      <c r="A32982" s="48" t="s">
        <v>220</v>
      </c>
      <c r="B32982" s="38">
        <v>67543.0</v>
      </c>
      <c r="C32982" s="38" t="s">
        <v>37231</v>
      </c>
      <c r="D32982" s="38" t="str">
        <f>IFERROR(__xludf.DUMMYFUNCTION("REGEXREPLACE(C32982,""-\d+(.*)|--\d+(.*)"","""")"),"WISCHES")</f>
        <v>WISCHES</v>
      </c>
      <c r="E32982" s="38" t="s">
        <v>210</v>
      </c>
      <c r="F32982" s="38" t="s">
        <v>151</v>
      </c>
      <c r="G32982" s="49" t="str">
        <f t="shared" si="1"/>
        <v>67130</v>
      </c>
      <c r="H32982" s="49">
        <f t="shared" si="2"/>
        <v>67543</v>
      </c>
    </row>
    <row r="32983">
      <c r="A32983" s="48" t="s">
        <v>3892</v>
      </c>
      <c r="B32983" s="38">
        <v>42335.0</v>
      </c>
      <c r="C32983" s="38" t="s">
        <v>37232</v>
      </c>
      <c r="D32983" s="38" t="str">
        <f>IFERROR(__xludf.DUMMYFUNCTION("REGEXREPLACE(C32983,""-\d+(.*)|--\d+(.*)"","""")"),"VIRICELLES")</f>
        <v>VIRICELLES</v>
      </c>
      <c r="E32983" s="38" t="s">
        <v>166</v>
      </c>
      <c r="F32983" s="38" t="s">
        <v>102</v>
      </c>
      <c r="G32983" s="49" t="str">
        <f t="shared" si="1"/>
        <v>42140</v>
      </c>
      <c r="H32983" s="49">
        <f t="shared" si="2"/>
        <v>42335</v>
      </c>
    </row>
    <row r="32984">
      <c r="A32984" s="48" t="s">
        <v>26328</v>
      </c>
      <c r="B32984" s="38" t="s">
        <v>37233</v>
      </c>
      <c r="C32984" s="38" t="s">
        <v>37234</v>
      </c>
      <c r="D32984" s="38" t="str">
        <f>IFERROR(__xludf.DUMMYFUNCTION("REGEXREPLACE(C32984,""-\d+(.*)|--\d+(.*)"","""")"),"COSTA")</f>
        <v>COSTA</v>
      </c>
      <c r="E32984" s="38" t="s">
        <v>743</v>
      </c>
      <c r="F32984" s="38" t="s">
        <v>607</v>
      </c>
      <c r="G32984" s="49" t="str">
        <f t="shared" si="1"/>
        <v>20226</v>
      </c>
      <c r="H32984" s="49" t="str">
        <f t="shared" si="2"/>
        <v>2B097</v>
      </c>
    </row>
    <row r="32985">
      <c r="A32985" s="48" t="s">
        <v>7144</v>
      </c>
      <c r="B32985" s="38">
        <v>76455.0</v>
      </c>
      <c r="C32985" s="38" t="s">
        <v>37235</v>
      </c>
      <c r="D32985" s="38" t="str">
        <f>IFERROR(__xludf.DUMMYFUNCTION("REGEXREPLACE(C32985,""-\d+(.*)|--\d+(.*)"","""")"),"MORVILLE-SUR-ANDELLE")</f>
        <v>MORVILLE-SUR-ANDELLE</v>
      </c>
      <c r="E32985" s="38" t="s">
        <v>133</v>
      </c>
      <c r="F32985" s="38" t="s">
        <v>134</v>
      </c>
      <c r="G32985" s="49" t="str">
        <f t="shared" si="1"/>
        <v>76780</v>
      </c>
      <c r="H32985" s="49">
        <f t="shared" si="2"/>
        <v>76455</v>
      </c>
    </row>
    <row r="32986">
      <c r="A32986" s="48" t="s">
        <v>37236</v>
      </c>
      <c r="B32986" s="38">
        <v>13085.0</v>
      </c>
      <c r="C32986" s="38" t="s">
        <v>37237</v>
      </c>
      <c r="D32986" s="38" t="str">
        <f>IFERROR(__xludf.DUMMYFUNCTION("REGEXREPLACE(C32986,""-\d+(.*)|--\d+(.*)"","""")"),"ROQUEFORT-LA-BEDOULE")</f>
        <v>ROQUEFORT-LA-BEDOULE</v>
      </c>
      <c r="E32986" s="38" t="s">
        <v>980</v>
      </c>
      <c r="F32986" s="38" t="s">
        <v>228</v>
      </c>
      <c r="G32986" s="49" t="str">
        <f t="shared" si="1"/>
        <v>13830</v>
      </c>
      <c r="H32986" s="49">
        <f t="shared" si="2"/>
        <v>13085</v>
      </c>
    </row>
    <row r="32987">
      <c r="A32987" s="48" t="s">
        <v>2673</v>
      </c>
      <c r="B32987" s="38">
        <v>3203.0</v>
      </c>
      <c r="C32987" s="38" t="s">
        <v>37238</v>
      </c>
      <c r="D32987" s="38" t="str">
        <f>IFERROR(__xludf.DUMMYFUNCTION("REGEXREPLACE(C32987,""-\d+(.*)|--\d+(.*)"","""")"),"PARAY-LE-FRESIL")</f>
        <v>PARAY-LE-FRESIL</v>
      </c>
      <c r="E32987" s="38" t="s">
        <v>160</v>
      </c>
      <c r="F32987" s="38" t="s">
        <v>161</v>
      </c>
      <c r="G32987" s="49" t="str">
        <f t="shared" si="1"/>
        <v>03230</v>
      </c>
      <c r="H32987" s="49" t="str">
        <f t="shared" si="2"/>
        <v>03203</v>
      </c>
    </row>
    <row r="32988">
      <c r="A32988" s="48" t="s">
        <v>9293</v>
      </c>
      <c r="B32988" s="38">
        <v>9309.0</v>
      </c>
      <c r="C32988" s="38" t="s">
        <v>17611</v>
      </c>
      <c r="D32988" s="38" t="str">
        <f>IFERROR(__xludf.DUMMYFUNCTION("REGEXREPLACE(C32988,""-\d+(.*)|--\d+(.*)"","""")"),"TEILHET")</f>
        <v>TEILHET</v>
      </c>
      <c r="E32988" s="38" t="s">
        <v>238</v>
      </c>
      <c r="F32988" s="38" t="s">
        <v>94</v>
      </c>
      <c r="G32988" s="49" t="str">
        <f t="shared" si="1"/>
        <v>09500</v>
      </c>
      <c r="H32988" s="49" t="str">
        <f t="shared" si="2"/>
        <v>09309</v>
      </c>
    </row>
    <row r="32989">
      <c r="A32989" s="48" t="s">
        <v>10536</v>
      </c>
      <c r="B32989" s="38">
        <v>72349.0</v>
      </c>
      <c r="C32989" s="38" t="s">
        <v>11871</v>
      </c>
      <c r="D32989" s="38" t="str">
        <f>IFERROR(__xludf.DUMMYFUNCTION("REGEXREPLACE(C32989,""-\d+(.*)|--\d+(.*)"","""")"),"TEILLE")</f>
        <v>TEILLE</v>
      </c>
      <c r="E32989" s="38" t="s">
        <v>521</v>
      </c>
      <c r="F32989" s="38" t="s">
        <v>180</v>
      </c>
      <c r="G32989" s="49" t="str">
        <f t="shared" si="1"/>
        <v>72290</v>
      </c>
      <c r="H32989" s="49">
        <f t="shared" si="2"/>
        <v>72349</v>
      </c>
    </row>
    <row r="32990">
      <c r="A32990" s="48" t="s">
        <v>1913</v>
      </c>
      <c r="B32990" s="38">
        <v>63354.0</v>
      </c>
      <c r="C32990" s="38" t="s">
        <v>37239</v>
      </c>
      <c r="D32990" s="38" t="str">
        <f>IFERROR(__xludf.DUMMYFUNCTION("REGEXREPLACE(C32990,""-\d+(.*)|--\d+(.*)"","""")"),"SAINT-GERVAIS-D'AUVERGNE")</f>
        <v>SAINT-GERVAIS-D'AUVERGNE</v>
      </c>
      <c r="E32990" s="38" t="s">
        <v>353</v>
      </c>
      <c r="F32990" s="38" t="s">
        <v>161</v>
      </c>
      <c r="G32990" s="49" t="str">
        <f t="shared" si="1"/>
        <v>63390</v>
      </c>
      <c r="H32990" s="49">
        <f t="shared" si="2"/>
        <v>63354</v>
      </c>
    </row>
    <row r="32991">
      <c r="A32991" s="48" t="s">
        <v>8967</v>
      </c>
      <c r="B32991" s="38">
        <v>80281.0</v>
      </c>
      <c r="C32991" s="38" t="s">
        <v>37240</v>
      </c>
      <c r="D32991" s="38" t="str">
        <f>IFERROR(__xludf.DUMMYFUNCTION("REGEXREPLACE(C32991,""-\d+(.*)|--\d+(.*)"","""")"),"ERGNIES")</f>
        <v>ERGNIES</v>
      </c>
      <c r="E32991" s="38" t="s">
        <v>224</v>
      </c>
      <c r="F32991" s="38" t="s">
        <v>113</v>
      </c>
      <c r="G32991" s="49" t="str">
        <f t="shared" si="1"/>
        <v>80690</v>
      </c>
      <c r="H32991" s="49">
        <f t="shared" si="2"/>
        <v>80281</v>
      </c>
    </row>
    <row r="32992">
      <c r="A32992" s="48" t="s">
        <v>11285</v>
      </c>
      <c r="B32992" s="38" t="s">
        <v>37241</v>
      </c>
      <c r="C32992" s="38" t="s">
        <v>37242</v>
      </c>
      <c r="D32992" s="38" t="str">
        <f>IFERROR(__xludf.DUMMYFUNCTION("REGEXREPLACE(C32992,""-\d+(.*)|--\d+(.*)"","""")"),"LANO")</f>
        <v>LANO</v>
      </c>
      <c r="E32992" s="38" t="s">
        <v>743</v>
      </c>
      <c r="F32992" s="38" t="s">
        <v>607</v>
      </c>
      <c r="G32992" s="49" t="str">
        <f t="shared" si="1"/>
        <v>20244</v>
      </c>
      <c r="H32992" s="49" t="str">
        <f t="shared" si="2"/>
        <v>2B137</v>
      </c>
    </row>
    <row r="32993">
      <c r="A32993" s="48" t="s">
        <v>2575</v>
      </c>
      <c r="B32993" s="38">
        <v>91223.0</v>
      </c>
      <c r="C32993" s="38" t="s">
        <v>37243</v>
      </c>
      <c r="D32993" s="38" t="str">
        <f>IFERROR(__xludf.DUMMYFUNCTION("REGEXREPLACE(C32993,""-\d+(.*)|--\d+(.*)"","""")"),"ETAMPES")</f>
        <v>ETAMPES</v>
      </c>
      <c r="E32993" s="38" t="s">
        <v>756</v>
      </c>
      <c r="F32993" s="38" t="s">
        <v>245</v>
      </c>
      <c r="G32993" s="49" t="str">
        <f t="shared" si="1"/>
        <v>91150</v>
      </c>
      <c r="H32993" s="49">
        <f t="shared" si="2"/>
        <v>91223</v>
      </c>
    </row>
    <row r="32994">
      <c r="A32994" s="48" t="s">
        <v>6328</v>
      </c>
      <c r="B32994" s="38">
        <v>30174.0</v>
      </c>
      <c r="C32994" s="38" t="s">
        <v>37244</v>
      </c>
      <c r="D32994" s="38" t="str">
        <f>IFERROR(__xludf.DUMMYFUNCTION("REGEXREPLACE(C32994,""-\d+(.*)|--\d+(.*)"","""")"),"MONTAREN-ET-SAINT-MEDIERS")</f>
        <v>MONTAREN-ET-SAINT-MEDIERS</v>
      </c>
      <c r="E32994" s="38" t="s">
        <v>526</v>
      </c>
      <c r="F32994" s="38" t="s">
        <v>119</v>
      </c>
      <c r="G32994" s="49" t="str">
        <f t="shared" si="1"/>
        <v>30700</v>
      </c>
      <c r="H32994" s="49">
        <f t="shared" si="2"/>
        <v>30174</v>
      </c>
    </row>
    <row r="32995">
      <c r="A32995" s="48" t="s">
        <v>16366</v>
      </c>
      <c r="B32995" s="38">
        <v>21528.0</v>
      </c>
      <c r="C32995" s="38" t="s">
        <v>37245</v>
      </c>
      <c r="D32995" s="38" t="str">
        <f>IFERROR(__xludf.DUMMYFUNCTION("REGEXREPLACE(C32995,""-\d+(.*)|--\d+(.*)"","""")"),"LA ROCHE-VANNEAU")</f>
        <v>LA ROCHE-VANNEAU</v>
      </c>
      <c r="E32995" s="38" t="s">
        <v>105</v>
      </c>
      <c r="F32995" s="38" t="s">
        <v>106</v>
      </c>
      <c r="G32995" s="49" t="str">
        <f t="shared" si="1"/>
        <v>21150</v>
      </c>
      <c r="H32995" s="49">
        <f t="shared" si="2"/>
        <v>21528</v>
      </c>
    </row>
    <row r="32996">
      <c r="A32996" s="48" t="s">
        <v>21781</v>
      </c>
      <c r="B32996" s="38">
        <v>66202.0</v>
      </c>
      <c r="C32996" s="38" t="s">
        <v>37246</v>
      </c>
      <c r="D32996" s="38" t="str">
        <f>IFERROR(__xludf.DUMMYFUNCTION("REGEXREPLACE(C32996,""-\d+(.*)|--\d+(.*)"","""")"),"TARGASSONNE")</f>
        <v>TARGASSONNE</v>
      </c>
      <c r="E32996" s="38" t="s">
        <v>248</v>
      </c>
      <c r="F32996" s="38" t="s">
        <v>119</v>
      </c>
      <c r="G32996" s="49" t="str">
        <f t="shared" si="1"/>
        <v>66120</v>
      </c>
      <c r="H32996" s="49">
        <f t="shared" si="2"/>
        <v>66202</v>
      </c>
    </row>
    <row r="32997">
      <c r="A32997" s="48" t="s">
        <v>4867</v>
      </c>
      <c r="B32997" s="38">
        <v>82009.0</v>
      </c>
      <c r="C32997" s="38" t="s">
        <v>37247</v>
      </c>
      <c r="D32997" s="38" t="str">
        <f>IFERROR(__xludf.DUMMYFUNCTION("REGEXREPLACE(C32997,""-\d+(.*)|--\d+(.*)"","""")"),"BALIGNAC")</f>
        <v>BALIGNAC</v>
      </c>
      <c r="E32997" s="38" t="s">
        <v>570</v>
      </c>
      <c r="F32997" s="38" t="s">
        <v>94</v>
      </c>
      <c r="G32997" s="49" t="str">
        <f t="shared" si="1"/>
        <v>82120</v>
      </c>
      <c r="H32997" s="49">
        <f t="shared" si="2"/>
        <v>82009</v>
      </c>
    </row>
    <row r="32998">
      <c r="A32998" s="48" t="s">
        <v>3046</v>
      </c>
      <c r="B32998" s="38">
        <v>70125.0</v>
      </c>
      <c r="C32998" s="38" t="s">
        <v>22023</v>
      </c>
      <c r="D32998" s="38" t="str">
        <f>IFERROR(__xludf.DUMMYFUNCTION("REGEXREPLACE(C32998,""-\d+(.*)|--\d+(.*)"","""")"),"CHAMPVANS")</f>
        <v>CHAMPVANS</v>
      </c>
      <c r="E32998" s="38" t="s">
        <v>956</v>
      </c>
      <c r="F32998" s="38" t="s">
        <v>214</v>
      </c>
      <c r="G32998" s="49" t="str">
        <f t="shared" si="1"/>
        <v>70100</v>
      </c>
      <c r="H32998" s="49">
        <f t="shared" si="2"/>
        <v>70125</v>
      </c>
    </row>
    <row r="32999">
      <c r="A32999" s="48" t="s">
        <v>3772</v>
      </c>
      <c r="B32999" s="38">
        <v>45058.0</v>
      </c>
      <c r="C32999" s="38" t="s">
        <v>37248</v>
      </c>
      <c r="D32999" s="38" t="str">
        <f>IFERROR(__xludf.DUMMYFUNCTION("REGEXREPLACE(C32999,""-\d+(.*)|--\d+(.*)"","""")"),"BUCY-LE-ROI")</f>
        <v>BUCY-LE-ROI</v>
      </c>
      <c r="E32999" s="38" t="s">
        <v>122</v>
      </c>
      <c r="F32999" s="38" t="s">
        <v>123</v>
      </c>
      <c r="G32999" s="49" t="str">
        <f t="shared" si="1"/>
        <v>45410</v>
      </c>
      <c r="H32999" s="49">
        <f t="shared" si="2"/>
        <v>45058</v>
      </c>
    </row>
    <row r="33000">
      <c r="A33000" s="48" t="s">
        <v>3759</v>
      </c>
      <c r="B33000" s="38">
        <v>17134.0</v>
      </c>
      <c r="C33000" s="38" t="s">
        <v>37249</v>
      </c>
      <c r="D33000" s="38" t="str">
        <f>IFERROR(__xludf.DUMMYFUNCTION("REGEXREPLACE(C33000,""-\d+(.*)|--\d+(.*)"","""")"),"CRAZANNES")</f>
        <v>CRAZANNES</v>
      </c>
      <c r="E33000" s="38" t="s">
        <v>488</v>
      </c>
      <c r="F33000" s="38" t="s">
        <v>338</v>
      </c>
      <c r="G33000" s="49" t="str">
        <f t="shared" si="1"/>
        <v>17350</v>
      </c>
      <c r="H33000" s="49">
        <f t="shared" si="2"/>
        <v>17134</v>
      </c>
    </row>
    <row r="33001">
      <c r="A33001" s="48" t="s">
        <v>7360</v>
      </c>
      <c r="B33001" s="38">
        <v>86249.0</v>
      </c>
      <c r="C33001" s="38" t="s">
        <v>37250</v>
      </c>
      <c r="D33001" s="38" t="str">
        <f>IFERROR(__xludf.DUMMYFUNCTION("REGEXREPLACE(C33001,""-\d+(.*)|--\d+(.*)"","""")"),"SAIRES")</f>
        <v>SAIRES</v>
      </c>
      <c r="E33001" s="38" t="s">
        <v>529</v>
      </c>
      <c r="F33001" s="38" t="s">
        <v>338</v>
      </c>
      <c r="G33001" s="49" t="str">
        <f t="shared" si="1"/>
        <v>86420</v>
      </c>
      <c r="H33001" s="49">
        <f t="shared" si="2"/>
        <v>86249</v>
      </c>
    </row>
    <row r="33002">
      <c r="A33002" s="48" t="s">
        <v>6736</v>
      </c>
      <c r="B33002" s="38">
        <v>31249.0</v>
      </c>
      <c r="C33002" s="38" t="s">
        <v>37251</v>
      </c>
      <c r="D33002" s="38" t="str">
        <f>IFERROR(__xludf.DUMMYFUNCTION("REGEXREPLACE(C33002,""-\d+(.*)|--\d+(.*)"","""")"),"LABASTIDE-BEAUVOIR")</f>
        <v>LABASTIDE-BEAUVOIR</v>
      </c>
      <c r="E33002" s="38" t="s">
        <v>93</v>
      </c>
      <c r="F33002" s="38" t="s">
        <v>94</v>
      </c>
      <c r="G33002" s="49" t="str">
        <f t="shared" si="1"/>
        <v>31450</v>
      </c>
      <c r="H33002" s="49">
        <f t="shared" si="2"/>
        <v>31249</v>
      </c>
    </row>
    <row r="33003">
      <c r="A33003" s="48" t="s">
        <v>3044</v>
      </c>
      <c r="B33003" s="38">
        <v>88005.0</v>
      </c>
      <c r="C33003" s="38" t="s">
        <v>37252</v>
      </c>
      <c r="D33003" s="38" t="str">
        <f>IFERROR(__xludf.DUMMYFUNCTION("REGEXREPLACE(C33003,""-\d+(.*)|--\d+(.*)"","""")"),"ALLARMONT")</f>
        <v>ALLARMONT</v>
      </c>
      <c r="E33003" s="38" t="s">
        <v>194</v>
      </c>
      <c r="F33003" s="38" t="s">
        <v>195</v>
      </c>
      <c r="G33003" s="49" t="str">
        <f t="shared" si="1"/>
        <v>88110</v>
      </c>
      <c r="H33003" s="49">
        <f t="shared" si="2"/>
        <v>88005</v>
      </c>
    </row>
    <row r="33004">
      <c r="A33004" s="48" t="s">
        <v>3704</v>
      </c>
      <c r="B33004" s="38">
        <v>2176.0</v>
      </c>
      <c r="C33004" s="38" t="s">
        <v>37253</v>
      </c>
      <c r="D33004" s="38" t="str">
        <f>IFERROR(__xludf.DUMMYFUNCTION("REGEXREPLACE(C33004,""-\d+(.*)|--\d+(.*)"","""")"),"CHAVONNE")</f>
        <v>CHAVONNE</v>
      </c>
      <c r="E33004" s="38" t="s">
        <v>191</v>
      </c>
      <c r="F33004" s="38" t="s">
        <v>113</v>
      </c>
      <c r="G33004" s="49" t="str">
        <f t="shared" si="1"/>
        <v>02370</v>
      </c>
      <c r="H33004" s="49" t="str">
        <f t="shared" si="2"/>
        <v>02176</v>
      </c>
    </row>
    <row r="33005">
      <c r="A33005" s="48" t="s">
        <v>2503</v>
      </c>
      <c r="B33005" s="38">
        <v>33405.0</v>
      </c>
      <c r="C33005" s="38" t="s">
        <v>37254</v>
      </c>
      <c r="D33005" s="38" t="str">
        <f>IFERROR(__xludf.DUMMYFUNCTION("REGEXREPLACE(C33005,""-\d+(.*)|--\d+(.*)"","""")"),"SAINT-GENES-DE-BLAYE")</f>
        <v>SAINT-GENES-DE-BLAYE</v>
      </c>
      <c r="E33005" s="38" t="s">
        <v>462</v>
      </c>
      <c r="F33005" s="38" t="s">
        <v>252</v>
      </c>
      <c r="G33005" s="49" t="str">
        <f t="shared" si="1"/>
        <v>33390</v>
      </c>
      <c r="H33005" s="49">
        <f t="shared" si="2"/>
        <v>33405</v>
      </c>
    </row>
    <row r="33006">
      <c r="A33006" s="48" t="s">
        <v>145</v>
      </c>
      <c r="B33006" s="38">
        <v>10099.0</v>
      </c>
      <c r="C33006" s="38" t="s">
        <v>37255</v>
      </c>
      <c r="D33006" s="38" t="str">
        <f>IFERROR(__xludf.DUMMYFUNCTION("REGEXREPLACE(C33006,""-\d+(.*)|--\d+(.*)"","""")"),"CHESSY-LES-PRES")</f>
        <v>CHESSY-LES-PRES</v>
      </c>
      <c r="E33006" s="38" t="s">
        <v>147</v>
      </c>
      <c r="F33006" s="38" t="s">
        <v>130</v>
      </c>
      <c r="G33006" s="49" t="str">
        <f t="shared" si="1"/>
        <v>10130</v>
      </c>
      <c r="H33006" s="49">
        <f t="shared" si="2"/>
        <v>10099</v>
      </c>
    </row>
    <row r="33007">
      <c r="A33007" s="48" t="s">
        <v>7645</v>
      </c>
      <c r="B33007" s="38">
        <v>34339.0</v>
      </c>
      <c r="C33007" s="38" t="s">
        <v>37256</v>
      </c>
      <c r="D33007" s="38" t="str">
        <f>IFERROR(__xludf.DUMMYFUNCTION("REGEXREPLACE(C33007,""-\d+(.*)|--\d+(.*)"","""")"),"VILLESPASSANS")</f>
        <v>VILLESPASSANS</v>
      </c>
      <c r="E33007" s="38" t="s">
        <v>118</v>
      </c>
      <c r="F33007" s="38" t="s">
        <v>119</v>
      </c>
      <c r="G33007" s="49" t="str">
        <f t="shared" si="1"/>
        <v>34360</v>
      </c>
      <c r="H33007" s="49">
        <f t="shared" si="2"/>
        <v>34339</v>
      </c>
    </row>
    <row r="33008">
      <c r="A33008" s="48" t="s">
        <v>7263</v>
      </c>
      <c r="B33008" s="38">
        <v>88355.0</v>
      </c>
      <c r="C33008" s="38" t="s">
        <v>37257</v>
      </c>
      <c r="D33008" s="38" t="str">
        <f>IFERROR(__xludf.DUMMYFUNCTION("REGEXREPLACE(C33008,""-\d+(.*)|--\d+(.*)"","""")"),"PORTIEUX")</f>
        <v>PORTIEUX</v>
      </c>
      <c r="E33008" s="38" t="s">
        <v>194</v>
      </c>
      <c r="F33008" s="38" t="s">
        <v>195</v>
      </c>
      <c r="G33008" s="49" t="str">
        <f t="shared" si="1"/>
        <v>88330</v>
      </c>
      <c r="H33008" s="49">
        <f t="shared" si="2"/>
        <v>88355</v>
      </c>
    </row>
    <row r="33009">
      <c r="A33009" s="48" t="s">
        <v>8374</v>
      </c>
      <c r="B33009" s="38">
        <v>85290.0</v>
      </c>
      <c r="C33009" s="38" t="s">
        <v>37258</v>
      </c>
      <c r="D33009" s="38" t="str">
        <f>IFERROR(__xludf.DUMMYFUNCTION("REGEXREPLACE(C33009,""-\d+(.*)|--\d+(.*)"","""")"),"THIRE")</f>
        <v>THIRE</v>
      </c>
      <c r="E33009" s="38" t="s">
        <v>179</v>
      </c>
      <c r="F33009" s="38" t="s">
        <v>180</v>
      </c>
      <c r="G33009" s="49" t="str">
        <f t="shared" si="1"/>
        <v>85210</v>
      </c>
      <c r="H33009" s="49">
        <f t="shared" si="2"/>
        <v>85290</v>
      </c>
    </row>
    <row r="33010">
      <c r="A33010" s="48" t="s">
        <v>6841</v>
      </c>
      <c r="B33010" s="38">
        <v>38457.0</v>
      </c>
      <c r="C33010" s="38" t="s">
        <v>37259</v>
      </c>
      <c r="D33010" s="38" t="str">
        <f>IFERROR(__xludf.DUMMYFUNCTION("REGEXREPLACE(C33010,""-\d+(.*)|--\d+(.*)"","""")"),"SAINT-SIMEON-DE-BRESSIEUX")</f>
        <v>SAINT-SIMEON-DE-BRESSIEUX</v>
      </c>
      <c r="E33010" s="38" t="s">
        <v>101</v>
      </c>
      <c r="F33010" s="38" t="s">
        <v>102</v>
      </c>
      <c r="G33010" s="49" t="str">
        <f t="shared" si="1"/>
        <v>38870</v>
      </c>
      <c r="H33010" s="49">
        <f t="shared" si="2"/>
        <v>38457</v>
      </c>
    </row>
    <row r="33011">
      <c r="A33011" s="48" t="s">
        <v>7435</v>
      </c>
      <c r="B33011" s="38">
        <v>52494.0</v>
      </c>
      <c r="C33011" s="38" t="s">
        <v>37260</v>
      </c>
      <c r="D33011" s="38" t="str">
        <f>IFERROR(__xludf.DUMMYFUNCTION("REGEXREPLACE(C33011,""-\d+(.*)|--\d+(.*)"","""")"),"TREIX")</f>
        <v>TREIX</v>
      </c>
      <c r="E33011" s="38" t="s">
        <v>234</v>
      </c>
      <c r="F33011" s="38" t="s">
        <v>130</v>
      </c>
      <c r="G33011" s="49" t="str">
        <f t="shared" si="1"/>
        <v>52000</v>
      </c>
      <c r="H33011" s="49">
        <f t="shared" si="2"/>
        <v>52494</v>
      </c>
    </row>
    <row r="33012">
      <c r="A33012" s="48" t="s">
        <v>3596</v>
      </c>
      <c r="B33012" s="38">
        <v>25201.0</v>
      </c>
      <c r="C33012" s="38" t="s">
        <v>23062</v>
      </c>
      <c r="D33012" s="38" t="str">
        <f>IFERROR(__xludf.DUMMYFUNCTION("REGEXREPLACE(C33012,""-\d+(.*)|--\d+(.*)"","""")"),"DOMMARTIN")</f>
        <v>DOMMARTIN</v>
      </c>
      <c r="E33012" s="38" t="s">
        <v>213</v>
      </c>
      <c r="F33012" s="38" t="s">
        <v>214</v>
      </c>
      <c r="G33012" s="49" t="str">
        <f t="shared" si="1"/>
        <v>25300</v>
      </c>
      <c r="H33012" s="49">
        <f t="shared" si="2"/>
        <v>25201</v>
      </c>
    </row>
    <row r="33013">
      <c r="A33013" s="48" t="s">
        <v>11152</v>
      </c>
      <c r="B33013" s="38">
        <v>61292.0</v>
      </c>
      <c r="C33013" s="38" t="s">
        <v>37261</v>
      </c>
      <c r="D33013" s="38" t="str">
        <f>IFERROR(__xludf.DUMMYFUNCTION("REGEXREPLACE(C33013,""-\d+(.*)|--\d+(.*)"","""")"),"MONTSECRET")</f>
        <v>MONTSECRET</v>
      </c>
      <c r="E33013" s="38" t="s">
        <v>141</v>
      </c>
      <c r="F33013" s="38" t="s">
        <v>138</v>
      </c>
      <c r="G33013" s="49" t="str">
        <f t="shared" si="1"/>
        <v>61800</v>
      </c>
      <c r="H33013" s="49">
        <f t="shared" si="2"/>
        <v>61292</v>
      </c>
    </row>
    <row r="33014">
      <c r="A33014" s="48" t="s">
        <v>4360</v>
      </c>
      <c r="B33014" s="38" t="s">
        <v>37262</v>
      </c>
      <c r="C33014" s="38" t="s">
        <v>37263</v>
      </c>
      <c r="D33014" s="38" t="str">
        <f>IFERROR(__xludf.DUMMYFUNCTION("REGEXREPLACE(C33014,""-\d+(.*)|--\d+(.*)"","""")"),"ISOLACCIO-DI-FIUMORBO")</f>
        <v>ISOLACCIO-DI-FIUMORBO</v>
      </c>
      <c r="E33014" s="38" t="s">
        <v>743</v>
      </c>
      <c r="F33014" s="38" t="s">
        <v>607</v>
      </c>
      <c r="G33014" s="49" t="str">
        <f t="shared" si="1"/>
        <v>20243</v>
      </c>
      <c r="H33014" s="49" t="str">
        <f t="shared" si="2"/>
        <v>2B135</v>
      </c>
    </row>
    <row r="33015">
      <c r="A33015" s="48" t="s">
        <v>4267</v>
      </c>
      <c r="B33015" s="38">
        <v>62843.0</v>
      </c>
      <c r="C33015" s="38" t="s">
        <v>37264</v>
      </c>
      <c r="D33015" s="38" t="str">
        <f>IFERROR(__xludf.DUMMYFUNCTION("REGEXREPLACE(C33015,""-\d+(.*)|--\d+(.*)"","""")"),"VERCHIN")</f>
        <v>VERCHIN</v>
      </c>
      <c r="E33015" s="38" t="s">
        <v>109</v>
      </c>
      <c r="F33015" s="38" t="s">
        <v>86</v>
      </c>
      <c r="G33015" s="49" t="str">
        <f t="shared" si="1"/>
        <v>62310</v>
      </c>
      <c r="H33015" s="49">
        <f t="shared" si="2"/>
        <v>62843</v>
      </c>
    </row>
    <row r="33016">
      <c r="A33016" s="48" t="s">
        <v>6266</v>
      </c>
      <c r="B33016" s="38">
        <v>76541.0</v>
      </c>
      <c r="C33016" s="38" t="s">
        <v>37265</v>
      </c>
      <c r="D33016" s="38" t="str">
        <f>IFERROR(__xludf.DUMMYFUNCTION("REGEXREPLACE(C33016,""-\d+(.*)|--\d+(.*)"","""")"),"ROUMARE")</f>
        <v>ROUMARE</v>
      </c>
      <c r="E33016" s="38" t="s">
        <v>133</v>
      </c>
      <c r="F33016" s="38" t="s">
        <v>134</v>
      </c>
      <c r="G33016" s="49" t="str">
        <f t="shared" si="1"/>
        <v>76480</v>
      </c>
      <c r="H33016" s="49">
        <f t="shared" si="2"/>
        <v>76541</v>
      </c>
    </row>
    <row r="33017">
      <c r="A33017" s="48" t="s">
        <v>2029</v>
      </c>
      <c r="B33017" s="38">
        <v>50427.0</v>
      </c>
      <c r="C33017" s="38" t="s">
        <v>37266</v>
      </c>
      <c r="D33017" s="38" t="str">
        <f>IFERROR(__xludf.DUMMYFUNCTION("REGEXREPLACE(C33017,""-\d+(.*)|--\d+(.*)"","""")"),"RAVENOVILLE")</f>
        <v>RAVENOVILLE</v>
      </c>
      <c r="E33017" s="38" t="s">
        <v>157</v>
      </c>
      <c r="F33017" s="38" t="s">
        <v>138</v>
      </c>
      <c r="G33017" s="49" t="str">
        <f t="shared" si="1"/>
        <v>50480</v>
      </c>
      <c r="H33017" s="49">
        <f t="shared" si="2"/>
        <v>50427</v>
      </c>
    </row>
    <row r="33018">
      <c r="A33018" s="48" t="s">
        <v>3924</v>
      </c>
      <c r="B33018" s="38">
        <v>81210.0</v>
      </c>
      <c r="C33018" s="38" t="s">
        <v>37267</v>
      </c>
      <c r="D33018" s="38" t="str">
        <f>IFERROR(__xludf.DUMMYFUNCTION("REGEXREPLACE(C33018,""-\d+(.*)|--\d+(.*)"","""")"),"POUDIS")</f>
        <v>POUDIS</v>
      </c>
      <c r="E33018" s="38" t="s">
        <v>231</v>
      </c>
      <c r="F33018" s="38" t="s">
        <v>94</v>
      </c>
      <c r="G33018" s="49" t="str">
        <f t="shared" si="1"/>
        <v>81700</v>
      </c>
      <c r="H33018" s="49">
        <f t="shared" si="2"/>
        <v>81210</v>
      </c>
    </row>
    <row r="33019">
      <c r="A33019" s="48" t="s">
        <v>14066</v>
      </c>
      <c r="B33019" s="38">
        <v>77100.0</v>
      </c>
      <c r="C33019" s="38" t="s">
        <v>37268</v>
      </c>
      <c r="D33019" s="38" t="str">
        <f>IFERROR(__xludf.DUMMYFUNCTION("REGEXREPLACE(C33019,""-\d+(.*)|--\d+(.*)"","""")"),"LE CHATELET-EN-BRIE")</f>
        <v>LE CHATELET-EN-BRIE</v>
      </c>
      <c r="E33019" s="38" t="s">
        <v>244</v>
      </c>
      <c r="F33019" s="38" t="s">
        <v>245</v>
      </c>
      <c r="G33019" s="49" t="str">
        <f t="shared" si="1"/>
        <v>77820</v>
      </c>
      <c r="H33019" s="49">
        <f t="shared" si="2"/>
        <v>77100</v>
      </c>
    </row>
    <row r="33020">
      <c r="A33020" s="48" t="s">
        <v>14721</v>
      </c>
      <c r="B33020" s="38">
        <v>27091.0</v>
      </c>
      <c r="C33020" s="38" t="s">
        <v>37269</v>
      </c>
      <c r="D33020" s="38" t="str">
        <f>IFERROR(__xludf.DUMMYFUNCTION("REGEXREPLACE(C33020,""-\d+(.*)|--\d+(.*)"","""")"),"BOSGOUET")</f>
        <v>BOSGOUET</v>
      </c>
      <c r="E33020" s="38" t="s">
        <v>241</v>
      </c>
      <c r="F33020" s="38" t="s">
        <v>134</v>
      </c>
      <c r="G33020" s="49" t="str">
        <f t="shared" si="1"/>
        <v>27310</v>
      </c>
      <c r="H33020" s="49">
        <f t="shared" si="2"/>
        <v>27091</v>
      </c>
    </row>
    <row r="33021">
      <c r="A33021" s="48" t="s">
        <v>792</v>
      </c>
      <c r="B33021" s="38">
        <v>2083.0</v>
      </c>
      <c r="C33021" s="38" t="s">
        <v>37270</v>
      </c>
      <c r="D33021" s="38" t="str">
        <f>IFERROR(__xludf.DUMMYFUNCTION("REGEXREPLACE(C33021,""-\d+(.*)|--\d+(.*)"","""")"),"BEUVARDES")</f>
        <v>BEUVARDES</v>
      </c>
      <c r="E33021" s="38" t="s">
        <v>191</v>
      </c>
      <c r="F33021" s="38" t="s">
        <v>113</v>
      </c>
      <c r="G33021" s="49" t="str">
        <f t="shared" si="1"/>
        <v>02130</v>
      </c>
      <c r="H33021" s="49" t="str">
        <f t="shared" si="2"/>
        <v>02083</v>
      </c>
    </row>
    <row r="33022">
      <c r="A33022" s="48" t="s">
        <v>828</v>
      </c>
      <c r="B33022" s="38">
        <v>86130.0</v>
      </c>
      <c r="C33022" s="38" t="s">
        <v>3355</v>
      </c>
      <c r="D33022" s="38" t="str">
        <f>IFERROR(__xludf.DUMMYFUNCTION("REGEXREPLACE(C33022,""-\d+(.*)|--\d+(.*)"","""")"),"LEUGNY")</f>
        <v>LEUGNY</v>
      </c>
      <c r="E33022" s="38" t="s">
        <v>529</v>
      </c>
      <c r="F33022" s="38" t="s">
        <v>338</v>
      </c>
      <c r="G33022" s="49" t="str">
        <f t="shared" si="1"/>
        <v>86220</v>
      </c>
      <c r="H33022" s="49">
        <f t="shared" si="2"/>
        <v>86130</v>
      </c>
    </row>
    <row r="33023">
      <c r="A33023" s="48" t="s">
        <v>14989</v>
      </c>
      <c r="B33023" s="38">
        <v>74244.0</v>
      </c>
      <c r="C33023" s="38" t="s">
        <v>13532</v>
      </c>
      <c r="D33023" s="38" t="str">
        <f>IFERROR(__xludf.DUMMYFUNCTION("REGEXREPLACE(C33023,""-\d+(.*)|--\d+(.*)"","""")"),"SAINT-LAURENT")</f>
        <v>SAINT-LAURENT</v>
      </c>
      <c r="E33023" s="38" t="s">
        <v>319</v>
      </c>
      <c r="F33023" s="38" t="s">
        <v>102</v>
      </c>
      <c r="G33023" s="49" t="str">
        <f t="shared" si="1"/>
        <v>74800</v>
      </c>
      <c r="H33023" s="49">
        <f t="shared" si="2"/>
        <v>74244</v>
      </c>
    </row>
    <row r="33024">
      <c r="A33024" s="48" t="s">
        <v>1677</v>
      </c>
      <c r="B33024" s="38">
        <v>59158.0</v>
      </c>
      <c r="C33024" s="38" t="s">
        <v>37271</v>
      </c>
      <c r="D33024" s="38" t="str">
        <f>IFERROR(__xludf.DUMMYFUNCTION("REGEXREPLACE(C33024,""-\d+(.*)|--\d+(.*)"","""")"),"COUTICHES")</f>
        <v>COUTICHES</v>
      </c>
      <c r="E33024" s="38" t="s">
        <v>85</v>
      </c>
      <c r="F33024" s="38" t="s">
        <v>86</v>
      </c>
      <c r="G33024" s="49" t="str">
        <f t="shared" si="1"/>
        <v>59310</v>
      </c>
      <c r="H33024" s="49">
        <f t="shared" si="2"/>
        <v>59158</v>
      </c>
    </row>
    <row r="33025">
      <c r="A33025" s="48" t="s">
        <v>724</v>
      </c>
      <c r="B33025" s="38">
        <v>32263.0</v>
      </c>
      <c r="C33025" s="38" t="s">
        <v>37272</v>
      </c>
      <c r="D33025" s="38" t="str">
        <f>IFERROR(__xludf.DUMMYFUNCTION("REGEXREPLACE(C33025,""-\d+(.*)|--\d+(.*)"","""")"),"MONCASSIN")</f>
        <v>MONCASSIN</v>
      </c>
      <c r="E33025" s="38" t="s">
        <v>440</v>
      </c>
      <c r="F33025" s="38" t="s">
        <v>94</v>
      </c>
      <c r="G33025" s="49" t="str">
        <f t="shared" si="1"/>
        <v>32300</v>
      </c>
      <c r="H33025" s="49">
        <f t="shared" si="2"/>
        <v>32263</v>
      </c>
    </row>
    <row r="33026">
      <c r="A33026" s="48" t="s">
        <v>1286</v>
      </c>
      <c r="B33026" s="38">
        <v>47238.0</v>
      </c>
      <c r="C33026" s="38" t="s">
        <v>37273</v>
      </c>
      <c r="D33026" s="38" t="str">
        <f>IFERROR(__xludf.DUMMYFUNCTION("REGEXREPLACE(C33026,""-\d+(.*)|--\d+(.*)"","""")"),"SAINTE-COLOMBE-EN-BRUILHOIS")</f>
        <v>SAINTE-COLOMBE-EN-BRUILHOIS</v>
      </c>
      <c r="E33026" s="38" t="s">
        <v>251</v>
      </c>
      <c r="F33026" s="38" t="s">
        <v>252</v>
      </c>
      <c r="G33026" s="49" t="str">
        <f t="shared" si="1"/>
        <v>47310</v>
      </c>
      <c r="H33026" s="49">
        <f t="shared" si="2"/>
        <v>47238</v>
      </c>
    </row>
    <row r="33027">
      <c r="A33027" s="48" t="s">
        <v>3048</v>
      </c>
      <c r="B33027" s="38">
        <v>21434.0</v>
      </c>
      <c r="C33027" s="38" t="s">
        <v>37274</v>
      </c>
      <c r="D33027" s="38" t="str">
        <f>IFERROR(__xludf.DUMMYFUNCTION("REGEXREPLACE(C33027,""-\d+(.*)|--\d+(.*)"","""")"),"MONTLAY-EN-AUXOIS")</f>
        <v>MONTLAY-EN-AUXOIS</v>
      </c>
      <c r="E33027" s="38" t="s">
        <v>105</v>
      </c>
      <c r="F33027" s="38" t="s">
        <v>106</v>
      </c>
      <c r="G33027" s="49" t="str">
        <f t="shared" si="1"/>
        <v>21210</v>
      </c>
      <c r="H33027" s="49">
        <f t="shared" si="2"/>
        <v>21434</v>
      </c>
    </row>
    <row r="33028">
      <c r="A33028" s="48" t="s">
        <v>1036</v>
      </c>
      <c r="B33028" s="38">
        <v>57292.0</v>
      </c>
      <c r="C33028" s="38" t="s">
        <v>37275</v>
      </c>
      <c r="D33028" s="38" t="str">
        <f>IFERROR(__xludf.DUMMYFUNCTION("REGEXREPLACE(C33028,""-\d+(.*)|--\d+(.*)"","""")"),"HANNOCOURT")</f>
        <v>HANNOCOURT</v>
      </c>
      <c r="E33028" s="38" t="s">
        <v>303</v>
      </c>
      <c r="F33028" s="38" t="s">
        <v>195</v>
      </c>
      <c r="G33028" s="49" t="str">
        <f t="shared" si="1"/>
        <v>57590</v>
      </c>
      <c r="H33028" s="49">
        <f t="shared" si="2"/>
        <v>57292</v>
      </c>
    </row>
    <row r="33029">
      <c r="A33029" s="48" t="s">
        <v>5302</v>
      </c>
      <c r="B33029" s="38">
        <v>14559.0</v>
      </c>
      <c r="C33029" s="38" t="s">
        <v>10835</v>
      </c>
      <c r="D33029" s="38" t="str">
        <f>IFERROR(__xludf.DUMMYFUNCTION("REGEXREPLACE(C33029,""-\d+(.*)|--\d+(.*)"","""")"),"SAINT-AUBIN-DES-BOIS")</f>
        <v>SAINT-AUBIN-DES-BOIS</v>
      </c>
      <c r="E33029" s="38" t="s">
        <v>137</v>
      </c>
      <c r="F33029" s="38" t="s">
        <v>138</v>
      </c>
      <c r="G33029" s="49" t="str">
        <f t="shared" si="1"/>
        <v>14380</v>
      </c>
      <c r="H33029" s="49">
        <f t="shared" si="2"/>
        <v>14559</v>
      </c>
    </row>
    <row r="33030">
      <c r="A33030" s="48" t="s">
        <v>403</v>
      </c>
      <c r="B33030" s="38">
        <v>59536.0</v>
      </c>
      <c r="C33030" s="38" t="s">
        <v>37276</v>
      </c>
      <c r="D33030" s="38" t="str">
        <f>IFERROR(__xludf.DUMMYFUNCTION("REGEXREPLACE(C33030,""-\d+(.*)|--\d+(.*)"","""")"),"SAINTE-MARIE-CAPPEL")</f>
        <v>SAINTE-MARIE-CAPPEL</v>
      </c>
      <c r="E33030" s="38" t="s">
        <v>85</v>
      </c>
      <c r="F33030" s="38" t="s">
        <v>86</v>
      </c>
      <c r="G33030" s="49" t="str">
        <f t="shared" si="1"/>
        <v>59670</v>
      </c>
      <c r="H33030" s="49">
        <f t="shared" si="2"/>
        <v>59536</v>
      </c>
    </row>
    <row r="33031">
      <c r="A33031" s="48" t="s">
        <v>236</v>
      </c>
      <c r="B33031" s="38">
        <v>9305.0</v>
      </c>
      <c r="C33031" s="38" t="s">
        <v>37277</v>
      </c>
      <c r="D33031" s="38" t="str">
        <f>IFERROR(__xludf.DUMMYFUNCTION("REGEXREPLACE(C33031,""-\d+(.*)|--\d+(.*)"","""")"),"TABRE")</f>
        <v>TABRE</v>
      </c>
      <c r="E33031" s="38" t="s">
        <v>238</v>
      </c>
      <c r="F33031" s="38" t="s">
        <v>94</v>
      </c>
      <c r="G33031" s="49" t="str">
        <f t="shared" si="1"/>
        <v>09600</v>
      </c>
      <c r="H33031" s="49" t="str">
        <f t="shared" si="2"/>
        <v>09305</v>
      </c>
    </row>
    <row r="33032">
      <c r="A33032" s="48" t="s">
        <v>1042</v>
      </c>
      <c r="B33032" s="38">
        <v>60050.0</v>
      </c>
      <c r="C33032" s="38" t="s">
        <v>37278</v>
      </c>
      <c r="D33032" s="38" t="str">
        <f>IFERROR(__xludf.DUMMYFUNCTION("REGEXREPLACE(C33032,""-\d+(.*)|--\d+(.*)"","""")"),"BAZICOURT")</f>
        <v>BAZICOURT</v>
      </c>
      <c r="E33032" s="38" t="s">
        <v>112</v>
      </c>
      <c r="F33032" s="38" t="s">
        <v>113</v>
      </c>
      <c r="G33032" s="49" t="str">
        <f t="shared" si="1"/>
        <v>60700</v>
      </c>
      <c r="H33032" s="49">
        <f t="shared" si="2"/>
        <v>60050</v>
      </c>
    </row>
    <row r="33033">
      <c r="A33033" s="48" t="s">
        <v>14148</v>
      </c>
      <c r="B33033" s="38">
        <v>31345.0</v>
      </c>
      <c r="C33033" s="38" t="s">
        <v>31796</v>
      </c>
      <c r="D33033" s="38" t="str">
        <f>IFERROR(__xludf.DUMMYFUNCTION("REGEXREPLACE(C33033,""-\d+(.*)|--\d+(.*)"","""")"),"MIREMONT")</f>
        <v>MIREMONT</v>
      </c>
      <c r="E33033" s="38" t="s">
        <v>93</v>
      </c>
      <c r="F33033" s="38" t="s">
        <v>94</v>
      </c>
      <c r="G33033" s="49" t="str">
        <f t="shared" si="1"/>
        <v>31190</v>
      </c>
      <c r="H33033" s="49">
        <f t="shared" si="2"/>
        <v>31345</v>
      </c>
    </row>
    <row r="33034">
      <c r="A33034" s="48" t="s">
        <v>2402</v>
      </c>
      <c r="B33034" s="38">
        <v>68355.0</v>
      </c>
      <c r="C33034" s="38" t="s">
        <v>37279</v>
      </c>
      <c r="D33034" s="38" t="str">
        <f>IFERROR(__xludf.DUMMYFUNCTION("REGEXREPLACE(C33034,""-\d+(.*)|--\d+(.*)"","""")"),"WALDIGHOFEN")</f>
        <v>WALDIGHOFEN</v>
      </c>
      <c r="E33034" s="38" t="s">
        <v>150</v>
      </c>
      <c r="F33034" s="38" t="s">
        <v>151</v>
      </c>
      <c r="G33034" s="49" t="str">
        <f t="shared" si="1"/>
        <v>68640</v>
      </c>
      <c r="H33034" s="49">
        <f t="shared" si="2"/>
        <v>68355</v>
      </c>
    </row>
    <row r="33035">
      <c r="A33035" s="48" t="s">
        <v>4599</v>
      </c>
      <c r="B33035" s="38">
        <v>70057.0</v>
      </c>
      <c r="C33035" s="38" t="s">
        <v>37280</v>
      </c>
      <c r="D33035" s="38" t="str">
        <f>IFERROR(__xludf.DUMMYFUNCTION("REGEXREPLACE(C33035,""-\d+(.*)|--\d+(.*)"","""")"),"BAY")</f>
        <v>BAY</v>
      </c>
      <c r="E33035" s="38" t="s">
        <v>956</v>
      </c>
      <c r="F33035" s="38" t="s">
        <v>214</v>
      </c>
      <c r="G33035" s="49" t="str">
        <f t="shared" si="1"/>
        <v>70150</v>
      </c>
      <c r="H33035" s="49">
        <f t="shared" si="2"/>
        <v>70057</v>
      </c>
    </row>
    <row r="33036">
      <c r="A33036" s="48" t="s">
        <v>11456</v>
      </c>
      <c r="B33036" s="38">
        <v>67505.0</v>
      </c>
      <c r="C33036" s="38" t="s">
        <v>37281</v>
      </c>
      <c r="D33036" s="38" t="str">
        <f>IFERROR(__xludf.DUMMYFUNCTION("REGEXREPLACE(C33036,""-\d+(.*)|--\d+(.*)"","""")"),"LA VANCELLE")</f>
        <v>LA VANCELLE</v>
      </c>
      <c r="E33036" s="38" t="s">
        <v>210</v>
      </c>
      <c r="F33036" s="38" t="s">
        <v>151</v>
      </c>
      <c r="G33036" s="49" t="str">
        <f t="shared" si="1"/>
        <v>67730</v>
      </c>
      <c r="H33036" s="49">
        <f t="shared" si="2"/>
        <v>67505</v>
      </c>
    </row>
    <row r="33037">
      <c r="A33037" s="48" t="s">
        <v>7622</v>
      </c>
      <c r="B33037" s="38">
        <v>10435.0</v>
      </c>
      <c r="C33037" s="38" t="s">
        <v>37282</v>
      </c>
      <c r="D33037" s="38" t="str">
        <f>IFERROR(__xludf.DUMMYFUNCTION("REGEXREPLACE(C33037,""-\d+(.*)|--\d+(.*)"","""")"),"VILLY-LE-MARECHAL")</f>
        <v>VILLY-LE-MARECHAL</v>
      </c>
      <c r="E33037" s="38" t="s">
        <v>147</v>
      </c>
      <c r="F33037" s="38" t="s">
        <v>130</v>
      </c>
      <c r="G33037" s="49" t="str">
        <f t="shared" si="1"/>
        <v>10800</v>
      </c>
      <c r="H33037" s="49">
        <f t="shared" si="2"/>
        <v>10435</v>
      </c>
    </row>
    <row r="33038">
      <c r="A33038" s="48" t="s">
        <v>11884</v>
      </c>
      <c r="B33038" s="38">
        <v>37127.0</v>
      </c>
      <c r="C33038" s="38" t="s">
        <v>37283</v>
      </c>
      <c r="D33038" s="38" t="str">
        <f>IFERROR(__xludf.DUMMYFUNCTION("REGEXREPLACE(C33038,""-\d+(.*)|--\d+(.*)"","""")"),"LE LIEGE")</f>
        <v>LE LIEGE</v>
      </c>
      <c r="E33038" s="38" t="s">
        <v>205</v>
      </c>
      <c r="F33038" s="38" t="s">
        <v>123</v>
      </c>
      <c r="G33038" s="49" t="str">
        <f t="shared" si="1"/>
        <v>37460</v>
      </c>
      <c r="H33038" s="49">
        <f t="shared" si="2"/>
        <v>37127</v>
      </c>
    </row>
    <row r="33039">
      <c r="A33039" s="48" t="s">
        <v>6797</v>
      </c>
      <c r="B33039" s="38">
        <v>11018.0</v>
      </c>
      <c r="C33039" s="38" t="s">
        <v>37284</v>
      </c>
      <c r="D33039" s="38" t="str">
        <f>IFERROR(__xludf.DUMMYFUNCTION("REGEXREPLACE(C33039,""-\d+(.*)|--\d+(.*)"","""")"),"ARZENS")</f>
        <v>ARZENS</v>
      </c>
      <c r="E33039" s="38" t="s">
        <v>278</v>
      </c>
      <c r="F33039" s="38" t="s">
        <v>119</v>
      </c>
      <c r="G33039" s="49" t="str">
        <f t="shared" si="1"/>
        <v>11290</v>
      </c>
      <c r="H33039" s="49">
        <f t="shared" si="2"/>
        <v>11018</v>
      </c>
    </row>
    <row r="33040">
      <c r="A33040" s="48" t="s">
        <v>30235</v>
      </c>
      <c r="B33040" s="38">
        <v>54186.0</v>
      </c>
      <c r="C33040" s="38" t="s">
        <v>37285</v>
      </c>
      <c r="D33040" s="38" t="str">
        <f>IFERROR(__xludf.DUMMYFUNCTION("REGEXREPLACE(C33040,""-\d+(.*)|--\d+(.*)"","""")"),"EULMONT")</f>
        <v>EULMONT</v>
      </c>
      <c r="E33040" s="38" t="s">
        <v>548</v>
      </c>
      <c r="F33040" s="38" t="s">
        <v>195</v>
      </c>
      <c r="G33040" s="49" t="str">
        <f t="shared" si="1"/>
        <v>54690</v>
      </c>
      <c r="H33040" s="49">
        <f t="shared" si="2"/>
        <v>54186</v>
      </c>
    </row>
    <row r="33041">
      <c r="A33041" s="48" t="s">
        <v>7057</v>
      </c>
      <c r="B33041" s="38">
        <v>18189.0</v>
      </c>
      <c r="C33041" s="38" t="s">
        <v>37286</v>
      </c>
      <c r="D33041" s="38" t="str">
        <f>IFERROR(__xludf.DUMMYFUNCTION("REGEXREPLACE(C33041,""-\d+(.*)|--\d+(.*)"","""")"),"QUANTILLY")</f>
        <v>QUANTILLY</v>
      </c>
      <c r="E33041" s="38" t="s">
        <v>504</v>
      </c>
      <c r="F33041" s="38" t="s">
        <v>123</v>
      </c>
      <c r="G33041" s="49" t="str">
        <f t="shared" si="1"/>
        <v>18110</v>
      </c>
      <c r="H33041" s="49">
        <f t="shared" si="2"/>
        <v>18189</v>
      </c>
    </row>
    <row r="33042">
      <c r="A33042" s="48" t="s">
        <v>1452</v>
      </c>
      <c r="B33042" s="38">
        <v>55239.0</v>
      </c>
      <c r="C33042" s="38" t="s">
        <v>37287</v>
      </c>
      <c r="D33042" s="38" t="str">
        <f>IFERROR(__xludf.DUMMYFUNCTION("REGEXREPLACE(C33042,""-\d+(.*)|--\d+(.*)"","""")"),"HAUMONT-PRES-SAMOGNEUX")</f>
        <v>HAUMONT-PRES-SAMOGNEUX</v>
      </c>
      <c r="E33042" s="38" t="s">
        <v>322</v>
      </c>
      <c r="F33042" s="38" t="s">
        <v>195</v>
      </c>
      <c r="G33042" s="49" t="str">
        <f t="shared" si="1"/>
        <v>55100</v>
      </c>
      <c r="H33042" s="49">
        <f t="shared" si="2"/>
        <v>55239</v>
      </c>
    </row>
    <row r="33043">
      <c r="A33043" s="48" t="s">
        <v>10348</v>
      </c>
      <c r="B33043" s="38">
        <v>61244.0</v>
      </c>
      <c r="C33043" s="38" t="s">
        <v>37288</v>
      </c>
      <c r="D33043" s="38" t="str">
        <f>IFERROR(__xludf.DUMMYFUNCTION("REGEXREPLACE(C33043,""-\d+(.*)|--\d+(.*)"","""")"),"MAHERU")</f>
        <v>MAHERU</v>
      </c>
      <c r="E33043" s="38" t="s">
        <v>141</v>
      </c>
      <c r="F33043" s="38" t="s">
        <v>138</v>
      </c>
      <c r="G33043" s="49" t="str">
        <f t="shared" si="1"/>
        <v>61380</v>
      </c>
      <c r="H33043" s="49">
        <f t="shared" si="2"/>
        <v>61244</v>
      </c>
    </row>
    <row r="33044">
      <c r="A33044" s="48" t="s">
        <v>5334</v>
      </c>
      <c r="B33044" s="38" t="s">
        <v>37289</v>
      </c>
      <c r="C33044" s="38" t="s">
        <v>37290</v>
      </c>
      <c r="D33044" s="38" t="str">
        <f>IFERROR(__xludf.DUMMYFUNCTION("REGEXREPLACE(C33044,""-\d+(.*)|--\d+(.*)"","""")"),"CASTINETA")</f>
        <v>CASTINETA</v>
      </c>
      <c r="E33044" s="38" t="s">
        <v>743</v>
      </c>
      <c r="F33044" s="38" t="s">
        <v>607</v>
      </c>
      <c r="G33044" s="49" t="str">
        <f t="shared" si="1"/>
        <v>20218</v>
      </c>
      <c r="H33044" s="49" t="str">
        <f t="shared" si="2"/>
        <v>2B082</v>
      </c>
    </row>
    <row r="33045">
      <c r="A33045" s="48" t="s">
        <v>3163</v>
      </c>
      <c r="B33045" s="38">
        <v>28029.0</v>
      </c>
      <c r="C33045" s="38" t="s">
        <v>37291</v>
      </c>
      <c r="D33045" s="38" t="str">
        <f>IFERROR(__xludf.DUMMYFUNCTION("REGEXREPLACE(C33045,""-\d+(.*)|--\d+(.*)"","""")"),"BAZOCHES-LES-HAUTES")</f>
        <v>BAZOCHES-LES-HAUTES</v>
      </c>
      <c r="E33045" s="38" t="s">
        <v>300</v>
      </c>
      <c r="F33045" s="38" t="s">
        <v>123</v>
      </c>
      <c r="G33045" s="49" t="str">
        <f t="shared" si="1"/>
        <v>28140</v>
      </c>
      <c r="H33045" s="49">
        <f t="shared" si="2"/>
        <v>28029</v>
      </c>
    </row>
    <row r="33046">
      <c r="A33046" s="48" t="s">
        <v>2915</v>
      </c>
      <c r="B33046" s="38">
        <v>79112.0</v>
      </c>
      <c r="C33046" s="38" t="s">
        <v>37292</v>
      </c>
      <c r="D33046" s="38" t="str">
        <f>IFERROR(__xludf.DUMMYFUNCTION("REGEXREPLACE(C33046,""-\d+(.*)|--\d+(.*)"","""")"),"EPANNES")</f>
        <v>EPANNES</v>
      </c>
      <c r="E33046" s="38" t="s">
        <v>337</v>
      </c>
      <c r="F33046" s="38" t="s">
        <v>338</v>
      </c>
      <c r="G33046" s="49" t="str">
        <f t="shared" si="1"/>
        <v>79270</v>
      </c>
      <c r="H33046" s="49">
        <f t="shared" si="2"/>
        <v>79112</v>
      </c>
    </row>
    <row r="33047">
      <c r="A33047" s="48" t="s">
        <v>6308</v>
      </c>
      <c r="B33047" s="38">
        <v>62747.0</v>
      </c>
      <c r="C33047" s="38" t="s">
        <v>37293</v>
      </c>
      <c r="D33047" s="38" t="str">
        <f>IFERROR(__xludf.DUMMYFUNCTION("REGEXREPLACE(C33047,""-\d+(.*)|--\d+(.*)"","""")"),"SAINT-FLORIS")</f>
        <v>SAINT-FLORIS</v>
      </c>
      <c r="E33047" s="38" t="s">
        <v>109</v>
      </c>
      <c r="F33047" s="38" t="s">
        <v>86</v>
      </c>
      <c r="G33047" s="49" t="str">
        <f t="shared" si="1"/>
        <v>62350</v>
      </c>
      <c r="H33047" s="49">
        <f t="shared" si="2"/>
        <v>62747</v>
      </c>
    </row>
    <row r="33048">
      <c r="A33048" s="48" t="s">
        <v>9522</v>
      </c>
      <c r="B33048" s="38">
        <v>1247.0</v>
      </c>
      <c r="C33048" s="38" t="s">
        <v>37294</v>
      </c>
      <c r="D33048" s="38" t="str">
        <f>IFERROR(__xludf.DUMMYFUNCTION("REGEXREPLACE(C33048,""-\d+(.*)|--\d+(.*)"","""")"),"MIJOUX")</f>
        <v>MIJOUX</v>
      </c>
      <c r="E33048" s="38" t="s">
        <v>255</v>
      </c>
      <c r="F33048" s="38" t="s">
        <v>102</v>
      </c>
      <c r="G33048" s="49" t="str">
        <f t="shared" si="1"/>
        <v>01410</v>
      </c>
      <c r="H33048" s="49" t="str">
        <f t="shared" si="2"/>
        <v>01247</v>
      </c>
    </row>
    <row r="33049">
      <c r="A33049" s="48" t="s">
        <v>4851</v>
      </c>
      <c r="B33049" s="38">
        <v>33416.0</v>
      </c>
      <c r="C33049" s="38" t="s">
        <v>37295</v>
      </c>
      <c r="D33049" s="38" t="str">
        <f>IFERROR(__xludf.DUMMYFUNCTION("REGEXREPLACE(C33049,""-\d+(.*)|--\d+(.*)"","""")"),"SAINT-GIRONS-D'AIGUEVIVES")</f>
        <v>SAINT-GIRONS-D'AIGUEVIVES</v>
      </c>
      <c r="E33049" s="38" t="s">
        <v>462</v>
      </c>
      <c r="F33049" s="38" t="s">
        <v>252</v>
      </c>
      <c r="G33049" s="49" t="str">
        <f t="shared" si="1"/>
        <v>33920</v>
      </c>
      <c r="H33049" s="49">
        <f t="shared" si="2"/>
        <v>33416</v>
      </c>
    </row>
    <row r="33050">
      <c r="A33050" s="48" t="s">
        <v>9240</v>
      </c>
      <c r="B33050" s="38">
        <v>47076.0</v>
      </c>
      <c r="C33050" s="38" t="s">
        <v>24961</v>
      </c>
      <c r="D33050" s="38" t="str">
        <f>IFERROR(__xludf.DUMMYFUNCTION("REGEXREPLACE(C33050,""-\d+(.*)|--\d+(.*)"","""")"),"CUQ")</f>
        <v>CUQ</v>
      </c>
      <c r="E33050" s="38" t="s">
        <v>251</v>
      </c>
      <c r="F33050" s="38" t="s">
        <v>252</v>
      </c>
      <c r="G33050" s="49" t="str">
        <f t="shared" si="1"/>
        <v>47220</v>
      </c>
      <c r="H33050" s="49">
        <f t="shared" si="2"/>
        <v>47076</v>
      </c>
    </row>
    <row r="33051">
      <c r="A33051" s="48" t="s">
        <v>5479</v>
      </c>
      <c r="B33051" s="38">
        <v>67438.0</v>
      </c>
      <c r="C33051" s="38" t="s">
        <v>37296</v>
      </c>
      <c r="D33051" s="38" t="str">
        <f>IFERROR(__xludf.DUMMYFUNCTION("REGEXREPLACE(C33051,""-\d+(.*)|--\d+(.*)"","""")"),"SCHAEFFERSHEIM")</f>
        <v>SCHAEFFERSHEIM</v>
      </c>
      <c r="E33051" s="38" t="s">
        <v>210</v>
      </c>
      <c r="F33051" s="38" t="s">
        <v>151</v>
      </c>
      <c r="G33051" s="49" t="str">
        <f t="shared" si="1"/>
        <v>67150</v>
      </c>
      <c r="H33051" s="49">
        <f t="shared" si="2"/>
        <v>67438</v>
      </c>
    </row>
    <row r="33052">
      <c r="A33052" s="48" t="s">
        <v>601</v>
      </c>
      <c r="B33052" s="38">
        <v>51290.0</v>
      </c>
      <c r="C33052" s="38" t="s">
        <v>37297</v>
      </c>
      <c r="D33052" s="38" t="str">
        <f>IFERROR(__xludf.DUMMYFUNCTION("REGEXREPLACE(C33052,""-\d+(.*)|--\d+(.*)"","""")"),"HEILTZ-L'EVEQUE")</f>
        <v>HEILTZ-L'EVEQUE</v>
      </c>
      <c r="E33052" s="38" t="s">
        <v>129</v>
      </c>
      <c r="F33052" s="38" t="s">
        <v>130</v>
      </c>
      <c r="G33052" s="49" t="str">
        <f t="shared" si="1"/>
        <v>51340</v>
      </c>
      <c r="H33052" s="49">
        <f t="shared" si="2"/>
        <v>51290</v>
      </c>
    </row>
    <row r="33053">
      <c r="A33053" s="48" t="s">
        <v>15241</v>
      </c>
      <c r="B33053" s="38">
        <v>43017.0</v>
      </c>
      <c r="C33053" s="38" t="s">
        <v>22803</v>
      </c>
      <c r="D33053" s="38" t="str">
        <f>IFERROR(__xludf.DUMMYFUNCTION("REGEXREPLACE(C33053,""-\d+(.*)|--\d+(.*)"","""")"),"AZERAT")</f>
        <v>AZERAT</v>
      </c>
      <c r="E33053" s="38" t="s">
        <v>332</v>
      </c>
      <c r="F33053" s="38" t="s">
        <v>161</v>
      </c>
      <c r="G33053" s="49" t="str">
        <f t="shared" si="1"/>
        <v>43390</v>
      </c>
      <c r="H33053" s="49">
        <f t="shared" si="2"/>
        <v>43017</v>
      </c>
    </row>
    <row r="33054">
      <c r="A33054" s="48" t="s">
        <v>20901</v>
      </c>
      <c r="B33054" s="38">
        <v>3043.0</v>
      </c>
      <c r="C33054" s="38" t="s">
        <v>37298</v>
      </c>
      <c r="D33054" s="38" t="str">
        <f>IFERROR(__xludf.DUMMYFUNCTION("REGEXREPLACE(C33054,""-\d+(.*)|--\d+(.*)"","""")"),"BROUT-VERNET")</f>
        <v>BROUT-VERNET</v>
      </c>
      <c r="E33054" s="38" t="s">
        <v>160</v>
      </c>
      <c r="F33054" s="38" t="s">
        <v>161</v>
      </c>
      <c r="G33054" s="49" t="str">
        <f t="shared" si="1"/>
        <v>03110</v>
      </c>
      <c r="H33054" s="49" t="str">
        <f t="shared" si="2"/>
        <v>03043</v>
      </c>
    </row>
    <row r="33055">
      <c r="A33055" s="48" t="s">
        <v>1201</v>
      </c>
      <c r="B33055" s="38">
        <v>78113.0</v>
      </c>
      <c r="C33055" s="38" t="s">
        <v>37299</v>
      </c>
      <c r="D33055" s="38" t="str">
        <f>IFERROR(__xludf.DUMMYFUNCTION("REGEXREPLACE(C33055,""-\d+(.*)|--\d+(.*)"","""")"),"BRUEIL-EN-VEXIN")</f>
        <v>BRUEIL-EN-VEXIN</v>
      </c>
      <c r="E33055" s="38" t="s">
        <v>362</v>
      </c>
      <c r="F33055" s="38" t="s">
        <v>245</v>
      </c>
      <c r="G33055" s="49" t="str">
        <f t="shared" si="1"/>
        <v>78440</v>
      </c>
      <c r="H33055" s="49">
        <f t="shared" si="2"/>
        <v>78113</v>
      </c>
    </row>
    <row r="33056">
      <c r="A33056" s="48" t="s">
        <v>211</v>
      </c>
      <c r="B33056" s="38">
        <v>25545.0</v>
      </c>
      <c r="C33056" s="38" t="s">
        <v>37300</v>
      </c>
      <c r="D33056" s="38" t="str">
        <f>IFERROR(__xludf.DUMMYFUNCTION("REGEXREPLACE(C33056,""-\d+(.*)|--\d+(.*)"","""")"),"SILLEY-AMANCEY")</f>
        <v>SILLEY-AMANCEY</v>
      </c>
      <c r="E33056" s="38" t="s">
        <v>213</v>
      </c>
      <c r="F33056" s="38" t="s">
        <v>214</v>
      </c>
      <c r="G33056" s="49" t="str">
        <f t="shared" si="1"/>
        <v>25330</v>
      </c>
      <c r="H33056" s="49">
        <f t="shared" si="2"/>
        <v>25545</v>
      </c>
    </row>
    <row r="33057">
      <c r="A33057" s="48" t="s">
        <v>2266</v>
      </c>
      <c r="B33057" s="38">
        <v>55320.0</v>
      </c>
      <c r="C33057" s="38" t="s">
        <v>37301</v>
      </c>
      <c r="D33057" s="38" t="str">
        <f>IFERROR(__xludf.DUMMYFUNCTION("REGEXREPLACE(C33057,""-\d+(.*)|--\d+(.*)"","""")"),"MARCHEVILLE-EN-WOEVRE")</f>
        <v>MARCHEVILLE-EN-WOEVRE</v>
      </c>
      <c r="E33057" s="38" t="s">
        <v>322</v>
      </c>
      <c r="F33057" s="38" t="s">
        <v>195</v>
      </c>
      <c r="G33057" s="49" t="str">
        <f t="shared" si="1"/>
        <v>55160</v>
      </c>
      <c r="H33057" s="49">
        <f t="shared" si="2"/>
        <v>55320</v>
      </c>
    </row>
    <row r="33058">
      <c r="A33058" s="48" t="s">
        <v>624</v>
      </c>
      <c r="B33058" s="38">
        <v>67424.0</v>
      </c>
      <c r="C33058" s="38" t="s">
        <v>37302</v>
      </c>
      <c r="D33058" s="38" t="str">
        <f>IFERROR(__xludf.DUMMYFUNCTION("REGEXREPLACE(C33058,""-\d+(.*)|--\d+(.*)"","""")"),"SAINT-BLAISE-LA-ROCHE")</f>
        <v>SAINT-BLAISE-LA-ROCHE</v>
      </c>
      <c r="E33058" s="38" t="s">
        <v>210</v>
      </c>
      <c r="F33058" s="38" t="s">
        <v>151</v>
      </c>
      <c r="G33058" s="49" t="str">
        <f t="shared" si="1"/>
        <v>67420</v>
      </c>
      <c r="H33058" s="49">
        <f t="shared" si="2"/>
        <v>67424</v>
      </c>
    </row>
    <row r="33059">
      <c r="A33059" s="48" t="s">
        <v>3574</v>
      </c>
      <c r="B33059" s="38">
        <v>19196.0</v>
      </c>
      <c r="C33059" s="38" t="s">
        <v>37303</v>
      </c>
      <c r="D33059" s="38" t="str">
        <f>IFERROR(__xludf.DUMMYFUNCTION("REGEXREPLACE(C33059,""-\d+(.*)|--\d+(.*)"","""")"),"SAINT-CYR-LA-ROCHE")</f>
        <v>SAINT-CYR-LA-ROCHE</v>
      </c>
      <c r="E33059" s="38" t="s">
        <v>271</v>
      </c>
      <c r="F33059" s="38" t="s">
        <v>98</v>
      </c>
      <c r="G33059" s="49" t="str">
        <f t="shared" si="1"/>
        <v>19130</v>
      </c>
      <c r="H33059" s="49">
        <f t="shared" si="2"/>
        <v>19196</v>
      </c>
    </row>
    <row r="33060">
      <c r="A33060" s="48" t="s">
        <v>1022</v>
      </c>
      <c r="B33060" s="38">
        <v>2206.0</v>
      </c>
      <c r="C33060" s="38" t="s">
        <v>37304</v>
      </c>
      <c r="D33060" s="38" t="str">
        <f>IFERROR(__xludf.DUMMYFUNCTION("REGEXREPLACE(C33060,""-\d+(.*)|--\d+(.*)"","""")"),"COLONFAY")</f>
        <v>COLONFAY</v>
      </c>
      <c r="E33060" s="38" t="s">
        <v>191</v>
      </c>
      <c r="F33060" s="38" t="s">
        <v>113</v>
      </c>
      <c r="G33060" s="49" t="str">
        <f t="shared" si="1"/>
        <v>02120</v>
      </c>
      <c r="H33060" s="49" t="str">
        <f t="shared" si="2"/>
        <v>02206</v>
      </c>
    </row>
    <row r="33061">
      <c r="A33061" s="48" t="s">
        <v>4642</v>
      </c>
      <c r="B33061" s="38">
        <v>21407.0</v>
      </c>
      <c r="C33061" s="38" t="s">
        <v>11841</v>
      </c>
      <c r="D33061" s="38" t="str">
        <f>IFERROR(__xludf.DUMMYFUNCTION("REGEXREPLACE(C33061,""-\d+(.*)|--\d+(.*)"","""")"),"MESSANGES")</f>
        <v>MESSANGES</v>
      </c>
      <c r="E33061" s="38" t="s">
        <v>105</v>
      </c>
      <c r="F33061" s="38" t="s">
        <v>106</v>
      </c>
      <c r="G33061" s="49" t="str">
        <f t="shared" si="1"/>
        <v>21220</v>
      </c>
      <c r="H33061" s="49">
        <f t="shared" si="2"/>
        <v>21407</v>
      </c>
    </row>
    <row r="33062">
      <c r="A33062" s="48" t="s">
        <v>37305</v>
      </c>
      <c r="B33062" s="38">
        <v>85164.0</v>
      </c>
      <c r="C33062" s="38" t="s">
        <v>37306</v>
      </c>
      <c r="D33062" s="38" t="str">
        <f>IFERROR(__xludf.DUMMYFUNCTION("REGEXREPLACE(C33062,""-\d+(.*)|--\d+(.*)"","""")"),"NOTRE-DAME-DE-MONTS")</f>
        <v>NOTRE-DAME-DE-MONTS</v>
      </c>
      <c r="E33062" s="38" t="s">
        <v>179</v>
      </c>
      <c r="F33062" s="38" t="s">
        <v>180</v>
      </c>
      <c r="G33062" s="49" t="str">
        <f t="shared" si="1"/>
        <v>85690</v>
      </c>
      <c r="H33062" s="49">
        <f t="shared" si="2"/>
        <v>85164</v>
      </c>
    </row>
    <row r="33063">
      <c r="A33063" s="48" t="s">
        <v>4344</v>
      </c>
      <c r="B33063" s="38">
        <v>14614.0</v>
      </c>
      <c r="C33063" s="38" t="s">
        <v>37307</v>
      </c>
      <c r="D33063" s="38" t="str">
        <f>IFERROR(__xludf.DUMMYFUNCTION("REGEXREPLACE(C33063,""-\d+(.*)|--\d+(.*)"","""")"),"SAINTE-MARGUERITE-D'ELLE")</f>
        <v>SAINTE-MARGUERITE-D'ELLE</v>
      </c>
      <c r="E33063" s="38" t="s">
        <v>137</v>
      </c>
      <c r="F33063" s="38" t="s">
        <v>138</v>
      </c>
      <c r="G33063" s="49" t="str">
        <f t="shared" si="1"/>
        <v>14330</v>
      </c>
      <c r="H33063" s="49">
        <f t="shared" si="2"/>
        <v>14614</v>
      </c>
    </row>
    <row r="33064">
      <c r="A33064" s="48" t="s">
        <v>15934</v>
      </c>
      <c r="B33064" s="38">
        <v>5029.0</v>
      </c>
      <c r="C33064" s="38" t="s">
        <v>37308</v>
      </c>
      <c r="D33064" s="38" t="str">
        <f>IFERROR(__xludf.DUMMYFUNCTION("REGEXREPLACE(C33064,""-\d+(.*)|--\d+(.*)"","""")"),"CHABOTTES")</f>
        <v>CHABOTTES</v>
      </c>
      <c r="E33064" s="38" t="s">
        <v>706</v>
      </c>
      <c r="F33064" s="38" t="s">
        <v>228</v>
      </c>
      <c r="G33064" s="49" t="str">
        <f t="shared" si="1"/>
        <v>05260</v>
      </c>
      <c r="H33064" s="49" t="str">
        <f t="shared" si="2"/>
        <v>05029</v>
      </c>
    </row>
    <row r="33065">
      <c r="A33065" s="48" t="s">
        <v>2174</v>
      </c>
      <c r="B33065" s="38">
        <v>35301.0</v>
      </c>
      <c r="C33065" s="38" t="s">
        <v>37309</v>
      </c>
      <c r="D33065" s="38" t="str">
        <f>IFERROR(__xludf.DUMMYFUNCTION("REGEXREPLACE(C33065,""-\d+(.*)|--\d+(.*)"","""")"),"SAINT-M'HERVON")</f>
        <v>SAINT-M'HERVON</v>
      </c>
      <c r="E33065" s="38" t="s">
        <v>347</v>
      </c>
      <c r="F33065" s="38" t="s">
        <v>90</v>
      </c>
      <c r="G33065" s="49" t="str">
        <f t="shared" si="1"/>
        <v>35360</v>
      </c>
      <c r="H33065" s="49">
        <f t="shared" si="2"/>
        <v>35301</v>
      </c>
    </row>
    <row r="33066">
      <c r="A33066" s="48" t="s">
        <v>37310</v>
      </c>
      <c r="B33066" s="38">
        <v>62523.0</v>
      </c>
      <c r="C33066" s="38" t="s">
        <v>37311</v>
      </c>
      <c r="D33066" s="38" t="str">
        <f>IFERROR(__xludf.DUMMYFUNCTION("REGEXREPLACE(C33066,""-\d+(.*)|--\d+(.*)"","""")"),"LOISON-SOUS-LENS")</f>
        <v>LOISON-SOUS-LENS</v>
      </c>
      <c r="E33066" s="38" t="s">
        <v>109</v>
      </c>
      <c r="F33066" s="38" t="s">
        <v>86</v>
      </c>
      <c r="G33066" s="49" t="str">
        <f t="shared" si="1"/>
        <v>62218</v>
      </c>
      <c r="H33066" s="49">
        <f t="shared" si="2"/>
        <v>62523</v>
      </c>
    </row>
    <row r="33067">
      <c r="A33067" s="48" t="s">
        <v>6389</v>
      </c>
      <c r="B33067" s="38">
        <v>14610.0</v>
      </c>
      <c r="C33067" s="38" t="s">
        <v>37312</v>
      </c>
      <c r="D33067" s="38" t="str">
        <f>IFERROR(__xludf.DUMMYFUNCTION("REGEXREPLACE(C33067,""-\d+(.*)|--\d+(.*)"","""")"),"SAINT-MANVIEU-NORREY")</f>
        <v>SAINT-MANVIEU-NORREY</v>
      </c>
      <c r="E33067" s="38" t="s">
        <v>137</v>
      </c>
      <c r="F33067" s="38" t="s">
        <v>138</v>
      </c>
      <c r="G33067" s="49" t="str">
        <f t="shared" si="1"/>
        <v>14740</v>
      </c>
      <c r="H33067" s="49">
        <f t="shared" si="2"/>
        <v>14610</v>
      </c>
    </row>
    <row r="33068">
      <c r="A33068" s="48" t="s">
        <v>37313</v>
      </c>
      <c r="B33068" s="38">
        <v>85020.0</v>
      </c>
      <c r="C33068" s="38" t="s">
        <v>37314</v>
      </c>
      <c r="D33068" s="38" t="str">
        <f>IFERROR(__xludf.DUMMYFUNCTION("REGEXREPLACE(C33068,""-\d+(.*)|--\d+(.*)"","""")"),"BENET")</f>
        <v>BENET</v>
      </c>
      <c r="E33068" s="38" t="s">
        <v>179</v>
      </c>
      <c r="F33068" s="38" t="s">
        <v>180</v>
      </c>
      <c r="G33068" s="49" t="str">
        <f t="shared" si="1"/>
        <v>85490</v>
      </c>
      <c r="H33068" s="49">
        <f t="shared" si="2"/>
        <v>85020</v>
      </c>
    </row>
    <row r="33069">
      <c r="A33069" s="48" t="s">
        <v>15686</v>
      </c>
      <c r="B33069" s="38">
        <v>69280.0</v>
      </c>
      <c r="C33069" s="38" t="s">
        <v>37315</v>
      </c>
      <c r="D33069" s="38" t="str">
        <f>IFERROR(__xludf.DUMMYFUNCTION("REGEXREPLACE(C33069,""-\d+(.*)|--\d+(.*)"","""")"),"JONS")</f>
        <v>JONS</v>
      </c>
      <c r="E33069" s="38" t="s">
        <v>350</v>
      </c>
      <c r="F33069" s="38" t="s">
        <v>102</v>
      </c>
      <c r="G33069" s="49" t="str">
        <f t="shared" si="1"/>
        <v>69330</v>
      </c>
      <c r="H33069" s="49">
        <f t="shared" si="2"/>
        <v>69280</v>
      </c>
    </row>
    <row r="33070">
      <c r="A33070" s="48" t="s">
        <v>13033</v>
      </c>
      <c r="B33070" s="38">
        <v>38081.0</v>
      </c>
      <c r="C33070" s="38" t="s">
        <v>37316</v>
      </c>
      <c r="D33070" s="38" t="str">
        <f>IFERROR(__xludf.DUMMYFUNCTION("REGEXREPLACE(C33070,""-\d+(.*)|--\d+(.*)"","""")"),"CHARANTONNAY")</f>
        <v>CHARANTONNAY</v>
      </c>
      <c r="E33070" s="38" t="s">
        <v>101</v>
      </c>
      <c r="F33070" s="38" t="s">
        <v>102</v>
      </c>
      <c r="G33070" s="49" t="str">
        <f t="shared" si="1"/>
        <v>38790</v>
      </c>
      <c r="H33070" s="49">
        <f t="shared" si="2"/>
        <v>38081</v>
      </c>
    </row>
    <row r="33071">
      <c r="A33071" s="48" t="s">
        <v>12108</v>
      </c>
      <c r="B33071" s="38">
        <v>38517.0</v>
      </c>
      <c r="C33071" s="38" t="s">
        <v>37317</v>
      </c>
      <c r="D33071" s="38" t="str">
        <f>IFERROR(__xludf.DUMMYFUNCTION("REGEXREPLACE(C33071,""-\d+(.*)|--\d+(.*)"","""")"),"TULLINS")</f>
        <v>TULLINS</v>
      </c>
      <c r="E33071" s="38" t="s">
        <v>101</v>
      </c>
      <c r="F33071" s="38" t="s">
        <v>102</v>
      </c>
      <c r="G33071" s="49" t="str">
        <f t="shared" si="1"/>
        <v>38210</v>
      </c>
      <c r="H33071" s="49">
        <f t="shared" si="2"/>
        <v>38517</v>
      </c>
    </row>
    <row r="33072">
      <c r="A33072" s="48" t="s">
        <v>6502</v>
      </c>
      <c r="B33072" s="38">
        <v>85213.0</v>
      </c>
      <c r="C33072" s="38" t="s">
        <v>37318</v>
      </c>
      <c r="D33072" s="38" t="str">
        <f>IFERROR(__xludf.DUMMYFUNCTION("REGEXREPLACE(C33072,""-\d+(.*)|--\d+(.*)"","""")"),"SAINT-FLORENT-DES-BOIS")</f>
        <v>SAINT-FLORENT-DES-BOIS</v>
      </c>
      <c r="E33072" s="38" t="s">
        <v>179</v>
      </c>
      <c r="F33072" s="38" t="s">
        <v>180</v>
      </c>
      <c r="G33072" s="49" t="str">
        <f t="shared" si="1"/>
        <v>85310</v>
      </c>
      <c r="H33072" s="49">
        <f t="shared" si="2"/>
        <v>85213</v>
      </c>
    </row>
    <row r="33073">
      <c r="A33073" s="48" t="s">
        <v>1514</v>
      </c>
      <c r="B33073" s="38">
        <v>70116.0</v>
      </c>
      <c r="C33073" s="38" t="s">
        <v>37319</v>
      </c>
      <c r="D33073" s="38" t="str">
        <f>IFERROR(__xludf.DUMMYFUNCTION("REGEXREPLACE(C33073,""-\d+(.*)|--\d+(.*)"","""")"),"CHAGEY")</f>
        <v>CHAGEY</v>
      </c>
      <c r="E33073" s="38" t="s">
        <v>956</v>
      </c>
      <c r="F33073" s="38" t="s">
        <v>214</v>
      </c>
      <c r="G33073" s="49" t="str">
        <f t="shared" si="1"/>
        <v>70400</v>
      </c>
      <c r="H33073" s="49">
        <f t="shared" si="2"/>
        <v>70116</v>
      </c>
    </row>
    <row r="33074">
      <c r="A33074" s="48" t="s">
        <v>2257</v>
      </c>
      <c r="B33074" s="38">
        <v>80711.0</v>
      </c>
      <c r="C33074" s="38" t="s">
        <v>1551</v>
      </c>
      <c r="D33074" s="38" t="str">
        <f>IFERROR(__xludf.DUMMYFUNCTION("REGEXREPLACE(C33074,""-\d+(.*)|--\d+(.*)"","""")"),"SAINT-OUEN")</f>
        <v>SAINT-OUEN</v>
      </c>
      <c r="E33074" s="38" t="s">
        <v>224</v>
      </c>
      <c r="F33074" s="38" t="s">
        <v>113</v>
      </c>
      <c r="G33074" s="49" t="str">
        <f t="shared" si="1"/>
        <v>80610</v>
      </c>
      <c r="H33074" s="49">
        <f t="shared" si="2"/>
        <v>80711</v>
      </c>
    </row>
    <row r="33075">
      <c r="A33075" s="48" t="s">
        <v>4165</v>
      </c>
      <c r="B33075" s="38">
        <v>46219.0</v>
      </c>
      <c r="C33075" s="38" t="s">
        <v>37320</v>
      </c>
      <c r="D33075" s="38" t="str">
        <f>IFERROR(__xludf.DUMMYFUNCTION("REGEXREPLACE(C33075,""-\d+(.*)|--\d+(.*)"","""")"),"PEYRILLES")</f>
        <v>PEYRILLES</v>
      </c>
      <c r="E33075" s="38" t="s">
        <v>185</v>
      </c>
      <c r="F33075" s="38" t="s">
        <v>94</v>
      </c>
      <c r="G33075" s="49" t="str">
        <f t="shared" si="1"/>
        <v>46310</v>
      </c>
      <c r="H33075" s="49">
        <f t="shared" si="2"/>
        <v>46219</v>
      </c>
    </row>
    <row r="33076">
      <c r="A33076" s="48" t="s">
        <v>4873</v>
      </c>
      <c r="B33076" s="38">
        <v>67509.0</v>
      </c>
      <c r="C33076" s="38" t="s">
        <v>37321</v>
      </c>
      <c r="D33076" s="38" t="str">
        <f>IFERROR(__xludf.DUMMYFUNCTION("REGEXREPLACE(C33076,""-\d+(.*)|--\d+(.*)"","""")"),"VOLKSBERG")</f>
        <v>VOLKSBERG</v>
      </c>
      <c r="E33076" s="38" t="s">
        <v>210</v>
      </c>
      <c r="F33076" s="38" t="s">
        <v>151</v>
      </c>
      <c r="G33076" s="49" t="str">
        <f t="shared" si="1"/>
        <v>67290</v>
      </c>
      <c r="H33076" s="49">
        <f t="shared" si="2"/>
        <v>67509</v>
      </c>
    </row>
    <row r="33077">
      <c r="A33077" s="48" t="s">
        <v>24738</v>
      </c>
      <c r="B33077" s="38">
        <v>53232.0</v>
      </c>
      <c r="C33077" s="38" t="s">
        <v>11669</v>
      </c>
      <c r="D33077" s="38" t="str">
        <f>IFERROR(__xludf.DUMMYFUNCTION("REGEXREPLACE(C33077,""-\d+(.*)|--\d+(.*)"","""")"),"SAINT-LEGER")</f>
        <v>SAINT-LEGER</v>
      </c>
      <c r="E33077" s="38" t="s">
        <v>518</v>
      </c>
      <c r="F33077" s="38" t="s">
        <v>180</v>
      </c>
      <c r="G33077" s="49" t="str">
        <f t="shared" si="1"/>
        <v>53480</v>
      </c>
      <c r="H33077" s="49">
        <f t="shared" si="2"/>
        <v>53232</v>
      </c>
    </row>
    <row r="33078">
      <c r="A33078" s="48" t="s">
        <v>11068</v>
      </c>
      <c r="B33078" s="38">
        <v>7111.0</v>
      </c>
      <c r="C33078" s="38" t="s">
        <v>37322</v>
      </c>
      <c r="D33078" s="38" t="str">
        <f>IFERROR(__xludf.DUMMYFUNCTION("REGEXREPLACE(C33078,""-\d+(.*)|--\d+(.*)"","""")"),"JUVINAS")</f>
        <v>JUVINAS</v>
      </c>
      <c r="E33078" s="38" t="s">
        <v>144</v>
      </c>
      <c r="F33078" s="38" t="s">
        <v>102</v>
      </c>
      <c r="G33078" s="49" t="str">
        <f t="shared" si="1"/>
        <v>07600</v>
      </c>
      <c r="H33078" s="49" t="str">
        <f t="shared" si="2"/>
        <v>07111</v>
      </c>
    </row>
    <row r="33079">
      <c r="A33079" s="48" t="s">
        <v>5965</v>
      </c>
      <c r="B33079" s="38">
        <v>62431.0</v>
      </c>
      <c r="C33079" s="38" t="s">
        <v>37323</v>
      </c>
      <c r="D33079" s="38" t="str">
        <f>IFERROR(__xludf.DUMMYFUNCTION("REGEXREPLACE(C33079,""-\d+(.*)|--\d+(.*)"","""")"),"HERBELLES")</f>
        <v>HERBELLES</v>
      </c>
      <c r="E33079" s="38" t="s">
        <v>109</v>
      </c>
      <c r="F33079" s="38" t="s">
        <v>86</v>
      </c>
      <c r="G33079" s="49" t="str">
        <f t="shared" si="1"/>
        <v>62129</v>
      </c>
      <c r="H33079" s="49">
        <f t="shared" si="2"/>
        <v>62431</v>
      </c>
    </row>
    <row r="33080">
      <c r="A33080" s="48" t="s">
        <v>5028</v>
      </c>
      <c r="B33080" s="38">
        <v>25175.0</v>
      </c>
      <c r="C33080" s="38" t="s">
        <v>37324</v>
      </c>
      <c r="D33080" s="38" t="str">
        <f>IFERROR(__xludf.DUMMYFUNCTION("REGEXREPLACE(C33080,""-\d+(.*)|--\d+(.*)"","""")"),"COURTETAIN-ET-SALANS")</f>
        <v>COURTETAIN-ET-SALANS</v>
      </c>
      <c r="E33080" s="38" t="s">
        <v>213</v>
      </c>
      <c r="F33080" s="38" t="s">
        <v>214</v>
      </c>
      <c r="G33080" s="49" t="str">
        <f t="shared" si="1"/>
        <v>25530</v>
      </c>
      <c r="H33080" s="49">
        <f t="shared" si="2"/>
        <v>25175</v>
      </c>
    </row>
    <row r="33081">
      <c r="A33081" s="48" t="s">
        <v>365</v>
      </c>
      <c r="B33081" s="38">
        <v>50327.0</v>
      </c>
      <c r="C33081" s="38" t="s">
        <v>37325</v>
      </c>
      <c r="D33081" s="38" t="str">
        <f>IFERROR(__xludf.DUMMYFUNCTION("REGEXREPLACE(C33081,""-\d+(.*)|--\d+(.*)"","""")"),"LA MEURDRAQUIERE")</f>
        <v>LA MEURDRAQUIERE</v>
      </c>
      <c r="E33081" s="38" t="s">
        <v>157</v>
      </c>
      <c r="F33081" s="38" t="s">
        <v>138</v>
      </c>
      <c r="G33081" s="49" t="str">
        <f t="shared" si="1"/>
        <v>50510</v>
      </c>
      <c r="H33081" s="49">
        <f t="shared" si="2"/>
        <v>50327</v>
      </c>
    </row>
    <row r="33082">
      <c r="A33082" s="48" t="s">
        <v>12671</v>
      </c>
      <c r="B33082" s="38">
        <v>60532.0</v>
      </c>
      <c r="C33082" s="38" t="s">
        <v>37326</v>
      </c>
      <c r="D33082" s="38" t="str">
        <f>IFERROR(__xludf.DUMMYFUNCTION("REGEXREPLACE(C33082,""-\d+(.*)|--\d+(.*)"","""")"),"RESSONS-L'ABBAYE")</f>
        <v>RESSONS-L'ABBAYE</v>
      </c>
      <c r="E33082" s="38" t="s">
        <v>112</v>
      </c>
      <c r="F33082" s="38" t="s">
        <v>113</v>
      </c>
      <c r="G33082" s="49" t="str">
        <f t="shared" si="1"/>
        <v>60790</v>
      </c>
      <c r="H33082" s="49">
        <f t="shared" si="2"/>
        <v>60532</v>
      </c>
    </row>
    <row r="33083">
      <c r="A33083" s="48" t="s">
        <v>413</v>
      </c>
      <c r="B33083" s="38">
        <v>35280.0</v>
      </c>
      <c r="C33083" s="38" t="s">
        <v>37327</v>
      </c>
      <c r="D33083" s="38" t="str">
        <f>IFERROR(__xludf.DUMMYFUNCTION("REGEXREPLACE(C33083,""-\d+(.*)|--\d+(.*)"","""")"),"SAINT-HILAIRE-DES-LANDES")</f>
        <v>SAINT-HILAIRE-DES-LANDES</v>
      </c>
      <c r="E33083" s="38" t="s">
        <v>347</v>
      </c>
      <c r="F33083" s="38" t="s">
        <v>90</v>
      </c>
      <c r="G33083" s="49" t="str">
        <f t="shared" si="1"/>
        <v>35140</v>
      </c>
      <c r="H33083" s="49">
        <f t="shared" si="2"/>
        <v>35280</v>
      </c>
    </row>
    <row r="33084">
      <c r="A33084" s="48" t="s">
        <v>6878</v>
      </c>
      <c r="B33084" s="38">
        <v>80364.0</v>
      </c>
      <c r="C33084" s="38" t="s">
        <v>37328</v>
      </c>
      <c r="D33084" s="38" t="str">
        <f>IFERROR(__xludf.DUMMYFUNCTION("REGEXREPLACE(C33084,""-\d+(.*)|--\d+(.*)"","""")"),"FRIAUCOURT")</f>
        <v>FRIAUCOURT</v>
      </c>
      <c r="E33084" s="38" t="s">
        <v>224</v>
      </c>
      <c r="F33084" s="38" t="s">
        <v>113</v>
      </c>
      <c r="G33084" s="49" t="str">
        <f t="shared" si="1"/>
        <v>80460</v>
      </c>
      <c r="H33084" s="49">
        <f t="shared" si="2"/>
        <v>80364</v>
      </c>
    </row>
    <row r="33085">
      <c r="A33085" s="48" t="s">
        <v>1911</v>
      </c>
      <c r="B33085" s="38">
        <v>85300.0</v>
      </c>
      <c r="C33085" s="38" t="s">
        <v>37329</v>
      </c>
      <c r="D33085" s="38" t="str">
        <f>IFERROR(__xludf.DUMMYFUNCTION("REGEXREPLACE(C33085,""-\d+(.*)|--\d+(.*)"","""")"),"VENANSAULT")</f>
        <v>VENANSAULT</v>
      </c>
      <c r="E33085" s="38" t="s">
        <v>179</v>
      </c>
      <c r="F33085" s="38" t="s">
        <v>180</v>
      </c>
      <c r="G33085" s="49" t="str">
        <f t="shared" si="1"/>
        <v>85190</v>
      </c>
      <c r="H33085" s="49">
        <f t="shared" si="2"/>
        <v>85300</v>
      </c>
    </row>
    <row r="33086">
      <c r="A33086" s="48" t="s">
        <v>21208</v>
      </c>
      <c r="B33086" s="38">
        <v>38105.0</v>
      </c>
      <c r="C33086" s="38" t="s">
        <v>37330</v>
      </c>
      <c r="D33086" s="38" t="str">
        <f>IFERROR(__xludf.DUMMYFUNCTION("REGEXREPLACE(C33086,""-\d+(.*)|--\d+(.*)"","""")"),"CHIRENS")</f>
        <v>CHIRENS</v>
      </c>
      <c r="E33086" s="38" t="s">
        <v>101</v>
      </c>
      <c r="F33086" s="38" t="s">
        <v>102</v>
      </c>
      <c r="G33086" s="49" t="str">
        <f t="shared" si="1"/>
        <v>38850</v>
      </c>
      <c r="H33086" s="49">
        <f t="shared" si="2"/>
        <v>38105</v>
      </c>
    </row>
    <row r="33087">
      <c r="A33087" s="48" t="s">
        <v>2330</v>
      </c>
      <c r="B33087" s="38">
        <v>65029.0</v>
      </c>
      <c r="C33087" s="38" t="s">
        <v>37331</v>
      </c>
      <c r="D33087" s="38" t="str">
        <f>IFERROR(__xludf.DUMMYFUNCTION("REGEXREPLACE(C33087,""-\d+(.*)|--\d+(.*)"","""")"),"ARRAS-EN-LAVEDAN")</f>
        <v>ARRAS-EN-LAVEDAN</v>
      </c>
      <c r="E33087" s="38" t="s">
        <v>200</v>
      </c>
      <c r="F33087" s="38" t="s">
        <v>94</v>
      </c>
      <c r="G33087" s="49" t="str">
        <f t="shared" si="1"/>
        <v>65400</v>
      </c>
      <c r="H33087" s="49">
        <f t="shared" si="2"/>
        <v>65029</v>
      </c>
    </row>
    <row r="33088">
      <c r="A33088" s="48" t="s">
        <v>10282</v>
      </c>
      <c r="B33088" s="38">
        <v>81174.0</v>
      </c>
      <c r="C33088" s="38" t="s">
        <v>37332</v>
      </c>
      <c r="D33088" s="38" t="str">
        <f>IFERROR(__xludf.DUMMYFUNCTION("REGEXREPLACE(C33088,""-\d+(.*)|--\d+(.*)"","""")"),"MONTDRAGON")</f>
        <v>MONTDRAGON</v>
      </c>
      <c r="E33088" s="38" t="s">
        <v>231</v>
      </c>
      <c r="F33088" s="38" t="s">
        <v>94</v>
      </c>
      <c r="G33088" s="49" t="str">
        <f t="shared" si="1"/>
        <v>81440</v>
      </c>
      <c r="H33088" s="49">
        <f t="shared" si="2"/>
        <v>81174</v>
      </c>
    </row>
    <row r="33089">
      <c r="A33089" s="48" t="s">
        <v>1576</v>
      </c>
      <c r="B33089" s="38" t="s">
        <v>37333</v>
      </c>
      <c r="C33089" s="38" t="s">
        <v>37334</v>
      </c>
      <c r="D33089" s="38" t="str">
        <f>IFERROR(__xludf.DUMMYFUNCTION("REGEXREPLACE(C33089,""-\d+(.*)|--\d+(.*)"","""")"),"ALTAGENE")</f>
        <v>ALTAGENE</v>
      </c>
      <c r="E33089" s="38" t="s">
        <v>606</v>
      </c>
      <c r="F33089" s="38" t="s">
        <v>607</v>
      </c>
      <c r="G33089" s="49" t="str">
        <f t="shared" si="1"/>
        <v>20112</v>
      </c>
      <c r="H33089" s="49" t="str">
        <f t="shared" si="2"/>
        <v>2A011</v>
      </c>
    </row>
    <row r="33090">
      <c r="A33090" s="48" t="s">
        <v>6016</v>
      </c>
      <c r="B33090" s="38">
        <v>57437.0</v>
      </c>
      <c r="C33090" s="38" t="s">
        <v>37335</v>
      </c>
      <c r="D33090" s="38" t="str">
        <f>IFERROR(__xludf.DUMMYFUNCTION("REGEXREPLACE(C33090,""-\d+(.*)|--\d+(.*)"","""")"),"MALLING")</f>
        <v>MALLING</v>
      </c>
      <c r="E33090" s="38" t="s">
        <v>303</v>
      </c>
      <c r="F33090" s="38" t="s">
        <v>195</v>
      </c>
      <c r="G33090" s="49" t="str">
        <f t="shared" si="1"/>
        <v>57480</v>
      </c>
      <c r="H33090" s="49">
        <f t="shared" si="2"/>
        <v>57437</v>
      </c>
    </row>
    <row r="33091">
      <c r="A33091" s="48" t="s">
        <v>10710</v>
      </c>
      <c r="B33091" s="38">
        <v>77270.0</v>
      </c>
      <c r="C33091" s="38" t="s">
        <v>37336</v>
      </c>
      <c r="D33091" s="38" t="str">
        <f>IFERROR(__xludf.DUMMYFUNCTION("REGEXREPLACE(C33091,""-\d+(.*)|--\d+(.*)"","""")"),"MAISONCELLES-EN-BRIE")</f>
        <v>MAISONCELLES-EN-BRIE</v>
      </c>
      <c r="E33091" s="38" t="s">
        <v>244</v>
      </c>
      <c r="F33091" s="38" t="s">
        <v>245</v>
      </c>
      <c r="G33091" s="49" t="str">
        <f t="shared" si="1"/>
        <v>77580</v>
      </c>
      <c r="H33091" s="49">
        <f t="shared" si="2"/>
        <v>77270</v>
      </c>
    </row>
    <row r="33092">
      <c r="A33092" s="48" t="s">
        <v>37337</v>
      </c>
      <c r="B33092" s="38">
        <v>13007.0</v>
      </c>
      <c r="C33092" s="38" t="s">
        <v>37338</v>
      </c>
      <c r="D33092" s="38" t="str">
        <f>IFERROR(__xludf.DUMMYFUNCTION("REGEXREPLACE(C33092,""-\d+(.*)|--\d+(.*)"","""")"),"AURIOL")</f>
        <v>AURIOL</v>
      </c>
      <c r="E33092" s="38" t="s">
        <v>980</v>
      </c>
      <c r="F33092" s="38" t="s">
        <v>228</v>
      </c>
      <c r="G33092" s="49" t="str">
        <f t="shared" si="1"/>
        <v>13390</v>
      </c>
      <c r="H33092" s="49">
        <f t="shared" si="2"/>
        <v>13007</v>
      </c>
    </row>
    <row r="33093">
      <c r="A33093" s="48" t="s">
        <v>30327</v>
      </c>
      <c r="B33093" s="38">
        <v>74264.0</v>
      </c>
      <c r="C33093" s="38" t="s">
        <v>37339</v>
      </c>
      <c r="D33093" s="38" t="str">
        <f>IFERROR(__xludf.DUMMYFUNCTION("REGEXREPLACE(C33093,""-\d+(.*)|--\d+(.*)"","""")"),"SCIONZIER")</f>
        <v>SCIONZIER</v>
      </c>
      <c r="E33093" s="38" t="s">
        <v>319</v>
      </c>
      <c r="F33093" s="38" t="s">
        <v>102</v>
      </c>
      <c r="G33093" s="49" t="str">
        <f t="shared" si="1"/>
        <v>74950</v>
      </c>
      <c r="H33093" s="49">
        <f t="shared" si="2"/>
        <v>74264</v>
      </c>
    </row>
    <row r="33094">
      <c r="A33094" s="48" t="s">
        <v>14496</v>
      </c>
      <c r="B33094" s="38" t="s">
        <v>37340</v>
      </c>
      <c r="C33094" s="38" t="s">
        <v>37341</v>
      </c>
      <c r="D33094" s="38" t="str">
        <f>IFERROR(__xludf.DUMMYFUNCTION("REGEXREPLACE(C33094,""-\d+(.*)|--\d+(.*)"","""")"),"OCANA")</f>
        <v>OCANA</v>
      </c>
      <c r="E33094" s="38" t="s">
        <v>606</v>
      </c>
      <c r="F33094" s="38" t="s">
        <v>607</v>
      </c>
      <c r="G33094" s="49" t="str">
        <f t="shared" si="1"/>
        <v>20117</v>
      </c>
      <c r="H33094" s="49" t="str">
        <f t="shared" si="2"/>
        <v>2A181</v>
      </c>
    </row>
    <row r="33095">
      <c r="A33095" s="48" t="s">
        <v>441</v>
      </c>
      <c r="B33095" s="38">
        <v>42116.0</v>
      </c>
      <c r="C33095" s="38" t="s">
        <v>37342</v>
      </c>
      <c r="D33095" s="38" t="str">
        <f>IFERROR(__xludf.DUMMYFUNCTION("REGEXREPLACE(C33095,""-\d+(.*)|--\d+(.*)"","""")"),"JURE")</f>
        <v>JURE</v>
      </c>
      <c r="E33095" s="38" t="s">
        <v>166</v>
      </c>
      <c r="F33095" s="38" t="s">
        <v>102</v>
      </c>
      <c r="G33095" s="49" t="str">
        <f t="shared" si="1"/>
        <v>42430</v>
      </c>
      <c r="H33095" s="49">
        <f t="shared" si="2"/>
        <v>42116</v>
      </c>
    </row>
    <row r="33096">
      <c r="A33096" s="48" t="s">
        <v>1070</v>
      </c>
      <c r="B33096" s="38">
        <v>39475.0</v>
      </c>
      <c r="C33096" s="38" t="s">
        <v>37343</v>
      </c>
      <c r="D33096" s="38" t="str">
        <f>IFERROR(__xludf.DUMMYFUNCTION("REGEXREPLACE(C33096,""-\d+(.*)|--\d+(.*)"","""")"),"SAINT-AMOUR")</f>
        <v>SAINT-AMOUR</v>
      </c>
      <c r="E33096" s="38" t="s">
        <v>400</v>
      </c>
      <c r="F33096" s="38" t="s">
        <v>214</v>
      </c>
      <c r="G33096" s="49" t="str">
        <f t="shared" si="1"/>
        <v>39160</v>
      </c>
      <c r="H33096" s="49">
        <f t="shared" si="2"/>
        <v>39475</v>
      </c>
    </row>
    <row r="33097">
      <c r="A33097" s="48" t="s">
        <v>5257</v>
      </c>
      <c r="B33097" s="38">
        <v>15077.0</v>
      </c>
      <c r="C33097" s="38" t="s">
        <v>37344</v>
      </c>
      <c r="D33097" s="38" t="str">
        <f>IFERROR(__xludf.DUMMYFUNCTION("REGEXREPLACE(C33097,""-\d+(.*)|--\d+(.*)"","""")"),"GOURDIEGES")</f>
        <v>GOURDIEGES</v>
      </c>
      <c r="E33097" s="38" t="s">
        <v>632</v>
      </c>
      <c r="F33097" s="38" t="s">
        <v>161</v>
      </c>
      <c r="G33097" s="49" t="str">
        <f t="shared" si="1"/>
        <v>15230</v>
      </c>
      <c r="H33097" s="49">
        <f t="shared" si="2"/>
        <v>15077</v>
      </c>
    </row>
    <row r="33098">
      <c r="A33098" s="48" t="s">
        <v>3022</v>
      </c>
      <c r="B33098" s="38">
        <v>14081.0</v>
      </c>
      <c r="C33098" s="38" t="s">
        <v>17111</v>
      </c>
      <c r="D33098" s="38" t="str">
        <f>IFERROR(__xludf.DUMMYFUNCTION("REGEXREPLACE(C33098,""-\d+(.*)|--\d+(.*)"","""")"),"BOISSEY")</f>
        <v>BOISSEY</v>
      </c>
      <c r="E33098" s="38" t="s">
        <v>137</v>
      </c>
      <c r="F33098" s="38" t="s">
        <v>138</v>
      </c>
      <c r="G33098" s="49" t="str">
        <f t="shared" si="1"/>
        <v>14170</v>
      </c>
      <c r="H33098" s="49">
        <f t="shared" si="2"/>
        <v>14081</v>
      </c>
    </row>
    <row r="33099">
      <c r="A33099" s="48" t="s">
        <v>2073</v>
      </c>
      <c r="B33099" s="38">
        <v>8471.0</v>
      </c>
      <c r="C33099" s="38" t="s">
        <v>3348</v>
      </c>
      <c r="D33099" s="38" t="str">
        <f>IFERROR(__xludf.DUMMYFUNCTION("REGEXREPLACE(C33099,""-\d+(.*)|--\d+(.*)"","""")"),"VERRIERES")</f>
        <v>VERRIERES</v>
      </c>
      <c r="E33099" s="38" t="s">
        <v>327</v>
      </c>
      <c r="F33099" s="38" t="s">
        <v>130</v>
      </c>
      <c r="G33099" s="49" t="str">
        <f t="shared" si="1"/>
        <v>08390</v>
      </c>
      <c r="H33099" s="49" t="str">
        <f t="shared" si="2"/>
        <v>08471</v>
      </c>
    </row>
    <row r="33100">
      <c r="A33100" s="48" t="s">
        <v>3887</v>
      </c>
      <c r="B33100" s="38">
        <v>84085.0</v>
      </c>
      <c r="C33100" s="38" t="s">
        <v>1662</v>
      </c>
      <c r="D33100" s="38" t="str">
        <f>IFERROR(__xludf.DUMMYFUNCTION("REGEXREPLACE(C33100,""-\d+(.*)|--\d+(.*)"","""")"),"MURS")</f>
        <v>MURS</v>
      </c>
      <c r="E33100" s="38" t="s">
        <v>1026</v>
      </c>
      <c r="F33100" s="38" t="s">
        <v>228</v>
      </c>
      <c r="G33100" s="49" t="str">
        <f t="shared" si="1"/>
        <v>84220</v>
      </c>
      <c r="H33100" s="49">
        <f t="shared" si="2"/>
        <v>84085</v>
      </c>
    </row>
    <row r="33101">
      <c r="A33101" s="48" t="s">
        <v>2425</v>
      </c>
      <c r="B33101" s="38">
        <v>50447.0</v>
      </c>
      <c r="C33101" s="38" t="s">
        <v>37345</v>
      </c>
      <c r="D33101" s="38" t="str">
        <f>IFERROR(__xludf.DUMMYFUNCTION("REGEXREPLACE(C33101,""-\d+(.*)|--\d+(.*)"","""")"),"SAINT-AUBIN-DES-PREAUX")</f>
        <v>SAINT-AUBIN-DES-PREAUX</v>
      </c>
      <c r="E33101" s="38" t="s">
        <v>157</v>
      </c>
      <c r="F33101" s="38" t="s">
        <v>138</v>
      </c>
      <c r="G33101" s="49" t="str">
        <f t="shared" si="1"/>
        <v>50380</v>
      </c>
      <c r="H33101" s="49">
        <f t="shared" si="2"/>
        <v>50447</v>
      </c>
    </row>
    <row r="33102">
      <c r="A33102" s="48" t="s">
        <v>4259</v>
      </c>
      <c r="B33102" s="38">
        <v>32180.0</v>
      </c>
      <c r="C33102" s="38" t="s">
        <v>37346</v>
      </c>
      <c r="D33102" s="38" t="str">
        <f>IFERROR(__xludf.DUMMYFUNCTION("REGEXREPLACE(C33102,""-\d+(.*)|--\d+(.*)"","""")"),"LAGRAULET-DU-GERS")</f>
        <v>LAGRAULET-DU-GERS</v>
      </c>
      <c r="E33102" s="38" t="s">
        <v>440</v>
      </c>
      <c r="F33102" s="38" t="s">
        <v>94</v>
      </c>
      <c r="G33102" s="49" t="str">
        <f t="shared" si="1"/>
        <v>32330</v>
      </c>
      <c r="H33102" s="49">
        <f t="shared" si="2"/>
        <v>32180</v>
      </c>
    </row>
    <row r="33103">
      <c r="A33103" s="48" t="s">
        <v>110</v>
      </c>
      <c r="B33103" s="38">
        <v>60616.0</v>
      </c>
      <c r="C33103" s="38" t="s">
        <v>37347</v>
      </c>
      <c r="D33103" s="38" t="str">
        <f>IFERROR(__xludf.DUMMYFUNCTION("REGEXREPLACE(C33103,""-\d+(.*)|--\d+(.*)"","""")"),"SERIFONTAINE")</f>
        <v>SERIFONTAINE</v>
      </c>
      <c r="E33103" s="38" t="s">
        <v>112</v>
      </c>
      <c r="F33103" s="38" t="s">
        <v>113</v>
      </c>
      <c r="G33103" s="49" t="str">
        <f t="shared" si="1"/>
        <v>60590</v>
      </c>
      <c r="H33103" s="49">
        <f t="shared" si="2"/>
        <v>60616</v>
      </c>
    </row>
    <row r="33104">
      <c r="A33104" s="48" t="s">
        <v>14076</v>
      </c>
      <c r="B33104" s="38">
        <v>7324.0</v>
      </c>
      <c r="C33104" s="38" t="s">
        <v>37348</v>
      </c>
      <c r="D33104" s="38" t="str">
        <f>IFERROR(__xludf.DUMMYFUNCTION("REGEXREPLACE(C33104,""-\d+(.*)|--\d+(.*)"","""")"),"TOURNON-SUR-RHONE")</f>
        <v>TOURNON-SUR-RHONE</v>
      </c>
      <c r="E33104" s="38" t="s">
        <v>144</v>
      </c>
      <c r="F33104" s="38" t="s">
        <v>102</v>
      </c>
      <c r="G33104" s="49" t="str">
        <f t="shared" si="1"/>
        <v>07300</v>
      </c>
      <c r="H33104" s="49" t="str">
        <f t="shared" si="2"/>
        <v>07324</v>
      </c>
    </row>
    <row r="33105">
      <c r="A33105" s="48" t="s">
        <v>2393</v>
      </c>
      <c r="B33105" s="38">
        <v>38500.0</v>
      </c>
      <c r="C33105" s="38" t="s">
        <v>37349</v>
      </c>
      <c r="D33105" s="38" t="str">
        <f>IFERROR(__xludf.DUMMYFUNCTION("REGEXREPLACE(C33105,""-\d+(.*)|--\d+(.*)"","""")"),"TECHE")</f>
        <v>TECHE</v>
      </c>
      <c r="E33105" s="38" t="s">
        <v>101</v>
      </c>
      <c r="F33105" s="38" t="s">
        <v>102</v>
      </c>
      <c r="G33105" s="49" t="str">
        <f t="shared" si="1"/>
        <v>38470</v>
      </c>
      <c r="H33105" s="49">
        <f t="shared" si="2"/>
        <v>38500</v>
      </c>
    </row>
    <row r="33106">
      <c r="A33106" s="48" t="s">
        <v>5631</v>
      </c>
      <c r="B33106" s="38">
        <v>76577.0</v>
      </c>
      <c r="C33106" s="38" t="s">
        <v>20388</v>
      </c>
      <c r="D33106" s="38" t="str">
        <f>IFERROR(__xludf.DUMMYFUNCTION("REGEXREPLACE(C33106,""-\d+(.*)|--\d+(.*)"","""")"),"SAINTE-FOY")</f>
        <v>SAINTE-FOY</v>
      </c>
      <c r="E33106" s="38" t="s">
        <v>133</v>
      </c>
      <c r="F33106" s="38" t="s">
        <v>134</v>
      </c>
      <c r="G33106" s="49" t="str">
        <f t="shared" si="1"/>
        <v>76590</v>
      </c>
      <c r="H33106" s="49">
        <f t="shared" si="2"/>
        <v>76577</v>
      </c>
    </row>
    <row r="33107">
      <c r="A33107" s="48" t="s">
        <v>3198</v>
      </c>
      <c r="B33107" s="38">
        <v>32462.0</v>
      </c>
      <c r="C33107" s="38" t="s">
        <v>37350</v>
      </c>
      <c r="D33107" s="38" t="str">
        <f>IFERROR(__xludf.DUMMYFUNCTION("REGEXREPLACE(C33107,""-\d+(.*)|--\d+(.*)"","""")"),"VIC-FEZENSAC")</f>
        <v>VIC-FEZENSAC</v>
      </c>
      <c r="E33107" s="38" t="s">
        <v>440</v>
      </c>
      <c r="F33107" s="38" t="s">
        <v>94</v>
      </c>
      <c r="G33107" s="49" t="str">
        <f t="shared" si="1"/>
        <v>32190</v>
      </c>
      <c r="H33107" s="49">
        <f t="shared" si="2"/>
        <v>32462</v>
      </c>
    </row>
    <row r="33108">
      <c r="A33108" s="48" t="s">
        <v>1239</v>
      </c>
      <c r="B33108" s="38">
        <v>2336.0</v>
      </c>
      <c r="C33108" s="38" t="s">
        <v>37351</v>
      </c>
      <c r="D33108" s="38" t="str">
        <f>IFERROR(__xludf.DUMMYFUNCTION("REGEXREPLACE(C33108,""-\d+(.*)|--\d+(.*)"","""")"),"FRIERES-FAILLOUEL")</f>
        <v>FRIERES-FAILLOUEL</v>
      </c>
      <c r="E33108" s="38" t="s">
        <v>191</v>
      </c>
      <c r="F33108" s="38" t="s">
        <v>113</v>
      </c>
      <c r="G33108" s="49" t="str">
        <f t="shared" si="1"/>
        <v>02700</v>
      </c>
      <c r="H33108" s="49" t="str">
        <f t="shared" si="2"/>
        <v>02336</v>
      </c>
    </row>
    <row r="33109">
      <c r="A33109" s="48" t="s">
        <v>3077</v>
      </c>
      <c r="B33109" s="38">
        <v>32154.0</v>
      </c>
      <c r="C33109" s="38" t="s">
        <v>11142</v>
      </c>
      <c r="D33109" s="38" t="str">
        <f>IFERROR(__xludf.DUMMYFUNCTION("REGEXREPLACE(C33109,""-\d+(.*)|--\d+(.*)"","""")"),"HOMPS")</f>
        <v>HOMPS</v>
      </c>
      <c r="E33109" s="38" t="s">
        <v>440</v>
      </c>
      <c r="F33109" s="38" t="s">
        <v>94</v>
      </c>
      <c r="G33109" s="49" t="str">
        <f t="shared" si="1"/>
        <v>32120</v>
      </c>
      <c r="H33109" s="49">
        <f t="shared" si="2"/>
        <v>32154</v>
      </c>
    </row>
    <row r="33110">
      <c r="A33110" s="48" t="s">
        <v>3465</v>
      </c>
      <c r="B33110" s="38">
        <v>11247.0</v>
      </c>
      <c r="C33110" s="38" t="s">
        <v>37352</v>
      </c>
      <c r="D33110" s="38" t="str">
        <f>IFERROR(__xludf.DUMMYFUNCTION("REGEXREPLACE(C33110,""-\d+(.*)|--\d+(.*)"","""")"),"MONTHAUT")</f>
        <v>MONTHAUT</v>
      </c>
      <c r="E33110" s="38" t="s">
        <v>278</v>
      </c>
      <c r="F33110" s="38" t="s">
        <v>119</v>
      </c>
      <c r="G33110" s="49" t="str">
        <f t="shared" si="1"/>
        <v>11240</v>
      </c>
      <c r="H33110" s="49">
        <f t="shared" si="2"/>
        <v>11247</v>
      </c>
    </row>
    <row r="33111">
      <c r="A33111" s="48" t="s">
        <v>9152</v>
      </c>
      <c r="B33111" s="38">
        <v>37254.0</v>
      </c>
      <c r="C33111" s="38" t="s">
        <v>37353</v>
      </c>
      <c r="D33111" s="38" t="str">
        <f>IFERROR(__xludf.DUMMYFUNCTION("REGEXREPLACE(C33111,""-\d+(.*)|--\d+(.*)"","""")"),"TAUXIGNY")</f>
        <v>TAUXIGNY</v>
      </c>
      <c r="E33111" s="38" t="s">
        <v>205</v>
      </c>
      <c r="F33111" s="38" t="s">
        <v>123</v>
      </c>
      <c r="G33111" s="49" t="str">
        <f t="shared" si="1"/>
        <v>37310</v>
      </c>
      <c r="H33111" s="49">
        <f t="shared" si="2"/>
        <v>37254</v>
      </c>
    </row>
    <row r="33112">
      <c r="A33112" s="48" t="s">
        <v>4733</v>
      </c>
      <c r="B33112" s="38">
        <v>38136.0</v>
      </c>
      <c r="C33112" s="38" t="s">
        <v>37354</v>
      </c>
      <c r="D33112" s="38" t="str">
        <f>IFERROR(__xludf.DUMMYFUNCTION("REGEXREPLACE(C33112,""-\d+(.*)|--\d+(.*)"","""")"),"CRACHIER")</f>
        <v>CRACHIER</v>
      </c>
      <c r="E33112" s="38" t="s">
        <v>101</v>
      </c>
      <c r="F33112" s="38" t="s">
        <v>102</v>
      </c>
      <c r="G33112" s="49" t="str">
        <f t="shared" si="1"/>
        <v>38300</v>
      </c>
      <c r="H33112" s="49">
        <f t="shared" si="2"/>
        <v>38136</v>
      </c>
    </row>
    <row r="33113">
      <c r="A33113" s="48" t="s">
        <v>3835</v>
      </c>
      <c r="B33113" s="38">
        <v>25592.0</v>
      </c>
      <c r="C33113" s="38" t="s">
        <v>37355</v>
      </c>
      <c r="D33113" s="38" t="str">
        <f>IFERROR(__xludf.DUMMYFUNCTION("REGEXREPLACE(C33113,""-\d+(.*)|--\d+(.*)"","""")"),"VAUX-ET-CHANTEGRUE")</f>
        <v>VAUX-ET-CHANTEGRUE</v>
      </c>
      <c r="E33113" s="38" t="s">
        <v>213</v>
      </c>
      <c r="F33113" s="38" t="s">
        <v>214</v>
      </c>
      <c r="G33113" s="49" t="str">
        <f t="shared" si="1"/>
        <v>25160</v>
      </c>
      <c r="H33113" s="49">
        <f t="shared" si="2"/>
        <v>25592</v>
      </c>
    </row>
    <row r="33114">
      <c r="A33114" s="48" t="s">
        <v>28188</v>
      </c>
      <c r="B33114" s="38">
        <v>48175.0</v>
      </c>
      <c r="C33114" s="38" t="s">
        <v>37356</v>
      </c>
      <c r="D33114" s="38" t="str">
        <f>IFERROR(__xludf.DUMMYFUNCTION("REGEXREPLACE(C33114,""-\d+(.*)|--\d+(.*)"","""")"),"SAINT-PIERRE-DE-NOGARET")</f>
        <v>SAINT-PIERRE-DE-NOGARET</v>
      </c>
      <c r="E33114" s="38" t="s">
        <v>154</v>
      </c>
      <c r="F33114" s="38" t="s">
        <v>119</v>
      </c>
      <c r="G33114" s="49" t="str">
        <f t="shared" si="1"/>
        <v>48340</v>
      </c>
      <c r="H33114" s="49">
        <f t="shared" si="2"/>
        <v>48175</v>
      </c>
    </row>
    <row r="33115">
      <c r="A33115" s="48" t="s">
        <v>4054</v>
      </c>
      <c r="B33115" s="38">
        <v>88213.0</v>
      </c>
      <c r="C33115" s="38" t="s">
        <v>37357</v>
      </c>
      <c r="D33115" s="38" t="str">
        <f>IFERROR(__xludf.DUMMYFUNCTION("REGEXREPLACE(C33115,""-\d+(.*)|--\d+(.*)"","""")"),"LA GRANDE-FOSSE")</f>
        <v>LA GRANDE-FOSSE</v>
      </c>
      <c r="E33115" s="38" t="s">
        <v>194</v>
      </c>
      <c r="F33115" s="38" t="s">
        <v>195</v>
      </c>
      <c r="G33115" s="49" t="str">
        <f t="shared" si="1"/>
        <v>88490</v>
      </c>
      <c r="H33115" s="49">
        <f t="shared" si="2"/>
        <v>88213</v>
      </c>
    </row>
    <row r="33116">
      <c r="A33116" s="48" t="s">
        <v>8786</v>
      </c>
      <c r="B33116" s="38">
        <v>44164.0</v>
      </c>
      <c r="C33116" s="38" t="s">
        <v>37358</v>
      </c>
      <c r="D33116" s="38" t="str">
        <f>IFERROR(__xludf.DUMMYFUNCTION("REGEXREPLACE(C33116,""-\d+(.*)|--\d+(.*)"","""")"),"SAINT-HILAIRE-DE-CHALEONS")</f>
        <v>SAINT-HILAIRE-DE-CHALEONS</v>
      </c>
      <c r="E33116" s="38" t="s">
        <v>759</v>
      </c>
      <c r="F33116" s="38" t="s">
        <v>180</v>
      </c>
      <c r="G33116" s="49" t="str">
        <f t="shared" si="1"/>
        <v>44680</v>
      </c>
      <c r="H33116" s="49">
        <f t="shared" si="2"/>
        <v>44164</v>
      </c>
    </row>
    <row r="33117">
      <c r="A33117" s="48" t="s">
        <v>580</v>
      </c>
      <c r="B33117" s="38">
        <v>31465.0</v>
      </c>
      <c r="C33117" s="38" t="s">
        <v>37359</v>
      </c>
      <c r="D33117" s="38" t="str">
        <f>IFERROR(__xludf.DUMMYFUNCTION("REGEXREPLACE(C33117,""-\d+(.*)|--\d+(.*)"","""")"),"SACCOURVIELLE")</f>
        <v>SACCOURVIELLE</v>
      </c>
      <c r="E33117" s="38" t="s">
        <v>93</v>
      </c>
      <c r="F33117" s="38" t="s">
        <v>94</v>
      </c>
      <c r="G33117" s="49" t="str">
        <f t="shared" si="1"/>
        <v>31110</v>
      </c>
      <c r="H33117" s="49">
        <f t="shared" si="2"/>
        <v>31465</v>
      </c>
    </row>
    <row r="33118">
      <c r="A33118" s="48" t="s">
        <v>16185</v>
      </c>
      <c r="B33118" s="38">
        <v>18207.0</v>
      </c>
      <c r="C33118" s="38" t="s">
        <v>37360</v>
      </c>
      <c r="D33118" s="38" t="str">
        <f>IFERROR(__xludf.DUMMYFUNCTION("REGEXREPLACE(C33118,""-\d+(.*)|--\d+(.*)"","""")"),"SAINT-FLORENT-SUR-CHER")</f>
        <v>SAINT-FLORENT-SUR-CHER</v>
      </c>
      <c r="E33118" s="38" t="s">
        <v>504</v>
      </c>
      <c r="F33118" s="38" t="s">
        <v>123</v>
      </c>
      <c r="G33118" s="49" t="str">
        <f t="shared" si="1"/>
        <v>18400</v>
      </c>
      <c r="H33118" s="49">
        <f t="shared" si="2"/>
        <v>18207</v>
      </c>
    </row>
    <row r="33119">
      <c r="A33119" s="48" t="s">
        <v>7155</v>
      </c>
      <c r="B33119" s="38">
        <v>30172.0</v>
      </c>
      <c r="C33119" s="38" t="s">
        <v>37361</v>
      </c>
      <c r="D33119" s="38" t="str">
        <f>IFERROR(__xludf.DUMMYFUNCTION("REGEXREPLACE(C33119,""-\d+(.*)|--\d+(.*)"","""")"),"MONOBLET")</f>
        <v>MONOBLET</v>
      </c>
      <c r="E33119" s="38" t="s">
        <v>526</v>
      </c>
      <c r="F33119" s="38" t="s">
        <v>119</v>
      </c>
      <c r="G33119" s="49" t="str">
        <f t="shared" si="1"/>
        <v>30170</v>
      </c>
      <c r="H33119" s="49">
        <f t="shared" si="2"/>
        <v>30172</v>
      </c>
    </row>
    <row r="33120">
      <c r="A33120" s="48" t="s">
        <v>2812</v>
      </c>
      <c r="B33120" s="38">
        <v>61305.0</v>
      </c>
      <c r="C33120" s="38" t="s">
        <v>37362</v>
      </c>
      <c r="D33120" s="38" t="str">
        <f>IFERROR(__xludf.DUMMYFUNCTION("REGEXREPLACE(C33120,""-\d+(.*)|--\d+(.*)"","""")"),"NEUILLY-SUR-EURE")</f>
        <v>NEUILLY-SUR-EURE</v>
      </c>
      <c r="E33120" s="38" t="s">
        <v>141</v>
      </c>
      <c r="F33120" s="38" t="s">
        <v>138</v>
      </c>
      <c r="G33120" s="49" t="str">
        <f t="shared" si="1"/>
        <v>61290</v>
      </c>
      <c r="H33120" s="49">
        <f t="shared" si="2"/>
        <v>61305</v>
      </c>
    </row>
    <row r="33121">
      <c r="A33121" s="48" t="s">
        <v>34839</v>
      </c>
      <c r="B33121" s="38">
        <v>43217.0</v>
      </c>
      <c r="C33121" s="38" t="s">
        <v>37363</v>
      </c>
      <c r="D33121" s="38" t="str">
        <f>IFERROR(__xludf.DUMMYFUNCTION("REGEXREPLACE(C33121,""-\d+(.*)|--\d+(.*)"","""")"),"SAINT-PIERRE-DU-CHAMP")</f>
        <v>SAINT-PIERRE-DU-CHAMP</v>
      </c>
      <c r="E33121" s="38" t="s">
        <v>332</v>
      </c>
      <c r="F33121" s="38" t="s">
        <v>161</v>
      </c>
      <c r="G33121" s="49" t="str">
        <f t="shared" si="1"/>
        <v>43810</v>
      </c>
      <c r="H33121" s="49">
        <f t="shared" si="2"/>
        <v>43217</v>
      </c>
    </row>
    <row r="33122">
      <c r="A33122" s="48" t="s">
        <v>4512</v>
      </c>
      <c r="B33122" s="38">
        <v>86270.0</v>
      </c>
      <c r="C33122" s="38" t="s">
        <v>37364</v>
      </c>
      <c r="D33122" s="38" t="str">
        <f>IFERROR(__xludf.DUMMYFUNCTION("REGEXREPLACE(C33122,""-\d+(.*)|--\d+(.*)"","""")"),"THOLLET")</f>
        <v>THOLLET</v>
      </c>
      <c r="E33122" s="38" t="s">
        <v>529</v>
      </c>
      <c r="F33122" s="38" t="s">
        <v>338</v>
      </c>
      <c r="G33122" s="49" t="str">
        <f t="shared" si="1"/>
        <v>86290</v>
      </c>
      <c r="H33122" s="49">
        <f t="shared" si="2"/>
        <v>86270</v>
      </c>
    </row>
    <row r="33123">
      <c r="A33123" s="48" t="s">
        <v>2617</v>
      </c>
      <c r="B33123" s="38">
        <v>89331.0</v>
      </c>
      <c r="C33123" s="38" t="s">
        <v>37365</v>
      </c>
      <c r="D33123" s="38" t="str">
        <f>IFERROR(__xludf.DUMMYFUNCTION("REGEXREPLACE(C33123,""-\d+(.*)|--\d+(.*)"","""")"),"SAINPUITS")</f>
        <v>SAINPUITS</v>
      </c>
      <c r="E33123" s="38" t="s">
        <v>275</v>
      </c>
      <c r="F33123" s="38" t="s">
        <v>106</v>
      </c>
      <c r="G33123" s="49" t="str">
        <f t="shared" si="1"/>
        <v>89520</v>
      </c>
      <c r="H33123" s="49">
        <f t="shared" si="2"/>
        <v>89331</v>
      </c>
    </row>
    <row r="33124">
      <c r="A33124" s="48" t="s">
        <v>11884</v>
      </c>
      <c r="B33124" s="38">
        <v>37177.0</v>
      </c>
      <c r="C33124" s="38" t="s">
        <v>37366</v>
      </c>
      <c r="D33124" s="38" t="str">
        <f>IFERROR(__xludf.DUMMYFUNCTION("REGEXREPLACE(C33124,""-\d+(.*)|--\d+(.*)"","""")"),"ORBIGNY")</f>
        <v>ORBIGNY</v>
      </c>
      <c r="E33124" s="38" t="s">
        <v>205</v>
      </c>
      <c r="F33124" s="38" t="s">
        <v>123</v>
      </c>
      <c r="G33124" s="49" t="str">
        <f t="shared" si="1"/>
        <v>37460</v>
      </c>
      <c r="H33124" s="49">
        <f t="shared" si="2"/>
        <v>37177</v>
      </c>
    </row>
    <row r="33125">
      <c r="A33125" s="48" t="s">
        <v>37367</v>
      </c>
      <c r="B33125" s="38">
        <v>97409.0</v>
      </c>
      <c r="C33125" s="38" t="s">
        <v>1952</v>
      </c>
      <c r="D33125" s="38" t="str">
        <f>IFERROR(__xludf.DUMMYFUNCTION("REGEXREPLACE(C33125,""-\d+(.*)|--\d+(.*)"","""")"),"SAINT-ANDRE")</f>
        <v>SAINT-ANDRE</v>
      </c>
      <c r="E33125" s="38" t="s">
        <v>7739</v>
      </c>
      <c r="F33125" s="38" t="s">
        <v>7739</v>
      </c>
      <c r="G33125" s="49" t="str">
        <f t="shared" si="1"/>
        <v>97440</v>
      </c>
      <c r="H33125" s="49">
        <f t="shared" si="2"/>
        <v>97409</v>
      </c>
    </row>
    <row r="33126">
      <c r="A33126" s="48" t="s">
        <v>862</v>
      </c>
      <c r="B33126" s="38">
        <v>27655.0</v>
      </c>
      <c r="C33126" s="38" t="s">
        <v>37368</v>
      </c>
      <c r="D33126" s="38" t="str">
        <f>IFERROR(__xludf.DUMMYFUNCTION("REGEXREPLACE(C33126,""-\d+(.*)|--\d+(.*)"","""")"),"TOURVILLE-SUR-PONT-AUDEMER")</f>
        <v>TOURVILLE-SUR-PONT-AUDEMER</v>
      </c>
      <c r="E33126" s="38" t="s">
        <v>241</v>
      </c>
      <c r="F33126" s="38" t="s">
        <v>134</v>
      </c>
      <c r="G33126" s="49" t="str">
        <f t="shared" si="1"/>
        <v>27500</v>
      </c>
      <c r="H33126" s="49">
        <f t="shared" si="2"/>
        <v>27655</v>
      </c>
    </row>
    <row r="33127">
      <c r="A33127" s="48" t="s">
        <v>3048</v>
      </c>
      <c r="B33127" s="38">
        <v>21560.0</v>
      </c>
      <c r="C33127" s="38" t="s">
        <v>37369</v>
      </c>
      <c r="D33127" s="38" t="str">
        <f>IFERROR(__xludf.DUMMYFUNCTION("REGEXREPLACE(C33127,""-\d+(.*)|--\d+(.*)"","""")"),"SAINT-MARTIN-DE-LA-MER")</f>
        <v>SAINT-MARTIN-DE-LA-MER</v>
      </c>
      <c r="E33127" s="38" t="s">
        <v>105</v>
      </c>
      <c r="F33127" s="38" t="s">
        <v>106</v>
      </c>
      <c r="G33127" s="49" t="str">
        <f t="shared" si="1"/>
        <v>21210</v>
      </c>
      <c r="H33127" s="49">
        <f t="shared" si="2"/>
        <v>21560</v>
      </c>
    </row>
    <row r="33128">
      <c r="A33128" s="48" t="s">
        <v>2128</v>
      </c>
      <c r="B33128" s="38">
        <v>2582.0</v>
      </c>
      <c r="C33128" s="38" t="s">
        <v>37370</v>
      </c>
      <c r="D33128" s="38" t="str">
        <f>IFERROR(__xludf.DUMMYFUNCTION("REGEXREPLACE(C33128,""-\d+(.*)|--\d+(.*)"","""")"),"PAISSY")</f>
        <v>PAISSY</v>
      </c>
      <c r="E33128" s="38" t="s">
        <v>191</v>
      </c>
      <c r="F33128" s="38" t="s">
        <v>113</v>
      </c>
      <c r="G33128" s="49" t="str">
        <f t="shared" si="1"/>
        <v>02160</v>
      </c>
      <c r="H33128" s="49" t="str">
        <f t="shared" si="2"/>
        <v>02582</v>
      </c>
    </row>
    <row r="33129">
      <c r="A33129" s="48" t="s">
        <v>6728</v>
      </c>
      <c r="B33129" s="38">
        <v>89470.0</v>
      </c>
      <c r="C33129" s="38" t="s">
        <v>37371</v>
      </c>
      <c r="D33129" s="38" t="str">
        <f>IFERROR(__xludf.DUMMYFUNCTION("REGEXREPLACE(C33129,""-\d+(.*)|--\d+(.*)"","""")"),"VILLIERS-LES-HAUTS")</f>
        <v>VILLIERS-LES-HAUTS</v>
      </c>
      <c r="E33129" s="38" t="s">
        <v>275</v>
      </c>
      <c r="F33129" s="38" t="s">
        <v>106</v>
      </c>
      <c r="G33129" s="49" t="str">
        <f t="shared" si="1"/>
        <v>89160</v>
      </c>
      <c r="H33129" s="49">
        <f t="shared" si="2"/>
        <v>89470</v>
      </c>
    </row>
    <row r="33130">
      <c r="A33130" s="48" t="s">
        <v>3244</v>
      </c>
      <c r="B33130" s="38">
        <v>27410.0</v>
      </c>
      <c r="C33130" s="38" t="s">
        <v>37372</v>
      </c>
      <c r="D33130" s="38" t="str">
        <f>IFERROR(__xludf.DUMMYFUNCTION("REGEXREPLACE(C33130,""-\d+(.*)|--\d+(.*)"","""")"),"MISEREY")</f>
        <v>MISEREY</v>
      </c>
      <c r="E33130" s="38" t="s">
        <v>241</v>
      </c>
      <c r="F33130" s="38" t="s">
        <v>134</v>
      </c>
      <c r="G33130" s="49" t="str">
        <f t="shared" si="1"/>
        <v>27930</v>
      </c>
      <c r="H33130" s="49">
        <f t="shared" si="2"/>
        <v>27410</v>
      </c>
    </row>
    <row r="33131">
      <c r="A33131" s="48" t="s">
        <v>320</v>
      </c>
      <c r="B33131" s="38">
        <v>55185.0</v>
      </c>
      <c r="C33131" s="38" t="s">
        <v>37373</v>
      </c>
      <c r="D33131" s="38" t="str">
        <f>IFERROR(__xludf.DUMMYFUNCTION("REGEXREPLACE(C33131,""-\d+(.*)|--\d+(.*)"","""")"),"EVRES")</f>
        <v>EVRES</v>
      </c>
      <c r="E33131" s="38" t="s">
        <v>322</v>
      </c>
      <c r="F33131" s="38" t="s">
        <v>195</v>
      </c>
      <c r="G33131" s="49" t="str">
        <f t="shared" si="1"/>
        <v>55250</v>
      </c>
      <c r="H33131" s="49">
        <f t="shared" si="2"/>
        <v>55185</v>
      </c>
    </row>
    <row r="33132">
      <c r="A33132" s="48" t="s">
        <v>3493</v>
      </c>
      <c r="B33132" s="38">
        <v>22086.0</v>
      </c>
      <c r="C33132" s="38" t="s">
        <v>37374</v>
      </c>
      <c r="D33132" s="38" t="str">
        <f>IFERROR(__xludf.DUMMYFUNCTION("REGEXREPLACE(C33132,""-\d+(.*)|--\d+(.*)"","""")"),"KERFOT")</f>
        <v>KERFOT</v>
      </c>
      <c r="E33132" s="38" t="s">
        <v>89</v>
      </c>
      <c r="F33132" s="38" t="s">
        <v>90</v>
      </c>
      <c r="G33132" s="49" t="str">
        <f t="shared" si="1"/>
        <v>22500</v>
      </c>
      <c r="H33132" s="49">
        <f t="shared" si="2"/>
        <v>22086</v>
      </c>
    </row>
    <row r="33133">
      <c r="A33133" s="48" t="s">
        <v>32224</v>
      </c>
      <c r="B33133" s="38">
        <v>59228.0</v>
      </c>
      <c r="C33133" s="38" t="s">
        <v>37375</v>
      </c>
      <c r="D33133" s="38" t="str">
        <f>IFERROR(__xludf.DUMMYFUNCTION("REGEXREPLACE(C33133,""-\d+(.*)|--\d+(.*)"","""")"),"FERIN")</f>
        <v>FERIN</v>
      </c>
      <c r="E33133" s="38" t="s">
        <v>85</v>
      </c>
      <c r="F33133" s="38" t="s">
        <v>86</v>
      </c>
      <c r="G33133" s="49" t="str">
        <f t="shared" si="1"/>
        <v>59169</v>
      </c>
      <c r="H33133" s="49">
        <f t="shared" si="2"/>
        <v>59228</v>
      </c>
    </row>
    <row r="33134">
      <c r="A33134" s="48" t="s">
        <v>7237</v>
      </c>
      <c r="B33134" s="38">
        <v>17154.0</v>
      </c>
      <c r="C33134" s="38" t="s">
        <v>23620</v>
      </c>
      <c r="D33134" s="38" t="str">
        <f>IFERROR(__xludf.DUMMYFUNCTION("REGEXREPLACE(C33134,""-\d+(.*)|--\d+(.*)"","""")"),"LES ESSARDS")</f>
        <v>LES ESSARDS</v>
      </c>
      <c r="E33134" s="38" t="s">
        <v>488</v>
      </c>
      <c r="F33134" s="38" t="s">
        <v>338</v>
      </c>
      <c r="G33134" s="49" t="str">
        <f t="shared" si="1"/>
        <v>17250</v>
      </c>
      <c r="H33134" s="49">
        <f t="shared" si="2"/>
        <v>17154</v>
      </c>
    </row>
    <row r="33135">
      <c r="A33135" s="48" t="s">
        <v>16304</v>
      </c>
      <c r="B33135" s="38">
        <v>87127.0</v>
      </c>
      <c r="C33135" s="38" t="s">
        <v>37376</v>
      </c>
      <c r="D33135" s="38" t="str">
        <f>IFERROR(__xludf.DUMMYFUNCTION("REGEXREPLACE(C33135,""-\d+(.*)|--\d+(.*)"","""")"),"LA ROCHE-L'ABEILLE")</f>
        <v>LA ROCHE-L'ABEILLE</v>
      </c>
      <c r="E33135" s="38" t="s">
        <v>897</v>
      </c>
      <c r="F33135" s="38" t="s">
        <v>98</v>
      </c>
      <c r="G33135" s="49" t="str">
        <f t="shared" si="1"/>
        <v>87800</v>
      </c>
      <c r="H33135" s="49">
        <f t="shared" si="2"/>
        <v>87127</v>
      </c>
    </row>
    <row r="33136">
      <c r="A33136" s="48" t="s">
        <v>3986</v>
      </c>
      <c r="B33136" s="38">
        <v>62113.0</v>
      </c>
      <c r="C33136" s="38" t="s">
        <v>37377</v>
      </c>
      <c r="D33136" s="38" t="str">
        <f>IFERROR(__xludf.DUMMYFUNCTION("REGEXREPLACE(C33136,""-\d+(.*)|--\d+(.*)"","""")"),"BERLES-MONCHEL")</f>
        <v>BERLES-MONCHEL</v>
      </c>
      <c r="E33136" s="38" t="s">
        <v>109</v>
      </c>
      <c r="F33136" s="38" t="s">
        <v>86</v>
      </c>
      <c r="G33136" s="49" t="str">
        <f t="shared" si="1"/>
        <v>62690</v>
      </c>
      <c r="H33136" s="49">
        <f t="shared" si="2"/>
        <v>62113</v>
      </c>
    </row>
    <row r="33137">
      <c r="A33137" s="48" t="s">
        <v>4826</v>
      </c>
      <c r="B33137" s="38">
        <v>57214.0</v>
      </c>
      <c r="C33137" s="38" t="s">
        <v>37378</v>
      </c>
      <c r="D33137" s="38" t="str">
        <f>IFERROR(__xludf.DUMMYFUNCTION("REGEXREPLACE(C33137,""-\d+(.*)|--\d+(.*)"","""")"),"FIXEM")</f>
        <v>FIXEM</v>
      </c>
      <c r="E33137" s="38" t="s">
        <v>303</v>
      </c>
      <c r="F33137" s="38" t="s">
        <v>195</v>
      </c>
      <c r="G33137" s="49" t="str">
        <f t="shared" si="1"/>
        <v>57570</v>
      </c>
      <c r="H33137" s="49">
        <f t="shared" si="2"/>
        <v>57214</v>
      </c>
    </row>
    <row r="33138">
      <c r="A33138" s="48" t="s">
        <v>19492</v>
      </c>
      <c r="B33138" s="38">
        <v>71420.0</v>
      </c>
      <c r="C33138" s="38" t="s">
        <v>37379</v>
      </c>
      <c r="D33138" s="38" t="str">
        <f>IFERROR(__xludf.DUMMYFUNCTION("REGEXREPLACE(C33138,""-\d+(.*)|--\d+(.*)"","""")"),"SAINT-GERMAIN-DU-PLAIN")</f>
        <v>SAINT-GERMAIN-DU-PLAIN</v>
      </c>
      <c r="E33138" s="38" t="s">
        <v>344</v>
      </c>
      <c r="F33138" s="38" t="s">
        <v>106</v>
      </c>
      <c r="G33138" s="49" t="str">
        <f t="shared" si="1"/>
        <v>71370</v>
      </c>
      <c r="H33138" s="49">
        <f t="shared" si="2"/>
        <v>71420</v>
      </c>
    </row>
    <row r="33139">
      <c r="A33139" s="48" t="s">
        <v>37380</v>
      </c>
      <c r="B33139" s="38">
        <v>33539.0</v>
      </c>
      <c r="C33139" s="38" t="s">
        <v>33422</v>
      </c>
      <c r="D33139" s="38" t="str">
        <f>IFERROR(__xludf.DUMMYFUNCTION("REGEXREPLACE(C33139,""-\d+(.*)|--\d+(.*)"","""")"),"VAYRES")</f>
        <v>VAYRES</v>
      </c>
      <c r="E33139" s="38" t="s">
        <v>462</v>
      </c>
      <c r="F33139" s="38" t="s">
        <v>252</v>
      </c>
      <c r="G33139" s="49" t="str">
        <f t="shared" si="1"/>
        <v>33870</v>
      </c>
      <c r="H33139" s="49">
        <f t="shared" si="2"/>
        <v>33539</v>
      </c>
    </row>
    <row r="33140">
      <c r="A33140" s="48" t="s">
        <v>9067</v>
      </c>
      <c r="B33140" s="38">
        <v>73013.0</v>
      </c>
      <c r="C33140" s="38" t="s">
        <v>37381</v>
      </c>
      <c r="D33140" s="38" t="str">
        <f>IFERROR(__xludf.DUMMYFUNCTION("REGEXREPLACE(C33140,""-\d+(.*)|--\d+(.*)"","""")"),"ALBIEZ-MONTROND")</f>
        <v>ALBIEZ-MONTROND</v>
      </c>
      <c r="E33140" s="38" t="s">
        <v>306</v>
      </c>
      <c r="F33140" s="38" t="s">
        <v>102</v>
      </c>
      <c r="G33140" s="49" t="str">
        <f t="shared" si="1"/>
        <v>73300</v>
      </c>
      <c r="H33140" s="49">
        <f t="shared" si="2"/>
        <v>73013</v>
      </c>
    </row>
    <row r="33141">
      <c r="A33141" s="48" t="s">
        <v>6038</v>
      </c>
      <c r="B33141" s="38">
        <v>88330.0</v>
      </c>
      <c r="C33141" s="38" t="s">
        <v>35464</v>
      </c>
      <c r="D33141" s="38" t="str">
        <f>IFERROR(__xludf.DUMMYFUNCTION("REGEXREPLACE(C33141,""-\d+(.*)|--\d+(.*)"","""")"),"NONVILLE")</f>
        <v>NONVILLE</v>
      </c>
      <c r="E33141" s="38" t="s">
        <v>194</v>
      </c>
      <c r="F33141" s="38" t="s">
        <v>195</v>
      </c>
      <c r="G33141" s="49" t="str">
        <f t="shared" si="1"/>
        <v>88260</v>
      </c>
      <c r="H33141" s="49">
        <f t="shared" si="2"/>
        <v>88330</v>
      </c>
    </row>
    <row r="33142">
      <c r="A33142" s="48" t="s">
        <v>16724</v>
      </c>
      <c r="B33142" s="38">
        <v>10037.0</v>
      </c>
      <c r="C33142" s="38" t="s">
        <v>37382</v>
      </c>
      <c r="D33142" s="38" t="str">
        <f>IFERROR(__xludf.DUMMYFUNCTION("REGEXREPLACE(C33142,""-\d+(.*)|--\d+(.*)"","""")"),"BERCENAY-EN-OTHE")</f>
        <v>BERCENAY-EN-OTHE</v>
      </c>
      <c r="E33142" s="38" t="s">
        <v>147</v>
      </c>
      <c r="F33142" s="38" t="s">
        <v>130</v>
      </c>
      <c r="G33142" s="49" t="str">
        <f t="shared" si="1"/>
        <v>10190</v>
      </c>
      <c r="H33142" s="49">
        <f t="shared" si="2"/>
        <v>10037</v>
      </c>
    </row>
    <row r="33143">
      <c r="A33143" s="48" t="s">
        <v>3621</v>
      </c>
      <c r="B33143" s="38">
        <v>52134.0</v>
      </c>
      <c r="C33143" s="38" t="s">
        <v>37383</v>
      </c>
      <c r="D33143" s="38" t="str">
        <f>IFERROR(__xludf.DUMMYFUNCTION("REGEXREPLACE(C33143,""-\d+(.*)|--\d+(.*)"","""")"),"COHONS")</f>
        <v>COHONS</v>
      </c>
      <c r="E33143" s="38" t="s">
        <v>234</v>
      </c>
      <c r="F33143" s="38" t="s">
        <v>130</v>
      </c>
      <c r="G33143" s="49" t="str">
        <f t="shared" si="1"/>
        <v>52600</v>
      </c>
      <c r="H33143" s="49">
        <f t="shared" si="2"/>
        <v>52134</v>
      </c>
    </row>
    <row r="33144">
      <c r="A33144" s="48" t="s">
        <v>3706</v>
      </c>
      <c r="B33144" s="38">
        <v>77523.0</v>
      </c>
      <c r="C33144" s="38" t="s">
        <v>37384</v>
      </c>
      <c r="D33144" s="38" t="str">
        <f>IFERROR(__xludf.DUMMYFUNCTION("REGEXREPLACE(C33144,""-\d+(.*)|--\d+(.*)"","""")"),"VILLUIS")</f>
        <v>VILLUIS</v>
      </c>
      <c r="E33144" s="38" t="s">
        <v>244</v>
      </c>
      <c r="F33144" s="38" t="s">
        <v>245</v>
      </c>
      <c r="G33144" s="49" t="str">
        <f t="shared" si="1"/>
        <v>77480</v>
      </c>
      <c r="H33144" s="49">
        <f t="shared" si="2"/>
        <v>77523</v>
      </c>
    </row>
    <row r="33145">
      <c r="A33145" s="48" t="s">
        <v>6849</v>
      </c>
      <c r="B33145" s="38">
        <v>28269.0</v>
      </c>
      <c r="C33145" s="38" t="s">
        <v>37385</v>
      </c>
      <c r="D33145" s="38" t="str">
        <f>IFERROR(__xludf.DUMMYFUNCTION("REGEXREPLACE(C33145,""-\d+(.*)|--\d+(.*)"","""")"),"MORANCEZ")</f>
        <v>MORANCEZ</v>
      </c>
      <c r="E33145" s="38" t="s">
        <v>300</v>
      </c>
      <c r="F33145" s="38" t="s">
        <v>123</v>
      </c>
      <c r="G33145" s="49" t="str">
        <f t="shared" si="1"/>
        <v>28630</v>
      </c>
      <c r="H33145" s="49">
        <f t="shared" si="2"/>
        <v>28269</v>
      </c>
    </row>
    <row r="33146">
      <c r="A33146" s="48" t="s">
        <v>6800</v>
      </c>
      <c r="B33146" s="38">
        <v>77409.0</v>
      </c>
      <c r="C33146" s="38" t="s">
        <v>35646</v>
      </c>
      <c r="D33146" s="38" t="str">
        <f>IFERROR(__xludf.DUMMYFUNCTION("REGEXREPLACE(C33146,""-\d+(.*)|--\d+(.*)"","""")"),"SAINT-GERMAIN-LAVAL")</f>
        <v>SAINT-GERMAIN-LAVAL</v>
      </c>
      <c r="E33146" s="38" t="s">
        <v>244</v>
      </c>
      <c r="F33146" s="38" t="s">
        <v>245</v>
      </c>
      <c r="G33146" s="49" t="str">
        <f t="shared" si="1"/>
        <v>77130</v>
      </c>
      <c r="H33146" s="49">
        <f t="shared" si="2"/>
        <v>77409</v>
      </c>
    </row>
    <row r="33147">
      <c r="A33147" s="48" t="s">
        <v>9234</v>
      </c>
      <c r="B33147" s="38">
        <v>16038.0</v>
      </c>
      <c r="C33147" s="38" t="s">
        <v>37386</v>
      </c>
      <c r="D33147" s="38" t="str">
        <f>IFERROR(__xludf.DUMMYFUNCTION("REGEXREPLACE(C33147,""-\d+(.*)|--\d+(.*)"","""")"),"BENEST")</f>
        <v>BENEST</v>
      </c>
      <c r="E33147" s="38" t="s">
        <v>429</v>
      </c>
      <c r="F33147" s="38" t="s">
        <v>338</v>
      </c>
      <c r="G33147" s="49" t="str">
        <f t="shared" si="1"/>
        <v>16350</v>
      </c>
      <c r="H33147" s="49">
        <f t="shared" si="2"/>
        <v>16038</v>
      </c>
    </row>
    <row r="33148">
      <c r="A33148" s="48" t="s">
        <v>1212</v>
      </c>
      <c r="B33148" s="38">
        <v>11098.0</v>
      </c>
      <c r="C33148" s="38" t="s">
        <v>37387</v>
      </c>
      <c r="D33148" s="38" t="str">
        <f>IFERROR(__xludf.DUMMYFUNCTION("REGEXREPLACE(C33148,""-\d+(.*)|--\d+(.*)"","""")"),"CONILHAC-CORBIERES")</f>
        <v>CONILHAC-CORBIERES</v>
      </c>
      <c r="E33148" s="38" t="s">
        <v>278</v>
      </c>
      <c r="F33148" s="38" t="s">
        <v>119</v>
      </c>
      <c r="G33148" s="49" t="str">
        <f t="shared" si="1"/>
        <v>11200</v>
      </c>
      <c r="H33148" s="49">
        <f t="shared" si="2"/>
        <v>11098</v>
      </c>
    </row>
    <row r="33149">
      <c r="A33149" s="48" t="s">
        <v>938</v>
      </c>
      <c r="B33149" s="38">
        <v>9253.0</v>
      </c>
      <c r="C33149" s="38" t="s">
        <v>37388</v>
      </c>
      <c r="D33149" s="38" t="str">
        <f>IFERROR(__xludf.DUMMYFUNCTION("REGEXREPLACE(C33149,""-\d+(.*)|--\d+(.*)"","""")"),"SABARAT")</f>
        <v>SABARAT</v>
      </c>
      <c r="E33149" s="38" t="s">
        <v>238</v>
      </c>
      <c r="F33149" s="38" t="s">
        <v>94</v>
      </c>
      <c r="G33149" s="49" t="str">
        <f t="shared" si="1"/>
        <v>09350</v>
      </c>
      <c r="H33149" s="49" t="str">
        <f t="shared" si="2"/>
        <v>09253</v>
      </c>
    </row>
    <row r="33150">
      <c r="A33150" s="48" t="s">
        <v>3161</v>
      </c>
      <c r="B33150" s="38">
        <v>70502.0</v>
      </c>
      <c r="C33150" s="38" t="s">
        <v>37389</v>
      </c>
      <c r="D33150" s="38" t="str">
        <f>IFERROR(__xludf.DUMMYFUNCTION("REGEXREPLACE(C33150,""-\d+(.*)|--\d+(.*)"","""")"),"TINCEY-ET-PONTREBEAU")</f>
        <v>TINCEY-ET-PONTREBEAU</v>
      </c>
      <c r="E33150" s="38" t="s">
        <v>956</v>
      </c>
      <c r="F33150" s="38" t="s">
        <v>214</v>
      </c>
      <c r="G33150" s="49" t="str">
        <f t="shared" si="1"/>
        <v>70120</v>
      </c>
      <c r="H33150" s="49">
        <f t="shared" si="2"/>
        <v>70502</v>
      </c>
    </row>
    <row r="33151">
      <c r="A33151" s="48" t="s">
        <v>702</v>
      </c>
      <c r="B33151" s="38">
        <v>31296.0</v>
      </c>
      <c r="C33151" s="38" t="s">
        <v>37390</v>
      </c>
      <c r="D33151" s="38" t="str">
        <f>IFERROR(__xludf.DUMMYFUNCTION("REGEXREPLACE(C33151,""-\d+(.*)|--\d+(.*)"","""")"),"LESTELLE-DE-SAINT-MARTORY")</f>
        <v>LESTELLE-DE-SAINT-MARTORY</v>
      </c>
      <c r="E33151" s="38" t="s">
        <v>93</v>
      </c>
      <c r="F33151" s="38" t="s">
        <v>94</v>
      </c>
      <c r="G33151" s="49" t="str">
        <f t="shared" si="1"/>
        <v>31360</v>
      </c>
      <c r="H33151" s="49">
        <f t="shared" si="2"/>
        <v>31296</v>
      </c>
    </row>
    <row r="33152">
      <c r="A33152" s="48" t="s">
        <v>1864</v>
      </c>
      <c r="B33152" s="38">
        <v>70561.0</v>
      </c>
      <c r="C33152" s="38" t="s">
        <v>37391</v>
      </c>
      <c r="D33152" s="38" t="str">
        <f>IFERROR(__xludf.DUMMYFUNCTION("REGEXREPLACE(C33152,""-\d+(.*)|--\d+(.*)"","""")"),"VILLERSEXEL")</f>
        <v>VILLERSEXEL</v>
      </c>
      <c r="E33152" s="38" t="s">
        <v>956</v>
      </c>
      <c r="F33152" s="38" t="s">
        <v>214</v>
      </c>
      <c r="G33152" s="49" t="str">
        <f t="shared" si="1"/>
        <v>70110</v>
      </c>
      <c r="H33152" s="49">
        <f t="shared" si="2"/>
        <v>70561</v>
      </c>
    </row>
    <row r="33153">
      <c r="A33153" s="48" t="s">
        <v>20392</v>
      </c>
      <c r="B33153" s="38">
        <v>44096.0</v>
      </c>
      <c r="C33153" s="38" t="s">
        <v>37392</v>
      </c>
      <c r="D33153" s="38" t="str">
        <f>IFERROR(__xludf.DUMMYFUNCTION("REGEXREPLACE(C33153,""-\d+(.*)|--\d+(.*)"","""")"),"MESANGER")</f>
        <v>MESANGER</v>
      </c>
      <c r="E33153" s="38" t="s">
        <v>759</v>
      </c>
      <c r="F33153" s="38" t="s">
        <v>180</v>
      </c>
      <c r="G33153" s="49" t="str">
        <f t="shared" si="1"/>
        <v>44522</v>
      </c>
      <c r="H33153" s="49">
        <f t="shared" si="2"/>
        <v>44096</v>
      </c>
    </row>
    <row r="33154">
      <c r="A33154" s="48" t="s">
        <v>18689</v>
      </c>
      <c r="B33154" s="38">
        <v>38266.0</v>
      </c>
      <c r="C33154" s="38" t="s">
        <v>37393</v>
      </c>
      <c r="D33154" s="38" t="str">
        <f>IFERROR(__xludf.DUMMYFUNCTION("REGEXREPLACE(C33154,""-\d+(.*)|--\d+(.*)"","""")"),"LA MOTTE-SAINT-MARTIN")</f>
        <v>LA MOTTE-SAINT-MARTIN</v>
      </c>
      <c r="E33154" s="38" t="s">
        <v>101</v>
      </c>
      <c r="F33154" s="38" t="s">
        <v>102</v>
      </c>
      <c r="G33154" s="49" t="str">
        <f t="shared" si="1"/>
        <v>38770</v>
      </c>
      <c r="H33154" s="49">
        <f t="shared" si="2"/>
        <v>38266</v>
      </c>
    </row>
    <row r="33155">
      <c r="A33155" s="48" t="s">
        <v>6825</v>
      </c>
      <c r="B33155" s="38">
        <v>14156.0</v>
      </c>
      <c r="C33155" s="38" t="s">
        <v>37394</v>
      </c>
      <c r="D33155" s="38" t="str">
        <f>IFERROR(__xludf.DUMMYFUNCTION("REGEXREPLACE(C33155,""-\d+(.*)|--\d+(.*)"","""")"),"CHENEDOLLE")</f>
        <v>CHENEDOLLE</v>
      </c>
      <c r="E33155" s="38" t="s">
        <v>137</v>
      </c>
      <c r="F33155" s="38" t="s">
        <v>138</v>
      </c>
      <c r="G33155" s="49" t="str">
        <f t="shared" si="1"/>
        <v>14410</v>
      </c>
      <c r="H33155" s="49">
        <f t="shared" si="2"/>
        <v>14156</v>
      </c>
    </row>
    <row r="33156">
      <c r="A33156" s="48" t="s">
        <v>660</v>
      </c>
      <c r="B33156" s="38">
        <v>4148.0</v>
      </c>
      <c r="C33156" s="38" t="s">
        <v>37395</v>
      </c>
      <c r="D33156" s="38" t="str">
        <f>IFERROR(__xludf.DUMMYFUNCTION("REGEXREPLACE(C33156,""-\d+(.*)|--\d+(.*)"","""")"),"PEYROULES")</f>
        <v>PEYROULES</v>
      </c>
      <c r="E33156" s="38" t="s">
        <v>662</v>
      </c>
      <c r="F33156" s="38" t="s">
        <v>228</v>
      </c>
      <c r="G33156" s="49" t="str">
        <f t="shared" si="1"/>
        <v>04120</v>
      </c>
      <c r="H33156" s="49" t="str">
        <f t="shared" si="2"/>
        <v>04148</v>
      </c>
    </row>
    <row r="33157">
      <c r="A33157" s="48" t="s">
        <v>13263</v>
      </c>
      <c r="B33157" s="38">
        <v>50289.0</v>
      </c>
      <c r="C33157" s="38" t="s">
        <v>37396</v>
      </c>
      <c r="D33157" s="38" t="str">
        <f>IFERROR(__xludf.DUMMYFUNCTION("REGEXREPLACE(C33157,""-\d+(.*)|--\d+(.*)"","""")"),"MARCHESIEUX")</f>
        <v>MARCHESIEUX</v>
      </c>
      <c r="E33157" s="38" t="s">
        <v>157</v>
      </c>
      <c r="F33157" s="38" t="s">
        <v>138</v>
      </c>
      <c r="G33157" s="49" t="str">
        <f t="shared" si="1"/>
        <v>50190</v>
      </c>
      <c r="H33157" s="49">
        <f t="shared" si="2"/>
        <v>50289</v>
      </c>
    </row>
    <row r="33158">
      <c r="A33158" s="48" t="s">
        <v>2141</v>
      </c>
      <c r="B33158" s="38">
        <v>80528.0</v>
      </c>
      <c r="C33158" s="38" t="s">
        <v>37397</v>
      </c>
      <c r="D33158" s="38" t="str">
        <f>IFERROR(__xludf.DUMMYFUNCTION("REGEXREPLACE(C33158,""-\d+(.*)|--\d+(.*)"","""")"),"MEREAUCOURT")</f>
        <v>MEREAUCOURT</v>
      </c>
      <c r="E33158" s="38" t="s">
        <v>224</v>
      </c>
      <c r="F33158" s="38" t="s">
        <v>113</v>
      </c>
      <c r="G33158" s="49" t="str">
        <f t="shared" si="1"/>
        <v>80290</v>
      </c>
      <c r="H33158" s="49">
        <f t="shared" si="2"/>
        <v>80528</v>
      </c>
    </row>
    <row r="33159">
      <c r="A33159" s="48" t="s">
        <v>6256</v>
      </c>
      <c r="B33159" s="38">
        <v>55297.0</v>
      </c>
      <c r="C33159" s="38" t="s">
        <v>37398</v>
      </c>
      <c r="D33159" s="38" t="str">
        <f>IFERROR(__xludf.DUMMYFUNCTION("REGEXREPLACE(C33159,""-\d+(.*)|--\d+(.*)"","""")"),"LISSEY")</f>
        <v>LISSEY</v>
      </c>
      <c r="E33159" s="38" t="s">
        <v>322</v>
      </c>
      <c r="F33159" s="38" t="s">
        <v>195</v>
      </c>
      <c r="G33159" s="49" t="str">
        <f t="shared" si="1"/>
        <v>55150</v>
      </c>
      <c r="H33159" s="49">
        <f t="shared" si="2"/>
        <v>55297</v>
      </c>
    </row>
    <row r="33160">
      <c r="A33160" s="48" t="s">
        <v>8634</v>
      </c>
      <c r="B33160" s="38">
        <v>1258.0</v>
      </c>
      <c r="C33160" s="38" t="s">
        <v>37399</v>
      </c>
      <c r="D33160" s="38" t="str">
        <f>IFERROR(__xludf.DUMMYFUNCTION("REGEXREPLACE(C33160,""-\d+(.*)|--\d+(.*)"","""")"),"MONTCEAUX")</f>
        <v>MONTCEAUX</v>
      </c>
      <c r="E33160" s="38" t="s">
        <v>255</v>
      </c>
      <c r="F33160" s="38" t="s">
        <v>102</v>
      </c>
      <c r="G33160" s="49" t="str">
        <f t="shared" si="1"/>
        <v>01090</v>
      </c>
      <c r="H33160" s="49" t="str">
        <f t="shared" si="2"/>
        <v>01258</v>
      </c>
    </row>
    <row r="33161">
      <c r="A33161" s="48" t="s">
        <v>4969</v>
      </c>
      <c r="B33161" s="38">
        <v>14432.0</v>
      </c>
      <c r="C33161" s="38" t="s">
        <v>37400</v>
      </c>
      <c r="D33161" s="38" t="str">
        <f>IFERROR(__xludf.DUMMYFUNCTION("REGEXREPLACE(C33161,""-\d+(.*)|--\d+(.*)"","""")"),"MISSY")</f>
        <v>MISSY</v>
      </c>
      <c r="E33161" s="38" t="s">
        <v>137</v>
      </c>
      <c r="F33161" s="38" t="s">
        <v>138</v>
      </c>
      <c r="G33161" s="49" t="str">
        <f t="shared" si="1"/>
        <v>14210</v>
      </c>
      <c r="H33161" s="49">
        <f t="shared" si="2"/>
        <v>14432</v>
      </c>
    </row>
    <row r="33162">
      <c r="A33162" s="48" t="s">
        <v>315</v>
      </c>
      <c r="B33162" s="38">
        <v>27412.0</v>
      </c>
      <c r="C33162" s="38" t="s">
        <v>37401</v>
      </c>
      <c r="D33162" s="38" t="str">
        <f>IFERROR(__xludf.DUMMYFUNCTION("REGEXREPLACE(C33162,""-\d+(.*)|--\d+(.*)"","""")"),"MONTAURE")</f>
        <v>MONTAURE</v>
      </c>
      <c r="E33162" s="38" t="s">
        <v>241</v>
      </c>
      <c r="F33162" s="38" t="s">
        <v>134</v>
      </c>
      <c r="G33162" s="49" t="str">
        <f t="shared" si="1"/>
        <v>27400</v>
      </c>
      <c r="H33162" s="49">
        <f t="shared" si="2"/>
        <v>27412</v>
      </c>
    </row>
    <row r="33163">
      <c r="A33163" s="48" t="s">
        <v>1368</v>
      </c>
      <c r="B33163" s="38">
        <v>8007.0</v>
      </c>
      <c r="C33163" s="38" t="s">
        <v>37402</v>
      </c>
      <c r="D33163" s="38" t="str">
        <f>IFERROR(__xludf.DUMMYFUNCTION("REGEXREPLACE(C33163,""-\d+(.*)|--\d+(.*)"","""")"),"LES ALLEUX")</f>
        <v>LES ALLEUX</v>
      </c>
      <c r="E33163" s="38" t="s">
        <v>327</v>
      </c>
      <c r="F33163" s="38" t="s">
        <v>130</v>
      </c>
      <c r="G33163" s="49" t="str">
        <f t="shared" si="1"/>
        <v>08400</v>
      </c>
      <c r="H33163" s="49" t="str">
        <f t="shared" si="2"/>
        <v>08007</v>
      </c>
    </row>
    <row r="33164">
      <c r="A33164" s="48" t="s">
        <v>8107</v>
      </c>
      <c r="B33164" s="38">
        <v>86296.0</v>
      </c>
      <c r="C33164" s="38" t="s">
        <v>37403</v>
      </c>
      <c r="D33164" s="38" t="str">
        <f>IFERROR(__xludf.DUMMYFUNCTION("REGEXREPLACE(C33164,""-\d+(.*)|--\d+(.*)"","""")"),"VOULON")</f>
        <v>VOULON</v>
      </c>
      <c r="E33164" s="38" t="s">
        <v>529</v>
      </c>
      <c r="F33164" s="38" t="s">
        <v>338</v>
      </c>
      <c r="G33164" s="49" t="str">
        <f t="shared" si="1"/>
        <v>86700</v>
      </c>
      <c r="H33164" s="49">
        <f t="shared" si="2"/>
        <v>86296</v>
      </c>
    </row>
    <row r="33165">
      <c r="A33165" s="48" t="s">
        <v>5806</v>
      </c>
      <c r="B33165" s="38">
        <v>39425.0</v>
      </c>
      <c r="C33165" s="38" t="s">
        <v>37404</v>
      </c>
      <c r="D33165" s="38" t="str">
        <f>IFERROR(__xludf.DUMMYFUNCTION("REGEXREPLACE(C33165,""-\d+(.*)|--\d+(.*)"","""")"),"LES PLANCHES-PRES-ARBOIS")</f>
        <v>LES PLANCHES-PRES-ARBOIS</v>
      </c>
      <c r="E33165" s="38" t="s">
        <v>400</v>
      </c>
      <c r="F33165" s="38" t="s">
        <v>214</v>
      </c>
      <c r="G33165" s="49" t="str">
        <f t="shared" si="1"/>
        <v>39600</v>
      </c>
      <c r="H33165" s="49">
        <f t="shared" si="2"/>
        <v>39425</v>
      </c>
    </row>
    <row r="33166">
      <c r="A33166" s="48" t="s">
        <v>9944</v>
      </c>
      <c r="B33166" s="38">
        <v>71379.0</v>
      </c>
      <c r="C33166" s="38" t="s">
        <v>2555</v>
      </c>
      <c r="D33166" s="38" t="str">
        <f>IFERROR(__xludf.DUMMYFUNCTION("REGEXREPLACE(C33166,""-\d+(.*)|--\d+(.*)"","""")"),"SAGY")</f>
        <v>SAGY</v>
      </c>
      <c r="E33166" s="38" t="s">
        <v>344</v>
      </c>
      <c r="F33166" s="38" t="s">
        <v>106</v>
      </c>
      <c r="G33166" s="49" t="str">
        <f t="shared" si="1"/>
        <v>71580</v>
      </c>
      <c r="H33166" s="49">
        <f t="shared" si="2"/>
        <v>71379</v>
      </c>
    </row>
    <row r="33167">
      <c r="A33167" s="48" t="s">
        <v>4838</v>
      </c>
      <c r="B33167" s="38">
        <v>17167.0</v>
      </c>
      <c r="C33167" s="38" t="s">
        <v>37405</v>
      </c>
      <c r="D33167" s="38" t="str">
        <f>IFERROR(__xludf.DUMMYFUNCTION("REGEXREPLACE(C33167,""-\d+(.*)|--\d+(.*)"","""")"),"LE FOUILLOUX")</f>
        <v>LE FOUILLOUX</v>
      </c>
      <c r="E33167" s="38" t="s">
        <v>488</v>
      </c>
      <c r="F33167" s="38" t="s">
        <v>338</v>
      </c>
      <c r="G33167" s="49" t="str">
        <f t="shared" si="1"/>
        <v>17270</v>
      </c>
      <c r="H33167" s="49">
        <f t="shared" si="2"/>
        <v>17167</v>
      </c>
    </row>
    <row r="33168">
      <c r="A33168" s="48" t="s">
        <v>1274</v>
      </c>
      <c r="B33168" s="38">
        <v>33158.0</v>
      </c>
      <c r="C33168" s="38" t="s">
        <v>37406</v>
      </c>
      <c r="D33168" s="38" t="str">
        <f>IFERROR(__xludf.DUMMYFUNCTION("REGEXREPLACE(C33168,""-\d+(.*)|--\d+(.*)"","""")"),"LES ESSEINTES")</f>
        <v>LES ESSEINTES</v>
      </c>
      <c r="E33168" s="38" t="s">
        <v>462</v>
      </c>
      <c r="F33168" s="38" t="s">
        <v>252</v>
      </c>
      <c r="G33168" s="49" t="str">
        <f t="shared" si="1"/>
        <v>33190</v>
      </c>
      <c r="H33168" s="49">
        <f t="shared" si="2"/>
        <v>33158</v>
      </c>
    </row>
    <row r="33169">
      <c r="A33169" s="48" t="s">
        <v>13265</v>
      </c>
      <c r="B33169" s="38">
        <v>77095.0</v>
      </c>
      <c r="C33169" s="38" t="s">
        <v>20018</v>
      </c>
      <c r="D33169" s="38" t="str">
        <f>IFERROR(__xludf.DUMMYFUNCTION("REGEXREPLACE(C33169,""-\d+(.*)|--\d+(.*)"","""")"),"CHARNY")</f>
        <v>CHARNY</v>
      </c>
      <c r="E33169" s="38" t="s">
        <v>244</v>
      </c>
      <c r="F33169" s="38" t="s">
        <v>245</v>
      </c>
      <c r="G33169" s="49" t="str">
        <f t="shared" si="1"/>
        <v>77410</v>
      </c>
      <c r="H33169" s="49">
        <f t="shared" si="2"/>
        <v>77095</v>
      </c>
    </row>
    <row r="33170">
      <c r="A33170" s="48" t="s">
        <v>5030</v>
      </c>
      <c r="B33170" s="38">
        <v>65320.0</v>
      </c>
      <c r="C33170" s="38" t="s">
        <v>5854</v>
      </c>
      <c r="D33170" s="38" t="str">
        <f>IFERROR(__xludf.DUMMYFUNCTION("REGEXREPLACE(C33170,""-\d+(.*)|--\d+(.*)"","""")"),"MONTGAILLARD")</f>
        <v>MONTGAILLARD</v>
      </c>
      <c r="E33170" s="38" t="s">
        <v>200</v>
      </c>
      <c r="F33170" s="38" t="s">
        <v>94</v>
      </c>
      <c r="G33170" s="49" t="str">
        <f t="shared" si="1"/>
        <v>65200</v>
      </c>
      <c r="H33170" s="49">
        <f t="shared" si="2"/>
        <v>65320</v>
      </c>
    </row>
    <row r="33171">
      <c r="A33171" s="48" t="s">
        <v>1172</v>
      </c>
      <c r="B33171" s="38">
        <v>76522.0</v>
      </c>
      <c r="C33171" s="38" t="s">
        <v>37407</v>
      </c>
      <c r="D33171" s="38" t="str">
        <f>IFERROR(__xludf.DUMMYFUNCTION("REGEXREPLACE(C33171,""-\d+(.*)|--\d+(.*)"","""")"),"LA REMUEE")</f>
        <v>LA REMUEE</v>
      </c>
      <c r="E33171" s="38" t="s">
        <v>133</v>
      </c>
      <c r="F33171" s="38" t="s">
        <v>134</v>
      </c>
      <c r="G33171" s="49" t="str">
        <f t="shared" si="1"/>
        <v>76430</v>
      </c>
      <c r="H33171" s="49">
        <f t="shared" si="2"/>
        <v>76522</v>
      </c>
    </row>
    <row r="33172">
      <c r="A33172" s="48" t="s">
        <v>16852</v>
      </c>
      <c r="B33172" s="38">
        <v>29091.0</v>
      </c>
      <c r="C33172" s="38" t="s">
        <v>37408</v>
      </c>
      <c r="D33172" s="38" t="str">
        <f>IFERROR(__xludf.DUMMYFUNCTION("REGEXREPLACE(C33172,""-\d+(.*)|--\d+(.*)"","""")"),"KERLOUAN")</f>
        <v>KERLOUAN</v>
      </c>
      <c r="E33172" s="38" t="s">
        <v>176</v>
      </c>
      <c r="F33172" s="38" t="s">
        <v>90</v>
      </c>
      <c r="G33172" s="49" t="str">
        <f t="shared" si="1"/>
        <v>29890</v>
      </c>
      <c r="H33172" s="49">
        <f t="shared" si="2"/>
        <v>29091</v>
      </c>
    </row>
    <row r="33173">
      <c r="A33173" s="48" t="s">
        <v>2063</v>
      </c>
      <c r="B33173" s="38">
        <v>43259.0</v>
      </c>
      <c r="C33173" s="38" t="s">
        <v>37409</v>
      </c>
      <c r="D33173" s="38" t="str">
        <f>IFERROR(__xludf.DUMMYFUNCTION("REGEXREPLACE(C33173,""-\d+(.*)|--\d+(.*)"","""")"),"VERNASSAL")</f>
        <v>VERNASSAL</v>
      </c>
      <c r="E33173" s="38" t="s">
        <v>332</v>
      </c>
      <c r="F33173" s="38" t="s">
        <v>161</v>
      </c>
      <c r="G33173" s="49" t="str">
        <f t="shared" si="1"/>
        <v>43270</v>
      </c>
      <c r="H33173" s="49">
        <f t="shared" si="2"/>
        <v>43259</v>
      </c>
    </row>
    <row r="33174">
      <c r="A33174" s="48" t="s">
        <v>5933</v>
      </c>
      <c r="B33174" s="38">
        <v>64330.0</v>
      </c>
      <c r="C33174" s="38" t="s">
        <v>37410</v>
      </c>
      <c r="D33174" s="38" t="str">
        <f>IFERROR(__xludf.DUMMYFUNCTION("REGEXREPLACE(C33174,""-\d+(.*)|--\d+(.*)"","""")"),"LEES-ATHAS")</f>
        <v>LEES-ATHAS</v>
      </c>
      <c r="E33174" s="38" t="s">
        <v>268</v>
      </c>
      <c r="F33174" s="38" t="s">
        <v>252</v>
      </c>
      <c r="G33174" s="49" t="str">
        <f t="shared" si="1"/>
        <v>64490</v>
      </c>
      <c r="H33174" s="49">
        <f t="shared" si="2"/>
        <v>64330</v>
      </c>
    </row>
    <row r="33175">
      <c r="A33175" s="48" t="s">
        <v>8589</v>
      </c>
      <c r="B33175" s="38">
        <v>27243.0</v>
      </c>
      <c r="C33175" s="38" t="s">
        <v>37411</v>
      </c>
      <c r="D33175" s="38" t="str">
        <f>IFERROR(__xludf.DUMMYFUNCTION("REGEXREPLACE(C33175,""-\d+(.*)|--\d+(.*)"","""")"),"FIQUEFLEUR-EQUAINVILLE")</f>
        <v>FIQUEFLEUR-EQUAINVILLE</v>
      </c>
      <c r="E33175" s="38" t="s">
        <v>241</v>
      </c>
      <c r="F33175" s="38" t="s">
        <v>134</v>
      </c>
      <c r="G33175" s="49" t="str">
        <f t="shared" si="1"/>
        <v>27210</v>
      </c>
      <c r="H33175" s="49">
        <f t="shared" si="2"/>
        <v>27243</v>
      </c>
    </row>
    <row r="33176">
      <c r="A33176" s="48" t="s">
        <v>7858</v>
      </c>
      <c r="B33176" s="38">
        <v>47056.0</v>
      </c>
      <c r="C33176" s="38" t="s">
        <v>37412</v>
      </c>
      <c r="D33176" s="38" t="str">
        <f>IFERROR(__xludf.DUMMYFUNCTION("REGEXREPLACE(C33176,""-\d+(.*)|--\d+(.*)"","""")"),"CASTELNAU-SUR-GUPIE")</f>
        <v>CASTELNAU-SUR-GUPIE</v>
      </c>
      <c r="E33176" s="38" t="s">
        <v>251</v>
      </c>
      <c r="F33176" s="38" t="s">
        <v>252</v>
      </c>
      <c r="G33176" s="49" t="str">
        <f t="shared" si="1"/>
        <v>47180</v>
      </c>
      <c r="H33176" s="49">
        <f t="shared" si="2"/>
        <v>47056</v>
      </c>
    </row>
    <row r="33177">
      <c r="A33177" s="48" t="s">
        <v>266</v>
      </c>
      <c r="B33177" s="38">
        <v>64356.0</v>
      </c>
      <c r="C33177" s="38" t="s">
        <v>37413</v>
      </c>
      <c r="D33177" s="38" t="str">
        <f>IFERROR(__xludf.DUMMYFUNCTION("REGEXREPLACE(C33177,""-\d+(.*)|--\d+(.*)"","""")"),"LUC-ARMAU")</f>
        <v>LUC-ARMAU</v>
      </c>
      <c r="E33177" s="38" t="s">
        <v>268</v>
      </c>
      <c r="F33177" s="38" t="s">
        <v>252</v>
      </c>
      <c r="G33177" s="49" t="str">
        <f t="shared" si="1"/>
        <v>64350</v>
      </c>
      <c r="H33177" s="49">
        <f t="shared" si="2"/>
        <v>64356</v>
      </c>
    </row>
    <row r="33178">
      <c r="A33178" s="48" t="s">
        <v>7843</v>
      </c>
      <c r="B33178" s="38">
        <v>49326.0</v>
      </c>
      <c r="C33178" s="38" t="s">
        <v>37414</v>
      </c>
      <c r="D33178" s="38" t="str">
        <f>IFERROR(__xludf.DUMMYFUNCTION("REGEXREPLACE(C33178,""-\d+(.*)|--\d+(.*)"","""")"),"SARRIGNE")</f>
        <v>SARRIGNE</v>
      </c>
      <c r="E33178" s="38" t="s">
        <v>653</v>
      </c>
      <c r="F33178" s="38" t="s">
        <v>180</v>
      </c>
      <c r="G33178" s="49" t="str">
        <f t="shared" si="1"/>
        <v>49800</v>
      </c>
      <c r="H33178" s="49">
        <f t="shared" si="2"/>
        <v>49326</v>
      </c>
    </row>
    <row r="33179">
      <c r="A33179" s="48" t="s">
        <v>2413</v>
      </c>
      <c r="B33179" s="38">
        <v>72283.0</v>
      </c>
      <c r="C33179" s="38" t="s">
        <v>37415</v>
      </c>
      <c r="D33179" s="38" t="str">
        <f>IFERROR(__xludf.DUMMYFUNCTION("REGEXREPLACE(C33179,""-\d+(.*)|--\d+(.*)"","""")"),"SAINT-GERMAIN-D'ARCE")</f>
        <v>SAINT-GERMAIN-D'ARCE</v>
      </c>
      <c r="E33179" s="38" t="s">
        <v>521</v>
      </c>
      <c r="F33179" s="38" t="s">
        <v>180</v>
      </c>
      <c r="G33179" s="49" t="str">
        <f t="shared" si="1"/>
        <v>72800</v>
      </c>
      <c r="H33179" s="49">
        <f t="shared" si="2"/>
        <v>72283</v>
      </c>
    </row>
    <row r="33180">
      <c r="A33180" s="48" t="s">
        <v>9585</v>
      </c>
      <c r="B33180" s="38">
        <v>25439.0</v>
      </c>
      <c r="C33180" s="38" t="s">
        <v>37416</v>
      </c>
      <c r="D33180" s="38" t="str">
        <f>IFERROR(__xludf.DUMMYFUNCTION("REGEXREPLACE(C33180,""-\d+(.*)|--\d+(.*)"","""")"),"OUGNEY-DOUVOT")</f>
        <v>OUGNEY-DOUVOT</v>
      </c>
      <c r="E33180" s="38" t="s">
        <v>213</v>
      </c>
      <c r="F33180" s="38" t="s">
        <v>214</v>
      </c>
      <c r="G33180" s="49" t="str">
        <f t="shared" si="1"/>
        <v>25640</v>
      </c>
      <c r="H33180" s="49">
        <f t="shared" si="2"/>
        <v>25439</v>
      </c>
    </row>
    <row r="33181">
      <c r="A33181" s="48" t="s">
        <v>889</v>
      </c>
      <c r="B33181" s="38">
        <v>30018.0</v>
      </c>
      <c r="C33181" s="38" t="s">
        <v>37417</v>
      </c>
      <c r="D33181" s="38" t="str">
        <f>IFERROR(__xludf.DUMMYFUNCTION("REGEXREPLACE(C33181,""-\d+(.*)|--\d+(.*)"","""")"),"ASPERES")</f>
        <v>ASPERES</v>
      </c>
      <c r="E33181" s="38" t="s">
        <v>526</v>
      </c>
      <c r="F33181" s="38" t="s">
        <v>119</v>
      </c>
      <c r="G33181" s="49" t="str">
        <f t="shared" si="1"/>
        <v>30250</v>
      </c>
      <c r="H33181" s="49">
        <f t="shared" si="2"/>
        <v>30018</v>
      </c>
    </row>
    <row r="33182">
      <c r="A33182" s="48" t="s">
        <v>1495</v>
      </c>
      <c r="B33182" s="38">
        <v>33045.0</v>
      </c>
      <c r="C33182" s="38" t="s">
        <v>37418</v>
      </c>
      <c r="D33182" s="38" t="str">
        <f>IFERROR(__xludf.DUMMYFUNCTION("REGEXREPLACE(C33182,""-\d+(.*)|--\d+(.*)"","""")"),"BELVES-DE-CASTILLON")</f>
        <v>BELVES-DE-CASTILLON</v>
      </c>
      <c r="E33182" s="38" t="s">
        <v>462</v>
      </c>
      <c r="F33182" s="38" t="s">
        <v>252</v>
      </c>
      <c r="G33182" s="49" t="str">
        <f t="shared" si="1"/>
        <v>33350</v>
      </c>
      <c r="H33182" s="49">
        <f t="shared" si="2"/>
        <v>33045</v>
      </c>
    </row>
    <row r="33183">
      <c r="A33183" s="48" t="s">
        <v>603</v>
      </c>
      <c r="B33183" s="38" t="s">
        <v>37419</v>
      </c>
      <c r="C33183" s="38" t="s">
        <v>37420</v>
      </c>
      <c r="D33183" s="38" t="str">
        <f>IFERROR(__xludf.DUMMYFUNCTION("REGEXREPLACE(C33183,""-\d+(.*)|--\d+(.*)"","""")"),"MOCA-CROCE")</f>
        <v>MOCA-CROCE</v>
      </c>
      <c r="E33183" s="38" t="s">
        <v>606</v>
      </c>
      <c r="F33183" s="38" t="s">
        <v>607</v>
      </c>
      <c r="G33183" s="49" t="str">
        <f t="shared" si="1"/>
        <v>20140</v>
      </c>
      <c r="H33183" s="49" t="str">
        <f t="shared" si="2"/>
        <v>2A160</v>
      </c>
    </row>
    <row r="33184">
      <c r="A33184" s="48" t="s">
        <v>3840</v>
      </c>
      <c r="B33184" s="38">
        <v>72256.0</v>
      </c>
      <c r="C33184" s="38" t="s">
        <v>37421</v>
      </c>
      <c r="D33184" s="38" t="str">
        <f>IFERROR(__xludf.DUMMYFUNCTION("REGEXREPLACE(C33184,""-\d+(.*)|--\d+(.*)"","""")"),"ROUEZ")</f>
        <v>ROUEZ</v>
      </c>
      <c r="E33184" s="38" t="s">
        <v>521</v>
      </c>
      <c r="F33184" s="38" t="s">
        <v>180</v>
      </c>
      <c r="G33184" s="49" t="str">
        <f t="shared" si="1"/>
        <v>72140</v>
      </c>
      <c r="H33184" s="49">
        <f t="shared" si="2"/>
        <v>72256</v>
      </c>
    </row>
    <row r="33185">
      <c r="A33185" s="48" t="s">
        <v>2960</v>
      </c>
      <c r="B33185" s="38">
        <v>86197.0</v>
      </c>
      <c r="C33185" s="38" t="s">
        <v>37422</v>
      </c>
      <c r="D33185" s="38" t="str">
        <f>IFERROR(__xludf.DUMMYFUNCTION("REGEXREPLACE(C33185,""-\d+(.*)|--\d+(.*)"","""")"),"POUANT")</f>
        <v>POUANT</v>
      </c>
      <c r="E33185" s="38" t="s">
        <v>529</v>
      </c>
      <c r="F33185" s="38" t="s">
        <v>338</v>
      </c>
      <c r="G33185" s="49" t="str">
        <f t="shared" si="1"/>
        <v>86200</v>
      </c>
      <c r="H33185" s="49">
        <f t="shared" si="2"/>
        <v>86197</v>
      </c>
    </row>
    <row r="33186">
      <c r="A33186" s="48" t="s">
        <v>217</v>
      </c>
      <c r="B33186" s="38">
        <v>58014.0</v>
      </c>
      <c r="C33186" s="38" t="s">
        <v>37423</v>
      </c>
      <c r="D33186" s="38" t="str">
        <f>IFERROR(__xludf.DUMMYFUNCTION("REGEXREPLACE(C33186,""-\d+(.*)|--\d+(.*)"","""")"),"ARZEMBOUY")</f>
        <v>ARZEMBOUY</v>
      </c>
      <c r="E33186" s="38" t="s">
        <v>219</v>
      </c>
      <c r="F33186" s="38" t="s">
        <v>106</v>
      </c>
      <c r="G33186" s="49" t="str">
        <f t="shared" si="1"/>
        <v>58700</v>
      </c>
      <c r="H33186" s="49">
        <f t="shared" si="2"/>
        <v>58014</v>
      </c>
    </row>
    <row r="33187">
      <c r="A33187" s="48" t="s">
        <v>643</v>
      </c>
      <c r="B33187" s="38">
        <v>88286.0</v>
      </c>
      <c r="C33187" s="38" t="s">
        <v>37424</v>
      </c>
      <c r="D33187" s="38" t="str">
        <f>IFERROR(__xludf.DUMMYFUNCTION("REGEXREPLACE(C33187,""-\d+(.*)|--\d+(.*)"","""")"),"MARAINVILLE-SUR-MADON")</f>
        <v>MARAINVILLE-SUR-MADON</v>
      </c>
      <c r="E33187" s="38" t="s">
        <v>194</v>
      </c>
      <c r="F33187" s="38" t="s">
        <v>195</v>
      </c>
      <c r="G33187" s="49" t="str">
        <f t="shared" si="1"/>
        <v>88130</v>
      </c>
      <c r="H33187" s="49">
        <f t="shared" si="2"/>
        <v>88286</v>
      </c>
    </row>
    <row r="33188">
      <c r="A33188" s="48" t="s">
        <v>1772</v>
      </c>
      <c r="B33188" s="38">
        <v>53108.0</v>
      </c>
      <c r="C33188" s="38" t="s">
        <v>37425</v>
      </c>
      <c r="D33188" s="38" t="str">
        <f>IFERROR(__xludf.DUMMYFUNCTION("REGEXREPLACE(C33188,""-\d+(.*)|--\d+(.*)"","""")"),"LA GRAVELLE")</f>
        <v>LA GRAVELLE</v>
      </c>
      <c r="E33188" s="38" t="s">
        <v>518</v>
      </c>
      <c r="F33188" s="38" t="s">
        <v>180</v>
      </c>
      <c r="G33188" s="49" t="str">
        <f t="shared" si="1"/>
        <v>53410</v>
      </c>
      <c r="H33188" s="49">
        <f t="shared" si="2"/>
        <v>53108</v>
      </c>
    </row>
    <row r="33189">
      <c r="A33189" s="48" t="s">
        <v>15681</v>
      </c>
      <c r="B33189" s="38">
        <v>86143.0</v>
      </c>
      <c r="C33189" s="38" t="s">
        <v>37426</v>
      </c>
      <c r="D33189" s="38" t="str">
        <f>IFERROR(__xludf.DUMMYFUNCTION("REGEXREPLACE(C33189,""-\d+(.*)|--\d+(.*)"","""")"),"MAIRE")</f>
        <v>MAIRE</v>
      </c>
      <c r="E33189" s="38" t="s">
        <v>529</v>
      </c>
      <c r="F33189" s="38" t="s">
        <v>338</v>
      </c>
      <c r="G33189" s="49" t="str">
        <f t="shared" si="1"/>
        <v>86270</v>
      </c>
      <c r="H33189" s="49">
        <f t="shared" si="2"/>
        <v>86143</v>
      </c>
    </row>
    <row r="33190">
      <c r="A33190" s="48" t="s">
        <v>17512</v>
      </c>
      <c r="B33190" s="38">
        <v>72046.0</v>
      </c>
      <c r="C33190" s="38" t="s">
        <v>37427</v>
      </c>
      <c r="D33190" s="38" t="str">
        <f>IFERROR(__xludf.DUMMYFUNCTION("REGEXREPLACE(C33190,""-\d+(.*)|--\d+(.*)"","""")"),"LE BREIL-SUR-MERIZE")</f>
        <v>LE BREIL-SUR-MERIZE</v>
      </c>
      <c r="E33190" s="38" t="s">
        <v>521</v>
      </c>
      <c r="F33190" s="38" t="s">
        <v>180</v>
      </c>
      <c r="G33190" s="49" t="str">
        <f t="shared" si="1"/>
        <v>72370</v>
      </c>
      <c r="H33190" s="49">
        <f t="shared" si="2"/>
        <v>72046</v>
      </c>
    </row>
    <row r="33191">
      <c r="A33191" s="48" t="s">
        <v>8922</v>
      </c>
      <c r="B33191" s="38">
        <v>27338.0</v>
      </c>
      <c r="C33191" s="38" t="s">
        <v>37428</v>
      </c>
      <c r="D33191" s="38" t="str">
        <f>IFERROR(__xludf.DUMMYFUNCTION("REGEXREPLACE(C33191,""-\d+(.*)|--\d+(.*)"","""")"),"LES HOGUES")</f>
        <v>LES HOGUES</v>
      </c>
      <c r="E33191" s="38" t="s">
        <v>241</v>
      </c>
      <c r="F33191" s="38" t="s">
        <v>134</v>
      </c>
      <c r="G33191" s="49" t="str">
        <f t="shared" si="1"/>
        <v>27910</v>
      </c>
      <c r="H33191" s="49">
        <f t="shared" si="2"/>
        <v>27338</v>
      </c>
    </row>
    <row r="33192">
      <c r="A33192" s="48" t="s">
        <v>1518</v>
      </c>
      <c r="B33192" s="38">
        <v>88382.0</v>
      </c>
      <c r="C33192" s="38" t="s">
        <v>33118</v>
      </c>
      <c r="D33192" s="38" t="str">
        <f>IFERROR(__xludf.DUMMYFUNCTION("REGEXREPLACE(C33192,""-\d+(.*)|--\d+(.*)"","""")"),"REMICOURT")</f>
        <v>REMICOURT</v>
      </c>
      <c r="E33192" s="38" t="s">
        <v>194</v>
      </c>
      <c r="F33192" s="38" t="s">
        <v>195</v>
      </c>
      <c r="G33192" s="49" t="str">
        <f t="shared" si="1"/>
        <v>88500</v>
      </c>
      <c r="H33192" s="49">
        <f t="shared" si="2"/>
        <v>88382</v>
      </c>
    </row>
    <row r="33193">
      <c r="A33193" s="48" t="s">
        <v>37429</v>
      </c>
      <c r="B33193" s="38">
        <v>59383.0</v>
      </c>
      <c r="C33193" s="38" t="s">
        <v>35324</v>
      </c>
      <c r="D33193" s="38" t="str">
        <f>IFERROR(__xludf.DUMMYFUNCTION("REGEXREPLACE(C33193,""-\d+(.*)|--\d+(.*)"","""")"),"MARLY")</f>
        <v>MARLY</v>
      </c>
      <c r="E33193" s="38" t="s">
        <v>85</v>
      </c>
      <c r="F33193" s="38" t="s">
        <v>86</v>
      </c>
      <c r="G33193" s="49" t="str">
        <f t="shared" si="1"/>
        <v>59770</v>
      </c>
      <c r="H33193" s="49">
        <f t="shared" si="2"/>
        <v>59383</v>
      </c>
    </row>
    <row r="33194">
      <c r="A33194" s="48" t="s">
        <v>4499</v>
      </c>
      <c r="B33194" s="38">
        <v>25488.0</v>
      </c>
      <c r="C33194" s="38" t="s">
        <v>37430</v>
      </c>
      <c r="D33194" s="38" t="str">
        <f>IFERROR(__xludf.DUMMYFUNCTION("REGEXREPLACE(C33194,""-\d+(.*)|--\d+(.*)"","""")"),"RENNES-SUR-LOUE")</f>
        <v>RENNES-SUR-LOUE</v>
      </c>
      <c r="E33194" s="38" t="s">
        <v>213</v>
      </c>
      <c r="F33194" s="38" t="s">
        <v>214</v>
      </c>
      <c r="G33194" s="49" t="str">
        <f t="shared" si="1"/>
        <v>25440</v>
      </c>
      <c r="H33194" s="49">
        <f t="shared" si="2"/>
        <v>25488</v>
      </c>
    </row>
    <row r="33195">
      <c r="A33195" s="48" t="s">
        <v>1345</v>
      </c>
      <c r="B33195" s="38">
        <v>46129.0</v>
      </c>
      <c r="C33195" s="38" t="s">
        <v>37431</v>
      </c>
      <c r="D33195" s="38" t="str">
        <f>IFERROR(__xludf.DUMMYFUNCTION("REGEXREPLACE(C33195,""-\d+(.*)|--\d+(.*)"","""")"),"GREALOU")</f>
        <v>GREALOU</v>
      </c>
      <c r="E33195" s="38" t="s">
        <v>185</v>
      </c>
      <c r="F33195" s="38" t="s">
        <v>94</v>
      </c>
      <c r="G33195" s="49" t="str">
        <f t="shared" si="1"/>
        <v>46160</v>
      </c>
      <c r="H33195" s="49">
        <f t="shared" si="2"/>
        <v>46129</v>
      </c>
    </row>
    <row r="33196">
      <c r="A33196" s="48" t="s">
        <v>8839</v>
      </c>
      <c r="B33196" s="38">
        <v>53133.0</v>
      </c>
      <c r="C33196" s="38" t="s">
        <v>37432</v>
      </c>
      <c r="D33196" s="38" t="str">
        <f>IFERROR(__xludf.DUMMYFUNCTION("REGEXREPLACE(C33196,""-\d+(.*)|--\d+(.*)"","""")"),"LIGNIERES-ORGERES")</f>
        <v>LIGNIERES-ORGERES</v>
      </c>
      <c r="E33196" s="38" t="s">
        <v>518</v>
      </c>
      <c r="F33196" s="38" t="s">
        <v>180</v>
      </c>
      <c r="G33196" s="49" t="str">
        <f t="shared" si="1"/>
        <v>53140</v>
      </c>
      <c r="H33196" s="49">
        <f t="shared" si="2"/>
        <v>53133</v>
      </c>
    </row>
    <row r="33197">
      <c r="A33197" s="48" t="s">
        <v>860</v>
      </c>
      <c r="B33197" s="38">
        <v>80399.0</v>
      </c>
      <c r="C33197" s="38" t="s">
        <v>37433</v>
      </c>
      <c r="D33197" s="38" t="str">
        <f>IFERROR(__xludf.DUMMYFUNCTION("REGEXREPLACE(C33197,""-\d+(.*)|--\d+(.*)"","""")"),"GUIGNEMICOURT")</f>
        <v>GUIGNEMICOURT</v>
      </c>
      <c r="E33197" s="38" t="s">
        <v>224</v>
      </c>
      <c r="F33197" s="38" t="s">
        <v>113</v>
      </c>
      <c r="G33197" s="49" t="str">
        <f t="shared" si="1"/>
        <v>80540</v>
      </c>
      <c r="H33197" s="49">
        <f t="shared" si="2"/>
        <v>80399</v>
      </c>
    </row>
    <row r="33198">
      <c r="A33198" s="48" t="s">
        <v>4805</v>
      </c>
      <c r="B33198" s="38">
        <v>31076.0</v>
      </c>
      <c r="C33198" s="38" t="s">
        <v>37434</v>
      </c>
      <c r="D33198" s="38" t="str">
        <f>IFERROR(__xludf.DUMMYFUNCTION("REGEXREPLACE(C33198,""-\d+(.*)|--\d+(.*)"","""")"),"BORDES-DE-RIVIERE")</f>
        <v>BORDES-DE-RIVIERE</v>
      </c>
      <c r="E33198" s="38" t="s">
        <v>93</v>
      </c>
      <c r="F33198" s="38" t="s">
        <v>94</v>
      </c>
      <c r="G33198" s="49" t="str">
        <f t="shared" si="1"/>
        <v>31210</v>
      </c>
      <c r="H33198" s="49">
        <f t="shared" si="2"/>
        <v>31076</v>
      </c>
    </row>
    <row r="33199">
      <c r="A33199" s="48" t="s">
        <v>18646</v>
      </c>
      <c r="B33199" s="38">
        <v>3165.0</v>
      </c>
      <c r="C33199" s="38" t="s">
        <v>37435</v>
      </c>
      <c r="D33199" s="38" t="str">
        <f>IFERROR(__xludf.DUMMYFUNCTION("REGEXREPLACE(C33199,""-\d+(.*)|--\d+(.*)"","""")"),"LE MAYET-DE-MONTAGNE")</f>
        <v>LE MAYET-DE-MONTAGNE</v>
      </c>
      <c r="E33199" s="38" t="s">
        <v>160</v>
      </c>
      <c r="F33199" s="38" t="s">
        <v>161</v>
      </c>
      <c r="G33199" s="49" t="str">
        <f t="shared" si="1"/>
        <v>03250</v>
      </c>
      <c r="H33199" s="49" t="str">
        <f t="shared" si="2"/>
        <v>03165</v>
      </c>
    </row>
    <row r="33200">
      <c r="A33200" s="48" t="s">
        <v>622</v>
      </c>
      <c r="B33200" s="38">
        <v>14405.0</v>
      </c>
      <c r="C33200" s="38" t="s">
        <v>37436</v>
      </c>
      <c r="D33200" s="38" t="str">
        <f>IFERROR(__xludf.DUMMYFUNCTION("REGEXREPLACE(C33200,""-\d+(.*)|--\d+(.*)"","""")"),"MARTIGNY-SUR-L'ANTE")</f>
        <v>MARTIGNY-SUR-L'ANTE</v>
      </c>
      <c r="E33200" s="38" t="s">
        <v>137</v>
      </c>
      <c r="F33200" s="38" t="s">
        <v>138</v>
      </c>
      <c r="G33200" s="49" t="str">
        <f t="shared" si="1"/>
        <v>14700</v>
      </c>
      <c r="H33200" s="49">
        <f t="shared" si="2"/>
        <v>14405</v>
      </c>
    </row>
    <row r="33201">
      <c r="A33201" s="48" t="s">
        <v>1089</v>
      </c>
      <c r="B33201" s="38">
        <v>67017.0</v>
      </c>
      <c r="C33201" s="38" t="s">
        <v>37437</v>
      </c>
      <c r="D33201" s="38" t="str">
        <f>IFERROR(__xludf.DUMMYFUNCTION("REGEXREPLACE(C33201,""-\d+(.*)|--\d+(.*)"","""")"),"BAERENDORF")</f>
        <v>BAERENDORF</v>
      </c>
      <c r="E33201" s="38" t="s">
        <v>210</v>
      </c>
      <c r="F33201" s="38" t="s">
        <v>151</v>
      </c>
      <c r="G33201" s="49" t="str">
        <f t="shared" si="1"/>
        <v>67320</v>
      </c>
      <c r="H33201" s="49">
        <f t="shared" si="2"/>
        <v>67017</v>
      </c>
    </row>
    <row r="33202">
      <c r="A33202" s="48" t="s">
        <v>436</v>
      </c>
      <c r="B33202" s="38">
        <v>51286.0</v>
      </c>
      <c r="C33202" s="38" t="s">
        <v>12830</v>
      </c>
      <c r="D33202" s="38" t="str">
        <f>IFERROR(__xludf.DUMMYFUNCTION("REGEXREPLACE(C33202,""-\d+(.*)|--\d+(.*)"","""")"),"HAUTEVILLE")</f>
        <v>HAUTEVILLE</v>
      </c>
      <c r="E33202" s="38" t="s">
        <v>129</v>
      </c>
      <c r="F33202" s="38" t="s">
        <v>130</v>
      </c>
      <c r="G33202" s="49" t="str">
        <f t="shared" si="1"/>
        <v>51290</v>
      </c>
      <c r="H33202" s="49">
        <f t="shared" si="2"/>
        <v>51286</v>
      </c>
    </row>
    <row r="33203">
      <c r="A33203" s="48" t="s">
        <v>16584</v>
      </c>
      <c r="B33203" s="38">
        <v>91292.0</v>
      </c>
      <c r="C33203" s="38" t="s">
        <v>37438</v>
      </c>
      <c r="D33203" s="38" t="str">
        <f>IFERROR(__xludf.DUMMYFUNCTION("REGEXREPLACE(C33203,""-\d+(.*)|--\d+(.*)"","""")"),"GUIBEVILLE")</f>
        <v>GUIBEVILLE</v>
      </c>
      <c r="E33203" s="38" t="s">
        <v>756</v>
      </c>
      <c r="F33203" s="38" t="s">
        <v>245</v>
      </c>
      <c r="G33203" s="49" t="str">
        <f t="shared" si="1"/>
        <v>91630</v>
      </c>
      <c r="H33203" s="49">
        <f t="shared" si="2"/>
        <v>91292</v>
      </c>
    </row>
    <row r="33204">
      <c r="A33204" s="48" t="s">
        <v>13881</v>
      </c>
      <c r="B33204" s="38">
        <v>56050.0</v>
      </c>
      <c r="C33204" s="38" t="s">
        <v>37439</v>
      </c>
      <c r="D33204" s="38" t="str">
        <f>IFERROR(__xludf.DUMMYFUNCTION("REGEXREPLACE(C33204,""-\d+(.*)|--\d+(.*)"","""")"),"LA CROIX-HELLEAN")</f>
        <v>LA CROIX-HELLEAN</v>
      </c>
      <c r="E33204" s="38" t="s">
        <v>173</v>
      </c>
      <c r="F33204" s="38" t="s">
        <v>90</v>
      </c>
      <c r="G33204" s="49" t="str">
        <f t="shared" si="1"/>
        <v>56120</v>
      </c>
      <c r="H33204" s="49">
        <f t="shared" si="2"/>
        <v>56050</v>
      </c>
    </row>
    <row r="33205">
      <c r="A33205" s="48" t="s">
        <v>9257</v>
      </c>
      <c r="B33205" s="38">
        <v>11329.0</v>
      </c>
      <c r="C33205" s="38" t="s">
        <v>37440</v>
      </c>
      <c r="D33205" s="38" t="str">
        <f>IFERROR(__xludf.DUMMYFUNCTION("REGEXREPLACE(C33205,""-\d+(.*)|--\d+(.*)"","""")"),"ROUVENAC")</f>
        <v>ROUVENAC</v>
      </c>
      <c r="E33205" s="38" t="s">
        <v>278</v>
      </c>
      <c r="F33205" s="38" t="s">
        <v>119</v>
      </c>
      <c r="G33205" s="49" t="str">
        <f t="shared" si="1"/>
        <v>11260</v>
      </c>
      <c r="H33205" s="49">
        <f t="shared" si="2"/>
        <v>11329</v>
      </c>
    </row>
    <row r="33206">
      <c r="A33206" s="48" t="s">
        <v>1132</v>
      </c>
      <c r="B33206" s="38">
        <v>2682.0</v>
      </c>
      <c r="C33206" s="38" t="s">
        <v>13818</v>
      </c>
      <c r="D33206" s="38" t="str">
        <f>IFERROR(__xludf.DUMMYFUNCTION("REGEXREPLACE(C33206,""-\d+(.*)|--\d+(.*)"","""")"),"SAINT-MARD")</f>
        <v>SAINT-MARD</v>
      </c>
      <c r="E33206" s="38" t="s">
        <v>191</v>
      </c>
      <c r="F33206" s="38" t="s">
        <v>113</v>
      </c>
      <c r="G33206" s="49" t="str">
        <f t="shared" si="1"/>
        <v>02220</v>
      </c>
      <c r="H33206" s="49" t="str">
        <f t="shared" si="2"/>
        <v>02682</v>
      </c>
    </row>
    <row r="33207">
      <c r="A33207" s="48" t="s">
        <v>6508</v>
      </c>
      <c r="B33207" s="38">
        <v>15178.0</v>
      </c>
      <c r="C33207" s="38" t="s">
        <v>37441</v>
      </c>
      <c r="D33207" s="38" t="str">
        <f>IFERROR(__xludf.DUMMYFUNCTION("REGEXREPLACE(C33207,""-\d+(.*)|--\d+(.*)"","""")"),"SAINT-CIRGUES-DE-JORDANNE")</f>
        <v>SAINT-CIRGUES-DE-JORDANNE</v>
      </c>
      <c r="E33207" s="38" t="s">
        <v>632</v>
      </c>
      <c r="F33207" s="38" t="s">
        <v>161</v>
      </c>
      <c r="G33207" s="49" t="str">
        <f t="shared" si="1"/>
        <v>15590</v>
      </c>
      <c r="H33207" s="49">
        <f t="shared" si="2"/>
        <v>15178</v>
      </c>
    </row>
    <row r="33208">
      <c r="A33208" s="48" t="s">
        <v>3980</v>
      </c>
      <c r="B33208" s="38">
        <v>71534.0</v>
      </c>
      <c r="C33208" s="38" t="s">
        <v>37442</v>
      </c>
      <c r="D33208" s="38" t="str">
        <f>IFERROR(__xludf.DUMMYFUNCTION("REGEXREPLACE(C33208,""-\d+(.*)|--\d+(.*)"","""")"),"LE TARTRE")</f>
        <v>LE TARTRE</v>
      </c>
      <c r="E33208" s="38" t="s">
        <v>344</v>
      </c>
      <c r="F33208" s="38" t="s">
        <v>106</v>
      </c>
      <c r="G33208" s="49" t="str">
        <f t="shared" si="1"/>
        <v>71330</v>
      </c>
      <c r="H33208" s="49">
        <f t="shared" si="2"/>
        <v>71534</v>
      </c>
    </row>
    <row r="33209">
      <c r="A33209" s="48" t="s">
        <v>3821</v>
      </c>
      <c r="B33209" s="38">
        <v>57115.0</v>
      </c>
      <c r="C33209" s="38" t="s">
        <v>37443</v>
      </c>
      <c r="D33209" s="38" t="str">
        <f>IFERROR(__xludf.DUMMYFUNCTION("REGEXREPLACE(C33209,""-\d+(.*)|--\d+(.*)"","""")"),"BRULANGE")</f>
        <v>BRULANGE</v>
      </c>
      <c r="E33209" s="38" t="s">
        <v>303</v>
      </c>
      <c r="F33209" s="38" t="s">
        <v>195</v>
      </c>
      <c r="G33209" s="49" t="str">
        <f t="shared" si="1"/>
        <v>57340</v>
      </c>
      <c r="H33209" s="49">
        <f t="shared" si="2"/>
        <v>57115</v>
      </c>
    </row>
    <row r="33210">
      <c r="A33210" s="48" t="s">
        <v>6311</v>
      </c>
      <c r="B33210" s="38">
        <v>89015.0</v>
      </c>
      <c r="C33210" s="38" t="s">
        <v>37444</v>
      </c>
      <c r="D33210" s="38" t="str">
        <f>IFERROR(__xludf.DUMMYFUNCTION("REGEXREPLACE(C33210,""-\d+(.*)|--\d+(.*)"","""")"),"ARCY-SUR-CURE")</f>
        <v>ARCY-SUR-CURE</v>
      </c>
      <c r="E33210" s="38" t="s">
        <v>275</v>
      </c>
      <c r="F33210" s="38" t="s">
        <v>106</v>
      </c>
      <c r="G33210" s="49" t="str">
        <f t="shared" si="1"/>
        <v>89270</v>
      </c>
      <c r="H33210" s="49">
        <f t="shared" si="2"/>
        <v>89015</v>
      </c>
    </row>
    <row r="33211">
      <c r="A33211" s="48" t="s">
        <v>12639</v>
      </c>
      <c r="B33211" s="38">
        <v>81290.0</v>
      </c>
      <c r="C33211" s="38" t="s">
        <v>37445</v>
      </c>
      <c r="D33211" s="38" t="str">
        <f>IFERROR(__xludf.DUMMYFUNCTION("REGEXREPLACE(C33211,""-\d+(.*)|--\d+(.*)"","""")"),"SOUEL")</f>
        <v>SOUEL</v>
      </c>
      <c r="E33211" s="38" t="s">
        <v>231</v>
      </c>
      <c r="F33211" s="38" t="s">
        <v>94</v>
      </c>
      <c r="G33211" s="49" t="str">
        <f t="shared" si="1"/>
        <v>81170</v>
      </c>
      <c r="H33211" s="49">
        <f t="shared" si="2"/>
        <v>81290</v>
      </c>
    </row>
    <row r="33212">
      <c r="A33212" s="48" t="s">
        <v>14518</v>
      </c>
      <c r="B33212" s="38">
        <v>7292.0</v>
      </c>
      <c r="C33212" s="38" t="s">
        <v>37446</v>
      </c>
      <c r="D33212" s="38" t="str">
        <f>IFERROR(__xludf.DUMMYFUNCTION("REGEXREPLACE(C33212,""-\d+(.*)|--\d+(.*)"","""")"),"SAINT-ROMAIN-D'AY")</f>
        <v>SAINT-ROMAIN-D'AY</v>
      </c>
      <c r="E33212" s="38" t="s">
        <v>144</v>
      </c>
      <c r="F33212" s="38" t="s">
        <v>102</v>
      </c>
      <c r="G33212" s="49" t="str">
        <f t="shared" si="1"/>
        <v>07290</v>
      </c>
      <c r="H33212" s="49" t="str">
        <f t="shared" si="2"/>
        <v>07292</v>
      </c>
    </row>
    <row r="33213">
      <c r="A33213" s="48" t="s">
        <v>4893</v>
      </c>
      <c r="B33213" s="38">
        <v>56255.0</v>
      </c>
      <c r="C33213" s="38" t="s">
        <v>37447</v>
      </c>
      <c r="D33213" s="38" t="str">
        <f>IFERROR(__xludf.DUMMYFUNCTION("REGEXREPLACE(C33213,""-\d+(.*)|--\d+(.*)"","""")"),"TREFFLEAN")</f>
        <v>TREFFLEAN</v>
      </c>
      <c r="E33213" s="38" t="s">
        <v>173</v>
      </c>
      <c r="F33213" s="38" t="s">
        <v>90</v>
      </c>
      <c r="G33213" s="49" t="str">
        <f t="shared" si="1"/>
        <v>56250</v>
      </c>
      <c r="H33213" s="49">
        <f t="shared" si="2"/>
        <v>56255</v>
      </c>
    </row>
    <row r="33214">
      <c r="A33214" s="48" t="s">
        <v>5288</v>
      </c>
      <c r="B33214" s="38">
        <v>62688.0</v>
      </c>
      <c r="C33214" s="38" t="s">
        <v>37448</v>
      </c>
      <c r="D33214" s="38" t="str">
        <f>IFERROR(__xludf.DUMMYFUNCTION("REGEXREPLACE(C33214,""-\d+(.*)|--\d+(.*)"","""")"),"RANG-DU-FLIERS")</f>
        <v>RANG-DU-FLIERS</v>
      </c>
      <c r="E33214" s="38" t="s">
        <v>109</v>
      </c>
      <c r="F33214" s="38" t="s">
        <v>86</v>
      </c>
      <c r="G33214" s="49" t="str">
        <f t="shared" si="1"/>
        <v>62180</v>
      </c>
      <c r="H33214" s="49">
        <f t="shared" si="2"/>
        <v>62688</v>
      </c>
    </row>
    <row r="33215">
      <c r="A33215" s="48" t="s">
        <v>37449</v>
      </c>
      <c r="B33215" s="38">
        <v>86041.0</v>
      </c>
      <c r="C33215" s="38" t="s">
        <v>3949</v>
      </c>
      <c r="D33215" s="38" t="str">
        <f>IFERROR(__xludf.DUMMYFUNCTION("REGEXREPLACE(C33215,""-\d+(.*)|--\d+(.*)"","""")"),"BUXEROLLES")</f>
        <v>BUXEROLLES</v>
      </c>
      <c r="E33215" s="38" t="s">
        <v>529</v>
      </c>
      <c r="F33215" s="38" t="s">
        <v>338</v>
      </c>
      <c r="G33215" s="49" t="str">
        <f t="shared" si="1"/>
        <v>86180</v>
      </c>
      <c r="H33215" s="49">
        <f t="shared" si="2"/>
        <v>86041</v>
      </c>
    </row>
    <row r="33216">
      <c r="A33216" s="48" t="s">
        <v>380</v>
      </c>
      <c r="B33216" s="38">
        <v>80760.0</v>
      </c>
      <c r="C33216" s="38" t="s">
        <v>37450</v>
      </c>
      <c r="D33216" s="38" t="str">
        <f>IFERROR(__xludf.DUMMYFUNCTION("REGEXREPLACE(C33216,""-\d+(.*)|--\d+(.*)"","""")"),"TILLOY-FLORIVILLE")</f>
        <v>TILLOY-FLORIVILLE</v>
      </c>
      <c r="E33216" s="38" t="s">
        <v>224</v>
      </c>
      <c r="F33216" s="38" t="s">
        <v>113</v>
      </c>
      <c r="G33216" s="49" t="str">
        <f t="shared" si="1"/>
        <v>80220</v>
      </c>
      <c r="H33216" s="49">
        <f t="shared" si="2"/>
        <v>80760</v>
      </c>
    </row>
    <row r="33217">
      <c r="A33217" s="48" t="s">
        <v>1201</v>
      </c>
      <c r="B33217" s="38">
        <v>78202.0</v>
      </c>
      <c r="C33217" s="38" t="s">
        <v>28775</v>
      </c>
      <c r="D33217" s="38" t="str">
        <f>IFERROR(__xludf.DUMMYFUNCTION("REGEXREPLACE(C33217,""-\d+(.*)|--\d+(.*)"","""")"),"DROCOURT")</f>
        <v>DROCOURT</v>
      </c>
      <c r="E33217" s="38" t="s">
        <v>362</v>
      </c>
      <c r="F33217" s="38" t="s">
        <v>245</v>
      </c>
      <c r="G33217" s="49" t="str">
        <f t="shared" si="1"/>
        <v>78440</v>
      </c>
      <c r="H33217" s="49">
        <f t="shared" si="2"/>
        <v>78202</v>
      </c>
    </row>
    <row r="33218">
      <c r="A33218" s="48" t="s">
        <v>2232</v>
      </c>
      <c r="B33218" s="38">
        <v>77232.0</v>
      </c>
      <c r="C33218" s="38" t="s">
        <v>37451</v>
      </c>
      <c r="D33218" s="38" t="str">
        <f>IFERROR(__xludf.DUMMYFUNCTION("REGEXREPLACE(C33218,""-\d+(.*)|--\d+(.*)"","""")"),"ISLES-LES-VILLENOY")</f>
        <v>ISLES-LES-VILLENOY</v>
      </c>
      <c r="E33218" s="38" t="s">
        <v>244</v>
      </c>
      <c r="F33218" s="38" t="s">
        <v>245</v>
      </c>
      <c r="G33218" s="49" t="str">
        <f t="shared" si="1"/>
        <v>77450</v>
      </c>
      <c r="H33218" s="49">
        <f t="shared" si="2"/>
        <v>77232</v>
      </c>
    </row>
    <row r="33219">
      <c r="A33219" s="48" t="s">
        <v>7492</v>
      </c>
      <c r="B33219" s="38">
        <v>15019.0</v>
      </c>
      <c r="C33219" s="38" t="s">
        <v>37452</v>
      </c>
      <c r="D33219" s="38" t="str">
        <f>IFERROR(__xludf.DUMMYFUNCTION("REGEXREPLACE(C33219,""-\d+(.*)|--\d+(.*)"","""")"),"BASSIGNAC")</f>
        <v>BASSIGNAC</v>
      </c>
      <c r="E33219" s="38" t="s">
        <v>632</v>
      </c>
      <c r="F33219" s="38" t="s">
        <v>161</v>
      </c>
      <c r="G33219" s="49" t="str">
        <f t="shared" si="1"/>
        <v>15240</v>
      </c>
      <c r="H33219" s="49">
        <f t="shared" si="2"/>
        <v>15019</v>
      </c>
    </row>
    <row r="33220">
      <c r="A33220" s="48" t="s">
        <v>6275</v>
      </c>
      <c r="B33220" s="38">
        <v>8173.0</v>
      </c>
      <c r="C33220" s="38" t="s">
        <v>37453</v>
      </c>
      <c r="D33220" s="38" t="str">
        <f>IFERROR(__xludf.DUMMYFUNCTION("REGEXREPLACE(C33220,""-\d+(.*)|--\d+(.*)"","""")"),"FLIZE")</f>
        <v>FLIZE</v>
      </c>
      <c r="E33220" s="38" t="s">
        <v>327</v>
      </c>
      <c r="F33220" s="38" t="s">
        <v>130</v>
      </c>
      <c r="G33220" s="49" t="str">
        <f t="shared" si="1"/>
        <v>08160</v>
      </c>
      <c r="H33220" s="49" t="str">
        <f t="shared" si="2"/>
        <v>08173</v>
      </c>
    </row>
    <row r="33221">
      <c r="A33221" s="48" t="s">
        <v>1868</v>
      </c>
      <c r="B33221" s="38">
        <v>86291.0</v>
      </c>
      <c r="C33221" s="38" t="s">
        <v>37454</v>
      </c>
      <c r="D33221" s="38" t="str">
        <f>IFERROR(__xludf.DUMMYFUNCTION("REGEXREPLACE(C33221,""-\d+(.*)|--\d+(.*)"","""")"),"VILLEMORT")</f>
        <v>VILLEMORT</v>
      </c>
      <c r="E33221" s="38" t="s">
        <v>529</v>
      </c>
      <c r="F33221" s="38" t="s">
        <v>338</v>
      </c>
      <c r="G33221" s="49" t="str">
        <f t="shared" si="1"/>
        <v>86310</v>
      </c>
      <c r="H33221" s="49">
        <f t="shared" si="2"/>
        <v>86291</v>
      </c>
    </row>
    <row r="33222">
      <c r="A33222" s="48" t="s">
        <v>900</v>
      </c>
      <c r="B33222" s="38">
        <v>12055.0</v>
      </c>
      <c r="C33222" s="38" t="s">
        <v>37455</v>
      </c>
      <c r="D33222" s="38" t="str">
        <f>IFERROR(__xludf.DUMMYFUNCTION("REGEXREPLACE(C33222,""-\d+(.*)|--\d+(.*)"","""")"),"LA CAPELLE-BONANCE")</f>
        <v>LA CAPELLE-BONANCE</v>
      </c>
      <c r="E33222" s="38" t="s">
        <v>465</v>
      </c>
      <c r="F33222" s="38" t="s">
        <v>94</v>
      </c>
      <c r="G33222" s="49" t="str">
        <f t="shared" si="1"/>
        <v>12130</v>
      </c>
      <c r="H33222" s="49">
        <f t="shared" si="2"/>
        <v>12055</v>
      </c>
    </row>
    <row r="33223">
      <c r="A33223" s="48" t="s">
        <v>2805</v>
      </c>
      <c r="B33223" s="38">
        <v>23240.0</v>
      </c>
      <c r="C33223" s="38" t="s">
        <v>37456</v>
      </c>
      <c r="D33223" s="38" t="str">
        <f>IFERROR(__xludf.DUMMYFUNCTION("REGEXREPLACE(C33223,""-\d+(.*)|--\d+(.*)"","""")"),"SAINT-SILVAIN-BAS-LE-ROC")</f>
        <v>SAINT-SILVAIN-BAS-LE-ROC</v>
      </c>
      <c r="E33223" s="38" t="s">
        <v>97</v>
      </c>
      <c r="F33223" s="38" t="s">
        <v>98</v>
      </c>
      <c r="G33223" s="49" t="str">
        <f t="shared" si="1"/>
        <v>23600</v>
      </c>
      <c r="H33223" s="49">
        <f t="shared" si="2"/>
        <v>23240</v>
      </c>
    </row>
    <row r="33224">
      <c r="A33224" s="48" t="s">
        <v>25546</v>
      </c>
      <c r="B33224" s="38">
        <v>36103.0</v>
      </c>
      <c r="C33224" s="38" t="s">
        <v>37457</v>
      </c>
      <c r="D33224" s="38" t="str">
        <f>IFERROR(__xludf.DUMMYFUNCTION("REGEXREPLACE(C33224,""-\d+(.*)|--\d+(.*)"","""")"),"LUCAY-LE-MALE")</f>
        <v>LUCAY-LE-MALE</v>
      </c>
      <c r="E33224" s="38" t="s">
        <v>258</v>
      </c>
      <c r="F33224" s="38" t="s">
        <v>123</v>
      </c>
      <c r="G33224" s="49" t="str">
        <f t="shared" si="1"/>
        <v>36360</v>
      </c>
      <c r="H33224" s="49">
        <f t="shared" si="2"/>
        <v>36103</v>
      </c>
    </row>
    <row r="33225">
      <c r="A33225" s="48" t="s">
        <v>2194</v>
      </c>
      <c r="B33225" s="38">
        <v>38544.0</v>
      </c>
      <c r="C33225" s="38" t="s">
        <v>37458</v>
      </c>
      <c r="D33225" s="38" t="str">
        <f>IFERROR(__xludf.DUMMYFUNCTION("REGEXREPLACE(C33225,""-\d+(.*)|--\d+(.*)"","""")"),"VIENNE")</f>
        <v>VIENNE</v>
      </c>
      <c r="E33225" s="38" t="s">
        <v>101</v>
      </c>
      <c r="F33225" s="38" t="s">
        <v>102</v>
      </c>
      <c r="G33225" s="49" t="str">
        <f t="shared" si="1"/>
        <v>38200</v>
      </c>
      <c r="H33225" s="49">
        <f t="shared" si="2"/>
        <v>38544</v>
      </c>
    </row>
    <row r="33226">
      <c r="A33226" s="48" t="s">
        <v>37459</v>
      </c>
      <c r="B33226" s="38">
        <v>59340.0</v>
      </c>
      <c r="C33226" s="38" t="s">
        <v>37460</v>
      </c>
      <c r="D33226" s="38" t="str">
        <f>IFERROR(__xludf.DUMMYFUNCTION("REGEXREPLACE(C33226,""-\d+(.*)|--\d+(.*)"","""")"),"LEFFRINCKOUCKE")</f>
        <v>LEFFRINCKOUCKE</v>
      </c>
      <c r="E33226" s="38" t="s">
        <v>85</v>
      </c>
      <c r="F33226" s="38" t="s">
        <v>86</v>
      </c>
      <c r="G33226" s="49" t="str">
        <f t="shared" si="1"/>
        <v>59495</v>
      </c>
      <c r="H33226" s="49">
        <f t="shared" si="2"/>
        <v>59340</v>
      </c>
    </row>
    <row r="33227">
      <c r="A33227" s="48" t="s">
        <v>4044</v>
      </c>
      <c r="B33227" s="38">
        <v>52427.0</v>
      </c>
      <c r="C33227" s="38" t="s">
        <v>37461</v>
      </c>
      <c r="D33227" s="38" t="str">
        <f>IFERROR(__xludf.DUMMYFUNCTION("REGEXREPLACE(C33227,""-\d+(.*)|--\d+(.*)"","""")"),"ROBERT-MAGNY")</f>
        <v>ROBERT-MAGNY</v>
      </c>
      <c r="E33227" s="38" t="s">
        <v>234</v>
      </c>
      <c r="F33227" s="38" t="s">
        <v>130</v>
      </c>
      <c r="G33227" s="49" t="str">
        <f t="shared" si="1"/>
        <v>52220</v>
      </c>
      <c r="H33227" s="49">
        <f t="shared" si="2"/>
        <v>52427</v>
      </c>
    </row>
    <row r="33228">
      <c r="A33228" s="48" t="s">
        <v>3436</v>
      </c>
      <c r="B33228" s="38">
        <v>33385.0</v>
      </c>
      <c r="C33228" s="38" t="s">
        <v>37462</v>
      </c>
      <c r="D33228" s="38" t="str">
        <f>IFERROR(__xludf.DUMMYFUNCTION("REGEXREPLACE(C33228,""-\d+(.*)|--\d+(.*)"","""")"),"SAINT-CHRISTOPHE-DE-DOUBLE")</f>
        <v>SAINT-CHRISTOPHE-DE-DOUBLE</v>
      </c>
      <c r="E33228" s="38" t="s">
        <v>462</v>
      </c>
      <c r="F33228" s="38" t="s">
        <v>252</v>
      </c>
      <c r="G33228" s="49" t="str">
        <f t="shared" si="1"/>
        <v>33230</v>
      </c>
      <c r="H33228" s="49">
        <f t="shared" si="2"/>
        <v>33385</v>
      </c>
    </row>
    <row r="33229">
      <c r="A33229" s="48" t="s">
        <v>1628</v>
      </c>
      <c r="B33229" s="38">
        <v>70372.0</v>
      </c>
      <c r="C33229" s="38" t="s">
        <v>37463</v>
      </c>
      <c r="D33229" s="38" t="str">
        <f>IFERROR(__xludf.DUMMYFUNCTION("REGEXREPLACE(C33229,""-\d+(.*)|--\d+(.*)"","""")"),"MONTUREUX-LES-BAULAY")</f>
        <v>MONTUREUX-LES-BAULAY</v>
      </c>
      <c r="E33229" s="38" t="s">
        <v>956</v>
      </c>
      <c r="F33229" s="38" t="s">
        <v>214</v>
      </c>
      <c r="G33229" s="49" t="str">
        <f t="shared" si="1"/>
        <v>70500</v>
      </c>
      <c r="H33229" s="49">
        <f t="shared" si="2"/>
        <v>70372</v>
      </c>
    </row>
    <row r="33230">
      <c r="A33230" s="48" t="s">
        <v>7012</v>
      </c>
      <c r="B33230" s="38">
        <v>68055.0</v>
      </c>
      <c r="C33230" s="38" t="s">
        <v>37464</v>
      </c>
      <c r="D33230" s="38" t="str">
        <f>IFERROR(__xludf.DUMMYFUNCTION("REGEXREPLACE(C33230,""-\d+(.*)|--\d+(.*)"","""")"),"BRUEBACH")</f>
        <v>BRUEBACH</v>
      </c>
      <c r="E33230" s="38" t="s">
        <v>150</v>
      </c>
      <c r="F33230" s="38" t="s">
        <v>151</v>
      </c>
      <c r="G33230" s="49" t="str">
        <f t="shared" si="1"/>
        <v>68440</v>
      </c>
      <c r="H33230" s="49">
        <f t="shared" si="2"/>
        <v>68055</v>
      </c>
    </row>
    <row r="33231">
      <c r="A33231" s="48" t="s">
        <v>883</v>
      </c>
      <c r="B33231" s="38">
        <v>71457.0</v>
      </c>
      <c r="C33231" s="38" t="s">
        <v>37465</v>
      </c>
      <c r="D33231" s="38" t="str">
        <f>IFERROR(__xludf.DUMMYFUNCTION("REGEXREPLACE(C33231,""-\d+(.*)|--\d+(.*)"","""")"),"SAINT-MARTIN-EN-GATINOIS")</f>
        <v>SAINT-MARTIN-EN-GATINOIS</v>
      </c>
      <c r="E33231" s="38" t="s">
        <v>344</v>
      </c>
      <c r="F33231" s="38" t="s">
        <v>106</v>
      </c>
      <c r="G33231" s="49" t="str">
        <f t="shared" si="1"/>
        <v>71350</v>
      </c>
      <c r="H33231" s="49">
        <f t="shared" si="2"/>
        <v>71457</v>
      </c>
    </row>
    <row r="33232">
      <c r="A33232" s="48" t="s">
        <v>3515</v>
      </c>
      <c r="B33232" s="38">
        <v>26207.0</v>
      </c>
      <c r="C33232" s="38" t="s">
        <v>37466</v>
      </c>
      <c r="D33232" s="38" t="str">
        <f>IFERROR(__xludf.DUMMYFUNCTION("REGEXREPLACE(C33232,""-\d+(.*)|--\d+(.*)"","""")"),"MONTMIRAL")</f>
        <v>MONTMIRAL</v>
      </c>
      <c r="E33232" s="38" t="s">
        <v>126</v>
      </c>
      <c r="F33232" s="38" t="s">
        <v>102</v>
      </c>
      <c r="G33232" s="49" t="str">
        <f t="shared" si="1"/>
        <v>26750</v>
      </c>
      <c r="H33232" s="49">
        <f t="shared" si="2"/>
        <v>26207</v>
      </c>
    </row>
    <row r="33233">
      <c r="A33233" s="48" t="s">
        <v>8964</v>
      </c>
      <c r="B33233" s="38">
        <v>70339.0</v>
      </c>
      <c r="C33233" s="38" t="s">
        <v>37467</v>
      </c>
      <c r="D33233" s="38" t="str">
        <f>IFERROR(__xludf.DUMMYFUNCTION("REGEXREPLACE(C33233,""-\d+(.*)|--\d+(.*)"","""")"),"MELISEY")</f>
        <v>MELISEY</v>
      </c>
      <c r="E33233" s="38" t="s">
        <v>956</v>
      </c>
      <c r="F33233" s="38" t="s">
        <v>214</v>
      </c>
      <c r="G33233" s="49" t="str">
        <f t="shared" si="1"/>
        <v>70270</v>
      </c>
      <c r="H33233" s="49">
        <f t="shared" si="2"/>
        <v>70339</v>
      </c>
    </row>
    <row r="33234">
      <c r="A33234" s="48" t="s">
        <v>10930</v>
      </c>
      <c r="B33234" s="38">
        <v>62705.0</v>
      </c>
      <c r="C33234" s="38" t="s">
        <v>37468</v>
      </c>
      <c r="D33234" s="38" t="str">
        <f>IFERROR(__xludf.DUMMYFUNCTION("REGEXREPLACE(C33234,""-\d+(.*)|--\d+(.*)"","""")"),"RETY")</f>
        <v>RETY</v>
      </c>
      <c r="E33234" s="38" t="s">
        <v>109</v>
      </c>
      <c r="F33234" s="38" t="s">
        <v>86</v>
      </c>
      <c r="G33234" s="49" t="str">
        <f t="shared" si="1"/>
        <v>62720</v>
      </c>
      <c r="H33234" s="49">
        <f t="shared" si="2"/>
        <v>62705</v>
      </c>
    </row>
    <row r="33235">
      <c r="A33235" s="48" t="s">
        <v>14590</v>
      </c>
      <c r="B33235" s="38">
        <v>80632.0</v>
      </c>
      <c r="C33235" s="38" t="s">
        <v>37469</v>
      </c>
      <c r="D33235" s="38" t="str">
        <f>IFERROR(__xludf.DUMMYFUNCTION("REGEXREPLACE(C33235,""-\d+(.*)|--\d+(.*)"","""")"),"PONT-DE-METZ")</f>
        <v>PONT-DE-METZ</v>
      </c>
      <c r="E33235" s="38" t="s">
        <v>224</v>
      </c>
      <c r="F33235" s="38" t="s">
        <v>113</v>
      </c>
      <c r="G33235" s="49" t="str">
        <f t="shared" si="1"/>
        <v>80480</v>
      </c>
      <c r="H33235" s="49">
        <f t="shared" si="2"/>
        <v>80632</v>
      </c>
    </row>
    <row r="33236">
      <c r="A33236" s="48" t="s">
        <v>2783</v>
      </c>
      <c r="B33236" s="38">
        <v>31294.0</v>
      </c>
      <c r="C33236" s="38" t="s">
        <v>37470</v>
      </c>
      <c r="D33236" s="38" t="str">
        <f>IFERROR(__xludf.DUMMYFUNCTION("REGEXREPLACE(C33236,""-\d+(.*)|--\d+(.*)"","""")"),"LESPITEAU")</f>
        <v>LESPITEAU</v>
      </c>
      <c r="E33236" s="38" t="s">
        <v>93</v>
      </c>
      <c r="F33236" s="38" t="s">
        <v>94</v>
      </c>
      <c r="G33236" s="49" t="str">
        <f t="shared" si="1"/>
        <v>31160</v>
      </c>
      <c r="H33236" s="49">
        <f t="shared" si="2"/>
        <v>31294</v>
      </c>
    </row>
    <row r="33237">
      <c r="A33237" s="48" t="s">
        <v>9221</v>
      </c>
      <c r="B33237" s="38">
        <v>34320.0</v>
      </c>
      <c r="C33237" s="38" t="s">
        <v>37471</v>
      </c>
      <c r="D33237" s="38" t="str">
        <f>IFERROR(__xludf.DUMMYFUNCTION("REGEXREPLACE(C33237,""-\d+(.*)|--\d+(.*)"","""")"),"VAILHAUQUES")</f>
        <v>VAILHAUQUES</v>
      </c>
      <c r="E33237" s="38" t="s">
        <v>118</v>
      </c>
      <c r="F33237" s="38" t="s">
        <v>119</v>
      </c>
      <c r="G33237" s="49" t="str">
        <f t="shared" si="1"/>
        <v>34570</v>
      </c>
      <c r="H33237" s="49">
        <f t="shared" si="2"/>
        <v>34320</v>
      </c>
    </row>
    <row r="33238">
      <c r="A33238" s="48" t="s">
        <v>622</v>
      </c>
      <c r="B33238" s="38">
        <v>14588.0</v>
      </c>
      <c r="C33238" s="38" t="s">
        <v>37472</v>
      </c>
      <c r="D33238" s="38" t="str">
        <f>IFERROR(__xludf.DUMMYFUNCTION("REGEXREPLACE(C33238,""-\d+(.*)|--\d+(.*)"","""")"),"SAINT-GERMAIN-LANGOT")</f>
        <v>SAINT-GERMAIN-LANGOT</v>
      </c>
      <c r="E33238" s="38" t="s">
        <v>137</v>
      </c>
      <c r="F33238" s="38" t="s">
        <v>138</v>
      </c>
      <c r="G33238" s="49" t="str">
        <f t="shared" si="1"/>
        <v>14700</v>
      </c>
      <c r="H33238" s="49">
        <f t="shared" si="2"/>
        <v>14588</v>
      </c>
    </row>
    <row r="33239">
      <c r="A33239" s="48" t="s">
        <v>11460</v>
      </c>
      <c r="B33239" s="38">
        <v>73034.0</v>
      </c>
      <c r="C33239" s="38" t="s">
        <v>17567</v>
      </c>
      <c r="D33239" s="38" t="str">
        <f>IFERROR(__xludf.DUMMYFUNCTION("REGEXREPLACE(C33239,""-\d+(.*)|--\d+(.*)"","""")"),"BEAUFORT")</f>
        <v>BEAUFORT</v>
      </c>
      <c r="E33239" s="38" t="s">
        <v>306</v>
      </c>
      <c r="F33239" s="38" t="s">
        <v>102</v>
      </c>
      <c r="G33239" s="49" t="str">
        <f t="shared" si="1"/>
        <v>73270</v>
      </c>
      <c r="H33239" s="49">
        <f t="shared" si="2"/>
        <v>73034</v>
      </c>
    </row>
    <row r="33240">
      <c r="A33240" s="48" t="s">
        <v>25989</v>
      </c>
      <c r="B33240" s="38">
        <v>25394.0</v>
      </c>
      <c r="C33240" s="38" t="s">
        <v>37473</v>
      </c>
      <c r="D33240" s="38" t="str">
        <f>IFERROR(__xludf.DUMMYFUNCTION("REGEXREPLACE(C33240,""-\d+(.*)|--\d+(.*)"","""")"),"MONTENOIS")</f>
        <v>MONTENOIS</v>
      </c>
      <c r="E33240" s="38" t="s">
        <v>213</v>
      </c>
      <c r="F33240" s="38" t="s">
        <v>214</v>
      </c>
      <c r="G33240" s="49" t="str">
        <f t="shared" si="1"/>
        <v>25260</v>
      </c>
      <c r="H33240" s="49">
        <f t="shared" si="2"/>
        <v>25394</v>
      </c>
    </row>
    <row r="33241">
      <c r="A33241" s="48" t="s">
        <v>1157</v>
      </c>
      <c r="B33241" s="38">
        <v>16224.0</v>
      </c>
      <c r="C33241" s="38" t="s">
        <v>37474</v>
      </c>
      <c r="D33241" s="38" t="str">
        <f>IFERROR(__xludf.DUMMYFUNCTION("REGEXREPLACE(C33241,""-\d+(.*)|--\d+(.*)"","""")"),"MONTCHAUDE")</f>
        <v>MONTCHAUDE</v>
      </c>
      <c r="E33241" s="38" t="s">
        <v>429</v>
      </c>
      <c r="F33241" s="38" t="s">
        <v>338</v>
      </c>
      <c r="G33241" s="49" t="str">
        <f t="shared" si="1"/>
        <v>16300</v>
      </c>
      <c r="H33241" s="49">
        <f t="shared" si="2"/>
        <v>16224</v>
      </c>
    </row>
    <row r="33242">
      <c r="A33242" s="48" t="s">
        <v>7332</v>
      </c>
      <c r="B33242" s="38">
        <v>24318.0</v>
      </c>
      <c r="C33242" s="38" t="s">
        <v>37475</v>
      </c>
      <c r="D33242" s="38" t="str">
        <f>IFERROR(__xludf.DUMMYFUNCTION("REGEXREPLACE(C33242,""-\d+(.*)|--\d+(.*)"","""")"),"PAUNAT")</f>
        <v>PAUNAT</v>
      </c>
      <c r="E33242" s="38" t="s">
        <v>261</v>
      </c>
      <c r="F33242" s="38" t="s">
        <v>252</v>
      </c>
      <c r="G33242" s="49" t="str">
        <f t="shared" si="1"/>
        <v>24510</v>
      </c>
      <c r="H33242" s="49">
        <f t="shared" si="2"/>
        <v>24318</v>
      </c>
    </row>
    <row r="33243">
      <c r="A33243" s="48" t="s">
        <v>409</v>
      </c>
      <c r="B33243" s="38">
        <v>31547.0</v>
      </c>
      <c r="C33243" s="38" t="s">
        <v>37476</v>
      </c>
      <c r="D33243" s="38" t="str">
        <f>IFERROR(__xludf.DUMMYFUNCTION("REGEXREPLACE(C33243,""-\d+(.*)|--\d+(.*)"","""")"),"SEYSSES")</f>
        <v>SEYSSES</v>
      </c>
      <c r="E33243" s="38" t="s">
        <v>93</v>
      </c>
      <c r="F33243" s="38" t="s">
        <v>94</v>
      </c>
      <c r="G33243" s="49" t="str">
        <f t="shared" si="1"/>
        <v>31600</v>
      </c>
      <c r="H33243" s="49">
        <f t="shared" si="2"/>
        <v>31547</v>
      </c>
    </row>
    <row r="33244">
      <c r="A33244" s="48" t="s">
        <v>7712</v>
      </c>
      <c r="B33244" s="38">
        <v>9138.0</v>
      </c>
      <c r="C33244" s="38" t="s">
        <v>37477</v>
      </c>
      <c r="D33244" s="38" t="str">
        <f>IFERROR(__xludf.DUMMYFUNCTION("REGEXREPLACE(C33244,""-\d+(.*)|--\d+(.*)"","""")"),"L'HERM")</f>
        <v>L'HERM</v>
      </c>
      <c r="E33244" s="38" t="s">
        <v>238</v>
      </c>
      <c r="F33244" s="38" t="s">
        <v>94</v>
      </c>
      <c r="G33244" s="49" t="str">
        <f t="shared" si="1"/>
        <v>09000</v>
      </c>
      <c r="H33244" s="49" t="str">
        <f t="shared" si="2"/>
        <v>09138</v>
      </c>
    </row>
    <row r="33245">
      <c r="A33245" s="48" t="s">
        <v>358</v>
      </c>
      <c r="B33245" s="38">
        <v>10129.0</v>
      </c>
      <c r="C33245" s="38" t="s">
        <v>37478</v>
      </c>
      <c r="D33245" s="38" t="str">
        <f>IFERROR(__xludf.DUMMYFUNCTION("REGEXREPLACE(C33245,""-\d+(.*)|--\d+(.*)"","""")"),"DOSCHES")</f>
        <v>DOSCHES</v>
      </c>
      <c r="E33245" s="38" t="s">
        <v>147</v>
      </c>
      <c r="F33245" s="38" t="s">
        <v>130</v>
      </c>
      <c r="G33245" s="49" t="str">
        <f t="shared" si="1"/>
        <v>10220</v>
      </c>
      <c r="H33245" s="49">
        <f t="shared" si="2"/>
        <v>10129</v>
      </c>
    </row>
    <row r="33246">
      <c r="A33246" s="48" t="s">
        <v>17943</v>
      </c>
      <c r="B33246" s="38">
        <v>60525.0</v>
      </c>
      <c r="C33246" s="38" t="s">
        <v>37479</v>
      </c>
      <c r="D33246" s="38" t="str">
        <f>IFERROR(__xludf.DUMMYFUNCTION("REGEXREPLACE(C33246,""-\d+(.*)|--\d+(.*)"","""")"),"RARAY")</f>
        <v>RARAY</v>
      </c>
      <c r="E33246" s="38" t="s">
        <v>112</v>
      </c>
      <c r="F33246" s="38" t="s">
        <v>113</v>
      </c>
      <c r="G33246" s="49" t="str">
        <f t="shared" si="1"/>
        <v>60810</v>
      </c>
      <c r="H33246" s="49">
        <f t="shared" si="2"/>
        <v>60525</v>
      </c>
    </row>
    <row r="33247">
      <c r="A33247" s="48" t="s">
        <v>1733</v>
      </c>
      <c r="B33247" s="38">
        <v>23164.0</v>
      </c>
      <c r="C33247" s="38" t="s">
        <v>37480</v>
      </c>
      <c r="D33247" s="38" t="str">
        <f>IFERROR(__xludf.DUMMYFUNCTION("REGEXREPLACE(C33247,""-\d+(.*)|--\d+(.*)"","""")"),"ROUGNAT")</f>
        <v>ROUGNAT</v>
      </c>
      <c r="E33247" s="38" t="s">
        <v>97</v>
      </c>
      <c r="F33247" s="38" t="s">
        <v>98</v>
      </c>
      <c r="G33247" s="49" t="str">
        <f t="shared" si="1"/>
        <v>23700</v>
      </c>
      <c r="H33247" s="49">
        <f t="shared" si="2"/>
        <v>23164</v>
      </c>
    </row>
    <row r="33248">
      <c r="A33248" s="48" t="s">
        <v>8003</v>
      </c>
      <c r="B33248" s="38">
        <v>86070.0</v>
      </c>
      <c r="C33248" s="38" t="s">
        <v>37481</v>
      </c>
      <c r="D33248" s="38" t="str">
        <f>IFERROR(__xludf.DUMMYFUNCTION("REGEXREPLACE(C33248,""-\d+(.*)|--\d+(.*)"","""")"),"CHAUVIGNY")</f>
        <v>CHAUVIGNY</v>
      </c>
      <c r="E33248" s="38" t="s">
        <v>529</v>
      </c>
      <c r="F33248" s="38" t="s">
        <v>338</v>
      </c>
      <c r="G33248" s="49" t="str">
        <f t="shared" si="1"/>
        <v>86300</v>
      </c>
      <c r="H33248" s="49">
        <f t="shared" si="2"/>
        <v>86070</v>
      </c>
    </row>
    <row r="33249">
      <c r="A33249" s="48" t="s">
        <v>2288</v>
      </c>
      <c r="B33249" s="38">
        <v>81297.0</v>
      </c>
      <c r="C33249" s="38" t="s">
        <v>37482</v>
      </c>
      <c r="D33249" s="38" t="str">
        <f>IFERROR(__xludf.DUMMYFUNCTION("REGEXREPLACE(C33249,""-\d+(.*)|--\d+(.*)"","""")"),"TERSSAC")</f>
        <v>TERSSAC</v>
      </c>
      <c r="E33249" s="38" t="s">
        <v>231</v>
      </c>
      <c r="F33249" s="38" t="s">
        <v>94</v>
      </c>
      <c r="G33249" s="49" t="str">
        <f t="shared" si="1"/>
        <v>81150</v>
      </c>
      <c r="H33249" s="49">
        <f t="shared" si="2"/>
        <v>81297</v>
      </c>
    </row>
    <row r="33250">
      <c r="A33250" s="48" t="s">
        <v>11910</v>
      </c>
      <c r="B33250" s="38">
        <v>46205.0</v>
      </c>
      <c r="C33250" s="38" t="s">
        <v>37483</v>
      </c>
      <c r="D33250" s="38" t="str">
        <f>IFERROR(__xludf.DUMMYFUNCTION("REGEXREPLACE(C33250,""-\d+(.*)|--\d+(.*)"","""")"),"MONTGESTY")</f>
        <v>MONTGESTY</v>
      </c>
      <c r="E33250" s="38" t="s">
        <v>185</v>
      </c>
      <c r="F33250" s="38" t="s">
        <v>94</v>
      </c>
      <c r="G33250" s="49" t="str">
        <f t="shared" si="1"/>
        <v>46150</v>
      </c>
      <c r="H33250" s="49">
        <f t="shared" si="2"/>
        <v>46205</v>
      </c>
    </row>
    <row r="33251">
      <c r="A33251" s="48" t="s">
        <v>3281</v>
      </c>
      <c r="B33251" s="38">
        <v>40179.0</v>
      </c>
      <c r="C33251" s="38" t="s">
        <v>37484</v>
      </c>
      <c r="D33251" s="38" t="str">
        <f>IFERROR(__xludf.DUMMYFUNCTION("REGEXREPLACE(C33251,""-\d+(.*)|--\d+(.*)"","""")"),"MEES")</f>
        <v>MEES</v>
      </c>
      <c r="E33251" s="38" t="s">
        <v>281</v>
      </c>
      <c r="F33251" s="38" t="s">
        <v>252</v>
      </c>
      <c r="G33251" s="49" t="str">
        <f t="shared" si="1"/>
        <v>40990</v>
      </c>
      <c r="H33251" s="49">
        <f t="shared" si="2"/>
        <v>40179</v>
      </c>
    </row>
    <row r="33252">
      <c r="A33252" s="48" t="s">
        <v>37485</v>
      </c>
      <c r="B33252" s="38">
        <v>69250.0</v>
      </c>
      <c r="C33252" s="38" t="s">
        <v>37486</v>
      </c>
      <c r="D33252" s="38" t="str">
        <f>IFERROR(__xludf.DUMMYFUNCTION("REGEXREPLACE(C33252,""-\d+(.*)|--\d+(.*)"","""")"),"LA TOUR-DE-SALVAGNY")</f>
        <v>LA TOUR-DE-SALVAGNY</v>
      </c>
      <c r="E33252" s="38" t="s">
        <v>350</v>
      </c>
      <c r="F33252" s="38" t="s">
        <v>102</v>
      </c>
      <c r="G33252" s="49" t="str">
        <f t="shared" si="1"/>
        <v>69890</v>
      </c>
      <c r="H33252" s="49">
        <f t="shared" si="2"/>
        <v>69250</v>
      </c>
    </row>
    <row r="33253">
      <c r="A33253" s="48" t="s">
        <v>1903</v>
      </c>
      <c r="B33253" s="38">
        <v>10064.0</v>
      </c>
      <c r="C33253" s="38" t="s">
        <v>37487</v>
      </c>
      <c r="D33253" s="38" t="str">
        <f>IFERROR(__xludf.DUMMYFUNCTION("REGEXREPLACE(C33253,""-\d+(.*)|--\d+(.*)"","""")"),"BRIENNE-LE-CHATEAU")</f>
        <v>BRIENNE-LE-CHATEAU</v>
      </c>
      <c r="E33253" s="38" t="s">
        <v>147</v>
      </c>
      <c r="F33253" s="38" t="s">
        <v>130</v>
      </c>
      <c r="G33253" s="49" t="str">
        <f t="shared" si="1"/>
        <v>10500</v>
      </c>
      <c r="H33253" s="49">
        <f t="shared" si="2"/>
        <v>10064</v>
      </c>
    </row>
    <row r="33254">
      <c r="A33254" s="48" t="s">
        <v>8349</v>
      </c>
      <c r="B33254" s="38">
        <v>34147.0</v>
      </c>
      <c r="C33254" s="38" t="s">
        <v>37488</v>
      </c>
      <c r="D33254" s="38" t="str">
        <f>IFERROR(__xludf.DUMMYFUNCTION("REGEXREPLACE(C33254,""-\d+(.*)|--\d+(.*)"","""")"),"MAGALAS")</f>
        <v>MAGALAS</v>
      </c>
      <c r="E33254" s="38" t="s">
        <v>118</v>
      </c>
      <c r="F33254" s="38" t="s">
        <v>119</v>
      </c>
      <c r="G33254" s="49" t="str">
        <f t="shared" si="1"/>
        <v>34480</v>
      </c>
      <c r="H33254" s="49">
        <f t="shared" si="2"/>
        <v>34147</v>
      </c>
    </row>
    <row r="33255">
      <c r="A33255" s="48" t="s">
        <v>7763</v>
      </c>
      <c r="B33255" s="38">
        <v>89020.0</v>
      </c>
      <c r="C33255" s="38" t="s">
        <v>37489</v>
      </c>
      <c r="D33255" s="38" t="str">
        <f>IFERROR(__xludf.DUMMYFUNCTION("REGEXREPLACE(C33255,""-\d+(.*)|--\d+(.*)"","""")"),"ASNIERES-SOUS-BOIS")</f>
        <v>ASNIERES-SOUS-BOIS</v>
      </c>
      <c r="E33255" s="38" t="s">
        <v>275</v>
      </c>
      <c r="F33255" s="38" t="s">
        <v>106</v>
      </c>
      <c r="G33255" s="49" t="str">
        <f t="shared" si="1"/>
        <v>89660</v>
      </c>
      <c r="H33255" s="49">
        <f t="shared" si="2"/>
        <v>89020</v>
      </c>
    </row>
    <row r="33256">
      <c r="A33256" s="48" t="s">
        <v>8227</v>
      </c>
      <c r="B33256" s="38">
        <v>67145.0</v>
      </c>
      <c r="C33256" s="38" t="s">
        <v>37490</v>
      </c>
      <c r="D33256" s="38" t="str">
        <f>IFERROR(__xludf.DUMMYFUNCTION("REGEXREPLACE(C33256,""-\d+(.*)|--\d+(.*)"","""")"),"FRIEDOLSHEIM")</f>
        <v>FRIEDOLSHEIM</v>
      </c>
      <c r="E33256" s="38" t="s">
        <v>210</v>
      </c>
      <c r="F33256" s="38" t="s">
        <v>151</v>
      </c>
      <c r="G33256" s="49" t="str">
        <f t="shared" si="1"/>
        <v>67490</v>
      </c>
      <c r="H33256" s="49">
        <f t="shared" si="2"/>
        <v>67145</v>
      </c>
    </row>
    <row r="33257">
      <c r="A33257" s="48" t="s">
        <v>1108</v>
      </c>
      <c r="B33257" s="38">
        <v>27405.0</v>
      </c>
      <c r="C33257" s="38" t="s">
        <v>37491</v>
      </c>
      <c r="D33257" s="38" t="str">
        <f>IFERROR(__xludf.DUMMYFUNCTION("REGEXREPLACE(C33257,""-\d+(.*)|--\d+(.*)"","""")"),"MESNIL-SOUS-VIENNE")</f>
        <v>MESNIL-SOUS-VIENNE</v>
      </c>
      <c r="E33257" s="38" t="s">
        <v>241</v>
      </c>
      <c r="F33257" s="38" t="s">
        <v>134</v>
      </c>
      <c r="G33257" s="49" t="str">
        <f t="shared" si="1"/>
        <v>27150</v>
      </c>
      <c r="H33257" s="49">
        <f t="shared" si="2"/>
        <v>27405</v>
      </c>
    </row>
    <row r="33258">
      <c r="A33258" s="48" t="s">
        <v>37492</v>
      </c>
      <c r="B33258" s="38">
        <v>85262.0</v>
      </c>
      <c r="C33258" s="38" t="s">
        <v>37493</v>
      </c>
      <c r="D33258" s="38" t="str">
        <f>IFERROR(__xludf.DUMMYFUNCTION("REGEXREPLACE(C33258,""-\d+(.*)|--\d+(.*)"","""")"),"SAINT-PHILBERT-DE-BOUAINE")</f>
        <v>SAINT-PHILBERT-DE-BOUAINE</v>
      </c>
      <c r="E33258" s="38" t="s">
        <v>179</v>
      </c>
      <c r="F33258" s="38" t="s">
        <v>180</v>
      </c>
      <c r="G33258" s="49" t="str">
        <f t="shared" si="1"/>
        <v>85660</v>
      </c>
      <c r="H33258" s="49">
        <f t="shared" si="2"/>
        <v>85262</v>
      </c>
    </row>
    <row r="33259">
      <c r="A33259" s="48" t="s">
        <v>9436</v>
      </c>
      <c r="B33259" s="38">
        <v>63403.0</v>
      </c>
      <c r="C33259" s="38" t="s">
        <v>17805</v>
      </c>
      <c r="D33259" s="38" t="str">
        <f>IFERROR(__xludf.DUMMYFUNCTION("REGEXREPLACE(C33259,""-\d+(.*)|--\d+(.*)"","""")"),"SAINT-VINCENT")</f>
        <v>SAINT-VINCENT</v>
      </c>
      <c r="E33259" s="38" t="s">
        <v>353</v>
      </c>
      <c r="F33259" s="38" t="s">
        <v>161</v>
      </c>
      <c r="G33259" s="49" t="str">
        <f t="shared" si="1"/>
        <v>63320</v>
      </c>
      <c r="H33259" s="49">
        <f t="shared" si="2"/>
        <v>63403</v>
      </c>
    </row>
    <row r="33260">
      <c r="A33260" s="48" t="s">
        <v>10939</v>
      </c>
      <c r="B33260" s="38">
        <v>77223.0</v>
      </c>
      <c r="C33260" s="38" t="s">
        <v>37494</v>
      </c>
      <c r="D33260" s="38" t="str">
        <f>IFERROR(__xludf.DUMMYFUNCTION("REGEXREPLACE(C33260,""-\d+(.*)|--\d+(.*)"","""")"),"GURCY-LE-CHATEL")</f>
        <v>GURCY-LE-CHATEL</v>
      </c>
      <c r="E33260" s="38" t="s">
        <v>244</v>
      </c>
      <c r="F33260" s="38" t="s">
        <v>245</v>
      </c>
      <c r="G33260" s="49" t="str">
        <f t="shared" si="1"/>
        <v>77520</v>
      </c>
      <c r="H33260" s="49">
        <f t="shared" si="2"/>
        <v>77223</v>
      </c>
    </row>
    <row r="33261">
      <c r="A33261" s="48" t="s">
        <v>2254</v>
      </c>
      <c r="B33261" s="38">
        <v>62343.0</v>
      </c>
      <c r="C33261" s="38" t="s">
        <v>37495</v>
      </c>
      <c r="D33261" s="38" t="str">
        <f>IFERROR(__xludf.DUMMYFUNCTION("REGEXREPLACE(C33261,""-\d+(.*)|--\d+(.*)"","""")"),"FONTAINE-LES-CROISILLES")</f>
        <v>FONTAINE-LES-CROISILLES</v>
      </c>
      <c r="E33261" s="38" t="s">
        <v>109</v>
      </c>
      <c r="F33261" s="38" t="s">
        <v>86</v>
      </c>
      <c r="G33261" s="49" t="str">
        <f t="shared" si="1"/>
        <v>62128</v>
      </c>
      <c r="H33261" s="49">
        <f t="shared" si="2"/>
        <v>62343</v>
      </c>
    </row>
    <row r="33262">
      <c r="A33262" s="48" t="s">
        <v>3508</v>
      </c>
      <c r="B33262" s="38">
        <v>51655.0</v>
      </c>
      <c r="C33262" s="38" t="s">
        <v>37496</v>
      </c>
      <c r="D33262" s="38" t="str">
        <f>IFERROR(__xludf.DUMMYFUNCTION("REGEXREPLACE(C33262,""-\d+(.*)|--\d+(.*)"","""")"),"VOUZY")</f>
        <v>VOUZY</v>
      </c>
      <c r="E33262" s="38" t="s">
        <v>129</v>
      </c>
      <c r="F33262" s="38" t="s">
        <v>130</v>
      </c>
      <c r="G33262" s="49" t="str">
        <f t="shared" si="1"/>
        <v>51130</v>
      </c>
      <c r="H33262" s="49">
        <f t="shared" si="2"/>
        <v>51655</v>
      </c>
    </row>
    <row r="33263">
      <c r="A33263" s="48" t="s">
        <v>767</v>
      </c>
      <c r="B33263" s="38">
        <v>91359.0</v>
      </c>
      <c r="C33263" s="38" t="s">
        <v>37497</v>
      </c>
      <c r="D33263" s="38" t="str">
        <f>IFERROR(__xludf.DUMMYFUNCTION("REGEXREPLACE(C33263,""-\d+(.*)|--\d+(.*)"","""")"),"MAISSE")</f>
        <v>MAISSE</v>
      </c>
      <c r="E33263" s="38" t="s">
        <v>756</v>
      </c>
      <c r="F33263" s="38" t="s">
        <v>245</v>
      </c>
      <c r="G33263" s="49" t="str">
        <f t="shared" si="1"/>
        <v>91720</v>
      </c>
      <c r="H33263" s="49">
        <f t="shared" si="2"/>
        <v>91359</v>
      </c>
    </row>
    <row r="33264">
      <c r="A33264" s="48" t="s">
        <v>732</v>
      </c>
      <c r="B33264" s="38">
        <v>10379.0</v>
      </c>
      <c r="C33264" s="38" t="s">
        <v>30731</v>
      </c>
      <c r="D33264" s="38" t="str">
        <f>IFERROR(__xludf.DUMMYFUNCTION("REGEXREPLACE(C33264,""-\d+(.*)|--\d+(.*)"","""")"),"TORCY-LE-GRAND")</f>
        <v>TORCY-LE-GRAND</v>
      </c>
      <c r="E33264" s="38" t="s">
        <v>147</v>
      </c>
      <c r="F33264" s="38" t="s">
        <v>130</v>
      </c>
      <c r="G33264" s="49" t="str">
        <f t="shared" si="1"/>
        <v>10700</v>
      </c>
      <c r="H33264" s="49">
        <f t="shared" si="2"/>
        <v>10379</v>
      </c>
    </row>
    <row r="33265">
      <c r="A33265" s="48" t="s">
        <v>7414</v>
      </c>
      <c r="B33265" s="38">
        <v>77020.0</v>
      </c>
      <c r="C33265" s="38" t="s">
        <v>37498</v>
      </c>
      <c r="D33265" s="38" t="str">
        <f>IFERROR(__xludf.DUMMYFUNCTION("REGEXREPLACE(C33265,""-\d+(.*)|--\d+(.*)"","""")"),"BANNOST-VILLEGAGNON")</f>
        <v>BANNOST-VILLEGAGNON</v>
      </c>
      <c r="E33265" s="38" t="s">
        <v>244</v>
      </c>
      <c r="F33265" s="38" t="s">
        <v>245</v>
      </c>
      <c r="G33265" s="49" t="str">
        <f t="shared" si="1"/>
        <v>77970</v>
      </c>
      <c r="H33265" s="49">
        <f t="shared" si="2"/>
        <v>77020</v>
      </c>
    </row>
    <row r="33266">
      <c r="A33266" s="48" t="s">
        <v>3444</v>
      </c>
      <c r="B33266" s="38">
        <v>38301.0</v>
      </c>
      <c r="C33266" s="38" t="s">
        <v>28415</v>
      </c>
      <c r="D33266" s="38" t="str">
        <f>IFERROR(__xludf.DUMMYFUNCTION("REGEXREPLACE(C33266,""-\d+(.*)|--\d+(.*)"","""")"),"PERCY")</f>
        <v>PERCY</v>
      </c>
      <c r="E33266" s="38" t="s">
        <v>101</v>
      </c>
      <c r="F33266" s="38" t="s">
        <v>102</v>
      </c>
      <c r="G33266" s="49" t="str">
        <f t="shared" si="1"/>
        <v>38930</v>
      </c>
      <c r="H33266" s="49">
        <f t="shared" si="2"/>
        <v>38301</v>
      </c>
    </row>
    <row r="33267">
      <c r="A33267" s="48" t="s">
        <v>987</v>
      </c>
      <c r="B33267" s="38">
        <v>40005.0</v>
      </c>
      <c r="C33267" s="38" t="s">
        <v>37499</v>
      </c>
      <c r="D33267" s="38" t="str">
        <f>IFERROR(__xludf.DUMMYFUNCTION("REGEXREPLACE(C33267,""-\d+(.*)|--\d+(.*)"","""")"),"ARBOUCAVE")</f>
        <v>ARBOUCAVE</v>
      </c>
      <c r="E33267" s="38" t="s">
        <v>281</v>
      </c>
      <c r="F33267" s="38" t="s">
        <v>252</v>
      </c>
      <c r="G33267" s="49" t="str">
        <f t="shared" si="1"/>
        <v>40320</v>
      </c>
      <c r="H33267" s="49">
        <f t="shared" si="2"/>
        <v>40005</v>
      </c>
    </row>
    <row r="33268">
      <c r="A33268" s="48" t="s">
        <v>5693</v>
      </c>
      <c r="B33268" s="38">
        <v>50144.0</v>
      </c>
      <c r="C33268" s="38" t="s">
        <v>37500</v>
      </c>
      <c r="D33268" s="38" t="str">
        <f>IFERROR(__xludf.DUMMYFUNCTION("REGEXREPLACE(C33268,""-\d+(.*)|--\d+(.*)"","""")"),"COULOUVRAY-BOISBENATRE")</f>
        <v>COULOUVRAY-BOISBENATRE</v>
      </c>
      <c r="E33268" s="38" t="s">
        <v>157</v>
      </c>
      <c r="F33268" s="38" t="s">
        <v>138</v>
      </c>
      <c r="G33268" s="49" t="str">
        <f t="shared" si="1"/>
        <v>50670</v>
      </c>
      <c r="H33268" s="49">
        <f t="shared" si="2"/>
        <v>50144</v>
      </c>
    </row>
    <row r="33269">
      <c r="A33269" s="48" t="s">
        <v>4898</v>
      </c>
      <c r="B33269" s="38">
        <v>27635.0</v>
      </c>
      <c r="C33269" s="38" t="s">
        <v>37501</v>
      </c>
      <c r="D33269" s="38" t="str">
        <f>IFERROR(__xludf.DUMMYFUNCTION("REGEXREPLACE(C33269,""-\d+(.*)|--\d+(.*)"","""")"),"LE THUIT")</f>
        <v>LE THUIT</v>
      </c>
      <c r="E33269" s="38" t="s">
        <v>241</v>
      </c>
      <c r="F33269" s="38" t="s">
        <v>134</v>
      </c>
      <c r="G33269" s="49" t="str">
        <f t="shared" si="1"/>
        <v>27700</v>
      </c>
      <c r="H33269" s="49">
        <f t="shared" si="2"/>
        <v>27635</v>
      </c>
    </row>
    <row r="33270">
      <c r="A33270" s="48" t="s">
        <v>14417</v>
      </c>
      <c r="B33270" s="38">
        <v>59418.0</v>
      </c>
      <c r="C33270" s="38" t="s">
        <v>37502</v>
      </c>
      <c r="D33270" s="38" t="str">
        <f>IFERROR(__xludf.DUMMYFUNCTION("REGEXREPLACE(C33270,""-\d+(.*)|--\d+(.*)"","""")"),"MORTAGNE-DU-NORD")</f>
        <v>MORTAGNE-DU-NORD</v>
      </c>
      <c r="E33270" s="38" t="s">
        <v>85</v>
      </c>
      <c r="F33270" s="38" t="s">
        <v>86</v>
      </c>
      <c r="G33270" s="49" t="str">
        <f t="shared" si="1"/>
        <v>59158</v>
      </c>
      <c r="H33270" s="49">
        <f t="shared" si="2"/>
        <v>59418</v>
      </c>
    </row>
    <row r="33271">
      <c r="A33271" s="48" t="s">
        <v>5525</v>
      </c>
      <c r="B33271" s="38">
        <v>10070.0</v>
      </c>
      <c r="C33271" s="38" t="s">
        <v>37503</v>
      </c>
      <c r="D33271" s="38" t="str">
        <f>IFERROR(__xludf.DUMMYFUNCTION("REGEXREPLACE(C33271,""-\d+(.*)|--\d+(.*)"","""")"),"CELLES-SUR-OURCE")</f>
        <v>CELLES-SUR-OURCE</v>
      </c>
      <c r="E33271" s="38" t="s">
        <v>147</v>
      </c>
      <c r="F33271" s="38" t="s">
        <v>130</v>
      </c>
      <c r="G33271" s="49" t="str">
        <f t="shared" si="1"/>
        <v>10110</v>
      </c>
      <c r="H33271" s="49">
        <f t="shared" si="2"/>
        <v>10070</v>
      </c>
    </row>
    <row r="33272">
      <c r="A33272" s="48" t="s">
        <v>2532</v>
      </c>
      <c r="B33272" s="38">
        <v>51313.0</v>
      </c>
      <c r="C33272" s="38" t="s">
        <v>37504</v>
      </c>
      <c r="D33272" s="38" t="str">
        <f>IFERROR(__xludf.DUMMYFUNCTION("REGEXREPLACE(C33272,""-\d+(.*)|--\d+(.*)"","""")"),"LACHY")</f>
        <v>LACHY</v>
      </c>
      <c r="E33272" s="38" t="s">
        <v>129</v>
      </c>
      <c r="F33272" s="38" t="s">
        <v>130</v>
      </c>
      <c r="G33272" s="49" t="str">
        <f t="shared" si="1"/>
        <v>51120</v>
      </c>
      <c r="H33272" s="49">
        <f t="shared" si="2"/>
        <v>51313</v>
      </c>
    </row>
    <row r="33273">
      <c r="A33273" s="48" t="s">
        <v>4119</v>
      </c>
      <c r="B33273" s="38">
        <v>36220.0</v>
      </c>
      <c r="C33273" s="38" t="s">
        <v>26086</v>
      </c>
      <c r="D33273" s="38" t="str">
        <f>IFERROR(__xludf.DUMMYFUNCTION("REGEXREPLACE(C33273,""-\d+(.*)|--\d+(.*)"","""")"),"THENAY")</f>
        <v>THENAY</v>
      </c>
      <c r="E33273" s="38" t="s">
        <v>258</v>
      </c>
      <c r="F33273" s="38" t="s">
        <v>123</v>
      </c>
      <c r="G33273" s="49" t="str">
        <f t="shared" si="1"/>
        <v>36800</v>
      </c>
      <c r="H33273" s="49">
        <f t="shared" si="2"/>
        <v>36220</v>
      </c>
    </row>
    <row r="33274">
      <c r="A33274" s="48" t="s">
        <v>9905</v>
      </c>
      <c r="B33274" s="38">
        <v>65014.0</v>
      </c>
      <c r="C33274" s="38" t="s">
        <v>37505</v>
      </c>
      <c r="D33274" s="38" t="str">
        <f>IFERROR(__xludf.DUMMYFUNCTION("REGEXREPLACE(C33274,""-\d+(.*)|--\d+(.*)"","""")"),"ANTICHAN")</f>
        <v>ANTICHAN</v>
      </c>
      <c r="E33274" s="38" t="s">
        <v>200</v>
      </c>
      <c r="F33274" s="38" t="s">
        <v>94</v>
      </c>
      <c r="G33274" s="49" t="str">
        <f t="shared" si="1"/>
        <v>65370</v>
      </c>
      <c r="H33274" s="49">
        <f t="shared" si="2"/>
        <v>65014</v>
      </c>
    </row>
    <row r="33275">
      <c r="A33275" s="48" t="s">
        <v>1752</v>
      </c>
      <c r="B33275" s="38">
        <v>49080.0</v>
      </c>
      <c r="C33275" s="38" t="s">
        <v>37506</v>
      </c>
      <c r="D33275" s="38" t="str">
        <f>IFERROR(__xludf.DUMMYFUNCTION("REGEXREPLACE(C33275,""-\d+(.*)|--\d+(.*)"","""")"),"CHATEAUNEUF-SUR-SARTHE")</f>
        <v>CHATEAUNEUF-SUR-SARTHE</v>
      </c>
      <c r="E33275" s="38" t="s">
        <v>653</v>
      </c>
      <c r="F33275" s="38" t="s">
        <v>180</v>
      </c>
      <c r="G33275" s="49" t="str">
        <f t="shared" si="1"/>
        <v>49330</v>
      </c>
      <c r="H33275" s="49">
        <f t="shared" si="2"/>
        <v>49080</v>
      </c>
    </row>
    <row r="33276">
      <c r="A33276" s="48" t="s">
        <v>22242</v>
      </c>
      <c r="B33276" s="38">
        <v>63347.0</v>
      </c>
      <c r="C33276" s="38" t="s">
        <v>37507</v>
      </c>
      <c r="D33276" s="38" t="str">
        <f>IFERROR(__xludf.DUMMYFUNCTION("REGEXREPLACE(C33276,""-\d+(.*)|--\d+(.*)"","""")"),"SAINT-GENES-DU-RETZ")</f>
        <v>SAINT-GENES-DU-RETZ</v>
      </c>
      <c r="E33276" s="38" t="s">
        <v>353</v>
      </c>
      <c r="F33276" s="38" t="s">
        <v>161</v>
      </c>
      <c r="G33276" s="49" t="str">
        <f t="shared" si="1"/>
        <v>63260</v>
      </c>
      <c r="H33276" s="49">
        <f t="shared" si="2"/>
        <v>63347</v>
      </c>
    </row>
    <row r="33277">
      <c r="A33277" s="48" t="s">
        <v>3827</v>
      </c>
      <c r="B33277" s="38">
        <v>58238.0</v>
      </c>
      <c r="C33277" s="38" t="s">
        <v>13362</v>
      </c>
      <c r="D33277" s="38" t="str">
        <f>IFERROR(__xludf.DUMMYFUNCTION("REGEXREPLACE(C33277,""-\d+(.*)|--\d+(.*)"","""")"),"SAINT-ELOI")</f>
        <v>SAINT-ELOI</v>
      </c>
      <c r="E33277" s="38" t="s">
        <v>219</v>
      </c>
      <c r="F33277" s="38" t="s">
        <v>106</v>
      </c>
      <c r="G33277" s="49" t="str">
        <f t="shared" si="1"/>
        <v>58000</v>
      </c>
      <c r="H33277" s="49">
        <f t="shared" si="2"/>
        <v>58238</v>
      </c>
    </row>
    <row r="33278">
      <c r="A33278" s="48" t="s">
        <v>232</v>
      </c>
      <c r="B33278" s="38">
        <v>52439.0</v>
      </c>
      <c r="C33278" s="38" t="s">
        <v>37508</v>
      </c>
      <c r="D33278" s="38" t="str">
        <f>IFERROR(__xludf.DUMMYFUNCTION("REGEXREPLACE(C33278,""-\d+(.*)|--\d+(.*)"","""")"),"ROUVRES-SUR-AUBE")</f>
        <v>ROUVRES-SUR-AUBE</v>
      </c>
      <c r="E33278" s="38" t="s">
        <v>234</v>
      </c>
      <c r="F33278" s="38" t="s">
        <v>130</v>
      </c>
      <c r="G33278" s="49" t="str">
        <f t="shared" si="1"/>
        <v>52160</v>
      </c>
      <c r="H33278" s="49">
        <f t="shared" si="2"/>
        <v>52439</v>
      </c>
    </row>
    <row r="33279">
      <c r="A33279" s="48" t="s">
        <v>10312</v>
      </c>
      <c r="B33279" s="38">
        <v>32253.0</v>
      </c>
      <c r="C33279" s="38" t="s">
        <v>37509</v>
      </c>
      <c r="D33279" s="38" t="str">
        <f>IFERROR(__xludf.DUMMYFUNCTION("REGEXREPLACE(C33279,""-\d+(.*)|--\d+(.*)"","""")"),"MIRADOUX")</f>
        <v>MIRADOUX</v>
      </c>
      <c r="E33279" s="38" t="s">
        <v>440</v>
      </c>
      <c r="F33279" s="38" t="s">
        <v>94</v>
      </c>
      <c r="G33279" s="49" t="str">
        <f t="shared" si="1"/>
        <v>32340</v>
      </c>
      <c r="H33279" s="49">
        <f t="shared" si="2"/>
        <v>32253</v>
      </c>
    </row>
    <row r="33280">
      <c r="A33280" s="48" t="s">
        <v>37510</v>
      </c>
      <c r="B33280" s="38">
        <v>1419.0</v>
      </c>
      <c r="C33280" s="38" t="s">
        <v>24007</v>
      </c>
      <c r="D33280" s="38" t="str">
        <f>IFERROR(__xludf.DUMMYFUNCTION("REGEXREPLACE(C33280,""-\d+(.*)|--\d+(.*)"","""")"),"THOIRY")</f>
        <v>THOIRY</v>
      </c>
      <c r="E33280" s="38" t="s">
        <v>255</v>
      </c>
      <c r="F33280" s="38" t="s">
        <v>102</v>
      </c>
      <c r="G33280" s="49" t="str">
        <f t="shared" si="1"/>
        <v>01710</v>
      </c>
      <c r="H33280" s="49" t="str">
        <f t="shared" si="2"/>
        <v>01419</v>
      </c>
    </row>
    <row r="33281">
      <c r="A33281" s="48" t="s">
        <v>5262</v>
      </c>
      <c r="B33281" s="38">
        <v>15045.0</v>
      </c>
      <c r="C33281" s="38" t="s">
        <v>37511</v>
      </c>
      <c r="D33281" s="38" t="str">
        <f>IFERROR(__xludf.DUMMYFUNCTION("REGEXREPLACE(C33281,""-\d+(.*)|--\d+(.*)"","""")"),"CHAUDES-AIGUES")</f>
        <v>CHAUDES-AIGUES</v>
      </c>
      <c r="E33281" s="38" t="s">
        <v>632</v>
      </c>
      <c r="F33281" s="38" t="s">
        <v>161</v>
      </c>
      <c r="G33281" s="49" t="str">
        <f t="shared" si="1"/>
        <v>15110</v>
      </c>
      <c r="H33281" s="49">
        <f t="shared" si="2"/>
        <v>15045</v>
      </c>
    </row>
    <row r="33282">
      <c r="A33282" s="48" t="s">
        <v>1018</v>
      </c>
      <c r="B33282" s="38">
        <v>60614.0</v>
      </c>
      <c r="C33282" s="38" t="s">
        <v>24370</v>
      </c>
      <c r="D33282" s="38" t="str">
        <f>IFERROR(__xludf.DUMMYFUNCTION("REGEXREPLACE(C33282,""-\d+(.*)|--\d+(.*)"","""")"),"SERANS")</f>
        <v>SERANS</v>
      </c>
      <c r="E33282" s="38" t="s">
        <v>112</v>
      </c>
      <c r="F33282" s="38" t="s">
        <v>113</v>
      </c>
      <c r="G33282" s="49" t="str">
        <f t="shared" si="1"/>
        <v>60240</v>
      </c>
      <c r="H33282" s="49">
        <f t="shared" si="2"/>
        <v>60614</v>
      </c>
    </row>
    <row r="33283">
      <c r="A33283" s="48" t="s">
        <v>3747</v>
      </c>
      <c r="B33283" s="38">
        <v>52043.0</v>
      </c>
      <c r="C33283" s="38" t="s">
        <v>10049</v>
      </c>
      <c r="D33283" s="38" t="str">
        <f>IFERROR(__xludf.DUMMYFUNCTION("REGEXREPLACE(C33283,""-\d+(.*)|--\d+(.*)"","""")"),"BELMONT")</f>
        <v>BELMONT</v>
      </c>
      <c r="E33283" s="38" t="s">
        <v>234</v>
      </c>
      <c r="F33283" s="38" t="s">
        <v>130</v>
      </c>
      <c r="G33283" s="49" t="str">
        <f t="shared" si="1"/>
        <v>52500</v>
      </c>
      <c r="H33283" s="49">
        <f t="shared" si="2"/>
        <v>52043</v>
      </c>
    </row>
    <row r="33284">
      <c r="A33284" s="48" t="s">
        <v>1697</v>
      </c>
      <c r="B33284" s="38">
        <v>39207.0</v>
      </c>
      <c r="C33284" s="38" t="s">
        <v>37512</v>
      </c>
      <c r="D33284" s="38" t="str">
        <f>IFERROR(__xludf.DUMMYFUNCTION("REGEXREPLACE(C33284,""-\d+(.*)|--\d+(.*)"","""")"),"ECRILLE")</f>
        <v>ECRILLE</v>
      </c>
      <c r="E33284" s="38" t="s">
        <v>400</v>
      </c>
      <c r="F33284" s="38" t="s">
        <v>214</v>
      </c>
      <c r="G33284" s="49" t="str">
        <f t="shared" si="1"/>
        <v>39270</v>
      </c>
      <c r="H33284" s="49">
        <f t="shared" si="2"/>
        <v>39207</v>
      </c>
    </row>
    <row r="33285">
      <c r="A33285" s="48" t="s">
        <v>7353</v>
      </c>
      <c r="B33285" s="38">
        <v>26222.0</v>
      </c>
      <c r="C33285" s="38" t="s">
        <v>37513</v>
      </c>
      <c r="D33285" s="38" t="str">
        <f>IFERROR(__xludf.DUMMYFUNCTION("REGEXREPLACE(C33285,""-\d+(.*)|--\d+(.*)"","""")"),"ORCINAS")</f>
        <v>ORCINAS</v>
      </c>
      <c r="E33285" s="38" t="s">
        <v>126</v>
      </c>
      <c r="F33285" s="38" t="s">
        <v>102</v>
      </c>
      <c r="G33285" s="49" t="str">
        <f t="shared" si="1"/>
        <v>26220</v>
      </c>
      <c r="H33285" s="49">
        <f t="shared" si="2"/>
        <v>26222</v>
      </c>
    </row>
    <row r="33286">
      <c r="A33286" s="48" t="s">
        <v>12477</v>
      </c>
      <c r="B33286" s="38">
        <v>27346.0</v>
      </c>
      <c r="C33286" s="38" t="s">
        <v>37514</v>
      </c>
      <c r="D33286" s="38" t="str">
        <f>IFERROR(__xludf.DUMMYFUNCTION("REGEXREPLACE(C33286,""-\d+(.*)|--\d+(.*)"","""")"),"HOUVILLE-EN-VEXIN")</f>
        <v>HOUVILLE-EN-VEXIN</v>
      </c>
      <c r="E33286" s="38" t="s">
        <v>241</v>
      </c>
      <c r="F33286" s="38" t="s">
        <v>134</v>
      </c>
      <c r="G33286" s="49" t="str">
        <f t="shared" si="1"/>
        <v>27440</v>
      </c>
      <c r="H33286" s="49">
        <f t="shared" si="2"/>
        <v>27346</v>
      </c>
    </row>
    <row r="33287">
      <c r="A33287" s="48" t="s">
        <v>15517</v>
      </c>
      <c r="B33287" s="38">
        <v>41140.0</v>
      </c>
      <c r="C33287" s="38" t="s">
        <v>37515</v>
      </c>
      <c r="D33287" s="38" t="str">
        <f>IFERROR(__xludf.DUMMYFUNCTION("REGEXREPLACE(C33287,""-\d+(.*)|--\d+(.*)"","""")"),"MILLANCAY")</f>
        <v>MILLANCAY</v>
      </c>
      <c r="E33287" s="38" t="s">
        <v>188</v>
      </c>
      <c r="F33287" s="38" t="s">
        <v>123</v>
      </c>
      <c r="G33287" s="49" t="str">
        <f t="shared" si="1"/>
        <v>41200</v>
      </c>
      <c r="H33287" s="49">
        <f t="shared" si="2"/>
        <v>41140</v>
      </c>
    </row>
    <row r="33288">
      <c r="A33288" s="48" t="s">
        <v>3761</v>
      </c>
      <c r="B33288" s="38">
        <v>50085.0</v>
      </c>
      <c r="C33288" s="38" t="s">
        <v>37516</v>
      </c>
      <c r="D33288" s="38" t="str">
        <f>IFERROR(__xludf.DUMMYFUNCTION("REGEXREPLACE(C33288,""-\d+(.*)|--\d+(.*)"","""")"),"BRICQUEVILLE-SUR-MER")</f>
        <v>BRICQUEVILLE-SUR-MER</v>
      </c>
      <c r="E33288" s="38" t="s">
        <v>157</v>
      </c>
      <c r="F33288" s="38" t="s">
        <v>138</v>
      </c>
      <c r="G33288" s="49" t="str">
        <f t="shared" si="1"/>
        <v>50290</v>
      </c>
      <c r="H33288" s="49">
        <f t="shared" si="2"/>
        <v>50085</v>
      </c>
    </row>
    <row r="33289">
      <c r="A33289" s="48" t="s">
        <v>2540</v>
      </c>
      <c r="B33289" s="38">
        <v>2187.0</v>
      </c>
      <c r="C33289" s="38" t="s">
        <v>37517</v>
      </c>
      <c r="D33289" s="38" t="str">
        <f>IFERROR(__xludf.DUMMYFUNCTION("REGEXREPLACE(C33289,""-\d+(.*)|--\d+(.*)"","""")"),"CHIERRY")</f>
        <v>CHIERRY</v>
      </c>
      <c r="E33289" s="38" t="s">
        <v>191</v>
      </c>
      <c r="F33289" s="38" t="s">
        <v>113</v>
      </c>
      <c r="G33289" s="49" t="str">
        <f t="shared" si="1"/>
        <v>02400</v>
      </c>
      <c r="H33289" s="49" t="str">
        <f t="shared" si="2"/>
        <v>02187</v>
      </c>
    </row>
    <row r="33290">
      <c r="A33290" s="48" t="s">
        <v>13080</v>
      </c>
      <c r="B33290" s="38">
        <v>71424.0</v>
      </c>
      <c r="C33290" s="38" t="s">
        <v>37518</v>
      </c>
      <c r="D33290" s="38" t="str">
        <f>IFERROR(__xludf.DUMMYFUNCTION("REGEXREPLACE(C33290,""-\d+(.*)|--\d+(.*)"","""")"),"SAINT-GERVAIS-SUR-COUCHES")</f>
        <v>SAINT-GERVAIS-SUR-COUCHES</v>
      </c>
      <c r="E33290" s="38" t="s">
        <v>344</v>
      </c>
      <c r="F33290" s="38" t="s">
        <v>106</v>
      </c>
      <c r="G33290" s="49" t="str">
        <f t="shared" si="1"/>
        <v>71490</v>
      </c>
      <c r="H33290" s="49">
        <f t="shared" si="2"/>
        <v>71424</v>
      </c>
    </row>
    <row r="33291">
      <c r="A33291" s="48" t="s">
        <v>4193</v>
      </c>
      <c r="B33291" s="38">
        <v>17427.0</v>
      </c>
      <c r="C33291" s="38" t="s">
        <v>37519</v>
      </c>
      <c r="D33291" s="38" t="str">
        <f>IFERROR(__xludf.DUMMYFUNCTION("REGEXREPLACE(C33291,""-\d+(.*)|--\d+(.*)"","""")"),"SIECQ")</f>
        <v>SIECQ</v>
      </c>
      <c r="E33291" s="38" t="s">
        <v>488</v>
      </c>
      <c r="F33291" s="38" t="s">
        <v>338</v>
      </c>
      <c r="G33291" s="49" t="str">
        <f t="shared" si="1"/>
        <v>17490</v>
      </c>
      <c r="H33291" s="49">
        <f t="shared" si="2"/>
        <v>17427</v>
      </c>
    </row>
    <row r="33292">
      <c r="A33292" s="48" t="s">
        <v>1669</v>
      </c>
      <c r="B33292" s="38">
        <v>21323.0</v>
      </c>
      <c r="C33292" s="38" t="s">
        <v>37520</v>
      </c>
      <c r="D33292" s="38" t="str">
        <f>IFERROR(__xludf.DUMMYFUNCTION("REGEXREPLACE(C33292,""-\d+(.*)|--\d+(.*)"","""")"),"JANCIGNY")</f>
        <v>JANCIGNY</v>
      </c>
      <c r="E33292" s="38" t="s">
        <v>105</v>
      </c>
      <c r="F33292" s="38" t="s">
        <v>106</v>
      </c>
      <c r="G33292" s="49" t="str">
        <f t="shared" si="1"/>
        <v>21310</v>
      </c>
      <c r="H33292" s="49">
        <f t="shared" si="2"/>
        <v>21323</v>
      </c>
    </row>
    <row r="33293">
      <c r="A33293" s="48" t="s">
        <v>724</v>
      </c>
      <c r="B33293" s="38">
        <v>32375.0</v>
      </c>
      <c r="C33293" s="38" t="s">
        <v>37521</v>
      </c>
      <c r="D33293" s="38" t="str">
        <f>IFERROR(__xludf.DUMMYFUNCTION("REGEXREPLACE(C33293,""-\d+(.*)|--\d+(.*)"","""")"),"SAINT-ELIX-THEUX")</f>
        <v>SAINT-ELIX-THEUX</v>
      </c>
      <c r="E33293" s="38" t="s">
        <v>440</v>
      </c>
      <c r="F33293" s="38" t="s">
        <v>94</v>
      </c>
      <c r="G33293" s="49" t="str">
        <f t="shared" si="1"/>
        <v>32300</v>
      </c>
      <c r="H33293" s="49">
        <f t="shared" si="2"/>
        <v>32375</v>
      </c>
    </row>
    <row r="33294">
      <c r="A33294" s="48" t="s">
        <v>10034</v>
      </c>
      <c r="B33294" s="38">
        <v>78050.0</v>
      </c>
      <c r="C33294" s="38" t="s">
        <v>37522</v>
      </c>
      <c r="D33294" s="38" t="str">
        <f>IFERROR(__xludf.DUMMYFUNCTION("REGEXREPLACE(C33294,""-\d+(.*)|--\d+(.*)"","""")"),"BAZOCHES-SUR-GUYONNE")</f>
        <v>BAZOCHES-SUR-GUYONNE</v>
      </c>
      <c r="E33294" s="38" t="s">
        <v>362</v>
      </c>
      <c r="F33294" s="38" t="s">
        <v>245</v>
      </c>
      <c r="G33294" s="49" t="str">
        <f t="shared" si="1"/>
        <v>78490</v>
      </c>
      <c r="H33294" s="49">
        <f t="shared" si="2"/>
        <v>78050</v>
      </c>
    </row>
    <row r="33295">
      <c r="A33295" s="48" t="s">
        <v>4594</v>
      </c>
      <c r="B33295" s="38">
        <v>62089.0</v>
      </c>
      <c r="C33295" s="38" t="s">
        <v>37523</v>
      </c>
      <c r="D33295" s="38" t="str">
        <f>IFERROR(__xludf.DUMMYFUNCTION("REGEXREPLACE(C33295,""-\d+(.*)|--\d+(.*)"","""")"),"BAZINGHEN")</f>
        <v>BAZINGHEN</v>
      </c>
      <c r="E33295" s="38" t="s">
        <v>109</v>
      </c>
      <c r="F33295" s="38" t="s">
        <v>86</v>
      </c>
      <c r="G33295" s="49" t="str">
        <f t="shared" si="1"/>
        <v>62250</v>
      </c>
      <c r="H33295" s="49">
        <f t="shared" si="2"/>
        <v>62089</v>
      </c>
    </row>
    <row r="33296">
      <c r="A33296" s="48" t="s">
        <v>22573</v>
      </c>
      <c r="B33296" s="38">
        <v>18065.0</v>
      </c>
      <c r="C33296" s="38" t="s">
        <v>37524</v>
      </c>
      <c r="D33296" s="38" t="str">
        <f>IFERROR(__xludf.DUMMYFUNCTION("REGEXREPLACE(C33296,""-\d+(.*)|--\d+(.*)"","""")"),"CHEZAL-BENOIT")</f>
        <v>CHEZAL-BENOIT</v>
      </c>
      <c r="E33296" s="38" t="s">
        <v>504</v>
      </c>
      <c r="F33296" s="38" t="s">
        <v>123</v>
      </c>
      <c r="G33296" s="49" t="str">
        <f t="shared" si="1"/>
        <v>18160</v>
      </c>
      <c r="H33296" s="49">
        <f t="shared" si="2"/>
        <v>18065</v>
      </c>
    </row>
    <row r="33297">
      <c r="A33297" s="48" t="s">
        <v>8904</v>
      </c>
      <c r="B33297" s="38">
        <v>48074.0</v>
      </c>
      <c r="C33297" s="38" t="s">
        <v>37525</v>
      </c>
      <c r="D33297" s="38" t="str">
        <f>IFERROR(__xludf.DUMMYFUNCTION("REGEXREPLACE(C33297,""-\d+(.*)|--\d+(.*)"","""")"),"HURES-LA-PARADE")</f>
        <v>HURES-LA-PARADE</v>
      </c>
      <c r="E33297" s="38" t="s">
        <v>154</v>
      </c>
      <c r="F33297" s="38" t="s">
        <v>119</v>
      </c>
      <c r="G33297" s="49" t="str">
        <f t="shared" si="1"/>
        <v>48150</v>
      </c>
      <c r="H33297" s="49">
        <f t="shared" si="2"/>
        <v>48074</v>
      </c>
    </row>
    <row r="33298">
      <c r="A33298" s="48" t="s">
        <v>2278</v>
      </c>
      <c r="B33298" s="38">
        <v>80778.0</v>
      </c>
      <c r="C33298" s="38" t="s">
        <v>37526</v>
      </c>
      <c r="D33298" s="38" t="str">
        <f>IFERROR(__xludf.DUMMYFUNCTION("REGEXREPLACE(C33298,""-\d+(.*)|--\d+(.*)"","""")"),"VAUCHELLES-LES-DOMART")</f>
        <v>VAUCHELLES-LES-DOMART</v>
      </c>
      <c r="E33298" s="38" t="s">
        <v>224</v>
      </c>
      <c r="F33298" s="38" t="s">
        <v>113</v>
      </c>
      <c r="G33298" s="49" t="str">
        <f t="shared" si="1"/>
        <v>80620</v>
      </c>
      <c r="H33298" s="49">
        <f t="shared" si="2"/>
        <v>80778</v>
      </c>
    </row>
    <row r="33299">
      <c r="A33299" s="48" t="s">
        <v>1903</v>
      </c>
      <c r="B33299" s="38">
        <v>10171.0</v>
      </c>
      <c r="C33299" s="38" t="s">
        <v>37527</v>
      </c>
      <c r="D33299" s="38" t="str">
        <f>IFERROR(__xludf.DUMMYFUNCTION("REGEXREPLACE(C33299,""-\d+(.*)|--\d+(.*)"","""")"),"HAMPIGNY")</f>
        <v>HAMPIGNY</v>
      </c>
      <c r="E33299" s="38" t="s">
        <v>147</v>
      </c>
      <c r="F33299" s="38" t="s">
        <v>130</v>
      </c>
      <c r="G33299" s="49" t="str">
        <f t="shared" si="1"/>
        <v>10500</v>
      </c>
      <c r="H33299" s="49">
        <f t="shared" si="2"/>
        <v>10171</v>
      </c>
    </row>
    <row r="33300">
      <c r="A33300" s="48" t="s">
        <v>9174</v>
      </c>
      <c r="B33300" s="38">
        <v>35192.0</v>
      </c>
      <c r="C33300" s="38" t="s">
        <v>37528</v>
      </c>
      <c r="D33300" s="38" t="str">
        <f>IFERROR(__xludf.DUMMYFUNCTION("REGEXREPLACE(C33300,""-\d+(.*)|--\d+(.*)"","""")"),"MONTREUIL-DES-LANDES")</f>
        <v>MONTREUIL-DES-LANDES</v>
      </c>
      <c r="E33300" s="38" t="s">
        <v>347</v>
      </c>
      <c r="F33300" s="38" t="s">
        <v>90</v>
      </c>
      <c r="G33300" s="49" t="str">
        <f t="shared" si="1"/>
        <v>35210</v>
      </c>
      <c r="H33300" s="49">
        <f t="shared" si="2"/>
        <v>35192</v>
      </c>
    </row>
    <row r="33301">
      <c r="A33301" s="48" t="s">
        <v>3759</v>
      </c>
      <c r="B33301" s="38">
        <v>17181.0</v>
      </c>
      <c r="C33301" s="38" t="s">
        <v>37529</v>
      </c>
      <c r="D33301" s="38" t="str">
        <f>IFERROR(__xludf.DUMMYFUNCTION("REGEXREPLACE(C33301,""-\d+(.*)|--\d+(.*)"","""")"),"GRANDJEAN")</f>
        <v>GRANDJEAN</v>
      </c>
      <c r="E33301" s="38" t="s">
        <v>488</v>
      </c>
      <c r="F33301" s="38" t="s">
        <v>338</v>
      </c>
      <c r="G33301" s="49" t="str">
        <f t="shared" si="1"/>
        <v>17350</v>
      </c>
      <c r="H33301" s="49">
        <f t="shared" si="2"/>
        <v>17181</v>
      </c>
    </row>
    <row r="33302">
      <c r="A33302" s="48" t="s">
        <v>4088</v>
      </c>
      <c r="B33302" s="38">
        <v>39473.0</v>
      </c>
      <c r="C33302" s="38" t="s">
        <v>37530</v>
      </c>
      <c r="D33302" s="38" t="str">
        <f>IFERROR(__xludf.DUMMYFUNCTION("REGEXREPLACE(C33302,""-\d+(.*)|--\d+(.*)"","""")"),"SAFFLOZ")</f>
        <v>SAFFLOZ</v>
      </c>
      <c r="E33302" s="38" t="s">
        <v>400</v>
      </c>
      <c r="F33302" s="38" t="s">
        <v>214</v>
      </c>
      <c r="G33302" s="49" t="str">
        <f t="shared" si="1"/>
        <v>39130</v>
      </c>
      <c r="H33302" s="49">
        <f t="shared" si="2"/>
        <v>39473</v>
      </c>
    </row>
    <row r="33303">
      <c r="A33303" s="48" t="s">
        <v>1959</v>
      </c>
      <c r="B33303" s="38">
        <v>82186.0</v>
      </c>
      <c r="C33303" s="38" t="s">
        <v>2546</v>
      </c>
      <c r="D33303" s="38" t="str">
        <f>IFERROR(__xludf.DUMMYFUNCTION("REGEXREPLACE(C33303,""-\d+(.*)|--\d+(.*)"","""")"),"VALENCE")</f>
        <v>VALENCE</v>
      </c>
      <c r="E33303" s="38" t="s">
        <v>570</v>
      </c>
      <c r="F33303" s="38" t="s">
        <v>94</v>
      </c>
      <c r="G33303" s="49" t="str">
        <f t="shared" si="1"/>
        <v>82400</v>
      </c>
      <c r="H33303" s="49">
        <f t="shared" si="2"/>
        <v>82186</v>
      </c>
    </row>
    <row r="33304">
      <c r="A33304" s="48" t="s">
        <v>5198</v>
      </c>
      <c r="B33304" s="38">
        <v>39499.0</v>
      </c>
      <c r="C33304" s="38" t="s">
        <v>37531</v>
      </c>
      <c r="D33304" s="38" t="str">
        <f>IFERROR(__xludf.DUMMYFUNCTION("REGEXREPLACE(C33304,""-\d+(.*)|--\d+(.*)"","""")"),"SALIGNEY")</f>
        <v>SALIGNEY</v>
      </c>
      <c r="E33304" s="38" t="s">
        <v>400</v>
      </c>
      <c r="F33304" s="38" t="s">
        <v>214</v>
      </c>
      <c r="G33304" s="49" t="str">
        <f t="shared" si="1"/>
        <v>39350</v>
      </c>
      <c r="H33304" s="49">
        <f t="shared" si="2"/>
        <v>39499</v>
      </c>
    </row>
    <row r="33305">
      <c r="A33305" s="48" t="s">
        <v>3729</v>
      </c>
      <c r="B33305" s="38">
        <v>32091.0</v>
      </c>
      <c r="C33305" s="38" t="s">
        <v>37532</v>
      </c>
      <c r="D33305" s="38" t="str">
        <f>IFERROR(__xludf.DUMMYFUNCTION("REGEXREPLACE(C33305,""-\d+(.*)|--\d+(.*)"","""")"),"CASTIN")</f>
        <v>CASTIN</v>
      </c>
      <c r="E33305" s="38" t="s">
        <v>440</v>
      </c>
      <c r="F33305" s="38" t="s">
        <v>94</v>
      </c>
      <c r="G33305" s="49" t="str">
        <f t="shared" si="1"/>
        <v>32810</v>
      </c>
      <c r="H33305" s="49">
        <f t="shared" si="2"/>
        <v>32091</v>
      </c>
    </row>
    <row r="33306">
      <c r="A33306" s="48" t="s">
        <v>4555</v>
      </c>
      <c r="B33306" s="38">
        <v>80795.0</v>
      </c>
      <c r="C33306" s="38" t="s">
        <v>37533</v>
      </c>
      <c r="D33306" s="38" t="str">
        <f>IFERROR(__xludf.DUMMYFUNCTION("REGEXREPLACE(C33306,""-\d+(.*)|--\d+(.*)"","""")"),"VILLE-LE-MARCLET")</f>
        <v>VILLE-LE-MARCLET</v>
      </c>
      <c r="E33306" s="38" t="s">
        <v>224</v>
      </c>
      <c r="F33306" s="38" t="s">
        <v>113</v>
      </c>
      <c r="G33306" s="49" t="str">
        <f t="shared" si="1"/>
        <v>80420</v>
      </c>
      <c r="H33306" s="49">
        <f t="shared" si="2"/>
        <v>80795</v>
      </c>
    </row>
    <row r="33307">
      <c r="A33307" s="48" t="s">
        <v>5166</v>
      </c>
      <c r="B33307" s="38">
        <v>26030.0</v>
      </c>
      <c r="C33307" s="38" t="s">
        <v>37534</v>
      </c>
      <c r="D33307" s="38" t="str">
        <f>IFERROR(__xludf.DUMMYFUNCTION("REGEXREPLACE(C33307,""-\d+(.*)|--\d+(.*)"","""")"),"LA BATIE-DES-FONDS")</f>
        <v>LA BATIE-DES-FONDS</v>
      </c>
      <c r="E33307" s="38" t="s">
        <v>126</v>
      </c>
      <c r="F33307" s="38" t="s">
        <v>102</v>
      </c>
      <c r="G33307" s="49" t="str">
        <f t="shared" si="1"/>
        <v>26310</v>
      </c>
      <c r="H33307" s="49">
        <f t="shared" si="2"/>
        <v>26030</v>
      </c>
    </row>
    <row r="33308">
      <c r="A33308" s="48" t="s">
        <v>3163</v>
      </c>
      <c r="B33308" s="38">
        <v>28390.0</v>
      </c>
      <c r="C33308" s="38" t="s">
        <v>37535</v>
      </c>
      <c r="D33308" s="38" t="str">
        <f>IFERROR(__xludf.DUMMYFUNCTION("REGEXREPLACE(C33308,""-\d+(.*)|--\d+(.*)"","""")"),"TILLAY-LE-PENEUX")</f>
        <v>TILLAY-LE-PENEUX</v>
      </c>
      <c r="E33308" s="38" t="s">
        <v>300</v>
      </c>
      <c r="F33308" s="38" t="s">
        <v>123</v>
      </c>
      <c r="G33308" s="49" t="str">
        <f t="shared" si="1"/>
        <v>28140</v>
      </c>
      <c r="H33308" s="49">
        <f t="shared" si="2"/>
        <v>28390</v>
      </c>
    </row>
    <row r="33309">
      <c r="A33309" s="48" t="s">
        <v>3606</v>
      </c>
      <c r="B33309" s="38">
        <v>67523.0</v>
      </c>
      <c r="C33309" s="38" t="s">
        <v>37536</v>
      </c>
      <c r="D33309" s="38" t="str">
        <f>IFERROR(__xludf.DUMMYFUNCTION("REGEXREPLACE(C33309,""-\d+(.*)|--\d+(.*)"","""")"),"WEITBRUCH")</f>
        <v>WEITBRUCH</v>
      </c>
      <c r="E33309" s="38" t="s">
        <v>210</v>
      </c>
      <c r="F33309" s="38" t="s">
        <v>151</v>
      </c>
      <c r="G33309" s="49" t="str">
        <f t="shared" si="1"/>
        <v>67500</v>
      </c>
      <c r="H33309" s="49">
        <f t="shared" si="2"/>
        <v>67523</v>
      </c>
    </row>
    <row r="33310">
      <c r="A33310" s="48" t="s">
        <v>5656</v>
      </c>
      <c r="B33310" s="38">
        <v>30302.0</v>
      </c>
      <c r="C33310" s="38" t="s">
        <v>37537</v>
      </c>
      <c r="D33310" s="38" t="str">
        <f>IFERROR(__xludf.DUMMYFUNCTION("REGEXREPLACE(C33310,""-\d+(.*)|--\d+(.*)"","""")"),"SAINT-VICTOR-LA-COSTE")</f>
        <v>SAINT-VICTOR-LA-COSTE</v>
      </c>
      <c r="E33310" s="38" t="s">
        <v>526</v>
      </c>
      <c r="F33310" s="38" t="s">
        <v>119</v>
      </c>
      <c r="G33310" s="49" t="str">
        <f t="shared" si="1"/>
        <v>30290</v>
      </c>
      <c r="H33310" s="49">
        <f t="shared" si="2"/>
        <v>30302</v>
      </c>
    </row>
    <row r="33311">
      <c r="A33311" s="48" t="s">
        <v>6572</v>
      </c>
      <c r="B33311" s="38">
        <v>31051.0</v>
      </c>
      <c r="C33311" s="38" t="s">
        <v>17567</v>
      </c>
      <c r="D33311" s="38" t="str">
        <f>IFERROR(__xludf.DUMMYFUNCTION("REGEXREPLACE(C33311,""-\d+(.*)|--\d+(.*)"","""")"),"BEAUFORT")</f>
        <v>BEAUFORT</v>
      </c>
      <c r="E33311" s="38" t="s">
        <v>93</v>
      </c>
      <c r="F33311" s="38" t="s">
        <v>94</v>
      </c>
      <c r="G33311" s="49" t="str">
        <f t="shared" si="1"/>
        <v>31370</v>
      </c>
      <c r="H33311" s="49">
        <f t="shared" si="2"/>
        <v>31051</v>
      </c>
    </row>
    <row r="33312">
      <c r="A33312" s="48" t="s">
        <v>167</v>
      </c>
      <c r="B33312" s="38">
        <v>34186.0</v>
      </c>
      <c r="C33312" s="38" t="s">
        <v>37538</v>
      </c>
      <c r="D33312" s="38" t="str">
        <f>IFERROR(__xludf.DUMMYFUNCTION("REGEXREPLACE(C33312,""-\d+(.*)|--\d+(.*)"","""")"),"OCTON")</f>
        <v>OCTON</v>
      </c>
      <c r="E33312" s="38" t="s">
        <v>118</v>
      </c>
      <c r="F33312" s="38" t="s">
        <v>119</v>
      </c>
      <c r="G33312" s="49" t="str">
        <f t="shared" si="1"/>
        <v>34800</v>
      </c>
      <c r="H33312" s="49">
        <f t="shared" si="2"/>
        <v>34186</v>
      </c>
    </row>
    <row r="33313">
      <c r="A33313" s="48" t="s">
        <v>2156</v>
      </c>
      <c r="B33313" s="38">
        <v>26046.0</v>
      </c>
      <c r="C33313" s="38" t="s">
        <v>37539</v>
      </c>
      <c r="D33313" s="38" t="str">
        <f>IFERROR(__xludf.DUMMYFUNCTION("REGEXREPLACE(C33313,""-\d+(.*)|--\d+(.*)"","""")"),"BELLECOMBE-TARENDOL")</f>
        <v>BELLECOMBE-TARENDOL</v>
      </c>
      <c r="E33313" s="38" t="s">
        <v>126</v>
      </c>
      <c r="F33313" s="38" t="s">
        <v>102</v>
      </c>
      <c r="G33313" s="49" t="str">
        <f t="shared" si="1"/>
        <v>26110</v>
      </c>
      <c r="H33313" s="49">
        <f t="shared" si="2"/>
        <v>26046</v>
      </c>
    </row>
    <row r="33314">
      <c r="A33314" s="48" t="s">
        <v>1485</v>
      </c>
      <c r="B33314" s="38">
        <v>21691.0</v>
      </c>
      <c r="C33314" s="38" t="s">
        <v>37540</v>
      </c>
      <c r="D33314" s="38" t="str">
        <f>IFERROR(__xludf.DUMMYFUNCTION("REGEXREPLACE(C33314,""-\d+(.*)|--\d+(.*)"","""")"),"VILLEBICHOT")</f>
        <v>VILLEBICHOT</v>
      </c>
      <c r="E33314" s="38" t="s">
        <v>105</v>
      </c>
      <c r="F33314" s="38" t="s">
        <v>106</v>
      </c>
      <c r="G33314" s="49" t="str">
        <f t="shared" si="1"/>
        <v>21700</v>
      </c>
      <c r="H33314" s="49">
        <f t="shared" si="2"/>
        <v>21691</v>
      </c>
    </row>
    <row r="33315">
      <c r="A33315" s="48" t="s">
        <v>8671</v>
      </c>
      <c r="B33315" s="38">
        <v>87029.0</v>
      </c>
      <c r="C33315" s="38" t="s">
        <v>37541</v>
      </c>
      <c r="D33315" s="38" t="str">
        <f>IFERROR(__xludf.DUMMYFUNCTION("REGEXREPLACE(C33315,""-\d+(.*)|--\d+(.*)"","""")"),"LES CARS")</f>
        <v>LES CARS</v>
      </c>
      <c r="E33315" s="38" t="s">
        <v>897</v>
      </c>
      <c r="F33315" s="38" t="s">
        <v>98</v>
      </c>
      <c r="G33315" s="49" t="str">
        <f t="shared" si="1"/>
        <v>87230</v>
      </c>
      <c r="H33315" s="49">
        <f t="shared" si="2"/>
        <v>87029</v>
      </c>
    </row>
    <row r="33316">
      <c r="A33316" s="48" t="s">
        <v>4543</v>
      </c>
      <c r="B33316" s="38">
        <v>64539.0</v>
      </c>
      <c r="C33316" s="38" t="s">
        <v>37542</v>
      </c>
      <c r="D33316" s="38" t="str">
        <f>IFERROR(__xludf.DUMMYFUNCTION("REGEXREPLACE(C33316,""-\d+(.*)|--\d+(.*)"","""")"),"UHART-MIXE")</f>
        <v>UHART-MIXE</v>
      </c>
      <c r="E33316" s="38" t="s">
        <v>268</v>
      </c>
      <c r="F33316" s="38" t="s">
        <v>252</v>
      </c>
      <c r="G33316" s="49" t="str">
        <f t="shared" si="1"/>
        <v>64120</v>
      </c>
      <c r="H33316" s="49">
        <f t="shared" si="2"/>
        <v>64539</v>
      </c>
    </row>
    <row r="33317">
      <c r="A33317" s="48" t="s">
        <v>1033</v>
      </c>
      <c r="B33317" s="38">
        <v>67485.0</v>
      </c>
      <c r="C33317" s="38" t="s">
        <v>37543</v>
      </c>
      <c r="D33317" s="38" t="str">
        <f>IFERROR(__xludf.DUMMYFUNCTION("REGEXREPLACE(C33317,""-\d+(.*)|--\d+(.*)"","""")"),"STUTZHEIM-OFFENHEIM")</f>
        <v>STUTZHEIM-OFFENHEIM</v>
      </c>
      <c r="E33317" s="38" t="s">
        <v>210</v>
      </c>
      <c r="F33317" s="38" t="s">
        <v>151</v>
      </c>
      <c r="G33317" s="49" t="str">
        <f t="shared" si="1"/>
        <v>67370</v>
      </c>
      <c r="H33317" s="49">
        <f t="shared" si="2"/>
        <v>67485</v>
      </c>
    </row>
    <row r="33318">
      <c r="A33318" s="48" t="s">
        <v>5284</v>
      </c>
      <c r="B33318" s="38">
        <v>19063.0</v>
      </c>
      <c r="C33318" s="38" t="s">
        <v>37544</v>
      </c>
      <c r="D33318" s="38" t="str">
        <f>IFERROR(__xludf.DUMMYFUNCTION("REGEXREPLACE(C33318,""-\d+(.*)|--\d+(.*)"","""")"),"COSNAC")</f>
        <v>COSNAC</v>
      </c>
      <c r="E33318" s="38" t="s">
        <v>271</v>
      </c>
      <c r="F33318" s="38" t="s">
        <v>98</v>
      </c>
      <c r="G33318" s="49" t="str">
        <f t="shared" si="1"/>
        <v>19360</v>
      </c>
      <c r="H33318" s="49">
        <f t="shared" si="2"/>
        <v>19063</v>
      </c>
    </row>
    <row r="33319">
      <c r="A33319" s="48" t="s">
        <v>14413</v>
      </c>
      <c r="B33319" s="38">
        <v>62191.0</v>
      </c>
      <c r="C33319" s="38" t="s">
        <v>37545</v>
      </c>
      <c r="D33319" s="38" t="str">
        <f>IFERROR(__xludf.DUMMYFUNCTION("REGEXREPLACE(C33319,""-\d+(.*)|--\d+(.*)"","""")"),"CAFFIERS")</f>
        <v>CAFFIERS</v>
      </c>
      <c r="E33319" s="38" t="s">
        <v>109</v>
      </c>
      <c r="F33319" s="38" t="s">
        <v>86</v>
      </c>
      <c r="G33319" s="49" t="str">
        <f t="shared" si="1"/>
        <v>62132</v>
      </c>
      <c r="H33319" s="49">
        <f t="shared" si="2"/>
        <v>62191</v>
      </c>
    </row>
    <row r="33320">
      <c r="A33320" s="48" t="s">
        <v>1938</v>
      </c>
      <c r="B33320" s="38">
        <v>55254.0</v>
      </c>
      <c r="C33320" s="38" t="s">
        <v>37546</v>
      </c>
      <c r="D33320" s="38" t="str">
        <f>IFERROR(__xludf.DUMMYFUNCTION("REGEXREPLACE(C33320,""-\d+(.*)|--\d+(.*)"","""")"),"LES TROIS-DOMAINES")</f>
        <v>LES TROIS-DOMAINES</v>
      </c>
      <c r="E33320" s="38" t="s">
        <v>322</v>
      </c>
      <c r="F33320" s="38" t="s">
        <v>195</v>
      </c>
      <c r="G33320" s="49" t="str">
        <f t="shared" si="1"/>
        <v>55220</v>
      </c>
      <c r="H33320" s="49">
        <f t="shared" si="2"/>
        <v>55254</v>
      </c>
    </row>
    <row r="33321">
      <c r="A33321" s="48" t="s">
        <v>1940</v>
      </c>
      <c r="B33321" s="38">
        <v>51241.0</v>
      </c>
      <c r="C33321" s="38" t="s">
        <v>37547</v>
      </c>
      <c r="D33321" s="38" t="str">
        <f>IFERROR(__xludf.DUMMYFUNCTION("REGEXREPLACE(C33321,""-\d+(.*)|--\d+(.*)"","""")"),"EUVY")</f>
        <v>EUVY</v>
      </c>
      <c r="E33321" s="38" t="s">
        <v>129</v>
      </c>
      <c r="F33321" s="38" t="s">
        <v>130</v>
      </c>
      <c r="G33321" s="49" t="str">
        <f t="shared" si="1"/>
        <v>51230</v>
      </c>
      <c r="H33321" s="49">
        <f t="shared" si="2"/>
        <v>51241</v>
      </c>
    </row>
    <row r="33322">
      <c r="A33322" s="48" t="s">
        <v>16863</v>
      </c>
      <c r="B33322" s="38">
        <v>45147.0</v>
      </c>
      <c r="C33322" s="38" t="s">
        <v>37548</v>
      </c>
      <c r="D33322" s="38" t="str">
        <f>IFERROR(__xludf.DUMMYFUNCTION("REGEXREPLACE(C33322,""-\d+(.*)|--\d+(.*)"","""")"),"FLEURY-LES-AUBRAIS")</f>
        <v>FLEURY-LES-AUBRAIS</v>
      </c>
      <c r="E33322" s="38" t="s">
        <v>122</v>
      </c>
      <c r="F33322" s="38" t="s">
        <v>123</v>
      </c>
      <c r="G33322" s="49" t="str">
        <f t="shared" si="1"/>
        <v>45400</v>
      </c>
      <c r="H33322" s="49">
        <f t="shared" si="2"/>
        <v>45147</v>
      </c>
    </row>
    <row r="33323">
      <c r="A33323" s="48" t="s">
        <v>11794</v>
      </c>
      <c r="B33323" s="38">
        <v>12155.0</v>
      </c>
      <c r="C33323" s="38" t="s">
        <v>37549</v>
      </c>
      <c r="D33323" s="38" t="str">
        <f>IFERROR(__xludf.DUMMYFUNCTION("REGEXREPLACE(C33323,""-\d+(.*)|--\d+(.*)"","""")"),"FONDAMENTE")</f>
        <v>FONDAMENTE</v>
      </c>
      <c r="E33323" s="38" t="s">
        <v>465</v>
      </c>
      <c r="F33323" s="38" t="s">
        <v>94</v>
      </c>
      <c r="G33323" s="49" t="str">
        <f t="shared" si="1"/>
        <v>12540</v>
      </c>
      <c r="H33323" s="49">
        <f t="shared" si="2"/>
        <v>12155</v>
      </c>
    </row>
    <row r="33324">
      <c r="A33324" s="48" t="s">
        <v>7563</v>
      </c>
      <c r="B33324" s="38">
        <v>59526.0</v>
      </c>
      <c r="C33324" s="38" t="s">
        <v>37550</v>
      </c>
      <c r="D33324" s="38" t="str">
        <f>IFERROR(__xludf.DUMMYFUNCTION("REGEXREPLACE(C33324,""-\d+(.*)|--\d+(.*)"","""")"),"SAINT-AMAND-LES-EAUX")</f>
        <v>SAINT-AMAND-LES-EAUX</v>
      </c>
      <c r="E33324" s="38" t="s">
        <v>85</v>
      </c>
      <c r="F33324" s="38" t="s">
        <v>86</v>
      </c>
      <c r="G33324" s="49" t="str">
        <f t="shared" si="1"/>
        <v>59230</v>
      </c>
      <c r="H33324" s="49">
        <f t="shared" si="2"/>
        <v>59526</v>
      </c>
    </row>
    <row r="33325">
      <c r="A33325" s="48" t="s">
        <v>447</v>
      </c>
      <c r="B33325" s="38">
        <v>88483.0</v>
      </c>
      <c r="C33325" s="38" t="s">
        <v>37551</v>
      </c>
      <c r="D33325" s="38" t="str">
        <f>IFERROR(__xludf.DUMMYFUNCTION("REGEXREPLACE(C33325,""-\d+(.*)|--\d+(.*)"","""")"),"UXEGNEY")</f>
        <v>UXEGNEY</v>
      </c>
      <c r="E33325" s="38" t="s">
        <v>194</v>
      </c>
      <c r="F33325" s="38" t="s">
        <v>195</v>
      </c>
      <c r="G33325" s="49" t="str">
        <f t="shared" si="1"/>
        <v>88390</v>
      </c>
      <c r="H33325" s="49">
        <f t="shared" si="2"/>
        <v>88483</v>
      </c>
    </row>
    <row r="33326">
      <c r="A33326" s="48" t="s">
        <v>5012</v>
      </c>
      <c r="B33326" s="38">
        <v>55202.0</v>
      </c>
      <c r="C33326" s="38" t="s">
        <v>37552</v>
      </c>
      <c r="D33326" s="38" t="str">
        <f>IFERROR(__xludf.DUMMYFUNCTION("REGEXREPLACE(C33326,""-\d+(.*)|--\d+(.*)"","""")"),"FUTEAU")</f>
        <v>FUTEAU</v>
      </c>
      <c r="E33326" s="38" t="s">
        <v>322</v>
      </c>
      <c r="F33326" s="38" t="s">
        <v>195</v>
      </c>
      <c r="G33326" s="49" t="str">
        <f t="shared" si="1"/>
        <v>55120</v>
      </c>
      <c r="H33326" s="49">
        <f t="shared" si="2"/>
        <v>55202</v>
      </c>
    </row>
    <row r="33327">
      <c r="A33327" s="48" t="s">
        <v>9411</v>
      </c>
      <c r="B33327" s="38">
        <v>53168.0</v>
      </c>
      <c r="C33327" s="38" t="s">
        <v>37553</v>
      </c>
      <c r="D33327" s="38" t="str">
        <f>IFERROR(__xludf.DUMMYFUNCTION("REGEXREPLACE(C33327,""-\d+(.*)|--\d+(.*)"","""")"),"NUILLE-SUR-VICOIN")</f>
        <v>NUILLE-SUR-VICOIN</v>
      </c>
      <c r="E33327" s="38" t="s">
        <v>518</v>
      </c>
      <c r="F33327" s="38" t="s">
        <v>180</v>
      </c>
      <c r="G33327" s="49" t="str">
        <f t="shared" si="1"/>
        <v>53970</v>
      </c>
      <c r="H33327" s="49">
        <f t="shared" si="2"/>
        <v>53168</v>
      </c>
    </row>
    <row r="33328">
      <c r="A33328" s="48" t="s">
        <v>734</v>
      </c>
      <c r="B33328" s="38">
        <v>54511.0</v>
      </c>
      <c r="C33328" s="38" t="s">
        <v>37554</v>
      </c>
      <c r="D33328" s="38" t="str">
        <f>IFERROR(__xludf.DUMMYFUNCTION("REGEXREPLACE(C33328,""-\d+(.*)|--\d+(.*)"","""")"),"SPONVILLE")</f>
        <v>SPONVILLE</v>
      </c>
      <c r="E33328" s="38" t="s">
        <v>548</v>
      </c>
      <c r="F33328" s="38" t="s">
        <v>195</v>
      </c>
      <c r="G33328" s="49" t="str">
        <f t="shared" si="1"/>
        <v>54800</v>
      </c>
      <c r="H33328" s="49">
        <f t="shared" si="2"/>
        <v>54511</v>
      </c>
    </row>
    <row r="33329">
      <c r="A33329" s="48" t="s">
        <v>24631</v>
      </c>
      <c r="B33329" s="38">
        <v>30271.0</v>
      </c>
      <c r="C33329" s="38" t="s">
        <v>37555</v>
      </c>
      <c r="D33329" s="38" t="str">
        <f>IFERROR(__xludf.DUMMYFUNCTION("REGEXREPLACE(C33329,""-\d+(.*)|--\d+(.*)"","""")"),"SAINT-JULIEN-DE-CASSAGNAS")</f>
        <v>SAINT-JULIEN-DE-CASSAGNAS</v>
      </c>
      <c r="E33329" s="38" t="s">
        <v>526</v>
      </c>
      <c r="F33329" s="38" t="s">
        <v>119</v>
      </c>
      <c r="G33329" s="49" t="str">
        <f t="shared" si="1"/>
        <v>30500</v>
      </c>
      <c r="H33329" s="49">
        <f t="shared" si="2"/>
        <v>30271</v>
      </c>
    </row>
    <row r="33330">
      <c r="A33330" s="48" t="s">
        <v>374</v>
      </c>
      <c r="B33330" s="38">
        <v>85291.0</v>
      </c>
      <c r="C33330" s="38" t="s">
        <v>37556</v>
      </c>
      <c r="D33330" s="38" t="str">
        <f>IFERROR(__xludf.DUMMYFUNCTION("REGEXREPLACE(C33330,""-\d+(.*)|--\d+(.*)"","""")"),"THORIGNY")</f>
        <v>THORIGNY</v>
      </c>
      <c r="E33330" s="38" t="s">
        <v>179</v>
      </c>
      <c r="F33330" s="38" t="s">
        <v>180</v>
      </c>
      <c r="G33330" s="49" t="str">
        <f t="shared" si="1"/>
        <v>85480</v>
      </c>
      <c r="H33330" s="49">
        <f t="shared" si="2"/>
        <v>85291</v>
      </c>
    </row>
    <row r="33331">
      <c r="A33331" s="48" t="s">
        <v>9016</v>
      </c>
      <c r="B33331" s="38">
        <v>76674.0</v>
      </c>
      <c r="C33331" s="38" t="s">
        <v>37557</v>
      </c>
      <c r="D33331" s="38" t="str">
        <f>IFERROR(__xludf.DUMMYFUNCTION("REGEXREPLACE(C33331,""-\d+(.*)|--\d+(.*)"","""")"),"SEVIS")</f>
        <v>SEVIS</v>
      </c>
      <c r="E33331" s="38" t="s">
        <v>133</v>
      </c>
      <c r="F33331" s="38" t="s">
        <v>134</v>
      </c>
      <c r="G33331" s="49" t="str">
        <f t="shared" si="1"/>
        <v>76850</v>
      </c>
      <c r="H33331" s="49">
        <f t="shared" si="2"/>
        <v>76674</v>
      </c>
    </row>
    <row r="33332">
      <c r="A33332" s="48" t="s">
        <v>9245</v>
      </c>
      <c r="B33332" s="38">
        <v>47159.0</v>
      </c>
      <c r="C33332" s="38" t="s">
        <v>37558</v>
      </c>
      <c r="D33332" s="38" t="str">
        <f>IFERROR(__xludf.DUMMYFUNCTION("REGEXREPLACE(C33332,""-\d+(.*)|--\d+(.*)"","""")"),"LE MAS-D'AGENAIS")</f>
        <v>LE MAS-D'AGENAIS</v>
      </c>
      <c r="E33332" s="38" t="s">
        <v>251</v>
      </c>
      <c r="F33332" s="38" t="s">
        <v>252</v>
      </c>
      <c r="G33332" s="49" t="str">
        <f t="shared" si="1"/>
        <v>47430</v>
      </c>
      <c r="H33332" s="49">
        <f t="shared" si="2"/>
        <v>47159</v>
      </c>
    </row>
    <row r="33333">
      <c r="A33333" s="48" t="s">
        <v>9225</v>
      </c>
      <c r="B33333" s="38">
        <v>23145.0</v>
      </c>
      <c r="C33333" s="38" t="s">
        <v>37559</v>
      </c>
      <c r="D33333" s="38" t="str">
        <f>IFERROR(__xludf.DUMMYFUNCTION("REGEXREPLACE(C33333,""-\d+(.*)|--\d+(.*)"","""")"),"NOUHANT")</f>
        <v>NOUHANT</v>
      </c>
      <c r="E33333" s="38" t="s">
        <v>97</v>
      </c>
      <c r="F33333" s="38" t="s">
        <v>98</v>
      </c>
      <c r="G33333" s="49" t="str">
        <f t="shared" si="1"/>
        <v>23170</v>
      </c>
      <c r="H33333" s="49">
        <f t="shared" si="2"/>
        <v>23145</v>
      </c>
    </row>
    <row r="33334">
      <c r="A33334" s="48" t="s">
        <v>2139</v>
      </c>
      <c r="B33334" s="38">
        <v>72185.0</v>
      </c>
      <c r="C33334" s="38" t="s">
        <v>37560</v>
      </c>
      <c r="D33334" s="38" t="str">
        <f>IFERROR(__xludf.DUMMYFUNCTION("REGEXREPLACE(C33334,""-\d+(.*)|--\d+(.*)"","""")"),"MAREIL-SUR-LOIR")</f>
        <v>MAREIL-SUR-LOIR</v>
      </c>
      <c r="E33334" s="38" t="s">
        <v>521</v>
      </c>
      <c r="F33334" s="38" t="s">
        <v>180</v>
      </c>
      <c r="G33334" s="49" t="str">
        <f t="shared" si="1"/>
        <v>72200</v>
      </c>
      <c r="H33334" s="49">
        <f t="shared" si="2"/>
        <v>72185</v>
      </c>
    </row>
    <row r="33335">
      <c r="A33335" s="48" t="s">
        <v>3755</v>
      </c>
      <c r="B33335" s="38">
        <v>76289.0</v>
      </c>
      <c r="C33335" s="38" t="s">
        <v>37561</v>
      </c>
      <c r="D33335" s="38" t="str">
        <f>IFERROR(__xludf.DUMMYFUNCTION("REGEXREPLACE(C33335,""-\d+(.*)|--\d+(.*)"","""")"),"FREVILLE")</f>
        <v>FREVILLE</v>
      </c>
      <c r="E33335" s="38" t="s">
        <v>133</v>
      </c>
      <c r="F33335" s="38" t="s">
        <v>134</v>
      </c>
      <c r="G33335" s="49" t="str">
        <f t="shared" si="1"/>
        <v>76190</v>
      </c>
      <c r="H33335" s="49">
        <f t="shared" si="2"/>
        <v>76289</v>
      </c>
    </row>
    <row r="33336">
      <c r="A33336" s="48" t="s">
        <v>196</v>
      </c>
      <c r="B33336" s="38">
        <v>2445.0</v>
      </c>
      <c r="C33336" s="38" t="s">
        <v>37562</v>
      </c>
      <c r="D33336" s="38" t="str">
        <f>IFERROR(__xludf.DUMMYFUNCTION("REGEXREPLACE(C33336,""-\d+(.*)|--\d+(.*)"","""")"),"LUZOIR")</f>
        <v>LUZOIR</v>
      </c>
      <c r="E33336" s="38" t="s">
        <v>191</v>
      </c>
      <c r="F33336" s="38" t="s">
        <v>113</v>
      </c>
      <c r="G33336" s="49" t="str">
        <f t="shared" si="1"/>
        <v>02500</v>
      </c>
      <c r="H33336" s="49" t="str">
        <f t="shared" si="2"/>
        <v>02445</v>
      </c>
    </row>
    <row r="33337">
      <c r="A33337" s="48" t="s">
        <v>8080</v>
      </c>
      <c r="B33337" s="38" t="s">
        <v>37563</v>
      </c>
      <c r="C33337" s="38" t="s">
        <v>37564</v>
      </c>
      <c r="D33337" s="38" t="str">
        <f>IFERROR(__xludf.DUMMYFUNCTION("REGEXREPLACE(C33337,""-\d+(.*)|--\d+(.*)"","""")"),"OLMETA-DI-CAPOCORSO")</f>
        <v>OLMETA-DI-CAPOCORSO</v>
      </c>
      <c r="E33337" s="38" t="s">
        <v>743</v>
      </c>
      <c r="F33337" s="38" t="s">
        <v>607</v>
      </c>
      <c r="G33337" s="49" t="str">
        <f t="shared" si="1"/>
        <v>20217</v>
      </c>
      <c r="H33337" s="49" t="str">
        <f t="shared" si="2"/>
        <v>2B187</v>
      </c>
    </row>
    <row r="33338">
      <c r="A33338" s="48" t="s">
        <v>3102</v>
      </c>
      <c r="B33338" s="38">
        <v>55288.0</v>
      </c>
      <c r="C33338" s="38" t="s">
        <v>37565</v>
      </c>
      <c r="D33338" s="38" t="str">
        <f>IFERROR(__xludf.DUMMYFUNCTION("REGEXREPLACE(C33338,""-\d+(.*)|--\d+(.*)"","""")"),"LEROUVILLE")</f>
        <v>LEROUVILLE</v>
      </c>
      <c r="E33338" s="38" t="s">
        <v>322</v>
      </c>
      <c r="F33338" s="38" t="s">
        <v>195</v>
      </c>
      <c r="G33338" s="49" t="str">
        <f t="shared" si="1"/>
        <v>55200</v>
      </c>
      <c r="H33338" s="49">
        <f t="shared" si="2"/>
        <v>55288</v>
      </c>
    </row>
    <row r="33339">
      <c r="A33339" s="48" t="s">
        <v>4295</v>
      </c>
      <c r="B33339" s="38">
        <v>40330.0</v>
      </c>
      <c r="C33339" s="38" t="s">
        <v>37566</v>
      </c>
      <c r="D33339" s="38" t="str">
        <f>IFERROR(__xludf.DUMMYFUNCTION("REGEXREPLACE(C33339,""-\d+(.*)|--\d+(.*)"","""")"),"VILLENAVE")</f>
        <v>VILLENAVE</v>
      </c>
      <c r="E33339" s="38" t="s">
        <v>281</v>
      </c>
      <c r="F33339" s="38" t="s">
        <v>252</v>
      </c>
      <c r="G33339" s="49" t="str">
        <f t="shared" si="1"/>
        <v>40110</v>
      </c>
      <c r="H33339" s="49">
        <f t="shared" si="2"/>
        <v>40330</v>
      </c>
    </row>
    <row r="33340">
      <c r="A33340" s="48" t="s">
        <v>1241</v>
      </c>
      <c r="B33340" s="38">
        <v>71324.0</v>
      </c>
      <c r="C33340" s="38" t="s">
        <v>37567</v>
      </c>
      <c r="D33340" s="38" t="str">
        <f>IFERROR(__xludf.DUMMYFUNCTION("REGEXREPLACE(C33340,""-\d+(.*)|--\d+(.*)"","""")"),"MOROGES")</f>
        <v>MOROGES</v>
      </c>
      <c r="E33340" s="38" t="s">
        <v>344</v>
      </c>
      <c r="F33340" s="38" t="s">
        <v>106</v>
      </c>
      <c r="G33340" s="49" t="str">
        <f t="shared" si="1"/>
        <v>71390</v>
      </c>
      <c r="H33340" s="49">
        <f t="shared" si="2"/>
        <v>71324</v>
      </c>
    </row>
    <row r="33341">
      <c r="A33341" s="48" t="s">
        <v>8575</v>
      </c>
      <c r="B33341" s="38">
        <v>29252.0</v>
      </c>
      <c r="C33341" s="38" t="s">
        <v>37568</v>
      </c>
      <c r="D33341" s="38" t="str">
        <f>IFERROR(__xludf.DUMMYFUNCTION("REGEXREPLACE(C33341,""-\d+(.*)|--\d+(.*)"","""")"),"SAINT-JEAN-TROLIMON")</f>
        <v>SAINT-JEAN-TROLIMON</v>
      </c>
      <c r="E33341" s="38" t="s">
        <v>176</v>
      </c>
      <c r="F33341" s="38" t="s">
        <v>90</v>
      </c>
      <c r="G33341" s="49" t="str">
        <f t="shared" si="1"/>
        <v>29120</v>
      </c>
      <c r="H33341" s="49">
        <f t="shared" si="2"/>
        <v>29252</v>
      </c>
    </row>
    <row r="33342">
      <c r="A33342" s="48" t="s">
        <v>981</v>
      </c>
      <c r="B33342" s="38">
        <v>24369.0</v>
      </c>
      <c r="C33342" s="38" t="s">
        <v>37569</v>
      </c>
      <c r="D33342" s="38" t="str">
        <f>IFERROR(__xludf.DUMMYFUNCTION("REGEXREPLACE(C33342,""-\d+(.*)|--\d+(.*)"","""")"),"SAINT-ANTOINE-D'AUBEROCHE")</f>
        <v>SAINT-ANTOINE-D'AUBEROCHE</v>
      </c>
      <c r="E33342" s="38" t="s">
        <v>261</v>
      </c>
      <c r="F33342" s="38" t="s">
        <v>252</v>
      </c>
      <c r="G33342" s="49" t="str">
        <f t="shared" si="1"/>
        <v>24330</v>
      </c>
      <c r="H33342" s="49">
        <f t="shared" si="2"/>
        <v>24369</v>
      </c>
    </row>
    <row r="33343">
      <c r="A33343" s="48" t="s">
        <v>2035</v>
      </c>
      <c r="B33343" s="38">
        <v>64476.0</v>
      </c>
      <c r="C33343" s="38" t="s">
        <v>37570</v>
      </c>
      <c r="D33343" s="38" t="str">
        <f>IFERROR(__xludf.DUMMYFUNCTION("REGEXREPLACE(C33343,""-\d+(.*)|--\d+(.*)"","""")"),"SAINT-ESTEBEN")</f>
        <v>SAINT-ESTEBEN</v>
      </c>
      <c r="E33343" s="38" t="s">
        <v>268</v>
      </c>
      <c r="F33343" s="38" t="s">
        <v>252</v>
      </c>
      <c r="G33343" s="49" t="str">
        <f t="shared" si="1"/>
        <v>64640</v>
      </c>
      <c r="H33343" s="49">
        <f t="shared" si="2"/>
        <v>64476</v>
      </c>
    </row>
    <row r="33344">
      <c r="A33344" s="48" t="s">
        <v>9293</v>
      </c>
      <c r="B33344" s="38">
        <v>9260.0</v>
      </c>
      <c r="C33344" s="38" t="s">
        <v>37571</v>
      </c>
      <c r="D33344" s="38" t="str">
        <f>IFERROR(__xludf.DUMMYFUNCTION("REGEXREPLACE(C33344,""-\d+(.*)|--\d+(.*)"","""")"),"SAINTE-FOI")</f>
        <v>SAINTE-FOI</v>
      </c>
      <c r="E33344" s="38" t="s">
        <v>238</v>
      </c>
      <c r="F33344" s="38" t="s">
        <v>94</v>
      </c>
      <c r="G33344" s="49" t="str">
        <f t="shared" si="1"/>
        <v>09500</v>
      </c>
      <c r="H33344" s="49" t="str">
        <f t="shared" si="2"/>
        <v>09260</v>
      </c>
    </row>
    <row r="33345">
      <c r="A33345" s="48" t="s">
        <v>2960</v>
      </c>
      <c r="B33345" s="38">
        <v>86227.0</v>
      </c>
      <c r="C33345" s="38" t="s">
        <v>37572</v>
      </c>
      <c r="D33345" s="38" t="str">
        <f>IFERROR(__xludf.DUMMYFUNCTION("REGEXREPLACE(C33345,""-\d+(.*)|--\d+(.*)"","""")"),"SAINT-LAON")</f>
        <v>SAINT-LAON</v>
      </c>
      <c r="E33345" s="38" t="s">
        <v>529</v>
      </c>
      <c r="F33345" s="38" t="s">
        <v>338</v>
      </c>
      <c r="G33345" s="49" t="str">
        <f t="shared" si="1"/>
        <v>86200</v>
      </c>
      <c r="H33345" s="49">
        <f t="shared" si="2"/>
        <v>86227</v>
      </c>
    </row>
    <row r="33346">
      <c r="A33346" s="48" t="s">
        <v>37573</v>
      </c>
      <c r="B33346" s="38">
        <v>69290.0</v>
      </c>
      <c r="C33346" s="38" t="s">
        <v>7800</v>
      </c>
      <c r="D33346" s="38" t="str">
        <f>IFERROR(__xludf.DUMMYFUNCTION("REGEXREPLACE(C33346,""-\d+(.*)|--\d+(.*)"","""")"),"SAINT-PRIEST")</f>
        <v>SAINT-PRIEST</v>
      </c>
      <c r="E33346" s="38" t="s">
        <v>350</v>
      </c>
      <c r="F33346" s="38" t="s">
        <v>102</v>
      </c>
      <c r="G33346" s="49" t="str">
        <f t="shared" si="1"/>
        <v>69800</v>
      </c>
      <c r="H33346" s="49">
        <f t="shared" si="2"/>
        <v>69290</v>
      </c>
    </row>
    <row r="33347">
      <c r="A33347" s="48" t="s">
        <v>5453</v>
      </c>
      <c r="B33347" s="38">
        <v>52459.0</v>
      </c>
      <c r="C33347" s="38" t="s">
        <v>22761</v>
      </c>
      <c r="D33347" s="38" t="str">
        <f>IFERROR(__xludf.DUMMYFUNCTION("REGEXREPLACE(C33347,""-\d+(.*)|--\d+(.*)"","""")"),"SARCEY")</f>
        <v>SARCEY</v>
      </c>
      <c r="E33347" s="38" t="s">
        <v>234</v>
      </c>
      <c r="F33347" s="38" t="s">
        <v>130</v>
      </c>
      <c r="G33347" s="49" t="str">
        <f t="shared" si="1"/>
        <v>52800</v>
      </c>
      <c r="H33347" s="49">
        <f t="shared" si="2"/>
        <v>52459</v>
      </c>
    </row>
    <row r="33348">
      <c r="A33348" s="48" t="s">
        <v>1989</v>
      </c>
      <c r="B33348" s="38">
        <v>60698.0</v>
      </c>
      <c r="C33348" s="38" t="s">
        <v>37574</v>
      </c>
      <c r="D33348" s="38" t="str">
        <f>IFERROR(__xludf.DUMMYFUNCTION("REGEXREPLACE(C33348,""-\d+(.*)|--\d+(.*)"","""")"),"WACQUEMOULIN")</f>
        <v>WACQUEMOULIN</v>
      </c>
      <c r="E33348" s="38" t="s">
        <v>112</v>
      </c>
      <c r="F33348" s="38" t="s">
        <v>113</v>
      </c>
      <c r="G33348" s="49" t="str">
        <f t="shared" si="1"/>
        <v>60420</v>
      </c>
      <c r="H33348" s="49">
        <f t="shared" si="2"/>
        <v>60698</v>
      </c>
    </row>
    <row r="33349">
      <c r="A33349" s="48" t="s">
        <v>4030</v>
      </c>
      <c r="B33349" s="38">
        <v>16364.0</v>
      </c>
      <c r="C33349" s="38" t="s">
        <v>37575</v>
      </c>
      <c r="D33349" s="38" t="str">
        <f>IFERROR(__xludf.DUMMYFUNCTION("REGEXREPLACE(C33349,""-\d+(.*)|--\d+(.*)"","""")"),"SAUVAGNAC")</f>
        <v>SAUVAGNAC</v>
      </c>
      <c r="E33349" s="38" t="s">
        <v>429</v>
      </c>
      <c r="F33349" s="38" t="s">
        <v>338</v>
      </c>
      <c r="G33349" s="49" t="str">
        <f t="shared" si="1"/>
        <v>16310</v>
      </c>
      <c r="H33349" s="49">
        <f t="shared" si="2"/>
        <v>16364</v>
      </c>
    </row>
    <row r="33350">
      <c r="A33350" s="48" t="s">
        <v>32211</v>
      </c>
      <c r="B33350" s="38">
        <v>35139.0</v>
      </c>
      <c r="C33350" s="38" t="s">
        <v>37576</v>
      </c>
      <c r="D33350" s="38" t="str">
        <f>IFERROR(__xludf.DUMMYFUNCTION("REGEXREPLACE(C33350,""-\d+(.*)|--\d+(.*)"","""")"),"LAILLE")</f>
        <v>LAILLE</v>
      </c>
      <c r="E33350" s="38" t="s">
        <v>347</v>
      </c>
      <c r="F33350" s="38" t="s">
        <v>90</v>
      </c>
      <c r="G33350" s="49" t="str">
        <f t="shared" si="1"/>
        <v>35890</v>
      </c>
      <c r="H33350" s="49">
        <f t="shared" si="2"/>
        <v>35139</v>
      </c>
    </row>
    <row r="33351">
      <c r="A33351" s="48" t="s">
        <v>2605</v>
      </c>
      <c r="B33351" s="38">
        <v>39166.0</v>
      </c>
      <c r="C33351" s="38" t="s">
        <v>37577</v>
      </c>
      <c r="D33351" s="38" t="str">
        <f>IFERROR(__xludf.DUMMYFUNCTION("REGEXREPLACE(C33351,""-\d+(.*)|--\d+(.*)"","""")"),"CORNOD")</f>
        <v>CORNOD</v>
      </c>
      <c r="E33351" s="38" t="s">
        <v>400</v>
      </c>
      <c r="F33351" s="38" t="s">
        <v>214</v>
      </c>
      <c r="G33351" s="49" t="str">
        <f t="shared" si="1"/>
        <v>39240</v>
      </c>
      <c r="H33351" s="49">
        <f t="shared" si="2"/>
        <v>39166</v>
      </c>
    </row>
    <row r="33352">
      <c r="A33352" s="48" t="s">
        <v>7645</v>
      </c>
      <c r="B33352" s="38">
        <v>34201.0</v>
      </c>
      <c r="C33352" s="38" t="s">
        <v>9606</v>
      </c>
      <c r="D33352" s="38" t="str">
        <f>IFERROR(__xludf.DUMMYFUNCTION("REGEXREPLACE(C33352,""-\d+(.*)|--\d+(.*)"","""")"),"PIERRERUE")</f>
        <v>PIERRERUE</v>
      </c>
      <c r="E33352" s="38" t="s">
        <v>118</v>
      </c>
      <c r="F33352" s="38" t="s">
        <v>119</v>
      </c>
      <c r="G33352" s="49" t="str">
        <f t="shared" si="1"/>
        <v>34360</v>
      </c>
      <c r="H33352" s="49">
        <f t="shared" si="2"/>
        <v>34201</v>
      </c>
    </row>
    <row r="33353">
      <c r="A33353" s="48" t="s">
        <v>37578</v>
      </c>
      <c r="B33353" s="38">
        <v>27426.0</v>
      </c>
      <c r="C33353" s="38" t="s">
        <v>37579</v>
      </c>
      <c r="D33353" s="38" t="str">
        <f>IFERROR(__xludf.DUMMYFUNCTION("REGEXREPLACE(C33353,""-\d+(.*)|--\d+(.*)"","""")"),"NEAUFLES-SAINT-MARTIN")</f>
        <v>NEAUFLES-SAINT-MARTIN</v>
      </c>
      <c r="E33353" s="38" t="s">
        <v>241</v>
      </c>
      <c r="F33353" s="38" t="s">
        <v>134</v>
      </c>
      <c r="G33353" s="49" t="str">
        <f t="shared" si="1"/>
        <v>27830</v>
      </c>
      <c r="H33353" s="49">
        <f t="shared" si="2"/>
        <v>27426</v>
      </c>
    </row>
    <row r="33354">
      <c r="A33354" s="48" t="s">
        <v>4443</v>
      </c>
      <c r="B33354" s="38">
        <v>27499.0</v>
      </c>
      <c r="C33354" s="38" t="s">
        <v>37580</v>
      </c>
      <c r="D33354" s="38" t="str">
        <f>IFERROR(__xludf.DUMMYFUNCTION("REGEXREPLACE(C33354,""-\d+(.*)|--\d+(.*)"","""")"),"LA ROUSSIERE")</f>
        <v>LA ROUSSIERE</v>
      </c>
      <c r="E33354" s="38" t="s">
        <v>241</v>
      </c>
      <c r="F33354" s="38" t="s">
        <v>134</v>
      </c>
      <c r="G33354" s="49" t="str">
        <f t="shared" si="1"/>
        <v>27270</v>
      </c>
      <c r="H33354" s="49">
        <f t="shared" si="2"/>
        <v>27499</v>
      </c>
    </row>
    <row r="33355">
      <c r="A33355" s="48" t="s">
        <v>9565</v>
      </c>
      <c r="B33355" s="38">
        <v>71462.0</v>
      </c>
      <c r="C33355" s="38" t="s">
        <v>37581</v>
      </c>
      <c r="D33355" s="38" t="str">
        <f>IFERROR(__xludf.DUMMYFUNCTION("REGEXREPLACE(C33355,""-\d+(.*)|--\d+(.*)"","""")"),"SAINT-MAURICE-EN-RIVIERE")</f>
        <v>SAINT-MAURICE-EN-RIVIERE</v>
      </c>
      <c r="E33355" s="38" t="s">
        <v>344</v>
      </c>
      <c r="F33355" s="38" t="s">
        <v>106</v>
      </c>
      <c r="G33355" s="49" t="str">
        <f t="shared" si="1"/>
        <v>71620</v>
      </c>
      <c r="H33355" s="49">
        <f t="shared" si="2"/>
        <v>71462</v>
      </c>
    </row>
    <row r="33356">
      <c r="A33356" s="48" t="s">
        <v>3583</v>
      </c>
      <c r="B33356" s="38">
        <v>7248.0</v>
      </c>
      <c r="C33356" s="38" t="s">
        <v>37582</v>
      </c>
      <c r="D33356" s="38" t="str">
        <f>IFERROR(__xludf.DUMMYFUNCTION("REGEXREPLACE(C33356,""-\d+(.*)|--\d+(.*)"","""")"),"SAINT-JEAN-ROURE")</f>
        <v>SAINT-JEAN-ROURE</v>
      </c>
      <c r="E33356" s="38" t="s">
        <v>144</v>
      </c>
      <c r="F33356" s="38" t="s">
        <v>102</v>
      </c>
      <c r="G33356" s="49" t="str">
        <f t="shared" si="1"/>
        <v>07160</v>
      </c>
      <c r="H33356" s="49" t="str">
        <f t="shared" si="2"/>
        <v>07248</v>
      </c>
    </row>
    <row r="33357">
      <c r="A33357" s="48" t="s">
        <v>12467</v>
      </c>
      <c r="B33357" s="38">
        <v>72169.0</v>
      </c>
      <c r="C33357" s="38" t="s">
        <v>37583</v>
      </c>
      <c r="D33357" s="38" t="str">
        <f>IFERROR(__xludf.DUMMYFUNCTION("REGEXREPLACE(C33357,""-\d+(.*)|--\d+(.*)"","""")"),"LOUPLANDE")</f>
        <v>LOUPLANDE</v>
      </c>
      <c r="E33357" s="38" t="s">
        <v>521</v>
      </c>
      <c r="F33357" s="38" t="s">
        <v>180</v>
      </c>
      <c r="G33357" s="49" t="str">
        <f t="shared" si="1"/>
        <v>72210</v>
      </c>
      <c r="H33357" s="49">
        <f t="shared" si="2"/>
        <v>72169</v>
      </c>
    </row>
    <row r="33358">
      <c r="A33358" s="48" t="s">
        <v>9883</v>
      </c>
      <c r="B33358" s="38">
        <v>24519.0</v>
      </c>
      <c r="C33358" s="38" t="s">
        <v>37584</v>
      </c>
      <c r="D33358" s="38" t="str">
        <f>IFERROR(__xludf.DUMMYFUNCTION("REGEXREPLACE(C33358,""-\d+(.*)|--\d+(.*)"","""")"),"SARLANDE")</f>
        <v>SARLANDE</v>
      </c>
      <c r="E33358" s="38" t="s">
        <v>261</v>
      </c>
      <c r="F33358" s="38" t="s">
        <v>252</v>
      </c>
      <c r="G33358" s="49" t="str">
        <f t="shared" si="1"/>
        <v>24270</v>
      </c>
      <c r="H33358" s="49">
        <f t="shared" si="2"/>
        <v>24519</v>
      </c>
    </row>
    <row r="33359">
      <c r="A33359" s="48" t="s">
        <v>35314</v>
      </c>
      <c r="B33359" s="38">
        <v>58007.0</v>
      </c>
      <c r="C33359" s="38" t="s">
        <v>23075</v>
      </c>
      <c r="D33359" s="38" t="str">
        <f>IFERROR(__xludf.DUMMYFUNCTION("REGEXREPLACE(C33359,""-\d+(.*)|--\d+(.*)"","""")"),"ANNAY")</f>
        <v>ANNAY</v>
      </c>
      <c r="E33359" s="38" t="s">
        <v>219</v>
      </c>
      <c r="F33359" s="38" t="s">
        <v>106</v>
      </c>
      <c r="G33359" s="49" t="str">
        <f t="shared" si="1"/>
        <v>58450</v>
      </c>
      <c r="H33359" s="49">
        <f t="shared" si="2"/>
        <v>58007</v>
      </c>
    </row>
    <row r="33360">
      <c r="A33360" s="48" t="s">
        <v>37585</v>
      </c>
      <c r="B33360" s="38">
        <v>13078.0</v>
      </c>
      <c r="C33360" s="38" t="s">
        <v>37586</v>
      </c>
      <c r="D33360" s="38" t="str">
        <f>IFERROR(__xludf.DUMMYFUNCTION("REGEXREPLACE(C33360,""-\d+(.*)|--\d+(.*)"","""")"),"PORT-SAINT-LOUIS-DU-RHONE")</f>
        <v>PORT-SAINT-LOUIS-DU-RHONE</v>
      </c>
      <c r="E33360" s="38" t="s">
        <v>980</v>
      </c>
      <c r="F33360" s="38" t="s">
        <v>228</v>
      </c>
      <c r="G33360" s="49" t="str">
        <f t="shared" si="1"/>
        <v>13230</v>
      </c>
      <c r="H33360" s="49">
        <f t="shared" si="2"/>
        <v>13078</v>
      </c>
    </row>
    <row r="33361">
      <c r="A33361" s="48" t="s">
        <v>4891</v>
      </c>
      <c r="B33361" s="38">
        <v>76696.0</v>
      </c>
      <c r="C33361" s="38" t="s">
        <v>37587</v>
      </c>
      <c r="D33361" s="38" t="str">
        <f>IFERROR(__xludf.DUMMYFUNCTION("REGEXREPLACE(C33361,""-\d+(.*)|--\d+(.*)"","""")"),"TOCQUEVILLE-SUR-EU")</f>
        <v>TOCQUEVILLE-SUR-EU</v>
      </c>
      <c r="E33361" s="38" t="s">
        <v>133</v>
      </c>
      <c r="F33361" s="38" t="s">
        <v>134</v>
      </c>
      <c r="G33361" s="49" t="str">
        <f t="shared" si="1"/>
        <v>76910</v>
      </c>
      <c r="H33361" s="49">
        <f t="shared" si="2"/>
        <v>76696</v>
      </c>
    </row>
    <row r="33362">
      <c r="A33362" s="48" t="s">
        <v>2642</v>
      </c>
      <c r="B33362" s="38">
        <v>37045.0</v>
      </c>
      <c r="C33362" s="38" t="s">
        <v>37588</v>
      </c>
      <c r="D33362" s="38" t="str">
        <f>IFERROR(__xludf.DUMMYFUNCTION("REGEXREPLACE(C33362,""-\d+(.*)|--\d+(.*)"","""")"),"LA CELLE-SAINT-AVANT")</f>
        <v>LA CELLE-SAINT-AVANT</v>
      </c>
      <c r="E33362" s="38" t="s">
        <v>205</v>
      </c>
      <c r="F33362" s="38" t="s">
        <v>123</v>
      </c>
      <c r="G33362" s="49" t="str">
        <f t="shared" si="1"/>
        <v>37160</v>
      </c>
      <c r="H33362" s="49">
        <f t="shared" si="2"/>
        <v>37045</v>
      </c>
    </row>
    <row r="33363">
      <c r="A33363" s="48" t="s">
        <v>425</v>
      </c>
      <c r="B33363" s="38">
        <v>88356.0</v>
      </c>
      <c r="C33363" s="38" t="s">
        <v>37589</v>
      </c>
      <c r="D33363" s="38" t="str">
        <f>IFERROR(__xludf.DUMMYFUNCTION("REGEXREPLACE(C33363,""-\d+(.*)|--\d+(.*)"","""")"),"LES POULIERES")</f>
        <v>LES POULIERES</v>
      </c>
      <c r="E33363" s="38" t="s">
        <v>194</v>
      </c>
      <c r="F33363" s="38" t="s">
        <v>195</v>
      </c>
      <c r="G33363" s="49" t="str">
        <f t="shared" si="1"/>
        <v>88600</v>
      </c>
      <c r="H33363" s="49">
        <f t="shared" si="2"/>
        <v>88356</v>
      </c>
    </row>
    <row r="33364">
      <c r="A33364" s="48" t="s">
        <v>21644</v>
      </c>
      <c r="B33364" s="38">
        <v>54534.0</v>
      </c>
      <c r="C33364" s="38" t="s">
        <v>37590</v>
      </c>
      <c r="D33364" s="38" t="str">
        <f>IFERROR(__xludf.DUMMYFUNCTION("REGEXREPLACE(C33364,""-\d+(.*)|--\d+(.*)"","""")"),"TRONDES")</f>
        <v>TRONDES</v>
      </c>
      <c r="E33364" s="38" t="s">
        <v>548</v>
      </c>
      <c r="F33364" s="38" t="s">
        <v>195</v>
      </c>
      <c r="G33364" s="49" t="str">
        <f t="shared" si="1"/>
        <v>54570</v>
      </c>
      <c r="H33364" s="49">
        <f t="shared" si="2"/>
        <v>54534</v>
      </c>
    </row>
    <row r="33365">
      <c r="A33365" s="48" t="s">
        <v>1170</v>
      </c>
      <c r="B33365" s="38">
        <v>14053.0</v>
      </c>
      <c r="C33365" s="38" t="s">
        <v>37591</v>
      </c>
      <c r="D33365" s="38" t="str">
        <f>IFERROR(__xludf.DUMMYFUNCTION("REGEXREPLACE(C33365,""-\d+(.*)|--\d+(.*)"","""")"),"BEAUMAIS")</f>
        <v>BEAUMAIS</v>
      </c>
      <c r="E33365" s="38" t="s">
        <v>137</v>
      </c>
      <c r="F33365" s="38" t="s">
        <v>138</v>
      </c>
      <c r="G33365" s="49" t="str">
        <f t="shared" si="1"/>
        <v>14620</v>
      </c>
      <c r="H33365" s="49">
        <f t="shared" si="2"/>
        <v>14053</v>
      </c>
    </row>
    <row r="33366">
      <c r="A33366" s="48" t="s">
        <v>37592</v>
      </c>
      <c r="B33366" s="38">
        <v>87114.0</v>
      </c>
      <c r="C33366" s="38" t="s">
        <v>37593</v>
      </c>
      <c r="D33366" s="38" t="str">
        <f>IFERROR(__xludf.DUMMYFUNCTION("REGEXREPLACE(C33366,""-\d+(.*)|--\d+(.*)"","""")"),"PANAZOL")</f>
        <v>PANAZOL</v>
      </c>
      <c r="E33366" s="38" t="s">
        <v>897</v>
      </c>
      <c r="F33366" s="38" t="s">
        <v>98</v>
      </c>
      <c r="G33366" s="49" t="str">
        <f t="shared" si="1"/>
        <v>87350</v>
      </c>
      <c r="H33366" s="49">
        <f t="shared" si="2"/>
        <v>87114</v>
      </c>
    </row>
    <row r="33367">
      <c r="A33367" s="48" t="s">
        <v>5311</v>
      </c>
      <c r="B33367" s="38">
        <v>55430.0</v>
      </c>
      <c r="C33367" s="38" t="s">
        <v>2279</v>
      </c>
      <c r="D33367" s="38" t="str">
        <f>IFERROR(__xludf.DUMMYFUNCTION("REGEXREPLACE(C33367,""-\d+(.*)|--\d+(.*)"","""")"),"RIBEAUCOURT")</f>
        <v>RIBEAUCOURT</v>
      </c>
      <c r="E33367" s="38" t="s">
        <v>322</v>
      </c>
      <c r="F33367" s="38" t="s">
        <v>195</v>
      </c>
      <c r="G33367" s="49" t="str">
        <f t="shared" si="1"/>
        <v>55290</v>
      </c>
      <c r="H33367" s="49">
        <f t="shared" si="2"/>
        <v>55430</v>
      </c>
    </row>
    <row r="33368">
      <c r="A33368" s="48" t="s">
        <v>8757</v>
      </c>
      <c r="B33368" s="38">
        <v>84033.0</v>
      </c>
      <c r="C33368" s="38" t="s">
        <v>37594</v>
      </c>
      <c r="D33368" s="38" t="str">
        <f>IFERROR(__xludf.DUMMYFUNCTION("REGEXREPLACE(C33368,""-\d+(.*)|--\d+(.*)"","""")"),"CASTELLET")</f>
        <v>CASTELLET</v>
      </c>
      <c r="E33368" s="38" t="s">
        <v>1026</v>
      </c>
      <c r="F33368" s="38" t="s">
        <v>228</v>
      </c>
      <c r="G33368" s="49" t="str">
        <f t="shared" si="1"/>
        <v>84400</v>
      </c>
      <c r="H33368" s="49">
        <f t="shared" si="2"/>
        <v>84033</v>
      </c>
    </row>
    <row r="33369">
      <c r="A33369" s="48" t="s">
        <v>633</v>
      </c>
      <c r="B33369" s="38">
        <v>85302.0</v>
      </c>
      <c r="C33369" s="38" t="s">
        <v>37595</v>
      </c>
      <c r="D33369" s="38" t="str">
        <f>IFERROR(__xludf.DUMMYFUNCTION("REGEXREPLACE(C33369,""-\d+(.*)|--\d+(.*)"","""")"),"LA VERRIE")</f>
        <v>LA VERRIE</v>
      </c>
      <c r="E33369" s="38" t="s">
        <v>179</v>
      </c>
      <c r="F33369" s="38" t="s">
        <v>180</v>
      </c>
      <c r="G33369" s="49" t="str">
        <f t="shared" si="1"/>
        <v>85130</v>
      </c>
      <c r="H33369" s="49">
        <f t="shared" si="2"/>
        <v>85302</v>
      </c>
    </row>
    <row r="33370">
      <c r="A33370" s="48" t="s">
        <v>19064</v>
      </c>
      <c r="B33370" s="38">
        <v>61241.0</v>
      </c>
      <c r="C33370" s="38" t="s">
        <v>37596</v>
      </c>
      <c r="D33370" s="38" t="str">
        <f>IFERROR(__xludf.DUMMYFUNCTION("REGEXREPLACE(C33370,""-\d+(.*)|--\d+(.*)"","""")"),"LA MADELEINE-BOUVET")</f>
        <v>LA MADELEINE-BOUVET</v>
      </c>
      <c r="E33370" s="38" t="s">
        <v>141</v>
      </c>
      <c r="F33370" s="38" t="s">
        <v>138</v>
      </c>
      <c r="G33370" s="49" t="str">
        <f t="shared" si="1"/>
        <v>61110</v>
      </c>
      <c r="H33370" s="49">
        <f t="shared" si="2"/>
        <v>61241</v>
      </c>
    </row>
    <row r="33371">
      <c r="A33371" s="48" t="s">
        <v>18596</v>
      </c>
      <c r="B33371" s="38">
        <v>15123.0</v>
      </c>
      <c r="C33371" s="38" t="s">
        <v>37597</v>
      </c>
      <c r="D33371" s="38" t="str">
        <f>IFERROR(__xludf.DUMMYFUNCTION("REGEXREPLACE(C33371,""-\d+(.*)|--\d+(.*)"","""")"),"MEALLET")</f>
        <v>MEALLET</v>
      </c>
      <c r="E33371" s="38" t="s">
        <v>632</v>
      </c>
      <c r="F33371" s="38" t="s">
        <v>161</v>
      </c>
      <c r="G33371" s="49" t="str">
        <f t="shared" si="1"/>
        <v>15200</v>
      </c>
      <c r="H33371" s="49">
        <f t="shared" si="2"/>
        <v>15123</v>
      </c>
    </row>
    <row r="33372">
      <c r="A33372" s="48" t="s">
        <v>2934</v>
      </c>
      <c r="B33372" s="38">
        <v>78310.0</v>
      </c>
      <c r="C33372" s="38" t="s">
        <v>37598</v>
      </c>
      <c r="D33372" s="38" t="str">
        <f>IFERROR(__xludf.DUMMYFUNCTION("REGEXREPLACE(C33372,""-\d+(.*)|--\d+(.*)"","""")"),"HOUDAN")</f>
        <v>HOUDAN</v>
      </c>
      <c r="E33372" s="38" t="s">
        <v>362</v>
      </c>
      <c r="F33372" s="38" t="s">
        <v>245</v>
      </c>
      <c r="G33372" s="49" t="str">
        <f t="shared" si="1"/>
        <v>78550</v>
      </c>
      <c r="H33372" s="49">
        <f t="shared" si="2"/>
        <v>78310</v>
      </c>
    </row>
    <row r="33373">
      <c r="A33373" s="48" t="s">
        <v>3071</v>
      </c>
      <c r="B33373" s="38">
        <v>59441.0</v>
      </c>
      <c r="C33373" s="38" t="s">
        <v>37599</v>
      </c>
      <c r="D33373" s="38" t="str">
        <f>IFERROR(__xludf.DUMMYFUNCTION("REGEXREPLACE(C33373,""-\d+(.*)|--\d+(.*)"","""")"),"OBIES")</f>
        <v>OBIES</v>
      </c>
      <c r="E33373" s="38" t="s">
        <v>85</v>
      </c>
      <c r="F33373" s="38" t="s">
        <v>86</v>
      </c>
      <c r="G33373" s="49" t="str">
        <f t="shared" si="1"/>
        <v>59570</v>
      </c>
      <c r="H33373" s="49">
        <f t="shared" si="2"/>
        <v>59441</v>
      </c>
    </row>
    <row r="33374">
      <c r="A33374" s="48" t="s">
        <v>6674</v>
      </c>
      <c r="B33374" s="38">
        <v>27502.0</v>
      </c>
      <c r="C33374" s="38" t="s">
        <v>37600</v>
      </c>
      <c r="D33374" s="38" t="str">
        <f>IFERROR(__xludf.DUMMYFUNCTION("REGEXREPLACE(C33374,""-\d+(.*)|--\d+(.*)"","""")"),"RUGLES")</f>
        <v>RUGLES</v>
      </c>
      <c r="E33374" s="38" t="s">
        <v>241</v>
      </c>
      <c r="F33374" s="38" t="s">
        <v>134</v>
      </c>
      <c r="G33374" s="49" t="str">
        <f t="shared" si="1"/>
        <v>27250</v>
      </c>
      <c r="H33374" s="49">
        <f t="shared" si="2"/>
        <v>27502</v>
      </c>
    </row>
    <row r="33375">
      <c r="A33375" s="48" t="s">
        <v>10916</v>
      </c>
      <c r="B33375" s="38">
        <v>40222.0</v>
      </c>
      <c r="C33375" s="38" t="s">
        <v>37601</v>
      </c>
      <c r="D33375" s="38" t="str">
        <f>IFERROR(__xludf.DUMMYFUNCTION("REGEXREPLACE(C33375,""-\d+(.*)|--\d+(.*)"","""")"),"PEY")</f>
        <v>PEY</v>
      </c>
      <c r="E33375" s="38" t="s">
        <v>281</v>
      </c>
      <c r="F33375" s="38" t="s">
        <v>252</v>
      </c>
      <c r="G33375" s="49" t="str">
        <f t="shared" si="1"/>
        <v>40300</v>
      </c>
      <c r="H33375" s="49">
        <f t="shared" si="2"/>
        <v>40222</v>
      </c>
    </row>
    <row r="33376">
      <c r="A33376" s="48" t="s">
        <v>3184</v>
      </c>
      <c r="B33376" s="38">
        <v>36141.0</v>
      </c>
      <c r="C33376" s="38" t="s">
        <v>37602</v>
      </c>
      <c r="D33376" s="38" t="str">
        <f>IFERROR(__xludf.DUMMYFUNCTION("REGEXREPLACE(C33376,""-\d+(.*)|--\d+(.*)"","""")"),"NEUVY-SAINT-SEPULCHRE")</f>
        <v>NEUVY-SAINT-SEPULCHRE</v>
      </c>
      <c r="E33376" s="38" t="s">
        <v>258</v>
      </c>
      <c r="F33376" s="38" t="s">
        <v>123</v>
      </c>
      <c r="G33376" s="49" t="str">
        <f t="shared" si="1"/>
        <v>36230</v>
      </c>
      <c r="H33376" s="49">
        <f t="shared" si="2"/>
        <v>36141</v>
      </c>
    </row>
    <row r="33377">
      <c r="A33377" s="48" t="s">
        <v>3147</v>
      </c>
      <c r="B33377" s="38">
        <v>68122.0</v>
      </c>
      <c r="C33377" s="38" t="s">
        <v>37603</v>
      </c>
      <c r="D33377" s="38" t="str">
        <f>IFERROR(__xludf.DUMMYFUNCTION("REGEXREPLACE(C33377,""-\d+(.*)|--\d+(.*)"","""")"),"HARTMANNSWILLER")</f>
        <v>HARTMANNSWILLER</v>
      </c>
      <c r="E33377" s="38" t="s">
        <v>150</v>
      </c>
      <c r="F33377" s="38" t="s">
        <v>151</v>
      </c>
      <c r="G33377" s="49" t="str">
        <f t="shared" si="1"/>
        <v>68500</v>
      </c>
      <c r="H33377" s="49">
        <f t="shared" si="2"/>
        <v>68122</v>
      </c>
    </row>
    <row r="33378">
      <c r="A33378" s="48" t="s">
        <v>8889</v>
      </c>
      <c r="B33378" s="38">
        <v>32095.0</v>
      </c>
      <c r="C33378" s="38" t="s">
        <v>37604</v>
      </c>
      <c r="D33378" s="38" t="str">
        <f>IFERROR(__xludf.DUMMYFUNCTION("REGEXREPLACE(C33378,""-\d+(.*)|--\d+(.*)"","""")"),"CAUSSENS")</f>
        <v>CAUSSENS</v>
      </c>
      <c r="E33378" s="38" t="s">
        <v>440</v>
      </c>
      <c r="F33378" s="38" t="s">
        <v>94</v>
      </c>
      <c r="G33378" s="49" t="str">
        <f t="shared" si="1"/>
        <v>32100</v>
      </c>
      <c r="H33378" s="49">
        <f t="shared" si="2"/>
        <v>32095</v>
      </c>
    </row>
    <row r="33379">
      <c r="A33379" s="48" t="s">
        <v>5545</v>
      </c>
      <c r="B33379" s="38">
        <v>22093.0</v>
      </c>
      <c r="C33379" s="38" t="s">
        <v>37605</v>
      </c>
      <c r="D33379" s="38" t="str">
        <f>IFERROR(__xludf.DUMMYFUNCTION("REGEXREPLACE(C33379,""-\d+(.*)|--\d+(.*)"","""")"),"LAMBALLE")</f>
        <v>LAMBALLE</v>
      </c>
      <c r="E33379" s="38" t="s">
        <v>89</v>
      </c>
      <c r="F33379" s="38" t="s">
        <v>90</v>
      </c>
      <c r="G33379" s="49" t="str">
        <f t="shared" si="1"/>
        <v>22400</v>
      </c>
      <c r="H33379" s="49">
        <f t="shared" si="2"/>
        <v>22093</v>
      </c>
    </row>
    <row r="33380">
      <c r="A33380" s="48" t="s">
        <v>29730</v>
      </c>
      <c r="B33380" s="38">
        <v>37217.0</v>
      </c>
      <c r="C33380" s="38" t="s">
        <v>37606</v>
      </c>
      <c r="D33380" s="38" t="str">
        <f>IFERROR(__xludf.DUMMYFUNCTION("REGEXREPLACE(C33380,""-\d+(.*)|--\d+(.*)"","""")"),"SAINT-ETIENNE-DE-CHIGNY")</f>
        <v>SAINT-ETIENNE-DE-CHIGNY</v>
      </c>
      <c r="E33380" s="38" t="s">
        <v>205</v>
      </c>
      <c r="F33380" s="38" t="s">
        <v>123</v>
      </c>
      <c r="G33380" s="49" t="str">
        <f t="shared" si="1"/>
        <v>37230</v>
      </c>
      <c r="H33380" s="49">
        <f t="shared" si="2"/>
        <v>37217</v>
      </c>
    </row>
    <row r="33381">
      <c r="A33381" s="48" t="s">
        <v>856</v>
      </c>
      <c r="B33381" s="38">
        <v>43189.0</v>
      </c>
      <c r="C33381" s="38" t="s">
        <v>37607</v>
      </c>
      <c r="D33381" s="38" t="str">
        <f>IFERROR(__xludf.DUMMYFUNCTION("REGEXREPLACE(C33381,""-\d+(.*)|--\d+(.*)"","""")"),"SAINT-GEORGES-LAGRICOL")</f>
        <v>SAINT-GEORGES-LAGRICOL</v>
      </c>
      <c r="E33381" s="38" t="s">
        <v>332</v>
      </c>
      <c r="F33381" s="38" t="s">
        <v>161</v>
      </c>
      <c r="G33381" s="49" t="str">
        <f t="shared" si="1"/>
        <v>43500</v>
      </c>
      <c r="H33381" s="49">
        <f t="shared" si="2"/>
        <v>43189</v>
      </c>
    </row>
    <row r="33382">
      <c r="A33382" s="48" t="s">
        <v>7657</v>
      </c>
      <c r="B33382" s="38">
        <v>80044.0</v>
      </c>
      <c r="C33382" s="38" t="s">
        <v>37608</v>
      </c>
      <c r="D33382" s="38" t="str">
        <f>IFERROR(__xludf.DUMMYFUNCTION("REGEXREPLACE(C33382,""-\d+(.*)|--\d+(.*)"","""")"),"AUTHIEULE")</f>
        <v>AUTHIEULE</v>
      </c>
      <c r="E33382" s="38" t="s">
        <v>224</v>
      </c>
      <c r="F33382" s="38" t="s">
        <v>113</v>
      </c>
      <c r="G33382" s="49" t="str">
        <f t="shared" si="1"/>
        <v>80600</v>
      </c>
      <c r="H33382" s="49">
        <f t="shared" si="2"/>
        <v>80044</v>
      </c>
    </row>
    <row r="33383">
      <c r="A33383" s="48" t="s">
        <v>970</v>
      </c>
      <c r="B33383" s="38">
        <v>2623.0</v>
      </c>
      <c r="C33383" s="38" t="s">
        <v>37609</v>
      </c>
      <c r="D33383" s="38" t="str">
        <f>IFERROR(__xludf.DUMMYFUNCTION("REGEXREPLACE(C33383,""-\d+(.*)|--\d+(.*)"","""")"),"PRISCES")</f>
        <v>PRISCES</v>
      </c>
      <c r="E33383" s="38" t="s">
        <v>191</v>
      </c>
      <c r="F33383" s="38" t="s">
        <v>113</v>
      </c>
      <c r="G33383" s="49" t="str">
        <f t="shared" si="1"/>
        <v>02140</v>
      </c>
      <c r="H33383" s="49" t="str">
        <f t="shared" si="2"/>
        <v>02623</v>
      </c>
    </row>
    <row r="33384">
      <c r="A33384" s="48" t="s">
        <v>1330</v>
      </c>
      <c r="B33384" s="38">
        <v>6142.0</v>
      </c>
      <c r="C33384" s="38" t="s">
        <v>37610</v>
      </c>
      <c r="D33384" s="38" t="str">
        <f>IFERROR(__xludf.DUMMYFUNCTION("REGEXREPLACE(C33384,""-\d+(.*)|--\d+(.*)"","""")"),"TOUET-DE-L'ESCARENE")</f>
        <v>TOUET-DE-L'ESCARENE</v>
      </c>
      <c r="E33384" s="38" t="s">
        <v>227</v>
      </c>
      <c r="F33384" s="38" t="s">
        <v>228</v>
      </c>
      <c r="G33384" s="49" t="str">
        <f t="shared" si="1"/>
        <v>06440</v>
      </c>
      <c r="H33384" s="49" t="str">
        <f t="shared" si="2"/>
        <v>06142</v>
      </c>
    </row>
    <row r="33385">
      <c r="A33385" s="48" t="s">
        <v>4332</v>
      </c>
      <c r="B33385" s="38">
        <v>24277.0</v>
      </c>
      <c r="C33385" s="38" t="s">
        <v>15344</v>
      </c>
      <c r="D33385" s="38" t="str">
        <f>IFERROR(__xludf.DUMMYFUNCTION("REGEXREPLACE(C33385,""-\d+(.*)|--\d+(.*)"","""")"),"MONFAUCON")</f>
        <v>MONFAUCON</v>
      </c>
      <c r="E33385" s="38" t="s">
        <v>261</v>
      </c>
      <c r="F33385" s="38" t="s">
        <v>252</v>
      </c>
      <c r="G33385" s="49" t="str">
        <f t="shared" si="1"/>
        <v>24130</v>
      </c>
      <c r="H33385" s="49">
        <f t="shared" si="2"/>
        <v>24277</v>
      </c>
    </row>
    <row r="33386">
      <c r="A33386" s="48" t="s">
        <v>3508</v>
      </c>
      <c r="B33386" s="38">
        <v>51268.0</v>
      </c>
      <c r="C33386" s="38" t="s">
        <v>37611</v>
      </c>
      <c r="D33386" s="38" t="str">
        <f>IFERROR(__xludf.DUMMYFUNCTION("REGEXREPLACE(C33386,""-\d+(.*)|--\d+(.*)"","""")"),"GERMINON")</f>
        <v>GERMINON</v>
      </c>
      <c r="E33386" s="38" t="s">
        <v>129</v>
      </c>
      <c r="F33386" s="38" t="s">
        <v>130</v>
      </c>
      <c r="G33386" s="49" t="str">
        <f t="shared" si="1"/>
        <v>51130</v>
      </c>
      <c r="H33386" s="49">
        <f t="shared" si="2"/>
        <v>51268</v>
      </c>
    </row>
    <row r="33387">
      <c r="A33387" s="48" t="s">
        <v>3716</v>
      </c>
      <c r="B33387" s="38">
        <v>57640.0</v>
      </c>
      <c r="C33387" s="38" t="s">
        <v>37612</v>
      </c>
      <c r="D33387" s="38" t="str">
        <f>IFERROR(__xludf.DUMMYFUNCTION("REGEXREPLACE(C33387,""-\d+(.*)|--\d+(.*)"","""")"),"SCHWERDORFF")</f>
        <v>SCHWERDORFF</v>
      </c>
      <c r="E33387" s="38" t="s">
        <v>303</v>
      </c>
      <c r="F33387" s="38" t="s">
        <v>195</v>
      </c>
      <c r="G33387" s="49" t="str">
        <f t="shared" si="1"/>
        <v>57320</v>
      </c>
      <c r="H33387" s="49">
        <f t="shared" si="2"/>
        <v>57640</v>
      </c>
    </row>
    <row r="33388">
      <c r="A33388" s="48" t="s">
        <v>7876</v>
      </c>
      <c r="B33388" s="38">
        <v>58180.0</v>
      </c>
      <c r="C33388" s="38" t="s">
        <v>37613</v>
      </c>
      <c r="D33388" s="38" t="str">
        <f>IFERROR(__xludf.DUMMYFUNCTION("REGEXREPLACE(C33388,""-\d+(.*)|--\d+(.*)"","""")"),"MONTSAUCHE-LES-SETTONS")</f>
        <v>MONTSAUCHE-LES-SETTONS</v>
      </c>
      <c r="E33388" s="38" t="s">
        <v>219</v>
      </c>
      <c r="F33388" s="38" t="s">
        <v>106</v>
      </c>
      <c r="G33388" s="49" t="str">
        <f t="shared" si="1"/>
        <v>58230</v>
      </c>
      <c r="H33388" s="49">
        <f t="shared" si="2"/>
        <v>58180</v>
      </c>
    </row>
    <row r="33389">
      <c r="A33389" s="48" t="s">
        <v>4521</v>
      </c>
      <c r="B33389" s="38">
        <v>5108.0</v>
      </c>
      <c r="C33389" s="38" t="s">
        <v>37614</v>
      </c>
      <c r="D33389" s="38" t="str">
        <f>IFERROR(__xludf.DUMMYFUNCTION("REGEXREPLACE(C33389,""-\d+(.*)|--\d+(.*)"","""")"),"PUY-SAINT-EUSEBE")</f>
        <v>PUY-SAINT-EUSEBE</v>
      </c>
      <c r="E33389" s="38" t="s">
        <v>706</v>
      </c>
      <c r="F33389" s="38" t="s">
        <v>228</v>
      </c>
      <c r="G33389" s="49" t="str">
        <f t="shared" si="1"/>
        <v>05200</v>
      </c>
      <c r="H33389" s="49" t="str">
        <f t="shared" si="2"/>
        <v>05108</v>
      </c>
    </row>
    <row r="33390">
      <c r="A33390" s="48" t="s">
        <v>171</v>
      </c>
      <c r="B33390" s="38">
        <v>56200.0</v>
      </c>
      <c r="C33390" s="38" t="s">
        <v>37615</v>
      </c>
      <c r="D33390" s="38" t="str">
        <f>IFERROR(__xludf.DUMMYFUNCTION("REGEXREPLACE(C33390,""-\d+(.*)|--\d+(.*)"","""")"),"RUFFIAC")</f>
        <v>RUFFIAC</v>
      </c>
      <c r="E33390" s="38" t="s">
        <v>173</v>
      </c>
      <c r="F33390" s="38" t="s">
        <v>90</v>
      </c>
      <c r="G33390" s="49" t="str">
        <f t="shared" si="1"/>
        <v>56140</v>
      </c>
      <c r="H33390" s="49">
        <f t="shared" si="2"/>
        <v>56200</v>
      </c>
    </row>
    <row r="33391">
      <c r="A33391" s="48" t="s">
        <v>1110</v>
      </c>
      <c r="B33391" s="38">
        <v>50321.0</v>
      </c>
      <c r="C33391" s="38" t="s">
        <v>37616</v>
      </c>
      <c r="D33391" s="38" t="str">
        <f>IFERROR(__xludf.DUMMYFUNCTION("REGEXREPLACE(C33391,""-\d+(.*)|--\d+(.*)"","""")"),"LE MESNIL-ROUXELIN")</f>
        <v>LE MESNIL-ROUXELIN</v>
      </c>
      <c r="E33391" s="38" t="s">
        <v>157</v>
      </c>
      <c r="F33391" s="38" t="s">
        <v>138</v>
      </c>
      <c r="G33391" s="49" t="str">
        <f t="shared" si="1"/>
        <v>50000</v>
      </c>
      <c r="H33391" s="49">
        <f t="shared" si="2"/>
        <v>50321</v>
      </c>
    </row>
    <row r="33392">
      <c r="A33392" s="48" t="s">
        <v>2479</v>
      </c>
      <c r="B33392" s="38">
        <v>45066.0</v>
      </c>
      <c r="C33392" s="38" t="s">
        <v>37617</v>
      </c>
      <c r="D33392" s="38" t="str">
        <f>IFERROR(__xludf.DUMMYFUNCTION("REGEXREPLACE(C33392,""-\d+(.*)|--\d+(.*)"","""")"),"CHAILLY-EN-GATINAIS")</f>
        <v>CHAILLY-EN-GATINAIS</v>
      </c>
      <c r="E33392" s="38" t="s">
        <v>122</v>
      </c>
      <c r="F33392" s="38" t="s">
        <v>123</v>
      </c>
      <c r="G33392" s="49" t="str">
        <f t="shared" si="1"/>
        <v>45260</v>
      </c>
      <c r="H33392" s="49">
        <f t="shared" si="2"/>
        <v>45066</v>
      </c>
    </row>
    <row r="33393">
      <c r="A33393" s="48" t="s">
        <v>1993</v>
      </c>
      <c r="B33393" s="38">
        <v>2385.0</v>
      </c>
      <c r="C33393" s="38" t="s">
        <v>37618</v>
      </c>
      <c r="D33393" s="38" t="str">
        <f>IFERROR(__xludf.DUMMYFUNCTION("REGEXREPLACE(C33393,""-\d+(.*)|--\d+(.*)"","""")"),"HOUSSET")</f>
        <v>HOUSSET</v>
      </c>
      <c r="E33393" s="38" t="s">
        <v>191</v>
      </c>
      <c r="F33393" s="38" t="s">
        <v>113</v>
      </c>
      <c r="G33393" s="49" t="str">
        <f t="shared" si="1"/>
        <v>02250</v>
      </c>
      <c r="H33393" s="49" t="str">
        <f t="shared" si="2"/>
        <v>02385</v>
      </c>
    </row>
    <row r="33394">
      <c r="A33394" s="48" t="s">
        <v>5130</v>
      </c>
      <c r="B33394" s="38">
        <v>19079.0</v>
      </c>
      <c r="C33394" s="38" t="s">
        <v>37619</v>
      </c>
      <c r="D33394" s="38" t="str">
        <f>IFERROR(__xludf.DUMMYFUNCTION("REGEXREPLACE(C33394,""-\d+(.*)|--\d+(.*)"","""")"),"EYBURIE")</f>
        <v>EYBURIE</v>
      </c>
      <c r="E33394" s="38" t="s">
        <v>271</v>
      </c>
      <c r="F33394" s="38" t="s">
        <v>98</v>
      </c>
      <c r="G33394" s="49" t="str">
        <f t="shared" si="1"/>
        <v>19140</v>
      </c>
      <c r="H33394" s="49">
        <f t="shared" si="2"/>
        <v>19079</v>
      </c>
    </row>
    <row r="33395">
      <c r="A33395" s="48" t="s">
        <v>5122</v>
      </c>
      <c r="B33395" s="38">
        <v>62038.0</v>
      </c>
      <c r="C33395" s="38" t="s">
        <v>37620</v>
      </c>
      <c r="D33395" s="38" t="str">
        <f>IFERROR(__xludf.DUMMYFUNCTION("REGEXREPLACE(C33395,""-\d+(.*)|--\d+(.*)"","""")"),"ARDRES")</f>
        <v>ARDRES</v>
      </c>
      <c r="E33395" s="38" t="s">
        <v>109</v>
      </c>
      <c r="F33395" s="38" t="s">
        <v>86</v>
      </c>
      <c r="G33395" s="49" t="str">
        <f t="shared" si="1"/>
        <v>62610</v>
      </c>
      <c r="H33395" s="49">
        <f t="shared" si="2"/>
        <v>62038</v>
      </c>
    </row>
    <row r="33396">
      <c r="A33396" s="48" t="s">
        <v>1669</v>
      </c>
      <c r="B33396" s="38">
        <v>21016.0</v>
      </c>
      <c r="C33396" s="38" t="s">
        <v>37621</v>
      </c>
      <c r="D33396" s="38" t="str">
        <f>IFERROR(__xludf.DUMMYFUNCTION("REGEXREPLACE(C33396,""-\d+(.*)|--\d+(.*)"","""")"),"ARCEAU")</f>
        <v>ARCEAU</v>
      </c>
      <c r="E33396" s="38" t="s">
        <v>105</v>
      </c>
      <c r="F33396" s="38" t="s">
        <v>106</v>
      </c>
      <c r="G33396" s="49" t="str">
        <f t="shared" si="1"/>
        <v>21310</v>
      </c>
      <c r="H33396" s="49">
        <f t="shared" si="2"/>
        <v>21016</v>
      </c>
    </row>
    <row r="33397">
      <c r="A33397" s="48" t="s">
        <v>3609</v>
      </c>
      <c r="B33397" s="38">
        <v>22312.0</v>
      </c>
      <c r="C33397" s="38" t="s">
        <v>37622</v>
      </c>
      <c r="D33397" s="38" t="str">
        <f>IFERROR(__xludf.DUMMYFUNCTION("REGEXREPLACE(C33397,""-\d+(.*)|--\d+(.*)"","""")"),"SAINT-MADEN")</f>
        <v>SAINT-MADEN</v>
      </c>
      <c r="E33397" s="38" t="s">
        <v>89</v>
      </c>
      <c r="F33397" s="38" t="s">
        <v>90</v>
      </c>
      <c r="G33397" s="49" t="str">
        <f t="shared" si="1"/>
        <v>22350</v>
      </c>
      <c r="H33397" s="49">
        <f t="shared" si="2"/>
        <v>22312</v>
      </c>
    </row>
    <row r="33398">
      <c r="A33398" s="48" t="s">
        <v>948</v>
      </c>
      <c r="B33398" s="38">
        <v>68299.0</v>
      </c>
      <c r="C33398" s="38" t="s">
        <v>37623</v>
      </c>
      <c r="D33398" s="38" t="str">
        <f>IFERROR(__xludf.DUMMYFUNCTION("REGEXREPLACE(C33398,""-\d+(.*)|--\d+(.*)"","""")"),"SAINT-ULRICH")</f>
        <v>SAINT-ULRICH</v>
      </c>
      <c r="E33398" s="38" t="s">
        <v>150</v>
      </c>
      <c r="F33398" s="38" t="s">
        <v>151</v>
      </c>
      <c r="G33398" s="49" t="str">
        <f t="shared" si="1"/>
        <v>68210</v>
      </c>
      <c r="H33398" s="49">
        <f t="shared" si="2"/>
        <v>68299</v>
      </c>
    </row>
    <row r="33399">
      <c r="A33399" s="48" t="s">
        <v>12139</v>
      </c>
      <c r="B33399" s="38">
        <v>67261.0</v>
      </c>
      <c r="C33399" s="38" t="s">
        <v>37624</v>
      </c>
      <c r="D33399" s="38" t="str">
        <f>IFERROR(__xludf.DUMMYFUNCTION("REGEXREPLACE(C33399,""-\d+(.*)|--\d+(.*)"","""")"),"LAUTERBOURG")</f>
        <v>LAUTERBOURG</v>
      </c>
      <c r="E33399" s="38" t="s">
        <v>210</v>
      </c>
      <c r="F33399" s="38" t="s">
        <v>151</v>
      </c>
      <c r="G33399" s="49" t="str">
        <f t="shared" si="1"/>
        <v>67630</v>
      </c>
      <c r="H33399" s="49">
        <f t="shared" si="2"/>
        <v>67261</v>
      </c>
    </row>
    <row r="33400">
      <c r="A33400" s="48" t="s">
        <v>9556</v>
      </c>
      <c r="B33400" s="38">
        <v>60472.0</v>
      </c>
      <c r="C33400" s="38" t="s">
        <v>37625</v>
      </c>
      <c r="D33400" s="38" t="str">
        <f>IFERROR(__xludf.DUMMYFUNCTION("REGEXREPLACE(C33400,""-\d+(.*)|--\d+(.*)"","""")"),"OFFOY")</f>
        <v>OFFOY</v>
      </c>
      <c r="E33400" s="38" t="s">
        <v>112</v>
      </c>
      <c r="F33400" s="38" t="s">
        <v>113</v>
      </c>
      <c r="G33400" s="49" t="str">
        <f t="shared" si="1"/>
        <v>60210</v>
      </c>
      <c r="H33400" s="49">
        <f t="shared" si="2"/>
        <v>60472</v>
      </c>
    </row>
    <row r="33401">
      <c r="A33401" s="48" t="s">
        <v>3750</v>
      </c>
      <c r="B33401" s="38">
        <v>47259.0</v>
      </c>
      <c r="C33401" s="38" t="s">
        <v>37626</v>
      </c>
      <c r="D33401" s="38" t="str">
        <f>IFERROR(__xludf.DUMMYFUNCTION("REGEXREPLACE(C33401,""-\d+(.*)|--\d+(.*)"","""")"),"SAINT-MAURICE-DE-LESTAPEL")</f>
        <v>SAINT-MAURICE-DE-LESTAPEL</v>
      </c>
      <c r="E33401" s="38" t="s">
        <v>251</v>
      </c>
      <c r="F33401" s="38" t="s">
        <v>252</v>
      </c>
      <c r="G33401" s="49" t="str">
        <f t="shared" si="1"/>
        <v>47290</v>
      </c>
      <c r="H33401" s="49">
        <f t="shared" si="2"/>
        <v>47259</v>
      </c>
    </row>
    <row r="33402">
      <c r="A33402" s="48" t="s">
        <v>7754</v>
      </c>
      <c r="B33402" s="38">
        <v>23177.0</v>
      </c>
      <c r="C33402" s="38" t="s">
        <v>37627</v>
      </c>
      <c r="D33402" s="38" t="str">
        <f>IFERROR(__xludf.DUMMYFUNCTION("REGEXREPLACE(C33402,""-\d+(.*)|--\d+(.*)"","""")"),"SAINT-AGNANT-DE-VERSILLAT")</f>
        <v>SAINT-AGNANT-DE-VERSILLAT</v>
      </c>
      <c r="E33402" s="38" t="s">
        <v>97</v>
      </c>
      <c r="F33402" s="38" t="s">
        <v>98</v>
      </c>
      <c r="G33402" s="49" t="str">
        <f t="shared" si="1"/>
        <v>23300</v>
      </c>
      <c r="H33402" s="49">
        <f t="shared" si="2"/>
        <v>23177</v>
      </c>
    </row>
    <row r="33403">
      <c r="A33403" s="48" t="s">
        <v>1358</v>
      </c>
      <c r="B33403" s="38">
        <v>81211.0</v>
      </c>
      <c r="C33403" s="38" t="s">
        <v>37628</v>
      </c>
      <c r="D33403" s="38" t="str">
        <f>IFERROR(__xludf.DUMMYFUNCTION("REGEXREPLACE(C33403,""-\d+(.*)|--\d+(.*)"","""")"),"POULAN-POUZOLS")</f>
        <v>POULAN-POUZOLS</v>
      </c>
      <c r="E33403" s="38" t="s">
        <v>231</v>
      </c>
      <c r="F33403" s="38" t="s">
        <v>94</v>
      </c>
      <c r="G33403" s="49" t="str">
        <f t="shared" si="1"/>
        <v>81120</v>
      </c>
      <c r="H33403" s="49">
        <f t="shared" si="2"/>
        <v>81211</v>
      </c>
    </row>
    <row r="33404">
      <c r="A33404" s="48" t="s">
        <v>2302</v>
      </c>
      <c r="B33404" s="38">
        <v>47142.0</v>
      </c>
      <c r="C33404" s="38" t="s">
        <v>37629</v>
      </c>
      <c r="D33404" s="38" t="str">
        <f>IFERROR(__xludf.DUMMYFUNCTION("REGEXREPLACE(C33404,""-\d+(.*)|--\d+(.*)"","""")"),"LAUZUN")</f>
        <v>LAUZUN</v>
      </c>
      <c r="E33404" s="38" t="s">
        <v>251</v>
      </c>
      <c r="F33404" s="38" t="s">
        <v>252</v>
      </c>
      <c r="G33404" s="49" t="str">
        <f t="shared" si="1"/>
        <v>47410</v>
      </c>
      <c r="H33404" s="49">
        <f t="shared" si="2"/>
        <v>47142</v>
      </c>
    </row>
    <row r="33405">
      <c r="A33405" s="48" t="s">
        <v>1885</v>
      </c>
      <c r="B33405" s="38">
        <v>27237.0</v>
      </c>
      <c r="C33405" s="38" t="s">
        <v>15763</v>
      </c>
      <c r="D33405" s="38" t="str">
        <f>IFERROR(__xludf.DUMMYFUNCTION("REGEXREPLACE(C33405,""-\d+(.*)|--\d+(.*)"","""")"),"LE FAVRIL")</f>
        <v>LE FAVRIL</v>
      </c>
      <c r="E33405" s="38" t="s">
        <v>241</v>
      </c>
      <c r="F33405" s="38" t="s">
        <v>134</v>
      </c>
      <c r="G33405" s="49" t="str">
        <f t="shared" si="1"/>
        <v>27230</v>
      </c>
      <c r="H33405" s="49">
        <f t="shared" si="2"/>
        <v>27237</v>
      </c>
    </row>
    <row r="33406">
      <c r="A33406" s="48" t="s">
        <v>576</v>
      </c>
      <c r="B33406" s="38">
        <v>54061.0</v>
      </c>
      <c r="C33406" s="38" t="s">
        <v>37630</v>
      </c>
      <c r="D33406" s="38" t="str">
        <f>IFERROR(__xludf.DUMMYFUNCTION("REGEXREPLACE(C33406,""-\d+(.*)|--\d+(.*)"","""")"),"BENAMENIL")</f>
        <v>BENAMENIL</v>
      </c>
      <c r="E33406" s="38" t="s">
        <v>548</v>
      </c>
      <c r="F33406" s="38" t="s">
        <v>195</v>
      </c>
      <c r="G33406" s="49" t="str">
        <f t="shared" si="1"/>
        <v>54450</v>
      </c>
      <c r="H33406" s="49">
        <f t="shared" si="2"/>
        <v>54061</v>
      </c>
    </row>
    <row r="33407">
      <c r="A33407" s="48" t="s">
        <v>8810</v>
      </c>
      <c r="B33407" s="38">
        <v>63239.0</v>
      </c>
      <c r="C33407" s="38" t="s">
        <v>37631</v>
      </c>
      <c r="D33407" s="38" t="str">
        <f>IFERROR(__xludf.DUMMYFUNCTION("REGEXREPLACE(C33407,""-\d+(.*)|--\d+(.*)"","""")"),"MONTMORIN")</f>
        <v>MONTMORIN</v>
      </c>
      <c r="E33407" s="38" t="s">
        <v>353</v>
      </c>
      <c r="F33407" s="38" t="s">
        <v>161</v>
      </c>
      <c r="G33407" s="49" t="str">
        <f t="shared" si="1"/>
        <v>63160</v>
      </c>
      <c r="H33407" s="49">
        <f t="shared" si="2"/>
        <v>63239</v>
      </c>
    </row>
    <row r="33408">
      <c r="A33408" s="48" t="s">
        <v>4140</v>
      </c>
      <c r="B33408" s="38">
        <v>54108.0</v>
      </c>
      <c r="C33408" s="38" t="s">
        <v>37632</v>
      </c>
      <c r="D33408" s="38" t="str">
        <f>IFERROR(__xludf.DUMMYFUNCTION("REGEXREPLACE(C33408,""-\d+(.*)|--\d+(.*)"","""")"),"BURTHECOURT-AUX-CHENES")</f>
        <v>BURTHECOURT-AUX-CHENES</v>
      </c>
      <c r="E33408" s="38" t="s">
        <v>548</v>
      </c>
      <c r="F33408" s="38" t="s">
        <v>195</v>
      </c>
      <c r="G33408" s="49" t="str">
        <f t="shared" si="1"/>
        <v>54210</v>
      </c>
      <c r="H33408" s="49">
        <f t="shared" si="2"/>
        <v>54108</v>
      </c>
    </row>
    <row r="33409">
      <c r="A33409" s="48" t="s">
        <v>1004</v>
      </c>
      <c r="B33409" s="38">
        <v>71377.0</v>
      </c>
      <c r="C33409" s="38" t="s">
        <v>37633</v>
      </c>
      <c r="D33409" s="38" t="str">
        <f>IFERROR(__xludf.DUMMYFUNCTION("REGEXREPLACE(C33409,""-\d+(.*)|--\d+(.*)"","""")"),"ROYER")</f>
        <v>ROYER</v>
      </c>
      <c r="E33409" s="38" t="s">
        <v>344</v>
      </c>
      <c r="F33409" s="38" t="s">
        <v>106</v>
      </c>
      <c r="G33409" s="49" t="str">
        <f t="shared" si="1"/>
        <v>71700</v>
      </c>
      <c r="H33409" s="49">
        <f t="shared" si="2"/>
        <v>71377</v>
      </c>
    </row>
    <row r="33410">
      <c r="A33410" s="48" t="s">
        <v>211</v>
      </c>
      <c r="B33410" s="38">
        <v>25223.0</v>
      </c>
      <c r="C33410" s="38" t="s">
        <v>37634</v>
      </c>
      <c r="D33410" s="38" t="str">
        <f>IFERROR(__xludf.DUMMYFUNCTION("REGEXREPLACE(C33410,""-\d+(.*)|--\d+(.*)"","""")"),"ETERNOZ")</f>
        <v>ETERNOZ</v>
      </c>
      <c r="E33410" s="38" t="s">
        <v>213</v>
      </c>
      <c r="F33410" s="38" t="s">
        <v>214</v>
      </c>
      <c r="G33410" s="49" t="str">
        <f t="shared" si="1"/>
        <v>25330</v>
      </c>
      <c r="H33410" s="49">
        <f t="shared" si="2"/>
        <v>25223</v>
      </c>
    </row>
    <row r="33411">
      <c r="A33411" s="48" t="s">
        <v>37635</v>
      </c>
      <c r="B33411" s="38">
        <v>97309.0</v>
      </c>
      <c r="C33411" s="38" t="s">
        <v>37636</v>
      </c>
      <c r="D33411" s="38" t="str">
        <f>IFERROR(__xludf.DUMMYFUNCTION("REGEXREPLACE(C33411,""-\d+(.*)|--\d+(.*)"","""")"),"REMIRE-MONTJOLY")</f>
        <v>REMIRE-MONTJOLY</v>
      </c>
      <c r="E33411" s="38" t="s">
        <v>1737</v>
      </c>
      <c r="F33411" s="38" t="s">
        <v>1737</v>
      </c>
      <c r="G33411" s="49" t="str">
        <f t="shared" si="1"/>
        <v>97354</v>
      </c>
      <c r="H33411" s="49">
        <f t="shared" si="2"/>
        <v>97309</v>
      </c>
    </row>
    <row r="33412">
      <c r="A33412" s="48" t="s">
        <v>4543</v>
      </c>
      <c r="B33412" s="38">
        <v>64345.0</v>
      </c>
      <c r="C33412" s="38" t="s">
        <v>37637</v>
      </c>
      <c r="D33412" s="38" t="str">
        <f>IFERROR(__xludf.DUMMYFUNCTION("REGEXREPLACE(C33412,""-\d+(.*)|--\d+(.*)"","""")"),"LOHITZUN-OYHERCQ")</f>
        <v>LOHITZUN-OYHERCQ</v>
      </c>
      <c r="E33412" s="38" t="s">
        <v>268</v>
      </c>
      <c r="F33412" s="38" t="s">
        <v>252</v>
      </c>
      <c r="G33412" s="49" t="str">
        <f t="shared" si="1"/>
        <v>64120</v>
      </c>
      <c r="H33412" s="49">
        <f t="shared" si="2"/>
        <v>64345</v>
      </c>
    </row>
    <row r="33413">
      <c r="A33413" s="48" t="s">
        <v>37638</v>
      </c>
      <c r="B33413" s="38">
        <v>82025.0</v>
      </c>
      <c r="C33413" s="38" t="s">
        <v>37639</v>
      </c>
      <c r="D33413" s="38" t="str">
        <f>IFERROR(__xludf.DUMMYFUNCTION("REGEXREPLACE(C33413,""-\d+(.*)|--\d+(.*)"","""")"),"BRESSOLS")</f>
        <v>BRESSOLS</v>
      </c>
      <c r="E33413" s="38" t="s">
        <v>570</v>
      </c>
      <c r="F33413" s="38" t="s">
        <v>94</v>
      </c>
      <c r="G33413" s="49" t="str">
        <f t="shared" si="1"/>
        <v>82710</v>
      </c>
      <c r="H33413" s="49">
        <f t="shared" si="2"/>
        <v>82025</v>
      </c>
    </row>
    <row r="33414">
      <c r="A33414" s="48" t="s">
        <v>8979</v>
      </c>
      <c r="B33414" s="38">
        <v>17193.0</v>
      </c>
      <c r="C33414" s="38" t="s">
        <v>37640</v>
      </c>
      <c r="D33414" s="38" t="str">
        <f>IFERROR(__xludf.DUMMYFUNCTION("REGEXREPLACE(C33414,""-\d+(.*)|--\d+(.*)"","""")"),"LA JARNE")</f>
        <v>LA JARNE</v>
      </c>
      <c r="E33414" s="38" t="s">
        <v>488</v>
      </c>
      <c r="F33414" s="38" t="s">
        <v>338</v>
      </c>
      <c r="G33414" s="49" t="str">
        <f t="shared" si="1"/>
        <v>17220</v>
      </c>
      <c r="H33414" s="49">
        <f t="shared" si="2"/>
        <v>17193</v>
      </c>
    </row>
    <row r="33415">
      <c r="A33415" s="48" t="s">
        <v>1903</v>
      </c>
      <c r="B33415" s="38">
        <v>10046.0</v>
      </c>
      <c r="C33415" s="38" t="s">
        <v>37641</v>
      </c>
      <c r="D33415" s="38" t="str">
        <f>IFERROR(__xludf.DUMMYFUNCTION("REGEXREPLACE(C33415,""-\d+(.*)|--\d+(.*)"","""")"),"BLAINCOURT-SUR-AUBE")</f>
        <v>BLAINCOURT-SUR-AUBE</v>
      </c>
      <c r="E33415" s="38" t="s">
        <v>147</v>
      </c>
      <c r="F33415" s="38" t="s">
        <v>130</v>
      </c>
      <c r="G33415" s="49" t="str">
        <f t="shared" si="1"/>
        <v>10500</v>
      </c>
      <c r="H33415" s="49">
        <f t="shared" si="2"/>
        <v>10046</v>
      </c>
    </row>
    <row r="33416">
      <c r="A33416" s="48" t="s">
        <v>10716</v>
      </c>
      <c r="B33416" s="38">
        <v>37118.0</v>
      </c>
      <c r="C33416" s="38" t="s">
        <v>37642</v>
      </c>
      <c r="D33416" s="38" t="str">
        <f>IFERROR(__xludf.DUMMYFUNCTION("REGEXREPLACE(C33416,""-\d+(.*)|--\d+(.*)"","""")"),"HUISMES")</f>
        <v>HUISMES</v>
      </c>
      <c r="E33416" s="38" t="s">
        <v>205</v>
      </c>
      <c r="F33416" s="38" t="s">
        <v>123</v>
      </c>
      <c r="G33416" s="49" t="str">
        <f t="shared" si="1"/>
        <v>37420</v>
      </c>
      <c r="H33416" s="49">
        <f t="shared" si="2"/>
        <v>37118</v>
      </c>
    </row>
    <row r="33417">
      <c r="A33417" s="48" t="s">
        <v>13021</v>
      </c>
      <c r="B33417" s="38">
        <v>57428.0</v>
      </c>
      <c r="C33417" s="38" t="s">
        <v>37643</v>
      </c>
      <c r="D33417" s="38" t="str">
        <f>IFERROR(__xludf.DUMMYFUNCTION("REGEXREPLACE(C33417,""-\d+(.*)|--\d+(.*)"","""")"),"MACHEREN")</f>
        <v>MACHEREN</v>
      </c>
      <c r="E33417" s="38" t="s">
        <v>303</v>
      </c>
      <c r="F33417" s="38" t="s">
        <v>195</v>
      </c>
      <c r="G33417" s="49" t="str">
        <f t="shared" si="1"/>
        <v>57730</v>
      </c>
      <c r="H33417" s="49">
        <f t="shared" si="2"/>
        <v>57428</v>
      </c>
    </row>
    <row r="33418">
      <c r="A33418" s="48" t="s">
        <v>13512</v>
      </c>
      <c r="B33418" s="38">
        <v>72172.0</v>
      </c>
      <c r="C33418" s="38" t="s">
        <v>37644</v>
      </c>
      <c r="D33418" s="38" t="str">
        <f>IFERROR(__xludf.DUMMYFUNCTION("REGEXREPLACE(C33418,""-\d+(.*)|--\d+(.*)"","""")"),"LE LUART")</f>
        <v>LE LUART</v>
      </c>
      <c r="E33418" s="38" t="s">
        <v>521</v>
      </c>
      <c r="F33418" s="38" t="s">
        <v>180</v>
      </c>
      <c r="G33418" s="49" t="str">
        <f t="shared" si="1"/>
        <v>72390</v>
      </c>
      <c r="H33418" s="49">
        <f t="shared" si="2"/>
        <v>72172</v>
      </c>
    </row>
    <row r="33419">
      <c r="A33419" s="48" t="s">
        <v>8365</v>
      </c>
      <c r="B33419" s="38">
        <v>39048.0</v>
      </c>
      <c r="C33419" s="38" t="s">
        <v>10049</v>
      </c>
      <c r="D33419" s="38" t="str">
        <f>IFERROR(__xludf.DUMMYFUNCTION("REGEXREPLACE(C33419,""-\d+(.*)|--\d+(.*)"","""")"),"BELMONT")</f>
        <v>BELMONT</v>
      </c>
      <c r="E33419" s="38" t="s">
        <v>400</v>
      </c>
      <c r="F33419" s="38" t="s">
        <v>214</v>
      </c>
      <c r="G33419" s="49" t="str">
        <f t="shared" si="1"/>
        <v>39380</v>
      </c>
      <c r="H33419" s="49">
        <f t="shared" si="2"/>
        <v>39048</v>
      </c>
    </row>
    <row r="33420">
      <c r="A33420" s="48" t="s">
        <v>12054</v>
      </c>
      <c r="B33420" s="38">
        <v>38524.0</v>
      </c>
      <c r="C33420" s="38" t="s">
        <v>37645</v>
      </c>
      <c r="D33420" s="38" t="str">
        <f>IFERROR(__xludf.DUMMYFUNCTION("REGEXREPLACE(C33420,""-\d+(.*)|--\d+(.*)"","""")"),"VARCES-ALLIERES-ET-RISSET")</f>
        <v>VARCES-ALLIERES-ET-RISSET</v>
      </c>
      <c r="E33420" s="38" t="s">
        <v>101</v>
      </c>
      <c r="F33420" s="38" t="s">
        <v>102</v>
      </c>
      <c r="G33420" s="49" t="str">
        <f t="shared" si="1"/>
        <v>38760</v>
      </c>
      <c r="H33420" s="49">
        <f t="shared" si="2"/>
        <v>38524</v>
      </c>
    </row>
    <row r="33421">
      <c r="A33421" s="48" t="s">
        <v>37646</v>
      </c>
      <c r="B33421" s="38">
        <v>13100.0</v>
      </c>
      <c r="C33421" s="38" t="s">
        <v>37647</v>
      </c>
      <c r="D33421" s="38" t="str">
        <f>IFERROR(__xludf.DUMMYFUNCTION("REGEXREPLACE(C33421,""-\d+(.*)|--\d+(.*)"","""")"),"SAINT-REMY-DE-PROVENCE")</f>
        <v>SAINT-REMY-DE-PROVENCE</v>
      </c>
      <c r="E33421" s="38" t="s">
        <v>980</v>
      </c>
      <c r="F33421" s="38" t="s">
        <v>228</v>
      </c>
      <c r="G33421" s="49" t="str">
        <f t="shared" si="1"/>
        <v>13210</v>
      </c>
      <c r="H33421" s="49">
        <f t="shared" si="2"/>
        <v>13100</v>
      </c>
    </row>
    <row r="33422">
      <c r="A33422" s="48" t="s">
        <v>3821</v>
      </c>
      <c r="B33422" s="38">
        <v>57587.0</v>
      </c>
      <c r="C33422" s="38" t="s">
        <v>37648</v>
      </c>
      <c r="D33422" s="38" t="str">
        <f>IFERROR(__xludf.DUMMYFUNCTION("REGEXREPLACE(C33422,""-\d+(.*)|--\d+(.*)"","""")"),"RODALBE")</f>
        <v>RODALBE</v>
      </c>
      <c r="E33422" s="38" t="s">
        <v>303</v>
      </c>
      <c r="F33422" s="38" t="s">
        <v>195</v>
      </c>
      <c r="G33422" s="49" t="str">
        <f t="shared" si="1"/>
        <v>57340</v>
      </c>
      <c r="H33422" s="49">
        <f t="shared" si="2"/>
        <v>57587</v>
      </c>
    </row>
    <row r="33423">
      <c r="A33423" s="48" t="s">
        <v>4015</v>
      </c>
      <c r="B33423" s="38">
        <v>68281.0</v>
      </c>
      <c r="C33423" s="38" t="s">
        <v>37649</v>
      </c>
      <c r="D33423" s="38" t="str">
        <f>IFERROR(__xludf.DUMMYFUNCTION("REGEXREPLACE(C33423,""-\d+(.*)|--\d+(.*)"","""")"),"ROGGENHOUSE")</f>
        <v>ROGGENHOUSE</v>
      </c>
      <c r="E33423" s="38" t="s">
        <v>150</v>
      </c>
      <c r="F33423" s="38" t="s">
        <v>151</v>
      </c>
      <c r="G33423" s="49" t="str">
        <f t="shared" si="1"/>
        <v>68740</v>
      </c>
      <c r="H33423" s="49">
        <f t="shared" si="2"/>
        <v>68281</v>
      </c>
    </row>
    <row r="33424">
      <c r="A33424" s="48" t="s">
        <v>2922</v>
      </c>
      <c r="B33424" s="38">
        <v>5026.0</v>
      </c>
      <c r="C33424" s="38" t="s">
        <v>37650</v>
      </c>
      <c r="D33424" s="38" t="str">
        <f>IFERROR(__xludf.DUMMYFUNCTION("REGEXREPLACE(C33424,""-\d+(.*)|--\d+(.*)"","""")"),"CEILLAC")</f>
        <v>CEILLAC</v>
      </c>
      <c r="E33424" s="38" t="s">
        <v>706</v>
      </c>
      <c r="F33424" s="38" t="s">
        <v>228</v>
      </c>
      <c r="G33424" s="49" t="str">
        <f t="shared" si="1"/>
        <v>05600</v>
      </c>
      <c r="H33424" s="49" t="str">
        <f t="shared" si="2"/>
        <v>05026</v>
      </c>
    </row>
    <row r="33425">
      <c r="A33425" s="48" t="s">
        <v>916</v>
      </c>
      <c r="B33425" s="38">
        <v>76045.0</v>
      </c>
      <c r="C33425" s="38" t="s">
        <v>37651</v>
      </c>
      <c r="D33425" s="38" t="str">
        <f>IFERROR(__xludf.DUMMYFUNCTION("REGEXREPLACE(C33425,""-\d+(.*)|--\d+(.*)"","""")"),"AUZOUVILLE-L'ESNEVAL")</f>
        <v>AUZOUVILLE-L'ESNEVAL</v>
      </c>
      <c r="E33425" s="38" t="s">
        <v>133</v>
      </c>
      <c r="F33425" s="38" t="s">
        <v>134</v>
      </c>
      <c r="G33425" s="49" t="str">
        <f t="shared" si="1"/>
        <v>76760</v>
      </c>
      <c r="H33425" s="49">
        <f t="shared" si="2"/>
        <v>76045</v>
      </c>
    </row>
    <row r="33426">
      <c r="A33426" s="48" t="s">
        <v>4877</v>
      </c>
      <c r="B33426" s="38">
        <v>61131.0</v>
      </c>
      <c r="C33426" s="38" t="s">
        <v>37652</v>
      </c>
      <c r="D33426" s="38" t="str">
        <f>IFERROR(__xludf.DUMMYFUNCTION("REGEXREPLACE(C33426,""-\d+(.*)|--\d+(.*)"","""")"),"COURMENIL")</f>
        <v>COURMENIL</v>
      </c>
      <c r="E33426" s="38" t="s">
        <v>141</v>
      </c>
      <c r="F33426" s="38" t="s">
        <v>138</v>
      </c>
      <c r="G33426" s="49" t="str">
        <f t="shared" si="1"/>
        <v>61310</v>
      </c>
      <c r="H33426" s="49">
        <f t="shared" si="2"/>
        <v>61131</v>
      </c>
    </row>
    <row r="33427">
      <c r="A33427" s="48" t="s">
        <v>10677</v>
      </c>
      <c r="B33427" s="38">
        <v>29185.0</v>
      </c>
      <c r="C33427" s="38" t="s">
        <v>37653</v>
      </c>
      <c r="D33427" s="38" t="str">
        <f>IFERROR(__xludf.DUMMYFUNCTION("REGEXREPLACE(C33427,""-\d+(.*)|--\d+(.*)"","""")"),"PLOUESCAT")</f>
        <v>PLOUESCAT</v>
      </c>
      <c r="E33427" s="38" t="s">
        <v>176</v>
      </c>
      <c r="F33427" s="38" t="s">
        <v>90</v>
      </c>
      <c r="G33427" s="49" t="str">
        <f t="shared" si="1"/>
        <v>29430</v>
      </c>
      <c r="H33427" s="49">
        <f t="shared" si="2"/>
        <v>29185</v>
      </c>
    </row>
    <row r="33428">
      <c r="A33428" s="48" t="s">
        <v>7786</v>
      </c>
      <c r="B33428" s="38">
        <v>8053.0</v>
      </c>
      <c r="C33428" s="38" t="s">
        <v>37654</v>
      </c>
      <c r="D33428" s="38" t="str">
        <f>IFERROR(__xludf.DUMMYFUNCTION("REGEXREPLACE(C33428,""-\d+(.*)|--\d+(.*)"","""")"),"BAZEILLES")</f>
        <v>BAZEILLES</v>
      </c>
      <c r="E33428" s="38" t="s">
        <v>327</v>
      </c>
      <c r="F33428" s="38" t="s">
        <v>130</v>
      </c>
      <c r="G33428" s="49" t="str">
        <f t="shared" si="1"/>
        <v>08140</v>
      </c>
      <c r="H33428" s="49" t="str">
        <f t="shared" si="2"/>
        <v>08053</v>
      </c>
    </row>
    <row r="33429">
      <c r="A33429" s="48" t="s">
        <v>7161</v>
      </c>
      <c r="B33429" s="38">
        <v>17179.0</v>
      </c>
      <c r="C33429" s="38" t="s">
        <v>37655</v>
      </c>
      <c r="D33429" s="38" t="str">
        <f>IFERROR(__xludf.DUMMYFUNCTION("REGEXREPLACE(C33429,""-\d+(.*)|--\d+(.*)"","""")"),"LES GONDS")</f>
        <v>LES GONDS</v>
      </c>
      <c r="E33429" s="38" t="s">
        <v>488</v>
      </c>
      <c r="F33429" s="38" t="s">
        <v>338</v>
      </c>
      <c r="G33429" s="49" t="str">
        <f t="shared" si="1"/>
        <v>17100</v>
      </c>
      <c r="H33429" s="49">
        <f t="shared" si="2"/>
        <v>17179</v>
      </c>
    </row>
    <row r="33430">
      <c r="A33430" s="48" t="s">
        <v>597</v>
      </c>
      <c r="B33430" s="38">
        <v>31001.0</v>
      </c>
      <c r="C33430" s="38" t="s">
        <v>37656</v>
      </c>
      <c r="D33430" s="38" t="str">
        <f>IFERROR(__xludf.DUMMYFUNCTION("REGEXREPLACE(C33430,""-\d+(.*)|--\d+(.*)"","""")"),"AGASSAC")</f>
        <v>AGASSAC</v>
      </c>
      <c r="E33430" s="38" t="s">
        <v>93</v>
      </c>
      <c r="F33430" s="38" t="s">
        <v>94</v>
      </c>
      <c r="G33430" s="49" t="str">
        <f t="shared" si="1"/>
        <v>31230</v>
      </c>
      <c r="H33430" s="49">
        <f t="shared" si="2"/>
        <v>31001</v>
      </c>
    </row>
    <row r="33431">
      <c r="A33431" s="48" t="s">
        <v>15871</v>
      </c>
      <c r="B33431" s="38">
        <v>72226.0</v>
      </c>
      <c r="C33431" s="38" t="s">
        <v>37657</v>
      </c>
      <c r="D33431" s="38" t="str">
        <f>IFERROR(__xludf.DUMMYFUNCTION("REGEXREPLACE(C33431,""-\d+(.*)|--\d+(.*)"","""")"),"OIZE")</f>
        <v>OIZE</v>
      </c>
      <c r="E33431" s="38" t="s">
        <v>521</v>
      </c>
      <c r="F33431" s="38" t="s">
        <v>180</v>
      </c>
      <c r="G33431" s="49" t="str">
        <f t="shared" si="1"/>
        <v>72330</v>
      </c>
      <c r="H33431" s="49">
        <f t="shared" si="2"/>
        <v>72226</v>
      </c>
    </row>
    <row r="33432">
      <c r="A33432" s="48" t="s">
        <v>23379</v>
      </c>
      <c r="B33432" s="38">
        <v>28012.0</v>
      </c>
      <c r="C33432" s="38" t="s">
        <v>37658</v>
      </c>
      <c r="D33432" s="38" t="str">
        <f>IFERROR(__xludf.DUMMYFUNCTION("REGEXREPLACE(C33432,""-\d+(.*)|--\d+(.*)"","""")"),"ARROU")</f>
        <v>ARROU</v>
      </c>
      <c r="E33432" s="38" t="s">
        <v>300</v>
      </c>
      <c r="F33432" s="38" t="s">
        <v>123</v>
      </c>
      <c r="G33432" s="49" t="str">
        <f t="shared" si="1"/>
        <v>28290</v>
      </c>
      <c r="H33432" s="49">
        <f t="shared" si="2"/>
        <v>28012</v>
      </c>
    </row>
    <row r="33433">
      <c r="A33433" s="48" t="s">
        <v>4274</v>
      </c>
      <c r="B33433" s="38">
        <v>52520.0</v>
      </c>
      <c r="C33433" s="38" t="s">
        <v>17755</v>
      </c>
      <c r="D33433" s="38" t="str">
        <f>IFERROR(__xludf.DUMMYFUNCTION("REGEXREPLACE(C33433,""-\d+(.*)|--\d+(.*)"","""")"),"VICQ")</f>
        <v>VICQ</v>
      </c>
      <c r="E33433" s="38" t="s">
        <v>234</v>
      </c>
      <c r="F33433" s="38" t="s">
        <v>130</v>
      </c>
      <c r="G33433" s="49" t="str">
        <f t="shared" si="1"/>
        <v>52400</v>
      </c>
      <c r="H33433" s="49">
        <f t="shared" si="2"/>
        <v>52520</v>
      </c>
    </row>
    <row r="33434">
      <c r="A33434" s="48" t="s">
        <v>1883</v>
      </c>
      <c r="B33434" s="38">
        <v>39451.0</v>
      </c>
      <c r="C33434" s="38" t="s">
        <v>37659</v>
      </c>
      <c r="D33434" s="38" t="str">
        <f>IFERROR(__xludf.DUMMYFUNCTION("REGEXREPLACE(C33434,""-\d+(.*)|--\d+(.*)"","""")"),"RANCHOT")</f>
        <v>RANCHOT</v>
      </c>
      <c r="E33434" s="38" t="s">
        <v>400</v>
      </c>
      <c r="F33434" s="38" t="s">
        <v>214</v>
      </c>
      <c r="G33434" s="49" t="str">
        <f t="shared" si="1"/>
        <v>39700</v>
      </c>
      <c r="H33434" s="49">
        <f t="shared" si="2"/>
        <v>39451</v>
      </c>
    </row>
    <row r="33435">
      <c r="A33435" s="48" t="s">
        <v>6504</v>
      </c>
      <c r="B33435" s="38">
        <v>24021.0</v>
      </c>
      <c r="C33435" s="38" t="s">
        <v>37660</v>
      </c>
      <c r="D33435" s="38" t="str">
        <f>IFERROR(__xludf.DUMMYFUNCTION("REGEXREPLACE(C33435,""-\d+(.*)|--\d+(.*)"","""")"),"BADEFOLS-D'ANS")</f>
        <v>BADEFOLS-D'ANS</v>
      </c>
      <c r="E33435" s="38" t="s">
        <v>261</v>
      </c>
      <c r="F33435" s="38" t="s">
        <v>252</v>
      </c>
      <c r="G33435" s="49" t="str">
        <f t="shared" si="1"/>
        <v>24390</v>
      </c>
      <c r="H33435" s="49">
        <f t="shared" si="2"/>
        <v>24021</v>
      </c>
    </row>
    <row r="33436">
      <c r="A33436" s="48" t="s">
        <v>2783</v>
      </c>
      <c r="B33436" s="38">
        <v>31241.0</v>
      </c>
      <c r="C33436" s="38" t="s">
        <v>37661</v>
      </c>
      <c r="D33436" s="38" t="str">
        <f>IFERROR(__xludf.DUMMYFUNCTION("REGEXREPLACE(C33436,""-\d+(.*)|--\d+(.*)"","""")"),"IZAUT-DE-L'HOTEL")</f>
        <v>IZAUT-DE-L'HOTEL</v>
      </c>
      <c r="E33436" s="38" t="s">
        <v>93</v>
      </c>
      <c r="F33436" s="38" t="s">
        <v>94</v>
      </c>
      <c r="G33436" s="49" t="str">
        <f t="shared" si="1"/>
        <v>31160</v>
      </c>
      <c r="H33436" s="49">
        <f t="shared" si="2"/>
        <v>31241</v>
      </c>
    </row>
    <row r="33437">
      <c r="A33437" s="48" t="s">
        <v>4119</v>
      </c>
      <c r="B33437" s="38">
        <v>36051.0</v>
      </c>
      <c r="C33437" s="38" t="s">
        <v>37662</v>
      </c>
      <c r="D33437" s="38" t="str">
        <f>IFERROR(__xludf.DUMMYFUNCTION("REGEXREPLACE(C33437,""-\d+(.*)|--\d+(.*)"","""")"),"CHITRAY")</f>
        <v>CHITRAY</v>
      </c>
      <c r="E33437" s="38" t="s">
        <v>258</v>
      </c>
      <c r="F33437" s="38" t="s">
        <v>123</v>
      </c>
      <c r="G33437" s="49" t="str">
        <f t="shared" si="1"/>
        <v>36800</v>
      </c>
      <c r="H33437" s="49">
        <f t="shared" si="2"/>
        <v>36051</v>
      </c>
    </row>
    <row r="33438">
      <c r="A33438" s="48" t="s">
        <v>8202</v>
      </c>
      <c r="B33438" s="38">
        <v>42267.0</v>
      </c>
      <c r="C33438" s="38" t="s">
        <v>37663</v>
      </c>
      <c r="D33438" s="38" t="str">
        <f>IFERROR(__xludf.DUMMYFUNCTION("REGEXREPLACE(C33438,""-\d+(.*)|--\d+(.*)"","""")"),"SAINT-NIZIER-SOUS-CHARLIEU")</f>
        <v>SAINT-NIZIER-SOUS-CHARLIEU</v>
      </c>
      <c r="E33438" s="38" t="s">
        <v>166</v>
      </c>
      <c r="F33438" s="38" t="s">
        <v>102</v>
      </c>
      <c r="G33438" s="49" t="str">
        <f t="shared" si="1"/>
        <v>42190</v>
      </c>
      <c r="H33438" s="49">
        <f t="shared" si="2"/>
        <v>42267</v>
      </c>
    </row>
    <row r="33439">
      <c r="A33439" s="48" t="s">
        <v>3039</v>
      </c>
      <c r="B33439" s="38">
        <v>76296.0</v>
      </c>
      <c r="C33439" s="38" t="s">
        <v>37664</v>
      </c>
      <c r="D33439" s="38" t="str">
        <f>IFERROR(__xludf.DUMMYFUNCTION("REGEXREPLACE(C33439,""-\d+(.*)|--\d+(.*)"","""")"),"GAINNEVILLE")</f>
        <v>GAINNEVILLE</v>
      </c>
      <c r="E33439" s="38" t="s">
        <v>133</v>
      </c>
      <c r="F33439" s="38" t="s">
        <v>134</v>
      </c>
      <c r="G33439" s="49" t="str">
        <f t="shared" si="1"/>
        <v>76700</v>
      </c>
      <c r="H33439" s="49">
        <f t="shared" si="2"/>
        <v>76296</v>
      </c>
    </row>
    <row r="33440">
      <c r="A33440" s="48" t="s">
        <v>5030</v>
      </c>
      <c r="B33440" s="38">
        <v>65147.0</v>
      </c>
      <c r="C33440" s="38" t="s">
        <v>37665</v>
      </c>
      <c r="D33440" s="38" t="str">
        <f>IFERROR(__xludf.DUMMYFUNCTION("REGEXREPLACE(C33440,""-\d+(.*)|--\d+(.*)"","""")"),"CIEUTAT")</f>
        <v>CIEUTAT</v>
      </c>
      <c r="E33440" s="38" t="s">
        <v>200</v>
      </c>
      <c r="F33440" s="38" t="s">
        <v>94</v>
      </c>
      <c r="G33440" s="49" t="str">
        <f t="shared" si="1"/>
        <v>65200</v>
      </c>
      <c r="H33440" s="49">
        <f t="shared" si="2"/>
        <v>65147</v>
      </c>
    </row>
    <row r="33441">
      <c r="A33441" s="48" t="s">
        <v>9755</v>
      </c>
      <c r="B33441" s="38">
        <v>51625.0</v>
      </c>
      <c r="C33441" s="38" t="s">
        <v>37666</v>
      </c>
      <c r="D33441" s="38" t="str">
        <f>IFERROR(__xludf.DUMMYFUNCTION("REGEXREPLACE(C33441,""-\d+(.*)|--\d+(.*)"","""")"),"VILLENEUVE-LA-LIONNE")</f>
        <v>VILLENEUVE-LA-LIONNE</v>
      </c>
      <c r="E33441" s="38" t="s">
        <v>129</v>
      </c>
      <c r="F33441" s="38" t="s">
        <v>130</v>
      </c>
      <c r="G33441" s="49" t="str">
        <f t="shared" si="1"/>
        <v>51310</v>
      </c>
      <c r="H33441" s="49">
        <f t="shared" si="2"/>
        <v>51625</v>
      </c>
    </row>
    <row r="33442">
      <c r="A33442" s="48" t="s">
        <v>15934</v>
      </c>
      <c r="B33442" s="38">
        <v>5056.0</v>
      </c>
      <c r="C33442" s="38" t="s">
        <v>37667</v>
      </c>
      <c r="D33442" s="38" t="str">
        <f>IFERROR(__xludf.DUMMYFUNCTION("REGEXREPLACE(C33442,""-\d+(.*)|--\d+(.*)"","""")"),"FOREST-SAINT-JULIEN")</f>
        <v>FOREST-SAINT-JULIEN</v>
      </c>
      <c r="E33442" s="38" t="s">
        <v>706</v>
      </c>
      <c r="F33442" s="38" t="s">
        <v>228</v>
      </c>
      <c r="G33442" s="49" t="str">
        <f t="shared" si="1"/>
        <v>05260</v>
      </c>
      <c r="H33442" s="49" t="str">
        <f t="shared" si="2"/>
        <v>05056</v>
      </c>
    </row>
    <row r="33443">
      <c r="A33443" s="48" t="s">
        <v>37668</v>
      </c>
      <c r="B33443" s="38">
        <v>59611.0</v>
      </c>
      <c r="C33443" s="38" t="s">
        <v>37669</v>
      </c>
      <c r="D33443" s="38" t="str">
        <f>IFERROR(__xludf.DUMMYFUNCTION("REGEXREPLACE(C33443,""-\d+(.*)|--\d+(.*)"","""")"),"VERLINGHEM")</f>
        <v>VERLINGHEM</v>
      </c>
      <c r="E33443" s="38" t="s">
        <v>85</v>
      </c>
      <c r="F33443" s="38" t="s">
        <v>86</v>
      </c>
      <c r="G33443" s="49" t="str">
        <f t="shared" si="1"/>
        <v>59237</v>
      </c>
      <c r="H33443" s="49">
        <f t="shared" si="2"/>
        <v>59611</v>
      </c>
    </row>
    <row r="33444">
      <c r="A33444" s="48" t="s">
        <v>12952</v>
      </c>
      <c r="B33444" s="38" t="s">
        <v>37670</v>
      </c>
      <c r="C33444" s="38" t="s">
        <v>37671</v>
      </c>
      <c r="D33444" s="38" t="str">
        <f>IFERROR(__xludf.DUMMYFUNCTION("REGEXREPLACE(C33444,""-\d+(.*)|--\d+(.*)"","""")"),"TOX")</f>
        <v>TOX</v>
      </c>
      <c r="E33444" s="38" t="s">
        <v>743</v>
      </c>
      <c r="F33444" s="38" t="s">
        <v>607</v>
      </c>
      <c r="G33444" s="49" t="str">
        <f t="shared" si="1"/>
        <v>20270</v>
      </c>
      <c r="H33444" s="49" t="str">
        <f t="shared" si="2"/>
        <v>2B328</v>
      </c>
    </row>
    <row r="33445">
      <c r="A33445" s="48" t="s">
        <v>669</v>
      </c>
      <c r="B33445" s="38">
        <v>12149.0</v>
      </c>
      <c r="C33445" s="38" t="s">
        <v>15180</v>
      </c>
      <c r="D33445" s="38" t="str">
        <f>IFERROR(__xludf.DUMMYFUNCTION("REGEXREPLACE(C33445,""-\d+(.*)|--\d+(.*)"","""")"),"MONTCLAR")</f>
        <v>MONTCLAR</v>
      </c>
      <c r="E33445" s="38" t="s">
        <v>465</v>
      </c>
      <c r="F33445" s="38" t="s">
        <v>94</v>
      </c>
      <c r="G33445" s="49" t="str">
        <f t="shared" si="1"/>
        <v>12550</v>
      </c>
      <c r="H33445" s="49">
        <f t="shared" si="2"/>
        <v>12149</v>
      </c>
    </row>
    <row r="33446">
      <c r="A33446" s="48" t="s">
        <v>6189</v>
      </c>
      <c r="B33446" s="38">
        <v>32285.0</v>
      </c>
      <c r="C33446" s="38" t="s">
        <v>37672</v>
      </c>
      <c r="D33446" s="38" t="str">
        <f>IFERROR(__xludf.DUMMYFUNCTION("REGEXREPLACE(C33446,""-\d+(.*)|--\d+(.*)"","""")"),"MONTESQUIOU")</f>
        <v>MONTESQUIOU</v>
      </c>
      <c r="E33446" s="38" t="s">
        <v>440</v>
      </c>
      <c r="F33446" s="38" t="s">
        <v>94</v>
      </c>
      <c r="G33446" s="49" t="str">
        <f t="shared" si="1"/>
        <v>32320</v>
      </c>
      <c r="H33446" s="49">
        <f t="shared" si="2"/>
        <v>32285</v>
      </c>
    </row>
    <row r="33447">
      <c r="A33447" s="48" t="s">
        <v>4682</v>
      </c>
      <c r="B33447" s="38">
        <v>50551.0</v>
      </c>
      <c r="C33447" s="38" t="s">
        <v>37673</v>
      </c>
      <c r="D33447" s="38" t="str">
        <f>IFERROR(__xludf.DUMMYFUNCTION("REGEXREPLACE(C33447,""-\d+(.*)|--\d+(.*)"","""")"),"SAINT-SAUVEUR-LE-VICOMTE")</f>
        <v>SAINT-SAUVEUR-LE-VICOMTE</v>
      </c>
      <c r="E33447" s="38" t="s">
        <v>157</v>
      </c>
      <c r="F33447" s="38" t="s">
        <v>138</v>
      </c>
      <c r="G33447" s="49" t="str">
        <f t="shared" si="1"/>
        <v>50390</v>
      </c>
      <c r="H33447" s="49">
        <f t="shared" si="2"/>
        <v>50551</v>
      </c>
    </row>
    <row r="33448">
      <c r="A33448" s="48" t="s">
        <v>1174</v>
      </c>
      <c r="B33448" s="38">
        <v>51195.0</v>
      </c>
      <c r="C33448" s="38" t="s">
        <v>37674</v>
      </c>
      <c r="D33448" s="38" t="str">
        <f>IFERROR(__xludf.DUMMYFUNCTION("REGEXREPLACE(C33448,""-\d+(.*)|--\d+(.*)"","""")"),"COUVROT")</f>
        <v>COUVROT</v>
      </c>
      <c r="E33448" s="38" t="s">
        <v>129</v>
      </c>
      <c r="F33448" s="38" t="s">
        <v>130</v>
      </c>
      <c r="G33448" s="49" t="str">
        <f t="shared" si="1"/>
        <v>51300</v>
      </c>
      <c r="H33448" s="49">
        <f t="shared" si="2"/>
        <v>51195</v>
      </c>
    </row>
    <row r="33449">
      <c r="A33449" s="48" t="s">
        <v>7744</v>
      </c>
      <c r="B33449" s="38">
        <v>54436.0</v>
      </c>
      <c r="C33449" s="38" t="s">
        <v>37675</v>
      </c>
      <c r="D33449" s="38" t="str">
        <f>IFERROR(__xludf.DUMMYFUNCTION("REGEXREPLACE(C33449,""-\d+(.*)|--\d+(.*)"","""")"),"PREUTIN-HIGNY")</f>
        <v>PREUTIN-HIGNY</v>
      </c>
      <c r="E33449" s="38" t="s">
        <v>548</v>
      </c>
      <c r="F33449" s="38" t="s">
        <v>195</v>
      </c>
      <c r="G33449" s="49" t="str">
        <f t="shared" si="1"/>
        <v>54490</v>
      </c>
      <c r="H33449" s="49">
        <f t="shared" si="2"/>
        <v>54436</v>
      </c>
    </row>
    <row r="33450">
      <c r="A33450" s="48" t="s">
        <v>4642</v>
      </c>
      <c r="B33450" s="38">
        <v>21513.0</v>
      </c>
      <c r="C33450" s="38" t="s">
        <v>37676</v>
      </c>
      <c r="D33450" s="38" t="str">
        <f>IFERROR(__xludf.DUMMYFUNCTION("REGEXREPLACE(C33450,""-\d+(.*)|--\d+(.*)"","""")"),"QUEMIGNY-POISOT")</f>
        <v>QUEMIGNY-POISOT</v>
      </c>
      <c r="E33450" s="38" t="s">
        <v>105</v>
      </c>
      <c r="F33450" s="38" t="s">
        <v>106</v>
      </c>
      <c r="G33450" s="49" t="str">
        <f t="shared" si="1"/>
        <v>21220</v>
      </c>
      <c r="H33450" s="49">
        <f t="shared" si="2"/>
        <v>21513</v>
      </c>
    </row>
    <row r="33451">
      <c r="A33451" s="48" t="s">
        <v>1754</v>
      </c>
      <c r="B33451" s="38">
        <v>14141.0</v>
      </c>
      <c r="C33451" s="38" t="s">
        <v>37677</v>
      </c>
      <c r="D33451" s="38" t="str">
        <f>IFERROR(__xludf.DUMMYFUNCTION("REGEXREPLACE(C33451,""-\d+(.*)|--\d+(.*)"","""")"),"CASTILLON-EN-AUGE")</f>
        <v>CASTILLON-EN-AUGE</v>
      </c>
      <c r="E33451" s="38" t="s">
        <v>137</v>
      </c>
      <c r="F33451" s="38" t="s">
        <v>138</v>
      </c>
      <c r="G33451" s="49" t="str">
        <f t="shared" si="1"/>
        <v>14140</v>
      </c>
      <c r="H33451" s="49">
        <f t="shared" si="2"/>
        <v>14141</v>
      </c>
    </row>
    <row r="33452">
      <c r="A33452" s="48" t="s">
        <v>4264</v>
      </c>
      <c r="B33452" s="38">
        <v>69053.0</v>
      </c>
      <c r="C33452" s="38" t="s">
        <v>37678</v>
      </c>
      <c r="D33452" s="38" t="str">
        <f>IFERROR(__xludf.DUMMYFUNCTION("REGEXREPLACE(C33452,""-\d+(.*)|--\d+(.*)"","""")"),"CHENAS")</f>
        <v>CHENAS</v>
      </c>
      <c r="E33452" s="38" t="s">
        <v>350</v>
      </c>
      <c r="F33452" s="38" t="s">
        <v>102</v>
      </c>
      <c r="G33452" s="49" t="str">
        <f t="shared" si="1"/>
        <v>69840</v>
      </c>
      <c r="H33452" s="49">
        <f t="shared" si="2"/>
        <v>69053</v>
      </c>
    </row>
    <row r="33453">
      <c r="A33453" s="48" t="s">
        <v>4586</v>
      </c>
      <c r="B33453" s="38">
        <v>40298.0</v>
      </c>
      <c r="C33453" s="38" t="s">
        <v>37679</v>
      </c>
      <c r="D33453" s="38" t="str">
        <f>IFERROR(__xludf.DUMMYFUNCTION("REGEXREPLACE(C33453,""-\d+(.*)|--\d+(.*)"","""")"),"SERRES-GASTON")</f>
        <v>SERRES-GASTON</v>
      </c>
      <c r="E33453" s="38" t="s">
        <v>281</v>
      </c>
      <c r="F33453" s="38" t="s">
        <v>252</v>
      </c>
      <c r="G33453" s="49" t="str">
        <f t="shared" si="1"/>
        <v>40700</v>
      </c>
      <c r="H33453" s="49">
        <f t="shared" si="2"/>
        <v>40298</v>
      </c>
    </row>
    <row r="33454">
      <c r="A33454" s="48" t="s">
        <v>2141</v>
      </c>
      <c r="B33454" s="38">
        <v>80083.0</v>
      </c>
      <c r="C33454" s="38" t="s">
        <v>37680</v>
      </c>
      <c r="D33454" s="38" t="str">
        <f>IFERROR(__xludf.DUMMYFUNCTION("REGEXREPLACE(C33454,""-\d+(.*)|--\d+(.*)"","""")"),"BERGICOURT")</f>
        <v>BERGICOURT</v>
      </c>
      <c r="E33454" s="38" t="s">
        <v>224</v>
      </c>
      <c r="F33454" s="38" t="s">
        <v>113</v>
      </c>
      <c r="G33454" s="49" t="str">
        <f t="shared" si="1"/>
        <v>80290</v>
      </c>
      <c r="H33454" s="49">
        <f t="shared" si="2"/>
        <v>80083</v>
      </c>
    </row>
    <row r="33455">
      <c r="A33455" s="48" t="s">
        <v>296</v>
      </c>
      <c r="B33455" s="38">
        <v>41125.0</v>
      </c>
      <c r="C33455" s="38" t="s">
        <v>37681</v>
      </c>
      <c r="D33455" s="38" t="str">
        <f>IFERROR(__xludf.DUMMYFUNCTION("REGEXREPLACE(C33455,""-\d+(.*)|--\d+(.*)"","""")"),"MARCILLY-EN-GAULT")</f>
        <v>MARCILLY-EN-GAULT</v>
      </c>
      <c r="E33455" s="38" t="s">
        <v>188</v>
      </c>
      <c r="F33455" s="38" t="s">
        <v>123</v>
      </c>
      <c r="G33455" s="49" t="str">
        <f t="shared" si="1"/>
        <v>41210</v>
      </c>
      <c r="H33455" s="49">
        <f t="shared" si="2"/>
        <v>41125</v>
      </c>
    </row>
    <row r="33456">
      <c r="A33456" s="48" t="s">
        <v>37682</v>
      </c>
      <c r="B33456" s="38">
        <v>59002.0</v>
      </c>
      <c r="C33456" s="38" t="s">
        <v>37683</v>
      </c>
      <c r="D33456" s="38" t="str">
        <f>IFERROR(__xludf.DUMMYFUNCTION("REGEXREPLACE(C33456,""-\d+(.*)|--\d+(.*)"","""")"),"ABSCON")</f>
        <v>ABSCON</v>
      </c>
      <c r="E33456" s="38" t="s">
        <v>85</v>
      </c>
      <c r="F33456" s="38" t="s">
        <v>86</v>
      </c>
      <c r="G33456" s="49" t="str">
        <f t="shared" si="1"/>
        <v>59215</v>
      </c>
      <c r="H33456" s="49">
        <f t="shared" si="2"/>
        <v>59002</v>
      </c>
    </row>
    <row r="33457">
      <c r="A33457" s="48" t="s">
        <v>3780</v>
      </c>
      <c r="B33457" s="38">
        <v>50266.0</v>
      </c>
      <c r="C33457" s="38" t="s">
        <v>37684</v>
      </c>
      <c r="D33457" s="38" t="str">
        <f>IFERROR(__xludf.DUMMYFUNCTION("REGEXREPLACE(C33457,""-\d+(.*)|--\d+(.*)"","""")"),"LENGRONNE")</f>
        <v>LENGRONNE</v>
      </c>
      <c r="E33457" s="38" t="s">
        <v>157</v>
      </c>
      <c r="F33457" s="38" t="s">
        <v>138</v>
      </c>
      <c r="G33457" s="49" t="str">
        <f t="shared" si="1"/>
        <v>50450</v>
      </c>
      <c r="H33457" s="49">
        <f t="shared" si="2"/>
        <v>50266</v>
      </c>
    </row>
    <row r="33458">
      <c r="A33458" s="48" t="s">
        <v>478</v>
      </c>
      <c r="B33458" s="38">
        <v>41176.0</v>
      </c>
      <c r="C33458" s="38" t="s">
        <v>37685</v>
      </c>
      <c r="D33458" s="38" t="str">
        <f>IFERROR(__xludf.DUMMYFUNCTION("REGEXREPLACE(C33458,""-\d+(.*)|--\d+(.*)"","""")"),"PIERREFITTE-SUR-SAULDRE")</f>
        <v>PIERREFITTE-SUR-SAULDRE</v>
      </c>
      <c r="E33458" s="38" t="s">
        <v>188</v>
      </c>
      <c r="F33458" s="38" t="s">
        <v>123</v>
      </c>
      <c r="G33458" s="49" t="str">
        <f t="shared" si="1"/>
        <v>41300</v>
      </c>
      <c r="H33458" s="49">
        <f t="shared" si="2"/>
        <v>41176</v>
      </c>
    </row>
    <row r="33459">
      <c r="A33459" s="48" t="s">
        <v>37686</v>
      </c>
      <c r="B33459" s="38">
        <v>84027.0</v>
      </c>
      <c r="C33459" s="38" t="s">
        <v>37687</v>
      </c>
      <c r="D33459" s="38" t="str">
        <f>IFERROR(__xludf.DUMMYFUNCTION("REGEXREPLACE(C33459,""-\d+(.*)|--\d+(.*)"","""")"),"CADEROUSSE")</f>
        <v>CADEROUSSE</v>
      </c>
      <c r="E33459" s="38" t="s">
        <v>1026</v>
      </c>
      <c r="F33459" s="38" t="s">
        <v>228</v>
      </c>
      <c r="G33459" s="49" t="str">
        <f t="shared" si="1"/>
        <v>84860</v>
      </c>
      <c r="H33459" s="49">
        <f t="shared" si="2"/>
        <v>84027</v>
      </c>
    </row>
    <row r="33460">
      <c r="A33460" s="48" t="s">
        <v>1106</v>
      </c>
      <c r="B33460" s="38">
        <v>14150.0</v>
      </c>
      <c r="C33460" s="38" t="s">
        <v>37688</v>
      </c>
      <c r="D33460" s="38" t="str">
        <f>IFERROR(__xludf.DUMMYFUNCTION("REGEXREPLACE(C33460,""-\d+(.*)|--\d+(.*)"","""")"),"CESNY-BOIS-HALBOUT")</f>
        <v>CESNY-BOIS-HALBOUT</v>
      </c>
      <c r="E33460" s="38" t="s">
        <v>137</v>
      </c>
      <c r="F33460" s="38" t="s">
        <v>138</v>
      </c>
      <c r="G33460" s="49" t="str">
        <f t="shared" si="1"/>
        <v>14220</v>
      </c>
      <c r="H33460" s="49">
        <f t="shared" si="2"/>
        <v>14150</v>
      </c>
    </row>
    <row r="33461">
      <c r="A33461" s="48" t="s">
        <v>9234</v>
      </c>
      <c r="B33461" s="38">
        <v>16076.0</v>
      </c>
      <c r="C33461" s="38" t="s">
        <v>37689</v>
      </c>
      <c r="D33461" s="38" t="str">
        <f>IFERROR(__xludf.DUMMYFUNCTION("REGEXREPLACE(C33461,""-\d+(.*)|--\d+(.*)"","""")"),"CHAMPAGNE-MOUTON")</f>
        <v>CHAMPAGNE-MOUTON</v>
      </c>
      <c r="E33461" s="38" t="s">
        <v>429</v>
      </c>
      <c r="F33461" s="38" t="s">
        <v>338</v>
      </c>
      <c r="G33461" s="49" t="str">
        <f t="shared" si="1"/>
        <v>16350</v>
      </c>
      <c r="H33461" s="49">
        <f t="shared" si="2"/>
        <v>16076</v>
      </c>
    </row>
    <row r="33462">
      <c r="A33462" s="48" t="s">
        <v>279</v>
      </c>
      <c r="B33462" s="38">
        <v>40111.0</v>
      </c>
      <c r="C33462" s="38" t="s">
        <v>37690</v>
      </c>
      <c r="D33462" s="38" t="str">
        <f>IFERROR(__xludf.DUMMYFUNCTION("REGEXREPLACE(C33462,""-\d+(.*)|--\d+(.*)"","""")"),"GELOUX")</f>
        <v>GELOUX</v>
      </c>
      <c r="E33462" s="38" t="s">
        <v>281</v>
      </c>
      <c r="F33462" s="38" t="s">
        <v>252</v>
      </c>
      <c r="G33462" s="49" t="str">
        <f t="shared" si="1"/>
        <v>40090</v>
      </c>
      <c r="H33462" s="49">
        <f t="shared" si="2"/>
        <v>40111</v>
      </c>
    </row>
    <row r="33463">
      <c r="A33463" s="48" t="s">
        <v>1400</v>
      </c>
      <c r="B33463" s="38">
        <v>21153.0</v>
      </c>
      <c r="C33463" s="38" t="s">
        <v>37691</v>
      </c>
      <c r="D33463" s="38" t="str">
        <f>IFERROR(__xludf.DUMMYFUNCTION("REGEXREPLACE(C33463,""-\d+(.*)|--\d+(.*)"","""")"),"CHATELLENOT")</f>
        <v>CHATELLENOT</v>
      </c>
      <c r="E33463" s="38" t="s">
        <v>105</v>
      </c>
      <c r="F33463" s="38" t="s">
        <v>106</v>
      </c>
      <c r="G33463" s="49" t="str">
        <f t="shared" si="1"/>
        <v>21320</v>
      </c>
      <c r="H33463" s="49">
        <f t="shared" si="2"/>
        <v>21153</v>
      </c>
    </row>
    <row r="33464">
      <c r="A33464" s="48" t="s">
        <v>1810</v>
      </c>
      <c r="B33464" s="38">
        <v>23229.0</v>
      </c>
      <c r="C33464" s="38" t="s">
        <v>37692</v>
      </c>
      <c r="D33464" s="38" t="str">
        <f>IFERROR(__xludf.DUMMYFUNCTION("REGEXREPLACE(C33464,""-\d+(.*)|--\d+(.*)"","""")"),"SAINT-PARDOUX-LES-CARDS")</f>
        <v>SAINT-PARDOUX-LES-CARDS</v>
      </c>
      <c r="E33464" s="38" t="s">
        <v>97</v>
      </c>
      <c r="F33464" s="38" t="s">
        <v>98</v>
      </c>
      <c r="G33464" s="49" t="str">
        <f t="shared" si="1"/>
        <v>23150</v>
      </c>
      <c r="H33464" s="49">
        <f t="shared" si="2"/>
        <v>23229</v>
      </c>
    </row>
    <row r="33465">
      <c r="A33465" s="48" t="s">
        <v>3118</v>
      </c>
      <c r="B33465" s="38">
        <v>46303.0</v>
      </c>
      <c r="C33465" s="38" t="s">
        <v>37693</v>
      </c>
      <c r="D33465" s="38" t="str">
        <f>IFERROR(__xludf.DUMMYFUNCTION("REGEXREPLACE(C33465,""-\d+(.*)|--\d+(.*)"","""")"),"SENAILLAC-LAUZES")</f>
        <v>SENAILLAC-LAUZES</v>
      </c>
      <c r="E33465" s="38" t="s">
        <v>185</v>
      </c>
      <c r="F33465" s="38" t="s">
        <v>94</v>
      </c>
      <c r="G33465" s="49" t="str">
        <f t="shared" si="1"/>
        <v>46360</v>
      </c>
      <c r="H33465" s="49">
        <f t="shared" si="2"/>
        <v>46303</v>
      </c>
    </row>
    <row r="33466">
      <c r="A33466" s="48" t="s">
        <v>5679</v>
      </c>
      <c r="B33466" s="38">
        <v>66073.0</v>
      </c>
      <c r="C33466" s="38" t="s">
        <v>37694</v>
      </c>
      <c r="D33466" s="38" t="str">
        <f>IFERROR(__xludf.DUMMYFUNCTION("REGEXREPLACE(C33466,""-\d+(.*)|--\d+(.*)"","""")"),"ESTOHER")</f>
        <v>ESTOHER</v>
      </c>
      <c r="E33466" s="38" t="s">
        <v>248</v>
      </c>
      <c r="F33466" s="38" t="s">
        <v>119</v>
      </c>
      <c r="G33466" s="49" t="str">
        <f t="shared" si="1"/>
        <v>66320</v>
      </c>
      <c r="H33466" s="49">
        <f t="shared" si="2"/>
        <v>66073</v>
      </c>
    </row>
    <row r="33467">
      <c r="A33467" s="48" t="s">
        <v>544</v>
      </c>
      <c r="B33467" s="38">
        <v>57614.0</v>
      </c>
      <c r="C33467" s="38" t="s">
        <v>37695</v>
      </c>
      <c r="D33467" s="38" t="str">
        <f>IFERROR(__xludf.DUMMYFUNCTION("REGEXREPLACE(C33467,""-\d+(.*)|--\d+(.*)"","""")"),"SAINT-JEAN-KOURTZERODE")</f>
        <v>SAINT-JEAN-KOURTZERODE</v>
      </c>
      <c r="E33467" s="38" t="s">
        <v>303</v>
      </c>
      <c r="F33467" s="38" t="s">
        <v>195</v>
      </c>
      <c r="G33467" s="49" t="str">
        <f t="shared" si="1"/>
        <v>57370</v>
      </c>
      <c r="H33467" s="49">
        <f t="shared" si="2"/>
        <v>57614</v>
      </c>
    </row>
    <row r="33468">
      <c r="A33468" s="48" t="s">
        <v>4561</v>
      </c>
      <c r="B33468" s="38">
        <v>79160.0</v>
      </c>
      <c r="C33468" s="38" t="s">
        <v>37696</v>
      </c>
      <c r="D33468" s="38" t="str">
        <f>IFERROR(__xludf.DUMMYFUNCTION("REGEXREPLACE(C33468,""-\d+(.*)|--\d+(.*)"","""")"),"LUSSERAY")</f>
        <v>LUSSERAY</v>
      </c>
      <c r="E33468" s="38" t="s">
        <v>337</v>
      </c>
      <c r="F33468" s="38" t="s">
        <v>338</v>
      </c>
      <c r="G33468" s="49" t="str">
        <f t="shared" si="1"/>
        <v>79170</v>
      </c>
      <c r="H33468" s="49">
        <f t="shared" si="2"/>
        <v>79160</v>
      </c>
    </row>
    <row r="33469">
      <c r="A33469" s="48" t="s">
        <v>1507</v>
      </c>
      <c r="B33469" s="38">
        <v>63174.0</v>
      </c>
      <c r="C33469" s="38" t="s">
        <v>37697</v>
      </c>
      <c r="D33469" s="38" t="str">
        <f>IFERROR(__xludf.DUMMYFUNCTION("REGEXREPLACE(C33469,""-\d+(.*)|--\d+(.*)"","""")"),"GRANDVAL")</f>
        <v>GRANDVAL</v>
      </c>
      <c r="E33469" s="38" t="s">
        <v>353</v>
      </c>
      <c r="F33469" s="38" t="s">
        <v>161</v>
      </c>
      <c r="G33469" s="49" t="str">
        <f t="shared" si="1"/>
        <v>63890</v>
      </c>
      <c r="H33469" s="49">
        <f t="shared" si="2"/>
        <v>63174</v>
      </c>
    </row>
    <row r="33470">
      <c r="A33470" s="48" t="s">
        <v>1477</v>
      </c>
      <c r="B33470" s="38">
        <v>61017.0</v>
      </c>
      <c r="C33470" s="38" t="s">
        <v>37698</v>
      </c>
      <c r="D33470" s="38" t="str">
        <f>IFERROR(__xludf.DUMMYFUNCTION("REGEXREPLACE(C33470,""-\d+(.*)|--\d+(.*)"","""")"),"LES AUTHIEUX-DU-PUITS")</f>
        <v>LES AUTHIEUX-DU-PUITS</v>
      </c>
      <c r="E33470" s="38" t="s">
        <v>141</v>
      </c>
      <c r="F33470" s="38" t="s">
        <v>138</v>
      </c>
      <c r="G33470" s="49" t="str">
        <f t="shared" si="1"/>
        <v>61240</v>
      </c>
      <c r="H33470" s="49">
        <f t="shared" si="2"/>
        <v>61017</v>
      </c>
    </row>
    <row r="33471">
      <c r="A33471" s="48" t="s">
        <v>6058</v>
      </c>
      <c r="B33471" s="38">
        <v>30236.0</v>
      </c>
      <c r="C33471" s="38" t="s">
        <v>37699</v>
      </c>
      <c r="D33471" s="38" t="str">
        <f>IFERROR(__xludf.DUMMYFUNCTION("REGEXREPLACE(C33471,""-\d+(.*)|--\d+(.*)"","""")"),"SAINT-BONNET-DE-SALENDRINQUE")</f>
        <v>SAINT-BONNET-DE-SALENDRINQUE</v>
      </c>
      <c r="E33471" s="38" t="s">
        <v>526</v>
      </c>
      <c r="F33471" s="38" t="s">
        <v>119</v>
      </c>
      <c r="G33471" s="49" t="str">
        <f t="shared" si="1"/>
        <v>30460</v>
      </c>
      <c r="H33471" s="49">
        <f t="shared" si="2"/>
        <v>30236</v>
      </c>
    </row>
    <row r="33472">
      <c r="A33472" s="48" t="s">
        <v>5823</v>
      </c>
      <c r="B33472" s="38">
        <v>49036.0</v>
      </c>
      <c r="C33472" s="38" t="s">
        <v>37700</v>
      </c>
      <c r="D33472" s="38" t="str">
        <f>IFERROR(__xludf.DUMMYFUNCTION("REGEXREPLACE(C33472,""-\d+(.*)|--\d+(.*)"","""")"),"BOUILLE-MENARD")</f>
        <v>BOUILLE-MENARD</v>
      </c>
      <c r="E33472" s="38" t="s">
        <v>653</v>
      </c>
      <c r="F33472" s="38" t="s">
        <v>180</v>
      </c>
      <c r="G33472" s="49" t="str">
        <f t="shared" si="1"/>
        <v>49520</v>
      </c>
      <c r="H33472" s="49">
        <f t="shared" si="2"/>
        <v>49036</v>
      </c>
    </row>
    <row r="33473">
      <c r="A33473" s="48" t="s">
        <v>37701</v>
      </c>
      <c r="B33473" s="38">
        <v>80692.0</v>
      </c>
      <c r="C33473" s="38" t="s">
        <v>37702</v>
      </c>
      <c r="D33473" s="38" t="str">
        <f>IFERROR(__xludf.DUMMYFUNCTION("REGEXREPLACE(C33473,""-\d+(.*)|--\d+(.*)"","""")"),"SAILLY-FLIBEAUCOURT")</f>
        <v>SAILLY-FLIBEAUCOURT</v>
      </c>
      <c r="E33473" s="38" t="s">
        <v>224</v>
      </c>
      <c r="F33473" s="38" t="s">
        <v>113</v>
      </c>
      <c r="G33473" s="49" t="str">
        <f t="shared" si="1"/>
        <v>80970</v>
      </c>
      <c r="H33473" s="49">
        <f t="shared" si="2"/>
        <v>80692</v>
      </c>
    </row>
    <row r="33474">
      <c r="A33474" s="48" t="s">
        <v>10126</v>
      </c>
      <c r="B33474" s="38">
        <v>1283.0</v>
      </c>
      <c r="C33474" s="38" t="s">
        <v>37703</v>
      </c>
      <c r="D33474" s="38" t="str">
        <f>IFERROR(__xludf.DUMMYFUNCTION("REGEXREPLACE(C33474,""-\d+(.*)|--\d+(.*)"","""")"),"OYONNAX")</f>
        <v>OYONNAX</v>
      </c>
      <c r="E33474" s="38" t="s">
        <v>255</v>
      </c>
      <c r="F33474" s="38" t="s">
        <v>102</v>
      </c>
      <c r="G33474" s="49" t="str">
        <f t="shared" si="1"/>
        <v>01100</v>
      </c>
      <c r="H33474" s="49" t="str">
        <f t="shared" si="2"/>
        <v>01283</v>
      </c>
    </row>
    <row r="33475">
      <c r="A33475" s="48" t="s">
        <v>3158</v>
      </c>
      <c r="B33475" s="38">
        <v>50598.0</v>
      </c>
      <c r="C33475" s="38" t="s">
        <v>12855</v>
      </c>
      <c r="D33475" s="38" t="str">
        <f>IFERROR(__xludf.DUMMYFUNCTION("REGEXREPLACE(C33475,""-\d+(.*)|--\d+(.*)"","""")"),"TOCQUEVILLE")</f>
        <v>TOCQUEVILLE</v>
      </c>
      <c r="E33475" s="38" t="s">
        <v>157</v>
      </c>
      <c r="F33475" s="38" t="s">
        <v>138</v>
      </c>
      <c r="G33475" s="49" t="str">
        <f t="shared" si="1"/>
        <v>50330</v>
      </c>
      <c r="H33475" s="49">
        <f t="shared" si="2"/>
        <v>50598</v>
      </c>
    </row>
    <row r="33476">
      <c r="A33476" s="48" t="s">
        <v>6566</v>
      </c>
      <c r="B33476" s="38">
        <v>49216.0</v>
      </c>
      <c r="C33476" s="38" t="s">
        <v>37704</v>
      </c>
      <c r="D33476" s="38" t="str">
        <f>IFERROR(__xludf.DUMMYFUNCTION("REGEXREPLACE(C33476,""-\d+(.*)|--\d+(.*)"","""")"),"MONTREUIL-SUR-LOIR")</f>
        <v>MONTREUIL-SUR-LOIR</v>
      </c>
      <c r="E33476" s="38" t="s">
        <v>653</v>
      </c>
      <c r="F33476" s="38" t="s">
        <v>180</v>
      </c>
      <c r="G33476" s="49" t="str">
        <f t="shared" si="1"/>
        <v>49140</v>
      </c>
      <c r="H33476" s="49">
        <f t="shared" si="2"/>
        <v>49216</v>
      </c>
    </row>
    <row r="33477">
      <c r="A33477" s="48" t="s">
        <v>948</v>
      </c>
      <c r="B33477" s="38">
        <v>68336.0</v>
      </c>
      <c r="C33477" s="38" t="s">
        <v>37705</v>
      </c>
      <c r="D33477" s="38" t="str">
        <f>IFERROR(__xludf.DUMMYFUNCTION("REGEXREPLACE(C33477,""-\d+(.*)|--\d+(.*)"","""")"),"TRAUBACH-LE-BAS")</f>
        <v>TRAUBACH-LE-BAS</v>
      </c>
      <c r="E33477" s="38" t="s">
        <v>150</v>
      </c>
      <c r="F33477" s="38" t="s">
        <v>151</v>
      </c>
      <c r="G33477" s="49" t="str">
        <f t="shared" si="1"/>
        <v>68210</v>
      </c>
      <c r="H33477" s="49">
        <f t="shared" si="2"/>
        <v>68336</v>
      </c>
    </row>
    <row r="33478">
      <c r="A33478" s="48" t="s">
        <v>1104</v>
      </c>
      <c r="B33478" s="38">
        <v>52359.0</v>
      </c>
      <c r="C33478" s="38" t="s">
        <v>37706</v>
      </c>
      <c r="D33478" s="38" t="str">
        <f>IFERROR(__xludf.DUMMYFUNCTION("REGEXREPLACE(C33478,""-\d+(.*)|--\d+(.*)"","""")"),"NULLY")</f>
        <v>NULLY</v>
      </c>
      <c r="E33478" s="38" t="s">
        <v>234</v>
      </c>
      <c r="F33478" s="38" t="s">
        <v>130</v>
      </c>
      <c r="G33478" s="49" t="str">
        <f t="shared" si="1"/>
        <v>52110</v>
      </c>
      <c r="H33478" s="49">
        <f t="shared" si="2"/>
        <v>52359</v>
      </c>
    </row>
    <row r="33479">
      <c r="A33479" s="48" t="s">
        <v>6002</v>
      </c>
      <c r="B33479" s="38">
        <v>18249.0</v>
      </c>
      <c r="C33479" s="38" t="s">
        <v>37707</v>
      </c>
      <c r="D33479" s="38" t="str">
        <f>IFERROR(__xludf.DUMMYFUNCTION("REGEXREPLACE(C33479,""-\d+(.*)|--\d+(.*)"","""")"),"SENS-BEAUJEU")</f>
        <v>SENS-BEAUJEU</v>
      </c>
      <c r="E33479" s="38" t="s">
        <v>504</v>
      </c>
      <c r="F33479" s="38" t="s">
        <v>123</v>
      </c>
      <c r="G33479" s="49" t="str">
        <f t="shared" si="1"/>
        <v>18300</v>
      </c>
      <c r="H33479" s="49">
        <f t="shared" si="2"/>
        <v>18249</v>
      </c>
    </row>
    <row r="33480">
      <c r="A33480" s="48" t="s">
        <v>19271</v>
      </c>
      <c r="B33480" s="38">
        <v>8185.0</v>
      </c>
      <c r="C33480" s="38" t="s">
        <v>37708</v>
      </c>
      <c r="D33480" s="38" t="str">
        <f>IFERROR(__xludf.DUMMYFUNCTION("REGEXREPLACE(C33480,""-\d+(.*)|--\d+(.*)"","""")"),"FUMAY")</f>
        <v>FUMAY</v>
      </c>
      <c r="E33480" s="38" t="s">
        <v>327</v>
      </c>
      <c r="F33480" s="38" t="s">
        <v>130</v>
      </c>
      <c r="G33480" s="49" t="str">
        <f t="shared" si="1"/>
        <v>08170</v>
      </c>
      <c r="H33480" s="49" t="str">
        <f t="shared" si="2"/>
        <v>08185</v>
      </c>
    </row>
    <row r="33481">
      <c r="A33481" s="48" t="s">
        <v>7317</v>
      </c>
      <c r="B33481" s="38">
        <v>91148.0</v>
      </c>
      <c r="C33481" s="38" t="s">
        <v>37709</v>
      </c>
      <c r="D33481" s="38" t="str">
        <f>IFERROR(__xludf.DUMMYFUNCTION("REGEXREPLACE(C33481,""-\d+(.*)|--\d+(.*)"","""")"),"CHAUFFOUR-LES-ETRECHY")</f>
        <v>CHAUFFOUR-LES-ETRECHY</v>
      </c>
      <c r="E33481" s="38" t="s">
        <v>756</v>
      </c>
      <c r="F33481" s="38" t="s">
        <v>245</v>
      </c>
      <c r="G33481" s="49" t="str">
        <f t="shared" si="1"/>
        <v>91580</v>
      </c>
      <c r="H33481" s="49">
        <f t="shared" si="2"/>
        <v>91148</v>
      </c>
    </row>
    <row r="33482">
      <c r="A33482" s="48" t="s">
        <v>18259</v>
      </c>
      <c r="B33482" s="38">
        <v>14747.0</v>
      </c>
      <c r="C33482" s="38" t="s">
        <v>9116</v>
      </c>
      <c r="D33482" s="38" t="str">
        <f>IFERROR(__xludf.DUMMYFUNCTION("REGEXREPLACE(C33482,""-\d+(.*)|--\d+(.*)"","""")"),"VIEUX")</f>
        <v>VIEUX</v>
      </c>
      <c r="E33482" s="38" t="s">
        <v>137</v>
      </c>
      <c r="F33482" s="38" t="s">
        <v>138</v>
      </c>
      <c r="G33482" s="49" t="str">
        <f t="shared" si="1"/>
        <v>14930</v>
      </c>
      <c r="H33482" s="49">
        <f t="shared" si="2"/>
        <v>14747</v>
      </c>
    </row>
    <row r="33483">
      <c r="A33483" s="48" t="s">
        <v>37710</v>
      </c>
      <c r="B33483" s="38">
        <v>82051.0</v>
      </c>
      <c r="C33483" s="38" t="s">
        <v>37711</v>
      </c>
      <c r="D33483" s="38" t="str">
        <f>IFERROR(__xludf.DUMMYFUNCTION("REGEXREPLACE(C33483,""-\d+(.*)|--\d+(.*)"","""")"),"DURFORT-LACAPELETTE")</f>
        <v>DURFORT-LACAPELETTE</v>
      </c>
      <c r="E33483" s="38" t="s">
        <v>570</v>
      </c>
      <c r="F33483" s="38" t="s">
        <v>94</v>
      </c>
      <c r="G33483" s="49" t="str">
        <f t="shared" si="1"/>
        <v>82390</v>
      </c>
      <c r="H33483" s="49">
        <f t="shared" si="2"/>
        <v>82051</v>
      </c>
    </row>
    <row r="33484">
      <c r="A33484" s="48" t="s">
        <v>597</v>
      </c>
      <c r="B33484" s="38">
        <v>31223.0</v>
      </c>
      <c r="C33484" s="38" t="s">
        <v>37712</v>
      </c>
      <c r="D33484" s="38" t="str">
        <f>IFERROR(__xludf.DUMMYFUNCTION("REGEXREPLACE(C33484,""-\d+(.*)|--\d+(.*)"","""")"),"GOUDEX")</f>
        <v>GOUDEX</v>
      </c>
      <c r="E33484" s="38" t="s">
        <v>93</v>
      </c>
      <c r="F33484" s="38" t="s">
        <v>94</v>
      </c>
      <c r="G33484" s="49" t="str">
        <f t="shared" si="1"/>
        <v>31230</v>
      </c>
      <c r="H33484" s="49">
        <f t="shared" si="2"/>
        <v>31223</v>
      </c>
    </row>
    <row r="33485">
      <c r="A33485" s="48" t="s">
        <v>14097</v>
      </c>
      <c r="B33485" s="38">
        <v>10346.0</v>
      </c>
      <c r="C33485" s="38" t="s">
        <v>37713</v>
      </c>
      <c r="D33485" s="38" t="str">
        <f>IFERROR(__xludf.DUMMYFUNCTION("REGEXREPLACE(C33485,""-\d+(.*)|--\d+(.*)"","""")"),"SAINT-LEGER-SOUS-MARGERIE")</f>
        <v>SAINT-LEGER-SOUS-MARGERIE</v>
      </c>
      <c r="E33485" s="38" t="s">
        <v>147</v>
      </c>
      <c r="F33485" s="38" t="s">
        <v>130</v>
      </c>
      <c r="G33485" s="49" t="str">
        <f t="shared" si="1"/>
        <v>10330</v>
      </c>
      <c r="H33485" s="49">
        <f t="shared" si="2"/>
        <v>10346</v>
      </c>
    </row>
    <row r="33486">
      <c r="A33486" s="48" t="s">
        <v>8492</v>
      </c>
      <c r="B33486" s="38">
        <v>80548.0</v>
      </c>
      <c r="C33486" s="38" t="s">
        <v>37714</v>
      </c>
      <c r="D33486" s="38" t="str">
        <f>IFERROR(__xludf.DUMMYFUNCTION("REGEXREPLACE(C33486,""-\d+(.*)|--\d+(.*)"","""")"),"MILLENCOURT-EN-PONTHIEU")</f>
        <v>MILLENCOURT-EN-PONTHIEU</v>
      </c>
      <c r="E33486" s="38" t="s">
        <v>224</v>
      </c>
      <c r="F33486" s="38" t="s">
        <v>113</v>
      </c>
      <c r="G33486" s="49" t="str">
        <f t="shared" si="1"/>
        <v>80135</v>
      </c>
      <c r="H33486" s="49">
        <f t="shared" si="2"/>
        <v>80548</v>
      </c>
    </row>
    <row r="33487">
      <c r="A33487" s="48" t="s">
        <v>8167</v>
      </c>
      <c r="B33487" s="38">
        <v>41060.0</v>
      </c>
      <c r="C33487" s="38" t="s">
        <v>37715</v>
      </c>
      <c r="D33487" s="38" t="str">
        <f>IFERROR(__xludf.DUMMYFUNCTION("REGEXREPLACE(C33487,""-\d+(.*)|--\d+(.*)"","""")"),"CORMENON")</f>
        <v>CORMENON</v>
      </c>
      <c r="E33487" s="38" t="s">
        <v>188</v>
      </c>
      <c r="F33487" s="38" t="s">
        <v>123</v>
      </c>
      <c r="G33487" s="49" t="str">
        <f t="shared" si="1"/>
        <v>41170</v>
      </c>
      <c r="H33487" s="49">
        <f t="shared" si="2"/>
        <v>41060</v>
      </c>
    </row>
    <row r="33488">
      <c r="A33488" s="48" t="s">
        <v>4504</v>
      </c>
      <c r="B33488" s="38">
        <v>40169.0</v>
      </c>
      <c r="C33488" s="38" t="s">
        <v>37716</v>
      </c>
      <c r="D33488" s="38" t="str">
        <f>IFERROR(__xludf.DUMMYFUNCTION("REGEXREPLACE(C33488,""-\d+(.*)|--\d+(.*)"","""")"),"MAILLAS")</f>
        <v>MAILLAS</v>
      </c>
      <c r="E33488" s="38" t="s">
        <v>281</v>
      </c>
      <c r="F33488" s="38" t="s">
        <v>252</v>
      </c>
      <c r="G33488" s="49" t="str">
        <f t="shared" si="1"/>
        <v>40120</v>
      </c>
      <c r="H33488" s="49">
        <f t="shared" si="2"/>
        <v>40169</v>
      </c>
    </row>
    <row r="33489">
      <c r="A33489" s="48" t="s">
        <v>348</v>
      </c>
      <c r="B33489" s="38">
        <v>69229.0</v>
      </c>
      <c r="C33489" s="38" t="s">
        <v>37717</v>
      </c>
      <c r="D33489" s="38" t="str">
        <f>IFERROR(__xludf.DUMMYFUNCTION("REGEXREPLACE(C33489,""-\d+(.*)|--\d+(.*)"","""")"),"SAINT-NIZIER-D'AZERGUES")</f>
        <v>SAINT-NIZIER-D'AZERGUES</v>
      </c>
      <c r="E33489" s="38" t="s">
        <v>350</v>
      </c>
      <c r="F33489" s="38" t="s">
        <v>102</v>
      </c>
      <c r="G33489" s="49" t="str">
        <f t="shared" si="1"/>
        <v>69870</v>
      </c>
      <c r="H33489" s="49">
        <f t="shared" si="2"/>
        <v>69229</v>
      </c>
    </row>
    <row r="33490">
      <c r="A33490" s="48" t="s">
        <v>9755</v>
      </c>
      <c r="B33490" s="38">
        <v>51459.0</v>
      </c>
      <c r="C33490" s="38" t="s">
        <v>21438</v>
      </c>
      <c r="D33490" s="38" t="str">
        <f>IFERROR(__xludf.DUMMYFUNCTION("REGEXREPLACE(C33490,""-\d+(.*)|--\d+(.*)"","""")"),"REVEILLON")</f>
        <v>REVEILLON</v>
      </c>
      <c r="E33490" s="38" t="s">
        <v>129</v>
      </c>
      <c r="F33490" s="38" t="s">
        <v>130</v>
      </c>
      <c r="G33490" s="49" t="str">
        <f t="shared" si="1"/>
        <v>51310</v>
      </c>
      <c r="H33490" s="49">
        <f t="shared" si="2"/>
        <v>51459</v>
      </c>
    </row>
    <row r="33491">
      <c r="A33491" s="48" t="s">
        <v>13331</v>
      </c>
      <c r="B33491" s="38">
        <v>12033.0</v>
      </c>
      <c r="C33491" s="38" t="s">
        <v>37718</v>
      </c>
      <c r="D33491" s="38" t="str">
        <f>IFERROR(__xludf.DUMMYFUNCTION("REGEXREPLACE(C33491,""-\d+(.*)|--\d+(.*)"","""")"),"BOZOULS")</f>
        <v>BOZOULS</v>
      </c>
      <c r="E33491" s="38" t="s">
        <v>465</v>
      </c>
      <c r="F33491" s="38" t="s">
        <v>94</v>
      </c>
      <c r="G33491" s="49" t="str">
        <f t="shared" si="1"/>
        <v>12340</v>
      </c>
      <c r="H33491" s="49">
        <f t="shared" si="2"/>
        <v>12033</v>
      </c>
    </row>
    <row r="33492">
      <c r="A33492" s="48" t="s">
        <v>8883</v>
      </c>
      <c r="B33492" s="38">
        <v>39193.0</v>
      </c>
      <c r="C33492" s="38" t="s">
        <v>37719</v>
      </c>
      <c r="D33492" s="38" t="str">
        <f>IFERROR(__xludf.DUMMYFUNCTION("REGEXREPLACE(C33492,""-\d+(.*)|--\d+(.*)"","""")"),"LE DESCHAUX")</f>
        <v>LE DESCHAUX</v>
      </c>
      <c r="E33492" s="38" t="s">
        <v>400</v>
      </c>
      <c r="F33492" s="38" t="s">
        <v>214</v>
      </c>
      <c r="G33492" s="49" t="str">
        <f t="shared" si="1"/>
        <v>39120</v>
      </c>
      <c r="H33492" s="49">
        <f t="shared" si="2"/>
        <v>39193</v>
      </c>
    </row>
    <row r="33493">
      <c r="A33493" s="48" t="s">
        <v>5622</v>
      </c>
      <c r="B33493" s="38">
        <v>45239.0</v>
      </c>
      <c r="C33493" s="38" t="s">
        <v>37720</v>
      </c>
      <c r="D33493" s="38" t="str">
        <f>IFERROR(__xludf.DUMMYFUNCTION("REGEXREPLACE(C33493,""-\d+(.*)|--\d+(.*)"","""")"),"OUSSOY-EN-GATINAIS")</f>
        <v>OUSSOY-EN-GATINAIS</v>
      </c>
      <c r="E33493" s="38" t="s">
        <v>122</v>
      </c>
      <c r="F33493" s="38" t="s">
        <v>123</v>
      </c>
      <c r="G33493" s="49" t="str">
        <f t="shared" si="1"/>
        <v>45290</v>
      </c>
      <c r="H33493" s="49">
        <f t="shared" si="2"/>
        <v>45239</v>
      </c>
    </row>
    <row r="33494">
      <c r="A33494" s="48" t="s">
        <v>9218</v>
      </c>
      <c r="B33494" s="38">
        <v>17208.0</v>
      </c>
      <c r="C33494" s="38" t="s">
        <v>37067</v>
      </c>
      <c r="D33494" s="38" t="str">
        <f>IFERROR(__xludf.DUMMYFUNCTION("REGEXREPLACE(C33494,""-\d+(.*)|--\d+(.*)"","""")"),"LONGEVES")</f>
        <v>LONGEVES</v>
      </c>
      <c r="E33494" s="38" t="s">
        <v>488</v>
      </c>
      <c r="F33494" s="38" t="s">
        <v>338</v>
      </c>
      <c r="G33494" s="49" t="str">
        <f t="shared" si="1"/>
        <v>17230</v>
      </c>
      <c r="H33494" s="49">
        <f t="shared" si="2"/>
        <v>17208</v>
      </c>
    </row>
    <row r="33495">
      <c r="A33495" s="48" t="s">
        <v>2788</v>
      </c>
      <c r="B33495" s="38">
        <v>35163.0</v>
      </c>
      <c r="C33495" s="38" t="s">
        <v>37721</v>
      </c>
      <c r="D33495" s="38" t="str">
        <f>IFERROR(__xludf.DUMMYFUNCTION("REGEXREPLACE(C33495,""-\d+(.*)|--\d+(.*)"","""")"),"LUITRE")</f>
        <v>LUITRE</v>
      </c>
      <c r="E33495" s="38" t="s">
        <v>347</v>
      </c>
      <c r="F33495" s="38" t="s">
        <v>90</v>
      </c>
      <c r="G33495" s="49" t="str">
        <f t="shared" si="1"/>
        <v>35133</v>
      </c>
      <c r="H33495" s="49">
        <f t="shared" si="2"/>
        <v>35163</v>
      </c>
    </row>
    <row r="33496">
      <c r="A33496" s="48" t="s">
        <v>10705</v>
      </c>
      <c r="B33496" s="38">
        <v>64197.0</v>
      </c>
      <c r="C33496" s="38" t="s">
        <v>37722</v>
      </c>
      <c r="D33496" s="38" t="str">
        <f>IFERROR(__xludf.DUMMYFUNCTION("REGEXREPLACE(C33496,""-\d+(.*)|--\d+(.*)"","""")"),"CUQUERON")</f>
        <v>CUQUERON</v>
      </c>
      <c r="E33496" s="38" t="s">
        <v>268</v>
      </c>
      <c r="F33496" s="38" t="s">
        <v>252</v>
      </c>
      <c r="G33496" s="49" t="str">
        <f t="shared" si="1"/>
        <v>64360</v>
      </c>
      <c r="H33496" s="49">
        <f t="shared" si="2"/>
        <v>64197</v>
      </c>
    </row>
    <row r="33497">
      <c r="A33497" s="48" t="s">
        <v>7818</v>
      </c>
      <c r="B33497" s="38">
        <v>90065.0</v>
      </c>
      <c r="C33497" s="38" t="s">
        <v>37723</v>
      </c>
      <c r="D33497" s="38" t="str">
        <f>IFERROR(__xludf.DUMMYFUNCTION("REGEXREPLACE(C33497,""-\d+(.*)|--\d+(.*)"","""")"),"LEPUIX")</f>
        <v>LEPUIX</v>
      </c>
      <c r="E33497" s="38" t="s">
        <v>1283</v>
      </c>
      <c r="F33497" s="38" t="s">
        <v>214</v>
      </c>
      <c r="G33497" s="49" t="str">
        <f t="shared" si="1"/>
        <v>90200</v>
      </c>
      <c r="H33497" s="49">
        <f t="shared" si="2"/>
        <v>90065</v>
      </c>
    </row>
    <row r="33498">
      <c r="A33498" s="48" t="s">
        <v>20857</v>
      </c>
      <c r="B33498" s="38">
        <v>64035.0</v>
      </c>
      <c r="C33498" s="38" t="s">
        <v>37724</v>
      </c>
      <c r="D33498" s="38" t="str">
        <f>IFERROR(__xludf.DUMMYFUNCTION("REGEXREPLACE(C33498,""-\d+(.*)|--\d+(.*)"","""")"),"ARBONNE")</f>
        <v>ARBONNE</v>
      </c>
      <c r="E33498" s="38" t="s">
        <v>268</v>
      </c>
      <c r="F33498" s="38" t="s">
        <v>252</v>
      </c>
      <c r="G33498" s="49" t="str">
        <f t="shared" si="1"/>
        <v>64210</v>
      </c>
      <c r="H33498" s="49">
        <f t="shared" si="2"/>
        <v>64035</v>
      </c>
    </row>
    <row r="33499">
      <c r="A33499" s="48" t="s">
        <v>5142</v>
      </c>
      <c r="B33499" s="38">
        <v>58137.0</v>
      </c>
      <c r="C33499" s="38" t="s">
        <v>37725</v>
      </c>
      <c r="D33499" s="38" t="str">
        <f>IFERROR(__xludf.DUMMYFUNCTION("REGEXREPLACE(C33499,""-\d+(.*)|--\d+(.*)"","""")"),"LAMENAY-SUR-LOIRE")</f>
        <v>LAMENAY-SUR-LOIRE</v>
      </c>
      <c r="E33499" s="38" t="s">
        <v>219</v>
      </c>
      <c r="F33499" s="38" t="s">
        <v>106</v>
      </c>
      <c r="G33499" s="49" t="str">
        <f t="shared" si="1"/>
        <v>58300</v>
      </c>
      <c r="H33499" s="49">
        <f t="shared" si="2"/>
        <v>58137</v>
      </c>
    </row>
    <row r="33500">
      <c r="A33500" s="48" t="s">
        <v>6442</v>
      </c>
      <c r="B33500" s="38">
        <v>18083.0</v>
      </c>
      <c r="C33500" s="38" t="s">
        <v>37726</v>
      </c>
      <c r="D33500" s="38" t="str">
        <f>IFERROR(__xludf.DUMMYFUNCTION("REGEXREPLACE(C33500,""-\d+(.*)|--\d+(.*)"","""")"),"CULAN")</f>
        <v>CULAN</v>
      </c>
      <c r="E33500" s="38" t="s">
        <v>504</v>
      </c>
      <c r="F33500" s="38" t="s">
        <v>123</v>
      </c>
      <c r="G33500" s="49" t="str">
        <f t="shared" si="1"/>
        <v>18270</v>
      </c>
      <c r="H33500" s="49">
        <f t="shared" si="2"/>
        <v>18083</v>
      </c>
    </row>
    <row r="33501">
      <c r="A33501" s="48" t="s">
        <v>12619</v>
      </c>
      <c r="B33501" s="38">
        <v>24541.0</v>
      </c>
      <c r="C33501" s="38" t="s">
        <v>37727</v>
      </c>
      <c r="D33501" s="38" t="str">
        <f>IFERROR(__xludf.DUMMYFUNCTION("REGEXREPLACE(C33501,""-\d+(.*)|--\d+(.*)"","""")"),"SOUDAT")</f>
        <v>SOUDAT</v>
      </c>
      <c r="E33501" s="38" t="s">
        <v>261</v>
      </c>
      <c r="F33501" s="38" t="s">
        <v>252</v>
      </c>
      <c r="G33501" s="49" t="str">
        <f t="shared" si="1"/>
        <v>24360</v>
      </c>
      <c r="H33501" s="49">
        <f t="shared" si="2"/>
        <v>24541</v>
      </c>
    </row>
    <row r="33502">
      <c r="A33502" s="48" t="s">
        <v>2259</v>
      </c>
      <c r="B33502" s="38">
        <v>22059.0</v>
      </c>
      <c r="C33502" s="38" t="s">
        <v>37728</v>
      </c>
      <c r="D33502" s="38" t="str">
        <f>IFERROR(__xludf.DUMMYFUNCTION("REGEXREPLACE(C33502,""-\d+(.*)|--\d+(.*)"","""")"),"LE FOEIL")</f>
        <v>LE FOEIL</v>
      </c>
      <c r="E33502" s="38" t="s">
        <v>89</v>
      </c>
      <c r="F33502" s="38" t="s">
        <v>90</v>
      </c>
      <c r="G33502" s="49" t="str">
        <f t="shared" si="1"/>
        <v>22800</v>
      </c>
      <c r="H33502" s="49">
        <f t="shared" si="2"/>
        <v>22059</v>
      </c>
    </row>
    <row r="33503">
      <c r="A33503" s="48" t="s">
        <v>114</v>
      </c>
      <c r="B33503" s="38">
        <v>62090.0</v>
      </c>
      <c r="C33503" s="38" t="s">
        <v>37729</v>
      </c>
      <c r="D33503" s="38" t="str">
        <f>IFERROR(__xludf.DUMMYFUNCTION("REGEXREPLACE(C33503,""-\d+(.*)|--\d+(.*)"","""")"),"BEALENCOURT")</f>
        <v>BEALENCOURT</v>
      </c>
      <c r="E33503" s="38" t="s">
        <v>109</v>
      </c>
      <c r="F33503" s="38" t="s">
        <v>86</v>
      </c>
      <c r="G33503" s="49" t="str">
        <f t="shared" si="1"/>
        <v>62770</v>
      </c>
      <c r="H33503" s="49">
        <f t="shared" si="2"/>
        <v>62090</v>
      </c>
    </row>
    <row r="33504">
      <c r="A33504" s="48" t="s">
        <v>37730</v>
      </c>
      <c r="B33504" s="38">
        <v>73132.0</v>
      </c>
      <c r="C33504" s="38" t="s">
        <v>37731</v>
      </c>
      <c r="D33504" s="38" t="str">
        <f>IFERROR(__xludf.DUMMYFUNCTION("REGEXREPLACE(C33504,""-\d+(.*)|--\d+(.*)"","""")"),"HAUTELUCE")</f>
        <v>HAUTELUCE</v>
      </c>
      <c r="E33504" s="38" t="s">
        <v>306</v>
      </c>
      <c r="F33504" s="38" t="s">
        <v>102</v>
      </c>
      <c r="G33504" s="49" t="str">
        <f t="shared" si="1"/>
        <v>73620</v>
      </c>
      <c r="H33504" s="49">
        <f t="shared" si="2"/>
        <v>73132</v>
      </c>
    </row>
    <row r="33505">
      <c r="A33505" s="48" t="s">
        <v>208</v>
      </c>
      <c r="B33505" s="38">
        <v>67062.0</v>
      </c>
      <c r="C33505" s="38" t="s">
        <v>37732</v>
      </c>
      <c r="D33505" s="38" t="str">
        <f>IFERROR(__xludf.DUMMYFUNCTION("REGEXREPLACE(C33505,""-\d+(.*)|--\d+(.*)"","""")"),"BREITENAU")</f>
        <v>BREITENAU</v>
      </c>
      <c r="E33505" s="38" t="s">
        <v>210</v>
      </c>
      <c r="F33505" s="38" t="s">
        <v>151</v>
      </c>
      <c r="G33505" s="49" t="str">
        <f t="shared" si="1"/>
        <v>67220</v>
      </c>
      <c r="H33505" s="49">
        <f t="shared" si="2"/>
        <v>67062</v>
      </c>
    </row>
    <row r="33506">
      <c r="A33506" s="48" t="s">
        <v>1708</v>
      </c>
      <c r="B33506" s="38">
        <v>63047.0</v>
      </c>
      <c r="C33506" s="38" t="s">
        <v>37733</v>
      </c>
      <c r="D33506" s="38" t="str">
        <f>IFERROR(__xludf.DUMMYFUNCTION("REGEXREPLACE(C33506,""-\d+(.*)|--\d+(.*)"","""")"),"LA BOURBOULE")</f>
        <v>LA BOURBOULE</v>
      </c>
      <c r="E33506" s="38" t="s">
        <v>353</v>
      </c>
      <c r="F33506" s="38" t="s">
        <v>161</v>
      </c>
      <c r="G33506" s="49" t="str">
        <f t="shared" si="1"/>
        <v>63150</v>
      </c>
      <c r="H33506" s="49">
        <f t="shared" si="2"/>
        <v>63047</v>
      </c>
    </row>
    <row r="33507">
      <c r="A33507" s="48" t="s">
        <v>5195</v>
      </c>
      <c r="B33507" s="38">
        <v>47269.0</v>
      </c>
      <c r="C33507" s="38" t="s">
        <v>37734</v>
      </c>
      <c r="D33507" s="38" t="str">
        <f>IFERROR(__xludf.DUMMYFUNCTION("REGEXREPLACE(C33507,""-\d+(.*)|--\d+(.*)"","""")"),"SAINT-PIERRE-DE-CLAIRAC")</f>
        <v>SAINT-PIERRE-DE-CLAIRAC</v>
      </c>
      <c r="E33507" s="38" t="s">
        <v>251</v>
      </c>
      <c r="F33507" s="38" t="s">
        <v>252</v>
      </c>
      <c r="G33507" s="49" t="str">
        <f t="shared" si="1"/>
        <v>47270</v>
      </c>
      <c r="H33507" s="49">
        <f t="shared" si="2"/>
        <v>47269</v>
      </c>
    </row>
    <row r="33508">
      <c r="A33508" s="48" t="s">
        <v>2839</v>
      </c>
      <c r="B33508" s="38">
        <v>60246.0</v>
      </c>
      <c r="C33508" s="38" t="s">
        <v>37735</v>
      </c>
      <c r="D33508" s="38" t="str">
        <f>IFERROR(__xludf.DUMMYFUNCTION("REGEXREPLACE(C33508,""-\d+(.*)|--\d+(.*)"","""")"),"FOSSEUSE")</f>
        <v>FOSSEUSE</v>
      </c>
      <c r="E33508" s="38" t="s">
        <v>112</v>
      </c>
      <c r="F33508" s="38" t="s">
        <v>113</v>
      </c>
      <c r="G33508" s="49" t="str">
        <f t="shared" si="1"/>
        <v>60540</v>
      </c>
      <c r="H33508" s="49">
        <f t="shared" si="2"/>
        <v>60246</v>
      </c>
    </row>
    <row r="33509">
      <c r="A33509" s="48" t="s">
        <v>2261</v>
      </c>
      <c r="B33509" s="38">
        <v>9016.0</v>
      </c>
      <c r="C33509" s="38" t="s">
        <v>37736</v>
      </c>
      <c r="D33509" s="38" t="str">
        <f>IFERROR(__xludf.DUMMYFUNCTION("REGEXREPLACE(C33509,""-\d+(.*)|--\d+(.*)"","""")"),"ARNAVE")</f>
        <v>ARNAVE</v>
      </c>
      <c r="E33509" s="38" t="s">
        <v>238</v>
      </c>
      <c r="F33509" s="38" t="s">
        <v>94</v>
      </c>
      <c r="G33509" s="49" t="str">
        <f t="shared" si="1"/>
        <v>09400</v>
      </c>
      <c r="H33509" s="49" t="str">
        <f t="shared" si="2"/>
        <v>09016</v>
      </c>
    </row>
    <row r="33510">
      <c r="A33510" s="48" t="s">
        <v>10374</v>
      </c>
      <c r="B33510" s="38">
        <v>83051.0</v>
      </c>
      <c r="C33510" s="38" t="s">
        <v>37737</v>
      </c>
      <c r="D33510" s="38" t="str">
        <f>IFERROR(__xludf.DUMMYFUNCTION("REGEXREPLACE(C33510,""-\d+(.*)|--\d+(.*)"","""")"),"ENTRECASTEAUX")</f>
        <v>ENTRECASTEAUX</v>
      </c>
      <c r="E33510" s="38" t="s">
        <v>813</v>
      </c>
      <c r="F33510" s="38" t="s">
        <v>228</v>
      </c>
      <c r="G33510" s="49" t="str">
        <f t="shared" si="1"/>
        <v>83570</v>
      </c>
      <c r="H33510" s="49">
        <f t="shared" si="2"/>
        <v>83051</v>
      </c>
    </row>
    <row r="33511">
      <c r="A33511" s="48" t="s">
        <v>5806</v>
      </c>
      <c r="B33511" s="38">
        <v>39259.0</v>
      </c>
      <c r="C33511" s="38" t="s">
        <v>37738</v>
      </c>
      <c r="D33511" s="38" t="str">
        <f>IFERROR(__xludf.DUMMYFUNCTION("REGEXREPLACE(C33511,""-\d+(.*)|--\d+(.*)"","""")"),"GRANGE-DE-VAIVRE")</f>
        <v>GRANGE-DE-VAIVRE</v>
      </c>
      <c r="E33511" s="38" t="s">
        <v>400</v>
      </c>
      <c r="F33511" s="38" t="s">
        <v>214</v>
      </c>
      <c r="G33511" s="49" t="str">
        <f t="shared" si="1"/>
        <v>39600</v>
      </c>
      <c r="H33511" s="49">
        <f t="shared" si="2"/>
        <v>39259</v>
      </c>
    </row>
    <row r="33512">
      <c r="A33512" s="48" t="s">
        <v>7144</v>
      </c>
      <c r="B33512" s="38">
        <v>76431.0</v>
      </c>
      <c r="C33512" s="38" t="s">
        <v>37739</v>
      </c>
      <c r="D33512" s="38" t="str">
        <f>IFERROR(__xludf.DUMMYFUNCTION("REGEXREPLACE(C33512,""-\d+(.*)|--\d+(.*)"","""")"),"LE MESNIL-LIEUBRAY")</f>
        <v>LE MESNIL-LIEUBRAY</v>
      </c>
      <c r="E33512" s="38" t="s">
        <v>133</v>
      </c>
      <c r="F33512" s="38" t="s">
        <v>134</v>
      </c>
      <c r="G33512" s="49" t="str">
        <f t="shared" si="1"/>
        <v>76780</v>
      </c>
      <c r="H33512" s="49">
        <f t="shared" si="2"/>
        <v>76431</v>
      </c>
    </row>
    <row r="33513">
      <c r="A33513" s="48" t="s">
        <v>103</v>
      </c>
      <c r="B33513" s="38">
        <v>21440.0</v>
      </c>
      <c r="C33513" s="38" t="s">
        <v>8726</v>
      </c>
      <c r="D33513" s="38" t="str">
        <f>IFERROR(__xludf.DUMMYFUNCTION("REGEXREPLACE(C33513,""-\d+(.*)|--\d+(.*)"","""")"),"MONTOT")</f>
        <v>MONTOT</v>
      </c>
      <c r="E33513" s="38" t="s">
        <v>105</v>
      </c>
      <c r="F33513" s="38" t="s">
        <v>106</v>
      </c>
      <c r="G33513" s="49" t="str">
        <f t="shared" si="1"/>
        <v>21170</v>
      </c>
      <c r="H33513" s="49">
        <f t="shared" si="2"/>
        <v>21440</v>
      </c>
    </row>
    <row r="33514">
      <c r="A33514" s="48" t="s">
        <v>3863</v>
      </c>
      <c r="B33514" s="38">
        <v>1002.0</v>
      </c>
      <c r="C33514" s="38" t="s">
        <v>37740</v>
      </c>
      <c r="D33514" s="38" t="str">
        <f>IFERROR(__xludf.DUMMYFUNCTION("REGEXREPLACE(C33514,""-\d+(.*)|--\d+(.*)"","""")"),"L'ABERGEMENT-DE-VAREY")</f>
        <v>L'ABERGEMENT-DE-VAREY</v>
      </c>
      <c r="E33514" s="38" t="s">
        <v>255</v>
      </c>
      <c r="F33514" s="38" t="s">
        <v>102</v>
      </c>
      <c r="G33514" s="49" t="str">
        <f t="shared" si="1"/>
        <v>01640</v>
      </c>
      <c r="H33514" s="49" t="str">
        <f t="shared" si="2"/>
        <v>01002</v>
      </c>
    </row>
    <row r="33515">
      <c r="A33515" s="48" t="s">
        <v>746</v>
      </c>
      <c r="B33515" s="38">
        <v>76554.0</v>
      </c>
      <c r="C33515" s="38" t="s">
        <v>37741</v>
      </c>
      <c r="D33515" s="38" t="str">
        <f>IFERROR(__xludf.DUMMYFUNCTION("REGEXREPLACE(C33515,""-\d+(.*)|--\d+(.*)"","""")"),"SAINT-AIGNAN-SUR-RY")</f>
        <v>SAINT-AIGNAN-SUR-RY</v>
      </c>
      <c r="E33515" s="38" t="s">
        <v>133</v>
      </c>
      <c r="F33515" s="38" t="s">
        <v>134</v>
      </c>
      <c r="G33515" s="49" t="str">
        <f t="shared" si="1"/>
        <v>76116</v>
      </c>
      <c r="H33515" s="49">
        <f t="shared" si="2"/>
        <v>76554</v>
      </c>
    </row>
    <row r="33516">
      <c r="A33516" s="48" t="s">
        <v>497</v>
      </c>
      <c r="B33516" s="38">
        <v>62100.0</v>
      </c>
      <c r="C33516" s="38" t="s">
        <v>37742</v>
      </c>
      <c r="D33516" s="38" t="str">
        <f>IFERROR(__xludf.DUMMYFUNCTION("REGEXREPLACE(C33516,""-\d+(.*)|--\d+(.*)"","""")"),"BEAURAINVILLE")</f>
        <v>BEAURAINVILLE</v>
      </c>
      <c r="E33516" s="38" t="s">
        <v>109</v>
      </c>
      <c r="F33516" s="38" t="s">
        <v>86</v>
      </c>
      <c r="G33516" s="49" t="str">
        <f t="shared" si="1"/>
        <v>62990</v>
      </c>
      <c r="H33516" s="49">
        <f t="shared" si="2"/>
        <v>62100</v>
      </c>
    </row>
    <row r="33517">
      <c r="A33517" s="48" t="s">
        <v>5212</v>
      </c>
      <c r="B33517" s="38">
        <v>41263.0</v>
      </c>
      <c r="C33517" s="38" t="s">
        <v>37743</v>
      </c>
      <c r="D33517" s="38" t="str">
        <f>IFERROR(__xludf.DUMMYFUNCTION("REGEXREPLACE(C33517,""-\d+(.*)|--\d+(.*)"","""")"),"TREHET")</f>
        <v>TREHET</v>
      </c>
      <c r="E33517" s="38" t="s">
        <v>188</v>
      </c>
      <c r="F33517" s="38" t="s">
        <v>123</v>
      </c>
      <c r="G33517" s="49" t="str">
        <f t="shared" si="1"/>
        <v>41800</v>
      </c>
      <c r="H33517" s="49">
        <f t="shared" si="2"/>
        <v>41263</v>
      </c>
    </row>
    <row r="33518">
      <c r="A33518" s="48" t="s">
        <v>3723</v>
      </c>
      <c r="B33518" s="38">
        <v>54444.0</v>
      </c>
      <c r="C33518" s="38" t="s">
        <v>37744</v>
      </c>
      <c r="D33518" s="38" t="str">
        <f>IFERROR(__xludf.DUMMYFUNCTION("REGEXREPLACE(C33518,""-\d+(.*)|--\d+(.*)"","""")"),"RAUCOURT")</f>
        <v>RAUCOURT</v>
      </c>
      <c r="E33518" s="38" t="s">
        <v>548</v>
      </c>
      <c r="F33518" s="38" t="s">
        <v>195</v>
      </c>
      <c r="G33518" s="49" t="str">
        <f t="shared" si="1"/>
        <v>54610</v>
      </c>
      <c r="H33518" s="49">
        <f t="shared" si="2"/>
        <v>54444</v>
      </c>
    </row>
    <row r="33519">
      <c r="A33519" s="48" t="s">
        <v>2955</v>
      </c>
      <c r="B33519" s="38">
        <v>76027.0</v>
      </c>
      <c r="C33519" s="38" t="s">
        <v>34362</v>
      </c>
      <c r="D33519" s="38" t="str">
        <f>IFERROR(__xludf.DUMMYFUNCTION("REGEXREPLACE(C33519,""-\d+(.*)|--\d+(.*)"","""")"),"ASSIGNY")</f>
        <v>ASSIGNY</v>
      </c>
      <c r="E33519" s="38" t="s">
        <v>133</v>
      </c>
      <c r="F33519" s="38" t="s">
        <v>134</v>
      </c>
      <c r="G33519" s="49" t="str">
        <f t="shared" si="1"/>
        <v>76630</v>
      </c>
      <c r="H33519" s="49">
        <f t="shared" si="2"/>
        <v>76027</v>
      </c>
    </row>
    <row r="33520">
      <c r="A33520" s="48" t="s">
        <v>4703</v>
      </c>
      <c r="B33520" s="38">
        <v>66052.0</v>
      </c>
      <c r="C33520" s="38" t="s">
        <v>37745</v>
      </c>
      <c r="D33520" s="38" t="str">
        <f>IFERROR(__xludf.DUMMYFUNCTION("REGEXREPLACE(C33520,""-\d+(.*)|--\d+(.*)"","""")"),"CODALET")</f>
        <v>CODALET</v>
      </c>
      <c r="E33520" s="38" t="s">
        <v>248</v>
      </c>
      <c r="F33520" s="38" t="s">
        <v>119</v>
      </c>
      <c r="G33520" s="49" t="str">
        <f t="shared" si="1"/>
        <v>66500</v>
      </c>
      <c r="H33520" s="49">
        <f t="shared" si="2"/>
        <v>66052</v>
      </c>
    </row>
    <row r="33521">
      <c r="A33521" s="48" t="s">
        <v>5654</v>
      </c>
      <c r="B33521" s="38">
        <v>8126.0</v>
      </c>
      <c r="C33521" s="38" t="s">
        <v>37746</v>
      </c>
      <c r="D33521" s="38" t="str">
        <f>IFERROR(__xludf.DUMMYFUNCTION("REGEXREPLACE(C33521,""-\d+(.*)|--\d+(.*)"","""")"),"CONDE-LES-HERPY")</f>
        <v>CONDE-LES-HERPY</v>
      </c>
      <c r="E33521" s="38" t="s">
        <v>327</v>
      </c>
      <c r="F33521" s="38" t="s">
        <v>130</v>
      </c>
      <c r="G33521" s="49" t="str">
        <f t="shared" si="1"/>
        <v>08360</v>
      </c>
      <c r="H33521" s="49" t="str">
        <f t="shared" si="2"/>
        <v>08126</v>
      </c>
    </row>
    <row r="33522">
      <c r="A33522" s="48" t="s">
        <v>37747</v>
      </c>
      <c r="B33522" s="38">
        <v>44109.0</v>
      </c>
      <c r="C33522" s="38" t="s">
        <v>37748</v>
      </c>
      <c r="D33522" s="38" t="str">
        <f>IFERROR(__xludf.DUMMYFUNCTION("REGEXREPLACE(C33522,""-\d+(.*)|--\d+(.*)"","""")"),"NANTES")</f>
        <v>NANTES</v>
      </c>
      <c r="E33522" s="38" t="s">
        <v>759</v>
      </c>
      <c r="F33522" s="38" t="s">
        <v>180</v>
      </c>
      <c r="G33522" s="49" t="str">
        <f t="shared" si="1"/>
        <v>44000/44100/44200/44300</v>
      </c>
      <c r="H33522" s="49">
        <f t="shared" si="2"/>
        <v>44109</v>
      </c>
    </row>
    <row r="33523">
      <c r="A33523" s="48" t="s">
        <v>13409</v>
      </c>
      <c r="B33523" s="38">
        <v>35318.0</v>
      </c>
      <c r="C33523" s="38" t="s">
        <v>37749</v>
      </c>
      <c r="D33523" s="38" t="str">
        <f>IFERROR(__xludf.DUMMYFUNCTION("REGEXREPLACE(C33523,""-\d+(.*)|--\d+(.*)"","""")"),"SAINT-THUAL")</f>
        <v>SAINT-THUAL</v>
      </c>
      <c r="E33523" s="38" t="s">
        <v>347</v>
      </c>
      <c r="F33523" s="38" t="s">
        <v>90</v>
      </c>
      <c r="G33523" s="49" t="str">
        <f t="shared" si="1"/>
        <v>35190</v>
      </c>
      <c r="H33523" s="49">
        <f t="shared" si="2"/>
        <v>35318</v>
      </c>
    </row>
    <row r="33524">
      <c r="A33524" s="48" t="s">
        <v>3422</v>
      </c>
      <c r="B33524" s="38">
        <v>32270.0</v>
      </c>
      <c r="C33524" s="38" t="s">
        <v>37750</v>
      </c>
      <c r="D33524" s="38" t="str">
        <f>IFERROR(__xludf.DUMMYFUNCTION("REGEXREPLACE(C33524,""-\d+(.*)|--\d+(.*)"","""")"),"MONGAUSY")</f>
        <v>MONGAUSY</v>
      </c>
      <c r="E33524" s="38" t="s">
        <v>440</v>
      </c>
      <c r="F33524" s="38" t="s">
        <v>94</v>
      </c>
      <c r="G33524" s="49" t="str">
        <f t="shared" si="1"/>
        <v>32220</v>
      </c>
      <c r="H33524" s="49">
        <f t="shared" si="2"/>
        <v>32270</v>
      </c>
    </row>
    <row r="33525">
      <c r="A33525" s="48" t="s">
        <v>14590</v>
      </c>
      <c r="B33525" s="38">
        <v>80724.0</v>
      </c>
      <c r="C33525" s="38" t="s">
        <v>37751</v>
      </c>
      <c r="D33525" s="38" t="str">
        <f>IFERROR(__xludf.DUMMYFUNCTION("REGEXREPLACE(C33525,""-\d+(.*)|--\d+(.*)"","""")"),"SALEUX")</f>
        <v>SALEUX</v>
      </c>
      <c r="E33525" s="38" t="s">
        <v>224</v>
      </c>
      <c r="F33525" s="38" t="s">
        <v>113</v>
      </c>
      <c r="G33525" s="49" t="str">
        <f t="shared" si="1"/>
        <v>80480</v>
      </c>
      <c r="H33525" s="49">
        <f t="shared" si="2"/>
        <v>80724</v>
      </c>
    </row>
    <row r="33526">
      <c r="A33526" s="48" t="s">
        <v>879</v>
      </c>
      <c r="B33526" s="38">
        <v>24536.0</v>
      </c>
      <c r="C33526" s="38" t="s">
        <v>37752</v>
      </c>
      <c r="D33526" s="38" t="str">
        <f>IFERROR(__xludf.DUMMYFUNCTION("REGEXREPLACE(C33526,""-\d+(.*)|--\d+(.*)"","""")"),"SINGLEYRAC")</f>
        <v>SINGLEYRAC</v>
      </c>
      <c r="E33526" s="38" t="s">
        <v>261</v>
      </c>
      <c r="F33526" s="38" t="s">
        <v>252</v>
      </c>
      <c r="G33526" s="49" t="str">
        <f t="shared" si="1"/>
        <v>24500</v>
      </c>
      <c r="H33526" s="49">
        <f t="shared" si="2"/>
        <v>24536</v>
      </c>
    </row>
    <row r="33527">
      <c r="A33527" s="48" t="s">
        <v>4586</v>
      </c>
      <c r="B33527" s="38">
        <v>40041.0</v>
      </c>
      <c r="C33527" s="38" t="s">
        <v>37753</v>
      </c>
      <c r="D33527" s="38" t="str">
        <f>IFERROR(__xludf.DUMMYFUNCTION("REGEXREPLACE(C33527,""-\d+(.*)|--\d+(.*)"","""")"),"BEYRIES")</f>
        <v>BEYRIES</v>
      </c>
      <c r="E33527" s="38" t="s">
        <v>281</v>
      </c>
      <c r="F33527" s="38" t="s">
        <v>252</v>
      </c>
      <c r="G33527" s="49" t="str">
        <f t="shared" si="1"/>
        <v>40700</v>
      </c>
      <c r="H33527" s="49">
        <f t="shared" si="2"/>
        <v>40041</v>
      </c>
    </row>
    <row r="33528">
      <c r="A33528" s="48" t="s">
        <v>7566</v>
      </c>
      <c r="B33528" s="38">
        <v>45344.0</v>
      </c>
      <c r="C33528" s="38" t="s">
        <v>37754</v>
      </c>
      <c r="D33528" s="38" t="str">
        <f>IFERROR(__xludf.DUMMYFUNCTION("REGEXREPLACE(C33528,""-\d+(.*)|--\d+(.*)"","""")"),"VILLORCEAU")</f>
        <v>VILLORCEAU</v>
      </c>
      <c r="E33528" s="38" t="s">
        <v>122</v>
      </c>
      <c r="F33528" s="38" t="s">
        <v>123</v>
      </c>
      <c r="G33528" s="49" t="str">
        <f t="shared" si="1"/>
        <v>45190</v>
      </c>
      <c r="H33528" s="49">
        <f t="shared" si="2"/>
        <v>45344</v>
      </c>
    </row>
    <row r="33529">
      <c r="A33529" s="48" t="s">
        <v>2162</v>
      </c>
      <c r="B33529" s="38">
        <v>26134.0</v>
      </c>
      <c r="C33529" s="38" t="s">
        <v>37755</v>
      </c>
      <c r="D33529" s="38" t="str">
        <f>IFERROR(__xludf.DUMMYFUNCTION("REGEXREPLACE(C33529,""-\d+(.*)|--\d+(.*)"","""")"),"FELINES-SUR-RIMANDOULE")</f>
        <v>FELINES-SUR-RIMANDOULE</v>
      </c>
      <c r="E33529" s="38" t="s">
        <v>126</v>
      </c>
      <c r="F33529" s="38" t="s">
        <v>102</v>
      </c>
      <c r="G33529" s="49" t="str">
        <f t="shared" si="1"/>
        <v>26160</v>
      </c>
      <c r="H33529" s="49">
        <f t="shared" si="2"/>
        <v>26134</v>
      </c>
    </row>
    <row r="33530">
      <c r="A33530" s="48" t="s">
        <v>3165</v>
      </c>
      <c r="B33530" s="38">
        <v>11200.0</v>
      </c>
      <c r="C33530" s="38" t="s">
        <v>37756</v>
      </c>
      <c r="D33530" s="38" t="str">
        <f>IFERROR(__xludf.DUMMYFUNCTION("REGEXREPLACE(C33530,""-\d+(.*)|--\d+(.*)"","""")"),"LESPINASSIERE")</f>
        <v>LESPINASSIERE</v>
      </c>
      <c r="E33530" s="38" t="s">
        <v>278</v>
      </c>
      <c r="F33530" s="38" t="s">
        <v>119</v>
      </c>
      <c r="G33530" s="49" t="str">
        <f t="shared" si="1"/>
        <v>11160</v>
      </c>
      <c r="H33530" s="49">
        <f t="shared" si="2"/>
        <v>11200</v>
      </c>
    </row>
    <row r="33531">
      <c r="A33531" s="48" t="s">
        <v>2174</v>
      </c>
      <c r="B33531" s="38">
        <v>35060.0</v>
      </c>
      <c r="C33531" s="38" t="s">
        <v>37757</v>
      </c>
      <c r="D33531" s="38" t="str">
        <f>IFERROR(__xludf.DUMMYFUNCTION("REGEXREPLACE(C33531,""-\d+(.*)|--\d+(.*)"","""")"),"LA CHAPELLE-DU-LOU")</f>
        <v>LA CHAPELLE-DU-LOU</v>
      </c>
      <c r="E33531" s="38" t="s">
        <v>347</v>
      </c>
      <c r="F33531" s="38" t="s">
        <v>90</v>
      </c>
      <c r="G33531" s="49" t="str">
        <f t="shared" si="1"/>
        <v>35360</v>
      </c>
      <c r="H33531" s="49">
        <f t="shared" si="2"/>
        <v>35060</v>
      </c>
    </row>
    <row r="33532">
      <c r="A33532" s="48" t="s">
        <v>16318</v>
      </c>
      <c r="B33532" s="38">
        <v>42077.0</v>
      </c>
      <c r="C33532" s="38" t="s">
        <v>37758</v>
      </c>
      <c r="D33532" s="38" t="str">
        <f>IFERROR(__xludf.DUMMYFUNCTION("REGEXREPLACE(C33532,""-\d+(.*)|--\d+(.*)"","""")"),"CROIZET-SUR-GAND")</f>
        <v>CROIZET-SUR-GAND</v>
      </c>
      <c r="E33532" s="38" t="s">
        <v>166</v>
      </c>
      <c r="F33532" s="38" t="s">
        <v>102</v>
      </c>
      <c r="G33532" s="49" t="str">
        <f t="shared" si="1"/>
        <v>42540</v>
      </c>
      <c r="H33532" s="49">
        <f t="shared" si="2"/>
        <v>42077</v>
      </c>
    </row>
    <row r="33533">
      <c r="A33533" s="48" t="s">
        <v>1783</v>
      </c>
      <c r="B33533" s="38">
        <v>60026.0</v>
      </c>
      <c r="C33533" s="38" t="s">
        <v>37759</v>
      </c>
      <c r="D33533" s="38" t="str">
        <f>IFERROR(__xludf.DUMMYFUNCTION("REGEXREPLACE(C33533,""-\d+(.*)|--\d+(.*)"","""")"),"AUCHY-LA-MONTAGNE")</f>
        <v>AUCHY-LA-MONTAGNE</v>
      </c>
      <c r="E33533" s="38" t="s">
        <v>112</v>
      </c>
      <c r="F33533" s="38" t="s">
        <v>113</v>
      </c>
      <c r="G33533" s="49" t="str">
        <f t="shared" si="1"/>
        <v>60360</v>
      </c>
      <c r="H33533" s="49">
        <f t="shared" si="2"/>
        <v>60026</v>
      </c>
    </row>
    <row r="33534">
      <c r="A33534" s="48" t="s">
        <v>2521</v>
      </c>
      <c r="B33534" s="38">
        <v>28285.0</v>
      </c>
      <c r="C33534" s="38" t="s">
        <v>37760</v>
      </c>
      <c r="D33534" s="38" t="str">
        <f>IFERROR(__xludf.DUMMYFUNCTION("REGEXREPLACE(C33534,""-\d+(.*)|--\d+(.*)"","""")"),"OINVILLE-SOUS-AUNEAU")</f>
        <v>OINVILLE-SOUS-AUNEAU</v>
      </c>
      <c r="E33534" s="38" t="s">
        <v>300</v>
      </c>
      <c r="F33534" s="38" t="s">
        <v>123</v>
      </c>
      <c r="G33534" s="49" t="str">
        <f t="shared" si="1"/>
        <v>28700</v>
      </c>
      <c r="H33534" s="49">
        <f t="shared" si="2"/>
        <v>28285</v>
      </c>
    </row>
    <row r="33535">
      <c r="A33535" s="48" t="s">
        <v>1646</v>
      </c>
      <c r="B33535" s="38">
        <v>24220.0</v>
      </c>
      <c r="C33535" s="38" t="s">
        <v>37761</v>
      </c>
      <c r="D33535" s="38" t="str">
        <f>IFERROR(__xludf.DUMMYFUNCTION("REGEXREPLACE(C33535,""-\d+(.*)|--\d+(.*)"","""")"),"LACROPTE")</f>
        <v>LACROPTE</v>
      </c>
      <c r="E33535" s="38" t="s">
        <v>261</v>
      </c>
      <c r="F33535" s="38" t="s">
        <v>252</v>
      </c>
      <c r="G33535" s="49" t="str">
        <f t="shared" si="1"/>
        <v>24380</v>
      </c>
      <c r="H33535" s="49">
        <f t="shared" si="2"/>
        <v>24220</v>
      </c>
    </row>
    <row r="33536">
      <c r="A33536" s="48" t="s">
        <v>3452</v>
      </c>
      <c r="B33536" s="38">
        <v>36003.0</v>
      </c>
      <c r="C33536" s="38" t="s">
        <v>37762</v>
      </c>
      <c r="D33536" s="38" t="str">
        <f>IFERROR(__xludf.DUMMYFUNCTION("REGEXREPLACE(C33536,""-\d+(.*)|--\d+(.*)"","""")"),"AMBRAULT")</f>
        <v>AMBRAULT</v>
      </c>
      <c r="E33536" s="38" t="s">
        <v>258</v>
      </c>
      <c r="F33536" s="38" t="s">
        <v>123</v>
      </c>
      <c r="G33536" s="49" t="str">
        <f t="shared" si="1"/>
        <v>36120</v>
      </c>
      <c r="H33536" s="49">
        <f t="shared" si="2"/>
        <v>36003</v>
      </c>
    </row>
    <row r="33537">
      <c r="A33537" s="48" t="s">
        <v>4036</v>
      </c>
      <c r="B33537" s="38">
        <v>49344.0</v>
      </c>
      <c r="C33537" s="38" t="s">
        <v>37763</v>
      </c>
      <c r="D33537" s="38" t="str">
        <f>IFERROR(__xludf.DUMMYFUNCTION("REGEXREPLACE(C33537,""-\d+(.*)|--\d+(.*)"","""")"),"THORIGNE-D'ANJOU")</f>
        <v>THORIGNE-D'ANJOU</v>
      </c>
      <c r="E33537" s="38" t="s">
        <v>653</v>
      </c>
      <c r="F33537" s="38" t="s">
        <v>180</v>
      </c>
      <c r="G33537" s="49" t="str">
        <f t="shared" si="1"/>
        <v>49220</v>
      </c>
      <c r="H33537" s="49">
        <f t="shared" si="2"/>
        <v>49344</v>
      </c>
    </row>
    <row r="33538">
      <c r="A33538" s="48" t="s">
        <v>5041</v>
      </c>
      <c r="B33538" s="38">
        <v>3260.0</v>
      </c>
      <c r="C33538" s="38" t="s">
        <v>12275</v>
      </c>
      <c r="D33538" s="38" t="str">
        <f>IFERROR(__xludf.DUMMYFUNCTION("REGEXREPLACE(C33538,""-\d+(.*)|--\d+(.*)"","""")"),"SAINT-SORNIN")</f>
        <v>SAINT-SORNIN</v>
      </c>
      <c r="E33538" s="38" t="s">
        <v>160</v>
      </c>
      <c r="F33538" s="38" t="s">
        <v>161</v>
      </c>
      <c r="G33538" s="49" t="str">
        <f t="shared" si="1"/>
        <v>03240</v>
      </c>
      <c r="H33538" s="49" t="str">
        <f t="shared" si="2"/>
        <v>03260</v>
      </c>
    </row>
    <row r="33539">
      <c r="A33539" s="48" t="s">
        <v>8964</v>
      </c>
      <c r="B33539" s="38">
        <v>70256.0</v>
      </c>
      <c r="C33539" s="38" t="s">
        <v>37764</v>
      </c>
      <c r="D33539" s="38" t="str">
        <f>IFERROR(__xludf.DUMMYFUNCTION("REGEXREPLACE(C33539,""-\d+(.*)|--\d+(.*)"","""")"),"FRESSE")</f>
        <v>FRESSE</v>
      </c>
      <c r="E33539" s="38" t="s">
        <v>956</v>
      </c>
      <c r="F33539" s="38" t="s">
        <v>214</v>
      </c>
      <c r="G33539" s="49" t="str">
        <f t="shared" si="1"/>
        <v>70270</v>
      </c>
      <c r="H33539" s="49">
        <f t="shared" si="2"/>
        <v>70256</v>
      </c>
    </row>
    <row r="33540">
      <c r="A33540" s="48" t="s">
        <v>8371</v>
      </c>
      <c r="B33540" s="38">
        <v>57509.0</v>
      </c>
      <c r="C33540" s="38" t="s">
        <v>37765</v>
      </c>
      <c r="D33540" s="38" t="str">
        <f>IFERROR(__xludf.DUMMYFUNCTION("REGEXREPLACE(C33540,""-\d+(.*)|--\d+(.*)"","""")"),"NITTING")</f>
        <v>NITTING</v>
      </c>
      <c r="E33540" s="38" t="s">
        <v>303</v>
      </c>
      <c r="F33540" s="38" t="s">
        <v>195</v>
      </c>
      <c r="G33540" s="49" t="str">
        <f t="shared" si="1"/>
        <v>57790</v>
      </c>
      <c r="H33540" s="49">
        <f t="shared" si="2"/>
        <v>57509</v>
      </c>
    </row>
    <row r="33541">
      <c r="A33541" s="48" t="s">
        <v>2008</v>
      </c>
      <c r="B33541" s="38">
        <v>46180.0</v>
      </c>
      <c r="C33541" s="38" t="s">
        <v>37766</v>
      </c>
      <c r="D33541" s="38" t="str">
        <f>IFERROR(__xludf.DUMMYFUNCTION("REGEXREPLACE(C33541,""-\d+(.*)|--\d+(.*)"","""")"),"LUNAN")</f>
        <v>LUNAN</v>
      </c>
      <c r="E33541" s="38" t="s">
        <v>185</v>
      </c>
      <c r="F33541" s="38" t="s">
        <v>94</v>
      </c>
      <c r="G33541" s="49" t="str">
        <f t="shared" si="1"/>
        <v>46100</v>
      </c>
      <c r="H33541" s="49">
        <f t="shared" si="2"/>
        <v>46180</v>
      </c>
    </row>
    <row r="33542">
      <c r="A33542" s="48" t="s">
        <v>1861</v>
      </c>
      <c r="B33542" s="38">
        <v>46327.0</v>
      </c>
      <c r="C33542" s="38" t="s">
        <v>37767</v>
      </c>
      <c r="D33542" s="38" t="str">
        <f>IFERROR(__xludf.DUMMYFUNCTION("REGEXREPLACE(C33542,""-\d+(.*)|--\d+(.*)"","""")"),"VALROUFIE")</f>
        <v>VALROUFIE</v>
      </c>
      <c r="E33542" s="38" t="s">
        <v>185</v>
      </c>
      <c r="F33542" s="38" t="s">
        <v>94</v>
      </c>
      <c r="G33542" s="49" t="str">
        <f t="shared" si="1"/>
        <v>46090</v>
      </c>
      <c r="H33542" s="49">
        <f t="shared" si="2"/>
        <v>46327</v>
      </c>
    </row>
    <row r="33543">
      <c r="A33543" s="48" t="s">
        <v>1721</v>
      </c>
      <c r="B33543" s="38">
        <v>33106.0</v>
      </c>
      <c r="C33543" s="38" t="s">
        <v>37768</v>
      </c>
      <c r="D33543" s="38" t="str">
        <f>IFERROR(__xludf.DUMMYFUNCTION("REGEXREPLACE(C33543,""-\d+(.*)|--\d+(.*)"","""")"),"CASTETS-EN-DORTHE")</f>
        <v>CASTETS-EN-DORTHE</v>
      </c>
      <c r="E33543" s="38" t="s">
        <v>462</v>
      </c>
      <c r="F33543" s="38" t="s">
        <v>252</v>
      </c>
      <c r="G33543" s="49" t="str">
        <f t="shared" si="1"/>
        <v>33210</v>
      </c>
      <c r="H33543" s="49">
        <f t="shared" si="2"/>
        <v>33106</v>
      </c>
    </row>
    <row r="33544">
      <c r="A33544" s="48" t="s">
        <v>4856</v>
      </c>
      <c r="B33544" s="38">
        <v>21390.0</v>
      </c>
      <c r="C33544" s="38" t="s">
        <v>37769</v>
      </c>
      <c r="D33544" s="38" t="str">
        <f>IFERROR(__xludf.DUMMYFUNCTION("REGEXREPLACE(C33544,""-\d+(.*)|--\d+(.*)"","""")"),"MARSANNAY-LA-COTE")</f>
        <v>MARSANNAY-LA-COTE</v>
      </c>
      <c r="E33544" s="38" t="s">
        <v>105</v>
      </c>
      <c r="F33544" s="38" t="s">
        <v>106</v>
      </c>
      <c r="G33544" s="49" t="str">
        <f t="shared" si="1"/>
        <v>21160</v>
      </c>
      <c r="H33544" s="49">
        <f t="shared" si="2"/>
        <v>21390</v>
      </c>
    </row>
    <row r="33545">
      <c r="A33545" s="48" t="s">
        <v>21810</v>
      </c>
      <c r="B33545" s="38">
        <v>89055.0</v>
      </c>
      <c r="C33545" s="38" t="s">
        <v>37770</v>
      </c>
      <c r="D33545" s="38" t="str">
        <f>IFERROR(__xludf.DUMMYFUNCTION("REGEXREPLACE(C33545,""-\d+(.*)|--\d+(.*)"","""")"),"BRIENON-SUR-ARMANCON")</f>
        <v>BRIENON-SUR-ARMANCON</v>
      </c>
      <c r="E33545" s="38" t="s">
        <v>275</v>
      </c>
      <c r="F33545" s="38" t="s">
        <v>106</v>
      </c>
      <c r="G33545" s="49" t="str">
        <f t="shared" si="1"/>
        <v>89210</v>
      </c>
      <c r="H33545" s="49">
        <f t="shared" si="2"/>
        <v>89055</v>
      </c>
    </row>
    <row r="33546">
      <c r="A33546" s="48" t="s">
        <v>5513</v>
      </c>
      <c r="B33546" s="38">
        <v>57494.0</v>
      </c>
      <c r="C33546" s="38" t="s">
        <v>14334</v>
      </c>
      <c r="D33546" s="38" t="str">
        <f>IFERROR(__xludf.DUMMYFUNCTION("REGEXREPLACE(C33546,""-\d+(.*)|--\d+(.*)"","""")"),"MUNSTER")</f>
        <v>MUNSTER</v>
      </c>
      <c r="E33546" s="38" t="s">
        <v>303</v>
      </c>
      <c r="F33546" s="38" t="s">
        <v>195</v>
      </c>
      <c r="G33546" s="49" t="str">
        <f t="shared" si="1"/>
        <v>57670</v>
      </c>
      <c r="H33546" s="49">
        <f t="shared" si="2"/>
        <v>57494</v>
      </c>
    </row>
    <row r="33547">
      <c r="A33547" s="48" t="s">
        <v>3626</v>
      </c>
      <c r="B33547" s="38">
        <v>57607.0</v>
      </c>
      <c r="C33547" s="38" t="s">
        <v>33792</v>
      </c>
      <c r="D33547" s="38" t="str">
        <f>IFERROR(__xludf.DUMMYFUNCTION("REGEXREPLACE(C33547,""-\d+(.*)|--\d+(.*)"","""")"),"SAINTE-BARBE")</f>
        <v>SAINTE-BARBE</v>
      </c>
      <c r="E33547" s="38" t="s">
        <v>303</v>
      </c>
      <c r="F33547" s="38" t="s">
        <v>195</v>
      </c>
      <c r="G33547" s="49" t="str">
        <f t="shared" si="1"/>
        <v>57640</v>
      </c>
      <c r="H33547" s="49">
        <f t="shared" si="2"/>
        <v>57607</v>
      </c>
    </row>
    <row r="33548">
      <c r="A33548" s="48" t="s">
        <v>177</v>
      </c>
      <c r="B33548" s="38">
        <v>85229.0</v>
      </c>
      <c r="C33548" s="38" t="s">
        <v>37771</v>
      </c>
      <c r="D33548" s="38" t="str">
        <f>IFERROR(__xludf.DUMMYFUNCTION("REGEXREPLACE(C33548,""-\d+(.*)|--\d+(.*)"","""")"),"SAINT-HILAIRE-DE-VOUST")</f>
        <v>SAINT-HILAIRE-DE-VOUST</v>
      </c>
      <c r="E33548" s="38" t="s">
        <v>179</v>
      </c>
      <c r="F33548" s="38" t="s">
        <v>180</v>
      </c>
      <c r="G33548" s="49" t="str">
        <f t="shared" si="1"/>
        <v>85120</v>
      </c>
      <c r="H33548" s="49">
        <f t="shared" si="2"/>
        <v>85229</v>
      </c>
    </row>
    <row r="33549">
      <c r="A33549" s="48" t="s">
        <v>83</v>
      </c>
      <c r="B33549" s="38">
        <v>59634.0</v>
      </c>
      <c r="C33549" s="38" t="s">
        <v>37772</v>
      </c>
      <c r="D33549" s="38" t="str">
        <f>IFERROR(__xludf.DUMMYFUNCTION("REGEXREPLACE(C33549,""-\d+(.*)|--\d+(.*)"","""")"),"WALLON-CAPPEL")</f>
        <v>WALLON-CAPPEL</v>
      </c>
      <c r="E33549" s="38" t="s">
        <v>85</v>
      </c>
      <c r="F33549" s="38" t="s">
        <v>86</v>
      </c>
      <c r="G33549" s="49" t="str">
        <f t="shared" si="1"/>
        <v>59190</v>
      </c>
      <c r="H33549" s="49">
        <f t="shared" si="2"/>
        <v>59634</v>
      </c>
    </row>
    <row r="33550">
      <c r="A33550" s="48" t="s">
        <v>2075</v>
      </c>
      <c r="B33550" s="38">
        <v>46319.0</v>
      </c>
      <c r="C33550" s="38" t="s">
        <v>37773</v>
      </c>
      <c r="D33550" s="38" t="str">
        <f>IFERROR(__xludf.DUMMYFUNCTION("REGEXREPLACE(C33550,""-\d+(.*)|--\d+(.*)"","""")"),"THEMINETTES")</f>
        <v>THEMINETTES</v>
      </c>
      <c r="E33550" s="38" t="s">
        <v>185</v>
      </c>
      <c r="F33550" s="38" t="s">
        <v>94</v>
      </c>
      <c r="G33550" s="49" t="str">
        <f t="shared" si="1"/>
        <v>46120</v>
      </c>
      <c r="H33550" s="49">
        <f t="shared" si="2"/>
        <v>46319</v>
      </c>
    </row>
    <row r="33551">
      <c r="A33551" s="48" t="s">
        <v>2310</v>
      </c>
      <c r="B33551" s="38">
        <v>60145.0</v>
      </c>
      <c r="C33551" s="38" t="s">
        <v>2597</v>
      </c>
      <c r="D33551" s="38" t="str">
        <f>IFERROR(__xludf.DUMMYFUNCTION("REGEXREPLACE(C33551,""-\d+(.*)|--\d+(.*)"","""")"),"CHELLES")</f>
        <v>CHELLES</v>
      </c>
      <c r="E33551" s="38" t="s">
        <v>112</v>
      </c>
      <c r="F33551" s="38" t="s">
        <v>113</v>
      </c>
      <c r="G33551" s="49" t="str">
        <f t="shared" si="1"/>
        <v>60350</v>
      </c>
      <c r="H33551" s="49">
        <f t="shared" si="2"/>
        <v>60145</v>
      </c>
    </row>
    <row r="33552">
      <c r="A33552" s="48" t="s">
        <v>15038</v>
      </c>
      <c r="B33552" s="38">
        <v>22122.0</v>
      </c>
      <c r="C33552" s="38" t="s">
        <v>37774</v>
      </c>
      <c r="D33552" s="38" t="str">
        <f>IFERROR(__xludf.DUMMYFUNCTION("REGEXREPLACE(C33552,""-\d+(.*)|--\d+(.*)"","""")"),"LAURENAN")</f>
        <v>LAURENAN</v>
      </c>
      <c r="E33552" s="38" t="s">
        <v>89</v>
      </c>
      <c r="F33552" s="38" t="s">
        <v>90</v>
      </c>
      <c r="G33552" s="49" t="str">
        <f t="shared" si="1"/>
        <v>22230</v>
      </c>
      <c r="H33552" s="49">
        <f t="shared" si="2"/>
        <v>22122</v>
      </c>
    </row>
    <row r="33553">
      <c r="A33553" s="48" t="s">
        <v>3955</v>
      </c>
      <c r="B33553" s="38">
        <v>62370.0</v>
      </c>
      <c r="C33553" s="38" t="s">
        <v>37775</v>
      </c>
      <c r="D33553" s="38" t="str">
        <f>IFERROR(__xludf.DUMMYFUNCTION("REGEXREPLACE(C33553,""-\d+(.*)|--\d+(.*)"","""")"),"GENNES-IVERGNY")</f>
        <v>GENNES-IVERGNY</v>
      </c>
      <c r="E33553" s="38" t="s">
        <v>109</v>
      </c>
      <c r="F33553" s="38" t="s">
        <v>86</v>
      </c>
      <c r="G33553" s="49" t="str">
        <f t="shared" si="1"/>
        <v>62390</v>
      </c>
      <c r="H33553" s="49">
        <f t="shared" si="2"/>
        <v>62370</v>
      </c>
    </row>
    <row r="33554">
      <c r="A33554" s="48" t="s">
        <v>2330</v>
      </c>
      <c r="B33554" s="38">
        <v>65036.0</v>
      </c>
      <c r="C33554" s="38" t="s">
        <v>37776</v>
      </c>
      <c r="D33554" s="38" t="str">
        <f>IFERROR(__xludf.DUMMYFUNCTION("REGEXREPLACE(C33554,""-\d+(.*)|--\d+(.*)"","""")"),"ARTALENS-SOUIN")</f>
        <v>ARTALENS-SOUIN</v>
      </c>
      <c r="E33554" s="38" t="s">
        <v>200</v>
      </c>
      <c r="F33554" s="38" t="s">
        <v>94</v>
      </c>
      <c r="G33554" s="49" t="str">
        <f t="shared" si="1"/>
        <v>65400</v>
      </c>
      <c r="H33554" s="49">
        <f t="shared" si="2"/>
        <v>65036</v>
      </c>
    </row>
    <row r="33555">
      <c r="A33555" s="48" t="s">
        <v>4624</v>
      </c>
      <c r="B33555" s="38">
        <v>74082.0</v>
      </c>
      <c r="C33555" s="38" t="s">
        <v>37777</v>
      </c>
      <c r="D33555" s="38" t="str">
        <f>IFERROR(__xludf.DUMMYFUNCTION("REGEXREPLACE(C33555,""-\d+(.*)|--\d+(.*)"","""")"),"COLLONGES-SOUS-SALEVE")</f>
        <v>COLLONGES-SOUS-SALEVE</v>
      </c>
      <c r="E33555" s="38" t="s">
        <v>319</v>
      </c>
      <c r="F33555" s="38" t="s">
        <v>102</v>
      </c>
      <c r="G33555" s="49" t="str">
        <f t="shared" si="1"/>
        <v>74160</v>
      </c>
      <c r="H33555" s="49">
        <f t="shared" si="2"/>
        <v>74082</v>
      </c>
    </row>
    <row r="33556">
      <c r="A33556" s="48" t="s">
        <v>20175</v>
      </c>
      <c r="B33556" s="38">
        <v>33451.0</v>
      </c>
      <c r="C33556" s="38" t="s">
        <v>37778</v>
      </c>
      <c r="D33556" s="38" t="str">
        <f>IFERROR(__xludf.DUMMYFUNCTION("REGEXREPLACE(C33556,""-\d+(.*)|--\d+(.*)"","""")"),"SAINT-MICHEL-DE-FRONSAC")</f>
        <v>SAINT-MICHEL-DE-FRONSAC</v>
      </c>
      <c r="E33556" s="38" t="s">
        <v>462</v>
      </c>
      <c r="F33556" s="38" t="s">
        <v>252</v>
      </c>
      <c r="G33556" s="49" t="str">
        <f t="shared" si="1"/>
        <v>33126</v>
      </c>
      <c r="H33556" s="49">
        <f t="shared" si="2"/>
        <v>33451</v>
      </c>
    </row>
    <row r="33557">
      <c r="A33557" s="48" t="s">
        <v>3107</v>
      </c>
      <c r="B33557" s="38">
        <v>45165.0</v>
      </c>
      <c r="C33557" s="38" t="s">
        <v>37779</v>
      </c>
      <c r="D33557" s="38" t="str">
        <f>IFERROR(__xludf.DUMMYFUNCTION("REGEXREPLACE(C33557,""-\d+(.*)|--\d+(.*)"","""")"),"GY-LES-NONAINS")</f>
        <v>GY-LES-NONAINS</v>
      </c>
      <c r="E33557" s="38" t="s">
        <v>122</v>
      </c>
      <c r="F33557" s="38" t="s">
        <v>123</v>
      </c>
      <c r="G33557" s="49" t="str">
        <f t="shared" si="1"/>
        <v>45220</v>
      </c>
      <c r="H33557" s="49">
        <f t="shared" si="2"/>
        <v>45165</v>
      </c>
    </row>
    <row r="33558">
      <c r="A33558" s="48" t="s">
        <v>9133</v>
      </c>
      <c r="B33558" s="38">
        <v>34235.0</v>
      </c>
      <c r="C33558" s="38" t="s">
        <v>37780</v>
      </c>
      <c r="D33558" s="38" t="str">
        <f>IFERROR(__xludf.DUMMYFUNCTION("REGEXREPLACE(C33558,""-\d+(.*)|--\d+(.*)"","""")"),"ROSIS")</f>
        <v>ROSIS</v>
      </c>
      <c r="E33558" s="38" t="s">
        <v>118</v>
      </c>
      <c r="F33558" s="38" t="s">
        <v>119</v>
      </c>
      <c r="G33558" s="49" t="str">
        <f t="shared" si="1"/>
        <v>34610</v>
      </c>
      <c r="H33558" s="49">
        <f t="shared" si="2"/>
        <v>34235</v>
      </c>
    </row>
    <row r="33559">
      <c r="A33559" s="48" t="s">
        <v>2742</v>
      </c>
      <c r="B33559" s="38">
        <v>57304.0</v>
      </c>
      <c r="C33559" s="38" t="s">
        <v>37781</v>
      </c>
      <c r="D33559" s="38" t="str">
        <f>IFERROR(__xludf.DUMMYFUNCTION("REGEXREPLACE(C33559,""-\d+(.*)|--\d+(.*)"","""")"),"HAUT-CLOCHER")</f>
        <v>HAUT-CLOCHER</v>
      </c>
      <c r="E33559" s="38" t="s">
        <v>303</v>
      </c>
      <c r="F33559" s="38" t="s">
        <v>195</v>
      </c>
      <c r="G33559" s="49" t="str">
        <f t="shared" si="1"/>
        <v>57400</v>
      </c>
      <c r="H33559" s="49">
        <f t="shared" si="2"/>
        <v>57304</v>
      </c>
    </row>
    <row r="33560">
      <c r="A33560" s="48" t="s">
        <v>2993</v>
      </c>
      <c r="B33560" s="38">
        <v>66084.0</v>
      </c>
      <c r="C33560" s="38" t="s">
        <v>4102</v>
      </c>
      <c r="D33560" s="38" t="str">
        <f>IFERROR(__xludf.DUMMYFUNCTION("REGEXREPLACE(C33560,""-\d+(.*)|--\d+(.*)"","""")"),"FOURQUES")</f>
        <v>FOURQUES</v>
      </c>
      <c r="E33560" s="38" t="s">
        <v>248</v>
      </c>
      <c r="F33560" s="38" t="s">
        <v>119</v>
      </c>
      <c r="G33560" s="49" t="str">
        <f t="shared" si="1"/>
        <v>66300</v>
      </c>
      <c r="H33560" s="49">
        <f t="shared" si="2"/>
        <v>66084</v>
      </c>
    </row>
    <row r="33561">
      <c r="A33561" s="48" t="s">
        <v>22665</v>
      </c>
      <c r="B33561" s="38">
        <v>13069.0</v>
      </c>
      <c r="C33561" s="38" t="s">
        <v>37782</v>
      </c>
      <c r="D33561" s="38" t="str">
        <f>IFERROR(__xludf.DUMMYFUNCTION("REGEXREPLACE(C33561,""-\d+(.*)|--\d+(.*)"","""")"),"PELISSANNE")</f>
        <v>PELISSANNE</v>
      </c>
      <c r="E33561" s="38" t="s">
        <v>980</v>
      </c>
      <c r="F33561" s="38" t="s">
        <v>228</v>
      </c>
      <c r="G33561" s="49" t="str">
        <f t="shared" si="1"/>
        <v>13330</v>
      </c>
      <c r="H33561" s="49">
        <f t="shared" si="2"/>
        <v>13069</v>
      </c>
    </row>
    <row r="33562">
      <c r="A33562" s="48" t="s">
        <v>4323</v>
      </c>
      <c r="B33562" s="38">
        <v>30143.0</v>
      </c>
      <c r="C33562" s="38" t="s">
        <v>37783</v>
      </c>
      <c r="D33562" s="38" t="str">
        <f>IFERROR(__xludf.DUMMYFUNCTION("REGEXREPLACE(C33562,""-\d+(.*)|--\d+(.*)"","""")"),"LAVAL-SAINT-ROMAN")</f>
        <v>LAVAL-SAINT-ROMAN</v>
      </c>
      <c r="E33562" s="38" t="s">
        <v>526</v>
      </c>
      <c r="F33562" s="38" t="s">
        <v>119</v>
      </c>
      <c r="G33562" s="49" t="str">
        <f t="shared" si="1"/>
        <v>30760</v>
      </c>
      <c r="H33562" s="49">
        <f t="shared" si="2"/>
        <v>30143</v>
      </c>
    </row>
    <row r="33563">
      <c r="A33563" s="48" t="s">
        <v>2332</v>
      </c>
      <c r="B33563" s="38">
        <v>81104.0</v>
      </c>
      <c r="C33563" s="38" t="s">
        <v>37784</v>
      </c>
      <c r="D33563" s="38" t="str">
        <f>IFERROR(__xludf.DUMMYFUNCTION("REGEXREPLACE(C33563,""-\d+(.*)|--\d+(.*)"","""")"),"GIROUSSENS")</f>
        <v>GIROUSSENS</v>
      </c>
      <c r="E33563" s="38" t="s">
        <v>231</v>
      </c>
      <c r="F33563" s="38" t="s">
        <v>94</v>
      </c>
      <c r="G33563" s="49" t="str">
        <f t="shared" si="1"/>
        <v>81500</v>
      </c>
      <c r="H33563" s="49">
        <f t="shared" si="2"/>
        <v>81104</v>
      </c>
    </row>
    <row r="33564">
      <c r="A33564" s="48" t="s">
        <v>2685</v>
      </c>
      <c r="B33564" s="38" t="s">
        <v>37785</v>
      </c>
      <c r="C33564" s="38" t="s">
        <v>37786</v>
      </c>
      <c r="D33564" s="38" t="str">
        <f>IFERROR(__xludf.DUMMYFUNCTION("REGEXREPLACE(C33564,""-\d+(.*)|--\d+(.*)"","""")"),"COGGIA")</f>
        <v>COGGIA</v>
      </c>
      <c r="E33564" s="38" t="s">
        <v>606</v>
      </c>
      <c r="F33564" s="38" t="s">
        <v>607</v>
      </c>
      <c r="G33564" s="49" t="str">
        <f t="shared" si="1"/>
        <v>20160</v>
      </c>
      <c r="H33564" s="49" t="str">
        <f t="shared" si="2"/>
        <v>2A090</v>
      </c>
    </row>
    <row r="33565">
      <c r="A33565" s="48" t="s">
        <v>7368</v>
      </c>
      <c r="B33565" s="38">
        <v>37225.0</v>
      </c>
      <c r="C33565" s="38" t="s">
        <v>37787</v>
      </c>
      <c r="D33565" s="38" t="str">
        <f>IFERROR(__xludf.DUMMYFUNCTION("REGEXREPLACE(C33565,""-\d+(.*)|--\d+(.*)"","""")"),"SAINT-MARTIN-LE-BEAU")</f>
        <v>SAINT-MARTIN-LE-BEAU</v>
      </c>
      <c r="E33565" s="38" t="s">
        <v>205</v>
      </c>
      <c r="F33565" s="38" t="s">
        <v>123</v>
      </c>
      <c r="G33565" s="49" t="str">
        <f t="shared" si="1"/>
        <v>37270</v>
      </c>
      <c r="H33565" s="49">
        <f t="shared" si="2"/>
        <v>37225</v>
      </c>
    </row>
    <row r="33566">
      <c r="A33566" s="48" t="s">
        <v>2592</v>
      </c>
      <c r="B33566" s="38">
        <v>34029.0</v>
      </c>
      <c r="C33566" s="38" t="s">
        <v>37788</v>
      </c>
      <c r="D33566" s="38" t="str">
        <f>IFERROR(__xludf.DUMMYFUNCTION("REGEXREPLACE(C33566,""-\d+(.*)|--\d+(.*)"","""")"),"BELARGA")</f>
        <v>BELARGA</v>
      </c>
      <c r="E33566" s="38" t="s">
        <v>118</v>
      </c>
      <c r="F33566" s="38" t="s">
        <v>119</v>
      </c>
      <c r="G33566" s="49" t="str">
        <f t="shared" si="1"/>
        <v>34230</v>
      </c>
      <c r="H33566" s="49">
        <f t="shared" si="2"/>
        <v>34029</v>
      </c>
    </row>
    <row r="33567">
      <c r="A33567" s="48" t="s">
        <v>3165</v>
      </c>
      <c r="B33567" s="38">
        <v>11433.0</v>
      </c>
      <c r="C33567" s="38" t="s">
        <v>37789</v>
      </c>
      <c r="D33567" s="38" t="str">
        <f>IFERROR(__xludf.DUMMYFUNCTION("REGEXREPLACE(C33567,""-\d+(.*)|--\d+(.*)"","""")"),"VILLENEUVE-MINERVOIS")</f>
        <v>VILLENEUVE-MINERVOIS</v>
      </c>
      <c r="E33567" s="38" t="s">
        <v>278</v>
      </c>
      <c r="F33567" s="38" t="s">
        <v>119</v>
      </c>
      <c r="G33567" s="49" t="str">
        <f t="shared" si="1"/>
        <v>11160</v>
      </c>
      <c r="H33567" s="49">
        <f t="shared" si="2"/>
        <v>11433</v>
      </c>
    </row>
    <row r="33568">
      <c r="A33568" s="48" t="s">
        <v>2312</v>
      </c>
      <c r="B33568" s="38">
        <v>67333.0</v>
      </c>
      <c r="C33568" s="38" t="s">
        <v>37790</v>
      </c>
      <c r="D33568" s="38" t="str">
        <f>IFERROR(__xludf.DUMMYFUNCTION("REGEXREPLACE(C33568,""-\d+(.*)|--\d+(.*)"","""")"),"NIEDERSOULTZBACH")</f>
        <v>NIEDERSOULTZBACH</v>
      </c>
      <c r="E33568" s="38" t="s">
        <v>210</v>
      </c>
      <c r="F33568" s="38" t="s">
        <v>151</v>
      </c>
      <c r="G33568" s="49" t="str">
        <f t="shared" si="1"/>
        <v>67330</v>
      </c>
      <c r="H33568" s="49">
        <f t="shared" si="2"/>
        <v>67333</v>
      </c>
    </row>
    <row r="33569">
      <c r="A33569" s="48" t="s">
        <v>3702</v>
      </c>
      <c r="B33569" s="38">
        <v>77081.0</v>
      </c>
      <c r="C33569" s="38" t="s">
        <v>37791</v>
      </c>
      <c r="D33569" s="38" t="str">
        <f>IFERROR(__xludf.DUMMYFUNCTION("REGEXREPLACE(C33569,""-\d+(.*)|--\d+(.*)"","""")"),"CHAMPDEUIL")</f>
        <v>CHAMPDEUIL</v>
      </c>
      <c r="E33569" s="38" t="s">
        <v>244</v>
      </c>
      <c r="F33569" s="38" t="s">
        <v>245</v>
      </c>
      <c r="G33569" s="49" t="str">
        <f t="shared" si="1"/>
        <v>77390</v>
      </c>
      <c r="H33569" s="49">
        <f t="shared" si="2"/>
        <v>77081</v>
      </c>
    </row>
    <row r="33570">
      <c r="A33570" s="48" t="s">
        <v>2681</v>
      </c>
      <c r="B33570" s="38">
        <v>67408.0</v>
      </c>
      <c r="C33570" s="38" t="s">
        <v>37792</v>
      </c>
      <c r="D33570" s="38" t="str">
        <f>IFERROR(__xludf.DUMMYFUNCTION("REGEXREPLACE(C33570,""-\d+(.*)|--\d+(.*)"","""")"),"ROMANSWILLER")</f>
        <v>ROMANSWILLER</v>
      </c>
      <c r="E33570" s="38" t="s">
        <v>210</v>
      </c>
      <c r="F33570" s="38" t="s">
        <v>151</v>
      </c>
      <c r="G33570" s="49" t="str">
        <f t="shared" si="1"/>
        <v>67310</v>
      </c>
      <c r="H33570" s="49">
        <f t="shared" si="2"/>
        <v>67408</v>
      </c>
    </row>
    <row r="33571">
      <c r="A33571" s="48" t="s">
        <v>37793</v>
      </c>
      <c r="B33571" s="38">
        <v>68315.0</v>
      </c>
      <c r="C33571" s="38" t="s">
        <v>37794</v>
      </c>
      <c r="D33571" s="38" t="str">
        <f>IFERROR(__xludf.DUMMYFUNCTION("REGEXREPLACE(C33571,""-\d+(.*)|--\d+(.*)"","""")"),"SOULTZ-HAUT-RHIN")</f>
        <v>SOULTZ-HAUT-RHIN</v>
      </c>
      <c r="E33571" s="38" t="s">
        <v>150</v>
      </c>
      <c r="F33571" s="38" t="s">
        <v>151</v>
      </c>
      <c r="G33571" s="49" t="str">
        <f t="shared" si="1"/>
        <v>68360</v>
      </c>
      <c r="H33571" s="49">
        <f t="shared" si="2"/>
        <v>68315</v>
      </c>
    </row>
    <row r="33572">
      <c r="A33572" s="48" t="s">
        <v>5142</v>
      </c>
      <c r="B33572" s="38">
        <v>58055.0</v>
      </c>
      <c r="C33572" s="38" t="s">
        <v>37795</v>
      </c>
      <c r="D33572" s="38" t="str">
        <f>IFERROR(__xludf.DUMMYFUNCTION("REGEXREPLACE(C33572,""-\d+(.*)|--\d+(.*)"","""")"),"CHAMPVERT")</f>
        <v>CHAMPVERT</v>
      </c>
      <c r="E33572" s="38" t="s">
        <v>219</v>
      </c>
      <c r="F33572" s="38" t="s">
        <v>106</v>
      </c>
      <c r="G33572" s="49" t="str">
        <f t="shared" si="1"/>
        <v>58300</v>
      </c>
      <c r="H33572" s="49">
        <f t="shared" si="2"/>
        <v>58055</v>
      </c>
    </row>
    <row r="33573">
      <c r="A33573" s="48" t="s">
        <v>9376</v>
      </c>
      <c r="B33573" s="38">
        <v>14740.0</v>
      </c>
      <c r="C33573" s="38" t="s">
        <v>37796</v>
      </c>
      <c r="D33573" s="38" t="str">
        <f>IFERROR(__xludf.DUMMYFUNCTION("REGEXREPLACE(C33573,""-\d+(.*)|--\d+(.*)"","""")"),"LA VESPIERE")</f>
        <v>LA VESPIERE</v>
      </c>
      <c r="E33573" s="38" t="s">
        <v>137</v>
      </c>
      <c r="F33573" s="38" t="s">
        <v>138</v>
      </c>
      <c r="G33573" s="49" t="str">
        <f t="shared" si="1"/>
        <v>14290</v>
      </c>
      <c r="H33573" s="49">
        <f t="shared" si="2"/>
        <v>14740</v>
      </c>
    </row>
    <row r="33574">
      <c r="A33574" s="48" t="s">
        <v>3904</v>
      </c>
      <c r="B33574" s="38">
        <v>43124.0</v>
      </c>
      <c r="C33574" s="38" t="s">
        <v>37797</v>
      </c>
      <c r="D33574" s="38" t="str">
        <f>IFERROR(__xludf.DUMMYFUNCTION("REGEXREPLACE(C33574,""-\d+(.*)|--\d+(.*)"","""")"),"LOUDES")</f>
        <v>LOUDES</v>
      </c>
      <c r="E33574" s="38" t="s">
        <v>332</v>
      </c>
      <c r="F33574" s="38" t="s">
        <v>161</v>
      </c>
      <c r="G33574" s="49" t="str">
        <f t="shared" si="1"/>
        <v>43320</v>
      </c>
      <c r="H33574" s="49">
        <f t="shared" si="2"/>
        <v>43124</v>
      </c>
    </row>
    <row r="33575">
      <c r="A33575" s="48" t="s">
        <v>14600</v>
      </c>
      <c r="B33575" s="38">
        <v>12164.0</v>
      </c>
      <c r="C33575" s="38" t="s">
        <v>37798</v>
      </c>
      <c r="D33575" s="38" t="str">
        <f>IFERROR(__xludf.DUMMYFUNCTION("REGEXREPLACE(C33575,""-\d+(.*)|--\d+(.*)"","""")"),"MUR-DE-BARREZ")</f>
        <v>MUR-DE-BARREZ</v>
      </c>
      <c r="E33575" s="38" t="s">
        <v>465</v>
      </c>
      <c r="F33575" s="38" t="s">
        <v>94</v>
      </c>
      <c r="G33575" s="49" t="str">
        <f t="shared" si="1"/>
        <v>12600</v>
      </c>
      <c r="H33575" s="49">
        <f t="shared" si="2"/>
        <v>12164</v>
      </c>
    </row>
    <row r="33576">
      <c r="A33576" s="48" t="s">
        <v>2949</v>
      </c>
      <c r="B33576" s="38">
        <v>27596.0</v>
      </c>
      <c r="C33576" s="38" t="s">
        <v>37799</v>
      </c>
      <c r="D33576" s="38" t="str">
        <f>IFERROR(__xludf.DUMMYFUNCTION("REGEXREPLACE(C33576,""-\d+(.*)|--\d+(.*)"","""")"),"SAINT-PIERRE-DU-MESNIL")</f>
        <v>SAINT-PIERRE-DU-MESNIL</v>
      </c>
      <c r="E33576" s="38" t="s">
        <v>241</v>
      </c>
      <c r="F33576" s="38" t="s">
        <v>134</v>
      </c>
      <c r="G33576" s="49" t="str">
        <f t="shared" si="1"/>
        <v>27330</v>
      </c>
      <c r="H33576" s="49">
        <f t="shared" si="2"/>
        <v>27596</v>
      </c>
    </row>
    <row r="33577">
      <c r="A33577" s="48" t="s">
        <v>3986</v>
      </c>
      <c r="B33577" s="38">
        <v>62574.0</v>
      </c>
      <c r="C33577" s="38" t="s">
        <v>37800</v>
      </c>
      <c r="D33577" s="38" t="str">
        <f>IFERROR(__xludf.DUMMYFUNCTION("REGEXREPLACE(C33577,""-\d+(.*)|--\d+(.*)"","""")"),"MINGOVAL")</f>
        <v>MINGOVAL</v>
      </c>
      <c r="E33577" s="38" t="s">
        <v>109</v>
      </c>
      <c r="F33577" s="38" t="s">
        <v>86</v>
      </c>
      <c r="G33577" s="49" t="str">
        <f t="shared" si="1"/>
        <v>62690</v>
      </c>
      <c r="H33577" s="49">
        <f t="shared" si="2"/>
        <v>62574</v>
      </c>
    </row>
    <row r="33578">
      <c r="A33578" s="48" t="s">
        <v>8336</v>
      </c>
      <c r="B33578" s="38">
        <v>85132.0</v>
      </c>
      <c r="C33578" s="38" t="s">
        <v>7407</v>
      </c>
      <c r="D33578" s="38" t="str">
        <f>IFERROR(__xludf.DUMMYFUNCTION("REGEXREPLACE(C33578,""-\d+(.*)|--\d+(.*)"","""")"),"MAILLE")</f>
        <v>MAILLE</v>
      </c>
      <c r="E33578" s="38" t="s">
        <v>179</v>
      </c>
      <c r="F33578" s="38" t="s">
        <v>180</v>
      </c>
      <c r="G33578" s="49" t="str">
        <f t="shared" si="1"/>
        <v>85420</v>
      </c>
      <c r="H33578" s="49">
        <f t="shared" si="2"/>
        <v>85132</v>
      </c>
    </row>
    <row r="33579">
      <c r="A33579" s="48" t="s">
        <v>4447</v>
      </c>
      <c r="B33579" s="38">
        <v>39202.0</v>
      </c>
      <c r="C33579" s="38" t="s">
        <v>37801</v>
      </c>
      <c r="D33579" s="38" t="str">
        <f>IFERROR(__xludf.DUMMYFUNCTION("REGEXREPLACE(C33579,""-\d+(.*)|--\d+(.*)"","""")"),"DOURNON")</f>
        <v>DOURNON</v>
      </c>
      <c r="E33579" s="38" t="s">
        <v>400</v>
      </c>
      <c r="F33579" s="38" t="s">
        <v>214</v>
      </c>
      <c r="G33579" s="49" t="str">
        <f t="shared" si="1"/>
        <v>39110</v>
      </c>
      <c r="H33579" s="49">
        <f t="shared" si="2"/>
        <v>39202</v>
      </c>
    </row>
    <row r="33580">
      <c r="A33580" s="48" t="s">
        <v>91</v>
      </c>
      <c r="B33580" s="38">
        <v>31326.0</v>
      </c>
      <c r="C33580" s="38" t="s">
        <v>37802</v>
      </c>
      <c r="D33580" s="38" t="str">
        <f>IFERROR(__xludf.DUMMYFUNCTION("REGEXREPLACE(C33580,""-\d+(.*)|--\d+(.*)"","""")"),"MASSABRAC")</f>
        <v>MASSABRAC</v>
      </c>
      <c r="E33580" s="38" t="s">
        <v>93</v>
      </c>
      <c r="F33580" s="38" t="s">
        <v>94</v>
      </c>
      <c r="G33580" s="49" t="str">
        <f t="shared" si="1"/>
        <v>31310</v>
      </c>
      <c r="H33580" s="49">
        <f t="shared" si="2"/>
        <v>31326</v>
      </c>
    </row>
    <row r="33581">
      <c r="A33581" s="48" t="s">
        <v>152</v>
      </c>
      <c r="B33581" s="38">
        <v>48009.0</v>
      </c>
      <c r="C33581" s="38" t="s">
        <v>37803</v>
      </c>
      <c r="D33581" s="38" t="str">
        <f>IFERROR(__xludf.DUMMYFUNCTION("REGEXREPLACE(C33581,""-\d+(.*)|--\d+(.*)"","""")"),"AUMONT-AUBRAC")</f>
        <v>AUMONT-AUBRAC</v>
      </c>
      <c r="E33581" s="38" t="s">
        <v>154</v>
      </c>
      <c r="F33581" s="38" t="s">
        <v>119</v>
      </c>
      <c r="G33581" s="49" t="str">
        <f t="shared" si="1"/>
        <v>48130</v>
      </c>
      <c r="H33581" s="49">
        <f t="shared" si="2"/>
        <v>48009</v>
      </c>
    </row>
    <row r="33582">
      <c r="A33582" s="48" t="s">
        <v>14239</v>
      </c>
      <c r="B33582" s="38">
        <v>42073.0</v>
      </c>
      <c r="C33582" s="38" t="s">
        <v>37804</v>
      </c>
      <c r="D33582" s="38" t="str">
        <f>IFERROR(__xludf.DUMMYFUNCTION("REGEXREPLACE(C33582,""-\d+(.*)|--\d+(.*)"","""")"),"COTTANCE")</f>
        <v>COTTANCE</v>
      </c>
      <c r="E33582" s="38" t="s">
        <v>166</v>
      </c>
      <c r="F33582" s="38" t="s">
        <v>102</v>
      </c>
      <c r="G33582" s="49" t="str">
        <f t="shared" si="1"/>
        <v>42360</v>
      </c>
      <c r="H33582" s="49">
        <f t="shared" si="2"/>
        <v>42073</v>
      </c>
    </row>
    <row r="33583">
      <c r="A33583" s="48" t="s">
        <v>423</v>
      </c>
      <c r="B33583" s="38">
        <v>2438.0</v>
      </c>
      <c r="C33583" s="38" t="s">
        <v>37805</v>
      </c>
      <c r="D33583" s="38" t="str">
        <f>IFERROR(__xludf.DUMMYFUNCTION("REGEXREPLACE(C33583,""-\d+(.*)|--\d+(.*)"","""")"),"LONGPONT")</f>
        <v>LONGPONT</v>
      </c>
      <c r="E33583" s="38" t="s">
        <v>191</v>
      </c>
      <c r="F33583" s="38" t="s">
        <v>113</v>
      </c>
      <c r="G33583" s="49" t="str">
        <f t="shared" si="1"/>
        <v>02600</v>
      </c>
      <c r="H33583" s="49" t="str">
        <f t="shared" si="2"/>
        <v>02438</v>
      </c>
    </row>
    <row r="33584">
      <c r="A33584" s="48" t="s">
        <v>37806</v>
      </c>
      <c r="B33584" s="38">
        <v>59636.0</v>
      </c>
      <c r="C33584" s="38" t="s">
        <v>37807</v>
      </c>
      <c r="D33584" s="38" t="str">
        <f>IFERROR(__xludf.DUMMYFUNCTION("REGEXREPLACE(C33584,""-\d+(.*)|--\d+(.*)"","""")"),"WAMBRECHIES")</f>
        <v>WAMBRECHIES</v>
      </c>
      <c r="E33584" s="38" t="s">
        <v>85</v>
      </c>
      <c r="F33584" s="38" t="s">
        <v>86</v>
      </c>
      <c r="G33584" s="49" t="str">
        <f t="shared" si="1"/>
        <v>59118</v>
      </c>
      <c r="H33584" s="49">
        <f t="shared" si="2"/>
        <v>59636</v>
      </c>
    </row>
    <row r="33585">
      <c r="A33585" s="48" t="s">
        <v>7317</v>
      </c>
      <c r="B33585" s="38">
        <v>91662.0</v>
      </c>
      <c r="C33585" s="38" t="s">
        <v>37808</v>
      </c>
      <c r="D33585" s="38" t="str">
        <f>IFERROR(__xludf.DUMMYFUNCTION("REGEXREPLACE(C33585,""-\d+(.*)|--\d+(.*)"","""")"),"VILLECONIN")</f>
        <v>VILLECONIN</v>
      </c>
      <c r="E33585" s="38" t="s">
        <v>756</v>
      </c>
      <c r="F33585" s="38" t="s">
        <v>245</v>
      </c>
      <c r="G33585" s="49" t="str">
        <f t="shared" si="1"/>
        <v>91580</v>
      </c>
      <c r="H33585" s="49">
        <f t="shared" si="2"/>
        <v>91662</v>
      </c>
    </row>
    <row r="33586">
      <c r="A33586" s="48" t="s">
        <v>10617</v>
      </c>
      <c r="B33586" s="38">
        <v>29001.0</v>
      </c>
      <c r="C33586" s="38" t="s">
        <v>37809</v>
      </c>
      <c r="D33586" s="38" t="str">
        <f>IFERROR(__xludf.DUMMYFUNCTION("REGEXREPLACE(C33586,""-\d+(.*)|--\d+(.*)"","""")"),"ARGOL")</f>
        <v>ARGOL</v>
      </c>
      <c r="E33586" s="38" t="s">
        <v>176</v>
      </c>
      <c r="F33586" s="38" t="s">
        <v>90</v>
      </c>
      <c r="G33586" s="49" t="str">
        <f t="shared" si="1"/>
        <v>29560</v>
      </c>
      <c r="H33586" s="49">
        <f t="shared" si="2"/>
        <v>29001</v>
      </c>
    </row>
    <row r="33587">
      <c r="A33587" s="48" t="s">
        <v>37810</v>
      </c>
      <c r="B33587" s="38">
        <v>59527.0</v>
      </c>
      <c r="C33587" s="38" t="s">
        <v>37811</v>
      </c>
      <c r="D33587" s="38" t="str">
        <f>IFERROR(__xludf.DUMMYFUNCTION("REGEXREPLACE(C33587,""-\d+(.*)|--\d+(.*)"","""")"),"SAINT-ANDRE-LEZ-LILLE")</f>
        <v>SAINT-ANDRE-LEZ-LILLE</v>
      </c>
      <c r="E33587" s="38" t="s">
        <v>85</v>
      </c>
      <c r="F33587" s="38" t="s">
        <v>86</v>
      </c>
      <c r="G33587" s="49" t="str">
        <f t="shared" si="1"/>
        <v>59350</v>
      </c>
      <c r="H33587" s="49">
        <f t="shared" si="2"/>
        <v>59527</v>
      </c>
    </row>
    <row r="33588">
      <c r="A33588" s="48" t="s">
        <v>7926</v>
      </c>
      <c r="B33588" s="38">
        <v>71469.0</v>
      </c>
      <c r="C33588" s="38" t="s">
        <v>10186</v>
      </c>
      <c r="D33588" s="38" t="str">
        <f>IFERROR(__xludf.DUMMYFUNCTION("REGEXREPLACE(C33588,""-\d+(.*)|--\d+(.*)"","""")"),"SAINT-PIERRE-LE-VIEUX")</f>
        <v>SAINT-PIERRE-LE-VIEUX</v>
      </c>
      <c r="E33588" s="38" t="s">
        <v>344</v>
      </c>
      <c r="F33588" s="38" t="s">
        <v>106</v>
      </c>
      <c r="G33588" s="49" t="str">
        <f t="shared" si="1"/>
        <v>71520</v>
      </c>
      <c r="H33588" s="49">
        <f t="shared" si="2"/>
        <v>71469</v>
      </c>
    </row>
    <row r="33589">
      <c r="A33589" s="48" t="s">
        <v>9526</v>
      </c>
      <c r="B33589" s="38">
        <v>23204.0</v>
      </c>
      <c r="C33589" s="38" t="s">
        <v>37812</v>
      </c>
      <c r="D33589" s="38" t="str">
        <f>IFERROR(__xludf.DUMMYFUNCTION("REGEXREPLACE(C33589,""-\d+(.*)|--\d+(.*)"","""")"),"SAINT-JULIEN-LE-CHATEL")</f>
        <v>SAINT-JULIEN-LE-CHATEL</v>
      </c>
      <c r="E33589" s="38" t="s">
        <v>97</v>
      </c>
      <c r="F33589" s="38" t="s">
        <v>98</v>
      </c>
      <c r="G33589" s="49" t="str">
        <f t="shared" si="1"/>
        <v>23130</v>
      </c>
      <c r="H33589" s="49">
        <f t="shared" si="2"/>
        <v>23204</v>
      </c>
    </row>
    <row r="33590">
      <c r="A33590" s="48" t="s">
        <v>4191</v>
      </c>
      <c r="B33590" s="38">
        <v>77389.0</v>
      </c>
      <c r="C33590" s="38" t="s">
        <v>4674</v>
      </c>
      <c r="D33590" s="38" t="str">
        <f>IFERROR(__xludf.DUMMYFUNCTION("REGEXREPLACE(C33590,""-\d+(.*)|--\d+(.*)"","""")"),"LA ROCHETTE")</f>
        <v>LA ROCHETTE</v>
      </c>
      <c r="E33590" s="38" t="s">
        <v>244</v>
      </c>
      <c r="F33590" s="38" t="s">
        <v>245</v>
      </c>
      <c r="G33590" s="49" t="str">
        <f t="shared" si="1"/>
        <v>77000</v>
      </c>
      <c r="H33590" s="49">
        <f t="shared" si="2"/>
        <v>77389</v>
      </c>
    </row>
    <row r="33591">
      <c r="A33591" s="48" t="s">
        <v>10400</v>
      </c>
      <c r="B33591" s="38">
        <v>13090.0</v>
      </c>
      <c r="C33591" s="38" t="s">
        <v>37813</v>
      </c>
      <c r="D33591" s="38" t="str">
        <f>IFERROR(__xludf.DUMMYFUNCTION("REGEXREPLACE(C33591,""-\d+(.*)|--\d+(.*)"","""")"),"SAINT-ANTONIN-SUR-BAYON")</f>
        <v>SAINT-ANTONIN-SUR-BAYON</v>
      </c>
      <c r="E33591" s="38" t="s">
        <v>980</v>
      </c>
      <c r="F33591" s="38" t="s">
        <v>228</v>
      </c>
      <c r="G33591" s="49" t="str">
        <f t="shared" si="1"/>
        <v>13100</v>
      </c>
      <c r="H33591" s="49">
        <f t="shared" si="2"/>
        <v>13090</v>
      </c>
    </row>
    <row r="33592">
      <c r="A33592" s="48" t="s">
        <v>37814</v>
      </c>
      <c r="B33592" s="38">
        <v>69043.0</v>
      </c>
      <c r="C33592" s="38" t="s">
        <v>37815</v>
      </c>
      <c r="D33592" s="38" t="str">
        <f>IFERROR(__xludf.DUMMYFUNCTION("REGEXREPLACE(C33592,""-\d+(.*)|--\d+(.*)"","""")"),"CHAPONOST")</f>
        <v>CHAPONOST</v>
      </c>
      <c r="E33592" s="38" t="s">
        <v>350</v>
      </c>
      <c r="F33592" s="38" t="s">
        <v>102</v>
      </c>
      <c r="G33592" s="49" t="str">
        <f t="shared" si="1"/>
        <v>69630</v>
      </c>
      <c r="H33592" s="49">
        <f t="shared" si="2"/>
        <v>69043</v>
      </c>
    </row>
    <row r="33593">
      <c r="A33593" s="48" t="s">
        <v>5463</v>
      </c>
      <c r="B33593" s="38">
        <v>26126.0</v>
      </c>
      <c r="C33593" s="38" t="s">
        <v>37816</v>
      </c>
      <c r="D33593" s="38" t="str">
        <f>IFERROR(__xludf.DUMMYFUNCTION("REGEXREPLACE(C33593,""-\d+(.*)|--\d+(.*)"","""")"),"EYGALAYES")</f>
        <v>EYGALAYES</v>
      </c>
      <c r="E33593" s="38" t="s">
        <v>126</v>
      </c>
      <c r="F33593" s="38" t="s">
        <v>102</v>
      </c>
      <c r="G33593" s="49" t="str">
        <f t="shared" si="1"/>
        <v>26560</v>
      </c>
      <c r="H33593" s="49">
        <f t="shared" si="2"/>
        <v>26126</v>
      </c>
    </row>
    <row r="33594">
      <c r="A33594" s="48" t="s">
        <v>6016</v>
      </c>
      <c r="B33594" s="38">
        <v>57585.0</v>
      </c>
      <c r="C33594" s="38" t="s">
        <v>37817</v>
      </c>
      <c r="D33594" s="38" t="str">
        <f>IFERROR(__xludf.DUMMYFUNCTION("REGEXREPLACE(C33594,""-\d+(.*)|--\d+(.*)"","""")"),"RITZING")</f>
        <v>RITZING</v>
      </c>
      <c r="E33594" s="38" t="s">
        <v>303</v>
      </c>
      <c r="F33594" s="38" t="s">
        <v>195</v>
      </c>
      <c r="G33594" s="49" t="str">
        <f t="shared" si="1"/>
        <v>57480</v>
      </c>
      <c r="H33594" s="49">
        <f t="shared" si="2"/>
        <v>57585</v>
      </c>
    </row>
    <row r="33595">
      <c r="A33595" s="48" t="s">
        <v>4543</v>
      </c>
      <c r="B33595" s="38">
        <v>64319.0</v>
      </c>
      <c r="C33595" s="38" t="s">
        <v>37818</v>
      </c>
      <c r="D33595" s="38" t="str">
        <f>IFERROR(__xludf.DUMMYFUNCTION("REGEXREPLACE(C33595,""-\d+(.*)|--\d+(.*)"","""")"),"LARRIBAR-SORHAPURU")</f>
        <v>LARRIBAR-SORHAPURU</v>
      </c>
      <c r="E33595" s="38" t="s">
        <v>268</v>
      </c>
      <c r="F33595" s="38" t="s">
        <v>252</v>
      </c>
      <c r="G33595" s="49" t="str">
        <f t="shared" si="1"/>
        <v>64120</v>
      </c>
      <c r="H33595" s="49">
        <f t="shared" si="2"/>
        <v>64319</v>
      </c>
    </row>
    <row r="33596">
      <c r="A33596" s="48" t="s">
        <v>736</v>
      </c>
      <c r="B33596" s="38">
        <v>57416.0</v>
      </c>
      <c r="C33596" s="38" t="s">
        <v>37819</v>
      </c>
      <c r="D33596" s="38" t="str">
        <f>IFERROR(__xludf.DUMMYFUNCTION("REGEXREPLACE(C33596,""-\d+(.*)|--\d+(.*)"","""")"),"LORRY-MARDIGNY")</f>
        <v>LORRY-MARDIGNY</v>
      </c>
      <c r="E33596" s="38" t="s">
        <v>303</v>
      </c>
      <c r="F33596" s="38" t="s">
        <v>195</v>
      </c>
      <c r="G33596" s="49" t="str">
        <f t="shared" si="1"/>
        <v>57420</v>
      </c>
      <c r="H33596" s="49">
        <f t="shared" si="2"/>
        <v>57416</v>
      </c>
    </row>
    <row r="33597">
      <c r="A33597" s="48" t="s">
        <v>3504</v>
      </c>
      <c r="B33597" s="38">
        <v>42134.0</v>
      </c>
      <c r="C33597" s="38" t="s">
        <v>37820</v>
      </c>
      <c r="D33597" s="38" t="str">
        <f>IFERROR(__xludf.DUMMYFUNCTION("REGEXREPLACE(C33597,""-\d+(.*)|--\d+(.*)"","""")"),"MARCILLY-LE-CHATEL")</f>
        <v>MARCILLY-LE-CHATEL</v>
      </c>
      <c r="E33597" s="38" t="s">
        <v>166</v>
      </c>
      <c r="F33597" s="38" t="s">
        <v>102</v>
      </c>
      <c r="G33597" s="49" t="str">
        <f t="shared" si="1"/>
        <v>42130</v>
      </c>
      <c r="H33597" s="49">
        <f t="shared" si="2"/>
        <v>42134</v>
      </c>
    </row>
    <row r="33598">
      <c r="A33598" s="48" t="s">
        <v>276</v>
      </c>
      <c r="B33598" s="38">
        <v>11060.0</v>
      </c>
      <c r="C33598" s="38" t="s">
        <v>37821</v>
      </c>
      <c r="D33598" s="38" t="str">
        <f>IFERROR(__xludf.DUMMYFUNCTION("REGEXREPLACE(C33598,""-\d+(.*)|--\d+(.*)"","""")"),"CAILLA")</f>
        <v>CAILLA</v>
      </c>
      <c r="E33598" s="38" t="s">
        <v>278</v>
      </c>
      <c r="F33598" s="38" t="s">
        <v>119</v>
      </c>
      <c r="G33598" s="49" t="str">
        <f t="shared" si="1"/>
        <v>11140</v>
      </c>
      <c r="H33598" s="49">
        <f t="shared" si="2"/>
        <v>11060</v>
      </c>
    </row>
    <row r="33599">
      <c r="A33599" s="48" t="s">
        <v>1534</v>
      </c>
      <c r="B33599" s="38">
        <v>19135.0</v>
      </c>
      <c r="C33599" s="38" t="s">
        <v>37822</v>
      </c>
      <c r="D33599" s="38" t="str">
        <f>IFERROR(__xludf.DUMMYFUNCTION("REGEXREPLACE(C33599,""-\d+(.*)|--\d+(.*)"","""")"),"MESTES")</f>
        <v>MESTES</v>
      </c>
      <c r="E33599" s="38" t="s">
        <v>271</v>
      </c>
      <c r="F33599" s="38" t="s">
        <v>98</v>
      </c>
      <c r="G33599" s="49" t="str">
        <f t="shared" si="1"/>
        <v>19200</v>
      </c>
      <c r="H33599" s="49">
        <f t="shared" si="2"/>
        <v>19135</v>
      </c>
    </row>
    <row r="33600">
      <c r="A33600" s="48" t="s">
        <v>21678</v>
      </c>
      <c r="B33600" s="38">
        <v>44026.0</v>
      </c>
      <c r="C33600" s="38" t="s">
        <v>37823</v>
      </c>
      <c r="D33600" s="38" t="str">
        <f>IFERROR(__xludf.DUMMYFUNCTION("REGEXREPLACE(C33600,""-\d+(.*)|--\d+(.*)"","""")"),"CARQUEFOU")</f>
        <v>CARQUEFOU</v>
      </c>
      <c r="E33600" s="38" t="s">
        <v>759</v>
      </c>
      <c r="F33600" s="38" t="s">
        <v>180</v>
      </c>
      <c r="G33600" s="49" t="str">
        <f t="shared" si="1"/>
        <v>44470</v>
      </c>
      <c r="H33600" s="49">
        <f t="shared" si="2"/>
        <v>44026</v>
      </c>
    </row>
    <row r="33601">
      <c r="A33601" s="48" t="s">
        <v>5443</v>
      </c>
      <c r="B33601" s="38">
        <v>76241.0</v>
      </c>
      <c r="C33601" s="38" t="s">
        <v>37824</v>
      </c>
      <c r="D33601" s="38" t="str">
        <f>IFERROR(__xludf.DUMMYFUNCTION("REGEXREPLACE(C33601,""-\d+(.*)|--\d+(.*)"","""")"),"ERMENOUVILLE")</f>
        <v>ERMENOUVILLE</v>
      </c>
      <c r="E33601" s="38" t="s">
        <v>133</v>
      </c>
      <c r="F33601" s="38" t="s">
        <v>134</v>
      </c>
      <c r="G33601" s="49" t="str">
        <f t="shared" si="1"/>
        <v>76740</v>
      </c>
      <c r="H33601" s="49">
        <f t="shared" si="2"/>
        <v>76241</v>
      </c>
    </row>
    <row r="33602">
      <c r="A33602" s="48" t="s">
        <v>2103</v>
      </c>
      <c r="B33602" s="38">
        <v>54449.0</v>
      </c>
      <c r="C33602" s="38" t="s">
        <v>37825</v>
      </c>
      <c r="D33602" s="38" t="str">
        <f>IFERROR(__xludf.DUMMYFUNCTION("REGEXREPLACE(C33602,""-\d+(.*)|--\d+(.*)"","""")"),"REHAINVILLER")</f>
        <v>REHAINVILLER</v>
      </c>
      <c r="E33602" s="38" t="s">
        <v>548</v>
      </c>
      <c r="F33602" s="38" t="s">
        <v>195</v>
      </c>
      <c r="G33602" s="49" t="str">
        <f t="shared" si="1"/>
        <v>54300</v>
      </c>
      <c r="H33602" s="49">
        <f t="shared" si="2"/>
        <v>54449</v>
      </c>
    </row>
    <row r="33603">
      <c r="A33603" s="48" t="s">
        <v>7948</v>
      </c>
      <c r="B33603" s="38">
        <v>47209.0</v>
      </c>
      <c r="C33603" s="38" t="s">
        <v>37826</v>
      </c>
      <c r="D33603" s="38" t="str">
        <f>IFERROR(__xludf.DUMMYFUNCTION("REGEXREPLACE(C33603,""-\d+(.*)|--\d+(.*)"","""")"),"PONT-DU-CASSE")</f>
        <v>PONT-DU-CASSE</v>
      </c>
      <c r="E33603" s="38" t="s">
        <v>251</v>
      </c>
      <c r="F33603" s="38" t="s">
        <v>252</v>
      </c>
      <c r="G33603" s="49" t="str">
        <f t="shared" si="1"/>
        <v>47480</v>
      </c>
      <c r="H33603" s="49">
        <f t="shared" si="2"/>
        <v>47209</v>
      </c>
    </row>
    <row r="33604">
      <c r="A33604" s="48" t="s">
        <v>814</v>
      </c>
      <c r="B33604" s="38">
        <v>4068.0</v>
      </c>
      <c r="C33604" s="38" t="s">
        <v>37827</v>
      </c>
      <c r="D33604" s="38" t="str">
        <f>IFERROR(__xludf.DUMMYFUNCTION("REGEXREPLACE(C33604,""-\d+(.*)|--\d+(.*)"","""")"),"DAUPHIN")</f>
        <v>DAUPHIN</v>
      </c>
      <c r="E33604" s="38" t="s">
        <v>662</v>
      </c>
      <c r="F33604" s="38" t="s">
        <v>228</v>
      </c>
      <c r="G33604" s="49" t="str">
        <f t="shared" si="1"/>
        <v>04300</v>
      </c>
      <c r="H33604" s="49" t="str">
        <f t="shared" si="2"/>
        <v>04068</v>
      </c>
    </row>
    <row r="33605">
      <c r="A33605" s="48" t="s">
        <v>37828</v>
      </c>
      <c r="B33605" s="38">
        <v>45272.0</v>
      </c>
      <c r="C33605" s="38" t="s">
        <v>37829</v>
      </c>
      <c r="D33605" s="38" t="str">
        <f>IFERROR(__xludf.DUMMYFUNCTION("REGEXREPLACE(C33605,""-\d+(.*)|--\d+(.*)"","""")"),"SAINT-CYR-EN-VAL")</f>
        <v>SAINT-CYR-EN-VAL</v>
      </c>
      <c r="E33605" s="38" t="s">
        <v>122</v>
      </c>
      <c r="F33605" s="38" t="s">
        <v>123</v>
      </c>
      <c r="G33605" s="49" t="str">
        <f t="shared" si="1"/>
        <v>45590</v>
      </c>
      <c r="H33605" s="49">
        <f t="shared" si="2"/>
        <v>45272</v>
      </c>
    </row>
    <row r="33606">
      <c r="A33606" s="48" t="s">
        <v>2141</v>
      </c>
      <c r="B33606" s="38">
        <v>80106.0</v>
      </c>
      <c r="C33606" s="38" t="s">
        <v>37830</v>
      </c>
      <c r="D33606" s="38" t="str">
        <f>IFERROR(__xludf.DUMMYFUNCTION("REGEXREPLACE(C33606,""-\d+(.*)|--\d+(.*)"","""")"),"BLANGY-SOUS-POIX")</f>
        <v>BLANGY-SOUS-POIX</v>
      </c>
      <c r="E33606" s="38" t="s">
        <v>224</v>
      </c>
      <c r="F33606" s="38" t="s">
        <v>113</v>
      </c>
      <c r="G33606" s="49" t="str">
        <f t="shared" si="1"/>
        <v>80290</v>
      </c>
      <c r="H33606" s="49">
        <f t="shared" si="2"/>
        <v>80106</v>
      </c>
    </row>
    <row r="33607">
      <c r="A33607" s="48" t="s">
        <v>6019</v>
      </c>
      <c r="B33607" s="38">
        <v>39377.0</v>
      </c>
      <c r="C33607" s="38" t="s">
        <v>37831</v>
      </c>
      <c r="D33607" s="38" t="str">
        <f>IFERROR(__xludf.DUMMYFUNCTION("REGEXREPLACE(C33607,""-\d+(.*)|--\d+(.*)"","""")"),"MUTIGNEY")</f>
        <v>MUTIGNEY</v>
      </c>
      <c r="E33607" s="38" t="s">
        <v>400</v>
      </c>
      <c r="F33607" s="38" t="s">
        <v>214</v>
      </c>
      <c r="G33607" s="49" t="str">
        <f t="shared" si="1"/>
        <v>39290</v>
      </c>
      <c r="H33607" s="49">
        <f t="shared" si="2"/>
        <v>39377</v>
      </c>
    </row>
    <row r="33608">
      <c r="A33608" s="48" t="s">
        <v>2714</v>
      </c>
      <c r="B33608" s="38">
        <v>61412.0</v>
      </c>
      <c r="C33608" s="38" t="s">
        <v>37832</v>
      </c>
      <c r="D33608" s="38" t="str">
        <f>IFERROR(__xludf.DUMMYFUNCTION("REGEXREPLACE(C33608,""-\d+(.*)|--\d+(.*)"","""")"),"SAINT-JULIEN-SUR-SARTHE")</f>
        <v>SAINT-JULIEN-SUR-SARTHE</v>
      </c>
      <c r="E33608" s="38" t="s">
        <v>141</v>
      </c>
      <c r="F33608" s="38" t="s">
        <v>138</v>
      </c>
      <c r="G33608" s="49" t="str">
        <f t="shared" si="1"/>
        <v>61170</v>
      </c>
      <c r="H33608" s="49">
        <f t="shared" si="2"/>
        <v>61412</v>
      </c>
    </row>
    <row r="33609">
      <c r="A33609" s="48" t="s">
        <v>37833</v>
      </c>
      <c r="B33609" s="38">
        <v>87178.0</v>
      </c>
      <c r="C33609" s="38" t="s">
        <v>37834</v>
      </c>
      <c r="D33609" s="38" t="str">
        <f>IFERROR(__xludf.DUMMYFUNCTION("REGEXREPLACE(C33609,""-\d+(.*)|--\d+(.*)"","""")"),"SAINT-PRIEST-TAURION")</f>
        <v>SAINT-PRIEST-TAURION</v>
      </c>
      <c r="E33609" s="38" t="s">
        <v>897</v>
      </c>
      <c r="F33609" s="38" t="s">
        <v>98</v>
      </c>
      <c r="G33609" s="49" t="str">
        <f t="shared" si="1"/>
        <v>87480</v>
      </c>
      <c r="H33609" s="49">
        <f t="shared" si="2"/>
        <v>87178</v>
      </c>
    </row>
    <row r="33610">
      <c r="A33610" s="48" t="s">
        <v>3967</v>
      </c>
      <c r="B33610" s="38">
        <v>50057.0</v>
      </c>
      <c r="C33610" s="38" t="s">
        <v>37835</v>
      </c>
      <c r="D33610" s="38" t="str">
        <f>IFERROR(__xludf.DUMMYFUNCTION("REGEXREPLACE(C33610,""-\d+(.*)|--\d+(.*)"","""")"),"BIVILLE")</f>
        <v>BIVILLE</v>
      </c>
      <c r="E33610" s="38" t="s">
        <v>157</v>
      </c>
      <c r="F33610" s="38" t="s">
        <v>138</v>
      </c>
      <c r="G33610" s="49" t="str">
        <f t="shared" si="1"/>
        <v>50440</v>
      </c>
      <c r="H33610" s="49">
        <f t="shared" si="2"/>
        <v>50057</v>
      </c>
    </row>
    <row r="33611">
      <c r="A33611" s="48" t="s">
        <v>5601</v>
      </c>
      <c r="B33611" s="38">
        <v>71291.0</v>
      </c>
      <c r="C33611" s="38" t="s">
        <v>4275</v>
      </c>
      <c r="D33611" s="38" t="str">
        <f>IFERROR(__xludf.DUMMYFUNCTION("REGEXREPLACE(C33611,""-\d+(.*)|--\d+(.*)"","""")"),"MELAY")</f>
        <v>MELAY</v>
      </c>
      <c r="E33611" s="38" t="s">
        <v>344</v>
      </c>
      <c r="F33611" s="38" t="s">
        <v>106</v>
      </c>
      <c r="G33611" s="49" t="str">
        <f t="shared" si="1"/>
        <v>71340</v>
      </c>
      <c r="H33611" s="49">
        <f t="shared" si="2"/>
        <v>71291</v>
      </c>
    </row>
    <row r="33612">
      <c r="A33612" s="48" t="s">
        <v>29950</v>
      </c>
      <c r="B33612" s="38">
        <v>50363.0</v>
      </c>
      <c r="C33612" s="38" t="s">
        <v>37836</v>
      </c>
      <c r="D33612" s="38" t="str">
        <f>IFERROR(__xludf.DUMMYFUNCTION("REGEXREPLACE(C33612,""-\d+(.*)|--\d+(.*)"","""")"),"MOYON")</f>
        <v>MOYON</v>
      </c>
      <c r="E33612" s="38" t="s">
        <v>157</v>
      </c>
      <c r="F33612" s="38" t="s">
        <v>138</v>
      </c>
      <c r="G33612" s="49" t="str">
        <f t="shared" si="1"/>
        <v>50860</v>
      </c>
      <c r="H33612" s="49">
        <f t="shared" si="2"/>
        <v>50363</v>
      </c>
    </row>
    <row r="33613">
      <c r="A33613" s="48" t="s">
        <v>16082</v>
      </c>
      <c r="B33613" s="38">
        <v>22385.0</v>
      </c>
      <c r="C33613" s="38" t="s">
        <v>37837</v>
      </c>
      <c r="D33613" s="38" t="str">
        <f>IFERROR(__xludf.DUMMYFUNCTION("REGEXREPLACE(C33613,""-\d+(.*)|--\d+(.*)"","""")"),"LA VICOMTE-SUR-RANCE")</f>
        <v>LA VICOMTE-SUR-RANCE</v>
      </c>
      <c r="E33613" s="38" t="s">
        <v>89</v>
      </c>
      <c r="F33613" s="38" t="s">
        <v>90</v>
      </c>
      <c r="G33613" s="49" t="str">
        <f t="shared" si="1"/>
        <v>22690</v>
      </c>
      <c r="H33613" s="49">
        <f t="shared" si="2"/>
        <v>22385</v>
      </c>
    </row>
    <row r="33614">
      <c r="A33614" s="48" t="s">
        <v>5020</v>
      </c>
      <c r="B33614" s="38">
        <v>51085.0</v>
      </c>
      <c r="C33614" s="38" t="s">
        <v>21813</v>
      </c>
      <c r="D33614" s="38" t="str">
        <f>IFERROR(__xludf.DUMMYFUNCTION("REGEXREPLACE(C33614,""-\d+(.*)|--\d+(.*)"","""")"),"LE BREUIL")</f>
        <v>LE BREUIL</v>
      </c>
      <c r="E33614" s="38" t="s">
        <v>129</v>
      </c>
      <c r="F33614" s="38" t="s">
        <v>130</v>
      </c>
      <c r="G33614" s="49" t="str">
        <f t="shared" si="1"/>
        <v>51210</v>
      </c>
      <c r="H33614" s="49">
        <f t="shared" si="2"/>
        <v>51085</v>
      </c>
    </row>
    <row r="33615">
      <c r="A33615" s="48" t="s">
        <v>7622</v>
      </c>
      <c r="B33615" s="38">
        <v>10402.0</v>
      </c>
      <c r="C33615" s="38" t="s">
        <v>37838</v>
      </c>
      <c r="D33615" s="38" t="str">
        <f>IFERROR(__xludf.DUMMYFUNCTION("REGEXREPLACE(C33615,""-\d+(.*)|--\d+(.*)"","""")"),"LA VENDUE-MIGNOT")</f>
        <v>LA VENDUE-MIGNOT</v>
      </c>
      <c r="E33615" s="38" t="s">
        <v>147</v>
      </c>
      <c r="F33615" s="38" t="s">
        <v>130</v>
      </c>
      <c r="G33615" s="49" t="str">
        <f t="shared" si="1"/>
        <v>10800</v>
      </c>
      <c r="H33615" s="49">
        <f t="shared" si="2"/>
        <v>10402</v>
      </c>
    </row>
    <row r="33616">
      <c r="A33616" s="48" t="s">
        <v>6202</v>
      </c>
      <c r="B33616" s="38">
        <v>49299.0</v>
      </c>
      <c r="C33616" s="38" t="s">
        <v>37839</v>
      </c>
      <c r="D33616" s="38" t="str">
        <f>IFERROR(__xludf.DUMMYFUNCTION("REGEXREPLACE(C33616,""-\d+(.*)|--\d+(.*)"","""")"),"SAINT-LEGER-SOUS-CHOLET")</f>
        <v>SAINT-LEGER-SOUS-CHOLET</v>
      </c>
      <c r="E33616" s="38" t="s">
        <v>653</v>
      </c>
      <c r="F33616" s="38" t="s">
        <v>180</v>
      </c>
      <c r="G33616" s="49" t="str">
        <f t="shared" si="1"/>
        <v>49280</v>
      </c>
      <c r="H33616" s="49">
        <f t="shared" si="2"/>
        <v>49299</v>
      </c>
    </row>
    <row r="33617">
      <c r="A33617" s="48" t="s">
        <v>2278</v>
      </c>
      <c r="B33617" s="38">
        <v>80537.0</v>
      </c>
      <c r="C33617" s="38" t="s">
        <v>37840</v>
      </c>
      <c r="D33617" s="38" t="str">
        <f>IFERROR(__xludf.DUMMYFUNCTION("REGEXREPLACE(C33617,""-\d+(.*)|--\d+(.*)"","""")"),"MESNIL-DOMQUEUR")</f>
        <v>MESNIL-DOMQUEUR</v>
      </c>
      <c r="E33617" s="38" t="s">
        <v>224</v>
      </c>
      <c r="F33617" s="38" t="s">
        <v>113</v>
      </c>
      <c r="G33617" s="49" t="str">
        <f t="shared" si="1"/>
        <v>80620</v>
      </c>
      <c r="H33617" s="49">
        <f t="shared" si="2"/>
        <v>80537</v>
      </c>
    </row>
    <row r="33618">
      <c r="A33618" s="48" t="s">
        <v>4140</v>
      </c>
      <c r="B33618" s="38">
        <v>54527.0</v>
      </c>
      <c r="C33618" s="38" t="s">
        <v>37841</v>
      </c>
      <c r="D33618" s="38" t="str">
        <f>IFERROR(__xludf.DUMMYFUNCTION("REGEXREPLACE(C33618,""-\d+(.*)|--\d+(.*)"","""")"),"TONNOY")</f>
        <v>TONNOY</v>
      </c>
      <c r="E33618" s="38" t="s">
        <v>548</v>
      </c>
      <c r="F33618" s="38" t="s">
        <v>195</v>
      </c>
      <c r="G33618" s="49" t="str">
        <f t="shared" si="1"/>
        <v>54210</v>
      </c>
      <c r="H33618" s="49">
        <f t="shared" si="2"/>
        <v>54527</v>
      </c>
    </row>
    <row r="33619">
      <c r="A33619" s="48" t="s">
        <v>5070</v>
      </c>
      <c r="B33619" s="38">
        <v>79083.0</v>
      </c>
      <c r="C33619" s="38" t="s">
        <v>37842</v>
      </c>
      <c r="D33619" s="38" t="str">
        <f>IFERROR(__xludf.DUMMYFUNCTION("REGEXREPLACE(C33619,""-\d+(.*)|--\d+(.*)"","""")"),"CHEF-BOUTONNE")</f>
        <v>CHEF-BOUTONNE</v>
      </c>
      <c r="E33619" s="38" t="s">
        <v>337</v>
      </c>
      <c r="F33619" s="38" t="s">
        <v>338</v>
      </c>
      <c r="G33619" s="49" t="str">
        <f t="shared" si="1"/>
        <v>79110</v>
      </c>
      <c r="H33619" s="49">
        <f t="shared" si="2"/>
        <v>79083</v>
      </c>
    </row>
    <row r="33620">
      <c r="A33620" s="48" t="s">
        <v>2083</v>
      </c>
      <c r="B33620" s="38">
        <v>17056.0</v>
      </c>
      <c r="C33620" s="38" t="s">
        <v>37843</v>
      </c>
      <c r="D33620" s="38" t="str">
        <f>IFERROR(__xludf.DUMMYFUNCTION("REGEXREPLACE(C33620,""-\d+(.*)|--\d+(.*)"","""")"),"BOUGNEAU")</f>
        <v>BOUGNEAU</v>
      </c>
      <c r="E33620" s="38" t="s">
        <v>488</v>
      </c>
      <c r="F33620" s="38" t="s">
        <v>338</v>
      </c>
      <c r="G33620" s="49" t="str">
        <f t="shared" si="1"/>
        <v>17800</v>
      </c>
      <c r="H33620" s="49">
        <f t="shared" si="2"/>
        <v>17056</v>
      </c>
    </row>
    <row r="33621">
      <c r="A33621" s="48" t="s">
        <v>14379</v>
      </c>
      <c r="B33621" s="38">
        <v>35061.0</v>
      </c>
      <c r="C33621" s="38" t="s">
        <v>37844</v>
      </c>
      <c r="D33621" s="38" t="str">
        <f>IFERROR(__xludf.DUMMYFUNCTION("REGEXREPLACE(C33621,""-\d+(.*)|--\d+(.*)"","""")"),"LA CHAPELLE-ERBREE")</f>
        <v>LA CHAPELLE-ERBREE</v>
      </c>
      <c r="E33621" s="38" t="s">
        <v>347</v>
      </c>
      <c r="F33621" s="38" t="s">
        <v>90</v>
      </c>
      <c r="G33621" s="49" t="str">
        <f t="shared" si="1"/>
        <v>35500</v>
      </c>
      <c r="H33621" s="49">
        <f t="shared" si="2"/>
        <v>35061</v>
      </c>
    </row>
    <row r="33622">
      <c r="A33622" s="48" t="s">
        <v>37845</v>
      </c>
      <c r="B33622" s="38">
        <v>8076.0</v>
      </c>
      <c r="C33622" s="38" t="s">
        <v>37846</v>
      </c>
      <c r="D33622" s="38" t="str">
        <f>IFERROR(__xludf.DUMMYFUNCTION("REGEXREPLACE(C33622,""-\d+(.*)|--\d+(.*)"","""")"),"BOULZICOURT")</f>
        <v>BOULZICOURT</v>
      </c>
      <c r="E33622" s="38" t="s">
        <v>327</v>
      </c>
      <c r="F33622" s="38" t="s">
        <v>130</v>
      </c>
      <c r="G33622" s="49" t="str">
        <f t="shared" si="1"/>
        <v>08410</v>
      </c>
      <c r="H33622" s="49" t="str">
        <f t="shared" si="2"/>
        <v>08076</v>
      </c>
    </row>
    <row r="33623">
      <c r="A33623" s="48" t="s">
        <v>5381</v>
      </c>
      <c r="B33623" s="38">
        <v>38284.0</v>
      </c>
      <c r="C33623" s="38" t="s">
        <v>37847</v>
      </c>
      <c r="D33623" s="38" t="str">
        <f>IFERROR(__xludf.DUMMYFUNCTION("REGEXREPLACE(C33623,""-\d+(.*)|--\d+(.*)"","""")"),"ORNACIEUX")</f>
        <v>ORNACIEUX</v>
      </c>
      <c r="E33623" s="38" t="s">
        <v>101</v>
      </c>
      <c r="F33623" s="38" t="s">
        <v>102</v>
      </c>
      <c r="G33623" s="49" t="str">
        <f t="shared" si="1"/>
        <v>38260</v>
      </c>
      <c r="H33623" s="49">
        <f t="shared" si="2"/>
        <v>38284</v>
      </c>
    </row>
    <row r="33624">
      <c r="A33624" s="48" t="s">
        <v>7786</v>
      </c>
      <c r="B33624" s="38">
        <v>8475.0</v>
      </c>
      <c r="C33624" s="38" t="s">
        <v>37848</v>
      </c>
      <c r="D33624" s="38" t="str">
        <f>IFERROR(__xludf.DUMMYFUNCTION("REGEXREPLACE(C33624,""-\d+(.*)|--\d+(.*)"","""")"),"VILLERS-CERNAY")</f>
        <v>VILLERS-CERNAY</v>
      </c>
      <c r="E33624" s="38" t="s">
        <v>327</v>
      </c>
      <c r="F33624" s="38" t="s">
        <v>130</v>
      </c>
      <c r="G33624" s="49" t="str">
        <f t="shared" si="1"/>
        <v>08140</v>
      </c>
      <c r="H33624" s="49" t="str">
        <f t="shared" si="2"/>
        <v>08475</v>
      </c>
    </row>
    <row r="33625">
      <c r="A33625" s="48" t="s">
        <v>5805</v>
      </c>
      <c r="B33625" s="38">
        <v>21304.0</v>
      </c>
      <c r="C33625" s="38" t="s">
        <v>37849</v>
      </c>
      <c r="D33625" s="38" t="str">
        <f>IFERROR(__xludf.DUMMYFUNCTION("REGEXREPLACE(C33625,""-\d+(.*)|--\d+(.*)"","""")"),"GRANCEY-LE-CHATEAU-NEUVELLE")</f>
        <v>GRANCEY-LE-CHATEAU-NEUVELLE</v>
      </c>
      <c r="E33625" s="38" t="s">
        <v>105</v>
      </c>
      <c r="F33625" s="38" t="s">
        <v>106</v>
      </c>
      <c r="G33625" s="49" t="str">
        <f t="shared" si="1"/>
        <v>21580</v>
      </c>
      <c r="H33625" s="49">
        <f t="shared" si="2"/>
        <v>21304</v>
      </c>
    </row>
    <row r="33626">
      <c r="A33626" s="48" t="s">
        <v>22519</v>
      </c>
      <c r="B33626" s="38">
        <v>56199.0</v>
      </c>
      <c r="C33626" s="38" t="s">
        <v>37850</v>
      </c>
      <c r="D33626" s="38" t="str">
        <f>IFERROR(__xludf.DUMMYFUNCTION("REGEXREPLACE(C33626,""-\d+(.*)|--\d+(.*)"","""")"),"ROUDOUALLEC")</f>
        <v>ROUDOUALLEC</v>
      </c>
      <c r="E33626" s="38" t="s">
        <v>173</v>
      </c>
      <c r="F33626" s="38" t="s">
        <v>90</v>
      </c>
      <c r="G33626" s="49" t="str">
        <f t="shared" si="1"/>
        <v>56110</v>
      </c>
      <c r="H33626" s="49">
        <f t="shared" si="2"/>
        <v>56199</v>
      </c>
    </row>
    <row r="33627">
      <c r="A33627" s="48" t="s">
        <v>4140</v>
      </c>
      <c r="B33627" s="38">
        <v>54345.0</v>
      </c>
      <c r="C33627" s="38" t="s">
        <v>37851</v>
      </c>
      <c r="D33627" s="38" t="str">
        <f>IFERROR(__xludf.DUMMYFUNCTION("REGEXREPLACE(C33627,""-\d+(.*)|--\d+(.*)"","""")"),"MANONCOURT-EN-VERMOIS")</f>
        <v>MANONCOURT-EN-VERMOIS</v>
      </c>
      <c r="E33627" s="38" t="s">
        <v>548</v>
      </c>
      <c r="F33627" s="38" t="s">
        <v>195</v>
      </c>
      <c r="G33627" s="49" t="str">
        <f t="shared" si="1"/>
        <v>54210</v>
      </c>
      <c r="H33627" s="49">
        <f t="shared" si="2"/>
        <v>54345</v>
      </c>
    </row>
    <row r="33628">
      <c r="A33628" s="48" t="s">
        <v>2882</v>
      </c>
      <c r="B33628" s="38">
        <v>76399.0</v>
      </c>
      <c r="C33628" s="38" t="s">
        <v>35348</v>
      </c>
      <c r="D33628" s="38" t="str">
        <f>IFERROR(__xludf.DUMMYFUNCTION("REGEXREPLACE(C33628,""-\d+(.*)|--\d+(.*)"","""")"),"LUCY")</f>
        <v>LUCY</v>
      </c>
      <c r="E33628" s="38" t="s">
        <v>133</v>
      </c>
      <c r="F33628" s="38" t="s">
        <v>134</v>
      </c>
      <c r="G33628" s="49" t="str">
        <f t="shared" si="1"/>
        <v>76270</v>
      </c>
      <c r="H33628" s="49">
        <f t="shared" si="2"/>
        <v>76399</v>
      </c>
    </row>
    <row r="33629">
      <c r="A33629" s="48" t="s">
        <v>2266</v>
      </c>
      <c r="B33629" s="38">
        <v>55256.0</v>
      </c>
      <c r="C33629" s="38" t="s">
        <v>37852</v>
      </c>
      <c r="D33629" s="38" t="str">
        <f>IFERROR(__xludf.DUMMYFUNCTION("REGEXREPLACE(C33629,""-\d+(.*)|--\d+(.*)"","""")"),"JONVILLE-EN-WOEVRE")</f>
        <v>JONVILLE-EN-WOEVRE</v>
      </c>
      <c r="E33629" s="38" t="s">
        <v>322</v>
      </c>
      <c r="F33629" s="38" t="s">
        <v>195</v>
      </c>
      <c r="G33629" s="49" t="str">
        <f t="shared" si="1"/>
        <v>55160</v>
      </c>
      <c r="H33629" s="49">
        <f t="shared" si="2"/>
        <v>55256</v>
      </c>
    </row>
    <row r="33630">
      <c r="A33630" s="48" t="s">
        <v>11370</v>
      </c>
      <c r="B33630" s="38">
        <v>26331.0</v>
      </c>
      <c r="C33630" s="38" t="s">
        <v>37853</v>
      </c>
      <c r="D33630" s="38" t="str">
        <f>IFERROR(__xludf.DUMMYFUNCTION("REGEXREPLACE(C33630,""-\d+(.*)|--\d+(.*)"","""")"),"SAINT-THOMAS-EN-ROYANS")</f>
        <v>SAINT-THOMAS-EN-ROYANS</v>
      </c>
      <c r="E33630" s="38" t="s">
        <v>126</v>
      </c>
      <c r="F33630" s="38" t="s">
        <v>102</v>
      </c>
      <c r="G33630" s="49" t="str">
        <f t="shared" si="1"/>
        <v>26190</v>
      </c>
      <c r="H33630" s="49">
        <f t="shared" si="2"/>
        <v>26331</v>
      </c>
    </row>
    <row r="33631">
      <c r="A33631" s="48" t="s">
        <v>6951</v>
      </c>
      <c r="B33631" s="38">
        <v>58030.0</v>
      </c>
      <c r="C33631" s="38" t="s">
        <v>37854</v>
      </c>
      <c r="D33631" s="38" t="str">
        <f>IFERROR(__xludf.DUMMYFUNCTION("REGEXREPLACE(C33631,""-\d+(.*)|--\d+(.*)"","""")"),"BICHES")</f>
        <v>BICHES</v>
      </c>
      <c r="E33631" s="38" t="s">
        <v>219</v>
      </c>
      <c r="F33631" s="38" t="s">
        <v>106</v>
      </c>
      <c r="G33631" s="49" t="str">
        <f t="shared" si="1"/>
        <v>58110</v>
      </c>
      <c r="H33631" s="49">
        <f t="shared" si="2"/>
        <v>58030</v>
      </c>
    </row>
    <row r="33632">
      <c r="A33632" s="48" t="s">
        <v>2298</v>
      </c>
      <c r="B33632" s="38">
        <v>85081.0</v>
      </c>
      <c r="C33632" s="38" t="s">
        <v>37855</v>
      </c>
      <c r="D33632" s="38" t="str">
        <f>IFERROR(__xludf.DUMMYFUNCTION("REGEXREPLACE(C33632,""-\d+(.*)|--\d+(.*)"","""")"),"DOMPIERRE-SUR-YON")</f>
        <v>DOMPIERRE-SUR-YON</v>
      </c>
      <c r="E33632" s="38" t="s">
        <v>179</v>
      </c>
      <c r="F33632" s="38" t="s">
        <v>180</v>
      </c>
      <c r="G33632" s="49" t="str">
        <f t="shared" si="1"/>
        <v>85170</v>
      </c>
      <c r="H33632" s="49">
        <f t="shared" si="2"/>
        <v>85081</v>
      </c>
    </row>
    <row r="33633">
      <c r="A33633" s="48" t="s">
        <v>7726</v>
      </c>
      <c r="B33633" s="38">
        <v>35211.0</v>
      </c>
      <c r="C33633" s="38" t="s">
        <v>37856</v>
      </c>
      <c r="D33633" s="38" t="str">
        <f>IFERROR(__xludf.DUMMYFUNCTION("REGEXREPLACE(C33633,""-\d+(.*)|--\d+(.*)"","""")"),"PAIMPONT")</f>
        <v>PAIMPONT</v>
      </c>
      <c r="E33633" s="38" t="s">
        <v>347</v>
      </c>
      <c r="F33633" s="38" t="s">
        <v>90</v>
      </c>
      <c r="G33633" s="49" t="str">
        <f t="shared" si="1"/>
        <v>35380</v>
      </c>
      <c r="H33633" s="49">
        <f t="shared" si="2"/>
        <v>35211</v>
      </c>
    </row>
    <row r="33634">
      <c r="A33634" s="48" t="s">
        <v>7107</v>
      </c>
      <c r="B33634" s="38">
        <v>10376.0</v>
      </c>
      <c r="C33634" s="38" t="s">
        <v>37857</v>
      </c>
      <c r="D33634" s="38" t="str">
        <f>IFERROR(__xludf.DUMMYFUNCTION("REGEXREPLACE(C33634,""-\d+(.*)|--\d+(.*)"","""")"),"THIEFFRAIN")</f>
        <v>THIEFFRAIN</v>
      </c>
      <c r="E33634" s="38" t="s">
        <v>147</v>
      </c>
      <c r="F33634" s="38" t="s">
        <v>130</v>
      </c>
      <c r="G33634" s="49" t="str">
        <f t="shared" si="1"/>
        <v>10140</v>
      </c>
      <c r="H33634" s="49">
        <f t="shared" si="2"/>
        <v>10376</v>
      </c>
    </row>
    <row r="33635">
      <c r="A33635" s="48" t="s">
        <v>10324</v>
      </c>
      <c r="B33635" s="38">
        <v>54407.0</v>
      </c>
      <c r="C33635" s="38" t="s">
        <v>37858</v>
      </c>
      <c r="D33635" s="38" t="str">
        <f>IFERROR(__xludf.DUMMYFUNCTION("REGEXREPLACE(C33635,""-\d+(.*)|--\d+(.*)"","""")"),"OGNEVILLE")</f>
        <v>OGNEVILLE</v>
      </c>
      <c r="E33635" s="38" t="s">
        <v>548</v>
      </c>
      <c r="F33635" s="38" t="s">
        <v>195</v>
      </c>
      <c r="G33635" s="49" t="str">
        <f t="shared" si="1"/>
        <v>54330</v>
      </c>
      <c r="H33635" s="49">
        <f t="shared" si="2"/>
        <v>54407</v>
      </c>
    </row>
    <row r="33636">
      <c r="A33636" s="48" t="s">
        <v>4849</v>
      </c>
      <c r="B33636" s="38">
        <v>19009.0</v>
      </c>
      <c r="C33636" s="38" t="s">
        <v>37859</v>
      </c>
      <c r="D33636" s="38" t="str">
        <f>IFERROR(__xludf.DUMMYFUNCTION("REGEXREPLACE(C33636,""-\d+(.*)|--\d+(.*)"","""")"),"LES ANGLES-SUR-CORREZE")</f>
        <v>LES ANGLES-SUR-CORREZE</v>
      </c>
      <c r="E33636" s="38" t="s">
        <v>271</v>
      </c>
      <c r="F33636" s="38" t="s">
        <v>98</v>
      </c>
      <c r="G33636" s="49" t="str">
        <f t="shared" si="1"/>
        <v>19000</v>
      </c>
      <c r="H33636" s="49">
        <f t="shared" si="2"/>
        <v>19009</v>
      </c>
    </row>
    <row r="33637">
      <c r="A33637" s="48" t="s">
        <v>724</v>
      </c>
      <c r="B33637" s="38">
        <v>32389.0</v>
      </c>
      <c r="C33637" s="38" t="s">
        <v>3189</v>
      </c>
      <c r="D33637" s="38" t="str">
        <f>IFERROR(__xludf.DUMMYFUNCTION("REGEXREPLACE(C33637,""-\d+(.*)|--\d+(.*)"","""")"),"SAINT-MARTIN")</f>
        <v>SAINT-MARTIN</v>
      </c>
      <c r="E33637" s="38" t="s">
        <v>440</v>
      </c>
      <c r="F33637" s="38" t="s">
        <v>94</v>
      </c>
      <c r="G33637" s="49" t="str">
        <f t="shared" si="1"/>
        <v>32300</v>
      </c>
      <c r="H33637" s="49">
        <f t="shared" si="2"/>
        <v>32389</v>
      </c>
    </row>
    <row r="33638">
      <c r="A33638" s="48" t="s">
        <v>7278</v>
      </c>
      <c r="B33638" s="38">
        <v>61235.0</v>
      </c>
      <c r="C33638" s="38" t="s">
        <v>37860</v>
      </c>
      <c r="D33638" s="38" t="str">
        <f>IFERROR(__xludf.DUMMYFUNCTION("REGEXREPLACE(C33638,""-\d+(.*)|--\d+(.*)"","""")"),"LORE")</f>
        <v>LORE</v>
      </c>
      <c r="E33638" s="38" t="s">
        <v>141</v>
      </c>
      <c r="F33638" s="38" t="s">
        <v>138</v>
      </c>
      <c r="G33638" s="49" t="str">
        <f t="shared" si="1"/>
        <v>61330</v>
      </c>
      <c r="H33638" s="49">
        <f t="shared" si="2"/>
        <v>61235</v>
      </c>
    </row>
    <row r="33639">
      <c r="A33639" s="48" t="s">
        <v>3107</v>
      </c>
      <c r="B33639" s="38">
        <v>45211.0</v>
      </c>
      <c r="C33639" s="38" t="s">
        <v>37861</v>
      </c>
      <c r="D33639" s="38" t="str">
        <f>IFERROR(__xludf.DUMMYFUNCTION("REGEXREPLACE(C33639,""-\d+(.*)|--\d+(.*)"","""")"),"MONTCORBON")</f>
        <v>MONTCORBON</v>
      </c>
      <c r="E33639" s="38" t="s">
        <v>122</v>
      </c>
      <c r="F33639" s="38" t="s">
        <v>123</v>
      </c>
      <c r="G33639" s="49" t="str">
        <f t="shared" si="1"/>
        <v>45220</v>
      </c>
      <c r="H33639" s="49">
        <f t="shared" si="2"/>
        <v>45211</v>
      </c>
    </row>
    <row r="33640">
      <c r="A33640" s="48" t="s">
        <v>2814</v>
      </c>
      <c r="B33640" s="38">
        <v>45250.0</v>
      </c>
      <c r="C33640" s="38" t="s">
        <v>37862</v>
      </c>
      <c r="D33640" s="38" t="str">
        <f>IFERROR(__xludf.DUMMYFUNCTION("REGEXREPLACE(C33640,""-\d+(.*)|--\d+(.*)"","""")"),"PERS-EN-GATINAIS")</f>
        <v>PERS-EN-GATINAIS</v>
      </c>
      <c r="E33640" s="38" t="s">
        <v>122</v>
      </c>
      <c r="F33640" s="38" t="s">
        <v>123</v>
      </c>
      <c r="G33640" s="49" t="str">
        <f t="shared" si="1"/>
        <v>45210</v>
      </c>
      <c r="H33640" s="49">
        <f t="shared" si="2"/>
        <v>45250</v>
      </c>
    </row>
    <row r="33641">
      <c r="A33641" s="48" t="s">
        <v>37863</v>
      </c>
      <c r="B33641" s="38">
        <v>78423.0</v>
      </c>
      <c r="C33641" s="38" t="s">
        <v>37864</v>
      </c>
      <c r="D33641" s="38" t="str">
        <f>IFERROR(__xludf.DUMMYFUNCTION("REGEXREPLACE(C33641,""-\d+(.*)|--\d+(.*)"","""")"),"MONTIGNY-LE-BRETONNEUX")</f>
        <v>MONTIGNY-LE-BRETONNEUX</v>
      </c>
      <c r="E33641" s="38" t="s">
        <v>362</v>
      </c>
      <c r="F33641" s="38" t="s">
        <v>245</v>
      </c>
      <c r="G33641" s="49" t="str">
        <f t="shared" si="1"/>
        <v>78180</v>
      </c>
      <c r="H33641" s="49">
        <f t="shared" si="2"/>
        <v>78423</v>
      </c>
    </row>
    <row r="33642">
      <c r="A33642" s="48" t="s">
        <v>11310</v>
      </c>
      <c r="B33642" s="38">
        <v>50358.0</v>
      </c>
      <c r="C33642" s="38" t="s">
        <v>37865</v>
      </c>
      <c r="D33642" s="38" t="str">
        <f>IFERROR(__xludf.DUMMYFUNCTION("REGEXREPLACE(C33642,""-\d+(.*)|--\d+(.*)"","""")"),"MORSALINES")</f>
        <v>MORSALINES</v>
      </c>
      <c r="E33642" s="38" t="s">
        <v>157</v>
      </c>
      <c r="F33642" s="38" t="s">
        <v>138</v>
      </c>
      <c r="G33642" s="49" t="str">
        <f t="shared" si="1"/>
        <v>50630</v>
      </c>
      <c r="H33642" s="49">
        <f t="shared" si="2"/>
        <v>50358</v>
      </c>
    </row>
    <row r="33643">
      <c r="A33643" s="48" t="s">
        <v>4447</v>
      </c>
      <c r="B33643" s="38">
        <v>39586.0</v>
      </c>
      <c r="C33643" s="38" t="s">
        <v>37866</v>
      </c>
      <c r="D33643" s="38" t="str">
        <f>IFERROR(__xludf.DUMMYFUNCTION("REGEXREPLACE(C33643,""-\d+(.*)|--\d+(.*)"","""")"),"ARESCHES")</f>
        <v>ARESCHES</v>
      </c>
      <c r="E33643" s="38" t="s">
        <v>400</v>
      </c>
      <c r="F33643" s="38" t="s">
        <v>214</v>
      </c>
      <c r="G33643" s="49" t="str">
        <f t="shared" si="1"/>
        <v>39110</v>
      </c>
      <c r="H33643" s="49">
        <f t="shared" si="2"/>
        <v>39586</v>
      </c>
    </row>
    <row r="33644">
      <c r="A33644" s="48" t="s">
        <v>24359</v>
      </c>
      <c r="B33644" s="38">
        <v>33351.0</v>
      </c>
      <c r="C33644" s="38" t="s">
        <v>18467</v>
      </c>
      <c r="D33644" s="38" t="str">
        <f>IFERROR(__xludf.DUMMYFUNCTION("REGEXREPLACE(C33644,""-\d+(.*)|--\d+(.*)"","""")"),"REIGNAC")</f>
        <v>REIGNAC</v>
      </c>
      <c r="E33644" s="38" t="s">
        <v>462</v>
      </c>
      <c r="F33644" s="38" t="s">
        <v>252</v>
      </c>
      <c r="G33644" s="49" t="str">
        <f t="shared" si="1"/>
        <v>33860</v>
      </c>
      <c r="H33644" s="49">
        <f t="shared" si="2"/>
        <v>33351</v>
      </c>
    </row>
    <row r="33645">
      <c r="A33645" s="48" t="s">
        <v>14679</v>
      </c>
      <c r="B33645" s="38">
        <v>73229.0</v>
      </c>
      <c r="C33645" s="38" t="s">
        <v>6001</v>
      </c>
      <c r="D33645" s="38" t="str">
        <f>IFERROR(__xludf.DUMMYFUNCTION("REGEXREPLACE(C33645,""-\d+(.*)|--\d+(.*)"","""")"),"SAINT-CHRISTOPHE")</f>
        <v>SAINT-CHRISTOPHE</v>
      </c>
      <c r="E33645" s="38" t="s">
        <v>306</v>
      </c>
      <c r="F33645" s="38" t="s">
        <v>102</v>
      </c>
      <c r="G33645" s="49" t="str">
        <f t="shared" si="1"/>
        <v>73360</v>
      </c>
      <c r="H33645" s="49">
        <f t="shared" si="2"/>
        <v>73229</v>
      </c>
    </row>
    <row r="33646">
      <c r="A33646" s="48" t="s">
        <v>6256</v>
      </c>
      <c r="B33646" s="38">
        <v>55145.0</v>
      </c>
      <c r="C33646" s="38" t="s">
        <v>37867</v>
      </c>
      <c r="D33646" s="38" t="str">
        <f>IFERROR(__xludf.DUMMYFUNCTION("REGEXREPLACE(C33646,""-\d+(.*)|--\d+(.*)"","""")"),"DAMVILLERS")</f>
        <v>DAMVILLERS</v>
      </c>
      <c r="E33646" s="38" t="s">
        <v>322</v>
      </c>
      <c r="F33646" s="38" t="s">
        <v>195</v>
      </c>
      <c r="G33646" s="49" t="str">
        <f t="shared" si="1"/>
        <v>55150</v>
      </c>
      <c r="H33646" s="49">
        <f t="shared" si="2"/>
        <v>55145</v>
      </c>
    </row>
    <row r="33647">
      <c r="A33647" s="48" t="s">
        <v>18871</v>
      </c>
      <c r="B33647" s="38">
        <v>42310.0</v>
      </c>
      <c r="C33647" s="38" t="s">
        <v>37868</v>
      </c>
      <c r="D33647" s="38" t="str">
        <f>IFERROR(__xludf.DUMMYFUNCTION("REGEXREPLACE(C33647,""-\d+(.*)|--\d+(.*)"","""")"),"THELIS-LA-COMBE")</f>
        <v>THELIS-LA-COMBE</v>
      </c>
      <c r="E33647" s="38" t="s">
        <v>166</v>
      </c>
      <c r="F33647" s="38" t="s">
        <v>102</v>
      </c>
      <c r="G33647" s="49" t="str">
        <f t="shared" si="1"/>
        <v>42220</v>
      </c>
      <c r="H33647" s="49">
        <f t="shared" si="2"/>
        <v>42310</v>
      </c>
    </row>
    <row r="33648">
      <c r="A33648" s="48" t="s">
        <v>4870</v>
      </c>
      <c r="B33648" s="38">
        <v>85030.0</v>
      </c>
      <c r="C33648" s="38" t="s">
        <v>37869</v>
      </c>
      <c r="D33648" s="38" t="str">
        <f>IFERROR(__xludf.DUMMYFUNCTION("REGEXREPLACE(C33648,""-\d+(.*)|--\d+(.*)"","""")"),"BOULOGNE")</f>
        <v>BOULOGNE</v>
      </c>
      <c r="E33648" s="38" t="s">
        <v>179</v>
      </c>
      <c r="F33648" s="38" t="s">
        <v>180</v>
      </c>
      <c r="G33648" s="49" t="str">
        <f t="shared" si="1"/>
        <v>85140</v>
      </c>
      <c r="H33648" s="49">
        <f t="shared" si="2"/>
        <v>85030</v>
      </c>
    </row>
    <row r="33649">
      <c r="A33649" s="48" t="s">
        <v>6515</v>
      </c>
      <c r="B33649" s="38">
        <v>62472.0</v>
      </c>
      <c r="C33649" s="38" t="s">
        <v>37870</v>
      </c>
      <c r="D33649" s="38" t="str">
        <f>IFERROR(__xludf.DUMMYFUNCTION("REGEXREPLACE(C33649,""-\d+(.*)|--\d+(.*)"","""")"),"INXENT")</f>
        <v>INXENT</v>
      </c>
      <c r="E33649" s="38" t="s">
        <v>109</v>
      </c>
      <c r="F33649" s="38" t="s">
        <v>86</v>
      </c>
      <c r="G33649" s="49" t="str">
        <f t="shared" si="1"/>
        <v>62170</v>
      </c>
      <c r="H33649" s="49">
        <f t="shared" si="2"/>
        <v>62472</v>
      </c>
    </row>
    <row r="33650">
      <c r="A33650" s="48" t="s">
        <v>7150</v>
      </c>
      <c r="B33650" s="38">
        <v>12037.0</v>
      </c>
      <c r="C33650" s="38" t="s">
        <v>37871</v>
      </c>
      <c r="D33650" s="38" t="str">
        <f>IFERROR(__xludf.DUMMYFUNCTION("REGEXREPLACE(C33650,""-\d+(.*)|--\d+(.*)"","""")"),"BROQUIES")</f>
        <v>BROQUIES</v>
      </c>
      <c r="E33650" s="38" t="s">
        <v>465</v>
      </c>
      <c r="F33650" s="38" t="s">
        <v>94</v>
      </c>
      <c r="G33650" s="49" t="str">
        <f t="shared" si="1"/>
        <v>12480</v>
      </c>
      <c r="H33650" s="49">
        <f t="shared" si="2"/>
        <v>12037</v>
      </c>
    </row>
    <row r="33651">
      <c r="A33651" s="48" t="s">
        <v>2010</v>
      </c>
      <c r="B33651" s="38">
        <v>49033.0</v>
      </c>
      <c r="C33651" s="38" t="s">
        <v>37872</v>
      </c>
      <c r="D33651" s="38" t="str">
        <f>IFERROR(__xludf.DUMMYFUNCTION("REGEXREPLACE(C33651,""-\d+(.*)|--\d+(.*)"","""")"),"LA BOISSIERE-SUR-EVRE")</f>
        <v>LA BOISSIERE-SUR-EVRE</v>
      </c>
      <c r="E33651" s="38" t="s">
        <v>653</v>
      </c>
      <c r="F33651" s="38" t="s">
        <v>180</v>
      </c>
      <c r="G33651" s="49" t="str">
        <f t="shared" si="1"/>
        <v>49110</v>
      </c>
      <c r="H33651" s="49">
        <f t="shared" si="2"/>
        <v>49033</v>
      </c>
    </row>
    <row r="33652">
      <c r="A33652" s="48" t="s">
        <v>13139</v>
      </c>
      <c r="B33652" s="38">
        <v>62304.0</v>
      </c>
      <c r="C33652" s="38" t="s">
        <v>37873</v>
      </c>
      <c r="D33652" s="38" t="str">
        <f>IFERROR(__xludf.DUMMYFUNCTION("REGEXREPLACE(C33652,""-\d+(.*)|--\d+(.*)"","""")"),"ERNY-SAINT-JULIEN")</f>
        <v>ERNY-SAINT-JULIEN</v>
      </c>
      <c r="E33652" s="38" t="s">
        <v>109</v>
      </c>
      <c r="F33652" s="38" t="s">
        <v>86</v>
      </c>
      <c r="G33652" s="49" t="str">
        <f t="shared" si="1"/>
        <v>62960</v>
      </c>
      <c r="H33652" s="49">
        <f t="shared" si="2"/>
        <v>62304</v>
      </c>
    </row>
    <row r="33653">
      <c r="A33653" s="48" t="s">
        <v>14636</v>
      </c>
      <c r="B33653" s="38">
        <v>38369.0</v>
      </c>
      <c r="C33653" s="38" t="s">
        <v>24338</v>
      </c>
      <c r="D33653" s="38" t="str">
        <f>IFERROR(__xludf.DUMMYFUNCTION("REGEXREPLACE(C33653,""-\d+(.*)|--\d+(.*)"","""")"),"SAINTE-BLANDINE")</f>
        <v>SAINTE-BLANDINE</v>
      </c>
      <c r="E33653" s="38" t="s">
        <v>101</v>
      </c>
      <c r="F33653" s="38" t="s">
        <v>102</v>
      </c>
      <c r="G33653" s="49" t="str">
        <f t="shared" si="1"/>
        <v>38110</v>
      </c>
      <c r="H33653" s="49">
        <f t="shared" si="2"/>
        <v>38369</v>
      </c>
    </row>
    <row r="33654">
      <c r="A33654" s="48" t="s">
        <v>1439</v>
      </c>
      <c r="B33654" s="38">
        <v>28213.0</v>
      </c>
      <c r="C33654" s="38" t="s">
        <v>37874</v>
      </c>
      <c r="D33654" s="38" t="str">
        <f>IFERROR(__xludf.DUMMYFUNCTION("REGEXREPLACE(C33654,""-\d+(.*)|--\d+(.*)"","""")"),"LORMAYE")</f>
        <v>LORMAYE</v>
      </c>
      <c r="E33654" s="38" t="s">
        <v>300</v>
      </c>
      <c r="F33654" s="38" t="s">
        <v>123</v>
      </c>
      <c r="G33654" s="49" t="str">
        <f t="shared" si="1"/>
        <v>28210</v>
      </c>
      <c r="H33654" s="49">
        <f t="shared" si="2"/>
        <v>28213</v>
      </c>
    </row>
    <row r="33655">
      <c r="A33655" s="48" t="s">
        <v>1195</v>
      </c>
      <c r="B33655" s="38">
        <v>80799.0</v>
      </c>
      <c r="C33655" s="38" t="s">
        <v>37875</v>
      </c>
      <c r="D33655" s="38" t="str">
        <f>IFERROR(__xludf.DUMMYFUNCTION("REGEXREPLACE(C33655,""-\d+(.*)|--\d+(.*)"","""")"),"VILLERS-BRETONNEUX")</f>
        <v>VILLERS-BRETONNEUX</v>
      </c>
      <c r="E33655" s="38" t="s">
        <v>224</v>
      </c>
      <c r="F33655" s="38" t="s">
        <v>113</v>
      </c>
      <c r="G33655" s="49" t="str">
        <f t="shared" si="1"/>
        <v>80800</v>
      </c>
      <c r="H33655" s="49">
        <f t="shared" si="2"/>
        <v>80799</v>
      </c>
    </row>
    <row r="33656">
      <c r="A33656" s="48" t="s">
        <v>8398</v>
      </c>
      <c r="B33656" s="38">
        <v>21472.0</v>
      </c>
      <c r="C33656" s="38" t="s">
        <v>11088</v>
      </c>
      <c r="D33656" s="38" t="str">
        <f>IFERROR(__xludf.DUMMYFUNCTION("REGEXREPLACE(C33656,""-\d+(.*)|--\d+(.*)"","""")"),"ORVILLE")</f>
        <v>ORVILLE</v>
      </c>
      <c r="E33656" s="38" t="s">
        <v>105</v>
      </c>
      <c r="F33656" s="38" t="s">
        <v>106</v>
      </c>
      <c r="G33656" s="49" t="str">
        <f t="shared" si="1"/>
        <v>21260</v>
      </c>
      <c r="H33656" s="49">
        <f t="shared" si="2"/>
        <v>21472</v>
      </c>
    </row>
    <row r="33657">
      <c r="A33657" s="48" t="s">
        <v>866</v>
      </c>
      <c r="B33657" s="38">
        <v>63156.0</v>
      </c>
      <c r="C33657" s="38" t="s">
        <v>37876</v>
      </c>
      <c r="D33657" s="38" t="str">
        <f>IFERROR(__xludf.DUMMYFUNCTION("REGEXREPLACE(C33657,""-\d+(.*)|--\d+(.*)"","""")"),"ESTEIL")</f>
        <v>ESTEIL</v>
      </c>
      <c r="E33657" s="38" t="s">
        <v>353</v>
      </c>
      <c r="F33657" s="38" t="s">
        <v>161</v>
      </c>
      <c r="G33657" s="49" t="str">
        <f t="shared" si="1"/>
        <v>63570</v>
      </c>
      <c r="H33657" s="49">
        <f t="shared" si="2"/>
        <v>63156</v>
      </c>
    </row>
    <row r="33658">
      <c r="A33658" s="48" t="s">
        <v>8654</v>
      </c>
      <c r="B33658" s="38">
        <v>57012.0</v>
      </c>
      <c r="C33658" s="38" t="s">
        <v>37877</v>
      </c>
      <c r="D33658" s="38" t="str">
        <f>IFERROR(__xludf.DUMMYFUNCTION("REGEXREPLACE(C33658,""-\d+(.*)|--\d+(.*)"","""")"),"ALGRANGE")</f>
        <v>ALGRANGE</v>
      </c>
      <c r="E33658" s="38" t="s">
        <v>303</v>
      </c>
      <c r="F33658" s="38" t="s">
        <v>195</v>
      </c>
      <c r="G33658" s="49" t="str">
        <f t="shared" si="1"/>
        <v>57440</v>
      </c>
      <c r="H33658" s="49">
        <f t="shared" si="2"/>
        <v>57012</v>
      </c>
    </row>
    <row r="33659">
      <c r="A33659" s="48" t="s">
        <v>37878</v>
      </c>
      <c r="B33659" s="38">
        <v>75103.0</v>
      </c>
      <c r="C33659" s="38" t="s">
        <v>37879</v>
      </c>
      <c r="D33659" s="38" t="str">
        <f>IFERROR(__xludf.DUMMYFUNCTION("REGEXREPLACE(C33659,""-\d+(.*)|--\d+(.*)"","""")"),"PARIS")</f>
        <v>PARIS</v>
      </c>
      <c r="E33659" s="38" t="s">
        <v>823</v>
      </c>
      <c r="F33659" s="38" t="s">
        <v>245</v>
      </c>
      <c r="G33659" s="49" t="str">
        <f t="shared" si="1"/>
        <v>75003</v>
      </c>
      <c r="H33659" s="49">
        <f t="shared" si="2"/>
        <v>75103</v>
      </c>
    </row>
    <row r="33660">
      <c r="A33660" s="48" t="s">
        <v>5237</v>
      </c>
      <c r="B33660" s="38">
        <v>69181.0</v>
      </c>
      <c r="C33660" s="38" t="s">
        <v>37880</v>
      </c>
      <c r="D33660" s="38" t="str">
        <f>IFERROR(__xludf.DUMMYFUNCTION("REGEXREPLACE(C33660,""-\d+(.*)|--\d+(.*)"","""")"),"SAINT-APPOLINAIRE")</f>
        <v>SAINT-APPOLINAIRE</v>
      </c>
      <c r="E33660" s="38" t="s">
        <v>350</v>
      </c>
      <c r="F33660" s="38" t="s">
        <v>102</v>
      </c>
      <c r="G33660" s="49" t="str">
        <f t="shared" si="1"/>
        <v>69170</v>
      </c>
      <c r="H33660" s="49">
        <f t="shared" si="2"/>
        <v>69181</v>
      </c>
    </row>
    <row r="33661">
      <c r="A33661" s="48" t="s">
        <v>6052</v>
      </c>
      <c r="B33661" s="38">
        <v>5162.0</v>
      </c>
      <c r="C33661" s="38" t="s">
        <v>37881</v>
      </c>
      <c r="D33661" s="38" t="str">
        <f>IFERROR(__xludf.DUMMYFUNCTION("REGEXREPLACE(C33661,""-\d+(.*)|--\d+(.*)"","""")"),"LA SAULCE")</f>
        <v>LA SAULCE</v>
      </c>
      <c r="E33661" s="38" t="s">
        <v>706</v>
      </c>
      <c r="F33661" s="38" t="s">
        <v>228</v>
      </c>
      <c r="G33661" s="49" t="str">
        <f t="shared" si="1"/>
        <v>05110</v>
      </c>
      <c r="H33661" s="49" t="str">
        <f t="shared" si="2"/>
        <v>05162</v>
      </c>
    </row>
    <row r="33662">
      <c r="A33662" s="48" t="s">
        <v>1588</v>
      </c>
      <c r="B33662" s="38">
        <v>9335.0</v>
      </c>
      <c r="C33662" s="38" t="s">
        <v>9167</v>
      </c>
      <c r="D33662" s="38" t="str">
        <f>IFERROR(__xludf.DUMMYFUNCTION("REGEXREPLACE(C33662,""-\d+(.*)|--\d+(.*)"","""")"),"VILLENEUVE")</f>
        <v>VILLENEUVE</v>
      </c>
      <c r="E33662" s="38" t="s">
        <v>238</v>
      </c>
      <c r="F33662" s="38" t="s">
        <v>94</v>
      </c>
      <c r="G33662" s="49" t="str">
        <f t="shared" si="1"/>
        <v>09800</v>
      </c>
      <c r="H33662" s="49" t="str">
        <f t="shared" si="2"/>
        <v>09335</v>
      </c>
    </row>
    <row r="33663">
      <c r="A33663" s="48" t="s">
        <v>7614</v>
      </c>
      <c r="B33663" s="38">
        <v>50261.0</v>
      </c>
      <c r="C33663" s="38" t="s">
        <v>30850</v>
      </c>
      <c r="D33663" s="38" t="str">
        <f>IFERROR(__xludf.DUMMYFUNCTION("REGEXREPLACE(C33663,""-\d+(.*)|--\d+(.*)"","""")"),"LAMBERVILLE")</f>
        <v>LAMBERVILLE</v>
      </c>
      <c r="E33663" s="38" t="s">
        <v>157</v>
      </c>
      <c r="F33663" s="38" t="s">
        <v>138</v>
      </c>
      <c r="G33663" s="49" t="str">
        <f t="shared" si="1"/>
        <v>50160</v>
      </c>
      <c r="H33663" s="49">
        <f t="shared" si="2"/>
        <v>50261</v>
      </c>
    </row>
    <row r="33664">
      <c r="A33664" s="48" t="s">
        <v>7893</v>
      </c>
      <c r="B33664" s="38">
        <v>63176.0</v>
      </c>
      <c r="C33664" s="38" t="s">
        <v>37882</v>
      </c>
      <c r="D33664" s="38" t="str">
        <f>IFERROR(__xludf.DUMMYFUNCTION("REGEXREPLACE(C33664,""-\d+(.*)|--\d+(.*)"","""")"),"HEUME-L'EGLISE")</f>
        <v>HEUME-L'EGLISE</v>
      </c>
      <c r="E33664" s="38" t="s">
        <v>353</v>
      </c>
      <c r="F33664" s="38" t="s">
        <v>161</v>
      </c>
      <c r="G33664" s="49" t="str">
        <f t="shared" si="1"/>
        <v>63210</v>
      </c>
      <c r="H33664" s="49">
        <f t="shared" si="2"/>
        <v>63176</v>
      </c>
    </row>
    <row r="33665">
      <c r="A33665" s="48" t="s">
        <v>1446</v>
      </c>
      <c r="B33665" s="38">
        <v>76298.0</v>
      </c>
      <c r="C33665" s="38" t="s">
        <v>37883</v>
      </c>
      <c r="D33665" s="38" t="str">
        <f>IFERROR(__xludf.DUMMYFUNCTION("REGEXREPLACE(C33665,""-\d+(.*)|--\d+(.*)"","""")"),"GANZEVILLE")</f>
        <v>GANZEVILLE</v>
      </c>
      <c r="E33665" s="38" t="s">
        <v>133</v>
      </c>
      <c r="F33665" s="38" t="s">
        <v>134</v>
      </c>
      <c r="G33665" s="49" t="str">
        <f t="shared" si="1"/>
        <v>76400</v>
      </c>
      <c r="H33665" s="49">
        <f t="shared" si="2"/>
        <v>76298</v>
      </c>
    </row>
    <row r="33666">
      <c r="A33666" s="48" t="s">
        <v>1321</v>
      </c>
      <c r="B33666" s="38">
        <v>67464.0</v>
      </c>
      <c r="C33666" s="38" t="s">
        <v>37884</v>
      </c>
      <c r="D33666" s="38" t="str">
        <f>IFERROR(__xludf.DUMMYFUNCTION("REGEXREPLACE(C33666,""-\d+(.*)|--\d+(.*)"","""")"),"SERMERSHEIM")</f>
        <v>SERMERSHEIM</v>
      </c>
      <c r="E33666" s="38" t="s">
        <v>210</v>
      </c>
      <c r="F33666" s="38" t="s">
        <v>151</v>
      </c>
      <c r="G33666" s="49" t="str">
        <f t="shared" si="1"/>
        <v>67230</v>
      </c>
      <c r="H33666" s="49">
        <f t="shared" si="2"/>
        <v>67464</v>
      </c>
    </row>
    <row r="33667">
      <c r="A33667" s="48" t="s">
        <v>32444</v>
      </c>
      <c r="B33667" s="38">
        <v>2831.0</v>
      </c>
      <c r="C33667" s="38" t="s">
        <v>37885</v>
      </c>
      <c r="D33667" s="38" t="str">
        <f>IFERROR(__xludf.DUMMYFUNCTION("REGEXREPLACE(C33667,""-\d+(.*)|--\d+(.*)"","""")"),"WATIGNY")</f>
        <v>WATIGNY</v>
      </c>
      <c r="E33667" s="38" t="s">
        <v>191</v>
      </c>
      <c r="F33667" s="38" t="s">
        <v>113</v>
      </c>
      <c r="G33667" s="49" t="str">
        <f t="shared" si="1"/>
        <v>02830</v>
      </c>
      <c r="H33667" s="49" t="str">
        <f t="shared" si="2"/>
        <v>02831</v>
      </c>
    </row>
    <row r="33668">
      <c r="A33668" s="48" t="s">
        <v>24735</v>
      </c>
      <c r="B33668" s="38">
        <v>52130.0</v>
      </c>
      <c r="C33668" s="38" t="s">
        <v>37886</v>
      </c>
      <c r="D33668" s="38" t="str">
        <f>IFERROR(__xludf.DUMMYFUNCTION("REGEXREPLACE(C33668,""-\d+(.*)|--\d+(.*)"","""")"),"CIRFONTAINES-EN-AZOIS")</f>
        <v>CIRFONTAINES-EN-AZOIS</v>
      </c>
      <c r="E33668" s="38" t="s">
        <v>234</v>
      </c>
      <c r="F33668" s="38" t="s">
        <v>130</v>
      </c>
      <c r="G33668" s="49" t="str">
        <f t="shared" si="1"/>
        <v>52370</v>
      </c>
      <c r="H33668" s="49">
        <f t="shared" si="2"/>
        <v>52130</v>
      </c>
    </row>
    <row r="33669">
      <c r="A33669" s="48" t="s">
        <v>10624</v>
      </c>
      <c r="B33669" s="38">
        <v>90078.0</v>
      </c>
      <c r="C33669" s="38" t="s">
        <v>37887</v>
      </c>
      <c r="D33669" s="38" t="str">
        <f>IFERROR(__xludf.DUMMYFUNCTION("REGEXREPLACE(C33669,""-\d+(.*)|--\d+(.*)"","""")"),"PETITEFONTAINE")</f>
        <v>PETITEFONTAINE</v>
      </c>
      <c r="E33669" s="38" t="s">
        <v>1283</v>
      </c>
      <c r="F33669" s="38" t="s">
        <v>214</v>
      </c>
      <c r="G33669" s="49" t="str">
        <f t="shared" si="1"/>
        <v>90360</v>
      </c>
      <c r="H33669" s="49">
        <f t="shared" si="2"/>
        <v>90078</v>
      </c>
    </row>
    <row r="33670">
      <c r="A33670" s="48" t="s">
        <v>7431</v>
      </c>
      <c r="B33670" s="38">
        <v>77320.0</v>
      </c>
      <c r="C33670" s="38" t="s">
        <v>37888</v>
      </c>
      <c r="D33670" s="38" t="str">
        <f>IFERROR(__xludf.DUMMYFUNCTION("REGEXREPLACE(C33670,""-\d+(.*)|--\d+(.*)"","""")"),"MOUROUX")</f>
        <v>MOUROUX</v>
      </c>
      <c r="E33670" s="38" t="s">
        <v>244</v>
      </c>
      <c r="F33670" s="38" t="s">
        <v>245</v>
      </c>
      <c r="G33670" s="49" t="str">
        <f t="shared" si="1"/>
        <v>77120</v>
      </c>
      <c r="H33670" s="49">
        <f t="shared" si="2"/>
        <v>77320</v>
      </c>
    </row>
    <row r="33671">
      <c r="A33671" s="48" t="s">
        <v>3498</v>
      </c>
      <c r="B33671" s="38">
        <v>38222.0</v>
      </c>
      <c r="C33671" s="38" t="s">
        <v>37889</v>
      </c>
      <c r="D33671" s="38" t="str">
        <f>IFERROR(__xludf.DUMMYFUNCTION("REGEXREPLACE(C33671,""-\d+(.*)|--\d+(.*)"","""")"),"MASSIEU")</f>
        <v>MASSIEU</v>
      </c>
      <c r="E33671" s="38" t="s">
        <v>101</v>
      </c>
      <c r="F33671" s="38" t="s">
        <v>102</v>
      </c>
      <c r="G33671" s="49" t="str">
        <f t="shared" si="1"/>
        <v>38620</v>
      </c>
      <c r="H33671" s="49">
        <f t="shared" si="2"/>
        <v>38222</v>
      </c>
    </row>
    <row r="33672">
      <c r="A33672" s="48" t="s">
        <v>12972</v>
      </c>
      <c r="B33672" s="38" t="s">
        <v>37890</v>
      </c>
      <c r="C33672" s="38" t="s">
        <v>37891</v>
      </c>
      <c r="D33672" s="38" t="str">
        <f>IFERROR(__xludf.DUMMYFUNCTION("REGEXREPLACE(C33672,""-\d+(.*)|--\d+(.*)"","""")"),"LOZZI")</f>
        <v>LOZZI</v>
      </c>
      <c r="E33672" s="38" t="s">
        <v>743</v>
      </c>
      <c r="F33672" s="38" t="s">
        <v>607</v>
      </c>
      <c r="G33672" s="49" t="str">
        <f t="shared" si="1"/>
        <v>20224</v>
      </c>
      <c r="H33672" s="49" t="str">
        <f t="shared" si="2"/>
        <v>2B147</v>
      </c>
    </row>
    <row r="33673">
      <c r="A33673" s="48" t="s">
        <v>1288</v>
      </c>
      <c r="B33673" s="38">
        <v>64512.0</v>
      </c>
      <c r="C33673" s="38" t="s">
        <v>37892</v>
      </c>
      <c r="D33673" s="38" t="str">
        <f>IFERROR(__xludf.DUMMYFUNCTION("REGEXREPLACE(C33673,""-\d+(.*)|--\d+(.*)"","""")"),"SAUVELADE")</f>
        <v>SAUVELADE</v>
      </c>
      <c r="E33673" s="38" t="s">
        <v>268</v>
      </c>
      <c r="F33673" s="38" t="s">
        <v>252</v>
      </c>
      <c r="G33673" s="49" t="str">
        <f t="shared" si="1"/>
        <v>64150</v>
      </c>
      <c r="H33673" s="49">
        <f t="shared" si="2"/>
        <v>64512</v>
      </c>
    </row>
    <row r="33674">
      <c r="A33674" s="48" t="s">
        <v>4088</v>
      </c>
      <c r="B33674" s="38">
        <v>39109.0</v>
      </c>
      <c r="C33674" s="38" t="s">
        <v>37893</v>
      </c>
      <c r="D33674" s="38" t="str">
        <f>IFERROR(__xludf.DUMMYFUNCTION("REGEXREPLACE(C33674,""-\d+(.*)|--\d+(.*)"","""")"),"CHAREZIER")</f>
        <v>CHAREZIER</v>
      </c>
      <c r="E33674" s="38" t="s">
        <v>400</v>
      </c>
      <c r="F33674" s="38" t="s">
        <v>214</v>
      </c>
      <c r="G33674" s="49" t="str">
        <f t="shared" si="1"/>
        <v>39130</v>
      </c>
      <c r="H33674" s="49">
        <f t="shared" si="2"/>
        <v>39109</v>
      </c>
    </row>
    <row r="33675">
      <c r="A33675" s="48" t="s">
        <v>13650</v>
      </c>
      <c r="B33675" s="38">
        <v>40155.0</v>
      </c>
      <c r="C33675" s="38" t="s">
        <v>37894</v>
      </c>
      <c r="D33675" s="38" t="str">
        <f>IFERROR(__xludf.DUMMYFUNCTION("REGEXREPLACE(C33675,""-\d+(.*)|--\d+(.*)"","""")"),"LINXE")</f>
        <v>LINXE</v>
      </c>
      <c r="E33675" s="38" t="s">
        <v>281</v>
      </c>
      <c r="F33675" s="38" t="s">
        <v>252</v>
      </c>
      <c r="G33675" s="49" t="str">
        <f t="shared" si="1"/>
        <v>40260</v>
      </c>
      <c r="H33675" s="49">
        <f t="shared" si="2"/>
        <v>40155</v>
      </c>
    </row>
    <row r="33676">
      <c r="A33676" s="48" t="s">
        <v>1976</v>
      </c>
      <c r="B33676" s="38">
        <v>1281.0</v>
      </c>
      <c r="C33676" s="38" t="s">
        <v>37895</v>
      </c>
      <c r="D33676" s="38" t="str">
        <f>IFERROR(__xludf.DUMMYFUNCTION("REGEXREPLACE(C33676,""-\d+(.*)|--\d+(.*)"","""")"),"ORNEX")</f>
        <v>ORNEX</v>
      </c>
      <c r="E33676" s="38" t="s">
        <v>255</v>
      </c>
      <c r="F33676" s="38" t="s">
        <v>102</v>
      </c>
      <c r="G33676" s="49" t="str">
        <f t="shared" si="1"/>
        <v>01210</v>
      </c>
      <c r="H33676" s="49" t="str">
        <f t="shared" si="2"/>
        <v>01281</v>
      </c>
    </row>
    <row r="33677">
      <c r="A33677" s="48" t="s">
        <v>18556</v>
      </c>
      <c r="B33677" s="38">
        <v>62709.0</v>
      </c>
      <c r="C33677" s="38" t="s">
        <v>37896</v>
      </c>
      <c r="D33677" s="38" t="str">
        <f>IFERROR(__xludf.DUMMYFUNCTION("REGEXREPLACE(C33677,""-\d+(.*)|--\d+(.*)"","""")"),"RIENCOURT-LES-CAGNICOURT")</f>
        <v>RIENCOURT-LES-CAGNICOURT</v>
      </c>
      <c r="E33677" s="38" t="s">
        <v>109</v>
      </c>
      <c r="F33677" s="38" t="s">
        <v>86</v>
      </c>
      <c r="G33677" s="49" t="str">
        <f t="shared" si="1"/>
        <v>62182</v>
      </c>
      <c r="H33677" s="49">
        <f t="shared" si="2"/>
        <v>62709</v>
      </c>
    </row>
    <row r="33678">
      <c r="A33678" s="48" t="s">
        <v>1310</v>
      </c>
      <c r="B33678" s="38">
        <v>25300.0</v>
      </c>
      <c r="C33678" s="38" t="s">
        <v>37897</v>
      </c>
      <c r="D33678" s="38" t="str">
        <f>IFERROR(__xludf.DUMMYFUNCTION("REGEXREPLACE(C33678,""-\d+(.*)|--\d+(.*)"","""")"),"GUYANS-DURNES")</f>
        <v>GUYANS-DURNES</v>
      </c>
      <c r="E33678" s="38" t="s">
        <v>213</v>
      </c>
      <c r="F33678" s="38" t="s">
        <v>214</v>
      </c>
      <c r="G33678" s="49" t="str">
        <f t="shared" si="1"/>
        <v>25580</v>
      </c>
      <c r="H33678" s="49">
        <f t="shared" si="2"/>
        <v>25300</v>
      </c>
    </row>
    <row r="33679">
      <c r="A33679" s="48" t="s">
        <v>10710</v>
      </c>
      <c r="B33679" s="38">
        <v>77361.0</v>
      </c>
      <c r="C33679" s="38" t="s">
        <v>37898</v>
      </c>
      <c r="D33679" s="38" t="str">
        <f>IFERROR(__xludf.DUMMYFUNCTION("REGEXREPLACE(C33679,""-\d+(.*)|--\d+(.*)"","""")"),"PIERRE-LEVEE")</f>
        <v>PIERRE-LEVEE</v>
      </c>
      <c r="E33679" s="38" t="s">
        <v>244</v>
      </c>
      <c r="F33679" s="38" t="s">
        <v>245</v>
      </c>
      <c r="G33679" s="49" t="str">
        <f t="shared" si="1"/>
        <v>77580</v>
      </c>
      <c r="H33679" s="49">
        <f t="shared" si="2"/>
        <v>77361</v>
      </c>
    </row>
    <row r="33680">
      <c r="A33680" s="48" t="s">
        <v>23486</v>
      </c>
      <c r="B33680" s="38">
        <v>63104.0</v>
      </c>
      <c r="C33680" s="38" t="s">
        <v>37899</v>
      </c>
      <c r="D33680" s="38" t="str">
        <f>IFERROR(__xludf.DUMMYFUNCTION("REGEXREPLACE(C33680,""-\d+(.*)|--\d+(.*)"","""")"),"LA CHAULME")</f>
        <v>LA CHAULME</v>
      </c>
      <c r="E33680" s="38" t="s">
        <v>353</v>
      </c>
      <c r="F33680" s="38" t="s">
        <v>161</v>
      </c>
      <c r="G33680" s="49" t="str">
        <f t="shared" si="1"/>
        <v>63660</v>
      </c>
      <c r="H33680" s="49">
        <f t="shared" si="2"/>
        <v>63104</v>
      </c>
    </row>
    <row r="33681">
      <c r="A33681" s="48" t="s">
        <v>3133</v>
      </c>
      <c r="B33681" s="38">
        <v>79050.0</v>
      </c>
      <c r="C33681" s="38" t="s">
        <v>37900</v>
      </c>
      <c r="D33681" s="38" t="str">
        <f>IFERROR(__xludf.DUMMYFUNCTION("REGEXREPLACE(C33681,""-\d+(.*)|--\d+(.*)"","""")"),"BRETIGNOLLES")</f>
        <v>BRETIGNOLLES</v>
      </c>
      <c r="E33681" s="38" t="s">
        <v>337</v>
      </c>
      <c r="F33681" s="38" t="s">
        <v>338</v>
      </c>
      <c r="G33681" s="49" t="str">
        <f t="shared" si="1"/>
        <v>79140</v>
      </c>
      <c r="H33681" s="49">
        <f t="shared" si="2"/>
        <v>79050</v>
      </c>
    </row>
    <row r="33682">
      <c r="A33682" s="48" t="s">
        <v>19492</v>
      </c>
      <c r="B33682" s="38">
        <v>71398.0</v>
      </c>
      <c r="C33682" s="38" t="s">
        <v>37901</v>
      </c>
      <c r="D33682" s="38" t="str">
        <f>IFERROR(__xludf.DUMMYFUNCTION("REGEXREPLACE(C33682,""-\d+(.*)|--\d+(.*)"","""")"),"SAINT-CHRISTOPHE-EN-BRESSE")</f>
        <v>SAINT-CHRISTOPHE-EN-BRESSE</v>
      </c>
      <c r="E33682" s="38" t="s">
        <v>344</v>
      </c>
      <c r="F33682" s="38" t="s">
        <v>106</v>
      </c>
      <c r="G33682" s="49" t="str">
        <f t="shared" si="1"/>
        <v>71370</v>
      </c>
      <c r="H33682" s="49">
        <f t="shared" si="2"/>
        <v>71398</v>
      </c>
    </row>
    <row r="33683">
      <c r="A33683" s="48" t="s">
        <v>11240</v>
      </c>
      <c r="B33683" s="38">
        <v>51440.0</v>
      </c>
      <c r="C33683" s="38" t="s">
        <v>37902</v>
      </c>
      <c r="D33683" s="38" t="str">
        <f>IFERROR(__xludf.DUMMYFUNCTION("REGEXREPLACE(C33683,""-\d+(.*)|--\d+(.*)"","""")"),"PONTFAVERGER-MORONVILLIERS")</f>
        <v>PONTFAVERGER-MORONVILLIERS</v>
      </c>
      <c r="E33683" s="38" t="s">
        <v>129</v>
      </c>
      <c r="F33683" s="38" t="s">
        <v>130</v>
      </c>
      <c r="G33683" s="49" t="str">
        <f t="shared" si="1"/>
        <v>51490</v>
      </c>
      <c r="H33683" s="49">
        <f t="shared" si="2"/>
        <v>51440</v>
      </c>
    </row>
    <row r="33684">
      <c r="A33684" s="48" t="s">
        <v>6197</v>
      </c>
      <c r="B33684" s="38">
        <v>19213.0</v>
      </c>
      <c r="C33684" s="38" t="s">
        <v>37903</v>
      </c>
      <c r="D33684" s="38" t="str">
        <f>IFERROR(__xludf.DUMMYFUNCTION("REGEXREPLACE(C33684,""-\d+(.*)|--\d+(.*)"","""")"),"SAINT-JAL")</f>
        <v>SAINT-JAL</v>
      </c>
      <c r="E33684" s="38" t="s">
        <v>271</v>
      </c>
      <c r="F33684" s="38" t="s">
        <v>98</v>
      </c>
      <c r="G33684" s="49" t="str">
        <f t="shared" si="1"/>
        <v>19700</v>
      </c>
      <c r="H33684" s="49">
        <f t="shared" si="2"/>
        <v>19213</v>
      </c>
    </row>
    <row r="33685">
      <c r="A33685" s="48" t="s">
        <v>10253</v>
      </c>
      <c r="B33685" s="38">
        <v>48108.0</v>
      </c>
      <c r="C33685" s="38" t="s">
        <v>37904</v>
      </c>
      <c r="D33685" s="38" t="str">
        <f>IFERROR(__xludf.DUMMYFUNCTION("REGEXREPLACE(C33685,""-\d+(.*)|--\d+(.*)"","""")"),"LA PANOUSE")</f>
        <v>LA PANOUSE</v>
      </c>
      <c r="E33685" s="38" t="s">
        <v>154</v>
      </c>
      <c r="F33685" s="38" t="s">
        <v>119</v>
      </c>
      <c r="G33685" s="49" t="str">
        <f t="shared" si="1"/>
        <v>48600</v>
      </c>
      <c r="H33685" s="49">
        <f t="shared" si="2"/>
        <v>48108</v>
      </c>
    </row>
    <row r="33686">
      <c r="A33686" s="48" t="s">
        <v>2408</v>
      </c>
      <c r="B33686" s="38">
        <v>30121.0</v>
      </c>
      <c r="C33686" s="38" t="s">
        <v>37905</v>
      </c>
      <c r="D33686" s="38" t="str">
        <f>IFERROR(__xludf.DUMMYFUNCTION("REGEXREPLACE(C33686,""-\d+(.*)|--\d+(.*)"","""")"),"GAILHAN")</f>
        <v>GAILHAN</v>
      </c>
      <c r="E33686" s="38" t="s">
        <v>526</v>
      </c>
      <c r="F33686" s="38" t="s">
        <v>119</v>
      </c>
      <c r="G33686" s="49" t="str">
        <f t="shared" si="1"/>
        <v>30260</v>
      </c>
      <c r="H33686" s="49">
        <f t="shared" si="2"/>
        <v>30121</v>
      </c>
    </row>
    <row r="33687">
      <c r="A33687" s="48" t="s">
        <v>1792</v>
      </c>
      <c r="B33687" s="38">
        <v>1182.0</v>
      </c>
      <c r="C33687" s="38" t="s">
        <v>37906</v>
      </c>
      <c r="D33687" s="38" t="str">
        <f>IFERROR(__xludf.DUMMYFUNCTION("REGEXREPLACE(C33687,""-\d+(.*)|--\d+(.*)"","""")"),"GROSLEE")</f>
        <v>GROSLEE</v>
      </c>
      <c r="E33687" s="38" t="s">
        <v>255</v>
      </c>
      <c r="F33687" s="38" t="s">
        <v>102</v>
      </c>
      <c r="G33687" s="49" t="str">
        <f t="shared" si="1"/>
        <v>01680</v>
      </c>
      <c r="H33687" s="49" t="str">
        <f t="shared" si="2"/>
        <v>01182</v>
      </c>
    </row>
    <row r="33688">
      <c r="A33688" s="48" t="s">
        <v>24086</v>
      </c>
      <c r="B33688" s="38">
        <v>8237.0</v>
      </c>
      <c r="C33688" s="38" t="s">
        <v>37907</v>
      </c>
      <c r="D33688" s="38" t="str">
        <f>IFERROR(__xludf.DUMMYFUNCTION("REGEXREPLACE(C33688,""-\d+(.*)|--\d+(.*)"","""")"),"JOIGNY-SUR-MEUSE")</f>
        <v>JOIGNY-SUR-MEUSE</v>
      </c>
      <c r="E33688" s="38" t="s">
        <v>327</v>
      </c>
      <c r="F33688" s="38" t="s">
        <v>130</v>
      </c>
      <c r="G33688" s="49" t="str">
        <f t="shared" si="1"/>
        <v>08700</v>
      </c>
      <c r="H33688" s="49" t="str">
        <f t="shared" si="2"/>
        <v>08237</v>
      </c>
    </row>
    <row r="33689">
      <c r="A33689" s="48" t="s">
        <v>37908</v>
      </c>
      <c r="B33689" s="38">
        <v>35352.0</v>
      </c>
      <c r="C33689" s="38" t="s">
        <v>37909</v>
      </c>
      <c r="D33689" s="38" t="str">
        <f>IFERROR(__xludf.DUMMYFUNCTION("REGEXREPLACE(C33689,""-\d+(.*)|--\d+(.*)"","""")"),"VERN-SUR-SEICHE")</f>
        <v>VERN-SUR-SEICHE</v>
      </c>
      <c r="E33689" s="38" t="s">
        <v>347</v>
      </c>
      <c r="F33689" s="38" t="s">
        <v>90</v>
      </c>
      <c r="G33689" s="49" t="str">
        <f t="shared" si="1"/>
        <v>35770</v>
      </c>
      <c r="H33689" s="49">
        <f t="shared" si="2"/>
        <v>35352</v>
      </c>
    </row>
    <row r="33690">
      <c r="A33690" s="48" t="s">
        <v>7388</v>
      </c>
      <c r="B33690" s="38">
        <v>42194.0</v>
      </c>
      <c r="C33690" s="38" t="s">
        <v>37910</v>
      </c>
      <c r="D33690" s="38" t="str">
        <f>IFERROR(__xludf.DUMMYFUNCTION("REGEXREPLACE(C33690,""-\d+(.*)|--\d+(.*)"","""")"),"SAIL-LES-BAINS")</f>
        <v>SAIL-LES-BAINS</v>
      </c>
      <c r="E33690" s="38" t="s">
        <v>166</v>
      </c>
      <c r="F33690" s="38" t="s">
        <v>102</v>
      </c>
      <c r="G33690" s="49" t="str">
        <f t="shared" si="1"/>
        <v>42310</v>
      </c>
      <c r="H33690" s="49">
        <f t="shared" si="2"/>
        <v>42194</v>
      </c>
    </row>
    <row r="33691">
      <c r="A33691" s="48" t="s">
        <v>10008</v>
      </c>
      <c r="B33691" s="38">
        <v>36131.0</v>
      </c>
      <c r="C33691" s="38" t="s">
        <v>37911</v>
      </c>
      <c r="D33691" s="38" t="str">
        <f>IFERROR(__xludf.DUMMYFUNCTION("REGEXREPLACE(C33691,""-\d+(.*)|--\d+(.*)"","""")"),"MOSNAY")</f>
        <v>MOSNAY</v>
      </c>
      <c r="E33691" s="38" t="s">
        <v>258</v>
      </c>
      <c r="F33691" s="38" t="s">
        <v>123</v>
      </c>
      <c r="G33691" s="49" t="str">
        <f t="shared" si="1"/>
        <v>36200</v>
      </c>
      <c r="H33691" s="49">
        <f t="shared" si="2"/>
        <v>36131</v>
      </c>
    </row>
    <row r="33692">
      <c r="A33692" s="48" t="s">
        <v>637</v>
      </c>
      <c r="B33692" s="38">
        <v>1089.0</v>
      </c>
      <c r="C33692" s="38" t="s">
        <v>37912</v>
      </c>
      <c r="D33692" s="38" t="str">
        <f>IFERROR(__xludf.DUMMYFUNCTION("REGEXREPLACE(C33692,""-\d+(.*)|--\d+(.*)"","""")"),"CHATEAU-GAILLARD")</f>
        <v>CHATEAU-GAILLARD</v>
      </c>
      <c r="E33692" s="38" t="s">
        <v>255</v>
      </c>
      <c r="F33692" s="38" t="s">
        <v>102</v>
      </c>
      <c r="G33692" s="49" t="str">
        <f t="shared" si="1"/>
        <v>01500</v>
      </c>
      <c r="H33692" s="49" t="str">
        <f t="shared" si="2"/>
        <v>01089</v>
      </c>
    </row>
    <row r="33693">
      <c r="A33693" s="48" t="s">
        <v>2773</v>
      </c>
      <c r="B33693" s="38">
        <v>21700.0</v>
      </c>
      <c r="C33693" s="38" t="s">
        <v>37913</v>
      </c>
      <c r="D33693" s="38" t="str">
        <f>IFERROR(__xludf.DUMMYFUNCTION("REGEXREPLACE(C33693,""-\d+(.*)|--\d+(.*)"","""")"),"VILLERS-PATRAS")</f>
        <v>VILLERS-PATRAS</v>
      </c>
      <c r="E33693" s="38" t="s">
        <v>105</v>
      </c>
      <c r="F33693" s="38" t="s">
        <v>106</v>
      </c>
      <c r="G33693" s="49" t="str">
        <f t="shared" si="1"/>
        <v>21400</v>
      </c>
      <c r="H33693" s="49">
        <f t="shared" si="2"/>
        <v>21700</v>
      </c>
    </row>
    <row r="33694">
      <c r="A33694" s="48" t="s">
        <v>3689</v>
      </c>
      <c r="B33694" s="38">
        <v>1412.0</v>
      </c>
      <c r="C33694" s="38" t="s">
        <v>37914</v>
      </c>
      <c r="D33694" s="38" t="str">
        <f>IFERROR(__xludf.DUMMYFUNCTION("REGEXREPLACE(C33694,""-\d+(.*)|--\d+(.*)"","""")"),"SULIGNAT")</f>
        <v>SULIGNAT</v>
      </c>
      <c r="E33694" s="38" t="s">
        <v>255</v>
      </c>
      <c r="F33694" s="38" t="s">
        <v>102</v>
      </c>
      <c r="G33694" s="49" t="str">
        <f t="shared" si="1"/>
        <v>01400</v>
      </c>
      <c r="H33694" s="49" t="str">
        <f t="shared" si="2"/>
        <v>01412</v>
      </c>
    </row>
    <row r="33695">
      <c r="A33695" s="48" t="s">
        <v>37915</v>
      </c>
      <c r="B33695" s="38">
        <v>13003.0</v>
      </c>
      <c r="C33695" s="38" t="s">
        <v>37916</v>
      </c>
      <c r="D33695" s="38" t="str">
        <f>IFERROR(__xludf.DUMMYFUNCTION("REGEXREPLACE(C33695,""-\d+(.*)|--\d+(.*)"","""")"),"ALLEINS")</f>
        <v>ALLEINS</v>
      </c>
      <c r="E33695" s="38" t="s">
        <v>980</v>
      </c>
      <c r="F33695" s="38" t="s">
        <v>228</v>
      </c>
      <c r="G33695" s="49" t="str">
        <f t="shared" si="1"/>
        <v>13980</v>
      </c>
      <c r="H33695" s="49">
        <f t="shared" si="2"/>
        <v>13003</v>
      </c>
    </row>
    <row r="33696">
      <c r="A33696" s="48" t="s">
        <v>3988</v>
      </c>
      <c r="B33696" s="38">
        <v>51028.0</v>
      </c>
      <c r="C33696" s="38" t="s">
        <v>37917</v>
      </c>
      <c r="D33696" s="38" t="str">
        <f>IFERROR(__xludf.DUMMYFUNCTION("REGEXREPLACE(C33696,""-\d+(.*)|--\d+(.*)"","""")"),"AVENAY-VAL-D'OR")</f>
        <v>AVENAY-VAL-D'OR</v>
      </c>
      <c r="E33696" s="38" t="s">
        <v>129</v>
      </c>
      <c r="F33696" s="38" t="s">
        <v>130</v>
      </c>
      <c r="G33696" s="49" t="str">
        <f t="shared" si="1"/>
        <v>51160</v>
      </c>
      <c r="H33696" s="49">
        <f t="shared" si="2"/>
        <v>51028</v>
      </c>
    </row>
    <row r="33697">
      <c r="A33697" s="48" t="s">
        <v>8600</v>
      </c>
      <c r="B33697" s="38">
        <v>68206.0</v>
      </c>
      <c r="C33697" s="38" t="s">
        <v>37918</v>
      </c>
      <c r="D33697" s="38" t="str">
        <f>IFERROR(__xludf.DUMMYFUNCTION("REGEXREPLACE(C33697,""-\d+(.*)|--\d+(.*)"","""")"),"MICHELBACH")</f>
        <v>MICHELBACH</v>
      </c>
      <c r="E33697" s="38" t="s">
        <v>150</v>
      </c>
      <c r="F33697" s="38" t="s">
        <v>151</v>
      </c>
      <c r="G33697" s="49" t="str">
        <f t="shared" si="1"/>
        <v>68700</v>
      </c>
      <c r="H33697" s="49">
        <f t="shared" si="2"/>
        <v>68206</v>
      </c>
    </row>
    <row r="33698">
      <c r="A33698" s="48" t="s">
        <v>37919</v>
      </c>
      <c r="B33698" s="38">
        <v>22187.0</v>
      </c>
      <c r="C33698" s="38" t="s">
        <v>37920</v>
      </c>
      <c r="D33698" s="38" t="str">
        <f>IFERROR(__xludf.DUMMYFUNCTION("REGEXREPLACE(C33698,""-\d+(.*)|--\d+(.*)"","""")"),"PLERIN")</f>
        <v>PLERIN</v>
      </c>
      <c r="E33698" s="38" t="s">
        <v>89</v>
      </c>
      <c r="F33698" s="38" t="s">
        <v>90</v>
      </c>
      <c r="G33698" s="49" t="str">
        <f t="shared" si="1"/>
        <v>22190</v>
      </c>
      <c r="H33698" s="49">
        <f t="shared" si="2"/>
        <v>22187</v>
      </c>
    </row>
    <row r="33699">
      <c r="A33699" s="48" t="s">
        <v>13997</v>
      </c>
      <c r="B33699" s="38">
        <v>32449.0</v>
      </c>
      <c r="C33699" s="38" t="s">
        <v>37921</v>
      </c>
      <c r="D33699" s="38" t="str">
        <f>IFERROR(__xludf.DUMMYFUNCTION("REGEXREPLACE(C33699,""-\d+(.*)|--\d+(.*)"","""")"),"TOUJOUSE")</f>
        <v>TOUJOUSE</v>
      </c>
      <c r="E33699" s="38" t="s">
        <v>440</v>
      </c>
      <c r="F33699" s="38" t="s">
        <v>94</v>
      </c>
      <c r="G33699" s="49" t="str">
        <f t="shared" si="1"/>
        <v>32240</v>
      </c>
      <c r="H33699" s="49">
        <f t="shared" si="2"/>
        <v>32449</v>
      </c>
    </row>
    <row r="33700">
      <c r="A33700" s="48" t="s">
        <v>2272</v>
      </c>
      <c r="B33700" s="38">
        <v>27077.0</v>
      </c>
      <c r="C33700" s="38" t="s">
        <v>37922</v>
      </c>
      <c r="D33700" s="38" t="str">
        <f>IFERROR(__xludf.DUMMYFUNCTION("REGEXREPLACE(C33700,""-\d+(.*)|--\d+(.*)"","""")"),"BOISSEY-LE-CHATEL")</f>
        <v>BOISSEY-LE-CHATEL</v>
      </c>
      <c r="E33700" s="38" t="s">
        <v>241</v>
      </c>
      <c r="F33700" s="38" t="s">
        <v>134</v>
      </c>
      <c r="G33700" s="49" t="str">
        <f t="shared" si="1"/>
        <v>27520</v>
      </c>
      <c r="H33700" s="49">
        <f t="shared" si="2"/>
        <v>27077</v>
      </c>
    </row>
    <row r="33701">
      <c r="A33701" s="48" t="s">
        <v>5223</v>
      </c>
      <c r="B33701" s="38">
        <v>65289.0</v>
      </c>
      <c r="C33701" s="38" t="s">
        <v>37923</v>
      </c>
      <c r="D33701" s="38" t="str">
        <f>IFERROR(__xludf.DUMMYFUNCTION("REGEXREPLACE(C33701,""-\d+(.*)|--\d+(.*)"","""")"),"LUBY-BETMONT")</f>
        <v>LUBY-BETMONT</v>
      </c>
      <c r="E33701" s="38" t="s">
        <v>200</v>
      </c>
      <c r="F33701" s="38" t="s">
        <v>94</v>
      </c>
      <c r="G33701" s="49" t="str">
        <f t="shared" si="1"/>
        <v>65220</v>
      </c>
      <c r="H33701" s="49">
        <f t="shared" si="2"/>
        <v>65289</v>
      </c>
    </row>
    <row r="33702">
      <c r="A33702" s="48" t="s">
        <v>10209</v>
      </c>
      <c r="B33702" s="38">
        <v>3295.0</v>
      </c>
      <c r="C33702" s="38" t="s">
        <v>37924</v>
      </c>
      <c r="D33702" s="38" t="str">
        <f>IFERROR(__xludf.DUMMYFUNCTION("REGEXREPLACE(C33702,""-\d+(.*)|--\d+(.*)"","""")"),"VALIGNAT")</f>
        <v>VALIGNAT</v>
      </c>
      <c r="E33702" s="38" t="s">
        <v>160</v>
      </c>
      <c r="F33702" s="38" t="s">
        <v>161</v>
      </c>
      <c r="G33702" s="49" t="str">
        <f t="shared" si="1"/>
        <v>03330</v>
      </c>
      <c r="H33702" s="49" t="str">
        <f t="shared" si="2"/>
        <v>03295</v>
      </c>
    </row>
    <row r="33703">
      <c r="A33703" s="48" t="s">
        <v>7590</v>
      </c>
      <c r="B33703" s="38">
        <v>85277.0</v>
      </c>
      <c r="C33703" s="38" t="s">
        <v>37925</v>
      </c>
      <c r="D33703" s="38" t="str">
        <f>IFERROR(__xludf.DUMMYFUNCTION("REGEXREPLACE(C33703,""-\d+(.*)|--\d+(.*)"","""")"),"SAINT-VINCENT-SUR-GRAON")</f>
        <v>SAINT-VINCENT-SUR-GRAON</v>
      </c>
      <c r="E33703" s="38" t="s">
        <v>179</v>
      </c>
      <c r="F33703" s="38" t="s">
        <v>180</v>
      </c>
      <c r="G33703" s="49" t="str">
        <f t="shared" si="1"/>
        <v>85540</v>
      </c>
      <c r="H33703" s="49">
        <f t="shared" si="2"/>
        <v>85277</v>
      </c>
    </row>
    <row r="33704">
      <c r="A33704" s="48" t="s">
        <v>8327</v>
      </c>
      <c r="B33704" s="38">
        <v>71385.0</v>
      </c>
      <c r="C33704" s="38" t="s">
        <v>37926</v>
      </c>
      <c r="D33704" s="38" t="str">
        <f>IFERROR(__xludf.DUMMYFUNCTION("REGEXREPLACE(C33704,""-\d+(.*)|--\d+(.*)"","""")"),"SAINT-AMOUR-BELLEVUE")</f>
        <v>SAINT-AMOUR-BELLEVUE</v>
      </c>
      <c r="E33704" s="38" t="s">
        <v>344</v>
      </c>
      <c r="F33704" s="38" t="s">
        <v>106</v>
      </c>
      <c r="G33704" s="49" t="str">
        <f t="shared" si="1"/>
        <v>71570</v>
      </c>
      <c r="H33704" s="49">
        <f t="shared" si="2"/>
        <v>71385</v>
      </c>
    </row>
    <row r="33705">
      <c r="A33705" s="48" t="s">
        <v>14991</v>
      </c>
      <c r="B33705" s="38">
        <v>74114.0</v>
      </c>
      <c r="C33705" s="38" t="s">
        <v>37927</v>
      </c>
      <c r="D33705" s="38" t="str">
        <f>IFERROR(__xludf.DUMMYFUNCTION("REGEXREPLACE(C33705,""-\d+(.*)|--\d+(.*)"","""")"),"ESSERT-ROMAND")</f>
        <v>ESSERT-ROMAND</v>
      </c>
      <c r="E33705" s="38" t="s">
        <v>319</v>
      </c>
      <c r="F33705" s="38" t="s">
        <v>102</v>
      </c>
      <c r="G33705" s="49" t="str">
        <f t="shared" si="1"/>
        <v>74110</v>
      </c>
      <c r="H33705" s="49">
        <f t="shared" si="2"/>
        <v>74114</v>
      </c>
    </row>
    <row r="33706">
      <c r="A33706" s="48" t="s">
        <v>14362</v>
      </c>
      <c r="B33706" s="38">
        <v>56156.0</v>
      </c>
      <c r="C33706" s="38" t="s">
        <v>37928</v>
      </c>
      <c r="D33706" s="38" t="str">
        <f>IFERROR(__xludf.DUMMYFUNCTION("REGEXREPLACE(C33706,""-\d+(.*)|--\d+(.*)"","""")"),"PERSQUEN")</f>
        <v>PERSQUEN</v>
      </c>
      <c r="E33706" s="38" t="s">
        <v>173</v>
      </c>
      <c r="F33706" s="38" t="s">
        <v>90</v>
      </c>
      <c r="G33706" s="49" t="str">
        <f t="shared" si="1"/>
        <v>56160</v>
      </c>
      <c r="H33706" s="49">
        <f t="shared" si="2"/>
        <v>56156</v>
      </c>
    </row>
    <row r="33707">
      <c r="A33707" s="48" t="s">
        <v>5956</v>
      </c>
      <c r="B33707" s="38">
        <v>62620.0</v>
      </c>
      <c r="C33707" s="38" t="s">
        <v>37929</v>
      </c>
      <c r="D33707" s="38" t="str">
        <f>IFERROR(__xludf.DUMMYFUNCTION("REGEXREPLACE(C33707,""-\d+(.*)|--\d+(.*)"","""")"),"NORRENT-FONTES")</f>
        <v>NORRENT-FONTES</v>
      </c>
      <c r="E33707" s="38" t="s">
        <v>109</v>
      </c>
      <c r="F33707" s="38" t="s">
        <v>86</v>
      </c>
      <c r="G33707" s="49" t="str">
        <f t="shared" si="1"/>
        <v>62120</v>
      </c>
      <c r="H33707" s="49">
        <f t="shared" si="2"/>
        <v>62620</v>
      </c>
    </row>
    <row r="33708">
      <c r="A33708" s="48" t="s">
        <v>1106</v>
      </c>
      <c r="B33708" s="38">
        <v>14461.0</v>
      </c>
      <c r="C33708" s="38" t="s">
        <v>37930</v>
      </c>
      <c r="D33708" s="38" t="str">
        <f>IFERROR(__xludf.DUMMYFUNCTION("REGEXREPLACE(C33708,""-\d+(.*)|--\d+(.*)"","""")"),"MUTRECY")</f>
        <v>MUTRECY</v>
      </c>
      <c r="E33708" s="38" t="s">
        <v>137</v>
      </c>
      <c r="F33708" s="38" t="s">
        <v>138</v>
      </c>
      <c r="G33708" s="49" t="str">
        <f t="shared" si="1"/>
        <v>14220</v>
      </c>
      <c r="H33708" s="49">
        <f t="shared" si="2"/>
        <v>14461</v>
      </c>
    </row>
    <row r="33709">
      <c r="A33709" s="48" t="s">
        <v>4939</v>
      </c>
      <c r="B33709" s="38">
        <v>23197.0</v>
      </c>
      <c r="C33709" s="38" t="s">
        <v>37931</v>
      </c>
      <c r="D33709" s="38" t="str">
        <f>IFERROR(__xludf.DUMMYFUNCTION("REGEXREPLACE(C33709,""-\d+(.*)|--\d+(.*)"","""")"),"SAINT-GEORGES-LA-POUGE")</f>
        <v>SAINT-GEORGES-LA-POUGE</v>
      </c>
      <c r="E33709" s="38" t="s">
        <v>97</v>
      </c>
      <c r="F33709" s="38" t="s">
        <v>98</v>
      </c>
      <c r="G33709" s="49" t="str">
        <f t="shared" si="1"/>
        <v>23250</v>
      </c>
      <c r="H33709" s="49">
        <f t="shared" si="2"/>
        <v>23197</v>
      </c>
    </row>
    <row r="33710">
      <c r="A33710" s="48" t="s">
        <v>509</v>
      </c>
      <c r="B33710" s="38">
        <v>28183.0</v>
      </c>
      <c r="C33710" s="38" t="s">
        <v>8455</v>
      </c>
      <c r="D33710" s="38" t="str">
        <f>IFERROR(__xludf.DUMMYFUNCTION("REGEXREPLACE(C33710,""-\d+(.*)|--\d+(.*)"","""")"),"GOMMERVILLE")</f>
        <v>GOMMERVILLE</v>
      </c>
      <c r="E33710" s="38" t="s">
        <v>300</v>
      </c>
      <c r="F33710" s="38" t="s">
        <v>123</v>
      </c>
      <c r="G33710" s="49" t="str">
        <f t="shared" si="1"/>
        <v>28310</v>
      </c>
      <c r="H33710" s="49">
        <f t="shared" si="2"/>
        <v>28183</v>
      </c>
    </row>
    <row r="33711">
      <c r="A33711" s="48" t="s">
        <v>3356</v>
      </c>
      <c r="B33711" s="38">
        <v>85219.0</v>
      </c>
      <c r="C33711" s="38" t="s">
        <v>37932</v>
      </c>
      <c r="D33711" s="38" t="str">
        <f>IFERROR(__xludf.DUMMYFUNCTION("REGEXREPLACE(C33711,""-\d+(.*)|--\d+(.*)"","""")"),"SAINT-GERMAIN-L'AIGUILLER")</f>
        <v>SAINT-GERMAIN-L'AIGUILLER</v>
      </c>
      <c r="E33711" s="38" t="s">
        <v>179</v>
      </c>
      <c r="F33711" s="38" t="s">
        <v>180</v>
      </c>
      <c r="G33711" s="49" t="str">
        <f t="shared" si="1"/>
        <v>85390</v>
      </c>
      <c r="H33711" s="49">
        <f t="shared" si="2"/>
        <v>85219</v>
      </c>
    </row>
    <row r="33712">
      <c r="A33712" s="48" t="s">
        <v>4490</v>
      </c>
      <c r="B33712" s="38">
        <v>6033.0</v>
      </c>
      <c r="C33712" s="38" t="s">
        <v>37933</v>
      </c>
      <c r="D33712" s="38" t="str">
        <f>IFERROR(__xludf.DUMMYFUNCTION("REGEXREPLACE(C33712,""-\d+(.*)|--\d+(.*)"","""")"),"CARROS")</f>
        <v>CARROS</v>
      </c>
      <c r="E33712" s="38" t="s">
        <v>227</v>
      </c>
      <c r="F33712" s="38" t="s">
        <v>228</v>
      </c>
      <c r="G33712" s="49" t="str">
        <f t="shared" si="1"/>
        <v>06510</v>
      </c>
      <c r="H33712" s="49" t="str">
        <f t="shared" si="2"/>
        <v>06033</v>
      </c>
    </row>
    <row r="33713">
      <c r="A33713" s="48" t="s">
        <v>13409</v>
      </c>
      <c r="B33713" s="38">
        <v>35345.0</v>
      </c>
      <c r="C33713" s="38" t="s">
        <v>37934</v>
      </c>
      <c r="D33713" s="38" t="str">
        <f>IFERROR(__xludf.DUMMYFUNCTION("REGEXREPLACE(C33713,""-\d+(.*)|--\d+(.*)"","""")"),"TREVERIEN")</f>
        <v>TREVERIEN</v>
      </c>
      <c r="E33713" s="38" t="s">
        <v>347</v>
      </c>
      <c r="F33713" s="38" t="s">
        <v>90</v>
      </c>
      <c r="G33713" s="49" t="str">
        <f t="shared" si="1"/>
        <v>35190</v>
      </c>
      <c r="H33713" s="49">
        <f t="shared" si="2"/>
        <v>35345</v>
      </c>
    </row>
    <row r="33714">
      <c r="A33714" s="48" t="s">
        <v>307</v>
      </c>
      <c r="B33714" s="38">
        <v>88308.0</v>
      </c>
      <c r="C33714" s="38" t="s">
        <v>37935</v>
      </c>
      <c r="D33714" s="38" t="str">
        <f>IFERROR(__xludf.DUMMYFUNCTION("REGEXREPLACE(C33714,""-\d+(.*)|--\d+(.*)"","""")"),"MONT-LES-NEUFCHATEAU")</f>
        <v>MONT-LES-NEUFCHATEAU</v>
      </c>
      <c r="E33714" s="38" t="s">
        <v>194</v>
      </c>
      <c r="F33714" s="38" t="s">
        <v>195</v>
      </c>
      <c r="G33714" s="49" t="str">
        <f t="shared" si="1"/>
        <v>88300</v>
      </c>
      <c r="H33714" s="49">
        <f t="shared" si="2"/>
        <v>88308</v>
      </c>
    </row>
    <row r="33715">
      <c r="A33715" s="48" t="s">
        <v>12127</v>
      </c>
      <c r="B33715" s="38">
        <v>7196.0</v>
      </c>
      <c r="C33715" s="38" t="s">
        <v>22046</v>
      </c>
      <c r="D33715" s="38" t="str">
        <f>IFERROR(__xludf.DUMMYFUNCTION("REGEXREPLACE(C33715,""-\d+(.*)|--\d+(.*)"","""")"),"ROCLES")</f>
        <v>ROCLES</v>
      </c>
      <c r="E33715" s="38" t="s">
        <v>144</v>
      </c>
      <c r="F33715" s="38" t="s">
        <v>102</v>
      </c>
      <c r="G33715" s="49" t="str">
        <f t="shared" si="1"/>
        <v>07110</v>
      </c>
      <c r="H33715" s="49" t="str">
        <f t="shared" si="2"/>
        <v>07196</v>
      </c>
    </row>
    <row r="33716">
      <c r="A33716" s="48" t="s">
        <v>8199</v>
      </c>
      <c r="B33716" s="38">
        <v>63332.0</v>
      </c>
      <c r="C33716" s="38" t="s">
        <v>37936</v>
      </c>
      <c r="D33716" s="38" t="str">
        <f>IFERROR(__xludf.DUMMYFUNCTION("REGEXREPLACE(C33716,""-\d+(.*)|--\d+(.*)"","""")"),"SAINT-CLEMENT-DE-REGNAT")</f>
        <v>SAINT-CLEMENT-DE-REGNAT</v>
      </c>
      <c r="E33716" s="38" t="s">
        <v>353</v>
      </c>
      <c r="F33716" s="38" t="s">
        <v>161</v>
      </c>
      <c r="G33716" s="49" t="str">
        <f t="shared" si="1"/>
        <v>63310</v>
      </c>
      <c r="H33716" s="49">
        <f t="shared" si="2"/>
        <v>63332</v>
      </c>
    </row>
    <row r="33717">
      <c r="A33717" s="48" t="s">
        <v>970</v>
      </c>
      <c r="B33717" s="38">
        <v>2681.0</v>
      </c>
      <c r="C33717" s="38" t="s">
        <v>37937</v>
      </c>
      <c r="D33717" s="38" t="str">
        <f>IFERROR(__xludf.DUMMYFUNCTION("REGEXREPLACE(C33717,""-\d+(.*)|--\d+(.*)"","""")"),"SAINT-GOBERT")</f>
        <v>SAINT-GOBERT</v>
      </c>
      <c r="E33717" s="38" t="s">
        <v>191</v>
      </c>
      <c r="F33717" s="38" t="s">
        <v>113</v>
      </c>
      <c r="G33717" s="49" t="str">
        <f t="shared" si="1"/>
        <v>02140</v>
      </c>
      <c r="H33717" s="49" t="str">
        <f t="shared" si="2"/>
        <v>02681</v>
      </c>
    </row>
    <row r="33718">
      <c r="A33718" s="48" t="s">
        <v>1128</v>
      </c>
      <c r="B33718" s="38">
        <v>2248.0</v>
      </c>
      <c r="C33718" s="38" t="s">
        <v>37938</v>
      </c>
      <c r="D33718" s="38" t="str">
        <f>IFERROR(__xludf.DUMMYFUNCTION("REGEXREPLACE(C33718,""-\d+(.*)|--\d+(.*)"","""")"),"CUIRIEUX")</f>
        <v>CUIRIEUX</v>
      </c>
      <c r="E33718" s="38" t="s">
        <v>191</v>
      </c>
      <c r="F33718" s="38" t="s">
        <v>113</v>
      </c>
      <c r="G33718" s="49" t="str">
        <f t="shared" si="1"/>
        <v>02350</v>
      </c>
      <c r="H33718" s="49" t="str">
        <f t="shared" si="2"/>
        <v>02248</v>
      </c>
    </row>
    <row r="33719">
      <c r="A33719" s="48" t="s">
        <v>26757</v>
      </c>
      <c r="B33719" s="38">
        <v>34108.0</v>
      </c>
      <c r="C33719" s="38" t="s">
        <v>37939</v>
      </c>
      <c r="D33719" s="38" t="str">
        <f>IFERROR(__xludf.DUMMYFUNCTION("REGEXREPLACE(C33719,""-\d+(.*)|--\d+(.*)"","""")"),"FRONTIGNAN")</f>
        <v>FRONTIGNAN</v>
      </c>
      <c r="E33719" s="38" t="s">
        <v>118</v>
      </c>
      <c r="F33719" s="38" t="s">
        <v>119</v>
      </c>
      <c r="G33719" s="49" t="str">
        <f t="shared" si="1"/>
        <v>34110</v>
      </c>
      <c r="H33719" s="49">
        <f t="shared" si="2"/>
        <v>34108</v>
      </c>
    </row>
    <row r="33720">
      <c r="A33720" s="48" t="s">
        <v>5390</v>
      </c>
      <c r="B33720" s="38">
        <v>27246.0</v>
      </c>
      <c r="C33720" s="38" t="s">
        <v>37940</v>
      </c>
      <c r="D33720" s="38" t="str">
        <f>IFERROR(__xludf.DUMMYFUNCTION("REGEXREPLACE(C33720,""-\d+(.*)|--\d+(.*)"","""")"),"FLEURY-SUR-ANDELLE")</f>
        <v>FLEURY-SUR-ANDELLE</v>
      </c>
      <c r="E33720" s="38" t="s">
        <v>241</v>
      </c>
      <c r="F33720" s="38" t="s">
        <v>134</v>
      </c>
      <c r="G33720" s="49" t="str">
        <f t="shared" si="1"/>
        <v>27380</v>
      </c>
      <c r="H33720" s="49">
        <f t="shared" si="2"/>
        <v>27246</v>
      </c>
    </row>
    <row r="33721">
      <c r="A33721" s="48" t="s">
        <v>3983</v>
      </c>
      <c r="B33721" s="38">
        <v>67437.0</v>
      </c>
      <c r="C33721" s="38" t="s">
        <v>37941</v>
      </c>
      <c r="D33721" s="38" t="str">
        <f>IFERROR(__xludf.DUMMYFUNCTION("REGEXREPLACE(C33721,""-\d+(.*)|--\d+(.*)"","""")"),"SAVERNE")</f>
        <v>SAVERNE</v>
      </c>
      <c r="E33721" s="38" t="s">
        <v>210</v>
      </c>
      <c r="F33721" s="38" t="s">
        <v>151</v>
      </c>
      <c r="G33721" s="49" t="str">
        <f t="shared" si="1"/>
        <v>67700</v>
      </c>
      <c r="H33721" s="49">
        <f t="shared" si="2"/>
        <v>67437</v>
      </c>
    </row>
    <row r="33722">
      <c r="A33722" s="48" t="s">
        <v>12358</v>
      </c>
      <c r="B33722" s="38">
        <v>12243.0</v>
      </c>
      <c r="C33722" s="38" t="s">
        <v>37942</v>
      </c>
      <c r="D33722" s="38" t="str">
        <f>IFERROR(__xludf.DUMMYFUNCTION("REGEXREPLACE(C33722,""-\d+(.*)|--\d+(.*)"","""")"),"SAINT-ROME-DE-CERNON")</f>
        <v>SAINT-ROME-DE-CERNON</v>
      </c>
      <c r="E33722" s="38" t="s">
        <v>465</v>
      </c>
      <c r="F33722" s="38" t="s">
        <v>94</v>
      </c>
      <c r="G33722" s="49" t="str">
        <f t="shared" si="1"/>
        <v>12490</v>
      </c>
      <c r="H33722" s="49">
        <f t="shared" si="2"/>
        <v>12243</v>
      </c>
    </row>
    <row r="33723">
      <c r="A33723" s="48" t="s">
        <v>10651</v>
      </c>
      <c r="B33723" s="38">
        <v>81137.0</v>
      </c>
      <c r="C33723" s="38" t="s">
        <v>37943</v>
      </c>
      <c r="D33723" s="38" t="str">
        <f>IFERROR(__xludf.DUMMYFUNCTION("REGEXREPLACE(C33723,""-\d+(.*)|--\d+(.*)"","""")"),"LASFAILLADES")</f>
        <v>LASFAILLADES</v>
      </c>
      <c r="E33723" s="38" t="s">
        <v>231</v>
      </c>
      <c r="F33723" s="38" t="s">
        <v>94</v>
      </c>
      <c r="G33723" s="49" t="str">
        <f t="shared" si="1"/>
        <v>81260</v>
      </c>
      <c r="H33723" s="49">
        <f t="shared" si="2"/>
        <v>81137</v>
      </c>
    </row>
    <row r="33724">
      <c r="A33724" s="48" t="s">
        <v>9152</v>
      </c>
      <c r="B33724" s="38">
        <v>37085.0</v>
      </c>
      <c r="C33724" s="38" t="s">
        <v>37944</v>
      </c>
      <c r="D33724" s="38" t="str">
        <f>IFERROR(__xludf.DUMMYFUNCTION("REGEXREPLACE(C33724,""-\d+(.*)|--\d+(.*)"","""")"),"COURCAY")</f>
        <v>COURCAY</v>
      </c>
      <c r="E33724" s="38" t="s">
        <v>205</v>
      </c>
      <c r="F33724" s="38" t="s">
        <v>123</v>
      </c>
      <c r="G33724" s="49" t="str">
        <f t="shared" si="1"/>
        <v>37310</v>
      </c>
      <c r="H33724" s="49">
        <f t="shared" si="2"/>
        <v>37085</v>
      </c>
    </row>
    <row r="33725">
      <c r="A33725" s="48" t="s">
        <v>15681</v>
      </c>
      <c r="B33725" s="38">
        <v>86129.0</v>
      </c>
      <c r="C33725" s="38" t="s">
        <v>37945</v>
      </c>
      <c r="D33725" s="38" t="str">
        <f>IFERROR(__xludf.DUMMYFUNCTION("REGEXREPLACE(C33725,""-\d+(.*)|--\d+(.*)"","""")"),"LESIGNY")</f>
        <v>LESIGNY</v>
      </c>
      <c r="E33725" s="38" t="s">
        <v>529</v>
      </c>
      <c r="F33725" s="38" t="s">
        <v>338</v>
      </c>
      <c r="G33725" s="49" t="str">
        <f t="shared" si="1"/>
        <v>86270</v>
      </c>
      <c r="H33725" s="49">
        <f t="shared" si="2"/>
        <v>86129</v>
      </c>
    </row>
    <row r="33726">
      <c r="A33726" s="48" t="s">
        <v>37946</v>
      </c>
      <c r="B33726" s="38">
        <v>34327.0</v>
      </c>
      <c r="C33726" s="38" t="s">
        <v>37947</v>
      </c>
      <c r="D33726" s="38" t="str">
        <f>IFERROR(__xludf.DUMMYFUNCTION("REGEXREPLACE(C33726,""-\d+(.*)|--\d+(.*)"","""")"),"VENDARGUES")</f>
        <v>VENDARGUES</v>
      </c>
      <c r="E33726" s="38" t="s">
        <v>118</v>
      </c>
      <c r="F33726" s="38" t="s">
        <v>119</v>
      </c>
      <c r="G33726" s="49" t="str">
        <f t="shared" si="1"/>
        <v>34740</v>
      </c>
      <c r="H33726" s="49">
        <f t="shared" si="2"/>
        <v>34327</v>
      </c>
    </row>
    <row r="33727">
      <c r="A33727" s="48" t="s">
        <v>8424</v>
      </c>
      <c r="B33727" s="38">
        <v>47135.0</v>
      </c>
      <c r="C33727" s="38" t="s">
        <v>37948</v>
      </c>
      <c r="D33727" s="38" t="str">
        <f>IFERROR(__xludf.DUMMYFUNCTION("REGEXREPLACE(C33727,""-\d+(.*)|--\d+(.*)"","""")"),"LAPARADE")</f>
        <v>LAPARADE</v>
      </c>
      <c r="E33727" s="38" t="s">
        <v>251</v>
      </c>
      <c r="F33727" s="38" t="s">
        <v>252</v>
      </c>
      <c r="G33727" s="49" t="str">
        <f t="shared" si="1"/>
        <v>47260</v>
      </c>
      <c r="H33727" s="49">
        <f t="shared" si="2"/>
        <v>47135</v>
      </c>
    </row>
    <row r="33728">
      <c r="A33728" s="48" t="s">
        <v>1089</v>
      </c>
      <c r="B33728" s="38">
        <v>67369.0</v>
      </c>
      <c r="C33728" s="38" t="s">
        <v>37949</v>
      </c>
      <c r="D33728" s="38" t="str">
        <f>IFERROR(__xludf.DUMMYFUNCTION("REGEXREPLACE(C33728,""-\d+(.*)|--\d+(.*)"","""")"),"OTTWILLER")</f>
        <v>OTTWILLER</v>
      </c>
      <c r="E33728" s="38" t="s">
        <v>210</v>
      </c>
      <c r="F33728" s="38" t="s">
        <v>151</v>
      </c>
      <c r="G33728" s="49" t="str">
        <f t="shared" si="1"/>
        <v>67320</v>
      </c>
      <c r="H33728" s="49">
        <f t="shared" si="2"/>
        <v>67369</v>
      </c>
    </row>
    <row r="33729">
      <c r="A33729" s="48" t="s">
        <v>2040</v>
      </c>
      <c r="B33729" s="38">
        <v>59240.0</v>
      </c>
      <c r="C33729" s="38" t="s">
        <v>37950</v>
      </c>
      <c r="D33729" s="38" t="str">
        <f>IFERROR(__xludf.DUMMYFUNCTION("REGEXREPLACE(C33729,""-\d+(.*)|--\d+(.*)"","""")"),"FLOURSIES")</f>
        <v>FLOURSIES</v>
      </c>
      <c r="E33729" s="38" t="s">
        <v>85</v>
      </c>
      <c r="F33729" s="38" t="s">
        <v>86</v>
      </c>
      <c r="G33729" s="49" t="str">
        <f t="shared" si="1"/>
        <v>59440</v>
      </c>
      <c r="H33729" s="49">
        <f t="shared" si="2"/>
        <v>59240</v>
      </c>
    </row>
    <row r="33730">
      <c r="A33730" s="48" t="s">
        <v>1574</v>
      </c>
      <c r="B33730" s="38">
        <v>10301.0</v>
      </c>
      <c r="C33730" s="38" t="s">
        <v>37951</v>
      </c>
      <c r="D33730" s="38" t="str">
        <f>IFERROR(__xludf.DUMMYFUNCTION("REGEXREPLACE(C33730,""-\d+(.*)|--\d+(.*)"","""")"),"POUY-SUR-VANNES")</f>
        <v>POUY-SUR-VANNES</v>
      </c>
      <c r="E33730" s="38" t="s">
        <v>147</v>
      </c>
      <c r="F33730" s="38" t="s">
        <v>130</v>
      </c>
      <c r="G33730" s="49" t="str">
        <f t="shared" si="1"/>
        <v>10290</v>
      </c>
      <c r="H33730" s="49">
        <f t="shared" si="2"/>
        <v>10301</v>
      </c>
    </row>
    <row r="33731">
      <c r="A33731" s="48" t="s">
        <v>37952</v>
      </c>
      <c r="B33731" s="38">
        <v>13113.0</v>
      </c>
      <c r="C33731" s="38" t="s">
        <v>37953</v>
      </c>
      <c r="D33731" s="38" t="str">
        <f>IFERROR(__xludf.DUMMYFUNCTION("REGEXREPLACE(C33731,""-\d+(.*)|--\d+(.*)"","""")"),"VENELLES")</f>
        <v>VENELLES</v>
      </c>
      <c r="E33731" s="38" t="s">
        <v>980</v>
      </c>
      <c r="F33731" s="38" t="s">
        <v>228</v>
      </c>
      <c r="G33731" s="49" t="str">
        <f t="shared" si="1"/>
        <v>13770</v>
      </c>
      <c r="H33731" s="49">
        <f t="shared" si="2"/>
        <v>13113</v>
      </c>
    </row>
    <row r="33732">
      <c r="A33732" s="48" t="s">
        <v>6038</v>
      </c>
      <c r="B33732" s="38">
        <v>88162.0</v>
      </c>
      <c r="C33732" s="38" t="s">
        <v>37954</v>
      </c>
      <c r="D33732" s="38" t="str">
        <f>IFERROR(__xludf.DUMMYFUNCTION("REGEXREPLACE(C33732,""-\d+(.*)|--\d+(.*)"","""")"),"ESLEY")</f>
        <v>ESLEY</v>
      </c>
      <c r="E33732" s="38" t="s">
        <v>194</v>
      </c>
      <c r="F33732" s="38" t="s">
        <v>195</v>
      </c>
      <c r="G33732" s="49" t="str">
        <f t="shared" si="1"/>
        <v>88260</v>
      </c>
      <c r="H33732" s="49">
        <f t="shared" si="2"/>
        <v>88162</v>
      </c>
    </row>
    <row r="33733">
      <c r="A33733" s="48" t="s">
        <v>5020</v>
      </c>
      <c r="B33733" s="38">
        <v>51070.0</v>
      </c>
      <c r="C33733" s="38" t="s">
        <v>37955</v>
      </c>
      <c r="D33733" s="38" t="str">
        <f>IFERROR(__xludf.DUMMYFUNCTION("REGEXREPLACE(C33733,""-\d+(.*)|--\d+(.*)"","""")"),"BOISSY-LE-REPOS")</f>
        <v>BOISSY-LE-REPOS</v>
      </c>
      <c r="E33733" s="38" t="s">
        <v>129</v>
      </c>
      <c r="F33733" s="38" t="s">
        <v>130</v>
      </c>
      <c r="G33733" s="49" t="str">
        <f t="shared" si="1"/>
        <v>51210</v>
      </c>
      <c r="H33733" s="49">
        <f t="shared" si="2"/>
        <v>51070</v>
      </c>
    </row>
    <row r="33734">
      <c r="A33734" s="48" t="s">
        <v>3382</v>
      </c>
      <c r="B33734" s="38">
        <v>41091.0</v>
      </c>
      <c r="C33734" s="38" t="s">
        <v>17397</v>
      </c>
      <c r="D33734" s="38" t="str">
        <f>IFERROR(__xludf.DUMMYFUNCTION("REGEXREPLACE(C33734,""-\d+(.*)|--\d+(.*)"","""")"),"FOSSE")</f>
        <v>FOSSE</v>
      </c>
      <c r="E33734" s="38" t="s">
        <v>188</v>
      </c>
      <c r="F33734" s="38" t="s">
        <v>123</v>
      </c>
      <c r="G33734" s="49" t="str">
        <f t="shared" si="1"/>
        <v>41330</v>
      </c>
      <c r="H33734" s="49">
        <f t="shared" si="2"/>
        <v>41091</v>
      </c>
    </row>
    <row r="33735">
      <c r="A33735" s="48" t="s">
        <v>31309</v>
      </c>
      <c r="B33735" s="38">
        <v>77360.0</v>
      </c>
      <c r="C33735" s="38" t="s">
        <v>37956</v>
      </c>
      <c r="D33735" s="38" t="str">
        <f>IFERROR(__xludf.DUMMYFUNCTION("REGEXREPLACE(C33735,""-\d+(.*)|--\d+(.*)"","""")"),"PEZARCHES")</f>
        <v>PEZARCHES</v>
      </c>
      <c r="E33735" s="38" t="s">
        <v>244</v>
      </c>
      <c r="F33735" s="38" t="s">
        <v>245</v>
      </c>
      <c r="G33735" s="49" t="str">
        <f t="shared" si="1"/>
        <v>77131</v>
      </c>
      <c r="H33735" s="49">
        <f t="shared" si="2"/>
        <v>77360</v>
      </c>
    </row>
    <row r="33736">
      <c r="A33736" s="48" t="s">
        <v>5428</v>
      </c>
      <c r="B33736" s="38">
        <v>74307.0</v>
      </c>
      <c r="C33736" s="38" t="s">
        <v>37957</v>
      </c>
      <c r="D33736" s="38" t="str">
        <f>IFERROR(__xludf.DUMMYFUNCTION("REGEXREPLACE(C33736,""-\d+(.*)|--\d+(.*)"","""")"),"VILLY-LE-PELLOUX")</f>
        <v>VILLY-LE-PELLOUX</v>
      </c>
      <c r="E33736" s="38" t="s">
        <v>319</v>
      </c>
      <c r="F33736" s="38" t="s">
        <v>102</v>
      </c>
      <c r="G33736" s="49" t="str">
        <f t="shared" si="1"/>
        <v>74350</v>
      </c>
      <c r="H33736" s="49">
        <f t="shared" si="2"/>
        <v>74307</v>
      </c>
    </row>
    <row r="33737">
      <c r="A33737" s="48" t="s">
        <v>33925</v>
      </c>
      <c r="B33737" s="38">
        <v>54197.0</v>
      </c>
      <c r="C33737" s="38" t="s">
        <v>37958</v>
      </c>
      <c r="D33737" s="38" t="str">
        <f>IFERROR(__xludf.DUMMYFUNCTION("REGEXREPLACE(C33737,""-\d+(.*)|--\d+(.*)"","""")"),"FLEVILLE-DEVANT-NANCY")</f>
        <v>FLEVILLE-DEVANT-NANCY</v>
      </c>
      <c r="E33737" s="38" t="s">
        <v>548</v>
      </c>
      <c r="F33737" s="38" t="s">
        <v>195</v>
      </c>
      <c r="G33737" s="49" t="str">
        <f t="shared" si="1"/>
        <v>54710</v>
      </c>
      <c r="H33737" s="49">
        <f t="shared" si="2"/>
        <v>54197</v>
      </c>
    </row>
    <row r="33738">
      <c r="A33738" s="48" t="s">
        <v>7351</v>
      </c>
      <c r="B33738" s="38">
        <v>56128.0</v>
      </c>
      <c r="C33738" s="38" t="s">
        <v>37959</v>
      </c>
      <c r="D33738" s="38" t="str">
        <f>IFERROR(__xludf.DUMMYFUNCTION("REGEXREPLACE(C33738,""-\d+(.*)|--\d+(.*)"","""")"),"MELRAND")</f>
        <v>MELRAND</v>
      </c>
      <c r="E33738" s="38" t="s">
        <v>173</v>
      </c>
      <c r="F33738" s="38" t="s">
        <v>90</v>
      </c>
      <c r="G33738" s="49" t="str">
        <f t="shared" si="1"/>
        <v>56310</v>
      </c>
      <c r="H33738" s="49">
        <f t="shared" si="2"/>
        <v>56128</v>
      </c>
    </row>
    <row r="33739">
      <c r="A33739" s="48" t="s">
        <v>6521</v>
      </c>
      <c r="B33739" s="38">
        <v>34075.0</v>
      </c>
      <c r="C33739" s="38" t="s">
        <v>37960</v>
      </c>
      <c r="D33739" s="38" t="str">
        <f>IFERROR(__xludf.DUMMYFUNCTION("REGEXREPLACE(C33739,""-\d+(.*)|--\d+(.*)"","""")"),"CESSERAS")</f>
        <v>CESSERAS</v>
      </c>
      <c r="E33739" s="38" t="s">
        <v>118</v>
      </c>
      <c r="F33739" s="38" t="s">
        <v>119</v>
      </c>
      <c r="G33739" s="49" t="str">
        <f t="shared" si="1"/>
        <v>34210</v>
      </c>
      <c r="H33739" s="49">
        <f t="shared" si="2"/>
        <v>34075</v>
      </c>
    </row>
    <row r="33740">
      <c r="A33740" s="48" t="s">
        <v>5681</v>
      </c>
      <c r="B33740" s="38">
        <v>58267.0</v>
      </c>
      <c r="C33740" s="38" t="s">
        <v>37961</v>
      </c>
      <c r="D33740" s="38" t="str">
        <f>IFERROR(__xludf.DUMMYFUNCTION("REGEXREPLACE(C33740,""-\d+(.*)|--\d+(.*)"","""")"),"SAINT-SAULGE")</f>
        <v>SAINT-SAULGE</v>
      </c>
      <c r="E33740" s="38" t="s">
        <v>219</v>
      </c>
      <c r="F33740" s="38" t="s">
        <v>106</v>
      </c>
      <c r="G33740" s="49" t="str">
        <f t="shared" si="1"/>
        <v>58330</v>
      </c>
      <c r="H33740" s="49">
        <f t="shared" si="2"/>
        <v>58267</v>
      </c>
    </row>
    <row r="33741">
      <c r="A33741" s="48" t="s">
        <v>2073</v>
      </c>
      <c r="B33741" s="38">
        <v>8300.0</v>
      </c>
      <c r="C33741" s="38" t="s">
        <v>37962</v>
      </c>
      <c r="D33741" s="38" t="str">
        <f>IFERROR(__xludf.DUMMYFUNCTION("REGEXREPLACE(C33741,""-\d+(.*)|--\d+(.*)"","""")"),"LE MONT-DIEU")</f>
        <v>LE MONT-DIEU</v>
      </c>
      <c r="E33741" s="38" t="s">
        <v>327</v>
      </c>
      <c r="F33741" s="38" t="s">
        <v>130</v>
      </c>
      <c r="G33741" s="49" t="str">
        <f t="shared" si="1"/>
        <v>08390</v>
      </c>
      <c r="H33741" s="49" t="str">
        <f t="shared" si="2"/>
        <v>08300</v>
      </c>
    </row>
    <row r="33742">
      <c r="A33742" s="48" t="s">
        <v>9436</v>
      </c>
      <c r="B33742" s="38">
        <v>63122.0</v>
      </c>
      <c r="C33742" s="38" t="s">
        <v>37963</v>
      </c>
      <c r="D33742" s="38" t="str">
        <f>IFERROR(__xludf.DUMMYFUNCTION("REGEXREPLACE(C33742,""-\d+(.*)|--\d+(.*)"","""")"),"COURGOUL")</f>
        <v>COURGOUL</v>
      </c>
      <c r="E33742" s="38" t="s">
        <v>353</v>
      </c>
      <c r="F33742" s="38" t="s">
        <v>161</v>
      </c>
      <c r="G33742" s="49" t="str">
        <f t="shared" si="1"/>
        <v>63320</v>
      </c>
      <c r="H33742" s="49">
        <f t="shared" si="2"/>
        <v>63122</v>
      </c>
    </row>
    <row r="33743">
      <c r="A33743" s="48" t="s">
        <v>2427</v>
      </c>
      <c r="B33743" s="38">
        <v>47079.0</v>
      </c>
      <c r="C33743" s="38" t="s">
        <v>37964</v>
      </c>
      <c r="D33743" s="38" t="str">
        <f>IFERROR(__xludf.DUMMYFUNCTION("REGEXREPLACE(C33743,""-\d+(.*)|--\d+(.*)"","""")"),"DAUSSE")</f>
        <v>DAUSSE</v>
      </c>
      <c r="E33743" s="38" t="s">
        <v>251</v>
      </c>
      <c r="F33743" s="38" t="s">
        <v>252</v>
      </c>
      <c r="G33743" s="49" t="str">
        <f t="shared" si="1"/>
        <v>47140</v>
      </c>
      <c r="H33743" s="49">
        <f t="shared" si="2"/>
        <v>47079</v>
      </c>
    </row>
    <row r="33744">
      <c r="A33744" s="48" t="s">
        <v>1810</v>
      </c>
      <c r="B33744" s="38">
        <v>23214.0</v>
      </c>
      <c r="C33744" s="38" t="s">
        <v>37965</v>
      </c>
      <c r="D33744" s="38" t="str">
        <f>IFERROR(__xludf.DUMMYFUNCTION("REGEXREPLACE(C33744,""-\d+(.*)|--\d+(.*)"","""")"),"SAINT-MARTIAL-LE-MONT")</f>
        <v>SAINT-MARTIAL-LE-MONT</v>
      </c>
      <c r="E33744" s="38" t="s">
        <v>97</v>
      </c>
      <c r="F33744" s="38" t="s">
        <v>98</v>
      </c>
      <c r="G33744" s="49" t="str">
        <f t="shared" si="1"/>
        <v>23150</v>
      </c>
      <c r="H33744" s="49">
        <f t="shared" si="2"/>
        <v>23214</v>
      </c>
    </row>
    <row r="33745">
      <c r="A33745" s="48" t="s">
        <v>16561</v>
      </c>
      <c r="B33745" s="38">
        <v>27296.0</v>
      </c>
      <c r="C33745" s="38" t="s">
        <v>37966</v>
      </c>
      <c r="D33745" s="38" t="str">
        <f>IFERROR(__xludf.DUMMYFUNCTION("REGEXREPLACE(C33745,""-\d+(.*)|--\d+(.*)"","""")"),"GRANCHAIN")</f>
        <v>GRANCHAIN</v>
      </c>
      <c r="E33745" s="38" t="s">
        <v>241</v>
      </c>
      <c r="F33745" s="38" t="s">
        <v>134</v>
      </c>
      <c r="G33745" s="49" t="str">
        <f t="shared" si="1"/>
        <v>27410</v>
      </c>
      <c r="H33745" s="49">
        <f t="shared" si="2"/>
        <v>27296</v>
      </c>
    </row>
    <row r="33746">
      <c r="A33746" s="48" t="s">
        <v>15934</v>
      </c>
      <c r="B33746" s="38">
        <v>5149.0</v>
      </c>
      <c r="C33746" s="38" t="s">
        <v>37967</v>
      </c>
      <c r="D33746" s="38" t="str">
        <f>IFERROR(__xludf.DUMMYFUNCTION("REGEXREPLACE(C33746,""-\d+(.*)|--\d+(.*)"","""")"),"SAINT-LEGER-LES-MELEZES")</f>
        <v>SAINT-LEGER-LES-MELEZES</v>
      </c>
      <c r="E33746" s="38" t="s">
        <v>706</v>
      </c>
      <c r="F33746" s="38" t="s">
        <v>228</v>
      </c>
      <c r="G33746" s="49" t="str">
        <f t="shared" si="1"/>
        <v>05260</v>
      </c>
      <c r="H33746" s="49" t="str">
        <f t="shared" si="2"/>
        <v>05149</v>
      </c>
    </row>
    <row r="33747">
      <c r="A33747" s="48" t="s">
        <v>3532</v>
      </c>
      <c r="B33747" s="38">
        <v>2721.0</v>
      </c>
      <c r="C33747" s="38" t="s">
        <v>37968</v>
      </c>
      <c r="D33747" s="38" t="str">
        <f>IFERROR(__xludf.DUMMYFUNCTION("REGEXREPLACE(C33747,""-\d+(.*)|--\d+(.*)"","""")"),"SISSY")</f>
        <v>SISSY</v>
      </c>
      <c r="E33747" s="38" t="s">
        <v>191</v>
      </c>
      <c r="F33747" s="38" t="s">
        <v>113</v>
      </c>
      <c r="G33747" s="49" t="str">
        <f t="shared" si="1"/>
        <v>02240</v>
      </c>
      <c r="H33747" s="49" t="str">
        <f t="shared" si="2"/>
        <v>02721</v>
      </c>
    </row>
    <row r="33748">
      <c r="A33748" s="48" t="s">
        <v>5848</v>
      </c>
      <c r="B33748" s="38">
        <v>50361.0</v>
      </c>
      <c r="C33748" s="38" t="s">
        <v>37969</v>
      </c>
      <c r="D33748" s="38" t="str">
        <f>IFERROR(__xludf.DUMMYFUNCTION("REGEXREPLACE(C33748,""-\d+(.*)|--\d+(.*)"","""")"),"LA MOUCHE")</f>
        <v>LA MOUCHE</v>
      </c>
      <c r="E33748" s="38" t="s">
        <v>157</v>
      </c>
      <c r="F33748" s="38" t="s">
        <v>138</v>
      </c>
      <c r="G33748" s="49" t="str">
        <f t="shared" si="1"/>
        <v>50320</v>
      </c>
      <c r="H33748" s="49">
        <f t="shared" si="2"/>
        <v>50361</v>
      </c>
    </row>
    <row r="33749">
      <c r="A33749" s="48" t="s">
        <v>794</v>
      </c>
      <c r="B33749" s="38">
        <v>60017.0</v>
      </c>
      <c r="C33749" s="38" t="s">
        <v>37970</v>
      </c>
      <c r="D33749" s="38" t="str">
        <f>IFERROR(__xludf.DUMMYFUNCTION("REGEXREPLACE(C33749,""-\d+(.*)|--\d+(.*)"","""")"),"ANSAUVILLERS")</f>
        <v>ANSAUVILLERS</v>
      </c>
      <c r="E33749" s="38" t="s">
        <v>112</v>
      </c>
      <c r="F33749" s="38" t="s">
        <v>113</v>
      </c>
      <c r="G33749" s="49" t="str">
        <f t="shared" si="1"/>
        <v>60120</v>
      </c>
      <c r="H33749" s="49">
        <f t="shared" si="2"/>
        <v>60017</v>
      </c>
    </row>
    <row r="33750">
      <c r="A33750" s="48" t="s">
        <v>14636</v>
      </c>
      <c r="B33750" s="38">
        <v>38162.0</v>
      </c>
      <c r="C33750" s="38" t="s">
        <v>37971</v>
      </c>
      <c r="D33750" s="38" t="str">
        <f>IFERROR(__xludf.DUMMYFUNCTION("REGEXREPLACE(C33750,""-\d+(.*)|--\d+(.*)"","""")"),"FAVERGES-DE-LA-TOUR")</f>
        <v>FAVERGES-DE-LA-TOUR</v>
      </c>
      <c r="E33750" s="38" t="s">
        <v>101</v>
      </c>
      <c r="F33750" s="38" t="s">
        <v>102</v>
      </c>
      <c r="G33750" s="49" t="str">
        <f t="shared" si="1"/>
        <v>38110</v>
      </c>
      <c r="H33750" s="49">
        <f t="shared" si="2"/>
        <v>38162</v>
      </c>
    </row>
    <row r="33751">
      <c r="A33751" s="48" t="s">
        <v>1568</v>
      </c>
      <c r="B33751" s="38">
        <v>36102.0</v>
      </c>
      <c r="C33751" s="38" t="s">
        <v>37972</v>
      </c>
      <c r="D33751" s="38" t="str">
        <f>IFERROR(__xludf.DUMMYFUNCTION("REGEXREPLACE(C33751,""-\d+(.*)|--\d+(.*)"","""")"),"LUCAY-LE-LIBRE")</f>
        <v>LUCAY-LE-LIBRE</v>
      </c>
      <c r="E33751" s="38" t="s">
        <v>258</v>
      </c>
      <c r="F33751" s="38" t="s">
        <v>123</v>
      </c>
      <c r="G33751" s="49" t="str">
        <f t="shared" si="1"/>
        <v>36150</v>
      </c>
      <c r="H33751" s="49">
        <f t="shared" si="2"/>
        <v>36102</v>
      </c>
    </row>
    <row r="33752">
      <c r="A33752" s="48" t="s">
        <v>5761</v>
      </c>
      <c r="B33752" s="38">
        <v>17390.0</v>
      </c>
      <c r="C33752" s="38" t="s">
        <v>37973</v>
      </c>
      <c r="D33752" s="38" t="str">
        <f>IFERROR(__xludf.DUMMYFUNCTION("REGEXREPLACE(C33752,""-\d+(.*)|--\d+(.*)"","""")"),"SAINTE-RAMEE")</f>
        <v>SAINTE-RAMEE</v>
      </c>
      <c r="E33752" s="38" t="s">
        <v>488</v>
      </c>
      <c r="F33752" s="38" t="s">
        <v>338</v>
      </c>
      <c r="G33752" s="49" t="str">
        <f t="shared" si="1"/>
        <v>17240</v>
      </c>
      <c r="H33752" s="49">
        <f t="shared" si="2"/>
        <v>17390</v>
      </c>
    </row>
    <row r="33753">
      <c r="A33753" s="48" t="s">
        <v>2788</v>
      </c>
      <c r="B33753" s="38">
        <v>35273.0</v>
      </c>
      <c r="C33753" s="38" t="s">
        <v>37974</v>
      </c>
      <c r="D33753" s="38" t="str">
        <f>IFERROR(__xludf.DUMMYFUNCTION("REGEXREPLACE(C33753,""-\d+(.*)|--\d+(.*)"","""")"),"SAINT-GERMAIN-EN-COGLES")</f>
        <v>SAINT-GERMAIN-EN-COGLES</v>
      </c>
      <c r="E33753" s="38" t="s">
        <v>347</v>
      </c>
      <c r="F33753" s="38" t="s">
        <v>90</v>
      </c>
      <c r="G33753" s="49" t="str">
        <f t="shared" si="1"/>
        <v>35133</v>
      </c>
      <c r="H33753" s="49">
        <f t="shared" si="2"/>
        <v>35273</v>
      </c>
    </row>
    <row r="33754">
      <c r="A33754" s="48" t="s">
        <v>3244</v>
      </c>
      <c r="B33754" s="38">
        <v>27546.0</v>
      </c>
      <c r="C33754" s="38" t="s">
        <v>37975</v>
      </c>
      <c r="D33754" s="38" t="str">
        <f>IFERROR(__xludf.DUMMYFUNCTION("REGEXREPLACE(C33754,""-\d+(.*)|--\d+(.*)"","""")"),"SAINT-GERMAIN-DES-ANGLES")</f>
        <v>SAINT-GERMAIN-DES-ANGLES</v>
      </c>
      <c r="E33754" s="38" t="s">
        <v>241</v>
      </c>
      <c r="F33754" s="38" t="s">
        <v>134</v>
      </c>
      <c r="G33754" s="49" t="str">
        <f t="shared" si="1"/>
        <v>27930</v>
      </c>
      <c r="H33754" s="49">
        <f t="shared" si="2"/>
        <v>27546</v>
      </c>
    </row>
    <row r="33755">
      <c r="A33755" s="48" t="s">
        <v>16986</v>
      </c>
      <c r="B33755" s="38">
        <v>49278.0</v>
      </c>
      <c r="C33755" s="38" t="s">
        <v>37976</v>
      </c>
      <c r="D33755" s="38" t="str">
        <f>IFERROR(__xludf.DUMMYFUNCTION("REGEXREPLACE(C33755,""-\d+(.*)|--\d+(.*)"","""")"),"SAINTE-GEMMES-SUR-LOIRE")</f>
        <v>SAINTE-GEMMES-SUR-LOIRE</v>
      </c>
      <c r="E33755" s="38" t="s">
        <v>653</v>
      </c>
      <c r="F33755" s="38" t="s">
        <v>180</v>
      </c>
      <c r="G33755" s="49" t="str">
        <f t="shared" si="1"/>
        <v>49130</v>
      </c>
      <c r="H33755" s="49">
        <f t="shared" si="2"/>
        <v>49278</v>
      </c>
    </row>
    <row r="33756">
      <c r="A33756" s="48" t="s">
        <v>3260</v>
      </c>
      <c r="B33756" s="38">
        <v>3071.0</v>
      </c>
      <c r="C33756" s="38" t="s">
        <v>37977</v>
      </c>
      <c r="D33756" s="38" t="str">
        <f>IFERROR(__xludf.DUMMYFUNCTION("REGEXREPLACE(C33756,""-\d+(.*)|--\d+(.*)"","""")"),"CHAVROCHES")</f>
        <v>CHAVROCHES</v>
      </c>
      <c r="E33756" s="38" t="s">
        <v>160</v>
      </c>
      <c r="F33756" s="38" t="s">
        <v>161</v>
      </c>
      <c r="G33756" s="49" t="str">
        <f t="shared" si="1"/>
        <v>03220</v>
      </c>
      <c r="H33756" s="49" t="str">
        <f t="shared" si="2"/>
        <v>03071</v>
      </c>
    </row>
    <row r="33757">
      <c r="A33757" s="48" t="s">
        <v>18847</v>
      </c>
      <c r="B33757" s="38">
        <v>56195.0</v>
      </c>
      <c r="C33757" s="38" t="s">
        <v>37978</v>
      </c>
      <c r="D33757" s="38" t="str">
        <f>IFERROR(__xludf.DUMMYFUNCTION("REGEXREPLACE(C33757,""-\d+(.*)|--\d+(.*)"","""")"),"LA ROCHE-BERNARD")</f>
        <v>LA ROCHE-BERNARD</v>
      </c>
      <c r="E33757" s="38" t="s">
        <v>173</v>
      </c>
      <c r="F33757" s="38" t="s">
        <v>90</v>
      </c>
      <c r="G33757" s="49" t="str">
        <f t="shared" si="1"/>
        <v>56130</v>
      </c>
      <c r="H33757" s="49">
        <f t="shared" si="2"/>
        <v>56195</v>
      </c>
    </row>
    <row r="33758">
      <c r="A33758" s="48" t="s">
        <v>10148</v>
      </c>
      <c r="B33758" s="38">
        <v>59072.0</v>
      </c>
      <c r="C33758" s="38" t="s">
        <v>37979</v>
      </c>
      <c r="D33758" s="38" t="str">
        <f>IFERROR(__xludf.DUMMYFUNCTION("REGEXREPLACE(C33758,""-\d+(.*)|--\d+(.*)"","""")"),"BERSILLIES")</f>
        <v>BERSILLIES</v>
      </c>
      <c r="E33758" s="38" t="s">
        <v>85</v>
      </c>
      <c r="F33758" s="38" t="s">
        <v>86</v>
      </c>
      <c r="G33758" s="49" t="str">
        <f t="shared" si="1"/>
        <v>59600</v>
      </c>
      <c r="H33758" s="49">
        <f t="shared" si="2"/>
        <v>59072</v>
      </c>
    </row>
    <row r="33759">
      <c r="A33759" s="48" t="s">
        <v>37980</v>
      </c>
      <c r="B33759" s="38">
        <v>80182.0</v>
      </c>
      <c r="C33759" s="38" t="s">
        <v>37981</v>
      </c>
      <c r="D33759" s="38" t="str">
        <f>IFERROR(__xludf.DUMMYFUNCTION("REGEXREPLACE(C33759,""-\d+(.*)|--\d+(.*)"","""")"),"CAYEUX-SUR-MER")</f>
        <v>CAYEUX-SUR-MER</v>
      </c>
      <c r="E33759" s="38" t="s">
        <v>224</v>
      </c>
      <c r="F33759" s="38" t="s">
        <v>113</v>
      </c>
      <c r="G33759" s="49" t="str">
        <f t="shared" si="1"/>
        <v>80410</v>
      </c>
      <c r="H33759" s="49">
        <f t="shared" si="2"/>
        <v>80182</v>
      </c>
    </row>
    <row r="33760">
      <c r="A33760" s="48" t="s">
        <v>31061</v>
      </c>
      <c r="B33760" s="38">
        <v>30080.0</v>
      </c>
      <c r="C33760" s="38" t="s">
        <v>37982</v>
      </c>
      <c r="D33760" s="38" t="str">
        <f>IFERROR(__xludf.DUMMYFUNCTION("REGEXREPLACE(C33760,""-\d+(.*)|--\d+(.*)"","""")"),"CHAMBORIGAUD")</f>
        <v>CHAMBORIGAUD</v>
      </c>
      <c r="E33760" s="38" t="s">
        <v>526</v>
      </c>
      <c r="F33760" s="38" t="s">
        <v>119</v>
      </c>
      <c r="G33760" s="49" t="str">
        <f t="shared" si="1"/>
        <v>30530</v>
      </c>
      <c r="H33760" s="49">
        <f t="shared" si="2"/>
        <v>30080</v>
      </c>
    </row>
    <row r="33761">
      <c r="A33761" s="48" t="s">
        <v>2835</v>
      </c>
      <c r="B33761" s="38">
        <v>18110.0</v>
      </c>
      <c r="C33761" s="38" t="s">
        <v>37983</v>
      </c>
      <c r="D33761" s="38" t="str">
        <f>IFERROR(__xludf.DUMMYFUNCTION("REGEXREPLACE(C33761,""-\d+(.*)|--\d+(.*)"","""")"),"HERRY")</f>
        <v>HERRY</v>
      </c>
      <c r="E33761" s="38" t="s">
        <v>504</v>
      </c>
      <c r="F33761" s="38" t="s">
        <v>123</v>
      </c>
      <c r="G33761" s="49" t="str">
        <f t="shared" si="1"/>
        <v>18140</v>
      </c>
      <c r="H33761" s="49">
        <f t="shared" si="2"/>
        <v>18110</v>
      </c>
    </row>
    <row r="33762">
      <c r="A33762" s="48" t="s">
        <v>8410</v>
      </c>
      <c r="B33762" s="38">
        <v>11279.0</v>
      </c>
      <c r="C33762" s="38" t="s">
        <v>37984</v>
      </c>
      <c r="D33762" s="38" t="str">
        <f>IFERROR(__xludf.DUMMYFUNCTION("REGEXREPLACE(C33762,""-\d+(.*)|--\d+(.*)"","""")"),"PENNAUTIER")</f>
        <v>PENNAUTIER</v>
      </c>
      <c r="E33762" s="38" t="s">
        <v>278</v>
      </c>
      <c r="F33762" s="38" t="s">
        <v>119</v>
      </c>
      <c r="G33762" s="49" t="str">
        <f t="shared" si="1"/>
        <v>11610</v>
      </c>
      <c r="H33762" s="49">
        <f t="shared" si="2"/>
        <v>11279</v>
      </c>
    </row>
    <row r="33763">
      <c r="A33763" s="48" t="s">
        <v>10689</v>
      </c>
      <c r="B33763" s="38">
        <v>59494.0</v>
      </c>
      <c r="C33763" s="38" t="s">
        <v>37985</v>
      </c>
      <c r="D33763" s="38" t="str">
        <f>IFERROR(__xludf.DUMMYFUNCTION("REGEXREPLACE(C33763,""-\d+(.*)|--\d+(.*)"","""")"),"RAUCOURT-AU-BOIS")</f>
        <v>RAUCOURT-AU-BOIS</v>
      </c>
      <c r="E33763" s="38" t="s">
        <v>85</v>
      </c>
      <c r="F33763" s="38" t="s">
        <v>86</v>
      </c>
      <c r="G33763" s="49" t="str">
        <f t="shared" si="1"/>
        <v>59530</v>
      </c>
      <c r="H33763" s="49">
        <f t="shared" si="2"/>
        <v>59494</v>
      </c>
    </row>
    <row r="33764">
      <c r="A33764" s="48" t="s">
        <v>311</v>
      </c>
      <c r="B33764" s="38">
        <v>31409.0</v>
      </c>
      <c r="C33764" s="38" t="s">
        <v>37986</v>
      </c>
      <c r="D33764" s="38" t="str">
        <f>IFERROR(__xludf.DUMMYFUNCTION("REGEXREPLACE(C33764,""-\d+(.*)|--\d+(.*)"","""")"),"PECHABOU")</f>
        <v>PECHABOU</v>
      </c>
      <c r="E33764" s="38" t="s">
        <v>93</v>
      </c>
      <c r="F33764" s="38" t="s">
        <v>94</v>
      </c>
      <c r="G33764" s="49" t="str">
        <f t="shared" si="1"/>
        <v>31320</v>
      </c>
      <c r="H33764" s="49">
        <f t="shared" si="2"/>
        <v>31409</v>
      </c>
    </row>
    <row r="33765">
      <c r="A33765" s="48" t="s">
        <v>4364</v>
      </c>
      <c r="B33765" s="38">
        <v>78118.0</v>
      </c>
      <c r="C33765" s="38" t="s">
        <v>37987</v>
      </c>
      <c r="D33765" s="38" t="str">
        <f>IFERROR(__xludf.DUMMYFUNCTION("REGEXREPLACE(C33765,""-\d+(.*)|--\d+(.*)"","""")"),"BUCHELAY")</f>
        <v>BUCHELAY</v>
      </c>
      <c r="E33765" s="38" t="s">
        <v>362</v>
      </c>
      <c r="F33765" s="38" t="s">
        <v>245</v>
      </c>
      <c r="G33765" s="49" t="str">
        <f t="shared" si="1"/>
        <v>78200</v>
      </c>
      <c r="H33765" s="49">
        <f t="shared" si="2"/>
        <v>78118</v>
      </c>
    </row>
    <row r="33766">
      <c r="A33766" s="48" t="s">
        <v>12011</v>
      </c>
      <c r="B33766" s="38">
        <v>60325.0</v>
      </c>
      <c r="C33766" s="38" t="s">
        <v>37988</v>
      </c>
      <c r="D33766" s="38" t="str">
        <f>IFERROR(__xludf.DUMMYFUNCTION("REGEXREPLACE(C33766,""-\d+(.*)|--\d+(.*)"","""")"),"JAUX")</f>
        <v>JAUX</v>
      </c>
      <c r="E33766" s="38" t="s">
        <v>112</v>
      </c>
      <c r="F33766" s="38" t="s">
        <v>113</v>
      </c>
      <c r="G33766" s="49" t="str">
        <f t="shared" si="1"/>
        <v>60880</v>
      </c>
      <c r="H33766" s="49">
        <f t="shared" si="2"/>
        <v>60325</v>
      </c>
    </row>
    <row r="33767">
      <c r="A33767" s="48" t="s">
        <v>5330</v>
      </c>
      <c r="B33767" s="38">
        <v>30027.0</v>
      </c>
      <c r="C33767" s="38" t="s">
        <v>37989</v>
      </c>
      <c r="D33767" s="38" t="str">
        <f>IFERROR(__xludf.DUMMYFUNCTION("REGEXREPLACE(C33767,""-\d+(.*)|--\d+(.*)"","""")"),"BAGARD")</f>
        <v>BAGARD</v>
      </c>
      <c r="E33767" s="38" t="s">
        <v>526</v>
      </c>
      <c r="F33767" s="38" t="s">
        <v>119</v>
      </c>
      <c r="G33767" s="49" t="str">
        <f t="shared" si="1"/>
        <v>30140</v>
      </c>
      <c r="H33767" s="49">
        <f t="shared" si="2"/>
        <v>30027</v>
      </c>
    </row>
    <row r="33768">
      <c r="A33768" s="48" t="s">
        <v>2781</v>
      </c>
      <c r="B33768" s="38">
        <v>6051.0</v>
      </c>
      <c r="C33768" s="38" t="s">
        <v>37990</v>
      </c>
      <c r="D33768" s="38" t="str">
        <f>IFERROR(__xludf.DUMMYFUNCTION("REGEXREPLACE(C33768,""-\d+(.*)|--\d+(.*)"","""")"),"LA CROIX-SUR-ROUDOULE")</f>
        <v>LA CROIX-SUR-ROUDOULE</v>
      </c>
      <c r="E33768" s="38" t="s">
        <v>227</v>
      </c>
      <c r="F33768" s="38" t="s">
        <v>228</v>
      </c>
      <c r="G33768" s="49" t="str">
        <f t="shared" si="1"/>
        <v>06260</v>
      </c>
      <c r="H33768" s="49" t="str">
        <f t="shared" si="2"/>
        <v>06051</v>
      </c>
    </row>
    <row r="33769">
      <c r="A33769" s="48" t="s">
        <v>5622</v>
      </c>
      <c r="B33769" s="38">
        <v>45332.0</v>
      </c>
      <c r="C33769" s="38" t="s">
        <v>37991</v>
      </c>
      <c r="D33769" s="38" t="str">
        <f>IFERROR(__xludf.DUMMYFUNCTION("REGEXREPLACE(C33769,""-\d+(.*)|--\d+(.*)"","""")"),"VARENNES-CHANGY")</f>
        <v>VARENNES-CHANGY</v>
      </c>
      <c r="E33769" s="38" t="s">
        <v>122</v>
      </c>
      <c r="F33769" s="38" t="s">
        <v>123</v>
      </c>
      <c r="G33769" s="49" t="str">
        <f t="shared" si="1"/>
        <v>45290</v>
      </c>
      <c r="H33769" s="49">
        <f t="shared" si="2"/>
        <v>45332</v>
      </c>
    </row>
    <row r="33770">
      <c r="A33770" s="48" t="s">
        <v>282</v>
      </c>
      <c r="B33770" s="38">
        <v>46106.0</v>
      </c>
      <c r="C33770" s="38" t="s">
        <v>25825</v>
      </c>
      <c r="D33770" s="38" t="str">
        <f>IFERROR(__xludf.DUMMYFUNCTION("REGEXREPLACE(C33770,""-\d+(.*)|--\d+(.*)"","""")"),"FLOIRAC")</f>
        <v>FLOIRAC</v>
      </c>
      <c r="E33770" s="38" t="s">
        <v>185</v>
      </c>
      <c r="F33770" s="38" t="s">
        <v>94</v>
      </c>
      <c r="G33770" s="49" t="str">
        <f t="shared" si="1"/>
        <v>46600</v>
      </c>
      <c r="H33770" s="49">
        <f t="shared" si="2"/>
        <v>46106</v>
      </c>
    </row>
    <row r="33771">
      <c r="A33771" s="48" t="s">
        <v>3662</v>
      </c>
      <c r="B33771" s="38">
        <v>80767.0</v>
      </c>
      <c r="C33771" s="38" t="s">
        <v>37992</v>
      </c>
      <c r="D33771" s="38" t="str">
        <f>IFERROR(__xludf.DUMMYFUNCTION("REGEXREPLACE(C33771,""-\d+(.*)|--\d+(.*)"","""")"),"LE TRANSLAY")</f>
        <v>LE TRANSLAY</v>
      </c>
      <c r="E33771" s="38" t="s">
        <v>224</v>
      </c>
      <c r="F33771" s="38" t="s">
        <v>113</v>
      </c>
      <c r="G33771" s="49" t="str">
        <f t="shared" si="1"/>
        <v>80140</v>
      </c>
      <c r="H33771" s="49">
        <f t="shared" si="2"/>
        <v>80767</v>
      </c>
    </row>
    <row r="33772">
      <c r="A33772" s="48" t="s">
        <v>6492</v>
      </c>
      <c r="B33772" s="38">
        <v>5097.0</v>
      </c>
      <c r="C33772" s="38" t="s">
        <v>37993</v>
      </c>
      <c r="D33772" s="38" t="str">
        <f>IFERROR(__xludf.DUMMYFUNCTION("REGEXREPLACE(C33772,""-\d+(.*)|--\d+(.*)"","""")"),"ORPIERRE")</f>
        <v>ORPIERRE</v>
      </c>
      <c r="E33772" s="38" t="s">
        <v>706</v>
      </c>
      <c r="F33772" s="38" t="s">
        <v>228</v>
      </c>
      <c r="G33772" s="49" t="str">
        <f t="shared" si="1"/>
        <v>05700</v>
      </c>
      <c r="H33772" s="49" t="str">
        <f t="shared" si="2"/>
        <v>05097</v>
      </c>
    </row>
    <row r="33773">
      <c r="A33773" s="48" t="s">
        <v>1124</v>
      </c>
      <c r="B33773" s="38">
        <v>61364.0</v>
      </c>
      <c r="C33773" s="38" t="s">
        <v>37994</v>
      </c>
      <c r="D33773" s="38" t="str">
        <f>IFERROR(__xludf.DUMMYFUNCTION("REGEXREPLACE(C33773,""-\d+(.*)|--\d+(.*)"","""")"),"SAINT-AUBERT-SUR-ORNE")</f>
        <v>SAINT-AUBERT-SUR-ORNE</v>
      </c>
      <c r="E33773" s="38" t="s">
        <v>141</v>
      </c>
      <c r="F33773" s="38" t="s">
        <v>138</v>
      </c>
      <c r="G33773" s="49" t="str">
        <f t="shared" si="1"/>
        <v>61210</v>
      </c>
      <c r="H33773" s="49">
        <f t="shared" si="2"/>
        <v>61364</v>
      </c>
    </row>
    <row r="33774">
      <c r="A33774" s="48" t="s">
        <v>12826</v>
      </c>
      <c r="B33774" s="38">
        <v>45325.0</v>
      </c>
      <c r="C33774" s="38" t="s">
        <v>37995</v>
      </c>
      <c r="D33774" s="38" t="str">
        <f>IFERROR(__xludf.DUMMYFUNCTION("REGEXREPLACE(C33774,""-\d+(.*)|--\d+(.*)"","""")"),"TIVERNON")</f>
        <v>TIVERNON</v>
      </c>
      <c r="E33774" s="38" t="s">
        <v>122</v>
      </c>
      <c r="F33774" s="38" t="s">
        <v>123</v>
      </c>
      <c r="G33774" s="49" t="str">
        <f t="shared" si="1"/>
        <v>45170</v>
      </c>
      <c r="H33774" s="49">
        <f t="shared" si="2"/>
        <v>45325</v>
      </c>
    </row>
    <row r="33775">
      <c r="A33775" s="48" t="s">
        <v>19821</v>
      </c>
      <c r="B33775" s="38">
        <v>53144.0</v>
      </c>
      <c r="C33775" s="38" t="s">
        <v>37996</v>
      </c>
      <c r="D33775" s="38" t="str">
        <f>IFERROR(__xludf.DUMMYFUNCTION("REGEXREPLACE(C33775,""-\d+(.*)|--\d+(.*)"","""")"),"MARCILLE-LA-VILLE")</f>
        <v>MARCILLE-LA-VILLE</v>
      </c>
      <c r="E33775" s="38" t="s">
        <v>518</v>
      </c>
      <c r="F33775" s="38" t="s">
        <v>180</v>
      </c>
      <c r="G33775" s="49" t="str">
        <f t="shared" si="1"/>
        <v>53440</v>
      </c>
      <c r="H33775" s="49">
        <f t="shared" si="2"/>
        <v>53144</v>
      </c>
    </row>
    <row r="33776">
      <c r="A33776" s="48" t="s">
        <v>5230</v>
      </c>
      <c r="B33776" s="38">
        <v>25083.0</v>
      </c>
      <c r="C33776" s="38" t="s">
        <v>37997</v>
      </c>
      <c r="D33776" s="38" t="str">
        <f>IFERROR(__xludf.DUMMYFUNCTION("REGEXREPLACE(C33776,""-\d+(.*)|--\d+(.*)"","""")"),"BOURNOIS")</f>
        <v>BOURNOIS</v>
      </c>
      <c r="E33776" s="38" t="s">
        <v>213</v>
      </c>
      <c r="F33776" s="38" t="s">
        <v>214</v>
      </c>
      <c r="G33776" s="49" t="str">
        <f t="shared" si="1"/>
        <v>25250</v>
      </c>
      <c r="H33776" s="49">
        <f t="shared" si="2"/>
        <v>25083</v>
      </c>
    </row>
    <row r="33777">
      <c r="A33777" s="48" t="s">
        <v>13267</v>
      </c>
      <c r="B33777" s="38">
        <v>19136.0</v>
      </c>
      <c r="C33777" s="38" t="s">
        <v>37998</v>
      </c>
      <c r="D33777" s="38" t="str">
        <f>IFERROR(__xludf.DUMMYFUNCTION("REGEXREPLACE(C33777,""-\d+(.*)|--\d+(.*)"","""")"),"MEYMAC")</f>
        <v>MEYMAC</v>
      </c>
      <c r="E33777" s="38" t="s">
        <v>271</v>
      </c>
      <c r="F33777" s="38" t="s">
        <v>98</v>
      </c>
      <c r="G33777" s="49" t="str">
        <f t="shared" si="1"/>
        <v>19250</v>
      </c>
      <c r="H33777" s="49">
        <f t="shared" si="2"/>
        <v>19136</v>
      </c>
    </row>
    <row r="33778">
      <c r="A33778" s="48" t="s">
        <v>1370</v>
      </c>
      <c r="B33778" s="38">
        <v>10164.0</v>
      </c>
      <c r="C33778" s="38" t="s">
        <v>37999</v>
      </c>
      <c r="D33778" s="38" t="str">
        <f>IFERROR(__xludf.DUMMYFUNCTION("REGEXREPLACE(C33778,""-\d+(.*)|--\d+(.*)"","""")"),"GELANNES")</f>
        <v>GELANNES</v>
      </c>
      <c r="E33778" s="38" t="s">
        <v>147</v>
      </c>
      <c r="F33778" s="38" t="s">
        <v>130</v>
      </c>
      <c r="G33778" s="49" t="str">
        <f t="shared" si="1"/>
        <v>10100</v>
      </c>
      <c r="H33778" s="49">
        <f t="shared" si="2"/>
        <v>10164</v>
      </c>
    </row>
    <row r="33779">
      <c r="A33779" s="48" t="s">
        <v>4079</v>
      </c>
      <c r="B33779" s="38">
        <v>1421.0</v>
      </c>
      <c r="C33779" s="38" t="s">
        <v>38000</v>
      </c>
      <c r="D33779" s="38" t="str">
        <f>IFERROR(__xludf.DUMMYFUNCTION("REGEXREPLACE(C33779,""-\d+(.*)|--\d+(.*)"","""")"),"TORCIEU")</f>
        <v>TORCIEU</v>
      </c>
      <c r="E33779" s="38" t="s">
        <v>255</v>
      </c>
      <c r="F33779" s="38" t="s">
        <v>102</v>
      </c>
      <c r="G33779" s="49" t="str">
        <f t="shared" si="1"/>
        <v>01230</v>
      </c>
      <c r="H33779" s="49" t="str">
        <f t="shared" si="2"/>
        <v>01421</v>
      </c>
    </row>
    <row r="33780">
      <c r="A33780" s="48" t="s">
        <v>21835</v>
      </c>
      <c r="B33780" s="38">
        <v>59301.0</v>
      </c>
      <c r="C33780" s="38" t="s">
        <v>38001</v>
      </c>
      <c r="D33780" s="38" t="str">
        <f>IFERROR(__xludf.DUMMYFUNCTION("REGEXREPLACE(C33780,""-\d+(.*)|--\d+(.*)"","""")"),"HERGNIES")</f>
        <v>HERGNIES</v>
      </c>
      <c r="E33780" s="38" t="s">
        <v>85</v>
      </c>
      <c r="F33780" s="38" t="s">
        <v>86</v>
      </c>
      <c r="G33780" s="49" t="str">
        <f t="shared" si="1"/>
        <v>59199</v>
      </c>
      <c r="H33780" s="49">
        <f t="shared" si="2"/>
        <v>59301</v>
      </c>
    </row>
    <row r="33781">
      <c r="A33781" s="48" t="s">
        <v>386</v>
      </c>
      <c r="B33781" s="38">
        <v>21353.0</v>
      </c>
      <c r="C33781" s="38" t="s">
        <v>38002</v>
      </c>
      <c r="D33781" s="38" t="str">
        <f>IFERROR(__xludf.DUMMYFUNCTION("REGEXREPLACE(C33781,""-\d+(.*)|--\d+(.*)"","""")"),"LONGECOURT-EN-PLAINE")</f>
        <v>LONGECOURT-EN-PLAINE</v>
      </c>
      <c r="E33781" s="38" t="s">
        <v>105</v>
      </c>
      <c r="F33781" s="38" t="s">
        <v>106</v>
      </c>
      <c r="G33781" s="49" t="str">
        <f t="shared" si="1"/>
        <v>21110</v>
      </c>
      <c r="H33781" s="49">
        <f t="shared" si="2"/>
        <v>21353</v>
      </c>
    </row>
    <row r="33782">
      <c r="A33782" s="48" t="s">
        <v>15222</v>
      </c>
      <c r="B33782" s="38">
        <v>56004.0</v>
      </c>
      <c r="C33782" s="38" t="s">
        <v>38003</v>
      </c>
      <c r="D33782" s="38" t="str">
        <f>IFERROR(__xludf.DUMMYFUNCTION("REGEXREPLACE(C33782,""-\d+(.*)|--\d+(.*)"","""")"),"ARZAL")</f>
        <v>ARZAL</v>
      </c>
      <c r="E33782" s="38" t="s">
        <v>173</v>
      </c>
      <c r="F33782" s="38" t="s">
        <v>90</v>
      </c>
      <c r="G33782" s="49" t="str">
        <f t="shared" si="1"/>
        <v>56190</v>
      </c>
      <c r="H33782" s="49">
        <f t="shared" si="2"/>
        <v>56004</v>
      </c>
    </row>
    <row r="33783">
      <c r="A33783" s="48" t="s">
        <v>2993</v>
      </c>
      <c r="B33783" s="38">
        <v>66112.0</v>
      </c>
      <c r="C33783" s="38" t="s">
        <v>19084</v>
      </c>
      <c r="D33783" s="38" t="str">
        <f>IFERROR(__xludf.DUMMYFUNCTION("REGEXREPLACE(C33783,""-\d+(.*)|--\d+(.*)"","""")"),"MONTAURIOL")</f>
        <v>MONTAURIOL</v>
      </c>
      <c r="E33783" s="38" t="s">
        <v>248</v>
      </c>
      <c r="F33783" s="38" t="s">
        <v>119</v>
      </c>
      <c r="G33783" s="49" t="str">
        <f t="shared" si="1"/>
        <v>66300</v>
      </c>
      <c r="H33783" s="49">
        <f t="shared" si="2"/>
        <v>66112</v>
      </c>
    </row>
    <row r="33784">
      <c r="A33784" s="48" t="s">
        <v>38004</v>
      </c>
      <c r="B33784" s="38">
        <v>78362.0</v>
      </c>
      <c r="C33784" s="38" t="s">
        <v>38005</v>
      </c>
      <c r="D33784" s="38" t="str">
        <f>IFERROR(__xludf.DUMMYFUNCTION("REGEXREPLACE(C33784,""-\d+(.*)|--\d+(.*)"","""")"),"MANTES-LA-VILLE")</f>
        <v>MANTES-LA-VILLE</v>
      </c>
      <c r="E33784" s="38" t="s">
        <v>362</v>
      </c>
      <c r="F33784" s="38" t="s">
        <v>245</v>
      </c>
      <c r="G33784" s="49" t="str">
        <f t="shared" si="1"/>
        <v>78711</v>
      </c>
      <c r="H33784" s="49">
        <f t="shared" si="2"/>
        <v>78362</v>
      </c>
    </row>
    <row r="33785">
      <c r="A33785" s="48" t="s">
        <v>9695</v>
      </c>
      <c r="B33785" s="38">
        <v>43184.0</v>
      </c>
      <c r="C33785" s="38" t="s">
        <v>38006</v>
      </c>
      <c r="D33785" s="38" t="str">
        <f>IFERROR(__xludf.DUMMYFUNCTION("REGEXREPLACE(C33785,""-\d+(.*)|--\d+(.*)"","""")"),"SAINT-FERREOL-D'AUROURE")</f>
        <v>SAINT-FERREOL-D'AUROURE</v>
      </c>
      <c r="E33785" s="38" t="s">
        <v>332</v>
      </c>
      <c r="F33785" s="38" t="s">
        <v>161</v>
      </c>
      <c r="G33785" s="49" t="str">
        <f t="shared" si="1"/>
        <v>43330</v>
      </c>
      <c r="H33785" s="49">
        <f t="shared" si="2"/>
        <v>43184</v>
      </c>
    </row>
    <row r="33786">
      <c r="A33786" s="48" t="s">
        <v>5302</v>
      </c>
      <c r="B33786" s="38">
        <v>14619.0</v>
      </c>
      <c r="C33786" s="38" t="s">
        <v>38007</v>
      </c>
      <c r="D33786" s="38" t="str">
        <f>IFERROR(__xludf.DUMMYFUNCTION("REGEXREPLACE(C33786,""-\d+(.*)|--\d+(.*)"","""")"),"SAINTE-MARIE-OUTRE-L'EAU")</f>
        <v>SAINTE-MARIE-OUTRE-L'EAU</v>
      </c>
      <c r="E33786" s="38" t="s">
        <v>137</v>
      </c>
      <c r="F33786" s="38" t="s">
        <v>138</v>
      </c>
      <c r="G33786" s="49" t="str">
        <f t="shared" si="1"/>
        <v>14380</v>
      </c>
      <c r="H33786" s="49">
        <f t="shared" si="2"/>
        <v>14619</v>
      </c>
    </row>
    <row r="33787">
      <c r="A33787" s="48" t="s">
        <v>3436</v>
      </c>
      <c r="B33787" s="38">
        <v>33124.0</v>
      </c>
      <c r="C33787" s="38" t="s">
        <v>38008</v>
      </c>
      <c r="D33787" s="38" t="str">
        <f>IFERROR(__xludf.DUMMYFUNCTION("REGEXREPLACE(C33787,""-\d+(.*)|--\d+(.*)"","""")"),"CHAMADELLE")</f>
        <v>CHAMADELLE</v>
      </c>
      <c r="E33787" s="38" t="s">
        <v>462</v>
      </c>
      <c r="F33787" s="38" t="s">
        <v>252</v>
      </c>
      <c r="G33787" s="49" t="str">
        <f t="shared" si="1"/>
        <v>33230</v>
      </c>
      <c r="H33787" s="49">
        <f t="shared" si="2"/>
        <v>33124</v>
      </c>
    </row>
    <row r="33788">
      <c r="A33788" s="48" t="s">
        <v>388</v>
      </c>
      <c r="B33788" s="38">
        <v>19064.0</v>
      </c>
      <c r="C33788" s="38" t="s">
        <v>38009</v>
      </c>
      <c r="D33788" s="38" t="str">
        <f>IFERROR(__xludf.DUMMYFUNCTION("REGEXREPLACE(C33788,""-\d+(.*)|--\d+(.*)"","""")"),"COUFFY-SUR-SARSONNE")</f>
        <v>COUFFY-SUR-SARSONNE</v>
      </c>
      <c r="E33788" s="38" t="s">
        <v>271</v>
      </c>
      <c r="F33788" s="38" t="s">
        <v>98</v>
      </c>
      <c r="G33788" s="49" t="str">
        <f t="shared" si="1"/>
        <v>19340</v>
      </c>
      <c r="H33788" s="49">
        <f t="shared" si="2"/>
        <v>19064</v>
      </c>
    </row>
    <row r="33789">
      <c r="A33789" s="48" t="s">
        <v>8300</v>
      </c>
      <c r="B33789" s="38">
        <v>39561.0</v>
      </c>
      <c r="C33789" s="38" t="s">
        <v>38010</v>
      </c>
      <c r="D33789" s="38" t="str">
        <f>IFERROR(__xludf.DUMMYFUNCTION("REGEXREPLACE(C33789,""-\d+(.*)|--\d+(.*)"","""")"),"VILLARDS-D'HERIA")</f>
        <v>VILLARDS-D'HERIA</v>
      </c>
      <c r="E33789" s="38" t="s">
        <v>400</v>
      </c>
      <c r="F33789" s="38" t="s">
        <v>214</v>
      </c>
      <c r="G33789" s="49" t="str">
        <f t="shared" si="1"/>
        <v>39260</v>
      </c>
      <c r="H33789" s="49">
        <f t="shared" si="2"/>
        <v>39561</v>
      </c>
    </row>
    <row r="33790">
      <c r="A33790" s="48" t="s">
        <v>2619</v>
      </c>
      <c r="B33790" s="38">
        <v>71549.0</v>
      </c>
      <c r="C33790" s="38" t="s">
        <v>38011</v>
      </c>
      <c r="D33790" s="38" t="str">
        <f>IFERROR(__xludf.DUMMYFUNCTION("REGEXREPLACE(C33790,""-\d+(.*)|--\d+(.*)"","""")"),"LA TRUCHERE")</f>
        <v>LA TRUCHERE</v>
      </c>
      <c r="E33790" s="38" t="s">
        <v>344</v>
      </c>
      <c r="F33790" s="38" t="s">
        <v>106</v>
      </c>
      <c r="G33790" s="49" t="str">
        <f t="shared" si="1"/>
        <v>71290</v>
      </c>
      <c r="H33790" s="49">
        <f t="shared" si="2"/>
        <v>71549</v>
      </c>
    </row>
    <row r="33791">
      <c r="A33791" s="48" t="s">
        <v>12009</v>
      </c>
      <c r="B33791" s="38">
        <v>71311.0</v>
      </c>
      <c r="C33791" s="38" t="s">
        <v>38012</v>
      </c>
      <c r="D33791" s="38" t="str">
        <f>IFERROR(__xludf.DUMMYFUNCTION("REGEXREPLACE(C33791,""-\d+(.*)|--\d+(.*)"","""")"),"MONTCONY")</f>
        <v>MONTCONY</v>
      </c>
      <c r="E33791" s="38" t="s">
        <v>344</v>
      </c>
      <c r="F33791" s="38" t="s">
        <v>106</v>
      </c>
      <c r="G33791" s="49" t="str">
        <f t="shared" si="1"/>
        <v>71500</v>
      </c>
      <c r="H33791" s="49">
        <f t="shared" si="2"/>
        <v>71311</v>
      </c>
    </row>
    <row r="33792">
      <c r="A33792" s="48" t="s">
        <v>394</v>
      </c>
      <c r="B33792" s="38">
        <v>41187.0</v>
      </c>
      <c r="C33792" s="38" t="s">
        <v>38013</v>
      </c>
      <c r="D33792" s="38" t="str">
        <f>IFERROR(__xludf.DUMMYFUNCTION("REGEXREPLACE(C33792,""-\d+(.*)|--\d+(.*)"","""")"),"RENAY")</f>
        <v>RENAY</v>
      </c>
      <c r="E33792" s="38" t="s">
        <v>188</v>
      </c>
      <c r="F33792" s="38" t="s">
        <v>123</v>
      </c>
      <c r="G33792" s="49" t="str">
        <f t="shared" si="1"/>
        <v>41100</v>
      </c>
      <c r="H33792" s="49">
        <f t="shared" si="2"/>
        <v>41187</v>
      </c>
    </row>
    <row r="33793">
      <c r="A33793" s="48" t="s">
        <v>3631</v>
      </c>
      <c r="B33793" s="38">
        <v>38030.0</v>
      </c>
      <c r="C33793" s="38" t="s">
        <v>38014</v>
      </c>
      <c r="D33793" s="38" t="str">
        <f>IFERROR(__xludf.DUMMYFUNCTION("REGEXREPLACE(C33793,""-\d+(.*)|--\d+(.*)"","""")"),"BEAUCROISSANT")</f>
        <v>BEAUCROISSANT</v>
      </c>
      <c r="E33793" s="38" t="s">
        <v>101</v>
      </c>
      <c r="F33793" s="38" t="s">
        <v>102</v>
      </c>
      <c r="G33793" s="49" t="str">
        <f t="shared" si="1"/>
        <v>38140</v>
      </c>
      <c r="H33793" s="49">
        <f t="shared" si="2"/>
        <v>38030</v>
      </c>
    </row>
    <row r="33794">
      <c r="A33794" s="48" t="s">
        <v>12805</v>
      </c>
      <c r="B33794" s="38">
        <v>87031.0</v>
      </c>
      <c r="C33794" s="38" t="s">
        <v>38015</v>
      </c>
      <c r="D33794" s="38" t="str">
        <f>IFERROR(__xludf.DUMMYFUNCTION("REGEXREPLACE(C33794,""-\d+(.*)|--\d+(.*)"","""")"),"LE CHALARD")</f>
        <v>LE CHALARD</v>
      </c>
      <c r="E33794" s="38" t="s">
        <v>897</v>
      </c>
      <c r="F33794" s="38" t="s">
        <v>98</v>
      </c>
      <c r="G33794" s="49" t="str">
        <f t="shared" si="1"/>
        <v>87500</v>
      </c>
      <c r="H33794" s="49">
        <f t="shared" si="2"/>
        <v>87031</v>
      </c>
    </row>
    <row r="33795">
      <c r="A33795" s="48" t="s">
        <v>215</v>
      </c>
      <c r="B33795" s="38">
        <v>2433.0</v>
      </c>
      <c r="C33795" s="38" t="s">
        <v>38016</v>
      </c>
      <c r="D33795" s="38" t="str">
        <f>IFERROR(__xludf.DUMMYFUNCTION("REGEXREPLACE(C33795,""-\d+(.*)|--\d+(.*)"","""")"),"LISLET")</f>
        <v>LISLET</v>
      </c>
      <c r="E33795" s="38" t="s">
        <v>191</v>
      </c>
      <c r="F33795" s="38" t="s">
        <v>113</v>
      </c>
      <c r="G33795" s="49" t="str">
        <f t="shared" si="1"/>
        <v>02340</v>
      </c>
      <c r="H33795" s="49" t="str">
        <f t="shared" si="2"/>
        <v>02433</v>
      </c>
    </row>
    <row r="33796">
      <c r="A33796" s="48" t="s">
        <v>2968</v>
      </c>
      <c r="B33796" s="38">
        <v>45114.0</v>
      </c>
      <c r="C33796" s="38" t="s">
        <v>38017</v>
      </c>
      <c r="D33796" s="38" t="str">
        <f>IFERROR(__xludf.DUMMYFUNCTION("REGEXREPLACE(C33796,""-\d+(.*)|--\d+(.*)"","""")"),"COURTEMPIERRE")</f>
        <v>COURTEMPIERRE</v>
      </c>
      <c r="E33796" s="38" t="s">
        <v>122</v>
      </c>
      <c r="F33796" s="38" t="s">
        <v>123</v>
      </c>
      <c r="G33796" s="49" t="str">
        <f t="shared" si="1"/>
        <v>45490</v>
      </c>
      <c r="H33796" s="49">
        <f t="shared" si="2"/>
        <v>45114</v>
      </c>
    </row>
    <row r="33797">
      <c r="A33797" s="48" t="s">
        <v>2579</v>
      </c>
      <c r="B33797" s="38">
        <v>32468.0</v>
      </c>
      <c r="C33797" s="38" t="s">
        <v>38018</v>
      </c>
      <c r="D33797" s="38" t="str">
        <f>IFERROR(__xludf.DUMMYFUNCTION("REGEXREPLACE(C33797,""-\d+(.*)|--\d+(.*)"","""")"),"AUSSOS")</f>
        <v>AUSSOS</v>
      </c>
      <c r="E33797" s="38" t="s">
        <v>440</v>
      </c>
      <c r="F33797" s="38" t="s">
        <v>94</v>
      </c>
      <c r="G33797" s="49" t="str">
        <f t="shared" si="1"/>
        <v>32140</v>
      </c>
      <c r="H33797" s="49">
        <f t="shared" si="2"/>
        <v>32468</v>
      </c>
    </row>
    <row r="33798">
      <c r="A33798" s="48" t="s">
        <v>2268</v>
      </c>
      <c r="B33798" s="38">
        <v>55103.0</v>
      </c>
      <c r="C33798" s="38" t="s">
        <v>38019</v>
      </c>
      <c r="D33798" s="38" t="str">
        <f>IFERROR(__xludf.DUMMYFUNCTION("REGEXREPLACE(C33798,""-\d+(.*)|--\d+(.*)"","""")"),"CHARPENTRY")</f>
        <v>CHARPENTRY</v>
      </c>
      <c r="E33798" s="38" t="s">
        <v>322</v>
      </c>
      <c r="F33798" s="38" t="s">
        <v>195</v>
      </c>
      <c r="G33798" s="49" t="str">
        <f t="shared" si="1"/>
        <v>55270</v>
      </c>
      <c r="H33798" s="49">
        <f t="shared" si="2"/>
        <v>55103</v>
      </c>
    </row>
    <row r="33799">
      <c r="A33799" s="48" t="s">
        <v>3702</v>
      </c>
      <c r="B33799" s="38">
        <v>77352.0</v>
      </c>
      <c r="C33799" s="38" t="s">
        <v>38020</v>
      </c>
      <c r="D33799" s="38" t="str">
        <f>IFERROR(__xludf.DUMMYFUNCTION("REGEXREPLACE(C33799,""-\d+(.*)|--\d+(.*)"","""")"),"OZOUER-LE-VOULGIS")</f>
        <v>OZOUER-LE-VOULGIS</v>
      </c>
      <c r="E33799" s="38" t="s">
        <v>244</v>
      </c>
      <c r="F33799" s="38" t="s">
        <v>245</v>
      </c>
      <c r="G33799" s="49" t="str">
        <f t="shared" si="1"/>
        <v>77390</v>
      </c>
      <c r="H33799" s="49">
        <f t="shared" si="2"/>
        <v>77352</v>
      </c>
    </row>
    <row r="33800">
      <c r="A33800" s="48" t="s">
        <v>22843</v>
      </c>
      <c r="B33800" s="38">
        <v>43069.0</v>
      </c>
      <c r="C33800" s="38" t="s">
        <v>38021</v>
      </c>
      <c r="D33800" s="38" t="str">
        <f>IFERROR(__xludf.DUMMYFUNCTION("REGEXREPLACE(C33800,""-\d+(.*)|--\d+(.*)"","""")"),"CHENEREILLES")</f>
        <v>CHENEREILLES</v>
      </c>
      <c r="E33800" s="38" t="s">
        <v>332</v>
      </c>
      <c r="F33800" s="38" t="s">
        <v>161</v>
      </c>
      <c r="G33800" s="49" t="str">
        <f t="shared" si="1"/>
        <v>43190</v>
      </c>
      <c r="H33800" s="49">
        <f t="shared" si="2"/>
        <v>43069</v>
      </c>
    </row>
    <row r="33801">
      <c r="A33801" s="48" t="s">
        <v>757</v>
      </c>
      <c r="B33801" s="38">
        <v>44092.0</v>
      </c>
      <c r="C33801" s="38" t="s">
        <v>38022</v>
      </c>
      <c r="D33801" s="38" t="str">
        <f>IFERROR(__xludf.DUMMYFUNCTION("REGEXREPLACE(C33801,""-\d+(.*)|--\d+(.*)"","""")"),"MASSERAC")</f>
        <v>MASSERAC</v>
      </c>
      <c r="E33801" s="38" t="s">
        <v>759</v>
      </c>
      <c r="F33801" s="38" t="s">
        <v>180</v>
      </c>
      <c r="G33801" s="49" t="str">
        <f t="shared" si="1"/>
        <v>44290</v>
      </c>
      <c r="H33801" s="49">
        <f t="shared" si="2"/>
        <v>44092</v>
      </c>
    </row>
    <row r="33802">
      <c r="A33802" s="48" t="s">
        <v>3662</v>
      </c>
      <c r="B33802" s="38">
        <v>80591.0</v>
      </c>
      <c r="C33802" s="38" t="s">
        <v>38023</v>
      </c>
      <c r="D33802" s="38" t="str">
        <f>IFERROR(__xludf.DUMMYFUNCTION("REGEXREPLACE(C33802,""-\d+(.*)|--\d+(.*)"","""")"),"NEUVILLE-AU-BOIS")</f>
        <v>NEUVILLE-AU-BOIS</v>
      </c>
      <c r="E33802" s="38" t="s">
        <v>224</v>
      </c>
      <c r="F33802" s="38" t="s">
        <v>113</v>
      </c>
      <c r="G33802" s="49" t="str">
        <f t="shared" si="1"/>
        <v>80140</v>
      </c>
      <c r="H33802" s="49">
        <f t="shared" si="2"/>
        <v>80591</v>
      </c>
    </row>
    <row r="33803">
      <c r="A33803" s="48" t="s">
        <v>781</v>
      </c>
      <c r="B33803" s="38">
        <v>65348.0</v>
      </c>
      <c r="C33803" s="38" t="s">
        <v>38024</v>
      </c>
      <c r="D33803" s="38" t="str">
        <f>IFERROR(__xludf.DUMMYFUNCTION("REGEXREPLACE(C33803,""-\d+(.*)|--\d+(.*)"","""")"),"OURDIS-COTDOUSSAN")</f>
        <v>OURDIS-COTDOUSSAN</v>
      </c>
      <c r="E33803" s="38" t="s">
        <v>200</v>
      </c>
      <c r="F33803" s="38" t="s">
        <v>94</v>
      </c>
      <c r="G33803" s="49" t="str">
        <f t="shared" si="1"/>
        <v>65100</v>
      </c>
      <c r="H33803" s="49">
        <f t="shared" si="2"/>
        <v>65348</v>
      </c>
    </row>
    <row r="33804">
      <c r="A33804" s="48" t="s">
        <v>9621</v>
      </c>
      <c r="B33804" s="38">
        <v>43242.0</v>
      </c>
      <c r="C33804" s="38" t="s">
        <v>38025</v>
      </c>
      <c r="D33804" s="38" t="str">
        <f>IFERROR(__xludf.DUMMYFUNCTION("REGEXREPLACE(C33804,""-\d+(.*)|--\d+(.*)"","""")"),"TAILHAC")</f>
        <v>TAILHAC</v>
      </c>
      <c r="E33804" s="38" t="s">
        <v>332</v>
      </c>
      <c r="F33804" s="38" t="s">
        <v>161</v>
      </c>
      <c r="G33804" s="49" t="str">
        <f t="shared" si="1"/>
        <v>43300</v>
      </c>
      <c r="H33804" s="49">
        <f t="shared" si="2"/>
        <v>43242</v>
      </c>
    </row>
    <row r="33805">
      <c r="A33805" s="48" t="s">
        <v>4605</v>
      </c>
      <c r="B33805" s="38">
        <v>39270.0</v>
      </c>
      <c r="C33805" s="38" t="s">
        <v>38026</v>
      </c>
      <c r="D33805" s="38" t="str">
        <f>IFERROR(__xludf.DUMMYFUNCTION("REGEXREPLACE(C33805,""-\d+(.*)|--\d+(.*)"","""")"),"JOUHE")</f>
        <v>JOUHE</v>
      </c>
      <c r="E33805" s="38" t="s">
        <v>400</v>
      </c>
      <c r="F33805" s="38" t="s">
        <v>214</v>
      </c>
      <c r="G33805" s="49" t="str">
        <f t="shared" si="1"/>
        <v>39100</v>
      </c>
      <c r="H33805" s="49">
        <f t="shared" si="2"/>
        <v>39270</v>
      </c>
    </row>
    <row r="33806">
      <c r="A33806" s="48" t="s">
        <v>4483</v>
      </c>
      <c r="B33806" s="38">
        <v>4090.0</v>
      </c>
      <c r="C33806" s="38" t="s">
        <v>38027</v>
      </c>
      <c r="D33806" s="38" t="str">
        <f>IFERROR(__xludf.DUMMYFUNCTION("REGEXREPLACE(C33806,""-\d+(.*)|--\d+(.*)"","""")"),"LE FUGERET")</f>
        <v>LE FUGERET</v>
      </c>
      <c r="E33806" s="38" t="s">
        <v>662</v>
      </c>
      <c r="F33806" s="38" t="s">
        <v>228</v>
      </c>
      <c r="G33806" s="49" t="str">
        <f t="shared" si="1"/>
        <v>04240</v>
      </c>
      <c r="H33806" s="49" t="str">
        <f t="shared" si="2"/>
        <v>04090</v>
      </c>
    </row>
    <row r="33807">
      <c r="A33807" s="48" t="s">
        <v>2042</v>
      </c>
      <c r="B33807" s="38">
        <v>80789.0</v>
      </c>
      <c r="C33807" s="38" t="s">
        <v>38028</v>
      </c>
      <c r="D33807" s="38" t="str">
        <f>IFERROR(__xludf.DUMMYFUNCTION("REGEXREPLACE(C33807,""-\d+(.*)|--\d+(.*)"","""")"),"VERMANDOVILLERS")</f>
        <v>VERMANDOVILLERS</v>
      </c>
      <c r="E33807" s="38" t="s">
        <v>224</v>
      </c>
      <c r="F33807" s="38" t="s">
        <v>113</v>
      </c>
      <c r="G33807" s="49" t="str">
        <f t="shared" si="1"/>
        <v>80320</v>
      </c>
      <c r="H33807" s="49">
        <f t="shared" si="2"/>
        <v>80789</v>
      </c>
    </row>
    <row r="33808">
      <c r="A33808" s="48" t="s">
        <v>1184</v>
      </c>
      <c r="B33808" s="38">
        <v>8218.0</v>
      </c>
      <c r="C33808" s="38" t="s">
        <v>38029</v>
      </c>
      <c r="D33808" s="38" t="str">
        <f>IFERROR(__xludf.DUMMYFUNCTION("REGEXREPLACE(C33808,""-\d+(.*)|--\d+(.*)"","""")"),"LES HAUTES-RIVIERES")</f>
        <v>LES HAUTES-RIVIERES</v>
      </c>
      <c r="E33808" s="38" t="s">
        <v>327</v>
      </c>
      <c r="F33808" s="38" t="s">
        <v>130</v>
      </c>
      <c r="G33808" s="49" t="str">
        <f t="shared" si="1"/>
        <v>08800</v>
      </c>
      <c r="H33808" s="49" t="str">
        <f t="shared" si="2"/>
        <v>08218</v>
      </c>
    </row>
    <row r="33809">
      <c r="A33809" s="48" t="s">
        <v>5511</v>
      </c>
      <c r="B33809" s="38">
        <v>53125.0</v>
      </c>
      <c r="C33809" s="38" t="s">
        <v>38030</v>
      </c>
      <c r="D33809" s="38" t="str">
        <f>IFERROR(__xludf.DUMMYFUNCTION("REGEXREPLACE(C33809,""-\d+(.*)|--\d+(.*)"","""")"),"LANDIVY")</f>
        <v>LANDIVY</v>
      </c>
      <c r="E33809" s="38" t="s">
        <v>518</v>
      </c>
      <c r="F33809" s="38" t="s">
        <v>180</v>
      </c>
      <c r="G33809" s="49" t="str">
        <f t="shared" si="1"/>
        <v>53190</v>
      </c>
      <c r="H33809" s="49">
        <f t="shared" si="2"/>
        <v>53125</v>
      </c>
    </row>
    <row r="33810">
      <c r="A33810" s="48" t="s">
        <v>3967</v>
      </c>
      <c r="B33810" s="38">
        <v>50386.0</v>
      </c>
      <c r="C33810" s="38" t="s">
        <v>38031</v>
      </c>
      <c r="D33810" s="38" t="str">
        <f>IFERROR(__xludf.DUMMYFUNCTION("REGEXREPLACE(C33810,""-\d+(.*)|--\d+(.*)"","""")"),"OMONVILLE-LA-ROGUE")</f>
        <v>OMONVILLE-LA-ROGUE</v>
      </c>
      <c r="E33810" s="38" t="s">
        <v>157</v>
      </c>
      <c r="F33810" s="38" t="s">
        <v>138</v>
      </c>
      <c r="G33810" s="49" t="str">
        <f t="shared" si="1"/>
        <v>50440</v>
      </c>
      <c r="H33810" s="49">
        <f t="shared" si="2"/>
        <v>50386</v>
      </c>
    </row>
    <row r="33811">
      <c r="A33811" s="48" t="s">
        <v>5806</v>
      </c>
      <c r="B33811" s="38">
        <v>39337.0</v>
      </c>
      <c r="C33811" s="38" t="s">
        <v>38032</v>
      </c>
      <c r="D33811" s="38" t="str">
        <f>IFERROR(__xludf.DUMMYFUNCTION("REGEXREPLACE(C33811,""-\d+(.*)|--\d+(.*)"","""")"),"MOLAMBOZ")</f>
        <v>MOLAMBOZ</v>
      </c>
      <c r="E33811" s="38" t="s">
        <v>400</v>
      </c>
      <c r="F33811" s="38" t="s">
        <v>214</v>
      </c>
      <c r="G33811" s="49" t="str">
        <f t="shared" si="1"/>
        <v>39600</v>
      </c>
      <c r="H33811" s="49">
        <f t="shared" si="2"/>
        <v>39337</v>
      </c>
    </row>
    <row r="33812">
      <c r="A33812" s="48" t="s">
        <v>4676</v>
      </c>
      <c r="B33812" s="38">
        <v>48190.0</v>
      </c>
      <c r="C33812" s="38" t="s">
        <v>19317</v>
      </c>
      <c r="D33812" s="38" t="str">
        <f>IFERROR(__xludf.DUMMYFUNCTION("REGEXREPLACE(C33812,""-\d+(.*)|--\d+(.*)"","""")"),"TERMES")</f>
        <v>TERMES</v>
      </c>
      <c r="E33812" s="38" t="s">
        <v>154</v>
      </c>
      <c r="F33812" s="38" t="s">
        <v>119</v>
      </c>
      <c r="G33812" s="49" t="str">
        <f t="shared" si="1"/>
        <v>48310</v>
      </c>
      <c r="H33812" s="49">
        <f t="shared" si="2"/>
        <v>48190</v>
      </c>
    </row>
    <row r="33813">
      <c r="A33813" s="48" t="s">
        <v>5453</v>
      </c>
      <c r="B33813" s="38">
        <v>52295.0</v>
      </c>
      <c r="C33813" s="38" t="s">
        <v>24569</v>
      </c>
      <c r="D33813" s="38" t="str">
        <f>IFERROR(__xludf.DUMMYFUNCTION("REGEXREPLACE(C33813,""-\d+(.*)|--\d+(.*)"","""")"),"LOUVIERES")</f>
        <v>LOUVIERES</v>
      </c>
      <c r="E33813" s="38" t="s">
        <v>234</v>
      </c>
      <c r="F33813" s="38" t="s">
        <v>130</v>
      </c>
      <c r="G33813" s="49" t="str">
        <f t="shared" si="1"/>
        <v>52800</v>
      </c>
      <c r="H33813" s="49">
        <f t="shared" si="2"/>
        <v>52295</v>
      </c>
    </row>
    <row r="33814">
      <c r="A33814" s="48" t="s">
        <v>12232</v>
      </c>
      <c r="B33814" s="38">
        <v>11125.0</v>
      </c>
      <c r="C33814" s="38" t="s">
        <v>38033</v>
      </c>
      <c r="D33814" s="38" t="str">
        <f>IFERROR(__xludf.DUMMYFUNCTION("REGEXREPLACE(C33814,""-\d+(.*)|--\d+(.*)"","""")"),"EMBRES-ET-CASTELMAURE")</f>
        <v>EMBRES-ET-CASTELMAURE</v>
      </c>
      <c r="E33814" s="38" t="s">
        <v>278</v>
      </c>
      <c r="F33814" s="38" t="s">
        <v>119</v>
      </c>
      <c r="G33814" s="49" t="str">
        <f t="shared" si="1"/>
        <v>11360</v>
      </c>
      <c r="H33814" s="49">
        <f t="shared" si="2"/>
        <v>11125</v>
      </c>
    </row>
    <row r="33815">
      <c r="A33815" s="48" t="s">
        <v>7020</v>
      </c>
      <c r="B33815" s="38">
        <v>2080.0</v>
      </c>
      <c r="C33815" s="38" t="s">
        <v>38034</v>
      </c>
      <c r="D33815" s="38" t="str">
        <f>IFERROR(__xludf.DUMMYFUNCTION("REGEXREPLACE(C33815,""-\d+(.*)|--\d+(.*)"","""")"),"BESNY-ET-LOIZY")</f>
        <v>BESNY-ET-LOIZY</v>
      </c>
      <c r="E33815" s="38" t="s">
        <v>191</v>
      </c>
      <c r="F33815" s="38" t="s">
        <v>113</v>
      </c>
      <c r="G33815" s="49" t="str">
        <f t="shared" si="1"/>
        <v>02870</v>
      </c>
      <c r="H33815" s="49" t="str">
        <f t="shared" si="2"/>
        <v>02080</v>
      </c>
    </row>
    <row r="33816">
      <c r="A33816" s="48" t="s">
        <v>8584</v>
      </c>
      <c r="B33816" s="38">
        <v>59231.0</v>
      </c>
      <c r="C33816" s="38" t="s">
        <v>38035</v>
      </c>
      <c r="D33816" s="38" t="str">
        <f>IFERROR(__xludf.DUMMYFUNCTION("REGEXREPLACE(C33816,""-\d+(.*)|--\d+(.*)"","""")"),"FERRIERE-LA-PETITE")</f>
        <v>FERRIERE-LA-PETITE</v>
      </c>
      <c r="E33816" s="38" t="s">
        <v>85</v>
      </c>
      <c r="F33816" s="38" t="s">
        <v>86</v>
      </c>
      <c r="G33816" s="49" t="str">
        <f t="shared" si="1"/>
        <v>59680</v>
      </c>
      <c r="H33816" s="49">
        <f t="shared" si="2"/>
        <v>59231</v>
      </c>
    </row>
    <row r="33817">
      <c r="A33817" s="48" t="s">
        <v>757</v>
      </c>
      <c r="B33817" s="38">
        <v>44067.0</v>
      </c>
      <c r="C33817" s="38" t="s">
        <v>38036</v>
      </c>
      <c r="D33817" s="38" t="str">
        <f>IFERROR(__xludf.DUMMYFUNCTION("REGEXREPLACE(C33817,""-\d+(.*)|--\d+(.*)"","""")"),"GUEMENE-PENFAO")</f>
        <v>GUEMENE-PENFAO</v>
      </c>
      <c r="E33817" s="38" t="s">
        <v>759</v>
      </c>
      <c r="F33817" s="38" t="s">
        <v>180</v>
      </c>
      <c r="G33817" s="49" t="str">
        <f t="shared" si="1"/>
        <v>44290</v>
      </c>
      <c r="H33817" s="49">
        <f t="shared" si="2"/>
        <v>44067</v>
      </c>
    </row>
    <row r="33818">
      <c r="A33818" s="48" t="s">
        <v>2577</v>
      </c>
      <c r="B33818" s="38">
        <v>34213.0</v>
      </c>
      <c r="C33818" s="38" t="s">
        <v>38037</v>
      </c>
      <c r="D33818" s="38" t="str">
        <f>IFERROR(__xludf.DUMMYFUNCTION("REGEXREPLACE(C33818,""-\d+(.*)|--\d+(.*)"","""")"),"POUSSAN")</f>
        <v>POUSSAN</v>
      </c>
      <c r="E33818" s="38" t="s">
        <v>118</v>
      </c>
      <c r="F33818" s="38" t="s">
        <v>119</v>
      </c>
      <c r="G33818" s="49" t="str">
        <f t="shared" si="1"/>
        <v>34560</v>
      </c>
      <c r="H33818" s="49">
        <f t="shared" si="2"/>
        <v>34213</v>
      </c>
    </row>
    <row r="33819">
      <c r="A33819" s="48" t="s">
        <v>38038</v>
      </c>
      <c r="B33819" s="38">
        <v>83098.0</v>
      </c>
      <c r="C33819" s="38" t="s">
        <v>38039</v>
      </c>
      <c r="D33819" s="38" t="str">
        <f>IFERROR(__xludf.DUMMYFUNCTION("REGEXREPLACE(C33819,""-\d+(.*)|--\d+(.*)"","""")"),"LE PRADET")</f>
        <v>LE PRADET</v>
      </c>
      <c r="E33819" s="38" t="s">
        <v>813</v>
      </c>
      <c r="F33819" s="38" t="s">
        <v>228</v>
      </c>
      <c r="G33819" s="49" t="str">
        <f t="shared" si="1"/>
        <v>83220</v>
      </c>
      <c r="H33819" s="49">
        <f t="shared" si="2"/>
        <v>83098</v>
      </c>
    </row>
    <row r="33820">
      <c r="A33820" s="48" t="s">
        <v>6038</v>
      </c>
      <c r="B33820" s="38">
        <v>88491.0</v>
      </c>
      <c r="C33820" s="38" t="s">
        <v>38040</v>
      </c>
      <c r="D33820" s="38" t="str">
        <f>IFERROR(__xludf.DUMMYFUNCTION("REGEXREPLACE(C33820,""-\d+(.*)|--\d+(.*)"","""")"),"LES VALLOIS")</f>
        <v>LES VALLOIS</v>
      </c>
      <c r="E33820" s="38" t="s">
        <v>194</v>
      </c>
      <c r="F33820" s="38" t="s">
        <v>195</v>
      </c>
      <c r="G33820" s="49" t="str">
        <f t="shared" si="1"/>
        <v>88260</v>
      </c>
      <c r="H33820" s="49">
        <f t="shared" si="2"/>
        <v>88491</v>
      </c>
    </row>
    <row r="33821">
      <c r="A33821" s="48" t="s">
        <v>898</v>
      </c>
      <c r="B33821" s="38">
        <v>54011.0</v>
      </c>
      <c r="C33821" s="38" t="s">
        <v>38041</v>
      </c>
      <c r="D33821" s="38" t="str">
        <f>IFERROR(__xludf.DUMMYFUNCTION("REGEXREPLACE(C33821,""-\d+(.*)|--\d+(.*)"","""")"),"ALLONDRELLE-LA-MALMAISON")</f>
        <v>ALLONDRELLE-LA-MALMAISON</v>
      </c>
      <c r="E33821" s="38" t="s">
        <v>548</v>
      </c>
      <c r="F33821" s="38" t="s">
        <v>195</v>
      </c>
      <c r="G33821" s="49" t="str">
        <f t="shared" si="1"/>
        <v>54260</v>
      </c>
      <c r="H33821" s="49">
        <f t="shared" si="2"/>
        <v>54011</v>
      </c>
    </row>
    <row r="33822">
      <c r="A33822" s="48" t="s">
        <v>3305</v>
      </c>
      <c r="B33822" s="38">
        <v>24035.0</v>
      </c>
      <c r="C33822" s="38" t="s">
        <v>38042</v>
      </c>
      <c r="D33822" s="38" t="str">
        <f>IFERROR(__xludf.DUMMYFUNCTION("REGEXREPLACE(C33822,""-\d+(.*)|--\d+(.*)"","""")"),"BELVES")</f>
        <v>BELVES</v>
      </c>
      <c r="E33822" s="38" t="s">
        <v>261</v>
      </c>
      <c r="F33822" s="38" t="s">
        <v>252</v>
      </c>
      <c r="G33822" s="49" t="str">
        <f t="shared" si="1"/>
        <v>24170</v>
      </c>
      <c r="H33822" s="49">
        <f t="shared" si="2"/>
        <v>24035</v>
      </c>
    </row>
    <row r="33823">
      <c r="A33823" s="48" t="s">
        <v>38043</v>
      </c>
      <c r="B33823" s="38">
        <v>13036.0</v>
      </c>
      <c r="C33823" s="38" t="s">
        <v>38044</v>
      </c>
      <c r="D33823" s="38" t="str">
        <f>IFERROR(__xludf.DUMMYFUNCTION("REGEXREPLACE(C33823,""-\d+(.*)|--\d+(.*)"","""")"),"EYRAGUES")</f>
        <v>EYRAGUES</v>
      </c>
      <c r="E33823" s="38" t="s">
        <v>980</v>
      </c>
      <c r="F33823" s="38" t="s">
        <v>228</v>
      </c>
      <c r="G33823" s="49" t="str">
        <f t="shared" si="1"/>
        <v>13630</v>
      </c>
      <c r="H33823" s="49">
        <f t="shared" si="2"/>
        <v>13036</v>
      </c>
    </row>
    <row r="33824">
      <c r="A33824" s="48" t="s">
        <v>284</v>
      </c>
      <c r="B33824" s="38">
        <v>60294.0</v>
      </c>
      <c r="C33824" s="38" t="s">
        <v>38045</v>
      </c>
      <c r="D33824" s="38" t="str">
        <f>IFERROR(__xludf.DUMMYFUNCTION("REGEXREPLACE(C33824,""-\d+(.*)|--\d+(.*)"","""")"),"HAINVILLERS")</f>
        <v>HAINVILLERS</v>
      </c>
      <c r="E33824" s="38" t="s">
        <v>112</v>
      </c>
      <c r="F33824" s="38" t="s">
        <v>113</v>
      </c>
      <c r="G33824" s="49" t="str">
        <f t="shared" si="1"/>
        <v>60490</v>
      </c>
      <c r="H33824" s="49">
        <f t="shared" si="2"/>
        <v>60294</v>
      </c>
    </row>
    <row r="33825">
      <c r="A33825" s="48" t="s">
        <v>4830</v>
      </c>
      <c r="B33825" s="38">
        <v>61463.0</v>
      </c>
      <c r="C33825" s="38" t="s">
        <v>38046</v>
      </c>
      <c r="D33825" s="38" t="str">
        <f>IFERROR(__xludf.DUMMYFUNCTION("REGEXREPLACE(C33825,""-\d+(.*)|--\d+(.*)"","""")"),"LA SAUVAGERE")</f>
        <v>LA SAUVAGERE</v>
      </c>
      <c r="E33825" s="38" t="s">
        <v>141</v>
      </c>
      <c r="F33825" s="38" t="s">
        <v>138</v>
      </c>
      <c r="G33825" s="49" t="str">
        <f t="shared" si="1"/>
        <v>61600</v>
      </c>
      <c r="H33825" s="49">
        <f t="shared" si="2"/>
        <v>61463</v>
      </c>
    </row>
    <row r="33826">
      <c r="A33826" s="48" t="s">
        <v>4416</v>
      </c>
      <c r="B33826" s="38">
        <v>56221.0</v>
      </c>
      <c r="C33826" s="38" t="s">
        <v>38047</v>
      </c>
      <c r="D33826" s="38" t="str">
        <f>IFERROR(__xludf.DUMMYFUNCTION("REGEXREPLACE(C33826,""-\d+(.*)|--\d+(.*)"","""")"),"SAINT-JACUT-LES-PINS")</f>
        <v>SAINT-JACUT-LES-PINS</v>
      </c>
      <c r="E33826" s="38" t="s">
        <v>173</v>
      </c>
      <c r="F33826" s="38" t="s">
        <v>90</v>
      </c>
      <c r="G33826" s="49" t="str">
        <f t="shared" si="1"/>
        <v>56220</v>
      </c>
      <c r="H33826" s="49">
        <f t="shared" si="2"/>
        <v>56221</v>
      </c>
    </row>
    <row r="33827">
      <c r="A33827" s="48" t="s">
        <v>3793</v>
      </c>
      <c r="B33827" s="38">
        <v>86192.0</v>
      </c>
      <c r="C33827" s="38" t="s">
        <v>6814</v>
      </c>
      <c r="D33827" s="38" t="str">
        <f>IFERROR(__xludf.DUMMYFUNCTION("REGEXREPLACE(C33827,""-\d+(.*)|--\d+(.*)"","""")"),"PLAISANCE")</f>
        <v>PLAISANCE</v>
      </c>
      <c r="E33827" s="38" t="s">
        <v>529</v>
      </c>
      <c r="F33827" s="38" t="s">
        <v>338</v>
      </c>
      <c r="G33827" s="49" t="str">
        <f t="shared" si="1"/>
        <v>86500</v>
      </c>
      <c r="H33827" s="49">
        <f t="shared" si="2"/>
        <v>86192</v>
      </c>
    </row>
    <row r="33828">
      <c r="A33828" s="48" t="s">
        <v>22066</v>
      </c>
      <c r="B33828" s="38">
        <v>59556.0</v>
      </c>
      <c r="C33828" s="38" t="s">
        <v>38048</v>
      </c>
      <c r="D33828" s="38" t="str">
        <f>IFERROR(__xludf.DUMMYFUNCTION("REGEXREPLACE(C33828,""-\d+(.*)|--\d+(.*)"","""")"),"SASSEGNIES")</f>
        <v>SASSEGNIES</v>
      </c>
      <c r="E33828" s="38" t="s">
        <v>85</v>
      </c>
      <c r="F33828" s="38" t="s">
        <v>86</v>
      </c>
      <c r="G33828" s="49" t="str">
        <f t="shared" si="1"/>
        <v>59145</v>
      </c>
      <c r="H33828" s="49">
        <f t="shared" si="2"/>
        <v>59556</v>
      </c>
    </row>
    <row r="33829">
      <c r="A33829" s="48" t="s">
        <v>407</v>
      </c>
      <c r="B33829" s="38">
        <v>71087.0</v>
      </c>
      <c r="C33829" s="38" t="s">
        <v>38049</v>
      </c>
      <c r="D33829" s="38" t="str">
        <f>IFERROR(__xludf.DUMMYFUNCTION("REGEXREPLACE(C33829,""-\d+(.*)|--\d+(.*)"","""")"),"CHAPAIZE")</f>
        <v>CHAPAIZE</v>
      </c>
      <c r="E33829" s="38" t="s">
        <v>344</v>
      </c>
      <c r="F33829" s="38" t="s">
        <v>106</v>
      </c>
      <c r="G33829" s="49" t="str">
        <f t="shared" si="1"/>
        <v>71460</v>
      </c>
      <c r="H33829" s="49">
        <f t="shared" si="2"/>
        <v>71087</v>
      </c>
    </row>
    <row r="33830">
      <c r="A33830" s="48" t="s">
        <v>38050</v>
      </c>
      <c r="B33830" s="38">
        <v>54366.0</v>
      </c>
      <c r="C33830" s="38" t="s">
        <v>38051</v>
      </c>
      <c r="D33830" s="38" t="str">
        <f>IFERROR(__xludf.DUMMYFUNCTION("REGEXREPLACE(C33830,""-\d+(.*)|--\d+(.*)"","""")"),"MESSEIN")</f>
        <v>MESSEIN</v>
      </c>
      <c r="E33830" s="38" t="s">
        <v>548</v>
      </c>
      <c r="F33830" s="38" t="s">
        <v>195</v>
      </c>
      <c r="G33830" s="49" t="str">
        <f t="shared" si="1"/>
        <v>54850</v>
      </c>
      <c r="H33830" s="49">
        <f t="shared" si="2"/>
        <v>54366</v>
      </c>
    </row>
    <row r="33831">
      <c r="A33831" s="48" t="s">
        <v>6104</v>
      </c>
      <c r="B33831" s="38">
        <v>95352.0</v>
      </c>
      <c r="C33831" s="38" t="s">
        <v>38052</v>
      </c>
      <c r="D33831" s="38" t="str">
        <f>IFERROR(__xludf.DUMMYFUNCTION("REGEXREPLACE(C33831,""-\d+(.*)|--\d+(.*)"","""")"),"LUZARCHES")</f>
        <v>LUZARCHES</v>
      </c>
      <c r="E33831" s="38" t="s">
        <v>541</v>
      </c>
      <c r="F33831" s="38" t="s">
        <v>245</v>
      </c>
      <c r="G33831" s="49" t="str">
        <f t="shared" si="1"/>
        <v>95270</v>
      </c>
      <c r="H33831" s="49">
        <f t="shared" si="2"/>
        <v>95352</v>
      </c>
    </row>
    <row r="33832">
      <c r="A33832" s="48" t="s">
        <v>1628</v>
      </c>
      <c r="B33832" s="38">
        <v>70177.0</v>
      </c>
      <c r="C33832" s="38" t="s">
        <v>38053</v>
      </c>
      <c r="D33832" s="38" t="str">
        <f>IFERROR(__xludf.DUMMYFUNCTION("REGEXREPLACE(C33832,""-\d+(.*)|--\d+(.*)"","""")"),"CORRE")</f>
        <v>CORRE</v>
      </c>
      <c r="E33832" s="38" t="s">
        <v>956</v>
      </c>
      <c r="F33832" s="38" t="s">
        <v>214</v>
      </c>
      <c r="G33832" s="49" t="str">
        <f t="shared" si="1"/>
        <v>70500</v>
      </c>
      <c r="H33832" s="49">
        <f t="shared" si="2"/>
        <v>70177</v>
      </c>
    </row>
    <row r="33833">
      <c r="A33833" s="48" t="s">
        <v>5168</v>
      </c>
      <c r="B33833" s="38">
        <v>73113.0</v>
      </c>
      <c r="C33833" s="38" t="s">
        <v>38054</v>
      </c>
      <c r="D33833" s="38" t="str">
        <f>IFERROR(__xludf.DUMMYFUNCTION("REGEXREPLACE(C33833,""-\d+(.*)|--\d+(.*)"","""")"),"FEISSONS-SUR-SALINS")</f>
        <v>FEISSONS-SUR-SALINS</v>
      </c>
      <c r="E33833" s="38" t="s">
        <v>306</v>
      </c>
      <c r="F33833" s="38" t="s">
        <v>102</v>
      </c>
      <c r="G33833" s="49" t="str">
        <f t="shared" si="1"/>
        <v>73350</v>
      </c>
      <c r="H33833" s="49">
        <f t="shared" si="2"/>
        <v>73113</v>
      </c>
    </row>
    <row r="33834">
      <c r="A33834" s="48" t="s">
        <v>2393</v>
      </c>
      <c r="B33834" s="38">
        <v>38004.0</v>
      </c>
      <c r="C33834" s="38" t="s">
        <v>38055</v>
      </c>
      <c r="D33834" s="38" t="str">
        <f>IFERROR(__xludf.DUMMYFUNCTION("REGEXREPLACE(C33834,""-\d+(.*)|--\d+(.*)"","""")"),"L'ALBENC")</f>
        <v>L'ALBENC</v>
      </c>
      <c r="E33834" s="38" t="s">
        <v>101</v>
      </c>
      <c r="F33834" s="38" t="s">
        <v>102</v>
      </c>
      <c r="G33834" s="49" t="str">
        <f t="shared" si="1"/>
        <v>38470</v>
      </c>
      <c r="H33834" s="49">
        <f t="shared" si="2"/>
        <v>38004</v>
      </c>
    </row>
    <row r="33835">
      <c r="A33835" s="48" t="s">
        <v>298</v>
      </c>
      <c r="B33835" s="38">
        <v>28265.0</v>
      </c>
      <c r="C33835" s="38" t="s">
        <v>38056</v>
      </c>
      <c r="D33835" s="38" t="str">
        <f>IFERROR(__xludf.DUMMYFUNCTION("REGEXREPLACE(C33835,""-\d+(.*)|--\d+(.*)"","""")"),"MONTLANDON")</f>
        <v>MONTLANDON</v>
      </c>
      <c r="E33835" s="38" t="s">
        <v>300</v>
      </c>
      <c r="F33835" s="38" t="s">
        <v>123</v>
      </c>
      <c r="G33835" s="49" t="str">
        <f t="shared" si="1"/>
        <v>28240</v>
      </c>
      <c r="H33835" s="49">
        <f t="shared" si="2"/>
        <v>28265</v>
      </c>
    </row>
    <row r="33836">
      <c r="A33836" s="48" t="s">
        <v>38057</v>
      </c>
      <c r="B33836" s="38">
        <v>4152.0</v>
      </c>
      <c r="C33836" s="38" t="s">
        <v>38058</v>
      </c>
      <c r="D33836" s="38" t="str">
        <f>IFERROR(__xludf.DUMMYFUNCTION("REGEXREPLACE(C33836,""-\d+(.*)|--\d+(.*)"","""")"),"PIERREVERT")</f>
        <v>PIERREVERT</v>
      </c>
      <c r="E33836" s="38" t="s">
        <v>662</v>
      </c>
      <c r="F33836" s="38" t="s">
        <v>228</v>
      </c>
      <c r="G33836" s="49" t="str">
        <f t="shared" si="1"/>
        <v>04860</v>
      </c>
      <c r="H33836" s="49" t="str">
        <f t="shared" si="2"/>
        <v>04152</v>
      </c>
    </row>
    <row r="33837">
      <c r="A33837" s="48" t="s">
        <v>5104</v>
      </c>
      <c r="B33837" s="38">
        <v>29248.0</v>
      </c>
      <c r="C33837" s="38" t="s">
        <v>38059</v>
      </c>
      <c r="D33837" s="38" t="str">
        <f>IFERROR(__xludf.DUMMYFUNCTION("REGEXREPLACE(C33837,""-\d+(.*)|--\d+(.*)"","""")"),"SAINT-FREGANT")</f>
        <v>SAINT-FREGANT</v>
      </c>
      <c r="E33837" s="38" t="s">
        <v>176</v>
      </c>
      <c r="F33837" s="38" t="s">
        <v>90</v>
      </c>
      <c r="G33837" s="49" t="str">
        <f t="shared" si="1"/>
        <v>29260</v>
      </c>
      <c r="H33837" s="49">
        <f t="shared" si="2"/>
        <v>29248</v>
      </c>
    </row>
    <row r="33838">
      <c r="A33838" s="48" t="s">
        <v>1302</v>
      </c>
      <c r="B33838" s="38">
        <v>38396.0</v>
      </c>
      <c r="C33838" s="38" t="s">
        <v>16190</v>
      </c>
      <c r="D33838" s="38" t="str">
        <f>IFERROR(__xludf.DUMMYFUNCTION("REGEXREPLACE(C33838,""-\d+(.*)|--\d+(.*)"","""")"),"SAINT-HONORE")</f>
        <v>SAINT-HONORE</v>
      </c>
      <c r="E33838" s="38" t="s">
        <v>101</v>
      </c>
      <c r="F33838" s="38" t="s">
        <v>102</v>
      </c>
      <c r="G33838" s="49" t="str">
        <f t="shared" si="1"/>
        <v>38350</v>
      </c>
      <c r="H33838" s="49">
        <f t="shared" si="2"/>
        <v>38396</v>
      </c>
    </row>
    <row r="33839">
      <c r="A33839" s="48" t="s">
        <v>2027</v>
      </c>
      <c r="B33839" s="38">
        <v>77038.0</v>
      </c>
      <c r="C33839" s="38" t="s">
        <v>38060</v>
      </c>
      <c r="D33839" s="38" t="str">
        <f>IFERROR(__xludf.DUMMYFUNCTION("REGEXREPLACE(C33839,""-\d+(.*)|--\d+(.*)"","""")"),"BOISSETTES")</f>
        <v>BOISSETTES</v>
      </c>
      <c r="E33839" s="38" t="s">
        <v>244</v>
      </c>
      <c r="F33839" s="38" t="s">
        <v>245</v>
      </c>
      <c r="G33839" s="49" t="str">
        <f t="shared" si="1"/>
        <v>77350</v>
      </c>
      <c r="H33839" s="49">
        <f t="shared" si="2"/>
        <v>77038</v>
      </c>
    </row>
    <row r="33840">
      <c r="A33840" s="48" t="s">
        <v>7614</v>
      </c>
      <c r="B33840" s="38">
        <v>50075.0</v>
      </c>
      <c r="C33840" s="38" t="s">
        <v>38061</v>
      </c>
      <c r="D33840" s="38" t="str">
        <f>IFERROR(__xludf.DUMMYFUNCTION("REGEXREPLACE(C33840,""-\d+(.*)|--\d+(.*)"","""")"),"BRECTOUVILLE")</f>
        <v>BRECTOUVILLE</v>
      </c>
      <c r="E33840" s="38" t="s">
        <v>157</v>
      </c>
      <c r="F33840" s="38" t="s">
        <v>138</v>
      </c>
      <c r="G33840" s="49" t="str">
        <f t="shared" si="1"/>
        <v>50160</v>
      </c>
      <c r="H33840" s="49">
        <f t="shared" si="2"/>
        <v>50075</v>
      </c>
    </row>
    <row r="33841">
      <c r="A33841" s="48" t="s">
        <v>912</v>
      </c>
      <c r="B33841" s="38">
        <v>82076.0</v>
      </c>
      <c r="C33841" s="38" t="s">
        <v>38062</v>
      </c>
      <c r="D33841" s="38" t="str">
        <f>IFERROR(__xludf.DUMMYFUNCTION("REGEXREPLACE(C33841,""-\d+(.*)|--\d+(.*)"","""")"),"L'HONOR-DE-COS")</f>
        <v>L'HONOR-DE-COS</v>
      </c>
      <c r="E33841" s="38" t="s">
        <v>570</v>
      </c>
      <c r="F33841" s="38" t="s">
        <v>94</v>
      </c>
      <c r="G33841" s="49" t="str">
        <f t="shared" si="1"/>
        <v>82130</v>
      </c>
      <c r="H33841" s="49">
        <f t="shared" si="2"/>
        <v>82076</v>
      </c>
    </row>
    <row r="33842">
      <c r="A33842" s="48" t="s">
        <v>28679</v>
      </c>
      <c r="B33842" s="38">
        <v>59437.0</v>
      </c>
      <c r="C33842" s="38" t="s">
        <v>38063</v>
      </c>
      <c r="D33842" s="38" t="str">
        <f>IFERROR(__xludf.DUMMYFUNCTION("REGEXREPLACE(C33842,""-\d+(.*)|--\d+(.*)"","""")"),"NOYELLES-LES-SECLIN")</f>
        <v>NOYELLES-LES-SECLIN</v>
      </c>
      <c r="E33842" s="38" t="s">
        <v>85</v>
      </c>
      <c r="F33842" s="38" t="s">
        <v>86</v>
      </c>
      <c r="G33842" s="49" t="str">
        <f t="shared" si="1"/>
        <v>59139</v>
      </c>
      <c r="H33842" s="49">
        <f t="shared" si="2"/>
        <v>59437</v>
      </c>
    </row>
    <row r="33843">
      <c r="A33843" s="48" t="s">
        <v>4668</v>
      </c>
      <c r="B33843" s="38">
        <v>88135.0</v>
      </c>
      <c r="C33843" s="38" t="s">
        <v>38064</v>
      </c>
      <c r="D33843" s="38" t="str">
        <f>IFERROR(__xludf.DUMMYFUNCTION("REGEXREPLACE(C33843,""-\d+(.*)|--\d+(.*)"","""")"),"DOCELLES")</f>
        <v>DOCELLES</v>
      </c>
      <c r="E33843" s="38" t="s">
        <v>194</v>
      </c>
      <c r="F33843" s="38" t="s">
        <v>195</v>
      </c>
      <c r="G33843" s="49" t="str">
        <f t="shared" si="1"/>
        <v>88460</v>
      </c>
      <c r="H33843" s="49">
        <f t="shared" si="2"/>
        <v>88135</v>
      </c>
    </row>
    <row r="33844">
      <c r="A33844" s="48" t="s">
        <v>505</v>
      </c>
      <c r="B33844" s="38">
        <v>12252.0</v>
      </c>
      <c r="C33844" s="38" t="s">
        <v>38065</v>
      </c>
      <c r="D33844" s="38" t="str">
        <f>IFERROR(__xludf.DUMMYFUNCTION("REGEXREPLACE(C33844,""-\d+(.*)|--\d+(.*)"","""")"),"SALLES-COURBATIES")</f>
        <v>SALLES-COURBATIES</v>
      </c>
      <c r="E33844" s="38" t="s">
        <v>465</v>
      </c>
      <c r="F33844" s="38" t="s">
        <v>94</v>
      </c>
      <c r="G33844" s="49" t="str">
        <f t="shared" si="1"/>
        <v>12260</v>
      </c>
      <c r="H33844" s="49">
        <f t="shared" si="2"/>
        <v>12252</v>
      </c>
    </row>
    <row r="33845">
      <c r="A33845" s="48" t="s">
        <v>1688</v>
      </c>
      <c r="B33845" s="38">
        <v>76302.0</v>
      </c>
      <c r="C33845" s="38" t="s">
        <v>38066</v>
      </c>
      <c r="D33845" s="38" t="str">
        <f>IFERROR(__xludf.DUMMYFUNCTION("REGEXREPLACE(C33845,""-\d+(.*)|--\d+(.*)"","""")"),"GODERVILLE")</f>
        <v>GODERVILLE</v>
      </c>
      <c r="E33845" s="38" t="s">
        <v>133</v>
      </c>
      <c r="F33845" s="38" t="s">
        <v>134</v>
      </c>
      <c r="G33845" s="49" t="str">
        <f t="shared" si="1"/>
        <v>76110</v>
      </c>
      <c r="H33845" s="49">
        <f t="shared" si="2"/>
        <v>76302</v>
      </c>
    </row>
    <row r="33846">
      <c r="A33846" s="48" t="s">
        <v>22026</v>
      </c>
      <c r="B33846" s="38" t="s">
        <v>38067</v>
      </c>
      <c r="C33846" s="38" t="s">
        <v>38068</v>
      </c>
      <c r="D33846" s="38" t="str">
        <f>IFERROR(__xludf.DUMMYFUNCTION("REGEXREPLACE(C33846,""-\d+(.*)|--\d+(.*)"","""")"),"SOCCIA")</f>
        <v>SOCCIA</v>
      </c>
      <c r="E33846" s="38" t="s">
        <v>606</v>
      </c>
      <c r="F33846" s="38" t="s">
        <v>607</v>
      </c>
      <c r="G33846" s="49" t="str">
        <f t="shared" si="1"/>
        <v>20125</v>
      </c>
      <c r="H33846" s="49" t="str">
        <f t="shared" si="2"/>
        <v>2A282</v>
      </c>
    </row>
    <row r="33847">
      <c r="A33847" s="48" t="s">
        <v>21161</v>
      </c>
      <c r="B33847" s="38">
        <v>53226.0</v>
      </c>
      <c r="C33847" s="38" t="s">
        <v>38069</v>
      </c>
      <c r="D33847" s="38" t="str">
        <f>IFERROR(__xludf.DUMMYFUNCTION("REGEXREPLACE(C33847,""-\d+(.*)|--\d+(.*)"","""")"),"SAINT-HILAIRE-DU-MAINE")</f>
        <v>SAINT-HILAIRE-DU-MAINE</v>
      </c>
      <c r="E33847" s="38" t="s">
        <v>518</v>
      </c>
      <c r="F33847" s="38" t="s">
        <v>180</v>
      </c>
      <c r="G33847" s="49" t="str">
        <f t="shared" si="1"/>
        <v>53380</v>
      </c>
      <c r="H33847" s="49">
        <f t="shared" si="2"/>
        <v>53226</v>
      </c>
    </row>
    <row r="33848">
      <c r="A33848" s="48" t="s">
        <v>2519</v>
      </c>
      <c r="B33848" s="38">
        <v>80188.0</v>
      </c>
      <c r="C33848" s="38" t="s">
        <v>38070</v>
      </c>
      <c r="D33848" s="38" t="str">
        <f>IFERROR(__xludf.DUMMYFUNCTION("REGEXREPLACE(C33848,""-\d+(.*)|--\d+(.*)"","""")"),"CHAUSSOY-EPAGNY")</f>
        <v>CHAUSSOY-EPAGNY</v>
      </c>
      <c r="E33848" s="38" t="s">
        <v>224</v>
      </c>
      <c r="F33848" s="38" t="s">
        <v>113</v>
      </c>
      <c r="G33848" s="49" t="str">
        <f t="shared" si="1"/>
        <v>80250</v>
      </c>
      <c r="H33848" s="49">
        <f t="shared" si="2"/>
        <v>80188</v>
      </c>
    </row>
    <row r="33849">
      <c r="A33849" s="48" t="s">
        <v>474</v>
      </c>
      <c r="B33849" s="38">
        <v>76576.0</v>
      </c>
      <c r="C33849" s="38" t="s">
        <v>38071</v>
      </c>
      <c r="D33849" s="38" t="str">
        <f>IFERROR(__xludf.DUMMYFUNCTION("REGEXREPLACE(C33849,""-\d+(.*)|--\d+(.*)"","""")"),"SAINT-EUSTACHE-LA-FORET")</f>
        <v>SAINT-EUSTACHE-LA-FORET</v>
      </c>
      <c r="E33849" s="38" t="s">
        <v>133</v>
      </c>
      <c r="F33849" s="38" t="s">
        <v>134</v>
      </c>
      <c r="G33849" s="49" t="str">
        <f t="shared" si="1"/>
        <v>76210</v>
      </c>
      <c r="H33849" s="49">
        <f t="shared" si="2"/>
        <v>76576</v>
      </c>
    </row>
    <row r="33850">
      <c r="A33850" s="48" t="s">
        <v>2571</v>
      </c>
      <c r="B33850" s="38">
        <v>61384.0</v>
      </c>
      <c r="C33850" s="38" t="s">
        <v>38072</v>
      </c>
      <c r="D33850" s="38" t="str">
        <f>IFERROR(__xludf.DUMMYFUNCTION("REGEXREPLACE(C33850,""-\d+(.*)|--\d+(.*)"","""")"),"SAINT-ELLIER-LES-BOIS")</f>
        <v>SAINT-ELLIER-LES-BOIS</v>
      </c>
      <c r="E33850" s="38" t="s">
        <v>141</v>
      </c>
      <c r="F33850" s="38" t="s">
        <v>138</v>
      </c>
      <c r="G33850" s="49" t="str">
        <f t="shared" si="1"/>
        <v>61320</v>
      </c>
      <c r="H33850" s="49">
        <f t="shared" si="2"/>
        <v>61384</v>
      </c>
    </row>
    <row r="33851">
      <c r="A33851" s="48" t="s">
        <v>10433</v>
      </c>
      <c r="B33851" s="38">
        <v>46025.0</v>
      </c>
      <c r="C33851" s="38" t="s">
        <v>38073</v>
      </c>
      <c r="D33851" s="38" t="str">
        <f>IFERROR(__xludf.DUMMYFUNCTION("REGEXREPLACE(C33851,""-\d+(.*)|--\d+(.*)"","""")"),"BELMONTET")</f>
        <v>BELMONTET</v>
      </c>
      <c r="E33851" s="38" t="s">
        <v>185</v>
      </c>
      <c r="F33851" s="38" t="s">
        <v>94</v>
      </c>
      <c r="G33851" s="49" t="str">
        <f t="shared" si="1"/>
        <v>46800</v>
      </c>
      <c r="H33851" s="49">
        <f t="shared" si="2"/>
        <v>46025</v>
      </c>
    </row>
    <row r="33852">
      <c r="A33852" s="48" t="s">
        <v>1697</v>
      </c>
      <c r="B33852" s="38">
        <v>39504.0</v>
      </c>
      <c r="C33852" s="38" t="s">
        <v>38074</v>
      </c>
      <c r="D33852" s="38" t="str">
        <f>IFERROR(__xludf.DUMMYFUNCTION("REGEXREPLACE(C33852,""-\d+(.*)|--\d+(.*)"","""")"),"SARROGNA")</f>
        <v>SARROGNA</v>
      </c>
      <c r="E33852" s="38" t="s">
        <v>400</v>
      </c>
      <c r="F33852" s="38" t="s">
        <v>214</v>
      </c>
      <c r="G33852" s="49" t="str">
        <f t="shared" si="1"/>
        <v>39270</v>
      </c>
      <c r="H33852" s="49">
        <f t="shared" si="2"/>
        <v>39504</v>
      </c>
    </row>
    <row r="33853">
      <c r="A33853" s="48" t="s">
        <v>2141</v>
      </c>
      <c r="B33853" s="38">
        <v>80273.0</v>
      </c>
      <c r="C33853" s="38" t="s">
        <v>38075</v>
      </c>
      <c r="D33853" s="38" t="str">
        <f>IFERROR(__xludf.DUMMYFUNCTION("REGEXREPLACE(C33853,""-\d+(.*)|--\d+(.*)"","""")"),"EPLESSIER")</f>
        <v>EPLESSIER</v>
      </c>
      <c r="E33853" s="38" t="s">
        <v>224</v>
      </c>
      <c r="F33853" s="38" t="s">
        <v>113</v>
      </c>
      <c r="G33853" s="49" t="str">
        <f t="shared" si="1"/>
        <v>80290</v>
      </c>
      <c r="H33853" s="49">
        <f t="shared" si="2"/>
        <v>80273</v>
      </c>
    </row>
    <row r="33854">
      <c r="A33854" s="48" t="s">
        <v>3835</v>
      </c>
      <c r="B33854" s="38">
        <v>25361.0</v>
      </c>
      <c r="C33854" s="38" t="s">
        <v>38076</v>
      </c>
      <c r="D33854" s="38" t="str">
        <f>IFERROR(__xludf.DUMMYFUNCTION("REGEXREPLACE(C33854,""-\d+(.*)|--\d+(.*)"","""")"),"MALBUISSON")</f>
        <v>MALBUISSON</v>
      </c>
      <c r="E33854" s="38" t="s">
        <v>213</v>
      </c>
      <c r="F33854" s="38" t="s">
        <v>214</v>
      </c>
      <c r="G33854" s="49" t="str">
        <f t="shared" si="1"/>
        <v>25160</v>
      </c>
      <c r="H33854" s="49">
        <f t="shared" si="2"/>
        <v>25361</v>
      </c>
    </row>
    <row r="33855">
      <c r="A33855" s="48" t="s">
        <v>1681</v>
      </c>
      <c r="B33855" s="38">
        <v>80311.0</v>
      </c>
      <c r="C33855" s="38" t="s">
        <v>38077</v>
      </c>
      <c r="D33855" s="38" t="str">
        <f>IFERROR(__xludf.DUMMYFUNCTION("REGEXREPLACE(C33855,""-\d+(.*)|--\d+(.*)"","""")"),"FIGNIERES")</f>
        <v>FIGNIERES</v>
      </c>
      <c r="E33855" s="38" t="s">
        <v>224</v>
      </c>
      <c r="F33855" s="38" t="s">
        <v>113</v>
      </c>
      <c r="G33855" s="49" t="str">
        <f t="shared" si="1"/>
        <v>80500</v>
      </c>
      <c r="H33855" s="49">
        <f t="shared" si="2"/>
        <v>80311</v>
      </c>
    </row>
    <row r="33856">
      <c r="A33856" s="48" t="s">
        <v>4579</v>
      </c>
      <c r="B33856" s="38">
        <v>81249.0</v>
      </c>
      <c r="C33856" s="38" t="s">
        <v>18365</v>
      </c>
      <c r="D33856" s="38" t="str">
        <f>IFERROR(__xludf.DUMMYFUNCTION("REGEXREPLACE(C33856,""-\d+(.*)|--\d+(.*)"","""")"),"SAINTE-GEMME")</f>
        <v>SAINTE-GEMME</v>
      </c>
      <c r="E33856" s="38" t="s">
        <v>231</v>
      </c>
      <c r="F33856" s="38" t="s">
        <v>94</v>
      </c>
      <c r="G33856" s="49" t="str">
        <f t="shared" si="1"/>
        <v>81190</v>
      </c>
      <c r="H33856" s="49">
        <f t="shared" si="2"/>
        <v>81249</v>
      </c>
    </row>
    <row r="33857">
      <c r="A33857" s="48" t="s">
        <v>7821</v>
      </c>
      <c r="B33857" s="38">
        <v>8169.0</v>
      </c>
      <c r="C33857" s="38" t="s">
        <v>38078</v>
      </c>
      <c r="D33857" s="38" t="str">
        <f>IFERROR(__xludf.DUMMYFUNCTION("REGEXREPLACE(C33857,""-\d+(.*)|--\d+(.*)"","""")"),"FLAIGNES-HAVYS")</f>
        <v>FLAIGNES-HAVYS</v>
      </c>
      <c r="E33857" s="38" t="s">
        <v>327</v>
      </c>
      <c r="F33857" s="38" t="s">
        <v>130</v>
      </c>
      <c r="G33857" s="49" t="str">
        <f t="shared" si="1"/>
        <v>08260</v>
      </c>
      <c r="H33857" s="49" t="str">
        <f t="shared" si="2"/>
        <v>08169</v>
      </c>
    </row>
    <row r="33858">
      <c r="A33858" s="48" t="s">
        <v>6943</v>
      </c>
      <c r="B33858" s="38">
        <v>64413.0</v>
      </c>
      <c r="C33858" s="38" t="s">
        <v>38079</v>
      </c>
      <c r="D33858" s="38" t="str">
        <f>IFERROR(__xludf.DUMMYFUNCTION("REGEXREPLACE(C33858,""-\d+(.*)|--\d+(.*)"","""")"),"NARCASTET")</f>
        <v>NARCASTET</v>
      </c>
      <c r="E33858" s="38" t="s">
        <v>268</v>
      </c>
      <c r="F33858" s="38" t="s">
        <v>252</v>
      </c>
      <c r="G33858" s="49" t="str">
        <f t="shared" si="1"/>
        <v>64510</v>
      </c>
      <c r="H33858" s="49">
        <f t="shared" si="2"/>
        <v>64413</v>
      </c>
    </row>
    <row r="33859">
      <c r="A33859" s="48" t="s">
        <v>3430</v>
      </c>
      <c r="B33859" s="38">
        <v>84096.0</v>
      </c>
      <c r="C33859" s="38" t="s">
        <v>38080</v>
      </c>
      <c r="D33859" s="38" t="str">
        <f>IFERROR(__xludf.DUMMYFUNCTION("REGEXREPLACE(C33859,""-\d+(.*)|--\d+(.*)"","""")"),"RASTEAU")</f>
        <v>RASTEAU</v>
      </c>
      <c r="E33859" s="38" t="s">
        <v>1026</v>
      </c>
      <c r="F33859" s="38" t="s">
        <v>228</v>
      </c>
      <c r="G33859" s="49" t="str">
        <f t="shared" si="1"/>
        <v>84110</v>
      </c>
      <c r="H33859" s="49">
        <f t="shared" si="2"/>
        <v>84096</v>
      </c>
    </row>
    <row r="33860">
      <c r="A33860" s="48" t="s">
        <v>879</v>
      </c>
      <c r="B33860" s="38">
        <v>24167.0</v>
      </c>
      <c r="C33860" s="38" t="s">
        <v>38081</v>
      </c>
      <c r="D33860" s="38" t="str">
        <f>IFERROR(__xludf.DUMMYFUNCTION("REGEXREPLACE(C33860,""-\d+(.*)|--\d+(.*)"","""")"),"EYMET")</f>
        <v>EYMET</v>
      </c>
      <c r="E33860" s="38" t="s">
        <v>261</v>
      </c>
      <c r="F33860" s="38" t="s">
        <v>252</v>
      </c>
      <c r="G33860" s="49" t="str">
        <f t="shared" si="1"/>
        <v>24500</v>
      </c>
      <c r="H33860" s="49">
        <f t="shared" si="2"/>
        <v>24167</v>
      </c>
    </row>
    <row r="33861">
      <c r="A33861" s="48" t="s">
        <v>38082</v>
      </c>
      <c r="B33861" s="38">
        <v>14301.0</v>
      </c>
      <c r="C33861" s="38" t="s">
        <v>38083</v>
      </c>
      <c r="D33861" s="38" t="str">
        <f>IFERROR(__xludf.DUMMYFUNCTION("REGEXREPLACE(C33861,""-\d+(.*)|--\d+(.*)"","""")"),"GIBERVILLE")</f>
        <v>GIBERVILLE</v>
      </c>
      <c r="E33861" s="38" t="s">
        <v>137</v>
      </c>
      <c r="F33861" s="38" t="s">
        <v>138</v>
      </c>
      <c r="G33861" s="49" t="str">
        <f t="shared" si="1"/>
        <v>14730</v>
      </c>
      <c r="H33861" s="49">
        <f t="shared" si="2"/>
        <v>14301</v>
      </c>
    </row>
    <row r="33862">
      <c r="A33862" s="48" t="s">
        <v>7474</v>
      </c>
      <c r="B33862" s="38">
        <v>42240.0</v>
      </c>
      <c r="C33862" s="38" t="s">
        <v>38084</v>
      </c>
      <c r="D33862" s="38" t="str">
        <f>IFERROR(__xludf.DUMMYFUNCTION("REGEXREPLACE(C33862,""-\d+(.*)|--\d+(.*)"","""")"),"SAINT-JEAN-SOLEYMIEUX")</f>
        <v>SAINT-JEAN-SOLEYMIEUX</v>
      </c>
      <c r="E33862" s="38" t="s">
        <v>166</v>
      </c>
      <c r="F33862" s="38" t="s">
        <v>102</v>
      </c>
      <c r="G33862" s="49" t="str">
        <f t="shared" si="1"/>
        <v>42560</v>
      </c>
      <c r="H33862" s="49">
        <f t="shared" si="2"/>
        <v>42240</v>
      </c>
    </row>
    <row r="33863">
      <c r="A33863" s="48" t="s">
        <v>2419</v>
      </c>
      <c r="B33863" s="38">
        <v>58179.0</v>
      </c>
      <c r="C33863" s="38" t="s">
        <v>38085</v>
      </c>
      <c r="D33863" s="38" t="str">
        <f>IFERROR(__xludf.DUMMYFUNCTION("REGEXREPLACE(C33863,""-\d+(.*)|--\d+(.*)"","""")"),"MONTREUILLON")</f>
        <v>MONTREUILLON</v>
      </c>
      <c r="E33863" s="38" t="s">
        <v>219</v>
      </c>
      <c r="F33863" s="38" t="s">
        <v>106</v>
      </c>
      <c r="G33863" s="49" t="str">
        <f t="shared" si="1"/>
        <v>58800</v>
      </c>
      <c r="H33863" s="49">
        <f t="shared" si="2"/>
        <v>58179</v>
      </c>
    </row>
    <row r="33864">
      <c r="A33864" s="48" t="s">
        <v>839</v>
      </c>
      <c r="B33864" s="38">
        <v>62519.0</v>
      </c>
      <c r="C33864" s="38" t="s">
        <v>38086</v>
      </c>
      <c r="D33864" s="38" t="str">
        <f>IFERROR(__xludf.DUMMYFUNCTION("REGEXREPLACE(C33864,""-\d+(.*)|--\d+(.*)"","""")"),"LISBOURG")</f>
        <v>LISBOURG</v>
      </c>
      <c r="E33864" s="38" t="s">
        <v>109</v>
      </c>
      <c r="F33864" s="38" t="s">
        <v>86</v>
      </c>
      <c r="G33864" s="49" t="str">
        <f t="shared" si="1"/>
        <v>62134</v>
      </c>
      <c r="H33864" s="49">
        <f t="shared" si="2"/>
        <v>62519</v>
      </c>
    </row>
    <row r="33865">
      <c r="A33865" s="48" t="s">
        <v>1008</v>
      </c>
      <c r="B33865" s="38">
        <v>2095.0</v>
      </c>
      <c r="C33865" s="38" t="s">
        <v>38087</v>
      </c>
      <c r="D33865" s="38" t="str">
        <f>IFERROR(__xludf.DUMMYFUNCTION("REGEXREPLACE(C33865,""-\d+(.*)|--\d+(.*)"","""")"),"BOHAIN-EN-VERMANDOIS")</f>
        <v>BOHAIN-EN-VERMANDOIS</v>
      </c>
      <c r="E33865" s="38" t="s">
        <v>191</v>
      </c>
      <c r="F33865" s="38" t="s">
        <v>113</v>
      </c>
      <c r="G33865" s="49" t="str">
        <f t="shared" si="1"/>
        <v>02110</v>
      </c>
      <c r="H33865" s="49" t="str">
        <f t="shared" si="2"/>
        <v>02095</v>
      </c>
    </row>
    <row r="33866">
      <c r="A33866" s="48" t="s">
        <v>8506</v>
      </c>
      <c r="B33866" s="38">
        <v>79150.0</v>
      </c>
      <c r="C33866" s="38" t="s">
        <v>38088</v>
      </c>
      <c r="D33866" s="38" t="str">
        <f>IFERROR(__xludf.DUMMYFUNCTION("REGEXREPLACE(C33866,""-\d+(.*)|--\d+(.*)"","""")"),"LIMALONGES")</f>
        <v>LIMALONGES</v>
      </c>
      <c r="E33866" s="38" t="s">
        <v>337</v>
      </c>
      <c r="F33866" s="38" t="s">
        <v>338</v>
      </c>
      <c r="G33866" s="49" t="str">
        <f t="shared" si="1"/>
        <v>79190</v>
      </c>
      <c r="H33866" s="49">
        <f t="shared" si="2"/>
        <v>79150</v>
      </c>
    </row>
    <row r="33867">
      <c r="A33867" s="48" t="s">
        <v>220</v>
      </c>
      <c r="B33867" s="38">
        <v>67420.0</v>
      </c>
      <c r="C33867" s="38" t="s">
        <v>38089</v>
      </c>
      <c r="D33867" s="38" t="str">
        <f>IFERROR(__xludf.DUMMYFUNCTION("REGEXREPLACE(C33867,""-\d+(.*)|--\d+(.*)"","""")"),"RUSS")</f>
        <v>RUSS</v>
      </c>
      <c r="E33867" s="38" t="s">
        <v>210</v>
      </c>
      <c r="F33867" s="38" t="s">
        <v>151</v>
      </c>
      <c r="G33867" s="49" t="str">
        <f t="shared" si="1"/>
        <v>67130</v>
      </c>
      <c r="H33867" s="49">
        <f t="shared" si="2"/>
        <v>67420</v>
      </c>
    </row>
    <row r="33868">
      <c r="A33868" s="48" t="s">
        <v>3093</v>
      </c>
      <c r="B33868" s="38">
        <v>57044.0</v>
      </c>
      <c r="C33868" s="38" t="s">
        <v>38090</v>
      </c>
      <c r="D33868" s="38" t="str">
        <f>IFERROR(__xludf.DUMMYFUNCTION("REGEXREPLACE(C33868,""-\d+(.*)|--\d+(.*)"","""")"),"AZOUDANGE")</f>
        <v>AZOUDANGE</v>
      </c>
      <c r="E33868" s="38" t="s">
        <v>303</v>
      </c>
      <c r="F33868" s="38" t="s">
        <v>195</v>
      </c>
      <c r="G33868" s="49" t="str">
        <f t="shared" si="1"/>
        <v>57810</v>
      </c>
      <c r="H33868" s="49">
        <f t="shared" si="2"/>
        <v>57044</v>
      </c>
    </row>
    <row r="33869">
      <c r="A33869" s="48" t="s">
        <v>19170</v>
      </c>
      <c r="B33869" s="38">
        <v>53192.0</v>
      </c>
      <c r="C33869" s="38" t="s">
        <v>38091</v>
      </c>
      <c r="D33869" s="38" t="str">
        <f>IFERROR(__xludf.DUMMYFUNCTION("REGEXREPLACE(C33869,""-\d+(.*)|--\d+(.*)"","""")"),"LA ROUAUDIERE")</f>
        <v>LA ROUAUDIERE</v>
      </c>
      <c r="E33869" s="38" t="s">
        <v>518</v>
      </c>
      <c r="F33869" s="38" t="s">
        <v>180</v>
      </c>
      <c r="G33869" s="49" t="str">
        <f t="shared" si="1"/>
        <v>53390</v>
      </c>
      <c r="H33869" s="49">
        <f t="shared" si="2"/>
        <v>53192</v>
      </c>
    </row>
    <row r="33870">
      <c r="A33870" s="48" t="s">
        <v>9797</v>
      </c>
      <c r="B33870" s="38">
        <v>29241.0</v>
      </c>
      <c r="C33870" s="38" t="s">
        <v>38092</v>
      </c>
      <c r="D33870" s="38" t="str">
        <f>IFERROR(__xludf.DUMMYFUNCTION("REGEXREPLACE(C33870,""-\d+(.*)|--\d+(.*)"","""")"),"ROSPORDEN")</f>
        <v>ROSPORDEN</v>
      </c>
      <c r="E33870" s="38" t="s">
        <v>176</v>
      </c>
      <c r="F33870" s="38" t="s">
        <v>90</v>
      </c>
      <c r="G33870" s="49" t="str">
        <f t="shared" si="1"/>
        <v>29140</v>
      </c>
      <c r="H33870" s="49">
        <f t="shared" si="2"/>
        <v>29241</v>
      </c>
    </row>
    <row r="33871">
      <c r="A33871" s="48" t="s">
        <v>24060</v>
      </c>
      <c r="B33871" s="38">
        <v>73250.0</v>
      </c>
      <c r="C33871" s="38" t="s">
        <v>38093</v>
      </c>
      <c r="D33871" s="38" t="str">
        <f>IFERROR(__xludf.DUMMYFUNCTION("REGEXREPLACE(C33871,""-\d+(.*)|--\d+(.*)"","""")"),"SAINT-JULIEN-MONT-DENIS")</f>
        <v>SAINT-JULIEN-MONT-DENIS</v>
      </c>
      <c r="E33871" s="38" t="s">
        <v>306</v>
      </c>
      <c r="F33871" s="38" t="s">
        <v>102</v>
      </c>
      <c r="G33871" s="49" t="str">
        <f t="shared" si="1"/>
        <v>73870</v>
      </c>
      <c r="H33871" s="49">
        <f t="shared" si="2"/>
        <v>73250</v>
      </c>
    </row>
    <row r="33872">
      <c r="A33872" s="48" t="s">
        <v>6372</v>
      </c>
      <c r="B33872" s="38">
        <v>79147.0</v>
      </c>
      <c r="C33872" s="38" t="s">
        <v>38094</v>
      </c>
      <c r="D33872" s="38" t="str">
        <f>IFERROR(__xludf.DUMMYFUNCTION("REGEXREPLACE(C33872,""-\d+(.*)|--\d+(.*)"","""")"),"LARGEASSE")</f>
        <v>LARGEASSE</v>
      </c>
      <c r="E33872" s="38" t="s">
        <v>337</v>
      </c>
      <c r="F33872" s="38" t="s">
        <v>338</v>
      </c>
      <c r="G33872" s="49" t="str">
        <f t="shared" si="1"/>
        <v>79240</v>
      </c>
      <c r="H33872" s="49">
        <f t="shared" si="2"/>
        <v>79147</v>
      </c>
    </row>
    <row r="33873">
      <c r="A33873" s="48" t="s">
        <v>3400</v>
      </c>
      <c r="B33873" s="38">
        <v>89427.0</v>
      </c>
      <c r="C33873" s="38" t="s">
        <v>38095</v>
      </c>
      <c r="D33873" s="38" t="str">
        <f>IFERROR(__xludf.DUMMYFUNCTION("REGEXREPLACE(C33873,""-\d+(.*)|--\d+(.*)"","""")"),"VALLAN")</f>
        <v>VALLAN</v>
      </c>
      <c r="E33873" s="38" t="s">
        <v>275</v>
      </c>
      <c r="F33873" s="38" t="s">
        <v>106</v>
      </c>
      <c r="G33873" s="49" t="str">
        <f t="shared" si="1"/>
        <v>89580</v>
      </c>
      <c r="H33873" s="49">
        <f t="shared" si="2"/>
        <v>89427</v>
      </c>
    </row>
    <row r="33874">
      <c r="A33874" s="48" t="s">
        <v>1036</v>
      </c>
      <c r="B33874" s="38">
        <v>57045.0</v>
      </c>
      <c r="C33874" s="38" t="s">
        <v>38096</v>
      </c>
      <c r="D33874" s="38" t="str">
        <f>IFERROR(__xludf.DUMMYFUNCTION("REGEXREPLACE(C33874,""-\d+(.*)|--\d+(.*)"","""")"),"BACOURT")</f>
        <v>BACOURT</v>
      </c>
      <c r="E33874" s="38" t="s">
        <v>303</v>
      </c>
      <c r="F33874" s="38" t="s">
        <v>195</v>
      </c>
      <c r="G33874" s="49" t="str">
        <f t="shared" si="1"/>
        <v>57590</v>
      </c>
      <c r="H33874" s="49">
        <f t="shared" si="2"/>
        <v>57045</v>
      </c>
    </row>
    <row r="33875">
      <c r="A33875" s="48" t="s">
        <v>3184</v>
      </c>
      <c r="B33875" s="38">
        <v>36120.0</v>
      </c>
      <c r="C33875" s="38" t="s">
        <v>38097</v>
      </c>
      <c r="D33875" s="38" t="str">
        <f>IFERROR(__xludf.DUMMYFUNCTION("REGEXREPLACE(C33875,""-\d+(.*)|--\d+(.*)"","""")"),"MERS-SUR-INDRE")</f>
        <v>MERS-SUR-INDRE</v>
      </c>
      <c r="E33875" s="38" t="s">
        <v>258</v>
      </c>
      <c r="F33875" s="38" t="s">
        <v>123</v>
      </c>
      <c r="G33875" s="49" t="str">
        <f t="shared" si="1"/>
        <v>36230</v>
      </c>
      <c r="H33875" s="49">
        <f t="shared" si="2"/>
        <v>36120</v>
      </c>
    </row>
    <row r="33876">
      <c r="A33876" s="48" t="s">
        <v>7416</v>
      </c>
      <c r="B33876" s="38">
        <v>49380.0</v>
      </c>
      <c r="C33876" s="38" t="s">
        <v>38098</v>
      </c>
      <c r="D33876" s="38" t="str">
        <f>IFERROR(__xludf.DUMMYFUNCTION("REGEXREPLACE(C33876,""-\d+(.*)|--\d+(.*)"","""")"),"VAULANDRY")</f>
        <v>VAULANDRY</v>
      </c>
      <c r="E33876" s="38" t="s">
        <v>653</v>
      </c>
      <c r="F33876" s="38" t="s">
        <v>180</v>
      </c>
      <c r="G33876" s="49" t="str">
        <f t="shared" si="1"/>
        <v>49150</v>
      </c>
      <c r="H33876" s="49">
        <f t="shared" si="2"/>
        <v>49380</v>
      </c>
    </row>
    <row r="33877">
      <c r="A33877" s="48" t="s">
        <v>2861</v>
      </c>
      <c r="B33877" s="38">
        <v>62559.0</v>
      </c>
      <c r="C33877" s="38" t="s">
        <v>38099</v>
      </c>
      <c r="D33877" s="38" t="str">
        <f>IFERROR(__xludf.DUMMYFUNCTION("REGEXREPLACE(C33877,""-\d+(.*)|--\d+(.*)"","""")"),"MARQUION")</f>
        <v>MARQUION</v>
      </c>
      <c r="E33877" s="38" t="s">
        <v>109</v>
      </c>
      <c r="F33877" s="38" t="s">
        <v>86</v>
      </c>
      <c r="G33877" s="49" t="str">
        <f t="shared" si="1"/>
        <v>62860</v>
      </c>
      <c r="H33877" s="49">
        <f t="shared" si="2"/>
        <v>62559</v>
      </c>
    </row>
    <row r="33878">
      <c r="A33878" s="48" t="s">
        <v>2623</v>
      </c>
      <c r="B33878" s="38">
        <v>86292.0</v>
      </c>
      <c r="C33878" s="38" t="s">
        <v>10687</v>
      </c>
      <c r="D33878" s="38" t="str">
        <f>IFERROR(__xludf.DUMMYFUNCTION("REGEXREPLACE(C33878,""-\d+(.*)|--\d+(.*)"","""")"),"VILLIERS")</f>
        <v>VILLIERS</v>
      </c>
      <c r="E33878" s="38" t="s">
        <v>529</v>
      </c>
      <c r="F33878" s="38" t="s">
        <v>338</v>
      </c>
      <c r="G33878" s="49" t="str">
        <f t="shared" si="1"/>
        <v>86190</v>
      </c>
      <c r="H33878" s="49">
        <f t="shared" si="2"/>
        <v>86292</v>
      </c>
    </row>
    <row r="33879">
      <c r="A33879" s="48" t="s">
        <v>27086</v>
      </c>
      <c r="B33879" s="38">
        <v>60523.0</v>
      </c>
      <c r="C33879" s="38" t="s">
        <v>38100</v>
      </c>
      <c r="D33879" s="38" t="str">
        <f>IFERROR(__xludf.DUMMYFUNCTION("REGEXREPLACE(C33879,""-\d+(.*)|--\d+(.*)"","""")"),"RAINVILLERS")</f>
        <v>RAINVILLERS</v>
      </c>
      <c r="E33879" s="38" t="s">
        <v>112</v>
      </c>
      <c r="F33879" s="38" t="s">
        <v>113</v>
      </c>
      <c r="G33879" s="49" t="str">
        <f t="shared" si="1"/>
        <v>60155</v>
      </c>
      <c r="H33879" s="49">
        <f t="shared" si="2"/>
        <v>60523</v>
      </c>
    </row>
    <row r="33880">
      <c r="A33880" s="48" t="s">
        <v>2229</v>
      </c>
      <c r="B33880" s="38">
        <v>64195.0</v>
      </c>
      <c r="C33880" s="38" t="s">
        <v>38101</v>
      </c>
      <c r="D33880" s="38" t="str">
        <f>IFERROR(__xludf.DUMMYFUNCTION("REGEXREPLACE(C33880,""-\d+(.*)|--\d+(.*)"","""")"),"COUBLUCQ")</f>
        <v>COUBLUCQ</v>
      </c>
      <c r="E33880" s="38" t="s">
        <v>268</v>
      </c>
      <c r="F33880" s="38" t="s">
        <v>252</v>
      </c>
      <c r="G33880" s="49" t="str">
        <f t="shared" si="1"/>
        <v>64410</v>
      </c>
      <c r="H33880" s="49">
        <f t="shared" si="2"/>
        <v>64195</v>
      </c>
    </row>
    <row r="33881">
      <c r="A33881" s="48" t="s">
        <v>10970</v>
      </c>
      <c r="B33881" s="38">
        <v>59570.0</v>
      </c>
      <c r="C33881" s="38" t="s">
        <v>38102</v>
      </c>
      <c r="D33881" s="38" t="str">
        <f>IFERROR(__xludf.DUMMYFUNCTION("REGEXREPLACE(C33881,""-\d+(.*)|--\d+(.*)"","""")"),"SOCX")</f>
        <v>SOCX</v>
      </c>
      <c r="E33881" s="38" t="s">
        <v>85</v>
      </c>
      <c r="F33881" s="38" t="s">
        <v>86</v>
      </c>
      <c r="G33881" s="49" t="str">
        <f t="shared" si="1"/>
        <v>59380</v>
      </c>
      <c r="H33881" s="49">
        <f t="shared" si="2"/>
        <v>59570</v>
      </c>
    </row>
    <row r="33882">
      <c r="A33882" s="48" t="s">
        <v>342</v>
      </c>
      <c r="B33882" s="38">
        <v>71169.0</v>
      </c>
      <c r="C33882" s="38" t="s">
        <v>38103</v>
      </c>
      <c r="D33882" s="38" t="str">
        <f>IFERROR(__xludf.DUMMYFUNCTION("REGEXREPLACE(C33882,""-\d+(.*)|--\d+(.*)"","""")"),"DAVAYE")</f>
        <v>DAVAYE</v>
      </c>
      <c r="E33882" s="38" t="s">
        <v>344</v>
      </c>
      <c r="F33882" s="38" t="s">
        <v>106</v>
      </c>
      <c r="G33882" s="49" t="str">
        <f t="shared" si="1"/>
        <v>71960</v>
      </c>
      <c r="H33882" s="49">
        <f t="shared" si="2"/>
        <v>71169</v>
      </c>
    </row>
    <row r="33883">
      <c r="A33883" s="48" t="s">
        <v>9778</v>
      </c>
      <c r="B33883" s="38">
        <v>23263.0</v>
      </c>
      <c r="C33883" s="38" t="s">
        <v>38104</v>
      </c>
      <c r="D33883" s="38" t="str">
        <f>IFERROR(__xludf.DUMMYFUNCTION("REGEXREPLACE(C33883,""-\d+(.*)|--\d+(.*)"","""")"),"VILLARD")</f>
        <v>VILLARD</v>
      </c>
      <c r="E33883" s="38" t="s">
        <v>97</v>
      </c>
      <c r="F33883" s="38" t="s">
        <v>98</v>
      </c>
      <c r="G33883" s="49" t="str">
        <f t="shared" si="1"/>
        <v>23800</v>
      </c>
      <c r="H33883" s="49">
        <f t="shared" si="2"/>
        <v>23263</v>
      </c>
    </row>
    <row r="33884">
      <c r="A33884" s="48" t="s">
        <v>7954</v>
      </c>
      <c r="B33884" s="38">
        <v>40035.0</v>
      </c>
      <c r="C33884" s="38" t="s">
        <v>38105</v>
      </c>
      <c r="D33884" s="38" t="str">
        <f>IFERROR(__xludf.DUMMYFUNCTION("REGEXREPLACE(C33884,""-\d+(.*)|--\d+(.*)"","""")"),"BENESSE-LES-DAX")</f>
        <v>BENESSE-LES-DAX</v>
      </c>
      <c r="E33884" s="38" t="s">
        <v>281</v>
      </c>
      <c r="F33884" s="38" t="s">
        <v>252</v>
      </c>
      <c r="G33884" s="49" t="str">
        <f t="shared" si="1"/>
        <v>40180</v>
      </c>
      <c r="H33884" s="49">
        <f t="shared" si="2"/>
        <v>40035</v>
      </c>
    </row>
    <row r="33885">
      <c r="A33885" s="48" t="s">
        <v>2447</v>
      </c>
      <c r="B33885" s="38">
        <v>42125.0</v>
      </c>
      <c r="C33885" s="38" t="s">
        <v>38106</v>
      </c>
      <c r="D33885" s="38" t="str">
        <f>IFERROR(__xludf.DUMMYFUNCTION("REGEXREPLACE(C33885,""-\d+(.*)|--\d+(.*)"","""")"),"LURE")</f>
        <v>LURE</v>
      </c>
      <c r="E33885" s="38" t="s">
        <v>166</v>
      </c>
      <c r="F33885" s="38" t="s">
        <v>102</v>
      </c>
      <c r="G33885" s="49" t="str">
        <f t="shared" si="1"/>
        <v>42260</v>
      </c>
      <c r="H33885" s="49">
        <f t="shared" si="2"/>
        <v>42125</v>
      </c>
    </row>
    <row r="33886">
      <c r="A33886" s="48" t="s">
        <v>25682</v>
      </c>
      <c r="B33886" s="38">
        <v>76157.0</v>
      </c>
      <c r="C33886" s="38" t="s">
        <v>38107</v>
      </c>
      <c r="D33886" s="38" t="str">
        <f>IFERROR(__xludf.DUMMYFUNCTION("REGEXREPLACE(C33886,""-\d+(.*)|--\d+(.*)"","""")"),"CANTELEU")</f>
        <v>CANTELEU</v>
      </c>
      <c r="E33886" s="38" t="s">
        <v>133</v>
      </c>
      <c r="F33886" s="38" t="s">
        <v>134</v>
      </c>
      <c r="G33886" s="49" t="str">
        <f t="shared" si="1"/>
        <v>76380</v>
      </c>
      <c r="H33886" s="49">
        <f t="shared" si="2"/>
        <v>76157</v>
      </c>
    </row>
    <row r="33887">
      <c r="A33887" s="48" t="s">
        <v>2010</v>
      </c>
      <c r="B33887" s="38">
        <v>49316.0</v>
      </c>
      <c r="C33887" s="38" t="s">
        <v>38108</v>
      </c>
      <c r="D33887" s="38" t="str">
        <f>IFERROR(__xludf.DUMMYFUNCTION("REGEXREPLACE(C33887,""-\d+(.*)|--\d+(.*)"","""")"),"SAINT-REMY-EN-MAUGES")</f>
        <v>SAINT-REMY-EN-MAUGES</v>
      </c>
      <c r="E33887" s="38" t="s">
        <v>653</v>
      </c>
      <c r="F33887" s="38" t="s">
        <v>180</v>
      </c>
      <c r="G33887" s="49" t="str">
        <f t="shared" si="1"/>
        <v>49110</v>
      </c>
      <c r="H33887" s="49">
        <f t="shared" si="2"/>
        <v>49316</v>
      </c>
    </row>
    <row r="33888">
      <c r="A33888" s="48" t="s">
        <v>2225</v>
      </c>
      <c r="B33888" s="38">
        <v>22380.0</v>
      </c>
      <c r="C33888" s="38" t="s">
        <v>38109</v>
      </c>
      <c r="D33888" s="38" t="str">
        <f>IFERROR(__xludf.DUMMYFUNCTION("REGEXREPLACE(C33888,""-\d+(.*)|--\d+(.*)"","""")"),"TREVRON")</f>
        <v>TREVRON</v>
      </c>
      <c r="E33888" s="38" t="s">
        <v>89</v>
      </c>
      <c r="F33888" s="38" t="s">
        <v>90</v>
      </c>
      <c r="G33888" s="49" t="str">
        <f t="shared" si="1"/>
        <v>22100</v>
      </c>
      <c r="H33888" s="49">
        <f t="shared" si="2"/>
        <v>22380</v>
      </c>
    </row>
    <row r="33889">
      <c r="A33889" s="48" t="s">
        <v>12157</v>
      </c>
      <c r="B33889" s="38">
        <v>80256.0</v>
      </c>
      <c r="C33889" s="38" t="s">
        <v>38110</v>
      </c>
      <c r="D33889" s="38" t="str">
        <f>IFERROR(__xludf.DUMMYFUNCTION("REGEXREPLACE(C33889,""-\d+(.*)|--\d+(.*)"","""")"),"DREUIL-LES-AMIENS")</f>
        <v>DREUIL-LES-AMIENS</v>
      </c>
      <c r="E33889" s="38" t="s">
        <v>224</v>
      </c>
      <c r="F33889" s="38" t="s">
        <v>113</v>
      </c>
      <c r="G33889" s="49" t="str">
        <f t="shared" si="1"/>
        <v>80470</v>
      </c>
      <c r="H33889" s="49">
        <f t="shared" si="2"/>
        <v>80256</v>
      </c>
    </row>
    <row r="33890">
      <c r="A33890" s="48" t="s">
        <v>27707</v>
      </c>
      <c r="B33890" s="38">
        <v>69205.0</v>
      </c>
      <c r="C33890" s="38" t="s">
        <v>38111</v>
      </c>
      <c r="D33890" s="38" t="str">
        <f>IFERROR(__xludf.DUMMYFUNCTION("REGEXREPLACE(C33890,""-\d+(.*)|--\d+(.*)"","""")"),"SAINT-GENIS-LES-OLLIERES")</f>
        <v>SAINT-GENIS-LES-OLLIERES</v>
      </c>
      <c r="E33890" s="38" t="s">
        <v>350</v>
      </c>
      <c r="F33890" s="38" t="s">
        <v>102</v>
      </c>
      <c r="G33890" s="49" t="str">
        <f t="shared" si="1"/>
        <v>69290</v>
      </c>
      <c r="H33890" s="49">
        <f t="shared" si="2"/>
        <v>69205</v>
      </c>
    </row>
    <row r="33891">
      <c r="A33891" s="48" t="s">
        <v>2274</v>
      </c>
      <c r="B33891" s="38">
        <v>48082.0</v>
      </c>
      <c r="C33891" s="38" t="s">
        <v>38112</v>
      </c>
      <c r="D33891" s="38" t="str">
        <f>IFERROR(__xludf.DUMMYFUNCTION("REGEXREPLACE(C33891,""-\d+(.*)|--\d+(.*)"","""")"),"LAUBERT")</f>
        <v>LAUBERT</v>
      </c>
      <c r="E33891" s="38" t="s">
        <v>154</v>
      </c>
      <c r="F33891" s="38" t="s">
        <v>119</v>
      </c>
      <c r="G33891" s="49" t="str">
        <f t="shared" si="1"/>
        <v>48170</v>
      </c>
      <c r="H33891" s="49">
        <f t="shared" si="2"/>
        <v>48082</v>
      </c>
    </row>
    <row r="33892">
      <c r="A33892" s="48" t="s">
        <v>38113</v>
      </c>
      <c r="B33892" s="38">
        <v>78642.0</v>
      </c>
      <c r="C33892" s="38" t="s">
        <v>38114</v>
      </c>
      <c r="D33892" s="38" t="str">
        <f>IFERROR(__xludf.DUMMYFUNCTION("REGEXREPLACE(C33892,""-\d+(.*)|--\d+(.*)"","""")"),"VERNEUIL-SUR-SEINE")</f>
        <v>VERNEUIL-SUR-SEINE</v>
      </c>
      <c r="E33892" s="38" t="s">
        <v>362</v>
      </c>
      <c r="F33892" s="38" t="s">
        <v>245</v>
      </c>
      <c r="G33892" s="49" t="str">
        <f t="shared" si="1"/>
        <v>78480</v>
      </c>
      <c r="H33892" s="49">
        <f t="shared" si="2"/>
        <v>78642</v>
      </c>
    </row>
    <row r="33893">
      <c r="A33893" s="48" t="s">
        <v>2920</v>
      </c>
      <c r="B33893" s="38">
        <v>62743.0</v>
      </c>
      <c r="C33893" s="38" t="s">
        <v>14629</v>
      </c>
      <c r="D33893" s="38" t="str">
        <f>IFERROR(__xludf.DUMMYFUNCTION("REGEXREPLACE(C33893,""-\d+(.*)|--\d+(.*)"","""")"),"SAINTE-AUSTREBERTHE")</f>
        <v>SAINTE-AUSTREBERTHE</v>
      </c>
      <c r="E33893" s="38" t="s">
        <v>109</v>
      </c>
      <c r="F33893" s="38" t="s">
        <v>86</v>
      </c>
      <c r="G33893" s="49" t="str">
        <f t="shared" si="1"/>
        <v>62140</v>
      </c>
      <c r="H33893" s="49">
        <f t="shared" si="2"/>
        <v>62743</v>
      </c>
    </row>
    <row r="33894">
      <c r="A33894" s="48" t="s">
        <v>5466</v>
      </c>
      <c r="B33894" s="38">
        <v>88018.0</v>
      </c>
      <c r="C33894" s="38" t="s">
        <v>38115</v>
      </c>
      <c r="D33894" s="38" t="str">
        <f>IFERROR(__xludf.DUMMYFUNCTION("REGEXREPLACE(C33894,""-\d+(.*)|--\d+(.*)"","""")"),"AUMONTZEY")</f>
        <v>AUMONTZEY</v>
      </c>
      <c r="E33894" s="38" t="s">
        <v>194</v>
      </c>
      <c r="F33894" s="38" t="s">
        <v>195</v>
      </c>
      <c r="G33894" s="49" t="str">
        <f t="shared" si="1"/>
        <v>88640</v>
      </c>
      <c r="H33894" s="49">
        <f t="shared" si="2"/>
        <v>88018</v>
      </c>
    </row>
    <row r="33895">
      <c r="A33895" s="48" t="s">
        <v>6389</v>
      </c>
      <c r="B33895" s="38">
        <v>14406.0</v>
      </c>
      <c r="C33895" s="38" t="s">
        <v>38116</v>
      </c>
      <c r="D33895" s="38" t="str">
        <f>IFERROR(__xludf.DUMMYFUNCTION("REGEXREPLACE(C33895,""-\d+(.*)|--\d+(.*)"","""")"),"MARTRAGNY")</f>
        <v>MARTRAGNY</v>
      </c>
      <c r="E33895" s="38" t="s">
        <v>137</v>
      </c>
      <c r="F33895" s="38" t="s">
        <v>138</v>
      </c>
      <c r="G33895" s="49" t="str">
        <f t="shared" si="1"/>
        <v>14740</v>
      </c>
      <c r="H33895" s="49">
        <f t="shared" si="2"/>
        <v>14406</v>
      </c>
    </row>
    <row r="33896">
      <c r="A33896" s="48" t="s">
        <v>773</v>
      </c>
      <c r="B33896" s="38">
        <v>27140.0</v>
      </c>
      <c r="C33896" s="38" t="s">
        <v>38117</v>
      </c>
      <c r="D33896" s="38" t="str">
        <f>IFERROR(__xludf.DUMMYFUNCTION("REGEXREPLACE(C33896,""-\d+(.*)|--\d+(.*)"","""")"),"CHAMBRAY")</f>
        <v>CHAMBRAY</v>
      </c>
      <c r="E33896" s="38" t="s">
        <v>241</v>
      </c>
      <c r="F33896" s="38" t="s">
        <v>134</v>
      </c>
      <c r="G33896" s="49" t="str">
        <f t="shared" si="1"/>
        <v>27120</v>
      </c>
      <c r="H33896" s="49">
        <f t="shared" si="2"/>
        <v>27140</v>
      </c>
    </row>
    <row r="33897">
      <c r="A33897" s="48" t="s">
        <v>614</v>
      </c>
      <c r="B33897" s="38">
        <v>24533.0</v>
      </c>
      <c r="C33897" s="38" t="s">
        <v>38118</v>
      </c>
      <c r="D33897" s="38" t="str">
        <f>IFERROR(__xludf.DUMMYFUNCTION("REGEXREPLACE(C33897,""-\d+(.*)|--\d+(.*)"","""")"),"SERVANCHES")</f>
        <v>SERVANCHES</v>
      </c>
      <c r="E33897" s="38" t="s">
        <v>261</v>
      </c>
      <c r="F33897" s="38" t="s">
        <v>252</v>
      </c>
      <c r="G33897" s="49" t="str">
        <f t="shared" si="1"/>
        <v>24410</v>
      </c>
      <c r="H33897" s="49">
        <f t="shared" si="2"/>
        <v>24533</v>
      </c>
    </row>
    <row r="33898">
      <c r="A33898" s="48" t="s">
        <v>9021</v>
      </c>
      <c r="B33898" s="38">
        <v>88119.0</v>
      </c>
      <c r="C33898" s="38" t="s">
        <v>38119</v>
      </c>
      <c r="D33898" s="38" t="str">
        <f>IFERROR(__xludf.DUMMYFUNCTION("REGEXREPLACE(C33898,""-\d+(.*)|--\d+(.*)"","""")"),"CRAINVILLIERS")</f>
        <v>CRAINVILLIERS</v>
      </c>
      <c r="E33898" s="38" t="s">
        <v>194</v>
      </c>
      <c r="F33898" s="38" t="s">
        <v>195</v>
      </c>
      <c r="G33898" s="49" t="str">
        <f t="shared" si="1"/>
        <v>88140</v>
      </c>
      <c r="H33898" s="49">
        <f t="shared" si="2"/>
        <v>88119</v>
      </c>
    </row>
    <row r="33899">
      <c r="A33899" s="48" t="s">
        <v>13936</v>
      </c>
      <c r="B33899" s="38">
        <v>85231.0</v>
      </c>
      <c r="C33899" s="38" t="s">
        <v>38120</v>
      </c>
      <c r="D33899" s="38" t="str">
        <f>IFERROR(__xludf.DUMMYFUNCTION("REGEXREPLACE(C33899,""-\d+(.*)|--\d+(.*)"","""")"),"SAINT-HILAIRE-LA-FORET")</f>
        <v>SAINT-HILAIRE-LA-FORET</v>
      </c>
      <c r="E33899" s="38" t="s">
        <v>179</v>
      </c>
      <c r="F33899" s="38" t="s">
        <v>180</v>
      </c>
      <c r="G33899" s="49" t="str">
        <f t="shared" si="1"/>
        <v>85440</v>
      </c>
      <c r="H33899" s="49">
        <f t="shared" si="2"/>
        <v>85231</v>
      </c>
    </row>
    <row r="33900">
      <c r="A33900" s="48" t="s">
        <v>597</v>
      </c>
      <c r="B33900" s="38">
        <v>31343.0</v>
      </c>
      <c r="C33900" s="38" t="s">
        <v>10380</v>
      </c>
      <c r="D33900" s="38" t="str">
        <f>IFERROR(__xludf.DUMMYFUNCTION("REGEXREPLACE(C33900,""-\d+(.*)|--\d+(.*)"","""")"),"MIRAMBEAU")</f>
        <v>MIRAMBEAU</v>
      </c>
      <c r="E33900" s="38" t="s">
        <v>93</v>
      </c>
      <c r="F33900" s="38" t="s">
        <v>94</v>
      </c>
      <c r="G33900" s="49" t="str">
        <f t="shared" si="1"/>
        <v>31230</v>
      </c>
      <c r="H33900" s="49">
        <f t="shared" si="2"/>
        <v>31343</v>
      </c>
    </row>
    <row r="33901">
      <c r="A33901" s="48" t="s">
        <v>1408</v>
      </c>
      <c r="B33901" s="38">
        <v>88245.0</v>
      </c>
      <c r="C33901" s="38" t="s">
        <v>38121</v>
      </c>
      <c r="D33901" s="38" t="str">
        <f>IFERROR(__xludf.DUMMYFUNCTION("REGEXREPLACE(C33901,""-\d+(.*)|--\d+(.*)"","""")"),"HURBACHE")</f>
        <v>HURBACHE</v>
      </c>
      <c r="E33901" s="38" t="s">
        <v>194</v>
      </c>
      <c r="F33901" s="38" t="s">
        <v>195</v>
      </c>
      <c r="G33901" s="49" t="str">
        <f t="shared" si="1"/>
        <v>88210</v>
      </c>
      <c r="H33901" s="49">
        <f t="shared" si="2"/>
        <v>88245</v>
      </c>
    </row>
    <row r="33902">
      <c r="A33902" s="48" t="s">
        <v>6515</v>
      </c>
      <c r="B33902" s="38">
        <v>62176.0</v>
      </c>
      <c r="C33902" s="38" t="s">
        <v>38122</v>
      </c>
      <c r="D33902" s="38" t="str">
        <f>IFERROR(__xludf.DUMMYFUNCTION("REGEXREPLACE(C33902,""-\d+(.*)|--\d+(.*)"","""")"),"BREXENT-ENOCQ")</f>
        <v>BREXENT-ENOCQ</v>
      </c>
      <c r="E33902" s="38" t="s">
        <v>109</v>
      </c>
      <c r="F33902" s="38" t="s">
        <v>86</v>
      </c>
      <c r="G33902" s="49" t="str">
        <f t="shared" si="1"/>
        <v>62170</v>
      </c>
      <c r="H33902" s="49">
        <f t="shared" si="2"/>
        <v>62176</v>
      </c>
    </row>
    <row r="33903">
      <c r="A33903" s="48" t="s">
        <v>1825</v>
      </c>
      <c r="B33903" s="38">
        <v>64194.0</v>
      </c>
      <c r="C33903" s="38" t="s">
        <v>38123</v>
      </c>
      <c r="D33903" s="38" t="str">
        <f>IFERROR(__xludf.DUMMYFUNCTION("REGEXREPLACE(C33903,""-\d+(.*)|--\d+(.*)"","""")"),"COSLEDAA-LUBE-BOAST")</f>
        <v>COSLEDAA-LUBE-BOAST</v>
      </c>
      <c r="E33903" s="38" t="s">
        <v>268</v>
      </c>
      <c r="F33903" s="38" t="s">
        <v>252</v>
      </c>
      <c r="G33903" s="49" t="str">
        <f t="shared" si="1"/>
        <v>64160</v>
      </c>
      <c r="H33903" s="49">
        <f t="shared" si="2"/>
        <v>64194</v>
      </c>
    </row>
    <row r="33904">
      <c r="A33904" s="48" t="s">
        <v>2471</v>
      </c>
      <c r="B33904" s="38">
        <v>11255.0</v>
      </c>
      <c r="C33904" s="38" t="s">
        <v>38124</v>
      </c>
      <c r="D33904" s="38" t="str">
        <f>IFERROR(__xludf.DUMMYFUNCTION("REGEXREPLACE(C33904,""-\d+(.*)|--\d+(.*)"","""")"),"MONTREDON-DES-CORBIERES")</f>
        <v>MONTREDON-DES-CORBIERES</v>
      </c>
      <c r="E33904" s="38" t="s">
        <v>278</v>
      </c>
      <c r="F33904" s="38" t="s">
        <v>119</v>
      </c>
      <c r="G33904" s="49" t="str">
        <f t="shared" si="1"/>
        <v>11100</v>
      </c>
      <c r="H33904" s="49">
        <f t="shared" si="2"/>
        <v>11255</v>
      </c>
    </row>
    <row r="33905">
      <c r="A33905" s="48" t="s">
        <v>4875</v>
      </c>
      <c r="B33905" s="38">
        <v>68044.0</v>
      </c>
      <c r="C33905" s="38" t="s">
        <v>38125</v>
      </c>
      <c r="D33905" s="38" t="str">
        <f>IFERROR(__xludf.DUMMYFUNCTION("REGEXREPLACE(C33905,""-\d+(.*)|--\d+(.*)"","""")"),"LE BONHOMME")</f>
        <v>LE BONHOMME</v>
      </c>
      <c r="E33905" s="38" t="s">
        <v>150</v>
      </c>
      <c r="F33905" s="38" t="s">
        <v>151</v>
      </c>
      <c r="G33905" s="49" t="str">
        <f t="shared" si="1"/>
        <v>68650</v>
      </c>
      <c r="H33905" s="49">
        <f t="shared" si="2"/>
        <v>68044</v>
      </c>
    </row>
    <row r="33906">
      <c r="A33906" s="48" t="s">
        <v>4088</v>
      </c>
      <c r="B33906" s="38">
        <v>39122.0</v>
      </c>
      <c r="C33906" s="38" t="s">
        <v>2752</v>
      </c>
      <c r="D33906" s="38" t="str">
        <f>IFERROR(__xludf.DUMMYFUNCTION("REGEXREPLACE(C33906,""-\d+(.*)|--\d+(.*)"","""")"),"CHATILLON")</f>
        <v>CHATILLON</v>
      </c>
      <c r="E33906" s="38" t="s">
        <v>400</v>
      </c>
      <c r="F33906" s="38" t="s">
        <v>214</v>
      </c>
      <c r="G33906" s="49" t="str">
        <f t="shared" si="1"/>
        <v>39130</v>
      </c>
      <c r="H33906" s="49">
        <f t="shared" si="2"/>
        <v>39122</v>
      </c>
    </row>
    <row r="33907">
      <c r="A33907" s="48" t="s">
        <v>6572</v>
      </c>
      <c r="B33907" s="38">
        <v>31382.0</v>
      </c>
      <c r="C33907" s="38" t="s">
        <v>38126</v>
      </c>
      <c r="D33907" s="38" t="str">
        <f>IFERROR(__xludf.DUMMYFUNCTION("REGEXREPLACE(C33907,""-\d+(.*)|--\d+(.*)"","""")"),"MONTGRAS")</f>
        <v>MONTGRAS</v>
      </c>
      <c r="E33907" s="38" t="s">
        <v>93</v>
      </c>
      <c r="F33907" s="38" t="s">
        <v>94</v>
      </c>
      <c r="G33907" s="49" t="str">
        <f t="shared" si="1"/>
        <v>31370</v>
      </c>
      <c r="H33907" s="49">
        <f t="shared" si="2"/>
        <v>31382</v>
      </c>
    </row>
    <row r="33908">
      <c r="A33908" s="48" t="s">
        <v>783</v>
      </c>
      <c r="B33908" s="38">
        <v>12091.0</v>
      </c>
      <c r="C33908" s="38" t="s">
        <v>38127</v>
      </c>
      <c r="D33908" s="38" t="str">
        <f>IFERROR(__xludf.DUMMYFUNCTION("REGEXREPLACE(C33908,""-\d+(.*)|--\d+(.*)"","""")"),"DRULHE")</f>
        <v>DRULHE</v>
      </c>
      <c r="E33908" s="38" t="s">
        <v>465</v>
      </c>
      <c r="F33908" s="38" t="s">
        <v>94</v>
      </c>
      <c r="G33908" s="49" t="str">
        <f t="shared" si="1"/>
        <v>12350</v>
      </c>
      <c r="H33908" s="49">
        <f t="shared" si="2"/>
        <v>12091</v>
      </c>
    </row>
    <row r="33909">
      <c r="A33909" s="48" t="s">
        <v>198</v>
      </c>
      <c r="B33909" s="38">
        <v>65130.0</v>
      </c>
      <c r="C33909" s="38" t="s">
        <v>38128</v>
      </c>
      <c r="D33909" s="38" t="str">
        <f>IFERROR(__xludf.DUMMYFUNCTION("REGEXREPLACE(C33909,""-\d+(.*)|--\d+(.*)"","""")"),"CASTELNAU-RIVIERE-BASSE")</f>
        <v>CASTELNAU-RIVIERE-BASSE</v>
      </c>
      <c r="E33909" s="38" t="s">
        <v>200</v>
      </c>
      <c r="F33909" s="38" t="s">
        <v>94</v>
      </c>
      <c r="G33909" s="49" t="str">
        <f t="shared" si="1"/>
        <v>65700</v>
      </c>
      <c r="H33909" s="49">
        <f t="shared" si="2"/>
        <v>65130</v>
      </c>
    </row>
    <row r="33910">
      <c r="A33910" s="48" t="s">
        <v>5812</v>
      </c>
      <c r="B33910" s="38">
        <v>77200.0</v>
      </c>
      <c r="C33910" s="38" t="s">
        <v>38129</v>
      </c>
      <c r="D33910" s="38" t="str">
        <f>IFERROR(__xludf.DUMMYFUNCTION("REGEXREPLACE(C33910,""-\d+(.*)|--\d+(.*)"","""")"),"GARENTREVILLE")</f>
        <v>GARENTREVILLE</v>
      </c>
      <c r="E33910" s="38" t="s">
        <v>244</v>
      </c>
      <c r="F33910" s="38" t="s">
        <v>245</v>
      </c>
      <c r="G33910" s="49" t="str">
        <f t="shared" si="1"/>
        <v>77890</v>
      </c>
      <c r="H33910" s="49">
        <f t="shared" si="2"/>
        <v>77200</v>
      </c>
    </row>
    <row r="33911">
      <c r="A33911" s="48" t="s">
        <v>1509</v>
      </c>
      <c r="B33911" s="38">
        <v>12197.0</v>
      </c>
      <c r="C33911" s="38" t="s">
        <v>38130</v>
      </c>
      <c r="D33911" s="38" t="str">
        <f>IFERROR(__xludf.DUMMYFUNCTION("REGEXREPLACE(C33911,""-\d+(.*)|--\d+(.*)"","""")"),"REQUISTA")</f>
        <v>REQUISTA</v>
      </c>
      <c r="E33911" s="38" t="s">
        <v>465</v>
      </c>
      <c r="F33911" s="38" t="s">
        <v>94</v>
      </c>
      <c r="G33911" s="49" t="str">
        <f t="shared" si="1"/>
        <v>12170</v>
      </c>
      <c r="H33911" s="49">
        <f t="shared" si="2"/>
        <v>12197</v>
      </c>
    </row>
    <row r="33912">
      <c r="A33912" s="48" t="s">
        <v>18025</v>
      </c>
      <c r="B33912" s="38">
        <v>82114.0</v>
      </c>
      <c r="C33912" s="38" t="s">
        <v>38131</v>
      </c>
      <c r="D33912" s="38" t="str">
        <f>IFERROR(__xludf.DUMMYFUNCTION("REGEXREPLACE(C33912,""-\d+(.*)|--\d+(.*)"","""")"),"MONBEQUI")</f>
        <v>MONBEQUI</v>
      </c>
      <c r="E33912" s="38" t="s">
        <v>570</v>
      </c>
      <c r="F33912" s="38" t="s">
        <v>94</v>
      </c>
      <c r="G33912" s="49" t="str">
        <f t="shared" si="1"/>
        <v>82170</v>
      </c>
      <c r="H33912" s="49">
        <f t="shared" si="2"/>
        <v>82114</v>
      </c>
    </row>
    <row r="33913">
      <c r="A33913" s="48" t="s">
        <v>16647</v>
      </c>
      <c r="B33913" s="38">
        <v>62491.0</v>
      </c>
      <c r="C33913" s="38" t="s">
        <v>38132</v>
      </c>
      <c r="D33913" s="38" t="str">
        <f>IFERROR(__xludf.DUMMYFUNCTION("REGEXREPLACE(C33913,""-\d+(.*)|--\d+(.*)"","""")"),"LAVENTIE")</f>
        <v>LAVENTIE</v>
      </c>
      <c r="E33913" s="38" t="s">
        <v>109</v>
      </c>
      <c r="F33913" s="38" t="s">
        <v>86</v>
      </c>
      <c r="G33913" s="49" t="str">
        <f t="shared" si="1"/>
        <v>62840</v>
      </c>
      <c r="H33913" s="49">
        <f t="shared" si="2"/>
        <v>62491</v>
      </c>
    </row>
    <row r="33914">
      <c r="A33914" s="48" t="s">
        <v>38133</v>
      </c>
      <c r="B33914" s="38">
        <v>83048.0</v>
      </c>
      <c r="C33914" s="38" t="s">
        <v>38134</v>
      </c>
      <c r="D33914" s="38" t="str">
        <f>IFERROR(__xludf.DUMMYFUNCTION("REGEXREPLACE(C33914,""-\d+(.*)|--\d+(.*)"","""")"),"LA CROIX-VALMER")</f>
        <v>LA CROIX-VALMER</v>
      </c>
      <c r="E33914" s="38" t="s">
        <v>813</v>
      </c>
      <c r="F33914" s="38" t="s">
        <v>228</v>
      </c>
      <c r="G33914" s="49" t="str">
        <f t="shared" si="1"/>
        <v>83420</v>
      </c>
      <c r="H33914" s="49">
        <f t="shared" si="2"/>
        <v>83048</v>
      </c>
    </row>
    <row r="33915">
      <c r="A33915" s="48" t="s">
        <v>1588</v>
      </c>
      <c r="B33915" s="38">
        <v>9317.0</v>
      </c>
      <c r="C33915" s="38" t="s">
        <v>38135</v>
      </c>
      <c r="D33915" s="38" t="str">
        <f>IFERROR(__xludf.DUMMYFUNCTION("REGEXREPLACE(C33915,""-\d+(.*)|--\d+(.*)"","""")"),"UCHENTEIN")</f>
        <v>UCHENTEIN</v>
      </c>
      <c r="E33915" s="38" t="s">
        <v>238</v>
      </c>
      <c r="F33915" s="38" t="s">
        <v>94</v>
      </c>
      <c r="G33915" s="49" t="str">
        <f t="shared" si="1"/>
        <v>09800</v>
      </c>
      <c r="H33915" s="49" t="str">
        <f t="shared" si="2"/>
        <v>09317</v>
      </c>
    </row>
    <row r="33916">
      <c r="A33916" s="48" t="s">
        <v>3783</v>
      </c>
      <c r="B33916" s="38">
        <v>62695.0</v>
      </c>
      <c r="C33916" s="38" t="s">
        <v>38136</v>
      </c>
      <c r="D33916" s="38" t="str">
        <f>IFERROR(__xludf.DUMMYFUNCTION("REGEXREPLACE(C33916,""-\d+(.*)|--\d+(.*)"","""")"),"REBREUVIETTE")</f>
        <v>REBREUVIETTE</v>
      </c>
      <c r="E33916" s="38" t="s">
        <v>109</v>
      </c>
      <c r="F33916" s="38" t="s">
        <v>86</v>
      </c>
      <c r="G33916" s="49" t="str">
        <f t="shared" si="1"/>
        <v>62270</v>
      </c>
      <c r="H33916" s="49">
        <f t="shared" si="2"/>
        <v>62695</v>
      </c>
    </row>
    <row r="33917">
      <c r="A33917" s="48" t="s">
        <v>13871</v>
      </c>
      <c r="B33917" s="38">
        <v>73152.0</v>
      </c>
      <c r="C33917" s="38" t="s">
        <v>38137</v>
      </c>
      <c r="D33917" s="38" t="str">
        <f>IFERROR(__xludf.DUMMYFUNCTION("REGEXREPLACE(C33917,""-\d+(.*)|--\d+(.*)"","""")"),"MARCIEUX")</f>
        <v>MARCIEUX</v>
      </c>
      <c r="E33917" s="38" t="s">
        <v>306</v>
      </c>
      <c r="F33917" s="38" t="s">
        <v>102</v>
      </c>
      <c r="G33917" s="49" t="str">
        <f t="shared" si="1"/>
        <v>73470</v>
      </c>
      <c r="H33917" s="49">
        <f t="shared" si="2"/>
        <v>73152</v>
      </c>
    </row>
    <row r="33918">
      <c r="A33918" s="48" t="s">
        <v>3539</v>
      </c>
      <c r="B33918" s="38">
        <v>54484.0</v>
      </c>
      <c r="C33918" s="38" t="s">
        <v>38138</v>
      </c>
      <c r="D33918" s="38" t="str">
        <f>IFERROR(__xludf.DUMMYFUNCTION("REGEXREPLACE(C33918,""-\d+(.*)|--\d+(.*)"","""")"),"SAINTE-POLE")</f>
        <v>SAINTE-POLE</v>
      </c>
      <c r="E33918" s="38" t="s">
        <v>548</v>
      </c>
      <c r="F33918" s="38" t="s">
        <v>195</v>
      </c>
      <c r="G33918" s="49" t="str">
        <f t="shared" si="1"/>
        <v>54540</v>
      </c>
      <c r="H33918" s="49">
        <f t="shared" si="2"/>
        <v>54484</v>
      </c>
    </row>
    <row r="33919">
      <c r="A33919" s="48" t="s">
        <v>450</v>
      </c>
      <c r="B33919" s="38">
        <v>71447.0</v>
      </c>
      <c r="C33919" s="38" t="s">
        <v>38139</v>
      </c>
      <c r="D33919" s="38" t="str">
        <f>IFERROR(__xludf.DUMMYFUNCTION("REGEXREPLACE(C33919,""-\d+(.*)|--\d+(.*)"","""")"),"SAINT-MARD-DE-VAUX")</f>
        <v>SAINT-MARD-DE-VAUX</v>
      </c>
      <c r="E33919" s="38" t="s">
        <v>344</v>
      </c>
      <c r="F33919" s="38" t="s">
        <v>106</v>
      </c>
      <c r="G33919" s="49" t="str">
        <f t="shared" si="1"/>
        <v>71640</v>
      </c>
      <c r="H33919" s="49">
        <f t="shared" si="2"/>
        <v>71447</v>
      </c>
    </row>
    <row r="33920">
      <c r="A33920" s="48" t="s">
        <v>15628</v>
      </c>
      <c r="B33920" s="38">
        <v>77193.0</v>
      </c>
      <c r="C33920" s="38" t="s">
        <v>38140</v>
      </c>
      <c r="D33920" s="38" t="str">
        <f>IFERROR(__xludf.DUMMYFUNCTION("REGEXREPLACE(C33920,""-\d+(.*)|--\d+(.*)"","""")"),"FORFRY")</f>
        <v>FORFRY</v>
      </c>
      <c r="E33920" s="38" t="s">
        <v>244</v>
      </c>
      <c r="F33920" s="38" t="s">
        <v>245</v>
      </c>
      <c r="G33920" s="49" t="str">
        <f t="shared" si="1"/>
        <v>77165</v>
      </c>
      <c r="H33920" s="49">
        <f t="shared" si="2"/>
        <v>77193</v>
      </c>
    </row>
    <row r="33921">
      <c r="A33921" s="48" t="s">
        <v>4420</v>
      </c>
      <c r="B33921" s="38">
        <v>31501.0</v>
      </c>
      <c r="C33921" s="38" t="s">
        <v>38141</v>
      </c>
      <c r="D33921" s="38" t="str">
        <f>IFERROR(__xludf.DUMMYFUNCTION("REGEXREPLACE(C33921,""-\d+(.*)|--\d+(.*)"","""")"),"SAINT-MARCEL-PAULEL")</f>
        <v>SAINT-MARCEL-PAULEL</v>
      </c>
      <c r="E33921" s="38" t="s">
        <v>93</v>
      </c>
      <c r="F33921" s="38" t="s">
        <v>94</v>
      </c>
      <c r="G33921" s="49" t="str">
        <f t="shared" si="1"/>
        <v>31590</v>
      </c>
      <c r="H33921" s="49">
        <f t="shared" si="2"/>
        <v>31501</v>
      </c>
    </row>
    <row r="33922">
      <c r="A33922" s="48" t="s">
        <v>6340</v>
      </c>
      <c r="B33922" s="38">
        <v>89247.0</v>
      </c>
      <c r="C33922" s="38" t="s">
        <v>37467</v>
      </c>
      <c r="D33922" s="38" t="str">
        <f>IFERROR(__xludf.DUMMYFUNCTION("REGEXREPLACE(C33922,""-\d+(.*)|--\d+(.*)"","""")"),"MELISEY")</f>
        <v>MELISEY</v>
      </c>
      <c r="E33922" s="38" t="s">
        <v>275</v>
      </c>
      <c r="F33922" s="38" t="s">
        <v>106</v>
      </c>
      <c r="G33922" s="49" t="str">
        <f t="shared" si="1"/>
        <v>89430</v>
      </c>
      <c r="H33922" s="49">
        <f t="shared" si="2"/>
        <v>89247</v>
      </c>
    </row>
    <row r="33923">
      <c r="A33923" s="48" t="s">
        <v>14496</v>
      </c>
      <c r="B33923" s="38" t="s">
        <v>38142</v>
      </c>
      <c r="C33923" s="38" t="s">
        <v>38143</v>
      </c>
      <c r="D33923" s="38" t="str">
        <f>IFERROR(__xludf.DUMMYFUNCTION("REGEXREPLACE(C33923,""-\d+(.*)|--\d+(.*)"","""")"),"TOLLA")</f>
        <v>TOLLA</v>
      </c>
      <c r="E33923" s="38" t="s">
        <v>606</v>
      </c>
      <c r="F33923" s="38" t="s">
        <v>607</v>
      </c>
      <c r="G33923" s="49" t="str">
        <f t="shared" si="1"/>
        <v>20117</v>
      </c>
      <c r="H33923" s="49" t="str">
        <f t="shared" si="2"/>
        <v>2A326</v>
      </c>
    </row>
    <row r="33924">
      <c r="A33924" s="48" t="s">
        <v>2208</v>
      </c>
      <c r="B33924" s="38">
        <v>55325.0</v>
      </c>
      <c r="C33924" s="38" t="s">
        <v>38144</v>
      </c>
      <c r="D33924" s="38" t="str">
        <f>IFERROR(__xludf.DUMMYFUNCTION("REGEXREPLACE(C33924,""-\d+(.*)|--\d+(.*)"","""")"),"MAUCOURT-SUR-ORNE")</f>
        <v>MAUCOURT-SUR-ORNE</v>
      </c>
      <c r="E33924" s="38" t="s">
        <v>322</v>
      </c>
      <c r="F33924" s="38" t="s">
        <v>195</v>
      </c>
      <c r="G33924" s="49" t="str">
        <f t="shared" si="1"/>
        <v>55400</v>
      </c>
      <c r="H33924" s="49">
        <f t="shared" si="2"/>
        <v>55325</v>
      </c>
    </row>
    <row r="33925">
      <c r="A33925" s="48" t="s">
        <v>2429</v>
      </c>
      <c r="B33925" s="38">
        <v>63139.0</v>
      </c>
      <c r="C33925" s="38" t="s">
        <v>38145</v>
      </c>
      <c r="D33925" s="38" t="str">
        <f>IFERROR(__xludf.DUMMYFUNCTION("REGEXREPLACE(C33925,""-\d+(.*)|--\d+(.*)"","""")"),"DORE-L'EGLISE")</f>
        <v>DORE-L'EGLISE</v>
      </c>
      <c r="E33925" s="38" t="s">
        <v>353</v>
      </c>
      <c r="F33925" s="38" t="s">
        <v>161</v>
      </c>
      <c r="G33925" s="49" t="str">
        <f t="shared" si="1"/>
        <v>63220</v>
      </c>
      <c r="H33925" s="49">
        <f t="shared" si="2"/>
        <v>63139</v>
      </c>
    </row>
    <row r="33926">
      <c r="A33926" s="48" t="s">
        <v>7763</v>
      </c>
      <c r="B33926" s="38">
        <v>89266.0</v>
      </c>
      <c r="C33926" s="38" t="s">
        <v>38146</v>
      </c>
      <c r="D33926" s="38" t="str">
        <f>IFERROR(__xludf.DUMMYFUNCTION("REGEXREPLACE(C33926,""-\d+(.*)|--\d+(.*)"","""")"),"MONTILLOT")</f>
        <v>MONTILLOT</v>
      </c>
      <c r="E33926" s="38" t="s">
        <v>275</v>
      </c>
      <c r="F33926" s="38" t="s">
        <v>106</v>
      </c>
      <c r="G33926" s="49" t="str">
        <f t="shared" si="1"/>
        <v>89660</v>
      </c>
      <c r="H33926" s="49">
        <f t="shared" si="2"/>
        <v>89266</v>
      </c>
    </row>
    <row r="33927">
      <c r="A33927" s="48" t="s">
        <v>3816</v>
      </c>
      <c r="B33927" s="38">
        <v>25348.0</v>
      </c>
      <c r="C33927" s="38" t="s">
        <v>38147</v>
      </c>
      <c r="D33927" s="38" t="str">
        <f>IFERROR(__xludf.DUMMYFUNCTION("REGEXREPLACE(C33927,""-\d+(.*)|--\d+(.*)"","""")"),"LONGEVILLES-MONT-D'OR")</f>
        <v>LONGEVILLES-MONT-D'OR</v>
      </c>
      <c r="E33927" s="38" t="s">
        <v>213</v>
      </c>
      <c r="F33927" s="38" t="s">
        <v>214</v>
      </c>
      <c r="G33927" s="49" t="str">
        <f t="shared" si="1"/>
        <v>25370</v>
      </c>
      <c r="H33927" s="49">
        <f t="shared" si="2"/>
        <v>25348</v>
      </c>
    </row>
    <row r="33928">
      <c r="A33928" s="48" t="s">
        <v>872</v>
      </c>
      <c r="B33928" s="38">
        <v>35038.0</v>
      </c>
      <c r="C33928" s="38" t="s">
        <v>38148</v>
      </c>
      <c r="D33928" s="38" t="str">
        <f>IFERROR(__xludf.DUMMYFUNCTION("REGEXREPLACE(C33928,""-\d+(.*)|--\d+(.*)"","""")"),"BREAL-SOUS-VITRE")</f>
        <v>BREAL-SOUS-VITRE</v>
      </c>
      <c r="E33928" s="38" t="s">
        <v>347</v>
      </c>
      <c r="F33928" s="38" t="s">
        <v>90</v>
      </c>
      <c r="G33928" s="49" t="str">
        <f t="shared" si="1"/>
        <v>35370</v>
      </c>
      <c r="H33928" s="49">
        <f t="shared" si="2"/>
        <v>35038</v>
      </c>
    </row>
    <row r="33929">
      <c r="A33929" s="48" t="s">
        <v>1857</v>
      </c>
      <c r="B33929" s="38">
        <v>4229.0</v>
      </c>
      <c r="C33929" s="38" t="s">
        <v>38149</v>
      </c>
      <c r="D33929" s="38" t="str">
        <f>IFERROR(__xludf.DUMMYFUNCTION("REGEXREPLACE(C33929,""-\d+(.*)|--\d+(.*)"","""")"),"VALBELLE")</f>
        <v>VALBELLE</v>
      </c>
      <c r="E33929" s="38" t="s">
        <v>662</v>
      </c>
      <c r="F33929" s="38" t="s">
        <v>228</v>
      </c>
      <c r="G33929" s="49" t="str">
        <f t="shared" si="1"/>
        <v>04200</v>
      </c>
      <c r="H33929" s="49" t="str">
        <f t="shared" si="2"/>
        <v>04229</v>
      </c>
    </row>
    <row r="33930">
      <c r="A33930" s="48" t="s">
        <v>4467</v>
      </c>
      <c r="B33930" s="38">
        <v>53002.0</v>
      </c>
      <c r="C33930" s="38" t="s">
        <v>38150</v>
      </c>
      <c r="D33930" s="38" t="str">
        <f>IFERROR(__xludf.DUMMYFUNCTION("REGEXREPLACE(C33930,""-\d+(.*)|--\d+(.*)"","""")"),"ALEXAIN")</f>
        <v>ALEXAIN</v>
      </c>
      <c r="E33930" s="38" t="s">
        <v>518</v>
      </c>
      <c r="F33930" s="38" t="s">
        <v>180</v>
      </c>
      <c r="G33930" s="49" t="str">
        <f t="shared" si="1"/>
        <v>53240</v>
      </c>
      <c r="H33930" s="49">
        <f t="shared" si="2"/>
        <v>53002</v>
      </c>
    </row>
    <row r="33931">
      <c r="A33931" s="48" t="s">
        <v>443</v>
      </c>
      <c r="B33931" s="38">
        <v>24062.0</v>
      </c>
      <c r="C33931" s="38" t="s">
        <v>38151</v>
      </c>
      <c r="D33931" s="38" t="str">
        <f>IFERROR(__xludf.DUMMYFUNCTION("REGEXREPLACE(C33931,""-\d+(.*)|--\d+(.*)"","""")"),"BOUTEILLES-SAINT-SEBASTIEN")</f>
        <v>BOUTEILLES-SAINT-SEBASTIEN</v>
      </c>
      <c r="E33931" s="38" t="s">
        <v>261</v>
      </c>
      <c r="F33931" s="38" t="s">
        <v>252</v>
      </c>
      <c r="G33931" s="49" t="str">
        <f t="shared" si="1"/>
        <v>24320</v>
      </c>
      <c r="H33931" s="49">
        <f t="shared" si="2"/>
        <v>24062</v>
      </c>
    </row>
    <row r="33932">
      <c r="A33932" s="48" t="s">
        <v>14151</v>
      </c>
      <c r="B33932" s="38">
        <v>53017.0</v>
      </c>
      <c r="C33932" s="38" t="s">
        <v>38152</v>
      </c>
      <c r="D33932" s="38" t="str">
        <f>IFERROR(__xludf.DUMMYFUNCTION("REGEXREPLACE(C33932,""-\d+(.*)|--\d+(.*)"","""")"),"BALLEE")</f>
        <v>BALLEE</v>
      </c>
      <c r="E33932" s="38" t="s">
        <v>518</v>
      </c>
      <c r="F33932" s="38" t="s">
        <v>180</v>
      </c>
      <c r="G33932" s="49" t="str">
        <f t="shared" si="1"/>
        <v>53340</v>
      </c>
      <c r="H33932" s="49">
        <f t="shared" si="2"/>
        <v>53017</v>
      </c>
    </row>
    <row r="33933">
      <c r="A33933" s="48" t="s">
        <v>1286</v>
      </c>
      <c r="B33933" s="38">
        <v>47133.0</v>
      </c>
      <c r="C33933" s="38" t="s">
        <v>38153</v>
      </c>
      <c r="D33933" s="38" t="str">
        <f>IFERROR(__xludf.DUMMYFUNCTION("REGEXREPLACE(C33933,""-\d+(.*)|--\d+(.*)"","""")"),"LAMONTJOIE")</f>
        <v>LAMONTJOIE</v>
      </c>
      <c r="E33933" s="38" t="s">
        <v>251</v>
      </c>
      <c r="F33933" s="38" t="s">
        <v>252</v>
      </c>
      <c r="G33933" s="49" t="str">
        <f t="shared" si="1"/>
        <v>47310</v>
      </c>
      <c r="H33933" s="49">
        <f t="shared" si="2"/>
        <v>47133</v>
      </c>
    </row>
    <row r="33934">
      <c r="A33934" s="48" t="s">
        <v>3317</v>
      </c>
      <c r="B33934" s="38">
        <v>1266.0</v>
      </c>
      <c r="C33934" s="38" t="s">
        <v>38154</v>
      </c>
      <c r="D33934" s="38" t="str">
        <f>IFERROR(__xludf.DUMMYFUNCTION("REGEXREPLACE(C33934,""-\d+(.*)|--\d+(.*)"","""")"),"MONTREVEL-EN-BRESSE")</f>
        <v>MONTREVEL-EN-BRESSE</v>
      </c>
      <c r="E33934" s="38" t="s">
        <v>255</v>
      </c>
      <c r="F33934" s="38" t="s">
        <v>102</v>
      </c>
      <c r="G33934" s="49" t="str">
        <f t="shared" si="1"/>
        <v>01340</v>
      </c>
      <c r="H33934" s="49" t="str">
        <f t="shared" si="2"/>
        <v>01266</v>
      </c>
    </row>
    <row r="33935">
      <c r="A33935" s="48" t="s">
        <v>7155</v>
      </c>
      <c r="B33935" s="38">
        <v>30200.0</v>
      </c>
      <c r="C33935" s="38" t="s">
        <v>36416</v>
      </c>
      <c r="D33935" s="38" t="str">
        <f>IFERROR(__xludf.DUMMYFUNCTION("REGEXREPLACE(C33935,""-\d+(.*)|--\d+(.*)"","""")"),"POMPIGNAN")</f>
        <v>POMPIGNAN</v>
      </c>
      <c r="E33935" s="38" t="s">
        <v>526</v>
      </c>
      <c r="F33935" s="38" t="s">
        <v>119</v>
      </c>
      <c r="G33935" s="49" t="str">
        <f t="shared" si="1"/>
        <v>30170</v>
      </c>
      <c r="H33935" s="49">
        <f t="shared" si="2"/>
        <v>30200</v>
      </c>
    </row>
    <row r="33936">
      <c r="A33936" s="48" t="s">
        <v>38155</v>
      </c>
      <c r="B33936" s="38">
        <v>63307.0</v>
      </c>
      <c r="C33936" s="38" t="s">
        <v>38156</v>
      </c>
      <c r="D33936" s="38" t="str">
        <f>IFERROR(__xludf.DUMMYFUNCTION("REGEXREPLACE(C33936,""-\d+(.*)|--\d+(.*)"","""")"),"ROMAGNAT")</f>
        <v>ROMAGNAT</v>
      </c>
      <c r="E33936" s="38" t="s">
        <v>353</v>
      </c>
      <c r="F33936" s="38" t="s">
        <v>161</v>
      </c>
      <c r="G33936" s="49" t="str">
        <f t="shared" si="1"/>
        <v>63540</v>
      </c>
      <c r="H33936" s="49">
        <f t="shared" si="2"/>
        <v>63307</v>
      </c>
    </row>
    <row r="33937">
      <c r="A33937" s="48" t="s">
        <v>10689</v>
      </c>
      <c r="B33937" s="38">
        <v>59481.0</v>
      </c>
      <c r="C33937" s="38" t="s">
        <v>38157</v>
      </c>
      <c r="D33937" s="38" t="str">
        <f>IFERROR(__xludf.DUMMYFUNCTION("REGEXREPLACE(C33937,""-\d+(.*)|--\d+(.*)"","""")"),"LE QUESNOY")</f>
        <v>LE QUESNOY</v>
      </c>
      <c r="E33937" s="38" t="s">
        <v>85</v>
      </c>
      <c r="F33937" s="38" t="s">
        <v>86</v>
      </c>
      <c r="G33937" s="49" t="str">
        <f t="shared" si="1"/>
        <v>59530</v>
      </c>
      <c r="H33937" s="49">
        <f t="shared" si="2"/>
        <v>59481</v>
      </c>
    </row>
    <row r="33938">
      <c r="A33938" s="48" t="s">
        <v>3436</v>
      </c>
      <c r="B33938" s="38">
        <v>33218.0</v>
      </c>
      <c r="C33938" s="38" t="s">
        <v>17691</v>
      </c>
      <c r="D33938" s="38" t="str">
        <f>IFERROR(__xludf.DUMMYFUNCTION("REGEXREPLACE(C33938,""-\d+(.*)|--\d+(.*)"","""")"),"LAGORCE")</f>
        <v>LAGORCE</v>
      </c>
      <c r="E33938" s="38" t="s">
        <v>462</v>
      </c>
      <c r="F33938" s="38" t="s">
        <v>252</v>
      </c>
      <c r="G33938" s="49" t="str">
        <f t="shared" si="1"/>
        <v>33230</v>
      </c>
      <c r="H33938" s="49">
        <f t="shared" si="2"/>
        <v>33218</v>
      </c>
    </row>
    <row r="33939">
      <c r="A33939" s="48" t="s">
        <v>3283</v>
      </c>
      <c r="B33939" s="38">
        <v>52003.0</v>
      </c>
      <c r="C33939" s="38" t="s">
        <v>38158</v>
      </c>
      <c r="D33939" s="38" t="str">
        <f>IFERROR(__xludf.DUMMYFUNCTION("REGEXREPLACE(C33939,""-\d+(.*)|--\d+(.*)"","""")"),"AILLIANVILLE")</f>
        <v>AILLIANVILLE</v>
      </c>
      <c r="E33939" s="38" t="s">
        <v>234</v>
      </c>
      <c r="F33939" s="38" t="s">
        <v>130</v>
      </c>
      <c r="G33939" s="49" t="str">
        <f t="shared" si="1"/>
        <v>52700</v>
      </c>
      <c r="H33939" s="49">
        <f t="shared" si="2"/>
        <v>52003</v>
      </c>
    </row>
    <row r="33940">
      <c r="A33940" s="48" t="s">
        <v>38159</v>
      </c>
      <c r="B33940" s="38">
        <v>68267.0</v>
      </c>
      <c r="C33940" s="38" t="s">
        <v>38160</v>
      </c>
      <c r="D33940" s="38" t="str">
        <f>IFERROR(__xludf.DUMMYFUNCTION("REGEXREPLACE(C33940,""-\d+(.*)|--\d+(.*)"","""")"),"REININGUE")</f>
        <v>REININGUE</v>
      </c>
      <c r="E33940" s="38" t="s">
        <v>150</v>
      </c>
      <c r="F33940" s="38" t="s">
        <v>151</v>
      </c>
      <c r="G33940" s="49" t="str">
        <f t="shared" si="1"/>
        <v>68950</v>
      </c>
      <c r="H33940" s="49">
        <f t="shared" si="2"/>
        <v>68267</v>
      </c>
    </row>
    <row r="33941">
      <c r="A33941" s="48" t="s">
        <v>2141</v>
      </c>
      <c r="B33941" s="38">
        <v>80719.0</v>
      </c>
      <c r="C33941" s="38" t="s">
        <v>38161</v>
      </c>
      <c r="D33941" s="38" t="str">
        <f>IFERROR(__xludf.DUMMYFUNCTION("REGEXREPLACE(C33941,""-\d+(.*)|--\d+(.*)"","""")"),"SAINTE-SEGREE")</f>
        <v>SAINTE-SEGREE</v>
      </c>
      <c r="E33941" s="38" t="s">
        <v>224</v>
      </c>
      <c r="F33941" s="38" t="s">
        <v>113</v>
      </c>
      <c r="G33941" s="49" t="str">
        <f t="shared" si="1"/>
        <v>80290</v>
      </c>
      <c r="H33941" s="49">
        <f t="shared" si="2"/>
        <v>80719</v>
      </c>
    </row>
    <row r="33942">
      <c r="A33942" s="48" t="s">
        <v>480</v>
      </c>
      <c r="B33942" s="38">
        <v>3154.0</v>
      </c>
      <c r="C33942" s="38" t="s">
        <v>38162</v>
      </c>
      <c r="D33942" s="38" t="str">
        <f>IFERROR(__xludf.DUMMYFUNCTION("REGEXREPLACE(C33942,""-\d+(.*)|--\d+(.*)"","""")"),"LUNEAU")</f>
        <v>LUNEAU</v>
      </c>
      <c r="E33942" s="38" t="s">
        <v>160</v>
      </c>
      <c r="F33942" s="38" t="s">
        <v>161</v>
      </c>
      <c r="G33942" s="49" t="str">
        <f t="shared" si="1"/>
        <v>03130</v>
      </c>
      <c r="H33942" s="49" t="str">
        <f t="shared" si="2"/>
        <v>03154</v>
      </c>
    </row>
    <row r="33943">
      <c r="A33943" s="48" t="s">
        <v>2519</v>
      </c>
      <c r="B33943" s="38">
        <v>80494.0</v>
      </c>
      <c r="C33943" s="38" t="s">
        <v>38163</v>
      </c>
      <c r="D33943" s="38" t="str">
        <f>IFERROR(__xludf.DUMMYFUNCTION("REGEXREPLACE(C33943,""-\d+(.*)|--\d+(.*)"","""")"),"LOUVRECHY")</f>
        <v>LOUVRECHY</v>
      </c>
      <c r="E33943" s="38" t="s">
        <v>224</v>
      </c>
      <c r="F33943" s="38" t="s">
        <v>113</v>
      </c>
      <c r="G33943" s="49" t="str">
        <f t="shared" si="1"/>
        <v>80250</v>
      </c>
      <c r="H33943" s="49">
        <f t="shared" si="2"/>
        <v>80494</v>
      </c>
    </row>
    <row r="33944">
      <c r="A33944" s="48" t="s">
        <v>2723</v>
      </c>
      <c r="B33944" s="38">
        <v>50443.0</v>
      </c>
      <c r="C33944" s="38" t="s">
        <v>38164</v>
      </c>
      <c r="D33944" s="38" t="str">
        <f>IFERROR(__xludf.DUMMYFUNCTION("REGEXREPLACE(C33944,""-\d+(.*)|--\d+(.*)"","""")"),"SACEY")</f>
        <v>SACEY</v>
      </c>
      <c r="E33944" s="38" t="s">
        <v>157</v>
      </c>
      <c r="F33944" s="38" t="s">
        <v>138</v>
      </c>
      <c r="G33944" s="49" t="str">
        <f t="shared" si="1"/>
        <v>50170</v>
      </c>
      <c r="H33944" s="49">
        <f t="shared" si="2"/>
        <v>50443</v>
      </c>
    </row>
    <row r="33945">
      <c r="A33945" s="48" t="s">
        <v>15716</v>
      </c>
      <c r="B33945" s="38">
        <v>35262.0</v>
      </c>
      <c r="C33945" s="38" t="s">
        <v>10166</v>
      </c>
      <c r="D33945" s="38" t="str">
        <f>IFERROR(__xludf.DUMMYFUNCTION("REGEXREPLACE(C33945,""-\d+(.*)|--\d+(.*)"","""")"),"SAINTE-COLOMBE")</f>
        <v>SAINTE-COLOMBE</v>
      </c>
      <c r="E33945" s="38" t="s">
        <v>347</v>
      </c>
      <c r="F33945" s="38" t="s">
        <v>90</v>
      </c>
      <c r="G33945" s="49" t="str">
        <f t="shared" si="1"/>
        <v>35134</v>
      </c>
      <c r="H33945" s="49">
        <f t="shared" si="2"/>
        <v>35262</v>
      </c>
    </row>
    <row r="33946">
      <c r="A33946" s="48" t="s">
        <v>38165</v>
      </c>
      <c r="B33946" s="38">
        <v>24102.0</v>
      </c>
      <c r="C33946" s="38" t="s">
        <v>38166</v>
      </c>
      <c r="D33946" s="38" t="str">
        <f>IFERROR(__xludf.DUMMYFUNCTION("REGEXREPLACE(C33946,""-\d+(.*)|--\d+(.*)"","""")"),"CHANCELADE")</f>
        <v>CHANCELADE</v>
      </c>
      <c r="E33946" s="38" t="s">
        <v>261</v>
      </c>
      <c r="F33946" s="38" t="s">
        <v>252</v>
      </c>
      <c r="G33946" s="49" t="str">
        <f t="shared" si="1"/>
        <v>24650</v>
      </c>
      <c r="H33946" s="49">
        <f t="shared" si="2"/>
        <v>24102</v>
      </c>
    </row>
    <row r="33947">
      <c r="A33947" s="48" t="s">
        <v>38167</v>
      </c>
      <c r="B33947" s="38">
        <v>91689.0</v>
      </c>
      <c r="C33947" s="38" t="s">
        <v>38168</v>
      </c>
      <c r="D33947" s="38" t="str">
        <f>IFERROR(__xludf.DUMMYFUNCTION("REGEXREPLACE(C33947,""-\d+(.*)|--\d+(.*)"","""")"),"WISSOUS")</f>
        <v>WISSOUS</v>
      </c>
      <c r="E33947" s="38" t="s">
        <v>756</v>
      </c>
      <c r="F33947" s="38" t="s">
        <v>245</v>
      </c>
      <c r="G33947" s="49" t="str">
        <f t="shared" si="1"/>
        <v>91320</v>
      </c>
      <c r="H33947" s="49">
        <f t="shared" si="2"/>
        <v>91689</v>
      </c>
    </row>
    <row r="33948">
      <c r="A33948" s="48" t="s">
        <v>616</v>
      </c>
      <c r="B33948" s="38">
        <v>89044.0</v>
      </c>
      <c r="C33948" s="38" t="s">
        <v>38169</v>
      </c>
      <c r="D33948" s="38" t="str">
        <f>IFERROR(__xludf.DUMMYFUNCTION("REGEXREPLACE(C33948,""-\d+(.*)|--\d+(.*)"","""")"),"BLANNAY")</f>
        <v>BLANNAY</v>
      </c>
      <c r="E33948" s="38" t="s">
        <v>275</v>
      </c>
      <c r="F33948" s="38" t="s">
        <v>106</v>
      </c>
      <c r="G33948" s="49" t="str">
        <f t="shared" si="1"/>
        <v>89200</v>
      </c>
      <c r="H33948" s="49">
        <f t="shared" si="2"/>
        <v>89044</v>
      </c>
    </row>
    <row r="33949">
      <c r="A33949" s="48" t="s">
        <v>3835</v>
      </c>
      <c r="B33949" s="38">
        <v>25405.0</v>
      </c>
      <c r="C33949" s="38" t="s">
        <v>38170</v>
      </c>
      <c r="D33949" s="38" t="str">
        <f>IFERROR(__xludf.DUMMYFUNCTION("REGEXREPLACE(C33949,""-\d+(.*)|--\d+(.*)"","""")"),"MONTPERREUX")</f>
        <v>MONTPERREUX</v>
      </c>
      <c r="E33949" s="38" t="s">
        <v>213</v>
      </c>
      <c r="F33949" s="38" t="s">
        <v>214</v>
      </c>
      <c r="G33949" s="49" t="str">
        <f t="shared" si="1"/>
        <v>25160</v>
      </c>
      <c r="H33949" s="49">
        <f t="shared" si="2"/>
        <v>25405</v>
      </c>
    </row>
    <row r="33950">
      <c r="A33950" s="48" t="s">
        <v>8145</v>
      </c>
      <c r="B33950" s="38">
        <v>9226.0</v>
      </c>
      <c r="C33950" s="38" t="s">
        <v>38171</v>
      </c>
      <c r="D33950" s="38" t="str">
        <f>IFERROR(__xludf.DUMMYFUNCTION("REGEXREPLACE(C33950,""-\d+(.*)|--\d+(.*)"","""")"),"PECH")</f>
        <v>PECH</v>
      </c>
      <c r="E33950" s="38" t="s">
        <v>238</v>
      </c>
      <c r="F33950" s="38" t="s">
        <v>94</v>
      </c>
      <c r="G33950" s="49" t="str">
        <f t="shared" si="1"/>
        <v>09310</v>
      </c>
      <c r="H33950" s="49" t="str">
        <f t="shared" si="2"/>
        <v>09226</v>
      </c>
    </row>
    <row r="33951">
      <c r="A33951" s="48" t="s">
        <v>19064</v>
      </c>
      <c r="B33951" s="38">
        <v>61245.0</v>
      </c>
      <c r="C33951" s="38" t="s">
        <v>38172</v>
      </c>
      <c r="D33951" s="38" t="str">
        <f>IFERROR(__xludf.DUMMYFUNCTION("REGEXREPLACE(C33951,""-\d+(.*)|--\d+(.*)"","""")"),"MAISON-MAUGIS")</f>
        <v>MAISON-MAUGIS</v>
      </c>
      <c r="E33951" s="38" t="s">
        <v>141</v>
      </c>
      <c r="F33951" s="38" t="s">
        <v>138</v>
      </c>
      <c r="G33951" s="49" t="str">
        <f t="shared" si="1"/>
        <v>61110</v>
      </c>
      <c r="H33951" s="49">
        <f t="shared" si="2"/>
        <v>61245</v>
      </c>
    </row>
    <row r="33952">
      <c r="A33952" s="48" t="s">
        <v>114</v>
      </c>
      <c r="B33952" s="38">
        <v>62335.0</v>
      </c>
      <c r="C33952" s="38" t="s">
        <v>38173</v>
      </c>
      <c r="D33952" s="38" t="str">
        <f>IFERROR(__xludf.DUMMYFUNCTION("REGEXREPLACE(C33952,""-\d+(.*)|--\d+(.*)"","""")"),"FILLIEVRES")</f>
        <v>FILLIEVRES</v>
      </c>
      <c r="E33952" s="38" t="s">
        <v>109</v>
      </c>
      <c r="F33952" s="38" t="s">
        <v>86</v>
      </c>
      <c r="G33952" s="49" t="str">
        <f t="shared" si="1"/>
        <v>62770</v>
      </c>
      <c r="H33952" s="49">
        <f t="shared" si="2"/>
        <v>62335</v>
      </c>
    </row>
    <row r="33953">
      <c r="A33953" s="48" t="s">
        <v>11370</v>
      </c>
      <c r="B33953" s="38">
        <v>26311.0</v>
      </c>
      <c r="C33953" s="38" t="s">
        <v>38174</v>
      </c>
      <c r="D33953" s="38" t="str">
        <f>IFERROR(__xludf.DUMMYFUNCTION("REGEXREPLACE(C33953,""-\d+(.*)|--\d+(.*)"","""")"),"SAINT-LAURENT-EN-ROYANS")</f>
        <v>SAINT-LAURENT-EN-ROYANS</v>
      </c>
      <c r="E33953" s="38" t="s">
        <v>126</v>
      </c>
      <c r="F33953" s="38" t="s">
        <v>102</v>
      </c>
      <c r="G33953" s="49" t="str">
        <f t="shared" si="1"/>
        <v>26190</v>
      </c>
      <c r="H33953" s="49">
        <f t="shared" si="2"/>
        <v>26311</v>
      </c>
    </row>
    <row r="33954">
      <c r="A33954" s="48" t="s">
        <v>5735</v>
      </c>
      <c r="B33954" s="38">
        <v>2818.0</v>
      </c>
      <c r="C33954" s="38" t="s">
        <v>38175</v>
      </c>
      <c r="D33954" s="38" t="str">
        <f>IFERROR(__xludf.DUMMYFUNCTION("REGEXREPLACE(C33954,""-\d+(.*)|--\d+(.*)"","""")"),"VILLIERS-SAINT-DENIS")</f>
        <v>VILLIERS-SAINT-DENIS</v>
      </c>
      <c r="E33954" s="38" t="s">
        <v>191</v>
      </c>
      <c r="F33954" s="38" t="s">
        <v>113</v>
      </c>
      <c r="G33954" s="49" t="str">
        <f t="shared" si="1"/>
        <v>02310</v>
      </c>
      <c r="H33954" s="49" t="str">
        <f t="shared" si="2"/>
        <v>02818</v>
      </c>
    </row>
    <row r="33955">
      <c r="A33955" s="48" t="s">
        <v>2006</v>
      </c>
      <c r="B33955" s="38">
        <v>73143.0</v>
      </c>
      <c r="C33955" s="38" t="s">
        <v>38176</v>
      </c>
      <c r="D33955" s="38" t="str">
        <f>IFERROR(__xludf.DUMMYFUNCTION("REGEXREPLACE(C33955,""-\d+(.*)|--\d+(.*)"","""")"),"LANSLEBOURG-MONT-CENIS")</f>
        <v>LANSLEBOURG-MONT-CENIS</v>
      </c>
      <c r="E33955" s="38" t="s">
        <v>306</v>
      </c>
      <c r="F33955" s="38" t="s">
        <v>102</v>
      </c>
      <c r="G33955" s="49" t="str">
        <f t="shared" si="1"/>
        <v>73480</v>
      </c>
      <c r="H33955" s="49">
        <f t="shared" si="2"/>
        <v>73143</v>
      </c>
    </row>
    <row r="33956">
      <c r="A33956" s="48" t="s">
        <v>966</v>
      </c>
      <c r="B33956" s="38">
        <v>70327.0</v>
      </c>
      <c r="C33956" s="38" t="s">
        <v>36256</v>
      </c>
      <c r="D33956" s="38" t="str">
        <f>IFERROR(__xludf.DUMMYFUNCTION("REGEXREPLACE(C33956,""-\d+(.*)|--\d+(.*)"","""")"),"MALANS")</f>
        <v>MALANS</v>
      </c>
      <c r="E33956" s="38" t="s">
        <v>956</v>
      </c>
      <c r="F33956" s="38" t="s">
        <v>214</v>
      </c>
      <c r="G33956" s="49" t="str">
        <f t="shared" si="1"/>
        <v>70140</v>
      </c>
      <c r="H33956" s="49">
        <f t="shared" si="2"/>
        <v>70327</v>
      </c>
    </row>
    <row r="33957">
      <c r="A33957" s="48" t="s">
        <v>5103</v>
      </c>
      <c r="B33957" s="38">
        <v>37116.0</v>
      </c>
      <c r="C33957" s="38" t="s">
        <v>38177</v>
      </c>
      <c r="D33957" s="38" t="str">
        <f>IFERROR(__xludf.DUMMYFUNCTION("REGEXREPLACE(C33957,""-\d+(.*)|--\d+(.*)"","""")"),"LES HERMITES")</f>
        <v>LES HERMITES</v>
      </c>
      <c r="E33957" s="38" t="s">
        <v>205</v>
      </c>
      <c r="F33957" s="38" t="s">
        <v>123</v>
      </c>
      <c r="G33957" s="49" t="str">
        <f t="shared" si="1"/>
        <v>37110</v>
      </c>
      <c r="H33957" s="49">
        <f t="shared" si="2"/>
        <v>37116</v>
      </c>
    </row>
    <row r="33958">
      <c r="A33958" s="48" t="s">
        <v>28001</v>
      </c>
      <c r="B33958" s="38">
        <v>43249.0</v>
      </c>
      <c r="C33958" s="38" t="s">
        <v>38178</v>
      </c>
      <c r="D33958" s="38" t="str">
        <f>IFERROR(__xludf.DUMMYFUNCTION("REGEXREPLACE(C33958,""-\d+(.*)|--\d+(.*)"","""")"),"VALPRIVAS")</f>
        <v>VALPRIVAS</v>
      </c>
      <c r="E33958" s="38" t="s">
        <v>332</v>
      </c>
      <c r="F33958" s="38" t="s">
        <v>161</v>
      </c>
      <c r="G33958" s="49" t="str">
        <f t="shared" si="1"/>
        <v>43210</v>
      </c>
      <c r="H33958" s="49">
        <f t="shared" si="2"/>
        <v>43249</v>
      </c>
    </row>
    <row r="33959">
      <c r="A33959" s="48" t="s">
        <v>4557</v>
      </c>
      <c r="B33959" s="38">
        <v>46321.0</v>
      </c>
      <c r="C33959" s="38" t="s">
        <v>34550</v>
      </c>
      <c r="D33959" s="38" t="str">
        <f>IFERROR(__xludf.DUMMYFUNCTION("REGEXREPLACE(C33959,""-\d+(.*)|--\d+(.*)"","""")"),"TOUZAC")</f>
        <v>TOUZAC</v>
      </c>
      <c r="E33959" s="38" t="s">
        <v>185</v>
      </c>
      <c r="F33959" s="38" t="s">
        <v>94</v>
      </c>
      <c r="G33959" s="49" t="str">
        <f t="shared" si="1"/>
        <v>46700</v>
      </c>
      <c r="H33959" s="49">
        <f t="shared" si="2"/>
        <v>46321</v>
      </c>
    </row>
    <row r="33960">
      <c r="A33960" s="48" t="s">
        <v>2837</v>
      </c>
      <c r="B33960" s="38">
        <v>17006.0</v>
      </c>
      <c r="C33960" s="38" t="s">
        <v>38179</v>
      </c>
      <c r="D33960" s="38" t="str">
        <f>IFERROR(__xludf.DUMMYFUNCTION("REGEXREPLACE(C33960,""-\d+(.*)|--\d+(.*)"","""")"),"ALLAS-CHAMPAGNE")</f>
        <v>ALLAS-CHAMPAGNE</v>
      </c>
      <c r="E33960" s="38" t="s">
        <v>488</v>
      </c>
      <c r="F33960" s="38" t="s">
        <v>338</v>
      </c>
      <c r="G33960" s="49" t="str">
        <f t="shared" si="1"/>
        <v>17500</v>
      </c>
      <c r="H33960" s="49">
        <f t="shared" si="2"/>
        <v>17006</v>
      </c>
    </row>
    <row r="33961">
      <c r="A33961" s="48" t="s">
        <v>10369</v>
      </c>
      <c r="B33961" s="38">
        <v>88236.0</v>
      </c>
      <c r="C33961" s="38" t="s">
        <v>38180</v>
      </c>
      <c r="D33961" s="38" t="str">
        <f>IFERROR(__xludf.DUMMYFUNCTION("REGEXREPLACE(C33961,""-\d+(.*)|--\d+(.*)"","""")"),"LA HAYE")</f>
        <v>LA HAYE</v>
      </c>
      <c r="E33961" s="38" t="s">
        <v>194</v>
      </c>
      <c r="F33961" s="38" t="s">
        <v>195</v>
      </c>
      <c r="G33961" s="49" t="str">
        <f t="shared" si="1"/>
        <v>88240</v>
      </c>
      <c r="H33961" s="49">
        <f t="shared" si="2"/>
        <v>88236</v>
      </c>
    </row>
    <row r="33962">
      <c r="A33962" s="48" t="s">
        <v>309</v>
      </c>
      <c r="B33962" s="38">
        <v>48180.0</v>
      </c>
      <c r="C33962" s="38" t="s">
        <v>38181</v>
      </c>
      <c r="D33962" s="38" t="str">
        <f>IFERROR(__xludf.DUMMYFUNCTION("REGEXREPLACE(C33962,""-\d+(.*)|--\d+(.*)"","""")"),"SAINT-ROME-DE-DOLAN")</f>
        <v>SAINT-ROME-DE-DOLAN</v>
      </c>
      <c r="E33962" s="38" t="s">
        <v>154</v>
      </c>
      <c r="F33962" s="38" t="s">
        <v>119</v>
      </c>
      <c r="G33962" s="49" t="str">
        <f t="shared" si="1"/>
        <v>48500</v>
      </c>
      <c r="H33962" s="49">
        <f t="shared" si="2"/>
        <v>48180</v>
      </c>
    </row>
    <row r="33963">
      <c r="A33963" s="48" t="s">
        <v>201</v>
      </c>
      <c r="B33963" s="38">
        <v>2013.0</v>
      </c>
      <c r="C33963" s="38" t="s">
        <v>38182</v>
      </c>
      <c r="D33963" s="38" t="str">
        <f>IFERROR(__xludf.DUMMYFUNCTION("REGEXREPLACE(C33963,""-\d+(.*)|--\d+(.*)"","""")"),"AMIFONTAINE")</f>
        <v>AMIFONTAINE</v>
      </c>
      <c r="E33963" s="38" t="s">
        <v>191</v>
      </c>
      <c r="F33963" s="38" t="s">
        <v>113</v>
      </c>
      <c r="G33963" s="49" t="str">
        <f t="shared" si="1"/>
        <v>02190</v>
      </c>
      <c r="H33963" s="49" t="str">
        <f t="shared" si="2"/>
        <v>02013</v>
      </c>
    </row>
    <row r="33964">
      <c r="A33964" s="48" t="s">
        <v>2261</v>
      </c>
      <c r="B33964" s="38">
        <v>9321.0</v>
      </c>
      <c r="C33964" s="38" t="s">
        <v>38183</v>
      </c>
      <c r="D33964" s="38" t="str">
        <f>IFERROR(__xludf.DUMMYFUNCTION("REGEXREPLACE(C33964,""-\d+(.*)|--\d+(.*)"","""")"),"USSAT")</f>
        <v>USSAT</v>
      </c>
      <c r="E33964" s="38" t="s">
        <v>238</v>
      </c>
      <c r="F33964" s="38" t="s">
        <v>94</v>
      </c>
      <c r="G33964" s="49" t="str">
        <f t="shared" si="1"/>
        <v>09400</v>
      </c>
      <c r="H33964" s="49" t="str">
        <f t="shared" si="2"/>
        <v>09321</v>
      </c>
    </row>
    <row r="33965">
      <c r="A33965" s="48" t="s">
        <v>28188</v>
      </c>
      <c r="B33965" s="38">
        <v>48156.0</v>
      </c>
      <c r="C33965" s="38" t="s">
        <v>38184</v>
      </c>
      <c r="D33965" s="38" t="str">
        <f>IFERROR(__xludf.DUMMYFUNCTION("REGEXREPLACE(C33965,""-\d+(.*)|--\d+(.*)"","""")"),"SAINT-GERMAIN-DU-TEIL")</f>
        <v>SAINT-GERMAIN-DU-TEIL</v>
      </c>
      <c r="E33965" s="38" t="s">
        <v>154</v>
      </c>
      <c r="F33965" s="38" t="s">
        <v>119</v>
      </c>
      <c r="G33965" s="49" t="str">
        <f t="shared" si="1"/>
        <v>48340</v>
      </c>
      <c r="H33965" s="49">
        <f t="shared" si="2"/>
        <v>48156</v>
      </c>
    </row>
    <row r="33966">
      <c r="A33966" s="48" t="s">
        <v>2788</v>
      </c>
      <c r="B33966" s="38">
        <v>35112.0</v>
      </c>
      <c r="C33966" s="38" t="s">
        <v>38185</v>
      </c>
      <c r="D33966" s="38" t="str">
        <f>IFERROR(__xludf.DUMMYFUNCTION("REGEXREPLACE(C33966,""-\d+(.*)|--\d+(.*)"","""")"),"FLEURIGNE")</f>
        <v>FLEURIGNE</v>
      </c>
      <c r="E33966" s="38" t="s">
        <v>347</v>
      </c>
      <c r="F33966" s="38" t="s">
        <v>90</v>
      </c>
      <c r="G33966" s="49" t="str">
        <f t="shared" si="1"/>
        <v>35133</v>
      </c>
      <c r="H33966" s="49">
        <f t="shared" si="2"/>
        <v>35112</v>
      </c>
    </row>
    <row r="33967">
      <c r="A33967" s="48" t="s">
        <v>6542</v>
      </c>
      <c r="B33967" s="38">
        <v>40078.0</v>
      </c>
      <c r="C33967" s="38" t="s">
        <v>38186</v>
      </c>
      <c r="D33967" s="38" t="str">
        <f>IFERROR(__xludf.DUMMYFUNCTION("REGEXREPLACE(C33967,""-\d+(.*)|--\d+(.*)"","""")"),"CAUPENNE")</f>
        <v>CAUPENNE</v>
      </c>
      <c r="E33967" s="38" t="s">
        <v>281</v>
      </c>
      <c r="F33967" s="38" t="s">
        <v>252</v>
      </c>
      <c r="G33967" s="49" t="str">
        <f t="shared" si="1"/>
        <v>40250</v>
      </c>
      <c r="H33967" s="49">
        <f t="shared" si="2"/>
        <v>40078</v>
      </c>
    </row>
    <row r="33968">
      <c r="A33968" s="48" t="s">
        <v>562</v>
      </c>
      <c r="B33968" s="38">
        <v>54492.0</v>
      </c>
      <c r="C33968" s="38" t="s">
        <v>38187</v>
      </c>
      <c r="D33968" s="38" t="str">
        <f>IFERROR(__xludf.DUMMYFUNCTION("REGEXREPLACE(C33968,""-\d+(.*)|--\d+(.*)"","""")"),"SANZEY")</f>
        <v>SANZEY</v>
      </c>
      <c r="E33968" s="38" t="s">
        <v>548</v>
      </c>
      <c r="F33968" s="38" t="s">
        <v>195</v>
      </c>
      <c r="G33968" s="49" t="str">
        <f t="shared" si="1"/>
        <v>54200</v>
      </c>
      <c r="H33968" s="49">
        <f t="shared" si="2"/>
        <v>54492</v>
      </c>
    </row>
    <row r="33969">
      <c r="A33969" s="48" t="s">
        <v>38188</v>
      </c>
      <c r="B33969" s="38">
        <v>97116.0</v>
      </c>
      <c r="C33969" s="38" t="s">
        <v>38189</v>
      </c>
      <c r="D33969" s="38" t="str">
        <f>IFERROR(__xludf.DUMMYFUNCTION("REGEXREPLACE(C33969,""-\d+(.*)|--\d+(.*)"","""")"),"MORNE-A-L'EAU")</f>
        <v>MORNE-A-L'EAU</v>
      </c>
      <c r="E33969" s="38" t="s">
        <v>2023</v>
      </c>
      <c r="F33969" s="38" t="s">
        <v>2023</v>
      </c>
      <c r="G33969" s="49" t="str">
        <f t="shared" si="1"/>
        <v>97111</v>
      </c>
      <c r="H33969" s="49">
        <f t="shared" si="2"/>
        <v>97116</v>
      </c>
    </row>
    <row r="33970">
      <c r="A33970" s="48" t="s">
        <v>25228</v>
      </c>
      <c r="B33970" s="38">
        <v>82061.0</v>
      </c>
      <c r="C33970" s="38" t="s">
        <v>38190</v>
      </c>
      <c r="D33970" s="38" t="str">
        <f>IFERROR(__xludf.DUMMYFUNCTION("REGEXREPLACE(C33970,""-\d+(.*)|--\d+(.*)"","""")"),"FENEYROLS")</f>
        <v>FENEYROLS</v>
      </c>
      <c r="E33970" s="38" t="s">
        <v>570</v>
      </c>
      <c r="F33970" s="38" t="s">
        <v>94</v>
      </c>
      <c r="G33970" s="49" t="str">
        <f t="shared" si="1"/>
        <v>82140</v>
      </c>
      <c r="H33970" s="49">
        <f t="shared" si="2"/>
        <v>82061</v>
      </c>
    </row>
    <row r="33971">
      <c r="A33971" s="48" t="s">
        <v>5887</v>
      </c>
      <c r="B33971" s="38">
        <v>61400.0</v>
      </c>
      <c r="C33971" s="38" t="s">
        <v>38191</v>
      </c>
      <c r="D33971" s="38" t="str">
        <f>IFERROR(__xludf.DUMMYFUNCTION("REGEXREPLACE(C33971,""-\d+(.*)|--\d+(.*)"","""")"),"SAINT-GERVAIS-DU-PERRON")</f>
        <v>SAINT-GERVAIS-DU-PERRON</v>
      </c>
      <c r="E33971" s="38" t="s">
        <v>141</v>
      </c>
      <c r="F33971" s="38" t="s">
        <v>138</v>
      </c>
      <c r="G33971" s="49" t="str">
        <f t="shared" si="1"/>
        <v>61500</v>
      </c>
      <c r="H33971" s="49">
        <f t="shared" si="2"/>
        <v>61400</v>
      </c>
    </row>
    <row r="33972">
      <c r="A33972" s="48" t="s">
        <v>14600</v>
      </c>
      <c r="B33972" s="38">
        <v>12118.0</v>
      </c>
      <c r="C33972" s="38" t="s">
        <v>38192</v>
      </c>
      <c r="D33972" s="38" t="str">
        <f>IFERROR(__xludf.DUMMYFUNCTION("REGEXREPLACE(C33972,""-\d+(.*)|--\d+(.*)"","""")"),"LACROIX-BARREZ")</f>
        <v>LACROIX-BARREZ</v>
      </c>
      <c r="E33972" s="38" t="s">
        <v>465</v>
      </c>
      <c r="F33972" s="38" t="s">
        <v>94</v>
      </c>
      <c r="G33972" s="49" t="str">
        <f t="shared" si="1"/>
        <v>12600</v>
      </c>
      <c r="H33972" s="49">
        <f t="shared" si="2"/>
        <v>12118</v>
      </c>
    </row>
    <row r="33973">
      <c r="A33973" s="48" t="s">
        <v>38193</v>
      </c>
      <c r="B33973" s="38">
        <v>31526.0</v>
      </c>
      <c r="C33973" s="38" t="s">
        <v>38194</v>
      </c>
      <c r="D33973" s="38" t="str">
        <f>IFERROR(__xludf.DUMMYFUNCTION("REGEXREPLACE(C33973,""-\d+(.*)|--\d+(.*)"","""")"),"LA SALVETAT-SAINT-GILLES")</f>
        <v>LA SALVETAT-SAINT-GILLES</v>
      </c>
      <c r="E33973" s="38" t="s">
        <v>93</v>
      </c>
      <c r="F33973" s="38" t="s">
        <v>94</v>
      </c>
      <c r="G33973" s="49" t="str">
        <f t="shared" si="1"/>
        <v>31880</v>
      </c>
      <c r="H33973" s="49">
        <f t="shared" si="2"/>
        <v>31526</v>
      </c>
    </row>
    <row r="33974">
      <c r="A33974" s="48" t="s">
        <v>15152</v>
      </c>
      <c r="B33974" s="38">
        <v>67329.0</v>
      </c>
      <c r="C33974" s="38" t="s">
        <v>38195</v>
      </c>
      <c r="D33974" s="38" t="str">
        <f>IFERROR(__xludf.DUMMYFUNCTION("REGEXREPLACE(C33974,""-\d+(.*)|--\d+(.*)"","""")"),"NIEDERNAI")</f>
        <v>NIEDERNAI</v>
      </c>
      <c r="E33974" s="38" t="s">
        <v>210</v>
      </c>
      <c r="F33974" s="38" t="s">
        <v>151</v>
      </c>
      <c r="G33974" s="49" t="str">
        <f t="shared" si="1"/>
        <v>67210</v>
      </c>
      <c r="H33974" s="49">
        <f t="shared" si="2"/>
        <v>67329</v>
      </c>
    </row>
    <row r="33975">
      <c r="A33975" s="48" t="s">
        <v>5525</v>
      </c>
      <c r="B33975" s="38">
        <v>10294.0</v>
      </c>
      <c r="C33975" s="38" t="s">
        <v>7451</v>
      </c>
      <c r="D33975" s="38" t="str">
        <f>IFERROR(__xludf.DUMMYFUNCTION("REGEXREPLACE(C33975,""-\d+(.*)|--\d+(.*)"","""")"),"POLIGNY")</f>
        <v>POLIGNY</v>
      </c>
      <c r="E33975" s="38" t="s">
        <v>147</v>
      </c>
      <c r="F33975" s="38" t="s">
        <v>130</v>
      </c>
      <c r="G33975" s="49" t="str">
        <f t="shared" si="1"/>
        <v>10110</v>
      </c>
      <c r="H33975" s="49">
        <f t="shared" si="2"/>
        <v>10294</v>
      </c>
    </row>
    <row r="33976">
      <c r="A33976" s="48" t="s">
        <v>2859</v>
      </c>
      <c r="B33976" s="38">
        <v>22087.0</v>
      </c>
      <c r="C33976" s="38" t="s">
        <v>38196</v>
      </c>
      <c r="D33976" s="38" t="str">
        <f>IFERROR(__xludf.DUMMYFUNCTION("REGEXREPLACE(C33976,""-\d+(.*)|--\d+(.*)"","""")"),"KERGRIST-MOELOU")</f>
        <v>KERGRIST-MOELOU</v>
      </c>
      <c r="E33976" s="38" t="s">
        <v>89</v>
      </c>
      <c r="F33976" s="38" t="s">
        <v>90</v>
      </c>
      <c r="G33976" s="49" t="str">
        <f t="shared" si="1"/>
        <v>22110</v>
      </c>
      <c r="H33976" s="49">
        <f t="shared" si="2"/>
        <v>22087</v>
      </c>
    </row>
    <row r="33977">
      <c r="A33977" s="48" t="s">
        <v>11028</v>
      </c>
      <c r="B33977" s="38">
        <v>72042.0</v>
      </c>
      <c r="C33977" s="38" t="s">
        <v>38197</v>
      </c>
      <c r="D33977" s="38" t="str">
        <f>IFERROR(__xludf.DUMMYFUNCTION("REGEXREPLACE(C33977,""-\d+(.*)|--\d+(.*)"","""")"),"BOULOIRE")</f>
        <v>BOULOIRE</v>
      </c>
      <c r="E33977" s="38" t="s">
        <v>521</v>
      </c>
      <c r="F33977" s="38" t="s">
        <v>180</v>
      </c>
      <c r="G33977" s="49" t="str">
        <f t="shared" si="1"/>
        <v>72440</v>
      </c>
      <c r="H33977" s="49">
        <f t="shared" si="2"/>
        <v>72042</v>
      </c>
    </row>
    <row r="33978">
      <c r="A33978" s="48" t="s">
        <v>3163</v>
      </c>
      <c r="B33978" s="38">
        <v>28121.0</v>
      </c>
      <c r="C33978" s="38" t="s">
        <v>38198</v>
      </c>
      <c r="D33978" s="38" t="str">
        <f>IFERROR(__xludf.DUMMYFUNCTION("REGEXREPLACE(C33978,""-\d+(.*)|--\d+(.*)"","""")"),"DAMBRON")</f>
        <v>DAMBRON</v>
      </c>
      <c r="E33978" s="38" t="s">
        <v>300</v>
      </c>
      <c r="F33978" s="38" t="s">
        <v>123</v>
      </c>
      <c r="G33978" s="49" t="str">
        <f t="shared" si="1"/>
        <v>28140</v>
      </c>
      <c r="H33978" s="49">
        <f t="shared" si="2"/>
        <v>28121</v>
      </c>
    </row>
    <row r="33979">
      <c r="A33979" s="48" t="s">
        <v>3349</v>
      </c>
      <c r="B33979" s="38">
        <v>34211.0</v>
      </c>
      <c r="C33979" s="38" t="s">
        <v>38199</v>
      </c>
      <c r="D33979" s="38" t="str">
        <f>IFERROR(__xludf.DUMMYFUNCTION("REGEXREPLACE(C33979,""-\d+(.*)|--\d+(.*)"","""")"),"LE POUJOL-SUR-ORB")</f>
        <v>LE POUJOL-SUR-ORB</v>
      </c>
      <c r="E33979" s="38" t="s">
        <v>118</v>
      </c>
      <c r="F33979" s="38" t="s">
        <v>119</v>
      </c>
      <c r="G33979" s="49" t="str">
        <f t="shared" si="1"/>
        <v>34600</v>
      </c>
      <c r="H33979" s="49">
        <f t="shared" si="2"/>
        <v>34211</v>
      </c>
    </row>
    <row r="33980">
      <c r="A33980" s="48" t="s">
        <v>1843</v>
      </c>
      <c r="B33980" s="38">
        <v>71212.0</v>
      </c>
      <c r="C33980" s="38" t="s">
        <v>38200</v>
      </c>
      <c r="D33980" s="38" t="str">
        <f>IFERROR(__xludf.DUMMYFUNCTION("REGEXREPLACE(C33980,""-\d+(.*)|--\d+(.*)"","""")"),"GENELARD")</f>
        <v>GENELARD</v>
      </c>
      <c r="E33980" s="38" t="s">
        <v>344</v>
      </c>
      <c r="F33980" s="38" t="s">
        <v>106</v>
      </c>
      <c r="G33980" s="49" t="str">
        <f t="shared" si="1"/>
        <v>71420</v>
      </c>
      <c r="H33980" s="49">
        <f t="shared" si="2"/>
        <v>71212</v>
      </c>
    </row>
    <row r="33981">
      <c r="A33981" s="48" t="s">
        <v>9585</v>
      </c>
      <c r="B33981" s="38">
        <v>25506.0</v>
      </c>
      <c r="C33981" s="38" t="s">
        <v>38201</v>
      </c>
      <c r="D33981" s="38" t="str">
        <f>IFERROR(__xludf.DUMMYFUNCTION("REGEXREPLACE(C33981,""-\d+(.*)|--\d+(.*)"","""")"),"ROUGEMONTOT")</f>
        <v>ROUGEMONTOT</v>
      </c>
      <c r="E33981" s="38" t="s">
        <v>213</v>
      </c>
      <c r="F33981" s="38" t="s">
        <v>214</v>
      </c>
      <c r="G33981" s="49" t="str">
        <f t="shared" si="1"/>
        <v>25640</v>
      </c>
      <c r="H33981" s="49">
        <f t="shared" si="2"/>
        <v>25506</v>
      </c>
    </row>
    <row r="33982">
      <c r="A33982" s="48" t="s">
        <v>38202</v>
      </c>
      <c r="B33982" s="38">
        <v>97217.0</v>
      </c>
      <c r="C33982" s="38" t="s">
        <v>38203</v>
      </c>
      <c r="D33982" s="38" t="str">
        <f>IFERROR(__xludf.DUMMYFUNCTION("REGEXREPLACE(C33982,""-\d+(.*)|--\d+(.*)"","""")"),"LE MARIN")</f>
        <v>LE MARIN</v>
      </c>
      <c r="E33982" s="38" t="s">
        <v>2282</v>
      </c>
      <c r="F33982" s="38" t="s">
        <v>2282</v>
      </c>
      <c r="G33982" s="49" t="str">
        <f t="shared" si="1"/>
        <v>97290</v>
      </c>
      <c r="H33982" s="49">
        <f t="shared" si="2"/>
        <v>97217</v>
      </c>
    </row>
    <row r="33983">
      <c r="A33983" s="48" t="s">
        <v>14628</v>
      </c>
      <c r="B33983" s="38">
        <v>76433.0</v>
      </c>
      <c r="C33983" s="38" t="s">
        <v>38204</v>
      </c>
      <c r="D33983" s="38" t="str">
        <f>IFERROR(__xludf.DUMMYFUNCTION("REGEXREPLACE(C33983,""-\d+(.*)|--\d+(.*)"","""")"),"MESNIL-PANNEVILLE")</f>
        <v>MESNIL-PANNEVILLE</v>
      </c>
      <c r="E33983" s="38" t="s">
        <v>133</v>
      </c>
      <c r="F33983" s="38" t="s">
        <v>134</v>
      </c>
      <c r="G33983" s="49" t="str">
        <f t="shared" si="1"/>
        <v>76570</v>
      </c>
      <c r="H33983" s="49">
        <f t="shared" si="2"/>
        <v>76433</v>
      </c>
    </row>
    <row r="33984">
      <c r="A33984" s="48" t="s">
        <v>1509</v>
      </c>
      <c r="B33984" s="38">
        <v>12092.0</v>
      </c>
      <c r="C33984" s="38" t="s">
        <v>38205</v>
      </c>
      <c r="D33984" s="38" t="str">
        <f>IFERROR(__xludf.DUMMYFUNCTION("REGEXREPLACE(C33984,""-\d+(.*)|--\d+(.*)"","""")"),"DURENQUE")</f>
        <v>DURENQUE</v>
      </c>
      <c r="E33984" s="38" t="s">
        <v>465</v>
      </c>
      <c r="F33984" s="38" t="s">
        <v>94</v>
      </c>
      <c r="G33984" s="49" t="str">
        <f t="shared" si="1"/>
        <v>12170</v>
      </c>
      <c r="H33984" s="49">
        <f t="shared" si="2"/>
        <v>12092</v>
      </c>
    </row>
    <row r="33985">
      <c r="A33985" s="48" t="s">
        <v>38206</v>
      </c>
      <c r="B33985" s="38">
        <v>50256.0</v>
      </c>
      <c r="C33985" s="38" t="s">
        <v>38207</v>
      </c>
      <c r="D33985" s="38" t="str">
        <f>IFERROR(__xludf.DUMMYFUNCTION("REGEXREPLACE(C33985,""-\d+(.*)|--\d+(.*)"","""")"),"ISIGNY-LE-BUAT")</f>
        <v>ISIGNY-LE-BUAT</v>
      </c>
      <c r="E33985" s="38" t="s">
        <v>157</v>
      </c>
      <c r="F33985" s="38" t="s">
        <v>138</v>
      </c>
      <c r="G33985" s="49" t="str">
        <f t="shared" si="1"/>
        <v>50540</v>
      </c>
      <c r="H33985" s="49">
        <f t="shared" si="2"/>
        <v>50256</v>
      </c>
    </row>
    <row r="33986">
      <c r="A33986" s="48" t="s">
        <v>6210</v>
      </c>
      <c r="B33986" s="38">
        <v>54069.0</v>
      </c>
      <c r="C33986" s="38" t="s">
        <v>21129</v>
      </c>
      <c r="D33986" s="38" t="str">
        <f>IFERROR(__xludf.DUMMYFUNCTION("REGEXREPLACE(C33986,""-\d+(.*)|--\d+(.*)"","""")"),"BEUVILLERS")</f>
        <v>BEUVILLERS</v>
      </c>
      <c r="E33986" s="38" t="s">
        <v>548</v>
      </c>
      <c r="F33986" s="38" t="s">
        <v>195</v>
      </c>
      <c r="G33986" s="49" t="str">
        <f t="shared" si="1"/>
        <v>54560</v>
      </c>
      <c r="H33986" s="49">
        <f t="shared" si="2"/>
        <v>54069</v>
      </c>
    </row>
    <row r="33987">
      <c r="A33987" s="48" t="s">
        <v>38208</v>
      </c>
      <c r="B33987" s="38">
        <v>95313.0</v>
      </c>
      <c r="C33987" s="38" t="s">
        <v>38209</v>
      </c>
      <c r="D33987" s="38" t="str">
        <f>IFERROR(__xludf.DUMMYFUNCTION("REGEXREPLACE(C33987,""-\d+(.*)|--\d+(.*)"","""")"),"L'ISLE-ADAM")</f>
        <v>L'ISLE-ADAM</v>
      </c>
      <c r="E33987" s="38" t="s">
        <v>541</v>
      </c>
      <c r="F33987" s="38" t="s">
        <v>245</v>
      </c>
      <c r="G33987" s="49" t="str">
        <f t="shared" si="1"/>
        <v>95290</v>
      </c>
      <c r="H33987" s="49">
        <f t="shared" si="2"/>
        <v>95313</v>
      </c>
    </row>
    <row r="33988">
      <c r="A33988" s="48" t="s">
        <v>10307</v>
      </c>
      <c r="B33988" s="38">
        <v>35231.0</v>
      </c>
      <c r="C33988" s="38" t="s">
        <v>38210</v>
      </c>
      <c r="D33988" s="38" t="str">
        <f>IFERROR(__xludf.DUMMYFUNCTION("REGEXREPLACE(C33988,""-\d+(.*)|--\d+(.*)"","""")"),"POLIGNE")</f>
        <v>POLIGNE</v>
      </c>
      <c r="E33988" s="38" t="s">
        <v>347</v>
      </c>
      <c r="F33988" s="38" t="s">
        <v>90</v>
      </c>
      <c r="G33988" s="49" t="str">
        <f t="shared" si="1"/>
        <v>35320</v>
      </c>
      <c r="H33988" s="49">
        <f t="shared" si="2"/>
        <v>35231</v>
      </c>
    </row>
    <row r="33989">
      <c r="A33989" s="48" t="s">
        <v>17203</v>
      </c>
      <c r="B33989" s="38" t="s">
        <v>38211</v>
      </c>
      <c r="C33989" s="38" t="s">
        <v>38212</v>
      </c>
      <c r="D33989" s="38" t="str">
        <f>IFERROR(__xludf.DUMMYFUNCTION("REGEXREPLACE(C33989,""-\d+(.*)|--\d+(.*)"","""")"),"CATERI")</f>
        <v>CATERI</v>
      </c>
      <c r="E33989" s="38" t="s">
        <v>743</v>
      </c>
      <c r="F33989" s="38" t="s">
        <v>607</v>
      </c>
      <c r="G33989" s="49" t="str">
        <f t="shared" si="1"/>
        <v>20225</v>
      </c>
      <c r="H33989" s="49" t="str">
        <f t="shared" si="2"/>
        <v>2B084</v>
      </c>
    </row>
    <row r="33990">
      <c r="A33990" s="48" t="s">
        <v>5398</v>
      </c>
      <c r="B33990" s="38">
        <v>64174.0</v>
      </c>
      <c r="C33990" s="38" t="s">
        <v>38213</v>
      </c>
      <c r="D33990" s="38" t="str">
        <f>IFERROR(__xludf.DUMMYFUNCTION("REGEXREPLACE(C33990,""-\d+(.*)|--\d+(.*)"","""")"),"CASTERA-LOUBIX")</f>
        <v>CASTERA-LOUBIX</v>
      </c>
      <c r="E33990" s="38" t="s">
        <v>268</v>
      </c>
      <c r="F33990" s="38" t="s">
        <v>252</v>
      </c>
      <c r="G33990" s="49" t="str">
        <f t="shared" si="1"/>
        <v>64460</v>
      </c>
      <c r="H33990" s="49">
        <f t="shared" si="2"/>
        <v>64174</v>
      </c>
    </row>
    <row r="33991">
      <c r="A33991" s="48" t="s">
        <v>1060</v>
      </c>
      <c r="B33991" s="38">
        <v>57230.0</v>
      </c>
      <c r="C33991" s="38" t="s">
        <v>38214</v>
      </c>
      <c r="D33991" s="38" t="str">
        <f>IFERROR(__xludf.DUMMYFUNCTION("REGEXREPLACE(C33991,""-\d+(.*)|--\d+(.*)"","""")"),"FOULIGNY")</f>
        <v>FOULIGNY</v>
      </c>
      <c r="E33991" s="38" t="s">
        <v>303</v>
      </c>
      <c r="F33991" s="38" t="s">
        <v>195</v>
      </c>
      <c r="G33991" s="49" t="str">
        <f t="shared" si="1"/>
        <v>57220</v>
      </c>
      <c r="H33991" s="49">
        <f t="shared" si="2"/>
        <v>57230</v>
      </c>
    </row>
    <row r="33992">
      <c r="A33992" s="48" t="s">
        <v>3154</v>
      </c>
      <c r="B33992" s="38">
        <v>15211.0</v>
      </c>
      <c r="C33992" s="38" t="s">
        <v>38215</v>
      </c>
      <c r="D33992" s="38" t="str">
        <f>IFERROR(__xludf.DUMMYFUNCTION("REGEXREPLACE(C33992,""-\d+(.*)|--\d+(.*)"","""")"),"SAINT-SANTIN-CANTALES")</f>
        <v>SAINT-SANTIN-CANTALES</v>
      </c>
      <c r="E33992" s="38" t="s">
        <v>632</v>
      </c>
      <c r="F33992" s="38" t="s">
        <v>161</v>
      </c>
      <c r="G33992" s="49" t="str">
        <f t="shared" si="1"/>
        <v>15150</v>
      </c>
      <c r="H33992" s="49">
        <f t="shared" si="2"/>
        <v>15211</v>
      </c>
    </row>
    <row r="33993">
      <c r="A33993" s="48" t="s">
        <v>6805</v>
      </c>
      <c r="B33993" s="38">
        <v>79302.0</v>
      </c>
      <c r="C33993" s="38" t="s">
        <v>38216</v>
      </c>
      <c r="D33993" s="38" t="str">
        <f>IFERROR(__xludf.DUMMYFUNCTION("REGEXREPLACE(C33993,""-\d+(.*)|--\d+(.*)"","""")"),"SAIVRES")</f>
        <v>SAIVRES</v>
      </c>
      <c r="E33993" s="38" t="s">
        <v>337</v>
      </c>
      <c r="F33993" s="38" t="s">
        <v>338</v>
      </c>
      <c r="G33993" s="49" t="str">
        <f t="shared" si="1"/>
        <v>79400</v>
      </c>
      <c r="H33993" s="49">
        <f t="shared" si="2"/>
        <v>79302</v>
      </c>
    </row>
    <row r="33994">
      <c r="A33994" s="48" t="s">
        <v>3842</v>
      </c>
      <c r="B33994" s="38">
        <v>88326.0</v>
      </c>
      <c r="C33994" s="38" t="s">
        <v>38217</v>
      </c>
      <c r="D33994" s="38" t="str">
        <f>IFERROR(__xludf.DUMMYFUNCTION("REGEXREPLACE(C33994,""-\d+(.*)|--\d+(.*)"","""")"),"NEUVILLERS-SUR-FAVE")</f>
        <v>NEUVILLERS-SUR-FAVE</v>
      </c>
      <c r="E33994" s="38" t="s">
        <v>194</v>
      </c>
      <c r="F33994" s="38" t="s">
        <v>195</v>
      </c>
      <c r="G33994" s="49" t="str">
        <f t="shared" si="1"/>
        <v>88100</v>
      </c>
      <c r="H33994" s="49">
        <f t="shared" si="2"/>
        <v>88326</v>
      </c>
    </row>
    <row r="33995">
      <c r="A33995" s="48" t="s">
        <v>11319</v>
      </c>
      <c r="B33995" s="38">
        <v>51120.0</v>
      </c>
      <c r="C33995" s="38" t="s">
        <v>38218</v>
      </c>
      <c r="D33995" s="38" t="str">
        <f>IFERROR(__xludf.DUMMYFUNCTION("REGEXREPLACE(C33995,""-\d+(.*)|--\d+(.*)"","""")"),"CHAMPLAT-ET-BOUJACOURT")</f>
        <v>CHAMPLAT-ET-BOUJACOURT</v>
      </c>
      <c r="E33995" s="38" t="s">
        <v>129</v>
      </c>
      <c r="F33995" s="38" t="s">
        <v>130</v>
      </c>
      <c r="G33995" s="49" t="str">
        <f t="shared" si="1"/>
        <v>51480</v>
      </c>
      <c r="H33995" s="49">
        <f t="shared" si="2"/>
        <v>51120</v>
      </c>
    </row>
    <row r="33996">
      <c r="A33996" s="48" t="s">
        <v>2310</v>
      </c>
      <c r="B33996" s="38">
        <v>60491.0</v>
      </c>
      <c r="C33996" s="38" t="s">
        <v>38219</v>
      </c>
      <c r="D33996" s="38" t="str">
        <f>IFERROR(__xludf.DUMMYFUNCTION("REGEXREPLACE(C33996,""-\d+(.*)|--\d+(.*)"","""")"),"PIERREFONDS")</f>
        <v>PIERREFONDS</v>
      </c>
      <c r="E33996" s="38" t="s">
        <v>112</v>
      </c>
      <c r="F33996" s="38" t="s">
        <v>113</v>
      </c>
      <c r="G33996" s="49" t="str">
        <f t="shared" si="1"/>
        <v>60350</v>
      </c>
      <c r="H33996" s="49">
        <f t="shared" si="2"/>
        <v>60491</v>
      </c>
    </row>
    <row r="33997">
      <c r="A33997" s="48" t="s">
        <v>5230</v>
      </c>
      <c r="B33997" s="38">
        <v>25552.0</v>
      </c>
      <c r="C33997" s="38" t="s">
        <v>38220</v>
      </c>
      <c r="D33997" s="38" t="str">
        <f>IFERROR(__xludf.DUMMYFUNCTION("REGEXREPLACE(C33997,""-\d+(.*)|--\d+(.*)"","""")"),"SOURANS")</f>
        <v>SOURANS</v>
      </c>
      <c r="E33997" s="38" t="s">
        <v>213</v>
      </c>
      <c r="F33997" s="38" t="s">
        <v>214</v>
      </c>
      <c r="G33997" s="49" t="str">
        <f t="shared" si="1"/>
        <v>25250</v>
      </c>
      <c r="H33997" s="49">
        <f t="shared" si="2"/>
        <v>25552</v>
      </c>
    </row>
    <row r="33998">
      <c r="A33998" s="48" t="s">
        <v>7641</v>
      </c>
      <c r="B33998" s="38">
        <v>3104.0</v>
      </c>
      <c r="C33998" s="38" t="s">
        <v>38221</v>
      </c>
      <c r="D33998" s="38" t="str">
        <f>IFERROR(__xludf.DUMMYFUNCTION("REGEXREPLACE(C33998,""-\d+(.*)|--\d+(.*)"","""")"),"DOYET")</f>
        <v>DOYET</v>
      </c>
      <c r="E33998" s="38" t="s">
        <v>160</v>
      </c>
      <c r="F33998" s="38" t="s">
        <v>161</v>
      </c>
      <c r="G33998" s="49" t="str">
        <f t="shared" si="1"/>
        <v>03170</v>
      </c>
      <c r="H33998" s="49" t="str">
        <f t="shared" si="2"/>
        <v>03104</v>
      </c>
    </row>
    <row r="33999">
      <c r="A33999" s="48" t="s">
        <v>8116</v>
      </c>
      <c r="B33999" s="38">
        <v>64237.0</v>
      </c>
      <c r="C33999" s="38" t="s">
        <v>38222</v>
      </c>
      <c r="D33999" s="38" t="str">
        <f>IFERROR(__xludf.DUMMYFUNCTION("REGEXREPLACE(C33999,""-\d+(.*)|--\d+(.*)"","""")"),"GELOS")</f>
        <v>GELOS</v>
      </c>
      <c r="E33999" s="38" t="s">
        <v>268</v>
      </c>
      <c r="F33999" s="38" t="s">
        <v>252</v>
      </c>
      <c r="G33999" s="49" t="str">
        <f t="shared" si="1"/>
        <v>64110</v>
      </c>
      <c r="H33999" s="49">
        <f t="shared" si="2"/>
        <v>64237</v>
      </c>
    </row>
    <row r="34000">
      <c r="A34000" s="48" t="s">
        <v>10668</v>
      </c>
      <c r="B34000" s="38">
        <v>61452.0</v>
      </c>
      <c r="C34000" s="38" t="s">
        <v>38223</v>
      </c>
      <c r="D34000" s="38" t="str">
        <f>IFERROR(__xludf.DUMMYFUNCTION("REGEXREPLACE(C34000,""-\d+(.*)|--\d+(.*)"","""")"),"SAINT-ROCH-SUR-EGRENNE")</f>
        <v>SAINT-ROCH-SUR-EGRENNE</v>
      </c>
      <c r="E34000" s="38" t="s">
        <v>141</v>
      </c>
      <c r="F34000" s="38" t="s">
        <v>138</v>
      </c>
      <c r="G34000" s="49" t="str">
        <f t="shared" si="1"/>
        <v>61350</v>
      </c>
      <c r="H34000" s="49">
        <f t="shared" si="2"/>
        <v>61452</v>
      </c>
    </row>
    <row r="34001">
      <c r="A34001" s="48" t="s">
        <v>3087</v>
      </c>
      <c r="B34001" s="38">
        <v>64343.0</v>
      </c>
      <c r="C34001" s="38" t="s">
        <v>38224</v>
      </c>
      <c r="D34001" s="38" t="str">
        <f>IFERROR(__xludf.DUMMYFUNCTION("REGEXREPLACE(C34001,""-\d+(.*)|--\d+(.*)"","""")"),"LIMENDOUS")</f>
        <v>LIMENDOUS</v>
      </c>
      <c r="E34001" s="38" t="s">
        <v>268</v>
      </c>
      <c r="F34001" s="38" t="s">
        <v>252</v>
      </c>
      <c r="G34001" s="49" t="str">
        <f t="shared" si="1"/>
        <v>64420</v>
      </c>
      <c r="H34001" s="49">
        <f t="shared" si="2"/>
        <v>64343</v>
      </c>
    </row>
    <row r="34002">
      <c r="A34002" s="48" t="s">
        <v>6965</v>
      </c>
      <c r="B34002" s="38">
        <v>2111.0</v>
      </c>
      <c r="C34002" s="38" t="s">
        <v>38225</v>
      </c>
      <c r="D34002" s="38" t="str">
        <f>IFERROR(__xludf.DUMMYFUNCTION("REGEXREPLACE(C34002,""-\d+(.*)|--\d+(.*)"","""")"),"BRANCOURT-EN-LAONNOIS")</f>
        <v>BRANCOURT-EN-LAONNOIS</v>
      </c>
      <c r="E34002" s="38" t="s">
        <v>191</v>
      </c>
      <c r="F34002" s="38" t="s">
        <v>113</v>
      </c>
      <c r="G34002" s="49" t="str">
        <f t="shared" si="1"/>
        <v>02320</v>
      </c>
      <c r="H34002" s="49" t="str">
        <f t="shared" si="2"/>
        <v>02111</v>
      </c>
    </row>
    <row r="34003">
      <c r="A34003" s="48" t="s">
        <v>24546</v>
      </c>
      <c r="B34003" s="38">
        <v>39510.0</v>
      </c>
      <c r="C34003" s="38" t="s">
        <v>38226</v>
      </c>
      <c r="D34003" s="38" t="str">
        <f>IFERROR(__xludf.DUMMYFUNCTION("REGEXREPLACE(C34003,""-\d+(.*)|--\d+(.*)"","""")"),"SEPTMONCEL")</f>
        <v>SEPTMONCEL</v>
      </c>
      <c r="E34003" s="38" t="s">
        <v>400</v>
      </c>
      <c r="F34003" s="38" t="s">
        <v>214</v>
      </c>
      <c r="G34003" s="49" t="str">
        <f t="shared" si="1"/>
        <v>39310</v>
      </c>
      <c r="H34003" s="49">
        <f t="shared" si="2"/>
        <v>39510</v>
      </c>
    </row>
    <row r="34004">
      <c r="A34004" s="48" t="s">
        <v>10760</v>
      </c>
      <c r="B34004" s="38">
        <v>25274.0</v>
      </c>
      <c r="C34004" s="38" t="s">
        <v>38227</v>
      </c>
      <c r="D34004" s="38" t="str">
        <f>IFERROR(__xludf.DUMMYFUNCTION("REGEXREPLACE(C34004,""-\d+(.*)|--\d+(.*)"","""")"),"GLAY")</f>
        <v>GLAY</v>
      </c>
      <c r="E34004" s="38" t="s">
        <v>213</v>
      </c>
      <c r="F34004" s="38" t="s">
        <v>214</v>
      </c>
      <c r="G34004" s="49" t="str">
        <f t="shared" si="1"/>
        <v>25310</v>
      </c>
      <c r="H34004" s="49">
        <f t="shared" si="2"/>
        <v>25274</v>
      </c>
    </row>
    <row r="34005">
      <c r="A34005" s="48" t="s">
        <v>4388</v>
      </c>
      <c r="B34005" s="38">
        <v>31286.0</v>
      </c>
      <c r="C34005" s="38" t="s">
        <v>38228</v>
      </c>
      <c r="D34005" s="38" t="str">
        <f>IFERROR(__xludf.DUMMYFUNCTION("REGEXREPLACE(C34005,""-\d+(.*)|--\d+(.*)"","""")"),"LAVELANET-DE-COMMINGES")</f>
        <v>LAVELANET-DE-COMMINGES</v>
      </c>
      <c r="E34005" s="38" t="s">
        <v>93</v>
      </c>
      <c r="F34005" s="38" t="s">
        <v>94</v>
      </c>
      <c r="G34005" s="49" t="str">
        <f t="shared" si="1"/>
        <v>31220</v>
      </c>
      <c r="H34005" s="49">
        <f t="shared" si="2"/>
        <v>31286</v>
      </c>
    </row>
    <row r="34006">
      <c r="A34006" s="48" t="s">
        <v>4481</v>
      </c>
      <c r="B34006" s="38">
        <v>66025.0</v>
      </c>
      <c r="C34006" s="38" t="s">
        <v>38229</v>
      </c>
      <c r="D34006" s="38" t="str">
        <f>IFERROR(__xludf.DUMMYFUNCTION("REGEXREPLACE(C34006,""-\d+(.*)|--\d+(.*)"","""")"),"BOURG-MADAME")</f>
        <v>BOURG-MADAME</v>
      </c>
      <c r="E34006" s="38" t="s">
        <v>248</v>
      </c>
      <c r="F34006" s="38" t="s">
        <v>119</v>
      </c>
      <c r="G34006" s="49" t="str">
        <f t="shared" si="1"/>
        <v>66760</v>
      </c>
      <c r="H34006" s="49">
        <f t="shared" si="2"/>
        <v>66025</v>
      </c>
    </row>
    <row r="34007">
      <c r="A34007" s="48" t="s">
        <v>18553</v>
      </c>
      <c r="B34007" s="38">
        <v>57001.0</v>
      </c>
      <c r="C34007" s="38" t="s">
        <v>16120</v>
      </c>
      <c r="D34007" s="38" t="str">
        <f>IFERROR(__xludf.DUMMYFUNCTION("REGEXREPLACE(C34007,""-\d+(.*)|--\d+(.*)"","""")"),"ABONCOURT")</f>
        <v>ABONCOURT</v>
      </c>
      <c r="E34007" s="38" t="s">
        <v>303</v>
      </c>
      <c r="F34007" s="38" t="s">
        <v>195</v>
      </c>
      <c r="G34007" s="49" t="str">
        <f t="shared" si="1"/>
        <v>57920</v>
      </c>
      <c r="H34007" s="49">
        <f t="shared" si="2"/>
        <v>57001</v>
      </c>
    </row>
    <row r="34008">
      <c r="A34008" s="48" t="s">
        <v>6928</v>
      </c>
      <c r="B34008" s="38">
        <v>25262.0</v>
      </c>
      <c r="C34008" s="38" t="s">
        <v>38230</v>
      </c>
      <c r="D34008" s="38" t="str">
        <f>IFERROR(__xludf.DUMMYFUNCTION("REGEXREPLACE(C34008,""-\d+(.*)|--\d+(.*)"","""")"),"FUANS")</f>
        <v>FUANS</v>
      </c>
      <c r="E34008" s="38" t="s">
        <v>213</v>
      </c>
      <c r="F34008" s="38" t="s">
        <v>214</v>
      </c>
      <c r="G34008" s="49" t="str">
        <f t="shared" si="1"/>
        <v>25390</v>
      </c>
      <c r="H34008" s="49">
        <f t="shared" si="2"/>
        <v>25262</v>
      </c>
    </row>
    <row r="34009">
      <c r="A34009" s="48" t="s">
        <v>9844</v>
      </c>
      <c r="B34009" s="38">
        <v>17263.0</v>
      </c>
      <c r="C34009" s="38" t="s">
        <v>38231</v>
      </c>
      <c r="D34009" s="38" t="str">
        <f>IFERROR(__xludf.DUMMYFUNCTION("REGEXREPLACE(C34009,""-\d+(.*)|--\d+(.*)"","""")"),"NIEUL-LE-VIROUIL")</f>
        <v>NIEUL-LE-VIROUIL</v>
      </c>
      <c r="E34009" s="38" t="s">
        <v>488</v>
      </c>
      <c r="F34009" s="38" t="s">
        <v>338</v>
      </c>
      <c r="G34009" s="49" t="str">
        <f t="shared" si="1"/>
        <v>17150</v>
      </c>
      <c r="H34009" s="49">
        <f t="shared" si="2"/>
        <v>17263</v>
      </c>
    </row>
    <row r="34010">
      <c r="A34010" s="48" t="s">
        <v>167</v>
      </c>
      <c r="B34010" s="38">
        <v>34338.0</v>
      </c>
      <c r="C34010" s="38" t="s">
        <v>38232</v>
      </c>
      <c r="D34010" s="38" t="str">
        <f>IFERROR(__xludf.DUMMYFUNCTION("REGEXREPLACE(C34010,""-\d+(.*)|--\d+(.*)"","""")"),"VILLENEUVETTE")</f>
        <v>VILLENEUVETTE</v>
      </c>
      <c r="E34010" s="38" t="s">
        <v>118</v>
      </c>
      <c r="F34010" s="38" t="s">
        <v>119</v>
      </c>
      <c r="G34010" s="49" t="str">
        <f t="shared" si="1"/>
        <v>34800</v>
      </c>
      <c r="H34010" s="49">
        <f t="shared" si="2"/>
        <v>34338</v>
      </c>
    </row>
    <row r="34011">
      <c r="A34011" s="48" t="s">
        <v>1654</v>
      </c>
      <c r="B34011" s="38">
        <v>72031.0</v>
      </c>
      <c r="C34011" s="38" t="s">
        <v>38233</v>
      </c>
      <c r="D34011" s="38" t="str">
        <f>IFERROR(__xludf.DUMMYFUNCTION("REGEXREPLACE(C34011,""-\d+(.*)|--\d+(.*)"","""")"),"BEILLE")</f>
        <v>BEILLE</v>
      </c>
      <c r="E34011" s="38" t="s">
        <v>521</v>
      </c>
      <c r="F34011" s="38" t="s">
        <v>180</v>
      </c>
      <c r="G34011" s="49" t="str">
        <f t="shared" si="1"/>
        <v>72160</v>
      </c>
      <c r="H34011" s="49">
        <f t="shared" si="2"/>
        <v>72031</v>
      </c>
    </row>
    <row r="34012">
      <c r="A34012" s="48" t="s">
        <v>5791</v>
      </c>
      <c r="B34012" s="38">
        <v>85099.0</v>
      </c>
      <c r="C34012" s="38" t="s">
        <v>38234</v>
      </c>
      <c r="D34012" s="38" t="str">
        <f>IFERROR(__xludf.DUMMYFUNCTION("REGEXREPLACE(C34012,""-\d+(.*)|--\d+(.*)"","""")"),"LE GIROUARD")</f>
        <v>LE GIROUARD</v>
      </c>
      <c r="E34012" s="38" t="s">
        <v>179</v>
      </c>
      <c r="F34012" s="38" t="s">
        <v>180</v>
      </c>
      <c r="G34012" s="49" t="str">
        <f t="shared" si="1"/>
        <v>85150</v>
      </c>
      <c r="H34012" s="49">
        <f t="shared" si="2"/>
        <v>85099</v>
      </c>
    </row>
    <row r="34013">
      <c r="A34013" s="48" t="s">
        <v>26505</v>
      </c>
      <c r="B34013" s="38">
        <v>8284.0</v>
      </c>
      <c r="C34013" s="38" t="s">
        <v>38235</v>
      </c>
      <c r="D34013" s="38" t="str">
        <f>IFERROR(__xludf.DUMMYFUNCTION("REGEXREPLACE(C34013,""-\d+(.*)|--\d+(.*)"","""")"),"LES MAZURES")</f>
        <v>LES MAZURES</v>
      </c>
      <c r="E34013" s="38" t="s">
        <v>327</v>
      </c>
      <c r="F34013" s="38" t="s">
        <v>130</v>
      </c>
      <c r="G34013" s="49" t="str">
        <f t="shared" si="1"/>
        <v>08500</v>
      </c>
      <c r="H34013" s="49" t="str">
        <f t="shared" si="2"/>
        <v>08284</v>
      </c>
    </row>
    <row r="34014">
      <c r="A34014" s="48" t="s">
        <v>12127</v>
      </c>
      <c r="B34014" s="38">
        <v>7327.0</v>
      </c>
      <c r="C34014" s="38" t="s">
        <v>10915</v>
      </c>
      <c r="D34014" s="38" t="str">
        <f>IFERROR(__xludf.DUMMYFUNCTION("REGEXREPLACE(C34014,""-\d+(.*)|--\d+(.*)"","""")"),"UZER")</f>
        <v>UZER</v>
      </c>
      <c r="E34014" s="38" t="s">
        <v>144</v>
      </c>
      <c r="F34014" s="38" t="s">
        <v>102</v>
      </c>
      <c r="G34014" s="49" t="str">
        <f t="shared" si="1"/>
        <v>07110</v>
      </c>
      <c r="H34014" s="49" t="str">
        <f t="shared" si="2"/>
        <v>07327</v>
      </c>
    </row>
    <row r="34015">
      <c r="A34015" s="48" t="s">
        <v>6515</v>
      </c>
      <c r="B34015" s="38">
        <v>62044.0</v>
      </c>
      <c r="C34015" s="38" t="s">
        <v>38236</v>
      </c>
      <c r="D34015" s="38" t="str">
        <f>IFERROR(__xludf.DUMMYFUNCTION("REGEXREPLACE(C34015,""-\d+(.*)|--\d+(.*)"","""")"),"ATTIN")</f>
        <v>ATTIN</v>
      </c>
      <c r="E34015" s="38" t="s">
        <v>109</v>
      </c>
      <c r="F34015" s="38" t="s">
        <v>86</v>
      </c>
      <c r="G34015" s="49" t="str">
        <f t="shared" si="1"/>
        <v>62170</v>
      </c>
      <c r="H34015" s="49">
        <f t="shared" si="2"/>
        <v>62044</v>
      </c>
    </row>
    <row r="34016">
      <c r="A34016" s="48" t="s">
        <v>15022</v>
      </c>
      <c r="B34016" s="38">
        <v>8354.0</v>
      </c>
      <c r="C34016" s="38" t="s">
        <v>38237</v>
      </c>
      <c r="D34016" s="38" t="str">
        <f>IFERROR(__xludf.DUMMYFUNCTION("REGEXREPLACE(C34016,""-\d+(.*)|--\d+(.*)"","""")"),"RAUCOURT-ET-FLABA")</f>
        <v>RAUCOURT-ET-FLABA</v>
      </c>
      <c r="E34016" s="38" t="s">
        <v>327</v>
      </c>
      <c r="F34016" s="38" t="s">
        <v>130</v>
      </c>
      <c r="G34016" s="49" t="str">
        <f t="shared" si="1"/>
        <v>08450</v>
      </c>
      <c r="H34016" s="49" t="str">
        <f t="shared" si="2"/>
        <v>08354</v>
      </c>
    </row>
    <row r="34017">
      <c r="A34017" s="48" t="s">
        <v>19664</v>
      </c>
      <c r="B34017" s="38">
        <v>57747.0</v>
      </c>
      <c r="C34017" s="38" t="s">
        <v>38238</v>
      </c>
      <c r="D34017" s="38" t="str">
        <f>IFERROR(__xludf.DUMMYFUNCTION("REGEXREPLACE(C34017,""-\d+(.*)|--\d+(.*)"","""")"),"WINTERSBOURG")</f>
        <v>WINTERSBOURG</v>
      </c>
      <c r="E34017" s="38" t="s">
        <v>303</v>
      </c>
      <c r="F34017" s="38" t="s">
        <v>195</v>
      </c>
      <c r="G34017" s="49" t="str">
        <f t="shared" si="1"/>
        <v>57635</v>
      </c>
      <c r="H34017" s="49">
        <f t="shared" si="2"/>
        <v>57747</v>
      </c>
    </row>
    <row r="34018">
      <c r="A34018" s="48" t="s">
        <v>38239</v>
      </c>
      <c r="B34018" s="38">
        <v>95574.0</v>
      </c>
      <c r="C34018" s="38" t="s">
        <v>16886</v>
      </c>
      <c r="D34018" s="38" t="str">
        <f>IFERROR(__xludf.DUMMYFUNCTION("REGEXREPLACE(C34018,""-\d+(.*)|--\d+(.*)"","""")"),"SAINT-PRIX")</f>
        <v>SAINT-PRIX</v>
      </c>
      <c r="E34018" s="38" t="s">
        <v>541</v>
      </c>
      <c r="F34018" s="38" t="s">
        <v>245</v>
      </c>
      <c r="G34018" s="49" t="str">
        <f t="shared" si="1"/>
        <v>95390</v>
      </c>
      <c r="H34018" s="49">
        <f t="shared" si="2"/>
        <v>95574</v>
      </c>
    </row>
    <row r="34019">
      <c r="A34019" s="48" t="s">
        <v>8221</v>
      </c>
      <c r="B34019" s="38">
        <v>32219.0</v>
      </c>
      <c r="C34019" s="38" t="s">
        <v>38240</v>
      </c>
      <c r="D34019" s="38" t="str">
        <f>IFERROR(__xludf.DUMMYFUNCTION("REGEXREPLACE(C34019,""-\d+(.*)|--\d+(.*)"","""")"),"LUPIAC")</f>
        <v>LUPIAC</v>
      </c>
      <c r="E34019" s="38" t="s">
        <v>440</v>
      </c>
      <c r="F34019" s="38" t="s">
        <v>94</v>
      </c>
      <c r="G34019" s="49" t="str">
        <f t="shared" si="1"/>
        <v>32290</v>
      </c>
      <c r="H34019" s="49">
        <f t="shared" si="2"/>
        <v>32219</v>
      </c>
    </row>
    <row r="34020">
      <c r="A34020" s="48" t="s">
        <v>38241</v>
      </c>
      <c r="B34020" s="38">
        <v>78367.0</v>
      </c>
      <c r="C34020" s="38" t="s">
        <v>38242</v>
      </c>
      <c r="D34020" s="38" t="str">
        <f>IFERROR(__xludf.DUMMYFUNCTION("REGEXREPLACE(C34020,""-\d+(.*)|--\d+(.*)"","""")"),"MAREIL-MARLY")</f>
        <v>MAREIL-MARLY</v>
      </c>
      <c r="E34020" s="38" t="s">
        <v>362</v>
      </c>
      <c r="F34020" s="38" t="s">
        <v>245</v>
      </c>
      <c r="G34020" s="49" t="str">
        <f t="shared" si="1"/>
        <v>78750</v>
      </c>
      <c r="H34020" s="49">
        <f t="shared" si="2"/>
        <v>78367</v>
      </c>
    </row>
    <row r="34021">
      <c r="A34021" s="48" t="s">
        <v>29406</v>
      </c>
      <c r="B34021" s="38">
        <v>38446.0</v>
      </c>
      <c r="C34021" s="38" t="s">
        <v>18741</v>
      </c>
      <c r="D34021" s="38" t="str">
        <f>IFERROR(__xludf.DUMMYFUNCTION("REGEXREPLACE(C34021,""-\d+(.*)|--\d+(.*)"","""")"),"SAINT-PIERRE-D'ENTREMONT")</f>
        <v>SAINT-PIERRE-D'ENTREMONT</v>
      </c>
      <c r="E34021" s="38" t="s">
        <v>101</v>
      </c>
      <c r="F34021" s="38" t="s">
        <v>102</v>
      </c>
      <c r="G34021" s="49" t="str">
        <f t="shared" si="1"/>
        <v>73670</v>
      </c>
      <c r="H34021" s="49">
        <f t="shared" si="2"/>
        <v>38446</v>
      </c>
    </row>
    <row r="34022">
      <c r="A34022" s="48" t="s">
        <v>3172</v>
      </c>
      <c r="B34022" s="38">
        <v>28306.0</v>
      </c>
      <c r="C34022" s="38" t="s">
        <v>38243</v>
      </c>
      <c r="D34022" s="38" t="str">
        <f>IFERROR(__xludf.DUMMYFUNCTION("REGEXREPLACE(C34022,""-\d+(.*)|--\d+(.*)"","""")"),"PRE-SAINT-MARTIN")</f>
        <v>PRE-SAINT-MARTIN</v>
      </c>
      <c r="E34022" s="38" t="s">
        <v>300</v>
      </c>
      <c r="F34022" s="38" t="s">
        <v>123</v>
      </c>
      <c r="G34022" s="49" t="str">
        <f t="shared" si="1"/>
        <v>28800</v>
      </c>
      <c r="H34022" s="49">
        <f t="shared" si="2"/>
        <v>28306</v>
      </c>
    </row>
    <row r="34023">
      <c r="A34023" s="48" t="s">
        <v>3002</v>
      </c>
      <c r="B34023" s="38">
        <v>43090.0</v>
      </c>
      <c r="C34023" s="38" t="s">
        <v>38244</v>
      </c>
      <c r="D34023" s="38" t="str">
        <f>IFERROR(__xludf.DUMMYFUNCTION("REGEXREPLACE(C34023,""-\d+(.*)|--\d+(.*)"","""")"),"ESPLANTAS")</f>
        <v>ESPLANTAS</v>
      </c>
      <c r="E34023" s="38" t="s">
        <v>332</v>
      </c>
      <c r="F34023" s="38" t="s">
        <v>161</v>
      </c>
      <c r="G34023" s="49" t="str">
        <f t="shared" si="1"/>
        <v>43170</v>
      </c>
      <c r="H34023" s="49">
        <f t="shared" si="2"/>
        <v>43090</v>
      </c>
    </row>
    <row r="34024">
      <c r="A34024" s="48" t="s">
        <v>15493</v>
      </c>
      <c r="B34024" s="38">
        <v>18048.0</v>
      </c>
      <c r="C34024" s="38" t="s">
        <v>38245</v>
      </c>
      <c r="D34024" s="38" t="str">
        <f>IFERROR(__xludf.DUMMYFUNCTION("REGEXREPLACE(C34024,""-\d+(.*)|--\d+(.*)"","""")"),"LA CHAPELLE-HUGON")</f>
        <v>LA CHAPELLE-HUGON</v>
      </c>
      <c r="E34024" s="38" t="s">
        <v>504</v>
      </c>
      <c r="F34024" s="38" t="s">
        <v>123</v>
      </c>
      <c r="G34024" s="49" t="str">
        <f t="shared" si="1"/>
        <v>18150</v>
      </c>
      <c r="H34024" s="49">
        <f t="shared" si="2"/>
        <v>18048</v>
      </c>
    </row>
    <row r="34025">
      <c r="A34025" s="48" t="s">
        <v>16965</v>
      </c>
      <c r="B34025" s="38">
        <v>24273.0</v>
      </c>
      <c r="C34025" s="38" t="s">
        <v>9046</v>
      </c>
      <c r="D34025" s="38" t="str">
        <f>IFERROR(__xludf.DUMMYFUNCTION("REGEXREPLACE(C34025,""-\d+(.*)|--\d+(.*)"","""")"),"MOLIERES")</f>
        <v>MOLIERES</v>
      </c>
      <c r="E34025" s="38" t="s">
        <v>261</v>
      </c>
      <c r="F34025" s="38" t="s">
        <v>252</v>
      </c>
      <c r="G34025" s="49" t="str">
        <f t="shared" si="1"/>
        <v>24480</v>
      </c>
      <c r="H34025" s="49">
        <f t="shared" si="2"/>
        <v>24273</v>
      </c>
    </row>
    <row r="34026">
      <c r="A34026" s="48" t="s">
        <v>9830</v>
      </c>
      <c r="B34026" s="38">
        <v>29073.0</v>
      </c>
      <c r="C34026" s="38" t="s">
        <v>38246</v>
      </c>
      <c r="D34026" s="38" t="str">
        <f>IFERROR(__xludf.DUMMYFUNCTION("REGEXREPLACE(C34026,""-\d+(.*)|--\d+(.*)"","""")"),"GUIMAEC")</f>
        <v>GUIMAEC</v>
      </c>
      <c r="E34026" s="38" t="s">
        <v>176</v>
      </c>
      <c r="F34026" s="38" t="s">
        <v>90</v>
      </c>
      <c r="G34026" s="49" t="str">
        <f t="shared" si="1"/>
        <v>29620</v>
      </c>
      <c r="H34026" s="49">
        <f t="shared" si="2"/>
        <v>29073</v>
      </c>
    </row>
    <row r="34027">
      <c r="A34027" s="48" t="s">
        <v>502</v>
      </c>
      <c r="B34027" s="38">
        <v>18268.0</v>
      </c>
      <c r="C34027" s="38" t="s">
        <v>38247</v>
      </c>
      <c r="D34027" s="38" t="str">
        <f>IFERROR(__xludf.DUMMYFUNCTION("REGEXREPLACE(C34027,""-\d+(.*)|--\d+(.*)"","""")"),"UZAY-LE-VENON")</f>
        <v>UZAY-LE-VENON</v>
      </c>
      <c r="E34027" s="38" t="s">
        <v>504</v>
      </c>
      <c r="F34027" s="38" t="s">
        <v>123</v>
      </c>
      <c r="G34027" s="49" t="str">
        <f t="shared" si="1"/>
        <v>18190</v>
      </c>
      <c r="H34027" s="49">
        <f t="shared" si="2"/>
        <v>18268</v>
      </c>
    </row>
    <row r="34028">
      <c r="A34028" s="48" t="s">
        <v>38248</v>
      </c>
      <c r="B34028" s="38">
        <v>75106.0</v>
      </c>
      <c r="C34028" s="38" t="s">
        <v>38249</v>
      </c>
      <c r="D34028" s="38" t="str">
        <f>IFERROR(__xludf.DUMMYFUNCTION("REGEXREPLACE(C34028,""-\d+(.*)|--\d+(.*)"","""")"),"PARIS")</f>
        <v>PARIS</v>
      </c>
      <c r="E34028" s="38" t="s">
        <v>823</v>
      </c>
      <c r="F34028" s="38" t="s">
        <v>245</v>
      </c>
      <c r="G34028" s="49" t="str">
        <f t="shared" si="1"/>
        <v>75006</v>
      </c>
      <c r="H34028" s="49">
        <f t="shared" si="2"/>
        <v>75106</v>
      </c>
    </row>
    <row r="34029">
      <c r="A34029" s="48" t="s">
        <v>14375</v>
      </c>
      <c r="B34029" s="38">
        <v>74027.0</v>
      </c>
      <c r="C34029" s="38" t="s">
        <v>38250</v>
      </c>
      <c r="D34029" s="38" t="str">
        <f>IFERROR(__xludf.DUMMYFUNCTION("REGEXREPLACE(C34029,""-\d+(.*)|--\d+(.*)"","""")"),"LA BALME-DE-THUY")</f>
        <v>LA BALME-DE-THUY</v>
      </c>
      <c r="E34029" s="38" t="s">
        <v>319</v>
      </c>
      <c r="F34029" s="38" t="s">
        <v>102</v>
      </c>
      <c r="G34029" s="49" t="str">
        <f t="shared" si="1"/>
        <v>74230</v>
      </c>
      <c r="H34029" s="49">
        <f t="shared" si="2"/>
        <v>74027</v>
      </c>
    </row>
    <row r="34030">
      <c r="A34030" s="48" t="s">
        <v>4614</v>
      </c>
      <c r="B34030" s="38">
        <v>78557.0</v>
      </c>
      <c r="C34030" s="38" t="s">
        <v>38251</v>
      </c>
      <c r="D34030" s="38" t="str">
        <f>IFERROR(__xludf.DUMMYFUNCTION("REGEXREPLACE(C34030,""-\d+(.*)|--\d+(.*)"","""")"),"SAINT-HILARION")</f>
        <v>SAINT-HILARION</v>
      </c>
      <c r="E34030" s="38" t="s">
        <v>362</v>
      </c>
      <c r="F34030" s="38" t="s">
        <v>245</v>
      </c>
      <c r="G34030" s="49" t="str">
        <f t="shared" si="1"/>
        <v>78125</v>
      </c>
      <c r="H34030" s="49">
        <f t="shared" si="2"/>
        <v>78557</v>
      </c>
    </row>
    <row r="34031">
      <c r="A34031" s="48" t="s">
        <v>23841</v>
      </c>
      <c r="B34031" s="38">
        <v>84015.0</v>
      </c>
      <c r="C34031" s="38" t="s">
        <v>38252</v>
      </c>
      <c r="D34031" s="38" t="str">
        <f>IFERROR(__xludf.DUMMYFUNCTION("REGEXREPLACE(C34031,""-\d+(.*)|--\d+(.*)"","""")"),"BEAUMONT-DU-VENTOUX")</f>
        <v>BEAUMONT-DU-VENTOUX</v>
      </c>
      <c r="E34031" s="38" t="s">
        <v>1026</v>
      </c>
      <c r="F34031" s="38" t="s">
        <v>228</v>
      </c>
      <c r="G34031" s="49" t="str">
        <f t="shared" si="1"/>
        <v>84340</v>
      </c>
      <c r="H34031" s="49">
        <f t="shared" si="2"/>
        <v>84015</v>
      </c>
    </row>
    <row r="34032">
      <c r="A34032" s="48" t="s">
        <v>4566</v>
      </c>
      <c r="B34032" s="38">
        <v>24054.0</v>
      </c>
      <c r="C34032" s="38" t="s">
        <v>38253</v>
      </c>
      <c r="D34032" s="38" t="str">
        <f>IFERROR(__xludf.DUMMYFUNCTION("REGEXREPLACE(C34032,""-\d+(.*)|--\d+(.*)"","""")"),"BOUNIAGUES")</f>
        <v>BOUNIAGUES</v>
      </c>
      <c r="E34032" s="38" t="s">
        <v>261</v>
      </c>
      <c r="F34032" s="38" t="s">
        <v>252</v>
      </c>
      <c r="G34032" s="49" t="str">
        <f t="shared" si="1"/>
        <v>24560</v>
      </c>
      <c r="H34032" s="49">
        <f t="shared" si="2"/>
        <v>24054</v>
      </c>
    </row>
    <row r="34033">
      <c r="A34033" s="48" t="s">
        <v>4388</v>
      </c>
      <c r="B34033" s="38">
        <v>31324.0</v>
      </c>
      <c r="C34033" s="38" t="s">
        <v>38254</v>
      </c>
      <c r="D34033" s="38" t="str">
        <f>IFERROR(__xludf.DUMMYFUNCTION("REGEXREPLACE(C34033,""-\d+(.*)|--\d+(.*)"","""")"),"MARTRES-TOLOSANE")</f>
        <v>MARTRES-TOLOSANE</v>
      </c>
      <c r="E34033" s="38" t="s">
        <v>93</v>
      </c>
      <c r="F34033" s="38" t="s">
        <v>94</v>
      </c>
      <c r="G34033" s="49" t="str">
        <f t="shared" si="1"/>
        <v>31220</v>
      </c>
      <c r="H34033" s="49">
        <f t="shared" si="2"/>
        <v>31324</v>
      </c>
    </row>
    <row r="34034">
      <c r="A34034" s="48" t="s">
        <v>5357</v>
      </c>
      <c r="B34034" s="38">
        <v>19181.0</v>
      </c>
      <c r="C34034" s="38" t="s">
        <v>3460</v>
      </c>
      <c r="D34034" s="38" t="str">
        <f>IFERROR(__xludf.DUMMYFUNCTION("REGEXREPLACE(C34034,""-\d+(.*)|--\d+(.*)"","""")"),"SAINT-AUGUSTIN")</f>
        <v>SAINT-AUGUSTIN</v>
      </c>
      <c r="E34034" s="38" t="s">
        <v>271</v>
      </c>
      <c r="F34034" s="38" t="s">
        <v>98</v>
      </c>
      <c r="G34034" s="49" t="str">
        <f t="shared" si="1"/>
        <v>19390</v>
      </c>
      <c r="H34034" s="49">
        <f t="shared" si="2"/>
        <v>19181</v>
      </c>
    </row>
    <row r="34035">
      <c r="A34035" s="48" t="s">
        <v>1347</v>
      </c>
      <c r="B34035" s="38">
        <v>16312.0</v>
      </c>
      <c r="C34035" s="38" t="s">
        <v>38255</v>
      </c>
      <c r="D34035" s="38" t="str">
        <f>IFERROR(__xludf.DUMMYFUNCTION("REGEXREPLACE(C34035,""-\d+(.*)|--\d+(.*)"","""")"),"SAINT-CYBARDEAUX")</f>
        <v>SAINT-CYBARDEAUX</v>
      </c>
      <c r="E34035" s="38" t="s">
        <v>429</v>
      </c>
      <c r="F34035" s="38" t="s">
        <v>338</v>
      </c>
      <c r="G34035" s="49" t="str">
        <f t="shared" si="1"/>
        <v>16170</v>
      </c>
      <c r="H34035" s="49">
        <f t="shared" si="2"/>
        <v>16312</v>
      </c>
    </row>
    <row r="34036">
      <c r="A34036" s="48" t="s">
        <v>5490</v>
      </c>
      <c r="B34036" s="38">
        <v>22035.0</v>
      </c>
      <c r="C34036" s="38" t="s">
        <v>38256</v>
      </c>
      <c r="D34036" s="38" t="str">
        <f>IFERROR(__xludf.DUMMYFUNCTION("REGEXREPLACE(C34036,""-\d+(.*)|--\d+(.*)"","""")"),"LES CHAMPS-GERAUX")</f>
        <v>LES CHAMPS-GERAUX</v>
      </c>
      <c r="E34036" s="38" t="s">
        <v>89</v>
      </c>
      <c r="F34036" s="38" t="s">
        <v>90</v>
      </c>
      <c r="G34036" s="49" t="str">
        <f t="shared" si="1"/>
        <v>22630</v>
      </c>
      <c r="H34036" s="49">
        <f t="shared" si="2"/>
        <v>22035</v>
      </c>
    </row>
    <row r="34037">
      <c r="A34037" s="48" t="s">
        <v>3163</v>
      </c>
      <c r="B34037" s="38">
        <v>28287.0</v>
      </c>
      <c r="C34037" s="38" t="s">
        <v>38257</v>
      </c>
      <c r="D34037" s="38" t="str">
        <f>IFERROR(__xludf.DUMMYFUNCTION("REGEXREPLACE(C34037,""-\d+(.*)|--\d+(.*)"","""")"),"ORGERES-EN-BEAUCE")</f>
        <v>ORGERES-EN-BEAUCE</v>
      </c>
      <c r="E34037" s="38" t="s">
        <v>300</v>
      </c>
      <c r="F34037" s="38" t="s">
        <v>123</v>
      </c>
      <c r="G34037" s="49" t="str">
        <f t="shared" si="1"/>
        <v>28140</v>
      </c>
      <c r="H34037" s="49">
        <f t="shared" si="2"/>
        <v>28287</v>
      </c>
    </row>
    <row r="34038">
      <c r="A34038" s="48" t="s">
        <v>6928</v>
      </c>
      <c r="B34038" s="38">
        <v>25288.0</v>
      </c>
      <c r="C34038" s="38" t="s">
        <v>38258</v>
      </c>
      <c r="D34038" s="38" t="str">
        <f>IFERROR(__xludf.DUMMYFUNCTION("REGEXREPLACE(C34038,""-\d+(.*)|--\d+(.*)"","""")"),"FOURNETS-LUISANS")</f>
        <v>FOURNETS-LUISANS</v>
      </c>
      <c r="E34038" s="38" t="s">
        <v>213</v>
      </c>
      <c r="F34038" s="38" t="s">
        <v>214</v>
      </c>
      <c r="G34038" s="49" t="str">
        <f t="shared" si="1"/>
        <v>25390</v>
      </c>
      <c r="H34038" s="49">
        <f t="shared" si="2"/>
        <v>25288</v>
      </c>
    </row>
    <row r="34039">
      <c r="A34039" s="48" t="s">
        <v>3212</v>
      </c>
      <c r="B34039" s="38">
        <v>64220.0</v>
      </c>
      <c r="C34039" s="38" t="s">
        <v>38259</v>
      </c>
      <c r="D34039" s="38" t="str">
        <f>IFERROR(__xludf.DUMMYFUNCTION("REGEXREPLACE(C34039,""-\d+(.*)|--\d+(.*)"","""")"),"ESTOS")</f>
        <v>ESTOS</v>
      </c>
      <c r="E34039" s="38" t="s">
        <v>268</v>
      </c>
      <c r="F34039" s="38" t="s">
        <v>252</v>
      </c>
      <c r="G34039" s="49" t="str">
        <f t="shared" si="1"/>
        <v>64400</v>
      </c>
      <c r="H34039" s="49">
        <f t="shared" si="2"/>
        <v>64220</v>
      </c>
    </row>
    <row r="34040">
      <c r="A34040" s="48" t="s">
        <v>5525</v>
      </c>
      <c r="B34040" s="38">
        <v>10439.0</v>
      </c>
      <c r="C34040" s="38" t="s">
        <v>38260</v>
      </c>
      <c r="D34040" s="38" t="str">
        <f>IFERROR(__xludf.DUMMYFUNCTION("REGEXREPLACE(C34040,""-\d+(.*)|--\d+(.*)"","""")"),"VIVIERS-SUR-ARTAUT")</f>
        <v>VIVIERS-SUR-ARTAUT</v>
      </c>
      <c r="E34040" s="38" t="s">
        <v>147</v>
      </c>
      <c r="F34040" s="38" t="s">
        <v>130</v>
      </c>
      <c r="G34040" s="49" t="str">
        <f t="shared" si="1"/>
        <v>10110</v>
      </c>
      <c r="H34040" s="49">
        <f t="shared" si="2"/>
        <v>10439</v>
      </c>
    </row>
    <row r="34041">
      <c r="A34041" s="48" t="s">
        <v>5104</v>
      </c>
      <c r="B34041" s="38">
        <v>29100.0</v>
      </c>
      <c r="C34041" s="38" t="s">
        <v>38261</v>
      </c>
      <c r="D34041" s="38" t="str">
        <f>IFERROR(__xludf.DUMMYFUNCTION("REGEXREPLACE(C34041,""-\d+(.*)|--\d+(.*)"","""")"),"LANARVILY")</f>
        <v>LANARVILY</v>
      </c>
      <c r="E34041" s="38" t="s">
        <v>176</v>
      </c>
      <c r="F34041" s="38" t="s">
        <v>90</v>
      </c>
      <c r="G34041" s="49" t="str">
        <f t="shared" si="1"/>
        <v>29260</v>
      </c>
      <c r="H34041" s="49">
        <f t="shared" si="2"/>
        <v>29100</v>
      </c>
    </row>
    <row r="34042">
      <c r="A34042" s="48" t="s">
        <v>22982</v>
      </c>
      <c r="B34042" s="38">
        <v>87110.0</v>
      </c>
      <c r="C34042" s="38" t="s">
        <v>38262</v>
      </c>
      <c r="D34042" s="38" t="str">
        <f>IFERROR(__xludf.DUMMYFUNCTION("REGEXREPLACE(C34042,""-\d+(.*)|--\d+(.*)"","""")"),"ORADOUR-SUR-GLANE")</f>
        <v>ORADOUR-SUR-GLANE</v>
      </c>
      <c r="E34042" s="38" t="s">
        <v>897</v>
      </c>
      <c r="F34042" s="38" t="s">
        <v>98</v>
      </c>
      <c r="G34042" s="49" t="str">
        <f t="shared" si="1"/>
        <v>87520</v>
      </c>
      <c r="H34042" s="49">
        <f t="shared" si="2"/>
        <v>87110</v>
      </c>
    </row>
    <row r="34043">
      <c r="A34043" s="48" t="s">
        <v>9028</v>
      </c>
      <c r="B34043" s="38">
        <v>65342.0</v>
      </c>
      <c r="C34043" s="38" t="s">
        <v>38263</v>
      </c>
      <c r="D34043" s="38" t="str">
        <f>IFERROR(__xludf.DUMMYFUNCTION("REGEXREPLACE(C34043,""-\d+(.*)|--\d+(.*)"","""")"),"OSMETS")</f>
        <v>OSMETS</v>
      </c>
      <c r="E34043" s="38" t="s">
        <v>200</v>
      </c>
      <c r="F34043" s="38" t="s">
        <v>94</v>
      </c>
      <c r="G34043" s="49" t="str">
        <f t="shared" si="1"/>
        <v>65350</v>
      </c>
      <c r="H34043" s="49">
        <f t="shared" si="2"/>
        <v>65342</v>
      </c>
    </row>
    <row r="34044">
      <c r="A34044" s="48" t="s">
        <v>7728</v>
      </c>
      <c r="B34044" s="38">
        <v>83116.0</v>
      </c>
      <c r="C34044" s="38" t="s">
        <v>38264</v>
      </c>
      <c r="D34044" s="38" t="str">
        <f>IFERROR(__xludf.DUMMYFUNCTION("REGEXREPLACE(C34044,""-\d+(.*)|--\d+(.*)"","""")"),"SAINT-MAXIMIN-LA-SAINTE-BAUME")</f>
        <v>SAINT-MAXIMIN-LA-SAINTE-BAUME</v>
      </c>
      <c r="E34044" s="38" t="s">
        <v>813</v>
      </c>
      <c r="F34044" s="38" t="s">
        <v>228</v>
      </c>
      <c r="G34044" s="49" t="str">
        <f t="shared" si="1"/>
        <v>83470</v>
      </c>
      <c r="H34044" s="49">
        <f t="shared" si="2"/>
        <v>83116</v>
      </c>
    </row>
    <row r="34045">
      <c r="A34045" s="48" t="s">
        <v>11336</v>
      </c>
      <c r="B34045" s="38">
        <v>10109.0</v>
      </c>
      <c r="C34045" s="38" t="s">
        <v>38265</v>
      </c>
      <c r="D34045" s="38" t="str">
        <f>IFERROR(__xludf.DUMMYFUNCTION("REGEXREPLACE(C34045,""-\d+(.*)|--\d+(.*)"","""")"),"COURTENOT")</f>
        <v>COURTENOT</v>
      </c>
      <c r="E34045" s="38" t="s">
        <v>147</v>
      </c>
      <c r="F34045" s="38" t="s">
        <v>130</v>
      </c>
      <c r="G34045" s="49" t="str">
        <f t="shared" si="1"/>
        <v>10260</v>
      </c>
      <c r="H34045" s="49">
        <f t="shared" si="2"/>
        <v>10109</v>
      </c>
    </row>
    <row r="34046">
      <c r="A34046" s="48" t="s">
        <v>10877</v>
      </c>
      <c r="B34046" s="38" t="s">
        <v>38266</v>
      </c>
      <c r="C34046" s="38" t="s">
        <v>38267</v>
      </c>
      <c r="D34046" s="38" t="str">
        <f>IFERROR(__xludf.DUMMYFUNCTION("REGEXREPLACE(C34046,""-\d+(.*)|--\d+(.*)"","""")"),"PORTO-VECCHIO")</f>
        <v>PORTO-VECCHIO</v>
      </c>
      <c r="E34046" s="38" t="s">
        <v>606</v>
      </c>
      <c r="F34046" s="38" t="s">
        <v>607</v>
      </c>
      <c r="G34046" s="49" t="str">
        <f t="shared" si="1"/>
        <v>20137</v>
      </c>
      <c r="H34046" s="49" t="str">
        <f t="shared" si="2"/>
        <v>2A247</v>
      </c>
    </row>
    <row r="34047">
      <c r="A34047" s="48" t="s">
        <v>4481</v>
      </c>
      <c r="B34047" s="38">
        <v>66147.0</v>
      </c>
      <c r="C34047" s="38" t="s">
        <v>38268</v>
      </c>
      <c r="D34047" s="38" t="str">
        <f>IFERROR(__xludf.DUMMYFUNCTION("REGEXREPLACE(C34047,""-\d+(.*)|--\d+(.*)"","""")"),"PORTE-PUYMORENS")</f>
        <v>PORTE-PUYMORENS</v>
      </c>
      <c r="E34047" s="38" t="s">
        <v>248</v>
      </c>
      <c r="F34047" s="38" t="s">
        <v>119</v>
      </c>
      <c r="G34047" s="49" t="str">
        <f t="shared" si="1"/>
        <v>66760</v>
      </c>
      <c r="H34047" s="49">
        <f t="shared" si="2"/>
        <v>66147</v>
      </c>
    </row>
    <row r="34048">
      <c r="A34048" s="48" t="s">
        <v>38269</v>
      </c>
      <c r="B34048" s="38">
        <v>56116.0</v>
      </c>
      <c r="C34048" s="38" t="s">
        <v>38270</v>
      </c>
      <c r="D34048" s="38" t="str">
        <f>IFERROR(__xludf.DUMMYFUNCTION("REGEXREPLACE(C34048,""-\d+(.*)|--\d+(.*)"","""")"),"LOCMARIAQUER")</f>
        <v>LOCMARIAQUER</v>
      </c>
      <c r="E34048" s="38" t="s">
        <v>173</v>
      </c>
      <c r="F34048" s="38" t="s">
        <v>90</v>
      </c>
      <c r="G34048" s="49" t="str">
        <f t="shared" si="1"/>
        <v>56740</v>
      </c>
      <c r="H34048" s="49">
        <f t="shared" si="2"/>
        <v>56116</v>
      </c>
    </row>
    <row r="34049">
      <c r="A34049" s="48" t="s">
        <v>9565</v>
      </c>
      <c r="B34049" s="38">
        <v>71312.0</v>
      </c>
      <c r="C34049" s="38" t="s">
        <v>38271</v>
      </c>
      <c r="D34049" s="38" t="str">
        <f>IFERROR(__xludf.DUMMYFUNCTION("REGEXREPLACE(C34049,""-\d+(.*)|--\d+(.*)"","""")"),"MONTCOY")</f>
        <v>MONTCOY</v>
      </c>
      <c r="E34049" s="38" t="s">
        <v>344</v>
      </c>
      <c r="F34049" s="38" t="s">
        <v>106</v>
      </c>
      <c r="G34049" s="49" t="str">
        <f t="shared" si="1"/>
        <v>71620</v>
      </c>
      <c r="H34049" s="49">
        <f t="shared" si="2"/>
        <v>71312</v>
      </c>
    </row>
    <row r="34050">
      <c r="A34050" s="48" t="s">
        <v>27656</v>
      </c>
      <c r="B34050" s="38">
        <v>47127.0</v>
      </c>
      <c r="C34050" s="38" t="s">
        <v>38272</v>
      </c>
      <c r="D34050" s="38" t="str">
        <f>IFERROR(__xludf.DUMMYFUNCTION("REGEXREPLACE(C34050,""-\d+(.*)|--\d+(.*)"","""")"),"LAFITTE-SUR-LOT")</f>
        <v>LAFITTE-SUR-LOT</v>
      </c>
      <c r="E34050" s="38" t="s">
        <v>251</v>
      </c>
      <c r="F34050" s="38" t="s">
        <v>252</v>
      </c>
      <c r="G34050" s="49" t="str">
        <f t="shared" si="1"/>
        <v>47320</v>
      </c>
      <c r="H34050" s="49">
        <f t="shared" si="2"/>
        <v>47127</v>
      </c>
    </row>
    <row r="34051">
      <c r="A34051" s="48" t="s">
        <v>1130</v>
      </c>
      <c r="B34051" s="38">
        <v>71414.0</v>
      </c>
      <c r="C34051" s="38" t="s">
        <v>38273</v>
      </c>
      <c r="D34051" s="38" t="str">
        <f>IFERROR(__xludf.DUMMYFUNCTION("REGEXREPLACE(C34051,""-\d+(.*)|--\d+(.*)"","""")"),"SAINT-FORGEOT")</f>
        <v>SAINT-FORGEOT</v>
      </c>
      <c r="E34051" s="38" t="s">
        <v>344</v>
      </c>
      <c r="F34051" s="38" t="s">
        <v>106</v>
      </c>
      <c r="G34051" s="49" t="str">
        <f t="shared" si="1"/>
        <v>71400</v>
      </c>
      <c r="H34051" s="49">
        <f t="shared" si="2"/>
        <v>71414</v>
      </c>
    </row>
    <row r="34052">
      <c r="A34052" s="48" t="s">
        <v>9127</v>
      </c>
      <c r="B34052" s="38">
        <v>43238.0</v>
      </c>
      <c r="C34052" s="38" t="s">
        <v>38274</v>
      </c>
      <c r="D34052" s="38" t="str">
        <f>IFERROR(__xludf.DUMMYFUNCTION("REGEXREPLACE(C34052,""-\d+(.*)|--\d+(.*)"","""")"),"SENEUJOLS")</f>
        <v>SENEUJOLS</v>
      </c>
      <c r="E34052" s="38" t="s">
        <v>332</v>
      </c>
      <c r="F34052" s="38" t="s">
        <v>161</v>
      </c>
      <c r="G34052" s="49" t="str">
        <f t="shared" si="1"/>
        <v>43510</v>
      </c>
      <c r="H34052" s="49">
        <f t="shared" si="2"/>
        <v>43238</v>
      </c>
    </row>
    <row r="34053">
      <c r="A34053" s="48" t="s">
        <v>38275</v>
      </c>
      <c r="B34053" s="38">
        <v>62400.0</v>
      </c>
      <c r="C34053" s="38" t="s">
        <v>38276</v>
      </c>
      <c r="D34053" s="38" t="str">
        <f>IFERROR(__xludf.DUMMYFUNCTION("REGEXREPLACE(C34053,""-\d+(.*)|--\d+(.*)"","""")"),"HAILLICOURT")</f>
        <v>HAILLICOURT</v>
      </c>
      <c r="E34053" s="38" t="s">
        <v>109</v>
      </c>
      <c r="F34053" s="38" t="s">
        <v>86</v>
      </c>
      <c r="G34053" s="49" t="str">
        <f t="shared" si="1"/>
        <v>62940</v>
      </c>
      <c r="H34053" s="49">
        <f t="shared" si="2"/>
        <v>62400</v>
      </c>
    </row>
    <row r="34054">
      <c r="A34054" s="48" t="s">
        <v>4853</v>
      </c>
      <c r="B34054" s="38">
        <v>32066.0</v>
      </c>
      <c r="C34054" s="38" t="s">
        <v>38277</v>
      </c>
      <c r="D34054" s="38" t="str">
        <f>IFERROR(__xludf.DUMMYFUNCTION("REGEXREPLACE(C34054,""-\d+(.*)|--\d+(.*)"","""")"),"BRUGNENS")</f>
        <v>BRUGNENS</v>
      </c>
      <c r="E34054" s="38" t="s">
        <v>440</v>
      </c>
      <c r="F34054" s="38" t="s">
        <v>94</v>
      </c>
      <c r="G34054" s="49" t="str">
        <f t="shared" si="1"/>
        <v>32500</v>
      </c>
      <c r="H34054" s="49">
        <f t="shared" si="2"/>
        <v>32066</v>
      </c>
    </row>
    <row r="34055">
      <c r="A34055" s="48" t="s">
        <v>3080</v>
      </c>
      <c r="B34055" s="38">
        <v>71361.0</v>
      </c>
      <c r="C34055" s="38" t="s">
        <v>38278</v>
      </c>
      <c r="D34055" s="38" t="str">
        <f>IFERROR(__xludf.DUMMYFUNCTION("REGEXREPLACE(C34055,""-\d+(.*)|--\d+(.*)"","""")"),"PRIZY")</f>
        <v>PRIZY</v>
      </c>
      <c r="E34055" s="38" t="s">
        <v>344</v>
      </c>
      <c r="F34055" s="38" t="s">
        <v>106</v>
      </c>
      <c r="G34055" s="49" t="str">
        <f t="shared" si="1"/>
        <v>71800</v>
      </c>
      <c r="H34055" s="49">
        <f t="shared" si="2"/>
        <v>71361</v>
      </c>
    </row>
    <row r="34056">
      <c r="A34056" s="48" t="s">
        <v>6555</v>
      </c>
      <c r="B34056" s="38">
        <v>67409.0</v>
      </c>
      <c r="C34056" s="38" t="s">
        <v>38279</v>
      </c>
      <c r="D34056" s="38" t="str">
        <f>IFERROR(__xludf.DUMMYFUNCTION("REGEXREPLACE(C34056,""-\d+(.*)|--\d+(.*)"","""")"),"ROPPENHEIM")</f>
        <v>ROPPENHEIM</v>
      </c>
      <c r="E34056" s="38" t="s">
        <v>210</v>
      </c>
      <c r="F34056" s="38" t="s">
        <v>151</v>
      </c>
      <c r="G34056" s="49" t="str">
        <f t="shared" si="1"/>
        <v>67480</v>
      </c>
      <c r="H34056" s="49">
        <f t="shared" si="2"/>
        <v>67409</v>
      </c>
    </row>
    <row r="34057">
      <c r="A34057" s="48" t="s">
        <v>38280</v>
      </c>
      <c r="B34057" s="38">
        <v>68374.0</v>
      </c>
      <c r="C34057" s="38" t="s">
        <v>38281</v>
      </c>
      <c r="D34057" s="38" t="str">
        <f>IFERROR(__xludf.DUMMYFUNCTION("REGEXREPLACE(C34057,""-\d+(.*)|--\d+(.*)"","""")"),"WINTZENHEIM")</f>
        <v>WINTZENHEIM</v>
      </c>
      <c r="E34057" s="38" t="s">
        <v>150</v>
      </c>
      <c r="F34057" s="38" t="s">
        <v>151</v>
      </c>
      <c r="G34057" s="49" t="str">
        <f t="shared" si="1"/>
        <v>68920</v>
      </c>
      <c r="H34057" s="49">
        <f t="shared" si="2"/>
        <v>68374</v>
      </c>
    </row>
    <row r="34058">
      <c r="A34058" s="48" t="s">
        <v>14284</v>
      </c>
      <c r="B34058" s="38">
        <v>19142.0</v>
      </c>
      <c r="C34058" s="38" t="s">
        <v>38282</v>
      </c>
      <c r="D34058" s="38" t="str">
        <f>IFERROR(__xludf.DUMMYFUNCTION("REGEXREPLACE(C34058,""-\d+(.*)|--\d+(.*)"","""")"),"MONESTIER-PORT-DIEU")</f>
        <v>MONESTIER-PORT-DIEU</v>
      </c>
      <c r="E34058" s="38" t="s">
        <v>271</v>
      </c>
      <c r="F34058" s="38" t="s">
        <v>98</v>
      </c>
      <c r="G34058" s="49" t="str">
        <f t="shared" si="1"/>
        <v>19110</v>
      </c>
      <c r="H34058" s="49">
        <f t="shared" si="2"/>
        <v>19142</v>
      </c>
    </row>
    <row r="34059">
      <c r="A34059" s="48" t="s">
        <v>4814</v>
      </c>
      <c r="B34059" s="38">
        <v>57631.0</v>
      </c>
      <c r="C34059" s="38" t="s">
        <v>38283</v>
      </c>
      <c r="D34059" s="38" t="str">
        <f>IFERROR(__xludf.DUMMYFUNCTION("REGEXREPLACE(C34059,""-\d+(.*)|--\d+(.*)"","""")"),"SARREGUEMINES")</f>
        <v>SARREGUEMINES</v>
      </c>
      <c r="E34059" s="38" t="s">
        <v>303</v>
      </c>
      <c r="F34059" s="38" t="s">
        <v>195</v>
      </c>
      <c r="G34059" s="49" t="str">
        <f t="shared" si="1"/>
        <v>57200</v>
      </c>
      <c r="H34059" s="49">
        <f t="shared" si="2"/>
        <v>57631</v>
      </c>
    </row>
    <row r="34060">
      <c r="A34060" s="48" t="s">
        <v>1250</v>
      </c>
      <c r="B34060" s="38">
        <v>31305.0</v>
      </c>
      <c r="C34060" s="38" t="s">
        <v>38284</v>
      </c>
      <c r="D34060" s="38" t="str">
        <f>IFERROR(__xludf.DUMMYFUNCTION("REGEXREPLACE(C34060,""-\d+(.*)|--\d+(.*)"","""")"),"LOUDET")</f>
        <v>LOUDET</v>
      </c>
      <c r="E34060" s="38" t="s">
        <v>93</v>
      </c>
      <c r="F34060" s="38" t="s">
        <v>94</v>
      </c>
      <c r="G34060" s="49" t="str">
        <f t="shared" si="1"/>
        <v>31580</v>
      </c>
      <c r="H34060" s="49">
        <f t="shared" si="2"/>
        <v>31305</v>
      </c>
    </row>
    <row r="34061">
      <c r="A34061" s="48" t="s">
        <v>9769</v>
      </c>
      <c r="B34061" s="38">
        <v>46233.0</v>
      </c>
      <c r="C34061" s="38" t="s">
        <v>14261</v>
      </c>
      <c r="D34061" s="38" t="str">
        <f>IFERROR(__xludf.DUMMYFUNCTION("REGEXREPLACE(C34061,""-\d+(.*)|--\d+(.*)"","""")"),"QUISSAC")</f>
        <v>QUISSAC</v>
      </c>
      <c r="E34061" s="38" t="s">
        <v>185</v>
      </c>
      <c r="F34061" s="38" t="s">
        <v>94</v>
      </c>
      <c r="G34061" s="49" t="str">
        <f t="shared" si="1"/>
        <v>46320</v>
      </c>
      <c r="H34061" s="49">
        <f t="shared" si="2"/>
        <v>46233</v>
      </c>
    </row>
    <row r="34062">
      <c r="A34062" s="48" t="s">
        <v>6914</v>
      </c>
      <c r="B34062" s="38">
        <v>59049.0</v>
      </c>
      <c r="C34062" s="38" t="s">
        <v>38285</v>
      </c>
      <c r="D34062" s="38" t="str">
        <f>IFERROR(__xludf.DUMMYFUNCTION("REGEXREPLACE(C34062,""-\d+(.*)|--\d+(.*)"","""")"),"BANTOUZELLE")</f>
        <v>BANTOUZELLE</v>
      </c>
      <c r="E34062" s="38" t="s">
        <v>85</v>
      </c>
      <c r="F34062" s="38" t="s">
        <v>86</v>
      </c>
      <c r="G34062" s="49" t="str">
        <f t="shared" si="1"/>
        <v>59266</v>
      </c>
      <c r="H34062" s="49">
        <f t="shared" si="2"/>
        <v>59049</v>
      </c>
    </row>
    <row r="34063">
      <c r="A34063" s="48" t="s">
        <v>2794</v>
      </c>
      <c r="B34063" s="38">
        <v>39426.0</v>
      </c>
      <c r="C34063" s="38" t="s">
        <v>38286</v>
      </c>
      <c r="D34063" s="38" t="str">
        <f>IFERROR(__xludf.DUMMYFUNCTION("REGEXREPLACE(C34063,""-\d+(.*)|--\d+(.*)"","""")"),"PLASNE")</f>
        <v>PLASNE</v>
      </c>
      <c r="E34063" s="38" t="s">
        <v>400</v>
      </c>
      <c r="F34063" s="38" t="s">
        <v>214</v>
      </c>
      <c r="G34063" s="49" t="str">
        <f t="shared" si="1"/>
        <v>39800</v>
      </c>
      <c r="H34063" s="49">
        <f t="shared" si="2"/>
        <v>39426</v>
      </c>
    </row>
    <row r="34064">
      <c r="A34064" s="48" t="s">
        <v>13834</v>
      </c>
      <c r="B34064" s="38">
        <v>36240.0</v>
      </c>
      <c r="C34064" s="38" t="s">
        <v>38287</v>
      </c>
      <c r="D34064" s="38" t="str">
        <f>IFERROR(__xludf.DUMMYFUNCTION("REGEXREPLACE(C34064,""-\d+(.*)|--\d+(.*)"","""")"),"VIJON")</f>
        <v>VIJON</v>
      </c>
      <c r="E34064" s="38" t="s">
        <v>258</v>
      </c>
      <c r="F34064" s="38" t="s">
        <v>123</v>
      </c>
      <c r="G34064" s="49" t="str">
        <f t="shared" si="1"/>
        <v>36160</v>
      </c>
      <c r="H34064" s="49">
        <f t="shared" si="2"/>
        <v>36240</v>
      </c>
    </row>
    <row r="34065">
      <c r="A34065" s="48" t="s">
        <v>9498</v>
      </c>
      <c r="B34065" s="38">
        <v>79269.0</v>
      </c>
      <c r="C34065" s="38" t="s">
        <v>38288</v>
      </c>
      <c r="D34065" s="38" t="str">
        <f>IFERROR(__xludf.DUMMYFUNCTION("REGEXREPLACE(C34065,""-\d+(.*)|--\d+(.*)"","""")"),"SAINT-MAIXENT-DE-BEUGNE")</f>
        <v>SAINT-MAIXENT-DE-BEUGNE</v>
      </c>
      <c r="E34065" s="38" t="s">
        <v>337</v>
      </c>
      <c r="F34065" s="38" t="s">
        <v>338</v>
      </c>
      <c r="G34065" s="49" t="str">
        <f t="shared" si="1"/>
        <v>79160</v>
      </c>
      <c r="H34065" s="49">
        <f t="shared" si="2"/>
        <v>79269</v>
      </c>
    </row>
    <row r="34066">
      <c r="A34066" s="48" t="s">
        <v>3240</v>
      </c>
      <c r="B34066" s="38">
        <v>27601.0</v>
      </c>
      <c r="C34066" s="38" t="s">
        <v>38289</v>
      </c>
      <c r="D34066" s="38" t="str">
        <f>IFERROR(__xludf.DUMMYFUNCTION("REGEXREPLACE(C34066,""-\d+(.*)|--\d+(.*)"","""")"),"SAINT-SAMSON-DE-LA-ROQUE")</f>
        <v>SAINT-SAMSON-DE-LA-ROQUE</v>
      </c>
      <c r="E34066" s="38" t="s">
        <v>241</v>
      </c>
      <c r="F34066" s="38" t="s">
        <v>134</v>
      </c>
      <c r="G34066" s="49" t="str">
        <f t="shared" si="1"/>
        <v>27680</v>
      </c>
      <c r="H34066" s="49">
        <f t="shared" si="2"/>
        <v>27601</v>
      </c>
    </row>
    <row r="34067">
      <c r="A34067" s="48" t="s">
        <v>3603</v>
      </c>
      <c r="B34067" s="38">
        <v>24048.0</v>
      </c>
      <c r="C34067" s="38" t="s">
        <v>38290</v>
      </c>
      <c r="D34067" s="38" t="str">
        <f>IFERROR(__xludf.DUMMYFUNCTION("REGEXREPLACE(C34067,""-\d+(.*)|--\d+(.*)"","""")"),"BONNEVILLE-ET-SAINT-AVIT-DE-FUMADIERES")</f>
        <v>BONNEVILLE-ET-SAINT-AVIT-DE-FUMADIERES</v>
      </c>
      <c r="E34067" s="38" t="s">
        <v>261</v>
      </c>
      <c r="F34067" s="38" t="s">
        <v>252</v>
      </c>
      <c r="G34067" s="49" t="str">
        <f t="shared" si="1"/>
        <v>24230</v>
      </c>
      <c r="H34067" s="49">
        <f t="shared" si="2"/>
        <v>24048</v>
      </c>
    </row>
    <row r="34068">
      <c r="A34068" s="48" t="s">
        <v>7702</v>
      </c>
      <c r="B34068" s="38">
        <v>57518.0</v>
      </c>
      <c r="C34068" s="38" t="s">
        <v>38291</v>
      </c>
      <c r="D34068" s="38" t="str">
        <f>IFERROR(__xludf.DUMMYFUNCTION("REGEXREPLACE(C34068,""-\d+(.*)|--\d+(.*)"","""")"),"OBERSTINZEL")</f>
        <v>OBERSTINZEL</v>
      </c>
      <c r="E34068" s="38" t="s">
        <v>303</v>
      </c>
      <c r="F34068" s="38" t="s">
        <v>195</v>
      </c>
      <c r="G34068" s="49" t="str">
        <f t="shared" si="1"/>
        <v>57930</v>
      </c>
      <c r="H34068" s="49">
        <f t="shared" si="2"/>
        <v>57518</v>
      </c>
    </row>
    <row r="34069">
      <c r="A34069" s="48" t="s">
        <v>12258</v>
      </c>
      <c r="B34069" s="38">
        <v>69234.0</v>
      </c>
      <c r="C34069" s="38" t="s">
        <v>38292</v>
      </c>
      <c r="D34069" s="38" t="str">
        <f>IFERROR(__xludf.DUMMYFUNCTION("REGEXREPLACE(C34069,""-\d+(.*)|--\d+(.*)"","""")"),"SAINT-ROMAIN-DE-POPEY")</f>
        <v>SAINT-ROMAIN-DE-POPEY</v>
      </c>
      <c r="E34069" s="38" t="s">
        <v>350</v>
      </c>
      <c r="F34069" s="38" t="s">
        <v>102</v>
      </c>
      <c r="G34069" s="49" t="str">
        <f t="shared" si="1"/>
        <v>69490</v>
      </c>
      <c r="H34069" s="49">
        <f t="shared" si="2"/>
        <v>69234</v>
      </c>
    </row>
    <row r="34070">
      <c r="A34070" s="48" t="s">
        <v>15050</v>
      </c>
      <c r="B34070" s="38">
        <v>53099.0</v>
      </c>
      <c r="C34070" s="38" t="s">
        <v>38293</v>
      </c>
      <c r="D34070" s="38" t="str">
        <f>IFERROR(__xludf.DUMMYFUNCTION("REGEXREPLACE(C34070,""-\d+(.*)|--\d+(.*)"","""")"),"FORCE")</f>
        <v>FORCE</v>
      </c>
      <c r="E34070" s="38" t="s">
        <v>518</v>
      </c>
      <c r="F34070" s="38" t="s">
        <v>180</v>
      </c>
      <c r="G34070" s="49" t="str">
        <f t="shared" si="1"/>
        <v>53260</v>
      </c>
      <c r="H34070" s="49">
        <f t="shared" si="2"/>
        <v>53099</v>
      </c>
    </row>
    <row r="34071">
      <c r="A34071" s="48" t="s">
        <v>3422</v>
      </c>
      <c r="B34071" s="38">
        <v>32140.0</v>
      </c>
      <c r="C34071" s="38" t="s">
        <v>7672</v>
      </c>
      <c r="D34071" s="38" t="str">
        <f>IFERROR(__xludf.DUMMYFUNCTION("REGEXREPLACE(C34071,""-\d+(.*)|--\d+(.*)"","""")"),"GAUJAC")</f>
        <v>GAUJAC</v>
      </c>
      <c r="E34071" s="38" t="s">
        <v>440</v>
      </c>
      <c r="F34071" s="38" t="s">
        <v>94</v>
      </c>
      <c r="G34071" s="49" t="str">
        <f t="shared" si="1"/>
        <v>32220</v>
      </c>
      <c r="H34071" s="49">
        <f t="shared" si="2"/>
        <v>32140</v>
      </c>
    </row>
    <row r="34072">
      <c r="A34072" s="48" t="s">
        <v>1368</v>
      </c>
      <c r="B34072" s="38">
        <v>8350.0</v>
      </c>
      <c r="C34072" s="38" t="s">
        <v>38294</v>
      </c>
      <c r="D34072" s="38" t="str">
        <f>IFERROR(__xludf.DUMMYFUNCTION("REGEXREPLACE(C34072,""-\d+(.*)|--\d+(.*)"","""")"),"QUATRE-CHAMPS")</f>
        <v>QUATRE-CHAMPS</v>
      </c>
      <c r="E34072" s="38" t="s">
        <v>327</v>
      </c>
      <c r="F34072" s="38" t="s">
        <v>130</v>
      </c>
      <c r="G34072" s="49" t="str">
        <f t="shared" si="1"/>
        <v>08400</v>
      </c>
      <c r="H34072" s="49" t="str">
        <f t="shared" si="2"/>
        <v>08350</v>
      </c>
    </row>
    <row r="34073">
      <c r="A34073" s="48" t="s">
        <v>16765</v>
      </c>
      <c r="B34073" s="38">
        <v>76180.0</v>
      </c>
      <c r="C34073" s="38" t="s">
        <v>38295</v>
      </c>
      <c r="D34073" s="38" t="str">
        <f>IFERROR(__xludf.DUMMYFUNCTION("REGEXREPLACE(C34073,""-\d+(.*)|--\d+(.*)"","""")"),"CLEUVILLE")</f>
        <v>CLEUVILLE</v>
      </c>
      <c r="E34073" s="38" t="s">
        <v>133</v>
      </c>
      <c r="F34073" s="38" t="s">
        <v>134</v>
      </c>
      <c r="G34073" s="49" t="str">
        <f t="shared" si="1"/>
        <v>76450</v>
      </c>
      <c r="H34073" s="49">
        <f t="shared" si="2"/>
        <v>76180</v>
      </c>
    </row>
    <row r="34074">
      <c r="A34074" s="48" t="s">
        <v>38296</v>
      </c>
      <c r="B34074" s="38">
        <v>62201.0</v>
      </c>
      <c r="C34074" s="38" t="s">
        <v>38297</v>
      </c>
      <c r="D34074" s="38" t="str">
        <f>IFERROR(__xludf.DUMMYFUNCTION("REGEXREPLACE(C34074,""-\d+(.*)|--\d+(.*)"","""")"),"CAMIERS")</f>
        <v>CAMIERS</v>
      </c>
      <c r="E34074" s="38" t="s">
        <v>109</v>
      </c>
      <c r="F34074" s="38" t="s">
        <v>86</v>
      </c>
      <c r="G34074" s="49" t="str">
        <f t="shared" si="1"/>
        <v>62176</v>
      </c>
      <c r="H34074" s="49">
        <f t="shared" si="2"/>
        <v>62201</v>
      </c>
    </row>
    <row r="34075">
      <c r="A34075" s="48" t="s">
        <v>21039</v>
      </c>
      <c r="B34075" s="38">
        <v>33104.0</v>
      </c>
      <c r="C34075" s="38" t="s">
        <v>38298</v>
      </c>
      <c r="D34075" s="38" t="str">
        <f>IFERROR(__xludf.DUMMYFUNCTION("REGEXREPLACE(C34075,""-\d+(.*)|--\d+(.*)"","""")"),"CASTELNAU-DE-MEDOC")</f>
        <v>CASTELNAU-DE-MEDOC</v>
      </c>
      <c r="E34075" s="38" t="s">
        <v>462</v>
      </c>
      <c r="F34075" s="38" t="s">
        <v>252</v>
      </c>
      <c r="G34075" s="49" t="str">
        <f t="shared" si="1"/>
        <v>33480</v>
      </c>
      <c r="H34075" s="49">
        <f t="shared" si="2"/>
        <v>33104</v>
      </c>
    </row>
    <row r="34076">
      <c r="A34076" s="48" t="s">
        <v>10066</v>
      </c>
      <c r="B34076" s="38">
        <v>1417.0</v>
      </c>
      <c r="C34076" s="38" t="s">
        <v>38299</v>
      </c>
      <c r="D34076" s="38" t="str">
        <f>IFERROR(__xludf.DUMMYFUNCTION("REGEXREPLACE(C34076,""-\d+(.*)|--\d+(.*)"","""")"),"THEZILLIEU")</f>
        <v>THEZILLIEU</v>
      </c>
      <c r="E34076" s="38" t="s">
        <v>255</v>
      </c>
      <c r="F34076" s="38" t="s">
        <v>102</v>
      </c>
      <c r="G34076" s="49" t="str">
        <f t="shared" si="1"/>
        <v>01110</v>
      </c>
      <c r="H34076" s="49" t="str">
        <f t="shared" si="2"/>
        <v>01417</v>
      </c>
    </row>
    <row r="34077">
      <c r="A34077" s="48" t="s">
        <v>7496</v>
      </c>
      <c r="B34077" s="38">
        <v>62073.0</v>
      </c>
      <c r="C34077" s="38" t="s">
        <v>38300</v>
      </c>
      <c r="D34077" s="38" t="str">
        <f>IFERROR(__xludf.DUMMYFUNCTION("REGEXREPLACE(C34077,""-\d+(.*)|--\d+(.*)"","""")"),"BAILLEUL-SIR-BERTHOULT")</f>
        <v>BAILLEUL-SIR-BERTHOULT</v>
      </c>
      <c r="E34077" s="38" t="s">
        <v>109</v>
      </c>
      <c r="F34077" s="38" t="s">
        <v>86</v>
      </c>
      <c r="G34077" s="49" t="str">
        <f t="shared" si="1"/>
        <v>62580</v>
      </c>
      <c r="H34077" s="49">
        <f t="shared" si="2"/>
        <v>62073</v>
      </c>
    </row>
    <row r="34078">
      <c r="A34078" s="48" t="s">
        <v>38301</v>
      </c>
      <c r="B34078" s="38">
        <v>66144.0</v>
      </c>
      <c r="C34078" s="38" t="s">
        <v>38302</v>
      </c>
      <c r="D34078" s="38" t="str">
        <f>IFERROR(__xludf.DUMMYFUNCTION("REGEXREPLACE(C34078,""-\d+(.*)|--\d+(.*)"","""")"),"POLLESTRES")</f>
        <v>POLLESTRES</v>
      </c>
      <c r="E34078" s="38" t="s">
        <v>248</v>
      </c>
      <c r="F34078" s="38" t="s">
        <v>119</v>
      </c>
      <c r="G34078" s="49" t="str">
        <f t="shared" si="1"/>
        <v>66450</v>
      </c>
      <c r="H34078" s="49">
        <f t="shared" si="2"/>
        <v>66144</v>
      </c>
    </row>
    <row r="34079">
      <c r="A34079" s="48" t="s">
        <v>6069</v>
      </c>
      <c r="B34079" s="38">
        <v>50043.0</v>
      </c>
      <c r="C34079" s="38" t="s">
        <v>7612</v>
      </c>
      <c r="D34079" s="38" t="str">
        <f>IFERROR(__xludf.DUMMYFUNCTION("REGEXREPLACE(C34079,""-\d+(.*)|--\d+(.*)"","""")"),"BELLEFONTAINE")</f>
        <v>BELLEFONTAINE</v>
      </c>
      <c r="E34079" s="38" t="s">
        <v>157</v>
      </c>
      <c r="F34079" s="38" t="s">
        <v>138</v>
      </c>
      <c r="G34079" s="49" t="str">
        <f t="shared" si="1"/>
        <v>50520</v>
      </c>
      <c r="H34079" s="49">
        <f t="shared" si="2"/>
        <v>50043</v>
      </c>
    </row>
    <row r="34080">
      <c r="A34080" s="48" t="s">
        <v>9481</v>
      </c>
      <c r="B34080" s="38">
        <v>15075.0</v>
      </c>
      <c r="C34080" s="38" t="s">
        <v>38303</v>
      </c>
      <c r="D34080" s="38" t="str">
        <f>IFERROR(__xludf.DUMMYFUNCTION("REGEXREPLACE(C34080,""-\d+(.*)|--\d+(.*)"","""")"),"GIRGOLS")</f>
        <v>GIRGOLS</v>
      </c>
      <c r="E34080" s="38" t="s">
        <v>632</v>
      </c>
      <c r="F34080" s="38" t="s">
        <v>161</v>
      </c>
      <c r="G34080" s="49" t="str">
        <f t="shared" si="1"/>
        <v>15310</v>
      </c>
      <c r="H34080" s="49">
        <f t="shared" si="2"/>
        <v>15075</v>
      </c>
    </row>
    <row r="34081">
      <c r="A34081" s="48" t="s">
        <v>4119</v>
      </c>
      <c r="B34081" s="38">
        <v>36042.0</v>
      </c>
      <c r="C34081" s="38" t="s">
        <v>38304</v>
      </c>
      <c r="D34081" s="38" t="str">
        <f>IFERROR(__xludf.DUMMYFUNCTION("REGEXREPLACE(C34081,""-\d+(.*)|--\d+(.*)"","""")"),"CHASSENEUIL")</f>
        <v>CHASSENEUIL</v>
      </c>
      <c r="E34081" s="38" t="s">
        <v>258</v>
      </c>
      <c r="F34081" s="38" t="s">
        <v>123</v>
      </c>
      <c r="G34081" s="49" t="str">
        <f t="shared" si="1"/>
        <v>36800</v>
      </c>
      <c r="H34081" s="49">
        <f t="shared" si="2"/>
        <v>36042</v>
      </c>
    </row>
    <row r="34082">
      <c r="A34082" s="48" t="s">
        <v>7673</v>
      </c>
      <c r="B34082" s="38">
        <v>39293.0</v>
      </c>
      <c r="C34082" s="38" t="s">
        <v>38305</v>
      </c>
      <c r="D34082" s="38" t="str">
        <f>IFERROR(__xludf.DUMMYFUNCTION("REGEXREPLACE(C34082,""-\d+(.*)|--\d+(.*)"","""")"),"LESCHERES")</f>
        <v>LESCHERES</v>
      </c>
      <c r="E34082" s="38" t="s">
        <v>400</v>
      </c>
      <c r="F34082" s="38" t="s">
        <v>214</v>
      </c>
      <c r="G34082" s="49" t="str">
        <f t="shared" si="1"/>
        <v>39170</v>
      </c>
      <c r="H34082" s="49">
        <f t="shared" si="2"/>
        <v>39293</v>
      </c>
    </row>
    <row r="34083">
      <c r="A34083" s="48" t="s">
        <v>38306</v>
      </c>
      <c r="B34083" s="38">
        <v>93047.0</v>
      </c>
      <c r="C34083" s="38" t="s">
        <v>38307</v>
      </c>
      <c r="D34083" s="38" t="str">
        <f>IFERROR(__xludf.DUMMYFUNCTION("REGEXREPLACE(C34083,""-\d+(.*)|--\d+(.*)"","""")"),"MONTFERMEIL")</f>
        <v>MONTFERMEIL</v>
      </c>
      <c r="E34083" s="38" t="s">
        <v>341</v>
      </c>
      <c r="F34083" s="38" t="s">
        <v>245</v>
      </c>
      <c r="G34083" s="49" t="str">
        <f t="shared" si="1"/>
        <v>93370</v>
      </c>
      <c r="H34083" s="49">
        <f t="shared" si="2"/>
        <v>93047</v>
      </c>
    </row>
    <row r="34084">
      <c r="A34084" s="48" t="s">
        <v>480</v>
      </c>
      <c r="B34084" s="38">
        <v>3144.0</v>
      </c>
      <c r="C34084" s="38" t="s">
        <v>38308</v>
      </c>
      <c r="D34084" s="38" t="str">
        <f>IFERROR(__xludf.DUMMYFUNCTION("REGEXREPLACE(C34084,""-\d+(.*)|--\d+(.*)"","""")"),"LIERNOLLES")</f>
        <v>LIERNOLLES</v>
      </c>
      <c r="E34084" s="38" t="s">
        <v>160</v>
      </c>
      <c r="F34084" s="38" t="s">
        <v>161</v>
      </c>
      <c r="G34084" s="49" t="str">
        <f t="shared" si="1"/>
        <v>03130</v>
      </c>
      <c r="H34084" s="49" t="str">
        <f t="shared" si="2"/>
        <v>03144</v>
      </c>
    </row>
    <row r="34085">
      <c r="A34085" s="48" t="s">
        <v>1077</v>
      </c>
      <c r="B34085" s="38">
        <v>25247.0</v>
      </c>
      <c r="C34085" s="38" t="s">
        <v>38309</v>
      </c>
      <c r="D34085" s="38" t="str">
        <f>IFERROR(__xludf.DUMMYFUNCTION("REGEXREPLACE(C34085,""-\d+(.*)|--\d+(.*)"","""")"),"FONTENELLE-MONTBY")</f>
        <v>FONTENELLE-MONTBY</v>
      </c>
      <c r="E34085" s="38" t="s">
        <v>213</v>
      </c>
      <c r="F34085" s="38" t="s">
        <v>214</v>
      </c>
      <c r="G34085" s="49" t="str">
        <f t="shared" si="1"/>
        <v>25340</v>
      </c>
      <c r="H34085" s="49">
        <f t="shared" si="2"/>
        <v>25247</v>
      </c>
    </row>
    <row r="34086">
      <c r="A34086" s="48" t="s">
        <v>13625</v>
      </c>
      <c r="B34086" s="38">
        <v>38426.0</v>
      </c>
      <c r="C34086" s="38" t="s">
        <v>25887</v>
      </c>
      <c r="D34086" s="38" t="str">
        <f>IFERROR(__xludf.DUMMYFUNCTION("REGEXREPLACE(C34086,""-\d+(.*)|--\d+(.*)"","""")"),"SAINT-MAXIMIN")</f>
        <v>SAINT-MAXIMIN</v>
      </c>
      <c r="E34086" s="38" t="s">
        <v>101</v>
      </c>
      <c r="F34086" s="38" t="s">
        <v>102</v>
      </c>
      <c r="G34086" s="49" t="str">
        <f t="shared" si="1"/>
        <v>38530</v>
      </c>
      <c r="H34086" s="49">
        <f t="shared" si="2"/>
        <v>38426</v>
      </c>
    </row>
    <row r="34087">
      <c r="A34087" s="48" t="s">
        <v>4561</v>
      </c>
      <c r="B34087" s="38">
        <v>79015.0</v>
      </c>
      <c r="C34087" s="38" t="s">
        <v>38310</v>
      </c>
      <c r="D34087" s="38" t="str">
        <f>IFERROR(__xludf.DUMMYFUNCTION("REGEXREPLACE(C34087,""-\d+(.*)|--\d+(.*)"","""")"),"ASNIERES-EN-POITOU")</f>
        <v>ASNIERES-EN-POITOU</v>
      </c>
      <c r="E34087" s="38" t="s">
        <v>337</v>
      </c>
      <c r="F34087" s="38" t="s">
        <v>338</v>
      </c>
      <c r="G34087" s="49" t="str">
        <f t="shared" si="1"/>
        <v>79170</v>
      </c>
      <c r="H34087" s="49">
        <f t="shared" si="2"/>
        <v>79015</v>
      </c>
    </row>
    <row r="34088">
      <c r="A34088" s="48" t="s">
        <v>4805</v>
      </c>
      <c r="B34088" s="38">
        <v>31159.0</v>
      </c>
      <c r="C34088" s="38" t="s">
        <v>38311</v>
      </c>
      <c r="D34088" s="38" t="str">
        <f>IFERROR(__xludf.DUMMYFUNCTION("REGEXREPLACE(C34088,""-\d+(.*)|--\d+(.*)"","""")"),"LE CUING")</f>
        <v>LE CUING</v>
      </c>
      <c r="E34088" s="38" t="s">
        <v>93</v>
      </c>
      <c r="F34088" s="38" t="s">
        <v>94</v>
      </c>
      <c r="G34088" s="49" t="str">
        <f t="shared" si="1"/>
        <v>31210</v>
      </c>
      <c r="H34088" s="49">
        <f t="shared" si="2"/>
        <v>31159</v>
      </c>
    </row>
    <row r="34089">
      <c r="A34089" s="48" t="s">
        <v>816</v>
      </c>
      <c r="B34089" s="38">
        <v>11015.0</v>
      </c>
      <c r="C34089" s="38" t="s">
        <v>30613</v>
      </c>
      <c r="D34089" s="38" t="str">
        <f>IFERROR(__xludf.DUMMYFUNCTION("REGEXREPLACE(C34089,""-\d+(.*)|--\d+(.*)"","""")"),"ARQUES")</f>
        <v>ARQUES</v>
      </c>
      <c r="E34089" s="38" t="s">
        <v>278</v>
      </c>
      <c r="F34089" s="38" t="s">
        <v>119</v>
      </c>
      <c r="G34089" s="49" t="str">
        <f t="shared" si="1"/>
        <v>11190</v>
      </c>
      <c r="H34089" s="49">
        <f t="shared" si="2"/>
        <v>11015</v>
      </c>
    </row>
    <row r="34090">
      <c r="A34090" s="48" t="s">
        <v>908</v>
      </c>
      <c r="B34090" s="38">
        <v>41239.0</v>
      </c>
      <c r="C34090" s="38" t="s">
        <v>38312</v>
      </c>
      <c r="D34090" s="38" t="str">
        <f>IFERROR(__xludf.DUMMYFUNCTION("REGEXREPLACE(C34090,""-\d+(.*)|--\d+(.*)"","""")"),"SEIGY")</f>
        <v>SEIGY</v>
      </c>
      <c r="E34090" s="38" t="s">
        <v>188</v>
      </c>
      <c r="F34090" s="38" t="s">
        <v>123</v>
      </c>
      <c r="G34090" s="49" t="str">
        <f t="shared" si="1"/>
        <v>41110</v>
      </c>
      <c r="H34090" s="49">
        <f t="shared" si="2"/>
        <v>41239</v>
      </c>
    </row>
    <row r="34091">
      <c r="A34091" s="48" t="s">
        <v>2019</v>
      </c>
      <c r="B34091" s="38">
        <v>90105.0</v>
      </c>
      <c r="C34091" s="38" t="s">
        <v>38313</v>
      </c>
      <c r="D34091" s="38" t="str">
        <f>IFERROR(__xludf.DUMMYFUNCTION("REGEXREPLACE(C34091,""-\d+(.*)|--\d+(.*)"","""")"),"VILLARS-LE-SEC")</f>
        <v>VILLARS-LE-SEC</v>
      </c>
      <c r="E34091" s="38" t="s">
        <v>1283</v>
      </c>
      <c r="F34091" s="38" t="s">
        <v>214</v>
      </c>
      <c r="G34091" s="49" t="str">
        <f t="shared" si="1"/>
        <v>90100</v>
      </c>
      <c r="H34091" s="49">
        <f t="shared" si="2"/>
        <v>90105</v>
      </c>
    </row>
    <row r="34092">
      <c r="A34092" s="48" t="s">
        <v>1391</v>
      </c>
      <c r="B34092" s="38">
        <v>61079.0</v>
      </c>
      <c r="C34092" s="38" t="s">
        <v>38314</v>
      </c>
      <c r="D34092" s="38" t="str">
        <f>IFERROR(__xludf.DUMMYFUNCTION("REGEXREPLACE(C34092,""-\d+(.*)|--\d+(.*)"","""")"),"CETON")</f>
        <v>CETON</v>
      </c>
      <c r="E34092" s="38" t="s">
        <v>141</v>
      </c>
      <c r="F34092" s="38" t="s">
        <v>138</v>
      </c>
      <c r="G34092" s="49" t="str">
        <f t="shared" si="1"/>
        <v>61260</v>
      </c>
      <c r="H34092" s="49">
        <f t="shared" si="2"/>
        <v>61079</v>
      </c>
    </row>
    <row r="34093">
      <c r="A34093" s="48" t="s">
        <v>1106</v>
      </c>
      <c r="B34093" s="38">
        <v>14248.0</v>
      </c>
      <c r="C34093" s="38" t="s">
        <v>38315</v>
      </c>
      <c r="D34093" s="38" t="str">
        <f>IFERROR(__xludf.DUMMYFUNCTION("REGEXREPLACE(C34093,""-\d+(.*)|--\d+(.*)"","""")"),"ESPINS")</f>
        <v>ESPINS</v>
      </c>
      <c r="E34093" s="38" t="s">
        <v>137</v>
      </c>
      <c r="F34093" s="38" t="s">
        <v>138</v>
      </c>
      <c r="G34093" s="49" t="str">
        <f t="shared" si="1"/>
        <v>14220</v>
      </c>
      <c r="H34093" s="49">
        <f t="shared" si="2"/>
        <v>14248</v>
      </c>
    </row>
    <row r="34094">
      <c r="A34094" s="48" t="s">
        <v>17322</v>
      </c>
      <c r="B34094" s="38">
        <v>33225.0</v>
      </c>
      <c r="C34094" s="38" t="s">
        <v>38316</v>
      </c>
      <c r="D34094" s="38" t="str">
        <f>IFERROR(__xludf.DUMMYFUNCTION("REGEXREPLACE(C34094,""-\d+(.*)|--\d+(.*)"","""")"),"LANDIRAS")</f>
        <v>LANDIRAS</v>
      </c>
      <c r="E34094" s="38" t="s">
        <v>462</v>
      </c>
      <c r="F34094" s="38" t="s">
        <v>252</v>
      </c>
      <c r="G34094" s="49" t="str">
        <f t="shared" si="1"/>
        <v>33720</v>
      </c>
      <c r="H34094" s="49">
        <f t="shared" si="2"/>
        <v>33225</v>
      </c>
    </row>
    <row r="34095">
      <c r="A34095" s="48" t="s">
        <v>562</v>
      </c>
      <c r="B34095" s="38">
        <v>54086.0</v>
      </c>
      <c r="C34095" s="38" t="s">
        <v>38317</v>
      </c>
      <c r="D34095" s="38" t="str">
        <f>IFERROR(__xludf.DUMMYFUNCTION("REGEXREPLACE(C34095,""-\d+(.*)|--\d+(.*)"","""")"),"BOUCQ")</f>
        <v>BOUCQ</v>
      </c>
      <c r="E34095" s="38" t="s">
        <v>548</v>
      </c>
      <c r="F34095" s="38" t="s">
        <v>195</v>
      </c>
      <c r="G34095" s="49" t="str">
        <f t="shared" si="1"/>
        <v>54200</v>
      </c>
      <c r="H34095" s="49">
        <f t="shared" si="2"/>
        <v>54086</v>
      </c>
    </row>
    <row r="34096">
      <c r="A34096" s="48" t="s">
        <v>1540</v>
      </c>
      <c r="B34096" s="38">
        <v>70199.0</v>
      </c>
      <c r="C34096" s="38" t="s">
        <v>38318</v>
      </c>
      <c r="D34096" s="38" t="str">
        <f>IFERROR(__xludf.DUMMYFUNCTION("REGEXREPLACE(C34096,""-\d+(.*)|--\d+(.*)"","""")"),"DAMPVALLEY-LES-COLOMBE")</f>
        <v>DAMPVALLEY-LES-COLOMBE</v>
      </c>
      <c r="E34096" s="38" t="s">
        <v>956</v>
      </c>
      <c r="F34096" s="38" t="s">
        <v>214</v>
      </c>
      <c r="G34096" s="49" t="str">
        <f t="shared" si="1"/>
        <v>70000</v>
      </c>
      <c r="H34096" s="49">
        <f t="shared" si="2"/>
        <v>70199</v>
      </c>
    </row>
    <row r="34097">
      <c r="A34097" s="48" t="s">
        <v>1713</v>
      </c>
      <c r="B34097" s="38">
        <v>36151.0</v>
      </c>
      <c r="C34097" s="38" t="s">
        <v>38319</v>
      </c>
      <c r="D34097" s="38" t="str">
        <f>IFERROR(__xludf.DUMMYFUNCTION("REGEXREPLACE(C34097,""-\d+(.*)|--\d+(.*)"","""")"),"PARPECAY")</f>
        <v>PARPECAY</v>
      </c>
      <c r="E34097" s="38" t="s">
        <v>258</v>
      </c>
      <c r="F34097" s="38" t="s">
        <v>123</v>
      </c>
      <c r="G34097" s="49" t="str">
        <f t="shared" si="1"/>
        <v>36210</v>
      </c>
      <c r="H34097" s="49">
        <f t="shared" si="2"/>
        <v>36151</v>
      </c>
    </row>
    <row r="34098">
      <c r="A34098" s="48" t="s">
        <v>1850</v>
      </c>
      <c r="B34098" s="38">
        <v>48138.0</v>
      </c>
      <c r="C34098" s="38" t="s">
        <v>38320</v>
      </c>
      <c r="D34098" s="38" t="str">
        <f>IFERROR(__xludf.DUMMYFUNCTION("REGEXREPLACE(C34098,""-\d+(.*)|--\d+(.*)"","""")"),"SAINT-BONNET-DE-CHIRAC")</f>
        <v>SAINT-BONNET-DE-CHIRAC</v>
      </c>
      <c r="E34098" s="38" t="s">
        <v>154</v>
      </c>
      <c r="F34098" s="38" t="s">
        <v>119</v>
      </c>
      <c r="G34098" s="49" t="str">
        <f t="shared" si="1"/>
        <v>48100</v>
      </c>
      <c r="H34098" s="49">
        <f t="shared" si="2"/>
        <v>48138</v>
      </c>
    </row>
    <row r="34099">
      <c r="A34099" s="48" t="s">
        <v>8107</v>
      </c>
      <c r="B34099" s="38">
        <v>86211.0</v>
      </c>
      <c r="C34099" s="38" t="s">
        <v>22770</v>
      </c>
      <c r="D34099" s="38" t="str">
        <f>IFERROR(__xludf.DUMMYFUNCTION("REGEXREPLACE(C34099,""-\d+(.*)|--\d+(.*)"","""")"),"ROMAGNE")</f>
        <v>ROMAGNE</v>
      </c>
      <c r="E34099" s="38" t="s">
        <v>529</v>
      </c>
      <c r="F34099" s="38" t="s">
        <v>338</v>
      </c>
      <c r="G34099" s="49" t="str">
        <f t="shared" si="1"/>
        <v>86700</v>
      </c>
      <c r="H34099" s="49">
        <f t="shared" si="2"/>
        <v>86211</v>
      </c>
    </row>
    <row r="34100">
      <c r="A34100" s="48" t="s">
        <v>38321</v>
      </c>
      <c r="B34100" s="38">
        <v>44215.0</v>
      </c>
      <c r="C34100" s="38" t="s">
        <v>38322</v>
      </c>
      <c r="D34100" s="38" t="str">
        <f>IFERROR(__xludf.DUMMYFUNCTION("REGEXREPLACE(C34100,""-\d+(.*)|--\d+(.*)"","""")"),"VERTOU")</f>
        <v>VERTOU</v>
      </c>
      <c r="E34100" s="38" t="s">
        <v>759</v>
      </c>
      <c r="F34100" s="38" t="s">
        <v>180</v>
      </c>
      <c r="G34100" s="49" t="str">
        <f t="shared" si="1"/>
        <v>44120</v>
      </c>
      <c r="H34100" s="49">
        <f t="shared" si="2"/>
        <v>44215</v>
      </c>
    </row>
    <row r="34101">
      <c r="A34101" s="48" t="s">
        <v>4596</v>
      </c>
      <c r="B34101" s="38">
        <v>2799.0</v>
      </c>
      <c r="C34101" s="38" t="s">
        <v>38323</v>
      </c>
      <c r="D34101" s="38" t="str">
        <f>IFERROR(__xludf.DUMMYFUNCTION("REGEXREPLACE(C34101,""-\d+(.*)|--\d+(.*)"","""")"),"VIERZY")</f>
        <v>VIERZY</v>
      </c>
      <c r="E34101" s="38" t="s">
        <v>191</v>
      </c>
      <c r="F34101" s="38" t="s">
        <v>113</v>
      </c>
      <c r="G34101" s="49" t="str">
        <f t="shared" si="1"/>
        <v>02210</v>
      </c>
      <c r="H34101" s="49" t="str">
        <f t="shared" si="2"/>
        <v>02799</v>
      </c>
    </row>
    <row r="34102">
      <c r="A34102" s="48" t="s">
        <v>816</v>
      </c>
      <c r="B34102" s="38">
        <v>11073.0</v>
      </c>
      <c r="C34102" s="38" t="s">
        <v>38324</v>
      </c>
      <c r="D34102" s="38" t="str">
        <f>IFERROR(__xludf.DUMMYFUNCTION("REGEXREPLACE(C34102,""-\d+(.*)|--\d+(.*)"","""")"),"CASSAIGNES")</f>
        <v>CASSAIGNES</v>
      </c>
      <c r="E34102" s="38" t="s">
        <v>278</v>
      </c>
      <c r="F34102" s="38" t="s">
        <v>119</v>
      </c>
      <c r="G34102" s="49" t="str">
        <f t="shared" si="1"/>
        <v>11190</v>
      </c>
      <c r="H34102" s="49">
        <f t="shared" si="2"/>
        <v>11073</v>
      </c>
    </row>
    <row r="34103">
      <c r="A34103" s="48" t="s">
        <v>1677</v>
      </c>
      <c r="B34103" s="38">
        <v>59004.0</v>
      </c>
      <c r="C34103" s="38" t="s">
        <v>28211</v>
      </c>
      <c r="D34103" s="38" t="str">
        <f>IFERROR(__xludf.DUMMYFUNCTION("REGEXREPLACE(C34103,""-\d+(.*)|--\d+(.*)"","""")"),"AIX")</f>
        <v>AIX</v>
      </c>
      <c r="E34103" s="38" t="s">
        <v>85</v>
      </c>
      <c r="F34103" s="38" t="s">
        <v>86</v>
      </c>
      <c r="G34103" s="49" t="str">
        <f t="shared" si="1"/>
        <v>59310</v>
      </c>
      <c r="H34103" s="49">
        <f t="shared" si="2"/>
        <v>59004</v>
      </c>
    </row>
    <row r="34104">
      <c r="A34104" s="48" t="s">
        <v>1900</v>
      </c>
      <c r="B34104" s="38">
        <v>45339.0</v>
      </c>
      <c r="C34104" s="38" t="s">
        <v>38325</v>
      </c>
      <c r="D34104" s="38" t="str">
        <f>IFERROR(__xludf.DUMMYFUNCTION("REGEXREPLACE(C34104,""-\d+(.*)|--\d+(.*)"","""")"),"VILLEMOUTIERS")</f>
        <v>VILLEMOUTIERS</v>
      </c>
      <c r="E34104" s="38" t="s">
        <v>122</v>
      </c>
      <c r="F34104" s="38" t="s">
        <v>123</v>
      </c>
      <c r="G34104" s="49" t="str">
        <f t="shared" si="1"/>
        <v>45270</v>
      </c>
      <c r="H34104" s="49">
        <f t="shared" si="2"/>
        <v>45339</v>
      </c>
    </row>
    <row r="34105">
      <c r="A34105" s="48" t="s">
        <v>3683</v>
      </c>
      <c r="B34105" s="38">
        <v>58258.0</v>
      </c>
      <c r="C34105" s="38" t="s">
        <v>38326</v>
      </c>
      <c r="D34105" s="38" t="str">
        <f>IFERROR(__xludf.DUMMYFUNCTION("REGEXREPLACE(C34105,""-\d+(.*)|--\d+(.*)"","""")"),"SAINT-OUEN-SUR-LOIRE")</f>
        <v>SAINT-OUEN-SUR-LOIRE</v>
      </c>
      <c r="E34105" s="38" t="s">
        <v>219</v>
      </c>
      <c r="F34105" s="38" t="s">
        <v>106</v>
      </c>
      <c r="G34105" s="49" t="str">
        <f t="shared" si="1"/>
        <v>58160</v>
      </c>
      <c r="H34105" s="49">
        <f t="shared" si="2"/>
        <v>58258</v>
      </c>
    </row>
    <row r="34106">
      <c r="A34106" s="48" t="s">
        <v>9871</v>
      </c>
      <c r="B34106" s="38">
        <v>22019.0</v>
      </c>
      <c r="C34106" s="38" t="s">
        <v>38327</v>
      </c>
      <c r="D34106" s="38" t="str">
        <f>IFERROR(__xludf.DUMMYFUNCTION("REGEXREPLACE(C34106,""-\d+(.*)|--\d+(.*)"","""")"),"BRINGOLO")</f>
        <v>BRINGOLO</v>
      </c>
      <c r="E34106" s="38" t="s">
        <v>89</v>
      </c>
      <c r="F34106" s="38" t="s">
        <v>90</v>
      </c>
      <c r="G34106" s="49" t="str">
        <f t="shared" si="1"/>
        <v>22170</v>
      </c>
      <c r="H34106" s="49">
        <f t="shared" si="2"/>
        <v>22019</v>
      </c>
    </row>
    <row r="34107">
      <c r="A34107" s="48" t="s">
        <v>3812</v>
      </c>
      <c r="B34107" s="38">
        <v>71156.0</v>
      </c>
      <c r="C34107" s="38" t="s">
        <v>38328</v>
      </c>
      <c r="D34107" s="38" t="str">
        <f>IFERROR(__xludf.DUMMYFUNCTION("REGEXREPLACE(C34107,""-\d+(.*)|--\d+(.*)"","""")"),"CRUZILLE")</f>
        <v>CRUZILLE</v>
      </c>
      <c r="E34107" s="38" t="s">
        <v>344</v>
      </c>
      <c r="F34107" s="38" t="s">
        <v>106</v>
      </c>
      <c r="G34107" s="49" t="str">
        <f t="shared" si="1"/>
        <v>71260</v>
      </c>
      <c r="H34107" s="49">
        <f t="shared" si="2"/>
        <v>71156</v>
      </c>
    </row>
    <row r="34108">
      <c r="A34108" s="48" t="s">
        <v>4469</v>
      </c>
      <c r="B34108" s="38">
        <v>83124.0</v>
      </c>
      <c r="C34108" s="38" t="s">
        <v>38329</v>
      </c>
      <c r="D34108" s="38" t="str">
        <f>IFERROR(__xludf.DUMMYFUNCTION("REGEXREPLACE(C34108,""-\d+(.*)|--\d+(.*)"","""")"),"SEILLANS")</f>
        <v>SEILLANS</v>
      </c>
      <c r="E34108" s="38" t="s">
        <v>813</v>
      </c>
      <c r="F34108" s="38" t="s">
        <v>228</v>
      </c>
      <c r="G34108" s="49" t="str">
        <f t="shared" si="1"/>
        <v>83440</v>
      </c>
      <c r="H34108" s="49">
        <f t="shared" si="2"/>
        <v>83124</v>
      </c>
    </row>
    <row r="34109">
      <c r="A34109" s="48" t="s">
        <v>958</v>
      </c>
      <c r="B34109" s="38">
        <v>71554.0</v>
      </c>
      <c r="C34109" s="38" t="s">
        <v>38330</v>
      </c>
      <c r="D34109" s="38" t="str">
        <f>IFERROR(__xludf.DUMMYFUNCTION("REGEXREPLACE(C34109,""-\d+(.*)|--\d+(.*)"","""")"),"VARENNE-L'ARCONCE")</f>
        <v>VARENNE-L'ARCONCE</v>
      </c>
      <c r="E34109" s="38" t="s">
        <v>344</v>
      </c>
      <c r="F34109" s="38" t="s">
        <v>106</v>
      </c>
      <c r="G34109" s="49" t="str">
        <f t="shared" si="1"/>
        <v>71110</v>
      </c>
      <c r="H34109" s="49">
        <f t="shared" si="2"/>
        <v>71554</v>
      </c>
    </row>
    <row r="34110">
      <c r="A34110" s="48" t="s">
        <v>6945</v>
      </c>
      <c r="B34110" s="38">
        <v>80292.0</v>
      </c>
      <c r="C34110" s="38" t="s">
        <v>38331</v>
      </c>
      <c r="D34110" s="38" t="str">
        <f>IFERROR(__xludf.DUMMYFUNCTION("REGEXREPLACE(C34110,""-\d+(.*)|--\d+(.*)"","""")"),"ETALON")</f>
        <v>ETALON</v>
      </c>
      <c r="E34110" s="38" t="s">
        <v>224</v>
      </c>
      <c r="F34110" s="38" t="s">
        <v>113</v>
      </c>
      <c r="G34110" s="49" t="str">
        <f t="shared" si="1"/>
        <v>80190</v>
      </c>
      <c r="H34110" s="49">
        <f t="shared" si="2"/>
        <v>80292</v>
      </c>
    </row>
    <row r="34111">
      <c r="A34111" s="48" t="s">
        <v>8632</v>
      </c>
      <c r="B34111" s="38">
        <v>50097.0</v>
      </c>
      <c r="C34111" s="38" t="s">
        <v>38332</v>
      </c>
      <c r="D34111" s="38" t="str">
        <f>IFERROR(__xludf.DUMMYFUNCTION("REGEXREPLACE(C34111,""-\d+(.*)|--\d+(.*)"","""")"),"CANVILLE-LA-ROCQUE")</f>
        <v>CANVILLE-LA-ROCQUE</v>
      </c>
      <c r="E34111" s="38" t="s">
        <v>157</v>
      </c>
      <c r="F34111" s="38" t="s">
        <v>138</v>
      </c>
      <c r="G34111" s="49" t="str">
        <f t="shared" si="1"/>
        <v>50580</v>
      </c>
      <c r="H34111" s="49">
        <f t="shared" si="2"/>
        <v>50097</v>
      </c>
    </row>
    <row r="34112">
      <c r="A34112" s="48" t="s">
        <v>38333</v>
      </c>
      <c r="B34112" s="38">
        <v>77301.0</v>
      </c>
      <c r="C34112" s="38" t="s">
        <v>38334</v>
      </c>
      <c r="D34112" s="38" t="str">
        <f>IFERROR(__xludf.DUMMYFUNCTION("REGEXREPLACE(C34112,""-\d+(.*)|--\d+(.*)"","""")"),"MONTCEAUX-LES-PROVINS")</f>
        <v>MONTCEAUX-LES-PROVINS</v>
      </c>
      <c r="E34112" s="38" t="s">
        <v>244</v>
      </c>
      <c r="F34112" s="38" t="s">
        <v>245</v>
      </c>
      <c r="G34112" s="49" t="str">
        <f t="shared" si="1"/>
        <v>77151</v>
      </c>
      <c r="H34112" s="49">
        <f t="shared" si="2"/>
        <v>77301</v>
      </c>
    </row>
    <row r="34113">
      <c r="A34113" s="48" t="s">
        <v>9376</v>
      </c>
      <c r="B34113" s="38">
        <v>14518.0</v>
      </c>
      <c r="C34113" s="38" t="s">
        <v>38335</v>
      </c>
      <c r="D34113" s="38" t="str">
        <f>IFERROR(__xludf.DUMMYFUNCTION("REGEXREPLACE(C34113,""-\d+(.*)|--\d+(.*)"","""")"),"PREAUX-SAINT-SEBASTIEN")</f>
        <v>PREAUX-SAINT-SEBASTIEN</v>
      </c>
      <c r="E34113" s="38" t="s">
        <v>137</v>
      </c>
      <c r="F34113" s="38" t="s">
        <v>138</v>
      </c>
      <c r="G34113" s="49" t="str">
        <f t="shared" si="1"/>
        <v>14290</v>
      </c>
      <c r="H34113" s="49">
        <f t="shared" si="2"/>
        <v>14518</v>
      </c>
    </row>
    <row r="34114">
      <c r="A34114" s="48" t="s">
        <v>1731</v>
      </c>
      <c r="B34114" s="38">
        <v>38451.0</v>
      </c>
      <c r="C34114" s="38" t="s">
        <v>38336</v>
      </c>
      <c r="D34114" s="38" t="str">
        <f>IFERROR(__xludf.DUMMYFUNCTION("REGEXREPLACE(C34114,""-\d+(.*)|--\d+(.*)"","""")"),"SAINT-ROMAIN-DE-JALIONAS")</f>
        <v>SAINT-ROMAIN-DE-JALIONAS</v>
      </c>
      <c r="E34114" s="38" t="s">
        <v>101</v>
      </c>
      <c r="F34114" s="38" t="s">
        <v>102</v>
      </c>
      <c r="G34114" s="49" t="str">
        <f t="shared" si="1"/>
        <v>38460</v>
      </c>
      <c r="H34114" s="49">
        <f t="shared" si="2"/>
        <v>38451</v>
      </c>
    </row>
    <row r="34115">
      <c r="A34115" s="48" t="s">
        <v>12015</v>
      </c>
      <c r="B34115" s="38">
        <v>25112.0</v>
      </c>
      <c r="C34115" s="38" t="s">
        <v>38337</v>
      </c>
      <c r="D34115" s="38" t="str">
        <f>IFERROR(__xludf.DUMMYFUNCTION("REGEXREPLACE(C34115,""-\d+(.*)|--\d+(.*)"","""")"),"CHALEZEULE")</f>
        <v>CHALEZEULE</v>
      </c>
      <c r="E34115" s="38" t="s">
        <v>213</v>
      </c>
      <c r="F34115" s="38" t="s">
        <v>214</v>
      </c>
      <c r="G34115" s="49" t="str">
        <f t="shared" si="1"/>
        <v>25220</v>
      </c>
      <c r="H34115" s="49">
        <f t="shared" si="2"/>
        <v>25112</v>
      </c>
    </row>
    <row r="34116">
      <c r="A34116" s="48" t="s">
        <v>8768</v>
      </c>
      <c r="B34116" s="38">
        <v>30171.0</v>
      </c>
      <c r="C34116" s="38" t="s">
        <v>38338</v>
      </c>
      <c r="D34116" s="38" t="str">
        <f>IFERROR(__xludf.DUMMYFUNCTION("REGEXREPLACE(C34116,""-\d+(.*)|--\d+(.*)"","""")"),"MOLIERES-SUR-CEZE")</f>
        <v>MOLIERES-SUR-CEZE</v>
      </c>
      <c r="E34116" s="38" t="s">
        <v>526</v>
      </c>
      <c r="F34116" s="38" t="s">
        <v>119</v>
      </c>
      <c r="G34116" s="49" t="str">
        <f t="shared" si="1"/>
        <v>30410</v>
      </c>
      <c r="H34116" s="49">
        <f t="shared" si="2"/>
        <v>30171</v>
      </c>
    </row>
    <row r="34117">
      <c r="A34117" s="48" t="s">
        <v>22525</v>
      </c>
      <c r="B34117" s="38">
        <v>4033.0</v>
      </c>
      <c r="C34117" s="38" t="s">
        <v>38339</v>
      </c>
      <c r="D34117" s="38" t="str">
        <f>IFERROR(__xludf.DUMMYFUNCTION("REGEXREPLACE(C34117,""-\d+(.*)|--\d+(.*)"","""")"),"LA BREOLE")</f>
        <v>LA BREOLE</v>
      </c>
      <c r="E34117" s="38" t="s">
        <v>662</v>
      </c>
      <c r="F34117" s="38" t="s">
        <v>228</v>
      </c>
      <c r="G34117" s="49" t="str">
        <f t="shared" si="1"/>
        <v>04340</v>
      </c>
      <c r="H34117" s="49" t="str">
        <f t="shared" si="2"/>
        <v>04033</v>
      </c>
    </row>
    <row r="34118">
      <c r="A34118" s="48" t="s">
        <v>717</v>
      </c>
      <c r="B34118" s="38">
        <v>31518.0</v>
      </c>
      <c r="C34118" s="38" t="s">
        <v>11968</v>
      </c>
      <c r="D34118" s="38" t="str">
        <f>IFERROR(__xludf.DUMMYFUNCTION("REGEXREPLACE(C34118,""-\d+(.*)|--\d+(.*)"","""")"),"SAINT-THOMAS")</f>
        <v>SAINT-THOMAS</v>
      </c>
      <c r="E34118" s="38" t="s">
        <v>93</v>
      </c>
      <c r="F34118" s="38" t="s">
        <v>94</v>
      </c>
      <c r="G34118" s="49" t="str">
        <f t="shared" si="1"/>
        <v>31470</v>
      </c>
      <c r="H34118" s="49">
        <f t="shared" si="2"/>
        <v>31518</v>
      </c>
    </row>
    <row r="34119">
      <c r="A34119" s="48" t="s">
        <v>145</v>
      </c>
      <c r="B34119" s="38">
        <v>10140.0</v>
      </c>
      <c r="C34119" s="38" t="s">
        <v>38340</v>
      </c>
      <c r="D34119" s="38" t="str">
        <f>IFERROR(__xludf.DUMMYFUNCTION("REGEXREPLACE(C34119,""-\d+(.*)|--\d+(.*)"","""")"),"ERVY-LE-CHATEL")</f>
        <v>ERVY-LE-CHATEL</v>
      </c>
      <c r="E34119" s="38" t="s">
        <v>147</v>
      </c>
      <c r="F34119" s="38" t="s">
        <v>130</v>
      </c>
      <c r="G34119" s="49" t="str">
        <f t="shared" si="1"/>
        <v>10130</v>
      </c>
      <c r="H34119" s="49">
        <f t="shared" si="2"/>
        <v>10140</v>
      </c>
    </row>
    <row r="34120">
      <c r="A34120" s="48" t="s">
        <v>14258</v>
      </c>
      <c r="B34120" s="38">
        <v>34093.0</v>
      </c>
      <c r="C34120" s="38" t="s">
        <v>38341</v>
      </c>
      <c r="D34120" s="38" t="str">
        <f>IFERROR(__xludf.DUMMYFUNCTION("REGEXREPLACE(C34120,""-\d+(.*)|--\d+(.*)"","""")"),"DIO-ET-VALQUIERES")</f>
        <v>DIO-ET-VALQUIERES</v>
      </c>
      <c r="E34120" s="38" t="s">
        <v>118</v>
      </c>
      <c r="F34120" s="38" t="s">
        <v>119</v>
      </c>
      <c r="G34120" s="49" t="str">
        <f t="shared" si="1"/>
        <v>34650</v>
      </c>
      <c r="H34120" s="49">
        <f t="shared" si="2"/>
        <v>34093</v>
      </c>
    </row>
    <row r="34121">
      <c r="A34121" s="48" t="s">
        <v>2946</v>
      </c>
      <c r="B34121" s="38">
        <v>51517.0</v>
      </c>
      <c r="C34121" s="38" t="s">
        <v>38342</v>
      </c>
      <c r="D34121" s="38" t="str">
        <f>IFERROR(__xludf.DUMMYFUNCTION("REGEXREPLACE(C34121,""-\d+(.*)|--\d+(.*)"","""")"),"SAINT-SOUPLET-SUR-PY")</f>
        <v>SAINT-SOUPLET-SUR-PY</v>
      </c>
      <c r="E34121" s="38" t="s">
        <v>129</v>
      </c>
      <c r="F34121" s="38" t="s">
        <v>130</v>
      </c>
      <c r="G34121" s="49" t="str">
        <f t="shared" si="1"/>
        <v>51600</v>
      </c>
      <c r="H34121" s="49">
        <f t="shared" si="2"/>
        <v>51517</v>
      </c>
    </row>
    <row r="34122">
      <c r="A34122" s="48" t="s">
        <v>4679</v>
      </c>
      <c r="B34122" s="38">
        <v>17347.0</v>
      </c>
      <c r="C34122" s="38" t="s">
        <v>38343</v>
      </c>
      <c r="D34122" s="38" t="str">
        <f>IFERROR(__xludf.DUMMYFUNCTION("REGEXREPLACE(C34122,""-\d+(.*)|--\d+(.*)"","""")"),"SAINT-JEAN-D'ANGELY")</f>
        <v>SAINT-JEAN-D'ANGELY</v>
      </c>
      <c r="E34122" s="38" t="s">
        <v>488</v>
      </c>
      <c r="F34122" s="38" t="s">
        <v>338</v>
      </c>
      <c r="G34122" s="49" t="str">
        <f t="shared" si="1"/>
        <v>17400</v>
      </c>
      <c r="H34122" s="49">
        <f t="shared" si="2"/>
        <v>17347</v>
      </c>
    </row>
    <row r="34123">
      <c r="A34123" s="48" t="s">
        <v>794</v>
      </c>
      <c r="B34123" s="38">
        <v>60648.0</v>
      </c>
      <c r="C34123" s="38" t="s">
        <v>38344</v>
      </c>
      <c r="D34123" s="38" t="str">
        <f>IFERROR(__xludf.DUMMYFUNCTION("REGEXREPLACE(C34123,""-\d+(.*)|--\d+(.*)"","""")"),"TROUSSENCOURT")</f>
        <v>TROUSSENCOURT</v>
      </c>
      <c r="E34123" s="38" t="s">
        <v>112</v>
      </c>
      <c r="F34123" s="38" t="s">
        <v>113</v>
      </c>
      <c r="G34123" s="49" t="str">
        <f t="shared" si="1"/>
        <v>60120</v>
      </c>
      <c r="H34123" s="49">
        <f t="shared" si="2"/>
        <v>60648</v>
      </c>
    </row>
    <row r="34124">
      <c r="A34124" s="48" t="s">
        <v>5372</v>
      </c>
      <c r="B34124" s="38">
        <v>73187.0</v>
      </c>
      <c r="C34124" s="38" t="s">
        <v>38345</v>
      </c>
      <c r="D34124" s="38" t="str">
        <f>IFERROR(__xludf.DUMMYFUNCTION("REGEXREPLACE(C34124,""-\d+(.*)|--\d+(.*)"","""")"),"LA LECHERE")</f>
        <v>LA LECHERE</v>
      </c>
      <c r="E34124" s="38" t="s">
        <v>306</v>
      </c>
      <c r="F34124" s="38" t="s">
        <v>102</v>
      </c>
      <c r="G34124" s="49" t="str">
        <f t="shared" si="1"/>
        <v>73260</v>
      </c>
      <c r="H34124" s="49">
        <f t="shared" si="2"/>
        <v>73187</v>
      </c>
    </row>
    <row r="34125">
      <c r="A34125" s="48" t="s">
        <v>5608</v>
      </c>
      <c r="B34125" s="38">
        <v>57275.0</v>
      </c>
      <c r="C34125" s="38" t="s">
        <v>38346</v>
      </c>
      <c r="D34125" s="38" t="str">
        <f>IFERROR(__xludf.DUMMYFUNCTION("REGEXREPLACE(C34125,""-\d+(.*)|--\d+(.*)"","""")"),"GUESSLING-HEMERING")</f>
        <v>GUESSLING-HEMERING</v>
      </c>
      <c r="E34125" s="38" t="s">
        <v>303</v>
      </c>
      <c r="F34125" s="38" t="s">
        <v>195</v>
      </c>
      <c r="G34125" s="49" t="str">
        <f t="shared" si="1"/>
        <v>57380</v>
      </c>
      <c r="H34125" s="49">
        <f t="shared" si="2"/>
        <v>57275</v>
      </c>
    </row>
    <row r="34126">
      <c r="A34126" s="48" t="s">
        <v>307</v>
      </c>
      <c r="B34126" s="38">
        <v>88083.0</v>
      </c>
      <c r="C34126" s="38" t="s">
        <v>38347</v>
      </c>
      <c r="D34126" s="38" t="str">
        <f>IFERROR(__xludf.DUMMYFUNCTION("REGEXREPLACE(C34126,""-\d+(.*)|--\d+(.*)"","""")"),"CERTILLEUX")</f>
        <v>CERTILLEUX</v>
      </c>
      <c r="E34126" s="38" t="s">
        <v>194</v>
      </c>
      <c r="F34126" s="38" t="s">
        <v>195</v>
      </c>
      <c r="G34126" s="49" t="str">
        <f t="shared" si="1"/>
        <v>88300</v>
      </c>
      <c r="H34126" s="49">
        <f t="shared" si="2"/>
        <v>88083</v>
      </c>
    </row>
    <row r="34127">
      <c r="A34127" s="48" t="s">
        <v>946</v>
      </c>
      <c r="B34127" s="38">
        <v>81264.0</v>
      </c>
      <c r="C34127" s="38" t="s">
        <v>38348</v>
      </c>
      <c r="D34127" s="38" t="str">
        <f>IFERROR(__xludf.DUMMYFUNCTION("REGEXREPLACE(C34127,""-\d+(.*)|--\d+(.*)"","""")"),"SAINT-MICHEL-LABADIE")</f>
        <v>SAINT-MICHEL-LABADIE</v>
      </c>
      <c r="E34127" s="38" t="s">
        <v>231</v>
      </c>
      <c r="F34127" s="38" t="s">
        <v>94</v>
      </c>
      <c r="G34127" s="49" t="str">
        <f t="shared" si="1"/>
        <v>81340</v>
      </c>
      <c r="H34127" s="49">
        <f t="shared" si="2"/>
        <v>81264</v>
      </c>
    </row>
    <row r="34128">
      <c r="A34128" s="48" t="s">
        <v>2508</v>
      </c>
      <c r="B34128" s="38">
        <v>1045.0</v>
      </c>
      <c r="C34128" s="38" t="s">
        <v>38349</v>
      </c>
      <c r="D34128" s="38" t="str">
        <f>IFERROR(__xludf.DUMMYFUNCTION("REGEXREPLACE(C34128,""-\d+(.*)|--\d+(.*)"","""")"),"BIRIEUX")</f>
        <v>BIRIEUX</v>
      </c>
      <c r="E34128" s="38" t="s">
        <v>255</v>
      </c>
      <c r="F34128" s="38" t="s">
        <v>102</v>
      </c>
      <c r="G34128" s="49" t="str">
        <f t="shared" si="1"/>
        <v>01330</v>
      </c>
      <c r="H34128" s="49" t="str">
        <f t="shared" si="2"/>
        <v>01045</v>
      </c>
    </row>
    <row r="34129">
      <c r="A34129" s="48" t="s">
        <v>1022</v>
      </c>
      <c r="B34129" s="38">
        <v>2753.0</v>
      </c>
      <c r="C34129" s="38" t="s">
        <v>38350</v>
      </c>
      <c r="D34129" s="38" t="str">
        <f>IFERROR(__xludf.DUMMYFUNCTION("REGEXREPLACE(C34129,""-\d+(.*)|--\d+(.*)"","""")"),"TUPIGNY")</f>
        <v>TUPIGNY</v>
      </c>
      <c r="E34129" s="38" t="s">
        <v>191</v>
      </c>
      <c r="F34129" s="38" t="s">
        <v>113</v>
      </c>
      <c r="G34129" s="49" t="str">
        <f t="shared" si="1"/>
        <v>02120</v>
      </c>
      <c r="H34129" s="49" t="str">
        <f t="shared" si="2"/>
        <v>02753</v>
      </c>
    </row>
    <row r="34130">
      <c r="A34130" s="48" t="s">
        <v>4895</v>
      </c>
      <c r="B34130" s="38">
        <v>34249.0</v>
      </c>
      <c r="C34130" s="38" t="s">
        <v>38351</v>
      </c>
      <c r="D34130" s="38" t="str">
        <f>IFERROR(__xludf.DUMMYFUNCTION("REGEXREPLACE(C34130,""-\d+(.*)|--\d+(.*)"","""")"),"SAINT-DREZERY")</f>
        <v>SAINT-DREZERY</v>
      </c>
      <c r="E34130" s="38" t="s">
        <v>118</v>
      </c>
      <c r="F34130" s="38" t="s">
        <v>119</v>
      </c>
      <c r="G34130" s="49" t="str">
        <f t="shared" si="1"/>
        <v>34160</v>
      </c>
      <c r="H34130" s="49">
        <f t="shared" si="2"/>
        <v>34249</v>
      </c>
    </row>
    <row r="34131">
      <c r="A34131" s="48" t="s">
        <v>466</v>
      </c>
      <c r="B34131" s="38">
        <v>52512.0</v>
      </c>
      <c r="C34131" s="38" t="s">
        <v>38352</v>
      </c>
      <c r="D34131" s="38" t="str">
        <f>IFERROR(__xludf.DUMMYFUNCTION("REGEXREPLACE(C34131,""-\d+(.*)|--\d+(.*)"","""")"),"VECQUEVILLE")</f>
        <v>VECQUEVILLE</v>
      </c>
      <c r="E34131" s="38" t="s">
        <v>234</v>
      </c>
      <c r="F34131" s="38" t="s">
        <v>130</v>
      </c>
      <c r="G34131" s="49" t="str">
        <f t="shared" si="1"/>
        <v>52300</v>
      </c>
      <c r="H34131" s="49">
        <f t="shared" si="2"/>
        <v>52512</v>
      </c>
    </row>
    <row r="34132">
      <c r="A34132" s="48" t="s">
        <v>5041</v>
      </c>
      <c r="B34132" s="38">
        <v>3287.0</v>
      </c>
      <c r="C34132" s="38" t="s">
        <v>4580</v>
      </c>
      <c r="D34132" s="38" t="str">
        <f>IFERROR(__xludf.DUMMYFUNCTION("REGEXREPLACE(C34132,""-\d+(.*)|--\d+(.*)"","""")"),"TREBAN")</f>
        <v>TREBAN</v>
      </c>
      <c r="E34132" s="38" t="s">
        <v>160</v>
      </c>
      <c r="F34132" s="38" t="s">
        <v>161</v>
      </c>
      <c r="G34132" s="49" t="str">
        <f t="shared" si="1"/>
        <v>03240</v>
      </c>
      <c r="H34132" s="49" t="str">
        <f t="shared" si="2"/>
        <v>03287</v>
      </c>
    </row>
    <row r="34133">
      <c r="A34133" s="48" t="s">
        <v>26655</v>
      </c>
      <c r="B34133" s="38">
        <v>71408.0</v>
      </c>
      <c r="C34133" s="38" t="s">
        <v>38353</v>
      </c>
      <c r="D34133" s="38" t="str">
        <f>IFERROR(__xludf.DUMMYFUNCTION("REGEXREPLACE(C34133,""-\d+(.*)|--\d+(.*)"","""")"),"SAINT-EDMOND")</f>
        <v>SAINT-EDMOND</v>
      </c>
      <c r="E34133" s="38" t="s">
        <v>344</v>
      </c>
      <c r="F34133" s="38" t="s">
        <v>106</v>
      </c>
      <c r="G34133" s="49" t="str">
        <f t="shared" si="1"/>
        <v>71740</v>
      </c>
      <c r="H34133" s="49">
        <f t="shared" si="2"/>
        <v>71408</v>
      </c>
    </row>
    <row r="34134">
      <c r="A34134" s="48" t="s">
        <v>3508</v>
      </c>
      <c r="B34134" s="38">
        <v>51651.0</v>
      </c>
      <c r="C34134" s="38" t="s">
        <v>38354</v>
      </c>
      <c r="D34134" s="38" t="str">
        <f>IFERROR(__xludf.DUMMYFUNCTION("REGEXREPLACE(C34134,""-\d+(.*)|--\d+(.*)"","""")"),"VOIPREUX")</f>
        <v>VOIPREUX</v>
      </c>
      <c r="E34134" s="38" t="s">
        <v>129</v>
      </c>
      <c r="F34134" s="38" t="s">
        <v>130</v>
      </c>
      <c r="G34134" s="49" t="str">
        <f t="shared" si="1"/>
        <v>51130</v>
      </c>
      <c r="H34134" s="49">
        <f t="shared" si="2"/>
        <v>51651</v>
      </c>
    </row>
    <row r="34135">
      <c r="A34135" s="48" t="s">
        <v>1091</v>
      </c>
      <c r="B34135" s="38">
        <v>57648.0</v>
      </c>
      <c r="C34135" s="38" t="s">
        <v>38355</v>
      </c>
      <c r="D34135" s="38" t="str">
        <f>IFERROR(__xludf.DUMMYFUNCTION("REGEXREPLACE(C34135,""-\d+(.*)|--\d+(.*)"","""")"),"SERVIGNY-LES-RAVILLE")</f>
        <v>SERVIGNY-LES-RAVILLE</v>
      </c>
      <c r="E34135" s="38" t="s">
        <v>303</v>
      </c>
      <c r="F34135" s="38" t="s">
        <v>195</v>
      </c>
      <c r="G34135" s="49" t="str">
        <f t="shared" si="1"/>
        <v>57530</v>
      </c>
      <c r="H34135" s="49">
        <f t="shared" si="2"/>
        <v>57648</v>
      </c>
    </row>
    <row r="34136">
      <c r="A34136" s="48" t="s">
        <v>8434</v>
      </c>
      <c r="B34136" s="38">
        <v>41011.0</v>
      </c>
      <c r="C34136" s="38" t="s">
        <v>1591</v>
      </c>
      <c r="D34136" s="38" t="str">
        <f>IFERROR(__xludf.DUMMYFUNCTION("REGEXREPLACE(C34136,""-\d+(.*)|--\d+(.*)"","""")"),"BAIGNEAUX")</f>
        <v>BAIGNEAUX</v>
      </c>
      <c r="E34136" s="38" t="s">
        <v>188</v>
      </c>
      <c r="F34136" s="38" t="s">
        <v>123</v>
      </c>
      <c r="G34136" s="49" t="str">
        <f t="shared" si="1"/>
        <v>41290</v>
      </c>
      <c r="H34136" s="49">
        <f t="shared" si="2"/>
        <v>41011</v>
      </c>
    </row>
    <row r="34137">
      <c r="A34137" s="48" t="s">
        <v>8129</v>
      </c>
      <c r="B34137" s="38">
        <v>70352.0</v>
      </c>
      <c r="C34137" s="38" t="s">
        <v>1411</v>
      </c>
      <c r="D34137" s="38" t="str">
        <f>IFERROR(__xludf.DUMMYFUNCTION("REGEXREPLACE(C34137,""-\d+(.*)|--\d+(.*)"","""")"),"LA MONTAGNE")</f>
        <v>LA MONTAGNE</v>
      </c>
      <c r="E34137" s="38" t="s">
        <v>956</v>
      </c>
      <c r="F34137" s="38" t="s">
        <v>214</v>
      </c>
      <c r="G34137" s="49" t="str">
        <f t="shared" si="1"/>
        <v>70310</v>
      </c>
      <c r="H34137" s="49">
        <f t="shared" si="2"/>
        <v>70352</v>
      </c>
    </row>
    <row r="34138">
      <c r="A34138" s="48" t="s">
        <v>2661</v>
      </c>
      <c r="B34138" s="38">
        <v>50119.0</v>
      </c>
      <c r="C34138" s="38" t="s">
        <v>38356</v>
      </c>
      <c r="D34138" s="38" t="str">
        <f>IFERROR(__xludf.DUMMYFUNCTION("REGEXREPLACE(C34138,""-\d+(.*)|--\d+(.*)"","""")"),"LES CHAMPS-DE-LOSQUE")</f>
        <v>LES CHAMPS-DE-LOSQUE</v>
      </c>
      <c r="E34138" s="38" t="s">
        <v>157</v>
      </c>
      <c r="F34138" s="38" t="s">
        <v>138</v>
      </c>
      <c r="G34138" s="49" t="str">
        <f t="shared" si="1"/>
        <v>50620</v>
      </c>
      <c r="H34138" s="49">
        <f t="shared" si="2"/>
        <v>50119</v>
      </c>
    </row>
    <row r="34139">
      <c r="A34139" s="48" t="s">
        <v>10533</v>
      </c>
      <c r="B34139" s="38">
        <v>87146.0</v>
      </c>
      <c r="C34139" s="38" t="s">
        <v>38357</v>
      </c>
      <c r="D34139" s="38" t="str">
        <f>IFERROR(__xludf.DUMMYFUNCTION("REGEXREPLACE(C34139,""-\d+(.*)|--\d+(.*)"","""")"),"SAINT-GERMAIN-LES-BELLES")</f>
        <v>SAINT-GERMAIN-LES-BELLES</v>
      </c>
      <c r="E34139" s="38" t="s">
        <v>897</v>
      </c>
      <c r="F34139" s="38" t="s">
        <v>98</v>
      </c>
      <c r="G34139" s="49" t="str">
        <f t="shared" si="1"/>
        <v>87380</v>
      </c>
      <c r="H34139" s="49">
        <f t="shared" si="2"/>
        <v>87146</v>
      </c>
    </row>
    <row r="34140">
      <c r="A34140" s="48" t="s">
        <v>3056</v>
      </c>
      <c r="B34140" s="38">
        <v>24144.0</v>
      </c>
      <c r="C34140" s="38" t="s">
        <v>38358</v>
      </c>
      <c r="D34140" s="38" t="str">
        <f>IFERROR(__xludf.DUMMYFUNCTION("REGEXREPLACE(C34140,""-\d+(.*)|--\d+(.*)"","""")"),"CREYSSAC")</f>
        <v>CREYSSAC</v>
      </c>
      <c r="E34140" s="38" t="s">
        <v>261</v>
      </c>
      <c r="F34140" s="38" t="s">
        <v>252</v>
      </c>
      <c r="G34140" s="49" t="str">
        <f t="shared" si="1"/>
        <v>24350</v>
      </c>
      <c r="H34140" s="49">
        <f t="shared" si="2"/>
        <v>24144</v>
      </c>
    </row>
    <row r="34141">
      <c r="A34141" s="48" t="s">
        <v>5735</v>
      </c>
      <c r="B34141" s="38">
        <v>2221.0</v>
      </c>
      <c r="C34141" s="38" t="s">
        <v>38359</v>
      </c>
      <c r="D34141" s="38" t="str">
        <f>IFERROR(__xludf.DUMMYFUNCTION("REGEXREPLACE(C34141,""-\d+(.*)|--\d+(.*)"","""")"),"COUPRU")</f>
        <v>COUPRU</v>
      </c>
      <c r="E34141" s="38" t="s">
        <v>191</v>
      </c>
      <c r="F34141" s="38" t="s">
        <v>113</v>
      </c>
      <c r="G34141" s="49" t="str">
        <f t="shared" si="1"/>
        <v>02310</v>
      </c>
      <c r="H34141" s="49" t="str">
        <f t="shared" si="2"/>
        <v>02221</v>
      </c>
    </row>
    <row r="34142">
      <c r="A34142" s="48" t="s">
        <v>4682</v>
      </c>
      <c r="B34142" s="38">
        <v>50457.0</v>
      </c>
      <c r="C34142" s="38" t="s">
        <v>10166</v>
      </c>
      <c r="D34142" s="38" t="str">
        <f>IFERROR(__xludf.DUMMYFUNCTION("REGEXREPLACE(C34142,""-\d+(.*)|--\d+(.*)"","""")"),"SAINTE-COLOMBE")</f>
        <v>SAINTE-COLOMBE</v>
      </c>
      <c r="E34142" s="38" t="s">
        <v>157</v>
      </c>
      <c r="F34142" s="38" t="s">
        <v>138</v>
      </c>
      <c r="G34142" s="49" t="str">
        <f t="shared" si="1"/>
        <v>50390</v>
      </c>
      <c r="H34142" s="49">
        <f t="shared" si="2"/>
        <v>50457</v>
      </c>
    </row>
    <row r="34143">
      <c r="A34143" s="48" t="s">
        <v>9100</v>
      </c>
      <c r="B34143" s="38">
        <v>42206.0</v>
      </c>
      <c r="C34143" s="38" t="s">
        <v>38360</v>
      </c>
      <c r="D34143" s="38" t="str">
        <f>IFERROR(__xludf.DUMMYFUNCTION("REGEXREPLACE(C34143,""-\d+(.*)|--\d+(.*)"","""")"),"SAINT-BONNET-LES-OULES")</f>
        <v>SAINT-BONNET-LES-OULES</v>
      </c>
      <c r="E34143" s="38" t="s">
        <v>166</v>
      </c>
      <c r="F34143" s="38" t="s">
        <v>102</v>
      </c>
      <c r="G34143" s="49" t="str">
        <f t="shared" si="1"/>
        <v>42330</v>
      </c>
      <c r="H34143" s="49">
        <f t="shared" si="2"/>
        <v>42206</v>
      </c>
    </row>
    <row r="34144">
      <c r="A34144" s="48" t="s">
        <v>6951</v>
      </c>
      <c r="B34144" s="38">
        <v>58040.0</v>
      </c>
      <c r="C34144" s="38" t="s">
        <v>29649</v>
      </c>
      <c r="D34144" s="38" t="str">
        <f>IFERROR(__xludf.DUMMYFUNCTION("REGEXREPLACE(C34144,""-\d+(.*)|--\d+(.*)"","""")"),"BRINAY")</f>
        <v>BRINAY</v>
      </c>
      <c r="E34144" s="38" t="s">
        <v>219</v>
      </c>
      <c r="F34144" s="38" t="s">
        <v>106</v>
      </c>
      <c r="G34144" s="49" t="str">
        <f t="shared" si="1"/>
        <v>58110</v>
      </c>
      <c r="H34144" s="49">
        <f t="shared" si="2"/>
        <v>58040</v>
      </c>
    </row>
    <row r="34145">
      <c r="A34145" s="48" t="s">
        <v>23792</v>
      </c>
      <c r="B34145" s="38">
        <v>3145.0</v>
      </c>
      <c r="C34145" s="38" t="s">
        <v>13835</v>
      </c>
      <c r="D34145" s="38" t="str">
        <f>IFERROR(__xludf.DUMMYFUNCTION("REGEXREPLACE(C34145,""-\d+(.*)|--\d+(.*)"","""")"),"LIGNEROLLES")</f>
        <v>LIGNEROLLES</v>
      </c>
      <c r="E34145" s="38" t="s">
        <v>160</v>
      </c>
      <c r="F34145" s="38" t="s">
        <v>161</v>
      </c>
      <c r="G34145" s="49" t="str">
        <f t="shared" si="1"/>
        <v>03410</v>
      </c>
      <c r="H34145" s="49" t="str">
        <f t="shared" si="2"/>
        <v>03145</v>
      </c>
    </row>
    <row r="34146">
      <c r="A34146" s="48" t="s">
        <v>9405</v>
      </c>
      <c r="B34146" s="38">
        <v>15219.0</v>
      </c>
      <c r="C34146" s="38" t="s">
        <v>38361</v>
      </c>
      <c r="D34146" s="38" t="str">
        <f>IFERROR(__xludf.DUMMYFUNCTION("REGEXREPLACE(C34146,""-\d+(.*)|--\d+(.*)"","""")"),"SALERS")</f>
        <v>SALERS</v>
      </c>
      <c r="E34146" s="38" t="s">
        <v>632</v>
      </c>
      <c r="F34146" s="38" t="s">
        <v>161</v>
      </c>
      <c r="G34146" s="49" t="str">
        <f t="shared" si="1"/>
        <v>15140</v>
      </c>
      <c r="H34146" s="49">
        <f t="shared" si="2"/>
        <v>15219</v>
      </c>
    </row>
    <row r="34147">
      <c r="A34147" s="48" t="s">
        <v>13053</v>
      </c>
      <c r="B34147" s="38">
        <v>38172.0</v>
      </c>
      <c r="C34147" s="38" t="s">
        <v>38362</v>
      </c>
      <c r="D34147" s="38" t="str">
        <f>IFERROR(__xludf.DUMMYFUNCTION("REGEXREPLACE(C34147,""-\d+(.*)|--\d+(.*)"","""")"),"FOUR")</f>
        <v>FOUR</v>
      </c>
      <c r="E34147" s="38" t="s">
        <v>101</v>
      </c>
      <c r="F34147" s="38" t="s">
        <v>102</v>
      </c>
      <c r="G34147" s="49" t="str">
        <f t="shared" si="1"/>
        <v>38080</v>
      </c>
      <c r="H34147" s="49">
        <f t="shared" si="2"/>
        <v>38172</v>
      </c>
    </row>
    <row r="34148">
      <c r="A34148" s="48" t="s">
        <v>2770</v>
      </c>
      <c r="B34148" s="38">
        <v>25317.0</v>
      </c>
      <c r="C34148" s="38" t="s">
        <v>38363</v>
      </c>
      <c r="D34148" s="38" t="str">
        <f>IFERROR(__xludf.DUMMYFUNCTION("REGEXREPLACE(C34148,""-\d+(.*)|--\d+(.*)"","""")"),"JALLERANGE")</f>
        <v>JALLERANGE</v>
      </c>
      <c r="E34148" s="38" t="s">
        <v>213</v>
      </c>
      <c r="F34148" s="38" t="s">
        <v>214</v>
      </c>
      <c r="G34148" s="49" t="str">
        <f t="shared" si="1"/>
        <v>25170</v>
      </c>
      <c r="H34148" s="49">
        <f t="shared" si="2"/>
        <v>25317</v>
      </c>
    </row>
    <row r="34149">
      <c r="A34149" s="48" t="s">
        <v>13750</v>
      </c>
      <c r="B34149" s="38">
        <v>79226.0</v>
      </c>
      <c r="C34149" s="38" t="s">
        <v>38364</v>
      </c>
      <c r="D34149" s="38" t="str">
        <f>IFERROR(__xludf.DUMMYFUNCTION("REGEXREPLACE(C34149,""-\d+(.*)|--\d+(.*)"","""")"),"LE RETAIL")</f>
        <v>LE RETAIL</v>
      </c>
      <c r="E34149" s="38" t="s">
        <v>337</v>
      </c>
      <c r="F34149" s="38" t="s">
        <v>338</v>
      </c>
      <c r="G34149" s="49" t="str">
        <f t="shared" si="1"/>
        <v>79130</v>
      </c>
      <c r="H34149" s="49">
        <f t="shared" si="2"/>
        <v>79226</v>
      </c>
    </row>
    <row r="34150">
      <c r="A34150" s="48" t="s">
        <v>2600</v>
      </c>
      <c r="B34150" s="38">
        <v>60121.0</v>
      </c>
      <c r="C34150" s="38" t="s">
        <v>1651</v>
      </c>
      <c r="D34150" s="38" t="str">
        <f>IFERROR(__xludf.DUMMYFUNCTION("REGEXREPLACE(C34150,""-\d+(.*)|--\d+(.*)"","""")"),"CAMPAGNE")</f>
        <v>CAMPAGNE</v>
      </c>
      <c r="E34150" s="38" t="s">
        <v>112</v>
      </c>
      <c r="F34150" s="38" t="s">
        <v>113</v>
      </c>
      <c r="G34150" s="49" t="str">
        <f t="shared" si="1"/>
        <v>60640</v>
      </c>
      <c r="H34150" s="49">
        <f t="shared" si="2"/>
        <v>60121</v>
      </c>
    </row>
    <row r="34151">
      <c r="A34151" s="48" t="s">
        <v>934</v>
      </c>
      <c r="B34151" s="38">
        <v>49209.0</v>
      </c>
      <c r="C34151" s="38" t="s">
        <v>38365</v>
      </c>
      <c r="D34151" s="38" t="str">
        <f>IFERROR(__xludf.DUMMYFUNCTION("REGEXREPLACE(C34151,""-\d+(.*)|--\d+(.*)"","""")"),"MONTIGNE-LES-RAIRIES")</f>
        <v>MONTIGNE-LES-RAIRIES</v>
      </c>
      <c r="E34151" s="38" t="s">
        <v>653</v>
      </c>
      <c r="F34151" s="38" t="s">
        <v>180</v>
      </c>
      <c r="G34151" s="49" t="str">
        <f t="shared" si="1"/>
        <v>49430</v>
      </c>
      <c r="H34151" s="49">
        <f t="shared" si="2"/>
        <v>49209</v>
      </c>
    </row>
    <row r="34152">
      <c r="A34152" s="48" t="s">
        <v>3973</v>
      </c>
      <c r="B34152" s="38">
        <v>33530.0</v>
      </c>
      <c r="C34152" s="38" t="s">
        <v>38366</v>
      </c>
      <c r="D34152" s="38" t="str">
        <f>IFERROR(__xludf.DUMMYFUNCTION("REGEXREPLACE(C34152,""-\d+(.*)|--\d+(.*)"","""")"),"TEUILLAC")</f>
        <v>TEUILLAC</v>
      </c>
      <c r="E34152" s="38" t="s">
        <v>462</v>
      </c>
      <c r="F34152" s="38" t="s">
        <v>252</v>
      </c>
      <c r="G34152" s="49" t="str">
        <f t="shared" si="1"/>
        <v>33710</v>
      </c>
      <c r="H34152" s="49">
        <f t="shared" si="2"/>
        <v>33530</v>
      </c>
    </row>
    <row r="34153">
      <c r="A34153" s="48" t="s">
        <v>8252</v>
      </c>
      <c r="B34153" s="38">
        <v>60375.0</v>
      </c>
      <c r="C34153" s="38" t="s">
        <v>38367</v>
      </c>
      <c r="D34153" s="38" t="str">
        <f>IFERROR(__xludf.DUMMYFUNCTION("REGEXREPLACE(C34153,""-\d+(.*)|--\d+(.*)"","""")"),"MAIMBEVILLE")</f>
        <v>MAIMBEVILLE</v>
      </c>
      <c r="E34153" s="38" t="s">
        <v>112</v>
      </c>
      <c r="F34153" s="38" t="s">
        <v>113</v>
      </c>
      <c r="G34153" s="49" t="str">
        <f t="shared" si="1"/>
        <v>60600</v>
      </c>
      <c r="H34153" s="49">
        <f t="shared" si="2"/>
        <v>60375</v>
      </c>
    </row>
    <row r="34154">
      <c r="A34154" s="48" t="s">
        <v>16541</v>
      </c>
      <c r="B34154" s="38">
        <v>71568.0</v>
      </c>
      <c r="C34154" s="38" t="s">
        <v>38368</v>
      </c>
      <c r="D34154" s="38" t="str">
        <f>IFERROR(__xludf.DUMMYFUNCTION("REGEXREPLACE(C34154,""-\d+(.*)|--\d+(.*)"","""")"),"VERISSEY")</f>
        <v>VERISSEY</v>
      </c>
      <c r="E34154" s="38" t="s">
        <v>344</v>
      </c>
      <c r="F34154" s="38" t="s">
        <v>106</v>
      </c>
      <c r="G34154" s="49" t="str">
        <f t="shared" si="1"/>
        <v>71440</v>
      </c>
      <c r="H34154" s="49">
        <f t="shared" si="2"/>
        <v>71568</v>
      </c>
    </row>
    <row r="34155">
      <c r="A34155" s="48" t="s">
        <v>942</v>
      </c>
      <c r="B34155" s="38">
        <v>2089.0</v>
      </c>
      <c r="C34155" s="38" t="s">
        <v>38369</v>
      </c>
      <c r="D34155" s="38" t="str">
        <f>IFERROR(__xludf.DUMMYFUNCTION("REGEXREPLACE(C34155,""-\d+(.*)|--\d+(.*)"","""")"),"BILLY-SUR-AISNE")</f>
        <v>BILLY-SUR-AISNE</v>
      </c>
      <c r="E34155" s="38" t="s">
        <v>191</v>
      </c>
      <c r="F34155" s="38" t="s">
        <v>113</v>
      </c>
      <c r="G34155" s="49" t="str">
        <f t="shared" si="1"/>
        <v>02200</v>
      </c>
      <c r="H34155" s="49" t="str">
        <f t="shared" si="2"/>
        <v>02089</v>
      </c>
    </row>
    <row r="34156">
      <c r="A34156" s="48" t="s">
        <v>423</v>
      </c>
      <c r="B34156" s="38">
        <v>2254.0</v>
      </c>
      <c r="C34156" s="38" t="s">
        <v>24495</v>
      </c>
      <c r="D34156" s="38" t="str">
        <f>IFERROR(__xludf.DUMMYFUNCTION("REGEXREPLACE(C34156,""-\d+(.*)|--\d+(.*)"","""")"),"CUTRY")</f>
        <v>CUTRY</v>
      </c>
      <c r="E34156" s="38" t="s">
        <v>191</v>
      </c>
      <c r="F34156" s="38" t="s">
        <v>113</v>
      </c>
      <c r="G34156" s="49" t="str">
        <f t="shared" si="1"/>
        <v>02600</v>
      </c>
      <c r="H34156" s="49" t="str">
        <f t="shared" si="2"/>
        <v>02254</v>
      </c>
    </row>
    <row r="34157">
      <c r="A34157" s="48" t="s">
        <v>4002</v>
      </c>
      <c r="B34157" s="38">
        <v>51261.0</v>
      </c>
      <c r="C34157" s="38" t="s">
        <v>38370</v>
      </c>
      <c r="D34157" s="38" t="str">
        <f>IFERROR(__xludf.DUMMYFUNCTION("REGEXREPLACE(C34157,""-\d+(.*)|--\d+(.*)"","""")"),"FRESNE-LES-REIMS")</f>
        <v>FRESNE-LES-REIMS</v>
      </c>
      <c r="E34157" s="38" t="s">
        <v>129</v>
      </c>
      <c r="F34157" s="38" t="s">
        <v>130</v>
      </c>
      <c r="G34157" s="49" t="str">
        <f t="shared" si="1"/>
        <v>51110</v>
      </c>
      <c r="H34157" s="49">
        <f t="shared" si="2"/>
        <v>51261</v>
      </c>
    </row>
    <row r="34158">
      <c r="A34158" s="48" t="s">
        <v>826</v>
      </c>
      <c r="B34158" s="38">
        <v>21558.0</v>
      </c>
      <c r="C34158" s="38" t="s">
        <v>38371</v>
      </c>
      <c r="D34158" s="38" t="str">
        <f>IFERROR(__xludf.DUMMYFUNCTION("REGEXREPLACE(C34158,""-\d+(.*)|--\d+(.*)"","""")"),"SAINTE-MARIE-LA-BLANCHE")</f>
        <v>SAINTE-MARIE-LA-BLANCHE</v>
      </c>
      <c r="E34158" s="38" t="s">
        <v>105</v>
      </c>
      <c r="F34158" s="38" t="s">
        <v>106</v>
      </c>
      <c r="G34158" s="49" t="str">
        <f t="shared" si="1"/>
        <v>21200</v>
      </c>
      <c r="H34158" s="49">
        <f t="shared" si="2"/>
        <v>21558</v>
      </c>
    </row>
    <row r="34159">
      <c r="A34159" s="48" t="s">
        <v>5449</v>
      </c>
      <c r="B34159" s="38">
        <v>59375.0</v>
      </c>
      <c r="C34159" s="38" t="s">
        <v>38372</v>
      </c>
      <c r="D34159" s="38" t="str">
        <f>IFERROR(__xludf.DUMMYFUNCTION("REGEXREPLACE(C34159,""-\d+(.*)|--\d+(.*)"","""")"),"MARCHIENNES")</f>
        <v>MARCHIENNES</v>
      </c>
      <c r="E34159" s="38" t="s">
        <v>85</v>
      </c>
      <c r="F34159" s="38" t="s">
        <v>86</v>
      </c>
      <c r="G34159" s="49" t="str">
        <f t="shared" si="1"/>
        <v>59870</v>
      </c>
      <c r="H34159" s="49">
        <f t="shared" si="2"/>
        <v>59375</v>
      </c>
    </row>
    <row r="34160">
      <c r="A34160" s="48" t="s">
        <v>1704</v>
      </c>
      <c r="B34160" s="38">
        <v>48171.0</v>
      </c>
      <c r="C34160" s="38" t="s">
        <v>38373</v>
      </c>
      <c r="D34160" s="38" t="str">
        <f>IFERROR(__xludf.DUMMYFUNCTION("REGEXREPLACE(C34160,""-\d+(.*)|--\d+(.*)"","""")"),"SAINT-MARTIN-DE-LANSUSCLE")</f>
        <v>SAINT-MARTIN-DE-LANSUSCLE</v>
      </c>
      <c r="E34160" s="38" t="s">
        <v>154</v>
      </c>
      <c r="F34160" s="38" t="s">
        <v>119</v>
      </c>
      <c r="G34160" s="49" t="str">
        <f t="shared" si="1"/>
        <v>48110</v>
      </c>
      <c r="H34160" s="49">
        <f t="shared" si="2"/>
        <v>48171</v>
      </c>
    </row>
    <row r="34161">
      <c r="A34161" s="48" t="s">
        <v>3071</v>
      </c>
      <c r="B34161" s="38">
        <v>59357.0</v>
      </c>
      <c r="C34161" s="38" t="s">
        <v>38374</v>
      </c>
      <c r="D34161" s="38" t="str">
        <f>IFERROR(__xludf.DUMMYFUNCTION("REGEXREPLACE(C34161,""-\d+(.*)|--\d+(.*)"","""")"),"LA LONGUEVILLE")</f>
        <v>LA LONGUEVILLE</v>
      </c>
      <c r="E34161" s="38" t="s">
        <v>85</v>
      </c>
      <c r="F34161" s="38" t="s">
        <v>86</v>
      </c>
      <c r="G34161" s="49" t="str">
        <f t="shared" si="1"/>
        <v>59570</v>
      </c>
      <c r="H34161" s="49">
        <f t="shared" si="2"/>
        <v>59357</v>
      </c>
    </row>
    <row r="34162">
      <c r="A34162" s="48" t="s">
        <v>6316</v>
      </c>
      <c r="B34162" s="38">
        <v>50251.0</v>
      </c>
      <c r="C34162" s="38" t="s">
        <v>38375</v>
      </c>
      <c r="D34162" s="38" t="str">
        <f>IFERROR(__xludf.DUMMYFUNCTION("REGEXREPLACE(C34162,""-\d+(.*)|--\d+(.*)"","""")"),"HUBERVILLE")</f>
        <v>HUBERVILLE</v>
      </c>
      <c r="E34162" s="38" t="s">
        <v>157</v>
      </c>
      <c r="F34162" s="38" t="s">
        <v>138</v>
      </c>
      <c r="G34162" s="49" t="str">
        <f t="shared" si="1"/>
        <v>50700</v>
      </c>
      <c r="H34162" s="49">
        <f t="shared" si="2"/>
        <v>50251</v>
      </c>
    </row>
    <row r="34163">
      <c r="A34163" s="48" t="s">
        <v>578</v>
      </c>
      <c r="B34163" s="38">
        <v>52461.0</v>
      </c>
      <c r="C34163" s="38" t="s">
        <v>38376</v>
      </c>
      <c r="D34163" s="38" t="str">
        <f>IFERROR(__xludf.DUMMYFUNCTION("REGEXREPLACE(C34163,""-\d+(.*)|--\d+(.*)"","""")"),"SARREY")</f>
        <v>SARREY</v>
      </c>
      <c r="E34163" s="38" t="s">
        <v>234</v>
      </c>
      <c r="F34163" s="38" t="s">
        <v>130</v>
      </c>
      <c r="G34163" s="49" t="str">
        <f t="shared" si="1"/>
        <v>52140</v>
      </c>
      <c r="H34163" s="49">
        <f t="shared" si="2"/>
        <v>52461</v>
      </c>
    </row>
    <row r="34164">
      <c r="A34164" s="48" t="s">
        <v>4838</v>
      </c>
      <c r="B34164" s="38">
        <v>17386.0</v>
      </c>
      <c r="C34164" s="38" t="s">
        <v>38377</v>
      </c>
      <c r="D34164" s="38" t="str">
        <f>IFERROR(__xludf.DUMMYFUNCTION("REGEXREPLACE(C34164,""-\d+(.*)|--\d+(.*)"","""")"),"SAINT-PIERRE-DU-PALAIS")</f>
        <v>SAINT-PIERRE-DU-PALAIS</v>
      </c>
      <c r="E34164" s="38" t="s">
        <v>488</v>
      </c>
      <c r="F34164" s="38" t="s">
        <v>338</v>
      </c>
      <c r="G34164" s="49" t="str">
        <f t="shared" si="1"/>
        <v>17270</v>
      </c>
      <c r="H34164" s="49">
        <f t="shared" si="2"/>
        <v>17386</v>
      </c>
    </row>
    <row r="34165">
      <c r="A34165" s="48" t="s">
        <v>12232</v>
      </c>
      <c r="B34165" s="38">
        <v>11157.0</v>
      </c>
      <c r="C34165" s="38" t="s">
        <v>38378</v>
      </c>
      <c r="D34165" s="38" t="str">
        <f>IFERROR(__xludf.DUMMYFUNCTION("REGEXREPLACE(C34165,""-\d+(.*)|--\d+(.*)"","""")"),"FRAISSE-DES-CORBIERES")</f>
        <v>FRAISSE-DES-CORBIERES</v>
      </c>
      <c r="E34165" s="38" t="s">
        <v>278</v>
      </c>
      <c r="F34165" s="38" t="s">
        <v>119</v>
      </c>
      <c r="G34165" s="49" t="str">
        <f t="shared" si="1"/>
        <v>11360</v>
      </c>
      <c r="H34165" s="49">
        <f t="shared" si="2"/>
        <v>11157</v>
      </c>
    </row>
    <row r="34166">
      <c r="A34166" s="48" t="s">
        <v>3783</v>
      </c>
      <c r="B34166" s="38">
        <v>62513.0</v>
      </c>
      <c r="C34166" s="38" t="s">
        <v>38379</v>
      </c>
      <c r="D34166" s="38" t="str">
        <f>IFERROR(__xludf.DUMMYFUNCTION("REGEXREPLACE(C34166,""-\d+(.*)|--\d+(.*)"","""")"),"LIGNY-SUR-CANCHE")</f>
        <v>LIGNY-SUR-CANCHE</v>
      </c>
      <c r="E34166" s="38" t="s">
        <v>109</v>
      </c>
      <c r="F34166" s="38" t="s">
        <v>86</v>
      </c>
      <c r="G34166" s="49" t="str">
        <f t="shared" si="1"/>
        <v>62270</v>
      </c>
      <c r="H34166" s="49">
        <f t="shared" si="2"/>
        <v>62513</v>
      </c>
    </row>
    <row r="34167">
      <c r="A34167" s="48" t="s">
        <v>5205</v>
      </c>
      <c r="B34167" s="38">
        <v>59647.0</v>
      </c>
      <c r="C34167" s="38" t="s">
        <v>38380</v>
      </c>
      <c r="D34167" s="38" t="str">
        <f>IFERROR(__xludf.DUMMYFUNCTION("REGEXREPLACE(C34167,""-\d+(.*)|--\d+(.*)"","""")"),"WATTEN")</f>
        <v>WATTEN</v>
      </c>
      <c r="E34167" s="38" t="s">
        <v>85</v>
      </c>
      <c r="F34167" s="38" t="s">
        <v>86</v>
      </c>
      <c r="G34167" s="49" t="str">
        <f t="shared" si="1"/>
        <v>59143</v>
      </c>
      <c r="H34167" s="49">
        <f t="shared" si="2"/>
        <v>59647</v>
      </c>
    </row>
    <row r="34168">
      <c r="A34168" s="48" t="s">
        <v>14095</v>
      </c>
      <c r="B34168" s="38">
        <v>1103.0</v>
      </c>
      <c r="C34168" s="38" t="s">
        <v>13214</v>
      </c>
      <c r="D34168" s="38" t="str">
        <f>IFERROR(__xludf.DUMMYFUNCTION("REGEXREPLACE(C34168,""-\d+(.*)|--\d+(.*)"","""")"),"CHEVRY")</f>
        <v>CHEVRY</v>
      </c>
      <c r="E34168" s="38" t="s">
        <v>255</v>
      </c>
      <c r="F34168" s="38" t="s">
        <v>102</v>
      </c>
      <c r="G34168" s="49" t="str">
        <f t="shared" si="1"/>
        <v>01170</v>
      </c>
      <c r="H34168" s="49" t="str">
        <f t="shared" si="2"/>
        <v>01103</v>
      </c>
    </row>
    <row r="34169">
      <c r="A34169" s="48" t="s">
        <v>1356</v>
      </c>
      <c r="B34169" s="38">
        <v>57056.0</v>
      </c>
      <c r="C34169" s="38" t="s">
        <v>38381</v>
      </c>
      <c r="D34169" s="38" t="str">
        <f>IFERROR(__xludf.DUMMYFUNCTION("REGEXREPLACE(C34169,""-\d+(.*)|--\d+(.*)"","""")"),"BEBING")</f>
        <v>BEBING</v>
      </c>
      <c r="E34169" s="38" t="s">
        <v>303</v>
      </c>
      <c r="F34169" s="38" t="s">
        <v>195</v>
      </c>
      <c r="G34169" s="49" t="str">
        <f t="shared" si="1"/>
        <v>57830</v>
      </c>
      <c r="H34169" s="49">
        <f t="shared" si="2"/>
        <v>57056</v>
      </c>
    </row>
    <row r="34170">
      <c r="A34170" s="48" t="s">
        <v>9004</v>
      </c>
      <c r="B34170" s="38">
        <v>48027.0</v>
      </c>
      <c r="C34170" s="38" t="s">
        <v>38382</v>
      </c>
      <c r="D34170" s="38" t="str">
        <f>IFERROR(__xludf.DUMMYFUNCTION("REGEXREPLACE(C34170,""-\d+(.*)|--\d+(.*)"","""")"),"LE BLEYMARD")</f>
        <v>LE BLEYMARD</v>
      </c>
      <c r="E34170" s="38" t="s">
        <v>154</v>
      </c>
      <c r="F34170" s="38" t="s">
        <v>119</v>
      </c>
      <c r="G34170" s="49" t="str">
        <f t="shared" si="1"/>
        <v>48190</v>
      </c>
      <c r="H34170" s="49">
        <f t="shared" si="2"/>
        <v>48027</v>
      </c>
    </row>
    <row r="34171">
      <c r="A34171" s="48" t="s">
        <v>1518</v>
      </c>
      <c r="B34171" s="38">
        <v>88525.0</v>
      </c>
      <c r="C34171" s="38" t="s">
        <v>38383</v>
      </c>
      <c r="D34171" s="38" t="str">
        <f>IFERROR(__xludf.DUMMYFUNCTION("REGEXREPLACE(C34171,""-\d+(.*)|--\d+(.*)"","""")"),"VROVILLE")</f>
        <v>VROVILLE</v>
      </c>
      <c r="E34171" s="38" t="s">
        <v>194</v>
      </c>
      <c r="F34171" s="38" t="s">
        <v>195</v>
      </c>
      <c r="G34171" s="49" t="str">
        <f t="shared" si="1"/>
        <v>88500</v>
      </c>
      <c r="H34171" s="49">
        <f t="shared" si="2"/>
        <v>88525</v>
      </c>
    </row>
    <row r="34172">
      <c r="A34172" s="48" t="s">
        <v>38384</v>
      </c>
      <c r="B34172" s="38">
        <v>83087.0</v>
      </c>
      <c r="C34172" s="38" t="s">
        <v>38385</v>
      </c>
      <c r="D34172" s="38" t="str">
        <f>IFERROR(__xludf.DUMMYFUNCTION("REGEXREPLACE(C34172,""-\d+(.*)|--\d+(.*)"","""")"),"NANS-LES-PINS")</f>
        <v>NANS-LES-PINS</v>
      </c>
      <c r="E34172" s="38" t="s">
        <v>813</v>
      </c>
      <c r="F34172" s="38" t="s">
        <v>228</v>
      </c>
      <c r="G34172" s="49" t="str">
        <f t="shared" si="1"/>
        <v>83860</v>
      </c>
      <c r="H34172" s="49">
        <f t="shared" si="2"/>
        <v>83087</v>
      </c>
    </row>
    <row r="34173">
      <c r="A34173" s="48" t="s">
        <v>1233</v>
      </c>
      <c r="B34173" s="38">
        <v>60319.0</v>
      </c>
      <c r="C34173" s="38" t="s">
        <v>38386</v>
      </c>
      <c r="D34173" s="38" t="str">
        <f>IFERROR(__xludf.DUMMYFUNCTION("REGEXREPLACE(C34173,""-\d+(.*)|--\d+(.*)"","""")"),"LA HOUSSOYE")</f>
        <v>LA HOUSSOYE</v>
      </c>
      <c r="E34173" s="38" t="s">
        <v>112</v>
      </c>
      <c r="F34173" s="38" t="s">
        <v>113</v>
      </c>
      <c r="G34173" s="49" t="str">
        <f t="shared" si="1"/>
        <v>60390</v>
      </c>
      <c r="H34173" s="49">
        <f t="shared" si="2"/>
        <v>60319</v>
      </c>
    </row>
    <row r="34174">
      <c r="A34174" s="48" t="s">
        <v>1120</v>
      </c>
      <c r="B34174" s="38">
        <v>64491.0</v>
      </c>
      <c r="C34174" s="38" t="s">
        <v>9699</v>
      </c>
      <c r="D34174" s="38" t="str">
        <f>IFERROR(__xludf.DUMMYFUNCTION("REGEXREPLACE(C34174,""-\d+(.*)|--\d+(.*)"","""")"),"SAINT-MEDARD")</f>
        <v>SAINT-MEDARD</v>
      </c>
      <c r="E34174" s="38" t="s">
        <v>268</v>
      </c>
      <c r="F34174" s="38" t="s">
        <v>252</v>
      </c>
      <c r="G34174" s="49" t="str">
        <f t="shared" si="1"/>
        <v>64370</v>
      </c>
      <c r="H34174" s="49">
        <f t="shared" si="2"/>
        <v>64491</v>
      </c>
    </row>
    <row r="34175">
      <c r="A34175" s="48" t="s">
        <v>3224</v>
      </c>
      <c r="B34175" s="38">
        <v>54597.0</v>
      </c>
      <c r="C34175" s="38" t="s">
        <v>38387</v>
      </c>
      <c r="D34175" s="38" t="str">
        <f>IFERROR(__xludf.DUMMYFUNCTION("REGEXREPLACE(C34175,""-\d+(.*)|--\d+(.*)"","""")"),"XIROCOURT")</f>
        <v>XIROCOURT</v>
      </c>
      <c r="E34175" s="38" t="s">
        <v>548</v>
      </c>
      <c r="F34175" s="38" t="s">
        <v>195</v>
      </c>
      <c r="G34175" s="49" t="str">
        <f t="shared" si="1"/>
        <v>54740</v>
      </c>
      <c r="H34175" s="49">
        <f t="shared" si="2"/>
        <v>54597</v>
      </c>
    </row>
    <row r="34176">
      <c r="A34176" s="48" t="s">
        <v>38388</v>
      </c>
      <c r="B34176" s="38">
        <v>59234.0</v>
      </c>
      <c r="C34176" s="38" t="s">
        <v>38389</v>
      </c>
      <c r="D34176" s="38" t="str">
        <f>IFERROR(__xludf.DUMMYFUNCTION("REGEXREPLACE(C34176,""-\d+(.*)|--\d+(.*)"","""")"),"FLERS-EN-ESCREBIEUX")</f>
        <v>FLERS-EN-ESCREBIEUX</v>
      </c>
      <c r="E34176" s="38" t="s">
        <v>85</v>
      </c>
      <c r="F34176" s="38" t="s">
        <v>86</v>
      </c>
      <c r="G34176" s="49" t="str">
        <f t="shared" si="1"/>
        <v>59128</v>
      </c>
      <c r="H34176" s="49">
        <f t="shared" si="2"/>
        <v>59234</v>
      </c>
    </row>
    <row r="34177">
      <c r="A34177" s="48" t="s">
        <v>19819</v>
      </c>
      <c r="B34177" s="38">
        <v>59516.0</v>
      </c>
      <c r="C34177" s="38" t="s">
        <v>38390</v>
      </c>
      <c r="D34177" s="38" t="str">
        <f>IFERROR(__xludf.DUMMYFUNCTION("REGEXREPLACE(C34177,""-\d+(.*)|--\d+(.*)"","""")"),"RUBROUCK")</f>
        <v>RUBROUCK</v>
      </c>
      <c r="E34177" s="38" t="s">
        <v>85</v>
      </c>
      <c r="F34177" s="38" t="s">
        <v>86</v>
      </c>
      <c r="G34177" s="49" t="str">
        <f t="shared" si="1"/>
        <v>59285</v>
      </c>
      <c r="H34177" s="49">
        <f t="shared" si="2"/>
        <v>59516</v>
      </c>
    </row>
    <row r="34178">
      <c r="A34178" s="48" t="s">
        <v>5311</v>
      </c>
      <c r="B34178" s="38">
        <v>55087.0</v>
      </c>
      <c r="C34178" s="38" t="s">
        <v>30855</v>
      </c>
      <c r="D34178" s="38" t="str">
        <f>IFERROR(__xludf.DUMMYFUNCTION("REGEXREPLACE(C34178,""-\d+(.*)|--\d+(.*)"","""")"),"BURE")</f>
        <v>BURE</v>
      </c>
      <c r="E34178" s="38" t="s">
        <v>322</v>
      </c>
      <c r="F34178" s="38" t="s">
        <v>195</v>
      </c>
      <c r="G34178" s="49" t="str">
        <f t="shared" si="1"/>
        <v>55290</v>
      </c>
      <c r="H34178" s="49">
        <f t="shared" si="2"/>
        <v>55087</v>
      </c>
    </row>
    <row r="34179">
      <c r="A34179" s="48" t="s">
        <v>1038</v>
      </c>
      <c r="B34179" s="38">
        <v>50413.0</v>
      </c>
      <c r="C34179" s="38" t="s">
        <v>38391</v>
      </c>
      <c r="D34179" s="38" t="str">
        <f>IFERROR(__xludf.DUMMYFUNCTION("REGEXREPLACE(C34179,""-\d+(.*)|--\d+(.*)"","""")"),"PRECEY")</f>
        <v>PRECEY</v>
      </c>
      <c r="E34179" s="38" t="s">
        <v>157</v>
      </c>
      <c r="F34179" s="38" t="s">
        <v>138</v>
      </c>
      <c r="G34179" s="49" t="str">
        <f t="shared" si="1"/>
        <v>50220</v>
      </c>
      <c r="H34179" s="49">
        <f t="shared" si="2"/>
        <v>50413</v>
      </c>
    </row>
    <row r="34180">
      <c r="A34180" s="48" t="s">
        <v>1274</v>
      </c>
      <c r="B34180" s="38">
        <v>33087.0</v>
      </c>
      <c r="C34180" s="38" t="s">
        <v>38392</v>
      </c>
      <c r="D34180" s="38" t="str">
        <f>IFERROR(__xludf.DUMMYFUNCTION("REGEXREPLACE(C34180,""-\d+(.*)|--\d+(.*)"","""")"),"CAMIRAN")</f>
        <v>CAMIRAN</v>
      </c>
      <c r="E34180" s="38" t="s">
        <v>462</v>
      </c>
      <c r="F34180" s="38" t="s">
        <v>252</v>
      </c>
      <c r="G34180" s="49" t="str">
        <f t="shared" si="1"/>
        <v>33190</v>
      </c>
      <c r="H34180" s="49">
        <f t="shared" si="2"/>
        <v>33087</v>
      </c>
    </row>
    <row r="34181">
      <c r="A34181" s="48" t="s">
        <v>9890</v>
      </c>
      <c r="B34181" s="38">
        <v>21034.0</v>
      </c>
      <c r="C34181" s="38" t="s">
        <v>38393</v>
      </c>
      <c r="D34181" s="38" t="str">
        <f>IFERROR(__xludf.DUMMYFUNCTION("REGEXREPLACE(C34181,""-\d+(.*)|--\d+(.*)"","""")"),"AUTRICOURT")</f>
        <v>AUTRICOURT</v>
      </c>
      <c r="E34181" s="38" t="s">
        <v>105</v>
      </c>
      <c r="F34181" s="38" t="s">
        <v>106</v>
      </c>
      <c r="G34181" s="49" t="str">
        <f t="shared" si="1"/>
        <v>21570</v>
      </c>
      <c r="H34181" s="49">
        <f t="shared" si="2"/>
        <v>21034</v>
      </c>
    </row>
    <row r="34182">
      <c r="A34182" s="48" t="s">
        <v>698</v>
      </c>
      <c r="B34182" s="38">
        <v>11363.0</v>
      </c>
      <c r="C34182" s="38" t="s">
        <v>38394</v>
      </c>
      <c r="D34182" s="38" t="str">
        <f>IFERROR(__xludf.DUMMYFUNCTION("REGEXREPLACE(C34182,""-\d+(.*)|--\d+(.*)"","""")"),"SAINT-PIERRE-DES-CHAMPS")</f>
        <v>SAINT-PIERRE-DES-CHAMPS</v>
      </c>
      <c r="E34182" s="38" t="s">
        <v>278</v>
      </c>
      <c r="F34182" s="38" t="s">
        <v>119</v>
      </c>
      <c r="G34182" s="49" t="str">
        <f t="shared" si="1"/>
        <v>11220</v>
      </c>
      <c r="H34182" s="49">
        <f t="shared" si="2"/>
        <v>11363</v>
      </c>
    </row>
    <row r="34183">
      <c r="A34183" s="48" t="s">
        <v>164</v>
      </c>
      <c r="B34183" s="38">
        <v>42166.0</v>
      </c>
      <c r="C34183" s="38" t="s">
        <v>4098</v>
      </c>
      <c r="D34183" s="38" t="str">
        <f>IFERROR(__xludf.DUMMYFUNCTION("REGEXREPLACE(C34183,""-\d+(.*)|--\d+(.*)"","""")"),"PARIGNY")</f>
        <v>PARIGNY</v>
      </c>
      <c r="E34183" s="38" t="s">
        <v>166</v>
      </c>
      <c r="F34183" s="38" t="s">
        <v>102</v>
      </c>
      <c r="G34183" s="49" t="str">
        <f t="shared" si="1"/>
        <v>42120</v>
      </c>
      <c r="H34183" s="49">
        <f t="shared" si="2"/>
        <v>42166</v>
      </c>
    </row>
    <row r="34184">
      <c r="A34184" s="48" t="s">
        <v>155</v>
      </c>
      <c r="B34184" s="38">
        <v>50072.0</v>
      </c>
      <c r="C34184" s="38" t="s">
        <v>17900</v>
      </c>
      <c r="D34184" s="38" t="str">
        <f>IFERROR(__xludf.DUMMYFUNCTION("REGEXREPLACE(C34184,""-\d+(.*)|--\d+(.*)"","""")"),"BRAINVILLE")</f>
        <v>BRAINVILLE</v>
      </c>
      <c r="E34184" s="38" t="s">
        <v>157</v>
      </c>
      <c r="F34184" s="38" t="s">
        <v>138</v>
      </c>
      <c r="G34184" s="49" t="str">
        <f t="shared" si="1"/>
        <v>50200</v>
      </c>
      <c r="H34184" s="49">
        <f t="shared" si="2"/>
        <v>50072</v>
      </c>
    </row>
    <row r="34185">
      <c r="A34185" s="48" t="s">
        <v>7631</v>
      </c>
      <c r="B34185" s="38">
        <v>49142.0</v>
      </c>
      <c r="C34185" s="38" t="s">
        <v>38395</v>
      </c>
      <c r="D34185" s="38" t="str">
        <f>IFERROR(__xludf.DUMMYFUNCTION("REGEXREPLACE(C34185,""-\d+(.*)|--\d+(.*)"","""")"),"LA FOSSE-DE-TIGNE")</f>
        <v>LA FOSSE-DE-TIGNE</v>
      </c>
      <c r="E34185" s="38" t="s">
        <v>653</v>
      </c>
      <c r="F34185" s="38" t="s">
        <v>180</v>
      </c>
      <c r="G34185" s="49" t="str">
        <f t="shared" si="1"/>
        <v>49540</v>
      </c>
      <c r="H34185" s="49">
        <f t="shared" si="2"/>
        <v>49142</v>
      </c>
    </row>
    <row r="34186">
      <c r="A34186" s="48" t="s">
        <v>9688</v>
      </c>
      <c r="B34186" s="38">
        <v>23165.0</v>
      </c>
      <c r="C34186" s="38" t="s">
        <v>38396</v>
      </c>
      <c r="D34186" s="38" t="str">
        <f>IFERROR(__xludf.DUMMYFUNCTION("REGEXREPLACE(C34186,""-\d+(.*)|--\d+(.*)"","""")"),"ROYERE-DE-VASSIVIERE")</f>
        <v>ROYERE-DE-VASSIVIERE</v>
      </c>
      <c r="E34186" s="38" t="s">
        <v>97</v>
      </c>
      <c r="F34186" s="38" t="s">
        <v>98</v>
      </c>
      <c r="G34186" s="49" t="str">
        <f t="shared" si="1"/>
        <v>23460</v>
      </c>
      <c r="H34186" s="49">
        <f t="shared" si="2"/>
        <v>23165</v>
      </c>
    </row>
    <row r="34187">
      <c r="A34187" s="48" t="s">
        <v>1592</v>
      </c>
      <c r="B34187" s="38">
        <v>40260.0</v>
      </c>
      <c r="C34187" s="38" t="s">
        <v>38397</v>
      </c>
      <c r="D34187" s="38" t="str">
        <f>IFERROR(__xludf.DUMMYFUNCTION("REGEXREPLACE(C34187,""-\d+(.*)|--\d+(.*)"","""")"),"SAINT-GEOURS-D'AURIBAT")</f>
        <v>SAINT-GEOURS-D'AURIBAT</v>
      </c>
      <c r="E34187" s="38" t="s">
        <v>281</v>
      </c>
      <c r="F34187" s="38" t="s">
        <v>252</v>
      </c>
      <c r="G34187" s="49" t="str">
        <f t="shared" si="1"/>
        <v>40380</v>
      </c>
      <c r="H34187" s="49">
        <f t="shared" si="2"/>
        <v>40260</v>
      </c>
    </row>
    <row r="34188">
      <c r="A34188" s="48" t="s">
        <v>5985</v>
      </c>
      <c r="B34188" s="38">
        <v>85042.0</v>
      </c>
      <c r="C34188" s="38" t="s">
        <v>38398</v>
      </c>
      <c r="D34188" s="38" t="str">
        <f>IFERROR(__xludf.DUMMYFUNCTION("REGEXREPLACE(C34188,""-\d+(.*)|--\d+(.*)"","""")"),"CHAILLE-LES-MARAIS")</f>
        <v>CHAILLE-LES-MARAIS</v>
      </c>
      <c r="E34188" s="38" t="s">
        <v>179</v>
      </c>
      <c r="F34188" s="38" t="s">
        <v>180</v>
      </c>
      <c r="G34188" s="49" t="str">
        <f t="shared" si="1"/>
        <v>85450</v>
      </c>
      <c r="H34188" s="49">
        <f t="shared" si="2"/>
        <v>85042</v>
      </c>
    </row>
    <row r="34189">
      <c r="A34189" s="48" t="s">
        <v>4579</v>
      </c>
      <c r="B34189" s="38">
        <v>81201.0</v>
      </c>
      <c r="C34189" s="38" t="s">
        <v>38399</v>
      </c>
      <c r="D34189" s="38" t="str">
        <f>IFERROR(__xludf.DUMMYFUNCTION("REGEXREPLACE(C34189,""-\d+(.*)|--\d+(.*)"","""")"),"PAMPELONNE")</f>
        <v>PAMPELONNE</v>
      </c>
      <c r="E34189" s="38" t="s">
        <v>231</v>
      </c>
      <c r="F34189" s="38" t="s">
        <v>94</v>
      </c>
      <c r="G34189" s="49" t="str">
        <f t="shared" si="1"/>
        <v>81190</v>
      </c>
      <c r="H34189" s="49">
        <f t="shared" si="2"/>
        <v>81201</v>
      </c>
    </row>
    <row r="34190">
      <c r="A34190" s="48" t="s">
        <v>10970</v>
      </c>
      <c r="B34190" s="38">
        <v>59067.0</v>
      </c>
      <c r="C34190" s="38" t="s">
        <v>38400</v>
      </c>
      <c r="D34190" s="38" t="str">
        <f>IFERROR(__xludf.DUMMYFUNCTION("REGEXREPLACE(C34190,""-\d+(.*)|--\d+(.*)"","""")"),"BERGUES")</f>
        <v>BERGUES</v>
      </c>
      <c r="E34190" s="38" t="s">
        <v>85</v>
      </c>
      <c r="F34190" s="38" t="s">
        <v>86</v>
      </c>
      <c r="G34190" s="49" t="str">
        <f t="shared" si="1"/>
        <v>59380</v>
      </c>
      <c r="H34190" s="49">
        <f t="shared" si="2"/>
        <v>59067</v>
      </c>
    </row>
    <row r="34191">
      <c r="A34191" s="48" t="s">
        <v>24434</v>
      </c>
      <c r="B34191" s="38">
        <v>84023.0</v>
      </c>
      <c r="C34191" s="38" t="s">
        <v>38401</v>
      </c>
      <c r="D34191" s="38" t="str">
        <f>IFERROR(__xludf.DUMMYFUNCTION("REGEXREPLACE(C34191,""-\d+(.*)|--\d+(.*)"","""")"),"BUOUX")</f>
        <v>BUOUX</v>
      </c>
      <c r="E34191" s="38" t="s">
        <v>1026</v>
      </c>
      <c r="F34191" s="38" t="s">
        <v>228</v>
      </c>
      <c r="G34191" s="49" t="str">
        <f t="shared" si="1"/>
        <v>84480</v>
      </c>
      <c r="H34191" s="49">
        <f t="shared" si="2"/>
        <v>84023</v>
      </c>
    </row>
    <row r="34192">
      <c r="A34192" s="48" t="s">
        <v>3821</v>
      </c>
      <c r="B34192" s="38">
        <v>57189.0</v>
      </c>
      <c r="C34192" s="38" t="s">
        <v>38402</v>
      </c>
      <c r="D34192" s="38" t="str">
        <f>IFERROR(__xludf.DUMMYFUNCTION("REGEXREPLACE(C34192,""-\d+(.*)|--\d+(.*)"","""")"),"EINCHEVILLE")</f>
        <v>EINCHEVILLE</v>
      </c>
      <c r="E34192" s="38" t="s">
        <v>303</v>
      </c>
      <c r="F34192" s="38" t="s">
        <v>195</v>
      </c>
      <c r="G34192" s="49" t="str">
        <f t="shared" si="1"/>
        <v>57340</v>
      </c>
      <c r="H34192" s="49">
        <f t="shared" si="2"/>
        <v>57189</v>
      </c>
    </row>
    <row r="34193">
      <c r="A34193" s="48" t="s">
        <v>6615</v>
      </c>
      <c r="B34193" s="38">
        <v>65097.0</v>
      </c>
      <c r="C34193" s="38" t="s">
        <v>38403</v>
      </c>
      <c r="D34193" s="38" t="str">
        <f>IFERROR(__xludf.DUMMYFUNCTION("REGEXREPLACE(C34193,""-\d+(.*)|--\d+(.*)"","""")"),"BONREPOS")</f>
        <v>BONREPOS</v>
      </c>
      <c r="E34193" s="38" t="s">
        <v>200</v>
      </c>
      <c r="F34193" s="38" t="s">
        <v>94</v>
      </c>
      <c r="G34193" s="49" t="str">
        <f t="shared" si="1"/>
        <v>65330</v>
      </c>
      <c r="H34193" s="49">
        <f t="shared" si="2"/>
        <v>65097</v>
      </c>
    </row>
    <row r="34194">
      <c r="A34194" s="48" t="s">
        <v>309</v>
      </c>
      <c r="B34194" s="38">
        <v>48125.0</v>
      </c>
      <c r="C34194" s="38" t="s">
        <v>38404</v>
      </c>
      <c r="D34194" s="38" t="str">
        <f>IFERROR(__xludf.DUMMYFUNCTION("REGEXREPLACE(C34194,""-\d+(.*)|--\d+(.*)"","""")"),"LE RECOUX")</f>
        <v>LE RECOUX</v>
      </c>
      <c r="E34194" s="38" t="s">
        <v>154</v>
      </c>
      <c r="F34194" s="38" t="s">
        <v>119</v>
      </c>
      <c r="G34194" s="49" t="str">
        <f t="shared" si="1"/>
        <v>48500</v>
      </c>
      <c r="H34194" s="49">
        <f t="shared" si="2"/>
        <v>48125</v>
      </c>
    </row>
    <row r="34195">
      <c r="A34195" s="48" t="s">
        <v>1970</v>
      </c>
      <c r="B34195" s="38">
        <v>74151.0</v>
      </c>
      <c r="C34195" s="38" t="s">
        <v>38405</v>
      </c>
      <c r="D34195" s="38" t="str">
        <f>IFERROR(__xludf.DUMMYFUNCTION("REGEXREPLACE(C34195,""-\d+(.*)|--\d+(.*)"","""")"),"LORNAY")</f>
        <v>LORNAY</v>
      </c>
      <c r="E34195" s="38" t="s">
        <v>319</v>
      </c>
      <c r="F34195" s="38" t="s">
        <v>102</v>
      </c>
      <c r="G34195" s="49" t="str">
        <f t="shared" si="1"/>
        <v>74150</v>
      </c>
      <c r="H34195" s="49">
        <f t="shared" si="2"/>
        <v>74151</v>
      </c>
    </row>
    <row r="34196">
      <c r="A34196" s="48" t="s">
        <v>38406</v>
      </c>
      <c r="B34196" s="38">
        <v>38449.0</v>
      </c>
      <c r="C34196" s="38" t="s">
        <v>38407</v>
      </c>
      <c r="D34196" s="38" t="str">
        <f>IFERROR(__xludf.DUMMYFUNCTION("REGEXREPLACE(C34196,""-\d+(.*)|--\d+(.*)"","""")"),"SAINT-QUENTIN-FALLAVIER")</f>
        <v>SAINT-QUENTIN-FALLAVIER</v>
      </c>
      <c r="E34196" s="38" t="s">
        <v>101</v>
      </c>
      <c r="F34196" s="38" t="s">
        <v>102</v>
      </c>
      <c r="G34196" s="49" t="str">
        <f t="shared" si="1"/>
        <v>38070</v>
      </c>
      <c r="H34196" s="49">
        <f t="shared" si="2"/>
        <v>38449</v>
      </c>
    </row>
    <row r="34197">
      <c r="A34197" s="48" t="s">
        <v>5631</v>
      </c>
      <c r="B34197" s="38">
        <v>76308.0</v>
      </c>
      <c r="C34197" s="38" t="s">
        <v>38408</v>
      </c>
      <c r="D34197" s="38" t="str">
        <f>IFERROR(__xludf.DUMMYFUNCTION("REGEXREPLACE(C34197,""-\d+(.*)|--\d+(.*)"","""")"),"GONNEVILLE-SUR-SCIE")</f>
        <v>GONNEVILLE-SUR-SCIE</v>
      </c>
      <c r="E34197" s="38" t="s">
        <v>133</v>
      </c>
      <c r="F34197" s="38" t="s">
        <v>134</v>
      </c>
      <c r="G34197" s="49" t="str">
        <f t="shared" si="1"/>
        <v>76590</v>
      </c>
      <c r="H34197" s="49">
        <f t="shared" si="2"/>
        <v>76308</v>
      </c>
    </row>
    <row r="34198">
      <c r="A34198" s="48" t="s">
        <v>2296</v>
      </c>
      <c r="B34198" s="38">
        <v>47301.0</v>
      </c>
      <c r="C34198" s="38" t="s">
        <v>38409</v>
      </c>
      <c r="D34198" s="38" t="str">
        <f>IFERROR(__xludf.DUMMYFUNCTION("REGEXREPLACE(C34198,""-\d+(.*)|--\d+(.*)"","""")"),"SEYCHES")</f>
        <v>SEYCHES</v>
      </c>
      <c r="E34198" s="38" t="s">
        <v>251</v>
      </c>
      <c r="F34198" s="38" t="s">
        <v>252</v>
      </c>
      <c r="G34198" s="49" t="str">
        <f t="shared" si="1"/>
        <v>47350</v>
      </c>
      <c r="H34198" s="49">
        <f t="shared" si="2"/>
        <v>47301</v>
      </c>
    </row>
    <row r="34199">
      <c r="A34199" s="48" t="s">
        <v>12777</v>
      </c>
      <c r="B34199" s="38">
        <v>73228.0</v>
      </c>
      <c r="C34199" s="38" t="s">
        <v>38410</v>
      </c>
      <c r="D34199" s="38" t="str">
        <f>IFERROR(__xludf.DUMMYFUNCTION("REGEXREPLACE(C34199,""-\d+(.*)|--\d+(.*)"","""")"),"SAINT-CASSIN")</f>
        <v>SAINT-CASSIN</v>
      </c>
      <c r="E34199" s="38" t="s">
        <v>306</v>
      </c>
      <c r="F34199" s="38" t="s">
        <v>102</v>
      </c>
      <c r="G34199" s="49" t="str">
        <f t="shared" si="1"/>
        <v>73160</v>
      </c>
      <c r="H34199" s="49">
        <f t="shared" si="2"/>
        <v>73228</v>
      </c>
    </row>
    <row r="34200">
      <c r="A34200" s="48" t="s">
        <v>38411</v>
      </c>
      <c r="B34200" s="38">
        <v>19146.0</v>
      </c>
      <c r="C34200" s="38" t="s">
        <v>2214</v>
      </c>
      <c r="D34200" s="38" t="str">
        <f>IFERROR(__xludf.DUMMYFUNCTION("REGEXREPLACE(C34200,""-\d+(.*)|--\d+(.*)"","""")"),"NAVES")</f>
        <v>NAVES</v>
      </c>
      <c r="E34200" s="38" t="s">
        <v>271</v>
      </c>
      <c r="F34200" s="38" t="s">
        <v>98</v>
      </c>
      <c r="G34200" s="49" t="str">
        <f t="shared" si="1"/>
        <v>19460</v>
      </c>
      <c r="H34200" s="49">
        <f t="shared" si="2"/>
        <v>19146</v>
      </c>
    </row>
    <row r="34201">
      <c r="A34201" s="48" t="s">
        <v>3279</v>
      </c>
      <c r="B34201" s="38">
        <v>26093.0</v>
      </c>
      <c r="C34201" s="38" t="s">
        <v>38412</v>
      </c>
      <c r="D34201" s="38" t="str">
        <f>IFERROR(__xludf.DUMMYFUNCTION("REGEXREPLACE(C34201,""-\d+(.*)|--\d+(.*)"","""")"),"CLANSAYES")</f>
        <v>CLANSAYES</v>
      </c>
      <c r="E34201" s="38" t="s">
        <v>126</v>
      </c>
      <c r="F34201" s="38" t="s">
        <v>102</v>
      </c>
      <c r="G34201" s="49" t="str">
        <f t="shared" si="1"/>
        <v>26130</v>
      </c>
      <c r="H34201" s="49">
        <f t="shared" si="2"/>
        <v>26093</v>
      </c>
    </row>
    <row r="34202">
      <c r="A34202" s="48" t="s">
        <v>5791</v>
      </c>
      <c r="B34202" s="38">
        <v>85152.0</v>
      </c>
      <c r="C34202" s="38" t="s">
        <v>38413</v>
      </c>
      <c r="D34202" s="38" t="str">
        <f>IFERROR(__xludf.DUMMYFUNCTION("REGEXREPLACE(C34202,""-\d+(.*)|--\d+(.*)"","""")"),"LA MOTHE-ACHARD")</f>
        <v>LA MOTHE-ACHARD</v>
      </c>
      <c r="E34202" s="38" t="s">
        <v>179</v>
      </c>
      <c r="F34202" s="38" t="s">
        <v>180</v>
      </c>
      <c r="G34202" s="49" t="str">
        <f t="shared" si="1"/>
        <v>85150</v>
      </c>
      <c r="H34202" s="49">
        <f t="shared" si="2"/>
        <v>85152</v>
      </c>
    </row>
    <row r="34203">
      <c r="A34203" s="48" t="s">
        <v>5381</v>
      </c>
      <c r="B34203" s="38">
        <v>38121.0</v>
      </c>
      <c r="C34203" s="38" t="s">
        <v>38414</v>
      </c>
      <c r="D34203" s="38" t="str">
        <f>IFERROR(__xludf.DUMMYFUNCTION("REGEXREPLACE(C34203,""-\d+(.*)|--\d+(.*)"","""")"),"COMMELLE")</f>
        <v>COMMELLE</v>
      </c>
      <c r="E34203" s="38" t="s">
        <v>101</v>
      </c>
      <c r="F34203" s="38" t="s">
        <v>102</v>
      </c>
      <c r="G34203" s="49" t="str">
        <f t="shared" si="1"/>
        <v>38260</v>
      </c>
      <c r="H34203" s="49">
        <f t="shared" si="2"/>
        <v>38121</v>
      </c>
    </row>
    <row r="34204">
      <c r="A34204" s="48" t="s">
        <v>407</v>
      </c>
      <c r="B34204" s="38">
        <v>71465.0</v>
      </c>
      <c r="C34204" s="38" t="s">
        <v>38415</v>
      </c>
      <c r="D34204" s="38" t="str">
        <f>IFERROR(__xludf.DUMMYFUNCTION("REGEXREPLACE(C34204,""-\d+(.*)|--\d+(.*)"","""")"),"SAINT-MICAUD")</f>
        <v>SAINT-MICAUD</v>
      </c>
      <c r="E34204" s="38" t="s">
        <v>344</v>
      </c>
      <c r="F34204" s="38" t="s">
        <v>106</v>
      </c>
      <c r="G34204" s="49" t="str">
        <f t="shared" si="1"/>
        <v>71460</v>
      </c>
      <c r="H34204" s="49">
        <f t="shared" si="2"/>
        <v>71465</v>
      </c>
    </row>
    <row r="34205">
      <c r="A34205" s="48" t="s">
        <v>3753</v>
      </c>
      <c r="B34205" s="38">
        <v>18204.0</v>
      </c>
      <c r="C34205" s="38" t="s">
        <v>38416</v>
      </c>
      <c r="D34205" s="38" t="str">
        <f>IFERROR(__xludf.DUMMYFUNCTION("REGEXREPLACE(C34205,""-\d+(.*)|--\d+(.*)"","""")"),"SAINT-DENIS-DE-PALIN")</f>
        <v>SAINT-DENIS-DE-PALIN</v>
      </c>
      <c r="E34205" s="38" t="s">
        <v>504</v>
      </c>
      <c r="F34205" s="38" t="s">
        <v>123</v>
      </c>
      <c r="G34205" s="49" t="str">
        <f t="shared" si="1"/>
        <v>18130</v>
      </c>
      <c r="H34205" s="49">
        <f t="shared" si="2"/>
        <v>18204</v>
      </c>
    </row>
    <row r="34206">
      <c r="A34206" s="48" t="s">
        <v>3152</v>
      </c>
      <c r="B34206" s="38">
        <v>7290.0</v>
      </c>
      <c r="C34206" s="38" t="s">
        <v>16886</v>
      </c>
      <c r="D34206" s="38" t="str">
        <f>IFERROR(__xludf.DUMMYFUNCTION("REGEXREPLACE(C34206,""-\d+(.*)|--\d+(.*)"","""")"),"SAINT-PRIX")</f>
        <v>SAINT-PRIX</v>
      </c>
      <c r="E34206" s="38" t="s">
        <v>144</v>
      </c>
      <c r="F34206" s="38" t="s">
        <v>102</v>
      </c>
      <c r="G34206" s="49" t="str">
        <f t="shared" si="1"/>
        <v>07270</v>
      </c>
      <c r="H34206" s="49" t="str">
        <f t="shared" si="2"/>
        <v>07290</v>
      </c>
    </row>
    <row r="34207">
      <c r="A34207" s="48" t="s">
        <v>6767</v>
      </c>
      <c r="B34207" s="38">
        <v>15232.0</v>
      </c>
      <c r="C34207" s="38" t="s">
        <v>38417</v>
      </c>
      <c r="D34207" s="38" t="str">
        <f>IFERROR(__xludf.DUMMYFUNCTION("REGEXREPLACE(C34207,""-\d+(.*)|--\d+(.*)"","""")"),"TANAVELLE")</f>
        <v>TANAVELLE</v>
      </c>
      <c r="E34207" s="38" t="s">
        <v>632</v>
      </c>
      <c r="F34207" s="38" t="s">
        <v>161</v>
      </c>
      <c r="G34207" s="49" t="str">
        <f t="shared" si="1"/>
        <v>15100</v>
      </c>
      <c r="H34207" s="49">
        <f t="shared" si="2"/>
        <v>15232</v>
      </c>
    </row>
    <row r="34208">
      <c r="A34208" s="48" t="s">
        <v>456</v>
      </c>
      <c r="B34208" s="38">
        <v>63268.0</v>
      </c>
      <c r="C34208" s="38" t="s">
        <v>38418</v>
      </c>
      <c r="D34208" s="38" t="str">
        <f>IFERROR(__xludf.DUMMYFUNCTION("REGEXREPLACE(C34208,""-\d+(.*)|--\d+(.*)"","""")"),"PARDINES")</f>
        <v>PARDINES</v>
      </c>
      <c r="E34208" s="38" t="s">
        <v>353</v>
      </c>
      <c r="F34208" s="38" t="s">
        <v>161</v>
      </c>
      <c r="G34208" s="49" t="str">
        <f t="shared" si="1"/>
        <v>63500</v>
      </c>
      <c r="H34208" s="49">
        <f t="shared" si="2"/>
        <v>63268</v>
      </c>
    </row>
    <row r="34209">
      <c r="A34209" s="48" t="s">
        <v>8298</v>
      </c>
      <c r="B34209" s="38">
        <v>54072.0</v>
      </c>
      <c r="C34209" s="38" t="s">
        <v>38419</v>
      </c>
      <c r="D34209" s="38" t="str">
        <f>IFERROR(__xludf.DUMMYFUNCTION("REGEXREPLACE(C34209,""-\d+(.*)|--\d+(.*)"","""")"),"BEZAUMONT")</f>
        <v>BEZAUMONT</v>
      </c>
      <c r="E34209" s="38" t="s">
        <v>548</v>
      </c>
      <c r="F34209" s="38" t="s">
        <v>195</v>
      </c>
      <c r="G34209" s="49" t="str">
        <f t="shared" si="1"/>
        <v>54380</v>
      </c>
      <c r="H34209" s="49">
        <f t="shared" si="2"/>
        <v>54072</v>
      </c>
    </row>
    <row r="34210">
      <c r="A34210" s="48" t="s">
        <v>5150</v>
      </c>
      <c r="B34210" s="38">
        <v>50218.0</v>
      </c>
      <c r="C34210" s="38" t="s">
        <v>38420</v>
      </c>
      <c r="D34210" s="38" t="str">
        <f>IFERROR(__xludf.DUMMYFUNCTION("REGEXREPLACE(C34210,""-\d+(.*)|--\d+(.*)"","""")"),"GRANVILLE")</f>
        <v>GRANVILLE</v>
      </c>
      <c r="E34210" s="38" t="s">
        <v>157</v>
      </c>
      <c r="F34210" s="38" t="s">
        <v>138</v>
      </c>
      <c r="G34210" s="49" t="str">
        <f t="shared" si="1"/>
        <v>50400</v>
      </c>
      <c r="H34210" s="49">
        <f t="shared" si="2"/>
        <v>50218</v>
      </c>
    </row>
    <row r="34211">
      <c r="A34211" s="48" t="s">
        <v>3504</v>
      </c>
      <c r="B34211" s="38">
        <v>42002.0</v>
      </c>
      <c r="C34211" s="38" t="s">
        <v>38421</v>
      </c>
      <c r="D34211" s="38" t="str">
        <f>IFERROR(__xludf.DUMMYFUNCTION("REGEXREPLACE(C34211,""-\d+(.*)|--\d+(.*)"","""")"),"AILLEUX")</f>
        <v>AILLEUX</v>
      </c>
      <c r="E34211" s="38" t="s">
        <v>166</v>
      </c>
      <c r="F34211" s="38" t="s">
        <v>102</v>
      </c>
      <c r="G34211" s="49" t="str">
        <f t="shared" si="1"/>
        <v>42130</v>
      </c>
      <c r="H34211" s="49">
        <f t="shared" si="2"/>
        <v>42002</v>
      </c>
    </row>
    <row r="34212">
      <c r="A34212" s="48" t="s">
        <v>15599</v>
      </c>
      <c r="B34212" s="38">
        <v>5157.0</v>
      </c>
      <c r="C34212" s="38" t="s">
        <v>38422</v>
      </c>
      <c r="D34212" s="38" t="str">
        <f>IFERROR(__xludf.DUMMYFUNCTION("REGEXREPLACE(C34212,""-\d+(.*)|--\d+(.*)"","""")"),"SAINT-VERAN")</f>
        <v>SAINT-VERAN</v>
      </c>
      <c r="E34212" s="38" t="s">
        <v>706</v>
      </c>
      <c r="F34212" s="38" t="s">
        <v>228</v>
      </c>
      <c r="G34212" s="49" t="str">
        <f t="shared" si="1"/>
        <v>05350</v>
      </c>
      <c r="H34212" s="49" t="str">
        <f t="shared" si="2"/>
        <v>05157</v>
      </c>
    </row>
    <row r="34213">
      <c r="A34213" s="48" t="s">
        <v>4728</v>
      </c>
      <c r="B34213" s="38">
        <v>37081.0</v>
      </c>
      <c r="C34213" s="38" t="s">
        <v>38423</v>
      </c>
      <c r="D34213" s="38" t="str">
        <f>IFERROR(__xludf.DUMMYFUNCTION("REGEXREPLACE(C34213,""-\d+(.*)|--\d+(.*)"","""")"),"CLERE-LES-PINS")</f>
        <v>CLERE-LES-PINS</v>
      </c>
      <c r="E34213" s="38" t="s">
        <v>205</v>
      </c>
      <c r="F34213" s="38" t="s">
        <v>123</v>
      </c>
      <c r="G34213" s="49" t="str">
        <f t="shared" si="1"/>
        <v>37340</v>
      </c>
      <c r="H34213" s="49">
        <f t="shared" si="2"/>
        <v>37081</v>
      </c>
    </row>
    <row r="34214">
      <c r="A34214" s="48" t="s">
        <v>1669</v>
      </c>
      <c r="B34214" s="38">
        <v>21215.0</v>
      </c>
      <c r="C34214" s="38" t="s">
        <v>38424</v>
      </c>
      <c r="D34214" s="38" t="str">
        <f>IFERROR(__xludf.DUMMYFUNCTION("REGEXREPLACE(C34214,""-\d+(.*)|--\d+(.*)"","""")"),"CUISEREY")</f>
        <v>CUISEREY</v>
      </c>
      <c r="E34214" s="38" t="s">
        <v>105</v>
      </c>
      <c r="F34214" s="38" t="s">
        <v>106</v>
      </c>
      <c r="G34214" s="49" t="str">
        <f t="shared" si="1"/>
        <v>21310</v>
      </c>
      <c r="H34214" s="49">
        <f t="shared" si="2"/>
        <v>21215</v>
      </c>
    </row>
    <row r="34215">
      <c r="A34215" s="48" t="s">
        <v>4443</v>
      </c>
      <c r="B34215" s="38">
        <v>27600.0</v>
      </c>
      <c r="C34215" s="38" t="s">
        <v>38425</v>
      </c>
      <c r="D34215" s="38" t="str">
        <f>IFERROR(__xludf.DUMMYFUNCTION("REGEXREPLACE(C34215,""-\d+(.*)|--\d+(.*)"","""")"),"SAINT-QUENTIN-DES-ISLES")</f>
        <v>SAINT-QUENTIN-DES-ISLES</v>
      </c>
      <c r="E34215" s="38" t="s">
        <v>241</v>
      </c>
      <c r="F34215" s="38" t="s">
        <v>134</v>
      </c>
      <c r="G34215" s="49" t="str">
        <f t="shared" si="1"/>
        <v>27270</v>
      </c>
      <c r="H34215" s="49">
        <f t="shared" si="2"/>
        <v>27600</v>
      </c>
    </row>
    <row r="34216">
      <c r="A34216" s="48" t="s">
        <v>2905</v>
      </c>
      <c r="B34216" s="38">
        <v>21360.0</v>
      </c>
      <c r="C34216" s="38" t="s">
        <v>38426</v>
      </c>
      <c r="D34216" s="38" t="str">
        <f>IFERROR(__xludf.DUMMYFUNCTION("REGEXREPLACE(C34216,""-\d+(.*)|--\d+(.*)"","""")"),"LUSIGNY-SUR-OUCHE")</f>
        <v>LUSIGNY-SUR-OUCHE</v>
      </c>
      <c r="E34216" s="38" t="s">
        <v>105</v>
      </c>
      <c r="F34216" s="38" t="s">
        <v>106</v>
      </c>
      <c r="G34216" s="49" t="str">
        <f t="shared" si="1"/>
        <v>21360</v>
      </c>
      <c r="H34216" s="49">
        <f t="shared" si="2"/>
        <v>21360</v>
      </c>
    </row>
    <row r="34217">
      <c r="A34217" s="48" t="s">
        <v>1731</v>
      </c>
      <c r="B34217" s="38">
        <v>38109.0</v>
      </c>
      <c r="C34217" s="38" t="s">
        <v>38427</v>
      </c>
      <c r="D34217" s="38" t="str">
        <f>IFERROR(__xludf.DUMMYFUNCTION("REGEXREPLACE(C34217,""-\d+(.*)|--\d+(.*)"","""")"),"CHOZEAU")</f>
        <v>CHOZEAU</v>
      </c>
      <c r="E34217" s="38" t="s">
        <v>101</v>
      </c>
      <c r="F34217" s="38" t="s">
        <v>102</v>
      </c>
      <c r="G34217" s="49" t="str">
        <f t="shared" si="1"/>
        <v>38460</v>
      </c>
      <c r="H34217" s="49">
        <f t="shared" si="2"/>
        <v>38109</v>
      </c>
    </row>
    <row r="34218">
      <c r="A34218" s="48" t="s">
        <v>1923</v>
      </c>
      <c r="B34218" s="38">
        <v>60409.0</v>
      </c>
      <c r="C34218" s="38" t="s">
        <v>38428</v>
      </c>
      <c r="D34218" s="38" t="str">
        <f>IFERROR(__xludf.DUMMYFUNCTION("REGEXREPLACE(C34218,""-\d+(.*)|--\d+(.*)"","""")"),"MONCHY-SAINT-ELOI")</f>
        <v>MONCHY-SAINT-ELOI</v>
      </c>
      <c r="E34218" s="38" t="s">
        <v>112</v>
      </c>
      <c r="F34218" s="38" t="s">
        <v>113</v>
      </c>
      <c r="G34218" s="49" t="str">
        <f t="shared" si="1"/>
        <v>60290</v>
      </c>
      <c r="H34218" s="49">
        <f t="shared" si="2"/>
        <v>60409</v>
      </c>
    </row>
    <row r="34219">
      <c r="A34219" s="48" t="s">
        <v>2362</v>
      </c>
      <c r="B34219" s="38">
        <v>14388.0</v>
      </c>
      <c r="C34219" s="38" t="s">
        <v>38429</v>
      </c>
      <c r="D34219" s="38" t="str">
        <f>IFERROR(__xludf.DUMMYFUNCTION("REGEXREPLACE(C34219,""-\d+(.*)|--\d+(.*)"","""")"),"MAISONCELLES-LA-JOURDAN")</f>
        <v>MAISONCELLES-LA-JOURDAN</v>
      </c>
      <c r="E34219" s="38" t="s">
        <v>137</v>
      </c>
      <c r="F34219" s="38" t="s">
        <v>138</v>
      </c>
      <c r="G34219" s="49" t="str">
        <f t="shared" si="1"/>
        <v>14500</v>
      </c>
      <c r="H34219" s="49">
        <f t="shared" si="2"/>
        <v>14388</v>
      </c>
    </row>
    <row r="34220">
      <c r="A34220" s="48" t="s">
        <v>5417</v>
      </c>
      <c r="B34220" s="38">
        <v>24341.0</v>
      </c>
      <c r="C34220" s="38" t="s">
        <v>38430</v>
      </c>
      <c r="D34220" s="38" t="str">
        <f>IFERROR(__xludf.DUMMYFUNCTION("REGEXREPLACE(C34220,""-\d+(.*)|--\d+(.*)"","""")"),"PROISSANS")</f>
        <v>PROISSANS</v>
      </c>
      <c r="E34220" s="38" t="s">
        <v>261</v>
      </c>
      <c r="F34220" s="38" t="s">
        <v>252</v>
      </c>
      <c r="G34220" s="49" t="str">
        <f t="shared" si="1"/>
        <v>24200</v>
      </c>
      <c r="H34220" s="49">
        <f t="shared" si="2"/>
        <v>24341</v>
      </c>
    </row>
    <row r="34221">
      <c r="A34221" s="48" t="s">
        <v>12221</v>
      </c>
      <c r="B34221" s="38">
        <v>41130.0</v>
      </c>
      <c r="C34221" s="38" t="s">
        <v>38431</v>
      </c>
      <c r="D34221" s="38" t="str">
        <f>IFERROR(__xludf.DUMMYFUNCTION("REGEXREPLACE(C34221,""-\d+(.*)|--\d+(.*)"","""")"),"MAVES")</f>
        <v>MAVES</v>
      </c>
      <c r="E34221" s="38" t="s">
        <v>188</v>
      </c>
      <c r="F34221" s="38" t="s">
        <v>123</v>
      </c>
      <c r="G34221" s="49" t="str">
        <f t="shared" si="1"/>
        <v>41500</v>
      </c>
      <c r="H34221" s="49">
        <f t="shared" si="2"/>
        <v>41130</v>
      </c>
    </row>
    <row r="34222">
      <c r="A34222" s="48" t="s">
        <v>4274</v>
      </c>
      <c r="B34222" s="38">
        <v>52136.0</v>
      </c>
      <c r="C34222" s="38" t="s">
        <v>38432</v>
      </c>
      <c r="D34222" s="38" t="str">
        <f>IFERROR(__xludf.DUMMYFUNCTION("REGEXREPLACE(C34222,""-\d+(.*)|--\d+(.*)"","""")"),"COIFFY-LE-HAUT")</f>
        <v>COIFFY-LE-HAUT</v>
      </c>
      <c r="E34222" s="38" t="s">
        <v>234</v>
      </c>
      <c r="F34222" s="38" t="s">
        <v>130</v>
      </c>
      <c r="G34222" s="49" t="str">
        <f t="shared" si="1"/>
        <v>52400</v>
      </c>
      <c r="H34222" s="49">
        <f t="shared" si="2"/>
        <v>52136</v>
      </c>
    </row>
    <row r="34223">
      <c r="A34223" s="48" t="s">
        <v>3633</v>
      </c>
      <c r="B34223" s="38">
        <v>48105.0</v>
      </c>
      <c r="C34223" s="38" t="s">
        <v>28760</v>
      </c>
      <c r="D34223" s="38" t="str">
        <f>IFERROR(__xludf.DUMMYFUNCTION("REGEXREPLACE(C34223,""-\d+(.*)|--\d+(.*)"","""")"),"NAUSSAC")</f>
        <v>NAUSSAC</v>
      </c>
      <c r="E34223" s="38" t="s">
        <v>154</v>
      </c>
      <c r="F34223" s="38" t="s">
        <v>119</v>
      </c>
      <c r="G34223" s="49" t="str">
        <f t="shared" si="1"/>
        <v>48300</v>
      </c>
      <c r="H34223" s="49">
        <f t="shared" si="2"/>
        <v>48105</v>
      </c>
    </row>
    <row r="34224">
      <c r="A34224" s="48" t="s">
        <v>4332</v>
      </c>
      <c r="B34224" s="38">
        <v>24197.0</v>
      </c>
      <c r="C34224" s="38" t="s">
        <v>38433</v>
      </c>
      <c r="D34224" s="38" t="str">
        <f>IFERROR(__xludf.DUMMYFUNCTION("REGEXREPLACE(C34224,""-\d+(.*)|--\d+(.*)"","""")"),"GINESTET")</f>
        <v>GINESTET</v>
      </c>
      <c r="E34224" s="38" t="s">
        <v>261</v>
      </c>
      <c r="F34224" s="38" t="s">
        <v>252</v>
      </c>
      <c r="G34224" s="49" t="str">
        <f t="shared" si="1"/>
        <v>24130</v>
      </c>
      <c r="H34224" s="49">
        <f t="shared" si="2"/>
        <v>24197</v>
      </c>
    </row>
    <row r="34225">
      <c r="A34225" s="48" t="s">
        <v>10760</v>
      </c>
      <c r="B34225" s="38">
        <v>25304.0</v>
      </c>
      <c r="C34225" s="38" t="s">
        <v>38434</v>
      </c>
      <c r="D34225" s="38" t="str">
        <f>IFERROR(__xludf.DUMMYFUNCTION("REGEXREPLACE(C34225,""-\d+(.*)|--\d+(.*)"","""")"),"HERIMONCOURT")</f>
        <v>HERIMONCOURT</v>
      </c>
      <c r="E34225" s="38" t="s">
        <v>213</v>
      </c>
      <c r="F34225" s="38" t="s">
        <v>214</v>
      </c>
      <c r="G34225" s="49" t="str">
        <f t="shared" si="1"/>
        <v>25310</v>
      </c>
      <c r="H34225" s="49">
        <f t="shared" si="2"/>
        <v>25304</v>
      </c>
    </row>
    <row r="34226">
      <c r="A34226" s="48" t="s">
        <v>2592</v>
      </c>
      <c r="B34226" s="38">
        <v>34328.0</v>
      </c>
      <c r="C34226" s="38" t="s">
        <v>38435</v>
      </c>
      <c r="D34226" s="38" t="str">
        <f>IFERROR(__xludf.DUMMYFUNCTION("REGEXREPLACE(C34226,""-\d+(.*)|--\d+(.*)"","""")"),"VENDEMIAN")</f>
        <v>VENDEMIAN</v>
      </c>
      <c r="E34226" s="38" t="s">
        <v>118</v>
      </c>
      <c r="F34226" s="38" t="s">
        <v>119</v>
      </c>
      <c r="G34226" s="49" t="str">
        <f t="shared" si="1"/>
        <v>34230</v>
      </c>
      <c r="H34226" s="49">
        <f t="shared" si="2"/>
        <v>34328</v>
      </c>
    </row>
    <row r="34227">
      <c r="A34227" s="48" t="s">
        <v>2788</v>
      </c>
      <c r="B34227" s="38">
        <v>35142.0</v>
      </c>
      <c r="C34227" s="38" t="s">
        <v>38436</v>
      </c>
      <c r="D34227" s="38" t="str">
        <f>IFERROR(__xludf.DUMMYFUNCTION("REGEXREPLACE(C34227,""-\d+(.*)|--\d+(.*)"","""")"),"LANDEAN")</f>
        <v>LANDEAN</v>
      </c>
      <c r="E34227" s="38" t="s">
        <v>347</v>
      </c>
      <c r="F34227" s="38" t="s">
        <v>90</v>
      </c>
      <c r="G34227" s="49" t="str">
        <f t="shared" si="1"/>
        <v>35133</v>
      </c>
      <c r="H34227" s="49">
        <f t="shared" si="2"/>
        <v>35142</v>
      </c>
    </row>
    <row r="34228">
      <c r="A34228" s="48" t="s">
        <v>2159</v>
      </c>
      <c r="B34228" s="38">
        <v>57057.0</v>
      </c>
      <c r="C34228" s="38" t="s">
        <v>38437</v>
      </c>
      <c r="D34228" s="38" t="str">
        <f>IFERROR(__xludf.DUMMYFUNCTION("REGEXREPLACE(C34228,""-\d+(.*)|--\d+(.*)"","""")"),"BECHY")</f>
        <v>BECHY</v>
      </c>
      <c r="E34228" s="38" t="s">
        <v>303</v>
      </c>
      <c r="F34228" s="38" t="s">
        <v>195</v>
      </c>
      <c r="G34228" s="49" t="str">
        <f t="shared" si="1"/>
        <v>57580</v>
      </c>
      <c r="H34228" s="49">
        <f t="shared" si="2"/>
        <v>57057</v>
      </c>
    </row>
    <row r="34229">
      <c r="A34229" s="48" t="s">
        <v>1825</v>
      </c>
      <c r="B34229" s="38">
        <v>64239.0</v>
      </c>
      <c r="C34229" s="38" t="s">
        <v>38438</v>
      </c>
      <c r="D34229" s="38" t="str">
        <f>IFERROR(__xludf.DUMMYFUNCTION("REGEXREPLACE(C34229,""-\d+(.*)|--\d+(.*)"","""")"),"GERDEREST")</f>
        <v>GERDEREST</v>
      </c>
      <c r="E34229" s="38" t="s">
        <v>268</v>
      </c>
      <c r="F34229" s="38" t="s">
        <v>252</v>
      </c>
      <c r="G34229" s="49" t="str">
        <f t="shared" si="1"/>
        <v>64160</v>
      </c>
      <c r="H34229" s="49">
        <f t="shared" si="2"/>
        <v>64239</v>
      </c>
    </row>
    <row r="34230">
      <c r="A34230" s="48" t="s">
        <v>5640</v>
      </c>
      <c r="B34230" s="38">
        <v>2032.0</v>
      </c>
      <c r="C34230" s="38" t="s">
        <v>38439</v>
      </c>
      <c r="D34230" s="38" t="str">
        <f>IFERROR(__xludf.DUMMYFUNCTION("REGEXREPLACE(C34230,""-\d+(.*)|--\d+(.*)"","""")"),"AUBIGNY-AUX-KAISNES")</f>
        <v>AUBIGNY-AUX-KAISNES</v>
      </c>
      <c r="E34230" s="38" t="s">
        <v>191</v>
      </c>
      <c r="F34230" s="38" t="s">
        <v>113</v>
      </c>
      <c r="G34230" s="49" t="str">
        <f t="shared" si="1"/>
        <v>02590</v>
      </c>
      <c r="H34230" s="49" t="str">
        <f t="shared" si="2"/>
        <v>02032</v>
      </c>
    </row>
    <row r="34231">
      <c r="A34231" s="48" t="s">
        <v>5142</v>
      </c>
      <c r="B34231" s="38">
        <v>58250.0</v>
      </c>
      <c r="C34231" s="38" t="s">
        <v>38440</v>
      </c>
      <c r="D34231" s="38" t="str">
        <f>IFERROR(__xludf.DUMMYFUNCTION("REGEXREPLACE(C34231,""-\d+(.*)|--\d+(.*)"","""")"),"SAINT-LEGER-DES-VIGNES")</f>
        <v>SAINT-LEGER-DES-VIGNES</v>
      </c>
      <c r="E34231" s="38" t="s">
        <v>219</v>
      </c>
      <c r="F34231" s="38" t="s">
        <v>106</v>
      </c>
      <c r="G34231" s="49" t="str">
        <f t="shared" si="1"/>
        <v>58300</v>
      </c>
      <c r="H34231" s="49">
        <f t="shared" si="2"/>
        <v>58250</v>
      </c>
    </row>
    <row r="34232">
      <c r="A34232" s="48" t="s">
        <v>1688</v>
      </c>
      <c r="B34232" s="38">
        <v>76650.0</v>
      </c>
      <c r="C34232" s="38" t="s">
        <v>38441</v>
      </c>
      <c r="D34232" s="38" t="str">
        <f>IFERROR(__xludf.DUMMYFUNCTION("REGEXREPLACE(C34232,""-\d+(.*)|--\d+(.*)"","""")"),"SAINT-SAUVEUR-D'EMALLEVILLE")</f>
        <v>SAINT-SAUVEUR-D'EMALLEVILLE</v>
      </c>
      <c r="E34232" s="38" t="s">
        <v>133</v>
      </c>
      <c r="F34232" s="38" t="s">
        <v>134</v>
      </c>
      <c r="G34232" s="49" t="str">
        <f t="shared" si="1"/>
        <v>76110</v>
      </c>
      <c r="H34232" s="49">
        <f t="shared" si="2"/>
        <v>76650</v>
      </c>
    </row>
    <row r="34233">
      <c r="A34233" s="48" t="s">
        <v>38442</v>
      </c>
      <c r="B34233" s="38">
        <v>67049.0</v>
      </c>
      <c r="C34233" s="38" t="s">
        <v>38443</v>
      </c>
      <c r="D34233" s="38" t="str">
        <f>IFERROR(__xludf.DUMMYFUNCTION("REGEXREPLACE(C34233,""-\d+(.*)|--\d+(.*)"","""")"),"BLAESHEIM")</f>
        <v>BLAESHEIM</v>
      </c>
      <c r="E34233" s="38" t="s">
        <v>210</v>
      </c>
      <c r="F34233" s="38" t="s">
        <v>151</v>
      </c>
      <c r="G34233" s="49" t="str">
        <f t="shared" si="1"/>
        <v>67113</v>
      </c>
      <c r="H34233" s="49">
        <f t="shared" si="2"/>
        <v>67049</v>
      </c>
    </row>
    <row r="34234">
      <c r="A34234" s="48" t="s">
        <v>9283</v>
      </c>
      <c r="B34234" s="38" t="s">
        <v>38444</v>
      </c>
      <c r="C34234" s="38" t="s">
        <v>38445</v>
      </c>
      <c r="D34234" s="38" t="str">
        <f>IFERROR(__xludf.DUMMYFUNCTION("REGEXREPLACE(C34234,""-\d+(.*)|--\d+(.*)"","""")"),"PIETRACORBARA")</f>
        <v>PIETRACORBARA</v>
      </c>
      <c r="E34234" s="38" t="s">
        <v>743</v>
      </c>
      <c r="F34234" s="38" t="s">
        <v>607</v>
      </c>
      <c r="G34234" s="49" t="str">
        <f t="shared" si="1"/>
        <v>20233</v>
      </c>
      <c r="H34234" s="49" t="str">
        <f t="shared" si="2"/>
        <v>2B224</v>
      </c>
    </row>
    <row r="34235">
      <c r="A34235" s="48" t="s">
        <v>12015</v>
      </c>
      <c r="B34235" s="38">
        <v>25575.0</v>
      </c>
      <c r="C34235" s="38" t="s">
        <v>38446</v>
      </c>
      <c r="D34235" s="38" t="str">
        <f>IFERROR(__xludf.DUMMYFUNCTION("REGEXREPLACE(C34235,""-\d+(.*)|--\d+(.*)"","""")"),"VAIRE-ARCIER")</f>
        <v>VAIRE-ARCIER</v>
      </c>
      <c r="E34235" s="38" t="s">
        <v>213</v>
      </c>
      <c r="F34235" s="38" t="s">
        <v>214</v>
      </c>
      <c r="G34235" s="49" t="str">
        <f t="shared" si="1"/>
        <v>25220</v>
      </c>
      <c r="H34235" s="49">
        <f t="shared" si="2"/>
        <v>25575</v>
      </c>
    </row>
    <row r="34236">
      <c r="A34236" s="48" t="s">
        <v>1327</v>
      </c>
      <c r="B34236" s="38">
        <v>51577.0</v>
      </c>
      <c r="C34236" s="38" t="s">
        <v>38447</v>
      </c>
      <c r="D34236" s="38" t="str">
        <f>IFERROR(__xludf.DUMMYFUNCTION("REGEXREPLACE(C34236,""-\d+(.*)|--\d+(.*)"","""")"),"TRAMERY")</f>
        <v>TRAMERY</v>
      </c>
      <c r="E34236" s="38" t="s">
        <v>129</v>
      </c>
      <c r="F34236" s="38" t="s">
        <v>130</v>
      </c>
      <c r="G34236" s="49" t="str">
        <f t="shared" si="1"/>
        <v>51170</v>
      </c>
      <c r="H34236" s="49">
        <f t="shared" si="2"/>
        <v>51577</v>
      </c>
    </row>
    <row r="34237">
      <c r="A34237" s="48" t="s">
        <v>10209</v>
      </c>
      <c r="B34237" s="38">
        <v>3022.0</v>
      </c>
      <c r="C34237" s="38" t="s">
        <v>38448</v>
      </c>
      <c r="D34237" s="38" t="str">
        <f>IFERROR(__xludf.DUMMYFUNCTION("REGEXREPLACE(C34237,""-\d+(.*)|--\d+(.*)"","""")"),"BELLENAVES")</f>
        <v>BELLENAVES</v>
      </c>
      <c r="E34237" s="38" t="s">
        <v>160</v>
      </c>
      <c r="F34237" s="38" t="s">
        <v>161</v>
      </c>
      <c r="G34237" s="49" t="str">
        <f t="shared" si="1"/>
        <v>03330</v>
      </c>
      <c r="H34237" s="49" t="str">
        <f t="shared" si="2"/>
        <v>03022</v>
      </c>
    </row>
    <row r="34238">
      <c r="A34238" s="48" t="s">
        <v>3366</v>
      </c>
      <c r="B34238" s="38">
        <v>47157.0</v>
      </c>
      <c r="C34238" s="38" t="s">
        <v>38449</v>
      </c>
      <c r="D34238" s="38" t="str">
        <f>IFERROR(__xludf.DUMMYFUNCTION("REGEXREPLACE(C34238,""-\d+(.*)|--\d+(.*)"","""")"),"MARMANDE")</f>
        <v>MARMANDE</v>
      </c>
      <c r="E34238" s="38" t="s">
        <v>251</v>
      </c>
      <c r="F34238" s="38" t="s">
        <v>252</v>
      </c>
      <c r="G34238" s="49" t="str">
        <f t="shared" si="1"/>
        <v>47200</v>
      </c>
      <c r="H34238" s="49">
        <f t="shared" si="2"/>
        <v>47157</v>
      </c>
    </row>
    <row r="34239">
      <c r="A34239" s="48" t="s">
        <v>7986</v>
      </c>
      <c r="B34239" s="38">
        <v>69246.0</v>
      </c>
      <c r="C34239" s="38" t="s">
        <v>38450</v>
      </c>
      <c r="D34239" s="38" t="str">
        <f>IFERROR(__xludf.DUMMYFUNCTION("REGEXREPLACE(C34239,""-\d+(.*)|--\d+(.*)"","""")"),"THEIZE")</f>
        <v>THEIZE</v>
      </c>
      <c r="E34239" s="38" t="s">
        <v>350</v>
      </c>
      <c r="F34239" s="38" t="s">
        <v>102</v>
      </c>
      <c r="G34239" s="49" t="str">
        <f t="shared" si="1"/>
        <v>69620</v>
      </c>
      <c r="H34239" s="49">
        <f t="shared" si="2"/>
        <v>69246</v>
      </c>
    </row>
    <row r="34240">
      <c r="A34240" s="48" t="s">
        <v>1923</v>
      </c>
      <c r="B34240" s="38">
        <v>60134.0</v>
      </c>
      <c r="C34240" s="38" t="s">
        <v>38451</v>
      </c>
      <c r="D34240" s="38" t="str">
        <f>IFERROR(__xludf.DUMMYFUNCTION("REGEXREPLACE(C34240,""-\d+(.*)|--\d+(.*)"","""")"),"CAUFFRY")</f>
        <v>CAUFFRY</v>
      </c>
      <c r="E34240" s="38" t="s">
        <v>112</v>
      </c>
      <c r="F34240" s="38" t="s">
        <v>113</v>
      </c>
      <c r="G34240" s="49" t="str">
        <f t="shared" si="1"/>
        <v>60290</v>
      </c>
      <c r="H34240" s="49">
        <f t="shared" si="2"/>
        <v>60134</v>
      </c>
    </row>
    <row r="34241">
      <c r="A34241" s="48" t="s">
        <v>9074</v>
      </c>
      <c r="B34241" s="38">
        <v>84070.0</v>
      </c>
      <c r="C34241" s="38" t="s">
        <v>38452</v>
      </c>
      <c r="D34241" s="38" t="str">
        <f>IFERROR(__xludf.DUMMYFUNCTION("REGEXREPLACE(C34241,""-\d+(.*)|--\d+(.*)"","""")"),"MALEMORT-DU-COMTAT")</f>
        <v>MALEMORT-DU-COMTAT</v>
      </c>
      <c r="E34241" s="38" t="s">
        <v>1026</v>
      </c>
      <c r="F34241" s="38" t="s">
        <v>228</v>
      </c>
      <c r="G34241" s="49" t="str">
        <f t="shared" si="1"/>
        <v>84570</v>
      </c>
      <c r="H34241" s="49">
        <f t="shared" si="2"/>
        <v>84070</v>
      </c>
    </row>
    <row r="34242">
      <c r="A34242" s="48" t="s">
        <v>1208</v>
      </c>
      <c r="B34242" s="38">
        <v>32151.0</v>
      </c>
      <c r="C34242" s="38" t="s">
        <v>38453</v>
      </c>
      <c r="D34242" s="38" t="str">
        <f>IFERROR(__xludf.DUMMYFUNCTION("REGEXREPLACE(C34242,""-\d+(.*)|--\d+(.*)"","""")"),"GOUX")</f>
        <v>GOUX</v>
      </c>
      <c r="E34242" s="38" t="s">
        <v>440</v>
      </c>
      <c r="F34242" s="38" t="s">
        <v>94</v>
      </c>
      <c r="G34242" s="49" t="str">
        <f t="shared" si="1"/>
        <v>32400</v>
      </c>
      <c r="H34242" s="49">
        <f t="shared" si="2"/>
        <v>32151</v>
      </c>
    </row>
    <row r="34243">
      <c r="A34243" s="48" t="s">
        <v>91</v>
      </c>
      <c r="B34243" s="38">
        <v>31375.0</v>
      </c>
      <c r="C34243" s="38" t="s">
        <v>38454</v>
      </c>
      <c r="D34243" s="38" t="str">
        <f>IFERROR(__xludf.DUMMYFUNCTION("REGEXREPLACE(C34243,""-\d+(.*)|--\d+(.*)"","""")"),"MONTESQUIEU-VOLVESTRE")</f>
        <v>MONTESQUIEU-VOLVESTRE</v>
      </c>
      <c r="E34243" s="38" t="s">
        <v>93</v>
      </c>
      <c r="F34243" s="38" t="s">
        <v>94</v>
      </c>
      <c r="G34243" s="49" t="str">
        <f t="shared" si="1"/>
        <v>31310</v>
      </c>
      <c r="H34243" s="49">
        <f t="shared" si="2"/>
        <v>31375</v>
      </c>
    </row>
    <row r="34244">
      <c r="A34244" s="48" t="s">
        <v>8097</v>
      </c>
      <c r="B34244" s="38">
        <v>85038.0</v>
      </c>
      <c r="C34244" s="38" t="s">
        <v>38455</v>
      </c>
      <c r="D34244" s="38" t="str">
        <f>IFERROR(__xludf.DUMMYFUNCTION("REGEXREPLACE(C34244,""-\d+(.*)|--\d+(.*)"","""")"),"LES BROUZILS")</f>
        <v>LES BROUZILS</v>
      </c>
      <c r="E34244" s="38" t="s">
        <v>179</v>
      </c>
      <c r="F34244" s="38" t="s">
        <v>180</v>
      </c>
      <c r="G34244" s="49" t="str">
        <f t="shared" si="1"/>
        <v>85260</v>
      </c>
      <c r="H34244" s="49">
        <f t="shared" si="2"/>
        <v>85038</v>
      </c>
    </row>
    <row r="34245">
      <c r="A34245" s="48" t="s">
        <v>1628</v>
      </c>
      <c r="B34245" s="38">
        <v>70070.0</v>
      </c>
      <c r="C34245" s="38" t="s">
        <v>38456</v>
      </c>
      <c r="D34245" s="38" t="str">
        <f>IFERROR(__xludf.DUMMYFUNCTION("REGEXREPLACE(C34245,""-\d+(.*)|--\d+(.*)"","""")"),"BETONCOURT-SUR-MANCE")</f>
        <v>BETONCOURT-SUR-MANCE</v>
      </c>
      <c r="E34245" s="38" t="s">
        <v>956</v>
      </c>
      <c r="F34245" s="38" t="s">
        <v>214</v>
      </c>
      <c r="G34245" s="49" t="str">
        <f t="shared" si="1"/>
        <v>70500</v>
      </c>
      <c r="H34245" s="49">
        <f t="shared" si="2"/>
        <v>70070</v>
      </c>
    </row>
    <row r="34246">
      <c r="A34246" s="48" t="s">
        <v>2170</v>
      </c>
      <c r="B34246" s="38">
        <v>80294.0</v>
      </c>
      <c r="C34246" s="38" t="s">
        <v>17152</v>
      </c>
      <c r="D34246" s="38" t="str">
        <f>IFERROR(__xludf.DUMMYFUNCTION("REGEXREPLACE(C34246,""-\d+(.*)|--\d+(.*)"","""")"),"ETERPIGNY")</f>
        <v>ETERPIGNY</v>
      </c>
      <c r="E34246" s="38" t="s">
        <v>224</v>
      </c>
      <c r="F34246" s="38" t="s">
        <v>113</v>
      </c>
      <c r="G34246" s="49" t="str">
        <f t="shared" si="1"/>
        <v>80200</v>
      </c>
      <c r="H34246" s="49">
        <f t="shared" si="2"/>
        <v>80294</v>
      </c>
    </row>
    <row r="34247">
      <c r="A34247" s="48" t="s">
        <v>5622</v>
      </c>
      <c r="B34247" s="38">
        <v>45257.0</v>
      </c>
      <c r="C34247" s="38" t="s">
        <v>38457</v>
      </c>
      <c r="D34247" s="38" t="str">
        <f>IFERROR(__xludf.DUMMYFUNCTION("REGEXREPLACE(C34247,""-\d+(.*)|--\d+(.*)"","""")"),"PRESSIGNY-LES-PINS")</f>
        <v>PRESSIGNY-LES-PINS</v>
      </c>
      <c r="E34247" s="38" t="s">
        <v>122</v>
      </c>
      <c r="F34247" s="38" t="s">
        <v>123</v>
      </c>
      <c r="G34247" s="49" t="str">
        <f t="shared" si="1"/>
        <v>45290</v>
      </c>
      <c r="H34247" s="49">
        <f t="shared" si="2"/>
        <v>45257</v>
      </c>
    </row>
    <row r="34248">
      <c r="A34248" s="48" t="s">
        <v>430</v>
      </c>
      <c r="B34248" s="38">
        <v>2375.0</v>
      </c>
      <c r="C34248" s="38" t="s">
        <v>38458</v>
      </c>
      <c r="D34248" s="38" t="str">
        <f>IFERROR(__xludf.DUMMYFUNCTION("REGEXREPLACE(C34248,""-\d+(.*)|--\d+(.*)"","""")"),"HAUTEVESNES")</f>
        <v>HAUTEVESNES</v>
      </c>
      <c r="E34248" s="38" t="s">
        <v>191</v>
      </c>
      <c r="F34248" s="38" t="s">
        <v>113</v>
      </c>
      <c r="G34248" s="49" t="str">
        <f t="shared" si="1"/>
        <v>02810</v>
      </c>
      <c r="H34248" s="49" t="str">
        <f t="shared" si="2"/>
        <v>02375</v>
      </c>
    </row>
    <row r="34249">
      <c r="A34249" s="48" t="s">
        <v>1203</v>
      </c>
      <c r="B34249" s="38">
        <v>17406.0</v>
      </c>
      <c r="C34249" s="38" t="s">
        <v>12275</v>
      </c>
      <c r="D34249" s="38" t="str">
        <f>IFERROR(__xludf.DUMMYFUNCTION("REGEXREPLACE(C34249,""-\d+(.*)|--\d+(.*)"","""")"),"SAINT-SORNIN")</f>
        <v>SAINT-SORNIN</v>
      </c>
      <c r="E34249" s="38" t="s">
        <v>488</v>
      </c>
      <c r="F34249" s="38" t="s">
        <v>338</v>
      </c>
      <c r="G34249" s="49" t="str">
        <f t="shared" si="1"/>
        <v>17600</v>
      </c>
      <c r="H34249" s="49">
        <f t="shared" si="2"/>
        <v>17406</v>
      </c>
    </row>
    <row r="34250">
      <c r="A34250" s="48" t="s">
        <v>16193</v>
      </c>
      <c r="B34250" s="38">
        <v>73043.0</v>
      </c>
      <c r="C34250" s="38" t="s">
        <v>38459</v>
      </c>
      <c r="D34250" s="38" t="str">
        <f>IFERROR(__xludf.DUMMYFUNCTION("REGEXREPLACE(C34250,""-\d+(.*)|--\d+(.*)"","""")"),"LA BIOLLE")</f>
        <v>LA BIOLLE</v>
      </c>
      <c r="E34250" s="38" t="s">
        <v>306</v>
      </c>
      <c r="F34250" s="38" t="s">
        <v>102</v>
      </c>
      <c r="G34250" s="49" t="str">
        <f t="shared" si="1"/>
        <v>73410</v>
      </c>
      <c r="H34250" s="49">
        <f t="shared" si="2"/>
        <v>73043</v>
      </c>
    </row>
    <row r="34251">
      <c r="A34251" s="48" t="s">
        <v>201</v>
      </c>
      <c r="B34251" s="38">
        <v>2475.0</v>
      </c>
      <c r="C34251" s="38" t="s">
        <v>19842</v>
      </c>
      <c r="D34251" s="38" t="str">
        <f>IFERROR(__xludf.DUMMYFUNCTION("REGEXREPLACE(C34251,""-\d+(.*)|--\d+(.*)"","""")"),"MENNEVILLE")</f>
        <v>MENNEVILLE</v>
      </c>
      <c r="E34251" s="38" t="s">
        <v>191</v>
      </c>
      <c r="F34251" s="38" t="s">
        <v>113</v>
      </c>
      <c r="G34251" s="49" t="str">
        <f t="shared" si="1"/>
        <v>02190</v>
      </c>
      <c r="H34251" s="49" t="str">
        <f t="shared" si="2"/>
        <v>02475</v>
      </c>
    </row>
    <row r="34252">
      <c r="A34252" s="48" t="s">
        <v>6598</v>
      </c>
      <c r="B34252" s="38">
        <v>80696.0</v>
      </c>
      <c r="C34252" s="38" t="s">
        <v>38460</v>
      </c>
      <c r="D34252" s="38" t="str">
        <f>IFERROR(__xludf.DUMMYFUNCTION("REGEXREPLACE(C34252,""-\d+(.*)|--\d+(.*)"","""")"),"SAINS-EN-AMIENOIS")</f>
        <v>SAINS-EN-AMIENOIS</v>
      </c>
      <c r="E34252" s="38" t="s">
        <v>224</v>
      </c>
      <c r="F34252" s="38" t="s">
        <v>113</v>
      </c>
      <c r="G34252" s="49" t="str">
        <f t="shared" si="1"/>
        <v>80680</v>
      </c>
      <c r="H34252" s="49">
        <f t="shared" si="2"/>
        <v>80696</v>
      </c>
    </row>
    <row r="34253">
      <c r="A34253" s="48" t="s">
        <v>8665</v>
      </c>
      <c r="B34253" s="38">
        <v>83084.0</v>
      </c>
      <c r="C34253" s="38" t="s">
        <v>38461</v>
      </c>
      <c r="D34253" s="38" t="str">
        <f>IFERROR(__xludf.DUMMYFUNCTION("REGEXREPLACE(C34253,""-\d+(.*)|--\d+(.*)"","""")"),"MONTMEYAN")</f>
        <v>MONTMEYAN</v>
      </c>
      <c r="E34253" s="38" t="s">
        <v>813</v>
      </c>
      <c r="F34253" s="38" t="s">
        <v>228</v>
      </c>
      <c r="G34253" s="49" t="str">
        <f t="shared" si="1"/>
        <v>83670</v>
      </c>
      <c r="H34253" s="49">
        <f t="shared" si="2"/>
        <v>83084</v>
      </c>
    </row>
    <row r="34254">
      <c r="A34254" s="48" t="s">
        <v>8914</v>
      </c>
      <c r="B34254" s="38">
        <v>45004.0</v>
      </c>
      <c r="C34254" s="38" t="s">
        <v>27389</v>
      </c>
      <c r="D34254" s="38" t="str">
        <f>IFERROR(__xludf.DUMMYFUNCTION("REGEXREPLACE(C34254,""-\d+(.*)|--\d+(.*)"","""")"),"AMILLY")</f>
        <v>AMILLY</v>
      </c>
      <c r="E34254" s="38" t="s">
        <v>122</v>
      </c>
      <c r="F34254" s="38" t="s">
        <v>123</v>
      </c>
      <c r="G34254" s="49" t="str">
        <f t="shared" si="1"/>
        <v>45200</v>
      </c>
      <c r="H34254" s="49">
        <f t="shared" si="2"/>
        <v>45004</v>
      </c>
    </row>
    <row r="34255">
      <c r="A34255" s="48" t="s">
        <v>6409</v>
      </c>
      <c r="B34255" s="38">
        <v>79318.0</v>
      </c>
      <c r="C34255" s="38" t="s">
        <v>38462</v>
      </c>
      <c r="D34255" s="38" t="str">
        <f>IFERROR(__xludf.DUMMYFUNCTION("REGEXREPLACE(C34255,""-\d+(.*)|--\d+(.*)"","""")"),"SOUTIERS")</f>
        <v>SOUTIERS</v>
      </c>
      <c r="E34255" s="38" t="s">
        <v>337</v>
      </c>
      <c r="F34255" s="38" t="s">
        <v>338</v>
      </c>
      <c r="G34255" s="49" t="str">
        <f t="shared" si="1"/>
        <v>79310</v>
      </c>
      <c r="H34255" s="49">
        <f t="shared" si="2"/>
        <v>79318</v>
      </c>
    </row>
    <row r="34256">
      <c r="A34256" s="48" t="s">
        <v>38463</v>
      </c>
      <c r="B34256" s="38">
        <v>84031.0</v>
      </c>
      <c r="C34256" s="38" t="s">
        <v>38464</v>
      </c>
      <c r="D34256" s="38" t="str">
        <f>IFERROR(__xludf.DUMMYFUNCTION("REGEXREPLACE(C34256,""-\d+(.*)|--\d+(.*)"","""")"),"CARPENTRAS")</f>
        <v>CARPENTRAS</v>
      </c>
      <c r="E34256" s="38" t="s">
        <v>1026</v>
      </c>
      <c r="F34256" s="38" t="s">
        <v>228</v>
      </c>
      <c r="G34256" s="49" t="str">
        <f t="shared" si="1"/>
        <v>84200</v>
      </c>
      <c r="H34256" s="49">
        <f t="shared" si="2"/>
        <v>84031</v>
      </c>
    </row>
    <row r="34257">
      <c r="A34257" s="48" t="s">
        <v>2310</v>
      </c>
      <c r="B34257" s="38">
        <v>60305.0</v>
      </c>
      <c r="C34257" s="38" t="s">
        <v>38465</v>
      </c>
      <c r="D34257" s="38" t="str">
        <f>IFERROR(__xludf.DUMMYFUNCTION("REGEXREPLACE(C34257,""-\d+(.*)|--\d+(.*)"","""")"),"HAUTEFONTAINE")</f>
        <v>HAUTEFONTAINE</v>
      </c>
      <c r="E34257" s="38" t="s">
        <v>112</v>
      </c>
      <c r="F34257" s="38" t="s">
        <v>113</v>
      </c>
      <c r="G34257" s="49" t="str">
        <f t="shared" si="1"/>
        <v>60350</v>
      </c>
      <c r="H34257" s="49">
        <f t="shared" si="2"/>
        <v>60305</v>
      </c>
    </row>
    <row r="34258">
      <c r="A34258" s="48" t="s">
        <v>12826</v>
      </c>
      <c r="B34258" s="38">
        <v>45289.0</v>
      </c>
      <c r="C34258" s="38" t="s">
        <v>38466</v>
      </c>
      <c r="D34258" s="38" t="str">
        <f>IFERROR(__xludf.DUMMYFUNCTION("REGEXREPLACE(C34258,""-\d+(.*)|--\d+(.*)"","""")"),"SAINT-LYE-LA-FORET")</f>
        <v>SAINT-LYE-LA-FORET</v>
      </c>
      <c r="E34258" s="38" t="s">
        <v>122</v>
      </c>
      <c r="F34258" s="38" t="s">
        <v>123</v>
      </c>
      <c r="G34258" s="49" t="str">
        <f t="shared" si="1"/>
        <v>45170</v>
      </c>
      <c r="H34258" s="49">
        <f t="shared" si="2"/>
        <v>45289</v>
      </c>
    </row>
    <row r="34259">
      <c r="A34259" s="48" t="s">
        <v>29414</v>
      </c>
      <c r="B34259" s="38">
        <v>56198.0</v>
      </c>
      <c r="C34259" s="38" t="s">
        <v>38467</v>
      </c>
      <c r="D34259" s="38" t="str">
        <f>IFERROR(__xludf.DUMMYFUNCTION("REGEXREPLACE(C34259,""-\d+(.*)|--\d+(.*)"","""")"),"ROHAN")</f>
        <v>ROHAN</v>
      </c>
      <c r="E34259" s="38" t="s">
        <v>173</v>
      </c>
      <c r="F34259" s="38" t="s">
        <v>90</v>
      </c>
      <c r="G34259" s="49" t="str">
        <f t="shared" si="1"/>
        <v>56580</v>
      </c>
      <c r="H34259" s="49">
        <f t="shared" si="2"/>
        <v>56198</v>
      </c>
    </row>
    <row r="34260">
      <c r="A34260" s="48" t="s">
        <v>4880</v>
      </c>
      <c r="B34260" s="38">
        <v>89259.0</v>
      </c>
      <c r="C34260" s="38" t="s">
        <v>18068</v>
      </c>
      <c r="D34260" s="38" t="str">
        <f>IFERROR(__xludf.DUMMYFUNCTION("REGEXREPLACE(C34260,""-\d+(.*)|--\d+(.*)"","""")"),"MOLAY")</f>
        <v>MOLAY</v>
      </c>
      <c r="E34260" s="38" t="s">
        <v>275</v>
      </c>
      <c r="F34260" s="38" t="s">
        <v>106</v>
      </c>
      <c r="G34260" s="49" t="str">
        <f t="shared" si="1"/>
        <v>89310</v>
      </c>
      <c r="H34260" s="49">
        <f t="shared" si="2"/>
        <v>89259</v>
      </c>
    </row>
    <row r="34261">
      <c r="A34261" s="48" t="s">
        <v>18681</v>
      </c>
      <c r="B34261" s="38">
        <v>69214.0</v>
      </c>
      <c r="C34261" s="38" t="s">
        <v>38468</v>
      </c>
      <c r="D34261" s="38" t="str">
        <f>IFERROR(__xludf.DUMMYFUNCTION("REGEXREPLACE(C34261,""-\d+(.*)|--\d+(.*)"","""")"),"SAINT-JEAN-LA-BUSSIERE")</f>
        <v>SAINT-JEAN-LA-BUSSIERE</v>
      </c>
      <c r="E34261" s="38" t="s">
        <v>350</v>
      </c>
      <c r="F34261" s="38" t="s">
        <v>102</v>
      </c>
      <c r="G34261" s="49" t="str">
        <f t="shared" si="1"/>
        <v>69550</v>
      </c>
      <c r="H34261" s="49">
        <f t="shared" si="2"/>
        <v>69214</v>
      </c>
    </row>
    <row r="34262">
      <c r="A34262" s="48" t="s">
        <v>1485</v>
      </c>
      <c r="B34262" s="38">
        <v>21542.0</v>
      </c>
      <c r="C34262" s="38" t="s">
        <v>21685</v>
      </c>
      <c r="D34262" s="38" t="str">
        <f>IFERROR(__xludf.DUMMYFUNCTION("REGEXREPLACE(C34262,""-\d+(.*)|--\d+(.*)"","""")"),"SAINT-BERNARD")</f>
        <v>SAINT-BERNARD</v>
      </c>
      <c r="E34262" s="38" t="s">
        <v>105</v>
      </c>
      <c r="F34262" s="38" t="s">
        <v>106</v>
      </c>
      <c r="G34262" s="49" t="str">
        <f t="shared" si="1"/>
        <v>21700</v>
      </c>
      <c r="H34262" s="49">
        <f t="shared" si="2"/>
        <v>21542</v>
      </c>
    </row>
    <row r="34263">
      <c r="A34263" s="48" t="s">
        <v>8757</v>
      </c>
      <c r="B34263" s="38">
        <v>84105.0</v>
      </c>
      <c r="C34263" s="38" t="s">
        <v>38469</v>
      </c>
      <c r="D34263" s="38" t="str">
        <f>IFERROR(__xludf.DUMMYFUNCTION("REGEXREPLACE(C34263,""-\d+(.*)|--\d+(.*)"","""")"),"SAIGNON")</f>
        <v>SAIGNON</v>
      </c>
      <c r="E34263" s="38" t="s">
        <v>1026</v>
      </c>
      <c r="F34263" s="38" t="s">
        <v>228</v>
      </c>
      <c r="G34263" s="49" t="str">
        <f t="shared" si="1"/>
        <v>84400</v>
      </c>
      <c r="H34263" s="49">
        <f t="shared" si="2"/>
        <v>84105</v>
      </c>
    </row>
    <row r="34264">
      <c r="A34264" s="48" t="s">
        <v>7563</v>
      </c>
      <c r="B34264" s="38">
        <v>59554.0</v>
      </c>
      <c r="C34264" s="38" t="s">
        <v>38470</v>
      </c>
      <c r="D34264" s="38" t="str">
        <f>IFERROR(__xludf.DUMMYFUNCTION("REGEXREPLACE(C34264,""-\d+(.*)|--\d+(.*)"","""")"),"SARS-ET-ROSIERES")</f>
        <v>SARS-ET-ROSIERES</v>
      </c>
      <c r="E34264" s="38" t="s">
        <v>85</v>
      </c>
      <c r="F34264" s="38" t="s">
        <v>86</v>
      </c>
      <c r="G34264" s="49" t="str">
        <f t="shared" si="1"/>
        <v>59230</v>
      </c>
      <c r="H34264" s="49">
        <f t="shared" si="2"/>
        <v>59554</v>
      </c>
    </row>
    <row r="34265">
      <c r="A34265" s="48" t="s">
        <v>1520</v>
      </c>
      <c r="B34265" s="38">
        <v>16391.0</v>
      </c>
      <c r="C34265" s="38" t="s">
        <v>38471</v>
      </c>
      <c r="D34265" s="38" t="str">
        <f>IFERROR(__xludf.DUMMYFUNCTION("REGEXREPLACE(C34265,""-\d+(.*)|--\d+(.*)"","""")"),"TUZIE")</f>
        <v>TUZIE</v>
      </c>
      <c r="E34265" s="38" t="s">
        <v>429</v>
      </c>
      <c r="F34265" s="38" t="s">
        <v>338</v>
      </c>
      <c r="G34265" s="49" t="str">
        <f t="shared" si="1"/>
        <v>16700</v>
      </c>
      <c r="H34265" s="49">
        <f t="shared" si="2"/>
        <v>16391</v>
      </c>
    </row>
    <row r="34266">
      <c r="A34266" s="48" t="s">
        <v>26216</v>
      </c>
      <c r="B34266" s="38">
        <v>44103.0</v>
      </c>
      <c r="C34266" s="38" t="s">
        <v>38472</v>
      </c>
      <c r="D34266" s="38" t="str">
        <f>IFERROR(__xludf.DUMMYFUNCTION("REGEXREPLACE(C34266,""-\d+(.*)|--\d+(.*)"","""")"),"MONTOIR-DE-BRETAGNE")</f>
        <v>MONTOIR-DE-BRETAGNE</v>
      </c>
      <c r="E34266" s="38" t="s">
        <v>759</v>
      </c>
      <c r="F34266" s="38" t="s">
        <v>180</v>
      </c>
      <c r="G34266" s="49" t="str">
        <f t="shared" si="1"/>
        <v>44550</v>
      </c>
      <c r="H34266" s="49">
        <f t="shared" si="2"/>
        <v>44103</v>
      </c>
    </row>
    <row r="34267">
      <c r="A34267" s="48" t="s">
        <v>3506</v>
      </c>
      <c r="B34267" s="38">
        <v>16072.0</v>
      </c>
      <c r="C34267" s="38" t="s">
        <v>38473</v>
      </c>
      <c r="D34267" s="38" t="str">
        <f>IFERROR(__xludf.DUMMYFUNCTION("REGEXREPLACE(C34267,""-\d+(.*)|--\d+(.*)"","""")"),"CHADURIE")</f>
        <v>CHADURIE</v>
      </c>
      <c r="E34267" s="38" t="s">
        <v>429</v>
      </c>
      <c r="F34267" s="38" t="s">
        <v>338</v>
      </c>
      <c r="G34267" s="49" t="str">
        <f t="shared" si="1"/>
        <v>16250</v>
      </c>
      <c r="H34267" s="49">
        <f t="shared" si="2"/>
        <v>16072</v>
      </c>
    </row>
    <row r="34268">
      <c r="A34268" s="48" t="s">
        <v>2946</v>
      </c>
      <c r="B34268" s="38">
        <v>51547.0</v>
      </c>
      <c r="C34268" s="38" t="s">
        <v>38474</v>
      </c>
      <c r="D34268" s="38" t="str">
        <f>IFERROR(__xludf.DUMMYFUNCTION("REGEXREPLACE(C34268,""-\d+(.*)|--\d+(.*)"","""")"),"SOMME-TOURBE")</f>
        <v>SOMME-TOURBE</v>
      </c>
      <c r="E34268" s="38" t="s">
        <v>129</v>
      </c>
      <c r="F34268" s="38" t="s">
        <v>130</v>
      </c>
      <c r="G34268" s="49" t="str">
        <f t="shared" si="1"/>
        <v>51600</v>
      </c>
      <c r="H34268" s="49">
        <f t="shared" si="2"/>
        <v>51547</v>
      </c>
    </row>
    <row r="34269">
      <c r="A34269" s="48" t="s">
        <v>7332</v>
      </c>
      <c r="B34269" s="38">
        <v>24407.0</v>
      </c>
      <c r="C34269" s="38" t="s">
        <v>38475</v>
      </c>
      <c r="D34269" s="38" t="str">
        <f>IFERROR(__xludf.DUMMYFUNCTION("REGEXREPLACE(C34269,""-\d+(.*)|--\d+(.*)"","""")"),"SAINTE-FOY-DE-LONGAS")</f>
        <v>SAINTE-FOY-DE-LONGAS</v>
      </c>
      <c r="E34269" s="38" t="s">
        <v>261</v>
      </c>
      <c r="F34269" s="38" t="s">
        <v>252</v>
      </c>
      <c r="G34269" s="49" t="str">
        <f t="shared" si="1"/>
        <v>24510</v>
      </c>
      <c r="H34269" s="49">
        <f t="shared" si="2"/>
        <v>24407</v>
      </c>
    </row>
    <row r="34270">
      <c r="A34270" s="48" t="s">
        <v>29086</v>
      </c>
      <c r="B34270" s="38">
        <v>89132.0</v>
      </c>
      <c r="C34270" s="38" t="s">
        <v>38476</v>
      </c>
      <c r="D34270" s="38" t="str">
        <f>IFERROR(__xludf.DUMMYFUNCTION("REGEXREPLACE(C34270,""-\d+(.*)|--\d+(.*)"","""")"),"CRY")</f>
        <v>CRY</v>
      </c>
      <c r="E34270" s="38" t="s">
        <v>275</v>
      </c>
      <c r="F34270" s="38" t="s">
        <v>106</v>
      </c>
      <c r="G34270" s="49" t="str">
        <f t="shared" si="1"/>
        <v>89390</v>
      </c>
      <c r="H34270" s="49">
        <f t="shared" si="2"/>
        <v>89132</v>
      </c>
    </row>
    <row r="34271">
      <c r="A34271" s="48" t="s">
        <v>1284</v>
      </c>
      <c r="B34271" s="38">
        <v>9262.0</v>
      </c>
      <c r="C34271" s="38" t="s">
        <v>38477</v>
      </c>
      <c r="D34271" s="38" t="str">
        <f>IFERROR(__xludf.DUMMYFUNCTION("REGEXREPLACE(C34271,""-\d+(.*)|--\d+(.*)"","""")"),"SAINT-JEAN-D'AIGUES-VIVES")</f>
        <v>SAINT-JEAN-D'AIGUES-VIVES</v>
      </c>
      <c r="E34271" s="38" t="s">
        <v>238</v>
      </c>
      <c r="F34271" s="38" t="s">
        <v>94</v>
      </c>
      <c r="G34271" s="49" t="str">
        <f t="shared" si="1"/>
        <v>09300</v>
      </c>
      <c r="H34271" s="49" t="str">
        <f t="shared" si="2"/>
        <v>09262</v>
      </c>
    </row>
    <row r="34272">
      <c r="A34272" s="48" t="s">
        <v>807</v>
      </c>
      <c r="B34272" s="38">
        <v>68099.0</v>
      </c>
      <c r="C34272" s="38" t="s">
        <v>38478</v>
      </c>
      <c r="D34272" s="38" t="str">
        <f>IFERROR(__xludf.DUMMYFUNCTION("REGEXREPLACE(C34272,""-\d+(.*)|--\d+(.*)"","""")"),"FROENINGEN")</f>
        <v>FROENINGEN</v>
      </c>
      <c r="E34272" s="38" t="s">
        <v>150</v>
      </c>
      <c r="F34272" s="38" t="s">
        <v>151</v>
      </c>
      <c r="G34272" s="49" t="str">
        <f t="shared" si="1"/>
        <v>68720</v>
      </c>
      <c r="H34272" s="49">
        <f t="shared" si="2"/>
        <v>68099</v>
      </c>
    </row>
    <row r="34273">
      <c r="A34273" s="48" t="s">
        <v>8979</v>
      </c>
      <c r="B34273" s="38">
        <v>17413.0</v>
      </c>
      <c r="C34273" s="38" t="s">
        <v>38479</v>
      </c>
      <c r="D34273" s="38" t="str">
        <f>IFERROR(__xludf.DUMMYFUNCTION("REGEXREPLACE(C34273,""-\d+(.*)|--\d+(.*)"","""")"),"SAINT-VIVIEN")</f>
        <v>SAINT-VIVIEN</v>
      </c>
      <c r="E34273" s="38" t="s">
        <v>488</v>
      </c>
      <c r="F34273" s="38" t="s">
        <v>338</v>
      </c>
      <c r="G34273" s="49" t="str">
        <f t="shared" si="1"/>
        <v>17220</v>
      </c>
      <c r="H34273" s="49">
        <f t="shared" si="2"/>
        <v>17413</v>
      </c>
    </row>
    <row r="34274">
      <c r="A34274" s="48" t="s">
        <v>1926</v>
      </c>
      <c r="B34274" s="38">
        <v>28322.0</v>
      </c>
      <c r="C34274" s="38" t="s">
        <v>38480</v>
      </c>
      <c r="D34274" s="38" t="str">
        <f>IFERROR(__xludf.DUMMYFUNCTION("REGEXREPLACE(C34274,""-\d+(.*)|--\d+(.*)"","""")"),"RUEIL-LA-GADELIERE")</f>
        <v>RUEIL-LA-GADELIERE</v>
      </c>
      <c r="E34274" s="38" t="s">
        <v>300</v>
      </c>
      <c r="F34274" s="38" t="s">
        <v>123</v>
      </c>
      <c r="G34274" s="49" t="str">
        <f t="shared" si="1"/>
        <v>28270</v>
      </c>
      <c r="H34274" s="49">
        <f t="shared" si="2"/>
        <v>28322</v>
      </c>
    </row>
    <row r="34275">
      <c r="A34275" s="48" t="s">
        <v>685</v>
      </c>
      <c r="B34275" s="38">
        <v>86288.0</v>
      </c>
      <c r="C34275" s="38" t="s">
        <v>38481</v>
      </c>
      <c r="D34275" s="38" t="str">
        <f>IFERROR(__xludf.DUMMYFUNCTION("REGEXREPLACE(C34275,""-\d+(.*)|--\d+(.*)"","""")"),"VICQ-SUR-GARTEMPE")</f>
        <v>VICQ-SUR-GARTEMPE</v>
      </c>
      <c r="E34275" s="38" t="s">
        <v>529</v>
      </c>
      <c r="F34275" s="38" t="s">
        <v>338</v>
      </c>
      <c r="G34275" s="49" t="str">
        <f t="shared" si="1"/>
        <v>86260</v>
      </c>
      <c r="H34275" s="49">
        <f t="shared" si="2"/>
        <v>86288</v>
      </c>
    </row>
    <row r="34276">
      <c r="A34276" s="48" t="s">
        <v>1469</v>
      </c>
      <c r="B34276" s="38">
        <v>71109.0</v>
      </c>
      <c r="C34276" s="38" t="s">
        <v>38482</v>
      </c>
      <c r="D34276" s="38" t="str">
        <f>IFERROR(__xludf.DUMMYFUNCTION("REGEXREPLACE(C34276,""-\d+(.*)|--\d+(.*)"","""")"),"CHASSEY-LE-CAMP")</f>
        <v>CHASSEY-LE-CAMP</v>
      </c>
      <c r="E34276" s="38" t="s">
        <v>344</v>
      </c>
      <c r="F34276" s="38" t="s">
        <v>106</v>
      </c>
      <c r="G34276" s="49" t="str">
        <f t="shared" si="1"/>
        <v>71150</v>
      </c>
      <c r="H34276" s="49">
        <f t="shared" si="2"/>
        <v>71109</v>
      </c>
    </row>
    <row r="34277">
      <c r="A34277" s="48" t="s">
        <v>5938</v>
      </c>
      <c r="B34277" s="38">
        <v>58300.0</v>
      </c>
      <c r="C34277" s="38" t="s">
        <v>38483</v>
      </c>
      <c r="D34277" s="38" t="str">
        <f>IFERROR(__xludf.DUMMYFUNCTION("REGEXREPLACE(C34277,""-\d+(.*)|--\d+(.*)"","""")"),"URZY")</f>
        <v>URZY</v>
      </c>
      <c r="E34277" s="38" t="s">
        <v>219</v>
      </c>
      <c r="F34277" s="38" t="s">
        <v>106</v>
      </c>
      <c r="G34277" s="49" t="str">
        <f t="shared" si="1"/>
        <v>58130</v>
      </c>
      <c r="H34277" s="49">
        <f t="shared" si="2"/>
        <v>58300</v>
      </c>
    </row>
    <row r="34278">
      <c r="A34278" s="48" t="s">
        <v>7933</v>
      </c>
      <c r="B34278" s="38">
        <v>27040.0</v>
      </c>
      <c r="C34278" s="38" t="s">
        <v>38484</v>
      </c>
      <c r="D34278" s="38" t="str">
        <f>IFERROR(__xludf.DUMMYFUNCTION("REGEXREPLACE(C34278,""-\d+(.*)|--\d+(.*)"","""")"),"BARQUET")</f>
        <v>BARQUET</v>
      </c>
      <c r="E34278" s="38" t="s">
        <v>241</v>
      </c>
      <c r="F34278" s="38" t="s">
        <v>134</v>
      </c>
      <c r="G34278" s="49" t="str">
        <f t="shared" si="1"/>
        <v>27170</v>
      </c>
      <c r="H34278" s="49">
        <f t="shared" si="2"/>
        <v>27040</v>
      </c>
    </row>
    <row r="34279">
      <c r="A34279" s="48" t="s">
        <v>5268</v>
      </c>
      <c r="B34279" s="38">
        <v>49184.0</v>
      </c>
      <c r="C34279" s="38" t="s">
        <v>38485</v>
      </c>
      <c r="D34279" s="38" t="str">
        <f>IFERROR(__xludf.DUMMYFUNCTION("REGEXREPLACE(C34279,""-\d+(.*)|--\d+(.*)"","""")"),"LOUVAINES")</f>
        <v>LOUVAINES</v>
      </c>
      <c r="E34279" s="38" t="s">
        <v>653</v>
      </c>
      <c r="F34279" s="38" t="s">
        <v>180</v>
      </c>
      <c r="G34279" s="49" t="str">
        <f t="shared" si="1"/>
        <v>49500</v>
      </c>
      <c r="H34279" s="49">
        <f t="shared" si="2"/>
        <v>49184</v>
      </c>
    </row>
    <row r="34280">
      <c r="A34280" s="48" t="s">
        <v>8039</v>
      </c>
      <c r="B34280" s="38">
        <v>6158.0</v>
      </c>
      <c r="C34280" s="38" t="s">
        <v>38486</v>
      </c>
      <c r="D34280" s="38" t="str">
        <f>IFERROR(__xludf.DUMMYFUNCTION("REGEXREPLACE(C34280,""-\d+(.*)|--\d+(.*)"","""")"),"VILLARS-SUR-VAR")</f>
        <v>VILLARS-SUR-VAR</v>
      </c>
      <c r="E34280" s="38" t="s">
        <v>227</v>
      </c>
      <c r="F34280" s="38" t="s">
        <v>228</v>
      </c>
      <c r="G34280" s="49" t="str">
        <f t="shared" si="1"/>
        <v>06710</v>
      </c>
      <c r="H34280" s="49" t="str">
        <f t="shared" si="2"/>
        <v>06158</v>
      </c>
    </row>
    <row r="34281">
      <c r="A34281" s="48" t="s">
        <v>4292</v>
      </c>
      <c r="B34281" s="38">
        <v>74184.0</v>
      </c>
      <c r="C34281" s="38" t="s">
        <v>38487</v>
      </c>
      <c r="D34281" s="38" t="str">
        <f>IFERROR(__xludf.DUMMYFUNCTION("REGEXREPLACE(C34281,""-\d+(.*)|--\d+(.*)"","""")"),"MINZIER")</f>
        <v>MINZIER</v>
      </c>
      <c r="E34281" s="38" t="s">
        <v>319</v>
      </c>
      <c r="F34281" s="38" t="s">
        <v>102</v>
      </c>
      <c r="G34281" s="49" t="str">
        <f t="shared" si="1"/>
        <v>74270</v>
      </c>
      <c r="H34281" s="49">
        <f t="shared" si="2"/>
        <v>74184</v>
      </c>
    </row>
    <row r="34282">
      <c r="A34282" s="48" t="s">
        <v>5596</v>
      </c>
      <c r="B34282" s="38">
        <v>25387.0</v>
      </c>
      <c r="C34282" s="38" t="s">
        <v>38488</v>
      </c>
      <c r="D34282" s="38" t="str">
        <f>IFERROR(__xludf.DUMMYFUNCTION("REGEXREPLACE(C34282,""-\d+(.*)|--\d+(.*)"","""")"),"MONTANDON")</f>
        <v>MONTANDON</v>
      </c>
      <c r="E34282" s="38" t="s">
        <v>213</v>
      </c>
      <c r="F34282" s="38" t="s">
        <v>214</v>
      </c>
      <c r="G34282" s="49" t="str">
        <f t="shared" si="1"/>
        <v>25190</v>
      </c>
      <c r="H34282" s="49">
        <f t="shared" si="2"/>
        <v>25387</v>
      </c>
    </row>
    <row r="34283">
      <c r="A34283" s="48" t="s">
        <v>10270</v>
      </c>
      <c r="B34283" s="38">
        <v>37159.0</v>
      </c>
      <c r="C34283" s="38" t="s">
        <v>29168</v>
      </c>
      <c r="D34283" s="38" t="str">
        <f>IFERROR(__xludf.DUMMYFUNCTION("REGEXREPLACE(C34283,""-\d+(.*)|--\d+(.*)"","""")"),"MONTS")</f>
        <v>MONTS</v>
      </c>
      <c r="E34283" s="38" t="s">
        <v>205</v>
      </c>
      <c r="F34283" s="38" t="s">
        <v>123</v>
      </c>
      <c r="G34283" s="49" t="str">
        <f t="shared" si="1"/>
        <v>37260</v>
      </c>
      <c r="H34283" s="49">
        <f t="shared" si="2"/>
        <v>37159</v>
      </c>
    </row>
    <row r="34284">
      <c r="A34284" s="48" t="s">
        <v>6250</v>
      </c>
      <c r="B34284" s="38">
        <v>38286.0</v>
      </c>
      <c r="C34284" s="38" t="s">
        <v>38489</v>
      </c>
      <c r="D34284" s="38" t="str">
        <f>IFERROR(__xludf.DUMMYFUNCTION("REGEXREPLACE(C34284,""-\d+(.*)|--\d+(.*)"","""")"),"OULLES")</f>
        <v>OULLES</v>
      </c>
      <c r="E34284" s="38" t="s">
        <v>101</v>
      </c>
      <c r="F34284" s="38" t="s">
        <v>102</v>
      </c>
      <c r="G34284" s="49" t="str">
        <f t="shared" si="1"/>
        <v>38520</v>
      </c>
      <c r="H34284" s="49">
        <f t="shared" si="2"/>
        <v>38286</v>
      </c>
    </row>
    <row r="34285">
      <c r="A34285" s="48" t="s">
        <v>2685</v>
      </c>
      <c r="B34285" s="38" t="s">
        <v>38490</v>
      </c>
      <c r="C34285" s="38" t="s">
        <v>38491</v>
      </c>
      <c r="D34285" s="38" t="str">
        <f>IFERROR(__xludf.DUMMYFUNCTION("REGEXREPLACE(C34285,""-\d+(.*)|--\d+(.*)"","""")"),"LETIA")</f>
        <v>LETIA</v>
      </c>
      <c r="E34285" s="38" t="s">
        <v>606</v>
      </c>
      <c r="F34285" s="38" t="s">
        <v>607</v>
      </c>
      <c r="G34285" s="49" t="str">
        <f t="shared" si="1"/>
        <v>20160</v>
      </c>
      <c r="H34285" s="49" t="str">
        <f t="shared" si="2"/>
        <v>2A141</v>
      </c>
    </row>
    <row r="34286">
      <c r="A34286" s="48" t="s">
        <v>970</v>
      </c>
      <c r="B34286" s="38">
        <v>2652.0</v>
      </c>
      <c r="C34286" s="38" t="s">
        <v>38492</v>
      </c>
      <c r="D34286" s="38" t="str">
        <f>IFERROR(__xludf.DUMMYFUNCTION("REGEXREPLACE(C34286,""-\d+(.*)|--\d+(.*)"","""")"),"ROGNY")</f>
        <v>ROGNY</v>
      </c>
      <c r="E34286" s="38" t="s">
        <v>191</v>
      </c>
      <c r="F34286" s="38" t="s">
        <v>113</v>
      </c>
      <c r="G34286" s="49" t="str">
        <f t="shared" si="1"/>
        <v>02140</v>
      </c>
      <c r="H34286" s="49" t="str">
        <f t="shared" si="2"/>
        <v>02652</v>
      </c>
    </row>
    <row r="34287">
      <c r="A34287" s="48" t="s">
        <v>7874</v>
      </c>
      <c r="B34287" s="38">
        <v>40036.0</v>
      </c>
      <c r="C34287" s="38" t="s">
        <v>38493</v>
      </c>
      <c r="D34287" s="38" t="str">
        <f>IFERROR(__xludf.DUMMYFUNCTION("REGEXREPLACE(C34287,""-\d+(.*)|--\d+(.*)"","""")"),"BENESSE-MAREMNE")</f>
        <v>BENESSE-MAREMNE</v>
      </c>
      <c r="E34287" s="38" t="s">
        <v>281</v>
      </c>
      <c r="F34287" s="38" t="s">
        <v>252</v>
      </c>
      <c r="G34287" s="49" t="str">
        <f t="shared" si="1"/>
        <v>40230</v>
      </c>
      <c r="H34287" s="49">
        <f t="shared" si="2"/>
        <v>40036</v>
      </c>
    </row>
    <row r="34288">
      <c r="A34288" s="48" t="s">
        <v>2746</v>
      </c>
      <c r="B34288" s="38">
        <v>38563.0</v>
      </c>
      <c r="C34288" s="38" t="s">
        <v>38494</v>
      </c>
      <c r="D34288" s="38" t="str">
        <f>IFERROR(__xludf.DUMMYFUNCTION("REGEXREPLACE(C34288,""-\d+(.*)|--\d+(.*)"","""")"),"VOIRON")</f>
        <v>VOIRON</v>
      </c>
      <c r="E34288" s="38" t="s">
        <v>101</v>
      </c>
      <c r="F34288" s="38" t="s">
        <v>102</v>
      </c>
      <c r="G34288" s="49" t="str">
        <f t="shared" si="1"/>
        <v>38500</v>
      </c>
      <c r="H34288" s="49">
        <f t="shared" si="2"/>
        <v>38563</v>
      </c>
    </row>
    <row r="34289">
      <c r="A34289" s="48" t="s">
        <v>7821</v>
      </c>
      <c r="B34289" s="38">
        <v>8121.0</v>
      </c>
      <c r="C34289" s="38" t="s">
        <v>16179</v>
      </c>
      <c r="D34289" s="38" t="str">
        <f>IFERROR(__xludf.DUMMYFUNCTION("REGEXREPLACE(C34289,""-\d+(.*)|--\d+(.*)"","""")"),"CHILLY")</f>
        <v>CHILLY</v>
      </c>
      <c r="E34289" s="38" t="s">
        <v>327</v>
      </c>
      <c r="F34289" s="38" t="s">
        <v>130</v>
      </c>
      <c r="G34289" s="49" t="str">
        <f t="shared" si="1"/>
        <v>08260</v>
      </c>
      <c r="H34289" s="49" t="str">
        <f t="shared" si="2"/>
        <v>08121</v>
      </c>
    </row>
    <row r="34290">
      <c r="A34290" s="48" t="s">
        <v>936</v>
      </c>
      <c r="B34290" s="38">
        <v>59528.0</v>
      </c>
      <c r="C34290" s="38" t="s">
        <v>38495</v>
      </c>
      <c r="D34290" s="38" t="str">
        <f>IFERROR(__xludf.DUMMYFUNCTION("REGEXREPLACE(C34290,""-\d+(.*)|--\d+(.*)"","""")"),"SAINT-AUBERT")</f>
        <v>SAINT-AUBERT</v>
      </c>
      <c r="E34290" s="38" t="s">
        <v>85</v>
      </c>
      <c r="F34290" s="38" t="s">
        <v>86</v>
      </c>
      <c r="G34290" s="49" t="str">
        <f t="shared" si="1"/>
        <v>59188</v>
      </c>
      <c r="H34290" s="49">
        <f t="shared" si="2"/>
        <v>59528</v>
      </c>
    </row>
    <row r="34291">
      <c r="A34291" s="48" t="s">
        <v>2540</v>
      </c>
      <c r="B34291" s="38">
        <v>2280.0</v>
      </c>
      <c r="C34291" s="38" t="s">
        <v>712</v>
      </c>
      <c r="D34291" s="38" t="str">
        <f>IFERROR(__xludf.DUMMYFUNCTION("REGEXREPLACE(C34291,""-\d+(.*)|--\d+(.*)"","""")"),"EPIEDS")</f>
        <v>EPIEDS</v>
      </c>
      <c r="E34291" s="38" t="s">
        <v>191</v>
      </c>
      <c r="F34291" s="38" t="s">
        <v>113</v>
      </c>
      <c r="G34291" s="49" t="str">
        <f t="shared" si="1"/>
        <v>02400</v>
      </c>
      <c r="H34291" s="49" t="str">
        <f t="shared" si="2"/>
        <v>02280</v>
      </c>
    </row>
    <row r="34292">
      <c r="A34292" s="48" t="s">
        <v>6492</v>
      </c>
      <c r="B34292" s="38">
        <v>5021.0</v>
      </c>
      <c r="C34292" s="38" t="s">
        <v>38496</v>
      </c>
      <c r="D34292" s="38" t="str">
        <f>IFERROR(__xludf.DUMMYFUNCTION("REGEXREPLACE(C34292,""-\d+(.*)|--\d+(.*)"","""")"),"LE BERSAC")</f>
        <v>LE BERSAC</v>
      </c>
      <c r="E34292" s="38" t="s">
        <v>706</v>
      </c>
      <c r="F34292" s="38" t="s">
        <v>228</v>
      </c>
      <c r="G34292" s="49" t="str">
        <f t="shared" si="1"/>
        <v>05700</v>
      </c>
      <c r="H34292" s="49" t="str">
        <f t="shared" si="2"/>
        <v>05021</v>
      </c>
    </row>
    <row r="34293">
      <c r="A34293" s="48" t="s">
        <v>35027</v>
      </c>
      <c r="B34293" s="38">
        <v>31052.0</v>
      </c>
      <c r="C34293" s="38" t="s">
        <v>38497</v>
      </c>
      <c r="D34293" s="38" t="str">
        <f>IFERROR(__xludf.DUMMYFUNCTION("REGEXREPLACE(C34293,""-\d+(.*)|--\d+(.*)"","""")"),"BEAUMONT-SUR-LEZE")</f>
        <v>BEAUMONT-SUR-LEZE</v>
      </c>
      <c r="E34293" s="38" t="s">
        <v>93</v>
      </c>
      <c r="F34293" s="38" t="s">
        <v>94</v>
      </c>
      <c r="G34293" s="49" t="str">
        <f t="shared" si="1"/>
        <v>31870</v>
      </c>
      <c r="H34293" s="49">
        <f t="shared" si="2"/>
        <v>31052</v>
      </c>
    </row>
    <row r="34294">
      <c r="A34294" s="48" t="s">
        <v>21569</v>
      </c>
      <c r="B34294" s="38">
        <v>91692.0</v>
      </c>
      <c r="C34294" s="38" t="s">
        <v>38498</v>
      </c>
      <c r="D34294" s="38" t="str">
        <f>IFERROR(__xludf.DUMMYFUNCTION("REGEXREPLACE(C34294,""-\d+(.*)|--\d+(.*)"","""")"),"LES ULIS")</f>
        <v>LES ULIS</v>
      </c>
      <c r="E34294" s="38" t="s">
        <v>756</v>
      </c>
      <c r="F34294" s="38" t="s">
        <v>245</v>
      </c>
      <c r="G34294" s="49" t="str">
        <f t="shared" si="1"/>
        <v>91940</v>
      </c>
      <c r="H34294" s="49">
        <f t="shared" si="2"/>
        <v>91692</v>
      </c>
    </row>
    <row r="34295">
      <c r="A34295" s="48" t="s">
        <v>711</v>
      </c>
      <c r="B34295" s="38">
        <v>49046.0</v>
      </c>
      <c r="C34295" s="38" t="s">
        <v>38499</v>
      </c>
      <c r="D34295" s="38" t="str">
        <f>IFERROR(__xludf.DUMMYFUNCTION("REGEXREPLACE(C34295,""-\d+(.*)|--\d+(.*)"","""")"),"BREZE")</f>
        <v>BREZE</v>
      </c>
      <c r="E34295" s="38" t="s">
        <v>653</v>
      </c>
      <c r="F34295" s="38" t="s">
        <v>180</v>
      </c>
      <c r="G34295" s="49" t="str">
        <f t="shared" si="1"/>
        <v>49260</v>
      </c>
      <c r="H34295" s="49">
        <f t="shared" si="2"/>
        <v>49046</v>
      </c>
    </row>
    <row r="34296">
      <c r="A34296" s="48" t="s">
        <v>1250</v>
      </c>
      <c r="B34296" s="38">
        <v>31513.0</v>
      </c>
      <c r="C34296" s="38" t="s">
        <v>38500</v>
      </c>
      <c r="D34296" s="38" t="str">
        <f>IFERROR(__xludf.DUMMYFUNCTION("REGEXREPLACE(C34296,""-\d+(.*)|--\d+(.*)"","""")"),"SAINT-PLANCARD")</f>
        <v>SAINT-PLANCARD</v>
      </c>
      <c r="E34296" s="38" t="s">
        <v>93</v>
      </c>
      <c r="F34296" s="38" t="s">
        <v>94</v>
      </c>
      <c r="G34296" s="49" t="str">
        <f t="shared" si="1"/>
        <v>31580</v>
      </c>
      <c r="H34296" s="49">
        <f t="shared" si="2"/>
        <v>31513</v>
      </c>
    </row>
    <row r="34297">
      <c r="A34297" s="48" t="s">
        <v>1667</v>
      </c>
      <c r="B34297" s="38">
        <v>38135.0</v>
      </c>
      <c r="C34297" s="38" t="s">
        <v>32271</v>
      </c>
      <c r="D34297" s="38" t="str">
        <f>IFERROR(__xludf.DUMMYFUNCTION("REGEXREPLACE(C34297,""-\d+(.*)|--\d+(.*)"","""")"),"COURTENAY")</f>
        <v>COURTENAY</v>
      </c>
      <c r="E34297" s="38" t="s">
        <v>101</v>
      </c>
      <c r="F34297" s="38" t="s">
        <v>102</v>
      </c>
      <c r="G34297" s="49" t="str">
        <f t="shared" si="1"/>
        <v>38510</v>
      </c>
      <c r="H34297" s="49">
        <f t="shared" si="2"/>
        <v>38135</v>
      </c>
    </row>
    <row r="34298">
      <c r="A34298" s="48" t="s">
        <v>5693</v>
      </c>
      <c r="B34298" s="38">
        <v>50158.0</v>
      </c>
      <c r="C34298" s="38" t="s">
        <v>22043</v>
      </c>
      <c r="D34298" s="38" t="str">
        <f>IFERROR(__xludf.DUMMYFUNCTION("REGEXREPLACE(C34298,""-\d+(.*)|--\d+(.*)"","""")"),"CUVES")</f>
        <v>CUVES</v>
      </c>
      <c r="E34298" s="38" t="s">
        <v>157</v>
      </c>
      <c r="F34298" s="38" t="s">
        <v>138</v>
      </c>
      <c r="G34298" s="49" t="str">
        <f t="shared" si="1"/>
        <v>50670</v>
      </c>
      <c r="H34298" s="49">
        <f t="shared" si="2"/>
        <v>50158</v>
      </c>
    </row>
    <row r="34299">
      <c r="A34299" s="48" t="s">
        <v>2176</v>
      </c>
      <c r="B34299" s="38">
        <v>62590.0</v>
      </c>
      <c r="C34299" s="38" t="s">
        <v>38501</v>
      </c>
      <c r="D34299" s="38" t="str">
        <f>IFERROR(__xludf.DUMMYFUNCTION("REGEXREPLACE(C34299,""-\d+(.*)|--\d+(.*)"","""")"),"MONTS-EN-TERNOIS")</f>
        <v>MONTS-EN-TERNOIS</v>
      </c>
      <c r="E34299" s="38" t="s">
        <v>109</v>
      </c>
      <c r="F34299" s="38" t="s">
        <v>86</v>
      </c>
      <c r="G34299" s="49" t="str">
        <f t="shared" si="1"/>
        <v>62130</v>
      </c>
      <c r="H34299" s="49">
        <f t="shared" si="2"/>
        <v>62590</v>
      </c>
    </row>
    <row r="34300">
      <c r="A34300" s="48" t="s">
        <v>10386</v>
      </c>
      <c r="B34300" s="38">
        <v>63434.0</v>
      </c>
      <c r="C34300" s="38" t="s">
        <v>38502</v>
      </c>
      <c r="D34300" s="38" t="str">
        <f>IFERROR(__xludf.DUMMYFUNCTION("REGEXREPLACE(C34300,""-\d+(.*)|--\d+(.*)"","""")"),"TOURS-SUR-MEYMONT")</f>
        <v>TOURS-SUR-MEYMONT</v>
      </c>
      <c r="E34300" s="38" t="s">
        <v>353</v>
      </c>
      <c r="F34300" s="38" t="s">
        <v>161</v>
      </c>
      <c r="G34300" s="49" t="str">
        <f t="shared" si="1"/>
        <v>63590</v>
      </c>
      <c r="H34300" s="49">
        <f t="shared" si="2"/>
        <v>63434</v>
      </c>
    </row>
    <row r="34301">
      <c r="A34301" s="48" t="s">
        <v>3716</v>
      </c>
      <c r="B34301" s="38">
        <v>57235.0</v>
      </c>
      <c r="C34301" s="38" t="s">
        <v>38503</v>
      </c>
      <c r="D34301" s="38" t="str">
        <f>IFERROR(__xludf.DUMMYFUNCTION("REGEXREPLACE(C34301,""-\d+(.*)|--\d+(.*)"","""")"),"FREISTROFF")</f>
        <v>FREISTROFF</v>
      </c>
      <c r="E34301" s="38" t="s">
        <v>303</v>
      </c>
      <c r="F34301" s="38" t="s">
        <v>195</v>
      </c>
      <c r="G34301" s="49" t="str">
        <f t="shared" si="1"/>
        <v>57320</v>
      </c>
      <c r="H34301" s="49">
        <f t="shared" si="2"/>
        <v>57235</v>
      </c>
    </row>
    <row r="34302">
      <c r="A34302" s="48" t="s">
        <v>15637</v>
      </c>
      <c r="B34302" s="38">
        <v>66114.0</v>
      </c>
      <c r="C34302" s="38" t="s">
        <v>38504</v>
      </c>
      <c r="D34302" s="38" t="str">
        <f>IFERROR(__xludf.DUMMYFUNCTION("REGEXREPLACE(C34302,""-\d+(.*)|--\d+(.*)"","""")"),"MONTESCOT")</f>
        <v>MONTESCOT</v>
      </c>
      <c r="E34302" s="38" t="s">
        <v>248</v>
      </c>
      <c r="F34302" s="38" t="s">
        <v>119</v>
      </c>
      <c r="G34302" s="49" t="str">
        <f t="shared" si="1"/>
        <v>66200</v>
      </c>
      <c r="H34302" s="49">
        <f t="shared" si="2"/>
        <v>66114</v>
      </c>
    </row>
    <row r="34303">
      <c r="A34303" s="48" t="s">
        <v>7700</v>
      </c>
      <c r="B34303" s="38">
        <v>23078.0</v>
      </c>
      <c r="C34303" s="38" t="s">
        <v>38505</v>
      </c>
      <c r="D34303" s="38" t="str">
        <f>IFERROR(__xludf.DUMMYFUNCTION("REGEXREPLACE(C34303,""-\d+(.*)|--\d+(.*)"","""")"),"FAUX-MAZURAS")</f>
        <v>FAUX-MAZURAS</v>
      </c>
      <c r="E34303" s="38" t="s">
        <v>97</v>
      </c>
      <c r="F34303" s="38" t="s">
        <v>98</v>
      </c>
      <c r="G34303" s="49" t="str">
        <f t="shared" si="1"/>
        <v>23400</v>
      </c>
      <c r="H34303" s="49">
        <f t="shared" si="2"/>
        <v>23078</v>
      </c>
    </row>
    <row r="34304">
      <c r="A34304" s="48" t="s">
        <v>8945</v>
      </c>
      <c r="B34304" s="38">
        <v>72136.0</v>
      </c>
      <c r="C34304" s="38" t="s">
        <v>38506</v>
      </c>
      <c r="D34304" s="38" t="str">
        <f>IFERROR(__xludf.DUMMYFUNCTION("REGEXREPLACE(C34304,""-\d+(.*)|--\d+(.*)"","""")"),"FONTENAY-SUR-VEGRE")</f>
        <v>FONTENAY-SUR-VEGRE</v>
      </c>
      <c r="E34304" s="38" t="s">
        <v>521</v>
      </c>
      <c r="F34304" s="38" t="s">
        <v>180</v>
      </c>
      <c r="G34304" s="49" t="str">
        <f t="shared" si="1"/>
        <v>72350</v>
      </c>
      <c r="H34304" s="49">
        <f t="shared" si="2"/>
        <v>72136</v>
      </c>
    </row>
    <row r="34305">
      <c r="A34305" s="48" t="s">
        <v>9297</v>
      </c>
      <c r="B34305" s="38">
        <v>41184.0</v>
      </c>
      <c r="C34305" s="38" t="s">
        <v>38507</v>
      </c>
      <c r="D34305" s="38" t="str">
        <f>IFERROR(__xludf.DUMMYFUNCTION("REGEXREPLACE(C34305,""-\d+(.*)|--\d+(.*)"","""")"),"PRUNAY-CASSEREAU")</f>
        <v>PRUNAY-CASSEREAU</v>
      </c>
      <c r="E34305" s="38" t="s">
        <v>188</v>
      </c>
      <c r="F34305" s="38" t="s">
        <v>123</v>
      </c>
      <c r="G34305" s="49" t="str">
        <f t="shared" si="1"/>
        <v>41310</v>
      </c>
      <c r="H34305" s="49">
        <f t="shared" si="2"/>
        <v>41184</v>
      </c>
    </row>
    <row r="34306">
      <c r="A34306" s="48" t="s">
        <v>4840</v>
      </c>
      <c r="B34306" s="38">
        <v>16173.0</v>
      </c>
      <c r="C34306" s="38" t="s">
        <v>33709</v>
      </c>
      <c r="D34306" s="38" t="str">
        <f>IFERROR(__xludf.DUMMYFUNCTION("REGEXREPLACE(C34306,""-\d+(.*)|--\d+(.*)"","""")"),"JUILLE")</f>
        <v>JUILLE</v>
      </c>
      <c r="E34306" s="38" t="s">
        <v>429</v>
      </c>
      <c r="F34306" s="38" t="s">
        <v>338</v>
      </c>
      <c r="G34306" s="49" t="str">
        <f t="shared" si="1"/>
        <v>16230</v>
      </c>
      <c r="H34306" s="49">
        <f t="shared" si="2"/>
        <v>16173</v>
      </c>
    </row>
    <row r="34307">
      <c r="A34307" s="48" t="s">
        <v>376</v>
      </c>
      <c r="B34307" s="38">
        <v>73237.0</v>
      </c>
      <c r="C34307" s="38" t="s">
        <v>38508</v>
      </c>
      <c r="D34307" s="38" t="str">
        <f>IFERROR(__xludf.DUMMYFUNCTION("REGEXREPLACE(C34307,""-\d+(.*)|--\d+(.*)"","""")"),"SAINT-GEORGES-DES-HURTIERES")</f>
        <v>SAINT-GEORGES-DES-HURTIERES</v>
      </c>
      <c r="E34307" s="38" t="s">
        <v>306</v>
      </c>
      <c r="F34307" s="38" t="s">
        <v>102</v>
      </c>
      <c r="G34307" s="49" t="str">
        <f t="shared" si="1"/>
        <v>73220</v>
      </c>
      <c r="H34307" s="49">
        <f t="shared" si="2"/>
        <v>73237</v>
      </c>
    </row>
    <row r="34308">
      <c r="A34308" s="48" t="s">
        <v>11853</v>
      </c>
      <c r="B34308" s="38">
        <v>38357.0</v>
      </c>
      <c r="C34308" s="38" t="s">
        <v>38509</v>
      </c>
      <c r="D34308" s="38" t="str">
        <f>IFERROR(__xludf.DUMMYFUNCTION("REGEXREPLACE(C34308,""-\d+(.*)|--\d+(.*)"","""")"),"SAINT-ANDRE-LE-GAZ")</f>
        <v>SAINT-ANDRE-LE-GAZ</v>
      </c>
      <c r="E34308" s="38" t="s">
        <v>101</v>
      </c>
      <c r="F34308" s="38" t="s">
        <v>102</v>
      </c>
      <c r="G34308" s="49" t="str">
        <f t="shared" si="1"/>
        <v>38490</v>
      </c>
      <c r="H34308" s="49">
        <f t="shared" si="2"/>
        <v>38357</v>
      </c>
    </row>
    <row r="34309">
      <c r="A34309" s="48" t="s">
        <v>7357</v>
      </c>
      <c r="B34309" s="38">
        <v>80578.0</v>
      </c>
      <c r="C34309" s="38" t="s">
        <v>585</v>
      </c>
      <c r="D34309" s="38" t="str">
        <f>IFERROR(__xludf.DUMMYFUNCTION("REGEXREPLACE(C34309,""-\d+(.*)|--\d+(.*)"","""")"),"MOYENNEVILLE")</f>
        <v>MOYENNEVILLE</v>
      </c>
      <c r="E34309" s="38" t="s">
        <v>224</v>
      </c>
      <c r="F34309" s="38" t="s">
        <v>113</v>
      </c>
      <c r="G34309" s="49" t="str">
        <f t="shared" si="1"/>
        <v>80870</v>
      </c>
      <c r="H34309" s="49">
        <f t="shared" si="2"/>
        <v>80578</v>
      </c>
    </row>
    <row r="34310">
      <c r="A34310" s="48" t="s">
        <v>38510</v>
      </c>
      <c r="B34310" s="38">
        <v>33229.0</v>
      </c>
      <c r="C34310" s="38" t="s">
        <v>38511</v>
      </c>
      <c r="D34310" s="38" t="str">
        <f>IFERROR(__xludf.DUMMYFUNCTION("REGEXREPLACE(C34310,""-\d+(.*)|--\d+(.*)"","""")"),"LANTON")</f>
        <v>LANTON</v>
      </c>
      <c r="E34310" s="38" t="s">
        <v>462</v>
      </c>
      <c r="F34310" s="38" t="s">
        <v>252</v>
      </c>
      <c r="G34310" s="49" t="str">
        <f t="shared" si="1"/>
        <v>33138</v>
      </c>
      <c r="H34310" s="49">
        <f t="shared" si="2"/>
        <v>33229</v>
      </c>
    </row>
    <row r="34311">
      <c r="A34311" s="48" t="s">
        <v>1014</v>
      </c>
      <c r="B34311" s="38">
        <v>11122.0</v>
      </c>
      <c r="C34311" s="38" t="s">
        <v>38512</v>
      </c>
      <c r="D34311" s="38" t="str">
        <f>IFERROR(__xludf.DUMMYFUNCTION("REGEXREPLACE(C34311,""-\d+(.*)|--\d+(.*)"","""")"),"DOUZENS")</f>
        <v>DOUZENS</v>
      </c>
      <c r="E34311" s="38" t="s">
        <v>278</v>
      </c>
      <c r="F34311" s="38" t="s">
        <v>119</v>
      </c>
      <c r="G34311" s="49" t="str">
        <f t="shared" si="1"/>
        <v>11700</v>
      </c>
      <c r="H34311" s="49">
        <f t="shared" si="2"/>
        <v>11122</v>
      </c>
    </row>
    <row r="34312">
      <c r="A34312" s="48" t="s">
        <v>1531</v>
      </c>
      <c r="B34312" s="38">
        <v>65217.0</v>
      </c>
      <c r="C34312" s="38" t="s">
        <v>38513</v>
      </c>
      <c r="D34312" s="38" t="str">
        <f>IFERROR(__xludf.DUMMYFUNCTION("REGEXREPLACE(C34312,""-\d+(.*)|--\d+(.*)"","""")"),"HAUTAGET")</f>
        <v>HAUTAGET</v>
      </c>
      <c r="E34312" s="38" t="s">
        <v>200</v>
      </c>
      <c r="F34312" s="38" t="s">
        <v>94</v>
      </c>
      <c r="G34312" s="49" t="str">
        <f t="shared" si="1"/>
        <v>65150</v>
      </c>
      <c r="H34312" s="49">
        <f t="shared" si="2"/>
        <v>65217</v>
      </c>
    </row>
    <row r="34313">
      <c r="A34313" s="48" t="s">
        <v>9565</v>
      </c>
      <c r="B34313" s="38">
        <v>71456.0</v>
      </c>
      <c r="C34313" s="38" t="s">
        <v>38514</v>
      </c>
      <c r="D34313" s="38" t="str">
        <f>IFERROR(__xludf.DUMMYFUNCTION("REGEXREPLACE(C34313,""-\d+(.*)|--\d+(.*)"","""")"),"SAINT-MARTIN-EN-BRESSE")</f>
        <v>SAINT-MARTIN-EN-BRESSE</v>
      </c>
      <c r="E34313" s="38" t="s">
        <v>344</v>
      </c>
      <c r="F34313" s="38" t="s">
        <v>106</v>
      </c>
      <c r="G34313" s="49" t="str">
        <f t="shared" si="1"/>
        <v>71620</v>
      </c>
      <c r="H34313" s="49">
        <f t="shared" si="2"/>
        <v>71456</v>
      </c>
    </row>
    <row r="34314">
      <c r="A34314" s="48" t="s">
        <v>38515</v>
      </c>
      <c r="B34314" s="38">
        <v>97314.0</v>
      </c>
      <c r="C34314" s="38" t="s">
        <v>38516</v>
      </c>
      <c r="D34314" s="38" t="str">
        <f>IFERROR(__xludf.DUMMYFUNCTION("REGEXREPLACE(C34314,""-\d+(.*)|--\d+(.*)"","""")"),"OUANARY")</f>
        <v>OUANARY</v>
      </c>
      <c r="E34314" s="38" t="s">
        <v>1737</v>
      </c>
      <c r="F34314" s="38" t="s">
        <v>1737</v>
      </c>
      <c r="G34314" s="49" t="str">
        <f t="shared" si="1"/>
        <v>97380</v>
      </c>
      <c r="H34314" s="49">
        <f t="shared" si="2"/>
        <v>97314</v>
      </c>
    </row>
    <row r="34315">
      <c r="A34315" s="48" t="s">
        <v>1641</v>
      </c>
      <c r="B34315" s="38">
        <v>18106.0</v>
      </c>
      <c r="C34315" s="38" t="s">
        <v>38517</v>
      </c>
      <c r="D34315" s="38" t="str">
        <f>IFERROR(__xludf.DUMMYFUNCTION("REGEXREPLACE(C34315,""-\d+(.*)|--\d+(.*)"","""")"),"GROSSOUVRE")</f>
        <v>GROSSOUVRE</v>
      </c>
      <c r="E34315" s="38" t="s">
        <v>504</v>
      </c>
      <c r="F34315" s="38" t="s">
        <v>123</v>
      </c>
      <c r="G34315" s="49" t="str">
        <f t="shared" si="1"/>
        <v>18600</v>
      </c>
      <c r="H34315" s="49">
        <f t="shared" si="2"/>
        <v>18106</v>
      </c>
    </row>
    <row r="34316">
      <c r="A34316" s="48" t="s">
        <v>3046</v>
      </c>
      <c r="B34316" s="38">
        <v>70132.0</v>
      </c>
      <c r="C34316" s="38" t="s">
        <v>38518</v>
      </c>
      <c r="D34316" s="38" t="str">
        <f>IFERROR(__xludf.DUMMYFUNCTION("REGEXREPLACE(C34316,""-\d+(.*)|--\d+(.*)"","""")"),"CHARGEY-LES-GRAY")</f>
        <v>CHARGEY-LES-GRAY</v>
      </c>
      <c r="E34316" s="38" t="s">
        <v>956</v>
      </c>
      <c r="F34316" s="38" t="s">
        <v>214</v>
      </c>
      <c r="G34316" s="49" t="str">
        <f t="shared" si="1"/>
        <v>70100</v>
      </c>
      <c r="H34316" s="49">
        <f t="shared" si="2"/>
        <v>70132</v>
      </c>
    </row>
    <row r="34317">
      <c r="A34317" s="48" t="s">
        <v>4032</v>
      </c>
      <c r="B34317" s="38">
        <v>17072.0</v>
      </c>
      <c r="C34317" s="38" t="s">
        <v>38519</v>
      </c>
      <c r="D34317" s="38" t="str">
        <f>IFERROR(__xludf.DUMMYFUNCTION("REGEXREPLACE(C34317,""-\d+(.*)|--\d+(.*)"","""")"),"BURIE")</f>
        <v>BURIE</v>
      </c>
      <c r="E34317" s="38" t="s">
        <v>488</v>
      </c>
      <c r="F34317" s="38" t="s">
        <v>338</v>
      </c>
      <c r="G34317" s="49" t="str">
        <f t="shared" si="1"/>
        <v>17770</v>
      </c>
      <c r="H34317" s="49">
        <f t="shared" si="2"/>
        <v>17072</v>
      </c>
    </row>
    <row r="34318">
      <c r="A34318" s="48" t="s">
        <v>11009</v>
      </c>
      <c r="B34318" s="38">
        <v>33055.0</v>
      </c>
      <c r="C34318" s="38" t="s">
        <v>38520</v>
      </c>
      <c r="D34318" s="38" t="str">
        <f>IFERROR(__xludf.DUMMYFUNCTION("REGEXREPLACE(C34318,""-\d+(.*)|--\d+(.*)"","""")"),"BLAIGNAN")</f>
        <v>BLAIGNAN</v>
      </c>
      <c r="E34318" s="38" t="s">
        <v>462</v>
      </c>
      <c r="F34318" s="38" t="s">
        <v>252</v>
      </c>
      <c r="G34318" s="49" t="str">
        <f t="shared" si="1"/>
        <v>33340</v>
      </c>
      <c r="H34318" s="49">
        <f t="shared" si="2"/>
        <v>33055</v>
      </c>
    </row>
    <row r="34319">
      <c r="A34319" s="48" t="s">
        <v>7712</v>
      </c>
      <c r="B34319" s="38">
        <v>9093.0</v>
      </c>
      <c r="C34319" s="38" t="s">
        <v>21351</v>
      </c>
      <c r="D34319" s="38" t="str">
        <f>IFERROR(__xludf.DUMMYFUNCTION("REGEXREPLACE(C34319,""-\d+(.*)|--\d+(.*)"","""")"),"CELLES")</f>
        <v>CELLES</v>
      </c>
      <c r="E34319" s="38" t="s">
        <v>238</v>
      </c>
      <c r="F34319" s="38" t="s">
        <v>94</v>
      </c>
      <c r="G34319" s="49" t="str">
        <f t="shared" si="1"/>
        <v>09000</v>
      </c>
      <c r="H34319" s="49" t="str">
        <f t="shared" si="2"/>
        <v>09093</v>
      </c>
    </row>
    <row r="34320">
      <c r="A34320" s="48" t="s">
        <v>3297</v>
      </c>
      <c r="B34320" s="38">
        <v>41267.0</v>
      </c>
      <c r="C34320" s="38" t="s">
        <v>38521</v>
      </c>
      <c r="D34320" s="38" t="str">
        <f>IFERROR(__xludf.DUMMYFUNCTION("REGEXREPLACE(C34320,""-\d+(.*)|--\d+(.*)"","""")"),"VALLIERES-LES-GRANDES")</f>
        <v>VALLIERES-LES-GRANDES</v>
      </c>
      <c r="E34320" s="38" t="s">
        <v>188</v>
      </c>
      <c r="F34320" s="38" t="s">
        <v>123</v>
      </c>
      <c r="G34320" s="49" t="str">
        <f t="shared" si="1"/>
        <v>41400</v>
      </c>
      <c r="H34320" s="49">
        <f t="shared" si="2"/>
        <v>41267</v>
      </c>
    </row>
    <row r="34321">
      <c r="A34321" s="48" t="s">
        <v>3441</v>
      </c>
      <c r="B34321" s="38">
        <v>7142.0</v>
      </c>
      <c r="C34321" s="38" t="s">
        <v>38522</v>
      </c>
      <c r="D34321" s="38" t="str">
        <f>IFERROR(__xludf.DUMMYFUNCTION("REGEXREPLACE(C34321,""-\d+(.*)|--\d+(.*)"","""")"),"LESPERON")</f>
        <v>LESPERON</v>
      </c>
      <c r="E34321" s="38" t="s">
        <v>144</v>
      </c>
      <c r="F34321" s="38" t="s">
        <v>102</v>
      </c>
      <c r="G34321" s="49" t="str">
        <f t="shared" si="1"/>
        <v>07660</v>
      </c>
      <c r="H34321" s="49" t="str">
        <f t="shared" si="2"/>
        <v>07142</v>
      </c>
    </row>
    <row r="34322">
      <c r="A34322" s="48" t="s">
        <v>21484</v>
      </c>
      <c r="B34322" s="38">
        <v>31094.0</v>
      </c>
      <c r="C34322" s="38" t="s">
        <v>38523</v>
      </c>
      <c r="D34322" s="38" t="str">
        <f>IFERROR(__xludf.DUMMYFUNCTION("REGEXREPLACE(C34322,""-\d+(.*)|--\d+(.*)"","""")"),"BUZET-SUR-TARN")</f>
        <v>BUZET-SUR-TARN</v>
      </c>
      <c r="E34322" s="38" t="s">
        <v>93</v>
      </c>
      <c r="F34322" s="38" t="s">
        <v>94</v>
      </c>
      <c r="G34322" s="49" t="str">
        <f t="shared" si="1"/>
        <v>31660</v>
      </c>
      <c r="H34322" s="49">
        <f t="shared" si="2"/>
        <v>31094</v>
      </c>
    </row>
    <row r="34323">
      <c r="A34323" s="48" t="s">
        <v>9141</v>
      </c>
      <c r="B34323" s="38">
        <v>1427.0</v>
      </c>
      <c r="C34323" s="38" t="s">
        <v>38524</v>
      </c>
      <c r="D34323" s="38" t="str">
        <f>IFERROR(__xludf.DUMMYFUNCTION("REGEXREPLACE(C34323,""-\d+(.*)|--\d+(.*)"","""")"),"TREVOUX")</f>
        <v>TREVOUX</v>
      </c>
      <c r="E34323" s="38" t="s">
        <v>255</v>
      </c>
      <c r="F34323" s="38" t="s">
        <v>102</v>
      </c>
      <c r="G34323" s="49" t="str">
        <f t="shared" si="1"/>
        <v>01600</v>
      </c>
      <c r="H34323" s="49" t="str">
        <f t="shared" si="2"/>
        <v>01427</v>
      </c>
    </row>
    <row r="34324">
      <c r="A34324" s="48" t="s">
        <v>26757</v>
      </c>
      <c r="B34324" s="38">
        <v>34333.0</v>
      </c>
      <c r="C34324" s="38" t="s">
        <v>38525</v>
      </c>
      <c r="D34324" s="38" t="str">
        <f>IFERROR(__xludf.DUMMYFUNCTION("REGEXREPLACE(C34324,""-\d+(.*)|--\d+(.*)"","""")"),"VIC-LA-GARDIOLE")</f>
        <v>VIC-LA-GARDIOLE</v>
      </c>
      <c r="E34324" s="38" t="s">
        <v>118</v>
      </c>
      <c r="F34324" s="38" t="s">
        <v>119</v>
      </c>
      <c r="G34324" s="49" t="str">
        <f t="shared" si="1"/>
        <v>34110</v>
      </c>
      <c r="H34324" s="49">
        <f t="shared" si="2"/>
        <v>34333</v>
      </c>
    </row>
    <row r="34325">
      <c r="A34325" s="48" t="s">
        <v>1135</v>
      </c>
      <c r="B34325" s="38">
        <v>79331.0</v>
      </c>
      <c r="C34325" s="38" t="s">
        <v>38526</v>
      </c>
      <c r="D34325" s="38" t="str">
        <f>IFERROR(__xludf.DUMMYFUNCTION("REGEXREPLACE(C34325,""-\d+(.*)|--\d+(.*)"","""")"),"TOURTENAY")</f>
        <v>TOURTENAY</v>
      </c>
      <c r="E34325" s="38" t="s">
        <v>337</v>
      </c>
      <c r="F34325" s="38" t="s">
        <v>338</v>
      </c>
      <c r="G34325" s="49" t="str">
        <f t="shared" si="1"/>
        <v>79100</v>
      </c>
      <c r="H34325" s="49">
        <f t="shared" si="2"/>
        <v>79331</v>
      </c>
    </row>
    <row r="34326">
      <c r="A34326" s="48" t="s">
        <v>3465</v>
      </c>
      <c r="B34326" s="38">
        <v>11167.0</v>
      </c>
      <c r="C34326" s="38" t="s">
        <v>38527</v>
      </c>
      <c r="D34326" s="38" t="str">
        <f>IFERROR(__xludf.DUMMYFUNCTION("REGEXREPLACE(C34326,""-\d+(.*)|--\d+(.*)"","""")"),"GRAMAZIE")</f>
        <v>GRAMAZIE</v>
      </c>
      <c r="E34326" s="38" t="s">
        <v>278</v>
      </c>
      <c r="F34326" s="38" t="s">
        <v>119</v>
      </c>
      <c r="G34326" s="49" t="str">
        <f t="shared" si="1"/>
        <v>11240</v>
      </c>
      <c r="H34326" s="49">
        <f t="shared" si="2"/>
        <v>11167</v>
      </c>
    </row>
    <row r="34327">
      <c r="A34327" s="48" t="s">
        <v>1293</v>
      </c>
      <c r="B34327" s="38">
        <v>25544.0</v>
      </c>
      <c r="C34327" s="38" t="s">
        <v>38528</v>
      </c>
      <c r="D34327" s="38" t="str">
        <f>IFERROR(__xludf.DUMMYFUNCTION("REGEXREPLACE(C34327,""-\d+(.*)|--\d+(.*)"","""")"),"SERVIN")</f>
        <v>SERVIN</v>
      </c>
      <c r="E34327" s="38" t="s">
        <v>213</v>
      </c>
      <c r="F34327" s="38" t="s">
        <v>214</v>
      </c>
      <c r="G34327" s="49" t="str">
        <f t="shared" si="1"/>
        <v>25430</v>
      </c>
      <c r="H34327" s="49">
        <f t="shared" si="2"/>
        <v>25544</v>
      </c>
    </row>
    <row r="34328">
      <c r="A34328" s="48" t="s">
        <v>3812</v>
      </c>
      <c r="B34328" s="38">
        <v>71267.0</v>
      </c>
      <c r="C34328" s="38" t="s">
        <v>33409</v>
      </c>
      <c r="D34328" s="38" t="str">
        <f>IFERROR(__xludf.DUMMYFUNCTION("REGEXREPLACE(C34328,""-\d+(.*)|--\d+(.*)"","""")"),"LUGNY")</f>
        <v>LUGNY</v>
      </c>
      <c r="E34328" s="38" t="s">
        <v>344</v>
      </c>
      <c r="F34328" s="38" t="s">
        <v>106</v>
      </c>
      <c r="G34328" s="49" t="str">
        <f t="shared" si="1"/>
        <v>71260</v>
      </c>
      <c r="H34328" s="49">
        <f t="shared" si="2"/>
        <v>71267</v>
      </c>
    </row>
    <row r="34329">
      <c r="A34329" s="48" t="s">
        <v>27222</v>
      </c>
      <c r="B34329" s="38">
        <v>27582.0</v>
      </c>
      <c r="C34329" s="38" t="s">
        <v>38529</v>
      </c>
      <c r="D34329" s="38" t="str">
        <f>IFERROR(__xludf.DUMMYFUNCTION("REGEXREPLACE(C34329,""-\d+(.*)|--\d+(.*)"","""")"),"SAINT-OUEN-DU-TILLEUL")</f>
        <v>SAINT-OUEN-DU-TILLEUL</v>
      </c>
      <c r="E34329" s="38" t="s">
        <v>241</v>
      </c>
      <c r="F34329" s="38" t="s">
        <v>134</v>
      </c>
      <c r="G34329" s="49" t="str">
        <f t="shared" si="1"/>
        <v>27670</v>
      </c>
      <c r="H34329" s="49">
        <f t="shared" si="2"/>
        <v>27582</v>
      </c>
    </row>
    <row r="34330">
      <c r="A34330" s="48" t="s">
        <v>1106</v>
      </c>
      <c r="B34330" s="38">
        <v>14251.0</v>
      </c>
      <c r="C34330" s="38" t="s">
        <v>38530</v>
      </c>
      <c r="D34330" s="38" t="str">
        <f>IFERROR(__xludf.DUMMYFUNCTION("REGEXREPLACE(C34330,""-\d+(.*)|--\d+(.*)"","""")"),"ESSON")</f>
        <v>ESSON</v>
      </c>
      <c r="E34330" s="38" t="s">
        <v>137</v>
      </c>
      <c r="F34330" s="38" t="s">
        <v>138</v>
      </c>
      <c r="G34330" s="49" t="str">
        <f t="shared" si="1"/>
        <v>14220</v>
      </c>
      <c r="H34330" s="49">
        <f t="shared" si="2"/>
        <v>14251</v>
      </c>
    </row>
    <row r="34331">
      <c r="A34331" s="48" t="s">
        <v>1827</v>
      </c>
      <c r="B34331" s="38">
        <v>77182.0</v>
      </c>
      <c r="C34331" s="38" t="s">
        <v>38531</v>
      </c>
      <c r="D34331" s="38" t="str">
        <f>IFERROR(__xludf.DUMMYFUNCTION("REGEXREPLACE(C34331,""-\d+(.*)|--\d+(.*)"","""")"),"LA FERTE-GAUCHER")</f>
        <v>LA FERTE-GAUCHER</v>
      </c>
      <c r="E34331" s="38" t="s">
        <v>244</v>
      </c>
      <c r="F34331" s="38" t="s">
        <v>245</v>
      </c>
      <c r="G34331" s="49" t="str">
        <f t="shared" si="1"/>
        <v>77320</v>
      </c>
      <c r="H34331" s="49">
        <f t="shared" si="2"/>
        <v>77182</v>
      </c>
    </row>
    <row r="34332">
      <c r="A34332" s="48" t="s">
        <v>16816</v>
      </c>
      <c r="B34332" s="38">
        <v>89265.0</v>
      </c>
      <c r="C34332" s="38" t="s">
        <v>38532</v>
      </c>
      <c r="D34332" s="38" t="str">
        <f>IFERROR(__xludf.DUMMYFUNCTION("REGEXREPLACE(C34332,""-\d+(.*)|--\d+(.*)"","""")"),"MONTIGNY-LA-RESLE")</f>
        <v>MONTIGNY-LA-RESLE</v>
      </c>
      <c r="E34332" s="38" t="s">
        <v>275</v>
      </c>
      <c r="F34332" s="38" t="s">
        <v>106</v>
      </c>
      <c r="G34332" s="49" t="str">
        <f t="shared" si="1"/>
        <v>89230</v>
      </c>
      <c r="H34332" s="49">
        <f t="shared" si="2"/>
        <v>89265</v>
      </c>
    </row>
    <row r="34333">
      <c r="A34333" s="48" t="s">
        <v>9334</v>
      </c>
      <c r="B34333" s="38">
        <v>62908.0</v>
      </c>
      <c r="C34333" s="38" t="s">
        <v>38533</v>
      </c>
      <c r="D34333" s="38" t="str">
        <f>IFERROR(__xludf.DUMMYFUNCTION("REGEXREPLACE(C34333,""-\d+(.*)|--\d+(.*)"","""")"),"LA CAPELLE-LES-BOULOGNE")</f>
        <v>LA CAPELLE-LES-BOULOGNE</v>
      </c>
      <c r="E34333" s="38" t="s">
        <v>109</v>
      </c>
      <c r="F34333" s="38" t="s">
        <v>86</v>
      </c>
      <c r="G34333" s="49" t="str">
        <f t="shared" si="1"/>
        <v>62360</v>
      </c>
      <c r="H34333" s="49">
        <f t="shared" si="2"/>
        <v>62908</v>
      </c>
    </row>
    <row r="34334">
      <c r="A34334" s="48" t="s">
        <v>6633</v>
      </c>
      <c r="B34334" s="38">
        <v>64087.0</v>
      </c>
      <c r="C34334" s="38" t="s">
        <v>38534</v>
      </c>
      <c r="D34334" s="38" t="str">
        <f>IFERROR(__xludf.DUMMYFUNCTION("REGEXREPLACE(C34334,""-\d+(.*)|--\d+(.*)"","""")"),"BAIGTS-DE-BEARN")</f>
        <v>BAIGTS-DE-BEARN</v>
      </c>
      <c r="E34334" s="38" t="s">
        <v>268</v>
      </c>
      <c r="F34334" s="38" t="s">
        <v>252</v>
      </c>
      <c r="G34334" s="49" t="str">
        <f t="shared" si="1"/>
        <v>64300</v>
      </c>
      <c r="H34334" s="49">
        <f t="shared" si="2"/>
        <v>64087</v>
      </c>
    </row>
    <row r="34335">
      <c r="A34335" s="48" t="s">
        <v>1978</v>
      </c>
      <c r="B34335" s="38">
        <v>88291.0</v>
      </c>
      <c r="C34335" s="38" t="s">
        <v>38535</v>
      </c>
      <c r="D34335" s="38" t="str">
        <f>IFERROR(__xludf.DUMMYFUNCTION("REGEXREPLACE(C34335,""-\d+(.*)|--\d+(.*)"","""")"),"MARTINVELLE")</f>
        <v>MARTINVELLE</v>
      </c>
      <c r="E34335" s="38" t="s">
        <v>194</v>
      </c>
      <c r="F34335" s="38" t="s">
        <v>195</v>
      </c>
      <c r="G34335" s="49" t="str">
        <f t="shared" si="1"/>
        <v>88410</v>
      </c>
      <c r="H34335" s="49">
        <f t="shared" si="2"/>
        <v>88291</v>
      </c>
    </row>
    <row r="34336">
      <c r="A34336" s="48" t="s">
        <v>4992</v>
      </c>
      <c r="B34336" s="38">
        <v>80004.0</v>
      </c>
      <c r="C34336" s="38" t="s">
        <v>38536</v>
      </c>
      <c r="D34336" s="38" t="str">
        <f>IFERROR(__xludf.DUMMYFUNCTION("REGEXREPLACE(C34336,""-\d+(.*)|--\d+(.*)"","""")"),"ACHEUX-EN-VIMEU")</f>
        <v>ACHEUX-EN-VIMEU</v>
      </c>
      <c r="E34336" s="38" t="s">
        <v>224</v>
      </c>
      <c r="F34336" s="38" t="s">
        <v>113</v>
      </c>
      <c r="G34336" s="49" t="str">
        <f t="shared" si="1"/>
        <v>80210</v>
      </c>
      <c r="H34336" s="49">
        <f t="shared" si="2"/>
        <v>80004</v>
      </c>
    </row>
    <row r="34337">
      <c r="A34337" s="48" t="s">
        <v>1056</v>
      </c>
      <c r="B34337" s="38">
        <v>11274.0</v>
      </c>
      <c r="C34337" s="38" t="s">
        <v>38537</v>
      </c>
      <c r="D34337" s="38" t="str">
        <f>IFERROR(__xludf.DUMMYFUNCTION("REGEXREPLACE(C34337,""-\d+(.*)|--\d+(.*)"","""")"),"PAULIGNE")</f>
        <v>PAULIGNE</v>
      </c>
      <c r="E34337" s="38" t="s">
        <v>278</v>
      </c>
      <c r="F34337" s="38" t="s">
        <v>119</v>
      </c>
      <c r="G34337" s="49" t="str">
        <f t="shared" si="1"/>
        <v>11300</v>
      </c>
      <c r="H34337" s="49">
        <f t="shared" si="2"/>
        <v>11274</v>
      </c>
    </row>
    <row r="34338">
      <c r="A34338" s="48" t="s">
        <v>4543</v>
      </c>
      <c r="B34338" s="38">
        <v>64493.0</v>
      </c>
      <c r="C34338" s="38" t="s">
        <v>5908</v>
      </c>
      <c r="D34338" s="38" t="str">
        <f>IFERROR(__xludf.DUMMYFUNCTION("REGEXREPLACE(C34338,""-\d+(.*)|--\d+(.*)"","""")"),"SAINT-PALAIS")</f>
        <v>SAINT-PALAIS</v>
      </c>
      <c r="E34338" s="38" t="s">
        <v>268</v>
      </c>
      <c r="F34338" s="38" t="s">
        <v>252</v>
      </c>
      <c r="G34338" s="49" t="str">
        <f t="shared" si="1"/>
        <v>64120</v>
      </c>
      <c r="H34338" s="49">
        <f t="shared" si="2"/>
        <v>64493</v>
      </c>
    </row>
    <row r="34339">
      <c r="A34339" s="48" t="s">
        <v>7595</v>
      </c>
      <c r="B34339" s="38">
        <v>81055.0</v>
      </c>
      <c r="C34339" s="38" t="s">
        <v>38538</v>
      </c>
      <c r="D34339" s="38" t="str">
        <f>IFERROR(__xludf.DUMMYFUNCTION("REGEXREPLACE(C34339,""-\d+(.*)|--\d+(.*)"","""")"),"LES CAMMAZES")</f>
        <v>LES CAMMAZES</v>
      </c>
      <c r="E34339" s="38" t="s">
        <v>231</v>
      </c>
      <c r="F34339" s="38" t="s">
        <v>94</v>
      </c>
      <c r="G34339" s="49" t="str">
        <f t="shared" si="1"/>
        <v>81540</v>
      </c>
      <c r="H34339" s="49">
        <f t="shared" si="2"/>
        <v>81055</v>
      </c>
    </row>
    <row r="34340">
      <c r="A34340" s="48" t="s">
        <v>6622</v>
      </c>
      <c r="B34340" s="38">
        <v>33326.0</v>
      </c>
      <c r="C34340" s="38" t="s">
        <v>4932</v>
      </c>
      <c r="D34340" s="38" t="str">
        <f>IFERROR(__xludf.DUMMYFUNCTION("REGEXREPLACE(C34340,""-\d+(.*)|--\d+(.*)"","""")"),"PLEINE-SELVE")</f>
        <v>PLEINE-SELVE</v>
      </c>
      <c r="E34340" s="38" t="s">
        <v>462</v>
      </c>
      <c r="F34340" s="38" t="s">
        <v>252</v>
      </c>
      <c r="G34340" s="49" t="str">
        <f t="shared" si="1"/>
        <v>33820</v>
      </c>
      <c r="H34340" s="49">
        <f t="shared" si="2"/>
        <v>33326</v>
      </c>
    </row>
    <row r="34341">
      <c r="A34341" s="48" t="s">
        <v>2389</v>
      </c>
      <c r="B34341" s="38">
        <v>64176.0</v>
      </c>
      <c r="C34341" s="38" t="s">
        <v>38539</v>
      </c>
      <c r="D34341" s="38" t="str">
        <f>IFERROR(__xludf.DUMMYFUNCTION("REGEXREPLACE(C34341,""-\d+(.*)|--\d+(.*)"","""")"),"CASTETBON")</f>
        <v>CASTETBON</v>
      </c>
      <c r="E34341" s="38" t="s">
        <v>268</v>
      </c>
      <c r="F34341" s="38" t="s">
        <v>252</v>
      </c>
      <c r="G34341" s="49" t="str">
        <f t="shared" si="1"/>
        <v>64190</v>
      </c>
      <c r="H34341" s="49">
        <f t="shared" si="2"/>
        <v>64176</v>
      </c>
    </row>
    <row r="34342">
      <c r="A34342" s="48" t="s">
        <v>14454</v>
      </c>
      <c r="B34342" s="38">
        <v>14712.0</v>
      </c>
      <c r="C34342" s="38" t="s">
        <v>38540</v>
      </c>
      <c r="D34342" s="38" t="str">
        <f>IFERROR(__xludf.DUMMYFUNCTION("REGEXREPLACE(C34342,""-\d+(.*)|--\d+(.*)"","""")"),"TROARN")</f>
        <v>TROARN</v>
      </c>
      <c r="E34342" s="38" t="s">
        <v>137</v>
      </c>
      <c r="F34342" s="38" t="s">
        <v>138</v>
      </c>
      <c r="G34342" s="49" t="str">
        <f t="shared" si="1"/>
        <v>14670</v>
      </c>
      <c r="H34342" s="49">
        <f t="shared" si="2"/>
        <v>14712</v>
      </c>
    </row>
    <row r="34343">
      <c r="A34343" s="48" t="s">
        <v>256</v>
      </c>
      <c r="B34343" s="38">
        <v>36234.0</v>
      </c>
      <c r="C34343" s="38" t="s">
        <v>38541</v>
      </c>
      <c r="D34343" s="38" t="str">
        <f>IFERROR(__xludf.DUMMYFUNCTION("REGEXREPLACE(C34343,""-\d+(.*)|--\d+(.*)"","""")"),"VERNEUIL-SUR-IGNERAIE")</f>
        <v>VERNEUIL-SUR-IGNERAIE</v>
      </c>
      <c r="E34343" s="38" t="s">
        <v>258</v>
      </c>
      <c r="F34343" s="38" t="s">
        <v>123</v>
      </c>
      <c r="G34343" s="49" t="str">
        <f t="shared" si="1"/>
        <v>36400</v>
      </c>
      <c r="H34343" s="49">
        <f t="shared" si="2"/>
        <v>36234</v>
      </c>
    </row>
    <row r="34344">
      <c r="A34344" s="48" t="s">
        <v>2891</v>
      </c>
      <c r="B34344" s="38">
        <v>12129.0</v>
      </c>
      <c r="C34344" s="38" t="s">
        <v>38542</v>
      </c>
      <c r="D34344" s="38" t="str">
        <f>IFERROR(__xludf.DUMMYFUNCTION("REGEXREPLACE(C34344,""-\d+(.*)|--\d+(.*)"","""")"),"LESTRADE-ET-THOUELS")</f>
        <v>LESTRADE-ET-THOUELS</v>
      </c>
      <c r="E34344" s="38" t="s">
        <v>465</v>
      </c>
      <c r="F34344" s="38" t="s">
        <v>94</v>
      </c>
      <c r="G34344" s="49" t="str">
        <f t="shared" si="1"/>
        <v>12430</v>
      </c>
      <c r="H34344" s="49">
        <f t="shared" si="2"/>
        <v>12129</v>
      </c>
    </row>
    <row r="34345">
      <c r="A34345" s="48" t="s">
        <v>10505</v>
      </c>
      <c r="B34345" s="38">
        <v>76634.0</v>
      </c>
      <c r="C34345" s="38" t="s">
        <v>38543</v>
      </c>
      <c r="D34345" s="38" t="str">
        <f>IFERROR(__xludf.DUMMYFUNCTION("REGEXREPLACE(C34345,""-\d+(.*)|--\d+(.*)"","""")"),"SAINT-PIERRE-DE-MANNEVILLE")</f>
        <v>SAINT-PIERRE-DE-MANNEVILLE</v>
      </c>
      <c r="E34345" s="38" t="s">
        <v>133</v>
      </c>
      <c r="F34345" s="38" t="s">
        <v>134</v>
      </c>
      <c r="G34345" s="49" t="str">
        <f t="shared" si="1"/>
        <v>76113</v>
      </c>
      <c r="H34345" s="49">
        <f t="shared" si="2"/>
        <v>76634</v>
      </c>
    </row>
    <row r="34346">
      <c r="A34346" s="48" t="s">
        <v>8227</v>
      </c>
      <c r="B34346" s="38">
        <v>67269.0</v>
      </c>
      <c r="C34346" s="38" t="s">
        <v>38544</v>
      </c>
      <c r="D34346" s="38" t="str">
        <f>IFERROR(__xludf.DUMMYFUNCTION("REGEXREPLACE(C34346,""-\d+(.*)|--\d+(.*)"","""")"),"LITTENHEIM")</f>
        <v>LITTENHEIM</v>
      </c>
      <c r="E34346" s="38" t="s">
        <v>210</v>
      </c>
      <c r="F34346" s="38" t="s">
        <v>151</v>
      </c>
      <c r="G34346" s="49" t="str">
        <f t="shared" si="1"/>
        <v>67490</v>
      </c>
      <c r="H34346" s="49">
        <f t="shared" si="2"/>
        <v>67269</v>
      </c>
    </row>
    <row r="34347">
      <c r="A34347" s="48" t="s">
        <v>23108</v>
      </c>
      <c r="B34347" s="38">
        <v>67516.0</v>
      </c>
      <c r="C34347" s="38" t="s">
        <v>38545</v>
      </c>
      <c r="D34347" s="38" t="str">
        <f>IFERROR(__xludf.DUMMYFUNCTION("REGEXREPLACE(C34347,""-\d+(.*)|--\d+(.*)"","""")"),"WALTENHEIM-SUR-ZORN")</f>
        <v>WALTENHEIM-SUR-ZORN</v>
      </c>
      <c r="E34347" s="38" t="s">
        <v>210</v>
      </c>
      <c r="F34347" s="38" t="s">
        <v>151</v>
      </c>
      <c r="G34347" s="49" t="str">
        <f t="shared" si="1"/>
        <v>67670</v>
      </c>
      <c r="H34347" s="49">
        <f t="shared" si="2"/>
        <v>67516</v>
      </c>
    </row>
    <row r="34348">
      <c r="A34348" s="48" t="s">
        <v>3080</v>
      </c>
      <c r="B34348" s="38">
        <v>71433.0</v>
      </c>
      <c r="C34348" s="38" t="s">
        <v>38546</v>
      </c>
      <c r="D34348" s="38" t="str">
        <f>IFERROR(__xludf.DUMMYFUNCTION("REGEXREPLACE(C34348,""-\d+(.*)|--\d+(.*)"","""")"),"SAINT-JULIEN-DE-CIVRY")</f>
        <v>SAINT-JULIEN-DE-CIVRY</v>
      </c>
      <c r="E34348" s="38" t="s">
        <v>344</v>
      </c>
      <c r="F34348" s="38" t="s">
        <v>106</v>
      </c>
      <c r="G34348" s="49" t="str">
        <f t="shared" si="1"/>
        <v>71800</v>
      </c>
      <c r="H34348" s="49">
        <f t="shared" si="2"/>
        <v>71433</v>
      </c>
    </row>
    <row r="34349">
      <c r="A34349" s="48" t="s">
        <v>4867</v>
      </c>
      <c r="B34349" s="38">
        <v>82004.0</v>
      </c>
      <c r="C34349" s="38" t="s">
        <v>16705</v>
      </c>
      <c r="D34349" s="38" t="str">
        <f>IFERROR(__xludf.DUMMYFUNCTION("REGEXREPLACE(C34349,""-\d+(.*)|--\d+(.*)"","""")"),"ASQUES")</f>
        <v>ASQUES</v>
      </c>
      <c r="E34349" s="38" t="s">
        <v>570</v>
      </c>
      <c r="F34349" s="38" t="s">
        <v>94</v>
      </c>
      <c r="G34349" s="49" t="str">
        <f t="shared" si="1"/>
        <v>82120</v>
      </c>
      <c r="H34349" s="49">
        <f t="shared" si="2"/>
        <v>82004</v>
      </c>
    </row>
    <row r="34350">
      <c r="A34350" s="48" t="s">
        <v>5956</v>
      </c>
      <c r="B34350" s="38">
        <v>62750.0</v>
      </c>
      <c r="C34350" s="38" t="s">
        <v>38547</v>
      </c>
      <c r="D34350" s="38" t="str">
        <f>IFERROR(__xludf.DUMMYFUNCTION("REGEXREPLACE(C34350,""-\d+(.*)|--\d+(.*)"","""")"),"SAINT-HILAIRE-COTTES")</f>
        <v>SAINT-HILAIRE-COTTES</v>
      </c>
      <c r="E34350" s="38" t="s">
        <v>109</v>
      </c>
      <c r="F34350" s="38" t="s">
        <v>86</v>
      </c>
      <c r="G34350" s="49" t="str">
        <f t="shared" si="1"/>
        <v>62120</v>
      </c>
      <c r="H34350" s="49">
        <f t="shared" si="2"/>
        <v>62750</v>
      </c>
    </row>
    <row r="34351">
      <c r="A34351" s="48" t="s">
        <v>2631</v>
      </c>
      <c r="B34351" s="38">
        <v>64247.0</v>
      </c>
      <c r="C34351" s="38" t="s">
        <v>38548</v>
      </c>
      <c r="D34351" s="38" t="str">
        <f>IFERROR(__xludf.DUMMYFUNCTION("REGEXREPLACE(C34351,""-\d+(.*)|--\d+(.*)"","""")"),"GOTEIN-LIBARRENX")</f>
        <v>GOTEIN-LIBARRENX</v>
      </c>
      <c r="E34351" s="38" t="s">
        <v>268</v>
      </c>
      <c r="F34351" s="38" t="s">
        <v>252</v>
      </c>
      <c r="G34351" s="49" t="str">
        <f t="shared" si="1"/>
        <v>64130</v>
      </c>
      <c r="H34351" s="49">
        <f t="shared" si="2"/>
        <v>64247</v>
      </c>
    </row>
    <row r="34352">
      <c r="A34352" s="48" t="s">
        <v>1947</v>
      </c>
      <c r="B34352" s="38">
        <v>52482.0</v>
      </c>
      <c r="C34352" s="38" t="s">
        <v>38549</v>
      </c>
      <c r="D34352" s="38" t="str">
        <f>IFERROR(__xludf.DUMMYFUNCTION("REGEXREPLACE(C34352,""-\d+(.*)|--\d+(.*)"","""")"),"SOULAUCOURT-SUR-MOUZON")</f>
        <v>SOULAUCOURT-SUR-MOUZON</v>
      </c>
      <c r="E34352" s="38" t="s">
        <v>234</v>
      </c>
      <c r="F34352" s="38" t="s">
        <v>130</v>
      </c>
      <c r="G34352" s="49" t="str">
        <f t="shared" si="1"/>
        <v>52150</v>
      </c>
      <c r="H34352" s="49">
        <f t="shared" si="2"/>
        <v>52482</v>
      </c>
    </row>
    <row r="34353">
      <c r="A34353" s="48" t="s">
        <v>6694</v>
      </c>
      <c r="B34353" s="38">
        <v>16362.0</v>
      </c>
      <c r="C34353" s="38" t="s">
        <v>38550</v>
      </c>
      <c r="D34353" s="38" t="str">
        <f>IFERROR(__xludf.DUMMYFUNCTION("REGEXREPLACE(C34353,""-\d+(.*)|--\d+(.*)"","""")"),"SALLES-LAVALETTE")</f>
        <v>SALLES-LAVALETTE</v>
      </c>
      <c r="E34353" s="38" t="s">
        <v>429</v>
      </c>
      <c r="F34353" s="38" t="s">
        <v>338</v>
      </c>
      <c r="G34353" s="49" t="str">
        <f t="shared" si="1"/>
        <v>16190</v>
      </c>
      <c r="H34353" s="49">
        <f t="shared" si="2"/>
        <v>16362</v>
      </c>
    </row>
    <row r="34354">
      <c r="A34354" s="48" t="s">
        <v>415</v>
      </c>
      <c r="B34354" s="38">
        <v>21222.0</v>
      </c>
      <c r="C34354" s="38" t="s">
        <v>38551</v>
      </c>
      <c r="D34354" s="38" t="str">
        <f>IFERROR(__xludf.DUMMYFUNCTION("REGEXREPLACE(C34354,""-\d+(.*)|--\d+(.*)"","""")"),"CUSSY-LE-CHATEL")</f>
        <v>CUSSY-LE-CHATEL</v>
      </c>
      <c r="E34354" s="38" t="s">
        <v>105</v>
      </c>
      <c r="F34354" s="38" t="s">
        <v>106</v>
      </c>
      <c r="G34354" s="49" t="str">
        <f t="shared" si="1"/>
        <v>21230</v>
      </c>
      <c r="H34354" s="49">
        <f t="shared" si="2"/>
        <v>21222</v>
      </c>
    </row>
    <row r="34355">
      <c r="A34355" s="48" t="s">
        <v>38552</v>
      </c>
      <c r="B34355" s="38">
        <v>69286.0</v>
      </c>
      <c r="C34355" s="38" t="s">
        <v>38553</v>
      </c>
      <c r="D34355" s="38" t="str">
        <f>IFERROR(__xludf.DUMMYFUNCTION("REGEXREPLACE(C34355,""-\d+(.*)|--\d+(.*)"","""")"),"RILLIEUX-LA-PAPE")</f>
        <v>RILLIEUX-LA-PAPE</v>
      </c>
      <c r="E34355" s="38" t="s">
        <v>350</v>
      </c>
      <c r="F34355" s="38" t="s">
        <v>102</v>
      </c>
      <c r="G34355" s="49" t="str">
        <f t="shared" si="1"/>
        <v>69140</v>
      </c>
      <c r="H34355" s="49">
        <f t="shared" si="2"/>
        <v>69286</v>
      </c>
    </row>
    <row r="34356">
      <c r="A34356" s="48" t="s">
        <v>354</v>
      </c>
      <c r="B34356" s="38">
        <v>68001.0</v>
      </c>
      <c r="C34356" s="38" t="s">
        <v>38554</v>
      </c>
      <c r="D34356" s="38" t="str">
        <f>IFERROR(__xludf.DUMMYFUNCTION("REGEXREPLACE(C34356,""-\d+(.*)|--\d+(.*)"","""")"),"ALGOLSHEIM")</f>
        <v>ALGOLSHEIM</v>
      </c>
      <c r="E34356" s="38" t="s">
        <v>150</v>
      </c>
      <c r="F34356" s="38" t="s">
        <v>151</v>
      </c>
      <c r="G34356" s="49" t="str">
        <f t="shared" si="1"/>
        <v>68600</v>
      </c>
      <c r="H34356" s="49">
        <f t="shared" si="2"/>
        <v>68001</v>
      </c>
    </row>
    <row r="34357">
      <c r="A34357" s="48" t="s">
        <v>2506</v>
      </c>
      <c r="B34357" s="38">
        <v>80751.0</v>
      </c>
      <c r="C34357" s="38" t="s">
        <v>38555</v>
      </c>
      <c r="D34357" s="38" t="str">
        <f>IFERROR(__xludf.DUMMYFUNCTION("REGEXREPLACE(C34357,""-\d+(.*)|--\d+(.*)"","""")"),"THENNES")</f>
        <v>THENNES</v>
      </c>
      <c r="E34357" s="38" t="s">
        <v>224</v>
      </c>
      <c r="F34357" s="38" t="s">
        <v>113</v>
      </c>
      <c r="G34357" s="49" t="str">
        <f t="shared" si="1"/>
        <v>80110</v>
      </c>
      <c r="H34357" s="49">
        <f t="shared" si="2"/>
        <v>80751</v>
      </c>
    </row>
    <row r="34358">
      <c r="A34358" s="48" t="s">
        <v>5120</v>
      </c>
      <c r="B34358" s="38">
        <v>91037.0</v>
      </c>
      <c r="C34358" s="38" t="s">
        <v>38556</v>
      </c>
      <c r="D34358" s="38" t="str">
        <f>IFERROR(__xludf.DUMMYFUNCTION("REGEXREPLACE(C34358,""-\d+(.*)|--\d+(.*)"","""")"),"AUVERNAUX")</f>
        <v>AUVERNAUX</v>
      </c>
      <c r="E34358" s="38" t="s">
        <v>756</v>
      </c>
      <c r="F34358" s="38" t="s">
        <v>245</v>
      </c>
      <c r="G34358" s="49" t="str">
        <f t="shared" si="1"/>
        <v>91830</v>
      </c>
      <c r="H34358" s="49">
        <f t="shared" si="2"/>
        <v>91037</v>
      </c>
    </row>
    <row r="34359">
      <c r="A34359" s="48" t="s">
        <v>38557</v>
      </c>
      <c r="B34359" s="38">
        <v>69089.0</v>
      </c>
      <c r="C34359" s="38" t="s">
        <v>2945</v>
      </c>
      <c r="D34359" s="38" t="str">
        <f>IFERROR(__xludf.DUMMYFUNCTION("REGEXREPLACE(C34359,""-\d+(.*)|--\d+(.*)"","""")"),"FRANCHEVILLE")</f>
        <v>FRANCHEVILLE</v>
      </c>
      <c r="E34359" s="38" t="s">
        <v>350</v>
      </c>
      <c r="F34359" s="38" t="s">
        <v>102</v>
      </c>
      <c r="G34359" s="49" t="str">
        <f t="shared" si="1"/>
        <v>69340</v>
      </c>
      <c r="H34359" s="49">
        <f t="shared" si="2"/>
        <v>69089</v>
      </c>
    </row>
    <row r="34360">
      <c r="A34360" s="48" t="s">
        <v>6168</v>
      </c>
      <c r="B34360" s="38">
        <v>16105.0</v>
      </c>
      <c r="C34360" s="38" t="s">
        <v>38558</v>
      </c>
      <c r="D34360" s="38" t="str">
        <f>IFERROR(__xludf.DUMMYFUNCTION("REGEXREPLACE(C34360,""-\d+(.*)|--\d+(.*)"","""")"),"CONDEON")</f>
        <v>CONDEON</v>
      </c>
      <c r="E34360" s="38" t="s">
        <v>429</v>
      </c>
      <c r="F34360" s="38" t="s">
        <v>338</v>
      </c>
      <c r="G34360" s="49" t="str">
        <f t="shared" si="1"/>
        <v>16360</v>
      </c>
      <c r="H34360" s="49">
        <f t="shared" si="2"/>
        <v>16105</v>
      </c>
    </row>
    <row r="34361">
      <c r="A34361" s="48" t="s">
        <v>11804</v>
      </c>
      <c r="B34361" s="38">
        <v>85117.0</v>
      </c>
      <c r="C34361" s="38" t="s">
        <v>38559</v>
      </c>
      <c r="D34361" s="38" t="str">
        <f>IFERROR(__xludf.DUMMYFUNCTION("REGEXREPLACE(C34361,""-\d+(.*)|--\d+(.*)"","""")"),"LAIROUX")</f>
        <v>LAIROUX</v>
      </c>
      <c r="E34361" s="38" t="s">
        <v>179</v>
      </c>
      <c r="F34361" s="38" t="s">
        <v>180</v>
      </c>
      <c r="G34361" s="49" t="str">
        <f t="shared" si="1"/>
        <v>85400</v>
      </c>
      <c r="H34361" s="49">
        <f t="shared" si="2"/>
        <v>85117</v>
      </c>
    </row>
    <row r="34362">
      <c r="A34362" s="48" t="s">
        <v>11166</v>
      </c>
      <c r="B34362" s="38">
        <v>55216.0</v>
      </c>
      <c r="C34362" s="38" t="s">
        <v>38560</v>
      </c>
      <c r="D34362" s="38" t="str">
        <f>IFERROR(__xludf.DUMMYFUNCTION("REGEXREPLACE(C34362,""-\d+(.*)|--\d+(.*)"","""")"),"GOURAINCOURT")</f>
        <v>GOURAINCOURT</v>
      </c>
      <c r="E34362" s="38" t="s">
        <v>322</v>
      </c>
      <c r="F34362" s="38" t="s">
        <v>195</v>
      </c>
      <c r="G34362" s="49" t="str">
        <f t="shared" si="1"/>
        <v>55230</v>
      </c>
      <c r="H34362" s="49">
        <f t="shared" si="2"/>
        <v>55216</v>
      </c>
    </row>
    <row r="34363">
      <c r="A34363" s="48" t="s">
        <v>8434</v>
      </c>
      <c r="B34363" s="38">
        <v>41188.0</v>
      </c>
      <c r="C34363" s="38" t="s">
        <v>38561</v>
      </c>
      <c r="D34363" s="38" t="str">
        <f>IFERROR(__xludf.DUMMYFUNCTION("REGEXREPLACE(C34363,""-\d+(.*)|--\d+(.*)"","""")"),"RHODON")</f>
        <v>RHODON</v>
      </c>
      <c r="E34363" s="38" t="s">
        <v>188</v>
      </c>
      <c r="F34363" s="38" t="s">
        <v>123</v>
      </c>
      <c r="G34363" s="49" t="str">
        <f t="shared" si="1"/>
        <v>41290</v>
      </c>
      <c r="H34363" s="49">
        <f t="shared" si="2"/>
        <v>41188</v>
      </c>
    </row>
    <row r="34364">
      <c r="A34364" s="48" t="s">
        <v>4181</v>
      </c>
      <c r="B34364" s="38">
        <v>89377.0</v>
      </c>
      <c r="C34364" s="38" t="s">
        <v>38562</v>
      </c>
      <c r="D34364" s="38" t="str">
        <f>IFERROR(__xludf.DUMMYFUNCTION("REGEXREPLACE(C34364,""-\d+(.*)|--\d+(.*)"","""")"),"SAUVIGNY-LE-BEUREAL")</f>
        <v>SAUVIGNY-LE-BEUREAL</v>
      </c>
      <c r="E34364" s="38" t="s">
        <v>275</v>
      </c>
      <c r="F34364" s="38" t="s">
        <v>106</v>
      </c>
      <c r="G34364" s="49" t="str">
        <f t="shared" si="1"/>
        <v>89420</v>
      </c>
      <c r="H34364" s="49">
        <f t="shared" si="2"/>
        <v>89377</v>
      </c>
    </row>
    <row r="34365">
      <c r="A34365" s="48" t="s">
        <v>2292</v>
      </c>
      <c r="B34365" s="38">
        <v>76756.0</v>
      </c>
      <c r="C34365" s="38" t="s">
        <v>38563</v>
      </c>
      <c r="D34365" s="38" t="str">
        <f>IFERROR(__xludf.DUMMYFUNCTION("REGEXREPLACE(C34365,""-\d+(.*)|--\d+(.*)"","""")"),"YQUEBEUF")</f>
        <v>YQUEBEUF</v>
      </c>
      <c r="E34365" s="38" t="s">
        <v>133</v>
      </c>
      <c r="F34365" s="38" t="s">
        <v>134</v>
      </c>
      <c r="G34365" s="49" t="str">
        <f t="shared" si="1"/>
        <v>76690</v>
      </c>
      <c r="H34365" s="49">
        <f t="shared" si="2"/>
        <v>76756</v>
      </c>
    </row>
    <row r="34366">
      <c r="A34366" s="48" t="s">
        <v>9632</v>
      </c>
      <c r="B34366" s="38">
        <v>28150.0</v>
      </c>
      <c r="C34366" s="38" t="s">
        <v>38564</v>
      </c>
      <c r="D34366" s="38" t="str">
        <f>IFERROR(__xludf.DUMMYFUNCTION("REGEXREPLACE(C34366,""-\d+(.*)|--\d+(.*)"","""")"),"LA FERTE-VILLENEUIL")</f>
        <v>LA FERTE-VILLENEUIL</v>
      </c>
      <c r="E34366" s="38" t="s">
        <v>300</v>
      </c>
      <c r="F34366" s="38" t="s">
        <v>123</v>
      </c>
      <c r="G34366" s="49" t="str">
        <f t="shared" si="1"/>
        <v>28220</v>
      </c>
      <c r="H34366" s="49">
        <f t="shared" si="2"/>
        <v>28150</v>
      </c>
    </row>
    <row r="34367">
      <c r="A34367" s="48" t="s">
        <v>2042</v>
      </c>
      <c r="B34367" s="38">
        <v>80481.0</v>
      </c>
      <c r="C34367" s="38" t="s">
        <v>38565</v>
      </c>
      <c r="D34367" s="38" t="str">
        <f>IFERROR(__xludf.DUMMYFUNCTION("REGEXREPLACE(C34367,""-\d+(.*)|--\d+(.*)"","""")"),"LIHONS")</f>
        <v>LIHONS</v>
      </c>
      <c r="E34367" s="38" t="s">
        <v>224</v>
      </c>
      <c r="F34367" s="38" t="s">
        <v>113</v>
      </c>
      <c r="G34367" s="49" t="str">
        <f t="shared" si="1"/>
        <v>80320</v>
      </c>
      <c r="H34367" s="49">
        <f t="shared" si="2"/>
        <v>80481</v>
      </c>
    </row>
    <row r="34368">
      <c r="A34368" s="48" t="s">
        <v>3026</v>
      </c>
      <c r="B34368" s="38">
        <v>2033.0</v>
      </c>
      <c r="C34368" s="38" t="s">
        <v>38566</v>
      </c>
      <c r="D34368" s="38" t="str">
        <f>IFERROR(__xludf.DUMMYFUNCTION("REGEXREPLACE(C34368,""-\d+(.*)|--\d+(.*)"","""")"),"AUBIGNY-EN-LAONNOIS")</f>
        <v>AUBIGNY-EN-LAONNOIS</v>
      </c>
      <c r="E34368" s="38" t="s">
        <v>191</v>
      </c>
      <c r="F34368" s="38" t="s">
        <v>113</v>
      </c>
      <c r="G34368" s="49" t="str">
        <f t="shared" si="1"/>
        <v>02820</v>
      </c>
      <c r="H34368" s="49" t="str">
        <f t="shared" si="2"/>
        <v>02033</v>
      </c>
    </row>
    <row r="34369">
      <c r="A34369" s="48" t="s">
        <v>1074</v>
      </c>
      <c r="B34369" s="38">
        <v>27024.0</v>
      </c>
      <c r="C34369" s="38" t="s">
        <v>38567</v>
      </c>
      <c r="D34369" s="38" t="str">
        <f>IFERROR(__xludf.DUMMYFUNCTION("REGEXREPLACE(C34369,""-\d+(.*)|--\d+(.*)"","""")"),"LE RONCENAY-AUTHENAY")</f>
        <v>LE RONCENAY-AUTHENAY</v>
      </c>
      <c r="E34369" s="38" t="s">
        <v>241</v>
      </c>
      <c r="F34369" s="38" t="s">
        <v>134</v>
      </c>
      <c r="G34369" s="49" t="str">
        <f t="shared" si="1"/>
        <v>27240</v>
      </c>
      <c r="H34369" s="49">
        <f t="shared" si="2"/>
        <v>27024</v>
      </c>
    </row>
    <row r="34370">
      <c r="A34370" s="48" t="s">
        <v>10668</v>
      </c>
      <c r="B34370" s="38">
        <v>61387.0</v>
      </c>
      <c r="C34370" s="38" t="s">
        <v>38568</v>
      </c>
      <c r="D34370" s="38" t="str">
        <f>IFERROR(__xludf.DUMMYFUNCTION("REGEXREPLACE(C34370,""-\d+(.*)|--\d+(.*)"","""")"),"SAINT-FRAIMBAULT")</f>
        <v>SAINT-FRAIMBAULT</v>
      </c>
      <c r="E34370" s="38" t="s">
        <v>141</v>
      </c>
      <c r="F34370" s="38" t="s">
        <v>138</v>
      </c>
      <c r="G34370" s="49" t="str">
        <f t="shared" si="1"/>
        <v>61350</v>
      </c>
      <c r="H34370" s="49">
        <f t="shared" si="2"/>
        <v>61387</v>
      </c>
    </row>
    <row r="34371">
      <c r="A34371" s="48" t="s">
        <v>3662</v>
      </c>
      <c r="B34371" s="38">
        <v>80828.0</v>
      </c>
      <c r="C34371" s="38" t="s">
        <v>38569</v>
      </c>
      <c r="D34371" s="38" t="str">
        <f>IFERROR(__xludf.DUMMYFUNCTION("REGEXREPLACE(C34371,""-\d+(.*)|--\d+(.*)"","""")"),"WOIREL")</f>
        <v>WOIREL</v>
      </c>
      <c r="E34371" s="38" t="s">
        <v>224</v>
      </c>
      <c r="F34371" s="38" t="s">
        <v>113</v>
      </c>
      <c r="G34371" s="49" t="str">
        <f t="shared" si="1"/>
        <v>80140</v>
      </c>
      <c r="H34371" s="49">
        <f t="shared" si="2"/>
        <v>80828</v>
      </c>
    </row>
    <row r="34372">
      <c r="A34372" s="48" t="s">
        <v>7566</v>
      </c>
      <c r="B34372" s="38">
        <v>45116.0</v>
      </c>
      <c r="C34372" s="38" t="s">
        <v>16989</v>
      </c>
      <c r="D34372" s="38" t="str">
        <f>IFERROR(__xludf.DUMMYFUNCTION("REGEXREPLACE(C34372,""-\d+(.*)|--\d+(.*)"","""")"),"CRAVANT")</f>
        <v>CRAVANT</v>
      </c>
      <c r="E34372" s="38" t="s">
        <v>122</v>
      </c>
      <c r="F34372" s="38" t="s">
        <v>123</v>
      </c>
      <c r="G34372" s="49" t="str">
        <f t="shared" si="1"/>
        <v>45190</v>
      </c>
      <c r="H34372" s="49">
        <f t="shared" si="2"/>
        <v>45116</v>
      </c>
    </row>
    <row r="34373">
      <c r="A34373" s="48" t="s">
        <v>3945</v>
      </c>
      <c r="B34373" s="38">
        <v>34291.0</v>
      </c>
      <c r="C34373" s="38" t="s">
        <v>38570</v>
      </c>
      <c r="D34373" s="38" t="str">
        <f>IFERROR(__xludf.DUMMYFUNCTION("REGEXREPLACE(C34373,""-\d+(.*)|--\d+(.*)"","""")"),"SAINT-VINCENT-D'OLARGUES")</f>
        <v>SAINT-VINCENT-D'OLARGUES</v>
      </c>
      <c r="E34373" s="38" t="s">
        <v>118</v>
      </c>
      <c r="F34373" s="38" t="s">
        <v>119</v>
      </c>
      <c r="G34373" s="49" t="str">
        <f t="shared" si="1"/>
        <v>34390</v>
      </c>
      <c r="H34373" s="49">
        <f t="shared" si="2"/>
        <v>34291</v>
      </c>
    </row>
    <row r="34374">
      <c r="A34374" s="48" t="s">
        <v>12619</v>
      </c>
      <c r="B34374" s="38">
        <v>24070.0</v>
      </c>
      <c r="C34374" s="38" t="s">
        <v>38571</v>
      </c>
      <c r="D34374" s="38" t="str">
        <f>IFERROR(__xludf.DUMMYFUNCTION("REGEXREPLACE(C34374,""-\d+(.*)|--\d+(.*)"","""")"),"BUSSEROLLES")</f>
        <v>BUSSEROLLES</v>
      </c>
      <c r="E34374" s="38" t="s">
        <v>261</v>
      </c>
      <c r="F34374" s="38" t="s">
        <v>252</v>
      </c>
      <c r="G34374" s="49" t="str">
        <f t="shared" si="1"/>
        <v>24360</v>
      </c>
      <c r="H34374" s="49">
        <f t="shared" si="2"/>
        <v>24070</v>
      </c>
    </row>
    <row r="34375">
      <c r="A34375" s="48" t="s">
        <v>29730</v>
      </c>
      <c r="B34375" s="38">
        <v>37182.0</v>
      </c>
      <c r="C34375" s="38" t="s">
        <v>38572</v>
      </c>
      <c r="D34375" s="38" t="str">
        <f>IFERROR(__xludf.DUMMYFUNCTION("REGEXREPLACE(C34375,""-\d+(.*)|--\d+(.*)"","""")"),"PERNAY")</f>
        <v>PERNAY</v>
      </c>
      <c r="E34375" s="38" t="s">
        <v>205</v>
      </c>
      <c r="F34375" s="38" t="s">
        <v>123</v>
      </c>
      <c r="G34375" s="49" t="str">
        <f t="shared" si="1"/>
        <v>37230</v>
      </c>
      <c r="H34375" s="49">
        <f t="shared" si="2"/>
        <v>37182</v>
      </c>
    </row>
    <row r="34376">
      <c r="A34376" s="48" t="s">
        <v>1218</v>
      </c>
      <c r="B34376" s="38">
        <v>9120.0</v>
      </c>
      <c r="C34376" s="38" t="s">
        <v>17576</v>
      </c>
      <c r="D34376" s="38" t="str">
        <f>IFERROR(__xludf.DUMMYFUNCTION("REGEXREPLACE(C34376,""-\d+(.*)|--\d+(.*)"","""")"),"FABAS")</f>
        <v>FABAS</v>
      </c>
      <c r="E34376" s="38" t="s">
        <v>238</v>
      </c>
      <c r="F34376" s="38" t="s">
        <v>94</v>
      </c>
      <c r="G34376" s="49" t="str">
        <f t="shared" si="1"/>
        <v>09230</v>
      </c>
      <c r="H34376" s="49" t="str">
        <f t="shared" si="2"/>
        <v>09120</v>
      </c>
    </row>
    <row r="34377">
      <c r="A34377" s="48" t="s">
        <v>1091</v>
      </c>
      <c r="B34377" s="38">
        <v>57432.0</v>
      </c>
      <c r="C34377" s="38" t="s">
        <v>38573</v>
      </c>
      <c r="D34377" s="38" t="str">
        <f>IFERROR(__xludf.DUMMYFUNCTION("REGEXREPLACE(C34377,""-\d+(.*)|--\d+(.*)"","""")"),"MAIZERY")</f>
        <v>MAIZERY</v>
      </c>
      <c r="E34377" s="38" t="s">
        <v>303</v>
      </c>
      <c r="F34377" s="38" t="s">
        <v>195</v>
      </c>
      <c r="G34377" s="49" t="str">
        <f t="shared" si="1"/>
        <v>57530</v>
      </c>
      <c r="H34377" s="49">
        <f t="shared" si="2"/>
        <v>57432</v>
      </c>
    </row>
    <row r="34378">
      <c r="A34378" s="48" t="s">
        <v>6104</v>
      </c>
      <c r="B34378" s="38">
        <v>95652.0</v>
      </c>
      <c r="C34378" s="38" t="s">
        <v>38574</v>
      </c>
      <c r="D34378" s="38" t="str">
        <f>IFERROR(__xludf.DUMMYFUNCTION("REGEXREPLACE(C34378,""-\d+(.*)|--\d+(.*)"","""")"),"VIARMES")</f>
        <v>VIARMES</v>
      </c>
      <c r="E34378" s="38" t="s">
        <v>541</v>
      </c>
      <c r="F34378" s="38" t="s">
        <v>245</v>
      </c>
      <c r="G34378" s="49" t="str">
        <f t="shared" si="1"/>
        <v>95270</v>
      </c>
      <c r="H34378" s="49">
        <f t="shared" si="2"/>
        <v>95652</v>
      </c>
    </row>
    <row r="34379">
      <c r="A34379" s="48" t="s">
        <v>2249</v>
      </c>
      <c r="B34379" s="38">
        <v>14209.0</v>
      </c>
      <c r="C34379" s="38" t="s">
        <v>38575</v>
      </c>
      <c r="D34379" s="38" t="str">
        <f>IFERROR(__xludf.DUMMYFUNCTION("REGEXREPLACE(C34379,""-\d+(.*)|--\d+(.*)"","""")"),"CROUAY")</f>
        <v>CROUAY</v>
      </c>
      <c r="E34379" s="38" t="s">
        <v>137</v>
      </c>
      <c r="F34379" s="38" t="s">
        <v>138</v>
      </c>
      <c r="G34379" s="49" t="str">
        <f t="shared" si="1"/>
        <v>14400</v>
      </c>
      <c r="H34379" s="49">
        <f t="shared" si="2"/>
        <v>14209</v>
      </c>
    </row>
    <row r="34380">
      <c r="A34380" s="48" t="s">
        <v>3590</v>
      </c>
      <c r="B34380" s="38">
        <v>76534.0</v>
      </c>
      <c r="C34380" s="38" t="s">
        <v>38576</v>
      </c>
      <c r="D34380" s="38" t="str">
        <f>IFERROR(__xludf.DUMMYFUNCTION("REGEXREPLACE(C34380,""-\d+(.*)|--\d+(.*)"","""")"),"ROLLEVILLE")</f>
        <v>ROLLEVILLE</v>
      </c>
      <c r="E34380" s="38" t="s">
        <v>133</v>
      </c>
      <c r="F34380" s="38" t="s">
        <v>134</v>
      </c>
      <c r="G34380" s="49" t="str">
        <f t="shared" si="1"/>
        <v>76133</v>
      </c>
      <c r="H34380" s="49">
        <f t="shared" si="2"/>
        <v>76534</v>
      </c>
    </row>
    <row r="34381">
      <c r="A34381" s="48" t="s">
        <v>7736</v>
      </c>
      <c r="B34381" s="38">
        <v>11342.0</v>
      </c>
      <c r="C34381" s="38" t="s">
        <v>38577</v>
      </c>
      <c r="D34381" s="38" t="str">
        <f>IFERROR(__xludf.DUMMYFUNCTION("REGEXREPLACE(C34381,""-\d+(.*)|--\d+(.*)"","""")"),"SAINT-FRICHOUX")</f>
        <v>SAINT-FRICHOUX</v>
      </c>
      <c r="E34381" s="38" t="s">
        <v>278</v>
      </c>
      <c r="F34381" s="38" t="s">
        <v>119</v>
      </c>
      <c r="G34381" s="49" t="str">
        <f t="shared" si="1"/>
        <v>11800</v>
      </c>
      <c r="H34381" s="49">
        <f t="shared" si="2"/>
        <v>11342</v>
      </c>
    </row>
    <row r="34382">
      <c r="A34382" s="48" t="s">
        <v>3603</v>
      </c>
      <c r="B34382" s="38">
        <v>24306.0</v>
      </c>
      <c r="C34382" s="38" t="s">
        <v>38578</v>
      </c>
      <c r="D34382" s="38" t="str">
        <f>IFERROR(__xludf.DUMMYFUNCTION("REGEXREPLACE(C34382,""-\d+(.*)|--\d+(.*)"","""")"),"NASTRINGUES")</f>
        <v>NASTRINGUES</v>
      </c>
      <c r="E34382" s="38" t="s">
        <v>261</v>
      </c>
      <c r="F34382" s="38" t="s">
        <v>252</v>
      </c>
      <c r="G34382" s="49" t="str">
        <f t="shared" si="1"/>
        <v>24230</v>
      </c>
      <c r="H34382" s="49">
        <f t="shared" si="2"/>
        <v>24306</v>
      </c>
    </row>
    <row r="34383">
      <c r="A34383" s="48" t="s">
        <v>1746</v>
      </c>
      <c r="B34383" s="38">
        <v>62425.0</v>
      </c>
      <c r="C34383" s="38" t="s">
        <v>38579</v>
      </c>
      <c r="D34383" s="38" t="str">
        <f>IFERROR(__xludf.DUMMYFUNCTION("REGEXREPLACE(C34383,""-\d+(.*)|--\d+(.*)"","""")"),"HENDECOURT-LES-RANSART")</f>
        <v>HENDECOURT-LES-RANSART</v>
      </c>
      <c r="E34383" s="38" t="s">
        <v>109</v>
      </c>
      <c r="F34383" s="38" t="s">
        <v>86</v>
      </c>
      <c r="G34383" s="49" t="str">
        <f t="shared" si="1"/>
        <v>62175</v>
      </c>
      <c r="H34383" s="49">
        <f t="shared" si="2"/>
        <v>62425</v>
      </c>
    </row>
    <row r="34384">
      <c r="A34384" s="48" t="s">
        <v>1396</v>
      </c>
      <c r="B34384" s="38">
        <v>29225.0</v>
      </c>
      <c r="C34384" s="38" t="s">
        <v>38580</v>
      </c>
      <c r="D34384" s="38" t="str">
        <f>IFERROR(__xludf.DUMMYFUNCTION("REGEXREPLACE(C34384,""-\d+(.*)|--\d+(.*)"","""")"),"POULDREUZIC")</f>
        <v>POULDREUZIC</v>
      </c>
      <c r="E34384" s="38" t="s">
        <v>176</v>
      </c>
      <c r="F34384" s="38" t="s">
        <v>90</v>
      </c>
      <c r="G34384" s="49" t="str">
        <f t="shared" si="1"/>
        <v>29710</v>
      </c>
      <c r="H34384" s="49">
        <f t="shared" si="2"/>
        <v>29225</v>
      </c>
    </row>
    <row r="34385">
      <c r="A34385" s="48" t="s">
        <v>2521</v>
      </c>
      <c r="B34385" s="38">
        <v>28188.0</v>
      </c>
      <c r="C34385" s="38" t="s">
        <v>38581</v>
      </c>
      <c r="D34385" s="38" t="str">
        <f>IFERROR(__xludf.DUMMYFUNCTION("REGEXREPLACE(C34385,""-\d+(.*)|--\d+(.*)"","""")"),"LE GUE-DE-LONGROI")</f>
        <v>LE GUE-DE-LONGROI</v>
      </c>
      <c r="E34385" s="38" t="s">
        <v>300</v>
      </c>
      <c r="F34385" s="38" t="s">
        <v>123</v>
      </c>
      <c r="G34385" s="49" t="str">
        <f t="shared" si="1"/>
        <v>28700</v>
      </c>
      <c r="H34385" s="49">
        <f t="shared" si="2"/>
        <v>28188</v>
      </c>
    </row>
    <row r="34386">
      <c r="A34386" s="48" t="s">
        <v>9044</v>
      </c>
      <c r="B34386" s="38">
        <v>32176.0</v>
      </c>
      <c r="C34386" s="38" t="s">
        <v>20007</v>
      </c>
      <c r="D34386" s="38" t="str">
        <f>IFERROR(__xludf.DUMMYFUNCTION("REGEXREPLACE(C34386,""-\d+(.*)|--\d+(.*)"","""")"),"LAGARDE")</f>
        <v>LAGARDE</v>
      </c>
      <c r="E34386" s="38" t="s">
        <v>440</v>
      </c>
      <c r="F34386" s="38" t="s">
        <v>94</v>
      </c>
      <c r="G34386" s="49" t="str">
        <f t="shared" si="1"/>
        <v>32700</v>
      </c>
      <c r="H34386" s="49">
        <f t="shared" si="2"/>
        <v>32176</v>
      </c>
    </row>
    <row r="34387">
      <c r="A34387" s="48" t="s">
        <v>2128</v>
      </c>
      <c r="B34387" s="38">
        <v>2058.0</v>
      </c>
      <c r="C34387" s="38" t="s">
        <v>18128</v>
      </c>
      <c r="D34387" s="38" t="str">
        <f>IFERROR(__xludf.DUMMYFUNCTION("REGEXREPLACE(C34387,""-\d+(.*)|--\d+(.*)"","""")"),"BEAURIEUX")</f>
        <v>BEAURIEUX</v>
      </c>
      <c r="E34387" s="38" t="s">
        <v>191</v>
      </c>
      <c r="F34387" s="38" t="s">
        <v>113</v>
      </c>
      <c r="G34387" s="49" t="str">
        <f t="shared" si="1"/>
        <v>02160</v>
      </c>
      <c r="H34387" s="49" t="str">
        <f t="shared" si="2"/>
        <v>02058</v>
      </c>
    </row>
    <row r="34388">
      <c r="A34388" s="48" t="s">
        <v>1317</v>
      </c>
      <c r="B34388" s="38">
        <v>8132.0</v>
      </c>
      <c r="C34388" s="38" t="s">
        <v>38582</v>
      </c>
      <c r="D34388" s="38" t="str">
        <f>IFERROR(__xludf.DUMMYFUNCTION("REGEXREPLACE(C34388,""-\d+(.*)|--\d+(.*)"","""")"),"CORNY-MACHEROMENIL")</f>
        <v>CORNY-MACHEROMENIL</v>
      </c>
      <c r="E34388" s="38" t="s">
        <v>327</v>
      </c>
      <c r="F34388" s="38" t="s">
        <v>130</v>
      </c>
      <c r="G34388" s="49" t="str">
        <f t="shared" si="1"/>
        <v>08270</v>
      </c>
      <c r="H34388" s="49" t="str">
        <f t="shared" si="2"/>
        <v>08132</v>
      </c>
    </row>
    <row r="34389">
      <c r="A34389" s="48" t="s">
        <v>8587</v>
      </c>
      <c r="B34389" s="38">
        <v>66193.0</v>
      </c>
      <c r="C34389" s="38" t="s">
        <v>38583</v>
      </c>
      <c r="D34389" s="38" t="str">
        <f>IFERROR(__xludf.DUMMYFUNCTION("REGEXREPLACE(C34389,""-\d+(.*)|--\d+(.*)"","""")"),"SERDINYA")</f>
        <v>SERDINYA</v>
      </c>
      <c r="E34389" s="38" t="s">
        <v>248</v>
      </c>
      <c r="F34389" s="38" t="s">
        <v>119</v>
      </c>
      <c r="G34389" s="49" t="str">
        <f t="shared" si="1"/>
        <v>66360</v>
      </c>
      <c r="H34389" s="49">
        <f t="shared" si="2"/>
        <v>66193</v>
      </c>
    </row>
    <row r="34390">
      <c r="A34390" s="48" t="s">
        <v>1364</v>
      </c>
      <c r="B34390" s="38">
        <v>64321.0</v>
      </c>
      <c r="C34390" s="38" t="s">
        <v>38584</v>
      </c>
      <c r="D34390" s="38" t="str">
        <f>IFERROR(__xludf.DUMMYFUNCTION("REGEXREPLACE(C34390,""-\d+(.*)|--\d+(.*)"","""")"),"LASCLAVERIES")</f>
        <v>LASCLAVERIES</v>
      </c>
      <c r="E34390" s="38" t="s">
        <v>268</v>
      </c>
      <c r="F34390" s="38" t="s">
        <v>252</v>
      </c>
      <c r="G34390" s="49" t="str">
        <f t="shared" si="1"/>
        <v>64450</v>
      </c>
      <c r="H34390" s="49">
        <f t="shared" si="2"/>
        <v>64321</v>
      </c>
    </row>
    <row r="34391">
      <c r="A34391" s="48" t="s">
        <v>6168</v>
      </c>
      <c r="B34391" s="38">
        <v>16053.0</v>
      </c>
      <c r="C34391" s="38" t="s">
        <v>38585</v>
      </c>
      <c r="D34391" s="38" t="str">
        <f>IFERROR(__xludf.DUMMYFUNCTION("REGEXREPLACE(C34391,""-\d+(.*)|--\d+(.*)"","""")"),"BORS (CANTON DE BAIGNES-SAINTE-RADEGONDE)")</f>
        <v>BORS (CANTON DE BAIGNES-SAINTE-RADEGONDE)</v>
      </c>
      <c r="E34391" s="38" t="s">
        <v>429</v>
      </c>
      <c r="F34391" s="38" t="s">
        <v>338</v>
      </c>
      <c r="G34391" s="49" t="str">
        <f t="shared" si="1"/>
        <v>16360</v>
      </c>
      <c r="H34391" s="49">
        <f t="shared" si="2"/>
        <v>16053</v>
      </c>
    </row>
    <row r="34392">
      <c r="A34392" s="48" t="s">
        <v>33243</v>
      </c>
      <c r="B34392" s="38">
        <v>44021.0</v>
      </c>
      <c r="C34392" s="38" t="s">
        <v>38586</v>
      </c>
      <c r="D34392" s="38" t="str">
        <f>IFERROR(__xludf.DUMMYFUNCTION("REGEXREPLACE(C34392,""-\d+(.*)|--\d+(.*)"","""")"),"BOURGNEUF-EN-RETZ")</f>
        <v>BOURGNEUF-EN-RETZ</v>
      </c>
      <c r="E34392" s="38" t="s">
        <v>759</v>
      </c>
      <c r="F34392" s="38" t="s">
        <v>180</v>
      </c>
      <c r="G34392" s="49" t="str">
        <f t="shared" si="1"/>
        <v>44580</v>
      </c>
      <c r="H34392" s="49">
        <f t="shared" si="2"/>
        <v>44021</v>
      </c>
    </row>
    <row r="34393">
      <c r="A34393" s="48" t="s">
        <v>1603</v>
      </c>
      <c r="B34393" s="38">
        <v>25147.0</v>
      </c>
      <c r="C34393" s="38" t="s">
        <v>38587</v>
      </c>
      <c r="D34393" s="38" t="str">
        <f>IFERROR(__xludf.DUMMYFUNCTION("REGEXREPLACE(C34393,""-\d+(.*)|--\d+(.*)"","""")"),"CHEMAUDIN")</f>
        <v>CHEMAUDIN</v>
      </c>
      <c r="E34393" s="38" t="s">
        <v>213</v>
      </c>
      <c r="F34393" s="38" t="s">
        <v>214</v>
      </c>
      <c r="G34393" s="49" t="str">
        <f t="shared" si="1"/>
        <v>25320</v>
      </c>
      <c r="H34393" s="49">
        <f t="shared" si="2"/>
        <v>25147</v>
      </c>
    </row>
    <row r="34394">
      <c r="A34394" s="48" t="s">
        <v>13012</v>
      </c>
      <c r="B34394" s="38">
        <v>68014.0</v>
      </c>
      <c r="C34394" s="38" t="s">
        <v>38588</v>
      </c>
      <c r="D34394" s="38" t="str">
        <f>IFERROR(__xludf.DUMMYFUNCTION("REGEXREPLACE(C34394,""-\d+(.*)|--\d+(.*)"","""")"),"AUBURE")</f>
        <v>AUBURE</v>
      </c>
      <c r="E34394" s="38" t="s">
        <v>150</v>
      </c>
      <c r="F34394" s="38" t="s">
        <v>151</v>
      </c>
      <c r="G34394" s="49" t="str">
        <f t="shared" si="1"/>
        <v>68150</v>
      </c>
      <c r="H34394" s="49">
        <f t="shared" si="2"/>
        <v>68014</v>
      </c>
    </row>
    <row r="34395">
      <c r="A34395" s="48" t="s">
        <v>38050</v>
      </c>
      <c r="B34395" s="38">
        <v>54364.0</v>
      </c>
      <c r="C34395" s="38" t="s">
        <v>38589</v>
      </c>
      <c r="D34395" s="38" t="str">
        <f>IFERROR(__xludf.DUMMYFUNCTION("REGEXREPLACE(C34395,""-\d+(.*)|--\d+(.*)"","""")"),"MEREVILLE")</f>
        <v>MEREVILLE</v>
      </c>
      <c r="E34395" s="38" t="s">
        <v>548</v>
      </c>
      <c r="F34395" s="38" t="s">
        <v>195</v>
      </c>
      <c r="G34395" s="49" t="str">
        <f t="shared" si="1"/>
        <v>54850</v>
      </c>
      <c r="H34395" s="49">
        <f t="shared" si="2"/>
        <v>54364</v>
      </c>
    </row>
    <row r="34396">
      <c r="A34396" s="48" t="s">
        <v>2779</v>
      </c>
      <c r="B34396" s="38">
        <v>80086.0</v>
      </c>
      <c r="C34396" s="38" t="s">
        <v>38590</v>
      </c>
      <c r="D34396" s="38" t="str">
        <f>IFERROR(__xludf.DUMMYFUNCTION("REGEXREPLACE(C34396,""-\d+(.*)|--\d+(.*)"","""")"),"BERNAVILLE")</f>
        <v>BERNAVILLE</v>
      </c>
      <c r="E34396" s="38" t="s">
        <v>224</v>
      </c>
      <c r="F34396" s="38" t="s">
        <v>113</v>
      </c>
      <c r="G34396" s="49" t="str">
        <f t="shared" si="1"/>
        <v>80370</v>
      </c>
      <c r="H34396" s="49">
        <f t="shared" si="2"/>
        <v>80086</v>
      </c>
    </row>
    <row r="34397">
      <c r="A34397" s="48" t="s">
        <v>9018</v>
      </c>
      <c r="B34397" s="38">
        <v>27142.0</v>
      </c>
      <c r="C34397" s="38" t="s">
        <v>38591</v>
      </c>
      <c r="D34397" s="38" t="str">
        <f>IFERROR(__xludf.DUMMYFUNCTION("REGEXREPLACE(C34397,""-\d+(.*)|--\d+(.*)"","""")"),"CHAMPENARD")</f>
        <v>CHAMPENARD</v>
      </c>
      <c r="E34397" s="38" t="s">
        <v>241</v>
      </c>
      <c r="F34397" s="38" t="s">
        <v>134</v>
      </c>
      <c r="G34397" s="49" t="str">
        <f t="shared" si="1"/>
        <v>27600</v>
      </c>
      <c r="H34397" s="49">
        <f t="shared" si="2"/>
        <v>27142</v>
      </c>
    </row>
    <row r="34398">
      <c r="A34398" s="48" t="s">
        <v>1310</v>
      </c>
      <c r="B34398" s="38">
        <v>25028.0</v>
      </c>
      <c r="C34398" s="38" t="s">
        <v>38592</v>
      </c>
      <c r="D34398" s="38" t="str">
        <f>IFERROR(__xludf.DUMMYFUNCTION("REGEXREPLACE(C34398,""-\d+(.*)|--\d+(.*)"","""")"),"ATHOSE")</f>
        <v>ATHOSE</v>
      </c>
      <c r="E34398" s="38" t="s">
        <v>213</v>
      </c>
      <c r="F34398" s="38" t="s">
        <v>214</v>
      </c>
      <c r="G34398" s="49" t="str">
        <f t="shared" si="1"/>
        <v>25580</v>
      </c>
      <c r="H34398" s="49">
        <f t="shared" si="2"/>
        <v>25028</v>
      </c>
    </row>
    <row r="34399">
      <c r="A34399" s="48" t="s">
        <v>5043</v>
      </c>
      <c r="B34399" s="38">
        <v>19127.0</v>
      </c>
      <c r="C34399" s="38" t="s">
        <v>38593</v>
      </c>
      <c r="D34399" s="38" t="str">
        <f>IFERROR(__xludf.DUMMYFUNCTION("REGEXREPLACE(C34399,""-\d+(.*)|--\d+(.*)"","""")"),"MARC-LA-TOUR")</f>
        <v>MARC-LA-TOUR</v>
      </c>
      <c r="E34399" s="38" t="s">
        <v>271</v>
      </c>
      <c r="F34399" s="38" t="s">
        <v>98</v>
      </c>
      <c r="G34399" s="49" t="str">
        <f t="shared" si="1"/>
        <v>19150</v>
      </c>
      <c r="H34399" s="49">
        <f t="shared" si="2"/>
        <v>19127</v>
      </c>
    </row>
    <row r="34400">
      <c r="A34400" s="48" t="s">
        <v>948</v>
      </c>
      <c r="B34400" s="38">
        <v>68085.0</v>
      </c>
      <c r="C34400" s="38" t="s">
        <v>38594</v>
      </c>
      <c r="D34400" s="38" t="str">
        <f>IFERROR(__xludf.DUMMYFUNCTION("REGEXREPLACE(C34400,""-\d+(.*)|--\d+(.*)"","""")"),"ETEIMBES")</f>
        <v>ETEIMBES</v>
      </c>
      <c r="E34400" s="38" t="s">
        <v>150</v>
      </c>
      <c r="F34400" s="38" t="s">
        <v>151</v>
      </c>
      <c r="G34400" s="49" t="str">
        <f t="shared" si="1"/>
        <v>68210</v>
      </c>
      <c r="H34400" s="49">
        <f t="shared" si="2"/>
        <v>68085</v>
      </c>
    </row>
    <row r="34401">
      <c r="A34401" s="48" t="s">
        <v>908</v>
      </c>
      <c r="B34401" s="38">
        <v>41042.0</v>
      </c>
      <c r="C34401" s="38" t="s">
        <v>21326</v>
      </c>
      <c r="D34401" s="38" t="str">
        <f>IFERROR(__xludf.DUMMYFUNCTION("REGEXREPLACE(C34401,""-\d+(.*)|--\d+(.*)"","""")"),"CHATEAUVIEUX")</f>
        <v>CHATEAUVIEUX</v>
      </c>
      <c r="E34401" s="38" t="s">
        <v>188</v>
      </c>
      <c r="F34401" s="38" t="s">
        <v>123</v>
      </c>
      <c r="G34401" s="49" t="str">
        <f t="shared" si="1"/>
        <v>41110</v>
      </c>
      <c r="H34401" s="49">
        <f t="shared" si="2"/>
        <v>41042</v>
      </c>
    </row>
    <row r="34402">
      <c r="A34402" s="48" t="s">
        <v>1796</v>
      </c>
      <c r="B34402" s="38">
        <v>31369.0</v>
      </c>
      <c r="C34402" s="38" t="s">
        <v>38595</v>
      </c>
      <c r="D34402" s="38" t="str">
        <f>IFERROR(__xludf.DUMMYFUNCTION("REGEXREPLACE(C34402,""-\d+(.*)|--\d+(.*)"","""")"),"MONT-DE-GALIE")</f>
        <v>MONT-DE-GALIE</v>
      </c>
      <c r="E34402" s="38" t="s">
        <v>93</v>
      </c>
      <c r="F34402" s="38" t="s">
        <v>94</v>
      </c>
      <c r="G34402" s="49" t="str">
        <f t="shared" si="1"/>
        <v>31510</v>
      </c>
      <c r="H34402" s="49">
        <f t="shared" si="2"/>
        <v>31369</v>
      </c>
    </row>
    <row r="34403">
      <c r="A34403" s="48" t="s">
        <v>4886</v>
      </c>
      <c r="B34403" s="38">
        <v>3180.0</v>
      </c>
      <c r="C34403" s="38" t="s">
        <v>38596</v>
      </c>
      <c r="D34403" s="38" t="str">
        <f>IFERROR(__xludf.DUMMYFUNCTION("REGEXREPLACE(C34403,""-\d+(.*)|--\d+(.*)"","""")"),"MONTBEUGNY")</f>
        <v>MONTBEUGNY</v>
      </c>
      <c r="E34403" s="38" t="s">
        <v>160</v>
      </c>
      <c r="F34403" s="38" t="s">
        <v>161</v>
      </c>
      <c r="G34403" s="49" t="str">
        <f t="shared" si="1"/>
        <v>03340</v>
      </c>
      <c r="H34403" s="49" t="str">
        <f t="shared" si="2"/>
        <v>03180</v>
      </c>
    </row>
    <row r="34404">
      <c r="A34404" s="48" t="s">
        <v>1644</v>
      </c>
      <c r="B34404" s="38">
        <v>21343.0</v>
      </c>
      <c r="C34404" s="38" t="s">
        <v>38597</v>
      </c>
      <c r="D34404" s="38" t="str">
        <f>IFERROR(__xludf.DUMMYFUNCTION("REGEXREPLACE(C34404,""-\d+(.*)|--\d+(.*)"","""")"),"LARREY")</f>
        <v>LARREY</v>
      </c>
      <c r="E34404" s="38" t="s">
        <v>105</v>
      </c>
      <c r="F34404" s="38" t="s">
        <v>106</v>
      </c>
      <c r="G34404" s="49" t="str">
        <f t="shared" si="1"/>
        <v>21330</v>
      </c>
      <c r="H34404" s="49">
        <f t="shared" si="2"/>
        <v>21343</v>
      </c>
    </row>
    <row r="34405">
      <c r="A34405" s="48" t="s">
        <v>566</v>
      </c>
      <c r="B34405" s="38">
        <v>23088.0</v>
      </c>
      <c r="C34405" s="38" t="s">
        <v>38598</v>
      </c>
      <c r="D34405" s="38" t="str">
        <f>IFERROR(__xludf.DUMMYFUNCTION("REGEXREPLACE(C34405,""-\d+(.*)|--\d+(.*)"","""")"),"GARTEMPE")</f>
        <v>GARTEMPE</v>
      </c>
      <c r="E34405" s="38" t="s">
        <v>97</v>
      </c>
      <c r="F34405" s="38" t="s">
        <v>98</v>
      </c>
      <c r="G34405" s="49" t="str">
        <f t="shared" si="1"/>
        <v>23320</v>
      </c>
      <c r="H34405" s="49">
        <f t="shared" si="2"/>
        <v>23088</v>
      </c>
    </row>
    <row r="34406">
      <c r="A34406" s="48" t="s">
        <v>3887</v>
      </c>
      <c r="B34406" s="38">
        <v>84057.0</v>
      </c>
      <c r="C34406" s="38" t="s">
        <v>38599</v>
      </c>
      <c r="D34406" s="38" t="str">
        <f>IFERROR(__xludf.DUMMYFUNCTION("REGEXREPLACE(C34406,""-\d+(.*)|--\d+(.*)"","""")"),"JOUCAS")</f>
        <v>JOUCAS</v>
      </c>
      <c r="E34406" s="38" t="s">
        <v>1026</v>
      </c>
      <c r="F34406" s="38" t="s">
        <v>228</v>
      </c>
      <c r="G34406" s="49" t="str">
        <f t="shared" si="1"/>
        <v>84220</v>
      </c>
      <c r="H34406" s="49">
        <f t="shared" si="2"/>
        <v>84057</v>
      </c>
    </row>
    <row r="34407">
      <c r="A34407" s="48" t="s">
        <v>5370</v>
      </c>
      <c r="B34407" s="38">
        <v>15114.0</v>
      </c>
      <c r="C34407" s="38" t="s">
        <v>18683</v>
      </c>
      <c r="D34407" s="38" t="str">
        <f>IFERROR(__xludf.DUMMYFUNCTION("REGEXREPLACE(C34407,""-\d+(.*)|--\d+(.*)"","""")"),"MARCENAT")</f>
        <v>MARCENAT</v>
      </c>
      <c r="E34407" s="38" t="s">
        <v>632</v>
      </c>
      <c r="F34407" s="38" t="s">
        <v>161</v>
      </c>
      <c r="G34407" s="49" t="str">
        <f t="shared" si="1"/>
        <v>15190</v>
      </c>
      <c r="H34407" s="49">
        <f t="shared" si="2"/>
        <v>15114</v>
      </c>
    </row>
    <row r="34408">
      <c r="A34408" s="48" t="s">
        <v>1742</v>
      </c>
      <c r="B34408" s="38">
        <v>21361.0</v>
      </c>
      <c r="C34408" s="38" t="s">
        <v>21769</v>
      </c>
      <c r="D34408" s="38" t="str">
        <f>IFERROR(__xludf.DUMMYFUNCTION("REGEXREPLACE(C34408,""-\d+(.*)|--\d+(.*)"","""")"),"LUX")</f>
        <v>LUX</v>
      </c>
      <c r="E34408" s="38" t="s">
        <v>105</v>
      </c>
      <c r="F34408" s="38" t="s">
        <v>106</v>
      </c>
      <c r="G34408" s="49" t="str">
        <f t="shared" si="1"/>
        <v>21120</v>
      </c>
      <c r="H34408" s="49">
        <f t="shared" si="2"/>
        <v>21361</v>
      </c>
    </row>
    <row r="34409">
      <c r="A34409" s="48" t="s">
        <v>3321</v>
      </c>
      <c r="B34409" s="38">
        <v>47083.0</v>
      </c>
      <c r="C34409" s="38" t="s">
        <v>38600</v>
      </c>
      <c r="D34409" s="38" t="str">
        <f>IFERROR(__xludf.DUMMYFUNCTION("REGEXREPLACE(C34409,""-\d+(.*)|--\d+(.*)"","""")"),"DOUDRAC")</f>
        <v>DOUDRAC</v>
      </c>
      <c r="E34409" s="38" t="s">
        <v>251</v>
      </c>
      <c r="F34409" s="38" t="s">
        <v>252</v>
      </c>
      <c r="G34409" s="49" t="str">
        <f t="shared" si="1"/>
        <v>47210</v>
      </c>
      <c r="H34409" s="49">
        <f t="shared" si="2"/>
        <v>47083</v>
      </c>
    </row>
    <row r="34410">
      <c r="A34410" s="48" t="s">
        <v>14799</v>
      </c>
      <c r="B34410" s="38">
        <v>54043.0</v>
      </c>
      <c r="C34410" s="38" t="s">
        <v>38601</v>
      </c>
      <c r="D34410" s="38" t="str">
        <f>IFERROR(__xludf.DUMMYFUNCTION("REGEXREPLACE(C34410,""-\d+(.*)|--\d+(.*)"","""")"),"BAINVILLE-SUR-MADON")</f>
        <v>BAINVILLE-SUR-MADON</v>
      </c>
      <c r="E34410" s="38" t="s">
        <v>548</v>
      </c>
      <c r="F34410" s="38" t="s">
        <v>195</v>
      </c>
      <c r="G34410" s="49" t="str">
        <f t="shared" si="1"/>
        <v>54550</v>
      </c>
      <c r="H34410" s="49">
        <f t="shared" si="2"/>
        <v>54043</v>
      </c>
    </row>
    <row r="34411">
      <c r="A34411" s="48" t="s">
        <v>15517</v>
      </c>
      <c r="B34411" s="38">
        <v>41280.0</v>
      </c>
      <c r="C34411" s="38" t="s">
        <v>38602</v>
      </c>
      <c r="D34411" s="38" t="str">
        <f>IFERROR(__xludf.DUMMYFUNCTION("REGEXREPLACE(C34411,""-\d+(.*)|--\d+(.*)"","""")"),"VILLEFRANCHE-SUR-CHER")</f>
        <v>VILLEFRANCHE-SUR-CHER</v>
      </c>
      <c r="E34411" s="38" t="s">
        <v>188</v>
      </c>
      <c r="F34411" s="38" t="s">
        <v>123</v>
      </c>
      <c r="G34411" s="49" t="str">
        <f t="shared" si="1"/>
        <v>41200</v>
      </c>
      <c r="H34411" s="49">
        <f t="shared" si="2"/>
        <v>41280</v>
      </c>
    </row>
    <row r="34412">
      <c r="A34412" s="48" t="s">
        <v>8634</v>
      </c>
      <c r="B34412" s="38">
        <v>1183.0</v>
      </c>
      <c r="C34412" s="38" t="s">
        <v>38603</v>
      </c>
      <c r="D34412" s="38" t="str">
        <f>IFERROR(__xludf.DUMMYFUNCTION("REGEXREPLACE(C34412,""-\d+(.*)|--\d+(.*)"","""")"),"GUEREINS")</f>
        <v>GUEREINS</v>
      </c>
      <c r="E34412" s="38" t="s">
        <v>255</v>
      </c>
      <c r="F34412" s="38" t="s">
        <v>102</v>
      </c>
      <c r="G34412" s="49" t="str">
        <f t="shared" si="1"/>
        <v>01090</v>
      </c>
      <c r="H34412" s="49" t="str">
        <f t="shared" si="2"/>
        <v>01183</v>
      </c>
    </row>
    <row r="34413">
      <c r="A34413" s="48" t="s">
        <v>3831</v>
      </c>
      <c r="B34413" s="38">
        <v>63378.0</v>
      </c>
      <c r="C34413" s="38" t="s">
        <v>209</v>
      </c>
      <c r="D34413" s="38" t="str">
        <f>IFERROR(__xludf.DUMMYFUNCTION("REGEXREPLACE(C34413,""-\d+(.*)|--\d+(.*)"","""")"),"SAINT-MAURICE")</f>
        <v>SAINT-MAURICE</v>
      </c>
      <c r="E34413" s="38" t="s">
        <v>353</v>
      </c>
      <c r="F34413" s="38" t="s">
        <v>161</v>
      </c>
      <c r="G34413" s="49" t="str">
        <f t="shared" si="1"/>
        <v>63270</v>
      </c>
      <c r="H34413" s="49">
        <f t="shared" si="2"/>
        <v>63378</v>
      </c>
    </row>
    <row r="34414">
      <c r="A34414" s="48" t="s">
        <v>796</v>
      </c>
      <c r="B34414" s="38">
        <v>89112.0</v>
      </c>
      <c r="C34414" s="38" t="s">
        <v>38604</v>
      </c>
      <c r="D34414" s="38" t="str">
        <f>IFERROR(__xludf.DUMMYFUNCTION("REGEXREPLACE(C34414,""-\d+(.*)|--\d+(.*)"","""")"),"COLLAN")</f>
        <v>COLLAN</v>
      </c>
      <c r="E34414" s="38" t="s">
        <v>275</v>
      </c>
      <c r="F34414" s="38" t="s">
        <v>106</v>
      </c>
      <c r="G34414" s="49" t="str">
        <f t="shared" si="1"/>
        <v>89700</v>
      </c>
      <c r="H34414" s="49">
        <f t="shared" si="2"/>
        <v>89112</v>
      </c>
    </row>
    <row r="34415">
      <c r="A34415" s="48" t="s">
        <v>6519</v>
      </c>
      <c r="B34415" s="38">
        <v>81234.0</v>
      </c>
      <c r="C34415" s="38" t="s">
        <v>38605</v>
      </c>
      <c r="D34415" s="38" t="str">
        <f>IFERROR(__xludf.DUMMYFUNCTION("REGEXREPLACE(C34415,""-\d+(.*)|--\d+(.*)"","""")"),"ROUSSAYROLLES")</f>
        <v>ROUSSAYROLLES</v>
      </c>
      <c r="E34415" s="38" t="s">
        <v>231</v>
      </c>
      <c r="F34415" s="38" t="s">
        <v>94</v>
      </c>
      <c r="G34415" s="49" t="str">
        <f t="shared" si="1"/>
        <v>81140</v>
      </c>
      <c r="H34415" s="49">
        <f t="shared" si="2"/>
        <v>81234</v>
      </c>
    </row>
    <row r="34416">
      <c r="A34416" s="48" t="s">
        <v>6649</v>
      </c>
      <c r="B34416" s="38">
        <v>18131.0</v>
      </c>
      <c r="C34416" s="38" t="s">
        <v>38606</v>
      </c>
      <c r="D34416" s="38" t="str">
        <f>IFERROR(__xludf.DUMMYFUNCTION("REGEXREPLACE(C34416,""-\d+(.*)|--\d+(.*)"","""")"),"LUGNY-BOURBONNAIS")</f>
        <v>LUGNY-BOURBONNAIS</v>
      </c>
      <c r="E34416" s="38" t="s">
        <v>504</v>
      </c>
      <c r="F34416" s="38" t="s">
        <v>123</v>
      </c>
      <c r="G34416" s="49" t="str">
        <f t="shared" si="1"/>
        <v>18350</v>
      </c>
      <c r="H34416" s="49">
        <f t="shared" si="2"/>
        <v>18131</v>
      </c>
    </row>
    <row r="34417">
      <c r="A34417" s="48" t="s">
        <v>2201</v>
      </c>
      <c r="B34417" s="38">
        <v>32252.0</v>
      </c>
      <c r="C34417" s="38" t="s">
        <v>38607</v>
      </c>
      <c r="D34417" s="38" t="str">
        <f>IFERROR(__xludf.DUMMYFUNCTION("REGEXREPLACE(C34417,""-\d+(.*)|--\d+(.*)"","""")"),"MIELAN")</f>
        <v>MIELAN</v>
      </c>
      <c r="E34417" s="38" t="s">
        <v>440</v>
      </c>
      <c r="F34417" s="38" t="s">
        <v>94</v>
      </c>
      <c r="G34417" s="49" t="str">
        <f t="shared" si="1"/>
        <v>32170</v>
      </c>
      <c r="H34417" s="49">
        <f t="shared" si="2"/>
        <v>32252</v>
      </c>
    </row>
    <row r="34418">
      <c r="A34418" s="48" t="s">
        <v>15728</v>
      </c>
      <c r="B34418" s="38">
        <v>23095.0</v>
      </c>
      <c r="C34418" s="38" t="s">
        <v>38608</v>
      </c>
      <c r="D34418" s="38" t="str">
        <f>IFERROR(__xludf.DUMMYFUNCTION("REGEXREPLACE(C34418,""-\d+(.*)|--\d+(.*)"","""")"),"LE GRAND-BOURG")</f>
        <v>LE GRAND-BOURG</v>
      </c>
      <c r="E34418" s="38" t="s">
        <v>97</v>
      </c>
      <c r="F34418" s="38" t="s">
        <v>98</v>
      </c>
      <c r="G34418" s="49" t="str">
        <f t="shared" si="1"/>
        <v>23240</v>
      </c>
      <c r="H34418" s="49">
        <f t="shared" si="2"/>
        <v>23095</v>
      </c>
    </row>
    <row r="34419">
      <c r="A34419" s="48" t="s">
        <v>9141</v>
      </c>
      <c r="B34419" s="38">
        <v>1423.0</v>
      </c>
      <c r="C34419" s="38" t="s">
        <v>38609</v>
      </c>
      <c r="D34419" s="38" t="str">
        <f>IFERROR(__xludf.DUMMYFUNCTION("REGEXREPLACE(C34419,""-\d+(.*)|--\d+(.*)"","""")"),"TOUSSIEUX")</f>
        <v>TOUSSIEUX</v>
      </c>
      <c r="E34419" s="38" t="s">
        <v>255</v>
      </c>
      <c r="F34419" s="38" t="s">
        <v>102</v>
      </c>
      <c r="G34419" s="49" t="str">
        <f t="shared" si="1"/>
        <v>01600</v>
      </c>
      <c r="H34419" s="49" t="str">
        <f t="shared" si="2"/>
        <v>01423</v>
      </c>
    </row>
    <row r="34420">
      <c r="A34420" s="48" t="s">
        <v>2701</v>
      </c>
      <c r="B34420" s="38">
        <v>17017.0</v>
      </c>
      <c r="C34420" s="38" t="s">
        <v>38610</v>
      </c>
      <c r="D34420" s="38" t="str">
        <f>IFERROR(__xludf.DUMMYFUNCTION("REGEXREPLACE(C34420,""-\d+(.*)|--\d+(.*)"","""")"),"ARCHINGEAY")</f>
        <v>ARCHINGEAY</v>
      </c>
      <c r="E34420" s="38" t="s">
        <v>488</v>
      </c>
      <c r="F34420" s="38" t="s">
        <v>338</v>
      </c>
      <c r="G34420" s="49" t="str">
        <f t="shared" si="1"/>
        <v>17380</v>
      </c>
      <c r="H34420" s="49">
        <f t="shared" si="2"/>
        <v>17017</v>
      </c>
    </row>
    <row r="34421">
      <c r="A34421" s="48" t="s">
        <v>2419</v>
      </c>
      <c r="B34421" s="38">
        <v>58272.0</v>
      </c>
      <c r="C34421" s="38" t="s">
        <v>38611</v>
      </c>
      <c r="D34421" s="38" t="str">
        <f>IFERROR(__xludf.DUMMYFUNCTION("REGEXREPLACE(C34421,""-\d+(.*)|--\d+(.*)"","""")"),"SARDY-LES-EPIRY")</f>
        <v>SARDY-LES-EPIRY</v>
      </c>
      <c r="E34421" s="38" t="s">
        <v>219</v>
      </c>
      <c r="F34421" s="38" t="s">
        <v>106</v>
      </c>
      <c r="G34421" s="49" t="str">
        <f t="shared" si="1"/>
        <v>58800</v>
      </c>
      <c r="H34421" s="49">
        <f t="shared" si="2"/>
        <v>58272</v>
      </c>
    </row>
    <row r="34422">
      <c r="A34422" s="48" t="s">
        <v>5652</v>
      </c>
      <c r="B34422" s="38">
        <v>1413.0</v>
      </c>
      <c r="C34422" s="38" t="s">
        <v>38612</v>
      </c>
      <c r="D34422" s="38" t="str">
        <f>IFERROR(__xludf.DUMMYFUNCTION("REGEXREPLACE(C34422,""-\d+(.*)|--\d+(.*)"","""")"),"SURJOUX")</f>
        <v>SURJOUX</v>
      </c>
      <c r="E34422" s="38" t="s">
        <v>255</v>
      </c>
      <c r="F34422" s="38" t="s">
        <v>102</v>
      </c>
      <c r="G34422" s="49" t="str">
        <f t="shared" si="1"/>
        <v>01420</v>
      </c>
      <c r="H34422" s="49" t="str">
        <f t="shared" si="2"/>
        <v>01413</v>
      </c>
    </row>
    <row r="34423">
      <c r="A34423" s="48" t="s">
        <v>2229</v>
      </c>
      <c r="B34423" s="38">
        <v>64457.0</v>
      </c>
      <c r="C34423" s="38" t="s">
        <v>38613</v>
      </c>
      <c r="D34423" s="38" t="str">
        <f>IFERROR(__xludf.DUMMYFUNCTION("REGEXREPLACE(C34423,""-\d+(.*)|--\d+(.*)"","""")"),"POURSIUGUES-BOUCOUE")</f>
        <v>POURSIUGUES-BOUCOUE</v>
      </c>
      <c r="E34423" s="38" t="s">
        <v>268</v>
      </c>
      <c r="F34423" s="38" t="s">
        <v>252</v>
      </c>
      <c r="G34423" s="49" t="str">
        <f t="shared" si="1"/>
        <v>64410</v>
      </c>
      <c r="H34423" s="49">
        <f t="shared" si="2"/>
        <v>64457</v>
      </c>
    </row>
    <row r="34424">
      <c r="A34424" s="48" t="s">
        <v>8300</v>
      </c>
      <c r="B34424" s="38">
        <v>39333.0</v>
      </c>
      <c r="C34424" s="38" t="s">
        <v>38614</v>
      </c>
      <c r="D34424" s="38" t="str">
        <f>IFERROR(__xludf.DUMMYFUNCTION("REGEXREPLACE(C34424,""-\d+(.*)|--\d+(.*)"","""")"),"MOIRANS-EN-MONTAGNE")</f>
        <v>MOIRANS-EN-MONTAGNE</v>
      </c>
      <c r="E34424" s="38" t="s">
        <v>400</v>
      </c>
      <c r="F34424" s="38" t="s">
        <v>214</v>
      </c>
      <c r="G34424" s="49" t="str">
        <f t="shared" si="1"/>
        <v>39260</v>
      </c>
      <c r="H34424" s="49">
        <f t="shared" si="2"/>
        <v>39333</v>
      </c>
    </row>
    <row r="34425">
      <c r="A34425" s="48" t="s">
        <v>14454</v>
      </c>
      <c r="B34425" s="38">
        <v>14651.0</v>
      </c>
      <c r="C34425" s="38" t="s">
        <v>38615</v>
      </c>
      <c r="D34425" s="38" t="str">
        <f>IFERROR(__xludf.DUMMYFUNCTION("REGEXREPLACE(C34425,""-\d+(.*)|--\d+(.*)"","""")"),"SAINT-PIERRE-DU-JONQUET")</f>
        <v>SAINT-PIERRE-DU-JONQUET</v>
      </c>
      <c r="E34425" s="38" t="s">
        <v>137</v>
      </c>
      <c r="F34425" s="38" t="s">
        <v>138</v>
      </c>
      <c r="G34425" s="49" t="str">
        <f t="shared" si="1"/>
        <v>14670</v>
      </c>
      <c r="H34425" s="49">
        <f t="shared" si="2"/>
        <v>14651</v>
      </c>
    </row>
    <row r="34426">
      <c r="A34426" s="48" t="s">
        <v>16075</v>
      </c>
      <c r="B34426" s="38">
        <v>67325.0</v>
      </c>
      <c r="C34426" s="38" t="s">
        <v>38616</v>
      </c>
      <c r="D34426" s="38" t="str">
        <f>IFERROR(__xludf.DUMMYFUNCTION("REGEXREPLACE(C34426,""-\d+(.*)|--\d+(.*)"","""")"),"NIEDERHASLACH")</f>
        <v>NIEDERHASLACH</v>
      </c>
      <c r="E34426" s="38" t="s">
        <v>210</v>
      </c>
      <c r="F34426" s="38" t="s">
        <v>151</v>
      </c>
      <c r="G34426" s="49" t="str">
        <f t="shared" si="1"/>
        <v>67280</v>
      </c>
      <c r="H34426" s="49">
        <f t="shared" si="2"/>
        <v>67325</v>
      </c>
    </row>
    <row r="34427">
      <c r="A34427" s="48" t="s">
        <v>38617</v>
      </c>
      <c r="B34427" s="38">
        <v>30185.0</v>
      </c>
      <c r="C34427" s="38" t="s">
        <v>38618</v>
      </c>
      <c r="D34427" s="38" t="str">
        <f>IFERROR(__xludf.DUMMYFUNCTION("REGEXREPLACE(C34427,""-\d+(.*)|--\d+(.*)"","""")"),"MUS")</f>
        <v>MUS</v>
      </c>
      <c r="E34427" s="38" t="s">
        <v>526</v>
      </c>
      <c r="F34427" s="38" t="s">
        <v>119</v>
      </c>
      <c r="G34427" s="49" t="str">
        <f t="shared" si="1"/>
        <v>30121</v>
      </c>
      <c r="H34427" s="49">
        <f t="shared" si="2"/>
        <v>30185</v>
      </c>
    </row>
    <row r="34428">
      <c r="A34428" s="48" t="s">
        <v>2577</v>
      </c>
      <c r="B34428" s="38">
        <v>34165.0</v>
      </c>
      <c r="C34428" s="38" t="s">
        <v>38619</v>
      </c>
      <c r="D34428" s="38" t="str">
        <f>IFERROR(__xludf.DUMMYFUNCTION("REGEXREPLACE(C34428,""-\d+(.*)|--\d+(.*)"","""")"),"MONTBAZIN")</f>
        <v>MONTBAZIN</v>
      </c>
      <c r="E34428" s="38" t="s">
        <v>118</v>
      </c>
      <c r="F34428" s="38" t="s">
        <v>119</v>
      </c>
      <c r="G34428" s="49" t="str">
        <f t="shared" si="1"/>
        <v>34560</v>
      </c>
      <c r="H34428" s="49">
        <f t="shared" si="2"/>
        <v>34165</v>
      </c>
    </row>
    <row r="34429">
      <c r="A34429" s="48" t="s">
        <v>7852</v>
      </c>
      <c r="B34429" s="38">
        <v>38167.0</v>
      </c>
      <c r="C34429" s="38" t="s">
        <v>38620</v>
      </c>
      <c r="D34429" s="38" t="str">
        <f>IFERROR(__xludf.DUMMYFUNCTION("REGEXREPLACE(C34429,""-\d+(.*)|--\d+(.*)"","""")"),"FLACHERES")</f>
        <v>FLACHERES</v>
      </c>
      <c r="E34429" s="38" t="s">
        <v>101</v>
      </c>
      <c r="F34429" s="38" t="s">
        <v>102</v>
      </c>
      <c r="G34429" s="49" t="str">
        <f t="shared" si="1"/>
        <v>38690</v>
      </c>
      <c r="H34429" s="49">
        <f t="shared" si="2"/>
        <v>38167</v>
      </c>
    </row>
    <row r="34430">
      <c r="A34430" s="48" t="s">
        <v>2655</v>
      </c>
      <c r="B34430" s="38">
        <v>52027.0</v>
      </c>
      <c r="C34430" s="38" t="s">
        <v>38621</v>
      </c>
      <c r="D34430" s="38" t="str">
        <f>IFERROR(__xludf.DUMMYFUNCTION("REGEXREPLACE(C34430,""-\d+(.*)|--\d+(.*)"","""")"),"AUJEURRES")</f>
        <v>AUJEURRES</v>
      </c>
      <c r="E34430" s="38" t="s">
        <v>234</v>
      </c>
      <c r="F34430" s="38" t="s">
        <v>130</v>
      </c>
      <c r="G34430" s="49" t="str">
        <f t="shared" si="1"/>
        <v>52190</v>
      </c>
      <c r="H34430" s="49">
        <f t="shared" si="2"/>
        <v>52027</v>
      </c>
    </row>
    <row r="34431">
      <c r="A34431" s="48" t="s">
        <v>3990</v>
      </c>
      <c r="B34431" s="38">
        <v>2269.0</v>
      </c>
      <c r="C34431" s="38" t="s">
        <v>38622</v>
      </c>
      <c r="D34431" s="38" t="str">
        <f>IFERROR(__xludf.DUMMYFUNCTION("REGEXREPLACE(C34431,""-\d+(.*)|--\d+(.*)"","""")"),"DORENGT")</f>
        <v>DORENGT</v>
      </c>
      <c r="E34431" s="38" t="s">
        <v>191</v>
      </c>
      <c r="F34431" s="38" t="s">
        <v>113</v>
      </c>
      <c r="G34431" s="49" t="str">
        <f t="shared" si="1"/>
        <v>02450</v>
      </c>
      <c r="H34431" s="49" t="str">
        <f t="shared" si="2"/>
        <v>02269</v>
      </c>
    </row>
    <row r="34432">
      <c r="A34432" s="48" t="s">
        <v>20906</v>
      </c>
      <c r="B34432" s="38">
        <v>29284.0</v>
      </c>
      <c r="C34432" s="38" t="s">
        <v>38623</v>
      </c>
      <c r="D34432" s="38" t="str">
        <f>IFERROR(__xludf.DUMMYFUNCTION("REGEXREPLACE(C34432,""-\d+(.*)|--\d+(.*)"","""")"),"TREFFIAGAT")</f>
        <v>TREFFIAGAT</v>
      </c>
      <c r="E34432" s="38" t="s">
        <v>176</v>
      </c>
      <c r="F34432" s="38" t="s">
        <v>90</v>
      </c>
      <c r="G34432" s="49" t="str">
        <f t="shared" si="1"/>
        <v>29730</v>
      </c>
      <c r="H34432" s="49">
        <f t="shared" si="2"/>
        <v>29284</v>
      </c>
    </row>
    <row r="34433">
      <c r="A34433" s="48" t="s">
        <v>10710</v>
      </c>
      <c r="B34433" s="38">
        <v>77142.0</v>
      </c>
      <c r="C34433" s="38" t="s">
        <v>38624</v>
      </c>
      <c r="D34433" s="38" t="str">
        <f>IFERROR(__xludf.DUMMYFUNCTION("REGEXREPLACE(C34433,""-\d+(.*)|--\d+(.*)"","""")"),"CRECY-LA-CHAPELLE")</f>
        <v>CRECY-LA-CHAPELLE</v>
      </c>
      <c r="E34433" s="38" t="s">
        <v>244</v>
      </c>
      <c r="F34433" s="38" t="s">
        <v>245</v>
      </c>
      <c r="G34433" s="49" t="str">
        <f t="shared" si="1"/>
        <v>77580</v>
      </c>
      <c r="H34433" s="49">
        <f t="shared" si="2"/>
        <v>77142</v>
      </c>
    </row>
    <row r="34434">
      <c r="A34434" s="48" t="s">
        <v>38625</v>
      </c>
      <c r="B34434" s="38">
        <v>68344.0</v>
      </c>
      <c r="C34434" s="38" t="s">
        <v>38626</v>
      </c>
      <c r="D34434" s="38" t="str">
        <f>IFERROR(__xludf.DUMMYFUNCTION("REGEXREPLACE(C34434,""-\d+(.*)|--\d+(.*)"","""")"),"URBES")</f>
        <v>URBES</v>
      </c>
      <c r="E34434" s="38" t="s">
        <v>150</v>
      </c>
      <c r="F34434" s="38" t="s">
        <v>151</v>
      </c>
      <c r="G34434" s="49" t="str">
        <f t="shared" si="1"/>
        <v>68121</v>
      </c>
      <c r="H34434" s="49">
        <f t="shared" si="2"/>
        <v>68344</v>
      </c>
    </row>
    <row r="34435">
      <c r="A34435" s="48" t="s">
        <v>38627</v>
      </c>
      <c r="B34435" s="38" t="s">
        <v>38628</v>
      </c>
      <c r="C34435" s="38" t="s">
        <v>38629</v>
      </c>
      <c r="D34435" s="38" t="str">
        <f>IFERROR(__xludf.DUMMYFUNCTION("REGEXREPLACE(C34435,""-\d+(.*)|--\d+(.*)"","""")"),"CARGIACA")</f>
        <v>CARGIACA</v>
      </c>
      <c r="E34435" s="38" t="s">
        <v>606</v>
      </c>
      <c r="F34435" s="38" t="s">
        <v>607</v>
      </c>
      <c r="G34435" s="49" t="str">
        <f t="shared" si="1"/>
        <v>20164</v>
      </c>
      <c r="H34435" s="49" t="str">
        <f t="shared" si="2"/>
        <v>2A066</v>
      </c>
    </row>
    <row r="34436">
      <c r="A34436" s="48" t="s">
        <v>38630</v>
      </c>
      <c r="B34436" s="38">
        <v>59098.0</v>
      </c>
      <c r="C34436" s="38" t="s">
        <v>38631</v>
      </c>
      <c r="D34436" s="38" t="str">
        <f>IFERROR(__xludf.DUMMYFUNCTION("REGEXREPLACE(C34436,""-\d+(.*)|--\d+(.*)"","""")"),"BOUSBECQUE")</f>
        <v>BOUSBECQUE</v>
      </c>
      <c r="E34436" s="38" t="s">
        <v>85</v>
      </c>
      <c r="F34436" s="38" t="s">
        <v>86</v>
      </c>
      <c r="G34436" s="49" t="str">
        <f t="shared" si="1"/>
        <v>59166</v>
      </c>
      <c r="H34436" s="49">
        <f t="shared" si="2"/>
        <v>59098</v>
      </c>
    </row>
    <row r="34437">
      <c r="A34437" s="48" t="s">
        <v>3755</v>
      </c>
      <c r="B34437" s="38">
        <v>76160.0</v>
      </c>
      <c r="C34437" s="38" t="s">
        <v>38632</v>
      </c>
      <c r="D34437" s="38" t="str">
        <f>IFERROR(__xludf.DUMMYFUNCTION("REGEXREPLACE(C34437,""-\d+(.*)|--\d+(.*)"","""")"),"CARVILLE-LA-FOLLETIERE")</f>
        <v>CARVILLE-LA-FOLLETIERE</v>
      </c>
      <c r="E34437" s="38" t="s">
        <v>133</v>
      </c>
      <c r="F34437" s="38" t="s">
        <v>134</v>
      </c>
      <c r="G34437" s="49" t="str">
        <f t="shared" si="1"/>
        <v>76190</v>
      </c>
      <c r="H34437" s="49">
        <f t="shared" si="2"/>
        <v>76160</v>
      </c>
    </row>
    <row r="34438">
      <c r="A34438" s="48" t="s">
        <v>4884</v>
      </c>
      <c r="B34438" s="38">
        <v>72252.0</v>
      </c>
      <c r="C34438" s="38" t="s">
        <v>38633</v>
      </c>
      <c r="D34438" s="38" t="str">
        <f>IFERROR(__xludf.DUMMYFUNCTION("REGEXREPLACE(C34438,""-\d+(.*)|--\d+(.*)"","""")"),"REQUEIL")</f>
        <v>REQUEIL</v>
      </c>
      <c r="E34438" s="38" t="s">
        <v>521</v>
      </c>
      <c r="F34438" s="38" t="s">
        <v>180</v>
      </c>
      <c r="G34438" s="49" t="str">
        <f t="shared" si="1"/>
        <v>72510</v>
      </c>
      <c r="H34438" s="49">
        <f t="shared" si="2"/>
        <v>72252</v>
      </c>
    </row>
    <row r="34439">
      <c r="A34439" s="48" t="s">
        <v>1452</v>
      </c>
      <c r="B34439" s="38">
        <v>55236.0</v>
      </c>
      <c r="C34439" s="38" t="s">
        <v>38634</v>
      </c>
      <c r="D34439" s="38" t="str">
        <f>IFERROR(__xludf.DUMMYFUNCTION("REGEXREPLACE(C34439,""-\d+(.*)|--\d+(.*)"","""")"),"HAUDAINVILLE")</f>
        <v>HAUDAINVILLE</v>
      </c>
      <c r="E34439" s="38" t="s">
        <v>322</v>
      </c>
      <c r="F34439" s="38" t="s">
        <v>195</v>
      </c>
      <c r="G34439" s="49" t="str">
        <f t="shared" si="1"/>
        <v>55100</v>
      </c>
      <c r="H34439" s="49">
        <f t="shared" si="2"/>
        <v>55236</v>
      </c>
    </row>
    <row r="34440">
      <c r="A34440" s="48" t="s">
        <v>8129</v>
      </c>
      <c r="B34440" s="38">
        <v>70071.0</v>
      </c>
      <c r="C34440" s="38" t="s">
        <v>38635</v>
      </c>
      <c r="D34440" s="38" t="str">
        <f>IFERROR(__xludf.DUMMYFUNCTION("REGEXREPLACE(C34440,""-\d+(.*)|--\d+(.*)"","""")"),"BEULOTTE-SAINT-LAURENT")</f>
        <v>BEULOTTE-SAINT-LAURENT</v>
      </c>
      <c r="E34440" s="38" t="s">
        <v>956</v>
      </c>
      <c r="F34440" s="38" t="s">
        <v>214</v>
      </c>
      <c r="G34440" s="49" t="str">
        <f t="shared" si="1"/>
        <v>70310</v>
      </c>
      <c r="H34440" s="49">
        <f t="shared" si="2"/>
        <v>70071</v>
      </c>
    </row>
    <row r="34441">
      <c r="A34441" s="48" t="s">
        <v>1435</v>
      </c>
      <c r="B34441" s="38">
        <v>14534.0</v>
      </c>
      <c r="C34441" s="38" t="s">
        <v>38636</v>
      </c>
      <c r="D34441" s="38" t="str">
        <f>IFERROR(__xludf.DUMMYFUNCTION("REGEXREPLACE(C34441,""-\d+(.*)|--\d+(.*)"","""")"),"REUX")</f>
        <v>REUX</v>
      </c>
      <c r="E34441" s="38" t="s">
        <v>137</v>
      </c>
      <c r="F34441" s="38" t="s">
        <v>138</v>
      </c>
      <c r="G34441" s="49" t="str">
        <f t="shared" si="1"/>
        <v>14130</v>
      </c>
      <c r="H34441" s="49">
        <f t="shared" si="2"/>
        <v>14534</v>
      </c>
    </row>
    <row r="34442">
      <c r="A34442" s="48" t="s">
        <v>2423</v>
      </c>
      <c r="B34442" s="38">
        <v>26018.0</v>
      </c>
      <c r="C34442" s="38" t="s">
        <v>38637</v>
      </c>
      <c r="D34442" s="38" t="str">
        <f>IFERROR(__xludf.DUMMYFUNCTION("REGEXREPLACE(C34442,""-\d+(.*)|--\d+(.*)"","""")"),"AULAN")</f>
        <v>AULAN</v>
      </c>
      <c r="E34442" s="38" t="s">
        <v>126</v>
      </c>
      <c r="F34442" s="38" t="s">
        <v>102</v>
      </c>
      <c r="G34442" s="49" t="str">
        <f t="shared" si="1"/>
        <v>26570</v>
      </c>
      <c r="H34442" s="49">
        <f t="shared" si="2"/>
        <v>26018</v>
      </c>
    </row>
    <row r="34443">
      <c r="A34443" s="48" t="s">
        <v>3180</v>
      </c>
      <c r="B34443" s="38">
        <v>60031.0</v>
      </c>
      <c r="C34443" s="38" t="s">
        <v>38638</v>
      </c>
      <c r="D34443" s="38" t="str">
        <f>IFERROR(__xludf.DUMMYFUNCTION("REGEXREPLACE(C34443,""-\d+(.*)|--\d+(.*)"","""")"),"AUTHEUIL-EN-VALOIS")</f>
        <v>AUTHEUIL-EN-VALOIS</v>
      </c>
      <c r="E34443" s="38" t="s">
        <v>112</v>
      </c>
      <c r="F34443" s="38" t="s">
        <v>113</v>
      </c>
      <c r="G34443" s="49" t="str">
        <f t="shared" si="1"/>
        <v>60890</v>
      </c>
      <c r="H34443" s="49">
        <f t="shared" si="2"/>
        <v>60031</v>
      </c>
    </row>
    <row r="34444">
      <c r="A34444" s="48" t="s">
        <v>1243</v>
      </c>
      <c r="B34444" s="38">
        <v>15137.0</v>
      </c>
      <c r="C34444" s="38" t="s">
        <v>38639</v>
      </c>
      <c r="D34444" s="38" t="str">
        <f>IFERROR(__xludf.DUMMYFUNCTION("REGEXREPLACE(C34444,""-\d+(.*)|--\d+(.*)"","""")"),"MOUSSAGES")</f>
        <v>MOUSSAGES</v>
      </c>
      <c r="E34444" s="38" t="s">
        <v>632</v>
      </c>
      <c r="F34444" s="38" t="s">
        <v>161</v>
      </c>
      <c r="G34444" s="49" t="str">
        <f t="shared" si="1"/>
        <v>15380</v>
      </c>
      <c r="H34444" s="49">
        <f t="shared" si="2"/>
        <v>15137</v>
      </c>
    </row>
    <row r="34445">
      <c r="A34445" s="48" t="s">
        <v>2605</v>
      </c>
      <c r="B34445" s="38">
        <v>39557.0</v>
      </c>
      <c r="C34445" s="38" t="s">
        <v>38640</v>
      </c>
      <c r="D34445" s="38" t="str">
        <f>IFERROR(__xludf.DUMMYFUNCTION("REGEXREPLACE(C34445,""-\d+(.*)|--\d+(.*)"","""")"),"VESCLES")</f>
        <v>VESCLES</v>
      </c>
      <c r="E34445" s="38" t="s">
        <v>400</v>
      </c>
      <c r="F34445" s="38" t="s">
        <v>214</v>
      </c>
      <c r="G34445" s="49" t="str">
        <f t="shared" si="1"/>
        <v>39240</v>
      </c>
      <c r="H34445" s="49">
        <f t="shared" si="2"/>
        <v>39557</v>
      </c>
    </row>
    <row r="34446">
      <c r="A34446" s="48" t="s">
        <v>1376</v>
      </c>
      <c r="B34446" s="38" t="s">
        <v>38641</v>
      </c>
      <c r="C34446" s="38" t="s">
        <v>38642</v>
      </c>
      <c r="D34446" s="38" t="str">
        <f>IFERROR(__xludf.DUMMYFUNCTION("REGEXREPLACE(C34446,""-\d+(.*)|--\d+(.*)"","""")"),"COGNOCOLI-MONTICCHI")</f>
        <v>COGNOCOLI-MONTICCHI</v>
      </c>
      <c r="E34446" s="38" t="s">
        <v>606</v>
      </c>
      <c r="F34446" s="38" t="s">
        <v>607</v>
      </c>
      <c r="G34446" s="49" t="str">
        <f t="shared" si="1"/>
        <v>20123</v>
      </c>
      <c r="H34446" s="49" t="str">
        <f t="shared" si="2"/>
        <v>2A091</v>
      </c>
    </row>
    <row r="34447">
      <c r="A34447" s="48" t="s">
        <v>38643</v>
      </c>
      <c r="B34447" s="38">
        <v>17360.0</v>
      </c>
      <c r="C34447" s="38" t="s">
        <v>38644</v>
      </c>
      <c r="D34447" s="38" t="str">
        <f>IFERROR(__xludf.DUMMYFUNCTION("REGEXREPLACE(C34447,""-\d+(.*)|--\d+(.*)"","""")"),"SAINTE-MARIE-DE-RE")</f>
        <v>SAINTE-MARIE-DE-RE</v>
      </c>
      <c r="E34447" s="38" t="s">
        <v>488</v>
      </c>
      <c r="F34447" s="38" t="s">
        <v>338</v>
      </c>
      <c r="G34447" s="49" t="str">
        <f t="shared" si="1"/>
        <v>17740</v>
      </c>
      <c r="H34447" s="49">
        <f t="shared" si="2"/>
        <v>17360</v>
      </c>
    </row>
    <row r="34448">
      <c r="A34448" s="48" t="s">
        <v>18855</v>
      </c>
      <c r="B34448" s="38">
        <v>86162.0</v>
      </c>
      <c r="C34448" s="38" t="s">
        <v>38645</v>
      </c>
      <c r="D34448" s="38" t="str">
        <f>IFERROR(__xludf.DUMMYFUNCTION("REGEXREPLACE(C34448,""-\d+(.*)|--\d+(.*)"","""")"),"MONDION")</f>
        <v>MONDION</v>
      </c>
      <c r="E34448" s="38" t="s">
        <v>529</v>
      </c>
      <c r="F34448" s="38" t="s">
        <v>338</v>
      </c>
      <c r="G34448" s="49" t="str">
        <f t="shared" si="1"/>
        <v>86230</v>
      </c>
      <c r="H34448" s="49">
        <f t="shared" si="2"/>
        <v>86162</v>
      </c>
    </row>
    <row r="34449">
      <c r="A34449" s="48" t="s">
        <v>10965</v>
      </c>
      <c r="B34449" s="38">
        <v>80622.0</v>
      </c>
      <c r="C34449" s="38" t="s">
        <v>38646</v>
      </c>
      <c r="D34449" s="38" t="str">
        <f>IFERROR(__xludf.DUMMYFUNCTION("REGEXREPLACE(C34449,""-\d+(.*)|--\d+(.*)"","""")"),"PICQUIGNY")</f>
        <v>PICQUIGNY</v>
      </c>
      <c r="E34449" s="38" t="s">
        <v>224</v>
      </c>
      <c r="F34449" s="38" t="s">
        <v>113</v>
      </c>
      <c r="G34449" s="49" t="str">
        <f t="shared" si="1"/>
        <v>80310</v>
      </c>
      <c r="H34449" s="49">
        <f t="shared" si="2"/>
        <v>80622</v>
      </c>
    </row>
    <row r="34450">
      <c r="A34450" s="48" t="s">
        <v>1208</v>
      </c>
      <c r="B34450" s="38">
        <v>32443.0</v>
      </c>
      <c r="C34450" s="38" t="s">
        <v>38647</v>
      </c>
      <c r="D34450" s="38" t="str">
        <f>IFERROR(__xludf.DUMMYFUNCTION("REGEXREPLACE(C34450,""-\d+(.*)|--\d+(.*)"","""")"),"TERMES-D'ARMAGNAC")</f>
        <v>TERMES-D'ARMAGNAC</v>
      </c>
      <c r="E34450" s="38" t="s">
        <v>440</v>
      </c>
      <c r="F34450" s="38" t="s">
        <v>94</v>
      </c>
      <c r="G34450" s="49" t="str">
        <f t="shared" si="1"/>
        <v>32400</v>
      </c>
      <c r="H34450" s="49">
        <f t="shared" si="2"/>
        <v>32443</v>
      </c>
    </row>
    <row r="34451">
      <c r="A34451" s="48" t="s">
        <v>10689</v>
      </c>
      <c r="B34451" s="38">
        <v>59363.0</v>
      </c>
      <c r="C34451" s="38" t="s">
        <v>38648</v>
      </c>
      <c r="D34451" s="38" t="str">
        <f>IFERROR(__xludf.DUMMYFUNCTION("REGEXREPLACE(C34451,""-\d+(.*)|--\d+(.*)"","""")"),"LOUVIGNIES-QUESNOY")</f>
        <v>LOUVIGNIES-QUESNOY</v>
      </c>
      <c r="E34451" s="38" t="s">
        <v>85</v>
      </c>
      <c r="F34451" s="38" t="s">
        <v>86</v>
      </c>
      <c r="G34451" s="49" t="str">
        <f t="shared" si="1"/>
        <v>59530</v>
      </c>
      <c r="H34451" s="49">
        <f t="shared" si="2"/>
        <v>59363</v>
      </c>
    </row>
    <row r="34452">
      <c r="A34452" s="48" t="s">
        <v>2016</v>
      </c>
      <c r="B34452" s="38">
        <v>50095.0</v>
      </c>
      <c r="C34452" s="38" t="s">
        <v>38649</v>
      </c>
      <c r="D34452" s="38" t="str">
        <f>IFERROR(__xludf.DUMMYFUNCTION("REGEXREPLACE(C34452,""-\d+(.*)|--\d+(.*)"","""")"),"CANISY")</f>
        <v>CANISY</v>
      </c>
      <c r="E34452" s="38" t="s">
        <v>157</v>
      </c>
      <c r="F34452" s="38" t="s">
        <v>138</v>
      </c>
      <c r="G34452" s="49" t="str">
        <f t="shared" si="1"/>
        <v>50750</v>
      </c>
      <c r="H34452" s="49">
        <f t="shared" si="2"/>
        <v>50095</v>
      </c>
    </row>
    <row r="34453">
      <c r="A34453" s="48" t="s">
        <v>11972</v>
      </c>
      <c r="B34453" s="38">
        <v>89483.0</v>
      </c>
      <c r="C34453" s="38" t="s">
        <v>36582</v>
      </c>
      <c r="D34453" s="38" t="str">
        <f>IFERROR(__xludf.DUMMYFUNCTION("REGEXREPLACE(C34453,""-\d+(.*)|--\d+(.*)"","""")"),"VOISINES")</f>
        <v>VOISINES</v>
      </c>
      <c r="E34453" s="38" t="s">
        <v>275</v>
      </c>
      <c r="F34453" s="38" t="s">
        <v>106</v>
      </c>
      <c r="G34453" s="49" t="str">
        <f t="shared" si="1"/>
        <v>89260</v>
      </c>
      <c r="H34453" s="49">
        <f t="shared" si="2"/>
        <v>89483</v>
      </c>
    </row>
    <row r="34454">
      <c r="A34454" s="48" t="s">
        <v>7901</v>
      </c>
      <c r="B34454" s="38">
        <v>35098.0</v>
      </c>
      <c r="C34454" s="38" t="s">
        <v>38650</v>
      </c>
      <c r="D34454" s="38" t="str">
        <f>IFERROR(__xludf.DUMMYFUNCTION("REGEXREPLACE(C34454,""-\d+(.*)|--\d+(.*)"","""")"),"LA DOMINELAIS")</f>
        <v>LA DOMINELAIS</v>
      </c>
      <c r="E34454" s="38" t="s">
        <v>347</v>
      </c>
      <c r="F34454" s="38" t="s">
        <v>90</v>
      </c>
      <c r="G34454" s="49" t="str">
        <f t="shared" si="1"/>
        <v>35390</v>
      </c>
      <c r="H34454" s="49">
        <f t="shared" si="2"/>
        <v>35098</v>
      </c>
    </row>
    <row r="34455">
      <c r="A34455" s="48" t="s">
        <v>5596</v>
      </c>
      <c r="B34455" s="38">
        <v>25275.0</v>
      </c>
      <c r="C34455" s="38" t="s">
        <v>38651</v>
      </c>
      <c r="D34455" s="38" t="str">
        <f>IFERROR(__xludf.DUMMYFUNCTION("REGEXREPLACE(C34455,""-\d+(.*)|--\d+(.*)"","""")"),"GLERE")</f>
        <v>GLERE</v>
      </c>
      <c r="E34455" s="38" t="s">
        <v>213</v>
      </c>
      <c r="F34455" s="38" t="s">
        <v>214</v>
      </c>
      <c r="G34455" s="49" t="str">
        <f t="shared" si="1"/>
        <v>25190</v>
      </c>
      <c r="H34455" s="49">
        <f t="shared" si="2"/>
        <v>25275</v>
      </c>
    </row>
    <row r="34456">
      <c r="A34456" s="48" t="s">
        <v>4856</v>
      </c>
      <c r="B34456" s="38">
        <v>21481.0</v>
      </c>
      <c r="C34456" s="38" t="s">
        <v>38652</v>
      </c>
      <c r="D34456" s="38" t="str">
        <f>IFERROR(__xludf.DUMMYFUNCTION("REGEXREPLACE(C34456,""-\d+(.*)|--\d+(.*)"","""")"),"PERRIGNY-LES-DIJON")</f>
        <v>PERRIGNY-LES-DIJON</v>
      </c>
      <c r="E34456" s="38" t="s">
        <v>105</v>
      </c>
      <c r="F34456" s="38" t="s">
        <v>106</v>
      </c>
      <c r="G34456" s="49" t="str">
        <f t="shared" si="1"/>
        <v>21160</v>
      </c>
      <c r="H34456" s="49">
        <f t="shared" si="2"/>
        <v>21481</v>
      </c>
    </row>
    <row r="34457">
      <c r="A34457" s="48" t="s">
        <v>4697</v>
      </c>
      <c r="B34457" s="38">
        <v>67417.0</v>
      </c>
      <c r="C34457" s="38" t="s">
        <v>38653</v>
      </c>
      <c r="D34457" s="38" t="str">
        <f>IFERROR(__xludf.DUMMYFUNCTION("REGEXREPLACE(C34457,""-\d+(.*)|--\d+(.*)"","""")"),"ROTTELSHEIM")</f>
        <v>ROTTELSHEIM</v>
      </c>
      <c r="E34457" s="38" t="s">
        <v>210</v>
      </c>
      <c r="F34457" s="38" t="s">
        <v>151</v>
      </c>
      <c r="G34457" s="49" t="str">
        <f t="shared" si="1"/>
        <v>67170</v>
      </c>
      <c r="H34457" s="49">
        <f t="shared" si="2"/>
        <v>67417</v>
      </c>
    </row>
    <row r="34458">
      <c r="A34458" s="48" t="s">
        <v>5008</v>
      </c>
      <c r="B34458" s="38">
        <v>76686.0</v>
      </c>
      <c r="C34458" s="38" t="s">
        <v>38654</v>
      </c>
      <c r="D34458" s="38" t="str">
        <f>IFERROR(__xludf.DUMMYFUNCTION("REGEXREPLACE(C34458,""-\d+(.*)|--\d+(.*)"","""")"),"THEUVILLE-AUX-MAILLOTS")</f>
        <v>THEUVILLE-AUX-MAILLOTS</v>
      </c>
      <c r="E34458" s="38" t="s">
        <v>133</v>
      </c>
      <c r="F34458" s="38" t="s">
        <v>134</v>
      </c>
      <c r="G34458" s="49" t="str">
        <f t="shared" si="1"/>
        <v>76540</v>
      </c>
      <c r="H34458" s="49">
        <f t="shared" si="2"/>
        <v>76686</v>
      </c>
    </row>
    <row r="34459">
      <c r="A34459" s="48" t="s">
        <v>301</v>
      </c>
      <c r="B34459" s="38">
        <v>57702.0</v>
      </c>
      <c r="C34459" s="38" t="s">
        <v>38655</v>
      </c>
      <c r="D34459" s="38" t="str">
        <f>IFERROR(__xludf.DUMMYFUNCTION("REGEXREPLACE(C34459,""-\d+(.*)|--\d+(.*)"","""")"),"VAXY")</f>
        <v>VAXY</v>
      </c>
      <c r="E34459" s="38" t="s">
        <v>303</v>
      </c>
      <c r="F34459" s="38" t="s">
        <v>195</v>
      </c>
      <c r="G34459" s="49" t="str">
        <f t="shared" si="1"/>
        <v>57170</v>
      </c>
      <c r="H34459" s="49">
        <f t="shared" si="2"/>
        <v>57702</v>
      </c>
    </row>
    <row r="34460">
      <c r="A34460" s="48" t="s">
        <v>2868</v>
      </c>
      <c r="B34460" s="38">
        <v>80467.0</v>
      </c>
      <c r="C34460" s="38" t="s">
        <v>38656</v>
      </c>
      <c r="D34460" s="38" t="str">
        <f>IFERROR(__xludf.DUMMYFUNCTION("REGEXREPLACE(C34460,""-\d+(.*)|--\d+(.*)"","""")"),"LAUCOURT")</f>
        <v>LAUCOURT</v>
      </c>
      <c r="E34460" s="38" t="s">
        <v>224</v>
      </c>
      <c r="F34460" s="38" t="s">
        <v>113</v>
      </c>
      <c r="G34460" s="49" t="str">
        <f t="shared" si="1"/>
        <v>80700</v>
      </c>
      <c r="H34460" s="49">
        <f t="shared" si="2"/>
        <v>80467</v>
      </c>
    </row>
    <row r="34461">
      <c r="A34461" s="48" t="s">
        <v>2884</v>
      </c>
      <c r="B34461" s="38">
        <v>57596.0</v>
      </c>
      <c r="C34461" s="38" t="s">
        <v>38657</v>
      </c>
      <c r="D34461" s="38" t="str">
        <f>IFERROR(__xludf.DUMMYFUNCTION("REGEXREPLACE(C34461,""-\d+(.*)|--\d+(.*)"","""")"),"ROSBRUCK")</f>
        <v>ROSBRUCK</v>
      </c>
      <c r="E34461" s="38" t="s">
        <v>303</v>
      </c>
      <c r="F34461" s="38" t="s">
        <v>195</v>
      </c>
      <c r="G34461" s="49" t="str">
        <f t="shared" si="1"/>
        <v>57800</v>
      </c>
      <c r="H34461" s="49">
        <f t="shared" si="2"/>
        <v>57596</v>
      </c>
    </row>
    <row r="34462">
      <c r="A34462" s="48" t="s">
        <v>1572</v>
      </c>
      <c r="B34462" s="38">
        <v>32349.0</v>
      </c>
      <c r="C34462" s="38" t="s">
        <v>38658</v>
      </c>
      <c r="D34462" s="38" t="str">
        <f>IFERROR(__xludf.DUMMYFUNCTION("REGEXREPLACE(C34462,""-\d+(.*)|--\d+(.*)"","""")"),"ROQUELAURE-SAINT-AUBIN")</f>
        <v>ROQUELAURE-SAINT-AUBIN</v>
      </c>
      <c r="E34462" s="38" t="s">
        <v>440</v>
      </c>
      <c r="F34462" s="38" t="s">
        <v>94</v>
      </c>
      <c r="G34462" s="49" t="str">
        <f t="shared" si="1"/>
        <v>32430</v>
      </c>
      <c r="H34462" s="49">
        <f t="shared" si="2"/>
        <v>32349</v>
      </c>
    </row>
    <row r="34463">
      <c r="A34463" s="48" t="s">
        <v>38659</v>
      </c>
      <c r="B34463" s="38">
        <v>2334.0</v>
      </c>
      <c r="C34463" s="38" t="s">
        <v>38660</v>
      </c>
      <c r="D34463" s="38" t="str">
        <f>IFERROR(__xludf.DUMMYFUNCTION("REGEXREPLACE(C34463,""-\d+(.*)|--\d+(.*)"","""")"),"FRESNOY-LE-GRAND")</f>
        <v>FRESNOY-LE-GRAND</v>
      </c>
      <c r="E34463" s="38" t="s">
        <v>191</v>
      </c>
      <c r="F34463" s="38" t="s">
        <v>113</v>
      </c>
      <c r="G34463" s="49" t="str">
        <f t="shared" si="1"/>
        <v>02230</v>
      </c>
      <c r="H34463" s="49" t="str">
        <f t="shared" si="2"/>
        <v>02334</v>
      </c>
    </row>
    <row r="34464">
      <c r="A34464" s="48" t="s">
        <v>1188</v>
      </c>
      <c r="B34464" s="38">
        <v>45193.0</v>
      </c>
      <c r="C34464" s="38" t="s">
        <v>38661</v>
      </c>
      <c r="D34464" s="38" t="str">
        <f>IFERROR(__xludf.DUMMYFUNCTION("REGEXREPLACE(C34464,""-\d+(.*)|--\d+(.*)"","""")"),"MARCILLY-EN-VILLETTE")</f>
        <v>MARCILLY-EN-VILLETTE</v>
      </c>
      <c r="E34464" s="38" t="s">
        <v>122</v>
      </c>
      <c r="F34464" s="38" t="s">
        <v>123</v>
      </c>
      <c r="G34464" s="49" t="str">
        <f t="shared" si="1"/>
        <v>45240</v>
      </c>
      <c r="H34464" s="49">
        <f t="shared" si="2"/>
        <v>45193</v>
      </c>
    </row>
    <row r="34465">
      <c r="A34465" s="48" t="s">
        <v>2886</v>
      </c>
      <c r="B34465" s="38">
        <v>89465.0</v>
      </c>
      <c r="C34465" s="38" t="s">
        <v>38662</v>
      </c>
      <c r="D34465" s="38" t="str">
        <f>IFERROR(__xludf.DUMMYFUNCTION("REGEXREPLACE(C34465,""-\d+(.*)|--\d+(.*)"","""")"),"VILLEPERROT")</f>
        <v>VILLEPERROT</v>
      </c>
      <c r="E34465" s="38" t="s">
        <v>275</v>
      </c>
      <c r="F34465" s="38" t="s">
        <v>106</v>
      </c>
      <c r="G34465" s="49" t="str">
        <f t="shared" si="1"/>
        <v>89140</v>
      </c>
      <c r="H34465" s="49">
        <f t="shared" si="2"/>
        <v>89465</v>
      </c>
    </row>
    <row r="34466">
      <c r="A34466" s="48" t="s">
        <v>1706</v>
      </c>
      <c r="B34466" s="38">
        <v>50435.0</v>
      </c>
      <c r="C34466" s="38" t="s">
        <v>38663</v>
      </c>
      <c r="D34466" s="38" t="str">
        <f>IFERROR(__xludf.DUMMYFUNCTION("REGEXREPLACE(C34466,""-\d+(.*)|--\d+(.*)"","""")"),"ROCHEVILLE")</f>
        <v>ROCHEVILLE</v>
      </c>
      <c r="E34466" s="38" t="s">
        <v>157</v>
      </c>
      <c r="F34466" s="38" t="s">
        <v>138</v>
      </c>
      <c r="G34466" s="49" t="str">
        <f t="shared" si="1"/>
        <v>50260</v>
      </c>
      <c r="H34466" s="49">
        <f t="shared" si="2"/>
        <v>50435</v>
      </c>
    </row>
    <row r="34467">
      <c r="A34467" s="48" t="s">
        <v>14867</v>
      </c>
      <c r="B34467" s="38">
        <v>49262.0</v>
      </c>
      <c r="C34467" s="38" t="s">
        <v>38664</v>
      </c>
      <c r="D34467" s="38" t="str">
        <f>IFERROR(__xludf.DUMMYFUNCTION("REGEXREPLACE(C34467,""-\d+(.*)|--\d+(.*)"","""")"),"ROU-MARSON")</f>
        <v>ROU-MARSON</v>
      </c>
      <c r="E34467" s="38" t="s">
        <v>653</v>
      </c>
      <c r="F34467" s="38" t="s">
        <v>180</v>
      </c>
      <c r="G34467" s="49" t="str">
        <f t="shared" si="1"/>
        <v>49400</v>
      </c>
      <c r="H34467" s="49">
        <f t="shared" si="2"/>
        <v>49262</v>
      </c>
    </row>
    <row r="34468">
      <c r="A34468" s="48" t="s">
        <v>1270</v>
      </c>
      <c r="B34468" s="38">
        <v>57337.0</v>
      </c>
      <c r="C34468" s="38" t="s">
        <v>38665</v>
      </c>
      <c r="D34468" s="38" t="str">
        <f>IFERROR(__xludf.DUMMYFUNCTION("REGEXREPLACE(C34468,""-\d+(.*)|--\d+(.*)"","""")"),"HOSTE")</f>
        <v>HOSTE</v>
      </c>
      <c r="E34468" s="38" t="s">
        <v>303</v>
      </c>
      <c r="F34468" s="38" t="s">
        <v>195</v>
      </c>
      <c r="G34468" s="49" t="str">
        <f t="shared" si="1"/>
        <v>57510</v>
      </c>
      <c r="H34468" s="49">
        <f t="shared" si="2"/>
        <v>57337</v>
      </c>
    </row>
    <row r="34469">
      <c r="A34469" s="48" t="s">
        <v>4364</v>
      </c>
      <c r="B34469" s="38">
        <v>78484.0</v>
      </c>
      <c r="C34469" s="38" t="s">
        <v>38666</v>
      </c>
      <c r="D34469" s="38" t="str">
        <f>IFERROR(__xludf.DUMMYFUNCTION("REGEXREPLACE(C34469,""-\d+(.*)|--\d+(.*)"","""")"),"PERDREAUVILLE")</f>
        <v>PERDREAUVILLE</v>
      </c>
      <c r="E34469" s="38" t="s">
        <v>362</v>
      </c>
      <c r="F34469" s="38" t="s">
        <v>245</v>
      </c>
      <c r="G34469" s="49" t="str">
        <f t="shared" si="1"/>
        <v>78200</v>
      </c>
      <c r="H34469" s="49">
        <f t="shared" si="2"/>
        <v>78484</v>
      </c>
    </row>
    <row r="34470">
      <c r="A34470" s="48" t="s">
        <v>3943</v>
      </c>
      <c r="B34470" s="38">
        <v>15184.0</v>
      </c>
      <c r="C34470" s="38" t="s">
        <v>38667</v>
      </c>
      <c r="D34470" s="38" t="str">
        <f>IFERROR(__xludf.DUMMYFUNCTION("REGEXREPLACE(C34470,""-\d+(.*)|--\d+(.*)"","""")"),"SAINT-ETIENNE-DE-MAURS")</f>
        <v>SAINT-ETIENNE-DE-MAURS</v>
      </c>
      <c r="E34470" s="38" t="s">
        <v>632</v>
      </c>
      <c r="F34470" s="38" t="s">
        <v>161</v>
      </c>
      <c r="G34470" s="49" t="str">
        <f t="shared" si="1"/>
        <v>15600</v>
      </c>
      <c r="H34470" s="49">
        <f t="shared" si="2"/>
        <v>15184</v>
      </c>
    </row>
    <row r="34471">
      <c r="A34471" s="48" t="s">
        <v>10533</v>
      </c>
      <c r="B34471" s="38">
        <v>87039.0</v>
      </c>
      <c r="C34471" s="38" t="s">
        <v>38668</v>
      </c>
      <c r="D34471" s="38" t="str">
        <f>IFERROR(__xludf.DUMMYFUNCTION("REGEXREPLACE(C34471,""-\d+(.*)|--\d+(.*)"","""")"),"CHATEAU-CHERVIX")</f>
        <v>CHATEAU-CHERVIX</v>
      </c>
      <c r="E34471" s="38" t="s">
        <v>897</v>
      </c>
      <c r="F34471" s="38" t="s">
        <v>98</v>
      </c>
      <c r="G34471" s="49" t="str">
        <f t="shared" si="1"/>
        <v>87380</v>
      </c>
      <c r="H34471" s="49">
        <f t="shared" si="2"/>
        <v>87039</v>
      </c>
    </row>
    <row r="34472">
      <c r="A34472" s="48" t="s">
        <v>1547</v>
      </c>
      <c r="B34472" s="38">
        <v>24235.0</v>
      </c>
      <c r="C34472" s="38" t="s">
        <v>38669</v>
      </c>
      <c r="D34472" s="38" t="str">
        <f>IFERROR(__xludf.DUMMYFUNCTION("REGEXREPLACE(C34472,""-\d+(.*)|--\d+(.*)"","""")"),"LEGUILLAC-DE-CERCLES")</f>
        <v>LEGUILLAC-DE-CERCLES</v>
      </c>
      <c r="E34472" s="38" t="s">
        <v>261</v>
      </c>
      <c r="F34472" s="38" t="s">
        <v>252</v>
      </c>
      <c r="G34472" s="49" t="str">
        <f t="shared" si="1"/>
        <v>24340</v>
      </c>
      <c r="H34472" s="49">
        <f t="shared" si="2"/>
        <v>24235</v>
      </c>
    </row>
    <row r="34473">
      <c r="A34473" s="48" t="s">
        <v>259</v>
      </c>
      <c r="B34473" s="38">
        <v>24219.0</v>
      </c>
      <c r="C34473" s="38" t="s">
        <v>38670</v>
      </c>
      <c r="D34473" s="38" t="str">
        <f>IFERROR(__xludf.DUMMYFUNCTION("REGEXREPLACE(C34473,""-\d+(.*)|--\d+(.*)"","""")"),"LABOUQUERIE")</f>
        <v>LABOUQUERIE</v>
      </c>
      <c r="E34473" s="38" t="s">
        <v>261</v>
      </c>
      <c r="F34473" s="38" t="s">
        <v>252</v>
      </c>
      <c r="G34473" s="49" t="str">
        <f t="shared" si="1"/>
        <v>24440</v>
      </c>
      <c r="H34473" s="49">
        <f t="shared" si="2"/>
        <v>24219</v>
      </c>
    </row>
    <row r="34474">
      <c r="A34474" s="48" t="s">
        <v>1262</v>
      </c>
      <c r="B34474" s="38">
        <v>11054.0</v>
      </c>
      <c r="C34474" s="38" t="s">
        <v>38671</v>
      </c>
      <c r="D34474" s="38" t="str">
        <f>IFERROR(__xludf.DUMMYFUNCTION("REGEXREPLACE(C34474,""-\d+(.*)|--\d+(.*)"","""")"),"LES BRUNELS")</f>
        <v>LES BRUNELS</v>
      </c>
      <c r="E34474" s="38" t="s">
        <v>278</v>
      </c>
      <c r="F34474" s="38" t="s">
        <v>119</v>
      </c>
      <c r="G34474" s="49" t="str">
        <f t="shared" si="1"/>
        <v>11400</v>
      </c>
      <c r="H34474" s="49">
        <f t="shared" si="2"/>
        <v>11054</v>
      </c>
    </row>
    <row r="34475">
      <c r="A34475" s="48" t="s">
        <v>2266</v>
      </c>
      <c r="B34475" s="38">
        <v>55363.0</v>
      </c>
      <c r="C34475" s="38" t="s">
        <v>38672</v>
      </c>
      <c r="D34475" s="38" t="str">
        <f>IFERROR(__xludf.DUMMYFUNCTION("REGEXREPLACE(C34475,""-\d+(.*)|--\d+(.*)"","""")"),"MOULOTTE")</f>
        <v>MOULOTTE</v>
      </c>
      <c r="E34475" s="38" t="s">
        <v>322</v>
      </c>
      <c r="F34475" s="38" t="s">
        <v>195</v>
      </c>
      <c r="G34475" s="49" t="str">
        <f t="shared" si="1"/>
        <v>55160</v>
      </c>
      <c r="H34475" s="49">
        <f t="shared" si="2"/>
        <v>55363</v>
      </c>
    </row>
    <row r="34476">
      <c r="A34476" s="48" t="s">
        <v>6256</v>
      </c>
      <c r="B34476" s="38">
        <v>55316.0</v>
      </c>
      <c r="C34476" s="38" t="s">
        <v>38673</v>
      </c>
      <c r="D34476" s="38" t="str">
        <f>IFERROR(__xludf.DUMMYFUNCTION("REGEXREPLACE(C34476,""-\d+(.*)|--\d+(.*)"","""")"),"MANGIENNES")</f>
        <v>MANGIENNES</v>
      </c>
      <c r="E34476" s="38" t="s">
        <v>322</v>
      </c>
      <c r="F34476" s="38" t="s">
        <v>195</v>
      </c>
      <c r="G34476" s="49" t="str">
        <f t="shared" si="1"/>
        <v>55150</v>
      </c>
      <c r="H34476" s="49">
        <f t="shared" si="2"/>
        <v>55316</v>
      </c>
    </row>
    <row r="34477">
      <c r="A34477" s="48" t="s">
        <v>276</v>
      </c>
      <c r="B34477" s="38">
        <v>11031.0</v>
      </c>
      <c r="C34477" s="38" t="s">
        <v>38674</v>
      </c>
      <c r="D34477" s="38" t="str">
        <f>IFERROR(__xludf.DUMMYFUNCTION("REGEXREPLACE(C34477,""-\d+(.*)|--\d+(.*)"","""")"),"BELFORT-SUR-REBENTY")</f>
        <v>BELFORT-SUR-REBENTY</v>
      </c>
      <c r="E34477" s="38" t="s">
        <v>278</v>
      </c>
      <c r="F34477" s="38" t="s">
        <v>119</v>
      </c>
      <c r="G34477" s="49" t="str">
        <f t="shared" si="1"/>
        <v>11140</v>
      </c>
      <c r="H34477" s="49">
        <f t="shared" si="2"/>
        <v>11031</v>
      </c>
    </row>
    <row r="34478">
      <c r="A34478" s="48" t="s">
        <v>7712</v>
      </c>
      <c r="B34478" s="38">
        <v>9068.0</v>
      </c>
      <c r="C34478" s="38" t="s">
        <v>38675</v>
      </c>
      <c r="D34478" s="38" t="str">
        <f>IFERROR(__xludf.DUMMYFUNCTION("REGEXREPLACE(C34478,""-\d+(.*)|--\d+(.*)"","""")"),"BURRET")</f>
        <v>BURRET</v>
      </c>
      <c r="E34478" s="38" t="s">
        <v>238</v>
      </c>
      <c r="F34478" s="38" t="s">
        <v>94</v>
      </c>
      <c r="G34478" s="49" t="str">
        <f t="shared" si="1"/>
        <v>09000</v>
      </c>
      <c r="H34478" s="49" t="str">
        <f t="shared" si="2"/>
        <v>09068</v>
      </c>
    </row>
    <row r="34479">
      <c r="A34479" s="48" t="s">
        <v>15662</v>
      </c>
      <c r="B34479" s="38">
        <v>43187.0</v>
      </c>
      <c r="C34479" s="38" t="s">
        <v>38676</v>
      </c>
      <c r="D34479" s="38" t="str">
        <f>IFERROR(__xludf.DUMMYFUNCTION("REGEXREPLACE(C34479,""-\d+(.*)|--\d+(.*)"","""")"),"SAINT-GENEYS-PRES-SAINT-PAULIEN")</f>
        <v>SAINT-GENEYS-PRES-SAINT-PAULIEN</v>
      </c>
      <c r="E34479" s="38" t="s">
        <v>332</v>
      </c>
      <c r="F34479" s="38" t="s">
        <v>161</v>
      </c>
      <c r="G34479" s="49" t="str">
        <f t="shared" si="1"/>
        <v>43350</v>
      </c>
      <c r="H34479" s="49">
        <f t="shared" si="2"/>
        <v>43187</v>
      </c>
    </row>
    <row r="34480">
      <c r="A34480" s="48" t="s">
        <v>5008</v>
      </c>
      <c r="B34480" s="38">
        <v>76195.0</v>
      </c>
      <c r="C34480" s="38" t="s">
        <v>38677</v>
      </c>
      <c r="D34480" s="38" t="str">
        <f>IFERROR(__xludf.DUMMYFUNCTION("REGEXREPLACE(C34480,""-\d+(.*)|--\d+(.*)"","""")"),"CRIQUETOT-LE-MAUCONDUIT")</f>
        <v>CRIQUETOT-LE-MAUCONDUIT</v>
      </c>
      <c r="E34480" s="38" t="s">
        <v>133</v>
      </c>
      <c r="F34480" s="38" t="s">
        <v>134</v>
      </c>
      <c r="G34480" s="49" t="str">
        <f t="shared" si="1"/>
        <v>76540</v>
      </c>
      <c r="H34480" s="49">
        <f t="shared" si="2"/>
        <v>76195</v>
      </c>
    </row>
    <row r="34481">
      <c r="A34481" s="48" t="s">
        <v>1352</v>
      </c>
      <c r="B34481" s="38">
        <v>79319.0</v>
      </c>
      <c r="C34481" s="38" t="s">
        <v>8685</v>
      </c>
      <c r="D34481" s="38" t="str">
        <f>IFERROR(__xludf.DUMMYFUNCTION("REGEXREPLACE(C34481,""-\d+(.*)|--\d+(.*)"","""")"),"SOUVIGNE")</f>
        <v>SOUVIGNE</v>
      </c>
      <c r="E34481" s="38" t="s">
        <v>337</v>
      </c>
      <c r="F34481" s="38" t="s">
        <v>338</v>
      </c>
      <c r="G34481" s="49" t="str">
        <f t="shared" si="1"/>
        <v>79800</v>
      </c>
      <c r="H34481" s="49">
        <f t="shared" si="2"/>
        <v>79319</v>
      </c>
    </row>
    <row r="34482">
      <c r="A34482" s="48" t="s">
        <v>1428</v>
      </c>
      <c r="B34482" s="38">
        <v>31479.0</v>
      </c>
      <c r="C34482" s="38" t="s">
        <v>38678</v>
      </c>
      <c r="D34482" s="38" t="str">
        <f>IFERROR(__xludf.DUMMYFUNCTION("REGEXREPLACE(C34482,""-\d+(.*)|--\d+(.*)"","""")"),"SAINT-FERREOL-DE-COMMINGES")</f>
        <v>SAINT-FERREOL-DE-COMMINGES</v>
      </c>
      <c r="E34482" s="38" t="s">
        <v>93</v>
      </c>
      <c r="F34482" s="38" t="s">
        <v>94</v>
      </c>
      <c r="G34482" s="49" t="str">
        <f t="shared" si="1"/>
        <v>31350</v>
      </c>
      <c r="H34482" s="49">
        <f t="shared" si="2"/>
        <v>31479</v>
      </c>
    </row>
    <row r="34483">
      <c r="A34483" s="48" t="s">
        <v>811</v>
      </c>
      <c r="B34483" s="38">
        <v>83104.0</v>
      </c>
      <c r="C34483" s="38" t="s">
        <v>35264</v>
      </c>
      <c r="D34483" s="38" t="str">
        <f>IFERROR(__xludf.DUMMYFUNCTION("REGEXREPLACE(C34483,""-\d+(.*)|--\d+(.*)"","""")"),"RIANS")</f>
        <v>RIANS</v>
      </c>
      <c r="E34483" s="38" t="s">
        <v>813</v>
      </c>
      <c r="F34483" s="38" t="s">
        <v>228</v>
      </c>
      <c r="G34483" s="49" t="str">
        <f t="shared" si="1"/>
        <v>83560</v>
      </c>
      <c r="H34483" s="49">
        <f t="shared" si="2"/>
        <v>83104</v>
      </c>
    </row>
    <row r="34484">
      <c r="A34484" s="48" t="s">
        <v>5772</v>
      </c>
      <c r="B34484" s="38">
        <v>43011.0</v>
      </c>
      <c r="C34484" s="38" t="s">
        <v>38679</v>
      </c>
      <c r="D34484" s="38" t="str">
        <f>IFERROR(__xludf.DUMMYFUNCTION("REGEXREPLACE(C34484,""-\d+(.*)|--\d+(.*)"","""")"),"AUBAZAT")</f>
        <v>AUBAZAT</v>
      </c>
      <c r="E34484" s="38" t="s">
        <v>332</v>
      </c>
      <c r="F34484" s="38" t="s">
        <v>161</v>
      </c>
      <c r="G34484" s="49" t="str">
        <f t="shared" si="1"/>
        <v>43380</v>
      </c>
      <c r="H34484" s="49">
        <f t="shared" si="2"/>
        <v>43011</v>
      </c>
    </row>
    <row r="34485">
      <c r="A34485" s="48" t="s">
        <v>6515</v>
      </c>
      <c r="B34485" s="38">
        <v>62123.0</v>
      </c>
      <c r="C34485" s="38" t="s">
        <v>38680</v>
      </c>
      <c r="D34485" s="38" t="str">
        <f>IFERROR(__xludf.DUMMYFUNCTION("REGEXREPLACE(C34485,""-\d+(.*)|--\d+(.*)"","""")"),"BEUSSENT")</f>
        <v>BEUSSENT</v>
      </c>
      <c r="E34485" s="38" t="s">
        <v>109</v>
      </c>
      <c r="F34485" s="38" t="s">
        <v>86</v>
      </c>
      <c r="G34485" s="49" t="str">
        <f t="shared" si="1"/>
        <v>62170</v>
      </c>
      <c r="H34485" s="49">
        <f t="shared" si="2"/>
        <v>62123</v>
      </c>
    </row>
    <row r="34486">
      <c r="A34486" s="48" t="s">
        <v>38681</v>
      </c>
      <c r="B34486" s="38">
        <v>50173.0</v>
      </c>
      <c r="C34486" s="38" t="s">
        <v>38682</v>
      </c>
      <c r="D34486" s="38" t="str">
        <f>IFERROR(__xludf.DUMMYFUNCTION("REGEXREPLACE(C34486,""-\d+(.*)|--\d+(.*)"","""")"),"EQUEURDREVILLE-HAINNEVILLE")</f>
        <v>EQUEURDREVILLE-HAINNEVILLE</v>
      </c>
      <c r="E34486" s="38" t="s">
        <v>157</v>
      </c>
      <c r="F34486" s="38" t="s">
        <v>138</v>
      </c>
      <c r="G34486" s="49" t="str">
        <f t="shared" si="1"/>
        <v>50120</v>
      </c>
      <c r="H34486" s="49">
        <f t="shared" si="2"/>
        <v>50173</v>
      </c>
    </row>
    <row r="34487">
      <c r="A34487" s="48" t="s">
        <v>2225</v>
      </c>
      <c r="B34487" s="38">
        <v>22008.0</v>
      </c>
      <c r="C34487" s="38" t="s">
        <v>38683</v>
      </c>
      <c r="D34487" s="38" t="str">
        <f>IFERROR(__xludf.DUMMYFUNCTION("REGEXREPLACE(C34487,""-\d+(.*)|--\d+(.*)"","""")"),"BOBITAL")</f>
        <v>BOBITAL</v>
      </c>
      <c r="E34487" s="38" t="s">
        <v>89</v>
      </c>
      <c r="F34487" s="38" t="s">
        <v>90</v>
      </c>
      <c r="G34487" s="49" t="str">
        <f t="shared" si="1"/>
        <v>22100</v>
      </c>
      <c r="H34487" s="49">
        <f t="shared" si="2"/>
        <v>22008</v>
      </c>
    </row>
    <row r="34488">
      <c r="A34488" s="48" t="s">
        <v>38684</v>
      </c>
      <c r="B34488" s="38">
        <v>93031.0</v>
      </c>
      <c r="C34488" s="38" t="s">
        <v>38685</v>
      </c>
      <c r="D34488" s="38" t="str">
        <f>IFERROR(__xludf.DUMMYFUNCTION("REGEXREPLACE(C34488,""-\d+(.*)|--\d+(.*)"","""")"),"EPINAY-SUR-SEINE")</f>
        <v>EPINAY-SUR-SEINE</v>
      </c>
      <c r="E34488" s="38" t="s">
        <v>341</v>
      </c>
      <c r="F34488" s="38" t="s">
        <v>245</v>
      </c>
      <c r="G34488" s="49" t="str">
        <f t="shared" si="1"/>
        <v>93800</v>
      </c>
      <c r="H34488" s="49">
        <f t="shared" si="2"/>
        <v>93031</v>
      </c>
    </row>
    <row r="34489">
      <c r="A34489" s="48" t="s">
        <v>394</v>
      </c>
      <c r="B34489" s="38">
        <v>41287.0</v>
      </c>
      <c r="C34489" s="38" t="s">
        <v>38686</v>
      </c>
      <c r="D34489" s="38" t="str">
        <f>IFERROR(__xludf.DUMMYFUNCTION("REGEXREPLACE(C34489,""-\d+(.*)|--\d+(.*)"","""")"),"VILLERABLE")</f>
        <v>VILLERABLE</v>
      </c>
      <c r="E34489" s="38" t="s">
        <v>188</v>
      </c>
      <c r="F34489" s="38" t="s">
        <v>123</v>
      </c>
      <c r="G34489" s="49" t="str">
        <f t="shared" si="1"/>
        <v>41100</v>
      </c>
      <c r="H34489" s="49">
        <f t="shared" si="2"/>
        <v>41287</v>
      </c>
    </row>
    <row r="34490">
      <c r="A34490" s="48" t="s">
        <v>1151</v>
      </c>
      <c r="B34490" s="38">
        <v>58122.0</v>
      </c>
      <c r="C34490" s="38" t="s">
        <v>38687</v>
      </c>
      <c r="D34490" s="38" t="str">
        <f>IFERROR(__xludf.DUMMYFUNCTION("REGEXREPLACE(C34490,""-\d+(.*)|--\d+(.*)"","""")"),"GARCHY")</f>
        <v>GARCHY</v>
      </c>
      <c r="E34490" s="38" t="s">
        <v>219</v>
      </c>
      <c r="F34490" s="38" t="s">
        <v>106</v>
      </c>
      <c r="G34490" s="49" t="str">
        <f t="shared" si="1"/>
        <v>58150</v>
      </c>
      <c r="H34490" s="49">
        <f t="shared" si="2"/>
        <v>58122</v>
      </c>
    </row>
    <row r="34491">
      <c r="A34491" s="48" t="s">
        <v>19153</v>
      </c>
      <c r="B34491" s="38">
        <v>78517.0</v>
      </c>
      <c r="C34491" s="38" t="s">
        <v>38688</v>
      </c>
      <c r="D34491" s="38" t="str">
        <f>IFERROR(__xludf.DUMMYFUNCTION("REGEXREPLACE(C34491,""-\d+(.*)|--\d+(.*)"","""")"),"RAMBOUILLET")</f>
        <v>RAMBOUILLET</v>
      </c>
      <c r="E34491" s="38" t="s">
        <v>362</v>
      </c>
      <c r="F34491" s="38" t="s">
        <v>245</v>
      </c>
      <c r="G34491" s="49" t="str">
        <f t="shared" si="1"/>
        <v>78120</v>
      </c>
      <c r="H34491" s="49">
        <f t="shared" si="2"/>
        <v>78517</v>
      </c>
    </row>
    <row r="34492">
      <c r="A34492" s="48" t="s">
        <v>1114</v>
      </c>
      <c r="B34492" s="38">
        <v>2750.0</v>
      </c>
      <c r="C34492" s="38" t="s">
        <v>38689</v>
      </c>
      <c r="D34492" s="38" t="str">
        <f>IFERROR(__xludf.DUMMYFUNCTION("REGEXREPLACE(C34492,""-\d+(.*)|--\d+(.*)"","""")"),"TROSLY-LOIRE")</f>
        <v>TROSLY-LOIRE</v>
      </c>
      <c r="E34492" s="38" t="s">
        <v>191</v>
      </c>
      <c r="F34492" s="38" t="s">
        <v>113</v>
      </c>
      <c r="G34492" s="49" t="str">
        <f t="shared" si="1"/>
        <v>02300</v>
      </c>
      <c r="H34492" s="49" t="str">
        <f t="shared" si="2"/>
        <v>02750</v>
      </c>
    </row>
    <row r="34493">
      <c r="A34493" s="48" t="s">
        <v>30432</v>
      </c>
      <c r="B34493" s="38">
        <v>78396.0</v>
      </c>
      <c r="C34493" s="38" t="s">
        <v>38690</v>
      </c>
      <c r="D34493" s="38" t="str">
        <f>IFERROR(__xludf.DUMMYFUNCTION("REGEXREPLACE(C34493,""-\d+(.*)|--\d+(.*)"","""")"),"LE MESNIL-LE-ROI")</f>
        <v>LE MESNIL-LE-ROI</v>
      </c>
      <c r="E34493" s="38" t="s">
        <v>362</v>
      </c>
      <c r="F34493" s="38" t="s">
        <v>245</v>
      </c>
      <c r="G34493" s="49" t="str">
        <f t="shared" si="1"/>
        <v>78600</v>
      </c>
      <c r="H34493" s="49">
        <f t="shared" si="2"/>
        <v>78396</v>
      </c>
    </row>
    <row r="34494">
      <c r="A34494" s="48" t="s">
        <v>32022</v>
      </c>
      <c r="B34494" s="38">
        <v>74268.0</v>
      </c>
      <c r="C34494" s="38" t="s">
        <v>38691</v>
      </c>
      <c r="D34494" s="38" t="str">
        <f>IFERROR(__xludf.DUMMYFUNCTION("REGEXREPLACE(C34494,""-\d+(.*)|--\d+(.*)"","""")"),"SEYNOD")</f>
        <v>SEYNOD</v>
      </c>
      <c r="E34494" s="38" t="s">
        <v>319</v>
      </c>
      <c r="F34494" s="38" t="s">
        <v>102</v>
      </c>
      <c r="G34494" s="49" t="str">
        <f t="shared" si="1"/>
        <v>74600</v>
      </c>
      <c r="H34494" s="49">
        <f t="shared" si="2"/>
        <v>74268</v>
      </c>
    </row>
    <row r="34495">
      <c r="A34495" s="48" t="s">
        <v>11810</v>
      </c>
      <c r="B34495" s="38">
        <v>50594.0</v>
      </c>
      <c r="C34495" s="38" t="s">
        <v>38692</v>
      </c>
      <c r="D34495" s="38" t="str">
        <f>IFERROR(__xludf.DUMMYFUNCTION("REGEXREPLACE(C34495,""-\d+(.*)|--\d+(.*)"","""")"),"TEURTHEVILLE-HAGUE")</f>
        <v>TEURTHEVILLE-HAGUE</v>
      </c>
      <c r="E34495" s="38" t="s">
        <v>157</v>
      </c>
      <c r="F34495" s="38" t="s">
        <v>138</v>
      </c>
      <c r="G34495" s="49" t="str">
        <f t="shared" si="1"/>
        <v>50690</v>
      </c>
      <c r="H34495" s="49">
        <f t="shared" si="2"/>
        <v>50594</v>
      </c>
    </row>
    <row r="34496">
      <c r="A34496" s="48" t="s">
        <v>3379</v>
      </c>
      <c r="B34496" s="38">
        <v>54359.0</v>
      </c>
      <c r="C34496" s="38" t="s">
        <v>38693</v>
      </c>
      <c r="D34496" s="38" t="str">
        <f>IFERROR(__xludf.DUMMYFUNCTION("REGEXREPLACE(C34496,""-\d+(.*)|--\d+(.*)"","""")"),"MEHONCOURT")</f>
        <v>MEHONCOURT</v>
      </c>
      <c r="E34496" s="38" t="s">
        <v>548</v>
      </c>
      <c r="F34496" s="38" t="s">
        <v>195</v>
      </c>
      <c r="G34496" s="49" t="str">
        <f t="shared" si="1"/>
        <v>54360</v>
      </c>
      <c r="H34496" s="49">
        <f t="shared" si="2"/>
        <v>54359</v>
      </c>
    </row>
    <row r="34497">
      <c r="A34497" s="48" t="s">
        <v>6328</v>
      </c>
      <c r="B34497" s="38">
        <v>30111.0</v>
      </c>
      <c r="C34497" s="38" t="s">
        <v>38694</v>
      </c>
      <c r="D34497" s="38" t="str">
        <f>IFERROR(__xludf.DUMMYFUNCTION("REGEXREPLACE(C34497,""-\d+(.*)|--\d+(.*)"","""")"),"FOISSAC")</f>
        <v>FOISSAC</v>
      </c>
      <c r="E34497" s="38" t="s">
        <v>526</v>
      </c>
      <c r="F34497" s="38" t="s">
        <v>119</v>
      </c>
      <c r="G34497" s="49" t="str">
        <f t="shared" si="1"/>
        <v>30700</v>
      </c>
      <c r="H34497" s="49">
        <f t="shared" si="2"/>
        <v>30111</v>
      </c>
    </row>
    <row r="34498">
      <c r="A34498" s="48" t="s">
        <v>2710</v>
      </c>
      <c r="B34498" s="38">
        <v>68194.0</v>
      </c>
      <c r="C34498" s="38" t="s">
        <v>38695</v>
      </c>
      <c r="D34498" s="38" t="str">
        <f>IFERROR(__xludf.DUMMYFUNCTION("REGEXREPLACE(C34498,""-\d+(.*)|--\d+(.*)"","""")"),"LUTTER")</f>
        <v>LUTTER</v>
      </c>
      <c r="E34498" s="38" t="s">
        <v>150</v>
      </c>
      <c r="F34498" s="38" t="s">
        <v>151</v>
      </c>
      <c r="G34498" s="49" t="str">
        <f t="shared" si="1"/>
        <v>68480</v>
      </c>
      <c r="H34498" s="49">
        <f t="shared" si="2"/>
        <v>68194</v>
      </c>
    </row>
    <row r="34499">
      <c r="A34499" s="48" t="s">
        <v>736</v>
      </c>
      <c r="B34499" s="38">
        <v>57552.0</v>
      </c>
      <c r="C34499" s="38" t="s">
        <v>24057</v>
      </c>
      <c r="D34499" s="38" t="str">
        <f>IFERROR(__xludf.DUMMYFUNCTION("REGEXREPLACE(C34499,""-\d+(.*)|--\d+(.*)"","""")"),"POUILLY")</f>
        <v>POUILLY</v>
      </c>
      <c r="E34499" s="38" t="s">
        <v>303</v>
      </c>
      <c r="F34499" s="38" t="s">
        <v>195</v>
      </c>
      <c r="G34499" s="49" t="str">
        <f t="shared" si="1"/>
        <v>57420</v>
      </c>
      <c r="H34499" s="49">
        <f t="shared" si="2"/>
        <v>57552</v>
      </c>
    </row>
    <row r="34500">
      <c r="A34500" s="48" t="s">
        <v>597</v>
      </c>
      <c r="B34500" s="38">
        <v>31322.0</v>
      </c>
      <c r="C34500" s="38" t="s">
        <v>38696</v>
      </c>
      <c r="D34500" s="38" t="str">
        <f>IFERROR(__xludf.DUMMYFUNCTION("REGEXREPLACE(C34500,""-\d+(.*)|--\d+(.*)"","""")"),"MARTISSERRE")</f>
        <v>MARTISSERRE</v>
      </c>
      <c r="E34500" s="38" t="s">
        <v>93</v>
      </c>
      <c r="F34500" s="38" t="s">
        <v>94</v>
      </c>
      <c r="G34500" s="49" t="str">
        <f t="shared" si="1"/>
        <v>31230</v>
      </c>
      <c r="H34500" s="49">
        <f t="shared" si="2"/>
        <v>31322</v>
      </c>
    </row>
    <row r="34501">
      <c r="A34501" s="48" t="s">
        <v>4679</v>
      </c>
      <c r="B34501" s="38">
        <v>17440.0</v>
      </c>
      <c r="C34501" s="38" t="s">
        <v>11590</v>
      </c>
      <c r="D34501" s="38" t="str">
        <f>IFERROR(__xludf.DUMMYFUNCTION("REGEXREPLACE(C34501,""-\d+(.*)|--\d+(.*)"","""")"),"TERNANT")</f>
        <v>TERNANT</v>
      </c>
      <c r="E34501" s="38" t="s">
        <v>488</v>
      </c>
      <c r="F34501" s="38" t="s">
        <v>338</v>
      </c>
      <c r="G34501" s="49" t="str">
        <f t="shared" si="1"/>
        <v>17400</v>
      </c>
      <c r="H34501" s="49">
        <f t="shared" si="2"/>
        <v>17440</v>
      </c>
    </row>
    <row r="34502">
      <c r="A34502" s="48" t="s">
        <v>2100</v>
      </c>
      <c r="B34502" s="38">
        <v>14159.0</v>
      </c>
      <c r="C34502" s="38" t="s">
        <v>38697</v>
      </c>
      <c r="D34502" s="38" t="str">
        <f>IFERROR(__xludf.DUMMYFUNCTION("REGEXREPLACE(C34502,""-\d+(.*)|--\d+(.*)"","""")"),"CHOUAIN")</f>
        <v>CHOUAIN</v>
      </c>
      <c r="E34502" s="38" t="s">
        <v>137</v>
      </c>
      <c r="F34502" s="38" t="s">
        <v>138</v>
      </c>
      <c r="G34502" s="49" t="str">
        <f t="shared" si="1"/>
        <v>14250</v>
      </c>
      <c r="H34502" s="49">
        <f t="shared" si="2"/>
        <v>14159</v>
      </c>
    </row>
    <row r="34503">
      <c r="A34503" s="48" t="s">
        <v>6734</v>
      </c>
      <c r="B34503" s="38">
        <v>28375.0</v>
      </c>
      <c r="C34503" s="38" t="s">
        <v>38698</v>
      </c>
      <c r="D34503" s="38" t="str">
        <f>IFERROR(__xludf.DUMMYFUNCTION("REGEXREPLACE(C34503,""-\d+(.*)|--\d+(.*)"","""")"),"SERVILLE")</f>
        <v>SERVILLE</v>
      </c>
      <c r="E34503" s="38" t="s">
        <v>300</v>
      </c>
      <c r="F34503" s="38" t="s">
        <v>123</v>
      </c>
      <c r="G34503" s="49" t="str">
        <f t="shared" si="1"/>
        <v>28410</v>
      </c>
      <c r="H34503" s="49">
        <f t="shared" si="2"/>
        <v>28375</v>
      </c>
    </row>
    <row r="34504">
      <c r="A34504" s="48" t="s">
        <v>6858</v>
      </c>
      <c r="B34504" s="38">
        <v>71057.0</v>
      </c>
      <c r="C34504" s="38" t="s">
        <v>19540</v>
      </c>
      <c r="D34504" s="38" t="str">
        <f>IFERROR(__xludf.DUMMYFUNCTION("REGEXREPLACE(C34504,""-\d+(.*)|--\d+(.*)"","""")"),"BRAY")</f>
        <v>BRAY</v>
      </c>
      <c r="E34504" s="38" t="s">
        <v>344</v>
      </c>
      <c r="F34504" s="38" t="s">
        <v>106</v>
      </c>
      <c r="G34504" s="49" t="str">
        <f t="shared" si="1"/>
        <v>71250</v>
      </c>
      <c r="H34504" s="49">
        <f t="shared" si="2"/>
        <v>71057</v>
      </c>
    </row>
    <row r="34505">
      <c r="A34505" s="48" t="s">
        <v>9365</v>
      </c>
      <c r="B34505" s="38">
        <v>90084.0</v>
      </c>
      <c r="C34505" s="38" t="s">
        <v>38699</v>
      </c>
      <c r="D34505" s="38" t="str">
        <f>IFERROR(__xludf.DUMMYFUNCTION("REGEXREPLACE(C34505,""-\d+(.*)|--\d+(.*)"","""")"),"REPPE")</f>
        <v>REPPE</v>
      </c>
      <c r="E34505" s="38" t="s">
        <v>1283</v>
      </c>
      <c r="F34505" s="38" t="s">
        <v>214</v>
      </c>
      <c r="G34505" s="49" t="str">
        <f t="shared" si="1"/>
        <v>90150</v>
      </c>
      <c r="H34505" s="49">
        <f t="shared" si="2"/>
        <v>90084</v>
      </c>
    </row>
    <row r="34506">
      <c r="A34506" s="48" t="s">
        <v>26164</v>
      </c>
      <c r="B34506" s="38">
        <v>59438.0</v>
      </c>
      <c r="C34506" s="38" t="s">
        <v>38700</v>
      </c>
      <c r="D34506" s="38" t="str">
        <f>IFERROR(__xludf.DUMMYFUNCTION("REGEXREPLACE(C34506,""-\d+(.*)|--\d+(.*)"","""")"),"NOYELLES-SUR-ESCAUT")</f>
        <v>NOYELLES-SUR-ESCAUT</v>
      </c>
      <c r="E34506" s="38" t="s">
        <v>85</v>
      </c>
      <c r="F34506" s="38" t="s">
        <v>86</v>
      </c>
      <c r="G34506" s="49" t="str">
        <f t="shared" si="1"/>
        <v>59159</v>
      </c>
      <c r="H34506" s="49">
        <f t="shared" si="2"/>
        <v>59438</v>
      </c>
    </row>
    <row r="34507">
      <c r="A34507" s="48" t="s">
        <v>7906</v>
      </c>
      <c r="B34507" s="38">
        <v>44104.0</v>
      </c>
      <c r="C34507" s="38" t="s">
        <v>38701</v>
      </c>
      <c r="D34507" s="38" t="str">
        <f>IFERROR(__xludf.DUMMYFUNCTION("REGEXREPLACE(C34507,""-\d+(.*)|--\d+(.*)"","""")"),"MONTRELAIS")</f>
        <v>MONTRELAIS</v>
      </c>
      <c r="E34507" s="38" t="s">
        <v>759</v>
      </c>
      <c r="F34507" s="38" t="s">
        <v>180</v>
      </c>
      <c r="G34507" s="49" t="str">
        <f t="shared" si="1"/>
        <v>44370</v>
      </c>
      <c r="H34507" s="49">
        <f t="shared" si="2"/>
        <v>44104</v>
      </c>
    </row>
    <row r="34508">
      <c r="A34508" s="48" t="s">
        <v>38702</v>
      </c>
      <c r="B34508" s="38">
        <v>13111.0</v>
      </c>
      <c r="C34508" s="38" t="s">
        <v>38703</v>
      </c>
      <c r="D34508" s="38" t="str">
        <f>IFERROR(__xludf.DUMMYFUNCTION("REGEXREPLACE(C34508,""-\d+(.*)|--\d+(.*)"","""")"),"VAUVENARGUES")</f>
        <v>VAUVENARGUES</v>
      </c>
      <c r="E34508" s="38" t="s">
        <v>980</v>
      </c>
      <c r="F34508" s="38" t="s">
        <v>228</v>
      </c>
      <c r="G34508" s="49" t="str">
        <f t="shared" si="1"/>
        <v>13126</v>
      </c>
      <c r="H34508" s="49">
        <f t="shared" si="2"/>
        <v>13111</v>
      </c>
    </row>
    <row r="34509">
      <c r="A34509" s="48" t="s">
        <v>15603</v>
      </c>
      <c r="B34509" s="38">
        <v>88205.0</v>
      </c>
      <c r="C34509" s="38" t="s">
        <v>38704</v>
      </c>
      <c r="D34509" s="38" t="str">
        <f>IFERROR(__xludf.DUMMYFUNCTION("REGEXREPLACE(C34509,""-\d+(.*)|--\d+(.*)"","""")"),"GIRMONT-VAL-D'AJOL")</f>
        <v>GIRMONT-VAL-D'AJOL</v>
      </c>
      <c r="E34509" s="38" t="s">
        <v>194</v>
      </c>
      <c r="F34509" s="38" t="s">
        <v>195</v>
      </c>
      <c r="G34509" s="49" t="str">
        <f t="shared" si="1"/>
        <v>88340</v>
      </c>
      <c r="H34509" s="49">
        <f t="shared" si="2"/>
        <v>88205</v>
      </c>
    </row>
    <row r="34510">
      <c r="A34510" s="48" t="s">
        <v>23965</v>
      </c>
      <c r="B34510" s="38">
        <v>27528.0</v>
      </c>
      <c r="C34510" s="38" t="s">
        <v>38705</v>
      </c>
      <c r="D34510" s="38" t="str">
        <f>IFERROR(__xludf.DUMMYFUNCTION("REGEXREPLACE(C34510,""-\d+(.*)|--\d+(.*)"","""")"),"LE VAUDREUIL")</f>
        <v>LE VAUDREUIL</v>
      </c>
      <c r="E34510" s="38" t="s">
        <v>241</v>
      </c>
      <c r="F34510" s="38" t="s">
        <v>134</v>
      </c>
      <c r="G34510" s="49" t="str">
        <f t="shared" si="1"/>
        <v>27100</v>
      </c>
      <c r="H34510" s="49">
        <f t="shared" si="2"/>
        <v>27528</v>
      </c>
    </row>
    <row r="34511">
      <c r="A34511" s="48" t="s">
        <v>476</v>
      </c>
      <c r="B34511" s="38">
        <v>35009.0</v>
      </c>
      <c r="C34511" s="38" t="s">
        <v>38706</v>
      </c>
      <c r="D34511" s="38" t="str">
        <f>IFERROR(__xludf.DUMMYFUNCTION("REGEXREPLACE(C34511,""-\d+(.*)|--\d+(.*)"","""")"),"BAGUER-MORVAN")</f>
        <v>BAGUER-MORVAN</v>
      </c>
      <c r="E34511" s="38" t="s">
        <v>347</v>
      </c>
      <c r="F34511" s="38" t="s">
        <v>90</v>
      </c>
      <c r="G34511" s="49" t="str">
        <f t="shared" si="1"/>
        <v>35120</v>
      </c>
      <c r="H34511" s="49">
        <f t="shared" si="2"/>
        <v>35009</v>
      </c>
    </row>
    <row r="34512">
      <c r="A34512" s="48" t="s">
        <v>1284</v>
      </c>
      <c r="B34512" s="38">
        <v>9168.0</v>
      </c>
      <c r="C34512" s="38" t="s">
        <v>38707</v>
      </c>
      <c r="D34512" s="38" t="str">
        <f>IFERROR(__xludf.DUMMYFUNCTION("REGEXREPLACE(C34512,""-\d+(.*)|--\d+(.*)"","""")"),"LIEURAC")</f>
        <v>LIEURAC</v>
      </c>
      <c r="E34512" s="38" t="s">
        <v>238</v>
      </c>
      <c r="F34512" s="38" t="s">
        <v>94</v>
      </c>
      <c r="G34512" s="49" t="str">
        <f t="shared" si="1"/>
        <v>09300</v>
      </c>
      <c r="H34512" s="49" t="str">
        <f t="shared" si="2"/>
        <v>09168</v>
      </c>
    </row>
    <row r="34513">
      <c r="A34513" s="48" t="s">
        <v>2989</v>
      </c>
      <c r="B34513" s="38">
        <v>70301.0</v>
      </c>
      <c r="C34513" s="38" t="s">
        <v>38708</v>
      </c>
      <c r="D34513" s="38" t="str">
        <f>IFERROR(__xludf.DUMMYFUNCTION("REGEXREPLACE(C34513,""-\d+(.*)|--\d+(.*)"","""")"),"LIEFFRANS")</f>
        <v>LIEFFRANS</v>
      </c>
      <c r="E34513" s="38" t="s">
        <v>956</v>
      </c>
      <c r="F34513" s="38" t="s">
        <v>214</v>
      </c>
      <c r="G34513" s="49" t="str">
        <f t="shared" si="1"/>
        <v>70190</v>
      </c>
      <c r="H34513" s="49">
        <f t="shared" si="2"/>
        <v>70301</v>
      </c>
    </row>
    <row r="34514">
      <c r="A34514" s="48" t="s">
        <v>38709</v>
      </c>
      <c r="B34514" s="38">
        <v>69385.0</v>
      </c>
      <c r="C34514" s="38" t="s">
        <v>38710</v>
      </c>
      <c r="D34514" s="38" t="str">
        <f>IFERROR(__xludf.DUMMYFUNCTION("REGEXREPLACE(C34514,""-\d+(.*)|--\d+(.*)"","""")"),"LYON")</f>
        <v>LYON</v>
      </c>
      <c r="E34514" s="38" t="s">
        <v>350</v>
      </c>
      <c r="F34514" s="38" t="s">
        <v>102</v>
      </c>
      <c r="G34514" s="49" t="str">
        <f t="shared" si="1"/>
        <v>69005</v>
      </c>
      <c r="H34514" s="49">
        <f t="shared" si="2"/>
        <v>69385</v>
      </c>
    </row>
    <row r="34515">
      <c r="A34515" s="48" t="s">
        <v>16548</v>
      </c>
      <c r="B34515" s="38" t="s">
        <v>38711</v>
      </c>
      <c r="C34515" s="38" t="s">
        <v>38712</v>
      </c>
      <c r="D34515" s="38" t="str">
        <f>IFERROR(__xludf.DUMMYFUNCTION("REGEXREPLACE(C34515,""-\d+(.*)|--\d+(.*)"","""")"),"AZILONE-AMPAZA")</f>
        <v>AZILONE-AMPAZA</v>
      </c>
      <c r="E34515" s="38" t="s">
        <v>606</v>
      </c>
      <c r="F34515" s="38" t="s">
        <v>607</v>
      </c>
      <c r="G34515" s="49" t="str">
        <f t="shared" si="1"/>
        <v>20190</v>
      </c>
      <c r="H34515" s="49" t="str">
        <f t="shared" si="2"/>
        <v>2A026</v>
      </c>
    </row>
    <row r="34516">
      <c r="A34516" s="48" t="s">
        <v>4308</v>
      </c>
      <c r="B34516" s="38" t="s">
        <v>38713</v>
      </c>
      <c r="C34516" s="38" t="s">
        <v>38714</v>
      </c>
      <c r="D34516" s="38" t="str">
        <f>IFERROR(__xludf.DUMMYFUNCTION("REGEXREPLACE(C34516,""-\d+(.*)|--\d+(.*)"","""")"),"SANT'ANDREA-DI-BOZIO")</f>
        <v>SANT'ANDREA-DI-BOZIO</v>
      </c>
      <c r="E34516" s="38" t="s">
        <v>743</v>
      </c>
      <c r="F34516" s="38" t="s">
        <v>607</v>
      </c>
      <c r="G34516" s="49" t="str">
        <f t="shared" si="1"/>
        <v>20212</v>
      </c>
      <c r="H34516" s="49" t="str">
        <f t="shared" si="2"/>
        <v>2B292</v>
      </c>
    </row>
    <row r="34517">
      <c r="A34517" s="48" t="s">
        <v>2073</v>
      </c>
      <c r="B34517" s="38">
        <v>8301.0</v>
      </c>
      <c r="C34517" s="38" t="s">
        <v>38715</v>
      </c>
      <c r="D34517" s="38" t="str">
        <f>IFERROR(__xludf.DUMMYFUNCTION("REGEXREPLACE(C34517,""-\d+(.*)|--\d+(.*)"","""")"),"MONTGON")</f>
        <v>MONTGON</v>
      </c>
      <c r="E34517" s="38" t="s">
        <v>327</v>
      </c>
      <c r="F34517" s="38" t="s">
        <v>130</v>
      </c>
      <c r="G34517" s="49" t="str">
        <f t="shared" si="1"/>
        <v>08390</v>
      </c>
      <c r="H34517" s="49" t="str">
        <f t="shared" si="2"/>
        <v>08301</v>
      </c>
    </row>
    <row r="34518">
      <c r="A34518" s="48" t="s">
        <v>4447</v>
      </c>
      <c r="B34518" s="38">
        <v>39009.0</v>
      </c>
      <c r="C34518" s="38" t="s">
        <v>38716</v>
      </c>
      <c r="D34518" s="38" t="str">
        <f>IFERROR(__xludf.DUMMYFUNCTION("REGEXREPLACE(C34518,""-\d+(.*)|--\d+(.*)"","""")"),"ANDELOT-EN-MONTAGNE")</f>
        <v>ANDELOT-EN-MONTAGNE</v>
      </c>
      <c r="E34518" s="38" t="s">
        <v>400</v>
      </c>
      <c r="F34518" s="38" t="s">
        <v>214</v>
      </c>
      <c r="G34518" s="49" t="str">
        <f t="shared" si="1"/>
        <v>39110</v>
      </c>
      <c r="H34518" s="49">
        <f t="shared" si="2"/>
        <v>39009</v>
      </c>
    </row>
    <row r="34519">
      <c r="A34519" s="48" t="s">
        <v>1570</v>
      </c>
      <c r="B34519" s="38">
        <v>16034.0</v>
      </c>
      <c r="C34519" s="38" t="s">
        <v>38717</v>
      </c>
      <c r="D34519" s="38" t="str">
        <f>IFERROR(__xludf.DUMMYFUNCTION("REGEXREPLACE(C34519,""-\d+(.*)|--\d+(.*)"","""")"),"BAZAC")</f>
        <v>BAZAC</v>
      </c>
      <c r="E34519" s="38" t="s">
        <v>429</v>
      </c>
      <c r="F34519" s="38" t="s">
        <v>338</v>
      </c>
      <c r="G34519" s="49" t="str">
        <f t="shared" si="1"/>
        <v>16210</v>
      </c>
      <c r="H34519" s="49">
        <f t="shared" si="2"/>
        <v>16034</v>
      </c>
    </row>
    <row r="34520">
      <c r="A34520" s="48" t="s">
        <v>33477</v>
      </c>
      <c r="B34520" s="38">
        <v>91159.0</v>
      </c>
      <c r="C34520" s="38" t="s">
        <v>2058</v>
      </c>
      <c r="D34520" s="38" t="str">
        <f>IFERROR(__xludf.DUMMYFUNCTION("REGEXREPLACE(C34520,""-\d+(.*)|--\d+(.*)"","""")"),"CHEVANNES")</f>
        <v>CHEVANNES</v>
      </c>
      <c r="E34520" s="38" t="s">
        <v>756</v>
      </c>
      <c r="F34520" s="38" t="s">
        <v>245</v>
      </c>
      <c r="G34520" s="49" t="str">
        <f t="shared" si="1"/>
        <v>91750</v>
      </c>
      <c r="H34520" s="49">
        <f t="shared" si="2"/>
        <v>91159</v>
      </c>
    </row>
    <row r="34521">
      <c r="A34521" s="48" t="s">
        <v>1118</v>
      </c>
      <c r="B34521" s="38">
        <v>50035.0</v>
      </c>
      <c r="C34521" s="38" t="s">
        <v>20679</v>
      </c>
      <c r="D34521" s="38" t="str">
        <f>IFERROR(__xludf.DUMMYFUNCTION("REGEXREPLACE(C34521,""-\d+(.*)|--\d+(.*)"","""")"),"BAUDREVILLE")</f>
        <v>BAUDREVILLE</v>
      </c>
      <c r="E34521" s="38" t="s">
        <v>157</v>
      </c>
      <c r="F34521" s="38" t="s">
        <v>138</v>
      </c>
      <c r="G34521" s="49" t="str">
        <f t="shared" si="1"/>
        <v>50250</v>
      </c>
      <c r="H34521" s="49">
        <f t="shared" si="2"/>
        <v>50035</v>
      </c>
    </row>
    <row r="34522">
      <c r="A34522" s="48" t="s">
        <v>4900</v>
      </c>
      <c r="B34522" s="38">
        <v>33018.0</v>
      </c>
      <c r="C34522" s="38" t="s">
        <v>38718</v>
      </c>
      <c r="D34522" s="38" t="str">
        <f>IFERROR(__xludf.DUMMYFUNCTION("REGEXREPLACE(C34522,""-\d+(.*)|--\d+(.*)"","""")"),"AUBIE-ET-ESPESSAS")</f>
        <v>AUBIE-ET-ESPESSAS</v>
      </c>
      <c r="E34522" s="38" t="s">
        <v>462</v>
      </c>
      <c r="F34522" s="38" t="s">
        <v>252</v>
      </c>
      <c r="G34522" s="49" t="str">
        <f t="shared" si="1"/>
        <v>33240</v>
      </c>
      <c r="H34522" s="49">
        <f t="shared" si="2"/>
        <v>33018</v>
      </c>
    </row>
    <row r="34523">
      <c r="A34523" s="48" t="s">
        <v>38719</v>
      </c>
      <c r="B34523" s="38">
        <v>33522.0</v>
      </c>
      <c r="C34523" s="38" t="s">
        <v>38720</v>
      </c>
      <c r="D34523" s="38" t="str">
        <f>IFERROR(__xludf.DUMMYFUNCTION("REGEXREPLACE(C34523,""-\d+(.*)|--\d+(.*)"","""")"),"TALENCE")</f>
        <v>TALENCE</v>
      </c>
      <c r="E34523" s="38" t="s">
        <v>462</v>
      </c>
      <c r="F34523" s="38" t="s">
        <v>252</v>
      </c>
      <c r="G34523" s="49" t="str">
        <f t="shared" si="1"/>
        <v>33400</v>
      </c>
      <c r="H34523" s="49">
        <f t="shared" si="2"/>
        <v>33522</v>
      </c>
    </row>
    <row r="34524">
      <c r="A34524" s="48" t="s">
        <v>533</v>
      </c>
      <c r="B34524" s="38">
        <v>50414.0</v>
      </c>
      <c r="C34524" s="38" t="s">
        <v>38721</v>
      </c>
      <c r="D34524" s="38" t="str">
        <f>IFERROR(__xludf.DUMMYFUNCTION("REGEXREPLACE(C34524,""-\d+(.*)|--\d+(.*)"","""")"),"PRECORBIN")</f>
        <v>PRECORBIN</v>
      </c>
      <c r="E34524" s="38" t="s">
        <v>157</v>
      </c>
      <c r="F34524" s="38" t="s">
        <v>138</v>
      </c>
      <c r="G34524" s="49" t="str">
        <f t="shared" si="1"/>
        <v>50810</v>
      </c>
      <c r="H34524" s="49">
        <f t="shared" si="2"/>
        <v>50414</v>
      </c>
    </row>
    <row r="34525">
      <c r="A34525" s="48" t="s">
        <v>7153</v>
      </c>
      <c r="B34525" s="38">
        <v>30101.0</v>
      </c>
      <c r="C34525" s="38" t="s">
        <v>38722</v>
      </c>
      <c r="D34525" s="38" t="str">
        <f>IFERROR(__xludf.DUMMYFUNCTION("REGEXREPLACE(C34525,""-\d+(.*)|--\d+(.*)"","""")"),"DEAUX")</f>
        <v>DEAUX</v>
      </c>
      <c r="E34525" s="38" t="s">
        <v>526</v>
      </c>
      <c r="F34525" s="38" t="s">
        <v>119</v>
      </c>
      <c r="G34525" s="49" t="str">
        <f t="shared" si="1"/>
        <v>30360</v>
      </c>
      <c r="H34525" s="49">
        <f t="shared" si="2"/>
        <v>30101</v>
      </c>
    </row>
    <row r="34526">
      <c r="A34526" s="48" t="s">
        <v>9475</v>
      </c>
      <c r="B34526" s="38">
        <v>38376.0</v>
      </c>
      <c r="C34526" s="38" t="s">
        <v>38723</v>
      </c>
      <c r="D34526" s="38" t="str">
        <f>IFERROR(__xludf.DUMMYFUNCTION("REGEXREPLACE(C34526,""-\d+(.*)|--\d+(.*)"","""")"),"SAINT-CHRISTOPHE-SUR-GUIERS")</f>
        <v>SAINT-CHRISTOPHE-SUR-GUIERS</v>
      </c>
      <c r="E34526" s="38" t="s">
        <v>101</v>
      </c>
      <c r="F34526" s="38" t="s">
        <v>102</v>
      </c>
      <c r="G34526" s="49" t="str">
        <f t="shared" si="1"/>
        <v>38380</v>
      </c>
      <c r="H34526" s="49">
        <f t="shared" si="2"/>
        <v>38376</v>
      </c>
    </row>
    <row r="34527">
      <c r="A34527" s="48" t="s">
        <v>18666</v>
      </c>
      <c r="B34527" s="38">
        <v>42316.0</v>
      </c>
      <c r="C34527" s="38" t="s">
        <v>38724</v>
      </c>
      <c r="D34527" s="38" t="str">
        <f>IFERROR(__xludf.DUMMYFUNCTION("REGEXREPLACE(C34527,""-\d+(.*)|--\d+(.*)"","""")"),"UNIEUX")</f>
        <v>UNIEUX</v>
      </c>
      <c r="E34527" s="38" t="s">
        <v>166</v>
      </c>
      <c r="F34527" s="38" t="s">
        <v>102</v>
      </c>
      <c r="G34527" s="49" t="str">
        <f t="shared" si="1"/>
        <v>42240</v>
      </c>
      <c r="H34527" s="49">
        <f t="shared" si="2"/>
        <v>42316</v>
      </c>
    </row>
    <row r="34528">
      <c r="A34528" s="48" t="s">
        <v>273</v>
      </c>
      <c r="B34528" s="38">
        <v>89088.0</v>
      </c>
      <c r="C34528" s="38" t="s">
        <v>22430</v>
      </c>
      <c r="D34528" s="38" t="str">
        <f>IFERROR(__xludf.DUMMYFUNCTION("REGEXREPLACE(C34528,""-\d+(.*)|--\d+(.*)"","""")"),"CHASSY")</f>
        <v>CHASSY</v>
      </c>
      <c r="E34528" s="38" t="s">
        <v>275</v>
      </c>
      <c r="F34528" s="38" t="s">
        <v>106</v>
      </c>
      <c r="G34528" s="49" t="str">
        <f t="shared" si="1"/>
        <v>89110</v>
      </c>
      <c r="H34528" s="49">
        <f t="shared" si="2"/>
        <v>89088</v>
      </c>
    </row>
    <row r="34529">
      <c r="A34529" s="48" t="s">
        <v>5900</v>
      </c>
      <c r="B34529" s="38">
        <v>18219.0</v>
      </c>
      <c r="C34529" s="38" t="s">
        <v>13532</v>
      </c>
      <c r="D34529" s="38" t="str">
        <f>IFERROR(__xludf.DUMMYFUNCTION("REGEXREPLACE(C34529,""-\d+(.*)|--\d+(.*)"","""")"),"SAINT-LAURENT")</f>
        <v>SAINT-LAURENT</v>
      </c>
      <c r="E34529" s="38" t="s">
        <v>504</v>
      </c>
      <c r="F34529" s="38" t="s">
        <v>123</v>
      </c>
      <c r="G34529" s="49" t="str">
        <f t="shared" si="1"/>
        <v>18330</v>
      </c>
      <c r="H34529" s="49">
        <f t="shared" si="2"/>
        <v>18219</v>
      </c>
    </row>
    <row r="34530">
      <c r="A34530" s="48" t="s">
        <v>21074</v>
      </c>
      <c r="B34530" s="38" t="s">
        <v>38725</v>
      </c>
      <c r="C34530" s="38" t="s">
        <v>38726</v>
      </c>
      <c r="D34530" s="38" t="str">
        <f>IFERROR(__xludf.DUMMYFUNCTION("REGEXREPLACE(C34530,""-\d+(.*)|--\d+(.*)"","""")"),"SANT'ANDREA-DI-COTONE")</f>
        <v>SANT'ANDREA-DI-COTONE</v>
      </c>
      <c r="E34530" s="38" t="s">
        <v>743</v>
      </c>
      <c r="F34530" s="38" t="s">
        <v>607</v>
      </c>
      <c r="G34530" s="49" t="str">
        <f t="shared" si="1"/>
        <v>20221</v>
      </c>
      <c r="H34530" s="49" t="str">
        <f t="shared" si="2"/>
        <v>2B293</v>
      </c>
    </row>
    <row r="34531">
      <c r="A34531" s="48" t="s">
        <v>486</v>
      </c>
      <c r="B34531" s="38">
        <v>17320.0</v>
      </c>
      <c r="C34531" s="38" t="s">
        <v>38727</v>
      </c>
      <c r="D34531" s="38" t="str">
        <f>IFERROR(__xludf.DUMMYFUNCTION("REGEXREPLACE(C34531,""-\d+(.*)|--\d+(.*)"","""")"),"SAINT-COUTANT-LE-GRAND")</f>
        <v>SAINT-COUTANT-LE-GRAND</v>
      </c>
      <c r="E34531" s="38" t="s">
        <v>488</v>
      </c>
      <c r="F34531" s="38" t="s">
        <v>338</v>
      </c>
      <c r="G34531" s="49" t="str">
        <f t="shared" si="1"/>
        <v>17430</v>
      </c>
      <c r="H34531" s="49">
        <f t="shared" si="2"/>
        <v>17320</v>
      </c>
    </row>
    <row r="34532">
      <c r="A34532" s="48" t="s">
        <v>5681</v>
      </c>
      <c r="B34532" s="38">
        <v>58253.0</v>
      </c>
      <c r="C34532" s="38" t="s">
        <v>7412</v>
      </c>
      <c r="D34532" s="38" t="str">
        <f>IFERROR(__xludf.DUMMYFUNCTION("REGEXREPLACE(C34532,""-\d+(.*)|--\d+(.*)"","""")"),"SAINTE-MARIE")</f>
        <v>SAINTE-MARIE</v>
      </c>
      <c r="E34532" s="38" t="s">
        <v>219</v>
      </c>
      <c r="F34532" s="38" t="s">
        <v>106</v>
      </c>
      <c r="G34532" s="49" t="str">
        <f t="shared" si="1"/>
        <v>58330</v>
      </c>
      <c r="H34532" s="49">
        <f t="shared" si="2"/>
        <v>58253</v>
      </c>
    </row>
    <row r="34533">
      <c r="A34533" s="48" t="s">
        <v>744</v>
      </c>
      <c r="B34533" s="38">
        <v>14195.0</v>
      </c>
      <c r="C34533" s="38" t="s">
        <v>38728</v>
      </c>
      <c r="D34533" s="38" t="str">
        <f>IFERROR(__xludf.DUMMYFUNCTION("REGEXREPLACE(C34533,""-\d+(.*)|--\d+(.*)"","""")"),"COURVAUDON")</f>
        <v>COURVAUDON</v>
      </c>
      <c r="E34533" s="38" t="s">
        <v>137</v>
      </c>
      <c r="F34533" s="38" t="s">
        <v>138</v>
      </c>
      <c r="G34533" s="49" t="str">
        <f t="shared" si="1"/>
        <v>14260</v>
      </c>
      <c r="H34533" s="49">
        <f t="shared" si="2"/>
        <v>14195</v>
      </c>
    </row>
    <row r="34534">
      <c r="A34534" s="48" t="s">
        <v>12009</v>
      </c>
      <c r="B34534" s="38">
        <v>71018.0</v>
      </c>
      <c r="C34534" s="38" t="s">
        <v>38729</v>
      </c>
      <c r="D34534" s="38" t="str">
        <f>IFERROR(__xludf.DUMMYFUNCTION("REGEXREPLACE(C34534,""-\d+(.*)|--\d+(.*)"","""")"),"BANTANGES")</f>
        <v>BANTANGES</v>
      </c>
      <c r="E34534" s="38" t="s">
        <v>344</v>
      </c>
      <c r="F34534" s="38" t="s">
        <v>106</v>
      </c>
      <c r="G34534" s="49" t="str">
        <f t="shared" si="1"/>
        <v>71500</v>
      </c>
      <c r="H34534" s="49">
        <f t="shared" si="2"/>
        <v>71018</v>
      </c>
    </row>
    <row r="34535">
      <c r="A34535" s="48" t="s">
        <v>4437</v>
      </c>
      <c r="B34535" s="38">
        <v>90007.0</v>
      </c>
      <c r="C34535" s="38" t="s">
        <v>38730</v>
      </c>
      <c r="D34535" s="38" t="str">
        <f>IFERROR(__xludf.DUMMYFUNCTION("REGEXREPLACE(C34535,""-\d+(.*)|--\d+(.*)"","""")"),"BANVILLARS")</f>
        <v>BANVILLARS</v>
      </c>
      <c r="E34535" s="38" t="s">
        <v>1283</v>
      </c>
      <c r="F34535" s="38" t="s">
        <v>214</v>
      </c>
      <c r="G34535" s="49" t="str">
        <f t="shared" si="1"/>
        <v>90800</v>
      </c>
      <c r="H34535" s="49">
        <f t="shared" si="2"/>
        <v>90007</v>
      </c>
    </row>
    <row r="34536">
      <c r="A34536" s="48" t="s">
        <v>1040</v>
      </c>
      <c r="B34536" s="38">
        <v>62058.0</v>
      </c>
      <c r="C34536" s="38" t="s">
        <v>38731</v>
      </c>
      <c r="D34536" s="38" t="str">
        <f>IFERROR(__xludf.DUMMYFUNCTION("REGEXREPLACE(C34536,""-\d+(.*)|--\d+(.*)"","""")"),"AUMERVAL")</f>
        <v>AUMERVAL</v>
      </c>
      <c r="E34536" s="38" t="s">
        <v>109</v>
      </c>
      <c r="F34536" s="38" t="s">
        <v>86</v>
      </c>
      <c r="G34536" s="49" t="str">
        <f t="shared" si="1"/>
        <v>62550</v>
      </c>
      <c r="H34536" s="49">
        <f t="shared" si="2"/>
        <v>62058</v>
      </c>
    </row>
    <row r="34537">
      <c r="A34537" s="48" t="s">
        <v>6715</v>
      </c>
      <c r="B34537" s="38">
        <v>59097.0</v>
      </c>
      <c r="C34537" s="38" t="s">
        <v>38732</v>
      </c>
      <c r="D34537" s="38" t="str">
        <f>IFERROR(__xludf.DUMMYFUNCTION("REGEXREPLACE(C34537,""-\d+(.*)|--\d+(.*)"","""")"),"BOURSIES")</f>
        <v>BOURSIES</v>
      </c>
      <c r="E34537" s="38" t="s">
        <v>85</v>
      </c>
      <c r="F34537" s="38" t="s">
        <v>86</v>
      </c>
      <c r="G34537" s="49" t="str">
        <f t="shared" si="1"/>
        <v>62147</v>
      </c>
      <c r="H34537" s="49">
        <f t="shared" si="2"/>
        <v>59097</v>
      </c>
    </row>
    <row r="34538">
      <c r="A34538" s="48" t="s">
        <v>4428</v>
      </c>
      <c r="B34538" s="38">
        <v>72043.0</v>
      </c>
      <c r="C34538" s="38" t="s">
        <v>38733</v>
      </c>
      <c r="D34538" s="38" t="str">
        <f>IFERROR(__xludf.DUMMYFUNCTION("REGEXREPLACE(C34538,""-\d+(.*)|--\d+(.*)"","""")"),"BOURG-LE-ROI")</f>
        <v>BOURG-LE-ROI</v>
      </c>
      <c r="E34538" s="38" t="s">
        <v>521</v>
      </c>
      <c r="F34538" s="38" t="s">
        <v>180</v>
      </c>
      <c r="G34538" s="49" t="str">
        <f t="shared" si="1"/>
        <v>72610</v>
      </c>
      <c r="H34538" s="49">
        <f t="shared" si="2"/>
        <v>72043</v>
      </c>
    </row>
    <row r="34539">
      <c r="A34539" s="48" t="s">
        <v>2162</v>
      </c>
      <c r="B34539" s="38">
        <v>26031.0</v>
      </c>
      <c r="C34539" s="38" t="s">
        <v>38734</v>
      </c>
      <c r="D34539" s="38" t="str">
        <f>IFERROR(__xludf.DUMMYFUNCTION("REGEXREPLACE(C34539,""-\d+(.*)|--\d+(.*)"","""")"),"LA BATIE-ROLLAND")</f>
        <v>LA BATIE-ROLLAND</v>
      </c>
      <c r="E34539" s="38" t="s">
        <v>126</v>
      </c>
      <c r="F34539" s="38" t="s">
        <v>102</v>
      </c>
      <c r="G34539" s="49" t="str">
        <f t="shared" si="1"/>
        <v>26160</v>
      </c>
      <c r="H34539" s="49">
        <f t="shared" si="2"/>
        <v>26031</v>
      </c>
    </row>
    <row r="34540">
      <c r="A34540" s="48" t="s">
        <v>1601</v>
      </c>
      <c r="B34540" s="38">
        <v>72199.0</v>
      </c>
      <c r="C34540" s="38" t="s">
        <v>38735</v>
      </c>
      <c r="D34540" s="38" t="str">
        <f>IFERROR(__xludf.DUMMYFUNCTION("REGEXREPLACE(C34540,""-\d+(.*)|--\d+(.*)"","""")"),"MOITRON-SUR-SARTHE")</f>
        <v>MOITRON-SUR-SARTHE</v>
      </c>
      <c r="E34540" s="38" t="s">
        <v>521</v>
      </c>
      <c r="F34540" s="38" t="s">
        <v>180</v>
      </c>
      <c r="G34540" s="49" t="str">
        <f t="shared" si="1"/>
        <v>72170</v>
      </c>
      <c r="H34540" s="49">
        <f t="shared" si="2"/>
        <v>72199</v>
      </c>
    </row>
    <row r="34541">
      <c r="A34541" s="48" t="s">
        <v>24735</v>
      </c>
      <c r="B34541" s="38">
        <v>52419.0</v>
      </c>
      <c r="C34541" s="38" t="s">
        <v>38736</v>
      </c>
      <c r="D34541" s="38" t="str">
        <f>IFERROR(__xludf.DUMMYFUNCTION("REGEXREPLACE(C34541,""-\d+(.*)|--\d+(.*)"","""")"),"RENNEPONT")</f>
        <v>RENNEPONT</v>
      </c>
      <c r="E34541" s="38" t="s">
        <v>234</v>
      </c>
      <c r="F34541" s="38" t="s">
        <v>130</v>
      </c>
      <c r="G34541" s="49" t="str">
        <f t="shared" si="1"/>
        <v>52370</v>
      </c>
      <c r="H34541" s="49">
        <f t="shared" si="2"/>
        <v>52419</v>
      </c>
    </row>
    <row r="34542">
      <c r="A34542" s="48" t="s">
        <v>6704</v>
      </c>
      <c r="B34542" s="38">
        <v>12282.0</v>
      </c>
      <c r="C34542" s="38" t="s">
        <v>38737</v>
      </c>
      <c r="D34542" s="38" t="str">
        <f>IFERROR(__xludf.DUMMYFUNCTION("REGEXREPLACE(C34542,""-\d+(.*)|--\d+(.*)"","""")"),"TOURNEMIRE")</f>
        <v>TOURNEMIRE</v>
      </c>
      <c r="E34542" s="38" t="s">
        <v>465</v>
      </c>
      <c r="F34542" s="38" t="s">
        <v>94</v>
      </c>
      <c r="G34542" s="49" t="str">
        <f t="shared" si="1"/>
        <v>12250</v>
      </c>
      <c r="H34542" s="49">
        <f t="shared" si="2"/>
        <v>12282</v>
      </c>
    </row>
    <row r="34543">
      <c r="A34543" s="48" t="s">
        <v>9737</v>
      </c>
      <c r="B34543" s="38">
        <v>89129.0</v>
      </c>
      <c r="C34543" s="38" t="s">
        <v>38738</v>
      </c>
      <c r="D34543" s="38" t="str">
        <f>IFERROR(__xludf.DUMMYFUNCTION("REGEXREPLACE(C34543,""-\d+(.*)|--\d+(.*)"","""")"),"CRAIN")</f>
        <v>CRAIN</v>
      </c>
      <c r="E34543" s="38" t="s">
        <v>275</v>
      </c>
      <c r="F34543" s="38" t="s">
        <v>106</v>
      </c>
      <c r="G34543" s="49" t="str">
        <f t="shared" si="1"/>
        <v>89480</v>
      </c>
      <c r="H34543" s="49">
        <f t="shared" si="2"/>
        <v>89129</v>
      </c>
    </row>
    <row r="34544">
      <c r="A34544" s="48" t="s">
        <v>4873</v>
      </c>
      <c r="B34544" s="38">
        <v>67559.0</v>
      </c>
      <c r="C34544" s="38" t="s">
        <v>38739</v>
      </c>
      <c r="D34544" s="38" t="str">
        <f>IFERROR(__xludf.DUMMYFUNCTION("REGEXREPLACE(C34544,""-\d+(.*)|--\d+(.*)"","""")"),"ZITTERSHEIM")</f>
        <v>ZITTERSHEIM</v>
      </c>
      <c r="E34544" s="38" t="s">
        <v>210</v>
      </c>
      <c r="F34544" s="38" t="s">
        <v>151</v>
      </c>
      <c r="G34544" s="49" t="str">
        <f t="shared" si="1"/>
        <v>67290</v>
      </c>
      <c r="H34544" s="49">
        <f t="shared" si="2"/>
        <v>67559</v>
      </c>
    </row>
    <row r="34545">
      <c r="A34545" s="48" t="s">
        <v>6542</v>
      </c>
      <c r="B34545" s="38">
        <v>40318.0</v>
      </c>
      <c r="C34545" s="38" t="s">
        <v>38740</v>
      </c>
      <c r="D34545" s="38" t="str">
        <f>IFERROR(__xludf.DUMMYFUNCTION("REGEXREPLACE(C34545,""-\d+(.*)|--\d+(.*)"","""")"),"TOULOUZETTE")</f>
        <v>TOULOUZETTE</v>
      </c>
      <c r="E34545" s="38" t="s">
        <v>281</v>
      </c>
      <c r="F34545" s="38" t="s">
        <v>252</v>
      </c>
      <c r="G34545" s="49" t="str">
        <f t="shared" si="1"/>
        <v>40250</v>
      </c>
      <c r="H34545" s="49">
        <f t="shared" si="2"/>
        <v>40318</v>
      </c>
    </row>
    <row r="34546">
      <c r="A34546" s="48" t="s">
        <v>9207</v>
      </c>
      <c r="B34546" s="38">
        <v>57159.0</v>
      </c>
      <c r="C34546" s="38" t="s">
        <v>38741</v>
      </c>
      <c r="D34546" s="38" t="str">
        <f>IFERROR(__xludf.DUMMYFUNCTION("REGEXREPLACE(C34546,""-\d+(.*)|--\d+(.*)"","""")"),"CREHANGE")</f>
        <v>CREHANGE</v>
      </c>
      <c r="E34546" s="38" t="s">
        <v>303</v>
      </c>
      <c r="F34546" s="38" t="s">
        <v>195</v>
      </c>
      <c r="G34546" s="49" t="str">
        <f t="shared" si="1"/>
        <v>57690</v>
      </c>
      <c r="H34546" s="49">
        <f t="shared" si="2"/>
        <v>57159</v>
      </c>
    </row>
    <row r="34547">
      <c r="A34547" s="48" t="s">
        <v>16980</v>
      </c>
      <c r="B34547" s="38">
        <v>57336.0</v>
      </c>
      <c r="C34547" s="38" t="s">
        <v>38742</v>
      </c>
      <c r="D34547" s="38" t="str">
        <f>IFERROR(__xludf.DUMMYFUNCTION("REGEXREPLACE(C34547,""-\d+(.*)|--\d+(.*)"","""")"),"L'HOPITAL")</f>
        <v>L'HOPITAL</v>
      </c>
      <c r="E34547" s="38" t="s">
        <v>303</v>
      </c>
      <c r="F34547" s="38" t="s">
        <v>195</v>
      </c>
      <c r="G34547" s="49" t="str">
        <f t="shared" si="1"/>
        <v>57490</v>
      </c>
      <c r="H34547" s="49">
        <f t="shared" si="2"/>
        <v>57336</v>
      </c>
    </row>
    <row r="34548">
      <c r="A34548" s="48" t="s">
        <v>2579</v>
      </c>
      <c r="B34548" s="38">
        <v>32122.0</v>
      </c>
      <c r="C34548" s="38" t="s">
        <v>38743</v>
      </c>
      <c r="D34548" s="38" t="str">
        <f>IFERROR(__xludf.DUMMYFUNCTION("REGEXREPLACE(C34548,""-\d+(.*)|--\d+(.*)"","""")"),"ESCLASSAN-LABASTIDE")</f>
        <v>ESCLASSAN-LABASTIDE</v>
      </c>
      <c r="E34548" s="38" t="s">
        <v>440</v>
      </c>
      <c r="F34548" s="38" t="s">
        <v>94</v>
      </c>
      <c r="G34548" s="49" t="str">
        <f t="shared" si="1"/>
        <v>32140</v>
      </c>
      <c r="H34548" s="49">
        <f t="shared" si="2"/>
        <v>32122</v>
      </c>
    </row>
    <row r="34549">
      <c r="A34549" s="48" t="s">
        <v>208</v>
      </c>
      <c r="B34549" s="38">
        <v>67143.0</v>
      </c>
      <c r="C34549" s="38" t="s">
        <v>38744</v>
      </c>
      <c r="D34549" s="38" t="str">
        <f>IFERROR(__xludf.DUMMYFUNCTION("REGEXREPLACE(C34549,""-\d+(.*)|--\d+(.*)"","""")"),"FOUCHY")</f>
        <v>FOUCHY</v>
      </c>
      <c r="E34549" s="38" t="s">
        <v>210</v>
      </c>
      <c r="F34549" s="38" t="s">
        <v>151</v>
      </c>
      <c r="G34549" s="49" t="str">
        <f t="shared" si="1"/>
        <v>67220</v>
      </c>
      <c r="H34549" s="49">
        <f t="shared" si="2"/>
        <v>67143</v>
      </c>
    </row>
    <row r="34550">
      <c r="A34550" s="48" t="s">
        <v>4274</v>
      </c>
      <c r="B34550" s="38">
        <v>52124.0</v>
      </c>
      <c r="C34550" s="38" t="s">
        <v>38745</v>
      </c>
      <c r="D34550" s="38" t="str">
        <f>IFERROR(__xludf.DUMMYFUNCTION("REGEXREPLACE(C34550,""-\d+(.*)|--\d+(.*)"","""")"),"CHEZEAUX")</f>
        <v>CHEZEAUX</v>
      </c>
      <c r="E34550" s="38" t="s">
        <v>234</v>
      </c>
      <c r="F34550" s="38" t="s">
        <v>130</v>
      </c>
      <c r="G34550" s="49" t="str">
        <f t="shared" si="1"/>
        <v>52400</v>
      </c>
      <c r="H34550" s="49">
        <f t="shared" si="2"/>
        <v>52124</v>
      </c>
    </row>
    <row r="34551">
      <c r="A34551" s="48" t="s">
        <v>4328</v>
      </c>
      <c r="B34551" s="38">
        <v>70192.0</v>
      </c>
      <c r="C34551" s="38" t="s">
        <v>38746</v>
      </c>
      <c r="D34551" s="38" t="str">
        <f>IFERROR(__xludf.DUMMYFUNCTION("REGEXREPLACE(C34551,""-\d+(.*)|--\d+(.*)"","""")"),"CUGNEY")</f>
        <v>CUGNEY</v>
      </c>
      <c r="E34551" s="38" t="s">
        <v>956</v>
      </c>
      <c r="F34551" s="38" t="s">
        <v>214</v>
      </c>
      <c r="G34551" s="49" t="str">
        <f t="shared" si="1"/>
        <v>70700</v>
      </c>
      <c r="H34551" s="49">
        <f t="shared" si="2"/>
        <v>70192</v>
      </c>
    </row>
    <row r="34552">
      <c r="A34552" s="48" t="s">
        <v>9193</v>
      </c>
      <c r="B34552" s="38">
        <v>62480.0</v>
      </c>
      <c r="C34552" s="38" t="s">
        <v>38747</v>
      </c>
      <c r="D34552" s="38" t="str">
        <f>IFERROR(__xludf.DUMMYFUNCTION("REGEXREPLACE(C34552,""-\d+(.*)|--\d+(.*)"","""")"),"LABOURSE")</f>
        <v>LABOURSE</v>
      </c>
      <c r="E34552" s="38" t="s">
        <v>109</v>
      </c>
      <c r="F34552" s="38" t="s">
        <v>86</v>
      </c>
      <c r="G34552" s="49" t="str">
        <f t="shared" si="1"/>
        <v>62113</v>
      </c>
      <c r="H34552" s="49">
        <f t="shared" si="2"/>
        <v>62480</v>
      </c>
    </row>
    <row r="34553">
      <c r="A34553" s="48" t="s">
        <v>6945</v>
      </c>
      <c r="B34553" s="38">
        <v>80638.0</v>
      </c>
      <c r="C34553" s="38" t="s">
        <v>38748</v>
      </c>
      <c r="D34553" s="38" t="str">
        <f>IFERROR(__xludf.DUMMYFUNCTION("REGEXREPLACE(C34553,""-\d+(.*)|--\d+(.*)"","""")"),"POTTE")</f>
        <v>POTTE</v>
      </c>
      <c r="E34553" s="38" t="s">
        <v>224</v>
      </c>
      <c r="F34553" s="38" t="s">
        <v>113</v>
      </c>
      <c r="G34553" s="49" t="str">
        <f t="shared" si="1"/>
        <v>80190</v>
      </c>
      <c r="H34553" s="49">
        <f t="shared" si="2"/>
        <v>80638</v>
      </c>
    </row>
    <row r="34554">
      <c r="A34554" s="48" t="s">
        <v>1843</v>
      </c>
      <c r="B34554" s="38">
        <v>71346.0</v>
      </c>
      <c r="C34554" s="38" t="s">
        <v>38749</v>
      </c>
      <c r="D34554" s="38" t="str">
        <f>IFERROR(__xludf.DUMMYFUNCTION("REGEXREPLACE(C34554,""-\d+(.*)|--\d+(.*)"","""")"),"PERRECY-LES-FORGES")</f>
        <v>PERRECY-LES-FORGES</v>
      </c>
      <c r="E34554" s="38" t="s">
        <v>344</v>
      </c>
      <c r="F34554" s="38" t="s">
        <v>106</v>
      </c>
      <c r="G34554" s="49" t="str">
        <f t="shared" si="1"/>
        <v>71420</v>
      </c>
      <c r="H34554" s="49">
        <f t="shared" si="2"/>
        <v>71346</v>
      </c>
    </row>
    <row r="34555">
      <c r="A34555" s="48" t="s">
        <v>38750</v>
      </c>
      <c r="B34555" s="38">
        <v>59128.0</v>
      </c>
      <c r="C34555" s="38" t="s">
        <v>38751</v>
      </c>
      <c r="D34555" s="38" t="str">
        <f>IFERROR(__xludf.DUMMYFUNCTION("REGEXREPLACE(C34555,""-\d+(.*)|--\d+(.*)"","""")"),"CAPINGHEM")</f>
        <v>CAPINGHEM</v>
      </c>
      <c r="E34555" s="38" t="s">
        <v>85</v>
      </c>
      <c r="F34555" s="38" t="s">
        <v>86</v>
      </c>
      <c r="G34555" s="49" t="str">
        <f t="shared" si="1"/>
        <v>59160</v>
      </c>
      <c r="H34555" s="49">
        <f t="shared" si="2"/>
        <v>59128</v>
      </c>
    </row>
    <row r="34556">
      <c r="A34556" s="48" t="s">
        <v>1855</v>
      </c>
      <c r="B34556" s="38">
        <v>72068.0</v>
      </c>
      <c r="C34556" s="38" t="s">
        <v>38752</v>
      </c>
      <c r="D34556" s="38" t="str">
        <f>IFERROR(__xludf.DUMMYFUNCTION("REGEXREPLACE(C34556,""-\d+(.*)|--\d+(.*)"","""")"),"LA CHARTRE-SUR-LE-LOIR")</f>
        <v>LA CHARTRE-SUR-LE-LOIR</v>
      </c>
      <c r="E34556" s="38" t="s">
        <v>521</v>
      </c>
      <c r="F34556" s="38" t="s">
        <v>180</v>
      </c>
      <c r="G34556" s="49" t="str">
        <f t="shared" si="1"/>
        <v>72340</v>
      </c>
      <c r="H34556" s="49">
        <f t="shared" si="2"/>
        <v>72068</v>
      </c>
    </row>
    <row r="34557">
      <c r="A34557" s="48" t="s">
        <v>4561</v>
      </c>
      <c r="B34557" s="38">
        <v>79348.0</v>
      </c>
      <c r="C34557" s="38" t="s">
        <v>38753</v>
      </c>
      <c r="D34557" s="38" t="str">
        <f>IFERROR(__xludf.DUMMYFUNCTION("REGEXREPLACE(C34557,""-\d+(.*)|--\d+(.*)"","""")"),"VILLEFOLLET")</f>
        <v>VILLEFOLLET</v>
      </c>
      <c r="E34557" s="38" t="s">
        <v>337</v>
      </c>
      <c r="F34557" s="38" t="s">
        <v>338</v>
      </c>
      <c r="G34557" s="49" t="str">
        <f t="shared" si="1"/>
        <v>79170</v>
      </c>
      <c r="H34557" s="49">
        <f t="shared" si="2"/>
        <v>79348</v>
      </c>
    </row>
    <row r="34558">
      <c r="A34558" s="48" t="s">
        <v>20979</v>
      </c>
      <c r="B34558" s="38">
        <v>44063.0</v>
      </c>
      <c r="C34558" s="38" t="s">
        <v>38754</v>
      </c>
      <c r="D34558" s="38" t="str">
        <f>IFERROR(__xludf.DUMMYFUNCTION("REGEXREPLACE(C34558,""-\d+(.*)|--\d+(.*)"","""")"),"GETIGNE")</f>
        <v>GETIGNE</v>
      </c>
      <c r="E34558" s="38" t="s">
        <v>759</v>
      </c>
      <c r="F34558" s="38" t="s">
        <v>180</v>
      </c>
      <c r="G34558" s="49" t="str">
        <f t="shared" si="1"/>
        <v>44190</v>
      </c>
      <c r="H34558" s="49">
        <f t="shared" si="2"/>
        <v>44063</v>
      </c>
    </row>
    <row r="34559">
      <c r="A34559" s="48" t="s">
        <v>12724</v>
      </c>
      <c r="B34559" s="38">
        <v>34014.0</v>
      </c>
      <c r="C34559" s="38" t="s">
        <v>38755</v>
      </c>
      <c r="D34559" s="38" t="str">
        <f>IFERROR(__xludf.DUMMYFUNCTION("REGEXREPLACE(C34559,""-\d+(.*)|--\d+(.*)"","""")"),"ASSAS")</f>
        <v>ASSAS</v>
      </c>
      <c r="E34559" s="38" t="s">
        <v>118</v>
      </c>
      <c r="F34559" s="38" t="s">
        <v>119</v>
      </c>
      <c r="G34559" s="49" t="str">
        <f t="shared" si="1"/>
        <v>34820</v>
      </c>
      <c r="H34559" s="49">
        <f t="shared" si="2"/>
        <v>34014</v>
      </c>
    </row>
    <row r="34560">
      <c r="A34560" s="48" t="s">
        <v>386</v>
      </c>
      <c r="B34560" s="38">
        <v>21106.0</v>
      </c>
      <c r="C34560" s="38" t="s">
        <v>38756</v>
      </c>
      <c r="D34560" s="38" t="str">
        <f>IFERROR(__xludf.DUMMYFUNCTION("REGEXREPLACE(C34560,""-\d+(.*)|--\d+(.*)"","""")"),"BRETENIERE")</f>
        <v>BRETENIERE</v>
      </c>
      <c r="E34560" s="38" t="s">
        <v>105</v>
      </c>
      <c r="F34560" s="38" t="s">
        <v>106</v>
      </c>
      <c r="G34560" s="49" t="str">
        <f t="shared" si="1"/>
        <v>21110</v>
      </c>
      <c r="H34560" s="49">
        <f t="shared" si="2"/>
        <v>21106</v>
      </c>
    </row>
    <row r="34561">
      <c r="A34561" s="48" t="s">
        <v>5634</v>
      </c>
      <c r="B34561" s="38">
        <v>72115.0</v>
      </c>
      <c r="C34561" s="38" t="s">
        <v>38757</v>
      </c>
      <c r="D34561" s="38" t="str">
        <f>IFERROR(__xludf.DUMMYFUNCTION("REGEXREPLACE(C34561,""-\d+(.*)|--\d+(.*)"","""")"),"DISSAY-SOUS-COURCILLON")</f>
        <v>DISSAY-SOUS-COURCILLON</v>
      </c>
      <c r="E34561" s="38" t="s">
        <v>521</v>
      </c>
      <c r="F34561" s="38" t="s">
        <v>180</v>
      </c>
      <c r="G34561" s="49" t="str">
        <f t="shared" si="1"/>
        <v>72500</v>
      </c>
      <c r="H34561" s="49">
        <f t="shared" si="2"/>
        <v>72115</v>
      </c>
    </row>
    <row r="34562">
      <c r="A34562" s="48" t="s">
        <v>114</v>
      </c>
      <c r="B34562" s="38">
        <v>62142.0</v>
      </c>
      <c r="C34562" s="38" t="s">
        <v>38758</v>
      </c>
      <c r="D34562" s="38" t="str">
        <f>IFERROR(__xludf.DUMMYFUNCTION("REGEXREPLACE(C34562,""-\d+(.*)|--\d+(.*)"","""")"),"BLINGEL")</f>
        <v>BLINGEL</v>
      </c>
      <c r="E34562" s="38" t="s">
        <v>109</v>
      </c>
      <c r="F34562" s="38" t="s">
        <v>86</v>
      </c>
      <c r="G34562" s="49" t="str">
        <f t="shared" si="1"/>
        <v>62770</v>
      </c>
      <c r="H34562" s="49">
        <f t="shared" si="2"/>
        <v>62142</v>
      </c>
    </row>
    <row r="34563">
      <c r="A34563" s="48" t="s">
        <v>1796</v>
      </c>
      <c r="B34563" s="38">
        <v>31217.0</v>
      </c>
      <c r="C34563" s="38" t="s">
        <v>38759</v>
      </c>
      <c r="D34563" s="38" t="str">
        <f>IFERROR(__xludf.DUMMYFUNCTION("REGEXREPLACE(C34563,""-\d+(.*)|--\d+(.*)"","""")"),"GENOS")</f>
        <v>GENOS</v>
      </c>
      <c r="E34563" s="38" t="s">
        <v>93</v>
      </c>
      <c r="F34563" s="38" t="s">
        <v>94</v>
      </c>
      <c r="G34563" s="49" t="str">
        <f t="shared" si="1"/>
        <v>31510</v>
      </c>
      <c r="H34563" s="49">
        <f t="shared" si="2"/>
        <v>31217</v>
      </c>
    </row>
    <row r="34564">
      <c r="A34564" s="48" t="s">
        <v>2625</v>
      </c>
      <c r="B34564" s="38">
        <v>30187.0</v>
      </c>
      <c r="C34564" s="38" t="s">
        <v>38760</v>
      </c>
      <c r="D34564" s="38" t="str">
        <f>IFERROR(__xludf.DUMMYFUNCTION("REGEXREPLACE(C34564,""-\d+(.*)|--\d+(.*)"","""")"),"NAVACELLES")</f>
        <v>NAVACELLES</v>
      </c>
      <c r="E34564" s="38" t="s">
        <v>526</v>
      </c>
      <c r="F34564" s="38" t="s">
        <v>119</v>
      </c>
      <c r="G34564" s="49" t="str">
        <f t="shared" si="1"/>
        <v>30580</v>
      </c>
      <c r="H34564" s="49">
        <f t="shared" si="2"/>
        <v>30187</v>
      </c>
    </row>
    <row r="34565">
      <c r="A34565" s="48" t="s">
        <v>259</v>
      </c>
      <c r="B34565" s="38">
        <v>24497.0</v>
      </c>
      <c r="C34565" s="38" t="s">
        <v>38761</v>
      </c>
      <c r="D34565" s="38" t="str">
        <f>IFERROR(__xludf.DUMMYFUNCTION("REGEXREPLACE(C34565,""-\d+(.*)|--\d+(.*)"","""")"),"SAINTE-SABINE-BORN")</f>
        <v>SAINTE-SABINE-BORN</v>
      </c>
      <c r="E34565" s="38" t="s">
        <v>261</v>
      </c>
      <c r="F34565" s="38" t="s">
        <v>252</v>
      </c>
      <c r="G34565" s="49" t="str">
        <f t="shared" si="1"/>
        <v>24440</v>
      </c>
      <c r="H34565" s="49">
        <f t="shared" si="2"/>
        <v>24497</v>
      </c>
    </row>
    <row r="34566">
      <c r="A34566" s="48" t="s">
        <v>491</v>
      </c>
      <c r="B34566" s="38">
        <v>19256.0</v>
      </c>
      <c r="C34566" s="38" t="s">
        <v>38762</v>
      </c>
      <c r="D34566" s="38" t="str">
        <f>IFERROR(__xludf.DUMMYFUNCTION("REGEXREPLACE(C34566,""-\d+(.*)|--\d+(.*)"","""")"),"SERANDON")</f>
        <v>SERANDON</v>
      </c>
      <c r="E34566" s="38" t="s">
        <v>271</v>
      </c>
      <c r="F34566" s="38" t="s">
        <v>98</v>
      </c>
      <c r="G34566" s="49" t="str">
        <f t="shared" si="1"/>
        <v>19160</v>
      </c>
      <c r="H34566" s="49">
        <f t="shared" si="2"/>
        <v>19256</v>
      </c>
    </row>
    <row r="34567">
      <c r="A34567" s="48" t="s">
        <v>2427</v>
      </c>
      <c r="B34567" s="38">
        <v>47203.0</v>
      </c>
      <c r="C34567" s="38" t="s">
        <v>38763</v>
      </c>
      <c r="D34567" s="38" t="str">
        <f>IFERROR(__xludf.DUMMYFUNCTION("REGEXREPLACE(C34567,""-\d+(.*)|--\d+(.*)"","""")"),"PENNE-D'AGENAIS")</f>
        <v>PENNE-D'AGENAIS</v>
      </c>
      <c r="E34567" s="38" t="s">
        <v>251</v>
      </c>
      <c r="F34567" s="38" t="s">
        <v>252</v>
      </c>
      <c r="G34567" s="49" t="str">
        <f t="shared" si="1"/>
        <v>47140</v>
      </c>
      <c r="H34567" s="49">
        <f t="shared" si="2"/>
        <v>47203</v>
      </c>
    </row>
    <row r="34568">
      <c r="A34568" s="48" t="s">
        <v>10778</v>
      </c>
      <c r="B34568" s="38">
        <v>21482.0</v>
      </c>
      <c r="C34568" s="38" t="s">
        <v>38764</v>
      </c>
      <c r="D34568" s="38" t="str">
        <f>IFERROR(__xludf.DUMMYFUNCTION("REGEXREPLACE(C34568,""-\d+(.*)|--\d+(.*)"","""")"),"PERRIGNY-SUR-L'OGNON")</f>
        <v>PERRIGNY-SUR-L'OGNON</v>
      </c>
      <c r="E34568" s="38" t="s">
        <v>105</v>
      </c>
      <c r="F34568" s="38" t="s">
        <v>106</v>
      </c>
      <c r="G34568" s="49" t="str">
        <f t="shared" si="1"/>
        <v>21270</v>
      </c>
      <c r="H34568" s="49">
        <f t="shared" si="2"/>
        <v>21482</v>
      </c>
    </row>
    <row r="34569">
      <c r="A34569" s="48" t="s">
        <v>4838</v>
      </c>
      <c r="B34569" s="38">
        <v>17110.0</v>
      </c>
      <c r="C34569" s="38" t="s">
        <v>38765</v>
      </c>
      <c r="D34569" s="38" t="str">
        <f>IFERROR(__xludf.DUMMYFUNCTION("REGEXREPLACE(C34569,""-\d+(.*)|--\d+(.*)"","""")"),"CLERAC")</f>
        <v>CLERAC</v>
      </c>
      <c r="E34569" s="38" t="s">
        <v>488</v>
      </c>
      <c r="F34569" s="38" t="s">
        <v>338</v>
      </c>
      <c r="G34569" s="49" t="str">
        <f t="shared" si="1"/>
        <v>17270</v>
      </c>
      <c r="H34569" s="49">
        <f t="shared" si="2"/>
        <v>17110</v>
      </c>
    </row>
    <row r="34570">
      <c r="A34570" s="48" t="s">
        <v>2673</v>
      </c>
      <c r="B34570" s="38">
        <v>3057.0</v>
      </c>
      <c r="C34570" s="38" t="s">
        <v>38766</v>
      </c>
      <c r="D34570" s="38" t="str">
        <f>IFERROR(__xludf.DUMMYFUNCTION("REGEXREPLACE(C34570,""-\d+(.*)|--\d+(.*)"","""")"),"LA CHAPELLE-AUX-CHASSES")</f>
        <v>LA CHAPELLE-AUX-CHASSES</v>
      </c>
      <c r="E34570" s="38" t="s">
        <v>160</v>
      </c>
      <c r="F34570" s="38" t="s">
        <v>161</v>
      </c>
      <c r="G34570" s="49" t="str">
        <f t="shared" si="1"/>
        <v>03230</v>
      </c>
      <c r="H34570" s="49" t="str">
        <f t="shared" si="2"/>
        <v>03057</v>
      </c>
    </row>
    <row r="34571">
      <c r="A34571" s="48" t="s">
        <v>2940</v>
      </c>
      <c r="B34571" s="38">
        <v>53068.0</v>
      </c>
      <c r="C34571" s="38" t="s">
        <v>15747</v>
      </c>
      <c r="D34571" s="38" t="str">
        <f>IFERROR(__xludf.DUMMYFUNCTION("REGEXREPLACE(C34571,""-\d+(.*)|--\d+(.*)"","""")"),"CHERANCE")</f>
        <v>CHERANCE</v>
      </c>
      <c r="E34571" s="38" t="s">
        <v>518</v>
      </c>
      <c r="F34571" s="38" t="s">
        <v>180</v>
      </c>
      <c r="G34571" s="49" t="str">
        <f t="shared" si="1"/>
        <v>53400</v>
      </c>
      <c r="H34571" s="49">
        <f t="shared" si="2"/>
        <v>53068</v>
      </c>
    </row>
    <row r="34572">
      <c r="A34572" s="48" t="s">
        <v>9181</v>
      </c>
      <c r="B34572" s="38">
        <v>41036.0</v>
      </c>
      <c r="C34572" s="38" t="s">
        <v>38767</v>
      </c>
      <c r="D34572" s="38" t="str">
        <f>IFERROR(__xludf.DUMMYFUNCTION("REGEXREPLACE(C34572,""-\d+(.*)|--\d+(.*)"","""")"),"CHAON")</f>
        <v>CHAON</v>
      </c>
      <c r="E34572" s="38" t="s">
        <v>188</v>
      </c>
      <c r="F34572" s="38" t="s">
        <v>123</v>
      </c>
      <c r="G34572" s="49" t="str">
        <f t="shared" si="1"/>
        <v>41600</v>
      </c>
      <c r="H34572" s="49">
        <f t="shared" si="2"/>
        <v>41036</v>
      </c>
    </row>
    <row r="34573">
      <c r="A34573" s="48" t="s">
        <v>2659</v>
      </c>
      <c r="B34573" s="38">
        <v>80431.0</v>
      </c>
      <c r="C34573" s="38" t="s">
        <v>38768</v>
      </c>
      <c r="D34573" s="38" t="str">
        <f>IFERROR(__xludf.DUMMYFUNCTION("REGEXREPLACE(C34573,""-\d+(.*)|--\d+(.*)"","""")"),"HERISSART")</f>
        <v>HERISSART</v>
      </c>
      <c r="E34573" s="38" t="s">
        <v>224</v>
      </c>
      <c r="F34573" s="38" t="s">
        <v>113</v>
      </c>
      <c r="G34573" s="49" t="str">
        <f t="shared" si="1"/>
        <v>80260</v>
      </c>
      <c r="H34573" s="49">
        <f t="shared" si="2"/>
        <v>80431</v>
      </c>
    </row>
    <row r="34574">
      <c r="A34574" s="48" t="s">
        <v>6034</v>
      </c>
      <c r="B34574" s="38">
        <v>69131.0</v>
      </c>
      <c r="C34574" s="38" t="s">
        <v>38769</v>
      </c>
      <c r="D34574" s="38" t="str">
        <f>IFERROR(__xludf.DUMMYFUNCTION("REGEXREPLACE(C34574,""-\d+(.*)|--\d+(.*)"","""")"),"MESSIMY")</f>
        <v>MESSIMY</v>
      </c>
      <c r="E34574" s="38" t="s">
        <v>350</v>
      </c>
      <c r="F34574" s="38" t="s">
        <v>102</v>
      </c>
      <c r="G34574" s="49" t="str">
        <f t="shared" si="1"/>
        <v>69510</v>
      </c>
      <c r="H34574" s="49">
        <f t="shared" si="2"/>
        <v>69131</v>
      </c>
    </row>
    <row r="34575">
      <c r="A34575" s="48" t="s">
        <v>1695</v>
      </c>
      <c r="B34575" s="38">
        <v>80547.0</v>
      </c>
      <c r="C34575" s="38" t="s">
        <v>38770</v>
      </c>
      <c r="D34575" s="38" t="str">
        <f>IFERROR(__xludf.DUMMYFUNCTION("REGEXREPLACE(C34575,""-\d+(.*)|--\d+(.*)"","""")"),"MILLENCOURT")</f>
        <v>MILLENCOURT</v>
      </c>
      <c r="E34575" s="38" t="s">
        <v>224</v>
      </c>
      <c r="F34575" s="38" t="s">
        <v>113</v>
      </c>
      <c r="G34575" s="49" t="str">
        <f t="shared" si="1"/>
        <v>80300</v>
      </c>
      <c r="H34575" s="49">
        <f t="shared" si="2"/>
        <v>80547</v>
      </c>
    </row>
    <row r="34576">
      <c r="A34576" s="48" t="s">
        <v>6832</v>
      </c>
      <c r="B34576" s="38">
        <v>80162.0</v>
      </c>
      <c r="C34576" s="38" t="s">
        <v>38771</v>
      </c>
      <c r="D34576" s="38" t="str">
        <f>IFERROR(__xludf.DUMMYFUNCTION("REGEXREPLACE(C34576,""-\d+(.*)|--\d+(.*)"","""")"),"CAIX")</f>
        <v>CAIX</v>
      </c>
      <c r="E34576" s="38" t="s">
        <v>224</v>
      </c>
      <c r="F34576" s="38" t="s">
        <v>113</v>
      </c>
      <c r="G34576" s="49" t="str">
        <f t="shared" si="1"/>
        <v>80170</v>
      </c>
      <c r="H34576" s="49">
        <f t="shared" si="2"/>
        <v>80162</v>
      </c>
    </row>
    <row r="34577">
      <c r="A34577" s="48" t="s">
        <v>5362</v>
      </c>
      <c r="B34577" s="38">
        <v>81026.0</v>
      </c>
      <c r="C34577" s="38" t="s">
        <v>1901</v>
      </c>
      <c r="D34577" s="38" t="str">
        <f>IFERROR(__xludf.DUMMYFUNCTION("REGEXREPLACE(C34577,""-\d+(.*)|--\d+(.*)"","""")"),"BELLEGARDE")</f>
        <v>BELLEGARDE</v>
      </c>
      <c r="E34577" s="38" t="s">
        <v>231</v>
      </c>
      <c r="F34577" s="38" t="s">
        <v>94</v>
      </c>
      <c r="G34577" s="49" t="str">
        <f t="shared" si="1"/>
        <v>81430</v>
      </c>
      <c r="H34577" s="49">
        <f t="shared" si="2"/>
        <v>81026</v>
      </c>
    </row>
    <row r="34578">
      <c r="A34578" s="48" t="s">
        <v>3127</v>
      </c>
      <c r="B34578" s="38">
        <v>70244.0</v>
      </c>
      <c r="C34578" s="38" t="s">
        <v>11582</v>
      </c>
      <c r="D34578" s="38" t="str">
        <f>IFERROR(__xludf.DUMMYFUNCTION("REGEXREPLACE(C34578,""-\d+(.*)|--\d+(.*)"","""")"),"FOUCHECOURT")</f>
        <v>FOUCHECOURT</v>
      </c>
      <c r="E34578" s="38" t="s">
        <v>956</v>
      </c>
      <c r="F34578" s="38" t="s">
        <v>214</v>
      </c>
      <c r="G34578" s="49" t="str">
        <f t="shared" si="1"/>
        <v>70160</v>
      </c>
      <c r="H34578" s="49">
        <f t="shared" si="2"/>
        <v>70244</v>
      </c>
    </row>
    <row r="34579">
      <c r="A34579" s="48" t="s">
        <v>3009</v>
      </c>
      <c r="B34579" s="38">
        <v>11224.0</v>
      </c>
      <c r="C34579" s="38" t="s">
        <v>34623</v>
      </c>
      <c r="D34579" s="38" t="str">
        <f>IFERROR(__xludf.DUMMYFUNCTION("REGEXREPLACE(C34579,""-\d+(.*)|--\d+(.*)"","""")"),"MASSAC")</f>
        <v>MASSAC</v>
      </c>
      <c r="E34579" s="38" t="s">
        <v>278</v>
      </c>
      <c r="F34579" s="38" t="s">
        <v>119</v>
      </c>
      <c r="G34579" s="49" t="str">
        <f t="shared" si="1"/>
        <v>11330</v>
      </c>
      <c r="H34579" s="49">
        <f t="shared" si="2"/>
        <v>11224</v>
      </c>
    </row>
    <row r="34580">
      <c r="A34580" s="48" t="s">
        <v>3572</v>
      </c>
      <c r="B34580" s="38">
        <v>63468.0</v>
      </c>
      <c r="C34580" s="38" t="s">
        <v>38772</v>
      </c>
      <c r="D34580" s="38" t="str">
        <f>IFERROR(__xludf.DUMMYFUNCTION("REGEXREPLACE(C34580,""-\d+(.*)|--\d+(.*)"","""")"),"VOLLORE-MONTAGNE")</f>
        <v>VOLLORE-MONTAGNE</v>
      </c>
      <c r="E34580" s="38" t="s">
        <v>353</v>
      </c>
      <c r="F34580" s="38" t="s">
        <v>161</v>
      </c>
      <c r="G34580" s="49" t="str">
        <f t="shared" si="1"/>
        <v>63120</v>
      </c>
      <c r="H34580" s="49">
        <f t="shared" si="2"/>
        <v>63468</v>
      </c>
    </row>
    <row r="34581">
      <c r="A34581" s="48" t="s">
        <v>1352</v>
      </c>
      <c r="B34581" s="38">
        <v>79316.0</v>
      </c>
      <c r="C34581" s="38" t="s">
        <v>24098</v>
      </c>
      <c r="D34581" s="38" t="str">
        <f>IFERROR(__xludf.DUMMYFUNCTION("REGEXREPLACE(C34581,""-\d+(.*)|--\d+(.*)"","""")"),"SOUDAN")</f>
        <v>SOUDAN</v>
      </c>
      <c r="E34581" s="38" t="s">
        <v>337</v>
      </c>
      <c r="F34581" s="38" t="s">
        <v>338</v>
      </c>
      <c r="G34581" s="49" t="str">
        <f t="shared" si="1"/>
        <v>79800</v>
      </c>
      <c r="H34581" s="49">
        <f t="shared" si="2"/>
        <v>79316</v>
      </c>
    </row>
    <row r="34582">
      <c r="A34582" s="48" t="s">
        <v>2462</v>
      </c>
      <c r="B34582" s="38">
        <v>1099.0</v>
      </c>
      <c r="C34582" s="38" t="s">
        <v>38773</v>
      </c>
      <c r="D34582" s="38" t="str">
        <f>IFERROR(__xludf.DUMMYFUNCTION("REGEXREPLACE(C34582,""-\d+(.*)|--\d+(.*)"","""")"),"CHAZEY-SUR-AIN")</f>
        <v>CHAZEY-SUR-AIN</v>
      </c>
      <c r="E34582" s="38" t="s">
        <v>255</v>
      </c>
      <c r="F34582" s="38" t="s">
        <v>102</v>
      </c>
      <c r="G34582" s="49" t="str">
        <f t="shared" si="1"/>
        <v>01150</v>
      </c>
      <c r="H34582" s="49" t="str">
        <f t="shared" si="2"/>
        <v>01099</v>
      </c>
    </row>
    <row r="34583">
      <c r="A34583" s="48" t="s">
        <v>6189</v>
      </c>
      <c r="B34583" s="38">
        <v>32077.0</v>
      </c>
      <c r="C34583" s="38" t="s">
        <v>38774</v>
      </c>
      <c r="D34583" s="38" t="str">
        <f>IFERROR(__xludf.DUMMYFUNCTION("REGEXREPLACE(C34583,""-\d+(.*)|--\d+(.*)"","""")"),"CASTELNAU-D'ANGLES")</f>
        <v>CASTELNAU-D'ANGLES</v>
      </c>
      <c r="E34583" s="38" t="s">
        <v>440</v>
      </c>
      <c r="F34583" s="38" t="s">
        <v>94</v>
      </c>
      <c r="G34583" s="49" t="str">
        <f t="shared" si="1"/>
        <v>32320</v>
      </c>
      <c r="H34583" s="49">
        <f t="shared" si="2"/>
        <v>32077</v>
      </c>
    </row>
    <row r="34584">
      <c r="A34584" s="48" t="s">
        <v>10259</v>
      </c>
      <c r="B34584" s="38">
        <v>73255.0</v>
      </c>
      <c r="C34584" s="38" t="s">
        <v>38775</v>
      </c>
      <c r="D34584" s="38" t="str">
        <f>IFERROR(__xludf.DUMMYFUNCTION("REGEXREPLACE(C34584,""-\d+(.*)|--\d+(.*)"","""")"),"SAINTE-MARIE-DE-CUINES")</f>
        <v>SAINTE-MARIE-DE-CUINES</v>
      </c>
      <c r="E34584" s="38" t="s">
        <v>306</v>
      </c>
      <c r="F34584" s="38" t="s">
        <v>102</v>
      </c>
      <c r="G34584" s="49" t="str">
        <f t="shared" si="1"/>
        <v>73130</v>
      </c>
      <c r="H34584" s="49">
        <f t="shared" si="2"/>
        <v>73255</v>
      </c>
    </row>
    <row r="34585">
      <c r="A34585" s="48" t="s">
        <v>11952</v>
      </c>
      <c r="B34585" s="38">
        <v>35221.0</v>
      </c>
      <c r="C34585" s="38" t="s">
        <v>38776</v>
      </c>
      <c r="D34585" s="38" t="str">
        <f>IFERROR(__xludf.DUMMYFUNCTION("REGEXREPLACE(C34585,""-\d+(.*)|--\d+(.*)"","""")"),"PLECHATEL")</f>
        <v>PLECHATEL</v>
      </c>
      <c r="E34585" s="38" t="s">
        <v>347</v>
      </c>
      <c r="F34585" s="38" t="s">
        <v>90</v>
      </c>
      <c r="G34585" s="49" t="str">
        <f t="shared" si="1"/>
        <v>35470</v>
      </c>
      <c r="H34585" s="49">
        <f t="shared" si="2"/>
        <v>35221</v>
      </c>
    </row>
    <row r="34586">
      <c r="A34586" s="48" t="s">
        <v>9044</v>
      </c>
      <c r="B34586" s="38">
        <v>32208.0</v>
      </c>
      <c r="C34586" s="38" t="s">
        <v>38777</v>
      </c>
      <c r="D34586" s="38" t="str">
        <f>IFERROR(__xludf.DUMMYFUNCTION("REGEXREPLACE(C34586,""-\d+(.*)|--\d+(.*)"","""")"),"LECTOURE")</f>
        <v>LECTOURE</v>
      </c>
      <c r="E34586" s="38" t="s">
        <v>440</v>
      </c>
      <c r="F34586" s="38" t="s">
        <v>94</v>
      </c>
      <c r="G34586" s="49" t="str">
        <f t="shared" si="1"/>
        <v>32700</v>
      </c>
      <c r="H34586" s="49">
        <f t="shared" si="2"/>
        <v>32208</v>
      </c>
    </row>
    <row r="34587">
      <c r="A34587" s="48" t="s">
        <v>2989</v>
      </c>
      <c r="B34587" s="38">
        <v>70275.0</v>
      </c>
      <c r="C34587" s="38" t="s">
        <v>38778</v>
      </c>
      <c r="D34587" s="38" t="str">
        <f>IFERROR(__xludf.DUMMYFUNCTION("REGEXREPLACE(C34587,""-\d+(.*)|--\d+(.*)"","""")"),"GRANDVELLE-ET-LE-PERRENOT")</f>
        <v>GRANDVELLE-ET-LE-PERRENOT</v>
      </c>
      <c r="E34587" s="38" t="s">
        <v>956</v>
      </c>
      <c r="F34587" s="38" t="s">
        <v>214</v>
      </c>
      <c r="G34587" s="49" t="str">
        <f t="shared" si="1"/>
        <v>70190</v>
      </c>
      <c r="H34587" s="49">
        <f t="shared" si="2"/>
        <v>70275</v>
      </c>
    </row>
    <row r="34588">
      <c r="A34588" s="48" t="s">
        <v>38779</v>
      </c>
      <c r="B34588" s="38">
        <v>68278.0</v>
      </c>
      <c r="C34588" s="38" t="s">
        <v>38780</v>
      </c>
      <c r="D34588" s="38" t="str">
        <f>IFERROR(__xludf.DUMMYFUNCTION("REGEXREPLACE(C34588,""-\d+(.*)|--\d+(.*)"","""")"),"RIXHEIM")</f>
        <v>RIXHEIM</v>
      </c>
      <c r="E34588" s="38" t="s">
        <v>150</v>
      </c>
      <c r="F34588" s="38" t="s">
        <v>151</v>
      </c>
      <c r="G34588" s="49" t="str">
        <f t="shared" si="1"/>
        <v>68170</v>
      </c>
      <c r="H34588" s="49">
        <f t="shared" si="2"/>
        <v>68278</v>
      </c>
    </row>
    <row r="34589">
      <c r="A34589" s="48" t="s">
        <v>5631</v>
      </c>
      <c r="B34589" s="38">
        <v>76582.0</v>
      </c>
      <c r="C34589" s="38" t="s">
        <v>38781</v>
      </c>
      <c r="D34589" s="38" t="str">
        <f>IFERROR(__xludf.DUMMYFUNCTION("REGEXREPLACE(C34589,""-\d+(.*)|--\d+(.*)"","""")"),"SAINT-GERMAIN-D'ETABLES")</f>
        <v>SAINT-GERMAIN-D'ETABLES</v>
      </c>
      <c r="E34589" s="38" t="s">
        <v>133</v>
      </c>
      <c r="F34589" s="38" t="s">
        <v>134</v>
      </c>
      <c r="G34589" s="49" t="str">
        <f t="shared" si="1"/>
        <v>76590</v>
      </c>
      <c r="H34589" s="49">
        <f t="shared" si="2"/>
        <v>76582</v>
      </c>
    </row>
    <row r="34590">
      <c r="A34590" s="48" t="s">
        <v>7532</v>
      </c>
      <c r="B34590" s="38">
        <v>37135.0</v>
      </c>
      <c r="C34590" s="38" t="s">
        <v>38782</v>
      </c>
      <c r="D34590" s="38" t="str">
        <f>IFERROR(__xludf.DUMMYFUNCTION("REGEXREPLACE(C34590,""-\d+(.*)|--\d+(.*)"","""")"),"LOUESTAULT")</f>
        <v>LOUESTAULT</v>
      </c>
      <c r="E34590" s="38" t="s">
        <v>205</v>
      </c>
      <c r="F34590" s="38" t="s">
        <v>123</v>
      </c>
      <c r="G34590" s="49" t="str">
        <f t="shared" si="1"/>
        <v>37370</v>
      </c>
      <c r="H34590" s="49">
        <f t="shared" si="2"/>
        <v>37135</v>
      </c>
    </row>
    <row r="34591">
      <c r="A34591" s="48" t="s">
        <v>3814</v>
      </c>
      <c r="B34591" s="38">
        <v>71323.0</v>
      </c>
      <c r="C34591" s="38" t="s">
        <v>38783</v>
      </c>
      <c r="D34591" s="38" t="str">
        <f>IFERROR(__xludf.DUMMYFUNCTION("REGEXREPLACE(C34591,""-\d+(.*)|--\d+(.*)"","""")"),"MORNAY")</f>
        <v>MORNAY</v>
      </c>
      <c r="E34591" s="38" t="s">
        <v>344</v>
      </c>
      <c r="F34591" s="38" t="s">
        <v>106</v>
      </c>
      <c r="G34591" s="49" t="str">
        <f t="shared" si="1"/>
        <v>71220</v>
      </c>
      <c r="H34591" s="49">
        <f t="shared" si="2"/>
        <v>71323</v>
      </c>
    </row>
    <row r="34592">
      <c r="A34592" s="48" t="s">
        <v>38784</v>
      </c>
      <c r="B34592" s="38">
        <v>54586.0</v>
      </c>
      <c r="C34592" s="38" t="s">
        <v>38785</v>
      </c>
      <c r="D34592" s="38" t="str">
        <f>IFERROR(__xludf.DUMMYFUNCTION("REGEXREPLACE(C34592,""-\d+(.*)|--\d+(.*)"","""")"),"VITERNE")</f>
        <v>VITERNE</v>
      </c>
      <c r="E34592" s="38" t="s">
        <v>548</v>
      </c>
      <c r="F34592" s="38" t="s">
        <v>195</v>
      </c>
      <c r="G34592" s="49" t="str">
        <f t="shared" si="1"/>
        <v>54123</v>
      </c>
      <c r="H34592" s="49">
        <f t="shared" si="2"/>
        <v>54586</v>
      </c>
    </row>
    <row r="34593">
      <c r="A34593" s="48" t="s">
        <v>16724</v>
      </c>
      <c r="B34593" s="38">
        <v>10396.0</v>
      </c>
      <c r="C34593" s="38" t="s">
        <v>38786</v>
      </c>
      <c r="D34593" s="38" t="str">
        <f>IFERROR(__xludf.DUMMYFUNCTION("REGEXREPLACE(C34593,""-\d+(.*)|--\d+(.*)"","""")"),"VAUCHASSIS")</f>
        <v>VAUCHASSIS</v>
      </c>
      <c r="E34593" s="38" t="s">
        <v>147</v>
      </c>
      <c r="F34593" s="38" t="s">
        <v>130</v>
      </c>
      <c r="G34593" s="49" t="str">
        <f t="shared" si="1"/>
        <v>10190</v>
      </c>
      <c r="H34593" s="49">
        <f t="shared" si="2"/>
        <v>10396</v>
      </c>
    </row>
    <row r="34594">
      <c r="A34594" s="48" t="s">
        <v>796</v>
      </c>
      <c r="B34594" s="38">
        <v>89393.0</v>
      </c>
      <c r="C34594" s="38" t="s">
        <v>38787</v>
      </c>
      <c r="D34594" s="38" t="str">
        <f>IFERROR(__xludf.DUMMYFUNCTION("REGEXREPLACE(C34594,""-\d+(.*)|--\d+(.*)"","""")"),"SERRIGNY")</f>
        <v>SERRIGNY</v>
      </c>
      <c r="E34594" s="38" t="s">
        <v>275</v>
      </c>
      <c r="F34594" s="38" t="s">
        <v>106</v>
      </c>
      <c r="G34594" s="49" t="str">
        <f t="shared" si="1"/>
        <v>89700</v>
      </c>
      <c r="H34594" s="49">
        <f t="shared" si="2"/>
        <v>89393</v>
      </c>
    </row>
    <row r="34595">
      <c r="A34595" s="48" t="s">
        <v>3594</v>
      </c>
      <c r="B34595" s="38">
        <v>59550.0</v>
      </c>
      <c r="C34595" s="38" t="s">
        <v>38788</v>
      </c>
      <c r="D34595" s="38" t="str">
        <f>IFERROR(__xludf.DUMMYFUNCTION("REGEXREPLACE(C34595,""-\d+(.*)|--\d+(.*)"","""")"),"SALOME")</f>
        <v>SALOME</v>
      </c>
      <c r="E34595" s="38" t="s">
        <v>85</v>
      </c>
      <c r="F34595" s="38" t="s">
        <v>86</v>
      </c>
      <c r="G34595" s="49" t="str">
        <f t="shared" si="1"/>
        <v>59496</v>
      </c>
      <c r="H34595" s="49">
        <f t="shared" si="2"/>
        <v>59550</v>
      </c>
    </row>
    <row r="34596">
      <c r="A34596" s="48" t="s">
        <v>4006</v>
      </c>
      <c r="B34596" s="38">
        <v>67137.0</v>
      </c>
      <c r="C34596" s="38" t="s">
        <v>38789</v>
      </c>
      <c r="D34596" s="38" t="str">
        <f>IFERROR(__xludf.DUMMYFUNCTION("REGEXREPLACE(C34596,""-\d+(.*)|--\d+(.*)"","""")"),"FEGERSHEIM")</f>
        <v>FEGERSHEIM</v>
      </c>
      <c r="E34596" s="38" t="s">
        <v>210</v>
      </c>
      <c r="F34596" s="38" t="s">
        <v>151</v>
      </c>
      <c r="G34596" s="49" t="str">
        <f t="shared" si="1"/>
        <v>67640</v>
      </c>
      <c r="H34596" s="49">
        <f t="shared" si="2"/>
        <v>67137</v>
      </c>
    </row>
    <row r="34597">
      <c r="A34597" s="48" t="s">
        <v>7583</v>
      </c>
      <c r="B34597" s="38">
        <v>59008.0</v>
      </c>
      <c r="C34597" s="38" t="s">
        <v>38790</v>
      </c>
      <c r="D34597" s="38" t="str">
        <f>IFERROR(__xludf.DUMMYFUNCTION("REGEXREPLACE(C34597,""-\d+(.*)|--\d+(.*)"","""")"),"ANICHE")</f>
        <v>ANICHE</v>
      </c>
      <c r="E34597" s="38" t="s">
        <v>85</v>
      </c>
      <c r="F34597" s="38" t="s">
        <v>86</v>
      </c>
      <c r="G34597" s="49" t="str">
        <f t="shared" si="1"/>
        <v>59580</v>
      </c>
      <c r="H34597" s="49">
        <f t="shared" si="2"/>
        <v>59008</v>
      </c>
    </row>
    <row r="34598">
      <c r="A34598" s="48" t="s">
        <v>1864</v>
      </c>
      <c r="B34598" s="38">
        <v>70420.0</v>
      </c>
      <c r="C34598" s="38" t="s">
        <v>38791</v>
      </c>
      <c r="D34598" s="38" t="str">
        <f>IFERROR(__xludf.DUMMYFUNCTION("REGEXREPLACE(C34598,""-\d+(.*)|--\d+(.*)"","""")"),"PONT-SUR-L'OGNON")</f>
        <v>PONT-SUR-L'OGNON</v>
      </c>
      <c r="E34598" s="38" t="s">
        <v>956</v>
      </c>
      <c r="F34598" s="38" t="s">
        <v>214</v>
      </c>
      <c r="G34598" s="49" t="str">
        <f t="shared" si="1"/>
        <v>70110</v>
      </c>
      <c r="H34598" s="49">
        <f t="shared" si="2"/>
        <v>70420</v>
      </c>
    </row>
    <row r="34599">
      <c r="A34599" s="48" t="s">
        <v>2905</v>
      </c>
      <c r="B34599" s="38">
        <v>21588.0</v>
      </c>
      <c r="C34599" s="38" t="s">
        <v>7769</v>
      </c>
      <c r="D34599" s="38" t="str">
        <f>IFERROR(__xludf.DUMMYFUNCTION("REGEXREPLACE(C34599,""-\d+(.*)|--\d+(.*)"","""")"),"SAUSSEY")</f>
        <v>SAUSSEY</v>
      </c>
      <c r="E34599" s="38" t="s">
        <v>105</v>
      </c>
      <c r="F34599" s="38" t="s">
        <v>106</v>
      </c>
      <c r="G34599" s="49" t="str">
        <f t="shared" si="1"/>
        <v>21360</v>
      </c>
      <c r="H34599" s="49">
        <f t="shared" si="2"/>
        <v>21588</v>
      </c>
    </row>
    <row r="34600">
      <c r="A34600" s="48" t="s">
        <v>16366</v>
      </c>
      <c r="B34600" s="38">
        <v>21598.0</v>
      </c>
      <c r="C34600" s="38" t="s">
        <v>38792</v>
      </c>
      <c r="D34600" s="38" t="str">
        <f>IFERROR(__xludf.DUMMYFUNCTION("REGEXREPLACE(C34600,""-\d+(.*)|--\d+(.*)"","""")"),"SEIGNY")</f>
        <v>SEIGNY</v>
      </c>
      <c r="E34600" s="38" t="s">
        <v>105</v>
      </c>
      <c r="F34600" s="38" t="s">
        <v>106</v>
      </c>
      <c r="G34600" s="49" t="str">
        <f t="shared" si="1"/>
        <v>21150</v>
      </c>
      <c r="H34600" s="49">
        <f t="shared" si="2"/>
        <v>21598</v>
      </c>
    </row>
    <row r="34601">
      <c r="A34601" s="48" t="s">
        <v>38793</v>
      </c>
      <c r="B34601" s="38">
        <v>40046.0</v>
      </c>
      <c r="C34601" s="38" t="s">
        <v>38794</v>
      </c>
      <c r="D34601" s="38" t="str">
        <f>IFERROR(__xludf.DUMMYFUNCTION("REGEXREPLACE(C34601,""-\d+(.*)|--\d+(.*)"","""")"),"BISCARROSSE")</f>
        <v>BISCARROSSE</v>
      </c>
      <c r="E34601" s="38" t="s">
        <v>281</v>
      </c>
      <c r="F34601" s="38" t="s">
        <v>252</v>
      </c>
      <c r="G34601" s="49" t="str">
        <f t="shared" si="1"/>
        <v>40600</v>
      </c>
      <c r="H34601" s="49">
        <f t="shared" si="2"/>
        <v>40046</v>
      </c>
    </row>
    <row r="34602">
      <c r="A34602" s="48" t="s">
        <v>376</v>
      </c>
      <c r="B34602" s="38">
        <v>73019.0</v>
      </c>
      <c r="C34602" s="38" t="s">
        <v>38795</v>
      </c>
      <c r="D34602" s="38" t="str">
        <f>IFERROR(__xludf.DUMMYFUNCTION("REGEXREPLACE(C34602,""-\d+(.*)|--\d+(.*)"","""")"),"ARGENTINE")</f>
        <v>ARGENTINE</v>
      </c>
      <c r="E34602" s="38" t="s">
        <v>306</v>
      </c>
      <c r="F34602" s="38" t="s">
        <v>102</v>
      </c>
      <c r="G34602" s="49" t="str">
        <f t="shared" si="1"/>
        <v>73220</v>
      </c>
      <c r="H34602" s="49">
        <f t="shared" si="2"/>
        <v>73019</v>
      </c>
    </row>
    <row r="34603">
      <c r="A34603" s="48" t="s">
        <v>9168</v>
      </c>
      <c r="B34603" s="38">
        <v>71339.0</v>
      </c>
      <c r="C34603" s="38" t="s">
        <v>38796</v>
      </c>
      <c r="D34603" s="38" t="str">
        <f>IFERROR(__xludf.DUMMYFUNCTION("REGEXREPLACE(C34603,""-\d+(.*)|--\d+(.*)"","""")"),"OZOLLES")</f>
        <v>OZOLLES</v>
      </c>
      <c r="E34603" s="38" t="s">
        <v>344</v>
      </c>
      <c r="F34603" s="38" t="s">
        <v>106</v>
      </c>
      <c r="G34603" s="49" t="str">
        <f t="shared" si="1"/>
        <v>71120</v>
      </c>
      <c r="H34603" s="49">
        <f t="shared" si="2"/>
        <v>71339</v>
      </c>
    </row>
    <row r="34604">
      <c r="A34604" s="48" t="s">
        <v>2075</v>
      </c>
      <c r="B34604" s="38">
        <v>46195.0</v>
      </c>
      <c r="C34604" s="38" t="s">
        <v>9046</v>
      </c>
      <c r="D34604" s="38" t="str">
        <f>IFERROR(__xludf.DUMMYFUNCTION("REGEXREPLACE(C34604,""-\d+(.*)|--\d+(.*)"","""")"),"MOLIERES")</f>
        <v>MOLIERES</v>
      </c>
      <c r="E34604" s="38" t="s">
        <v>185</v>
      </c>
      <c r="F34604" s="38" t="s">
        <v>94</v>
      </c>
      <c r="G34604" s="49" t="str">
        <f t="shared" si="1"/>
        <v>46120</v>
      </c>
      <c r="H34604" s="49">
        <f t="shared" si="2"/>
        <v>46195</v>
      </c>
    </row>
    <row r="34605">
      <c r="A34605" s="48" t="s">
        <v>6674</v>
      </c>
      <c r="B34605" s="38">
        <v>27139.0</v>
      </c>
      <c r="C34605" s="38" t="s">
        <v>19803</v>
      </c>
      <c r="D34605" s="38" t="str">
        <f>IFERROR(__xludf.DUMMYFUNCTION("REGEXREPLACE(C34605,""-\d+(.*)|--\d+(.*)"","""")"),"CHAMBORD")</f>
        <v>CHAMBORD</v>
      </c>
      <c r="E34605" s="38" t="s">
        <v>241</v>
      </c>
      <c r="F34605" s="38" t="s">
        <v>134</v>
      </c>
      <c r="G34605" s="49" t="str">
        <f t="shared" si="1"/>
        <v>27250</v>
      </c>
      <c r="H34605" s="49">
        <f t="shared" si="2"/>
        <v>27139</v>
      </c>
    </row>
    <row r="34606">
      <c r="A34606" s="48" t="s">
        <v>10889</v>
      </c>
      <c r="B34606" s="38">
        <v>57360.0</v>
      </c>
      <c r="C34606" s="38" t="s">
        <v>38797</v>
      </c>
      <c r="D34606" s="38" t="str">
        <f>IFERROR(__xludf.DUMMYFUNCTION("REGEXREPLACE(C34606,""-\d+(.*)|--\d+(.*)"","""")"),"KERBACH")</f>
        <v>KERBACH</v>
      </c>
      <c r="E34606" s="38" t="s">
        <v>303</v>
      </c>
      <c r="F34606" s="38" t="s">
        <v>195</v>
      </c>
      <c r="G34606" s="49" t="str">
        <f t="shared" si="1"/>
        <v>57460</v>
      </c>
      <c r="H34606" s="49">
        <f t="shared" si="2"/>
        <v>57360</v>
      </c>
    </row>
    <row r="34607">
      <c r="A34607" s="48" t="s">
        <v>38798</v>
      </c>
      <c r="B34607" s="38">
        <v>81124.0</v>
      </c>
      <c r="C34607" s="38" t="s">
        <v>38799</v>
      </c>
      <c r="D34607" s="38" t="str">
        <f>IFERROR(__xludf.DUMMYFUNCTION("REGEXREPLACE(C34607,""-\d+(.*)|--\d+(.*)"","""")"),"LACAUNE")</f>
        <v>LACAUNE</v>
      </c>
      <c r="E34607" s="38" t="s">
        <v>231</v>
      </c>
      <c r="F34607" s="38" t="s">
        <v>94</v>
      </c>
      <c r="G34607" s="49" t="str">
        <f t="shared" si="1"/>
        <v>81230</v>
      </c>
      <c r="H34607" s="49">
        <f t="shared" si="2"/>
        <v>81124</v>
      </c>
    </row>
    <row r="34608">
      <c r="A34608" s="48" t="s">
        <v>12777</v>
      </c>
      <c r="B34608" s="38">
        <v>73326.0</v>
      </c>
      <c r="C34608" s="38" t="s">
        <v>38800</v>
      </c>
      <c r="D34608" s="38" t="str">
        <f>IFERROR(__xludf.DUMMYFUNCTION("REGEXREPLACE(C34608,""-\d+(.*)|--\d+(.*)"","""")"),"VIMINES")</f>
        <v>VIMINES</v>
      </c>
      <c r="E34608" s="38" t="s">
        <v>306</v>
      </c>
      <c r="F34608" s="38" t="s">
        <v>102</v>
      </c>
      <c r="G34608" s="49" t="str">
        <f t="shared" si="1"/>
        <v>73160</v>
      </c>
      <c r="H34608" s="49">
        <f t="shared" si="2"/>
        <v>73326</v>
      </c>
    </row>
    <row r="34609">
      <c r="A34609" s="48" t="s">
        <v>5101</v>
      </c>
      <c r="B34609" s="38">
        <v>54475.0</v>
      </c>
      <c r="C34609" s="38" t="s">
        <v>6018</v>
      </c>
      <c r="D34609" s="38" t="str">
        <f>IFERROR(__xludf.DUMMYFUNCTION("REGEXREPLACE(C34609,""-\d+(.*)|--\d+(.*)"","""")"),"SAINT-GERMAIN")</f>
        <v>SAINT-GERMAIN</v>
      </c>
      <c r="E34609" s="38" t="s">
        <v>548</v>
      </c>
      <c r="F34609" s="38" t="s">
        <v>195</v>
      </c>
      <c r="G34609" s="49" t="str">
        <f t="shared" si="1"/>
        <v>54290</v>
      </c>
      <c r="H34609" s="49">
        <f t="shared" si="2"/>
        <v>54475</v>
      </c>
    </row>
    <row r="34610">
      <c r="A34610" s="48" t="s">
        <v>376</v>
      </c>
      <c r="B34610" s="38">
        <v>73007.0</v>
      </c>
      <c r="C34610" s="38" t="s">
        <v>38801</v>
      </c>
      <c r="D34610" s="38" t="str">
        <f>IFERROR(__xludf.DUMMYFUNCTION("REGEXREPLACE(C34610,""-\d+(.*)|--\d+(.*)"","""")"),"AITON")</f>
        <v>AITON</v>
      </c>
      <c r="E34610" s="38" t="s">
        <v>306</v>
      </c>
      <c r="F34610" s="38" t="s">
        <v>102</v>
      </c>
      <c r="G34610" s="49" t="str">
        <f t="shared" si="1"/>
        <v>73220</v>
      </c>
      <c r="H34610" s="49">
        <f t="shared" si="2"/>
        <v>73007</v>
      </c>
    </row>
    <row r="34611">
      <c r="A34611" s="48" t="s">
        <v>7319</v>
      </c>
      <c r="B34611" s="38">
        <v>97225.0</v>
      </c>
      <c r="C34611" s="38" t="s">
        <v>4772</v>
      </c>
      <c r="D34611" s="38" t="str">
        <f>IFERROR(__xludf.DUMMYFUNCTION("REGEXREPLACE(C34611,""-\d+(.*)|--\d+(.*)"","""")"),"SAINT-PIERRE")</f>
        <v>SAINT-PIERRE</v>
      </c>
      <c r="E34611" s="38" t="s">
        <v>2282</v>
      </c>
      <c r="F34611" s="38" t="s">
        <v>2282</v>
      </c>
      <c r="G34611" s="49" t="str">
        <f t="shared" si="1"/>
        <v>97250</v>
      </c>
      <c r="H34611" s="49">
        <f t="shared" si="2"/>
        <v>97225</v>
      </c>
    </row>
    <row r="34612">
      <c r="A34612" s="48" t="s">
        <v>4129</v>
      </c>
      <c r="B34612" s="38">
        <v>3026.0</v>
      </c>
      <c r="C34612" s="38" t="s">
        <v>38802</v>
      </c>
      <c r="D34612" s="38" t="str">
        <f>IFERROR(__xludf.DUMMYFUNCTION("REGEXREPLACE(C34612,""-\d+(.*)|--\d+(.*)"","""")"),"BESSON")</f>
        <v>BESSON</v>
      </c>
      <c r="E34612" s="38" t="s">
        <v>160</v>
      </c>
      <c r="F34612" s="38" t="s">
        <v>161</v>
      </c>
      <c r="G34612" s="49" t="str">
        <f t="shared" si="1"/>
        <v>03210</v>
      </c>
      <c r="H34612" s="49" t="str">
        <f t="shared" si="2"/>
        <v>03026</v>
      </c>
    </row>
    <row r="34613">
      <c r="A34613" s="48" t="s">
        <v>6948</v>
      </c>
      <c r="B34613" s="38">
        <v>17326.0</v>
      </c>
      <c r="C34613" s="38" t="s">
        <v>11747</v>
      </c>
      <c r="D34613" s="38" t="str">
        <f>IFERROR(__xludf.DUMMYFUNCTION("REGEXREPLACE(C34613,""-\d+(.*)|--\d+(.*)"","""")"),"SAINT-EUGENE")</f>
        <v>SAINT-EUGENE</v>
      </c>
      <c r="E34613" s="38" t="s">
        <v>488</v>
      </c>
      <c r="F34613" s="38" t="s">
        <v>338</v>
      </c>
      <c r="G34613" s="49" t="str">
        <f t="shared" si="1"/>
        <v>17520</v>
      </c>
      <c r="H34613" s="49">
        <f t="shared" si="2"/>
        <v>17326</v>
      </c>
    </row>
    <row r="34614">
      <c r="A34614" s="48" t="s">
        <v>5101</v>
      </c>
      <c r="B34614" s="38">
        <v>54471.0</v>
      </c>
      <c r="C34614" s="38" t="s">
        <v>38803</v>
      </c>
      <c r="D34614" s="38" t="str">
        <f>IFERROR(__xludf.DUMMYFUNCTION("REGEXREPLACE(C34614,""-\d+(.*)|--\d+(.*)"","""")"),"SAINT-BOINGT")</f>
        <v>SAINT-BOINGT</v>
      </c>
      <c r="E34614" s="38" t="s">
        <v>548</v>
      </c>
      <c r="F34614" s="38" t="s">
        <v>195</v>
      </c>
      <c r="G34614" s="49" t="str">
        <f t="shared" si="1"/>
        <v>54290</v>
      </c>
      <c r="H34614" s="49">
        <f t="shared" si="2"/>
        <v>54471</v>
      </c>
    </row>
    <row r="34615">
      <c r="A34615" s="48" t="s">
        <v>1885</v>
      </c>
      <c r="B34615" s="38">
        <v>27512.0</v>
      </c>
      <c r="C34615" s="38" t="s">
        <v>38804</v>
      </c>
      <c r="D34615" s="38" t="str">
        <f>IFERROR(__xludf.DUMMYFUNCTION("REGEXREPLACE(C34615,""-\d+(.*)|--\d+(.*)"","""")"),"SAINT-AUBIN-DE-SCELLON")</f>
        <v>SAINT-AUBIN-DE-SCELLON</v>
      </c>
      <c r="E34615" s="38" t="s">
        <v>241</v>
      </c>
      <c r="F34615" s="38" t="s">
        <v>134</v>
      </c>
      <c r="G34615" s="49" t="str">
        <f t="shared" si="1"/>
        <v>27230</v>
      </c>
      <c r="H34615" s="49">
        <f t="shared" si="2"/>
        <v>27512</v>
      </c>
    </row>
    <row r="34616">
      <c r="A34616" s="48" t="s">
        <v>386</v>
      </c>
      <c r="B34616" s="38">
        <v>21057.0</v>
      </c>
      <c r="C34616" s="38" t="s">
        <v>38805</v>
      </c>
      <c r="D34616" s="38" t="str">
        <f>IFERROR(__xludf.DUMMYFUNCTION("REGEXREPLACE(C34616,""-\d+(.*)|--\d+(.*)"","""")"),"BEIRE-LE-FORT")</f>
        <v>BEIRE-LE-FORT</v>
      </c>
      <c r="E34616" s="38" t="s">
        <v>105</v>
      </c>
      <c r="F34616" s="38" t="s">
        <v>106</v>
      </c>
      <c r="G34616" s="49" t="str">
        <f t="shared" si="1"/>
        <v>21110</v>
      </c>
      <c r="H34616" s="49">
        <f t="shared" si="2"/>
        <v>21057</v>
      </c>
    </row>
    <row r="34617">
      <c r="A34617" s="48" t="s">
        <v>2362</v>
      </c>
      <c r="B34617" s="38">
        <v>14127.0</v>
      </c>
      <c r="C34617" s="38" t="s">
        <v>38806</v>
      </c>
      <c r="D34617" s="38" t="str">
        <f>IFERROR(__xludf.DUMMYFUNCTION("REGEXREPLACE(C34617,""-\d+(.*)|--\d+(.*)"","""")"),"CAMPAGNOLLES")</f>
        <v>CAMPAGNOLLES</v>
      </c>
      <c r="E34617" s="38" t="s">
        <v>137</v>
      </c>
      <c r="F34617" s="38" t="s">
        <v>138</v>
      </c>
      <c r="G34617" s="49" t="str">
        <f t="shared" si="1"/>
        <v>14500</v>
      </c>
      <c r="H34617" s="49">
        <f t="shared" si="2"/>
        <v>14127</v>
      </c>
    </row>
    <row r="34618">
      <c r="A34618" s="48" t="s">
        <v>8097</v>
      </c>
      <c r="B34618" s="38">
        <v>85072.0</v>
      </c>
      <c r="C34618" s="38" t="s">
        <v>38807</v>
      </c>
      <c r="D34618" s="38" t="str">
        <f>IFERROR(__xludf.DUMMYFUNCTION("REGEXREPLACE(C34618,""-\d+(.*)|--\d+(.*)"","""")"),"LA COPECHAGNIERE")</f>
        <v>LA COPECHAGNIERE</v>
      </c>
      <c r="E34618" s="38" t="s">
        <v>179</v>
      </c>
      <c r="F34618" s="38" t="s">
        <v>180</v>
      </c>
      <c r="G34618" s="49" t="str">
        <f t="shared" si="1"/>
        <v>85260</v>
      </c>
      <c r="H34618" s="49">
        <f t="shared" si="2"/>
        <v>85072</v>
      </c>
    </row>
    <row r="34619">
      <c r="A34619" s="48" t="s">
        <v>4882</v>
      </c>
      <c r="B34619" s="38">
        <v>89095.0</v>
      </c>
      <c r="C34619" s="38" t="s">
        <v>38808</v>
      </c>
      <c r="D34619" s="38" t="str">
        <f>IFERROR(__xludf.DUMMYFUNCTION("REGEXREPLACE(C34619,""-\d+(.*)|--\d+(.*)"","""")"),"CHEMILLY-SUR-SEREIN")</f>
        <v>CHEMILLY-SUR-SEREIN</v>
      </c>
      <c r="E34619" s="38" t="s">
        <v>275</v>
      </c>
      <c r="F34619" s="38" t="s">
        <v>106</v>
      </c>
      <c r="G34619" s="49" t="str">
        <f t="shared" si="1"/>
        <v>89800</v>
      </c>
      <c r="H34619" s="49">
        <f t="shared" si="2"/>
        <v>89095</v>
      </c>
    </row>
    <row r="34620">
      <c r="A34620" s="48" t="s">
        <v>3434</v>
      </c>
      <c r="B34620" s="38">
        <v>11231.0</v>
      </c>
      <c r="C34620" s="38" t="s">
        <v>38809</v>
      </c>
      <c r="D34620" s="38" t="str">
        <f>IFERROR(__xludf.DUMMYFUNCTION("REGEXREPLACE(C34620,""-\d+(.*)|--\d+(.*)"","""")"),"MEZERVILLE")</f>
        <v>MEZERVILLE</v>
      </c>
      <c r="E34620" s="38" t="s">
        <v>278</v>
      </c>
      <c r="F34620" s="38" t="s">
        <v>119</v>
      </c>
      <c r="G34620" s="49" t="str">
        <f t="shared" si="1"/>
        <v>11410</v>
      </c>
      <c r="H34620" s="49">
        <f t="shared" si="2"/>
        <v>11231</v>
      </c>
    </row>
    <row r="34621">
      <c r="A34621" s="48" t="s">
        <v>18292</v>
      </c>
      <c r="B34621" s="38">
        <v>22179.0</v>
      </c>
      <c r="C34621" s="38" t="s">
        <v>38810</v>
      </c>
      <c r="D34621" s="38" t="str">
        <f>IFERROR(__xludf.DUMMYFUNCTION("REGEXREPLACE(C34621,""-\d+(.*)|--\d+(.*)"","""")"),"FREHEL")</f>
        <v>FREHEL</v>
      </c>
      <c r="E34621" s="38" t="s">
        <v>89</v>
      </c>
      <c r="F34621" s="38" t="s">
        <v>90</v>
      </c>
      <c r="G34621" s="49" t="str">
        <f t="shared" si="1"/>
        <v>22240</v>
      </c>
      <c r="H34621" s="49">
        <f t="shared" si="2"/>
        <v>22179</v>
      </c>
    </row>
    <row r="34622">
      <c r="A34622" s="48" t="s">
        <v>3532</v>
      </c>
      <c r="B34622" s="38">
        <v>2640.0</v>
      </c>
      <c r="C34622" s="38" t="s">
        <v>38811</v>
      </c>
      <c r="D34622" s="38" t="str">
        <f>IFERROR(__xludf.DUMMYFUNCTION("REGEXREPLACE(C34622,""-\d+(.*)|--\d+(.*)"","""")"),"RENANSART")</f>
        <v>RENANSART</v>
      </c>
      <c r="E34622" s="38" t="s">
        <v>191</v>
      </c>
      <c r="F34622" s="38" t="s">
        <v>113</v>
      </c>
      <c r="G34622" s="49" t="str">
        <f t="shared" si="1"/>
        <v>02240</v>
      </c>
      <c r="H34622" s="49" t="str">
        <f t="shared" si="2"/>
        <v>02640</v>
      </c>
    </row>
    <row r="34623">
      <c r="A34623" s="48" t="s">
        <v>9231</v>
      </c>
      <c r="B34623" s="38">
        <v>76004.0</v>
      </c>
      <c r="C34623" s="38" t="s">
        <v>38812</v>
      </c>
      <c r="D34623" s="38" t="str">
        <f>IFERROR(__xludf.DUMMYFUNCTION("REGEXREPLACE(C34623,""-\d+(.*)|--\d+(.*)"","""")"),"AMBRUMESNIL")</f>
        <v>AMBRUMESNIL</v>
      </c>
      <c r="E34623" s="38" t="s">
        <v>133</v>
      </c>
      <c r="F34623" s="38" t="s">
        <v>134</v>
      </c>
      <c r="G34623" s="49" t="str">
        <f t="shared" si="1"/>
        <v>76550</v>
      </c>
      <c r="H34623" s="49">
        <f t="shared" si="2"/>
        <v>76004</v>
      </c>
    </row>
    <row r="34624">
      <c r="A34624" s="48" t="s">
        <v>3158</v>
      </c>
      <c r="B34624" s="38">
        <v>50211.0</v>
      </c>
      <c r="C34624" s="38" t="s">
        <v>38813</v>
      </c>
      <c r="D34624" s="38" t="str">
        <f>IFERROR(__xludf.DUMMYFUNCTION("REGEXREPLACE(C34624,""-\d+(.*)|--\d+(.*)"","""")"),"GOUBERVILLE")</f>
        <v>GOUBERVILLE</v>
      </c>
      <c r="E34624" s="38" t="s">
        <v>157</v>
      </c>
      <c r="F34624" s="38" t="s">
        <v>138</v>
      </c>
      <c r="G34624" s="49" t="str">
        <f t="shared" si="1"/>
        <v>50330</v>
      </c>
      <c r="H34624" s="49">
        <f t="shared" si="2"/>
        <v>50211</v>
      </c>
    </row>
    <row r="34625">
      <c r="A34625" s="48" t="s">
        <v>2942</v>
      </c>
      <c r="B34625" s="38">
        <v>14618.0</v>
      </c>
      <c r="C34625" s="38" t="s">
        <v>38814</v>
      </c>
      <c r="D34625" s="38" t="str">
        <f>IFERROR(__xludf.DUMMYFUNCTION("REGEXREPLACE(C34625,""-\d+(.*)|--\d+(.*)"","""")"),"SAINTE-MARIE-LAUMONT")</f>
        <v>SAINTE-MARIE-LAUMONT</v>
      </c>
      <c r="E34625" s="38" t="s">
        <v>137</v>
      </c>
      <c r="F34625" s="38" t="s">
        <v>138</v>
      </c>
      <c r="G34625" s="49" t="str">
        <f t="shared" si="1"/>
        <v>14350</v>
      </c>
      <c r="H34625" s="49">
        <f t="shared" si="2"/>
        <v>14618</v>
      </c>
    </row>
    <row r="34626">
      <c r="A34626" s="48" t="s">
        <v>3869</v>
      </c>
      <c r="B34626" s="38">
        <v>21541.0</v>
      </c>
      <c r="C34626" s="38" t="s">
        <v>2041</v>
      </c>
      <c r="D34626" s="38" t="str">
        <f>IFERROR(__xludf.DUMMYFUNCTION("REGEXREPLACE(C34626,""-\d+(.*)|--\d+(.*)"","""")"),"SAINT-AUBIN")</f>
        <v>SAINT-AUBIN</v>
      </c>
      <c r="E34626" s="38" t="s">
        <v>105</v>
      </c>
      <c r="F34626" s="38" t="s">
        <v>106</v>
      </c>
      <c r="G34626" s="49" t="str">
        <f t="shared" si="1"/>
        <v>21190</v>
      </c>
      <c r="H34626" s="49">
        <f t="shared" si="2"/>
        <v>21541</v>
      </c>
    </row>
    <row r="34627">
      <c r="A34627" s="48" t="s">
        <v>2668</v>
      </c>
      <c r="B34627" s="38">
        <v>55293.0</v>
      </c>
      <c r="C34627" s="38" t="s">
        <v>38815</v>
      </c>
      <c r="D34627" s="38" t="str">
        <f>IFERROR(__xludf.DUMMYFUNCTION("REGEXREPLACE(C34627,""-\d+(.*)|--\d+(.*)"","""")"),"LION-DEVANT-DUN")</f>
        <v>LION-DEVANT-DUN</v>
      </c>
      <c r="E34627" s="38" t="s">
        <v>322</v>
      </c>
      <c r="F34627" s="38" t="s">
        <v>195</v>
      </c>
      <c r="G34627" s="49" t="str">
        <f t="shared" si="1"/>
        <v>55110</v>
      </c>
      <c r="H34627" s="49">
        <f t="shared" si="2"/>
        <v>55293</v>
      </c>
    </row>
    <row r="34628">
      <c r="A34628" s="48" t="s">
        <v>6078</v>
      </c>
      <c r="B34628" s="38">
        <v>10174.0</v>
      </c>
      <c r="C34628" s="38" t="s">
        <v>38816</v>
      </c>
      <c r="D34628" s="38" t="str">
        <f>IFERROR(__xludf.DUMMYFUNCTION("REGEXREPLACE(C34628,""-\d+(.*)|--\d+(.*)"","""")"),"ISLE-AUBIGNY")</f>
        <v>ISLE-AUBIGNY</v>
      </c>
      <c r="E34628" s="38" t="s">
        <v>147</v>
      </c>
      <c r="F34628" s="38" t="s">
        <v>130</v>
      </c>
      <c r="G34628" s="49" t="str">
        <f t="shared" si="1"/>
        <v>10240</v>
      </c>
      <c r="H34628" s="49">
        <f t="shared" si="2"/>
        <v>10174</v>
      </c>
    </row>
    <row r="34629">
      <c r="A34629" s="48" t="s">
        <v>576</v>
      </c>
      <c r="B34629" s="38">
        <v>54458.0</v>
      </c>
      <c r="C34629" s="38" t="s">
        <v>38817</v>
      </c>
      <c r="D34629" s="38" t="str">
        <f>IFERROR(__xludf.DUMMYFUNCTION("REGEXREPLACE(C34629,""-\d+(.*)|--\d+(.*)"","""")"),"REPAIX")</f>
        <v>REPAIX</v>
      </c>
      <c r="E34629" s="38" t="s">
        <v>548</v>
      </c>
      <c r="F34629" s="38" t="s">
        <v>195</v>
      </c>
      <c r="G34629" s="49" t="str">
        <f t="shared" si="1"/>
        <v>54450</v>
      </c>
      <c r="H34629" s="49">
        <f t="shared" si="2"/>
        <v>54458</v>
      </c>
    </row>
    <row r="34630">
      <c r="A34630" s="48" t="s">
        <v>1796</v>
      </c>
      <c r="B34630" s="38">
        <v>31542.0</v>
      </c>
      <c r="C34630" s="38" t="s">
        <v>38818</v>
      </c>
      <c r="D34630" s="38" t="str">
        <f>IFERROR(__xludf.DUMMYFUNCTION("REGEXREPLACE(C34630,""-\d+(.*)|--\d+(.*)"","""")"),"SEILHAN")</f>
        <v>SEILHAN</v>
      </c>
      <c r="E34630" s="38" t="s">
        <v>93</v>
      </c>
      <c r="F34630" s="38" t="s">
        <v>94</v>
      </c>
      <c r="G34630" s="49" t="str">
        <f t="shared" si="1"/>
        <v>31510</v>
      </c>
      <c r="H34630" s="49">
        <f t="shared" si="2"/>
        <v>31542</v>
      </c>
    </row>
    <row r="34631">
      <c r="A34631" s="48" t="s">
        <v>4400</v>
      </c>
      <c r="B34631" s="38">
        <v>66072.0</v>
      </c>
      <c r="C34631" s="38" t="s">
        <v>38819</v>
      </c>
      <c r="D34631" s="38" t="str">
        <f>IFERROR(__xludf.DUMMYFUNCTION("REGEXREPLACE(C34631,""-\d+(.*)|--\d+(.*)"","""")"),"ESTAVAR")</f>
        <v>ESTAVAR</v>
      </c>
      <c r="E34631" s="38" t="s">
        <v>248</v>
      </c>
      <c r="F34631" s="38" t="s">
        <v>119</v>
      </c>
      <c r="G34631" s="49" t="str">
        <f t="shared" si="1"/>
        <v>66800</v>
      </c>
      <c r="H34631" s="49">
        <f t="shared" si="2"/>
        <v>66072</v>
      </c>
    </row>
    <row r="34632">
      <c r="A34632" s="48" t="s">
        <v>1770</v>
      </c>
      <c r="B34632" s="38">
        <v>57722.0</v>
      </c>
      <c r="C34632" s="38" t="s">
        <v>38820</v>
      </c>
      <c r="D34632" s="38" t="str">
        <f>IFERROR(__xludf.DUMMYFUNCTION("REGEXREPLACE(C34632,""-\d+(.*)|--\d+(.*)"","""")"),"VIONVILLE")</f>
        <v>VIONVILLE</v>
      </c>
      <c r="E34632" s="38" t="s">
        <v>303</v>
      </c>
      <c r="F34632" s="38" t="s">
        <v>195</v>
      </c>
      <c r="G34632" s="49" t="str">
        <f t="shared" si="1"/>
        <v>57130</v>
      </c>
      <c r="H34632" s="49">
        <f t="shared" si="2"/>
        <v>57722</v>
      </c>
    </row>
    <row r="34633">
      <c r="A34633" s="48" t="s">
        <v>5398</v>
      </c>
      <c r="B34633" s="38">
        <v>64451.0</v>
      </c>
      <c r="C34633" s="38" t="s">
        <v>38821</v>
      </c>
      <c r="D34633" s="38" t="str">
        <f>IFERROR(__xludf.DUMMYFUNCTION("REGEXREPLACE(C34633,""-\d+(.*)|--\d+(.*)"","""")"),"PONSON-DEBAT-POUTS")</f>
        <v>PONSON-DEBAT-POUTS</v>
      </c>
      <c r="E34633" s="38" t="s">
        <v>268</v>
      </c>
      <c r="F34633" s="38" t="s">
        <v>252</v>
      </c>
      <c r="G34633" s="49" t="str">
        <f t="shared" si="1"/>
        <v>64460</v>
      </c>
      <c r="H34633" s="49">
        <f t="shared" si="2"/>
        <v>64451</v>
      </c>
    </row>
    <row r="34634">
      <c r="A34634" s="48" t="s">
        <v>11007</v>
      </c>
      <c r="B34634" s="38">
        <v>17479.0</v>
      </c>
      <c r="C34634" s="38" t="s">
        <v>38822</v>
      </c>
      <c r="D34634" s="38" t="str">
        <f>IFERROR(__xludf.DUMMYFUNCTION("REGEXREPLACE(C34634,""-\d+(.*)|--\d+(.*)"","""")"),"VIROLLET")</f>
        <v>VIROLLET</v>
      </c>
      <c r="E34634" s="38" t="s">
        <v>488</v>
      </c>
      <c r="F34634" s="38" t="s">
        <v>338</v>
      </c>
      <c r="G34634" s="49" t="str">
        <f t="shared" si="1"/>
        <v>17260</v>
      </c>
      <c r="H34634" s="49">
        <f t="shared" si="2"/>
        <v>17479</v>
      </c>
    </row>
    <row r="34635">
      <c r="A34635" s="48" t="s">
        <v>5706</v>
      </c>
      <c r="B34635" s="38">
        <v>63201.0</v>
      </c>
      <c r="C34635" s="38" t="s">
        <v>38823</v>
      </c>
      <c r="D34635" s="38" t="str">
        <f>IFERROR(__xludf.DUMMYFUNCTION("REGEXREPLACE(C34635,""-\d+(.*)|--\d+(.*)"","""")"),"LUZILLAT")</f>
        <v>LUZILLAT</v>
      </c>
      <c r="E34635" s="38" t="s">
        <v>353</v>
      </c>
      <c r="F34635" s="38" t="s">
        <v>161</v>
      </c>
      <c r="G34635" s="49" t="str">
        <f t="shared" si="1"/>
        <v>63350</v>
      </c>
      <c r="H34635" s="49">
        <f t="shared" si="2"/>
        <v>63201</v>
      </c>
    </row>
    <row r="34636">
      <c r="A34636" s="48" t="s">
        <v>4295</v>
      </c>
      <c r="B34636" s="38">
        <v>40210.0</v>
      </c>
      <c r="C34636" s="38" t="s">
        <v>38824</v>
      </c>
      <c r="D34636" s="38" t="str">
        <f>IFERROR(__xludf.DUMMYFUNCTION("REGEXREPLACE(C34636,""-\d+(.*)|--\d+(.*)"","""")"),"ONESSE-ET-LAHARIE")</f>
        <v>ONESSE-ET-LAHARIE</v>
      </c>
      <c r="E34636" s="38" t="s">
        <v>281</v>
      </c>
      <c r="F34636" s="38" t="s">
        <v>252</v>
      </c>
      <c r="G34636" s="49" t="str">
        <f t="shared" si="1"/>
        <v>40110</v>
      </c>
      <c r="H34636" s="49">
        <f t="shared" si="2"/>
        <v>40210</v>
      </c>
    </row>
    <row r="34637">
      <c r="A34637" s="48" t="s">
        <v>434</v>
      </c>
      <c r="B34637" s="38">
        <v>55511.0</v>
      </c>
      <c r="C34637" s="38" t="s">
        <v>38825</v>
      </c>
      <c r="D34637" s="38" t="str">
        <f>IFERROR(__xludf.DUMMYFUNCTION("REGEXREPLACE(C34637,""-\d+(.*)|--\d+(.*)"","""")"),"THONNELLE")</f>
        <v>THONNELLE</v>
      </c>
      <c r="E34637" s="38" t="s">
        <v>322</v>
      </c>
      <c r="F34637" s="38" t="s">
        <v>195</v>
      </c>
      <c r="G34637" s="49" t="str">
        <f t="shared" si="1"/>
        <v>55600</v>
      </c>
      <c r="H34637" s="49">
        <f t="shared" si="2"/>
        <v>55511</v>
      </c>
    </row>
    <row r="34638">
      <c r="A34638" s="48" t="s">
        <v>7223</v>
      </c>
      <c r="B34638" s="38">
        <v>63147.0</v>
      </c>
      <c r="C34638" s="38" t="s">
        <v>38826</v>
      </c>
      <c r="D34638" s="38" t="str">
        <f>IFERROR(__xludf.DUMMYFUNCTION("REGEXREPLACE(C34638,""-\d+(.*)|--\d+(.*)"","""")"),"EGLISOLLES")</f>
        <v>EGLISOLLES</v>
      </c>
      <c r="E34638" s="38" t="s">
        <v>353</v>
      </c>
      <c r="F34638" s="38" t="s">
        <v>161</v>
      </c>
      <c r="G34638" s="49" t="str">
        <f t="shared" si="1"/>
        <v>63840</v>
      </c>
      <c r="H34638" s="49">
        <f t="shared" si="2"/>
        <v>63147</v>
      </c>
    </row>
    <row r="34639">
      <c r="A34639" s="48" t="s">
        <v>582</v>
      </c>
      <c r="B34639" s="38">
        <v>39060.0</v>
      </c>
      <c r="C34639" s="38" t="s">
        <v>38827</v>
      </c>
      <c r="D34639" s="38" t="str">
        <f>IFERROR(__xludf.DUMMYFUNCTION("REGEXREPLACE(C34639,""-\d+(.*)|--\d+(.*)"","""")"),"BOIS-DE-GAND")</f>
        <v>BOIS-DE-GAND</v>
      </c>
      <c r="E34639" s="38" t="s">
        <v>400</v>
      </c>
      <c r="F34639" s="38" t="s">
        <v>214</v>
      </c>
      <c r="G34639" s="49" t="str">
        <f t="shared" si="1"/>
        <v>39230</v>
      </c>
      <c r="H34639" s="49">
        <f t="shared" si="2"/>
        <v>39060</v>
      </c>
    </row>
    <row r="34640">
      <c r="A34640" s="48" t="s">
        <v>2259</v>
      </c>
      <c r="B34640" s="38">
        <v>22170.0</v>
      </c>
      <c r="C34640" s="38" t="s">
        <v>38828</v>
      </c>
      <c r="D34640" s="38" t="str">
        <f>IFERROR(__xludf.DUMMYFUNCTION("REGEXREPLACE(C34640,""-\d+(.*)|--\d+(.*)"","""")"),"PLAINE-HAUTE")</f>
        <v>PLAINE-HAUTE</v>
      </c>
      <c r="E34640" s="38" t="s">
        <v>89</v>
      </c>
      <c r="F34640" s="38" t="s">
        <v>90</v>
      </c>
      <c r="G34640" s="49" t="str">
        <f t="shared" si="1"/>
        <v>22800</v>
      </c>
      <c r="H34640" s="49">
        <f t="shared" si="2"/>
        <v>22170</v>
      </c>
    </row>
    <row r="34641">
      <c r="A34641" s="48" t="s">
        <v>9373</v>
      </c>
      <c r="B34641" s="38">
        <v>84052.0</v>
      </c>
      <c r="C34641" s="38" t="s">
        <v>38829</v>
      </c>
      <c r="D34641" s="38" t="str">
        <f>IFERROR(__xludf.DUMMYFUNCTION("REGEXREPLACE(C34641,""-\d+(.*)|--\d+(.*)"","""")"),"GRAMBOIS")</f>
        <v>GRAMBOIS</v>
      </c>
      <c r="E34641" s="38" t="s">
        <v>1026</v>
      </c>
      <c r="F34641" s="38" t="s">
        <v>228</v>
      </c>
      <c r="G34641" s="49" t="str">
        <f t="shared" si="1"/>
        <v>84240</v>
      </c>
      <c r="H34641" s="49">
        <f t="shared" si="2"/>
        <v>84052</v>
      </c>
    </row>
    <row r="34642">
      <c r="A34642" s="48" t="s">
        <v>31318</v>
      </c>
      <c r="B34642" s="38">
        <v>95301.0</v>
      </c>
      <c r="C34642" s="38" t="s">
        <v>38830</v>
      </c>
      <c r="D34642" s="38" t="str">
        <f>IFERROR(__xludf.DUMMYFUNCTION("REGEXREPLACE(C34642,""-\d+(.*)|--\d+(.*)"","""")"),"HAUTE-ISLE")</f>
        <v>HAUTE-ISLE</v>
      </c>
      <c r="E34642" s="38" t="s">
        <v>541</v>
      </c>
      <c r="F34642" s="38" t="s">
        <v>245</v>
      </c>
      <c r="G34642" s="49" t="str">
        <f t="shared" si="1"/>
        <v>95780</v>
      </c>
      <c r="H34642" s="49">
        <f t="shared" si="2"/>
        <v>95301</v>
      </c>
    </row>
    <row r="34643">
      <c r="A34643" s="48" t="s">
        <v>1262</v>
      </c>
      <c r="B34643" s="38">
        <v>11300.0</v>
      </c>
      <c r="C34643" s="38" t="s">
        <v>38831</v>
      </c>
      <c r="D34643" s="38" t="str">
        <f>IFERROR(__xludf.DUMMYFUNCTION("REGEXREPLACE(C34643,""-\d+(.*)|--\d+(.*)"","""")"),"PUGINIER")</f>
        <v>PUGINIER</v>
      </c>
      <c r="E34643" s="38" t="s">
        <v>278</v>
      </c>
      <c r="F34643" s="38" t="s">
        <v>119</v>
      </c>
      <c r="G34643" s="49" t="str">
        <f t="shared" si="1"/>
        <v>11400</v>
      </c>
      <c r="H34643" s="49">
        <f t="shared" si="2"/>
        <v>11300</v>
      </c>
    </row>
    <row r="34644">
      <c r="A34644" s="48" t="s">
        <v>3689</v>
      </c>
      <c r="B34644" s="38">
        <v>1001.0</v>
      </c>
      <c r="C34644" s="38" t="s">
        <v>38832</v>
      </c>
      <c r="D34644" s="38" t="str">
        <f>IFERROR(__xludf.DUMMYFUNCTION("REGEXREPLACE(C34644,""-\d+(.*)|--\d+(.*)"","""")"),"L'ABERGEMENT-CLEMENCIAT")</f>
        <v>L'ABERGEMENT-CLEMENCIAT</v>
      </c>
      <c r="E34644" s="38" t="s">
        <v>255</v>
      </c>
      <c r="F34644" s="38" t="s">
        <v>102</v>
      </c>
      <c r="G34644" s="49" t="str">
        <f t="shared" si="1"/>
        <v>01400</v>
      </c>
      <c r="H34644" s="49" t="str">
        <f t="shared" si="2"/>
        <v>01001</v>
      </c>
    </row>
    <row r="34645">
      <c r="A34645" s="48" t="s">
        <v>3662</v>
      </c>
      <c r="B34645" s="38">
        <v>80710.0</v>
      </c>
      <c r="C34645" s="38" t="s">
        <v>38833</v>
      </c>
      <c r="D34645" s="38" t="str">
        <f>IFERROR(__xludf.DUMMYFUNCTION("REGEXREPLACE(C34645,""-\d+(.*)|--\d+(.*)"","""")"),"SAINT-MAXENT")</f>
        <v>SAINT-MAXENT</v>
      </c>
      <c r="E34645" s="38" t="s">
        <v>224</v>
      </c>
      <c r="F34645" s="38" t="s">
        <v>113</v>
      </c>
      <c r="G34645" s="49" t="str">
        <f t="shared" si="1"/>
        <v>80140</v>
      </c>
      <c r="H34645" s="49">
        <f t="shared" si="2"/>
        <v>80710</v>
      </c>
    </row>
    <row r="34646">
      <c r="A34646" s="48" t="s">
        <v>5288</v>
      </c>
      <c r="B34646" s="38">
        <v>62849.0</v>
      </c>
      <c r="C34646" s="38" t="s">
        <v>38834</v>
      </c>
      <c r="D34646" s="38" t="str">
        <f>IFERROR(__xludf.DUMMYFUNCTION("REGEXREPLACE(C34646,""-\d+(.*)|--\d+(.*)"","""")"),"VERTON")</f>
        <v>VERTON</v>
      </c>
      <c r="E34646" s="38" t="s">
        <v>109</v>
      </c>
      <c r="F34646" s="38" t="s">
        <v>86</v>
      </c>
      <c r="G34646" s="49" t="str">
        <f t="shared" si="1"/>
        <v>62180</v>
      </c>
      <c r="H34646" s="49">
        <f t="shared" si="2"/>
        <v>62849</v>
      </c>
    </row>
    <row r="34647">
      <c r="A34647" s="48" t="s">
        <v>916</v>
      </c>
      <c r="B34647" s="38">
        <v>76010.0</v>
      </c>
      <c r="C34647" s="38" t="s">
        <v>38835</v>
      </c>
      <c r="D34647" s="38" t="str">
        <f>IFERROR(__xludf.DUMMYFUNCTION("REGEXREPLACE(C34647,""-\d+(.*)|--\d+(.*)"","""")"),"ANCRETIEVILLE-SAINT-VICTOR")</f>
        <v>ANCRETIEVILLE-SAINT-VICTOR</v>
      </c>
      <c r="E34647" s="38" t="s">
        <v>133</v>
      </c>
      <c r="F34647" s="38" t="s">
        <v>134</v>
      </c>
      <c r="G34647" s="49" t="str">
        <f t="shared" si="1"/>
        <v>76760</v>
      </c>
      <c r="H34647" s="49">
        <f t="shared" si="2"/>
        <v>76010</v>
      </c>
    </row>
    <row r="34648">
      <c r="A34648" s="48" t="s">
        <v>13932</v>
      </c>
      <c r="B34648" s="38">
        <v>19137.0</v>
      </c>
      <c r="C34648" s="38" t="s">
        <v>38836</v>
      </c>
      <c r="D34648" s="38" t="str">
        <f>IFERROR(__xludf.DUMMYFUNCTION("REGEXREPLACE(C34648,""-\d+(.*)|--\d+(.*)"","""")"),"MEYRIGNAC-L'EGLISE")</f>
        <v>MEYRIGNAC-L'EGLISE</v>
      </c>
      <c r="E34648" s="38" t="s">
        <v>271</v>
      </c>
      <c r="F34648" s="38" t="s">
        <v>98</v>
      </c>
      <c r="G34648" s="49" t="str">
        <f t="shared" si="1"/>
        <v>19800</v>
      </c>
      <c r="H34648" s="49">
        <f t="shared" si="2"/>
        <v>19137</v>
      </c>
    </row>
    <row r="34649">
      <c r="A34649" s="48" t="s">
        <v>2400</v>
      </c>
      <c r="B34649" s="38">
        <v>25385.0</v>
      </c>
      <c r="C34649" s="38" t="s">
        <v>38837</v>
      </c>
      <c r="D34649" s="38" t="str">
        <f>IFERROR(__xludf.DUMMYFUNCTION("REGEXREPLACE(C34649,""-\d+(.*)|--\d+(.*)"","""")"),"MONTAGNEY-SERVIGNEY")</f>
        <v>MONTAGNEY-SERVIGNEY</v>
      </c>
      <c r="E34649" s="38" t="s">
        <v>213</v>
      </c>
      <c r="F34649" s="38" t="s">
        <v>214</v>
      </c>
      <c r="G34649" s="49" t="str">
        <f t="shared" si="1"/>
        <v>25680</v>
      </c>
      <c r="H34649" s="49">
        <f t="shared" si="2"/>
        <v>25385</v>
      </c>
    </row>
    <row r="34650">
      <c r="A34650" s="48" t="s">
        <v>5805</v>
      </c>
      <c r="B34650" s="38">
        <v>21220.0</v>
      </c>
      <c r="C34650" s="38" t="s">
        <v>38838</v>
      </c>
      <c r="D34650" s="38" t="str">
        <f>IFERROR(__xludf.DUMMYFUNCTION("REGEXREPLACE(C34650,""-\d+(.*)|--\d+(.*)"","""")"),"CUSSEY-LES-FORGES")</f>
        <v>CUSSEY-LES-FORGES</v>
      </c>
      <c r="E34650" s="38" t="s">
        <v>105</v>
      </c>
      <c r="F34650" s="38" t="s">
        <v>106</v>
      </c>
      <c r="G34650" s="49" t="str">
        <f t="shared" si="1"/>
        <v>21580</v>
      </c>
      <c r="H34650" s="49">
        <f t="shared" si="2"/>
        <v>21220</v>
      </c>
    </row>
    <row r="34651">
      <c r="A34651" s="48" t="s">
        <v>1978</v>
      </c>
      <c r="B34651" s="38">
        <v>88471.0</v>
      </c>
      <c r="C34651" s="38" t="s">
        <v>38839</v>
      </c>
      <c r="D34651" s="38" t="str">
        <f>IFERROR(__xludf.DUMMYFUNCTION("REGEXREPLACE(C34651,""-\d+(.*)|--\d+(.*)"","""")"),"LES THONS")</f>
        <v>LES THONS</v>
      </c>
      <c r="E34651" s="38" t="s">
        <v>194</v>
      </c>
      <c r="F34651" s="38" t="s">
        <v>195</v>
      </c>
      <c r="G34651" s="49" t="str">
        <f t="shared" si="1"/>
        <v>88410</v>
      </c>
      <c r="H34651" s="49">
        <f t="shared" si="2"/>
        <v>88471</v>
      </c>
    </row>
    <row r="34652">
      <c r="A34652" s="48" t="s">
        <v>1964</v>
      </c>
      <c r="B34652" s="38">
        <v>26296.0</v>
      </c>
      <c r="C34652" s="38" t="s">
        <v>38840</v>
      </c>
      <c r="D34652" s="38" t="str">
        <f>IFERROR(__xludf.DUMMYFUNCTION("REGEXREPLACE(C34652,""-\d+(.*)|--\d+(.*)"","""")"),"SAINT-BENOIT-EN-DIOIS")</f>
        <v>SAINT-BENOIT-EN-DIOIS</v>
      </c>
      <c r="E34652" s="38" t="s">
        <v>126</v>
      </c>
      <c r="F34652" s="38" t="s">
        <v>102</v>
      </c>
      <c r="G34652" s="49" t="str">
        <f t="shared" si="1"/>
        <v>26340</v>
      </c>
      <c r="H34652" s="49">
        <f t="shared" si="2"/>
        <v>26296</v>
      </c>
    </row>
    <row r="34653">
      <c r="A34653" s="48" t="s">
        <v>3182</v>
      </c>
      <c r="B34653" s="38">
        <v>80435.0</v>
      </c>
      <c r="C34653" s="38" t="s">
        <v>38841</v>
      </c>
      <c r="D34653" s="38" t="str">
        <f>IFERROR(__xludf.DUMMYFUNCTION("REGEXREPLACE(C34653,""-\d+(.*)|--\d+(.*)"","""")"),"HESBECOURT")</f>
        <v>HESBECOURT</v>
      </c>
      <c r="E34653" s="38" t="s">
        <v>224</v>
      </c>
      <c r="F34653" s="38" t="s">
        <v>113</v>
      </c>
      <c r="G34653" s="49" t="str">
        <f t="shared" si="1"/>
        <v>80240</v>
      </c>
      <c r="H34653" s="49">
        <f t="shared" si="2"/>
        <v>80435</v>
      </c>
    </row>
    <row r="34654">
      <c r="A34654" s="48" t="s">
        <v>4441</v>
      </c>
      <c r="B34654" s="38">
        <v>6074.0</v>
      </c>
      <c r="C34654" s="38" t="s">
        <v>38842</v>
      </c>
      <c r="D34654" s="38" t="str">
        <f>IFERROR(__xludf.DUMMYFUNCTION("REGEXREPLACE(C34654,""-\d+(.*)|--\d+(.*)"","""")"),"LANTOSQUE")</f>
        <v>LANTOSQUE</v>
      </c>
      <c r="E34654" s="38" t="s">
        <v>227</v>
      </c>
      <c r="F34654" s="38" t="s">
        <v>228</v>
      </c>
      <c r="G34654" s="49" t="str">
        <f t="shared" si="1"/>
        <v>06450</v>
      </c>
      <c r="H34654" s="49" t="str">
        <f t="shared" si="2"/>
        <v>06074</v>
      </c>
    </row>
    <row r="34655">
      <c r="A34655" s="48" t="s">
        <v>10194</v>
      </c>
      <c r="B34655" s="38">
        <v>19285.0</v>
      </c>
      <c r="C34655" s="38" t="s">
        <v>38843</v>
      </c>
      <c r="D34655" s="38" t="str">
        <f>IFERROR(__xludf.DUMMYFUNCTION("REGEXREPLACE(C34655,""-\d+(.*)|--\d+(.*)"","""")"),"VIGEOIS")</f>
        <v>VIGEOIS</v>
      </c>
      <c r="E34655" s="38" t="s">
        <v>271</v>
      </c>
      <c r="F34655" s="38" t="s">
        <v>98</v>
      </c>
      <c r="G34655" s="49" t="str">
        <f t="shared" si="1"/>
        <v>19410</v>
      </c>
      <c r="H34655" s="49">
        <f t="shared" si="2"/>
        <v>19285</v>
      </c>
    </row>
    <row r="34656">
      <c r="A34656" s="48" t="s">
        <v>342</v>
      </c>
      <c r="B34656" s="38">
        <v>71210.0</v>
      </c>
      <c r="C34656" s="38" t="s">
        <v>38844</v>
      </c>
      <c r="D34656" s="38" t="str">
        <f>IFERROR(__xludf.DUMMYFUNCTION("REGEXREPLACE(C34656,""-\d+(.*)|--\d+(.*)"","""")"),"FUISSE")</f>
        <v>FUISSE</v>
      </c>
      <c r="E34656" s="38" t="s">
        <v>344</v>
      </c>
      <c r="F34656" s="38" t="s">
        <v>106</v>
      </c>
      <c r="G34656" s="49" t="str">
        <f t="shared" si="1"/>
        <v>71960</v>
      </c>
      <c r="H34656" s="49">
        <f t="shared" si="2"/>
        <v>71210</v>
      </c>
    </row>
    <row r="34657">
      <c r="A34657" s="48" t="s">
        <v>582</v>
      </c>
      <c r="B34657" s="38">
        <v>39243.0</v>
      </c>
      <c r="C34657" s="38" t="s">
        <v>38845</v>
      </c>
      <c r="D34657" s="38" t="str">
        <f>IFERROR(__xludf.DUMMYFUNCTION("REGEXREPLACE(C34657,""-\d+(.*)|--\d+(.*)"","""")"),"FROIDEVILLE")</f>
        <v>FROIDEVILLE</v>
      </c>
      <c r="E34657" s="38" t="s">
        <v>400</v>
      </c>
      <c r="F34657" s="38" t="s">
        <v>214</v>
      </c>
      <c r="G34657" s="49" t="str">
        <f t="shared" si="1"/>
        <v>39230</v>
      </c>
      <c r="H34657" s="49">
        <f t="shared" si="2"/>
        <v>39243</v>
      </c>
    </row>
    <row r="34658">
      <c r="A34658" s="48" t="s">
        <v>19465</v>
      </c>
      <c r="B34658" s="38">
        <v>16020.0</v>
      </c>
      <c r="C34658" s="38" t="s">
        <v>38846</v>
      </c>
      <c r="D34658" s="38" t="str">
        <f>IFERROR(__xludf.DUMMYFUNCTION("REGEXREPLACE(C34658,""-\d+(.*)|--\d+(.*)"","""")"),"AUBETERRE-SUR-DRONNE")</f>
        <v>AUBETERRE-SUR-DRONNE</v>
      </c>
      <c r="E34658" s="38" t="s">
        <v>429</v>
      </c>
      <c r="F34658" s="38" t="s">
        <v>338</v>
      </c>
      <c r="G34658" s="49" t="str">
        <f t="shared" si="1"/>
        <v>16390</v>
      </c>
      <c r="H34658" s="49">
        <f t="shared" si="2"/>
        <v>16020</v>
      </c>
    </row>
    <row r="34659">
      <c r="A34659" s="48" t="s">
        <v>3031</v>
      </c>
      <c r="B34659" s="38">
        <v>21326.0</v>
      </c>
      <c r="C34659" s="38" t="s">
        <v>38847</v>
      </c>
      <c r="D34659" s="38" t="str">
        <f>IFERROR(__xludf.DUMMYFUNCTION("REGEXREPLACE(C34659,""-\d+(.*)|--\d+(.*)"","""")"),"JOURS-LES-BAIGNEUX")</f>
        <v>JOURS-LES-BAIGNEUX</v>
      </c>
      <c r="E34659" s="38" t="s">
        <v>105</v>
      </c>
      <c r="F34659" s="38" t="s">
        <v>106</v>
      </c>
      <c r="G34659" s="49" t="str">
        <f t="shared" si="1"/>
        <v>21450</v>
      </c>
      <c r="H34659" s="49">
        <f t="shared" si="2"/>
        <v>21326</v>
      </c>
    </row>
    <row r="34660">
      <c r="A34660" s="48" t="s">
        <v>14628</v>
      </c>
      <c r="B34660" s="38">
        <v>76495.0</v>
      </c>
      <c r="C34660" s="38" t="s">
        <v>38848</v>
      </c>
      <c r="D34660" s="38" t="str">
        <f>IFERROR(__xludf.DUMMYFUNCTION("REGEXREPLACE(C34660,""-\d+(.*)|--\d+(.*)"","""")"),"PAVILLY")</f>
        <v>PAVILLY</v>
      </c>
      <c r="E34660" s="38" t="s">
        <v>133</v>
      </c>
      <c r="F34660" s="38" t="s">
        <v>134</v>
      </c>
      <c r="G34660" s="49" t="str">
        <f t="shared" si="1"/>
        <v>76570</v>
      </c>
      <c r="H34660" s="49">
        <f t="shared" si="2"/>
        <v>76495</v>
      </c>
    </row>
    <row r="34661">
      <c r="A34661" s="48" t="s">
        <v>12066</v>
      </c>
      <c r="B34661" s="38">
        <v>56064.0</v>
      </c>
      <c r="C34661" s="38" t="s">
        <v>38849</v>
      </c>
      <c r="D34661" s="38" t="str">
        <f>IFERROR(__xludf.DUMMYFUNCTION("REGEXREPLACE(C34661,""-\d+(.*)|--\d+(.*)"","""")"),"GLENAC")</f>
        <v>GLENAC</v>
      </c>
      <c r="E34661" s="38" t="s">
        <v>173</v>
      </c>
      <c r="F34661" s="38" t="s">
        <v>90</v>
      </c>
      <c r="G34661" s="49" t="str">
        <f t="shared" si="1"/>
        <v>56200</v>
      </c>
      <c r="H34661" s="49">
        <f t="shared" si="2"/>
        <v>56064</v>
      </c>
    </row>
    <row r="34662">
      <c r="A34662" s="48" t="s">
        <v>4840</v>
      </c>
      <c r="B34662" s="38">
        <v>16140.0</v>
      </c>
      <c r="C34662" s="38" t="s">
        <v>38850</v>
      </c>
      <c r="D34662" s="38" t="str">
        <f>IFERROR(__xludf.DUMMYFUNCTION("REGEXREPLACE(C34662,""-\d+(.*)|--\d+(.*)"","""")"),"FONTCLAIREAU")</f>
        <v>FONTCLAIREAU</v>
      </c>
      <c r="E34662" s="38" t="s">
        <v>429</v>
      </c>
      <c r="F34662" s="38" t="s">
        <v>338</v>
      </c>
      <c r="G34662" s="49" t="str">
        <f t="shared" si="1"/>
        <v>16230</v>
      </c>
      <c r="H34662" s="49">
        <f t="shared" si="2"/>
        <v>16140</v>
      </c>
    </row>
    <row r="34663">
      <c r="A34663" s="48" t="s">
        <v>372</v>
      </c>
      <c r="B34663" s="38">
        <v>29211.0</v>
      </c>
      <c r="C34663" s="38" t="s">
        <v>38851</v>
      </c>
      <c r="D34663" s="38" t="str">
        <f>IFERROR(__xludf.DUMMYFUNCTION("REGEXREPLACE(C34663,""-\d+(.*)|--\d+(.*)"","""")"),"PLOUYE")</f>
        <v>PLOUYE</v>
      </c>
      <c r="E34663" s="38" t="s">
        <v>176</v>
      </c>
      <c r="F34663" s="38" t="s">
        <v>90</v>
      </c>
      <c r="G34663" s="49" t="str">
        <f t="shared" si="1"/>
        <v>29690</v>
      </c>
      <c r="H34663" s="49">
        <f t="shared" si="2"/>
        <v>29211</v>
      </c>
    </row>
    <row r="34664">
      <c r="A34664" s="48" t="s">
        <v>1932</v>
      </c>
      <c r="B34664" s="38">
        <v>70455.0</v>
      </c>
      <c r="C34664" s="38" t="s">
        <v>29009</v>
      </c>
      <c r="D34664" s="38" t="str">
        <f>IFERROR(__xludf.DUMMYFUNCTION("REGEXREPLACE(C34664,""-\d+(.*)|--\d+(.*)"","""")"),"ROYE")</f>
        <v>ROYE</v>
      </c>
      <c r="E34664" s="38" t="s">
        <v>956</v>
      </c>
      <c r="F34664" s="38" t="s">
        <v>214</v>
      </c>
      <c r="G34664" s="49" t="str">
        <f t="shared" si="1"/>
        <v>70200</v>
      </c>
      <c r="H34664" s="49">
        <f t="shared" si="2"/>
        <v>70455</v>
      </c>
    </row>
    <row r="34665">
      <c r="A34665" s="48" t="s">
        <v>3305</v>
      </c>
      <c r="B34665" s="38">
        <v>24416.0</v>
      </c>
      <c r="C34665" s="38" t="s">
        <v>38852</v>
      </c>
      <c r="D34665" s="38" t="str">
        <f>IFERROR(__xludf.DUMMYFUNCTION("REGEXREPLACE(C34665,""-\d+(.*)|--\d+(.*)"","""")"),"SAINT-GERMAIN-DE-BELVES")</f>
        <v>SAINT-GERMAIN-DE-BELVES</v>
      </c>
      <c r="E34665" s="38" t="s">
        <v>261</v>
      </c>
      <c r="F34665" s="38" t="s">
        <v>252</v>
      </c>
      <c r="G34665" s="49" t="str">
        <f t="shared" si="1"/>
        <v>24170</v>
      </c>
      <c r="H34665" s="49">
        <f t="shared" si="2"/>
        <v>24416</v>
      </c>
    </row>
    <row r="34666">
      <c r="A34666" s="48" t="s">
        <v>11152</v>
      </c>
      <c r="B34666" s="38">
        <v>61109.0</v>
      </c>
      <c r="C34666" s="38" t="s">
        <v>38853</v>
      </c>
      <c r="D34666" s="38" t="str">
        <f>IFERROR(__xludf.DUMMYFUNCTION("REGEXREPLACE(C34666,""-\d+(.*)|--\d+(.*)"","""")"),"CLAIREFOUGERE")</f>
        <v>CLAIREFOUGERE</v>
      </c>
      <c r="E34666" s="38" t="s">
        <v>141</v>
      </c>
      <c r="F34666" s="38" t="s">
        <v>138</v>
      </c>
      <c r="G34666" s="49" t="str">
        <f t="shared" si="1"/>
        <v>61800</v>
      </c>
      <c r="H34666" s="49">
        <f t="shared" si="2"/>
        <v>61109</v>
      </c>
    </row>
    <row r="34667">
      <c r="A34667" s="48" t="s">
        <v>6800</v>
      </c>
      <c r="B34667" s="38">
        <v>77279.0</v>
      </c>
      <c r="C34667" s="38" t="s">
        <v>38854</v>
      </c>
      <c r="D34667" s="38" t="str">
        <f>IFERROR(__xludf.DUMMYFUNCTION("REGEXREPLACE(C34667,""-\d+(.*)|--\d+(.*)"","""")"),"MAROLLES-SUR-SEINE")</f>
        <v>MAROLLES-SUR-SEINE</v>
      </c>
      <c r="E34667" s="38" t="s">
        <v>244</v>
      </c>
      <c r="F34667" s="38" t="s">
        <v>245</v>
      </c>
      <c r="G34667" s="49" t="str">
        <f t="shared" si="1"/>
        <v>77130</v>
      </c>
      <c r="H34667" s="49">
        <f t="shared" si="2"/>
        <v>77279</v>
      </c>
    </row>
    <row r="34668">
      <c r="A34668" s="48" t="s">
        <v>1091</v>
      </c>
      <c r="B34668" s="38">
        <v>57031.0</v>
      </c>
      <c r="C34668" s="38" t="s">
        <v>38855</v>
      </c>
      <c r="D34668" s="38" t="str">
        <f>IFERROR(__xludf.DUMMYFUNCTION("REGEXREPLACE(C34668,""-\d+(.*)|--\d+(.*)"","""")"),"ARS-LAQUENEXY")</f>
        <v>ARS-LAQUENEXY</v>
      </c>
      <c r="E34668" s="38" t="s">
        <v>303</v>
      </c>
      <c r="F34668" s="38" t="s">
        <v>195</v>
      </c>
      <c r="G34668" s="49" t="str">
        <f t="shared" si="1"/>
        <v>57530</v>
      </c>
      <c r="H34668" s="49">
        <f t="shared" si="2"/>
        <v>57031</v>
      </c>
    </row>
    <row r="34669">
      <c r="A34669" s="48" t="s">
        <v>9965</v>
      </c>
      <c r="B34669" s="38">
        <v>19265.0</v>
      </c>
      <c r="C34669" s="38" t="s">
        <v>38856</v>
      </c>
      <c r="D34669" s="38" t="str">
        <f>IFERROR(__xludf.DUMMYFUNCTION("REGEXREPLACE(C34669,""-\d+(.*)|--\d+(.*)"","""")"),"TARNAC")</f>
        <v>TARNAC</v>
      </c>
      <c r="E34669" s="38" t="s">
        <v>271</v>
      </c>
      <c r="F34669" s="38" t="s">
        <v>98</v>
      </c>
      <c r="G34669" s="49" t="str">
        <f t="shared" si="1"/>
        <v>19170</v>
      </c>
      <c r="H34669" s="49">
        <f t="shared" si="2"/>
        <v>19265</v>
      </c>
    </row>
    <row r="34670">
      <c r="A34670" s="48" t="s">
        <v>6519</v>
      </c>
      <c r="B34670" s="38">
        <v>81064.0</v>
      </c>
      <c r="C34670" s="38" t="s">
        <v>38857</v>
      </c>
      <c r="D34670" s="38" t="str">
        <f>IFERROR(__xludf.DUMMYFUNCTION("REGEXREPLACE(C34670,""-\d+(.*)|--\d+(.*)"","""")"),"CASTELNAU-DE-MONTMIRAL")</f>
        <v>CASTELNAU-DE-MONTMIRAL</v>
      </c>
      <c r="E34670" s="38" t="s">
        <v>231</v>
      </c>
      <c r="F34670" s="38" t="s">
        <v>94</v>
      </c>
      <c r="G34670" s="49" t="str">
        <f t="shared" si="1"/>
        <v>81140</v>
      </c>
      <c r="H34670" s="49">
        <f t="shared" si="2"/>
        <v>81064</v>
      </c>
    </row>
    <row r="34671">
      <c r="A34671" s="48" t="s">
        <v>7122</v>
      </c>
      <c r="B34671" s="38">
        <v>57301.0</v>
      </c>
      <c r="C34671" s="38" t="s">
        <v>38858</v>
      </c>
      <c r="D34671" s="38" t="str">
        <f>IFERROR(__xludf.DUMMYFUNCTION("REGEXREPLACE(C34671,""-\d+(.*)|--\d+(.*)"","""")"),"HASPELSCHIEDT")</f>
        <v>HASPELSCHIEDT</v>
      </c>
      <c r="E34671" s="38" t="s">
        <v>303</v>
      </c>
      <c r="F34671" s="38" t="s">
        <v>195</v>
      </c>
      <c r="G34671" s="49" t="str">
        <f t="shared" si="1"/>
        <v>57230</v>
      </c>
      <c r="H34671" s="49">
        <f t="shared" si="2"/>
        <v>57301</v>
      </c>
    </row>
    <row r="34672">
      <c r="A34672" s="48" t="s">
        <v>7225</v>
      </c>
      <c r="B34672" s="38">
        <v>5109.0</v>
      </c>
      <c r="C34672" s="38" t="s">
        <v>38859</v>
      </c>
      <c r="D34672" s="38" t="str">
        <f>IFERROR(__xludf.DUMMYFUNCTION("REGEXREPLACE(C34672,""-\d+(.*)|--\d+(.*)"","""")"),"PUY-SAINT-PIERRE")</f>
        <v>PUY-SAINT-PIERRE</v>
      </c>
      <c r="E34672" s="38" t="s">
        <v>706</v>
      </c>
      <c r="F34672" s="38" t="s">
        <v>228</v>
      </c>
      <c r="G34672" s="49" t="str">
        <f t="shared" si="1"/>
        <v>05100</v>
      </c>
      <c r="H34672" s="49" t="str">
        <f t="shared" si="2"/>
        <v>05109</v>
      </c>
    </row>
    <row r="34673">
      <c r="A34673" s="48" t="s">
        <v>4882</v>
      </c>
      <c r="B34673" s="38">
        <v>89034.0</v>
      </c>
      <c r="C34673" s="38" t="s">
        <v>38860</v>
      </c>
      <c r="D34673" s="38" t="str">
        <f>IFERROR(__xludf.DUMMYFUNCTION("REGEXREPLACE(C34673,""-\d+(.*)|--\d+(.*)"","""")"),"BEINE")</f>
        <v>BEINE</v>
      </c>
      <c r="E34673" s="38" t="s">
        <v>275</v>
      </c>
      <c r="F34673" s="38" t="s">
        <v>106</v>
      </c>
      <c r="G34673" s="49" t="str">
        <f t="shared" si="1"/>
        <v>89800</v>
      </c>
      <c r="H34673" s="49">
        <f t="shared" si="2"/>
        <v>89034</v>
      </c>
    </row>
    <row r="34674">
      <c r="A34674" s="48" t="s">
        <v>1368</v>
      </c>
      <c r="B34674" s="38">
        <v>8045.0</v>
      </c>
      <c r="C34674" s="38" t="s">
        <v>38861</v>
      </c>
      <c r="D34674" s="38" t="str">
        <f>IFERROR(__xludf.DUMMYFUNCTION("REGEXREPLACE(C34674,""-\d+(.*)|--\d+(.*)"","""")"),"BALLAY")</f>
        <v>BALLAY</v>
      </c>
      <c r="E34674" s="38" t="s">
        <v>327</v>
      </c>
      <c r="F34674" s="38" t="s">
        <v>130</v>
      </c>
      <c r="G34674" s="49" t="str">
        <f t="shared" si="1"/>
        <v>08400</v>
      </c>
      <c r="H34674" s="49" t="str">
        <f t="shared" si="2"/>
        <v>08045</v>
      </c>
    </row>
    <row r="34675">
      <c r="A34675" s="48" t="s">
        <v>8365</v>
      </c>
      <c r="B34675" s="38">
        <v>39399.0</v>
      </c>
      <c r="C34675" s="38" t="s">
        <v>38862</v>
      </c>
      <c r="D34675" s="38" t="str">
        <f>IFERROR(__xludf.DUMMYFUNCTION("REGEXREPLACE(C34675,""-\d+(.*)|--\d+(.*)"","""")"),"OUNANS")</f>
        <v>OUNANS</v>
      </c>
      <c r="E34675" s="38" t="s">
        <v>400</v>
      </c>
      <c r="F34675" s="38" t="s">
        <v>214</v>
      </c>
      <c r="G34675" s="49" t="str">
        <f t="shared" si="1"/>
        <v>39380</v>
      </c>
      <c r="H34675" s="49">
        <f t="shared" si="2"/>
        <v>39399</v>
      </c>
    </row>
    <row r="34676">
      <c r="A34676" s="48" t="s">
        <v>862</v>
      </c>
      <c r="B34676" s="38">
        <v>27174.0</v>
      </c>
      <c r="C34676" s="38" t="s">
        <v>38863</v>
      </c>
      <c r="D34676" s="38" t="str">
        <f>IFERROR(__xludf.DUMMYFUNCTION("REGEXREPLACE(C34676,""-\d+(.*)|--\d+(.*)"","""")"),"CORNEVILLE-SUR-RISLE")</f>
        <v>CORNEVILLE-SUR-RISLE</v>
      </c>
      <c r="E34676" s="38" t="s">
        <v>241</v>
      </c>
      <c r="F34676" s="38" t="s">
        <v>134</v>
      </c>
      <c r="G34676" s="49" t="str">
        <f t="shared" si="1"/>
        <v>27500</v>
      </c>
      <c r="H34676" s="49">
        <f t="shared" si="2"/>
        <v>27174</v>
      </c>
    </row>
    <row r="34677">
      <c r="A34677" s="48" t="s">
        <v>4526</v>
      </c>
      <c r="B34677" s="38">
        <v>23081.0</v>
      </c>
      <c r="C34677" s="38" t="s">
        <v>38864</v>
      </c>
      <c r="D34677" s="38" t="str">
        <f>IFERROR(__xludf.DUMMYFUNCTION("REGEXREPLACE(C34677,""-\d+(.*)|--\d+(.*)"","""")"),"FLAYAT")</f>
        <v>FLAYAT</v>
      </c>
      <c r="E34677" s="38" t="s">
        <v>97</v>
      </c>
      <c r="F34677" s="38" t="s">
        <v>98</v>
      </c>
      <c r="G34677" s="49" t="str">
        <f t="shared" si="1"/>
        <v>23260</v>
      </c>
      <c r="H34677" s="49">
        <f t="shared" si="2"/>
        <v>23081</v>
      </c>
    </row>
    <row r="34678">
      <c r="A34678" s="48" t="s">
        <v>2083</v>
      </c>
      <c r="B34678" s="38">
        <v>17227.0</v>
      </c>
      <c r="C34678" s="38" t="s">
        <v>10143</v>
      </c>
      <c r="D34678" s="38" t="str">
        <f>IFERROR(__xludf.DUMMYFUNCTION("REGEXREPLACE(C34678,""-\d+(.*)|--\d+(.*)"","""")"),"MAZEROLLES")</f>
        <v>MAZEROLLES</v>
      </c>
      <c r="E34678" s="38" t="s">
        <v>488</v>
      </c>
      <c r="F34678" s="38" t="s">
        <v>338</v>
      </c>
      <c r="G34678" s="49" t="str">
        <f t="shared" si="1"/>
        <v>17800</v>
      </c>
      <c r="H34678" s="49">
        <f t="shared" si="2"/>
        <v>17227</v>
      </c>
    </row>
    <row r="34679">
      <c r="A34679" s="48" t="s">
        <v>997</v>
      </c>
      <c r="B34679" s="38">
        <v>55397.0</v>
      </c>
      <c r="C34679" s="38" t="s">
        <v>38865</v>
      </c>
      <c r="D34679" s="38" t="str">
        <f>IFERROR(__xludf.DUMMYFUNCTION("REGEXREPLACE(C34679,""-\d+(.*)|--\d+(.*)"","""")"),"PAGNY-LA-BLANCHE-COTE")</f>
        <v>PAGNY-LA-BLANCHE-COTE</v>
      </c>
      <c r="E34679" s="38" t="s">
        <v>322</v>
      </c>
      <c r="F34679" s="38" t="s">
        <v>195</v>
      </c>
      <c r="G34679" s="49" t="str">
        <f t="shared" si="1"/>
        <v>55140</v>
      </c>
      <c r="H34679" s="49">
        <f t="shared" si="2"/>
        <v>55397</v>
      </c>
    </row>
    <row r="34680">
      <c r="A34680" s="48" t="s">
        <v>4173</v>
      </c>
      <c r="B34680" s="38">
        <v>25152.0</v>
      </c>
      <c r="C34680" s="38" t="s">
        <v>38866</v>
      </c>
      <c r="D34680" s="38" t="str">
        <f>IFERROR(__xludf.DUMMYFUNCTION("REGEXREPLACE(C34680,""-\d+(.*)|--\d+(.*)"","""")"),"LA CHEVILLOTTE")</f>
        <v>LA CHEVILLOTTE</v>
      </c>
      <c r="E34680" s="38" t="s">
        <v>213</v>
      </c>
      <c r="F34680" s="38" t="s">
        <v>214</v>
      </c>
      <c r="G34680" s="49" t="str">
        <f t="shared" si="1"/>
        <v>25620</v>
      </c>
      <c r="H34680" s="49">
        <f t="shared" si="2"/>
        <v>25152</v>
      </c>
    </row>
    <row r="34681">
      <c r="A34681" s="48" t="s">
        <v>3167</v>
      </c>
      <c r="B34681" s="38">
        <v>33222.0</v>
      </c>
      <c r="C34681" s="38" t="s">
        <v>38867</v>
      </c>
      <c r="D34681" s="38" t="str">
        <f>IFERROR(__xludf.DUMMYFUNCTION("REGEXREPLACE(C34681,""-\d+(.*)|--\d+(.*)"","""")"),"LALANDE-DE-POMEROL")</f>
        <v>LALANDE-DE-POMEROL</v>
      </c>
      <c r="E34681" s="38" t="s">
        <v>462</v>
      </c>
      <c r="F34681" s="38" t="s">
        <v>252</v>
      </c>
      <c r="G34681" s="49" t="str">
        <f t="shared" si="1"/>
        <v>33500</v>
      </c>
      <c r="H34681" s="49">
        <f t="shared" si="2"/>
        <v>33222</v>
      </c>
    </row>
    <row r="34682">
      <c r="A34682" s="48" t="s">
        <v>2875</v>
      </c>
      <c r="B34682" s="38">
        <v>39526.0</v>
      </c>
      <c r="C34682" s="38" t="s">
        <v>38868</v>
      </c>
      <c r="D34682" s="38" t="str">
        <f>IFERROR(__xludf.DUMMYFUNCTION("REGEXREPLACE(C34682,""-\d+(.*)|--\d+(.*)"","""")"),"TAVAUX")</f>
        <v>TAVAUX</v>
      </c>
      <c r="E34682" s="38" t="s">
        <v>400</v>
      </c>
      <c r="F34682" s="38" t="s">
        <v>214</v>
      </c>
      <c r="G34682" s="49" t="str">
        <f t="shared" si="1"/>
        <v>39500</v>
      </c>
      <c r="H34682" s="49">
        <f t="shared" si="2"/>
        <v>39526</v>
      </c>
    </row>
    <row r="34683">
      <c r="A34683" s="48" t="s">
        <v>698</v>
      </c>
      <c r="B34683" s="38">
        <v>11016.0</v>
      </c>
      <c r="C34683" s="38" t="s">
        <v>38869</v>
      </c>
      <c r="D34683" s="38" t="str">
        <f>IFERROR(__xludf.DUMMYFUNCTION("REGEXREPLACE(C34683,""-\d+(.*)|--\d+(.*)"","""")"),"ARQUETTES-EN-VAL")</f>
        <v>ARQUETTES-EN-VAL</v>
      </c>
      <c r="E34683" s="38" t="s">
        <v>278</v>
      </c>
      <c r="F34683" s="38" t="s">
        <v>119</v>
      </c>
      <c r="G34683" s="49" t="str">
        <f t="shared" si="1"/>
        <v>11220</v>
      </c>
      <c r="H34683" s="49">
        <f t="shared" si="2"/>
        <v>11016</v>
      </c>
    </row>
    <row r="34684">
      <c r="A34684" s="48" t="s">
        <v>4422</v>
      </c>
      <c r="B34684" s="38">
        <v>59208.0</v>
      </c>
      <c r="C34684" s="38" t="s">
        <v>38870</v>
      </c>
      <c r="D34684" s="38" t="str">
        <f>IFERROR(__xludf.DUMMYFUNCTION("REGEXREPLACE(C34684,""-\d+(.*)|--\d+(.*)"","""")"),"ESCOBECQUES")</f>
        <v>ESCOBECQUES</v>
      </c>
      <c r="E34684" s="38" t="s">
        <v>85</v>
      </c>
      <c r="F34684" s="38" t="s">
        <v>86</v>
      </c>
      <c r="G34684" s="49" t="str">
        <f t="shared" si="1"/>
        <v>59320</v>
      </c>
      <c r="H34684" s="49">
        <f t="shared" si="2"/>
        <v>59208</v>
      </c>
    </row>
    <row r="34685">
      <c r="A34685" s="48" t="s">
        <v>9168</v>
      </c>
      <c r="B34685" s="38">
        <v>71021.0</v>
      </c>
      <c r="C34685" s="38" t="s">
        <v>8712</v>
      </c>
      <c r="D34685" s="38" t="str">
        <f>IFERROR(__xludf.DUMMYFUNCTION("REGEXREPLACE(C34685,""-\d+(.*)|--\d+(.*)"","""")"),"BARON")</f>
        <v>BARON</v>
      </c>
      <c r="E34685" s="38" t="s">
        <v>344</v>
      </c>
      <c r="F34685" s="38" t="s">
        <v>106</v>
      </c>
      <c r="G34685" s="49" t="str">
        <f t="shared" si="1"/>
        <v>71120</v>
      </c>
      <c r="H34685" s="49">
        <f t="shared" si="2"/>
        <v>71021</v>
      </c>
    </row>
    <row r="34686">
      <c r="A34686" s="48" t="s">
        <v>5753</v>
      </c>
      <c r="B34686" s="38">
        <v>72251.0</v>
      </c>
      <c r="C34686" s="38" t="s">
        <v>38871</v>
      </c>
      <c r="D34686" s="38" t="str">
        <f>IFERROR(__xludf.DUMMYFUNCTION("REGEXREPLACE(C34686,""-\d+(.*)|--\d+(.*)"","""")"),"RENE")</f>
        <v>RENE</v>
      </c>
      <c r="E34686" s="38" t="s">
        <v>521</v>
      </c>
      <c r="F34686" s="38" t="s">
        <v>180</v>
      </c>
      <c r="G34686" s="49" t="str">
        <f t="shared" si="1"/>
        <v>72260</v>
      </c>
      <c r="H34686" s="49">
        <f t="shared" si="2"/>
        <v>72251</v>
      </c>
    </row>
    <row r="34687">
      <c r="A34687" s="48" t="s">
        <v>23832</v>
      </c>
      <c r="B34687" s="38">
        <v>49347.0</v>
      </c>
      <c r="C34687" s="38" t="s">
        <v>38872</v>
      </c>
      <c r="D34687" s="38" t="str">
        <f>IFERROR(__xludf.DUMMYFUNCTION("REGEXREPLACE(C34687,""-\d+(.*)|--\d+(.*)"","""")"),"TIERCE")</f>
        <v>TIERCE</v>
      </c>
      <c r="E34687" s="38" t="s">
        <v>653</v>
      </c>
      <c r="F34687" s="38" t="s">
        <v>180</v>
      </c>
      <c r="G34687" s="49" t="str">
        <f t="shared" si="1"/>
        <v>49125</v>
      </c>
      <c r="H34687" s="49">
        <f t="shared" si="2"/>
        <v>49347</v>
      </c>
    </row>
    <row r="34688">
      <c r="A34688" s="48" t="s">
        <v>3226</v>
      </c>
      <c r="B34688" s="38">
        <v>61466.0</v>
      </c>
      <c r="C34688" s="38" t="s">
        <v>38873</v>
      </c>
      <c r="D34688" s="38" t="str">
        <f>IFERROR(__xludf.DUMMYFUNCTION("REGEXREPLACE(C34688,""-\d+(.*)|--\d+(.*)"","""")"),"LA SELLE-LA-FORGE")</f>
        <v>LA SELLE-LA-FORGE</v>
      </c>
      <c r="E34688" s="38" t="s">
        <v>141</v>
      </c>
      <c r="F34688" s="38" t="s">
        <v>138</v>
      </c>
      <c r="G34688" s="49" t="str">
        <f t="shared" si="1"/>
        <v>61100</v>
      </c>
      <c r="H34688" s="49">
        <f t="shared" si="2"/>
        <v>61466</v>
      </c>
    </row>
    <row r="34689">
      <c r="A34689" s="48" t="s">
        <v>5553</v>
      </c>
      <c r="B34689" s="38">
        <v>34286.0</v>
      </c>
      <c r="C34689" s="38" t="s">
        <v>12002</v>
      </c>
      <c r="D34689" s="38" t="str">
        <f>IFERROR(__xludf.DUMMYFUNCTION("REGEXREPLACE(C34689,""-\d+(.*)|--\d+(.*)"","""")"),"SAINT-PRIVAT")</f>
        <v>SAINT-PRIVAT</v>
      </c>
      <c r="E34689" s="38" t="s">
        <v>118</v>
      </c>
      <c r="F34689" s="38" t="s">
        <v>119</v>
      </c>
      <c r="G34689" s="49" t="str">
        <f t="shared" si="1"/>
        <v>34700</v>
      </c>
      <c r="H34689" s="49">
        <f t="shared" si="2"/>
        <v>34286</v>
      </c>
    </row>
    <row r="34690">
      <c r="A34690" s="48" t="s">
        <v>1681</v>
      </c>
      <c r="B34690" s="38">
        <v>80623.0</v>
      </c>
      <c r="C34690" s="38" t="s">
        <v>38874</v>
      </c>
      <c r="D34690" s="38" t="str">
        <f>IFERROR(__xludf.DUMMYFUNCTION("REGEXREPLACE(C34690,""-\d+(.*)|--\d+(.*)"","""")"),"PIENNES-ONVILLERS")</f>
        <v>PIENNES-ONVILLERS</v>
      </c>
      <c r="E34690" s="38" t="s">
        <v>224</v>
      </c>
      <c r="F34690" s="38" t="s">
        <v>113</v>
      </c>
      <c r="G34690" s="49" t="str">
        <f t="shared" si="1"/>
        <v>80500</v>
      </c>
      <c r="H34690" s="49">
        <f t="shared" si="2"/>
        <v>80623</v>
      </c>
    </row>
    <row r="34691">
      <c r="A34691" s="48" t="s">
        <v>6002</v>
      </c>
      <c r="B34691" s="38">
        <v>18262.0</v>
      </c>
      <c r="C34691" s="38" t="s">
        <v>38875</v>
      </c>
      <c r="D34691" s="38" t="str">
        <f>IFERROR(__xludf.DUMMYFUNCTION("REGEXREPLACE(C34691,""-\d+(.*)|--\d+(.*)"","""")"),"THAUVENAY")</f>
        <v>THAUVENAY</v>
      </c>
      <c r="E34691" s="38" t="s">
        <v>504</v>
      </c>
      <c r="F34691" s="38" t="s">
        <v>123</v>
      </c>
      <c r="G34691" s="49" t="str">
        <f t="shared" si="1"/>
        <v>18300</v>
      </c>
      <c r="H34691" s="49">
        <f t="shared" si="2"/>
        <v>18262</v>
      </c>
    </row>
    <row r="34692">
      <c r="A34692" s="48" t="s">
        <v>38876</v>
      </c>
      <c r="B34692" s="38">
        <v>30091.0</v>
      </c>
      <c r="C34692" s="38" t="s">
        <v>38877</v>
      </c>
      <c r="D34692" s="38" t="str">
        <f>IFERROR(__xludf.DUMMYFUNCTION("REGEXREPLACE(C34692,""-\d+(.*)|--\d+(.*)"","""")"),"CONGENIES")</f>
        <v>CONGENIES</v>
      </c>
      <c r="E34692" s="38" t="s">
        <v>526</v>
      </c>
      <c r="F34692" s="38" t="s">
        <v>119</v>
      </c>
      <c r="G34692" s="49" t="str">
        <f t="shared" si="1"/>
        <v>30111</v>
      </c>
      <c r="H34692" s="49">
        <f t="shared" si="2"/>
        <v>30091</v>
      </c>
    </row>
    <row r="34693">
      <c r="A34693" s="48" t="s">
        <v>4245</v>
      </c>
      <c r="B34693" s="38">
        <v>50342.0</v>
      </c>
      <c r="C34693" s="38" t="s">
        <v>38878</v>
      </c>
      <c r="D34693" s="38" t="str">
        <f>IFERROR(__xludf.DUMMYFUNCTION("REGEXREPLACE(C34693,""-\d+(.*)|--\d+(.*)"","""")"),"MONTFARVILLE")</f>
        <v>MONTFARVILLE</v>
      </c>
      <c r="E34693" s="38" t="s">
        <v>157</v>
      </c>
      <c r="F34693" s="38" t="s">
        <v>138</v>
      </c>
      <c r="G34693" s="49" t="str">
        <f t="shared" si="1"/>
        <v>50760</v>
      </c>
      <c r="H34693" s="49">
        <f t="shared" si="2"/>
        <v>50342</v>
      </c>
    </row>
    <row r="34694">
      <c r="A34694" s="48" t="s">
        <v>5674</v>
      </c>
      <c r="B34694" s="38">
        <v>55284.0</v>
      </c>
      <c r="C34694" s="38" t="s">
        <v>38879</v>
      </c>
      <c r="D34694" s="38" t="str">
        <f>IFERROR(__xludf.DUMMYFUNCTION("REGEXREPLACE(C34694,""-\d+(.*)|--\d+(.*)"","""")"),"LAVINCOURT")</f>
        <v>LAVINCOURT</v>
      </c>
      <c r="E34694" s="38" t="s">
        <v>322</v>
      </c>
      <c r="F34694" s="38" t="s">
        <v>195</v>
      </c>
      <c r="G34694" s="49" t="str">
        <f t="shared" si="1"/>
        <v>55170</v>
      </c>
      <c r="H34694" s="49">
        <f t="shared" si="2"/>
        <v>55284</v>
      </c>
    </row>
    <row r="34695">
      <c r="A34695" s="48" t="s">
        <v>1681</v>
      </c>
      <c r="B34695" s="38">
        <v>80822.0</v>
      </c>
      <c r="C34695" s="38" t="s">
        <v>38880</v>
      </c>
      <c r="D34695" s="38" t="str">
        <f>IFERROR(__xludf.DUMMYFUNCTION("REGEXREPLACE(C34695,""-\d+(.*)|--\d+(.*)"","""")"),"WARSY")</f>
        <v>WARSY</v>
      </c>
      <c r="E34695" s="38" t="s">
        <v>224</v>
      </c>
      <c r="F34695" s="38" t="s">
        <v>113</v>
      </c>
      <c r="G34695" s="49" t="str">
        <f t="shared" si="1"/>
        <v>80500</v>
      </c>
      <c r="H34695" s="49">
        <f t="shared" si="2"/>
        <v>80822</v>
      </c>
    </row>
    <row r="34696">
      <c r="A34696" s="48" t="s">
        <v>2031</v>
      </c>
      <c r="B34696" s="38">
        <v>62662.0</v>
      </c>
      <c r="C34696" s="38" t="s">
        <v>38881</v>
      </c>
      <c r="D34696" s="38" t="str">
        <f>IFERROR(__xludf.DUMMYFUNCTION("REGEXREPLACE(C34696,""-\d+(.*)|--\d+(.*)"","""")"),"POLINCOVE")</f>
        <v>POLINCOVE</v>
      </c>
      <c r="E34696" s="38" t="s">
        <v>109</v>
      </c>
      <c r="F34696" s="38" t="s">
        <v>86</v>
      </c>
      <c r="G34696" s="49" t="str">
        <f t="shared" si="1"/>
        <v>62370</v>
      </c>
      <c r="H34696" s="49">
        <f t="shared" si="2"/>
        <v>62662</v>
      </c>
    </row>
    <row r="34697">
      <c r="A34697" s="48" t="s">
        <v>2917</v>
      </c>
      <c r="B34697" s="38">
        <v>49088.0</v>
      </c>
      <c r="C34697" s="38" t="s">
        <v>38882</v>
      </c>
      <c r="D34697" s="38" t="str">
        <f>IFERROR(__xludf.DUMMYFUNCTION("REGEXREPLACE(C34697,""-\d+(.*)|--\d+(.*)"","""")"),"CHAZE-HENRY")</f>
        <v>CHAZE-HENRY</v>
      </c>
      <c r="E34697" s="38" t="s">
        <v>653</v>
      </c>
      <c r="F34697" s="38" t="s">
        <v>180</v>
      </c>
      <c r="G34697" s="49" t="str">
        <f t="shared" si="1"/>
        <v>49420</v>
      </c>
      <c r="H34697" s="49">
        <f t="shared" si="2"/>
        <v>49088</v>
      </c>
    </row>
    <row r="34698">
      <c r="A34698" s="48" t="s">
        <v>12571</v>
      </c>
      <c r="B34698" s="38">
        <v>57427.0</v>
      </c>
      <c r="C34698" s="38" t="s">
        <v>38883</v>
      </c>
      <c r="D34698" s="38" t="str">
        <f>IFERROR(__xludf.DUMMYFUNCTION("REGEXREPLACE(C34698,""-\d+(.*)|--\d+(.*)"","""")"),"LUTZELBOURG")</f>
        <v>LUTZELBOURG</v>
      </c>
      <c r="E34698" s="38" t="s">
        <v>303</v>
      </c>
      <c r="F34698" s="38" t="s">
        <v>195</v>
      </c>
      <c r="G34698" s="49" t="str">
        <f t="shared" si="1"/>
        <v>57820</v>
      </c>
      <c r="H34698" s="49">
        <f t="shared" si="2"/>
        <v>57427</v>
      </c>
    </row>
    <row r="34699">
      <c r="A34699" s="48" t="s">
        <v>940</v>
      </c>
      <c r="B34699" s="38">
        <v>51582.0</v>
      </c>
      <c r="C34699" s="38" t="s">
        <v>38884</v>
      </c>
      <c r="D34699" s="38" t="str">
        <f>IFERROR(__xludf.DUMMYFUNCTION("REGEXREPLACE(C34699,""-\d+(.*)|--\d+(.*)"","""")"),"TRIGNY")</f>
        <v>TRIGNY</v>
      </c>
      <c r="E34699" s="38" t="s">
        <v>129</v>
      </c>
      <c r="F34699" s="38" t="s">
        <v>130</v>
      </c>
      <c r="G34699" s="49" t="str">
        <f t="shared" si="1"/>
        <v>51140</v>
      </c>
      <c r="H34699" s="49">
        <f t="shared" si="2"/>
        <v>51582</v>
      </c>
    </row>
    <row r="34700">
      <c r="A34700" s="48" t="s">
        <v>10342</v>
      </c>
      <c r="B34700" s="38">
        <v>12199.0</v>
      </c>
      <c r="C34700" s="38" t="s">
        <v>26731</v>
      </c>
      <c r="D34700" s="38" t="str">
        <f>IFERROR(__xludf.DUMMYFUNCTION("REGEXREPLACE(C34700,""-\d+(.*)|--\d+(.*)"","""")"),"RIGNAC")</f>
        <v>RIGNAC</v>
      </c>
      <c r="E34700" s="38" t="s">
        <v>465</v>
      </c>
      <c r="F34700" s="38" t="s">
        <v>94</v>
      </c>
      <c r="G34700" s="49" t="str">
        <f t="shared" si="1"/>
        <v>12390</v>
      </c>
      <c r="H34700" s="49">
        <f t="shared" si="2"/>
        <v>12199</v>
      </c>
    </row>
    <row r="34701">
      <c r="A34701" s="48" t="s">
        <v>11673</v>
      </c>
      <c r="B34701" s="38">
        <v>84117.0</v>
      </c>
      <c r="C34701" s="38" t="s">
        <v>38885</v>
      </c>
      <c r="D34701" s="38" t="str">
        <f>IFERROR(__xludf.DUMMYFUNCTION("REGEXREPLACE(C34701,""-\d+(.*)|--\d+(.*)"","""")"),"SAINT-ROMAN-DE-MALEGARDE")</f>
        <v>SAINT-ROMAN-DE-MALEGARDE</v>
      </c>
      <c r="E34701" s="38" t="s">
        <v>1026</v>
      </c>
      <c r="F34701" s="38" t="s">
        <v>228</v>
      </c>
      <c r="G34701" s="49" t="str">
        <f t="shared" si="1"/>
        <v>84290</v>
      </c>
      <c r="H34701" s="49">
        <f t="shared" si="2"/>
        <v>84117</v>
      </c>
    </row>
    <row r="34702">
      <c r="A34702" s="48" t="s">
        <v>2807</v>
      </c>
      <c r="B34702" s="38">
        <v>81179.0</v>
      </c>
      <c r="C34702" s="38" t="s">
        <v>38886</v>
      </c>
      <c r="D34702" s="38" t="str">
        <f>IFERROR(__xludf.DUMMYFUNCTION("REGEXREPLACE(C34702,""-\d+(.*)|--\d+(.*)"","""")"),"MONTGEY")</f>
        <v>MONTGEY</v>
      </c>
      <c r="E34702" s="38" t="s">
        <v>231</v>
      </c>
      <c r="F34702" s="38" t="s">
        <v>94</v>
      </c>
      <c r="G34702" s="49" t="str">
        <f t="shared" si="1"/>
        <v>81470</v>
      </c>
      <c r="H34702" s="49">
        <f t="shared" si="2"/>
        <v>81179</v>
      </c>
    </row>
    <row r="34703">
      <c r="A34703" s="48" t="s">
        <v>2389</v>
      </c>
      <c r="B34703" s="38">
        <v>64032.0</v>
      </c>
      <c r="C34703" s="38" t="s">
        <v>38887</v>
      </c>
      <c r="D34703" s="38" t="str">
        <f>IFERROR(__xludf.DUMMYFUNCTION("REGEXREPLACE(C34703,""-\d+(.*)|--\d+(.*)"","""")"),"ARAUJUZON")</f>
        <v>ARAUJUZON</v>
      </c>
      <c r="E34703" s="38" t="s">
        <v>268</v>
      </c>
      <c r="F34703" s="38" t="s">
        <v>252</v>
      </c>
      <c r="G34703" s="49" t="str">
        <f t="shared" si="1"/>
        <v>64190</v>
      </c>
      <c r="H34703" s="49">
        <f t="shared" si="2"/>
        <v>64032</v>
      </c>
    </row>
    <row r="34704">
      <c r="A34704" s="48" t="s">
        <v>6992</v>
      </c>
      <c r="B34704" s="38">
        <v>24584.0</v>
      </c>
      <c r="C34704" s="38" t="s">
        <v>38888</v>
      </c>
      <c r="D34704" s="38" t="str">
        <f>IFERROR(__xludf.DUMMYFUNCTION("REGEXREPLACE(C34704,""-\d+(.*)|--\d+(.*)"","""")"),"VILLEFRANCHE-DE-LONCHAT")</f>
        <v>VILLEFRANCHE-DE-LONCHAT</v>
      </c>
      <c r="E34704" s="38" t="s">
        <v>261</v>
      </c>
      <c r="F34704" s="38" t="s">
        <v>252</v>
      </c>
      <c r="G34704" s="49" t="str">
        <f t="shared" si="1"/>
        <v>24610</v>
      </c>
      <c r="H34704" s="49">
        <f t="shared" si="2"/>
        <v>24584</v>
      </c>
    </row>
    <row r="34705">
      <c r="A34705" s="48" t="s">
        <v>816</v>
      </c>
      <c r="B34705" s="38">
        <v>11155.0</v>
      </c>
      <c r="C34705" s="38" t="s">
        <v>38889</v>
      </c>
      <c r="D34705" s="38" t="str">
        <f>IFERROR(__xludf.DUMMYFUNCTION("REGEXREPLACE(C34705,""-\d+(.*)|--\d+(.*)"","""")"),"FOURTOU")</f>
        <v>FOURTOU</v>
      </c>
      <c r="E34705" s="38" t="s">
        <v>278</v>
      </c>
      <c r="F34705" s="38" t="s">
        <v>119</v>
      </c>
      <c r="G34705" s="49" t="str">
        <f t="shared" si="1"/>
        <v>11190</v>
      </c>
      <c r="H34705" s="49">
        <f t="shared" si="2"/>
        <v>11155</v>
      </c>
    </row>
    <row r="34706">
      <c r="A34706" s="48" t="s">
        <v>1947</v>
      </c>
      <c r="B34706" s="38">
        <v>52217.0</v>
      </c>
      <c r="C34706" s="38" t="s">
        <v>38890</v>
      </c>
      <c r="D34706" s="38" t="str">
        <f>IFERROR(__xludf.DUMMYFUNCTION("REGEXREPLACE(C34706,""-\d+(.*)|--\d+(.*)"","""")"),"GERMAINVILLIERS")</f>
        <v>GERMAINVILLIERS</v>
      </c>
      <c r="E34706" s="38" t="s">
        <v>234</v>
      </c>
      <c r="F34706" s="38" t="s">
        <v>130</v>
      </c>
      <c r="G34706" s="49" t="str">
        <f t="shared" si="1"/>
        <v>52150</v>
      </c>
      <c r="H34706" s="49">
        <f t="shared" si="2"/>
        <v>52217</v>
      </c>
    </row>
    <row r="34707">
      <c r="A34707" s="48" t="s">
        <v>3706</v>
      </c>
      <c r="B34707" s="38">
        <v>77321.0</v>
      </c>
      <c r="C34707" s="38" t="s">
        <v>38891</v>
      </c>
      <c r="D34707" s="38" t="str">
        <f>IFERROR(__xludf.DUMMYFUNCTION("REGEXREPLACE(C34707,""-\d+(.*)|--\d+(.*)"","""")"),"MOUSSEAUX-LES-BRAY")</f>
        <v>MOUSSEAUX-LES-BRAY</v>
      </c>
      <c r="E34707" s="38" t="s">
        <v>244</v>
      </c>
      <c r="F34707" s="38" t="s">
        <v>245</v>
      </c>
      <c r="G34707" s="49" t="str">
        <f t="shared" si="1"/>
        <v>77480</v>
      </c>
      <c r="H34707" s="49">
        <f t="shared" si="2"/>
        <v>77321</v>
      </c>
    </row>
    <row r="34708">
      <c r="A34708" s="48" t="s">
        <v>284</v>
      </c>
      <c r="B34708" s="38">
        <v>60191.0</v>
      </c>
      <c r="C34708" s="38" t="s">
        <v>38892</v>
      </c>
      <c r="D34708" s="38" t="str">
        <f>IFERROR(__xludf.DUMMYFUNCTION("REGEXREPLACE(C34708,""-\d+(.*)|--\d+(.*)"","""")"),"CUVILLY")</f>
        <v>CUVILLY</v>
      </c>
      <c r="E34708" s="38" t="s">
        <v>112</v>
      </c>
      <c r="F34708" s="38" t="s">
        <v>113</v>
      </c>
      <c r="G34708" s="49" t="str">
        <f t="shared" si="1"/>
        <v>60490</v>
      </c>
      <c r="H34708" s="49">
        <f t="shared" si="2"/>
        <v>60191</v>
      </c>
    </row>
    <row r="34709">
      <c r="A34709" s="48" t="s">
        <v>7039</v>
      </c>
      <c r="B34709" s="38">
        <v>62415.0</v>
      </c>
      <c r="C34709" s="38" t="s">
        <v>38893</v>
      </c>
      <c r="D34709" s="38" t="str">
        <f>IFERROR(__xludf.DUMMYFUNCTION("REGEXREPLACE(C34709,""-\d+(.*)|--\d+(.*)"","""")"),"HAUTE-AVESNES")</f>
        <v>HAUTE-AVESNES</v>
      </c>
      <c r="E34709" s="38" t="s">
        <v>109</v>
      </c>
      <c r="F34709" s="38" t="s">
        <v>86</v>
      </c>
      <c r="G34709" s="49" t="str">
        <f t="shared" si="1"/>
        <v>62144</v>
      </c>
      <c r="H34709" s="49">
        <f t="shared" si="2"/>
        <v>62415</v>
      </c>
    </row>
    <row r="34710">
      <c r="A34710" s="48" t="s">
        <v>15623</v>
      </c>
      <c r="B34710" s="38">
        <v>69193.0</v>
      </c>
      <c r="C34710" s="38" t="s">
        <v>38894</v>
      </c>
      <c r="D34710" s="38" t="str">
        <f>IFERROR(__xludf.DUMMYFUNCTION("REGEXREPLACE(C34710,""-\d+(.*)|--\d+(.*)"","""")"),"SAINT-CYR-SUR-LE-RHONE")</f>
        <v>SAINT-CYR-SUR-LE-RHONE</v>
      </c>
      <c r="E34710" s="38" t="s">
        <v>350</v>
      </c>
      <c r="F34710" s="38" t="s">
        <v>102</v>
      </c>
      <c r="G34710" s="49" t="str">
        <f t="shared" si="1"/>
        <v>69560</v>
      </c>
      <c r="H34710" s="49">
        <f t="shared" si="2"/>
        <v>69193</v>
      </c>
    </row>
    <row r="34711">
      <c r="A34711" s="48" t="s">
        <v>3161</v>
      </c>
      <c r="B34711" s="38">
        <v>70582.0</v>
      </c>
      <c r="C34711" s="38" t="s">
        <v>38895</v>
      </c>
      <c r="D34711" s="38" t="str">
        <f>IFERROR(__xludf.DUMMYFUNCTION("REGEXREPLACE(C34711,""-\d+(.*)|--\d+(.*)"","""")"),"VY-LES-RUPT")</f>
        <v>VY-LES-RUPT</v>
      </c>
      <c r="E34711" s="38" t="s">
        <v>956</v>
      </c>
      <c r="F34711" s="38" t="s">
        <v>214</v>
      </c>
      <c r="G34711" s="49" t="str">
        <f t="shared" si="1"/>
        <v>70120</v>
      </c>
      <c r="H34711" s="49">
        <f t="shared" si="2"/>
        <v>70582</v>
      </c>
    </row>
    <row r="34712">
      <c r="A34712" s="48" t="s">
        <v>9451</v>
      </c>
      <c r="B34712" s="38">
        <v>22048.0</v>
      </c>
      <c r="C34712" s="38" t="s">
        <v>38896</v>
      </c>
      <c r="D34712" s="38" t="str">
        <f>IFERROR(__xludf.DUMMYFUNCTION("REGEXREPLACE(C34712,""-\d+(.*)|--\d+(.*)"","""")"),"CORSEUL")</f>
        <v>CORSEUL</v>
      </c>
      <c r="E34712" s="38" t="s">
        <v>89</v>
      </c>
      <c r="F34712" s="38" t="s">
        <v>90</v>
      </c>
      <c r="G34712" s="49" t="str">
        <f t="shared" si="1"/>
        <v>22130</v>
      </c>
      <c r="H34712" s="49">
        <f t="shared" si="2"/>
        <v>22048</v>
      </c>
    </row>
    <row r="34713">
      <c r="A34713" s="48" t="s">
        <v>13600</v>
      </c>
      <c r="B34713" s="38">
        <v>74053.0</v>
      </c>
      <c r="C34713" s="38" t="s">
        <v>38897</v>
      </c>
      <c r="D34713" s="38" t="str">
        <f>IFERROR(__xludf.DUMMYFUNCTION("REGEXREPLACE(C34713,""-\d+(.*)|--\d+(.*)"","""")"),"CERVENS")</f>
        <v>CERVENS</v>
      </c>
      <c r="E34713" s="38" t="s">
        <v>319</v>
      </c>
      <c r="F34713" s="38" t="s">
        <v>102</v>
      </c>
      <c r="G34713" s="49" t="str">
        <f t="shared" si="1"/>
        <v>74550</v>
      </c>
      <c r="H34713" s="49">
        <f t="shared" si="2"/>
        <v>74053</v>
      </c>
    </row>
    <row r="34714">
      <c r="A34714" s="48" t="s">
        <v>912</v>
      </c>
      <c r="B34714" s="38">
        <v>82090.0</v>
      </c>
      <c r="C34714" s="38" t="s">
        <v>38898</v>
      </c>
      <c r="D34714" s="38" t="str">
        <f>IFERROR(__xludf.DUMMYFUNCTION("REGEXREPLACE(C34714,""-\d+(.*)|--\d+(.*)"","""")"),"LAMOTHE-CAPDEVILLE")</f>
        <v>LAMOTHE-CAPDEVILLE</v>
      </c>
      <c r="E34714" s="38" t="s">
        <v>570</v>
      </c>
      <c r="F34714" s="38" t="s">
        <v>94</v>
      </c>
      <c r="G34714" s="49" t="str">
        <f t="shared" si="1"/>
        <v>82130</v>
      </c>
      <c r="H34714" s="49">
        <f t="shared" si="2"/>
        <v>82090</v>
      </c>
    </row>
    <row r="34715">
      <c r="A34715" s="48" t="s">
        <v>3273</v>
      </c>
      <c r="B34715" s="38">
        <v>59117.0</v>
      </c>
      <c r="C34715" s="38" t="s">
        <v>38899</v>
      </c>
      <c r="D34715" s="38" t="str">
        <f>IFERROR(__xludf.DUMMYFUNCTION("REGEXREPLACE(C34715,""-\d+(.*)|--\d+(.*)"","""")"),"BUGNICOURT")</f>
        <v>BUGNICOURT</v>
      </c>
      <c r="E34715" s="38" t="s">
        <v>85</v>
      </c>
      <c r="F34715" s="38" t="s">
        <v>86</v>
      </c>
      <c r="G34715" s="49" t="str">
        <f t="shared" si="1"/>
        <v>59151</v>
      </c>
      <c r="H34715" s="49">
        <f t="shared" si="2"/>
        <v>59117</v>
      </c>
    </row>
    <row r="34716">
      <c r="A34716" s="48" t="s">
        <v>2487</v>
      </c>
      <c r="B34716" s="38">
        <v>70065.0</v>
      </c>
      <c r="C34716" s="38" t="s">
        <v>38900</v>
      </c>
      <c r="D34716" s="38" t="str">
        <f>IFERROR(__xludf.DUMMYFUNCTION("REGEXREPLACE(C34716,""-\d+(.*)|--\d+(.*)"","""")"),"BESNANS")</f>
        <v>BESNANS</v>
      </c>
      <c r="E34716" s="38" t="s">
        <v>956</v>
      </c>
      <c r="F34716" s="38" t="s">
        <v>214</v>
      </c>
      <c r="G34716" s="49" t="str">
        <f t="shared" si="1"/>
        <v>70230</v>
      </c>
      <c r="H34716" s="49">
        <f t="shared" si="2"/>
        <v>70065</v>
      </c>
    </row>
    <row r="34717">
      <c r="A34717" s="48" t="s">
        <v>1104</v>
      </c>
      <c r="B34717" s="38">
        <v>52172.0</v>
      </c>
      <c r="C34717" s="38" t="s">
        <v>38901</v>
      </c>
      <c r="D34717" s="38" t="str">
        <f>IFERROR(__xludf.DUMMYFUNCTION("REGEXREPLACE(C34717,""-\d+(.*)|--\d+(.*)"","""")"),"DOMMARTIN-LE-SAINT-PERE")</f>
        <v>DOMMARTIN-LE-SAINT-PERE</v>
      </c>
      <c r="E34717" s="38" t="s">
        <v>234</v>
      </c>
      <c r="F34717" s="38" t="s">
        <v>130</v>
      </c>
      <c r="G34717" s="49" t="str">
        <f t="shared" si="1"/>
        <v>52110</v>
      </c>
      <c r="H34717" s="49">
        <f t="shared" si="2"/>
        <v>52172</v>
      </c>
    </row>
    <row r="34718">
      <c r="A34718" s="48" t="s">
        <v>3900</v>
      </c>
      <c r="B34718" s="38">
        <v>2751.0</v>
      </c>
      <c r="C34718" s="38" t="s">
        <v>38902</v>
      </c>
      <c r="D34718" s="38" t="str">
        <f>IFERROR(__xludf.DUMMYFUNCTION("REGEXREPLACE(C34718,""-\d+(.*)|--\d+(.*)"","""")"),"TRUCY")</f>
        <v>TRUCY</v>
      </c>
      <c r="E34718" s="38" t="s">
        <v>191</v>
      </c>
      <c r="F34718" s="38" t="s">
        <v>113</v>
      </c>
      <c r="G34718" s="49" t="str">
        <f t="shared" si="1"/>
        <v>02860</v>
      </c>
      <c r="H34718" s="49" t="str">
        <f t="shared" si="2"/>
        <v>02751</v>
      </c>
    </row>
    <row r="34719">
      <c r="A34719" s="48" t="s">
        <v>6797</v>
      </c>
      <c r="B34719" s="38">
        <v>11199.0</v>
      </c>
      <c r="C34719" s="38" t="s">
        <v>5554</v>
      </c>
      <c r="D34719" s="38" t="str">
        <f>IFERROR(__xludf.DUMMYFUNCTION("REGEXREPLACE(C34719,""-\d+(.*)|--\d+(.*)"","""")"),"LAVALETTE")</f>
        <v>LAVALETTE</v>
      </c>
      <c r="E34719" s="38" t="s">
        <v>278</v>
      </c>
      <c r="F34719" s="38" t="s">
        <v>119</v>
      </c>
      <c r="G34719" s="49" t="str">
        <f t="shared" si="1"/>
        <v>11290</v>
      </c>
      <c r="H34719" s="49">
        <f t="shared" si="2"/>
        <v>11199</v>
      </c>
    </row>
    <row r="34720">
      <c r="A34720" s="48" t="s">
        <v>2033</v>
      </c>
      <c r="B34720" s="38">
        <v>18259.0</v>
      </c>
      <c r="C34720" s="38" t="s">
        <v>38903</v>
      </c>
      <c r="D34720" s="38" t="str">
        <f>IFERROR(__xludf.DUMMYFUNCTION("REGEXREPLACE(C34720,""-\d+(.*)|--\d+(.*)"","""")"),"SURY-ES-BOIS")</f>
        <v>SURY-ES-BOIS</v>
      </c>
      <c r="E34720" s="38" t="s">
        <v>504</v>
      </c>
      <c r="F34720" s="38" t="s">
        <v>123</v>
      </c>
      <c r="G34720" s="49" t="str">
        <f t="shared" si="1"/>
        <v>18260</v>
      </c>
      <c r="H34720" s="49">
        <f t="shared" si="2"/>
        <v>18259</v>
      </c>
    </row>
    <row r="34721">
      <c r="A34721" s="48" t="s">
        <v>2845</v>
      </c>
      <c r="B34721" s="38" t="s">
        <v>38904</v>
      </c>
      <c r="C34721" s="38" t="s">
        <v>38905</v>
      </c>
      <c r="D34721" s="38" t="str">
        <f>IFERROR(__xludf.DUMMYFUNCTION("REGEXREPLACE(C34721,""-\d+(.*)|--\d+(.*)"","""")"),"SAN-GIULIANO")</f>
        <v>SAN-GIULIANO</v>
      </c>
      <c r="E34721" s="38" t="s">
        <v>743</v>
      </c>
      <c r="F34721" s="38" t="s">
        <v>607</v>
      </c>
      <c r="G34721" s="49" t="str">
        <f t="shared" si="1"/>
        <v>20230</v>
      </c>
      <c r="H34721" s="49" t="str">
        <f t="shared" si="2"/>
        <v>2B303</v>
      </c>
    </row>
    <row r="34722">
      <c r="A34722" s="48" t="s">
        <v>6080</v>
      </c>
      <c r="B34722" s="38">
        <v>76254.0</v>
      </c>
      <c r="C34722" s="38" t="s">
        <v>38906</v>
      </c>
      <c r="D34722" s="38" t="str">
        <f>IFERROR(__xludf.DUMMYFUNCTION("REGEXREPLACE(C34722,""-\d+(.*)|--\d+(.*)"","""")"),"ETRETAT")</f>
        <v>ETRETAT</v>
      </c>
      <c r="E34722" s="38" t="s">
        <v>133</v>
      </c>
      <c r="F34722" s="38" t="s">
        <v>134</v>
      </c>
      <c r="G34722" s="49" t="str">
        <f t="shared" si="1"/>
        <v>76790</v>
      </c>
      <c r="H34722" s="49">
        <f t="shared" si="2"/>
        <v>76254</v>
      </c>
    </row>
    <row r="34723">
      <c r="A34723" s="48" t="s">
        <v>1825</v>
      </c>
      <c r="B34723" s="38">
        <v>64465.0</v>
      </c>
      <c r="C34723" s="38" t="s">
        <v>38907</v>
      </c>
      <c r="D34723" s="38" t="str">
        <f>IFERROR(__xludf.DUMMYFUNCTION("REGEXREPLACE(C34723,""-\d+(.*)|--\d+(.*)"","""")"),"RIUPEYROUS")</f>
        <v>RIUPEYROUS</v>
      </c>
      <c r="E34723" s="38" t="s">
        <v>268</v>
      </c>
      <c r="F34723" s="38" t="s">
        <v>252</v>
      </c>
      <c r="G34723" s="49" t="str">
        <f t="shared" si="1"/>
        <v>64160</v>
      </c>
      <c r="H34723" s="49">
        <f t="shared" si="2"/>
        <v>64465</v>
      </c>
    </row>
    <row r="34724">
      <c r="A34724" s="48" t="s">
        <v>2035</v>
      </c>
      <c r="B34724" s="38">
        <v>64271.0</v>
      </c>
      <c r="C34724" s="38" t="s">
        <v>38908</v>
      </c>
      <c r="D34724" s="38" t="str">
        <f>IFERROR(__xludf.DUMMYFUNCTION("REGEXREPLACE(C34724,""-\d+(.*)|--\d+(.*)"","""")"),"IHOLDY")</f>
        <v>IHOLDY</v>
      </c>
      <c r="E34724" s="38" t="s">
        <v>268</v>
      </c>
      <c r="F34724" s="38" t="s">
        <v>252</v>
      </c>
      <c r="G34724" s="49" t="str">
        <f t="shared" si="1"/>
        <v>64640</v>
      </c>
      <c r="H34724" s="49">
        <f t="shared" si="2"/>
        <v>64271</v>
      </c>
    </row>
    <row r="34725">
      <c r="A34725" s="48" t="s">
        <v>38909</v>
      </c>
      <c r="B34725" s="38">
        <v>94041.0</v>
      </c>
      <c r="C34725" s="38" t="s">
        <v>38910</v>
      </c>
      <c r="D34725" s="38" t="str">
        <f>IFERROR(__xludf.DUMMYFUNCTION("REGEXREPLACE(C34725,""-\d+(.*)|--\d+(.*)"","""")"),"IVRY-SUR-SEINE")</f>
        <v>IVRY-SUR-SEINE</v>
      </c>
      <c r="E34725" s="38" t="s">
        <v>561</v>
      </c>
      <c r="F34725" s="38" t="s">
        <v>245</v>
      </c>
      <c r="G34725" s="49" t="str">
        <f t="shared" si="1"/>
        <v>94200</v>
      </c>
      <c r="H34725" s="49">
        <f t="shared" si="2"/>
        <v>94041</v>
      </c>
    </row>
    <row r="34726">
      <c r="A34726" s="48" t="s">
        <v>5103</v>
      </c>
      <c r="B34726" s="38">
        <v>37240.0</v>
      </c>
      <c r="C34726" s="38" t="s">
        <v>38911</v>
      </c>
      <c r="D34726" s="38" t="str">
        <f>IFERROR(__xludf.DUMMYFUNCTION("REGEXREPLACE(C34726,""-\d+(.*)|--\d+(.*)"","""")"),"SAUNAY")</f>
        <v>SAUNAY</v>
      </c>
      <c r="E34726" s="38" t="s">
        <v>205</v>
      </c>
      <c r="F34726" s="38" t="s">
        <v>123</v>
      </c>
      <c r="G34726" s="49" t="str">
        <f t="shared" si="1"/>
        <v>37110</v>
      </c>
      <c r="H34726" s="49">
        <f t="shared" si="2"/>
        <v>37240</v>
      </c>
    </row>
    <row r="34727">
      <c r="A34727" s="48" t="s">
        <v>1046</v>
      </c>
      <c r="B34727" s="38">
        <v>26141.0</v>
      </c>
      <c r="C34727" s="38" t="s">
        <v>38912</v>
      </c>
      <c r="D34727" s="38" t="str">
        <f>IFERROR(__xludf.DUMMYFUNCTION("REGEXREPLACE(C34727,""-\d+(.*)|--\d+(.*)"","""")"),"GIGORS-ET-LOZERON")</f>
        <v>GIGORS-ET-LOZERON</v>
      </c>
      <c r="E34727" s="38" t="s">
        <v>126</v>
      </c>
      <c r="F34727" s="38" t="s">
        <v>102</v>
      </c>
      <c r="G34727" s="49" t="str">
        <f t="shared" si="1"/>
        <v>26400</v>
      </c>
      <c r="H34727" s="49">
        <f t="shared" si="2"/>
        <v>26141</v>
      </c>
    </row>
    <row r="34728">
      <c r="A34728" s="48" t="s">
        <v>5866</v>
      </c>
      <c r="B34728" s="38">
        <v>33298.0</v>
      </c>
      <c r="C34728" s="38" t="s">
        <v>11937</v>
      </c>
      <c r="D34728" s="38" t="str">
        <f>IFERROR(__xludf.DUMMYFUNCTION("REGEXREPLACE(C34728,""-\d+(.*)|--\d+(.*)"","""")"),"MOULON")</f>
        <v>MOULON</v>
      </c>
      <c r="E34728" s="38" t="s">
        <v>462</v>
      </c>
      <c r="F34728" s="38" t="s">
        <v>252</v>
      </c>
      <c r="G34728" s="49" t="str">
        <f t="shared" si="1"/>
        <v>33420</v>
      </c>
      <c r="H34728" s="49">
        <f t="shared" si="2"/>
        <v>33298</v>
      </c>
    </row>
    <row r="34729">
      <c r="A34729" s="48" t="s">
        <v>14650</v>
      </c>
      <c r="B34729" s="38">
        <v>25219.0</v>
      </c>
      <c r="C34729" s="38" t="s">
        <v>38913</v>
      </c>
      <c r="D34729" s="38" t="str">
        <f>IFERROR(__xludf.DUMMYFUNCTION("REGEXREPLACE(C34729,""-\d+(.*)|--\d+(.*)"","""")"),"EPENOY")</f>
        <v>EPENOY</v>
      </c>
      <c r="E34729" s="38" t="s">
        <v>213</v>
      </c>
      <c r="F34729" s="38" t="s">
        <v>214</v>
      </c>
      <c r="G34729" s="49" t="str">
        <f t="shared" si="1"/>
        <v>25800</v>
      </c>
      <c r="H34729" s="49">
        <f t="shared" si="2"/>
        <v>25219</v>
      </c>
    </row>
    <row r="34730">
      <c r="A34730" s="48" t="s">
        <v>11353</v>
      </c>
      <c r="B34730" s="38">
        <v>39476.0</v>
      </c>
      <c r="C34730" s="38" t="s">
        <v>2041</v>
      </c>
      <c r="D34730" s="38" t="str">
        <f>IFERROR(__xludf.DUMMYFUNCTION("REGEXREPLACE(C34730,""-\d+(.*)|--\d+(.*)"","""")"),"SAINT-AUBIN")</f>
        <v>SAINT-AUBIN</v>
      </c>
      <c r="E34730" s="38" t="s">
        <v>400</v>
      </c>
      <c r="F34730" s="38" t="s">
        <v>214</v>
      </c>
      <c r="G34730" s="49" t="str">
        <f t="shared" si="1"/>
        <v>39410</v>
      </c>
      <c r="H34730" s="49">
        <f t="shared" si="2"/>
        <v>39476</v>
      </c>
    </row>
    <row r="34731">
      <c r="A34731" s="48" t="s">
        <v>16223</v>
      </c>
      <c r="B34731" s="38">
        <v>60043.0</v>
      </c>
      <c r="C34731" s="38" t="s">
        <v>20772</v>
      </c>
      <c r="D34731" s="38" t="str">
        <f>IFERROR(__xludf.DUMMYFUNCTION("REGEXREPLACE(C34731,""-\d+(.*)|--\d+(.*)"","""")"),"BAILLY")</f>
        <v>BAILLY</v>
      </c>
      <c r="E34731" s="38" t="s">
        <v>112</v>
      </c>
      <c r="F34731" s="38" t="s">
        <v>113</v>
      </c>
      <c r="G34731" s="49" t="str">
        <f t="shared" si="1"/>
        <v>60170</v>
      </c>
      <c r="H34731" s="49">
        <f t="shared" si="2"/>
        <v>60043</v>
      </c>
    </row>
    <row r="34732">
      <c r="A34732" s="48" t="s">
        <v>1441</v>
      </c>
      <c r="B34732" s="38">
        <v>52397.0</v>
      </c>
      <c r="C34732" s="38" t="s">
        <v>38914</v>
      </c>
      <c r="D34732" s="38" t="str">
        <f>IFERROR(__xludf.DUMMYFUNCTION("REGEXREPLACE(C34732,""-\d+(.*)|--\d+(.*)"","""")"),"POISEUL")</f>
        <v>POISEUL</v>
      </c>
      <c r="E34732" s="38" t="s">
        <v>234</v>
      </c>
      <c r="F34732" s="38" t="s">
        <v>130</v>
      </c>
      <c r="G34732" s="49" t="str">
        <f t="shared" si="1"/>
        <v>52360</v>
      </c>
      <c r="H34732" s="49">
        <f t="shared" si="2"/>
        <v>52397</v>
      </c>
    </row>
    <row r="34733">
      <c r="A34733" s="48" t="s">
        <v>1588</v>
      </c>
      <c r="B34733" s="38">
        <v>9263.0</v>
      </c>
      <c r="C34733" s="38" t="s">
        <v>38915</v>
      </c>
      <c r="D34733" s="38" t="str">
        <f>IFERROR(__xludf.DUMMYFUNCTION("REGEXREPLACE(C34733,""-\d+(.*)|--\d+(.*)"","""")"),"SAINT-JEAN-DU-CASTILLONNAIS")</f>
        <v>SAINT-JEAN-DU-CASTILLONNAIS</v>
      </c>
      <c r="E34733" s="38" t="s">
        <v>238</v>
      </c>
      <c r="F34733" s="38" t="s">
        <v>94</v>
      </c>
      <c r="G34733" s="49" t="str">
        <f t="shared" si="1"/>
        <v>09800</v>
      </c>
      <c r="H34733" s="49" t="str">
        <f t="shared" si="2"/>
        <v>09263</v>
      </c>
    </row>
    <row r="34734">
      <c r="A34734" s="48" t="s">
        <v>4668</v>
      </c>
      <c r="B34734" s="38">
        <v>88028.0</v>
      </c>
      <c r="C34734" s="38" t="s">
        <v>38916</v>
      </c>
      <c r="D34734" s="38" t="str">
        <f>IFERROR(__xludf.DUMMYFUNCTION("REGEXREPLACE(C34734,""-\d+(.*)|--\d+(.*)"","""")"),"LA BAFFE")</f>
        <v>LA BAFFE</v>
      </c>
      <c r="E34734" s="38" t="s">
        <v>194</v>
      </c>
      <c r="F34734" s="38" t="s">
        <v>195</v>
      </c>
      <c r="G34734" s="49" t="str">
        <f t="shared" si="1"/>
        <v>88460</v>
      </c>
      <c r="H34734" s="49">
        <f t="shared" si="2"/>
        <v>88028</v>
      </c>
    </row>
    <row r="34735">
      <c r="A34735" s="48" t="s">
        <v>2723</v>
      </c>
      <c r="B34735" s="38">
        <v>50042.0</v>
      </c>
      <c r="C34735" s="38" t="s">
        <v>14081</v>
      </c>
      <c r="D34735" s="38" t="str">
        <f>IFERROR(__xludf.DUMMYFUNCTION("REGEXREPLACE(C34735,""-\d+(.*)|--\d+(.*)"","""")"),"BEAUVOIR")</f>
        <v>BEAUVOIR</v>
      </c>
      <c r="E34735" s="38" t="s">
        <v>157</v>
      </c>
      <c r="F34735" s="38" t="s">
        <v>138</v>
      </c>
      <c r="G34735" s="49" t="str">
        <f t="shared" si="1"/>
        <v>50170</v>
      </c>
      <c r="H34735" s="49">
        <f t="shared" si="2"/>
        <v>50042</v>
      </c>
    </row>
    <row r="34736">
      <c r="A34736" s="48" t="s">
        <v>13881</v>
      </c>
      <c r="B34736" s="38">
        <v>56102.0</v>
      </c>
      <c r="C34736" s="38" t="s">
        <v>38917</v>
      </c>
      <c r="D34736" s="38" t="str">
        <f>IFERROR(__xludf.DUMMYFUNCTION("REGEXREPLACE(C34736,""-\d+(.*)|--\d+(.*)"","""")"),"LANOUEE")</f>
        <v>LANOUEE</v>
      </c>
      <c r="E34736" s="38" t="s">
        <v>173</v>
      </c>
      <c r="F34736" s="38" t="s">
        <v>90</v>
      </c>
      <c r="G34736" s="49" t="str">
        <f t="shared" si="1"/>
        <v>56120</v>
      </c>
      <c r="H34736" s="49">
        <f t="shared" si="2"/>
        <v>56102</v>
      </c>
    </row>
    <row r="34737">
      <c r="A34737" s="48" t="s">
        <v>2482</v>
      </c>
      <c r="B34737" s="38">
        <v>28395.0</v>
      </c>
      <c r="C34737" s="38" t="s">
        <v>38918</v>
      </c>
      <c r="D34737" s="38" t="str">
        <f>IFERROR(__xludf.DUMMYFUNCTION("REGEXREPLACE(C34737,""-\d+(.*)|--\d+(.*)"","""")"),"TRIZAY-COUTRETOT-SAINT-SERGE")</f>
        <v>TRIZAY-COUTRETOT-SAINT-SERGE</v>
      </c>
      <c r="E34737" s="38" t="s">
        <v>300</v>
      </c>
      <c r="F34737" s="38" t="s">
        <v>123</v>
      </c>
      <c r="G34737" s="49" t="str">
        <f t="shared" si="1"/>
        <v>28400</v>
      </c>
      <c r="H34737" s="49">
        <f t="shared" si="2"/>
        <v>28395</v>
      </c>
    </row>
    <row r="34738">
      <c r="A34738" s="48" t="s">
        <v>208</v>
      </c>
      <c r="B34738" s="38">
        <v>67003.0</v>
      </c>
      <c r="C34738" s="38" t="s">
        <v>38919</v>
      </c>
      <c r="D34738" s="38" t="str">
        <f>IFERROR(__xludf.DUMMYFUNCTION("REGEXREPLACE(C34738,""-\d+(.*)|--\d+(.*)"","""")"),"ALBE")</f>
        <v>ALBE</v>
      </c>
      <c r="E34738" s="38" t="s">
        <v>210</v>
      </c>
      <c r="F34738" s="38" t="s">
        <v>151</v>
      </c>
      <c r="G34738" s="49" t="str">
        <f t="shared" si="1"/>
        <v>67220</v>
      </c>
      <c r="H34738" s="49">
        <f t="shared" si="2"/>
        <v>67003</v>
      </c>
    </row>
    <row r="34739">
      <c r="A34739" s="48" t="s">
        <v>1514</v>
      </c>
      <c r="B34739" s="38">
        <v>70182.0</v>
      </c>
      <c r="C34739" s="38" t="s">
        <v>21632</v>
      </c>
      <c r="D34739" s="38" t="str">
        <f>IFERROR(__xludf.DUMMYFUNCTION("REGEXREPLACE(C34739,""-\d+(.*)|--\d+(.*)"","""")"),"COURMONT")</f>
        <v>COURMONT</v>
      </c>
      <c r="E34739" s="38" t="s">
        <v>956</v>
      </c>
      <c r="F34739" s="38" t="s">
        <v>214</v>
      </c>
      <c r="G34739" s="49" t="str">
        <f t="shared" si="1"/>
        <v>70400</v>
      </c>
      <c r="H34739" s="49">
        <f t="shared" si="2"/>
        <v>70182</v>
      </c>
    </row>
    <row r="34740">
      <c r="A34740" s="48" t="s">
        <v>15152</v>
      </c>
      <c r="B34740" s="38">
        <v>67164.0</v>
      </c>
      <c r="C34740" s="38" t="s">
        <v>38920</v>
      </c>
      <c r="D34740" s="38" t="str">
        <f>IFERROR(__xludf.DUMMYFUNCTION("REGEXREPLACE(C34740,""-\d+(.*)|--\d+(.*)"","""")"),"GOXWILLER")</f>
        <v>GOXWILLER</v>
      </c>
      <c r="E34740" s="38" t="s">
        <v>210</v>
      </c>
      <c r="F34740" s="38" t="s">
        <v>151</v>
      </c>
      <c r="G34740" s="49" t="str">
        <f t="shared" si="1"/>
        <v>67210</v>
      </c>
      <c r="H34740" s="49">
        <f t="shared" si="2"/>
        <v>67164</v>
      </c>
    </row>
    <row r="34741">
      <c r="A34741" s="48" t="s">
        <v>378</v>
      </c>
      <c r="B34741" s="38">
        <v>37255.0</v>
      </c>
      <c r="C34741" s="38" t="s">
        <v>38921</v>
      </c>
      <c r="D34741" s="38" t="str">
        <f>IFERROR(__xludf.DUMMYFUNCTION("REGEXREPLACE(C34741,""-\d+(.*)|--\d+(.*)"","""")"),"TAVANT")</f>
        <v>TAVANT</v>
      </c>
      <c r="E34741" s="38" t="s">
        <v>205</v>
      </c>
      <c r="F34741" s="38" t="s">
        <v>123</v>
      </c>
      <c r="G34741" s="49" t="str">
        <f t="shared" si="1"/>
        <v>37220</v>
      </c>
      <c r="H34741" s="49">
        <f t="shared" si="2"/>
        <v>37255</v>
      </c>
    </row>
    <row r="34742">
      <c r="A34742" s="48" t="s">
        <v>7292</v>
      </c>
      <c r="B34742" s="38">
        <v>49108.0</v>
      </c>
      <c r="C34742" s="38" t="s">
        <v>38922</v>
      </c>
      <c r="D34742" s="38" t="str">
        <f>IFERROR(__xludf.DUMMYFUNCTION("REGEXREPLACE(C34742,""-\d+(.*)|--\d+(.*)"","""")"),"LA CORNUAILLE")</f>
        <v>LA CORNUAILLE</v>
      </c>
      <c r="E34742" s="38" t="s">
        <v>653</v>
      </c>
      <c r="F34742" s="38" t="s">
        <v>180</v>
      </c>
      <c r="G34742" s="49" t="str">
        <f t="shared" si="1"/>
        <v>49440</v>
      </c>
      <c r="H34742" s="49">
        <f t="shared" si="2"/>
        <v>49108</v>
      </c>
    </row>
    <row r="34743">
      <c r="A34743" s="48" t="s">
        <v>6372</v>
      </c>
      <c r="B34743" s="38">
        <v>79001.0</v>
      </c>
      <c r="C34743" s="38" t="s">
        <v>38923</v>
      </c>
      <c r="D34743" s="38" t="str">
        <f>IFERROR(__xludf.DUMMYFUNCTION("REGEXREPLACE(C34743,""-\d+(.*)|--\d+(.*)"","""")"),"L'ABSIE")</f>
        <v>L'ABSIE</v>
      </c>
      <c r="E34743" s="38" t="s">
        <v>337</v>
      </c>
      <c r="F34743" s="38" t="s">
        <v>338</v>
      </c>
      <c r="G34743" s="49" t="str">
        <f t="shared" si="1"/>
        <v>79240</v>
      </c>
      <c r="H34743" s="49">
        <f t="shared" si="2"/>
        <v>79001</v>
      </c>
    </row>
    <row r="34744">
      <c r="A34744" s="48" t="s">
        <v>667</v>
      </c>
      <c r="B34744" s="38">
        <v>64538.0</v>
      </c>
      <c r="C34744" s="38" t="s">
        <v>38924</v>
      </c>
      <c r="D34744" s="38" t="str">
        <f>IFERROR(__xludf.DUMMYFUNCTION("REGEXREPLACE(C34744,""-\d+(.*)|--\d+(.*)"","""")"),"UHART-CIZE")</f>
        <v>UHART-CIZE</v>
      </c>
      <c r="E34744" s="38" t="s">
        <v>268</v>
      </c>
      <c r="F34744" s="38" t="s">
        <v>252</v>
      </c>
      <c r="G34744" s="49" t="str">
        <f t="shared" si="1"/>
        <v>64220</v>
      </c>
      <c r="H34744" s="49">
        <f t="shared" si="2"/>
        <v>64538</v>
      </c>
    </row>
    <row r="34745">
      <c r="A34745" s="48" t="s">
        <v>8738</v>
      </c>
      <c r="B34745" s="38">
        <v>56150.0</v>
      </c>
      <c r="C34745" s="38" t="s">
        <v>38925</v>
      </c>
      <c r="D34745" s="38" t="str">
        <f>IFERROR(__xludf.DUMMYFUNCTION("REGEXREPLACE(C34745,""-\d+(.*)|--\d+(.*)"","""")"),"NOYALO")</f>
        <v>NOYALO</v>
      </c>
      <c r="E34745" s="38" t="s">
        <v>173</v>
      </c>
      <c r="F34745" s="38" t="s">
        <v>90</v>
      </c>
      <c r="G34745" s="49" t="str">
        <f t="shared" si="1"/>
        <v>56450</v>
      </c>
      <c r="H34745" s="49">
        <f t="shared" si="2"/>
        <v>56150</v>
      </c>
    </row>
    <row r="34746">
      <c r="A34746" s="48" t="s">
        <v>7416</v>
      </c>
      <c r="B34746" s="38">
        <v>49372.0</v>
      </c>
      <c r="C34746" s="38" t="s">
        <v>38926</v>
      </c>
      <c r="D34746" s="38" t="str">
        <f>IFERROR(__xludf.DUMMYFUNCTION("REGEXREPLACE(C34746,""-\d+(.*)|--\d+(.*)"","""")"),"LE VIEIL-BAUGE")</f>
        <v>LE VIEIL-BAUGE</v>
      </c>
      <c r="E34746" s="38" t="s">
        <v>653</v>
      </c>
      <c r="F34746" s="38" t="s">
        <v>180</v>
      </c>
      <c r="G34746" s="49" t="str">
        <f t="shared" si="1"/>
        <v>49150</v>
      </c>
      <c r="H34746" s="49">
        <f t="shared" si="2"/>
        <v>49372</v>
      </c>
    </row>
    <row r="34747">
      <c r="A34747" s="48" t="s">
        <v>542</v>
      </c>
      <c r="B34747" s="38">
        <v>50355.0</v>
      </c>
      <c r="C34747" s="38" t="s">
        <v>38927</v>
      </c>
      <c r="D34747" s="38" t="str">
        <f>IFERROR(__xludf.DUMMYFUNCTION("REGEXREPLACE(C34747,""-\d+(.*)|--\d+(.*)"","""")"),"MONTVIRON")</f>
        <v>MONTVIRON</v>
      </c>
      <c r="E34747" s="38" t="s">
        <v>157</v>
      </c>
      <c r="F34747" s="38" t="s">
        <v>138</v>
      </c>
      <c r="G34747" s="49" t="str">
        <f t="shared" si="1"/>
        <v>50530</v>
      </c>
      <c r="H34747" s="49">
        <f t="shared" si="2"/>
        <v>50355</v>
      </c>
    </row>
    <row r="34748">
      <c r="A34748" s="48" t="s">
        <v>3161</v>
      </c>
      <c r="B34748" s="38">
        <v>70423.0</v>
      </c>
      <c r="C34748" s="38" t="s">
        <v>38928</v>
      </c>
      <c r="D34748" s="38" t="str">
        <f>IFERROR(__xludf.DUMMYFUNCTION("REGEXREPLACE(C34748,""-\d+(.*)|--\d+(.*)"","""")"),"PREIGNEY")</f>
        <v>PREIGNEY</v>
      </c>
      <c r="E34748" s="38" t="s">
        <v>956</v>
      </c>
      <c r="F34748" s="38" t="s">
        <v>214</v>
      </c>
      <c r="G34748" s="49" t="str">
        <f t="shared" si="1"/>
        <v>70120</v>
      </c>
      <c r="H34748" s="49">
        <f t="shared" si="2"/>
        <v>70423</v>
      </c>
    </row>
    <row r="34749">
      <c r="A34749" s="48" t="s">
        <v>5477</v>
      </c>
      <c r="B34749" s="38">
        <v>74180.0</v>
      </c>
      <c r="C34749" s="38" t="s">
        <v>38929</v>
      </c>
      <c r="D34749" s="38" t="str">
        <f>IFERROR(__xludf.DUMMYFUNCTION("REGEXREPLACE(C34749,""-\d+(.*)|--\d+(.*)"","""")"),"MESSERY")</f>
        <v>MESSERY</v>
      </c>
      <c r="E34749" s="38" t="s">
        <v>319</v>
      </c>
      <c r="F34749" s="38" t="s">
        <v>102</v>
      </c>
      <c r="G34749" s="49" t="str">
        <f t="shared" si="1"/>
        <v>74140</v>
      </c>
      <c r="H34749" s="49">
        <f t="shared" si="2"/>
        <v>74180</v>
      </c>
    </row>
    <row r="34750">
      <c r="A34750" s="48" t="s">
        <v>4011</v>
      </c>
      <c r="B34750" s="38">
        <v>80594.0</v>
      </c>
      <c r="C34750" s="38" t="s">
        <v>38930</v>
      </c>
      <c r="D34750" s="38" t="str">
        <f>IFERROR(__xludf.DUMMYFUNCTION("REGEXREPLACE(C34750,""-\d+(.*)|--\d+(.*)"","""")"),"NEUVILLE-LES-LOEUILLY")</f>
        <v>NEUVILLE-LES-LOEUILLY</v>
      </c>
      <c r="E34750" s="38" t="s">
        <v>224</v>
      </c>
      <c r="F34750" s="38" t="s">
        <v>113</v>
      </c>
      <c r="G34750" s="49" t="str">
        <f t="shared" si="1"/>
        <v>80160</v>
      </c>
      <c r="H34750" s="49">
        <f t="shared" si="2"/>
        <v>80594</v>
      </c>
    </row>
    <row r="34751">
      <c r="A34751" s="48" t="s">
        <v>6075</v>
      </c>
      <c r="B34751" s="38">
        <v>63348.0</v>
      </c>
      <c r="C34751" s="38" t="s">
        <v>38931</v>
      </c>
      <c r="D34751" s="38" t="str">
        <f>IFERROR(__xludf.DUMMYFUNCTION("REGEXREPLACE(C34751,""-\d+(.*)|--\d+(.*)"","""")"),"SAINT-GENES-LA-TOURETTE")</f>
        <v>SAINT-GENES-LA-TOURETTE</v>
      </c>
      <c r="E34751" s="38" t="s">
        <v>353</v>
      </c>
      <c r="F34751" s="38" t="s">
        <v>161</v>
      </c>
      <c r="G34751" s="49" t="str">
        <f t="shared" si="1"/>
        <v>63580</v>
      </c>
      <c r="H34751" s="49">
        <f t="shared" si="2"/>
        <v>63348</v>
      </c>
    </row>
    <row r="34752">
      <c r="A34752" s="48" t="s">
        <v>14840</v>
      </c>
      <c r="B34752" s="38">
        <v>73072.0</v>
      </c>
      <c r="C34752" s="38" t="s">
        <v>38932</v>
      </c>
      <c r="D34752" s="38" t="str">
        <f>IFERROR(__xludf.DUMMYFUNCTION("REGEXREPLACE(C34752,""-\d+(.*)|--\d+(.*)"","""")"),"CHAMP-LAURENT")</f>
        <v>CHAMP-LAURENT</v>
      </c>
      <c r="E34752" s="38" t="s">
        <v>306</v>
      </c>
      <c r="F34752" s="38" t="s">
        <v>102</v>
      </c>
      <c r="G34752" s="49" t="str">
        <f t="shared" si="1"/>
        <v>73390</v>
      </c>
      <c r="H34752" s="49">
        <f t="shared" si="2"/>
        <v>73072</v>
      </c>
    </row>
    <row r="34753">
      <c r="A34753" s="48" t="s">
        <v>1683</v>
      </c>
      <c r="B34753" s="38">
        <v>78128.0</v>
      </c>
      <c r="C34753" s="38" t="s">
        <v>38933</v>
      </c>
      <c r="D34753" s="38" t="str">
        <f>IFERROR(__xludf.DUMMYFUNCTION("REGEXREPLACE(C34753,""-\d+(.*)|--\d+(.*)"","""")"),"CERNAY-LA-VILLE")</f>
        <v>CERNAY-LA-VILLE</v>
      </c>
      <c r="E34753" s="38" t="s">
        <v>362</v>
      </c>
      <c r="F34753" s="38" t="s">
        <v>245</v>
      </c>
      <c r="G34753" s="49" t="str">
        <f t="shared" si="1"/>
        <v>78720</v>
      </c>
      <c r="H34753" s="49">
        <f t="shared" si="2"/>
        <v>78128</v>
      </c>
    </row>
    <row r="34754">
      <c r="A34754" s="48" t="s">
        <v>19006</v>
      </c>
      <c r="B34754" s="38">
        <v>51052.0</v>
      </c>
      <c r="C34754" s="38" t="s">
        <v>38934</v>
      </c>
      <c r="D34754" s="38" t="str">
        <f>IFERROR(__xludf.DUMMYFUNCTION("REGEXREPLACE(C34754,""-\d+(.*)|--\d+(.*)"","""")"),"BERRU")</f>
        <v>BERRU</v>
      </c>
      <c r="E34754" s="38" t="s">
        <v>129</v>
      </c>
      <c r="F34754" s="38" t="s">
        <v>130</v>
      </c>
      <c r="G34754" s="49" t="str">
        <f t="shared" si="1"/>
        <v>51420</v>
      </c>
      <c r="H34754" s="49">
        <f t="shared" si="2"/>
        <v>51052</v>
      </c>
    </row>
    <row r="34755">
      <c r="A34755" s="48" t="s">
        <v>378</v>
      </c>
      <c r="B34755" s="38">
        <v>37071.0</v>
      </c>
      <c r="C34755" s="38" t="s">
        <v>26683</v>
      </c>
      <c r="D34755" s="38" t="str">
        <f>IFERROR(__xludf.DUMMYFUNCTION("REGEXREPLACE(C34755,""-\d+(.*)|--\d+(.*)"","""")"),"CHEZELLES")</f>
        <v>CHEZELLES</v>
      </c>
      <c r="E34755" s="38" t="s">
        <v>205</v>
      </c>
      <c r="F34755" s="38" t="s">
        <v>123</v>
      </c>
      <c r="G34755" s="49" t="str">
        <f t="shared" si="1"/>
        <v>37220</v>
      </c>
      <c r="H34755" s="49">
        <f t="shared" si="2"/>
        <v>37071</v>
      </c>
    </row>
    <row r="34756">
      <c r="A34756" s="48" t="s">
        <v>5405</v>
      </c>
      <c r="B34756" s="38">
        <v>85136.0</v>
      </c>
      <c r="C34756" s="38" t="s">
        <v>38935</v>
      </c>
      <c r="D34756" s="38" t="str">
        <f>IFERROR(__xludf.DUMMYFUNCTION("REGEXREPLACE(C34756,""-\d+(.*)|--\d+(.*)"","""")"),"MARILLET")</f>
        <v>MARILLET</v>
      </c>
      <c r="E34756" s="38" t="s">
        <v>179</v>
      </c>
      <c r="F34756" s="38" t="s">
        <v>180</v>
      </c>
      <c r="G34756" s="49" t="str">
        <f t="shared" si="1"/>
        <v>85240</v>
      </c>
      <c r="H34756" s="49">
        <f t="shared" si="2"/>
        <v>85136</v>
      </c>
    </row>
    <row r="34757">
      <c r="A34757" s="48" t="s">
        <v>403</v>
      </c>
      <c r="B34757" s="38">
        <v>59054.0</v>
      </c>
      <c r="C34757" s="38" t="s">
        <v>38936</v>
      </c>
      <c r="D34757" s="38" t="str">
        <f>IFERROR(__xludf.DUMMYFUNCTION("REGEXREPLACE(C34757,""-\d+(.*)|--\d+(.*)"","""")"),"BAVINCHOVE")</f>
        <v>BAVINCHOVE</v>
      </c>
      <c r="E34757" s="38" t="s">
        <v>85</v>
      </c>
      <c r="F34757" s="38" t="s">
        <v>86</v>
      </c>
      <c r="G34757" s="49" t="str">
        <f t="shared" si="1"/>
        <v>59670</v>
      </c>
      <c r="H34757" s="49">
        <f t="shared" si="2"/>
        <v>59054</v>
      </c>
    </row>
    <row r="34758">
      <c r="A34758" s="48" t="s">
        <v>236</v>
      </c>
      <c r="B34758" s="38">
        <v>9043.0</v>
      </c>
      <c r="C34758" s="38" t="s">
        <v>38937</v>
      </c>
      <c r="D34758" s="38" t="str">
        <f>IFERROR(__xludf.DUMMYFUNCTION("REGEXREPLACE(C34758,""-\d+(.*)|--\d+(.*)"","""")"),"LA BASTIDE-SUR-L'HERS")</f>
        <v>LA BASTIDE-SUR-L'HERS</v>
      </c>
      <c r="E34758" s="38" t="s">
        <v>238</v>
      </c>
      <c r="F34758" s="38" t="s">
        <v>94</v>
      </c>
      <c r="G34758" s="49" t="str">
        <f t="shared" si="1"/>
        <v>09600</v>
      </c>
      <c r="H34758" s="49" t="str">
        <f t="shared" si="2"/>
        <v>09043</v>
      </c>
    </row>
    <row r="34759">
      <c r="A34759" s="48" t="s">
        <v>16724</v>
      </c>
      <c r="B34759" s="38">
        <v>10096.0</v>
      </c>
      <c r="C34759" s="38" t="s">
        <v>38938</v>
      </c>
      <c r="D34759" s="38" t="str">
        <f>IFERROR(__xludf.DUMMYFUNCTION("REGEXREPLACE(C34759,""-\d+(.*)|--\d+(.*)"","""")"),"CHENNEGY")</f>
        <v>CHENNEGY</v>
      </c>
      <c r="E34759" s="38" t="s">
        <v>147</v>
      </c>
      <c r="F34759" s="38" t="s">
        <v>130</v>
      </c>
      <c r="G34759" s="49" t="str">
        <f t="shared" si="1"/>
        <v>10190</v>
      </c>
      <c r="H34759" s="49">
        <f t="shared" si="2"/>
        <v>10096</v>
      </c>
    </row>
    <row r="34760">
      <c r="A34760" s="48" t="s">
        <v>3810</v>
      </c>
      <c r="B34760" s="38">
        <v>77496.0</v>
      </c>
      <c r="C34760" s="38" t="s">
        <v>38939</v>
      </c>
      <c r="D34760" s="38" t="str">
        <f>IFERROR(__xludf.DUMMYFUNCTION("REGEXREPLACE(C34760,""-\d+(.*)|--\d+(.*)"","""")"),"VIEUX-CHAMPAGNE")</f>
        <v>VIEUX-CHAMPAGNE</v>
      </c>
      <c r="E34760" s="38" t="s">
        <v>244</v>
      </c>
      <c r="F34760" s="38" t="s">
        <v>245</v>
      </c>
      <c r="G34760" s="49" t="str">
        <f t="shared" si="1"/>
        <v>77370</v>
      </c>
      <c r="H34760" s="49">
        <f t="shared" si="2"/>
        <v>77496</v>
      </c>
    </row>
    <row r="34761">
      <c r="A34761" s="48" t="s">
        <v>5214</v>
      </c>
      <c r="B34761" s="38">
        <v>9201.0</v>
      </c>
      <c r="C34761" s="38" t="s">
        <v>38940</v>
      </c>
      <c r="D34761" s="38" t="str">
        <f>IFERROR(__xludf.DUMMYFUNCTION("REGEXREPLACE(C34761,""-\d+(.*)|--\d+(.*)"","""")"),"MONTEGUT-EN-COUSERANS")</f>
        <v>MONTEGUT-EN-COUSERANS</v>
      </c>
      <c r="E34761" s="38" t="s">
        <v>238</v>
      </c>
      <c r="F34761" s="38" t="s">
        <v>94</v>
      </c>
      <c r="G34761" s="49" t="str">
        <f t="shared" si="1"/>
        <v>09200</v>
      </c>
      <c r="H34761" s="49" t="str">
        <f t="shared" si="2"/>
        <v>09201</v>
      </c>
    </row>
    <row r="34762">
      <c r="A34762" s="48" t="s">
        <v>1495</v>
      </c>
      <c r="B34762" s="38">
        <v>33390.0</v>
      </c>
      <c r="C34762" s="38" t="s">
        <v>10166</v>
      </c>
      <c r="D34762" s="38" t="str">
        <f>IFERROR(__xludf.DUMMYFUNCTION("REGEXREPLACE(C34762,""-\d+(.*)|--\d+(.*)"","""")"),"SAINTE-COLOMBE")</f>
        <v>SAINTE-COLOMBE</v>
      </c>
      <c r="E34762" s="38" t="s">
        <v>462</v>
      </c>
      <c r="F34762" s="38" t="s">
        <v>252</v>
      </c>
      <c r="G34762" s="49" t="str">
        <f t="shared" si="1"/>
        <v>33350</v>
      </c>
      <c r="H34762" s="49">
        <f t="shared" si="2"/>
        <v>33390</v>
      </c>
    </row>
    <row r="34763">
      <c r="A34763" s="48" t="s">
        <v>11639</v>
      </c>
      <c r="B34763" s="38">
        <v>59609.0</v>
      </c>
      <c r="C34763" s="38" t="s">
        <v>38941</v>
      </c>
      <c r="D34763" s="38" t="str">
        <f>IFERROR(__xludf.DUMMYFUNCTION("REGEXREPLACE(C34763,""-\d+(.*)|--\d+(.*)"","""")"),"VENDEVILLE")</f>
        <v>VENDEVILLE</v>
      </c>
      <c r="E34763" s="38" t="s">
        <v>85</v>
      </c>
      <c r="F34763" s="38" t="s">
        <v>86</v>
      </c>
      <c r="G34763" s="49" t="str">
        <f t="shared" si="1"/>
        <v>59175</v>
      </c>
      <c r="H34763" s="49">
        <f t="shared" si="2"/>
        <v>59609</v>
      </c>
    </row>
    <row r="34764">
      <c r="A34764" s="48" t="s">
        <v>3448</v>
      </c>
      <c r="B34764" s="38">
        <v>65346.0</v>
      </c>
      <c r="C34764" s="38" t="s">
        <v>38942</v>
      </c>
      <c r="D34764" s="38" t="str">
        <f>IFERROR(__xludf.DUMMYFUNCTION("REGEXREPLACE(C34764,""-\d+(.*)|--\d+(.*)"","""")"),"OUEILLOUX")</f>
        <v>OUEILLOUX</v>
      </c>
      <c r="E34764" s="38" t="s">
        <v>200</v>
      </c>
      <c r="F34764" s="38" t="s">
        <v>94</v>
      </c>
      <c r="G34764" s="49" t="str">
        <f t="shared" si="1"/>
        <v>65190</v>
      </c>
      <c r="H34764" s="49">
        <f t="shared" si="2"/>
        <v>65346</v>
      </c>
    </row>
    <row r="34765">
      <c r="A34765" s="48" t="s">
        <v>1628</v>
      </c>
      <c r="B34765" s="38">
        <v>70066.0</v>
      </c>
      <c r="C34765" s="38" t="s">
        <v>38943</v>
      </c>
      <c r="D34765" s="38" t="str">
        <f>IFERROR(__xludf.DUMMYFUNCTION("REGEXREPLACE(C34765,""-\d+(.*)|--\d+(.*)"","""")"),"BETAUCOURT")</f>
        <v>BETAUCOURT</v>
      </c>
      <c r="E34765" s="38" t="s">
        <v>956</v>
      </c>
      <c r="F34765" s="38" t="s">
        <v>214</v>
      </c>
      <c r="G34765" s="49" t="str">
        <f t="shared" si="1"/>
        <v>70500</v>
      </c>
      <c r="H34765" s="49">
        <f t="shared" si="2"/>
        <v>70066</v>
      </c>
    </row>
    <row r="34766">
      <c r="A34766" s="48" t="s">
        <v>866</v>
      </c>
      <c r="B34766" s="38">
        <v>63022.0</v>
      </c>
      <c r="C34766" s="38" t="s">
        <v>38944</v>
      </c>
      <c r="D34766" s="38" t="str">
        <f>IFERROR(__xludf.DUMMYFUNCTION("REGEXREPLACE(C34766,""-\d+(.*)|--\d+(.*)"","""")"),"AUZAT-LA-COMBELLE")</f>
        <v>AUZAT-LA-COMBELLE</v>
      </c>
      <c r="E34766" s="38" t="s">
        <v>353</v>
      </c>
      <c r="F34766" s="38" t="s">
        <v>161</v>
      </c>
      <c r="G34766" s="49" t="str">
        <f t="shared" si="1"/>
        <v>63570</v>
      </c>
      <c r="H34766" s="49">
        <f t="shared" si="2"/>
        <v>63022</v>
      </c>
    </row>
    <row r="34767">
      <c r="A34767" s="48" t="s">
        <v>11810</v>
      </c>
      <c r="B34767" s="38">
        <v>50149.0</v>
      </c>
      <c r="C34767" s="38" t="s">
        <v>38945</v>
      </c>
      <c r="D34767" s="38" t="str">
        <f>IFERROR(__xludf.DUMMYFUNCTION("REGEXREPLACE(C34767,""-\d+(.*)|--\d+(.*)"","""")"),"COUVILLE")</f>
        <v>COUVILLE</v>
      </c>
      <c r="E34767" s="38" t="s">
        <v>157</v>
      </c>
      <c r="F34767" s="38" t="s">
        <v>138</v>
      </c>
      <c r="G34767" s="49" t="str">
        <f t="shared" si="1"/>
        <v>50690</v>
      </c>
      <c r="H34767" s="49">
        <f t="shared" si="2"/>
        <v>50149</v>
      </c>
    </row>
    <row r="34768">
      <c r="A34768" s="48" t="s">
        <v>6207</v>
      </c>
      <c r="B34768" s="38">
        <v>23086.0</v>
      </c>
      <c r="C34768" s="38" t="s">
        <v>38946</v>
      </c>
      <c r="D34768" s="38" t="str">
        <f>IFERROR(__xludf.DUMMYFUNCTION("REGEXREPLACE(C34768,""-\d+(.*)|--\d+(.*)"","""")"),"FRANSECHES")</f>
        <v>FRANSECHES</v>
      </c>
      <c r="E34768" s="38" t="s">
        <v>97</v>
      </c>
      <c r="F34768" s="38" t="s">
        <v>98</v>
      </c>
      <c r="G34768" s="49" t="str">
        <f t="shared" si="1"/>
        <v>23480</v>
      </c>
      <c r="H34768" s="49">
        <f t="shared" si="2"/>
        <v>23086</v>
      </c>
    </row>
    <row r="34769">
      <c r="A34769" s="48" t="s">
        <v>620</v>
      </c>
      <c r="B34769" s="38">
        <v>86047.0</v>
      </c>
      <c r="C34769" s="38" t="s">
        <v>9567</v>
      </c>
      <c r="D34769" s="38" t="str">
        <f>IFERROR(__xludf.DUMMYFUNCTION("REGEXREPLACE(C34769,""-\d+(.*)|--\d+(.*)"","""")"),"CERNAY")</f>
        <v>CERNAY</v>
      </c>
      <c r="E34769" s="38" t="s">
        <v>529</v>
      </c>
      <c r="F34769" s="38" t="s">
        <v>338</v>
      </c>
      <c r="G34769" s="49" t="str">
        <f t="shared" si="1"/>
        <v>86140</v>
      </c>
      <c r="H34769" s="49">
        <f t="shared" si="2"/>
        <v>86047</v>
      </c>
    </row>
    <row r="34770">
      <c r="A34770" s="48" t="s">
        <v>2010</v>
      </c>
      <c r="B34770" s="38">
        <v>49034.0</v>
      </c>
      <c r="C34770" s="38" t="s">
        <v>38947</v>
      </c>
      <c r="D34770" s="38" t="str">
        <f>IFERROR(__xludf.DUMMYFUNCTION("REGEXREPLACE(C34770,""-\d+(.*)|--\d+(.*)"","""")"),"BOTZ-EN-MAUGES")</f>
        <v>BOTZ-EN-MAUGES</v>
      </c>
      <c r="E34770" s="38" t="s">
        <v>653</v>
      </c>
      <c r="F34770" s="38" t="s">
        <v>180</v>
      </c>
      <c r="G34770" s="49" t="str">
        <f t="shared" si="1"/>
        <v>49110</v>
      </c>
      <c r="H34770" s="49">
        <f t="shared" si="2"/>
        <v>49034</v>
      </c>
    </row>
    <row r="34771">
      <c r="A34771" s="48" t="s">
        <v>38948</v>
      </c>
      <c r="B34771" s="38">
        <v>5161.0</v>
      </c>
      <c r="C34771" s="38" t="s">
        <v>38949</v>
      </c>
      <c r="D34771" s="38" t="str">
        <f>IFERROR(__xludf.DUMMYFUNCTION("REGEXREPLACE(C34771,""-\d+(.*)|--\d+(.*)"","""")"),"LA SALLE-LES-ALPES")</f>
        <v>LA SALLE-LES-ALPES</v>
      </c>
      <c r="E34771" s="38" t="s">
        <v>706</v>
      </c>
      <c r="F34771" s="38" t="s">
        <v>228</v>
      </c>
      <c r="G34771" s="49" t="str">
        <f t="shared" si="1"/>
        <v>05240</v>
      </c>
      <c r="H34771" s="49" t="str">
        <f t="shared" si="2"/>
        <v>05161</v>
      </c>
    </row>
    <row r="34772">
      <c r="A34772" s="48" t="s">
        <v>35175</v>
      </c>
      <c r="B34772" s="38">
        <v>1159.0</v>
      </c>
      <c r="C34772" s="38" t="s">
        <v>38950</v>
      </c>
      <c r="D34772" s="38" t="str">
        <f>IFERROR(__xludf.DUMMYFUNCTION("REGEXREPLACE(C34772,""-\d+(.*)|--\d+(.*)"","""")"),"FEILLENS")</f>
        <v>FEILLENS</v>
      </c>
      <c r="E34772" s="38" t="s">
        <v>255</v>
      </c>
      <c r="F34772" s="38" t="s">
        <v>102</v>
      </c>
      <c r="G34772" s="49" t="str">
        <f t="shared" si="1"/>
        <v>01570</v>
      </c>
      <c r="H34772" s="49" t="str">
        <f t="shared" si="2"/>
        <v>01159</v>
      </c>
    </row>
    <row r="34773">
      <c r="A34773" s="48" t="s">
        <v>8810</v>
      </c>
      <c r="B34773" s="38">
        <v>63096.0</v>
      </c>
      <c r="C34773" s="38" t="s">
        <v>38951</v>
      </c>
      <c r="D34773" s="38" t="str">
        <f>IFERROR(__xludf.DUMMYFUNCTION("REGEXREPLACE(C34773,""-\d+(.*)|--\d+(.*)"","""")"),"CHAS")</f>
        <v>CHAS</v>
      </c>
      <c r="E34773" s="38" t="s">
        <v>353</v>
      </c>
      <c r="F34773" s="38" t="s">
        <v>161</v>
      </c>
      <c r="G34773" s="49" t="str">
        <f t="shared" si="1"/>
        <v>63160</v>
      </c>
      <c r="H34773" s="49">
        <f t="shared" si="2"/>
        <v>63096</v>
      </c>
    </row>
    <row r="34774">
      <c r="A34774" s="48" t="s">
        <v>6019</v>
      </c>
      <c r="B34774" s="38">
        <v>39335.0</v>
      </c>
      <c r="C34774" s="38" t="s">
        <v>38952</v>
      </c>
      <c r="D34774" s="38" t="str">
        <f>IFERROR(__xludf.DUMMYFUNCTION("REGEXREPLACE(C34774,""-\d+(.*)|--\d+(.*)"","""")"),"MOISSEY")</f>
        <v>MOISSEY</v>
      </c>
      <c r="E34774" s="38" t="s">
        <v>400</v>
      </c>
      <c r="F34774" s="38" t="s">
        <v>214</v>
      </c>
      <c r="G34774" s="49" t="str">
        <f t="shared" si="1"/>
        <v>39290</v>
      </c>
      <c r="H34774" s="49">
        <f t="shared" si="2"/>
        <v>39335</v>
      </c>
    </row>
    <row r="34775">
      <c r="A34775" s="48" t="s">
        <v>1100</v>
      </c>
      <c r="B34775" s="38">
        <v>8014.0</v>
      </c>
      <c r="C34775" s="38" t="s">
        <v>38953</v>
      </c>
      <c r="D34775" s="38" t="str">
        <f>IFERROR(__xludf.DUMMYFUNCTION("REGEXREPLACE(C34775,""-\d+(.*)|--\d+(.*)"","""")"),"ANNELLES")</f>
        <v>ANNELLES</v>
      </c>
      <c r="E34775" s="38" t="s">
        <v>327</v>
      </c>
      <c r="F34775" s="38" t="s">
        <v>130</v>
      </c>
      <c r="G34775" s="49" t="str">
        <f t="shared" si="1"/>
        <v>08310</v>
      </c>
      <c r="H34775" s="49" t="str">
        <f t="shared" si="2"/>
        <v>08014</v>
      </c>
    </row>
    <row r="34776">
      <c r="A34776" s="48" t="s">
        <v>7265</v>
      </c>
      <c r="B34776" s="38">
        <v>68208.0</v>
      </c>
      <c r="C34776" s="38" t="s">
        <v>38954</v>
      </c>
      <c r="D34776" s="38" t="str">
        <f>IFERROR(__xludf.DUMMYFUNCTION("REGEXREPLACE(C34776,""-\d+(.*)|--\d+(.*)"","""")"),"MICHELBACH-LE-HAUT")</f>
        <v>MICHELBACH-LE-HAUT</v>
      </c>
      <c r="E34776" s="38" t="s">
        <v>150</v>
      </c>
      <c r="F34776" s="38" t="s">
        <v>151</v>
      </c>
      <c r="G34776" s="49" t="str">
        <f t="shared" si="1"/>
        <v>68220</v>
      </c>
      <c r="H34776" s="49">
        <f t="shared" si="2"/>
        <v>68208</v>
      </c>
    </row>
    <row r="34777">
      <c r="A34777" s="48" t="s">
        <v>38955</v>
      </c>
      <c r="B34777" s="38">
        <v>13045.0</v>
      </c>
      <c r="C34777" s="38" t="s">
        <v>38956</v>
      </c>
      <c r="D34777" s="38" t="str">
        <f>IFERROR(__xludf.DUMMYFUNCTION("REGEXREPLACE(C34777,""-\d+(.*)|--\d+(.*)"","""")"),"GRAVESON")</f>
        <v>GRAVESON</v>
      </c>
      <c r="E34777" s="38" t="s">
        <v>980</v>
      </c>
      <c r="F34777" s="38" t="s">
        <v>228</v>
      </c>
      <c r="G34777" s="49" t="str">
        <f t="shared" si="1"/>
        <v>13690</v>
      </c>
      <c r="H34777" s="49">
        <f t="shared" si="2"/>
        <v>13045</v>
      </c>
    </row>
    <row r="34778">
      <c r="A34778" s="48" t="s">
        <v>7005</v>
      </c>
      <c r="B34778" s="38">
        <v>82116.0</v>
      </c>
      <c r="C34778" s="38" t="s">
        <v>38957</v>
      </c>
      <c r="D34778" s="38" t="str">
        <f>IFERROR(__xludf.DUMMYFUNCTION("REGEXREPLACE(C34778,""-\d+(.*)|--\d+(.*)"","""")"),"MONTAGUDET")</f>
        <v>MONTAGUDET</v>
      </c>
      <c r="E34778" s="38" t="s">
        <v>570</v>
      </c>
      <c r="F34778" s="38" t="s">
        <v>94</v>
      </c>
      <c r="G34778" s="49" t="str">
        <f t="shared" si="1"/>
        <v>82110</v>
      </c>
      <c r="H34778" s="49">
        <f t="shared" si="2"/>
        <v>82116</v>
      </c>
    </row>
    <row r="34779">
      <c r="A34779" s="48" t="s">
        <v>19465</v>
      </c>
      <c r="B34779" s="38">
        <v>16350.0</v>
      </c>
      <c r="C34779" s="38" t="s">
        <v>38958</v>
      </c>
      <c r="D34779" s="38" t="str">
        <f>IFERROR(__xludf.DUMMYFUNCTION("REGEXREPLACE(C34779,""-\d+(.*)|--\d+(.*)"","""")"),"SAINT-SEVERIN")</f>
        <v>SAINT-SEVERIN</v>
      </c>
      <c r="E34779" s="38" t="s">
        <v>429</v>
      </c>
      <c r="F34779" s="38" t="s">
        <v>338</v>
      </c>
      <c r="G34779" s="49" t="str">
        <f t="shared" si="1"/>
        <v>16390</v>
      </c>
      <c r="H34779" s="49">
        <f t="shared" si="2"/>
        <v>16350</v>
      </c>
    </row>
    <row r="34780">
      <c r="A34780" s="48" t="s">
        <v>1821</v>
      </c>
      <c r="B34780" s="38">
        <v>3021.0</v>
      </c>
      <c r="C34780" s="38" t="s">
        <v>38959</v>
      </c>
      <c r="D34780" s="38" t="str">
        <f>IFERROR(__xludf.DUMMYFUNCTION("REGEXREPLACE(C34780,""-\d+(.*)|--\d+(.*)"","""")"),"BEGUES")</f>
        <v>BEGUES</v>
      </c>
      <c r="E34780" s="38" t="s">
        <v>160</v>
      </c>
      <c r="F34780" s="38" t="s">
        <v>161</v>
      </c>
      <c r="G34780" s="49" t="str">
        <f t="shared" si="1"/>
        <v>03800</v>
      </c>
      <c r="H34780" s="49" t="str">
        <f t="shared" si="2"/>
        <v>03021</v>
      </c>
    </row>
    <row r="34781">
      <c r="A34781" s="48" t="s">
        <v>2019</v>
      </c>
      <c r="B34781" s="38">
        <v>90096.0</v>
      </c>
      <c r="C34781" s="38" t="s">
        <v>38960</v>
      </c>
      <c r="D34781" s="38" t="str">
        <f>IFERROR(__xludf.DUMMYFUNCTION("REGEXREPLACE(C34781,""-\d+(.*)|--\d+(.*)"","""")"),"THIANCOURT")</f>
        <v>THIANCOURT</v>
      </c>
      <c r="E34781" s="38" t="s">
        <v>1283</v>
      </c>
      <c r="F34781" s="38" t="s">
        <v>214</v>
      </c>
      <c r="G34781" s="49" t="str">
        <f t="shared" si="1"/>
        <v>90100</v>
      </c>
      <c r="H34781" s="49">
        <f t="shared" si="2"/>
        <v>90096</v>
      </c>
    </row>
    <row r="34782">
      <c r="A34782" s="48" t="s">
        <v>2955</v>
      </c>
      <c r="B34782" s="38">
        <v>76704.0</v>
      </c>
      <c r="C34782" s="38" t="s">
        <v>38961</v>
      </c>
      <c r="D34782" s="38" t="str">
        <f>IFERROR(__xludf.DUMMYFUNCTION("REGEXREPLACE(C34782,""-\d+(.*)|--\d+(.*)"","""")"),"TOURVILLE-LA-CHAPELLE")</f>
        <v>TOURVILLE-LA-CHAPELLE</v>
      </c>
      <c r="E34782" s="38" t="s">
        <v>133</v>
      </c>
      <c r="F34782" s="38" t="s">
        <v>134</v>
      </c>
      <c r="G34782" s="49" t="str">
        <f t="shared" si="1"/>
        <v>76630</v>
      </c>
      <c r="H34782" s="49">
        <f t="shared" si="2"/>
        <v>76704</v>
      </c>
    </row>
    <row r="34783">
      <c r="A34783" s="48" t="s">
        <v>4566</v>
      </c>
      <c r="B34783" s="38">
        <v>24287.0</v>
      </c>
      <c r="C34783" s="38" t="s">
        <v>2818</v>
      </c>
      <c r="D34783" s="38" t="str">
        <f>IFERROR(__xludf.DUMMYFUNCTION("REGEXREPLACE(C34783,""-\d+(.*)|--\d+(.*)"","""")"),"MONTAUT")</f>
        <v>MONTAUT</v>
      </c>
      <c r="E34783" s="38" t="s">
        <v>261</v>
      </c>
      <c r="F34783" s="38" t="s">
        <v>252</v>
      </c>
      <c r="G34783" s="49" t="str">
        <f t="shared" si="1"/>
        <v>24560</v>
      </c>
      <c r="H34783" s="49">
        <f t="shared" si="2"/>
        <v>24287</v>
      </c>
    </row>
    <row r="34784">
      <c r="A34784" s="48" t="s">
        <v>1695</v>
      </c>
      <c r="B34784" s="38">
        <v>80769.0</v>
      </c>
      <c r="C34784" s="38" t="s">
        <v>38962</v>
      </c>
      <c r="D34784" s="38" t="str">
        <f>IFERROR(__xludf.DUMMYFUNCTION("REGEXREPLACE(C34784,""-\d+(.*)|--\d+(.*)"","""")"),"TREUX")</f>
        <v>TREUX</v>
      </c>
      <c r="E34784" s="38" t="s">
        <v>224</v>
      </c>
      <c r="F34784" s="38" t="s">
        <v>113</v>
      </c>
      <c r="G34784" s="49" t="str">
        <f t="shared" si="1"/>
        <v>80300</v>
      </c>
      <c r="H34784" s="49">
        <f t="shared" si="2"/>
        <v>80769</v>
      </c>
    </row>
    <row r="34785">
      <c r="A34785" s="48" t="s">
        <v>2666</v>
      </c>
      <c r="B34785" s="38">
        <v>34131.0</v>
      </c>
      <c r="C34785" s="38" t="s">
        <v>33352</v>
      </c>
      <c r="D34785" s="38" t="str">
        <f>IFERROR(__xludf.DUMMYFUNCTION("REGEXREPLACE(C34785,""-\d+(.*)|--\d+(.*)"","""")"),"LAURET")</f>
        <v>LAURET</v>
      </c>
      <c r="E34785" s="38" t="s">
        <v>118</v>
      </c>
      <c r="F34785" s="38" t="s">
        <v>119</v>
      </c>
      <c r="G34785" s="49" t="str">
        <f t="shared" si="1"/>
        <v>34270</v>
      </c>
      <c r="H34785" s="49">
        <f t="shared" si="2"/>
        <v>34131</v>
      </c>
    </row>
    <row r="34786">
      <c r="A34786" s="48" t="s">
        <v>8059</v>
      </c>
      <c r="B34786" s="38">
        <v>70111.0</v>
      </c>
      <c r="C34786" s="38" t="s">
        <v>38963</v>
      </c>
      <c r="D34786" s="38" t="str">
        <f>IFERROR(__xludf.DUMMYFUNCTION("REGEXREPLACE(C34786,""-\d+(.*)|--\d+(.*)"","""")"),"CALMOUTIER")</f>
        <v>CALMOUTIER</v>
      </c>
      <c r="E34786" s="38" t="s">
        <v>956</v>
      </c>
      <c r="F34786" s="38" t="s">
        <v>214</v>
      </c>
      <c r="G34786" s="49" t="str">
        <f t="shared" si="1"/>
        <v>70240</v>
      </c>
      <c r="H34786" s="49">
        <f t="shared" si="2"/>
        <v>70111</v>
      </c>
    </row>
    <row r="34787">
      <c r="A34787" s="48" t="s">
        <v>2075</v>
      </c>
      <c r="B34787" s="38">
        <v>46034.0</v>
      </c>
      <c r="C34787" s="38" t="s">
        <v>38964</v>
      </c>
      <c r="D34787" s="38" t="str">
        <f>IFERROR(__xludf.DUMMYFUNCTION("REGEXREPLACE(C34787,""-\d+(.*)|--\d+(.*)"","""")"),"LE BOURG")</f>
        <v>LE BOURG</v>
      </c>
      <c r="E34787" s="38" t="s">
        <v>185</v>
      </c>
      <c r="F34787" s="38" t="s">
        <v>94</v>
      </c>
      <c r="G34787" s="49" t="str">
        <f t="shared" si="1"/>
        <v>46120</v>
      </c>
      <c r="H34787" s="49">
        <f t="shared" si="2"/>
        <v>46034</v>
      </c>
    </row>
    <row r="34788">
      <c r="A34788" s="48" t="s">
        <v>591</v>
      </c>
      <c r="B34788" s="38">
        <v>85143.0</v>
      </c>
      <c r="C34788" s="38" t="s">
        <v>38965</v>
      </c>
      <c r="D34788" s="38" t="str">
        <f>IFERROR(__xludf.DUMMYFUNCTION("REGEXREPLACE(C34788,""-\d+(.*)|--\d+(.*)"","""")"),"MERVENT")</f>
        <v>MERVENT</v>
      </c>
      <c r="E34788" s="38" t="s">
        <v>179</v>
      </c>
      <c r="F34788" s="38" t="s">
        <v>180</v>
      </c>
      <c r="G34788" s="49" t="str">
        <f t="shared" si="1"/>
        <v>85200</v>
      </c>
      <c r="H34788" s="49">
        <f t="shared" si="2"/>
        <v>85143</v>
      </c>
    </row>
    <row r="34789">
      <c r="A34789" s="48" t="s">
        <v>4805</v>
      </c>
      <c r="B34789" s="38">
        <v>31224.0</v>
      </c>
      <c r="C34789" s="38" t="s">
        <v>38966</v>
      </c>
      <c r="D34789" s="38" t="str">
        <f>IFERROR(__xludf.DUMMYFUNCTION("REGEXREPLACE(C34789,""-\d+(.*)|--\d+(.*)"","""")"),"GOURDAN-POLIGNAN")</f>
        <v>GOURDAN-POLIGNAN</v>
      </c>
      <c r="E34789" s="38" t="s">
        <v>93</v>
      </c>
      <c r="F34789" s="38" t="s">
        <v>94</v>
      </c>
      <c r="G34789" s="49" t="str">
        <f t="shared" si="1"/>
        <v>31210</v>
      </c>
      <c r="H34789" s="49">
        <f t="shared" si="2"/>
        <v>31224</v>
      </c>
    </row>
    <row r="34790">
      <c r="A34790" s="48" t="s">
        <v>22521</v>
      </c>
      <c r="B34790" s="38">
        <v>33397.0</v>
      </c>
      <c r="C34790" s="38" t="s">
        <v>20493</v>
      </c>
      <c r="D34790" s="38" t="str">
        <f>IFERROR(__xludf.DUMMYFUNCTION("REGEXREPLACE(C34790,""-\d+(.*)|--\d+(.*)"","""")"),"SAINTE-EULALIE")</f>
        <v>SAINTE-EULALIE</v>
      </c>
      <c r="E34790" s="38" t="s">
        <v>462</v>
      </c>
      <c r="F34790" s="38" t="s">
        <v>252</v>
      </c>
      <c r="G34790" s="49" t="str">
        <f t="shared" si="1"/>
        <v>33560</v>
      </c>
      <c r="H34790" s="49">
        <f t="shared" si="2"/>
        <v>33397</v>
      </c>
    </row>
    <row r="34791">
      <c r="A34791" s="48" t="s">
        <v>9857</v>
      </c>
      <c r="B34791" s="38">
        <v>26005.0</v>
      </c>
      <c r="C34791" s="38" t="s">
        <v>38967</v>
      </c>
      <c r="D34791" s="38" t="str">
        <f>IFERROR(__xludf.DUMMYFUNCTION("REGEXREPLACE(C34791,""-\d+(.*)|--\d+(.*)"","""")"),"ALLAN")</f>
        <v>ALLAN</v>
      </c>
      <c r="E34791" s="38" t="s">
        <v>126</v>
      </c>
      <c r="F34791" s="38" t="s">
        <v>102</v>
      </c>
      <c r="G34791" s="49" t="str">
        <f t="shared" si="1"/>
        <v>26780</v>
      </c>
      <c r="H34791" s="49">
        <f t="shared" si="2"/>
        <v>26005</v>
      </c>
    </row>
    <row r="34792">
      <c r="A34792" s="48" t="s">
        <v>1467</v>
      </c>
      <c r="B34792" s="38">
        <v>7251.0</v>
      </c>
      <c r="C34792" s="38" t="s">
        <v>38968</v>
      </c>
      <c r="D34792" s="38" t="str">
        <f>IFERROR(__xludf.DUMMYFUNCTION("REGEXREPLACE(C34792,""-\d+(.*)|--\d+(.*)"","""")"),"SAINT-JOSEPH-DES-BANCS")</f>
        <v>SAINT-JOSEPH-DES-BANCS</v>
      </c>
      <c r="E34792" s="38" t="s">
        <v>144</v>
      </c>
      <c r="F34792" s="38" t="s">
        <v>102</v>
      </c>
      <c r="G34792" s="49" t="str">
        <f t="shared" si="1"/>
        <v>07530</v>
      </c>
      <c r="H34792" s="49" t="str">
        <f t="shared" si="2"/>
        <v>07251</v>
      </c>
    </row>
    <row r="34793">
      <c r="A34793" s="48" t="s">
        <v>22697</v>
      </c>
      <c r="B34793" s="38">
        <v>45173.0</v>
      </c>
      <c r="C34793" s="38" t="s">
        <v>38969</v>
      </c>
      <c r="D34793" s="38" t="str">
        <f>IFERROR(__xludf.DUMMYFUNCTION("REGEXREPLACE(C34793,""-\d+(.*)|--\d+(.*)"","""")"),"JARGEAU")</f>
        <v>JARGEAU</v>
      </c>
      <c r="E34793" s="38" t="s">
        <v>122</v>
      </c>
      <c r="F34793" s="38" t="s">
        <v>123</v>
      </c>
      <c r="G34793" s="49" t="str">
        <f t="shared" si="1"/>
        <v>45150</v>
      </c>
      <c r="H34793" s="49">
        <f t="shared" si="2"/>
        <v>45173</v>
      </c>
    </row>
    <row r="34794">
      <c r="A34794" s="48" t="s">
        <v>9801</v>
      </c>
      <c r="B34794" s="38">
        <v>2622.0</v>
      </c>
      <c r="C34794" s="38" t="s">
        <v>38970</v>
      </c>
      <c r="D34794" s="38" t="str">
        <f>IFERROR(__xludf.DUMMYFUNCTION("REGEXREPLACE(C34794,""-\d+(.*)|--\d+(.*)"","""")"),"PRIEZ")</f>
        <v>PRIEZ</v>
      </c>
      <c r="E34794" s="38" t="s">
        <v>191</v>
      </c>
      <c r="F34794" s="38" t="s">
        <v>113</v>
      </c>
      <c r="G34794" s="49" t="str">
        <f t="shared" si="1"/>
        <v>02470</v>
      </c>
      <c r="H34794" s="49" t="str">
        <f t="shared" si="2"/>
        <v>02622</v>
      </c>
    </row>
    <row r="34795">
      <c r="A34795" s="48" t="s">
        <v>14904</v>
      </c>
      <c r="B34795" s="38">
        <v>68313.0</v>
      </c>
      <c r="C34795" s="38" t="s">
        <v>38971</v>
      </c>
      <c r="D34795" s="38" t="str">
        <f>IFERROR(__xludf.DUMMYFUNCTION("REGEXREPLACE(C34795,""-\d+(.*)|--\d+(.*)"","""")"),"SOPPE-LE-BAS")</f>
        <v>SOPPE-LE-BAS</v>
      </c>
      <c r="E34795" s="38" t="s">
        <v>150</v>
      </c>
      <c r="F34795" s="38" t="s">
        <v>151</v>
      </c>
      <c r="G34795" s="49" t="str">
        <f t="shared" si="1"/>
        <v>68780</v>
      </c>
      <c r="H34795" s="49">
        <f t="shared" si="2"/>
        <v>68313</v>
      </c>
    </row>
    <row r="34796">
      <c r="A34796" s="48" t="s">
        <v>4559</v>
      </c>
      <c r="B34796" s="38">
        <v>72095.0</v>
      </c>
      <c r="C34796" s="38" t="s">
        <v>38972</v>
      </c>
      <c r="D34796" s="38" t="str">
        <f>IFERROR(__xludf.DUMMYFUNCTION("REGEXREPLACE(C34796,""-\d+(.*)|--\d+(.*)"","""")"),"COULAINES")</f>
        <v>COULAINES</v>
      </c>
      <c r="E34796" s="38" t="s">
        <v>521</v>
      </c>
      <c r="F34796" s="38" t="s">
        <v>180</v>
      </c>
      <c r="G34796" s="49" t="str">
        <f t="shared" si="1"/>
        <v>72190</v>
      </c>
      <c r="H34796" s="49">
        <f t="shared" si="2"/>
        <v>72095</v>
      </c>
    </row>
    <row r="34797">
      <c r="A34797" s="48" t="s">
        <v>2336</v>
      </c>
      <c r="B34797" s="38">
        <v>58064.0</v>
      </c>
      <c r="C34797" s="38" t="s">
        <v>38973</v>
      </c>
      <c r="D34797" s="38" t="str">
        <f>IFERROR(__xludf.DUMMYFUNCTION("REGEXREPLACE(C34797,""-\d+(.*)|--\d+(.*)"","""")"),"CHATEAUNEUF-VAL-DE-BARGIS")</f>
        <v>CHATEAUNEUF-VAL-DE-BARGIS</v>
      </c>
      <c r="E34797" s="38" t="s">
        <v>219</v>
      </c>
      <c r="F34797" s="38" t="s">
        <v>106</v>
      </c>
      <c r="G34797" s="49" t="str">
        <f t="shared" si="1"/>
        <v>58350</v>
      </c>
      <c r="H34797" s="49">
        <f t="shared" si="2"/>
        <v>58064</v>
      </c>
    </row>
    <row r="34798">
      <c r="A34798" s="48" t="s">
        <v>3219</v>
      </c>
      <c r="B34798" s="38">
        <v>22240.0</v>
      </c>
      <c r="C34798" s="38" t="s">
        <v>38974</v>
      </c>
      <c r="D34798" s="38" t="str">
        <f>IFERROR(__xludf.DUMMYFUNCTION("REGEXREPLACE(C34798,""-\d+(.*)|--\d+(.*)"","""")"),"PLUMAUGAT")</f>
        <v>PLUMAUGAT</v>
      </c>
      <c r="E34798" s="38" t="s">
        <v>89</v>
      </c>
      <c r="F34798" s="38" t="s">
        <v>90</v>
      </c>
      <c r="G34798" s="49" t="str">
        <f t="shared" si="1"/>
        <v>22250</v>
      </c>
      <c r="H34798" s="49">
        <f t="shared" si="2"/>
        <v>22240</v>
      </c>
    </row>
    <row r="34799">
      <c r="A34799" s="48" t="s">
        <v>15560</v>
      </c>
      <c r="B34799" s="38">
        <v>60639.0</v>
      </c>
      <c r="C34799" s="38" t="s">
        <v>38975</v>
      </c>
      <c r="D34799" s="38" t="str">
        <f>IFERROR(__xludf.DUMMYFUNCTION("REGEXREPLACE(C34799,""-\d+(.*)|--\d+(.*)"","""")"),"TILLE")</f>
        <v>TILLE</v>
      </c>
      <c r="E34799" s="38" t="s">
        <v>112</v>
      </c>
      <c r="F34799" s="38" t="s">
        <v>113</v>
      </c>
      <c r="G34799" s="49" t="str">
        <f t="shared" si="1"/>
        <v>60000</v>
      </c>
      <c r="H34799" s="49">
        <f t="shared" si="2"/>
        <v>60639</v>
      </c>
    </row>
    <row r="34800">
      <c r="A34800" s="48" t="s">
        <v>35175</v>
      </c>
      <c r="B34800" s="38">
        <v>1231.0</v>
      </c>
      <c r="C34800" s="38" t="s">
        <v>38976</v>
      </c>
      <c r="D34800" s="38" t="str">
        <f>IFERROR(__xludf.DUMMYFUNCTION("REGEXREPLACE(C34800,""-\d+(.*)|--\d+(.*)"","""")"),"MANZIAT")</f>
        <v>MANZIAT</v>
      </c>
      <c r="E34800" s="38" t="s">
        <v>255</v>
      </c>
      <c r="F34800" s="38" t="s">
        <v>102</v>
      </c>
      <c r="G34800" s="49" t="str">
        <f t="shared" si="1"/>
        <v>01570</v>
      </c>
      <c r="H34800" s="49" t="str">
        <f t="shared" si="2"/>
        <v>01231</v>
      </c>
    </row>
    <row r="34801">
      <c r="A34801" s="48" t="s">
        <v>1560</v>
      </c>
      <c r="B34801" s="38">
        <v>14574.0</v>
      </c>
      <c r="C34801" s="38" t="s">
        <v>38977</v>
      </c>
      <c r="D34801" s="38" t="str">
        <f>IFERROR(__xludf.DUMMYFUNCTION("REGEXREPLACE(C34801,""-\d+(.*)|--\d+(.*)"","""")"),"SAINT-DESIR")</f>
        <v>SAINT-DESIR</v>
      </c>
      <c r="E34801" s="38" t="s">
        <v>137</v>
      </c>
      <c r="F34801" s="38" t="s">
        <v>138</v>
      </c>
      <c r="G34801" s="49" t="str">
        <f t="shared" si="1"/>
        <v>14100</v>
      </c>
      <c r="H34801" s="49">
        <f t="shared" si="2"/>
        <v>14574</v>
      </c>
    </row>
    <row r="34802">
      <c r="A34802" s="48" t="s">
        <v>11166</v>
      </c>
      <c r="B34802" s="38">
        <v>55464.0</v>
      </c>
      <c r="C34802" s="38" t="s">
        <v>38978</v>
      </c>
      <c r="D34802" s="38" t="str">
        <f>IFERROR(__xludf.DUMMYFUNCTION("REGEXREPLACE(C34802,""-\d+(.*)|--\d+(.*)"","""")"),"SAINT-PIERREVILLERS")</f>
        <v>SAINT-PIERREVILLERS</v>
      </c>
      <c r="E34802" s="38" t="s">
        <v>322</v>
      </c>
      <c r="F34802" s="38" t="s">
        <v>195</v>
      </c>
      <c r="G34802" s="49" t="str">
        <f t="shared" si="1"/>
        <v>55230</v>
      </c>
      <c r="H34802" s="49">
        <f t="shared" si="2"/>
        <v>55464</v>
      </c>
    </row>
    <row r="34803">
      <c r="A34803" s="48" t="s">
        <v>1883</v>
      </c>
      <c r="B34803" s="38">
        <v>39396.0</v>
      </c>
      <c r="C34803" s="38" t="s">
        <v>38979</v>
      </c>
      <c r="D34803" s="38" t="str">
        <f>IFERROR(__xludf.DUMMYFUNCTION("REGEXREPLACE(C34803,""-\d+(.*)|--\d+(.*)"","""")"),"ORCHAMPS")</f>
        <v>ORCHAMPS</v>
      </c>
      <c r="E34803" s="38" t="s">
        <v>400</v>
      </c>
      <c r="F34803" s="38" t="s">
        <v>214</v>
      </c>
      <c r="G34803" s="49" t="str">
        <f t="shared" si="1"/>
        <v>39700</v>
      </c>
      <c r="H34803" s="49">
        <f t="shared" si="2"/>
        <v>39396</v>
      </c>
    </row>
    <row r="34804">
      <c r="A34804" s="48" t="s">
        <v>1089</v>
      </c>
      <c r="B34804" s="38">
        <v>67013.0</v>
      </c>
      <c r="C34804" s="38" t="s">
        <v>38980</v>
      </c>
      <c r="D34804" s="38" t="str">
        <f>IFERROR(__xludf.DUMMYFUNCTION("REGEXREPLACE(C34804,""-\d+(.*)|--\d+(.*)"","""")"),"ASSWILLER")</f>
        <v>ASSWILLER</v>
      </c>
      <c r="E34804" s="38" t="s">
        <v>210</v>
      </c>
      <c r="F34804" s="38" t="s">
        <v>151</v>
      </c>
      <c r="G34804" s="49" t="str">
        <f t="shared" si="1"/>
        <v>67320</v>
      </c>
      <c r="H34804" s="49">
        <f t="shared" si="2"/>
        <v>67013</v>
      </c>
    </row>
    <row r="34805">
      <c r="A34805" s="48" t="s">
        <v>38981</v>
      </c>
      <c r="B34805" s="38">
        <v>92009.0</v>
      </c>
      <c r="C34805" s="38" t="s">
        <v>38982</v>
      </c>
      <c r="D34805" s="38" t="str">
        <f>IFERROR(__xludf.DUMMYFUNCTION("REGEXREPLACE(C34805,""-\d+(.*)|--\d+(.*)"","""")"),"BOIS-COLOMBES")</f>
        <v>BOIS-COLOMBES</v>
      </c>
      <c r="E34805" s="38" t="s">
        <v>838</v>
      </c>
      <c r="F34805" s="38" t="s">
        <v>245</v>
      </c>
      <c r="G34805" s="49" t="str">
        <f t="shared" si="1"/>
        <v>92270</v>
      </c>
      <c r="H34805" s="49">
        <f t="shared" si="2"/>
        <v>92009</v>
      </c>
    </row>
    <row r="34806">
      <c r="A34806" s="48" t="s">
        <v>3539</v>
      </c>
      <c r="B34806" s="38">
        <v>54539.0</v>
      </c>
      <c r="C34806" s="38" t="s">
        <v>38983</v>
      </c>
      <c r="D34806" s="38" t="str">
        <f>IFERROR(__xludf.DUMMYFUNCTION("REGEXREPLACE(C34806,""-\d+(.*)|--\d+(.*)"","""")"),"VACQUEVILLE")</f>
        <v>VACQUEVILLE</v>
      </c>
      <c r="E34806" s="38" t="s">
        <v>548</v>
      </c>
      <c r="F34806" s="38" t="s">
        <v>195</v>
      </c>
      <c r="G34806" s="49" t="str">
        <f t="shared" si="1"/>
        <v>54540</v>
      </c>
      <c r="H34806" s="49">
        <f t="shared" si="2"/>
        <v>54539</v>
      </c>
    </row>
    <row r="34807">
      <c r="A34807" s="48" t="s">
        <v>38984</v>
      </c>
      <c r="B34807" s="38">
        <v>21166.0</v>
      </c>
      <c r="C34807" s="38" t="s">
        <v>38985</v>
      </c>
      <c r="D34807" s="38" t="str">
        <f>IFERROR(__xludf.DUMMYFUNCTION("REGEXREPLACE(C34807,""-\d+(.*)|--\d+(.*)"","""")"),"CHENOVE")</f>
        <v>CHENOVE</v>
      </c>
      <c r="E34807" s="38" t="s">
        <v>105</v>
      </c>
      <c r="F34807" s="38" t="s">
        <v>106</v>
      </c>
      <c r="G34807" s="49" t="str">
        <f t="shared" si="1"/>
        <v>21300</v>
      </c>
      <c r="H34807" s="49">
        <f t="shared" si="2"/>
        <v>21166</v>
      </c>
    </row>
    <row r="34808">
      <c r="A34808" s="48" t="s">
        <v>1046</v>
      </c>
      <c r="B34808" s="38">
        <v>26006.0</v>
      </c>
      <c r="C34808" s="38" t="s">
        <v>38986</v>
      </c>
      <c r="D34808" s="38" t="str">
        <f>IFERROR(__xludf.DUMMYFUNCTION("REGEXREPLACE(C34808,""-\d+(.*)|--\d+(.*)"","""")"),"ALLEX")</f>
        <v>ALLEX</v>
      </c>
      <c r="E34808" s="38" t="s">
        <v>126</v>
      </c>
      <c r="F34808" s="38" t="s">
        <v>102</v>
      </c>
      <c r="G34808" s="49" t="str">
        <f t="shared" si="1"/>
        <v>26400</v>
      </c>
      <c r="H34808" s="49">
        <f t="shared" si="2"/>
        <v>26006</v>
      </c>
    </row>
    <row r="34809">
      <c r="A34809" s="48" t="s">
        <v>2387</v>
      </c>
      <c r="B34809" s="38">
        <v>42038.0</v>
      </c>
      <c r="C34809" s="38" t="s">
        <v>38987</v>
      </c>
      <c r="D34809" s="38" t="str">
        <f>IFERROR(__xludf.DUMMYFUNCTION("REGEXREPLACE(C34809,""-\d+(.*)|--\d+(.*)"","""")"),"CHALAIN-LE-COMTAL")</f>
        <v>CHALAIN-LE-COMTAL</v>
      </c>
      <c r="E34809" s="38" t="s">
        <v>166</v>
      </c>
      <c r="F34809" s="38" t="s">
        <v>102</v>
      </c>
      <c r="G34809" s="49" t="str">
        <f t="shared" si="1"/>
        <v>42600</v>
      </c>
      <c r="H34809" s="49">
        <f t="shared" si="2"/>
        <v>42038</v>
      </c>
    </row>
    <row r="34810">
      <c r="A34810" s="48" t="s">
        <v>10552</v>
      </c>
      <c r="B34810" s="38">
        <v>22107.0</v>
      </c>
      <c r="C34810" s="38" t="s">
        <v>38988</v>
      </c>
      <c r="D34810" s="38" t="str">
        <f>IFERROR(__xludf.DUMMYFUNCTION("REGEXREPLACE(C34810,""-\d+(.*)|--\d+(.*)"","""")"),"LANISCAT")</f>
        <v>LANISCAT</v>
      </c>
      <c r="E34810" s="38" t="s">
        <v>89</v>
      </c>
      <c r="F34810" s="38" t="s">
        <v>90</v>
      </c>
      <c r="G34810" s="49" t="str">
        <f t="shared" si="1"/>
        <v>22570</v>
      </c>
      <c r="H34810" s="49">
        <f t="shared" si="2"/>
        <v>22107</v>
      </c>
    </row>
    <row r="34811">
      <c r="A34811" s="48" t="s">
        <v>2159</v>
      </c>
      <c r="B34811" s="38">
        <v>57728.0</v>
      </c>
      <c r="C34811" s="38" t="s">
        <v>38989</v>
      </c>
      <c r="D34811" s="38" t="str">
        <f>IFERROR(__xludf.DUMMYFUNCTION("REGEXREPLACE(C34811,""-\d+(.*)|--\d+(.*)"","""")"),"VOIMHAUT")</f>
        <v>VOIMHAUT</v>
      </c>
      <c r="E34811" s="38" t="s">
        <v>303</v>
      </c>
      <c r="F34811" s="38" t="s">
        <v>195</v>
      </c>
      <c r="G34811" s="49" t="str">
        <f t="shared" si="1"/>
        <v>57580</v>
      </c>
      <c r="H34811" s="49">
        <f t="shared" si="2"/>
        <v>57728</v>
      </c>
    </row>
    <row r="34812">
      <c r="A34812" s="48" t="s">
        <v>9660</v>
      </c>
      <c r="B34812" s="38">
        <v>89043.0</v>
      </c>
      <c r="C34812" s="38" t="s">
        <v>25387</v>
      </c>
      <c r="D34812" s="38" t="str">
        <f>IFERROR(__xludf.DUMMYFUNCTION("REGEXREPLACE(C34812,""-\d+(.*)|--\d+(.*)"","""")"),"BLACY")</f>
        <v>BLACY</v>
      </c>
      <c r="E34812" s="38" t="s">
        <v>275</v>
      </c>
      <c r="F34812" s="38" t="s">
        <v>106</v>
      </c>
      <c r="G34812" s="49" t="str">
        <f t="shared" si="1"/>
        <v>89440</v>
      </c>
      <c r="H34812" s="49">
        <f t="shared" si="2"/>
        <v>89043</v>
      </c>
    </row>
    <row r="34813">
      <c r="A34813" s="48" t="s">
        <v>2059</v>
      </c>
      <c r="B34813" s="38">
        <v>37051.0</v>
      </c>
      <c r="C34813" s="38" t="s">
        <v>38990</v>
      </c>
      <c r="D34813" s="38" t="str">
        <f>IFERROR(__xludf.DUMMYFUNCTION("REGEXREPLACE(C34813,""-\d+(.*)|--\d+(.*)"","""")"),"CHAMPIGNY-SUR-VEUDE")</f>
        <v>CHAMPIGNY-SUR-VEUDE</v>
      </c>
      <c r="E34813" s="38" t="s">
        <v>205</v>
      </c>
      <c r="F34813" s="38" t="s">
        <v>123</v>
      </c>
      <c r="G34813" s="49" t="str">
        <f t="shared" si="1"/>
        <v>37120</v>
      </c>
      <c r="H34813" s="49">
        <f t="shared" si="2"/>
        <v>37051</v>
      </c>
    </row>
    <row r="34814">
      <c r="A34814" s="48" t="s">
        <v>3109</v>
      </c>
      <c r="B34814" s="38">
        <v>9132.0</v>
      </c>
      <c r="C34814" s="38" t="s">
        <v>38991</v>
      </c>
      <c r="D34814" s="38" t="str">
        <f>IFERROR(__xludf.DUMMYFUNCTION("REGEXREPLACE(C34814,""-\d+(.*)|--\d+(.*)"","""")"),"GAUDIES")</f>
        <v>GAUDIES</v>
      </c>
      <c r="E34814" s="38" t="s">
        <v>238</v>
      </c>
      <c r="F34814" s="38" t="s">
        <v>94</v>
      </c>
      <c r="G34814" s="49" t="str">
        <f t="shared" si="1"/>
        <v>09700</v>
      </c>
      <c r="H34814" s="49" t="str">
        <f t="shared" si="2"/>
        <v>09132</v>
      </c>
    </row>
    <row r="34815">
      <c r="A34815" s="48" t="s">
        <v>3967</v>
      </c>
      <c r="B34815" s="38">
        <v>50620.0</v>
      </c>
      <c r="C34815" s="38" t="s">
        <v>38992</v>
      </c>
      <c r="D34815" s="38" t="str">
        <f>IFERROR(__xludf.DUMMYFUNCTION("REGEXREPLACE(C34815,""-\d+(.*)|--\d+(.*)"","""")"),"VASTEVILLE")</f>
        <v>VASTEVILLE</v>
      </c>
      <c r="E34815" s="38" t="s">
        <v>157</v>
      </c>
      <c r="F34815" s="38" t="s">
        <v>138</v>
      </c>
      <c r="G34815" s="49" t="str">
        <f t="shared" si="1"/>
        <v>50440</v>
      </c>
      <c r="H34815" s="49">
        <f t="shared" si="2"/>
        <v>50620</v>
      </c>
    </row>
    <row r="34816">
      <c r="A34816" s="48" t="s">
        <v>3508</v>
      </c>
      <c r="B34816" s="38">
        <v>51578.0</v>
      </c>
      <c r="C34816" s="38" t="s">
        <v>38993</v>
      </c>
      <c r="D34816" s="38" t="str">
        <f>IFERROR(__xludf.DUMMYFUNCTION("REGEXREPLACE(C34816,""-\d+(.*)|--\d+(.*)"","""")"),"TRECON")</f>
        <v>TRECON</v>
      </c>
      <c r="E34816" s="38" t="s">
        <v>129</v>
      </c>
      <c r="F34816" s="38" t="s">
        <v>130</v>
      </c>
      <c r="G34816" s="49" t="str">
        <f t="shared" si="1"/>
        <v>51130</v>
      </c>
      <c r="H34816" s="49">
        <f t="shared" si="2"/>
        <v>51578</v>
      </c>
    </row>
    <row r="34817">
      <c r="A34817" s="48" t="s">
        <v>5325</v>
      </c>
      <c r="B34817" s="38">
        <v>60249.0</v>
      </c>
      <c r="C34817" s="38" t="s">
        <v>38994</v>
      </c>
      <c r="D34817" s="38" t="str">
        <f>IFERROR(__xludf.DUMMYFUNCTION("REGEXREPLACE(C34817,""-\d+(.*)|--\d+(.*)"","""")"),"FOULANGUES")</f>
        <v>FOULANGUES</v>
      </c>
      <c r="E34817" s="38" t="s">
        <v>112</v>
      </c>
      <c r="F34817" s="38" t="s">
        <v>113</v>
      </c>
      <c r="G34817" s="49" t="str">
        <f t="shared" si="1"/>
        <v>60250</v>
      </c>
      <c r="H34817" s="49">
        <f t="shared" si="2"/>
        <v>60249</v>
      </c>
    </row>
    <row r="34818">
      <c r="A34818" s="48" t="s">
        <v>5553</v>
      </c>
      <c r="B34818" s="38">
        <v>34132.0</v>
      </c>
      <c r="C34818" s="38" t="s">
        <v>38995</v>
      </c>
      <c r="D34818" s="38" t="str">
        <f>IFERROR(__xludf.DUMMYFUNCTION("REGEXREPLACE(C34818,""-\d+(.*)|--\d+(.*)"","""")"),"LAUROUX")</f>
        <v>LAUROUX</v>
      </c>
      <c r="E34818" s="38" t="s">
        <v>118</v>
      </c>
      <c r="F34818" s="38" t="s">
        <v>119</v>
      </c>
      <c r="G34818" s="49" t="str">
        <f t="shared" si="1"/>
        <v>34700</v>
      </c>
      <c r="H34818" s="49">
        <f t="shared" si="2"/>
        <v>34132</v>
      </c>
    </row>
    <row r="34819">
      <c r="A34819" s="48" t="s">
        <v>19465</v>
      </c>
      <c r="B34819" s="38">
        <v>16180.0</v>
      </c>
      <c r="C34819" s="38" t="s">
        <v>36878</v>
      </c>
      <c r="D34819" s="38" t="str">
        <f>IFERROR(__xludf.DUMMYFUNCTION("REGEXREPLACE(C34819,""-\d+(.*)|--\d+(.*)"","""")"),"LAPRADE")</f>
        <v>LAPRADE</v>
      </c>
      <c r="E34819" s="38" t="s">
        <v>429</v>
      </c>
      <c r="F34819" s="38" t="s">
        <v>338</v>
      </c>
      <c r="G34819" s="49" t="str">
        <f t="shared" si="1"/>
        <v>16390</v>
      </c>
      <c r="H34819" s="49">
        <f t="shared" si="2"/>
        <v>16180</v>
      </c>
    </row>
    <row r="34820">
      <c r="A34820" s="48" t="s">
        <v>715</v>
      </c>
      <c r="B34820" s="38">
        <v>88210.0</v>
      </c>
      <c r="C34820" s="38" t="s">
        <v>38996</v>
      </c>
      <c r="D34820" s="38" t="str">
        <f>IFERROR(__xludf.DUMMYFUNCTION("REGEXREPLACE(C34820,""-\d+(.*)|--\d+(.*)"","""")"),"GORHEY")</f>
        <v>GORHEY</v>
      </c>
      <c r="E34820" s="38" t="s">
        <v>194</v>
      </c>
      <c r="F34820" s="38" t="s">
        <v>195</v>
      </c>
      <c r="G34820" s="49" t="str">
        <f t="shared" si="1"/>
        <v>88270</v>
      </c>
      <c r="H34820" s="49">
        <f t="shared" si="2"/>
        <v>88210</v>
      </c>
    </row>
    <row r="34821">
      <c r="A34821" s="48" t="s">
        <v>11884</v>
      </c>
      <c r="B34821" s="38">
        <v>37069.0</v>
      </c>
      <c r="C34821" s="38" t="s">
        <v>38997</v>
      </c>
      <c r="D34821" s="38" t="str">
        <f>IFERROR(__xludf.DUMMYFUNCTION("REGEXREPLACE(C34821,""-\d+(.*)|--\d+(.*)"","""")"),"CHEMILLE-SUR-INDROIS")</f>
        <v>CHEMILLE-SUR-INDROIS</v>
      </c>
      <c r="E34821" s="38" t="s">
        <v>205</v>
      </c>
      <c r="F34821" s="38" t="s">
        <v>123</v>
      </c>
      <c r="G34821" s="49" t="str">
        <f t="shared" si="1"/>
        <v>37460</v>
      </c>
      <c r="H34821" s="49">
        <f t="shared" si="2"/>
        <v>37069</v>
      </c>
    </row>
    <row r="34822">
      <c r="A34822" s="48" t="s">
        <v>918</v>
      </c>
      <c r="B34822" s="38">
        <v>59043.0</v>
      </c>
      <c r="C34822" s="38" t="s">
        <v>1236</v>
      </c>
      <c r="D34822" s="38" t="str">
        <f>IFERROR(__xludf.DUMMYFUNCTION("REGEXREPLACE(C34822,""-\d+(.*)|--\d+(.*)"","""")"),"BAILLEUL")</f>
        <v>BAILLEUL</v>
      </c>
      <c r="E34822" s="38" t="s">
        <v>85</v>
      </c>
      <c r="F34822" s="38" t="s">
        <v>86</v>
      </c>
      <c r="G34822" s="49" t="str">
        <f t="shared" si="1"/>
        <v>59270</v>
      </c>
      <c r="H34822" s="49">
        <f t="shared" si="2"/>
        <v>59043</v>
      </c>
    </row>
    <row r="34823">
      <c r="A34823" s="48" t="s">
        <v>3718</v>
      </c>
      <c r="B34823" s="38">
        <v>62112.0</v>
      </c>
      <c r="C34823" s="38" t="s">
        <v>38998</v>
      </c>
      <c r="D34823" s="38" t="str">
        <f>IFERROR(__xludf.DUMMYFUNCTION("REGEXREPLACE(C34823,""-\d+(.*)|--\d+(.*)"","""")"),"BERLES-AU-BOIS")</f>
        <v>BERLES-AU-BOIS</v>
      </c>
      <c r="E34823" s="38" t="s">
        <v>109</v>
      </c>
      <c r="F34823" s="38" t="s">
        <v>86</v>
      </c>
      <c r="G34823" s="49" t="str">
        <f t="shared" si="1"/>
        <v>62123</v>
      </c>
      <c r="H34823" s="49">
        <f t="shared" si="2"/>
        <v>62112</v>
      </c>
    </row>
    <row r="34824">
      <c r="A34824" s="48" t="s">
        <v>5732</v>
      </c>
      <c r="B34824" s="38">
        <v>12078.0</v>
      </c>
      <c r="C34824" s="38" t="s">
        <v>38999</v>
      </c>
      <c r="D34824" s="38" t="str">
        <f>IFERROR(__xludf.DUMMYFUNCTION("REGEXREPLACE(C34824,""-\d+(.*)|--\d+(.*)"","""")"),"LES COSTES-GOZON")</f>
        <v>LES COSTES-GOZON</v>
      </c>
      <c r="E34824" s="38" t="s">
        <v>465</v>
      </c>
      <c r="F34824" s="38" t="s">
        <v>94</v>
      </c>
      <c r="G34824" s="49" t="str">
        <f t="shared" si="1"/>
        <v>12400</v>
      </c>
      <c r="H34824" s="49">
        <f t="shared" si="2"/>
        <v>12078</v>
      </c>
    </row>
    <row r="34825">
      <c r="A34825" s="48" t="s">
        <v>3109</v>
      </c>
      <c r="B34825" s="38">
        <v>9117.0</v>
      </c>
      <c r="C34825" s="38" t="s">
        <v>39000</v>
      </c>
      <c r="D34825" s="38" t="str">
        <f>IFERROR(__xludf.DUMMYFUNCTION("REGEXREPLACE(C34825,""-\d+(.*)|--\d+(.*)"","""")"),"ESPLAS")</f>
        <v>ESPLAS</v>
      </c>
      <c r="E34825" s="38" t="s">
        <v>238</v>
      </c>
      <c r="F34825" s="38" t="s">
        <v>94</v>
      </c>
      <c r="G34825" s="49" t="str">
        <f t="shared" si="1"/>
        <v>09700</v>
      </c>
      <c r="H34825" s="49" t="str">
        <f t="shared" si="2"/>
        <v>09117</v>
      </c>
    </row>
    <row r="34826">
      <c r="A34826" s="48" t="s">
        <v>5130</v>
      </c>
      <c r="B34826" s="38">
        <v>19060.0</v>
      </c>
      <c r="C34826" s="38" t="s">
        <v>39001</v>
      </c>
      <c r="D34826" s="38" t="str">
        <f>IFERROR(__xludf.DUMMYFUNCTION("REGEXREPLACE(C34826,""-\d+(.*)|--\d+(.*)"","""")"),"CONDAT-SUR-GANAVEIX")</f>
        <v>CONDAT-SUR-GANAVEIX</v>
      </c>
      <c r="E34826" s="38" t="s">
        <v>271</v>
      </c>
      <c r="F34826" s="38" t="s">
        <v>98</v>
      </c>
      <c r="G34826" s="49" t="str">
        <f t="shared" si="1"/>
        <v>19140</v>
      </c>
      <c r="H34826" s="49">
        <f t="shared" si="2"/>
        <v>19060</v>
      </c>
    </row>
    <row r="34827">
      <c r="A34827" s="48" t="s">
        <v>3789</v>
      </c>
      <c r="B34827" s="38">
        <v>51064.0</v>
      </c>
      <c r="C34827" s="38" t="s">
        <v>39002</v>
      </c>
      <c r="D34827" s="38" t="str">
        <f>IFERROR(__xludf.DUMMYFUNCTION("REGEXREPLACE(C34827,""-\d+(.*)|--\d+(.*)"","""")"),"BISSEUIL")</f>
        <v>BISSEUIL</v>
      </c>
      <c r="E34827" s="38" t="s">
        <v>129</v>
      </c>
      <c r="F34827" s="38" t="s">
        <v>130</v>
      </c>
      <c r="G34827" s="49" t="str">
        <f t="shared" si="1"/>
        <v>51150</v>
      </c>
      <c r="H34827" s="49">
        <f t="shared" si="2"/>
        <v>51064</v>
      </c>
    </row>
    <row r="34828">
      <c r="A34828" s="48" t="s">
        <v>3400</v>
      </c>
      <c r="B34828" s="38">
        <v>89426.0</v>
      </c>
      <c r="C34828" s="38" t="s">
        <v>39003</v>
      </c>
      <c r="D34828" s="38" t="str">
        <f>IFERROR(__xludf.DUMMYFUNCTION("REGEXREPLACE(C34828,""-\d+(.*)|--\d+(.*)"","""")"),"VAL-DE-MERCY")</f>
        <v>VAL-DE-MERCY</v>
      </c>
      <c r="E34828" s="38" t="s">
        <v>275</v>
      </c>
      <c r="F34828" s="38" t="s">
        <v>106</v>
      </c>
      <c r="G34828" s="49" t="str">
        <f t="shared" si="1"/>
        <v>89580</v>
      </c>
      <c r="H34828" s="49">
        <f t="shared" si="2"/>
        <v>89426</v>
      </c>
    </row>
    <row r="34829">
      <c r="A34829" s="48" t="s">
        <v>1381</v>
      </c>
      <c r="B34829" s="38">
        <v>62418.0</v>
      </c>
      <c r="C34829" s="38" t="s">
        <v>12830</v>
      </c>
      <c r="D34829" s="38" t="str">
        <f>IFERROR(__xludf.DUMMYFUNCTION("REGEXREPLACE(C34829,""-\d+(.*)|--\d+(.*)"","""")"),"HAUTEVILLE")</f>
        <v>HAUTEVILLE</v>
      </c>
      <c r="E34829" s="38" t="s">
        <v>109</v>
      </c>
      <c r="F34829" s="38" t="s">
        <v>86</v>
      </c>
      <c r="G34829" s="49" t="str">
        <f t="shared" si="1"/>
        <v>62810</v>
      </c>
      <c r="H34829" s="49">
        <f t="shared" si="2"/>
        <v>62418</v>
      </c>
    </row>
    <row r="34830">
      <c r="A34830" s="48" t="s">
        <v>1398</v>
      </c>
      <c r="B34830" s="38">
        <v>45069.0</v>
      </c>
      <c r="C34830" s="38" t="s">
        <v>39004</v>
      </c>
      <c r="D34830" s="38" t="str">
        <f>IFERROR(__xludf.DUMMYFUNCTION("REGEXREPLACE(C34830,""-\d+(.*)|--\d+(.*)"","""")"),"CHAMBON-LA-FORET")</f>
        <v>CHAMBON-LA-FORET</v>
      </c>
      <c r="E34830" s="38" t="s">
        <v>122</v>
      </c>
      <c r="F34830" s="38" t="s">
        <v>123</v>
      </c>
      <c r="G34830" s="49" t="str">
        <f t="shared" si="1"/>
        <v>45340</v>
      </c>
      <c r="H34830" s="49">
        <f t="shared" si="2"/>
        <v>45069</v>
      </c>
    </row>
    <row r="34831">
      <c r="A34831" s="48" t="s">
        <v>39005</v>
      </c>
      <c r="B34831" s="38">
        <v>67363.0</v>
      </c>
      <c r="C34831" s="38" t="s">
        <v>39006</v>
      </c>
      <c r="D34831" s="38" t="str">
        <f>IFERROR(__xludf.DUMMYFUNCTION("REGEXREPLACE(C34831,""-\d+(.*)|--\d+(.*)"","""")"),"OSTHOFFEN")</f>
        <v>OSTHOFFEN</v>
      </c>
      <c r="E34831" s="38" t="s">
        <v>210</v>
      </c>
      <c r="F34831" s="38" t="s">
        <v>151</v>
      </c>
      <c r="G34831" s="49" t="str">
        <f t="shared" si="1"/>
        <v>67990</v>
      </c>
      <c r="H34831" s="49">
        <f t="shared" si="2"/>
        <v>67363</v>
      </c>
    </row>
    <row r="34832">
      <c r="A34832" s="48" t="s">
        <v>6301</v>
      </c>
      <c r="B34832" s="38">
        <v>81285.0</v>
      </c>
      <c r="C34832" s="38" t="s">
        <v>39007</v>
      </c>
      <c r="D34832" s="38" t="str">
        <f>IFERROR(__xludf.DUMMYFUNCTION("REGEXREPLACE(C34832,""-\d+(.*)|--\d+(.*)"","""")"),"SERENAC")</f>
        <v>SERENAC</v>
      </c>
      <c r="E34832" s="38" t="s">
        <v>231</v>
      </c>
      <c r="F34832" s="38" t="s">
        <v>94</v>
      </c>
      <c r="G34832" s="49" t="str">
        <f t="shared" si="1"/>
        <v>81350</v>
      </c>
      <c r="H34832" s="49">
        <f t="shared" si="2"/>
        <v>81285</v>
      </c>
    </row>
    <row r="34833">
      <c r="A34833" s="48" t="s">
        <v>2501</v>
      </c>
      <c r="B34833" s="38">
        <v>31352.0</v>
      </c>
      <c r="C34833" s="38" t="s">
        <v>39008</v>
      </c>
      <c r="D34833" s="38" t="str">
        <f>IFERROR(__xludf.DUMMYFUNCTION("REGEXREPLACE(C34833,""-\d+(.*)|--\d+(.*)"","""")"),"MONDOUZIL")</f>
        <v>MONDOUZIL</v>
      </c>
      <c r="E34833" s="38" t="s">
        <v>93</v>
      </c>
      <c r="F34833" s="38" t="s">
        <v>94</v>
      </c>
      <c r="G34833" s="49" t="str">
        <f t="shared" si="1"/>
        <v>31850</v>
      </c>
      <c r="H34833" s="49">
        <f t="shared" si="2"/>
        <v>31352</v>
      </c>
    </row>
    <row r="34834">
      <c r="A34834" s="48" t="s">
        <v>3772</v>
      </c>
      <c r="B34834" s="38">
        <v>45183.0</v>
      </c>
      <c r="C34834" s="38" t="s">
        <v>39009</v>
      </c>
      <c r="D34834" s="38" t="str">
        <f>IFERROR(__xludf.DUMMYFUNCTION("REGEXREPLACE(C34834,""-\d+(.*)|--\d+(.*)"","""")"),"LION-EN-BEAUCE")</f>
        <v>LION-EN-BEAUCE</v>
      </c>
      <c r="E34834" s="38" t="s">
        <v>122</v>
      </c>
      <c r="F34834" s="38" t="s">
        <v>123</v>
      </c>
      <c r="G34834" s="49" t="str">
        <f t="shared" si="1"/>
        <v>45410</v>
      </c>
      <c r="H34834" s="49">
        <f t="shared" si="2"/>
        <v>45183</v>
      </c>
    </row>
    <row r="34835">
      <c r="A34835" s="48" t="s">
        <v>3048</v>
      </c>
      <c r="B34835" s="38">
        <v>21335.0</v>
      </c>
      <c r="C34835" s="38" t="s">
        <v>39010</v>
      </c>
      <c r="D34835" s="38" t="str">
        <f>IFERROR(__xludf.DUMMYFUNCTION("REGEXREPLACE(C34835,""-\d+(.*)|--\d+(.*)"","""")"),"LACOUR-D'ARCENAY")</f>
        <v>LACOUR-D'ARCENAY</v>
      </c>
      <c r="E34835" s="38" t="s">
        <v>105</v>
      </c>
      <c r="F34835" s="38" t="s">
        <v>106</v>
      </c>
      <c r="G34835" s="49" t="str">
        <f t="shared" si="1"/>
        <v>21210</v>
      </c>
      <c r="H34835" s="49">
        <f t="shared" si="2"/>
        <v>21335</v>
      </c>
    </row>
    <row r="34836">
      <c r="A34836" s="48" t="s">
        <v>2241</v>
      </c>
      <c r="B34836" s="38">
        <v>3195.0</v>
      </c>
      <c r="C34836" s="38" t="s">
        <v>39011</v>
      </c>
      <c r="D34836" s="38" t="str">
        <f>IFERROR(__xludf.DUMMYFUNCTION("REGEXREPLACE(C34836,""-\d+(.*)|--\d+(.*)"","""")"),"NERIS-LES-BAINS")</f>
        <v>NERIS-LES-BAINS</v>
      </c>
      <c r="E34836" s="38" t="s">
        <v>160</v>
      </c>
      <c r="F34836" s="38" t="s">
        <v>161</v>
      </c>
      <c r="G34836" s="49" t="str">
        <f t="shared" si="1"/>
        <v>03310</v>
      </c>
      <c r="H34836" s="49" t="str">
        <f t="shared" si="2"/>
        <v>03195</v>
      </c>
    </row>
    <row r="34837">
      <c r="A34837" s="48" t="s">
        <v>1199</v>
      </c>
      <c r="B34837" s="38">
        <v>55005.0</v>
      </c>
      <c r="C34837" s="38" t="s">
        <v>39012</v>
      </c>
      <c r="D34837" s="38" t="str">
        <f>IFERROR(__xludf.DUMMYFUNCTION("REGEXREPLACE(C34837,""-\d+(.*)|--\d+(.*)"","""")"),"AMANTY")</f>
        <v>AMANTY</v>
      </c>
      <c r="E34837" s="38" t="s">
        <v>322</v>
      </c>
      <c r="F34837" s="38" t="s">
        <v>195</v>
      </c>
      <c r="G34837" s="49" t="str">
        <f t="shared" si="1"/>
        <v>55130</v>
      </c>
      <c r="H34837" s="49">
        <f t="shared" si="2"/>
        <v>55005</v>
      </c>
    </row>
    <row r="34838">
      <c r="A34838" s="48" t="s">
        <v>3965</v>
      </c>
      <c r="B34838" s="38">
        <v>33155.0</v>
      </c>
      <c r="C34838" s="38" t="s">
        <v>39013</v>
      </c>
      <c r="D34838" s="38" t="str">
        <f>IFERROR(__xludf.DUMMYFUNCTION("REGEXREPLACE(C34838,""-\d+(.*)|--\d+(.*)"","""")"),"ESCAUDES")</f>
        <v>ESCAUDES</v>
      </c>
      <c r="E34838" s="38" t="s">
        <v>462</v>
      </c>
      <c r="F34838" s="38" t="s">
        <v>252</v>
      </c>
      <c r="G34838" s="49" t="str">
        <f t="shared" si="1"/>
        <v>33840</v>
      </c>
      <c r="H34838" s="49">
        <f t="shared" si="2"/>
        <v>33155</v>
      </c>
    </row>
    <row r="34839">
      <c r="A34839" s="48" t="s">
        <v>14379</v>
      </c>
      <c r="B34839" s="38">
        <v>35015.0</v>
      </c>
      <c r="C34839" s="38" t="s">
        <v>39014</v>
      </c>
      <c r="D34839" s="38" t="str">
        <f>IFERROR(__xludf.DUMMYFUNCTION("REGEXREPLACE(C34839,""-\d+(.*)|--\d+(.*)"","""")"),"BALAZE")</f>
        <v>BALAZE</v>
      </c>
      <c r="E34839" s="38" t="s">
        <v>347</v>
      </c>
      <c r="F34839" s="38" t="s">
        <v>90</v>
      </c>
      <c r="G34839" s="49" t="str">
        <f t="shared" si="1"/>
        <v>35500</v>
      </c>
      <c r="H34839" s="49">
        <f t="shared" si="2"/>
        <v>35015</v>
      </c>
    </row>
    <row r="34840">
      <c r="A34840" s="48" t="s">
        <v>4088</v>
      </c>
      <c r="B34840" s="38">
        <v>39061.0</v>
      </c>
      <c r="C34840" s="38" t="s">
        <v>39015</v>
      </c>
      <c r="D34840" s="38" t="str">
        <f>IFERROR(__xludf.DUMMYFUNCTION("REGEXREPLACE(C34840,""-\d+(.*)|--\d+(.*)"","""")"),"BOISSIA")</f>
        <v>BOISSIA</v>
      </c>
      <c r="E34840" s="38" t="s">
        <v>400</v>
      </c>
      <c r="F34840" s="38" t="s">
        <v>214</v>
      </c>
      <c r="G34840" s="49" t="str">
        <f t="shared" si="1"/>
        <v>39130</v>
      </c>
      <c r="H34840" s="49">
        <f t="shared" si="2"/>
        <v>39061</v>
      </c>
    </row>
    <row r="34841">
      <c r="A34841" s="48" t="s">
        <v>2955</v>
      </c>
      <c r="B34841" s="38">
        <v>76643.0</v>
      </c>
      <c r="C34841" s="38" t="s">
        <v>39016</v>
      </c>
      <c r="D34841" s="38" t="str">
        <f>IFERROR(__xludf.DUMMYFUNCTION("REGEXREPLACE(C34841,""-\d+(.*)|--\d+(.*)"","""")"),"SAINT-QUENTIN-AU-BOSC")</f>
        <v>SAINT-QUENTIN-AU-BOSC</v>
      </c>
      <c r="E34841" s="38" t="s">
        <v>133</v>
      </c>
      <c r="F34841" s="38" t="s">
        <v>134</v>
      </c>
      <c r="G34841" s="49" t="str">
        <f t="shared" si="1"/>
        <v>76630</v>
      </c>
      <c r="H34841" s="49">
        <f t="shared" si="2"/>
        <v>76643</v>
      </c>
    </row>
    <row r="34842">
      <c r="A34842" s="48" t="s">
        <v>3967</v>
      </c>
      <c r="B34842" s="38">
        <v>50020.0</v>
      </c>
      <c r="C34842" s="38" t="s">
        <v>39017</v>
      </c>
      <c r="D34842" s="38" t="str">
        <f>IFERROR(__xludf.DUMMYFUNCTION("REGEXREPLACE(C34842,""-\d+(.*)|--\d+(.*)"","""")"),"AUDERVILLE")</f>
        <v>AUDERVILLE</v>
      </c>
      <c r="E34842" s="38" t="s">
        <v>157</v>
      </c>
      <c r="F34842" s="38" t="s">
        <v>138</v>
      </c>
      <c r="G34842" s="49" t="str">
        <f t="shared" si="1"/>
        <v>50440</v>
      </c>
      <c r="H34842" s="49">
        <f t="shared" si="2"/>
        <v>50020</v>
      </c>
    </row>
    <row r="34843">
      <c r="A34843" s="48" t="s">
        <v>10141</v>
      </c>
      <c r="B34843" s="38">
        <v>31091.0</v>
      </c>
      <c r="C34843" s="38" t="s">
        <v>39018</v>
      </c>
      <c r="D34843" s="38" t="str">
        <f>IFERROR(__xludf.DUMMYFUNCTION("REGEXREPLACE(C34843,""-\d+(.*)|--\d+(.*)"","""")"),"BRUGUIERES")</f>
        <v>BRUGUIERES</v>
      </c>
      <c r="E34843" s="38" t="s">
        <v>93</v>
      </c>
      <c r="F34843" s="38" t="s">
        <v>94</v>
      </c>
      <c r="G34843" s="49" t="str">
        <f t="shared" si="1"/>
        <v>31150</v>
      </c>
      <c r="H34843" s="49">
        <f t="shared" si="2"/>
        <v>31091</v>
      </c>
    </row>
    <row r="34844">
      <c r="A34844" s="48" t="s">
        <v>10369</v>
      </c>
      <c r="B34844" s="38">
        <v>88234.0</v>
      </c>
      <c r="C34844" s="38" t="s">
        <v>39019</v>
      </c>
      <c r="D34844" s="38" t="str">
        <f>IFERROR(__xludf.DUMMYFUNCTION("REGEXREPLACE(C34844,""-\d+(.*)|--\d+(.*)"","""")"),"HARSAULT")</f>
        <v>HARSAULT</v>
      </c>
      <c r="E34844" s="38" t="s">
        <v>194</v>
      </c>
      <c r="F34844" s="38" t="s">
        <v>195</v>
      </c>
      <c r="G34844" s="49" t="str">
        <f t="shared" si="1"/>
        <v>88240</v>
      </c>
      <c r="H34844" s="49">
        <f t="shared" si="2"/>
        <v>88234</v>
      </c>
    </row>
    <row r="34845">
      <c r="A34845" s="48" t="s">
        <v>409</v>
      </c>
      <c r="B34845" s="38">
        <v>31165.0</v>
      </c>
      <c r="C34845" s="38" t="s">
        <v>39020</v>
      </c>
      <c r="D34845" s="38" t="str">
        <f>IFERROR(__xludf.DUMMYFUNCTION("REGEXREPLACE(C34845,""-\d+(.*)|--\d+(.*)"","""")"),"EAUNES")</f>
        <v>EAUNES</v>
      </c>
      <c r="E34845" s="38" t="s">
        <v>93</v>
      </c>
      <c r="F34845" s="38" t="s">
        <v>94</v>
      </c>
      <c r="G34845" s="49" t="str">
        <f t="shared" si="1"/>
        <v>31600</v>
      </c>
      <c r="H34845" s="49">
        <f t="shared" si="2"/>
        <v>31165</v>
      </c>
    </row>
    <row r="34846">
      <c r="A34846" s="48" t="s">
        <v>972</v>
      </c>
      <c r="B34846" s="38">
        <v>37005.0</v>
      </c>
      <c r="C34846" s="38" t="s">
        <v>39021</v>
      </c>
      <c r="D34846" s="38" t="str">
        <f>IFERROR(__xludf.DUMMYFUNCTION("REGEXREPLACE(C34846,""-\d+(.*)|--\d+(.*)"","""")"),"ANTOGNY-LE-TILLAC")</f>
        <v>ANTOGNY-LE-TILLAC</v>
      </c>
      <c r="E34846" s="38" t="s">
        <v>205</v>
      </c>
      <c r="F34846" s="38" t="s">
        <v>123</v>
      </c>
      <c r="G34846" s="49" t="str">
        <f t="shared" si="1"/>
        <v>37800</v>
      </c>
      <c r="H34846" s="49">
        <f t="shared" si="2"/>
        <v>37005</v>
      </c>
    </row>
    <row r="34847">
      <c r="A34847" s="48" t="s">
        <v>5735</v>
      </c>
      <c r="B34847" s="38">
        <v>2701.0</v>
      </c>
      <c r="C34847" s="38" t="s">
        <v>39022</v>
      </c>
      <c r="D34847" s="38" t="str">
        <f>IFERROR(__xludf.DUMMYFUNCTION("REGEXREPLACE(C34847,""-\d+(.*)|--\d+(.*)"","""")"),"SAULCHERY")</f>
        <v>SAULCHERY</v>
      </c>
      <c r="E34847" s="38" t="s">
        <v>191</v>
      </c>
      <c r="F34847" s="38" t="s">
        <v>113</v>
      </c>
      <c r="G34847" s="49" t="str">
        <f t="shared" si="1"/>
        <v>02310</v>
      </c>
      <c r="H34847" s="49" t="str">
        <f t="shared" si="2"/>
        <v>02701</v>
      </c>
    </row>
    <row r="34848">
      <c r="A34848" s="48" t="s">
        <v>940</v>
      </c>
      <c r="B34848" s="38">
        <v>51181.0</v>
      </c>
      <c r="C34848" s="38" t="s">
        <v>39023</v>
      </c>
      <c r="D34848" s="38" t="str">
        <f>IFERROR(__xludf.DUMMYFUNCTION("REGEXREPLACE(C34848,""-\d+(.*)|--\d+(.*)"","""")"),"COURCELLES-SAPICOURT")</f>
        <v>COURCELLES-SAPICOURT</v>
      </c>
      <c r="E34848" s="38" t="s">
        <v>129</v>
      </c>
      <c r="F34848" s="38" t="s">
        <v>130</v>
      </c>
      <c r="G34848" s="49" t="str">
        <f t="shared" si="1"/>
        <v>51140</v>
      </c>
      <c r="H34848" s="49">
        <f t="shared" si="2"/>
        <v>51181</v>
      </c>
    </row>
    <row r="34849">
      <c r="A34849" s="48" t="s">
        <v>1501</v>
      </c>
      <c r="B34849" s="38">
        <v>39208.0</v>
      </c>
      <c r="C34849" s="38" t="s">
        <v>39024</v>
      </c>
      <c r="D34849" s="38" t="str">
        <f>IFERROR(__xludf.DUMMYFUNCTION("REGEXREPLACE(C34849,""-\d+(.*)|--\d+(.*)"","""")"),"ENTRE-DEUX-MONTS")</f>
        <v>ENTRE-DEUX-MONTS</v>
      </c>
      <c r="E34849" s="38" t="s">
        <v>400</v>
      </c>
      <c r="F34849" s="38" t="s">
        <v>214</v>
      </c>
      <c r="G34849" s="49" t="str">
        <f t="shared" si="1"/>
        <v>39150</v>
      </c>
      <c r="H34849" s="49">
        <f t="shared" si="2"/>
        <v>39208</v>
      </c>
    </row>
    <row r="34850">
      <c r="A34850" s="48" t="s">
        <v>22242</v>
      </c>
      <c r="B34850" s="38">
        <v>63143.0</v>
      </c>
      <c r="C34850" s="38" t="s">
        <v>39025</v>
      </c>
      <c r="D34850" s="38" t="str">
        <f>IFERROR(__xludf.DUMMYFUNCTION("REGEXREPLACE(C34850,""-\d+(.*)|--\d+(.*)"","""")"),"EFFIAT")</f>
        <v>EFFIAT</v>
      </c>
      <c r="E34850" s="38" t="s">
        <v>353</v>
      </c>
      <c r="F34850" s="38" t="s">
        <v>161</v>
      </c>
      <c r="G34850" s="49" t="str">
        <f t="shared" si="1"/>
        <v>63260</v>
      </c>
      <c r="H34850" s="49">
        <f t="shared" si="2"/>
        <v>63143</v>
      </c>
    </row>
    <row r="34851">
      <c r="A34851" s="48" t="s">
        <v>7544</v>
      </c>
      <c r="B34851" s="38">
        <v>95604.0</v>
      </c>
      <c r="C34851" s="38" t="s">
        <v>39026</v>
      </c>
      <c r="D34851" s="38" t="str">
        <f>IFERROR(__xludf.DUMMYFUNCTION("REGEXREPLACE(C34851,""-\d+(.*)|--\d+(.*)"","""")"),"SURVILLIERS")</f>
        <v>SURVILLIERS</v>
      </c>
      <c r="E34851" s="38" t="s">
        <v>541</v>
      </c>
      <c r="F34851" s="38" t="s">
        <v>245</v>
      </c>
      <c r="G34851" s="49" t="str">
        <f t="shared" si="1"/>
        <v>95470</v>
      </c>
      <c r="H34851" s="49">
        <f t="shared" si="2"/>
        <v>95604</v>
      </c>
    </row>
    <row r="34852">
      <c r="A34852" s="48" t="s">
        <v>10358</v>
      </c>
      <c r="B34852" s="38">
        <v>42034.0</v>
      </c>
      <c r="C34852" s="38" t="s">
        <v>18015</v>
      </c>
      <c r="D34852" s="38" t="str">
        <f>IFERROR(__xludf.DUMMYFUNCTION("REGEXREPLACE(C34852,""-\d+(.*)|--\d+(.*)"","""")"),"CERVIERES")</f>
        <v>CERVIERES</v>
      </c>
      <c r="E34852" s="38" t="s">
        <v>166</v>
      </c>
      <c r="F34852" s="38" t="s">
        <v>102</v>
      </c>
      <c r="G34852" s="49" t="str">
        <f t="shared" si="1"/>
        <v>42440</v>
      </c>
      <c r="H34852" s="49">
        <f t="shared" si="2"/>
        <v>42034</v>
      </c>
    </row>
    <row r="34853">
      <c r="A34853" s="48" t="s">
        <v>9905</v>
      </c>
      <c r="B34853" s="38">
        <v>65053.0</v>
      </c>
      <c r="C34853" s="38" t="s">
        <v>39027</v>
      </c>
      <c r="D34853" s="38" t="str">
        <f>IFERROR(__xludf.DUMMYFUNCTION("REGEXREPLACE(C34853,""-\d+(.*)|--\d+(.*)"","""")"),"AVEUX")</f>
        <v>AVEUX</v>
      </c>
      <c r="E34853" s="38" t="s">
        <v>200</v>
      </c>
      <c r="F34853" s="38" t="s">
        <v>94</v>
      </c>
      <c r="G34853" s="49" t="str">
        <f t="shared" si="1"/>
        <v>65370</v>
      </c>
      <c r="H34853" s="49">
        <f t="shared" si="2"/>
        <v>65053</v>
      </c>
    </row>
    <row r="34854">
      <c r="A34854" s="48" t="s">
        <v>2118</v>
      </c>
      <c r="B34854" s="38">
        <v>35350.0</v>
      </c>
      <c r="C34854" s="38" t="s">
        <v>39028</v>
      </c>
      <c r="D34854" s="38" t="str">
        <f>IFERROR(__xludf.DUMMYFUNCTION("REGEXREPLACE(C34854,""-\d+(.*)|--\d+(.*)"","""")"),"VERGEAL")</f>
        <v>VERGEAL</v>
      </c>
      <c r="E34854" s="38" t="s">
        <v>347</v>
      </c>
      <c r="F34854" s="38" t="s">
        <v>90</v>
      </c>
      <c r="G34854" s="49" t="str">
        <f t="shared" si="1"/>
        <v>35680</v>
      </c>
      <c r="H34854" s="49">
        <f t="shared" si="2"/>
        <v>35350</v>
      </c>
    </row>
    <row r="34855">
      <c r="A34855" s="48" t="s">
        <v>12894</v>
      </c>
      <c r="B34855" s="38">
        <v>48141.0</v>
      </c>
      <c r="C34855" s="38" t="s">
        <v>39029</v>
      </c>
      <c r="D34855" s="38" t="str">
        <f>IFERROR(__xludf.DUMMYFUNCTION("REGEXREPLACE(C34855,""-\d+(.*)|--\d+(.*)"","""")"),"MAS-SAINT-CHELY")</f>
        <v>MAS-SAINT-CHELY</v>
      </c>
      <c r="E34855" s="38" t="s">
        <v>154</v>
      </c>
      <c r="F34855" s="38" t="s">
        <v>119</v>
      </c>
      <c r="G34855" s="49" t="str">
        <f t="shared" si="1"/>
        <v>48210</v>
      </c>
      <c r="H34855" s="49">
        <f t="shared" si="2"/>
        <v>48141</v>
      </c>
    </row>
    <row r="34856">
      <c r="A34856" s="48" t="s">
        <v>9613</v>
      </c>
      <c r="B34856" s="38">
        <v>16120.0</v>
      </c>
      <c r="C34856" s="38" t="s">
        <v>39030</v>
      </c>
      <c r="D34856" s="38" t="str">
        <f>IFERROR(__xludf.DUMMYFUNCTION("REGEXREPLACE(C34856,""-\d+(.*)|--\d+(.*)"","""")"),"DIRAC")</f>
        <v>DIRAC</v>
      </c>
      <c r="E34856" s="38" t="s">
        <v>429</v>
      </c>
      <c r="F34856" s="38" t="s">
        <v>338</v>
      </c>
      <c r="G34856" s="49" t="str">
        <f t="shared" si="1"/>
        <v>16410</v>
      </c>
      <c r="H34856" s="49">
        <f t="shared" si="2"/>
        <v>16120</v>
      </c>
    </row>
    <row r="34857">
      <c r="A34857" s="48" t="s">
        <v>29086</v>
      </c>
      <c r="B34857" s="38">
        <v>89280.0</v>
      </c>
      <c r="C34857" s="38" t="s">
        <v>39031</v>
      </c>
      <c r="D34857" s="38" t="str">
        <f>IFERROR(__xludf.DUMMYFUNCTION("REGEXREPLACE(C34857,""-\d+(.*)|--\d+(.*)"","""")"),"NUITS")</f>
        <v>NUITS</v>
      </c>
      <c r="E34857" s="38" t="s">
        <v>275</v>
      </c>
      <c r="F34857" s="38" t="s">
        <v>106</v>
      </c>
      <c r="G34857" s="49" t="str">
        <f t="shared" si="1"/>
        <v>89390</v>
      </c>
      <c r="H34857" s="49">
        <f t="shared" si="2"/>
        <v>89280</v>
      </c>
    </row>
    <row r="34858">
      <c r="A34858" s="48" t="s">
        <v>15194</v>
      </c>
      <c r="B34858" s="38">
        <v>24324.0</v>
      </c>
      <c r="C34858" s="38" t="s">
        <v>39032</v>
      </c>
      <c r="D34858" s="38" t="str">
        <f>IFERROR(__xludf.DUMMYFUNCTION("REGEXREPLACE(C34858,""-\d+(.*)|--\d+(.*)"","""")"),"PEYRIGNAC")</f>
        <v>PEYRIGNAC</v>
      </c>
      <c r="E34858" s="38" t="s">
        <v>261</v>
      </c>
      <c r="F34858" s="38" t="s">
        <v>252</v>
      </c>
      <c r="G34858" s="49" t="str">
        <f t="shared" si="1"/>
        <v>24210</v>
      </c>
      <c r="H34858" s="49">
        <f t="shared" si="2"/>
        <v>24324</v>
      </c>
    </row>
    <row r="34859">
      <c r="A34859" s="48" t="s">
        <v>35840</v>
      </c>
      <c r="B34859" s="38">
        <v>66233.0</v>
      </c>
      <c r="C34859" s="38" t="s">
        <v>39033</v>
      </c>
      <c r="D34859" s="38" t="str">
        <f>IFERROR(__xludf.DUMMYFUNCTION("REGEXREPLACE(C34859,""-\d+(.*)|--\d+(.*)"","""")"),"VIVES")</f>
        <v>VIVES</v>
      </c>
      <c r="E34859" s="38" t="s">
        <v>248</v>
      </c>
      <c r="F34859" s="38" t="s">
        <v>119</v>
      </c>
      <c r="G34859" s="49" t="str">
        <f t="shared" si="1"/>
        <v>66490</v>
      </c>
      <c r="H34859" s="49">
        <f t="shared" si="2"/>
        <v>66233</v>
      </c>
    </row>
    <row r="34860">
      <c r="A34860" s="48" t="s">
        <v>276</v>
      </c>
      <c r="B34860" s="38">
        <v>11265.0</v>
      </c>
      <c r="C34860" s="38" t="s">
        <v>39034</v>
      </c>
      <c r="D34860" s="38" t="str">
        <f>IFERROR(__xludf.DUMMYFUNCTION("REGEXREPLACE(C34860,""-\d+(.*)|--\d+(.*)"","""")"),"NIORT-DE-SAULT")</f>
        <v>NIORT-DE-SAULT</v>
      </c>
      <c r="E34860" s="38" t="s">
        <v>278</v>
      </c>
      <c r="F34860" s="38" t="s">
        <v>119</v>
      </c>
      <c r="G34860" s="49" t="str">
        <f t="shared" si="1"/>
        <v>11140</v>
      </c>
      <c r="H34860" s="49">
        <f t="shared" si="2"/>
        <v>11265</v>
      </c>
    </row>
    <row r="34861">
      <c r="A34861" s="48" t="s">
        <v>2664</v>
      </c>
      <c r="B34861" s="38">
        <v>87046.0</v>
      </c>
      <c r="C34861" s="38" t="s">
        <v>39035</v>
      </c>
      <c r="D34861" s="38" t="str">
        <f>IFERROR(__xludf.DUMMYFUNCTION("REGEXREPLACE(C34861,""-\d+(.*)|--\d+(.*)"","""")"),"COGNAC-LA-FORET")</f>
        <v>COGNAC-LA-FORET</v>
      </c>
      <c r="E34861" s="38" t="s">
        <v>897</v>
      </c>
      <c r="F34861" s="38" t="s">
        <v>98</v>
      </c>
      <c r="G34861" s="49" t="str">
        <f t="shared" si="1"/>
        <v>87310</v>
      </c>
      <c r="H34861" s="49">
        <f t="shared" si="2"/>
        <v>87046</v>
      </c>
    </row>
    <row r="34862">
      <c r="A34862" s="48" t="s">
        <v>1520</v>
      </c>
      <c r="B34862" s="38">
        <v>16361.0</v>
      </c>
      <c r="C34862" s="38" t="s">
        <v>39036</v>
      </c>
      <c r="D34862" s="38" t="str">
        <f>IFERROR(__xludf.DUMMYFUNCTION("REGEXREPLACE(C34862,""-\d+(.*)|--\d+(.*)"","""")"),"SALLES-DE-VILLEFAGNAN")</f>
        <v>SALLES-DE-VILLEFAGNAN</v>
      </c>
      <c r="E34862" s="38" t="s">
        <v>429</v>
      </c>
      <c r="F34862" s="38" t="s">
        <v>338</v>
      </c>
      <c r="G34862" s="49" t="str">
        <f t="shared" si="1"/>
        <v>16700</v>
      </c>
      <c r="H34862" s="49">
        <f t="shared" si="2"/>
        <v>16361</v>
      </c>
    </row>
    <row r="34863">
      <c r="A34863" s="48" t="s">
        <v>1467</v>
      </c>
      <c r="B34863" s="38">
        <v>7139.0</v>
      </c>
      <c r="C34863" s="38" t="s">
        <v>39037</v>
      </c>
      <c r="D34863" s="38" t="str">
        <f>IFERROR(__xludf.DUMMYFUNCTION("REGEXREPLACE(C34863,""-\d+(.*)|--\d+(.*)"","""")"),"LAVIOLLE")</f>
        <v>LAVIOLLE</v>
      </c>
      <c r="E34863" s="38" t="s">
        <v>144</v>
      </c>
      <c r="F34863" s="38" t="s">
        <v>102</v>
      </c>
      <c r="G34863" s="49" t="str">
        <f t="shared" si="1"/>
        <v>07530</v>
      </c>
      <c r="H34863" s="49" t="str">
        <f t="shared" si="2"/>
        <v>07139</v>
      </c>
    </row>
    <row r="34864">
      <c r="A34864" s="48" t="s">
        <v>35250</v>
      </c>
      <c r="B34864" s="38">
        <v>23192.0</v>
      </c>
      <c r="C34864" s="38" t="s">
        <v>39038</v>
      </c>
      <c r="D34864" s="38" t="str">
        <f>IFERROR(__xludf.DUMMYFUNCTION("REGEXREPLACE(C34864,""-\d+(.*)|--\d+(.*)"","""")"),"SAINT-ETIENNE-DE-FURSAC")</f>
        <v>SAINT-ETIENNE-DE-FURSAC</v>
      </c>
      <c r="E34864" s="38" t="s">
        <v>97</v>
      </c>
      <c r="F34864" s="38" t="s">
        <v>98</v>
      </c>
      <c r="G34864" s="49" t="str">
        <f t="shared" si="1"/>
        <v>23290</v>
      </c>
      <c r="H34864" s="49">
        <f t="shared" si="2"/>
        <v>23192</v>
      </c>
    </row>
    <row r="34865">
      <c r="A34865" s="48" t="s">
        <v>3048</v>
      </c>
      <c r="B34865" s="38">
        <v>21328.0</v>
      </c>
      <c r="C34865" s="38" t="s">
        <v>39039</v>
      </c>
      <c r="D34865" s="38" t="str">
        <f>IFERROR(__xludf.DUMMYFUNCTION("REGEXREPLACE(C34865,""-\d+(.*)|--\d+(.*)"","""")"),"JUILLENAY")</f>
        <v>JUILLENAY</v>
      </c>
      <c r="E34865" s="38" t="s">
        <v>105</v>
      </c>
      <c r="F34865" s="38" t="s">
        <v>106</v>
      </c>
      <c r="G34865" s="49" t="str">
        <f t="shared" si="1"/>
        <v>21210</v>
      </c>
      <c r="H34865" s="49">
        <f t="shared" si="2"/>
        <v>21328</v>
      </c>
    </row>
    <row r="34866">
      <c r="A34866" s="48" t="s">
        <v>2239</v>
      </c>
      <c r="B34866" s="38">
        <v>87070.0</v>
      </c>
      <c r="C34866" s="38" t="s">
        <v>39040</v>
      </c>
      <c r="D34866" s="38" t="str">
        <f>IFERROR(__xludf.DUMMYFUNCTION("REGEXREPLACE(C34866,""-\d+(.*)|--\d+(.*)"","""")"),"LA GENEYTOUSE")</f>
        <v>LA GENEYTOUSE</v>
      </c>
      <c r="E34866" s="38" t="s">
        <v>897</v>
      </c>
      <c r="F34866" s="38" t="s">
        <v>98</v>
      </c>
      <c r="G34866" s="49" t="str">
        <f t="shared" si="1"/>
        <v>87400</v>
      </c>
      <c r="H34866" s="49">
        <f t="shared" si="2"/>
        <v>87070</v>
      </c>
    </row>
    <row r="34867">
      <c r="A34867" s="48" t="s">
        <v>1728</v>
      </c>
      <c r="B34867" s="38">
        <v>45198.0</v>
      </c>
      <c r="C34867" s="38" t="s">
        <v>39041</v>
      </c>
      <c r="D34867" s="38" t="str">
        <f>IFERROR(__xludf.DUMMYFUNCTION("REGEXREPLACE(C34867,""-\d+(.*)|--\d+(.*)"","""")"),"MARSAINVILLIERS")</f>
        <v>MARSAINVILLIERS</v>
      </c>
      <c r="E34867" s="38" t="s">
        <v>122</v>
      </c>
      <c r="F34867" s="38" t="s">
        <v>123</v>
      </c>
      <c r="G34867" s="49" t="str">
        <f t="shared" si="1"/>
        <v>45300</v>
      </c>
      <c r="H34867" s="49">
        <f t="shared" si="2"/>
        <v>45198</v>
      </c>
    </row>
    <row r="34868">
      <c r="A34868" s="48" t="s">
        <v>16073</v>
      </c>
      <c r="B34868" s="38">
        <v>25333.0</v>
      </c>
      <c r="C34868" s="38" t="s">
        <v>39042</v>
      </c>
      <c r="D34868" s="38" t="str">
        <f>IFERROR(__xludf.DUMMYFUNCTION("REGEXREPLACE(C34868,""-\d+(.*)|--\d+(.*)"","""")"),"LAVIRON")</f>
        <v>LAVIRON</v>
      </c>
      <c r="E34868" s="38" t="s">
        <v>213</v>
      </c>
      <c r="F34868" s="38" t="s">
        <v>214</v>
      </c>
      <c r="G34868" s="49" t="str">
        <f t="shared" si="1"/>
        <v>25510</v>
      </c>
      <c r="H34868" s="49">
        <f t="shared" si="2"/>
        <v>25333</v>
      </c>
    </row>
    <row r="34869">
      <c r="A34869" s="48" t="s">
        <v>721</v>
      </c>
      <c r="B34869" s="38">
        <v>14235.0</v>
      </c>
      <c r="C34869" s="38" t="s">
        <v>39043</v>
      </c>
      <c r="D34869" s="38" t="str">
        <f>IFERROR(__xludf.DUMMYFUNCTION("REGEXREPLACE(C34869,""-\d+(.*)|--\d+(.*)"","""")"),"ECRAMMEVILLE")</f>
        <v>ECRAMMEVILLE</v>
      </c>
      <c r="E34869" s="38" t="s">
        <v>137</v>
      </c>
      <c r="F34869" s="38" t="s">
        <v>138</v>
      </c>
      <c r="G34869" s="49" t="str">
        <f t="shared" si="1"/>
        <v>14710</v>
      </c>
      <c r="H34869" s="49">
        <f t="shared" si="2"/>
        <v>14235</v>
      </c>
    </row>
    <row r="34870">
      <c r="A34870" s="48" t="s">
        <v>15545</v>
      </c>
      <c r="B34870" s="38">
        <v>42318.0</v>
      </c>
      <c r="C34870" s="38" t="s">
        <v>39044</v>
      </c>
      <c r="D34870" s="38" t="str">
        <f>IFERROR(__xludf.DUMMYFUNCTION("REGEXREPLACE(C34870,""-\d+(.*)|--\d+(.*)"","""")"),"USSON-EN-FOREZ")</f>
        <v>USSON-EN-FOREZ</v>
      </c>
      <c r="E34870" s="38" t="s">
        <v>166</v>
      </c>
      <c r="F34870" s="38" t="s">
        <v>102</v>
      </c>
      <c r="G34870" s="49" t="str">
        <f t="shared" si="1"/>
        <v>42550</v>
      </c>
      <c r="H34870" s="49">
        <f t="shared" si="2"/>
        <v>42318</v>
      </c>
    </row>
    <row r="34871">
      <c r="A34871" s="48" t="s">
        <v>3681</v>
      </c>
      <c r="B34871" s="38">
        <v>39066.0</v>
      </c>
      <c r="C34871" s="38" t="s">
        <v>39045</v>
      </c>
      <c r="D34871" s="38" t="str">
        <f>IFERROR(__xludf.DUMMYFUNCTION("REGEXREPLACE(C34871,""-\d+(.*)|--\d+(.*)"","""")"),"BORNAY")</f>
        <v>BORNAY</v>
      </c>
      <c r="E34871" s="38" t="s">
        <v>400</v>
      </c>
      <c r="F34871" s="38" t="s">
        <v>214</v>
      </c>
      <c r="G34871" s="49" t="str">
        <f t="shared" si="1"/>
        <v>39570</v>
      </c>
      <c r="H34871" s="49">
        <f t="shared" si="2"/>
        <v>39066</v>
      </c>
    </row>
    <row r="34872">
      <c r="A34872" s="48" t="s">
        <v>39046</v>
      </c>
      <c r="B34872" s="38">
        <v>6123.0</v>
      </c>
      <c r="C34872" s="38" t="s">
        <v>39047</v>
      </c>
      <c r="D34872" s="38" t="str">
        <f>IFERROR(__xludf.DUMMYFUNCTION("REGEXREPLACE(C34872,""-\d+(.*)|--\d+(.*)"","""")"),"SAINT-LAURENT-DU-VAR")</f>
        <v>SAINT-LAURENT-DU-VAR</v>
      </c>
      <c r="E34872" s="38" t="s">
        <v>227</v>
      </c>
      <c r="F34872" s="38" t="s">
        <v>228</v>
      </c>
      <c r="G34872" s="49" t="str">
        <f t="shared" si="1"/>
        <v>06700</v>
      </c>
      <c r="H34872" s="49" t="str">
        <f t="shared" si="2"/>
        <v>06123</v>
      </c>
    </row>
    <row r="34873">
      <c r="A34873" s="48" t="s">
        <v>39048</v>
      </c>
      <c r="B34873" s="38">
        <v>93066.0</v>
      </c>
      <c r="C34873" s="38" t="s">
        <v>13659</v>
      </c>
      <c r="D34873" s="38" t="str">
        <f>IFERROR(__xludf.DUMMYFUNCTION("REGEXREPLACE(C34873,""-\d+(.*)|--\d+(.*)"","""")"),"SAINT-DENIS")</f>
        <v>SAINT-DENIS</v>
      </c>
      <c r="E34873" s="38" t="s">
        <v>341</v>
      </c>
      <c r="F34873" s="38" t="s">
        <v>245</v>
      </c>
      <c r="G34873" s="49" t="str">
        <f t="shared" si="1"/>
        <v>93200/93210</v>
      </c>
      <c r="H34873" s="49">
        <f t="shared" si="2"/>
        <v>93066</v>
      </c>
    </row>
    <row r="34874">
      <c r="A34874" s="48" t="s">
        <v>1446</v>
      </c>
      <c r="B34874" s="38">
        <v>76183.0</v>
      </c>
      <c r="C34874" s="38" t="s">
        <v>39049</v>
      </c>
      <c r="D34874" s="38" t="str">
        <f>IFERROR(__xludf.DUMMYFUNCTION("REGEXREPLACE(C34874,""-\d+(.*)|--\d+(.*)"","""")"),"COLLEVILLE")</f>
        <v>COLLEVILLE</v>
      </c>
      <c r="E34874" s="38" t="s">
        <v>133</v>
      </c>
      <c r="F34874" s="38" t="s">
        <v>134</v>
      </c>
      <c r="G34874" s="49" t="str">
        <f t="shared" si="1"/>
        <v>76400</v>
      </c>
      <c r="H34874" s="49">
        <f t="shared" si="2"/>
        <v>76183</v>
      </c>
    </row>
    <row r="34875">
      <c r="A34875" s="48" t="s">
        <v>734</v>
      </c>
      <c r="B34875" s="38">
        <v>54535.0</v>
      </c>
      <c r="C34875" s="38" t="s">
        <v>39050</v>
      </c>
      <c r="D34875" s="38" t="str">
        <f>IFERROR(__xludf.DUMMYFUNCTION("REGEXREPLACE(C34875,""-\d+(.*)|--\d+(.*)"","""")"),"TRONVILLE")</f>
        <v>TRONVILLE</v>
      </c>
      <c r="E34875" s="38" t="s">
        <v>548</v>
      </c>
      <c r="F34875" s="38" t="s">
        <v>195</v>
      </c>
      <c r="G34875" s="49" t="str">
        <f t="shared" si="1"/>
        <v>54800</v>
      </c>
      <c r="H34875" s="49">
        <f t="shared" si="2"/>
        <v>54535</v>
      </c>
    </row>
    <row r="34876">
      <c r="A34876" s="48" t="s">
        <v>610</v>
      </c>
      <c r="B34876" s="38">
        <v>26185.0</v>
      </c>
      <c r="C34876" s="38" t="s">
        <v>39051</v>
      </c>
      <c r="D34876" s="38" t="str">
        <f>IFERROR(__xludf.DUMMYFUNCTION("REGEXREPLACE(C34876,""-\d+(.*)|--\d+(.*)"","""")"),"MIRMANDE")</f>
        <v>MIRMANDE</v>
      </c>
      <c r="E34876" s="38" t="s">
        <v>126</v>
      </c>
      <c r="F34876" s="38" t="s">
        <v>102</v>
      </c>
      <c r="G34876" s="49" t="str">
        <f t="shared" si="1"/>
        <v>26270</v>
      </c>
      <c r="H34876" s="49">
        <f t="shared" si="2"/>
        <v>26185</v>
      </c>
    </row>
    <row r="34877">
      <c r="A34877" s="48" t="s">
        <v>3379</v>
      </c>
      <c r="B34877" s="38">
        <v>54045.0</v>
      </c>
      <c r="C34877" s="38" t="s">
        <v>39052</v>
      </c>
      <c r="D34877" s="38" t="str">
        <f>IFERROR(__xludf.DUMMYFUNCTION("REGEXREPLACE(C34877,""-\d+(.*)|--\d+(.*)"","""")"),"BARBONVILLE")</f>
        <v>BARBONVILLE</v>
      </c>
      <c r="E34877" s="38" t="s">
        <v>548</v>
      </c>
      <c r="F34877" s="38" t="s">
        <v>195</v>
      </c>
      <c r="G34877" s="49" t="str">
        <f t="shared" si="1"/>
        <v>54360</v>
      </c>
      <c r="H34877" s="49">
        <f t="shared" si="2"/>
        <v>54045</v>
      </c>
    </row>
    <row r="34878">
      <c r="A34878" s="48" t="s">
        <v>39053</v>
      </c>
      <c r="B34878" s="38">
        <v>16340.0</v>
      </c>
      <c r="C34878" s="38" t="s">
        <v>39054</v>
      </c>
      <c r="D34878" s="38" t="str">
        <f>IFERROR(__xludf.DUMMYFUNCTION("REGEXREPLACE(C34878,""-\d+(.*)|--\d+(.*)"","""")"),"SAINT-MEME-LES-CARRIERES")</f>
        <v>SAINT-MEME-LES-CARRIERES</v>
      </c>
      <c r="E34878" s="38" t="s">
        <v>429</v>
      </c>
      <c r="F34878" s="38" t="s">
        <v>338</v>
      </c>
      <c r="G34878" s="49" t="str">
        <f t="shared" si="1"/>
        <v>16720</v>
      </c>
      <c r="H34878" s="49">
        <f t="shared" si="2"/>
        <v>16340</v>
      </c>
    </row>
    <row r="34879">
      <c r="A34879" s="48" t="s">
        <v>39055</v>
      </c>
      <c r="B34879" s="38">
        <v>67343.0</v>
      </c>
      <c r="C34879" s="38" t="s">
        <v>39056</v>
      </c>
      <c r="D34879" s="38" t="str">
        <f>IFERROR(__xludf.DUMMYFUNCTION("REGEXREPLACE(C34879,""-\d+(.*)|--\d+(.*)"","""")"),"OBERHAUSBERGEN")</f>
        <v>OBERHAUSBERGEN</v>
      </c>
      <c r="E34879" s="38" t="s">
        <v>210</v>
      </c>
      <c r="F34879" s="38" t="s">
        <v>151</v>
      </c>
      <c r="G34879" s="49" t="str">
        <f t="shared" si="1"/>
        <v>67205</v>
      </c>
      <c r="H34879" s="49">
        <f t="shared" si="2"/>
        <v>67343</v>
      </c>
    </row>
    <row r="34880">
      <c r="A34880" s="48" t="s">
        <v>2882</v>
      </c>
      <c r="B34880" s="38">
        <v>76244.0</v>
      </c>
      <c r="C34880" s="38" t="s">
        <v>39057</v>
      </c>
      <c r="D34880" s="38" t="str">
        <f>IFERROR(__xludf.DUMMYFUNCTION("REGEXREPLACE(C34880,""-\d+(.*)|--\d+(.*)"","""")"),"ESCLAVELLES")</f>
        <v>ESCLAVELLES</v>
      </c>
      <c r="E34880" s="38" t="s">
        <v>133</v>
      </c>
      <c r="F34880" s="38" t="s">
        <v>134</v>
      </c>
      <c r="G34880" s="49" t="str">
        <f t="shared" si="1"/>
        <v>76270</v>
      </c>
      <c r="H34880" s="49">
        <f t="shared" si="2"/>
        <v>76244</v>
      </c>
    </row>
    <row r="34881">
      <c r="A34881" s="48" t="s">
        <v>9995</v>
      </c>
      <c r="B34881" s="38">
        <v>49329.0</v>
      </c>
      <c r="C34881" s="38" t="s">
        <v>39058</v>
      </c>
      <c r="D34881" s="38" t="str">
        <f>IFERROR(__xludf.DUMMYFUNCTION("REGEXREPLACE(C34881,""-\d+(.*)|--\d+(.*)"","""")"),"SAVENNIERES")</f>
        <v>SAVENNIERES</v>
      </c>
      <c r="E34881" s="38" t="s">
        <v>653</v>
      </c>
      <c r="F34881" s="38" t="s">
        <v>180</v>
      </c>
      <c r="G34881" s="49" t="str">
        <f t="shared" si="1"/>
        <v>49170</v>
      </c>
      <c r="H34881" s="49">
        <f t="shared" si="2"/>
        <v>49329</v>
      </c>
    </row>
    <row r="34882">
      <c r="A34882" s="48" t="s">
        <v>13638</v>
      </c>
      <c r="B34882" s="38">
        <v>56015.0</v>
      </c>
      <c r="C34882" s="38" t="s">
        <v>39059</v>
      </c>
      <c r="D34882" s="38" t="str">
        <f>IFERROR(__xludf.DUMMYFUNCTION("REGEXREPLACE(C34882,""-\d+(.*)|--\d+(.*)"","""")"),"BERRIC")</f>
        <v>BERRIC</v>
      </c>
      <c r="E34882" s="38" t="s">
        <v>173</v>
      </c>
      <c r="F34882" s="38" t="s">
        <v>90</v>
      </c>
      <c r="G34882" s="49" t="str">
        <f t="shared" si="1"/>
        <v>56230</v>
      </c>
      <c r="H34882" s="49">
        <f t="shared" si="2"/>
        <v>56015</v>
      </c>
    </row>
    <row r="34883">
      <c r="A34883" s="48" t="s">
        <v>15250</v>
      </c>
      <c r="B34883" s="38">
        <v>86036.0</v>
      </c>
      <c r="C34883" s="38" t="s">
        <v>39060</v>
      </c>
      <c r="D34883" s="38" t="str">
        <f>IFERROR(__xludf.DUMMYFUNCTION("REGEXREPLACE(C34883,""-\d+(.*)|--\d+(.*)"","""")"),"BOURNAND")</f>
        <v>BOURNAND</v>
      </c>
      <c r="E34883" s="38" t="s">
        <v>529</v>
      </c>
      <c r="F34883" s="38" t="s">
        <v>338</v>
      </c>
      <c r="G34883" s="49" t="str">
        <f t="shared" si="1"/>
        <v>86120</v>
      </c>
      <c r="H34883" s="49">
        <f t="shared" si="2"/>
        <v>86036</v>
      </c>
    </row>
    <row r="34884">
      <c r="A34884" s="48" t="s">
        <v>2893</v>
      </c>
      <c r="B34884" s="38">
        <v>27256.0</v>
      </c>
      <c r="C34884" s="38" t="s">
        <v>39061</v>
      </c>
      <c r="D34884" s="38" t="str">
        <f>IFERROR(__xludf.DUMMYFUNCTION("REGEXREPLACE(C34884,""-\d+(.*)|--\d+(.*)"","""")"),"LA FORET-DU-PARC")</f>
        <v>LA FORET-DU-PARC</v>
      </c>
      <c r="E34884" s="38" t="s">
        <v>241</v>
      </c>
      <c r="F34884" s="38" t="s">
        <v>134</v>
      </c>
      <c r="G34884" s="49" t="str">
        <f t="shared" si="1"/>
        <v>27220</v>
      </c>
      <c r="H34884" s="49">
        <f t="shared" si="2"/>
        <v>27256</v>
      </c>
    </row>
    <row r="34885">
      <c r="A34885" s="48" t="s">
        <v>15501</v>
      </c>
      <c r="B34885" s="38">
        <v>19106.0</v>
      </c>
      <c r="C34885" s="38" t="s">
        <v>39062</v>
      </c>
      <c r="D34885" s="38" t="str">
        <f>IFERROR(__xludf.DUMMYFUNCTION("REGEXREPLACE(C34885,""-\d+(.*)|--\d+(.*)"","""")"),"LAPLEAU")</f>
        <v>LAPLEAU</v>
      </c>
      <c r="E34885" s="38" t="s">
        <v>271</v>
      </c>
      <c r="F34885" s="38" t="s">
        <v>98</v>
      </c>
      <c r="G34885" s="49" t="str">
        <f t="shared" si="1"/>
        <v>19550</v>
      </c>
      <c r="H34885" s="49">
        <f t="shared" si="2"/>
        <v>19106</v>
      </c>
    </row>
    <row r="34886">
      <c r="A34886" s="48" t="s">
        <v>25556</v>
      </c>
      <c r="B34886" s="38">
        <v>68238.0</v>
      </c>
      <c r="C34886" s="38" t="s">
        <v>39063</v>
      </c>
      <c r="D34886" s="38" t="str">
        <f>IFERROR(__xludf.DUMMYFUNCTION("REGEXREPLACE(C34886,""-\d+(.*)|--\d+(.*)"","""")"),"NIFFER")</f>
        <v>NIFFER</v>
      </c>
      <c r="E34886" s="38" t="s">
        <v>150</v>
      </c>
      <c r="F34886" s="38" t="s">
        <v>151</v>
      </c>
      <c r="G34886" s="49" t="str">
        <f t="shared" si="1"/>
        <v>68680</v>
      </c>
      <c r="H34886" s="49">
        <f t="shared" si="2"/>
        <v>68238</v>
      </c>
    </row>
    <row r="34887">
      <c r="A34887" s="48" t="s">
        <v>5030</v>
      </c>
      <c r="B34887" s="38">
        <v>65451.0</v>
      </c>
      <c r="C34887" s="38" t="s">
        <v>39064</v>
      </c>
      <c r="D34887" s="38" t="str">
        <f>IFERROR(__xludf.DUMMYFUNCTION("REGEXREPLACE(C34887,""-\d+(.*)|--\d+(.*)"","""")"),"TREBONS")</f>
        <v>TREBONS</v>
      </c>
      <c r="E34887" s="38" t="s">
        <v>200</v>
      </c>
      <c r="F34887" s="38" t="s">
        <v>94</v>
      </c>
      <c r="G34887" s="49" t="str">
        <f t="shared" si="1"/>
        <v>65200</v>
      </c>
      <c r="H34887" s="49">
        <f t="shared" si="2"/>
        <v>65451</v>
      </c>
    </row>
    <row r="34888">
      <c r="A34888" s="48" t="s">
        <v>12681</v>
      </c>
      <c r="B34888" s="38">
        <v>2504.0</v>
      </c>
      <c r="C34888" s="38" t="s">
        <v>39065</v>
      </c>
      <c r="D34888" s="38" t="str">
        <f>IFERROR(__xludf.DUMMYFUNCTION("REGEXREPLACE(C34888,""-\d+(.*)|--\d+(.*)"","""")"),"MONTESCOURT-LIZEROLLES")</f>
        <v>MONTESCOURT-LIZEROLLES</v>
      </c>
      <c r="E34888" s="38" t="s">
        <v>191</v>
      </c>
      <c r="F34888" s="38" t="s">
        <v>113</v>
      </c>
      <c r="G34888" s="49" t="str">
        <f t="shared" si="1"/>
        <v>02440</v>
      </c>
      <c r="H34888" s="49" t="str">
        <f t="shared" si="2"/>
        <v>02504</v>
      </c>
    </row>
    <row r="34889">
      <c r="A34889" s="48" t="s">
        <v>1756</v>
      </c>
      <c r="B34889" s="38">
        <v>28004.0</v>
      </c>
      <c r="C34889" s="38" t="s">
        <v>22476</v>
      </c>
      <c r="D34889" s="38" t="str">
        <f>IFERROR(__xludf.DUMMYFUNCTION("REGEXREPLACE(C34889,""-\d+(.*)|--\d+(.*)"","""")"),"ALLONNES")</f>
        <v>ALLONNES</v>
      </c>
      <c r="E34889" s="38" t="s">
        <v>300</v>
      </c>
      <c r="F34889" s="38" t="s">
        <v>123</v>
      </c>
      <c r="G34889" s="49" t="str">
        <f t="shared" si="1"/>
        <v>28150</v>
      </c>
      <c r="H34889" s="49">
        <f t="shared" si="2"/>
        <v>28004</v>
      </c>
    </row>
    <row r="34890">
      <c r="A34890" s="48" t="s">
        <v>10892</v>
      </c>
      <c r="B34890" s="38">
        <v>47173.0</v>
      </c>
      <c r="C34890" s="38" t="s">
        <v>33697</v>
      </c>
      <c r="D34890" s="38" t="str">
        <f>IFERROR(__xludf.DUMMYFUNCTION("REGEXREPLACE(C34890,""-\d+(.*)|--\d+(.*)"","""")"),"MONCLAR")</f>
        <v>MONCLAR</v>
      </c>
      <c r="E34890" s="38" t="s">
        <v>251</v>
      </c>
      <c r="F34890" s="38" t="s">
        <v>252</v>
      </c>
      <c r="G34890" s="49" t="str">
        <f t="shared" si="1"/>
        <v>47380</v>
      </c>
      <c r="H34890" s="49">
        <f t="shared" si="2"/>
        <v>47173</v>
      </c>
    </row>
    <row r="34891">
      <c r="A34891" s="48" t="s">
        <v>18871</v>
      </c>
      <c r="B34891" s="38">
        <v>42067.0</v>
      </c>
      <c r="C34891" s="38" t="s">
        <v>4732</v>
      </c>
      <c r="D34891" s="38" t="str">
        <f>IFERROR(__xludf.DUMMYFUNCTION("REGEXREPLACE(C34891,""-\d+(.*)|--\d+(.*)"","""")"),"COLOMBIER")</f>
        <v>COLOMBIER</v>
      </c>
      <c r="E34891" s="38" t="s">
        <v>166</v>
      </c>
      <c r="F34891" s="38" t="s">
        <v>102</v>
      </c>
      <c r="G34891" s="49" t="str">
        <f t="shared" si="1"/>
        <v>42220</v>
      </c>
      <c r="H34891" s="49">
        <f t="shared" si="2"/>
        <v>42067</v>
      </c>
    </row>
    <row r="34892">
      <c r="A34892" s="48" t="s">
        <v>1345</v>
      </c>
      <c r="B34892" s="38">
        <v>46041.0</v>
      </c>
      <c r="C34892" s="38" t="s">
        <v>39066</v>
      </c>
      <c r="D34892" s="38" t="str">
        <f>IFERROR(__xludf.DUMMYFUNCTION("REGEXREPLACE(C34892,""-\d+(.*)|--\d+(.*)"","""")"),"CADRIEU")</f>
        <v>CADRIEU</v>
      </c>
      <c r="E34892" s="38" t="s">
        <v>185</v>
      </c>
      <c r="F34892" s="38" t="s">
        <v>94</v>
      </c>
      <c r="G34892" s="49" t="str">
        <f t="shared" si="1"/>
        <v>46160</v>
      </c>
      <c r="H34892" s="49">
        <f t="shared" si="2"/>
        <v>46041</v>
      </c>
    </row>
    <row r="34893">
      <c r="A34893" s="48" t="s">
        <v>2251</v>
      </c>
      <c r="B34893" s="38">
        <v>2030.0</v>
      </c>
      <c r="C34893" s="38" t="s">
        <v>39067</v>
      </c>
      <c r="D34893" s="38" t="str">
        <f>IFERROR(__xludf.DUMMYFUNCTION("REGEXREPLACE(C34893,""-\d+(.*)|--\d+(.*)"","""")"),"AUBENCHEUL-AUX-BOIS")</f>
        <v>AUBENCHEUL-AUX-BOIS</v>
      </c>
      <c r="E34893" s="38" t="s">
        <v>191</v>
      </c>
      <c r="F34893" s="38" t="s">
        <v>113</v>
      </c>
      <c r="G34893" s="49" t="str">
        <f t="shared" si="1"/>
        <v>02420</v>
      </c>
      <c r="H34893" s="49" t="str">
        <f t="shared" si="2"/>
        <v>02030</v>
      </c>
    </row>
    <row r="34894">
      <c r="A34894" s="48" t="s">
        <v>11794</v>
      </c>
      <c r="B34894" s="38">
        <v>12067.0</v>
      </c>
      <c r="C34894" s="38" t="s">
        <v>39068</v>
      </c>
      <c r="D34894" s="38" t="str">
        <f>IFERROR(__xludf.DUMMYFUNCTION("REGEXREPLACE(C34894,""-\d+(.*)|--\d+(.*)"","""")"),"LE CLAPIER")</f>
        <v>LE CLAPIER</v>
      </c>
      <c r="E34894" s="38" t="s">
        <v>465</v>
      </c>
      <c r="F34894" s="38" t="s">
        <v>94</v>
      </c>
      <c r="G34894" s="49" t="str">
        <f t="shared" si="1"/>
        <v>12540</v>
      </c>
      <c r="H34894" s="49">
        <f t="shared" si="2"/>
        <v>12067</v>
      </c>
    </row>
    <row r="34895">
      <c r="A34895" s="48" t="s">
        <v>5674</v>
      </c>
      <c r="B34895" s="38">
        <v>55132.0</v>
      </c>
      <c r="C34895" s="38" t="s">
        <v>39069</v>
      </c>
      <c r="D34895" s="38" t="str">
        <f>IFERROR(__xludf.DUMMYFUNCTION("REGEXREPLACE(C34895,""-\d+(.*)|--\d+(.*)"","""")"),"COUSANCES-LES-FORGES")</f>
        <v>COUSANCES-LES-FORGES</v>
      </c>
      <c r="E34895" s="38" t="s">
        <v>322</v>
      </c>
      <c r="F34895" s="38" t="s">
        <v>195</v>
      </c>
      <c r="G34895" s="49" t="str">
        <f t="shared" si="1"/>
        <v>55170</v>
      </c>
      <c r="H34895" s="49">
        <f t="shared" si="2"/>
        <v>55132</v>
      </c>
    </row>
    <row r="34896">
      <c r="A34896" s="48" t="s">
        <v>11152</v>
      </c>
      <c r="B34896" s="38">
        <v>61223.0</v>
      </c>
      <c r="C34896" s="38" t="s">
        <v>23809</v>
      </c>
      <c r="D34896" s="38" t="str">
        <f>IFERROR(__xludf.DUMMYFUNCTION("REGEXREPLACE(C34896,""-\d+(.*)|--\d+(.*)"","""")"),"LARCHAMP")</f>
        <v>LARCHAMP</v>
      </c>
      <c r="E34896" s="38" t="s">
        <v>141</v>
      </c>
      <c r="F34896" s="38" t="s">
        <v>138</v>
      </c>
      <c r="G34896" s="49" t="str">
        <f t="shared" si="1"/>
        <v>61800</v>
      </c>
      <c r="H34896" s="49">
        <f t="shared" si="2"/>
        <v>61223</v>
      </c>
    </row>
    <row r="34897">
      <c r="A34897" s="48" t="s">
        <v>5449</v>
      </c>
      <c r="B34897" s="38">
        <v>59596.0</v>
      </c>
      <c r="C34897" s="38" t="s">
        <v>39070</v>
      </c>
      <c r="D34897" s="38" t="str">
        <f>IFERROR(__xludf.DUMMYFUNCTION("REGEXREPLACE(C34897,""-\d+(.*)|--\d+(.*)"","""")"),"TILLOY-LEZ-MARCHIENNES")</f>
        <v>TILLOY-LEZ-MARCHIENNES</v>
      </c>
      <c r="E34897" s="38" t="s">
        <v>85</v>
      </c>
      <c r="F34897" s="38" t="s">
        <v>86</v>
      </c>
      <c r="G34897" s="49" t="str">
        <f t="shared" si="1"/>
        <v>59870</v>
      </c>
      <c r="H34897" s="49">
        <f t="shared" si="2"/>
        <v>59596</v>
      </c>
    </row>
    <row r="34898">
      <c r="A34898" s="48" t="s">
        <v>2156</v>
      </c>
      <c r="B34898" s="38">
        <v>26182.0</v>
      </c>
      <c r="C34898" s="38" t="s">
        <v>39071</v>
      </c>
      <c r="D34898" s="38" t="str">
        <f>IFERROR(__xludf.DUMMYFUNCTION("REGEXREPLACE(C34898,""-\d+(.*)|--\d+(.*)"","""")"),"MIRABEL-AUX-BARONNIES")</f>
        <v>MIRABEL-AUX-BARONNIES</v>
      </c>
      <c r="E34898" s="38" t="s">
        <v>126</v>
      </c>
      <c r="F34898" s="38" t="s">
        <v>102</v>
      </c>
      <c r="G34898" s="49" t="str">
        <f t="shared" si="1"/>
        <v>26110</v>
      </c>
      <c r="H34898" s="49">
        <f t="shared" si="2"/>
        <v>26182</v>
      </c>
    </row>
    <row r="34899">
      <c r="A34899" s="48" t="s">
        <v>18144</v>
      </c>
      <c r="B34899" s="38">
        <v>3121.0</v>
      </c>
      <c r="C34899" s="38" t="s">
        <v>39072</v>
      </c>
      <c r="D34899" s="38" t="str">
        <f>IFERROR(__xludf.DUMMYFUNCTION("REGEXREPLACE(C34899,""-\d+(.*)|--\d+(.*)"","""")"),"GENNETINES")</f>
        <v>GENNETINES</v>
      </c>
      <c r="E34899" s="38" t="s">
        <v>160</v>
      </c>
      <c r="F34899" s="38" t="s">
        <v>161</v>
      </c>
      <c r="G34899" s="49" t="str">
        <f t="shared" si="1"/>
        <v>03400</v>
      </c>
      <c r="H34899" s="49" t="str">
        <f t="shared" si="2"/>
        <v>03121</v>
      </c>
    </row>
    <row r="34900">
      <c r="A34900" s="48" t="s">
        <v>7239</v>
      </c>
      <c r="B34900" s="38">
        <v>24463.0</v>
      </c>
      <c r="C34900" s="38" t="s">
        <v>39073</v>
      </c>
      <c r="D34900" s="38" t="str">
        <f>IFERROR(__xludf.DUMMYFUNCTION("REGEXREPLACE(C34900,""-\d+(.*)|--\d+(.*)"","""")"),"SAINT-MEDARD-D'EXCIDEUIL")</f>
        <v>SAINT-MEDARD-D'EXCIDEUIL</v>
      </c>
      <c r="E34900" s="38" t="s">
        <v>261</v>
      </c>
      <c r="F34900" s="38" t="s">
        <v>252</v>
      </c>
      <c r="G34900" s="49" t="str">
        <f t="shared" si="1"/>
        <v>24160</v>
      </c>
      <c r="H34900" s="49">
        <f t="shared" si="2"/>
        <v>24463</v>
      </c>
    </row>
    <row r="34901">
      <c r="A34901" s="48" t="s">
        <v>3341</v>
      </c>
      <c r="B34901" s="38">
        <v>25096.0</v>
      </c>
      <c r="C34901" s="38" t="s">
        <v>39074</v>
      </c>
      <c r="D34901" s="38" t="str">
        <f>IFERROR(__xludf.DUMMYFUNCTION("REGEXREPLACE(C34901,""-\d+(.*)|--\d+(.*)"","""")"),"BREY-ET-MAISON-DU-BOIS")</f>
        <v>BREY-ET-MAISON-DU-BOIS</v>
      </c>
      <c r="E34901" s="38" t="s">
        <v>213</v>
      </c>
      <c r="F34901" s="38" t="s">
        <v>214</v>
      </c>
      <c r="G34901" s="49" t="str">
        <f t="shared" si="1"/>
        <v>25240</v>
      </c>
      <c r="H34901" s="49">
        <f t="shared" si="2"/>
        <v>25096</v>
      </c>
    </row>
    <row r="34902">
      <c r="A34902" s="48" t="s">
        <v>7037</v>
      </c>
      <c r="B34902" s="38">
        <v>34171.0</v>
      </c>
      <c r="C34902" s="38" t="s">
        <v>36468</v>
      </c>
      <c r="D34902" s="38" t="str">
        <f>IFERROR(__xludf.DUMMYFUNCTION("REGEXREPLACE(C34902,""-\d+(.*)|--\d+(.*)"","""")"),"MONTOULIEU")</f>
        <v>MONTOULIEU</v>
      </c>
      <c r="E34902" s="38" t="s">
        <v>118</v>
      </c>
      <c r="F34902" s="38" t="s">
        <v>119</v>
      </c>
      <c r="G34902" s="49" t="str">
        <f t="shared" si="1"/>
        <v>34190</v>
      </c>
      <c r="H34902" s="49">
        <f t="shared" si="2"/>
        <v>34171</v>
      </c>
    </row>
    <row r="34903">
      <c r="A34903" s="48" t="s">
        <v>4844</v>
      </c>
      <c r="B34903" s="38">
        <v>14310.0</v>
      </c>
      <c r="C34903" s="38" t="s">
        <v>39075</v>
      </c>
      <c r="D34903" s="38" t="str">
        <f>IFERROR(__xludf.DUMMYFUNCTION("REGEXREPLACE(C34903,""-\d+(.*)|--\d+(.*)"","""")"),"GRAINVILLE-LANGANNERIE")</f>
        <v>GRAINVILLE-LANGANNERIE</v>
      </c>
      <c r="E34903" s="38" t="s">
        <v>137</v>
      </c>
      <c r="F34903" s="38" t="s">
        <v>138</v>
      </c>
      <c r="G34903" s="49" t="str">
        <f t="shared" si="1"/>
        <v>14190</v>
      </c>
      <c r="H34903" s="49">
        <f t="shared" si="2"/>
        <v>14310</v>
      </c>
    </row>
    <row r="34904">
      <c r="A34904" s="48" t="s">
        <v>6125</v>
      </c>
      <c r="B34904" s="38">
        <v>38208.0</v>
      </c>
      <c r="C34904" s="38" t="s">
        <v>39076</v>
      </c>
      <c r="D34904" s="38" t="str">
        <f>IFERROR(__xludf.DUMMYFUNCTION("REGEXREPLACE(C34904,""-\d+(.*)|--\d+(.*)"","""")"),"LAVARS")</f>
        <v>LAVARS</v>
      </c>
      <c r="E34904" s="38" t="s">
        <v>101</v>
      </c>
      <c r="F34904" s="38" t="s">
        <v>102</v>
      </c>
      <c r="G34904" s="49" t="str">
        <f t="shared" si="1"/>
        <v>38710</v>
      </c>
      <c r="H34904" s="49">
        <f t="shared" si="2"/>
        <v>38208</v>
      </c>
    </row>
    <row r="34905">
      <c r="A34905" s="48" t="s">
        <v>2083</v>
      </c>
      <c r="B34905" s="38">
        <v>17047.0</v>
      </c>
      <c r="C34905" s="38" t="s">
        <v>15437</v>
      </c>
      <c r="D34905" s="38" t="str">
        <f>IFERROR(__xludf.DUMMYFUNCTION("REGEXREPLACE(C34905,""-\d+(.*)|--\d+(.*)"","""")"),"BIRON")</f>
        <v>BIRON</v>
      </c>
      <c r="E34905" s="38" t="s">
        <v>488</v>
      </c>
      <c r="F34905" s="38" t="s">
        <v>338</v>
      </c>
      <c r="G34905" s="49" t="str">
        <f t="shared" si="1"/>
        <v>17800</v>
      </c>
      <c r="H34905" s="49">
        <f t="shared" si="2"/>
        <v>17047</v>
      </c>
    </row>
    <row r="34906">
      <c r="A34906" s="48" t="s">
        <v>5525</v>
      </c>
      <c r="B34906" s="38">
        <v>10427.0</v>
      </c>
      <c r="C34906" s="38" t="s">
        <v>39077</v>
      </c>
      <c r="D34906" s="38" t="str">
        <f>IFERROR(__xludf.DUMMYFUNCTION("REGEXREPLACE(C34906,""-\d+(.*)|--\d+(.*)"","""")"),"VILLE-SUR-ARCE")</f>
        <v>VILLE-SUR-ARCE</v>
      </c>
      <c r="E34906" s="38" t="s">
        <v>147</v>
      </c>
      <c r="F34906" s="38" t="s">
        <v>130</v>
      </c>
      <c r="G34906" s="49" t="str">
        <f t="shared" si="1"/>
        <v>10110</v>
      </c>
      <c r="H34906" s="49">
        <f t="shared" si="2"/>
        <v>10427</v>
      </c>
    </row>
    <row r="34907">
      <c r="A34907" s="48" t="s">
        <v>8504</v>
      </c>
      <c r="B34907" s="38">
        <v>34232.0</v>
      </c>
      <c r="C34907" s="38" t="s">
        <v>39078</v>
      </c>
      <c r="D34907" s="38" t="str">
        <f>IFERROR(__xludf.DUMMYFUNCTION("REGEXREPLACE(C34907,""-\d+(.*)|--\d+(.*)"","""")"),"ROQUEBRUN")</f>
        <v>ROQUEBRUN</v>
      </c>
      <c r="E34907" s="38" t="s">
        <v>118</v>
      </c>
      <c r="F34907" s="38" t="s">
        <v>119</v>
      </c>
      <c r="G34907" s="49" t="str">
        <f t="shared" si="1"/>
        <v>34460</v>
      </c>
      <c r="H34907" s="49">
        <f t="shared" si="2"/>
        <v>34232</v>
      </c>
    </row>
    <row r="34908">
      <c r="A34908" s="48" t="s">
        <v>9692</v>
      </c>
      <c r="B34908" s="38">
        <v>18055.0</v>
      </c>
      <c r="C34908" s="38" t="s">
        <v>39079</v>
      </c>
      <c r="D34908" s="38" t="str">
        <f>IFERROR(__xludf.DUMMYFUNCTION("REGEXREPLACE(C34908,""-\d+(.*)|--\d+(.*)"","""")"),"CHAROST")</f>
        <v>CHAROST</v>
      </c>
      <c r="E34908" s="38" t="s">
        <v>504</v>
      </c>
      <c r="F34908" s="38" t="s">
        <v>123</v>
      </c>
      <c r="G34908" s="49" t="str">
        <f t="shared" si="1"/>
        <v>18290</v>
      </c>
      <c r="H34908" s="49">
        <f t="shared" si="2"/>
        <v>18055</v>
      </c>
    </row>
    <row r="34909">
      <c r="A34909" s="48" t="s">
        <v>10177</v>
      </c>
      <c r="B34909" s="38">
        <v>80649.0</v>
      </c>
      <c r="C34909" s="38" t="s">
        <v>39080</v>
      </c>
      <c r="D34909" s="38" t="str">
        <f>IFERROR(__xludf.DUMMYFUNCTION("REGEXREPLACE(C34909,""-\d+(.*)|--\d+(.*)"","""")"),"QUEND")</f>
        <v>QUEND</v>
      </c>
      <c r="E34909" s="38" t="s">
        <v>224</v>
      </c>
      <c r="F34909" s="38" t="s">
        <v>113</v>
      </c>
      <c r="G34909" s="49" t="str">
        <f t="shared" si="1"/>
        <v>80120</v>
      </c>
      <c r="H34909" s="49">
        <f t="shared" si="2"/>
        <v>80649</v>
      </c>
    </row>
    <row r="34910">
      <c r="A34910" s="48" t="s">
        <v>1616</v>
      </c>
      <c r="B34910" s="38">
        <v>10163.0</v>
      </c>
      <c r="C34910" s="38" t="s">
        <v>39081</v>
      </c>
      <c r="D34910" s="38" t="str">
        <f>IFERROR(__xludf.DUMMYFUNCTION("REGEXREPLACE(C34910,""-\d+(.*)|--\d+(.*)"","""")"),"FULIGNY")</f>
        <v>FULIGNY</v>
      </c>
      <c r="E34910" s="38" t="s">
        <v>147</v>
      </c>
      <c r="F34910" s="38" t="s">
        <v>130</v>
      </c>
      <c r="G34910" s="49" t="str">
        <f t="shared" si="1"/>
        <v>10200</v>
      </c>
      <c r="H34910" s="49">
        <f t="shared" si="2"/>
        <v>10163</v>
      </c>
    </row>
    <row r="34911">
      <c r="A34911" s="48" t="s">
        <v>2176</v>
      </c>
      <c r="B34911" s="38">
        <v>62238.0</v>
      </c>
      <c r="C34911" s="38" t="s">
        <v>39082</v>
      </c>
      <c r="D34911" s="38" t="str">
        <f>IFERROR(__xludf.DUMMYFUNCTION("REGEXREPLACE(C34911,""-\d+(.*)|--\d+(.*)"","""")"),"CONTEVILLE-EN-TERNOIS")</f>
        <v>CONTEVILLE-EN-TERNOIS</v>
      </c>
      <c r="E34911" s="38" t="s">
        <v>109</v>
      </c>
      <c r="F34911" s="38" t="s">
        <v>86</v>
      </c>
      <c r="G34911" s="49" t="str">
        <f t="shared" si="1"/>
        <v>62130</v>
      </c>
      <c r="H34911" s="49">
        <f t="shared" si="2"/>
        <v>62238</v>
      </c>
    </row>
    <row r="34912">
      <c r="A34912" s="48" t="s">
        <v>4626</v>
      </c>
      <c r="B34912" s="38">
        <v>16409.0</v>
      </c>
      <c r="C34912" s="38" t="s">
        <v>39083</v>
      </c>
      <c r="D34912" s="38" t="str">
        <f>IFERROR(__xludf.DUMMYFUNCTION("REGEXREPLACE(C34912,""-\d+(.*)|--\d+(.*)"","""")"),"VILLEFAGNAN")</f>
        <v>VILLEFAGNAN</v>
      </c>
      <c r="E34912" s="38" t="s">
        <v>429</v>
      </c>
      <c r="F34912" s="38" t="s">
        <v>338</v>
      </c>
      <c r="G34912" s="49" t="str">
        <f t="shared" si="1"/>
        <v>16240</v>
      </c>
      <c r="H34912" s="49">
        <f t="shared" si="2"/>
        <v>16409</v>
      </c>
    </row>
    <row r="34913">
      <c r="A34913" s="48" t="s">
        <v>7777</v>
      </c>
      <c r="B34913" s="38">
        <v>54067.0</v>
      </c>
      <c r="C34913" s="38" t="s">
        <v>39084</v>
      </c>
      <c r="D34913" s="38" t="str">
        <f>IFERROR(__xludf.DUMMYFUNCTION("REGEXREPLACE(C34913,""-\d+(.*)|--\d+(.*)"","""")"),"BEUVEILLE")</f>
        <v>BEUVEILLE</v>
      </c>
      <c r="E34913" s="38" t="s">
        <v>548</v>
      </c>
      <c r="F34913" s="38" t="s">
        <v>195</v>
      </c>
      <c r="G34913" s="49" t="str">
        <f t="shared" si="1"/>
        <v>54620</v>
      </c>
      <c r="H34913" s="49">
        <f t="shared" si="2"/>
        <v>54067</v>
      </c>
    </row>
    <row r="34914">
      <c r="A34914" s="48" t="s">
        <v>31882</v>
      </c>
      <c r="B34914" s="38">
        <v>76270.0</v>
      </c>
      <c r="C34914" s="38" t="s">
        <v>39085</v>
      </c>
      <c r="D34914" s="38" t="str">
        <f>IFERROR(__xludf.DUMMYFUNCTION("REGEXREPLACE(C34914,""-\d+(.*)|--\d+(.*)"","""")"),"FONTAINE-LA-MALLET")</f>
        <v>FONTAINE-LA-MALLET</v>
      </c>
      <c r="E34914" s="38" t="s">
        <v>133</v>
      </c>
      <c r="F34914" s="38" t="s">
        <v>134</v>
      </c>
      <c r="G34914" s="49" t="str">
        <f t="shared" si="1"/>
        <v>76290</v>
      </c>
      <c r="H34914" s="49">
        <f t="shared" si="2"/>
        <v>76270</v>
      </c>
    </row>
    <row r="34915">
      <c r="A34915" s="48" t="s">
        <v>11011</v>
      </c>
      <c r="B34915" s="38">
        <v>14512.0</v>
      </c>
      <c r="C34915" s="38" t="s">
        <v>39086</v>
      </c>
      <c r="D34915" s="38" t="str">
        <f>IFERROR(__xludf.DUMMYFUNCTION("REGEXREPLACE(C34915,""-\d+(.*)|--\d+(.*)"","""")"),"PONTECOULANT")</f>
        <v>PONTECOULANT</v>
      </c>
      <c r="E34915" s="38" t="s">
        <v>137</v>
      </c>
      <c r="F34915" s="38" t="s">
        <v>138</v>
      </c>
      <c r="G34915" s="49" t="str">
        <f t="shared" si="1"/>
        <v>14110</v>
      </c>
      <c r="H34915" s="49">
        <f t="shared" si="2"/>
        <v>14512</v>
      </c>
    </row>
    <row r="34916">
      <c r="A34916" s="48" t="s">
        <v>9430</v>
      </c>
      <c r="B34916" s="38">
        <v>24552.0</v>
      </c>
      <c r="C34916" s="38" t="s">
        <v>39087</v>
      </c>
      <c r="D34916" s="38" t="str">
        <f>IFERROR(__xludf.DUMMYFUNCTION("REGEXREPLACE(C34916,""-\d+(.*)|--\d+(.*)"","""")"),"THONAC")</f>
        <v>THONAC</v>
      </c>
      <c r="E34916" s="38" t="s">
        <v>261</v>
      </c>
      <c r="F34916" s="38" t="s">
        <v>252</v>
      </c>
      <c r="G34916" s="49" t="str">
        <f t="shared" si="1"/>
        <v>24290</v>
      </c>
      <c r="H34916" s="49">
        <f t="shared" si="2"/>
        <v>24552</v>
      </c>
    </row>
    <row r="34917">
      <c r="A34917" s="48" t="s">
        <v>5008</v>
      </c>
      <c r="B34917" s="38">
        <v>76232.0</v>
      </c>
      <c r="C34917" s="38" t="s">
        <v>39088</v>
      </c>
      <c r="D34917" s="38" t="str">
        <f>IFERROR(__xludf.DUMMYFUNCTION("REGEXREPLACE(C34917,""-\d+(.*)|--\d+(.*)"","""")"),"ELETOT")</f>
        <v>ELETOT</v>
      </c>
      <c r="E34917" s="38" t="s">
        <v>133</v>
      </c>
      <c r="F34917" s="38" t="s">
        <v>134</v>
      </c>
      <c r="G34917" s="49" t="str">
        <f t="shared" si="1"/>
        <v>76540</v>
      </c>
      <c r="H34917" s="49">
        <f t="shared" si="2"/>
        <v>76232</v>
      </c>
    </row>
    <row r="34918">
      <c r="A34918" s="48" t="s">
        <v>9850</v>
      </c>
      <c r="B34918" s="38">
        <v>67041.0</v>
      </c>
      <c r="C34918" s="38" t="s">
        <v>39089</v>
      </c>
      <c r="D34918" s="38" t="str">
        <f>IFERROR(__xludf.DUMMYFUNCTION("REGEXREPLACE(C34918,""-\d+(.*)|--\d+(.*)"","""")"),"BIRKENWALD")</f>
        <v>BIRKENWALD</v>
      </c>
      <c r="E34918" s="38" t="s">
        <v>210</v>
      </c>
      <c r="F34918" s="38" t="s">
        <v>151</v>
      </c>
      <c r="G34918" s="49" t="str">
        <f t="shared" si="1"/>
        <v>67440</v>
      </c>
      <c r="H34918" s="49">
        <f t="shared" si="2"/>
        <v>67041</v>
      </c>
    </row>
    <row r="34919">
      <c r="A34919" s="48" t="s">
        <v>4699</v>
      </c>
      <c r="B34919" s="38">
        <v>53072.0</v>
      </c>
      <c r="C34919" s="38" t="s">
        <v>39090</v>
      </c>
      <c r="D34919" s="38" t="str">
        <f>IFERROR(__xludf.DUMMYFUNCTION("REGEXREPLACE(C34919,""-\d+(.*)|--\d+(.*)"","""")"),"COMMER")</f>
        <v>COMMER</v>
      </c>
      <c r="E34919" s="38" t="s">
        <v>518</v>
      </c>
      <c r="F34919" s="38" t="s">
        <v>180</v>
      </c>
      <c r="G34919" s="49" t="str">
        <f t="shared" si="1"/>
        <v>53470</v>
      </c>
      <c r="H34919" s="49">
        <f t="shared" si="2"/>
        <v>53072</v>
      </c>
    </row>
    <row r="34920">
      <c r="A34920" s="48" t="s">
        <v>789</v>
      </c>
      <c r="B34920" s="38">
        <v>10087.0</v>
      </c>
      <c r="C34920" s="38" t="s">
        <v>39091</v>
      </c>
      <c r="D34920" s="38" t="str">
        <f>IFERROR(__xludf.DUMMYFUNCTION("REGEXREPLACE(C34920,""-\d+(.*)|--\d+(.*)"","""")"),"CHASEREY")</f>
        <v>CHASEREY</v>
      </c>
      <c r="E34920" s="38" t="s">
        <v>147</v>
      </c>
      <c r="F34920" s="38" t="s">
        <v>130</v>
      </c>
      <c r="G34920" s="49" t="str">
        <f t="shared" si="1"/>
        <v>10210</v>
      </c>
      <c r="H34920" s="49">
        <f t="shared" si="2"/>
        <v>10087</v>
      </c>
    </row>
    <row r="34921">
      <c r="A34921" s="48" t="s">
        <v>9995</v>
      </c>
      <c r="B34921" s="38">
        <v>49298.0</v>
      </c>
      <c r="C34921" s="38" t="s">
        <v>39092</v>
      </c>
      <c r="D34921" s="38" t="str">
        <f>IFERROR(__xludf.DUMMYFUNCTION("REGEXREPLACE(C34921,""-\d+(.*)|--\d+(.*)"","""")"),"SAINT-LEGER-DES-BOIS")</f>
        <v>SAINT-LEGER-DES-BOIS</v>
      </c>
      <c r="E34921" s="38" t="s">
        <v>653</v>
      </c>
      <c r="F34921" s="38" t="s">
        <v>180</v>
      </c>
      <c r="G34921" s="49" t="str">
        <f t="shared" si="1"/>
        <v>49170</v>
      </c>
      <c r="H34921" s="49">
        <f t="shared" si="2"/>
        <v>49298</v>
      </c>
    </row>
    <row r="34922">
      <c r="A34922" s="48" t="s">
        <v>6572</v>
      </c>
      <c r="B34922" s="38">
        <v>31423.0</v>
      </c>
      <c r="C34922" s="38" t="s">
        <v>39093</v>
      </c>
      <c r="D34922" s="38" t="str">
        <f>IFERROR(__xludf.DUMMYFUNCTION("REGEXREPLACE(C34922,""-\d+(.*)|--\d+(.*)"","""")"),"PLAGNOLE")</f>
        <v>PLAGNOLE</v>
      </c>
      <c r="E34922" s="38" t="s">
        <v>93</v>
      </c>
      <c r="F34922" s="38" t="s">
        <v>94</v>
      </c>
      <c r="G34922" s="49" t="str">
        <f t="shared" si="1"/>
        <v>31370</v>
      </c>
      <c r="H34922" s="49">
        <f t="shared" si="2"/>
        <v>31423</v>
      </c>
    </row>
    <row r="34923">
      <c r="A34923" s="48" t="s">
        <v>39094</v>
      </c>
      <c r="B34923" s="38">
        <v>78571.0</v>
      </c>
      <c r="C34923" s="38" t="s">
        <v>39095</v>
      </c>
      <c r="D34923" s="38" t="str">
        <f>IFERROR(__xludf.DUMMYFUNCTION("REGEXREPLACE(C34923,""-\d+(.*)|--\d+(.*)"","""")"),"SAINT-NOM-LA-BRETECHE")</f>
        <v>SAINT-NOM-LA-BRETECHE</v>
      </c>
      <c r="E34923" s="38" t="s">
        <v>362</v>
      </c>
      <c r="F34923" s="38" t="s">
        <v>245</v>
      </c>
      <c r="G34923" s="49" t="str">
        <f t="shared" si="1"/>
        <v>78860</v>
      </c>
      <c r="H34923" s="49">
        <f t="shared" si="2"/>
        <v>78571</v>
      </c>
    </row>
    <row r="34924">
      <c r="A34924" s="48" t="s">
        <v>3814</v>
      </c>
      <c r="B34924" s="38">
        <v>71285.0</v>
      </c>
      <c r="C34924" s="38" t="s">
        <v>39096</v>
      </c>
      <c r="D34924" s="38" t="str">
        <f>IFERROR(__xludf.DUMMYFUNCTION("REGEXREPLACE(C34924,""-\d+(.*)|--\d+(.*)"","""")"),"MARTIGNY-LE-COMTE")</f>
        <v>MARTIGNY-LE-COMTE</v>
      </c>
      <c r="E34924" s="38" t="s">
        <v>344</v>
      </c>
      <c r="F34924" s="38" t="s">
        <v>106</v>
      </c>
      <c r="G34924" s="49" t="str">
        <f t="shared" si="1"/>
        <v>71220</v>
      </c>
      <c r="H34924" s="49">
        <f t="shared" si="2"/>
        <v>71285</v>
      </c>
    </row>
    <row r="34925">
      <c r="A34925" s="48" t="s">
        <v>2685</v>
      </c>
      <c r="B34925" s="38" t="s">
        <v>39097</v>
      </c>
      <c r="C34925" s="38" t="s">
        <v>39098</v>
      </c>
      <c r="D34925" s="38" t="str">
        <f>IFERROR(__xludf.DUMMYFUNCTION("REGEXREPLACE(C34925,""-\d+(.*)|--\d+(.*)"","""")"),"VICO")</f>
        <v>VICO</v>
      </c>
      <c r="E34925" s="38" t="s">
        <v>606</v>
      </c>
      <c r="F34925" s="38" t="s">
        <v>607</v>
      </c>
      <c r="G34925" s="49" t="str">
        <f t="shared" si="1"/>
        <v>20160</v>
      </c>
      <c r="H34925" s="49" t="str">
        <f t="shared" si="2"/>
        <v>2A348</v>
      </c>
    </row>
    <row r="34926">
      <c r="A34926" s="48" t="s">
        <v>1222</v>
      </c>
      <c r="B34926" s="38">
        <v>47214.0</v>
      </c>
      <c r="C34926" s="38" t="s">
        <v>39099</v>
      </c>
      <c r="D34926" s="38" t="str">
        <f>IFERROR(__xludf.DUMMYFUNCTION("REGEXREPLACE(C34926,""-\d+(.*)|--\d+(.*)"","""")"),"PUCH-D'AGENAIS")</f>
        <v>PUCH-D'AGENAIS</v>
      </c>
      <c r="E34926" s="38" t="s">
        <v>251</v>
      </c>
      <c r="F34926" s="38" t="s">
        <v>252</v>
      </c>
      <c r="G34926" s="49" t="str">
        <f t="shared" si="1"/>
        <v>47160</v>
      </c>
      <c r="H34926" s="49">
        <f t="shared" si="2"/>
        <v>47214</v>
      </c>
    </row>
    <row r="34927">
      <c r="A34927" s="48" t="s">
        <v>2270</v>
      </c>
      <c r="B34927" s="38">
        <v>32267.0</v>
      </c>
      <c r="C34927" s="38" t="s">
        <v>39100</v>
      </c>
      <c r="D34927" s="38" t="str">
        <f>IFERROR(__xludf.DUMMYFUNCTION("REGEXREPLACE(C34927,""-\d+(.*)|--\d+(.*)"","""")"),"MONFERRAN-PLAVES")</f>
        <v>MONFERRAN-PLAVES</v>
      </c>
      <c r="E34927" s="38" t="s">
        <v>440</v>
      </c>
      <c r="F34927" s="38" t="s">
        <v>94</v>
      </c>
      <c r="G34927" s="49" t="str">
        <f t="shared" si="1"/>
        <v>32260</v>
      </c>
      <c r="H34927" s="49">
        <f t="shared" si="2"/>
        <v>32267</v>
      </c>
    </row>
    <row r="34928">
      <c r="A34928" s="48" t="s">
        <v>3418</v>
      </c>
      <c r="B34928" s="38">
        <v>47294.0</v>
      </c>
      <c r="C34928" s="38" t="s">
        <v>39101</v>
      </c>
      <c r="D34928" s="38" t="str">
        <f>IFERROR(__xludf.DUMMYFUNCTION("REGEXREPLACE(C34928,""-\d+(.*)|--\d+(.*)"","""")"),"SAVIGNAC-DE-DURAS")</f>
        <v>SAVIGNAC-DE-DURAS</v>
      </c>
      <c r="E34928" s="38" t="s">
        <v>251</v>
      </c>
      <c r="F34928" s="38" t="s">
        <v>252</v>
      </c>
      <c r="G34928" s="49" t="str">
        <f t="shared" si="1"/>
        <v>47120</v>
      </c>
      <c r="H34928" s="49">
        <f t="shared" si="2"/>
        <v>47294</v>
      </c>
    </row>
    <row r="34929">
      <c r="A34929" s="48" t="s">
        <v>39102</v>
      </c>
      <c r="B34929" s="38">
        <v>91201.0</v>
      </c>
      <c r="C34929" s="38" t="s">
        <v>39103</v>
      </c>
      <c r="D34929" s="38" t="str">
        <f>IFERROR(__xludf.DUMMYFUNCTION("REGEXREPLACE(C34929,""-\d+(.*)|--\d+(.*)"","""")"),"DRAVEIL")</f>
        <v>DRAVEIL</v>
      </c>
      <c r="E34929" s="38" t="s">
        <v>756</v>
      </c>
      <c r="F34929" s="38" t="s">
        <v>245</v>
      </c>
      <c r="G34929" s="49" t="str">
        <f t="shared" si="1"/>
        <v>91210</v>
      </c>
      <c r="H34929" s="49">
        <f t="shared" si="2"/>
        <v>91201</v>
      </c>
    </row>
    <row r="34930">
      <c r="A34930" s="48" t="s">
        <v>4328</v>
      </c>
      <c r="B34930" s="38">
        <v>70540.0</v>
      </c>
      <c r="C34930" s="38" t="s">
        <v>39104</v>
      </c>
      <c r="D34930" s="38" t="str">
        <f>IFERROR(__xludf.DUMMYFUNCTION("REGEXREPLACE(C34930,""-\d+(.*)|--\d+(.*)"","""")"),"VELLOREILLE-LES-CHOYE")</f>
        <v>VELLOREILLE-LES-CHOYE</v>
      </c>
      <c r="E34930" s="38" t="s">
        <v>956</v>
      </c>
      <c r="F34930" s="38" t="s">
        <v>214</v>
      </c>
      <c r="G34930" s="49" t="str">
        <f t="shared" si="1"/>
        <v>70700</v>
      </c>
      <c r="H34930" s="49">
        <f t="shared" si="2"/>
        <v>70540</v>
      </c>
    </row>
    <row r="34931">
      <c r="A34931" s="48" t="s">
        <v>1536</v>
      </c>
      <c r="B34931" s="38">
        <v>43018.0</v>
      </c>
      <c r="C34931" s="38" t="s">
        <v>39105</v>
      </c>
      <c r="D34931" s="38" t="str">
        <f>IFERROR(__xludf.DUMMYFUNCTION("REGEXREPLACE(C34931,""-\d+(.*)|--\d+(.*)"","""")"),"BAINS")</f>
        <v>BAINS</v>
      </c>
      <c r="E34931" s="38" t="s">
        <v>332</v>
      </c>
      <c r="F34931" s="38" t="s">
        <v>161</v>
      </c>
      <c r="G34931" s="49" t="str">
        <f t="shared" si="1"/>
        <v>43370</v>
      </c>
      <c r="H34931" s="49">
        <f t="shared" si="2"/>
        <v>43018</v>
      </c>
    </row>
    <row r="34932">
      <c r="A34932" s="48" t="s">
        <v>5358</v>
      </c>
      <c r="B34932" s="38">
        <v>23028.0</v>
      </c>
      <c r="C34932" s="38" t="s">
        <v>39106</v>
      </c>
      <c r="D34932" s="38" t="str">
        <f>IFERROR(__xludf.DUMMYFUNCTION("REGEXREPLACE(C34932,""-\d+(.*)|--\d+(.*)"","""")"),"BOSROGER")</f>
        <v>BOSROGER</v>
      </c>
      <c r="E34932" s="38" t="s">
        <v>97</v>
      </c>
      <c r="F34932" s="38" t="s">
        <v>98</v>
      </c>
      <c r="G34932" s="49" t="str">
        <f t="shared" si="1"/>
        <v>23200</v>
      </c>
      <c r="H34932" s="49">
        <f t="shared" si="2"/>
        <v>23028</v>
      </c>
    </row>
    <row r="34933">
      <c r="A34933" s="48" t="s">
        <v>6334</v>
      </c>
      <c r="B34933" s="38">
        <v>43061.0</v>
      </c>
      <c r="C34933" s="38" t="s">
        <v>39107</v>
      </c>
      <c r="D34933" s="38" t="str">
        <f>IFERROR(__xludf.DUMMYFUNCTION("REGEXREPLACE(C34933,""-\d+(.*)|--\d+(.*)"","""")"),"CHASPINHAC")</f>
        <v>CHASPINHAC</v>
      </c>
      <c r="E34933" s="38" t="s">
        <v>332</v>
      </c>
      <c r="F34933" s="38" t="s">
        <v>161</v>
      </c>
      <c r="G34933" s="49" t="str">
        <f t="shared" si="1"/>
        <v>43700</v>
      </c>
      <c r="H34933" s="49">
        <f t="shared" si="2"/>
        <v>43061</v>
      </c>
    </row>
    <row r="34934">
      <c r="A34934" s="48" t="s">
        <v>2549</v>
      </c>
      <c r="B34934" s="38">
        <v>55506.0</v>
      </c>
      <c r="C34934" s="38" t="s">
        <v>39108</v>
      </c>
      <c r="D34934" s="38" t="str">
        <f>IFERROR(__xludf.DUMMYFUNCTION("REGEXREPLACE(C34934,""-\d+(.*)|--\d+(.*)"","""")"),"THILLOMBOIS")</f>
        <v>THILLOMBOIS</v>
      </c>
      <c r="E34934" s="38" t="s">
        <v>322</v>
      </c>
      <c r="F34934" s="38" t="s">
        <v>195</v>
      </c>
      <c r="G34934" s="49" t="str">
        <f t="shared" si="1"/>
        <v>55260</v>
      </c>
      <c r="H34934" s="49">
        <f t="shared" si="2"/>
        <v>55506</v>
      </c>
    </row>
    <row r="34935">
      <c r="A34935" s="48" t="s">
        <v>9686</v>
      </c>
      <c r="B34935" s="38">
        <v>36123.0</v>
      </c>
      <c r="C34935" s="38" t="s">
        <v>39109</v>
      </c>
      <c r="D34935" s="38" t="str">
        <f>IFERROR(__xludf.DUMMYFUNCTION("REGEXREPLACE(C34935,""-\d+(.*)|--\d+(.*)"","""")"),"MEZIERES-EN-BRENNE")</f>
        <v>MEZIERES-EN-BRENNE</v>
      </c>
      <c r="E34935" s="38" t="s">
        <v>258</v>
      </c>
      <c r="F34935" s="38" t="s">
        <v>123</v>
      </c>
      <c r="G34935" s="49" t="str">
        <f t="shared" si="1"/>
        <v>36290</v>
      </c>
      <c r="H34935" s="49">
        <f t="shared" si="2"/>
        <v>36123</v>
      </c>
    </row>
    <row r="34936">
      <c r="A34936" s="48" t="s">
        <v>1695</v>
      </c>
      <c r="B34936" s="38">
        <v>80059.0</v>
      </c>
      <c r="C34936" s="38" t="s">
        <v>39110</v>
      </c>
      <c r="D34936" s="38" t="str">
        <f>IFERROR(__xludf.DUMMYFUNCTION("REGEXREPLACE(C34936,""-\d+(.*)|--\d+(.*)"","""")"),"BAZENTIN")</f>
        <v>BAZENTIN</v>
      </c>
      <c r="E34936" s="38" t="s">
        <v>224</v>
      </c>
      <c r="F34936" s="38" t="s">
        <v>113</v>
      </c>
      <c r="G34936" s="49" t="str">
        <f t="shared" si="1"/>
        <v>80300</v>
      </c>
      <c r="H34936" s="49">
        <f t="shared" si="2"/>
        <v>80059</v>
      </c>
    </row>
    <row r="34937">
      <c r="A34937" s="48" t="s">
        <v>1913</v>
      </c>
      <c r="B34937" s="38">
        <v>63100.0</v>
      </c>
      <c r="C34937" s="38" t="s">
        <v>39111</v>
      </c>
      <c r="D34937" s="38" t="str">
        <f>IFERROR(__xludf.DUMMYFUNCTION("REGEXREPLACE(C34937,""-\d+(.*)|--\d+(.*)"","""")"),"CHATEAUNEUF-LES-BAINS")</f>
        <v>CHATEAUNEUF-LES-BAINS</v>
      </c>
      <c r="E34937" s="38" t="s">
        <v>353</v>
      </c>
      <c r="F34937" s="38" t="s">
        <v>161</v>
      </c>
      <c r="G34937" s="49" t="str">
        <f t="shared" si="1"/>
        <v>63390</v>
      </c>
      <c r="H34937" s="49">
        <f t="shared" si="2"/>
        <v>63100</v>
      </c>
    </row>
    <row r="34938">
      <c r="A34938" s="48" t="s">
        <v>8969</v>
      </c>
      <c r="B34938" s="38">
        <v>19259.0</v>
      </c>
      <c r="C34938" s="38" t="s">
        <v>39112</v>
      </c>
      <c r="D34938" s="38" t="str">
        <f>IFERROR(__xludf.DUMMYFUNCTION("REGEXREPLACE(C34938,""-\d+(.*)|--\d+(.*)"","""")"),"SEXCLES")</f>
        <v>SEXCLES</v>
      </c>
      <c r="E34938" s="38" t="s">
        <v>271</v>
      </c>
      <c r="F34938" s="38" t="s">
        <v>98</v>
      </c>
      <c r="G34938" s="49" t="str">
        <f t="shared" si="1"/>
        <v>19430</v>
      </c>
      <c r="H34938" s="49">
        <f t="shared" si="2"/>
        <v>19259</v>
      </c>
    </row>
    <row r="34939">
      <c r="A34939" s="48" t="s">
        <v>196</v>
      </c>
      <c r="B34939" s="38">
        <v>2079.0</v>
      </c>
      <c r="C34939" s="38" t="s">
        <v>39113</v>
      </c>
      <c r="D34939" s="38" t="str">
        <f>IFERROR(__xludf.DUMMYFUNCTION("REGEXREPLACE(C34939,""-\d+(.*)|--\d+(.*)"","""")"),"BESMONT")</f>
        <v>BESMONT</v>
      </c>
      <c r="E34939" s="38" t="s">
        <v>191</v>
      </c>
      <c r="F34939" s="38" t="s">
        <v>113</v>
      </c>
      <c r="G34939" s="49" t="str">
        <f t="shared" si="1"/>
        <v>02500</v>
      </c>
      <c r="H34939" s="49" t="str">
        <f t="shared" si="2"/>
        <v>02079</v>
      </c>
    </row>
    <row r="34940">
      <c r="A34940" s="48" t="s">
        <v>309</v>
      </c>
      <c r="B34940" s="38">
        <v>48191.0</v>
      </c>
      <c r="C34940" s="38" t="s">
        <v>39114</v>
      </c>
      <c r="D34940" s="38" t="str">
        <f>IFERROR(__xludf.DUMMYFUNCTION("REGEXREPLACE(C34940,""-\d+(.*)|--\d+(.*)"","""")"),"LA TIEULE")</f>
        <v>LA TIEULE</v>
      </c>
      <c r="E34940" s="38" t="s">
        <v>154</v>
      </c>
      <c r="F34940" s="38" t="s">
        <v>119</v>
      </c>
      <c r="G34940" s="49" t="str">
        <f t="shared" si="1"/>
        <v>48500</v>
      </c>
      <c r="H34940" s="49">
        <f t="shared" si="2"/>
        <v>48191</v>
      </c>
    </row>
    <row r="34941">
      <c r="A34941" s="48" t="s">
        <v>6660</v>
      </c>
      <c r="B34941" s="38">
        <v>66032.0</v>
      </c>
      <c r="C34941" s="38" t="s">
        <v>39115</v>
      </c>
      <c r="D34941" s="38" t="str">
        <f>IFERROR(__xludf.DUMMYFUNCTION("REGEXREPLACE(C34941,""-\d+(.*)|--\d+(.*)"","""")"),"CALMEILLES")</f>
        <v>CALMEILLES</v>
      </c>
      <c r="E34941" s="38" t="s">
        <v>248</v>
      </c>
      <c r="F34941" s="38" t="s">
        <v>119</v>
      </c>
      <c r="G34941" s="49" t="str">
        <f t="shared" si="1"/>
        <v>66400</v>
      </c>
      <c r="H34941" s="49">
        <f t="shared" si="2"/>
        <v>66032</v>
      </c>
    </row>
    <row r="34942">
      <c r="A34942" s="48" t="s">
        <v>5190</v>
      </c>
      <c r="B34942" s="38">
        <v>35190.0</v>
      </c>
      <c r="C34942" s="38" t="s">
        <v>39116</v>
      </c>
      <c r="D34942" s="38" t="str">
        <f>IFERROR(__xludf.DUMMYFUNCTION("REGEXREPLACE(C34942,""-\d+(.*)|--\d+(.*)"","""")"),"MONTHAULT")</f>
        <v>MONTHAULT</v>
      </c>
      <c r="E34942" s="38" t="s">
        <v>347</v>
      </c>
      <c r="F34942" s="38" t="s">
        <v>90</v>
      </c>
      <c r="G34942" s="49" t="str">
        <f t="shared" si="1"/>
        <v>35420</v>
      </c>
      <c r="H34942" s="49">
        <f t="shared" si="2"/>
        <v>35190</v>
      </c>
    </row>
    <row r="34943">
      <c r="A34943" s="48" t="s">
        <v>4797</v>
      </c>
      <c r="B34943" s="38">
        <v>30199.0</v>
      </c>
      <c r="C34943" s="38" t="s">
        <v>18105</v>
      </c>
      <c r="D34943" s="38" t="str">
        <f>IFERROR(__xludf.DUMMYFUNCTION("REGEXREPLACE(C34943,""-\d+(.*)|--\d+(.*)"","""")"),"POMMIERS")</f>
        <v>POMMIERS</v>
      </c>
      <c r="E34943" s="38" t="s">
        <v>526</v>
      </c>
      <c r="F34943" s="38" t="s">
        <v>119</v>
      </c>
      <c r="G34943" s="49" t="str">
        <f t="shared" si="1"/>
        <v>30120</v>
      </c>
      <c r="H34943" s="49">
        <f t="shared" si="2"/>
        <v>30199</v>
      </c>
    </row>
    <row r="34944">
      <c r="A34944" s="48" t="s">
        <v>7237</v>
      </c>
      <c r="B34944" s="38">
        <v>17455.0</v>
      </c>
      <c r="C34944" s="38" t="s">
        <v>39117</v>
      </c>
      <c r="D34944" s="38" t="str">
        <f>IFERROR(__xludf.DUMMYFUNCTION("REGEXREPLACE(C34944,""-\d+(.*)|--\d+(.*)"","""")"),"LA VALLEE")</f>
        <v>LA VALLEE</v>
      </c>
      <c r="E34944" s="38" t="s">
        <v>488</v>
      </c>
      <c r="F34944" s="38" t="s">
        <v>338</v>
      </c>
      <c r="G34944" s="49" t="str">
        <f t="shared" si="1"/>
        <v>17250</v>
      </c>
      <c r="H34944" s="49">
        <f t="shared" si="2"/>
        <v>17455</v>
      </c>
    </row>
    <row r="34945">
      <c r="A34945" s="48" t="s">
        <v>2579</v>
      </c>
      <c r="B34945" s="38">
        <v>32228.0</v>
      </c>
      <c r="C34945" s="38" t="s">
        <v>39118</v>
      </c>
      <c r="D34945" s="38" t="str">
        <f>IFERROR(__xludf.DUMMYFUNCTION("REGEXREPLACE(C34945,""-\d+(.*)|--\d+(.*)"","""")"),"MANENT-MONTANE")</f>
        <v>MANENT-MONTANE</v>
      </c>
      <c r="E34945" s="38" t="s">
        <v>440</v>
      </c>
      <c r="F34945" s="38" t="s">
        <v>94</v>
      </c>
      <c r="G34945" s="49" t="str">
        <f t="shared" si="1"/>
        <v>32140</v>
      </c>
      <c r="H34945" s="49">
        <f t="shared" si="2"/>
        <v>32228</v>
      </c>
    </row>
    <row r="34946">
      <c r="A34946" s="48" t="s">
        <v>15383</v>
      </c>
      <c r="B34946" s="38">
        <v>53155.0</v>
      </c>
      <c r="C34946" s="38" t="s">
        <v>39119</v>
      </c>
      <c r="D34946" s="38" t="str">
        <f>IFERROR(__xludf.DUMMYFUNCTION("REGEXREPLACE(C34946,""-\d+(.*)|--\d+(.*)"","""")"),"MONTENAY")</f>
        <v>MONTENAY</v>
      </c>
      <c r="E34946" s="38" t="s">
        <v>518</v>
      </c>
      <c r="F34946" s="38" t="s">
        <v>180</v>
      </c>
      <c r="G34946" s="49" t="str">
        <f t="shared" si="1"/>
        <v>53500</v>
      </c>
      <c r="H34946" s="49">
        <f t="shared" si="2"/>
        <v>53155</v>
      </c>
    </row>
    <row r="34947">
      <c r="A34947" s="48" t="s">
        <v>557</v>
      </c>
      <c r="B34947" s="38">
        <v>16001.0</v>
      </c>
      <c r="C34947" s="38" t="s">
        <v>29408</v>
      </c>
      <c r="D34947" s="38" t="str">
        <f>IFERROR(__xludf.DUMMYFUNCTION("REGEXREPLACE(C34947,""-\d+(.*)|--\d+(.*)"","""")"),"ABZAC")</f>
        <v>ABZAC</v>
      </c>
      <c r="E34947" s="38" t="s">
        <v>429</v>
      </c>
      <c r="F34947" s="38" t="s">
        <v>338</v>
      </c>
      <c r="G34947" s="49" t="str">
        <f t="shared" si="1"/>
        <v>16500</v>
      </c>
      <c r="H34947" s="49">
        <f t="shared" si="2"/>
        <v>16001</v>
      </c>
    </row>
    <row r="34948">
      <c r="A34948" s="48" t="s">
        <v>10268</v>
      </c>
      <c r="B34948" s="38">
        <v>41085.0</v>
      </c>
      <c r="C34948" s="38" t="s">
        <v>39120</v>
      </c>
      <c r="D34948" s="38" t="str">
        <f>IFERROR(__xludf.DUMMYFUNCTION("REGEXREPLACE(C34948,""-\d+(.*)|--\d+(.*)"","""")"),"LA FERTE-SAINT-CYR")</f>
        <v>LA FERTE-SAINT-CYR</v>
      </c>
      <c r="E34948" s="38" t="s">
        <v>188</v>
      </c>
      <c r="F34948" s="38" t="s">
        <v>123</v>
      </c>
      <c r="G34948" s="49" t="str">
        <f t="shared" si="1"/>
        <v>41220</v>
      </c>
      <c r="H34948" s="49">
        <f t="shared" si="2"/>
        <v>41085</v>
      </c>
    </row>
    <row r="34949">
      <c r="A34949" s="48" t="s">
        <v>11555</v>
      </c>
      <c r="B34949" s="38">
        <v>6036.0</v>
      </c>
      <c r="C34949" s="38" t="s">
        <v>3363</v>
      </c>
      <c r="D34949" s="38" t="str">
        <f>IFERROR(__xludf.DUMMYFUNCTION("REGEXREPLACE(C34949,""-\d+(.*)|--\d+(.*)"","""")"),"CASTILLON")</f>
        <v>CASTILLON</v>
      </c>
      <c r="E34949" s="38" t="s">
        <v>227</v>
      </c>
      <c r="F34949" s="38" t="s">
        <v>228</v>
      </c>
      <c r="G34949" s="49" t="str">
        <f t="shared" si="1"/>
        <v>06500</v>
      </c>
      <c r="H34949" s="49" t="str">
        <f t="shared" si="2"/>
        <v>06036</v>
      </c>
    </row>
    <row r="34950">
      <c r="A34950" s="48" t="s">
        <v>15080</v>
      </c>
      <c r="B34950" s="38">
        <v>19129.0</v>
      </c>
      <c r="C34950" s="38" t="s">
        <v>39121</v>
      </c>
      <c r="D34950" s="38" t="str">
        <f>IFERROR(__xludf.DUMMYFUNCTION("REGEXREPLACE(C34950,""-\d+(.*)|--\d+(.*)"","""")"),"MASSERET")</f>
        <v>MASSERET</v>
      </c>
      <c r="E34950" s="38" t="s">
        <v>271</v>
      </c>
      <c r="F34950" s="38" t="s">
        <v>98</v>
      </c>
      <c r="G34950" s="49" t="str">
        <f t="shared" si="1"/>
        <v>19510</v>
      </c>
      <c r="H34950" s="49">
        <f t="shared" si="2"/>
        <v>19129</v>
      </c>
    </row>
    <row r="34951">
      <c r="A34951" s="48" t="s">
        <v>5953</v>
      </c>
      <c r="B34951" s="38">
        <v>76252.0</v>
      </c>
      <c r="C34951" s="38" t="s">
        <v>39122</v>
      </c>
      <c r="D34951" s="38" t="str">
        <f>IFERROR(__xludf.DUMMYFUNCTION("REGEXREPLACE(C34951,""-\d+(.*)|--\d+(.*)"","""")"),"ETALONDES")</f>
        <v>ETALONDES</v>
      </c>
      <c r="E34951" s="38" t="s">
        <v>133</v>
      </c>
      <c r="F34951" s="38" t="s">
        <v>134</v>
      </c>
      <c r="G34951" s="49" t="str">
        <f t="shared" si="1"/>
        <v>76260</v>
      </c>
      <c r="H34951" s="49">
        <f t="shared" si="2"/>
        <v>76252</v>
      </c>
    </row>
    <row r="34952">
      <c r="A34952" s="48" t="s">
        <v>10013</v>
      </c>
      <c r="B34952" s="38">
        <v>81161.0</v>
      </c>
      <c r="C34952" s="38" t="s">
        <v>39123</v>
      </c>
      <c r="D34952" s="38" t="str">
        <f>IFERROR(__xludf.DUMMYFUNCTION("REGEXREPLACE(C34952,""-\d+(.*)|--\d+(.*)"","""")"),"MASSALS")</f>
        <v>MASSALS</v>
      </c>
      <c r="E34952" s="38" t="s">
        <v>231</v>
      </c>
      <c r="F34952" s="38" t="s">
        <v>94</v>
      </c>
      <c r="G34952" s="49" t="str">
        <f t="shared" si="1"/>
        <v>81250</v>
      </c>
      <c r="H34952" s="49">
        <f t="shared" si="2"/>
        <v>81161</v>
      </c>
    </row>
    <row r="34953">
      <c r="A34953" s="48" t="s">
        <v>39124</v>
      </c>
      <c r="B34953" s="38">
        <v>25296.0</v>
      </c>
      <c r="C34953" s="38" t="s">
        <v>39125</v>
      </c>
      <c r="D34953" s="38" t="str">
        <f>IFERROR(__xludf.DUMMYFUNCTION("REGEXREPLACE(C34953,""-\d+(.*)|--\d+(.*)"","""")"),"LES GRAS")</f>
        <v>LES GRAS</v>
      </c>
      <c r="E34953" s="38" t="s">
        <v>213</v>
      </c>
      <c r="F34953" s="38" t="s">
        <v>214</v>
      </c>
      <c r="G34953" s="49" t="str">
        <f t="shared" si="1"/>
        <v>25790</v>
      </c>
      <c r="H34953" s="49">
        <f t="shared" si="2"/>
        <v>25296</v>
      </c>
    </row>
    <row r="34954">
      <c r="A34954" s="48" t="s">
        <v>1332</v>
      </c>
      <c r="B34954" s="38">
        <v>51083.0</v>
      </c>
      <c r="C34954" s="38" t="s">
        <v>39126</v>
      </c>
      <c r="D34954" s="38" t="str">
        <f>IFERROR(__xludf.DUMMYFUNCTION("REGEXREPLACE(C34954,""-\d+(.*)|--\d+(.*)"","""")"),"BRAUX-SAINT-REMY")</f>
        <v>BRAUX-SAINT-REMY</v>
      </c>
      <c r="E34954" s="38" t="s">
        <v>129</v>
      </c>
      <c r="F34954" s="38" t="s">
        <v>130</v>
      </c>
      <c r="G34954" s="49" t="str">
        <f t="shared" si="1"/>
        <v>51800</v>
      </c>
      <c r="H34954" s="49">
        <f t="shared" si="2"/>
        <v>51083</v>
      </c>
    </row>
    <row r="34955">
      <c r="A34955" s="48" t="s">
        <v>23894</v>
      </c>
      <c r="B34955" s="38">
        <v>69021.0</v>
      </c>
      <c r="C34955" s="38" t="s">
        <v>39127</v>
      </c>
      <c r="D34955" s="38" t="str">
        <f>IFERROR(__xludf.DUMMYFUNCTION("REGEXREPLACE(C34955,""-\d+(.*)|--\d+(.*)"","""")"),"BESSENAY")</f>
        <v>BESSENAY</v>
      </c>
      <c r="E34955" s="38" t="s">
        <v>350</v>
      </c>
      <c r="F34955" s="38" t="s">
        <v>102</v>
      </c>
      <c r="G34955" s="49" t="str">
        <f t="shared" si="1"/>
        <v>69690</v>
      </c>
      <c r="H34955" s="49">
        <f t="shared" si="2"/>
        <v>69021</v>
      </c>
    </row>
    <row r="34956">
      <c r="A34956" s="48" t="s">
        <v>1989</v>
      </c>
      <c r="B34956" s="38">
        <v>60232.0</v>
      </c>
      <c r="C34956" s="38" t="s">
        <v>9893</v>
      </c>
      <c r="D34956" s="38" t="str">
        <f>IFERROR(__xludf.DUMMYFUNCTION("REGEXREPLACE(C34956,""-\d+(.*)|--\d+(.*)"","""")"),"FERRIERES")</f>
        <v>FERRIERES</v>
      </c>
      <c r="E34956" s="38" t="s">
        <v>112</v>
      </c>
      <c r="F34956" s="38" t="s">
        <v>113</v>
      </c>
      <c r="G34956" s="49" t="str">
        <f t="shared" si="1"/>
        <v>60420</v>
      </c>
      <c r="H34956" s="49">
        <f t="shared" si="2"/>
        <v>60232</v>
      </c>
    </row>
    <row r="34957">
      <c r="A34957" s="48" t="s">
        <v>736</v>
      </c>
      <c r="B34957" s="38">
        <v>57472.0</v>
      </c>
      <c r="C34957" s="38" t="s">
        <v>39128</v>
      </c>
      <c r="D34957" s="38" t="str">
        <f>IFERROR(__xludf.DUMMYFUNCTION("REGEXREPLACE(C34957,""-\d+(.*)|--\d+(.*)"","""")"),"MONCHEUX")</f>
        <v>MONCHEUX</v>
      </c>
      <c r="E34957" s="38" t="s">
        <v>303</v>
      </c>
      <c r="F34957" s="38" t="s">
        <v>195</v>
      </c>
      <c r="G34957" s="49" t="str">
        <f t="shared" si="1"/>
        <v>57420</v>
      </c>
      <c r="H34957" s="49">
        <f t="shared" si="2"/>
        <v>57472</v>
      </c>
    </row>
    <row r="34958">
      <c r="A34958" s="48" t="s">
        <v>9293</v>
      </c>
      <c r="B34958" s="38">
        <v>9178.0</v>
      </c>
      <c r="C34958" s="38" t="s">
        <v>39129</v>
      </c>
      <c r="D34958" s="38" t="str">
        <f>IFERROR(__xludf.DUMMYFUNCTION("REGEXREPLACE(C34958,""-\d+(.*)|--\d+(.*)"","""")"),"MALEGOUDE")</f>
        <v>MALEGOUDE</v>
      </c>
      <c r="E34958" s="38" t="s">
        <v>238</v>
      </c>
      <c r="F34958" s="38" t="s">
        <v>94</v>
      </c>
      <c r="G34958" s="49" t="str">
        <f t="shared" si="1"/>
        <v>09500</v>
      </c>
      <c r="H34958" s="49" t="str">
        <f t="shared" si="2"/>
        <v>09178</v>
      </c>
    </row>
    <row r="34959">
      <c r="A34959" s="48" t="s">
        <v>2924</v>
      </c>
      <c r="B34959" s="38">
        <v>8060.0</v>
      </c>
      <c r="C34959" s="38" t="s">
        <v>39130</v>
      </c>
      <c r="D34959" s="38" t="str">
        <f>IFERROR(__xludf.DUMMYFUNCTION("REGEXREPLACE(C34959,""-\d+(.*)|--\d+(.*)"","""")"),"BERGNICOURT")</f>
        <v>BERGNICOURT</v>
      </c>
      <c r="E34959" s="38" t="s">
        <v>327</v>
      </c>
      <c r="F34959" s="38" t="s">
        <v>130</v>
      </c>
      <c r="G34959" s="49" t="str">
        <f t="shared" si="1"/>
        <v>08300</v>
      </c>
      <c r="H34959" s="49" t="str">
        <f t="shared" si="2"/>
        <v>08060</v>
      </c>
    </row>
    <row r="34960">
      <c r="A34960" s="48" t="s">
        <v>5612</v>
      </c>
      <c r="B34960" s="38">
        <v>52447.0</v>
      </c>
      <c r="C34960" s="38" t="s">
        <v>39131</v>
      </c>
      <c r="D34960" s="38" t="str">
        <f>IFERROR(__xludf.DUMMYFUNCTION("REGEXREPLACE(C34960,""-\d+(.*)|--\d+(.*)"","""")"),"SAINT-CIERGUES")</f>
        <v>SAINT-CIERGUES</v>
      </c>
      <c r="E34960" s="38" t="s">
        <v>234</v>
      </c>
      <c r="F34960" s="38" t="s">
        <v>130</v>
      </c>
      <c r="G34960" s="49" t="str">
        <f t="shared" si="1"/>
        <v>52200</v>
      </c>
      <c r="H34960" s="49">
        <f t="shared" si="2"/>
        <v>52447</v>
      </c>
    </row>
    <row r="34961">
      <c r="A34961" s="48" t="s">
        <v>11129</v>
      </c>
      <c r="B34961" s="38">
        <v>43165.0</v>
      </c>
      <c r="C34961" s="38" t="s">
        <v>14547</v>
      </c>
      <c r="D34961" s="38" t="str">
        <f>IFERROR(__xludf.DUMMYFUNCTION("REGEXREPLACE(C34961,""-\d+(.*)|--\d+(.*)"","""")"),"ROSIERES")</f>
        <v>ROSIERES</v>
      </c>
      <c r="E34961" s="38" t="s">
        <v>332</v>
      </c>
      <c r="F34961" s="38" t="s">
        <v>161</v>
      </c>
      <c r="G34961" s="49" t="str">
        <f t="shared" si="1"/>
        <v>43800</v>
      </c>
      <c r="H34961" s="49">
        <f t="shared" si="2"/>
        <v>43165</v>
      </c>
    </row>
    <row r="34962">
      <c r="A34962" s="48" t="s">
        <v>1054</v>
      </c>
      <c r="B34962" s="38">
        <v>46123.0</v>
      </c>
      <c r="C34962" s="38" t="s">
        <v>39132</v>
      </c>
      <c r="D34962" s="38" t="str">
        <f>IFERROR(__xludf.DUMMYFUNCTION("REGEXREPLACE(C34962,""-\d+(.*)|--\d+(.*)"","""")"),"GIRAC")</f>
        <v>GIRAC</v>
      </c>
      <c r="E34962" s="38" t="s">
        <v>185</v>
      </c>
      <c r="F34962" s="38" t="s">
        <v>94</v>
      </c>
      <c r="G34962" s="49" t="str">
        <f t="shared" si="1"/>
        <v>46130</v>
      </c>
      <c r="H34962" s="49">
        <f t="shared" si="2"/>
        <v>46123</v>
      </c>
    </row>
    <row r="34963">
      <c r="A34963" s="48" t="s">
        <v>1522</v>
      </c>
      <c r="B34963" s="38">
        <v>32370.0</v>
      </c>
      <c r="C34963" s="38" t="s">
        <v>39133</v>
      </c>
      <c r="D34963" s="38" t="str">
        <f>IFERROR(__xludf.DUMMYFUNCTION("REGEXREPLACE(C34963,""-\d+(.*)|--\d+(.*)"","""")"),"SAINT-CLAR")</f>
        <v>SAINT-CLAR</v>
      </c>
      <c r="E34963" s="38" t="s">
        <v>440</v>
      </c>
      <c r="F34963" s="38" t="s">
        <v>94</v>
      </c>
      <c r="G34963" s="49" t="str">
        <f t="shared" si="1"/>
        <v>32380</v>
      </c>
      <c r="H34963" s="49">
        <f t="shared" si="2"/>
        <v>32370</v>
      </c>
    </row>
    <row r="34964">
      <c r="A34964" s="48" t="s">
        <v>9965</v>
      </c>
      <c r="B34964" s="38">
        <v>19284.0</v>
      </c>
      <c r="C34964" s="38" t="s">
        <v>39134</v>
      </c>
      <c r="D34964" s="38" t="str">
        <f>IFERROR(__xludf.DUMMYFUNCTION("REGEXREPLACE(C34964,""-\d+(.*)|--\d+(.*)"","""")"),"VIAM")</f>
        <v>VIAM</v>
      </c>
      <c r="E34964" s="38" t="s">
        <v>271</v>
      </c>
      <c r="F34964" s="38" t="s">
        <v>98</v>
      </c>
      <c r="G34964" s="49" t="str">
        <f t="shared" si="1"/>
        <v>19170</v>
      </c>
      <c r="H34964" s="49">
        <f t="shared" si="2"/>
        <v>19284</v>
      </c>
    </row>
    <row r="34965">
      <c r="A34965" s="48" t="s">
        <v>15067</v>
      </c>
      <c r="B34965" s="38">
        <v>81043.0</v>
      </c>
      <c r="C34965" s="38" t="s">
        <v>39135</v>
      </c>
      <c r="D34965" s="38" t="str">
        <f>IFERROR(__xludf.DUMMYFUNCTION("REGEXREPLACE(C34965,""-\d+(.*)|--\d+(.*)"","""")"),"BUSQUE")</f>
        <v>BUSQUE</v>
      </c>
      <c r="E34965" s="38" t="s">
        <v>231</v>
      </c>
      <c r="F34965" s="38" t="s">
        <v>94</v>
      </c>
      <c r="G34965" s="49" t="str">
        <f t="shared" si="1"/>
        <v>81300</v>
      </c>
      <c r="H34965" s="49">
        <f t="shared" si="2"/>
        <v>81043</v>
      </c>
    </row>
    <row r="34966">
      <c r="A34966" s="48" t="s">
        <v>7153</v>
      </c>
      <c r="B34966" s="38">
        <v>30264.0</v>
      </c>
      <c r="C34966" s="38" t="s">
        <v>39136</v>
      </c>
      <c r="D34966" s="38" t="str">
        <f>IFERROR(__xludf.DUMMYFUNCTION("REGEXREPLACE(C34966,""-\d+(.*)|--\d+(.*)"","""")"),"SAINT-JEAN-DE-CEYRARGUES")</f>
        <v>SAINT-JEAN-DE-CEYRARGUES</v>
      </c>
      <c r="E34966" s="38" t="s">
        <v>526</v>
      </c>
      <c r="F34966" s="38" t="s">
        <v>119</v>
      </c>
      <c r="G34966" s="49" t="str">
        <f t="shared" si="1"/>
        <v>30360</v>
      </c>
      <c r="H34966" s="49">
        <f t="shared" si="2"/>
        <v>30264</v>
      </c>
    </row>
    <row r="34967">
      <c r="A34967" s="48" t="s">
        <v>32142</v>
      </c>
      <c r="B34967" s="38">
        <v>77419.0</v>
      </c>
      <c r="C34967" s="38" t="s">
        <v>39137</v>
      </c>
      <c r="D34967" s="38" t="str">
        <f>IFERROR(__xludf.DUMMYFUNCTION("REGEXREPLACE(C34967,""-\d+(.*)|--\d+(.*)"","""")"),"SAINT-MAMMES")</f>
        <v>SAINT-MAMMES</v>
      </c>
      <c r="E34967" s="38" t="s">
        <v>244</v>
      </c>
      <c r="F34967" s="38" t="s">
        <v>245</v>
      </c>
      <c r="G34967" s="49" t="str">
        <f t="shared" si="1"/>
        <v>77670</v>
      </c>
      <c r="H34967" s="49">
        <f t="shared" si="2"/>
        <v>77419</v>
      </c>
    </row>
    <row r="34968">
      <c r="A34968" s="48" t="s">
        <v>3275</v>
      </c>
      <c r="B34968" s="38">
        <v>59341.0</v>
      </c>
      <c r="C34968" s="38" t="s">
        <v>39138</v>
      </c>
      <c r="D34968" s="38" t="str">
        <f>IFERROR(__xludf.DUMMYFUNCTION("REGEXREPLACE(C34968,""-\d+(.*)|--\d+(.*)"","""")"),"LESDAIN")</f>
        <v>LESDAIN</v>
      </c>
      <c r="E34968" s="38" t="s">
        <v>85</v>
      </c>
      <c r="F34968" s="38" t="s">
        <v>86</v>
      </c>
      <c r="G34968" s="49" t="str">
        <f t="shared" si="1"/>
        <v>59258</v>
      </c>
      <c r="H34968" s="49">
        <f t="shared" si="2"/>
        <v>59341</v>
      </c>
    </row>
    <row r="34969">
      <c r="A34969" s="48" t="s">
        <v>2625</v>
      </c>
      <c r="B34969" s="38">
        <v>30338.0</v>
      </c>
      <c r="C34969" s="38" t="s">
        <v>39139</v>
      </c>
      <c r="D34969" s="38" t="str">
        <f>IFERROR(__xludf.DUMMYFUNCTION("REGEXREPLACE(C34969,""-\d+(.*)|--\d+(.*)"","""")"),"VALLERARGUES")</f>
        <v>VALLERARGUES</v>
      </c>
      <c r="E34969" s="38" t="s">
        <v>526</v>
      </c>
      <c r="F34969" s="38" t="s">
        <v>119</v>
      </c>
      <c r="G34969" s="49" t="str">
        <f t="shared" si="1"/>
        <v>30580</v>
      </c>
      <c r="H34969" s="49">
        <f t="shared" si="2"/>
        <v>30338</v>
      </c>
    </row>
    <row r="34970">
      <c r="A34970" s="48" t="s">
        <v>5477</v>
      </c>
      <c r="B34970" s="38">
        <v>74315.0</v>
      </c>
      <c r="C34970" s="38" t="s">
        <v>39140</v>
      </c>
      <c r="D34970" s="38" t="str">
        <f>IFERROR(__xludf.DUMMYFUNCTION("REGEXREPLACE(C34970,""-\d+(.*)|--\d+(.*)"","""")"),"YVOIRE")</f>
        <v>YVOIRE</v>
      </c>
      <c r="E34970" s="38" t="s">
        <v>319</v>
      </c>
      <c r="F34970" s="38" t="s">
        <v>102</v>
      </c>
      <c r="G34970" s="49" t="str">
        <f t="shared" si="1"/>
        <v>74140</v>
      </c>
      <c r="H34970" s="49">
        <f t="shared" si="2"/>
        <v>74315</v>
      </c>
    </row>
    <row r="34971">
      <c r="A34971" s="48" t="s">
        <v>10307</v>
      </c>
      <c r="B34971" s="38">
        <v>35322.0</v>
      </c>
      <c r="C34971" s="38" t="s">
        <v>39141</v>
      </c>
      <c r="D34971" s="38" t="str">
        <f>IFERROR(__xludf.DUMMYFUNCTION("REGEXREPLACE(C34971,""-\d+(.*)|--\d+(.*)"","""")"),"LE SEL-DE-BRETAGNE")</f>
        <v>LE SEL-DE-BRETAGNE</v>
      </c>
      <c r="E34971" s="38" t="s">
        <v>347</v>
      </c>
      <c r="F34971" s="38" t="s">
        <v>90</v>
      </c>
      <c r="G34971" s="49" t="str">
        <f t="shared" si="1"/>
        <v>35320</v>
      </c>
      <c r="H34971" s="49">
        <f t="shared" si="2"/>
        <v>35322</v>
      </c>
    </row>
    <row r="34972">
      <c r="A34972" s="48" t="s">
        <v>1896</v>
      </c>
      <c r="B34972" s="38">
        <v>51623.0</v>
      </c>
      <c r="C34972" s="38" t="s">
        <v>39142</v>
      </c>
      <c r="D34972" s="38" t="str">
        <f>IFERROR(__xludf.DUMMYFUNCTION("REGEXREPLACE(C34972,""-\d+(.*)|--\d+(.*)"","""")"),"VILLE-EN-SELVE")</f>
        <v>VILLE-EN-SELVE</v>
      </c>
      <c r="E34972" s="38" t="s">
        <v>129</v>
      </c>
      <c r="F34972" s="38" t="s">
        <v>130</v>
      </c>
      <c r="G34972" s="49" t="str">
        <f t="shared" si="1"/>
        <v>51500</v>
      </c>
      <c r="H34972" s="49">
        <f t="shared" si="2"/>
        <v>51623</v>
      </c>
    </row>
    <row r="34973">
      <c r="A34973" s="48" t="s">
        <v>3370</v>
      </c>
      <c r="B34973" s="38">
        <v>72093.0</v>
      </c>
      <c r="C34973" s="38" t="s">
        <v>39143</v>
      </c>
      <c r="D34973" s="38" t="str">
        <f>IFERROR(__xludf.DUMMYFUNCTION("REGEXREPLACE(C34973,""-\d+(.*)|--\d+(.*)"","""")"),"CORMES")</f>
        <v>CORMES</v>
      </c>
      <c r="E34973" s="38" t="s">
        <v>521</v>
      </c>
      <c r="F34973" s="38" t="s">
        <v>180</v>
      </c>
      <c r="G34973" s="49" t="str">
        <f t="shared" si="1"/>
        <v>72400</v>
      </c>
      <c r="H34973" s="49">
        <f t="shared" si="2"/>
        <v>72093</v>
      </c>
    </row>
    <row r="34974">
      <c r="A34974" s="48" t="s">
        <v>12958</v>
      </c>
      <c r="B34974" s="38">
        <v>27182.0</v>
      </c>
      <c r="C34974" s="38" t="s">
        <v>39144</v>
      </c>
      <c r="D34974" s="38" t="str">
        <f>IFERROR(__xludf.DUMMYFUNCTION("REGEXREPLACE(C34974,""-\d+(.*)|--\d+(.*)"","""")"),"COURTEILLES")</f>
        <v>COURTEILLES</v>
      </c>
      <c r="E34974" s="38" t="s">
        <v>241</v>
      </c>
      <c r="F34974" s="38" t="s">
        <v>134</v>
      </c>
      <c r="G34974" s="49" t="str">
        <f t="shared" si="1"/>
        <v>27130</v>
      </c>
      <c r="H34974" s="49">
        <f t="shared" si="2"/>
        <v>27182</v>
      </c>
    </row>
    <row r="34975">
      <c r="A34975" s="48" t="s">
        <v>1091</v>
      </c>
      <c r="B34975" s="38">
        <v>57148.0</v>
      </c>
      <c r="C34975" s="38" t="s">
        <v>39145</v>
      </c>
      <c r="D34975" s="38" t="str">
        <f>IFERROR(__xludf.DUMMYFUNCTION("REGEXREPLACE(C34975,""-\d+(.*)|--\d+(.*)"","""")"),"COLLIGNY")</f>
        <v>COLLIGNY</v>
      </c>
      <c r="E34975" s="38" t="s">
        <v>303</v>
      </c>
      <c r="F34975" s="38" t="s">
        <v>195</v>
      </c>
      <c r="G34975" s="49" t="str">
        <f t="shared" si="1"/>
        <v>57530</v>
      </c>
      <c r="H34975" s="49">
        <f t="shared" si="2"/>
        <v>57148</v>
      </c>
    </row>
    <row r="34976">
      <c r="A34976" s="48" t="s">
        <v>39146</v>
      </c>
      <c r="B34976" s="38">
        <v>56013.0</v>
      </c>
      <c r="C34976" s="38" t="s">
        <v>39147</v>
      </c>
      <c r="D34976" s="38" t="str">
        <f>IFERROR(__xludf.DUMMYFUNCTION("REGEXREPLACE(C34976,""-\d+(.*)|--\d+(.*)"","""")"),"BELZ")</f>
        <v>BELZ</v>
      </c>
      <c r="E34976" s="38" t="s">
        <v>173</v>
      </c>
      <c r="F34976" s="38" t="s">
        <v>90</v>
      </c>
      <c r="G34976" s="49" t="str">
        <f t="shared" si="1"/>
        <v>56550</v>
      </c>
      <c r="H34976" s="49">
        <f t="shared" si="2"/>
        <v>56013</v>
      </c>
    </row>
    <row r="34977">
      <c r="A34977" s="48" t="s">
        <v>4504</v>
      </c>
      <c r="B34977" s="38">
        <v>40058.0</v>
      </c>
      <c r="C34977" s="38" t="s">
        <v>39148</v>
      </c>
      <c r="D34977" s="38" t="str">
        <f>IFERROR(__xludf.DUMMYFUNCTION("REGEXREPLACE(C34977,""-\d+(.*)|--\d+(.*)"","""")"),"CACHEN")</f>
        <v>CACHEN</v>
      </c>
      <c r="E34977" s="38" t="s">
        <v>281</v>
      </c>
      <c r="F34977" s="38" t="s">
        <v>252</v>
      </c>
      <c r="G34977" s="49" t="str">
        <f t="shared" si="1"/>
        <v>40120</v>
      </c>
      <c r="H34977" s="49">
        <f t="shared" si="2"/>
        <v>40058</v>
      </c>
    </row>
    <row r="34978">
      <c r="A34978" s="48" t="s">
        <v>5525</v>
      </c>
      <c r="B34978" s="38">
        <v>10069.0</v>
      </c>
      <c r="C34978" s="38" t="s">
        <v>39149</v>
      </c>
      <c r="D34978" s="38" t="str">
        <f>IFERROR(__xludf.DUMMYFUNCTION("REGEXREPLACE(C34978,""-\d+(.*)|--\d+(.*)"","""")"),"BUXIERES-SUR-ARCE")</f>
        <v>BUXIERES-SUR-ARCE</v>
      </c>
      <c r="E34978" s="38" t="s">
        <v>147</v>
      </c>
      <c r="F34978" s="38" t="s">
        <v>130</v>
      </c>
      <c r="G34978" s="49" t="str">
        <f t="shared" si="1"/>
        <v>10110</v>
      </c>
      <c r="H34978" s="49">
        <f t="shared" si="2"/>
        <v>10069</v>
      </c>
    </row>
    <row r="34979">
      <c r="A34979" s="48" t="s">
        <v>4877</v>
      </c>
      <c r="B34979" s="38">
        <v>61474.0</v>
      </c>
      <c r="C34979" s="38" t="s">
        <v>39150</v>
      </c>
      <c r="D34979" s="38" t="str">
        <f>IFERROR(__xludf.DUMMYFUNCTION("REGEXREPLACE(C34979,""-\d+(.*)|--\d+(.*)"","""")"),"SILLY-EN-GOUFFERN")</f>
        <v>SILLY-EN-GOUFFERN</v>
      </c>
      <c r="E34979" s="38" t="s">
        <v>141</v>
      </c>
      <c r="F34979" s="38" t="s">
        <v>138</v>
      </c>
      <c r="G34979" s="49" t="str">
        <f t="shared" si="1"/>
        <v>61310</v>
      </c>
      <c r="H34979" s="49">
        <f t="shared" si="2"/>
        <v>61474</v>
      </c>
    </row>
    <row r="34980">
      <c r="A34980" s="48" t="s">
        <v>8966</v>
      </c>
      <c r="B34980" s="38">
        <v>38530.0</v>
      </c>
      <c r="C34980" s="38" t="s">
        <v>39151</v>
      </c>
      <c r="D34980" s="38" t="str">
        <f>IFERROR(__xludf.DUMMYFUNCTION("REGEXREPLACE(C34980,""-\d+(.*)|--\d+(.*)"","""")"),"VAULX-MILIEU")</f>
        <v>VAULX-MILIEU</v>
      </c>
      <c r="E34980" s="38" t="s">
        <v>101</v>
      </c>
      <c r="F34980" s="38" t="s">
        <v>102</v>
      </c>
      <c r="G34980" s="49" t="str">
        <f t="shared" si="1"/>
        <v>38090</v>
      </c>
      <c r="H34980" s="49">
        <f t="shared" si="2"/>
        <v>38530</v>
      </c>
    </row>
    <row r="34981">
      <c r="A34981" s="48" t="s">
        <v>3206</v>
      </c>
      <c r="B34981" s="38">
        <v>40158.0</v>
      </c>
      <c r="C34981" s="38" t="s">
        <v>39152</v>
      </c>
      <c r="D34981" s="38" t="str">
        <f>IFERROR(__xludf.DUMMYFUNCTION("REGEXREPLACE(C34981,""-\d+(.*)|--\d+(.*)"","""")"),"LOSSE")</f>
        <v>LOSSE</v>
      </c>
      <c r="E34981" s="38" t="s">
        <v>281</v>
      </c>
      <c r="F34981" s="38" t="s">
        <v>252</v>
      </c>
      <c r="G34981" s="49" t="str">
        <f t="shared" si="1"/>
        <v>40240</v>
      </c>
      <c r="H34981" s="49">
        <f t="shared" si="2"/>
        <v>40158</v>
      </c>
    </row>
    <row r="34982">
      <c r="A34982" s="48" t="s">
        <v>9914</v>
      </c>
      <c r="B34982" s="38">
        <v>29218.0</v>
      </c>
      <c r="C34982" s="38" t="s">
        <v>39153</v>
      </c>
      <c r="D34982" s="38" t="str">
        <f>IFERROR(__xludf.DUMMYFUNCTION("REGEXREPLACE(C34982,""-\d+(.*)|--\d+(.*)"","""")"),"PONT-CROIX")</f>
        <v>PONT-CROIX</v>
      </c>
      <c r="E34982" s="38" t="s">
        <v>176</v>
      </c>
      <c r="F34982" s="38" t="s">
        <v>90</v>
      </c>
      <c r="G34982" s="49" t="str">
        <f t="shared" si="1"/>
        <v>29790</v>
      </c>
      <c r="H34982" s="49">
        <f t="shared" si="2"/>
        <v>29218</v>
      </c>
    </row>
    <row r="34983">
      <c r="A34983" s="48" t="s">
        <v>3711</v>
      </c>
      <c r="B34983" s="38">
        <v>21425.0</v>
      </c>
      <c r="C34983" s="38" t="s">
        <v>39154</v>
      </c>
      <c r="D34983" s="38" t="str">
        <f>IFERROR(__xludf.DUMMYFUNCTION("REGEXREPLACE(C34983,""-\d+(.*)|--\d+(.*)"","""")"),"MONTBARD")</f>
        <v>MONTBARD</v>
      </c>
      <c r="E34983" s="38" t="s">
        <v>105</v>
      </c>
      <c r="F34983" s="38" t="s">
        <v>106</v>
      </c>
      <c r="G34983" s="49" t="str">
        <f t="shared" si="1"/>
        <v>21500</v>
      </c>
      <c r="H34983" s="49">
        <f t="shared" si="2"/>
        <v>21425</v>
      </c>
    </row>
    <row r="34984">
      <c r="A34984" s="48" t="s">
        <v>3372</v>
      </c>
      <c r="B34984" s="38">
        <v>59394.0</v>
      </c>
      <c r="C34984" s="38" t="s">
        <v>39155</v>
      </c>
      <c r="D34984" s="38" t="str">
        <f>IFERROR(__xludf.DUMMYFUNCTION("REGEXREPLACE(C34984,""-\d+(.*)|--\d+(.*)"","""")"),"MAUROIS")</f>
        <v>MAUROIS</v>
      </c>
      <c r="E34984" s="38" t="s">
        <v>85</v>
      </c>
      <c r="F34984" s="38" t="s">
        <v>86</v>
      </c>
      <c r="G34984" s="49" t="str">
        <f t="shared" si="1"/>
        <v>59980</v>
      </c>
      <c r="H34984" s="49">
        <f t="shared" si="2"/>
        <v>59394</v>
      </c>
    </row>
    <row r="34985">
      <c r="A34985" s="48" t="s">
        <v>351</v>
      </c>
      <c r="B34985" s="38">
        <v>63038.0</v>
      </c>
      <c r="C34985" s="38" t="s">
        <v>39156</v>
      </c>
      <c r="D34985" s="38" t="str">
        <f>IFERROR(__xludf.DUMMYFUNCTION("REGEXREPLACE(C34985,""-\d+(.*)|--\d+(.*)"","""")"),"BESSE-ET-SAINT-ANASTAISE")</f>
        <v>BESSE-ET-SAINT-ANASTAISE</v>
      </c>
      <c r="E34985" s="38" t="s">
        <v>353</v>
      </c>
      <c r="F34985" s="38" t="s">
        <v>161</v>
      </c>
      <c r="G34985" s="49" t="str">
        <f t="shared" si="1"/>
        <v>63610</v>
      </c>
      <c r="H34985" s="49">
        <f t="shared" si="2"/>
        <v>63038</v>
      </c>
    </row>
    <row r="34986">
      <c r="A34986" s="48" t="s">
        <v>3598</v>
      </c>
      <c r="B34986" s="38">
        <v>7156.0</v>
      </c>
      <c r="C34986" s="38" t="s">
        <v>39157</v>
      </c>
      <c r="D34986" s="38" t="str">
        <f>IFERROR(__xludf.DUMMYFUNCTION("REGEXREPLACE(C34986,""-\d+(.*)|--\d+(.*)"","""")"),"MEYRAS")</f>
        <v>MEYRAS</v>
      </c>
      <c r="E34986" s="38" t="s">
        <v>144</v>
      </c>
      <c r="F34986" s="38" t="s">
        <v>102</v>
      </c>
      <c r="G34986" s="49" t="str">
        <f t="shared" si="1"/>
        <v>07380</v>
      </c>
      <c r="H34986" s="49" t="str">
        <f t="shared" si="2"/>
        <v>07156</v>
      </c>
    </row>
    <row r="34987">
      <c r="A34987" s="48" t="s">
        <v>11602</v>
      </c>
      <c r="B34987" s="38">
        <v>5088.0</v>
      </c>
      <c r="C34987" s="38" t="s">
        <v>37631</v>
      </c>
      <c r="D34987" s="38" t="str">
        <f>IFERROR(__xludf.DUMMYFUNCTION("REGEXREPLACE(C34987,""-\d+(.*)|--\d+(.*)"","""")"),"MONTMORIN")</f>
        <v>MONTMORIN</v>
      </c>
      <c r="E34987" s="38" t="s">
        <v>706</v>
      </c>
      <c r="F34987" s="38" t="s">
        <v>228</v>
      </c>
      <c r="G34987" s="49" t="str">
        <f t="shared" si="1"/>
        <v>05150</v>
      </c>
      <c r="H34987" s="49" t="str">
        <f t="shared" si="2"/>
        <v>05088</v>
      </c>
    </row>
    <row r="34988">
      <c r="A34988" s="48" t="s">
        <v>2389</v>
      </c>
      <c r="B34988" s="38">
        <v>64149.0</v>
      </c>
      <c r="C34988" s="38" t="s">
        <v>39158</v>
      </c>
      <c r="D34988" s="38" t="str">
        <f>IFERROR(__xludf.DUMMYFUNCTION("REGEXREPLACE(C34988,""-\d+(.*)|--\d+(.*)"","""")"),"BUGNEIN")</f>
        <v>BUGNEIN</v>
      </c>
      <c r="E34988" s="38" t="s">
        <v>268</v>
      </c>
      <c r="F34988" s="38" t="s">
        <v>252</v>
      </c>
      <c r="G34988" s="49" t="str">
        <f t="shared" si="1"/>
        <v>64190</v>
      </c>
      <c r="H34988" s="49">
        <f t="shared" si="2"/>
        <v>64149</v>
      </c>
    </row>
    <row r="34989">
      <c r="A34989" s="48" t="s">
        <v>1199</v>
      </c>
      <c r="B34989" s="38">
        <v>55248.0</v>
      </c>
      <c r="C34989" s="38" t="s">
        <v>39159</v>
      </c>
      <c r="D34989" s="38" t="str">
        <f>IFERROR(__xludf.DUMMYFUNCTION("REGEXREPLACE(C34989,""-\d+(.*)|--\d+(.*)"","""")"),"HOUDELAINCOURT")</f>
        <v>HOUDELAINCOURT</v>
      </c>
      <c r="E34989" s="38" t="s">
        <v>322</v>
      </c>
      <c r="F34989" s="38" t="s">
        <v>195</v>
      </c>
      <c r="G34989" s="49" t="str">
        <f t="shared" si="1"/>
        <v>55130</v>
      </c>
      <c r="H34989" s="49">
        <f t="shared" si="2"/>
        <v>55248</v>
      </c>
    </row>
    <row r="34990">
      <c r="A34990" s="48" t="s">
        <v>7474</v>
      </c>
      <c r="B34990" s="38">
        <v>42060.0</v>
      </c>
      <c r="C34990" s="38" t="s">
        <v>38021</v>
      </c>
      <c r="D34990" s="38" t="str">
        <f>IFERROR(__xludf.DUMMYFUNCTION("REGEXREPLACE(C34990,""-\d+(.*)|--\d+(.*)"","""")"),"CHENEREILLES")</f>
        <v>CHENEREILLES</v>
      </c>
      <c r="E34990" s="38" t="s">
        <v>166</v>
      </c>
      <c r="F34990" s="38" t="s">
        <v>102</v>
      </c>
      <c r="G34990" s="49" t="str">
        <f t="shared" si="1"/>
        <v>42560</v>
      </c>
      <c r="H34990" s="49">
        <f t="shared" si="2"/>
        <v>42060</v>
      </c>
    </row>
    <row r="34991">
      <c r="A34991" s="48" t="s">
        <v>1404</v>
      </c>
      <c r="B34991" s="38">
        <v>30255.0</v>
      </c>
      <c r="C34991" s="38" t="s">
        <v>39160</v>
      </c>
      <c r="D34991" s="38" t="str">
        <f>IFERROR(__xludf.DUMMYFUNCTION("REGEXREPLACE(C34991,""-\d+(.*)|--\d+(.*)"","""")"),"SAINT-GENIES-DE-MALGOIRES")</f>
        <v>SAINT-GENIES-DE-MALGOIRES</v>
      </c>
      <c r="E34991" s="38" t="s">
        <v>526</v>
      </c>
      <c r="F34991" s="38" t="s">
        <v>119</v>
      </c>
      <c r="G34991" s="49" t="str">
        <f t="shared" si="1"/>
        <v>30190</v>
      </c>
      <c r="H34991" s="49">
        <f t="shared" si="2"/>
        <v>30255</v>
      </c>
    </row>
    <row r="34992">
      <c r="A34992" s="48" t="s">
        <v>4191</v>
      </c>
      <c r="B34992" s="38">
        <v>77487.0</v>
      </c>
      <c r="C34992" s="38" t="s">
        <v>39161</v>
      </c>
      <c r="D34992" s="38" t="str">
        <f>IFERROR(__xludf.DUMMYFUNCTION("REGEXREPLACE(C34992,""-\d+(.*)|--\d+(.*)"","""")"),"VAUX-LE-PENIL")</f>
        <v>VAUX-LE-PENIL</v>
      </c>
      <c r="E34992" s="38" t="s">
        <v>244</v>
      </c>
      <c r="F34992" s="38" t="s">
        <v>245</v>
      </c>
      <c r="G34992" s="49" t="str">
        <f t="shared" si="1"/>
        <v>77000</v>
      </c>
      <c r="H34992" s="49">
        <f t="shared" si="2"/>
        <v>77487</v>
      </c>
    </row>
    <row r="34993">
      <c r="A34993" s="48" t="s">
        <v>938</v>
      </c>
      <c r="B34993" s="38">
        <v>9186.0</v>
      </c>
      <c r="C34993" s="38" t="s">
        <v>39162</v>
      </c>
      <c r="D34993" s="38" t="str">
        <f>IFERROR(__xludf.DUMMYFUNCTION("REGEXREPLACE(C34993,""-\d+(.*)|--\d+(.*)"","""")"),"MERAS")</f>
        <v>MERAS</v>
      </c>
      <c r="E34993" s="38" t="s">
        <v>238</v>
      </c>
      <c r="F34993" s="38" t="s">
        <v>94</v>
      </c>
      <c r="G34993" s="49" t="str">
        <f t="shared" si="1"/>
        <v>09350</v>
      </c>
      <c r="H34993" s="49" t="str">
        <f t="shared" si="2"/>
        <v>09186</v>
      </c>
    </row>
    <row r="34994">
      <c r="A34994" s="48" t="s">
        <v>781</v>
      </c>
      <c r="B34994" s="38">
        <v>65247.0</v>
      </c>
      <c r="C34994" s="38" t="s">
        <v>39163</v>
      </c>
      <c r="D34994" s="38" t="str">
        <f>IFERROR(__xludf.DUMMYFUNCTION("REGEXREPLACE(C34994,""-\d+(.*)|--\d+(.*)"","""")"),"ARRAYOU-LAHITTE")</f>
        <v>ARRAYOU-LAHITTE</v>
      </c>
      <c r="E34994" s="38" t="s">
        <v>200</v>
      </c>
      <c r="F34994" s="38" t="s">
        <v>94</v>
      </c>
      <c r="G34994" s="49" t="str">
        <f t="shared" si="1"/>
        <v>65100</v>
      </c>
      <c r="H34994" s="49">
        <f t="shared" si="2"/>
        <v>65247</v>
      </c>
    </row>
    <row r="34995">
      <c r="A34995" s="48" t="s">
        <v>2330</v>
      </c>
      <c r="B34995" s="38">
        <v>65169.0</v>
      </c>
      <c r="C34995" s="38" t="s">
        <v>22232</v>
      </c>
      <c r="D34995" s="38" t="str">
        <f>IFERROR(__xludf.DUMMYFUNCTION("REGEXREPLACE(C34995,""-\d+(.*)|--\d+(.*)"","""")"),"ESTAING")</f>
        <v>ESTAING</v>
      </c>
      <c r="E34995" s="38" t="s">
        <v>200</v>
      </c>
      <c r="F34995" s="38" t="s">
        <v>94</v>
      </c>
      <c r="G34995" s="49" t="str">
        <f t="shared" si="1"/>
        <v>65400</v>
      </c>
      <c r="H34995" s="49">
        <f t="shared" si="2"/>
        <v>65169</v>
      </c>
    </row>
    <row r="34996">
      <c r="A34996" s="48" t="s">
        <v>2968</v>
      </c>
      <c r="B34996" s="38">
        <v>45328.0</v>
      </c>
      <c r="C34996" s="38" t="s">
        <v>39164</v>
      </c>
      <c r="D34996" s="38" t="str">
        <f>IFERROR(__xludf.DUMMYFUNCTION("REGEXREPLACE(C34996,""-\d+(.*)|--\d+(.*)"","""")"),"TREILLES-EN-GATINAIS")</f>
        <v>TREILLES-EN-GATINAIS</v>
      </c>
      <c r="E34996" s="38" t="s">
        <v>122</v>
      </c>
      <c r="F34996" s="38" t="s">
        <v>123</v>
      </c>
      <c r="G34996" s="49" t="str">
        <f t="shared" si="1"/>
        <v>45490</v>
      </c>
      <c r="H34996" s="49">
        <f t="shared" si="2"/>
        <v>45328</v>
      </c>
    </row>
    <row r="34997">
      <c r="A34997" s="48" t="s">
        <v>6275</v>
      </c>
      <c r="B34997" s="38">
        <v>8140.0</v>
      </c>
      <c r="C34997" s="38" t="s">
        <v>39165</v>
      </c>
      <c r="D34997" s="38" t="str">
        <f>IFERROR(__xludf.DUMMYFUNCTION("REGEXREPLACE(C34997,""-\d+(.*)|--\d+(.*)"","""")"),"DOM-LE-MESNIL")</f>
        <v>DOM-LE-MESNIL</v>
      </c>
      <c r="E34997" s="38" t="s">
        <v>327</v>
      </c>
      <c r="F34997" s="38" t="s">
        <v>130</v>
      </c>
      <c r="G34997" s="49" t="str">
        <f t="shared" si="1"/>
        <v>08160</v>
      </c>
      <c r="H34997" s="49" t="str">
        <f t="shared" si="2"/>
        <v>08140</v>
      </c>
    </row>
    <row r="34998">
      <c r="A34998" s="48" t="s">
        <v>21582</v>
      </c>
      <c r="B34998" s="38">
        <v>97608.0</v>
      </c>
      <c r="C34998" s="38" t="s">
        <v>39166</v>
      </c>
      <c r="D34998" s="38" t="str">
        <f>IFERROR(__xludf.DUMMYFUNCTION("REGEXREPLACE(C34998,""-\d+(.*)|--\d+(.*)"","""")"),"DZAOUDZI")</f>
        <v>DZAOUDZI</v>
      </c>
      <c r="E34998" s="38" t="s">
        <v>2865</v>
      </c>
      <c r="F34998" s="38" t="s">
        <v>2865</v>
      </c>
      <c r="G34998" s="49" t="str">
        <f t="shared" si="1"/>
        <v>97610</v>
      </c>
      <c r="H34998" s="49">
        <f t="shared" si="2"/>
        <v>97608</v>
      </c>
    </row>
    <row r="34999">
      <c r="A34999" s="48" t="s">
        <v>3814</v>
      </c>
      <c r="B34999" s="38">
        <v>71452.0</v>
      </c>
      <c r="C34999" s="38" t="s">
        <v>39167</v>
      </c>
      <c r="D34999" s="38" t="str">
        <f>IFERROR(__xludf.DUMMYFUNCTION("REGEXREPLACE(C34999,""-\d+(.*)|--\d+(.*)"","""")"),"SAINT-MARTIN-DE-SALENCEY")</f>
        <v>SAINT-MARTIN-DE-SALENCEY</v>
      </c>
      <c r="E34999" s="38" t="s">
        <v>344</v>
      </c>
      <c r="F34999" s="38" t="s">
        <v>106</v>
      </c>
      <c r="G34999" s="49" t="str">
        <f t="shared" si="1"/>
        <v>71220</v>
      </c>
      <c r="H34999" s="49">
        <f t="shared" si="2"/>
        <v>71452</v>
      </c>
    </row>
    <row r="35000">
      <c r="A35000" s="48" t="s">
        <v>12221</v>
      </c>
      <c r="B35000" s="38">
        <v>41136.0</v>
      </c>
      <c r="C35000" s="38" t="s">
        <v>39168</v>
      </c>
      <c r="D35000" s="38" t="str">
        <f>IFERROR(__xludf.DUMMYFUNCTION("REGEXREPLACE(C35000,""-\d+(.*)|--\d+(.*)"","""")"),"MER")</f>
        <v>MER</v>
      </c>
      <c r="E35000" s="38" t="s">
        <v>188</v>
      </c>
      <c r="F35000" s="38" t="s">
        <v>123</v>
      </c>
      <c r="G35000" s="49" t="str">
        <f t="shared" si="1"/>
        <v>41500</v>
      </c>
      <c r="H35000" s="49">
        <f t="shared" si="2"/>
        <v>41136</v>
      </c>
    </row>
    <row r="35001">
      <c r="A35001" s="48" t="s">
        <v>1785</v>
      </c>
      <c r="B35001" s="38">
        <v>42266.0</v>
      </c>
      <c r="C35001" s="38" t="s">
        <v>39169</v>
      </c>
      <c r="D35001" s="38" t="str">
        <f>IFERROR(__xludf.DUMMYFUNCTION("REGEXREPLACE(C35001,""-\d+(.*)|--\d+(.*)"","""")"),"SAINT-NIZIER-DE-FORNAS")</f>
        <v>SAINT-NIZIER-DE-FORNAS</v>
      </c>
      <c r="E35001" s="38" t="s">
        <v>166</v>
      </c>
      <c r="F35001" s="38" t="s">
        <v>102</v>
      </c>
      <c r="G35001" s="49" t="str">
        <f t="shared" si="1"/>
        <v>42380</v>
      </c>
      <c r="H35001" s="49">
        <f t="shared" si="2"/>
        <v>42266</v>
      </c>
    </row>
    <row r="35002">
      <c r="A35002" s="48" t="s">
        <v>1800</v>
      </c>
      <c r="B35002" s="38">
        <v>88338.0</v>
      </c>
      <c r="C35002" s="38" t="s">
        <v>39170</v>
      </c>
      <c r="D35002" s="38" t="str">
        <f>IFERROR(__xludf.DUMMYFUNCTION("REGEXREPLACE(C35002,""-\d+(.*)|--\d+(.*)"","""")"),"ORTONCOURT")</f>
        <v>ORTONCOURT</v>
      </c>
      <c r="E35002" s="38" t="s">
        <v>194</v>
      </c>
      <c r="F35002" s="38" t="s">
        <v>195</v>
      </c>
      <c r="G35002" s="49" t="str">
        <f t="shared" si="1"/>
        <v>88700</v>
      </c>
      <c r="H35002" s="49">
        <f t="shared" si="2"/>
        <v>88338</v>
      </c>
    </row>
    <row r="35003">
      <c r="A35003" s="48" t="s">
        <v>12573</v>
      </c>
      <c r="B35003" s="38">
        <v>7030.0</v>
      </c>
      <c r="C35003" s="38" t="s">
        <v>39171</v>
      </c>
      <c r="D35003" s="38" t="str">
        <f>IFERROR(__xludf.DUMMYFUNCTION("REGEXREPLACE(C35003,""-\d+(.*)|--\d+(.*)"","""")"),"BEAUVENE")</f>
        <v>BEAUVENE</v>
      </c>
      <c r="E35003" s="38" t="s">
        <v>144</v>
      </c>
      <c r="F35003" s="38" t="s">
        <v>102</v>
      </c>
      <c r="G35003" s="49" t="str">
        <f t="shared" si="1"/>
        <v>07190</v>
      </c>
      <c r="H35003" s="49" t="str">
        <f t="shared" si="2"/>
        <v>07030</v>
      </c>
    </row>
    <row r="35004">
      <c r="A35004" s="48" t="s">
        <v>760</v>
      </c>
      <c r="B35004" s="38">
        <v>89347.0</v>
      </c>
      <c r="C35004" s="38" t="s">
        <v>39172</v>
      </c>
      <c r="D35004" s="38" t="str">
        <f>IFERROR(__xludf.DUMMYFUNCTION("REGEXREPLACE(C35004,""-\d+(.*)|--\d+(.*)"","""")"),"SAINT-GERMAIN-DES-CHAMPS")</f>
        <v>SAINT-GERMAIN-DES-CHAMPS</v>
      </c>
      <c r="E35004" s="38" t="s">
        <v>275</v>
      </c>
      <c r="F35004" s="38" t="s">
        <v>106</v>
      </c>
      <c r="G35004" s="49" t="str">
        <f t="shared" si="1"/>
        <v>89630</v>
      </c>
      <c r="H35004" s="49">
        <f t="shared" si="2"/>
        <v>89347</v>
      </c>
    </row>
    <row r="35005">
      <c r="A35005" s="48" t="s">
        <v>1568</v>
      </c>
      <c r="B35005" s="38">
        <v>36029.0</v>
      </c>
      <c r="C35005" s="38" t="s">
        <v>10275</v>
      </c>
      <c r="D35005" s="38" t="str">
        <f>IFERROR(__xludf.DUMMYFUNCTION("REGEXREPLACE(C35005,""-\d+(.*)|--\d+(.*)"","""")"),"BUXEUIL")</f>
        <v>BUXEUIL</v>
      </c>
      <c r="E35005" s="38" t="s">
        <v>258</v>
      </c>
      <c r="F35005" s="38" t="s">
        <v>123</v>
      </c>
      <c r="G35005" s="49" t="str">
        <f t="shared" si="1"/>
        <v>36150</v>
      </c>
      <c r="H35005" s="49">
        <f t="shared" si="2"/>
        <v>36029</v>
      </c>
    </row>
    <row r="35006">
      <c r="A35006" s="48" t="s">
        <v>6572</v>
      </c>
      <c r="B35006" s="38">
        <v>31250.0</v>
      </c>
      <c r="C35006" s="38" t="s">
        <v>39173</v>
      </c>
      <c r="D35006" s="38" t="str">
        <f>IFERROR(__xludf.DUMMYFUNCTION("REGEXREPLACE(C35006,""-\d+(.*)|--\d+(.*)"","""")"),"LABASTIDE-CLERMONT")</f>
        <v>LABASTIDE-CLERMONT</v>
      </c>
      <c r="E35006" s="38" t="s">
        <v>93</v>
      </c>
      <c r="F35006" s="38" t="s">
        <v>94</v>
      </c>
      <c r="G35006" s="49" t="str">
        <f t="shared" si="1"/>
        <v>31370</v>
      </c>
      <c r="H35006" s="49">
        <f t="shared" si="2"/>
        <v>31250</v>
      </c>
    </row>
    <row r="35007">
      <c r="A35007" s="48" t="s">
        <v>3932</v>
      </c>
      <c r="B35007" s="38">
        <v>61472.0</v>
      </c>
      <c r="C35007" s="38" t="s">
        <v>39174</v>
      </c>
      <c r="D35007" s="38" t="str">
        <f>IFERROR(__xludf.DUMMYFUNCTION("REGEXREPLACE(C35007,""-\d+(.*)|--\d+(.*)"","""")"),"SEVIGNY")</f>
        <v>SEVIGNY</v>
      </c>
      <c r="E35007" s="38" t="s">
        <v>141</v>
      </c>
      <c r="F35007" s="38" t="s">
        <v>138</v>
      </c>
      <c r="G35007" s="49" t="str">
        <f t="shared" si="1"/>
        <v>61200</v>
      </c>
      <c r="H35007" s="49">
        <f t="shared" si="2"/>
        <v>61472</v>
      </c>
    </row>
    <row r="35008">
      <c r="A35008" s="48" t="s">
        <v>1903</v>
      </c>
      <c r="B35008" s="38">
        <v>10243.0</v>
      </c>
      <c r="C35008" s="38" t="s">
        <v>39175</v>
      </c>
      <c r="D35008" s="38" t="str">
        <f>IFERROR(__xludf.DUMMYFUNCTION("REGEXREPLACE(C35008,""-\d+(.*)|--\d+(.*)"","""")"),"MOLINS-SUR-AUBE")</f>
        <v>MOLINS-SUR-AUBE</v>
      </c>
      <c r="E35008" s="38" t="s">
        <v>147</v>
      </c>
      <c r="F35008" s="38" t="s">
        <v>130</v>
      </c>
      <c r="G35008" s="49" t="str">
        <f t="shared" si="1"/>
        <v>10500</v>
      </c>
      <c r="H35008" s="49">
        <f t="shared" si="2"/>
        <v>10243</v>
      </c>
    </row>
    <row r="35009">
      <c r="A35009" s="48" t="s">
        <v>754</v>
      </c>
      <c r="B35009" s="38">
        <v>91519.0</v>
      </c>
      <c r="C35009" s="38" t="s">
        <v>39176</v>
      </c>
      <c r="D35009" s="38" t="str">
        <f>IFERROR(__xludf.DUMMYFUNCTION("REGEXREPLACE(C35009,""-\d+(.*)|--\d+(.*)"","""")"),"RICHARVILLE")</f>
        <v>RICHARVILLE</v>
      </c>
      <c r="E35009" s="38" t="s">
        <v>756</v>
      </c>
      <c r="F35009" s="38" t="s">
        <v>245</v>
      </c>
      <c r="G35009" s="49" t="str">
        <f t="shared" si="1"/>
        <v>91410</v>
      </c>
      <c r="H35009" s="49">
        <f t="shared" si="2"/>
        <v>91519</v>
      </c>
    </row>
    <row r="35010">
      <c r="A35010" s="48" t="s">
        <v>3196</v>
      </c>
      <c r="B35010" s="38">
        <v>1369.0</v>
      </c>
      <c r="C35010" s="38" t="s">
        <v>13965</v>
      </c>
      <c r="D35010" s="38" t="str">
        <f>IFERROR(__xludf.DUMMYFUNCTION("REGEXREPLACE(C35010,""-\d+(.*)|--\d+(.*)"","""")"),"SAINT-JUST")</f>
        <v>SAINT-JUST</v>
      </c>
      <c r="E35010" s="38" t="s">
        <v>255</v>
      </c>
      <c r="F35010" s="38" t="s">
        <v>102</v>
      </c>
      <c r="G35010" s="49" t="str">
        <f t="shared" si="1"/>
        <v>01250</v>
      </c>
      <c r="H35010" s="49" t="str">
        <f t="shared" si="2"/>
        <v>01369</v>
      </c>
    </row>
    <row r="35011">
      <c r="A35011" s="48" t="s">
        <v>2208</v>
      </c>
      <c r="B35011" s="38">
        <v>55219.0</v>
      </c>
      <c r="C35011" s="38" t="s">
        <v>39177</v>
      </c>
      <c r="D35011" s="38" t="str">
        <f>IFERROR(__xludf.DUMMYFUNCTION("REGEXREPLACE(C35011,""-\d+(.*)|--\d+(.*)"","""")"),"GRIMAUCOURT-EN-WOEVRE")</f>
        <v>GRIMAUCOURT-EN-WOEVRE</v>
      </c>
      <c r="E35011" s="38" t="s">
        <v>322</v>
      </c>
      <c r="F35011" s="38" t="s">
        <v>195</v>
      </c>
      <c r="G35011" s="49" t="str">
        <f t="shared" si="1"/>
        <v>55400</v>
      </c>
      <c r="H35011" s="49">
        <f t="shared" si="2"/>
        <v>55219</v>
      </c>
    </row>
    <row r="35012">
      <c r="A35012" s="48" t="s">
        <v>4119</v>
      </c>
      <c r="B35012" s="38">
        <v>36106.0</v>
      </c>
      <c r="C35012" s="38" t="s">
        <v>39178</v>
      </c>
      <c r="D35012" s="38" t="str">
        <f>IFERROR(__xludf.DUMMYFUNCTION("REGEXREPLACE(C35012,""-\d+(.*)|--\d+(.*)"","""")"),"LUZERET")</f>
        <v>LUZERET</v>
      </c>
      <c r="E35012" s="38" t="s">
        <v>258</v>
      </c>
      <c r="F35012" s="38" t="s">
        <v>123</v>
      </c>
      <c r="G35012" s="49" t="str">
        <f t="shared" si="1"/>
        <v>36800</v>
      </c>
      <c r="H35012" s="49">
        <f t="shared" si="2"/>
        <v>36106</v>
      </c>
    </row>
    <row r="35013">
      <c r="A35013" s="48" t="s">
        <v>9385</v>
      </c>
      <c r="B35013" s="38">
        <v>89468.0</v>
      </c>
      <c r="C35013" s="38" t="s">
        <v>39179</v>
      </c>
      <c r="D35013" s="38" t="str">
        <f>IFERROR(__xludf.DUMMYFUNCTION("REGEXREPLACE(C35013,""-\d+(.*)|--\d+(.*)"","""")"),"VILLEVALLIER")</f>
        <v>VILLEVALLIER</v>
      </c>
      <c r="E35013" s="38" t="s">
        <v>275</v>
      </c>
      <c r="F35013" s="38" t="s">
        <v>106</v>
      </c>
      <c r="G35013" s="49" t="str">
        <f t="shared" si="1"/>
        <v>89330</v>
      </c>
      <c r="H35013" s="49">
        <f t="shared" si="2"/>
        <v>89468</v>
      </c>
    </row>
    <row r="35014">
      <c r="A35014" s="48" t="s">
        <v>3344</v>
      </c>
      <c r="B35014" s="38">
        <v>76279.0</v>
      </c>
      <c r="C35014" s="38" t="s">
        <v>39180</v>
      </c>
      <c r="D35014" s="38" t="str">
        <f>IFERROR(__xludf.DUMMYFUNCTION("REGEXREPLACE(C35014,""-\d+(.*)|--\d+(.*)"","""")"),"FOUCART")</f>
        <v>FOUCART</v>
      </c>
      <c r="E35014" s="38" t="s">
        <v>133</v>
      </c>
      <c r="F35014" s="38" t="s">
        <v>134</v>
      </c>
      <c r="G35014" s="49" t="str">
        <f t="shared" si="1"/>
        <v>76640</v>
      </c>
      <c r="H35014" s="49">
        <f t="shared" si="2"/>
        <v>76279</v>
      </c>
    </row>
    <row r="35015">
      <c r="A35015" s="48" t="s">
        <v>4893</v>
      </c>
      <c r="B35015" s="38">
        <v>56247.0</v>
      </c>
      <c r="C35015" s="38" t="s">
        <v>39181</v>
      </c>
      <c r="D35015" s="38" t="str">
        <f>IFERROR(__xludf.DUMMYFUNCTION("REGEXREPLACE(C35015,""-\d+(.*)|--\d+(.*)"","""")"),"SULNIAC")</f>
        <v>SULNIAC</v>
      </c>
      <c r="E35015" s="38" t="s">
        <v>173</v>
      </c>
      <c r="F35015" s="38" t="s">
        <v>90</v>
      </c>
      <c r="G35015" s="49" t="str">
        <f t="shared" si="1"/>
        <v>56250</v>
      </c>
      <c r="H35015" s="49">
        <f t="shared" si="2"/>
        <v>56247</v>
      </c>
    </row>
    <row r="35016">
      <c r="A35016" s="48" t="s">
        <v>11561</v>
      </c>
      <c r="B35016" s="38">
        <v>35065.0</v>
      </c>
      <c r="C35016" s="38" t="s">
        <v>39182</v>
      </c>
      <c r="D35016" s="38" t="str">
        <f>IFERROR(__xludf.DUMMYFUNCTION("REGEXREPLACE(C35016,""-\d+(.*)|--\d+(.*)"","""")"),"LA CHAPELLE-THOUARAULT")</f>
        <v>LA CHAPELLE-THOUARAULT</v>
      </c>
      <c r="E35016" s="38" t="s">
        <v>347</v>
      </c>
      <c r="F35016" s="38" t="s">
        <v>90</v>
      </c>
      <c r="G35016" s="49" t="str">
        <f t="shared" si="1"/>
        <v>35590</v>
      </c>
      <c r="H35016" s="49">
        <f t="shared" si="2"/>
        <v>35065</v>
      </c>
    </row>
    <row r="35017">
      <c r="A35017" s="48" t="s">
        <v>7452</v>
      </c>
      <c r="B35017" s="38">
        <v>48091.0</v>
      </c>
      <c r="C35017" s="38" t="s">
        <v>18784</v>
      </c>
      <c r="D35017" s="38" t="str">
        <f>IFERROR(__xludf.DUMMYFUNCTION("REGEXREPLACE(C35017,""-\d+(.*)|--\d+(.*)"","""")"),"MARCHASTEL")</f>
        <v>MARCHASTEL</v>
      </c>
      <c r="E35017" s="38" t="s">
        <v>154</v>
      </c>
      <c r="F35017" s="38" t="s">
        <v>119</v>
      </c>
      <c r="G35017" s="49" t="str">
        <f t="shared" si="1"/>
        <v>48260</v>
      </c>
      <c r="H35017" s="49">
        <f t="shared" si="2"/>
        <v>48091</v>
      </c>
    </row>
    <row r="35018">
      <c r="A35018" s="48" t="s">
        <v>5781</v>
      </c>
      <c r="B35018" s="38">
        <v>69294.0</v>
      </c>
      <c r="C35018" s="38" t="s">
        <v>39183</v>
      </c>
      <c r="D35018" s="38" t="str">
        <f>IFERROR(__xludf.DUMMYFUNCTION("REGEXREPLACE(C35018,""-\d+(.*)|--\d+(.*)"","""")"),"SEREZIN-DU-RHONE")</f>
        <v>SEREZIN-DU-RHONE</v>
      </c>
      <c r="E35018" s="38" t="s">
        <v>350</v>
      </c>
      <c r="F35018" s="38" t="s">
        <v>102</v>
      </c>
      <c r="G35018" s="49" t="str">
        <f t="shared" si="1"/>
        <v>69360</v>
      </c>
      <c r="H35018" s="49">
        <f t="shared" si="2"/>
        <v>69294</v>
      </c>
    </row>
    <row r="35019">
      <c r="A35019" s="48" t="s">
        <v>3198</v>
      </c>
      <c r="B35019" s="38">
        <v>32423.0</v>
      </c>
      <c r="C35019" s="38" t="s">
        <v>39184</v>
      </c>
      <c r="D35019" s="38" t="str">
        <f>IFERROR(__xludf.DUMMYFUNCTION("REGEXREPLACE(C35019,""-\d+(.*)|--\d+(.*)"","""")"),"SEAILLES")</f>
        <v>SEAILLES</v>
      </c>
      <c r="E35019" s="38" t="s">
        <v>440</v>
      </c>
      <c r="F35019" s="38" t="s">
        <v>94</v>
      </c>
      <c r="G35019" s="49" t="str">
        <f t="shared" si="1"/>
        <v>32190</v>
      </c>
      <c r="H35019" s="49">
        <f t="shared" si="2"/>
        <v>32423</v>
      </c>
    </row>
    <row r="35020">
      <c r="A35020" s="48" t="s">
        <v>12009</v>
      </c>
      <c r="B35020" s="38">
        <v>71092.0</v>
      </c>
      <c r="C35020" s="38" t="s">
        <v>39185</v>
      </c>
      <c r="D35020" s="38" t="str">
        <f>IFERROR(__xludf.DUMMYFUNCTION("REGEXREPLACE(C35020,""-\d+(.*)|--\d+(.*)"","""")"),"LA CHAPELLE-NAUDE")</f>
        <v>LA CHAPELLE-NAUDE</v>
      </c>
      <c r="E35020" s="38" t="s">
        <v>344</v>
      </c>
      <c r="F35020" s="38" t="s">
        <v>106</v>
      </c>
      <c r="G35020" s="49" t="str">
        <f t="shared" si="1"/>
        <v>71500</v>
      </c>
      <c r="H35020" s="49">
        <f t="shared" si="2"/>
        <v>71092</v>
      </c>
    </row>
    <row r="35021">
      <c r="A35021" s="48" t="s">
        <v>3821</v>
      </c>
      <c r="B35021" s="38">
        <v>57483.0</v>
      </c>
      <c r="C35021" s="38" t="s">
        <v>39186</v>
      </c>
      <c r="D35021" s="38" t="str">
        <f>IFERROR(__xludf.DUMMYFUNCTION("REGEXREPLACE(C35021,""-\d+(.*)|--\d+(.*)"","""")"),"MORHANGE")</f>
        <v>MORHANGE</v>
      </c>
      <c r="E35021" s="38" t="s">
        <v>303</v>
      </c>
      <c r="F35021" s="38" t="s">
        <v>195</v>
      </c>
      <c r="G35021" s="49" t="str">
        <f t="shared" si="1"/>
        <v>57340</v>
      </c>
      <c r="H35021" s="49">
        <f t="shared" si="2"/>
        <v>57483</v>
      </c>
    </row>
    <row r="35022">
      <c r="A35022" s="48" t="s">
        <v>3814</v>
      </c>
      <c r="B35022" s="38">
        <v>71017.0</v>
      </c>
      <c r="C35022" s="38" t="s">
        <v>39187</v>
      </c>
      <c r="D35022" s="38" t="str">
        <f>IFERROR(__xludf.DUMMYFUNCTION("REGEXREPLACE(C35022,""-\d+(.*)|--\d+(.*)"","""")"),"BALLORE")</f>
        <v>BALLORE</v>
      </c>
      <c r="E35022" s="38" t="s">
        <v>344</v>
      </c>
      <c r="F35022" s="38" t="s">
        <v>106</v>
      </c>
      <c r="G35022" s="49" t="str">
        <f t="shared" si="1"/>
        <v>71220</v>
      </c>
      <c r="H35022" s="49">
        <f t="shared" si="2"/>
        <v>71017</v>
      </c>
    </row>
    <row r="35023">
      <c r="A35023" s="48" t="s">
        <v>1932</v>
      </c>
      <c r="B35023" s="38">
        <v>70306.0</v>
      </c>
      <c r="C35023" s="38" t="s">
        <v>39188</v>
      </c>
      <c r="D35023" s="38" t="str">
        <f>IFERROR(__xludf.DUMMYFUNCTION("REGEXREPLACE(C35023,""-\d+(.*)|--\d+(.*)"","""")"),"LOMONT")</f>
        <v>LOMONT</v>
      </c>
      <c r="E35023" s="38" t="s">
        <v>956</v>
      </c>
      <c r="F35023" s="38" t="s">
        <v>214</v>
      </c>
      <c r="G35023" s="49" t="str">
        <f t="shared" si="1"/>
        <v>70200</v>
      </c>
      <c r="H35023" s="49">
        <f t="shared" si="2"/>
        <v>70306</v>
      </c>
    </row>
    <row r="35024">
      <c r="A35024" s="48" t="s">
        <v>2103</v>
      </c>
      <c r="B35024" s="38">
        <v>54588.0</v>
      </c>
      <c r="C35024" s="38" t="s">
        <v>39189</v>
      </c>
      <c r="D35024" s="38" t="str">
        <f>IFERROR(__xludf.DUMMYFUNCTION("REGEXREPLACE(C35024,""-\d+(.*)|--\d+(.*)"","""")"),"VITRIMONT")</f>
        <v>VITRIMONT</v>
      </c>
      <c r="E35024" s="38" t="s">
        <v>548</v>
      </c>
      <c r="F35024" s="38" t="s">
        <v>195</v>
      </c>
      <c r="G35024" s="49" t="str">
        <f t="shared" si="1"/>
        <v>54300</v>
      </c>
      <c r="H35024" s="49">
        <f t="shared" si="2"/>
        <v>54588</v>
      </c>
    </row>
    <row r="35025">
      <c r="A35025" s="48" t="s">
        <v>13690</v>
      </c>
      <c r="B35025" s="38">
        <v>38529.0</v>
      </c>
      <c r="C35025" s="38" t="s">
        <v>39190</v>
      </c>
      <c r="D35025" s="38" t="str">
        <f>IFERROR(__xludf.DUMMYFUNCTION("REGEXREPLACE(C35025,""-\d+(.*)|--\d+(.*)"","""")"),"VAULNAVEYS-LE-HAUT")</f>
        <v>VAULNAVEYS-LE-HAUT</v>
      </c>
      <c r="E35025" s="38" t="s">
        <v>101</v>
      </c>
      <c r="F35025" s="38" t="s">
        <v>102</v>
      </c>
      <c r="G35025" s="49" t="str">
        <f t="shared" si="1"/>
        <v>38410</v>
      </c>
      <c r="H35025" s="49">
        <f t="shared" si="2"/>
        <v>38529</v>
      </c>
    </row>
    <row r="35026">
      <c r="A35026" s="48" t="s">
        <v>39191</v>
      </c>
      <c r="B35026" s="38">
        <v>59239.0</v>
      </c>
      <c r="C35026" s="38" t="s">
        <v>39192</v>
      </c>
      <c r="D35026" s="38" t="str">
        <f>IFERROR(__xludf.DUMMYFUNCTION("REGEXREPLACE(C35026,""-\d+(.*)|--\d+(.*)"","""")"),"FLINES-LEZ-RACHES")</f>
        <v>FLINES-LEZ-RACHES</v>
      </c>
      <c r="E35026" s="38" t="s">
        <v>85</v>
      </c>
      <c r="F35026" s="38" t="s">
        <v>86</v>
      </c>
      <c r="G35026" s="49" t="str">
        <f t="shared" si="1"/>
        <v>59148</v>
      </c>
      <c r="H35026" s="49">
        <f t="shared" si="2"/>
        <v>59239</v>
      </c>
    </row>
    <row r="35027">
      <c r="A35027" s="48" t="s">
        <v>16548</v>
      </c>
      <c r="B35027" s="38" t="s">
        <v>39193</v>
      </c>
      <c r="C35027" s="38" t="s">
        <v>39194</v>
      </c>
      <c r="D35027" s="38" t="str">
        <f>IFERROR(__xludf.DUMMYFUNCTION("REGEXREPLACE(C35027,""-\d+(.*)|--\d+(.*)"","""")"),"CARDO-TORGIA")</f>
        <v>CARDO-TORGIA</v>
      </c>
      <c r="E35027" s="38" t="s">
        <v>606</v>
      </c>
      <c r="F35027" s="38" t="s">
        <v>607</v>
      </c>
      <c r="G35027" s="49" t="str">
        <f t="shared" si="1"/>
        <v>20190</v>
      </c>
      <c r="H35027" s="49" t="str">
        <f t="shared" si="2"/>
        <v>2A064</v>
      </c>
    </row>
    <row r="35028">
      <c r="A35028" s="48" t="s">
        <v>2477</v>
      </c>
      <c r="B35028" s="38">
        <v>76286.0</v>
      </c>
      <c r="C35028" s="38" t="s">
        <v>39195</v>
      </c>
      <c r="D35028" s="38" t="str">
        <f>IFERROR(__xludf.DUMMYFUNCTION("REGEXREPLACE(C35028,""-\d+(.*)|--\d+(.*)"","""")"),"FRESNOY-FOLNY")</f>
        <v>FRESNOY-FOLNY</v>
      </c>
      <c r="E35028" s="38" t="s">
        <v>133</v>
      </c>
      <c r="F35028" s="38" t="s">
        <v>134</v>
      </c>
      <c r="G35028" s="49" t="str">
        <f t="shared" si="1"/>
        <v>76660</v>
      </c>
      <c r="H35028" s="49">
        <f t="shared" si="2"/>
        <v>76286</v>
      </c>
    </row>
    <row r="35029">
      <c r="A35029" s="48" t="s">
        <v>10954</v>
      </c>
      <c r="B35029" s="38">
        <v>87092.0</v>
      </c>
      <c r="C35029" s="38" t="s">
        <v>39196</v>
      </c>
      <c r="D35029" s="38" t="str">
        <f>IFERROR(__xludf.DUMMYFUNCTION("REGEXREPLACE(C35029,""-\d+(.*)|--\d+(.*)"","""")"),"MARVAL")</f>
        <v>MARVAL</v>
      </c>
      <c r="E35029" s="38" t="s">
        <v>897</v>
      </c>
      <c r="F35029" s="38" t="s">
        <v>98</v>
      </c>
      <c r="G35029" s="49" t="str">
        <f t="shared" si="1"/>
        <v>87440</v>
      </c>
      <c r="H35029" s="49">
        <f t="shared" si="2"/>
        <v>87092</v>
      </c>
    </row>
    <row r="35030">
      <c r="A35030" s="48" t="s">
        <v>3311</v>
      </c>
      <c r="B35030" s="38">
        <v>19169.0</v>
      </c>
      <c r="C35030" s="38" t="s">
        <v>39197</v>
      </c>
      <c r="D35030" s="38" t="str">
        <f>IFERROR(__xludf.DUMMYFUNCTION("REGEXREPLACE(C35030,""-\d+(.*)|--\d+(.*)"","""")"),"PUY-D'ARNAC")</f>
        <v>PUY-D'ARNAC</v>
      </c>
      <c r="E35030" s="38" t="s">
        <v>271</v>
      </c>
      <c r="F35030" s="38" t="s">
        <v>98</v>
      </c>
      <c r="G35030" s="49" t="str">
        <f t="shared" si="1"/>
        <v>19120</v>
      </c>
      <c r="H35030" s="49">
        <f t="shared" si="2"/>
        <v>19169</v>
      </c>
    </row>
    <row r="35031">
      <c r="A35031" s="48" t="s">
        <v>2708</v>
      </c>
      <c r="B35031" s="38">
        <v>70415.0</v>
      </c>
      <c r="C35031" s="38" t="s">
        <v>39198</v>
      </c>
      <c r="D35031" s="38" t="str">
        <f>IFERROR(__xludf.DUMMYFUNCTION("REGEXREPLACE(C35031,""-\d+(.*)|--\d+(.*)"","""")"),"POLAINCOURT-ET-CLAIREFONTAINE")</f>
        <v>POLAINCOURT-ET-CLAIREFONTAINE</v>
      </c>
      <c r="E35031" s="38" t="s">
        <v>956</v>
      </c>
      <c r="F35031" s="38" t="s">
        <v>214</v>
      </c>
      <c r="G35031" s="49" t="str">
        <f t="shared" si="1"/>
        <v>70210</v>
      </c>
      <c r="H35031" s="49">
        <f t="shared" si="2"/>
        <v>70415</v>
      </c>
    </row>
    <row r="35032">
      <c r="A35032" s="48" t="s">
        <v>2868</v>
      </c>
      <c r="B35032" s="38">
        <v>80347.0</v>
      </c>
      <c r="C35032" s="38" t="s">
        <v>39199</v>
      </c>
      <c r="D35032" s="38" t="str">
        <f>IFERROR(__xludf.DUMMYFUNCTION("REGEXREPLACE(C35032,""-\d+(.*)|--\d+(.*)"","""")"),"FRANSART")</f>
        <v>FRANSART</v>
      </c>
      <c r="E35032" s="38" t="s">
        <v>224</v>
      </c>
      <c r="F35032" s="38" t="s">
        <v>113</v>
      </c>
      <c r="G35032" s="49" t="str">
        <f t="shared" si="1"/>
        <v>80700</v>
      </c>
      <c r="H35032" s="49">
        <f t="shared" si="2"/>
        <v>80347</v>
      </c>
    </row>
    <row r="35033">
      <c r="A35033" s="48" t="s">
        <v>5848</v>
      </c>
      <c r="B35033" s="38">
        <v>50038.0</v>
      </c>
      <c r="C35033" s="38" t="s">
        <v>4135</v>
      </c>
      <c r="D35033" s="38" t="str">
        <f>IFERROR(__xludf.DUMMYFUNCTION("REGEXREPLACE(C35033,""-\d+(.*)|--\d+(.*)"","""")"),"BEAUCHAMPS")</f>
        <v>BEAUCHAMPS</v>
      </c>
      <c r="E35033" s="38" t="s">
        <v>157</v>
      </c>
      <c r="F35033" s="38" t="s">
        <v>138</v>
      </c>
      <c r="G35033" s="49" t="str">
        <f t="shared" si="1"/>
        <v>50320</v>
      </c>
      <c r="H35033" s="49">
        <f t="shared" si="2"/>
        <v>50038</v>
      </c>
    </row>
    <row r="35034">
      <c r="A35034" s="48" t="s">
        <v>11129</v>
      </c>
      <c r="B35034" s="38">
        <v>43267.0</v>
      </c>
      <c r="C35034" s="38" t="s">
        <v>39200</v>
      </c>
      <c r="D35034" s="38" t="str">
        <f>IFERROR(__xludf.DUMMYFUNCTION("REGEXREPLACE(C35034,""-\d+(.*)|--\d+(.*)"","""")"),"VOREY")</f>
        <v>VOREY</v>
      </c>
      <c r="E35034" s="38" t="s">
        <v>332</v>
      </c>
      <c r="F35034" s="38" t="s">
        <v>161</v>
      </c>
      <c r="G35034" s="49" t="str">
        <f t="shared" si="1"/>
        <v>43800</v>
      </c>
      <c r="H35034" s="49">
        <f t="shared" si="2"/>
        <v>43267</v>
      </c>
    </row>
    <row r="35035">
      <c r="A35035" s="48" t="s">
        <v>1520</v>
      </c>
      <c r="B35035" s="38">
        <v>16104.0</v>
      </c>
      <c r="C35035" s="38" t="s">
        <v>39201</v>
      </c>
      <c r="D35035" s="38" t="str">
        <f>IFERROR(__xludf.DUMMYFUNCTION("REGEXREPLACE(C35035,""-\d+(.*)|--\d+(.*)"","""")"),"CONDAC")</f>
        <v>CONDAC</v>
      </c>
      <c r="E35035" s="38" t="s">
        <v>429</v>
      </c>
      <c r="F35035" s="38" t="s">
        <v>338</v>
      </c>
      <c r="G35035" s="49" t="str">
        <f t="shared" si="1"/>
        <v>16700</v>
      </c>
      <c r="H35035" s="49">
        <f t="shared" si="2"/>
        <v>16104</v>
      </c>
    </row>
    <row r="35036">
      <c r="A35036" s="48" t="s">
        <v>2427</v>
      </c>
      <c r="B35036" s="38">
        <v>47314.0</v>
      </c>
      <c r="C35036" s="38" t="s">
        <v>39202</v>
      </c>
      <c r="D35036" s="38" t="str">
        <f>IFERROR(__xludf.DUMMYFUNCTION("REGEXREPLACE(C35036,""-\d+(.*)|--\d+(.*)"","""")"),"TREMONS")</f>
        <v>TREMONS</v>
      </c>
      <c r="E35036" s="38" t="s">
        <v>251</v>
      </c>
      <c r="F35036" s="38" t="s">
        <v>252</v>
      </c>
      <c r="G35036" s="49" t="str">
        <f t="shared" si="1"/>
        <v>47140</v>
      </c>
      <c r="H35036" s="49">
        <f t="shared" si="2"/>
        <v>47314</v>
      </c>
    </row>
    <row r="35037">
      <c r="A35037" s="48" t="s">
        <v>6858</v>
      </c>
      <c r="B35037" s="38">
        <v>71039.0</v>
      </c>
      <c r="C35037" s="38" t="s">
        <v>19591</v>
      </c>
      <c r="D35037" s="38" t="str">
        <f>IFERROR(__xludf.DUMMYFUNCTION("REGEXREPLACE(C35037,""-\d+(.*)|--\d+(.*)"","""")"),"BLANOT")</f>
        <v>BLANOT</v>
      </c>
      <c r="E35037" s="38" t="s">
        <v>344</v>
      </c>
      <c r="F35037" s="38" t="s">
        <v>106</v>
      </c>
      <c r="G35037" s="49" t="str">
        <f t="shared" si="1"/>
        <v>71250</v>
      </c>
      <c r="H35037" s="49">
        <f t="shared" si="2"/>
        <v>71039</v>
      </c>
    </row>
    <row r="35038">
      <c r="A35038" s="48" t="s">
        <v>1850</v>
      </c>
      <c r="B35038" s="38">
        <v>48005.0</v>
      </c>
      <c r="C35038" s="38" t="s">
        <v>39203</v>
      </c>
      <c r="D35038" s="38" t="str">
        <f>IFERROR(__xludf.DUMMYFUNCTION("REGEXREPLACE(C35038,""-\d+(.*)|--\d+(.*)"","""")"),"ANTRENAS")</f>
        <v>ANTRENAS</v>
      </c>
      <c r="E35038" s="38" t="s">
        <v>154</v>
      </c>
      <c r="F35038" s="38" t="s">
        <v>119</v>
      </c>
      <c r="G35038" s="49" t="str">
        <f t="shared" si="1"/>
        <v>48100</v>
      </c>
      <c r="H35038" s="49">
        <f t="shared" si="2"/>
        <v>48005</v>
      </c>
    </row>
    <row r="35039">
      <c r="A35039" s="48" t="s">
        <v>8418</v>
      </c>
      <c r="B35039" s="38">
        <v>80099.0</v>
      </c>
      <c r="C35039" s="38" t="s">
        <v>39204</v>
      </c>
      <c r="D35039" s="38" t="str">
        <f>IFERROR(__xludf.DUMMYFUNCTION("REGEXREPLACE(C35039,""-\d+(.*)|--\d+(.*)"","""")"),"BETTENCOURT-RIVIERE")</f>
        <v>BETTENCOURT-RIVIERE</v>
      </c>
      <c r="E35039" s="38" t="s">
        <v>224</v>
      </c>
      <c r="F35039" s="38" t="s">
        <v>113</v>
      </c>
      <c r="G35039" s="49" t="str">
        <f t="shared" si="1"/>
        <v>80270</v>
      </c>
      <c r="H35039" s="49">
        <f t="shared" si="2"/>
        <v>80099</v>
      </c>
    </row>
    <row r="35040">
      <c r="A35040" s="48" t="s">
        <v>1980</v>
      </c>
      <c r="B35040" s="38">
        <v>45285.0</v>
      </c>
      <c r="C35040" s="38" t="s">
        <v>39205</v>
      </c>
      <c r="D35040" s="38" t="str">
        <f>IFERROR(__xludf.DUMMYFUNCTION("REGEXREPLACE(C35040,""-\d+(.*)|--\d+(.*)"","""")"),"SAINT-JEAN-DE-LA-RUELLE")</f>
        <v>SAINT-JEAN-DE-LA-RUELLE</v>
      </c>
      <c r="E35040" s="38" t="s">
        <v>122</v>
      </c>
      <c r="F35040" s="38" t="s">
        <v>123</v>
      </c>
      <c r="G35040" s="49" t="str">
        <f t="shared" si="1"/>
        <v>45140</v>
      </c>
      <c r="H35040" s="49">
        <f t="shared" si="2"/>
        <v>45285</v>
      </c>
    </row>
    <row r="35041">
      <c r="A35041" s="48" t="s">
        <v>1794</v>
      </c>
      <c r="B35041" s="38">
        <v>64344.0</v>
      </c>
      <c r="C35041" s="38" t="s">
        <v>39206</v>
      </c>
      <c r="D35041" s="38" t="str">
        <f>IFERROR(__xludf.DUMMYFUNCTION("REGEXREPLACE(C35041,""-\d+(.*)|--\d+(.*)"","""")"),"LIVRON")</f>
        <v>LIVRON</v>
      </c>
      <c r="E35041" s="38" t="s">
        <v>268</v>
      </c>
      <c r="F35041" s="38" t="s">
        <v>252</v>
      </c>
      <c r="G35041" s="49" t="str">
        <f t="shared" si="1"/>
        <v>64530</v>
      </c>
      <c r="H35041" s="49">
        <f t="shared" si="2"/>
        <v>64344</v>
      </c>
    </row>
    <row r="35042">
      <c r="A35042" s="48" t="s">
        <v>1932</v>
      </c>
      <c r="B35042" s="38">
        <v>70464.0</v>
      </c>
      <c r="C35042" s="38" t="s">
        <v>6018</v>
      </c>
      <c r="D35042" s="38" t="str">
        <f>IFERROR(__xludf.DUMMYFUNCTION("REGEXREPLACE(C35042,""-\d+(.*)|--\d+(.*)"","""")"),"SAINT-GERMAIN")</f>
        <v>SAINT-GERMAIN</v>
      </c>
      <c r="E35042" s="38" t="s">
        <v>956</v>
      </c>
      <c r="F35042" s="38" t="s">
        <v>214</v>
      </c>
      <c r="G35042" s="49" t="str">
        <f t="shared" si="1"/>
        <v>70200</v>
      </c>
      <c r="H35042" s="49">
        <f t="shared" si="2"/>
        <v>70464</v>
      </c>
    </row>
    <row r="35043">
      <c r="A35043" s="48" t="s">
        <v>21161</v>
      </c>
      <c r="B35043" s="38">
        <v>53123.0</v>
      </c>
      <c r="C35043" s="38" t="s">
        <v>39207</v>
      </c>
      <c r="D35043" s="38" t="str">
        <f>IFERROR(__xludf.DUMMYFUNCTION("REGEXREPLACE(C35043,""-\d+(.*)|--\d+(.*)"","""")"),"JUVIGNE")</f>
        <v>JUVIGNE</v>
      </c>
      <c r="E35043" s="38" t="s">
        <v>518</v>
      </c>
      <c r="F35043" s="38" t="s">
        <v>180</v>
      </c>
      <c r="G35043" s="49" t="str">
        <f t="shared" si="1"/>
        <v>53380</v>
      </c>
      <c r="H35043" s="49">
        <f t="shared" si="2"/>
        <v>53123</v>
      </c>
    </row>
    <row r="35044">
      <c r="A35044" s="48" t="s">
        <v>573</v>
      </c>
      <c r="B35044" s="38">
        <v>65037.0</v>
      </c>
      <c r="C35044" s="38" t="s">
        <v>39208</v>
      </c>
      <c r="D35044" s="38" t="str">
        <f>IFERROR(__xludf.DUMMYFUNCTION("REGEXREPLACE(C35044,""-\d+(.*)|--\d+(.*)"","""")"),"ARTIGUEMY")</f>
        <v>ARTIGUEMY</v>
      </c>
      <c r="E35044" s="38" t="s">
        <v>200</v>
      </c>
      <c r="F35044" s="38" t="s">
        <v>94</v>
      </c>
      <c r="G35044" s="49" t="str">
        <f t="shared" si="1"/>
        <v>65130</v>
      </c>
      <c r="H35044" s="49">
        <f t="shared" si="2"/>
        <v>65037</v>
      </c>
    </row>
    <row r="35045">
      <c r="A35045" s="48" t="s">
        <v>1661</v>
      </c>
      <c r="B35045" s="38">
        <v>36055.0</v>
      </c>
      <c r="C35045" s="38" t="s">
        <v>16392</v>
      </c>
      <c r="D35045" s="38" t="str">
        <f>IFERROR(__xludf.DUMMYFUNCTION("REGEXREPLACE(C35045,""-\d+(.*)|--\d+(.*)"","""")"),"CLION")</f>
        <v>CLION</v>
      </c>
      <c r="E35045" s="38" t="s">
        <v>258</v>
      </c>
      <c r="F35045" s="38" t="s">
        <v>123</v>
      </c>
      <c r="G35045" s="49" t="str">
        <f t="shared" si="1"/>
        <v>36700</v>
      </c>
      <c r="H35045" s="49">
        <f t="shared" si="2"/>
        <v>36055</v>
      </c>
    </row>
    <row r="35046">
      <c r="A35046" s="48" t="s">
        <v>630</v>
      </c>
      <c r="B35046" s="38">
        <v>15061.0</v>
      </c>
      <c r="C35046" s="38" t="s">
        <v>1425</v>
      </c>
      <c r="D35046" s="38" t="str">
        <f>IFERROR(__xludf.DUMMYFUNCTION("REGEXREPLACE(C35046,""-\d+(.*)|--\d+(.*)"","""")"),"DIENNE")</f>
        <v>DIENNE</v>
      </c>
      <c r="E35046" s="38" t="s">
        <v>632</v>
      </c>
      <c r="F35046" s="38" t="s">
        <v>161</v>
      </c>
      <c r="G35046" s="49" t="str">
        <f t="shared" si="1"/>
        <v>15300</v>
      </c>
      <c r="H35046" s="49">
        <f t="shared" si="2"/>
        <v>15061</v>
      </c>
    </row>
    <row r="35047">
      <c r="A35047" s="48" t="s">
        <v>4642</v>
      </c>
      <c r="B35047" s="38">
        <v>21254.0</v>
      </c>
      <c r="C35047" s="38" t="s">
        <v>39209</v>
      </c>
      <c r="D35047" s="38" t="str">
        <f>IFERROR(__xludf.DUMMYFUNCTION("REGEXREPLACE(C35047,""-\d+(.*)|--\d+(.*)"","""")"),"L'ETANG-VERGY")</f>
        <v>L'ETANG-VERGY</v>
      </c>
      <c r="E35047" s="38" t="s">
        <v>105</v>
      </c>
      <c r="F35047" s="38" t="s">
        <v>106</v>
      </c>
      <c r="G35047" s="49" t="str">
        <f t="shared" si="1"/>
        <v>21220</v>
      </c>
      <c r="H35047" s="49">
        <f t="shared" si="2"/>
        <v>21254</v>
      </c>
    </row>
    <row r="35048">
      <c r="A35048" s="48" t="s">
        <v>1673</v>
      </c>
      <c r="B35048" s="38">
        <v>5131.0</v>
      </c>
      <c r="C35048" s="38" t="s">
        <v>39210</v>
      </c>
      <c r="D35048" s="38" t="str">
        <f>IFERROR(__xludf.DUMMYFUNCTION("REGEXREPLACE(C35048,""-\d+(.*)|--\d+(.*)"","""")"),"SAINT-AUBAN-D'OZE")</f>
        <v>SAINT-AUBAN-D'OZE</v>
      </c>
      <c r="E35048" s="38" t="s">
        <v>706</v>
      </c>
      <c r="F35048" s="38" t="s">
        <v>228</v>
      </c>
      <c r="G35048" s="49" t="str">
        <f t="shared" si="1"/>
        <v>05400</v>
      </c>
      <c r="H35048" s="49" t="str">
        <f t="shared" si="2"/>
        <v>05131</v>
      </c>
    </row>
    <row r="35049">
      <c r="A35049" s="48" t="s">
        <v>5137</v>
      </c>
      <c r="B35049" s="38">
        <v>53111.0</v>
      </c>
      <c r="C35049" s="38" t="s">
        <v>39211</v>
      </c>
      <c r="D35049" s="38" t="str">
        <f>IFERROR(__xludf.DUMMYFUNCTION("REGEXREPLACE(C35049,""-\d+(.*)|--\d+(.*)"","""")"),"LA HAIE-TRAVERSAINE")</f>
        <v>LA HAIE-TRAVERSAINE</v>
      </c>
      <c r="E35049" s="38" t="s">
        <v>518</v>
      </c>
      <c r="F35049" s="38" t="s">
        <v>180</v>
      </c>
      <c r="G35049" s="49" t="str">
        <f t="shared" si="1"/>
        <v>53300</v>
      </c>
      <c r="H35049" s="49">
        <f t="shared" si="2"/>
        <v>53111</v>
      </c>
    </row>
    <row r="35050">
      <c r="A35050" s="48" t="s">
        <v>622</v>
      </c>
      <c r="B35050" s="38">
        <v>14258.0</v>
      </c>
      <c r="C35050" s="38" t="s">
        <v>36003</v>
      </c>
      <c r="D35050" s="38" t="str">
        <f>IFERROR(__xludf.DUMMYFUNCTION("REGEXREPLACE(C35050,""-\d+(.*)|--\d+(.*)"","""")"),"FALAISE")</f>
        <v>FALAISE</v>
      </c>
      <c r="E35050" s="38" t="s">
        <v>137</v>
      </c>
      <c r="F35050" s="38" t="s">
        <v>138</v>
      </c>
      <c r="G35050" s="49" t="str">
        <f t="shared" si="1"/>
        <v>14700</v>
      </c>
      <c r="H35050" s="49">
        <f t="shared" si="2"/>
        <v>14258</v>
      </c>
    </row>
    <row r="35051">
      <c r="A35051" s="48" t="s">
        <v>3315</v>
      </c>
      <c r="B35051" s="38">
        <v>12143.0</v>
      </c>
      <c r="C35051" s="38" t="s">
        <v>39212</v>
      </c>
      <c r="D35051" s="38" t="str">
        <f>IFERROR(__xludf.DUMMYFUNCTION("REGEXREPLACE(C35051,""-\d+(.*)|--\d+(.*)"","""")"),"MELAGUES")</f>
        <v>MELAGUES</v>
      </c>
      <c r="E35051" s="38" t="s">
        <v>465</v>
      </c>
      <c r="F35051" s="38" t="s">
        <v>94</v>
      </c>
      <c r="G35051" s="49" t="str">
        <f t="shared" si="1"/>
        <v>12360</v>
      </c>
      <c r="H35051" s="49">
        <f t="shared" si="2"/>
        <v>12143</v>
      </c>
    </row>
    <row r="35052">
      <c r="A35052" s="48" t="s">
        <v>2497</v>
      </c>
      <c r="B35052" s="38">
        <v>56019.0</v>
      </c>
      <c r="C35052" s="38" t="s">
        <v>39213</v>
      </c>
      <c r="D35052" s="38" t="str">
        <f>IFERROR(__xludf.DUMMYFUNCTION("REGEXREPLACE(C35052,""-\d+(.*)|--\d+(.*)"","""")"),"BILLIO")</f>
        <v>BILLIO</v>
      </c>
      <c r="E35052" s="38" t="s">
        <v>173</v>
      </c>
      <c r="F35052" s="38" t="s">
        <v>90</v>
      </c>
      <c r="G35052" s="49" t="str">
        <f t="shared" si="1"/>
        <v>56420</v>
      </c>
      <c r="H35052" s="49">
        <f t="shared" si="2"/>
        <v>56019</v>
      </c>
    </row>
    <row r="35053">
      <c r="A35053" s="48" t="s">
        <v>386</v>
      </c>
      <c r="B35053" s="38">
        <v>21656.0</v>
      </c>
      <c r="C35053" s="38" t="s">
        <v>39214</v>
      </c>
      <c r="D35053" s="38" t="str">
        <f>IFERROR(__xludf.DUMMYFUNCTION("REGEXREPLACE(C35053,""-\d+(.*)|--\d+(.*)"","""")"),"VARANGES")</f>
        <v>VARANGES</v>
      </c>
      <c r="E35053" s="38" t="s">
        <v>105</v>
      </c>
      <c r="F35053" s="38" t="s">
        <v>106</v>
      </c>
      <c r="G35053" s="49" t="str">
        <f t="shared" si="1"/>
        <v>21110</v>
      </c>
      <c r="H35053" s="49">
        <f t="shared" si="2"/>
        <v>21656</v>
      </c>
    </row>
    <row r="35054">
      <c r="A35054" s="48" t="s">
        <v>39215</v>
      </c>
      <c r="B35054" s="38">
        <v>22176.0</v>
      </c>
      <c r="C35054" s="38" t="s">
        <v>39216</v>
      </c>
      <c r="D35054" s="38" t="str">
        <f>IFERROR(__xludf.DUMMYFUNCTION("REGEXREPLACE(C35054,""-\d+(.*)|--\d+(.*)"","""")"),"PLEDRAN")</f>
        <v>PLEDRAN</v>
      </c>
      <c r="E35054" s="38" t="s">
        <v>89</v>
      </c>
      <c r="F35054" s="38" t="s">
        <v>90</v>
      </c>
      <c r="G35054" s="49" t="str">
        <f t="shared" si="1"/>
        <v>22960</v>
      </c>
      <c r="H35054" s="49">
        <f t="shared" si="2"/>
        <v>22176</v>
      </c>
    </row>
    <row r="35055">
      <c r="A35055" s="48" t="s">
        <v>4586</v>
      </c>
      <c r="B35055" s="38">
        <v>40188.0</v>
      </c>
      <c r="C35055" s="38" t="s">
        <v>39217</v>
      </c>
      <c r="D35055" s="38" t="str">
        <f>IFERROR(__xludf.DUMMYFUNCTION("REGEXREPLACE(C35055,""-\d+(.*)|--\d+(.*)"","""")"),"MOMUY")</f>
        <v>MOMUY</v>
      </c>
      <c r="E35055" s="38" t="s">
        <v>281</v>
      </c>
      <c r="F35055" s="38" t="s">
        <v>252</v>
      </c>
      <c r="G35055" s="49" t="str">
        <f t="shared" si="1"/>
        <v>40700</v>
      </c>
      <c r="H35055" s="49">
        <f t="shared" si="2"/>
        <v>40188</v>
      </c>
    </row>
    <row r="35056">
      <c r="A35056" s="48" t="s">
        <v>1677</v>
      </c>
      <c r="B35056" s="38">
        <v>59551.0</v>
      </c>
      <c r="C35056" s="38" t="s">
        <v>39218</v>
      </c>
      <c r="D35056" s="38" t="str">
        <f>IFERROR(__xludf.DUMMYFUNCTION("REGEXREPLACE(C35056,""-\d+(.*)|--\d+(.*)"","""")"),"SAMEON")</f>
        <v>SAMEON</v>
      </c>
      <c r="E35056" s="38" t="s">
        <v>85</v>
      </c>
      <c r="F35056" s="38" t="s">
        <v>86</v>
      </c>
      <c r="G35056" s="49" t="str">
        <f t="shared" si="1"/>
        <v>59310</v>
      </c>
      <c r="H35056" s="49">
        <f t="shared" si="2"/>
        <v>59551</v>
      </c>
    </row>
    <row r="35057">
      <c r="A35057" s="48" t="s">
        <v>39219</v>
      </c>
      <c r="B35057" s="38">
        <v>16341.0</v>
      </c>
      <c r="C35057" s="38" t="s">
        <v>4389</v>
      </c>
      <c r="D35057" s="38" t="str">
        <f>IFERROR(__xludf.DUMMYFUNCTION("REGEXREPLACE(C35057,""-\d+(.*)|--\d+(.*)"","""")"),"SAINT-MICHEL")</f>
        <v>SAINT-MICHEL</v>
      </c>
      <c r="E35057" s="38" t="s">
        <v>429</v>
      </c>
      <c r="F35057" s="38" t="s">
        <v>338</v>
      </c>
      <c r="G35057" s="49" t="str">
        <f t="shared" si="1"/>
        <v>16470</v>
      </c>
      <c r="H35057" s="49">
        <f t="shared" si="2"/>
        <v>16341</v>
      </c>
    </row>
    <row r="35058">
      <c r="A35058" s="48" t="s">
        <v>22635</v>
      </c>
      <c r="B35058" s="38">
        <v>56256.0</v>
      </c>
      <c r="C35058" s="38" t="s">
        <v>39220</v>
      </c>
      <c r="D35058" s="38" t="str">
        <f>IFERROR(__xludf.DUMMYFUNCTION("REGEXREPLACE(C35058,""-\d+(.*)|--\d+(.*)"","""")"),"TREHORENTEUC")</f>
        <v>TREHORENTEUC</v>
      </c>
      <c r="E35058" s="38" t="s">
        <v>173</v>
      </c>
      <c r="F35058" s="38" t="s">
        <v>90</v>
      </c>
      <c r="G35058" s="49" t="str">
        <f t="shared" si="1"/>
        <v>56430</v>
      </c>
      <c r="H35058" s="49">
        <f t="shared" si="2"/>
        <v>56256</v>
      </c>
    </row>
    <row r="35059">
      <c r="A35059" s="48" t="s">
        <v>39221</v>
      </c>
      <c r="B35059" s="38">
        <v>69163.0</v>
      </c>
      <c r="C35059" s="38" t="s">
        <v>39222</v>
      </c>
      <c r="D35059" s="38" t="str">
        <f>IFERROR(__xludf.DUMMYFUNCTION("REGEXREPLACE(C35059,""-\d+(.*)|--\d+(.*)"","""")"),"QUINCIEUX")</f>
        <v>QUINCIEUX</v>
      </c>
      <c r="E35059" s="38" t="s">
        <v>350</v>
      </c>
      <c r="F35059" s="38" t="s">
        <v>102</v>
      </c>
      <c r="G35059" s="49" t="str">
        <f t="shared" si="1"/>
        <v>69650</v>
      </c>
      <c r="H35059" s="49">
        <f t="shared" si="2"/>
        <v>69163</v>
      </c>
    </row>
    <row r="35060">
      <c r="A35060" s="48" t="s">
        <v>1908</v>
      </c>
      <c r="B35060" s="38">
        <v>62558.0</v>
      </c>
      <c r="C35060" s="38" t="s">
        <v>7556</v>
      </c>
      <c r="D35060" s="38" t="str">
        <f>IFERROR(__xludf.DUMMYFUNCTION("REGEXREPLACE(C35060,""-\d+(.*)|--\d+(.*)"","""")"),"MARQUAY")</f>
        <v>MARQUAY</v>
      </c>
      <c r="E35060" s="38" t="s">
        <v>109</v>
      </c>
      <c r="F35060" s="38" t="s">
        <v>86</v>
      </c>
      <c r="G35060" s="49" t="str">
        <f t="shared" si="1"/>
        <v>62127</v>
      </c>
      <c r="H35060" s="49">
        <f t="shared" si="2"/>
        <v>62558</v>
      </c>
    </row>
    <row r="35061">
      <c r="A35061" s="48" t="s">
        <v>5950</v>
      </c>
      <c r="B35061" s="38">
        <v>53258.0</v>
      </c>
      <c r="C35061" s="38" t="s">
        <v>39223</v>
      </c>
      <c r="D35061" s="38" t="str">
        <f>IFERROR(__xludf.DUMMYFUNCTION("REGEXREPLACE(C35061,""-\d+(.*)|--\d+(.*)"","""")"),"LA SELLE-CRAONNAISE")</f>
        <v>LA SELLE-CRAONNAISE</v>
      </c>
      <c r="E35061" s="38" t="s">
        <v>518</v>
      </c>
      <c r="F35061" s="38" t="s">
        <v>180</v>
      </c>
      <c r="G35061" s="49" t="str">
        <f t="shared" si="1"/>
        <v>53800</v>
      </c>
      <c r="H35061" s="49">
        <f t="shared" si="2"/>
        <v>53258</v>
      </c>
    </row>
    <row r="35062">
      <c r="A35062" s="48" t="s">
        <v>4659</v>
      </c>
      <c r="B35062" s="38">
        <v>32428.0</v>
      </c>
      <c r="C35062" s="38" t="s">
        <v>39224</v>
      </c>
      <c r="D35062" s="38" t="str">
        <f>IFERROR(__xludf.DUMMYFUNCTION("REGEXREPLACE(C35062,""-\d+(.*)|--\d+(.*)"","""")"),"SEMEZIES-CACHAN")</f>
        <v>SEMEZIES-CACHAN</v>
      </c>
      <c r="E35062" s="38" t="s">
        <v>440</v>
      </c>
      <c r="F35062" s="38" t="s">
        <v>94</v>
      </c>
      <c r="G35062" s="49" t="str">
        <f t="shared" si="1"/>
        <v>32450</v>
      </c>
      <c r="H35062" s="49">
        <f t="shared" si="2"/>
        <v>32428</v>
      </c>
    </row>
    <row r="35063">
      <c r="A35063" s="48" t="s">
        <v>215</v>
      </c>
      <c r="B35063" s="38">
        <v>2723.0</v>
      </c>
      <c r="C35063" s="38" t="s">
        <v>2224</v>
      </c>
      <c r="D35063" s="38" t="str">
        <f>IFERROR(__xludf.DUMMYFUNCTION("REGEXREPLACE(C35063,""-\d+(.*)|--\d+(.*)"","""")"),"SOIZE")</f>
        <v>SOIZE</v>
      </c>
      <c r="E35063" s="38" t="s">
        <v>191</v>
      </c>
      <c r="F35063" s="38" t="s">
        <v>113</v>
      </c>
      <c r="G35063" s="49" t="str">
        <f t="shared" si="1"/>
        <v>02340</v>
      </c>
      <c r="H35063" s="49" t="str">
        <f t="shared" si="2"/>
        <v>02723</v>
      </c>
    </row>
    <row r="35064">
      <c r="A35064" s="48" t="s">
        <v>6951</v>
      </c>
      <c r="B35064" s="38">
        <v>58285.0</v>
      </c>
      <c r="C35064" s="38" t="s">
        <v>39225</v>
      </c>
      <c r="D35064" s="38" t="str">
        <f>IFERROR(__xludf.DUMMYFUNCTION("REGEXREPLACE(C35064,""-\d+(.*)|--\d+(.*)"","""")"),"TAMNAY-EN-BAZOIS")</f>
        <v>TAMNAY-EN-BAZOIS</v>
      </c>
      <c r="E35064" s="38" t="s">
        <v>219</v>
      </c>
      <c r="F35064" s="38" t="s">
        <v>106</v>
      </c>
      <c r="G35064" s="49" t="str">
        <f t="shared" si="1"/>
        <v>58110</v>
      </c>
      <c r="H35064" s="49">
        <f t="shared" si="2"/>
        <v>58285</v>
      </c>
    </row>
    <row r="35065">
      <c r="A35065" s="48" t="s">
        <v>2736</v>
      </c>
      <c r="B35065" s="38">
        <v>89274.0</v>
      </c>
      <c r="C35065" s="38" t="s">
        <v>39226</v>
      </c>
      <c r="D35065" s="38" t="str">
        <f>IFERROR(__xludf.DUMMYFUNCTION("REGEXREPLACE(C35065,""-\d+(.*)|--\d+(.*)"","""")"),"NAILLY")</f>
        <v>NAILLY</v>
      </c>
      <c r="E35065" s="38" t="s">
        <v>275</v>
      </c>
      <c r="F35065" s="38" t="s">
        <v>106</v>
      </c>
      <c r="G35065" s="49" t="str">
        <f t="shared" si="1"/>
        <v>89100</v>
      </c>
      <c r="H35065" s="49">
        <f t="shared" si="2"/>
        <v>89274</v>
      </c>
    </row>
    <row r="35066">
      <c r="A35066" s="48" t="s">
        <v>9245</v>
      </c>
      <c r="B35066" s="38">
        <v>47061.0</v>
      </c>
      <c r="C35066" s="38" t="s">
        <v>39227</v>
      </c>
      <c r="D35066" s="38" t="str">
        <f>IFERROR(__xludf.DUMMYFUNCTION("REGEXREPLACE(C35066,""-\d+(.*)|--\d+(.*)"","""")"),"CAUMONT-SUR-GARONNE")</f>
        <v>CAUMONT-SUR-GARONNE</v>
      </c>
      <c r="E35066" s="38" t="s">
        <v>251</v>
      </c>
      <c r="F35066" s="38" t="s">
        <v>252</v>
      </c>
      <c r="G35066" s="49" t="str">
        <f t="shared" si="1"/>
        <v>47430</v>
      </c>
      <c r="H35066" s="49">
        <f t="shared" si="2"/>
        <v>47061</v>
      </c>
    </row>
    <row r="35067">
      <c r="A35067" s="48" t="s">
        <v>2298</v>
      </c>
      <c r="B35067" s="38">
        <v>85015.0</v>
      </c>
      <c r="C35067" s="38" t="s">
        <v>39228</v>
      </c>
      <c r="D35067" s="38" t="str">
        <f>IFERROR(__xludf.DUMMYFUNCTION("REGEXREPLACE(C35067,""-\d+(.*)|--\d+(.*)"","""")"),"BEAUFOU")</f>
        <v>BEAUFOU</v>
      </c>
      <c r="E35067" s="38" t="s">
        <v>179</v>
      </c>
      <c r="F35067" s="38" t="s">
        <v>180</v>
      </c>
      <c r="G35067" s="49" t="str">
        <f t="shared" si="1"/>
        <v>85170</v>
      </c>
      <c r="H35067" s="49">
        <f t="shared" si="2"/>
        <v>85015</v>
      </c>
    </row>
    <row r="35068">
      <c r="A35068" s="48" t="s">
        <v>23025</v>
      </c>
      <c r="B35068" s="38">
        <v>62270.0</v>
      </c>
      <c r="C35068" s="38" t="s">
        <v>39229</v>
      </c>
      <c r="D35068" s="38" t="str">
        <f>IFERROR(__xludf.DUMMYFUNCTION("REGEXREPLACE(C35068,""-\d+(.*)|--\d+(.*)"","""")"),"DIVION")</f>
        <v>DIVION</v>
      </c>
      <c r="E35068" s="38" t="s">
        <v>109</v>
      </c>
      <c r="F35068" s="38" t="s">
        <v>86</v>
      </c>
      <c r="G35068" s="49" t="str">
        <f t="shared" si="1"/>
        <v>62460</v>
      </c>
      <c r="H35068" s="49">
        <f t="shared" si="2"/>
        <v>62270</v>
      </c>
    </row>
    <row r="35069">
      <c r="A35069" s="48" t="s">
        <v>3759</v>
      </c>
      <c r="B35069" s="38">
        <v>17011.0</v>
      </c>
      <c r="C35069" s="38" t="s">
        <v>39230</v>
      </c>
      <c r="D35069" s="38" t="str">
        <f>IFERROR(__xludf.DUMMYFUNCTION("REGEXREPLACE(C35069,""-\d+(.*)|--\d+(.*)"","""")"),"ANNEPONT")</f>
        <v>ANNEPONT</v>
      </c>
      <c r="E35069" s="38" t="s">
        <v>488</v>
      </c>
      <c r="F35069" s="38" t="s">
        <v>338</v>
      </c>
      <c r="G35069" s="49" t="str">
        <f t="shared" si="1"/>
        <v>17350</v>
      </c>
      <c r="H35069" s="49">
        <f t="shared" si="2"/>
        <v>17011</v>
      </c>
    </row>
    <row r="35070">
      <c r="A35070" s="48" t="s">
        <v>4706</v>
      </c>
      <c r="B35070" s="38">
        <v>74033.0</v>
      </c>
      <c r="C35070" s="38" t="s">
        <v>39231</v>
      </c>
      <c r="D35070" s="38" t="str">
        <f>IFERROR(__xludf.DUMMYFUNCTION("REGEXREPLACE(C35070,""-\d+(.*)|--\d+(.*)"","""")"),"BERNEX")</f>
        <v>BERNEX</v>
      </c>
      <c r="E35070" s="38" t="s">
        <v>319</v>
      </c>
      <c r="F35070" s="38" t="s">
        <v>102</v>
      </c>
      <c r="G35070" s="49" t="str">
        <f t="shared" si="1"/>
        <v>74500</v>
      </c>
      <c r="H35070" s="49">
        <f t="shared" si="2"/>
        <v>74033</v>
      </c>
    </row>
    <row r="35071">
      <c r="A35071" s="48" t="s">
        <v>11754</v>
      </c>
      <c r="B35071" s="38">
        <v>4217.0</v>
      </c>
      <c r="C35071" s="38" t="s">
        <v>39232</v>
      </c>
      <c r="D35071" s="38" t="str">
        <f>IFERROR(__xludf.DUMMYFUNCTION("REGEXREPLACE(C35071,""-\d+(.*)|--\d+(.*)"","""")"),"THOARD")</f>
        <v>THOARD</v>
      </c>
      <c r="E35071" s="38" t="s">
        <v>662</v>
      </c>
      <c r="F35071" s="38" t="s">
        <v>228</v>
      </c>
      <c r="G35071" s="49" t="str">
        <f t="shared" si="1"/>
        <v>04380</v>
      </c>
      <c r="H35071" s="49" t="str">
        <f t="shared" si="2"/>
        <v>04217</v>
      </c>
    </row>
    <row r="35072">
      <c r="A35072" s="48" t="s">
        <v>709</v>
      </c>
      <c r="B35072" s="38">
        <v>43076.0</v>
      </c>
      <c r="C35072" s="38" t="s">
        <v>39233</v>
      </c>
      <c r="D35072" s="38" t="str">
        <f>IFERROR(__xludf.DUMMYFUNCTION("REGEXREPLACE(C35072,""-\d+(.*)|--\d+(.*)"","""")"),"CONNANGLES")</f>
        <v>CONNANGLES</v>
      </c>
      <c r="E35072" s="38" t="s">
        <v>332</v>
      </c>
      <c r="F35072" s="38" t="s">
        <v>161</v>
      </c>
      <c r="G35072" s="49" t="str">
        <f t="shared" si="1"/>
        <v>43160</v>
      </c>
      <c r="H35072" s="49">
        <f t="shared" si="2"/>
        <v>43076</v>
      </c>
    </row>
    <row r="35073">
      <c r="A35073" s="48" t="s">
        <v>417</v>
      </c>
      <c r="B35073" s="38">
        <v>1062.0</v>
      </c>
      <c r="C35073" s="38" t="s">
        <v>4613</v>
      </c>
      <c r="D35073" s="38" t="str">
        <f>IFERROR(__xludf.DUMMYFUNCTION("REGEXREPLACE(C35073,""-\d+(.*)|--\d+(.*)"","""")"),"BRESSOLLES")</f>
        <v>BRESSOLLES</v>
      </c>
      <c r="E35073" s="38" t="s">
        <v>255</v>
      </c>
      <c r="F35073" s="38" t="s">
        <v>102</v>
      </c>
      <c r="G35073" s="49" t="str">
        <f t="shared" si="1"/>
        <v>01360</v>
      </c>
      <c r="H35073" s="49" t="str">
        <f t="shared" si="2"/>
        <v>01062</v>
      </c>
    </row>
    <row r="35074">
      <c r="A35074" s="48" t="s">
        <v>2031</v>
      </c>
      <c r="B35074" s="38">
        <v>62730.0</v>
      </c>
      <c r="C35074" s="38" t="s">
        <v>39234</v>
      </c>
      <c r="D35074" s="38" t="str">
        <f>IFERROR(__xludf.DUMMYFUNCTION("REGEXREPLACE(C35074,""-\d+(.*)|--\d+(.*)"","""")"),"RUMINGHEM")</f>
        <v>RUMINGHEM</v>
      </c>
      <c r="E35074" s="38" t="s">
        <v>109</v>
      </c>
      <c r="F35074" s="38" t="s">
        <v>86</v>
      </c>
      <c r="G35074" s="49" t="str">
        <f t="shared" si="1"/>
        <v>62370</v>
      </c>
      <c r="H35074" s="49">
        <f t="shared" si="2"/>
        <v>62730</v>
      </c>
    </row>
    <row r="35075">
      <c r="A35075" s="48" t="s">
        <v>1695</v>
      </c>
      <c r="B35075" s="38">
        <v>80648.0</v>
      </c>
      <c r="C35075" s="38" t="s">
        <v>39235</v>
      </c>
      <c r="D35075" s="38" t="str">
        <f>IFERROR(__xludf.DUMMYFUNCTION("REGEXREPLACE(C35075,""-\d+(.*)|--\d+(.*)"","""")"),"PYS")</f>
        <v>PYS</v>
      </c>
      <c r="E35075" s="38" t="s">
        <v>224</v>
      </c>
      <c r="F35075" s="38" t="s">
        <v>113</v>
      </c>
      <c r="G35075" s="49" t="str">
        <f t="shared" si="1"/>
        <v>80300</v>
      </c>
      <c r="H35075" s="49">
        <f t="shared" si="2"/>
        <v>80648</v>
      </c>
    </row>
    <row r="35076">
      <c r="A35076" s="48" t="s">
        <v>39236</v>
      </c>
      <c r="B35076" s="38">
        <v>59479.0</v>
      </c>
      <c r="C35076" s="38" t="s">
        <v>39237</v>
      </c>
      <c r="D35076" s="38" t="str">
        <f>IFERROR(__xludf.DUMMYFUNCTION("REGEXREPLACE(C35076,""-\d+(.*)|--\d+(.*)"","""")"),"QUAROUBLE")</f>
        <v>QUAROUBLE</v>
      </c>
      <c r="E35076" s="38" t="s">
        <v>85</v>
      </c>
      <c r="F35076" s="38" t="s">
        <v>86</v>
      </c>
      <c r="G35076" s="49" t="str">
        <f t="shared" si="1"/>
        <v>59243</v>
      </c>
      <c r="H35076" s="49">
        <f t="shared" si="2"/>
        <v>59479</v>
      </c>
    </row>
    <row r="35077">
      <c r="A35077" s="48" t="s">
        <v>2521</v>
      </c>
      <c r="B35077" s="38">
        <v>28013.0</v>
      </c>
      <c r="C35077" s="38" t="s">
        <v>39238</v>
      </c>
      <c r="D35077" s="38" t="str">
        <f>IFERROR(__xludf.DUMMYFUNCTION("REGEXREPLACE(C35077,""-\d+(.*)|--\d+(.*)"","""")"),"AUNAY-SOUS-AUNEAU")</f>
        <v>AUNAY-SOUS-AUNEAU</v>
      </c>
      <c r="E35077" s="38" t="s">
        <v>300</v>
      </c>
      <c r="F35077" s="38" t="s">
        <v>123</v>
      </c>
      <c r="G35077" s="49" t="str">
        <f t="shared" si="1"/>
        <v>28700</v>
      </c>
      <c r="H35077" s="49">
        <f t="shared" si="2"/>
        <v>28013</v>
      </c>
    </row>
    <row r="35078">
      <c r="A35078" s="48" t="s">
        <v>2433</v>
      </c>
      <c r="B35078" s="38">
        <v>70523.0</v>
      </c>
      <c r="C35078" s="38" t="s">
        <v>16199</v>
      </c>
      <c r="D35078" s="38" t="str">
        <f>IFERROR(__xludf.DUMMYFUNCTION("REGEXREPLACE(C35078,""-\d+(.*)|--\d+(.*)"","""")"),"VARS")</f>
        <v>VARS</v>
      </c>
      <c r="E35078" s="38" t="s">
        <v>956</v>
      </c>
      <c r="F35078" s="38" t="s">
        <v>214</v>
      </c>
      <c r="G35078" s="49" t="str">
        <f t="shared" si="1"/>
        <v>70600</v>
      </c>
      <c r="H35078" s="49">
        <f t="shared" si="2"/>
        <v>70523</v>
      </c>
    </row>
    <row r="35079">
      <c r="A35079" s="48" t="s">
        <v>1288</v>
      </c>
      <c r="B35079" s="38">
        <v>64410.0</v>
      </c>
      <c r="C35079" s="38" t="s">
        <v>39239</v>
      </c>
      <c r="D35079" s="38" t="str">
        <f>IFERROR(__xludf.DUMMYFUNCTION("REGEXREPLACE(C35079,""-\d+(.*)|--\d+(.*)"","""")"),"MOURENX")</f>
        <v>MOURENX</v>
      </c>
      <c r="E35079" s="38" t="s">
        <v>268</v>
      </c>
      <c r="F35079" s="38" t="s">
        <v>252</v>
      </c>
      <c r="G35079" s="49" t="str">
        <f t="shared" si="1"/>
        <v>64150</v>
      </c>
      <c r="H35079" s="49">
        <f t="shared" si="2"/>
        <v>64410</v>
      </c>
    </row>
    <row r="35080">
      <c r="A35080" s="48" t="s">
        <v>1590</v>
      </c>
      <c r="B35080" s="38">
        <v>33092.0</v>
      </c>
      <c r="C35080" s="38" t="s">
        <v>39240</v>
      </c>
      <c r="D35080" s="38" t="str">
        <f>IFERROR(__xludf.DUMMYFUNCTION("REGEXREPLACE(C35080,""-\d+(.*)|--\d+(.*)"","""")"),"CANTOIS")</f>
        <v>CANTOIS</v>
      </c>
      <c r="E35080" s="38" t="s">
        <v>462</v>
      </c>
      <c r="F35080" s="38" t="s">
        <v>252</v>
      </c>
      <c r="G35080" s="49" t="str">
        <f t="shared" si="1"/>
        <v>33760</v>
      </c>
      <c r="H35080" s="49">
        <f t="shared" si="2"/>
        <v>33092</v>
      </c>
    </row>
    <row r="35081">
      <c r="A35081" s="48" t="s">
        <v>8839</v>
      </c>
      <c r="B35081" s="38">
        <v>53204.0</v>
      </c>
      <c r="C35081" s="38" t="s">
        <v>39241</v>
      </c>
      <c r="D35081" s="38" t="str">
        <f>IFERROR(__xludf.DUMMYFUNCTION("REGEXREPLACE(C35081,""-\d+(.*)|--\d+(.*)"","""")"),"SAINT-CALAIS-DU-DESERT")</f>
        <v>SAINT-CALAIS-DU-DESERT</v>
      </c>
      <c r="E35081" s="38" t="s">
        <v>518</v>
      </c>
      <c r="F35081" s="38" t="s">
        <v>180</v>
      </c>
      <c r="G35081" s="49" t="str">
        <f t="shared" si="1"/>
        <v>53140</v>
      </c>
      <c r="H35081" s="49">
        <f t="shared" si="2"/>
        <v>53204</v>
      </c>
    </row>
    <row r="35082">
      <c r="A35082" s="48" t="s">
        <v>5887</v>
      </c>
      <c r="B35082" s="38">
        <v>61480.0</v>
      </c>
      <c r="C35082" s="38" t="s">
        <v>39242</v>
      </c>
      <c r="D35082" s="38" t="str">
        <f>IFERROR(__xludf.DUMMYFUNCTION("REGEXREPLACE(C35082,""-\d+(.*)|--\d+(.*)"","""")"),"TANVILLE")</f>
        <v>TANVILLE</v>
      </c>
      <c r="E35082" s="38" t="s">
        <v>141</v>
      </c>
      <c r="F35082" s="38" t="s">
        <v>138</v>
      </c>
      <c r="G35082" s="49" t="str">
        <f t="shared" si="1"/>
        <v>61500</v>
      </c>
      <c r="H35082" s="49">
        <f t="shared" si="2"/>
        <v>61480</v>
      </c>
    </row>
    <row r="35083">
      <c r="A35083" s="48" t="s">
        <v>13884</v>
      </c>
      <c r="B35083" s="38">
        <v>14001.0</v>
      </c>
      <c r="C35083" s="38" t="s">
        <v>39243</v>
      </c>
      <c r="D35083" s="38" t="str">
        <f>IFERROR(__xludf.DUMMYFUNCTION("REGEXREPLACE(C35083,""-\d+(.*)|--\d+(.*)"","""")"),"ABLON")</f>
        <v>ABLON</v>
      </c>
      <c r="E35083" s="38" t="s">
        <v>137</v>
      </c>
      <c r="F35083" s="38" t="s">
        <v>138</v>
      </c>
      <c r="G35083" s="49" t="str">
        <f t="shared" si="1"/>
        <v>14600</v>
      </c>
      <c r="H35083" s="49">
        <f t="shared" si="2"/>
        <v>14001</v>
      </c>
    </row>
    <row r="35084">
      <c r="A35084" s="48" t="s">
        <v>2232</v>
      </c>
      <c r="B35084" s="38">
        <v>77315.0</v>
      </c>
      <c r="C35084" s="38" t="s">
        <v>39244</v>
      </c>
      <c r="D35084" s="38" t="str">
        <f>IFERROR(__xludf.DUMMYFUNCTION("REGEXREPLACE(C35084,""-\d+(.*)|--\d+(.*)"","""")"),"MONTRY")</f>
        <v>MONTRY</v>
      </c>
      <c r="E35084" s="38" t="s">
        <v>244</v>
      </c>
      <c r="F35084" s="38" t="s">
        <v>245</v>
      </c>
      <c r="G35084" s="49" t="str">
        <f t="shared" si="1"/>
        <v>77450</v>
      </c>
      <c r="H35084" s="49">
        <f t="shared" si="2"/>
        <v>77315</v>
      </c>
    </row>
    <row r="35085">
      <c r="A35085" s="48" t="s">
        <v>1961</v>
      </c>
      <c r="B35085" s="38">
        <v>33048.0</v>
      </c>
      <c r="C35085" s="38" t="s">
        <v>39245</v>
      </c>
      <c r="D35085" s="38" t="str">
        <f>IFERROR(__xludf.DUMMYFUNCTION("REGEXREPLACE(C35085,""-\d+(.*)|--\d+(.*)"","""")"),"BERTHEZ")</f>
        <v>BERTHEZ</v>
      </c>
      <c r="E35085" s="38" t="s">
        <v>462</v>
      </c>
      <c r="F35085" s="38" t="s">
        <v>252</v>
      </c>
      <c r="G35085" s="49" t="str">
        <f t="shared" si="1"/>
        <v>33124</v>
      </c>
      <c r="H35085" s="49">
        <f t="shared" si="2"/>
        <v>33048</v>
      </c>
    </row>
    <row r="35086">
      <c r="A35086" s="48" t="s">
        <v>6602</v>
      </c>
      <c r="B35086" s="38">
        <v>68368.0</v>
      </c>
      <c r="C35086" s="38" t="s">
        <v>39246</v>
      </c>
      <c r="D35086" s="38" t="str">
        <f>IFERROR(__xludf.DUMMYFUNCTION("REGEXREPLACE(C35086,""-\d+(.*)|--\d+(.*)"","""")"),"WIHR-AU-VAL")</f>
        <v>WIHR-AU-VAL</v>
      </c>
      <c r="E35086" s="38" t="s">
        <v>150</v>
      </c>
      <c r="F35086" s="38" t="s">
        <v>151</v>
      </c>
      <c r="G35086" s="49" t="str">
        <f t="shared" si="1"/>
        <v>68230</v>
      </c>
      <c r="H35086" s="49">
        <f t="shared" si="2"/>
        <v>68368</v>
      </c>
    </row>
    <row r="35087">
      <c r="A35087" s="48" t="s">
        <v>2940</v>
      </c>
      <c r="B35087" s="38">
        <v>53135.0</v>
      </c>
      <c r="C35087" s="38" t="s">
        <v>39247</v>
      </c>
      <c r="D35087" s="38" t="str">
        <f>IFERROR(__xludf.DUMMYFUNCTION("REGEXREPLACE(C35087,""-\d+(.*)|--\d+(.*)"","""")"),"LIVRE-LA-TOUCHE")</f>
        <v>LIVRE-LA-TOUCHE</v>
      </c>
      <c r="E35087" s="38" t="s">
        <v>518</v>
      </c>
      <c r="F35087" s="38" t="s">
        <v>180</v>
      </c>
      <c r="G35087" s="49" t="str">
        <f t="shared" si="1"/>
        <v>53400</v>
      </c>
      <c r="H35087" s="49">
        <f t="shared" si="2"/>
        <v>53135</v>
      </c>
    </row>
    <row r="35088">
      <c r="A35088" s="48" t="s">
        <v>15038</v>
      </c>
      <c r="B35088" s="38">
        <v>22371.0</v>
      </c>
      <c r="C35088" s="38" t="s">
        <v>39248</v>
      </c>
      <c r="D35088" s="38" t="str">
        <f>IFERROR(__xludf.DUMMYFUNCTION("REGEXREPLACE(C35088,""-\d+(.*)|--\d+(.*)"","""")"),"TREMOREL")</f>
        <v>TREMOREL</v>
      </c>
      <c r="E35088" s="38" t="s">
        <v>89</v>
      </c>
      <c r="F35088" s="38" t="s">
        <v>90</v>
      </c>
      <c r="G35088" s="49" t="str">
        <f t="shared" si="1"/>
        <v>22230</v>
      </c>
      <c r="H35088" s="49">
        <f t="shared" si="2"/>
        <v>22371</v>
      </c>
    </row>
    <row r="35089">
      <c r="A35089" s="48" t="s">
        <v>1632</v>
      </c>
      <c r="B35089" s="38">
        <v>63114.0</v>
      </c>
      <c r="C35089" s="38" t="s">
        <v>39249</v>
      </c>
      <c r="D35089" s="38" t="str">
        <f>IFERROR(__xludf.DUMMYFUNCTION("REGEXREPLACE(C35089,""-\d+(.*)|--\d+(.*)"","""")"),"COLLANGES")</f>
        <v>COLLANGES</v>
      </c>
      <c r="E35089" s="38" t="s">
        <v>353</v>
      </c>
      <c r="F35089" s="38" t="s">
        <v>161</v>
      </c>
      <c r="G35089" s="49" t="str">
        <f t="shared" si="1"/>
        <v>63340</v>
      </c>
      <c r="H35089" s="49">
        <f t="shared" si="2"/>
        <v>63114</v>
      </c>
    </row>
    <row r="35090">
      <c r="A35090" s="48" t="s">
        <v>1841</v>
      </c>
      <c r="B35090" s="38">
        <v>27235.0</v>
      </c>
      <c r="C35090" s="38" t="s">
        <v>39250</v>
      </c>
      <c r="D35090" s="38" t="str">
        <f>IFERROR(__xludf.DUMMYFUNCTION("REGEXREPLACE(C35090,""-\d+(.*)|--\d+(.*)"","""")"),"FAVEROLLES-LA-CAMPAGNE")</f>
        <v>FAVEROLLES-LA-CAMPAGNE</v>
      </c>
      <c r="E35090" s="38" t="s">
        <v>241</v>
      </c>
      <c r="F35090" s="38" t="s">
        <v>134</v>
      </c>
      <c r="G35090" s="49" t="str">
        <f t="shared" si="1"/>
        <v>27190</v>
      </c>
      <c r="H35090" s="49">
        <f t="shared" si="2"/>
        <v>27235</v>
      </c>
    </row>
    <row r="35091">
      <c r="A35091" s="48" t="s">
        <v>2573</v>
      </c>
      <c r="B35091" s="38">
        <v>31202.0</v>
      </c>
      <c r="C35091" s="38" t="s">
        <v>39251</v>
      </c>
      <c r="D35091" s="38" t="str">
        <f>IFERROR(__xludf.DUMMYFUNCTION("REGEXREPLACE(C35091,""-\d+(.*)|--\d+(.*)"","""")"),"FRONTON")</f>
        <v>FRONTON</v>
      </c>
      <c r="E35091" s="38" t="s">
        <v>93</v>
      </c>
      <c r="F35091" s="38" t="s">
        <v>94</v>
      </c>
      <c r="G35091" s="49" t="str">
        <f t="shared" si="1"/>
        <v>31620</v>
      </c>
      <c r="H35091" s="49">
        <f t="shared" si="2"/>
        <v>31202</v>
      </c>
    </row>
    <row r="35092">
      <c r="A35092" s="48" t="s">
        <v>198</v>
      </c>
      <c r="B35092" s="38">
        <v>65296.0</v>
      </c>
      <c r="C35092" s="38" t="s">
        <v>39252</v>
      </c>
      <c r="D35092" s="38" t="str">
        <f>IFERROR(__xludf.DUMMYFUNCTION("REGEXREPLACE(C35092,""-\d+(.*)|--\d+(.*)"","""")"),"MADIRAN")</f>
        <v>MADIRAN</v>
      </c>
      <c r="E35092" s="38" t="s">
        <v>200</v>
      </c>
      <c r="F35092" s="38" t="s">
        <v>94</v>
      </c>
      <c r="G35092" s="49" t="str">
        <f t="shared" si="1"/>
        <v>65700</v>
      </c>
      <c r="H35092" s="49">
        <f t="shared" si="2"/>
        <v>65296</v>
      </c>
    </row>
    <row r="35093">
      <c r="A35093" s="48" t="s">
        <v>39253</v>
      </c>
      <c r="B35093" s="38">
        <v>69199.0</v>
      </c>
      <c r="C35093" s="38" t="s">
        <v>39254</v>
      </c>
      <c r="D35093" s="38" t="str">
        <f>IFERROR(__xludf.DUMMYFUNCTION("REGEXREPLACE(C35093,""-\d+(.*)|--\d+(.*)"","""")"),"SAINT-FONS")</f>
        <v>SAINT-FONS</v>
      </c>
      <c r="E35093" s="38" t="s">
        <v>350</v>
      </c>
      <c r="F35093" s="38" t="s">
        <v>102</v>
      </c>
      <c r="G35093" s="49" t="str">
        <f t="shared" si="1"/>
        <v>69190</v>
      </c>
      <c r="H35093" s="49">
        <f t="shared" si="2"/>
        <v>69199</v>
      </c>
    </row>
    <row r="35094">
      <c r="A35094" s="48" t="s">
        <v>1667</v>
      </c>
      <c r="B35094" s="38">
        <v>38297.0</v>
      </c>
      <c r="C35094" s="38" t="s">
        <v>39255</v>
      </c>
      <c r="D35094" s="38" t="str">
        <f>IFERROR(__xludf.DUMMYFUNCTION("REGEXREPLACE(C35094,""-\d+(.*)|--\d+(.*)"","""")"),"PASSINS")</f>
        <v>PASSINS</v>
      </c>
      <c r="E35094" s="38" t="s">
        <v>101</v>
      </c>
      <c r="F35094" s="38" t="s">
        <v>102</v>
      </c>
      <c r="G35094" s="49" t="str">
        <f t="shared" si="1"/>
        <v>38510</v>
      </c>
      <c r="H35094" s="49">
        <f t="shared" si="2"/>
        <v>38297</v>
      </c>
    </row>
    <row r="35095">
      <c r="A35095" s="48" t="s">
        <v>9625</v>
      </c>
      <c r="B35095" s="38">
        <v>11272.0</v>
      </c>
      <c r="C35095" s="38" t="s">
        <v>39256</v>
      </c>
      <c r="D35095" s="38" t="str">
        <f>IFERROR(__xludf.DUMMYFUNCTION("REGEXREPLACE(C35095,""-\d+(.*)|--\d+(.*)"","""")"),"PALAJA")</f>
        <v>PALAJA</v>
      </c>
      <c r="E35095" s="38" t="s">
        <v>278</v>
      </c>
      <c r="F35095" s="38" t="s">
        <v>119</v>
      </c>
      <c r="G35095" s="49" t="str">
        <f t="shared" si="1"/>
        <v>11570</v>
      </c>
      <c r="H35095" s="49">
        <f t="shared" si="2"/>
        <v>11272</v>
      </c>
    </row>
    <row r="35096">
      <c r="A35096" s="48" t="s">
        <v>3681</v>
      </c>
      <c r="B35096" s="38">
        <v>39079.0</v>
      </c>
      <c r="C35096" s="38" t="s">
        <v>39257</v>
      </c>
      <c r="D35096" s="38" t="str">
        <f>IFERROR(__xludf.DUMMYFUNCTION("REGEXREPLACE(C35096,""-\d+(.*)|--\d+(.*)"","""")"),"BRIOD")</f>
        <v>BRIOD</v>
      </c>
      <c r="E35096" s="38" t="s">
        <v>400</v>
      </c>
      <c r="F35096" s="38" t="s">
        <v>214</v>
      </c>
      <c r="G35096" s="49" t="str">
        <f t="shared" si="1"/>
        <v>39570</v>
      </c>
      <c r="H35096" s="49">
        <f t="shared" si="2"/>
        <v>39079</v>
      </c>
    </row>
    <row r="35097">
      <c r="A35097" s="48" t="s">
        <v>1636</v>
      </c>
      <c r="B35097" s="38">
        <v>14598.0</v>
      </c>
      <c r="C35097" s="38" t="s">
        <v>39258</v>
      </c>
      <c r="D35097" s="38" t="str">
        <f>IFERROR(__xludf.DUMMYFUNCTION("REGEXREPLACE(C35097,""-\d+(.*)|--\d+(.*)"","""")"),"SAINT-JOUIN")</f>
        <v>SAINT-JOUIN</v>
      </c>
      <c r="E35097" s="38" t="s">
        <v>137</v>
      </c>
      <c r="F35097" s="38" t="s">
        <v>138</v>
      </c>
      <c r="G35097" s="49" t="str">
        <f t="shared" si="1"/>
        <v>14430</v>
      </c>
      <c r="H35097" s="49">
        <f t="shared" si="2"/>
        <v>14598</v>
      </c>
    </row>
    <row r="35098">
      <c r="A35098" s="48" t="s">
        <v>5292</v>
      </c>
      <c r="B35098" s="38">
        <v>1179.0</v>
      </c>
      <c r="C35098" s="38" t="s">
        <v>39259</v>
      </c>
      <c r="D35098" s="38" t="str">
        <f>IFERROR(__xludf.DUMMYFUNCTION("REGEXREPLACE(C35098,""-\d+(.*)|--\d+(.*)"","""")"),"GRIEGES")</f>
        <v>GRIEGES</v>
      </c>
      <c r="E35098" s="38" t="s">
        <v>255</v>
      </c>
      <c r="F35098" s="38" t="s">
        <v>102</v>
      </c>
      <c r="G35098" s="49" t="str">
        <f t="shared" si="1"/>
        <v>01290</v>
      </c>
      <c r="H35098" s="49" t="str">
        <f t="shared" si="2"/>
        <v>01179</v>
      </c>
    </row>
    <row r="35099">
      <c r="A35099" s="48" t="s">
        <v>4900</v>
      </c>
      <c r="B35099" s="38">
        <v>33183.0</v>
      </c>
      <c r="C35099" s="38" t="s">
        <v>39260</v>
      </c>
      <c r="D35099" s="38" t="str">
        <f>IFERROR(__xludf.DUMMYFUNCTION("REGEXREPLACE(C35099,""-\d+(.*)|--\d+(.*)"","""")"),"GAURIAGUET")</f>
        <v>GAURIAGUET</v>
      </c>
      <c r="E35099" s="38" t="s">
        <v>462</v>
      </c>
      <c r="F35099" s="38" t="s">
        <v>252</v>
      </c>
      <c r="G35099" s="49" t="str">
        <f t="shared" si="1"/>
        <v>33240</v>
      </c>
      <c r="H35099" s="49">
        <f t="shared" si="2"/>
        <v>33183</v>
      </c>
    </row>
    <row r="35100">
      <c r="A35100" s="48" t="s">
        <v>571</v>
      </c>
      <c r="B35100" s="38">
        <v>55275.0</v>
      </c>
      <c r="C35100" s="38" t="s">
        <v>39261</v>
      </c>
      <c r="D35100" s="38" t="str">
        <f>IFERROR(__xludf.DUMMYFUNCTION("REGEXREPLACE(C35100,""-\d+(.*)|--\d+(.*)"","""")"),"LAMOUILLY")</f>
        <v>LAMOUILLY</v>
      </c>
      <c r="E35100" s="38" t="s">
        <v>322</v>
      </c>
      <c r="F35100" s="38" t="s">
        <v>195</v>
      </c>
      <c r="G35100" s="49" t="str">
        <f t="shared" si="1"/>
        <v>55700</v>
      </c>
      <c r="H35100" s="49">
        <f t="shared" si="2"/>
        <v>55275</v>
      </c>
    </row>
    <row r="35101">
      <c r="A35101" s="48" t="s">
        <v>4703</v>
      </c>
      <c r="B35101" s="38">
        <v>66219.0</v>
      </c>
      <c r="C35101" s="38" t="s">
        <v>39262</v>
      </c>
      <c r="D35101" s="38" t="str">
        <f>IFERROR(__xludf.DUMMYFUNCTION("REGEXREPLACE(C35101,""-\d+(.*)|--\d+(.*)"","""")"),"URBANYA")</f>
        <v>URBANYA</v>
      </c>
      <c r="E35101" s="38" t="s">
        <v>248</v>
      </c>
      <c r="F35101" s="38" t="s">
        <v>119</v>
      </c>
      <c r="G35101" s="49" t="str">
        <f t="shared" si="1"/>
        <v>66500</v>
      </c>
      <c r="H35101" s="49">
        <f t="shared" si="2"/>
        <v>66219</v>
      </c>
    </row>
    <row r="35102">
      <c r="A35102" s="48" t="s">
        <v>9152</v>
      </c>
      <c r="B35102" s="38">
        <v>37234.0</v>
      </c>
      <c r="C35102" s="38" t="s">
        <v>39263</v>
      </c>
      <c r="D35102" s="38" t="str">
        <f>IFERROR(__xludf.DUMMYFUNCTION("REGEXREPLACE(C35102,""-\d+(.*)|--\d+(.*)"","""")"),"SAINT-QUENTIN-SUR-INDROIS")</f>
        <v>SAINT-QUENTIN-SUR-INDROIS</v>
      </c>
      <c r="E35102" s="38" t="s">
        <v>205</v>
      </c>
      <c r="F35102" s="38" t="s">
        <v>123</v>
      </c>
      <c r="G35102" s="49" t="str">
        <f t="shared" si="1"/>
        <v>37310</v>
      </c>
      <c r="H35102" s="49">
        <f t="shared" si="2"/>
        <v>37234</v>
      </c>
    </row>
    <row r="35103">
      <c r="A35103" s="48" t="s">
        <v>460</v>
      </c>
      <c r="B35103" s="38">
        <v>33195.0</v>
      </c>
      <c r="C35103" s="38" t="s">
        <v>30844</v>
      </c>
      <c r="D35103" s="38" t="str">
        <f>IFERROR(__xludf.DUMMYFUNCTION("REGEXREPLACE(C35103,""-\d+(.*)|--\d+(.*)"","""")"),"GRIGNOLS")</f>
        <v>GRIGNOLS</v>
      </c>
      <c r="E35103" s="38" t="s">
        <v>462</v>
      </c>
      <c r="F35103" s="38" t="s">
        <v>252</v>
      </c>
      <c r="G35103" s="49" t="str">
        <f t="shared" si="1"/>
        <v>33690</v>
      </c>
      <c r="H35103" s="49">
        <f t="shared" si="2"/>
        <v>33195</v>
      </c>
    </row>
    <row r="35104">
      <c r="A35104" s="48" t="s">
        <v>5350</v>
      </c>
      <c r="B35104" s="38">
        <v>77067.0</v>
      </c>
      <c r="C35104" s="38" t="s">
        <v>39264</v>
      </c>
      <c r="D35104" s="38" t="str">
        <f>IFERROR(__xludf.DUMMYFUNCTION("REGEXREPLACE(C35104,""-\d+(.*)|--\d+(.*)"","""")"),"CESSON")</f>
        <v>CESSON</v>
      </c>
      <c r="E35104" s="38" t="s">
        <v>244</v>
      </c>
      <c r="F35104" s="38" t="s">
        <v>245</v>
      </c>
      <c r="G35104" s="49" t="str">
        <f t="shared" si="1"/>
        <v>77240</v>
      </c>
      <c r="H35104" s="49">
        <f t="shared" si="2"/>
        <v>77067</v>
      </c>
    </row>
    <row r="35105">
      <c r="A35105" s="48" t="s">
        <v>16366</v>
      </c>
      <c r="B35105" s="38">
        <v>21122.0</v>
      </c>
      <c r="C35105" s="38" t="s">
        <v>39265</v>
      </c>
      <c r="D35105" s="38" t="str">
        <f>IFERROR(__xludf.DUMMYFUNCTION("REGEXREPLACE(C35105,""-\d+(.*)|--\d+(.*)"","""")"),"BUSSY-LE-GRAND")</f>
        <v>BUSSY-LE-GRAND</v>
      </c>
      <c r="E35105" s="38" t="s">
        <v>105</v>
      </c>
      <c r="F35105" s="38" t="s">
        <v>106</v>
      </c>
      <c r="G35105" s="49" t="str">
        <f t="shared" si="1"/>
        <v>21150</v>
      </c>
      <c r="H35105" s="49">
        <f t="shared" si="2"/>
        <v>21122</v>
      </c>
    </row>
    <row r="35106">
      <c r="A35106" s="48" t="s">
        <v>2052</v>
      </c>
      <c r="B35106" s="38">
        <v>80619.0</v>
      </c>
      <c r="C35106" s="38" t="s">
        <v>39266</v>
      </c>
      <c r="D35106" s="38" t="str">
        <f>IFERROR(__xludf.DUMMYFUNCTION("REGEXREPLACE(C35106,""-\d+(.*)|--\d+(.*)"","""")"),"PERNOIS")</f>
        <v>PERNOIS</v>
      </c>
      <c r="E35106" s="38" t="s">
        <v>224</v>
      </c>
      <c r="F35106" s="38" t="s">
        <v>113</v>
      </c>
      <c r="G35106" s="49" t="str">
        <f t="shared" si="1"/>
        <v>80670</v>
      </c>
      <c r="H35106" s="49">
        <f t="shared" si="2"/>
        <v>80619</v>
      </c>
    </row>
    <row r="35107">
      <c r="A35107" s="48" t="s">
        <v>1812</v>
      </c>
      <c r="B35107" s="38">
        <v>51200.0</v>
      </c>
      <c r="C35107" s="38" t="s">
        <v>39267</v>
      </c>
      <c r="D35107" s="38" t="str">
        <f>IFERROR(__xludf.DUMMYFUNCTION("REGEXREPLACE(C35107,""-\d+(.*)|--\d+(.*)"","""")"),"CUIS")</f>
        <v>CUIS</v>
      </c>
      <c r="E35107" s="38" t="s">
        <v>129</v>
      </c>
      <c r="F35107" s="38" t="s">
        <v>130</v>
      </c>
      <c r="G35107" s="49" t="str">
        <f t="shared" si="1"/>
        <v>51530</v>
      </c>
      <c r="H35107" s="49">
        <f t="shared" si="2"/>
        <v>51200</v>
      </c>
    </row>
    <row r="35108">
      <c r="A35108" s="48" t="s">
        <v>26333</v>
      </c>
      <c r="B35108" s="38">
        <v>2552.0</v>
      </c>
      <c r="C35108" s="38" t="s">
        <v>13375</v>
      </c>
      <c r="D35108" s="38" t="str">
        <f>IFERROR(__xludf.DUMMYFUNCTION("REGEXREPLACE(C35108,""-\d+(.*)|--\d+(.*)"","""")"),"NEUVILLETTE")</f>
        <v>NEUVILLETTE</v>
      </c>
      <c r="E35108" s="38" t="s">
        <v>191</v>
      </c>
      <c r="F35108" s="38" t="s">
        <v>113</v>
      </c>
      <c r="G35108" s="49" t="str">
        <f t="shared" si="1"/>
        <v>02390</v>
      </c>
      <c r="H35108" s="49" t="str">
        <f t="shared" si="2"/>
        <v>02552</v>
      </c>
    </row>
    <row r="35109">
      <c r="A35109" s="48" t="s">
        <v>734</v>
      </c>
      <c r="B35109" s="38">
        <v>54002.0</v>
      </c>
      <c r="C35109" s="38" t="s">
        <v>39268</v>
      </c>
      <c r="D35109" s="38" t="str">
        <f>IFERROR(__xludf.DUMMYFUNCTION("REGEXREPLACE(C35109,""-\d+(.*)|--\d+(.*)"","""")"),"ABBEVILLE-LES-CONFLANS")</f>
        <v>ABBEVILLE-LES-CONFLANS</v>
      </c>
      <c r="E35109" s="38" t="s">
        <v>548</v>
      </c>
      <c r="F35109" s="38" t="s">
        <v>195</v>
      </c>
      <c r="G35109" s="49" t="str">
        <f t="shared" si="1"/>
        <v>54800</v>
      </c>
      <c r="H35109" s="49">
        <f t="shared" si="2"/>
        <v>54002</v>
      </c>
    </row>
    <row r="35110">
      <c r="A35110" s="48" t="s">
        <v>5616</v>
      </c>
      <c r="B35110" s="38">
        <v>71297.0</v>
      </c>
      <c r="C35110" s="38" t="s">
        <v>39269</v>
      </c>
      <c r="D35110" s="38" t="str">
        <f>IFERROR(__xludf.DUMMYFUNCTION("REGEXREPLACE(C35110,""-\d+(.*)|--\d+(.*)"","""")"),"MESVRES")</f>
        <v>MESVRES</v>
      </c>
      <c r="E35110" s="38" t="s">
        <v>344</v>
      </c>
      <c r="F35110" s="38" t="s">
        <v>106</v>
      </c>
      <c r="G35110" s="49" t="str">
        <f t="shared" si="1"/>
        <v>71190</v>
      </c>
      <c r="H35110" s="49">
        <f t="shared" si="2"/>
        <v>71297</v>
      </c>
    </row>
    <row r="35111">
      <c r="A35111" s="48" t="s">
        <v>5616</v>
      </c>
      <c r="B35111" s="38">
        <v>71096.0</v>
      </c>
      <c r="C35111" s="38" t="s">
        <v>39270</v>
      </c>
      <c r="D35111" s="38" t="str">
        <f>IFERROR(__xludf.DUMMYFUNCTION("REGEXREPLACE(C35111,""-\d+(.*)|--\d+(.*)"","""")"),"LA CHAPELLE-SOUS-UCHON")</f>
        <v>LA CHAPELLE-SOUS-UCHON</v>
      </c>
      <c r="E35111" s="38" t="s">
        <v>344</v>
      </c>
      <c r="F35111" s="38" t="s">
        <v>106</v>
      </c>
      <c r="G35111" s="49" t="str">
        <f t="shared" si="1"/>
        <v>71190</v>
      </c>
      <c r="H35111" s="49">
        <f t="shared" si="2"/>
        <v>71096</v>
      </c>
    </row>
    <row r="35112">
      <c r="A35112" s="48" t="s">
        <v>4142</v>
      </c>
      <c r="B35112" s="38">
        <v>16147.0</v>
      </c>
      <c r="C35112" s="38" t="s">
        <v>39271</v>
      </c>
      <c r="D35112" s="38" t="str">
        <f>IFERROR(__xludf.DUMMYFUNCTION("REGEXREPLACE(C35112,""-\d+(.*)|--\d+(.*)"","""")"),"GARDES-LE-PONTAROUX")</f>
        <v>GARDES-LE-PONTAROUX</v>
      </c>
      <c r="E35112" s="38" t="s">
        <v>429</v>
      </c>
      <c r="F35112" s="38" t="s">
        <v>338</v>
      </c>
      <c r="G35112" s="49" t="str">
        <f t="shared" si="1"/>
        <v>16320</v>
      </c>
      <c r="H35112" s="49">
        <f t="shared" si="2"/>
        <v>16147</v>
      </c>
    </row>
    <row r="35113">
      <c r="A35113" s="48" t="s">
        <v>39272</v>
      </c>
      <c r="B35113" s="38">
        <v>62758.0</v>
      </c>
      <c r="C35113" s="38" t="s">
        <v>39273</v>
      </c>
      <c r="D35113" s="38" t="str">
        <f>IFERROR(__xludf.DUMMYFUNCTION("REGEXREPLACE(C35113,""-\d+(.*)|--\d+(.*)"","""")"),"SAINT-MARTIN-BOULOGNE")</f>
        <v>SAINT-MARTIN-BOULOGNE</v>
      </c>
      <c r="E35113" s="38" t="s">
        <v>109</v>
      </c>
      <c r="F35113" s="38" t="s">
        <v>86</v>
      </c>
      <c r="G35113" s="49" t="str">
        <f t="shared" si="1"/>
        <v>62280</v>
      </c>
      <c r="H35113" s="49">
        <f t="shared" si="2"/>
        <v>62758</v>
      </c>
    </row>
    <row r="35114">
      <c r="A35114" s="48" t="s">
        <v>3564</v>
      </c>
      <c r="B35114" s="38">
        <v>83057.0</v>
      </c>
      <c r="C35114" s="38" t="s">
        <v>39274</v>
      </c>
      <c r="D35114" s="38" t="str">
        <f>IFERROR(__xludf.DUMMYFUNCTION("REGEXREPLACE(C35114,""-\d+(.*)|--\d+(.*)"","""")"),"FLASSANS-SUR-ISSOLE")</f>
        <v>FLASSANS-SUR-ISSOLE</v>
      </c>
      <c r="E35114" s="38" t="s">
        <v>813</v>
      </c>
      <c r="F35114" s="38" t="s">
        <v>228</v>
      </c>
      <c r="G35114" s="49" t="str">
        <f t="shared" si="1"/>
        <v>83340</v>
      </c>
      <c r="H35114" s="49">
        <f t="shared" si="2"/>
        <v>83057</v>
      </c>
    </row>
    <row r="35115">
      <c r="A35115" s="48" t="s">
        <v>12997</v>
      </c>
      <c r="B35115" s="38">
        <v>65330.0</v>
      </c>
      <c r="C35115" s="38" t="s">
        <v>39275</v>
      </c>
      <c r="D35115" s="38" t="str">
        <f>IFERROR(__xludf.DUMMYFUNCTION("REGEXREPLACE(C35115,""-\d+(.*)|--\d+(.*)"","""")"),"NOUILHAN")</f>
        <v>NOUILHAN</v>
      </c>
      <c r="E35115" s="38" t="s">
        <v>200</v>
      </c>
      <c r="F35115" s="38" t="s">
        <v>94</v>
      </c>
      <c r="G35115" s="49" t="str">
        <f t="shared" si="1"/>
        <v>65500</v>
      </c>
      <c r="H35115" s="49">
        <f t="shared" si="2"/>
        <v>65330</v>
      </c>
    </row>
    <row r="35116">
      <c r="A35116" s="48" t="s">
        <v>730</v>
      </c>
      <c r="B35116" s="38">
        <v>48130.0</v>
      </c>
      <c r="C35116" s="38" t="s">
        <v>39276</v>
      </c>
      <c r="D35116" s="38" t="str">
        <f>IFERROR(__xludf.DUMMYFUNCTION("REGEXREPLACE(C35116,""-\d+(.*)|--\d+(.*)"","""")"),"ROUSSES")</f>
        <v>ROUSSES</v>
      </c>
      <c r="E35116" s="38" t="s">
        <v>154</v>
      </c>
      <c r="F35116" s="38" t="s">
        <v>119</v>
      </c>
      <c r="G35116" s="49" t="str">
        <f t="shared" si="1"/>
        <v>48400</v>
      </c>
      <c r="H35116" s="49">
        <f t="shared" si="2"/>
        <v>48130</v>
      </c>
    </row>
    <row r="35117">
      <c r="A35117" s="48" t="s">
        <v>21972</v>
      </c>
      <c r="B35117" s="38">
        <v>80164.0</v>
      </c>
      <c r="C35117" s="38" t="s">
        <v>14338</v>
      </c>
      <c r="D35117" s="38" t="str">
        <f>IFERROR(__xludf.DUMMYFUNCTION("REGEXREPLACE(C35117,""-\d+(.*)|--\d+(.*)"","""")"),"CAMON")</f>
        <v>CAMON</v>
      </c>
      <c r="E35117" s="38" t="s">
        <v>224</v>
      </c>
      <c r="F35117" s="38" t="s">
        <v>113</v>
      </c>
      <c r="G35117" s="49" t="str">
        <f t="shared" si="1"/>
        <v>80450</v>
      </c>
      <c r="H35117" s="49">
        <f t="shared" si="2"/>
        <v>80164</v>
      </c>
    </row>
    <row r="35118">
      <c r="A35118" s="48" t="s">
        <v>11437</v>
      </c>
      <c r="B35118" s="38">
        <v>71230.0</v>
      </c>
      <c r="C35118" s="38" t="s">
        <v>39277</v>
      </c>
      <c r="D35118" s="38" t="str">
        <f>IFERROR(__xludf.DUMMYFUNCTION("REGEXREPLACE(C35118,""-\d+(.*)|--\d+(.*)"","""")"),"GUEUGNON")</f>
        <v>GUEUGNON</v>
      </c>
      <c r="E35118" s="38" t="s">
        <v>344</v>
      </c>
      <c r="F35118" s="38" t="s">
        <v>106</v>
      </c>
      <c r="G35118" s="49" t="str">
        <f t="shared" si="1"/>
        <v>71130</v>
      </c>
      <c r="H35118" s="49">
        <f t="shared" si="2"/>
        <v>71230</v>
      </c>
    </row>
    <row r="35119">
      <c r="A35119" s="48" t="s">
        <v>9365</v>
      </c>
      <c r="B35119" s="38">
        <v>90050.0</v>
      </c>
      <c r="C35119" s="38" t="s">
        <v>39278</v>
      </c>
      <c r="D35119" s="38" t="str">
        <f>IFERROR(__xludf.DUMMYFUNCTION("REGEXREPLACE(C35119,""-\d+(.*)|--\d+(.*)"","""")"),"FRAIS")</f>
        <v>FRAIS</v>
      </c>
      <c r="E35119" s="38" t="s">
        <v>1283</v>
      </c>
      <c r="F35119" s="38" t="s">
        <v>214</v>
      </c>
      <c r="G35119" s="49" t="str">
        <f t="shared" si="1"/>
        <v>90150</v>
      </c>
      <c r="H35119" s="49">
        <f t="shared" si="2"/>
        <v>90050</v>
      </c>
    </row>
    <row r="35120">
      <c r="A35120" s="48" t="s">
        <v>2008</v>
      </c>
      <c r="B35120" s="38">
        <v>46111.0</v>
      </c>
      <c r="C35120" s="38" t="s">
        <v>39279</v>
      </c>
      <c r="D35120" s="38" t="str">
        <f>IFERROR(__xludf.DUMMYFUNCTION("REGEXREPLACE(C35120,""-\d+(.*)|--\d+(.*)"","""")"),"FOURMAGNAC")</f>
        <v>FOURMAGNAC</v>
      </c>
      <c r="E35120" s="38" t="s">
        <v>185</v>
      </c>
      <c r="F35120" s="38" t="s">
        <v>94</v>
      </c>
      <c r="G35120" s="49" t="str">
        <f t="shared" si="1"/>
        <v>46100</v>
      </c>
      <c r="H35120" s="49">
        <f t="shared" si="2"/>
        <v>46111</v>
      </c>
    </row>
    <row r="35121">
      <c r="A35121" s="48" t="s">
        <v>9174</v>
      </c>
      <c r="B35121" s="38">
        <v>35086.0</v>
      </c>
      <c r="C35121" s="38" t="s">
        <v>39280</v>
      </c>
      <c r="D35121" s="38" t="str">
        <f>IFERROR(__xludf.DUMMYFUNCTION("REGEXREPLACE(C35121,""-\d+(.*)|--\d+(.*)"","""")"),"COMBOURTILLE")</f>
        <v>COMBOURTILLE</v>
      </c>
      <c r="E35121" s="38" t="s">
        <v>347</v>
      </c>
      <c r="F35121" s="38" t="s">
        <v>90</v>
      </c>
      <c r="G35121" s="49" t="str">
        <f t="shared" si="1"/>
        <v>35210</v>
      </c>
      <c r="H35121" s="49">
        <f t="shared" si="2"/>
        <v>35086</v>
      </c>
    </row>
    <row r="35122">
      <c r="A35122" s="48" t="s">
        <v>9207</v>
      </c>
      <c r="B35122" s="38">
        <v>57444.0</v>
      </c>
      <c r="C35122" s="38" t="s">
        <v>39281</v>
      </c>
      <c r="D35122" s="38" t="str">
        <f>IFERROR(__xludf.DUMMYFUNCTION("REGEXREPLACE(C35122,""-\d+(.*)|--\d+(.*)"","""")"),"MARANGE-ZONDRANGE")</f>
        <v>MARANGE-ZONDRANGE</v>
      </c>
      <c r="E35122" s="38" t="s">
        <v>303</v>
      </c>
      <c r="F35122" s="38" t="s">
        <v>195</v>
      </c>
      <c r="G35122" s="49" t="str">
        <f t="shared" si="1"/>
        <v>57690</v>
      </c>
      <c r="H35122" s="49">
        <f t="shared" si="2"/>
        <v>57444</v>
      </c>
    </row>
    <row r="35123">
      <c r="A35123" s="48" t="s">
        <v>4224</v>
      </c>
      <c r="B35123" s="38">
        <v>29058.0</v>
      </c>
      <c r="C35123" s="38" t="s">
        <v>39282</v>
      </c>
      <c r="D35123" s="38" t="str">
        <f>IFERROR(__xludf.DUMMYFUNCTION("REGEXREPLACE(C35123,""-\d+(.*)|--\d+(.*)"","""")"),"FOUESNANT")</f>
        <v>FOUESNANT</v>
      </c>
      <c r="E35123" s="38" t="s">
        <v>176</v>
      </c>
      <c r="F35123" s="38" t="s">
        <v>90</v>
      </c>
      <c r="G35123" s="49" t="str">
        <f t="shared" si="1"/>
        <v>29170</v>
      </c>
      <c r="H35123" s="49">
        <f t="shared" si="2"/>
        <v>29058</v>
      </c>
    </row>
    <row r="35124">
      <c r="A35124" s="48" t="s">
        <v>4116</v>
      </c>
      <c r="B35124" s="38">
        <v>18130.0</v>
      </c>
      <c r="C35124" s="38" t="s">
        <v>39283</v>
      </c>
      <c r="D35124" s="38" t="str">
        <f>IFERROR(__xludf.DUMMYFUNCTION("REGEXREPLACE(C35124,""-\d+(.*)|--\d+(.*)"","""")"),"LOYE-SUR-ARNON")</f>
        <v>LOYE-SUR-ARNON</v>
      </c>
      <c r="E35124" s="38" t="s">
        <v>504</v>
      </c>
      <c r="F35124" s="38" t="s">
        <v>123</v>
      </c>
      <c r="G35124" s="49" t="str">
        <f t="shared" si="1"/>
        <v>18170</v>
      </c>
      <c r="H35124" s="49">
        <f t="shared" si="2"/>
        <v>18130</v>
      </c>
    </row>
    <row r="35125">
      <c r="A35125" s="48" t="s">
        <v>715</v>
      </c>
      <c r="B35125" s="38">
        <v>88489.0</v>
      </c>
      <c r="C35125" s="38" t="s">
        <v>39284</v>
      </c>
      <c r="D35125" s="38" t="str">
        <f>IFERROR(__xludf.DUMMYFUNCTION("REGEXREPLACE(C35125,""-\d+(.*)|--\d+(.*)"","""")"),"VALLEROY-AUX-SAULES")</f>
        <v>VALLEROY-AUX-SAULES</v>
      </c>
      <c r="E35125" s="38" t="s">
        <v>194</v>
      </c>
      <c r="F35125" s="38" t="s">
        <v>195</v>
      </c>
      <c r="G35125" s="49" t="str">
        <f t="shared" si="1"/>
        <v>88270</v>
      </c>
      <c r="H35125" s="49">
        <f t="shared" si="2"/>
        <v>88489</v>
      </c>
    </row>
    <row r="35126">
      <c r="A35126" s="48" t="s">
        <v>3624</v>
      </c>
      <c r="B35126" s="38">
        <v>39036.0</v>
      </c>
      <c r="C35126" s="38" t="s">
        <v>39285</v>
      </c>
      <c r="D35126" s="38" t="str">
        <f>IFERROR(__xludf.DUMMYFUNCTION("REGEXREPLACE(C35126,""-\d+(.*)|--\d+(.*)"","""")"),"LA BALME-D'EPY")</f>
        <v>LA BALME-D'EPY</v>
      </c>
      <c r="E35126" s="38" t="s">
        <v>400</v>
      </c>
      <c r="F35126" s="38" t="s">
        <v>214</v>
      </c>
      <c r="G35126" s="49" t="str">
        <f t="shared" si="1"/>
        <v>39320</v>
      </c>
      <c r="H35126" s="49">
        <f t="shared" si="2"/>
        <v>39036</v>
      </c>
    </row>
    <row r="35127">
      <c r="A35127" s="48" t="s">
        <v>103</v>
      </c>
      <c r="B35127" s="38">
        <v>21285.0</v>
      </c>
      <c r="C35127" s="38" t="s">
        <v>39286</v>
      </c>
      <c r="D35127" s="38" t="str">
        <f>IFERROR(__xludf.DUMMYFUNCTION("REGEXREPLACE(C35127,""-\d+(.*)|--\d+(.*)"","""")"),"FRANXAULT")</f>
        <v>FRANXAULT</v>
      </c>
      <c r="E35127" s="38" t="s">
        <v>105</v>
      </c>
      <c r="F35127" s="38" t="s">
        <v>106</v>
      </c>
      <c r="G35127" s="49" t="str">
        <f t="shared" si="1"/>
        <v>21170</v>
      </c>
      <c r="H35127" s="49">
        <f t="shared" si="2"/>
        <v>21285</v>
      </c>
    </row>
    <row r="35128">
      <c r="A35128" s="48" t="s">
        <v>2016</v>
      </c>
      <c r="B35128" s="38">
        <v>50581.0</v>
      </c>
      <c r="C35128" s="38" t="s">
        <v>39287</v>
      </c>
      <c r="D35128" s="38" t="str">
        <f>IFERROR(__xludf.DUMMYFUNCTION("REGEXREPLACE(C35128,""-\d+(.*)|--\d+(.*)"","""")"),"SOULLES")</f>
        <v>SOULLES</v>
      </c>
      <c r="E35128" s="38" t="s">
        <v>157</v>
      </c>
      <c r="F35128" s="38" t="s">
        <v>138</v>
      </c>
      <c r="G35128" s="49" t="str">
        <f t="shared" si="1"/>
        <v>50750</v>
      </c>
      <c r="H35128" s="49">
        <f t="shared" si="2"/>
        <v>50581</v>
      </c>
    </row>
    <row r="35129">
      <c r="A35129" s="48" t="s">
        <v>22766</v>
      </c>
      <c r="B35129" s="38">
        <v>29238.0</v>
      </c>
      <c r="C35129" s="38" t="s">
        <v>39288</v>
      </c>
      <c r="D35129" s="38" t="str">
        <f>IFERROR(__xludf.DUMMYFUNCTION("REGEXREPLACE(C35129,""-\d+(.*)|--\d+(.*)"","""")"),"ROSCANVEL")</f>
        <v>ROSCANVEL</v>
      </c>
      <c r="E35129" s="38" t="s">
        <v>176</v>
      </c>
      <c r="F35129" s="38" t="s">
        <v>90</v>
      </c>
      <c r="G35129" s="49" t="str">
        <f t="shared" si="1"/>
        <v>29570</v>
      </c>
      <c r="H35129" s="49">
        <f t="shared" si="2"/>
        <v>29238</v>
      </c>
    </row>
    <row r="35130">
      <c r="A35130" s="48" t="s">
        <v>2659</v>
      </c>
      <c r="B35130" s="38">
        <v>80092.0</v>
      </c>
      <c r="C35130" s="38" t="s">
        <v>39289</v>
      </c>
      <c r="D35130" s="38" t="str">
        <f>IFERROR(__xludf.DUMMYFUNCTION("REGEXREPLACE(C35130,""-\d+(.*)|--\d+(.*)"","""")"),"BERTANGLES")</f>
        <v>BERTANGLES</v>
      </c>
      <c r="E35130" s="38" t="s">
        <v>224</v>
      </c>
      <c r="F35130" s="38" t="s">
        <v>113</v>
      </c>
      <c r="G35130" s="49" t="str">
        <f t="shared" si="1"/>
        <v>80260</v>
      </c>
      <c r="H35130" s="49">
        <f t="shared" si="2"/>
        <v>80092</v>
      </c>
    </row>
    <row r="35131">
      <c r="A35131" s="48" t="s">
        <v>25989</v>
      </c>
      <c r="B35131" s="38">
        <v>25345.0</v>
      </c>
      <c r="C35131" s="38" t="s">
        <v>39290</v>
      </c>
      <c r="D35131" s="38" t="str">
        <f>IFERROR(__xludf.DUMMYFUNCTION("REGEXREPLACE(C35131,""-\d+(.*)|--\d+(.*)"","""")"),"LONGEVELLE-SUR-DOUBS")</f>
        <v>LONGEVELLE-SUR-DOUBS</v>
      </c>
      <c r="E35131" s="38" t="s">
        <v>213</v>
      </c>
      <c r="F35131" s="38" t="s">
        <v>214</v>
      </c>
      <c r="G35131" s="49" t="str">
        <f t="shared" si="1"/>
        <v>25260</v>
      </c>
      <c r="H35131" s="49">
        <f t="shared" si="2"/>
        <v>25345</v>
      </c>
    </row>
    <row r="35132">
      <c r="A35132" s="48" t="s">
        <v>2429</v>
      </c>
      <c r="B35132" s="38">
        <v>63218.0</v>
      </c>
      <c r="C35132" s="38" t="s">
        <v>35662</v>
      </c>
      <c r="D35132" s="38" t="str">
        <f>IFERROR(__xludf.DUMMYFUNCTION("REGEXREPLACE(C35132,""-\d+(.*)|--\d+(.*)"","""")"),"MAYRES")</f>
        <v>MAYRES</v>
      </c>
      <c r="E35132" s="38" t="s">
        <v>353</v>
      </c>
      <c r="F35132" s="38" t="s">
        <v>161</v>
      </c>
      <c r="G35132" s="49" t="str">
        <f t="shared" si="1"/>
        <v>63220</v>
      </c>
      <c r="H35132" s="49">
        <f t="shared" si="2"/>
        <v>63218</v>
      </c>
    </row>
    <row r="35133">
      <c r="A35133" s="48" t="s">
        <v>3900</v>
      </c>
      <c r="B35133" s="38">
        <v>2158.0</v>
      </c>
      <c r="C35133" s="38" t="s">
        <v>39291</v>
      </c>
      <c r="D35133" s="38" t="str">
        <f>IFERROR(__xludf.DUMMYFUNCTION("REGEXREPLACE(C35133,""-\d+(.*)|--\d+(.*)"","""")"),"CHAMOUILLE")</f>
        <v>CHAMOUILLE</v>
      </c>
      <c r="E35133" s="38" t="s">
        <v>191</v>
      </c>
      <c r="F35133" s="38" t="s">
        <v>113</v>
      </c>
      <c r="G35133" s="49" t="str">
        <f t="shared" si="1"/>
        <v>02860</v>
      </c>
      <c r="H35133" s="49" t="str">
        <f t="shared" si="2"/>
        <v>02158</v>
      </c>
    </row>
    <row r="35134">
      <c r="A35134" s="48" t="s">
        <v>7237</v>
      </c>
      <c r="B35134" s="38">
        <v>17387.0</v>
      </c>
      <c r="C35134" s="38" t="s">
        <v>39292</v>
      </c>
      <c r="D35134" s="38" t="str">
        <f>IFERROR(__xludf.DUMMYFUNCTION("REGEXREPLACE(C35134,""-\d+(.*)|--\d+(.*)"","""")"),"SAINT-PORCHAIRE")</f>
        <v>SAINT-PORCHAIRE</v>
      </c>
      <c r="E35134" s="38" t="s">
        <v>488</v>
      </c>
      <c r="F35134" s="38" t="s">
        <v>338</v>
      </c>
      <c r="G35134" s="49" t="str">
        <f t="shared" si="1"/>
        <v>17250</v>
      </c>
      <c r="H35134" s="49">
        <f t="shared" si="2"/>
        <v>17387</v>
      </c>
    </row>
    <row r="35135">
      <c r="A35135" s="48" t="s">
        <v>2270</v>
      </c>
      <c r="B35135" s="38">
        <v>32411.0</v>
      </c>
      <c r="C35135" s="38" t="s">
        <v>39293</v>
      </c>
      <c r="D35135" s="38" t="str">
        <f>IFERROR(__xludf.DUMMYFUNCTION("REGEXREPLACE(C35135,""-\d+(.*)|--\d+(.*)"","""")"),"SANSAN")</f>
        <v>SANSAN</v>
      </c>
      <c r="E35135" s="38" t="s">
        <v>440</v>
      </c>
      <c r="F35135" s="38" t="s">
        <v>94</v>
      </c>
      <c r="G35135" s="49" t="str">
        <f t="shared" si="1"/>
        <v>32260</v>
      </c>
      <c r="H35135" s="49">
        <f t="shared" si="2"/>
        <v>32411</v>
      </c>
    </row>
    <row r="35136">
      <c r="A35136" s="48" t="s">
        <v>6670</v>
      </c>
      <c r="B35136" s="38">
        <v>32384.0</v>
      </c>
      <c r="C35136" s="38" t="s">
        <v>31723</v>
      </c>
      <c r="D35136" s="38" t="str">
        <f>IFERROR(__xludf.DUMMYFUNCTION("REGEXREPLACE(C35136,""-\d+(.*)|--\d+(.*)"","""")"),"SAINT-LARY")</f>
        <v>SAINT-LARY</v>
      </c>
      <c r="E35136" s="38" t="s">
        <v>440</v>
      </c>
      <c r="F35136" s="38" t="s">
        <v>94</v>
      </c>
      <c r="G35136" s="49" t="str">
        <f t="shared" si="1"/>
        <v>32360</v>
      </c>
      <c r="H35136" s="49">
        <f t="shared" si="2"/>
        <v>32384</v>
      </c>
    </row>
    <row r="35137">
      <c r="A35137" s="48" t="s">
        <v>1079</v>
      </c>
      <c r="B35137" s="38">
        <v>24030.0</v>
      </c>
      <c r="C35137" s="38" t="s">
        <v>39294</v>
      </c>
      <c r="D35137" s="38" t="str">
        <f>IFERROR(__xludf.DUMMYFUNCTION("REGEXREPLACE(C35137,""-\d+(.*)|--\d+(.*)"","""")"),"BEAUREGARD-DE-TERRASSON")</f>
        <v>BEAUREGARD-DE-TERRASSON</v>
      </c>
      <c r="E35137" s="38" t="s">
        <v>261</v>
      </c>
      <c r="F35137" s="38" t="s">
        <v>252</v>
      </c>
      <c r="G35137" s="49" t="str">
        <f t="shared" si="1"/>
        <v>24120</v>
      </c>
      <c r="H35137" s="49">
        <f t="shared" si="2"/>
        <v>24030</v>
      </c>
    </row>
    <row r="35138">
      <c r="A35138" s="48" t="s">
        <v>39295</v>
      </c>
      <c r="B35138" s="38">
        <v>66172.0</v>
      </c>
      <c r="C35138" s="38" t="s">
        <v>39296</v>
      </c>
      <c r="D35138" s="38" t="str">
        <f>IFERROR(__xludf.DUMMYFUNCTION("REGEXREPLACE(C35138,""-\d+(.*)|--\d+(.*)"","""")"),"SAINT-ESTEVE")</f>
        <v>SAINT-ESTEVE</v>
      </c>
      <c r="E35138" s="38" t="s">
        <v>248</v>
      </c>
      <c r="F35138" s="38" t="s">
        <v>119</v>
      </c>
      <c r="G35138" s="49" t="str">
        <f t="shared" si="1"/>
        <v>66240</v>
      </c>
      <c r="H35138" s="49">
        <f t="shared" si="2"/>
        <v>66172</v>
      </c>
    </row>
    <row r="35139">
      <c r="A35139" s="48" t="s">
        <v>874</v>
      </c>
      <c r="B35139" s="38" t="s">
        <v>39297</v>
      </c>
      <c r="C35139" s="38" t="s">
        <v>39298</v>
      </c>
      <c r="D35139" s="38" t="str">
        <f>IFERROR(__xludf.DUMMYFUNCTION("REGEXREPLACE(C35139,""-\d+(.*)|--\d+(.*)"","""")"),"CAMPANA")</f>
        <v>CAMPANA</v>
      </c>
      <c r="E35139" s="38" t="s">
        <v>743</v>
      </c>
      <c r="F35139" s="38" t="s">
        <v>607</v>
      </c>
      <c r="G35139" s="49" t="str">
        <f t="shared" si="1"/>
        <v>20229</v>
      </c>
      <c r="H35139" s="49" t="str">
        <f t="shared" si="2"/>
        <v>2B052</v>
      </c>
    </row>
    <row r="35140">
      <c r="A35140" s="48" t="s">
        <v>3266</v>
      </c>
      <c r="B35140" s="38">
        <v>55332.0</v>
      </c>
      <c r="C35140" s="38" t="s">
        <v>39299</v>
      </c>
      <c r="D35140" s="38" t="str">
        <f>IFERROR(__xludf.DUMMYFUNCTION("REGEXREPLACE(C35140,""-\d+(.*)|--\d+(.*)"","""")"),"MENAUCOURT")</f>
        <v>MENAUCOURT</v>
      </c>
      <c r="E35140" s="38" t="s">
        <v>322</v>
      </c>
      <c r="F35140" s="38" t="s">
        <v>195</v>
      </c>
      <c r="G35140" s="49" t="str">
        <f t="shared" si="1"/>
        <v>55500</v>
      </c>
      <c r="H35140" s="49">
        <f t="shared" si="2"/>
        <v>55332</v>
      </c>
    </row>
    <row r="35141">
      <c r="A35141" s="48" t="s">
        <v>127</v>
      </c>
      <c r="B35141" s="38">
        <v>51272.0</v>
      </c>
      <c r="C35141" s="38" t="s">
        <v>39300</v>
      </c>
      <c r="D35141" s="38" t="str">
        <f>IFERROR(__xludf.DUMMYFUNCTION("REGEXREPLACE(C35141,""-\d+(.*)|--\d+(.*)"","""")"),"GIVRY-EN-ARGONNE")</f>
        <v>GIVRY-EN-ARGONNE</v>
      </c>
      <c r="E35141" s="38" t="s">
        <v>129</v>
      </c>
      <c r="F35141" s="38" t="s">
        <v>130</v>
      </c>
      <c r="G35141" s="49" t="str">
        <f t="shared" si="1"/>
        <v>51330</v>
      </c>
      <c r="H35141" s="49">
        <f t="shared" si="2"/>
        <v>51272</v>
      </c>
    </row>
    <row r="35142">
      <c r="A35142" s="48" t="s">
        <v>5413</v>
      </c>
      <c r="B35142" s="38">
        <v>44141.0</v>
      </c>
      <c r="C35142" s="38" t="s">
        <v>39301</v>
      </c>
      <c r="D35142" s="38" t="str">
        <f>IFERROR(__xludf.DUMMYFUNCTION("REGEXREPLACE(C35142,""-\d+(.*)|--\d+(.*)"","""")"),"LA REMAUDIERE")</f>
        <v>LA REMAUDIERE</v>
      </c>
      <c r="E35142" s="38" t="s">
        <v>759</v>
      </c>
      <c r="F35142" s="38" t="s">
        <v>180</v>
      </c>
      <c r="G35142" s="49" t="str">
        <f t="shared" si="1"/>
        <v>44430</v>
      </c>
      <c r="H35142" s="49">
        <f t="shared" si="2"/>
        <v>44141</v>
      </c>
    </row>
    <row r="35143">
      <c r="A35143" s="48" t="s">
        <v>3100</v>
      </c>
      <c r="B35143" s="38">
        <v>7077.0</v>
      </c>
      <c r="C35143" s="38" t="s">
        <v>39302</v>
      </c>
      <c r="D35143" s="38" t="str">
        <f>IFERROR(__xludf.DUMMYFUNCTION("REGEXREPLACE(C35143,""-\d+(.*)|--\d+(.*)"","""")"),"DARBRES")</f>
        <v>DARBRES</v>
      </c>
      <c r="E35143" s="38" t="s">
        <v>144</v>
      </c>
      <c r="F35143" s="38" t="s">
        <v>102</v>
      </c>
      <c r="G35143" s="49" t="str">
        <f t="shared" si="1"/>
        <v>07170</v>
      </c>
      <c r="H35143" s="49" t="str">
        <f t="shared" si="2"/>
        <v>07077</v>
      </c>
    </row>
    <row r="35144">
      <c r="A35144" s="48" t="s">
        <v>1522</v>
      </c>
      <c r="B35144" s="38">
        <v>32023.0</v>
      </c>
      <c r="C35144" s="38" t="s">
        <v>39303</v>
      </c>
      <c r="D35144" s="38" t="str">
        <f>IFERROR(__xludf.DUMMYFUNCTION("REGEXREPLACE(C35144,""-\d+(.*)|--\d+(.*)"","""")"),"AVEZAN")</f>
        <v>AVEZAN</v>
      </c>
      <c r="E35144" s="38" t="s">
        <v>440</v>
      </c>
      <c r="F35144" s="38" t="s">
        <v>94</v>
      </c>
      <c r="G35144" s="49" t="str">
        <f t="shared" si="1"/>
        <v>32380</v>
      </c>
      <c r="H35144" s="49">
        <f t="shared" si="2"/>
        <v>32023</v>
      </c>
    </row>
    <row r="35145">
      <c r="A35145" s="48" t="s">
        <v>3317</v>
      </c>
      <c r="B35145" s="38">
        <v>1236.0</v>
      </c>
      <c r="C35145" s="38" t="s">
        <v>39304</v>
      </c>
      <c r="D35145" s="38" t="str">
        <f>IFERROR(__xludf.DUMMYFUNCTION("REGEXREPLACE(C35145,""-\d+(.*)|--\d+(.*)"","""")"),"MARSONNAS")</f>
        <v>MARSONNAS</v>
      </c>
      <c r="E35145" s="38" t="s">
        <v>255</v>
      </c>
      <c r="F35145" s="38" t="s">
        <v>102</v>
      </c>
      <c r="G35145" s="49" t="str">
        <f t="shared" si="1"/>
        <v>01340</v>
      </c>
      <c r="H35145" s="49" t="str">
        <f t="shared" si="2"/>
        <v>01236</v>
      </c>
    </row>
    <row r="35146">
      <c r="A35146" s="48" t="s">
        <v>3404</v>
      </c>
      <c r="B35146" s="38">
        <v>39320.0</v>
      </c>
      <c r="C35146" s="38" t="s">
        <v>39305</v>
      </c>
      <c r="D35146" s="38" t="str">
        <f>IFERROR(__xludf.DUMMYFUNCTION("REGEXREPLACE(C35146,""-\d+(.*)|--\d+(.*)"","""")"),"MAYNAL")</f>
        <v>MAYNAL</v>
      </c>
      <c r="E35146" s="38" t="s">
        <v>400</v>
      </c>
      <c r="F35146" s="38" t="s">
        <v>214</v>
      </c>
      <c r="G35146" s="49" t="str">
        <f t="shared" si="1"/>
        <v>39190</v>
      </c>
      <c r="H35146" s="49">
        <f t="shared" si="2"/>
        <v>39320</v>
      </c>
    </row>
    <row r="35147">
      <c r="A35147" s="48" t="s">
        <v>22709</v>
      </c>
      <c r="B35147" s="38">
        <v>33420.0</v>
      </c>
      <c r="C35147" s="38" t="s">
        <v>5910</v>
      </c>
      <c r="D35147" s="38" t="str">
        <f>IFERROR(__xludf.DUMMYFUNCTION("REGEXREPLACE(C35147,""-\d+(.*)|--\d+(.*)"","""")"),"SAINT-HIPPOLYTE")</f>
        <v>SAINT-HIPPOLYTE</v>
      </c>
      <c r="E35147" s="38" t="s">
        <v>462</v>
      </c>
      <c r="F35147" s="38" t="s">
        <v>252</v>
      </c>
      <c r="G35147" s="49" t="str">
        <f t="shared" si="1"/>
        <v>33330</v>
      </c>
      <c r="H35147" s="49">
        <f t="shared" si="2"/>
        <v>33420</v>
      </c>
    </row>
    <row r="35148">
      <c r="A35148" s="48" t="s">
        <v>1896</v>
      </c>
      <c r="B35148" s="38">
        <v>51532.0</v>
      </c>
      <c r="C35148" s="38" t="s">
        <v>39306</v>
      </c>
      <c r="D35148" s="38" t="str">
        <f>IFERROR(__xludf.DUMMYFUNCTION("REGEXREPLACE(C35148,""-\d+(.*)|--\d+(.*)"","""")"),"SERMIERS")</f>
        <v>SERMIERS</v>
      </c>
      <c r="E35148" s="38" t="s">
        <v>129</v>
      </c>
      <c r="F35148" s="38" t="s">
        <v>130</v>
      </c>
      <c r="G35148" s="49" t="str">
        <f t="shared" si="1"/>
        <v>51500</v>
      </c>
      <c r="H35148" s="49">
        <f t="shared" si="2"/>
        <v>51532</v>
      </c>
    </row>
    <row r="35149">
      <c r="A35149" s="48" t="s">
        <v>25654</v>
      </c>
      <c r="B35149" s="38">
        <v>58220.0</v>
      </c>
      <c r="C35149" s="38" t="s">
        <v>39307</v>
      </c>
      <c r="D35149" s="38" t="str">
        <f>IFERROR(__xludf.DUMMYFUNCTION("REGEXREPLACE(C35149,""-\d+(.*)|--\d+(.*)"","""")"),"RAVEAU")</f>
        <v>RAVEAU</v>
      </c>
      <c r="E35149" s="38" t="s">
        <v>219</v>
      </c>
      <c r="F35149" s="38" t="s">
        <v>106</v>
      </c>
      <c r="G35149" s="49" t="str">
        <f t="shared" si="1"/>
        <v>58400</v>
      </c>
      <c r="H35149" s="49">
        <f t="shared" si="2"/>
        <v>58220</v>
      </c>
    </row>
    <row r="35150">
      <c r="A35150" s="48" t="s">
        <v>1497</v>
      </c>
      <c r="B35150" s="38">
        <v>83030.0</v>
      </c>
      <c r="C35150" s="38" t="s">
        <v>39308</v>
      </c>
      <c r="D35150" s="38" t="str">
        <f>IFERROR(__xludf.DUMMYFUNCTION("REGEXREPLACE(C35150,""-\d+(.*)|--\d+(.*)"","""")"),"CAMPS-LA-SOURCE")</f>
        <v>CAMPS-LA-SOURCE</v>
      </c>
      <c r="E35150" s="38" t="s">
        <v>813</v>
      </c>
      <c r="F35150" s="38" t="s">
        <v>228</v>
      </c>
      <c r="G35150" s="49" t="str">
        <f t="shared" si="1"/>
        <v>83170</v>
      </c>
      <c r="H35150" s="49">
        <f t="shared" si="2"/>
        <v>83030</v>
      </c>
    </row>
    <row r="35151">
      <c r="A35151" s="48" t="s">
        <v>1174</v>
      </c>
      <c r="B35151" s="38">
        <v>51567.0</v>
      </c>
      <c r="C35151" s="38" t="s">
        <v>39309</v>
      </c>
      <c r="D35151" s="38" t="str">
        <f>IFERROR(__xludf.DUMMYFUNCTION("REGEXREPLACE(C35151,""-\d+(.*)|--\d+(.*)"","""")"),"THIEBLEMONT-FAREMONT")</f>
        <v>THIEBLEMONT-FAREMONT</v>
      </c>
      <c r="E35151" s="38" t="s">
        <v>129</v>
      </c>
      <c r="F35151" s="38" t="s">
        <v>130</v>
      </c>
      <c r="G35151" s="49" t="str">
        <f t="shared" si="1"/>
        <v>51300</v>
      </c>
      <c r="H35151" s="49">
        <f t="shared" si="2"/>
        <v>51567</v>
      </c>
    </row>
    <row r="35152">
      <c r="A35152" s="48" t="s">
        <v>2688</v>
      </c>
      <c r="B35152" s="38">
        <v>36239.0</v>
      </c>
      <c r="C35152" s="38" t="s">
        <v>39310</v>
      </c>
      <c r="D35152" s="38" t="str">
        <f>IFERROR(__xludf.DUMMYFUNCTION("REGEXREPLACE(C35152,""-\d+(.*)|--\d+(.*)"","""")"),"VIGOUX")</f>
        <v>VIGOUX</v>
      </c>
      <c r="E35152" s="38" t="s">
        <v>258</v>
      </c>
      <c r="F35152" s="38" t="s">
        <v>123</v>
      </c>
      <c r="G35152" s="49" t="str">
        <f t="shared" si="1"/>
        <v>36170</v>
      </c>
      <c r="H35152" s="49">
        <f t="shared" si="2"/>
        <v>36239</v>
      </c>
    </row>
    <row r="35153">
      <c r="A35153" s="48" t="s">
        <v>3631</v>
      </c>
      <c r="B35153" s="38">
        <v>38084.0</v>
      </c>
      <c r="C35153" s="38" t="s">
        <v>39311</v>
      </c>
      <c r="D35153" s="38" t="str">
        <f>IFERROR(__xludf.DUMMYFUNCTION("REGEXREPLACE(C35153,""-\d+(.*)|--\d+(.*)"","""")"),"CHARNECLES")</f>
        <v>CHARNECLES</v>
      </c>
      <c r="E35153" s="38" t="s">
        <v>101</v>
      </c>
      <c r="F35153" s="38" t="s">
        <v>102</v>
      </c>
      <c r="G35153" s="49" t="str">
        <f t="shared" si="1"/>
        <v>38140</v>
      </c>
      <c r="H35153" s="49">
        <f t="shared" si="2"/>
        <v>38084</v>
      </c>
    </row>
    <row r="35154">
      <c r="A35154" s="48" t="s">
        <v>463</v>
      </c>
      <c r="B35154" s="38">
        <v>12124.0</v>
      </c>
      <c r="C35154" s="38" t="s">
        <v>39312</v>
      </c>
      <c r="D35154" s="38" t="str">
        <f>IFERROR(__xludf.DUMMYFUNCTION("REGEXREPLACE(C35154,""-\d+(.*)|--\d+(.*)"","""")"),"LASSOUTS")</f>
        <v>LASSOUTS</v>
      </c>
      <c r="E35154" s="38" t="s">
        <v>465</v>
      </c>
      <c r="F35154" s="38" t="s">
        <v>94</v>
      </c>
      <c r="G35154" s="49" t="str">
        <f t="shared" si="1"/>
        <v>12500</v>
      </c>
      <c r="H35154" s="49">
        <f t="shared" si="2"/>
        <v>12124</v>
      </c>
    </row>
    <row r="35155">
      <c r="A35155" s="48" t="s">
        <v>5791</v>
      </c>
      <c r="B35155" s="38">
        <v>85052.0</v>
      </c>
      <c r="C35155" s="38" t="s">
        <v>39313</v>
      </c>
      <c r="D35155" s="38" t="str">
        <f>IFERROR(__xludf.DUMMYFUNCTION("REGEXREPLACE(C35155,""-\d+(.*)|--\d+(.*)"","""")"),"LA CHAPELLE-ACHARD")</f>
        <v>LA CHAPELLE-ACHARD</v>
      </c>
      <c r="E35155" s="38" t="s">
        <v>179</v>
      </c>
      <c r="F35155" s="38" t="s">
        <v>180</v>
      </c>
      <c r="G35155" s="49" t="str">
        <f t="shared" si="1"/>
        <v>85150</v>
      </c>
      <c r="H35155" s="49">
        <f t="shared" si="2"/>
        <v>85052</v>
      </c>
    </row>
    <row r="35156">
      <c r="A35156" s="48" t="s">
        <v>6264</v>
      </c>
      <c r="B35156" s="38">
        <v>77532.0</v>
      </c>
      <c r="C35156" s="38" t="s">
        <v>39314</v>
      </c>
      <c r="D35156" s="38" t="str">
        <f>IFERROR(__xludf.DUMMYFUNCTION("REGEXREPLACE(C35156,""-\d+(.*)|--\d+(.*)"","""")"),"VULAINES-LES-PROVINS")</f>
        <v>VULAINES-LES-PROVINS</v>
      </c>
      <c r="E35156" s="38" t="s">
        <v>244</v>
      </c>
      <c r="F35156" s="38" t="s">
        <v>245</v>
      </c>
      <c r="G35156" s="49" t="str">
        <f t="shared" si="1"/>
        <v>77160</v>
      </c>
      <c r="H35156" s="49">
        <f t="shared" si="2"/>
        <v>77532</v>
      </c>
    </row>
    <row r="35157">
      <c r="A35157" s="48" t="s">
        <v>3127</v>
      </c>
      <c r="B35157" s="38">
        <v>70341.0</v>
      </c>
      <c r="C35157" s="38" t="s">
        <v>39315</v>
      </c>
      <c r="D35157" s="38" t="str">
        <f>IFERROR(__xludf.DUMMYFUNCTION("REGEXREPLACE(C35157,""-\d+(.*)|--\d+(.*)"","""")"),"MENOUX")</f>
        <v>MENOUX</v>
      </c>
      <c r="E35157" s="38" t="s">
        <v>956</v>
      </c>
      <c r="F35157" s="38" t="s">
        <v>214</v>
      </c>
      <c r="G35157" s="49" t="str">
        <f t="shared" si="1"/>
        <v>70160</v>
      </c>
      <c r="H35157" s="49">
        <f t="shared" si="2"/>
        <v>70341</v>
      </c>
    </row>
    <row r="35158">
      <c r="A35158" s="48" t="s">
        <v>6535</v>
      </c>
      <c r="B35158" s="38">
        <v>58144.0</v>
      </c>
      <c r="C35158" s="38" t="s">
        <v>32427</v>
      </c>
      <c r="D35158" s="38" t="str">
        <f>IFERROR(__xludf.DUMMYFUNCTION("REGEXREPLACE(C35158,""-\d+(.*)|--\d+(.*)"","""")"),"LIVRY")</f>
        <v>LIVRY</v>
      </c>
      <c r="E35158" s="38" t="s">
        <v>219</v>
      </c>
      <c r="F35158" s="38" t="s">
        <v>106</v>
      </c>
      <c r="G35158" s="49" t="str">
        <f t="shared" si="1"/>
        <v>58240</v>
      </c>
      <c r="H35158" s="49">
        <f t="shared" si="2"/>
        <v>58144</v>
      </c>
    </row>
    <row r="35159">
      <c r="A35159" s="48" t="s">
        <v>14840</v>
      </c>
      <c r="B35159" s="38">
        <v>73041.0</v>
      </c>
      <c r="C35159" s="38" t="s">
        <v>39316</v>
      </c>
      <c r="D35159" s="38" t="str">
        <f>IFERROR(__xludf.DUMMYFUNCTION("REGEXREPLACE(C35159,""-\d+(.*)|--\d+(.*)"","""")"),"BETTON-BETTONET")</f>
        <v>BETTON-BETTONET</v>
      </c>
      <c r="E35159" s="38" t="s">
        <v>306</v>
      </c>
      <c r="F35159" s="38" t="s">
        <v>102</v>
      </c>
      <c r="G35159" s="49" t="str">
        <f t="shared" si="1"/>
        <v>73390</v>
      </c>
      <c r="H35159" s="49">
        <f t="shared" si="2"/>
        <v>73041</v>
      </c>
    </row>
    <row r="35160">
      <c r="A35160" s="48" t="s">
        <v>24250</v>
      </c>
      <c r="B35160" s="38">
        <v>12001.0</v>
      </c>
      <c r="C35160" s="38" t="s">
        <v>39317</v>
      </c>
      <c r="D35160" s="38" t="str">
        <f>IFERROR(__xludf.DUMMYFUNCTION("REGEXREPLACE(C35160,""-\d+(.*)|--\d+(.*)"","""")"),"AGEN-D'AVEYRON")</f>
        <v>AGEN-D'AVEYRON</v>
      </c>
      <c r="E35160" s="38" t="s">
        <v>465</v>
      </c>
      <c r="F35160" s="38" t="s">
        <v>94</v>
      </c>
      <c r="G35160" s="49" t="str">
        <f t="shared" si="1"/>
        <v>12630</v>
      </c>
      <c r="H35160" s="49">
        <f t="shared" si="2"/>
        <v>12001</v>
      </c>
    </row>
    <row r="35161">
      <c r="A35161" s="48" t="s">
        <v>323</v>
      </c>
      <c r="B35161" s="38">
        <v>52021.0</v>
      </c>
      <c r="C35161" s="38" t="s">
        <v>39318</v>
      </c>
      <c r="D35161" s="38" t="str">
        <f>IFERROR(__xludf.DUMMYFUNCTION("REGEXREPLACE(C35161,""-\d+(.*)|--\d+(.*)"","""")"),"ATTANCOURT")</f>
        <v>ATTANCOURT</v>
      </c>
      <c r="E35161" s="38" t="s">
        <v>234</v>
      </c>
      <c r="F35161" s="38" t="s">
        <v>130</v>
      </c>
      <c r="G35161" s="49" t="str">
        <f t="shared" si="1"/>
        <v>52130</v>
      </c>
      <c r="H35161" s="49">
        <f t="shared" si="2"/>
        <v>52021</v>
      </c>
    </row>
    <row r="35162">
      <c r="A35162" s="48" t="s">
        <v>887</v>
      </c>
      <c r="B35162" s="38">
        <v>62122.0</v>
      </c>
      <c r="C35162" s="38" t="s">
        <v>39319</v>
      </c>
      <c r="D35162" s="38" t="str">
        <f>IFERROR(__xludf.DUMMYFUNCTION("REGEXREPLACE(C35162,""-\d+(.*)|--\d+(.*)"","""")"),"BEUGNY")</f>
        <v>BEUGNY</v>
      </c>
      <c r="E35162" s="38" t="s">
        <v>109</v>
      </c>
      <c r="F35162" s="38" t="s">
        <v>86</v>
      </c>
      <c r="G35162" s="49" t="str">
        <f t="shared" si="1"/>
        <v>62124</v>
      </c>
      <c r="H35162" s="49">
        <f t="shared" si="2"/>
        <v>62122</v>
      </c>
    </row>
    <row r="35163">
      <c r="A35163" s="48" t="s">
        <v>10916</v>
      </c>
      <c r="B35163" s="38">
        <v>40306.0</v>
      </c>
      <c r="C35163" s="38" t="s">
        <v>39320</v>
      </c>
      <c r="D35163" s="38" t="str">
        <f>IFERROR(__xludf.DUMMYFUNCTION("REGEXREPLACE(C35163,""-\d+(.*)|--\d+(.*)"","""")"),"SORDE-L'ABBAYE")</f>
        <v>SORDE-L'ABBAYE</v>
      </c>
      <c r="E35163" s="38" t="s">
        <v>281</v>
      </c>
      <c r="F35163" s="38" t="s">
        <v>252</v>
      </c>
      <c r="G35163" s="49" t="str">
        <f t="shared" si="1"/>
        <v>40300</v>
      </c>
      <c r="H35163" s="49">
        <f t="shared" si="2"/>
        <v>40306</v>
      </c>
    </row>
    <row r="35164">
      <c r="A35164" s="48" t="s">
        <v>10374</v>
      </c>
      <c r="B35164" s="38">
        <v>83046.0</v>
      </c>
      <c r="C35164" s="38" t="s">
        <v>39321</v>
      </c>
      <c r="D35164" s="38" t="str">
        <f>IFERROR(__xludf.DUMMYFUNCTION("REGEXREPLACE(C35164,""-\d+(.*)|--\d+(.*)"","""")"),"COTIGNAC")</f>
        <v>COTIGNAC</v>
      </c>
      <c r="E35164" s="38" t="s">
        <v>813</v>
      </c>
      <c r="F35164" s="38" t="s">
        <v>228</v>
      </c>
      <c r="G35164" s="49" t="str">
        <f t="shared" si="1"/>
        <v>83570</v>
      </c>
      <c r="H35164" s="49">
        <f t="shared" si="2"/>
        <v>83046</v>
      </c>
    </row>
    <row r="35165">
      <c r="A35165" s="48" t="s">
        <v>1118</v>
      </c>
      <c r="B35165" s="38">
        <v>50528.0</v>
      </c>
      <c r="C35165" s="38" t="s">
        <v>39322</v>
      </c>
      <c r="D35165" s="38" t="str">
        <f>IFERROR(__xludf.DUMMYFUNCTION("REGEXREPLACE(C35165,""-\d+(.*)|--\d+(.*)"","""")"),"SAINT-NICOLAS-DE-PIERREPONT")</f>
        <v>SAINT-NICOLAS-DE-PIERREPONT</v>
      </c>
      <c r="E35165" s="38" t="s">
        <v>157</v>
      </c>
      <c r="F35165" s="38" t="s">
        <v>138</v>
      </c>
      <c r="G35165" s="49" t="str">
        <f t="shared" si="1"/>
        <v>50250</v>
      </c>
      <c r="H35165" s="49">
        <f t="shared" si="2"/>
        <v>50528</v>
      </c>
    </row>
    <row r="35166">
      <c r="A35166" s="48" t="s">
        <v>3450</v>
      </c>
      <c r="B35166" s="38">
        <v>60105.0</v>
      </c>
      <c r="C35166" s="38" t="s">
        <v>14422</v>
      </c>
      <c r="D35166" s="38" t="str">
        <f>IFERROR(__xludf.DUMMYFUNCTION("REGEXREPLACE(C35166,""-\d+(.*)|--\d+(.*)"","""")"),"BRETIGNY")</f>
        <v>BRETIGNY</v>
      </c>
      <c r="E35166" s="38" t="s">
        <v>112</v>
      </c>
      <c r="F35166" s="38" t="s">
        <v>113</v>
      </c>
      <c r="G35166" s="49" t="str">
        <f t="shared" si="1"/>
        <v>60400</v>
      </c>
      <c r="H35166" s="49">
        <f t="shared" si="2"/>
        <v>60105</v>
      </c>
    </row>
    <row r="35167">
      <c r="A35167" s="48" t="s">
        <v>39323</v>
      </c>
      <c r="B35167" s="38">
        <v>83137.0</v>
      </c>
      <c r="C35167" s="38" t="s">
        <v>39324</v>
      </c>
      <c r="D35167" s="38" t="str">
        <f>IFERROR(__xludf.DUMMYFUNCTION("REGEXREPLACE(C35167,""-\d+(.*)|--\d+(.*)"","""")"),"TOULON")</f>
        <v>TOULON</v>
      </c>
      <c r="E35167" s="38" t="s">
        <v>813</v>
      </c>
      <c r="F35167" s="38" t="s">
        <v>228</v>
      </c>
      <c r="G35167" s="49" t="str">
        <f t="shared" si="1"/>
        <v>83000/83100/83200</v>
      </c>
      <c r="H35167" s="49">
        <f t="shared" si="2"/>
        <v>83137</v>
      </c>
    </row>
    <row r="35168">
      <c r="A35168" s="48" t="s">
        <v>6347</v>
      </c>
      <c r="B35168" s="38">
        <v>73169.0</v>
      </c>
      <c r="C35168" s="38" t="s">
        <v>39325</v>
      </c>
      <c r="D35168" s="38" t="str">
        <f>IFERROR(__xludf.DUMMYFUNCTION("REGEXREPLACE(C35168,""-\d+(.*)|--\d+(.*)"","""")"),"MONTGIROD")</f>
        <v>MONTGIROD</v>
      </c>
      <c r="E35168" s="38" t="s">
        <v>306</v>
      </c>
      <c r="F35168" s="38" t="s">
        <v>102</v>
      </c>
      <c r="G35168" s="49" t="str">
        <f t="shared" si="1"/>
        <v>73210</v>
      </c>
      <c r="H35168" s="49">
        <f t="shared" si="2"/>
        <v>73169</v>
      </c>
    </row>
    <row r="35169">
      <c r="A35169" s="48" t="s">
        <v>5146</v>
      </c>
      <c r="B35169" s="38">
        <v>85102.0</v>
      </c>
      <c r="C35169" s="38" t="s">
        <v>39326</v>
      </c>
      <c r="D35169" s="38" t="str">
        <f>IFERROR(__xludf.DUMMYFUNCTION("REGEXREPLACE(C35169,""-\d+(.*)|--\d+(.*)"","""")"),"GRAND'LANDES")</f>
        <v>GRAND'LANDES</v>
      </c>
      <c r="E35169" s="38" t="s">
        <v>179</v>
      </c>
      <c r="F35169" s="38" t="s">
        <v>180</v>
      </c>
      <c r="G35169" s="49" t="str">
        <f t="shared" si="1"/>
        <v>85670</v>
      </c>
      <c r="H35169" s="49">
        <f t="shared" si="2"/>
        <v>85102</v>
      </c>
    </row>
    <row r="35170">
      <c r="A35170" s="48" t="s">
        <v>16627</v>
      </c>
      <c r="B35170" s="38">
        <v>10186.0</v>
      </c>
      <c r="C35170" s="38" t="s">
        <v>39327</v>
      </c>
      <c r="D35170" s="38" t="str">
        <f>IFERROR(__xludf.DUMMYFUNCTION("REGEXREPLACE(C35170,""-\d+(.*)|--\d+(.*)"","""")"),"LAINES-AUX-BOIS")</f>
        <v>LAINES-AUX-BOIS</v>
      </c>
      <c r="E35170" s="38" t="s">
        <v>147</v>
      </c>
      <c r="F35170" s="38" t="s">
        <v>130</v>
      </c>
      <c r="G35170" s="49" t="str">
        <f t="shared" si="1"/>
        <v>10120</v>
      </c>
      <c r="H35170" s="49">
        <f t="shared" si="2"/>
        <v>10186</v>
      </c>
    </row>
    <row r="35171">
      <c r="A35171" s="48" t="s">
        <v>7678</v>
      </c>
      <c r="B35171" s="38">
        <v>10332.0</v>
      </c>
      <c r="C35171" s="38" t="s">
        <v>39328</v>
      </c>
      <c r="D35171" s="38" t="str">
        <f>IFERROR(__xludf.DUMMYFUNCTION("REGEXREPLACE(C35171,""-\d+(.*)|--\d+(.*)"","""")"),"RUVIGNY")</f>
        <v>RUVIGNY</v>
      </c>
      <c r="E35171" s="38" t="s">
        <v>147</v>
      </c>
      <c r="F35171" s="38" t="s">
        <v>130</v>
      </c>
      <c r="G35171" s="49" t="str">
        <f t="shared" si="1"/>
        <v>10410</v>
      </c>
      <c r="H35171" s="49">
        <f t="shared" si="2"/>
        <v>10332</v>
      </c>
    </row>
    <row r="35172">
      <c r="A35172" s="48" t="s">
        <v>39329</v>
      </c>
      <c r="B35172" s="38">
        <v>97209.0</v>
      </c>
      <c r="C35172" s="38" t="s">
        <v>39330</v>
      </c>
      <c r="D35172" s="38" t="str">
        <f>IFERROR(__xludf.DUMMYFUNCTION("REGEXREPLACE(C35172,""-\d+(.*)|--\d+(.*)"","""")"),"FORT-DE-FRANCE")</f>
        <v>FORT-DE-FRANCE</v>
      </c>
      <c r="E35172" s="38" t="s">
        <v>2282</v>
      </c>
      <c r="F35172" s="38" t="s">
        <v>2282</v>
      </c>
      <c r="G35172" s="49" t="str">
        <f t="shared" si="1"/>
        <v>97200/97234</v>
      </c>
      <c r="H35172" s="49">
        <f t="shared" si="2"/>
        <v>97209</v>
      </c>
    </row>
    <row r="35173">
      <c r="A35173" s="48" t="s">
        <v>18722</v>
      </c>
      <c r="B35173" s="38">
        <v>38408.0</v>
      </c>
      <c r="C35173" s="38" t="s">
        <v>39331</v>
      </c>
      <c r="D35173" s="38" t="str">
        <f>IFERROR(__xludf.DUMMYFUNCTION("REGEXREPLACE(C35173,""-\d+(.*)|--\d+(.*)"","""")"),"SAINT-JUST-CHALEYSSIN")</f>
        <v>SAINT-JUST-CHALEYSSIN</v>
      </c>
      <c r="E35173" s="38" t="s">
        <v>101</v>
      </c>
      <c r="F35173" s="38" t="s">
        <v>102</v>
      </c>
      <c r="G35173" s="49" t="str">
        <f t="shared" si="1"/>
        <v>38540</v>
      </c>
      <c r="H35173" s="49">
        <f t="shared" si="2"/>
        <v>38408</v>
      </c>
    </row>
    <row r="35174">
      <c r="A35174" s="48" t="s">
        <v>476</v>
      </c>
      <c r="B35174" s="38">
        <v>35246.0</v>
      </c>
      <c r="C35174" s="38" t="s">
        <v>39332</v>
      </c>
      <c r="D35174" s="38" t="str">
        <f>IFERROR(__xludf.DUMMYFUNCTION("REGEXREPLACE(C35174,""-\d+(.*)|--\d+(.*)"","""")"),"ROZ-LANDRIEUX")</f>
        <v>ROZ-LANDRIEUX</v>
      </c>
      <c r="E35174" s="38" t="s">
        <v>347</v>
      </c>
      <c r="F35174" s="38" t="s">
        <v>90</v>
      </c>
      <c r="G35174" s="49" t="str">
        <f t="shared" si="1"/>
        <v>35120</v>
      </c>
      <c r="H35174" s="49">
        <f t="shared" si="2"/>
        <v>35246</v>
      </c>
    </row>
    <row r="35175">
      <c r="A35175" s="48" t="s">
        <v>39146</v>
      </c>
      <c r="B35175" s="38">
        <v>56119.0</v>
      </c>
      <c r="C35175" s="38" t="s">
        <v>39333</v>
      </c>
      <c r="D35175" s="38" t="str">
        <f>IFERROR(__xludf.DUMMYFUNCTION("REGEXREPLACE(C35175,""-\d+(.*)|--\d+(.*)"","""")"),"LOCOAL-MENDON")</f>
        <v>LOCOAL-MENDON</v>
      </c>
      <c r="E35175" s="38" t="s">
        <v>173</v>
      </c>
      <c r="F35175" s="38" t="s">
        <v>90</v>
      </c>
      <c r="G35175" s="49" t="str">
        <f t="shared" si="1"/>
        <v>56550</v>
      </c>
      <c r="H35175" s="49">
        <f t="shared" si="2"/>
        <v>56119</v>
      </c>
    </row>
    <row r="35176">
      <c r="A35176" s="48" t="s">
        <v>1100</v>
      </c>
      <c r="B35176" s="38">
        <v>8066.0</v>
      </c>
      <c r="C35176" s="38" t="s">
        <v>39334</v>
      </c>
      <c r="D35176" s="38" t="str">
        <f>IFERROR(__xludf.DUMMYFUNCTION("REGEXREPLACE(C35176,""-\d+(.*)|--\d+(.*)"","""")"),"BIGNICOURT")</f>
        <v>BIGNICOURT</v>
      </c>
      <c r="E35176" s="38" t="s">
        <v>327</v>
      </c>
      <c r="F35176" s="38" t="s">
        <v>130</v>
      </c>
      <c r="G35176" s="49" t="str">
        <f t="shared" si="1"/>
        <v>08310</v>
      </c>
      <c r="H35176" s="49" t="str">
        <f t="shared" si="2"/>
        <v>08066</v>
      </c>
    </row>
    <row r="35177">
      <c r="A35177" s="48" t="s">
        <v>651</v>
      </c>
      <c r="B35177" s="38">
        <v>49104.0</v>
      </c>
      <c r="C35177" s="38" t="s">
        <v>39335</v>
      </c>
      <c r="D35177" s="38" t="str">
        <f>IFERROR(__xludf.DUMMYFUNCTION("REGEXREPLACE(C35177,""-\d+(.*)|--\d+(.*)"","""")"),"CONCOURSON-SUR-LAYON")</f>
        <v>CONCOURSON-SUR-LAYON</v>
      </c>
      <c r="E35177" s="38" t="s">
        <v>653</v>
      </c>
      <c r="F35177" s="38" t="s">
        <v>180</v>
      </c>
      <c r="G35177" s="49" t="str">
        <f t="shared" si="1"/>
        <v>49700</v>
      </c>
      <c r="H35177" s="49">
        <f t="shared" si="2"/>
        <v>49104</v>
      </c>
    </row>
    <row r="35178">
      <c r="A35178" s="48" t="s">
        <v>3973</v>
      </c>
      <c r="B35178" s="38">
        <v>33486.0</v>
      </c>
      <c r="C35178" s="38" t="s">
        <v>39336</v>
      </c>
      <c r="D35178" s="38" t="str">
        <f>IFERROR(__xludf.DUMMYFUNCTION("REGEXREPLACE(C35178,""-\d+(.*)|--\d+(.*)"","""")"),"SAINT-TROJAN")</f>
        <v>SAINT-TROJAN</v>
      </c>
      <c r="E35178" s="38" t="s">
        <v>462</v>
      </c>
      <c r="F35178" s="38" t="s">
        <v>252</v>
      </c>
      <c r="G35178" s="49" t="str">
        <f t="shared" si="1"/>
        <v>33710</v>
      </c>
      <c r="H35178" s="49">
        <f t="shared" si="2"/>
        <v>33486</v>
      </c>
    </row>
    <row r="35179">
      <c r="A35179" s="48" t="s">
        <v>203</v>
      </c>
      <c r="B35179" s="38">
        <v>37052.0</v>
      </c>
      <c r="C35179" s="38" t="s">
        <v>39337</v>
      </c>
      <c r="D35179" s="38" t="str">
        <f>IFERROR(__xludf.DUMMYFUNCTION("REGEXREPLACE(C35179,""-\d+(.*)|--\d+(.*)"","""")"),"CHANCAY")</f>
        <v>CHANCAY</v>
      </c>
      <c r="E35179" s="38" t="s">
        <v>205</v>
      </c>
      <c r="F35179" s="38" t="s">
        <v>123</v>
      </c>
      <c r="G35179" s="49" t="str">
        <f t="shared" si="1"/>
        <v>37210</v>
      </c>
      <c r="H35179" s="49">
        <f t="shared" si="2"/>
        <v>37052</v>
      </c>
    </row>
    <row r="35180">
      <c r="A35180" s="48" t="s">
        <v>39338</v>
      </c>
      <c r="B35180" s="38">
        <v>58260.0</v>
      </c>
      <c r="C35180" s="38" t="s">
        <v>39339</v>
      </c>
      <c r="D35180" s="38" t="str">
        <f>IFERROR(__xludf.DUMMYFUNCTION("REGEXREPLACE(C35180,""-\d+(.*)|--\d+(.*)"","""")"),"SAINT-PARIZE-LE-CHATEL")</f>
        <v>SAINT-PARIZE-LE-CHATEL</v>
      </c>
      <c r="E35180" s="38" t="s">
        <v>219</v>
      </c>
      <c r="F35180" s="38" t="s">
        <v>106</v>
      </c>
      <c r="G35180" s="49" t="str">
        <f t="shared" si="1"/>
        <v>58490</v>
      </c>
      <c r="H35180" s="49">
        <f t="shared" si="2"/>
        <v>58260</v>
      </c>
    </row>
    <row r="35181">
      <c r="A35181" s="48" t="s">
        <v>4131</v>
      </c>
      <c r="B35181" s="38">
        <v>27125.0</v>
      </c>
      <c r="C35181" s="38" t="s">
        <v>39340</v>
      </c>
      <c r="D35181" s="38" t="str">
        <f>IFERROR(__xludf.DUMMYFUNCTION("REGEXREPLACE(C35181,""-\d+(.*)|--\d+(.*)"","""")"),"CALLEVILLE")</f>
        <v>CALLEVILLE</v>
      </c>
      <c r="E35181" s="38" t="s">
        <v>241</v>
      </c>
      <c r="F35181" s="38" t="s">
        <v>134</v>
      </c>
      <c r="G35181" s="49" t="str">
        <f t="shared" si="1"/>
        <v>27800</v>
      </c>
      <c r="H35181" s="49">
        <f t="shared" si="2"/>
        <v>27125</v>
      </c>
    </row>
    <row r="35182">
      <c r="A35182" s="48" t="s">
        <v>4088</v>
      </c>
      <c r="B35182" s="38">
        <v>39107.0</v>
      </c>
      <c r="C35182" s="38" t="s">
        <v>39341</v>
      </c>
      <c r="D35182" s="38" t="str">
        <f>IFERROR(__xludf.DUMMYFUNCTION("REGEXREPLACE(C35182,""-\d+(.*)|--\d+(.*)"","""")"),"CHARCIER")</f>
        <v>CHARCIER</v>
      </c>
      <c r="E35182" s="38" t="s">
        <v>400</v>
      </c>
      <c r="F35182" s="38" t="s">
        <v>214</v>
      </c>
      <c r="G35182" s="49" t="str">
        <f t="shared" si="1"/>
        <v>39130</v>
      </c>
      <c r="H35182" s="49">
        <f t="shared" si="2"/>
        <v>39107</v>
      </c>
    </row>
    <row r="35183">
      <c r="A35183" s="48" t="s">
        <v>1435</v>
      </c>
      <c r="B35183" s="38">
        <v>14528.0</v>
      </c>
      <c r="C35183" s="38" t="s">
        <v>39342</v>
      </c>
      <c r="D35183" s="38" t="str">
        <f>IFERROR(__xludf.DUMMYFUNCTION("REGEXREPLACE(C35183,""-\d+(.*)|--\d+(.*)"","""")"),"QUETTEVILLE")</f>
        <v>QUETTEVILLE</v>
      </c>
      <c r="E35183" s="38" t="s">
        <v>137</v>
      </c>
      <c r="F35183" s="38" t="s">
        <v>138</v>
      </c>
      <c r="G35183" s="49" t="str">
        <f t="shared" si="1"/>
        <v>14130</v>
      </c>
      <c r="H35183" s="49">
        <f t="shared" si="2"/>
        <v>14528</v>
      </c>
    </row>
    <row r="35184">
      <c r="A35184" s="48" t="s">
        <v>15900</v>
      </c>
      <c r="B35184" s="38">
        <v>42181.0</v>
      </c>
      <c r="C35184" s="38" t="s">
        <v>16373</v>
      </c>
      <c r="D35184" s="38" t="str">
        <f>IFERROR(__xludf.DUMMYFUNCTION("REGEXREPLACE(C35184,""-\d+(.*)|--\d+(.*)"","""")"),"REGNY")</f>
        <v>REGNY</v>
      </c>
      <c r="E35184" s="38" t="s">
        <v>166</v>
      </c>
      <c r="F35184" s="38" t="s">
        <v>102</v>
      </c>
      <c r="G35184" s="49" t="str">
        <f t="shared" si="1"/>
        <v>42630</v>
      </c>
      <c r="H35184" s="49">
        <f t="shared" si="2"/>
        <v>42181</v>
      </c>
    </row>
    <row r="35185">
      <c r="A35185" s="48" t="s">
        <v>29328</v>
      </c>
      <c r="B35185" s="38">
        <v>54526.0</v>
      </c>
      <c r="C35185" s="38" t="s">
        <v>39343</v>
      </c>
      <c r="D35185" s="38" t="str">
        <f>IFERROR(__xludf.DUMMYFUNCTION("REGEXREPLACE(C35185,""-\d+(.*)|--\d+(.*)"","""")"),"TOMBLAINE")</f>
        <v>TOMBLAINE</v>
      </c>
      <c r="E35185" s="38" t="s">
        <v>548</v>
      </c>
      <c r="F35185" s="38" t="s">
        <v>195</v>
      </c>
      <c r="G35185" s="49" t="str">
        <f t="shared" si="1"/>
        <v>54510</v>
      </c>
      <c r="H35185" s="49">
        <f t="shared" si="2"/>
        <v>54526</v>
      </c>
    </row>
    <row r="35186">
      <c r="A35186" s="48" t="s">
        <v>39344</v>
      </c>
      <c r="B35186" s="38">
        <v>10216.0</v>
      </c>
      <c r="C35186" s="38" t="s">
        <v>39345</v>
      </c>
      <c r="D35186" s="38" t="str">
        <f>IFERROR(__xludf.DUMMYFUNCTION("REGEXREPLACE(C35186,""-\d+(.*)|--\d+(.*)"","""")"),"MAILLY-LE-CAMP")</f>
        <v>MAILLY-LE-CAMP</v>
      </c>
      <c r="E35186" s="38" t="s">
        <v>147</v>
      </c>
      <c r="F35186" s="38" t="s">
        <v>130</v>
      </c>
      <c r="G35186" s="49" t="str">
        <f t="shared" si="1"/>
        <v>10230</v>
      </c>
      <c r="H35186" s="49">
        <f t="shared" si="2"/>
        <v>10216</v>
      </c>
    </row>
    <row r="35187">
      <c r="A35187" s="48" t="s">
        <v>493</v>
      </c>
      <c r="B35187" s="38">
        <v>28256.0</v>
      </c>
      <c r="C35187" s="38" t="s">
        <v>39346</v>
      </c>
      <c r="D35187" s="38" t="str">
        <f>IFERROR(__xludf.DUMMYFUNCTION("REGEXREPLACE(C35187,""-\d+(.*)|--\d+(.*)"","""")"),"MOLEANS")</f>
        <v>MOLEANS</v>
      </c>
      <c r="E35187" s="38" t="s">
        <v>300</v>
      </c>
      <c r="F35187" s="38" t="s">
        <v>123</v>
      </c>
      <c r="G35187" s="49" t="str">
        <f t="shared" si="1"/>
        <v>28200</v>
      </c>
      <c r="H35187" s="49">
        <f t="shared" si="2"/>
        <v>28256</v>
      </c>
    </row>
    <row r="35188">
      <c r="A35188" s="48" t="s">
        <v>3733</v>
      </c>
      <c r="B35188" s="38">
        <v>78437.0</v>
      </c>
      <c r="C35188" s="38" t="s">
        <v>39347</v>
      </c>
      <c r="D35188" s="38" t="str">
        <f>IFERROR(__xludf.DUMMYFUNCTION("REGEXREPLACE(C35188,""-\d+(.*)|--\d+(.*)"","""")"),"MOUSSEAUX-SUR-SEINE")</f>
        <v>MOUSSEAUX-SUR-SEINE</v>
      </c>
      <c r="E35188" s="38" t="s">
        <v>362</v>
      </c>
      <c r="F35188" s="38" t="s">
        <v>245</v>
      </c>
      <c r="G35188" s="49" t="str">
        <f t="shared" si="1"/>
        <v>78270</v>
      </c>
      <c r="H35188" s="49">
        <f t="shared" si="2"/>
        <v>78437</v>
      </c>
    </row>
    <row r="35189">
      <c r="A35189" s="48" t="s">
        <v>8396</v>
      </c>
      <c r="B35189" s="38">
        <v>7176.0</v>
      </c>
      <c r="C35189" s="38" t="s">
        <v>39348</v>
      </c>
      <c r="D35189" s="38" t="str">
        <f>IFERROR(__xludf.DUMMYFUNCTION("REGEXREPLACE(C35189,""-\d+(.*)|--\d+(.*)"","""")"),"PLANZOLLES")</f>
        <v>PLANZOLLES</v>
      </c>
      <c r="E35189" s="38" t="s">
        <v>144</v>
      </c>
      <c r="F35189" s="38" t="s">
        <v>102</v>
      </c>
      <c r="G35189" s="49" t="str">
        <f t="shared" si="1"/>
        <v>07230</v>
      </c>
      <c r="H35189" s="49" t="str">
        <f t="shared" si="2"/>
        <v>07176</v>
      </c>
    </row>
    <row r="35190">
      <c r="A35190" s="48" t="s">
        <v>12732</v>
      </c>
      <c r="B35190" s="38">
        <v>29209.0</v>
      </c>
      <c r="C35190" s="38" t="s">
        <v>39349</v>
      </c>
      <c r="D35190" s="38" t="str">
        <f>IFERROR(__xludf.DUMMYFUNCTION("REGEXREPLACE(C35190,""-\d+(.*)|--\d+(.*)"","""")"),"PLOUVIEN")</f>
        <v>PLOUVIEN</v>
      </c>
      <c r="E35190" s="38" t="s">
        <v>176</v>
      </c>
      <c r="F35190" s="38" t="s">
        <v>90</v>
      </c>
      <c r="G35190" s="49" t="str">
        <f t="shared" si="1"/>
        <v>29860</v>
      </c>
      <c r="H35190" s="49">
        <f t="shared" si="2"/>
        <v>29209</v>
      </c>
    </row>
    <row r="35191">
      <c r="A35191" s="48" t="s">
        <v>425</v>
      </c>
      <c r="B35191" s="38">
        <v>88261.0</v>
      </c>
      <c r="C35191" s="38" t="s">
        <v>39350</v>
      </c>
      <c r="D35191" s="38" t="str">
        <f>IFERROR(__xludf.DUMMYFUNCTION("REGEXREPLACE(C35191,""-\d+(.*)|--\d+(.*)"","""")"),"LAVAL-SUR-VOLOGNE")</f>
        <v>LAVAL-SUR-VOLOGNE</v>
      </c>
      <c r="E35191" s="38" t="s">
        <v>194</v>
      </c>
      <c r="F35191" s="38" t="s">
        <v>195</v>
      </c>
      <c r="G35191" s="49" t="str">
        <f t="shared" si="1"/>
        <v>88600</v>
      </c>
      <c r="H35191" s="49">
        <f t="shared" si="2"/>
        <v>88261</v>
      </c>
    </row>
    <row r="35192">
      <c r="A35192" s="48" t="s">
        <v>1868</v>
      </c>
      <c r="B35192" s="38">
        <v>86110.0</v>
      </c>
      <c r="C35192" s="38" t="s">
        <v>39351</v>
      </c>
      <c r="D35192" s="38" t="str">
        <f>IFERROR(__xludf.DUMMYFUNCTION("REGEXREPLACE(C35192,""-\d+(.*)|--\d+(.*)"","""")"),"HAIMS")</f>
        <v>HAIMS</v>
      </c>
      <c r="E35192" s="38" t="s">
        <v>529</v>
      </c>
      <c r="F35192" s="38" t="s">
        <v>338</v>
      </c>
      <c r="G35192" s="49" t="str">
        <f t="shared" si="1"/>
        <v>86310</v>
      </c>
      <c r="H35192" s="49">
        <f t="shared" si="2"/>
        <v>86110</v>
      </c>
    </row>
    <row r="35193">
      <c r="A35193" s="48" t="s">
        <v>1452</v>
      </c>
      <c r="B35193" s="38">
        <v>55070.0</v>
      </c>
      <c r="C35193" s="38" t="s">
        <v>39352</v>
      </c>
      <c r="D35193" s="38" t="str">
        <f>IFERROR(__xludf.DUMMYFUNCTION("REGEXREPLACE(C35193,""-\d+(.*)|--\d+(.*)"","""")"),"BRABANT-SUR-MEUSE")</f>
        <v>BRABANT-SUR-MEUSE</v>
      </c>
      <c r="E35193" s="38" t="s">
        <v>322</v>
      </c>
      <c r="F35193" s="38" t="s">
        <v>195</v>
      </c>
      <c r="G35193" s="49" t="str">
        <f t="shared" si="1"/>
        <v>55100</v>
      </c>
      <c r="H35193" s="49">
        <f t="shared" si="2"/>
        <v>55070</v>
      </c>
    </row>
    <row r="35194">
      <c r="A35194" s="48" t="s">
        <v>1866</v>
      </c>
      <c r="B35194" s="38">
        <v>61201.0</v>
      </c>
      <c r="C35194" s="38" t="s">
        <v>39353</v>
      </c>
      <c r="D35194" s="38" t="str">
        <f>IFERROR(__xludf.DUMMYFUNCTION("REGEXREPLACE(C35194,""-\d+(.*)|--\d+(.*)"","""")"),"LA HAUTE-CHAPELLE")</f>
        <v>LA HAUTE-CHAPELLE</v>
      </c>
      <c r="E35194" s="38" t="s">
        <v>141</v>
      </c>
      <c r="F35194" s="38" t="s">
        <v>138</v>
      </c>
      <c r="G35194" s="49" t="str">
        <f t="shared" si="1"/>
        <v>61700</v>
      </c>
      <c r="H35194" s="49">
        <f t="shared" si="2"/>
        <v>61201</v>
      </c>
    </row>
    <row r="35195">
      <c r="A35195" s="48" t="s">
        <v>2726</v>
      </c>
      <c r="B35195" s="38">
        <v>46255.0</v>
      </c>
      <c r="C35195" s="38" t="s">
        <v>5773</v>
      </c>
      <c r="D35195" s="38" t="str">
        <f>IFERROR(__xludf.DUMMYFUNCTION("REGEXREPLACE(C35195,""-\d+(.*)|--\d+(.*)"","""")"),"SAINT-CIRGUES")</f>
        <v>SAINT-CIRGUES</v>
      </c>
      <c r="E35195" s="38" t="s">
        <v>185</v>
      </c>
      <c r="F35195" s="38" t="s">
        <v>94</v>
      </c>
      <c r="G35195" s="49" t="str">
        <f t="shared" si="1"/>
        <v>46210</v>
      </c>
      <c r="H35195" s="49">
        <f t="shared" si="2"/>
        <v>46255</v>
      </c>
    </row>
    <row r="35196">
      <c r="A35196" s="48" t="s">
        <v>454</v>
      </c>
      <c r="B35196" s="38">
        <v>71315.0</v>
      </c>
      <c r="C35196" s="38" t="s">
        <v>39354</v>
      </c>
      <c r="D35196" s="38" t="str">
        <f>IFERROR(__xludf.DUMMYFUNCTION("REGEXREPLACE(C35196,""-\d+(.*)|--\d+(.*)"","""")"),"MONT-LES-SEURRE")</f>
        <v>MONT-LES-SEURRE</v>
      </c>
      <c r="E35196" s="38" t="s">
        <v>344</v>
      </c>
      <c r="F35196" s="38" t="s">
        <v>106</v>
      </c>
      <c r="G35196" s="49" t="str">
        <f t="shared" si="1"/>
        <v>71270</v>
      </c>
      <c r="H35196" s="49">
        <f t="shared" si="2"/>
        <v>71315</v>
      </c>
    </row>
    <row r="35197">
      <c r="A35197" s="48" t="s">
        <v>39355</v>
      </c>
      <c r="B35197" s="38">
        <v>91174.0</v>
      </c>
      <c r="C35197" s="38" t="s">
        <v>39356</v>
      </c>
      <c r="D35197" s="38" t="str">
        <f>IFERROR(__xludf.DUMMYFUNCTION("REGEXREPLACE(C35197,""-\d+(.*)|--\d+(.*)"","""")"),"CORBEIL-ESSONNES")</f>
        <v>CORBEIL-ESSONNES</v>
      </c>
      <c r="E35197" s="38" t="s">
        <v>756</v>
      </c>
      <c r="F35197" s="38" t="s">
        <v>245</v>
      </c>
      <c r="G35197" s="49" t="str">
        <f t="shared" si="1"/>
        <v>91100</v>
      </c>
      <c r="H35197" s="49">
        <f t="shared" si="2"/>
        <v>91174</v>
      </c>
    </row>
    <row r="35198">
      <c r="A35198" s="48" t="s">
        <v>9905</v>
      </c>
      <c r="B35198" s="38">
        <v>65431.0</v>
      </c>
      <c r="C35198" s="38" t="s">
        <v>39357</v>
      </c>
      <c r="D35198" s="38" t="str">
        <f>IFERROR(__xludf.DUMMYFUNCTION("REGEXREPLACE(C35198,""-\d+(.*)|--\d+(.*)"","""")"),"SOST")</f>
        <v>SOST</v>
      </c>
      <c r="E35198" s="38" t="s">
        <v>200</v>
      </c>
      <c r="F35198" s="38" t="s">
        <v>94</v>
      </c>
      <c r="G35198" s="49" t="str">
        <f t="shared" si="1"/>
        <v>65370</v>
      </c>
      <c r="H35198" s="49">
        <f t="shared" si="2"/>
        <v>65431</v>
      </c>
    </row>
    <row r="35199">
      <c r="A35199" s="48" t="s">
        <v>9044</v>
      </c>
      <c r="B35199" s="38">
        <v>32442.0</v>
      </c>
      <c r="C35199" s="38" t="s">
        <v>39358</v>
      </c>
      <c r="D35199" s="38" t="str">
        <f>IFERROR(__xludf.DUMMYFUNCTION("REGEXREPLACE(C35199,""-\d+(.*)|--\d+(.*)"","""")"),"TERRAUBE")</f>
        <v>TERRAUBE</v>
      </c>
      <c r="E35199" s="38" t="s">
        <v>440</v>
      </c>
      <c r="F35199" s="38" t="s">
        <v>94</v>
      </c>
      <c r="G35199" s="49" t="str">
        <f t="shared" si="1"/>
        <v>32700</v>
      </c>
      <c r="H35199" s="49">
        <f t="shared" si="2"/>
        <v>32442</v>
      </c>
    </row>
    <row r="35200">
      <c r="A35200" s="48" t="s">
        <v>3662</v>
      </c>
      <c r="B35200" s="38">
        <v>80809.0</v>
      </c>
      <c r="C35200" s="38" t="s">
        <v>39359</v>
      </c>
      <c r="D35200" s="38" t="str">
        <f>IFERROR(__xludf.DUMMYFUNCTION("REGEXREPLACE(C35200,""-\d+(.*)|--\d+(.*)"","""")"),"VISMES")</f>
        <v>VISMES</v>
      </c>
      <c r="E35200" s="38" t="s">
        <v>224</v>
      </c>
      <c r="F35200" s="38" t="s">
        <v>113</v>
      </c>
      <c r="G35200" s="49" t="str">
        <f t="shared" si="1"/>
        <v>80140</v>
      </c>
      <c r="H35200" s="49">
        <f t="shared" si="2"/>
        <v>80809</v>
      </c>
    </row>
    <row r="35201">
      <c r="A35201" s="48" t="s">
        <v>4586</v>
      </c>
      <c r="B35201" s="38">
        <v>40069.0</v>
      </c>
      <c r="C35201" s="38" t="s">
        <v>39360</v>
      </c>
      <c r="D35201" s="38" t="str">
        <f>IFERROR(__xludf.DUMMYFUNCTION("REGEXREPLACE(C35201,""-\d+(.*)|--\d+(.*)"","""")"),"CASTAIGNOS-SOUSLENS")</f>
        <v>CASTAIGNOS-SOUSLENS</v>
      </c>
      <c r="E35201" s="38" t="s">
        <v>281</v>
      </c>
      <c r="F35201" s="38" t="s">
        <v>252</v>
      </c>
      <c r="G35201" s="49" t="str">
        <f t="shared" si="1"/>
        <v>40700</v>
      </c>
      <c r="H35201" s="49">
        <f t="shared" si="2"/>
        <v>40069</v>
      </c>
    </row>
    <row r="35202">
      <c r="A35202" s="48" t="s">
        <v>4844</v>
      </c>
      <c r="B35202" s="38">
        <v>14589.0</v>
      </c>
      <c r="C35202" s="38" t="s">
        <v>39361</v>
      </c>
      <c r="D35202" s="38" t="str">
        <f>IFERROR(__xludf.DUMMYFUNCTION("REGEXREPLACE(C35202,""-\d+(.*)|--\d+(.*)"","""")"),"SAINT-GERMAIN-LE-VASSON")</f>
        <v>SAINT-GERMAIN-LE-VASSON</v>
      </c>
      <c r="E35202" s="38" t="s">
        <v>137</v>
      </c>
      <c r="F35202" s="38" t="s">
        <v>138</v>
      </c>
      <c r="G35202" s="49" t="str">
        <f t="shared" si="1"/>
        <v>14190</v>
      </c>
      <c r="H35202" s="49">
        <f t="shared" si="2"/>
        <v>14589</v>
      </c>
    </row>
    <row r="35203">
      <c r="A35203" s="48" t="s">
        <v>3335</v>
      </c>
      <c r="B35203" s="38">
        <v>53042.0</v>
      </c>
      <c r="C35203" s="38" t="s">
        <v>21984</v>
      </c>
      <c r="D35203" s="38" t="str">
        <f>IFERROR(__xludf.DUMMYFUNCTION("REGEXREPLACE(C35203,""-\d+(.*)|--\d+(.*)"","""")"),"BRECE")</f>
        <v>BRECE</v>
      </c>
      <c r="E35203" s="38" t="s">
        <v>518</v>
      </c>
      <c r="F35203" s="38" t="s">
        <v>180</v>
      </c>
      <c r="G35203" s="49" t="str">
        <f t="shared" si="1"/>
        <v>53120</v>
      </c>
      <c r="H35203" s="49">
        <f t="shared" si="2"/>
        <v>53042</v>
      </c>
    </row>
    <row r="35204">
      <c r="A35204" s="48" t="s">
        <v>1368</v>
      </c>
      <c r="B35204" s="38">
        <v>8271.0</v>
      </c>
      <c r="C35204" s="38" t="s">
        <v>39362</v>
      </c>
      <c r="D35204" s="38" t="str">
        <f>IFERROR(__xludf.DUMMYFUNCTION("REGEXREPLACE(C35204,""-\d+(.*)|--\d+(.*)"","""")"),"MANRE")</f>
        <v>MANRE</v>
      </c>
      <c r="E35204" s="38" t="s">
        <v>327</v>
      </c>
      <c r="F35204" s="38" t="s">
        <v>130</v>
      </c>
      <c r="G35204" s="49" t="str">
        <f t="shared" si="1"/>
        <v>08400</v>
      </c>
      <c r="H35204" s="49" t="str">
        <f t="shared" si="2"/>
        <v>08271</v>
      </c>
    </row>
    <row r="35205">
      <c r="A35205" s="48" t="s">
        <v>7155</v>
      </c>
      <c r="B35205" s="38">
        <v>30263.0</v>
      </c>
      <c r="C35205" s="38" t="s">
        <v>39363</v>
      </c>
      <c r="D35205" s="38" t="str">
        <f>IFERROR(__xludf.DUMMYFUNCTION("REGEXREPLACE(C35205,""-\d+(.*)|--\d+(.*)"","""")"),"SAINT-HIPPOLYTE-DU-FORT")</f>
        <v>SAINT-HIPPOLYTE-DU-FORT</v>
      </c>
      <c r="E35205" s="38" t="s">
        <v>526</v>
      </c>
      <c r="F35205" s="38" t="s">
        <v>119</v>
      </c>
      <c r="G35205" s="49" t="str">
        <f t="shared" si="1"/>
        <v>30170</v>
      </c>
      <c r="H35205" s="49">
        <f t="shared" si="2"/>
        <v>30263</v>
      </c>
    </row>
    <row r="35206">
      <c r="A35206" s="48" t="s">
        <v>1093</v>
      </c>
      <c r="B35206" s="38">
        <v>62757.0</v>
      </c>
      <c r="C35206" s="38" t="s">
        <v>39364</v>
      </c>
      <c r="D35206" s="38" t="str">
        <f>IFERROR(__xludf.DUMMYFUNCTION("REGEXREPLACE(C35206,""-\d+(.*)|--\d+(.*)"","""")"),"SAINT-MARTIN-AU-LAERT")</f>
        <v>SAINT-MARTIN-AU-LAERT</v>
      </c>
      <c r="E35206" s="38" t="s">
        <v>109</v>
      </c>
      <c r="F35206" s="38" t="s">
        <v>86</v>
      </c>
      <c r="G35206" s="49" t="str">
        <f t="shared" si="1"/>
        <v>62500</v>
      </c>
      <c r="H35206" s="49">
        <f t="shared" si="2"/>
        <v>62757</v>
      </c>
    </row>
    <row r="35207">
      <c r="A35207" s="48" t="s">
        <v>1060</v>
      </c>
      <c r="B35207" s="38">
        <v>57326.0</v>
      </c>
      <c r="C35207" s="38" t="s">
        <v>39365</v>
      </c>
      <c r="D35207" s="38" t="str">
        <f>IFERROR(__xludf.DUMMYFUNCTION("REGEXREPLACE(C35207,""-\d+(.*)|--\d+(.*)"","""")"),"HINCKANGE")</f>
        <v>HINCKANGE</v>
      </c>
      <c r="E35207" s="38" t="s">
        <v>303</v>
      </c>
      <c r="F35207" s="38" t="s">
        <v>195</v>
      </c>
      <c r="G35207" s="49" t="str">
        <f t="shared" si="1"/>
        <v>57220</v>
      </c>
      <c r="H35207" s="49">
        <f t="shared" si="2"/>
        <v>57326</v>
      </c>
    </row>
    <row r="35208">
      <c r="A35208" s="48" t="s">
        <v>4445</v>
      </c>
      <c r="B35208" s="38">
        <v>30305.0</v>
      </c>
      <c r="C35208" s="38" t="s">
        <v>39366</v>
      </c>
      <c r="D35208" s="38" t="str">
        <f>IFERROR(__xludf.DUMMYFUNCTION("REGEXREPLACE(C35208,""-\d+(.*)|--\d+(.*)"","""")"),"SALINDRES")</f>
        <v>SALINDRES</v>
      </c>
      <c r="E35208" s="38" t="s">
        <v>526</v>
      </c>
      <c r="F35208" s="38" t="s">
        <v>119</v>
      </c>
      <c r="G35208" s="49" t="str">
        <f t="shared" si="1"/>
        <v>30340</v>
      </c>
      <c r="H35208" s="49">
        <f t="shared" si="2"/>
        <v>30305</v>
      </c>
    </row>
    <row r="35209">
      <c r="A35209" s="48" t="s">
        <v>2742</v>
      </c>
      <c r="B35209" s="38">
        <v>57637.0</v>
      </c>
      <c r="C35209" s="38" t="s">
        <v>39367</v>
      </c>
      <c r="D35209" s="38" t="str">
        <f>IFERROR(__xludf.DUMMYFUNCTION("REGEXREPLACE(C35209,""-\d+(.*)|--\d+(.*)"","""")"),"SCHNECKENBUSCH")</f>
        <v>SCHNECKENBUSCH</v>
      </c>
      <c r="E35209" s="38" t="s">
        <v>303</v>
      </c>
      <c r="F35209" s="38" t="s">
        <v>195</v>
      </c>
      <c r="G35209" s="49" t="str">
        <f t="shared" si="1"/>
        <v>57400</v>
      </c>
      <c r="H35209" s="49">
        <f t="shared" si="2"/>
        <v>57637</v>
      </c>
    </row>
    <row r="35210">
      <c r="A35210" s="48" t="s">
        <v>1970</v>
      </c>
      <c r="B35210" s="38">
        <v>74117.0</v>
      </c>
      <c r="C35210" s="38" t="s">
        <v>39368</v>
      </c>
      <c r="D35210" s="38" t="str">
        <f>IFERROR(__xludf.DUMMYFUNCTION("REGEXREPLACE(C35210,""-\d+(.*)|--\d+(.*)"","""")"),"ETERCY")</f>
        <v>ETERCY</v>
      </c>
      <c r="E35210" s="38" t="s">
        <v>319</v>
      </c>
      <c r="F35210" s="38" t="s">
        <v>102</v>
      </c>
      <c r="G35210" s="49" t="str">
        <f t="shared" si="1"/>
        <v>74150</v>
      </c>
      <c r="H35210" s="49">
        <f t="shared" si="2"/>
        <v>74117</v>
      </c>
    </row>
    <row r="35211">
      <c r="A35211" s="48" t="s">
        <v>266</v>
      </c>
      <c r="B35211" s="38">
        <v>64369.0</v>
      </c>
      <c r="C35211" s="38" t="s">
        <v>39369</v>
      </c>
      <c r="D35211" s="38" t="str">
        <f>IFERROR(__xludf.DUMMYFUNCTION("REGEXREPLACE(C35211,""-\d+(.*)|--\d+(.*)"","""")"),"MASPIE-LALONQUERE-JUILLACQ")</f>
        <v>MASPIE-LALONQUERE-JUILLACQ</v>
      </c>
      <c r="E35211" s="38" t="s">
        <v>268</v>
      </c>
      <c r="F35211" s="38" t="s">
        <v>252</v>
      </c>
      <c r="G35211" s="49" t="str">
        <f t="shared" si="1"/>
        <v>64350</v>
      </c>
      <c r="H35211" s="49">
        <f t="shared" si="2"/>
        <v>64369</v>
      </c>
    </row>
    <row r="35212">
      <c r="A35212" s="48" t="s">
        <v>946</v>
      </c>
      <c r="B35212" s="38">
        <v>81082.0</v>
      </c>
      <c r="C35212" s="38" t="s">
        <v>39370</v>
      </c>
      <c r="D35212" s="38" t="str">
        <f>IFERROR(__xludf.DUMMYFUNCTION("REGEXREPLACE(C35212,""-\d+(.*)|--\d+(.*)"","""")"),"LE DOURN")</f>
        <v>LE DOURN</v>
      </c>
      <c r="E35212" s="38" t="s">
        <v>231</v>
      </c>
      <c r="F35212" s="38" t="s">
        <v>94</v>
      </c>
      <c r="G35212" s="49" t="str">
        <f t="shared" si="1"/>
        <v>81340</v>
      </c>
      <c r="H35212" s="49">
        <f t="shared" si="2"/>
        <v>81082</v>
      </c>
    </row>
    <row r="35213">
      <c r="A35213" s="48" t="s">
        <v>580</v>
      </c>
      <c r="B35213" s="38">
        <v>31125.0</v>
      </c>
      <c r="C35213" s="38" t="s">
        <v>39371</v>
      </c>
      <c r="D35213" s="38" t="str">
        <f>IFERROR(__xludf.DUMMYFUNCTION("REGEXREPLACE(C35213,""-\d+(.*)|--\d+(.*)"","""")"),"CATHERVIELLE")</f>
        <v>CATHERVIELLE</v>
      </c>
      <c r="E35213" s="38" t="s">
        <v>93</v>
      </c>
      <c r="F35213" s="38" t="s">
        <v>94</v>
      </c>
      <c r="G35213" s="49" t="str">
        <f t="shared" si="1"/>
        <v>31110</v>
      </c>
      <c r="H35213" s="49">
        <f t="shared" si="2"/>
        <v>31125</v>
      </c>
    </row>
    <row r="35214">
      <c r="A35214" s="48" t="s">
        <v>8831</v>
      </c>
      <c r="B35214" s="38">
        <v>15031.0</v>
      </c>
      <c r="C35214" s="38" t="s">
        <v>21351</v>
      </c>
      <c r="D35214" s="38" t="str">
        <f>IFERROR(__xludf.DUMMYFUNCTION("REGEXREPLACE(C35214,""-\d+(.*)|--\d+(.*)"","""")"),"CELLES")</f>
        <v>CELLES</v>
      </c>
      <c r="E35214" s="38" t="s">
        <v>632</v>
      </c>
      <c r="F35214" s="38" t="s">
        <v>161</v>
      </c>
      <c r="G35214" s="49" t="str">
        <f t="shared" si="1"/>
        <v>15170</v>
      </c>
      <c r="H35214" s="49">
        <f t="shared" si="2"/>
        <v>15031</v>
      </c>
    </row>
    <row r="35215">
      <c r="A35215" s="48" t="s">
        <v>3395</v>
      </c>
      <c r="B35215" s="38">
        <v>40156.0</v>
      </c>
      <c r="C35215" s="38" t="s">
        <v>39372</v>
      </c>
      <c r="D35215" s="38" t="str">
        <f>IFERROR(__xludf.DUMMYFUNCTION("REGEXREPLACE(C35215,""-\d+(.*)|--\d+(.*)"","""")"),"LIPOSTHEY")</f>
        <v>LIPOSTHEY</v>
      </c>
      <c r="E35215" s="38" t="s">
        <v>281</v>
      </c>
      <c r="F35215" s="38" t="s">
        <v>252</v>
      </c>
      <c r="G35215" s="49" t="str">
        <f t="shared" si="1"/>
        <v>40410</v>
      </c>
      <c r="H35215" s="49">
        <f t="shared" si="2"/>
        <v>40156</v>
      </c>
    </row>
    <row r="35216">
      <c r="A35216" s="48" t="s">
        <v>32224</v>
      </c>
      <c r="B35216" s="38">
        <v>59126.0</v>
      </c>
      <c r="C35216" s="38" t="s">
        <v>39373</v>
      </c>
      <c r="D35216" s="38" t="str">
        <f>IFERROR(__xludf.DUMMYFUNCTION("REGEXREPLACE(C35216,""-\d+(.*)|--\d+(.*)"","""")"),"CANTIN")</f>
        <v>CANTIN</v>
      </c>
      <c r="E35216" s="38" t="s">
        <v>85</v>
      </c>
      <c r="F35216" s="38" t="s">
        <v>86</v>
      </c>
      <c r="G35216" s="49" t="str">
        <f t="shared" si="1"/>
        <v>59169</v>
      </c>
      <c r="H35216" s="49">
        <f t="shared" si="2"/>
        <v>59126</v>
      </c>
    </row>
    <row r="35217">
      <c r="A35217" s="48" t="s">
        <v>15071</v>
      </c>
      <c r="B35217" s="38">
        <v>91471.0</v>
      </c>
      <c r="C35217" s="38" t="s">
        <v>39374</v>
      </c>
      <c r="D35217" s="38" t="str">
        <f>IFERROR(__xludf.DUMMYFUNCTION("REGEXREPLACE(C35217,""-\d+(.*)|--\d+(.*)"","""")"),"ORSAY")</f>
        <v>ORSAY</v>
      </c>
      <c r="E35217" s="38" t="s">
        <v>756</v>
      </c>
      <c r="F35217" s="38" t="s">
        <v>245</v>
      </c>
      <c r="G35217" s="49" t="str">
        <f t="shared" si="1"/>
        <v>91400</v>
      </c>
      <c r="H35217" s="49">
        <f t="shared" si="2"/>
        <v>91471</v>
      </c>
    </row>
    <row r="35218">
      <c r="A35218" s="48" t="s">
        <v>31664</v>
      </c>
      <c r="B35218" s="38">
        <v>68043.0</v>
      </c>
      <c r="C35218" s="38" t="s">
        <v>39375</v>
      </c>
      <c r="D35218" s="38" t="str">
        <f>IFERROR(__xludf.DUMMYFUNCTION("REGEXREPLACE(C35218,""-\d+(.*)|--\d+(.*)"","""")"),"BOLLWILLER")</f>
        <v>BOLLWILLER</v>
      </c>
      <c r="E35218" s="38" t="s">
        <v>150</v>
      </c>
      <c r="F35218" s="38" t="s">
        <v>151</v>
      </c>
      <c r="G35218" s="49" t="str">
        <f t="shared" si="1"/>
        <v>68540</v>
      </c>
      <c r="H35218" s="49">
        <f t="shared" si="2"/>
        <v>68043</v>
      </c>
    </row>
    <row r="35219">
      <c r="A35219" s="48" t="s">
        <v>5030</v>
      </c>
      <c r="B35219" s="38">
        <v>65016.0</v>
      </c>
      <c r="C35219" s="38" t="s">
        <v>39376</v>
      </c>
      <c r="D35219" s="38" t="str">
        <f>IFERROR(__xludf.DUMMYFUNCTION("REGEXREPLACE(C35219,""-\d+(.*)|--\d+(.*)"","""")"),"ANTIST")</f>
        <v>ANTIST</v>
      </c>
      <c r="E35219" s="38" t="s">
        <v>200</v>
      </c>
      <c r="F35219" s="38" t="s">
        <v>94</v>
      </c>
      <c r="G35219" s="49" t="str">
        <f t="shared" si="1"/>
        <v>65200</v>
      </c>
      <c r="H35219" s="49">
        <f t="shared" si="2"/>
        <v>65016</v>
      </c>
    </row>
    <row r="35220">
      <c r="A35220" s="48" t="s">
        <v>1036</v>
      </c>
      <c r="B35220" s="38">
        <v>57525.0</v>
      </c>
      <c r="C35220" s="38" t="s">
        <v>39377</v>
      </c>
      <c r="D35220" s="38" t="str">
        <f>IFERROR(__xludf.DUMMYFUNCTION("REGEXREPLACE(C35220,""-\d+(.*)|--\d+(.*)"","""")"),"ORIOCOURT")</f>
        <v>ORIOCOURT</v>
      </c>
      <c r="E35220" s="38" t="s">
        <v>303</v>
      </c>
      <c r="F35220" s="38" t="s">
        <v>195</v>
      </c>
      <c r="G35220" s="49" t="str">
        <f t="shared" si="1"/>
        <v>57590</v>
      </c>
      <c r="H35220" s="49">
        <f t="shared" si="2"/>
        <v>57525</v>
      </c>
    </row>
    <row r="35221">
      <c r="A35221" s="48" t="s">
        <v>3422</v>
      </c>
      <c r="B35221" s="38">
        <v>32336.0</v>
      </c>
      <c r="C35221" s="38" t="s">
        <v>39378</v>
      </c>
      <c r="D35221" s="38" t="str">
        <f>IFERROR(__xludf.DUMMYFUNCTION("REGEXREPLACE(C35221,""-\d+(.*)|--\d+(.*)"","""")"),"PUYLAUSIC")</f>
        <v>PUYLAUSIC</v>
      </c>
      <c r="E35221" s="38" t="s">
        <v>440</v>
      </c>
      <c r="F35221" s="38" t="s">
        <v>94</v>
      </c>
      <c r="G35221" s="49" t="str">
        <f t="shared" si="1"/>
        <v>32220</v>
      </c>
      <c r="H35221" s="49">
        <f t="shared" si="2"/>
        <v>32336</v>
      </c>
    </row>
    <row r="35222">
      <c r="A35222" s="48" t="s">
        <v>9077</v>
      </c>
      <c r="B35222" s="38">
        <v>19038.0</v>
      </c>
      <c r="C35222" s="38" t="s">
        <v>39379</v>
      </c>
      <c r="D35222" s="38" t="str">
        <f>IFERROR(__xludf.DUMMYFUNCTION("REGEXREPLACE(C35222,""-\d+(.*)|--\d+(.*)"","""")"),"CHAMEYRAT")</f>
        <v>CHAMEYRAT</v>
      </c>
      <c r="E35222" s="38" t="s">
        <v>271</v>
      </c>
      <c r="F35222" s="38" t="s">
        <v>98</v>
      </c>
      <c r="G35222" s="49" t="str">
        <f t="shared" si="1"/>
        <v>19330</v>
      </c>
      <c r="H35222" s="49">
        <f t="shared" si="2"/>
        <v>19038</v>
      </c>
    </row>
    <row r="35223">
      <c r="A35223" s="48" t="s">
        <v>458</v>
      </c>
      <c r="B35223" s="38">
        <v>34012.0</v>
      </c>
      <c r="C35223" s="38" t="s">
        <v>39380</v>
      </c>
      <c r="D35223" s="38" t="str">
        <f>IFERROR(__xludf.DUMMYFUNCTION("REGEXREPLACE(C35223,""-\d+(.*)|--\d+(.*)"","""")"),"ARGELLIERS")</f>
        <v>ARGELLIERS</v>
      </c>
      <c r="E35223" s="38" t="s">
        <v>118</v>
      </c>
      <c r="F35223" s="38" t="s">
        <v>119</v>
      </c>
      <c r="G35223" s="49" t="str">
        <f t="shared" si="1"/>
        <v>34380</v>
      </c>
      <c r="H35223" s="49">
        <f t="shared" si="2"/>
        <v>34012</v>
      </c>
    </row>
    <row r="35224">
      <c r="A35224" s="48" t="s">
        <v>7631</v>
      </c>
      <c r="B35224" s="38">
        <v>49348.0</v>
      </c>
      <c r="C35224" s="38" t="s">
        <v>39381</v>
      </c>
      <c r="D35224" s="38" t="str">
        <f>IFERROR(__xludf.DUMMYFUNCTION("REGEXREPLACE(C35224,""-\d+(.*)|--\d+(.*)"","""")"),"TIGNE")</f>
        <v>TIGNE</v>
      </c>
      <c r="E35224" s="38" t="s">
        <v>653</v>
      </c>
      <c r="F35224" s="38" t="s">
        <v>180</v>
      </c>
      <c r="G35224" s="49" t="str">
        <f t="shared" si="1"/>
        <v>49540</v>
      </c>
      <c r="H35224" s="49">
        <f t="shared" si="2"/>
        <v>49348</v>
      </c>
    </row>
    <row r="35225">
      <c r="A35225" s="48" t="s">
        <v>4314</v>
      </c>
      <c r="B35225" s="38">
        <v>7259.0</v>
      </c>
      <c r="C35225" s="38" t="s">
        <v>39382</v>
      </c>
      <c r="D35225" s="38" t="str">
        <f>IFERROR(__xludf.DUMMYFUNCTION("REGEXREPLACE(C35225,""-\d+(.*)|--\d+(.*)"","""")"),"SAINT-JUST-D'ARDECHE")</f>
        <v>SAINT-JUST-D'ARDECHE</v>
      </c>
      <c r="E35225" s="38" t="s">
        <v>144</v>
      </c>
      <c r="F35225" s="38" t="s">
        <v>102</v>
      </c>
      <c r="G35225" s="49" t="str">
        <f t="shared" si="1"/>
        <v>07700</v>
      </c>
      <c r="H35225" s="49" t="str">
        <f t="shared" si="2"/>
        <v>07259</v>
      </c>
    </row>
    <row r="35226">
      <c r="A35226" s="48" t="s">
        <v>5596</v>
      </c>
      <c r="B35226" s="38">
        <v>25261.0</v>
      </c>
      <c r="C35226" s="38" t="s">
        <v>39383</v>
      </c>
      <c r="D35226" s="38" t="str">
        <f>IFERROR(__xludf.DUMMYFUNCTION("REGEXREPLACE(C35226,""-\d+(.*)|--\d+(.*)"","""")"),"FROIDEVAUX")</f>
        <v>FROIDEVAUX</v>
      </c>
      <c r="E35226" s="38" t="s">
        <v>213</v>
      </c>
      <c r="F35226" s="38" t="s">
        <v>214</v>
      </c>
      <c r="G35226" s="49" t="str">
        <f t="shared" si="1"/>
        <v>25190</v>
      </c>
      <c r="H35226" s="49">
        <f t="shared" si="2"/>
        <v>25261</v>
      </c>
    </row>
    <row r="35227">
      <c r="A35227" s="48" t="s">
        <v>423</v>
      </c>
      <c r="B35227" s="38">
        <v>2410.0</v>
      </c>
      <c r="C35227" s="38" t="s">
        <v>39384</v>
      </c>
      <c r="D35227" s="38" t="str">
        <f>IFERROR(__xludf.DUMMYFUNCTION("REGEXREPLACE(C35227,""-\d+(.*)|--\d+(.*)"","""")"),"LARGNY-SUR-AUTOMNE")</f>
        <v>LARGNY-SUR-AUTOMNE</v>
      </c>
      <c r="E35227" s="38" t="s">
        <v>191</v>
      </c>
      <c r="F35227" s="38" t="s">
        <v>113</v>
      </c>
      <c r="G35227" s="49" t="str">
        <f t="shared" si="1"/>
        <v>02600</v>
      </c>
      <c r="H35227" s="49" t="str">
        <f t="shared" si="2"/>
        <v>02410</v>
      </c>
    </row>
    <row r="35228">
      <c r="A35228" s="48" t="s">
        <v>5866</v>
      </c>
      <c r="B35228" s="38">
        <v>33086.0</v>
      </c>
      <c r="C35228" s="38" t="s">
        <v>39385</v>
      </c>
      <c r="D35228" s="38" t="str">
        <f>IFERROR(__xludf.DUMMYFUNCTION("REGEXREPLACE(C35228,""-\d+(.*)|--\d+(.*)"","""")"),"CAMIAC-ET-SAINT-DENIS")</f>
        <v>CAMIAC-ET-SAINT-DENIS</v>
      </c>
      <c r="E35228" s="38" t="s">
        <v>462</v>
      </c>
      <c r="F35228" s="38" t="s">
        <v>252</v>
      </c>
      <c r="G35228" s="49" t="str">
        <f t="shared" si="1"/>
        <v>33420</v>
      </c>
      <c r="H35228" s="49">
        <f t="shared" si="2"/>
        <v>33086</v>
      </c>
    </row>
    <row r="35229">
      <c r="A35229" s="48" t="s">
        <v>8227</v>
      </c>
      <c r="B35229" s="38">
        <v>67380.0</v>
      </c>
      <c r="C35229" s="38" t="s">
        <v>39386</v>
      </c>
      <c r="D35229" s="38" t="str">
        <f>IFERROR(__xludf.DUMMYFUNCTION("REGEXREPLACE(C35229,""-\d+(.*)|--\d+(.*)"","""")"),"PRINTZHEIM")</f>
        <v>PRINTZHEIM</v>
      </c>
      <c r="E35229" s="38" t="s">
        <v>210</v>
      </c>
      <c r="F35229" s="38" t="s">
        <v>151</v>
      </c>
      <c r="G35229" s="49" t="str">
        <f t="shared" si="1"/>
        <v>67490</v>
      </c>
      <c r="H35229" s="49">
        <f t="shared" si="2"/>
        <v>67380</v>
      </c>
    </row>
    <row r="35230">
      <c r="A35230" s="48" t="s">
        <v>1928</v>
      </c>
      <c r="B35230" s="38">
        <v>1359.0</v>
      </c>
      <c r="C35230" s="38" t="s">
        <v>39387</v>
      </c>
      <c r="D35230" s="38" t="str">
        <f>IFERROR(__xludf.DUMMYFUNCTION("REGEXREPLACE(C35230,""-\d+(.*)|--\d+(.*)"","""")"),"SAINT-GERMAIN-SUR-RENON")</f>
        <v>SAINT-GERMAIN-SUR-RENON</v>
      </c>
      <c r="E35230" s="38" t="s">
        <v>255</v>
      </c>
      <c r="F35230" s="38" t="s">
        <v>102</v>
      </c>
      <c r="G35230" s="49" t="str">
        <f t="shared" si="1"/>
        <v>01240</v>
      </c>
      <c r="H35230" s="49" t="str">
        <f t="shared" si="2"/>
        <v>01359</v>
      </c>
    </row>
    <row r="35231">
      <c r="A35231" s="48" t="s">
        <v>7107</v>
      </c>
      <c r="B35231" s="38">
        <v>10078.0</v>
      </c>
      <c r="C35231" s="38" t="s">
        <v>39388</v>
      </c>
      <c r="D35231" s="38" t="str">
        <f>IFERROR(__xludf.DUMMYFUNCTION("REGEXREPLACE(C35231,""-\d+(.*)|--\d+(.*)"","""")"),"CHAMP-SUR-BARSE")</f>
        <v>CHAMP-SUR-BARSE</v>
      </c>
      <c r="E35231" s="38" t="s">
        <v>147</v>
      </c>
      <c r="F35231" s="38" t="s">
        <v>130</v>
      </c>
      <c r="G35231" s="49" t="str">
        <f t="shared" si="1"/>
        <v>10140</v>
      </c>
      <c r="H35231" s="49">
        <f t="shared" si="2"/>
        <v>10078</v>
      </c>
    </row>
    <row r="35232">
      <c r="A35232" s="48" t="s">
        <v>2204</v>
      </c>
      <c r="B35232" s="38">
        <v>42265.0</v>
      </c>
      <c r="C35232" s="38" t="s">
        <v>39389</v>
      </c>
      <c r="D35232" s="38" t="str">
        <f>IFERROR(__xludf.DUMMYFUNCTION("REGEXREPLACE(C35232,""-\d+(.*)|--\d+(.*)"","""")"),"SAINT-MICHEL-SUR-RHONE")</f>
        <v>SAINT-MICHEL-SUR-RHONE</v>
      </c>
      <c r="E35232" s="38" t="s">
        <v>166</v>
      </c>
      <c r="F35232" s="38" t="s">
        <v>102</v>
      </c>
      <c r="G35232" s="49" t="str">
        <f t="shared" si="1"/>
        <v>42410</v>
      </c>
      <c r="H35232" s="49">
        <f t="shared" si="2"/>
        <v>42265</v>
      </c>
    </row>
    <row r="35233">
      <c r="A35233" s="48" t="s">
        <v>1579</v>
      </c>
      <c r="B35233" s="38">
        <v>63385.0</v>
      </c>
      <c r="C35233" s="38" t="s">
        <v>39390</v>
      </c>
      <c r="D35233" s="38" t="str">
        <f>IFERROR(__xludf.DUMMYFUNCTION("REGEXREPLACE(C35233,""-\d+(.*)|--\d+(.*)"","""")"),"SAINT-PIERRE-LE-CHASTEL")</f>
        <v>SAINT-PIERRE-LE-CHASTEL</v>
      </c>
      <c r="E35233" s="38" t="s">
        <v>353</v>
      </c>
      <c r="F35233" s="38" t="s">
        <v>161</v>
      </c>
      <c r="G35233" s="49" t="str">
        <f t="shared" si="1"/>
        <v>63230</v>
      </c>
      <c r="H35233" s="49">
        <f t="shared" si="2"/>
        <v>63385</v>
      </c>
    </row>
    <row r="35234">
      <c r="A35234" s="48" t="s">
        <v>14167</v>
      </c>
      <c r="B35234" s="38">
        <v>30265.0</v>
      </c>
      <c r="C35234" s="38" t="s">
        <v>39391</v>
      </c>
      <c r="D35234" s="38" t="str">
        <f>IFERROR(__xludf.DUMMYFUNCTION("REGEXREPLACE(C35234,""-\d+(.*)|--\d+(.*)"","""")"),"SAINT-JEAN-DE-CRIEULON")</f>
        <v>SAINT-JEAN-DE-CRIEULON</v>
      </c>
      <c r="E35234" s="38" t="s">
        <v>526</v>
      </c>
      <c r="F35234" s="38" t="s">
        <v>119</v>
      </c>
      <c r="G35234" s="49" t="str">
        <f t="shared" si="1"/>
        <v>30610</v>
      </c>
      <c r="H35234" s="49">
        <f t="shared" si="2"/>
        <v>30265</v>
      </c>
    </row>
    <row r="35235">
      <c r="A35235" s="48" t="s">
        <v>266</v>
      </c>
      <c r="B35235" s="38">
        <v>64337.0</v>
      </c>
      <c r="C35235" s="38" t="s">
        <v>39392</v>
      </c>
      <c r="D35235" s="38" t="str">
        <f>IFERROR(__xludf.DUMMYFUNCTION("REGEXREPLACE(C35235,""-\d+(.*)|--\d+(.*)"","""")"),"LESPIELLE")</f>
        <v>LESPIELLE</v>
      </c>
      <c r="E35235" s="38" t="s">
        <v>268</v>
      </c>
      <c r="F35235" s="38" t="s">
        <v>252</v>
      </c>
      <c r="G35235" s="49" t="str">
        <f t="shared" si="1"/>
        <v>64350</v>
      </c>
      <c r="H35235" s="49">
        <f t="shared" si="2"/>
        <v>64337</v>
      </c>
    </row>
    <row r="35236">
      <c r="A35236" s="48" t="s">
        <v>1630</v>
      </c>
      <c r="B35236" s="38">
        <v>57198.0</v>
      </c>
      <c r="C35236" s="38" t="s">
        <v>39393</v>
      </c>
      <c r="D35236" s="38" t="str">
        <f>IFERROR(__xludf.DUMMYFUNCTION("REGEXREPLACE(C35236,""-\d+(.*)|--\d+(.*)"","""")"),"ERSTROFF")</f>
        <v>ERSTROFF</v>
      </c>
      <c r="E35236" s="38" t="s">
        <v>303</v>
      </c>
      <c r="F35236" s="38" t="s">
        <v>195</v>
      </c>
      <c r="G35236" s="49" t="str">
        <f t="shared" si="1"/>
        <v>57660</v>
      </c>
      <c r="H35236" s="49">
        <f t="shared" si="2"/>
        <v>57198</v>
      </c>
    </row>
    <row r="35237">
      <c r="A35237" s="48" t="s">
        <v>14636</v>
      </c>
      <c r="B35237" s="38">
        <v>38148.0</v>
      </c>
      <c r="C35237" s="38" t="s">
        <v>39394</v>
      </c>
      <c r="D35237" s="38" t="str">
        <f>IFERROR(__xludf.DUMMYFUNCTION("REGEXREPLACE(C35237,""-\d+(.*)|--\d+(.*)"","""")"),"DOLOMIEU")</f>
        <v>DOLOMIEU</v>
      </c>
      <c r="E35237" s="38" t="s">
        <v>101</v>
      </c>
      <c r="F35237" s="38" t="s">
        <v>102</v>
      </c>
      <c r="G35237" s="49" t="str">
        <f t="shared" si="1"/>
        <v>38110</v>
      </c>
      <c r="H35237" s="49">
        <f t="shared" si="2"/>
        <v>38148</v>
      </c>
    </row>
    <row r="35238">
      <c r="A35238" s="48" t="s">
        <v>1172</v>
      </c>
      <c r="B35238" s="38">
        <v>76489.0</v>
      </c>
      <c r="C35238" s="38" t="s">
        <v>39395</v>
      </c>
      <c r="D35238" s="38" t="str">
        <f>IFERROR(__xludf.DUMMYFUNCTION("REGEXREPLACE(C35238,""-\d+(.*)|--\d+(.*)"","""")"),"OUDALLE")</f>
        <v>OUDALLE</v>
      </c>
      <c r="E35238" s="38" t="s">
        <v>133</v>
      </c>
      <c r="F35238" s="38" t="s">
        <v>134</v>
      </c>
      <c r="G35238" s="49" t="str">
        <f t="shared" si="1"/>
        <v>76430</v>
      </c>
      <c r="H35238" s="49">
        <f t="shared" si="2"/>
        <v>76489</v>
      </c>
    </row>
    <row r="35239">
      <c r="A35239" s="48" t="s">
        <v>6078</v>
      </c>
      <c r="B35239" s="38">
        <v>10236.0</v>
      </c>
      <c r="C35239" s="38" t="s">
        <v>39396</v>
      </c>
      <c r="D35239" s="38" t="str">
        <f>IFERROR(__xludf.DUMMYFUNCTION("REGEXREPLACE(C35239,""-\d+(.*)|--\d+(.*)"","""")"),"MESNIL-LETTRE")</f>
        <v>MESNIL-LETTRE</v>
      </c>
      <c r="E35239" s="38" t="s">
        <v>147</v>
      </c>
      <c r="F35239" s="38" t="s">
        <v>130</v>
      </c>
      <c r="G35239" s="49" t="str">
        <f t="shared" si="1"/>
        <v>10240</v>
      </c>
      <c r="H35239" s="49">
        <f t="shared" si="2"/>
        <v>10236</v>
      </c>
    </row>
    <row r="35240">
      <c r="A35240" s="48" t="s">
        <v>16014</v>
      </c>
      <c r="B35240" s="38">
        <v>33445.0</v>
      </c>
      <c r="C35240" s="38" t="s">
        <v>29827</v>
      </c>
      <c r="D35240" s="38" t="str">
        <f>IFERROR(__xludf.DUMMYFUNCTION("REGEXREPLACE(C35240,""-\d+(.*)|--\d+(.*)"","""")"),"SAINT-MARTIN-DU-BOIS")</f>
        <v>SAINT-MARTIN-DU-BOIS</v>
      </c>
      <c r="E35240" s="38" t="s">
        <v>462</v>
      </c>
      <c r="F35240" s="38" t="s">
        <v>252</v>
      </c>
      <c r="G35240" s="49" t="str">
        <f t="shared" si="1"/>
        <v>33910</v>
      </c>
      <c r="H35240" s="49">
        <f t="shared" si="2"/>
        <v>33445</v>
      </c>
    </row>
    <row r="35241">
      <c r="A35241" s="48" t="s">
        <v>2083</v>
      </c>
      <c r="B35241" s="38">
        <v>17242.0</v>
      </c>
      <c r="C35241" s="38" t="s">
        <v>39397</v>
      </c>
      <c r="D35241" s="38" t="str">
        <f>IFERROR(__xludf.DUMMYFUNCTION("REGEXREPLACE(C35241,""-\d+(.*)|--\d+(.*)"","""")"),"MONTILS")</f>
        <v>MONTILS</v>
      </c>
      <c r="E35241" s="38" t="s">
        <v>488</v>
      </c>
      <c r="F35241" s="38" t="s">
        <v>338</v>
      </c>
      <c r="G35241" s="49" t="str">
        <f t="shared" si="1"/>
        <v>17800</v>
      </c>
      <c r="H35241" s="49">
        <f t="shared" si="2"/>
        <v>17242</v>
      </c>
    </row>
    <row r="35242">
      <c r="A35242" s="48" t="s">
        <v>1774</v>
      </c>
      <c r="B35242" s="38">
        <v>28027.0</v>
      </c>
      <c r="C35242" s="38" t="s">
        <v>39398</v>
      </c>
      <c r="D35242" s="38" t="str">
        <f>IFERROR(__xludf.DUMMYFUNCTION("REGEXREPLACE(C35242,""-\d+(.*)|--\d+(.*)"","""")"),"LA BAZOCHE-GOUET")</f>
        <v>LA BAZOCHE-GOUET</v>
      </c>
      <c r="E35242" s="38" t="s">
        <v>300</v>
      </c>
      <c r="F35242" s="38" t="s">
        <v>123</v>
      </c>
      <c r="G35242" s="49" t="str">
        <f t="shared" si="1"/>
        <v>28330</v>
      </c>
      <c r="H35242" s="49">
        <f t="shared" si="2"/>
        <v>28027</v>
      </c>
    </row>
    <row r="35243">
      <c r="A35243" s="48" t="s">
        <v>9946</v>
      </c>
      <c r="B35243" s="38">
        <v>15233.0</v>
      </c>
      <c r="C35243" s="38" t="s">
        <v>39399</v>
      </c>
      <c r="D35243" s="38" t="str">
        <f>IFERROR(__xludf.DUMMYFUNCTION("REGEXREPLACE(C35243,""-\d+(.*)|--\d+(.*)"","""")"),"TEISSIERES-DE-CORNET")</f>
        <v>TEISSIERES-DE-CORNET</v>
      </c>
      <c r="E35243" s="38" t="s">
        <v>632</v>
      </c>
      <c r="F35243" s="38" t="s">
        <v>161</v>
      </c>
      <c r="G35243" s="49" t="str">
        <f t="shared" si="1"/>
        <v>15250</v>
      </c>
      <c r="H35243" s="49">
        <f t="shared" si="2"/>
        <v>15233</v>
      </c>
    </row>
    <row r="35244">
      <c r="A35244" s="48" t="s">
        <v>4428</v>
      </c>
      <c r="B35244" s="38">
        <v>72308.0</v>
      </c>
      <c r="C35244" s="38" t="s">
        <v>39400</v>
      </c>
      <c r="D35244" s="38" t="str">
        <f>IFERROR(__xludf.DUMMYFUNCTION("REGEXREPLACE(C35244,""-\d+(.*)|--\d+(.*)"","""")"),"SAINT-PATERNE")</f>
        <v>SAINT-PATERNE</v>
      </c>
      <c r="E35244" s="38" t="s">
        <v>521</v>
      </c>
      <c r="F35244" s="38" t="s">
        <v>180</v>
      </c>
      <c r="G35244" s="49" t="str">
        <f t="shared" si="1"/>
        <v>72610</v>
      </c>
      <c r="H35244" s="49">
        <f t="shared" si="2"/>
        <v>72308</v>
      </c>
    </row>
    <row r="35245">
      <c r="A35245" s="48" t="s">
        <v>4826</v>
      </c>
      <c r="B35245" s="38">
        <v>57574.0</v>
      </c>
      <c r="C35245" s="38" t="s">
        <v>39401</v>
      </c>
      <c r="D35245" s="38" t="str">
        <f>IFERROR(__xludf.DUMMYFUNCTION("REGEXREPLACE(C35245,""-\d+(.*)|--\d+(.*)"","""")"),"BASSE-RENTGEN")</f>
        <v>BASSE-RENTGEN</v>
      </c>
      <c r="E35245" s="38" t="s">
        <v>303</v>
      </c>
      <c r="F35245" s="38" t="s">
        <v>195</v>
      </c>
      <c r="G35245" s="49" t="str">
        <f t="shared" si="1"/>
        <v>57570</v>
      </c>
      <c r="H35245" s="49">
        <f t="shared" si="2"/>
        <v>57574</v>
      </c>
    </row>
    <row r="35246">
      <c r="A35246" s="48" t="s">
        <v>3172</v>
      </c>
      <c r="B35246" s="38">
        <v>28305.0</v>
      </c>
      <c r="C35246" s="38" t="s">
        <v>39402</v>
      </c>
      <c r="D35246" s="38" t="str">
        <f>IFERROR(__xludf.DUMMYFUNCTION("REGEXREPLACE(C35246,""-\d+(.*)|--\d+(.*)"","""")"),"PRE-SAINT-EVROULT")</f>
        <v>PRE-SAINT-EVROULT</v>
      </c>
      <c r="E35246" s="38" t="s">
        <v>300</v>
      </c>
      <c r="F35246" s="38" t="s">
        <v>123</v>
      </c>
      <c r="G35246" s="49" t="str">
        <f t="shared" si="1"/>
        <v>28800</v>
      </c>
      <c r="H35246" s="49">
        <f t="shared" si="2"/>
        <v>28305</v>
      </c>
    </row>
    <row r="35247">
      <c r="A35247" s="48" t="s">
        <v>13650</v>
      </c>
      <c r="B35247" s="38">
        <v>40152.0</v>
      </c>
      <c r="C35247" s="38" t="s">
        <v>38522</v>
      </c>
      <c r="D35247" s="38" t="str">
        <f>IFERROR(__xludf.DUMMYFUNCTION("REGEXREPLACE(C35247,""-\d+(.*)|--\d+(.*)"","""")"),"LESPERON")</f>
        <v>LESPERON</v>
      </c>
      <c r="E35247" s="38" t="s">
        <v>281</v>
      </c>
      <c r="F35247" s="38" t="s">
        <v>252</v>
      </c>
      <c r="G35247" s="49" t="str">
        <f t="shared" si="1"/>
        <v>40260</v>
      </c>
      <c r="H35247" s="49">
        <f t="shared" si="2"/>
        <v>40152</v>
      </c>
    </row>
    <row r="35248">
      <c r="A35248" s="48" t="s">
        <v>6615</v>
      </c>
      <c r="B35248" s="38">
        <v>65128.0</v>
      </c>
      <c r="C35248" s="38" t="s">
        <v>39403</v>
      </c>
      <c r="D35248" s="38" t="str">
        <f>IFERROR(__xludf.DUMMYFUNCTION("REGEXREPLACE(C35248,""-\d+(.*)|--\d+(.*)"","""")"),"CASTELBAJAC")</f>
        <v>CASTELBAJAC</v>
      </c>
      <c r="E35248" s="38" t="s">
        <v>200</v>
      </c>
      <c r="F35248" s="38" t="s">
        <v>94</v>
      </c>
      <c r="G35248" s="49" t="str">
        <f t="shared" si="1"/>
        <v>65330</v>
      </c>
      <c r="H35248" s="49">
        <f t="shared" si="2"/>
        <v>65128</v>
      </c>
    </row>
    <row r="35249">
      <c r="A35249" s="48" t="s">
        <v>15605</v>
      </c>
      <c r="B35249" s="38">
        <v>35093.0</v>
      </c>
      <c r="C35249" s="38" t="s">
        <v>39404</v>
      </c>
      <c r="D35249" s="38" t="str">
        <f>IFERROR(__xludf.DUMMYFUNCTION("REGEXREPLACE(C35249,""-\d+(.*)|--\d+(.*)"","""")"),"DINARD")</f>
        <v>DINARD</v>
      </c>
      <c r="E35249" s="38" t="s">
        <v>347</v>
      </c>
      <c r="F35249" s="38" t="s">
        <v>90</v>
      </c>
      <c r="G35249" s="49" t="str">
        <f t="shared" si="1"/>
        <v>35800</v>
      </c>
      <c r="H35249" s="49">
        <f t="shared" si="2"/>
        <v>35093</v>
      </c>
    </row>
    <row r="35250">
      <c r="A35250" s="48" t="s">
        <v>1356</v>
      </c>
      <c r="B35250" s="38">
        <v>57320.0</v>
      </c>
      <c r="C35250" s="38" t="s">
        <v>39405</v>
      </c>
      <c r="D35250" s="38" t="str">
        <f>IFERROR(__xludf.DUMMYFUNCTION("REGEXREPLACE(C35250,""-\d+(.*)|--\d+(.*)"","""")"),"HERTZING")</f>
        <v>HERTZING</v>
      </c>
      <c r="E35250" s="38" t="s">
        <v>303</v>
      </c>
      <c r="F35250" s="38" t="s">
        <v>195</v>
      </c>
      <c r="G35250" s="49" t="str">
        <f t="shared" si="1"/>
        <v>57830</v>
      </c>
      <c r="H35250" s="49">
        <f t="shared" si="2"/>
        <v>57320</v>
      </c>
    </row>
    <row r="35251">
      <c r="A35251" s="48" t="s">
        <v>509</v>
      </c>
      <c r="B35251" s="38">
        <v>28284.0</v>
      </c>
      <c r="C35251" s="38" t="s">
        <v>39406</v>
      </c>
      <c r="D35251" s="38" t="str">
        <f>IFERROR(__xludf.DUMMYFUNCTION("REGEXREPLACE(C35251,""-\d+(.*)|--\d+(.*)"","""")"),"OINVILLE-SAINT-LIPHARD")</f>
        <v>OINVILLE-SAINT-LIPHARD</v>
      </c>
      <c r="E35251" s="38" t="s">
        <v>300</v>
      </c>
      <c r="F35251" s="38" t="s">
        <v>123</v>
      </c>
      <c r="G35251" s="49" t="str">
        <f t="shared" si="1"/>
        <v>28310</v>
      </c>
      <c r="H35251" s="49">
        <f t="shared" si="2"/>
        <v>28284</v>
      </c>
    </row>
    <row r="35252">
      <c r="A35252" s="48" t="s">
        <v>1679</v>
      </c>
      <c r="B35252" s="38">
        <v>51595.0</v>
      </c>
      <c r="C35252" s="38" t="s">
        <v>39407</v>
      </c>
      <c r="D35252" s="38" t="str">
        <f>IFERROR(__xludf.DUMMYFUNCTION("REGEXREPLACE(C35252,""-\d+(.*)|--\d+(.*)"","""")"),"VATRY")</f>
        <v>VATRY</v>
      </c>
      <c r="E35252" s="38" t="s">
        <v>129</v>
      </c>
      <c r="F35252" s="38" t="s">
        <v>130</v>
      </c>
      <c r="G35252" s="49" t="str">
        <f t="shared" si="1"/>
        <v>51320</v>
      </c>
      <c r="H35252" s="49">
        <f t="shared" si="2"/>
        <v>51595</v>
      </c>
    </row>
    <row r="35253">
      <c r="A35253" s="48" t="s">
        <v>4314</v>
      </c>
      <c r="B35253" s="38">
        <v>7042.0</v>
      </c>
      <c r="C35253" s="38" t="s">
        <v>39408</v>
      </c>
      <c r="D35253" s="38" t="str">
        <f>IFERROR(__xludf.DUMMYFUNCTION("REGEXREPLACE(C35253,""-\d+(.*)|--\d+(.*)"","""")"),"BOURG-SAINT-ANDEOL")</f>
        <v>BOURG-SAINT-ANDEOL</v>
      </c>
      <c r="E35253" s="38" t="s">
        <v>144</v>
      </c>
      <c r="F35253" s="38" t="s">
        <v>102</v>
      </c>
      <c r="G35253" s="49" t="str">
        <f t="shared" si="1"/>
        <v>07700</v>
      </c>
      <c r="H35253" s="49" t="str">
        <f t="shared" si="2"/>
        <v>07042</v>
      </c>
    </row>
    <row r="35254">
      <c r="A35254" s="48" t="s">
        <v>4701</v>
      </c>
      <c r="B35254" s="38">
        <v>62409.0</v>
      </c>
      <c r="C35254" s="38" t="s">
        <v>39409</v>
      </c>
      <c r="D35254" s="38" t="str">
        <f>IFERROR(__xludf.DUMMYFUNCTION("REGEXREPLACE(C35254,""-\d+(.*)|--\d+(.*)"","""")"),"HANNESCAMPS")</f>
        <v>HANNESCAMPS</v>
      </c>
      <c r="E35254" s="38" t="s">
        <v>109</v>
      </c>
      <c r="F35254" s="38" t="s">
        <v>86</v>
      </c>
      <c r="G35254" s="49" t="str">
        <f t="shared" si="1"/>
        <v>62111</v>
      </c>
      <c r="H35254" s="49">
        <f t="shared" si="2"/>
        <v>62409</v>
      </c>
    </row>
    <row r="35255">
      <c r="A35255" s="48" t="s">
        <v>10451</v>
      </c>
      <c r="B35255" s="38">
        <v>76395.0</v>
      </c>
      <c r="C35255" s="38" t="s">
        <v>39410</v>
      </c>
      <c r="D35255" s="38" t="str">
        <f>IFERROR(__xludf.DUMMYFUNCTION("REGEXREPLACE(C35255,""-\d+(.*)|--\d+(.*)"","""")"),"LONGUEIL")</f>
        <v>LONGUEIL</v>
      </c>
      <c r="E35255" s="38" t="s">
        <v>133</v>
      </c>
      <c r="F35255" s="38" t="s">
        <v>134</v>
      </c>
      <c r="G35255" s="49" t="str">
        <f t="shared" si="1"/>
        <v>76860</v>
      </c>
      <c r="H35255" s="49">
        <f t="shared" si="2"/>
        <v>76395</v>
      </c>
    </row>
    <row r="35256">
      <c r="A35256" s="48" t="s">
        <v>14808</v>
      </c>
      <c r="B35256" s="38">
        <v>25632.0</v>
      </c>
      <c r="C35256" s="38" t="s">
        <v>39411</v>
      </c>
      <c r="D35256" s="38" t="str">
        <f>IFERROR(__xludf.DUMMYFUNCTION("REGEXREPLACE(C35256,""-\d+(.*)|--\d+(.*)"","""")"),"VOUJEAUCOURT")</f>
        <v>VOUJEAUCOURT</v>
      </c>
      <c r="E35256" s="38" t="s">
        <v>213</v>
      </c>
      <c r="F35256" s="38" t="s">
        <v>214</v>
      </c>
      <c r="G35256" s="49" t="str">
        <f t="shared" si="1"/>
        <v>25420</v>
      </c>
      <c r="H35256" s="49">
        <f t="shared" si="2"/>
        <v>25632</v>
      </c>
    </row>
    <row r="35257">
      <c r="A35257" s="48" t="s">
        <v>4099</v>
      </c>
      <c r="B35257" s="38">
        <v>12272.0</v>
      </c>
      <c r="C35257" s="38" t="s">
        <v>29915</v>
      </c>
      <c r="D35257" s="38" t="str">
        <f>IFERROR(__xludf.DUMMYFUNCTION("REGEXREPLACE(C35257,""-\d+(.*)|--\d+(.*)"","""")"),"SONNAC")</f>
        <v>SONNAC</v>
      </c>
      <c r="E35257" s="38" t="s">
        <v>465</v>
      </c>
      <c r="F35257" s="38" t="s">
        <v>94</v>
      </c>
      <c r="G35257" s="49" t="str">
        <f t="shared" si="1"/>
        <v>12700</v>
      </c>
      <c r="H35257" s="49">
        <f t="shared" si="2"/>
        <v>12272</v>
      </c>
    </row>
    <row r="35258">
      <c r="A35258" s="48" t="s">
        <v>5104</v>
      </c>
      <c r="B35258" s="38">
        <v>29093.0</v>
      </c>
      <c r="C35258" s="38" t="s">
        <v>39412</v>
      </c>
      <c r="D35258" s="38" t="str">
        <f>IFERROR(__xludf.DUMMYFUNCTION("REGEXREPLACE(C35258,""-\d+(.*)|--\d+(.*)"","""")"),"KERNILIS")</f>
        <v>KERNILIS</v>
      </c>
      <c r="E35258" s="38" t="s">
        <v>176</v>
      </c>
      <c r="F35258" s="38" t="s">
        <v>90</v>
      </c>
      <c r="G35258" s="49" t="str">
        <f t="shared" si="1"/>
        <v>29260</v>
      </c>
      <c r="H35258" s="49">
        <f t="shared" si="2"/>
        <v>29093</v>
      </c>
    </row>
    <row r="35259">
      <c r="A35259" s="48" t="s">
        <v>16765</v>
      </c>
      <c r="B35259" s="38">
        <v>76084.0</v>
      </c>
      <c r="C35259" s="38" t="s">
        <v>39413</v>
      </c>
      <c r="D35259" s="38" t="str">
        <f>IFERROR(__xludf.DUMMYFUNCTION("REGEXREPLACE(C35259,""-\d+(.*)|--\d+(.*)"","""")"),"BERTREVILLE")</f>
        <v>BERTREVILLE</v>
      </c>
      <c r="E35259" s="38" t="s">
        <v>133</v>
      </c>
      <c r="F35259" s="38" t="s">
        <v>134</v>
      </c>
      <c r="G35259" s="49" t="str">
        <f t="shared" si="1"/>
        <v>76450</v>
      </c>
      <c r="H35259" s="49">
        <f t="shared" si="2"/>
        <v>76084</v>
      </c>
    </row>
    <row r="35260">
      <c r="A35260" s="48" t="s">
        <v>2848</v>
      </c>
      <c r="B35260" s="38">
        <v>51174.0</v>
      </c>
      <c r="C35260" s="38" t="s">
        <v>39414</v>
      </c>
      <c r="D35260" s="38" t="str">
        <f>IFERROR(__xludf.DUMMYFUNCTION("REGEXREPLACE(C35260,""-\d+(.*)|--\d+(.*)"","""")"),"CORRIBERT")</f>
        <v>CORRIBERT</v>
      </c>
      <c r="E35260" s="38" t="s">
        <v>129</v>
      </c>
      <c r="F35260" s="38" t="s">
        <v>130</v>
      </c>
      <c r="G35260" s="49" t="str">
        <f t="shared" si="1"/>
        <v>51270</v>
      </c>
      <c r="H35260" s="49">
        <f t="shared" si="2"/>
        <v>51174</v>
      </c>
    </row>
    <row r="35261">
      <c r="A35261" s="48" t="s">
        <v>3753</v>
      </c>
      <c r="B35261" s="38">
        <v>18071.0</v>
      </c>
      <c r="C35261" s="38" t="s">
        <v>12203</v>
      </c>
      <c r="D35261" s="38" t="str">
        <f>IFERROR(__xludf.DUMMYFUNCTION("REGEXREPLACE(C35261,""-\d+(.*)|--\d+(.*)"","""")"),"CONTRES")</f>
        <v>CONTRES</v>
      </c>
      <c r="E35261" s="38" t="s">
        <v>504</v>
      </c>
      <c r="F35261" s="38" t="s">
        <v>123</v>
      </c>
      <c r="G35261" s="49" t="str">
        <f t="shared" si="1"/>
        <v>18130</v>
      </c>
      <c r="H35261" s="49">
        <f t="shared" si="2"/>
        <v>18071</v>
      </c>
    </row>
    <row r="35262">
      <c r="A35262" s="48" t="s">
        <v>864</v>
      </c>
      <c r="B35262" s="38">
        <v>38365.0</v>
      </c>
      <c r="C35262" s="38" t="s">
        <v>39415</v>
      </c>
      <c r="D35262" s="38" t="str">
        <f>IFERROR(__xludf.DUMMYFUNCTION("REGEXREPLACE(C35262,""-\d+(.*)|--\d+(.*)"","""")"),"SAINT-BAUDILLE-DE-LA-TOUR")</f>
        <v>SAINT-BAUDILLE-DE-LA-TOUR</v>
      </c>
      <c r="E35262" s="38" t="s">
        <v>101</v>
      </c>
      <c r="F35262" s="38" t="s">
        <v>102</v>
      </c>
      <c r="G35262" s="49" t="str">
        <f t="shared" si="1"/>
        <v>38118</v>
      </c>
      <c r="H35262" s="49">
        <f t="shared" si="2"/>
        <v>38365</v>
      </c>
    </row>
    <row r="35263">
      <c r="A35263" s="48" t="s">
        <v>110</v>
      </c>
      <c r="B35263" s="38">
        <v>60343.0</v>
      </c>
      <c r="C35263" s="38" t="s">
        <v>39416</v>
      </c>
      <c r="D35263" s="38" t="str">
        <f>IFERROR(__xludf.DUMMYFUNCTION("REGEXREPLACE(C35263,""-\d+(.*)|--\d+(.*)"","""")"),"LALANDE-EN-SON")</f>
        <v>LALANDE-EN-SON</v>
      </c>
      <c r="E35263" s="38" t="s">
        <v>112</v>
      </c>
      <c r="F35263" s="38" t="s">
        <v>113</v>
      </c>
      <c r="G35263" s="49" t="str">
        <f t="shared" si="1"/>
        <v>60590</v>
      </c>
      <c r="H35263" s="49">
        <f t="shared" si="2"/>
        <v>60343</v>
      </c>
    </row>
    <row r="35264">
      <c r="A35264" s="48" t="s">
        <v>17834</v>
      </c>
      <c r="B35264" s="38">
        <v>83010.0</v>
      </c>
      <c r="C35264" s="38" t="s">
        <v>39417</v>
      </c>
      <c r="D35264" s="38" t="str">
        <f>IFERROR(__xludf.DUMMYFUNCTION("REGEXREPLACE(C35264,""-\d+(.*)|--\d+(.*)"","""")"),"BARGEME")</f>
        <v>BARGEME</v>
      </c>
      <c r="E35264" s="38" t="s">
        <v>813</v>
      </c>
      <c r="F35264" s="38" t="s">
        <v>228</v>
      </c>
      <c r="G35264" s="49" t="str">
        <f t="shared" si="1"/>
        <v>83840</v>
      </c>
      <c r="H35264" s="49">
        <f t="shared" si="2"/>
        <v>83010</v>
      </c>
    </row>
    <row r="35265">
      <c r="A35265" s="48" t="s">
        <v>1218</v>
      </c>
      <c r="B35265" s="38">
        <v>9046.0</v>
      </c>
      <c r="C35265" s="38" t="s">
        <v>9095</v>
      </c>
      <c r="D35265" s="38" t="str">
        <f>IFERROR(__xludf.DUMMYFUNCTION("REGEXREPLACE(C35265,""-\d+(.*)|--\d+(.*)"","""")"),"BEDEILLE")</f>
        <v>BEDEILLE</v>
      </c>
      <c r="E35265" s="38" t="s">
        <v>238</v>
      </c>
      <c r="F35265" s="38" t="s">
        <v>94</v>
      </c>
      <c r="G35265" s="49" t="str">
        <f t="shared" si="1"/>
        <v>09230</v>
      </c>
      <c r="H35265" s="49" t="str">
        <f t="shared" si="2"/>
        <v>09046</v>
      </c>
    </row>
    <row r="35266">
      <c r="A35266" s="48" t="s">
        <v>18007</v>
      </c>
      <c r="B35266" s="38">
        <v>81125.0</v>
      </c>
      <c r="C35266" s="38" t="s">
        <v>39418</v>
      </c>
      <c r="D35266" s="38" t="str">
        <f>IFERROR(__xludf.DUMMYFUNCTION("REGEXREPLACE(C35266,""-\d+(.*)|--\d+(.*)"","""")"),"LACAZE")</f>
        <v>LACAZE</v>
      </c>
      <c r="E35266" s="38" t="s">
        <v>231</v>
      </c>
      <c r="F35266" s="38" t="s">
        <v>94</v>
      </c>
      <c r="G35266" s="49" t="str">
        <f t="shared" si="1"/>
        <v>81330</v>
      </c>
      <c r="H35266" s="49">
        <f t="shared" si="2"/>
        <v>81125</v>
      </c>
    </row>
    <row r="35267">
      <c r="A35267" s="48" t="s">
        <v>10214</v>
      </c>
      <c r="B35267" s="38">
        <v>81204.0</v>
      </c>
      <c r="C35267" s="38" t="s">
        <v>39419</v>
      </c>
      <c r="D35267" s="38" t="str">
        <f>IFERROR(__xludf.DUMMYFUNCTION("REGEXREPLACE(C35267,""-\d+(.*)|--\d+(.*)"","""")"),"PAYRIN-AUGMONTEL")</f>
        <v>PAYRIN-AUGMONTEL</v>
      </c>
      <c r="E35267" s="38" t="s">
        <v>231</v>
      </c>
      <c r="F35267" s="38" t="s">
        <v>94</v>
      </c>
      <c r="G35267" s="49" t="str">
        <f t="shared" si="1"/>
        <v>81660</v>
      </c>
      <c r="H35267" s="49">
        <f t="shared" si="2"/>
        <v>81204</v>
      </c>
    </row>
    <row r="35268">
      <c r="A35268" s="48" t="s">
        <v>2875</v>
      </c>
      <c r="B35268" s="38">
        <v>39189.0</v>
      </c>
      <c r="C35268" s="38" t="s">
        <v>39420</v>
      </c>
      <c r="D35268" s="38" t="str">
        <f>IFERROR(__xludf.DUMMYFUNCTION("REGEXREPLACE(C35268,""-\d+(.*)|--\d+(.*)"","""")"),"DAMPARIS")</f>
        <v>DAMPARIS</v>
      </c>
      <c r="E35268" s="38" t="s">
        <v>400</v>
      </c>
      <c r="F35268" s="38" t="s">
        <v>214</v>
      </c>
      <c r="G35268" s="49" t="str">
        <f t="shared" si="1"/>
        <v>39500</v>
      </c>
      <c r="H35268" s="49">
        <f t="shared" si="2"/>
        <v>39189</v>
      </c>
    </row>
    <row r="35269">
      <c r="A35269" s="48" t="s">
        <v>2993</v>
      </c>
      <c r="B35269" s="38">
        <v>66134.0</v>
      </c>
      <c r="C35269" s="38" t="s">
        <v>39421</v>
      </c>
      <c r="D35269" s="38" t="str">
        <f>IFERROR(__xludf.DUMMYFUNCTION("REGEXREPLACE(C35269,""-\d+(.*)|--\d+(.*)"","""")"),"PASSA")</f>
        <v>PASSA</v>
      </c>
      <c r="E35269" s="38" t="s">
        <v>248</v>
      </c>
      <c r="F35269" s="38" t="s">
        <v>119</v>
      </c>
      <c r="G35269" s="49" t="str">
        <f t="shared" si="1"/>
        <v>66300</v>
      </c>
      <c r="H35269" s="49">
        <f t="shared" si="2"/>
        <v>66134</v>
      </c>
    </row>
    <row r="35270">
      <c r="A35270" s="48" t="s">
        <v>20783</v>
      </c>
      <c r="B35270" s="38">
        <v>62390.0</v>
      </c>
      <c r="C35270" s="38" t="s">
        <v>39422</v>
      </c>
      <c r="D35270" s="38" t="str">
        <f>IFERROR(__xludf.DUMMYFUNCTION("REGEXREPLACE(C35270,""-\d+(.*)|--\d+(.*)"","""")"),"GROFFLIERS")</f>
        <v>GROFFLIERS</v>
      </c>
      <c r="E35270" s="38" t="s">
        <v>109</v>
      </c>
      <c r="F35270" s="38" t="s">
        <v>86</v>
      </c>
      <c r="G35270" s="49" t="str">
        <f t="shared" si="1"/>
        <v>62600</v>
      </c>
      <c r="H35270" s="49">
        <f t="shared" si="2"/>
        <v>62390</v>
      </c>
    </row>
    <row r="35271">
      <c r="A35271" s="48" t="s">
        <v>4071</v>
      </c>
      <c r="B35271" s="38">
        <v>66164.0</v>
      </c>
      <c r="C35271" s="38" t="s">
        <v>39423</v>
      </c>
      <c r="D35271" s="38" t="str">
        <f>IFERROR(__xludf.DUMMYFUNCTION("REGEXREPLACE(C35271,""-\d+(.*)|--\d+(.*)"","""")"),"RIVESALTES")</f>
        <v>RIVESALTES</v>
      </c>
      <c r="E35271" s="38" t="s">
        <v>248</v>
      </c>
      <c r="F35271" s="38" t="s">
        <v>119</v>
      </c>
      <c r="G35271" s="49" t="str">
        <f t="shared" si="1"/>
        <v>66600</v>
      </c>
      <c r="H35271" s="49">
        <f t="shared" si="2"/>
        <v>66164</v>
      </c>
    </row>
    <row r="35272">
      <c r="A35272" s="48" t="s">
        <v>9600</v>
      </c>
      <c r="B35272" s="38">
        <v>7201.0</v>
      </c>
      <c r="C35272" s="38" t="s">
        <v>39424</v>
      </c>
      <c r="D35272" s="38" t="str">
        <f>IFERROR(__xludf.DUMMYFUNCTION("REGEXREPLACE(C35272,""-\d+(.*)|--\d+(.*)"","""")"),"RUOMS")</f>
        <v>RUOMS</v>
      </c>
      <c r="E35272" s="38" t="s">
        <v>144</v>
      </c>
      <c r="F35272" s="38" t="s">
        <v>102</v>
      </c>
      <c r="G35272" s="49" t="str">
        <f t="shared" si="1"/>
        <v>07120</v>
      </c>
      <c r="H35272" s="49" t="str">
        <f t="shared" si="2"/>
        <v>07201</v>
      </c>
    </row>
    <row r="35273">
      <c r="A35273" s="48" t="s">
        <v>2558</v>
      </c>
      <c r="B35273" s="38">
        <v>16013.0</v>
      </c>
      <c r="C35273" s="38" t="s">
        <v>39425</v>
      </c>
      <c r="D35273" s="38" t="str">
        <f>IFERROR(__xludf.DUMMYFUNCTION("REGEXREPLACE(C35273,""-\d+(.*)|--\d+(.*)"","""")"),"ANGEAC-CHARENTE")</f>
        <v>ANGEAC-CHARENTE</v>
      </c>
      <c r="E35273" s="38" t="s">
        <v>429</v>
      </c>
      <c r="F35273" s="38" t="s">
        <v>338</v>
      </c>
      <c r="G35273" s="49" t="str">
        <f t="shared" si="1"/>
        <v>16120</v>
      </c>
      <c r="H35273" s="49">
        <f t="shared" si="2"/>
        <v>16013</v>
      </c>
    </row>
    <row r="35274">
      <c r="A35274" s="48" t="s">
        <v>24783</v>
      </c>
      <c r="B35274" s="38">
        <v>44057.0</v>
      </c>
      <c r="C35274" s="38" t="s">
        <v>39426</v>
      </c>
      <c r="D35274" s="38" t="str">
        <f>IFERROR(__xludf.DUMMYFUNCTION("REGEXREPLACE(C35274,""-\d+(.*)|--\d+(.*)"","""")"),"FEGREAC")</f>
        <v>FEGREAC</v>
      </c>
      <c r="E35274" s="38" t="s">
        <v>759</v>
      </c>
      <c r="F35274" s="38" t="s">
        <v>180</v>
      </c>
      <c r="G35274" s="49" t="str">
        <f t="shared" si="1"/>
        <v>44460</v>
      </c>
      <c r="H35274" s="49">
        <f t="shared" si="2"/>
        <v>44057</v>
      </c>
    </row>
    <row r="35275">
      <c r="A35275" s="48" t="s">
        <v>9021</v>
      </c>
      <c r="B35275" s="38">
        <v>88296.0</v>
      </c>
      <c r="C35275" s="38" t="s">
        <v>39427</v>
      </c>
      <c r="D35275" s="38" t="str">
        <f>IFERROR(__xludf.DUMMYFUNCTION("REGEXREPLACE(C35275,""-\d+(.*)|--\d+(.*)"","""")"),"MEDONVILLE")</f>
        <v>MEDONVILLE</v>
      </c>
      <c r="E35275" s="38" t="s">
        <v>194</v>
      </c>
      <c r="F35275" s="38" t="s">
        <v>195</v>
      </c>
      <c r="G35275" s="49" t="str">
        <f t="shared" si="1"/>
        <v>88140</v>
      </c>
      <c r="H35275" s="49">
        <f t="shared" si="2"/>
        <v>88296</v>
      </c>
    </row>
    <row r="35276">
      <c r="A35276" s="48" t="s">
        <v>2208</v>
      </c>
      <c r="B35276" s="38">
        <v>55400.0</v>
      </c>
      <c r="C35276" s="38" t="s">
        <v>39428</v>
      </c>
      <c r="D35276" s="38" t="str">
        <f>IFERROR(__xludf.DUMMYFUNCTION("REGEXREPLACE(C35276,""-\d+(.*)|--\d+(.*)"","""")"),"PARFONDRUPT")</f>
        <v>PARFONDRUPT</v>
      </c>
      <c r="E35276" s="38" t="s">
        <v>322</v>
      </c>
      <c r="F35276" s="38" t="s">
        <v>195</v>
      </c>
      <c r="G35276" s="49" t="str">
        <f t="shared" si="1"/>
        <v>55400</v>
      </c>
      <c r="H35276" s="49">
        <f t="shared" si="2"/>
        <v>55400</v>
      </c>
    </row>
    <row r="35277">
      <c r="A35277" s="48" t="s">
        <v>10670</v>
      </c>
      <c r="B35277" s="38">
        <v>62386.0</v>
      </c>
      <c r="C35277" s="38" t="s">
        <v>35155</v>
      </c>
      <c r="D35277" s="38" t="str">
        <f>IFERROR(__xludf.DUMMYFUNCTION("REGEXREPLACE(C35277,""-\d+(.*)|--\d+(.*)"","""")"),"GRENAY")</f>
        <v>GRENAY</v>
      </c>
      <c r="E35277" s="38" t="s">
        <v>109</v>
      </c>
      <c r="F35277" s="38" t="s">
        <v>86</v>
      </c>
      <c r="G35277" s="49" t="str">
        <f t="shared" si="1"/>
        <v>62160</v>
      </c>
      <c r="H35277" s="49">
        <f t="shared" si="2"/>
        <v>62386</v>
      </c>
    </row>
    <row r="35278">
      <c r="A35278" s="48" t="s">
        <v>5443</v>
      </c>
      <c r="B35278" s="38">
        <v>76353.0</v>
      </c>
      <c r="C35278" s="38" t="s">
        <v>39429</v>
      </c>
      <c r="D35278" s="38" t="str">
        <f>IFERROR(__xludf.DUMMYFUNCTION("REGEXREPLACE(C35278,""-\d+(.*)|--\d+(.*)"","""")"),"HEBERVILLE")</f>
        <v>HEBERVILLE</v>
      </c>
      <c r="E35278" s="38" t="s">
        <v>133</v>
      </c>
      <c r="F35278" s="38" t="s">
        <v>134</v>
      </c>
      <c r="G35278" s="49" t="str">
        <f t="shared" si="1"/>
        <v>76740</v>
      </c>
      <c r="H35278" s="49">
        <f t="shared" si="2"/>
        <v>76353</v>
      </c>
    </row>
    <row r="35279">
      <c r="A35279" s="48" t="s">
        <v>516</v>
      </c>
      <c r="B35279" s="38">
        <v>53271.0</v>
      </c>
      <c r="C35279" s="38" t="s">
        <v>39430</v>
      </c>
      <c r="D35279" s="38" t="str">
        <f>IFERROR(__xludf.DUMMYFUNCTION("REGEXREPLACE(C35279,""-\d+(.*)|--\d+(.*)"","""")"),"VILLAINES-LA-JUHEL")</f>
        <v>VILLAINES-LA-JUHEL</v>
      </c>
      <c r="E35279" s="38" t="s">
        <v>518</v>
      </c>
      <c r="F35279" s="38" t="s">
        <v>180</v>
      </c>
      <c r="G35279" s="49" t="str">
        <f t="shared" si="1"/>
        <v>53700</v>
      </c>
      <c r="H35279" s="49">
        <f t="shared" si="2"/>
        <v>53271</v>
      </c>
    </row>
    <row r="35280">
      <c r="A35280" s="48" t="s">
        <v>7813</v>
      </c>
      <c r="B35280" s="38">
        <v>35267.0</v>
      </c>
      <c r="C35280" s="38" t="s">
        <v>39431</v>
      </c>
      <c r="D35280" s="38" t="str">
        <f>IFERROR(__xludf.DUMMYFUNCTION("REGEXREPLACE(C35280,""-\d+(.*)|--\d+(.*)"","""")"),"SAINT-ETIENNE-EN-COGLES")</f>
        <v>SAINT-ETIENNE-EN-COGLES</v>
      </c>
      <c r="E35280" s="38" t="s">
        <v>347</v>
      </c>
      <c r="F35280" s="38" t="s">
        <v>90</v>
      </c>
      <c r="G35280" s="49" t="str">
        <f t="shared" si="1"/>
        <v>35460</v>
      </c>
      <c r="H35280" s="49">
        <f t="shared" si="2"/>
        <v>35267</v>
      </c>
    </row>
    <row r="35281">
      <c r="A35281" s="48" t="s">
        <v>13265</v>
      </c>
      <c r="B35281" s="38">
        <v>77094.0</v>
      </c>
      <c r="C35281" s="38" t="s">
        <v>39432</v>
      </c>
      <c r="D35281" s="38" t="str">
        <f>IFERROR(__xludf.DUMMYFUNCTION("REGEXREPLACE(C35281,""-\d+(.*)|--\d+(.*)"","""")"),"CHARMENTRAY")</f>
        <v>CHARMENTRAY</v>
      </c>
      <c r="E35281" s="38" t="s">
        <v>244</v>
      </c>
      <c r="F35281" s="38" t="s">
        <v>245</v>
      </c>
      <c r="G35281" s="49" t="str">
        <f t="shared" si="1"/>
        <v>77410</v>
      </c>
      <c r="H35281" s="49">
        <f t="shared" si="2"/>
        <v>77094</v>
      </c>
    </row>
    <row r="35282">
      <c r="A35282" s="48" t="s">
        <v>16436</v>
      </c>
      <c r="B35282" s="38">
        <v>11150.0</v>
      </c>
      <c r="C35282" s="38" t="s">
        <v>39433</v>
      </c>
      <c r="D35282" s="38" t="str">
        <f>IFERROR(__xludf.DUMMYFUNCTION("REGEXREPLACE(C35282,""-\d+(.*)|--\d+(.*)"","""")"),"FONTIERS-CABARDES")</f>
        <v>FONTIERS-CABARDES</v>
      </c>
      <c r="E35282" s="38" t="s">
        <v>278</v>
      </c>
      <c r="F35282" s="38" t="s">
        <v>119</v>
      </c>
      <c r="G35282" s="49" t="str">
        <f t="shared" si="1"/>
        <v>11390</v>
      </c>
      <c r="H35282" s="49">
        <f t="shared" si="2"/>
        <v>11150</v>
      </c>
    </row>
    <row r="35283">
      <c r="A35283" s="48" t="s">
        <v>1012</v>
      </c>
      <c r="B35283" s="38">
        <v>21380.0</v>
      </c>
      <c r="C35283" s="38" t="s">
        <v>39434</v>
      </c>
      <c r="D35283" s="38" t="str">
        <f>IFERROR(__xludf.DUMMYFUNCTION("REGEXREPLACE(C35283,""-\d+(.*)|--\d+(.*)"","""")"),"MARCIGNY-SOUS-THIL")</f>
        <v>MARCIGNY-SOUS-THIL</v>
      </c>
      <c r="E35283" s="38" t="s">
        <v>105</v>
      </c>
      <c r="F35283" s="38" t="s">
        <v>106</v>
      </c>
      <c r="G35283" s="49" t="str">
        <f t="shared" si="1"/>
        <v>21390</v>
      </c>
      <c r="H35283" s="49">
        <f t="shared" si="2"/>
        <v>21380</v>
      </c>
    </row>
    <row r="35284">
      <c r="A35284" s="48" t="s">
        <v>942</v>
      </c>
      <c r="B35284" s="38">
        <v>2064.0</v>
      </c>
      <c r="C35284" s="38" t="s">
        <v>39435</v>
      </c>
      <c r="D35284" s="38" t="str">
        <f>IFERROR(__xludf.DUMMYFUNCTION("REGEXREPLACE(C35284,""-\d+(.*)|--\d+(.*)"","""")"),"BELLEU")</f>
        <v>BELLEU</v>
      </c>
      <c r="E35284" s="38" t="s">
        <v>191</v>
      </c>
      <c r="F35284" s="38" t="s">
        <v>113</v>
      </c>
      <c r="G35284" s="49" t="str">
        <f t="shared" si="1"/>
        <v>02200</v>
      </c>
      <c r="H35284" s="49" t="str">
        <f t="shared" si="2"/>
        <v>02064</v>
      </c>
    </row>
    <row r="35285">
      <c r="A35285" s="48" t="s">
        <v>3523</v>
      </c>
      <c r="B35285" s="38">
        <v>31287.0</v>
      </c>
      <c r="C35285" s="38" t="s">
        <v>39436</v>
      </c>
      <c r="D35285" s="38" t="str">
        <f>IFERROR(__xludf.DUMMYFUNCTION("REGEXREPLACE(C35285,""-\d+(.*)|--\d+(.*)"","""")"),"LAVERNOSE-LACASSE")</f>
        <v>LAVERNOSE-LACASSE</v>
      </c>
      <c r="E35285" s="38" t="s">
        <v>93</v>
      </c>
      <c r="F35285" s="38" t="s">
        <v>94</v>
      </c>
      <c r="G35285" s="49" t="str">
        <f t="shared" si="1"/>
        <v>31410</v>
      </c>
      <c r="H35285" s="49">
        <f t="shared" si="2"/>
        <v>31287</v>
      </c>
    </row>
    <row r="35286">
      <c r="A35286" s="48" t="s">
        <v>2268</v>
      </c>
      <c r="B35286" s="38">
        <v>55527.0</v>
      </c>
      <c r="C35286" s="38" t="s">
        <v>39437</v>
      </c>
      <c r="D35286" s="38" t="str">
        <f>IFERROR(__xludf.DUMMYFUNCTION("REGEXREPLACE(C35286,""-\d+(.*)|--\d+(.*)"","""")"),"VARENNES-EN-ARGONNE")</f>
        <v>VARENNES-EN-ARGONNE</v>
      </c>
      <c r="E35286" s="38" t="s">
        <v>322</v>
      </c>
      <c r="F35286" s="38" t="s">
        <v>195</v>
      </c>
      <c r="G35286" s="49" t="str">
        <f t="shared" si="1"/>
        <v>55270</v>
      </c>
      <c r="H35286" s="49">
        <f t="shared" si="2"/>
        <v>55527</v>
      </c>
    </row>
    <row r="35287">
      <c r="A35287" s="48" t="s">
        <v>1766</v>
      </c>
      <c r="B35287" s="38">
        <v>2616.0</v>
      </c>
      <c r="C35287" s="38" t="s">
        <v>39438</v>
      </c>
      <c r="D35287" s="38" t="str">
        <f>IFERROR(__xludf.DUMMYFUNCTION("REGEXREPLACE(C35287,""-\d+(.*)|--\d+(.*)"","""")"),"PONT-SAINT-MARD")</f>
        <v>PONT-SAINT-MARD</v>
      </c>
      <c r="E35287" s="38" t="s">
        <v>191</v>
      </c>
      <c r="F35287" s="38" t="s">
        <v>113</v>
      </c>
      <c r="G35287" s="49" t="str">
        <f t="shared" si="1"/>
        <v>02380</v>
      </c>
      <c r="H35287" s="49" t="str">
        <f t="shared" si="2"/>
        <v>02616</v>
      </c>
    </row>
    <row r="35288">
      <c r="A35288" s="48" t="s">
        <v>1044</v>
      </c>
      <c r="B35288" s="38">
        <v>63076.0</v>
      </c>
      <c r="C35288" s="38" t="s">
        <v>39439</v>
      </c>
      <c r="D35288" s="38" t="str">
        <f>IFERROR(__xludf.DUMMYFUNCTION("REGEXREPLACE(C35288,""-\d+(.*)|--\d+(.*)"","""")"),"CHAMBON-SUR-DOLORE")</f>
        <v>CHAMBON-SUR-DOLORE</v>
      </c>
      <c r="E35288" s="38" t="s">
        <v>353</v>
      </c>
      <c r="F35288" s="38" t="s">
        <v>161</v>
      </c>
      <c r="G35288" s="49" t="str">
        <f t="shared" si="1"/>
        <v>63980</v>
      </c>
      <c r="H35288" s="49">
        <f t="shared" si="2"/>
        <v>63076</v>
      </c>
    </row>
    <row r="35289">
      <c r="A35289" s="48" t="s">
        <v>27786</v>
      </c>
      <c r="B35289" s="38">
        <v>33519.0</v>
      </c>
      <c r="C35289" s="38" t="s">
        <v>39440</v>
      </c>
      <c r="D35289" s="38" t="str">
        <f>IFERROR(__xludf.DUMMYFUNCTION("REGEXREPLACE(C35289,""-\d+(.*)|--\d+(.*)"","""")"),"LE TAILLAN-MEDOC")</f>
        <v>LE TAILLAN-MEDOC</v>
      </c>
      <c r="E35289" s="38" t="s">
        <v>462</v>
      </c>
      <c r="F35289" s="38" t="s">
        <v>252</v>
      </c>
      <c r="G35289" s="49" t="str">
        <f t="shared" si="1"/>
        <v>33320</v>
      </c>
      <c r="H35289" s="49">
        <f t="shared" si="2"/>
        <v>33519</v>
      </c>
    </row>
    <row r="35290">
      <c r="A35290" s="48" t="s">
        <v>2575</v>
      </c>
      <c r="B35290" s="38">
        <v>91374.0</v>
      </c>
      <c r="C35290" s="38" t="s">
        <v>39441</v>
      </c>
      <c r="D35290" s="38" t="str">
        <f>IFERROR(__xludf.DUMMYFUNCTION("REGEXREPLACE(C35290,""-\d+(.*)|--\d+(.*)"","""")"),"MAROLLES-EN-BEAUCE")</f>
        <v>MAROLLES-EN-BEAUCE</v>
      </c>
      <c r="E35290" s="38" t="s">
        <v>756</v>
      </c>
      <c r="F35290" s="38" t="s">
        <v>245</v>
      </c>
      <c r="G35290" s="49" t="str">
        <f t="shared" si="1"/>
        <v>91150</v>
      </c>
      <c r="H35290" s="49">
        <f t="shared" si="2"/>
        <v>91374</v>
      </c>
    </row>
    <row r="35291">
      <c r="A35291" s="48" t="s">
        <v>1022</v>
      </c>
      <c r="B35291" s="38">
        <v>2832.0</v>
      </c>
      <c r="C35291" s="38" t="s">
        <v>39442</v>
      </c>
      <c r="D35291" s="38" t="str">
        <f>IFERROR(__xludf.DUMMYFUNCTION("REGEXREPLACE(C35291,""-\d+(.*)|--\d+(.*)"","""")"),"WIEGE-FATY")</f>
        <v>WIEGE-FATY</v>
      </c>
      <c r="E35291" s="38" t="s">
        <v>191</v>
      </c>
      <c r="F35291" s="38" t="s">
        <v>113</v>
      </c>
      <c r="G35291" s="49" t="str">
        <f t="shared" si="1"/>
        <v>02120</v>
      </c>
      <c r="H35291" s="49" t="str">
        <f t="shared" si="2"/>
        <v>02832</v>
      </c>
    </row>
    <row r="35292">
      <c r="A35292" s="48" t="s">
        <v>5616</v>
      </c>
      <c r="B35292" s="38">
        <v>71407.0</v>
      </c>
      <c r="C35292" s="38" t="s">
        <v>39443</v>
      </c>
      <c r="D35292" s="38" t="str">
        <f>IFERROR(__xludf.DUMMYFUNCTION("REGEXREPLACE(C35292,""-\d+(.*)|--\d+(.*)"","""")"),"SAINT-DIDIER-SUR-ARROUX")</f>
        <v>SAINT-DIDIER-SUR-ARROUX</v>
      </c>
      <c r="E35292" s="38" t="s">
        <v>344</v>
      </c>
      <c r="F35292" s="38" t="s">
        <v>106</v>
      </c>
      <c r="G35292" s="49" t="str">
        <f t="shared" si="1"/>
        <v>71190</v>
      </c>
      <c r="H35292" s="49">
        <f t="shared" si="2"/>
        <v>71407</v>
      </c>
    </row>
    <row r="35293">
      <c r="A35293" s="48" t="s">
        <v>6338</v>
      </c>
      <c r="B35293" s="38">
        <v>79164.0</v>
      </c>
      <c r="C35293" s="38" t="s">
        <v>39444</v>
      </c>
      <c r="D35293" s="38" t="str">
        <f>IFERROR(__xludf.DUMMYFUNCTION("REGEXREPLACE(C35293,""-\d+(.*)|--\d+(.*)"","""")"),"MAISONNAY")</f>
        <v>MAISONNAY</v>
      </c>
      <c r="E35293" s="38" t="s">
        <v>337</v>
      </c>
      <c r="F35293" s="38" t="s">
        <v>338</v>
      </c>
      <c r="G35293" s="49" t="str">
        <f t="shared" si="1"/>
        <v>79500</v>
      </c>
      <c r="H35293" s="49">
        <f t="shared" si="2"/>
        <v>79164</v>
      </c>
    </row>
    <row r="35294">
      <c r="A35294" s="48" t="s">
        <v>5212</v>
      </c>
      <c r="B35294" s="38">
        <v>41020.0</v>
      </c>
      <c r="C35294" s="38" t="s">
        <v>39445</v>
      </c>
      <c r="D35294" s="38" t="str">
        <f>IFERROR(__xludf.DUMMYFUNCTION("REGEXREPLACE(C35294,""-\d+(.*)|--\d+(.*)"","""")"),"BONNEVEAU")</f>
        <v>BONNEVEAU</v>
      </c>
      <c r="E35294" s="38" t="s">
        <v>188</v>
      </c>
      <c r="F35294" s="38" t="s">
        <v>123</v>
      </c>
      <c r="G35294" s="49" t="str">
        <f t="shared" si="1"/>
        <v>41800</v>
      </c>
      <c r="H35294" s="49">
        <f t="shared" si="2"/>
        <v>41020</v>
      </c>
    </row>
    <row r="35295">
      <c r="A35295" s="48" t="s">
        <v>2995</v>
      </c>
      <c r="B35295" s="38">
        <v>28139.0</v>
      </c>
      <c r="C35295" s="38" t="s">
        <v>39446</v>
      </c>
      <c r="D35295" s="38" t="str">
        <f>IFERROR(__xludf.DUMMYFUNCTION("REGEXREPLACE(C35295,""-\d+(.*)|--\d+(.*)"","""")"),"EPEAUTROLLES")</f>
        <v>EPEAUTROLLES</v>
      </c>
      <c r="E35295" s="38" t="s">
        <v>300</v>
      </c>
      <c r="F35295" s="38" t="s">
        <v>123</v>
      </c>
      <c r="G35295" s="49" t="str">
        <f t="shared" si="1"/>
        <v>28120</v>
      </c>
      <c r="H35295" s="49">
        <f t="shared" si="2"/>
        <v>28139</v>
      </c>
    </row>
    <row r="35296">
      <c r="A35296" s="48" t="s">
        <v>1300</v>
      </c>
      <c r="B35296" s="38">
        <v>60515.0</v>
      </c>
      <c r="C35296" s="38" t="s">
        <v>39447</v>
      </c>
      <c r="D35296" s="38" t="str">
        <f>IFERROR(__xludf.DUMMYFUNCTION("REGEXREPLACE(C35296,""-\d+(.*)|--\d+(.*)"","""")"),"PRONLEROY")</f>
        <v>PRONLEROY</v>
      </c>
      <c r="E35296" s="38" t="s">
        <v>112</v>
      </c>
      <c r="F35296" s="38" t="s">
        <v>113</v>
      </c>
      <c r="G35296" s="49" t="str">
        <f t="shared" si="1"/>
        <v>60190</v>
      </c>
      <c r="H35296" s="49">
        <f t="shared" si="2"/>
        <v>60515</v>
      </c>
    </row>
    <row r="35297">
      <c r="A35297" s="48" t="s">
        <v>608</v>
      </c>
      <c r="B35297" s="38">
        <v>74301.0</v>
      </c>
      <c r="C35297" s="38" t="s">
        <v>38104</v>
      </c>
      <c r="D35297" s="38" t="str">
        <f>IFERROR(__xludf.DUMMYFUNCTION("REGEXREPLACE(C35297,""-\d+(.*)|--\d+(.*)"","""")"),"VILLARD")</f>
        <v>VILLARD</v>
      </c>
      <c r="E35297" s="38" t="s">
        <v>319</v>
      </c>
      <c r="F35297" s="38" t="s">
        <v>102</v>
      </c>
      <c r="G35297" s="49" t="str">
        <f t="shared" si="1"/>
        <v>74420</v>
      </c>
      <c r="H35297" s="49">
        <f t="shared" si="2"/>
        <v>74301</v>
      </c>
    </row>
    <row r="35298">
      <c r="A35298" s="48" t="s">
        <v>28001</v>
      </c>
      <c r="B35298" s="38">
        <v>43020.0</v>
      </c>
      <c r="C35298" s="38" t="s">
        <v>39448</v>
      </c>
      <c r="D35298" s="38" t="str">
        <f>IFERROR(__xludf.DUMMYFUNCTION("REGEXREPLACE(C35298,""-\d+(.*)|--\d+(.*)"","""")"),"BAS-EN-BASSET")</f>
        <v>BAS-EN-BASSET</v>
      </c>
      <c r="E35298" s="38" t="s">
        <v>332</v>
      </c>
      <c r="F35298" s="38" t="s">
        <v>161</v>
      </c>
      <c r="G35298" s="49" t="str">
        <f t="shared" si="1"/>
        <v>43210</v>
      </c>
      <c r="H35298" s="49">
        <f t="shared" si="2"/>
        <v>43020</v>
      </c>
    </row>
    <row r="35299">
      <c r="A35299" s="48" t="s">
        <v>31882</v>
      </c>
      <c r="B35299" s="38">
        <v>76616.0</v>
      </c>
      <c r="C35299" s="38" t="s">
        <v>39449</v>
      </c>
      <c r="D35299" s="38" t="str">
        <f>IFERROR(__xludf.DUMMYFUNCTION("REGEXREPLACE(C35299,""-\d+(.*)|--\d+(.*)"","""")"),"SAINT-MARTIN-DU-MANOIR")</f>
        <v>SAINT-MARTIN-DU-MANOIR</v>
      </c>
      <c r="E35299" s="38" t="s">
        <v>133</v>
      </c>
      <c r="F35299" s="38" t="s">
        <v>134</v>
      </c>
      <c r="G35299" s="49" t="str">
        <f t="shared" si="1"/>
        <v>76290</v>
      </c>
      <c r="H35299" s="49">
        <f t="shared" si="2"/>
        <v>76616</v>
      </c>
    </row>
    <row r="35300">
      <c r="A35300" s="48" t="s">
        <v>5772</v>
      </c>
      <c r="B35300" s="38">
        <v>43264.0</v>
      </c>
      <c r="C35300" s="38" t="s">
        <v>39450</v>
      </c>
      <c r="D35300" s="38" t="str">
        <f>IFERROR(__xludf.DUMMYFUNCTION("REGEXREPLACE(C35300,""-\d+(.*)|--\d+(.*)"","""")"),"VILLENEUVE-D'ALLIER")</f>
        <v>VILLENEUVE-D'ALLIER</v>
      </c>
      <c r="E35300" s="38" t="s">
        <v>332</v>
      </c>
      <c r="F35300" s="38" t="s">
        <v>161</v>
      </c>
      <c r="G35300" s="49" t="str">
        <f t="shared" si="1"/>
        <v>43380</v>
      </c>
      <c r="H35300" s="49">
        <f t="shared" si="2"/>
        <v>43264</v>
      </c>
    </row>
    <row r="35301">
      <c r="A35301" s="48" t="s">
        <v>7532</v>
      </c>
      <c r="B35301" s="38">
        <v>37231.0</v>
      </c>
      <c r="C35301" s="38" t="s">
        <v>39451</v>
      </c>
      <c r="D35301" s="38" t="str">
        <f>IFERROR(__xludf.DUMMYFUNCTION("REGEXREPLACE(C35301,""-\d+(.*)|--\d+(.*)"","""")"),"SAINT-PATERNE-RACAN")</f>
        <v>SAINT-PATERNE-RACAN</v>
      </c>
      <c r="E35301" s="38" t="s">
        <v>205</v>
      </c>
      <c r="F35301" s="38" t="s">
        <v>123</v>
      </c>
      <c r="G35301" s="49" t="str">
        <f t="shared" si="1"/>
        <v>37370</v>
      </c>
      <c r="H35301" s="49">
        <f t="shared" si="2"/>
        <v>37231</v>
      </c>
    </row>
    <row r="35302">
      <c r="A35302" s="48" t="s">
        <v>13012</v>
      </c>
      <c r="B35302" s="38">
        <v>68269.0</v>
      </c>
      <c r="C35302" s="38" t="s">
        <v>4480</v>
      </c>
      <c r="D35302" s="38" t="str">
        <f>IFERROR(__xludf.DUMMYFUNCTION("REGEXREPLACE(C35302,""-\d+(.*)|--\d+(.*)"","""")"),"RIBEAUVILLE")</f>
        <v>RIBEAUVILLE</v>
      </c>
      <c r="E35302" s="38" t="s">
        <v>150</v>
      </c>
      <c r="F35302" s="38" t="s">
        <v>151</v>
      </c>
      <c r="G35302" s="49" t="str">
        <f t="shared" si="1"/>
        <v>68150</v>
      </c>
      <c r="H35302" s="49">
        <f t="shared" si="2"/>
        <v>68269</v>
      </c>
    </row>
    <row r="35303">
      <c r="A35303" s="48" t="s">
        <v>3039</v>
      </c>
      <c r="B35303" s="38">
        <v>76341.0</v>
      </c>
      <c r="C35303" s="38" t="s">
        <v>39452</v>
      </c>
      <c r="D35303" s="38" t="str">
        <f>IFERROR(__xludf.DUMMYFUNCTION("REGEXREPLACE(C35303,""-\d+(.*)|--\d+(.*)"","""")"),"HARFLEUR")</f>
        <v>HARFLEUR</v>
      </c>
      <c r="E35303" s="38" t="s">
        <v>133</v>
      </c>
      <c r="F35303" s="38" t="s">
        <v>134</v>
      </c>
      <c r="G35303" s="49" t="str">
        <f t="shared" si="1"/>
        <v>76700</v>
      </c>
      <c r="H35303" s="49">
        <f t="shared" si="2"/>
        <v>76341</v>
      </c>
    </row>
    <row r="35304">
      <c r="A35304" s="48" t="s">
        <v>6566</v>
      </c>
      <c r="B35304" s="38">
        <v>49185.0</v>
      </c>
      <c r="C35304" s="38" t="s">
        <v>39453</v>
      </c>
      <c r="D35304" s="38" t="str">
        <f>IFERROR(__xludf.DUMMYFUNCTION("REGEXREPLACE(C35304,""-\d+(.*)|--\d+(.*)"","""")"),"LUE-EN-BAUGEOIS")</f>
        <v>LUE-EN-BAUGEOIS</v>
      </c>
      <c r="E35304" s="38" t="s">
        <v>653</v>
      </c>
      <c r="F35304" s="38" t="s">
        <v>180</v>
      </c>
      <c r="G35304" s="49" t="str">
        <f t="shared" si="1"/>
        <v>49140</v>
      </c>
      <c r="H35304" s="49">
        <f t="shared" si="2"/>
        <v>49185</v>
      </c>
    </row>
    <row r="35305">
      <c r="A35305" s="48" t="s">
        <v>2261</v>
      </c>
      <c r="B35305" s="38">
        <v>9188.0</v>
      </c>
      <c r="C35305" s="38" t="s">
        <v>39454</v>
      </c>
      <c r="D35305" s="38" t="str">
        <f>IFERROR(__xludf.DUMMYFUNCTION("REGEXREPLACE(C35305,""-\d+(.*)|--\d+(.*)"","""")"),"MERCUS-GARRABET")</f>
        <v>MERCUS-GARRABET</v>
      </c>
      <c r="E35305" s="38" t="s">
        <v>238</v>
      </c>
      <c r="F35305" s="38" t="s">
        <v>94</v>
      </c>
      <c r="G35305" s="49" t="str">
        <f t="shared" si="1"/>
        <v>09400</v>
      </c>
      <c r="H35305" s="49" t="str">
        <f t="shared" si="2"/>
        <v>09188</v>
      </c>
    </row>
    <row r="35306">
      <c r="A35306" s="48" t="s">
        <v>8545</v>
      </c>
      <c r="B35306" s="38">
        <v>95150.0</v>
      </c>
      <c r="C35306" s="38" t="s">
        <v>4485</v>
      </c>
      <c r="D35306" s="38" t="str">
        <f>IFERROR(__xludf.DUMMYFUNCTION("REGEXREPLACE(C35306,""-\d+(.*)|--\d+(.*)"","""")"),"CHAUSSY")</f>
        <v>CHAUSSY</v>
      </c>
      <c r="E35306" s="38" t="s">
        <v>541</v>
      </c>
      <c r="F35306" s="38" t="s">
        <v>245</v>
      </c>
      <c r="G35306" s="49" t="str">
        <f t="shared" si="1"/>
        <v>95710</v>
      </c>
      <c r="H35306" s="49">
        <f t="shared" si="2"/>
        <v>95150</v>
      </c>
    </row>
    <row r="35307">
      <c r="A35307" s="48" t="s">
        <v>8097</v>
      </c>
      <c r="B35307" s="38">
        <v>85150.0</v>
      </c>
      <c r="C35307" s="38" t="s">
        <v>39455</v>
      </c>
      <c r="D35307" s="38" t="str">
        <f>IFERROR(__xludf.DUMMYFUNCTION("REGEXREPLACE(C35307,""-\d+(.*)|--\d+(.*)"","""")"),"MORMAISON")</f>
        <v>MORMAISON</v>
      </c>
      <c r="E35307" s="38" t="s">
        <v>179</v>
      </c>
      <c r="F35307" s="38" t="s">
        <v>180</v>
      </c>
      <c r="G35307" s="49" t="str">
        <f t="shared" si="1"/>
        <v>85260</v>
      </c>
      <c r="H35307" s="49">
        <f t="shared" si="2"/>
        <v>85150</v>
      </c>
    </row>
    <row r="35308">
      <c r="A35308" s="48" t="s">
        <v>8865</v>
      </c>
      <c r="B35308" s="38">
        <v>42139.0</v>
      </c>
      <c r="C35308" s="38" t="s">
        <v>39456</v>
      </c>
      <c r="D35308" s="38" t="str">
        <f>IFERROR(__xludf.DUMMYFUNCTION("REGEXREPLACE(C35308,""-\d+(.*)|--\d+(.*)"","""")"),"MARLHES")</f>
        <v>MARLHES</v>
      </c>
      <c r="E35308" s="38" t="s">
        <v>166</v>
      </c>
      <c r="F35308" s="38" t="s">
        <v>102</v>
      </c>
      <c r="G35308" s="49" t="str">
        <f t="shared" si="1"/>
        <v>42660</v>
      </c>
      <c r="H35308" s="49">
        <f t="shared" si="2"/>
        <v>42139</v>
      </c>
    </row>
    <row r="35309">
      <c r="A35309" s="48" t="s">
        <v>39457</v>
      </c>
      <c r="B35309" s="38" t="s">
        <v>39458</v>
      </c>
      <c r="C35309" s="38" t="s">
        <v>39459</v>
      </c>
      <c r="D35309" s="38" t="str">
        <f>IFERROR(__xludf.DUMMYFUNCTION("REGEXREPLACE(C35309,""-\d+(.*)|--\d+(.*)"","""")"),"MONACIA-D'AULLENE")</f>
        <v>MONACIA-D'AULLENE</v>
      </c>
      <c r="E35309" s="38" t="s">
        <v>606</v>
      </c>
      <c r="F35309" s="38" t="s">
        <v>607</v>
      </c>
      <c r="G35309" s="49" t="str">
        <f t="shared" si="1"/>
        <v>20171</v>
      </c>
      <c r="H35309" s="49" t="str">
        <f t="shared" si="2"/>
        <v>2A163</v>
      </c>
    </row>
    <row r="35310">
      <c r="A35310" s="48" t="s">
        <v>966</v>
      </c>
      <c r="B35310" s="38">
        <v>70374.0</v>
      </c>
      <c r="C35310" s="38" t="s">
        <v>39460</v>
      </c>
      <c r="D35310" s="38" t="str">
        <f>IFERROR(__xludf.DUMMYFUNCTION("REGEXREPLACE(C35310,""-\d+(.*)|--\d+(.*)"","""")"),"MOTEY-BESUCHE")</f>
        <v>MOTEY-BESUCHE</v>
      </c>
      <c r="E35310" s="38" t="s">
        <v>956</v>
      </c>
      <c r="F35310" s="38" t="s">
        <v>214</v>
      </c>
      <c r="G35310" s="49" t="str">
        <f t="shared" si="1"/>
        <v>70140</v>
      </c>
      <c r="H35310" s="49">
        <f t="shared" si="2"/>
        <v>70374</v>
      </c>
    </row>
    <row r="35311">
      <c r="A35311" s="48" t="s">
        <v>15412</v>
      </c>
      <c r="B35311" s="38">
        <v>59586.0</v>
      </c>
      <c r="C35311" s="38" t="s">
        <v>39461</v>
      </c>
      <c r="D35311" s="38" t="str">
        <f>IFERROR(__xludf.DUMMYFUNCTION("REGEXREPLACE(C35311,""-\d+(.*)|--\d+(.*)"","""")"),"TEMPLEUVE")</f>
        <v>TEMPLEUVE</v>
      </c>
      <c r="E35311" s="38" t="s">
        <v>85</v>
      </c>
      <c r="F35311" s="38" t="s">
        <v>86</v>
      </c>
      <c r="G35311" s="49" t="str">
        <f t="shared" si="1"/>
        <v>59242</v>
      </c>
      <c r="H35311" s="49">
        <f t="shared" si="2"/>
        <v>59586</v>
      </c>
    </row>
    <row r="35312">
      <c r="A35312" s="48" t="s">
        <v>1570</v>
      </c>
      <c r="B35312" s="38">
        <v>16130.0</v>
      </c>
      <c r="C35312" s="38" t="s">
        <v>23620</v>
      </c>
      <c r="D35312" s="38" t="str">
        <f>IFERROR(__xludf.DUMMYFUNCTION("REGEXREPLACE(C35312,""-\d+(.*)|--\d+(.*)"","""")"),"LES ESSARDS")</f>
        <v>LES ESSARDS</v>
      </c>
      <c r="E35312" s="38" t="s">
        <v>429</v>
      </c>
      <c r="F35312" s="38" t="s">
        <v>338</v>
      </c>
      <c r="G35312" s="49" t="str">
        <f t="shared" si="1"/>
        <v>16210</v>
      </c>
      <c r="H35312" s="49">
        <f t="shared" si="2"/>
        <v>16130</v>
      </c>
    </row>
    <row r="35313">
      <c r="A35313" s="48" t="s">
        <v>3467</v>
      </c>
      <c r="B35313" s="38">
        <v>72228.0</v>
      </c>
      <c r="C35313" s="38" t="s">
        <v>39462</v>
      </c>
      <c r="D35313" s="38" t="str">
        <f>IFERROR(__xludf.DUMMYFUNCTION("REGEXREPLACE(C35313,""-\d+(.*)|--\d+(.*)"","""")"),"PARCE-SUR-SARTHE")</f>
        <v>PARCE-SUR-SARTHE</v>
      </c>
      <c r="E35313" s="38" t="s">
        <v>521</v>
      </c>
      <c r="F35313" s="38" t="s">
        <v>180</v>
      </c>
      <c r="G35313" s="49" t="str">
        <f t="shared" si="1"/>
        <v>72300</v>
      </c>
      <c r="H35313" s="49">
        <f t="shared" si="2"/>
        <v>72228</v>
      </c>
    </row>
    <row r="35314">
      <c r="A35314" s="48" t="s">
        <v>4579</v>
      </c>
      <c r="B35314" s="38">
        <v>81292.0</v>
      </c>
      <c r="C35314" s="38" t="s">
        <v>39463</v>
      </c>
      <c r="D35314" s="38" t="str">
        <f>IFERROR(__xludf.DUMMYFUNCTION("REGEXREPLACE(C35314,""-\d+(.*)|--\d+(.*)"","""")"),"TANUS")</f>
        <v>TANUS</v>
      </c>
      <c r="E35314" s="38" t="s">
        <v>231</v>
      </c>
      <c r="F35314" s="38" t="s">
        <v>94</v>
      </c>
      <c r="G35314" s="49" t="str">
        <f t="shared" si="1"/>
        <v>81190</v>
      </c>
      <c r="H35314" s="49">
        <f t="shared" si="2"/>
        <v>81292</v>
      </c>
    </row>
    <row r="35315">
      <c r="A35315" s="48" t="s">
        <v>2820</v>
      </c>
      <c r="B35315" s="38">
        <v>2527.0</v>
      </c>
      <c r="C35315" s="38" t="s">
        <v>39464</v>
      </c>
      <c r="D35315" s="38" t="str">
        <f>IFERROR(__xludf.DUMMYFUNCTION("REGEXREPLACE(C35315,""-\d+(.*)|--\d+(.*)"","""")"),"MORSAIN")</f>
        <v>MORSAIN</v>
      </c>
      <c r="E35315" s="38" t="s">
        <v>191</v>
      </c>
      <c r="F35315" s="38" t="s">
        <v>113</v>
      </c>
      <c r="G35315" s="49" t="str">
        <f t="shared" si="1"/>
        <v>02290</v>
      </c>
      <c r="H35315" s="49" t="str">
        <f t="shared" si="2"/>
        <v>02527</v>
      </c>
    </row>
    <row r="35316">
      <c r="A35316" s="48" t="s">
        <v>571</v>
      </c>
      <c r="B35316" s="38">
        <v>55502.0</v>
      </c>
      <c r="C35316" s="38" t="s">
        <v>39465</v>
      </c>
      <c r="D35316" s="38" t="str">
        <f>IFERROR(__xludf.DUMMYFUNCTION("REGEXREPLACE(C35316,""-\d+(.*)|--\d+(.*)"","""")"),"STENAY")</f>
        <v>STENAY</v>
      </c>
      <c r="E35316" s="38" t="s">
        <v>322</v>
      </c>
      <c r="F35316" s="38" t="s">
        <v>195</v>
      </c>
      <c r="G35316" s="49" t="str">
        <f t="shared" si="1"/>
        <v>55700</v>
      </c>
      <c r="H35316" s="49">
        <f t="shared" si="2"/>
        <v>55502</v>
      </c>
    </row>
    <row r="35317">
      <c r="A35317" s="48" t="s">
        <v>1695</v>
      </c>
      <c r="B35317" s="38">
        <v>80366.0</v>
      </c>
      <c r="C35317" s="38" t="s">
        <v>39466</v>
      </c>
      <c r="D35317" s="38" t="str">
        <f>IFERROR(__xludf.DUMMYFUNCTION("REGEXREPLACE(C35317,""-\d+(.*)|--\d+(.*)"","""")"),"FRICOURT")</f>
        <v>FRICOURT</v>
      </c>
      <c r="E35317" s="38" t="s">
        <v>224</v>
      </c>
      <c r="F35317" s="38" t="s">
        <v>113</v>
      </c>
      <c r="G35317" s="49" t="str">
        <f t="shared" si="1"/>
        <v>80300</v>
      </c>
      <c r="H35317" s="49">
        <f t="shared" si="2"/>
        <v>80366</v>
      </c>
    </row>
    <row r="35318">
      <c r="A35318" s="48" t="s">
        <v>3122</v>
      </c>
      <c r="B35318" s="38">
        <v>57006.0</v>
      </c>
      <c r="C35318" s="38" t="s">
        <v>39467</v>
      </c>
      <c r="D35318" s="38" t="str">
        <f>IFERROR(__xludf.DUMMYFUNCTION("REGEXREPLACE(C35318,""-\d+(.*)|--\d+(.*)"","""")"),"ACHEN")</f>
        <v>ACHEN</v>
      </c>
      <c r="E35318" s="38" t="s">
        <v>303</v>
      </c>
      <c r="F35318" s="38" t="s">
        <v>195</v>
      </c>
      <c r="G35318" s="49" t="str">
        <f t="shared" si="1"/>
        <v>57412</v>
      </c>
      <c r="H35318" s="49">
        <f t="shared" si="2"/>
        <v>57006</v>
      </c>
    </row>
    <row r="35319">
      <c r="A35319" s="48" t="s">
        <v>16332</v>
      </c>
      <c r="B35319" s="38">
        <v>14117.0</v>
      </c>
      <c r="C35319" s="38" t="s">
        <v>39468</v>
      </c>
      <c r="D35319" s="38" t="str">
        <f>IFERROR(__xludf.DUMMYFUNCTION("REGEXREPLACE(C35319,""-\d+(.*)|--\d+(.*)"","""")"),"CABOURG")</f>
        <v>CABOURG</v>
      </c>
      <c r="E35319" s="38" t="s">
        <v>137</v>
      </c>
      <c r="F35319" s="38" t="s">
        <v>138</v>
      </c>
      <c r="G35319" s="49" t="str">
        <f t="shared" si="1"/>
        <v>14390</v>
      </c>
      <c r="H35319" s="49">
        <f t="shared" si="2"/>
        <v>14117</v>
      </c>
    </row>
    <row r="35320">
      <c r="A35320" s="48" t="s">
        <v>3036</v>
      </c>
      <c r="B35320" s="38">
        <v>61289.0</v>
      </c>
      <c r="C35320" s="38" t="s">
        <v>39469</v>
      </c>
      <c r="D35320" s="38" t="str">
        <f>IFERROR(__xludf.DUMMYFUNCTION("REGEXREPLACE(C35320,""-\d+(.*)|--\d+(.*)"","""")"),"MONT-ORMEL")</f>
        <v>MONT-ORMEL</v>
      </c>
      <c r="E35320" s="38" t="s">
        <v>141</v>
      </c>
      <c r="F35320" s="38" t="s">
        <v>138</v>
      </c>
      <c r="G35320" s="49" t="str">
        <f t="shared" si="1"/>
        <v>61160</v>
      </c>
      <c r="H35320" s="49">
        <f t="shared" si="2"/>
        <v>61289</v>
      </c>
    </row>
    <row r="35321">
      <c r="A35321" s="48" t="s">
        <v>3733</v>
      </c>
      <c r="B35321" s="38">
        <v>78147.0</v>
      </c>
      <c r="C35321" s="38" t="s">
        <v>39470</v>
      </c>
      <c r="D35321" s="38" t="str">
        <f>IFERROR(__xludf.DUMMYFUNCTION("REGEXREPLACE(C35321,""-\d+(.*)|--\d+(.*)"","""")"),"CHAUFOUR-LES-BONNIERES")</f>
        <v>CHAUFOUR-LES-BONNIERES</v>
      </c>
      <c r="E35321" s="38" t="s">
        <v>362</v>
      </c>
      <c r="F35321" s="38" t="s">
        <v>245</v>
      </c>
      <c r="G35321" s="49" t="str">
        <f t="shared" si="1"/>
        <v>78270</v>
      </c>
      <c r="H35321" s="49">
        <f t="shared" si="2"/>
        <v>78147</v>
      </c>
    </row>
    <row r="35322">
      <c r="A35322" s="48" t="s">
        <v>9376</v>
      </c>
      <c r="B35322" s="38">
        <v>14478.0</v>
      </c>
      <c r="C35322" s="38" t="s">
        <v>39471</v>
      </c>
      <c r="D35322" s="38" t="str">
        <f>IFERROR(__xludf.DUMMYFUNCTION("REGEXREPLACE(C35322,""-\d+(.*)|--\d+(.*)"","""")"),"ORBEC")</f>
        <v>ORBEC</v>
      </c>
      <c r="E35322" s="38" t="s">
        <v>137</v>
      </c>
      <c r="F35322" s="38" t="s">
        <v>138</v>
      </c>
      <c r="G35322" s="49" t="str">
        <f t="shared" si="1"/>
        <v>14290</v>
      </c>
      <c r="H35322" s="49">
        <f t="shared" si="2"/>
        <v>14478</v>
      </c>
    </row>
    <row r="35323">
      <c r="A35323" s="48" t="s">
        <v>1511</v>
      </c>
      <c r="B35323" s="38">
        <v>22110.0</v>
      </c>
      <c r="C35323" s="38" t="s">
        <v>39472</v>
      </c>
      <c r="D35323" s="38" t="str">
        <f>IFERROR(__xludf.DUMMYFUNCTION("REGEXREPLACE(C35323,""-\d+(.*)|--\d+(.*)"","""")"),"LANMERIN")</f>
        <v>LANMERIN</v>
      </c>
      <c r="E35323" s="38" t="s">
        <v>89</v>
      </c>
      <c r="F35323" s="38" t="s">
        <v>90</v>
      </c>
      <c r="G35323" s="49" t="str">
        <f t="shared" si="1"/>
        <v>22300</v>
      </c>
      <c r="H35323" s="49">
        <f t="shared" si="2"/>
        <v>22110</v>
      </c>
    </row>
    <row r="35324">
      <c r="A35324" s="48" t="s">
        <v>5281</v>
      </c>
      <c r="B35324" s="38">
        <v>25418.0</v>
      </c>
      <c r="C35324" s="38" t="s">
        <v>39473</v>
      </c>
      <c r="D35324" s="38" t="str">
        <f>IFERROR(__xludf.DUMMYFUNCTION("REGEXREPLACE(C35324,""-\d+(.*)|--\d+(.*)"","""")"),"NANCRAY")</f>
        <v>NANCRAY</v>
      </c>
      <c r="E35324" s="38" t="s">
        <v>213</v>
      </c>
      <c r="F35324" s="38" t="s">
        <v>214</v>
      </c>
      <c r="G35324" s="49" t="str">
        <f t="shared" si="1"/>
        <v>25360</v>
      </c>
      <c r="H35324" s="49">
        <f t="shared" si="2"/>
        <v>25418</v>
      </c>
    </row>
    <row r="35325">
      <c r="A35325" s="48" t="s">
        <v>2296</v>
      </c>
      <c r="B35325" s="38">
        <v>47088.0</v>
      </c>
      <c r="C35325" s="38" t="s">
        <v>39474</v>
      </c>
      <c r="D35325" s="38" t="str">
        <f>IFERROR(__xludf.DUMMYFUNCTION("REGEXREPLACE(C35325,""-\d+(.*)|--\d+(.*)"","""")"),"ESCASSEFORT")</f>
        <v>ESCASSEFORT</v>
      </c>
      <c r="E35325" s="38" t="s">
        <v>251</v>
      </c>
      <c r="F35325" s="38" t="s">
        <v>252</v>
      </c>
      <c r="G35325" s="49" t="str">
        <f t="shared" si="1"/>
        <v>47350</v>
      </c>
      <c r="H35325" s="49">
        <f t="shared" si="2"/>
        <v>47088</v>
      </c>
    </row>
    <row r="35326">
      <c r="A35326" s="48" t="s">
        <v>16852</v>
      </c>
      <c r="B35326" s="38">
        <v>29021.0</v>
      </c>
      <c r="C35326" s="38" t="s">
        <v>39475</v>
      </c>
      <c r="D35326" s="38" t="str">
        <f>IFERROR(__xludf.DUMMYFUNCTION("REGEXREPLACE(C35326,""-\d+(.*)|--\d+(.*)"","""")"),"BRIGNOGAN-PLAGE")</f>
        <v>BRIGNOGAN-PLAGE</v>
      </c>
      <c r="E35326" s="38" t="s">
        <v>176</v>
      </c>
      <c r="F35326" s="38" t="s">
        <v>90</v>
      </c>
      <c r="G35326" s="49" t="str">
        <f t="shared" si="1"/>
        <v>29890</v>
      </c>
      <c r="H35326" s="49">
        <f t="shared" si="2"/>
        <v>29021</v>
      </c>
    </row>
    <row r="35327">
      <c r="A35327" s="48" t="s">
        <v>17909</v>
      </c>
      <c r="B35327" s="38">
        <v>25075.0</v>
      </c>
      <c r="C35327" s="38" t="s">
        <v>21029</v>
      </c>
      <c r="D35327" s="38" t="str">
        <f>IFERROR(__xludf.DUMMYFUNCTION("REGEXREPLACE(C35327,""-\d+(.*)|--\d+(.*)"","""")"),"BONNEVAUX")</f>
        <v>BONNEVAUX</v>
      </c>
      <c r="E35327" s="38" t="s">
        <v>213</v>
      </c>
      <c r="F35327" s="38" t="s">
        <v>214</v>
      </c>
      <c r="G35327" s="49" t="str">
        <f t="shared" si="1"/>
        <v>25560</v>
      </c>
      <c r="H35327" s="49">
        <f t="shared" si="2"/>
        <v>25075</v>
      </c>
    </row>
    <row r="35328">
      <c r="A35328" s="48" t="s">
        <v>4748</v>
      </c>
      <c r="B35328" s="38">
        <v>77490.0</v>
      </c>
      <c r="C35328" s="38" t="s">
        <v>39476</v>
      </c>
      <c r="D35328" s="38" t="str">
        <f>IFERROR(__xludf.DUMMYFUNCTION("REGEXREPLACE(C35328,""-\d+(.*)|--\d+(.*)"","""")"),"VENDREST")</f>
        <v>VENDREST</v>
      </c>
      <c r="E35328" s="38" t="s">
        <v>244</v>
      </c>
      <c r="F35328" s="38" t="s">
        <v>245</v>
      </c>
      <c r="G35328" s="49" t="str">
        <f t="shared" si="1"/>
        <v>77440</v>
      </c>
      <c r="H35328" s="49">
        <f t="shared" si="2"/>
        <v>77490</v>
      </c>
    </row>
    <row r="35329">
      <c r="A35329" s="48" t="s">
        <v>3691</v>
      </c>
      <c r="B35329" s="38">
        <v>64184.0</v>
      </c>
      <c r="C35329" s="38" t="s">
        <v>5567</v>
      </c>
      <c r="D35329" s="38" t="str">
        <f>IFERROR(__xludf.DUMMYFUNCTION("REGEXREPLACE(C35329,""-\d+(.*)|--\d+(.*)"","""")"),"CESCAU")</f>
        <v>CESCAU</v>
      </c>
      <c r="E35329" s="38" t="s">
        <v>268</v>
      </c>
      <c r="F35329" s="38" t="s">
        <v>252</v>
      </c>
      <c r="G35329" s="49" t="str">
        <f t="shared" si="1"/>
        <v>64170</v>
      </c>
      <c r="H35329" s="49">
        <f t="shared" si="2"/>
        <v>64184</v>
      </c>
    </row>
    <row r="35330">
      <c r="A35330" s="48" t="s">
        <v>9373</v>
      </c>
      <c r="B35330" s="38">
        <v>84151.0</v>
      </c>
      <c r="C35330" s="38" t="s">
        <v>39477</v>
      </c>
      <c r="D35330" s="38" t="str">
        <f>IFERROR(__xludf.DUMMYFUNCTION("REGEXREPLACE(C35330,""-\d+(.*)|--\d+(.*)"","""")"),"VITROLLES-EN-LUBERON")</f>
        <v>VITROLLES-EN-LUBERON</v>
      </c>
      <c r="E35330" s="38" t="s">
        <v>1026</v>
      </c>
      <c r="F35330" s="38" t="s">
        <v>228</v>
      </c>
      <c r="G35330" s="49" t="str">
        <f t="shared" si="1"/>
        <v>84240</v>
      </c>
      <c r="H35330" s="49">
        <f t="shared" si="2"/>
        <v>84151</v>
      </c>
    </row>
    <row r="35331">
      <c r="A35331" s="48" t="s">
        <v>7084</v>
      </c>
      <c r="B35331" s="38">
        <v>45292.0</v>
      </c>
      <c r="C35331" s="38" t="s">
        <v>39478</v>
      </c>
      <c r="D35331" s="38" t="str">
        <f>IFERROR(__xludf.DUMMYFUNCTION("REGEXREPLACE(C35331,""-\d+(.*)|--\d+(.*)"","""")"),"SAINT-MAURICE-SUR-AVEYRON")</f>
        <v>SAINT-MAURICE-SUR-AVEYRON</v>
      </c>
      <c r="E35331" s="38" t="s">
        <v>122</v>
      </c>
      <c r="F35331" s="38" t="s">
        <v>123</v>
      </c>
      <c r="G35331" s="49" t="str">
        <f t="shared" si="1"/>
        <v>45230</v>
      </c>
      <c r="H35331" s="49">
        <f t="shared" si="2"/>
        <v>45292</v>
      </c>
    </row>
    <row r="35332">
      <c r="A35332" s="48" t="s">
        <v>3448</v>
      </c>
      <c r="B35332" s="38">
        <v>65101.0</v>
      </c>
      <c r="C35332" s="38" t="s">
        <v>32062</v>
      </c>
      <c r="D35332" s="38" t="str">
        <f>IFERROR(__xludf.DUMMYFUNCTION("REGEXREPLACE(C35332,""-\d+(.*)|--\d+(.*)"","""")"),"BORDES")</f>
        <v>BORDES</v>
      </c>
      <c r="E35332" s="38" t="s">
        <v>200</v>
      </c>
      <c r="F35332" s="38" t="s">
        <v>94</v>
      </c>
      <c r="G35332" s="49" t="str">
        <f t="shared" si="1"/>
        <v>65190</v>
      </c>
      <c r="H35332" s="49">
        <f t="shared" si="2"/>
        <v>65101</v>
      </c>
    </row>
    <row r="35333">
      <c r="A35333" s="48" t="s">
        <v>5732</v>
      </c>
      <c r="B35333" s="38">
        <v>12208.0</v>
      </c>
      <c r="C35333" s="38" t="s">
        <v>39479</v>
      </c>
      <c r="D35333" s="38" t="str">
        <f>IFERROR(__xludf.DUMMYFUNCTION("REGEXREPLACE(C35333,""-\d+(.*)|--\d+(.*)"","""")"),"SAINT-AFFRIQUE")</f>
        <v>SAINT-AFFRIQUE</v>
      </c>
      <c r="E35333" s="38" t="s">
        <v>465</v>
      </c>
      <c r="F35333" s="38" t="s">
        <v>94</v>
      </c>
      <c r="G35333" s="49" t="str">
        <f t="shared" si="1"/>
        <v>12400</v>
      </c>
      <c r="H35333" s="49">
        <f t="shared" si="2"/>
        <v>12208</v>
      </c>
    </row>
    <row r="35334">
      <c r="A35334" s="48" t="s">
        <v>1172</v>
      </c>
      <c r="B35334" s="38">
        <v>76658.0</v>
      </c>
      <c r="C35334" s="38" t="s">
        <v>39480</v>
      </c>
      <c r="D35334" s="38" t="str">
        <f>IFERROR(__xludf.DUMMYFUNCTION("REGEXREPLACE(C35334,""-\d+(.*)|--\d+(.*)"","""")"),"SAINT-VINCENT-CRAMESNIL")</f>
        <v>SAINT-VINCENT-CRAMESNIL</v>
      </c>
      <c r="E35334" s="38" t="s">
        <v>133</v>
      </c>
      <c r="F35334" s="38" t="s">
        <v>134</v>
      </c>
      <c r="G35334" s="49" t="str">
        <f t="shared" si="1"/>
        <v>76430</v>
      </c>
      <c r="H35334" s="49">
        <f t="shared" si="2"/>
        <v>76658</v>
      </c>
    </row>
    <row r="35335">
      <c r="A35335" s="48" t="s">
        <v>491</v>
      </c>
      <c r="B35335" s="38">
        <v>19228.0</v>
      </c>
      <c r="C35335" s="38" t="s">
        <v>39481</v>
      </c>
      <c r="D35335" s="38" t="str">
        <f>IFERROR(__xludf.DUMMYFUNCTION("REGEXREPLACE(C35335,""-\d+(.*)|--\d+(.*)"","""")"),"SAINT-PANTALEON-DE-LAPLEAU")</f>
        <v>SAINT-PANTALEON-DE-LAPLEAU</v>
      </c>
      <c r="E35335" s="38" t="s">
        <v>271</v>
      </c>
      <c r="F35335" s="38" t="s">
        <v>98</v>
      </c>
      <c r="G35335" s="49" t="str">
        <f t="shared" si="1"/>
        <v>19160</v>
      </c>
      <c r="H35335" s="49">
        <f t="shared" si="2"/>
        <v>19228</v>
      </c>
    </row>
    <row r="35336">
      <c r="A35336" s="48" t="s">
        <v>1542</v>
      </c>
      <c r="B35336" s="38">
        <v>24524.0</v>
      </c>
      <c r="C35336" s="38" t="s">
        <v>39482</v>
      </c>
      <c r="D35336" s="38" t="str">
        <f>IFERROR(__xludf.DUMMYFUNCTION("REGEXREPLACE(C35336,""-\d+(.*)|--\d+(.*)"","""")"),"SAVIGNAC-DE-MIREMONT")</f>
        <v>SAVIGNAC-DE-MIREMONT</v>
      </c>
      <c r="E35336" s="38" t="s">
        <v>261</v>
      </c>
      <c r="F35336" s="38" t="s">
        <v>252</v>
      </c>
      <c r="G35336" s="49" t="str">
        <f t="shared" si="1"/>
        <v>24260</v>
      </c>
      <c r="H35336" s="49">
        <f t="shared" si="2"/>
        <v>24524</v>
      </c>
    </row>
    <row r="35337">
      <c r="A35337" s="48" t="s">
        <v>1398</v>
      </c>
      <c r="B35337" s="38">
        <v>45294.0</v>
      </c>
      <c r="C35337" s="38" t="s">
        <v>4389</v>
      </c>
      <c r="D35337" s="38" t="str">
        <f>IFERROR(__xludf.DUMMYFUNCTION("REGEXREPLACE(C35337,""-\d+(.*)|--\d+(.*)"","""")"),"SAINT-MICHEL")</f>
        <v>SAINT-MICHEL</v>
      </c>
      <c r="E35337" s="38" t="s">
        <v>122</v>
      </c>
      <c r="F35337" s="38" t="s">
        <v>123</v>
      </c>
      <c r="G35337" s="49" t="str">
        <f t="shared" si="1"/>
        <v>45340</v>
      </c>
      <c r="H35337" s="49">
        <f t="shared" si="2"/>
        <v>45294</v>
      </c>
    </row>
    <row r="35338">
      <c r="A35338" s="48" t="s">
        <v>39483</v>
      </c>
      <c r="B35338" s="38">
        <v>81144.0</v>
      </c>
      <c r="C35338" s="38" t="s">
        <v>39484</v>
      </c>
      <c r="D35338" s="38" t="str">
        <f>IFERROR(__xludf.DUMMYFUNCTION("REGEXREPLACE(C35338,""-\d+(.*)|--\d+(.*)"","""")"),"LESCURE-D'ALBIGEOIS")</f>
        <v>LESCURE-D'ALBIGEOIS</v>
      </c>
      <c r="E35338" s="38" t="s">
        <v>231</v>
      </c>
      <c r="F35338" s="38" t="s">
        <v>94</v>
      </c>
      <c r="G35338" s="49" t="str">
        <f t="shared" si="1"/>
        <v>81380</v>
      </c>
      <c r="H35338" s="49">
        <f t="shared" si="2"/>
        <v>81144</v>
      </c>
    </row>
    <row r="35339">
      <c r="A35339" s="48" t="s">
        <v>6647</v>
      </c>
      <c r="B35339" s="38">
        <v>58263.0</v>
      </c>
      <c r="C35339" s="38" t="s">
        <v>6159</v>
      </c>
      <c r="D35339" s="38" t="str">
        <f>IFERROR(__xludf.DUMMYFUNCTION("REGEXREPLACE(C35339,""-\d+(.*)|--\d+(.*)"","""")"),"SAINT-PIERRE-DU-MONT")</f>
        <v>SAINT-PIERRE-DU-MONT</v>
      </c>
      <c r="E35339" s="38" t="s">
        <v>219</v>
      </c>
      <c r="F35339" s="38" t="s">
        <v>106</v>
      </c>
      <c r="G35339" s="49" t="str">
        <f t="shared" si="1"/>
        <v>58210</v>
      </c>
      <c r="H35339" s="49">
        <f t="shared" si="2"/>
        <v>58263</v>
      </c>
    </row>
    <row r="35340">
      <c r="A35340" s="48" t="s">
        <v>5525</v>
      </c>
      <c r="B35340" s="38">
        <v>10213.0</v>
      </c>
      <c r="C35340" s="38" t="s">
        <v>39485</v>
      </c>
      <c r="D35340" s="38" t="str">
        <f>IFERROR(__xludf.DUMMYFUNCTION("REGEXREPLACE(C35340,""-\d+(.*)|--\d+(.*)"","""")"),"MAGNANT")</f>
        <v>MAGNANT</v>
      </c>
      <c r="E35340" s="38" t="s">
        <v>147</v>
      </c>
      <c r="F35340" s="38" t="s">
        <v>130</v>
      </c>
      <c r="G35340" s="49" t="str">
        <f t="shared" si="1"/>
        <v>10110</v>
      </c>
      <c r="H35340" s="49">
        <f t="shared" si="2"/>
        <v>10213</v>
      </c>
    </row>
    <row r="35341">
      <c r="A35341" s="48" t="s">
        <v>8076</v>
      </c>
      <c r="B35341" s="38">
        <v>60669.0</v>
      </c>
      <c r="C35341" s="38" t="s">
        <v>39486</v>
      </c>
      <c r="D35341" s="38" t="str">
        <f>IFERROR(__xludf.DUMMYFUNCTION("REGEXREPLACE(C35341,""-\d+(.*)|--\d+(.*)"","""")"),"VERDERONNE")</f>
        <v>VERDERONNE</v>
      </c>
      <c r="E35341" s="38" t="s">
        <v>112</v>
      </c>
      <c r="F35341" s="38" t="s">
        <v>113</v>
      </c>
      <c r="G35341" s="49" t="str">
        <f t="shared" si="1"/>
        <v>60140</v>
      </c>
      <c r="H35341" s="49">
        <f t="shared" si="2"/>
        <v>60669</v>
      </c>
    </row>
    <row r="35342">
      <c r="A35342" s="48" t="s">
        <v>14759</v>
      </c>
      <c r="B35342" s="38">
        <v>19230.0</v>
      </c>
      <c r="C35342" s="38" t="s">
        <v>39487</v>
      </c>
      <c r="D35342" s="38" t="str">
        <f>IFERROR(__xludf.DUMMYFUNCTION("REGEXREPLACE(C35342,""-\d+(.*)|--\d+(.*)"","""")"),"SAINT-PARDOUX-CORBIER")</f>
        <v>SAINT-PARDOUX-CORBIER</v>
      </c>
      <c r="E35342" s="38" t="s">
        <v>271</v>
      </c>
      <c r="F35342" s="38" t="s">
        <v>98</v>
      </c>
      <c r="G35342" s="49" t="str">
        <f t="shared" si="1"/>
        <v>19210</v>
      </c>
      <c r="H35342" s="49">
        <f t="shared" si="2"/>
        <v>19230</v>
      </c>
    </row>
    <row r="35343">
      <c r="A35343" s="48" t="s">
        <v>9881</v>
      </c>
      <c r="B35343" s="38">
        <v>73101.0</v>
      </c>
      <c r="C35343" s="38" t="s">
        <v>39488</v>
      </c>
      <c r="D35343" s="38" t="str">
        <f>IFERROR(__xludf.DUMMYFUNCTION("REGEXREPLACE(C35343,""-\d+(.*)|--\d+(.*)"","""")"),"DOUCY-EN-BAUGES")</f>
        <v>DOUCY-EN-BAUGES</v>
      </c>
      <c r="E35343" s="38" t="s">
        <v>306</v>
      </c>
      <c r="F35343" s="38" t="s">
        <v>102</v>
      </c>
      <c r="G35343" s="49" t="str">
        <f t="shared" si="1"/>
        <v>73630</v>
      </c>
      <c r="H35343" s="49">
        <f t="shared" si="2"/>
        <v>73101</v>
      </c>
    </row>
    <row r="35344">
      <c r="A35344" s="48" t="s">
        <v>3508</v>
      </c>
      <c r="B35344" s="38">
        <v>51430.0</v>
      </c>
      <c r="C35344" s="38" t="s">
        <v>39489</v>
      </c>
      <c r="D35344" s="38" t="str">
        <f>IFERROR(__xludf.DUMMYFUNCTION("REGEXREPLACE(C35344,""-\d+(.*)|--\d+(.*)"","""")"),"PIERRE-MORAINS")</f>
        <v>PIERRE-MORAINS</v>
      </c>
      <c r="E35344" s="38" t="s">
        <v>129</v>
      </c>
      <c r="F35344" s="38" t="s">
        <v>130</v>
      </c>
      <c r="G35344" s="49" t="str">
        <f t="shared" si="1"/>
        <v>51130</v>
      </c>
      <c r="H35344" s="49">
        <f t="shared" si="2"/>
        <v>51430</v>
      </c>
    </row>
    <row r="35345">
      <c r="A35345" s="48" t="s">
        <v>696</v>
      </c>
      <c r="B35345" s="38">
        <v>9187.0</v>
      </c>
      <c r="C35345" s="38" t="s">
        <v>39490</v>
      </c>
      <c r="D35345" s="38" t="str">
        <f>IFERROR(__xludf.DUMMYFUNCTION("REGEXREPLACE(C35345,""-\d+(.*)|--\d+(.*)"","""")"),"MERCENAC")</f>
        <v>MERCENAC</v>
      </c>
      <c r="E35345" s="38" t="s">
        <v>238</v>
      </c>
      <c r="F35345" s="38" t="s">
        <v>94</v>
      </c>
      <c r="G35345" s="49" t="str">
        <f t="shared" si="1"/>
        <v>09160</v>
      </c>
      <c r="H35345" s="49" t="str">
        <f t="shared" si="2"/>
        <v>09187</v>
      </c>
    </row>
    <row r="35346">
      <c r="A35346" s="48" t="s">
        <v>23850</v>
      </c>
      <c r="B35346" s="38">
        <v>91390.0</v>
      </c>
      <c r="C35346" s="38" t="s">
        <v>38589</v>
      </c>
      <c r="D35346" s="38" t="str">
        <f>IFERROR(__xludf.DUMMYFUNCTION("REGEXREPLACE(C35346,""-\d+(.*)|--\d+(.*)"","""")"),"MEREVILLE")</f>
        <v>MEREVILLE</v>
      </c>
      <c r="E35346" s="38" t="s">
        <v>756</v>
      </c>
      <c r="F35346" s="38" t="s">
        <v>245</v>
      </c>
      <c r="G35346" s="49" t="str">
        <f t="shared" si="1"/>
        <v>91660</v>
      </c>
      <c r="H35346" s="49">
        <f t="shared" si="2"/>
        <v>91390</v>
      </c>
    </row>
    <row r="35347">
      <c r="A35347" s="48" t="s">
        <v>2705</v>
      </c>
      <c r="B35347" s="38">
        <v>77041.0</v>
      </c>
      <c r="C35347" s="38" t="s">
        <v>39491</v>
      </c>
      <c r="D35347" s="38" t="str">
        <f>IFERROR(__xludf.DUMMYFUNCTION("REGEXREPLACE(C35347,""-\d+(.*)|--\d+(.*)"","""")"),"BOISSY-AUX-CAILLES")</f>
        <v>BOISSY-AUX-CAILLES</v>
      </c>
      <c r="E35347" s="38" t="s">
        <v>244</v>
      </c>
      <c r="F35347" s="38" t="s">
        <v>245</v>
      </c>
      <c r="G35347" s="49" t="str">
        <f t="shared" si="1"/>
        <v>77760</v>
      </c>
      <c r="H35347" s="49">
        <f t="shared" si="2"/>
        <v>77041</v>
      </c>
    </row>
    <row r="35348">
      <c r="A35348" s="48" t="s">
        <v>4517</v>
      </c>
      <c r="B35348" s="38">
        <v>58227.0</v>
      </c>
      <c r="C35348" s="38" t="s">
        <v>39492</v>
      </c>
      <c r="D35348" s="38" t="str">
        <f>IFERROR(__xludf.DUMMYFUNCTION("REGEXREPLACE(C35348,""-\d+(.*)|--\d+(.*)"","""")"),"SAINT-AMAND-EN-PUISAYE")</f>
        <v>SAINT-AMAND-EN-PUISAYE</v>
      </c>
      <c r="E35348" s="38" t="s">
        <v>219</v>
      </c>
      <c r="F35348" s="38" t="s">
        <v>106</v>
      </c>
      <c r="G35348" s="49" t="str">
        <f t="shared" si="1"/>
        <v>58310</v>
      </c>
      <c r="H35348" s="49">
        <f t="shared" si="2"/>
        <v>58227</v>
      </c>
    </row>
    <row r="35349">
      <c r="A35349" s="48" t="s">
        <v>2619</v>
      </c>
      <c r="B35349" s="38">
        <v>71213.0</v>
      </c>
      <c r="C35349" s="38" t="s">
        <v>39493</v>
      </c>
      <c r="D35349" s="38" t="str">
        <f>IFERROR(__xludf.DUMMYFUNCTION("REGEXREPLACE(C35349,""-\d+(.*)|--\d+(.*)"","""")"),"LA GENETE")</f>
        <v>LA GENETE</v>
      </c>
      <c r="E35349" s="38" t="s">
        <v>344</v>
      </c>
      <c r="F35349" s="38" t="s">
        <v>106</v>
      </c>
      <c r="G35349" s="49" t="str">
        <f t="shared" si="1"/>
        <v>71290</v>
      </c>
      <c r="H35349" s="49">
        <f t="shared" si="2"/>
        <v>71213</v>
      </c>
    </row>
    <row r="35350">
      <c r="A35350" s="48" t="s">
        <v>4338</v>
      </c>
      <c r="B35350" s="38">
        <v>70094.0</v>
      </c>
      <c r="C35350" s="38" t="s">
        <v>39494</v>
      </c>
      <c r="D35350" s="38" t="str">
        <f>IFERROR(__xludf.DUMMYFUNCTION("REGEXREPLACE(C35350,""-\d+(.*)|--\d+(.*)"","""")"),"BREUCHOTTE")</f>
        <v>BREUCHOTTE</v>
      </c>
      <c r="E35350" s="38" t="s">
        <v>956</v>
      </c>
      <c r="F35350" s="38" t="s">
        <v>214</v>
      </c>
      <c r="G35350" s="49" t="str">
        <f t="shared" si="1"/>
        <v>70280</v>
      </c>
      <c r="H35350" s="49">
        <f t="shared" si="2"/>
        <v>70094</v>
      </c>
    </row>
    <row r="35351">
      <c r="A35351" s="48" t="s">
        <v>4945</v>
      </c>
      <c r="B35351" s="38" t="s">
        <v>39495</v>
      </c>
      <c r="C35351" s="38" t="s">
        <v>39496</v>
      </c>
      <c r="D35351" s="38" t="str">
        <f>IFERROR(__xludf.DUMMYFUNCTION("REGEXREPLACE(C35351,""-\d+(.*)|--\d+(.*)"","""")"),"SARTENE")</f>
        <v>SARTENE</v>
      </c>
      <c r="E35351" s="38" t="s">
        <v>606</v>
      </c>
      <c r="F35351" s="38" t="s">
        <v>607</v>
      </c>
      <c r="G35351" s="49" t="str">
        <f t="shared" si="1"/>
        <v>20100</v>
      </c>
      <c r="H35351" s="49" t="str">
        <f t="shared" si="2"/>
        <v>2A272</v>
      </c>
    </row>
    <row r="35352">
      <c r="A35352" s="48" t="s">
        <v>1347</v>
      </c>
      <c r="B35352" s="38">
        <v>16395.0</v>
      </c>
      <c r="C35352" s="38" t="s">
        <v>39497</v>
      </c>
      <c r="D35352" s="38" t="str">
        <f>IFERROR(__xludf.DUMMYFUNCTION("REGEXREPLACE(C35352,""-\d+(.*)|--\d+(.*)"","""")"),"VAUX-ROUILLAC")</f>
        <v>VAUX-ROUILLAC</v>
      </c>
      <c r="E35352" s="38" t="s">
        <v>429</v>
      </c>
      <c r="F35352" s="38" t="s">
        <v>338</v>
      </c>
      <c r="G35352" s="49" t="str">
        <f t="shared" si="1"/>
        <v>16170</v>
      </c>
      <c r="H35352" s="49">
        <f t="shared" si="2"/>
        <v>16395</v>
      </c>
    </row>
    <row r="35353">
      <c r="A35353" s="48" t="s">
        <v>2605</v>
      </c>
      <c r="B35353" s="38">
        <v>39542.0</v>
      </c>
      <c r="C35353" s="38" t="s">
        <v>39498</v>
      </c>
      <c r="D35353" s="38" t="str">
        <f>IFERROR(__xludf.DUMMYFUNCTION("REGEXREPLACE(C35353,""-\d+(.*)|--\d+(.*)"","""")"),"VALFIN-SUR-VALOUSE")</f>
        <v>VALFIN-SUR-VALOUSE</v>
      </c>
      <c r="E35353" s="38" t="s">
        <v>400</v>
      </c>
      <c r="F35353" s="38" t="s">
        <v>214</v>
      </c>
      <c r="G35353" s="49" t="str">
        <f t="shared" si="1"/>
        <v>39240</v>
      </c>
      <c r="H35353" s="49">
        <f t="shared" si="2"/>
        <v>39542</v>
      </c>
    </row>
    <row r="35354">
      <c r="A35354" s="48" t="s">
        <v>4161</v>
      </c>
      <c r="B35354" s="38">
        <v>59475.0</v>
      </c>
      <c r="C35354" s="38" t="s">
        <v>39499</v>
      </c>
      <c r="D35354" s="38" t="str">
        <f>IFERROR(__xludf.DUMMYFUNCTION("REGEXREPLACE(C35354,""-\d+(.*)|--\d+(.*)"","""")"),"PROUVY")</f>
        <v>PROUVY</v>
      </c>
      <c r="E35354" s="38" t="s">
        <v>85</v>
      </c>
      <c r="F35354" s="38" t="s">
        <v>86</v>
      </c>
      <c r="G35354" s="49" t="str">
        <f t="shared" si="1"/>
        <v>59121</v>
      </c>
      <c r="H35354" s="49">
        <f t="shared" si="2"/>
        <v>59475</v>
      </c>
    </row>
    <row r="35355">
      <c r="A35355" s="48" t="s">
        <v>783</v>
      </c>
      <c r="B35355" s="38">
        <v>12121.0</v>
      </c>
      <c r="C35355" s="38" t="s">
        <v>39500</v>
      </c>
      <c r="D35355" s="38" t="str">
        <f>IFERROR(__xludf.DUMMYFUNCTION("REGEXREPLACE(C35355,""-\d+(.*)|--\d+(.*)"","""")"),"LANUEJOULS")</f>
        <v>LANUEJOULS</v>
      </c>
      <c r="E35355" s="38" t="s">
        <v>465</v>
      </c>
      <c r="F35355" s="38" t="s">
        <v>94</v>
      </c>
      <c r="G35355" s="49" t="str">
        <f t="shared" si="1"/>
        <v>12350</v>
      </c>
      <c r="H35355" s="49">
        <f t="shared" si="2"/>
        <v>12121</v>
      </c>
    </row>
    <row r="35356">
      <c r="A35356" s="48" t="s">
        <v>4142</v>
      </c>
      <c r="B35356" s="38">
        <v>16408.0</v>
      </c>
      <c r="C35356" s="38" t="s">
        <v>39501</v>
      </c>
      <c r="D35356" s="38" t="str">
        <f>IFERROR(__xludf.DUMMYFUNCTION("REGEXREPLACE(C35356,""-\d+(.*)|--\d+(.*)"","""")"),"VILLEBOIS-LAVALETTE")</f>
        <v>VILLEBOIS-LAVALETTE</v>
      </c>
      <c r="E35356" s="38" t="s">
        <v>429</v>
      </c>
      <c r="F35356" s="38" t="s">
        <v>338</v>
      </c>
      <c r="G35356" s="49" t="str">
        <f t="shared" si="1"/>
        <v>16320</v>
      </c>
      <c r="H35356" s="49">
        <f t="shared" si="2"/>
        <v>16408</v>
      </c>
    </row>
    <row r="35357">
      <c r="A35357" s="48" t="s">
        <v>9861</v>
      </c>
      <c r="B35357" s="38">
        <v>59349.0</v>
      </c>
      <c r="C35357" s="38" t="s">
        <v>39502</v>
      </c>
      <c r="D35357" s="38" t="str">
        <f>IFERROR(__xludf.DUMMYFUNCTION("REGEXREPLACE(C35357,""-\d+(.*)|--\d+(.*)"","""")"),"LIGNY-EN-CAMBRESIS")</f>
        <v>LIGNY-EN-CAMBRESIS</v>
      </c>
      <c r="E35357" s="38" t="s">
        <v>85</v>
      </c>
      <c r="F35357" s="38" t="s">
        <v>86</v>
      </c>
      <c r="G35357" s="49" t="str">
        <f t="shared" si="1"/>
        <v>59191</v>
      </c>
      <c r="H35357" s="49">
        <f t="shared" si="2"/>
        <v>59349</v>
      </c>
    </row>
    <row r="35358">
      <c r="A35358" s="48" t="s">
        <v>22972</v>
      </c>
      <c r="B35358" s="38">
        <v>81152.0</v>
      </c>
      <c r="C35358" s="38" t="s">
        <v>39503</v>
      </c>
      <c r="D35358" s="38" t="str">
        <f>IFERROR(__xludf.DUMMYFUNCTION("REGEXREPLACE(C35358,""-\d+(.*)|--\d+(.*)"","""")"),"MAILHOC")</f>
        <v>MAILHOC</v>
      </c>
      <c r="E35358" s="38" t="s">
        <v>231</v>
      </c>
      <c r="F35358" s="38" t="s">
        <v>94</v>
      </c>
      <c r="G35358" s="49" t="str">
        <f t="shared" si="1"/>
        <v>81130</v>
      </c>
      <c r="H35358" s="49">
        <f t="shared" si="2"/>
        <v>81152</v>
      </c>
    </row>
    <row r="35359">
      <c r="A35359" s="48" t="s">
        <v>1781</v>
      </c>
      <c r="B35359" s="38">
        <v>27460.0</v>
      </c>
      <c r="C35359" s="38" t="s">
        <v>17539</v>
      </c>
      <c r="D35359" s="38" t="str">
        <f>IFERROR(__xludf.DUMMYFUNCTION("REGEXREPLACE(C35359,""-\d+(.*)|--\d+(.*)"","""")"),"PLAINVILLE")</f>
        <v>PLAINVILLE</v>
      </c>
      <c r="E35359" s="38" t="s">
        <v>241</v>
      </c>
      <c r="F35359" s="38" t="s">
        <v>134</v>
      </c>
      <c r="G35359" s="49" t="str">
        <f t="shared" si="1"/>
        <v>27300</v>
      </c>
      <c r="H35359" s="49">
        <f t="shared" si="2"/>
        <v>27460</v>
      </c>
    </row>
    <row r="35360">
      <c r="A35360" s="48" t="s">
        <v>1293</v>
      </c>
      <c r="B35360" s="38">
        <v>25635.0</v>
      </c>
      <c r="C35360" s="38" t="s">
        <v>39504</v>
      </c>
      <c r="D35360" s="38" t="str">
        <f>IFERROR(__xludf.DUMMYFUNCTION("REGEXREPLACE(C35360,""-\d+(.*)|--\d+(.*)"","""")"),"VYT-LES-BELVOIR")</f>
        <v>VYT-LES-BELVOIR</v>
      </c>
      <c r="E35360" s="38" t="s">
        <v>213</v>
      </c>
      <c r="F35360" s="38" t="s">
        <v>214</v>
      </c>
      <c r="G35360" s="49" t="str">
        <f t="shared" si="1"/>
        <v>25430</v>
      </c>
      <c r="H35360" s="49">
        <f t="shared" si="2"/>
        <v>25635</v>
      </c>
    </row>
    <row r="35361">
      <c r="A35361" s="48" t="s">
        <v>19527</v>
      </c>
      <c r="B35361" s="38">
        <v>26129.0</v>
      </c>
      <c r="C35361" s="38" t="s">
        <v>39505</v>
      </c>
      <c r="D35361" s="38" t="str">
        <f>IFERROR(__xludf.DUMMYFUNCTION("REGEXREPLACE(C35361,""-\d+(.*)|--\d+(.*)"","""")"),"EYMEUX")</f>
        <v>EYMEUX</v>
      </c>
      <c r="E35361" s="38" t="s">
        <v>126</v>
      </c>
      <c r="F35361" s="38" t="s">
        <v>102</v>
      </c>
      <c r="G35361" s="49" t="str">
        <f t="shared" si="1"/>
        <v>26730</v>
      </c>
      <c r="H35361" s="49">
        <f t="shared" si="2"/>
        <v>26129</v>
      </c>
    </row>
    <row r="35362">
      <c r="A35362" s="48" t="s">
        <v>13458</v>
      </c>
      <c r="B35362" s="38">
        <v>53052.0</v>
      </c>
      <c r="C35362" s="38" t="s">
        <v>39506</v>
      </c>
      <c r="D35362" s="38" t="str">
        <f>IFERROR(__xludf.DUMMYFUNCTION("REGEXREPLACE(C35362,""-\d+(.*)|--\d+(.*)"","""")"),"CHAMPFREMONT")</f>
        <v>CHAMPFREMONT</v>
      </c>
      <c r="E35362" s="38" t="s">
        <v>518</v>
      </c>
      <c r="F35362" s="38" t="s">
        <v>180</v>
      </c>
      <c r="G35362" s="49" t="str">
        <f t="shared" si="1"/>
        <v>53370</v>
      </c>
      <c r="H35362" s="49">
        <f t="shared" si="2"/>
        <v>53052</v>
      </c>
    </row>
    <row r="35363">
      <c r="A35363" s="48" t="s">
        <v>3244</v>
      </c>
      <c r="B35363" s="38">
        <v>27615.0</v>
      </c>
      <c r="C35363" s="38" t="s">
        <v>39507</v>
      </c>
      <c r="D35363" s="38" t="str">
        <f>IFERROR(__xludf.DUMMYFUNCTION("REGEXREPLACE(C35363,""-\d+(.*)|--\d+(.*)"","""")"),"SASSEY")</f>
        <v>SASSEY</v>
      </c>
      <c r="E35363" s="38" t="s">
        <v>241</v>
      </c>
      <c r="F35363" s="38" t="s">
        <v>134</v>
      </c>
      <c r="G35363" s="49" t="str">
        <f t="shared" si="1"/>
        <v>27930</v>
      </c>
      <c r="H35363" s="49">
        <f t="shared" si="2"/>
        <v>27615</v>
      </c>
    </row>
    <row r="35364">
      <c r="A35364" s="48" t="s">
        <v>1210</v>
      </c>
      <c r="B35364" s="38">
        <v>50507.0</v>
      </c>
      <c r="C35364" s="38" t="s">
        <v>14456</v>
      </c>
      <c r="D35364" s="38" t="str">
        <f>IFERROR(__xludf.DUMMYFUNCTION("REGEXREPLACE(C35364,""-\d+(.*)|--\d+(.*)"","""")"),"SAINT-MARCOUF")</f>
        <v>SAINT-MARCOUF</v>
      </c>
      <c r="E35364" s="38" t="s">
        <v>157</v>
      </c>
      <c r="F35364" s="38" t="s">
        <v>138</v>
      </c>
      <c r="G35364" s="49" t="str">
        <f t="shared" si="1"/>
        <v>50310</v>
      </c>
      <c r="H35364" s="49">
        <f t="shared" si="2"/>
        <v>50507</v>
      </c>
    </row>
    <row r="35365">
      <c r="A35365" s="48" t="s">
        <v>4579</v>
      </c>
      <c r="B35365" s="38">
        <v>81008.0</v>
      </c>
      <c r="C35365" s="38" t="s">
        <v>39508</v>
      </c>
      <c r="D35365" s="38" t="str">
        <f>IFERROR(__xludf.DUMMYFUNCTION("REGEXREPLACE(C35365,""-\d+(.*)|--\d+(.*)"","""")"),"ALMAYRAC")</f>
        <v>ALMAYRAC</v>
      </c>
      <c r="E35365" s="38" t="s">
        <v>231</v>
      </c>
      <c r="F35365" s="38" t="s">
        <v>94</v>
      </c>
      <c r="G35365" s="49" t="str">
        <f t="shared" si="1"/>
        <v>81190</v>
      </c>
      <c r="H35365" s="49">
        <f t="shared" si="2"/>
        <v>81008</v>
      </c>
    </row>
    <row r="35366">
      <c r="A35366" s="48" t="s">
        <v>5320</v>
      </c>
      <c r="B35366" s="38">
        <v>74112.0</v>
      </c>
      <c r="C35366" s="38" t="s">
        <v>12899</v>
      </c>
      <c r="D35366" s="38" t="str">
        <f>IFERROR(__xludf.DUMMYFUNCTION("REGEXREPLACE(C35366,""-\d+(.*)|--\d+(.*)"","""")"),"EPAGNY")</f>
        <v>EPAGNY</v>
      </c>
      <c r="E35366" s="38" t="s">
        <v>319</v>
      </c>
      <c r="F35366" s="38" t="s">
        <v>102</v>
      </c>
      <c r="G35366" s="49" t="str">
        <f t="shared" si="1"/>
        <v>74330</v>
      </c>
      <c r="H35366" s="49">
        <f t="shared" si="2"/>
        <v>74112</v>
      </c>
    </row>
    <row r="35367">
      <c r="A35367" s="48" t="s">
        <v>14362</v>
      </c>
      <c r="B35367" s="38">
        <v>56073.0</v>
      </c>
      <c r="C35367" s="38" t="s">
        <v>39509</v>
      </c>
      <c r="D35367" s="38" t="str">
        <f>IFERROR(__xludf.DUMMYFUNCTION("REGEXREPLACE(C35367,""-\d+(.*)|--\d+(.*)"","""")"),"GUEMENE-SUR-SCORFF")</f>
        <v>GUEMENE-SUR-SCORFF</v>
      </c>
      <c r="E35367" s="38" t="s">
        <v>173</v>
      </c>
      <c r="F35367" s="38" t="s">
        <v>90</v>
      </c>
      <c r="G35367" s="49" t="str">
        <f t="shared" si="1"/>
        <v>56160</v>
      </c>
      <c r="H35367" s="49">
        <f t="shared" si="2"/>
        <v>56073</v>
      </c>
    </row>
    <row r="35368">
      <c r="A35368" s="48" t="s">
        <v>3333</v>
      </c>
      <c r="B35368" s="38">
        <v>44208.0</v>
      </c>
      <c r="C35368" s="38" t="s">
        <v>39510</v>
      </c>
      <c r="D35368" s="38" t="str">
        <f>IFERROR(__xludf.DUMMYFUNCTION("REGEXREPLACE(C35368,""-\d+(.*)|--\d+(.*)"","""")"),"TREFFIEUX")</f>
        <v>TREFFIEUX</v>
      </c>
      <c r="E35368" s="38" t="s">
        <v>759</v>
      </c>
      <c r="F35368" s="38" t="s">
        <v>180</v>
      </c>
      <c r="G35368" s="49" t="str">
        <f t="shared" si="1"/>
        <v>44170</v>
      </c>
      <c r="H35368" s="49">
        <f t="shared" si="2"/>
        <v>44208</v>
      </c>
    </row>
    <row r="35369">
      <c r="A35369" s="48" t="s">
        <v>110</v>
      </c>
      <c r="B35369" s="38">
        <v>60690.0</v>
      </c>
      <c r="C35369" s="38" t="s">
        <v>39511</v>
      </c>
      <c r="D35369" s="38" t="str">
        <f>IFERROR(__xludf.DUMMYFUNCTION("REGEXREPLACE(C35369,""-\d+(.*)|--\d+(.*)"","""")"),"VILLERS-SUR-TRIE")</f>
        <v>VILLERS-SUR-TRIE</v>
      </c>
      <c r="E35369" s="38" t="s">
        <v>112</v>
      </c>
      <c r="F35369" s="38" t="s">
        <v>113</v>
      </c>
      <c r="G35369" s="49" t="str">
        <f t="shared" si="1"/>
        <v>60590</v>
      </c>
      <c r="H35369" s="49">
        <f t="shared" si="2"/>
        <v>60690</v>
      </c>
    </row>
    <row r="35370">
      <c r="A35370" s="48" t="s">
        <v>1172</v>
      </c>
      <c r="B35370" s="38">
        <v>76684.0</v>
      </c>
      <c r="C35370" s="38" t="s">
        <v>39512</v>
      </c>
      <c r="D35370" s="38" t="str">
        <f>IFERROR(__xludf.DUMMYFUNCTION("REGEXREPLACE(C35370,""-\d+(.*)|--\d+(.*)"","""")"),"TANCARVILLE")</f>
        <v>TANCARVILLE</v>
      </c>
      <c r="E35370" s="38" t="s">
        <v>133</v>
      </c>
      <c r="F35370" s="38" t="s">
        <v>134</v>
      </c>
      <c r="G35370" s="49" t="str">
        <f t="shared" si="1"/>
        <v>76430</v>
      </c>
      <c r="H35370" s="49">
        <f t="shared" si="2"/>
        <v>76684</v>
      </c>
    </row>
    <row r="35371">
      <c r="A35371" s="48" t="s">
        <v>6233</v>
      </c>
      <c r="B35371" s="38">
        <v>15034.0</v>
      </c>
      <c r="C35371" s="38" t="s">
        <v>39513</v>
      </c>
      <c r="D35371" s="38" t="str">
        <f>IFERROR(__xludf.DUMMYFUNCTION("REGEXREPLACE(C35371,""-\d+(.*)|--\d+(.*)"","""")"),"CHALIERS")</f>
        <v>CHALIERS</v>
      </c>
      <c r="E35371" s="38" t="s">
        <v>632</v>
      </c>
      <c r="F35371" s="38" t="s">
        <v>161</v>
      </c>
      <c r="G35371" s="49" t="str">
        <f t="shared" si="1"/>
        <v>15320</v>
      </c>
      <c r="H35371" s="49">
        <f t="shared" si="2"/>
        <v>15034</v>
      </c>
    </row>
    <row r="35372">
      <c r="A35372" s="48" t="s">
        <v>5479</v>
      </c>
      <c r="B35372" s="38">
        <v>67154.0</v>
      </c>
      <c r="C35372" s="38" t="s">
        <v>39514</v>
      </c>
      <c r="D35372" s="38" t="str">
        <f>IFERROR(__xludf.DUMMYFUNCTION("REGEXREPLACE(C35372,""-\d+(.*)|--\d+(.*)"","""")"),"GERSTHEIM")</f>
        <v>GERSTHEIM</v>
      </c>
      <c r="E35372" s="38" t="s">
        <v>210</v>
      </c>
      <c r="F35372" s="38" t="s">
        <v>151</v>
      </c>
      <c r="G35372" s="49" t="str">
        <f t="shared" si="1"/>
        <v>67150</v>
      </c>
      <c r="H35372" s="49">
        <f t="shared" si="2"/>
        <v>67154</v>
      </c>
    </row>
    <row r="35373">
      <c r="A35373" s="48" t="s">
        <v>1656</v>
      </c>
      <c r="B35373" s="38">
        <v>80721.0</v>
      </c>
      <c r="C35373" s="38" t="s">
        <v>39515</v>
      </c>
      <c r="D35373" s="38" t="str">
        <f>IFERROR(__xludf.DUMMYFUNCTION("REGEXREPLACE(C35373,""-\d+(.*)|--\d+(.*)"","""")"),"SAINT-VALERY-SUR-SOMME")</f>
        <v>SAINT-VALERY-SUR-SOMME</v>
      </c>
      <c r="E35373" s="38" t="s">
        <v>224</v>
      </c>
      <c r="F35373" s="38" t="s">
        <v>113</v>
      </c>
      <c r="G35373" s="49" t="str">
        <f t="shared" si="1"/>
        <v>80230</v>
      </c>
      <c r="H35373" s="49">
        <f t="shared" si="2"/>
        <v>80721</v>
      </c>
    </row>
    <row r="35374">
      <c r="A35374" s="48" t="s">
        <v>1381</v>
      </c>
      <c r="B35374" s="38">
        <v>62802.0</v>
      </c>
      <c r="C35374" s="38" t="s">
        <v>39516</v>
      </c>
      <c r="D35374" s="38" t="str">
        <f>IFERROR(__xludf.DUMMYFUNCTION("REGEXREPLACE(C35374,""-\d+(.*)|--\d+(.*)"","""")"),"LE SOUICH")</f>
        <v>LE SOUICH</v>
      </c>
      <c r="E35374" s="38" t="s">
        <v>109</v>
      </c>
      <c r="F35374" s="38" t="s">
        <v>86</v>
      </c>
      <c r="G35374" s="49" t="str">
        <f t="shared" si="1"/>
        <v>62810</v>
      </c>
      <c r="H35374" s="49">
        <f t="shared" si="2"/>
        <v>62802</v>
      </c>
    </row>
    <row r="35375">
      <c r="A35375" s="48" t="s">
        <v>2170</v>
      </c>
      <c r="B35375" s="38">
        <v>80015.0</v>
      </c>
      <c r="C35375" s="38" t="s">
        <v>39517</v>
      </c>
      <c r="D35375" s="38" t="str">
        <f>IFERROR(__xludf.DUMMYFUNCTION("REGEXREPLACE(C35375,""-\d+(.*)|--\d+(.*)"","""")"),"AIZECOURT-LE-HAUT")</f>
        <v>AIZECOURT-LE-HAUT</v>
      </c>
      <c r="E35375" s="38" t="s">
        <v>224</v>
      </c>
      <c r="F35375" s="38" t="s">
        <v>113</v>
      </c>
      <c r="G35375" s="49" t="str">
        <f t="shared" si="1"/>
        <v>80200</v>
      </c>
      <c r="H35375" s="49">
        <f t="shared" si="2"/>
        <v>80015</v>
      </c>
    </row>
    <row r="35376">
      <c r="A35376" s="48" t="s">
        <v>8632</v>
      </c>
      <c r="B35376" s="38">
        <v>50544.0</v>
      </c>
      <c r="C35376" s="38" t="s">
        <v>39518</v>
      </c>
      <c r="D35376" s="38" t="str">
        <f>IFERROR(__xludf.DUMMYFUNCTION("REGEXREPLACE(C35376,""-\d+(.*)|--\d+(.*)"","""")"),"SAINT-REMY-DES-LANDES")</f>
        <v>SAINT-REMY-DES-LANDES</v>
      </c>
      <c r="E35376" s="38" t="s">
        <v>157</v>
      </c>
      <c r="F35376" s="38" t="s">
        <v>138</v>
      </c>
      <c r="G35376" s="49" t="str">
        <f t="shared" si="1"/>
        <v>50580</v>
      </c>
      <c r="H35376" s="49">
        <f t="shared" si="2"/>
        <v>50544</v>
      </c>
    </row>
    <row r="35377">
      <c r="A35377" s="48" t="s">
        <v>1932</v>
      </c>
      <c r="B35377" s="38">
        <v>70432.0</v>
      </c>
      <c r="C35377" s="38" t="s">
        <v>39519</v>
      </c>
      <c r="D35377" s="38" t="str">
        <f>IFERROR(__xludf.DUMMYFUNCTION("REGEXREPLACE(C35377,""-\d+(.*)|--\d+(.*)"","""")"),"QUERS")</f>
        <v>QUERS</v>
      </c>
      <c r="E35377" s="38" t="s">
        <v>956</v>
      </c>
      <c r="F35377" s="38" t="s">
        <v>214</v>
      </c>
      <c r="G35377" s="49" t="str">
        <f t="shared" si="1"/>
        <v>70200</v>
      </c>
      <c r="H35377" s="49">
        <f t="shared" si="2"/>
        <v>70432</v>
      </c>
    </row>
    <row r="35378">
      <c r="A35378" s="48" t="s">
        <v>22790</v>
      </c>
      <c r="B35378" s="38">
        <v>64282.0</v>
      </c>
      <c r="C35378" s="38" t="s">
        <v>39520</v>
      </c>
      <c r="D35378" s="38" t="str">
        <f>IFERROR(__xludf.DUMMYFUNCTION("REGEXREPLACE(C35378,""-\d+(.*)|--\d+(.*)"","""")"),"JATXOU")</f>
        <v>JATXOU</v>
      </c>
      <c r="E35378" s="38" t="s">
        <v>268</v>
      </c>
      <c r="F35378" s="38" t="s">
        <v>252</v>
      </c>
      <c r="G35378" s="49" t="str">
        <f t="shared" si="1"/>
        <v>64480</v>
      </c>
      <c r="H35378" s="49">
        <f t="shared" si="2"/>
        <v>64282</v>
      </c>
    </row>
    <row r="35379">
      <c r="A35379" s="48" t="s">
        <v>614</v>
      </c>
      <c r="B35379" s="38">
        <v>24216.0</v>
      </c>
      <c r="C35379" s="38" t="s">
        <v>39521</v>
      </c>
      <c r="D35379" s="38" t="str">
        <f>IFERROR(__xludf.DUMMYFUNCTION("REGEXREPLACE(C35379,""-\d+(.*)|--\d+(.*)"","""")"),"LA JEMAYE")</f>
        <v>LA JEMAYE</v>
      </c>
      <c r="E35379" s="38" t="s">
        <v>261</v>
      </c>
      <c r="F35379" s="38" t="s">
        <v>252</v>
      </c>
      <c r="G35379" s="49" t="str">
        <f t="shared" si="1"/>
        <v>24410</v>
      </c>
      <c r="H35379" s="49">
        <f t="shared" si="2"/>
        <v>24216</v>
      </c>
    </row>
    <row r="35380">
      <c r="A35380" s="48" t="s">
        <v>39522</v>
      </c>
      <c r="B35380" s="38">
        <v>30034.0</v>
      </c>
      <c r="C35380" s="38" t="s">
        <v>1901</v>
      </c>
      <c r="D35380" s="38" t="str">
        <f>IFERROR(__xludf.DUMMYFUNCTION("REGEXREPLACE(C35380,""-\d+(.*)|--\d+(.*)"","""")"),"BELLEGARDE")</f>
        <v>BELLEGARDE</v>
      </c>
      <c r="E35380" s="38" t="s">
        <v>526</v>
      </c>
      <c r="F35380" s="38" t="s">
        <v>119</v>
      </c>
      <c r="G35380" s="49" t="str">
        <f t="shared" si="1"/>
        <v>30127</v>
      </c>
      <c r="H35380" s="49">
        <f t="shared" si="2"/>
        <v>30034</v>
      </c>
    </row>
    <row r="35381">
      <c r="A35381" s="48" t="s">
        <v>3967</v>
      </c>
      <c r="B35381" s="38">
        <v>50041.0</v>
      </c>
      <c r="C35381" s="38" t="s">
        <v>39523</v>
      </c>
      <c r="D35381" s="38" t="str">
        <f>IFERROR(__xludf.DUMMYFUNCTION("REGEXREPLACE(C35381,""-\d+(.*)|--\d+(.*)"","""")"),"BEAUMONT-HAGUE")</f>
        <v>BEAUMONT-HAGUE</v>
      </c>
      <c r="E35381" s="38" t="s">
        <v>157</v>
      </c>
      <c r="F35381" s="38" t="s">
        <v>138</v>
      </c>
      <c r="G35381" s="49" t="str">
        <f t="shared" si="1"/>
        <v>50440</v>
      </c>
      <c r="H35381" s="49">
        <f t="shared" si="2"/>
        <v>50041</v>
      </c>
    </row>
    <row r="35382">
      <c r="A35382" s="48" t="s">
        <v>13323</v>
      </c>
      <c r="B35382" s="38">
        <v>22372.0</v>
      </c>
      <c r="C35382" s="38" t="s">
        <v>39524</v>
      </c>
      <c r="D35382" s="38" t="str">
        <f>IFERROR(__xludf.DUMMYFUNCTION("REGEXREPLACE(C35382,""-\d+(.*)|--\d+(.*)"","""")"),"TREMUSON")</f>
        <v>TREMUSON</v>
      </c>
      <c r="E35382" s="38" t="s">
        <v>89</v>
      </c>
      <c r="F35382" s="38" t="s">
        <v>90</v>
      </c>
      <c r="G35382" s="49" t="str">
        <f t="shared" si="1"/>
        <v>22440</v>
      </c>
      <c r="H35382" s="49">
        <f t="shared" si="2"/>
        <v>22372</v>
      </c>
    </row>
    <row r="35383">
      <c r="A35383" s="48" t="s">
        <v>4178</v>
      </c>
      <c r="B35383" s="38">
        <v>25238.0</v>
      </c>
      <c r="C35383" s="38" t="s">
        <v>39525</v>
      </c>
      <c r="D35383" s="38" t="str">
        <f>IFERROR(__xludf.DUMMYFUNCTION("REGEXREPLACE(C35383,""-\d+(.*)|--\d+(.*)"","""")"),"FESSEVILLERS")</f>
        <v>FESSEVILLERS</v>
      </c>
      <c r="E35383" s="38" t="s">
        <v>213</v>
      </c>
      <c r="F35383" s="38" t="s">
        <v>214</v>
      </c>
      <c r="G35383" s="49" t="str">
        <f t="shared" si="1"/>
        <v>25470</v>
      </c>
      <c r="H35383" s="49">
        <f t="shared" si="2"/>
        <v>25238</v>
      </c>
    </row>
    <row r="35384">
      <c r="A35384" s="48" t="s">
        <v>3080</v>
      </c>
      <c r="B35384" s="38">
        <v>71218.0</v>
      </c>
      <c r="C35384" s="38" t="s">
        <v>39526</v>
      </c>
      <c r="D35384" s="38" t="str">
        <f>IFERROR(__xludf.DUMMYFUNCTION("REGEXREPLACE(C35384,""-\d+(.*)|--\d+(.*)"","""")"),"GIBLES")</f>
        <v>GIBLES</v>
      </c>
      <c r="E35384" s="38" t="s">
        <v>344</v>
      </c>
      <c r="F35384" s="38" t="s">
        <v>106</v>
      </c>
      <c r="G35384" s="49" t="str">
        <f t="shared" si="1"/>
        <v>71800</v>
      </c>
      <c r="H35384" s="49">
        <f t="shared" si="2"/>
        <v>71218</v>
      </c>
    </row>
    <row r="35385">
      <c r="A35385" s="48" t="s">
        <v>1130</v>
      </c>
      <c r="B35385" s="38">
        <v>71535.0</v>
      </c>
      <c r="C35385" s="38" t="s">
        <v>39527</v>
      </c>
      <c r="D35385" s="38" t="str">
        <f>IFERROR(__xludf.DUMMYFUNCTION("REGEXREPLACE(C35385,""-\d+(.*)|--\d+(.*)"","""")"),"TAVERNAY")</f>
        <v>TAVERNAY</v>
      </c>
      <c r="E35385" s="38" t="s">
        <v>344</v>
      </c>
      <c r="F35385" s="38" t="s">
        <v>106</v>
      </c>
      <c r="G35385" s="49" t="str">
        <f t="shared" si="1"/>
        <v>71400</v>
      </c>
      <c r="H35385" s="49">
        <f t="shared" si="2"/>
        <v>71535</v>
      </c>
    </row>
    <row r="35386">
      <c r="A35386" s="48" t="s">
        <v>15799</v>
      </c>
      <c r="B35386" s="38">
        <v>6118.0</v>
      </c>
      <c r="C35386" s="38" t="s">
        <v>39528</v>
      </c>
      <c r="D35386" s="38" t="str">
        <f>IFERROR(__xludf.DUMMYFUNCTION("REGEXREPLACE(C35386,""-\d+(.*)|--\d+(.*)"","""")"),"SAINT-CEZAIRE-SUR-SIAGNE")</f>
        <v>SAINT-CEZAIRE-SUR-SIAGNE</v>
      </c>
      <c r="E35386" s="38" t="s">
        <v>227</v>
      </c>
      <c r="F35386" s="38" t="s">
        <v>228</v>
      </c>
      <c r="G35386" s="49" t="str">
        <f t="shared" si="1"/>
        <v>06530</v>
      </c>
      <c r="H35386" s="49" t="str">
        <f t="shared" si="2"/>
        <v>06118</v>
      </c>
    </row>
    <row r="35387">
      <c r="A35387" s="48" t="s">
        <v>20407</v>
      </c>
      <c r="B35387" s="38">
        <v>87057.0</v>
      </c>
      <c r="C35387" s="38" t="s">
        <v>39529</v>
      </c>
      <c r="D35387" s="38" t="str">
        <f>IFERROR(__xludf.DUMMYFUNCTION("REGEXREPLACE(C35387,""-\d+(.*)|--\d+(.*)"","""")"),"DOMPIERRE-LES-EGLISES")</f>
        <v>DOMPIERRE-LES-EGLISES</v>
      </c>
      <c r="E35387" s="38" t="s">
        <v>897</v>
      </c>
      <c r="F35387" s="38" t="s">
        <v>98</v>
      </c>
      <c r="G35387" s="49" t="str">
        <f t="shared" si="1"/>
        <v>87190</v>
      </c>
      <c r="H35387" s="49">
        <f t="shared" si="2"/>
        <v>87057</v>
      </c>
    </row>
    <row r="35388">
      <c r="A35388" s="48" t="s">
        <v>5756</v>
      </c>
      <c r="B35388" s="38">
        <v>33293.0</v>
      </c>
      <c r="C35388" s="38" t="s">
        <v>39530</v>
      </c>
      <c r="D35388" s="38" t="str">
        <f>IFERROR(__xludf.DUMMYFUNCTION("REGEXREPLACE(C35388,""-\d+(.*)|--\d+(.*)"","""")"),"MONTUSSAN")</f>
        <v>MONTUSSAN</v>
      </c>
      <c r="E35388" s="38" t="s">
        <v>462</v>
      </c>
      <c r="F35388" s="38" t="s">
        <v>252</v>
      </c>
      <c r="G35388" s="49" t="str">
        <f t="shared" si="1"/>
        <v>33450</v>
      </c>
      <c r="H35388" s="49">
        <f t="shared" si="2"/>
        <v>33293</v>
      </c>
    </row>
    <row r="35389">
      <c r="A35389" s="48" t="s">
        <v>22635</v>
      </c>
      <c r="B35389" s="38">
        <v>56225.0</v>
      </c>
      <c r="C35389" s="38" t="s">
        <v>39531</v>
      </c>
      <c r="D35389" s="38" t="str">
        <f>IFERROR(__xludf.DUMMYFUNCTION("REGEXREPLACE(C35389,""-\d+(.*)|--\d+(.*)"","""")"),"SAINT-LERY")</f>
        <v>SAINT-LERY</v>
      </c>
      <c r="E35389" s="38" t="s">
        <v>173</v>
      </c>
      <c r="F35389" s="38" t="s">
        <v>90</v>
      </c>
      <c r="G35389" s="49" t="str">
        <f t="shared" si="1"/>
        <v>56430</v>
      </c>
      <c r="H35389" s="49">
        <f t="shared" si="2"/>
        <v>56225</v>
      </c>
    </row>
    <row r="35390">
      <c r="A35390" s="48" t="s">
        <v>5542</v>
      </c>
      <c r="B35390" s="38">
        <v>89182.0</v>
      </c>
      <c r="C35390" s="38" t="s">
        <v>39532</v>
      </c>
      <c r="D35390" s="38" t="str">
        <f>IFERROR(__xludf.DUMMYFUNCTION("REGEXREPLACE(C35390,""-\d+(.*)|--\d+(.*)"","""")"),"FOURONNES")</f>
        <v>FOURONNES</v>
      </c>
      <c r="E35390" s="38" t="s">
        <v>275</v>
      </c>
      <c r="F35390" s="38" t="s">
        <v>106</v>
      </c>
      <c r="G35390" s="49" t="str">
        <f t="shared" si="1"/>
        <v>89560</v>
      </c>
      <c r="H35390" s="49">
        <f t="shared" si="2"/>
        <v>89182</v>
      </c>
    </row>
    <row r="35391">
      <c r="A35391" s="48" t="s">
        <v>6606</v>
      </c>
      <c r="B35391" s="38">
        <v>25160.0</v>
      </c>
      <c r="C35391" s="38" t="s">
        <v>39533</v>
      </c>
      <c r="D35391" s="38" t="str">
        <f>IFERROR(__xludf.DUMMYFUNCTION("REGEXREPLACE(C35391,""-\d+(.*)|--\d+(.*)"","""")"),"LES COMBES")</f>
        <v>LES COMBES</v>
      </c>
      <c r="E35391" s="38" t="s">
        <v>213</v>
      </c>
      <c r="F35391" s="38" t="s">
        <v>214</v>
      </c>
      <c r="G35391" s="49" t="str">
        <f t="shared" si="1"/>
        <v>25500</v>
      </c>
      <c r="H35391" s="49">
        <f t="shared" si="2"/>
        <v>25160</v>
      </c>
    </row>
    <row r="35392">
      <c r="A35392" s="48" t="s">
        <v>229</v>
      </c>
      <c r="B35392" s="38">
        <v>81279.0</v>
      </c>
      <c r="C35392" s="38" t="s">
        <v>39534</v>
      </c>
      <c r="D35392" s="38" t="str">
        <f>IFERROR(__xludf.DUMMYFUNCTION("REGEXREPLACE(C35392,""-\d+(.*)|--\d+(.*)"","""")"),"LA SAUZIERE-SAINT-JEAN")</f>
        <v>LA SAUZIERE-SAINT-JEAN</v>
      </c>
      <c r="E35392" s="38" t="s">
        <v>231</v>
      </c>
      <c r="F35392" s="38" t="s">
        <v>94</v>
      </c>
      <c r="G35392" s="49" t="str">
        <f t="shared" si="1"/>
        <v>81630</v>
      </c>
      <c r="H35392" s="49">
        <f t="shared" si="2"/>
        <v>81279</v>
      </c>
    </row>
    <row r="35393">
      <c r="A35393" s="48" t="s">
        <v>155</v>
      </c>
      <c r="B35393" s="38">
        <v>50084.0</v>
      </c>
      <c r="C35393" s="38" t="s">
        <v>39535</v>
      </c>
      <c r="D35393" s="38" t="str">
        <f>IFERROR(__xludf.DUMMYFUNCTION("REGEXREPLACE(C35393,""-\d+(.*)|--\d+(.*)"","""")"),"BRICQUEVILLE-LA-BLOUETTE")</f>
        <v>BRICQUEVILLE-LA-BLOUETTE</v>
      </c>
      <c r="E35393" s="38" t="s">
        <v>157</v>
      </c>
      <c r="F35393" s="38" t="s">
        <v>138</v>
      </c>
      <c r="G35393" s="49" t="str">
        <f t="shared" si="1"/>
        <v>50200</v>
      </c>
      <c r="H35393" s="49">
        <f t="shared" si="2"/>
        <v>50084</v>
      </c>
    </row>
    <row r="35394">
      <c r="A35394" s="48" t="s">
        <v>7754</v>
      </c>
      <c r="B35394" s="38">
        <v>23258.0</v>
      </c>
      <c r="C35394" s="38" t="s">
        <v>766</v>
      </c>
      <c r="D35394" s="38" t="str">
        <f>IFERROR(__xludf.DUMMYFUNCTION("REGEXREPLACE(C35394,""-\d+(.*)|--\d+(.*)"","""")"),"VAREILLES")</f>
        <v>VAREILLES</v>
      </c>
      <c r="E35394" s="38" t="s">
        <v>97</v>
      </c>
      <c r="F35394" s="38" t="s">
        <v>98</v>
      </c>
      <c r="G35394" s="49" t="str">
        <f t="shared" si="1"/>
        <v>23300</v>
      </c>
      <c r="H35394" s="49">
        <f t="shared" si="2"/>
        <v>23258</v>
      </c>
    </row>
    <row r="35395">
      <c r="A35395" s="48" t="s">
        <v>3389</v>
      </c>
      <c r="B35395" s="38">
        <v>33526.0</v>
      </c>
      <c r="C35395" s="38" t="s">
        <v>39536</v>
      </c>
      <c r="D35395" s="38" t="str">
        <f>IFERROR(__xludf.DUMMYFUNCTION("REGEXREPLACE(C35395,""-\d+(.*)|--\d+(.*)"","""")"),"TAYAC")</f>
        <v>TAYAC</v>
      </c>
      <c r="E35395" s="38" t="s">
        <v>462</v>
      </c>
      <c r="F35395" s="38" t="s">
        <v>252</v>
      </c>
      <c r="G35395" s="49" t="str">
        <f t="shared" si="1"/>
        <v>33570</v>
      </c>
      <c r="H35395" s="49">
        <f t="shared" si="2"/>
        <v>33526</v>
      </c>
    </row>
    <row r="35396">
      <c r="A35396" s="48" t="s">
        <v>4661</v>
      </c>
      <c r="B35396" s="38">
        <v>62076.0</v>
      </c>
      <c r="C35396" s="38" t="s">
        <v>39537</v>
      </c>
      <c r="D35396" s="38" t="str">
        <f>IFERROR(__xludf.DUMMYFUNCTION("REGEXREPLACE(C35396,""-\d+(.*)|--\d+(.*)"","""")"),"BAINGHEN")</f>
        <v>BAINGHEN</v>
      </c>
      <c r="E35396" s="38" t="s">
        <v>109</v>
      </c>
      <c r="F35396" s="38" t="s">
        <v>86</v>
      </c>
      <c r="G35396" s="49" t="str">
        <f t="shared" si="1"/>
        <v>62850</v>
      </c>
      <c r="H35396" s="49">
        <f t="shared" si="2"/>
        <v>62076</v>
      </c>
    </row>
    <row r="35397">
      <c r="A35397" s="48" t="s">
        <v>1505</v>
      </c>
      <c r="B35397" s="38">
        <v>81078.0</v>
      </c>
      <c r="C35397" s="38" t="s">
        <v>39538</v>
      </c>
      <c r="D35397" s="38" t="str">
        <f>IFERROR(__xludf.DUMMYFUNCTION("REGEXREPLACE(C35397,""-\d+(.*)|--\d+(.*)"","""")"),"DAMIATTE")</f>
        <v>DAMIATTE</v>
      </c>
      <c r="E35397" s="38" t="s">
        <v>231</v>
      </c>
      <c r="F35397" s="38" t="s">
        <v>94</v>
      </c>
      <c r="G35397" s="49" t="str">
        <f t="shared" si="1"/>
        <v>81220</v>
      </c>
      <c r="H35397" s="49">
        <f t="shared" si="2"/>
        <v>81078</v>
      </c>
    </row>
    <row r="35398">
      <c r="A35398" s="48" t="s">
        <v>1932</v>
      </c>
      <c r="B35398" s="38">
        <v>70046.0</v>
      </c>
      <c r="C35398" s="38" t="s">
        <v>39539</v>
      </c>
      <c r="D35398" s="38" t="str">
        <f>IFERROR(__xludf.DUMMYFUNCTION("REGEXREPLACE(C35398,""-\d+(.*)|--\d+(.*)"","""")"),"LES AYNANS")</f>
        <v>LES AYNANS</v>
      </c>
      <c r="E35398" s="38" t="s">
        <v>956</v>
      </c>
      <c r="F35398" s="38" t="s">
        <v>214</v>
      </c>
      <c r="G35398" s="49" t="str">
        <f t="shared" si="1"/>
        <v>70200</v>
      </c>
      <c r="H35398" s="49">
        <f t="shared" si="2"/>
        <v>70046</v>
      </c>
    </row>
    <row r="35399">
      <c r="A35399" s="48" t="s">
        <v>18526</v>
      </c>
      <c r="B35399" s="38">
        <v>16261.0</v>
      </c>
      <c r="C35399" s="38" t="s">
        <v>39540</v>
      </c>
      <c r="D35399" s="38" t="str">
        <f>IFERROR(__xludf.DUMMYFUNCTION("REGEXREPLACE(C35399,""-\d+(.*)|--\d+(.*)"","""")"),"LES PINS")</f>
        <v>LES PINS</v>
      </c>
      <c r="E35399" s="38" t="s">
        <v>429</v>
      </c>
      <c r="F35399" s="38" t="s">
        <v>338</v>
      </c>
      <c r="G35399" s="49" t="str">
        <f t="shared" si="1"/>
        <v>16260</v>
      </c>
      <c r="H35399" s="49">
        <f t="shared" si="2"/>
        <v>16261</v>
      </c>
    </row>
    <row r="35400">
      <c r="A35400" s="48" t="s">
        <v>2374</v>
      </c>
      <c r="B35400" s="38">
        <v>58266.0</v>
      </c>
      <c r="C35400" s="38" t="s">
        <v>39541</v>
      </c>
      <c r="D35400" s="38" t="str">
        <f>IFERROR(__xludf.DUMMYFUNCTION("REGEXREPLACE(C35400,""-\d+(.*)|--\d+(.*)"","""")"),"SAINT-REVERIEN")</f>
        <v>SAINT-REVERIEN</v>
      </c>
      <c r="E35400" s="38" t="s">
        <v>219</v>
      </c>
      <c r="F35400" s="38" t="s">
        <v>106</v>
      </c>
      <c r="G35400" s="49" t="str">
        <f t="shared" si="1"/>
        <v>58420</v>
      </c>
      <c r="H35400" s="49">
        <f t="shared" si="2"/>
        <v>58266</v>
      </c>
    </row>
    <row r="35401">
      <c r="A35401" s="48" t="s">
        <v>582</v>
      </c>
      <c r="B35401" s="38">
        <v>39511.0</v>
      </c>
      <c r="C35401" s="38" t="s">
        <v>39542</v>
      </c>
      <c r="D35401" s="38" t="str">
        <f>IFERROR(__xludf.DUMMYFUNCTION("REGEXREPLACE(C35401,""-\d+(.*)|--\d+(.*)"","""")"),"SERGENAUX")</f>
        <v>SERGENAUX</v>
      </c>
      <c r="E35401" s="38" t="s">
        <v>400</v>
      </c>
      <c r="F35401" s="38" t="s">
        <v>214</v>
      </c>
      <c r="G35401" s="49" t="str">
        <f t="shared" si="1"/>
        <v>39230</v>
      </c>
      <c r="H35401" s="49">
        <f t="shared" si="2"/>
        <v>39511</v>
      </c>
    </row>
    <row r="35402">
      <c r="A35402" s="48" t="s">
        <v>3077</v>
      </c>
      <c r="B35402" s="38">
        <v>32173.0</v>
      </c>
      <c r="C35402" s="38" t="s">
        <v>39543</v>
      </c>
      <c r="D35402" s="38" t="str">
        <f>IFERROR(__xludf.DUMMYFUNCTION("REGEXREPLACE(C35402,""-\d+(.*)|--\d+(.*)"","""")"),"LABRIHE")</f>
        <v>LABRIHE</v>
      </c>
      <c r="E35402" s="38" t="s">
        <v>440</v>
      </c>
      <c r="F35402" s="38" t="s">
        <v>94</v>
      </c>
      <c r="G35402" s="49" t="str">
        <f t="shared" si="1"/>
        <v>32120</v>
      </c>
      <c r="H35402" s="49">
        <f t="shared" si="2"/>
        <v>32173</v>
      </c>
    </row>
    <row r="35403">
      <c r="A35403" s="48" t="s">
        <v>1252</v>
      </c>
      <c r="B35403" s="38">
        <v>72128.0</v>
      </c>
      <c r="C35403" s="38" t="s">
        <v>39544</v>
      </c>
      <c r="D35403" s="38" t="str">
        <f>IFERROR(__xludf.DUMMYFUNCTION("REGEXREPLACE(C35403,""-\d+(.*)|--\d+(.*)"","""")"),"EVAILLE")</f>
        <v>EVAILLE</v>
      </c>
      <c r="E35403" s="38" t="s">
        <v>521</v>
      </c>
      <c r="F35403" s="38" t="s">
        <v>180</v>
      </c>
      <c r="G35403" s="49" t="str">
        <f t="shared" si="1"/>
        <v>72120</v>
      </c>
      <c r="H35403" s="49">
        <f t="shared" si="2"/>
        <v>72128</v>
      </c>
    </row>
    <row r="35404">
      <c r="A35404" s="48" t="s">
        <v>10637</v>
      </c>
      <c r="B35404" s="38">
        <v>59132.0</v>
      </c>
      <c r="C35404" s="38" t="s">
        <v>39545</v>
      </c>
      <c r="D35404" s="38" t="str">
        <f>IFERROR(__xludf.DUMMYFUNCTION("REGEXREPLACE(C35404,""-\d+(.*)|--\d+(.*)"","""")"),"CARNIERES")</f>
        <v>CARNIERES</v>
      </c>
      <c r="E35404" s="38" t="s">
        <v>85</v>
      </c>
      <c r="F35404" s="38" t="s">
        <v>86</v>
      </c>
      <c r="G35404" s="49" t="str">
        <f t="shared" si="1"/>
        <v>59217</v>
      </c>
      <c r="H35404" s="49">
        <f t="shared" si="2"/>
        <v>59132</v>
      </c>
    </row>
    <row r="35405">
      <c r="A35405" s="48" t="s">
        <v>12091</v>
      </c>
      <c r="B35405" s="38">
        <v>35077.0</v>
      </c>
      <c r="C35405" s="38" t="s">
        <v>39546</v>
      </c>
      <c r="D35405" s="38" t="str">
        <f>IFERROR(__xludf.DUMMYFUNCTION("REGEXREPLACE(C35405,""-\d+(.*)|--\d+(.*)"","""")"),"CHELUN")</f>
        <v>CHELUN</v>
      </c>
      <c r="E35405" s="38" t="s">
        <v>347</v>
      </c>
      <c r="F35405" s="38" t="s">
        <v>90</v>
      </c>
      <c r="G35405" s="49" t="str">
        <f t="shared" si="1"/>
        <v>35640</v>
      </c>
      <c r="H35405" s="49">
        <f t="shared" si="2"/>
        <v>35077</v>
      </c>
    </row>
    <row r="35406">
      <c r="A35406" s="48" t="s">
        <v>23139</v>
      </c>
      <c r="B35406" s="38" t="s">
        <v>39547</v>
      </c>
      <c r="C35406" s="38" t="s">
        <v>39548</v>
      </c>
      <c r="D35406" s="38" t="str">
        <f>IFERROR(__xludf.DUMMYFUNCTION("REGEXREPLACE(C35406,""-\d+(.*)|--\d+(.*)"","""")"),"ARRO")</f>
        <v>ARRO</v>
      </c>
      <c r="E35406" s="38" t="s">
        <v>606</v>
      </c>
      <c r="F35406" s="38" t="s">
        <v>607</v>
      </c>
      <c r="G35406" s="49" t="str">
        <f t="shared" si="1"/>
        <v>20151</v>
      </c>
      <c r="H35406" s="49" t="str">
        <f t="shared" si="2"/>
        <v>2A022</v>
      </c>
    </row>
    <row r="35407">
      <c r="A35407" s="48" t="s">
        <v>7161</v>
      </c>
      <c r="B35407" s="38">
        <v>17164.0</v>
      </c>
      <c r="C35407" s="38" t="s">
        <v>32669</v>
      </c>
      <c r="D35407" s="38" t="str">
        <f>IFERROR(__xludf.DUMMYFUNCTION("REGEXREPLACE(C35407,""-\d+(.*)|--\d+(.*)"","""")"),"FONTCOUVERTE")</f>
        <v>FONTCOUVERTE</v>
      </c>
      <c r="E35407" s="38" t="s">
        <v>488</v>
      </c>
      <c r="F35407" s="38" t="s">
        <v>338</v>
      </c>
      <c r="G35407" s="49" t="str">
        <f t="shared" si="1"/>
        <v>17100</v>
      </c>
      <c r="H35407" s="49">
        <f t="shared" si="2"/>
        <v>17164</v>
      </c>
    </row>
    <row r="35408">
      <c r="A35408" s="48" t="s">
        <v>1872</v>
      </c>
      <c r="B35408" s="38">
        <v>80290.0</v>
      </c>
      <c r="C35408" s="38" t="s">
        <v>39549</v>
      </c>
      <c r="D35408" s="38" t="str">
        <f>IFERROR(__xludf.DUMMYFUNCTION("REGEXREPLACE(C35408,""-\d+(.*)|--\d+(.*)"","""")"),"ESTREES-LES-CRECY")</f>
        <v>ESTREES-LES-CRECY</v>
      </c>
      <c r="E35408" s="38" t="s">
        <v>224</v>
      </c>
      <c r="F35408" s="38" t="s">
        <v>113</v>
      </c>
      <c r="G35408" s="49" t="str">
        <f t="shared" si="1"/>
        <v>80150</v>
      </c>
      <c r="H35408" s="49">
        <f t="shared" si="2"/>
        <v>80290</v>
      </c>
    </row>
    <row r="35409">
      <c r="A35409" s="48" t="s">
        <v>1770</v>
      </c>
      <c r="B35409" s="38">
        <v>57256.0</v>
      </c>
      <c r="C35409" s="38" t="s">
        <v>39550</v>
      </c>
      <c r="D35409" s="38" t="str">
        <f>IFERROR(__xludf.DUMMYFUNCTION("REGEXREPLACE(C35409,""-\d+(.*)|--\d+(.*)"","""")"),"GRAVELOTTE")</f>
        <v>GRAVELOTTE</v>
      </c>
      <c r="E35409" s="38" t="s">
        <v>303</v>
      </c>
      <c r="F35409" s="38" t="s">
        <v>195</v>
      </c>
      <c r="G35409" s="49" t="str">
        <f t="shared" si="1"/>
        <v>57130</v>
      </c>
      <c r="H35409" s="49">
        <f t="shared" si="2"/>
        <v>57256</v>
      </c>
    </row>
    <row r="35410">
      <c r="A35410" s="48" t="s">
        <v>9817</v>
      </c>
      <c r="B35410" s="38">
        <v>85041.0</v>
      </c>
      <c r="C35410" s="38" t="s">
        <v>39551</v>
      </c>
      <c r="D35410" s="38" t="str">
        <f>IFERROR(__xludf.DUMMYFUNCTION("REGEXREPLACE(C35410,""-\d+(.*)|--\d+(.*)"","""")"),"CEZAIS")</f>
        <v>CEZAIS</v>
      </c>
      <c r="E35410" s="38" t="s">
        <v>179</v>
      </c>
      <c r="F35410" s="38" t="s">
        <v>180</v>
      </c>
      <c r="G35410" s="49" t="str">
        <f t="shared" si="1"/>
        <v>85410</v>
      </c>
      <c r="H35410" s="49">
        <f t="shared" si="2"/>
        <v>85041</v>
      </c>
    </row>
    <row r="35411">
      <c r="A35411" s="48" t="s">
        <v>1859</v>
      </c>
      <c r="B35411" s="38">
        <v>88285.0</v>
      </c>
      <c r="C35411" s="38" t="s">
        <v>39552</v>
      </c>
      <c r="D35411" s="38" t="str">
        <f>IFERROR(__xludf.DUMMYFUNCTION("REGEXREPLACE(C35411,""-\d+(.*)|--\d+(.*)"","""")"),"MANDRES-SUR-VAIR")</f>
        <v>MANDRES-SUR-VAIR</v>
      </c>
      <c r="E35411" s="38" t="s">
        <v>194</v>
      </c>
      <c r="F35411" s="38" t="s">
        <v>195</v>
      </c>
      <c r="G35411" s="49" t="str">
        <f t="shared" si="1"/>
        <v>88800</v>
      </c>
      <c r="H35411" s="49">
        <f t="shared" si="2"/>
        <v>88285</v>
      </c>
    </row>
    <row r="35412">
      <c r="A35412" s="48" t="s">
        <v>29271</v>
      </c>
      <c r="B35412" s="38">
        <v>9073.0</v>
      </c>
      <c r="C35412" s="38" t="s">
        <v>39553</v>
      </c>
      <c r="D35412" s="38" t="str">
        <f>IFERROR(__xludf.DUMMYFUNCTION("REGEXREPLACE(C35412,""-\d+(.*)|--\d+(.*)"","""")"),"CAMARADE")</f>
        <v>CAMARADE</v>
      </c>
      <c r="E35412" s="38" t="s">
        <v>238</v>
      </c>
      <c r="F35412" s="38" t="s">
        <v>94</v>
      </c>
      <c r="G35412" s="49" t="str">
        <f t="shared" si="1"/>
        <v>09290</v>
      </c>
      <c r="H35412" s="49" t="str">
        <f t="shared" si="2"/>
        <v>09073</v>
      </c>
    </row>
    <row r="35413">
      <c r="A35413" s="48" t="s">
        <v>39554</v>
      </c>
      <c r="B35413" s="38">
        <v>56087.0</v>
      </c>
      <c r="C35413" s="38" t="s">
        <v>39555</v>
      </c>
      <c r="D35413" s="38" t="str">
        <f>IFERROR(__xludf.DUMMYFUNCTION("REGEXREPLACE(C35413,""-\d+(.*)|--\d+(.*)"","""")"),"ILE-AUX-MOINES")</f>
        <v>ILE-AUX-MOINES</v>
      </c>
      <c r="E35413" s="38" t="s">
        <v>173</v>
      </c>
      <c r="F35413" s="38" t="s">
        <v>90</v>
      </c>
      <c r="G35413" s="49" t="str">
        <f t="shared" si="1"/>
        <v>56780</v>
      </c>
      <c r="H35413" s="49">
        <f t="shared" si="2"/>
        <v>56087</v>
      </c>
    </row>
    <row r="35414">
      <c r="A35414" s="48" t="s">
        <v>10716</v>
      </c>
      <c r="B35414" s="38">
        <v>37242.0</v>
      </c>
      <c r="C35414" s="38" t="s">
        <v>39556</v>
      </c>
      <c r="D35414" s="38" t="str">
        <f>IFERROR(__xludf.DUMMYFUNCTION("REGEXREPLACE(C35414,""-\d+(.*)|--\d+(.*)"","""")"),"SAVIGNY-EN-VERON")</f>
        <v>SAVIGNY-EN-VERON</v>
      </c>
      <c r="E35414" s="38" t="s">
        <v>205</v>
      </c>
      <c r="F35414" s="38" t="s">
        <v>123</v>
      </c>
      <c r="G35414" s="49" t="str">
        <f t="shared" si="1"/>
        <v>37420</v>
      </c>
      <c r="H35414" s="49">
        <f t="shared" si="2"/>
        <v>37242</v>
      </c>
    </row>
    <row r="35415">
      <c r="A35415" s="48" t="s">
        <v>3612</v>
      </c>
      <c r="B35415" s="38">
        <v>60087.0</v>
      </c>
      <c r="C35415" s="38" t="s">
        <v>39557</v>
      </c>
      <c r="D35415" s="38" t="str">
        <f>IFERROR(__xludf.DUMMYFUNCTION("REGEXREPLACE(C35415,""-\d+(.*)|--\d+(.*)"","""")"),"BOREST")</f>
        <v>BOREST</v>
      </c>
      <c r="E35415" s="38" t="s">
        <v>112</v>
      </c>
      <c r="F35415" s="38" t="s">
        <v>113</v>
      </c>
      <c r="G35415" s="49" t="str">
        <f t="shared" si="1"/>
        <v>60300</v>
      </c>
      <c r="H35415" s="49">
        <f t="shared" si="2"/>
        <v>60087</v>
      </c>
    </row>
    <row r="35416">
      <c r="A35416" s="48" t="s">
        <v>39558</v>
      </c>
      <c r="B35416" s="38">
        <v>78498.0</v>
      </c>
      <c r="C35416" s="38" t="s">
        <v>39559</v>
      </c>
      <c r="D35416" s="38" t="str">
        <f>IFERROR(__xludf.DUMMYFUNCTION("REGEXREPLACE(C35416,""-\d+(.*)|--\d+(.*)"","""")"),"POISSY")</f>
        <v>POISSY</v>
      </c>
      <c r="E35416" s="38" t="s">
        <v>362</v>
      </c>
      <c r="F35416" s="38" t="s">
        <v>245</v>
      </c>
      <c r="G35416" s="49" t="str">
        <f t="shared" si="1"/>
        <v>78300</v>
      </c>
      <c r="H35416" s="49">
        <f t="shared" si="2"/>
        <v>78498</v>
      </c>
    </row>
    <row r="35417">
      <c r="A35417" s="48" t="s">
        <v>14808</v>
      </c>
      <c r="B35417" s="38">
        <v>25043.0</v>
      </c>
      <c r="C35417" s="38" t="s">
        <v>39560</v>
      </c>
      <c r="D35417" s="38" t="str">
        <f>IFERROR(__xludf.DUMMYFUNCTION("REGEXREPLACE(C35417,""-\d+(.*)|--\d+(.*)"","""")"),"BART")</f>
        <v>BART</v>
      </c>
      <c r="E35417" s="38" t="s">
        <v>213</v>
      </c>
      <c r="F35417" s="38" t="s">
        <v>214</v>
      </c>
      <c r="G35417" s="49" t="str">
        <f t="shared" si="1"/>
        <v>25420</v>
      </c>
      <c r="H35417" s="49">
        <f t="shared" si="2"/>
        <v>25043</v>
      </c>
    </row>
    <row r="35418">
      <c r="A35418" s="48" t="s">
        <v>1368</v>
      </c>
      <c r="B35418" s="38">
        <v>8493.0</v>
      </c>
      <c r="C35418" s="38" t="s">
        <v>39561</v>
      </c>
      <c r="D35418" s="38" t="str">
        <f>IFERROR(__xludf.DUMMYFUNCTION("REGEXREPLACE(C35418,""-\d+(.*)|--\d+(.*)"","""")"),"VRIZY")</f>
        <v>VRIZY</v>
      </c>
      <c r="E35418" s="38" t="s">
        <v>327</v>
      </c>
      <c r="F35418" s="38" t="s">
        <v>130</v>
      </c>
      <c r="G35418" s="49" t="str">
        <f t="shared" si="1"/>
        <v>08400</v>
      </c>
      <c r="H35418" s="49" t="str">
        <f t="shared" si="2"/>
        <v>08493</v>
      </c>
    </row>
    <row r="35419">
      <c r="A35419" s="48" t="s">
        <v>3071</v>
      </c>
      <c r="B35419" s="38">
        <v>59310.0</v>
      </c>
      <c r="C35419" s="38" t="s">
        <v>39562</v>
      </c>
      <c r="D35419" s="38" t="str">
        <f>IFERROR(__xludf.DUMMYFUNCTION("REGEXREPLACE(C35419,""-\d+(.*)|--\d+(.*)"","""")"),"HON-HERGIES")</f>
        <v>HON-HERGIES</v>
      </c>
      <c r="E35419" s="38" t="s">
        <v>85</v>
      </c>
      <c r="F35419" s="38" t="s">
        <v>86</v>
      </c>
      <c r="G35419" s="49" t="str">
        <f t="shared" si="1"/>
        <v>59570</v>
      </c>
      <c r="H35419" s="49">
        <f t="shared" si="2"/>
        <v>59310</v>
      </c>
    </row>
    <row r="35420">
      <c r="A35420" s="48" t="s">
        <v>6566</v>
      </c>
      <c r="B35420" s="38">
        <v>49019.0</v>
      </c>
      <c r="C35420" s="38" t="s">
        <v>39563</v>
      </c>
      <c r="D35420" s="38" t="str">
        <f>IFERROR(__xludf.DUMMYFUNCTION("REGEXREPLACE(C35420,""-\d+(.*)|--\d+(.*)"","""")"),"BAUNE")</f>
        <v>BAUNE</v>
      </c>
      <c r="E35420" s="38" t="s">
        <v>653</v>
      </c>
      <c r="F35420" s="38" t="s">
        <v>180</v>
      </c>
      <c r="G35420" s="49" t="str">
        <f t="shared" si="1"/>
        <v>49140</v>
      </c>
      <c r="H35420" s="49">
        <f t="shared" si="2"/>
        <v>49019</v>
      </c>
    </row>
    <row r="35421">
      <c r="A35421" s="48" t="s">
        <v>2661</v>
      </c>
      <c r="B35421" s="38">
        <v>50216.0</v>
      </c>
      <c r="C35421" s="38" t="s">
        <v>39564</v>
      </c>
      <c r="D35421" s="38" t="str">
        <f>IFERROR(__xludf.DUMMYFUNCTION("REGEXREPLACE(C35421,""-\d+(.*)|--\d+(.*)"","""")"),"GRAIGNES-MESNIL-ANGOT")</f>
        <v>GRAIGNES-MESNIL-ANGOT</v>
      </c>
      <c r="E35421" s="38" t="s">
        <v>157</v>
      </c>
      <c r="F35421" s="38" t="s">
        <v>138</v>
      </c>
      <c r="G35421" s="49" t="str">
        <f t="shared" si="1"/>
        <v>50620</v>
      </c>
      <c r="H35421" s="49">
        <f t="shared" si="2"/>
        <v>50216</v>
      </c>
    </row>
    <row r="35422">
      <c r="A35422" s="48" t="s">
        <v>2579</v>
      </c>
      <c r="B35422" s="38">
        <v>32242.0</v>
      </c>
      <c r="C35422" s="38" t="s">
        <v>39565</v>
      </c>
      <c r="D35422" s="38" t="str">
        <f>IFERROR(__xludf.DUMMYFUNCTION("REGEXREPLACE(C35422,""-\d+(.*)|--\d+(.*)"","""")"),"MASSEUBE")</f>
        <v>MASSEUBE</v>
      </c>
      <c r="E35422" s="38" t="s">
        <v>440</v>
      </c>
      <c r="F35422" s="38" t="s">
        <v>94</v>
      </c>
      <c r="G35422" s="49" t="str">
        <f t="shared" si="1"/>
        <v>32140</v>
      </c>
      <c r="H35422" s="49">
        <f t="shared" si="2"/>
        <v>32242</v>
      </c>
    </row>
    <row r="35423">
      <c r="A35423" s="48" t="s">
        <v>19921</v>
      </c>
      <c r="B35423" s="38">
        <v>57254.0</v>
      </c>
      <c r="C35423" s="38" t="s">
        <v>39566</v>
      </c>
      <c r="D35423" s="38" t="str">
        <f>IFERROR(__xludf.DUMMYFUNCTION("REGEXREPLACE(C35423,""-\d+(.*)|--\d+(.*)"","""")"),"GORZE")</f>
        <v>GORZE</v>
      </c>
      <c r="E35423" s="38" t="s">
        <v>303</v>
      </c>
      <c r="F35423" s="38" t="s">
        <v>195</v>
      </c>
      <c r="G35423" s="49" t="str">
        <f t="shared" si="1"/>
        <v>57680</v>
      </c>
      <c r="H35423" s="49">
        <f t="shared" si="2"/>
        <v>57254</v>
      </c>
    </row>
    <row r="35424">
      <c r="A35424" s="48" t="s">
        <v>2805</v>
      </c>
      <c r="B35424" s="38">
        <v>23031.0</v>
      </c>
      <c r="C35424" s="38" t="s">
        <v>4755</v>
      </c>
      <c r="D35424" s="38" t="str">
        <f>IFERROR(__xludf.DUMMYFUNCTION("REGEXREPLACE(C35424,""-\d+(.*)|--\d+(.*)"","""")"),"BOUSSAC")</f>
        <v>BOUSSAC</v>
      </c>
      <c r="E35424" s="38" t="s">
        <v>97</v>
      </c>
      <c r="F35424" s="38" t="s">
        <v>98</v>
      </c>
      <c r="G35424" s="49" t="str">
        <f t="shared" si="1"/>
        <v>23600</v>
      </c>
      <c r="H35424" s="49">
        <f t="shared" si="2"/>
        <v>23031</v>
      </c>
    </row>
    <row r="35425">
      <c r="A35425" s="48" t="s">
        <v>13443</v>
      </c>
      <c r="B35425" s="38">
        <v>84095.0</v>
      </c>
      <c r="C35425" s="38" t="s">
        <v>39567</v>
      </c>
      <c r="D35425" s="38" t="str">
        <f>IFERROR(__xludf.DUMMYFUNCTION("REGEXREPLACE(C35425,""-\d+(.*)|--\d+(.*)"","""")"),"PUYVERT")</f>
        <v>PUYVERT</v>
      </c>
      <c r="E35425" s="38" t="s">
        <v>1026</v>
      </c>
      <c r="F35425" s="38" t="s">
        <v>228</v>
      </c>
      <c r="G35425" s="49" t="str">
        <f t="shared" si="1"/>
        <v>84160</v>
      </c>
      <c r="H35425" s="49">
        <f t="shared" si="2"/>
        <v>84095</v>
      </c>
    </row>
    <row r="35426">
      <c r="A35426" s="48" t="s">
        <v>12805</v>
      </c>
      <c r="B35426" s="38">
        <v>87071.0</v>
      </c>
      <c r="C35426" s="38" t="s">
        <v>39568</v>
      </c>
      <c r="D35426" s="38" t="str">
        <f>IFERROR(__xludf.DUMMYFUNCTION("REGEXREPLACE(C35426,""-\d+(.*)|--\d+(.*)"","""")"),"GLANDON")</f>
        <v>GLANDON</v>
      </c>
      <c r="E35426" s="38" t="s">
        <v>897</v>
      </c>
      <c r="F35426" s="38" t="s">
        <v>98</v>
      </c>
      <c r="G35426" s="49" t="str">
        <f t="shared" si="1"/>
        <v>87500</v>
      </c>
      <c r="H35426" s="49">
        <f t="shared" si="2"/>
        <v>87071</v>
      </c>
    </row>
    <row r="35427">
      <c r="A35427" s="48" t="s">
        <v>6868</v>
      </c>
      <c r="B35427" s="38" t="s">
        <v>39569</v>
      </c>
      <c r="C35427" s="38" t="s">
        <v>39570</v>
      </c>
      <c r="D35427" s="38" t="str">
        <f>IFERROR(__xludf.DUMMYFUNCTION("REGEXREPLACE(C35427,""-\d+(.*)|--\d+(.*)"","""")"),"ROSPIGLIANI")</f>
        <v>ROSPIGLIANI</v>
      </c>
      <c r="E35427" s="38" t="s">
        <v>743</v>
      </c>
      <c r="F35427" s="38" t="s">
        <v>607</v>
      </c>
      <c r="G35427" s="49" t="str">
        <f t="shared" si="1"/>
        <v>20242</v>
      </c>
      <c r="H35427" s="49" t="str">
        <f t="shared" si="2"/>
        <v>2B263</v>
      </c>
    </row>
    <row r="35428">
      <c r="A35428" s="48" t="s">
        <v>7052</v>
      </c>
      <c r="B35428" s="38">
        <v>10224.0</v>
      </c>
      <c r="C35428" s="38" t="s">
        <v>39571</v>
      </c>
      <c r="D35428" s="38" t="str">
        <f>IFERROR(__xludf.DUMMYFUNCTION("REGEXREPLACE(C35428,""-\d+(.*)|--\d+(.*)"","""")"),"MARIGNY-LE-CHATEL")</f>
        <v>MARIGNY-LE-CHATEL</v>
      </c>
      <c r="E35428" s="38" t="s">
        <v>147</v>
      </c>
      <c r="F35428" s="38" t="s">
        <v>130</v>
      </c>
      <c r="G35428" s="49" t="str">
        <f t="shared" si="1"/>
        <v>10350</v>
      </c>
      <c r="H35428" s="49">
        <f t="shared" si="2"/>
        <v>10224</v>
      </c>
    </row>
    <row r="35429">
      <c r="A35429" s="48" t="s">
        <v>5056</v>
      </c>
      <c r="B35429" s="38">
        <v>85146.0</v>
      </c>
      <c r="C35429" s="38" t="s">
        <v>9492</v>
      </c>
      <c r="D35429" s="38" t="str">
        <f>IFERROR(__xludf.DUMMYFUNCTION("REGEXREPLACE(C35429,""-\d+(.*)|--\d+(.*)"","""")"),"MONTAIGU")</f>
        <v>MONTAIGU</v>
      </c>
      <c r="E35429" s="38" t="s">
        <v>179</v>
      </c>
      <c r="F35429" s="38" t="s">
        <v>180</v>
      </c>
      <c r="G35429" s="49" t="str">
        <f t="shared" si="1"/>
        <v>85600</v>
      </c>
      <c r="H35429" s="49">
        <f t="shared" si="2"/>
        <v>85146</v>
      </c>
    </row>
    <row r="35430">
      <c r="A35430" s="48" t="s">
        <v>3351</v>
      </c>
      <c r="B35430" s="38">
        <v>69145.0</v>
      </c>
      <c r="C35430" s="38" t="s">
        <v>39572</v>
      </c>
      <c r="D35430" s="38" t="str">
        <f>IFERROR(__xludf.DUMMYFUNCTION("REGEXREPLACE(C35430,""-\d+(.*)|--\d+(.*)"","""")"),"ODENAS")</f>
        <v>ODENAS</v>
      </c>
      <c r="E35430" s="38" t="s">
        <v>350</v>
      </c>
      <c r="F35430" s="38" t="s">
        <v>102</v>
      </c>
      <c r="G35430" s="49" t="str">
        <f t="shared" si="1"/>
        <v>69460</v>
      </c>
      <c r="H35430" s="49">
        <f t="shared" si="2"/>
        <v>69145</v>
      </c>
    </row>
    <row r="35431">
      <c r="A35431" s="48" t="s">
        <v>1616</v>
      </c>
      <c r="B35431" s="38">
        <v>10330.0</v>
      </c>
      <c r="C35431" s="38" t="s">
        <v>39573</v>
      </c>
      <c r="D35431" s="38" t="str">
        <f>IFERROR(__xludf.DUMMYFUNCTION("REGEXREPLACE(C35431,""-\d+(.*)|--\d+(.*)"","""")"),"ROUVRES-LES-VIGNES")</f>
        <v>ROUVRES-LES-VIGNES</v>
      </c>
      <c r="E35431" s="38" t="s">
        <v>147</v>
      </c>
      <c r="F35431" s="38" t="s">
        <v>130</v>
      </c>
      <c r="G35431" s="49" t="str">
        <f t="shared" si="1"/>
        <v>10200</v>
      </c>
      <c r="H35431" s="49">
        <f t="shared" si="2"/>
        <v>10330</v>
      </c>
    </row>
    <row r="35432">
      <c r="A35432" s="48" t="s">
        <v>2534</v>
      </c>
      <c r="B35432" s="38">
        <v>27616.0</v>
      </c>
      <c r="C35432" s="38" t="s">
        <v>39574</v>
      </c>
      <c r="D35432" s="38" t="str">
        <f>IFERROR(__xludf.DUMMYFUNCTION("REGEXREPLACE(C35432,""-\d+(.*)|--\d+(.*)"","""")"),"LA SAUSSAYE")</f>
        <v>LA SAUSSAYE</v>
      </c>
      <c r="E35432" s="38" t="s">
        <v>241</v>
      </c>
      <c r="F35432" s="38" t="s">
        <v>134</v>
      </c>
      <c r="G35432" s="49" t="str">
        <f t="shared" si="1"/>
        <v>27370</v>
      </c>
      <c r="H35432" s="49">
        <f t="shared" si="2"/>
        <v>27616</v>
      </c>
    </row>
    <row r="35433">
      <c r="A35433" s="48" t="s">
        <v>11810</v>
      </c>
      <c r="B35433" s="38">
        <v>50294.0</v>
      </c>
      <c r="C35433" s="38" t="s">
        <v>39575</v>
      </c>
      <c r="D35433" s="38" t="str">
        <f>IFERROR(__xludf.DUMMYFUNCTION("REGEXREPLACE(C35433,""-\d+(.*)|--\d+(.*)"","""")"),"MARTINVAST")</f>
        <v>MARTINVAST</v>
      </c>
      <c r="E35433" s="38" t="s">
        <v>157</v>
      </c>
      <c r="F35433" s="38" t="s">
        <v>138</v>
      </c>
      <c r="G35433" s="49" t="str">
        <f t="shared" si="1"/>
        <v>50690</v>
      </c>
      <c r="H35433" s="49">
        <f t="shared" si="2"/>
        <v>50294</v>
      </c>
    </row>
    <row r="35434">
      <c r="A35434" s="48" t="s">
        <v>505</v>
      </c>
      <c r="B35434" s="38">
        <v>12217.0</v>
      </c>
      <c r="C35434" s="38" t="s">
        <v>1715</v>
      </c>
      <c r="D35434" s="38" t="str">
        <f>IFERROR(__xludf.DUMMYFUNCTION("REGEXREPLACE(C35434,""-\d+(.*)|--\d+(.*)"","""")"),"SAINTE-CROIX")</f>
        <v>SAINTE-CROIX</v>
      </c>
      <c r="E35434" s="38" t="s">
        <v>465</v>
      </c>
      <c r="F35434" s="38" t="s">
        <v>94</v>
      </c>
      <c r="G35434" s="49" t="str">
        <f t="shared" si="1"/>
        <v>12260</v>
      </c>
      <c r="H35434" s="49">
        <f t="shared" si="2"/>
        <v>12217</v>
      </c>
    </row>
    <row r="35435">
      <c r="A35435" s="48" t="s">
        <v>9995</v>
      </c>
      <c r="B35435" s="38">
        <v>49028.0</v>
      </c>
      <c r="C35435" s="38" t="s">
        <v>39576</v>
      </c>
      <c r="D35435" s="38" t="str">
        <f>IFERROR(__xludf.DUMMYFUNCTION("REGEXREPLACE(C35435,""-\d+(.*)|--\d+(.*)"","""")"),"BEHUARD")</f>
        <v>BEHUARD</v>
      </c>
      <c r="E35435" s="38" t="s">
        <v>653</v>
      </c>
      <c r="F35435" s="38" t="s">
        <v>180</v>
      </c>
      <c r="G35435" s="49" t="str">
        <f t="shared" si="1"/>
        <v>49170</v>
      </c>
      <c r="H35435" s="49">
        <f t="shared" si="2"/>
        <v>49028</v>
      </c>
    </row>
    <row r="35436">
      <c r="A35436" s="48" t="s">
        <v>4697</v>
      </c>
      <c r="B35436" s="38">
        <v>67297.0</v>
      </c>
      <c r="C35436" s="38" t="s">
        <v>39577</v>
      </c>
      <c r="D35436" s="38" t="str">
        <f>IFERROR(__xludf.DUMMYFUNCTION("REGEXREPLACE(C35436,""-\d+(.*)|--\d+(.*)"","""")"),"MITTELHAUSEN")</f>
        <v>MITTELHAUSEN</v>
      </c>
      <c r="E35436" s="38" t="s">
        <v>210</v>
      </c>
      <c r="F35436" s="38" t="s">
        <v>151</v>
      </c>
      <c r="G35436" s="49" t="str">
        <f t="shared" si="1"/>
        <v>67170</v>
      </c>
      <c r="H35436" s="49">
        <f t="shared" si="2"/>
        <v>67297</v>
      </c>
    </row>
    <row r="35437">
      <c r="A35437" s="48" t="s">
        <v>10282</v>
      </c>
      <c r="B35437" s="38">
        <v>81258.0</v>
      </c>
      <c r="C35437" s="38" t="s">
        <v>39578</v>
      </c>
      <c r="D35437" s="38" t="str">
        <f>IFERROR(__xludf.DUMMYFUNCTION("REGEXREPLACE(C35437,""-\d+(.*)|--\d+(.*)"","""")"),"SAINT-JULIEN-DU-PUY")</f>
        <v>SAINT-JULIEN-DU-PUY</v>
      </c>
      <c r="E35437" s="38" t="s">
        <v>231</v>
      </c>
      <c r="F35437" s="38" t="s">
        <v>94</v>
      </c>
      <c r="G35437" s="49" t="str">
        <f t="shared" si="1"/>
        <v>81440</v>
      </c>
      <c r="H35437" s="49">
        <f t="shared" si="2"/>
        <v>81258</v>
      </c>
    </row>
    <row r="35438">
      <c r="A35438" s="48" t="s">
        <v>3948</v>
      </c>
      <c r="B35438" s="38">
        <v>21116.0</v>
      </c>
      <c r="C35438" s="38" t="s">
        <v>39579</v>
      </c>
      <c r="D35438" s="38" t="str">
        <f>IFERROR(__xludf.DUMMYFUNCTION("REGEXREPLACE(C35438,""-\d+(.*)|--\d+(.*)"","""")"),"BURE-LES-TEMPLIERS")</f>
        <v>BURE-LES-TEMPLIERS</v>
      </c>
      <c r="E35438" s="38" t="s">
        <v>105</v>
      </c>
      <c r="F35438" s="38" t="s">
        <v>106</v>
      </c>
      <c r="G35438" s="49" t="str">
        <f t="shared" si="1"/>
        <v>21290</v>
      </c>
      <c r="H35438" s="49">
        <f t="shared" si="2"/>
        <v>21116</v>
      </c>
    </row>
    <row r="35439">
      <c r="A35439" s="48" t="s">
        <v>5273</v>
      </c>
      <c r="B35439" s="38">
        <v>53150.0</v>
      </c>
      <c r="C35439" s="38" t="s">
        <v>39580</v>
      </c>
      <c r="D35439" s="38" t="str">
        <f>IFERROR(__xludf.DUMMYFUNCTION("REGEXREPLACE(C35439,""-\d+(.*)|--\d+(.*)"","""")"),"MENIL")</f>
        <v>MENIL</v>
      </c>
      <c r="E35439" s="38" t="s">
        <v>518</v>
      </c>
      <c r="F35439" s="38" t="s">
        <v>180</v>
      </c>
      <c r="G35439" s="49" t="str">
        <f t="shared" si="1"/>
        <v>53200</v>
      </c>
      <c r="H35439" s="49">
        <f t="shared" si="2"/>
        <v>53150</v>
      </c>
    </row>
    <row r="35440">
      <c r="A35440" s="48" t="s">
        <v>4388</v>
      </c>
      <c r="B35440" s="38">
        <v>31349.0</v>
      </c>
      <c r="C35440" s="38" t="s">
        <v>39581</v>
      </c>
      <c r="D35440" s="38" t="str">
        <f>IFERROR(__xludf.DUMMYFUNCTION("REGEXREPLACE(C35440,""-\d+(.*)|--\d+(.*)"","""")"),"MONDAVEZAN")</f>
        <v>MONDAVEZAN</v>
      </c>
      <c r="E35440" s="38" t="s">
        <v>93</v>
      </c>
      <c r="F35440" s="38" t="s">
        <v>94</v>
      </c>
      <c r="G35440" s="49" t="str">
        <f t="shared" si="1"/>
        <v>31220</v>
      </c>
      <c r="H35440" s="49">
        <f t="shared" si="2"/>
        <v>31349</v>
      </c>
    </row>
    <row r="35441">
      <c r="A35441" s="48" t="s">
        <v>2710</v>
      </c>
      <c r="B35441" s="38">
        <v>68380.0</v>
      </c>
      <c r="C35441" s="38" t="s">
        <v>39582</v>
      </c>
      <c r="D35441" s="38" t="str">
        <f>IFERROR(__xludf.DUMMYFUNCTION("REGEXREPLACE(C35441,""-\d+(.*)|--\d+(.*)"","""")"),"WOLSCHWILLER")</f>
        <v>WOLSCHWILLER</v>
      </c>
      <c r="E35441" s="38" t="s">
        <v>150</v>
      </c>
      <c r="F35441" s="38" t="s">
        <v>151</v>
      </c>
      <c r="G35441" s="49" t="str">
        <f t="shared" si="1"/>
        <v>68480</v>
      </c>
      <c r="H35441" s="49">
        <f t="shared" si="2"/>
        <v>68380</v>
      </c>
    </row>
    <row r="35442">
      <c r="A35442" s="48" t="s">
        <v>17169</v>
      </c>
      <c r="B35442" s="38">
        <v>27445.0</v>
      </c>
      <c r="C35442" s="38" t="s">
        <v>21926</v>
      </c>
      <c r="D35442" s="38" t="str">
        <f>IFERROR(__xludf.DUMMYFUNCTION("REGEXREPLACE(C35442,""-\d+(.*)|--\d+(.*)"","""")"),"NOYERS")</f>
        <v>NOYERS</v>
      </c>
      <c r="E35442" s="38" t="s">
        <v>241</v>
      </c>
      <c r="F35442" s="38" t="s">
        <v>134</v>
      </c>
      <c r="G35442" s="49" t="str">
        <f t="shared" si="1"/>
        <v>27720</v>
      </c>
      <c r="H35442" s="49">
        <f t="shared" si="2"/>
        <v>27445</v>
      </c>
    </row>
    <row r="35443">
      <c r="A35443" s="48" t="s">
        <v>3920</v>
      </c>
      <c r="B35443" s="38">
        <v>50470.0</v>
      </c>
      <c r="C35443" s="38" t="s">
        <v>39583</v>
      </c>
      <c r="D35443" s="38" t="str">
        <f>IFERROR(__xludf.DUMMYFUNCTION("REGEXREPLACE(C35443,""-\d+(.*)|--\d+(.*)"","""")"),"SAINT-GEORGES-DE-BOHON")</f>
        <v>SAINT-GEORGES-DE-BOHON</v>
      </c>
      <c r="E35443" s="38" t="s">
        <v>157</v>
      </c>
      <c r="F35443" s="38" t="s">
        <v>138</v>
      </c>
      <c r="G35443" s="49" t="str">
        <f t="shared" si="1"/>
        <v>50500</v>
      </c>
      <c r="H35443" s="49">
        <f t="shared" si="2"/>
        <v>50470</v>
      </c>
    </row>
    <row r="35444">
      <c r="A35444" s="48" t="s">
        <v>1607</v>
      </c>
      <c r="B35444" s="38">
        <v>81143.0</v>
      </c>
      <c r="C35444" s="38" t="s">
        <v>39584</v>
      </c>
      <c r="D35444" s="38" t="str">
        <f>IFERROR(__xludf.DUMMYFUNCTION("REGEXREPLACE(C35444,""-\d+(.*)|--\d+(.*)"","""")"),"LESCOUT")</f>
        <v>LESCOUT</v>
      </c>
      <c r="E35444" s="38" t="s">
        <v>231</v>
      </c>
      <c r="F35444" s="38" t="s">
        <v>94</v>
      </c>
      <c r="G35444" s="49" t="str">
        <f t="shared" si="1"/>
        <v>81110</v>
      </c>
      <c r="H35444" s="49">
        <f t="shared" si="2"/>
        <v>81143</v>
      </c>
    </row>
    <row r="35445">
      <c r="A35445" s="48" t="s">
        <v>6266</v>
      </c>
      <c r="B35445" s="38">
        <v>76088.0</v>
      </c>
      <c r="C35445" s="38" t="s">
        <v>39585</v>
      </c>
      <c r="D35445" s="38" t="str">
        <f>IFERROR(__xludf.DUMMYFUNCTION("REGEXREPLACE(C35445,""-\d+(.*)|--\d+(.*)"","""")"),"BERVILLE-SUR-SEINE")</f>
        <v>BERVILLE-SUR-SEINE</v>
      </c>
      <c r="E35445" s="38" t="s">
        <v>133</v>
      </c>
      <c r="F35445" s="38" t="s">
        <v>134</v>
      </c>
      <c r="G35445" s="49" t="str">
        <f t="shared" si="1"/>
        <v>76480</v>
      </c>
      <c r="H35445" s="49">
        <f t="shared" si="2"/>
        <v>76088</v>
      </c>
    </row>
    <row r="35446">
      <c r="A35446" s="48" t="s">
        <v>10209</v>
      </c>
      <c r="B35446" s="38">
        <v>3108.0</v>
      </c>
      <c r="C35446" s="38" t="s">
        <v>39586</v>
      </c>
      <c r="D35446" s="38" t="str">
        <f>IFERROR(__xludf.DUMMYFUNCTION("REGEXREPLACE(C35446,""-\d+(.*)|--\d+(.*)"","""")"),"ECHASSIERES")</f>
        <v>ECHASSIERES</v>
      </c>
      <c r="E35446" s="38" t="s">
        <v>160</v>
      </c>
      <c r="F35446" s="38" t="s">
        <v>161</v>
      </c>
      <c r="G35446" s="49" t="str">
        <f t="shared" si="1"/>
        <v>03330</v>
      </c>
      <c r="H35446" s="49" t="str">
        <f t="shared" si="2"/>
        <v>03108</v>
      </c>
    </row>
    <row r="35447">
      <c r="A35447" s="48" t="s">
        <v>39587</v>
      </c>
      <c r="B35447" s="38">
        <v>97403.0</v>
      </c>
      <c r="C35447" s="38" t="s">
        <v>39588</v>
      </c>
      <c r="D35447" s="38" t="str">
        <f>IFERROR(__xludf.DUMMYFUNCTION("REGEXREPLACE(C35447,""-\d+(.*)|--\d+(.*)"","""")"),"ENTRE-DEUX")</f>
        <v>ENTRE-DEUX</v>
      </c>
      <c r="E35447" s="38" t="s">
        <v>7739</v>
      </c>
      <c r="F35447" s="38" t="s">
        <v>7739</v>
      </c>
      <c r="G35447" s="49" t="str">
        <f t="shared" si="1"/>
        <v>97414</v>
      </c>
      <c r="H35447" s="49">
        <f t="shared" si="2"/>
        <v>97403</v>
      </c>
    </row>
    <row r="35448">
      <c r="A35448" s="48" t="s">
        <v>11538</v>
      </c>
      <c r="B35448" s="38">
        <v>61432.0</v>
      </c>
      <c r="C35448" s="38" t="s">
        <v>39589</v>
      </c>
      <c r="D35448" s="38" t="str">
        <f>IFERROR(__xludf.DUMMYFUNCTION("REGEXREPLACE(C35448,""-\d+(.*)|--\d+(.*)"","""")"),"SAINT-MICHEL-TUBOEUF")</f>
        <v>SAINT-MICHEL-TUBOEUF</v>
      </c>
      <c r="E35448" s="38" t="s">
        <v>141</v>
      </c>
      <c r="F35448" s="38" t="s">
        <v>138</v>
      </c>
      <c r="G35448" s="49" t="str">
        <f t="shared" si="1"/>
        <v>61300</v>
      </c>
      <c r="H35448" s="49">
        <f t="shared" si="2"/>
        <v>61432</v>
      </c>
    </row>
    <row r="35449">
      <c r="A35449" s="48" t="s">
        <v>8414</v>
      </c>
      <c r="B35449" s="38">
        <v>60112.0</v>
      </c>
      <c r="C35449" s="38" t="s">
        <v>39590</v>
      </c>
      <c r="D35449" s="38" t="str">
        <f>IFERROR(__xludf.DUMMYFUNCTION("REGEXREPLACE(C35449,""-\d+(.*)|--\d+(.*)"","""")"),"BRUNVILLERS-LA-MOTTE")</f>
        <v>BRUNVILLERS-LA-MOTTE</v>
      </c>
      <c r="E35449" s="38" t="s">
        <v>112</v>
      </c>
      <c r="F35449" s="38" t="s">
        <v>113</v>
      </c>
      <c r="G35449" s="49" t="str">
        <f t="shared" si="1"/>
        <v>60130</v>
      </c>
      <c r="H35449" s="49">
        <f t="shared" si="2"/>
        <v>60112</v>
      </c>
    </row>
    <row r="35450">
      <c r="A35450" s="48" t="s">
        <v>3681</v>
      </c>
      <c r="B35450" s="38">
        <v>39552.0</v>
      </c>
      <c r="C35450" s="38" t="s">
        <v>39591</v>
      </c>
      <c r="D35450" s="38" t="str">
        <f>IFERROR(__xludf.DUMMYFUNCTION("REGEXREPLACE(C35450,""-\d+(.*)|--\d+(.*)"","""")"),"VERNANTOIS")</f>
        <v>VERNANTOIS</v>
      </c>
      <c r="E35450" s="38" t="s">
        <v>400</v>
      </c>
      <c r="F35450" s="38" t="s">
        <v>214</v>
      </c>
      <c r="G35450" s="49" t="str">
        <f t="shared" si="1"/>
        <v>39570</v>
      </c>
      <c r="H35450" s="49">
        <f t="shared" si="2"/>
        <v>39552</v>
      </c>
    </row>
    <row r="35451">
      <c r="A35451" s="48" t="s">
        <v>7514</v>
      </c>
      <c r="B35451" s="38">
        <v>88241.0</v>
      </c>
      <c r="C35451" s="38" t="s">
        <v>39592</v>
      </c>
      <c r="D35451" s="38" t="str">
        <f>IFERROR(__xludf.DUMMYFUNCTION("REGEXREPLACE(C35451,""-\d+(.*)|--\d+(.*)"","""")"),"HOUECOURT")</f>
        <v>HOUECOURT</v>
      </c>
      <c r="E35451" s="38" t="s">
        <v>194</v>
      </c>
      <c r="F35451" s="38" t="s">
        <v>195</v>
      </c>
      <c r="G35451" s="49" t="str">
        <f t="shared" si="1"/>
        <v>88170</v>
      </c>
      <c r="H35451" s="49">
        <f t="shared" si="2"/>
        <v>88241</v>
      </c>
    </row>
    <row r="35452">
      <c r="A35452" s="48" t="s">
        <v>3224</v>
      </c>
      <c r="B35452" s="38">
        <v>54554.0</v>
      </c>
      <c r="C35452" s="38" t="s">
        <v>39593</v>
      </c>
      <c r="D35452" s="38" t="str">
        <f>IFERROR(__xludf.DUMMYFUNCTION("REGEXREPLACE(C35452,""-\d+(.*)|--\d+(.*)"","""")"),"VAUDIGNY")</f>
        <v>VAUDIGNY</v>
      </c>
      <c r="E35452" s="38" t="s">
        <v>548</v>
      </c>
      <c r="F35452" s="38" t="s">
        <v>195</v>
      </c>
      <c r="G35452" s="49" t="str">
        <f t="shared" si="1"/>
        <v>54740</v>
      </c>
      <c r="H35452" s="49">
        <f t="shared" si="2"/>
        <v>54554</v>
      </c>
    </row>
    <row r="35453">
      <c r="A35453" s="48" t="s">
        <v>5681</v>
      </c>
      <c r="B35453" s="38">
        <v>58275.0</v>
      </c>
      <c r="C35453" s="38" t="s">
        <v>39594</v>
      </c>
      <c r="D35453" s="38" t="str">
        <f>IFERROR(__xludf.DUMMYFUNCTION("REGEXREPLACE(C35453,""-\d+(.*)|--\d+(.*)"","""")"),"SAXI-BOURDON")</f>
        <v>SAXI-BOURDON</v>
      </c>
      <c r="E35453" s="38" t="s">
        <v>219</v>
      </c>
      <c r="F35453" s="38" t="s">
        <v>106</v>
      </c>
      <c r="G35453" s="49" t="str">
        <f t="shared" si="1"/>
        <v>58330</v>
      </c>
      <c r="H35453" s="49">
        <f t="shared" si="2"/>
        <v>58275</v>
      </c>
    </row>
    <row r="35454">
      <c r="A35454" s="48" t="s">
        <v>11370</v>
      </c>
      <c r="B35454" s="38">
        <v>26307.0</v>
      </c>
      <c r="C35454" s="38" t="s">
        <v>39595</v>
      </c>
      <c r="D35454" s="38" t="str">
        <f>IFERROR(__xludf.DUMMYFUNCTION("REGEXREPLACE(C35454,""-\d+(.*)|--\d+(.*)"","""")"),"SAINT-JEAN-EN-ROYANS")</f>
        <v>SAINT-JEAN-EN-ROYANS</v>
      </c>
      <c r="E35454" s="38" t="s">
        <v>126</v>
      </c>
      <c r="F35454" s="38" t="s">
        <v>102</v>
      </c>
      <c r="G35454" s="49" t="str">
        <f t="shared" si="1"/>
        <v>26190</v>
      </c>
      <c r="H35454" s="49">
        <f t="shared" si="2"/>
        <v>26307</v>
      </c>
    </row>
    <row r="35455">
      <c r="A35455" s="48" t="s">
        <v>9334</v>
      </c>
      <c r="B35455" s="38">
        <v>62281.0</v>
      </c>
      <c r="C35455" s="38" t="s">
        <v>39596</v>
      </c>
      <c r="D35455" s="38" t="str">
        <f>IFERROR(__xludf.DUMMYFUNCTION("REGEXREPLACE(C35455,""-\d+(.*)|--\d+(.*)"","""")"),"ECHINGHEN")</f>
        <v>ECHINGHEN</v>
      </c>
      <c r="E35455" s="38" t="s">
        <v>109</v>
      </c>
      <c r="F35455" s="38" t="s">
        <v>86</v>
      </c>
      <c r="G35455" s="49" t="str">
        <f t="shared" si="1"/>
        <v>62360</v>
      </c>
      <c r="H35455" s="49">
        <f t="shared" si="2"/>
        <v>62281</v>
      </c>
    </row>
    <row r="35456">
      <c r="A35456" s="48" t="s">
        <v>4131</v>
      </c>
      <c r="B35456" s="38">
        <v>27441.0</v>
      </c>
      <c r="C35456" s="38" t="s">
        <v>39597</v>
      </c>
      <c r="D35456" s="38" t="str">
        <f>IFERROR(__xludf.DUMMYFUNCTION("REGEXREPLACE(C35456,""-\d+(.*)|--\d+(.*)"","""")"),"NOTRE-DAME-D'EPINE")</f>
        <v>NOTRE-DAME-D'EPINE</v>
      </c>
      <c r="E35456" s="38" t="s">
        <v>241</v>
      </c>
      <c r="F35456" s="38" t="s">
        <v>134</v>
      </c>
      <c r="G35456" s="49" t="str">
        <f t="shared" si="1"/>
        <v>27800</v>
      </c>
      <c r="H35456" s="49">
        <f t="shared" si="2"/>
        <v>27441</v>
      </c>
    </row>
    <row r="35457">
      <c r="A35457" s="48" t="s">
        <v>6442</v>
      </c>
      <c r="B35457" s="38">
        <v>18252.0</v>
      </c>
      <c r="C35457" s="38" t="s">
        <v>39598</v>
      </c>
      <c r="D35457" s="38" t="str">
        <f>IFERROR(__xludf.DUMMYFUNCTION("REGEXREPLACE(C35457,""-\d+(.*)|--\d+(.*)"","""")"),"SIDIAILLES")</f>
        <v>SIDIAILLES</v>
      </c>
      <c r="E35457" s="38" t="s">
        <v>504</v>
      </c>
      <c r="F35457" s="38" t="s">
        <v>123</v>
      </c>
      <c r="G35457" s="49" t="str">
        <f t="shared" si="1"/>
        <v>18270</v>
      </c>
      <c r="H35457" s="49">
        <f t="shared" si="2"/>
        <v>18252</v>
      </c>
    </row>
    <row r="35458">
      <c r="A35458" s="48" t="s">
        <v>2817</v>
      </c>
      <c r="B35458" s="38">
        <v>64068.0</v>
      </c>
      <c r="C35458" s="38" t="s">
        <v>39599</v>
      </c>
      <c r="D35458" s="38" t="str">
        <f>IFERROR(__xludf.DUMMYFUNCTION("REGEXREPLACE(C35458,""-\d+(.*)|--\d+(.*)"","""")"),"ASSON")</f>
        <v>ASSON</v>
      </c>
      <c r="E35458" s="38" t="s">
        <v>268</v>
      </c>
      <c r="F35458" s="38" t="s">
        <v>252</v>
      </c>
      <c r="G35458" s="49" t="str">
        <f t="shared" si="1"/>
        <v>64800</v>
      </c>
      <c r="H35458" s="49">
        <f t="shared" si="2"/>
        <v>64068</v>
      </c>
    </row>
    <row r="35459">
      <c r="A35459" s="48" t="s">
        <v>5763</v>
      </c>
      <c r="B35459" s="38">
        <v>63436.0</v>
      </c>
      <c r="C35459" s="38" t="s">
        <v>39600</v>
      </c>
      <c r="D35459" s="38" t="str">
        <f>IFERROR(__xludf.DUMMYFUNCTION("REGEXREPLACE(C35459,""-\d+(.*)|--\d+(.*)"","""")"),"TRALAIGUES")</f>
        <v>TRALAIGUES</v>
      </c>
      <c r="E35459" s="38" t="s">
        <v>353</v>
      </c>
      <c r="F35459" s="38" t="s">
        <v>161</v>
      </c>
      <c r="G35459" s="49" t="str">
        <f t="shared" si="1"/>
        <v>63380</v>
      </c>
      <c r="H35459" s="49">
        <f t="shared" si="2"/>
        <v>63436</v>
      </c>
    </row>
    <row r="35460">
      <c r="A35460" s="48" t="s">
        <v>11910</v>
      </c>
      <c r="B35460" s="38">
        <v>46032.0</v>
      </c>
      <c r="C35460" s="38" t="s">
        <v>34341</v>
      </c>
      <c r="D35460" s="38" t="str">
        <f>IFERROR(__xludf.DUMMYFUNCTION("REGEXREPLACE(C35460,""-\d+(.*)|--\d+(.*)"","""")"),"BOISSIERES")</f>
        <v>BOISSIERES</v>
      </c>
      <c r="E35460" s="38" t="s">
        <v>185</v>
      </c>
      <c r="F35460" s="38" t="s">
        <v>94</v>
      </c>
      <c r="G35460" s="49" t="str">
        <f t="shared" si="1"/>
        <v>46150</v>
      </c>
      <c r="H35460" s="49">
        <f t="shared" si="2"/>
        <v>46032</v>
      </c>
    </row>
    <row r="35461">
      <c r="A35461" s="48" t="s">
        <v>8001</v>
      </c>
      <c r="B35461" s="38">
        <v>89424.0</v>
      </c>
      <c r="C35461" s="38" t="s">
        <v>39601</v>
      </c>
      <c r="D35461" s="38" t="str">
        <f>IFERROR(__xludf.DUMMYFUNCTION("REGEXREPLACE(C35461,""-\d+(.*)|--\d+(.*)"","""")"),"TRUCY-SUR-YONNE")</f>
        <v>TRUCY-SUR-YONNE</v>
      </c>
      <c r="E35461" s="38" t="s">
        <v>275</v>
      </c>
      <c r="F35461" s="38" t="s">
        <v>106</v>
      </c>
      <c r="G35461" s="49" t="str">
        <f t="shared" si="1"/>
        <v>89460</v>
      </c>
      <c r="H35461" s="49">
        <f t="shared" si="2"/>
        <v>89424</v>
      </c>
    </row>
    <row r="35462">
      <c r="A35462" s="48" t="s">
        <v>6566</v>
      </c>
      <c r="B35462" s="38">
        <v>49139.0</v>
      </c>
      <c r="C35462" s="38" t="s">
        <v>39602</v>
      </c>
      <c r="D35462" s="38" t="str">
        <f>IFERROR(__xludf.DUMMYFUNCTION("REGEXREPLACE(C35462,""-\d+(.*)|--\d+(.*)"","""")"),"FONTAINE-MILON")</f>
        <v>FONTAINE-MILON</v>
      </c>
      <c r="E35462" s="38" t="s">
        <v>653</v>
      </c>
      <c r="F35462" s="38" t="s">
        <v>180</v>
      </c>
      <c r="G35462" s="49" t="str">
        <f t="shared" si="1"/>
        <v>49140</v>
      </c>
      <c r="H35462" s="49">
        <f t="shared" si="2"/>
        <v>49139</v>
      </c>
    </row>
    <row r="35463">
      <c r="A35463" s="48" t="s">
        <v>2563</v>
      </c>
      <c r="B35463" s="38">
        <v>76121.0</v>
      </c>
      <c r="C35463" s="38" t="s">
        <v>39603</v>
      </c>
      <c r="D35463" s="38" t="str">
        <f>IFERROR(__xludf.DUMMYFUNCTION("REGEXREPLACE(C35463,""-\d+(.*)|--\d+(.*)"","""")"),"BOSC-EDELINE")</f>
        <v>BOSC-EDELINE</v>
      </c>
      <c r="E35463" s="38" t="s">
        <v>133</v>
      </c>
      <c r="F35463" s="38" t="s">
        <v>134</v>
      </c>
      <c r="G35463" s="49" t="str">
        <f t="shared" si="1"/>
        <v>76750</v>
      </c>
      <c r="H35463" s="49">
        <f t="shared" si="2"/>
        <v>76121</v>
      </c>
    </row>
    <row r="35464">
      <c r="A35464" s="48" t="s">
        <v>10493</v>
      </c>
      <c r="B35464" s="38">
        <v>94047.0</v>
      </c>
      <c r="C35464" s="38" t="s">
        <v>39604</v>
      </c>
      <c r="D35464" s="38" t="str">
        <f>IFERROR(__xludf.DUMMYFUNCTION("REGEXREPLACE(C35464,""-\d+(.*)|--\d+(.*)"","""")"),"MANDRES-LES-ROSES")</f>
        <v>MANDRES-LES-ROSES</v>
      </c>
      <c r="E35464" s="38" t="s">
        <v>561</v>
      </c>
      <c r="F35464" s="38" t="s">
        <v>245</v>
      </c>
      <c r="G35464" s="49" t="str">
        <f t="shared" si="1"/>
        <v>94520</v>
      </c>
      <c r="H35464" s="49">
        <f t="shared" si="2"/>
        <v>94047</v>
      </c>
    </row>
    <row r="35465">
      <c r="A35465" s="48" t="s">
        <v>8354</v>
      </c>
      <c r="B35465" s="38">
        <v>19246.0</v>
      </c>
      <c r="C35465" s="38" t="s">
        <v>39605</v>
      </c>
      <c r="D35465" s="38" t="str">
        <f>IFERROR(__xludf.DUMMYFUNCTION("REGEXREPLACE(C35465,""-\d+(.*)|--\d+(.*)"","""")"),"SAINT-VIANCE")</f>
        <v>SAINT-VIANCE</v>
      </c>
      <c r="E35465" s="38" t="s">
        <v>271</v>
      </c>
      <c r="F35465" s="38" t="s">
        <v>98</v>
      </c>
      <c r="G35465" s="49" t="str">
        <f t="shared" si="1"/>
        <v>19240</v>
      </c>
      <c r="H35465" s="49">
        <f t="shared" si="2"/>
        <v>19246</v>
      </c>
    </row>
    <row r="35466">
      <c r="A35466" s="48" t="s">
        <v>17146</v>
      </c>
      <c r="B35466" s="38">
        <v>1360.0</v>
      </c>
      <c r="C35466" s="38" t="s">
        <v>39606</v>
      </c>
      <c r="D35466" s="38" t="str">
        <f>IFERROR(__xludf.DUMMYFUNCTION("REGEXREPLACE(C35466,""-\d+(.*)|--\d+(.*)"","""")"),"SAINT-JEAN-DE-GONVILLE")</f>
        <v>SAINT-JEAN-DE-GONVILLE</v>
      </c>
      <c r="E35466" s="38" t="s">
        <v>255</v>
      </c>
      <c r="F35466" s="38" t="s">
        <v>102</v>
      </c>
      <c r="G35466" s="49" t="str">
        <f t="shared" si="1"/>
        <v>01630</v>
      </c>
      <c r="H35466" s="49" t="str">
        <f t="shared" si="2"/>
        <v>01360</v>
      </c>
    </row>
    <row r="35467">
      <c r="A35467" s="48" t="s">
        <v>7265</v>
      </c>
      <c r="B35467" s="38">
        <v>68126.0</v>
      </c>
      <c r="C35467" s="38" t="s">
        <v>39607</v>
      </c>
      <c r="D35467" s="38" t="str">
        <f>IFERROR(__xludf.DUMMYFUNCTION("REGEXREPLACE(C35467,""-\d+(.*)|--\d+(.*)"","""")"),"HEGENHEIM")</f>
        <v>HEGENHEIM</v>
      </c>
      <c r="E35467" s="38" t="s">
        <v>150</v>
      </c>
      <c r="F35467" s="38" t="s">
        <v>151</v>
      </c>
      <c r="G35467" s="49" t="str">
        <f t="shared" si="1"/>
        <v>68220</v>
      </c>
      <c r="H35467" s="49">
        <f t="shared" si="2"/>
        <v>68126</v>
      </c>
    </row>
    <row r="35468">
      <c r="A35468" s="48" t="s">
        <v>3626</v>
      </c>
      <c r="B35468" s="38">
        <v>57438.0</v>
      </c>
      <c r="C35468" s="38" t="s">
        <v>39608</v>
      </c>
      <c r="D35468" s="38" t="str">
        <f>IFERROR(__xludf.DUMMYFUNCTION("REGEXREPLACE(C35468,""-\d+(.*)|--\d+(.*)"","""")"),"MALROY")</f>
        <v>MALROY</v>
      </c>
      <c r="E35468" s="38" t="s">
        <v>303</v>
      </c>
      <c r="F35468" s="38" t="s">
        <v>195</v>
      </c>
      <c r="G35468" s="49" t="str">
        <f t="shared" si="1"/>
        <v>57640</v>
      </c>
      <c r="H35468" s="49">
        <f t="shared" si="2"/>
        <v>57438</v>
      </c>
    </row>
    <row r="35469">
      <c r="A35469" s="48" t="s">
        <v>5103</v>
      </c>
      <c r="B35469" s="38">
        <v>37160.0</v>
      </c>
      <c r="C35469" s="38" t="s">
        <v>39609</v>
      </c>
      <c r="D35469" s="38" t="str">
        <f>IFERROR(__xludf.DUMMYFUNCTION("REGEXREPLACE(C35469,""-\d+(.*)|--\d+(.*)"","""")"),"MORAND")</f>
        <v>MORAND</v>
      </c>
      <c r="E35469" s="38" t="s">
        <v>205</v>
      </c>
      <c r="F35469" s="38" t="s">
        <v>123</v>
      </c>
      <c r="G35469" s="49" t="str">
        <f t="shared" si="1"/>
        <v>37110</v>
      </c>
      <c r="H35469" s="49">
        <f t="shared" si="2"/>
        <v>37160</v>
      </c>
    </row>
    <row r="35470">
      <c r="A35470" s="48" t="s">
        <v>3515</v>
      </c>
      <c r="B35470" s="38">
        <v>26323.0</v>
      </c>
      <c r="C35470" s="38" t="s">
        <v>39610</v>
      </c>
      <c r="D35470" s="38" t="str">
        <f>IFERROR(__xludf.DUMMYFUNCTION("REGEXREPLACE(C35470,""-\d+(.*)|--\d+(.*)"","""")"),"SAINT-PAUL-LES-ROMANS")</f>
        <v>SAINT-PAUL-LES-ROMANS</v>
      </c>
      <c r="E35470" s="38" t="s">
        <v>126</v>
      </c>
      <c r="F35470" s="38" t="s">
        <v>102</v>
      </c>
      <c r="G35470" s="49" t="str">
        <f t="shared" si="1"/>
        <v>26750</v>
      </c>
      <c r="H35470" s="49">
        <f t="shared" si="2"/>
        <v>26323</v>
      </c>
    </row>
    <row r="35471">
      <c r="A35471" s="48" t="s">
        <v>2989</v>
      </c>
      <c r="B35471" s="38">
        <v>70456.0</v>
      </c>
      <c r="C35471" s="38" t="s">
        <v>39611</v>
      </c>
      <c r="D35471" s="38" t="str">
        <f>IFERROR(__xludf.DUMMYFUNCTION("REGEXREPLACE(C35471,""-\d+(.*)|--\d+(.*)"","""")"),"RUHANS")</f>
        <v>RUHANS</v>
      </c>
      <c r="E35471" s="38" t="s">
        <v>956</v>
      </c>
      <c r="F35471" s="38" t="s">
        <v>214</v>
      </c>
      <c r="G35471" s="49" t="str">
        <f t="shared" si="1"/>
        <v>70190</v>
      </c>
      <c r="H35471" s="49">
        <f t="shared" si="2"/>
        <v>70456</v>
      </c>
    </row>
    <row r="35472">
      <c r="A35472" s="48" t="s">
        <v>8063</v>
      </c>
      <c r="B35472" s="38">
        <v>17065.0</v>
      </c>
      <c r="C35472" s="38" t="s">
        <v>39612</v>
      </c>
      <c r="D35472" s="38" t="str">
        <f>IFERROR(__xludf.DUMMYFUNCTION("REGEXREPLACE(C35472,""-\d+(.*)|--\d+(.*)"","""")"),"BREUIL-MAGNE")</f>
        <v>BREUIL-MAGNE</v>
      </c>
      <c r="E35472" s="38" t="s">
        <v>488</v>
      </c>
      <c r="F35472" s="38" t="s">
        <v>338</v>
      </c>
      <c r="G35472" s="49" t="str">
        <f t="shared" si="1"/>
        <v>17870</v>
      </c>
      <c r="H35472" s="49">
        <f t="shared" si="2"/>
        <v>17065</v>
      </c>
    </row>
    <row r="35473">
      <c r="A35473" s="48" t="s">
        <v>2408</v>
      </c>
      <c r="B35473" s="38">
        <v>30050.0</v>
      </c>
      <c r="C35473" s="38" t="s">
        <v>39613</v>
      </c>
      <c r="D35473" s="38" t="str">
        <f>IFERROR(__xludf.DUMMYFUNCTION("REGEXREPLACE(C35473,""-\d+(.*)|--\d+(.*)"","""")"),"BRAGASSARGUES")</f>
        <v>BRAGASSARGUES</v>
      </c>
      <c r="E35473" s="38" t="s">
        <v>526</v>
      </c>
      <c r="F35473" s="38" t="s">
        <v>119</v>
      </c>
      <c r="G35473" s="49" t="str">
        <f t="shared" si="1"/>
        <v>30260</v>
      </c>
      <c r="H35473" s="49">
        <f t="shared" si="2"/>
        <v>30050</v>
      </c>
    </row>
    <row r="35474">
      <c r="A35474" s="48" t="s">
        <v>1300</v>
      </c>
      <c r="B35474" s="38">
        <v>60223.0</v>
      </c>
      <c r="C35474" s="38" t="s">
        <v>39614</v>
      </c>
      <c r="D35474" s="38" t="str">
        <f>IFERROR(__xludf.DUMMYFUNCTION("REGEXREPLACE(C35474,""-\d+(.*)|--\d+(.*)"","""")"),"ESTREES-SAINT-DENIS")</f>
        <v>ESTREES-SAINT-DENIS</v>
      </c>
      <c r="E35474" s="38" t="s">
        <v>112</v>
      </c>
      <c r="F35474" s="38" t="s">
        <v>113</v>
      </c>
      <c r="G35474" s="49" t="str">
        <f t="shared" si="1"/>
        <v>60190</v>
      </c>
      <c r="H35474" s="49">
        <f t="shared" si="2"/>
        <v>60223</v>
      </c>
    </row>
    <row r="35475">
      <c r="A35475" s="48" t="s">
        <v>11699</v>
      </c>
      <c r="B35475" s="38">
        <v>38322.0</v>
      </c>
      <c r="C35475" s="38" t="s">
        <v>11393</v>
      </c>
      <c r="D35475" s="38" t="str">
        <f>IFERROR(__xludf.DUMMYFUNCTION("REGEXREPLACE(C35475,""-\d+(.*)|--\d+(.*)"","""")"),"PRESLES")</f>
        <v>PRESLES</v>
      </c>
      <c r="E35475" s="38" t="s">
        <v>101</v>
      </c>
      <c r="F35475" s="38" t="s">
        <v>102</v>
      </c>
      <c r="G35475" s="49" t="str">
        <f t="shared" si="1"/>
        <v>38680</v>
      </c>
      <c r="H35475" s="49">
        <f t="shared" si="2"/>
        <v>38322</v>
      </c>
    </row>
    <row r="35476">
      <c r="A35476" s="48" t="s">
        <v>35967</v>
      </c>
      <c r="B35476" s="38">
        <v>77238.0</v>
      </c>
      <c r="C35476" s="38" t="s">
        <v>39615</v>
      </c>
      <c r="D35476" s="38" t="str">
        <f>IFERROR(__xludf.DUMMYFUNCTION("REGEXREPLACE(C35476,""-\d+(.*)|--\d+(.*)"","""")"),"JOUARRE")</f>
        <v>JOUARRE</v>
      </c>
      <c r="E35476" s="38" t="s">
        <v>244</v>
      </c>
      <c r="F35476" s="38" t="s">
        <v>245</v>
      </c>
      <c r="G35476" s="49" t="str">
        <f t="shared" si="1"/>
        <v>77640</v>
      </c>
      <c r="H35476" s="49">
        <f t="shared" si="2"/>
        <v>77238</v>
      </c>
    </row>
    <row r="35477">
      <c r="A35477" s="48" t="s">
        <v>8120</v>
      </c>
      <c r="B35477" s="38">
        <v>61285.0</v>
      </c>
      <c r="C35477" s="38" t="s">
        <v>39616</v>
      </c>
      <c r="D35477" s="38" t="str">
        <f>IFERROR(__xludf.DUMMYFUNCTION("REGEXREPLACE(C35477,""-\d+(.*)|--\d+(.*)"","""")"),"MONTGAROULT")</f>
        <v>MONTGAROULT</v>
      </c>
      <c r="E35477" s="38" t="s">
        <v>141</v>
      </c>
      <c r="F35477" s="38" t="s">
        <v>138</v>
      </c>
      <c r="G35477" s="49" t="str">
        <f t="shared" si="1"/>
        <v>61150</v>
      </c>
      <c r="H35477" s="49">
        <f t="shared" si="2"/>
        <v>61285</v>
      </c>
    </row>
    <row r="35478">
      <c r="A35478" s="48" t="s">
        <v>922</v>
      </c>
      <c r="B35478" s="38">
        <v>76672.0</v>
      </c>
      <c r="C35478" s="38" t="s">
        <v>29225</v>
      </c>
      <c r="D35478" s="38" t="str">
        <f>IFERROR(__xludf.DUMMYFUNCTION("REGEXREPLACE(C35478,""-\d+(.*)|--\d+(.*)"","""")"),"SERQUEUX")</f>
        <v>SERQUEUX</v>
      </c>
      <c r="E35478" s="38" t="s">
        <v>133</v>
      </c>
      <c r="F35478" s="38" t="s">
        <v>134</v>
      </c>
      <c r="G35478" s="49" t="str">
        <f t="shared" si="1"/>
        <v>76440</v>
      </c>
      <c r="H35478" s="49">
        <f t="shared" si="2"/>
        <v>76672</v>
      </c>
    </row>
    <row r="35479">
      <c r="A35479" s="48" t="s">
        <v>10916</v>
      </c>
      <c r="B35479" s="38">
        <v>40254.0</v>
      </c>
      <c r="C35479" s="38" t="s">
        <v>39617</v>
      </c>
      <c r="D35479" s="38" t="str">
        <f>IFERROR(__xludf.DUMMYFUNCTION("REGEXREPLACE(C35479,""-\d+(.*)|--\d+(.*)"","""")"),"SAINT-CRICQ-DU-GAVE")</f>
        <v>SAINT-CRICQ-DU-GAVE</v>
      </c>
      <c r="E35479" s="38" t="s">
        <v>281</v>
      </c>
      <c r="F35479" s="38" t="s">
        <v>252</v>
      </c>
      <c r="G35479" s="49" t="str">
        <f t="shared" si="1"/>
        <v>40300</v>
      </c>
      <c r="H35479" s="49">
        <f t="shared" si="2"/>
        <v>40254</v>
      </c>
    </row>
    <row r="35480">
      <c r="A35480" s="48" t="s">
        <v>2989</v>
      </c>
      <c r="B35480" s="38">
        <v>70145.0</v>
      </c>
      <c r="C35480" s="38" t="s">
        <v>39618</v>
      </c>
      <c r="D35480" s="38" t="str">
        <f>IFERROR(__xludf.DUMMYFUNCTION("REGEXREPLACE(C35480,""-\d+(.*)|--\d+(.*)"","""")"),"CHAUX-LA-LOTIERE")</f>
        <v>CHAUX-LA-LOTIERE</v>
      </c>
      <c r="E35480" s="38" t="s">
        <v>956</v>
      </c>
      <c r="F35480" s="38" t="s">
        <v>214</v>
      </c>
      <c r="G35480" s="49" t="str">
        <f t="shared" si="1"/>
        <v>70190</v>
      </c>
      <c r="H35480" s="49">
        <f t="shared" si="2"/>
        <v>70145</v>
      </c>
    </row>
    <row r="35481">
      <c r="A35481" s="48" t="s">
        <v>702</v>
      </c>
      <c r="B35481" s="38">
        <v>31050.0</v>
      </c>
      <c r="C35481" s="38" t="s">
        <v>39619</v>
      </c>
      <c r="D35481" s="38" t="str">
        <f>IFERROR(__xludf.DUMMYFUNCTION("REGEXREPLACE(C35481,""-\d+(.*)|--\d+(.*)"","""")"),"BEAUCHALOT")</f>
        <v>BEAUCHALOT</v>
      </c>
      <c r="E35481" s="38" t="s">
        <v>93</v>
      </c>
      <c r="F35481" s="38" t="s">
        <v>94</v>
      </c>
      <c r="G35481" s="49" t="str">
        <f t="shared" si="1"/>
        <v>31360</v>
      </c>
      <c r="H35481" s="49">
        <f t="shared" si="2"/>
        <v>31050</v>
      </c>
    </row>
    <row r="35482">
      <c r="A35482" s="48" t="s">
        <v>6606</v>
      </c>
      <c r="B35482" s="38">
        <v>25050.0</v>
      </c>
      <c r="C35482" s="38" t="s">
        <v>39620</v>
      </c>
      <c r="D35482" s="38" t="str">
        <f>IFERROR(__xludf.DUMMYFUNCTION("REGEXREPLACE(C35482,""-\d+(.*)|--\d+(.*)"","""")"),"LE BELIEU")</f>
        <v>LE BELIEU</v>
      </c>
      <c r="E35482" s="38" t="s">
        <v>213</v>
      </c>
      <c r="F35482" s="38" t="s">
        <v>214</v>
      </c>
      <c r="G35482" s="49" t="str">
        <f t="shared" si="1"/>
        <v>25500</v>
      </c>
      <c r="H35482" s="49">
        <f t="shared" si="2"/>
        <v>25050</v>
      </c>
    </row>
    <row r="35483">
      <c r="A35483" s="48" t="s">
        <v>3026</v>
      </c>
      <c r="B35483" s="38">
        <v>2472.0</v>
      </c>
      <c r="C35483" s="38" t="s">
        <v>39621</v>
      </c>
      <c r="D35483" s="38" t="str">
        <f>IFERROR(__xludf.DUMMYFUNCTION("REGEXREPLACE(C35483,""-\d+(.*)|--\d+(.*)"","""")"),"MAUREGNY-EN-HAYE")</f>
        <v>MAUREGNY-EN-HAYE</v>
      </c>
      <c r="E35483" s="38" t="s">
        <v>191</v>
      </c>
      <c r="F35483" s="38" t="s">
        <v>113</v>
      </c>
      <c r="G35483" s="49" t="str">
        <f t="shared" si="1"/>
        <v>02820</v>
      </c>
      <c r="H35483" s="49" t="str">
        <f t="shared" si="2"/>
        <v>02472</v>
      </c>
    </row>
    <row r="35484">
      <c r="A35484" s="48" t="s">
        <v>3370</v>
      </c>
      <c r="B35484" s="38">
        <v>72114.0</v>
      </c>
      <c r="C35484" s="38" t="s">
        <v>39622</v>
      </c>
      <c r="D35484" s="38" t="str">
        <f>IFERROR(__xludf.DUMMYFUNCTION("REGEXREPLACE(C35484,""-\d+(.*)|--\d+(.*)"","""")"),"DEHAULT")</f>
        <v>DEHAULT</v>
      </c>
      <c r="E35484" s="38" t="s">
        <v>521</v>
      </c>
      <c r="F35484" s="38" t="s">
        <v>180</v>
      </c>
      <c r="G35484" s="49" t="str">
        <f t="shared" si="1"/>
        <v>72400</v>
      </c>
      <c r="H35484" s="49">
        <f t="shared" si="2"/>
        <v>72114</v>
      </c>
    </row>
    <row r="35485">
      <c r="A35485" s="48" t="s">
        <v>713</v>
      </c>
      <c r="B35485" s="38">
        <v>82016.0</v>
      </c>
      <c r="C35485" s="38" t="s">
        <v>39623</v>
      </c>
      <c r="D35485" s="38" t="str">
        <f>IFERROR(__xludf.DUMMYFUNCTION("REGEXREPLACE(C35485,""-\d+(.*)|--\d+(.*)"","""")"),"BELVEZE")</f>
        <v>BELVEZE</v>
      </c>
      <c r="E35485" s="38" t="s">
        <v>570</v>
      </c>
      <c r="F35485" s="38" t="s">
        <v>94</v>
      </c>
      <c r="G35485" s="49" t="str">
        <f t="shared" si="1"/>
        <v>82150</v>
      </c>
      <c r="H35485" s="49">
        <f t="shared" si="2"/>
        <v>82016</v>
      </c>
    </row>
    <row r="35486">
      <c r="A35486" s="48" t="s">
        <v>2968</v>
      </c>
      <c r="B35486" s="38">
        <v>45158.0</v>
      </c>
      <c r="C35486" s="38" t="s">
        <v>9156</v>
      </c>
      <c r="D35486" s="38" t="str">
        <f>IFERROR(__xludf.DUMMYFUNCTION("REGEXREPLACE(C35486,""-\d+(.*)|--\d+(.*)"","""")"),"GONDREVILLE")</f>
        <v>GONDREVILLE</v>
      </c>
      <c r="E35486" s="38" t="s">
        <v>122</v>
      </c>
      <c r="F35486" s="38" t="s">
        <v>123</v>
      </c>
      <c r="G35486" s="49" t="str">
        <f t="shared" si="1"/>
        <v>45490</v>
      </c>
      <c r="H35486" s="49">
        <f t="shared" si="2"/>
        <v>45158</v>
      </c>
    </row>
    <row r="35487">
      <c r="A35487" s="48" t="s">
        <v>2438</v>
      </c>
      <c r="B35487" s="38">
        <v>64404.0</v>
      </c>
      <c r="C35487" s="38" t="s">
        <v>39624</v>
      </c>
      <c r="D35487" s="38" t="str">
        <f>IFERROR(__xludf.DUMMYFUNCTION("REGEXREPLACE(C35487,""-\d+(.*)|--\d+(.*)"","""")"),"MONTORY")</f>
        <v>MONTORY</v>
      </c>
      <c r="E35487" s="38" t="s">
        <v>268</v>
      </c>
      <c r="F35487" s="38" t="s">
        <v>252</v>
      </c>
      <c r="G35487" s="49" t="str">
        <f t="shared" si="1"/>
        <v>64470</v>
      </c>
      <c r="H35487" s="49">
        <f t="shared" si="2"/>
        <v>64404</v>
      </c>
    </row>
    <row r="35488">
      <c r="A35488" s="48" t="s">
        <v>2681</v>
      </c>
      <c r="B35488" s="38">
        <v>67383.0</v>
      </c>
      <c r="C35488" s="38" t="s">
        <v>39625</v>
      </c>
      <c r="D35488" s="38" t="str">
        <f>IFERROR(__xludf.DUMMYFUNCTION("REGEXREPLACE(C35488,""-\d+(.*)|--\d+(.*)"","""")"),"RANGEN")</f>
        <v>RANGEN</v>
      </c>
      <c r="E35488" s="38" t="s">
        <v>210</v>
      </c>
      <c r="F35488" s="38" t="s">
        <v>151</v>
      </c>
      <c r="G35488" s="49" t="str">
        <f t="shared" si="1"/>
        <v>67310</v>
      </c>
      <c r="H35488" s="49">
        <f t="shared" si="2"/>
        <v>67383</v>
      </c>
    </row>
    <row r="35489">
      <c r="A35489" s="48" t="s">
        <v>16889</v>
      </c>
      <c r="B35489" s="38">
        <v>66194.0</v>
      </c>
      <c r="C35489" s="38" t="s">
        <v>39626</v>
      </c>
      <c r="D35489" s="38" t="str">
        <f>IFERROR(__xludf.DUMMYFUNCTION("REGEXREPLACE(C35489,""-\d+(.*)|--\d+(.*)"","""")"),"SERRALONGUE")</f>
        <v>SERRALONGUE</v>
      </c>
      <c r="E35489" s="38" t="s">
        <v>248</v>
      </c>
      <c r="F35489" s="38" t="s">
        <v>119</v>
      </c>
      <c r="G35489" s="49" t="str">
        <f t="shared" si="1"/>
        <v>66230</v>
      </c>
      <c r="H35489" s="49">
        <f t="shared" si="2"/>
        <v>66194</v>
      </c>
    </row>
    <row r="35490">
      <c r="A35490" s="48" t="s">
        <v>12154</v>
      </c>
      <c r="B35490" s="38">
        <v>95450.0</v>
      </c>
      <c r="C35490" s="38" t="s">
        <v>39627</v>
      </c>
      <c r="D35490" s="38" t="str">
        <f>IFERROR(__xludf.DUMMYFUNCTION("REGEXREPLACE(C35490,""-\d+(.*)|--\d+(.*)"","""")"),"NEUVILLE-SUR-OISE")</f>
        <v>NEUVILLE-SUR-OISE</v>
      </c>
      <c r="E35490" s="38" t="s">
        <v>541</v>
      </c>
      <c r="F35490" s="38" t="s">
        <v>245</v>
      </c>
      <c r="G35490" s="49" t="str">
        <f t="shared" si="1"/>
        <v>95000</v>
      </c>
      <c r="H35490" s="49">
        <f t="shared" si="2"/>
        <v>95450</v>
      </c>
    </row>
    <row r="35491">
      <c r="A35491" s="48" t="s">
        <v>242</v>
      </c>
      <c r="B35491" s="38">
        <v>77413.0</v>
      </c>
      <c r="C35491" s="38" t="s">
        <v>39628</v>
      </c>
      <c r="D35491" s="38" t="str">
        <f>IFERROR(__xludf.DUMMYFUNCTION("REGEXREPLACE(C35491,""-\d+(.*)|--\d+(.*)"","""")"),"SAINT-GERMAIN-SUR-MORIN")</f>
        <v>SAINT-GERMAIN-SUR-MORIN</v>
      </c>
      <c r="E35491" s="38" t="s">
        <v>244</v>
      </c>
      <c r="F35491" s="38" t="s">
        <v>245</v>
      </c>
      <c r="G35491" s="49" t="str">
        <f t="shared" si="1"/>
        <v>77860</v>
      </c>
      <c r="H35491" s="49">
        <f t="shared" si="2"/>
        <v>77413</v>
      </c>
    </row>
    <row r="35492">
      <c r="A35492" s="48" t="s">
        <v>3260</v>
      </c>
      <c r="B35492" s="38">
        <v>3274.0</v>
      </c>
      <c r="C35492" s="38" t="s">
        <v>39629</v>
      </c>
      <c r="D35492" s="38" t="str">
        <f>IFERROR(__xludf.DUMMYFUNCTION("REGEXREPLACE(C35492,""-\d+(.*)|--\d+(.*)"","""")"),"SORBIER")</f>
        <v>SORBIER</v>
      </c>
      <c r="E35492" s="38" t="s">
        <v>160</v>
      </c>
      <c r="F35492" s="38" t="s">
        <v>161</v>
      </c>
      <c r="G35492" s="49" t="str">
        <f t="shared" si="1"/>
        <v>03220</v>
      </c>
      <c r="H35492" s="49" t="str">
        <f t="shared" si="2"/>
        <v>03274</v>
      </c>
    </row>
    <row r="35493">
      <c r="A35493" s="48" t="s">
        <v>27032</v>
      </c>
      <c r="B35493" s="38">
        <v>63207.0</v>
      </c>
      <c r="C35493" s="38" t="s">
        <v>39630</v>
      </c>
      <c r="D35493" s="38" t="str">
        <f>IFERROR(__xludf.DUMMYFUNCTION("REGEXREPLACE(C35493,""-\d+(.*)|--\d+(.*)"","""")"),"MARAT")</f>
        <v>MARAT</v>
      </c>
      <c r="E35493" s="38" t="s">
        <v>353</v>
      </c>
      <c r="F35493" s="38" t="s">
        <v>161</v>
      </c>
      <c r="G35493" s="49" t="str">
        <f t="shared" si="1"/>
        <v>63480</v>
      </c>
      <c r="H35493" s="49">
        <f t="shared" si="2"/>
        <v>63207</v>
      </c>
    </row>
    <row r="35494">
      <c r="A35494" s="48" t="s">
        <v>39631</v>
      </c>
      <c r="B35494" s="38">
        <v>95563.0</v>
      </c>
      <c r="C35494" s="38" t="s">
        <v>39632</v>
      </c>
      <c r="D35494" s="38" t="str">
        <f>IFERROR(__xludf.DUMMYFUNCTION("REGEXREPLACE(C35494,""-\d+(.*)|--\d+(.*)"","""")"),"SAINT-LEU-LA-FORET")</f>
        <v>SAINT-LEU-LA-FORET</v>
      </c>
      <c r="E35494" s="38" t="s">
        <v>541</v>
      </c>
      <c r="F35494" s="38" t="s">
        <v>245</v>
      </c>
      <c r="G35494" s="49" t="str">
        <f t="shared" si="1"/>
        <v>95320</v>
      </c>
      <c r="H35494" s="49">
        <f t="shared" si="2"/>
        <v>95563</v>
      </c>
    </row>
    <row r="35495">
      <c r="A35495" s="48" t="s">
        <v>9734</v>
      </c>
      <c r="B35495" s="38">
        <v>62444.0</v>
      </c>
      <c r="C35495" s="38" t="s">
        <v>39633</v>
      </c>
      <c r="D35495" s="38" t="str">
        <f>IFERROR(__xludf.DUMMYFUNCTION("REGEXREPLACE(C35495,""-\d+(.*)|--\d+(.*)"","""")"),"HERVELINGHEN")</f>
        <v>HERVELINGHEN</v>
      </c>
      <c r="E35495" s="38" t="s">
        <v>109</v>
      </c>
      <c r="F35495" s="38" t="s">
        <v>86</v>
      </c>
      <c r="G35495" s="49" t="str">
        <f t="shared" si="1"/>
        <v>62179</v>
      </c>
      <c r="H35495" s="49">
        <f t="shared" si="2"/>
        <v>62444</v>
      </c>
    </row>
    <row r="35496">
      <c r="A35496" s="48" t="s">
        <v>39634</v>
      </c>
      <c r="B35496" s="38">
        <v>77349.0</v>
      </c>
      <c r="C35496" s="38" t="s">
        <v>39635</v>
      </c>
      <c r="D35496" s="38" t="str">
        <f>IFERROR(__xludf.DUMMYFUNCTION("REGEXREPLACE(C35496,""-\d+(.*)|--\d+(.*)"","""")"),"OTHIS")</f>
        <v>OTHIS</v>
      </c>
      <c r="E35496" s="38" t="s">
        <v>244</v>
      </c>
      <c r="F35496" s="38" t="s">
        <v>245</v>
      </c>
      <c r="G35496" s="49" t="str">
        <f t="shared" si="1"/>
        <v>77280</v>
      </c>
      <c r="H35496" s="49">
        <f t="shared" si="2"/>
        <v>77349</v>
      </c>
    </row>
    <row r="35497">
      <c r="A35497" s="48" t="s">
        <v>1898</v>
      </c>
      <c r="B35497" s="38">
        <v>31495.0</v>
      </c>
      <c r="C35497" s="38" t="s">
        <v>17732</v>
      </c>
      <c r="D35497" s="38" t="str">
        <f>IFERROR(__xludf.DUMMYFUNCTION("REGEXREPLACE(C35497,""-\d+(.*)|--\d+(.*)"","""")"),"SAINT-LEON")</f>
        <v>SAINT-LEON</v>
      </c>
      <c r="E35497" s="38" t="s">
        <v>93</v>
      </c>
      <c r="F35497" s="38" t="s">
        <v>94</v>
      </c>
      <c r="G35497" s="49" t="str">
        <f t="shared" si="1"/>
        <v>31560</v>
      </c>
      <c r="H35497" s="49">
        <f t="shared" si="2"/>
        <v>31495</v>
      </c>
    </row>
    <row r="35498">
      <c r="A35498" s="48" t="s">
        <v>3562</v>
      </c>
      <c r="B35498" s="38">
        <v>2390.0</v>
      </c>
      <c r="C35498" s="38" t="s">
        <v>39636</v>
      </c>
      <c r="D35498" s="38" t="str">
        <f>IFERROR(__xludf.DUMMYFUNCTION("REGEXREPLACE(C35498,""-\d+(.*)|--\d+(.*)"","""")"),"JEANCOURT")</f>
        <v>JEANCOURT</v>
      </c>
      <c r="E35498" s="38" t="s">
        <v>191</v>
      </c>
      <c r="F35498" s="38" t="s">
        <v>113</v>
      </c>
      <c r="G35498" s="49" t="str">
        <f t="shared" si="1"/>
        <v>02490</v>
      </c>
      <c r="H35498" s="49" t="str">
        <f t="shared" si="2"/>
        <v>02390</v>
      </c>
    </row>
    <row r="35499">
      <c r="A35499" s="48" t="s">
        <v>8069</v>
      </c>
      <c r="B35499" s="38">
        <v>60197.0</v>
      </c>
      <c r="C35499" s="38" t="s">
        <v>39637</v>
      </c>
      <c r="D35499" s="38" t="str">
        <f>IFERROR(__xludf.DUMMYFUNCTION("REGEXREPLACE(C35499,""-\d+(.*)|--\d+(.*)"","""")"),"DIEUDONNE")</f>
        <v>DIEUDONNE</v>
      </c>
      <c r="E35499" s="38" t="s">
        <v>112</v>
      </c>
      <c r="F35499" s="38" t="s">
        <v>113</v>
      </c>
      <c r="G35499" s="49" t="str">
        <f t="shared" si="1"/>
        <v>60530</v>
      </c>
      <c r="H35499" s="49">
        <f t="shared" si="2"/>
        <v>60197</v>
      </c>
    </row>
    <row r="35500">
      <c r="A35500" s="48" t="s">
        <v>4543</v>
      </c>
      <c r="B35500" s="38">
        <v>64314.0</v>
      </c>
      <c r="C35500" s="38" t="s">
        <v>39638</v>
      </c>
      <c r="D35500" s="38" t="str">
        <f>IFERROR(__xludf.DUMMYFUNCTION("REGEXREPLACE(C35500,""-\d+(.*)|--\d+(.*)"","""")"),"LARCEVEAU-ARROS-CIBITS")</f>
        <v>LARCEVEAU-ARROS-CIBITS</v>
      </c>
      <c r="E35500" s="38" t="s">
        <v>268</v>
      </c>
      <c r="F35500" s="38" t="s">
        <v>252</v>
      </c>
      <c r="G35500" s="49" t="str">
        <f t="shared" si="1"/>
        <v>64120</v>
      </c>
      <c r="H35500" s="49">
        <f t="shared" si="2"/>
        <v>64314</v>
      </c>
    </row>
    <row r="35501">
      <c r="A35501" s="48" t="s">
        <v>7237</v>
      </c>
      <c r="B35501" s="38">
        <v>17330.0</v>
      </c>
      <c r="C35501" s="38" t="s">
        <v>18365</v>
      </c>
      <c r="D35501" s="38" t="str">
        <f>IFERROR(__xludf.DUMMYFUNCTION("REGEXREPLACE(C35501,""-\d+(.*)|--\d+(.*)"","""")"),"SAINTE-GEMME")</f>
        <v>SAINTE-GEMME</v>
      </c>
      <c r="E35501" s="38" t="s">
        <v>488</v>
      </c>
      <c r="F35501" s="38" t="s">
        <v>338</v>
      </c>
      <c r="G35501" s="49" t="str">
        <f t="shared" si="1"/>
        <v>17250</v>
      </c>
      <c r="H35501" s="49">
        <f t="shared" si="2"/>
        <v>17330</v>
      </c>
    </row>
    <row r="35502">
      <c r="A35502" s="48" t="s">
        <v>5386</v>
      </c>
      <c r="B35502" s="38">
        <v>42154.0</v>
      </c>
      <c r="C35502" s="38" t="s">
        <v>39639</v>
      </c>
      <c r="D35502" s="38" t="str">
        <f>IFERROR(__xludf.DUMMYFUNCTION("REGEXREPLACE(C35502,""-\d+(.*)|--\d+(.*)"","""")"),"NERONDE")</f>
        <v>NERONDE</v>
      </c>
      <c r="E35502" s="38" t="s">
        <v>166</v>
      </c>
      <c r="F35502" s="38" t="s">
        <v>102</v>
      </c>
      <c r="G35502" s="49" t="str">
        <f t="shared" si="1"/>
        <v>42510</v>
      </c>
      <c r="H35502" s="49">
        <f t="shared" si="2"/>
        <v>42154</v>
      </c>
    </row>
    <row r="35503">
      <c r="A35503" s="48" t="s">
        <v>2077</v>
      </c>
      <c r="B35503" s="38">
        <v>8432.0</v>
      </c>
      <c r="C35503" s="38" t="s">
        <v>39640</v>
      </c>
      <c r="D35503" s="38" t="str">
        <f>IFERROR(__xludf.DUMMYFUNCTION("REGEXREPLACE(C35503,""-\d+(.*)|--\d+(.*)"","""")"),"SURY")</f>
        <v>SURY</v>
      </c>
      <c r="E35503" s="38" t="s">
        <v>327</v>
      </c>
      <c r="F35503" s="38" t="s">
        <v>130</v>
      </c>
      <c r="G35503" s="49" t="str">
        <f t="shared" si="1"/>
        <v>08090</v>
      </c>
      <c r="H35503" s="49" t="str">
        <f t="shared" si="2"/>
        <v>08432</v>
      </c>
    </row>
    <row r="35504">
      <c r="A35504" s="48" t="s">
        <v>39641</v>
      </c>
      <c r="B35504" s="38">
        <v>88081.0</v>
      </c>
      <c r="C35504" s="38" t="s">
        <v>39642</v>
      </c>
      <c r="D35504" s="38" t="str">
        <f>IFERROR(__xludf.DUMMYFUNCTION("REGEXREPLACE(C35504,""-\d+(.*)|--\d+(.*)"","""")"),"BUSSANG")</f>
        <v>BUSSANG</v>
      </c>
      <c r="E35504" s="38" t="s">
        <v>194</v>
      </c>
      <c r="F35504" s="38" t="s">
        <v>195</v>
      </c>
      <c r="G35504" s="49" t="str">
        <f t="shared" si="1"/>
        <v>88540</v>
      </c>
      <c r="H35504" s="49">
        <f t="shared" si="2"/>
        <v>88081</v>
      </c>
    </row>
    <row r="35505">
      <c r="A35505" s="48" t="s">
        <v>2530</v>
      </c>
      <c r="B35505" s="38">
        <v>79327.0</v>
      </c>
      <c r="C35505" s="38" t="s">
        <v>39643</v>
      </c>
      <c r="D35505" s="38" t="str">
        <f>IFERROR(__xludf.DUMMYFUNCTION("REGEXREPLACE(C35505,""-\d+(.*)|--\d+(.*)"","""")"),"THORIGNE")</f>
        <v>THORIGNE</v>
      </c>
      <c r="E35505" s="38" t="s">
        <v>337</v>
      </c>
      <c r="F35505" s="38" t="s">
        <v>338</v>
      </c>
      <c r="G35505" s="49" t="str">
        <f t="shared" si="1"/>
        <v>79370</v>
      </c>
      <c r="H35505" s="49">
        <f t="shared" si="2"/>
        <v>79327</v>
      </c>
    </row>
    <row r="35506">
      <c r="A35506" s="48" t="s">
        <v>1070</v>
      </c>
      <c r="B35506" s="38">
        <v>39551.0</v>
      </c>
      <c r="C35506" s="38" t="s">
        <v>39644</v>
      </c>
      <c r="D35506" s="38" t="str">
        <f>IFERROR(__xludf.DUMMYFUNCTION("REGEXREPLACE(C35506,""-\d+(.*)|--\d+(.*)"","""")"),"VERIA")</f>
        <v>VERIA</v>
      </c>
      <c r="E35506" s="38" t="s">
        <v>400</v>
      </c>
      <c r="F35506" s="38" t="s">
        <v>214</v>
      </c>
      <c r="G35506" s="49" t="str">
        <f t="shared" si="1"/>
        <v>39160</v>
      </c>
      <c r="H35506" s="49">
        <f t="shared" si="2"/>
        <v>39551</v>
      </c>
    </row>
    <row r="35507">
      <c r="A35507" s="48" t="s">
        <v>4054</v>
      </c>
      <c r="B35507" s="38">
        <v>88276.0</v>
      </c>
      <c r="C35507" s="38" t="s">
        <v>39645</v>
      </c>
      <c r="D35507" s="38" t="str">
        <f>IFERROR(__xludf.DUMMYFUNCTION("REGEXREPLACE(C35507,""-\d+(.*)|--\d+(.*)"","""")"),"LUSSE")</f>
        <v>LUSSE</v>
      </c>
      <c r="E35507" s="38" t="s">
        <v>194</v>
      </c>
      <c r="F35507" s="38" t="s">
        <v>195</v>
      </c>
      <c r="G35507" s="49" t="str">
        <f t="shared" si="1"/>
        <v>88490</v>
      </c>
      <c r="H35507" s="49">
        <f t="shared" si="2"/>
        <v>88276</v>
      </c>
    </row>
    <row r="35508">
      <c r="A35508" s="48" t="s">
        <v>3448</v>
      </c>
      <c r="B35508" s="38">
        <v>65120.0</v>
      </c>
      <c r="C35508" s="38" t="s">
        <v>39646</v>
      </c>
      <c r="D35508" s="38" t="str">
        <f>IFERROR(__xludf.DUMMYFUNCTION("REGEXREPLACE(C35508,""-\d+(.*)|--\d+(.*)"","""")"),"CALAVANTE")</f>
        <v>CALAVANTE</v>
      </c>
      <c r="E35508" s="38" t="s">
        <v>200</v>
      </c>
      <c r="F35508" s="38" t="s">
        <v>94</v>
      </c>
      <c r="G35508" s="49" t="str">
        <f t="shared" si="1"/>
        <v>65190</v>
      </c>
      <c r="H35508" s="49">
        <f t="shared" si="2"/>
        <v>65120</v>
      </c>
    </row>
    <row r="35509">
      <c r="A35509" s="48" t="s">
        <v>2710</v>
      </c>
      <c r="B35509" s="38">
        <v>68034.0</v>
      </c>
      <c r="C35509" s="38" t="s">
        <v>39647</v>
      </c>
      <c r="D35509" s="38" t="str">
        <f>IFERROR(__xludf.DUMMYFUNCTION("REGEXREPLACE(C35509,""-\d+(.*)|--\d+(.*)"","""")"),"BETTLACH")</f>
        <v>BETTLACH</v>
      </c>
      <c r="E35509" s="38" t="s">
        <v>150</v>
      </c>
      <c r="F35509" s="38" t="s">
        <v>151</v>
      </c>
      <c r="G35509" s="49" t="str">
        <f t="shared" si="1"/>
        <v>68480</v>
      </c>
      <c r="H35509" s="49">
        <f t="shared" si="2"/>
        <v>68034</v>
      </c>
    </row>
    <row r="35510">
      <c r="A35510" s="48" t="s">
        <v>196</v>
      </c>
      <c r="B35510" s="38">
        <v>2134.0</v>
      </c>
      <c r="C35510" s="38" t="s">
        <v>39648</v>
      </c>
      <c r="D35510" s="38" t="str">
        <f>IFERROR(__xludf.DUMMYFUNCTION("REGEXREPLACE(C35510,""-\d+(.*)|--\d+(.*)"","""")"),"BUIRE")</f>
        <v>BUIRE</v>
      </c>
      <c r="E35510" s="38" t="s">
        <v>191</v>
      </c>
      <c r="F35510" s="38" t="s">
        <v>113</v>
      </c>
      <c r="G35510" s="49" t="str">
        <f t="shared" si="1"/>
        <v>02500</v>
      </c>
      <c r="H35510" s="49" t="str">
        <f t="shared" si="2"/>
        <v>02134</v>
      </c>
    </row>
    <row r="35511">
      <c r="A35511" s="48" t="s">
        <v>7569</v>
      </c>
      <c r="B35511" s="38">
        <v>73104.0</v>
      </c>
      <c r="C35511" s="38" t="s">
        <v>39649</v>
      </c>
      <c r="D35511" s="38" t="str">
        <f>IFERROR(__xludf.DUMMYFUNCTION("REGEXREPLACE(C35511,""-\d+(.*)|--\d+(.*)"","""")"),"DULLIN")</f>
        <v>DULLIN</v>
      </c>
      <c r="E35511" s="38" t="s">
        <v>306</v>
      </c>
      <c r="F35511" s="38" t="s">
        <v>102</v>
      </c>
      <c r="G35511" s="49" t="str">
        <f t="shared" si="1"/>
        <v>73610</v>
      </c>
      <c r="H35511" s="49">
        <f t="shared" si="2"/>
        <v>73104</v>
      </c>
    </row>
    <row r="35512">
      <c r="A35512" s="48" t="s">
        <v>3651</v>
      </c>
      <c r="B35512" s="38">
        <v>19237.0</v>
      </c>
      <c r="C35512" s="38" t="s">
        <v>12002</v>
      </c>
      <c r="D35512" s="38" t="str">
        <f>IFERROR(__xludf.DUMMYFUNCTION("REGEXREPLACE(C35512,""-\d+(.*)|--\d+(.*)"","""")"),"SAINT-PRIVAT")</f>
        <v>SAINT-PRIVAT</v>
      </c>
      <c r="E35512" s="38" t="s">
        <v>271</v>
      </c>
      <c r="F35512" s="38" t="s">
        <v>98</v>
      </c>
      <c r="G35512" s="49" t="str">
        <f t="shared" si="1"/>
        <v>19220</v>
      </c>
      <c r="H35512" s="49">
        <f t="shared" si="2"/>
        <v>19237</v>
      </c>
    </row>
    <row r="35513">
      <c r="A35513" s="48" t="s">
        <v>7749</v>
      </c>
      <c r="B35513" s="38">
        <v>85074.0</v>
      </c>
      <c r="C35513" s="38" t="s">
        <v>17752</v>
      </c>
      <c r="D35513" s="38" t="str">
        <f>IFERROR(__xludf.DUMMYFUNCTION("REGEXREPLACE(C35513,""-\d+(.*)|--\d+(.*)"","""")"),"LA COUTURE")</f>
        <v>LA COUTURE</v>
      </c>
      <c r="E35513" s="38" t="s">
        <v>179</v>
      </c>
      <c r="F35513" s="38" t="s">
        <v>180</v>
      </c>
      <c r="G35513" s="49" t="str">
        <f t="shared" si="1"/>
        <v>85320</v>
      </c>
      <c r="H35513" s="49">
        <f t="shared" si="2"/>
        <v>85074</v>
      </c>
    </row>
    <row r="35514">
      <c r="A35514" s="48" t="s">
        <v>3339</v>
      </c>
      <c r="B35514" s="38">
        <v>67010.0</v>
      </c>
      <c r="C35514" s="38" t="s">
        <v>39650</v>
      </c>
      <c r="D35514" s="38" t="str">
        <f>IFERROR(__xludf.DUMMYFUNCTION("REGEXREPLACE(C35514,""-\d+(.*)|--\d+(.*)"","""")"),"ANDLAU")</f>
        <v>ANDLAU</v>
      </c>
      <c r="E35514" s="38" t="s">
        <v>210</v>
      </c>
      <c r="F35514" s="38" t="s">
        <v>151</v>
      </c>
      <c r="G35514" s="49" t="str">
        <f t="shared" si="1"/>
        <v>67140</v>
      </c>
      <c r="H35514" s="49">
        <f t="shared" si="2"/>
        <v>67010</v>
      </c>
    </row>
    <row r="35515">
      <c r="A35515" s="48" t="s">
        <v>9683</v>
      </c>
      <c r="B35515" s="38">
        <v>46256.0</v>
      </c>
      <c r="C35515" s="38" t="s">
        <v>39651</v>
      </c>
      <c r="D35515" s="38" t="str">
        <f>IFERROR(__xludf.DUMMYFUNCTION("REGEXREPLACE(C35515,""-\d+(.*)|--\d+(.*)"","""")"),"SAINT-CIRQ-LAPOPIE")</f>
        <v>SAINT-CIRQ-LAPOPIE</v>
      </c>
      <c r="E35515" s="38" t="s">
        <v>185</v>
      </c>
      <c r="F35515" s="38" t="s">
        <v>94</v>
      </c>
      <c r="G35515" s="49" t="str">
        <f t="shared" si="1"/>
        <v>46330</v>
      </c>
      <c r="H35515" s="49">
        <f t="shared" si="2"/>
        <v>46256</v>
      </c>
    </row>
    <row r="35516">
      <c r="A35516" s="48" t="s">
        <v>2370</v>
      </c>
      <c r="B35516" s="38">
        <v>33379.0</v>
      </c>
      <c r="C35516" s="38" t="s">
        <v>6811</v>
      </c>
      <c r="D35516" s="38" t="str">
        <f>IFERROR(__xludf.DUMMYFUNCTION("REGEXREPLACE(C35516,""-\d+(.*)|--\d+(.*)"","""")"),"SAINT-BRICE")</f>
        <v>SAINT-BRICE</v>
      </c>
      <c r="E35516" s="38" t="s">
        <v>462</v>
      </c>
      <c r="F35516" s="38" t="s">
        <v>252</v>
      </c>
      <c r="G35516" s="49" t="str">
        <f t="shared" si="1"/>
        <v>33540</v>
      </c>
      <c r="H35516" s="49">
        <f t="shared" si="2"/>
        <v>33379</v>
      </c>
    </row>
    <row r="35517">
      <c r="A35517" s="48" t="s">
        <v>28464</v>
      </c>
      <c r="B35517" s="38">
        <v>89093.0</v>
      </c>
      <c r="C35517" s="38" t="s">
        <v>3369</v>
      </c>
      <c r="D35517" s="38" t="str">
        <f>IFERROR(__xludf.DUMMYFUNCTION("REGEXREPLACE(C35517,""-\d+(.*)|--\d+(.*)"","""")"),"CHAUMONT")</f>
        <v>CHAUMONT</v>
      </c>
      <c r="E35517" s="38" t="s">
        <v>275</v>
      </c>
      <c r="F35517" s="38" t="s">
        <v>106</v>
      </c>
      <c r="G35517" s="49" t="str">
        <f t="shared" si="1"/>
        <v>89340</v>
      </c>
      <c r="H35517" s="49">
        <f t="shared" si="2"/>
        <v>89093</v>
      </c>
    </row>
    <row r="35518">
      <c r="A35518" s="48" t="s">
        <v>1534</v>
      </c>
      <c r="B35518" s="38">
        <v>19233.0</v>
      </c>
      <c r="C35518" s="38" t="s">
        <v>39652</v>
      </c>
      <c r="D35518" s="38" t="str">
        <f>IFERROR(__xludf.DUMMYFUNCTION("REGEXREPLACE(C35518,""-\d+(.*)|--\d+(.*)"","""")"),"SAINT-PARDOUX-LE-VIEUX")</f>
        <v>SAINT-PARDOUX-LE-VIEUX</v>
      </c>
      <c r="E35518" s="38" t="s">
        <v>271</v>
      </c>
      <c r="F35518" s="38" t="s">
        <v>98</v>
      </c>
      <c r="G35518" s="49" t="str">
        <f t="shared" si="1"/>
        <v>19200</v>
      </c>
      <c r="H35518" s="49">
        <f t="shared" si="2"/>
        <v>19233</v>
      </c>
    </row>
    <row r="35519">
      <c r="A35519" s="48" t="s">
        <v>17356</v>
      </c>
      <c r="B35519" s="38">
        <v>29254.0</v>
      </c>
      <c r="C35519" s="38" t="s">
        <v>11682</v>
      </c>
      <c r="D35519" s="38" t="str">
        <f>IFERROR(__xludf.DUMMYFUNCTION("REGEXREPLACE(C35519,""-\d+(.*)|--\d+(.*)"","""")"),"SAINT-MARTIN-DES-CHAMPS")</f>
        <v>SAINT-MARTIN-DES-CHAMPS</v>
      </c>
      <c r="E35519" s="38" t="s">
        <v>176</v>
      </c>
      <c r="F35519" s="38" t="s">
        <v>90</v>
      </c>
      <c r="G35519" s="49" t="str">
        <f t="shared" si="1"/>
        <v>29600</v>
      </c>
      <c r="H35519" s="49">
        <f t="shared" si="2"/>
        <v>29254</v>
      </c>
    </row>
    <row r="35520">
      <c r="A35520" s="48" t="s">
        <v>3898</v>
      </c>
      <c r="B35520" s="38">
        <v>65067.0</v>
      </c>
      <c r="C35520" s="38" t="s">
        <v>39653</v>
      </c>
      <c r="D35520" s="38" t="str">
        <f>IFERROR(__xludf.DUMMYFUNCTION("REGEXREPLACE(C35520,""-\d+(.*)|--\d+(.*)"","""")"),"BARRY")</f>
        <v>BARRY</v>
      </c>
      <c r="E35520" s="38" t="s">
        <v>200</v>
      </c>
      <c r="F35520" s="38" t="s">
        <v>94</v>
      </c>
      <c r="G35520" s="49" t="str">
        <f t="shared" si="1"/>
        <v>65380</v>
      </c>
      <c r="H35520" s="49">
        <f t="shared" si="2"/>
        <v>65067</v>
      </c>
    </row>
    <row r="35521">
      <c r="A35521" s="48" t="s">
        <v>6649</v>
      </c>
      <c r="B35521" s="38">
        <v>18060.0</v>
      </c>
      <c r="C35521" s="38" t="s">
        <v>3369</v>
      </c>
      <c r="D35521" s="38" t="str">
        <f>IFERROR(__xludf.DUMMYFUNCTION("REGEXREPLACE(C35521,""-\d+(.*)|--\d+(.*)"","""")"),"CHAUMONT")</f>
        <v>CHAUMONT</v>
      </c>
      <c r="E35521" s="38" t="s">
        <v>504</v>
      </c>
      <c r="F35521" s="38" t="s">
        <v>123</v>
      </c>
      <c r="G35521" s="49" t="str">
        <f t="shared" si="1"/>
        <v>18350</v>
      </c>
      <c r="H35521" s="49">
        <f t="shared" si="2"/>
        <v>18060</v>
      </c>
    </row>
    <row r="35522">
      <c r="A35522" s="48" t="s">
        <v>3539</v>
      </c>
      <c r="B35522" s="38">
        <v>54075.0</v>
      </c>
      <c r="C35522" s="38" t="s">
        <v>39654</v>
      </c>
      <c r="D35522" s="38" t="str">
        <f>IFERROR(__xludf.DUMMYFUNCTION("REGEXREPLACE(C35522,""-\d+(.*)|--\d+(.*)"","""")"),"BIONVILLE")</f>
        <v>BIONVILLE</v>
      </c>
      <c r="E35522" s="38" t="s">
        <v>548</v>
      </c>
      <c r="F35522" s="38" t="s">
        <v>195</v>
      </c>
      <c r="G35522" s="49" t="str">
        <f t="shared" si="1"/>
        <v>54540</v>
      </c>
      <c r="H35522" s="49">
        <f t="shared" si="2"/>
        <v>54075</v>
      </c>
    </row>
    <row r="35523">
      <c r="A35523" s="48" t="s">
        <v>11099</v>
      </c>
      <c r="B35523" s="38">
        <v>1351.0</v>
      </c>
      <c r="C35523" s="38" t="s">
        <v>39655</v>
      </c>
      <c r="D35523" s="38" t="str">
        <f>IFERROR(__xludf.DUMMYFUNCTION("REGEXREPLACE(C35523,""-\d+(.*)|--\d+(.*)"","""")"),"SAINT-ETIENNE-SUR-CHALARONNE")</f>
        <v>SAINT-ETIENNE-SUR-CHALARONNE</v>
      </c>
      <c r="E35523" s="38" t="s">
        <v>255</v>
      </c>
      <c r="F35523" s="38" t="s">
        <v>102</v>
      </c>
      <c r="G35523" s="49" t="str">
        <f t="shared" si="1"/>
        <v>01140</v>
      </c>
      <c r="H35523" s="49" t="str">
        <f t="shared" si="2"/>
        <v>01351</v>
      </c>
    </row>
    <row r="35524">
      <c r="A35524" s="48" t="s">
        <v>1740</v>
      </c>
      <c r="B35524" s="38">
        <v>26210.0</v>
      </c>
      <c r="C35524" s="38" t="s">
        <v>39656</v>
      </c>
      <c r="D35524" s="38" t="str">
        <f>IFERROR(__xludf.DUMMYFUNCTION("REGEXREPLACE(C35524,""-\d+(.*)|--\d+(.*)"","""")"),"MONTRIGAUD")</f>
        <v>MONTRIGAUD</v>
      </c>
      <c r="E35524" s="38" t="s">
        <v>126</v>
      </c>
      <c r="F35524" s="38" t="s">
        <v>102</v>
      </c>
      <c r="G35524" s="49" t="str">
        <f t="shared" si="1"/>
        <v>26350</v>
      </c>
      <c r="H35524" s="49">
        <f t="shared" si="2"/>
        <v>26210</v>
      </c>
    </row>
    <row r="35525">
      <c r="A35525" s="48" t="s">
        <v>4388</v>
      </c>
      <c r="B35525" s="38">
        <v>31135.0</v>
      </c>
      <c r="C35525" s="38" t="s">
        <v>39657</v>
      </c>
      <c r="D35525" s="38" t="str">
        <f>IFERROR(__xludf.DUMMYFUNCTION("REGEXREPLACE(C35525,""-\d+(.*)|--\d+(.*)"","""")"),"CAZERES")</f>
        <v>CAZERES</v>
      </c>
      <c r="E35525" s="38" t="s">
        <v>93</v>
      </c>
      <c r="F35525" s="38" t="s">
        <v>94</v>
      </c>
      <c r="G35525" s="49" t="str">
        <f t="shared" si="1"/>
        <v>31220</v>
      </c>
      <c r="H35525" s="49">
        <f t="shared" si="2"/>
        <v>31135</v>
      </c>
    </row>
    <row r="35526">
      <c r="A35526" s="48" t="s">
        <v>9653</v>
      </c>
      <c r="B35526" s="38">
        <v>5139.0</v>
      </c>
      <c r="C35526" s="38" t="s">
        <v>39658</v>
      </c>
      <c r="D35526" s="38" t="str">
        <f>IFERROR(__xludf.DUMMYFUNCTION("REGEXREPLACE(C35526,""-\d+(.*)|--\d+(.*)"","""")"),"SAINT-ETIENNE-EN-DEVOLUY")</f>
        <v>SAINT-ETIENNE-EN-DEVOLUY</v>
      </c>
      <c r="E35526" s="38" t="s">
        <v>706</v>
      </c>
      <c r="F35526" s="38" t="s">
        <v>228</v>
      </c>
      <c r="G35526" s="49" t="str">
        <f t="shared" si="1"/>
        <v>05250</v>
      </c>
      <c r="H35526" s="49" t="str">
        <f t="shared" si="2"/>
        <v>05139</v>
      </c>
    </row>
    <row r="35527">
      <c r="A35527" s="48" t="s">
        <v>9850</v>
      </c>
      <c r="B35527" s="38">
        <v>67395.0</v>
      </c>
      <c r="C35527" s="38" t="s">
        <v>39659</v>
      </c>
      <c r="D35527" s="38" t="str">
        <f>IFERROR(__xludf.DUMMYFUNCTION("REGEXREPLACE(C35527,""-\d+(.*)|--\d+(.*)"","""")"),"REUTENBOURG")</f>
        <v>REUTENBOURG</v>
      </c>
      <c r="E35527" s="38" t="s">
        <v>210</v>
      </c>
      <c r="F35527" s="38" t="s">
        <v>151</v>
      </c>
      <c r="G35527" s="49" t="str">
        <f t="shared" si="1"/>
        <v>67440</v>
      </c>
      <c r="H35527" s="49">
        <f t="shared" si="2"/>
        <v>67395</v>
      </c>
    </row>
    <row r="35528">
      <c r="A35528" s="48" t="s">
        <v>1074</v>
      </c>
      <c r="B35528" s="38">
        <v>27032.0</v>
      </c>
      <c r="C35528" s="38" t="s">
        <v>4053</v>
      </c>
      <c r="D35528" s="38" t="str">
        <f>IFERROR(__xludf.DUMMYFUNCTION("REGEXREPLACE(C35528,""-\d+(.*)|--\d+(.*)"","""")"),"AVRILLY")</f>
        <v>AVRILLY</v>
      </c>
      <c r="E35528" s="38" t="s">
        <v>241</v>
      </c>
      <c r="F35528" s="38" t="s">
        <v>134</v>
      </c>
      <c r="G35528" s="49" t="str">
        <f t="shared" si="1"/>
        <v>27240</v>
      </c>
      <c r="H35528" s="49">
        <f t="shared" si="2"/>
        <v>27032</v>
      </c>
    </row>
    <row r="35529">
      <c r="A35529" s="48" t="s">
        <v>1180</v>
      </c>
      <c r="B35529" s="38">
        <v>60485.0</v>
      </c>
      <c r="C35529" s="38" t="s">
        <v>39660</v>
      </c>
      <c r="D35529" s="38" t="str">
        <f>IFERROR(__xludf.DUMMYFUNCTION("REGEXREPLACE(C35529,""-\d+(.*)|--\d+(.*)"","""")"),"OURSEL-MAISON")</f>
        <v>OURSEL-MAISON</v>
      </c>
      <c r="E35529" s="38" t="s">
        <v>112</v>
      </c>
      <c r="F35529" s="38" t="s">
        <v>113</v>
      </c>
      <c r="G35529" s="49" t="str">
        <f t="shared" si="1"/>
        <v>60480</v>
      </c>
      <c r="H35529" s="49">
        <f t="shared" si="2"/>
        <v>60485</v>
      </c>
    </row>
    <row r="35530">
      <c r="A35530" s="48" t="s">
        <v>19022</v>
      </c>
      <c r="B35530" s="38">
        <v>63026.0</v>
      </c>
      <c r="C35530" s="38" t="s">
        <v>39661</v>
      </c>
      <c r="D35530" s="38" t="str">
        <f>IFERROR(__xludf.DUMMYFUNCTION("REGEXREPLACE(C35530,""-\d+(.*)|--\d+(.*)"","""")"),"AYDAT")</f>
        <v>AYDAT</v>
      </c>
      <c r="E35530" s="38" t="s">
        <v>353</v>
      </c>
      <c r="F35530" s="38" t="s">
        <v>161</v>
      </c>
      <c r="G35530" s="49" t="str">
        <f t="shared" si="1"/>
        <v>63970</v>
      </c>
      <c r="H35530" s="49">
        <f t="shared" si="2"/>
        <v>63026</v>
      </c>
    </row>
    <row r="35531">
      <c r="A35531" s="48" t="s">
        <v>5203</v>
      </c>
      <c r="B35531" s="38">
        <v>88253.0</v>
      </c>
      <c r="C35531" s="38" t="s">
        <v>39662</v>
      </c>
      <c r="D35531" s="38" t="str">
        <f>IFERROR(__xludf.DUMMYFUNCTION("REGEXREPLACE(C35531,""-\d+(.*)|--\d+(.*)"","""")"),"JEUXEY")</f>
        <v>JEUXEY</v>
      </c>
      <c r="E35531" s="38" t="s">
        <v>194</v>
      </c>
      <c r="F35531" s="38" t="s">
        <v>195</v>
      </c>
      <c r="G35531" s="49" t="str">
        <f t="shared" si="1"/>
        <v>88000</v>
      </c>
      <c r="H35531" s="49">
        <f t="shared" si="2"/>
        <v>88253</v>
      </c>
    </row>
    <row r="35532">
      <c r="A35532" s="48" t="s">
        <v>8806</v>
      </c>
      <c r="B35532" s="38">
        <v>5104.0</v>
      </c>
      <c r="C35532" s="38" t="s">
        <v>7451</v>
      </c>
      <c r="D35532" s="38" t="str">
        <f>IFERROR(__xludf.DUMMYFUNCTION("REGEXREPLACE(C35532,""-\d+(.*)|--\d+(.*)"","""")"),"POLIGNY")</f>
        <v>POLIGNY</v>
      </c>
      <c r="E35532" s="38" t="s">
        <v>706</v>
      </c>
      <c r="F35532" s="38" t="s">
        <v>228</v>
      </c>
      <c r="G35532" s="49" t="str">
        <f t="shared" si="1"/>
        <v>05500</v>
      </c>
      <c r="H35532" s="49" t="str">
        <f t="shared" si="2"/>
        <v>05104</v>
      </c>
    </row>
    <row r="35533">
      <c r="A35533" s="48" t="s">
        <v>8892</v>
      </c>
      <c r="B35533" s="38">
        <v>60480.0</v>
      </c>
      <c r="C35533" s="38" t="s">
        <v>39663</v>
      </c>
      <c r="D35533" s="38" t="str">
        <f>IFERROR(__xludf.DUMMYFUNCTION("REGEXREPLACE(C35533,""-\d+(.*)|--\d+(.*)"","""")"),"OROER")</f>
        <v>OROER</v>
      </c>
      <c r="E35533" s="38" t="s">
        <v>112</v>
      </c>
      <c r="F35533" s="38" t="s">
        <v>113</v>
      </c>
      <c r="G35533" s="49" t="str">
        <f t="shared" si="1"/>
        <v>60510</v>
      </c>
      <c r="H35533" s="49">
        <f t="shared" si="2"/>
        <v>60480</v>
      </c>
    </row>
    <row r="35534">
      <c r="A35534" s="48" t="s">
        <v>10786</v>
      </c>
      <c r="B35534" s="38">
        <v>32360.0</v>
      </c>
      <c r="C35534" s="38" t="s">
        <v>39664</v>
      </c>
      <c r="D35534" s="38" t="str">
        <f>IFERROR(__xludf.DUMMYFUNCTION("REGEXREPLACE(C35534,""-\d+(.*)|--\d+(.*)"","""")"),"SAINT-ARAILLES")</f>
        <v>SAINT-ARAILLES</v>
      </c>
      <c r="E35534" s="38" t="s">
        <v>440</v>
      </c>
      <c r="F35534" s="38" t="s">
        <v>94</v>
      </c>
      <c r="G35534" s="49" t="str">
        <f t="shared" si="1"/>
        <v>32350</v>
      </c>
      <c r="H35534" s="49">
        <f t="shared" si="2"/>
        <v>32360</v>
      </c>
    </row>
    <row r="35535">
      <c r="A35535" s="48" t="s">
        <v>6818</v>
      </c>
      <c r="B35535" s="38">
        <v>40002.0</v>
      </c>
      <c r="C35535" s="38" t="s">
        <v>39665</v>
      </c>
      <c r="D35535" s="38" t="str">
        <f>IFERROR(__xludf.DUMMYFUNCTION("REGEXREPLACE(C35535,""-\d+(.*)|--\d+(.*)"","""")"),"AMOU")</f>
        <v>AMOU</v>
      </c>
      <c r="E35535" s="38" t="s">
        <v>281</v>
      </c>
      <c r="F35535" s="38" t="s">
        <v>252</v>
      </c>
      <c r="G35535" s="49" t="str">
        <f t="shared" si="1"/>
        <v>40330</v>
      </c>
      <c r="H35535" s="49">
        <f t="shared" si="2"/>
        <v>40002</v>
      </c>
    </row>
    <row r="35536">
      <c r="A35536" s="48" t="s">
        <v>31452</v>
      </c>
      <c r="B35536" s="38">
        <v>21355.0</v>
      </c>
      <c r="C35536" s="38" t="s">
        <v>39666</v>
      </c>
      <c r="D35536" s="38" t="str">
        <f>IFERROR(__xludf.DUMMYFUNCTION("REGEXREPLACE(C35536,""-\d+(.*)|--\d+(.*)"","""")"),"LONGVIC")</f>
        <v>LONGVIC</v>
      </c>
      <c r="E35536" s="38" t="s">
        <v>105</v>
      </c>
      <c r="F35536" s="38" t="s">
        <v>106</v>
      </c>
      <c r="G35536" s="49" t="str">
        <f t="shared" si="1"/>
        <v>21600</v>
      </c>
      <c r="H35536" s="49">
        <f t="shared" si="2"/>
        <v>21355</v>
      </c>
    </row>
    <row r="35537">
      <c r="A35537" s="48" t="s">
        <v>9632</v>
      </c>
      <c r="B35537" s="38">
        <v>28318.0</v>
      </c>
      <c r="C35537" s="38" t="s">
        <v>39667</v>
      </c>
      <c r="D35537" s="38" t="str">
        <f>IFERROR(__xludf.DUMMYFUNCTION("REGEXREPLACE(C35537,""-\d+(.*)|--\d+(.*)"","""")"),"ROMILLY-SUR-AIGRE")</f>
        <v>ROMILLY-SUR-AIGRE</v>
      </c>
      <c r="E35537" s="38" t="s">
        <v>300</v>
      </c>
      <c r="F35537" s="38" t="s">
        <v>123</v>
      </c>
      <c r="G35537" s="49" t="str">
        <f t="shared" si="1"/>
        <v>28220</v>
      </c>
      <c r="H35537" s="49">
        <f t="shared" si="2"/>
        <v>28318</v>
      </c>
    </row>
    <row r="35538">
      <c r="A35538" s="48" t="s">
        <v>4499</v>
      </c>
      <c r="B35538" s="38">
        <v>25209.0</v>
      </c>
      <c r="C35538" s="38" t="s">
        <v>39668</v>
      </c>
      <c r="D35538" s="38" t="str">
        <f>IFERROR(__xludf.DUMMYFUNCTION("REGEXREPLACE(C35538,""-\d+(.*)|--\d+(.*)"","""")"),"ECHAY")</f>
        <v>ECHAY</v>
      </c>
      <c r="E35538" s="38" t="s">
        <v>213</v>
      </c>
      <c r="F35538" s="38" t="s">
        <v>214</v>
      </c>
      <c r="G35538" s="49" t="str">
        <f t="shared" si="1"/>
        <v>25440</v>
      </c>
      <c r="H35538" s="49">
        <f t="shared" si="2"/>
        <v>25209</v>
      </c>
    </row>
    <row r="35539">
      <c r="A35539" s="48" t="s">
        <v>870</v>
      </c>
      <c r="B35539" s="38">
        <v>22212.0</v>
      </c>
      <c r="C35539" s="38" t="s">
        <v>39669</v>
      </c>
      <c r="D35539" s="38" t="str">
        <f>IFERROR(__xludf.DUMMYFUNCTION("REGEXREPLACE(C35539,""-\d+(.*)|--\d+(.*)"","""")"),"PLOUEC-DU-TRIEUX")</f>
        <v>PLOUEC-DU-TRIEUX</v>
      </c>
      <c r="E35539" s="38" t="s">
        <v>89</v>
      </c>
      <c r="F35539" s="38" t="s">
        <v>90</v>
      </c>
      <c r="G35539" s="49" t="str">
        <f t="shared" si="1"/>
        <v>22260</v>
      </c>
      <c r="H35539" s="49">
        <f t="shared" si="2"/>
        <v>22212</v>
      </c>
    </row>
    <row r="35540">
      <c r="A35540" s="48" t="s">
        <v>1800</v>
      </c>
      <c r="B35540" s="38">
        <v>88230.0</v>
      </c>
      <c r="C35540" s="38" t="s">
        <v>39670</v>
      </c>
      <c r="D35540" s="38" t="str">
        <f>IFERROR(__xludf.DUMMYFUNCTION("REGEXREPLACE(C35540,""-\d+(.*)|--\d+(.*)"","""")"),"HARDANCOURT")</f>
        <v>HARDANCOURT</v>
      </c>
      <c r="E35540" s="38" t="s">
        <v>194</v>
      </c>
      <c r="F35540" s="38" t="s">
        <v>195</v>
      </c>
      <c r="G35540" s="49" t="str">
        <f t="shared" si="1"/>
        <v>88700</v>
      </c>
      <c r="H35540" s="49">
        <f t="shared" si="2"/>
        <v>88230</v>
      </c>
    </row>
    <row r="35541">
      <c r="A35541" s="48" t="s">
        <v>4358</v>
      </c>
      <c r="B35541" s="38">
        <v>1448.0</v>
      </c>
      <c r="C35541" s="38" t="s">
        <v>39671</v>
      </c>
      <c r="D35541" s="38" t="str">
        <f>IFERROR(__xludf.DUMMYFUNCTION("REGEXREPLACE(C35541,""-\d+(.*)|--\d+(.*)"","""")"),"VILLES")</f>
        <v>VILLES</v>
      </c>
      <c r="E35541" s="38" t="s">
        <v>255</v>
      </c>
      <c r="F35541" s="38" t="s">
        <v>102</v>
      </c>
      <c r="G35541" s="49" t="str">
        <f t="shared" si="1"/>
        <v>01200</v>
      </c>
      <c r="H35541" s="49" t="str">
        <f t="shared" si="2"/>
        <v>01448</v>
      </c>
    </row>
    <row r="35542">
      <c r="A35542" s="48" t="s">
        <v>1452</v>
      </c>
      <c r="B35542" s="38">
        <v>55523.0</v>
      </c>
      <c r="C35542" s="38" t="s">
        <v>39672</v>
      </c>
      <c r="D35542" s="38" t="str">
        <f>IFERROR(__xludf.DUMMYFUNCTION("REGEXREPLACE(C35542,""-\d+(.*)|--\d+(.*)"","""")"),"VACHERAUVILLE")</f>
        <v>VACHERAUVILLE</v>
      </c>
      <c r="E35542" s="38" t="s">
        <v>322</v>
      </c>
      <c r="F35542" s="38" t="s">
        <v>195</v>
      </c>
      <c r="G35542" s="49" t="str">
        <f t="shared" si="1"/>
        <v>55100</v>
      </c>
      <c r="H35542" s="49">
        <f t="shared" si="2"/>
        <v>55523</v>
      </c>
    </row>
    <row r="35543">
      <c r="A35543" s="48" t="s">
        <v>6316</v>
      </c>
      <c r="B35543" s="38">
        <v>50498.0</v>
      </c>
      <c r="C35543" s="38" t="s">
        <v>19485</v>
      </c>
      <c r="D35543" s="38" t="str">
        <f>IFERROR(__xludf.DUMMYFUNCTION("REGEXREPLACE(C35543,""-\d+(.*)|--\d+(.*)"","""")"),"SAINT-JOSEPH")</f>
        <v>SAINT-JOSEPH</v>
      </c>
      <c r="E35543" s="38" t="s">
        <v>157</v>
      </c>
      <c r="F35543" s="38" t="s">
        <v>138</v>
      </c>
      <c r="G35543" s="49" t="str">
        <f t="shared" si="1"/>
        <v>50700</v>
      </c>
      <c r="H35543" s="49">
        <f t="shared" si="2"/>
        <v>50498</v>
      </c>
    </row>
    <row r="35544">
      <c r="A35544" s="48" t="s">
        <v>4617</v>
      </c>
      <c r="B35544" s="38">
        <v>15124.0</v>
      </c>
      <c r="C35544" s="38" t="s">
        <v>39673</v>
      </c>
      <c r="D35544" s="38" t="str">
        <f>IFERROR(__xludf.DUMMYFUNCTION("REGEXREPLACE(C35544,""-\d+(.*)|--\d+(.*)"","""")"),"MENET")</f>
        <v>MENET</v>
      </c>
      <c r="E35544" s="38" t="s">
        <v>632</v>
      </c>
      <c r="F35544" s="38" t="s">
        <v>161</v>
      </c>
      <c r="G35544" s="49" t="str">
        <f t="shared" si="1"/>
        <v>15400</v>
      </c>
      <c r="H35544" s="49">
        <f t="shared" si="2"/>
        <v>15124</v>
      </c>
    </row>
    <row r="35545">
      <c r="A35545" s="48" t="s">
        <v>11699</v>
      </c>
      <c r="B35545" s="38">
        <v>38018.0</v>
      </c>
      <c r="C35545" s="38" t="s">
        <v>39674</v>
      </c>
      <c r="D35545" s="38" t="str">
        <f>IFERROR(__xludf.DUMMYFUNCTION("REGEXREPLACE(C35545,""-\d+(.*)|--\d+(.*)"","""")"),"AUBERIVES-EN-ROYANS")</f>
        <v>AUBERIVES-EN-ROYANS</v>
      </c>
      <c r="E35545" s="38" t="s">
        <v>101</v>
      </c>
      <c r="F35545" s="38" t="s">
        <v>102</v>
      </c>
      <c r="G35545" s="49" t="str">
        <f t="shared" si="1"/>
        <v>38680</v>
      </c>
      <c r="H35545" s="49">
        <f t="shared" si="2"/>
        <v>38018</v>
      </c>
    </row>
    <row r="35546">
      <c r="A35546" s="48" t="s">
        <v>7781</v>
      </c>
      <c r="B35546" s="38">
        <v>31516.0</v>
      </c>
      <c r="C35546" s="38" t="s">
        <v>4403</v>
      </c>
      <c r="D35546" s="38" t="str">
        <f>IFERROR(__xludf.DUMMYFUNCTION("REGEXREPLACE(C35546,""-\d+(.*)|--\d+(.*)"","""")"),"SAINT-SAUVEUR")</f>
        <v>SAINT-SAUVEUR</v>
      </c>
      <c r="E35546" s="38" t="s">
        <v>93</v>
      </c>
      <c r="F35546" s="38" t="s">
        <v>94</v>
      </c>
      <c r="G35546" s="49" t="str">
        <f t="shared" si="1"/>
        <v>31790</v>
      </c>
      <c r="H35546" s="49">
        <f t="shared" si="2"/>
        <v>31516</v>
      </c>
    </row>
    <row r="35547">
      <c r="A35547" s="48" t="s">
        <v>1697</v>
      </c>
      <c r="B35547" s="38">
        <v>39021.0</v>
      </c>
      <c r="C35547" s="38" t="s">
        <v>39675</v>
      </c>
      <c r="D35547" s="38" t="str">
        <f>IFERROR(__xludf.DUMMYFUNCTION("REGEXREPLACE(C35547,""-\d+(.*)|--\d+(.*)"","""")"),"ARTHENAS")</f>
        <v>ARTHENAS</v>
      </c>
      <c r="E35547" s="38" t="s">
        <v>400</v>
      </c>
      <c r="F35547" s="38" t="s">
        <v>214</v>
      </c>
      <c r="G35547" s="49" t="str">
        <f t="shared" si="1"/>
        <v>39270</v>
      </c>
      <c r="H35547" s="49">
        <f t="shared" si="2"/>
        <v>39021</v>
      </c>
    </row>
    <row r="35548">
      <c r="A35548" s="48" t="s">
        <v>830</v>
      </c>
      <c r="B35548" s="38">
        <v>68288.0</v>
      </c>
      <c r="C35548" s="38" t="s">
        <v>39676</v>
      </c>
      <c r="D35548" s="38" t="str">
        <f>IFERROR(__xludf.DUMMYFUNCTION("REGEXREPLACE(C35548,""-\d+(.*)|--\d+(.*)"","""")"),"RUEDERBACH")</f>
        <v>RUEDERBACH</v>
      </c>
      <c r="E35548" s="38" t="s">
        <v>150</v>
      </c>
      <c r="F35548" s="38" t="s">
        <v>151</v>
      </c>
      <c r="G35548" s="49" t="str">
        <f t="shared" si="1"/>
        <v>68560</v>
      </c>
      <c r="H35548" s="49">
        <f t="shared" si="2"/>
        <v>68288</v>
      </c>
    </row>
    <row r="35549">
      <c r="A35549" s="48" t="s">
        <v>7676</v>
      </c>
      <c r="B35549" s="38">
        <v>63473.0</v>
      </c>
      <c r="C35549" s="38" t="s">
        <v>39677</v>
      </c>
      <c r="D35549" s="38" t="str">
        <f>IFERROR(__xludf.DUMMYFUNCTION("REGEXREPLACE(C35549,""-\d+(.*)|--\d+(.*)"","""")"),"YSSAC-LA-TOURETTE")</f>
        <v>YSSAC-LA-TOURETTE</v>
      </c>
      <c r="E35549" s="38" t="s">
        <v>353</v>
      </c>
      <c r="F35549" s="38" t="s">
        <v>161</v>
      </c>
      <c r="G35549" s="49" t="str">
        <f t="shared" si="1"/>
        <v>63200</v>
      </c>
      <c r="H35549" s="49">
        <f t="shared" si="2"/>
        <v>63473</v>
      </c>
    </row>
    <row r="35550">
      <c r="A35550" s="48" t="s">
        <v>39678</v>
      </c>
      <c r="B35550" s="38">
        <v>76321.0</v>
      </c>
      <c r="C35550" s="38" t="s">
        <v>39679</v>
      </c>
      <c r="D35550" s="38" t="str">
        <f>IFERROR(__xludf.DUMMYFUNCTION("REGEXREPLACE(C35550,""-\d+(.*)|--\d+(.*)"","""")"),"LES GRANDES-VENTES")</f>
        <v>LES GRANDES-VENTES</v>
      </c>
      <c r="E35550" s="38" t="s">
        <v>133</v>
      </c>
      <c r="F35550" s="38" t="s">
        <v>134</v>
      </c>
      <c r="G35550" s="49" t="str">
        <f t="shared" si="1"/>
        <v>76950</v>
      </c>
      <c r="H35550" s="49">
        <f t="shared" si="2"/>
        <v>76321</v>
      </c>
    </row>
    <row r="35551">
      <c r="A35551" s="48" t="s">
        <v>6301</v>
      </c>
      <c r="B35551" s="38">
        <v>81306.0</v>
      </c>
      <c r="C35551" s="38" t="s">
        <v>39680</v>
      </c>
      <c r="D35551" s="38" t="str">
        <f>IFERROR(__xludf.DUMMYFUNCTION("REGEXREPLACE(C35551,""-\d+(.*)|--\d+(.*)"","""")"),"VALDERIES")</f>
        <v>VALDERIES</v>
      </c>
      <c r="E35551" s="38" t="s">
        <v>231</v>
      </c>
      <c r="F35551" s="38" t="s">
        <v>94</v>
      </c>
      <c r="G35551" s="49" t="str">
        <f t="shared" si="1"/>
        <v>81350</v>
      </c>
      <c r="H35551" s="49">
        <f t="shared" si="2"/>
        <v>81306</v>
      </c>
    </row>
    <row r="35552">
      <c r="A35552" s="48" t="s">
        <v>14727</v>
      </c>
      <c r="B35552" s="38">
        <v>87166.0</v>
      </c>
      <c r="C35552" s="38" t="s">
        <v>39681</v>
      </c>
      <c r="D35552" s="38" t="str">
        <f>IFERROR(__xludf.DUMMYFUNCTION("REGEXREPLACE(C35552,""-\d+(.*)|--\d+(.*)"","""")"),"SAINT-MARTIN-LE-VIEUX")</f>
        <v>SAINT-MARTIN-LE-VIEUX</v>
      </c>
      <c r="E35552" s="38" t="s">
        <v>897</v>
      </c>
      <c r="F35552" s="38" t="s">
        <v>98</v>
      </c>
      <c r="G35552" s="49" t="str">
        <f t="shared" si="1"/>
        <v>87700</v>
      </c>
      <c r="H35552" s="49">
        <f t="shared" si="2"/>
        <v>87166</v>
      </c>
    </row>
    <row r="35553">
      <c r="A35553" s="48" t="s">
        <v>407</v>
      </c>
      <c r="B35553" s="38">
        <v>71068.0</v>
      </c>
      <c r="C35553" s="38" t="s">
        <v>39682</v>
      </c>
      <c r="D35553" s="38" t="str">
        <f>IFERROR(__xludf.DUMMYFUNCTION("REGEXREPLACE(C35553,""-\d+(.*)|--\d+(.*)"","""")"),"BURZY")</f>
        <v>BURZY</v>
      </c>
      <c r="E35553" s="38" t="s">
        <v>344</v>
      </c>
      <c r="F35553" s="38" t="s">
        <v>106</v>
      </c>
      <c r="G35553" s="49" t="str">
        <f t="shared" si="1"/>
        <v>71460</v>
      </c>
      <c r="H35553" s="49">
        <f t="shared" si="2"/>
        <v>71068</v>
      </c>
    </row>
    <row r="35554">
      <c r="A35554" s="48" t="s">
        <v>2532</v>
      </c>
      <c r="B35554" s="38">
        <v>51265.0</v>
      </c>
      <c r="C35554" s="38" t="s">
        <v>39683</v>
      </c>
      <c r="D35554" s="38" t="str">
        <f>IFERROR(__xludf.DUMMYFUNCTION("REGEXREPLACE(C35554,""-\d+(.*)|--\d+(.*)"","""")"),"GAYE")</f>
        <v>GAYE</v>
      </c>
      <c r="E35554" s="38" t="s">
        <v>129</v>
      </c>
      <c r="F35554" s="38" t="s">
        <v>130</v>
      </c>
      <c r="G35554" s="49" t="str">
        <f t="shared" si="1"/>
        <v>51120</v>
      </c>
      <c r="H35554" s="49">
        <f t="shared" si="2"/>
        <v>51265</v>
      </c>
    </row>
    <row r="35555">
      <c r="A35555" s="48" t="s">
        <v>15194</v>
      </c>
      <c r="B35555" s="38">
        <v>24284.0</v>
      </c>
      <c r="C35555" s="38" t="s">
        <v>39684</v>
      </c>
      <c r="D35555" s="38" t="str">
        <f>IFERROR(__xludf.DUMMYFUNCTION("REGEXREPLACE(C35555,""-\d+(.*)|--\d+(.*)"","""")"),"MONTAGNAC-D'AUBEROCHE")</f>
        <v>MONTAGNAC-D'AUBEROCHE</v>
      </c>
      <c r="E35555" s="38" t="s">
        <v>261</v>
      </c>
      <c r="F35555" s="38" t="s">
        <v>252</v>
      </c>
      <c r="G35555" s="49" t="str">
        <f t="shared" si="1"/>
        <v>24210</v>
      </c>
      <c r="H35555" s="49">
        <f t="shared" si="2"/>
        <v>24284</v>
      </c>
    </row>
    <row r="35556">
      <c r="A35556" s="48" t="s">
        <v>3190</v>
      </c>
      <c r="B35556" s="38">
        <v>70539.0</v>
      </c>
      <c r="C35556" s="38" t="s">
        <v>39685</v>
      </c>
      <c r="D35556" s="38" t="str">
        <f>IFERROR(__xludf.DUMMYFUNCTION("REGEXREPLACE(C35556,""-\d+(.*)|--\d+(.*)"","""")"),"VELLEXON-QUEUTREY-ET-VAUDEY")</f>
        <v>VELLEXON-QUEUTREY-ET-VAUDEY</v>
      </c>
      <c r="E35556" s="38" t="s">
        <v>956</v>
      </c>
      <c r="F35556" s="38" t="s">
        <v>214</v>
      </c>
      <c r="G35556" s="49" t="str">
        <f t="shared" si="1"/>
        <v>70130</v>
      </c>
      <c r="H35556" s="49">
        <f t="shared" si="2"/>
        <v>70539</v>
      </c>
    </row>
    <row r="35557">
      <c r="A35557" s="48" t="s">
        <v>5101</v>
      </c>
      <c r="B35557" s="38">
        <v>54170.0</v>
      </c>
      <c r="C35557" s="38" t="s">
        <v>39686</v>
      </c>
      <c r="D35557" s="38" t="str">
        <f>IFERROR(__xludf.DUMMYFUNCTION("REGEXREPLACE(C35557,""-\d+(.*)|--\d+(.*)"","""")"),"DOMPTAIL-EN-L'AIR")</f>
        <v>DOMPTAIL-EN-L'AIR</v>
      </c>
      <c r="E35557" s="38" t="s">
        <v>548</v>
      </c>
      <c r="F35557" s="38" t="s">
        <v>195</v>
      </c>
      <c r="G35557" s="49" t="str">
        <f t="shared" si="1"/>
        <v>54290</v>
      </c>
      <c r="H35557" s="49">
        <f t="shared" si="2"/>
        <v>54170</v>
      </c>
    </row>
    <row r="35558">
      <c r="A35558" s="48" t="s">
        <v>1669</v>
      </c>
      <c r="B35558" s="38">
        <v>21595.0</v>
      </c>
      <c r="C35558" s="38" t="s">
        <v>39687</v>
      </c>
      <c r="D35558" s="38" t="str">
        <f>IFERROR(__xludf.DUMMYFUNCTION("REGEXREPLACE(C35558,""-\d+(.*)|--\d+(.*)"","""")"),"SAVOLLES")</f>
        <v>SAVOLLES</v>
      </c>
      <c r="E35558" s="38" t="s">
        <v>105</v>
      </c>
      <c r="F35558" s="38" t="s">
        <v>106</v>
      </c>
      <c r="G35558" s="49" t="str">
        <f t="shared" si="1"/>
        <v>21310</v>
      </c>
      <c r="H35558" s="49">
        <f t="shared" si="2"/>
        <v>21595</v>
      </c>
    </row>
    <row r="35559">
      <c r="A35559" s="48" t="s">
        <v>3131</v>
      </c>
      <c r="B35559" s="38">
        <v>50429.0</v>
      </c>
      <c r="C35559" s="38" t="s">
        <v>39688</v>
      </c>
      <c r="D35559" s="38" t="str">
        <f>IFERROR(__xludf.DUMMYFUNCTION("REGEXREPLACE(C35559,""-\d+(.*)|--\d+(.*)"","""")"),"REGNEVILLE-SUR-MER")</f>
        <v>REGNEVILLE-SUR-MER</v>
      </c>
      <c r="E35559" s="38" t="s">
        <v>157</v>
      </c>
      <c r="F35559" s="38" t="s">
        <v>138</v>
      </c>
      <c r="G35559" s="49" t="str">
        <f t="shared" si="1"/>
        <v>50590</v>
      </c>
      <c r="H35559" s="49">
        <f t="shared" si="2"/>
        <v>50429</v>
      </c>
    </row>
    <row r="35560">
      <c r="A35560" s="48" t="s">
        <v>32224</v>
      </c>
      <c r="B35560" s="38">
        <v>59513.0</v>
      </c>
      <c r="C35560" s="38" t="s">
        <v>39689</v>
      </c>
      <c r="D35560" s="38" t="str">
        <f>IFERROR(__xludf.DUMMYFUNCTION("REGEXREPLACE(C35560,""-\d+(.*)|--\d+(.*)"","""")"),"ROUCOURT")</f>
        <v>ROUCOURT</v>
      </c>
      <c r="E35560" s="38" t="s">
        <v>85</v>
      </c>
      <c r="F35560" s="38" t="s">
        <v>86</v>
      </c>
      <c r="G35560" s="49" t="str">
        <f t="shared" si="1"/>
        <v>59169</v>
      </c>
      <c r="H35560" s="49">
        <f t="shared" si="2"/>
        <v>59513</v>
      </c>
    </row>
    <row r="35561">
      <c r="A35561" s="48" t="s">
        <v>3046</v>
      </c>
      <c r="B35561" s="38">
        <v>70218.0</v>
      </c>
      <c r="C35561" s="38" t="s">
        <v>39690</v>
      </c>
      <c r="D35561" s="38" t="str">
        <f>IFERROR(__xludf.DUMMYFUNCTION("REGEXREPLACE(C35561,""-\d+(.*)|--\d+(.*)"","""")"),"ESMOULINS")</f>
        <v>ESMOULINS</v>
      </c>
      <c r="E35561" s="38" t="s">
        <v>956</v>
      </c>
      <c r="F35561" s="38" t="s">
        <v>214</v>
      </c>
      <c r="G35561" s="49" t="str">
        <f t="shared" si="1"/>
        <v>70100</v>
      </c>
      <c r="H35561" s="49">
        <f t="shared" si="2"/>
        <v>70218</v>
      </c>
    </row>
    <row r="35562">
      <c r="A35562" s="48" t="s">
        <v>1616</v>
      </c>
      <c r="B35562" s="38">
        <v>10219.0</v>
      </c>
      <c r="C35562" s="38" t="s">
        <v>39691</v>
      </c>
      <c r="D35562" s="38" t="str">
        <f>IFERROR(__xludf.DUMMYFUNCTION("REGEXREPLACE(C35562,""-\d+(.*)|--\d+(.*)"","""")"),"MAISONS-LES-SOULAINES")</f>
        <v>MAISONS-LES-SOULAINES</v>
      </c>
      <c r="E35562" s="38" t="s">
        <v>147</v>
      </c>
      <c r="F35562" s="38" t="s">
        <v>130</v>
      </c>
      <c r="G35562" s="49" t="str">
        <f t="shared" si="1"/>
        <v>10200</v>
      </c>
      <c r="H35562" s="49">
        <f t="shared" si="2"/>
        <v>10219</v>
      </c>
    </row>
    <row r="35563">
      <c r="A35563" s="48" t="s">
        <v>25405</v>
      </c>
      <c r="B35563" s="38">
        <v>29059.0</v>
      </c>
      <c r="C35563" s="38" t="s">
        <v>39692</v>
      </c>
      <c r="D35563" s="38" t="str">
        <f>IFERROR(__xludf.DUMMYFUNCTION("REGEXREPLACE(C35563,""-\d+(.*)|--\d+(.*)"","""")"),"GARLAN")</f>
        <v>GARLAN</v>
      </c>
      <c r="E35563" s="38" t="s">
        <v>176</v>
      </c>
      <c r="F35563" s="38" t="s">
        <v>90</v>
      </c>
      <c r="G35563" s="49" t="str">
        <f t="shared" si="1"/>
        <v>29610</v>
      </c>
      <c r="H35563" s="49">
        <f t="shared" si="2"/>
        <v>29059</v>
      </c>
    </row>
    <row r="35564">
      <c r="A35564" s="48" t="s">
        <v>39693</v>
      </c>
      <c r="B35564" s="38">
        <v>65226.0</v>
      </c>
      <c r="C35564" s="38" t="s">
        <v>39694</v>
      </c>
      <c r="D35564" s="38" t="str">
        <f>IFERROR(__xludf.DUMMYFUNCTION("REGEXREPLACE(C35564,""-\d+(.*)|--\d+(.*)"","""")"),"IBOS")</f>
        <v>IBOS</v>
      </c>
      <c r="E35564" s="38" t="s">
        <v>200</v>
      </c>
      <c r="F35564" s="38" t="s">
        <v>94</v>
      </c>
      <c r="G35564" s="49" t="str">
        <f t="shared" si="1"/>
        <v>65420</v>
      </c>
      <c r="H35564" s="49">
        <f t="shared" si="2"/>
        <v>65226</v>
      </c>
    </row>
    <row r="35565">
      <c r="A35565" s="48" t="s">
        <v>3370</v>
      </c>
      <c r="B35565" s="38">
        <v>72040.0</v>
      </c>
      <c r="C35565" s="38" t="s">
        <v>34304</v>
      </c>
      <c r="D35565" s="38" t="str">
        <f>IFERROR(__xludf.DUMMYFUNCTION("REGEXREPLACE(C35565,""-\d+(.*)|--\d+(.*)"","""")"),"LA BOSSE")</f>
        <v>LA BOSSE</v>
      </c>
      <c r="E35565" s="38" t="s">
        <v>521</v>
      </c>
      <c r="F35565" s="38" t="s">
        <v>180</v>
      </c>
      <c r="G35565" s="49" t="str">
        <f t="shared" si="1"/>
        <v>72400</v>
      </c>
      <c r="H35565" s="49">
        <f t="shared" si="2"/>
        <v>72040</v>
      </c>
    </row>
    <row r="35566">
      <c r="A35566" s="48" t="s">
        <v>519</v>
      </c>
      <c r="B35566" s="38">
        <v>72073.0</v>
      </c>
      <c r="C35566" s="38" t="s">
        <v>39695</v>
      </c>
      <c r="D35566" s="38" t="str">
        <f>IFERROR(__xludf.DUMMYFUNCTION("REGEXREPLACE(C35566,""-\d+(.*)|--\d+(.*)"","""")"),"CHAUFOUR-NOTRE-DAME")</f>
        <v>CHAUFOUR-NOTRE-DAME</v>
      </c>
      <c r="E35566" s="38" t="s">
        <v>521</v>
      </c>
      <c r="F35566" s="38" t="s">
        <v>180</v>
      </c>
      <c r="G35566" s="49" t="str">
        <f t="shared" si="1"/>
        <v>72550</v>
      </c>
      <c r="H35566" s="49">
        <f t="shared" si="2"/>
        <v>72073</v>
      </c>
    </row>
    <row r="35567">
      <c r="A35567" s="48" t="s">
        <v>16366</v>
      </c>
      <c r="B35567" s="38">
        <v>21321.0</v>
      </c>
      <c r="C35567" s="38" t="s">
        <v>39696</v>
      </c>
      <c r="D35567" s="38" t="str">
        <f>IFERROR(__xludf.DUMMYFUNCTION("REGEXREPLACE(C35567,""-\d+(.*)|--\d+(.*)"","""")"),"JAILLY-LES-MOULINS")</f>
        <v>JAILLY-LES-MOULINS</v>
      </c>
      <c r="E35567" s="38" t="s">
        <v>105</v>
      </c>
      <c r="F35567" s="38" t="s">
        <v>106</v>
      </c>
      <c r="G35567" s="49" t="str">
        <f t="shared" si="1"/>
        <v>21150</v>
      </c>
      <c r="H35567" s="49">
        <f t="shared" si="2"/>
        <v>21321</v>
      </c>
    </row>
    <row r="35568">
      <c r="A35568" s="48" t="s">
        <v>7393</v>
      </c>
      <c r="B35568" s="38">
        <v>42272.0</v>
      </c>
      <c r="C35568" s="38" t="s">
        <v>39697</v>
      </c>
      <c r="D35568" s="38" t="str">
        <f>IFERROR(__xludf.DUMMYFUNCTION("REGEXREPLACE(C35568,""-\d+(.*)|--\d+(.*)"","""")"),"SAINT-PIERRE-DE-BOEUF")</f>
        <v>SAINT-PIERRE-DE-BOEUF</v>
      </c>
      <c r="E35568" s="38" t="s">
        <v>166</v>
      </c>
      <c r="F35568" s="38" t="s">
        <v>102</v>
      </c>
      <c r="G35568" s="49" t="str">
        <f t="shared" si="1"/>
        <v>42520</v>
      </c>
      <c r="H35568" s="49">
        <f t="shared" si="2"/>
        <v>42272</v>
      </c>
    </row>
    <row r="35569">
      <c r="A35569" s="48" t="s">
        <v>1036</v>
      </c>
      <c r="B35569" s="38">
        <v>57182.0</v>
      </c>
      <c r="C35569" s="38" t="s">
        <v>9230</v>
      </c>
      <c r="D35569" s="38" t="str">
        <f>IFERROR(__xludf.DUMMYFUNCTION("REGEXREPLACE(C35569,""-\d+(.*)|--\d+(.*)"","""")"),"DONJEUX")</f>
        <v>DONJEUX</v>
      </c>
      <c r="E35569" s="38" t="s">
        <v>303</v>
      </c>
      <c r="F35569" s="38" t="s">
        <v>195</v>
      </c>
      <c r="G35569" s="49" t="str">
        <f t="shared" si="1"/>
        <v>57590</v>
      </c>
      <c r="H35569" s="49">
        <f t="shared" si="2"/>
        <v>57182</v>
      </c>
    </row>
    <row r="35570">
      <c r="A35570" s="48" t="s">
        <v>7037</v>
      </c>
      <c r="B35570" s="38">
        <v>34174.0</v>
      </c>
      <c r="C35570" s="38" t="s">
        <v>39698</v>
      </c>
      <c r="D35570" s="38" t="str">
        <f>IFERROR(__xludf.DUMMYFUNCTION("REGEXREPLACE(C35570,""-\d+(.*)|--\d+(.*)"","""")"),"MOULES-ET-BAUCELS")</f>
        <v>MOULES-ET-BAUCELS</v>
      </c>
      <c r="E35570" s="38" t="s">
        <v>118</v>
      </c>
      <c r="F35570" s="38" t="s">
        <v>119</v>
      </c>
      <c r="G35570" s="49" t="str">
        <f t="shared" si="1"/>
        <v>34190</v>
      </c>
      <c r="H35570" s="49">
        <f t="shared" si="2"/>
        <v>34174</v>
      </c>
    </row>
    <row r="35571">
      <c r="A35571" s="48" t="s">
        <v>1677</v>
      </c>
      <c r="B35571" s="38">
        <v>59222.0</v>
      </c>
      <c r="C35571" s="38" t="s">
        <v>39699</v>
      </c>
      <c r="D35571" s="38" t="str">
        <f>IFERROR(__xludf.DUMMYFUNCTION("REGEXREPLACE(C35571,""-\d+(.*)|--\d+(.*)"","""")"),"FAUMONT")</f>
        <v>FAUMONT</v>
      </c>
      <c r="E35571" s="38" t="s">
        <v>85</v>
      </c>
      <c r="F35571" s="38" t="s">
        <v>86</v>
      </c>
      <c r="G35571" s="49" t="str">
        <f t="shared" si="1"/>
        <v>59310</v>
      </c>
      <c r="H35571" s="49">
        <f t="shared" si="2"/>
        <v>59222</v>
      </c>
    </row>
    <row r="35572">
      <c r="A35572" s="48" t="s">
        <v>2942</v>
      </c>
      <c r="B35572" s="38">
        <v>14636.0</v>
      </c>
      <c r="C35572" s="38" t="s">
        <v>39700</v>
      </c>
      <c r="D35572" s="38" t="str">
        <f>IFERROR(__xludf.DUMMYFUNCTION("REGEXREPLACE(C35572,""-\d+(.*)|--\d+(.*)"","""")"),"SAINT-OUEN-DES-BESACES")</f>
        <v>SAINT-OUEN-DES-BESACES</v>
      </c>
      <c r="E35572" s="38" t="s">
        <v>137</v>
      </c>
      <c r="F35572" s="38" t="s">
        <v>138</v>
      </c>
      <c r="G35572" s="49" t="str">
        <f t="shared" si="1"/>
        <v>14350</v>
      </c>
      <c r="H35572" s="49">
        <f t="shared" si="2"/>
        <v>14636</v>
      </c>
    </row>
    <row r="35573">
      <c r="A35573" s="48" t="s">
        <v>2655</v>
      </c>
      <c r="B35573" s="38">
        <v>52126.0</v>
      </c>
      <c r="C35573" s="38" t="s">
        <v>39701</v>
      </c>
      <c r="D35573" s="38" t="str">
        <f>IFERROR(__xludf.DUMMYFUNCTION("REGEXREPLACE(C35573,""-\d+(.*)|--\d+(.*)"","""")"),"CHOILLEY-DARDENAY")</f>
        <v>CHOILLEY-DARDENAY</v>
      </c>
      <c r="E35573" s="38" t="s">
        <v>234</v>
      </c>
      <c r="F35573" s="38" t="s">
        <v>130</v>
      </c>
      <c r="G35573" s="49" t="str">
        <f t="shared" si="1"/>
        <v>52190</v>
      </c>
      <c r="H35573" s="49">
        <f t="shared" si="2"/>
        <v>52126</v>
      </c>
    </row>
    <row r="35574">
      <c r="A35574" s="48" t="s">
        <v>2671</v>
      </c>
      <c r="B35574" s="38">
        <v>65422.0</v>
      </c>
      <c r="C35574" s="38" t="s">
        <v>39702</v>
      </c>
      <c r="D35574" s="38" t="str">
        <f>IFERROR(__xludf.DUMMYFUNCTION("REGEXREPLACE(C35574,""-\d+(.*)|--\d+(.*)"","""")"),"SERON")</f>
        <v>SERON</v>
      </c>
      <c r="E35574" s="38" t="s">
        <v>200</v>
      </c>
      <c r="F35574" s="38" t="s">
        <v>94</v>
      </c>
      <c r="G35574" s="49" t="str">
        <f t="shared" si="1"/>
        <v>65320</v>
      </c>
      <c r="H35574" s="49">
        <f t="shared" si="2"/>
        <v>65422</v>
      </c>
    </row>
    <row r="35575">
      <c r="A35575" s="48" t="s">
        <v>12322</v>
      </c>
      <c r="B35575" s="38">
        <v>89099.0</v>
      </c>
      <c r="C35575" s="38" t="s">
        <v>39703</v>
      </c>
      <c r="D35575" s="38" t="str">
        <f>IFERROR(__xludf.DUMMYFUNCTION("REGEXREPLACE(C35575,""-\d+(.*)|--\d+(.*)"","""")"),"CHENY")</f>
        <v>CHENY</v>
      </c>
      <c r="E35575" s="38" t="s">
        <v>275</v>
      </c>
      <c r="F35575" s="38" t="s">
        <v>106</v>
      </c>
      <c r="G35575" s="49" t="str">
        <f t="shared" si="1"/>
        <v>89400</v>
      </c>
      <c r="H35575" s="49">
        <f t="shared" si="2"/>
        <v>89099</v>
      </c>
    </row>
    <row r="35576">
      <c r="A35576" s="48" t="s">
        <v>35204</v>
      </c>
      <c r="B35576" s="38">
        <v>91115.0</v>
      </c>
      <c r="C35576" s="38" t="s">
        <v>39704</v>
      </c>
      <c r="D35576" s="38" t="str">
        <f>IFERROR(__xludf.DUMMYFUNCTION("REGEXREPLACE(C35576,""-\d+(.*)|--\d+(.*)"","""")"),"BRUYERES-LE-CHATEL")</f>
        <v>BRUYERES-LE-CHATEL</v>
      </c>
      <c r="E35576" s="38" t="s">
        <v>756</v>
      </c>
      <c r="F35576" s="38" t="s">
        <v>245</v>
      </c>
      <c r="G35576" s="49" t="str">
        <f t="shared" si="1"/>
        <v>91680</v>
      </c>
      <c r="H35576" s="49">
        <f t="shared" si="2"/>
        <v>91115</v>
      </c>
    </row>
    <row r="35577">
      <c r="A35577" s="48" t="s">
        <v>10535</v>
      </c>
      <c r="B35577" s="38">
        <v>81227.0</v>
      </c>
      <c r="C35577" s="38" t="s">
        <v>39705</v>
      </c>
      <c r="D35577" s="38" t="str">
        <f>IFERROR(__xludf.DUMMYFUNCTION("REGEXREPLACE(C35577,""-\d+(.*)|--\d+(.*)"","""")"),"ROQUECOURBE")</f>
        <v>ROQUECOURBE</v>
      </c>
      <c r="E35577" s="38" t="s">
        <v>231</v>
      </c>
      <c r="F35577" s="38" t="s">
        <v>94</v>
      </c>
      <c r="G35577" s="49" t="str">
        <f t="shared" si="1"/>
        <v>81210</v>
      </c>
      <c r="H35577" s="49">
        <f t="shared" si="2"/>
        <v>81227</v>
      </c>
    </row>
    <row r="35578">
      <c r="A35578" s="48" t="s">
        <v>15474</v>
      </c>
      <c r="B35578" s="38">
        <v>49249.0</v>
      </c>
      <c r="C35578" s="38" t="s">
        <v>39706</v>
      </c>
      <c r="D35578" s="38" t="str">
        <f>IFERROR(__xludf.DUMMYFUNCTION("REGEXREPLACE(C35578,""-\d+(.*)|--\d+(.*)"","""")"),"LA POUEZE")</f>
        <v>LA POUEZE</v>
      </c>
      <c r="E35578" s="38" t="s">
        <v>653</v>
      </c>
      <c r="F35578" s="38" t="s">
        <v>180</v>
      </c>
      <c r="G35578" s="49" t="str">
        <f t="shared" si="1"/>
        <v>49370</v>
      </c>
      <c r="H35578" s="49">
        <f t="shared" si="2"/>
        <v>49249</v>
      </c>
    </row>
    <row r="35579">
      <c r="A35579" s="48" t="s">
        <v>11007</v>
      </c>
      <c r="B35579" s="38">
        <v>17310.0</v>
      </c>
      <c r="C35579" s="38" t="s">
        <v>39707</v>
      </c>
      <c r="D35579" s="38" t="str">
        <f>IFERROR(__xludf.DUMMYFUNCTION("REGEXREPLACE(C35579,""-\d+(.*)|--\d+(.*)"","""")"),"SAINT-ANDRE-DE-LIDON")</f>
        <v>SAINT-ANDRE-DE-LIDON</v>
      </c>
      <c r="E35579" s="38" t="s">
        <v>488</v>
      </c>
      <c r="F35579" s="38" t="s">
        <v>338</v>
      </c>
      <c r="G35579" s="49" t="str">
        <f t="shared" si="1"/>
        <v>17260</v>
      </c>
      <c r="H35579" s="49">
        <f t="shared" si="2"/>
        <v>17310</v>
      </c>
    </row>
    <row r="35580">
      <c r="A35580" s="48" t="s">
        <v>8831</v>
      </c>
      <c r="B35580" s="38">
        <v>15247.0</v>
      </c>
      <c r="C35580" s="38" t="s">
        <v>39708</v>
      </c>
      <c r="D35580" s="38" t="str">
        <f>IFERROR(__xludf.DUMMYFUNCTION("REGEXREPLACE(C35580,""-\d+(.*)|--\d+(.*)"","""")"),"VALJOUZE")</f>
        <v>VALJOUZE</v>
      </c>
      <c r="E35580" s="38" t="s">
        <v>632</v>
      </c>
      <c r="F35580" s="38" t="s">
        <v>161</v>
      </c>
      <c r="G35580" s="49" t="str">
        <f t="shared" si="1"/>
        <v>15170</v>
      </c>
      <c r="H35580" s="49">
        <f t="shared" si="2"/>
        <v>15247</v>
      </c>
    </row>
    <row r="35581">
      <c r="A35581" s="48" t="s">
        <v>5900</v>
      </c>
      <c r="B35581" s="38">
        <v>18159.0</v>
      </c>
      <c r="C35581" s="38" t="s">
        <v>39709</v>
      </c>
      <c r="D35581" s="38" t="str">
        <f>IFERROR(__xludf.DUMMYFUNCTION("REGEXREPLACE(C35581,""-\d+(.*)|--\d+(.*)"","""")"),"NANCAY")</f>
        <v>NANCAY</v>
      </c>
      <c r="E35581" s="38" t="s">
        <v>504</v>
      </c>
      <c r="F35581" s="38" t="s">
        <v>123</v>
      </c>
      <c r="G35581" s="49" t="str">
        <f t="shared" si="1"/>
        <v>18330</v>
      </c>
      <c r="H35581" s="49">
        <f t="shared" si="2"/>
        <v>18159</v>
      </c>
    </row>
    <row r="35582">
      <c r="A35582" s="48" t="s">
        <v>39710</v>
      </c>
      <c r="B35582" s="38">
        <v>76709.0</v>
      </c>
      <c r="C35582" s="38" t="s">
        <v>39711</v>
      </c>
      <c r="D35582" s="38" t="str">
        <f>IFERROR(__xludf.DUMMYFUNCTION("REGEXREPLACE(C35582,""-\d+(.*)|--\d+(.*)"","""")"),"LE TRAIT")</f>
        <v>LE TRAIT</v>
      </c>
      <c r="E35582" s="38" t="s">
        <v>133</v>
      </c>
      <c r="F35582" s="38" t="s">
        <v>134</v>
      </c>
      <c r="G35582" s="49" t="str">
        <f t="shared" si="1"/>
        <v>76580</v>
      </c>
      <c r="H35582" s="49">
        <f t="shared" si="2"/>
        <v>76709</v>
      </c>
    </row>
    <row r="35583">
      <c r="A35583" s="48" t="s">
        <v>14115</v>
      </c>
      <c r="B35583" s="38">
        <v>77359.0</v>
      </c>
      <c r="C35583" s="38" t="s">
        <v>21080</v>
      </c>
      <c r="D35583" s="38" t="str">
        <f>IFERROR(__xludf.DUMMYFUNCTION("REGEXREPLACE(C35583,""-\d+(.*)|--\d+(.*)"","""")"),"PERTHES")</f>
        <v>PERTHES</v>
      </c>
      <c r="E35583" s="38" t="s">
        <v>244</v>
      </c>
      <c r="F35583" s="38" t="s">
        <v>245</v>
      </c>
      <c r="G35583" s="49" t="str">
        <f t="shared" si="1"/>
        <v>77930</v>
      </c>
      <c r="H35583" s="49">
        <f t="shared" si="2"/>
        <v>77359</v>
      </c>
    </row>
    <row r="35584">
      <c r="A35584" s="48" t="s">
        <v>4644</v>
      </c>
      <c r="B35584" s="38">
        <v>46062.0</v>
      </c>
      <c r="C35584" s="38" t="s">
        <v>39712</v>
      </c>
      <c r="D35584" s="38" t="str">
        <f>IFERROR(__xludf.DUMMYFUNCTION("REGEXREPLACE(C35584,""-\d+(.*)|--\d+(.*)"","""")"),"CASTELFRANC")</f>
        <v>CASTELFRANC</v>
      </c>
      <c r="E35584" s="38" t="s">
        <v>185</v>
      </c>
      <c r="F35584" s="38" t="s">
        <v>94</v>
      </c>
      <c r="G35584" s="49" t="str">
        <f t="shared" si="1"/>
        <v>46140</v>
      </c>
      <c r="H35584" s="49">
        <f t="shared" si="2"/>
        <v>46062</v>
      </c>
    </row>
    <row r="35585">
      <c r="A35585" s="48" t="s">
        <v>2893</v>
      </c>
      <c r="B35585" s="38">
        <v>27111.0</v>
      </c>
      <c r="C35585" s="38" t="s">
        <v>39713</v>
      </c>
      <c r="D35585" s="38" t="str">
        <f>IFERROR(__xludf.DUMMYFUNCTION("REGEXREPLACE(C35585,""-\d+(.*)|--\d+(.*)"","""")"),"BRETAGNOLLES")</f>
        <v>BRETAGNOLLES</v>
      </c>
      <c r="E35585" s="38" t="s">
        <v>241</v>
      </c>
      <c r="F35585" s="38" t="s">
        <v>134</v>
      </c>
      <c r="G35585" s="49" t="str">
        <f t="shared" si="1"/>
        <v>27220</v>
      </c>
      <c r="H35585" s="49">
        <f t="shared" si="2"/>
        <v>27111</v>
      </c>
    </row>
    <row r="35586">
      <c r="A35586" s="48" t="s">
        <v>2059</v>
      </c>
      <c r="B35586" s="38">
        <v>37034.0</v>
      </c>
      <c r="C35586" s="38" t="s">
        <v>39714</v>
      </c>
      <c r="D35586" s="38" t="str">
        <f>IFERROR(__xludf.DUMMYFUNCTION("REGEXREPLACE(C35586,""-\d+(.*)|--\d+(.*)"","""")"),"BRASLOU")</f>
        <v>BRASLOU</v>
      </c>
      <c r="E35586" s="38" t="s">
        <v>205</v>
      </c>
      <c r="F35586" s="38" t="s">
        <v>123</v>
      </c>
      <c r="G35586" s="49" t="str">
        <f t="shared" si="1"/>
        <v>37120</v>
      </c>
      <c r="H35586" s="49">
        <f t="shared" si="2"/>
        <v>37034</v>
      </c>
    </row>
    <row r="35587">
      <c r="A35587" s="48" t="s">
        <v>4624</v>
      </c>
      <c r="B35587" s="38">
        <v>74031.0</v>
      </c>
      <c r="C35587" s="38" t="s">
        <v>2319</v>
      </c>
      <c r="D35587" s="38" t="str">
        <f>IFERROR(__xludf.DUMMYFUNCTION("REGEXREPLACE(C35587,""-\d+(.*)|--\d+(.*)"","""")"),"BEAUMONT")</f>
        <v>BEAUMONT</v>
      </c>
      <c r="E35587" s="38" t="s">
        <v>319</v>
      </c>
      <c r="F35587" s="38" t="s">
        <v>102</v>
      </c>
      <c r="G35587" s="49" t="str">
        <f t="shared" si="1"/>
        <v>74160</v>
      </c>
      <c r="H35587" s="49">
        <f t="shared" si="2"/>
        <v>74031</v>
      </c>
    </row>
    <row r="35588">
      <c r="A35588" s="48" t="s">
        <v>16541</v>
      </c>
      <c r="B35588" s="38">
        <v>71548.0</v>
      </c>
      <c r="C35588" s="38" t="s">
        <v>39715</v>
      </c>
      <c r="D35588" s="38" t="str">
        <f>IFERROR(__xludf.DUMMYFUNCTION("REGEXREPLACE(C35588,""-\d+(.*)|--\d+(.*)"","""")"),"TRONCHY")</f>
        <v>TRONCHY</v>
      </c>
      <c r="E35588" s="38" t="s">
        <v>344</v>
      </c>
      <c r="F35588" s="38" t="s">
        <v>106</v>
      </c>
      <c r="G35588" s="49" t="str">
        <f t="shared" si="1"/>
        <v>71440</v>
      </c>
      <c r="H35588" s="49">
        <f t="shared" si="2"/>
        <v>71548</v>
      </c>
    </row>
    <row r="35589">
      <c r="A35589" s="48" t="s">
        <v>1756</v>
      </c>
      <c r="B35589" s="38">
        <v>28258.0</v>
      </c>
      <c r="C35589" s="38" t="s">
        <v>33512</v>
      </c>
      <c r="D35589" s="38" t="str">
        <f>IFERROR(__xludf.DUMMYFUNCTION("REGEXREPLACE(C35589,""-\d+(.*)|--\d+(.*)"","""")"),"MONTAINVILLE")</f>
        <v>MONTAINVILLE</v>
      </c>
      <c r="E35589" s="38" t="s">
        <v>300</v>
      </c>
      <c r="F35589" s="38" t="s">
        <v>123</v>
      </c>
      <c r="G35589" s="49" t="str">
        <f t="shared" si="1"/>
        <v>28150</v>
      </c>
      <c r="H35589" s="49">
        <f t="shared" si="2"/>
        <v>28258</v>
      </c>
    </row>
    <row r="35590">
      <c r="A35590" s="48" t="s">
        <v>4543</v>
      </c>
      <c r="B35590" s="38">
        <v>64120.0</v>
      </c>
      <c r="C35590" s="38" t="s">
        <v>39716</v>
      </c>
      <c r="D35590" s="38" t="str">
        <f>IFERROR(__xludf.DUMMYFUNCTION("REGEXREPLACE(C35590,""-\d+(.*)|--\d+(.*)"","""")"),"BEYRIE-SUR-JOYEUSE")</f>
        <v>BEYRIE-SUR-JOYEUSE</v>
      </c>
      <c r="E35590" s="38" t="s">
        <v>268</v>
      </c>
      <c r="F35590" s="38" t="s">
        <v>252</v>
      </c>
      <c r="G35590" s="49" t="str">
        <f t="shared" si="1"/>
        <v>64120</v>
      </c>
      <c r="H35590" s="49">
        <f t="shared" si="2"/>
        <v>64120</v>
      </c>
    </row>
    <row r="35591">
      <c r="A35591" s="48" t="s">
        <v>3059</v>
      </c>
      <c r="B35591" s="38">
        <v>89021.0</v>
      </c>
      <c r="C35591" s="38" t="s">
        <v>39717</v>
      </c>
      <c r="D35591" s="38" t="str">
        <f>IFERROR(__xludf.DUMMYFUNCTION("REGEXREPLACE(C35591,""-\d+(.*)|--\d+(.*)"","""")"),"ASQUINS")</f>
        <v>ASQUINS</v>
      </c>
      <c r="E35591" s="38" t="s">
        <v>275</v>
      </c>
      <c r="F35591" s="38" t="s">
        <v>106</v>
      </c>
      <c r="G35591" s="49" t="str">
        <f t="shared" si="1"/>
        <v>89450</v>
      </c>
      <c r="H35591" s="49">
        <f t="shared" si="2"/>
        <v>89021</v>
      </c>
    </row>
    <row r="35592">
      <c r="A35592" s="48" t="s">
        <v>16366</v>
      </c>
      <c r="B35592" s="38">
        <v>21271.0</v>
      </c>
      <c r="C35592" s="38" t="s">
        <v>39718</v>
      </c>
      <c r="D35592" s="38" t="str">
        <f>IFERROR(__xludf.DUMMYFUNCTION("REGEXREPLACE(C35592,""-\d+(.*)|--\d+(.*)"","""")"),"FLAVIGNY-SUR-OZERAIN")</f>
        <v>FLAVIGNY-SUR-OZERAIN</v>
      </c>
      <c r="E35592" s="38" t="s">
        <v>105</v>
      </c>
      <c r="F35592" s="38" t="s">
        <v>106</v>
      </c>
      <c r="G35592" s="49" t="str">
        <f t="shared" si="1"/>
        <v>21150</v>
      </c>
      <c r="H35592" s="49">
        <f t="shared" si="2"/>
        <v>21271</v>
      </c>
    </row>
    <row r="35593">
      <c r="A35593" s="48" t="s">
        <v>767</v>
      </c>
      <c r="B35593" s="38">
        <v>91273.0</v>
      </c>
      <c r="C35593" s="38" t="s">
        <v>39719</v>
      </c>
      <c r="D35593" s="38" t="str">
        <f>IFERROR(__xludf.DUMMYFUNCTION("REGEXREPLACE(C35593,""-\d+(.*)|--\d+(.*)"","""")"),"GIRONVILLE-SUR-ESSONNE")</f>
        <v>GIRONVILLE-SUR-ESSONNE</v>
      </c>
      <c r="E35593" s="38" t="s">
        <v>756</v>
      </c>
      <c r="F35593" s="38" t="s">
        <v>245</v>
      </c>
      <c r="G35593" s="49" t="str">
        <f t="shared" si="1"/>
        <v>91720</v>
      </c>
      <c r="H35593" s="49">
        <f t="shared" si="2"/>
        <v>91273</v>
      </c>
    </row>
    <row r="35594">
      <c r="A35594" s="48" t="s">
        <v>12807</v>
      </c>
      <c r="B35594" s="38">
        <v>42315.0</v>
      </c>
      <c r="C35594" s="38" t="s">
        <v>39720</v>
      </c>
      <c r="D35594" s="38" t="str">
        <f>IFERROR(__xludf.DUMMYFUNCTION("REGEXREPLACE(C35594,""-\d+(.*)|--\d+(.*)"","""")"),"UNIAS")</f>
        <v>UNIAS</v>
      </c>
      <c r="E35594" s="38" t="s">
        <v>166</v>
      </c>
      <c r="F35594" s="38" t="s">
        <v>102</v>
      </c>
      <c r="G35594" s="49" t="str">
        <f t="shared" si="1"/>
        <v>42210</v>
      </c>
      <c r="H35594" s="49">
        <f t="shared" si="2"/>
        <v>42315</v>
      </c>
    </row>
    <row r="35595">
      <c r="A35595" s="48" t="s">
        <v>25228</v>
      </c>
      <c r="B35595" s="38">
        <v>82041.0</v>
      </c>
      <c r="C35595" s="38" t="s">
        <v>2335</v>
      </c>
      <c r="D35595" s="38" t="str">
        <f>IFERROR(__xludf.DUMMYFUNCTION("REGEXREPLACE(C35595,""-\d+(.*)|--\d+(.*)"","""")"),"CAZALS")</f>
        <v>CAZALS</v>
      </c>
      <c r="E35595" s="38" t="s">
        <v>570</v>
      </c>
      <c r="F35595" s="38" t="s">
        <v>94</v>
      </c>
      <c r="G35595" s="49" t="str">
        <f t="shared" si="1"/>
        <v>82140</v>
      </c>
      <c r="H35595" s="49">
        <f t="shared" si="2"/>
        <v>82041</v>
      </c>
    </row>
    <row r="35596">
      <c r="A35596" s="48" t="s">
        <v>562</v>
      </c>
      <c r="B35596" s="38">
        <v>54584.0</v>
      </c>
      <c r="C35596" s="38" t="s">
        <v>39721</v>
      </c>
      <c r="D35596" s="38" t="str">
        <f>IFERROR(__xludf.DUMMYFUNCTION("REGEXREPLACE(C35596,""-\d+(.*)|--\d+(.*)"","""")"),"VILLEY-SAINT-ETIENNE")</f>
        <v>VILLEY-SAINT-ETIENNE</v>
      </c>
      <c r="E35596" s="38" t="s">
        <v>548</v>
      </c>
      <c r="F35596" s="38" t="s">
        <v>195</v>
      </c>
      <c r="G35596" s="49" t="str">
        <f t="shared" si="1"/>
        <v>54200</v>
      </c>
      <c r="H35596" s="49">
        <f t="shared" si="2"/>
        <v>54584</v>
      </c>
    </row>
    <row r="35597">
      <c r="A35597" s="48" t="s">
        <v>5195</v>
      </c>
      <c r="B35597" s="38">
        <v>47113.0</v>
      </c>
      <c r="C35597" s="38" t="s">
        <v>39722</v>
      </c>
      <c r="D35597" s="38" t="str">
        <f>IFERROR(__xludf.DUMMYFUNCTION("REGEXREPLACE(C35597,""-\d+(.*)|--\d+(.*)"","""")"),"GRAYSSAS")</f>
        <v>GRAYSSAS</v>
      </c>
      <c r="E35597" s="38" t="s">
        <v>251</v>
      </c>
      <c r="F35597" s="38" t="s">
        <v>252</v>
      </c>
      <c r="G35597" s="49" t="str">
        <f t="shared" si="1"/>
        <v>47270</v>
      </c>
      <c r="H35597" s="49">
        <f t="shared" si="2"/>
        <v>47113</v>
      </c>
    </row>
    <row r="35598">
      <c r="A35598" s="48" t="s">
        <v>4877</v>
      </c>
      <c r="B35598" s="38">
        <v>61057.0</v>
      </c>
      <c r="C35598" s="38" t="s">
        <v>39723</v>
      </c>
      <c r="D35598" s="38" t="str">
        <f>IFERROR(__xludf.DUMMYFUNCTION("REGEXREPLACE(C35598,""-\d+(.*)|--\d+(.*)"","""")"),"LE BOURG-SAINT-LEONARD")</f>
        <v>LE BOURG-SAINT-LEONARD</v>
      </c>
      <c r="E35598" s="38" t="s">
        <v>141</v>
      </c>
      <c r="F35598" s="38" t="s">
        <v>138</v>
      </c>
      <c r="G35598" s="49" t="str">
        <f t="shared" si="1"/>
        <v>61310</v>
      </c>
      <c r="H35598" s="49">
        <f t="shared" si="2"/>
        <v>61057</v>
      </c>
    </row>
    <row r="35599">
      <c r="A35599" s="48" t="s">
        <v>2075</v>
      </c>
      <c r="B35599" s="38">
        <v>46318.0</v>
      </c>
      <c r="C35599" s="38" t="s">
        <v>39724</v>
      </c>
      <c r="D35599" s="38" t="str">
        <f>IFERROR(__xludf.DUMMYFUNCTION("REGEXREPLACE(C35599,""-\d+(.*)|--\d+(.*)"","""")"),"THEMINES")</f>
        <v>THEMINES</v>
      </c>
      <c r="E35599" s="38" t="s">
        <v>185</v>
      </c>
      <c r="F35599" s="38" t="s">
        <v>94</v>
      </c>
      <c r="G35599" s="49" t="str">
        <f t="shared" si="1"/>
        <v>46120</v>
      </c>
      <c r="H35599" s="49">
        <f t="shared" si="2"/>
        <v>46318</v>
      </c>
    </row>
    <row r="35600">
      <c r="A35600" s="48" t="s">
        <v>1042</v>
      </c>
      <c r="B35600" s="38">
        <v>60508.0</v>
      </c>
      <c r="C35600" s="38" t="s">
        <v>39725</v>
      </c>
      <c r="D35600" s="38" t="str">
        <f>IFERROR(__xludf.DUMMYFUNCTION("REGEXREPLACE(C35600,""-\d+(.*)|--\d+(.*)"","""")"),"PONTPOINT")</f>
        <v>PONTPOINT</v>
      </c>
      <c r="E35600" s="38" t="s">
        <v>112</v>
      </c>
      <c r="F35600" s="38" t="s">
        <v>113</v>
      </c>
      <c r="G35600" s="49" t="str">
        <f t="shared" si="1"/>
        <v>60700</v>
      </c>
      <c r="H35600" s="49">
        <f t="shared" si="2"/>
        <v>60508</v>
      </c>
    </row>
    <row r="35601">
      <c r="A35601" s="48" t="s">
        <v>39726</v>
      </c>
      <c r="B35601" s="38">
        <v>54321.0</v>
      </c>
      <c r="C35601" s="38" t="s">
        <v>39727</v>
      </c>
      <c r="D35601" s="38" t="str">
        <f>IFERROR(__xludf.DUMMYFUNCTION("REGEXREPLACE(C35601,""-\d+(.*)|--\d+(.*)"","""")"),"LONGLAVILLE")</f>
        <v>LONGLAVILLE</v>
      </c>
      <c r="E35601" s="38" t="s">
        <v>548</v>
      </c>
      <c r="F35601" s="38" t="s">
        <v>195</v>
      </c>
      <c r="G35601" s="49" t="str">
        <f t="shared" si="1"/>
        <v>54810</v>
      </c>
      <c r="H35601" s="49">
        <f t="shared" si="2"/>
        <v>54321</v>
      </c>
    </row>
    <row r="35602">
      <c r="A35602" s="48" t="s">
        <v>6016</v>
      </c>
      <c r="B35602" s="38">
        <v>57388.0</v>
      </c>
      <c r="C35602" s="38" t="s">
        <v>39728</v>
      </c>
      <c r="D35602" s="38" t="str">
        <f>IFERROR(__xludf.DUMMYFUNCTION("REGEXREPLACE(C35602,""-\d+(.*)|--\d+(.*)"","""")"),"LAUNSTROFF")</f>
        <v>LAUNSTROFF</v>
      </c>
      <c r="E35602" s="38" t="s">
        <v>303</v>
      </c>
      <c r="F35602" s="38" t="s">
        <v>195</v>
      </c>
      <c r="G35602" s="49" t="str">
        <f t="shared" si="1"/>
        <v>57480</v>
      </c>
      <c r="H35602" s="49">
        <f t="shared" si="2"/>
        <v>57388</v>
      </c>
    </row>
    <row r="35603">
      <c r="A35603" s="48" t="s">
        <v>546</v>
      </c>
      <c r="B35603" s="38">
        <v>54279.0</v>
      </c>
      <c r="C35603" s="38" t="s">
        <v>39729</v>
      </c>
      <c r="D35603" s="38" t="str">
        <f>IFERROR(__xludf.DUMMYFUNCTION("REGEXREPLACE(C35603,""-\d+(.*)|--\d+(.*)"","""")"),"JEZAINVILLE")</f>
        <v>JEZAINVILLE</v>
      </c>
      <c r="E35603" s="38" t="s">
        <v>548</v>
      </c>
      <c r="F35603" s="38" t="s">
        <v>195</v>
      </c>
      <c r="G35603" s="49" t="str">
        <f t="shared" si="1"/>
        <v>54700</v>
      </c>
      <c r="H35603" s="49">
        <f t="shared" si="2"/>
        <v>54279</v>
      </c>
    </row>
    <row r="35604">
      <c r="A35604" s="48" t="s">
        <v>33572</v>
      </c>
      <c r="B35604" s="38">
        <v>57505.0</v>
      </c>
      <c r="C35604" s="38" t="s">
        <v>39730</v>
      </c>
      <c r="D35604" s="38" t="str">
        <f>IFERROR(__xludf.DUMMYFUNCTION("REGEXREPLACE(C35604,""-\d+(.*)|--\d+(.*)"","""")"),"NIDERVILLER")</f>
        <v>NIDERVILLER</v>
      </c>
      <c r="E35604" s="38" t="s">
        <v>303</v>
      </c>
      <c r="F35604" s="38" t="s">
        <v>195</v>
      </c>
      <c r="G35604" s="49" t="str">
        <f t="shared" si="1"/>
        <v>57565</v>
      </c>
      <c r="H35604" s="49">
        <f t="shared" si="2"/>
        <v>57505</v>
      </c>
    </row>
    <row r="35605">
      <c r="A35605" s="48" t="s">
        <v>39731</v>
      </c>
      <c r="B35605" s="38">
        <v>62571.0</v>
      </c>
      <c r="C35605" s="38" t="s">
        <v>39732</v>
      </c>
      <c r="D35605" s="38" t="str">
        <f>IFERROR(__xludf.DUMMYFUNCTION("REGEXREPLACE(C35605,""-\d+(.*)|--\d+(.*)"","""")"),"MERLIMONT")</f>
        <v>MERLIMONT</v>
      </c>
      <c r="E35605" s="38" t="s">
        <v>109</v>
      </c>
      <c r="F35605" s="38" t="s">
        <v>86</v>
      </c>
      <c r="G35605" s="49" t="str">
        <f t="shared" si="1"/>
        <v>62155</v>
      </c>
      <c r="H35605" s="49">
        <f t="shared" si="2"/>
        <v>62571</v>
      </c>
    </row>
    <row r="35606">
      <c r="A35606" s="48" t="s">
        <v>16195</v>
      </c>
      <c r="B35606" s="38">
        <v>25328.0</v>
      </c>
      <c r="C35606" s="38" t="s">
        <v>39733</v>
      </c>
      <c r="D35606" s="38" t="str">
        <f>IFERROR(__xludf.DUMMYFUNCTION("REGEXREPLACE(C35606,""-\d+(.*)|--\d+(.*)"","""")"),"LARNOD")</f>
        <v>LARNOD</v>
      </c>
      <c r="E35606" s="38" t="s">
        <v>213</v>
      </c>
      <c r="F35606" s="38" t="s">
        <v>214</v>
      </c>
      <c r="G35606" s="49" t="str">
        <f t="shared" si="1"/>
        <v>25720</v>
      </c>
      <c r="H35606" s="49">
        <f t="shared" si="2"/>
        <v>25328</v>
      </c>
    </row>
    <row r="35607">
      <c r="A35607" s="48" t="s">
        <v>14151</v>
      </c>
      <c r="B35607" s="38">
        <v>53067.0</v>
      </c>
      <c r="C35607" s="38" t="s">
        <v>39734</v>
      </c>
      <c r="D35607" s="38" t="str">
        <f>IFERROR(__xludf.DUMMYFUNCTION("REGEXREPLACE(C35607,""-\d+(.*)|--\d+(.*)"","""")"),"CHEMERE-LE-ROI")</f>
        <v>CHEMERE-LE-ROI</v>
      </c>
      <c r="E35607" s="38" t="s">
        <v>518</v>
      </c>
      <c r="F35607" s="38" t="s">
        <v>180</v>
      </c>
      <c r="G35607" s="49" t="str">
        <f t="shared" si="1"/>
        <v>53340</v>
      </c>
      <c r="H35607" s="49">
        <f t="shared" si="2"/>
        <v>53067</v>
      </c>
    </row>
    <row r="35608">
      <c r="A35608" s="48" t="s">
        <v>3444</v>
      </c>
      <c r="B35608" s="38">
        <v>38113.0</v>
      </c>
      <c r="C35608" s="38" t="s">
        <v>39735</v>
      </c>
      <c r="D35608" s="38" t="str">
        <f>IFERROR(__xludf.DUMMYFUNCTION("REGEXREPLACE(C35608,""-\d+(.*)|--\d+(.*)"","""")"),"CLELLES")</f>
        <v>CLELLES</v>
      </c>
      <c r="E35608" s="38" t="s">
        <v>101</v>
      </c>
      <c r="F35608" s="38" t="s">
        <v>102</v>
      </c>
      <c r="G35608" s="49" t="str">
        <f t="shared" si="1"/>
        <v>38930</v>
      </c>
      <c r="H35608" s="49">
        <f t="shared" si="2"/>
        <v>38113</v>
      </c>
    </row>
    <row r="35609">
      <c r="A35609" s="48" t="s">
        <v>3846</v>
      </c>
      <c r="B35609" s="38">
        <v>19222.0</v>
      </c>
      <c r="C35609" s="38" t="s">
        <v>39736</v>
      </c>
      <c r="D35609" s="38" t="str">
        <f>IFERROR(__xludf.DUMMYFUNCTION("REGEXREPLACE(C35609,""-\d+(.*)|--\d+(.*)"","""")"),"SAINT-MARTIN-LA-MEANNE")</f>
        <v>SAINT-MARTIN-LA-MEANNE</v>
      </c>
      <c r="E35609" s="38" t="s">
        <v>271</v>
      </c>
      <c r="F35609" s="38" t="s">
        <v>98</v>
      </c>
      <c r="G35609" s="49" t="str">
        <f t="shared" si="1"/>
        <v>19320</v>
      </c>
      <c r="H35609" s="49">
        <f t="shared" si="2"/>
        <v>19222</v>
      </c>
    </row>
    <row r="35610">
      <c r="A35610" s="48" t="s">
        <v>3711</v>
      </c>
      <c r="B35610" s="38">
        <v>21204.0</v>
      </c>
      <c r="C35610" s="38" t="s">
        <v>39737</v>
      </c>
      <c r="D35610" s="38" t="str">
        <f>IFERROR(__xludf.DUMMYFUNCTION("REGEXREPLACE(C35610,""-\d+(.*)|--\d+(.*)"","""")"),"COURCELLES-LES-MONTBARD")</f>
        <v>COURCELLES-LES-MONTBARD</v>
      </c>
      <c r="E35610" s="38" t="s">
        <v>105</v>
      </c>
      <c r="F35610" s="38" t="s">
        <v>106</v>
      </c>
      <c r="G35610" s="49" t="str">
        <f t="shared" si="1"/>
        <v>21500</v>
      </c>
      <c r="H35610" s="49">
        <f t="shared" si="2"/>
        <v>21204</v>
      </c>
    </row>
    <row r="35611">
      <c r="A35611" s="48" t="s">
        <v>39738</v>
      </c>
      <c r="B35611" s="38">
        <v>76735.0</v>
      </c>
      <c r="C35611" s="38" t="s">
        <v>39739</v>
      </c>
      <c r="D35611" s="38" t="str">
        <f>IFERROR(__xludf.DUMMYFUNCTION("REGEXREPLACE(C35611,""-\d+(.*)|--\d+(.*)"","""")"),"VEULES-LES-ROSES")</f>
        <v>VEULES-LES-ROSES</v>
      </c>
      <c r="E35611" s="38" t="s">
        <v>133</v>
      </c>
      <c r="F35611" s="38" t="s">
        <v>134</v>
      </c>
      <c r="G35611" s="49" t="str">
        <f t="shared" si="1"/>
        <v>76980</v>
      </c>
      <c r="H35611" s="49">
        <f t="shared" si="2"/>
        <v>76735</v>
      </c>
    </row>
    <row r="35612">
      <c r="A35612" s="48" t="s">
        <v>3469</v>
      </c>
      <c r="B35612" s="38">
        <v>74314.0</v>
      </c>
      <c r="C35612" s="38" t="s">
        <v>39740</v>
      </c>
      <c r="D35612" s="38" t="str">
        <f>IFERROR(__xludf.DUMMYFUNCTION("REGEXREPLACE(C35612,""-\d+(.*)|--\d+(.*)"","""")"),"VULBENS")</f>
        <v>VULBENS</v>
      </c>
      <c r="E35612" s="38" t="s">
        <v>319</v>
      </c>
      <c r="F35612" s="38" t="s">
        <v>102</v>
      </c>
      <c r="G35612" s="49" t="str">
        <f t="shared" si="1"/>
        <v>74520</v>
      </c>
      <c r="H35612" s="49">
        <f t="shared" si="2"/>
        <v>74314</v>
      </c>
    </row>
    <row r="35613">
      <c r="A35613" s="48" t="s">
        <v>39741</v>
      </c>
      <c r="B35613" s="38">
        <v>93057.0</v>
      </c>
      <c r="C35613" s="38" t="s">
        <v>39742</v>
      </c>
      <c r="D35613" s="38" t="str">
        <f>IFERROR(__xludf.DUMMYFUNCTION("REGEXREPLACE(C35613,""-\d+(.*)|--\d+(.*)"","""")"),"LES PAVILLONS-SOUS-BOIS")</f>
        <v>LES PAVILLONS-SOUS-BOIS</v>
      </c>
      <c r="E35613" s="38" t="s">
        <v>341</v>
      </c>
      <c r="F35613" s="38" t="s">
        <v>245</v>
      </c>
      <c r="G35613" s="49" t="str">
        <f t="shared" si="1"/>
        <v>93320</v>
      </c>
      <c r="H35613" s="49">
        <f t="shared" si="2"/>
        <v>93057</v>
      </c>
    </row>
    <row r="35614">
      <c r="A35614" s="48" t="s">
        <v>5045</v>
      </c>
      <c r="B35614" s="38">
        <v>24351.0</v>
      </c>
      <c r="C35614" s="38" t="s">
        <v>39743</v>
      </c>
      <c r="D35614" s="38" t="str">
        <f>IFERROR(__xludf.DUMMYFUNCTION("REGEXREPLACE(C35614,""-\d+(.*)|--\d+(.*)"","""")"),"RIBAGNAC")</f>
        <v>RIBAGNAC</v>
      </c>
      <c r="E35614" s="38" t="s">
        <v>261</v>
      </c>
      <c r="F35614" s="38" t="s">
        <v>252</v>
      </c>
      <c r="G35614" s="49" t="str">
        <f t="shared" si="1"/>
        <v>24240</v>
      </c>
      <c r="H35614" s="49">
        <f t="shared" si="2"/>
        <v>24351</v>
      </c>
    </row>
    <row r="35615">
      <c r="A35615" s="48" t="s">
        <v>6832</v>
      </c>
      <c r="B35615" s="38">
        <v>80191.0</v>
      </c>
      <c r="C35615" s="38" t="s">
        <v>16179</v>
      </c>
      <c r="D35615" s="38" t="str">
        <f>IFERROR(__xludf.DUMMYFUNCTION("REGEXREPLACE(C35615,""-\d+(.*)|--\d+(.*)"","""")"),"CHILLY")</f>
        <v>CHILLY</v>
      </c>
      <c r="E35615" s="38" t="s">
        <v>224</v>
      </c>
      <c r="F35615" s="38" t="s">
        <v>113</v>
      </c>
      <c r="G35615" s="49" t="str">
        <f t="shared" si="1"/>
        <v>80170</v>
      </c>
      <c r="H35615" s="49">
        <f t="shared" si="2"/>
        <v>80191</v>
      </c>
    </row>
    <row r="35616">
      <c r="A35616" s="48" t="s">
        <v>4957</v>
      </c>
      <c r="B35616" s="38">
        <v>13094.0</v>
      </c>
      <c r="C35616" s="38" t="s">
        <v>39744</v>
      </c>
      <c r="D35616" s="38" t="str">
        <f>IFERROR(__xludf.DUMMYFUNCTION("REGEXREPLACE(C35616,""-\d+(.*)|--\d+(.*)"","""")"),"SAINT-ETIENNE-DU-GRES")</f>
        <v>SAINT-ETIENNE-DU-GRES</v>
      </c>
      <c r="E35616" s="38" t="s">
        <v>980</v>
      </c>
      <c r="F35616" s="38" t="s">
        <v>228</v>
      </c>
      <c r="G35616" s="49" t="str">
        <f t="shared" si="1"/>
        <v>13103</v>
      </c>
      <c r="H35616" s="49">
        <f t="shared" si="2"/>
        <v>13094</v>
      </c>
    </row>
    <row r="35617">
      <c r="A35617" s="48" t="s">
        <v>8334</v>
      </c>
      <c r="B35617" s="38">
        <v>25198.0</v>
      </c>
      <c r="C35617" s="38" t="s">
        <v>39745</v>
      </c>
      <c r="D35617" s="38" t="str">
        <f>IFERROR(__xludf.DUMMYFUNCTION("REGEXREPLACE(C35617,""-\d+(.*)|--\d+(.*)"","""")"),"DESANDANS")</f>
        <v>DESANDANS</v>
      </c>
      <c r="E35617" s="38" t="s">
        <v>213</v>
      </c>
      <c r="F35617" s="38" t="s">
        <v>214</v>
      </c>
      <c r="G35617" s="49" t="str">
        <f t="shared" si="1"/>
        <v>25750</v>
      </c>
      <c r="H35617" s="49">
        <f t="shared" si="2"/>
        <v>25198</v>
      </c>
    </row>
    <row r="35618">
      <c r="A35618" s="48" t="s">
        <v>1560</v>
      </c>
      <c r="B35618" s="38">
        <v>14334.0</v>
      </c>
      <c r="C35618" s="38" t="s">
        <v>39746</v>
      </c>
      <c r="D35618" s="38" t="str">
        <f>IFERROR(__xludf.DUMMYFUNCTION("REGEXREPLACE(C35618,""-\d+(.*)|--\d+(.*)"","""")"),"L'HOTELLERIE")</f>
        <v>L'HOTELLERIE</v>
      </c>
      <c r="E35618" s="38" t="s">
        <v>137</v>
      </c>
      <c r="F35618" s="38" t="s">
        <v>138</v>
      </c>
      <c r="G35618" s="49" t="str">
        <f t="shared" si="1"/>
        <v>14100</v>
      </c>
      <c r="H35618" s="49">
        <f t="shared" si="2"/>
        <v>14334</v>
      </c>
    </row>
    <row r="35619">
      <c r="A35619" s="48" t="s">
        <v>9844</v>
      </c>
      <c r="B35619" s="38">
        <v>17116.0</v>
      </c>
      <c r="C35619" s="38" t="s">
        <v>39747</v>
      </c>
      <c r="D35619" s="38" t="str">
        <f>IFERROR(__xludf.DUMMYFUNCTION("REGEXREPLACE(C35619,""-\d+(.*)|--\d+(.*)"","""")"),"CONSAC")</f>
        <v>CONSAC</v>
      </c>
      <c r="E35619" s="38" t="s">
        <v>488</v>
      </c>
      <c r="F35619" s="38" t="s">
        <v>338</v>
      </c>
      <c r="G35619" s="49" t="str">
        <f t="shared" si="1"/>
        <v>17150</v>
      </c>
      <c r="H35619" s="49">
        <f t="shared" si="2"/>
        <v>17116</v>
      </c>
    </row>
    <row r="35620">
      <c r="A35620" s="48" t="s">
        <v>4659</v>
      </c>
      <c r="B35620" s="38">
        <v>32061.0</v>
      </c>
      <c r="C35620" s="38" t="s">
        <v>39748</v>
      </c>
      <c r="D35620" s="38" t="str">
        <f>IFERROR(__xludf.DUMMYFUNCTION("REGEXREPLACE(C35620,""-\d+(.*)|--\d+(.*)"","""")"),"BOULAUR")</f>
        <v>BOULAUR</v>
      </c>
      <c r="E35620" s="38" t="s">
        <v>440</v>
      </c>
      <c r="F35620" s="38" t="s">
        <v>94</v>
      </c>
      <c r="G35620" s="49" t="str">
        <f t="shared" si="1"/>
        <v>32450</v>
      </c>
      <c r="H35620" s="49">
        <f t="shared" si="2"/>
        <v>32061</v>
      </c>
    </row>
    <row r="35621">
      <c r="A35621" s="48" t="s">
        <v>3180</v>
      </c>
      <c r="B35621" s="38">
        <v>60380.0</v>
      </c>
      <c r="C35621" s="38" t="s">
        <v>39749</v>
      </c>
      <c r="D35621" s="38" t="str">
        <f>IFERROR(__xludf.DUMMYFUNCTION("REGEXREPLACE(C35621,""-\d+(.*)|--\d+(.*)"","""")"),"MAREUIL-SUR-OURCQ")</f>
        <v>MAREUIL-SUR-OURCQ</v>
      </c>
      <c r="E35621" s="38" t="s">
        <v>112</v>
      </c>
      <c r="F35621" s="38" t="s">
        <v>113</v>
      </c>
      <c r="G35621" s="49" t="str">
        <f t="shared" si="1"/>
        <v>60890</v>
      </c>
      <c r="H35621" s="49">
        <f t="shared" si="2"/>
        <v>60380</v>
      </c>
    </row>
    <row r="35622">
      <c r="A35622" s="48" t="s">
        <v>11336</v>
      </c>
      <c r="B35622" s="38">
        <v>10181.0</v>
      </c>
      <c r="C35622" s="38" t="s">
        <v>39750</v>
      </c>
      <c r="D35622" s="38" t="str">
        <f>IFERROR(__xludf.DUMMYFUNCTION("REGEXREPLACE(C35622,""-\d+(.*)|--\d+(.*)"","""")"),"JULLY-SUR-SARCE")</f>
        <v>JULLY-SUR-SARCE</v>
      </c>
      <c r="E35622" s="38" t="s">
        <v>147</v>
      </c>
      <c r="F35622" s="38" t="s">
        <v>130</v>
      </c>
      <c r="G35622" s="49" t="str">
        <f t="shared" si="1"/>
        <v>10260</v>
      </c>
      <c r="H35622" s="49">
        <f t="shared" si="2"/>
        <v>10181</v>
      </c>
    </row>
    <row r="35623">
      <c r="A35623" s="48" t="s">
        <v>5101</v>
      </c>
      <c r="B35623" s="38">
        <v>54144.0</v>
      </c>
      <c r="C35623" s="38" t="s">
        <v>39751</v>
      </c>
      <c r="D35623" s="38" t="str">
        <f>IFERROR(__xludf.DUMMYFUNCTION("REGEXREPLACE(C35623,""-\d+(.*)|--\d+(.*)"","""")"),"CREVECHAMPS")</f>
        <v>CREVECHAMPS</v>
      </c>
      <c r="E35623" s="38" t="s">
        <v>548</v>
      </c>
      <c r="F35623" s="38" t="s">
        <v>195</v>
      </c>
      <c r="G35623" s="49" t="str">
        <f t="shared" si="1"/>
        <v>54290</v>
      </c>
      <c r="H35623" s="49">
        <f t="shared" si="2"/>
        <v>54144</v>
      </c>
    </row>
    <row r="35624">
      <c r="A35624" s="48" t="s">
        <v>9231</v>
      </c>
      <c r="B35624" s="38">
        <v>76030.0</v>
      </c>
      <c r="C35624" s="38" t="s">
        <v>39752</v>
      </c>
      <c r="D35624" s="38" t="str">
        <f>IFERROR(__xludf.DUMMYFUNCTION("REGEXREPLACE(C35624,""-\d+(.*)|--\d+(.*)"","""")"),"AUBERMESNIL-BEAUMAIS")</f>
        <v>AUBERMESNIL-BEAUMAIS</v>
      </c>
      <c r="E35624" s="38" t="s">
        <v>133</v>
      </c>
      <c r="F35624" s="38" t="s">
        <v>134</v>
      </c>
      <c r="G35624" s="49" t="str">
        <f t="shared" si="1"/>
        <v>76550</v>
      </c>
      <c r="H35624" s="49">
        <f t="shared" si="2"/>
        <v>76030</v>
      </c>
    </row>
    <row r="35625">
      <c r="A35625" s="48" t="s">
        <v>249</v>
      </c>
      <c r="B35625" s="38">
        <v>47146.0</v>
      </c>
      <c r="C35625" s="38" t="s">
        <v>39753</v>
      </c>
      <c r="D35625" s="38" t="str">
        <f>IFERROR(__xludf.DUMMYFUNCTION("REGEXREPLACE(C35625,""-\d+(.*)|--\d+(.*)"","""")"),"LEDAT")</f>
        <v>LEDAT</v>
      </c>
      <c r="E35625" s="38" t="s">
        <v>251</v>
      </c>
      <c r="F35625" s="38" t="s">
        <v>252</v>
      </c>
      <c r="G35625" s="49" t="str">
        <f t="shared" si="1"/>
        <v>47300</v>
      </c>
      <c r="H35625" s="49">
        <f t="shared" si="2"/>
        <v>47146</v>
      </c>
    </row>
    <row r="35626">
      <c r="A35626" s="48" t="s">
        <v>427</v>
      </c>
      <c r="B35626" s="38">
        <v>16343.0</v>
      </c>
      <c r="C35626" s="38" t="s">
        <v>39754</v>
      </c>
      <c r="D35626" s="38" t="str">
        <f>IFERROR(__xludf.DUMMYFUNCTION("REGEXREPLACE(C35626,""-\d+(.*)|--\d+(.*)"","""")"),"SAINT-PREUIL")</f>
        <v>SAINT-PREUIL</v>
      </c>
      <c r="E35626" s="38" t="s">
        <v>429</v>
      </c>
      <c r="F35626" s="38" t="s">
        <v>338</v>
      </c>
      <c r="G35626" s="49" t="str">
        <f t="shared" si="1"/>
        <v>16130</v>
      </c>
      <c r="H35626" s="49">
        <f t="shared" si="2"/>
        <v>16343</v>
      </c>
    </row>
    <row r="35627">
      <c r="A35627" s="48" t="s">
        <v>1603</v>
      </c>
      <c r="B35627" s="38">
        <v>25001.0</v>
      </c>
      <c r="C35627" s="38" t="s">
        <v>39755</v>
      </c>
      <c r="D35627" s="38" t="str">
        <f>IFERROR(__xludf.DUMMYFUNCTION("REGEXREPLACE(C35627,""-\d+(.*)|--\d+(.*)"","""")"),"ABBANS-DESSOUS")</f>
        <v>ABBANS-DESSOUS</v>
      </c>
      <c r="E35627" s="38" t="s">
        <v>213</v>
      </c>
      <c r="F35627" s="38" t="s">
        <v>214</v>
      </c>
      <c r="G35627" s="49" t="str">
        <f t="shared" si="1"/>
        <v>25320</v>
      </c>
      <c r="H35627" s="49">
        <f t="shared" si="2"/>
        <v>25001</v>
      </c>
    </row>
    <row r="35628">
      <c r="A35628" s="48" t="s">
        <v>4397</v>
      </c>
      <c r="B35628" s="38">
        <v>43162.0</v>
      </c>
      <c r="C35628" s="38" t="s">
        <v>39756</v>
      </c>
      <c r="D35628" s="38" t="str">
        <f>IFERROR(__xludf.DUMMYFUNCTION("REGEXREPLACE(C35628,""-\d+(.*)|--\d+(.*)"","""")"),"RETOURNAC")</f>
        <v>RETOURNAC</v>
      </c>
      <c r="E35628" s="38" t="s">
        <v>332</v>
      </c>
      <c r="F35628" s="38" t="s">
        <v>161</v>
      </c>
      <c r="G35628" s="49" t="str">
        <f t="shared" si="1"/>
        <v>43130</v>
      </c>
      <c r="H35628" s="49">
        <f t="shared" si="2"/>
        <v>43162</v>
      </c>
    </row>
    <row r="35629">
      <c r="A35629" s="48" t="s">
        <v>23771</v>
      </c>
      <c r="B35629" s="38">
        <v>61001.0</v>
      </c>
      <c r="C35629" s="38" t="s">
        <v>39757</v>
      </c>
      <c r="D35629" s="38" t="str">
        <f>IFERROR(__xludf.DUMMYFUNCTION("REGEXREPLACE(C35629,""-\d+(.*)|--\d+(.*)"","""")"),"ALENCON")</f>
        <v>ALENCON</v>
      </c>
      <c r="E35629" s="38" t="s">
        <v>141</v>
      </c>
      <c r="F35629" s="38" t="s">
        <v>138</v>
      </c>
      <c r="G35629" s="49" t="str">
        <f t="shared" si="1"/>
        <v>61000</v>
      </c>
      <c r="H35629" s="49">
        <f t="shared" si="2"/>
        <v>61001</v>
      </c>
    </row>
    <row r="35630">
      <c r="A35630" s="48" t="s">
        <v>4543</v>
      </c>
      <c r="B35630" s="38">
        <v>64487.0</v>
      </c>
      <c r="C35630" s="38" t="s">
        <v>39758</v>
      </c>
      <c r="D35630" s="38" t="str">
        <f>IFERROR(__xludf.DUMMYFUNCTION("REGEXREPLACE(C35630,""-\d+(.*)|--\d+(.*)"","""")"),"SAINT-JUST-IBARRE")</f>
        <v>SAINT-JUST-IBARRE</v>
      </c>
      <c r="E35630" s="38" t="s">
        <v>268</v>
      </c>
      <c r="F35630" s="38" t="s">
        <v>252</v>
      </c>
      <c r="G35630" s="49" t="str">
        <f t="shared" si="1"/>
        <v>64120</v>
      </c>
      <c r="H35630" s="49">
        <f t="shared" si="2"/>
        <v>64487</v>
      </c>
    </row>
    <row r="35631">
      <c r="A35631" s="48" t="s">
        <v>14727</v>
      </c>
      <c r="B35631" s="38">
        <v>87188.0</v>
      </c>
      <c r="C35631" s="38" t="s">
        <v>39759</v>
      </c>
      <c r="D35631" s="38" t="str">
        <f>IFERROR(__xludf.DUMMYFUNCTION("REGEXREPLACE(C35631,""-\d+(.*)|--\d+(.*)"","""")"),"SAINT-YRIEIX-SOUS-AIXE")</f>
        <v>SAINT-YRIEIX-SOUS-AIXE</v>
      </c>
      <c r="E35631" s="38" t="s">
        <v>897</v>
      </c>
      <c r="F35631" s="38" t="s">
        <v>98</v>
      </c>
      <c r="G35631" s="49" t="str">
        <f t="shared" si="1"/>
        <v>87700</v>
      </c>
      <c r="H35631" s="49">
        <f t="shared" si="2"/>
        <v>87188</v>
      </c>
    </row>
    <row r="35632">
      <c r="A35632" s="48" t="s">
        <v>25197</v>
      </c>
      <c r="B35632" s="38">
        <v>78010.0</v>
      </c>
      <c r="C35632" s="38" t="s">
        <v>39760</v>
      </c>
      <c r="D35632" s="38" t="str">
        <f>IFERROR(__xludf.DUMMYFUNCTION("REGEXREPLACE(C35632,""-\d+(.*)|--\d+(.*)"","""")"),"LES ALLUETS-LE-ROI")</f>
        <v>LES ALLUETS-LE-ROI</v>
      </c>
      <c r="E35632" s="38" t="s">
        <v>362</v>
      </c>
      <c r="F35632" s="38" t="s">
        <v>245</v>
      </c>
      <c r="G35632" s="49" t="str">
        <f t="shared" si="1"/>
        <v>78580</v>
      </c>
      <c r="H35632" s="49">
        <f t="shared" si="2"/>
        <v>78010</v>
      </c>
    </row>
    <row r="35633">
      <c r="A35633" s="48" t="s">
        <v>6492</v>
      </c>
      <c r="B35633" s="38">
        <v>5081.0</v>
      </c>
      <c r="C35633" s="38" t="s">
        <v>8442</v>
      </c>
      <c r="D35633" s="38" t="str">
        <f>IFERROR(__xludf.DUMMYFUNCTION("REGEXREPLACE(C35633,""-\d+(.*)|--\d+(.*)"","""")"),"MONTCLUS")</f>
        <v>MONTCLUS</v>
      </c>
      <c r="E35633" s="38" t="s">
        <v>706</v>
      </c>
      <c r="F35633" s="38" t="s">
        <v>228</v>
      </c>
      <c r="G35633" s="49" t="str">
        <f t="shared" si="1"/>
        <v>05700</v>
      </c>
      <c r="H35633" s="49" t="str">
        <f t="shared" si="2"/>
        <v>05081</v>
      </c>
    </row>
    <row r="35634">
      <c r="A35634" s="48" t="s">
        <v>3163</v>
      </c>
      <c r="B35634" s="38">
        <v>28400.0</v>
      </c>
      <c r="C35634" s="38" t="s">
        <v>5771</v>
      </c>
      <c r="D35634" s="38" t="str">
        <f>IFERROR(__xludf.DUMMYFUNCTION("REGEXREPLACE(C35634,""-\d+(.*)|--\d+(.*)"","""")"),"VARIZE")</f>
        <v>VARIZE</v>
      </c>
      <c r="E35634" s="38" t="s">
        <v>300</v>
      </c>
      <c r="F35634" s="38" t="s">
        <v>123</v>
      </c>
      <c r="G35634" s="49" t="str">
        <f t="shared" si="1"/>
        <v>28140</v>
      </c>
      <c r="H35634" s="49">
        <f t="shared" si="2"/>
        <v>28400</v>
      </c>
    </row>
    <row r="35635">
      <c r="A35635" s="48" t="s">
        <v>9315</v>
      </c>
      <c r="B35635" s="38">
        <v>68019.0</v>
      </c>
      <c r="C35635" s="38" t="s">
        <v>39761</v>
      </c>
      <c r="D35635" s="38" t="str">
        <f>IFERROR(__xludf.DUMMYFUNCTION("REGEXREPLACE(C35635,""-\d+(.*)|--\d+(.*)"","""")"),"BALTZENHEIM")</f>
        <v>BALTZENHEIM</v>
      </c>
      <c r="E35635" s="38" t="s">
        <v>150</v>
      </c>
      <c r="F35635" s="38" t="s">
        <v>151</v>
      </c>
      <c r="G35635" s="49" t="str">
        <f t="shared" si="1"/>
        <v>68320</v>
      </c>
      <c r="H35635" s="49">
        <f t="shared" si="2"/>
        <v>68019</v>
      </c>
    </row>
    <row r="35636">
      <c r="A35636" s="48" t="s">
        <v>335</v>
      </c>
      <c r="B35636" s="38">
        <v>79145.0</v>
      </c>
      <c r="C35636" s="38" t="s">
        <v>39762</v>
      </c>
      <c r="D35636" s="38" t="str">
        <f>IFERROR(__xludf.DUMMYFUNCTION("REGEXREPLACE(C35636,""-\d+(.*)|--\d+(.*)"","""")"),"LAGEON")</f>
        <v>LAGEON</v>
      </c>
      <c r="E35636" s="38" t="s">
        <v>337</v>
      </c>
      <c r="F35636" s="38" t="s">
        <v>338</v>
      </c>
      <c r="G35636" s="49" t="str">
        <f t="shared" si="1"/>
        <v>79200</v>
      </c>
      <c r="H35636" s="49">
        <f t="shared" si="2"/>
        <v>79145</v>
      </c>
    </row>
    <row r="35637">
      <c r="A35637" s="48" t="s">
        <v>4364</v>
      </c>
      <c r="B35637" s="38">
        <v>78234.0</v>
      </c>
      <c r="C35637" s="38" t="s">
        <v>39763</v>
      </c>
      <c r="D35637" s="38" t="str">
        <f>IFERROR(__xludf.DUMMYFUNCTION("REGEXREPLACE(C35637,""-\d+(.*)|--\d+(.*)"","""")"),"FLACOURT")</f>
        <v>FLACOURT</v>
      </c>
      <c r="E35637" s="38" t="s">
        <v>362</v>
      </c>
      <c r="F35637" s="38" t="s">
        <v>245</v>
      </c>
      <c r="G35637" s="49" t="str">
        <f t="shared" si="1"/>
        <v>78200</v>
      </c>
      <c r="H35637" s="49">
        <f t="shared" si="2"/>
        <v>78234</v>
      </c>
    </row>
    <row r="35638">
      <c r="A35638" s="48" t="s">
        <v>39764</v>
      </c>
      <c r="B35638" s="38">
        <v>17079.0</v>
      </c>
      <c r="C35638" s="38" t="s">
        <v>39765</v>
      </c>
      <c r="D35638" s="38" t="str">
        <f>IFERROR(__xludf.DUMMYFUNCTION("REGEXREPLACE(C35638,""-\d+(.*)|--\d+(.*)"","""")"),"CHAILLEVETTE")</f>
        <v>CHAILLEVETTE</v>
      </c>
      <c r="E35638" s="38" t="s">
        <v>488</v>
      </c>
      <c r="F35638" s="38" t="s">
        <v>338</v>
      </c>
      <c r="G35638" s="49" t="str">
        <f t="shared" si="1"/>
        <v>17890</v>
      </c>
      <c r="H35638" s="49">
        <f t="shared" si="2"/>
        <v>17079</v>
      </c>
    </row>
    <row r="35639">
      <c r="A35639" s="48" t="s">
        <v>1574</v>
      </c>
      <c r="B35639" s="38">
        <v>10223.0</v>
      </c>
      <c r="C35639" s="38" t="s">
        <v>39766</v>
      </c>
      <c r="D35639" s="38" t="str">
        <f>IFERROR(__xludf.DUMMYFUNCTION("REGEXREPLACE(C35639,""-\d+(.*)|--\d+(.*)"","""")"),"MARCILLY-LE-HAYER")</f>
        <v>MARCILLY-LE-HAYER</v>
      </c>
      <c r="E35639" s="38" t="s">
        <v>147</v>
      </c>
      <c r="F35639" s="38" t="s">
        <v>130</v>
      </c>
      <c r="G35639" s="49" t="str">
        <f t="shared" si="1"/>
        <v>10290</v>
      </c>
      <c r="H35639" s="49">
        <f t="shared" si="2"/>
        <v>10223</v>
      </c>
    </row>
    <row r="35640">
      <c r="A35640" s="48" t="s">
        <v>14989</v>
      </c>
      <c r="B35640" s="38">
        <v>74018.0</v>
      </c>
      <c r="C35640" s="38" t="s">
        <v>39767</v>
      </c>
      <c r="D35640" s="38" t="str">
        <f>IFERROR(__xludf.DUMMYFUNCTION("REGEXREPLACE(C35640,""-\d+(.*)|--\d+(.*)"","""")"),"ARENTHON")</f>
        <v>ARENTHON</v>
      </c>
      <c r="E35640" s="38" t="s">
        <v>319</v>
      </c>
      <c r="F35640" s="38" t="s">
        <v>102</v>
      </c>
      <c r="G35640" s="49" t="str">
        <f t="shared" si="1"/>
        <v>74800</v>
      </c>
      <c r="H35640" s="49">
        <f t="shared" si="2"/>
        <v>74018</v>
      </c>
    </row>
    <row r="35641">
      <c r="A35641" s="48" t="s">
        <v>474</v>
      </c>
      <c r="B35641" s="38">
        <v>76468.0</v>
      </c>
      <c r="C35641" s="38" t="s">
        <v>39768</v>
      </c>
      <c r="D35641" s="38" t="str">
        <f>IFERROR(__xludf.DUMMYFUNCTION("REGEXREPLACE(C35641,""-\d+(.*)|--\d+(.*)"","""")"),"NOINTOT")</f>
        <v>NOINTOT</v>
      </c>
      <c r="E35641" s="38" t="s">
        <v>133</v>
      </c>
      <c r="F35641" s="38" t="s">
        <v>134</v>
      </c>
      <c r="G35641" s="49" t="str">
        <f t="shared" si="1"/>
        <v>76210</v>
      </c>
      <c r="H35641" s="49">
        <f t="shared" si="2"/>
        <v>76468</v>
      </c>
    </row>
    <row r="35642">
      <c r="A35642" s="48" t="s">
        <v>1779</v>
      </c>
      <c r="B35642" s="38">
        <v>90051.0</v>
      </c>
      <c r="C35642" s="38" t="s">
        <v>39769</v>
      </c>
      <c r="D35642" s="38" t="str">
        <f>IFERROR(__xludf.DUMMYFUNCTION("REGEXREPLACE(C35642,""-\d+(.*)|--\d+(.*)"","""")"),"FROIDEFONTAINE")</f>
        <v>FROIDEFONTAINE</v>
      </c>
      <c r="E35642" s="38" t="s">
        <v>1283</v>
      </c>
      <c r="F35642" s="38" t="s">
        <v>214</v>
      </c>
      <c r="G35642" s="49" t="str">
        <f t="shared" si="1"/>
        <v>90140</v>
      </c>
      <c r="H35642" s="49">
        <f t="shared" si="2"/>
        <v>90051</v>
      </c>
    </row>
    <row r="35643">
      <c r="A35643" s="48" t="s">
        <v>1345</v>
      </c>
      <c r="B35643" s="38">
        <v>46116.0</v>
      </c>
      <c r="C35643" s="38" t="s">
        <v>37094</v>
      </c>
      <c r="D35643" s="38" t="str">
        <f>IFERROR(__xludf.DUMMYFUNCTION("REGEXREPLACE(C35643,""-\d+(.*)|--\d+(.*)"","""")"),"FRONTENAC")</f>
        <v>FRONTENAC</v>
      </c>
      <c r="E35643" s="38" t="s">
        <v>185</v>
      </c>
      <c r="F35643" s="38" t="s">
        <v>94</v>
      </c>
      <c r="G35643" s="49" t="str">
        <f t="shared" si="1"/>
        <v>46160</v>
      </c>
      <c r="H35643" s="49">
        <f t="shared" si="2"/>
        <v>46116</v>
      </c>
    </row>
    <row r="35644">
      <c r="A35644" s="48" t="s">
        <v>474</v>
      </c>
      <c r="B35644" s="38">
        <v>76114.0</v>
      </c>
      <c r="C35644" s="38" t="s">
        <v>39770</v>
      </c>
      <c r="D35644" s="38" t="str">
        <f>IFERROR(__xludf.DUMMYFUNCTION("REGEXREPLACE(C35644,""-\d+(.*)|--\d+(.*)"","""")"),"BOLBEC")</f>
        <v>BOLBEC</v>
      </c>
      <c r="E35644" s="38" t="s">
        <v>133</v>
      </c>
      <c r="F35644" s="38" t="s">
        <v>134</v>
      </c>
      <c r="G35644" s="49" t="str">
        <f t="shared" si="1"/>
        <v>76210</v>
      </c>
      <c r="H35644" s="49">
        <f t="shared" si="2"/>
        <v>76114</v>
      </c>
    </row>
    <row r="35645">
      <c r="A35645" s="48" t="s">
        <v>15028</v>
      </c>
      <c r="B35645" s="38">
        <v>79047.0</v>
      </c>
      <c r="C35645" s="38" t="s">
        <v>39771</v>
      </c>
      <c r="D35645" s="38" t="str">
        <f>IFERROR(__xludf.DUMMYFUNCTION("REGEXREPLACE(C35645,""-\d+(.*)|--\d+(.*)"","""")"),"BOUSSAIS")</f>
        <v>BOUSSAIS</v>
      </c>
      <c r="E35645" s="38" t="s">
        <v>337</v>
      </c>
      <c r="F35645" s="38" t="s">
        <v>338</v>
      </c>
      <c r="G35645" s="49" t="str">
        <f t="shared" si="1"/>
        <v>79600</v>
      </c>
      <c r="H35645" s="49">
        <f t="shared" si="2"/>
        <v>79047</v>
      </c>
    </row>
    <row r="35646">
      <c r="A35646" s="48" t="s">
        <v>11059</v>
      </c>
      <c r="B35646" s="38">
        <v>48059.0</v>
      </c>
      <c r="C35646" s="38" t="s">
        <v>39772</v>
      </c>
      <c r="D35646" s="38" t="str">
        <f>IFERROR(__xludf.DUMMYFUNCTION("REGEXREPLACE(C35646,""-\d+(.*)|--\d+(.*)"","""")"),"LA FAGE-SAINT-JULIEN")</f>
        <v>LA FAGE-SAINT-JULIEN</v>
      </c>
      <c r="E35646" s="38" t="s">
        <v>154</v>
      </c>
      <c r="F35646" s="38" t="s">
        <v>119</v>
      </c>
      <c r="G35646" s="49" t="str">
        <f t="shared" si="1"/>
        <v>48200</v>
      </c>
      <c r="H35646" s="49">
        <f t="shared" si="2"/>
        <v>48059</v>
      </c>
    </row>
    <row r="35647">
      <c r="A35647" s="48" t="s">
        <v>14867</v>
      </c>
      <c r="B35647" s="38">
        <v>49328.0</v>
      </c>
      <c r="C35647" s="38" t="s">
        <v>39773</v>
      </c>
      <c r="D35647" s="38" t="str">
        <f>IFERROR(__xludf.DUMMYFUNCTION("REGEXREPLACE(C35647,""-\d+(.*)|--\d+(.*)"","""")"),"SAUMUR")</f>
        <v>SAUMUR</v>
      </c>
      <c r="E35647" s="38" t="s">
        <v>653</v>
      </c>
      <c r="F35647" s="38" t="s">
        <v>180</v>
      </c>
      <c r="G35647" s="49" t="str">
        <f t="shared" si="1"/>
        <v>49400</v>
      </c>
      <c r="H35647" s="49">
        <f t="shared" si="2"/>
        <v>49328</v>
      </c>
    </row>
    <row r="35648">
      <c r="A35648" s="48" t="s">
        <v>29806</v>
      </c>
      <c r="B35648" s="38">
        <v>57411.0</v>
      </c>
      <c r="C35648" s="38" t="s">
        <v>39774</v>
      </c>
      <c r="D35648" s="38" t="str">
        <f>IFERROR(__xludf.DUMMYFUNCTION("REGEXREPLACE(C35648,""-\d+(.*)|--\d+(.*)"","""")"),"LOMMERANGE")</f>
        <v>LOMMERANGE</v>
      </c>
      <c r="E35648" s="38" t="s">
        <v>303</v>
      </c>
      <c r="F35648" s="38" t="s">
        <v>195</v>
      </c>
      <c r="G35648" s="49" t="str">
        <f t="shared" si="1"/>
        <v>57650</v>
      </c>
      <c r="H35648" s="49">
        <f t="shared" si="2"/>
        <v>57411</v>
      </c>
    </row>
    <row r="35649">
      <c r="A35649" s="48" t="s">
        <v>3135</v>
      </c>
      <c r="B35649" s="38">
        <v>12144.0</v>
      </c>
      <c r="C35649" s="38" t="s">
        <v>39775</v>
      </c>
      <c r="D35649" s="38" t="str">
        <f>IFERROR(__xludf.DUMMYFUNCTION("REGEXREPLACE(C35649,""-\d+(.*)|--\d+(.*)"","""")"),"MELJAC")</f>
        <v>MELJAC</v>
      </c>
      <c r="E35649" s="38" t="s">
        <v>465</v>
      </c>
      <c r="F35649" s="38" t="s">
        <v>94</v>
      </c>
      <c r="G35649" s="49" t="str">
        <f t="shared" si="1"/>
        <v>12120</v>
      </c>
      <c r="H35649" s="49">
        <f t="shared" si="2"/>
        <v>12144</v>
      </c>
    </row>
    <row r="35650">
      <c r="A35650" s="48" t="s">
        <v>3504</v>
      </c>
      <c r="B35650" s="38">
        <v>42313.0</v>
      </c>
      <c r="C35650" s="38" t="s">
        <v>39776</v>
      </c>
      <c r="D35650" s="38" t="str">
        <f>IFERROR(__xludf.DUMMYFUNCTION("REGEXREPLACE(C35650,""-\d+(.*)|--\d+(.*)"","""")"),"TRELINS")</f>
        <v>TRELINS</v>
      </c>
      <c r="E35650" s="38" t="s">
        <v>166</v>
      </c>
      <c r="F35650" s="38" t="s">
        <v>102</v>
      </c>
      <c r="G35650" s="49" t="str">
        <f t="shared" si="1"/>
        <v>42130</v>
      </c>
      <c r="H35650" s="49">
        <f t="shared" si="2"/>
        <v>42313</v>
      </c>
    </row>
    <row r="35651">
      <c r="A35651" s="48" t="s">
        <v>39777</v>
      </c>
      <c r="B35651" s="38">
        <v>13070.0</v>
      </c>
      <c r="C35651" s="38" t="s">
        <v>39778</v>
      </c>
      <c r="D35651" s="38" t="str">
        <f>IFERROR(__xludf.DUMMYFUNCTION("REGEXREPLACE(C35651,""-\d+(.*)|--\d+(.*)"","""")"),"LA PENNE-SUR-HUVEAUNE")</f>
        <v>LA PENNE-SUR-HUVEAUNE</v>
      </c>
      <c r="E35651" s="38" t="s">
        <v>980</v>
      </c>
      <c r="F35651" s="38" t="s">
        <v>228</v>
      </c>
      <c r="G35651" s="49" t="str">
        <f t="shared" si="1"/>
        <v>13821</v>
      </c>
      <c r="H35651" s="49">
        <f t="shared" si="2"/>
        <v>13070</v>
      </c>
    </row>
    <row r="35652">
      <c r="A35652" s="48" t="s">
        <v>2103</v>
      </c>
      <c r="B35652" s="38">
        <v>54083.0</v>
      </c>
      <c r="C35652" s="38" t="s">
        <v>39779</v>
      </c>
      <c r="D35652" s="38" t="str">
        <f>IFERROR(__xludf.DUMMYFUNCTION("REGEXREPLACE(C35652,""-\d+(.*)|--\d+(.*)"","""")"),"BONVILLER")</f>
        <v>BONVILLER</v>
      </c>
      <c r="E35652" s="38" t="s">
        <v>548</v>
      </c>
      <c r="F35652" s="38" t="s">
        <v>195</v>
      </c>
      <c r="G35652" s="49" t="str">
        <f t="shared" si="1"/>
        <v>54300</v>
      </c>
      <c r="H35652" s="49">
        <f t="shared" si="2"/>
        <v>54083</v>
      </c>
    </row>
    <row r="35653">
      <c r="A35653" s="48" t="s">
        <v>1683</v>
      </c>
      <c r="B35653" s="38">
        <v>78590.0</v>
      </c>
      <c r="C35653" s="38" t="s">
        <v>39780</v>
      </c>
      <c r="D35653" s="38" t="str">
        <f>IFERROR(__xludf.DUMMYFUNCTION("REGEXREPLACE(C35653,""-\d+(.*)|--\d+(.*)"","""")"),"SENLISSE")</f>
        <v>SENLISSE</v>
      </c>
      <c r="E35653" s="38" t="s">
        <v>362</v>
      </c>
      <c r="F35653" s="38" t="s">
        <v>245</v>
      </c>
      <c r="G35653" s="49" t="str">
        <f t="shared" si="1"/>
        <v>78720</v>
      </c>
      <c r="H35653" s="49">
        <f t="shared" si="2"/>
        <v>78590</v>
      </c>
    </row>
    <row r="35654">
      <c r="A35654" s="48" t="s">
        <v>844</v>
      </c>
      <c r="B35654" s="38">
        <v>72372.0</v>
      </c>
      <c r="C35654" s="38" t="s">
        <v>39781</v>
      </c>
      <c r="D35654" s="38" t="str">
        <f>IFERROR(__xludf.DUMMYFUNCTION("REGEXREPLACE(C35654,""-\d+(.*)|--\d+(.*)"","""")"),"VEZOT")</f>
        <v>VEZOT</v>
      </c>
      <c r="E35654" s="38" t="s">
        <v>521</v>
      </c>
      <c r="F35654" s="38" t="s">
        <v>180</v>
      </c>
      <c r="G35654" s="49" t="str">
        <f t="shared" si="1"/>
        <v>72600</v>
      </c>
      <c r="H35654" s="49">
        <f t="shared" si="2"/>
        <v>72372</v>
      </c>
    </row>
    <row r="35655">
      <c r="A35655" s="48" t="s">
        <v>4748</v>
      </c>
      <c r="B35655" s="38">
        <v>77231.0</v>
      </c>
      <c r="C35655" s="38" t="s">
        <v>39782</v>
      </c>
      <c r="D35655" s="38" t="str">
        <f>IFERROR(__xludf.DUMMYFUNCTION("REGEXREPLACE(C35655,""-\d+(.*)|--\d+(.*)"","""")"),"ISLES-LES-MELDEUSES")</f>
        <v>ISLES-LES-MELDEUSES</v>
      </c>
      <c r="E35655" s="38" t="s">
        <v>244</v>
      </c>
      <c r="F35655" s="38" t="s">
        <v>245</v>
      </c>
      <c r="G35655" s="49" t="str">
        <f t="shared" si="1"/>
        <v>77440</v>
      </c>
      <c r="H35655" s="49">
        <f t="shared" si="2"/>
        <v>77231</v>
      </c>
    </row>
    <row r="35656">
      <c r="A35656" s="48" t="s">
        <v>5322</v>
      </c>
      <c r="B35656" s="38">
        <v>32356.0</v>
      </c>
      <c r="C35656" s="38" t="s">
        <v>1952</v>
      </c>
      <c r="D35656" s="38" t="str">
        <f>IFERROR(__xludf.DUMMYFUNCTION("REGEXREPLACE(C35656,""-\d+(.*)|--\d+(.*)"","""")"),"SAINT-ANDRE")</f>
        <v>SAINT-ANDRE</v>
      </c>
      <c r="E35656" s="38" t="s">
        <v>440</v>
      </c>
      <c r="F35656" s="38" t="s">
        <v>94</v>
      </c>
      <c r="G35656" s="49" t="str">
        <f t="shared" si="1"/>
        <v>32200</v>
      </c>
      <c r="H35656" s="49">
        <f t="shared" si="2"/>
        <v>32356</v>
      </c>
    </row>
    <row r="35657">
      <c r="A35657" s="48" t="s">
        <v>2523</v>
      </c>
      <c r="B35657" s="38">
        <v>46151.0</v>
      </c>
      <c r="C35657" s="38" t="s">
        <v>39783</v>
      </c>
      <c r="D35657" s="38" t="str">
        <f>IFERROR(__xludf.DUMMYFUNCTION("REGEXREPLACE(C35657,""-\d+(.*)|--\d+(.*)"","""")"),"LAMOTHE-CASSEL")</f>
        <v>LAMOTHE-CASSEL</v>
      </c>
      <c r="E35657" s="38" t="s">
        <v>185</v>
      </c>
      <c r="F35657" s="38" t="s">
        <v>94</v>
      </c>
      <c r="G35657" s="49" t="str">
        <f t="shared" si="1"/>
        <v>46240</v>
      </c>
      <c r="H35657" s="49">
        <f t="shared" si="2"/>
        <v>46151</v>
      </c>
    </row>
    <row r="35658">
      <c r="A35658" s="48" t="s">
        <v>4797</v>
      </c>
      <c r="B35658" s="38">
        <v>30038.0</v>
      </c>
      <c r="C35658" s="38" t="s">
        <v>39784</v>
      </c>
      <c r="D35658" s="38" t="str">
        <f>IFERROR(__xludf.DUMMYFUNCTION("REGEXREPLACE(C35658,""-\d+(.*)|--\d+(.*)"","""")"),"BEZ-ET-ESPARON")</f>
        <v>BEZ-ET-ESPARON</v>
      </c>
      <c r="E35658" s="38" t="s">
        <v>526</v>
      </c>
      <c r="F35658" s="38" t="s">
        <v>119</v>
      </c>
      <c r="G35658" s="49" t="str">
        <f t="shared" si="1"/>
        <v>30120</v>
      </c>
      <c r="H35658" s="49">
        <f t="shared" si="2"/>
        <v>30038</v>
      </c>
    </row>
    <row r="35659">
      <c r="A35659" s="48" t="s">
        <v>1056</v>
      </c>
      <c r="B35659" s="38">
        <v>11211.0</v>
      </c>
      <c r="C35659" s="38" t="s">
        <v>39785</v>
      </c>
      <c r="D35659" s="38" t="str">
        <f>IFERROR(__xludf.DUMMYFUNCTION("REGEXREPLACE(C35659,""-\d+(.*)|--\d+(.*)"","""")"),"MAGRIE")</f>
        <v>MAGRIE</v>
      </c>
      <c r="E35659" s="38" t="s">
        <v>278</v>
      </c>
      <c r="F35659" s="38" t="s">
        <v>119</v>
      </c>
      <c r="G35659" s="49" t="str">
        <f t="shared" si="1"/>
        <v>11300</v>
      </c>
      <c r="H35659" s="49">
        <f t="shared" si="2"/>
        <v>11211</v>
      </c>
    </row>
    <row r="35660">
      <c r="A35660" s="48" t="s">
        <v>1199</v>
      </c>
      <c r="B35660" s="38">
        <v>55459.0</v>
      </c>
      <c r="C35660" s="38" t="s">
        <v>39786</v>
      </c>
      <c r="D35660" s="38" t="str">
        <f>IFERROR(__xludf.DUMMYFUNCTION("REGEXREPLACE(C35660,""-\d+(.*)|--\d+(.*)"","""")"),"SAINT-JOIRE")</f>
        <v>SAINT-JOIRE</v>
      </c>
      <c r="E35660" s="38" t="s">
        <v>322</v>
      </c>
      <c r="F35660" s="38" t="s">
        <v>195</v>
      </c>
      <c r="G35660" s="49" t="str">
        <f t="shared" si="1"/>
        <v>55130</v>
      </c>
      <c r="H35660" s="49">
        <f t="shared" si="2"/>
        <v>55459</v>
      </c>
    </row>
    <row r="35661">
      <c r="A35661" s="48" t="s">
        <v>3246</v>
      </c>
      <c r="B35661" s="38">
        <v>9057.0</v>
      </c>
      <c r="C35661" s="38" t="s">
        <v>39787</v>
      </c>
      <c r="D35661" s="38" t="str">
        <f>IFERROR(__xludf.DUMMYFUNCTION("REGEXREPLACE(C35661,""-\d+(.*)|--\d+(.*)"","""")"),"BIERT")</f>
        <v>BIERT</v>
      </c>
      <c r="E35661" s="38" t="s">
        <v>238</v>
      </c>
      <c r="F35661" s="38" t="s">
        <v>94</v>
      </c>
      <c r="G35661" s="49" t="str">
        <f t="shared" si="1"/>
        <v>09320</v>
      </c>
      <c r="H35661" s="49" t="str">
        <f t="shared" si="2"/>
        <v>09057</v>
      </c>
    </row>
    <row r="35662">
      <c r="A35662" s="48" t="s">
        <v>803</v>
      </c>
      <c r="B35662" s="38">
        <v>1280.0</v>
      </c>
      <c r="C35662" s="38" t="s">
        <v>39788</v>
      </c>
      <c r="D35662" s="38" t="str">
        <f>IFERROR(__xludf.DUMMYFUNCTION("REGEXREPLACE(C35662,""-\d+(.*)|--\d+(.*)"","""")"),"ORDONNAZ")</f>
        <v>ORDONNAZ</v>
      </c>
      <c r="E35662" s="38" t="s">
        <v>255</v>
      </c>
      <c r="F35662" s="38" t="s">
        <v>102</v>
      </c>
      <c r="G35662" s="49" t="str">
        <f t="shared" si="1"/>
        <v>01510</v>
      </c>
      <c r="H35662" s="49" t="str">
        <f t="shared" si="2"/>
        <v>01280</v>
      </c>
    </row>
    <row r="35663">
      <c r="A35663" s="48" t="s">
        <v>24514</v>
      </c>
      <c r="B35663" s="38">
        <v>34022.0</v>
      </c>
      <c r="C35663" s="38" t="s">
        <v>39789</v>
      </c>
      <c r="D35663" s="38" t="str">
        <f>IFERROR(__xludf.DUMMYFUNCTION("REGEXREPLACE(C35663,""-\d+(.*)|--\d+(.*)"","""")"),"BAILLARGUES")</f>
        <v>BAILLARGUES</v>
      </c>
      <c r="E35663" s="38" t="s">
        <v>118</v>
      </c>
      <c r="F35663" s="38" t="s">
        <v>119</v>
      </c>
      <c r="G35663" s="49" t="str">
        <f t="shared" si="1"/>
        <v>34670</v>
      </c>
      <c r="H35663" s="49">
        <f t="shared" si="2"/>
        <v>34022</v>
      </c>
    </row>
    <row r="35664">
      <c r="A35664" s="48" t="s">
        <v>8059</v>
      </c>
      <c r="B35664" s="38">
        <v>70140.0</v>
      </c>
      <c r="C35664" s="38" t="s">
        <v>39790</v>
      </c>
      <c r="D35664" s="38" t="str">
        <f>IFERROR(__xludf.DUMMYFUNCTION("REGEXREPLACE(C35664,""-\d+(.*)|--\d+(.*)"","""")"),"CHATENEY")</f>
        <v>CHATENEY</v>
      </c>
      <c r="E35664" s="38" t="s">
        <v>956</v>
      </c>
      <c r="F35664" s="38" t="s">
        <v>214</v>
      </c>
      <c r="G35664" s="49" t="str">
        <f t="shared" si="1"/>
        <v>70240</v>
      </c>
      <c r="H35664" s="49">
        <f t="shared" si="2"/>
        <v>70140</v>
      </c>
    </row>
    <row r="35665">
      <c r="A35665" s="48" t="s">
        <v>12681</v>
      </c>
      <c r="B35665" s="38">
        <v>2199.0</v>
      </c>
      <c r="C35665" s="38" t="s">
        <v>39791</v>
      </c>
      <c r="D35665" s="38" t="str">
        <f>IFERROR(__xludf.DUMMYFUNCTION("REGEXREPLACE(C35665,""-\d+(.*)|--\d+(.*)"","""")"),"CLASTRES")</f>
        <v>CLASTRES</v>
      </c>
      <c r="E35665" s="38" t="s">
        <v>191</v>
      </c>
      <c r="F35665" s="38" t="s">
        <v>113</v>
      </c>
      <c r="G35665" s="49" t="str">
        <f t="shared" si="1"/>
        <v>02440</v>
      </c>
      <c r="H35665" s="49" t="str">
        <f t="shared" si="2"/>
        <v>02199</v>
      </c>
    </row>
    <row r="35666">
      <c r="A35666" s="48" t="s">
        <v>7712</v>
      </c>
      <c r="B35666" s="38">
        <v>9122.0</v>
      </c>
      <c r="C35666" s="38" t="s">
        <v>39792</v>
      </c>
      <c r="D35666" s="38" t="str">
        <f>IFERROR(__xludf.DUMMYFUNCTION("REGEXREPLACE(C35666,""-\d+(.*)|--\d+(.*)"","""")"),"FOIX")</f>
        <v>FOIX</v>
      </c>
      <c r="E35666" s="38" t="s">
        <v>238</v>
      </c>
      <c r="F35666" s="38" t="s">
        <v>94</v>
      </c>
      <c r="G35666" s="49" t="str">
        <f t="shared" si="1"/>
        <v>09000</v>
      </c>
      <c r="H35666" s="49" t="str">
        <f t="shared" si="2"/>
        <v>09122</v>
      </c>
    </row>
    <row r="35667">
      <c r="A35667" s="48" t="s">
        <v>734</v>
      </c>
      <c r="B35667" s="38">
        <v>54286.0</v>
      </c>
      <c r="C35667" s="38" t="s">
        <v>39793</v>
      </c>
      <c r="D35667" s="38" t="str">
        <f>IFERROR(__xludf.DUMMYFUNCTION("REGEXREPLACE(C35667,""-\d+(.*)|--\d+(.*)"","""")"),"LABRY")</f>
        <v>LABRY</v>
      </c>
      <c r="E35667" s="38" t="s">
        <v>548</v>
      </c>
      <c r="F35667" s="38" t="s">
        <v>195</v>
      </c>
      <c r="G35667" s="49" t="str">
        <f t="shared" si="1"/>
        <v>54800</v>
      </c>
      <c r="H35667" s="49">
        <f t="shared" si="2"/>
        <v>54286</v>
      </c>
    </row>
    <row r="35668">
      <c r="A35668" s="48" t="s">
        <v>2631</v>
      </c>
      <c r="B35668" s="38">
        <v>64378.0</v>
      </c>
      <c r="C35668" s="38" t="s">
        <v>39794</v>
      </c>
      <c r="D35668" s="38" t="str">
        <f>IFERROR(__xludf.DUMMYFUNCTION("REGEXREPLACE(C35668,""-\d+(.*)|--\d+(.*)"","""")"),"MENDITTE")</f>
        <v>MENDITTE</v>
      </c>
      <c r="E35668" s="38" t="s">
        <v>268</v>
      </c>
      <c r="F35668" s="38" t="s">
        <v>252</v>
      </c>
      <c r="G35668" s="49" t="str">
        <f t="shared" si="1"/>
        <v>64130</v>
      </c>
      <c r="H35668" s="49">
        <f t="shared" si="2"/>
        <v>64378</v>
      </c>
    </row>
    <row r="35669">
      <c r="A35669" s="48" t="s">
        <v>6937</v>
      </c>
      <c r="B35669" s="38">
        <v>33547.0</v>
      </c>
      <c r="C35669" s="38" t="s">
        <v>39795</v>
      </c>
      <c r="D35669" s="38" t="str">
        <f>IFERROR(__xludf.DUMMYFUNCTION("REGEXREPLACE(C35669,""-\d+(.*)|--\d+(.*)"","""")"),"VILLANDRAUT")</f>
        <v>VILLANDRAUT</v>
      </c>
      <c r="E35669" s="38" t="s">
        <v>462</v>
      </c>
      <c r="F35669" s="38" t="s">
        <v>252</v>
      </c>
      <c r="G35669" s="49" t="str">
        <f t="shared" si="1"/>
        <v>33730</v>
      </c>
      <c r="H35669" s="49">
        <f t="shared" si="2"/>
        <v>33547</v>
      </c>
    </row>
    <row r="35670">
      <c r="A35670" s="48" t="s">
        <v>10689</v>
      </c>
      <c r="B35670" s="38">
        <v>59468.0</v>
      </c>
      <c r="C35670" s="38" t="s">
        <v>39796</v>
      </c>
      <c r="D35670" s="38" t="str">
        <f>IFERROR(__xludf.DUMMYFUNCTION("REGEXREPLACE(C35670,""-\d+(.*)|--\d+(.*)"","""")"),"POTELLE")</f>
        <v>POTELLE</v>
      </c>
      <c r="E35670" s="38" t="s">
        <v>85</v>
      </c>
      <c r="F35670" s="38" t="s">
        <v>86</v>
      </c>
      <c r="G35670" s="49" t="str">
        <f t="shared" si="1"/>
        <v>59530</v>
      </c>
      <c r="H35670" s="49">
        <f t="shared" si="2"/>
        <v>59468</v>
      </c>
    </row>
    <row r="35671">
      <c r="A35671" s="48" t="s">
        <v>14362</v>
      </c>
      <c r="B35671" s="38">
        <v>56163.0</v>
      </c>
      <c r="C35671" s="38" t="s">
        <v>39797</v>
      </c>
      <c r="D35671" s="38" t="str">
        <f>IFERROR(__xludf.DUMMYFUNCTION("REGEXREPLACE(C35671,""-\d+(.*)|--\d+(.*)"","""")"),"PLOERDUT")</f>
        <v>PLOERDUT</v>
      </c>
      <c r="E35671" s="38" t="s">
        <v>173</v>
      </c>
      <c r="F35671" s="38" t="s">
        <v>90</v>
      </c>
      <c r="G35671" s="49" t="str">
        <f t="shared" si="1"/>
        <v>56160</v>
      </c>
      <c r="H35671" s="49">
        <f t="shared" si="2"/>
        <v>56163</v>
      </c>
    </row>
    <row r="35672">
      <c r="A35672" s="48" t="s">
        <v>32065</v>
      </c>
      <c r="B35672" s="38">
        <v>78133.0</v>
      </c>
      <c r="C35672" s="38" t="s">
        <v>39798</v>
      </c>
      <c r="D35672" s="38" t="str">
        <f>IFERROR(__xludf.DUMMYFUNCTION("REGEXREPLACE(C35672,""-\d+(.*)|--\d+(.*)"","""")"),"CHAMBOURCY")</f>
        <v>CHAMBOURCY</v>
      </c>
      <c r="E35672" s="38" t="s">
        <v>362</v>
      </c>
      <c r="F35672" s="38" t="s">
        <v>245</v>
      </c>
      <c r="G35672" s="49" t="str">
        <f t="shared" si="1"/>
        <v>78240</v>
      </c>
      <c r="H35672" s="49">
        <f t="shared" si="2"/>
        <v>78133</v>
      </c>
    </row>
    <row r="35673">
      <c r="A35673" s="48" t="s">
        <v>584</v>
      </c>
      <c r="B35673" s="38">
        <v>62131.0</v>
      </c>
      <c r="C35673" s="38" t="s">
        <v>39799</v>
      </c>
      <c r="D35673" s="38" t="str">
        <f>IFERROR(__xludf.DUMMYFUNCTION("REGEXREPLACE(C35673,""-\d+(.*)|--\d+(.*)"","""")"),"BIHUCOURT")</f>
        <v>BIHUCOURT</v>
      </c>
      <c r="E35673" s="38" t="s">
        <v>109</v>
      </c>
      <c r="F35673" s="38" t="s">
        <v>86</v>
      </c>
      <c r="G35673" s="49" t="str">
        <f t="shared" si="1"/>
        <v>62121</v>
      </c>
      <c r="H35673" s="49">
        <f t="shared" si="2"/>
        <v>62131</v>
      </c>
    </row>
    <row r="35674">
      <c r="A35674" s="48" t="s">
        <v>2775</v>
      </c>
      <c r="B35674" s="38">
        <v>59395.0</v>
      </c>
      <c r="C35674" s="38" t="s">
        <v>39800</v>
      </c>
      <c r="D35674" s="38" t="str">
        <f>IFERROR(__xludf.DUMMYFUNCTION("REGEXREPLACE(C35674,""-\d+(.*)|--\d+(.*)"","""")"),"MAZINGHIEN")</f>
        <v>MAZINGHIEN</v>
      </c>
      <c r="E35674" s="38" t="s">
        <v>85</v>
      </c>
      <c r="F35674" s="38" t="s">
        <v>86</v>
      </c>
      <c r="G35674" s="49" t="str">
        <f t="shared" si="1"/>
        <v>59360</v>
      </c>
      <c r="H35674" s="49">
        <f t="shared" si="2"/>
        <v>59395</v>
      </c>
    </row>
    <row r="35675">
      <c r="A35675" s="48" t="s">
        <v>39801</v>
      </c>
      <c r="B35675" s="38">
        <v>74080.0</v>
      </c>
      <c r="C35675" s="38" t="s">
        <v>39802</v>
      </c>
      <c r="D35675" s="38" t="str">
        <f>IFERROR(__xludf.DUMMYFUNCTION("REGEXREPLACE(C35675,""-\d+(.*)|--\d+(.*)"","""")"),"LA CLUSAZ")</f>
        <v>LA CLUSAZ</v>
      </c>
      <c r="E35675" s="38" t="s">
        <v>319</v>
      </c>
      <c r="F35675" s="38" t="s">
        <v>102</v>
      </c>
      <c r="G35675" s="49" t="str">
        <f t="shared" si="1"/>
        <v>74220</v>
      </c>
      <c r="H35675" s="49">
        <f t="shared" si="2"/>
        <v>74080</v>
      </c>
    </row>
    <row r="35676">
      <c r="A35676" s="48" t="s">
        <v>2184</v>
      </c>
      <c r="B35676" s="38">
        <v>45311.0</v>
      </c>
      <c r="C35676" s="38" t="s">
        <v>39803</v>
      </c>
      <c r="D35676" s="38" t="str">
        <f>IFERROR(__xludf.DUMMYFUNCTION("REGEXREPLACE(C35676,""-\d+(.*)|--\d+(.*)"","""")"),"SIGLOY")</f>
        <v>SIGLOY</v>
      </c>
      <c r="E35676" s="38" t="s">
        <v>122</v>
      </c>
      <c r="F35676" s="38" t="s">
        <v>123</v>
      </c>
      <c r="G35676" s="49" t="str">
        <f t="shared" si="1"/>
        <v>45110</v>
      </c>
      <c r="H35676" s="49">
        <f t="shared" si="2"/>
        <v>45311</v>
      </c>
    </row>
    <row r="35677">
      <c r="A35677" s="48" t="s">
        <v>10705</v>
      </c>
      <c r="B35677" s="38">
        <v>64299.0</v>
      </c>
      <c r="C35677" s="38" t="s">
        <v>39804</v>
      </c>
      <c r="D35677" s="38" t="str">
        <f>IFERROR(__xludf.DUMMYFUNCTION("REGEXREPLACE(C35677,""-\d+(.*)|--\d+(.*)"","""")"),"LACOMMANDE")</f>
        <v>LACOMMANDE</v>
      </c>
      <c r="E35677" s="38" t="s">
        <v>268</v>
      </c>
      <c r="F35677" s="38" t="s">
        <v>252</v>
      </c>
      <c r="G35677" s="49" t="str">
        <f t="shared" si="1"/>
        <v>64360</v>
      </c>
      <c r="H35677" s="49">
        <f t="shared" si="2"/>
        <v>64299</v>
      </c>
    </row>
    <row r="35678">
      <c r="A35678" s="48" t="s">
        <v>7263</v>
      </c>
      <c r="B35678" s="38">
        <v>88342.0</v>
      </c>
      <c r="C35678" s="38" t="s">
        <v>39805</v>
      </c>
      <c r="D35678" s="38" t="str">
        <f>IFERROR(__xludf.DUMMYFUNCTION("REGEXREPLACE(C35678,""-\d+(.*)|--\d+(.*)"","""")"),"PALLEGNEY")</f>
        <v>PALLEGNEY</v>
      </c>
      <c r="E35678" s="38" t="s">
        <v>194</v>
      </c>
      <c r="F35678" s="38" t="s">
        <v>195</v>
      </c>
      <c r="G35678" s="49" t="str">
        <f t="shared" si="1"/>
        <v>88330</v>
      </c>
      <c r="H35678" s="49">
        <f t="shared" si="2"/>
        <v>88342</v>
      </c>
    </row>
    <row r="35679">
      <c r="A35679" s="48" t="s">
        <v>1058</v>
      </c>
      <c r="B35679" s="38">
        <v>21708.0</v>
      </c>
      <c r="C35679" s="38" t="s">
        <v>39806</v>
      </c>
      <c r="D35679" s="38" t="str">
        <f>IFERROR(__xludf.DUMMYFUNCTION("REGEXREPLACE(C35679,""-\d+(.*)|--\d+(.*)"","""")"),"VILLY-LE-MOUTIER")</f>
        <v>VILLY-LE-MOUTIER</v>
      </c>
      <c r="E35679" s="38" t="s">
        <v>105</v>
      </c>
      <c r="F35679" s="38" t="s">
        <v>106</v>
      </c>
      <c r="G35679" s="49" t="str">
        <f t="shared" si="1"/>
        <v>21250</v>
      </c>
      <c r="H35679" s="49">
        <f t="shared" si="2"/>
        <v>21708</v>
      </c>
    </row>
    <row r="35680">
      <c r="A35680" s="48" t="s">
        <v>181</v>
      </c>
      <c r="B35680" s="38">
        <v>51305.0</v>
      </c>
      <c r="C35680" s="38" t="s">
        <v>33494</v>
      </c>
      <c r="D35680" s="38" t="str">
        <f>IFERROR(__xludf.DUMMYFUNCTION("REGEXREPLACE(C35680,""-\d+(.*)|--\d+(.*)"","""")"),"JANVRY")</f>
        <v>JANVRY</v>
      </c>
      <c r="E35680" s="38" t="s">
        <v>129</v>
      </c>
      <c r="F35680" s="38" t="s">
        <v>130</v>
      </c>
      <c r="G35680" s="49" t="str">
        <f t="shared" si="1"/>
        <v>51390</v>
      </c>
      <c r="H35680" s="49">
        <f t="shared" si="2"/>
        <v>51305</v>
      </c>
    </row>
    <row r="35681">
      <c r="A35681" s="48" t="s">
        <v>1588</v>
      </c>
      <c r="B35681" s="38">
        <v>9069.0</v>
      </c>
      <c r="C35681" s="38" t="s">
        <v>39807</v>
      </c>
      <c r="D35681" s="38" t="str">
        <f>IFERROR(__xludf.DUMMYFUNCTION("REGEXREPLACE(C35681,""-\d+(.*)|--\d+(.*)"","""")"),"BUZAN")</f>
        <v>BUZAN</v>
      </c>
      <c r="E35681" s="38" t="s">
        <v>238</v>
      </c>
      <c r="F35681" s="38" t="s">
        <v>94</v>
      </c>
      <c r="G35681" s="49" t="str">
        <f t="shared" si="1"/>
        <v>09800</v>
      </c>
      <c r="H35681" s="49" t="str">
        <f t="shared" si="2"/>
        <v>09069</v>
      </c>
    </row>
    <row r="35682">
      <c r="A35682" s="48" t="s">
        <v>10334</v>
      </c>
      <c r="B35682" s="38">
        <v>68189.0</v>
      </c>
      <c r="C35682" s="38" t="s">
        <v>39808</v>
      </c>
      <c r="D35682" s="38" t="str">
        <f>IFERROR(__xludf.DUMMYFUNCTION("REGEXREPLACE(C35682,""-\d+(.*)|--\d+(.*)"","""")"),"LOGELHEIM")</f>
        <v>LOGELHEIM</v>
      </c>
      <c r="E35682" s="38" t="s">
        <v>150</v>
      </c>
      <c r="F35682" s="38" t="s">
        <v>151</v>
      </c>
      <c r="G35682" s="49" t="str">
        <f t="shared" si="1"/>
        <v>68280</v>
      </c>
      <c r="H35682" s="49">
        <f t="shared" si="2"/>
        <v>68189</v>
      </c>
    </row>
    <row r="35683">
      <c r="A35683" s="48" t="s">
        <v>1887</v>
      </c>
      <c r="B35683" s="38">
        <v>88123.0</v>
      </c>
      <c r="C35683" s="38" t="s">
        <v>39809</v>
      </c>
      <c r="D35683" s="38" t="str">
        <f>IFERROR(__xludf.DUMMYFUNCTION("REGEXREPLACE(C35683,""-\d+(.*)|--\d+(.*)"","""")"),"DAMBLAIN")</f>
        <v>DAMBLAIN</v>
      </c>
      <c r="E35683" s="38" t="s">
        <v>194</v>
      </c>
      <c r="F35683" s="38" t="s">
        <v>195</v>
      </c>
      <c r="G35683" s="49" t="str">
        <f t="shared" si="1"/>
        <v>88320</v>
      </c>
      <c r="H35683" s="49">
        <f t="shared" si="2"/>
        <v>88123</v>
      </c>
    </row>
    <row r="35684">
      <c r="A35684" s="48" t="s">
        <v>19293</v>
      </c>
      <c r="B35684" s="38">
        <v>18123.0</v>
      </c>
      <c r="C35684" s="38" t="s">
        <v>39810</v>
      </c>
      <c r="D35684" s="38" t="str">
        <f>IFERROR(__xludf.DUMMYFUNCTION("REGEXREPLACE(C35684,""-\d+(.*)|--\d+(.*)"","""")"),"LAVERDINES")</f>
        <v>LAVERDINES</v>
      </c>
      <c r="E35684" s="38" t="s">
        <v>504</v>
      </c>
      <c r="F35684" s="38" t="s">
        <v>123</v>
      </c>
      <c r="G35684" s="49" t="str">
        <f t="shared" si="1"/>
        <v>18800</v>
      </c>
      <c r="H35684" s="49">
        <f t="shared" si="2"/>
        <v>18123</v>
      </c>
    </row>
    <row r="35685">
      <c r="A35685" s="48" t="s">
        <v>196</v>
      </c>
      <c r="B35685" s="38">
        <v>2031.0</v>
      </c>
      <c r="C35685" s="38" t="s">
        <v>39811</v>
      </c>
      <c r="D35685" s="38" t="str">
        <f>IFERROR(__xludf.DUMMYFUNCTION("REGEXREPLACE(C35685,""-\d+(.*)|--\d+(.*)"","""")"),"AUBENTON")</f>
        <v>AUBENTON</v>
      </c>
      <c r="E35685" s="38" t="s">
        <v>191</v>
      </c>
      <c r="F35685" s="38" t="s">
        <v>113</v>
      </c>
      <c r="G35685" s="49" t="str">
        <f t="shared" si="1"/>
        <v>02500</v>
      </c>
      <c r="H35685" s="49" t="str">
        <f t="shared" si="2"/>
        <v>02031</v>
      </c>
    </row>
    <row r="35686">
      <c r="A35686" s="48" t="s">
        <v>1018</v>
      </c>
      <c r="B35686" s="38">
        <v>60630.0</v>
      </c>
      <c r="C35686" s="38" t="s">
        <v>39812</v>
      </c>
      <c r="D35686" s="38" t="str">
        <f>IFERROR(__xludf.DUMMYFUNCTION("REGEXREPLACE(C35686,""-\d+(.*)|--\d+(.*)"","""")"),"THIBIVILLERS")</f>
        <v>THIBIVILLERS</v>
      </c>
      <c r="E35686" s="38" t="s">
        <v>112</v>
      </c>
      <c r="F35686" s="38" t="s">
        <v>113</v>
      </c>
      <c r="G35686" s="49" t="str">
        <f t="shared" si="1"/>
        <v>60240</v>
      </c>
      <c r="H35686" s="49">
        <f t="shared" si="2"/>
        <v>60630</v>
      </c>
    </row>
    <row r="35687">
      <c r="A35687" s="48" t="s">
        <v>1754</v>
      </c>
      <c r="B35687" s="38">
        <v>14028.0</v>
      </c>
      <c r="C35687" s="38" t="s">
        <v>39813</v>
      </c>
      <c r="D35687" s="38" t="str">
        <f>IFERROR(__xludf.DUMMYFUNCTION("REGEXREPLACE(C35687,""-\d+(.*)|--\d+(.*)"","""")"),"AUQUAINVILLE")</f>
        <v>AUQUAINVILLE</v>
      </c>
      <c r="E35687" s="38" t="s">
        <v>137</v>
      </c>
      <c r="F35687" s="38" t="s">
        <v>138</v>
      </c>
      <c r="G35687" s="49" t="str">
        <f t="shared" si="1"/>
        <v>14140</v>
      </c>
      <c r="H35687" s="49">
        <f t="shared" si="2"/>
        <v>14028</v>
      </c>
    </row>
    <row r="35688">
      <c r="A35688" s="48" t="s">
        <v>8359</v>
      </c>
      <c r="B35688" s="38">
        <v>89319.0</v>
      </c>
      <c r="C35688" s="38" t="s">
        <v>39814</v>
      </c>
      <c r="D35688" s="38" t="str">
        <f>IFERROR(__xludf.DUMMYFUNCTION("REGEXREPLACE(C35688,""-\d+(.*)|--\d+(.*)"","""")"),"QUENNE")</f>
        <v>QUENNE</v>
      </c>
      <c r="E35688" s="38" t="s">
        <v>275</v>
      </c>
      <c r="F35688" s="38" t="s">
        <v>106</v>
      </c>
      <c r="G35688" s="49" t="str">
        <f t="shared" si="1"/>
        <v>89290</v>
      </c>
      <c r="H35688" s="49">
        <f t="shared" si="2"/>
        <v>89319</v>
      </c>
    </row>
    <row r="35689">
      <c r="A35689" s="48" t="s">
        <v>39221</v>
      </c>
      <c r="B35689" s="38">
        <v>69207.0</v>
      </c>
      <c r="C35689" s="38" t="s">
        <v>39815</v>
      </c>
      <c r="D35689" s="38" t="str">
        <f>IFERROR(__xludf.DUMMYFUNCTION("REGEXREPLACE(C35689,""-\d+(.*)|--\d+(.*)"","""")"),"SAINT-GERMAIN-AU-MONT-D'OR")</f>
        <v>SAINT-GERMAIN-AU-MONT-D'OR</v>
      </c>
      <c r="E35689" s="38" t="s">
        <v>350</v>
      </c>
      <c r="F35689" s="38" t="s">
        <v>102</v>
      </c>
      <c r="G35689" s="49" t="str">
        <f t="shared" si="1"/>
        <v>69650</v>
      </c>
      <c r="H35689" s="49">
        <f t="shared" si="2"/>
        <v>69207</v>
      </c>
    </row>
    <row r="35690">
      <c r="A35690" s="48" t="s">
        <v>8510</v>
      </c>
      <c r="B35690" s="38">
        <v>39388.0</v>
      </c>
      <c r="C35690" s="38" t="s">
        <v>39816</v>
      </c>
      <c r="D35690" s="38" t="str">
        <f>IFERROR(__xludf.DUMMYFUNCTION("REGEXREPLACE(C35690,""-\d+(.*)|--\d+(.*)"","""")"),"NEVY-SUR-SEILLE")</f>
        <v>NEVY-SUR-SEILLE</v>
      </c>
      <c r="E35690" s="38" t="s">
        <v>400</v>
      </c>
      <c r="F35690" s="38" t="s">
        <v>214</v>
      </c>
      <c r="G35690" s="49" t="str">
        <f t="shared" si="1"/>
        <v>39210</v>
      </c>
      <c r="H35690" s="49">
        <f t="shared" si="2"/>
        <v>39388</v>
      </c>
    </row>
    <row r="35691">
      <c r="A35691" s="48" t="s">
        <v>3502</v>
      </c>
      <c r="B35691" s="38">
        <v>22095.0</v>
      </c>
      <c r="C35691" s="38" t="s">
        <v>39817</v>
      </c>
      <c r="D35691" s="38" t="str">
        <f>IFERROR(__xludf.DUMMYFUNCTION("REGEXREPLACE(C35691,""-\d+(.*)|--\d+(.*)"","""")"),"LANDEBAERON")</f>
        <v>LANDEBAERON</v>
      </c>
      <c r="E35691" s="38" t="s">
        <v>89</v>
      </c>
      <c r="F35691" s="38" t="s">
        <v>90</v>
      </c>
      <c r="G35691" s="49" t="str">
        <f t="shared" si="1"/>
        <v>22140</v>
      </c>
      <c r="H35691" s="49">
        <f t="shared" si="2"/>
        <v>22095</v>
      </c>
    </row>
    <row r="35692">
      <c r="A35692" s="48" t="s">
        <v>2773</v>
      </c>
      <c r="B35692" s="38">
        <v>21201.0</v>
      </c>
      <c r="C35692" s="38" t="s">
        <v>39818</v>
      </c>
      <c r="D35692" s="38" t="str">
        <f>IFERROR(__xludf.DUMMYFUNCTION("REGEXREPLACE(C35692,""-\d+(.*)|--\d+(.*)"","""")"),"COULMIER-LE-SEC")</f>
        <v>COULMIER-LE-SEC</v>
      </c>
      <c r="E35692" s="38" t="s">
        <v>105</v>
      </c>
      <c r="F35692" s="38" t="s">
        <v>106</v>
      </c>
      <c r="G35692" s="49" t="str">
        <f t="shared" si="1"/>
        <v>21400</v>
      </c>
      <c r="H35692" s="49">
        <f t="shared" si="2"/>
        <v>21201</v>
      </c>
    </row>
    <row r="35693">
      <c r="A35693" s="48" t="s">
        <v>35805</v>
      </c>
      <c r="B35693" s="38">
        <v>88116.0</v>
      </c>
      <c r="C35693" s="38" t="s">
        <v>39819</v>
      </c>
      <c r="D35693" s="38" t="str">
        <f>IFERROR(__xludf.DUMMYFUNCTION("REGEXREPLACE(C35693,""-\d+(.*)|--\d+(.*)"","""")"),"CORNIMONT")</f>
        <v>CORNIMONT</v>
      </c>
      <c r="E35693" s="38" t="s">
        <v>194</v>
      </c>
      <c r="F35693" s="38" t="s">
        <v>195</v>
      </c>
      <c r="G35693" s="49" t="str">
        <f t="shared" si="1"/>
        <v>88310</v>
      </c>
      <c r="H35693" s="49">
        <f t="shared" si="2"/>
        <v>88116</v>
      </c>
    </row>
    <row r="35694">
      <c r="A35694" s="48" t="s">
        <v>5166</v>
      </c>
      <c r="B35694" s="38">
        <v>26164.0</v>
      </c>
      <c r="C35694" s="38" t="s">
        <v>39820</v>
      </c>
      <c r="D35694" s="38" t="str">
        <f>IFERROR(__xludf.DUMMYFUNCTION("REGEXREPLACE(C35694,""-\d+(.*)|--\d+(.*)"","""")"),"LESCHES-EN-DIOIS")</f>
        <v>LESCHES-EN-DIOIS</v>
      </c>
      <c r="E35694" s="38" t="s">
        <v>126</v>
      </c>
      <c r="F35694" s="38" t="s">
        <v>102</v>
      </c>
      <c r="G35694" s="49" t="str">
        <f t="shared" si="1"/>
        <v>26310</v>
      </c>
      <c r="H35694" s="49">
        <f t="shared" si="2"/>
        <v>26164</v>
      </c>
    </row>
    <row r="35695">
      <c r="A35695" s="48" t="s">
        <v>438</v>
      </c>
      <c r="B35695" s="38">
        <v>32260.0</v>
      </c>
      <c r="C35695" s="38" t="s">
        <v>39821</v>
      </c>
      <c r="D35695" s="38" t="str">
        <f>IFERROR(__xludf.DUMMYFUNCTION("REGEXREPLACE(C35695,""-\d+(.*)|--\d+(.*)"","""")"),"MONBARDON")</f>
        <v>MONBARDON</v>
      </c>
      <c r="E35695" s="38" t="s">
        <v>440</v>
      </c>
      <c r="F35695" s="38" t="s">
        <v>94</v>
      </c>
      <c r="G35695" s="49" t="str">
        <f t="shared" si="1"/>
        <v>32420</v>
      </c>
      <c r="H35695" s="49">
        <f t="shared" si="2"/>
        <v>32260</v>
      </c>
    </row>
    <row r="35696">
      <c r="A35696" s="48" t="s">
        <v>2803</v>
      </c>
      <c r="B35696" s="38">
        <v>80298.0</v>
      </c>
      <c r="C35696" s="38" t="s">
        <v>39822</v>
      </c>
      <c r="D35696" s="38" t="str">
        <f>IFERROR(__xludf.DUMMYFUNCTION("REGEXREPLACE(C35696,""-\d+(.*)|--\d+(.*)"","""")"),"ETRICOURT-MANANCOURT")</f>
        <v>ETRICOURT-MANANCOURT</v>
      </c>
      <c r="E35696" s="38" t="s">
        <v>224</v>
      </c>
      <c r="F35696" s="38" t="s">
        <v>113</v>
      </c>
      <c r="G35696" s="49" t="str">
        <f t="shared" si="1"/>
        <v>80360</v>
      </c>
      <c r="H35696" s="49">
        <f t="shared" si="2"/>
        <v>80298</v>
      </c>
    </row>
    <row r="35697">
      <c r="A35697" s="48" t="s">
        <v>4893</v>
      </c>
      <c r="B35697" s="38">
        <v>56137.0</v>
      </c>
      <c r="C35697" s="38" t="s">
        <v>39823</v>
      </c>
      <c r="D35697" s="38" t="str">
        <f>IFERROR(__xludf.DUMMYFUNCTION("REGEXREPLACE(C35697,""-\d+(.*)|--\d+(.*)"","""")"),"MONTERBLANC")</f>
        <v>MONTERBLANC</v>
      </c>
      <c r="E35697" s="38" t="s">
        <v>173</v>
      </c>
      <c r="F35697" s="38" t="s">
        <v>90</v>
      </c>
      <c r="G35697" s="49" t="str">
        <f t="shared" si="1"/>
        <v>56250</v>
      </c>
      <c r="H35697" s="49">
        <f t="shared" si="2"/>
        <v>56137</v>
      </c>
    </row>
    <row r="35698">
      <c r="A35698" s="48" t="s">
        <v>2186</v>
      </c>
      <c r="B35698" s="38">
        <v>26079.0</v>
      </c>
      <c r="C35698" s="38" t="s">
        <v>39824</v>
      </c>
      <c r="D35698" s="38" t="str">
        <f>IFERROR(__xludf.DUMMYFUNCTION("REGEXREPLACE(C35698,""-\d+(.*)|--\d+(.*)"","""")"),"CHARPEY")</f>
        <v>CHARPEY</v>
      </c>
      <c r="E35698" s="38" t="s">
        <v>126</v>
      </c>
      <c r="F35698" s="38" t="s">
        <v>102</v>
      </c>
      <c r="G35698" s="49" t="str">
        <f t="shared" si="1"/>
        <v>26300</v>
      </c>
      <c r="H35698" s="49">
        <f t="shared" si="2"/>
        <v>26079</v>
      </c>
    </row>
    <row r="35699">
      <c r="A35699" s="48" t="s">
        <v>3914</v>
      </c>
      <c r="B35699" s="38">
        <v>34086.0</v>
      </c>
      <c r="C35699" s="38" t="s">
        <v>39825</v>
      </c>
      <c r="D35699" s="38" t="str">
        <f>IFERROR(__xludf.DUMMYFUNCTION("REGEXREPLACE(C35699,""-\d+(.*)|--\d+(.*)"","""")"),"COURNIOU")</f>
        <v>COURNIOU</v>
      </c>
      <c r="E35699" s="38" t="s">
        <v>118</v>
      </c>
      <c r="F35699" s="38" t="s">
        <v>119</v>
      </c>
      <c r="G35699" s="49" t="str">
        <f t="shared" si="1"/>
        <v>34220</v>
      </c>
      <c r="H35699" s="49">
        <f t="shared" si="2"/>
        <v>34086</v>
      </c>
    </row>
    <row r="35700">
      <c r="A35700" s="48" t="s">
        <v>386</v>
      </c>
      <c r="B35700" s="38">
        <v>21320.0</v>
      </c>
      <c r="C35700" s="38" t="s">
        <v>39826</v>
      </c>
      <c r="D35700" s="38" t="str">
        <f>IFERROR(__xludf.DUMMYFUNCTION("REGEXREPLACE(C35700,""-\d+(.*)|--\d+(.*)"","""")"),"IZIER")</f>
        <v>IZIER</v>
      </c>
      <c r="E35700" s="38" t="s">
        <v>105</v>
      </c>
      <c r="F35700" s="38" t="s">
        <v>106</v>
      </c>
      <c r="G35700" s="49" t="str">
        <f t="shared" si="1"/>
        <v>21110</v>
      </c>
      <c r="H35700" s="49">
        <f t="shared" si="2"/>
        <v>21320</v>
      </c>
    </row>
    <row r="35701">
      <c r="A35701" s="48" t="s">
        <v>1029</v>
      </c>
      <c r="B35701" s="38">
        <v>9302.0</v>
      </c>
      <c r="C35701" s="38" t="s">
        <v>39827</v>
      </c>
      <c r="D35701" s="38" t="str">
        <f>IFERROR(__xludf.DUMMYFUNCTION("REGEXREPLACE(C35701,""-\d+(.*)|--\d+(.*)"","""")"),"SUC-ET-SENTENAC")</f>
        <v>SUC-ET-SENTENAC</v>
      </c>
      <c r="E35701" s="38" t="s">
        <v>238</v>
      </c>
      <c r="F35701" s="38" t="s">
        <v>94</v>
      </c>
      <c r="G35701" s="49" t="str">
        <f t="shared" si="1"/>
        <v>09220</v>
      </c>
      <c r="H35701" s="49" t="str">
        <f t="shared" si="2"/>
        <v>09302</v>
      </c>
    </row>
    <row r="35702">
      <c r="A35702" s="48" t="s">
        <v>8069</v>
      </c>
      <c r="B35702" s="38">
        <v>60429.0</v>
      </c>
      <c r="C35702" s="38" t="s">
        <v>39828</v>
      </c>
      <c r="D35702" s="38" t="str">
        <f>IFERROR(__xludf.DUMMYFUNCTION("REGEXREPLACE(C35702,""-\d+(.*)|--\d+(.*)"","""")"),"MORANGLES")</f>
        <v>MORANGLES</v>
      </c>
      <c r="E35702" s="38" t="s">
        <v>112</v>
      </c>
      <c r="F35702" s="38" t="s">
        <v>113</v>
      </c>
      <c r="G35702" s="49" t="str">
        <f t="shared" si="1"/>
        <v>60530</v>
      </c>
      <c r="H35702" s="49">
        <f t="shared" si="2"/>
        <v>60429</v>
      </c>
    </row>
    <row r="35703">
      <c r="A35703" s="48" t="s">
        <v>16457</v>
      </c>
      <c r="B35703" s="38">
        <v>57122.0</v>
      </c>
      <c r="C35703" s="38" t="s">
        <v>39829</v>
      </c>
      <c r="D35703" s="38" t="str">
        <f>IFERROR(__xludf.DUMMYFUNCTION("REGEXREPLACE(C35703,""-\d+(.*)|--\d+(.*)"","""")"),"CAPPEL")</f>
        <v>CAPPEL</v>
      </c>
      <c r="E35703" s="38" t="s">
        <v>303</v>
      </c>
      <c r="F35703" s="38" t="s">
        <v>195</v>
      </c>
      <c r="G35703" s="49" t="str">
        <f t="shared" si="1"/>
        <v>57450</v>
      </c>
      <c r="H35703" s="49">
        <f t="shared" si="2"/>
        <v>57122</v>
      </c>
    </row>
    <row r="35704">
      <c r="A35704" s="48" t="s">
        <v>6073</v>
      </c>
      <c r="B35704" s="38">
        <v>40086.0</v>
      </c>
      <c r="C35704" s="38" t="s">
        <v>39830</v>
      </c>
      <c r="D35704" s="38" t="str">
        <f>IFERROR(__xludf.DUMMYFUNCTION("REGEXREPLACE(C35704,""-\d+(.*)|--\d+(.*)"","""")"),"COUDURES")</f>
        <v>COUDURES</v>
      </c>
      <c r="E35704" s="38" t="s">
        <v>281</v>
      </c>
      <c r="F35704" s="38" t="s">
        <v>252</v>
      </c>
      <c r="G35704" s="49" t="str">
        <f t="shared" si="1"/>
        <v>40500</v>
      </c>
      <c r="H35704" s="49">
        <f t="shared" si="2"/>
        <v>40086</v>
      </c>
    </row>
    <row r="35705">
      <c r="A35705" s="48" t="s">
        <v>2130</v>
      </c>
      <c r="B35705" s="38">
        <v>62021.0</v>
      </c>
      <c r="C35705" s="38" t="s">
        <v>39831</v>
      </c>
      <c r="D35705" s="38" t="str">
        <f>IFERROR(__xludf.DUMMYFUNCTION("REGEXREPLACE(C35705,""-\d+(.*)|--\d+(.*)"","""")"),"ALETTE")</f>
        <v>ALETTE</v>
      </c>
      <c r="E35705" s="38" t="s">
        <v>109</v>
      </c>
      <c r="F35705" s="38" t="s">
        <v>86</v>
      </c>
      <c r="G35705" s="49" t="str">
        <f t="shared" si="1"/>
        <v>62650</v>
      </c>
      <c r="H35705" s="49">
        <f t="shared" si="2"/>
        <v>62021</v>
      </c>
    </row>
    <row r="35706">
      <c r="A35706" s="48" t="s">
        <v>311</v>
      </c>
      <c r="B35706" s="38">
        <v>31411.0</v>
      </c>
      <c r="C35706" s="38" t="s">
        <v>39832</v>
      </c>
      <c r="D35706" s="38" t="str">
        <f>IFERROR(__xludf.DUMMYFUNCTION("REGEXREPLACE(C35706,""-\d+(.*)|--\d+(.*)"","""")"),"PECHBUSQUE")</f>
        <v>PECHBUSQUE</v>
      </c>
      <c r="E35706" s="38" t="s">
        <v>93</v>
      </c>
      <c r="F35706" s="38" t="s">
        <v>94</v>
      </c>
      <c r="G35706" s="49" t="str">
        <f t="shared" si="1"/>
        <v>31320</v>
      </c>
      <c r="H35706" s="49">
        <f t="shared" si="2"/>
        <v>31411</v>
      </c>
    </row>
    <row r="35707">
      <c r="A35707" s="48" t="s">
        <v>7639</v>
      </c>
      <c r="B35707" s="38">
        <v>11385.0</v>
      </c>
      <c r="C35707" s="38" t="s">
        <v>39833</v>
      </c>
      <c r="D35707" s="38" t="str">
        <f>IFERROR(__xludf.DUMMYFUNCTION("REGEXREPLACE(C35707,""-\d+(.*)|--\d+(.*)"","""")"),"SOUPEX")</f>
        <v>SOUPEX</v>
      </c>
      <c r="E35707" s="38" t="s">
        <v>278</v>
      </c>
      <c r="F35707" s="38" t="s">
        <v>119</v>
      </c>
      <c r="G35707" s="49" t="str">
        <f t="shared" si="1"/>
        <v>11320</v>
      </c>
      <c r="H35707" s="49">
        <f t="shared" si="2"/>
        <v>11385</v>
      </c>
    </row>
    <row r="35708">
      <c r="A35708" s="48" t="s">
        <v>1317</v>
      </c>
      <c r="B35708" s="38">
        <v>8027.0</v>
      </c>
      <c r="C35708" s="38" t="s">
        <v>39834</v>
      </c>
      <c r="D35708" s="38" t="str">
        <f>IFERROR(__xludf.DUMMYFUNCTION("REGEXREPLACE(C35708,""-\d+(.*)|--\d+(.*)"","""")"),"AUBONCOURT-VAUZELLES")</f>
        <v>AUBONCOURT-VAUZELLES</v>
      </c>
      <c r="E35708" s="38" t="s">
        <v>327</v>
      </c>
      <c r="F35708" s="38" t="s">
        <v>130</v>
      </c>
      <c r="G35708" s="49" t="str">
        <f t="shared" si="1"/>
        <v>08270</v>
      </c>
      <c r="H35708" s="49" t="str">
        <f t="shared" si="2"/>
        <v>08027</v>
      </c>
    </row>
    <row r="35709">
      <c r="A35709" s="48" t="s">
        <v>6019</v>
      </c>
      <c r="B35709" s="38">
        <v>39528.0</v>
      </c>
      <c r="C35709" s="38" t="s">
        <v>39835</v>
      </c>
      <c r="D35709" s="38" t="str">
        <f>IFERROR(__xludf.DUMMYFUNCTION("REGEXREPLACE(C35709,""-\d+(.*)|--\d+(.*)"","""")"),"THERVAY")</f>
        <v>THERVAY</v>
      </c>
      <c r="E35709" s="38" t="s">
        <v>400</v>
      </c>
      <c r="F35709" s="38" t="s">
        <v>214</v>
      </c>
      <c r="G35709" s="49" t="str">
        <f t="shared" si="1"/>
        <v>39290</v>
      </c>
      <c r="H35709" s="49">
        <f t="shared" si="2"/>
        <v>39528</v>
      </c>
    </row>
    <row r="35710">
      <c r="A35710" s="48" t="s">
        <v>11319</v>
      </c>
      <c r="B35710" s="38">
        <v>51605.0</v>
      </c>
      <c r="C35710" s="38" t="s">
        <v>39836</v>
      </c>
      <c r="D35710" s="38" t="str">
        <f>IFERROR(__xludf.DUMMYFUNCTION("REGEXREPLACE(C35710,""-\d+(.*)|--\d+(.*)"","""")"),"VENTEUIL")</f>
        <v>VENTEUIL</v>
      </c>
      <c r="E35710" s="38" t="s">
        <v>129</v>
      </c>
      <c r="F35710" s="38" t="s">
        <v>130</v>
      </c>
      <c r="G35710" s="49" t="str">
        <f t="shared" si="1"/>
        <v>51480</v>
      </c>
      <c r="H35710" s="49">
        <f t="shared" si="2"/>
        <v>51605</v>
      </c>
    </row>
    <row r="35711">
      <c r="A35711" s="48" t="s">
        <v>732</v>
      </c>
      <c r="B35711" s="38">
        <v>10361.0</v>
      </c>
      <c r="C35711" s="38" t="s">
        <v>39837</v>
      </c>
      <c r="D35711" s="38" t="str">
        <f>IFERROR(__xludf.DUMMYFUNCTION("REGEXREPLACE(C35711,""-\d+(.*)|--\d+(.*)"","""")"),"SAINT-REMY-SOUS-BARBUISE")</f>
        <v>SAINT-REMY-SOUS-BARBUISE</v>
      </c>
      <c r="E35711" s="38" t="s">
        <v>147</v>
      </c>
      <c r="F35711" s="38" t="s">
        <v>130</v>
      </c>
      <c r="G35711" s="49" t="str">
        <f t="shared" si="1"/>
        <v>10700</v>
      </c>
      <c r="H35711" s="49">
        <f t="shared" si="2"/>
        <v>10361</v>
      </c>
    </row>
    <row r="35712">
      <c r="A35712" s="48" t="s">
        <v>1031</v>
      </c>
      <c r="B35712" s="38">
        <v>2755.0</v>
      </c>
      <c r="C35712" s="38" t="s">
        <v>39838</v>
      </c>
      <c r="D35712" s="38" t="str">
        <f>IFERROR(__xludf.DUMMYFUNCTION("REGEXREPLACE(C35712,""-\d+(.*)|--\d+(.*)"","""")"),"URCEL")</f>
        <v>URCEL</v>
      </c>
      <c r="E35712" s="38" t="s">
        <v>191</v>
      </c>
      <c r="F35712" s="38" t="s">
        <v>113</v>
      </c>
      <c r="G35712" s="49" t="str">
        <f t="shared" si="1"/>
        <v>02000</v>
      </c>
      <c r="H35712" s="49" t="str">
        <f t="shared" si="2"/>
        <v>02755</v>
      </c>
    </row>
    <row r="35713">
      <c r="A35713" s="48" t="s">
        <v>1754</v>
      </c>
      <c r="B35713" s="38">
        <v>14425.0</v>
      </c>
      <c r="C35713" s="38" t="s">
        <v>23613</v>
      </c>
      <c r="D35713" s="38" t="str">
        <f>IFERROR(__xludf.DUMMYFUNCTION("REGEXREPLACE(C35713,""-\d+(.*)|--\d+(.*)"","""")"),"LE MESNIL-SIMON")</f>
        <v>LE MESNIL-SIMON</v>
      </c>
      <c r="E35713" s="38" t="s">
        <v>137</v>
      </c>
      <c r="F35713" s="38" t="s">
        <v>138</v>
      </c>
      <c r="G35713" s="49" t="str">
        <f t="shared" si="1"/>
        <v>14140</v>
      </c>
      <c r="H35713" s="49">
        <f t="shared" si="2"/>
        <v>14425</v>
      </c>
    </row>
    <row r="35714">
      <c r="A35714" s="48" t="s">
        <v>2983</v>
      </c>
      <c r="B35714" s="38">
        <v>86009.0</v>
      </c>
      <c r="C35714" s="38" t="s">
        <v>39839</v>
      </c>
      <c r="D35714" s="38" t="str">
        <f>IFERROR(__xludf.DUMMYFUNCTION("REGEXREPLACE(C35714,""-\d+(.*)|--\d+(.*)"","""")"),"ARCHIGNY")</f>
        <v>ARCHIGNY</v>
      </c>
      <c r="E35714" s="38" t="s">
        <v>529</v>
      </c>
      <c r="F35714" s="38" t="s">
        <v>338</v>
      </c>
      <c r="G35714" s="49" t="str">
        <f t="shared" si="1"/>
        <v>86210</v>
      </c>
      <c r="H35714" s="49">
        <f t="shared" si="2"/>
        <v>86009</v>
      </c>
    </row>
    <row r="35715">
      <c r="A35715" s="48" t="s">
        <v>18392</v>
      </c>
      <c r="B35715" s="38">
        <v>63438.0</v>
      </c>
      <c r="C35715" s="38" t="s">
        <v>39840</v>
      </c>
      <c r="D35715" s="38" t="str">
        <f>IFERROR(__xludf.DUMMYFUNCTION("REGEXREPLACE(C35715,""-\d+(.*)|--\d+(.*)"","""")"),"TREZIOUX")</f>
        <v>TREZIOUX</v>
      </c>
      <c r="E35715" s="38" t="s">
        <v>353</v>
      </c>
      <c r="F35715" s="38" t="s">
        <v>161</v>
      </c>
      <c r="G35715" s="49" t="str">
        <f t="shared" si="1"/>
        <v>63520</v>
      </c>
      <c r="H35715" s="49">
        <f t="shared" si="2"/>
        <v>63438</v>
      </c>
    </row>
    <row r="35716">
      <c r="A35716" s="48" t="s">
        <v>8284</v>
      </c>
      <c r="B35716" s="38">
        <v>31580.0</v>
      </c>
      <c r="C35716" s="38" t="s">
        <v>39841</v>
      </c>
      <c r="D35716" s="38" t="str">
        <f>IFERROR(__xludf.DUMMYFUNCTION("REGEXREPLACE(C35716,""-\d+(.*)|--\d+(.*)"","""")"),"VILLATE")</f>
        <v>VILLATE</v>
      </c>
      <c r="E35716" s="38" t="s">
        <v>93</v>
      </c>
      <c r="F35716" s="38" t="s">
        <v>94</v>
      </c>
      <c r="G35716" s="49" t="str">
        <f t="shared" si="1"/>
        <v>31860</v>
      </c>
      <c r="H35716" s="49">
        <f t="shared" si="2"/>
        <v>31580</v>
      </c>
    </row>
    <row r="35717">
      <c r="A35717" s="48" t="s">
        <v>39842</v>
      </c>
      <c r="B35717" s="38">
        <v>13034.0</v>
      </c>
      <c r="C35717" s="38" t="s">
        <v>39843</v>
      </c>
      <c r="D35717" s="38" t="str">
        <f>IFERROR(__xludf.DUMMYFUNCTION("REGEXREPLACE(C35717,""-\d+(.*)|--\d+(.*)"","""")"),"EYGALIERES")</f>
        <v>EYGALIERES</v>
      </c>
      <c r="E35717" s="38" t="s">
        <v>980</v>
      </c>
      <c r="F35717" s="38" t="s">
        <v>228</v>
      </c>
      <c r="G35717" s="49" t="str">
        <f t="shared" si="1"/>
        <v>13810</v>
      </c>
      <c r="H35717" s="49">
        <f t="shared" si="2"/>
        <v>13034</v>
      </c>
    </row>
    <row r="35718">
      <c r="A35718" s="48" t="s">
        <v>7786</v>
      </c>
      <c r="B35718" s="38">
        <v>8342.0</v>
      </c>
      <c r="C35718" s="38" t="s">
        <v>39844</v>
      </c>
      <c r="D35718" s="38" t="str">
        <f>IFERROR(__xludf.DUMMYFUNCTION("REGEXREPLACE(C35718,""-\d+(.*)|--\d+(.*)"","""")"),"POURU-AUX-BOIS")</f>
        <v>POURU-AUX-BOIS</v>
      </c>
      <c r="E35718" s="38" t="s">
        <v>327</v>
      </c>
      <c r="F35718" s="38" t="s">
        <v>130</v>
      </c>
      <c r="G35718" s="49" t="str">
        <f t="shared" si="1"/>
        <v>08140</v>
      </c>
      <c r="H35718" s="49" t="str">
        <f t="shared" si="2"/>
        <v>08342</v>
      </c>
    </row>
    <row r="35719">
      <c r="A35719" s="48" t="s">
        <v>13112</v>
      </c>
      <c r="B35719" s="38">
        <v>40015.0</v>
      </c>
      <c r="C35719" s="38" t="s">
        <v>39845</v>
      </c>
      <c r="D35719" s="38" t="str">
        <f>IFERROR(__xludf.DUMMYFUNCTION("REGEXREPLACE(C35719,""-\d+(.*)|--\d+(.*)"","""")"),"ARX")</f>
        <v>ARX</v>
      </c>
      <c r="E35719" s="38" t="s">
        <v>281</v>
      </c>
      <c r="F35719" s="38" t="s">
        <v>252</v>
      </c>
      <c r="G35719" s="49" t="str">
        <f t="shared" si="1"/>
        <v>40310</v>
      </c>
      <c r="H35719" s="49">
        <f t="shared" si="2"/>
        <v>40015</v>
      </c>
    </row>
    <row r="35720">
      <c r="A35720" s="48" t="s">
        <v>2004</v>
      </c>
      <c r="B35720" s="38">
        <v>88363.0</v>
      </c>
      <c r="C35720" s="38" t="s">
        <v>39846</v>
      </c>
      <c r="D35720" s="38" t="str">
        <f>IFERROR(__xludf.DUMMYFUNCTION("REGEXREPLACE(C35720,""-\d+(.*)|--\d+(.*)"","""")"),"PUNEROT")</f>
        <v>PUNEROT</v>
      </c>
      <c r="E35720" s="38" t="s">
        <v>194</v>
      </c>
      <c r="F35720" s="38" t="s">
        <v>195</v>
      </c>
      <c r="G35720" s="49" t="str">
        <f t="shared" si="1"/>
        <v>88630</v>
      </c>
      <c r="H35720" s="49">
        <f t="shared" si="2"/>
        <v>88363</v>
      </c>
    </row>
    <row r="35721">
      <c r="A35721" s="48" t="s">
        <v>7641</v>
      </c>
      <c r="B35721" s="38">
        <v>3217.0</v>
      </c>
      <c r="C35721" s="38" t="s">
        <v>26014</v>
      </c>
      <c r="D35721" s="38" t="str">
        <f>IFERROR(__xludf.DUMMYFUNCTION("REGEXREPLACE(C35721,""-\d+(.*)|--\d+(.*)"","""")"),"SAINT-ANGEL")</f>
        <v>SAINT-ANGEL</v>
      </c>
      <c r="E35721" s="38" t="s">
        <v>160</v>
      </c>
      <c r="F35721" s="38" t="s">
        <v>161</v>
      </c>
      <c r="G35721" s="49" t="str">
        <f t="shared" si="1"/>
        <v>03170</v>
      </c>
      <c r="H35721" s="49" t="str">
        <f t="shared" si="2"/>
        <v>03217</v>
      </c>
    </row>
    <row r="35722">
      <c r="A35722" s="48" t="s">
        <v>2366</v>
      </c>
      <c r="B35722" s="38">
        <v>29277.0</v>
      </c>
      <c r="C35722" s="38" t="s">
        <v>39847</v>
      </c>
      <c r="D35722" s="38" t="str">
        <f>IFERROR(__xludf.DUMMYFUNCTION("REGEXREPLACE(C35722,""-\d+(.*)|--\d+(.*)"","""")"),"SIZUN")</f>
        <v>SIZUN</v>
      </c>
      <c r="E35722" s="38" t="s">
        <v>176</v>
      </c>
      <c r="F35722" s="38" t="s">
        <v>90</v>
      </c>
      <c r="G35722" s="49" t="str">
        <f t="shared" si="1"/>
        <v>29450</v>
      </c>
      <c r="H35722" s="49">
        <f t="shared" si="2"/>
        <v>29277</v>
      </c>
    </row>
    <row r="35723">
      <c r="A35723" s="48" t="s">
        <v>3046</v>
      </c>
      <c r="B35723" s="38">
        <v>70225.0</v>
      </c>
      <c r="C35723" s="38" t="s">
        <v>39848</v>
      </c>
      <c r="D35723" s="38" t="str">
        <f>IFERROR(__xludf.DUMMYFUNCTION("REGEXREPLACE(C35723,""-\d+(.*)|--\d+(.*)"","""")"),"FAHY-LES-AUTREY")</f>
        <v>FAHY-LES-AUTREY</v>
      </c>
      <c r="E35723" s="38" t="s">
        <v>956</v>
      </c>
      <c r="F35723" s="38" t="s">
        <v>214</v>
      </c>
      <c r="G35723" s="49" t="str">
        <f t="shared" si="1"/>
        <v>70100</v>
      </c>
      <c r="H35723" s="49">
        <f t="shared" si="2"/>
        <v>70225</v>
      </c>
    </row>
    <row r="35724">
      <c r="A35724" s="48" t="s">
        <v>369</v>
      </c>
      <c r="B35724" s="38">
        <v>63116.0</v>
      </c>
      <c r="C35724" s="38" t="s">
        <v>39849</v>
      </c>
      <c r="D35724" s="38" t="str">
        <f>IFERROR(__xludf.DUMMYFUNCTION("REGEXREPLACE(C35724,""-\d+(.*)|--\d+(.*)"","""")"),"COMBRONDE")</f>
        <v>COMBRONDE</v>
      </c>
      <c r="E35724" s="38" t="s">
        <v>353</v>
      </c>
      <c r="F35724" s="38" t="s">
        <v>161</v>
      </c>
      <c r="G35724" s="49" t="str">
        <f t="shared" si="1"/>
        <v>63460</v>
      </c>
      <c r="H35724" s="49">
        <f t="shared" si="2"/>
        <v>63116</v>
      </c>
    </row>
    <row r="35725">
      <c r="A35725" s="48" t="s">
        <v>3277</v>
      </c>
      <c r="B35725" s="38">
        <v>29152.0</v>
      </c>
      <c r="C35725" s="38" t="s">
        <v>39850</v>
      </c>
      <c r="D35725" s="38" t="str">
        <f>IFERROR(__xludf.DUMMYFUNCTION("REGEXREPLACE(C35725,""-\d+(.*)|--\d+(.*)"","""")"),"MOTREFF")</f>
        <v>MOTREFF</v>
      </c>
      <c r="E35725" s="38" t="s">
        <v>176</v>
      </c>
      <c r="F35725" s="38" t="s">
        <v>90</v>
      </c>
      <c r="G35725" s="49" t="str">
        <f t="shared" si="1"/>
        <v>29270</v>
      </c>
      <c r="H35725" s="49">
        <f t="shared" si="2"/>
        <v>29152</v>
      </c>
    </row>
    <row r="35726">
      <c r="A35726" s="48" t="s">
        <v>7614</v>
      </c>
      <c r="B35726" s="38">
        <v>50601.0</v>
      </c>
      <c r="C35726" s="38" t="s">
        <v>39851</v>
      </c>
      <c r="D35726" s="38" t="str">
        <f>IFERROR(__xludf.DUMMYFUNCTION("REGEXREPLACE(C35726,""-\d+(.*)|--\d+(.*)"","""")"),"TORIGNI-SUR-VIRE")</f>
        <v>TORIGNI-SUR-VIRE</v>
      </c>
      <c r="E35726" s="38" t="s">
        <v>157</v>
      </c>
      <c r="F35726" s="38" t="s">
        <v>138</v>
      </c>
      <c r="G35726" s="49" t="str">
        <f t="shared" si="1"/>
        <v>50160</v>
      </c>
      <c r="H35726" s="49">
        <f t="shared" si="2"/>
        <v>50601</v>
      </c>
    </row>
    <row r="35727">
      <c r="A35727" s="48" t="s">
        <v>7986</v>
      </c>
      <c r="B35727" s="38">
        <v>69222.0</v>
      </c>
      <c r="C35727" s="38" t="s">
        <v>39852</v>
      </c>
      <c r="D35727" s="38" t="str">
        <f>IFERROR(__xludf.DUMMYFUNCTION("REGEXREPLACE(C35727,""-\d+(.*)|--\d+(.*)"","""")"),"SAINT-LAURENT-D'OINGT")</f>
        <v>SAINT-LAURENT-D'OINGT</v>
      </c>
      <c r="E35727" s="38" t="s">
        <v>350</v>
      </c>
      <c r="F35727" s="38" t="s">
        <v>102</v>
      </c>
      <c r="G35727" s="49" t="str">
        <f t="shared" si="1"/>
        <v>69620</v>
      </c>
      <c r="H35727" s="49">
        <f t="shared" si="2"/>
        <v>69222</v>
      </c>
    </row>
    <row r="35728">
      <c r="A35728" s="48" t="s">
        <v>2705</v>
      </c>
      <c r="B35728" s="38">
        <v>77056.0</v>
      </c>
      <c r="C35728" s="38" t="s">
        <v>12324</v>
      </c>
      <c r="D35728" s="38" t="str">
        <f>IFERROR(__xludf.DUMMYFUNCTION("REGEXREPLACE(C35728,""-\d+(.*)|--\d+(.*)"","""")"),"BURCY")</f>
        <v>BURCY</v>
      </c>
      <c r="E35728" s="38" t="s">
        <v>244</v>
      </c>
      <c r="F35728" s="38" t="s">
        <v>245</v>
      </c>
      <c r="G35728" s="49" t="str">
        <f t="shared" si="1"/>
        <v>77760</v>
      </c>
      <c r="H35728" s="49">
        <f t="shared" si="2"/>
        <v>77056</v>
      </c>
    </row>
    <row r="35729">
      <c r="A35729" s="48" t="s">
        <v>39853</v>
      </c>
      <c r="B35729" s="38">
        <v>60041.0</v>
      </c>
      <c r="C35729" s="38" t="s">
        <v>39854</v>
      </c>
      <c r="D35729" s="38" t="str">
        <f>IFERROR(__xludf.DUMMYFUNCTION("REGEXREPLACE(C35729,""-\d+(.*)|--\d+(.*)"","""")"),"BAILLEUL-SUR-THERAIN")</f>
        <v>BAILLEUL-SUR-THERAIN</v>
      </c>
      <c r="E35729" s="38" t="s">
        <v>112</v>
      </c>
      <c r="F35729" s="38" t="s">
        <v>113</v>
      </c>
      <c r="G35729" s="49" t="str">
        <f t="shared" si="1"/>
        <v>60930</v>
      </c>
      <c r="H35729" s="49">
        <f t="shared" si="2"/>
        <v>60041</v>
      </c>
    </row>
    <row r="35730">
      <c r="A35730" s="48" t="s">
        <v>10299</v>
      </c>
      <c r="B35730" s="38">
        <v>67238.0</v>
      </c>
      <c r="C35730" s="38" t="s">
        <v>39855</v>
      </c>
      <c r="D35730" s="38" t="str">
        <f>IFERROR(__xludf.DUMMYFUNCTION("REGEXREPLACE(C35730,""-\d+(.*)|--\d+(.*)"","""")"),"KINDWILLER")</f>
        <v>KINDWILLER</v>
      </c>
      <c r="E35730" s="38" t="s">
        <v>210</v>
      </c>
      <c r="F35730" s="38" t="s">
        <v>151</v>
      </c>
      <c r="G35730" s="49" t="str">
        <f t="shared" si="1"/>
        <v>67350</v>
      </c>
      <c r="H35730" s="49">
        <f t="shared" si="2"/>
        <v>67238</v>
      </c>
    </row>
    <row r="35731">
      <c r="A35731" s="48" t="s">
        <v>2389</v>
      </c>
      <c r="B35731" s="38">
        <v>64458.0</v>
      </c>
      <c r="C35731" s="38" t="s">
        <v>39856</v>
      </c>
      <c r="D35731" s="38" t="str">
        <f>IFERROR(__xludf.DUMMYFUNCTION("REGEXREPLACE(C35731,""-\d+(.*)|--\d+(.*)"","""")"),"PRECHACQ-JOSBAIG")</f>
        <v>PRECHACQ-JOSBAIG</v>
      </c>
      <c r="E35731" s="38" t="s">
        <v>268</v>
      </c>
      <c r="F35731" s="38" t="s">
        <v>252</v>
      </c>
      <c r="G35731" s="49" t="str">
        <f t="shared" si="1"/>
        <v>64190</v>
      </c>
      <c r="H35731" s="49">
        <f t="shared" si="2"/>
        <v>64458</v>
      </c>
    </row>
    <row r="35732">
      <c r="A35732" s="48" t="s">
        <v>3980</v>
      </c>
      <c r="B35732" s="38">
        <v>71173.0</v>
      </c>
      <c r="C35732" s="38" t="s">
        <v>39857</v>
      </c>
      <c r="D35732" s="38" t="str">
        <f>IFERROR(__xludf.DUMMYFUNCTION("REGEXREPLACE(C35732,""-\d+(.*)|--\d+(.*)"","""")"),"DEVROUZE")</f>
        <v>DEVROUZE</v>
      </c>
      <c r="E35732" s="38" t="s">
        <v>344</v>
      </c>
      <c r="F35732" s="38" t="s">
        <v>106</v>
      </c>
      <c r="G35732" s="49" t="str">
        <f t="shared" si="1"/>
        <v>71330</v>
      </c>
      <c r="H35732" s="49">
        <f t="shared" si="2"/>
        <v>71173</v>
      </c>
    </row>
    <row r="35733">
      <c r="A35733" s="48" t="s">
        <v>6290</v>
      </c>
      <c r="B35733" s="38">
        <v>60173.0</v>
      </c>
      <c r="C35733" s="38" t="s">
        <v>39858</v>
      </c>
      <c r="D35733" s="38" t="str">
        <f>IFERROR(__xludf.DUMMYFUNCTION("REGEXREPLACE(C35733,""-\d+(.*)|--\d+(.*)"","""")"),"CRAMOISY")</f>
        <v>CRAMOISY</v>
      </c>
      <c r="E35733" s="38" t="s">
        <v>112</v>
      </c>
      <c r="F35733" s="38" t="s">
        <v>113</v>
      </c>
      <c r="G35733" s="49" t="str">
        <f t="shared" si="1"/>
        <v>60660</v>
      </c>
      <c r="H35733" s="49">
        <f t="shared" si="2"/>
        <v>60173</v>
      </c>
    </row>
    <row r="35734">
      <c r="A35734" s="48" t="s">
        <v>39859</v>
      </c>
      <c r="B35734" s="38">
        <v>95572.0</v>
      </c>
      <c r="C35734" s="38" t="s">
        <v>39860</v>
      </c>
      <c r="D35734" s="38" t="str">
        <f>IFERROR(__xludf.DUMMYFUNCTION("REGEXREPLACE(C35734,""-\d+(.*)|--\d+(.*)"","""")"),"SAINT-OUEN-L'AUMONE")</f>
        <v>SAINT-OUEN-L'AUMONE</v>
      </c>
      <c r="E35734" s="38" t="s">
        <v>541</v>
      </c>
      <c r="F35734" s="38" t="s">
        <v>245</v>
      </c>
      <c r="G35734" s="49" t="str">
        <f t="shared" si="1"/>
        <v>95310</v>
      </c>
      <c r="H35734" s="49">
        <f t="shared" si="2"/>
        <v>95572</v>
      </c>
    </row>
    <row r="35735">
      <c r="A35735" s="48" t="s">
        <v>12108</v>
      </c>
      <c r="B35735" s="38">
        <v>38566.0</v>
      </c>
      <c r="C35735" s="38" t="s">
        <v>39861</v>
      </c>
      <c r="D35735" s="38" t="str">
        <f>IFERROR(__xludf.DUMMYFUNCTION("REGEXREPLACE(C35735,""-\d+(.*)|--\d+(.*)"","""")"),"VOUREY")</f>
        <v>VOUREY</v>
      </c>
      <c r="E35735" s="38" t="s">
        <v>101</v>
      </c>
      <c r="F35735" s="38" t="s">
        <v>102</v>
      </c>
      <c r="G35735" s="49" t="str">
        <f t="shared" si="1"/>
        <v>38210</v>
      </c>
      <c r="H35735" s="49">
        <f t="shared" si="2"/>
        <v>38566</v>
      </c>
    </row>
    <row r="35736">
      <c r="A35736" s="48" t="s">
        <v>5398</v>
      </c>
      <c r="B35736" s="38">
        <v>64454.0</v>
      </c>
      <c r="C35736" s="38" t="s">
        <v>39862</v>
      </c>
      <c r="D35736" s="38" t="str">
        <f>IFERROR(__xludf.DUMMYFUNCTION("REGEXREPLACE(C35736,""-\d+(.*)|--\d+(.*)"","""")"),"PONTIACQ-VIELLEPINTE")</f>
        <v>PONTIACQ-VIELLEPINTE</v>
      </c>
      <c r="E35736" s="38" t="s">
        <v>268</v>
      </c>
      <c r="F35736" s="38" t="s">
        <v>252</v>
      </c>
      <c r="G35736" s="49" t="str">
        <f t="shared" si="1"/>
        <v>64460</v>
      </c>
      <c r="H35736" s="49">
        <f t="shared" si="2"/>
        <v>64454</v>
      </c>
    </row>
    <row r="35737">
      <c r="A35737" s="48" t="s">
        <v>4563</v>
      </c>
      <c r="B35737" s="38">
        <v>38206.0</v>
      </c>
      <c r="C35737" s="38" t="s">
        <v>19204</v>
      </c>
      <c r="D35737" s="38" t="str">
        <f>IFERROR(__xludf.DUMMYFUNCTION("REGEXREPLACE(C35737,""-\d+(.*)|--\d+(.*)"","""")"),"LAVAL")</f>
        <v>LAVAL</v>
      </c>
      <c r="E35737" s="38" t="s">
        <v>101</v>
      </c>
      <c r="F35737" s="38" t="s">
        <v>102</v>
      </c>
      <c r="G35737" s="49" t="str">
        <f t="shared" si="1"/>
        <v>38190</v>
      </c>
      <c r="H35737" s="49">
        <f t="shared" si="2"/>
        <v>38206</v>
      </c>
    </row>
    <row r="35738">
      <c r="A35738" s="48" t="s">
        <v>3810</v>
      </c>
      <c r="B35738" s="38">
        <v>77119.0</v>
      </c>
      <c r="C35738" s="38" t="s">
        <v>39863</v>
      </c>
      <c r="D35738" s="38" t="str">
        <f>IFERROR(__xludf.DUMMYFUNCTION("REGEXREPLACE(C35738,""-\d+(.*)|--\d+(.*)"","""")"),"CLOS-FONTAINE")</f>
        <v>CLOS-FONTAINE</v>
      </c>
      <c r="E35738" s="38" t="s">
        <v>244</v>
      </c>
      <c r="F35738" s="38" t="s">
        <v>245</v>
      </c>
      <c r="G35738" s="49" t="str">
        <f t="shared" si="1"/>
        <v>77370</v>
      </c>
      <c r="H35738" s="49">
        <f t="shared" si="2"/>
        <v>77119</v>
      </c>
    </row>
    <row r="35739">
      <c r="A35739" s="48" t="s">
        <v>12249</v>
      </c>
      <c r="B35739" s="38">
        <v>71502.0</v>
      </c>
      <c r="C35739" s="38" t="s">
        <v>39864</v>
      </c>
      <c r="D35739" s="38" t="str">
        <f>IFERROR(__xludf.DUMMYFUNCTION("REGEXREPLACE(C35739,""-\d+(.*)|--\d+(.*)"","""")"),"SASSENAY")</f>
        <v>SASSENAY</v>
      </c>
      <c r="E35739" s="38" t="s">
        <v>344</v>
      </c>
      <c r="F35739" s="38" t="s">
        <v>106</v>
      </c>
      <c r="G35739" s="49" t="str">
        <f t="shared" si="1"/>
        <v>71530</v>
      </c>
      <c r="H35739" s="49">
        <f t="shared" si="2"/>
        <v>71502</v>
      </c>
    </row>
    <row r="35740">
      <c r="A35740" s="48" t="s">
        <v>5104</v>
      </c>
      <c r="B35740" s="38">
        <v>29055.0</v>
      </c>
      <c r="C35740" s="38" t="s">
        <v>39865</v>
      </c>
      <c r="D35740" s="38" t="str">
        <f>IFERROR(__xludf.DUMMYFUNCTION("REGEXREPLACE(C35740,""-\d+(.*)|--\d+(.*)"","""")"),"LE FOLGOET")</f>
        <v>LE FOLGOET</v>
      </c>
      <c r="E35740" s="38" t="s">
        <v>176</v>
      </c>
      <c r="F35740" s="38" t="s">
        <v>90</v>
      </c>
      <c r="G35740" s="49" t="str">
        <f t="shared" si="1"/>
        <v>29260</v>
      </c>
      <c r="H35740" s="49">
        <f t="shared" si="2"/>
        <v>29055</v>
      </c>
    </row>
    <row r="35741">
      <c r="A35741" s="48" t="s">
        <v>7399</v>
      </c>
      <c r="B35741" s="38">
        <v>28086.0</v>
      </c>
      <c r="C35741" s="38" t="s">
        <v>39866</v>
      </c>
      <c r="D35741" s="38" t="str">
        <f>IFERROR(__xludf.DUMMYFUNCTION("REGEXREPLACE(C35741,""-\d+(.*)|--\d+(.*)"","""")"),"CHASSANT")</f>
        <v>CHASSANT</v>
      </c>
      <c r="E35741" s="38" t="s">
        <v>300</v>
      </c>
      <c r="F35741" s="38" t="s">
        <v>123</v>
      </c>
      <c r="G35741" s="49" t="str">
        <f t="shared" si="1"/>
        <v>28480</v>
      </c>
      <c r="H35741" s="49">
        <f t="shared" si="2"/>
        <v>28086</v>
      </c>
    </row>
    <row r="35742">
      <c r="A35742" s="48" t="s">
        <v>266</v>
      </c>
      <c r="B35742" s="38">
        <v>64098.0</v>
      </c>
      <c r="C35742" s="38" t="s">
        <v>39867</v>
      </c>
      <c r="D35742" s="38" t="str">
        <f>IFERROR(__xludf.DUMMYFUNCTION("REGEXREPLACE(C35742,""-\d+(.*)|--\d+(.*)"","""")"),"BASSILLON-VAUZE")</f>
        <v>BASSILLON-VAUZE</v>
      </c>
      <c r="E35742" s="38" t="s">
        <v>268</v>
      </c>
      <c r="F35742" s="38" t="s">
        <v>252</v>
      </c>
      <c r="G35742" s="49" t="str">
        <f t="shared" si="1"/>
        <v>64350</v>
      </c>
      <c r="H35742" s="49">
        <f t="shared" si="2"/>
        <v>64098</v>
      </c>
    </row>
    <row r="35743">
      <c r="A35743" s="48" t="s">
        <v>14721</v>
      </c>
      <c r="B35743" s="38">
        <v>27133.0</v>
      </c>
      <c r="C35743" s="38" t="s">
        <v>2371</v>
      </c>
      <c r="D35743" s="38" t="str">
        <f>IFERROR(__xludf.DUMMYFUNCTION("REGEXREPLACE(C35743,""-\d+(.*)|--\d+(.*)"","""")"),"CAUMONT")</f>
        <v>CAUMONT</v>
      </c>
      <c r="E35743" s="38" t="s">
        <v>241</v>
      </c>
      <c r="F35743" s="38" t="s">
        <v>134</v>
      </c>
      <c r="G35743" s="49" t="str">
        <f t="shared" si="1"/>
        <v>27310</v>
      </c>
      <c r="H35743" s="49">
        <f t="shared" si="2"/>
        <v>27133</v>
      </c>
    </row>
    <row r="35744">
      <c r="A35744" s="48" t="s">
        <v>29317</v>
      </c>
      <c r="B35744" s="38">
        <v>6121.0</v>
      </c>
      <c r="C35744" s="38" t="s">
        <v>39868</v>
      </c>
      <c r="D35744" s="38" t="str">
        <f>IFERROR(__xludf.DUMMYFUNCTION("REGEXREPLACE(C35744,""-\d+(.*)|--\d+(.*)"","""")"),"SAINT-JEAN-CAP-FERRAT")</f>
        <v>SAINT-JEAN-CAP-FERRAT</v>
      </c>
      <c r="E35744" s="38" t="s">
        <v>227</v>
      </c>
      <c r="F35744" s="38" t="s">
        <v>228</v>
      </c>
      <c r="G35744" s="49" t="str">
        <f t="shared" si="1"/>
        <v>06230</v>
      </c>
      <c r="H35744" s="49" t="str">
        <f t="shared" si="2"/>
        <v>06121</v>
      </c>
    </row>
    <row r="35745">
      <c r="A35745" s="48" t="s">
        <v>2040</v>
      </c>
      <c r="B35745" s="38">
        <v>59177.0</v>
      </c>
      <c r="C35745" s="38" t="s">
        <v>39869</v>
      </c>
      <c r="D35745" s="38" t="str">
        <f>IFERROR(__xludf.DUMMYFUNCTION("REGEXREPLACE(C35745,""-\d+(.*)|--\d+(.*)"","""")"),"DOMPIERRE-SUR-HELPE")</f>
        <v>DOMPIERRE-SUR-HELPE</v>
      </c>
      <c r="E35745" s="38" t="s">
        <v>85</v>
      </c>
      <c r="F35745" s="38" t="s">
        <v>86</v>
      </c>
      <c r="G35745" s="49" t="str">
        <f t="shared" si="1"/>
        <v>59440</v>
      </c>
      <c r="H35745" s="49">
        <f t="shared" si="2"/>
        <v>59177</v>
      </c>
    </row>
    <row r="35746">
      <c r="A35746" s="48" t="s">
        <v>14779</v>
      </c>
      <c r="B35746" s="38">
        <v>19140.0</v>
      </c>
      <c r="C35746" s="38" t="s">
        <v>39870</v>
      </c>
      <c r="D35746" s="38" t="str">
        <f>IFERROR(__xludf.DUMMYFUNCTION("REGEXREPLACE(C35746,""-\d+(.*)|--\d+(.*)"","""")"),"MONCEAUX-SUR-DORDOGNE")</f>
        <v>MONCEAUX-SUR-DORDOGNE</v>
      </c>
      <c r="E35746" s="38" t="s">
        <v>271</v>
      </c>
      <c r="F35746" s="38" t="s">
        <v>98</v>
      </c>
      <c r="G35746" s="49" t="str">
        <f t="shared" si="1"/>
        <v>19400</v>
      </c>
      <c r="H35746" s="49">
        <f t="shared" si="2"/>
        <v>19140</v>
      </c>
    </row>
    <row r="35747">
      <c r="A35747" s="48" t="s">
        <v>23580</v>
      </c>
      <c r="B35747" s="38">
        <v>87068.0</v>
      </c>
      <c r="C35747" s="38" t="s">
        <v>39871</v>
      </c>
      <c r="D35747" s="38" t="str">
        <f>IFERROR(__xludf.DUMMYFUNCTION("REGEXREPLACE(C35747,""-\d+(.*)|--\d+(.*)"","""")"),"FROMENTAL")</f>
        <v>FROMENTAL</v>
      </c>
      <c r="E35747" s="38" t="s">
        <v>897</v>
      </c>
      <c r="F35747" s="38" t="s">
        <v>98</v>
      </c>
      <c r="G35747" s="49" t="str">
        <f t="shared" si="1"/>
        <v>87250</v>
      </c>
      <c r="H35747" s="49">
        <f t="shared" si="2"/>
        <v>87068</v>
      </c>
    </row>
    <row r="35748">
      <c r="A35748" s="48" t="s">
        <v>10034</v>
      </c>
      <c r="B35748" s="38">
        <v>78623.0</v>
      </c>
      <c r="C35748" s="38" t="s">
        <v>39872</v>
      </c>
      <c r="D35748" s="38" t="str">
        <f>IFERROR(__xludf.DUMMYFUNCTION("REGEXREPLACE(C35748,""-\d+(.*)|--\d+(.*)"","""")"),"LE TREMBLAY-SUR-MAULDRE")</f>
        <v>LE TREMBLAY-SUR-MAULDRE</v>
      </c>
      <c r="E35748" s="38" t="s">
        <v>362</v>
      </c>
      <c r="F35748" s="38" t="s">
        <v>245</v>
      </c>
      <c r="G35748" s="49" t="str">
        <f t="shared" si="1"/>
        <v>78490</v>
      </c>
      <c r="H35748" s="49">
        <f t="shared" si="2"/>
        <v>78623</v>
      </c>
    </row>
    <row r="35749">
      <c r="A35749" s="48" t="s">
        <v>39873</v>
      </c>
      <c r="B35749" s="38">
        <v>67065.0</v>
      </c>
      <c r="C35749" s="38" t="s">
        <v>39874</v>
      </c>
      <c r="D35749" s="38" t="str">
        <f>IFERROR(__xludf.DUMMYFUNCTION("REGEXREPLACE(C35749,""-\d+(.*)|--\d+(.*)"","""")"),"BREUSCHWICKERSHEIM")</f>
        <v>BREUSCHWICKERSHEIM</v>
      </c>
      <c r="E35749" s="38" t="s">
        <v>210</v>
      </c>
      <c r="F35749" s="38" t="s">
        <v>151</v>
      </c>
      <c r="G35749" s="49" t="str">
        <f t="shared" si="1"/>
        <v>67112</v>
      </c>
      <c r="H35749" s="49">
        <f t="shared" si="2"/>
        <v>67065</v>
      </c>
    </row>
    <row r="35750">
      <c r="A35750" s="48" t="s">
        <v>8757</v>
      </c>
      <c r="B35750" s="38">
        <v>84006.0</v>
      </c>
      <c r="C35750" s="38" t="s">
        <v>39875</v>
      </c>
      <c r="D35750" s="38" t="str">
        <f>IFERROR(__xludf.DUMMYFUNCTION("REGEXREPLACE(C35750,""-\d+(.*)|--\d+(.*)"","""")"),"AURIBEAU")</f>
        <v>AURIBEAU</v>
      </c>
      <c r="E35750" s="38" t="s">
        <v>1026</v>
      </c>
      <c r="F35750" s="38" t="s">
        <v>228</v>
      </c>
      <c r="G35750" s="49" t="str">
        <f t="shared" si="1"/>
        <v>84400</v>
      </c>
      <c r="H35750" s="49">
        <f t="shared" si="2"/>
        <v>84006</v>
      </c>
    </row>
    <row r="35751">
      <c r="A35751" s="48" t="s">
        <v>12913</v>
      </c>
      <c r="B35751" s="38">
        <v>59045.0</v>
      </c>
      <c r="C35751" s="38" t="s">
        <v>39876</v>
      </c>
      <c r="D35751" s="38" t="str">
        <f>IFERROR(__xludf.DUMMYFUNCTION("REGEXREPLACE(C35751,""-\d+(.*)|--\d+(.*)"","""")"),"BAIVES")</f>
        <v>BAIVES</v>
      </c>
      <c r="E35751" s="38" t="s">
        <v>85</v>
      </c>
      <c r="F35751" s="38" t="s">
        <v>86</v>
      </c>
      <c r="G35751" s="49" t="str">
        <f t="shared" si="1"/>
        <v>59132</v>
      </c>
      <c r="H35751" s="49">
        <f t="shared" si="2"/>
        <v>59045</v>
      </c>
    </row>
    <row r="35752">
      <c r="A35752" s="48" t="s">
        <v>1254</v>
      </c>
      <c r="B35752" s="38">
        <v>72261.0</v>
      </c>
      <c r="C35752" s="38" t="s">
        <v>39877</v>
      </c>
      <c r="D35752" s="38" t="str">
        <f>IFERROR(__xludf.DUMMYFUNCTION("REGEXREPLACE(C35752,""-\d+(.*)|--\d+(.*)"","""")"),"RUILLE-EN-CHAMPAGNE")</f>
        <v>RUILLE-EN-CHAMPAGNE</v>
      </c>
      <c r="E35752" s="38" t="s">
        <v>521</v>
      </c>
      <c r="F35752" s="38" t="s">
        <v>180</v>
      </c>
      <c r="G35752" s="49" t="str">
        <f t="shared" si="1"/>
        <v>72240</v>
      </c>
      <c r="H35752" s="49">
        <f t="shared" si="2"/>
        <v>72261</v>
      </c>
    </row>
    <row r="35753">
      <c r="A35753" s="48" t="s">
        <v>1091</v>
      </c>
      <c r="B35753" s="38">
        <v>57307.0</v>
      </c>
      <c r="C35753" s="38" t="s">
        <v>39878</v>
      </c>
      <c r="D35753" s="38" t="str">
        <f>IFERROR(__xludf.DUMMYFUNCTION("REGEXREPLACE(C35753,""-\d+(.*)|--\d+(.*)"","""")"),"HAYES")</f>
        <v>HAYES</v>
      </c>
      <c r="E35753" s="38" t="s">
        <v>303</v>
      </c>
      <c r="F35753" s="38" t="s">
        <v>195</v>
      </c>
      <c r="G35753" s="49" t="str">
        <f t="shared" si="1"/>
        <v>57530</v>
      </c>
      <c r="H35753" s="49">
        <f t="shared" si="2"/>
        <v>57307</v>
      </c>
    </row>
    <row r="35754">
      <c r="A35754" s="48" t="s">
        <v>9850</v>
      </c>
      <c r="B35754" s="38">
        <v>67391.0</v>
      </c>
      <c r="C35754" s="38" t="s">
        <v>39879</v>
      </c>
      <c r="D35754" s="38" t="str">
        <f>IFERROR(__xludf.DUMMYFUNCTION("REGEXREPLACE(C35754,""-\d+(.*)|--\d+(.*)"","""")"),"REINHARDSMUNSTER")</f>
        <v>REINHARDSMUNSTER</v>
      </c>
      <c r="E35754" s="38" t="s">
        <v>210</v>
      </c>
      <c r="F35754" s="38" t="s">
        <v>151</v>
      </c>
      <c r="G35754" s="49" t="str">
        <f t="shared" si="1"/>
        <v>67440</v>
      </c>
      <c r="H35754" s="49">
        <f t="shared" si="2"/>
        <v>67391</v>
      </c>
    </row>
    <row r="35755">
      <c r="A35755" s="48" t="s">
        <v>10849</v>
      </c>
      <c r="B35755" s="38">
        <v>64269.0</v>
      </c>
      <c r="C35755" s="38" t="s">
        <v>39880</v>
      </c>
      <c r="D35755" s="38" t="str">
        <f>IFERROR(__xludf.DUMMYFUNCTION("REGEXREPLACE(C35755,""-\d+(.*)|--\d+(.*)"","""")"),"IDRON")</f>
        <v>IDRON</v>
      </c>
      <c r="E35755" s="38" t="s">
        <v>268</v>
      </c>
      <c r="F35755" s="38" t="s">
        <v>252</v>
      </c>
      <c r="G35755" s="49" t="str">
        <f t="shared" si="1"/>
        <v>64320</v>
      </c>
      <c r="H35755" s="49">
        <f t="shared" si="2"/>
        <v>64269</v>
      </c>
    </row>
    <row r="35756">
      <c r="A35756" s="48" t="s">
        <v>1630</v>
      </c>
      <c r="B35756" s="38">
        <v>57082.0</v>
      </c>
      <c r="C35756" s="38" t="s">
        <v>39881</v>
      </c>
      <c r="D35756" s="38" t="str">
        <f>IFERROR(__xludf.DUMMYFUNCTION("REGEXREPLACE(C35756,""-\d+(.*)|--\d+(.*)"","""")"),"BIDING")</f>
        <v>BIDING</v>
      </c>
      <c r="E35756" s="38" t="s">
        <v>303</v>
      </c>
      <c r="F35756" s="38" t="s">
        <v>195</v>
      </c>
      <c r="G35756" s="49" t="str">
        <f t="shared" si="1"/>
        <v>57660</v>
      </c>
      <c r="H35756" s="49">
        <f t="shared" si="2"/>
        <v>57082</v>
      </c>
    </row>
    <row r="35757">
      <c r="A35757" s="48" t="s">
        <v>8111</v>
      </c>
      <c r="B35757" s="38">
        <v>40221.0</v>
      </c>
      <c r="C35757" s="38" t="s">
        <v>39882</v>
      </c>
      <c r="D35757" s="38" t="str">
        <f>IFERROR(__xludf.DUMMYFUNCTION("REGEXREPLACE(C35757,""-\d+(.*)|--\d+(.*)"","""")"),"PERQUIE")</f>
        <v>PERQUIE</v>
      </c>
      <c r="E35757" s="38" t="s">
        <v>281</v>
      </c>
      <c r="F35757" s="38" t="s">
        <v>252</v>
      </c>
      <c r="G35757" s="49" t="str">
        <f t="shared" si="1"/>
        <v>40190</v>
      </c>
      <c r="H35757" s="49">
        <f t="shared" si="2"/>
        <v>40221</v>
      </c>
    </row>
    <row r="35758">
      <c r="A35758" s="48" t="s">
        <v>10337</v>
      </c>
      <c r="B35758" s="38">
        <v>10182.0</v>
      </c>
      <c r="C35758" s="38" t="s">
        <v>39883</v>
      </c>
      <c r="D35758" s="38" t="str">
        <f>IFERROR(__xludf.DUMMYFUNCTION("REGEXREPLACE(C35758,""-\d+(.*)|--\d+(.*)"","""")"),"JUVANCOURT")</f>
        <v>JUVANCOURT</v>
      </c>
      <c r="E35758" s="38" t="s">
        <v>147</v>
      </c>
      <c r="F35758" s="38" t="s">
        <v>130</v>
      </c>
      <c r="G35758" s="49" t="str">
        <f t="shared" si="1"/>
        <v>10310</v>
      </c>
      <c r="H35758" s="49">
        <f t="shared" si="2"/>
        <v>10182</v>
      </c>
    </row>
    <row r="35759">
      <c r="A35759" s="48" t="s">
        <v>2338</v>
      </c>
      <c r="B35759" s="38">
        <v>8274.0</v>
      </c>
      <c r="C35759" s="38" t="s">
        <v>29390</v>
      </c>
      <c r="D35759" s="38" t="str">
        <f>IFERROR(__xludf.DUMMYFUNCTION("REGEXREPLACE(C35759,""-\d+(.*)|--\d+(.*)"","""")"),"MARCQ")</f>
        <v>MARCQ</v>
      </c>
      <c r="E35759" s="38" t="s">
        <v>327</v>
      </c>
      <c r="F35759" s="38" t="s">
        <v>130</v>
      </c>
      <c r="G35759" s="49" t="str">
        <f t="shared" si="1"/>
        <v>08250</v>
      </c>
      <c r="H35759" s="49" t="str">
        <f t="shared" si="2"/>
        <v>08274</v>
      </c>
    </row>
    <row r="35760">
      <c r="A35760" s="48" t="s">
        <v>13106</v>
      </c>
      <c r="B35760" s="38">
        <v>88189.0</v>
      </c>
      <c r="C35760" s="38" t="s">
        <v>37561</v>
      </c>
      <c r="D35760" s="38" t="str">
        <f>IFERROR(__xludf.DUMMYFUNCTION("REGEXREPLACE(C35760,""-\d+(.*)|--\d+(.*)"","""")"),"FREVILLE")</f>
        <v>FREVILLE</v>
      </c>
      <c r="E35760" s="38" t="s">
        <v>194</v>
      </c>
      <c r="F35760" s="38" t="s">
        <v>195</v>
      </c>
      <c r="G35760" s="49" t="str">
        <f t="shared" si="1"/>
        <v>88350</v>
      </c>
      <c r="H35760" s="49">
        <f t="shared" si="2"/>
        <v>88189</v>
      </c>
    </row>
    <row r="35761">
      <c r="A35761" s="48" t="s">
        <v>4648</v>
      </c>
      <c r="B35761" s="38">
        <v>54544.0</v>
      </c>
      <c r="C35761" s="38" t="s">
        <v>39884</v>
      </c>
      <c r="D35761" s="38" t="str">
        <f>IFERROR(__xludf.DUMMYFUNCTION("REGEXREPLACE(C35761,""-\d+(.*)|--\d+(.*)"","""")"),"VANDELAINVILLE")</f>
        <v>VANDELAINVILLE</v>
      </c>
      <c r="E35761" s="38" t="s">
        <v>548</v>
      </c>
      <c r="F35761" s="38" t="s">
        <v>195</v>
      </c>
      <c r="G35761" s="49" t="str">
        <f t="shared" si="1"/>
        <v>54890</v>
      </c>
      <c r="H35761" s="49">
        <f t="shared" si="2"/>
        <v>54544</v>
      </c>
    </row>
    <row r="35762">
      <c r="A35762" s="48" t="s">
        <v>2340</v>
      </c>
      <c r="B35762" s="38">
        <v>21539.0</v>
      </c>
      <c r="C35762" s="38" t="s">
        <v>39885</v>
      </c>
      <c r="D35762" s="38" t="str">
        <f>IFERROR(__xludf.DUMMYFUNCTION("REGEXREPLACE(C35762,""-\d+(.*)|--\d+(.*)"","""")"),"SAINT-ANTHOT")</f>
        <v>SAINT-ANTHOT</v>
      </c>
      <c r="E35762" s="38" t="s">
        <v>105</v>
      </c>
      <c r="F35762" s="38" t="s">
        <v>106</v>
      </c>
      <c r="G35762" s="49" t="str">
        <f t="shared" si="1"/>
        <v>21540</v>
      </c>
      <c r="H35762" s="49">
        <f t="shared" si="2"/>
        <v>21539</v>
      </c>
    </row>
    <row r="35763">
      <c r="A35763" s="48" t="s">
        <v>1576</v>
      </c>
      <c r="B35763" s="38" t="s">
        <v>39886</v>
      </c>
      <c r="C35763" s="38" t="s">
        <v>39887</v>
      </c>
      <c r="D35763" s="38" t="str">
        <f>IFERROR(__xludf.DUMMYFUNCTION("REGEXREPLACE(C35763,""-\d+(.*)|--\d+(.*)"","""")"),"OLMICCIA")</f>
        <v>OLMICCIA</v>
      </c>
      <c r="E35763" s="38" t="s">
        <v>606</v>
      </c>
      <c r="F35763" s="38" t="s">
        <v>607</v>
      </c>
      <c r="G35763" s="49" t="str">
        <f t="shared" si="1"/>
        <v>20112</v>
      </c>
      <c r="H35763" s="49" t="str">
        <f t="shared" si="2"/>
        <v>2A191</v>
      </c>
    </row>
    <row r="35764">
      <c r="A35764" s="48" t="s">
        <v>39888</v>
      </c>
      <c r="B35764" s="38">
        <v>59343.0</v>
      </c>
      <c r="C35764" s="38" t="s">
        <v>39889</v>
      </c>
      <c r="D35764" s="38" t="str">
        <f>IFERROR(__xludf.DUMMYFUNCTION("REGEXREPLACE(C35764,""-\d+(.*)|--\d+(.*)"","""")"),"LESQUIN")</f>
        <v>LESQUIN</v>
      </c>
      <c r="E35764" s="38" t="s">
        <v>85</v>
      </c>
      <c r="F35764" s="38" t="s">
        <v>86</v>
      </c>
      <c r="G35764" s="49" t="str">
        <f t="shared" si="1"/>
        <v>59810</v>
      </c>
      <c r="H35764" s="49">
        <f t="shared" si="2"/>
        <v>59343</v>
      </c>
    </row>
    <row r="35765">
      <c r="A35765" s="48" t="s">
        <v>3161</v>
      </c>
      <c r="B35765" s="38">
        <v>70486.0</v>
      </c>
      <c r="C35765" s="38" t="s">
        <v>39890</v>
      </c>
      <c r="D35765" s="38" t="str">
        <f>IFERROR(__xludf.DUMMYFUNCTION("REGEXREPLACE(C35765,""-\d+(.*)|--\d+(.*)"","""")"),"SEMMADON")</f>
        <v>SEMMADON</v>
      </c>
      <c r="E35765" s="38" t="s">
        <v>956</v>
      </c>
      <c r="F35765" s="38" t="s">
        <v>214</v>
      </c>
      <c r="G35765" s="49" t="str">
        <f t="shared" si="1"/>
        <v>70120</v>
      </c>
      <c r="H35765" s="49">
        <f t="shared" si="2"/>
        <v>70486</v>
      </c>
    </row>
    <row r="35766">
      <c r="A35766" s="48" t="s">
        <v>1195</v>
      </c>
      <c r="B35766" s="38">
        <v>80376.0</v>
      </c>
      <c r="C35766" s="38" t="s">
        <v>39891</v>
      </c>
      <c r="D35766" s="38" t="str">
        <f>IFERROR(__xludf.DUMMYFUNCTION("REGEXREPLACE(C35766,""-\d+(.*)|--\d+(.*)"","""")"),"GENTELLES")</f>
        <v>GENTELLES</v>
      </c>
      <c r="E35766" s="38" t="s">
        <v>224</v>
      </c>
      <c r="F35766" s="38" t="s">
        <v>113</v>
      </c>
      <c r="G35766" s="49" t="str">
        <f t="shared" si="1"/>
        <v>80800</v>
      </c>
      <c r="H35766" s="49">
        <f t="shared" si="2"/>
        <v>80376</v>
      </c>
    </row>
    <row r="35767">
      <c r="A35767" s="48" t="s">
        <v>2920</v>
      </c>
      <c r="B35767" s="38">
        <v>62219.0</v>
      </c>
      <c r="C35767" s="38" t="s">
        <v>2371</v>
      </c>
      <c r="D35767" s="38" t="str">
        <f>IFERROR(__xludf.DUMMYFUNCTION("REGEXREPLACE(C35767,""-\d+(.*)|--\d+(.*)"","""")"),"CAUMONT")</f>
        <v>CAUMONT</v>
      </c>
      <c r="E35767" s="38" t="s">
        <v>109</v>
      </c>
      <c r="F35767" s="38" t="s">
        <v>86</v>
      </c>
      <c r="G35767" s="49" t="str">
        <f t="shared" si="1"/>
        <v>62140</v>
      </c>
      <c r="H35767" s="49">
        <f t="shared" si="2"/>
        <v>62219</v>
      </c>
    </row>
    <row r="35768">
      <c r="A35768" s="48" t="s">
        <v>25129</v>
      </c>
      <c r="B35768" s="38">
        <v>77043.0</v>
      </c>
      <c r="C35768" s="38" t="s">
        <v>11935</v>
      </c>
      <c r="D35768" s="38" t="str">
        <f>IFERROR(__xludf.DUMMYFUNCTION("REGEXREPLACE(C35768,""-\d+(.*)|--\d+(.*)"","""")"),"BOITRON")</f>
        <v>BOITRON</v>
      </c>
      <c r="E35768" s="38" t="s">
        <v>244</v>
      </c>
      <c r="F35768" s="38" t="s">
        <v>245</v>
      </c>
      <c r="G35768" s="49" t="str">
        <f t="shared" si="1"/>
        <v>77750</v>
      </c>
      <c r="H35768" s="49">
        <f t="shared" si="2"/>
        <v>77043</v>
      </c>
    </row>
    <row r="35769">
      <c r="A35769" s="48" t="s">
        <v>4642</v>
      </c>
      <c r="B35769" s="38">
        <v>21523.0</v>
      </c>
      <c r="C35769" s="38" t="s">
        <v>39892</v>
      </c>
      <c r="D35769" s="38" t="str">
        <f>IFERROR(__xludf.DUMMYFUNCTION("REGEXREPLACE(C35769,""-\d+(.*)|--\d+(.*)"","""")"),"REULLE-VERGY")</f>
        <v>REULLE-VERGY</v>
      </c>
      <c r="E35769" s="38" t="s">
        <v>105</v>
      </c>
      <c r="F35769" s="38" t="s">
        <v>106</v>
      </c>
      <c r="G35769" s="49" t="str">
        <f t="shared" si="1"/>
        <v>21220</v>
      </c>
      <c r="H35769" s="49">
        <f t="shared" si="2"/>
        <v>21523</v>
      </c>
    </row>
    <row r="35770">
      <c r="A35770" s="48" t="s">
        <v>1334</v>
      </c>
      <c r="B35770" s="38">
        <v>7311.0</v>
      </c>
      <c r="C35770" s="38" t="s">
        <v>39893</v>
      </c>
      <c r="D35770" s="38" t="str">
        <f>IFERROR(__xludf.DUMMYFUNCTION("REGEXREPLACE(C35770,""-\d+(.*)|--\d+(.*)"","""")"),"SCEAUTRES")</f>
        <v>SCEAUTRES</v>
      </c>
      <c r="E35770" s="38" t="s">
        <v>144</v>
      </c>
      <c r="F35770" s="38" t="s">
        <v>102</v>
      </c>
      <c r="G35770" s="49" t="str">
        <f t="shared" si="1"/>
        <v>07400</v>
      </c>
      <c r="H35770" s="49" t="str">
        <f t="shared" si="2"/>
        <v>07311</v>
      </c>
    </row>
    <row r="35771">
      <c r="A35771" s="48" t="s">
        <v>1835</v>
      </c>
      <c r="B35771" s="38">
        <v>76652.0</v>
      </c>
      <c r="C35771" s="38" t="s">
        <v>39894</v>
      </c>
      <c r="D35771" s="38" t="str">
        <f>IFERROR(__xludf.DUMMYFUNCTION("REGEXREPLACE(C35771,""-\d+(.*)|--\d+(.*)"","""")"),"SAINT-VAAST-D'EQUIQUEVILLE")</f>
        <v>SAINT-VAAST-D'EQUIQUEVILLE</v>
      </c>
      <c r="E35771" s="38" t="s">
        <v>133</v>
      </c>
      <c r="F35771" s="38" t="s">
        <v>134</v>
      </c>
      <c r="G35771" s="49" t="str">
        <f t="shared" si="1"/>
        <v>76510</v>
      </c>
      <c r="H35771" s="49">
        <f t="shared" si="2"/>
        <v>76652</v>
      </c>
    </row>
    <row r="35772">
      <c r="A35772" s="48" t="s">
        <v>3502</v>
      </c>
      <c r="B35772" s="38">
        <v>22245.0</v>
      </c>
      <c r="C35772" s="38" t="s">
        <v>39895</v>
      </c>
      <c r="D35772" s="38" t="str">
        <f>IFERROR(__xludf.DUMMYFUNCTION("REGEXREPLACE(C35772,""-\d+(.*)|--\d+(.*)"","""")"),"PLUZUNET")</f>
        <v>PLUZUNET</v>
      </c>
      <c r="E35772" s="38" t="s">
        <v>89</v>
      </c>
      <c r="F35772" s="38" t="s">
        <v>90</v>
      </c>
      <c r="G35772" s="49" t="str">
        <f t="shared" si="1"/>
        <v>22140</v>
      </c>
      <c r="H35772" s="49">
        <f t="shared" si="2"/>
        <v>22245</v>
      </c>
    </row>
    <row r="35773">
      <c r="A35773" s="48" t="s">
        <v>1104</v>
      </c>
      <c r="B35773" s="38">
        <v>52007.0</v>
      </c>
      <c r="C35773" s="38" t="s">
        <v>39896</v>
      </c>
      <c r="D35773" s="38" t="str">
        <f>IFERROR(__xludf.DUMMYFUNCTION("REGEXREPLACE(C35773,""-\d+(.*)|--\d+(.*)"","""")"),"AMBONVILLE")</f>
        <v>AMBONVILLE</v>
      </c>
      <c r="E35773" s="38" t="s">
        <v>234</v>
      </c>
      <c r="F35773" s="38" t="s">
        <v>130</v>
      </c>
      <c r="G35773" s="49" t="str">
        <f t="shared" si="1"/>
        <v>52110</v>
      </c>
      <c r="H35773" s="49">
        <f t="shared" si="2"/>
        <v>52007</v>
      </c>
    </row>
    <row r="35774">
      <c r="A35774" s="48" t="s">
        <v>2877</v>
      </c>
      <c r="B35774" s="38">
        <v>4061.0</v>
      </c>
      <c r="C35774" s="38" t="s">
        <v>39897</v>
      </c>
      <c r="D35774" s="38" t="str">
        <f>IFERROR(__xludf.DUMMYFUNCTION("REGEXREPLACE(C35774,""-\d+(.*)|--\d+(.*)"","""")"),"COLMARS")</f>
        <v>COLMARS</v>
      </c>
      <c r="E35774" s="38" t="s">
        <v>662</v>
      </c>
      <c r="F35774" s="38" t="s">
        <v>228</v>
      </c>
      <c r="G35774" s="49" t="str">
        <f t="shared" si="1"/>
        <v>04370</v>
      </c>
      <c r="H35774" s="49" t="str">
        <f t="shared" si="2"/>
        <v>04061</v>
      </c>
    </row>
    <row r="35775">
      <c r="A35775" s="48" t="s">
        <v>39898</v>
      </c>
      <c r="B35775" s="38">
        <v>59227.0</v>
      </c>
      <c r="C35775" s="38" t="s">
        <v>39899</v>
      </c>
      <c r="D35775" s="38" t="str">
        <f>IFERROR(__xludf.DUMMYFUNCTION("REGEXREPLACE(C35775,""-\d+(.*)|--\d+(.*)"","""")"),"FENAIN")</f>
        <v>FENAIN</v>
      </c>
      <c r="E35775" s="38" t="s">
        <v>85</v>
      </c>
      <c r="F35775" s="38" t="s">
        <v>86</v>
      </c>
      <c r="G35775" s="49" t="str">
        <f t="shared" si="1"/>
        <v>59179</v>
      </c>
      <c r="H35775" s="49">
        <f t="shared" si="2"/>
        <v>59227</v>
      </c>
    </row>
    <row r="35776">
      <c r="A35776" s="48" t="s">
        <v>1422</v>
      </c>
      <c r="B35776" s="38">
        <v>14178.0</v>
      </c>
      <c r="C35776" s="38" t="s">
        <v>30718</v>
      </c>
      <c r="D35776" s="38" t="str">
        <f>IFERROR(__xludf.DUMMYFUNCTION("REGEXREPLACE(C35776,""-\d+(.*)|--\d+(.*)"","""")"),"CORBON")</f>
        <v>CORBON</v>
      </c>
      <c r="E35776" s="38" t="s">
        <v>137</v>
      </c>
      <c r="F35776" s="38" t="s">
        <v>138</v>
      </c>
      <c r="G35776" s="49" t="str">
        <f t="shared" si="1"/>
        <v>14340</v>
      </c>
      <c r="H35776" s="49">
        <f t="shared" si="2"/>
        <v>14178</v>
      </c>
    </row>
    <row r="35777">
      <c r="A35777" s="48" t="s">
        <v>2389</v>
      </c>
      <c r="B35777" s="38">
        <v>64186.0</v>
      </c>
      <c r="C35777" s="38" t="s">
        <v>39900</v>
      </c>
      <c r="D35777" s="38" t="str">
        <f>IFERROR(__xludf.DUMMYFUNCTION("REGEXREPLACE(C35777,""-\d+(.*)|--\d+(.*)"","""")"),"CHARRE")</f>
        <v>CHARRE</v>
      </c>
      <c r="E35777" s="38" t="s">
        <v>268</v>
      </c>
      <c r="F35777" s="38" t="s">
        <v>252</v>
      </c>
      <c r="G35777" s="49" t="str">
        <f t="shared" si="1"/>
        <v>64190</v>
      </c>
      <c r="H35777" s="49">
        <f t="shared" si="2"/>
        <v>64186</v>
      </c>
    </row>
    <row r="35778">
      <c r="A35778" s="48" t="s">
        <v>9683</v>
      </c>
      <c r="B35778" s="38">
        <v>46081.0</v>
      </c>
      <c r="C35778" s="38" t="s">
        <v>39901</v>
      </c>
      <c r="D35778" s="38" t="str">
        <f>IFERROR(__xludf.DUMMYFUNCTION("REGEXREPLACE(C35778,""-\d+(.*)|--\d+(.*)"","""")"),"CREGOLS")</f>
        <v>CREGOLS</v>
      </c>
      <c r="E35778" s="38" t="s">
        <v>185</v>
      </c>
      <c r="F35778" s="38" t="s">
        <v>94</v>
      </c>
      <c r="G35778" s="49" t="str">
        <f t="shared" si="1"/>
        <v>46330</v>
      </c>
      <c r="H35778" s="49">
        <f t="shared" si="2"/>
        <v>46081</v>
      </c>
    </row>
    <row r="35779">
      <c r="A35779" s="48" t="s">
        <v>2004</v>
      </c>
      <c r="B35779" s="38">
        <v>88305.0</v>
      </c>
      <c r="C35779" s="38" t="s">
        <v>39902</v>
      </c>
      <c r="D35779" s="38" t="str">
        <f>IFERROR(__xludf.DUMMYFUNCTION("REGEXREPLACE(C35779,""-\d+(.*)|--\d+(.*)"","""")"),"MONCEL-SUR-VAIR")</f>
        <v>MONCEL-SUR-VAIR</v>
      </c>
      <c r="E35779" s="38" t="s">
        <v>194</v>
      </c>
      <c r="F35779" s="38" t="s">
        <v>195</v>
      </c>
      <c r="G35779" s="49" t="str">
        <f t="shared" si="1"/>
        <v>88630</v>
      </c>
      <c r="H35779" s="49">
        <f t="shared" si="2"/>
        <v>88305</v>
      </c>
    </row>
    <row r="35780">
      <c r="A35780" s="48" t="s">
        <v>11086</v>
      </c>
      <c r="B35780" s="38">
        <v>7078.0</v>
      </c>
      <c r="C35780" s="38" t="s">
        <v>39903</v>
      </c>
      <c r="D35780" s="38" t="str">
        <f>IFERROR(__xludf.DUMMYFUNCTION("REGEXREPLACE(C35780,""-\d+(.*)|--\d+(.*)"","""")"),"DAVEZIEUX")</f>
        <v>DAVEZIEUX</v>
      </c>
      <c r="E35780" s="38" t="s">
        <v>144</v>
      </c>
      <c r="F35780" s="38" t="s">
        <v>102</v>
      </c>
      <c r="G35780" s="49" t="str">
        <f t="shared" si="1"/>
        <v>07430</v>
      </c>
      <c r="H35780" s="49" t="str">
        <f t="shared" si="2"/>
        <v>07078</v>
      </c>
    </row>
    <row r="35781">
      <c r="A35781" s="48" t="s">
        <v>1089</v>
      </c>
      <c r="B35781" s="38">
        <v>67036.0</v>
      </c>
      <c r="C35781" s="38" t="s">
        <v>39904</v>
      </c>
      <c r="D35781" s="38" t="str">
        <f>IFERROR(__xludf.DUMMYFUNCTION("REGEXREPLACE(C35781,""-\d+(.*)|--\d+(.*)"","""")"),"BETTWILLER")</f>
        <v>BETTWILLER</v>
      </c>
      <c r="E35781" s="38" t="s">
        <v>210</v>
      </c>
      <c r="F35781" s="38" t="s">
        <v>151</v>
      </c>
      <c r="G35781" s="49" t="str">
        <f t="shared" si="1"/>
        <v>67320</v>
      </c>
      <c r="H35781" s="49">
        <f t="shared" si="2"/>
        <v>67036</v>
      </c>
    </row>
    <row r="35782">
      <c r="A35782" s="48" t="s">
        <v>4453</v>
      </c>
      <c r="B35782" s="38">
        <v>52371.0</v>
      </c>
      <c r="C35782" s="38" t="s">
        <v>39905</v>
      </c>
      <c r="D35782" s="38" t="str">
        <f>IFERROR(__xludf.DUMMYFUNCTION("REGEXREPLACE(C35782,""-\d+(.*)|--\d+(.*)"","""")"),"OUDINCOURT")</f>
        <v>OUDINCOURT</v>
      </c>
      <c r="E35782" s="38" t="s">
        <v>234</v>
      </c>
      <c r="F35782" s="38" t="s">
        <v>130</v>
      </c>
      <c r="G35782" s="49" t="str">
        <f t="shared" si="1"/>
        <v>52310</v>
      </c>
      <c r="H35782" s="49">
        <f t="shared" si="2"/>
        <v>52371</v>
      </c>
    </row>
    <row r="35783">
      <c r="A35783" s="48" t="s">
        <v>10063</v>
      </c>
      <c r="B35783" s="38">
        <v>18038.0</v>
      </c>
      <c r="C35783" s="38" t="s">
        <v>39906</v>
      </c>
      <c r="D35783" s="38" t="str">
        <f>IFERROR(__xludf.DUMMYFUNCTION("REGEXREPLACE(C35783,""-\d+(.*)|--\d+(.*)"","""")"),"BRUERE-ALLICHAMPS")</f>
        <v>BRUERE-ALLICHAMPS</v>
      </c>
      <c r="E35783" s="38" t="s">
        <v>504</v>
      </c>
      <c r="F35783" s="38" t="s">
        <v>123</v>
      </c>
      <c r="G35783" s="49" t="str">
        <f t="shared" si="1"/>
        <v>18200</v>
      </c>
      <c r="H35783" s="49">
        <f t="shared" si="2"/>
        <v>18038</v>
      </c>
    </row>
    <row r="35784">
      <c r="A35784" s="48" t="s">
        <v>6674</v>
      </c>
      <c r="B35784" s="38">
        <v>27359.0</v>
      </c>
      <c r="C35784" s="38" t="s">
        <v>39907</v>
      </c>
      <c r="D35784" s="38" t="str">
        <f>IFERROR(__xludf.DUMMYFUNCTION("REGEXREPLACE(C35784,""-\d+(.*)|--\d+(.*)"","""")"),"JUIGNETTES")</f>
        <v>JUIGNETTES</v>
      </c>
      <c r="E35784" s="38" t="s">
        <v>241</v>
      </c>
      <c r="F35784" s="38" t="s">
        <v>134</v>
      </c>
      <c r="G35784" s="49" t="str">
        <f t="shared" si="1"/>
        <v>27250</v>
      </c>
      <c r="H35784" s="49">
        <f t="shared" si="2"/>
        <v>27359</v>
      </c>
    </row>
    <row r="35785">
      <c r="A35785" s="48" t="s">
        <v>858</v>
      </c>
      <c r="B35785" s="38">
        <v>77525.0</v>
      </c>
      <c r="C35785" s="38" t="s">
        <v>39908</v>
      </c>
      <c r="D35785" s="38" t="str">
        <f>IFERROR(__xludf.DUMMYFUNCTION("REGEXREPLACE(C35785,""-\d+(.*)|--\d+(.*)"","""")"),"VINANTES")</f>
        <v>VINANTES</v>
      </c>
      <c r="E35785" s="38" t="s">
        <v>244</v>
      </c>
      <c r="F35785" s="38" t="s">
        <v>245</v>
      </c>
      <c r="G35785" s="49" t="str">
        <f t="shared" si="1"/>
        <v>77230</v>
      </c>
      <c r="H35785" s="49">
        <f t="shared" si="2"/>
        <v>77525</v>
      </c>
    </row>
    <row r="35786">
      <c r="A35786" s="48" t="s">
        <v>5332</v>
      </c>
      <c r="B35786" s="38">
        <v>1079.0</v>
      </c>
      <c r="C35786" s="38" t="s">
        <v>39909</v>
      </c>
      <c r="D35786" s="38" t="str">
        <f>IFERROR(__xludf.DUMMYFUNCTION("REGEXREPLACE(C35786,""-\d+(.*)|--\d+(.*)"","""")"),"CHAMPAGNE-EN-VALROMEY")</f>
        <v>CHAMPAGNE-EN-VALROMEY</v>
      </c>
      <c r="E35786" s="38" t="s">
        <v>255</v>
      </c>
      <c r="F35786" s="38" t="s">
        <v>102</v>
      </c>
      <c r="G35786" s="49" t="str">
        <f t="shared" si="1"/>
        <v>01260</v>
      </c>
      <c r="H35786" s="49" t="str">
        <f t="shared" si="2"/>
        <v>01079</v>
      </c>
    </row>
    <row r="35787">
      <c r="A35787" s="48" t="s">
        <v>11767</v>
      </c>
      <c r="B35787" s="38">
        <v>33550.0</v>
      </c>
      <c r="C35787" s="38" t="s">
        <v>39910</v>
      </c>
      <c r="D35787" s="38" t="str">
        <f>IFERROR(__xludf.DUMMYFUNCTION("REGEXREPLACE(C35787,""-\d+(.*)|--\d+(.*)"","""")"),"VILLENAVE-D'ORNON")</f>
        <v>VILLENAVE-D'ORNON</v>
      </c>
      <c r="E35787" s="38" t="s">
        <v>462</v>
      </c>
      <c r="F35787" s="38" t="s">
        <v>252</v>
      </c>
      <c r="G35787" s="49" t="str">
        <f t="shared" si="1"/>
        <v>33140</v>
      </c>
      <c r="H35787" s="49">
        <f t="shared" si="2"/>
        <v>33550</v>
      </c>
    </row>
    <row r="35788">
      <c r="A35788" s="48" t="s">
        <v>654</v>
      </c>
      <c r="B35788" s="38">
        <v>8311.0</v>
      </c>
      <c r="C35788" s="38" t="s">
        <v>13104</v>
      </c>
      <c r="D35788" s="38" t="str">
        <f>IFERROR(__xludf.DUMMYFUNCTION("REGEXREPLACE(C35788,""-\d+(.*)|--\d+(.*)"","""")"),"MOUZON")</f>
        <v>MOUZON</v>
      </c>
      <c r="E35788" s="38" t="s">
        <v>327</v>
      </c>
      <c r="F35788" s="38" t="s">
        <v>130</v>
      </c>
      <c r="G35788" s="49" t="str">
        <f t="shared" si="1"/>
        <v>08210</v>
      </c>
      <c r="H35788" s="49" t="str">
        <f t="shared" si="2"/>
        <v>08311</v>
      </c>
    </row>
    <row r="35789">
      <c r="A35789" s="48" t="s">
        <v>10433</v>
      </c>
      <c r="B35789" s="38">
        <v>46099.0</v>
      </c>
      <c r="C35789" s="38" t="s">
        <v>2212</v>
      </c>
      <c r="D35789" s="38" t="str">
        <f>IFERROR(__xludf.DUMMYFUNCTION("REGEXREPLACE(C35789,""-\d+(.*)|--\d+(.*)"","""")"),"FARGUES")</f>
        <v>FARGUES</v>
      </c>
      <c r="E35789" s="38" t="s">
        <v>185</v>
      </c>
      <c r="F35789" s="38" t="s">
        <v>94</v>
      </c>
      <c r="G35789" s="49" t="str">
        <f t="shared" si="1"/>
        <v>46800</v>
      </c>
      <c r="H35789" s="49">
        <f t="shared" si="2"/>
        <v>46099</v>
      </c>
    </row>
    <row r="35790">
      <c r="A35790" s="48" t="s">
        <v>12533</v>
      </c>
      <c r="B35790" s="38">
        <v>63200.0</v>
      </c>
      <c r="C35790" s="38" t="s">
        <v>15122</v>
      </c>
      <c r="D35790" s="38" t="str">
        <f>IFERROR(__xludf.DUMMYFUNCTION("REGEXREPLACE(C35790,""-\d+(.*)|--\d+(.*)"","""")"),"LUSSAT")</f>
        <v>LUSSAT</v>
      </c>
      <c r="E35790" s="38" t="s">
        <v>353</v>
      </c>
      <c r="F35790" s="38" t="s">
        <v>161</v>
      </c>
      <c r="G35790" s="49" t="str">
        <f t="shared" si="1"/>
        <v>63360</v>
      </c>
      <c r="H35790" s="49">
        <f t="shared" si="2"/>
        <v>63200</v>
      </c>
    </row>
    <row r="35791">
      <c r="A35791" s="48" t="s">
        <v>1810</v>
      </c>
      <c r="B35791" s="38">
        <v>23107.0</v>
      </c>
      <c r="C35791" s="38" t="s">
        <v>39911</v>
      </c>
      <c r="D35791" s="38" t="str">
        <f>IFERROR(__xludf.DUMMYFUNCTION("REGEXREPLACE(C35791,""-\d+(.*)|--\d+(.*)"","""")"),"LEPINAS")</f>
        <v>LEPINAS</v>
      </c>
      <c r="E35791" s="38" t="s">
        <v>97</v>
      </c>
      <c r="F35791" s="38" t="s">
        <v>98</v>
      </c>
      <c r="G35791" s="49" t="str">
        <f t="shared" si="1"/>
        <v>23150</v>
      </c>
      <c r="H35791" s="49">
        <f t="shared" si="2"/>
        <v>23107</v>
      </c>
    </row>
    <row r="35792">
      <c r="A35792" s="48" t="s">
        <v>1212</v>
      </c>
      <c r="B35792" s="38">
        <v>11013.0</v>
      </c>
      <c r="C35792" s="38" t="s">
        <v>39912</v>
      </c>
      <c r="D35792" s="38" t="str">
        <f>IFERROR(__xludf.DUMMYFUNCTION("REGEXREPLACE(C35792,""-\d+(.*)|--\d+(.*)"","""")"),"ARGENS-MINERVOIS")</f>
        <v>ARGENS-MINERVOIS</v>
      </c>
      <c r="E35792" s="38" t="s">
        <v>278</v>
      </c>
      <c r="F35792" s="38" t="s">
        <v>119</v>
      </c>
      <c r="G35792" s="49" t="str">
        <f t="shared" si="1"/>
        <v>11200</v>
      </c>
      <c r="H35792" s="49">
        <f t="shared" si="2"/>
        <v>11013</v>
      </c>
    </row>
    <row r="35793">
      <c r="A35793" s="48" t="s">
        <v>8616</v>
      </c>
      <c r="B35793" s="38">
        <v>2324.0</v>
      </c>
      <c r="C35793" s="38" t="s">
        <v>24437</v>
      </c>
      <c r="D35793" s="38" t="str">
        <f>IFERROR(__xludf.DUMMYFUNCTION("REGEXREPLACE(C35793,""-\d+(.*)|--\d+(.*)"","""")"),"FONTENELLE")</f>
        <v>FONTENELLE</v>
      </c>
      <c r="E35793" s="38" t="s">
        <v>191</v>
      </c>
      <c r="F35793" s="38" t="s">
        <v>113</v>
      </c>
      <c r="G35793" s="49" t="str">
        <f t="shared" si="1"/>
        <v>02170</v>
      </c>
      <c r="H35793" s="49" t="str">
        <f t="shared" si="2"/>
        <v>02324</v>
      </c>
    </row>
    <row r="35794">
      <c r="A35794" s="48" t="s">
        <v>4168</v>
      </c>
      <c r="B35794" s="38">
        <v>1063.0</v>
      </c>
      <c r="C35794" s="38" t="s">
        <v>17120</v>
      </c>
      <c r="D35794" s="38" t="str">
        <f>IFERROR(__xludf.DUMMYFUNCTION("REGEXREPLACE(C35794,""-\d+(.*)|--\d+(.*)"","""")"),"BRION")</f>
        <v>BRION</v>
      </c>
      <c r="E35794" s="38" t="s">
        <v>255</v>
      </c>
      <c r="F35794" s="38" t="s">
        <v>102</v>
      </c>
      <c r="G35794" s="49" t="str">
        <f t="shared" si="1"/>
        <v>01460</v>
      </c>
      <c r="H35794" s="49" t="str">
        <f t="shared" si="2"/>
        <v>01063</v>
      </c>
    </row>
    <row r="35795">
      <c r="A35795" s="48" t="s">
        <v>127</v>
      </c>
      <c r="B35795" s="38">
        <v>51229.0</v>
      </c>
      <c r="C35795" s="38" t="s">
        <v>39913</v>
      </c>
      <c r="D35795" s="38" t="str">
        <f>IFERROR(__xludf.DUMMYFUNCTION("REGEXREPLACE(C35795,""-\d+(.*)|--\d+(.*)"","""")"),"EPENSE")</f>
        <v>EPENSE</v>
      </c>
      <c r="E35795" s="38" t="s">
        <v>129</v>
      </c>
      <c r="F35795" s="38" t="s">
        <v>130</v>
      </c>
      <c r="G35795" s="49" t="str">
        <f t="shared" si="1"/>
        <v>51330</v>
      </c>
      <c r="H35795" s="49">
        <f t="shared" si="2"/>
        <v>51229</v>
      </c>
    </row>
    <row r="35796">
      <c r="A35796" s="48" t="s">
        <v>15022</v>
      </c>
      <c r="B35796" s="38">
        <v>8211.0</v>
      </c>
      <c r="C35796" s="38" t="s">
        <v>19235</v>
      </c>
      <c r="D35796" s="38" t="str">
        <f>IFERROR(__xludf.DUMMYFUNCTION("REGEXREPLACE(C35796,""-\d+(.*)|--\d+(.*)"","""")"),"HARAUCOURT")</f>
        <v>HARAUCOURT</v>
      </c>
      <c r="E35796" s="38" t="s">
        <v>327</v>
      </c>
      <c r="F35796" s="38" t="s">
        <v>130</v>
      </c>
      <c r="G35796" s="49" t="str">
        <f t="shared" si="1"/>
        <v>08450</v>
      </c>
      <c r="H35796" s="49" t="str">
        <f t="shared" si="2"/>
        <v>08211</v>
      </c>
    </row>
    <row r="35797">
      <c r="A35797" s="48" t="s">
        <v>533</v>
      </c>
      <c r="B35797" s="38">
        <v>50441.0</v>
      </c>
      <c r="C35797" s="38" t="s">
        <v>39914</v>
      </c>
      <c r="D35797" s="38" t="str">
        <f>IFERROR(__xludf.DUMMYFUNCTION("REGEXREPLACE(C35797,""-\d+(.*)|--\d+(.*)"","""")"),"ROUXEVILLE")</f>
        <v>ROUXEVILLE</v>
      </c>
      <c r="E35797" s="38" t="s">
        <v>157</v>
      </c>
      <c r="F35797" s="38" t="s">
        <v>138</v>
      </c>
      <c r="G35797" s="49" t="str">
        <f t="shared" si="1"/>
        <v>50810</v>
      </c>
      <c r="H35797" s="49">
        <f t="shared" si="2"/>
        <v>50441</v>
      </c>
    </row>
    <row r="35798">
      <c r="A35798" s="48" t="s">
        <v>2047</v>
      </c>
      <c r="B35798" s="38">
        <v>62777.0</v>
      </c>
      <c r="C35798" s="38" t="s">
        <v>39915</v>
      </c>
      <c r="D35798" s="38" t="str">
        <f>IFERROR(__xludf.DUMMYFUNCTION("REGEXREPLACE(C35798,""-\d+(.*)|--\d+(.*)"","""")"),"LE SARS")</f>
        <v>LE SARS</v>
      </c>
      <c r="E35798" s="38" t="s">
        <v>109</v>
      </c>
      <c r="F35798" s="38" t="s">
        <v>86</v>
      </c>
      <c r="G35798" s="49" t="str">
        <f t="shared" si="1"/>
        <v>62450</v>
      </c>
      <c r="H35798" s="49">
        <f t="shared" si="2"/>
        <v>62777</v>
      </c>
    </row>
    <row r="35799">
      <c r="A35799" s="48" t="s">
        <v>1029</v>
      </c>
      <c r="B35799" s="38">
        <v>9295.0</v>
      </c>
      <c r="C35799" s="38" t="s">
        <v>39916</v>
      </c>
      <c r="D35799" s="38" t="str">
        <f>IFERROR(__xludf.DUMMYFUNCTION("REGEXREPLACE(C35799,""-\d+(.*)|--\d+(.*)"","""")"),"SIGUER")</f>
        <v>SIGUER</v>
      </c>
      <c r="E35799" s="38" t="s">
        <v>238</v>
      </c>
      <c r="F35799" s="38" t="s">
        <v>94</v>
      </c>
      <c r="G35799" s="49" t="str">
        <f t="shared" si="1"/>
        <v>09220</v>
      </c>
      <c r="H35799" s="49" t="str">
        <f t="shared" si="2"/>
        <v>09295</v>
      </c>
    </row>
    <row r="35800">
      <c r="A35800" s="48" t="s">
        <v>2182</v>
      </c>
      <c r="B35800" s="38">
        <v>89107.0</v>
      </c>
      <c r="C35800" s="38" t="s">
        <v>39917</v>
      </c>
      <c r="D35800" s="38" t="str">
        <f>IFERROR(__xludf.DUMMYFUNCTION("REGEXREPLACE(C35800,""-\d+(.*)|--\d+(.*)"","""")"),"CHIGY")</f>
        <v>CHIGY</v>
      </c>
      <c r="E35800" s="38" t="s">
        <v>275</v>
      </c>
      <c r="F35800" s="38" t="s">
        <v>106</v>
      </c>
      <c r="G35800" s="49" t="str">
        <f t="shared" si="1"/>
        <v>89190</v>
      </c>
      <c r="H35800" s="49">
        <f t="shared" si="2"/>
        <v>89107</v>
      </c>
    </row>
    <row r="35801">
      <c r="A35801" s="48" t="s">
        <v>19883</v>
      </c>
      <c r="B35801" s="38">
        <v>38020.0</v>
      </c>
      <c r="C35801" s="38" t="s">
        <v>39918</v>
      </c>
      <c r="D35801" s="38" t="str">
        <f>IFERROR(__xludf.DUMMYFUNCTION("REGEXREPLACE(C35801,""-\d+(.*)|--\d+(.*)"","""")"),"AURIS")</f>
        <v>AURIS</v>
      </c>
      <c r="E35801" s="38" t="s">
        <v>101</v>
      </c>
      <c r="F35801" s="38" t="s">
        <v>102</v>
      </c>
      <c r="G35801" s="49" t="str">
        <f t="shared" si="1"/>
        <v>38142</v>
      </c>
      <c r="H35801" s="49">
        <f t="shared" si="2"/>
        <v>38020</v>
      </c>
    </row>
    <row r="35802">
      <c r="A35802" s="48" t="s">
        <v>9207</v>
      </c>
      <c r="B35802" s="38">
        <v>57190.0</v>
      </c>
      <c r="C35802" s="38" t="s">
        <v>39919</v>
      </c>
      <c r="D35802" s="38" t="str">
        <f>IFERROR(__xludf.DUMMYFUNCTION("REGEXREPLACE(C35802,""-\d+(.*)|--\d+(.*)"","""")"),"ELVANGE")</f>
        <v>ELVANGE</v>
      </c>
      <c r="E35802" s="38" t="s">
        <v>303</v>
      </c>
      <c r="F35802" s="38" t="s">
        <v>195</v>
      </c>
      <c r="G35802" s="49" t="str">
        <f t="shared" si="1"/>
        <v>57690</v>
      </c>
      <c r="H35802" s="49">
        <f t="shared" si="2"/>
        <v>57190</v>
      </c>
    </row>
    <row r="35803">
      <c r="A35803" s="48" t="s">
        <v>1866</v>
      </c>
      <c r="B35803" s="38">
        <v>61326.0</v>
      </c>
      <c r="C35803" s="38" t="s">
        <v>39920</v>
      </c>
      <c r="D35803" s="38" t="str">
        <f>IFERROR(__xludf.DUMMYFUNCTION("REGEXREPLACE(C35803,""-\d+(.*)|--\d+(.*)"","""")"),"PERROU")</f>
        <v>PERROU</v>
      </c>
      <c r="E35803" s="38" t="s">
        <v>141</v>
      </c>
      <c r="F35803" s="38" t="s">
        <v>138</v>
      </c>
      <c r="G35803" s="49" t="str">
        <f t="shared" si="1"/>
        <v>61700</v>
      </c>
      <c r="H35803" s="49">
        <f t="shared" si="2"/>
        <v>61326</v>
      </c>
    </row>
    <row r="35804">
      <c r="A35804" s="48" t="s">
        <v>3289</v>
      </c>
      <c r="B35804" s="38">
        <v>50448.0</v>
      </c>
      <c r="C35804" s="38" t="s">
        <v>39921</v>
      </c>
      <c r="D35804" s="38" t="str">
        <f>IFERROR(__xludf.DUMMYFUNCTION("REGEXREPLACE(C35804,""-\d+(.*)|--\d+(.*)"","""")"),"SAINT-AUBIN-DE-TERREGATTE")</f>
        <v>SAINT-AUBIN-DE-TERREGATTE</v>
      </c>
      <c r="E35804" s="38" t="s">
        <v>157</v>
      </c>
      <c r="F35804" s="38" t="s">
        <v>138</v>
      </c>
      <c r="G35804" s="49" t="str">
        <f t="shared" si="1"/>
        <v>50240</v>
      </c>
      <c r="H35804" s="49">
        <f t="shared" si="2"/>
        <v>50448</v>
      </c>
    </row>
    <row r="35805">
      <c r="A35805" s="48" t="s">
        <v>4543</v>
      </c>
      <c r="B35805" s="38">
        <v>64051.0</v>
      </c>
      <c r="C35805" s="38" t="s">
        <v>39922</v>
      </c>
      <c r="D35805" s="38" t="str">
        <f>IFERROR(__xludf.DUMMYFUNCTION("REGEXREPLACE(C35805,""-\d+(.*)|--\d+(.*)"","""")"),"ARRAUTE-CHARRITTE")</f>
        <v>ARRAUTE-CHARRITTE</v>
      </c>
      <c r="E35805" s="38" t="s">
        <v>268</v>
      </c>
      <c r="F35805" s="38" t="s">
        <v>252</v>
      </c>
      <c r="G35805" s="49" t="str">
        <f t="shared" si="1"/>
        <v>64120</v>
      </c>
      <c r="H35805" s="49">
        <f t="shared" si="2"/>
        <v>64051</v>
      </c>
    </row>
    <row r="35806">
      <c r="A35806" s="48" t="s">
        <v>9991</v>
      </c>
      <c r="B35806" s="38">
        <v>9176.0</v>
      </c>
      <c r="C35806" s="38" t="s">
        <v>39923</v>
      </c>
      <c r="D35806" s="38" t="str">
        <f>IFERROR(__xludf.DUMMYFUNCTION("REGEXREPLACE(C35806,""-\d+(.*)|--\d+(.*)"","""")"),"LUZENAC")</f>
        <v>LUZENAC</v>
      </c>
      <c r="E35806" s="38" t="s">
        <v>238</v>
      </c>
      <c r="F35806" s="38" t="s">
        <v>94</v>
      </c>
      <c r="G35806" s="49" t="str">
        <f t="shared" si="1"/>
        <v>09250</v>
      </c>
      <c r="H35806" s="49" t="str">
        <f t="shared" si="2"/>
        <v>09176</v>
      </c>
    </row>
    <row r="35807">
      <c r="A35807" s="48" t="s">
        <v>1157</v>
      </c>
      <c r="B35807" s="38">
        <v>16179.0</v>
      </c>
      <c r="C35807" s="38" t="s">
        <v>39924</v>
      </c>
      <c r="D35807" s="38" t="str">
        <f>IFERROR(__xludf.DUMMYFUNCTION("REGEXREPLACE(C35807,""-\d+(.*)|--\d+(.*)"","""")"),"LAMERAC")</f>
        <v>LAMERAC</v>
      </c>
      <c r="E35807" s="38" t="s">
        <v>429</v>
      </c>
      <c r="F35807" s="38" t="s">
        <v>338</v>
      </c>
      <c r="G35807" s="49" t="str">
        <f t="shared" si="1"/>
        <v>16300</v>
      </c>
      <c r="H35807" s="49">
        <f t="shared" si="2"/>
        <v>16179</v>
      </c>
    </row>
    <row r="35808">
      <c r="A35808" s="48" t="s">
        <v>3450</v>
      </c>
      <c r="B35808" s="38">
        <v>60431.0</v>
      </c>
      <c r="C35808" s="38" t="s">
        <v>39925</v>
      </c>
      <c r="D35808" s="38" t="str">
        <f>IFERROR(__xludf.DUMMYFUNCTION("REGEXREPLACE(C35808,""-\d+(.*)|--\d+(.*)"","""")"),"MORLINCOURT")</f>
        <v>MORLINCOURT</v>
      </c>
      <c r="E35808" s="38" t="s">
        <v>112</v>
      </c>
      <c r="F35808" s="38" t="s">
        <v>113</v>
      </c>
      <c r="G35808" s="49" t="str">
        <f t="shared" si="1"/>
        <v>60400</v>
      </c>
      <c r="H35808" s="49">
        <f t="shared" si="2"/>
        <v>60431</v>
      </c>
    </row>
    <row r="35809">
      <c r="A35809" s="48" t="s">
        <v>1817</v>
      </c>
      <c r="B35809" s="38">
        <v>31054.0</v>
      </c>
      <c r="C35809" s="38" t="s">
        <v>39926</v>
      </c>
      <c r="D35809" s="38" t="str">
        <f>IFERROR(__xludf.DUMMYFUNCTION("REGEXREPLACE(C35809,""-\d+(.*)|--\d+(.*)"","""")"),"BEAUTEVILLE")</f>
        <v>BEAUTEVILLE</v>
      </c>
      <c r="E35809" s="38" t="s">
        <v>93</v>
      </c>
      <c r="F35809" s="38" t="s">
        <v>94</v>
      </c>
      <c r="G35809" s="49" t="str">
        <f t="shared" si="1"/>
        <v>31290</v>
      </c>
      <c r="H35809" s="49">
        <f t="shared" si="2"/>
        <v>31054</v>
      </c>
    </row>
    <row r="35810">
      <c r="A35810" s="48" t="s">
        <v>5690</v>
      </c>
      <c r="B35810" s="38">
        <v>8346.0</v>
      </c>
      <c r="C35810" s="38" t="s">
        <v>39927</v>
      </c>
      <c r="D35810" s="38" t="str">
        <f>IFERROR(__xludf.DUMMYFUNCTION("REGEXREPLACE(C35810,""-\d+(.*)|--\d+(.*)"","""")"),"PRIX-LES-MEZIERES")</f>
        <v>PRIX-LES-MEZIERES</v>
      </c>
      <c r="E35810" s="38" t="s">
        <v>327</v>
      </c>
      <c r="F35810" s="38" t="s">
        <v>130</v>
      </c>
      <c r="G35810" s="49" t="str">
        <f t="shared" si="1"/>
        <v>08000</v>
      </c>
      <c r="H35810" s="49" t="str">
        <f t="shared" si="2"/>
        <v>08346</v>
      </c>
    </row>
    <row r="35811">
      <c r="A35811" s="48" t="s">
        <v>4453</v>
      </c>
      <c r="B35811" s="38">
        <v>52548.0</v>
      </c>
      <c r="C35811" s="38" t="s">
        <v>39928</v>
      </c>
      <c r="D35811" s="38" t="str">
        <f>IFERROR(__xludf.DUMMYFUNCTION("REGEXREPLACE(C35811,""-\d+(.*)|--\d+(.*)"","""")"),"VRAINCOURT")</f>
        <v>VRAINCOURT</v>
      </c>
      <c r="E35811" s="38" t="s">
        <v>234</v>
      </c>
      <c r="F35811" s="38" t="s">
        <v>130</v>
      </c>
      <c r="G35811" s="49" t="str">
        <f t="shared" si="1"/>
        <v>52310</v>
      </c>
      <c r="H35811" s="49">
        <f t="shared" si="2"/>
        <v>52548</v>
      </c>
    </row>
    <row r="35812">
      <c r="A35812" s="48" t="s">
        <v>10999</v>
      </c>
      <c r="B35812" s="38">
        <v>66137.0</v>
      </c>
      <c r="C35812" s="38" t="s">
        <v>39929</v>
      </c>
      <c r="D35812" s="38" t="str">
        <f>IFERROR(__xludf.DUMMYFUNCTION("REGEXREPLACE(C35812,""-\d+(.*)|--\d+(.*)"","""")"),"LE PERTHUS")</f>
        <v>LE PERTHUS</v>
      </c>
      <c r="E35812" s="38" t="s">
        <v>248</v>
      </c>
      <c r="F35812" s="38" t="s">
        <v>119</v>
      </c>
      <c r="G35812" s="49" t="str">
        <f t="shared" si="1"/>
        <v>66480</v>
      </c>
      <c r="H35812" s="49">
        <f t="shared" si="2"/>
        <v>66137</v>
      </c>
    </row>
    <row r="35813">
      <c r="A35813" s="48" t="s">
        <v>13405</v>
      </c>
      <c r="B35813" s="38">
        <v>28130.0</v>
      </c>
      <c r="C35813" s="38" t="s">
        <v>39930</v>
      </c>
      <c r="D35813" s="38" t="str">
        <f>IFERROR(__xludf.DUMMYFUNCTION("REGEXREPLACE(C35813,""-\d+(.*)|--\d+(.*)"","""")"),"DIGNY")</f>
        <v>DIGNY</v>
      </c>
      <c r="E35813" s="38" t="s">
        <v>300</v>
      </c>
      <c r="F35813" s="38" t="s">
        <v>123</v>
      </c>
      <c r="G35813" s="49" t="str">
        <f t="shared" si="1"/>
        <v>28250</v>
      </c>
      <c r="H35813" s="49">
        <f t="shared" si="2"/>
        <v>28130</v>
      </c>
    </row>
    <row r="35814">
      <c r="A35814" s="48" t="s">
        <v>2482</v>
      </c>
      <c r="B35814" s="38">
        <v>28072.0</v>
      </c>
      <c r="C35814" s="38" t="s">
        <v>39931</v>
      </c>
      <c r="D35814" s="38" t="str">
        <f>IFERROR(__xludf.DUMMYFUNCTION("REGEXREPLACE(C35814,""-\d+(.*)|--\d+(.*)"","""")"),"CHAMPROND-EN-PERCHET")</f>
        <v>CHAMPROND-EN-PERCHET</v>
      </c>
      <c r="E35814" s="38" t="s">
        <v>300</v>
      </c>
      <c r="F35814" s="38" t="s">
        <v>123</v>
      </c>
      <c r="G35814" s="49" t="str">
        <f t="shared" si="1"/>
        <v>28400</v>
      </c>
      <c r="H35814" s="49">
        <f t="shared" si="2"/>
        <v>28072</v>
      </c>
    </row>
    <row r="35815">
      <c r="A35815" s="48" t="s">
        <v>1483</v>
      </c>
      <c r="B35815" s="38">
        <v>80637.0</v>
      </c>
      <c r="C35815" s="38" t="s">
        <v>39932</v>
      </c>
      <c r="D35815" s="38" t="str">
        <f>IFERROR(__xludf.DUMMYFUNCTION("REGEXREPLACE(C35815,""-\d+(.*)|--\d+(.*)"","""")"),"PORT-LE-GRAND")</f>
        <v>PORT-LE-GRAND</v>
      </c>
      <c r="E35815" s="38" t="s">
        <v>224</v>
      </c>
      <c r="F35815" s="38" t="s">
        <v>113</v>
      </c>
      <c r="G35815" s="49" t="str">
        <f t="shared" si="1"/>
        <v>80132</v>
      </c>
      <c r="H35815" s="49">
        <f t="shared" si="2"/>
        <v>80637</v>
      </c>
    </row>
    <row r="35816">
      <c r="A35816" s="48" t="s">
        <v>1212</v>
      </c>
      <c r="B35816" s="38">
        <v>11256.0</v>
      </c>
      <c r="C35816" s="38" t="s">
        <v>39933</v>
      </c>
      <c r="D35816" s="38" t="str">
        <f>IFERROR(__xludf.DUMMYFUNCTION("REGEXREPLACE(C35816,""-\d+(.*)|--\d+(.*)"","""")"),"MONTSERET")</f>
        <v>MONTSERET</v>
      </c>
      <c r="E35816" s="38" t="s">
        <v>278</v>
      </c>
      <c r="F35816" s="38" t="s">
        <v>119</v>
      </c>
      <c r="G35816" s="49" t="str">
        <f t="shared" si="1"/>
        <v>11200</v>
      </c>
      <c r="H35816" s="49">
        <f t="shared" si="2"/>
        <v>11256</v>
      </c>
    </row>
    <row r="35817">
      <c r="A35817" s="48" t="s">
        <v>7496</v>
      </c>
      <c r="B35817" s="38">
        <v>62861.0</v>
      </c>
      <c r="C35817" s="38" t="s">
        <v>39934</v>
      </c>
      <c r="D35817" s="38" t="str">
        <f>IFERROR(__xludf.DUMMYFUNCTION("REGEXREPLACE(C35817,""-\d+(.*)|--\d+(.*)"","""")"),"VIMY")</f>
        <v>VIMY</v>
      </c>
      <c r="E35817" s="38" t="s">
        <v>109</v>
      </c>
      <c r="F35817" s="38" t="s">
        <v>86</v>
      </c>
      <c r="G35817" s="49" t="str">
        <f t="shared" si="1"/>
        <v>62580</v>
      </c>
      <c r="H35817" s="49">
        <f t="shared" si="2"/>
        <v>62861</v>
      </c>
    </row>
    <row r="35818">
      <c r="A35818" s="48" t="s">
        <v>11840</v>
      </c>
      <c r="B35818" s="38">
        <v>40187.0</v>
      </c>
      <c r="C35818" s="38" t="s">
        <v>39935</v>
      </c>
      <c r="D35818" s="38" t="str">
        <f>IFERROR(__xludf.DUMMYFUNCTION("REGEXREPLACE(C35818,""-\d+(.*)|--\d+(.*)"","""")"),"MOLIETS-ET-MAA")</f>
        <v>MOLIETS-ET-MAA</v>
      </c>
      <c r="E35818" s="38" t="s">
        <v>281</v>
      </c>
      <c r="F35818" s="38" t="s">
        <v>252</v>
      </c>
      <c r="G35818" s="49" t="str">
        <f t="shared" si="1"/>
        <v>40660</v>
      </c>
      <c r="H35818" s="49">
        <f t="shared" si="2"/>
        <v>40187</v>
      </c>
    </row>
    <row r="35819">
      <c r="A35819" s="48" t="s">
        <v>571</v>
      </c>
      <c r="B35819" s="38">
        <v>55083.0</v>
      </c>
      <c r="C35819" s="38" t="s">
        <v>39936</v>
      </c>
      <c r="D35819" s="38" t="str">
        <f>IFERROR(__xludf.DUMMYFUNCTION("REGEXREPLACE(C35819,""-\d+(.*)|--\d+(.*)"","""")"),"BROUENNES")</f>
        <v>BROUENNES</v>
      </c>
      <c r="E35819" s="38" t="s">
        <v>322</v>
      </c>
      <c r="F35819" s="38" t="s">
        <v>195</v>
      </c>
      <c r="G35819" s="49" t="str">
        <f t="shared" si="1"/>
        <v>55700</v>
      </c>
      <c r="H35819" s="49">
        <f t="shared" si="2"/>
        <v>55083</v>
      </c>
    </row>
    <row r="35820">
      <c r="A35820" s="48" t="s">
        <v>2362</v>
      </c>
      <c r="B35820" s="38">
        <v>14730.0</v>
      </c>
      <c r="C35820" s="38" t="s">
        <v>39937</v>
      </c>
      <c r="D35820" s="38" t="str">
        <f>IFERROR(__xludf.DUMMYFUNCTION("REGEXREPLACE(C35820,""-\d+(.*)|--\d+(.*)"","""")"),"VAUDRY")</f>
        <v>VAUDRY</v>
      </c>
      <c r="E35820" s="38" t="s">
        <v>137</v>
      </c>
      <c r="F35820" s="38" t="s">
        <v>138</v>
      </c>
      <c r="G35820" s="49" t="str">
        <f t="shared" si="1"/>
        <v>14500</v>
      </c>
      <c r="H35820" s="49">
        <f t="shared" si="2"/>
        <v>14730</v>
      </c>
    </row>
    <row r="35821">
      <c r="A35821" s="48" t="s">
        <v>2538</v>
      </c>
      <c r="B35821" s="38">
        <v>12290.0</v>
      </c>
      <c r="C35821" s="38" t="s">
        <v>39938</v>
      </c>
      <c r="D35821" s="38" t="str">
        <f>IFERROR(__xludf.DUMMYFUNCTION("REGEXREPLACE(C35821,""-\d+(.*)|--\d+(.*)"","""")"),"VAUREILLES")</f>
        <v>VAUREILLES</v>
      </c>
      <c r="E35821" s="38" t="s">
        <v>465</v>
      </c>
      <c r="F35821" s="38" t="s">
        <v>94</v>
      </c>
      <c r="G35821" s="49" t="str">
        <f t="shared" si="1"/>
        <v>12220</v>
      </c>
      <c r="H35821" s="49">
        <f t="shared" si="2"/>
        <v>12290</v>
      </c>
    </row>
    <row r="35822">
      <c r="A35822" s="48" t="s">
        <v>3945</v>
      </c>
      <c r="B35822" s="38">
        <v>34219.0</v>
      </c>
      <c r="C35822" s="38" t="s">
        <v>39939</v>
      </c>
      <c r="D35822" s="38" t="str">
        <f>IFERROR(__xludf.DUMMYFUNCTION("REGEXREPLACE(C35822,""-\d+(.*)|--\d+(.*)"","""")"),"PREMIAN")</f>
        <v>PREMIAN</v>
      </c>
      <c r="E35822" s="38" t="s">
        <v>118</v>
      </c>
      <c r="F35822" s="38" t="s">
        <v>119</v>
      </c>
      <c r="G35822" s="49" t="str">
        <f t="shared" si="1"/>
        <v>34390</v>
      </c>
      <c r="H35822" s="49">
        <f t="shared" si="2"/>
        <v>34219</v>
      </c>
    </row>
    <row r="35823">
      <c r="A35823" s="48" t="s">
        <v>1768</v>
      </c>
      <c r="B35823" s="38">
        <v>53065.0</v>
      </c>
      <c r="C35823" s="38" t="s">
        <v>39940</v>
      </c>
      <c r="D35823" s="38" t="str">
        <f>IFERROR(__xludf.DUMMYFUNCTION("REGEXREPLACE(C35823,""-\d+(.*)|--\d+(.*)"","""")"),"CHATRES-LA-FORET")</f>
        <v>CHATRES-LA-FORET</v>
      </c>
      <c r="E35823" s="38" t="s">
        <v>518</v>
      </c>
      <c r="F35823" s="38" t="s">
        <v>180</v>
      </c>
      <c r="G35823" s="49" t="str">
        <f t="shared" si="1"/>
        <v>53600</v>
      </c>
      <c r="H35823" s="49">
        <f t="shared" si="2"/>
        <v>53065</v>
      </c>
    </row>
    <row r="35824">
      <c r="A35824" s="48" t="s">
        <v>6734</v>
      </c>
      <c r="B35824" s="38">
        <v>28235.0</v>
      </c>
      <c r="C35824" s="38" t="s">
        <v>39941</v>
      </c>
      <c r="D35824" s="38" t="str">
        <f>IFERROR(__xludf.DUMMYFUNCTION("REGEXREPLACE(C35824,""-\d+(.*)|--\d+(.*)"","""")"),"MARCHEZAIS")</f>
        <v>MARCHEZAIS</v>
      </c>
      <c r="E35824" s="38" t="s">
        <v>300</v>
      </c>
      <c r="F35824" s="38" t="s">
        <v>123</v>
      </c>
      <c r="G35824" s="49" t="str">
        <f t="shared" si="1"/>
        <v>28410</v>
      </c>
      <c r="H35824" s="49">
        <f t="shared" si="2"/>
        <v>28235</v>
      </c>
    </row>
    <row r="35825">
      <c r="A35825" s="48" t="s">
        <v>1058</v>
      </c>
      <c r="B35825" s="38">
        <v>21647.0</v>
      </c>
      <c r="C35825" s="38" t="s">
        <v>39942</v>
      </c>
      <c r="D35825" s="38" t="str">
        <f>IFERROR(__xludf.DUMMYFUNCTION("REGEXREPLACE(C35825,""-\d+(.*)|--\d+(.*)"","""")"),"TRUGNY")</f>
        <v>TRUGNY</v>
      </c>
      <c r="E35825" s="38" t="s">
        <v>105</v>
      </c>
      <c r="F35825" s="38" t="s">
        <v>106</v>
      </c>
      <c r="G35825" s="49" t="str">
        <f t="shared" si="1"/>
        <v>21250</v>
      </c>
      <c r="H35825" s="49">
        <f t="shared" si="2"/>
        <v>21647</v>
      </c>
    </row>
    <row r="35826">
      <c r="A35826" s="48" t="s">
        <v>1497</v>
      </c>
      <c r="B35826" s="38">
        <v>83110.0</v>
      </c>
      <c r="C35826" s="38" t="s">
        <v>39943</v>
      </c>
      <c r="D35826" s="38" t="str">
        <f>IFERROR(__xludf.DUMMYFUNCTION("REGEXREPLACE(C35826,""-\d+(.*)|--\d+(.*)"","""")"),"ROUGIERS")</f>
        <v>ROUGIERS</v>
      </c>
      <c r="E35826" s="38" t="s">
        <v>813</v>
      </c>
      <c r="F35826" s="38" t="s">
        <v>228</v>
      </c>
      <c r="G35826" s="49" t="str">
        <f t="shared" si="1"/>
        <v>83170</v>
      </c>
      <c r="H35826" s="49">
        <f t="shared" si="2"/>
        <v>83110</v>
      </c>
    </row>
    <row r="35827">
      <c r="A35827" s="48" t="s">
        <v>2685</v>
      </c>
      <c r="B35827" s="38" t="s">
        <v>39944</v>
      </c>
      <c r="C35827" s="38" t="s">
        <v>39945</v>
      </c>
      <c r="D35827" s="38" t="str">
        <f>IFERROR(__xludf.DUMMYFUNCTION("REGEXREPLACE(C35827,""-\d+(.*)|--\d+(.*)"","""")"),"RENNO")</f>
        <v>RENNO</v>
      </c>
      <c r="E35827" s="38" t="s">
        <v>606</v>
      </c>
      <c r="F35827" s="38" t="s">
        <v>607</v>
      </c>
      <c r="G35827" s="49" t="str">
        <f t="shared" si="1"/>
        <v>20160</v>
      </c>
      <c r="H35827" s="49" t="str">
        <f t="shared" si="2"/>
        <v>2A258</v>
      </c>
    </row>
    <row r="35828">
      <c r="A35828" s="48" t="s">
        <v>7889</v>
      </c>
      <c r="B35828" s="38">
        <v>56129.0</v>
      </c>
      <c r="C35828" s="38" t="s">
        <v>39946</v>
      </c>
      <c r="D35828" s="38" t="str">
        <f>IFERROR(__xludf.DUMMYFUNCTION("REGEXREPLACE(C35828,""-\d+(.*)|--\d+(.*)"","""")"),"MENEAC")</f>
        <v>MENEAC</v>
      </c>
      <c r="E35828" s="38" t="s">
        <v>173</v>
      </c>
      <c r="F35828" s="38" t="s">
        <v>90</v>
      </c>
      <c r="G35828" s="49" t="str">
        <f t="shared" si="1"/>
        <v>56490</v>
      </c>
      <c r="H35828" s="49">
        <f t="shared" si="2"/>
        <v>56129</v>
      </c>
    </row>
    <row r="35829">
      <c r="A35829" s="48" t="s">
        <v>39947</v>
      </c>
      <c r="B35829" s="38">
        <v>91286.0</v>
      </c>
      <c r="C35829" s="38" t="s">
        <v>6988</v>
      </c>
      <c r="D35829" s="38" t="str">
        <f>IFERROR(__xludf.DUMMYFUNCTION("REGEXREPLACE(C35829,""-\d+(.*)|--\d+(.*)"","""")"),"GRIGNY")</f>
        <v>GRIGNY</v>
      </c>
      <c r="E35829" s="38" t="s">
        <v>756</v>
      </c>
      <c r="F35829" s="38" t="s">
        <v>245</v>
      </c>
      <c r="G35829" s="49" t="str">
        <f t="shared" si="1"/>
        <v>91350</v>
      </c>
      <c r="H35829" s="49">
        <f t="shared" si="2"/>
        <v>91286</v>
      </c>
    </row>
    <row r="35830">
      <c r="A35830" s="48" t="s">
        <v>8883</v>
      </c>
      <c r="B35830" s="38">
        <v>39571.0</v>
      </c>
      <c r="C35830" s="38" t="s">
        <v>39948</v>
      </c>
      <c r="D35830" s="38" t="str">
        <f>IFERROR(__xludf.DUMMYFUNCTION("REGEXREPLACE(C35830,""-\d+(.*)|--\d+(.*)"","""")"),"VILLERS-ROBERT")</f>
        <v>VILLERS-ROBERT</v>
      </c>
      <c r="E35830" s="38" t="s">
        <v>400</v>
      </c>
      <c r="F35830" s="38" t="s">
        <v>214</v>
      </c>
      <c r="G35830" s="49" t="str">
        <f t="shared" si="1"/>
        <v>39120</v>
      </c>
      <c r="H35830" s="49">
        <f t="shared" si="2"/>
        <v>39571</v>
      </c>
    </row>
    <row r="35831">
      <c r="A35831" s="48" t="s">
        <v>2506</v>
      </c>
      <c r="B35831" s="38">
        <v>80037.0</v>
      </c>
      <c r="C35831" s="38" t="s">
        <v>39949</v>
      </c>
      <c r="D35831" s="38" t="str">
        <f>IFERROR(__xludf.DUMMYFUNCTION("REGEXREPLACE(C35831,""-\d+(.*)|--\d+(.*)"","""")"),"AUBVILLERS")</f>
        <v>AUBVILLERS</v>
      </c>
      <c r="E35831" s="38" t="s">
        <v>224</v>
      </c>
      <c r="F35831" s="38" t="s">
        <v>113</v>
      </c>
      <c r="G35831" s="49" t="str">
        <f t="shared" si="1"/>
        <v>80110</v>
      </c>
      <c r="H35831" s="49">
        <f t="shared" si="2"/>
        <v>80037</v>
      </c>
    </row>
    <row r="35832">
      <c r="A35832" s="48" t="s">
        <v>2638</v>
      </c>
      <c r="B35832" s="38">
        <v>56037.0</v>
      </c>
      <c r="C35832" s="38" t="s">
        <v>39950</v>
      </c>
      <c r="D35832" s="38" t="str">
        <f>IFERROR(__xludf.DUMMYFUNCTION("REGEXREPLACE(C35832,""-\d+(.*)|--\d+(.*)"","""")"),"LA CHAPELLE-CARO")</f>
        <v>LA CHAPELLE-CARO</v>
      </c>
      <c r="E35832" s="38" t="s">
        <v>173</v>
      </c>
      <c r="F35832" s="38" t="s">
        <v>90</v>
      </c>
      <c r="G35832" s="49" t="str">
        <f t="shared" si="1"/>
        <v>56460</v>
      </c>
      <c r="H35832" s="49">
        <f t="shared" si="2"/>
        <v>56037</v>
      </c>
    </row>
    <row r="35833">
      <c r="A35833" s="48" t="s">
        <v>6007</v>
      </c>
      <c r="B35833" s="38">
        <v>24195.0</v>
      </c>
      <c r="C35833" s="38" t="s">
        <v>39951</v>
      </c>
      <c r="D35833" s="38" t="str">
        <f>IFERROR(__xludf.DUMMYFUNCTION("REGEXREPLACE(C35833,""-\d+(.*)|--\d+(.*)"","""")"),"GAUGEAC")</f>
        <v>GAUGEAC</v>
      </c>
      <c r="E35833" s="38" t="s">
        <v>261</v>
      </c>
      <c r="F35833" s="38" t="s">
        <v>252</v>
      </c>
      <c r="G35833" s="49" t="str">
        <f t="shared" si="1"/>
        <v>24540</v>
      </c>
      <c r="H35833" s="49">
        <f t="shared" si="2"/>
        <v>24195</v>
      </c>
    </row>
    <row r="35834">
      <c r="A35834" s="48" t="s">
        <v>13481</v>
      </c>
      <c r="B35834" s="38">
        <v>54032.0</v>
      </c>
      <c r="C35834" s="38" t="s">
        <v>3535</v>
      </c>
      <c r="D35834" s="38" t="str">
        <f>IFERROR(__xludf.DUMMYFUNCTION("REGEXREPLACE(C35834,""-\d+(.*)|--\d+(.*)"","""")"),"AUTREY")</f>
        <v>AUTREY</v>
      </c>
      <c r="E35834" s="38" t="s">
        <v>548</v>
      </c>
      <c r="F35834" s="38" t="s">
        <v>195</v>
      </c>
      <c r="G35834" s="49" t="str">
        <f t="shared" si="1"/>
        <v>54160</v>
      </c>
      <c r="H35834" s="49">
        <f t="shared" si="2"/>
        <v>54032</v>
      </c>
    </row>
    <row r="35835">
      <c r="A35835" s="48" t="s">
        <v>23348</v>
      </c>
      <c r="B35835" s="38" t="s">
        <v>39952</v>
      </c>
      <c r="C35835" s="38" t="s">
        <v>39953</v>
      </c>
      <c r="D35835" s="38" t="str">
        <f>IFERROR(__xludf.DUMMYFUNCTION("REGEXREPLACE(C35835,""-\d+(.*)|--\d+(.*)"","""")"),"LURI")</f>
        <v>LURI</v>
      </c>
      <c r="E35835" s="38" t="s">
        <v>743</v>
      </c>
      <c r="F35835" s="38" t="s">
        <v>607</v>
      </c>
      <c r="G35835" s="49" t="str">
        <f t="shared" si="1"/>
        <v>20228</v>
      </c>
      <c r="H35835" s="49" t="str">
        <f t="shared" si="2"/>
        <v>2B152</v>
      </c>
    </row>
    <row r="35836">
      <c r="A35836" s="48" t="s">
        <v>99</v>
      </c>
      <c r="B35836" s="38">
        <v>38518.0</v>
      </c>
      <c r="C35836" s="38" t="s">
        <v>39954</v>
      </c>
      <c r="D35836" s="38" t="str">
        <f>IFERROR(__xludf.DUMMYFUNCTION("REGEXREPLACE(C35836,""-\d+(.*)|--\d+(.*)"","""")"),"VALBONNAIS")</f>
        <v>VALBONNAIS</v>
      </c>
      <c r="E35836" s="38" t="s">
        <v>101</v>
      </c>
      <c r="F35836" s="38" t="s">
        <v>102</v>
      </c>
      <c r="G35836" s="49" t="str">
        <f t="shared" si="1"/>
        <v>38740</v>
      </c>
      <c r="H35836" s="49">
        <f t="shared" si="2"/>
        <v>38518</v>
      </c>
    </row>
    <row r="35837">
      <c r="A35837" s="48" t="s">
        <v>17789</v>
      </c>
      <c r="B35837" s="38">
        <v>81068.0</v>
      </c>
      <c r="C35837" s="38" t="s">
        <v>39955</v>
      </c>
      <c r="D35837" s="38" t="str">
        <f>IFERROR(__xludf.DUMMYFUNCTION("REGEXREPLACE(C35837,""-\d+(.*)|--\d+(.*)"","""")"),"COMBEFA")</f>
        <v>COMBEFA</v>
      </c>
      <c r="E35837" s="38" t="s">
        <v>231</v>
      </c>
      <c r="F35837" s="38" t="s">
        <v>94</v>
      </c>
      <c r="G35837" s="49" t="str">
        <f t="shared" si="1"/>
        <v>81640</v>
      </c>
      <c r="H35837" s="49">
        <f t="shared" si="2"/>
        <v>81068</v>
      </c>
    </row>
    <row r="35838">
      <c r="A35838" s="48" t="s">
        <v>1713</v>
      </c>
      <c r="B35838" s="38">
        <v>36162.0</v>
      </c>
      <c r="C35838" s="38" t="s">
        <v>39956</v>
      </c>
      <c r="D35838" s="38" t="str">
        <f>IFERROR(__xludf.DUMMYFUNCTION("REGEXREPLACE(C35838,""-\d+(.*)|--\d+(.*)"","""")"),"POULAINES")</f>
        <v>POULAINES</v>
      </c>
      <c r="E35838" s="38" t="s">
        <v>258</v>
      </c>
      <c r="F35838" s="38" t="s">
        <v>123</v>
      </c>
      <c r="G35838" s="49" t="str">
        <f t="shared" si="1"/>
        <v>36210</v>
      </c>
      <c r="H35838" s="49">
        <f t="shared" si="2"/>
        <v>36162</v>
      </c>
    </row>
    <row r="35839">
      <c r="A35839" s="48" t="s">
        <v>1665</v>
      </c>
      <c r="B35839" s="38">
        <v>22317.0</v>
      </c>
      <c r="C35839" s="38" t="s">
        <v>39957</v>
      </c>
      <c r="D35839" s="38" t="str">
        <f>IFERROR(__xludf.DUMMYFUNCTION("REGEXREPLACE(C35839,""-\d+(.*)|--\d+(.*)"","""")"),"SAINT-MELOIR-DES-BOIS")</f>
        <v>SAINT-MELOIR-DES-BOIS</v>
      </c>
      <c r="E35839" s="38" t="s">
        <v>89</v>
      </c>
      <c r="F35839" s="38" t="s">
        <v>90</v>
      </c>
      <c r="G35839" s="49" t="str">
        <f t="shared" si="1"/>
        <v>22980</v>
      </c>
      <c r="H35839" s="49">
        <f t="shared" si="2"/>
        <v>22317</v>
      </c>
    </row>
    <row r="35840">
      <c r="A35840" s="48" t="s">
        <v>834</v>
      </c>
      <c r="B35840" s="38">
        <v>25502.0</v>
      </c>
      <c r="C35840" s="38" t="s">
        <v>39958</v>
      </c>
      <c r="D35840" s="38" t="str">
        <f>IFERROR(__xludf.DUMMYFUNCTION("REGEXREPLACE(C35840,""-\d+(.*)|--\d+(.*)"","""")"),"ROSET-FLUANS")</f>
        <v>ROSET-FLUANS</v>
      </c>
      <c r="E35840" s="38" t="s">
        <v>213</v>
      </c>
      <c r="F35840" s="38" t="s">
        <v>214</v>
      </c>
      <c r="G35840" s="49" t="str">
        <f t="shared" si="1"/>
        <v>25410</v>
      </c>
      <c r="H35840" s="49">
        <f t="shared" si="2"/>
        <v>25502</v>
      </c>
    </row>
    <row r="35841">
      <c r="A35841" s="48" t="s">
        <v>24030</v>
      </c>
      <c r="B35841" s="38">
        <v>28124.0</v>
      </c>
      <c r="C35841" s="38" t="s">
        <v>39959</v>
      </c>
      <c r="D35841" s="38" t="str">
        <f>IFERROR(__xludf.DUMMYFUNCTION("REGEXREPLACE(C35841,""-\d+(.*)|--\d+(.*)"","""")"),"DAMPIERRE-SUR-AVRE")</f>
        <v>DAMPIERRE-SUR-AVRE</v>
      </c>
      <c r="E35841" s="38" t="s">
        <v>300</v>
      </c>
      <c r="F35841" s="38" t="s">
        <v>123</v>
      </c>
      <c r="G35841" s="49" t="str">
        <f t="shared" si="1"/>
        <v>28350</v>
      </c>
      <c r="H35841" s="49">
        <f t="shared" si="2"/>
        <v>28124</v>
      </c>
    </row>
    <row r="35842">
      <c r="A35842" s="48" t="s">
        <v>7784</v>
      </c>
      <c r="B35842" s="38">
        <v>30132.0</v>
      </c>
      <c r="C35842" s="38" t="s">
        <v>39960</v>
      </c>
      <c r="D35842" s="38" t="str">
        <f>IFERROR(__xludf.DUMMYFUNCTION("REGEXREPLACE(C35842,""-\d+(.*)|--\d+(.*)"","""")"),"LA GRAND-COMBE")</f>
        <v>LA GRAND-COMBE</v>
      </c>
      <c r="E35842" s="38" t="s">
        <v>526</v>
      </c>
      <c r="F35842" s="38" t="s">
        <v>119</v>
      </c>
      <c r="G35842" s="49" t="str">
        <f t="shared" si="1"/>
        <v>30110</v>
      </c>
      <c r="H35842" s="49">
        <f t="shared" si="2"/>
        <v>30132</v>
      </c>
    </row>
    <row r="35843">
      <c r="A35843" s="48" t="s">
        <v>16541</v>
      </c>
      <c r="B35843" s="38">
        <v>71246.0</v>
      </c>
      <c r="C35843" s="38" t="s">
        <v>39961</v>
      </c>
      <c r="D35843" s="38" t="str">
        <f>IFERROR(__xludf.DUMMYFUNCTION("REGEXREPLACE(C35843,""-\d+(.*)|--\d+(.*)"","""")"),"JUIF")</f>
        <v>JUIF</v>
      </c>
      <c r="E35843" s="38" t="s">
        <v>344</v>
      </c>
      <c r="F35843" s="38" t="s">
        <v>106</v>
      </c>
      <c r="G35843" s="49" t="str">
        <f t="shared" si="1"/>
        <v>71440</v>
      </c>
      <c r="H35843" s="49">
        <f t="shared" si="2"/>
        <v>71246</v>
      </c>
    </row>
    <row r="35844">
      <c r="A35844" s="48" t="s">
        <v>1644</v>
      </c>
      <c r="B35844" s="38">
        <v>21454.0</v>
      </c>
      <c r="C35844" s="38" t="s">
        <v>39962</v>
      </c>
      <c r="D35844" s="38" t="str">
        <f>IFERROR(__xludf.DUMMYFUNCTION("REGEXREPLACE(C35844,""-\d+(.*)|--\d+(.*)"","""")"),"NICEY")</f>
        <v>NICEY</v>
      </c>
      <c r="E35844" s="38" t="s">
        <v>105</v>
      </c>
      <c r="F35844" s="38" t="s">
        <v>106</v>
      </c>
      <c r="G35844" s="49" t="str">
        <f t="shared" si="1"/>
        <v>21330</v>
      </c>
      <c r="H35844" s="49">
        <f t="shared" si="2"/>
        <v>21454</v>
      </c>
    </row>
    <row r="35845">
      <c r="A35845" s="48" t="s">
        <v>2582</v>
      </c>
      <c r="B35845" s="38">
        <v>14134.0</v>
      </c>
      <c r="C35845" s="38" t="s">
        <v>6040</v>
      </c>
      <c r="D35845" s="38" t="str">
        <f>IFERROR(__xludf.DUMMYFUNCTION("REGEXREPLACE(C35845,""-\d+(.*)|--\d+(.*)"","""")"),"CANTELOUP")</f>
        <v>CANTELOUP</v>
      </c>
      <c r="E35845" s="38" t="s">
        <v>137</v>
      </c>
      <c r="F35845" s="38" t="s">
        <v>138</v>
      </c>
      <c r="G35845" s="49" t="str">
        <f t="shared" si="1"/>
        <v>14370</v>
      </c>
      <c r="H35845" s="49">
        <f t="shared" si="2"/>
        <v>14134</v>
      </c>
    </row>
    <row r="35846">
      <c r="A35846" s="48" t="s">
        <v>12550</v>
      </c>
      <c r="B35846" s="38">
        <v>22216.0</v>
      </c>
      <c r="C35846" s="38" t="s">
        <v>39963</v>
      </c>
      <c r="D35846" s="38" t="str">
        <f>IFERROR(__xludf.DUMMYFUNCTION("REGEXREPLACE(C35846,""-\d+(.*)|--\d+(.*)"","""")"),"PLOUGONVER")</f>
        <v>PLOUGONVER</v>
      </c>
      <c r="E35846" s="38" t="s">
        <v>89</v>
      </c>
      <c r="F35846" s="38" t="s">
        <v>90</v>
      </c>
      <c r="G35846" s="49" t="str">
        <f t="shared" si="1"/>
        <v>22810</v>
      </c>
      <c r="H35846" s="49">
        <f t="shared" si="2"/>
        <v>22216</v>
      </c>
    </row>
    <row r="35847">
      <c r="A35847" s="48" t="s">
        <v>17282</v>
      </c>
      <c r="B35847" s="38">
        <v>74276.0</v>
      </c>
      <c r="C35847" s="38" t="s">
        <v>39964</v>
      </c>
      <c r="D35847" s="38" t="str">
        <f>IFERROR(__xludf.DUMMYFUNCTION("REGEXREPLACE(C35847,""-\d+(.*)|--\d+(.*)"","""")"),"TANINGES")</f>
        <v>TANINGES</v>
      </c>
      <c r="E35847" s="38" t="s">
        <v>319</v>
      </c>
      <c r="F35847" s="38" t="s">
        <v>102</v>
      </c>
      <c r="G35847" s="49" t="str">
        <f t="shared" si="1"/>
        <v>74440</v>
      </c>
      <c r="H35847" s="49">
        <f t="shared" si="2"/>
        <v>74276</v>
      </c>
    </row>
    <row r="35848">
      <c r="A35848" s="48" t="s">
        <v>5200</v>
      </c>
      <c r="B35848" s="38">
        <v>45109.0</v>
      </c>
      <c r="C35848" s="38" t="s">
        <v>39965</v>
      </c>
      <c r="D35848" s="38" t="str">
        <f>IFERROR(__xludf.DUMMYFUNCTION("REGEXREPLACE(C35848,""-\d+(.*)|--\d+(.*)"","""")"),"COULMIERS")</f>
        <v>COULMIERS</v>
      </c>
      <c r="E35848" s="38" t="s">
        <v>122</v>
      </c>
      <c r="F35848" s="38" t="s">
        <v>123</v>
      </c>
      <c r="G35848" s="49" t="str">
        <f t="shared" si="1"/>
        <v>45130</v>
      </c>
      <c r="H35848" s="49">
        <f t="shared" si="2"/>
        <v>45109</v>
      </c>
    </row>
    <row r="35849">
      <c r="A35849" s="48" t="s">
        <v>6269</v>
      </c>
      <c r="B35849" s="38">
        <v>24103.0</v>
      </c>
      <c r="C35849" s="38" t="s">
        <v>39966</v>
      </c>
      <c r="D35849" s="38" t="str">
        <f>IFERROR(__xludf.DUMMYFUNCTION("REGEXREPLACE(C35849,""-\d+(.*)|--\d+(.*)"","""")"),"LE CHANGE")</f>
        <v>LE CHANGE</v>
      </c>
      <c r="E35849" s="38" t="s">
        <v>261</v>
      </c>
      <c r="F35849" s="38" t="s">
        <v>252</v>
      </c>
      <c r="G35849" s="49" t="str">
        <f t="shared" si="1"/>
        <v>24640</v>
      </c>
      <c r="H35849" s="49">
        <f t="shared" si="2"/>
        <v>24103</v>
      </c>
    </row>
    <row r="35850">
      <c r="A35850" s="48" t="s">
        <v>28464</v>
      </c>
      <c r="B35850" s="38">
        <v>89449.0</v>
      </c>
      <c r="C35850" s="38" t="s">
        <v>39967</v>
      </c>
      <c r="D35850" s="38" t="str">
        <f>IFERROR(__xludf.DUMMYFUNCTION("REGEXREPLACE(C35850,""-\d+(.*)|--\d+(.*)"","""")"),"VILLEBLEVIN")</f>
        <v>VILLEBLEVIN</v>
      </c>
      <c r="E35850" s="38" t="s">
        <v>275</v>
      </c>
      <c r="F35850" s="38" t="s">
        <v>106</v>
      </c>
      <c r="G35850" s="49" t="str">
        <f t="shared" si="1"/>
        <v>89340</v>
      </c>
      <c r="H35850" s="49">
        <f t="shared" si="2"/>
        <v>89449</v>
      </c>
    </row>
    <row r="35851">
      <c r="A35851" s="48" t="s">
        <v>1802</v>
      </c>
      <c r="B35851" s="38">
        <v>53205.0</v>
      </c>
      <c r="C35851" s="38" t="s">
        <v>39968</v>
      </c>
      <c r="D35851" s="38" t="str">
        <f>IFERROR(__xludf.DUMMYFUNCTION("REGEXREPLACE(C35851,""-\d+(.*)|--\d+(.*)"","""")"),"SAINT-CENERE")</f>
        <v>SAINT-CENERE</v>
      </c>
      <c r="E35851" s="38" t="s">
        <v>518</v>
      </c>
      <c r="F35851" s="38" t="s">
        <v>180</v>
      </c>
      <c r="G35851" s="49" t="str">
        <f t="shared" si="1"/>
        <v>53150</v>
      </c>
      <c r="H35851" s="49">
        <f t="shared" si="2"/>
        <v>53205</v>
      </c>
    </row>
    <row r="35852">
      <c r="A35852" s="48" t="s">
        <v>3242</v>
      </c>
      <c r="B35852" s="38">
        <v>2570.0</v>
      </c>
      <c r="C35852" s="38" t="s">
        <v>39969</v>
      </c>
      <c r="D35852" s="38" t="str">
        <f>IFERROR(__xludf.DUMMYFUNCTION("REGEXREPLACE(C35852,""-\d+(.*)|--\d+(.*)"","""")"),"OLLEZY")</f>
        <v>OLLEZY</v>
      </c>
      <c r="E35852" s="38" t="s">
        <v>191</v>
      </c>
      <c r="F35852" s="38" t="s">
        <v>113</v>
      </c>
      <c r="G35852" s="49" t="str">
        <f t="shared" si="1"/>
        <v>02480</v>
      </c>
      <c r="H35852" s="49" t="str">
        <f t="shared" si="2"/>
        <v>02570</v>
      </c>
    </row>
    <row r="35853">
      <c r="A35853" s="48" t="s">
        <v>3603</v>
      </c>
      <c r="B35853" s="38">
        <v>24514.0</v>
      </c>
      <c r="C35853" s="38" t="s">
        <v>38479</v>
      </c>
      <c r="D35853" s="38" t="str">
        <f>IFERROR(__xludf.DUMMYFUNCTION("REGEXREPLACE(C35853,""-\d+(.*)|--\d+(.*)"","""")"),"SAINT-VIVIEN")</f>
        <v>SAINT-VIVIEN</v>
      </c>
      <c r="E35853" s="38" t="s">
        <v>261</v>
      </c>
      <c r="F35853" s="38" t="s">
        <v>252</v>
      </c>
      <c r="G35853" s="49" t="str">
        <f t="shared" si="1"/>
        <v>24230</v>
      </c>
      <c r="H35853" s="49">
        <f t="shared" si="2"/>
        <v>24514</v>
      </c>
    </row>
    <row r="35854">
      <c r="A35854" s="48" t="s">
        <v>3986</v>
      </c>
      <c r="B35854" s="38">
        <v>62857.0</v>
      </c>
      <c r="C35854" s="38" t="s">
        <v>39970</v>
      </c>
      <c r="D35854" s="38" t="str">
        <f>IFERROR(__xludf.DUMMYFUNCTION("REGEXREPLACE(C35854,""-\d+(.*)|--\d+(.*)"","""")"),"VILLERS-CHATEL")</f>
        <v>VILLERS-CHATEL</v>
      </c>
      <c r="E35854" s="38" t="s">
        <v>109</v>
      </c>
      <c r="F35854" s="38" t="s">
        <v>86</v>
      </c>
      <c r="G35854" s="49" t="str">
        <f t="shared" si="1"/>
        <v>62690</v>
      </c>
      <c r="H35854" s="49">
        <f t="shared" si="2"/>
        <v>62857</v>
      </c>
    </row>
    <row r="35855">
      <c r="A35855" s="48" t="s">
        <v>2310</v>
      </c>
      <c r="B35855" s="38">
        <v>60324.0</v>
      </c>
      <c r="C35855" s="38" t="s">
        <v>39971</v>
      </c>
      <c r="D35855" s="38" t="str">
        <f>IFERROR(__xludf.DUMMYFUNCTION("REGEXREPLACE(C35855,""-\d+(.*)|--\d+(.*)"","""")"),"JAULZY")</f>
        <v>JAULZY</v>
      </c>
      <c r="E35855" s="38" t="s">
        <v>112</v>
      </c>
      <c r="F35855" s="38" t="s">
        <v>113</v>
      </c>
      <c r="G35855" s="49" t="str">
        <f t="shared" si="1"/>
        <v>60350</v>
      </c>
      <c r="H35855" s="49">
        <f t="shared" si="2"/>
        <v>60324</v>
      </c>
    </row>
    <row r="35856">
      <c r="A35856" s="48" t="s">
        <v>39972</v>
      </c>
      <c r="B35856" s="38">
        <v>44210.0</v>
      </c>
      <c r="C35856" s="38" t="s">
        <v>39973</v>
      </c>
      <c r="D35856" s="38" t="str">
        <f>IFERROR(__xludf.DUMMYFUNCTION("REGEXREPLACE(C35856,""-\d+(.*)|--\d+(.*)"","""")"),"TRIGNAC")</f>
        <v>TRIGNAC</v>
      </c>
      <c r="E35856" s="38" t="s">
        <v>759</v>
      </c>
      <c r="F35856" s="38" t="s">
        <v>180</v>
      </c>
      <c r="G35856" s="49" t="str">
        <f t="shared" si="1"/>
        <v>44570</v>
      </c>
      <c r="H35856" s="49">
        <f t="shared" si="2"/>
        <v>44210</v>
      </c>
    </row>
    <row r="35857">
      <c r="A35857" s="48" t="s">
        <v>11770</v>
      </c>
      <c r="B35857" s="38">
        <v>74162.0</v>
      </c>
      <c r="C35857" s="38" t="s">
        <v>39974</v>
      </c>
      <c r="D35857" s="38" t="str">
        <f>IFERROR(__xludf.DUMMYFUNCTION("REGEXREPLACE(C35857,""-\d+(.*)|--\d+(.*)"","""")"),"MARCELLAZ")</f>
        <v>MARCELLAZ</v>
      </c>
      <c r="E35857" s="38" t="s">
        <v>319</v>
      </c>
      <c r="F35857" s="38" t="s">
        <v>102</v>
      </c>
      <c r="G35857" s="49" t="str">
        <f t="shared" si="1"/>
        <v>74250</v>
      </c>
      <c r="H35857" s="49">
        <f t="shared" si="2"/>
        <v>74162</v>
      </c>
    </row>
    <row r="35858">
      <c r="A35858" s="48" t="s">
        <v>1321</v>
      </c>
      <c r="B35858" s="38">
        <v>67090.0</v>
      </c>
      <c r="C35858" s="38" t="s">
        <v>39975</v>
      </c>
      <c r="D35858" s="38" t="str">
        <f>IFERROR(__xludf.DUMMYFUNCTION("REGEXREPLACE(C35858,""-\d+(.*)|--\d+(.*)"","""")"),"DIEBOLSHEIM")</f>
        <v>DIEBOLSHEIM</v>
      </c>
      <c r="E35858" s="38" t="s">
        <v>210</v>
      </c>
      <c r="F35858" s="38" t="s">
        <v>151</v>
      </c>
      <c r="G35858" s="49" t="str">
        <f t="shared" si="1"/>
        <v>67230</v>
      </c>
      <c r="H35858" s="49">
        <f t="shared" si="2"/>
        <v>67090</v>
      </c>
    </row>
    <row r="35859">
      <c r="A35859" s="48" t="s">
        <v>39976</v>
      </c>
      <c r="B35859" s="38">
        <v>83086.0</v>
      </c>
      <c r="C35859" s="38" t="s">
        <v>39977</v>
      </c>
      <c r="D35859" s="38" t="str">
        <f>IFERROR(__xludf.DUMMYFUNCTION("REGEXREPLACE(C35859,""-\d+(.*)|--\d+(.*)"","""")"),"LE MUY")</f>
        <v>LE MUY</v>
      </c>
      <c r="E35859" s="38" t="s">
        <v>813</v>
      </c>
      <c r="F35859" s="38" t="s">
        <v>228</v>
      </c>
      <c r="G35859" s="49" t="str">
        <f t="shared" si="1"/>
        <v>83490</v>
      </c>
      <c r="H35859" s="49">
        <f t="shared" si="2"/>
        <v>83086</v>
      </c>
    </row>
    <row r="35860">
      <c r="A35860" s="48" t="s">
        <v>12223</v>
      </c>
      <c r="B35860" s="38">
        <v>3029.0</v>
      </c>
      <c r="C35860" s="38" t="s">
        <v>27934</v>
      </c>
      <c r="D35860" s="38" t="str">
        <f>IFERROR(__xludf.DUMMYFUNCTION("REGEXREPLACE(C35860,""-\d+(.*)|--\d+(.*)"","""")"),"BILLY")</f>
        <v>BILLY</v>
      </c>
      <c r="E35860" s="38" t="s">
        <v>160</v>
      </c>
      <c r="F35860" s="38" t="s">
        <v>161</v>
      </c>
      <c r="G35860" s="49" t="str">
        <f t="shared" si="1"/>
        <v>03260</v>
      </c>
      <c r="H35860" s="49" t="str">
        <f t="shared" si="2"/>
        <v>03029</v>
      </c>
    </row>
    <row r="35861">
      <c r="A35861" s="48" t="s">
        <v>10564</v>
      </c>
      <c r="B35861" s="38">
        <v>56161.0</v>
      </c>
      <c r="C35861" s="38" t="s">
        <v>39978</v>
      </c>
      <c r="D35861" s="38" t="str">
        <f>IFERROR(__xludf.DUMMYFUNCTION("REGEXREPLACE(C35861,""-\d+(.*)|--\d+(.*)"","""")"),"PLOEMEL")</f>
        <v>PLOEMEL</v>
      </c>
      <c r="E35861" s="38" t="s">
        <v>173</v>
      </c>
      <c r="F35861" s="38" t="s">
        <v>90</v>
      </c>
      <c r="G35861" s="49" t="str">
        <f t="shared" si="1"/>
        <v>56400</v>
      </c>
      <c r="H35861" s="49">
        <f t="shared" si="2"/>
        <v>56161</v>
      </c>
    </row>
    <row r="35862">
      <c r="A35862" s="48" t="s">
        <v>493</v>
      </c>
      <c r="B35862" s="38">
        <v>28205.0</v>
      </c>
      <c r="C35862" s="38" t="s">
        <v>39979</v>
      </c>
      <c r="D35862" s="38" t="str">
        <f>IFERROR(__xludf.DUMMYFUNCTION("REGEXREPLACE(C35862,""-\d+(.*)|--\d+(.*)"","""")"),"LANNERAY")</f>
        <v>LANNERAY</v>
      </c>
      <c r="E35862" s="38" t="s">
        <v>300</v>
      </c>
      <c r="F35862" s="38" t="s">
        <v>123</v>
      </c>
      <c r="G35862" s="49" t="str">
        <f t="shared" si="1"/>
        <v>28200</v>
      </c>
      <c r="H35862" s="49">
        <f t="shared" si="2"/>
        <v>28205</v>
      </c>
    </row>
    <row r="35863">
      <c r="A35863" s="48" t="s">
        <v>8302</v>
      </c>
      <c r="B35863" s="38">
        <v>66083.0</v>
      </c>
      <c r="C35863" s="38" t="s">
        <v>17397</v>
      </c>
      <c r="D35863" s="38" t="str">
        <f>IFERROR(__xludf.DUMMYFUNCTION("REGEXREPLACE(C35863,""-\d+(.*)|--\d+(.*)"","""")"),"FOSSE")</f>
        <v>FOSSE</v>
      </c>
      <c r="E35863" s="38" t="s">
        <v>248</v>
      </c>
      <c r="F35863" s="38" t="s">
        <v>119</v>
      </c>
      <c r="G35863" s="49" t="str">
        <f t="shared" si="1"/>
        <v>66220</v>
      </c>
      <c r="H35863" s="49">
        <f t="shared" si="2"/>
        <v>66083</v>
      </c>
    </row>
    <row r="35864">
      <c r="A35864" s="48" t="s">
        <v>8107</v>
      </c>
      <c r="B35864" s="38">
        <v>86188.0</v>
      </c>
      <c r="C35864" s="38" t="s">
        <v>39980</v>
      </c>
      <c r="D35864" s="38" t="str">
        <f>IFERROR(__xludf.DUMMYFUNCTION("REGEXREPLACE(C35864,""-\d+(.*)|--\d+(.*)"","""")"),"PAYRE")</f>
        <v>PAYRE</v>
      </c>
      <c r="E35864" s="38" t="s">
        <v>529</v>
      </c>
      <c r="F35864" s="38" t="s">
        <v>338</v>
      </c>
      <c r="G35864" s="49" t="str">
        <f t="shared" si="1"/>
        <v>86700</v>
      </c>
      <c r="H35864" s="49">
        <f t="shared" si="2"/>
        <v>86188</v>
      </c>
    </row>
    <row r="35865">
      <c r="A35865" s="48" t="s">
        <v>1022</v>
      </c>
      <c r="B35865" s="38">
        <v>2376.0</v>
      </c>
      <c r="C35865" s="38" t="s">
        <v>12830</v>
      </c>
      <c r="D35865" s="38" t="str">
        <f>IFERROR(__xludf.DUMMYFUNCTION("REGEXREPLACE(C35865,""-\d+(.*)|--\d+(.*)"","""")"),"HAUTEVILLE")</f>
        <v>HAUTEVILLE</v>
      </c>
      <c r="E35865" s="38" t="s">
        <v>191</v>
      </c>
      <c r="F35865" s="38" t="s">
        <v>113</v>
      </c>
      <c r="G35865" s="49" t="str">
        <f t="shared" si="1"/>
        <v>02120</v>
      </c>
      <c r="H35865" s="49" t="str">
        <f t="shared" si="2"/>
        <v>02376</v>
      </c>
    </row>
    <row r="35866">
      <c r="A35866" s="48" t="s">
        <v>5558</v>
      </c>
      <c r="B35866" s="38">
        <v>14378.0</v>
      </c>
      <c r="C35866" s="38" t="s">
        <v>7168</v>
      </c>
      <c r="D35866" s="38" t="str">
        <f>IFERROR(__xludf.DUMMYFUNCTION("REGEXREPLACE(C35866,""-\d+(.*)|--\d+(.*)"","""")"),"LONGUEVILLE")</f>
        <v>LONGUEVILLE</v>
      </c>
      <c r="E35866" s="38" t="s">
        <v>137</v>
      </c>
      <c r="F35866" s="38" t="s">
        <v>138</v>
      </c>
      <c r="G35866" s="49" t="str">
        <f t="shared" si="1"/>
        <v>14230</v>
      </c>
      <c r="H35866" s="49">
        <f t="shared" si="2"/>
        <v>14378</v>
      </c>
    </row>
    <row r="35867">
      <c r="A35867" s="48" t="s">
        <v>15637</v>
      </c>
      <c r="B35867" s="38">
        <v>66208.0</v>
      </c>
      <c r="C35867" s="38" t="s">
        <v>39981</v>
      </c>
      <c r="D35867" s="38" t="str">
        <f>IFERROR(__xludf.DUMMYFUNCTION("REGEXREPLACE(C35867,""-\d+(.*)|--\d+(.*)"","""")"),"THEZA")</f>
        <v>THEZA</v>
      </c>
      <c r="E35867" s="38" t="s">
        <v>248</v>
      </c>
      <c r="F35867" s="38" t="s">
        <v>119</v>
      </c>
      <c r="G35867" s="49" t="str">
        <f t="shared" si="1"/>
        <v>66200</v>
      </c>
      <c r="H35867" s="49">
        <f t="shared" si="2"/>
        <v>66208</v>
      </c>
    </row>
    <row r="35868">
      <c r="A35868" s="48" t="s">
        <v>9405</v>
      </c>
      <c r="B35868" s="38">
        <v>15063.0</v>
      </c>
      <c r="C35868" s="38" t="s">
        <v>39982</v>
      </c>
      <c r="D35868" s="38" t="str">
        <f>IFERROR(__xludf.DUMMYFUNCTION("REGEXREPLACE(C35868,""-\d+(.*)|--\d+(.*)"","""")"),"DRUGEAC")</f>
        <v>DRUGEAC</v>
      </c>
      <c r="E35868" s="38" t="s">
        <v>632</v>
      </c>
      <c r="F35868" s="38" t="s">
        <v>161</v>
      </c>
      <c r="G35868" s="49" t="str">
        <f t="shared" si="1"/>
        <v>15140</v>
      </c>
      <c r="H35868" s="49">
        <f t="shared" si="2"/>
        <v>15063</v>
      </c>
    </row>
    <row r="35869">
      <c r="A35869" s="48" t="s">
        <v>39983</v>
      </c>
      <c r="B35869" s="38">
        <v>13119.0</v>
      </c>
      <c r="C35869" s="38" t="s">
        <v>39984</v>
      </c>
      <c r="D35869" s="38" t="str">
        <f>IFERROR(__xludf.DUMMYFUNCTION("REGEXREPLACE(C35869,""-\d+(.*)|--\d+(.*)"","""")"),"CARNOUX-EN-PROVENCE")</f>
        <v>CARNOUX-EN-PROVENCE</v>
      </c>
      <c r="E35869" s="38" t="s">
        <v>980</v>
      </c>
      <c r="F35869" s="38" t="s">
        <v>228</v>
      </c>
      <c r="G35869" s="49" t="str">
        <f t="shared" si="1"/>
        <v>13470</v>
      </c>
      <c r="H35869" s="49">
        <f t="shared" si="2"/>
        <v>13119</v>
      </c>
    </row>
    <row r="35870">
      <c r="A35870" s="48" t="s">
        <v>7388</v>
      </c>
      <c r="B35870" s="38">
        <v>42078.0</v>
      </c>
      <c r="C35870" s="38" t="s">
        <v>39985</v>
      </c>
      <c r="D35870" s="38" t="str">
        <f>IFERROR(__xludf.DUMMYFUNCTION("REGEXREPLACE(C35870,""-\d+(.*)|--\d+(.*)"","""")"),"LE CROZET")</f>
        <v>LE CROZET</v>
      </c>
      <c r="E35870" s="38" t="s">
        <v>166</v>
      </c>
      <c r="F35870" s="38" t="s">
        <v>102</v>
      </c>
      <c r="G35870" s="49" t="str">
        <f t="shared" si="1"/>
        <v>42310</v>
      </c>
      <c r="H35870" s="49">
        <f t="shared" si="2"/>
        <v>42078</v>
      </c>
    </row>
    <row r="35871">
      <c r="A35871" s="48" t="s">
        <v>1452</v>
      </c>
      <c r="B35871" s="38">
        <v>55139.0</v>
      </c>
      <c r="C35871" s="38" t="s">
        <v>39986</v>
      </c>
      <c r="D35871" s="38" t="str">
        <f>IFERROR(__xludf.DUMMYFUNCTION("REGEXREPLACE(C35871,""-\d+(.*)|--\d+(.*)"","""")"),"CUMIERES-LE-MORT-HOMME")</f>
        <v>CUMIERES-LE-MORT-HOMME</v>
      </c>
      <c r="E35871" s="38" t="s">
        <v>322</v>
      </c>
      <c r="F35871" s="38" t="s">
        <v>195</v>
      </c>
      <c r="G35871" s="49" t="str">
        <f t="shared" si="1"/>
        <v>55100</v>
      </c>
      <c r="H35871" s="49">
        <f t="shared" si="2"/>
        <v>55139</v>
      </c>
    </row>
    <row r="35872">
      <c r="A35872" s="48" t="s">
        <v>3297</v>
      </c>
      <c r="B35872" s="38">
        <v>41211.0</v>
      </c>
      <c r="C35872" s="38" t="s">
        <v>39987</v>
      </c>
      <c r="D35872" s="38" t="str">
        <f>IFERROR(__xludf.DUMMYFUNCTION("REGEXREPLACE(C35872,""-\d+(.*)|--\d+(.*)"","""")"),"SAINT-GEORGES-SUR-CHER")</f>
        <v>SAINT-GEORGES-SUR-CHER</v>
      </c>
      <c r="E35872" s="38" t="s">
        <v>188</v>
      </c>
      <c r="F35872" s="38" t="s">
        <v>123</v>
      </c>
      <c r="G35872" s="49" t="str">
        <f t="shared" si="1"/>
        <v>41400</v>
      </c>
      <c r="H35872" s="49">
        <f t="shared" si="2"/>
        <v>41211</v>
      </c>
    </row>
    <row r="35873">
      <c r="A35873" s="48" t="s">
        <v>10383</v>
      </c>
      <c r="B35873" s="38">
        <v>38355.0</v>
      </c>
      <c r="C35873" s="38" t="s">
        <v>32122</v>
      </c>
      <c r="D35873" s="38" t="str">
        <f>IFERROR(__xludf.DUMMYFUNCTION("REGEXREPLACE(C35873,""-\d+(.*)|--\d+(.*)"","""")"),"SAINT-ANDEOL")</f>
        <v>SAINT-ANDEOL</v>
      </c>
      <c r="E35873" s="38" t="s">
        <v>101</v>
      </c>
      <c r="F35873" s="38" t="s">
        <v>102</v>
      </c>
      <c r="G35873" s="49" t="str">
        <f t="shared" si="1"/>
        <v>38650</v>
      </c>
      <c r="H35873" s="49">
        <f t="shared" si="2"/>
        <v>38355</v>
      </c>
    </row>
    <row r="35874">
      <c r="A35874" s="48" t="s">
        <v>474</v>
      </c>
      <c r="B35874" s="38">
        <v>76439.0</v>
      </c>
      <c r="C35874" s="38" t="s">
        <v>39988</v>
      </c>
      <c r="D35874" s="38" t="str">
        <f>IFERROR(__xludf.DUMMYFUNCTION("REGEXREPLACE(C35874,""-\d+(.*)|--\d+(.*)"","""")"),"MIRVILLE")</f>
        <v>MIRVILLE</v>
      </c>
      <c r="E35874" s="38" t="s">
        <v>133</v>
      </c>
      <c r="F35874" s="38" t="s">
        <v>134</v>
      </c>
      <c r="G35874" s="49" t="str">
        <f t="shared" si="1"/>
        <v>76210</v>
      </c>
      <c r="H35874" s="49">
        <f t="shared" si="2"/>
        <v>76439</v>
      </c>
    </row>
    <row r="35875">
      <c r="A35875" s="48" t="s">
        <v>5241</v>
      </c>
      <c r="B35875" s="38">
        <v>36242.0</v>
      </c>
      <c r="C35875" s="38" t="s">
        <v>39989</v>
      </c>
      <c r="D35875" s="38" t="str">
        <f>IFERROR(__xludf.DUMMYFUNCTION("REGEXREPLACE(C35875,""-\d+(.*)|--\d+(.*)"","""")"),"VILLEGONGIS")</f>
        <v>VILLEGONGIS</v>
      </c>
      <c r="E35875" s="38" t="s">
        <v>258</v>
      </c>
      <c r="F35875" s="38" t="s">
        <v>123</v>
      </c>
      <c r="G35875" s="49" t="str">
        <f t="shared" si="1"/>
        <v>36110</v>
      </c>
      <c r="H35875" s="49">
        <f t="shared" si="2"/>
        <v>36242</v>
      </c>
    </row>
    <row r="35876">
      <c r="A35876" s="48" t="s">
        <v>5584</v>
      </c>
      <c r="B35876" s="38">
        <v>41026.0</v>
      </c>
      <c r="C35876" s="38" t="s">
        <v>39990</v>
      </c>
      <c r="D35876" s="38" t="str">
        <f>IFERROR(__xludf.DUMMYFUNCTION("REGEXREPLACE(C35876,""-\d+(.*)|--\d+(.*)"","""")"),"BREVAINVILLE")</f>
        <v>BREVAINVILLE</v>
      </c>
      <c r="E35876" s="38" t="s">
        <v>188</v>
      </c>
      <c r="F35876" s="38" t="s">
        <v>123</v>
      </c>
      <c r="G35876" s="49" t="str">
        <f t="shared" si="1"/>
        <v>41160</v>
      </c>
      <c r="H35876" s="49">
        <f t="shared" si="2"/>
        <v>41026</v>
      </c>
    </row>
    <row r="35877">
      <c r="A35877" s="48" t="s">
        <v>12826</v>
      </c>
      <c r="B35877" s="38">
        <v>45009.0</v>
      </c>
      <c r="C35877" s="38" t="s">
        <v>39991</v>
      </c>
      <c r="D35877" s="38" t="str">
        <f>IFERROR(__xludf.DUMMYFUNCTION("REGEXREPLACE(C35877,""-\d+(.*)|--\d+(.*)"","""")"),"ASCHERES-LE-MARCHE")</f>
        <v>ASCHERES-LE-MARCHE</v>
      </c>
      <c r="E35877" s="38" t="s">
        <v>122</v>
      </c>
      <c r="F35877" s="38" t="s">
        <v>123</v>
      </c>
      <c r="G35877" s="49" t="str">
        <f t="shared" si="1"/>
        <v>45170</v>
      </c>
      <c r="H35877" s="49">
        <f t="shared" si="2"/>
        <v>45009</v>
      </c>
    </row>
    <row r="35878">
      <c r="A35878" s="48" t="s">
        <v>8207</v>
      </c>
      <c r="B35878" s="38">
        <v>12146.0</v>
      </c>
      <c r="C35878" s="38" t="s">
        <v>39992</v>
      </c>
      <c r="D35878" s="38" t="str">
        <f>IFERROR(__xludf.DUMMYFUNCTION("REGEXREPLACE(C35878,""-\d+(.*)|--\d+(.*)"","""")"),"LE MONASTERE")</f>
        <v>LE MONASTERE</v>
      </c>
      <c r="E35878" s="38" t="s">
        <v>465</v>
      </c>
      <c r="F35878" s="38" t="s">
        <v>94</v>
      </c>
      <c r="G35878" s="49" t="str">
        <f t="shared" si="1"/>
        <v>12000</v>
      </c>
      <c r="H35878" s="49">
        <f t="shared" si="2"/>
        <v>12146</v>
      </c>
    </row>
    <row r="35879">
      <c r="A35879" s="48" t="s">
        <v>7492</v>
      </c>
      <c r="B35879" s="38">
        <v>15169.0</v>
      </c>
      <c r="C35879" s="38" t="s">
        <v>7447</v>
      </c>
      <c r="D35879" s="38" t="str">
        <f>IFERROR(__xludf.DUMMYFUNCTION("REGEXREPLACE(C35879,""-\d+(.*)|--\d+(.*)"","""")"),"SAIGNES")</f>
        <v>SAIGNES</v>
      </c>
      <c r="E35879" s="38" t="s">
        <v>632</v>
      </c>
      <c r="F35879" s="38" t="s">
        <v>161</v>
      </c>
      <c r="G35879" s="49" t="str">
        <f t="shared" si="1"/>
        <v>15240</v>
      </c>
      <c r="H35879" s="49">
        <f t="shared" si="2"/>
        <v>15169</v>
      </c>
    </row>
    <row r="35880">
      <c r="A35880" s="48" t="s">
        <v>1027</v>
      </c>
      <c r="B35880" s="38">
        <v>1234.0</v>
      </c>
      <c r="C35880" s="38" t="s">
        <v>39993</v>
      </c>
      <c r="D35880" s="38" t="str">
        <f>IFERROR(__xludf.DUMMYFUNCTION("REGEXREPLACE(C35880,""-\d+(.*)|--\d+(.*)"","""")"),"MARIGNIEU")</f>
        <v>MARIGNIEU</v>
      </c>
      <c r="E35880" s="38" t="s">
        <v>255</v>
      </c>
      <c r="F35880" s="38" t="s">
        <v>102</v>
      </c>
      <c r="G35880" s="49" t="str">
        <f t="shared" si="1"/>
        <v>01300</v>
      </c>
      <c r="H35880" s="49" t="str">
        <f t="shared" si="2"/>
        <v>01234</v>
      </c>
    </row>
    <row r="35881">
      <c r="A35881" s="48" t="s">
        <v>3208</v>
      </c>
      <c r="B35881" s="38">
        <v>80605.0</v>
      </c>
      <c r="C35881" s="38" t="s">
        <v>37625</v>
      </c>
      <c r="D35881" s="38" t="str">
        <f>IFERROR(__xludf.DUMMYFUNCTION("REGEXREPLACE(C35881,""-\d+(.*)|--\d+(.*)"","""")"),"OFFOY")</f>
        <v>OFFOY</v>
      </c>
      <c r="E35881" s="38" t="s">
        <v>224</v>
      </c>
      <c r="F35881" s="38" t="s">
        <v>113</v>
      </c>
      <c r="G35881" s="49" t="str">
        <f t="shared" si="1"/>
        <v>80400</v>
      </c>
      <c r="H35881" s="49">
        <f t="shared" si="2"/>
        <v>80605</v>
      </c>
    </row>
    <row r="35882">
      <c r="A35882" s="48" t="s">
        <v>3011</v>
      </c>
      <c r="B35882" s="38">
        <v>63259.0</v>
      </c>
      <c r="C35882" s="38" t="s">
        <v>39994</v>
      </c>
      <c r="D35882" s="38" t="str">
        <f>IFERROR(__xludf.DUMMYFUNCTION("REGEXREPLACE(C35882,""-\d+(.*)|--\d+(.*)"","""")"),"OLLOIX")</f>
        <v>OLLOIX</v>
      </c>
      <c r="E35882" s="38" t="s">
        <v>353</v>
      </c>
      <c r="F35882" s="38" t="s">
        <v>161</v>
      </c>
      <c r="G35882" s="49" t="str">
        <f t="shared" si="1"/>
        <v>63450</v>
      </c>
      <c r="H35882" s="49">
        <f t="shared" si="2"/>
        <v>63259</v>
      </c>
    </row>
    <row r="35883">
      <c r="A35883" s="48" t="s">
        <v>3387</v>
      </c>
      <c r="B35883" s="38">
        <v>34127.0</v>
      </c>
      <c r="C35883" s="38" t="s">
        <v>39995</v>
      </c>
      <c r="D35883" s="38" t="str">
        <f>IFERROR(__xludf.DUMMYFUNCTION("REGEXREPLACE(C35883,""-\d+(.*)|--\d+(.*)"","""")"),"LANSARGUES")</f>
        <v>LANSARGUES</v>
      </c>
      <c r="E35883" s="38" t="s">
        <v>118</v>
      </c>
      <c r="F35883" s="38" t="s">
        <v>119</v>
      </c>
      <c r="G35883" s="49" t="str">
        <f t="shared" si="1"/>
        <v>34130</v>
      </c>
      <c r="H35883" s="49">
        <f t="shared" si="2"/>
        <v>34127</v>
      </c>
    </row>
    <row r="35884">
      <c r="A35884" s="48" t="s">
        <v>5953</v>
      </c>
      <c r="B35884" s="38">
        <v>76394.0</v>
      </c>
      <c r="C35884" s="38" t="s">
        <v>39996</v>
      </c>
      <c r="D35884" s="38" t="str">
        <f>IFERROR(__xludf.DUMMYFUNCTION("REGEXREPLACE(C35884,""-\d+(.*)|--\d+(.*)"","""")"),"LONGROY")</f>
        <v>LONGROY</v>
      </c>
      <c r="E35884" s="38" t="s">
        <v>133</v>
      </c>
      <c r="F35884" s="38" t="s">
        <v>134</v>
      </c>
      <c r="G35884" s="49" t="str">
        <f t="shared" si="1"/>
        <v>76260</v>
      </c>
      <c r="H35884" s="49">
        <f t="shared" si="2"/>
        <v>76394</v>
      </c>
    </row>
    <row r="35885">
      <c r="A35885" s="48" t="s">
        <v>2406</v>
      </c>
      <c r="B35885" s="38">
        <v>55467.0</v>
      </c>
      <c r="C35885" s="38" t="s">
        <v>39997</v>
      </c>
      <c r="D35885" s="38" t="str">
        <f>IFERROR(__xludf.DUMMYFUNCTION("REGEXREPLACE(C35885,""-\d+(.*)|--\d+(.*)"","""")"),"SAMPIGNY")</f>
        <v>SAMPIGNY</v>
      </c>
      <c r="E35885" s="38" t="s">
        <v>322</v>
      </c>
      <c r="F35885" s="38" t="s">
        <v>195</v>
      </c>
      <c r="G35885" s="49" t="str">
        <f t="shared" si="1"/>
        <v>55300</v>
      </c>
      <c r="H35885" s="49">
        <f t="shared" si="2"/>
        <v>55467</v>
      </c>
    </row>
    <row r="35886">
      <c r="A35886" s="48" t="s">
        <v>23327</v>
      </c>
      <c r="B35886" s="38">
        <v>59159.0</v>
      </c>
      <c r="C35886" s="38" t="s">
        <v>39998</v>
      </c>
      <c r="D35886" s="38" t="str">
        <f>IFERROR(__xludf.DUMMYFUNCTION("REGEXREPLACE(C35886,""-\d+(.*)|--\d+(.*)"","""")"),"CRAYWICK")</f>
        <v>CRAYWICK</v>
      </c>
      <c r="E35886" s="38" t="s">
        <v>85</v>
      </c>
      <c r="F35886" s="38" t="s">
        <v>86</v>
      </c>
      <c r="G35886" s="49" t="str">
        <f t="shared" si="1"/>
        <v>59279</v>
      </c>
      <c r="H35886" s="49">
        <f t="shared" si="2"/>
        <v>59159</v>
      </c>
    </row>
    <row r="35887">
      <c r="A35887" s="48" t="s">
        <v>434</v>
      </c>
      <c r="B35887" s="38">
        <v>55226.0</v>
      </c>
      <c r="C35887" s="38" t="s">
        <v>39999</v>
      </c>
      <c r="D35887" s="38" t="str">
        <f>IFERROR(__xludf.DUMMYFUNCTION("REGEXREPLACE(C35887,""-\d+(.*)|--\d+(.*)"","""")"),"HAN-LES-JUVIGNY")</f>
        <v>HAN-LES-JUVIGNY</v>
      </c>
      <c r="E35887" s="38" t="s">
        <v>322</v>
      </c>
      <c r="F35887" s="38" t="s">
        <v>195</v>
      </c>
      <c r="G35887" s="49" t="str">
        <f t="shared" si="1"/>
        <v>55600</v>
      </c>
      <c r="H35887" s="49">
        <f t="shared" si="2"/>
        <v>55226</v>
      </c>
    </row>
    <row r="35888">
      <c r="A35888" s="48" t="s">
        <v>17614</v>
      </c>
      <c r="B35888" s="38">
        <v>30153.0</v>
      </c>
      <c r="C35888" s="38" t="s">
        <v>40000</v>
      </c>
      <c r="D35888" s="38" t="str">
        <f>IFERROR(__xludf.DUMMYFUNCTION("REGEXREPLACE(C35888,""-\d+(.*)|--\d+(.*)"","""")"),"MALONS-ET-ELZE")</f>
        <v>MALONS-ET-ELZE</v>
      </c>
      <c r="E35888" s="38" t="s">
        <v>526</v>
      </c>
      <c r="F35888" s="38" t="s">
        <v>119</v>
      </c>
      <c r="G35888" s="49" t="str">
        <f t="shared" si="1"/>
        <v>30450</v>
      </c>
      <c r="H35888" s="49">
        <f t="shared" si="2"/>
        <v>30153</v>
      </c>
    </row>
    <row r="35889">
      <c r="A35889" s="48" t="s">
        <v>1354</v>
      </c>
      <c r="B35889" s="38">
        <v>28070.0</v>
      </c>
      <c r="C35889" s="38" t="s">
        <v>40001</v>
      </c>
      <c r="D35889" s="38" t="str">
        <f>IFERROR(__xludf.DUMMYFUNCTION("REGEXREPLACE(C35889,""-\d+(.*)|--\d+(.*)"","""")"),"CHAMPHOL")</f>
        <v>CHAMPHOL</v>
      </c>
      <c r="E35889" s="38" t="s">
        <v>300</v>
      </c>
      <c r="F35889" s="38" t="s">
        <v>123</v>
      </c>
      <c r="G35889" s="49" t="str">
        <f t="shared" si="1"/>
        <v>28300</v>
      </c>
      <c r="H35889" s="49">
        <f t="shared" si="2"/>
        <v>28070</v>
      </c>
    </row>
    <row r="35890">
      <c r="A35890" s="48" t="s">
        <v>4830</v>
      </c>
      <c r="B35890" s="38">
        <v>61168.0</v>
      </c>
      <c r="C35890" s="38" t="s">
        <v>40002</v>
      </c>
      <c r="D35890" s="38" t="str">
        <f>IFERROR(__xludf.DUMMYFUNCTION("REGEXREPLACE(C35890,""-\d+(.*)|--\d+(.*)"","""")"),"LA FERTE-MACE")</f>
        <v>LA FERTE-MACE</v>
      </c>
      <c r="E35890" s="38" t="s">
        <v>141</v>
      </c>
      <c r="F35890" s="38" t="s">
        <v>138</v>
      </c>
      <c r="G35890" s="49" t="str">
        <f t="shared" si="1"/>
        <v>61600</v>
      </c>
      <c r="H35890" s="49">
        <f t="shared" si="2"/>
        <v>61168</v>
      </c>
    </row>
    <row r="35891">
      <c r="A35891" s="48" t="s">
        <v>14379</v>
      </c>
      <c r="B35891" s="38">
        <v>35052.0</v>
      </c>
      <c r="C35891" s="38" t="s">
        <v>20535</v>
      </c>
      <c r="D35891" s="38" t="str">
        <f>IFERROR(__xludf.DUMMYFUNCTION("REGEXREPLACE(C35891,""-\d+(.*)|--\d+(.*)"","""")"),"CHAMPEAUX")</f>
        <v>CHAMPEAUX</v>
      </c>
      <c r="E35891" s="38" t="s">
        <v>347</v>
      </c>
      <c r="F35891" s="38" t="s">
        <v>90</v>
      </c>
      <c r="G35891" s="49" t="str">
        <f t="shared" si="1"/>
        <v>35500</v>
      </c>
      <c r="H35891" s="49">
        <f t="shared" si="2"/>
        <v>35052</v>
      </c>
    </row>
    <row r="35892">
      <c r="A35892" s="48" t="s">
        <v>635</v>
      </c>
      <c r="B35892" s="38">
        <v>15048.0</v>
      </c>
      <c r="C35892" s="38" t="s">
        <v>14819</v>
      </c>
      <c r="D35892" s="38" t="str">
        <f>IFERROR(__xludf.DUMMYFUNCTION("REGEXREPLACE(C35892,""-\d+(.*)|--\d+(.*)"","""")"),"CHAZELLES")</f>
        <v>CHAZELLES</v>
      </c>
      <c r="E35892" s="38" t="s">
        <v>632</v>
      </c>
      <c r="F35892" s="38" t="s">
        <v>161</v>
      </c>
      <c r="G35892" s="49" t="str">
        <f t="shared" si="1"/>
        <v>15500</v>
      </c>
      <c r="H35892" s="49">
        <f t="shared" si="2"/>
        <v>15048</v>
      </c>
    </row>
    <row r="35893">
      <c r="A35893" s="48" t="s">
        <v>2019</v>
      </c>
      <c r="B35893" s="38">
        <v>90025.0</v>
      </c>
      <c r="C35893" s="38" t="s">
        <v>40003</v>
      </c>
      <c r="D35893" s="38" t="str">
        <f>IFERROR(__xludf.DUMMYFUNCTION("REGEXREPLACE(C35893,""-\d+(.*)|--\d+(.*)"","""")"),"CHAVANNES-LES-GRANDS")</f>
        <v>CHAVANNES-LES-GRANDS</v>
      </c>
      <c r="E35893" s="38" t="s">
        <v>1283</v>
      </c>
      <c r="F35893" s="38" t="s">
        <v>214</v>
      </c>
      <c r="G35893" s="49" t="str">
        <f t="shared" si="1"/>
        <v>90100</v>
      </c>
      <c r="H35893" s="49">
        <f t="shared" si="2"/>
        <v>90025</v>
      </c>
    </row>
    <row r="35894">
      <c r="A35894" s="48" t="s">
        <v>1540</v>
      </c>
      <c r="B35894" s="38">
        <v>70363.0</v>
      </c>
      <c r="C35894" s="38" t="s">
        <v>40004</v>
      </c>
      <c r="D35894" s="38" t="str">
        <f>IFERROR(__xludf.DUMMYFUNCTION("REGEXREPLACE(C35894,""-\d+(.*)|--\d+(.*)"","""")"),"MONTIGNY-LES-VESOUL")</f>
        <v>MONTIGNY-LES-VESOUL</v>
      </c>
      <c r="E35894" s="38" t="s">
        <v>956</v>
      </c>
      <c r="F35894" s="38" t="s">
        <v>214</v>
      </c>
      <c r="G35894" s="49" t="str">
        <f t="shared" si="1"/>
        <v>70000</v>
      </c>
      <c r="H35894" s="49">
        <f t="shared" si="2"/>
        <v>70363</v>
      </c>
    </row>
    <row r="35895">
      <c r="A35895" s="48" t="s">
        <v>3731</v>
      </c>
      <c r="B35895" s="38">
        <v>4142.0</v>
      </c>
      <c r="C35895" s="38" t="s">
        <v>40005</v>
      </c>
      <c r="D35895" s="38" t="str">
        <f>IFERROR(__xludf.DUMMYFUNCTION("REGEXREPLACE(C35895,""-\d+(.*)|--\d+(.*)"","""")"),"OPPEDETTE")</f>
        <v>OPPEDETTE</v>
      </c>
      <c r="E35895" s="38" t="s">
        <v>662</v>
      </c>
      <c r="F35895" s="38" t="s">
        <v>228</v>
      </c>
      <c r="G35895" s="49" t="str">
        <f t="shared" si="1"/>
        <v>04110</v>
      </c>
      <c r="H35895" s="49" t="str">
        <f t="shared" si="2"/>
        <v>04142</v>
      </c>
    </row>
    <row r="35896">
      <c r="A35896" s="48" t="s">
        <v>3714</v>
      </c>
      <c r="B35896" s="38">
        <v>28246.0</v>
      </c>
      <c r="C35896" s="38" t="s">
        <v>40006</v>
      </c>
      <c r="D35896" s="38" t="str">
        <f>IFERROR(__xludf.DUMMYFUNCTION("REGEXREPLACE(C35896,""-\d+(.*)|--\d+(.*)"","""")"),"MESLAY-LE-VIDAME")</f>
        <v>MESLAY-LE-VIDAME</v>
      </c>
      <c r="E35896" s="38" t="s">
        <v>300</v>
      </c>
      <c r="F35896" s="38" t="s">
        <v>123</v>
      </c>
      <c r="G35896" s="49" t="str">
        <f t="shared" si="1"/>
        <v>28360</v>
      </c>
      <c r="H35896" s="49">
        <f t="shared" si="2"/>
        <v>28246</v>
      </c>
    </row>
    <row r="35897">
      <c r="A35897" s="48" t="s">
        <v>2479</v>
      </c>
      <c r="B35897" s="38">
        <v>45213.0</v>
      </c>
      <c r="C35897" s="38" t="s">
        <v>40007</v>
      </c>
      <c r="D35897" s="38" t="str">
        <f>IFERROR(__xludf.DUMMYFUNCTION("REGEXREPLACE(C35897,""-\d+(.*)|--\d+(.*)"","""")"),"MONTEREAU")</f>
        <v>MONTEREAU</v>
      </c>
      <c r="E35897" s="38" t="s">
        <v>122</v>
      </c>
      <c r="F35897" s="38" t="s">
        <v>123</v>
      </c>
      <c r="G35897" s="49" t="str">
        <f t="shared" si="1"/>
        <v>45260</v>
      </c>
      <c r="H35897" s="49">
        <f t="shared" si="2"/>
        <v>45213</v>
      </c>
    </row>
    <row r="35898">
      <c r="A35898" s="48" t="s">
        <v>4543</v>
      </c>
      <c r="B35898" s="38">
        <v>64010.0</v>
      </c>
      <c r="C35898" s="38" t="s">
        <v>40008</v>
      </c>
      <c r="D35898" s="38" t="str">
        <f>IFERROR(__xludf.DUMMYFUNCTION("REGEXREPLACE(C35898,""-\d+(.*)|--\d+(.*)"","""")"),"AICIRITS-CAMOU-SUHAST")</f>
        <v>AICIRITS-CAMOU-SUHAST</v>
      </c>
      <c r="E35898" s="38" t="s">
        <v>268</v>
      </c>
      <c r="F35898" s="38" t="s">
        <v>252</v>
      </c>
      <c r="G35898" s="49" t="str">
        <f t="shared" si="1"/>
        <v>64120</v>
      </c>
      <c r="H35898" s="49">
        <f t="shared" si="2"/>
        <v>64010</v>
      </c>
    </row>
    <row r="35899">
      <c r="A35899" s="48" t="s">
        <v>1903</v>
      </c>
      <c r="B35899" s="38">
        <v>10105.0</v>
      </c>
      <c r="C35899" s="38" t="s">
        <v>40009</v>
      </c>
      <c r="D35899" s="38" t="str">
        <f>IFERROR(__xludf.DUMMYFUNCTION("REGEXREPLACE(C35899,""-\d+(.*)|--\d+(.*)"","""")"),"COURCELLES-SUR-VOIRE")</f>
        <v>COURCELLES-SUR-VOIRE</v>
      </c>
      <c r="E35899" s="38" t="s">
        <v>147</v>
      </c>
      <c r="F35899" s="38" t="s">
        <v>130</v>
      </c>
      <c r="G35899" s="49" t="str">
        <f t="shared" si="1"/>
        <v>10500</v>
      </c>
      <c r="H35899" s="49">
        <f t="shared" si="2"/>
        <v>10105</v>
      </c>
    </row>
    <row r="35900">
      <c r="A35900" s="48" t="s">
        <v>15067</v>
      </c>
      <c r="B35900" s="38">
        <v>81169.0</v>
      </c>
      <c r="C35900" s="38" t="s">
        <v>40010</v>
      </c>
      <c r="D35900" s="38" t="str">
        <f>IFERROR(__xludf.DUMMYFUNCTION("REGEXREPLACE(C35900,""-\d+(.*)|--\d+(.*)"","""")"),"MISSECLE")</f>
        <v>MISSECLE</v>
      </c>
      <c r="E35900" s="38" t="s">
        <v>231</v>
      </c>
      <c r="F35900" s="38" t="s">
        <v>94</v>
      </c>
      <c r="G35900" s="49" t="str">
        <f t="shared" si="1"/>
        <v>81300</v>
      </c>
      <c r="H35900" s="49">
        <f t="shared" si="2"/>
        <v>81169</v>
      </c>
    </row>
    <row r="35901">
      <c r="A35901" s="48" t="s">
        <v>4805</v>
      </c>
      <c r="B35901" s="38">
        <v>31013.0</v>
      </c>
      <c r="C35901" s="38" t="s">
        <v>40011</v>
      </c>
      <c r="D35901" s="38" t="str">
        <f>IFERROR(__xludf.DUMMYFUNCTION("REGEXREPLACE(C35901,""-\d+(.*)|--\d+(.*)"","""")"),"ARDIEGE")</f>
        <v>ARDIEGE</v>
      </c>
      <c r="E35901" s="38" t="s">
        <v>93</v>
      </c>
      <c r="F35901" s="38" t="s">
        <v>94</v>
      </c>
      <c r="G35901" s="49" t="str">
        <f t="shared" si="1"/>
        <v>31210</v>
      </c>
      <c r="H35901" s="49">
        <f t="shared" si="2"/>
        <v>31013</v>
      </c>
    </row>
    <row r="35902">
      <c r="A35902" s="48" t="s">
        <v>10584</v>
      </c>
      <c r="B35902" s="38">
        <v>17019.0</v>
      </c>
      <c r="C35902" s="38" t="s">
        <v>40012</v>
      </c>
      <c r="D35902" s="38" t="str">
        <f>IFERROR(__xludf.DUMMYFUNCTION("REGEXREPLACE(C35902,""-\d+(.*)|--\d+(.*)"","""")"),"ARS-EN-RE")</f>
        <v>ARS-EN-RE</v>
      </c>
      <c r="E35902" s="38" t="s">
        <v>488</v>
      </c>
      <c r="F35902" s="38" t="s">
        <v>338</v>
      </c>
      <c r="G35902" s="49" t="str">
        <f t="shared" si="1"/>
        <v>17590</v>
      </c>
      <c r="H35902" s="49">
        <f t="shared" si="2"/>
        <v>17019</v>
      </c>
    </row>
    <row r="35903">
      <c r="A35903" s="48" t="s">
        <v>12919</v>
      </c>
      <c r="B35903" s="38">
        <v>56083.0</v>
      </c>
      <c r="C35903" s="38" t="s">
        <v>40013</v>
      </c>
      <c r="D35903" s="38" t="str">
        <f>IFERROR(__xludf.DUMMYFUNCTION("REGEXREPLACE(C35903,""-\d+(.*)|--\d+(.*)"","""")"),"HENNEBONT")</f>
        <v>HENNEBONT</v>
      </c>
      <c r="E35903" s="38" t="s">
        <v>173</v>
      </c>
      <c r="F35903" s="38" t="s">
        <v>90</v>
      </c>
      <c r="G35903" s="49" t="str">
        <f t="shared" si="1"/>
        <v>56700</v>
      </c>
      <c r="H35903" s="49">
        <f t="shared" si="2"/>
        <v>56083</v>
      </c>
    </row>
    <row r="35904">
      <c r="A35904" s="48" t="s">
        <v>4412</v>
      </c>
      <c r="B35904" s="38">
        <v>68142.0</v>
      </c>
      <c r="C35904" s="38" t="s">
        <v>40014</v>
      </c>
      <c r="D35904" s="38" t="str">
        <f>IFERROR(__xludf.DUMMYFUNCTION("REGEXREPLACE(C35904,""-\d+(.*)|--\d+(.*)"","""")"),"HOHROD")</f>
        <v>HOHROD</v>
      </c>
      <c r="E35904" s="38" t="s">
        <v>150</v>
      </c>
      <c r="F35904" s="38" t="s">
        <v>151</v>
      </c>
      <c r="G35904" s="49" t="str">
        <f t="shared" si="1"/>
        <v>68140</v>
      </c>
      <c r="H35904" s="49">
        <f t="shared" si="2"/>
        <v>68142</v>
      </c>
    </row>
    <row r="35905">
      <c r="A35905" s="48" t="s">
        <v>40015</v>
      </c>
      <c r="B35905" s="38" t="s">
        <v>40016</v>
      </c>
      <c r="C35905" s="38" t="s">
        <v>40017</v>
      </c>
      <c r="D35905" s="38" t="str">
        <f>IFERROR(__xludf.DUMMYFUNCTION("REGEXREPLACE(C35905,""-\d+(.*)|--\d+(.*)"","""")"),"BASTIA")</f>
        <v>BASTIA</v>
      </c>
      <c r="E35905" s="38" t="s">
        <v>743</v>
      </c>
      <c r="F35905" s="38" t="s">
        <v>607</v>
      </c>
      <c r="G35905" s="49" t="str">
        <f t="shared" si="1"/>
        <v>20200/20600</v>
      </c>
      <c r="H35905" s="49" t="str">
        <f t="shared" si="2"/>
        <v>2B033</v>
      </c>
    </row>
    <row r="35906">
      <c r="A35906" s="48" t="s">
        <v>12467</v>
      </c>
      <c r="B35906" s="38">
        <v>72253.0</v>
      </c>
      <c r="C35906" s="38" t="s">
        <v>40018</v>
      </c>
      <c r="D35906" s="38" t="str">
        <f>IFERROR(__xludf.DUMMYFUNCTION("REGEXREPLACE(C35906,""-\d+(.*)|--\d+(.*)"","""")"),"ROEZE-SUR-SARTHE")</f>
        <v>ROEZE-SUR-SARTHE</v>
      </c>
      <c r="E35906" s="38" t="s">
        <v>521</v>
      </c>
      <c r="F35906" s="38" t="s">
        <v>180</v>
      </c>
      <c r="G35906" s="49" t="str">
        <f t="shared" si="1"/>
        <v>72210</v>
      </c>
      <c r="H35906" s="49">
        <f t="shared" si="2"/>
        <v>72253</v>
      </c>
    </row>
    <row r="35907">
      <c r="A35907" s="48" t="s">
        <v>6781</v>
      </c>
      <c r="B35907" s="38">
        <v>56246.0</v>
      </c>
      <c r="C35907" s="38" t="s">
        <v>40019</v>
      </c>
      <c r="D35907" s="38" t="str">
        <f>IFERROR(__xludf.DUMMYFUNCTION("REGEXREPLACE(C35907,""-\d+(.*)|--\d+(.*)"","""")"),"LE SOURN")</f>
        <v>LE SOURN</v>
      </c>
      <c r="E35907" s="38" t="s">
        <v>173</v>
      </c>
      <c r="F35907" s="38" t="s">
        <v>90</v>
      </c>
      <c r="G35907" s="49" t="str">
        <f t="shared" si="1"/>
        <v>56300</v>
      </c>
      <c r="H35907" s="49">
        <f t="shared" si="2"/>
        <v>56246</v>
      </c>
    </row>
    <row r="35908">
      <c r="A35908" s="48" t="s">
        <v>958</v>
      </c>
      <c r="B35908" s="38">
        <v>71406.0</v>
      </c>
      <c r="C35908" s="38" t="s">
        <v>40020</v>
      </c>
      <c r="D35908" s="38" t="str">
        <f>IFERROR(__xludf.DUMMYFUNCTION("REGEXREPLACE(C35908,""-\d+(.*)|--\d+(.*)"","""")"),"SAINT-DIDIER-EN-BRIONNAIS")</f>
        <v>SAINT-DIDIER-EN-BRIONNAIS</v>
      </c>
      <c r="E35908" s="38" t="s">
        <v>344</v>
      </c>
      <c r="F35908" s="38" t="s">
        <v>106</v>
      </c>
      <c r="G35908" s="49" t="str">
        <f t="shared" si="1"/>
        <v>71110</v>
      </c>
      <c r="H35908" s="49">
        <f t="shared" si="2"/>
        <v>71406</v>
      </c>
    </row>
    <row r="35909">
      <c r="A35909" s="48" t="s">
        <v>11370</v>
      </c>
      <c r="B35909" s="38">
        <v>26320.0</v>
      </c>
      <c r="C35909" s="38" t="s">
        <v>40021</v>
      </c>
      <c r="D35909" s="38" t="str">
        <f>IFERROR(__xludf.DUMMYFUNCTION("REGEXREPLACE(C35909,""-\d+(.*)|--\d+(.*)"","""")"),"SAINT-NAZAIRE-EN-ROYANS")</f>
        <v>SAINT-NAZAIRE-EN-ROYANS</v>
      </c>
      <c r="E35909" s="38" t="s">
        <v>126</v>
      </c>
      <c r="F35909" s="38" t="s">
        <v>102</v>
      </c>
      <c r="G35909" s="49" t="str">
        <f t="shared" si="1"/>
        <v>26190</v>
      </c>
      <c r="H35909" s="49">
        <f t="shared" si="2"/>
        <v>26320</v>
      </c>
    </row>
    <row r="35910">
      <c r="A35910" s="48" t="s">
        <v>4661</v>
      </c>
      <c r="B35910" s="38">
        <v>62775.0</v>
      </c>
      <c r="C35910" s="38" t="s">
        <v>40022</v>
      </c>
      <c r="D35910" s="38" t="str">
        <f>IFERROR(__xludf.DUMMYFUNCTION("REGEXREPLACE(C35910,""-\d+(.*)|--\d+(.*)"","""")"),"SANGHEN")</f>
        <v>SANGHEN</v>
      </c>
      <c r="E35910" s="38" t="s">
        <v>109</v>
      </c>
      <c r="F35910" s="38" t="s">
        <v>86</v>
      </c>
      <c r="G35910" s="49" t="str">
        <f t="shared" si="1"/>
        <v>62850</v>
      </c>
      <c r="H35910" s="49">
        <f t="shared" si="2"/>
        <v>62775</v>
      </c>
    </row>
    <row r="35911">
      <c r="A35911" s="48" t="s">
        <v>5501</v>
      </c>
      <c r="B35911" s="38">
        <v>62035.0</v>
      </c>
      <c r="C35911" s="38" t="s">
        <v>40023</v>
      </c>
      <c r="D35911" s="38" t="str">
        <f>IFERROR(__xludf.DUMMYFUNCTION("REGEXREPLACE(C35911,""-\d+(.*)|--\d+(.*)"","""")"),"ANNEZIN")</f>
        <v>ANNEZIN</v>
      </c>
      <c r="E35911" s="38" t="s">
        <v>109</v>
      </c>
      <c r="F35911" s="38" t="s">
        <v>86</v>
      </c>
      <c r="G35911" s="49" t="str">
        <f t="shared" si="1"/>
        <v>62232</v>
      </c>
      <c r="H35911" s="49">
        <f t="shared" si="2"/>
        <v>62035</v>
      </c>
    </row>
    <row r="35912">
      <c r="A35912" s="48" t="s">
        <v>1462</v>
      </c>
      <c r="B35912" s="38">
        <v>11136.0</v>
      </c>
      <c r="C35912" s="38" t="s">
        <v>40024</v>
      </c>
      <c r="D35912" s="38" t="str">
        <f>IFERROR(__xludf.DUMMYFUNCTION("REGEXREPLACE(C35912,""-\d+(.*)|--\d+(.*)"","""")"),"FANJEAUX")</f>
        <v>FANJEAUX</v>
      </c>
      <c r="E35912" s="38" t="s">
        <v>278</v>
      </c>
      <c r="F35912" s="38" t="s">
        <v>119</v>
      </c>
      <c r="G35912" s="49" t="str">
        <f t="shared" si="1"/>
        <v>11270</v>
      </c>
      <c r="H35912" s="49">
        <f t="shared" si="2"/>
        <v>11136</v>
      </c>
    </row>
    <row r="35913">
      <c r="A35913" s="48" t="s">
        <v>1970</v>
      </c>
      <c r="B35913" s="38">
        <v>74095.0</v>
      </c>
      <c r="C35913" s="38" t="s">
        <v>40025</v>
      </c>
      <c r="D35913" s="38" t="str">
        <f>IFERROR(__xludf.DUMMYFUNCTION("REGEXREPLACE(C35913,""-\d+(.*)|--\d+(.*)"","""")"),"CREMPIGNY-BONNEGUETE")</f>
        <v>CREMPIGNY-BONNEGUETE</v>
      </c>
      <c r="E35913" s="38" t="s">
        <v>319</v>
      </c>
      <c r="F35913" s="38" t="s">
        <v>102</v>
      </c>
      <c r="G35913" s="49" t="str">
        <f t="shared" si="1"/>
        <v>74150</v>
      </c>
      <c r="H35913" s="49">
        <f t="shared" si="2"/>
        <v>74095</v>
      </c>
    </row>
    <row r="35914">
      <c r="A35914" s="48" t="s">
        <v>40026</v>
      </c>
      <c r="B35914" s="38">
        <v>83047.0</v>
      </c>
      <c r="C35914" s="38" t="s">
        <v>40027</v>
      </c>
      <c r="D35914" s="38" t="str">
        <f>IFERROR(__xludf.DUMMYFUNCTION("REGEXREPLACE(C35914,""-\d+(.*)|--\d+(.*)"","""")"),"LA CRAU")</f>
        <v>LA CRAU</v>
      </c>
      <c r="E35914" s="38" t="s">
        <v>813</v>
      </c>
      <c r="F35914" s="38" t="s">
        <v>228</v>
      </c>
      <c r="G35914" s="49" t="str">
        <f t="shared" si="1"/>
        <v>83260</v>
      </c>
      <c r="H35914" s="49">
        <f t="shared" si="2"/>
        <v>83047</v>
      </c>
    </row>
    <row r="35915">
      <c r="A35915" s="48" t="s">
        <v>4748</v>
      </c>
      <c r="B35915" s="38">
        <v>77235.0</v>
      </c>
      <c r="C35915" s="38" t="s">
        <v>40028</v>
      </c>
      <c r="D35915" s="38" t="str">
        <f>IFERROR(__xludf.DUMMYFUNCTION("REGEXREPLACE(C35915,""-\d+(.*)|--\d+(.*)"","""")"),"JAIGNES")</f>
        <v>JAIGNES</v>
      </c>
      <c r="E35915" s="38" t="s">
        <v>244</v>
      </c>
      <c r="F35915" s="38" t="s">
        <v>245</v>
      </c>
      <c r="G35915" s="49" t="str">
        <f t="shared" si="1"/>
        <v>77440</v>
      </c>
      <c r="H35915" s="49">
        <f t="shared" si="2"/>
        <v>77235</v>
      </c>
    </row>
    <row r="35916">
      <c r="A35916" s="48" t="s">
        <v>5010</v>
      </c>
      <c r="B35916" s="38">
        <v>77215.0</v>
      </c>
      <c r="C35916" s="38" t="s">
        <v>40029</v>
      </c>
      <c r="D35916" s="38" t="str">
        <f>IFERROR(__xludf.DUMMYFUNCTION("REGEXREPLACE(C35916,""-\d+(.*)|--\d+(.*)"","""")"),"GRETZ-ARMAINVILLIERS")</f>
        <v>GRETZ-ARMAINVILLIERS</v>
      </c>
      <c r="E35916" s="38" t="s">
        <v>244</v>
      </c>
      <c r="F35916" s="38" t="s">
        <v>245</v>
      </c>
      <c r="G35916" s="49" t="str">
        <f t="shared" si="1"/>
        <v>77220</v>
      </c>
      <c r="H35916" s="49">
        <f t="shared" si="2"/>
        <v>77215</v>
      </c>
    </row>
    <row r="35917">
      <c r="A35917" s="48" t="s">
        <v>1212</v>
      </c>
      <c r="B35917" s="38">
        <v>11064.0</v>
      </c>
      <c r="C35917" s="38" t="s">
        <v>40030</v>
      </c>
      <c r="D35917" s="38" t="str">
        <f>IFERROR(__xludf.DUMMYFUNCTION("REGEXREPLACE(C35917,""-\d+(.*)|--\d+(.*)"","""")"),"CAMPLONG-D'AUDE")</f>
        <v>CAMPLONG-D'AUDE</v>
      </c>
      <c r="E35917" s="38" t="s">
        <v>278</v>
      </c>
      <c r="F35917" s="38" t="s">
        <v>119</v>
      </c>
      <c r="G35917" s="49" t="str">
        <f t="shared" si="1"/>
        <v>11200</v>
      </c>
      <c r="H35917" s="49">
        <f t="shared" si="2"/>
        <v>11064</v>
      </c>
    </row>
    <row r="35918">
      <c r="A35918" s="48" t="s">
        <v>1143</v>
      </c>
      <c r="B35918" s="38">
        <v>52436.0</v>
      </c>
      <c r="C35918" s="38" t="s">
        <v>40031</v>
      </c>
      <c r="D35918" s="38" t="str">
        <f>IFERROR(__xludf.DUMMYFUNCTION("REGEXREPLACE(C35918,""-\d+(.*)|--\d+(.*)"","""")"),"ROUECOURT")</f>
        <v>ROUECOURT</v>
      </c>
      <c r="E35918" s="38" t="s">
        <v>234</v>
      </c>
      <c r="F35918" s="38" t="s">
        <v>130</v>
      </c>
      <c r="G35918" s="49" t="str">
        <f t="shared" si="1"/>
        <v>52320</v>
      </c>
      <c r="H35918" s="49">
        <f t="shared" si="2"/>
        <v>52436</v>
      </c>
    </row>
    <row r="35919">
      <c r="A35919" s="48" t="s">
        <v>1096</v>
      </c>
      <c r="B35919" s="38">
        <v>63291.0</v>
      </c>
      <c r="C35919" s="38" t="s">
        <v>40032</v>
      </c>
      <c r="D35919" s="38" t="str">
        <f>IFERROR(__xludf.DUMMYFUNCTION("REGEXREPLACE(C35919,""-\d+(.*)|--\d+(.*)"","""")"),"PUY-GUILLAUME")</f>
        <v>PUY-GUILLAUME</v>
      </c>
      <c r="E35919" s="38" t="s">
        <v>353</v>
      </c>
      <c r="F35919" s="38" t="s">
        <v>161</v>
      </c>
      <c r="G35919" s="49" t="str">
        <f t="shared" si="1"/>
        <v>63290</v>
      </c>
      <c r="H35919" s="49">
        <f t="shared" si="2"/>
        <v>63291</v>
      </c>
    </row>
    <row r="35920">
      <c r="A35920" s="48" t="s">
        <v>10710</v>
      </c>
      <c r="B35920" s="38">
        <v>77529.0</v>
      </c>
      <c r="C35920" s="38" t="s">
        <v>40033</v>
      </c>
      <c r="D35920" s="38" t="str">
        <f>IFERROR(__xludf.DUMMYFUNCTION("REGEXREPLACE(C35920,""-\d+(.*)|--\d+(.*)"","""")"),"VOULANGIS")</f>
        <v>VOULANGIS</v>
      </c>
      <c r="E35920" s="38" t="s">
        <v>244</v>
      </c>
      <c r="F35920" s="38" t="s">
        <v>245</v>
      </c>
      <c r="G35920" s="49" t="str">
        <f t="shared" si="1"/>
        <v>77580</v>
      </c>
      <c r="H35920" s="49">
        <f t="shared" si="2"/>
        <v>77529</v>
      </c>
    </row>
    <row r="35921">
      <c r="A35921" s="48" t="s">
        <v>12861</v>
      </c>
      <c r="B35921" s="38">
        <v>86072.0</v>
      </c>
      <c r="C35921" s="38" t="s">
        <v>40034</v>
      </c>
      <c r="D35921" s="38" t="str">
        <f>IFERROR(__xludf.DUMMYFUNCTION("REGEXREPLACE(C35921,""-\d+(.*)|--\d+(.*)"","""")"),"CHENEVELLES")</f>
        <v>CHENEVELLES</v>
      </c>
      <c r="E35921" s="38" t="s">
        <v>529</v>
      </c>
      <c r="F35921" s="38" t="s">
        <v>338</v>
      </c>
      <c r="G35921" s="49" t="str">
        <f t="shared" si="1"/>
        <v>86450</v>
      </c>
      <c r="H35921" s="49">
        <f t="shared" si="2"/>
        <v>86072</v>
      </c>
    </row>
    <row r="35922">
      <c r="A35922" s="48" t="s">
        <v>8368</v>
      </c>
      <c r="B35922" s="38">
        <v>83028.0</v>
      </c>
      <c r="C35922" s="38" t="s">
        <v>40035</v>
      </c>
      <c r="D35922" s="38" t="str">
        <f>IFERROR(__xludf.DUMMYFUNCTION("REGEXREPLACE(C35922,""-\d+(.*)|--\d+(.*)"","""")"),"CALLAS")</f>
        <v>CALLAS</v>
      </c>
      <c r="E35922" s="38" t="s">
        <v>813</v>
      </c>
      <c r="F35922" s="38" t="s">
        <v>228</v>
      </c>
      <c r="G35922" s="49" t="str">
        <f t="shared" si="1"/>
        <v>83830</v>
      </c>
      <c r="H35922" s="49">
        <f t="shared" si="2"/>
        <v>83028</v>
      </c>
    </row>
    <row r="35923">
      <c r="A35923" s="48" t="s">
        <v>5956</v>
      </c>
      <c r="B35923" s="38">
        <v>62141.0</v>
      </c>
      <c r="C35923" s="38" t="s">
        <v>40036</v>
      </c>
      <c r="D35923" s="38" t="str">
        <f>IFERROR(__xludf.DUMMYFUNCTION("REGEXREPLACE(C35923,""-\d+(.*)|--\d+(.*)"","""")"),"BLESSY")</f>
        <v>BLESSY</v>
      </c>
      <c r="E35923" s="38" t="s">
        <v>109</v>
      </c>
      <c r="F35923" s="38" t="s">
        <v>86</v>
      </c>
      <c r="G35923" s="49" t="str">
        <f t="shared" si="1"/>
        <v>62120</v>
      </c>
      <c r="H35923" s="49">
        <f t="shared" si="2"/>
        <v>62141</v>
      </c>
    </row>
    <row r="35924">
      <c r="A35924" s="48" t="s">
        <v>9600</v>
      </c>
      <c r="B35924" s="38">
        <v>7115.0</v>
      </c>
      <c r="C35924" s="38" t="s">
        <v>40037</v>
      </c>
      <c r="D35924" s="38" t="str">
        <f>IFERROR(__xludf.DUMMYFUNCTION("REGEXREPLACE(C35924,""-\d+(.*)|--\d+(.*)"","""")"),"LABEAUME")</f>
        <v>LABEAUME</v>
      </c>
      <c r="E35924" s="38" t="s">
        <v>144</v>
      </c>
      <c r="F35924" s="38" t="s">
        <v>102</v>
      </c>
      <c r="G35924" s="49" t="str">
        <f t="shared" si="1"/>
        <v>07120</v>
      </c>
      <c r="H35924" s="49" t="str">
        <f t="shared" si="2"/>
        <v>07115</v>
      </c>
    </row>
    <row r="35925">
      <c r="A35925" s="48" t="s">
        <v>8235</v>
      </c>
      <c r="B35925" s="38">
        <v>48170.0</v>
      </c>
      <c r="C35925" s="38" t="s">
        <v>40038</v>
      </c>
      <c r="D35925" s="38" t="str">
        <f>IFERROR(__xludf.DUMMYFUNCTION("REGEXREPLACE(C35925,""-\d+(.*)|--\d+(.*)"","""")"),"SAINT-MARTIN-DE-BOUBAUX")</f>
        <v>SAINT-MARTIN-DE-BOUBAUX</v>
      </c>
      <c r="E35925" s="38" t="s">
        <v>154</v>
      </c>
      <c r="F35925" s="38" t="s">
        <v>119</v>
      </c>
      <c r="G35925" s="49" t="str">
        <f t="shared" si="1"/>
        <v>48160</v>
      </c>
      <c r="H35925" s="49">
        <f t="shared" si="2"/>
        <v>48170</v>
      </c>
    </row>
    <row r="35926">
      <c r="A35926" s="48" t="s">
        <v>12232</v>
      </c>
      <c r="B35926" s="38">
        <v>11071.0</v>
      </c>
      <c r="C35926" s="38" t="s">
        <v>40039</v>
      </c>
      <c r="D35926" s="38" t="str">
        <f>IFERROR(__xludf.DUMMYFUNCTION("REGEXREPLACE(C35926,""-\d+(.*)|--\d+(.*)"","""")"),"CASCASTEL-DES-CORBIERES")</f>
        <v>CASCASTEL-DES-CORBIERES</v>
      </c>
      <c r="E35926" s="38" t="s">
        <v>278</v>
      </c>
      <c r="F35926" s="38" t="s">
        <v>119</v>
      </c>
      <c r="G35926" s="49" t="str">
        <f t="shared" si="1"/>
        <v>11360</v>
      </c>
      <c r="H35926" s="49">
        <f t="shared" si="2"/>
        <v>11071</v>
      </c>
    </row>
    <row r="35927">
      <c r="A35927" s="48" t="s">
        <v>5538</v>
      </c>
      <c r="B35927" s="38">
        <v>31462.0</v>
      </c>
      <c r="C35927" s="38" t="s">
        <v>40040</v>
      </c>
      <c r="D35927" s="38" t="str">
        <f>IFERROR(__xludf.DUMMYFUNCTION("REGEXREPLACE(C35927,""-\d+(.*)|--\d+(.*)"","""")"),"ROUFFIAC-TOLOSAN")</f>
        <v>ROUFFIAC-TOLOSAN</v>
      </c>
      <c r="E35927" s="38" t="s">
        <v>93</v>
      </c>
      <c r="F35927" s="38" t="s">
        <v>94</v>
      </c>
      <c r="G35927" s="49" t="str">
        <f t="shared" si="1"/>
        <v>31180</v>
      </c>
      <c r="H35927" s="49">
        <f t="shared" si="2"/>
        <v>31462</v>
      </c>
    </row>
    <row r="35928">
      <c r="A35928" s="48" t="s">
        <v>6644</v>
      </c>
      <c r="B35928" s="38">
        <v>11143.0</v>
      </c>
      <c r="C35928" s="38" t="s">
        <v>40041</v>
      </c>
      <c r="D35928" s="38" t="str">
        <f>IFERROR(__xludf.DUMMYFUNCTION("REGEXREPLACE(C35928,""-\d+(.*)|--\d+(.*)"","""")"),"FEUILLA")</f>
        <v>FEUILLA</v>
      </c>
      <c r="E35928" s="38" t="s">
        <v>278</v>
      </c>
      <c r="F35928" s="38" t="s">
        <v>119</v>
      </c>
      <c r="G35928" s="49" t="str">
        <f t="shared" si="1"/>
        <v>11510</v>
      </c>
      <c r="H35928" s="49">
        <f t="shared" si="2"/>
        <v>11143</v>
      </c>
    </row>
    <row r="35929">
      <c r="A35929" s="48" t="s">
        <v>8111</v>
      </c>
      <c r="B35929" s="38">
        <v>40052.0</v>
      </c>
      <c r="C35929" s="38" t="s">
        <v>40042</v>
      </c>
      <c r="D35929" s="38" t="str">
        <f>IFERROR(__xludf.DUMMYFUNCTION("REGEXREPLACE(C35929,""-\d+(.*)|--\d+(.*)"","""")"),"BOURDALAT")</f>
        <v>BOURDALAT</v>
      </c>
      <c r="E35929" s="38" t="s">
        <v>281</v>
      </c>
      <c r="F35929" s="38" t="s">
        <v>252</v>
      </c>
      <c r="G35929" s="49" t="str">
        <f t="shared" si="1"/>
        <v>40190</v>
      </c>
      <c r="H35929" s="49">
        <f t="shared" si="2"/>
        <v>40052</v>
      </c>
    </row>
    <row r="35930">
      <c r="A35930" s="48" t="s">
        <v>14030</v>
      </c>
      <c r="B35930" s="38">
        <v>44027.0</v>
      </c>
      <c r="C35930" s="38" t="s">
        <v>40043</v>
      </c>
      <c r="D35930" s="38" t="str">
        <f>IFERROR(__xludf.DUMMYFUNCTION("REGEXREPLACE(C35930,""-\d+(.*)|--\d+(.*)"","""")"),"CASSON")</f>
        <v>CASSON</v>
      </c>
      <c r="E35930" s="38" t="s">
        <v>759</v>
      </c>
      <c r="F35930" s="38" t="s">
        <v>180</v>
      </c>
      <c r="G35930" s="49" t="str">
        <f t="shared" si="1"/>
        <v>44390</v>
      </c>
      <c r="H35930" s="49">
        <f t="shared" si="2"/>
        <v>44027</v>
      </c>
    </row>
    <row r="35931">
      <c r="A35931" s="48" t="s">
        <v>12522</v>
      </c>
      <c r="B35931" s="38">
        <v>59348.0</v>
      </c>
      <c r="C35931" s="38" t="s">
        <v>40044</v>
      </c>
      <c r="D35931" s="38" t="str">
        <f>IFERROR(__xludf.DUMMYFUNCTION("REGEXREPLACE(C35931,""-\d+(.*)|--\d+(.*)"","""")"),"LIEU-SAINT-AMAND")</f>
        <v>LIEU-SAINT-AMAND</v>
      </c>
      <c r="E35931" s="38" t="s">
        <v>85</v>
      </c>
      <c r="F35931" s="38" t="s">
        <v>86</v>
      </c>
      <c r="G35931" s="49" t="str">
        <f t="shared" si="1"/>
        <v>59111</v>
      </c>
      <c r="H35931" s="49">
        <f t="shared" si="2"/>
        <v>59348</v>
      </c>
    </row>
    <row r="35932">
      <c r="A35932" s="48" t="s">
        <v>4834</v>
      </c>
      <c r="B35932" s="38">
        <v>27035.0</v>
      </c>
      <c r="C35932" s="38" t="s">
        <v>40045</v>
      </c>
      <c r="D35932" s="38" t="str">
        <f>IFERROR(__xludf.DUMMYFUNCTION("REGEXREPLACE(C35932,""-\d+(.*)|--\d+(.*)"","""")"),"BAILLEUL-LA-VALLEE")</f>
        <v>BAILLEUL-LA-VALLEE</v>
      </c>
      <c r="E35932" s="38" t="s">
        <v>241</v>
      </c>
      <c r="F35932" s="38" t="s">
        <v>134</v>
      </c>
      <c r="G35932" s="49" t="str">
        <f t="shared" si="1"/>
        <v>27260</v>
      </c>
      <c r="H35932" s="49">
        <f t="shared" si="2"/>
        <v>27035</v>
      </c>
    </row>
    <row r="35933">
      <c r="A35933" s="48" t="s">
        <v>4697</v>
      </c>
      <c r="B35933" s="38">
        <v>67539.0</v>
      </c>
      <c r="C35933" s="38" t="s">
        <v>40046</v>
      </c>
      <c r="D35933" s="38" t="str">
        <f>IFERROR(__xludf.DUMMYFUNCTION("REGEXREPLACE(C35933,""-\d+(.*)|--\d+(.*)"","""")"),"WINGERSHEIM")</f>
        <v>WINGERSHEIM</v>
      </c>
      <c r="E35933" s="38" t="s">
        <v>210</v>
      </c>
      <c r="F35933" s="38" t="s">
        <v>151</v>
      </c>
      <c r="G35933" s="49" t="str">
        <f t="shared" si="1"/>
        <v>67170</v>
      </c>
      <c r="H35933" s="49">
        <f t="shared" si="2"/>
        <v>67539</v>
      </c>
    </row>
    <row r="35934">
      <c r="A35934" s="48" t="s">
        <v>4311</v>
      </c>
      <c r="B35934" s="38">
        <v>47014.0</v>
      </c>
      <c r="C35934" s="38" t="s">
        <v>40047</v>
      </c>
      <c r="D35934" s="38" t="str">
        <f>IFERROR(__xludf.DUMMYFUNCTION("REGEXREPLACE(C35934,""-\d+(.*)|--\d+(.*)"","""")"),"ARMILLAC")</f>
        <v>ARMILLAC</v>
      </c>
      <c r="E35934" s="38" t="s">
        <v>251</v>
      </c>
      <c r="F35934" s="38" t="s">
        <v>252</v>
      </c>
      <c r="G35934" s="49" t="str">
        <f t="shared" si="1"/>
        <v>47800</v>
      </c>
      <c r="H35934" s="49">
        <f t="shared" si="2"/>
        <v>47014</v>
      </c>
    </row>
    <row r="35935">
      <c r="A35935" s="48" t="s">
        <v>900</v>
      </c>
      <c r="B35935" s="38">
        <v>12239.0</v>
      </c>
      <c r="C35935" s="38" t="s">
        <v>40048</v>
      </c>
      <c r="D35935" s="38" t="str">
        <f>IFERROR(__xludf.DUMMYFUNCTION("REGEXREPLACE(C35935,""-\d+(.*)|--\d+(.*)"","""")"),"SAINT-MARTIN-DE-LENNE")</f>
        <v>SAINT-MARTIN-DE-LENNE</v>
      </c>
      <c r="E35935" s="38" t="s">
        <v>465</v>
      </c>
      <c r="F35935" s="38" t="s">
        <v>94</v>
      </c>
      <c r="G35935" s="49" t="str">
        <f t="shared" si="1"/>
        <v>12130</v>
      </c>
      <c r="H35935" s="49">
        <f t="shared" si="2"/>
        <v>12239</v>
      </c>
    </row>
    <row r="35936">
      <c r="A35936" s="48" t="s">
        <v>3194</v>
      </c>
      <c r="B35936" s="38">
        <v>89382.0</v>
      </c>
      <c r="C35936" s="38" t="s">
        <v>40049</v>
      </c>
      <c r="D35936" s="38" t="str">
        <f>IFERROR(__xludf.DUMMYFUNCTION("REGEXREPLACE(C35936,""-\d+(.*)|--\d+(.*)"","""")"),"SEIGNELAY")</f>
        <v>SEIGNELAY</v>
      </c>
      <c r="E35936" s="38" t="s">
        <v>275</v>
      </c>
      <c r="F35936" s="38" t="s">
        <v>106</v>
      </c>
      <c r="G35936" s="49" t="str">
        <f t="shared" si="1"/>
        <v>89250</v>
      </c>
      <c r="H35936" s="49">
        <f t="shared" si="2"/>
        <v>89382</v>
      </c>
    </row>
    <row r="35937">
      <c r="A35937" s="48" t="s">
        <v>1135</v>
      </c>
      <c r="B35937" s="38">
        <v>79329.0</v>
      </c>
      <c r="C35937" s="38" t="s">
        <v>40050</v>
      </c>
      <c r="D35937" s="38" t="str">
        <f>IFERROR(__xludf.DUMMYFUNCTION("REGEXREPLACE(C35937,""-\d+(.*)|--\d+(.*)"","""")"),"THOUARS")</f>
        <v>THOUARS</v>
      </c>
      <c r="E35937" s="38" t="s">
        <v>337</v>
      </c>
      <c r="F35937" s="38" t="s">
        <v>338</v>
      </c>
      <c r="G35937" s="49" t="str">
        <f t="shared" si="1"/>
        <v>79100</v>
      </c>
      <c r="H35937" s="49">
        <f t="shared" si="2"/>
        <v>79329</v>
      </c>
    </row>
    <row r="35938">
      <c r="A35938" s="48" t="s">
        <v>1022</v>
      </c>
      <c r="B35938" s="38">
        <v>2455.0</v>
      </c>
      <c r="C35938" s="38" t="s">
        <v>40051</v>
      </c>
      <c r="D35938" s="38" t="str">
        <f>IFERROR(__xludf.DUMMYFUNCTION("REGEXREPLACE(C35938,""-\d+(.*)|--\d+(.*)"","""")"),"MALZY")</f>
        <v>MALZY</v>
      </c>
      <c r="E35938" s="38" t="s">
        <v>191</v>
      </c>
      <c r="F35938" s="38" t="s">
        <v>113</v>
      </c>
      <c r="G35938" s="49" t="str">
        <f t="shared" si="1"/>
        <v>02120</v>
      </c>
      <c r="H35938" s="49" t="str">
        <f t="shared" si="2"/>
        <v>02455</v>
      </c>
    </row>
    <row r="35939">
      <c r="A35939" s="48" t="s">
        <v>3161</v>
      </c>
      <c r="B35939" s="38">
        <v>70274.0</v>
      </c>
      <c r="C35939" s="38" t="s">
        <v>40052</v>
      </c>
      <c r="D35939" s="38" t="str">
        <f>IFERROR(__xludf.DUMMYFUNCTION("REGEXREPLACE(C35939,""-\d+(.*)|--\d+(.*)"","""")"),"GRANDECOURT")</f>
        <v>GRANDECOURT</v>
      </c>
      <c r="E35939" s="38" t="s">
        <v>956</v>
      </c>
      <c r="F35939" s="38" t="s">
        <v>214</v>
      </c>
      <c r="G35939" s="49" t="str">
        <f t="shared" si="1"/>
        <v>70120</v>
      </c>
      <c r="H35939" s="49">
        <f t="shared" si="2"/>
        <v>70274</v>
      </c>
    </row>
    <row r="35940">
      <c r="A35940" s="48" t="s">
        <v>1609</v>
      </c>
      <c r="B35940" s="38">
        <v>30163.0</v>
      </c>
      <c r="C35940" s="38" t="s">
        <v>40053</v>
      </c>
      <c r="D35940" s="38" t="str">
        <f>IFERROR(__xludf.DUMMYFUNCTION("REGEXREPLACE(C35940,""-\d+(.*)|--\d+(.*)"","""")"),"MAURESSARGUES")</f>
        <v>MAURESSARGUES</v>
      </c>
      <c r="E35940" s="38" t="s">
        <v>526</v>
      </c>
      <c r="F35940" s="38" t="s">
        <v>119</v>
      </c>
      <c r="G35940" s="49" t="str">
        <f t="shared" si="1"/>
        <v>30350</v>
      </c>
      <c r="H35940" s="49">
        <f t="shared" si="2"/>
        <v>30163</v>
      </c>
    </row>
    <row r="35941">
      <c r="A35941" s="48" t="s">
        <v>1493</v>
      </c>
      <c r="B35941" s="38">
        <v>58119.0</v>
      </c>
      <c r="C35941" s="38" t="s">
        <v>40054</v>
      </c>
      <c r="D35941" s="38" t="str">
        <f>IFERROR(__xludf.DUMMYFUNCTION("REGEXREPLACE(C35941,""-\d+(.*)|--\d+(.*)"","""")"),"FRASNAY-REUGNY")</f>
        <v>FRASNAY-REUGNY</v>
      </c>
      <c r="E35941" s="38" t="s">
        <v>219</v>
      </c>
      <c r="F35941" s="38" t="s">
        <v>106</v>
      </c>
      <c r="G35941" s="49" t="str">
        <f t="shared" si="1"/>
        <v>58270</v>
      </c>
      <c r="H35941" s="49">
        <f t="shared" si="2"/>
        <v>58119</v>
      </c>
    </row>
    <row r="35942">
      <c r="A35942" s="48" t="s">
        <v>13834</v>
      </c>
      <c r="B35942" s="38">
        <v>36214.0</v>
      </c>
      <c r="C35942" s="38" t="s">
        <v>40055</v>
      </c>
      <c r="D35942" s="38" t="str">
        <f>IFERROR(__xludf.DUMMYFUNCTION("REGEXREPLACE(C35942,""-\d+(.*)|--\d+(.*)"","""")"),"SAZERAY")</f>
        <v>SAZERAY</v>
      </c>
      <c r="E35942" s="38" t="s">
        <v>258</v>
      </c>
      <c r="F35942" s="38" t="s">
        <v>123</v>
      </c>
      <c r="G35942" s="49" t="str">
        <f t="shared" si="1"/>
        <v>36160</v>
      </c>
      <c r="H35942" s="49">
        <f t="shared" si="2"/>
        <v>36214</v>
      </c>
    </row>
    <row r="35943">
      <c r="A35943" s="48" t="s">
        <v>12533</v>
      </c>
      <c r="B35943" s="38">
        <v>63322.0</v>
      </c>
      <c r="C35943" s="38" t="s">
        <v>14169</v>
      </c>
      <c r="D35943" s="38" t="str">
        <f>IFERROR(__xludf.DUMMYFUNCTION("REGEXREPLACE(C35943,""-\d+(.*)|--\d+(.*)"","""")"),"SAINT-BEAUZIRE")</f>
        <v>SAINT-BEAUZIRE</v>
      </c>
      <c r="E35943" s="38" t="s">
        <v>353</v>
      </c>
      <c r="F35943" s="38" t="s">
        <v>161</v>
      </c>
      <c r="G35943" s="49" t="str">
        <f t="shared" si="1"/>
        <v>63360</v>
      </c>
      <c r="H35943" s="49">
        <f t="shared" si="2"/>
        <v>63322</v>
      </c>
    </row>
    <row r="35944">
      <c r="A35944" s="48" t="s">
        <v>4340</v>
      </c>
      <c r="B35944" s="38">
        <v>33463.0</v>
      </c>
      <c r="C35944" s="38" t="s">
        <v>40056</v>
      </c>
      <c r="D35944" s="38" t="str">
        <f>IFERROR(__xludf.DUMMYFUNCTION("REGEXREPLACE(C35944,""-\d+(.*)|--\d+(.*)"","""")"),"SAINT-PIERRE-D'AURILLAC")</f>
        <v>SAINT-PIERRE-D'AURILLAC</v>
      </c>
      <c r="E35944" s="38" t="s">
        <v>462</v>
      </c>
      <c r="F35944" s="38" t="s">
        <v>252</v>
      </c>
      <c r="G35944" s="49" t="str">
        <f t="shared" si="1"/>
        <v>33490</v>
      </c>
      <c r="H35944" s="49">
        <f t="shared" si="2"/>
        <v>33463</v>
      </c>
    </row>
    <row r="35945">
      <c r="A35945" s="48" t="s">
        <v>18412</v>
      </c>
      <c r="B35945" s="38">
        <v>82119.0</v>
      </c>
      <c r="C35945" s="38" t="s">
        <v>40057</v>
      </c>
      <c r="D35945" s="38" t="str">
        <f>IFERROR(__xludf.DUMMYFUNCTION("REGEXREPLACE(C35945,""-\d+(.*)|--\d+(.*)"","""")"),"MONTALZAT")</f>
        <v>MONTALZAT</v>
      </c>
      <c r="E35945" s="38" t="s">
        <v>570</v>
      </c>
      <c r="F35945" s="38" t="s">
        <v>94</v>
      </c>
      <c r="G35945" s="49" t="str">
        <f t="shared" si="1"/>
        <v>82270</v>
      </c>
      <c r="H35945" s="49">
        <f t="shared" si="2"/>
        <v>82119</v>
      </c>
    </row>
    <row r="35946">
      <c r="A35946" s="48" t="s">
        <v>24631</v>
      </c>
      <c r="B35946" s="38">
        <v>30097.0</v>
      </c>
      <c r="C35946" s="38" t="s">
        <v>40058</v>
      </c>
      <c r="D35946" s="38" t="str">
        <f>IFERROR(__xludf.DUMMYFUNCTION("REGEXREPLACE(C35946,""-\d+(.*)|--\d+(.*)"","""")"),"COURRY")</f>
        <v>COURRY</v>
      </c>
      <c r="E35946" s="38" t="s">
        <v>526</v>
      </c>
      <c r="F35946" s="38" t="s">
        <v>119</v>
      </c>
      <c r="G35946" s="49" t="str">
        <f t="shared" si="1"/>
        <v>30500</v>
      </c>
      <c r="H35946" s="49">
        <f t="shared" si="2"/>
        <v>30097</v>
      </c>
    </row>
    <row r="35947">
      <c r="A35947" s="48" t="s">
        <v>3973</v>
      </c>
      <c r="B35947" s="38">
        <v>33035.0</v>
      </c>
      <c r="C35947" s="38" t="s">
        <v>40059</v>
      </c>
      <c r="D35947" s="38" t="str">
        <f>IFERROR(__xludf.DUMMYFUNCTION("REGEXREPLACE(C35947,""-\d+(.*)|--\d+(.*)"","""")"),"BAYON-SUR-GIRONDE")</f>
        <v>BAYON-SUR-GIRONDE</v>
      </c>
      <c r="E35947" s="38" t="s">
        <v>462</v>
      </c>
      <c r="F35947" s="38" t="s">
        <v>252</v>
      </c>
      <c r="G35947" s="49" t="str">
        <f t="shared" si="1"/>
        <v>33710</v>
      </c>
      <c r="H35947" s="49">
        <f t="shared" si="2"/>
        <v>33035</v>
      </c>
    </row>
    <row r="35948">
      <c r="A35948" s="48" t="s">
        <v>6767</v>
      </c>
      <c r="B35948" s="38">
        <v>15229.0</v>
      </c>
      <c r="C35948" s="38" t="s">
        <v>40060</v>
      </c>
      <c r="D35948" s="38" t="str">
        <f>IFERROR(__xludf.DUMMYFUNCTION("REGEXREPLACE(C35948,""-\d+(.*)|--\d+(.*)"","""")"),"SOULAGES")</f>
        <v>SOULAGES</v>
      </c>
      <c r="E35948" s="38" t="s">
        <v>632</v>
      </c>
      <c r="F35948" s="38" t="s">
        <v>161</v>
      </c>
      <c r="G35948" s="49" t="str">
        <f t="shared" si="1"/>
        <v>15100</v>
      </c>
      <c r="H35948" s="49">
        <f t="shared" si="2"/>
        <v>15229</v>
      </c>
    </row>
    <row r="35949">
      <c r="A35949" s="48" t="s">
        <v>2408</v>
      </c>
      <c r="B35949" s="38">
        <v>30244.0</v>
      </c>
      <c r="C35949" s="38" t="s">
        <v>6198</v>
      </c>
      <c r="D35949" s="38" t="str">
        <f>IFERROR(__xludf.DUMMYFUNCTION("REGEXREPLACE(C35949,""-\d+(.*)|--\d+(.*)"","""")"),"SAINT-CLEMENT")</f>
        <v>SAINT-CLEMENT</v>
      </c>
      <c r="E35949" s="38" t="s">
        <v>526</v>
      </c>
      <c r="F35949" s="38" t="s">
        <v>119</v>
      </c>
      <c r="G35949" s="49" t="str">
        <f t="shared" si="1"/>
        <v>30260</v>
      </c>
      <c r="H35949" s="49">
        <f t="shared" si="2"/>
        <v>30244</v>
      </c>
    </row>
    <row r="35950">
      <c r="A35950" s="48" t="s">
        <v>3273</v>
      </c>
      <c r="B35950" s="38">
        <v>59115.0</v>
      </c>
      <c r="C35950" s="38" t="s">
        <v>40061</v>
      </c>
      <c r="D35950" s="38" t="str">
        <f>IFERROR(__xludf.DUMMYFUNCTION("REGEXREPLACE(C35950,""-\d+(.*)|--\d+(.*)"","""")"),"BRUNEMONT")</f>
        <v>BRUNEMONT</v>
      </c>
      <c r="E35950" s="38" t="s">
        <v>85</v>
      </c>
      <c r="F35950" s="38" t="s">
        <v>86</v>
      </c>
      <c r="G35950" s="49" t="str">
        <f t="shared" si="1"/>
        <v>59151</v>
      </c>
      <c r="H35950" s="49">
        <f t="shared" si="2"/>
        <v>59115</v>
      </c>
    </row>
    <row r="35951">
      <c r="A35951" s="48" t="s">
        <v>6526</v>
      </c>
      <c r="B35951" s="38">
        <v>69007.0</v>
      </c>
      <c r="C35951" s="38" t="s">
        <v>40062</v>
      </c>
      <c r="D35951" s="38" t="str">
        <f>IFERROR(__xludf.DUMMYFUNCTION("REGEXREPLACE(C35951,""-\d+(.*)|--\d+(.*)"","""")"),"AMPUIS")</f>
        <v>AMPUIS</v>
      </c>
      <c r="E35951" s="38" t="s">
        <v>350</v>
      </c>
      <c r="F35951" s="38" t="s">
        <v>102</v>
      </c>
      <c r="G35951" s="49" t="str">
        <f t="shared" si="1"/>
        <v>69420</v>
      </c>
      <c r="H35951" s="49">
        <f t="shared" si="2"/>
        <v>69007</v>
      </c>
    </row>
    <row r="35952">
      <c r="A35952" s="48" t="s">
        <v>3821</v>
      </c>
      <c r="B35952" s="38">
        <v>57662.0</v>
      </c>
      <c r="C35952" s="38" t="s">
        <v>40063</v>
      </c>
      <c r="D35952" s="38" t="str">
        <f>IFERROR(__xludf.DUMMYFUNCTION("REGEXREPLACE(C35952,""-\d+(.*)|--\d+(.*)"","""")"),"SUISSE")</f>
        <v>SUISSE</v>
      </c>
      <c r="E35952" s="38" t="s">
        <v>303</v>
      </c>
      <c r="F35952" s="38" t="s">
        <v>195</v>
      </c>
      <c r="G35952" s="49" t="str">
        <f t="shared" si="1"/>
        <v>57340</v>
      </c>
      <c r="H35952" s="49">
        <f t="shared" si="2"/>
        <v>57662</v>
      </c>
    </row>
    <row r="35953">
      <c r="A35953" s="48" t="s">
        <v>1632</v>
      </c>
      <c r="B35953" s="38">
        <v>63166.0</v>
      </c>
      <c r="C35953" s="38" t="s">
        <v>40064</v>
      </c>
      <c r="D35953" s="38" t="str">
        <f>IFERROR(__xludf.DUMMYFUNCTION("REGEXREPLACE(C35953,""-\d+(.*)|--\d+(.*)"","""")"),"GIGNAT")</f>
        <v>GIGNAT</v>
      </c>
      <c r="E35953" s="38" t="s">
        <v>353</v>
      </c>
      <c r="F35953" s="38" t="s">
        <v>161</v>
      </c>
      <c r="G35953" s="49" t="str">
        <f t="shared" si="1"/>
        <v>63340</v>
      </c>
      <c r="H35953" s="49">
        <f t="shared" si="2"/>
        <v>63166</v>
      </c>
    </row>
    <row r="35954">
      <c r="A35954" s="48" t="s">
        <v>1947</v>
      </c>
      <c r="B35954" s="38">
        <v>52351.0</v>
      </c>
      <c r="C35954" s="38" t="s">
        <v>40065</v>
      </c>
      <c r="D35954" s="38" t="str">
        <f>IFERROR(__xludf.DUMMYFUNCTION("REGEXREPLACE(C35954,""-\d+(.*)|--\d+(.*)"","""")"),"NIJON")</f>
        <v>NIJON</v>
      </c>
      <c r="E35954" s="38" t="s">
        <v>234</v>
      </c>
      <c r="F35954" s="38" t="s">
        <v>130</v>
      </c>
      <c r="G35954" s="49" t="str">
        <f t="shared" si="1"/>
        <v>52150</v>
      </c>
      <c r="H35954" s="49">
        <f t="shared" si="2"/>
        <v>52351</v>
      </c>
    </row>
    <row r="35955">
      <c r="A35955" s="48" t="s">
        <v>9704</v>
      </c>
      <c r="B35955" s="38">
        <v>22362.0</v>
      </c>
      <c r="C35955" s="38" t="s">
        <v>40066</v>
      </c>
      <c r="D35955" s="38" t="str">
        <f>IFERROR(__xludf.DUMMYFUNCTION("REGEXREPLACE(C35955,""-\d+(.*)|--\d+(.*)"","""")"),"TREGUIER")</f>
        <v>TREGUIER</v>
      </c>
      <c r="E35955" s="38" t="s">
        <v>89</v>
      </c>
      <c r="F35955" s="38" t="s">
        <v>90</v>
      </c>
      <c r="G35955" s="49" t="str">
        <f t="shared" si="1"/>
        <v>22220</v>
      </c>
      <c r="H35955" s="49">
        <f t="shared" si="2"/>
        <v>22362</v>
      </c>
    </row>
    <row r="35956">
      <c r="A35956" s="48" t="s">
        <v>709</v>
      </c>
      <c r="B35956" s="38">
        <v>43048.0</v>
      </c>
      <c r="C35956" s="38" t="s">
        <v>40067</v>
      </c>
      <c r="D35956" s="38" t="str">
        <f>IFERROR(__xludf.DUMMYFUNCTION("REGEXREPLACE(C35956,""-\d+(.*)|--\d+(.*)"","""")"),"LA CHAISE-DIEU")</f>
        <v>LA CHAISE-DIEU</v>
      </c>
      <c r="E35956" s="38" t="s">
        <v>332</v>
      </c>
      <c r="F35956" s="38" t="s">
        <v>161</v>
      </c>
      <c r="G35956" s="49" t="str">
        <f t="shared" si="1"/>
        <v>43160</v>
      </c>
      <c r="H35956" s="49">
        <f t="shared" si="2"/>
        <v>43048</v>
      </c>
    </row>
    <row r="35957">
      <c r="A35957" s="48" t="s">
        <v>940</v>
      </c>
      <c r="B35957" s="38">
        <v>51145.0</v>
      </c>
      <c r="C35957" s="38" t="s">
        <v>6127</v>
      </c>
      <c r="D35957" s="38" t="str">
        <f>IFERROR(__xludf.DUMMYFUNCTION("REGEXREPLACE(C35957,""-\d+(.*)|--\d+(.*)"","""")"),"CHENAY")</f>
        <v>CHENAY</v>
      </c>
      <c r="E35957" s="38" t="s">
        <v>129</v>
      </c>
      <c r="F35957" s="38" t="s">
        <v>130</v>
      </c>
      <c r="G35957" s="49" t="str">
        <f t="shared" si="1"/>
        <v>51140</v>
      </c>
      <c r="H35957" s="49">
        <f t="shared" si="2"/>
        <v>51145</v>
      </c>
    </row>
    <row r="35958">
      <c r="A35958" s="48" t="s">
        <v>40068</v>
      </c>
      <c r="B35958" s="38">
        <v>85234.0</v>
      </c>
      <c r="C35958" s="38" t="s">
        <v>40069</v>
      </c>
      <c r="D35958" s="38" t="str">
        <f>IFERROR(__xludf.DUMMYFUNCTION("REGEXREPLACE(C35958,""-\d+(.*)|--\d+(.*)"","""")"),"SAINT-JEAN-DE-MONTS")</f>
        <v>SAINT-JEAN-DE-MONTS</v>
      </c>
      <c r="E35958" s="38" t="s">
        <v>179</v>
      </c>
      <c r="F35958" s="38" t="s">
        <v>180</v>
      </c>
      <c r="G35958" s="49" t="str">
        <f t="shared" si="1"/>
        <v>85160</v>
      </c>
      <c r="H35958" s="49">
        <f t="shared" si="2"/>
        <v>85234</v>
      </c>
    </row>
    <row r="35959">
      <c r="A35959" s="48" t="s">
        <v>2549</v>
      </c>
      <c r="B35959" s="38">
        <v>55269.0</v>
      </c>
      <c r="C35959" s="38" t="s">
        <v>40070</v>
      </c>
      <c r="D35959" s="38" t="str">
        <f>IFERROR(__xludf.DUMMYFUNCTION("REGEXREPLACE(C35959,""-\d+(.*)|--\d+(.*)"","""")"),"LAHAYMEIX")</f>
        <v>LAHAYMEIX</v>
      </c>
      <c r="E35959" s="38" t="s">
        <v>322</v>
      </c>
      <c r="F35959" s="38" t="s">
        <v>195</v>
      </c>
      <c r="G35959" s="49" t="str">
        <f t="shared" si="1"/>
        <v>55260</v>
      </c>
      <c r="H35959" s="49">
        <f t="shared" si="2"/>
        <v>55269</v>
      </c>
    </row>
    <row r="35960">
      <c r="A35960" s="48" t="s">
        <v>40071</v>
      </c>
      <c r="B35960" s="38">
        <v>4242.0</v>
      </c>
      <c r="C35960" s="38" t="s">
        <v>9167</v>
      </c>
      <c r="D35960" s="38" t="str">
        <f>IFERROR(__xludf.DUMMYFUNCTION("REGEXREPLACE(C35960,""-\d+(.*)|--\d+(.*)"","""")"),"VILLENEUVE")</f>
        <v>VILLENEUVE</v>
      </c>
      <c r="E35960" s="38" t="s">
        <v>662</v>
      </c>
      <c r="F35960" s="38" t="s">
        <v>228</v>
      </c>
      <c r="G35960" s="49" t="str">
        <f t="shared" si="1"/>
        <v>04180</v>
      </c>
      <c r="H35960" s="49" t="str">
        <f t="shared" si="2"/>
        <v>04242</v>
      </c>
    </row>
    <row r="35961">
      <c r="A35961" s="48" t="s">
        <v>2966</v>
      </c>
      <c r="B35961" s="38">
        <v>85296.0</v>
      </c>
      <c r="C35961" s="38" t="s">
        <v>40072</v>
      </c>
      <c r="D35961" s="38" t="str">
        <f>IFERROR(__xludf.DUMMYFUNCTION("REGEXREPLACE(C35961,""-\d+(.*)|--\d+(.*)"","""")"),"TREIZE-VENTS")</f>
        <v>TREIZE-VENTS</v>
      </c>
      <c r="E35961" s="38" t="s">
        <v>179</v>
      </c>
      <c r="F35961" s="38" t="s">
        <v>180</v>
      </c>
      <c r="G35961" s="49" t="str">
        <f t="shared" si="1"/>
        <v>85590</v>
      </c>
      <c r="H35961" s="49">
        <f t="shared" si="2"/>
        <v>85296</v>
      </c>
    </row>
    <row r="35962">
      <c r="A35962" s="48" t="s">
        <v>7153</v>
      </c>
      <c r="B35962" s="38">
        <v>30177.0</v>
      </c>
      <c r="C35962" s="38" t="s">
        <v>30331</v>
      </c>
      <c r="D35962" s="38" t="str">
        <f>IFERROR(__xludf.DUMMYFUNCTION("REGEXREPLACE(C35962,""-\d+(.*)|--\d+(.*)"","""")"),"MONTEILS")</f>
        <v>MONTEILS</v>
      </c>
      <c r="E35962" s="38" t="s">
        <v>526</v>
      </c>
      <c r="F35962" s="38" t="s">
        <v>119</v>
      </c>
      <c r="G35962" s="49" t="str">
        <f t="shared" si="1"/>
        <v>30360</v>
      </c>
      <c r="H35962" s="49">
        <f t="shared" si="2"/>
        <v>30177</v>
      </c>
    </row>
    <row r="35963">
      <c r="A35963" s="48" t="s">
        <v>874</v>
      </c>
      <c r="B35963" s="38" t="s">
        <v>40073</v>
      </c>
      <c r="C35963" s="38" t="s">
        <v>40074</v>
      </c>
      <c r="D35963" s="38" t="str">
        <f>IFERROR(__xludf.DUMMYFUNCTION("REGEXREPLACE(C35963,""-\d+(.*)|--\d+(.*)"","""")"),"PIEDICROCE")</f>
        <v>PIEDICROCE</v>
      </c>
      <c r="E35963" s="38" t="s">
        <v>743</v>
      </c>
      <c r="F35963" s="38" t="s">
        <v>607</v>
      </c>
      <c r="G35963" s="49" t="str">
        <f t="shared" si="1"/>
        <v>20229</v>
      </c>
      <c r="H35963" s="49" t="str">
        <f t="shared" si="2"/>
        <v>2B219</v>
      </c>
    </row>
    <row r="35964">
      <c r="A35964" s="48" t="s">
        <v>2794</v>
      </c>
      <c r="B35964" s="38">
        <v>39054.0</v>
      </c>
      <c r="C35964" s="38" t="s">
        <v>40075</v>
      </c>
      <c r="D35964" s="38" t="str">
        <f>IFERROR(__xludf.DUMMYFUNCTION("REGEXREPLACE(C35964,""-\d+(.*)|--\d+(.*)"","""")"),"BIEFMORIN")</f>
        <v>BIEFMORIN</v>
      </c>
      <c r="E35964" s="38" t="s">
        <v>400</v>
      </c>
      <c r="F35964" s="38" t="s">
        <v>214</v>
      </c>
      <c r="G35964" s="49" t="str">
        <f t="shared" si="1"/>
        <v>39800</v>
      </c>
      <c r="H35964" s="49">
        <f t="shared" si="2"/>
        <v>39054</v>
      </c>
    </row>
    <row r="35965">
      <c r="A35965" s="48" t="s">
        <v>16765</v>
      </c>
      <c r="B35965" s="38">
        <v>76032.0</v>
      </c>
      <c r="C35965" s="38" t="s">
        <v>40076</v>
      </c>
      <c r="D35965" s="38" t="str">
        <f>IFERROR(__xludf.DUMMYFUNCTION("REGEXREPLACE(C35965,""-\d+(.*)|--\d+(.*)"","""")"),"AUBERVILLE-LA-MANUEL")</f>
        <v>AUBERVILLE-LA-MANUEL</v>
      </c>
      <c r="E35965" s="38" t="s">
        <v>133</v>
      </c>
      <c r="F35965" s="38" t="s">
        <v>134</v>
      </c>
      <c r="G35965" s="49" t="str">
        <f t="shared" si="1"/>
        <v>76450</v>
      </c>
      <c r="H35965" s="49">
        <f t="shared" si="2"/>
        <v>76032</v>
      </c>
    </row>
    <row r="35966">
      <c r="A35966" s="48" t="s">
        <v>198</v>
      </c>
      <c r="B35966" s="38">
        <v>65243.0</v>
      </c>
      <c r="C35966" s="38" t="s">
        <v>40077</v>
      </c>
      <c r="D35966" s="38" t="str">
        <f>IFERROR(__xludf.DUMMYFUNCTION("REGEXREPLACE(C35966,""-\d+(.*)|--\d+(.*)"","""")"),"LAFITOLE")</f>
        <v>LAFITOLE</v>
      </c>
      <c r="E35966" s="38" t="s">
        <v>200</v>
      </c>
      <c r="F35966" s="38" t="s">
        <v>94</v>
      </c>
      <c r="G35966" s="49" t="str">
        <f t="shared" si="1"/>
        <v>65700</v>
      </c>
      <c r="H35966" s="49">
        <f t="shared" si="2"/>
        <v>65243</v>
      </c>
    </row>
    <row r="35967">
      <c r="A35967" s="48" t="s">
        <v>2217</v>
      </c>
      <c r="B35967" s="38">
        <v>24575.0</v>
      </c>
      <c r="C35967" s="38" t="s">
        <v>40078</v>
      </c>
      <c r="D35967" s="38" t="str">
        <f>IFERROR(__xludf.DUMMYFUNCTION("REGEXREPLACE(C35967,""-\d+(.*)|--\d+(.*)"","""")"),"VEYRINES-DE-DOMME")</f>
        <v>VEYRINES-DE-DOMME</v>
      </c>
      <c r="E35967" s="38" t="s">
        <v>261</v>
      </c>
      <c r="F35967" s="38" t="s">
        <v>252</v>
      </c>
      <c r="G35967" s="49" t="str">
        <f t="shared" si="1"/>
        <v>24250</v>
      </c>
      <c r="H35967" s="49">
        <f t="shared" si="2"/>
        <v>24575</v>
      </c>
    </row>
    <row r="35968">
      <c r="A35968" s="48" t="s">
        <v>8365</v>
      </c>
      <c r="B35968" s="38">
        <v>39559.0</v>
      </c>
      <c r="C35968" s="38" t="s">
        <v>40079</v>
      </c>
      <c r="D35968" s="38" t="str">
        <f>IFERROR(__xludf.DUMMYFUNCTION("REGEXREPLACE(C35968,""-\d+(.*)|--\d+(.*)"","""")"),"LA VIEILLE-LOYE")</f>
        <v>LA VIEILLE-LOYE</v>
      </c>
      <c r="E35968" s="38" t="s">
        <v>400</v>
      </c>
      <c r="F35968" s="38" t="s">
        <v>214</v>
      </c>
      <c r="G35968" s="49" t="str">
        <f t="shared" si="1"/>
        <v>39380</v>
      </c>
      <c r="H35968" s="49">
        <f t="shared" si="2"/>
        <v>39559</v>
      </c>
    </row>
    <row r="35969">
      <c r="A35969" s="48" t="s">
        <v>11770</v>
      </c>
      <c r="B35969" s="38">
        <v>74284.0</v>
      </c>
      <c r="C35969" s="38" t="s">
        <v>19516</v>
      </c>
      <c r="D35969" s="38" t="str">
        <f>IFERROR(__xludf.DUMMYFUNCTION("REGEXREPLACE(C35969,""-\d+(.*)|--\d+(.*)"","""")"),"LA TOUR")</f>
        <v>LA TOUR</v>
      </c>
      <c r="E35969" s="38" t="s">
        <v>319</v>
      </c>
      <c r="F35969" s="38" t="s">
        <v>102</v>
      </c>
      <c r="G35969" s="49" t="str">
        <f t="shared" si="1"/>
        <v>74250</v>
      </c>
      <c r="H35969" s="49">
        <f t="shared" si="2"/>
        <v>74284</v>
      </c>
    </row>
    <row r="35970">
      <c r="A35970" s="48" t="s">
        <v>5553</v>
      </c>
      <c r="B35970" s="38">
        <v>34196.0</v>
      </c>
      <c r="C35970" s="38" t="s">
        <v>40080</v>
      </c>
      <c r="D35970" s="38" t="str">
        <f>IFERROR(__xludf.DUMMYFUNCTION("REGEXREPLACE(C35970,""-\d+(.*)|--\d+(.*)"","""")"),"PEGAIROLLES-DE-L'ESCALETTE")</f>
        <v>PEGAIROLLES-DE-L'ESCALETTE</v>
      </c>
      <c r="E35970" s="38" t="s">
        <v>118</v>
      </c>
      <c r="F35970" s="38" t="s">
        <v>119</v>
      </c>
      <c r="G35970" s="49" t="str">
        <f t="shared" si="1"/>
        <v>34700</v>
      </c>
      <c r="H35970" s="49">
        <f t="shared" si="2"/>
        <v>34196</v>
      </c>
    </row>
    <row r="35971">
      <c r="A35971" s="48" t="s">
        <v>10468</v>
      </c>
      <c r="B35971" s="38">
        <v>87148.0</v>
      </c>
      <c r="C35971" s="38" t="s">
        <v>40081</v>
      </c>
      <c r="D35971" s="38" t="str">
        <f>IFERROR(__xludf.DUMMYFUNCTION("REGEXREPLACE(C35971,""-\d+(.*)|--\d+(.*)"","""")"),"SAINT-HILAIRE-BONNEVAL")</f>
        <v>SAINT-HILAIRE-BONNEVAL</v>
      </c>
      <c r="E35971" s="38" t="s">
        <v>897</v>
      </c>
      <c r="F35971" s="38" t="s">
        <v>98</v>
      </c>
      <c r="G35971" s="49" t="str">
        <f t="shared" si="1"/>
        <v>87260</v>
      </c>
      <c r="H35971" s="49">
        <f t="shared" si="2"/>
        <v>87148</v>
      </c>
    </row>
    <row r="35972">
      <c r="A35972" s="48" t="s">
        <v>32186</v>
      </c>
      <c r="B35972" s="38">
        <v>77249.0</v>
      </c>
      <c r="C35972" s="38" t="s">
        <v>37945</v>
      </c>
      <c r="D35972" s="38" t="str">
        <f>IFERROR(__xludf.DUMMYFUNCTION("REGEXREPLACE(C35972,""-\d+(.*)|--\d+(.*)"","""")"),"LESIGNY")</f>
        <v>LESIGNY</v>
      </c>
      <c r="E35972" s="38" t="s">
        <v>244</v>
      </c>
      <c r="F35972" s="38" t="s">
        <v>245</v>
      </c>
      <c r="G35972" s="49" t="str">
        <f t="shared" si="1"/>
        <v>77150</v>
      </c>
      <c r="H35972" s="49">
        <f t="shared" si="2"/>
        <v>77249</v>
      </c>
    </row>
    <row r="35973">
      <c r="A35973" s="48" t="s">
        <v>7514</v>
      </c>
      <c r="B35973" s="38">
        <v>88427.0</v>
      </c>
      <c r="C35973" s="38" t="s">
        <v>40082</v>
      </c>
      <c r="D35973" s="38" t="str">
        <f>IFERROR(__xludf.DUMMYFUNCTION("REGEXREPLACE(C35973,""-\d+(.*)|--\d+(.*)"","""")"),"SAINT-MENGE")</f>
        <v>SAINT-MENGE</v>
      </c>
      <c r="E35973" s="38" t="s">
        <v>194</v>
      </c>
      <c r="F35973" s="38" t="s">
        <v>195</v>
      </c>
      <c r="G35973" s="49" t="str">
        <f t="shared" si="1"/>
        <v>88170</v>
      </c>
      <c r="H35973" s="49">
        <f t="shared" si="2"/>
        <v>88427</v>
      </c>
    </row>
    <row r="35974">
      <c r="A35974" s="48" t="s">
        <v>5347</v>
      </c>
      <c r="B35974" s="38">
        <v>90074.0</v>
      </c>
      <c r="C35974" s="38" t="s">
        <v>40083</v>
      </c>
      <c r="D35974" s="38" t="str">
        <f>IFERROR(__xludf.DUMMYFUNCTION("REGEXREPLACE(C35974,""-\d+(.*)|--\d+(.*)"","""")"),"NOVILLARD")</f>
        <v>NOVILLARD</v>
      </c>
      <c r="E35974" s="38" t="s">
        <v>1283</v>
      </c>
      <c r="F35974" s="38" t="s">
        <v>214</v>
      </c>
      <c r="G35974" s="49" t="str">
        <f t="shared" si="1"/>
        <v>90340</v>
      </c>
      <c r="H35974" s="49">
        <f t="shared" si="2"/>
        <v>90074</v>
      </c>
    </row>
    <row r="35975">
      <c r="A35975" s="48" t="s">
        <v>1060</v>
      </c>
      <c r="B35975" s="38">
        <v>57705.0</v>
      </c>
      <c r="C35975" s="38" t="s">
        <v>40084</v>
      </c>
      <c r="D35975" s="38" t="str">
        <f>IFERROR(__xludf.DUMMYFUNCTION("REGEXREPLACE(C35975,""-\d+(.*)|--\d+(.*)"","""")"),"VELVING")</f>
        <v>VELVING</v>
      </c>
      <c r="E35975" s="38" t="s">
        <v>303</v>
      </c>
      <c r="F35975" s="38" t="s">
        <v>195</v>
      </c>
      <c r="G35975" s="49" t="str">
        <f t="shared" si="1"/>
        <v>57220</v>
      </c>
      <c r="H35975" s="49">
        <f t="shared" si="2"/>
        <v>57705</v>
      </c>
    </row>
    <row r="35976">
      <c r="A35976" s="48" t="s">
        <v>4467</v>
      </c>
      <c r="B35976" s="38">
        <v>53156.0</v>
      </c>
      <c r="C35976" s="38" t="s">
        <v>40085</v>
      </c>
      <c r="D35976" s="38" t="str">
        <f>IFERROR(__xludf.DUMMYFUNCTION("REGEXREPLACE(C35976,""-\d+(.*)|--\d+(.*)"","""")"),"MONTFLOURS")</f>
        <v>MONTFLOURS</v>
      </c>
      <c r="E35976" s="38" t="s">
        <v>518</v>
      </c>
      <c r="F35976" s="38" t="s">
        <v>180</v>
      </c>
      <c r="G35976" s="49" t="str">
        <f t="shared" si="1"/>
        <v>53240</v>
      </c>
      <c r="H35976" s="49">
        <f t="shared" si="2"/>
        <v>53156</v>
      </c>
    </row>
    <row r="35977">
      <c r="A35977" s="48" t="s">
        <v>3603</v>
      </c>
      <c r="B35977" s="38">
        <v>24370.0</v>
      </c>
      <c r="C35977" s="38" t="s">
        <v>40086</v>
      </c>
      <c r="D35977" s="38" t="str">
        <f>IFERROR(__xludf.DUMMYFUNCTION("REGEXREPLACE(C35977,""-\d+(.*)|--\d+(.*)"","""")"),"SAINT-ANTOINE-DE-BREUILH")</f>
        <v>SAINT-ANTOINE-DE-BREUILH</v>
      </c>
      <c r="E35977" s="38" t="s">
        <v>261</v>
      </c>
      <c r="F35977" s="38" t="s">
        <v>252</v>
      </c>
      <c r="G35977" s="49" t="str">
        <f t="shared" si="1"/>
        <v>24230</v>
      </c>
      <c r="H35977" s="49">
        <f t="shared" si="2"/>
        <v>24370</v>
      </c>
    </row>
    <row r="35978">
      <c r="A35978" s="48" t="s">
        <v>23894</v>
      </c>
      <c r="B35978" s="38">
        <v>69031.0</v>
      </c>
      <c r="C35978" s="38" t="s">
        <v>40087</v>
      </c>
      <c r="D35978" s="38" t="str">
        <f>IFERROR(__xludf.DUMMYFUNCTION("REGEXREPLACE(C35978,""-\d+(.*)|--\d+(.*)"","""")"),"BRUSSIEU")</f>
        <v>BRUSSIEU</v>
      </c>
      <c r="E35978" s="38" t="s">
        <v>350</v>
      </c>
      <c r="F35978" s="38" t="s">
        <v>102</v>
      </c>
      <c r="G35978" s="49" t="str">
        <f t="shared" si="1"/>
        <v>69690</v>
      </c>
      <c r="H35978" s="49">
        <f t="shared" si="2"/>
        <v>69031</v>
      </c>
    </row>
    <row r="35979">
      <c r="A35979" s="48" t="s">
        <v>7760</v>
      </c>
      <c r="B35979" s="38">
        <v>54365.0</v>
      </c>
      <c r="C35979" s="38" t="s">
        <v>40088</v>
      </c>
      <c r="D35979" s="38" t="str">
        <f>IFERROR(__xludf.DUMMYFUNCTION("REGEXREPLACE(C35979,""-\d+(.*)|--\d+(.*)"","""")"),"MERVILLER")</f>
        <v>MERVILLER</v>
      </c>
      <c r="E35979" s="38" t="s">
        <v>548</v>
      </c>
      <c r="F35979" s="38" t="s">
        <v>195</v>
      </c>
      <c r="G35979" s="49" t="str">
        <f t="shared" si="1"/>
        <v>54120</v>
      </c>
      <c r="H35979" s="49">
        <f t="shared" si="2"/>
        <v>54365</v>
      </c>
    </row>
    <row r="35980">
      <c r="A35980" s="48" t="s">
        <v>148</v>
      </c>
      <c r="B35980" s="38">
        <v>68080.0</v>
      </c>
      <c r="C35980" s="38" t="s">
        <v>40089</v>
      </c>
      <c r="D35980" s="38" t="str">
        <f>IFERROR(__xludf.DUMMYFUNCTION("REGEXREPLACE(C35980,""-\d+(.*)|--\d+(.*)"","""")"),"EMLINGEN")</f>
        <v>EMLINGEN</v>
      </c>
      <c r="E35980" s="38" t="s">
        <v>150</v>
      </c>
      <c r="F35980" s="38" t="s">
        <v>151</v>
      </c>
      <c r="G35980" s="49" t="str">
        <f t="shared" si="1"/>
        <v>68130</v>
      </c>
      <c r="H35980" s="49">
        <f t="shared" si="2"/>
        <v>68080</v>
      </c>
    </row>
    <row r="35981">
      <c r="A35981" s="48" t="s">
        <v>40090</v>
      </c>
      <c r="B35981" s="38">
        <v>38280.0</v>
      </c>
      <c r="C35981" s="38" t="s">
        <v>40091</v>
      </c>
      <c r="D35981" s="38" t="str">
        <f>IFERROR(__xludf.DUMMYFUNCTION("REGEXREPLACE(C35981,""-\d+(.*)|--\d+(.*)"","""")"),"NOTRE-DAME-DE-VAULX")</f>
        <v>NOTRE-DAME-DE-VAULX</v>
      </c>
      <c r="E35981" s="38" t="s">
        <v>101</v>
      </c>
      <c r="F35981" s="38" t="s">
        <v>102</v>
      </c>
      <c r="G35981" s="49" t="str">
        <f t="shared" si="1"/>
        <v>38144</v>
      </c>
      <c r="H35981" s="49">
        <f t="shared" si="2"/>
        <v>38280</v>
      </c>
    </row>
    <row r="35982">
      <c r="A35982" s="48" t="s">
        <v>14066</v>
      </c>
      <c r="B35982" s="38">
        <v>77103.0</v>
      </c>
      <c r="C35982" s="38" t="s">
        <v>40092</v>
      </c>
      <c r="D35982" s="38" t="str">
        <f>IFERROR(__xludf.DUMMYFUNCTION("REGEXREPLACE(C35982,""-\d+(.*)|--\d+(.*)"","""")"),"CHATILLON-LA-BORDE")</f>
        <v>CHATILLON-LA-BORDE</v>
      </c>
      <c r="E35982" s="38" t="s">
        <v>244</v>
      </c>
      <c r="F35982" s="38" t="s">
        <v>245</v>
      </c>
      <c r="G35982" s="49" t="str">
        <f t="shared" si="1"/>
        <v>77820</v>
      </c>
      <c r="H35982" s="49">
        <f t="shared" si="2"/>
        <v>77103</v>
      </c>
    </row>
    <row r="35983">
      <c r="A35983" s="48" t="s">
        <v>3424</v>
      </c>
      <c r="B35983" s="38">
        <v>10249.0</v>
      </c>
      <c r="C35983" s="38" t="s">
        <v>40093</v>
      </c>
      <c r="D35983" s="38" t="str">
        <f>IFERROR(__xludf.DUMMYFUNCTION("REGEXREPLACE(C35983,""-\d+(.*)|--\d+(.*)"","""")"),"MONTIERAMEY")</f>
        <v>MONTIERAMEY</v>
      </c>
      <c r="E35983" s="38" t="s">
        <v>147</v>
      </c>
      <c r="F35983" s="38" t="s">
        <v>130</v>
      </c>
      <c r="G35983" s="49" t="str">
        <f t="shared" si="1"/>
        <v>10270</v>
      </c>
      <c r="H35983" s="49">
        <f t="shared" si="2"/>
        <v>10249</v>
      </c>
    </row>
    <row r="35984">
      <c r="A35984" s="48" t="s">
        <v>2678</v>
      </c>
      <c r="B35984" s="38">
        <v>8367.0</v>
      </c>
      <c r="C35984" s="38" t="s">
        <v>40094</v>
      </c>
      <c r="D35984" s="38" t="str">
        <f>IFERROR(__xludf.DUMMYFUNCTION("REGEXREPLACE(C35984,""-\d+(.*)|--\d+(.*)"","""")"),"ROCROI")</f>
        <v>ROCROI</v>
      </c>
      <c r="E35984" s="38" t="s">
        <v>327</v>
      </c>
      <c r="F35984" s="38" t="s">
        <v>130</v>
      </c>
      <c r="G35984" s="49" t="str">
        <f t="shared" si="1"/>
        <v>08230</v>
      </c>
      <c r="H35984" s="49" t="str">
        <f t="shared" si="2"/>
        <v>08367</v>
      </c>
    </row>
    <row r="35985">
      <c r="A35985" s="48" t="s">
        <v>6121</v>
      </c>
      <c r="B35985" s="38">
        <v>51483.0</v>
      </c>
      <c r="C35985" s="38" t="s">
        <v>40095</v>
      </c>
      <c r="D35985" s="38" t="str">
        <f>IFERROR(__xludf.DUMMYFUNCTION("REGEXREPLACE(C35985,""-\d+(.*)|--\d+(.*)"","""")"),"SAINT-GIBRIEN")</f>
        <v>SAINT-GIBRIEN</v>
      </c>
      <c r="E35985" s="38" t="s">
        <v>129</v>
      </c>
      <c r="F35985" s="38" t="s">
        <v>130</v>
      </c>
      <c r="G35985" s="49" t="str">
        <f t="shared" si="1"/>
        <v>51510</v>
      </c>
      <c r="H35985" s="49">
        <f t="shared" si="2"/>
        <v>51483</v>
      </c>
    </row>
    <row r="35986">
      <c r="A35986" s="48" t="s">
        <v>40096</v>
      </c>
      <c r="B35986" s="38">
        <v>95203.0</v>
      </c>
      <c r="C35986" s="38" t="s">
        <v>40097</v>
      </c>
      <c r="D35986" s="38" t="str">
        <f>IFERROR(__xludf.DUMMYFUNCTION("REGEXREPLACE(C35986,""-\d+(.*)|--\d+(.*)"","""")"),"EAUBONNE")</f>
        <v>EAUBONNE</v>
      </c>
      <c r="E35986" s="38" t="s">
        <v>541</v>
      </c>
      <c r="F35986" s="38" t="s">
        <v>245</v>
      </c>
      <c r="G35986" s="49" t="str">
        <f t="shared" si="1"/>
        <v>95600</v>
      </c>
      <c r="H35986" s="49">
        <f t="shared" si="2"/>
        <v>95203</v>
      </c>
    </row>
    <row r="35987">
      <c r="A35987" s="48" t="s">
        <v>5168</v>
      </c>
      <c r="B35987" s="38">
        <v>73055.0</v>
      </c>
      <c r="C35987" s="38" t="s">
        <v>40098</v>
      </c>
      <c r="D35987" s="38" t="str">
        <f>IFERROR(__xludf.DUMMYFUNCTION("REGEXREPLACE(C35987,""-\d+(.*)|--\d+(.*)"","""")"),"BOZEL")</f>
        <v>BOZEL</v>
      </c>
      <c r="E35987" s="38" t="s">
        <v>306</v>
      </c>
      <c r="F35987" s="38" t="s">
        <v>102</v>
      </c>
      <c r="G35987" s="49" t="str">
        <f t="shared" si="1"/>
        <v>73350</v>
      </c>
      <c r="H35987" s="49">
        <f t="shared" si="2"/>
        <v>73055</v>
      </c>
    </row>
    <row r="35988">
      <c r="A35988" s="48" t="s">
        <v>1137</v>
      </c>
      <c r="B35988" s="38">
        <v>60315.0</v>
      </c>
      <c r="C35988" s="38" t="s">
        <v>40099</v>
      </c>
      <c r="D35988" s="38" t="str">
        <f>IFERROR(__xludf.DUMMYFUNCTION("REGEXREPLACE(C35988,""-\d+(.*)|--\d+(.*)"","""")"),"HODENC-EN-BRAY")</f>
        <v>HODENC-EN-BRAY</v>
      </c>
      <c r="E35988" s="38" t="s">
        <v>112</v>
      </c>
      <c r="F35988" s="38" t="s">
        <v>113</v>
      </c>
      <c r="G35988" s="49" t="str">
        <f t="shared" si="1"/>
        <v>60650</v>
      </c>
      <c r="H35988" s="49">
        <f t="shared" si="2"/>
        <v>60315</v>
      </c>
    </row>
    <row r="35989">
      <c r="A35989" s="48" t="s">
        <v>5553</v>
      </c>
      <c r="B35989" s="38">
        <v>34306.0</v>
      </c>
      <c r="C35989" s="38" t="s">
        <v>40100</v>
      </c>
      <c r="D35989" s="38" t="str">
        <f>IFERROR(__xludf.DUMMYFUNCTION("REGEXREPLACE(C35989,""-\d+(.*)|--\d+(.*)"","""")"),"SOUMONT")</f>
        <v>SOUMONT</v>
      </c>
      <c r="E35989" s="38" t="s">
        <v>118</v>
      </c>
      <c r="F35989" s="38" t="s">
        <v>119</v>
      </c>
      <c r="G35989" s="49" t="str">
        <f t="shared" si="1"/>
        <v>34700</v>
      </c>
      <c r="H35989" s="49">
        <f t="shared" si="2"/>
        <v>34306</v>
      </c>
    </row>
    <row r="35990">
      <c r="A35990" s="48" t="s">
        <v>2292</v>
      </c>
      <c r="B35990" s="38">
        <v>76331.0</v>
      </c>
      <c r="C35990" s="38" t="s">
        <v>40101</v>
      </c>
      <c r="D35990" s="38" t="str">
        <f>IFERROR(__xludf.DUMMYFUNCTION("REGEXREPLACE(C35990,""-\d+(.*)|--\d+(.*)"","""")"),"GRUGNY")</f>
        <v>GRUGNY</v>
      </c>
      <c r="E35990" s="38" t="s">
        <v>133</v>
      </c>
      <c r="F35990" s="38" t="s">
        <v>134</v>
      </c>
      <c r="G35990" s="49" t="str">
        <f t="shared" si="1"/>
        <v>76690</v>
      </c>
      <c r="H35990" s="49">
        <f t="shared" si="2"/>
        <v>76331</v>
      </c>
    </row>
    <row r="35991">
      <c r="A35991" s="48" t="s">
        <v>14379</v>
      </c>
      <c r="B35991" s="38">
        <v>35330.0</v>
      </c>
      <c r="C35991" s="38" t="s">
        <v>40102</v>
      </c>
      <c r="D35991" s="38" t="str">
        <f>IFERROR(__xludf.DUMMYFUNCTION("REGEXREPLACE(C35991,""-\d+(.*)|--\d+(.*)"","""")"),"TAILLIS")</f>
        <v>TAILLIS</v>
      </c>
      <c r="E35991" s="38" t="s">
        <v>347</v>
      </c>
      <c r="F35991" s="38" t="s">
        <v>90</v>
      </c>
      <c r="G35991" s="49" t="str">
        <f t="shared" si="1"/>
        <v>35500</v>
      </c>
      <c r="H35991" s="49">
        <f t="shared" si="2"/>
        <v>35330</v>
      </c>
    </row>
    <row r="35992">
      <c r="A35992" s="48" t="s">
        <v>20758</v>
      </c>
      <c r="B35992" s="38">
        <v>53103.0</v>
      </c>
      <c r="C35992" s="38" t="s">
        <v>40103</v>
      </c>
      <c r="D35992" s="38" t="str">
        <f>IFERROR(__xludf.DUMMYFUNCTION("REGEXREPLACE(C35992,""-\d+(.*)|--\d+(.*)"","""")"),"LE GENEST-SAINT-ISLE")</f>
        <v>LE GENEST-SAINT-ISLE</v>
      </c>
      <c r="E35992" s="38" t="s">
        <v>518</v>
      </c>
      <c r="F35992" s="38" t="s">
        <v>180</v>
      </c>
      <c r="G35992" s="49" t="str">
        <f t="shared" si="1"/>
        <v>53940</v>
      </c>
      <c r="H35992" s="49">
        <f t="shared" si="2"/>
        <v>53103</v>
      </c>
    </row>
    <row r="35993">
      <c r="A35993" s="48" t="s">
        <v>7153</v>
      </c>
      <c r="B35993" s="38">
        <v>30158.0</v>
      </c>
      <c r="C35993" s="38" t="s">
        <v>40104</v>
      </c>
      <c r="D35993" s="38" t="str">
        <f>IFERROR(__xludf.DUMMYFUNCTION("REGEXREPLACE(C35993,""-\d+(.*)|--\d+(.*)"","""")"),"MARTIGNARGUES")</f>
        <v>MARTIGNARGUES</v>
      </c>
      <c r="E35993" s="38" t="s">
        <v>526</v>
      </c>
      <c r="F35993" s="38" t="s">
        <v>119</v>
      </c>
      <c r="G35993" s="49" t="str">
        <f t="shared" si="1"/>
        <v>30360</v>
      </c>
      <c r="H35993" s="49">
        <f t="shared" si="2"/>
        <v>30158</v>
      </c>
    </row>
    <row r="35994">
      <c r="A35994" s="48" t="s">
        <v>1274</v>
      </c>
      <c r="B35994" s="38">
        <v>33306.0</v>
      </c>
      <c r="C35994" s="38" t="s">
        <v>40105</v>
      </c>
      <c r="D35994" s="38" t="str">
        <f>IFERROR(__xludf.DUMMYFUNCTION("REGEXREPLACE(C35994,""-\d+(.*)|--\d+(.*)"","""")"),"NOAILLAC")</f>
        <v>NOAILLAC</v>
      </c>
      <c r="E35994" s="38" t="s">
        <v>462</v>
      </c>
      <c r="F35994" s="38" t="s">
        <v>252</v>
      </c>
      <c r="G35994" s="49" t="str">
        <f t="shared" si="1"/>
        <v>33190</v>
      </c>
      <c r="H35994" s="49">
        <f t="shared" si="2"/>
        <v>33306</v>
      </c>
    </row>
    <row r="35995">
      <c r="A35995" s="48" t="s">
        <v>17322</v>
      </c>
      <c r="B35995" s="38">
        <v>33197.0</v>
      </c>
      <c r="C35995" s="38" t="s">
        <v>40106</v>
      </c>
      <c r="D35995" s="38" t="str">
        <f>IFERROR(__xludf.DUMMYFUNCTION("REGEXREPLACE(C35995,""-\d+(.*)|--\d+(.*)"","""")"),"GUILLOS")</f>
        <v>GUILLOS</v>
      </c>
      <c r="E35995" s="38" t="s">
        <v>462</v>
      </c>
      <c r="F35995" s="38" t="s">
        <v>252</v>
      </c>
      <c r="G35995" s="49" t="str">
        <f t="shared" si="1"/>
        <v>33720</v>
      </c>
      <c r="H35995" s="49">
        <f t="shared" si="2"/>
        <v>33197</v>
      </c>
    </row>
    <row r="35996">
      <c r="A35996" s="48" t="s">
        <v>13269</v>
      </c>
      <c r="B35996" s="38">
        <v>4235.0</v>
      </c>
      <c r="C35996" s="38" t="s">
        <v>40107</v>
      </c>
      <c r="D35996" s="38" t="str">
        <f>IFERROR(__xludf.DUMMYFUNCTION("REGEXREPLACE(C35996,""-\d+(.*)|--\d+(.*)"","""")"),"VERDACHES")</f>
        <v>VERDACHES</v>
      </c>
      <c r="E35996" s="38" t="s">
        <v>662</v>
      </c>
      <c r="F35996" s="38" t="s">
        <v>228</v>
      </c>
      <c r="G35996" s="49" t="str">
        <f t="shared" si="1"/>
        <v>04140</v>
      </c>
      <c r="H35996" s="49" t="str">
        <f t="shared" si="2"/>
        <v>04235</v>
      </c>
    </row>
    <row r="35997">
      <c r="A35997" s="48" t="s">
        <v>13557</v>
      </c>
      <c r="B35997" s="38">
        <v>84109.0</v>
      </c>
      <c r="C35997" s="38" t="s">
        <v>40108</v>
      </c>
      <c r="D35997" s="38" t="str">
        <f>IFERROR(__xludf.DUMMYFUNCTION("REGEXREPLACE(C35997,""-\d+(.*)|--\d+(.*)"","""")"),"SAINT-HIPPOLYTE-LE-GRAVEYRON")</f>
        <v>SAINT-HIPPOLYTE-LE-GRAVEYRON</v>
      </c>
      <c r="E35997" s="38" t="s">
        <v>1026</v>
      </c>
      <c r="F35997" s="38" t="s">
        <v>228</v>
      </c>
      <c r="G35997" s="49" t="str">
        <f t="shared" si="1"/>
        <v>84330</v>
      </c>
      <c r="H35997" s="49">
        <f t="shared" si="2"/>
        <v>84109</v>
      </c>
    </row>
    <row r="35998">
      <c r="A35998" s="48" t="s">
        <v>6338</v>
      </c>
      <c r="B35998" s="38">
        <v>79301.0</v>
      </c>
      <c r="C35998" s="38" t="s">
        <v>40109</v>
      </c>
      <c r="D35998" s="38" t="str">
        <f>IFERROR(__xludf.DUMMYFUNCTION("REGEXREPLACE(C35998,""-\d+(.*)|--\d+(.*)"","""")"),"SAINT-VINCENT-LA-CHATRE")</f>
        <v>SAINT-VINCENT-LA-CHATRE</v>
      </c>
      <c r="E35998" s="38" t="s">
        <v>337</v>
      </c>
      <c r="F35998" s="38" t="s">
        <v>338</v>
      </c>
      <c r="G35998" s="49" t="str">
        <f t="shared" si="1"/>
        <v>79500</v>
      </c>
      <c r="H35998" s="49">
        <f t="shared" si="2"/>
        <v>79301</v>
      </c>
    </row>
    <row r="35999">
      <c r="A35999" s="48" t="s">
        <v>1659</v>
      </c>
      <c r="B35999" s="38">
        <v>45280.0</v>
      </c>
      <c r="C35999" s="38" t="s">
        <v>40110</v>
      </c>
      <c r="D35999" s="38" t="str">
        <f>IFERROR(__xludf.DUMMYFUNCTION("REGEXREPLACE(C35999,""-\d+(.*)|--\d+(.*)"","""")"),"SAINT-GONDON")</f>
        <v>SAINT-GONDON</v>
      </c>
      <c r="E35999" s="38" t="s">
        <v>122</v>
      </c>
      <c r="F35999" s="38" t="s">
        <v>123</v>
      </c>
      <c r="G35999" s="49" t="str">
        <f t="shared" si="1"/>
        <v>45500</v>
      </c>
      <c r="H35999" s="49">
        <f t="shared" si="2"/>
        <v>45280</v>
      </c>
    </row>
    <row r="36000">
      <c r="A36000" s="48" t="s">
        <v>1903</v>
      </c>
      <c r="B36000" s="38">
        <v>10327.0</v>
      </c>
      <c r="C36000" s="38" t="s">
        <v>40111</v>
      </c>
      <c r="D36000" s="38" t="str">
        <f>IFERROR(__xludf.DUMMYFUNCTION("REGEXREPLACE(C36000,""-\d+(.*)|--\d+(.*)"","""")"),"LA ROTHIERE")</f>
        <v>LA ROTHIERE</v>
      </c>
      <c r="E36000" s="38" t="s">
        <v>147</v>
      </c>
      <c r="F36000" s="38" t="s">
        <v>130</v>
      </c>
      <c r="G36000" s="49" t="str">
        <f t="shared" si="1"/>
        <v>10500</v>
      </c>
      <c r="H36000" s="49">
        <f t="shared" si="2"/>
        <v>10327</v>
      </c>
    </row>
    <row r="36001">
      <c r="A36001" s="48" t="s">
        <v>40112</v>
      </c>
      <c r="B36001" s="38">
        <v>97416.0</v>
      </c>
      <c r="C36001" s="38" t="s">
        <v>4772</v>
      </c>
      <c r="D36001" s="38" t="str">
        <f>IFERROR(__xludf.DUMMYFUNCTION("REGEXREPLACE(C36001,""-\d+(.*)|--\d+(.*)"","""")"),"SAINT-PIERRE")</f>
        <v>SAINT-PIERRE</v>
      </c>
      <c r="E36001" s="38" t="s">
        <v>7739</v>
      </c>
      <c r="F36001" s="38" t="s">
        <v>7739</v>
      </c>
      <c r="G36001" s="49" t="str">
        <f t="shared" si="1"/>
        <v>97410</v>
      </c>
      <c r="H36001" s="49">
        <f t="shared" si="2"/>
        <v>97416</v>
      </c>
    </row>
    <row r="36002">
      <c r="A36002" s="48" t="s">
        <v>7490</v>
      </c>
      <c r="B36002" s="38">
        <v>60013.0</v>
      </c>
      <c r="C36002" s="38" t="s">
        <v>40113</v>
      </c>
      <c r="D36002" s="38" t="str">
        <f>IFERROR(__xludf.DUMMYFUNCTION("REGEXREPLACE(C36002,""-\d+(.*)|--\d+(.*)"","""")"),"ANGICOURT")</f>
        <v>ANGICOURT</v>
      </c>
      <c r="E36002" s="38" t="s">
        <v>112</v>
      </c>
      <c r="F36002" s="38" t="s">
        <v>113</v>
      </c>
      <c r="G36002" s="49" t="str">
        <f t="shared" si="1"/>
        <v>60940</v>
      </c>
      <c r="H36002" s="49">
        <f t="shared" si="2"/>
        <v>60013</v>
      </c>
    </row>
    <row r="36003">
      <c r="A36003" s="48" t="s">
        <v>3988</v>
      </c>
      <c r="B36003" s="38">
        <v>51392.0</v>
      </c>
      <c r="C36003" s="38" t="s">
        <v>40114</v>
      </c>
      <c r="D36003" s="38" t="str">
        <f>IFERROR(__xludf.DUMMYFUNCTION("REGEXREPLACE(C36003,""-\d+(.*)|--\d+(.*)"","""")"),"MUTIGNY")</f>
        <v>MUTIGNY</v>
      </c>
      <c r="E36003" s="38" t="s">
        <v>129</v>
      </c>
      <c r="F36003" s="38" t="s">
        <v>130</v>
      </c>
      <c r="G36003" s="49" t="str">
        <f t="shared" si="1"/>
        <v>51160</v>
      </c>
      <c r="H36003" s="49">
        <f t="shared" si="2"/>
        <v>51392</v>
      </c>
    </row>
    <row r="36004">
      <c r="A36004" s="48" t="s">
        <v>4626</v>
      </c>
      <c r="B36004" s="38">
        <v>16142.0</v>
      </c>
      <c r="C36004" s="38" t="s">
        <v>40115</v>
      </c>
      <c r="D36004" s="38" t="str">
        <f>IFERROR(__xludf.DUMMYFUNCTION("REGEXREPLACE(C36004,""-\d+(.*)|--\d+(.*)"","""")"),"LA FORET-DE-TESSE")</f>
        <v>LA FORET-DE-TESSE</v>
      </c>
      <c r="E36004" s="38" t="s">
        <v>429</v>
      </c>
      <c r="F36004" s="38" t="s">
        <v>338</v>
      </c>
      <c r="G36004" s="49" t="str">
        <f t="shared" si="1"/>
        <v>16240</v>
      </c>
      <c r="H36004" s="49">
        <f t="shared" si="2"/>
        <v>16142</v>
      </c>
    </row>
    <row r="36005">
      <c r="A36005" s="48" t="s">
        <v>40116</v>
      </c>
      <c r="B36005" s="38">
        <v>93053.0</v>
      </c>
      <c r="C36005" s="38" t="s">
        <v>40117</v>
      </c>
      <c r="D36005" s="38" t="str">
        <f>IFERROR(__xludf.DUMMYFUNCTION("REGEXREPLACE(C36005,""-\d+(.*)|--\d+(.*)"","""")"),"NOISY-LE-SEC")</f>
        <v>NOISY-LE-SEC</v>
      </c>
      <c r="E36005" s="38" t="s">
        <v>341</v>
      </c>
      <c r="F36005" s="38" t="s">
        <v>245</v>
      </c>
      <c r="G36005" s="49" t="str">
        <f t="shared" si="1"/>
        <v>93130</v>
      </c>
      <c r="H36005" s="49">
        <f t="shared" si="2"/>
        <v>93053</v>
      </c>
    </row>
    <row r="36006">
      <c r="A36006" s="48" t="s">
        <v>18155</v>
      </c>
      <c r="B36006" s="38">
        <v>47327.0</v>
      </c>
      <c r="C36006" s="38" t="s">
        <v>40118</v>
      </c>
      <c r="D36006" s="38" t="str">
        <f>IFERROR(__xludf.DUMMYFUNCTION("REGEXREPLACE(C36006,""-\d+(.*)|--\d+(.*)"","""")"),"XAINTRAILLES")</f>
        <v>XAINTRAILLES</v>
      </c>
      <c r="E36006" s="38" t="s">
        <v>251</v>
      </c>
      <c r="F36006" s="38" t="s">
        <v>252</v>
      </c>
      <c r="G36006" s="49" t="str">
        <f t="shared" si="1"/>
        <v>47230</v>
      </c>
      <c r="H36006" s="49">
        <f t="shared" si="2"/>
        <v>47327</v>
      </c>
    </row>
    <row r="36007">
      <c r="A36007" s="48" t="s">
        <v>9781</v>
      </c>
      <c r="B36007" s="38">
        <v>19084.0</v>
      </c>
      <c r="C36007" s="38" t="s">
        <v>8532</v>
      </c>
      <c r="D36007" s="38" t="str">
        <f>IFERROR(__xludf.DUMMYFUNCTION("REGEXREPLACE(C36007,""-\d+(.*)|--\d+(.*)"","""")"),"FORGES")</f>
        <v>FORGES</v>
      </c>
      <c r="E36007" s="38" t="s">
        <v>271</v>
      </c>
      <c r="F36007" s="38" t="s">
        <v>98</v>
      </c>
      <c r="G36007" s="49" t="str">
        <f t="shared" si="1"/>
        <v>19380</v>
      </c>
      <c r="H36007" s="49">
        <f t="shared" si="2"/>
        <v>19084</v>
      </c>
    </row>
    <row r="36008">
      <c r="A36008" s="48" t="s">
        <v>320</v>
      </c>
      <c r="B36008" s="38">
        <v>55295.0</v>
      </c>
      <c r="C36008" s="38" t="s">
        <v>40119</v>
      </c>
      <c r="D36008" s="38" t="str">
        <f>IFERROR(__xludf.DUMMYFUNCTION("REGEXREPLACE(C36008,""-\d+(.*)|--\d+(.*)"","""")"),"LISLE-EN-BARROIS")</f>
        <v>LISLE-EN-BARROIS</v>
      </c>
      <c r="E36008" s="38" t="s">
        <v>322</v>
      </c>
      <c r="F36008" s="38" t="s">
        <v>195</v>
      </c>
      <c r="G36008" s="49" t="str">
        <f t="shared" si="1"/>
        <v>55250</v>
      </c>
      <c r="H36008" s="49">
        <f t="shared" si="2"/>
        <v>55295</v>
      </c>
    </row>
    <row r="36009">
      <c r="A36009" s="48" t="s">
        <v>2924</v>
      </c>
      <c r="B36009" s="38">
        <v>8427.0</v>
      </c>
      <c r="C36009" s="38" t="s">
        <v>40120</v>
      </c>
      <c r="D36009" s="38" t="str">
        <f>IFERROR(__xludf.DUMMYFUNCTION("REGEXREPLACE(C36009,""-\d+(.*)|--\d+(.*)"","""")"),"SORBON")</f>
        <v>SORBON</v>
      </c>
      <c r="E36009" s="38" t="s">
        <v>327</v>
      </c>
      <c r="F36009" s="38" t="s">
        <v>130</v>
      </c>
      <c r="G36009" s="49" t="str">
        <f t="shared" si="1"/>
        <v>08300</v>
      </c>
      <c r="H36009" s="49" t="str">
        <f t="shared" si="2"/>
        <v>08427</v>
      </c>
    </row>
    <row r="36010">
      <c r="A36010" s="48" t="s">
        <v>1938</v>
      </c>
      <c r="B36010" s="38">
        <v>55286.0</v>
      </c>
      <c r="C36010" s="38" t="s">
        <v>40121</v>
      </c>
      <c r="D36010" s="38" t="str">
        <f>IFERROR(__xludf.DUMMYFUNCTION("REGEXREPLACE(C36010,""-\d+(.*)|--\d+(.*)"","""")"),"LEMMES")</f>
        <v>LEMMES</v>
      </c>
      <c r="E36010" s="38" t="s">
        <v>322</v>
      </c>
      <c r="F36010" s="38" t="s">
        <v>195</v>
      </c>
      <c r="G36010" s="49" t="str">
        <f t="shared" si="1"/>
        <v>55220</v>
      </c>
      <c r="H36010" s="49">
        <f t="shared" si="2"/>
        <v>55286</v>
      </c>
    </row>
    <row r="36011">
      <c r="A36011" s="48" t="s">
        <v>1241</v>
      </c>
      <c r="B36011" s="38">
        <v>71426.0</v>
      </c>
      <c r="C36011" s="38" t="s">
        <v>14695</v>
      </c>
      <c r="D36011" s="38" t="str">
        <f>IFERROR(__xludf.DUMMYFUNCTION("REGEXREPLACE(C36011,""-\d+(.*)|--\d+(.*)"","""")"),"SAINTE-HELENE")</f>
        <v>SAINTE-HELENE</v>
      </c>
      <c r="E36011" s="38" t="s">
        <v>344</v>
      </c>
      <c r="F36011" s="38" t="s">
        <v>106</v>
      </c>
      <c r="G36011" s="49" t="str">
        <f t="shared" si="1"/>
        <v>71390</v>
      </c>
      <c r="H36011" s="49">
        <f t="shared" si="2"/>
        <v>71426</v>
      </c>
    </row>
    <row r="36012">
      <c r="A36012" s="48" t="s">
        <v>2069</v>
      </c>
      <c r="B36012" s="38">
        <v>47109.0</v>
      </c>
      <c r="C36012" s="38" t="s">
        <v>40122</v>
      </c>
      <c r="D36012" s="38" t="str">
        <f>IFERROR(__xludf.DUMMYFUNCTION("REGEXREPLACE(C36012,""-\d+(.*)|--\d+(.*)"","""")"),"GAVAUDUN")</f>
        <v>GAVAUDUN</v>
      </c>
      <c r="E36012" s="38" t="s">
        <v>251</v>
      </c>
      <c r="F36012" s="38" t="s">
        <v>252</v>
      </c>
      <c r="G36012" s="49" t="str">
        <f t="shared" si="1"/>
        <v>47150</v>
      </c>
      <c r="H36012" s="49">
        <f t="shared" si="2"/>
        <v>47109</v>
      </c>
    </row>
    <row r="36013">
      <c r="A36013" s="48" t="s">
        <v>20901</v>
      </c>
      <c r="B36013" s="38">
        <v>3304.0</v>
      </c>
      <c r="C36013" s="38" t="s">
        <v>40123</v>
      </c>
      <c r="D36013" s="38" t="str">
        <f>IFERROR(__xludf.DUMMYFUNCTION("REGEXREPLACE(C36013,""-\d+(.*)|--\d+(.*)"","""")"),"VENDAT")</f>
        <v>VENDAT</v>
      </c>
      <c r="E36013" s="38" t="s">
        <v>160</v>
      </c>
      <c r="F36013" s="38" t="s">
        <v>161</v>
      </c>
      <c r="G36013" s="49" t="str">
        <f t="shared" si="1"/>
        <v>03110</v>
      </c>
      <c r="H36013" s="49" t="str">
        <f t="shared" si="2"/>
        <v>03304</v>
      </c>
    </row>
    <row r="36014">
      <c r="A36014" s="48" t="s">
        <v>4745</v>
      </c>
      <c r="B36014" s="38">
        <v>1456.0</v>
      </c>
      <c r="C36014" s="38" t="s">
        <v>40124</v>
      </c>
      <c r="D36014" s="38" t="str">
        <f>IFERROR(__xludf.DUMMYFUNCTION("REGEXREPLACE(C36014,""-\d+(.*)|--\d+(.*)"","""")"),"VONGNES")</f>
        <v>VONGNES</v>
      </c>
      <c r="E36014" s="38" t="s">
        <v>255</v>
      </c>
      <c r="F36014" s="38" t="s">
        <v>102</v>
      </c>
      <c r="G36014" s="49" t="str">
        <f t="shared" si="1"/>
        <v>01350</v>
      </c>
      <c r="H36014" s="49" t="str">
        <f t="shared" si="2"/>
        <v>01456</v>
      </c>
    </row>
    <row r="36015">
      <c r="A36015" s="48" t="s">
        <v>5706</v>
      </c>
      <c r="B36015" s="38">
        <v>63210.0</v>
      </c>
      <c r="C36015" s="38" t="s">
        <v>40125</v>
      </c>
      <c r="D36015" s="38" t="str">
        <f>IFERROR(__xludf.DUMMYFUNCTION("REGEXREPLACE(C36015,""-\d+(.*)|--\d+(.*)"","""")"),"MARINGUES")</f>
        <v>MARINGUES</v>
      </c>
      <c r="E36015" s="38" t="s">
        <v>353</v>
      </c>
      <c r="F36015" s="38" t="s">
        <v>161</v>
      </c>
      <c r="G36015" s="49" t="str">
        <f t="shared" si="1"/>
        <v>63350</v>
      </c>
      <c r="H36015" s="49">
        <f t="shared" si="2"/>
        <v>63210</v>
      </c>
    </row>
    <row r="36016">
      <c r="A36016" s="48" t="s">
        <v>2631</v>
      </c>
      <c r="B36016" s="38">
        <v>64231.0</v>
      </c>
      <c r="C36016" s="38" t="s">
        <v>40126</v>
      </c>
      <c r="D36016" s="38" t="str">
        <f>IFERROR(__xludf.DUMMYFUNCTION("REGEXREPLACE(C36016,""-\d+(.*)|--\d+(.*)"","""")"),"GARINDEIN")</f>
        <v>GARINDEIN</v>
      </c>
      <c r="E36016" s="38" t="s">
        <v>268</v>
      </c>
      <c r="F36016" s="38" t="s">
        <v>252</v>
      </c>
      <c r="G36016" s="49" t="str">
        <f t="shared" si="1"/>
        <v>64130</v>
      </c>
      <c r="H36016" s="49">
        <f t="shared" si="2"/>
        <v>64231</v>
      </c>
    </row>
    <row r="36017">
      <c r="A36017" s="48" t="s">
        <v>8076</v>
      </c>
      <c r="B36017" s="38">
        <v>60360.0</v>
      </c>
      <c r="C36017" s="38" t="s">
        <v>40127</v>
      </c>
      <c r="D36017" s="38" t="str">
        <f>IFERROR(__xludf.DUMMYFUNCTION("REGEXREPLACE(C36017,""-\d+(.*)|--\d+(.*)"","""")"),"LIANCOURT")</f>
        <v>LIANCOURT</v>
      </c>
      <c r="E36017" s="38" t="s">
        <v>112</v>
      </c>
      <c r="F36017" s="38" t="s">
        <v>113</v>
      </c>
      <c r="G36017" s="49" t="str">
        <f t="shared" si="1"/>
        <v>60140</v>
      </c>
      <c r="H36017" s="49">
        <f t="shared" si="2"/>
        <v>60360</v>
      </c>
    </row>
    <row r="36018">
      <c r="A36018" s="48" t="s">
        <v>11592</v>
      </c>
      <c r="B36018" s="38">
        <v>68037.0</v>
      </c>
      <c r="C36018" s="38" t="s">
        <v>40128</v>
      </c>
      <c r="D36018" s="38" t="str">
        <f>IFERROR(__xludf.DUMMYFUNCTION("REGEXREPLACE(C36018,""-\d+(.*)|--\d+(.*)"","""")"),"BILTZHEIM")</f>
        <v>BILTZHEIM</v>
      </c>
      <c r="E36018" s="38" t="s">
        <v>150</v>
      </c>
      <c r="F36018" s="38" t="s">
        <v>151</v>
      </c>
      <c r="G36018" s="49" t="str">
        <f t="shared" si="1"/>
        <v>68127</v>
      </c>
      <c r="H36018" s="49">
        <f t="shared" si="2"/>
        <v>68037</v>
      </c>
    </row>
    <row r="36019">
      <c r="A36019" s="48" t="s">
        <v>4579</v>
      </c>
      <c r="B36019" s="38">
        <v>81168.0</v>
      </c>
      <c r="C36019" s="38" t="s">
        <v>40129</v>
      </c>
      <c r="D36019" s="38" t="str">
        <f>IFERROR(__xludf.DUMMYFUNCTION("REGEXREPLACE(C36019,""-\d+(.*)|--\d+(.*)"","""")"),"MIRANDOL-BOURGNOUNAC")</f>
        <v>MIRANDOL-BOURGNOUNAC</v>
      </c>
      <c r="E36019" s="38" t="s">
        <v>231</v>
      </c>
      <c r="F36019" s="38" t="s">
        <v>94</v>
      </c>
      <c r="G36019" s="49" t="str">
        <f t="shared" si="1"/>
        <v>81190</v>
      </c>
      <c r="H36019" s="49">
        <f t="shared" si="2"/>
        <v>81168</v>
      </c>
    </row>
    <row r="36020">
      <c r="A36020" s="48" t="s">
        <v>22635</v>
      </c>
      <c r="B36020" s="38">
        <v>56145.0</v>
      </c>
      <c r="C36020" s="38" t="s">
        <v>40130</v>
      </c>
      <c r="D36020" s="38" t="str">
        <f>IFERROR(__xludf.DUMMYFUNCTION("REGEXREPLACE(C36020,""-\d+(.*)|--\d+(.*)"","""")"),"NEANT-SUR-YVEL")</f>
        <v>NEANT-SUR-YVEL</v>
      </c>
      <c r="E36020" s="38" t="s">
        <v>173</v>
      </c>
      <c r="F36020" s="38" t="s">
        <v>90</v>
      </c>
      <c r="G36020" s="49" t="str">
        <f t="shared" si="1"/>
        <v>56430</v>
      </c>
      <c r="H36020" s="49">
        <f t="shared" si="2"/>
        <v>56145</v>
      </c>
    </row>
    <row r="36021">
      <c r="A36021" s="48" t="s">
        <v>5563</v>
      </c>
      <c r="B36021" s="38">
        <v>32255.0</v>
      </c>
      <c r="C36021" s="38" t="s">
        <v>40131</v>
      </c>
      <c r="D36021" s="38" t="str">
        <f>IFERROR(__xludf.DUMMYFUNCTION("REGEXREPLACE(C36021,""-\d+(.*)|--\d+(.*)"","""")"),"MIRAMONT-LATOUR")</f>
        <v>MIRAMONT-LATOUR</v>
      </c>
      <c r="E36021" s="38" t="s">
        <v>440</v>
      </c>
      <c r="F36021" s="38" t="s">
        <v>94</v>
      </c>
      <c r="G36021" s="49" t="str">
        <f t="shared" si="1"/>
        <v>32390</v>
      </c>
      <c r="H36021" s="49">
        <f t="shared" si="2"/>
        <v>32255</v>
      </c>
    </row>
    <row r="36022">
      <c r="A36022" s="48" t="s">
        <v>3988</v>
      </c>
      <c r="B36022" s="38">
        <v>51119.0</v>
      </c>
      <c r="C36022" s="38" t="s">
        <v>40132</v>
      </c>
      <c r="D36022" s="38" t="str">
        <f>IFERROR(__xludf.DUMMYFUNCTION("REGEXREPLACE(C36022,""-\d+(.*)|--\d+(.*)"","""")"),"CHAMPILLON")</f>
        <v>CHAMPILLON</v>
      </c>
      <c r="E36022" s="38" t="s">
        <v>129</v>
      </c>
      <c r="F36022" s="38" t="s">
        <v>130</v>
      </c>
      <c r="G36022" s="49" t="str">
        <f t="shared" si="1"/>
        <v>51160</v>
      </c>
      <c r="H36022" s="49">
        <f t="shared" si="2"/>
        <v>51119</v>
      </c>
    </row>
    <row r="36023">
      <c r="A36023" s="48" t="s">
        <v>883</v>
      </c>
      <c r="B36023" s="38">
        <v>71043.0</v>
      </c>
      <c r="C36023" s="38" t="s">
        <v>15515</v>
      </c>
      <c r="D36023" s="38" t="str">
        <f>IFERROR(__xludf.DUMMYFUNCTION("REGEXREPLACE(C36023,""-\d+(.*)|--\d+(.*)"","""")"),"LES BORDES")</f>
        <v>LES BORDES</v>
      </c>
      <c r="E36023" s="38" t="s">
        <v>344</v>
      </c>
      <c r="F36023" s="38" t="s">
        <v>106</v>
      </c>
      <c r="G36023" s="49" t="str">
        <f t="shared" si="1"/>
        <v>71350</v>
      </c>
      <c r="H36023" s="49">
        <f t="shared" si="2"/>
        <v>71043</v>
      </c>
    </row>
    <row r="36024">
      <c r="A36024" s="48" t="s">
        <v>40133</v>
      </c>
      <c r="B36024" s="38">
        <v>59560.0</v>
      </c>
      <c r="C36024" s="38" t="s">
        <v>40134</v>
      </c>
      <c r="D36024" s="38" t="str">
        <f>IFERROR(__xludf.DUMMYFUNCTION("REGEXREPLACE(C36024,""-\d+(.*)|--\d+(.*)"","""")"),"SECLIN")</f>
        <v>SECLIN</v>
      </c>
      <c r="E36024" s="38" t="s">
        <v>85</v>
      </c>
      <c r="F36024" s="38" t="s">
        <v>86</v>
      </c>
      <c r="G36024" s="49" t="str">
        <f t="shared" si="1"/>
        <v>59113</v>
      </c>
      <c r="H36024" s="49">
        <f t="shared" si="2"/>
        <v>59560</v>
      </c>
    </row>
    <row r="36025">
      <c r="A36025" s="48" t="s">
        <v>10939</v>
      </c>
      <c r="B36025" s="38">
        <v>77461.0</v>
      </c>
      <c r="C36025" s="38" t="s">
        <v>40135</v>
      </c>
      <c r="D36025" s="38" t="str">
        <f>IFERROR(__xludf.DUMMYFUNCTION("REGEXREPLACE(C36025,""-\d+(.*)|--\d+(.*)"","""")"),"THENISY")</f>
        <v>THENISY</v>
      </c>
      <c r="E36025" s="38" t="s">
        <v>244</v>
      </c>
      <c r="F36025" s="38" t="s">
        <v>245</v>
      </c>
      <c r="G36025" s="49" t="str">
        <f t="shared" si="1"/>
        <v>77520</v>
      </c>
      <c r="H36025" s="49">
        <f t="shared" si="2"/>
        <v>77461</v>
      </c>
    </row>
    <row r="36026">
      <c r="A36026" s="48" t="s">
        <v>40136</v>
      </c>
      <c r="B36026" s="38">
        <v>50129.0</v>
      </c>
      <c r="C36026" s="38" t="s">
        <v>40137</v>
      </c>
      <c r="D36026" s="38" t="str">
        <f>IFERROR(__xludf.DUMMYFUNCTION("REGEXREPLACE(C36026,""-\d+(.*)|--\d+(.*)"","""")"),"CHERBOURG-OCTEVILLE")</f>
        <v>CHERBOURG-OCTEVILLE</v>
      </c>
      <c r="E36026" s="38" t="s">
        <v>157</v>
      </c>
      <c r="F36026" s="38" t="s">
        <v>138</v>
      </c>
      <c r="G36026" s="49" t="str">
        <f t="shared" si="1"/>
        <v>50100/50130</v>
      </c>
      <c r="H36026" s="49">
        <f t="shared" si="2"/>
        <v>50129</v>
      </c>
    </row>
    <row r="36027">
      <c r="A36027" s="48" t="s">
        <v>2310</v>
      </c>
      <c r="B36027" s="38">
        <v>60184.0</v>
      </c>
      <c r="C36027" s="38" t="s">
        <v>40138</v>
      </c>
      <c r="D36027" s="38" t="str">
        <f>IFERROR(__xludf.DUMMYFUNCTION("REGEXREPLACE(C36027,""-\d+(.*)|--\d+(.*)"","""")"),"CROUTOY")</f>
        <v>CROUTOY</v>
      </c>
      <c r="E36027" s="38" t="s">
        <v>112</v>
      </c>
      <c r="F36027" s="38" t="s">
        <v>113</v>
      </c>
      <c r="G36027" s="49" t="str">
        <f t="shared" si="1"/>
        <v>60350</v>
      </c>
      <c r="H36027" s="49">
        <f t="shared" si="2"/>
        <v>60184</v>
      </c>
    </row>
    <row r="36028">
      <c r="A36028" s="48" t="s">
        <v>3246</v>
      </c>
      <c r="B36028" s="38">
        <v>9301.0</v>
      </c>
      <c r="C36028" s="38" t="s">
        <v>40139</v>
      </c>
      <c r="D36028" s="38" t="str">
        <f>IFERROR(__xludf.DUMMYFUNCTION("REGEXREPLACE(C36028,""-\d+(.*)|--\d+(.*)"","""")"),"SOULAN")</f>
        <v>SOULAN</v>
      </c>
      <c r="E36028" s="38" t="s">
        <v>238</v>
      </c>
      <c r="F36028" s="38" t="s">
        <v>94</v>
      </c>
      <c r="G36028" s="49" t="str">
        <f t="shared" si="1"/>
        <v>09320</v>
      </c>
      <c r="H36028" s="49" t="str">
        <f t="shared" si="2"/>
        <v>09301</v>
      </c>
    </row>
    <row r="36029">
      <c r="A36029" s="48" t="s">
        <v>5831</v>
      </c>
      <c r="B36029" s="38">
        <v>5070.0</v>
      </c>
      <c r="C36029" s="38" t="s">
        <v>40140</v>
      </c>
      <c r="D36029" s="38" t="str">
        <f>IFERROR(__xludf.DUMMYFUNCTION("REGEXREPLACE(C36029,""-\d+(.*)|--\d+(.*)"","""")"),"LARAGNE-MONTEGLIN")</f>
        <v>LARAGNE-MONTEGLIN</v>
      </c>
      <c r="E36029" s="38" t="s">
        <v>706</v>
      </c>
      <c r="F36029" s="38" t="s">
        <v>228</v>
      </c>
      <c r="G36029" s="49" t="str">
        <f t="shared" si="1"/>
        <v>05300</v>
      </c>
      <c r="H36029" s="49" t="str">
        <f t="shared" si="2"/>
        <v>05070</v>
      </c>
    </row>
    <row r="36030">
      <c r="A36030" s="48" t="s">
        <v>8327</v>
      </c>
      <c r="B36030" s="38">
        <v>71362.0</v>
      </c>
      <c r="C36030" s="38" t="s">
        <v>40141</v>
      </c>
      <c r="D36030" s="38" t="str">
        <f>IFERROR(__xludf.DUMMYFUNCTION("REGEXREPLACE(C36030,""-\d+(.*)|--\d+(.*)"","""")"),"PRUZILLY")</f>
        <v>PRUZILLY</v>
      </c>
      <c r="E36030" s="38" t="s">
        <v>344</v>
      </c>
      <c r="F36030" s="38" t="s">
        <v>106</v>
      </c>
      <c r="G36030" s="49" t="str">
        <f t="shared" si="1"/>
        <v>71570</v>
      </c>
      <c r="H36030" s="49">
        <f t="shared" si="2"/>
        <v>71362</v>
      </c>
    </row>
    <row r="36031">
      <c r="A36031" s="48" t="s">
        <v>15759</v>
      </c>
      <c r="B36031" s="38">
        <v>43258.0</v>
      </c>
      <c r="C36031" s="38" t="s">
        <v>40142</v>
      </c>
      <c r="D36031" s="38" t="str">
        <f>IFERROR(__xludf.DUMMYFUNCTION("REGEXREPLACE(C36031,""-\d+(.*)|--\d+(.*)"","""")"),"VERGONGHEON")</f>
        <v>VERGONGHEON</v>
      </c>
      <c r="E36031" s="38" t="s">
        <v>332</v>
      </c>
      <c r="F36031" s="38" t="s">
        <v>161</v>
      </c>
      <c r="G36031" s="49" t="str">
        <f t="shared" si="1"/>
        <v>43360</v>
      </c>
      <c r="H36031" s="49">
        <f t="shared" si="2"/>
        <v>43258</v>
      </c>
    </row>
    <row r="36032">
      <c r="A36032" s="48" t="s">
        <v>1108</v>
      </c>
      <c r="B36032" s="38">
        <v>27632.0</v>
      </c>
      <c r="C36032" s="38" t="s">
        <v>40143</v>
      </c>
      <c r="D36032" s="38" t="str">
        <f>IFERROR(__xludf.DUMMYFUNCTION("REGEXREPLACE(C36032,""-\d+(.*)|--\d+(.*)"","""")"),"LE THIL")</f>
        <v>LE THIL</v>
      </c>
      <c r="E36032" s="38" t="s">
        <v>241</v>
      </c>
      <c r="F36032" s="38" t="s">
        <v>134</v>
      </c>
      <c r="G36032" s="49" t="str">
        <f t="shared" si="1"/>
        <v>27150</v>
      </c>
      <c r="H36032" s="49">
        <f t="shared" si="2"/>
        <v>27632</v>
      </c>
    </row>
    <row r="36033">
      <c r="A36033" s="48" t="s">
        <v>16627</v>
      </c>
      <c r="B36033" s="38">
        <v>10360.0</v>
      </c>
      <c r="C36033" s="38" t="s">
        <v>40144</v>
      </c>
      <c r="D36033" s="38" t="str">
        <f>IFERROR(__xludf.DUMMYFUNCTION("REGEXREPLACE(C36033,""-\d+(.*)|--\d+(.*)"","""")"),"SAINT-POUANGE")</f>
        <v>SAINT-POUANGE</v>
      </c>
      <c r="E36033" s="38" t="s">
        <v>147</v>
      </c>
      <c r="F36033" s="38" t="s">
        <v>130</v>
      </c>
      <c r="G36033" s="49" t="str">
        <f t="shared" si="1"/>
        <v>10120</v>
      </c>
      <c r="H36033" s="49">
        <f t="shared" si="2"/>
        <v>10360</v>
      </c>
    </row>
    <row r="36034">
      <c r="A36034" s="48" t="s">
        <v>30039</v>
      </c>
      <c r="B36034" s="38">
        <v>43236.0</v>
      </c>
      <c r="C36034" s="38" t="s">
        <v>40145</v>
      </c>
      <c r="D36034" s="38" t="str">
        <f>IFERROR(__xludf.DUMMYFUNCTION("REGEXREPLACE(C36034,""-\d+(.*)|--\d+(.*)"","""")"),"LA SEAUVE-SUR-SEMENE")</f>
        <v>LA SEAUVE-SUR-SEMENE</v>
      </c>
      <c r="E36034" s="38" t="s">
        <v>332</v>
      </c>
      <c r="F36034" s="38" t="s">
        <v>161</v>
      </c>
      <c r="G36034" s="49" t="str">
        <f t="shared" si="1"/>
        <v>43140</v>
      </c>
      <c r="H36034" s="49">
        <f t="shared" si="2"/>
        <v>43236</v>
      </c>
    </row>
    <row r="36035">
      <c r="A36035" s="48" t="s">
        <v>6414</v>
      </c>
      <c r="B36035" s="38">
        <v>34038.0</v>
      </c>
      <c r="C36035" s="38" t="s">
        <v>40146</v>
      </c>
      <c r="D36035" s="38" t="str">
        <f>IFERROR(__xludf.DUMMYFUNCTION("REGEXREPLACE(C36035,""-\d+(.*)|--\d+(.*)"","""")"),"LE BOUSQUET-D'ORB")</f>
        <v>LE BOUSQUET-D'ORB</v>
      </c>
      <c r="E36035" s="38" t="s">
        <v>118</v>
      </c>
      <c r="F36035" s="38" t="s">
        <v>119</v>
      </c>
      <c r="G36035" s="49" t="str">
        <f t="shared" si="1"/>
        <v>34260</v>
      </c>
      <c r="H36035" s="49">
        <f t="shared" si="2"/>
        <v>34038</v>
      </c>
    </row>
    <row r="36036">
      <c r="A36036" s="48" t="s">
        <v>3802</v>
      </c>
      <c r="B36036" s="38">
        <v>90077.0</v>
      </c>
      <c r="C36036" s="38" t="s">
        <v>40147</v>
      </c>
      <c r="D36036" s="38" t="str">
        <f>IFERROR(__xludf.DUMMYFUNCTION("REGEXREPLACE(C36036,""-\d+(.*)|--\d+(.*)"","""")"),"PETIT-CROIX")</f>
        <v>PETIT-CROIX</v>
      </c>
      <c r="E36036" s="38" t="s">
        <v>1283</v>
      </c>
      <c r="F36036" s="38" t="s">
        <v>214</v>
      </c>
      <c r="G36036" s="49" t="str">
        <f t="shared" si="1"/>
        <v>90130</v>
      </c>
      <c r="H36036" s="49">
        <f t="shared" si="2"/>
        <v>90077</v>
      </c>
    </row>
    <row r="36037">
      <c r="A36037" s="48" t="s">
        <v>40148</v>
      </c>
      <c r="B36037" s="38">
        <v>33029.0</v>
      </c>
      <c r="C36037" s="38" t="s">
        <v>40149</v>
      </c>
      <c r="D36037" s="38" t="str">
        <f>IFERROR(__xludf.DUMMYFUNCTION("REGEXREPLACE(C36037,""-\d+(.*)|--\d+(.*)"","""")"),"LE BARP")</f>
        <v>LE BARP</v>
      </c>
      <c r="E36037" s="38" t="s">
        <v>462</v>
      </c>
      <c r="F36037" s="38" t="s">
        <v>252</v>
      </c>
      <c r="G36037" s="49" t="str">
        <f t="shared" si="1"/>
        <v>33114</v>
      </c>
      <c r="H36037" s="49">
        <f t="shared" si="2"/>
        <v>33029</v>
      </c>
    </row>
    <row r="36038">
      <c r="A36038" s="48" t="s">
        <v>5125</v>
      </c>
      <c r="B36038" s="38">
        <v>49202.0</v>
      </c>
      <c r="C36038" s="38" t="s">
        <v>40150</v>
      </c>
      <c r="D36038" s="38" t="str">
        <f>IFERROR(__xludf.DUMMYFUNCTION("REGEXREPLACE(C36038,""-\d+(.*)|--\d+(.*)"","""")"),"MEON")</f>
        <v>MEON</v>
      </c>
      <c r="E36038" s="38" t="s">
        <v>653</v>
      </c>
      <c r="F36038" s="38" t="s">
        <v>180</v>
      </c>
      <c r="G36038" s="49" t="str">
        <f t="shared" si="1"/>
        <v>49490</v>
      </c>
      <c r="H36038" s="49">
        <f t="shared" si="2"/>
        <v>49202</v>
      </c>
    </row>
    <row r="36039">
      <c r="A36039" s="48" t="s">
        <v>40151</v>
      </c>
      <c r="B36039" s="38">
        <v>34101.0</v>
      </c>
      <c r="C36039" s="38" t="s">
        <v>40152</v>
      </c>
      <c r="D36039" s="38" t="str">
        <f>IFERROR(__xludf.DUMMYFUNCTION("REGEXREPLACE(C36039,""-\d+(.*)|--\d+(.*)"","""")"),"FLORENSAC")</f>
        <v>FLORENSAC</v>
      </c>
      <c r="E36039" s="38" t="s">
        <v>118</v>
      </c>
      <c r="F36039" s="38" t="s">
        <v>119</v>
      </c>
      <c r="G36039" s="49" t="str">
        <f t="shared" si="1"/>
        <v>34510</v>
      </c>
      <c r="H36039" s="49">
        <f t="shared" si="2"/>
        <v>34101</v>
      </c>
    </row>
    <row r="36040">
      <c r="A36040" s="48" t="s">
        <v>4536</v>
      </c>
      <c r="B36040" s="38">
        <v>77267.0</v>
      </c>
      <c r="C36040" s="38" t="s">
        <v>40153</v>
      </c>
      <c r="D36040" s="38" t="str">
        <f>IFERROR(__xludf.DUMMYFUNCTION("REGEXREPLACE(C36040,""-\d+(.*)|--\d+(.*)"","""")"),"LA MADELEINE-SUR-LOING")</f>
        <v>LA MADELEINE-SUR-LOING</v>
      </c>
      <c r="E36040" s="38" t="s">
        <v>244</v>
      </c>
      <c r="F36040" s="38" t="s">
        <v>245</v>
      </c>
      <c r="G36040" s="49" t="str">
        <f t="shared" si="1"/>
        <v>77570</v>
      </c>
      <c r="H36040" s="49">
        <f t="shared" si="2"/>
        <v>77267</v>
      </c>
    </row>
    <row r="36041">
      <c r="A36041" s="48" t="s">
        <v>2659</v>
      </c>
      <c r="B36041" s="38">
        <v>80584.0</v>
      </c>
      <c r="C36041" s="38" t="s">
        <v>40154</v>
      </c>
      <c r="D36041" s="38" t="str">
        <f>IFERROR(__xludf.DUMMYFUNCTION("REGEXREPLACE(C36041,""-\d+(.*)|--\d+(.*)"","""")"),"NAOURS")</f>
        <v>NAOURS</v>
      </c>
      <c r="E36041" s="38" t="s">
        <v>224</v>
      </c>
      <c r="F36041" s="38" t="s">
        <v>113</v>
      </c>
      <c r="G36041" s="49" t="str">
        <f t="shared" si="1"/>
        <v>80260</v>
      </c>
      <c r="H36041" s="49">
        <f t="shared" si="2"/>
        <v>80584</v>
      </c>
    </row>
    <row r="36042">
      <c r="A36042" s="48" t="s">
        <v>3411</v>
      </c>
      <c r="B36042" s="38">
        <v>40091.0</v>
      </c>
      <c r="C36042" s="38" t="s">
        <v>40155</v>
      </c>
      <c r="D36042" s="38" t="str">
        <f>IFERROR(__xludf.DUMMYFUNCTION("REGEXREPLACE(C36042,""-\d+(.*)|--\d+(.*)"","""")"),"DUHORT-BACHEN")</f>
        <v>DUHORT-BACHEN</v>
      </c>
      <c r="E36042" s="38" t="s">
        <v>281</v>
      </c>
      <c r="F36042" s="38" t="s">
        <v>252</v>
      </c>
      <c r="G36042" s="49" t="str">
        <f t="shared" si="1"/>
        <v>40800</v>
      </c>
      <c r="H36042" s="49">
        <f t="shared" si="2"/>
        <v>40091</v>
      </c>
    </row>
    <row r="36043">
      <c r="A36043" s="48" t="s">
        <v>10013</v>
      </c>
      <c r="B36043" s="38">
        <v>81240.0</v>
      </c>
      <c r="C36043" s="38" t="s">
        <v>1952</v>
      </c>
      <c r="D36043" s="38" t="str">
        <f>IFERROR(__xludf.DUMMYFUNCTION("REGEXREPLACE(C36043,""-\d+(.*)|--\d+(.*)"","""")"),"SAINT-ANDRE")</f>
        <v>SAINT-ANDRE</v>
      </c>
      <c r="E36043" s="38" t="s">
        <v>231</v>
      </c>
      <c r="F36043" s="38" t="s">
        <v>94</v>
      </c>
      <c r="G36043" s="49" t="str">
        <f t="shared" si="1"/>
        <v>81250</v>
      </c>
      <c r="H36043" s="49">
        <f t="shared" si="2"/>
        <v>81240</v>
      </c>
    </row>
    <row r="36044">
      <c r="A36044" s="48" t="s">
        <v>4267</v>
      </c>
      <c r="B36044" s="38">
        <v>62533.0</v>
      </c>
      <c r="C36044" s="38" t="s">
        <v>40156</v>
      </c>
      <c r="D36044" s="38" t="str">
        <f>IFERROR(__xludf.DUMMYFUNCTION("REGEXREPLACE(C36044,""-\d+(.*)|--\d+(.*)"","""")"),"LUGY")</f>
        <v>LUGY</v>
      </c>
      <c r="E36044" s="38" t="s">
        <v>109</v>
      </c>
      <c r="F36044" s="38" t="s">
        <v>86</v>
      </c>
      <c r="G36044" s="49" t="str">
        <f t="shared" si="1"/>
        <v>62310</v>
      </c>
      <c r="H36044" s="49">
        <f t="shared" si="2"/>
        <v>62533</v>
      </c>
    </row>
    <row r="36045">
      <c r="A36045" s="48" t="s">
        <v>1940</v>
      </c>
      <c r="B36045" s="38">
        <v>51323.0</v>
      </c>
      <c r="C36045" s="38" t="s">
        <v>40157</v>
      </c>
      <c r="D36045" s="38" t="str">
        <f>IFERROR(__xludf.DUMMYFUNCTION("REGEXREPLACE(C36045,""-\d+(.*)|--\d+(.*)"","""")"),"LINTHELLES")</f>
        <v>LINTHELLES</v>
      </c>
      <c r="E36045" s="38" t="s">
        <v>129</v>
      </c>
      <c r="F36045" s="38" t="s">
        <v>130</v>
      </c>
      <c r="G36045" s="49" t="str">
        <f t="shared" si="1"/>
        <v>51230</v>
      </c>
      <c r="H36045" s="49">
        <f t="shared" si="2"/>
        <v>51323</v>
      </c>
    </row>
    <row r="36046">
      <c r="A36046" s="48" t="s">
        <v>40158</v>
      </c>
      <c r="B36046" s="38">
        <v>30133.0</v>
      </c>
      <c r="C36046" s="38" t="s">
        <v>40159</v>
      </c>
      <c r="D36046" s="38" t="str">
        <f>IFERROR(__xludf.DUMMYFUNCTION("REGEXREPLACE(C36046,""-\d+(.*)|--\d+(.*)"","""")"),"LE GRAU-DU-ROI")</f>
        <v>LE GRAU-DU-ROI</v>
      </c>
      <c r="E36046" s="38" t="s">
        <v>526</v>
      </c>
      <c r="F36046" s="38" t="s">
        <v>119</v>
      </c>
      <c r="G36046" s="49" t="str">
        <f t="shared" si="1"/>
        <v>30240</v>
      </c>
      <c r="H36046" s="49">
        <f t="shared" si="2"/>
        <v>30133</v>
      </c>
    </row>
    <row r="36047">
      <c r="A36047" s="48" t="s">
        <v>3158</v>
      </c>
      <c r="B36047" s="38">
        <v>50432.0</v>
      </c>
      <c r="C36047" s="38" t="s">
        <v>40160</v>
      </c>
      <c r="D36047" s="38" t="str">
        <f>IFERROR(__xludf.DUMMYFUNCTION("REGEXREPLACE(C36047,""-\d+(.*)|--\d+(.*)"","""")"),"RETHOVILLE")</f>
        <v>RETHOVILLE</v>
      </c>
      <c r="E36047" s="38" t="s">
        <v>157</v>
      </c>
      <c r="F36047" s="38" t="s">
        <v>138</v>
      </c>
      <c r="G36047" s="49" t="str">
        <f t="shared" si="1"/>
        <v>50330</v>
      </c>
      <c r="H36047" s="49">
        <f t="shared" si="2"/>
        <v>50432</v>
      </c>
    </row>
    <row r="36048">
      <c r="A36048" s="48" t="s">
        <v>5894</v>
      </c>
      <c r="B36048" s="38">
        <v>69076.0</v>
      </c>
      <c r="C36048" s="38" t="s">
        <v>23062</v>
      </c>
      <c r="D36048" s="38" t="str">
        <f>IFERROR(__xludf.DUMMYFUNCTION("REGEXREPLACE(C36048,""-\d+(.*)|--\d+(.*)"","""")"),"DOMMARTIN")</f>
        <v>DOMMARTIN</v>
      </c>
      <c r="E36048" s="38" t="s">
        <v>350</v>
      </c>
      <c r="F36048" s="38" t="s">
        <v>102</v>
      </c>
      <c r="G36048" s="49" t="str">
        <f t="shared" si="1"/>
        <v>69380</v>
      </c>
      <c r="H36048" s="49">
        <f t="shared" si="2"/>
        <v>69076</v>
      </c>
    </row>
    <row r="36049">
      <c r="A36049" s="48" t="s">
        <v>11853</v>
      </c>
      <c r="B36049" s="38">
        <v>38104.0</v>
      </c>
      <c r="C36049" s="38" t="s">
        <v>40161</v>
      </c>
      <c r="D36049" s="38" t="str">
        <f>IFERROR(__xludf.DUMMYFUNCTION("REGEXREPLACE(C36049,""-\d+(.*)|--\d+(.*)"","""")"),"CHIMILIN")</f>
        <v>CHIMILIN</v>
      </c>
      <c r="E36049" s="38" t="s">
        <v>101</v>
      </c>
      <c r="F36049" s="38" t="s">
        <v>102</v>
      </c>
      <c r="G36049" s="49" t="str">
        <f t="shared" si="1"/>
        <v>38490</v>
      </c>
      <c r="H36049" s="49">
        <f t="shared" si="2"/>
        <v>38104</v>
      </c>
    </row>
    <row r="36050">
      <c r="A36050" s="48" t="s">
        <v>5081</v>
      </c>
      <c r="B36050" s="38">
        <v>54341.0</v>
      </c>
      <c r="C36050" s="38" t="s">
        <v>40162</v>
      </c>
      <c r="D36050" s="38" t="str">
        <f>IFERROR(__xludf.DUMMYFUNCTION("REGEXREPLACE(C36050,""-\d+(.*)|--\d+(.*)"","""")"),"MANCE")</f>
        <v>MANCE</v>
      </c>
      <c r="E36050" s="38" t="s">
        <v>548</v>
      </c>
      <c r="F36050" s="38" t="s">
        <v>195</v>
      </c>
      <c r="G36050" s="49" t="str">
        <f t="shared" si="1"/>
        <v>54150</v>
      </c>
      <c r="H36050" s="49">
        <f t="shared" si="2"/>
        <v>54341</v>
      </c>
    </row>
    <row r="36051">
      <c r="A36051" s="48" t="s">
        <v>1833</v>
      </c>
      <c r="B36051" s="38">
        <v>31029.0</v>
      </c>
      <c r="C36051" s="38" t="s">
        <v>40163</v>
      </c>
      <c r="D36051" s="38" t="str">
        <f>IFERROR(__xludf.DUMMYFUNCTION("REGEXREPLACE(C36051,""-\d+(.*)|--\d+(.*)"","""")"),"AURIN")</f>
        <v>AURIN</v>
      </c>
      <c r="E36051" s="38" t="s">
        <v>93</v>
      </c>
      <c r="F36051" s="38" t="s">
        <v>94</v>
      </c>
      <c r="G36051" s="49" t="str">
        <f t="shared" si="1"/>
        <v>31570</v>
      </c>
      <c r="H36051" s="49">
        <f t="shared" si="2"/>
        <v>31029</v>
      </c>
    </row>
    <row r="36052">
      <c r="A36052" s="48" t="s">
        <v>3087</v>
      </c>
      <c r="B36052" s="38">
        <v>64053.0</v>
      </c>
      <c r="C36052" s="38" t="s">
        <v>40164</v>
      </c>
      <c r="D36052" s="38" t="str">
        <f>IFERROR(__xludf.DUMMYFUNCTION("REGEXREPLACE(C36052,""-\d+(.*)|--\d+(.*)"","""")"),"ARRIEN")</f>
        <v>ARRIEN</v>
      </c>
      <c r="E36052" s="38" t="s">
        <v>268</v>
      </c>
      <c r="F36052" s="38" t="s">
        <v>252</v>
      </c>
      <c r="G36052" s="49" t="str">
        <f t="shared" si="1"/>
        <v>64420</v>
      </c>
      <c r="H36052" s="49">
        <f t="shared" si="2"/>
        <v>64053</v>
      </c>
    </row>
    <row r="36053">
      <c r="A36053" s="48" t="s">
        <v>19094</v>
      </c>
      <c r="B36053" s="38">
        <v>78140.0</v>
      </c>
      <c r="C36053" s="38" t="s">
        <v>40165</v>
      </c>
      <c r="D36053" s="38" t="str">
        <f>IFERROR(__xludf.DUMMYFUNCTION("REGEXREPLACE(C36053,""-\d+(.*)|--\d+(.*)"","""")"),"CHAPET")</f>
        <v>CHAPET</v>
      </c>
      <c r="E36053" s="38" t="s">
        <v>362</v>
      </c>
      <c r="F36053" s="38" t="s">
        <v>245</v>
      </c>
      <c r="G36053" s="49" t="str">
        <f t="shared" si="1"/>
        <v>78130</v>
      </c>
      <c r="H36053" s="49">
        <f t="shared" si="2"/>
        <v>78140</v>
      </c>
    </row>
    <row r="36054">
      <c r="A36054" s="48" t="s">
        <v>3198</v>
      </c>
      <c r="B36054" s="38">
        <v>32166.0</v>
      </c>
      <c r="C36054" s="38" t="s">
        <v>40166</v>
      </c>
      <c r="D36054" s="38" t="str">
        <f>IFERROR(__xludf.DUMMYFUNCTION("REGEXREPLACE(C36054,""-\d+(.*)|--\d+(.*)"","""")"),"JUSTIAN")</f>
        <v>JUSTIAN</v>
      </c>
      <c r="E36054" s="38" t="s">
        <v>440</v>
      </c>
      <c r="F36054" s="38" t="s">
        <v>94</v>
      </c>
      <c r="G36054" s="49" t="str">
        <f t="shared" si="1"/>
        <v>32190</v>
      </c>
      <c r="H36054" s="49">
        <f t="shared" si="2"/>
        <v>32166</v>
      </c>
    </row>
    <row r="36055">
      <c r="A36055" s="48" t="s">
        <v>1066</v>
      </c>
      <c r="B36055" s="38">
        <v>49363.0</v>
      </c>
      <c r="C36055" s="38" t="s">
        <v>40167</v>
      </c>
      <c r="D36055" s="38" t="str">
        <f>IFERROR(__xludf.DUMMYFUNCTION("REGEXREPLACE(C36055,""-\d+(.*)|--\d+(.*)"","""")"),"VAUCHRETIEN")</f>
        <v>VAUCHRETIEN</v>
      </c>
      <c r="E36055" s="38" t="s">
        <v>653</v>
      </c>
      <c r="F36055" s="38" t="s">
        <v>180</v>
      </c>
      <c r="G36055" s="49" t="str">
        <f t="shared" si="1"/>
        <v>49320</v>
      </c>
      <c r="H36055" s="49">
        <f t="shared" si="2"/>
        <v>49363</v>
      </c>
    </row>
    <row r="36056">
      <c r="A36056" s="48" t="s">
        <v>1418</v>
      </c>
      <c r="B36056" s="38">
        <v>36235.0</v>
      </c>
      <c r="C36056" s="38" t="s">
        <v>40168</v>
      </c>
      <c r="D36056" s="38" t="str">
        <f>IFERROR(__xludf.DUMMYFUNCTION("REGEXREPLACE(C36056,""-\d+(.*)|--\d+(.*)"","""")"),"VEUIL")</f>
        <v>VEUIL</v>
      </c>
      <c r="E36056" s="38" t="s">
        <v>258</v>
      </c>
      <c r="F36056" s="38" t="s">
        <v>123</v>
      </c>
      <c r="G36056" s="49" t="str">
        <f t="shared" si="1"/>
        <v>36600</v>
      </c>
      <c r="H36056" s="49">
        <f t="shared" si="2"/>
        <v>36235</v>
      </c>
    </row>
    <row r="36057">
      <c r="A36057" s="48" t="s">
        <v>91</v>
      </c>
      <c r="B36057" s="38">
        <v>31474.0</v>
      </c>
      <c r="C36057" s="38" t="s">
        <v>10838</v>
      </c>
      <c r="D36057" s="38" t="str">
        <f>IFERROR(__xludf.DUMMYFUNCTION("REGEXREPLACE(C36057,""-\d+(.*)|--\d+(.*)"","""")"),"SAINT-CHRISTAUD")</f>
        <v>SAINT-CHRISTAUD</v>
      </c>
      <c r="E36057" s="38" t="s">
        <v>93</v>
      </c>
      <c r="F36057" s="38" t="s">
        <v>94</v>
      </c>
      <c r="G36057" s="49" t="str">
        <f t="shared" si="1"/>
        <v>31310</v>
      </c>
      <c r="H36057" s="49">
        <f t="shared" si="2"/>
        <v>31474</v>
      </c>
    </row>
    <row r="36058">
      <c r="A36058" s="48" t="s">
        <v>2368</v>
      </c>
      <c r="B36058" s="38">
        <v>65031.0</v>
      </c>
      <c r="C36058" s="38" t="s">
        <v>40169</v>
      </c>
      <c r="D36058" s="38" t="str">
        <f>IFERROR(__xludf.DUMMYFUNCTION("REGEXREPLACE(C36058,""-\d+(.*)|--\d+(.*)"","""")"),"ARREAU")</f>
        <v>ARREAU</v>
      </c>
      <c r="E36058" s="38" t="s">
        <v>200</v>
      </c>
      <c r="F36058" s="38" t="s">
        <v>94</v>
      </c>
      <c r="G36058" s="49" t="str">
        <f t="shared" si="1"/>
        <v>65240</v>
      </c>
      <c r="H36058" s="49">
        <f t="shared" si="2"/>
        <v>65031</v>
      </c>
    </row>
    <row r="36059">
      <c r="A36059" s="48" t="s">
        <v>622</v>
      </c>
      <c r="B36059" s="38">
        <v>14737.0</v>
      </c>
      <c r="C36059" s="38" t="s">
        <v>40170</v>
      </c>
      <c r="D36059" s="38" t="str">
        <f>IFERROR(__xludf.DUMMYFUNCTION("REGEXREPLACE(C36059,""-\d+(.*)|--\d+(.*)"","""")"),"VERSAINVILLE")</f>
        <v>VERSAINVILLE</v>
      </c>
      <c r="E36059" s="38" t="s">
        <v>137</v>
      </c>
      <c r="F36059" s="38" t="s">
        <v>138</v>
      </c>
      <c r="G36059" s="49" t="str">
        <f t="shared" si="1"/>
        <v>14700</v>
      </c>
      <c r="H36059" s="49">
        <f t="shared" si="2"/>
        <v>14737</v>
      </c>
    </row>
    <row r="36060">
      <c r="A36060" s="48" t="s">
        <v>1881</v>
      </c>
      <c r="B36060" s="38">
        <v>69175.0</v>
      </c>
      <c r="C36060" s="38" t="s">
        <v>12147</v>
      </c>
      <c r="D36060" s="38" t="str">
        <f>IFERROR(__xludf.DUMMYFUNCTION("REGEXREPLACE(C36060,""-\d+(.*)|--\d+(.*)"","""")"),"SAVIGNY")</f>
        <v>SAVIGNY</v>
      </c>
      <c r="E36060" s="38" t="s">
        <v>350</v>
      </c>
      <c r="F36060" s="38" t="s">
        <v>102</v>
      </c>
      <c r="G36060" s="49" t="str">
        <f t="shared" si="1"/>
        <v>69210</v>
      </c>
      <c r="H36060" s="49">
        <f t="shared" si="2"/>
        <v>69175</v>
      </c>
    </row>
    <row r="36061">
      <c r="A36061" s="48" t="s">
        <v>6832</v>
      </c>
      <c r="B36061" s="38">
        <v>80682.0</v>
      </c>
      <c r="C36061" s="38" t="s">
        <v>40171</v>
      </c>
      <c r="D36061" s="38" t="str">
        <f>IFERROR(__xludf.DUMMYFUNCTION("REGEXREPLACE(C36061,""-\d+(.*)|--\d+(.*)"","""")"),"ROUVROY-EN-SANTERRE")</f>
        <v>ROUVROY-EN-SANTERRE</v>
      </c>
      <c r="E36061" s="38" t="s">
        <v>224</v>
      </c>
      <c r="F36061" s="38" t="s">
        <v>113</v>
      </c>
      <c r="G36061" s="49" t="str">
        <f t="shared" si="1"/>
        <v>80170</v>
      </c>
      <c r="H36061" s="49">
        <f t="shared" si="2"/>
        <v>80682</v>
      </c>
    </row>
    <row r="36062">
      <c r="A36062" s="48" t="s">
        <v>12935</v>
      </c>
      <c r="B36062" s="38">
        <v>91538.0</v>
      </c>
      <c r="C36062" s="38" t="s">
        <v>2041</v>
      </c>
      <c r="D36062" s="38" t="str">
        <f>IFERROR(__xludf.DUMMYFUNCTION("REGEXREPLACE(C36062,""-\d+(.*)|--\d+(.*)"","""")"),"SAINT-AUBIN")</f>
        <v>SAINT-AUBIN</v>
      </c>
      <c r="E36062" s="38" t="s">
        <v>756</v>
      </c>
      <c r="F36062" s="38" t="s">
        <v>245</v>
      </c>
      <c r="G36062" s="49" t="str">
        <f t="shared" si="1"/>
        <v>91190</v>
      </c>
      <c r="H36062" s="49">
        <f t="shared" si="2"/>
        <v>91538</v>
      </c>
    </row>
    <row r="36063">
      <c r="A36063" s="48" t="s">
        <v>3955</v>
      </c>
      <c r="B36063" s="38">
        <v>62182.0</v>
      </c>
      <c r="C36063" s="38" t="s">
        <v>40172</v>
      </c>
      <c r="D36063" s="38" t="str">
        <f>IFERROR(__xludf.DUMMYFUNCTION("REGEXREPLACE(C36063,""-\d+(.*)|--\d+(.*)"","""")"),"BUIRE-AU-BOIS")</f>
        <v>BUIRE-AU-BOIS</v>
      </c>
      <c r="E36063" s="38" t="s">
        <v>109</v>
      </c>
      <c r="F36063" s="38" t="s">
        <v>86</v>
      </c>
      <c r="G36063" s="49" t="str">
        <f t="shared" si="1"/>
        <v>62390</v>
      </c>
      <c r="H36063" s="49">
        <f t="shared" si="2"/>
        <v>62182</v>
      </c>
    </row>
    <row r="36064">
      <c r="A36064" s="48" t="s">
        <v>1989</v>
      </c>
      <c r="B36064" s="38">
        <v>60276.0</v>
      </c>
      <c r="C36064" s="38" t="s">
        <v>40173</v>
      </c>
      <c r="D36064" s="38" t="str">
        <f>IFERROR(__xludf.DUMMYFUNCTION("REGEXREPLACE(C36064,""-\d+(.*)|--\d+(.*)"","""")"),"GODENVILLERS")</f>
        <v>GODENVILLERS</v>
      </c>
      <c r="E36064" s="38" t="s">
        <v>112</v>
      </c>
      <c r="F36064" s="38" t="s">
        <v>113</v>
      </c>
      <c r="G36064" s="49" t="str">
        <f t="shared" si="1"/>
        <v>60420</v>
      </c>
      <c r="H36064" s="49">
        <f t="shared" si="2"/>
        <v>60276</v>
      </c>
    </row>
    <row r="36065">
      <c r="A36065" s="48" t="s">
        <v>1406</v>
      </c>
      <c r="B36065" s="38">
        <v>71474.0</v>
      </c>
      <c r="C36065" s="38" t="s">
        <v>3856</v>
      </c>
      <c r="D36065" s="38" t="str">
        <f>IFERROR(__xludf.DUMMYFUNCTION("REGEXREPLACE(C36065,""-\d+(.*)|--\d+(.*)"","""")"),"SAINTE-RADEGONDE")</f>
        <v>SAINTE-RADEGONDE</v>
      </c>
      <c r="E36065" s="38" t="s">
        <v>344</v>
      </c>
      <c r="F36065" s="38" t="s">
        <v>106</v>
      </c>
      <c r="G36065" s="49" t="str">
        <f t="shared" si="1"/>
        <v>71320</v>
      </c>
      <c r="H36065" s="49">
        <f t="shared" si="2"/>
        <v>71474</v>
      </c>
    </row>
    <row r="36066">
      <c r="A36066" s="48" t="s">
        <v>7375</v>
      </c>
      <c r="B36066" s="38">
        <v>91412.0</v>
      </c>
      <c r="C36066" s="38" t="s">
        <v>170</v>
      </c>
      <c r="D36066" s="38" t="str">
        <f>IFERROR(__xludf.DUMMYFUNCTION("REGEXREPLACE(C36066,""-\d+(.*)|--\d+(.*)"","""")"),"MONDEVILLE")</f>
        <v>MONDEVILLE</v>
      </c>
      <c r="E36066" s="38" t="s">
        <v>756</v>
      </c>
      <c r="F36066" s="38" t="s">
        <v>245</v>
      </c>
      <c r="G36066" s="49" t="str">
        <f t="shared" si="1"/>
        <v>91590</v>
      </c>
      <c r="H36066" s="49">
        <f t="shared" si="2"/>
        <v>91412</v>
      </c>
    </row>
    <row r="36067">
      <c r="A36067" s="48" t="s">
        <v>12873</v>
      </c>
      <c r="B36067" s="38">
        <v>63258.0</v>
      </c>
      <c r="C36067" s="38" t="s">
        <v>40174</v>
      </c>
      <c r="D36067" s="38" t="str">
        <f>IFERROR(__xludf.DUMMYFUNCTION("REGEXREPLACE(C36067,""-\d+(.*)|--\d+(.*)"","""")"),"OLLIERGUES")</f>
        <v>OLLIERGUES</v>
      </c>
      <c r="E36067" s="38" t="s">
        <v>353</v>
      </c>
      <c r="F36067" s="38" t="s">
        <v>161</v>
      </c>
      <c r="G36067" s="49" t="str">
        <f t="shared" si="1"/>
        <v>63880</v>
      </c>
      <c r="H36067" s="49">
        <f t="shared" si="2"/>
        <v>63258</v>
      </c>
    </row>
    <row r="36068">
      <c r="A36068" s="48" t="s">
        <v>5332</v>
      </c>
      <c r="B36068" s="38">
        <v>1414.0</v>
      </c>
      <c r="C36068" s="38" t="s">
        <v>40175</v>
      </c>
      <c r="D36068" s="38" t="str">
        <f>IFERROR(__xludf.DUMMYFUNCTION("REGEXREPLACE(C36068,""-\d+(.*)|--\d+(.*)"","""")"),"SUTRIEU")</f>
        <v>SUTRIEU</v>
      </c>
      <c r="E36068" s="38" t="s">
        <v>255</v>
      </c>
      <c r="F36068" s="38" t="s">
        <v>102</v>
      </c>
      <c r="G36068" s="49" t="str">
        <f t="shared" si="1"/>
        <v>01260</v>
      </c>
      <c r="H36068" s="49" t="str">
        <f t="shared" si="2"/>
        <v>01414</v>
      </c>
    </row>
    <row r="36069">
      <c r="A36069" s="48" t="s">
        <v>7237</v>
      </c>
      <c r="B36069" s="38">
        <v>17280.0</v>
      </c>
      <c r="C36069" s="38" t="s">
        <v>40176</v>
      </c>
      <c r="D36069" s="38" t="str">
        <f>IFERROR(__xludf.DUMMYFUNCTION("REGEXREPLACE(C36069,""-\d+(.*)|--\d+(.*)"","""")"),"PLASSAY")</f>
        <v>PLASSAY</v>
      </c>
      <c r="E36069" s="38" t="s">
        <v>488</v>
      </c>
      <c r="F36069" s="38" t="s">
        <v>338</v>
      </c>
      <c r="G36069" s="49" t="str">
        <f t="shared" si="1"/>
        <v>17250</v>
      </c>
      <c r="H36069" s="49">
        <f t="shared" si="2"/>
        <v>17280</v>
      </c>
    </row>
    <row r="36070">
      <c r="A36070" s="48" t="s">
        <v>1161</v>
      </c>
      <c r="B36070" s="38">
        <v>45212.0</v>
      </c>
      <c r="C36070" s="38" t="s">
        <v>40177</v>
      </c>
      <c r="D36070" s="38" t="str">
        <f>IFERROR(__xludf.DUMMYFUNCTION("REGEXREPLACE(C36070,""-\d+(.*)|--\d+(.*)"","""")"),"MONTCRESSON")</f>
        <v>MONTCRESSON</v>
      </c>
      <c r="E36070" s="38" t="s">
        <v>122</v>
      </c>
      <c r="F36070" s="38" t="s">
        <v>123</v>
      </c>
      <c r="G36070" s="49" t="str">
        <f t="shared" si="1"/>
        <v>45700</v>
      </c>
      <c r="H36070" s="49">
        <f t="shared" si="2"/>
        <v>45212</v>
      </c>
    </row>
    <row r="36071">
      <c r="A36071" s="48" t="s">
        <v>1959</v>
      </c>
      <c r="B36071" s="38">
        <v>82054.0</v>
      </c>
      <c r="C36071" s="38" t="s">
        <v>40178</v>
      </c>
      <c r="D36071" s="38" t="str">
        <f>IFERROR(__xludf.DUMMYFUNCTION("REGEXREPLACE(C36071,""-\d+(.*)|--\d+(.*)"","""")"),"ESPALAIS")</f>
        <v>ESPALAIS</v>
      </c>
      <c r="E36071" s="38" t="s">
        <v>570</v>
      </c>
      <c r="F36071" s="38" t="s">
        <v>94</v>
      </c>
      <c r="G36071" s="49" t="str">
        <f t="shared" si="1"/>
        <v>82400</v>
      </c>
      <c r="H36071" s="49">
        <f t="shared" si="2"/>
        <v>82054</v>
      </c>
    </row>
    <row r="36072">
      <c r="A36072" s="48" t="s">
        <v>1841</v>
      </c>
      <c r="B36072" s="38">
        <v>27535.0</v>
      </c>
      <c r="C36072" s="38" t="s">
        <v>40179</v>
      </c>
      <c r="D36072" s="38" t="str">
        <f>IFERROR(__xludf.DUMMYFUNCTION("REGEXREPLACE(C36072,""-\d+(.*)|--\d+(.*)"","""")"),"SAINT-ELIER")</f>
        <v>SAINT-ELIER</v>
      </c>
      <c r="E36072" s="38" t="s">
        <v>241</v>
      </c>
      <c r="F36072" s="38" t="s">
        <v>134</v>
      </c>
      <c r="G36072" s="49" t="str">
        <f t="shared" si="1"/>
        <v>27190</v>
      </c>
      <c r="H36072" s="49">
        <f t="shared" si="2"/>
        <v>27535</v>
      </c>
    </row>
    <row r="36073">
      <c r="A36073" s="48" t="s">
        <v>2368</v>
      </c>
      <c r="B36073" s="38">
        <v>65195.0</v>
      </c>
      <c r="C36073" s="38" t="s">
        <v>38759</v>
      </c>
      <c r="D36073" s="38" t="str">
        <f>IFERROR(__xludf.DUMMYFUNCTION("REGEXREPLACE(C36073,""-\d+(.*)|--\d+(.*)"","""")"),"GENOS")</f>
        <v>GENOS</v>
      </c>
      <c r="E36073" s="38" t="s">
        <v>200</v>
      </c>
      <c r="F36073" s="38" t="s">
        <v>94</v>
      </c>
      <c r="G36073" s="49" t="str">
        <f t="shared" si="1"/>
        <v>65240</v>
      </c>
      <c r="H36073" s="49">
        <f t="shared" si="2"/>
        <v>65195</v>
      </c>
    </row>
    <row r="36074">
      <c r="A36074" s="48" t="s">
        <v>3344</v>
      </c>
      <c r="B36074" s="38">
        <v>76531.0</v>
      </c>
      <c r="C36074" s="38" t="s">
        <v>40180</v>
      </c>
      <c r="D36074" s="38" t="str">
        <f>IFERROR(__xludf.DUMMYFUNCTION("REGEXREPLACE(C36074,""-\d+(.*)|--\d+(.*)"","""")"),"ROCQUEFORT")</f>
        <v>ROCQUEFORT</v>
      </c>
      <c r="E36074" s="38" t="s">
        <v>133</v>
      </c>
      <c r="F36074" s="38" t="s">
        <v>134</v>
      </c>
      <c r="G36074" s="49" t="str">
        <f t="shared" si="1"/>
        <v>76640</v>
      </c>
      <c r="H36074" s="49">
        <f t="shared" si="2"/>
        <v>76531</v>
      </c>
    </row>
    <row r="36075">
      <c r="A36075" s="48" t="s">
        <v>1305</v>
      </c>
      <c r="B36075" s="38">
        <v>36027.0</v>
      </c>
      <c r="C36075" s="38" t="s">
        <v>40181</v>
      </c>
      <c r="D36075" s="38" t="str">
        <f>IFERROR(__xludf.DUMMYFUNCTION("REGEXREPLACE(C36075,""-\d+(.*)|--\d+(.*)"","""")"),"BRIVES")</f>
        <v>BRIVES</v>
      </c>
      <c r="E36075" s="38" t="s">
        <v>258</v>
      </c>
      <c r="F36075" s="38" t="s">
        <v>123</v>
      </c>
      <c r="G36075" s="49" t="str">
        <f t="shared" si="1"/>
        <v>36100</v>
      </c>
      <c r="H36075" s="49">
        <f t="shared" si="2"/>
        <v>36027</v>
      </c>
    </row>
    <row r="36076">
      <c r="A36076" s="48" t="s">
        <v>25038</v>
      </c>
      <c r="B36076" s="38">
        <v>23092.0</v>
      </c>
      <c r="C36076" s="38" t="s">
        <v>40182</v>
      </c>
      <c r="D36076" s="38" t="str">
        <f>IFERROR(__xludf.DUMMYFUNCTION("REGEXREPLACE(C36076,""-\d+(.*)|--\d+(.*)"","""")"),"GLENIC")</f>
        <v>GLENIC</v>
      </c>
      <c r="E36076" s="38" t="s">
        <v>97</v>
      </c>
      <c r="F36076" s="38" t="s">
        <v>98</v>
      </c>
      <c r="G36076" s="49" t="str">
        <f t="shared" si="1"/>
        <v>23380</v>
      </c>
      <c r="H36076" s="49">
        <f t="shared" si="2"/>
        <v>23092</v>
      </c>
    </row>
    <row r="36077">
      <c r="A36077" s="48" t="s">
        <v>1327</v>
      </c>
      <c r="B36077" s="38">
        <v>51586.0</v>
      </c>
      <c r="C36077" s="38" t="s">
        <v>40183</v>
      </c>
      <c r="D36077" s="38" t="str">
        <f>IFERROR(__xludf.DUMMYFUNCTION("REGEXREPLACE(C36077,""-\d+(.*)|--\d+(.*)"","""")"),"UNCHAIR")</f>
        <v>UNCHAIR</v>
      </c>
      <c r="E36077" s="38" t="s">
        <v>129</v>
      </c>
      <c r="F36077" s="38" t="s">
        <v>130</v>
      </c>
      <c r="G36077" s="49" t="str">
        <f t="shared" si="1"/>
        <v>51170</v>
      </c>
      <c r="H36077" s="49">
        <f t="shared" si="2"/>
        <v>51586</v>
      </c>
    </row>
    <row r="36078">
      <c r="A36078" s="48" t="s">
        <v>5612</v>
      </c>
      <c r="B36078" s="38">
        <v>52449.0</v>
      </c>
      <c r="C36078" s="38" t="s">
        <v>40184</v>
      </c>
      <c r="D36078" s="38" t="str">
        <f>IFERROR(__xludf.DUMMYFUNCTION("REGEXREPLACE(C36078,""-\d+(.*)|--\d+(.*)"","""")"),"SAINTS-GEOSMES")</f>
        <v>SAINTS-GEOSMES</v>
      </c>
      <c r="E36078" s="38" t="s">
        <v>234</v>
      </c>
      <c r="F36078" s="38" t="s">
        <v>130</v>
      </c>
      <c r="G36078" s="49" t="str">
        <f t="shared" si="1"/>
        <v>52200</v>
      </c>
      <c r="H36078" s="49">
        <f t="shared" si="2"/>
        <v>52449</v>
      </c>
    </row>
    <row r="36079">
      <c r="A36079" s="48" t="s">
        <v>2920</v>
      </c>
      <c r="B36079" s="38">
        <v>62359.0</v>
      </c>
      <c r="C36079" s="38" t="s">
        <v>40185</v>
      </c>
      <c r="D36079" s="38" t="str">
        <f>IFERROR(__xludf.DUMMYFUNCTION("REGEXREPLACE(C36079,""-\d+(.*)|--\d+(.*)"","""")"),"FRESSIN")</f>
        <v>FRESSIN</v>
      </c>
      <c r="E36079" s="38" t="s">
        <v>109</v>
      </c>
      <c r="F36079" s="38" t="s">
        <v>86</v>
      </c>
      <c r="G36079" s="49" t="str">
        <f t="shared" si="1"/>
        <v>62140</v>
      </c>
      <c r="H36079" s="49">
        <f t="shared" si="2"/>
        <v>62359</v>
      </c>
    </row>
    <row r="36080">
      <c r="A36080" s="48" t="s">
        <v>10388</v>
      </c>
      <c r="B36080" s="38">
        <v>21092.0</v>
      </c>
      <c r="C36080" s="38" t="s">
        <v>40186</v>
      </c>
      <c r="D36080" s="38" t="str">
        <f>IFERROR(__xludf.DUMMYFUNCTION("REGEXREPLACE(C36080,""-\d+(.*)|--\d+(.*)"","""")"),"BOUILLAND")</f>
        <v>BOUILLAND</v>
      </c>
      <c r="E36080" s="38" t="s">
        <v>105</v>
      </c>
      <c r="F36080" s="38" t="s">
        <v>106</v>
      </c>
      <c r="G36080" s="49" t="str">
        <f t="shared" si="1"/>
        <v>21420</v>
      </c>
      <c r="H36080" s="49">
        <f t="shared" si="2"/>
        <v>21092</v>
      </c>
    </row>
    <row r="36081">
      <c r="A36081" s="48" t="s">
        <v>3545</v>
      </c>
      <c r="B36081" s="38">
        <v>17417.0</v>
      </c>
      <c r="C36081" s="38" t="s">
        <v>40187</v>
      </c>
      <c r="D36081" s="38" t="str">
        <f>IFERROR(__xludf.DUMMYFUNCTION("REGEXREPLACE(C36081,""-\d+(.*)|--\d+(.*)"","""")"),"SALIGNAC-DE-MIRAMBEAU")</f>
        <v>SALIGNAC-DE-MIRAMBEAU</v>
      </c>
      <c r="E36081" s="38" t="s">
        <v>488</v>
      </c>
      <c r="F36081" s="38" t="s">
        <v>338</v>
      </c>
      <c r="G36081" s="49" t="str">
        <f t="shared" si="1"/>
        <v>17130</v>
      </c>
      <c r="H36081" s="49">
        <f t="shared" si="2"/>
        <v>17417</v>
      </c>
    </row>
    <row r="36082">
      <c r="A36082" s="48" t="s">
        <v>3450</v>
      </c>
      <c r="B36082" s="38">
        <v>60511.0</v>
      </c>
      <c r="C36082" s="38" t="s">
        <v>40188</v>
      </c>
      <c r="D36082" s="38" t="str">
        <f>IFERROR(__xludf.DUMMYFUNCTION("REGEXREPLACE(C36082,""-\d+(.*)|--\d+(.*)"","""")"),"PORQUERICOURT")</f>
        <v>PORQUERICOURT</v>
      </c>
      <c r="E36082" s="38" t="s">
        <v>112</v>
      </c>
      <c r="F36082" s="38" t="s">
        <v>113</v>
      </c>
      <c r="G36082" s="49" t="str">
        <f t="shared" si="1"/>
        <v>60400</v>
      </c>
      <c r="H36082" s="49">
        <f t="shared" si="2"/>
        <v>60511</v>
      </c>
    </row>
    <row r="36083">
      <c r="A36083" s="48" t="s">
        <v>13077</v>
      </c>
      <c r="B36083" s="38">
        <v>3136.0</v>
      </c>
      <c r="C36083" s="38" t="s">
        <v>40189</v>
      </c>
      <c r="D36083" s="38" t="str">
        <f>IFERROR(__xludf.DUMMYFUNCTION("REGEXREPLACE(C36083,""-\d+(.*)|--\d+(.*)"","""")"),"LAMAIDS")</f>
        <v>LAMAIDS</v>
      </c>
      <c r="E36083" s="38" t="s">
        <v>160</v>
      </c>
      <c r="F36083" s="38" t="s">
        <v>161</v>
      </c>
      <c r="G36083" s="49" t="str">
        <f t="shared" si="1"/>
        <v>03380</v>
      </c>
      <c r="H36083" s="49" t="str">
        <f t="shared" si="2"/>
        <v>03136</v>
      </c>
    </row>
    <row r="36084">
      <c r="A36084" s="48" t="s">
        <v>15032</v>
      </c>
      <c r="B36084" s="38">
        <v>26235.0</v>
      </c>
      <c r="C36084" s="38" t="s">
        <v>40190</v>
      </c>
      <c r="D36084" s="38" t="str">
        <f>IFERROR(__xludf.DUMMYFUNCTION("REGEXREPLACE(C36084,""-\d+(.*)|--\d+(.*)"","""")"),"PIERRELATTE")</f>
        <v>PIERRELATTE</v>
      </c>
      <c r="E36084" s="38" t="s">
        <v>126</v>
      </c>
      <c r="F36084" s="38" t="s">
        <v>102</v>
      </c>
      <c r="G36084" s="49" t="str">
        <f t="shared" si="1"/>
        <v>26700</v>
      </c>
      <c r="H36084" s="49">
        <f t="shared" si="2"/>
        <v>26235</v>
      </c>
    </row>
    <row r="36085">
      <c r="A36085" s="48" t="s">
        <v>186</v>
      </c>
      <c r="B36085" s="38">
        <v>41191.0</v>
      </c>
      <c r="C36085" s="38" t="s">
        <v>28216</v>
      </c>
      <c r="D36085" s="38" t="str">
        <f>IFERROR(__xludf.DUMMYFUNCTION("REGEXREPLACE(C36085,""-\d+(.*)|--\d+(.*)"","""")"),"ROCHES")</f>
        <v>ROCHES</v>
      </c>
      <c r="E36085" s="38" t="s">
        <v>188</v>
      </c>
      <c r="F36085" s="38" t="s">
        <v>123</v>
      </c>
      <c r="G36085" s="49" t="str">
        <f t="shared" si="1"/>
        <v>41370</v>
      </c>
      <c r="H36085" s="49">
        <f t="shared" si="2"/>
        <v>41191</v>
      </c>
    </row>
    <row r="36086">
      <c r="A36086" s="48" t="s">
        <v>40191</v>
      </c>
      <c r="B36086" s="38">
        <v>56005.0</v>
      </c>
      <c r="C36086" s="38" t="s">
        <v>40192</v>
      </c>
      <c r="D36086" s="38" t="str">
        <f>IFERROR(__xludf.DUMMYFUNCTION("REGEXREPLACE(C36086,""-\d+(.*)|--\d+(.*)"","""")"),"ARZON")</f>
        <v>ARZON</v>
      </c>
      <c r="E36086" s="38" t="s">
        <v>173</v>
      </c>
      <c r="F36086" s="38" t="s">
        <v>90</v>
      </c>
      <c r="G36086" s="49" t="str">
        <f t="shared" si="1"/>
        <v>56640</v>
      </c>
      <c r="H36086" s="49">
        <f t="shared" si="2"/>
        <v>56005</v>
      </c>
    </row>
    <row r="36087">
      <c r="A36087" s="48" t="s">
        <v>208</v>
      </c>
      <c r="B36087" s="38">
        <v>67493.0</v>
      </c>
      <c r="C36087" s="38" t="s">
        <v>40193</v>
      </c>
      <c r="D36087" s="38" t="str">
        <f>IFERROR(__xludf.DUMMYFUNCTION("REGEXREPLACE(C36087,""-\d+(.*)|--\d+(.*)"","""")"),"TRIEMBACH-AU-VAL")</f>
        <v>TRIEMBACH-AU-VAL</v>
      </c>
      <c r="E36087" s="38" t="s">
        <v>210</v>
      </c>
      <c r="F36087" s="38" t="s">
        <v>151</v>
      </c>
      <c r="G36087" s="49" t="str">
        <f t="shared" si="1"/>
        <v>67220</v>
      </c>
      <c r="H36087" s="49">
        <f t="shared" si="2"/>
        <v>67493</v>
      </c>
    </row>
    <row r="36088">
      <c r="A36088" s="48" t="s">
        <v>40194</v>
      </c>
      <c r="B36088" s="38">
        <v>38140.0</v>
      </c>
      <c r="C36088" s="38" t="s">
        <v>40195</v>
      </c>
      <c r="D36088" s="38" t="str">
        <f>IFERROR(__xludf.DUMMYFUNCTION("REGEXREPLACE(C36088,""-\d+(.*)|--\d+(.*)"","""")"),"CROLLES")</f>
        <v>CROLLES</v>
      </c>
      <c r="E36088" s="38" t="s">
        <v>101</v>
      </c>
      <c r="F36088" s="38" t="s">
        <v>102</v>
      </c>
      <c r="G36088" s="49" t="str">
        <f t="shared" si="1"/>
        <v>38920</v>
      </c>
      <c r="H36088" s="49">
        <f t="shared" si="2"/>
        <v>38140</v>
      </c>
    </row>
    <row r="36089">
      <c r="A36089" s="48" t="s">
        <v>19064</v>
      </c>
      <c r="B36089" s="38">
        <v>61430.0</v>
      </c>
      <c r="C36089" s="38" t="s">
        <v>40196</v>
      </c>
      <c r="D36089" s="38" t="str">
        <f>IFERROR(__xludf.DUMMYFUNCTION("REGEXREPLACE(C36089,""-\d+(.*)|--\d+(.*)"","""")"),"SAINT-MAURICE-SUR-HUISNE")</f>
        <v>SAINT-MAURICE-SUR-HUISNE</v>
      </c>
      <c r="E36089" s="38" t="s">
        <v>141</v>
      </c>
      <c r="F36089" s="38" t="s">
        <v>138</v>
      </c>
      <c r="G36089" s="49" t="str">
        <f t="shared" si="1"/>
        <v>61110</v>
      </c>
      <c r="H36089" s="49">
        <f t="shared" si="2"/>
        <v>61430</v>
      </c>
    </row>
    <row r="36090">
      <c r="A36090" s="48" t="s">
        <v>5648</v>
      </c>
      <c r="B36090" s="38">
        <v>76479.0</v>
      </c>
      <c r="C36090" s="38" t="s">
        <v>40197</v>
      </c>
      <c r="D36090" s="38" t="str">
        <f>IFERROR(__xludf.DUMMYFUNCTION("REGEXREPLACE(C36090,""-\d+(.*)|--\d+(.*)"","""")"),"NULLEMONT")</f>
        <v>NULLEMONT</v>
      </c>
      <c r="E36090" s="38" t="s">
        <v>133</v>
      </c>
      <c r="F36090" s="38" t="s">
        <v>134</v>
      </c>
      <c r="G36090" s="49" t="str">
        <f t="shared" si="1"/>
        <v>76390</v>
      </c>
      <c r="H36090" s="49">
        <f t="shared" si="2"/>
        <v>76479</v>
      </c>
    </row>
    <row r="36091">
      <c r="A36091" s="48" t="s">
        <v>27032</v>
      </c>
      <c r="B36091" s="38">
        <v>63384.0</v>
      </c>
      <c r="C36091" s="38" t="s">
        <v>40198</v>
      </c>
      <c r="D36091" s="38" t="str">
        <f>IFERROR(__xludf.DUMMYFUNCTION("REGEXREPLACE(C36091,""-\d+(.*)|--\d+(.*)"","""")"),"SAINT-PIERRE-LA-BOURLHONNE")</f>
        <v>SAINT-PIERRE-LA-BOURLHONNE</v>
      </c>
      <c r="E36091" s="38" t="s">
        <v>353</v>
      </c>
      <c r="F36091" s="38" t="s">
        <v>161</v>
      </c>
      <c r="G36091" s="49" t="str">
        <f t="shared" si="1"/>
        <v>63480</v>
      </c>
      <c r="H36091" s="49">
        <f t="shared" si="2"/>
        <v>63384</v>
      </c>
    </row>
    <row r="36092">
      <c r="A36092" s="48" t="s">
        <v>2423</v>
      </c>
      <c r="B36092" s="38">
        <v>26026.0</v>
      </c>
      <c r="C36092" s="38" t="s">
        <v>40199</v>
      </c>
      <c r="D36092" s="38" t="str">
        <f>IFERROR(__xludf.DUMMYFUNCTION("REGEXREPLACE(C36092,""-\d+(.*)|--\d+(.*)"","""")"),"BARRET-DE-LIOURE")</f>
        <v>BARRET-DE-LIOURE</v>
      </c>
      <c r="E36092" s="38" t="s">
        <v>126</v>
      </c>
      <c r="F36092" s="38" t="s">
        <v>102</v>
      </c>
      <c r="G36092" s="49" t="str">
        <f t="shared" si="1"/>
        <v>26570</v>
      </c>
      <c r="H36092" s="49">
        <f t="shared" si="2"/>
        <v>26026</v>
      </c>
    </row>
    <row r="36093">
      <c r="A36093" s="48" t="s">
        <v>860</v>
      </c>
      <c r="B36093" s="38">
        <v>80165.0</v>
      </c>
      <c r="C36093" s="38" t="s">
        <v>40200</v>
      </c>
      <c r="D36093" s="38" t="str">
        <f>IFERROR(__xludf.DUMMYFUNCTION("REGEXREPLACE(C36093,""-\d+(.*)|--\d+(.*)"","""")"),"CAMPS-EN-AMIENOIS")</f>
        <v>CAMPS-EN-AMIENOIS</v>
      </c>
      <c r="E36093" s="38" t="s">
        <v>224</v>
      </c>
      <c r="F36093" s="38" t="s">
        <v>113</v>
      </c>
      <c r="G36093" s="49" t="str">
        <f t="shared" si="1"/>
        <v>80540</v>
      </c>
      <c r="H36093" s="49">
        <f t="shared" si="2"/>
        <v>80165</v>
      </c>
    </row>
    <row r="36094">
      <c r="A36094" s="48" t="s">
        <v>13021</v>
      </c>
      <c r="B36094" s="38">
        <v>57690.0</v>
      </c>
      <c r="C36094" s="38" t="s">
        <v>32316</v>
      </c>
      <c r="D36094" s="38" t="str">
        <f>IFERROR(__xludf.DUMMYFUNCTION("REGEXREPLACE(C36094,""-\d+(.*)|--\d+(.*)"","""")"),"VALMONT")</f>
        <v>VALMONT</v>
      </c>
      <c r="E36094" s="38" t="s">
        <v>303</v>
      </c>
      <c r="F36094" s="38" t="s">
        <v>195</v>
      </c>
      <c r="G36094" s="49" t="str">
        <f t="shared" si="1"/>
        <v>57730</v>
      </c>
      <c r="H36094" s="49">
        <f t="shared" si="2"/>
        <v>57690</v>
      </c>
    </row>
    <row r="36095">
      <c r="A36095" s="48" t="s">
        <v>12681</v>
      </c>
      <c r="B36095" s="38">
        <v>2345.0</v>
      </c>
      <c r="C36095" s="38" t="s">
        <v>40201</v>
      </c>
      <c r="D36095" s="38" t="str">
        <f>IFERROR(__xludf.DUMMYFUNCTION("REGEXREPLACE(C36095,""-\d+(.*)|--\d+(.*)"","""")"),"GIBERCOURT")</f>
        <v>GIBERCOURT</v>
      </c>
      <c r="E36095" s="38" t="s">
        <v>191</v>
      </c>
      <c r="F36095" s="38" t="s">
        <v>113</v>
      </c>
      <c r="G36095" s="49" t="str">
        <f t="shared" si="1"/>
        <v>02440</v>
      </c>
      <c r="H36095" s="49" t="str">
        <f t="shared" si="2"/>
        <v>02345</v>
      </c>
    </row>
    <row r="36096">
      <c r="A36096" s="48" t="s">
        <v>4766</v>
      </c>
      <c r="B36096" s="38">
        <v>64037.0</v>
      </c>
      <c r="C36096" s="38" t="s">
        <v>40202</v>
      </c>
      <c r="D36096" s="38" t="str">
        <f>IFERROR(__xludf.DUMMYFUNCTION("REGEXREPLACE(C36096,""-\d+(.*)|--\d+(.*)"","""")"),"ARBUS")</f>
        <v>ARBUS</v>
      </c>
      <c r="E36096" s="38" t="s">
        <v>268</v>
      </c>
      <c r="F36096" s="38" t="s">
        <v>252</v>
      </c>
      <c r="G36096" s="49" t="str">
        <f t="shared" si="1"/>
        <v>64230</v>
      </c>
      <c r="H36096" s="49">
        <f t="shared" si="2"/>
        <v>64037</v>
      </c>
    </row>
    <row r="36097">
      <c r="A36097" s="48" t="s">
        <v>789</v>
      </c>
      <c r="B36097" s="38">
        <v>10098.0</v>
      </c>
      <c r="C36097" s="38" t="s">
        <v>40203</v>
      </c>
      <c r="D36097" s="38" t="str">
        <f>IFERROR(__xludf.DUMMYFUNCTION("REGEXREPLACE(C36097,""-\d+(.*)|--\d+(.*)"","""")"),"CHESLEY")</f>
        <v>CHESLEY</v>
      </c>
      <c r="E36097" s="38" t="s">
        <v>147</v>
      </c>
      <c r="F36097" s="38" t="s">
        <v>130</v>
      </c>
      <c r="G36097" s="49" t="str">
        <f t="shared" si="1"/>
        <v>10210</v>
      </c>
      <c r="H36097" s="49">
        <f t="shared" si="2"/>
        <v>10098</v>
      </c>
    </row>
    <row r="36098">
      <c r="A36098" s="48" t="s">
        <v>2703</v>
      </c>
      <c r="B36098" s="38">
        <v>69203.0</v>
      </c>
      <c r="C36098" s="38" t="s">
        <v>40204</v>
      </c>
      <c r="D36098" s="38" t="str">
        <f>IFERROR(__xludf.DUMMYFUNCTION("REGEXREPLACE(C36098,""-\d+(.*)|--\d+(.*)"","""")"),"SAINT-GENIS-L'ARGENTIERE")</f>
        <v>SAINT-GENIS-L'ARGENTIERE</v>
      </c>
      <c r="E36098" s="38" t="s">
        <v>350</v>
      </c>
      <c r="F36098" s="38" t="s">
        <v>102</v>
      </c>
      <c r="G36098" s="49" t="str">
        <f t="shared" si="1"/>
        <v>69610</v>
      </c>
      <c r="H36098" s="49">
        <f t="shared" si="2"/>
        <v>69203</v>
      </c>
    </row>
    <row r="36099">
      <c r="A36099" s="48" t="s">
        <v>7199</v>
      </c>
      <c r="B36099" s="38">
        <v>76475.0</v>
      </c>
      <c r="C36099" s="38" t="s">
        <v>40205</v>
      </c>
      <c r="D36099" s="38" t="str">
        <f>IFERROR(__xludf.DUMMYFUNCTION("REGEXREPLACE(C36099,""-\d+(.*)|--\d+(.*)"","""")"),"FRANQUEVILLE-SAINT-PIERRE")</f>
        <v>FRANQUEVILLE-SAINT-PIERRE</v>
      </c>
      <c r="E36099" s="38" t="s">
        <v>133</v>
      </c>
      <c r="F36099" s="38" t="s">
        <v>134</v>
      </c>
      <c r="G36099" s="49" t="str">
        <f t="shared" si="1"/>
        <v>76520</v>
      </c>
      <c r="H36099" s="49">
        <f t="shared" si="2"/>
        <v>76475</v>
      </c>
    </row>
    <row r="36100">
      <c r="A36100" s="48" t="s">
        <v>6948</v>
      </c>
      <c r="B36100" s="38">
        <v>17016.0</v>
      </c>
      <c r="C36100" s="38" t="s">
        <v>40206</v>
      </c>
      <c r="D36100" s="38" t="str">
        <f>IFERROR(__xludf.DUMMYFUNCTION("REGEXREPLACE(C36100,""-\d+(.*)|--\d+(.*)"","""")"),"ARCHIAC")</f>
        <v>ARCHIAC</v>
      </c>
      <c r="E36100" s="38" t="s">
        <v>488</v>
      </c>
      <c r="F36100" s="38" t="s">
        <v>338</v>
      </c>
      <c r="G36100" s="49" t="str">
        <f t="shared" si="1"/>
        <v>17520</v>
      </c>
      <c r="H36100" s="49">
        <f t="shared" si="2"/>
        <v>17016</v>
      </c>
    </row>
    <row r="36101">
      <c r="A36101" s="48" t="s">
        <v>3702</v>
      </c>
      <c r="B36101" s="38">
        <v>77007.0</v>
      </c>
      <c r="C36101" s="38" t="s">
        <v>40207</v>
      </c>
      <c r="D36101" s="38" t="str">
        <f>IFERROR(__xludf.DUMMYFUNCTION("REGEXREPLACE(C36101,""-\d+(.*)|--\d+(.*)"","""")"),"ARGENTIERES")</f>
        <v>ARGENTIERES</v>
      </c>
      <c r="E36101" s="38" t="s">
        <v>244</v>
      </c>
      <c r="F36101" s="38" t="s">
        <v>245</v>
      </c>
      <c r="G36101" s="49" t="str">
        <f t="shared" si="1"/>
        <v>77390</v>
      </c>
      <c r="H36101" s="49">
        <f t="shared" si="2"/>
        <v>77007</v>
      </c>
    </row>
    <row r="36102">
      <c r="A36102" s="48" t="s">
        <v>7906</v>
      </c>
      <c r="B36102" s="38">
        <v>44034.0</v>
      </c>
      <c r="C36102" s="38" t="s">
        <v>27803</v>
      </c>
      <c r="D36102" s="38" t="str">
        <f>IFERROR(__xludf.DUMMYFUNCTION("REGEXREPLACE(C36102,""-\d+(.*)|--\d+(.*)"","""")"),"LA CHAPELLE-SAINT-SAUVEUR")</f>
        <v>LA CHAPELLE-SAINT-SAUVEUR</v>
      </c>
      <c r="E36102" s="38" t="s">
        <v>759</v>
      </c>
      <c r="F36102" s="38" t="s">
        <v>180</v>
      </c>
      <c r="G36102" s="49" t="str">
        <f t="shared" si="1"/>
        <v>44370</v>
      </c>
      <c r="H36102" s="49">
        <f t="shared" si="2"/>
        <v>44034</v>
      </c>
    </row>
    <row r="36103">
      <c r="A36103" s="48" t="s">
        <v>12159</v>
      </c>
      <c r="B36103" s="38" t="s">
        <v>40208</v>
      </c>
      <c r="C36103" s="38" t="s">
        <v>40209</v>
      </c>
      <c r="D36103" s="38" t="str">
        <f>IFERROR(__xludf.DUMMYFUNCTION("REGEXREPLACE(C36103,""-\d+(.*)|--\d+(.*)"","""")"),"SANTO-PIETRO-DI-VENACO")</f>
        <v>SANTO-PIETRO-DI-VENACO</v>
      </c>
      <c r="E36103" s="38" t="s">
        <v>743</v>
      </c>
      <c r="F36103" s="38" t="s">
        <v>607</v>
      </c>
      <c r="G36103" s="49" t="str">
        <f t="shared" si="1"/>
        <v>20250</v>
      </c>
      <c r="H36103" s="49" t="str">
        <f t="shared" si="2"/>
        <v>2B315</v>
      </c>
    </row>
    <row r="36104">
      <c r="A36104" s="48" t="s">
        <v>997</v>
      </c>
      <c r="B36104" s="38">
        <v>55344.0</v>
      </c>
      <c r="C36104" s="38" t="s">
        <v>40210</v>
      </c>
      <c r="D36104" s="38" t="str">
        <f>IFERROR(__xludf.DUMMYFUNCTION("REGEXREPLACE(C36104,""-\d+(.*)|--\d+(.*)"","""")"),"MONTBRAS")</f>
        <v>MONTBRAS</v>
      </c>
      <c r="E36104" s="38" t="s">
        <v>322</v>
      </c>
      <c r="F36104" s="38" t="s">
        <v>195</v>
      </c>
      <c r="G36104" s="49" t="str">
        <f t="shared" si="1"/>
        <v>55140</v>
      </c>
      <c r="H36104" s="49">
        <f t="shared" si="2"/>
        <v>55344</v>
      </c>
    </row>
    <row r="36105">
      <c r="A36105" s="48" t="s">
        <v>5596</v>
      </c>
      <c r="B36105" s="38">
        <v>25519.0</v>
      </c>
      <c r="C36105" s="38" t="s">
        <v>5910</v>
      </c>
      <c r="D36105" s="38" t="str">
        <f>IFERROR(__xludf.DUMMYFUNCTION("REGEXREPLACE(C36105,""-\d+(.*)|--\d+(.*)"","""")"),"SAINT-HIPPOLYTE")</f>
        <v>SAINT-HIPPOLYTE</v>
      </c>
      <c r="E36105" s="38" t="s">
        <v>213</v>
      </c>
      <c r="F36105" s="38" t="s">
        <v>214</v>
      </c>
      <c r="G36105" s="49" t="str">
        <f t="shared" si="1"/>
        <v>25190</v>
      </c>
      <c r="H36105" s="49">
        <f t="shared" si="2"/>
        <v>25519</v>
      </c>
    </row>
    <row r="36106">
      <c r="A36106" s="48" t="s">
        <v>317</v>
      </c>
      <c r="B36106" s="38">
        <v>74174.0</v>
      </c>
      <c r="C36106" s="38" t="s">
        <v>40211</v>
      </c>
      <c r="D36106" s="38" t="str">
        <f>IFERROR(__xludf.DUMMYFUNCTION("REGEXREPLACE(C36106,""-\d+(.*)|--\d+(.*)"","""")"),"MEGEVETTE")</f>
        <v>MEGEVETTE</v>
      </c>
      <c r="E36106" s="38" t="s">
        <v>319</v>
      </c>
      <c r="F36106" s="38" t="s">
        <v>102</v>
      </c>
      <c r="G36106" s="49" t="str">
        <f t="shared" si="1"/>
        <v>74490</v>
      </c>
      <c r="H36106" s="49">
        <f t="shared" si="2"/>
        <v>74174</v>
      </c>
    </row>
    <row r="36107">
      <c r="A36107" s="48" t="s">
        <v>539</v>
      </c>
      <c r="B36107" s="38">
        <v>95144.0</v>
      </c>
      <c r="C36107" s="38" t="s">
        <v>40212</v>
      </c>
      <c r="D36107" s="38" t="str">
        <f>IFERROR(__xludf.DUMMYFUNCTION("REGEXREPLACE(C36107,""-\d+(.*)|--\d+(.*)"","""")"),"CHATENAY-EN-FRANCE")</f>
        <v>CHATENAY-EN-FRANCE</v>
      </c>
      <c r="E36107" s="38" t="s">
        <v>541</v>
      </c>
      <c r="F36107" s="38" t="s">
        <v>245</v>
      </c>
      <c r="G36107" s="49" t="str">
        <f t="shared" si="1"/>
        <v>95190</v>
      </c>
      <c r="H36107" s="49">
        <f t="shared" si="2"/>
        <v>95144</v>
      </c>
    </row>
    <row r="36108">
      <c r="A36108" s="48" t="s">
        <v>7375</v>
      </c>
      <c r="B36108" s="38">
        <v>91198.0</v>
      </c>
      <c r="C36108" s="38" t="s">
        <v>40213</v>
      </c>
      <c r="D36108" s="38" t="str">
        <f>IFERROR(__xludf.DUMMYFUNCTION("REGEXREPLACE(C36108,""-\d+(.*)|--\d+(.*)"","""")"),"D'HUISON-LONGUEVILLE")</f>
        <v>D'HUISON-LONGUEVILLE</v>
      </c>
      <c r="E36108" s="38" t="s">
        <v>756</v>
      </c>
      <c r="F36108" s="38" t="s">
        <v>245</v>
      </c>
      <c r="G36108" s="49" t="str">
        <f t="shared" si="1"/>
        <v>91590</v>
      </c>
      <c r="H36108" s="49">
        <f t="shared" si="2"/>
        <v>91198</v>
      </c>
    </row>
    <row r="36109">
      <c r="A36109" s="48" t="s">
        <v>6674</v>
      </c>
      <c r="B36109" s="38">
        <v>27069.0</v>
      </c>
      <c r="C36109" s="38" t="s">
        <v>40214</v>
      </c>
      <c r="D36109" s="38" t="str">
        <f>IFERROR(__xludf.DUMMYFUNCTION("REGEXREPLACE(C36109,""-\d+(.*)|--\d+(.*)"","""")"),"BOIS-ARNAULT")</f>
        <v>BOIS-ARNAULT</v>
      </c>
      <c r="E36109" s="38" t="s">
        <v>241</v>
      </c>
      <c r="F36109" s="38" t="s">
        <v>134</v>
      </c>
      <c r="G36109" s="49" t="str">
        <f t="shared" si="1"/>
        <v>27250</v>
      </c>
      <c r="H36109" s="49">
        <f t="shared" si="2"/>
        <v>27069</v>
      </c>
    </row>
    <row r="36110">
      <c r="A36110" s="48" t="s">
        <v>3504</v>
      </c>
      <c r="B36110" s="38">
        <v>42119.0</v>
      </c>
      <c r="C36110" s="38" t="s">
        <v>40215</v>
      </c>
      <c r="D36110" s="38" t="str">
        <f>IFERROR(__xludf.DUMMYFUNCTION("REGEXREPLACE(C36110,""-\d+(.*)|--\d+(.*)"","""")"),"LEIGNEUX")</f>
        <v>LEIGNEUX</v>
      </c>
      <c r="E36110" s="38" t="s">
        <v>166</v>
      </c>
      <c r="F36110" s="38" t="s">
        <v>102</v>
      </c>
      <c r="G36110" s="49" t="str">
        <f t="shared" si="1"/>
        <v>42130</v>
      </c>
      <c r="H36110" s="49">
        <f t="shared" si="2"/>
        <v>42119</v>
      </c>
    </row>
    <row r="36111">
      <c r="A36111" s="48" t="s">
        <v>320</v>
      </c>
      <c r="B36111" s="38">
        <v>55081.0</v>
      </c>
      <c r="C36111" s="38" t="s">
        <v>40216</v>
      </c>
      <c r="D36111" s="38" t="str">
        <f>IFERROR(__xludf.DUMMYFUNCTION("REGEXREPLACE(C36111,""-\d+(.*)|--\d+(.*)"","""")"),"BRIZEAUX")</f>
        <v>BRIZEAUX</v>
      </c>
      <c r="E36111" s="38" t="s">
        <v>322</v>
      </c>
      <c r="F36111" s="38" t="s">
        <v>195</v>
      </c>
      <c r="G36111" s="49" t="str">
        <f t="shared" si="1"/>
        <v>55250</v>
      </c>
      <c r="H36111" s="49">
        <f t="shared" si="2"/>
        <v>55081</v>
      </c>
    </row>
    <row r="36112">
      <c r="A36112" s="48" t="s">
        <v>2905</v>
      </c>
      <c r="B36112" s="38">
        <v>21091.0</v>
      </c>
      <c r="C36112" s="38" t="s">
        <v>40217</v>
      </c>
      <c r="D36112" s="38" t="str">
        <f>IFERROR(__xludf.DUMMYFUNCTION("REGEXREPLACE(C36112,""-\d+(.*)|--\d+(.*)"","""")"),"BOUHEY")</f>
        <v>BOUHEY</v>
      </c>
      <c r="E36112" s="38" t="s">
        <v>105</v>
      </c>
      <c r="F36112" s="38" t="s">
        <v>106</v>
      </c>
      <c r="G36112" s="49" t="str">
        <f t="shared" si="1"/>
        <v>21360</v>
      </c>
      <c r="H36112" s="49">
        <f t="shared" si="2"/>
        <v>21091</v>
      </c>
    </row>
    <row r="36113">
      <c r="A36113" s="48" t="s">
        <v>9026</v>
      </c>
      <c r="B36113" s="38">
        <v>21639.0</v>
      </c>
      <c r="C36113" s="38" t="s">
        <v>40218</v>
      </c>
      <c r="D36113" s="38" t="str">
        <f>IFERROR(__xludf.DUMMYFUNCTION("REGEXREPLACE(C36113,""-\d+(.*)|--\d+(.*)"","""")"),"TILLENAY")</f>
        <v>TILLENAY</v>
      </c>
      <c r="E36113" s="38" t="s">
        <v>105</v>
      </c>
      <c r="F36113" s="38" t="s">
        <v>106</v>
      </c>
      <c r="G36113" s="49" t="str">
        <f t="shared" si="1"/>
        <v>21130</v>
      </c>
      <c r="H36113" s="49">
        <f t="shared" si="2"/>
        <v>21639</v>
      </c>
    </row>
    <row r="36114">
      <c r="A36114" s="48" t="s">
        <v>5045</v>
      </c>
      <c r="B36114" s="38">
        <v>24193.0</v>
      </c>
      <c r="C36114" s="38" t="s">
        <v>40219</v>
      </c>
      <c r="D36114" s="38" t="str">
        <f>IFERROR(__xludf.DUMMYFUNCTION("REGEXREPLACE(C36114,""-\d+(.*)|--\d+(.*)"","""")"),"GAGEAC-ET-ROUILLAC")</f>
        <v>GAGEAC-ET-ROUILLAC</v>
      </c>
      <c r="E36114" s="38" t="s">
        <v>261</v>
      </c>
      <c r="F36114" s="38" t="s">
        <v>252</v>
      </c>
      <c r="G36114" s="49" t="str">
        <f t="shared" si="1"/>
        <v>24240</v>
      </c>
      <c r="H36114" s="49">
        <f t="shared" si="2"/>
        <v>24193</v>
      </c>
    </row>
    <row r="36115">
      <c r="A36115" s="48" t="s">
        <v>40220</v>
      </c>
      <c r="B36115" s="38">
        <v>13024.0</v>
      </c>
      <c r="C36115" s="38" t="s">
        <v>10587</v>
      </c>
      <c r="D36115" s="38" t="str">
        <f>IFERROR(__xludf.DUMMYFUNCTION("REGEXREPLACE(C36115,""-\d+(.*)|--\d+(.*)"","""")"),"CHARLEVAL")</f>
        <v>CHARLEVAL</v>
      </c>
      <c r="E36115" s="38" t="s">
        <v>980</v>
      </c>
      <c r="F36115" s="38" t="s">
        <v>228</v>
      </c>
      <c r="G36115" s="49" t="str">
        <f t="shared" si="1"/>
        <v>13350</v>
      </c>
      <c r="H36115" s="49">
        <f t="shared" si="2"/>
        <v>13024</v>
      </c>
    </row>
    <row r="36116">
      <c r="A36116" s="48" t="s">
        <v>1792</v>
      </c>
      <c r="B36116" s="38">
        <v>1190.0</v>
      </c>
      <c r="C36116" s="38" t="s">
        <v>40221</v>
      </c>
      <c r="D36116" s="38" t="str">
        <f>IFERROR(__xludf.DUMMYFUNCTION("REGEXREPLACE(C36116,""-\d+(.*)|--\d+(.*)"","""")"),"INNIMOND")</f>
        <v>INNIMOND</v>
      </c>
      <c r="E36116" s="38" t="s">
        <v>255</v>
      </c>
      <c r="F36116" s="38" t="s">
        <v>102</v>
      </c>
      <c r="G36116" s="49" t="str">
        <f t="shared" si="1"/>
        <v>01680</v>
      </c>
      <c r="H36116" s="49" t="str">
        <f t="shared" si="2"/>
        <v>01190</v>
      </c>
    </row>
    <row r="36117">
      <c r="A36117" s="48" t="s">
        <v>12913</v>
      </c>
      <c r="B36117" s="38">
        <v>59633.0</v>
      </c>
      <c r="C36117" s="38" t="s">
        <v>40222</v>
      </c>
      <c r="D36117" s="38" t="str">
        <f>IFERROR(__xludf.DUMMYFUNCTION("REGEXREPLACE(C36117,""-\d+(.*)|--\d+(.*)"","""")"),"WALLERS-EN-FAGNE")</f>
        <v>WALLERS-EN-FAGNE</v>
      </c>
      <c r="E36117" s="38" t="s">
        <v>85</v>
      </c>
      <c r="F36117" s="38" t="s">
        <v>86</v>
      </c>
      <c r="G36117" s="49" t="str">
        <f t="shared" si="1"/>
        <v>59132</v>
      </c>
      <c r="H36117" s="49">
        <f t="shared" si="2"/>
        <v>59633</v>
      </c>
    </row>
    <row r="36118">
      <c r="A36118" s="48" t="s">
        <v>10324</v>
      </c>
      <c r="B36118" s="38">
        <v>54563.0</v>
      </c>
      <c r="C36118" s="38" t="s">
        <v>40223</v>
      </c>
      <c r="D36118" s="38" t="str">
        <f>IFERROR(__xludf.DUMMYFUNCTION("REGEXREPLACE(C36118,""-\d+(.*)|--\d+(.*)"","""")"),"VEZELISE")</f>
        <v>VEZELISE</v>
      </c>
      <c r="E36118" s="38" t="s">
        <v>548</v>
      </c>
      <c r="F36118" s="38" t="s">
        <v>195</v>
      </c>
      <c r="G36118" s="49" t="str">
        <f t="shared" si="1"/>
        <v>54330</v>
      </c>
      <c r="H36118" s="49">
        <f t="shared" si="2"/>
        <v>54563</v>
      </c>
    </row>
    <row r="36119">
      <c r="A36119" s="48" t="s">
        <v>3498</v>
      </c>
      <c r="B36119" s="38">
        <v>38564.0</v>
      </c>
      <c r="C36119" s="38" t="s">
        <v>40224</v>
      </c>
      <c r="D36119" s="38" t="str">
        <f>IFERROR(__xludf.DUMMYFUNCTION("REGEXREPLACE(C36119,""-\d+(.*)|--\d+(.*)"","""")"),"VOISSANT")</f>
        <v>VOISSANT</v>
      </c>
      <c r="E36119" s="38" t="s">
        <v>101</v>
      </c>
      <c r="F36119" s="38" t="s">
        <v>102</v>
      </c>
      <c r="G36119" s="49" t="str">
        <f t="shared" si="1"/>
        <v>38620</v>
      </c>
      <c r="H36119" s="49">
        <f t="shared" si="2"/>
        <v>38564</v>
      </c>
    </row>
    <row r="36120">
      <c r="A36120" s="48" t="s">
        <v>12761</v>
      </c>
      <c r="B36120" s="38">
        <v>36216.0</v>
      </c>
      <c r="C36120" s="38" t="s">
        <v>40225</v>
      </c>
      <c r="D36120" s="38" t="str">
        <f>IFERROR(__xludf.DUMMYFUNCTION("REGEXREPLACE(C36120,""-\d+(.*)|--\d+(.*)"","""")"),"SELLES-SUR-NAHON")</f>
        <v>SELLES-SUR-NAHON</v>
      </c>
      <c r="E36120" s="38" t="s">
        <v>258</v>
      </c>
      <c r="F36120" s="38" t="s">
        <v>123</v>
      </c>
      <c r="G36120" s="49" t="str">
        <f t="shared" si="1"/>
        <v>36180</v>
      </c>
      <c r="H36120" s="49">
        <f t="shared" si="2"/>
        <v>36216</v>
      </c>
    </row>
    <row r="36121">
      <c r="A36121" s="48" t="s">
        <v>5081</v>
      </c>
      <c r="B36121" s="38">
        <v>54413.0</v>
      </c>
      <c r="C36121" s="38" t="s">
        <v>40226</v>
      </c>
      <c r="D36121" s="38" t="str">
        <f>IFERROR(__xludf.DUMMYFUNCTION("REGEXREPLACE(C36121,""-\d+(.*)|--\d+(.*)"","""")"),"OZERAILLES")</f>
        <v>OZERAILLES</v>
      </c>
      <c r="E36121" s="38" t="s">
        <v>548</v>
      </c>
      <c r="F36121" s="38" t="s">
        <v>195</v>
      </c>
      <c r="G36121" s="49" t="str">
        <f t="shared" si="1"/>
        <v>54150</v>
      </c>
      <c r="H36121" s="49">
        <f t="shared" si="2"/>
        <v>54413</v>
      </c>
    </row>
    <row r="36122">
      <c r="A36122" s="48" t="s">
        <v>13699</v>
      </c>
      <c r="B36122" s="38">
        <v>22023.0</v>
      </c>
      <c r="C36122" s="38" t="s">
        <v>40227</v>
      </c>
      <c r="D36122" s="38" t="str">
        <f>IFERROR(__xludf.DUMMYFUNCTION("REGEXREPLACE(C36122,""-\d+(.*)|--\d+(.*)"","""")"),"BULAT-PESTIVIEN")</f>
        <v>BULAT-PESTIVIEN</v>
      </c>
      <c r="E36122" s="38" t="s">
        <v>89</v>
      </c>
      <c r="F36122" s="38" t="s">
        <v>90</v>
      </c>
      <c r="G36122" s="49" t="str">
        <f t="shared" si="1"/>
        <v>22160</v>
      </c>
      <c r="H36122" s="49">
        <f t="shared" si="2"/>
        <v>22023</v>
      </c>
    </row>
    <row r="36123">
      <c r="A36123" s="48" t="s">
        <v>1953</v>
      </c>
      <c r="B36123" s="38">
        <v>36053.0</v>
      </c>
      <c r="C36123" s="38" t="s">
        <v>40228</v>
      </c>
      <c r="D36123" s="38" t="str">
        <f>IFERROR(__xludf.DUMMYFUNCTION("REGEXREPLACE(C36123,""-\d+(.*)|--\d+(.*)"","""")"),"CIRON")</f>
        <v>CIRON</v>
      </c>
      <c r="E36123" s="38" t="s">
        <v>258</v>
      </c>
      <c r="F36123" s="38" t="s">
        <v>123</v>
      </c>
      <c r="G36123" s="49" t="str">
        <f t="shared" si="1"/>
        <v>36300</v>
      </c>
      <c r="H36123" s="49">
        <f t="shared" si="2"/>
        <v>36053</v>
      </c>
    </row>
    <row r="36124">
      <c r="A36124" s="48" t="s">
        <v>11661</v>
      </c>
      <c r="B36124" s="38">
        <v>13080.0</v>
      </c>
      <c r="C36124" s="38" t="s">
        <v>40229</v>
      </c>
      <c r="D36124" s="38" t="str">
        <f>IFERROR(__xludf.DUMMYFUNCTION("REGEXREPLACE(C36124,""-\d+(.*)|--\d+(.*)"","""")"),"LE PUY-SAINTE-REPARADE")</f>
        <v>LE PUY-SAINTE-REPARADE</v>
      </c>
      <c r="E36124" s="38" t="s">
        <v>980</v>
      </c>
      <c r="F36124" s="38" t="s">
        <v>228</v>
      </c>
      <c r="G36124" s="49" t="str">
        <f t="shared" si="1"/>
        <v>13610</v>
      </c>
      <c r="H36124" s="49">
        <f t="shared" si="2"/>
        <v>13080</v>
      </c>
    </row>
    <row r="36125">
      <c r="A36125" s="48" t="s">
        <v>445</v>
      </c>
      <c r="B36125" s="38">
        <v>76221.0</v>
      </c>
      <c r="C36125" s="38" t="s">
        <v>40230</v>
      </c>
      <c r="D36125" s="38" t="str">
        <f>IFERROR(__xludf.DUMMYFUNCTION("REGEXREPLACE(C36125,""-\d+(.*)|--\d+(.*)"","""")"),"DROSAY")</f>
        <v>DROSAY</v>
      </c>
      <c r="E36125" s="38" t="s">
        <v>133</v>
      </c>
      <c r="F36125" s="38" t="s">
        <v>134</v>
      </c>
      <c r="G36125" s="49" t="str">
        <f t="shared" si="1"/>
        <v>76460</v>
      </c>
      <c r="H36125" s="49">
        <f t="shared" si="2"/>
        <v>76221</v>
      </c>
    </row>
    <row r="36126">
      <c r="A36126" s="48" t="s">
        <v>9481</v>
      </c>
      <c r="B36126" s="38">
        <v>15238.0</v>
      </c>
      <c r="C36126" s="38" t="s">
        <v>38737</v>
      </c>
      <c r="D36126" s="38" t="str">
        <f>IFERROR(__xludf.DUMMYFUNCTION("REGEXREPLACE(C36126,""-\d+(.*)|--\d+(.*)"","""")"),"TOURNEMIRE")</f>
        <v>TOURNEMIRE</v>
      </c>
      <c r="E36126" s="38" t="s">
        <v>632</v>
      </c>
      <c r="F36126" s="38" t="s">
        <v>161</v>
      </c>
      <c r="G36126" s="49" t="str">
        <f t="shared" si="1"/>
        <v>15310</v>
      </c>
      <c r="H36126" s="49">
        <f t="shared" si="2"/>
        <v>15238</v>
      </c>
    </row>
    <row r="36127">
      <c r="A36127" s="48" t="s">
        <v>754</v>
      </c>
      <c r="B36127" s="38">
        <v>91035.0</v>
      </c>
      <c r="C36127" s="38" t="s">
        <v>40231</v>
      </c>
      <c r="D36127" s="38" t="str">
        <f>IFERROR(__xludf.DUMMYFUNCTION("REGEXREPLACE(C36127,""-\d+(.*)|--\d+(.*)"","""")"),"AUTHON-LA-PLAINE")</f>
        <v>AUTHON-LA-PLAINE</v>
      </c>
      <c r="E36127" s="38" t="s">
        <v>756</v>
      </c>
      <c r="F36127" s="38" t="s">
        <v>245</v>
      </c>
      <c r="G36127" s="49" t="str">
        <f t="shared" si="1"/>
        <v>91410</v>
      </c>
      <c r="H36127" s="49">
        <f t="shared" si="2"/>
        <v>91035</v>
      </c>
    </row>
    <row r="36128">
      <c r="A36128" s="48" t="s">
        <v>4853</v>
      </c>
      <c r="B36128" s="38">
        <v>32078.0</v>
      </c>
      <c r="C36128" s="38" t="s">
        <v>40232</v>
      </c>
      <c r="D36128" s="38" t="str">
        <f>IFERROR(__xludf.DUMMYFUNCTION("REGEXREPLACE(C36128,""-\d+(.*)|--\d+(.*)"","""")"),"CASTELNAU-D'ARBIEU")</f>
        <v>CASTELNAU-D'ARBIEU</v>
      </c>
      <c r="E36128" s="38" t="s">
        <v>440</v>
      </c>
      <c r="F36128" s="38" t="s">
        <v>94</v>
      </c>
      <c r="G36128" s="49" t="str">
        <f t="shared" si="1"/>
        <v>32500</v>
      </c>
      <c r="H36128" s="49">
        <f t="shared" si="2"/>
        <v>32078</v>
      </c>
    </row>
    <row r="36129">
      <c r="A36129" s="48" t="s">
        <v>17153</v>
      </c>
      <c r="B36129" s="38">
        <v>74058.0</v>
      </c>
      <c r="C36129" s="38" t="s">
        <v>40233</v>
      </c>
      <c r="D36129" s="38" t="str">
        <f>IFERROR(__xludf.DUMMYFUNCTION("REGEXREPLACE(C36129,""-\d+(.*)|--\d+(.*)"","""")"),"LA CHAPELLE-D'ABONDANCE")</f>
        <v>LA CHAPELLE-D'ABONDANCE</v>
      </c>
      <c r="E36129" s="38" t="s">
        <v>319</v>
      </c>
      <c r="F36129" s="38" t="s">
        <v>102</v>
      </c>
      <c r="G36129" s="49" t="str">
        <f t="shared" si="1"/>
        <v>74360</v>
      </c>
      <c r="H36129" s="49">
        <f t="shared" si="2"/>
        <v>74058</v>
      </c>
    </row>
    <row r="36130">
      <c r="A36130" s="48" t="s">
        <v>4917</v>
      </c>
      <c r="B36130" s="38">
        <v>76327.0</v>
      </c>
      <c r="C36130" s="38" t="s">
        <v>40234</v>
      </c>
      <c r="D36130" s="38" t="str">
        <f>IFERROR(__xludf.DUMMYFUNCTION("REGEXREPLACE(C36130,""-\d+(.*)|--\d+(.*)"","""")"),"GREUVILLE")</f>
        <v>GREUVILLE</v>
      </c>
      <c r="E36130" s="38" t="s">
        <v>133</v>
      </c>
      <c r="F36130" s="38" t="s">
        <v>134</v>
      </c>
      <c r="G36130" s="49" t="str">
        <f t="shared" si="1"/>
        <v>76810</v>
      </c>
      <c r="H36130" s="49">
        <f t="shared" si="2"/>
        <v>76327</v>
      </c>
    </row>
    <row r="36131">
      <c r="A36131" s="48" t="s">
        <v>4526</v>
      </c>
      <c r="B36131" s="38">
        <v>23265.0</v>
      </c>
      <c r="C36131" s="38" t="s">
        <v>33720</v>
      </c>
      <c r="D36131" s="38" t="str">
        <f>IFERROR(__xludf.DUMMYFUNCTION("REGEXREPLACE(C36131,""-\d+(.*)|--\d+(.*)"","""")"),"LA VILLENEUVE")</f>
        <v>LA VILLENEUVE</v>
      </c>
      <c r="E36131" s="38" t="s">
        <v>97</v>
      </c>
      <c r="F36131" s="38" t="s">
        <v>98</v>
      </c>
      <c r="G36131" s="49" t="str">
        <f t="shared" si="1"/>
        <v>23260</v>
      </c>
      <c r="H36131" s="49">
        <f t="shared" si="2"/>
        <v>23265</v>
      </c>
    </row>
    <row r="36132">
      <c r="A36132" s="48" t="s">
        <v>40235</v>
      </c>
      <c r="B36132" s="38">
        <v>6059.0</v>
      </c>
      <c r="C36132" s="38" t="s">
        <v>40236</v>
      </c>
      <c r="D36132" s="38" t="str">
        <f>IFERROR(__xludf.DUMMYFUNCTION("REGEXREPLACE(C36132,""-\d+(.*)|--\d+(.*)"","""")"),"EZE")</f>
        <v>EZE</v>
      </c>
      <c r="E36132" s="38" t="s">
        <v>227</v>
      </c>
      <c r="F36132" s="38" t="s">
        <v>228</v>
      </c>
      <c r="G36132" s="49" t="str">
        <f t="shared" si="1"/>
        <v>06360</v>
      </c>
      <c r="H36132" s="49" t="str">
        <f t="shared" si="2"/>
        <v>06059</v>
      </c>
    </row>
    <row r="36133">
      <c r="A36133" s="48" t="s">
        <v>5956</v>
      </c>
      <c r="B36133" s="38">
        <v>62691.0</v>
      </c>
      <c r="C36133" s="38" t="s">
        <v>40237</v>
      </c>
      <c r="D36133" s="38" t="str">
        <f>IFERROR(__xludf.DUMMYFUNCTION("REGEXREPLACE(C36133,""-\d+(.*)|--\d+(.*)"","""")"),"REBECQUES")</f>
        <v>REBECQUES</v>
      </c>
      <c r="E36133" s="38" t="s">
        <v>109</v>
      </c>
      <c r="F36133" s="38" t="s">
        <v>86</v>
      </c>
      <c r="G36133" s="49" t="str">
        <f t="shared" si="1"/>
        <v>62120</v>
      </c>
      <c r="H36133" s="49">
        <f t="shared" si="2"/>
        <v>62691</v>
      </c>
    </row>
    <row r="36134">
      <c r="A36134" s="48" t="s">
        <v>7144</v>
      </c>
      <c r="B36134" s="38">
        <v>76426.0</v>
      </c>
      <c r="C36134" s="38" t="s">
        <v>40238</v>
      </c>
      <c r="D36134" s="38" t="str">
        <f>IFERROR(__xludf.DUMMYFUNCTION("REGEXREPLACE(C36134,""-\d+(.*)|--\d+(.*)"","""")"),"MESANGUEVILLE")</f>
        <v>MESANGUEVILLE</v>
      </c>
      <c r="E36134" s="38" t="s">
        <v>133</v>
      </c>
      <c r="F36134" s="38" t="s">
        <v>134</v>
      </c>
      <c r="G36134" s="49" t="str">
        <f t="shared" si="1"/>
        <v>76780</v>
      </c>
      <c r="H36134" s="49">
        <f t="shared" si="2"/>
        <v>76426</v>
      </c>
    </row>
    <row r="36135">
      <c r="A36135" s="48" t="s">
        <v>9231</v>
      </c>
      <c r="B36135" s="38">
        <v>76707.0</v>
      </c>
      <c r="C36135" s="38" t="s">
        <v>40239</v>
      </c>
      <c r="D36135" s="38" t="str">
        <f>IFERROR(__xludf.DUMMYFUNCTION("REGEXREPLACE(C36135,""-\d+(.*)|--\d+(.*)"","""")"),"TOURVILLE-SUR-ARQUES")</f>
        <v>TOURVILLE-SUR-ARQUES</v>
      </c>
      <c r="E36135" s="38" t="s">
        <v>133</v>
      </c>
      <c r="F36135" s="38" t="s">
        <v>134</v>
      </c>
      <c r="G36135" s="49" t="str">
        <f t="shared" si="1"/>
        <v>76550</v>
      </c>
      <c r="H36135" s="49">
        <f t="shared" si="2"/>
        <v>76707</v>
      </c>
    </row>
    <row r="36136">
      <c r="A36136" s="48" t="s">
        <v>40240</v>
      </c>
      <c r="B36136" s="38">
        <v>91579.0</v>
      </c>
      <c r="C36136" s="38" t="s">
        <v>36594</v>
      </c>
      <c r="D36136" s="38" t="str">
        <f>IFERROR(__xludf.DUMMYFUNCTION("REGEXREPLACE(C36136,""-\d+(.*)|--\d+(.*)"","""")"),"SAINT-VRAIN")</f>
        <v>SAINT-VRAIN</v>
      </c>
      <c r="E36136" s="38" t="s">
        <v>756</v>
      </c>
      <c r="F36136" s="38" t="s">
        <v>245</v>
      </c>
      <c r="G36136" s="49" t="str">
        <f t="shared" si="1"/>
        <v>91770</v>
      </c>
      <c r="H36136" s="49">
        <f t="shared" si="2"/>
        <v>91579</v>
      </c>
    </row>
    <row r="36137">
      <c r="A36137" s="48" t="s">
        <v>1031</v>
      </c>
      <c r="B36137" s="38">
        <v>2047.0</v>
      </c>
      <c r="C36137" s="38" t="s">
        <v>40241</v>
      </c>
      <c r="D36137" s="38" t="str">
        <f>IFERROR(__xludf.DUMMYFUNCTION("REGEXREPLACE(C36137,""-\d+(.*)|--\d+(.*)"","""")"),"BARENTON-CEL")</f>
        <v>BARENTON-CEL</v>
      </c>
      <c r="E36137" s="38" t="s">
        <v>191</v>
      </c>
      <c r="F36137" s="38" t="s">
        <v>113</v>
      </c>
      <c r="G36137" s="49" t="str">
        <f t="shared" si="1"/>
        <v>02000</v>
      </c>
      <c r="H36137" s="49" t="str">
        <f t="shared" si="2"/>
        <v>02047</v>
      </c>
    </row>
    <row r="36138">
      <c r="A36138" s="48" t="s">
        <v>1435</v>
      </c>
      <c r="B36138" s="38">
        <v>14426.0</v>
      </c>
      <c r="C36138" s="38" t="s">
        <v>40242</v>
      </c>
      <c r="D36138" s="38" t="str">
        <f>IFERROR(__xludf.DUMMYFUNCTION("REGEXREPLACE(C36138,""-\d+(.*)|--\d+(.*)"","""")"),"LE MESNIL-SUR-BLANGY")</f>
        <v>LE MESNIL-SUR-BLANGY</v>
      </c>
      <c r="E36138" s="38" t="s">
        <v>137</v>
      </c>
      <c r="F36138" s="38" t="s">
        <v>138</v>
      </c>
      <c r="G36138" s="49" t="str">
        <f t="shared" si="1"/>
        <v>14130</v>
      </c>
      <c r="H36138" s="49">
        <f t="shared" si="2"/>
        <v>14426</v>
      </c>
    </row>
    <row r="36139">
      <c r="A36139" s="48" t="s">
        <v>443</v>
      </c>
      <c r="B36139" s="38">
        <v>24110.0</v>
      </c>
      <c r="C36139" s="38" t="s">
        <v>40243</v>
      </c>
      <c r="D36139" s="38" t="str">
        <f>IFERROR(__xludf.DUMMYFUNCTION("REGEXREPLACE(C36139,""-\d+(.*)|--\d+(.*)"","""")"),"LA CHAPELLE-MONTABOURLET")</f>
        <v>LA CHAPELLE-MONTABOURLET</v>
      </c>
      <c r="E36139" s="38" t="s">
        <v>261</v>
      </c>
      <c r="F36139" s="38" t="s">
        <v>252</v>
      </c>
      <c r="G36139" s="49" t="str">
        <f t="shared" si="1"/>
        <v>24320</v>
      </c>
      <c r="H36139" s="49">
        <f t="shared" si="2"/>
        <v>24110</v>
      </c>
    </row>
    <row r="36140">
      <c r="A36140" s="48" t="s">
        <v>2063</v>
      </c>
      <c r="B36140" s="38">
        <v>43252.0</v>
      </c>
      <c r="C36140" s="38" t="s">
        <v>40244</v>
      </c>
      <c r="D36140" s="38" t="str">
        <f>IFERROR(__xludf.DUMMYFUNCTION("REGEXREPLACE(C36140,""-\d+(.*)|--\d+(.*)"","""")"),"VARENNES-SAINT-HONORAT")</f>
        <v>VARENNES-SAINT-HONORAT</v>
      </c>
      <c r="E36140" s="38" t="s">
        <v>332</v>
      </c>
      <c r="F36140" s="38" t="s">
        <v>161</v>
      </c>
      <c r="G36140" s="49" t="str">
        <f t="shared" si="1"/>
        <v>43270</v>
      </c>
      <c r="H36140" s="49">
        <f t="shared" si="2"/>
        <v>43252</v>
      </c>
    </row>
    <row r="36141">
      <c r="A36141" s="48" t="s">
        <v>3266</v>
      </c>
      <c r="B36141" s="38">
        <v>55061.0</v>
      </c>
      <c r="C36141" s="38" t="s">
        <v>40245</v>
      </c>
      <c r="D36141" s="38" t="str">
        <f>IFERROR(__xludf.DUMMYFUNCTION("REGEXREPLACE(C36141,""-\d+(.*)|--\d+(.*)"","""")"),"LE BOUCHON-SUR-SAULX")</f>
        <v>LE BOUCHON-SUR-SAULX</v>
      </c>
      <c r="E36141" s="38" t="s">
        <v>322</v>
      </c>
      <c r="F36141" s="38" t="s">
        <v>195</v>
      </c>
      <c r="G36141" s="49" t="str">
        <f t="shared" si="1"/>
        <v>55500</v>
      </c>
      <c r="H36141" s="49">
        <f t="shared" si="2"/>
        <v>55061</v>
      </c>
    </row>
    <row r="36142">
      <c r="A36142" s="48" t="s">
        <v>5423</v>
      </c>
      <c r="B36142" s="38">
        <v>31180.0</v>
      </c>
      <c r="C36142" s="38" t="s">
        <v>40246</v>
      </c>
      <c r="D36142" s="38" t="str">
        <f>IFERROR(__xludf.DUMMYFUNCTION("REGEXREPLACE(C36142,""-\d+(.*)|--\d+(.*)"","""")"),"FALGA")</f>
        <v>FALGA</v>
      </c>
      <c r="E36142" s="38" t="s">
        <v>93</v>
      </c>
      <c r="F36142" s="38" t="s">
        <v>94</v>
      </c>
      <c r="G36142" s="49" t="str">
        <f t="shared" si="1"/>
        <v>31540</v>
      </c>
      <c r="H36142" s="49">
        <f t="shared" si="2"/>
        <v>31180</v>
      </c>
    </row>
    <row r="36143">
      <c r="A36143" s="48" t="s">
        <v>3022</v>
      </c>
      <c r="B36143" s="38">
        <v>14697.0</v>
      </c>
      <c r="C36143" s="38" t="s">
        <v>40247</v>
      </c>
      <c r="D36143" s="38" t="str">
        <f>IFERROR(__xludf.DUMMYFUNCTION("REGEXREPLACE(C36143,""-\d+(.*)|--\d+(.*)"","""")"),"L'OUDON")</f>
        <v>L'OUDON</v>
      </c>
      <c r="E36143" s="38" t="s">
        <v>137</v>
      </c>
      <c r="F36143" s="38" t="s">
        <v>138</v>
      </c>
      <c r="G36143" s="49" t="str">
        <f t="shared" si="1"/>
        <v>14170</v>
      </c>
      <c r="H36143" s="49">
        <f t="shared" si="2"/>
        <v>14697</v>
      </c>
    </row>
    <row r="36144">
      <c r="A36144" s="48" t="s">
        <v>11516</v>
      </c>
      <c r="B36144" s="38" t="s">
        <v>40248</v>
      </c>
      <c r="C36144" s="38" t="s">
        <v>40249</v>
      </c>
      <c r="D36144" s="38" t="str">
        <f>IFERROR(__xludf.DUMMYFUNCTION("REGEXREPLACE(C36144,""-\d+(.*)|--\d+(.*)"","""")"),"ZALANA")</f>
        <v>ZALANA</v>
      </c>
      <c r="E36144" s="38" t="s">
        <v>743</v>
      </c>
      <c r="F36144" s="38" t="s">
        <v>607</v>
      </c>
      <c r="G36144" s="49" t="str">
        <f t="shared" si="1"/>
        <v>20272</v>
      </c>
      <c r="H36144" s="49" t="str">
        <f t="shared" si="2"/>
        <v>2B356</v>
      </c>
    </row>
    <row r="36145">
      <c r="A36145" s="48" t="s">
        <v>2675</v>
      </c>
      <c r="B36145" s="38">
        <v>44120.0</v>
      </c>
      <c r="C36145" s="38" t="s">
        <v>40250</v>
      </c>
      <c r="D36145" s="38" t="str">
        <f>IFERROR(__xludf.DUMMYFUNCTION("REGEXREPLACE(C36145,""-\d+(.*)|--\d+(.*)"","""")"),"LE PELLERIN")</f>
        <v>LE PELLERIN</v>
      </c>
      <c r="E36145" s="38" t="s">
        <v>759</v>
      </c>
      <c r="F36145" s="38" t="s">
        <v>180</v>
      </c>
      <c r="G36145" s="49" t="str">
        <f t="shared" si="1"/>
        <v>44640</v>
      </c>
      <c r="H36145" s="49">
        <f t="shared" si="2"/>
        <v>44120</v>
      </c>
    </row>
    <row r="36146">
      <c r="A36146" s="48" t="s">
        <v>1286</v>
      </c>
      <c r="B36146" s="38">
        <v>47225.0</v>
      </c>
      <c r="C36146" s="38" t="s">
        <v>6788</v>
      </c>
      <c r="D36146" s="38" t="str">
        <f>IFERROR(__xludf.DUMMYFUNCTION("REGEXREPLACE(C36146,""-\d+(.*)|--\d+(.*)"","""")"),"ROQUEFORT")</f>
        <v>ROQUEFORT</v>
      </c>
      <c r="E36146" s="38" t="s">
        <v>251</v>
      </c>
      <c r="F36146" s="38" t="s">
        <v>252</v>
      </c>
      <c r="G36146" s="49" t="str">
        <f t="shared" si="1"/>
        <v>47310</v>
      </c>
      <c r="H36146" s="49">
        <f t="shared" si="2"/>
        <v>47225</v>
      </c>
    </row>
    <row r="36147">
      <c r="A36147" s="48" t="s">
        <v>1203</v>
      </c>
      <c r="B36147" s="38">
        <v>17421.0</v>
      </c>
      <c r="C36147" s="38" t="s">
        <v>40251</v>
      </c>
      <c r="D36147" s="38" t="str">
        <f>IFERROR(__xludf.DUMMYFUNCTION("REGEXREPLACE(C36147,""-\d+(.*)|--\d+(.*)"","""")"),"SAUJON")</f>
        <v>SAUJON</v>
      </c>
      <c r="E36147" s="38" t="s">
        <v>488</v>
      </c>
      <c r="F36147" s="38" t="s">
        <v>338</v>
      </c>
      <c r="G36147" s="49" t="str">
        <f t="shared" si="1"/>
        <v>17600</v>
      </c>
      <c r="H36147" s="49">
        <f t="shared" si="2"/>
        <v>17421</v>
      </c>
    </row>
    <row r="36148">
      <c r="A36148" s="48" t="s">
        <v>1792</v>
      </c>
      <c r="B36148" s="38">
        <v>1219.0</v>
      </c>
      <c r="C36148" s="38" t="s">
        <v>40252</v>
      </c>
      <c r="D36148" s="38" t="str">
        <f>IFERROR(__xludf.DUMMYFUNCTION("REGEXREPLACE(C36148,""-\d+(.*)|--\d+(.*)"","""")"),"LOMPNAS")</f>
        <v>LOMPNAS</v>
      </c>
      <c r="E36148" s="38" t="s">
        <v>255</v>
      </c>
      <c r="F36148" s="38" t="s">
        <v>102</v>
      </c>
      <c r="G36148" s="49" t="str">
        <f t="shared" si="1"/>
        <v>01680</v>
      </c>
      <c r="H36148" s="49" t="str">
        <f t="shared" si="2"/>
        <v>01219</v>
      </c>
    </row>
    <row r="36149">
      <c r="A36149" s="48" t="s">
        <v>4709</v>
      </c>
      <c r="B36149" s="38">
        <v>95462.0</v>
      </c>
      <c r="C36149" s="38" t="s">
        <v>40253</v>
      </c>
      <c r="D36149" s="38" t="str">
        <f>IFERROR(__xludf.DUMMYFUNCTION("REGEXREPLACE(C36149,""-\d+(.*)|--\d+(.*)"","""")"),"OMERVILLE")</f>
        <v>OMERVILLE</v>
      </c>
      <c r="E36149" s="38" t="s">
        <v>541</v>
      </c>
      <c r="F36149" s="38" t="s">
        <v>245</v>
      </c>
      <c r="G36149" s="49" t="str">
        <f t="shared" si="1"/>
        <v>95420</v>
      </c>
      <c r="H36149" s="49">
        <f t="shared" si="2"/>
        <v>95462</v>
      </c>
    </row>
    <row r="36150">
      <c r="A36150" s="48" t="s">
        <v>2266</v>
      </c>
      <c r="B36150" s="38">
        <v>55429.0</v>
      </c>
      <c r="C36150" s="38" t="s">
        <v>40254</v>
      </c>
      <c r="D36150" s="38" t="str">
        <f>IFERROR(__xludf.DUMMYFUNCTION("REGEXREPLACE(C36150,""-\d+(.*)|--\d+(.*)"","""")"),"RIAVILLE")</f>
        <v>RIAVILLE</v>
      </c>
      <c r="E36150" s="38" t="s">
        <v>322</v>
      </c>
      <c r="F36150" s="38" t="s">
        <v>195</v>
      </c>
      <c r="G36150" s="49" t="str">
        <f t="shared" si="1"/>
        <v>55160</v>
      </c>
      <c r="H36150" s="49">
        <f t="shared" si="2"/>
        <v>55429</v>
      </c>
    </row>
    <row r="36151">
      <c r="A36151" s="48" t="s">
        <v>883</v>
      </c>
      <c r="B36151" s="38">
        <v>71544.0</v>
      </c>
      <c r="C36151" s="38" t="s">
        <v>40255</v>
      </c>
      <c r="D36151" s="38" t="str">
        <f>IFERROR(__xludf.DUMMYFUNCTION("REGEXREPLACE(C36151,""-\d+(.*)|--\d+(.*)"","""")"),"TOUTENANT")</f>
        <v>TOUTENANT</v>
      </c>
      <c r="E36151" s="38" t="s">
        <v>344</v>
      </c>
      <c r="F36151" s="38" t="s">
        <v>106</v>
      </c>
      <c r="G36151" s="49" t="str">
        <f t="shared" si="1"/>
        <v>71350</v>
      </c>
      <c r="H36151" s="49">
        <f t="shared" si="2"/>
        <v>71544</v>
      </c>
    </row>
    <row r="36152">
      <c r="A36152" s="48" t="s">
        <v>1585</v>
      </c>
      <c r="B36152" s="38">
        <v>12262.0</v>
      </c>
      <c r="C36152" s="38" t="s">
        <v>40256</v>
      </c>
      <c r="D36152" s="38" t="str">
        <f>IFERROR(__xludf.DUMMYFUNCTION("REGEXREPLACE(C36152,""-\d+(.*)|--\d+(.*)"","""")"),"SAUVETERRE-DE-ROUERGUE")</f>
        <v>SAUVETERRE-DE-ROUERGUE</v>
      </c>
      <c r="E36152" s="38" t="s">
        <v>465</v>
      </c>
      <c r="F36152" s="38" t="s">
        <v>94</v>
      </c>
      <c r="G36152" s="49" t="str">
        <f t="shared" si="1"/>
        <v>12800</v>
      </c>
      <c r="H36152" s="49">
        <f t="shared" si="2"/>
        <v>12262</v>
      </c>
    </row>
    <row r="36153">
      <c r="A36153" s="48" t="s">
        <v>40257</v>
      </c>
      <c r="B36153" s="38">
        <v>65433.0</v>
      </c>
      <c r="C36153" s="38" t="s">
        <v>24757</v>
      </c>
      <c r="D36153" s="38" t="str">
        <f>IFERROR(__xludf.DUMMYFUNCTION("REGEXREPLACE(C36153,""-\d+(.*)|--\d+(.*)"","""")"),"SOUES")</f>
        <v>SOUES</v>
      </c>
      <c r="E36153" s="38" t="s">
        <v>200</v>
      </c>
      <c r="F36153" s="38" t="s">
        <v>94</v>
      </c>
      <c r="G36153" s="49" t="str">
        <f t="shared" si="1"/>
        <v>65430</v>
      </c>
      <c r="H36153" s="49">
        <f t="shared" si="2"/>
        <v>65433</v>
      </c>
    </row>
    <row r="36154">
      <c r="A36154" s="48" t="s">
        <v>2330</v>
      </c>
      <c r="B36154" s="38">
        <v>65428.0</v>
      </c>
      <c r="C36154" s="38" t="s">
        <v>40258</v>
      </c>
      <c r="D36154" s="38" t="str">
        <f>IFERROR(__xludf.DUMMYFUNCTION("REGEXREPLACE(C36154,""-\d+(.*)|--\d+(.*)"","""")"),"SIREIX")</f>
        <v>SIREIX</v>
      </c>
      <c r="E36154" s="38" t="s">
        <v>200</v>
      </c>
      <c r="F36154" s="38" t="s">
        <v>94</v>
      </c>
      <c r="G36154" s="49" t="str">
        <f t="shared" si="1"/>
        <v>65400</v>
      </c>
      <c r="H36154" s="49">
        <f t="shared" si="2"/>
        <v>65428</v>
      </c>
    </row>
    <row r="36155">
      <c r="A36155" s="48" t="s">
        <v>948</v>
      </c>
      <c r="B36155" s="38">
        <v>68378.0</v>
      </c>
      <c r="C36155" s="38" t="s">
        <v>40259</v>
      </c>
      <c r="D36155" s="38" t="str">
        <f>IFERROR(__xludf.DUMMYFUNCTION("REGEXREPLACE(C36155,""-\d+(.*)|--\d+(.*)"","""")"),"WOLFERSDORF")</f>
        <v>WOLFERSDORF</v>
      </c>
      <c r="E36155" s="38" t="s">
        <v>150</v>
      </c>
      <c r="F36155" s="38" t="s">
        <v>151</v>
      </c>
      <c r="G36155" s="49" t="str">
        <f t="shared" si="1"/>
        <v>68210</v>
      </c>
      <c r="H36155" s="49">
        <f t="shared" si="2"/>
        <v>68378</v>
      </c>
    </row>
    <row r="36156">
      <c r="A36156" s="48" t="s">
        <v>5759</v>
      </c>
      <c r="B36156" s="38">
        <v>59573.0</v>
      </c>
      <c r="C36156" s="38" t="s">
        <v>40260</v>
      </c>
      <c r="D36156" s="38" t="str">
        <f>IFERROR(__xludf.DUMMYFUNCTION("REGEXREPLACE(C36156,""-\d+(.*)|--\d+(.*)"","""")"),"SOLRINNES")</f>
        <v>SOLRINNES</v>
      </c>
      <c r="E36156" s="38" t="s">
        <v>85</v>
      </c>
      <c r="F36156" s="38" t="s">
        <v>86</v>
      </c>
      <c r="G36156" s="49" t="str">
        <f t="shared" si="1"/>
        <v>59740</v>
      </c>
      <c r="H36156" s="49">
        <f t="shared" si="2"/>
        <v>59573</v>
      </c>
    </row>
    <row r="36157">
      <c r="A36157" s="48" t="s">
        <v>2320</v>
      </c>
      <c r="B36157" s="38">
        <v>74269.0</v>
      </c>
      <c r="C36157" s="38" t="s">
        <v>30362</v>
      </c>
      <c r="D36157" s="38" t="str">
        <f>IFERROR(__xludf.DUMMYFUNCTION("REGEXREPLACE(C36157,""-\d+(.*)|--\d+(.*)"","""")"),"SEYSSEL")</f>
        <v>SEYSSEL</v>
      </c>
      <c r="E36157" s="38" t="s">
        <v>319</v>
      </c>
      <c r="F36157" s="38" t="s">
        <v>102</v>
      </c>
      <c r="G36157" s="49" t="str">
        <f t="shared" si="1"/>
        <v>74910</v>
      </c>
      <c r="H36157" s="49">
        <f t="shared" si="2"/>
        <v>74269</v>
      </c>
    </row>
    <row r="36158">
      <c r="A36158" s="48" t="s">
        <v>542</v>
      </c>
      <c r="B36158" s="38">
        <v>50434.0</v>
      </c>
      <c r="C36158" s="38" t="s">
        <v>40261</v>
      </c>
      <c r="D36158" s="38" t="str">
        <f>IFERROR(__xludf.DUMMYFUNCTION("REGEXREPLACE(C36158,""-\d+(.*)|--\d+(.*)"","""")"),"LA ROCHELLE-NORMANDE")</f>
        <v>LA ROCHELLE-NORMANDE</v>
      </c>
      <c r="E36158" s="38" t="s">
        <v>157</v>
      </c>
      <c r="F36158" s="38" t="s">
        <v>138</v>
      </c>
      <c r="G36158" s="49" t="str">
        <f t="shared" si="1"/>
        <v>50530</v>
      </c>
      <c r="H36158" s="49">
        <f t="shared" si="2"/>
        <v>50434</v>
      </c>
    </row>
    <row r="36159">
      <c r="A36159" s="48" t="s">
        <v>10253</v>
      </c>
      <c r="B36159" s="38">
        <v>48038.0</v>
      </c>
      <c r="C36159" s="38" t="s">
        <v>40262</v>
      </c>
      <c r="D36159" s="38" t="str">
        <f>IFERROR(__xludf.DUMMYFUNCTION("REGEXREPLACE(C36159,""-\d+(.*)|--\d+(.*)"","""")"),"CHAMBON-LE-CHATEAU")</f>
        <v>CHAMBON-LE-CHATEAU</v>
      </c>
      <c r="E36159" s="38" t="s">
        <v>154</v>
      </c>
      <c r="F36159" s="38" t="s">
        <v>119</v>
      </c>
      <c r="G36159" s="49" t="str">
        <f t="shared" si="1"/>
        <v>48600</v>
      </c>
      <c r="H36159" s="49">
        <f t="shared" si="2"/>
        <v>48038</v>
      </c>
    </row>
    <row r="36160">
      <c r="A36160" s="48" t="s">
        <v>6121</v>
      </c>
      <c r="B36160" s="38">
        <v>51242.0</v>
      </c>
      <c r="C36160" s="38" t="s">
        <v>40263</v>
      </c>
      <c r="D36160" s="38" t="str">
        <f>IFERROR(__xludf.DUMMYFUNCTION("REGEXREPLACE(C36160,""-\d+(.*)|--\d+(.*)"","""")"),"FAGNIERES")</f>
        <v>FAGNIERES</v>
      </c>
      <c r="E36160" s="38" t="s">
        <v>129</v>
      </c>
      <c r="F36160" s="38" t="s">
        <v>130</v>
      </c>
      <c r="G36160" s="49" t="str">
        <f t="shared" si="1"/>
        <v>51510</v>
      </c>
      <c r="H36160" s="49">
        <f t="shared" si="2"/>
        <v>51242</v>
      </c>
    </row>
    <row r="36161">
      <c r="A36161" s="48" t="s">
        <v>5030</v>
      </c>
      <c r="B36161" s="38">
        <v>65198.0</v>
      </c>
      <c r="C36161" s="38" t="s">
        <v>40264</v>
      </c>
      <c r="D36161" s="38" t="str">
        <f>IFERROR(__xludf.DUMMYFUNCTION("REGEXREPLACE(C36161,""-\d+(.*)|--\d+(.*)"","""")"),"GERDE")</f>
        <v>GERDE</v>
      </c>
      <c r="E36161" s="38" t="s">
        <v>200</v>
      </c>
      <c r="F36161" s="38" t="s">
        <v>94</v>
      </c>
      <c r="G36161" s="49" t="str">
        <f t="shared" si="1"/>
        <v>65200</v>
      </c>
      <c r="H36161" s="49">
        <f t="shared" si="2"/>
        <v>65198</v>
      </c>
    </row>
    <row r="36162">
      <c r="A36162" s="48" t="s">
        <v>304</v>
      </c>
      <c r="B36162" s="38">
        <v>73180.0</v>
      </c>
      <c r="C36162" s="38" t="s">
        <v>40265</v>
      </c>
      <c r="D36162" s="38" t="str">
        <f>IFERROR(__xludf.DUMMYFUNCTION("REGEXREPLACE(C36162,""-\d+(.*)|--\d+(.*)"","""")"),"MOTZ")</f>
        <v>MOTZ</v>
      </c>
      <c r="E36162" s="38" t="s">
        <v>306</v>
      </c>
      <c r="F36162" s="38" t="s">
        <v>102</v>
      </c>
      <c r="G36162" s="49" t="str">
        <f t="shared" si="1"/>
        <v>73310</v>
      </c>
      <c r="H36162" s="49">
        <f t="shared" si="2"/>
        <v>73180</v>
      </c>
    </row>
    <row r="36163">
      <c r="A36163" s="48" t="s">
        <v>3120</v>
      </c>
      <c r="B36163" s="38">
        <v>10234.0</v>
      </c>
      <c r="C36163" s="38" t="s">
        <v>40266</v>
      </c>
      <c r="D36163" s="38" t="str">
        <f>IFERROR(__xludf.DUMMYFUNCTION("REGEXREPLACE(C36163,""-\d+(.*)|--\d+(.*)"","""")"),"MESGRIGNY")</f>
        <v>MESGRIGNY</v>
      </c>
      <c r="E36163" s="38" t="s">
        <v>147</v>
      </c>
      <c r="F36163" s="38" t="s">
        <v>130</v>
      </c>
      <c r="G36163" s="49" t="str">
        <f t="shared" si="1"/>
        <v>10170</v>
      </c>
      <c r="H36163" s="49">
        <f t="shared" si="2"/>
        <v>10234</v>
      </c>
    </row>
    <row r="36164">
      <c r="A36164" s="48" t="s">
        <v>425</v>
      </c>
      <c r="B36164" s="38">
        <v>88348.0</v>
      </c>
      <c r="C36164" s="38" t="s">
        <v>40267</v>
      </c>
      <c r="D36164" s="38" t="str">
        <f>IFERROR(__xludf.DUMMYFUNCTION("REGEXREPLACE(C36164,""-\d+(.*)|--\d+(.*)"","""")"),"PIERREPONT-SUR-L'ARENTELE")</f>
        <v>PIERREPONT-SUR-L'ARENTELE</v>
      </c>
      <c r="E36164" s="38" t="s">
        <v>194</v>
      </c>
      <c r="F36164" s="38" t="s">
        <v>195</v>
      </c>
      <c r="G36164" s="49" t="str">
        <f t="shared" si="1"/>
        <v>88600</v>
      </c>
      <c r="H36164" s="49">
        <f t="shared" si="2"/>
        <v>88348</v>
      </c>
    </row>
    <row r="36165">
      <c r="A36165" s="48" t="s">
        <v>940</v>
      </c>
      <c r="B36165" s="38">
        <v>51464.0</v>
      </c>
      <c r="C36165" s="38" t="s">
        <v>3380</v>
      </c>
      <c r="D36165" s="38" t="str">
        <f>IFERROR(__xludf.DUMMYFUNCTION("REGEXREPLACE(C36165,""-\d+(.*)|--\d+(.*)"","""")"),"ROMAIN")</f>
        <v>ROMAIN</v>
      </c>
      <c r="E36165" s="38" t="s">
        <v>129</v>
      </c>
      <c r="F36165" s="38" t="s">
        <v>130</v>
      </c>
      <c r="G36165" s="49" t="str">
        <f t="shared" si="1"/>
        <v>51140</v>
      </c>
      <c r="H36165" s="49">
        <f t="shared" si="2"/>
        <v>51464</v>
      </c>
    </row>
    <row r="36166">
      <c r="A36166" s="48" t="s">
        <v>18675</v>
      </c>
      <c r="B36166" s="38">
        <v>19165.0</v>
      </c>
      <c r="C36166" s="38" t="s">
        <v>40268</v>
      </c>
      <c r="D36166" s="38" t="str">
        <f>IFERROR(__xludf.DUMMYFUNCTION("REGEXREPLACE(C36166,""-\d+(.*)|--\d+(.*)"","""")"),"PEYRISSAC")</f>
        <v>PEYRISSAC</v>
      </c>
      <c r="E36166" s="38" t="s">
        <v>271</v>
      </c>
      <c r="F36166" s="38" t="s">
        <v>98</v>
      </c>
      <c r="G36166" s="49" t="str">
        <f t="shared" si="1"/>
        <v>19260</v>
      </c>
      <c r="H36166" s="49">
        <f t="shared" si="2"/>
        <v>19165</v>
      </c>
    </row>
    <row r="36167">
      <c r="A36167" s="48" t="s">
        <v>6301</v>
      </c>
      <c r="B36167" s="38">
        <v>81072.0</v>
      </c>
      <c r="C36167" s="38" t="s">
        <v>23639</v>
      </c>
      <c r="D36167" s="38" t="str">
        <f>IFERROR(__xludf.DUMMYFUNCTION("REGEXREPLACE(C36167,""-\d+(.*)|--\d+(.*)"","""")"),"CRESPIN")</f>
        <v>CRESPIN</v>
      </c>
      <c r="E36167" s="38" t="s">
        <v>231</v>
      </c>
      <c r="F36167" s="38" t="s">
        <v>94</v>
      </c>
      <c r="G36167" s="49" t="str">
        <f t="shared" si="1"/>
        <v>81350</v>
      </c>
      <c r="H36167" s="49">
        <f t="shared" si="2"/>
        <v>81072</v>
      </c>
    </row>
    <row r="36168">
      <c r="A36168" s="48" t="s">
        <v>279</v>
      </c>
      <c r="B36168" s="38">
        <v>40081.0</v>
      </c>
      <c r="C36168" s="38" t="s">
        <v>40269</v>
      </c>
      <c r="D36168" s="38" t="str">
        <f>IFERROR(__xludf.DUMMYFUNCTION("REGEXREPLACE(C36168,""-\d+(.*)|--\d+(.*)"","""")"),"CERE")</f>
        <v>CERE</v>
      </c>
      <c r="E36168" s="38" t="s">
        <v>281</v>
      </c>
      <c r="F36168" s="38" t="s">
        <v>252</v>
      </c>
      <c r="G36168" s="49" t="str">
        <f t="shared" si="1"/>
        <v>40090</v>
      </c>
      <c r="H36168" s="49">
        <f t="shared" si="2"/>
        <v>40081</v>
      </c>
    </row>
    <row r="36169">
      <c r="A36169" s="48" t="s">
        <v>2312</v>
      </c>
      <c r="B36169" s="38">
        <v>67352.0</v>
      </c>
      <c r="C36169" s="38" t="s">
        <v>40270</v>
      </c>
      <c r="D36169" s="38" t="str">
        <f>IFERROR(__xludf.DUMMYFUNCTION("REGEXREPLACE(C36169,""-\d+(.*)|--\d+(.*)"","""")"),"OBERSOULTZBACH")</f>
        <v>OBERSOULTZBACH</v>
      </c>
      <c r="E36169" s="38" t="s">
        <v>210</v>
      </c>
      <c r="F36169" s="38" t="s">
        <v>151</v>
      </c>
      <c r="G36169" s="49" t="str">
        <f t="shared" si="1"/>
        <v>67330</v>
      </c>
      <c r="H36169" s="49">
        <f t="shared" si="2"/>
        <v>67352</v>
      </c>
    </row>
    <row r="36170">
      <c r="A36170" s="48" t="s">
        <v>2924</v>
      </c>
      <c r="B36170" s="38">
        <v>8150.0</v>
      </c>
      <c r="C36170" s="38" t="s">
        <v>40271</v>
      </c>
      <c r="D36170" s="38" t="str">
        <f>IFERROR(__xludf.DUMMYFUNCTION("REGEXREPLACE(C36170,""-\d+(.*)|--\d+(.*)"","""")"),"ECLY")</f>
        <v>ECLY</v>
      </c>
      <c r="E36170" s="38" t="s">
        <v>327</v>
      </c>
      <c r="F36170" s="38" t="s">
        <v>130</v>
      </c>
      <c r="G36170" s="49" t="str">
        <f t="shared" si="1"/>
        <v>08300</v>
      </c>
      <c r="H36170" s="49" t="str">
        <f t="shared" si="2"/>
        <v>08150</v>
      </c>
    </row>
    <row r="36171">
      <c r="A36171" s="48" t="s">
        <v>1174</v>
      </c>
      <c r="B36171" s="38">
        <v>51602.0</v>
      </c>
      <c r="C36171" s="38" t="s">
        <v>40272</v>
      </c>
      <c r="D36171" s="38" t="str">
        <f>IFERROR(__xludf.DUMMYFUNCTION("REGEXREPLACE(C36171,""-\d+(.*)|--\d+(.*)"","""")"),"VAVRAY-LE-PETIT")</f>
        <v>VAVRAY-LE-PETIT</v>
      </c>
      <c r="E36171" s="38" t="s">
        <v>129</v>
      </c>
      <c r="F36171" s="38" t="s">
        <v>130</v>
      </c>
      <c r="G36171" s="49" t="str">
        <f t="shared" si="1"/>
        <v>51300</v>
      </c>
      <c r="H36171" s="49">
        <f t="shared" si="2"/>
        <v>51602</v>
      </c>
    </row>
    <row r="36172">
      <c r="A36172" s="48" t="s">
        <v>40273</v>
      </c>
      <c r="B36172" s="38">
        <v>79081.0</v>
      </c>
      <c r="C36172" s="38" t="s">
        <v>40274</v>
      </c>
      <c r="D36172" s="38" t="str">
        <f>IFERROR(__xludf.DUMMYFUNCTION("REGEXREPLACE(C36172,""-\d+(.*)|--\d+(.*)"","""")"),"CHAURAY")</f>
        <v>CHAURAY</v>
      </c>
      <c r="E36172" s="38" t="s">
        <v>337</v>
      </c>
      <c r="F36172" s="38" t="s">
        <v>338</v>
      </c>
      <c r="G36172" s="49" t="str">
        <f t="shared" si="1"/>
        <v>79180</v>
      </c>
      <c r="H36172" s="49">
        <f t="shared" si="2"/>
        <v>79081</v>
      </c>
    </row>
    <row r="36173">
      <c r="A36173" s="48" t="s">
        <v>4142</v>
      </c>
      <c r="B36173" s="38">
        <v>16125.0</v>
      </c>
      <c r="C36173" s="38" t="s">
        <v>40275</v>
      </c>
      <c r="D36173" s="38" t="str">
        <f>IFERROR(__xludf.DUMMYFUNCTION("REGEXREPLACE(C36173,""-\d+(.*)|--\d+(.*)"","""")"),"EDON")</f>
        <v>EDON</v>
      </c>
      <c r="E36173" s="38" t="s">
        <v>429</v>
      </c>
      <c r="F36173" s="38" t="s">
        <v>338</v>
      </c>
      <c r="G36173" s="49" t="str">
        <f t="shared" si="1"/>
        <v>16320</v>
      </c>
      <c r="H36173" s="49">
        <f t="shared" si="2"/>
        <v>16125</v>
      </c>
    </row>
    <row r="36174">
      <c r="A36174" s="48" t="s">
        <v>2103</v>
      </c>
      <c r="B36174" s="38">
        <v>54281.0</v>
      </c>
      <c r="C36174" s="38" t="s">
        <v>40276</v>
      </c>
      <c r="D36174" s="38" t="str">
        <f>IFERROR(__xludf.DUMMYFUNCTION("REGEXREPLACE(C36174,""-\d+(.*)|--\d+(.*)"","""")"),"JOLIVET")</f>
        <v>JOLIVET</v>
      </c>
      <c r="E36174" s="38" t="s">
        <v>548</v>
      </c>
      <c r="F36174" s="38" t="s">
        <v>195</v>
      </c>
      <c r="G36174" s="49" t="str">
        <f t="shared" si="1"/>
        <v>54300</v>
      </c>
      <c r="H36174" s="49">
        <f t="shared" si="2"/>
        <v>54281</v>
      </c>
    </row>
    <row r="36175">
      <c r="A36175" s="48" t="s">
        <v>276</v>
      </c>
      <c r="B36175" s="38">
        <v>11047.0</v>
      </c>
      <c r="C36175" s="38" t="s">
        <v>40277</v>
      </c>
      <c r="D36175" s="38" t="str">
        <f>IFERROR(__xludf.DUMMYFUNCTION("REGEXREPLACE(C36175,""-\d+(.*)|--\d+(.*)"","""")"),"LE BOUSQUET")</f>
        <v>LE BOUSQUET</v>
      </c>
      <c r="E36175" s="38" t="s">
        <v>278</v>
      </c>
      <c r="F36175" s="38" t="s">
        <v>119</v>
      </c>
      <c r="G36175" s="49" t="str">
        <f t="shared" si="1"/>
        <v>11140</v>
      </c>
      <c r="H36175" s="49">
        <f t="shared" si="2"/>
        <v>11047</v>
      </c>
    </row>
    <row r="36176">
      <c r="A36176" s="48" t="s">
        <v>8019</v>
      </c>
      <c r="B36176" s="38">
        <v>53203.0</v>
      </c>
      <c r="C36176" s="38" t="s">
        <v>6811</v>
      </c>
      <c r="D36176" s="38" t="str">
        <f>IFERROR(__xludf.DUMMYFUNCTION("REGEXREPLACE(C36176,""-\d+(.*)|--\d+(.*)"","""")"),"SAINT-BRICE")</f>
        <v>SAINT-BRICE</v>
      </c>
      <c r="E36176" s="38" t="s">
        <v>518</v>
      </c>
      <c r="F36176" s="38" t="s">
        <v>180</v>
      </c>
      <c r="G36176" s="49" t="str">
        <f t="shared" si="1"/>
        <v>53290</v>
      </c>
      <c r="H36176" s="49">
        <f t="shared" si="2"/>
        <v>53203</v>
      </c>
    </row>
    <row r="36177">
      <c r="A36177" s="48" t="s">
        <v>7645</v>
      </c>
      <c r="B36177" s="38">
        <v>34269.0</v>
      </c>
      <c r="C36177" s="38" t="s">
        <v>40278</v>
      </c>
      <c r="D36177" s="38" t="str">
        <f>IFERROR(__xludf.DUMMYFUNCTION("REGEXREPLACE(C36177,""-\d+(.*)|--\d+(.*)"","""")"),"SAINT-JEAN-DE-MINERVOIS")</f>
        <v>SAINT-JEAN-DE-MINERVOIS</v>
      </c>
      <c r="E36177" s="38" t="s">
        <v>118</v>
      </c>
      <c r="F36177" s="38" t="s">
        <v>119</v>
      </c>
      <c r="G36177" s="49" t="str">
        <f t="shared" si="1"/>
        <v>34360</v>
      </c>
      <c r="H36177" s="49">
        <f t="shared" si="2"/>
        <v>34269</v>
      </c>
    </row>
    <row r="36178">
      <c r="A36178" s="48" t="s">
        <v>18544</v>
      </c>
      <c r="B36178" s="38">
        <v>44048.0</v>
      </c>
      <c r="C36178" s="38" t="s">
        <v>40279</v>
      </c>
      <c r="D36178" s="38" t="str">
        <f>IFERROR(__xludf.DUMMYFUNCTION("REGEXREPLACE(C36178,""-\d+(.*)|--\d+(.*)"","""")"),"COUFFE")</f>
        <v>COUFFE</v>
      </c>
      <c r="E36178" s="38" t="s">
        <v>759</v>
      </c>
      <c r="F36178" s="38" t="s">
        <v>180</v>
      </c>
      <c r="G36178" s="49" t="str">
        <f t="shared" si="1"/>
        <v>44521</v>
      </c>
      <c r="H36178" s="49">
        <f t="shared" si="2"/>
        <v>44048</v>
      </c>
    </row>
    <row r="36179">
      <c r="A36179" s="48" t="s">
        <v>2783</v>
      </c>
      <c r="B36179" s="38">
        <v>31012.0</v>
      </c>
      <c r="C36179" s="38" t="s">
        <v>40280</v>
      </c>
      <c r="D36179" s="38" t="str">
        <f>IFERROR(__xludf.DUMMYFUNCTION("REGEXREPLACE(C36179,""-\d+(.*)|--\d+(.*)"","""")"),"ARBON")</f>
        <v>ARBON</v>
      </c>
      <c r="E36179" s="38" t="s">
        <v>93</v>
      </c>
      <c r="F36179" s="38" t="s">
        <v>94</v>
      </c>
      <c r="G36179" s="49" t="str">
        <f t="shared" si="1"/>
        <v>31160</v>
      </c>
      <c r="H36179" s="49">
        <f t="shared" si="2"/>
        <v>31012</v>
      </c>
    </row>
    <row r="36180">
      <c r="A36180" s="48" t="s">
        <v>576</v>
      </c>
      <c r="B36180" s="38">
        <v>54124.0</v>
      </c>
      <c r="C36180" s="38" t="s">
        <v>40281</v>
      </c>
      <c r="D36180" s="38" t="str">
        <f>IFERROR(__xludf.DUMMYFUNCTION("REGEXREPLACE(C36180,""-\d+(.*)|--\d+(.*)"","""")"),"CHAZELLES-SUR-ALBE")</f>
        <v>CHAZELLES-SUR-ALBE</v>
      </c>
      <c r="E36180" s="38" t="s">
        <v>548</v>
      </c>
      <c r="F36180" s="38" t="s">
        <v>195</v>
      </c>
      <c r="G36180" s="49" t="str">
        <f t="shared" si="1"/>
        <v>54450</v>
      </c>
      <c r="H36180" s="49">
        <f t="shared" si="2"/>
        <v>54124</v>
      </c>
    </row>
    <row r="36181">
      <c r="A36181" s="48" t="s">
        <v>9975</v>
      </c>
      <c r="B36181" s="38">
        <v>41247.0</v>
      </c>
      <c r="C36181" s="38" t="s">
        <v>40282</v>
      </c>
      <c r="D36181" s="38" t="str">
        <f>IFERROR(__xludf.DUMMYFUNCTION("REGEXREPLACE(C36181,""-\d+(.*)|--\d+(.*)"","""")"),"SOINGS-EN-SOLOGNE")</f>
        <v>SOINGS-EN-SOLOGNE</v>
      </c>
      <c r="E36181" s="38" t="s">
        <v>188</v>
      </c>
      <c r="F36181" s="38" t="s">
        <v>123</v>
      </c>
      <c r="G36181" s="49" t="str">
        <f t="shared" si="1"/>
        <v>41230</v>
      </c>
      <c r="H36181" s="49">
        <f t="shared" si="2"/>
        <v>41247</v>
      </c>
    </row>
    <row r="36182">
      <c r="A36182" s="48" t="s">
        <v>7122</v>
      </c>
      <c r="B36182" s="38">
        <v>57103.0</v>
      </c>
      <c r="C36182" s="38" t="s">
        <v>40283</v>
      </c>
      <c r="D36182" s="38" t="str">
        <f>IFERROR(__xludf.DUMMYFUNCTION("REGEXREPLACE(C36182,""-\d+(.*)|--\d+(.*)"","""")"),"BOUSSEVILLER")</f>
        <v>BOUSSEVILLER</v>
      </c>
      <c r="E36182" s="38" t="s">
        <v>303</v>
      </c>
      <c r="F36182" s="38" t="s">
        <v>195</v>
      </c>
      <c r="G36182" s="49" t="str">
        <f t="shared" si="1"/>
        <v>57230</v>
      </c>
      <c r="H36182" s="49">
        <f t="shared" si="2"/>
        <v>57103</v>
      </c>
    </row>
    <row r="36183">
      <c r="A36183" s="48" t="s">
        <v>15799</v>
      </c>
      <c r="B36183" s="38">
        <v>6137.0</v>
      </c>
      <c r="C36183" s="38" t="s">
        <v>40284</v>
      </c>
      <c r="D36183" s="38" t="str">
        <f>IFERROR(__xludf.DUMMYFUNCTION("REGEXREPLACE(C36183,""-\d+(.*)|--\d+(.*)"","""")"),"SPERACEDES")</f>
        <v>SPERACEDES</v>
      </c>
      <c r="E36183" s="38" t="s">
        <v>227</v>
      </c>
      <c r="F36183" s="38" t="s">
        <v>228</v>
      </c>
      <c r="G36183" s="49" t="str">
        <f t="shared" si="1"/>
        <v>06530</v>
      </c>
      <c r="H36183" s="49" t="str">
        <f t="shared" si="2"/>
        <v>06137</v>
      </c>
    </row>
    <row r="36184">
      <c r="A36184" s="48" t="s">
        <v>40285</v>
      </c>
      <c r="B36184" s="38">
        <v>68271.0</v>
      </c>
      <c r="C36184" s="38" t="s">
        <v>40286</v>
      </c>
      <c r="D36184" s="38" t="str">
        <f>IFERROR(__xludf.DUMMYFUNCTION("REGEXREPLACE(C36184,""-\d+(.*)|--\d+(.*)"","""")"),"RIEDISHEIM")</f>
        <v>RIEDISHEIM</v>
      </c>
      <c r="E36184" s="38" t="s">
        <v>150</v>
      </c>
      <c r="F36184" s="38" t="s">
        <v>151</v>
      </c>
      <c r="G36184" s="49" t="str">
        <f t="shared" si="1"/>
        <v>68400</v>
      </c>
      <c r="H36184" s="49">
        <f t="shared" si="2"/>
        <v>68271</v>
      </c>
    </row>
    <row r="36185">
      <c r="A36185" s="48" t="s">
        <v>2600</v>
      </c>
      <c r="B36185" s="38">
        <v>60052.0</v>
      </c>
      <c r="C36185" s="38" t="s">
        <v>40287</v>
      </c>
      <c r="D36185" s="38" t="str">
        <f>IFERROR(__xludf.DUMMYFUNCTION("REGEXREPLACE(C36185,""-\d+(.*)|--\d+(.*)"","""")"),"BEAUGIES-SOUS-BOIS")</f>
        <v>BEAUGIES-SOUS-BOIS</v>
      </c>
      <c r="E36185" s="38" t="s">
        <v>112</v>
      </c>
      <c r="F36185" s="38" t="s">
        <v>113</v>
      </c>
      <c r="G36185" s="49" t="str">
        <f t="shared" si="1"/>
        <v>60640</v>
      </c>
      <c r="H36185" s="49">
        <f t="shared" si="2"/>
        <v>60052</v>
      </c>
    </row>
    <row r="36186">
      <c r="A36186" s="48" t="s">
        <v>5553</v>
      </c>
      <c r="B36186" s="38">
        <v>34106.0</v>
      </c>
      <c r="C36186" s="38" t="s">
        <v>40288</v>
      </c>
      <c r="D36186" s="38" t="str">
        <f>IFERROR(__xludf.DUMMYFUNCTION("REGEXREPLACE(C36186,""-\d+(.*)|--\d+(.*)"","""")"),"FOZIERES")</f>
        <v>FOZIERES</v>
      </c>
      <c r="E36186" s="38" t="s">
        <v>118</v>
      </c>
      <c r="F36186" s="38" t="s">
        <v>119</v>
      </c>
      <c r="G36186" s="49" t="str">
        <f t="shared" si="1"/>
        <v>34700</v>
      </c>
      <c r="H36186" s="49">
        <f t="shared" si="2"/>
        <v>34106</v>
      </c>
    </row>
    <row r="36187">
      <c r="A36187" s="48" t="s">
        <v>1031</v>
      </c>
      <c r="B36187" s="38">
        <v>2115.0</v>
      </c>
      <c r="C36187" s="38" t="s">
        <v>40289</v>
      </c>
      <c r="D36187" s="38" t="str">
        <f>IFERROR(__xludf.DUMMYFUNCTION("REGEXREPLACE(C36187,""-\d+(.*)|--\d+(.*)"","""")"),"BRAYE-EN-LAONNOIS")</f>
        <v>BRAYE-EN-LAONNOIS</v>
      </c>
      <c r="E36187" s="38" t="s">
        <v>191</v>
      </c>
      <c r="F36187" s="38" t="s">
        <v>113</v>
      </c>
      <c r="G36187" s="49" t="str">
        <f t="shared" si="1"/>
        <v>02000</v>
      </c>
      <c r="H36187" s="49" t="str">
        <f t="shared" si="2"/>
        <v>02115</v>
      </c>
    </row>
    <row r="36188">
      <c r="A36188" s="48" t="s">
        <v>8589</v>
      </c>
      <c r="B36188" s="38">
        <v>27169.0</v>
      </c>
      <c r="C36188" s="38" t="s">
        <v>6030</v>
      </c>
      <c r="D36188" s="38" t="str">
        <f>IFERROR(__xludf.DUMMYFUNCTION("REGEXREPLACE(C36188,""-\d+(.*)|--\d+(.*)"","""")"),"CONTEVILLE")</f>
        <v>CONTEVILLE</v>
      </c>
      <c r="E36188" s="38" t="s">
        <v>241</v>
      </c>
      <c r="F36188" s="38" t="s">
        <v>134</v>
      </c>
      <c r="G36188" s="49" t="str">
        <f t="shared" si="1"/>
        <v>27210</v>
      </c>
      <c r="H36188" s="49">
        <f t="shared" si="2"/>
        <v>27169</v>
      </c>
    </row>
    <row r="36189">
      <c r="A36189" s="48" t="s">
        <v>14454</v>
      </c>
      <c r="B36189" s="38">
        <v>14344.0</v>
      </c>
      <c r="C36189" s="38" t="s">
        <v>2717</v>
      </c>
      <c r="D36189" s="38" t="str">
        <f>IFERROR(__xludf.DUMMYFUNCTION("REGEXREPLACE(C36189,""-\d+(.*)|--\d+(.*)"","""")"),"JANVILLE")</f>
        <v>JANVILLE</v>
      </c>
      <c r="E36189" s="38" t="s">
        <v>137</v>
      </c>
      <c r="F36189" s="38" t="s">
        <v>138</v>
      </c>
      <c r="G36189" s="49" t="str">
        <f t="shared" si="1"/>
        <v>14670</v>
      </c>
      <c r="H36189" s="49">
        <f t="shared" si="2"/>
        <v>14344</v>
      </c>
    </row>
    <row r="36190">
      <c r="A36190" s="48" t="s">
        <v>2162</v>
      </c>
      <c r="B36190" s="38">
        <v>26352.0</v>
      </c>
      <c r="C36190" s="38" t="s">
        <v>40290</v>
      </c>
      <c r="D36190" s="38" t="str">
        <f>IFERROR(__xludf.DUMMYFUNCTION("REGEXREPLACE(C36190,""-\d+(.*)|--\d+(.*)"","""")"),"LA TOUCHE")</f>
        <v>LA TOUCHE</v>
      </c>
      <c r="E36190" s="38" t="s">
        <v>126</v>
      </c>
      <c r="F36190" s="38" t="s">
        <v>102</v>
      </c>
      <c r="G36190" s="49" t="str">
        <f t="shared" si="1"/>
        <v>26160</v>
      </c>
      <c r="H36190" s="49">
        <f t="shared" si="2"/>
        <v>26352</v>
      </c>
    </row>
    <row r="36191">
      <c r="A36191" s="48" t="s">
        <v>3618</v>
      </c>
      <c r="B36191" s="38">
        <v>31590.0</v>
      </c>
      <c r="C36191" s="38" t="s">
        <v>40291</v>
      </c>
      <c r="D36191" s="38" t="str">
        <f>IFERROR(__xludf.DUMMYFUNCTION("REGEXREPLACE(C36191,""-\d+(.*)|--\d+(.*)"","""")"),"BINOS")</f>
        <v>BINOS</v>
      </c>
      <c r="E36191" s="38" t="s">
        <v>93</v>
      </c>
      <c r="F36191" s="38" t="s">
        <v>94</v>
      </c>
      <c r="G36191" s="49" t="str">
        <f t="shared" si="1"/>
        <v>31440</v>
      </c>
      <c r="H36191" s="49">
        <f t="shared" si="2"/>
        <v>31590</v>
      </c>
    </row>
    <row r="36192">
      <c r="A36192" s="48" t="s">
        <v>4895</v>
      </c>
      <c r="B36192" s="38">
        <v>34263.0</v>
      </c>
      <c r="C36192" s="38" t="s">
        <v>40292</v>
      </c>
      <c r="D36192" s="38" t="str">
        <f>IFERROR(__xludf.DUMMYFUNCTION("REGEXREPLACE(C36192,""-\d+(.*)|--\d+(.*)"","""")"),"SAINT-HILAIRE-DE-BEAUVOIR")</f>
        <v>SAINT-HILAIRE-DE-BEAUVOIR</v>
      </c>
      <c r="E36192" s="38" t="s">
        <v>118</v>
      </c>
      <c r="F36192" s="38" t="s">
        <v>119</v>
      </c>
      <c r="G36192" s="49" t="str">
        <f t="shared" si="1"/>
        <v>34160</v>
      </c>
      <c r="H36192" s="49">
        <f t="shared" si="2"/>
        <v>34263</v>
      </c>
    </row>
    <row r="36193">
      <c r="A36193" s="48" t="s">
        <v>211</v>
      </c>
      <c r="B36193" s="38">
        <v>25241.0</v>
      </c>
      <c r="C36193" s="38" t="s">
        <v>9822</v>
      </c>
      <c r="D36193" s="38" t="str">
        <f>IFERROR(__xludf.DUMMYFUNCTION("REGEXREPLACE(C36193,""-\d+(.*)|--\d+(.*)"","""")"),"FLAGEY")</f>
        <v>FLAGEY</v>
      </c>
      <c r="E36193" s="38" t="s">
        <v>213</v>
      </c>
      <c r="F36193" s="38" t="s">
        <v>214</v>
      </c>
      <c r="G36193" s="49" t="str">
        <f t="shared" si="1"/>
        <v>25330</v>
      </c>
      <c r="H36193" s="49">
        <f t="shared" si="2"/>
        <v>25241</v>
      </c>
    </row>
    <row r="36194">
      <c r="A36194" s="48" t="s">
        <v>3473</v>
      </c>
      <c r="B36194" s="38">
        <v>69248.0</v>
      </c>
      <c r="C36194" s="38" t="s">
        <v>12570</v>
      </c>
      <c r="D36194" s="38" t="str">
        <f>IFERROR(__xludf.DUMMYFUNCTION("REGEXREPLACE(C36194,""-\d+(.*)|--\d+(.*)"","""")"),"THIZY")</f>
        <v>THIZY</v>
      </c>
      <c r="E36194" s="38" t="s">
        <v>350</v>
      </c>
      <c r="F36194" s="38" t="s">
        <v>102</v>
      </c>
      <c r="G36194" s="49" t="str">
        <f t="shared" si="1"/>
        <v>69240</v>
      </c>
      <c r="H36194" s="49">
        <f t="shared" si="2"/>
        <v>69248</v>
      </c>
    </row>
    <row r="36195">
      <c r="A36195" s="48" t="s">
        <v>14034</v>
      </c>
      <c r="B36195" s="38">
        <v>76471.0</v>
      </c>
      <c r="C36195" s="38" t="s">
        <v>40293</v>
      </c>
      <c r="D36195" s="38" t="str">
        <f>IFERROR(__xludf.DUMMYFUNCTION("REGEXREPLACE(C36195,""-\d+(.*)|--\d+(.*)"","""")"),"NORVILLE")</f>
        <v>NORVILLE</v>
      </c>
      <c r="E36195" s="38" t="s">
        <v>133</v>
      </c>
      <c r="F36195" s="38" t="s">
        <v>134</v>
      </c>
      <c r="G36195" s="49" t="str">
        <f t="shared" si="1"/>
        <v>76330</v>
      </c>
      <c r="H36195" s="49">
        <f t="shared" si="2"/>
        <v>76471</v>
      </c>
    </row>
    <row r="36196">
      <c r="A36196" s="48" t="s">
        <v>4512</v>
      </c>
      <c r="B36196" s="38">
        <v>86132.0</v>
      </c>
      <c r="C36196" s="38" t="s">
        <v>40294</v>
      </c>
      <c r="D36196" s="38" t="str">
        <f>IFERROR(__xludf.DUMMYFUNCTION("REGEXREPLACE(C36196,""-\d+(.*)|--\d+(.*)"","""")"),"LIGLET")</f>
        <v>LIGLET</v>
      </c>
      <c r="E36196" s="38" t="s">
        <v>529</v>
      </c>
      <c r="F36196" s="38" t="s">
        <v>338</v>
      </c>
      <c r="G36196" s="49" t="str">
        <f t="shared" si="1"/>
        <v>86290</v>
      </c>
      <c r="H36196" s="49">
        <f t="shared" si="2"/>
        <v>86132</v>
      </c>
    </row>
    <row r="36197">
      <c r="A36197" s="48" t="s">
        <v>6007</v>
      </c>
      <c r="B36197" s="38">
        <v>24257.0</v>
      </c>
      <c r="C36197" s="38" t="s">
        <v>40295</v>
      </c>
      <c r="D36197" s="38" t="str">
        <f>IFERROR(__xludf.DUMMYFUNCTION("REGEXREPLACE(C36197,""-\d+(.*)|--\d+(.*)"","""")"),"MARSALES")</f>
        <v>MARSALES</v>
      </c>
      <c r="E36197" s="38" t="s">
        <v>261</v>
      </c>
      <c r="F36197" s="38" t="s">
        <v>252</v>
      </c>
      <c r="G36197" s="49" t="str">
        <f t="shared" si="1"/>
        <v>24540</v>
      </c>
      <c r="H36197" s="49">
        <f t="shared" si="2"/>
        <v>24257</v>
      </c>
    </row>
    <row r="36198">
      <c r="A36198" s="48" t="s">
        <v>9639</v>
      </c>
      <c r="B36198" s="38">
        <v>85069.0</v>
      </c>
      <c r="C36198" s="38" t="s">
        <v>40296</v>
      </c>
      <c r="D36198" s="38" t="str">
        <f>IFERROR(__xludf.DUMMYFUNCTION("REGEXREPLACE(C36198,""-\d+(.*)|--\d+(.*)"","""")"),"LES CLOUZEAUX")</f>
        <v>LES CLOUZEAUX</v>
      </c>
      <c r="E36198" s="38" t="s">
        <v>179</v>
      </c>
      <c r="F36198" s="38" t="s">
        <v>180</v>
      </c>
      <c r="G36198" s="49" t="str">
        <f t="shared" si="1"/>
        <v>85430</v>
      </c>
      <c r="H36198" s="49">
        <f t="shared" si="2"/>
        <v>85069</v>
      </c>
    </row>
    <row r="36199">
      <c r="A36199" s="48" t="s">
        <v>3297</v>
      </c>
      <c r="B36199" s="38">
        <v>41151.0</v>
      </c>
      <c r="C36199" s="38" t="s">
        <v>40297</v>
      </c>
      <c r="D36199" s="38" t="str">
        <f>IFERROR(__xludf.DUMMYFUNCTION("REGEXREPLACE(C36199,""-\d+(.*)|--\d+(.*)"","""")"),"MONTRICHARD")</f>
        <v>MONTRICHARD</v>
      </c>
      <c r="E36199" s="38" t="s">
        <v>188</v>
      </c>
      <c r="F36199" s="38" t="s">
        <v>123</v>
      </c>
      <c r="G36199" s="49" t="str">
        <f t="shared" si="1"/>
        <v>41400</v>
      </c>
      <c r="H36199" s="49">
        <f t="shared" si="2"/>
        <v>41151</v>
      </c>
    </row>
    <row r="36200">
      <c r="A36200" s="48" t="s">
        <v>1628</v>
      </c>
      <c r="B36200" s="38">
        <v>70437.0</v>
      </c>
      <c r="C36200" s="38" t="s">
        <v>40298</v>
      </c>
      <c r="D36200" s="38" t="str">
        <f>IFERROR(__xludf.DUMMYFUNCTION("REGEXREPLACE(C36200,""-\d+(.*)|--\d+(.*)"","""")"),"RANZEVELLE")</f>
        <v>RANZEVELLE</v>
      </c>
      <c r="E36200" s="38" t="s">
        <v>956</v>
      </c>
      <c r="F36200" s="38" t="s">
        <v>214</v>
      </c>
      <c r="G36200" s="49" t="str">
        <f t="shared" si="1"/>
        <v>70500</v>
      </c>
      <c r="H36200" s="49">
        <f t="shared" si="2"/>
        <v>70437</v>
      </c>
    </row>
    <row r="36201">
      <c r="A36201" s="48" t="s">
        <v>17146</v>
      </c>
      <c r="B36201" s="38">
        <v>1288.0</v>
      </c>
      <c r="C36201" s="38" t="s">
        <v>40299</v>
      </c>
      <c r="D36201" s="38" t="str">
        <f>IFERROR(__xludf.DUMMYFUNCTION("REGEXREPLACE(C36201,""-\d+(.*)|--\d+(.*)"","""")"),"PERON")</f>
        <v>PERON</v>
      </c>
      <c r="E36201" s="38" t="s">
        <v>255</v>
      </c>
      <c r="F36201" s="38" t="s">
        <v>102</v>
      </c>
      <c r="G36201" s="49" t="str">
        <f t="shared" si="1"/>
        <v>01630</v>
      </c>
      <c r="H36201" s="49" t="str">
        <f t="shared" si="2"/>
        <v>01288</v>
      </c>
    </row>
    <row r="36202">
      <c r="A36202" s="48" t="s">
        <v>3080</v>
      </c>
      <c r="B36202" s="38">
        <v>71141.0</v>
      </c>
      <c r="C36202" s="38" t="s">
        <v>40300</v>
      </c>
      <c r="D36202" s="38" t="str">
        <f>IFERROR(__xludf.DUMMYFUNCTION("REGEXREPLACE(C36202,""-\d+(.*)|--\d+(.*)"","""")"),"COLOMBIER-EN-BRIONNAIS")</f>
        <v>COLOMBIER-EN-BRIONNAIS</v>
      </c>
      <c r="E36202" s="38" t="s">
        <v>344</v>
      </c>
      <c r="F36202" s="38" t="s">
        <v>106</v>
      </c>
      <c r="G36202" s="49" t="str">
        <f t="shared" si="1"/>
        <v>71800</v>
      </c>
      <c r="H36202" s="49">
        <f t="shared" si="2"/>
        <v>71141</v>
      </c>
    </row>
    <row r="36203">
      <c r="A36203" s="48" t="s">
        <v>29575</v>
      </c>
      <c r="B36203" s="38">
        <v>86263.0</v>
      </c>
      <c r="C36203" s="38" t="s">
        <v>40301</v>
      </c>
      <c r="D36203" s="38" t="str">
        <f>IFERROR(__xludf.DUMMYFUNCTION("REGEXREPLACE(C36203,""-\d+(.*)|--\d+(.*)"","""")"),"SMARVES")</f>
        <v>SMARVES</v>
      </c>
      <c r="E36203" s="38" t="s">
        <v>529</v>
      </c>
      <c r="F36203" s="38" t="s">
        <v>338</v>
      </c>
      <c r="G36203" s="49" t="str">
        <f t="shared" si="1"/>
        <v>86240</v>
      </c>
      <c r="H36203" s="49">
        <f t="shared" si="2"/>
        <v>86263</v>
      </c>
    </row>
    <row r="36204">
      <c r="A36204" s="48" t="s">
        <v>8671</v>
      </c>
      <c r="B36204" s="38">
        <v>87060.0</v>
      </c>
      <c r="C36204" s="38" t="s">
        <v>40302</v>
      </c>
      <c r="D36204" s="38" t="str">
        <f>IFERROR(__xludf.DUMMYFUNCTION("REGEXREPLACE(C36204,""-\d+(.*)|--\d+(.*)"","""")"),"DOURNAZAC")</f>
        <v>DOURNAZAC</v>
      </c>
      <c r="E36204" s="38" t="s">
        <v>897</v>
      </c>
      <c r="F36204" s="38" t="s">
        <v>98</v>
      </c>
      <c r="G36204" s="49" t="str">
        <f t="shared" si="1"/>
        <v>87230</v>
      </c>
      <c r="H36204" s="49">
        <f t="shared" si="2"/>
        <v>87060</v>
      </c>
    </row>
    <row r="36205">
      <c r="A36205" s="48" t="s">
        <v>4612</v>
      </c>
      <c r="B36205" s="38">
        <v>3200.0</v>
      </c>
      <c r="C36205" s="38" t="s">
        <v>9877</v>
      </c>
      <c r="D36205" s="38" t="str">
        <f>IFERROR(__xludf.DUMMYFUNCTION("REGEXREPLACE(C36205,""-\d+(.*)|--\d+(.*)"","""")"),"NEUVY")</f>
        <v>NEUVY</v>
      </c>
      <c r="E36205" s="38" t="s">
        <v>160</v>
      </c>
      <c r="F36205" s="38" t="s">
        <v>161</v>
      </c>
      <c r="G36205" s="49" t="str">
        <f t="shared" si="1"/>
        <v>03000</v>
      </c>
      <c r="H36205" s="49" t="str">
        <f t="shared" si="2"/>
        <v>03200</v>
      </c>
    </row>
    <row r="36206">
      <c r="A36206" s="48" t="s">
        <v>3242</v>
      </c>
      <c r="B36206" s="38">
        <v>2604.0</v>
      </c>
      <c r="C36206" s="38" t="s">
        <v>40303</v>
      </c>
      <c r="D36206" s="38" t="str">
        <f>IFERROR(__xludf.DUMMYFUNCTION("REGEXREPLACE(C36206,""-\d+(.*)|--\d+(.*)"","""")"),"PITHON")</f>
        <v>PITHON</v>
      </c>
      <c r="E36206" s="38" t="s">
        <v>191</v>
      </c>
      <c r="F36206" s="38" t="s">
        <v>113</v>
      </c>
      <c r="G36206" s="49" t="str">
        <f t="shared" si="1"/>
        <v>02480</v>
      </c>
      <c r="H36206" s="49" t="str">
        <f t="shared" si="2"/>
        <v>02604</v>
      </c>
    </row>
    <row r="36207">
      <c r="A36207" s="48" t="s">
        <v>4416</v>
      </c>
      <c r="B36207" s="38">
        <v>56218.0</v>
      </c>
      <c r="C36207" s="38" t="s">
        <v>40304</v>
      </c>
      <c r="D36207" s="38" t="str">
        <f>IFERROR(__xludf.DUMMYFUNCTION("REGEXREPLACE(C36207,""-\d+(.*)|--\d+(.*)"","""")"),"SAINT-GRAVE")</f>
        <v>SAINT-GRAVE</v>
      </c>
      <c r="E36207" s="38" t="s">
        <v>173</v>
      </c>
      <c r="F36207" s="38" t="s">
        <v>90</v>
      </c>
      <c r="G36207" s="49" t="str">
        <f t="shared" si="1"/>
        <v>56220</v>
      </c>
      <c r="H36207" s="49">
        <f t="shared" si="2"/>
        <v>56218</v>
      </c>
    </row>
    <row r="36208">
      <c r="A36208" s="48" t="s">
        <v>22456</v>
      </c>
      <c r="B36208" s="38">
        <v>88048.0</v>
      </c>
      <c r="C36208" s="38" t="s">
        <v>7612</v>
      </c>
      <c r="D36208" s="38" t="str">
        <f>IFERROR(__xludf.DUMMYFUNCTION("REGEXREPLACE(C36208,""-\d+(.*)|--\d+(.*)"","""")"),"BELLEFONTAINE")</f>
        <v>BELLEFONTAINE</v>
      </c>
      <c r="E36208" s="38" t="s">
        <v>194</v>
      </c>
      <c r="F36208" s="38" t="s">
        <v>195</v>
      </c>
      <c r="G36208" s="49" t="str">
        <f t="shared" si="1"/>
        <v>88370</v>
      </c>
      <c r="H36208" s="49">
        <f t="shared" si="2"/>
        <v>88048</v>
      </c>
    </row>
    <row r="36209">
      <c r="A36209" s="48" t="s">
        <v>1518</v>
      </c>
      <c r="B36209" s="38">
        <v>88039.0</v>
      </c>
      <c r="C36209" s="38" t="s">
        <v>40305</v>
      </c>
      <c r="D36209" s="38" t="str">
        <f>IFERROR(__xludf.DUMMYFUNCTION("REGEXREPLACE(C36209,""-\d+(.*)|--\d+(.*)"","""")"),"BAUDRICOURT")</f>
        <v>BAUDRICOURT</v>
      </c>
      <c r="E36209" s="38" t="s">
        <v>194</v>
      </c>
      <c r="F36209" s="38" t="s">
        <v>195</v>
      </c>
      <c r="G36209" s="49" t="str">
        <f t="shared" si="1"/>
        <v>88500</v>
      </c>
      <c r="H36209" s="49">
        <f t="shared" si="2"/>
        <v>88039</v>
      </c>
    </row>
    <row r="36210">
      <c r="A36210" s="48" t="s">
        <v>15350</v>
      </c>
      <c r="B36210" s="38">
        <v>49356.0</v>
      </c>
      <c r="C36210" s="38" t="s">
        <v>10089</v>
      </c>
      <c r="D36210" s="38" t="str">
        <f>IFERROR(__xludf.DUMMYFUNCTION("REGEXREPLACE(C36210,""-\d+(.*)|--\d+(.*)"","""")"),"TREMONT")</f>
        <v>TREMONT</v>
      </c>
      <c r="E36210" s="38" t="s">
        <v>653</v>
      </c>
      <c r="F36210" s="38" t="s">
        <v>180</v>
      </c>
      <c r="G36210" s="49" t="str">
        <f t="shared" si="1"/>
        <v>49310</v>
      </c>
      <c r="H36210" s="49">
        <f t="shared" si="2"/>
        <v>49356</v>
      </c>
    </row>
    <row r="36211">
      <c r="A36211" s="48" t="s">
        <v>3017</v>
      </c>
      <c r="B36211" s="38">
        <v>1064.0</v>
      </c>
      <c r="C36211" s="38" t="s">
        <v>40306</v>
      </c>
      <c r="D36211" s="38" t="str">
        <f>IFERROR(__xludf.DUMMYFUNCTION("REGEXREPLACE(C36211,""-\d+(.*)|--\d+(.*)"","""")"),"BRIORD")</f>
        <v>BRIORD</v>
      </c>
      <c r="E36211" s="38" t="s">
        <v>255</v>
      </c>
      <c r="F36211" s="38" t="s">
        <v>102</v>
      </c>
      <c r="G36211" s="49" t="str">
        <f t="shared" si="1"/>
        <v>01470</v>
      </c>
      <c r="H36211" s="49" t="str">
        <f t="shared" si="2"/>
        <v>01064</v>
      </c>
    </row>
    <row r="36212">
      <c r="A36212" s="48" t="s">
        <v>8032</v>
      </c>
      <c r="B36212" s="38">
        <v>46251.0</v>
      </c>
      <c r="C36212" s="38" t="s">
        <v>40307</v>
      </c>
      <c r="D36212" s="38" t="str">
        <f>IFERROR(__xludf.DUMMYFUNCTION("REGEXREPLACE(C36212,""-\d+(.*)|--\d+(.*)"","""")"),"SAINT-CERE")</f>
        <v>SAINT-CERE</v>
      </c>
      <c r="E36212" s="38" t="s">
        <v>185</v>
      </c>
      <c r="F36212" s="38" t="s">
        <v>94</v>
      </c>
      <c r="G36212" s="49" t="str">
        <f t="shared" si="1"/>
        <v>46400</v>
      </c>
      <c r="H36212" s="49">
        <f t="shared" si="2"/>
        <v>46251</v>
      </c>
    </row>
    <row r="36213">
      <c r="A36213" s="48" t="s">
        <v>2817</v>
      </c>
      <c r="B36213" s="38">
        <v>64339.0</v>
      </c>
      <c r="C36213" s="38" t="s">
        <v>40308</v>
      </c>
      <c r="D36213" s="38" t="str">
        <f>IFERROR(__xludf.DUMMYFUNCTION("REGEXREPLACE(C36213,""-\d+(.*)|--\d+(.*)"","""")"),"LESTELLE-BETHARRAM")</f>
        <v>LESTELLE-BETHARRAM</v>
      </c>
      <c r="E36213" s="38" t="s">
        <v>268</v>
      </c>
      <c r="F36213" s="38" t="s">
        <v>252</v>
      </c>
      <c r="G36213" s="49" t="str">
        <f t="shared" si="1"/>
        <v>64800</v>
      </c>
      <c r="H36213" s="49">
        <f t="shared" si="2"/>
        <v>64339</v>
      </c>
    </row>
    <row r="36214">
      <c r="A36214" s="48" t="s">
        <v>2225</v>
      </c>
      <c r="B36214" s="38">
        <v>22339.0</v>
      </c>
      <c r="C36214" s="38" t="s">
        <v>40309</v>
      </c>
      <c r="D36214" s="38" t="str">
        <f>IFERROR(__xludf.DUMMYFUNCTION("REGEXREPLACE(C36214,""-\d+(.*)|--\d+(.*)"","""")"),"TADEN")</f>
        <v>TADEN</v>
      </c>
      <c r="E36214" s="38" t="s">
        <v>89</v>
      </c>
      <c r="F36214" s="38" t="s">
        <v>90</v>
      </c>
      <c r="G36214" s="49" t="str">
        <f t="shared" si="1"/>
        <v>22100</v>
      </c>
      <c r="H36214" s="49">
        <f t="shared" si="2"/>
        <v>22339</v>
      </c>
    </row>
    <row r="36215">
      <c r="A36215" s="48" t="s">
        <v>6651</v>
      </c>
      <c r="B36215" s="38">
        <v>31325.0</v>
      </c>
      <c r="C36215" s="38" t="s">
        <v>40310</v>
      </c>
      <c r="D36215" s="38" t="str">
        <f>IFERROR(__xludf.DUMMYFUNCTION("REGEXREPLACE(C36215,""-\d+(.*)|--\d+(.*)"","""")"),"MASCARVILLE")</f>
        <v>MASCARVILLE</v>
      </c>
      <c r="E36215" s="38" t="s">
        <v>93</v>
      </c>
      <c r="F36215" s="38" t="s">
        <v>94</v>
      </c>
      <c r="G36215" s="49" t="str">
        <f t="shared" si="1"/>
        <v>31460</v>
      </c>
      <c r="H36215" s="49">
        <f t="shared" si="2"/>
        <v>31325</v>
      </c>
    </row>
    <row r="36216">
      <c r="A36216" s="48" t="s">
        <v>7676</v>
      </c>
      <c r="B36216" s="38">
        <v>63212.0</v>
      </c>
      <c r="C36216" s="38" t="s">
        <v>40311</v>
      </c>
      <c r="D36216" s="38" t="str">
        <f>IFERROR(__xludf.DUMMYFUNCTION("REGEXREPLACE(C36216,""-\d+(.*)|--\d+(.*)"","""")"),"MARSAT")</f>
        <v>MARSAT</v>
      </c>
      <c r="E36216" s="38" t="s">
        <v>353</v>
      </c>
      <c r="F36216" s="38" t="s">
        <v>161</v>
      </c>
      <c r="G36216" s="49" t="str">
        <f t="shared" si="1"/>
        <v>63200</v>
      </c>
      <c r="H36216" s="49">
        <f t="shared" si="2"/>
        <v>63212</v>
      </c>
    </row>
    <row r="36217">
      <c r="A36217" s="48" t="s">
        <v>3743</v>
      </c>
      <c r="B36217" s="38">
        <v>27319.0</v>
      </c>
      <c r="C36217" s="38" t="s">
        <v>40312</v>
      </c>
      <c r="D36217" s="38" t="str">
        <f>IFERROR(__xludf.DUMMYFUNCTION("REGEXREPLACE(C36217,""-\d+(.*)|--\d+(.*)"","""")"),"LA HAYE-DE-ROUTOT")</f>
        <v>LA HAYE-DE-ROUTOT</v>
      </c>
      <c r="E36217" s="38" t="s">
        <v>241</v>
      </c>
      <c r="F36217" s="38" t="s">
        <v>134</v>
      </c>
      <c r="G36217" s="49" t="str">
        <f t="shared" si="1"/>
        <v>27350</v>
      </c>
      <c r="H36217" s="49">
        <f t="shared" si="2"/>
        <v>27319</v>
      </c>
    </row>
    <row r="36218">
      <c r="A36218" s="48" t="s">
        <v>9804</v>
      </c>
      <c r="B36218" s="38">
        <v>27691.0</v>
      </c>
      <c r="C36218" s="38" t="s">
        <v>40313</v>
      </c>
      <c r="D36218" s="38" t="str">
        <f>IFERROR(__xludf.DUMMYFUNCTION("REGEXREPLACE(C36218,""-\d+(.*)|--\d+(.*)"","""")"),"VILLERS-SUR-LE-ROULE")</f>
        <v>VILLERS-SUR-LE-ROULE</v>
      </c>
      <c r="E36218" s="38" t="s">
        <v>241</v>
      </c>
      <c r="F36218" s="38" t="s">
        <v>134</v>
      </c>
      <c r="G36218" s="49" t="str">
        <f t="shared" si="1"/>
        <v>27940</v>
      </c>
      <c r="H36218" s="49">
        <f t="shared" si="2"/>
        <v>27691</v>
      </c>
    </row>
    <row r="36219">
      <c r="A36219" s="48" t="s">
        <v>3182</v>
      </c>
      <c r="B36219" s="38">
        <v>80629.0</v>
      </c>
      <c r="C36219" s="38" t="s">
        <v>40314</v>
      </c>
      <c r="D36219" s="38" t="str">
        <f>IFERROR(__xludf.DUMMYFUNCTION("REGEXREPLACE(C36219,""-\d+(.*)|--\d+(.*)"","""")"),"POEUILLY")</f>
        <v>POEUILLY</v>
      </c>
      <c r="E36219" s="38" t="s">
        <v>224</v>
      </c>
      <c r="F36219" s="38" t="s">
        <v>113</v>
      </c>
      <c r="G36219" s="49" t="str">
        <f t="shared" si="1"/>
        <v>80240</v>
      </c>
      <c r="H36219" s="49">
        <f t="shared" si="2"/>
        <v>80629</v>
      </c>
    </row>
    <row r="36220">
      <c r="A36220" s="48" t="s">
        <v>2259</v>
      </c>
      <c r="B36220" s="38">
        <v>22287.0</v>
      </c>
      <c r="C36220" s="38" t="s">
        <v>40315</v>
      </c>
      <c r="D36220" s="38" t="str">
        <f>IFERROR(__xludf.DUMMYFUNCTION("REGEXREPLACE(C36220,""-\d+(.*)|--\d+(.*)"","""")"),"SAINT-DONAN")</f>
        <v>SAINT-DONAN</v>
      </c>
      <c r="E36220" s="38" t="s">
        <v>89</v>
      </c>
      <c r="F36220" s="38" t="s">
        <v>90</v>
      </c>
      <c r="G36220" s="49" t="str">
        <f t="shared" si="1"/>
        <v>22800</v>
      </c>
      <c r="H36220" s="49">
        <f t="shared" si="2"/>
        <v>22287</v>
      </c>
    </row>
    <row r="36221">
      <c r="A36221" s="48" t="s">
        <v>922</v>
      </c>
      <c r="B36221" s="38">
        <v>76432.0</v>
      </c>
      <c r="C36221" s="38" t="s">
        <v>40316</v>
      </c>
      <c r="D36221" s="38" t="str">
        <f>IFERROR(__xludf.DUMMYFUNCTION("REGEXREPLACE(C36221,""-\d+(.*)|--\d+(.*)"","""")"),"MESNIL-MAUGER")</f>
        <v>MESNIL-MAUGER</v>
      </c>
      <c r="E36221" s="38" t="s">
        <v>133</v>
      </c>
      <c r="F36221" s="38" t="s">
        <v>134</v>
      </c>
      <c r="G36221" s="49" t="str">
        <f t="shared" si="1"/>
        <v>76440</v>
      </c>
      <c r="H36221" s="49">
        <f t="shared" si="2"/>
        <v>76432</v>
      </c>
    </row>
    <row r="36222">
      <c r="A36222" s="48" t="s">
        <v>196</v>
      </c>
      <c r="B36222" s="38">
        <v>2055.0</v>
      </c>
      <c r="C36222" s="38" t="s">
        <v>40317</v>
      </c>
      <c r="D36222" s="38" t="str">
        <f>IFERROR(__xludf.DUMMYFUNCTION("REGEXREPLACE(C36222,""-\d+(.*)|--\d+(.*)"","""")"),"BEAUME")</f>
        <v>BEAUME</v>
      </c>
      <c r="E36222" s="38" t="s">
        <v>191</v>
      </c>
      <c r="F36222" s="38" t="s">
        <v>113</v>
      </c>
      <c r="G36222" s="49" t="str">
        <f t="shared" si="1"/>
        <v>02500</v>
      </c>
      <c r="H36222" s="49" t="str">
        <f t="shared" si="2"/>
        <v>02055</v>
      </c>
    </row>
    <row r="36223">
      <c r="A36223" s="48" t="s">
        <v>4431</v>
      </c>
      <c r="B36223" s="38">
        <v>32052.0</v>
      </c>
      <c r="C36223" s="38" t="s">
        <v>40318</v>
      </c>
      <c r="D36223" s="38" t="str">
        <f>IFERROR(__xludf.DUMMYFUNCTION("REGEXREPLACE(C36223,""-\d+(.*)|--\d+(.*)"","""")"),"BEZOLLES")</f>
        <v>BEZOLLES</v>
      </c>
      <c r="E36223" s="38" t="s">
        <v>440</v>
      </c>
      <c r="F36223" s="38" t="s">
        <v>94</v>
      </c>
      <c r="G36223" s="49" t="str">
        <f t="shared" si="1"/>
        <v>32310</v>
      </c>
      <c r="H36223" s="49">
        <f t="shared" si="2"/>
        <v>32052</v>
      </c>
    </row>
    <row r="36224">
      <c r="A36224" s="48" t="s">
        <v>2477</v>
      </c>
      <c r="B36224" s="38">
        <v>76320.0</v>
      </c>
      <c r="C36224" s="38" t="s">
        <v>30538</v>
      </c>
      <c r="D36224" s="38" t="str">
        <f>IFERROR(__xludf.DUMMYFUNCTION("REGEXREPLACE(C36224,""-\d+(.*)|--\d+(.*)"","""")"),"GRANDCOURT")</f>
        <v>GRANDCOURT</v>
      </c>
      <c r="E36224" s="38" t="s">
        <v>133</v>
      </c>
      <c r="F36224" s="38" t="s">
        <v>134</v>
      </c>
      <c r="G36224" s="49" t="str">
        <f t="shared" si="1"/>
        <v>76660</v>
      </c>
      <c r="H36224" s="49">
        <f t="shared" si="2"/>
        <v>76320</v>
      </c>
    </row>
    <row r="36225">
      <c r="A36225" s="48" t="s">
        <v>1918</v>
      </c>
      <c r="B36225" s="38">
        <v>10003.0</v>
      </c>
      <c r="C36225" s="38" t="s">
        <v>40319</v>
      </c>
      <c r="D36225" s="38" t="str">
        <f>IFERROR(__xludf.DUMMYFUNCTION("REGEXREPLACE(C36225,""-\d+(.*)|--\d+(.*)"","""")"),"AIX-EN-OTHE")</f>
        <v>AIX-EN-OTHE</v>
      </c>
      <c r="E36225" s="38" t="s">
        <v>147</v>
      </c>
      <c r="F36225" s="38" t="s">
        <v>130</v>
      </c>
      <c r="G36225" s="49" t="str">
        <f t="shared" si="1"/>
        <v>10160</v>
      </c>
      <c r="H36225" s="49">
        <f t="shared" si="2"/>
        <v>10003</v>
      </c>
    </row>
    <row r="36226">
      <c r="A36226" s="48" t="s">
        <v>27553</v>
      </c>
      <c r="B36226" s="38">
        <v>34024.0</v>
      </c>
      <c r="C36226" s="38" t="s">
        <v>40320</v>
      </c>
      <c r="D36226" s="38" t="str">
        <f>IFERROR(__xludf.DUMMYFUNCTION("REGEXREPLACE(C36226,""-\d+(.*)|--\d+(.*)"","""")"),"BALARUC-LE-VIEUX")</f>
        <v>BALARUC-LE-VIEUX</v>
      </c>
      <c r="E36226" s="38" t="s">
        <v>118</v>
      </c>
      <c r="F36226" s="38" t="s">
        <v>119</v>
      </c>
      <c r="G36226" s="49" t="str">
        <f t="shared" si="1"/>
        <v>34540</v>
      </c>
      <c r="H36226" s="49">
        <f t="shared" si="2"/>
        <v>34024</v>
      </c>
    </row>
    <row r="36227">
      <c r="A36227" s="48" t="s">
        <v>3050</v>
      </c>
      <c r="B36227" s="38">
        <v>11050.0</v>
      </c>
      <c r="C36227" s="38" t="s">
        <v>40321</v>
      </c>
      <c r="D36227" s="38" t="str">
        <f>IFERROR(__xludf.DUMMYFUNCTION("REGEXREPLACE(C36227,""-\d+(.*)|--\d+(.*)"","""")"),"BRENAC")</f>
        <v>BRENAC</v>
      </c>
      <c r="E36227" s="38" t="s">
        <v>278</v>
      </c>
      <c r="F36227" s="38" t="s">
        <v>119</v>
      </c>
      <c r="G36227" s="49" t="str">
        <f t="shared" si="1"/>
        <v>11500</v>
      </c>
      <c r="H36227" s="49">
        <f t="shared" si="2"/>
        <v>11050</v>
      </c>
    </row>
    <row r="36228">
      <c r="A36228" s="48" t="s">
        <v>4679</v>
      </c>
      <c r="B36228" s="38">
        <v>17383.0</v>
      </c>
      <c r="C36228" s="38" t="s">
        <v>40322</v>
      </c>
      <c r="D36228" s="38" t="str">
        <f>IFERROR(__xludf.DUMMYFUNCTION("REGEXREPLACE(C36228,""-\d+(.*)|--\d+(.*)"","""")"),"SAINT-PIERRE-DE-JUILLERS")</f>
        <v>SAINT-PIERRE-DE-JUILLERS</v>
      </c>
      <c r="E36228" s="38" t="s">
        <v>488</v>
      </c>
      <c r="F36228" s="38" t="s">
        <v>338</v>
      </c>
      <c r="G36228" s="49" t="str">
        <f t="shared" si="1"/>
        <v>17400</v>
      </c>
      <c r="H36228" s="49">
        <f t="shared" si="2"/>
        <v>17383</v>
      </c>
    </row>
    <row r="36229">
      <c r="A36229" s="48" t="s">
        <v>11028</v>
      </c>
      <c r="B36229" s="38">
        <v>72178.0</v>
      </c>
      <c r="C36229" s="38" t="s">
        <v>18482</v>
      </c>
      <c r="D36229" s="38" t="str">
        <f>IFERROR(__xludf.DUMMYFUNCTION("REGEXREPLACE(C36229,""-\d+(.*)|--\d+(.*)"","""")"),"MAISONCELLES")</f>
        <v>MAISONCELLES</v>
      </c>
      <c r="E36229" s="38" t="s">
        <v>521</v>
      </c>
      <c r="F36229" s="38" t="s">
        <v>180</v>
      </c>
      <c r="G36229" s="49" t="str">
        <f t="shared" si="1"/>
        <v>72440</v>
      </c>
      <c r="H36229" s="49">
        <f t="shared" si="2"/>
        <v>72178</v>
      </c>
    </row>
    <row r="36230">
      <c r="A36230" s="48" t="s">
        <v>3436</v>
      </c>
      <c r="B36230" s="38">
        <v>33264.0</v>
      </c>
      <c r="C36230" s="38" t="s">
        <v>40323</v>
      </c>
      <c r="D36230" s="38" t="str">
        <f>IFERROR(__xludf.DUMMYFUNCTION("REGEXREPLACE(C36230,""-\d+(.*)|--\d+(.*)"","""")"),"MARANSIN")</f>
        <v>MARANSIN</v>
      </c>
      <c r="E36230" s="38" t="s">
        <v>462</v>
      </c>
      <c r="F36230" s="38" t="s">
        <v>252</v>
      </c>
      <c r="G36230" s="49" t="str">
        <f t="shared" si="1"/>
        <v>33230</v>
      </c>
      <c r="H36230" s="49">
        <f t="shared" si="2"/>
        <v>33264</v>
      </c>
    </row>
    <row r="36231">
      <c r="A36231" s="48" t="s">
        <v>3986</v>
      </c>
      <c r="B36231" s="38">
        <v>62314.0</v>
      </c>
      <c r="C36231" s="38" t="s">
        <v>40324</v>
      </c>
      <c r="D36231" s="38" t="str">
        <f>IFERROR(__xludf.DUMMYFUNCTION("REGEXREPLACE(C36231,""-\d+(.*)|--\d+(.*)"","""")"),"ESTREE-CAUCHY")</f>
        <v>ESTREE-CAUCHY</v>
      </c>
      <c r="E36231" s="38" t="s">
        <v>109</v>
      </c>
      <c r="F36231" s="38" t="s">
        <v>86</v>
      </c>
      <c r="G36231" s="49" t="str">
        <f t="shared" si="1"/>
        <v>62690</v>
      </c>
      <c r="H36231" s="49">
        <f t="shared" si="2"/>
        <v>62314</v>
      </c>
    </row>
    <row r="36232">
      <c r="A36232" s="48" t="s">
        <v>3763</v>
      </c>
      <c r="B36232" s="38">
        <v>76628.0</v>
      </c>
      <c r="C36232" s="38" t="s">
        <v>40325</v>
      </c>
      <c r="D36232" s="38" t="str">
        <f>IFERROR(__xludf.DUMMYFUNCTION("REGEXREPLACE(C36232,""-\d+(.*)|--\d+(.*)"","""")"),"SAINT-OUEN-DU-BREUIL")</f>
        <v>SAINT-OUEN-DU-BREUIL</v>
      </c>
      <c r="E36232" s="38" t="s">
        <v>133</v>
      </c>
      <c r="F36232" s="38" t="s">
        <v>134</v>
      </c>
      <c r="G36232" s="49" t="str">
        <f t="shared" si="1"/>
        <v>76890</v>
      </c>
      <c r="H36232" s="49">
        <f t="shared" si="2"/>
        <v>76628</v>
      </c>
    </row>
    <row r="36233">
      <c r="A36233" s="48" t="s">
        <v>8202</v>
      </c>
      <c r="B36233" s="38">
        <v>42236.0</v>
      </c>
      <c r="C36233" s="38" t="s">
        <v>40326</v>
      </c>
      <c r="D36233" s="38" t="str">
        <f>IFERROR(__xludf.DUMMYFUNCTION("REGEXREPLACE(C36233,""-\d+(.*)|--\d+(.*)"","""")"),"SAINT-HILAIRE-SOUS-CHARLIEU")</f>
        <v>SAINT-HILAIRE-SOUS-CHARLIEU</v>
      </c>
      <c r="E36233" s="38" t="s">
        <v>166</v>
      </c>
      <c r="F36233" s="38" t="s">
        <v>102</v>
      </c>
      <c r="G36233" s="49" t="str">
        <f t="shared" si="1"/>
        <v>42190</v>
      </c>
      <c r="H36233" s="49">
        <f t="shared" si="2"/>
        <v>42236</v>
      </c>
    </row>
    <row r="36234">
      <c r="A36234" s="48" t="s">
        <v>40327</v>
      </c>
      <c r="B36234" s="38">
        <v>59624.0</v>
      </c>
      <c r="C36234" s="38" t="s">
        <v>40328</v>
      </c>
      <c r="D36234" s="38" t="str">
        <f>IFERROR(__xludf.DUMMYFUNCTION("REGEXREPLACE(C36234,""-\d+(.*)|--\d+(.*)"","""")"),"VILLERS-OUTREAUX")</f>
        <v>VILLERS-OUTREAUX</v>
      </c>
      <c r="E36234" s="38" t="s">
        <v>85</v>
      </c>
      <c r="F36234" s="38" t="s">
        <v>86</v>
      </c>
      <c r="G36234" s="49" t="str">
        <f t="shared" si="1"/>
        <v>59142</v>
      </c>
      <c r="H36234" s="49">
        <f t="shared" si="2"/>
        <v>59624</v>
      </c>
    </row>
    <row r="36235">
      <c r="A36235" s="48" t="s">
        <v>2763</v>
      </c>
      <c r="B36235" s="38">
        <v>47107.0</v>
      </c>
      <c r="C36235" s="38" t="s">
        <v>40329</v>
      </c>
      <c r="D36235" s="38" t="str">
        <f>IFERROR(__xludf.DUMMYFUNCTION("REGEXREPLACE(C36235,""-\d+(.*)|--\d+(.*)"","""")"),"GALAPIAN")</f>
        <v>GALAPIAN</v>
      </c>
      <c r="E36235" s="38" t="s">
        <v>251</v>
      </c>
      <c r="F36235" s="38" t="s">
        <v>252</v>
      </c>
      <c r="G36235" s="49" t="str">
        <f t="shared" si="1"/>
        <v>47190</v>
      </c>
      <c r="H36235" s="49">
        <f t="shared" si="2"/>
        <v>47107</v>
      </c>
    </row>
    <row r="36236">
      <c r="A36236" s="48" t="s">
        <v>7020</v>
      </c>
      <c r="B36236" s="38">
        <v>2821.0</v>
      </c>
      <c r="C36236" s="38" t="s">
        <v>40330</v>
      </c>
      <c r="D36236" s="38" t="str">
        <f>IFERROR(__xludf.DUMMYFUNCTION("REGEXREPLACE(C36236,""-\d+(.*)|--\d+(.*)"","""")"),"VIVAISE")</f>
        <v>VIVAISE</v>
      </c>
      <c r="E36236" s="38" t="s">
        <v>191</v>
      </c>
      <c r="F36236" s="38" t="s">
        <v>113</v>
      </c>
      <c r="G36236" s="49" t="str">
        <f t="shared" si="1"/>
        <v>02870</v>
      </c>
      <c r="H36236" s="49" t="str">
        <f t="shared" si="2"/>
        <v>02821</v>
      </c>
    </row>
    <row r="36237">
      <c r="A36237" s="48" t="s">
        <v>7861</v>
      </c>
      <c r="B36237" s="38">
        <v>78334.0</v>
      </c>
      <c r="C36237" s="38" t="s">
        <v>40331</v>
      </c>
      <c r="D36237" s="38" t="str">
        <f>IFERROR(__xludf.DUMMYFUNCTION("REGEXREPLACE(C36237,""-\d+(.*)|--\d+(.*)"","""")"),"LEVIS-SAINT-NOM")</f>
        <v>LEVIS-SAINT-NOM</v>
      </c>
      <c r="E36237" s="38" t="s">
        <v>362</v>
      </c>
      <c r="F36237" s="38" t="s">
        <v>245</v>
      </c>
      <c r="G36237" s="49" t="str">
        <f t="shared" si="1"/>
        <v>78320</v>
      </c>
      <c r="H36237" s="49">
        <f t="shared" si="2"/>
        <v>78334</v>
      </c>
    </row>
    <row r="36238">
      <c r="A36238" s="48" t="s">
        <v>2628</v>
      </c>
      <c r="B36238" s="38">
        <v>19003.0</v>
      </c>
      <c r="C36238" s="38" t="s">
        <v>40332</v>
      </c>
      <c r="D36238" s="38" t="str">
        <f>IFERROR(__xludf.DUMMYFUNCTION("REGEXREPLACE(C36238,""-\d+(.*)|--\d+(.*)"","""")"),"ALBIGNAC")</f>
        <v>ALBIGNAC</v>
      </c>
      <c r="E36238" s="38" t="s">
        <v>271</v>
      </c>
      <c r="F36238" s="38" t="s">
        <v>98</v>
      </c>
      <c r="G36238" s="49" t="str">
        <f t="shared" si="1"/>
        <v>19190</v>
      </c>
      <c r="H36238" s="49">
        <f t="shared" si="2"/>
        <v>19003</v>
      </c>
    </row>
    <row r="36239">
      <c r="A36239" s="48" t="s">
        <v>8298</v>
      </c>
      <c r="B36239" s="38">
        <v>54460.0</v>
      </c>
      <c r="C36239" s="38" t="s">
        <v>40333</v>
      </c>
      <c r="D36239" s="38" t="str">
        <f>IFERROR(__xludf.DUMMYFUNCTION("REGEXREPLACE(C36239,""-\d+(.*)|--\d+(.*)"","""")"),"ROGEVILLE")</f>
        <v>ROGEVILLE</v>
      </c>
      <c r="E36239" s="38" t="s">
        <v>548</v>
      </c>
      <c r="F36239" s="38" t="s">
        <v>195</v>
      </c>
      <c r="G36239" s="49" t="str">
        <f t="shared" si="1"/>
        <v>54380</v>
      </c>
      <c r="H36239" s="49">
        <f t="shared" si="2"/>
        <v>54460</v>
      </c>
    </row>
    <row r="36240">
      <c r="A36240" s="48" t="s">
        <v>4867</v>
      </c>
      <c r="B36240" s="38">
        <v>82083.0</v>
      </c>
      <c r="C36240" s="38" t="s">
        <v>2441</v>
      </c>
      <c r="D36240" s="38" t="str">
        <f>IFERROR(__xludf.DUMMYFUNCTION("REGEXREPLACE(C36240,""-\d+(.*)|--\d+(.*)"","""")"),"LACHAPELLE")</f>
        <v>LACHAPELLE</v>
      </c>
      <c r="E36240" s="38" t="s">
        <v>570</v>
      </c>
      <c r="F36240" s="38" t="s">
        <v>94</v>
      </c>
      <c r="G36240" s="49" t="str">
        <f t="shared" si="1"/>
        <v>82120</v>
      </c>
      <c r="H36240" s="49">
        <f t="shared" si="2"/>
        <v>82083</v>
      </c>
    </row>
    <row r="36241">
      <c r="A36241" s="48" t="s">
        <v>13012</v>
      </c>
      <c r="B36241" s="38">
        <v>68147.0</v>
      </c>
      <c r="C36241" s="38" t="s">
        <v>40334</v>
      </c>
      <c r="D36241" s="38" t="str">
        <f>IFERROR(__xludf.DUMMYFUNCTION("REGEXREPLACE(C36241,""-\d+(.*)|--\d+(.*)"","""")"),"HUNAWIHR")</f>
        <v>HUNAWIHR</v>
      </c>
      <c r="E36241" s="38" t="s">
        <v>150</v>
      </c>
      <c r="F36241" s="38" t="s">
        <v>151</v>
      </c>
      <c r="G36241" s="49" t="str">
        <f t="shared" si="1"/>
        <v>68150</v>
      </c>
      <c r="H36241" s="49">
        <f t="shared" si="2"/>
        <v>68147</v>
      </c>
    </row>
    <row r="36242">
      <c r="A36242" s="48" t="s">
        <v>11792</v>
      </c>
      <c r="B36242" s="38">
        <v>86161.0</v>
      </c>
      <c r="C36242" s="38" t="s">
        <v>33275</v>
      </c>
      <c r="D36242" s="38" t="str">
        <f>IFERROR(__xludf.DUMMYFUNCTION("REGEXREPLACE(C36242,""-\d+(.*)|--\d+(.*)"","""")"),"MONCONTOUR")</f>
        <v>MONCONTOUR</v>
      </c>
      <c r="E36242" s="38" t="s">
        <v>529</v>
      </c>
      <c r="F36242" s="38" t="s">
        <v>338</v>
      </c>
      <c r="G36242" s="49" t="str">
        <f t="shared" si="1"/>
        <v>86330</v>
      </c>
      <c r="H36242" s="49">
        <f t="shared" si="2"/>
        <v>86161</v>
      </c>
    </row>
    <row r="36243">
      <c r="A36243" s="48" t="s">
        <v>27539</v>
      </c>
      <c r="B36243" s="38">
        <v>38129.0</v>
      </c>
      <c r="C36243" s="38" t="s">
        <v>40335</v>
      </c>
      <c r="D36243" s="38" t="str">
        <f>IFERROR(__xludf.DUMMYFUNCTION("REGEXREPLACE(C36243,""-\d+(.*)|--\d+(.*)"","""")"),"CORRENCON-EN-VERCORS")</f>
        <v>CORRENCON-EN-VERCORS</v>
      </c>
      <c r="E36243" s="38" t="s">
        <v>101</v>
      </c>
      <c r="F36243" s="38" t="s">
        <v>102</v>
      </c>
      <c r="G36243" s="49" t="str">
        <f t="shared" si="1"/>
        <v>38250</v>
      </c>
      <c r="H36243" s="49">
        <f t="shared" si="2"/>
        <v>38129</v>
      </c>
    </row>
    <row r="36244">
      <c r="A36244" s="48" t="s">
        <v>2462</v>
      </c>
      <c r="B36244" s="38">
        <v>1396.0</v>
      </c>
      <c r="C36244" s="38" t="s">
        <v>40336</v>
      </c>
      <c r="D36244" s="38" t="str">
        <f>IFERROR(__xludf.DUMMYFUNCTION("REGEXREPLACE(C36244,""-\d+(.*)|--\d+(.*)"","""")"),"SAULT-BRENAZ")</f>
        <v>SAULT-BRENAZ</v>
      </c>
      <c r="E36244" s="38" t="s">
        <v>255</v>
      </c>
      <c r="F36244" s="38" t="s">
        <v>102</v>
      </c>
      <c r="G36244" s="49" t="str">
        <f t="shared" si="1"/>
        <v>01150</v>
      </c>
      <c r="H36244" s="49" t="str">
        <f t="shared" si="2"/>
        <v>01396</v>
      </c>
    </row>
    <row r="36245">
      <c r="A36245" s="48" t="s">
        <v>2534</v>
      </c>
      <c r="B36245" s="38">
        <v>27595.0</v>
      </c>
      <c r="C36245" s="38" t="s">
        <v>40337</v>
      </c>
      <c r="D36245" s="38" t="str">
        <f>IFERROR(__xludf.DUMMYFUNCTION("REGEXREPLACE(C36245,""-\d+(.*)|--\d+(.*)"","""")"),"SAINT-PIERRE-DU-BOSGUERARD")</f>
        <v>SAINT-PIERRE-DU-BOSGUERARD</v>
      </c>
      <c r="E36245" s="38" t="s">
        <v>241</v>
      </c>
      <c r="F36245" s="38" t="s">
        <v>134</v>
      </c>
      <c r="G36245" s="49" t="str">
        <f t="shared" si="1"/>
        <v>27370</v>
      </c>
      <c r="H36245" s="49">
        <f t="shared" si="2"/>
        <v>27595</v>
      </c>
    </row>
    <row r="36246">
      <c r="A36246" s="48" t="s">
        <v>23935</v>
      </c>
      <c r="B36246" s="38">
        <v>68101.0</v>
      </c>
      <c r="C36246" s="38" t="s">
        <v>40338</v>
      </c>
      <c r="D36246" s="38" t="str">
        <f>IFERROR(__xludf.DUMMYFUNCTION("REGEXREPLACE(C36246,""-\d+(.*)|--\d+(.*)"","""")"),"GALFINGUE")</f>
        <v>GALFINGUE</v>
      </c>
      <c r="E36246" s="38" t="s">
        <v>150</v>
      </c>
      <c r="F36246" s="38" t="s">
        <v>151</v>
      </c>
      <c r="G36246" s="49" t="str">
        <f t="shared" si="1"/>
        <v>68990</v>
      </c>
      <c r="H36246" s="49">
        <f t="shared" si="2"/>
        <v>68101</v>
      </c>
    </row>
    <row r="36247">
      <c r="A36247" s="48" t="s">
        <v>4123</v>
      </c>
      <c r="B36247" s="38">
        <v>60180.0</v>
      </c>
      <c r="C36247" s="38" t="s">
        <v>40339</v>
      </c>
      <c r="D36247" s="38" t="str">
        <f>IFERROR(__xludf.DUMMYFUNCTION("REGEXREPLACE(C36247,""-\d+(.*)|--\d+(.*)"","""")"),"CRILLON")</f>
        <v>CRILLON</v>
      </c>
      <c r="E36247" s="38" t="s">
        <v>112</v>
      </c>
      <c r="F36247" s="38" t="s">
        <v>113</v>
      </c>
      <c r="G36247" s="49" t="str">
        <f t="shared" si="1"/>
        <v>60112</v>
      </c>
      <c r="H36247" s="49">
        <f t="shared" si="2"/>
        <v>60180</v>
      </c>
    </row>
    <row r="36248">
      <c r="A36248" s="48" t="s">
        <v>40340</v>
      </c>
      <c r="B36248" s="38">
        <v>35181.0</v>
      </c>
      <c r="C36248" s="38" t="s">
        <v>40341</v>
      </c>
      <c r="D36248" s="38" t="str">
        <f>IFERROR(__xludf.DUMMYFUNCTION("REGEXREPLACE(C36248,""-\d+(.*)|--\d+(.*)"","""")"),"LE MINIHIC-SUR-RANCE")</f>
        <v>LE MINIHIC-SUR-RANCE</v>
      </c>
      <c r="E36248" s="38" t="s">
        <v>347</v>
      </c>
      <c r="F36248" s="38" t="s">
        <v>90</v>
      </c>
      <c r="G36248" s="49" t="str">
        <f t="shared" si="1"/>
        <v>35870</v>
      </c>
      <c r="H36248" s="49">
        <f t="shared" si="2"/>
        <v>35181</v>
      </c>
    </row>
    <row r="36249">
      <c r="A36249" s="48" t="s">
        <v>40342</v>
      </c>
      <c r="B36249" s="38">
        <v>16374.0</v>
      </c>
      <c r="C36249" s="38" t="s">
        <v>40343</v>
      </c>
      <c r="D36249" s="38" t="str">
        <f>IFERROR(__xludf.DUMMYFUNCTION("REGEXREPLACE(C36249,""-\d+(.*)|--\d+(.*)"","""")"),"SOYAUX")</f>
        <v>SOYAUX</v>
      </c>
      <c r="E36249" s="38" t="s">
        <v>429</v>
      </c>
      <c r="F36249" s="38" t="s">
        <v>338</v>
      </c>
      <c r="G36249" s="49" t="str">
        <f t="shared" si="1"/>
        <v>16800</v>
      </c>
      <c r="H36249" s="49">
        <f t="shared" si="2"/>
        <v>16374</v>
      </c>
    </row>
    <row r="36250">
      <c r="A36250" s="48" t="s">
        <v>26340</v>
      </c>
      <c r="B36250" s="38">
        <v>63453.0</v>
      </c>
      <c r="C36250" s="38" t="s">
        <v>40344</v>
      </c>
      <c r="D36250" s="38" t="str">
        <f>IFERROR(__xludf.DUMMYFUNCTION("REGEXREPLACE(C36250,""-\d+(.*)|--\d+(.*)"","""")"),"VERTAIZON")</f>
        <v>VERTAIZON</v>
      </c>
      <c r="E36250" s="38" t="s">
        <v>353</v>
      </c>
      <c r="F36250" s="38" t="s">
        <v>161</v>
      </c>
      <c r="G36250" s="49" t="str">
        <f t="shared" si="1"/>
        <v>63910</v>
      </c>
      <c r="H36250" s="49">
        <f t="shared" si="2"/>
        <v>63453</v>
      </c>
    </row>
    <row r="36251">
      <c r="A36251" s="48" t="s">
        <v>3776</v>
      </c>
      <c r="B36251" s="38">
        <v>15037.0</v>
      </c>
      <c r="C36251" s="38" t="s">
        <v>34505</v>
      </c>
      <c r="D36251" s="38" t="str">
        <f>IFERROR(__xludf.DUMMYFUNCTION("REGEXREPLACE(C36251,""-\d+(.*)|--\d+(.*)"","""")"),"CHAMPAGNAC")</f>
        <v>CHAMPAGNAC</v>
      </c>
      <c r="E36251" s="38" t="s">
        <v>632</v>
      </c>
      <c r="F36251" s="38" t="s">
        <v>161</v>
      </c>
      <c r="G36251" s="49" t="str">
        <f t="shared" si="1"/>
        <v>15350</v>
      </c>
      <c r="H36251" s="49">
        <f t="shared" si="2"/>
        <v>15037</v>
      </c>
    </row>
    <row r="36252">
      <c r="A36252" s="48" t="s">
        <v>5555</v>
      </c>
      <c r="B36252" s="38">
        <v>82053.0</v>
      </c>
      <c r="C36252" s="38" t="s">
        <v>40345</v>
      </c>
      <c r="D36252" s="38" t="str">
        <f>IFERROR(__xludf.DUMMYFUNCTION("REGEXREPLACE(C36252,""-\d+(.*)|--\d+(.*)"","""")"),"ESCAZEAUX")</f>
        <v>ESCAZEAUX</v>
      </c>
      <c r="E36252" s="38" t="s">
        <v>570</v>
      </c>
      <c r="F36252" s="38" t="s">
        <v>94</v>
      </c>
      <c r="G36252" s="49" t="str">
        <f t="shared" si="1"/>
        <v>82500</v>
      </c>
      <c r="H36252" s="49">
        <f t="shared" si="2"/>
        <v>82053</v>
      </c>
    </row>
    <row r="36253">
      <c r="A36253" s="48" t="s">
        <v>155</v>
      </c>
      <c r="B36253" s="38">
        <v>50376.0</v>
      </c>
      <c r="C36253" s="38" t="s">
        <v>40346</v>
      </c>
      <c r="D36253" s="38" t="str">
        <f>IFERROR(__xludf.DUMMYFUNCTION("REGEXREPLACE(C36253,""-\d+(.*)|--\d+(.*)"","""")"),"NICORPS")</f>
        <v>NICORPS</v>
      </c>
      <c r="E36253" s="38" t="s">
        <v>157</v>
      </c>
      <c r="F36253" s="38" t="s">
        <v>138</v>
      </c>
      <c r="G36253" s="49" t="str">
        <f t="shared" si="1"/>
        <v>50200</v>
      </c>
      <c r="H36253" s="49">
        <f t="shared" si="2"/>
        <v>50376</v>
      </c>
    </row>
    <row r="36254">
      <c r="A36254" s="48" t="s">
        <v>7914</v>
      </c>
      <c r="B36254" s="38">
        <v>84088.0</v>
      </c>
      <c r="C36254" s="38" t="s">
        <v>40347</v>
      </c>
      <c r="D36254" s="38" t="str">
        <f>IFERROR(__xludf.DUMMYFUNCTION("REGEXREPLACE(C36254,""-\d+(.*)|--\d+(.*)"","""")"),"PERNES-LES-FONTAINES")</f>
        <v>PERNES-LES-FONTAINES</v>
      </c>
      <c r="E36254" s="38" t="s">
        <v>1026</v>
      </c>
      <c r="F36254" s="38" t="s">
        <v>228</v>
      </c>
      <c r="G36254" s="49" t="str">
        <f t="shared" si="1"/>
        <v>84210</v>
      </c>
      <c r="H36254" s="49">
        <f t="shared" si="2"/>
        <v>84088</v>
      </c>
    </row>
    <row r="36255">
      <c r="A36255" s="48" t="s">
        <v>2292</v>
      </c>
      <c r="B36255" s="38">
        <v>76105.0</v>
      </c>
      <c r="C36255" s="38" t="s">
        <v>40348</v>
      </c>
      <c r="D36255" s="38" t="str">
        <f>IFERROR(__xludf.DUMMYFUNCTION("REGEXREPLACE(C36255,""-\d+(.*)|--\d+(.*)"","""")"),"LE BOCASSE")</f>
        <v>LE BOCASSE</v>
      </c>
      <c r="E36255" s="38" t="s">
        <v>133</v>
      </c>
      <c r="F36255" s="38" t="s">
        <v>134</v>
      </c>
      <c r="G36255" s="49" t="str">
        <f t="shared" si="1"/>
        <v>76690</v>
      </c>
      <c r="H36255" s="49">
        <f t="shared" si="2"/>
        <v>76105</v>
      </c>
    </row>
    <row r="36256">
      <c r="A36256" s="48" t="s">
        <v>4420</v>
      </c>
      <c r="B36256" s="38">
        <v>31285.0</v>
      </c>
      <c r="C36256" s="38" t="s">
        <v>5554</v>
      </c>
      <c r="D36256" s="38" t="str">
        <f>IFERROR(__xludf.DUMMYFUNCTION("REGEXREPLACE(C36256,""-\d+(.*)|--\d+(.*)"","""")"),"LAVALETTE")</f>
        <v>LAVALETTE</v>
      </c>
      <c r="E36256" s="38" t="s">
        <v>93</v>
      </c>
      <c r="F36256" s="38" t="s">
        <v>94</v>
      </c>
      <c r="G36256" s="49" t="str">
        <f t="shared" si="1"/>
        <v>31590</v>
      </c>
      <c r="H36256" s="49">
        <f t="shared" si="2"/>
        <v>31285</v>
      </c>
    </row>
    <row r="36257">
      <c r="A36257" s="48" t="s">
        <v>5330</v>
      </c>
      <c r="B36257" s="38">
        <v>30042.0</v>
      </c>
      <c r="C36257" s="38" t="s">
        <v>40349</v>
      </c>
      <c r="D36257" s="38" t="str">
        <f>IFERROR(__xludf.DUMMYFUNCTION("REGEXREPLACE(C36257,""-\d+(.*)|--\d+(.*)"","""")"),"BOISSET-ET-GAUJAC")</f>
        <v>BOISSET-ET-GAUJAC</v>
      </c>
      <c r="E36257" s="38" t="s">
        <v>526</v>
      </c>
      <c r="F36257" s="38" t="s">
        <v>119</v>
      </c>
      <c r="G36257" s="49" t="str">
        <f t="shared" si="1"/>
        <v>30140</v>
      </c>
      <c r="H36257" s="49">
        <f t="shared" si="2"/>
        <v>30042</v>
      </c>
    </row>
    <row r="36258">
      <c r="A36258" s="48" t="s">
        <v>5214</v>
      </c>
      <c r="B36258" s="38">
        <v>9114.0</v>
      </c>
      <c r="C36258" s="38" t="s">
        <v>40350</v>
      </c>
      <c r="D36258" s="38" t="str">
        <f>IFERROR(__xludf.DUMMYFUNCTION("REGEXREPLACE(C36258,""-\d+(.*)|--\d+(.*)"","""")"),"ERP")</f>
        <v>ERP</v>
      </c>
      <c r="E36258" s="38" t="s">
        <v>238</v>
      </c>
      <c r="F36258" s="38" t="s">
        <v>94</v>
      </c>
      <c r="G36258" s="49" t="str">
        <f t="shared" si="1"/>
        <v>09200</v>
      </c>
      <c r="H36258" s="49" t="str">
        <f t="shared" si="2"/>
        <v>09114</v>
      </c>
    </row>
    <row r="36259">
      <c r="A36259" s="48" t="s">
        <v>476</v>
      </c>
      <c r="B36259" s="38">
        <v>35044.0</v>
      </c>
      <c r="C36259" s="38" t="s">
        <v>40351</v>
      </c>
      <c r="D36259" s="38" t="str">
        <f>IFERROR(__xludf.DUMMYFUNCTION("REGEXREPLACE(C36259,""-\d+(.*)|--\d+(.*)"","""")"),"BROUALAN")</f>
        <v>BROUALAN</v>
      </c>
      <c r="E36259" s="38" t="s">
        <v>347</v>
      </c>
      <c r="F36259" s="38" t="s">
        <v>90</v>
      </c>
      <c r="G36259" s="49" t="str">
        <f t="shared" si="1"/>
        <v>35120</v>
      </c>
      <c r="H36259" s="49">
        <f t="shared" si="2"/>
        <v>35044</v>
      </c>
    </row>
    <row r="36260">
      <c r="A36260" s="48" t="s">
        <v>3500</v>
      </c>
      <c r="B36260" s="38">
        <v>38259.0</v>
      </c>
      <c r="C36260" s="38" t="s">
        <v>40352</v>
      </c>
      <c r="D36260" s="38" t="str">
        <f>IFERROR(__xludf.DUMMYFUNCTION("REGEXREPLACE(C36260,""-\d+(.*)|--\d+(.*)"","""")"),"MONTSEVEROUX")</f>
        <v>MONTSEVEROUX</v>
      </c>
      <c r="E36260" s="38" t="s">
        <v>101</v>
      </c>
      <c r="F36260" s="38" t="s">
        <v>102</v>
      </c>
      <c r="G36260" s="49" t="str">
        <f t="shared" si="1"/>
        <v>38122</v>
      </c>
      <c r="H36260" s="49">
        <f t="shared" si="2"/>
        <v>38259</v>
      </c>
    </row>
    <row r="36261">
      <c r="A36261" s="48" t="s">
        <v>1505</v>
      </c>
      <c r="B36261" s="38">
        <v>81212.0</v>
      </c>
      <c r="C36261" s="38" t="s">
        <v>14559</v>
      </c>
      <c r="D36261" s="38" t="str">
        <f>IFERROR(__xludf.DUMMYFUNCTION("REGEXREPLACE(C36261,""-\d+(.*)|--\d+(.*)"","""")"),"PRADES")</f>
        <v>PRADES</v>
      </c>
      <c r="E36261" s="38" t="s">
        <v>231</v>
      </c>
      <c r="F36261" s="38" t="s">
        <v>94</v>
      </c>
      <c r="G36261" s="49" t="str">
        <f t="shared" si="1"/>
        <v>81220</v>
      </c>
      <c r="H36261" s="49">
        <f t="shared" si="2"/>
        <v>81212</v>
      </c>
    </row>
    <row r="36262">
      <c r="A36262" s="48" t="s">
        <v>6235</v>
      </c>
      <c r="B36262" s="38">
        <v>49240.0</v>
      </c>
      <c r="C36262" s="38" t="s">
        <v>40353</v>
      </c>
      <c r="D36262" s="38" t="str">
        <f>IFERROR(__xludf.DUMMYFUNCTION("REGEXREPLACE(C36262,""-\d+(.*)|--\d+(.*)"","""")"),"LA PLAINE")</f>
        <v>LA PLAINE</v>
      </c>
      <c r="E36262" s="38" t="s">
        <v>653</v>
      </c>
      <c r="F36262" s="38" t="s">
        <v>180</v>
      </c>
      <c r="G36262" s="49" t="str">
        <f t="shared" si="1"/>
        <v>49360</v>
      </c>
      <c r="H36262" s="49">
        <f t="shared" si="2"/>
        <v>49240</v>
      </c>
    </row>
    <row r="36263">
      <c r="A36263" s="48" t="s">
        <v>1195</v>
      </c>
      <c r="B36263" s="38">
        <v>80184.0</v>
      </c>
      <c r="C36263" s="38" t="s">
        <v>40354</v>
      </c>
      <c r="D36263" s="38" t="str">
        <f>IFERROR(__xludf.DUMMYFUNCTION("REGEXREPLACE(C36263,""-\d+(.*)|--\d+(.*)"","""")"),"CERISY")</f>
        <v>CERISY</v>
      </c>
      <c r="E36263" s="38" t="s">
        <v>224</v>
      </c>
      <c r="F36263" s="38" t="s">
        <v>113</v>
      </c>
      <c r="G36263" s="49" t="str">
        <f t="shared" si="1"/>
        <v>80800</v>
      </c>
      <c r="H36263" s="49">
        <f t="shared" si="2"/>
        <v>80184</v>
      </c>
    </row>
    <row r="36264">
      <c r="A36264" s="48" t="s">
        <v>5700</v>
      </c>
      <c r="B36264" s="38">
        <v>36105.0</v>
      </c>
      <c r="C36264" s="38" t="s">
        <v>40355</v>
      </c>
      <c r="D36264" s="38" t="str">
        <f>IFERROR(__xludf.DUMMYFUNCTION("REGEXREPLACE(C36264,""-\d+(.*)|--\d+(.*)"","""")"),"LUREUIL")</f>
        <v>LUREUIL</v>
      </c>
      <c r="E36264" s="38" t="s">
        <v>258</v>
      </c>
      <c r="F36264" s="38" t="s">
        <v>123</v>
      </c>
      <c r="G36264" s="49" t="str">
        <f t="shared" si="1"/>
        <v>36220</v>
      </c>
      <c r="H36264" s="49">
        <f t="shared" si="2"/>
        <v>36105</v>
      </c>
    </row>
    <row r="36265">
      <c r="A36265" s="48" t="s">
        <v>11859</v>
      </c>
      <c r="B36265" s="38">
        <v>71497.0</v>
      </c>
      <c r="C36265" s="38" t="s">
        <v>40356</v>
      </c>
      <c r="D36265" s="38" t="str">
        <f>IFERROR(__xludf.DUMMYFUNCTION("REGEXREPLACE(C36265,""-\d+(.*)|--\d+(.*)"","""")"),"SANCE")</f>
        <v>SANCE</v>
      </c>
      <c r="E36265" s="38" t="s">
        <v>344</v>
      </c>
      <c r="F36265" s="38" t="s">
        <v>106</v>
      </c>
      <c r="G36265" s="49" t="str">
        <f t="shared" si="1"/>
        <v>71000</v>
      </c>
      <c r="H36265" s="49">
        <f t="shared" si="2"/>
        <v>71497</v>
      </c>
    </row>
    <row r="36266">
      <c r="A36266" s="48" t="s">
        <v>1193</v>
      </c>
      <c r="B36266" s="38">
        <v>54356.0</v>
      </c>
      <c r="C36266" s="38" t="s">
        <v>40357</v>
      </c>
      <c r="D36266" s="38" t="str">
        <f>IFERROR(__xludf.DUMMYFUNCTION("REGEXREPLACE(C36266,""-\d+(.*)|--\d+(.*)"","""")"),"MATTEXEY")</f>
        <v>MATTEXEY</v>
      </c>
      <c r="E36266" s="38" t="s">
        <v>548</v>
      </c>
      <c r="F36266" s="38" t="s">
        <v>195</v>
      </c>
      <c r="G36266" s="49" t="str">
        <f t="shared" si="1"/>
        <v>54830</v>
      </c>
      <c r="H36266" s="49">
        <f t="shared" si="2"/>
        <v>54356</v>
      </c>
    </row>
    <row r="36267">
      <c r="A36267" s="48" t="s">
        <v>3793</v>
      </c>
      <c r="B36267" s="38">
        <v>86117.0</v>
      </c>
      <c r="C36267" s="38" t="s">
        <v>40358</v>
      </c>
      <c r="D36267" s="38" t="str">
        <f>IFERROR(__xludf.DUMMYFUNCTION("REGEXREPLACE(C36267,""-\d+(.*)|--\d+(.*)"","""")"),"JOUHET")</f>
        <v>JOUHET</v>
      </c>
      <c r="E36267" s="38" t="s">
        <v>529</v>
      </c>
      <c r="F36267" s="38" t="s">
        <v>338</v>
      </c>
      <c r="G36267" s="49" t="str">
        <f t="shared" si="1"/>
        <v>86500</v>
      </c>
      <c r="H36267" s="49">
        <f t="shared" si="2"/>
        <v>86117</v>
      </c>
    </row>
    <row r="36268">
      <c r="A36268" s="48" t="s">
        <v>2960</v>
      </c>
      <c r="B36268" s="38">
        <v>86008.0</v>
      </c>
      <c r="C36268" s="38" t="s">
        <v>18351</v>
      </c>
      <c r="D36268" s="38" t="str">
        <f>IFERROR(__xludf.DUMMYFUNCTION("REGEXREPLACE(C36268,""-\d+(.*)|--\d+(.*)"","""")"),"ARCAY")</f>
        <v>ARCAY</v>
      </c>
      <c r="E36268" s="38" t="s">
        <v>529</v>
      </c>
      <c r="F36268" s="38" t="s">
        <v>338</v>
      </c>
      <c r="G36268" s="49" t="str">
        <f t="shared" si="1"/>
        <v>86200</v>
      </c>
      <c r="H36268" s="49">
        <f t="shared" si="2"/>
        <v>86008</v>
      </c>
    </row>
    <row r="36269">
      <c r="A36269" s="48" t="s">
        <v>4766</v>
      </c>
      <c r="B36269" s="38">
        <v>64121.0</v>
      </c>
      <c r="C36269" s="38" t="s">
        <v>40359</v>
      </c>
      <c r="D36269" s="38" t="str">
        <f>IFERROR(__xludf.DUMMYFUNCTION("REGEXREPLACE(C36269,""-\d+(.*)|--\d+(.*)"","""")"),"BEYRIE-EN-BEARN")</f>
        <v>BEYRIE-EN-BEARN</v>
      </c>
      <c r="E36269" s="38" t="s">
        <v>268</v>
      </c>
      <c r="F36269" s="38" t="s">
        <v>252</v>
      </c>
      <c r="G36269" s="49" t="str">
        <f t="shared" si="1"/>
        <v>64230</v>
      </c>
      <c r="H36269" s="49">
        <f t="shared" si="2"/>
        <v>64121</v>
      </c>
    </row>
    <row r="36270">
      <c r="A36270" s="48" t="s">
        <v>724</v>
      </c>
      <c r="B36270" s="38">
        <v>32361.0</v>
      </c>
      <c r="C36270" s="38" t="s">
        <v>3308</v>
      </c>
      <c r="D36270" s="38" t="str">
        <f>IFERROR(__xludf.DUMMYFUNCTION("REGEXREPLACE(C36270,""-\d+(.*)|--\d+(.*)"","""")"),"SAINT-ARROMAN")</f>
        <v>SAINT-ARROMAN</v>
      </c>
      <c r="E36270" s="38" t="s">
        <v>440</v>
      </c>
      <c r="F36270" s="38" t="s">
        <v>94</v>
      </c>
      <c r="G36270" s="49" t="str">
        <f t="shared" si="1"/>
        <v>32300</v>
      </c>
      <c r="H36270" s="49">
        <f t="shared" si="2"/>
        <v>32361</v>
      </c>
    </row>
    <row r="36271">
      <c r="A36271" s="48" t="s">
        <v>1332</v>
      </c>
      <c r="B36271" s="38">
        <v>51053.0</v>
      </c>
      <c r="C36271" s="38" t="s">
        <v>40360</v>
      </c>
      <c r="D36271" s="38" t="str">
        <f>IFERROR(__xludf.DUMMYFUNCTION("REGEXREPLACE(C36271,""-\d+(.*)|--\d+(.*)"","""")"),"BERZIEUX")</f>
        <v>BERZIEUX</v>
      </c>
      <c r="E36271" s="38" t="s">
        <v>129</v>
      </c>
      <c r="F36271" s="38" t="s">
        <v>130</v>
      </c>
      <c r="G36271" s="49" t="str">
        <f t="shared" si="1"/>
        <v>51800</v>
      </c>
      <c r="H36271" s="49">
        <f t="shared" si="2"/>
        <v>51053</v>
      </c>
    </row>
    <row r="36272">
      <c r="A36272" s="48" t="s">
        <v>3900</v>
      </c>
      <c r="B36272" s="38">
        <v>2178.0</v>
      </c>
      <c r="C36272" s="38" t="s">
        <v>40361</v>
      </c>
      <c r="D36272" s="38" t="str">
        <f>IFERROR(__xludf.DUMMYFUNCTION("REGEXREPLACE(C36272,""-\d+(.*)|--\d+(.*)"","""")"),"CHERMIZY-AILLES")</f>
        <v>CHERMIZY-AILLES</v>
      </c>
      <c r="E36272" s="38" t="s">
        <v>191</v>
      </c>
      <c r="F36272" s="38" t="s">
        <v>113</v>
      </c>
      <c r="G36272" s="49" t="str">
        <f t="shared" si="1"/>
        <v>02860</v>
      </c>
      <c r="H36272" s="49" t="str">
        <f t="shared" si="2"/>
        <v>02178</v>
      </c>
    </row>
    <row r="36273">
      <c r="A36273" s="48" t="s">
        <v>12799</v>
      </c>
      <c r="B36273" s="38">
        <v>11164.0</v>
      </c>
      <c r="C36273" s="38" t="s">
        <v>40362</v>
      </c>
      <c r="D36273" s="38" t="str">
        <f>IFERROR(__xludf.DUMMYFUNCTION("REGEXREPLACE(C36273,""-\d+(.*)|--\d+(.*)"","""")"),"GINESTAS")</f>
        <v>GINESTAS</v>
      </c>
      <c r="E36273" s="38" t="s">
        <v>278</v>
      </c>
      <c r="F36273" s="38" t="s">
        <v>119</v>
      </c>
      <c r="G36273" s="49" t="str">
        <f t="shared" si="1"/>
        <v>11120</v>
      </c>
      <c r="H36273" s="49">
        <f t="shared" si="2"/>
        <v>11164</v>
      </c>
    </row>
    <row r="36274">
      <c r="A36274" s="48" t="s">
        <v>9660</v>
      </c>
      <c r="B36274" s="38">
        <v>89128.0</v>
      </c>
      <c r="C36274" s="38" t="s">
        <v>40363</v>
      </c>
      <c r="D36274" s="38" t="str">
        <f>IFERROR(__xludf.DUMMYFUNCTION("REGEXREPLACE(C36274,""-\d+(.*)|--\d+(.*)"","""")"),"COUTARNOUX")</f>
        <v>COUTARNOUX</v>
      </c>
      <c r="E36274" s="38" t="s">
        <v>275</v>
      </c>
      <c r="F36274" s="38" t="s">
        <v>106</v>
      </c>
      <c r="G36274" s="49" t="str">
        <f t="shared" si="1"/>
        <v>89440</v>
      </c>
      <c r="H36274" s="49">
        <f t="shared" si="2"/>
        <v>89128</v>
      </c>
    </row>
    <row r="36275">
      <c r="A36275" s="48" t="s">
        <v>1159</v>
      </c>
      <c r="B36275" s="38">
        <v>60079.0</v>
      </c>
      <c r="C36275" s="38" t="s">
        <v>40364</v>
      </c>
      <c r="D36275" s="38" t="str">
        <f>IFERROR(__xludf.DUMMYFUNCTION("REGEXREPLACE(C36275,""-\d+(.*)|--\d+(.*)"","""")"),"BOISSY-FRESNOY")</f>
        <v>BOISSY-FRESNOY</v>
      </c>
      <c r="E36275" s="38" t="s">
        <v>112</v>
      </c>
      <c r="F36275" s="38" t="s">
        <v>113</v>
      </c>
      <c r="G36275" s="49" t="str">
        <f t="shared" si="1"/>
        <v>60440</v>
      </c>
      <c r="H36275" s="49">
        <f t="shared" si="2"/>
        <v>60079</v>
      </c>
    </row>
    <row r="36276">
      <c r="A36276" s="48" t="s">
        <v>9946</v>
      </c>
      <c r="B36276" s="38">
        <v>15204.0</v>
      </c>
      <c r="C36276" s="38" t="s">
        <v>40365</v>
      </c>
      <c r="D36276" s="38" t="str">
        <f>IFERROR(__xludf.DUMMYFUNCTION("REGEXREPLACE(C36276,""-\d+(.*)|--\d+(.*)"","""")"),"SAINT-PAUL-DES-LANDES")</f>
        <v>SAINT-PAUL-DES-LANDES</v>
      </c>
      <c r="E36276" s="38" t="s">
        <v>632</v>
      </c>
      <c r="F36276" s="38" t="s">
        <v>161</v>
      </c>
      <c r="G36276" s="49" t="str">
        <f t="shared" si="1"/>
        <v>15250</v>
      </c>
      <c r="H36276" s="49">
        <f t="shared" si="2"/>
        <v>15204</v>
      </c>
    </row>
    <row r="36277">
      <c r="A36277" s="48" t="s">
        <v>1137</v>
      </c>
      <c r="B36277" s="38">
        <v>60298.0</v>
      </c>
      <c r="C36277" s="38" t="s">
        <v>40366</v>
      </c>
      <c r="D36277" s="38" t="str">
        <f>IFERROR(__xludf.DUMMYFUNCTION("REGEXREPLACE(C36277,""-\d+(.*)|--\d+(.*)"","""")"),"HANVOILE")</f>
        <v>HANVOILE</v>
      </c>
      <c r="E36277" s="38" t="s">
        <v>112</v>
      </c>
      <c r="F36277" s="38" t="s">
        <v>113</v>
      </c>
      <c r="G36277" s="49" t="str">
        <f t="shared" si="1"/>
        <v>60650</v>
      </c>
      <c r="H36277" s="49">
        <f t="shared" si="2"/>
        <v>60298</v>
      </c>
    </row>
    <row r="36278">
      <c r="A36278" s="48" t="s">
        <v>9315</v>
      </c>
      <c r="B36278" s="38">
        <v>68076.0</v>
      </c>
      <c r="C36278" s="38" t="s">
        <v>40367</v>
      </c>
      <c r="D36278" s="38" t="str">
        <f>IFERROR(__xludf.DUMMYFUNCTION("REGEXREPLACE(C36278,""-\d+(.*)|--\d+(.*)"","""")"),"DURRENENTZEN")</f>
        <v>DURRENENTZEN</v>
      </c>
      <c r="E36278" s="38" t="s">
        <v>150</v>
      </c>
      <c r="F36278" s="38" t="s">
        <v>151</v>
      </c>
      <c r="G36278" s="49" t="str">
        <f t="shared" si="1"/>
        <v>68320</v>
      </c>
      <c r="H36278" s="49">
        <f t="shared" si="2"/>
        <v>68076</v>
      </c>
    </row>
    <row r="36279">
      <c r="A36279" s="48" t="s">
        <v>40368</v>
      </c>
      <c r="B36279" s="38">
        <v>97407.0</v>
      </c>
      <c r="C36279" s="38" t="s">
        <v>18336</v>
      </c>
      <c r="D36279" s="38" t="str">
        <f>IFERROR(__xludf.DUMMYFUNCTION("REGEXREPLACE(C36279,""-\d+(.*)|--\d+(.*)"","""")"),"LE PORT")</f>
        <v>LE PORT</v>
      </c>
      <c r="E36279" s="38" t="s">
        <v>7739</v>
      </c>
      <c r="F36279" s="38" t="s">
        <v>7739</v>
      </c>
      <c r="G36279" s="49" t="str">
        <f t="shared" si="1"/>
        <v>97420</v>
      </c>
      <c r="H36279" s="49">
        <f t="shared" si="2"/>
        <v>97407</v>
      </c>
    </row>
    <row r="36280">
      <c r="A36280" s="48" t="s">
        <v>2083</v>
      </c>
      <c r="B36280" s="38">
        <v>17122.0</v>
      </c>
      <c r="C36280" s="38" t="s">
        <v>15013</v>
      </c>
      <c r="D36280" s="38" t="str">
        <f>IFERROR(__xludf.DUMMYFUNCTION("REGEXREPLACE(C36280,""-\d+(.*)|--\d+(.*)"","""")"),"COULONGES")</f>
        <v>COULONGES</v>
      </c>
      <c r="E36280" s="38" t="s">
        <v>488</v>
      </c>
      <c r="F36280" s="38" t="s">
        <v>338</v>
      </c>
      <c r="G36280" s="49" t="str">
        <f t="shared" si="1"/>
        <v>17800</v>
      </c>
      <c r="H36280" s="49">
        <f t="shared" si="2"/>
        <v>17122</v>
      </c>
    </row>
    <row r="36281">
      <c r="A36281" s="48" t="s">
        <v>16724</v>
      </c>
      <c r="B36281" s="38">
        <v>10237.0</v>
      </c>
      <c r="C36281" s="38" t="s">
        <v>40369</v>
      </c>
      <c r="D36281" s="38" t="str">
        <f>IFERROR(__xludf.DUMMYFUNCTION("REGEXREPLACE(C36281,""-\d+(.*)|--\d+(.*)"","""")"),"MESNIL-SAINT-LOUP")</f>
        <v>MESNIL-SAINT-LOUP</v>
      </c>
      <c r="E36281" s="38" t="s">
        <v>147</v>
      </c>
      <c r="F36281" s="38" t="s">
        <v>130</v>
      </c>
      <c r="G36281" s="49" t="str">
        <f t="shared" si="1"/>
        <v>10190</v>
      </c>
      <c r="H36281" s="49">
        <f t="shared" si="2"/>
        <v>10237</v>
      </c>
    </row>
    <row r="36282">
      <c r="A36282" s="48" t="s">
        <v>1654</v>
      </c>
      <c r="B36282" s="38">
        <v>72067.0</v>
      </c>
      <c r="C36282" s="38" t="s">
        <v>40370</v>
      </c>
      <c r="D36282" s="38" t="str">
        <f>IFERROR(__xludf.DUMMYFUNCTION("REGEXREPLACE(C36282,""-\d+(.*)|--\d+(.*)"","""")"),"LA CHAPELLE-SAINT-REMY")</f>
        <v>LA CHAPELLE-SAINT-REMY</v>
      </c>
      <c r="E36282" s="38" t="s">
        <v>521</v>
      </c>
      <c r="F36282" s="38" t="s">
        <v>180</v>
      </c>
      <c r="G36282" s="49" t="str">
        <f t="shared" si="1"/>
        <v>72160</v>
      </c>
      <c r="H36282" s="49">
        <f t="shared" si="2"/>
        <v>72067</v>
      </c>
    </row>
    <row r="36283">
      <c r="A36283" s="48" t="s">
        <v>11867</v>
      </c>
      <c r="B36283" s="38">
        <v>34122.0</v>
      </c>
      <c r="C36283" s="38" t="s">
        <v>5881</v>
      </c>
      <c r="D36283" s="38" t="str">
        <f>IFERROR(__xludf.DUMMYFUNCTION("REGEXREPLACE(C36283,""-\d+(.*)|--\d+(.*)"","""")"),"JONQUIERES")</f>
        <v>JONQUIERES</v>
      </c>
      <c r="E36283" s="38" t="s">
        <v>118</v>
      </c>
      <c r="F36283" s="38" t="s">
        <v>119</v>
      </c>
      <c r="G36283" s="49" t="str">
        <f t="shared" si="1"/>
        <v>34725</v>
      </c>
      <c r="H36283" s="49">
        <f t="shared" si="2"/>
        <v>34122</v>
      </c>
    </row>
    <row r="36284">
      <c r="A36284" s="48" t="s">
        <v>2095</v>
      </c>
      <c r="B36284" s="38">
        <v>72141.0</v>
      </c>
      <c r="C36284" s="38" t="s">
        <v>40371</v>
      </c>
      <c r="D36284" s="38" t="str">
        <f>IFERROR(__xludf.DUMMYFUNCTION("REGEXREPLACE(C36284,""-\d+(.*)|--\d+(.*)"","""")"),"GESNES-LE-GANDELIN")</f>
        <v>GESNES-LE-GANDELIN</v>
      </c>
      <c r="E36284" s="38" t="s">
        <v>521</v>
      </c>
      <c r="F36284" s="38" t="s">
        <v>180</v>
      </c>
      <c r="G36284" s="49" t="str">
        <f t="shared" si="1"/>
        <v>72130</v>
      </c>
      <c r="H36284" s="49">
        <f t="shared" si="2"/>
        <v>72141</v>
      </c>
    </row>
    <row r="36285">
      <c r="A36285" s="48" t="s">
        <v>2582</v>
      </c>
      <c r="B36285" s="38">
        <v>14456.0</v>
      </c>
      <c r="C36285" s="38" t="s">
        <v>40372</v>
      </c>
      <c r="D36285" s="38" t="str">
        <f>IFERROR(__xludf.DUMMYFUNCTION("REGEXREPLACE(C36285,""-\d+(.*)|--\d+(.*)"","""")"),"MOULT")</f>
        <v>MOULT</v>
      </c>
      <c r="E36285" s="38" t="s">
        <v>137</v>
      </c>
      <c r="F36285" s="38" t="s">
        <v>138</v>
      </c>
      <c r="G36285" s="49" t="str">
        <f t="shared" si="1"/>
        <v>14370</v>
      </c>
      <c r="H36285" s="49">
        <f t="shared" si="2"/>
        <v>14456</v>
      </c>
    </row>
    <row r="36286">
      <c r="A36286" s="48" t="s">
        <v>5996</v>
      </c>
      <c r="B36286" s="38">
        <v>67222.0</v>
      </c>
      <c r="C36286" s="38" t="s">
        <v>40373</v>
      </c>
      <c r="D36286" s="38" t="str">
        <f>IFERROR(__xludf.DUMMYFUNCTION("REGEXREPLACE(C36286,""-\d+(.*)|--\d+(.*)"","""")"),"INGWILLER")</f>
        <v>INGWILLER</v>
      </c>
      <c r="E36286" s="38" t="s">
        <v>210</v>
      </c>
      <c r="F36286" s="38" t="s">
        <v>151</v>
      </c>
      <c r="G36286" s="49" t="str">
        <f t="shared" si="1"/>
        <v>67340</v>
      </c>
      <c r="H36286" s="49">
        <f t="shared" si="2"/>
        <v>67222</v>
      </c>
    </row>
    <row r="36287">
      <c r="A36287" s="48" t="s">
        <v>667</v>
      </c>
      <c r="B36287" s="38">
        <v>64379.0</v>
      </c>
      <c r="C36287" s="38" t="s">
        <v>40374</v>
      </c>
      <c r="D36287" s="38" t="str">
        <f>IFERROR(__xludf.DUMMYFUNCTION("REGEXREPLACE(C36287,""-\d+(.*)|--\d+(.*)"","""")"),"MENDIVE")</f>
        <v>MENDIVE</v>
      </c>
      <c r="E36287" s="38" t="s">
        <v>268</v>
      </c>
      <c r="F36287" s="38" t="s">
        <v>252</v>
      </c>
      <c r="G36287" s="49" t="str">
        <f t="shared" si="1"/>
        <v>64220</v>
      </c>
      <c r="H36287" s="49">
        <f t="shared" si="2"/>
        <v>64379</v>
      </c>
    </row>
    <row r="36288">
      <c r="A36288" s="48" t="s">
        <v>11792</v>
      </c>
      <c r="B36288" s="38">
        <v>86218.0</v>
      </c>
      <c r="C36288" s="38" t="s">
        <v>5402</v>
      </c>
      <c r="D36288" s="38" t="str">
        <f>IFERROR(__xludf.DUMMYFUNCTION("REGEXREPLACE(C36288,""-\d+(.*)|--\d+(.*)"","""")"),"SAINT-CLAIR")</f>
        <v>SAINT-CLAIR</v>
      </c>
      <c r="E36288" s="38" t="s">
        <v>529</v>
      </c>
      <c r="F36288" s="38" t="s">
        <v>338</v>
      </c>
      <c r="G36288" s="49" t="str">
        <f t="shared" si="1"/>
        <v>86330</v>
      </c>
      <c r="H36288" s="49">
        <f t="shared" si="2"/>
        <v>86218</v>
      </c>
    </row>
    <row r="36289">
      <c r="A36289" s="48" t="s">
        <v>3706</v>
      </c>
      <c r="B36289" s="38">
        <v>77310.0</v>
      </c>
      <c r="C36289" s="38" t="s">
        <v>40375</v>
      </c>
      <c r="D36289" s="38" t="str">
        <f>IFERROR(__xludf.DUMMYFUNCTION("REGEXREPLACE(C36289,""-\d+(.*)|--\d+(.*)"","""")"),"MONTIGNY-LE-GUESDIER")</f>
        <v>MONTIGNY-LE-GUESDIER</v>
      </c>
      <c r="E36289" s="38" t="s">
        <v>244</v>
      </c>
      <c r="F36289" s="38" t="s">
        <v>245</v>
      </c>
      <c r="G36289" s="49" t="str">
        <f t="shared" si="1"/>
        <v>77480</v>
      </c>
      <c r="H36289" s="49">
        <f t="shared" si="2"/>
        <v>77310</v>
      </c>
    </row>
    <row r="36290">
      <c r="A36290" s="48" t="s">
        <v>7278</v>
      </c>
      <c r="B36290" s="38">
        <v>61239.0</v>
      </c>
      <c r="C36290" s="38" t="s">
        <v>24492</v>
      </c>
      <c r="D36290" s="38" t="str">
        <f>IFERROR(__xludf.DUMMYFUNCTION("REGEXREPLACE(C36290,""-\d+(.*)|--\d+(.*)"","""")"),"LUCE")</f>
        <v>LUCE</v>
      </c>
      <c r="E36290" s="38" t="s">
        <v>141</v>
      </c>
      <c r="F36290" s="38" t="s">
        <v>138</v>
      </c>
      <c r="G36290" s="49" t="str">
        <f t="shared" si="1"/>
        <v>61330</v>
      </c>
      <c r="H36290" s="49">
        <f t="shared" si="2"/>
        <v>61239</v>
      </c>
    </row>
    <row r="36291">
      <c r="A36291" s="48" t="s">
        <v>1744</v>
      </c>
      <c r="B36291" s="38">
        <v>31126.0</v>
      </c>
      <c r="C36291" s="38" t="s">
        <v>40376</v>
      </c>
      <c r="D36291" s="38" t="str">
        <f>IFERROR(__xludf.DUMMYFUNCTION("REGEXREPLACE(C36291,""-\d+(.*)|--\d+(.*)"","""")"),"CAUBIAC")</f>
        <v>CAUBIAC</v>
      </c>
      <c r="E36291" s="38" t="s">
        <v>93</v>
      </c>
      <c r="F36291" s="38" t="s">
        <v>94</v>
      </c>
      <c r="G36291" s="49" t="str">
        <f t="shared" si="1"/>
        <v>31480</v>
      </c>
      <c r="H36291" s="49">
        <f t="shared" si="2"/>
        <v>31126</v>
      </c>
    </row>
    <row r="36292">
      <c r="A36292" s="48" t="s">
        <v>2946</v>
      </c>
      <c r="B36292" s="38">
        <v>51501.0</v>
      </c>
      <c r="C36292" s="38" t="s">
        <v>40377</v>
      </c>
      <c r="D36292" s="38" t="str">
        <f>IFERROR(__xludf.DUMMYFUNCTION("REGEXREPLACE(C36292,""-\d+(.*)|--\d+(.*)"","""")"),"SAINTE-MARIE-A-PY")</f>
        <v>SAINTE-MARIE-A-PY</v>
      </c>
      <c r="E36292" s="38" t="s">
        <v>129</v>
      </c>
      <c r="F36292" s="38" t="s">
        <v>130</v>
      </c>
      <c r="G36292" s="49" t="str">
        <f t="shared" si="1"/>
        <v>51600</v>
      </c>
      <c r="H36292" s="49">
        <f t="shared" si="2"/>
        <v>51501</v>
      </c>
    </row>
    <row r="36293">
      <c r="A36293" s="48" t="s">
        <v>3366</v>
      </c>
      <c r="B36293" s="38">
        <v>47191.0</v>
      </c>
      <c r="C36293" s="38" t="s">
        <v>40378</v>
      </c>
      <c r="D36293" s="38" t="str">
        <f>IFERROR(__xludf.DUMMYFUNCTION("REGEXREPLACE(C36293,""-\d+(.*)|--\d+(.*)"","""")"),"MONTPOUILLAN")</f>
        <v>MONTPOUILLAN</v>
      </c>
      <c r="E36293" s="38" t="s">
        <v>251</v>
      </c>
      <c r="F36293" s="38" t="s">
        <v>252</v>
      </c>
      <c r="G36293" s="49" t="str">
        <f t="shared" si="1"/>
        <v>47200</v>
      </c>
      <c r="H36293" s="49">
        <f t="shared" si="2"/>
        <v>47191</v>
      </c>
    </row>
    <row r="36294">
      <c r="A36294" s="48" t="s">
        <v>222</v>
      </c>
      <c r="B36294" s="38">
        <v>80203.0</v>
      </c>
      <c r="C36294" s="38" t="s">
        <v>40379</v>
      </c>
      <c r="D36294" s="38" t="str">
        <f>IFERROR(__xludf.DUMMYFUNCTION("REGEXREPLACE(C36294,""-\d+(.*)|--\d+(.*)"","""")"),"COLINCAMPS")</f>
        <v>COLINCAMPS</v>
      </c>
      <c r="E36294" s="38" t="s">
        <v>224</v>
      </c>
      <c r="F36294" s="38" t="s">
        <v>113</v>
      </c>
      <c r="G36294" s="49" t="str">
        <f t="shared" si="1"/>
        <v>80560</v>
      </c>
      <c r="H36294" s="49">
        <f t="shared" si="2"/>
        <v>80203</v>
      </c>
    </row>
    <row r="36295">
      <c r="A36295" s="48" t="s">
        <v>40380</v>
      </c>
      <c r="B36295" s="38">
        <v>44041.0</v>
      </c>
      <c r="C36295" s="38" t="s">
        <v>40381</v>
      </c>
      <c r="D36295" s="38" t="str">
        <f>IFERROR(__xludf.DUMMYFUNCTION("REGEXREPLACE(C36295,""-\d+(.*)|--\d+(.*)"","""")"),"LA CHEVROLIERE")</f>
        <v>LA CHEVROLIERE</v>
      </c>
      <c r="E36295" s="38" t="s">
        <v>759</v>
      </c>
      <c r="F36295" s="38" t="s">
        <v>180</v>
      </c>
      <c r="G36295" s="49" t="str">
        <f t="shared" si="1"/>
        <v>44118</v>
      </c>
      <c r="H36295" s="49">
        <f t="shared" si="2"/>
        <v>44041</v>
      </c>
    </row>
    <row r="36296">
      <c r="A36296" s="48" t="s">
        <v>3061</v>
      </c>
      <c r="B36296" s="38">
        <v>71232.0</v>
      </c>
      <c r="C36296" s="38" t="s">
        <v>40382</v>
      </c>
      <c r="D36296" s="38" t="str">
        <f>IFERROR(__xludf.DUMMYFUNCTION("REGEXREPLACE(C36296,""-\d+(.*)|--\d+(.*)"","""")"),"HAUTEFOND")</f>
        <v>HAUTEFOND</v>
      </c>
      <c r="E36296" s="38" t="s">
        <v>344</v>
      </c>
      <c r="F36296" s="38" t="s">
        <v>106</v>
      </c>
      <c r="G36296" s="49" t="str">
        <f t="shared" si="1"/>
        <v>71600</v>
      </c>
      <c r="H36296" s="49">
        <f t="shared" si="2"/>
        <v>71232</v>
      </c>
    </row>
    <row r="36297">
      <c r="A36297" s="48" t="s">
        <v>2575</v>
      </c>
      <c r="B36297" s="38">
        <v>91399.0</v>
      </c>
      <c r="C36297" s="38" t="s">
        <v>40383</v>
      </c>
      <c r="D36297" s="38" t="str">
        <f>IFERROR(__xludf.DUMMYFUNCTION("REGEXREPLACE(C36297,""-\d+(.*)|--\d+(.*)"","""")"),"MESPUITS")</f>
        <v>MESPUITS</v>
      </c>
      <c r="E36297" s="38" t="s">
        <v>756</v>
      </c>
      <c r="F36297" s="38" t="s">
        <v>245</v>
      </c>
      <c r="G36297" s="49" t="str">
        <f t="shared" si="1"/>
        <v>91150</v>
      </c>
      <c r="H36297" s="49">
        <f t="shared" si="2"/>
        <v>91399</v>
      </c>
    </row>
    <row r="36298">
      <c r="A36298" s="48" t="s">
        <v>2859</v>
      </c>
      <c r="B36298" s="38">
        <v>22266.0</v>
      </c>
      <c r="C36298" s="38" t="s">
        <v>40384</v>
      </c>
      <c r="D36298" s="38" t="str">
        <f>IFERROR(__xludf.DUMMYFUNCTION("REGEXREPLACE(C36298,""-\d+(.*)|--\d+(.*)"","""")"),"ROSTRENEN")</f>
        <v>ROSTRENEN</v>
      </c>
      <c r="E36298" s="38" t="s">
        <v>89</v>
      </c>
      <c r="F36298" s="38" t="s">
        <v>90</v>
      </c>
      <c r="G36298" s="49" t="str">
        <f t="shared" si="1"/>
        <v>22110</v>
      </c>
      <c r="H36298" s="49">
        <f t="shared" si="2"/>
        <v>22266</v>
      </c>
    </row>
    <row r="36299">
      <c r="A36299" s="48" t="s">
        <v>3418</v>
      </c>
      <c r="B36299" s="38">
        <v>47089.0</v>
      </c>
      <c r="C36299" s="38" t="s">
        <v>40385</v>
      </c>
      <c r="D36299" s="38" t="str">
        <f>IFERROR(__xludf.DUMMYFUNCTION("REGEXREPLACE(C36299,""-\d+(.*)|--\d+(.*)"","""")"),"ESCLOTTES")</f>
        <v>ESCLOTTES</v>
      </c>
      <c r="E36299" s="38" t="s">
        <v>251</v>
      </c>
      <c r="F36299" s="38" t="s">
        <v>252</v>
      </c>
      <c r="G36299" s="49" t="str">
        <f t="shared" si="1"/>
        <v>47120</v>
      </c>
      <c r="H36299" s="49">
        <f t="shared" si="2"/>
        <v>47089</v>
      </c>
    </row>
    <row r="36300">
      <c r="A36300" s="48" t="s">
        <v>11926</v>
      </c>
      <c r="B36300" s="38">
        <v>72003.0</v>
      </c>
      <c r="C36300" s="38" t="s">
        <v>22476</v>
      </c>
      <c r="D36300" s="38" t="str">
        <f>IFERROR(__xludf.DUMMYFUNCTION("REGEXREPLACE(C36300,""-\d+(.*)|--\d+(.*)"","""")"),"ALLONNES")</f>
        <v>ALLONNES</v>
      </c>
      <c r="E36300" s="38" t="s">
        <v>521</v>
      </c>
      <c r="F36300" s="38" t="s">
        <v>180</v>
      </c>
      <c r="G36300" s="49" t="str">
        <f t="shared" si="1"/>
        <v>72700</v>
      </c>
      <c r="H36300" s="49">
        <f t="shared" si="2"/>
        <v>72003</v>
      </c>
    </row>
    <row r="36301">
      <c r="A36301" s="48" t="s">
        <v>40386</v>
      </c>
      <c r="B36301" s="38">
        <v>78686.0</v>
      </c>
      <c r="C36301" s="38" t="s">
        <v>40387</v>
      </c>
      <c r="D36301" s="38" t="str">
        <f>IFERROR(__xludf.DUMMYFUNCTION("REGEXREPLACE(C36301,""-\d+(.*)|--\d+(.*)"","""")"),"VIROFLAY")</f>
        <v>VIROFLAY</v>
      </c>
      <c r="E36301" s="38" t="s">
        <v>362</v>
      </c>
      <c r="F36301" s="38" t="s">
        <v>245</v>
      </c>
      <c r="G36301" s="49" t="str">
        <f t="shared" si="1"/>
        <v>78220</v>
      </c>
      <c r="H36301" s="49">
        <f t="shared" si="2"/>
        <v>78686</v>
      </c>
    </row>
    <row r="36302">
      <c r="A36302" s="48" t="s">
        <v>4437</v>
      </c>
      <c r="B36302" s="38">
        <v>90098.0</v>
      </c>
      <c r="C36302" s="38" t="s">
        <v>40388</v>
      </c>
      <c r="D36302" s="38" t="str">
        <f>IFERROR(__xludf.DUMMYFUNCTION("REGEXREPLACE(C36302,""-\d+(.*)|--\d+(.*)"","""")"),"URCEREY")</f>
        <v>URCEREY</v>
      </c>
      <c r="E36302" s="38" t="s">
        <v>1283</v>
      </c>
      <c r="F36302" s="38" t="s">
        <v>214</v>
      </c>
      <c r="G36302" s="49" t="str">
        <f t="shared" si="1"/>
        <v>90800</v>
      </c>
      <c r="H36302" s="49">
        <f t="shared" si="2"/>
        <v>90098</v>
      </c>
    </row>
    <row r="36303">
      <c r="A36303" s="48" t="s">
        <v>1585</v>
      </c>
      <c r="B36303" s="38">
        <v>12085.0</v>
      </c>
      <c r="C36303" s="38" t="s">
        <v>23639</v>
      </c>
      <c r="D36303" s="38" t="str">
        <f>IFERROR(__xludf.DUMMYFUNCTION("REGEXREPLACE(C36303,""-\d+(.*)|--\d+(.*)"","""")"),"CRESPIN")</f>
        <v>CRESPIN</v>
      </c>
      <c r="E36303" s="38" t="s">
        <v>465</v>
      </c>
      <c r="F36303" s="38" t="s">
        <v>94</v>
      </c>
      <c r="G36303" s="49" t="str">
        <f t="shared" si="1"/>
        <v>12800</v>
      </c>
      <c r="H36303" s="49">
        <f t="shared" si="2"/>
        <v>12085</v>
      </c>
    </row>
    <row r="36304">
      <c r="A36304" s="48" t="s">
        <v>6189</v>
      </c>
      <c r="B36304" s="38">
        <v>32315.0</v>
      </c>
      <c r="C36304" s="38" t="s">
        <v>40389</v>
      </c>
      <c r="D36304" s="38" t="str">
        <f>IFERROR(__xludf.DUMMYFUNCTION("REGEXREPLACE(C36304,""-\d+(.*)|--\d+(.*)"","""")"),"PEYRUSSE-GRANDE")</f>
        <v>PEYRUSSE-GRANDE</v>
      </c>
      <c r="E36304" s="38" t="s">
        <v>440</v>
      </c>
      <c r="F36304" s="38" t="s">
        <v>94</v>
      </c>
      <c r="G36304" s="49" t="str">
        <f t="shared" si="1"/>
        <v>32320</v>
      </c>
      <c r="H36304" s="49">
        <f t="shared" si="2"/>
        <v>32315</v>
      </c>
    </row>
    <row r="36305">
      <c r="A36305" s="48" t="s">
        <v>38280</v>
      </c>
      <c r="B36305" s="38">
        <v>68365.0</v>
      </c>
      <c r="C36305" s="38" t="s">
        <v>40390</v>
      </c>
      <c r="D36305" s="38" t="str">
        <f>IFERROR(__xludf.DUMMYFUNCTION("REGEXREPLACE(C36305,""-\d+(.*)|--\d+(.*)"","""")"),"WETTOLSHEIM")</f>
        <v>WETTOLSHEIM</v>
      </c>
      <c r="E36305" s="38" t="s">
        <v>150</v>
      </c>
      <c r="F36305" s="38" t="s">
        <v>151</v>
      </c>
      <c r="G36305" s="49" t="str">
        <f t="shared" si="1"/>
        <v>68920</v>
      </c>
      <c r="H36305" s="49">
        <f t="shared" si="2"/>
        <v>68365</v>
      </c>
    </row>
    <row r="36306">
      <c r="A36306" s="48" t="s">
        <v>2714</v>
      </c>
      <c r="B36306" s="38">
        <v>61258.0</v>
      </c>
      <c r="C36306" s="38" t="s">
        <v>40391</v>
      </c>
      <c r="D36306" s="38" t="str">
        <f>IFERROR(__xludf.DUMMYFUNCTION("REGEXREPLACE(C36306,""-\d+(.*)|--\d+(.*)"","""")"),"LE MELE-SUR-SARTHE")</f>
        <v>LE MELE-SUR-SARTHE</v>
      </c>
      <c r="E36306" s="38" t="s">
        <v>141</v>
      </c>
      <c r="F36306" s="38" t="s">
        <v>138</v>
      </c>
      <c r="G36306" s="49" t="str">
        <f t="shared" si="1"/>
        <v>61170</v>
      </c>
      <c r="H36306" s="49">
        <f t="shared" si="2"/>
        <v>61258</v>
      </c>
    </row>
    <row r="36307">
      <c r="A36307" s="48" t="s">
        <v>1208</v>
      </c>
      <c r="B36307" s="38">
        <v>32414.0</v>
      </c>
      <c r="C36307" s="38" t="s">
        <v>40392</v>
      </c>
      <c r="D36307" s="38" t="str">
        <f>IFERROR(__xludf.DUMMYFUNCTION("REGEXREPLACE(C36307,""-\d+(.*)|--\d+(.*)"","""")"),"SARRAGACHIES")</f>
        <v>SARRAGACHIES</v>
      </c>
      <c r="E36307" s="38" t="s">
        <v>440</v>
      </c>
      <c r="F36307" s="38" t="s">
        <v>94</v>
      </c>
      <c r="G36307" s="49" t="str">
        <f t="shared" si="1"/>
        <v>32400</v>
      </c>
      <c r="H36307" s="49">
        <f t="shared" si="2"/>
        <v>32414</v>
      </c>
    </row>
    <row r="36308">
      <c r="A36308" s="48" t="s">
        <v>3508</v>
      </c>
      <c r="B36308" s="38">
        <v>51638.0</v>
      </c>
      <c r="C36308" s="38" t="s">
        <v>40393</v>
      </c>
      <c r="D36308" s="38" t="str">
        <f>IFERROR(__xludf.DUMMYFUNCTION("REGEXREPLACE(C36308,""-\d+(.*)|--\d+(.*)"","""")"),"VILLESENEUX")</f>
        <v>VILLESENEUX</v>
      </c>
      <c r="E36308" s="38" t="s">
        <v>129</v>
      </c>
      <c r="F36308" s="38" t="s">
        <v>130</v>
      </c>
      <c r="G36308" s="49" t="str">
        <f t="shared" si="1"/>
        <v>51130</v>
      </c>
      <c r="H36308" s="49">
        <f t="shared" si="2"/>
        <v>51638</v>
      </c>
    </row>
    <row r="36309">
      <c r="A36309" s="48" t="s">
        <v>18475</v>
      </c>
      <c r="B36309" s="38">
        <v>83004.0</v>
      </c>
      <c r="C36309" s="38" t="s">
        <v>40394</v>
      </c>
      <c r="D36309" s="38" t="str">
        <f>IFERROR(__xludf.DUMMYFUNCTION("REGEXREPLACE(C36309,""-\d+(.*)|--\d+(.*)"","""")"),"LES ARCS")</f>
        <v>LES ARCS</v>
      </c>
      <c r="E36309" s="38" t="s">
        <v>813</v>
      </c>
      <c r="F36309" s="38" t="s">
        <v>228</v>
      </c>
      <c r="G36309" s="49" t="str">
        <f t="shared" si="1"/>
        <v>83460</v>
      </c>
      <c r="H36309" s="49">
        <f t="shared" si="2"/>
        <v>83004</v>
      </c>
    </row>
    <row r="36310">
      <c r="A36310" s="48" t="s">
        <v>5302</v>
      </c>
      <c r="B36310" s="38">
        <v>14054.0</v>
      </c>
      <c r="C36310" s="38" t="s">
        <v>24528</v>
      </c>
      <c r="D36310" s="38" t="str">
        <f>IFERROR(__xludf.DUMMYFUNCTION("REGEXREPLACE(C36310,""-\d+(.*)|--\d+(.*)"","""")"),"BEAUMESNIL")</f>
        <v>BEAUMESNIL</v>
      </c>
      <c r="E36310" s="38" t="s">
        <v>137</v>
      </c>
      <c r="F36310" s="38" t="s">
        <v>138</v>
      </c>
      <c r="G36310" s="49" t="str">
        <f t="shared" si="1"/>
        <v>14380</v>
      </c>
      <c r="H36310" s="49">
        <f t="shared" si="2"/>
        <v>14054</v>
      </c>
    </row>
    <row r="36311">
      <c r="A36311" s="48" t="s">
        <v>9679</v>
      </c>
      <c r="B36311" s="38">
        <v>26051.0</v>
      </c>
      <c r="C36311" s="38" t="s">
        <v>40395</v>
      </c>
      <c r="D36311" s="38" t="str">
        <f>IFERROR(__xludf.DUMMYFUNCTION("REGEXREPLACE(C36311,""-\d+(.*)|--\d+(.*)"","""")"),"BEZAUDUN-SUR-BINE")</f>
        <v>BEZAUDUN-SUR-BINE</v>
      </c>
      <c r="E36311" s="38" t="s">
        <v>126</v>
      </c>
      <c r="F36311" s="38" t="s">
        <v>102</v>
      </c>
      <c r="G36311" s="49" t="str">
        <f t="shared" si="1"/>
        <v>26460</v>
      </c>
      <c r="H36311" s="49">
        <f t="shared" si="2"/>
        <v>26051</v>
      </c>
    </row>
    <row r="36312">
      <c r="A36312" s="48" t="s">
        <v>5381</v>
      </c>
      <c r="B36312" s="38">
        <v>38069.0</v>
      </c>
      <c r="C36312" s="38" t="s">
        <v>40396</v>
      </c>
      <c r="D36312" s="38" t="str">
        <f>IFERROR(__xludf.DUMMYFUNCTION("REGEXREPLACE(C36312,""-\d+(.*)|--\d+(.*)"","""")"),"CHAMPIER")</f>
        <v>CHAMPIER</v>
      </c>
      <c r="E36312" s="38" t="s">
        <v>101</v>
      </c>
      <c r="F36312" s="38" t="s">
        <v>102</v>
      </c>
      <c r="G36312" s="49" t="str">
        <f t="shared" si="1"/>
        <v>38260</v>
      </c>
      <c r="H36312" s="49">
        <f t="shared" si="2"/>
        <v>38069</v>
      </c>
    </row>
    <row r="36313">
      <c r="A36313" s="48" t="s">
        <v>13512</v>
      </c>
      <c r="B36313" s="38">
        <v>72118.0</v>
      </c>
      <c r="C36313" s="38" t="s">
        <v>40397</v>
      </c>
      <c r="D36313" s="38" t="str">
        <f>IFERROR(__xludf.DUMMYFUNCTION("REGEXREPLACE(C36313,""-\d+(.*)|--\d+(.*)"","""")"),"DOLLON")</f>
        <v>DOLLON</v>
      </c>
      <c r="E36313" s="38" t="s">
        <v>521</v>
      </c>
      <c r="F36313" s="38" t="s">
        <v>180</v>
      </c>
      <c r="G36313" s="49" t="str">
        <f t="shared" si="1"/>
        <v>72390</v>
      </c>
      <c r="H36313" s="49">
        <f t="shared" si="2"/>
        <v>72118</v>
      </c>
    </row>
    <row r="36314">
      <c r="A36314" s="48" t="s">
        <v>2406</v>
      </c>
      <c r="B36314" s="38">
        <v>55303.0</v>
      </c>
      <c r="C36314" s="38" t="s">
        <v>40398</v>
      </c>
      <c r="D36314" s="38" t="str">
        <f>IFERROR(__xludf.DUMMYFUNCTION("REGEXREPLACE(C36314,""-\d+(.*)|--\d+(.*)"","""")"),"LOUPMONT")</f>
        <v>LOUPMONT</v>
      </c>
      <c r="E36314" s="38" t="s">
        <v>322</v>
      </c>
      <c r="F36314" s="38" t="s">
        <v>195</v>
      </c>
      <c r="G36314" s="49" t="str">
        <f t="shared" si="1"/>
        <v>55300</v>
      </c>
      <c r="H36314" s="49">
        <f t="shared" si="2"/>
        <v>55303</v>
      </c>
    </row>
    <row r="36315">
      <c r="A36315" s="48" t="s">
        <v>40399</v>
      </c>
      <c r="B36315" s="38">
        <v>25228.0</v>
      </c>
      <c r="C36315" s="38" t="s">
        <v>40400</v>
      </c>
      <c r="D36315" s="38" t="str">
        <f>IFERROR(__xludf.DUMMYFUNCTION("REGEXREPLACE(C36315,""-\d+(.*)|--\d+(.*)"","""")"),"ETUPES")</f>
        <v>ETUPES</v>
      </c>
      <c r="E36315" s="38" t="s">
        <v>213</v>
      </c>
      <c r="F36315" s="38" t="s">
        <v>214</v>
      </c>
      <c r="G36315" s="49" t="str">
        <f t="shared" si="1"/>
        <v>25460</v>
      </c>
      <c r="H36315" s="49">
        <f t="shared" si="2"/>
        <v>25228</v>
      </c>
    </row>
    <row r="36316">
      <c r="A36316" s="48" t="s">
        <v>834</v>
      </c>
      <c r="B36316" s="38">
        <v>25055.0</v>
      </c>
      <c r="C36316" s="38" t="s">
        <v>40401</v>
      </c>
      <c r="D36316" s="38" t="str">
        <f>IFERROR(__xludf.DUMMYFUNCTION("REGEXREPLACE(C36316,""-\d+(.*)|--\d+(.*)"","""")"),"BERTHELANGE")</f>
        <v>BERTHELANGE</v>
      </c>
      <c r="E36316" s="38" t="s">
        <v>213</v>
      </c>
      <c r="F36316" s="38" t="s">
        <v>214</v>
      </c>
      <c r="G36316" s="49" t="str">
        <f t="shared" si="1"/>
        <v>25410</v>
      </c>
      <c r="H36316" s="49">
        <f t="shared" si="2"/>
        <v>25055</v>
      </c>
    </row>
    <row r="36317">
      <c r="A36317" s="48" t="s">
        <v>12245</v>
      </c>
      <c r="B36317" s="38">
        <v>33476.0</v>
      </c>
      <c r="C36317" s="38" t="s">
        <v>40402</v>
      </c>
      <c r="D36317" s="38" t="str">
        <f>IFERROR(__xludf.DUMMYFUNCTION("REGEXREPLACE(C36317,""-\d+(.*)|--\d+(.*)"","""")"),"SAINT-SEURIN-DE-CADOURNE")</f>
        <v>SAINT-SEURIN-DE-CADOURNE</v>
      </c>
      <c r="E36317" s="38" t="s">
        <v>462</v>
      </c>
      <c r="F36317" s="38" t="s">
        <v>252</v>
      </c>
      <c r="G36317" s="49" t="str">
        <f t="shared" si="1"/>
        <v>33180</v>
      </c>
      <c r="H36317" s="49">
        <f t="shared" si="2"/>
        <v>33476</v>
      </c>
    </row>
    <row r="36318">
      <c r="A36318" s="48" t="s">
        <v>4697</v>
      </c>
      <c r="B36318" s="38">
        <v>67100.0</v>
      </c>
      <c r="C36318" s="38" t="s">
        <v>40403</v>
      </c>
      <c r="D36318" s="38" t="str">
        <f>IFERROR(__xludf.DUMMYFUNCTION("REGEXREPLACE(C36318,""-\d+(.*)|--\d+(.*)"","""")"),"DONNENHEIM")</f>
        <v>DONNENHEIM</v>
      </c>
      <c r="E36318" s="38" t="s">
        <v>210</v>
      </c>
      <c r="F36318" s="38" t="s">
        <v>151</v>
      </c>
      <c r="G36318" s="49" t="str">
        <f t="shared" si="1"/>
        <v>67170</v>
      </c>
      <c r="H36318" s="49">
        <f t="shared" si="2"/>
        <v>67100</v>
      </c>
    </row>
    <row r="36319">
      <c r="A36319" s="48" t="s">
        <v>1485</v>
      </c>
      <c r="B36319" s="38">
        <v>21714.0</v>
      </c>
      <c r="C36319" s="38" t="s">
        <v>40404</v>
      </c>
      <c r="D36319" s="38" t="str">
        <f>IFERROR(__xludf.DUMMYFUNCTION("REGEXREPLACE(C36319,""-\d+(.*)|--\d+(.*)"","""")"),"VOSNE-ROMANEE")</f>
        <v>VOSNE-ROMANEE</v>
      </c>
      <c r="E36319" s="38" t="s">
        <v>105</v>
      </c>
      <c r="F36319" s="38" t="s">
        <v>106</v>
      </c>
      <c r="G36319" s="49" t="str">
        <f t="shared" si="1"/>
        <v>21700</v>
      </c>
      <c r="H36319" s="49">
        <f t="shared" si="2"/>
        <v>21714</v>
      </c>
    </row>
    <row r="36320">
      <c r="A36320" s="48" t="s">
        <v>3819</v>
      </c>
      <c r="B36320" s="38">
        <v>38416.0</v>
      </c>
      <c r="C36320" s="38" t="s">
        <v>40405</v>
      </c>
      <c r="D36320" s="38" t="str">
        <f>IFERROR(__xludf.DUMMYFUNCTION("REGEXREPLACE(C36320,""-\d+(.*)|--\d+(.*)"","""")"),"SAINT-MARCELLIN")</f>
        <v>SAINT-MARCELLIN</v>
      </c>
      <c r="E36320" s="38" t="s">
        <v>101</v>
      </c>
      <c r="F36320" s="38" t="s">
        <v>102</v>
      </c>
      <c r="G36320" s="49" t="str">
        <f t="shared" si="1"/>
        <v>38160</v>
      </c>
      <c r="H36320" s="49">
        <f t="shared" si="2"/>
        <v>38416</v>
      </c>
    </row>
    <row r="36321">
      <c r="A36321" s="48" t="s">
        <v>6406</v>
      </c>
      <c r="B36321" s="38">
        <v>41193.0</v>
      </c>
      <c r="C36321" s="38" t="s">
        <v>40406</v>
      </c>
      <c r="D36321" s="38" t="str">
        <f>IFERROR(__xludf.DUMMYFUNCTION("REGEXREPLACE(C36321,""-\d+(.*)|--\d+(.*)"","""")"),"ROMILLY")</f>
        <v>ROMILLY</v>
      </c>
      <c r="E36321" s="38" t="s">
        <v>188</v>
      </c>
      <c r="F36321" s="38" t="s">
        <v>123</v>
      </c>
      <c r="G36321" s="49" t="str">
        <f t="shared" si="1"/>
        <v>41270</v>
      </c>
      <c r="H36321" s="49">
        <f t="shared" si="2"/>
        <v>41193</v>
      </c>
    </row>
    <row r="36322">
      <c r="A36322" s="48" t="s">
        <v>6538</v>
      </c>
      <c r="B36322" s="38">
        <v>60500.0</v>
      </c>
      <c r="C36322" s="38" t="s">
        <v>40407</v>
      </c>
      <c r="D36322" s="38" t="str">
        <f>IFERROR(__xludf.DUMMYFUNCTION("REGEXREPLACE(C36322,""-\d+(.*)|--\d+(.*)"","""")"),"LE PLESSIS-BELLEVILLE")</f>
        <v>LE PLESSIS-BELLEVILLE</v>
      </c>
      <c r="E36322" s="38" t="s">
        <v>112</v>
      </c>
      <c r="F36322" s="38" t="s">
        <v>113</v>
      </c>
      <c r="G36322" s="49" t="str">
        <f t="shared" si="1"/>
        <v>60330</v>
      </c>
      <c r="H36322" s="49">
        <f t="shared" si="2"/>
        <v>60500</v>
      </c>
    </row>
    <row r="36323">
      <c r="A36323" s="48" t="s">
        <v>7758</v>
      </c>
      <c r="B36323" s="38">
        <v>63140.0</v>
      </c>
      <c r="C36323" s="38" t="s">
        <v>40408</v>
      </c>
      <c r="D36323" s="38" t="str">
        <f>IFERROR(__xludf.DUMMYFUNCTION("REGEXREPLACE(C36323,""-\d+(.*)|--\d+(.*)"","""")"),"DURMIGNAT")</f>
        <v>DURMIGNAT</v>
      </c>
      <c r="E36323" s="38" t="s">
        <v>353</v>
      </c>
      <c r="F36323" s="38" t="s">
        <v>161</v>
      </c>
      <c r="G36323" s="49" t="str">
        <f t="shared" si="1"/>
        <v>63700</v>
      </c>
      <c r="H36323" s="49">
        <f t="shared" si="2"/>
        <v>63140</v>
      </c>
    </row>
    <row r="36324">
      <c r="A36324" s="48" t="s">
        <v>1603</v>
      </c>
      <c r="B36324" s="38">
        <v>25287.0</v>
      </c>
      <c r="C36324" s="38" t="s">
        <v>15060</v>
      </c>
      <c r="D36324" s="38" t="str">
        <f>IFERROR(__xludf.DUMMYFUNCTION("REGEXREPLACE(C36324,""-\d+(.*)|--\d+(.*)"","""")"),"GRANDFONTAINE")</f>
        <v>GRANDFONTAINE</v>
      </c>
      <c r="E36324" s="38" t="s">
        <v>213</v>
      </c>
      <c r="F36324" s="38" t="s">
        <v>214</v>
      </c>
      <c r="G36324" s="49" t="str">
        <f t="shared" si="1"/>
        <v>25320</v>
      </c>
      <c r="H36324" s="49">
        <f t="shared" si="2"/>
        <v>25287</v>
      </c>
    </row>
    <row r="36325">
      <c r="A36325" s="48" t="s">
        <v>5146</v>
      </c>
      <c r="B36325" s="38">
        <v>85086.0</v>
      </c>
      <c r="C36325" s="38" t="s">
        <v>40409</v>
      </c>
      <c r="D36325" s="38" t="str">
        <f>IFERROR(__xludf.DUMMYFUNCTION("REGEXREPLACE(C36325,""-\d+(.*)|--\d+(.*)"","""")"),"FALLERON")</f>
        <v>FALLERON</v>
      </c>
      <c r="E36325" s="38" t="s">
        <v>179</v>
      </c>
      <c r="F36325" s="38" t="s">
        <v>180</v>
      </c>
      <c r="G36325" s="49" t="str">
        <f t="shared" si="1"/>
        <v>85670</v>
      </c>
      <c r="H36325" s="49">
        <f t="shared" si="2"/>
        <v>85086</v>
      </c>
    </row>
    <row r="36326">
      <c r="A36326" s="48" t="s">
        <v>1327</v>
      </c>
      <c r="B36326" s="38">
        <v>51198.0</v>
      </c>
      <c r="C36326" s="38" t="s">
        <v>40410</v>
      </c>
      <c r="D36326" s="38" t="str">
        <f>IFERROR(__xludf.DUMMYFUNCTION("REGEXREPLACE(C36326,""-\d+(.*)|--\d+(.*)"","""")"),"CRUGNY")</f>
        <v>CRUGNY</v>
      </c>
      <c r="E36326" s="38" t="s">
        <v>129</v>
      </c>
      <c r="F36326" s="38" t="s">
        <v>130</v>
      </c>
      <c r="G36326" s="49" t="str">
        <f t="shared" si="1"/>
        <v>51170</v>
      </c>
      <c r="H36326" s="49">
        <f t="shared" si="2"/>
        <v>51198</v>
      </c>
    </row>
    <row r="36327">
      <c r="A36327" s="48" t="s">
        <v>1681</v>
      </c>
      <c r="B36327" s="38">
        <v>80687.0</v>
      </c>
      <c r="C36327" s="38" t="s">
        <v>40411</v>
      </c>
      <c r="D36327" s="38" t="str">
        <f>IFERROR(__xludf.DUMMYFUNCTION("REGEXREPLACE(C36327,""-\d+(.*)|--\d+(.*)"","""")"),"RUBESCOURT")</f>
        <v>RUBESCOURT</v>
      </c>
      <c r="E36327" s="38" t="s">
        <v>224</v>
      </c>
      <c r="F36327" s="38" t="s">
        <v>113</v>
      </c>
      <c r="G36327" s="49" t="str">
        <f t="shared" si="1"/>
        <v>80500</v>
      </c>
      <c r="H36327" s="49">
        <f t="shared" si="2"/>
        <v>80687</v>
      </c>
    </row>
    <row r="36328">
      <c r="A36328" s="48" t="s">
        <v>11370</v>
      </c>
      <c r="B36328" s="38">
        <v>26316.0</v>
      </c>
      <c r="C36328" s="38" t="s">
        <v>40412</v>
      </c>
      <c r="D36328" s="38" t="str">
        <f>IFERROR(__xludf.DUMMYFUNCTION("REGEXREPLACE(C36328,""-\d+(.*)|--\d+(.*)"","""")"),"SAINT-MARTIN-LE-COLONEL")</f>
        <v>SAINT-MARTIN-LE-COLONEL</v>
      </c>
      <c r="E36328" s="38" t="s">
        <v>126</v>
      </c>
      <c r="F36328" s="38" t="s">
        <v>102</v>
      </c>
      <c r="G36328" s="49" t="str">
        <f t="shared" si="1"/>
        <v>26190</v>
      </c>
      <c r="H36328" s="49">
        <f t="shared" si="2"/>
        <v>26316</v>
      </c>
    </row>
    <row r="36329">
      <c r="A36329" s="48" t="s">
        <v>2661</v>
      </c>
      <c r="B36329" s="38">
        <v>50488.0</v>
      </c>
      <c r="C36329" s="38" t="s">
        <v>40413</v>
      </c>
      <c r="D36329" s="38" t="str">
        <f>IFERROR(__xludf.DUMMYFUNCTION("REGEXREPLACE(C36329,""-\d+(.*)|--\d+(.*)"","""")"),"SAINT-JEAN-DE-DAYE")</f>
        <v>SAINT-JEAN-DE-DAYE</v>
      </c>
      <c r="E36329" s="38" t="s">
        <v>157</v>
      </c>
      <c r="F36329" s="38" t="s">
        <v>138</v>
      </c>
      <c r="G36329" s="49" t="str">
        <f t="shared" si="1"/>
        <v>50620</v>
      </c>
      <c r="H36329" s="49">
        <f t="shared" si="2"/>
        <v>50488</v>
      </c>
    </row>
    <row r="36330">
      <c r="A36330" s="48" t="s">
        <v>1774</v>
      </c>
      <c r="B36330" s="38">
        <v>28018.0</v>
      </c>
      <c r="C36330" s="38" t="s">
        <v>40414</v>
      </c>
      <c r="D36330" s="38" t="str">
        <f>IFERROR(__xludf.DUMMYFUNCTION("REGEXREPLACE(C36330,""-\d+(.*)|--\d+(.*)"","""")"),"AUTHON-DU-PERCHE")</f>
        <v>AUTHON-DU-PERCHE</v>
      </c>
      <c r="E36330" s="38" t="s">
        <v>300</v>
      </c>
      <c r="F36330" s="38" t="s">
        <v>123</v>
      </c>
      <c r="G36330" s="49" t="str">
        <f t="shared" si="1"/>
        <v>28330</v>
      </c>
      <c r="H36330" s="49">
        <f t="shared" si="2"/>
        <v>28018</v>
      </c>
    </row>
    <row r="36331">
      <c r="A36331" s="48" t="s">
        <v>4181</v>
      </c>
      <c r="B36331" s="38">
        <v>89244.0</v>
      </c>
      <c r="C36331" s="38" t="s">
        <v>40415</v>
      </c>
      <c r="D36331" s="38" t="str">
        <f>IFERROR(__xludf.DUMMYFUNCTION("REGEXREPLACE(C36331,""-\d+(.*)|--\d+(.*)"","""")"),"MARMEAUX")</f>
        <v>MARMEAUX</v>
      </c>
      <c r="E36331" s="38" t="s">
        <v>275</v>
      </c>
      <c r="F36331" s="38" t="s">
        <v>106</v>
      </c>
      <c r="G36331" s="49" t="str">
        <f t="shared" si="1"/>
        <v>89420</v>
      </c>
      <c r="H36331" s="49">
        <f t="shared" si="2"/>
        <v>89244</v>
      </c>
    </row>
    <row r="36332">
      <c r="A36332" s="48" t="s">
        <v>1896</v>
      </c>
      <c r="B36332" s="38">
        <v>51493.0</v>
      </c>
      <c r="C36332" s="38" t="s">
        <v>14749</v>
      </c>
      <c r="D36332" s="38" t="str">
        <f>IFERROR(__xludf.DUMMYFUNCTION("REGEXREPLACE(C36332,""-\d+(.*)|--\d+(.*)"","""")"),"SAINT-LEONARD")</f>
        <v>SAINT-LEONARD</v>
      </c>
      <c r="E36332" s="38" t="s">
        <v>129</v>
      </c>
      <c r="F36332" s="38" t="s">
        <v>130</v>
      </c>
      <c r="G36332" s="49" t="str">
        <f t="shared" si="1"/>
        <v>51500</v>
      </c>
      <c r="H36332" s="49">
        <f t="shared" si="2"/>
        <v>51493</v>
      </c>
    </row>
    <row r="36333">
      <c r="A36333" s="48" t="s">
        <v>376</v>
      </c>
      <c r="B36333" s="38">
        <v>73109.0</v>
      </c>
      <c r="C36333" s="38" t="s">
        <v>40416</v>
      </c>
      <c r="D36333" s="38" t="str">
        <f>IFERROR(__xludf.DUMMYFUNCTION("REGEXREPLACE(C36333,""-\d+(.*)|--\d+(.*)"","""")"),"EPIERRE")</f>
        <v>EPIERRE</v>
      </c>
      <c r="E36333" s="38" t="s">
        <v>306</v>
      </c>
      <c r="F36333" s="38" t="s">
        <v>102</v>
      </c>
      <c r="G36333" s="49" t="str">
        <f t="shared" si="1"/>
        <v>73220</v>
      </c>
      <c r="H36333" s="49">
        <f t="shared" si="2"/>
        <v>73109</v>
      </c>
    </row>
    <row r="36334">
      <c r="A36334" s="48" t="s">
        <v>12692</v>
      </c>
      <c r="B36334" s="38">
        <v>47227.0</v>
      </c>
      <c r="C36334" s="38" t="s">
        <v>37615</v>
      </c>
      <c r="D36334" s="38" t="str">
        <f>IFERROR(__xludf.DUMMYFUNCTION("REGEXREPLACE(C36334,""-\d+(.*)|--\d+(.*)"","""")"),"RUFFIAC")</f>
        <v>RUFFIAC</v>
      </c>
      <c r="E36334" s="38" t="s">
        <v>251</v>
      </c>
      <c r="F36334" s="38" t="s">
        <v>252</v>
      </c>
      <c r="G36334" s="49" t="str">
        <f t="shared" si="1"/>
        <v>47700</v>
      </c>
      <c r="H36334" s="49">
        <f t="shared" si="2"/>
        <v>47227</v>
      </c>
    </row>
    <row r="36335">
      <c r="A36335" s="48" t="s">
        <v>1724</v>
      </c>
      <c r="B36335" s="38">
        <v>26366.0</v>
      </c>
      <c r="C36335" s="38" t="s">
        <v>40417</v>
      </c>
      <c r="D36335" s="38" t="str">
        <f>IFERROR(__xludf.DUMMYFUNCTION("REGEXREPLACE(C36335,""-\d+(.*)|--\d+(.*)"","""")"),"VEAUNES")</f>
        <v>VEAUNES</v>
      </c>
      <c r="E36335" s="38" t="s">
        <v>126</v>
      </c>
      <c r="F36335" s="38" t="s">
        <v>102</v>
      </c>
      <c r="G36335" s="49" t="str">
        <f t="shared" si="1"/>
        <v>26600</v>
      </c>
      <c r="H36335" s="49">
        <f t="shared" si="2"/>
        <v>26366</v>
      </c>
    </row>
    <row r="36336">
      <c r="A36336" s="48" t="s">
        <v>9686</v>
      </c>
      <c r="B36336" s="38">
        <v>36212.0</v>
      </c>
      <c r="C36336" s="38" t="s">
        <v>40418</v>
      </c>
      <c r="D36336" s="38" t="str">
        <f>IFERROR(__xludf.DUMMYFUNCTION("REGEXREPLACE(C36336,""-\d+(.*)|--\d+(.*)"","""")"),"SAULNAY")</f>
        <v>SAULNAY</v>
      </c>
      <c r="E36336" s="38" t="s">
        <v>258</v>
      </c>
      <c r="F36336" s="38" t="s">
        <v>123</v>
      </c>
      <c r="G36336" s="49" t="str">
        <f t="shared" si="1"/>
        <v>36290</v>
      </c>
      <c r="H36336" s="49">
        <f t="shared" si="2"/>
        <v>36212</v>
      </c>
    </row>
    <row r="36337">
      <c r="A36337" s="48" t="s">
        <v>1874</v>
      </c>
      <c r="B36337" s="38">
        <v>73151.0</v>
      </c>
      <c r="C36337" s="38" t="s">
        <v>40419</v>
      </c>
      <c r="D36337" s="38" t="str">
        <f>IFERROR(__xludf.DUMMYFUNCTION("REGEXREPLACE(C36337,""-\d+(.*)|--\d+(.*)"","""")"),"LES MARCHES")</f>
        <v>LES MARCHES</v>
      </c>
      <c r="E36337" s="38" t="s">
        <v>306</v>
      </c>
      <c r="F36337" s="38" t="s">
        <v>102</v>
      </c>
      <c r="G36337" s="49" t="str">
        <f t="shared" si="1"/>
        <v>73800</v>
      </c>
      <c r="H36337" s="49">
        <f t="shared" si="2"/>
        <v>73151</v>
      </c>
    </row>
    <row r="36338">
      <c r="A36338" s="48" t="s">
        <v>4381</v>
      </c>
      <c r="B36338" s="38">
        <v>82188.0</v>
      </c>
      <c r="C36338" s="38" t="s">
        <v>13130</v>
      </c>
      <c r="D36338" s="38" t="str">
        <f>IFERROR(__xludf.DUMMYFUNCTION("REGEXREPLACE(C36338,""-\d+(.*)|--\d+(.*)"","""")"),"VARENNES")</f>
        <v>VARENNES</v>
      </c>
      <c r="E36338" s="38" t="s">
        <v>570</v>
      </c>
      <c r="F36338" s="38" t="s">
        <v>94</v>
      </c>
      <c r="G36338" s="49" t="str">
        <f t="shared" si="1"/>
        <v>82370</v>
      </c>
      <c r="H36338" s="49">
        <f t="shared" si="2"/>
        <v>82188</v>
      </c>
    </row>
    <row r="36339">
      <c r="A36339" s="48" t="s">
        <v>491</v>
      </c>
      <c r="B36339" s="38">
        <v>19055.0</v>
      </c>
      <c r="C36339" s="38" t="s">
        <v>40420</v>
      </c>
      <c r="D36339" s="38" t="str">
        <f>IFERROR(__xludf.DUMMYFUNCTION("REGEXREPLACE(C36339,""-\d+(.*)|--\d+(.*)"","""")"),"CHIRAC-BELLEVUE")</f>
        <v>CHIRAC-BELLEVUE</v>
      </c>
      <c r="E36339" s="38" t="s">
        <v>271</v>
      </c>
      <c r="F36339" s="38" t="s">
        <v>98</v>
      </c>
      <c r="G36339" s="49" t="str">
        <f t="shared" si="1"/>
        <v>19160</v>
      </c>
      <c r="H36339" s="49">
        <f t="shared" si="2"/>
        <v>19055</v>
      </c>
    </row>
    <row r="36340">
      <c r="A36340" s="48" t="s">
        <v>1932</v>
      </c>
      <c r="B36340" s="38">
        <v>70229.0</v>
      </c>
      <c r="C36340" s="38" t="s">
        <v>40421</v>
      </c>
      <c r="D36340" s="38" t="str">
        <f>IFERROR(__xludf.DUMMYFUNCTION("REGEXREPLACE(C36340,""-\d+(.*)|--\d+(.*)"","""")"),"FAYMONT")</f>
        <v>FAYMONT</v>
      </c>
      <c r="E36340" s="38" t="s">
        <v>956</v>
      </c>
      <c r="F36340" s="38" t="s">
        <v>214</v>
      </c>
      <c r="G36340" s="49" t="str">
        <f t="shared" si="1"/>
        <v>70200</v>
      </c>
      <c r="H36340" s="49">
        <f t="shared" si="2"/>
        <v>70229</v>
      </c>
    </row>
    <row r="36341">
      <c r="A36341" s="48" t="s">
        <v>3642</v>
      </c>
      <c r="B36341" s="38">
        <v>22271.0</v>
      </c>
      <c r="C36341" s="38" t="s">
        <v>40422</v>
      </c>
      <c r="D36341" s="38" t="str">
        <f>IFERROR(__xludf.DUMMYFUNCTION("REGEXREPLACE(C36341,""-\d+(.*)|--\d+(.*)"","""")"),"SAINT-ADRIEN")</f>
        <v>SAINT-ADRIEN</v>
      </c>
      <c r="E36341" s="38" t="s">
        <v>89</v>
      </c>
      <c r="F36341" s="38" t="s">
        <v>90</v>
      </c>
      <c r="G36341" s="49" t="str">
        <f t="shared" si="1"/>
        <v>22390</v>
      </c>
      <c r="H36341" s="49">
        <f t="shared" si="2"/>
        <v>22271</v>
      </c>
    </row>
    <row r="36342">
      <c r="A36342" s="48" t="s">
        <v>1850</v>
      </c>
      <c r="B36342" s="38">
        <v>48049.0</v>
      </c>
      <c r="C36342" s="38" t="s">
        <v>22386</v>
      </c>
      <c r="D36342" s="38" t="str">
        <f>IFERROR(__xludf.DUMMYFUNCTION("REGEXREPLACE(C36342,""-\d+(.*)|--\d+(.*)"","""")"),"CHIRAC")</f>
        <v>CHIRAC</v>
      </c>
      <c r="E36342" s="38" t="s">
        <v>154</v>
      </c>
      <c r="F36342" s="38" t="s">
        <v>119</v>
      </c>
      <c r="G36342" s="49" t="str">
        <f t="shared" si="1"/>
        <v>48100</v>
      </c>
      <c r="H36342" s="49">
        <f t="shared" si="2"/>
        <v>48049</v>
      </c>
    </row>
    <row r="36343">
      <c r="A36343" s="48" t="s">
        <v>5281</v>
      </c>
      <c r="B36343" s="38">
        <v>25355.0</v>
      </c>
      <c r="C36343" s="38" t="s">
        <v>40423</v>
      </c>
      <c r="D36343" s="38" t="str">
        <f>IFERROR(__xludf.DUMMYFUNCTION("REGEXREPLACE(C36343,""-\d+(.*)|--\d+(.*)"","""")"),"MAGNY-CHATELARD")</f>
        <v>MAGNY-CHATELARD</v>
      </c>
      <c r="E36343" s="38" t="s">
        <v>213</v>
      </c>
      <c r="F36343" s="38" t="s">
        <v>214</v>
      </c>
      <c r="G36343" s="49" t="str">
        <f t="shared" si="1"/>
        <v>25360</v>
      </c>
      <c r="H36343" s="49">
        <f t="shared" si="2"/>
        <v>25355</v>
      </c>
    </row>
    <row r="36344">
      <c r="A36344" s="48" t="s">
        <v>15316</v>
      </c>
      <c r="B36344" s="38">
        <v>66108.0</v>
      </c>
      <c r="C36344" s="38" t="s">
        <v>40424</v>
      </c>
      <c r="D36344" s="38" t="str">
        <f>IFERROR(__xludf.DUMMYFUNCTION("REGEXREPLACE(C36344,""-\d+(.*)|--\d+(.*)"","""")"),"MILLAS")</f>
        <v>MILLAS</v>
      </c>
      <c r="E36344" s="38" t="s">
        <v>248</v>
      </c>
      <c r="F36344" s="38" t="s">
        <v>119</v>
      </c>
      <c r="G36344" s="49" t="str">
        <f t="shared" si="1"/>
        <v>66170</v>
      </c>
      <c r="H36344" s="49">
        <f t="shared" si="2"/>
        <v>66108</v>
      </c>
    </row>
    <row r="36345">
      <c r="A36345" s="48" t="s">
        <v>6016</v>
      </c>
      <c r="B36345" s="38">
        <v>57286.0</v>
      </c>
      <c r="C36345" s="38" t="s">
        <v>40425</v>
      </c>
      <c r="D36345" s="38" t="str">
        <f>IFERROR(__xludf.DUMMYFUNCTION("REGEXREPLACE(C36345,""-\d+(.*)|--\d+(.*)"","""")"),"HALSTROFF")</f>
        <v>HALSTROFF</v>
      </c>
      <c r="E36345" s="38" t="s">
        <v>303</v>
      </c>
      <c r="F36345" s="38" t="s">
        <v>195</v>
      </c>
      <c r="G36345" s="49" t="str">
        <f t="shared" si="1"/>
        <v>57480</v>
      </c>
      <c r="H36345" s="49">
        <f t="shared" si="2"/>
        <v>57286</v>
      </c>
    </row>
    <row r="36346">
      <c r="A36346" s="48" t="s">
        <v>14348</v>
      </c>
      <c r="B36346" s="38">
        <v>12193.0</v>
      </c>
      <c r="C36346" s="38" t="s">
        <v>40426</v>
      </c>
      <c r="D36346" s="38" t="str">
        <f>IFERROR(__xludf.DUMMYFUNCTION("REGEXREPLACE(C36346,""-\d+(.*)|--\d+(.*)"","""")"),"PRUINES")</f>
        <v>PRUINES</v>
      </c>
      <c r="E36346" s="38" t="s">
        <v>465</v>
      </c>
      <c r="F36346" s="38" t="s">
        <v>94</v>
      </c>
      <c r="G36346" s="49" t="str">
        <f t="shared" si="1"/>
        <v>12320</v>
      </c>
      <c r="H36346" s="49">
        <f t="shared" si="2"/>
        <v>12193</v>
      </c>
    </row>
    <row r="36347">
      <c r="A36347" s="48" t="s">
        <v>9536</v>
      </c>
      <c r="B36347" s="38">
        <v>8347.0</v>
      </c>
      <c r="C36347" s="38" t="s">
        <v>40427</v>
      </c>
      <c r="D36347" s="38" t="str">
        <f>IFERROR(__xludf.DUMMYFUNCTION("REGEXREPLACE(C36347,""-\d+(.*)|--\d+(.*)"","""")"),"PUILLY-ET-CHARBEAUX")</f>
        <v>PUILLY-ET-CHARBEAUX</v>
      </c>
      <c r="E36347" s="38" t="s">
        <v>327</v>
      </c>
      <c r="F36347" s="38" t="s">
        <v>130</v>
      </c>
      <c r="G36347" s="49" t="str">
        <f t="shared" si="1"/>
        <v>08370</v>
      </c>
      <c r="H36347" s="49" t="str">
        <f t="shared" si="2"/>
        <v>08347</v>
      </c>
    </row>
    <row r="36348">
      <c r="A36348" s="48" t="s">
        <v>4506</v>
      </c>
      <c r="B36348" s="38">
        <v>7297.0</v>
      </c>
      <c r="C36348" s="38" t="s">
        <v>21156</v>
      </c>
      <c r="D36348" s="38" t="str">
        <f>IFERROR(__xludf.DUMMYFUNCTION("REGEXREPLACE(C36348,""-\d+(.*)|--\d+(.*)"","""")"),"SAINT-SYLVESTRE")</f>
        <v>SAINT-SYLVESTRE</v>
      </c>
      <c r="E36348" s="38" t="s">
        <v>144</v>
      </c>
      <c r="F36348" s="38" t="s">
        <v>102</v>
      </c>
      <c r="G36348" s="49" t="str">
        <f t="shared" si="1"/>
        <v>07440</v>
      </c>
      <c r="H36348" s="49" t="str">
        <f t="shared" si="2"/>
        <v>07297</v>
      </c>
    </row>
    <row r="36349">
      <c r="A36349" s="48" t="s">
        <v>8374</v>
      </c>
      <c r="B36349" s="38">
        <v>85233.0</v>
      </c>
      <c r="C36349" s="38" t="s">
        <v>40428</v>
      </c>
      <c r="D36349" s="38" t="str">
        <f>IFERROR(__xludf.DUMMYFUNCTION("REGEXREPLACE(C36349,""-\d+(.*)|--\d+(.*)"","""")"),"SAINT-JEAN-DE-BEUGNE")</f>
        <v>SAINT-JEAN-DE-BEUGNE</v>
      </c>
      <c r="E36349" s="38" t="s">
        <v>179</v>
      </c>
      <c r="F36349" s="38" t="s">
        <v>180</v>
      </c>
      <c r="G36349" s="49" t="str">
        <f t="shared" si="1"/>
        <v>85210</v>
      </c>
      <c r="H36349" s="49">
        <f t="shared" si="2"/>
        <v>85233</v>
      </c>
    </row>
    <row r="36350">
      <c r="A36350" s="48" t="s">
        <v>1861</v>
      </c>
      <c r="B36350" s="38">
        <v>46156.0</v>
      </c>
      <c r="C36350" s="38" t="s">
        <v>40429</v>
      </c>
      <c r="D36350" s="38" t="str">
        <f>IFERROR(__xludf.DUMMYFUNCTION("REGEXREPLACE(C36350,""-\d+(.*)|--\d+(.*)"","""")"),"LAROQUE-DES-ARCS")</f>
        <v>LAROQUE-DES-ARCS</v>
      </c>
      <c r="E36350" s="38" t="s">
        <v>185</v>
      </c>
      <c r="F36350" s="38" t="s">
        <v>94</v>
      </c>
      <c r="G36350" s="49" t="str">
        <f t="shared" si="1"/>
        <v>46090</v>
      </c>
      <c r="H36350" s="49">
        <f t="shared" si="2"/>
        <v>46156</v>
      </c>
    </row>
    <row r="36351">
      <c r="A36351" s="48" t="s">
        <v>11565</v>
      </c>
      <c r="B36351" s="38">
        <v>62403.0</v>
      </c>
      <c r="C36351" s="38" t="s">
        <v>40430</v>
      </c>
      <c r="D36351" s="38" t="str">
        <f>IFERROR(__xludf.DUMMYFUNCTION("REGEXREPLACE(C36351,""-\d+(.*)|--\d+(.*)"","""")"),"HALLINES")</f>
        <v>HALLINES</v>
      </c>
      <c r="E36351" s="38" t="s">
        <v>109</v>
      </c>
      <c r="F36351" s="38" t="s">
        <v>86</v>
      </c>
      <c r="G36351" s="49" t="str">
        <f t="shared" si="1"/>
        <v>62570</v>
      </c>
      <c r="H36351" s="49">
        <f t="shared" si="2"/>
        <v>62403</v>
      </c>
    </row>
    <row r="36352">
      <c r="A36352" s="48" t="s">
        <v>4011</v>
      </c>
      <c r="B36352" s="38">
        <v>80734.0</v>
      </c>
      <c r="C36352" s="38" t="s">
        <v>40431</v>
      </c>
      <c r="D36352" s="38" t="str">
        <f>IFERROR(__xludf.DUMMYFUNCTION("REGEXREPLACE(C36352,""-\d+(.*)|--\d+(.*)"","""")"),"SENTELIE")</f>
        <v>SENTELIE</v>
      </c>
      <c r="E36352" s="38" t="s">
        <v>224</v>
      </c>
      <c r="F36352" s="38" t="s">
        <v>113</v>
      </c>
      <c r="G36352" s="49" t="str">
        <f t="shared" si="1"/>
        <v>80160</v>
      </c>
      <c r="H36352" s="49">
        <f t="shared" si="2"/>
        <v>80734</v>
      </c>
    </row>
    <row r="36353">
      <c r="A36353" s="48" t="s">
        <v>3789</v>
      </c>
      <c r="B36353" s="38">
        <v>51301.0</v>
      </c>
      <c r="C36353" s="38" t="s">
        <v>36908</v>
      </c>
      <c r="D36353" s="38" t="str">
        <f>IFERROR(__xludf.DUMMYFUNCTION("REGEXREPLACE(C36353,""-\d+(.*)|--\d+(.*)"","""")"),"ISSE")</f>
        <v>ISSE</v>
      </c>
      <c r="E36353" s="38" t="s">
        <v>129</v>
      </c>
      <c r="F36353" s="38" t="s">
        <v>130</v>
      </c>
      <c r="G36353" s="49" t="str">
        <f t="shared" si="1"/>
        <v>51150</v>
      </c>
      <c r="H36353" s="49">
        <f t="shared" si="2"/>
        <v>51301</v>
      </c>
    </row>
    <row r="36354">
      <c r="A36354" s="48" t="s">
        <v>6598</v>
      </c>
      <c r="B36354" s="38">
        <v>80702.0</v>
      </c>
      <c r="C36354" s="38" t="s">
        <v>40432</v>
      </c>
      <c r="D36354" s="38" t="str">
        <f>IFERROR(__xludf.DUMMYFUNCTION("REGEXREPLACE(C36354,""-\d+(.*)|--\d+(.*)"","""")"),"SAINT-FUSCIEN")</f>
        <v>SAINT-FUSCIEN</v>
      </c>
      <c r="E36354" s="38" t="s">
        <v>224</v>
      </c>
      <c r="F36354" s="38" t="s">
        <v>113</v>
      </c>
      <c r="G36354" s="49" t="str">
        <f t="shared" si="1"/>
        <v>80680</v>
      </c>
      <c r="H36354" s="49">
        <f t="shared" si="2"/>
        <v>80702</v>
      </c>
    </row>
    <row r="36355">
      <c r="A36355" s="48" t="s">
        <v>1621</v>
      </c>
      <c r="B36355" s="38">
        <v>64175.0</v>
      </c>
      <c r="C36355" s="38" t="s">
        <v>40433</v>
      </c>
      <c r="D36355" s="38" t="str">
        <f>IFERROR(__xludf.DUMMYFUNCTION("REGEXREPLACE(C36355,""-\d+(.*)|--\d+(.*)"","""")"),"CASTET")</f>
        <v>CASTET</v>
      </c>
      <c r="E36355" s="38" t="s">
        <v>268</v>
      </c>
      <c r="F36355" s="38" t="s">
        <v>252</v>
      </c>
      <c r="G36355" s="49" t="str">
        <f t="shared" si="1"/>
        <v>64260</v>
      </c>
      <c r="H36355" s="49">
        <f t="shared" si="2"/>
        <v>64175</v>
      </c>
    </row>
    <row r="36356">
      <c r="A36356" s="48" t="s">
        <v>16634</v>
      </c>
      <c r="B36356" s="38">
        <v>17083.0</v>
      </c>
      <c r="C36356" s="38" t="s">
        <v>13740</v>
      </c>
      <c r="D36356" s="38" t="str">
        <f>IFERROR(__xludf.DUMMYFUNCTION("REGEXREPLACE(C36356,""-\d+(.*)|--\d+(.*)"","""")"),"CHAMPAGNE")</f>
        <v>CHAMPAGNE</v>
      </c>
      <c r="E36356" s="38" t="s">
        <v>488</v>
      </c>
      <c r="F36356" s="38" t="s">
        <v>338</v>
      </c>
      <c r="G36356" s="49" t="str">
        <f t="shared" si="1"/>
        <v>17620</v>
      </c>
      <c r="H36356" s="49">
        <f t="shared" si="2"/>
        <v>17083</v>
      </c>
    </row>
    <row r="36357">
      <c r="A36357" s="48" t="s">
        <v>3618</v>
      </c>
      <c r="B36357" s="38">
        <v>31298.0</v>
      </c>
      <c r="C36357" s="38" t="s">
        <v>40434</v>
      </c>
      <c r="D36357" s="38" t="str">
        <f>IFERROR(__xludf.DUMMYFUNCTION("REGEXREPLACE(C36357,""-\d+(.*)|--\d+(.*)"","""")"),"LEZ")</f>
        <v>LEZ</v>
      </c>
      <c r="E36357" s="38" t="s">
        <v>93</v>
      </c>
      <c r="F36357" s="38" t="s">
        <v>94</v>
      </c>
      <c r="G36357" s="49" t="str">
        <f t="shared" si="1"/>
        <v>31440</v>
      </c>
      <c r="H36357" s="49">
        <f t="shared" si="2"/>
        <v>31298</v>
      </c>
    </row>
    <row r="36358">
      <c r="A36358" s="48" t="s">
        <v>1104</v>
      </c>
      <c r="B36358" s="38">
        <v>52019.0</v>
      </c>
      <c r="C36358" s="38" t="s">
        <v>40435</v>
      </c>
      <c r="D36358" s="38" t="str">
        <f>IFERROR(__xludf.DUMMYFUNCTION("REGEXREPLACE(C36358,""-\d+(.*)|--\d+(.*)"","""")"),"ARNANCOURT")</f>
        <v>ARNANCOURT</v>
      </c>
      <c r="E36358" s="38" t="s">
        <v>234</v>
      </c>
      <c r="F36358" s="38" t="s">
        <v>130</v>
      </c>
      <c r="G36358" s="49" t="str">
        <f t="shared" si="1"/>
        <v>52110</v>
      </c>
      <c r="H36358" s="49">
        <f t="shared" si="2"/>
        <v>52019</v>
      </c>
    </row>
    <row r="36359">
      <c r="A36359" s="48" t="s">
        <v>1310</v>
      </c>
      <c r="B36359" s="38">
        <v>25222.0</v>
      </c>
      <c r="C36359" s="38" t="s">
        <v>40436</v>
      </c>
      <c r="D36359" s="38" t="str">
        <f>IFERROR(__xludf.DUMMYFUNCTION("REGEXREPLACE(C36359,""-\d+(.*)|--\d+(.*)"","""")"),"ETALANS")</f>
        <v>ETALANS</v>
      </c>
      <c r="E36359" s="38" t="s">
        <v>213</v>
      </c>
      <c r="F36359" s="38" t="s">
        <v>214</v>
      </c>
      <c r="G36359" s="49" t="str">
        <f t="shared" si="1"/>
        <v>25580</v>
      </c>
      <c r="H36359" s="49">
        <f t="shared" si="2"/>
        <v>25222</v>
      </c>
    </row>
    <row r="36360">
      <c r="A36360" s="48" t="s">
        <v>9143</v>
      </c>
      <c r="B36360" s="38">
        <v>30217.0</v>
      </c>
      <c r="C36360" s="38" t="s">
        <v>40437</v>
      </c>
      <c r="D36360" s="38" t="str">
        <f>IFERROR(__xludf.DUMMYFUNCTION("REGEXREPLACE(C36360,""-\d+(.*)|--\d+(.*)"","""")"),"ROCHEFORT-DU-GARD")</f>
        <v>ROCHEFORT-DU-GARD</v>
      </c>
      <c r="E36360" s="38" t="s">
        <v>526</v>
      </c>
      <c r="F36360" s="38" t="s">
        <v>119</v>
      </c>
      <c r="G36360" s="49" t="str">
        <f t="shared" si="1"/>
        <v>30650</v>
      </c>
      <c r="H36360" s="49">
        <f t="shared" si="2"/>
        <v>30217</v>
      </c>
    </row>
    <row r="36361">
      <c r="A36361" s="48" t="s">
        <v>8678</v>
      </c>
      <c r="B36361" s="38">
        <v>65005.0</v>
      </c>
      <c r="C36361" s="38" t="s">
        <v>40438</v>
      </c>
      <c r="D36361" s="38" t="str">
        <f>IFERROR(__xludf.DUMMYFUNCTION("REGEXREPLACE(C36361,""-\d+(.*)|--\d+(.*)"","""")"),"ALLIER")</f>
        <v>ALLIER</v>
      </c>
      <c r="E36361" s="38" t="s">
        <v>200</v>
      </c>
      <c r="F36361" s="38" t="s">
        <v>94</v>
      </c>
      <c r="G36361" s="49" t="str">
        <f t="shared" si="1"/>
        <v>65360</v>
      </c>
      <c r="H36361" s="49">
        <f t="shared" si="2"/>
        <v>65005</v>
      </c>
    </row>
    <row r="36362">
      <c r="A36362" s="48" t="s">
        <v>127</v>
      </c>
      <c r="B36362" s="38">
        <v>51397.0</v>
      </c>
      <c r="C36362" s="38" t="s">
        <v>40439</v>
      </c>
      <c r="D36362" s="38" t="str">
        <f>IFERROR(__xludf.DUMMYFUNCTION("REGEXREPLACE(C36362,""-\d+(.*)|--\d+(.*)"","""")"),"LA NEUVILLE-AUX-BOIS")</f>
        <v>LA NEUVILLE-AUX-BOIS</v>
      </c>
      <c r="E36362" s="38" t="s">
        <v>129</v>
      </c>
      <c r="F36362" s="38" t="s">
        <v>130</v>
      </c>
      <c r="G36362" s="49" t="str">
        <f t="shared" si="1"/>
        <v>51330</v>
      </c>
      <c r="H36362" s="49">
        <f t="shared" si="2"/>
        <v>51397</v>
      </c>
    </row>
    <row r="36363">
      <c r="A36363" s="48" t="s">
        <v>4955</v>
      </c>
      <c r="B36363" s="38">
        <v>4070.0</v>
      </c>
      <c r="C36363" s="38" t="s">
        <v>40440</v>
      </c>
      <c r="D36363" s="38" t="str">
        <f>IFERROR(__xludf.DUMMYFUNCTION("REGEXREPLACE(C36363,""-\d+(.*)|--\d+(.*)"","""")"),"DIGNE-LES-BAINS")</f>
        <v>DIGNE-LES-BAINS</v>
      </c>
      <c r="E36363" s="38" t="s">
        <v>662</v>
      </c>
      <c r="F36363" s="38" t="s">
        <v>228</v>
      </c>
      <c r="G36363" s="49" t="str">
        <f t="shared" si="1"/>
        <v>04000</v>
      </c>
      <c r="H36363" s="49" t="str">
        <f t="shared" si="2"/>
        <v>04070</v>
      </c>
    </row>
    <row r="36364">
      <c r="A36364" s="48" t="s">
        <v>9028</v>
      </c>
      <c r="B36364" s="38">
        <v>65380.0</v>
      </c>
      <c r="C36364" s="38" t="s">
        <v>40441</v>
      </c>
      <c r="D36364" s="38" t="str">
        <f>IFERROR(__xludf.DUMMYFUNCTION("REGEXREPLACE(C36364,""-\d+(.*)|--\d+(.*)"","""")"),"SABALOS")</f>
        <v>SABALOS</v>
      </c>
      <c r="E36364" s="38" t="s">
        <v>200</v>
      </c>
      <c r="F36364" s="38" t="s">
        <v>94</v>
      </c>
      <c r="G36364" s="49" t="str">
        <f t="shared" si="1"/>
        <v>65350</v>
      </c>
      <c r="H36364" s="49">
        <f t="shared" si="2"/>
        <v>65380</v>
      </c>
    </row>
    <row r="36365">
      <c r="A36365" s="48" t="s">
        <v>1740</v>
      </c>
      <c r="B36365" s="38">
        <v>26298.0</v>
      </c>
      <c r="C36365" s="38" t="s">
        <v>40442</v>
      </c>
      <c r="D36365" s="38" t="str">
        <f>IFERROR(__xludf.DUMMYFUNCTION("REGEXREPLACE(C36365,""-\d+(.*)|--\d+(.*)"","""")"),"SAINT-CHRISTOPHE-ET-LE-LARIS")</f>
        <v>SAINT-CHRISTOPHE-ET-LE-LARIS</v>
      </c>
      <c r="E36365" s="38" t="s">
        <v>126</v>
      </c>
      <c r="F36365" s="38" t="s">
        <v>102</v>
      </c>
      <c r="G36365" s="49" t="str">
        <f t="shared" si="1"/>
        <v>26350</v>
      </c>
      <c r="H36365" s="49">
        <f t="shared" si="2"/>
        <v>26298</v>
      </c>
    </row>
    <row r="36366">
      <c r="A36366" s="48" t="s">
        <v>20845</v>
      </c>
      <c r="B36366" s="38">
        <v>68199.0</v>
      </c>
      <c r="C36366" s="38" t="s">
        <v>40443</v>
      </c>
      <c r="D36366" s="38" t="str">
        <f>IFERROR(__xludf.DUMMYFUNCTION("REGEXREPLACE(C36366,""-\d+(.*)|--\d+(.*)"","""")"),"MALMERSPACH")</f>
        <v>MALMERSPACH</v>
      </c>
      <c r="E36366" s="38" t="s">
        <v>150</v>
      </c>
      <c r="F36366" s="38" t="s">
        <v>151</v>
      </c>
      <c r="G36366" s="49" t="str">
        <f t="shared" si="1"/>
        <v>68550</v>
      </c>
      <c r="H36366" s="49">
        <f t="shared" si="2"/>
        <v>68199</v>
      </c>
    </row>
    <row r="36367">
      <c r="A36367" s="48" t="s">
        <v>12083</v>
      </c>
      <c r="B36367" s="38">
        <v>26170.0</v>
      </c>
      <c r="C36367" s="38" t="s">
        <v>40444</v>
      </c>
      <c r="D36367" s="38" t="str">
        <f>IFERROR(__xludf.DUMMYFUNCTION("REGEXREPLACE(C36367,""-\d+(.*)|--\d+(.*)"","""")"),"MALISSARD")</f>
        <v>MALISSARD</v>
      </c>
      <c r="E36367" s="38" t="s">
        <v>126</v>
      </c>
      <c r="F36367" s="38" t="s">
        <v>102</v>
      </c>
      <c r="G36367" s="49" t="str">
        <f t="shared" si="1"/>
        <v>26120</v>
      </c>
      <c r="H36367" s="49">
        <f t="shared" si="2"/>
        <v>26170</v>
      </c>
    </row>
    <row r="36368">
      <c r="A36368" s="48" t="s">
        <v>7005</v>
      </c>
      <c r="B36368" s="38">
        <v>82042.0</v>
      </c>
      <c r="C36368" s="38" t="s">
        <v>40445</v>
      </c>
      <c r="D36368" s="38" t="str">
        <f>IFERROR(__xludf.DUMMYFUNCTION("REGEXREPLACE(C36368,""-\d+(.*)|--\d+(.*)"","""")"),"CAZES-MONDENARD")</f>
        <v>CAZES-MONDENARD</v>
      </c>
      <c r="E36368" s="38" t="s">
        <v>570</v>
      </c>
      <c r="F36368" s="38" t="s">
        <v>94</v>
      </c>
      <c r="G36368" s="49" t="str">
        <f t="shared" si="1"/>
        <v>82110</v>
      </c>
      <c r="H36368" s="49">
        <f t="shared" si="2"/>
        <v>82042</v>
      </c>
    </row>
    <row r="36369">
      <c r="A36369" s="48" t="s">
        <v>5381</v>
      </c>
      <c r="B36369" s="38">
        <v>38218.0</v>
      </c>
      <c r="C36369" s="38" t="s">
        <v>40446</v>
      </c>
      <c r="D36369" s="38" t="str">
        <f>IFERROR(__xludf.DUMMYFUNCTION("REGEXREPLACE(C36369,""-\d+(.*)|--\d+(.*)"","""")"),"MARCILLOLES")</f>
        <v>MARCILLOLES</v>
      </c>
      <c r="E36369" s="38" t="s">
        <v>101</v>
      </c>
      <c r="F36369" s="38" t="s">
        <v>102</v>
      </c>
      <c r="G36369" s="49" t="str">
        <f t="shared" si="1"/>
        <v>38260</v>
      </c>
      <c r="H36369" s="49">
        <f t="shared" si="2"/>
        <v>38218</v>
      </c>
    </row>
    <row r="36370">
      <c r="A36370" s="48" t="s">
        <v>40447</v>
      </c>
      <c r="B36370" s="38">
        <v>79195.0</v>
      </c>
      <c r="C36370" s="38" t="s">
        <v>40448</v>
      </c>
      <c r="D36370" s="38" t="str">
        <f>IFERROR(__xludf.DUMMYFUNCTION("REGEXREPLACE(C36370,""-\d+(.*)|--\d+(.*)"","""")"),"NUEIL-LES-AUBIERS")</f>
        <v>NUEIL-LES-AUBIERS</v>
      </c>
      <c r="E36370" s="38" t="s">
        <v>337</v>
      </c>
      <c r="F36370" s="38" t="s">
        <v>338</v>
      </c>
      <c r="G36370" s="49" t="str">
        <f t="shared" si="1"/>
        <v>79250</v>
      </c>
      <c r="H36370" s="49">
        <f t="shared" si="2"/>
        <v>79195</v>
      </c>
    </row>
    <row r="36371">
      <c r="A36371" s="48" t="s">
        <v>4599</v>
      </c>
      <c r="B36371" s="38">
        <v>70410.0</v>
      </c>
      <c r="C36371" s="38" t="s">
        <v>40449</v>
      </c>
      <c r="D36371" s="38" t="str">
        <f>IFERROR(__xludf.DUMMYFUNCTION("REGEXREPLACE(C36371,""-\d+(.*)|--\d+(.*)"","""")"),"PIN")</f>
        <v>PIN</v>
      </c>
      <c r="E36371" s="38" t="s">
        <v>956</v>
      </c>
      <c r="F36371" s="38" t="s">
        <v>214</v>
      </c>
      <c r="G36371" s="49" t="str">
        <f t="shared" si="1"/>
        <v>70150</v>
      </c>
      <c r="H36371" s="49">
        <f t="shared" si="2"/>
        <v>70410</v>
      </c>
    </row>
    <row r="36372">
      <c r="A36372" s="48" t="s">
        <v>1393</v>
      </c>
      <c r="B36372" s="38">
        <v>25013.0</v>
      </c>
      <c r="C36372" s="38" t="s">
        <v>40450</v>
      </c>
      <c r="D36372" s="38" t="str">
        <f>IFERROR(__xludf.DUMMYFUNCTION("REGEXREPLACE(C36372,""-\d+(.*)|--\d+(.*)"","""")"),"ALLONDANS")</f>
        <v>ALLONDANS</v>
      </c>
      <c r="E36372" s="38" t="s">
        <v>213</v>
      </c>
      <c r="F36372" s="38" t="s">
        <v>214</v>
      </c>
      <c r="G36372" s="49" t="str">
        <f t="shared" si="1"/>
        <v>25550</v>
      </c>
      <c r="H36372" s="49">
        <f t="shared" si="2"/>
        <v>25013</v>
      </c>
    </row>
    <row r="36373">
      <c r="A36373" s="48" t="s">
        <v>2493</v>
      </c>
      <c r="B36373" s="38">
        <v>25375.0</v>
      </c>
      <c r="C36373" s="38" t="s">
        <v>40451</v>
      </c>
      <c r="D36373" s="38" t="str">
        <f>IFERROR(__xludf.DUMMYFUNCTION("REGEXREPLACE(C36373,""-\d+(.*)|--\d+(.*)"","""")"),"MEREY-SOUS-MONTROND")</f>
        <v>MEREY-SOUS-MONTROND</v>
      </c>
      <c r="E36373" s="38" t="s">
        <v>213</v>
      </c>
      <c r="F36373" s="38" t="s">
        <v>214</v>
      </c>
      <c r="G36373" s="49" t="str">
        <f t="shared" si="1"/>
        <v>25660</v>
      </c>
      <c r="H36373" s="49">
        <f t="shared" si="2"/>
        <v>25375</v>
      </c>
    </row>
    <row r="36374">
      <c r="A36374" s="48" t="s">
        <v>25654</v>
      </c>
      <c r="B36374" s="38">
        <v>58164.0</v>
      </c>
      <c r="C36374" s="38" t="s">
        <v>40452</v>
      </c>
      <c r="D36374" s="38" t="str">
        <f>IFERROR(__xludf.DUMMYFUNCTION("REGEXREPLACE(C36374,""-\d+(.*)|--\d+(.*)"","""")"),"MESVES-SUR-LOIRE")</f>
        <v>MESVES-SUR-LOIRE</v>
      </c>
      <c r="E36374" s="38" t="s">
        <v>219</v>
      </c>
      <c r="F36374" s="38" t="s">
        <v>106</v>
      </c>
      <c r="G36374" s="49" t="str">
        <f t="shared" si="1"/>
        <v>58400</v>
      </c>
      <c r="H36374" s="49">
        <f t="shared" si="2"/>
        <v>58164</v>
      </c>
    </row>
    <row r="36375">
      <c r="A36375" s="48" t="s">
        <v>5477</v>
      </c>
      <c r="B36375" s="38">
        <v>74293.0</v>
      </c>
      <c r="C36375" s="38" t="s">
        <v>40453</v>
      </c>
      <c r="D36375" s="38" t="str">
        <f>IFERROR(__xludf.DUMMYFUNCTION("REGEXREPLACE(C36375,""-\d+(.*)|--\d+(.*)"","""")"),"VEIGY-FONCENEX")</f>
        <v>VEIGY-FONCENEX</v>
      </c>
      <c r="E36375" s="38" t="s">
        <v>319</v>
      </c>
      <c r="F36375" s="38" t="s">
        <v>102</v>
      </c>
      <c r="G36375" s="49" t="str">
        <f t="shared" si="1"/>
        <v>74140</v>
      </c>
      <c r="H36375" s="49">
        <f t="shared" si="2"/>
        <v>74293</v>
      </c>
    </row>
    <row r="36376">
      <c r="A36376" s="48" t="s">
        <v>2069</v>
      </c>
      <c r="B36376" s="38">
        <v>47123.0</v>
      </c>
      <c r="C36376" s="38" t="s">
        <v>40454</v>
      </c>
      <c r="D36376" s="38" t="str">
        <f>IFERROR(__xludf.DUMMYFUNCTION("REGEXREPLACE(C36376,""-\d+(.*)|--\d+(.*)"","""")"),"LACAPELLE-BIRON")</f>
        <v>LACAPELLE-BIRON</v>
      </c>
      <c r="E36376" s="38" t="s">
        <v>251</v>
      </c>
      <c r="F36376" s="38" t="s">
        <v>252</v>
      </c>
      <c r="G36376" s="49" t="str">
        <f t="shared" si="1"/>
        <v>47150</v>
      </c>
      <c r="H36376" s="49">
        <f t="shared" si="2"/>
        <v>47123</v>
      </c>
    </row>
    <row r="36377">
      <c r="A36377" s="48" t="s">
        <v>9769</v>
      </c>
      <c r="B36377" s="38">
        <v>46093.0</v>
      </c>
      <c r="C36377" s="38" t="s">
        <v>40455</v>
      </c>
      <c r="D36377" s="38" t="str">
        <f>IFERROR(__xludf.DUMMYFUNCTION("REGEXREPLACE(C36377,""-\d+(.*)|--\d+(.*)"","""")"),"ESPAGNAC-SAINTE-EULALIE")</f>
        <v>ESPAGNAC-SAINTE-EULALIE</v>
      </c>
      <c r="E36377" s="38" t="s">
        <v>185</v>
      </c>
      <c r="F36377" s="38" t="s">
        <v>94</v>
      </c>
      <c r="G36377" s="49" t="str">
        <f t="shared" si="1"/>
        <v>46320</v>
      </c>
      <c r="H36377" s="49">
        <f t="shared" si="2"/>
        <v>46093</v>
      </c>
    </row>
    <row r="36378">
      <c r="A36378" s="48" t="s">
        <v>13255</v>
      </c>
      <c r="B36378" s="38">
        <v>35130.0</v>
      </c>
      <c r="C36378" s="38" t="s">
        <v>40456</v>
      </c>
      <c r="D36378" s="38" t="str">
        <f>IFERROR(__xludf.DUMMYFUNCTION("REGEXREPLACE(C36378,""-\d+(.*)|--\d+(.*)"","""")"),"HEDE-BAZOUGES")</f>
        <v>HEDE-BAZOUGES</v>
      </c>
      <c r="E36378" s="38" t="s">
        <v>347</v>
      </c>
      <c r="F36378" s="38" t="s">
        <v>90</v>
      </c>
      <c r="G36378" s="49" t="str">
        <f t="shared" si="1"/>
        <v>35630</v>
      </c>
      <c r="H36378" s="49">
        <f t="shared" si="2"/>
        <v>35130</v>
      </c>
    </row>
    <row r="36379">
      <c r="A36379" s="48" t="s">
        <v>2208</v>
      </c>
      <c r="B36379" s="38">
        <v>55094.0</v>
      </c>
      <c r="C36379" s="38" t="s">
        <v>40457</v>
      </c>
      <c r="D36379" s="38" t="str">
        <f>IFERROR(__xludf.DUMMYFUNCTION("REGEXREPLACE(C36379,""-\d+(.*)|--\d+(.*)"","""")"),"BUZY-DARMONT")</f>
        <v>BUZY-DARMONT</v>
      </c>
      <c r="E36379" s="38" t="s">
        <v>322</v>
      </c>
      <c r="F36379" s="38" t="s">
        <v>195</v>
      </c>
      <c r="G36379" s="49" t="str">
        <f t="shared" si="1"/>
        <v>55400</v>
      </c>
      <c r="H36379" s="49">
        <f t="shared" si="2"/>
        <v>55094</v>
      </c>
    </row>
    <row r="36380">
      <c r="A36380" s="48" t="s">
        <v>8327</v>
      </c>
      <c r="B36380" s="38">
        <v>71372.0</v>
      </c>
      <c r="C36380" s="38" t="s">
        <v>40458</v>
      </c>
      <c r="D36380" s="38" t="str">
        <f>IFERROR(__xludf.DUMMYFUNCTION("REGEXREPLACE(C36380,""-\d+(.*)|--\d+(.*)"","""")"),"ROMANECHE-THORINS")</f>
        <v>ROMANECHE-THORINS</v>
      </c>
      <c r="E36380" s="38" t="s">
        <v>344</v>
      </c>
      <c r="F36380" s="38" t="s">
        <v>106</v>
      </c>
      <c r="G36380" s="49" t="str">
        <f t="shared" si="1"/>
        <v>71570</v>
      </c>
      <c r="H36380" s="49">
        <f t="shared" si="2"/>
        <v>71372</v>
      </c>
    </row>
    <row r="36381">
      <c r="A36381" s="48" t="s">
        <v>4443</v>
      </c>
      <c r="B36381" s="38">
        <v>27660.0</v>
      </c>
      <c r="C36381" s="38" t="s">
        <v>40459</v>
      </c>
      <c r="D36381" s="38" t="str">
        <f>IFERROR(__xludf.DUMMYFUNCTION("REGEXREPLACE(C36381,""-\d+(.*)|--\d+(.*)"","""")"),"LA TRINITE-DE-REVILLE")</f>
        <v>LA TRINITE-DE-REVILLE</v>
      </c>
      <c r="E36381" s="38" t="s">
        <v>241</v>
      </c>
      <c r="F36381" s="38" t="s">
        <v>134</v>
      </c>
      <c r="G36381" s="49" t="str">
        <f t="shared" si="1"/>
        <v>27270</v>
      </c>
      <c r="H36381" s="49">
        <f t="shared" si="2"/>
        <v>27660</v>
      </c>
    </row>
    <row r="36382">
      <c r="A36382" s="48" t="s">
        <v>2540</v>
      </c>
      <c r="B36382" s="38">
        <v>2443.0</v>
      </c>
      <c r="C36382" s="38" t="s">
        <v>40460</v>
      </c>
      <c r="D36382" s="38" t="str">
        <f>IFERROR(__xludf.DUMMYFUNCTION("REGEXREPLACE(C36382,""-\d+(.*)|--\d+(.*)"","""")"),"LUCY-LE-BOCAGE")</f>
        <v>LUCY-LE-BOCAGE</v>
      </c>
      <c r="E36382" s="38" t="s">
        <v>191</v>
      </c>
      <c r="F36382" s="38" t="s">
        <v>113</v>
      </c>
      <c r="G36382" s="49" t="str">
        <f t="shared" si="1"/>
        <v>02400</v>
      </c>
      <c r="H36382" s="49" t="str">
        <f t="shared" si="2"/>
        <v>02443</v>
      </c>
    </row>
    <row r="36383">
      <c r="A36383" s="48" t="s">
        <v>2526</v>
      </c>
      <c r="B36383" s="38">
        <v>70099.0</v>
      </c>
      <c r="C36383" s="38" t="s">
        <v>40461</v>
      </c>
      <c r="D36383" s="38" t="str">
        <f>IFERROR(__xludf.DUMMYFUNCTION("REGEXREPLACE(C36383,""-\d+(.*)|--\d+(.*)"","""")"),"BROTTE-LES-RAY")</f>
        <v>BROTTE-LES-RAY</v>
      </c>
      <c r="E36383" s="38" t="s">
        <v>956</v>
      </c>
      <c r="F36383" s="38" t="s">
        <v>214</v>
      </c>
      <c r="G36383" s="49" t="str">
        <f t="shared" si="1"/>
        <v>70180</v>
      </c>
      <c r="H36383" s="49">
        <f t="shared" si="2"/>
        <v>70099</v>
      </c>
    </row>
    <row r="36384">
      <c r="A36384" s="48" t="s">
        <v>1137</v>
      </c>
      <c r="B36384" s="38">
        <v>60609.0</v>
      </c>
      <c r="C36384" s="38" t="s">
        <v>40462</v>
      </c>
      <c r="D36384" s="38" t="str">
        <f>IFERROR(__xludf.DUMMYFUNCTION("REGEXREPLACE(C36384,""-\d+(.*)|--\d+(.*)"","""")"),"SAVIGNIES")</f>
        <v>SAVIGNIES</v>
      </c>
      <c r="E36384" s="38" t="s">
        <v>112</v>
      </c>
      <c r="F36384" s="38" t="s">
        <v>113</v>
      </c>
      <c r="G36384" s="49" t="str">
        <f t="shared" si="1"/>
        <v>60650</v>
      </c>
      <c r="H36384" s="49">
        <f t="shared" si="2"/>
        <v>60609</v>
      </c>
    </row>
    <row r="36385">
      <c r="A36385" s="48" t="s">
        <v>922</v>
      </c>
      <c r="B36385" s="38">
        <v>76277.0</v>
      </c>
      <c r="C36385" s="38" t="s">
        <v>40463</v>
      </c>
      <c r="D36385" s="38" t="str">
        <f>IFERROR(__xludf.DUMMYFUNCTION("REGEXREPLACE(C36385,""-\d+(.*)|--\d+(.*)"","""")"),"LE FOSSE")</f>
        <v>LE FOSSE</v>
      </c>
      <c r="E36385" s="38" t="s">
        <v>133</v>
      </c>
      <c r="F36385" s="38" t="s">
        <v>134</v>
      </c>
      <c r="G36385" s="49" t="str">
        <f t="shared" si="1"/>
        <v>76440</v>
      </c>
      <c r="H36385" s="49">
        <f t="shared" si="2"/>
        <v>76277</v>
      </c>
    </row>
    <row r="36386">
      <c r="A36386" s="48" t="s">
        <v>6292</v>
      </c>
      <c r="B36386" s="38">
        <v>63009.0</v>
      </c>
      <c r="C36386" s="38" t="s">
        <v>40464</v>
      </c>
      <c r="D36386" s="38" t="str">
        <f>IFERROR(__xludf.DUMMYFUNCTION("REGEXREPLACE(C36386,""-\d+(.*)|--\d+(.*)"","""")"),"ARDES")</f>
        <v>ARDES</v>
      </c>
      <c r="E36386" s="38" t="s">
        <v>353</v>
      </c>
      <c r="F36386" s="38" t="s">
        <v>161</v>
      </c>
      <c r="G36386" s="49" t="str">
        <f t="shared" si="1"/>
        <v>63420</v>
      </c>
      <c r="H36386" s="49">
        <f t="shared" si="2"/>
        <v>63009</v>
      </c>
    </row>
    <row r="36387">
      <c r="A36387" s="48" t="s">
        <v>16724</v>
      </c>
      <c r="B36387" s="38">
        <v>10277.0</v>
      </c>
      <c r="C36387" s="38" t="s">
        <v>40465</v>
      </c>
      <c r="D36387" s="38" t="str">
        <f>IFERROR(__xludf.DUMMYFUNCTION("REGEXREPLACE(C36387,""-\d+(.*)|--\d+(.*)"","""")"),"PALIS")</f>
        <v>PALIS</v>
      </c>
      <c r="E36387" s="38" t="s">
        <v>147</v>
      </c>
      <c r="F36387" s="38" t="s">
        <v>130</v>
      </c>
      <c r="G36387" s="49" t="str">
        <f t="shared" si="1"/>
        <v>10190</v>
      </c>
      <c r="H36387" s="49">
        <f t="shared" si="2"/>
        <v>10277</v>
      </c>
    </row>
    <row r="36388">
      <c r="A36388" s="48" t="s">
        <v>40466</v>
      </c>
      <c r="B36388" s="38">
        <v>42304.0</v>
      </c>
      <c r="C36388" s="38" t="s">
        <v>40467</v>
      </c>
      <c r="D36388" s="38" t="str">
        <f>IFERROR(__xludf.DUMMYFUNCTION("REGEXREPLACE(C36388,""-\d+(.*)|--\d+(.*)"","""")"),"SURY-LE-COMTAL")</f>
        <v>SURY-LE-COMTAL</v>
      </c>
      <c r="E36388" s="38" t="s">
        <v>166</v>
      </c>
      <c r="F36388" s="38" t="s">
        <v>102</v>
      </c>
      <c r="G36388" s="49" t="str">
        <f t="shared" si="1"/>
        <v>42450</v>
      </c>
      <c r="H36388" s="49">
        <f t="shared" si="2"/>
        <v>42304</v>
      </c>
    </row>
    <row r="36389">
      <c r="A36389" s="48" t="s">
        <v>2805</v>
      </c>
      <c r="B36389" s="38">
        <v>23120.0</v>
      </c>
      <c r="C36389" s="38" t="s">
        <v>40468</v>
      </c>
      <c r="D36389" s="38" t="str">
        <f>IFERROR(__xludf.DUMMYFUNCTION("REGEXREPLACE(C36389,""-\d+(.*)|--\d+(.*)"","""")"),"MALLERET-BOUSSAC")</f>
        <v>MALLERET-BOUSSAC</v>
      </c>
      <c r="E36389" s="38" t="s">
        <v>97</v>
      </c>
      <c r="F36389" s="38" t="s">
        <v>98</v>
      </c>
      <c r="G36389" s="49" t="str">
        <f t="shared" si="1"/>
        <v>23600</v>
      </c>
      <c r="H36389" s="49">
        <f t="shared" si="2"/>
        <v>23120</v>
      </c>
    </row>
    <row r="36390">
      <c r="A36390" s="48" t="s">
        <v>2019</v>
      </c>
      <c r="B36390" s="38">
        <v>90056.0</v>
      </c>
      <c r="C36390" s="38" t="s">
        <v>40469</v>
      </c>
      <c r="D36390" s="38" t="str">
        <f>IFERROR(__xludf.DUMMYFUNCTION("REGEXREPLACE(C36390,""-\d+(.*)|--\d+(.*)"","""")"),"JONCHEREY")</f>
        <v>JONCHEREY</v>
      </c>
      <c r="E36390" s="38" t="s">
        <v>1283</v>
      </c>
      <c r="F36390" s="38" t="s">
        <v>214</v>
      </c>
      <c r="G36390" s="49" t="str">
        <f t="shared" si="1"/>
        <v>90100</v>
      </c>
      <c r="H36390" s="49">
        <f t="shared" si="2"/>
        <v>90056</v>
      </c>
    </row>
    <row r="36391">
      <c r="A36391" s="48" t="s">
        <v>4121</v>
      </c>
      <c r="B36391" s="38">
        <v>11070.0</v>
      </c>
      <c r="C36391" s="38" t="s">
        <v>40470</v>
      </c>
      <c r="D36391" s="38" t="str">
        <f>IFERROR(__xludf.DUMMYFUNCTION("REGEXREPLACE(C36391,""-\d+(.*)|--\d+(.*)"","""")"),"CARLIPA")</f>
        <v>CARLIPA</v>
      </c>
      <c r="E36391" s="38" t="s">
        <v>278</v>
      </c>
      <c r="F36391" s="38" t="s">
        <v>119</v>
      </c>
      <c r="G36391" s="49" t="str">
        <f t="shared" si="1"/>
        <v>11170</v>
      </c>
      <c r="H36391" s="49">
        <f t="shared" si="2"/>
        <v>11070</v>
      </c>
    </row>
    <row r="36392">
      <c r="A36392" s="48" t="s">
        <v>6233</v>
      </c>
      <c r="B36392" s="38">
        <v>15168.0</v>
      </c>
      <c r="C36392" s="38" t="s">
        <v>40471</v>
      </c>
      <c r="D36392" s="38" t="str">
        <f>IFERROR(__xludf.DUMMYFUNCTION("REGEXREPLACE(C36392,""-\d+(.*)|--\d+(.*)"","""")"),"RUYNES-EN-MARGERIDE")</f>
        <v>RUYNES-EN-MARGERIDE</v>
      </c>
      <c r="E36392" s="38" t="s">
        <v>632</v>
      </c>
      <c r="F36392" s="38" t="s">
        <v>161</v>
      </c>
      <c r="G36392" s="49" t="str">
        <f t="shared" si="1"/>
        <v>15320</v>
      </c>
      <c r="H36392" s="49">
        <f t="shared" si="2"/>
        <v>15168</v>
      </c>
    </row>
    <row r="36393">
      <c r="A36393" s="48" t="s">
        <v>1226</v>
      </c>
      <c r="B36393" s="38">
        <v>71079.0</v>
      </c>
      <c r="C36393" s="38" t="s">
        <v>35850</v>
      </c>
      <c r="D36393" s="38" t="str">
        <f>IFERROR(__xludf.DUMMYFUNCTION("REGEXREPLACE(C36393,""-\d+(.*)|--\d+(.*)"","""")"),"CHAMPAGNAT")</f>
        <v>CHAMPAGNAT</v>
      </c>
      <c r="E36393" s="38" t="s">
        <v>344</v>
      </c>
      <c r="F36393" s="38" t="s">
        <v>106</v>
      </c>
      <c r="G36393" s="49" t="str">
        <f t="shared" si="1"/>
        <v>71480</v>
      </c>
      <c r="H36393" s="49">
        <f t="shared" si="2"/>
        <v>71079</v>
      </c>
    </row>
    <row r="36394">
      <c r="A36394" s="48" t="s">
        <v>2736</v>
      </c>
      <c r="B36394" s="38">
        <v>89399.0</v>
      </c>
      <c r="C36394" s="38" t="s">
        <v>23660</v>
      </c>
      <c r="D36394" s="38" t="str">
        <f>IFERROR(__xludf.DUMMYFUNCTION("REGEXREPLACE(C36394,""-\d+(.*)|--\d+(.*)"","""")"),"SOUCY")</f>
        <v>SOUCY</v>
      </c>
      <c r="E36394" s="38" t="s">
        <v>275</v>
      </c>
      <c r="F36394" s="38" t="s">
        <v>106</v>
      </c>
      <c r="G36394" s="49" t="str">
        <f t="shared" si="1"/>
        <v>89100</v>
      </c>
      <c r="H36394" s="49">
        <f t="shared" si="2"/>
        <v>89399</v>
      </c>
    </row>
    <row r="36395">
      <c r="A36395" s="48" t="s">
        <v>3677</v>
      </c>
      <c r="B36395" s="38">
        <v>89094.0</v>
      </c>
      <c r="C36395" s="38" t="s">
        <v>27943</v>
      </c>
      <c r="D36395" s="38" t="str">
        <f>IFERROR(__xludf.DUMMYFUNCTION("REGEXREPLACE(C36395,""-\d+(.*)|--\d+(.*)"","""")"),"CHAUMOT")</f>
        <v>CHAUMOT</v>
      </c>
      <c r="E36395" s="38" t="s">
        <v>275</v>
      </c>
      <c r="F36395" s="38" t="s">
        <v>106</v>
      </c>
      <c r="G36395" s="49" t="str">
        <f t="shared" si="1"/>
        <v>89500</v>
      </c>
      <c r="H36395" s="49">
        <f t="shared" si="2"/>
        <v>89094</v>
      </c>
    </row>
    <row r="36396">
      <c r="A36396" s="48" t="s">
        <v>10954</v>
      </c>
      <c r="B36396" s="38">
        <v>87168.0</v>
      </c>
      <c r="C36396" s="38" t="s">
        <v>40472</v>
      </c>
      <c r="D36396" s="38" t="str">
        <f>IFERROR(__xludf.DUMMYFUNCTION("REGEXREPLACE(C36396,""-\d+(.*)|--\d+(.*)"","""")"),"SAINT-MATHIEU")</f>
        <v>SAINT-MATHIEU</v>
      </c>
      <c r="E36396" s="38" t="s">
        <v>897</v>
      </c>
      <c r="F36396" s="38" t="s">
        <v>98</v>
      </c>
      <c r="G36396" s="49" t="str">
        <f t="shared" si="1"/>
        <v>87440</v>
      </c>
      <c r="H36396" s="49">
        <f t="shared" si="2"/>
        <v>87168</v>
      </c>
    </row>
    <row r="36397">
      <c r="A36397" s="48" t="s">
        <v>691</v>
      </c>
      <c r="B36397" s="38">
        <v>64334.0</v>
      </c>
      <c r="C36397" s="38" t="s">
        <v>40473</v>
      </c>
      <c r="D36397" s="38" t="str">
        <f>IFERROR(__xludf.DUMMYFUNCTION("REGEXREPLACE(C36397,""-\d+(.*)|--\d+(.*)"","""")"),"LEREN")</f>
        <v>LEREN</v>
      </c>
      <c r="E36397" s="38" t="s">
        <v>268</v>
      </c>
      <c r="F36397" s="38" t="s">
        <v>252</v>
      </c>
      <c r="G36397" s="49" t="str">
        <f t="shared" si="1"/>
        <v>64270</v>
      </c>
      <c r="H36397" s="49">
        <f t="shared" si="2"/>
        <v>64334</v>
      </c>
    </row>
    <row r="36398">
      <c r="A36398" s="48" t="s">
        <v>15728</v>
      </c>
      <c r="B36398" s="38">
        <v>23236.0</v>
      </c>
      <c r="C36398" s="38" t="s">
        <v>40474</v>
      </c>
      <c r="D36398" s="38" t="str">
        <f>IFERROR(__xludf.DUMMYFUNCTION("REGEXREPLACE(C36398,""-\d+(.*)|--\d+(.*)"","""")"),"SAINT-PRIEST-LA-PLAINE")</f>
        <v>SAINT-PRIEST-LA-PLAINE</v>
      </c>
      <c r="E36398" s="38" t="s">
        <v>97</v>
      </c>
      <c r="F36398" s="38" t="s">
        <v>98</v>
      </c>
      <c r="G36398" s="49" t="str">
        <f t="shared" si="1"/>
        <v>23240</v>
      </c>
      <c r="H36398" s="49">
        <f t="shared" si="2"/>
        <v>23236</v>
      </c>
    </row>
    <row r="36399">
      <c r="A36399" s="48" t="s">
        <v>964</v>
      </c>
      <c r="B36399" s="38">
        <v>71402.0</v>
      </c>
      <c r="C36399" s="38" t="s">
        <v>2665</v>
      </c>
      <c r="D36399" s="38" t="str">
        <f>IFERROR(__xludf.DUMMYFUNCTION("REGEXREPLACE(C36399,""-\d+(.*)|--\d+(.*)"","""")"),"SAINT-CYR")</f>
        <v>SAINT-CYR</v>
      </c>
      <c r="E36399" s="38" t="s">
        <v>344</v>
      </c>
      <c r="F36399" s="38" t="s">
        <v>106</v>
      </c>
      <c r="G36399" s="49" t="str">
        <f t="shared" si="1"/>
        <v>71240</v>
      </c>
      <c r="H36399" s="49">
        <f t="shared" si="2"/>
        <v>71402</v>
      </c>
    </row>
    <row r="36400">
      <c r="A36400" s="48" t="s">
        <v>5313</v>
      </c>
      <c r="B36400" s="38">
        <v>60618.0</v>
      </c>
      <c r="C36400" s="38" t="s">
        <v>40475</v>
      </c>
      <c r="D36400" s="38" t="str">
        <f>IFERROR(__xludf.DUMMYFUNCTION("REGEXREPLACE(C36400,""-\d+(.*)|--\d+(.*)"","""")"),"SERY-MAGNEVAL")</f>
        <v>SERY-MAGNEVAL</v>
      </c>
      <c r="E36400" s="38" t="s">
        <v>112</v>
      </c>
      <c r="F36400" s="38" t="s">
        <v>113</v>
      </c>
      <c r="G36400" s="49" t="str">
        <f t="shared" si="1"/>
        <v>60800</v>
      </c>
      <c r="H36400" s="49">
        <f t="shared" si="2"/>
        <v>60618</v>
      </c>
    </row>
    <row r="36401">
      <c r="A36401" s="48" t="s">
        <v>6633</v>
      </c>
      <c r="B36401" s="38">
        <v>64505.0</v>
      </c>
      <c r="C36401" s="38" t="s">
        <v>40476</v>
      </c>
      <c r="D36401" s="38" t="str">
        <f>IFERROR(__xludf.DUMMYFUNCTION("REGEXREPLACE(C36401,""-\d+(.*)|--\d+(.*)"","""")"),"SARPOURENX")</f>
        <v>SARPOURENX</v>
      </c>
      <c r="E36401" s="38" t="s">
        <v>268</v>
      </c>
      <c r="F36401" s="38" t="s">
        <v>252</v>
      </c>
      <c r="G36401" s="49" t="str">
        <f t="shared" si="1"/>
        <v>64300</v>
      </c>
      <c r="H36401" s="49">
        <f t="shared" si="2"/>
        <v>64505</v>
      </c>
    </row>
    <row r="36402">
      <c r="A36402" s="48" t="s">
        <v>2201</v>
      </c>
      <c r="B36402" s="38">
        <v>32181.0</v>
      </c>
      <c r="C36402" s="38" t="s">
        <v>40477</v>
      </c>
      <c r="D36402" s="38" t="str">
        <f>IFERROR(__xludf.DUMMYFUNCTION("REGEXREPLACE(C36402,""-\d+(.*)|--\d+(.*)"","""")"),"LAGUIAN-MAZOUS")</f>
        <v>LAGUIAN-MAZOUS</v>
      </c>
      <c r="E36402" s="38" t="s">
        <v>440</v>
      </c>
      <c r="F36402" s="38" t="s">
        <v>94</v>
      </c>
      <c r="G36402" s="49" t="str">
        <f t="shared" si="1"/>
        <v>32170</v>
      </c>
      <c r="H36402" s="49">
        <f t="shared" si="2"/>
        <v>32181</v>
      </c>
    </row>
    <row r="36403">
      <c r="A36403" s="48" t="s">
        <v>1122</v>
      </c>
      <c r="B36403" s="38">
        <v>18147.0</v>
      </c>
      <c r="C36403" s="38" t="s">
        <v>40478</v>
      </c>
      <c r="D36403" s="38" t="str">
        <f>IFERROR(__xludf.DUMMYFUNCTION("REGEXREPLACE(C36403,""-\d+(.*)|--\d+(.*)"","""")"),"MENETREOL-SUR-SAULDRE")</f>
        <v>MENETREOL-SUR-SAULDRE</v>
      </c>
      <c r="E36403" s="38" t="s">
        <v>504</v>
      </c>
      <c r="F36403" s="38" t="s">
        <v>123</v>
      </c>
      <c r="G36403" s="49" t="str">
        <f t="shared" si="1"/>
        <v>18700</v>
      </c>
      <c r="H36403" s="49">
        <f t="shared" si="2"/>
        <v>18147</v>
      </c>
    </row>
    <row r="36404">
      <c r="A36404" s="48" t="s">
        <v>17596</v>
      </c>
      <c r="B36404" s="38">
        <v>57508.0</v>
      </c>
      <c r="C36404" s="38" t="s">
        <v>40479</v>
      </c>
      <c r="D36404" s="38" t="str">
        <f>IFERROR(__xludf.DUMMYFUNCTION("REGEXREPLACE(C36404,""-\d+(.*)|--\d+(.*)"","""")"),"NILVANGE")</f>
        <v>NILVANGE</v>
      </c>
      <c r="E36404" s="38" t="s">
        <v>303</v>
      </c>
      <c r="F36404" s="38" t="s">
        <v>195</v>
      </c>
      <c r="G36404" s="49" t="str">
        <f t="shared" si="1"/>
        <v>57240</v>
      </c>
      <c r="H36404" s="49">
        <f t="shared" si="2"/>
        <v>57508</v>
      </c>
    </row>
    <row r="36405">
      <c r="A36405" s="48" t="s">
        <v>12475</v>
      </c>
      <c r="B36405" s="38">
        <v>2295.0</v>
      </c>
      <c r="C36405" s="38" t="s">
        <v>40480</v>
      </c>
      <c r="D36405" s="38" t="str">
        <f>IFERROR(__xludf.DUMMYFUNCTION("REGEXREPLACE(C36405,""-\d+(.*)|--\d+(.*)"","""")"),"ETREAUPONT")</f>
        <v>ETREAUPONT</v>
      </c>
      <c r="E36405" s="38" t="s">
        <v>191</v>
      </c>
      <c r="F36405" s="38" t="s">
        <v>113</v>
      </c>
      <c r="G36405" s="49" t="str">
        <f t="shared" si="1"/>
        <v>02580</v>
      </c>
      <c r="H36405" s="49" t="str">
        <f t="shared" si="2"/>
        <v>02295</v>
      </c>
    </row>
    <row r="36406">
      <c r="A36406" s="48" t="s">
        <v>6230</v>
      </c>
      <c r="B36406" s="38">
        <v>53143.0</v>
      </c>
      <c r="C36406" s="38" t="s">
        <v>40481</v>
      </c>
      <c r="D36406" s="38" t="str">
        <f>IFERROR(__xludf.DUMMYFUNCTION("REGEXREPLACE(C36406,""-\d+(.*)|--\d+(.*)"","""")"),"MAISONCELLES-DU-MAINE")</f>
        <v>MAISONCELLES-DU-MAINE</v>
      </c>
      <c r="E36406" s="38" t="s">
        <v>518</v>
      </c>
      <c r="F36406" s="38" t="s">
        <v>180</v>
      </c>
      <c r="G36406" s="49" t="str">
        <f t="shared" si="1"/>
        <v>53170</v>
      </c>
      <c r="H36406" s="49">
        <f t="shared" si="2"/>
        <v>53143</v>
      </c>
    </row>
    <row r="36407">
      <c r="A36407" s="48" t="s">
        <v>3335</v>
      </c>
      <c r="B36407" s="38">
        <v>53131.0</v>
      </c>
      <c r="C36407" s="38" t="s">
        <v>40482</v>
      </c>
      <c r="D36407" s="38" t="str">
        <f>IFERROR(__xludf.DUMMYFUNCTION("REGEXREPLACE(C36407,""-\d+(.*)|--\d+(.*)"","""")"),"LESBOIS")</f>
        <v>LESBOIS</v>
      </c>
      <c r="E36407" s="38" t="s">
        <v>518</v>
      </c>
      <c r="F36407" s="38" t="s">
        <v>180</v>
      </c>
      <c r="G36407" s="49" t="str">
        <f t="shared" si="1"/>
        <v>53120</v>
      </c>
      <c r="H36407" s="49">
        <f t="shared" si="2"/>
        <v>53131</v>
      </c>
    </row>
    <row r="36408">
      <c r="A36408" s="48" t="s">
        <v>7596</v>
      </c>
      <c r="B36408" s="38">
        <v>12145.0</v>
      </c>
      <c r="C36408" s="38" t="s">
        <v>40483</v>
      </c>
      <c r="D36408" s="38" t="str">
        <f>IFERROR(__xludf.DUMMYFUNCTION("REGEXREPLACE(C36408,""-\d+(.*)|--\d+(.*)"","""")"),"MILLAU")</f>
        <v>MILLAU</v>
      </c>
      <c r="E36408" s="38" t="s">
        <v>465</v>
      </c>
      <c r="F36408" s="38" t="s">
        <v>94</v>
      </c>
      <c r="G36408" s="49" t="str">
        <f t="shared" si="1"/>
        <v>12100</v>
      </c>
      <c r="H36408" s="49">
        <f t="shared" si="2"/>
        <v>12145</v>
      </c>
    </row>
    <row r="36409">
      <c r="A36409" s="48" t="s">
        <v>286</v>
      </c>
      <c r="B36409" s="38">
        <v>68327.0</v>
      </c>
      <c r="C36409" s="38" t="s">
        <v>40484</v>
      </c>
      <c r="D36409" s="38" t="str">
        <f>IFERROR(__xludf.DUMMYFUNCTION("REGEXREPLACE(C36409,""-\d+(.*)|--\d+(.*)"","""")"),"STETTEN")</f>
        <v>STETTEN</v>
      </c>
      <c r="E36409" s="38" t="s">
        <v>150</v>
      </c>
      <c r="F36409" s="38" t="s">
        <v>151</v>
      </c>
      <c r="G36409" s="49" t="str">
        <f t="shared" si="1"/>
        <v>68510</v>
      </c>
      <c r="H36409" s="49">
        <f t="shared" si="2"/>
        <v>68327</v>
      </c>
    </row>
    <row r="36410">
      <c r="A36410" s="48" t="s">
        <v>2296</v>
      </c>
      <c r="B36410" s="38">
        <v>47002.0</v>
      </c>
      <c r="C36410" s="38" t="s">
        <v>40485</v>
      </c>
      <c r="D36410" s="38" t="str">
        <f>IFERROR(__xludf.DUMMYFUNCTION("REGEXREPLACE(C36410,""-\d+(.*)|--\d+(.*)"","""")"),"AGME")</f>
        <v>AGME</v>
      </c>
      <c r="E36410" s="38" t="s">
        <v>251</v>
      </c>
      <c r="F36410" s="38" t="s">
        <v>252</v>
      </c>
      <c r="G36410" s="49" t="str">
        <f t="shared" si="1"/>
        <v>47350</v>
      </c>
      <c r="H36410" s="49">
        <f t="shared" si="2"/>
        <v>47002</v>
      </c>
    </row>
    <row r="36411">
      <c r="A36411" s="48" t="s">
        <v>3444</v>
      </c>
      <c r="B36411" s="38">
        <v>38204.0</v>
      </c>
      <c r="C36411" s="38" t="s">
        <v>40486</v>
      </c>
      <c r="D36411" s="38" t="str">
        <f>IFERROR(__xludf.DUMMYFUNCTION("REGEXREPLACE(C36411,""-\d+(.*)|--\d+(.*)"","""")"),"LALLEY")</f>
        <v>LALLEY</v>
      </c>
      <c r="E36411" s="38" t="s">
        <v>101</v>
      </c>
      <c r="F36411" s="38" t="s">
        <v>102</v>
      </c>
      <c r="G36411" s="49" t="str">
        <f t="shared" si="1"/>
        <v>38930</v>
      </c>
      <c r="H36411" s="49">
        <f t="shared" si="2"/>
        <v>38204</v>
      </c>
    </row>
    <row r="36412">
      <c r="A36412" s="48" t="s">
        <v>1499</v>
      </c>
      <c r="B36412" s="38">
        <v>49256.0</v>
      </c>
      <c r="C36412" s="38" t="s">
        <v>40487</v>
      </c>
      <c r="D36412" s="38" t="str">
        <f>IFERROR(__xludf.DUMMYFUNCTION("REGEXREPLACE(C36412,""-\d+(.*)|--\d+(.*)"","""")"),"RABLAY-SUR-LAYON")</f>
        <v>RABLAY-SUR-LAYON</v>
      </c>
      <c r="E36412" s="38" t="s">
        <v>653</v>
      </c>
      <c r="F36412" s="38" t="s">
        <v>180</v>
      </c>
      <c r="G36412" s="49" t="str">
        <f t="shared" si="1"/>
        <v>49750</v>
      </c>
      <c r="H36412" s="49">
        <f t="shared" si="2"/>
        <v>49256</v>
      </c>
    </row>
    <row r="36413">
      <c r="A36413" s="48" t="s">
        <v>4018</v>
      </c>
      <c r="B36413" s="38">
        <v>55304.0</v>
      </c>
      <c r="C36413" s="38" t="s">
        <v>40488</v>
      </c>
      <c r="D36413" s="38" t="str">
        <f>IFERROR(__xludf.DUMMYFUNCTION("REGEXREPLACE(C36413,""-\d+(.*)|--\d+(.*)"","""")"),"LOUPPY-LE-CHATEAU")</f>
        <v>LOUPPY-LE-CHATEAU</v>
      </c>
      <c r="E36413" s="38" t="s">
        <v>322</v>
      </c>
      <c r="F36413" s="38" t="s">
        <v>195</v>
      </c>
      <c r="G36413" s="49" t="str">
        <f t="shared" si="1"/>
        <v>55800</v>
      </c>
      <c r="H36413" s="49">
        <f t="shared" si="2"/>
        <v>55304</v>
      </c>
    </row>
    <row r="36414">
      <c r="A36414" s="48" t="s">
        <v>3277</v>
      </c>
      <c r="B36414" s="38">
        <v>29089.0</v>
      </c>
      <c r="C36414" s="38" t="s">
        <v>40489</v>
      </c>
      <c r="D36414" s="38" t="str">
        <f>IFERROR(__xludf.DUMMYFUNCTION("REGEXREPLACE(C36414,""-\d+(.*)|--\d+(.*)"","""")"),"KERGLOFF")</f>
        <v>KERGLOFF</v>
      </c>
      <c r="E36414" s="38" t="s">
        <v>176</v>
      </c>
      <c r="F36414" s="38" t="s">
        <v>90</v>
      </c>
      <c r="G36414" s="49" t="str">
        <f t="shared" si="1"/>
        <v>29270</v>
      </c>
      <c r="H36414" s="49">
        <f t="shared" si="2"/>
        <v>29089</v>
      </c>
    </row>
    <row r="36415">
      <c r="A36415" s="48" t="s">
        <v>8698</v>
      </c>
      <c r="B36415" s="38">
        <v>11282.0</v>
      </c>
      <c r="C36415" s="38" t="s">
        <v>40490</v>
      </c>
      <c r="D36415" s="38" t="str">
        <f>IFERROR(__xludf.DUMMYFUNCTION("REGEXREPLACE(C36415,""-\d+(.*)|--\d+(.*)"","""")"),"PEYREFITTE-DU-RAZES")</f>
        <v>PEYREFITTE-DU-RAZES</v>
      </c>
      <c r="E36415" s="38" t="s">
        <v>278</v>
      </c>
      <c r="F36415" s="38" t="s">
        <v>119</v>
      </c>
      <c r="G36415" s="49" t="str">
        <f t="shared" si="1"/>
        <v>11230</v>
      </c>
      <c r="H36415" s="49">
        <f t="shared" si="2"/>
        <v>11282</v>
      </c>
    </row>
    <row r="36416">
      <c r="A36416" s="48" t="s">
        <v>7005</v>
      </c>
      <c r="B36416" s="38">
        <v>82154.0</v>
      </c>
      <c r="C36416" s="38" t="s">
        <v>40491</v>
      </c>
      <c r="D36416" s="38" t="str">
        <f>IFERROR(__xludf.DUMMYFUNCTION("REGEXREPLACE(C36416,""-\d+(.*)|--\d+(.*)"","""")"),"SAINT-AMANS-DE-PELLAGAL")</f>
        <v>SAINT-AMANS-DE-PELLAGAL</v>
      </c>
      <c r="E36416" s="38" t="s">
        <v>570</v>
      </c>
      <c r="F36416" s="38" t="s">
        <v>94</v>
      </c>
      <c r="G36416" s="49" t="str">
        <f t="shared" si="1"/>
        <v>82110</v>
      </c>
      <c r="H36416" s="49">
        <f t="shared" si="2"/>
        <v>82154</v>
      </c>
    </row>
    <row r="36417">
      <c r="A36417" s="48" t="s">
        <v>12007</v>
      </c>
      <c r="B36417" s="38">
        <v>37100.0</v>
      </c>
      <c r="C36417" s="38" t="s">
        <v>40492</v>
      </c>
      <c r="D36417" s="38" t="str">
        <f>IFERROR(__xludf.DUMMYFUNCTION("REGEXREPLACE(C36417,""-\d+(.*)|--\d+(.*)"","""")"),"EPEIGNE-LES-BOIS")</f>
        <v>EPEIGNE-LES-BOIS</v>
      </c>
      <c r="E36417" s="38" t="s">
        <v>205</v>
      </c>
      <c r="F36417" s="38" t="s">
        <v>123</v>
      </c>
      <c r="G36417" s="49" t="str">
        <f t="shared" si="1"/>
        <v>37150</v>
      </c>
      <c r="H36417" s="49">
        <f t="shared" si="2"/>
        <v>37100</v>
      </c>
    </row>
    <row r="36418">
      <c r="A36418" s="48" t="s">
        <v>4323</v>
      </c>
      <c r="B36418" s="38">
        <v>30273.0</v>
      </c>
      <c r="C36418" s="38" t="s">
        <v>40493</v>
      </c>
      <c r="D36418" s="38" t="str">
        <f>IFERROR(__xludf.DUMMYFUNCTION("REGEXREPLACE(C36418,""-\d+(.*)|--\d+(.*)"","""")"),"SAINT-JULIEN-DE-PEYROLAS")</f>
        <v>SAINT-JULIEN-DE-PEYROLAS</v>
      </c>
      <c r="E36418" s="38" t="s">
        <v>526</v>
      </c>
      <c r="F36418" s="38" t="s">
        <v>119</v>
      </c>
      <c r="G36418" s="49" t="str">
        <f t="shared" si="1"/>
        <v>30760</v>
      </c>
      <c r="H36418" s="49">
        <f t="shared" si="2"/>
        <v>30273</v>
      </c>
    </row>
    <row r="36419">
      <c r="A36419" s="48" t="s">
        <v>3612</v>
      </c>
      <c r="B36419" s="38">
        <v>60047.0</v>
      </c>
      <c r="C36419" s="38" t="s">
        <v>8712</v>
      </c>
      <c r="D36419" s="38" t="str">
        <f>IFERROR(__xludf.DUMMYFUNCTION("REGEXREPLACE(C36419,""-\d+(.*)|--\d+(.*)"","""")"),"BARON")</f>
        <v>BARON</v>
      </c>
      <c r="E36419" s="38" t="s">
        <v>112</v>
      </c>
      <c r="F36419" s="38" t="s">
        <v>113</v>
      </c>
      <c r="G36419" s="49" t="str">
        <f t="shared" si="1"/>
        <v>60300</v>
      </c>
      <c r="H36419" s="49">
        <f t="shared" si="2"/>
        <v>60047</v>
      </c>
    </row>
    <row r="36420">
      <c r="A36420" s="48" t="s">
        <v>8336</v>
      </c>
      <c r="B36420" s="38">
        <v>85265.0</v>
      </c>
      <c r="C36420" s="38" t="s">
        <v>10186</v>
      </c>
      <c r="D36420" s="38" t="str">
        <f>IFERROR(__xludf.DUMMYFUNCTION("REGEXREPLACE(C36420,""-\d+(.*)|--\d+(.*)"","""")"),"SAINT-PIERRE-LE-VIEUX")</f>
        <v>SAINT-PIERRE-LE-VIEUX</v>
      </c>
      <c r="E36420" s="38" t="s">
        <v>179</v>
      </c>
      <c r="F36420" s="38" t="s">
        <v>180</v>
      </c>
      <c r="G36420" s="49" t="str">
        <f t="shared" si="1"/>
        <v>85420</v>
      </c>
      <c r="H36420" s="49">
        <f t="shared" si="2"/>
        <v>85265</v>
      </c>
    </row>
    <row r="36421">
      <c r="A36421" s="48" t="s">
        <v>466</v>
      </c>
      <c r="B36421" s="38">
        <v>52055.0</v>
      </c>
      <c r="C36421" s="38" t="s">
        <v>13975</v>
      </c>
      <c r="D36421" s="38" t="str">
        <f>IFERROR(__xludf.DUMMYFUNCTION("REGEXREPLACE(C36421,""-\d+(.*)|--\d+(.*)"","""")"),"BLECOURT")</f>
        <v>BLECOURT</v>
      </c>
      <c r="E36421" s="38" t="s">
        <v>234</v>
      </c>
      <c r="F36421" s="38" t="s">
        <v>130</v>
      </c>
      <c r="G36421" s="49" t="str">
        <f t="shared" si="1"/>
        <v>52300</v>
      </c>
      <c r="H36421" s="49">
        <f t="shared" si="2"/>
        <v>52055</v>
      </c>
    </row>
    <row r="36422">
      <c r="A36422" s="48" t="s">
        <v>26609</v>
      </c>
      <c r="B36422" s="38">
        <v>90069.0</v>
      </c>
      <c r="C36422" s="38" t="s">
        <v>40494</v>
      </c>
      <c r="D36422" s="38" t="str">
        <f>IFERROR(__xludf.DUMMYFUNCTION("REGEXREPLACE(C36422,""-\d+(.*)|--\d+(.*)"","""")"),"MEZIRE")</f>
        <v>MEZIRE</v>
      </c>
      <c r="E36422" s="38" t="s">
        <v>1283</v>
      </c>
      <c r="F36422" s="38" t="s">
        <v>214</v>
      </c>
      <c r="G36422" s="49" t="str">
        <f t="shared" si="1"/>
        <v>90120</v>
      </c>
      <c r="H36422" s="49">
        <f t="shared" si="2"/>
        <v>90069</v>
      </c>
    </row>
    <row r="36423">
      <c r="A36423" s="48" t="s">
        <v>301</v>
      </c>
      <c r="B36423" s="38">
        <v>57625.0</v>
      </c>
      <c r="C36423" s="38" t="s">
        <v>40495</v>
      </c>
      <c r="D36423" s="38" t="str">
        <f>IFERROR(__xludf.DUMMYFUNCTION("REGEXREPLACE(C36423,""-\d+(.*)|--\d+(.*)"","""")"),"SALONNES")</f>
        <v>SALONNES</v>
      </c>
      <c r="E36423" s="38" t="s">
        <v>303</v>
      </c>
      <c r="F36423" s="38" t="s">
        <v>195</v>
      </c>
      <c r="G36423" s="49" t="str">
        <f t="shared" si="1"/>
        <v>57170</v>
      </c>
      <c r="H36423" s="49">
        <f t="shared" si="2"/>
        <v>57625</v>
      </c>
    </row>
    <row r="36424">
      <c r="A36424" s="48" t="s">
        <v>7305</v>
      </c>
      <c r="B36424" s="38">
        <v>49133.0</v>
      </c>
      <c r="C36424" s="38" t="s">
        <v>40496</v>
      </c>
      <c r="D36424" s="38" t="str">
        <f>IFERROR(__xludf.DUMMYFUNCTION("REGEXREPLACE(C36424,""-\d+(.*)|--\d+(.*)"","""")"),"FAVERAYE-MACHELLES")</f>
        <v>FAVERAYE-MACHELLES</v>
      </c>
      <c r="E36424" s="38" t="s">
        <v>653</v>
      </c>
      <c r="F36424" s="38" t="s">
        <v>180</v>
      </c>
      <c r="G36424" s="49" t="str">
        <f t="shared" si="1"/>
        <v>49380</v>
      </c>
      <c r="H36424" s="49">
        <f t="shared" si="2"/>
        <v>49133</v>
      </c>
    </row>
    <row r="36425">
      <c r="A36425" s="48" t="s">
        <v>6271</v>
      </c>
      <c r="B36425" s="38">
        <v>66022.0</v>
      </c>
      <c r="C36425" s="38" t="s">
        <v>40497</v>
      </c>
      <c r="D36425" s="38" t="str">
        <f>IFERROR(__xludf.DUMMYFUNCTION("REGEXREPLACE(C36425,""-\d+(.*)|--\d+(.*)"","""")"),"BOULE-D'AMONT")</f>
        <v>BOULE-D'AMONT</v>
      </c>
      <c r="E36425" s="38" t="s">
        <v>248</v>
      </c>
      <c r="F36425" s="38" t="s">
        <v>119</v>
      </c>
      <c r="G36425" s="49" t="str">
        <f t="shared" si="1"/>
        <v>66130</v>
      </c>
      <c r="H36425" s="49">
        <f t="shared" si="2"/>
        <v>66022</v>
      </c>
    </row>
    <row r="36426">
      <c r="A36426" s="48" t="s">
        <v>5743</v>
      </c>
      <c r="B36426" s="38">
        <v>52358.0</v>
      </c>
      <c r="C36426" s="38" t="s">
        <v>21926</v>
      </c>
      <c r="D36426" s="38" t="str">
        <f>IFERROR(__xludf.DUMMYFUNCTION("REGEXREPLACE(C36426,""-\d+(.*)|--\d+(.*)"","""")"),"NOYERS")</f>
        <v>NOYERS</v>
      </c>
      <c r="E36426" s="38" t="s">
        <v>234</v>
      </c>
      <c r="F36426" s="38" t="s">
        <v>130</v>
      </c>
      <c r="G36426" s="49" t="str">
        <f t="shared" si="1"/>
        <v>52240</v>
      </c>
      <c r="H36426" s="49">
        <f t="shared" si="2"/>
        <v>52358</v>
      </c>
    </row>
    <row r="36427">
      <c r="A36427" s="48" t="s">
        <v>3351</v>
      </c>
      <c r="B36427" s="38">
        <v>69151.0</v>
      </c>
      <c r="C36427" s="38" t="s">
        <v>40498</v>
      </c>
      <c r="D36427" s="38" t="str">
        <f>IFERROR(__xludf.DUMMYFUNCTION("REGEXREPLACE(C36427,""-\d+(.*)|--\d+(.*)"","""")"),"LE PERREON")</f>
        <v>LE PERREON</v>
      </c>
      <c r="E36427" s="38" t="s">
        <v>350</v>
      </c>
      <c r="F36427" s="38" t="s">
        <v>102</v>
      </c>
      <c r="G36427" s="49" t="str">
        <f t="shared" si="1"/>
        <v>69460</v>
      </c>
      <c r="H36427" s="49">
        <f t="shared" si="2"/>
        <v>69151</v>
      </c>
    </row>
    <row r="36428">
      <c r="A36428" s="48" t="s">
        <v>12431</v>
      </c>
      <c r="B36428" s="38">
        <v>67045.0</v>
      </c>
      <c r="C36428" s="38" t="s">
        <v>40499</v>
      </c>
      <c r="D36428" s="38" t="str">
        <f>IFERROR(__xludf.DUMMYFUNCTION("REGEXREPLACE(C36428,""-\d+(.*)|--\d+(.*)"","""")"),"BISCHOFFSHEIM")</f>
        <v>BISCHOFFSHEIM</v>
      </c>
      <c r="E36428" s="38" t="s">
        <v>210</v>
      </c>
      <c r="F36428" s="38" t="s">
        <v>151</v>
      </c>
      <c r="G36428" s="49" t="str">
        <f t="shared" si="1"/>
        <v>67870</v>
      </c>
      <c r="H36428" s="49">
        <f t="shared" si="2"/>
        <v>67045</v>
      </c>
    </row>
    <row r="36429">
      <c r="A36429" s="48" t="s">
        <v>4082</v>
      </c>
      <c r="B36429" s="38">
        <v>95303.0</v>
      </c>
      <c r="C36429" s="38" t="s">
        <v>40500</v>
      </c>
      <c r="D36429" s="38" t="str">
        <f>IFERROR(__xludf.DUMMYFUNCTION("REGEXREPLACE(C36429,""-\d+(.*)|--\d+(.*)"","""")"),"LE HEAULME")</f>
        <v>LE HEAULME</v>
      </c>
      <c r="E36429" s="38" t="s">
        <v>541</v>
      </c>
      <c r="F36429" s="38" t="s">
        <v>245</v>
      </c>
      <c r="G36429" s="49" t="str">
        <f t="shared" si="1"/>
        <v>95640</v>
      </c>
      <c r="H36429" s="49">
        <f t="shared" si="2"/>
        <v>95303</v>
      </c>
    </row>
    <row r="36430">
      <c r="A36430" s="48" t="s">
        <v>1932</v>
      </c>
      <c r="B36430" s="38">
        <v>70310.0</v>
      </c>
      <c r="C36430" s="38" t="s">
        <v>38106</v>
      </c>
      <c r="D36430" s="38" t="str">
        <f>IFERROR(__xludf.DUMMYFUNCTION("REGEXREPLACE(C36430,""-\d+(.*)|--\d+(.*)"","""")"),"LURE")</f>
        <v>LURE</v>
      </c>
      <c r="E36430" s="38" t="s">
        <v>956</v>
      </c>
      <c r="F36430" s="38" t="s">
        <v>214</v>
      </c>
      <c r="G36430" s="49" t="str">
        <f t="shared" si="1"/>
        <v>70200</v>
      </c>
      <c r="H36430" s="49">
        <f t="shared" si="2"/>
        <v>70310</v>
      </c>
    </row>
    <row r="36431">
      <c r="A36431" s="48" t="s">
        <v>8418</v>
      </c>
      <c r="B36431" s="38">
        <v>80081.0</v>
      </c>
      <c r="C36431" s="38" t="s">
        <v>40501</v>
      </c>
      <c r="D36431" s="38" t="str">
        <f>IFERROR(__xludf.DUMMYFUNCTION("REGEXREPLACE(C36431,""-\d+(.*)|--\d+(.*)"","""")"),"BELLOY-SAINT-LEONARD")</f>
        <v>BELLOY-SAINT-LEONARD</v>
      </c>
      <c r="E36431" s="38" t="s">
        <v>224</v>
      </c>
      <c r="F36431" s="38" t="s">
        <v>113</v>
      </c>
      <c r="G36431" s="49" t="str">
        <f t="shared" si="1"/>
        <v>80270</v>
      </c>
      <c r="H36431" s="49">
        <f t="shared" si="2"/>
        <v>80081</v>
      </c>
    </row>
    <row r="36432">
      <c r="A36432" s="48" t="s">
        <v>33511</v>
      </c>
      <c r="B36432" s="38">
        <v>78368.0</v>
      </c>
      <c r="C36432" s="38" t="s">
        <v>40502</v>
      </c>
      <c r="D36432" s="38" t="str">
        <f>IFERROR(__xludf.DUMMYFUNCTION("REGEXREPLACE(C36432,""-\d+(.*)|--\d+(.*)"","""")"),"MAREIL-SUR-MAULDRE")</f>
        <v>MAREIL-SUR-MAULDRE</v>
      </c>
      <c r="E36432" s="38" t="s">
        <v>362</v>
      </c>
      <c r="F36432" s="38" t="s">
        <v>245</v>
      </c>
      <c r="G36432" s="49" t="str">
        <f t="shared" si="1"/>
        <v>78124</v>
      </c>
      <c r="H36432" s="49">
        <f t="shared" si="2"/>
        <v>78368</v>
      </c>
    </row>
    <row r="36433">
      <c r="A36433" s="48" t="s">
        <v>13881</v>
      </c>
      <c r="B36433" s="38">
        <v>56068.0</v>
      </c>
      <c r="C36433" s="38" t="s">
        <v>40503</v>
      </c>
      <c r="D36433" s="38" t="str">
        <f>IFERROR(__xludf.DUMMYFUNCTION("REGEXREPLACE(C36433,""-\d+(.*)|--\d+(.*)"","""")"),"LA GREE-SAINT-LAURENT")</f>
        <v>LA GREE-SAINT-LAURENT</v>
      </c>
      <c r="E36433" s="38" t="s">
        <v>173</v>
      </c>
      <c r="F36433" s="38" t="s">
        <v>90</v>
      </c>
      <c r="G36433" s="49" t="str">
        <f t="shared" si="1"/>
        <v>56120</v>
      </c>
      <c r="H36433" s="49">
        <f t="shared" si="2"/>
        <v>56068</v>
      </c>
    </row>
    <row r="36434">
      <c r="A36434" s="48" t="s">
        <v>2748</v>
      </c>
      <c r="B36434" s="38">
        <v>32058.0</v>
      </c>
      <c r="C36434" s="38" t="s">
        <v>40504</v>
      </c>
      <c r="D36434" s="38" t="str">
        <f>IFERROR(__xludf.DUMMYFUNCTION("REGEXREPLACE(C36434,""-\d+(.*)|--\d+(.*)"","""")"),"BLOUSSON-SERIAN")</f>
        <v>BLOUSSON-SERIAN</v>
      </c>
      <c r="E36434" s="38" t="s">
        <v>440</v>
      </c>
      <c r="F36434" s="38" t="s">
        <v>94</v>
      </c>
      <c r="G36434" s="49" t="str">
        <f t="shared" si="1"/>
        <v>32230</v>
      </c>
      <c r="H36434" s="49">
        <f t="shared" si="2"/>
        <v>32058</v>
      </c>
    </row>
    <row r="36435">
      <c r="A36435" s="48" t="s">
        <v>12402</v>
      </c>
      <c r="B36435" s="38" t="s">
        <v>40505</v>
      </c>
      <c r="C36435" s="38" t="s">
        <v>40506</v>
      </c>
      <c r="D36435" s="38" t="str">
        <f>IFERROR(__xludf.DUMMYFUNCTION("REGEXREPLACE(C36435,""-\d+(.*)|--\d+(.*)"","""")"),"OLMI-CAPPELLA")</f>
        <v>OLMI-CAPPELLA</v>
      </c>
      <c r="E36435" s="38" t="s">
        <v>743</v>
      </c>
      <c r="F36435" s="38" t="s">
        <v>607</v>
      </c>
      <c r="G36435" s="49" t="str">
        <f t="shared" si="1"/>
        <v>20259</v>
      </c>
      <c r="H36435" s="49" t="str">
        <f t="shared" si="2"/>
        <v>2B190</v>
      </c>
    </row>
    <row r="36436">
      <c r="A36436" s="48" t="s">
        <v>14590</v>
      </c>
      <c r="B36436" s="38">
        <v>80791.0</v>
      </c>
      <c r="C36436" s="38" t="s">
        <v>40507</v>
      </c>
      <c r="D36436" s="38" t="str">
        <f>IFERROR(__xludf.DUMMYFUNCTION("REGEXREPLACE(C36436,""-\d+(.*)|--\d+(.*)"","""")"),"VERS-SUR-SELLES")</f>
        <v>VERS-SUR-SELLES</v>
      </c>
      <c r="E36436" s="38" t="s">
        <v>224</v>
      </c>
      <c r="F36436" s="38" t="s">
        <v>113</v>
      </c>
      <c r="G36436" s="49" t="str">
        <f t="shared" si="1"/>
        <v>80480</v>
      </c>
      <c r="H36436" s="49">
        <f t="shared" si="2"/>
        <v>80791</v>
      </c>
    </row>
    <row r="36437">
      <c r="A36437" s="48" t="s">
        <v>4311</v>
      </c>
      <c r="B36437" s="38">
        <v>47188.0</v>
      </c>
      <c r="C36437" s="38" t="s">
        <v>40508</v>
      </c>
      <c r="D36437" s="38" t="str">
        <f>IFERROR(__xludf.DUMMYFUNCTION("REGEXREPLACE(C36437,""-\d+(.*)|--\d+(.*)"","""")"),"MONTIGNAC-DE-LAUZUN")</f>
        <v>MONTIGNAC-DE-LAUZUN</v>
      </c>
      <c r="E36437" s="38" t="s">
        <v>251</v>
      </c>
      <c r="F36437" s="38" t="s">
        <v>252</v>
      </c>
      <c r="G36437" s="49" t="str">
        <f t="shared" si="1"/>
        <v>47800</v>
      </c>
      <c r="H36437" s="49">
        <f t="shared" si="2"/>
        <v>47188</v>
      </c>
    </row>
    <row r="36438">
      <c r="A36438" s="48" t="s">
        <v>2300</v>
      </c>
      <c r="B36438" s="38">
        <v>28352.0</v>
      </c>
      <c r="C36438" s="38" t="s">
        <v>40509</v>
      </c>
      <c r="D36438" s="38" t="str">
        <f>IFERROR(__xludf.DUMMYFUNCTION("REGEXREPLACE(C36438,""-\d+(.*)|--\d+(.*)"","""")"),"SAINT-MARTIN-DE-NIGELLES")</f>
        <v>SAINT-MARTIN-DE-NIGELLES</v>
      </c>
      <c r="E36438" s="38" t="s">
        <v>300</v>
      </c>
      <c r="F36438" s="38" t="s">
        <v>123</v>
      </c>
      <c r="G36438" s="49" t="str">
        <f t="shared" si="1"/>
        <v>28130</v>
      </c>
      <c r="H36438" s="49">
        <f t="shared" si="2"/>
        <v>28352</v>
      </c>
    </row>
    <row r="36439">
      <c r="A36439" s="48" t="s">
        <v>10970</v>
      </c>
      <c r="B36439" s="38">
        <v>59641.0</v>
      </c>
      <c r="C36439" s="38" t="s">
        <v>40510</v>
      </c>
      <c r="D36439" s="38" t="str">
        <f>IFERROR(__xludf.DUMMYFUNCTION("REGEXREPLACE(C36439,""-\d+(.*)|--\d+(.*)"","""")"),"WARHEM")</f>
        <v>WARHEM</v>
      </c>
      <c r="E36439" s="38" t="s">
        <v>85</v>
      </c>
      <c r="F36439" s="38" t="s">
        <v>86</v>
      </c>
      <c r="G36439" s="49" t="str">
        <f t="shared" si="1"/>
        <v>59380</v>
      </c>
      <c r="H36439" s="49">
        <f t="shared" si="2"/>
        <v>59641</v>
      </c>
    </row>
    <row r="36440">
      <c r="A36440" s="48" t="s">
        <v>3283</v>
      </c>
      <c r="B36440" s="38">
        <v>52335.0</v>
      </c>
      <c r="C36440" s="38" t="s">
        <v>40511</v>
      </c>
      <c r="D36440" s="38" t="str">
        <f>IFERROR(__xludf.DUMMYFUNCTION("REGEXREPLACE(C36440,""-\d+(.*)|--\d+(.*)"","""")"),"MONTOT-SUR-ROGNON")</f>
        <v>MONTOT-SUR-ROGNON</v>
      </c>
      <c r="E36440" s="38" t="s">
        <v>234</v>
      </c>
      <c r="F36440" s="38" t="s">
        <v>130</v>
      </c>
      <c r="G36440" s="49" t="str">
        <f t="shared" si="1"/>
        <v>52700</v>
      </c>
      <c r="H36440" s="49">
        <f t="shared" si="2"/>
        <v>52335</v>
      </c>
    </row>
    <row r="36441">
      <c r="A36441" s="48" t="s">
        <v>3266</v>
      </c>
      <c r="B36441" s="38">
        <v>55472.0</v>
      </c>
      <c r="C36441" s="38" t="s">
        <v>40512</v>
      </c>
      <c r="D36441" s="38" t="str">
        <f>IFERROR(__xludf.DUMMYFUNCTION("REGEXREPLACE(C36441,""-\d+(.*)|--\d+(.*)"","""")"),"SAULVAUX")</f>
        <v>SAULVAUX</v>
      </c>
      <c r="E36441" s="38" t="s">
        <v>322</v>
      </c>
      <c r="F36441" s="38" t="s">
        <v>195</v>
      </c>
      <c r="G36441" s="49" t="str">
        <f t="shared" si="1"/>
        <v>55500</v>
      </c>
      <c r="H36441" s="49">
        <f t="shared" si="2"/>
        <v>55472</v>
      </c>
    </row>
    <row r="36442">
      <c r="A36442" s="48" t="s">
        <v>24541</v>
      </c>
      <c r="B36442" s="38">
        <v>63449.0</v>
      </c>
      <c r="C36442" s="38" t="s">
        <v>40513</v>
      </c>
      <c r="D36442" s="38" t="str">
        <f>IFERROR(__xludf.DUMMYFUNCTION("REGEXREPLACE(C36442,""-\d+(.*)|--\d+(.*)"","""")"),"LE VERNET-SAINTE-MARGUERITE")</f>
        <v>LE VERNET-SAINTE-MARGUERITE</v>
      </c>
      <c r="E36442" s="38" t="s">
        <v>353</v>
      </c>
      <c r="F36442" s="38" t="s">
        <v>161</v>
      </c>
      <c r="G36442" s="49" t="str">
        <f t="shared" si="1"/>
        <v>63710</v>
      </c>
      <c r="H36442" s="49">
        <f t="shared" si="2"/>
        <v>63449</v>
      </c>
    </row>
    <row r="36443">
      <c r="A36443" s="48" t="s">
        <v>987</v>
      </c>
      <c r="B36443" s="38">
        <v>40097.0</v>
      </c>
      <c r="C36443" s="38" t="s">
        <v>40514</v>
      </c>
      <c r="D36443" s="38" t="str">
        <f>IFERROR(__xludf.DUMMYFUNCTION("REGEXREPLACE(C36443,""-\d+(.*)|--\d+(.*)"","""")"),"EUGENIE-LES-BAINS")</f>
        <v>EUGENIE-LES-BAINS</v>
      </c>
      <c r="E36443" s="38" t="s">
        <v>281</v>
      </c>
      <c r="F36443" s="38" t="s">
        <v>252</v>
      </c>
      <c r="G36443" s="49" t="str">
        <f t="shared" si="1"/>
        <v>40320</v>
      </c>
      <c r="H36443" s="49">
        <f t="shared" si="2"/>
        <v>40097</v>
      </c>
    </row>
    <row r="36444">
      <c r="A36444" s="48" t="s">
        <v>40515</v>
      </c>
      <c r="B36444" s="38">
        <v>57253.0</v>
      </c>
      <c r="C36444" s="38" t="s">
        <v>40516</v>
      </c>
      <c r="D36444" s="38" t="str">
        <f>IFERROR(__xludf.DUMMYFUNCTION("REGEXREPLACE(C36444,""-\d+(.*)|--\d+(.*)"","""")"),"GONDREXANGE")</f>
        <v>GONDREXANGE</v>
      </c>
      <c r="E36444" s="38" t="s">
        <v>303</v>
      </c>
      <c r="F36444" s="38" t="s">
        <v>195</v>
      </c>
      <c r="G36444" s="49" t="str">
        <f t="shared" si="1"/>
        <v>57815</v>
      </c>
      <c r="H36444" s="49">
        <f t="shared" si="2"/>
        <v>57253</v>
      </c>
    </row>
    <row r="36445">
      <c r="A36445" s="48" t="s">
        <v>7954</v>
      </c>
      <c r="B36445" s="38">
        <v>40277.0</v>
      </c>
      <c r="C36445" s="38" t="s">
        <v>40517</v>
      </c>
      <c r="D36445" s="38" t="str">
        <f>IFERROR(__xludf.DUMMYFUNCTION("REGEXREPLACE(C36445,""-\d+(.*)|--\d+(.*)"","""")"),"SAINT-PANDELON")</f>
        <v>SAINT-PANDELON</v>
      </c>
      <c r="E36445" s="38" t="s">
        <v>281</v>
      </c>
      <c r="F36445" s="38" t="s">
        <v>252</v>
      </c>
      <c r="G36445" s="49" t="str">
        <f t="shared" si="1"/>
        <v>40180</v>
      </c>
      <c r="H36445" s="49">
        <f t="shared" si="2"/>
        <v>40277</v>
      </c>
    </row>
    <row r="36446">
      <c r="A36446" s="48" t="s">
        <v>2989</v>
      </c>
      <c r="B36446" s="38">
        <v>70407.0</v>
      </c>
      <c r="C36446" s="38" t="s">
        <v>40518</v>
      </c>
      <c r="D36446" s="38" t="str">
        <f>IFERROR(__xludf.DUMMYFUNCTION("REGEXREPLACE(C36446,""-\d+(.*)|--\d+(.*)"","""")"),"PERROUSE")</f>
        <v>PERROUSE</v>
      </c>
      <c r="E36446" s="38" t="s">
        <v>956</v>
      </c>
      <c r="F36446" s="38" t="s">
        <v>214</v>
      </c>
      <c r="G36446" s="49" t="str">
        <f t="shared" si="1"/>
        <v>70190</v>
      </c>
      <c r="H36446" s="49">
        <f t="shared" si="2"/>
        <v>70407</v>
      </c>
    </row>
    <row r="36447">
      <c r="A36447" s="48" t="s">
        <v>7265</v>
      </c>
      <c r="B36447" s="38">
        <v>68094.0</v>
      </c>
      <c r="C36447" s="38" t="s">
        <v>40519</v>
      </c>
      <c r="D36447" s="38" t="str">
        <f>IFERROR(__xludf.DUMMYFUNCTION("REGEXREPLACE(C36447,""-\d+(.*)|--\d+(.*)"","""")"),"FOLGENSBOURG")</f>
        <v>FOLGENSBOURG</v>
      </c>
      <c r="E36447" s="38" t="s">
        <v>150</v>
      </c>
      <c r="F36447" s="38" t="s">
        <v>151</v>
      </c>
      <c r="G36447" s="49" t="str">
        <f t="shared" si="1"/>
        <v>68220</v>
      </c>
      <c r="H36447" s="49">
        <f t="shared" si="2"/>
        <v>68094</v>
      </c>
    </row>
    <row r="36448">
      <c r="A36448" s="48" t="s">
        <v>4235</v>
      </c>
      <c r="B36448" s="38">
        <v>50612.0</v>
      </c>
      <c r="C36448" s="38" t="s">
        <v>40520</v>
      </c>
      <c r="D36448" s="38" t="str">
        <f>IFERROR(__xludf.DUMMYFUNCTION("REGEXREPLACE(C36448,""-\d+(.*)|--\d+(.*)"","""")"),"VAINS")</f>
        <v>VAINS</v>
      </c>
      <c r="E36448" s="38" t="s">
        <v>157</v>
      </c>
      <c r="F36448" s="38" t="s">
        <v>138</v>
      </c>
      <c r="G36448" s="49" t="str">
        <f t="shared" si="1"/>
        <v>50300</v>
      </c>
      <c r="H36448" s="49">
        <f t="shared" si="2"/>
        <v>50612</v>
      </c>
    </row>
    <row r="36449">
      <c r="A36449" s="48" t="s">
        <v>3182</v>
      </c>
      <c r="B36449" s="38">
        <v>80802.0</v>
      </c>
      <c r="C36449" s="38" t="s">
        <v>40521</v>
      </c>
      <c r="D36449" s="38" t="str">
        <f>IFERROR(__xludf.DUMMYFUNCTION("REGEXREPLACE(C36449,""-\d+(.*)|--\d+(.*)"","""")"),"VILLERS-FAUCON")</f>
        <v>VILLERS-FAUCON</v>
      </c>
      <c r="E36449" s="38" t="s">
        <v>224</v>
      </c>
      <c r="F36449" s="38" t="s">
        <v>113</v>
      </c>
      <c r="G36449" s="49" t="str">
        <f t="shared" si="1"/>
        <v>80240</v>
      </c>
      <c r="H36449" s="49">
        <f t="shared" si="2"/>
        <v>80802</v>
      </c>
    </row>
    <row r="36450">
      <c r="A36450" s="48" t="s">
        <v>11370</v>
      </c>
      <c r="B36450" s="38">
        <v>26117.0</v>
      </c>
      <c r="C36450" s="38" t="s">
        <v>40522</v>
      </c>
      <c r="D36450" s="38" t="str">
        <f>IFERROR(__xludf.DUMMYFUNCTION("REGEXREPLACE(C36450,""-\d+(.*)|--\d+(.*)"","""")"),"ECHEVIS")</f>
        <v>ECHEVIS</v>
      </c>
      <c r="E36450" s="38" t="s">
        <v>126</v>
      </c>
      <c r="F36450" s="38" t="s">
        <v>102</v>
      </c>
      <c r="G36450" s="49" t="str">
        <f t="shared" si="1"/>
        <v>26190</v>
      </c>
      <c r="H36450" s="49">
        <f t="shared" si="2"/>
        <v>26117</v>
      </c>
    </row>
    <row r="36451">
      <c r="A36451" s="48" t="s">
        <v>616</v>
      </c>
      <c r="B36451" s="38">
        <v>89009.0</v>
      </c>
      <c r="C36451" s="38" t="s">
        <v>40523</v>
      </c>
      <c r="D36451" s="38" t="str">
        <f>IFERROR(__xludf.DUMMYFUNCTION("REGEXREPLACE(C36451,""-\d+(.*)|--\d+(.*)"","""")"),"ANNAY-LA-COTE")</f>
        <v>ANNAY-LA-COTE</v>
      </c>
      <c r="E36451" s="38" t="s">
        <v>275</v>
      </c>
      <c r="F36451" s="38" t="s">
        <v>106</v>
      </c>
      <c r="G36451" s="49" t="str">
        <f t="shared" si="1"/>
        <v>89200</v>
      </c>
      <c r="H36451" s="49">
        <f t="shared" si="2"/>
        <v>89009</v>
      </c>
    </row>
    <row r="36452">
      <c r="A36452" s="48" t="s">
        <v>702</v>
      </c>
      <c r="B36452" s="38">
        <v>31545.0</v>
      </c>
      <c r="C36452" s="38" t="s">
        <v>40524</v>
      </c>
      <c r="D36452" s="38" t="str">
        <f>IFERROR(__xludf.DUMMYFUNCTION("REGEXREPLACE(C36452,""-\d+(.*)|--\d+(.*)"","""")"),"SEPX")</f>
        <v>SEPX</v>
      </c>
      <c r="E36452" s="38" t="s">
        <v>93</v>
      </c>
      <c r="F36452" s="38" t="s">
        <v>94</v>
      </c>
      <c r="G36452" s="49" t="str">
        <f t="shared" si="1"/>
        <v>31360</v>
      </c>
      <c r="H36452" s="49">
        <f t="shared" si="2"/>
        <v>31545</v>
      </c>
    </row>
    <row r="36453">
      <c r="A36453" s="48" t="s">
        <v>14284</v>
      </c>
      <c r="B36453" s="38">
        <v>19218.0</v>
      </c>
      <c r="C36453" s="38" t="s">
        <v>40525</v>
      </c>
      <c r="D36453" s="38" t="str">
        <f>IFERROR(__xludf.DUMMYFUNCTION("REGEXREPLACE(C36453,""-\d+(.*)|--\d+(.*)"","""")"),"SAINT-JULIEN-PRES-BORT")</f>
        <v>SAINT-JULIEN-PRES-BORT</v>
      </c>
      <c r="E36453" s="38" t="s">
        <v>271</v>
      </c>
      <c r="F36453" s="38" t="s">
        <v>98</v>
      </c>
      <c r="G36453" s="49" t="str">
        <f t="shared" si="1"/>
        <v>19110</v>
      </c>
      <c r="H36453" s="49">
        <f t="shared" si="2"/>
        <v>19218</v>
      </c>
    </row>
    <row r="36454">
      <c r="A36454" s="48" t="s">
        <v>40526</v>
      </c>
      <c r="B36454" s="38">
        <v>6155.0</v>
      </c>
      <c r="C36454" s="38" t="s">
        <v>40527</v>
      </c>
      <c r="D36454" s="38" t="str">
        <f>IFERROR(__xludf.DUMMYFUNCTION("REGEXREPLACE(C36454,""-\d+(.*)|--\d+(.*)"","""")"),"VALLAURIS")</f>
        <v>VALLAURIS</v>
      </c>
      <c r="E36454" s="38" t="s">
        <v>227</v>
      </c>
      <c r="F36454" s="38" t="s">
        <v>228</v>
      </c>
      <c r="G36454" s="49" t="str">
        <f t="shared" si="1"/>
        <v>06220</v>
      </c>
      <c r="H36454" s="49" t="str">
        <f t="shared" si="2"/>
        <v>06155</v>
      </c>
    </row>
    <row r="36455">
      <c r="A36455" s="48" t="s">
        <v>4079</v>
      </c>
      <c r="B36455" s="38">
        <v>1384.0</v>
      </c>
      <c r="C36455" s="38" t="s">
        <v>40528</v>
      </c>
      <c r="D36455" s="38" t="str">
        <f>IFERROR(__xludf.DUMMYFUNCTION("REGEXREPLACE(C36455,""-\d+(.*)|--\d+(.*)"","""")"),"SAINT-RAMBERT-EN-BUGEY")</f>
        <v>SAINT-RAMBERT-EN-BUGEY</v>
      </c>
      <c r="E36455" s="38" t="s">
        <v>255</v>
      </c>
      <c r="F36455" s="38" t="s">
        <v>102</v>
      </c>
      <c r="G36455" s="49" t="str">
        <f t="shared" si="1"/>
        <v>01230</v>
      </c>
      <c r="H36455" s="49" t="str">
        <f t="shared" si="2"/>
        <v>01384</v>
      </c>
    </row>
    <row r="36456">
      <c r="A36456" s="48" t="s">
        <v>13858</v>
      </c>
      <c r="B36456" s="38">
        <v>85096.0</v>
      </c>
      <c r="C36456" s="38" t="s">
        <v>40529</v>
      </c>
      <c r="D36456" s="38" t="str">
        <f>IFERROR(__xludf.DUMMYFUNCTION("REGEXREPLACE(C36456,""-\d+(.*)|--\d+(.*)"","""")"),"LA GARNACHE")</f>
        <v>LA GARNACHE</v>
      </c>
      <c r="E36456" s="38" t="s">
        <v>179</v>
      </c>
      <c r="F36456" s="38" t="s">
        <v>180</v>
      </c>
      <c r="G36456" s="49" t="str">
        <f t="shared" si="1"/>
        <v>85710</v>
      </c>
      <c r="H36456" s="49">
        <f t="shared" si="2"/>
        <v>85096</v>
      </c>
    </row>
    <row r="36457">
      <c r="A36457" s="48" t="s">
        <v>2736</v>
      </c>
      <c r="B36457" s="38">
        <v>89240.0</v>
      </c>
      <c r="C36457" s="38" t="s">
        <v>40530</v>
      </c>
      <c r="D36457" s="38" t="str">
        <f>IFERROR(__xludf.DUMMYFUNCTION("REGEXREPLACE(C36457,""-\d+(.*)|--\d+(.*)"","""")"),"MALAY-LE-PETIT")</f>
        <v>MALAY-LE-PETIT</v>
      </c>
      <c r="E36457" s="38" t="s">
        <v>275</v>
      </c>
      <c r="F36457" s="38" t="s">
        <v>106</v>
      </c>
      <c r="G36457" s="49" t="str">
        <f t="shared" si="1"/>
        <v>89100</v>
      </c>
      <c r="H36457" s="49">
        <f t="shared" si="2"/>
        <v>89240</v>
      </c>
    </row>
    <row r="36458">
      <c r="A36458" s="48" t="s">
        <v>3714</v>
      </c>
      <c r="B36458" s="38">
        <v>28419.0</v>
      </c>
      <c r="C36458" s="38" t="s">
        <v>40531</v>
      </c>
      <c r="D36458" s="38" t="str">
        <f>IFERROR(__xludf.DUMMYFUNCTION("REGEXREPLACE(C36458,""-\d+(.*)|--\d+(.*)"","""")"),"VITRAY-EN-BEAUCE")</f>
        <v>VITRAY-EN-BEAUCE</v>
      </c>
      <c r="E36458" s="38" t="s">
        <v>300</v>
      </c>
      <c r="F36458" s="38" t="s">
        <v>123</v>
      </c>
      <c r="G36458" s="49" t="str">
        <f t="shared" si="1"/>
        <v>28360</v>
      </c>
      <c r="H36458" s="49">
        <f t="shared" si="2"/>
        <v>28419</v>
      </c>
    </row>
    <row r="36459">
      <c r="A36459" s="48" t="s">
        <v>1754</v>
      </c>
      <c r="B36459" s="38">
        <v>14368.0</v>
      </c>
      <c r="C36459" s="38" t="s">
        <v>40532</v>
      </c>
      <c r="D36459" s="38" t="str">
        <f>IFERROR(__xludf.DUMMYFUNCTION("REGEXREPLACE(C36459,""-\d+(.*)|--\d+(.*)"","""")"),"LISORES")</f>
        <v>LISORES</v>
      </c>
      <c r="E36459" s="38" t="s">
        <v>137</v>
      </c>
      <c r="F36459" s="38" t="s">
        <v>138</v>
      </c>
      <c r="G36459" s="49" t="str">
        <f t="shared" si="1"/>
        <v>14140</v>
      </c>
      <c r="H36459" s="49">
        <f t="shared" si="2"/>
        <v>14368</v>
      </c>
    </row>
    <row r="36460">
      <c r="A36460" s="48" t="s">
        <v>1284</v>
      </c>
      <c r="B36460" s="38">
        <v>9165.0</v>
      </c>
      <c r="C36460" s="38" t="s">
        <v>40533</v>
      </c>
      <c r="D36460" s="38" t="str">
        <f>IFERROR(__xludf.DUMMYFUNCTION("REGEXREPLACE(C36460,""-\d+(.*)|--\d+(.*)"","""")"),"LESPARROU")</f>
        <v>LESPARROU</v>
      </c>
      <c r="E36460" s="38" t="s">
        <v>238</v>
      </c>
      <c r="F36460" s="38" t="s">
        <v>94</v>
      </c>
      <c r="G36460" s="49" t="str">
        <f t="shared" si="1"/>
        <v>09300</v>
      </c>
      <c r="H36460" s="49" t="str">
        <f t="shared" si="2"/>
        <v>09165</v>
      </c>
    </row>
    <row r="36461">
      <c r="A36461" s="48" t="s">
        <v>5956</v>
      </c>
      <c r="B36461" s="38">
        <v>62517.0</v>
      </c>
      <c r="C36461" s="38" t="s">
        <v>40534</v>
      </c>
      <c r="D36461" s="38" t="str">
        <f>IFERROR(__xludf.DUMMYFUNCTION("REGEXREPLACE(C36461,""-\d+(.*)|--\d+(.*)"","""")"),"LINGHEM")</f>
        <v>LINGHEM</v>
      </c>
      <c r="E36461" s="38" t="s">
        <v>109</v>
      </c>
      <c r="F36461" s="38" t="s">
        <v>86</v>
      </c>
      <c r="G36461" s="49" t="str">
        <f t="shared" si="1"/>
        <v>62120</v>
      </c>
      <c r="H36461" s="49">
        <f t="shared" si="2"/>
        <v>62517</v>
      </c>
    </row>
    <row r="36462">
      <c r="A36462" s="48" t="s">
        <v>10760</v>
      </c>
      <c r="B36462" s="38">
        <v>25004.0</v>
      </c>
      <c r="C36462" s="38" t="s">
        <v>40535</v>
      </c>
      <c r="D36462" s="38" t="str">
        <f>IFERROR(__xludf.DUMMYFUNCTION("REGEXREPLACE(C36462,""-\d+(.*)|--\d+(.*)"","""")"),"ABBEVILLERS")</f>
        <v>ABBEVILLERS</v>
      </c>
      <c r="E36462" s="38" t="s">
        <v>213</v>
      </c>
      <c r="F36462" s="38" t="s">
        <v>214</v>
      </c>
      <c r="G36462" s="49" t="str">
        <f t="shared" si="1"/>
        <v>25310</v>
      </c>
      <c r="H36462" s="49">
        <f t="shared" si="2"/>
        <v>25004</v>
      </c>
    </row>
    <row r="36463">
      <c r="A36463" s="48" t="s">
        <v>2136</v>
      </c>
      <c r="B36463" s="38">
        <v>52254.0</v>
      </c>
      <c r="C36463" s="38" t="s">
        <v>40536</v>
      </c>
      <c r="D36463" s="38" t="str">
        <f>IFERROR(__xludf.DUMMYFUNCTION("REGEXREPLACE(C36463,""-\d+(.*)|--\d+(.*)"","""")"),"LACHAPELLE-EN-BLAISY")</f>
        <v>LACHAPELLE-EN-BLAISY</v>
      </c>
      <c r="E36463" s="38" t="s">
        <v>234</v>
      </c>
      <c r="F36463" s="38" t="s">
        <v>130</v>
      </c>
      <c r="G36463" s="49" t="str">
        <f t="shared" si="1"/>
        <v>52330</v>
      </c>
      <c r="H36463" s="49">
        <f t="shared" si="2"/>
        <v>52254</v>
      </c>
    </row>
    <row r="36464">
      <c r="A36464" s="48" t="s">
        <v>2229</v>
      </c>
      <c r="B36464" s="38">
        <v>64143.0</v>
      </c>
      <c r="C36464" s="38" t="s">
        <v>40537</v>
      </c>
      <c r="D36464" s="38" t="str">
        <f>IFERROR(__xludf.DUMMYFUNCTION("REGEXREPLACE(C36464,""-\d+(.*)|--\d+(.*)"","""")"),"BOUILLON")</f>
        <v>BOUILLON</v>
      </c>
      <c r="E36464" s="38" t="s">
        <v>268</v>
      </c>
      <c r="F36464" s="38" t="s">
        <v>252</v>
      </c>
      <c r="G36464" s="49" t="str">
        <f t="shared" si="1"/>
        <v>64410</v>
      </c>
      <c r="H36464" s="49">
        <f t="shared" si="2"/>
        <v>64143</v>
      </c>
    </row>
    <row r="36465">
      <c r="A36465" s="48" t="s">
        <v>3633</v>
      </c>
      <c r="B36465" s="38">
        <v>48048.0</v>
      </c>
      <c r="C36465" s="38" t="s">
        <v>40538</v>
      </c>
      <c r="D36465" s="38" t="str">
        <f>IFERROR(__xludf.DUMMYFUNCTION("REGEXREPLACE(C36465,""-\d+(.*)|--\d+(.*)"","""")"),"CHEYLARD-L'EVEQUE")</f>
        <v>CHEYLARD-L'EVEQUE</v>
      </c>
      <c r="E36465" s="38" t="s">
        <v>154</v>
      </c>
      <c r="F36465" s="38" t="s">
        <v>119</v>
      </c>
      <c r="G36465" s="49" t="str">
        <f t="shared" si="1"/>
        <v>48300</v>
      </c>
      <c r="H36465" s="49">
        <f t="shared" si="2"/>
        <v>48048</v>
      </c>
    </row>
    <row r="36466">
      <c r="A36466" s="48" t="s">
        <v>11131</v>
      </c>
      <c r="B36466" s="38">
        <v>53121.0</v>
      </c>
      <c r="C36466" s="38" t="s">
        <v>40539</v>
      </c>
      <c r="D36466" s="38" t="str">
        <f>IFERROR(__xludf.DUMMYFUNCTION("REGEXREPLACE(C36466,""-\d+(.*)|--\d+(.*)"","""")"),"JAVRON-LES-CHAPELLES")</f>
        <v>JAVRON-LES-CHAPELLES</v>
      </c>
      <c r="E36466" s="38" t="s">
        <v>518</v>
      </c>
      <c r="F36466" s="38" t="s">
        <v>180</v>
      </c>
      <c r="G36466" s="49" t="str">
        <f t="shared" si="1"/>
        <v>53250</v>
      </c>
      <c r="H36466" s="49">
        <f t="shared" si="2"/>
        <v>53121</v>
      </c>
    </row>
    <row r="36467">
      <c r="A36467" s="48" t="s">
        <v>40540</v>
      </c>
      <c r="B36467" s="38">
        <v>17121.0</v>
      </c>
      <c r="C36467" s="38" t="s">
        <v>40541</v>
      </c>
      <c r="D36467" s="38" t="str">
        <f>IFERROR(__xludf.DUMMYFUNCTION("REGEXREPLACE(C36467,""-\d+(.*)|--\d+(.*)"","""")"),"LA COUARDE-SUR-MER")</f>
        <v>LA COUARDE-SUR-MER</v>
      </c>
      <c r="E36467" s="38" t="s">
        <v>488</v>
      </c>
      <c r="F36467" s="38" t="s">
        <v>338</v>
      </c>
      <c r="G36467" s="49" t="str">
        <f t="shared" si="1"/>
        <v>17670</v>
      </c>
      <c r="H36467" s="49">
        <f t="shared" si="2"/>
        <v>17121</v>
      </c>
    </row>
    <row r="36468">
      <c r="A36468" s="48" t="s">
        <v>7736</v>
      </c>
      <c r="B36468" s="38">
        <v>11220.0</v>
      </c>
      <c r="C36468" s="38" t="s">
        <v>40542</v>
      </c>
      <c r="D36468" s="38" t="str">
        <f>IFERROR(__xludf.DUMMYFUNCTION("REGEXREPLACE(C36468,""-\d+(.*)|--\d+(.*)"","""")"),"MARSEILLETTE")</f>
        <v>MARSEILLETTE</v>
      </c>
      <c r="E36468" s="38" t="s">
        <v>278</v>
      </c>
      <c r="F36468" s="38" t="s">
        <v>119</v>
      </c>
      <c r="G36468" s="49" t="str">
        <f t="shared" si="1"/>
        <v>11800</v>
      </c>
      <c r="H36468" s="49">
        <f t="shared" si="2"/>
        <v>11220</v>
      </c>
    </row>
    <row r="36469">
      <c r="A36469" s="48" t="s">
        <v>14540</v>
      </c>
      <c r="B36469" s="38">
        <v>34104.0</v>
      </c>
      <c r="C36469" s="38" t="s">
        <v>30014</v>
      </c>
      <c r="D36469" s="38" t="str">
        <f>IFERROR(__xludf.DUMMYFUNCTION("REGEXREPLACE(C36469,""-\d+(.*)|--\d+(.*)"","""")"),"FOS")</f>
        <v>FOS</v>
      </c>
      <c r="E36469" s="38" t="s">
        <v>118</v>
      </c>
      <c r="F36469" s="38" t="s">
        <v>119</v>
      </c>
      <c r="G36469" s="49" t="str">
        <f t="shared" si="1"/>
        <v>34320</v>
      </c>
      <c r="H36469" s="49">
        <f t="shared" si="2"/>
        <v>34104</v>
      </c>
    </row>
    <row r="36470">
      <c r="A36470" s="48" t="s">
        <v>5642</v>
      </c>
      <c r="B36470" s="38">
        <v>73036.0</v>
      </c>
      <c r="C36470" s="38" t="s">
        <v>40543</v>
      </c>
      <c r="D36470" s="38" t="str">
        <f>IFERROR(__xludf.DUMMYFUNCTION("REGEXREPLACE(C36470,""-\d+(.*)|--\d+(.*)"","""")"),"BELLECOMBE-EN-BAUGES")</f>
        <v>BELLECOMBE-EN-BAUGES</v>
      </c>
      <c r="E36470" s="38" t="s">
        <v>306</v>
      </c>
      <c r="F36470" s="38" t="s">
        <v>102</v>
      </c>
      <c r="G36470" s="49" t="str">
        <f t="shared" si="1"/>
        <v>73340</v>
      </c>
      <c r="H36470" s="49">
        <f t="shared" si="2"/>
        <v>73036</v>
      </c>
    </row>
    <row r="36471">
      <c r="A36471" s="48" t="s">
        <v>5302</v>
      </c>
      <c r="B36471" s="38">
        <v>14352.0</v>
      </c>
      <c r="C36471" s="38" t="s">
        <v>40544</v>
      </c>
      <c r="D36471" s="38" t="str">
        <f>IFERROR(__xludf.DUMMYFUNCTION("REGEXREPLACE(C36471,""-\d+(.*)|--\d+(.*)"","""")"),"LANDELLES-ET-COUPIGNY")</f>
        <v>LANDELLES-ET-COUPIGNY</v>
      </c>
      <c r="E36471" s="38" t="s">
        <v>137</v>
      </c>
      <c r="F36471" s="38" t="s">
        <v>138</v>
      </c>
      <c r="G36471" s="49" t="str">
        <f t="shared" si="1"/>
        <v>14380</v>
      </c>
      <c r="H36471" s="49">
        <f t="shared" si="2"/>
        <v>14352</v>
      </c>
    </row>
    <row r="36472">
      <c r="A36472" s="48" t="s">
        <v>489</v>
      </c>
      <c r="B36472" s="38">
        <v>9238.0</v>
      </c>
      <c r="C36472" s="38" t="s">
        <v>40545</v>
      </c>
      <c r="D36472" s="38" t="str">
        <f>IFERROR(__xludf.DUMMYFUNCTION("REGEXREPLACE(C36472,""-\d+(.*)|--\d+(.*)"","""")"),"LES PUJOLS")</f>
        <v>LES PUJOLS</v>
      </c>
      <c r="E36472" s="38" t="s">
        <v>238</v>
      </c>
      <c r="F36472" s="38" t="s">
        <v>94</v>
      </c>
      <c r="G36472" s="49" t="str">
        <f t="shared" si="1"/>
        <v>09100</v>
      </c>
      <c r="H36472" s="49" t="str">
        <f t="shared" si="2"/>
        <v>09238</v>
      </c>
    </row>
    <row r="36473">
      <c r="A36473" s="48" t="s">
        <v>95</v>
      </c>
      <c r="B36473" s="38">
        <v>23136.0</v>
      </c>
      <c r="C36473" s="38" t="s">
        <v>40546</v>
      </c>
      <c r="D36473" s="38" t="str">
        <f>IFERROR(__xludf.DUMMYFUNCTION("REGEXREPLACE(C36473,""-\d+(.*)|--\d+(.*)"","""")"),"MORTROUX")</f>
        <v>MORTROUX</v>
      </c>
      <c r="E36473" s="38" t="s">
        <v>97</v>
      </c>
      <c r="F36473" s="38" t="s">
        <v>98</v>
      </c>
      <c r="G36473" s="49" t="str">
        <f t="shared" si="1"/>
        <v>23220</v>
      </c>
      <c r="H36473" s="49">
        <f t="shared" si="2"/>
        <v>23136</v>
      </c>
    </row>
    <row r="36474">
      <c r="A36474" s="48" t="s">
        <v>5477</v>
      </c>
      <c r="B36474" s="38">
        <v>74263.0</v>
      </c>
      <c r="C36474" s="38" t="s">
        <v>40547</v>
      </c>
      <c r="D36474" s="38" t="str">
        <f>IFERROR(__xludf.DUMMYFUNCTION("REGEXREPLACE(C36474,""-\d+(.*)|--\d+(.*)"","""")"),"SCIEZ")</f>
        <v>SCIEZ</v>
      </c>
      <c r="E36474" s="38" t="s">
        <v>319</v>
      </c>
      <c r="F36474" s="38" t="s">
        <v>102</v>
      </c>
      <c r="G36474" s="49" t="str">
        <f t="shared" si="1"/>
        <v>74140</v>
      </c>
      <c r="H36474" s="49">
        <f t="shared" si="2"/>
        <v>74263</v>
      </c>
    </row>
    <row r="36475">
      <c r="A36475" s="48" t="s">
        <v>8579</v>
      </c>
      <c r="B36475" s="38">
        <v>32202.0</v>
      </c>
      <c r="C36475" s="38" t="s">
        <v>40548</v>
      </c>
      <c r="D36475" s="38" t="str">
        <f>IFERROR(__xludf.DUMMYFUNCTION("REGEXREPLACE(C36475,""-\d+(.*)|--\d+(.*)"","""")"),"LAUJUZAN")</f>
        <v>LAUJUZAN</v>
      </c>
      <c r="E36475" s="38" t="s">
        <v>440</v>
      </c>
      <c r="F36475" s="38" t="s">
        <v>94</v>
      </c>
      <c r="G36475" s="49" t="str">
        <f t="shared" si="1"/>
        <v>32110</v>
      </c>
      <c r="H36475" s="49">
        <f t="shared" si="2"/>
        <v>32202</v>
      </c>
    </row>
    <row r="36476">
      <c r="A36476" s="48" t="s">
        <v>40549</v>
      </c>
      <c r="B36476" s="38">
        <v>69276.0</v>
      </c>
      <c r="C36476" s="38" t="s">
        <v>40550</v>
      </c>
      <c r="D36476" s="38" t="str">
        <f>IFERROR(__xludf.DUMMYFUNCTION("REGEXREPLACE(C36476,""-\d+(.*)|--\d+(.*)"","""")"),"FEYZIN")</f>
        <v>FEYZIN</v>
      </c>
      <c r="E36476" s="38" t="s">
        <v>350</v>
      </c>
      <c r="F36476" s="38" t="s">
        <v>102</v>
      </c>
      <c r="G36476" s="49" t="str">
        <f t="shared" si="1"/>
        <v>69320</v>
      </c>
      <c r="H36476" s="49">
        <f t="shared" si="2"/>
        <v>69276</v>
      </c>
    </row>
    <row r="36477">
      <c r="A36477" s="48" t="s">
        <v>8129</v>
      </c>
      <c r="B36477" s="38">
        <v>70453.0</v>
      </c>
      <c r="C36477" s="38" t="s">
        <v>40551</v>
      </c>
      <c r="D36477" s="38" t="str">
        <f>IFERROR(__xludf.DUMMYFUNCTION("REGEXREPLACE(C36477,""-\d+(.*)|--\d+(.*)"","""")"),"LA ROSIERE")</f>
        <v>LA ROSIERE</v>
      </c>
      <c r="E36477" s="38" t="s">
        <v>956</v>
      </c>
      <c r="F36477" s="38" t="s">
        <v>214</v>
      </c>
      <c r="G36477" s="49" t="str">
        <f t="shared" si="1"/>
        <v>70310</v>
      </c>
      <c r="H36477" s="49">
        <f t="shared" si="2"/>
        <v>70453</v>
      </c>
    </row>
    <row r="36478">
      <c r="A36478" s="48" t="s">
        <v>9411</v>
      </c>
      <c r="B36478" s="38">
        <v>53157.0</v>
      </c>
      <c r="C36478" s="38" t="s">
        <v>40552</v>
      </c>
      <c r="D36478" s="38" t="str">
        <f>IFERROR(__xludf.DUMMYFUNCTION("REGEXREPLACE(C36478,""-\d+(.*)|--\d+(.*)"","""")"),"MONTIGNE-LE-BRILLANT")</f>
        <v>MONTIGNE-LE-BRILLANT</v>
      </c>
      <c r="E36478" s="38" t="s">
        <v>518</v>
      </c>
      <c r="F36478" s="38" t="s">
        <v>180</v>
      </c>
      <c r="G36478" s="49" t="str">
        <f t="shared" si="1"/>
        <v>53970</v>
      </c>
      <c r="H36478" s="49">
        <f t="shared" si="2"/>
        <v>53157</v>
      </c>
    </row>
    <row r="36479">
      <c r="A36479" s="48" t="s">
        <v>9207</v>
      </c>
      <c r="B36479" s="38">
        <v>57313.0</v>
      </c>
      <c r="C36479" s="38" t="s">
        <v>40553</v>
      </c>
      <c r="D36479" s="38" t="str">
        <f>IFERROR(__xludf.DUMMYFUNCTION("REGEXREPLACE(C36479,""-\d+(.*)|--\d+(.*)"","""")"),"HEMILLY")</f>
        <v>HEMILLY</v>
      </c>
      <c r="E36479" s="38" t="s">
        <v>303</v>
      </c>
      <c r="F36479" s="38" t="s">
        <v>195</v>
      </c>
      <c r="G36479" s="49" t="str">
        <f t="shared" si="1"/>
        <v>57690</v>
      </c>
      <c r="H36479" s="49">
        <f t="shared" si="2"/>
        <v>57313</v>
      </c>
    </row>
    <row r="36480">
      <c r="A36480" s="48" t="s">
        <v>5103</v>
      </c>
      <c r="B36480" s="38">
        <v>37276.0</v>
      </c>
      <c r="C36480" s="38" t="s">
        <v>40554</v>
      </c>
      <c r="D36480" s="38" t="str">
        <f>IFERROR(__xludf.DUMMYFUNCTION("REGEXREPLACE(C36480,""-\d+(.*)|--\d+(.*)"","""")"),"VILLEDOMER")</f>
        <v>VILLEDOMER</v>
      </c>
      <c r="E36480" s="38" t="s">
        <v>205</v>
      </c>
      <c r="F36480" s="38" t="s">
        <v>123</v>
      </c>
      <c r="G36480" s="49" t="str">
        <f t="shared" si="1"/>
        <v>37110</v>
      </c>
      <c r="H36480" s="49">
        <f t="shared" si="2"/>
        <v>37276</v>
      </c>
    </row>
    <row r="36481">
      <c r="A36481" s="48" t="s">
        <v>816</v>
      </c>
      <c r="B36481" s="38">
        <v>11377.0</v>
      </c>
      <c r="C36481" s="38" t="s">
        <v>6493</v>
      </c>
      <c r="D36481" s="38" t="str">
        <f>IFERROR(__xludf.DUMMYFUNCTION("REGEXREPLACE(C36481,""-\d+(.*)|--\d+(.*)"","""")"),"SERRES")</f>
        <v>SERRES</v>
      </c>
      <c r="E36481" s="38" t="s">
        <v>278</v>
      </c>
      <c r="F36481" s="38" t="s">
        <v>119</v>
      </c>
      <c r="G36481" s="49" t="str">
        <f t="shared" si="1"/>
        <v>11190</v>
      </c>
      <c r="H36481" s="49">
        <f t="shared" si="2"/>
        <v>11377</v>
      </c>
    </row>
    <row r="36482">
      <c r="A36482" s="48" t="s">
        <v>7736</v>
      </c>
      <c r="B36482" s="38">
        <v>11397.0</v>
      </c>
      <c r="C36482" s="38" t="s">
        <v>40555</v>
      </c>
      <c r="D36482" s="38" t="str">
        <f>IFERROR(__xludf.DUMMYFUNCTION("REGEXREPLACE(C36482,""-\d+(.*)|--\d+(.*)"","""")"),"TREBES")</f>
        <v>TREBES</v>
      </c>
      <c r="E36482" s="38" t="s">
        <v>278</v>
      </c>
      <c r="F36482" s="38" t="s">
        <v>119</v>
      </c>
      <c r="G36482" s="49" t="str">
        <f t="shared" si="1"/>
        <v>11800</v>
      </c>
      <c r="H36482" s="49">
        <f t="shared" si="2"/>
        <v>11397</v>
      </c>
    </row>
    <row r="36483">
      <c r="A36483" s="48" t="s">
        <v>5687</v>
      </c>
      <c r="B36483" s="38">
        <v>3277.0</v>
      </c>
      <c r="C36483" s="38" t="s">
        <v>40556</v>
      </c>
      <c r="D36483" s="38" t="str">
        <f>IFERROR(__xludf.DUMMYFUNCTION("REGEXREPLACE(C36483,""-\d+(.*)|--\d+(.*)"","""")"),"TARGET")</f>
        <v>TARGET</v>
      </c>
      <c r="E36483" s="38" t="s">
        <v>160</v>
      </c>
      <c r="F36483" s="38" t="s">
        <v>161</v>
      </c>
      <c r="G36483" s="49" t="str">
        <f t="shared" si="1"/>
        <v>03140</v>
      </c>
      <c r="H36483" s="49" t="str">
        <f t="shared" si="2"/>
        <v>03277</v>
      </c>
    </row>
    <row r="36484">
      <c r="A36484" s="48" t="s">
        <v>669</v>
      </c>
      <c r="B36484" s="38">
        <v>12035.0</v>
      </c>
      <c r="C36484" s="38" t="s">
        <v>40557</v>
      </c>
      <c r="D36484" s="38" t="str">
        <f>IFERROR(__xludf.DUMMYFUNCTION("REGEXREPLACE(C36484,""-\d+(.*)|--\d+(.*)"","""")"),"BRASC")</f>
        <v>BRASC</v>
      </c>
      <c r="E36484" s="38" t="s">
        <v>465</v>
      </c>
      <c r="F36484" s="38" t="s">
        <v>94</v>
      </c>
      <c r="G36484" s="49" t="str">
        <f t="shared" si="1"/>
        <v>12550</v>
      </c>
      <c r="H36484" s="49">
        <f t="shared" si="2"/>
        <v>12035</v>
      </c>
    </row>
    <row r="36485">
      <c r="A36485" s="48" t="s">
        <v>6761</v>
      </c>
      <c r="B36485" s="38">
        <v>1398.0</v>
      </c>
      <c r="C36485" s="38" t="s">
        <v>21790</v>
      </c>
      <c r="D36485" s="38" t="str">
        <f>IFERROR(__xludf.DUMMYFUNCTION("REGEXREPLACE(C36485,""-\d+(.*)|--\d+(.*)"","""")"),"SAVIGNEUX")</f>
        <v>SAVIGNEUX</v>
      </c>
      <c r="E36485" s="38" t="s">
        <v>255</v>
      </c>
      <c r="F36485" s="38" t="s">
        <v>102</v>
      </c>
      <c r="G36485" s="49" t="str">
        <f t="shared" si="1"/>
        <v>01480</v>
      </c>
      <c r="H36485" s="49" t="str">
        <f t="shared" si="2"/>
        <v>01398</v>
      </c>
    </row>
    <row r="36486">
      <c r="A36486" s="48" t="s">
        <v>4097</v>
      </c>
      <c r="B36486" s="38">
        <v>50263.0</v>
      </c>
      <c r="C36486" s="38" t="s">
        <v>40558</v>
      </c>
      <c r="D36486" s="38" t="str">
        <f>IFERROR(__xludf.DUMMYFUNCTION("REGEXREPLACE(C36486,""-\d+(.*)|--\d+(.*)"","""")"),"LAPENTY")</f>
        <v>LAPENTY</v>
      </c>
      <c r="E36486" s="38" t="s">
        <v>157</v>
      </c>
      <c r="F36486" s="38" t="s">
        <v>138</v>
      </c>
      <c r="G36486" s="49" t="str">
        <f t="shared" si="1"/>
        <v>50600</v>
      </c>
      <c r="H36486" s="49">
        <f t="shared" si="2"/>
        <v>50263</v>
      </c>
    </row>
    <row r="36487">
      <c r="A36487" s="48" t="s">
        <v>4581</v>
      </c>
      <c r="B36487" s="38">
        <v>79010.0</v>
      </c>
      <c r="C36487" s="38" t="s">
        <v>40559</v>
      </c>
      <c r="D36487" s="38" t="str">
        <f>IFERROR(__xludf.DUMMYFUNCTION("REGEXREPLACE(C36487,""-\d+(.*)|--\d+(.*)"","""")"),"ARCAIS")</f>
        <v>ARCAIS</v>
      </c>
      <c r="E36487" s="38" t="s">
        <v>337</v>
      </c>
      <c r="F36487" s="38" t="s">
        <v>338</v>
      </c>
      <c r="G36487" s="49" t="str">
        <f t="shared" si="1"/>
        <v>79210</v>
      </c>
      <c r="H36487" s="49">
        <f t="shared" si="2"/>
        <v>79010</v>
      </c>
    </row>
    <row r="36488">
      <c r="A36488" s="48" t="s">
        <v>14039</v>
      </c>
      <c r="B36488" s="38">
        <v>52429.0</v>
      </c>
      <c r="C36488" s="38" t="s">
        <v>40560</v>
      </c>
      <c r="D36488" s="38" t="str">
        <f>IFERROR(__xludf.DUMMYFUNCTION("REGEXREPLACE(C36488,""-\d+(.*)|--\d+(.*)"","""")"),"ROCHES-SUR-MARNE")</f>
        <v>ROCHES-SUR-MARNE</v>
      </c>
      <c r="E36488" s="38" t="s">
        <v>234</v>
      </c>
      <c r="F36488" s="38" t="s">
        <v>130</v>
      </c>
      <c r="G36488" s="49" t="str">
        <f t="shared" si="1"/>
        <v>52410</v>
      </c>
      <c r="H36488" s="49">
        <f t="shared" si="2"/>
        <v>52429</v>
      </c>
    </row>
    <row r="36489">
      <c r="A36489" s="48" t="s">
        <v>8453</v>
      </c>
      <c r="B36489" s="38">
        <v>8344.0</v>
      </c>
      <c r="C36489" s="38" t="s">
        <v>40561</v>
      </c>
      <c r="D36489" s="38" t="str">
        <f>IFERROR(__xludf.DUMMYFUNCTION("REGEXREPLACE(C36489,""-\d+(.*)|--\d+(.*)"","""")"),"PREZ")</f>
        <v>PREZ</v>
      </c>
      <c r="E36489" s="38" t="s">
        <v>327</v>
      </c>
      <c r="F36489" s="38" t="s">
        <v>130</v>
      </c>
      <c r="G36489" s="49" t="str">
        <f t="shared" si="1"/>
        <v>08290</v>
      </c>
      <c r="H36489" s="49" t="str">
        <f t="shared" si="2"/>
        <v>08344</v>
      </c>
    </row>
    <row r="36490">
      <c r="A36490" s="48" t="s">
        <v>1978</v>
      </c>
      <c r="B36490" s="38">
        <v>88061.0</v>
      </c>
      <c r="C36490" s="38" t="s">
        <v>40562</v>
      </c>
      <c r="D36490" s="38" t="str">
        <f>IFERROR(__xludf.DUMMYFUNCTION("REGEXREPLACE(C36490,""-\d+(.*)|--\d+(.*)"","""")"),"BLEURVILLE")</f>
        <v>BLEURVILLE</v>
      </c>
      <c r="E36490" s="38" t="s">
        <v>194</v>
      </c>
      <c r="F36490" s="38" t="s">
        <v>195</v>
      </c>
      <c r="G36490" s="49" t="str">
        <f t="shared" si="1"/>
        <v>88410</v>
      </c>
      <c r="H36490" s="49">
        <f t="shared" si="2"/>
        <v>88061</v>
      </c>
    </row>
    <row r="36491">
      <c r="A36491" s="48" t="s">
        <v>2592</v>
      </c>
      <c r="B36491" s="38">
        <v>34215.0</v>
      </c>
      <c r="C36491" s="38" t="s">
        <v>40563</v>
      </c>
      <c r="D36491" s="38" t="str">
        <f>IFERROR(__xludf.DUMMYFUNCTION("REGEXREPLACE(C36491,""-\d+(.*)|--\d+(.*)"","""")"),"POUZOLS")</f>
        <v>POUZOLS</v>
      </c>
      <c r="E36491" s="38" t="s">
        <v>118</v>
      </c>
      <c r="F36491" s="38" t="s">
        <v>119</v>
      </c>
      <c r="G36491" s="49" t="str">
        <f t="shared" si="1"/>
        <v>34230</v>
      </c>
      <c r="H36491" s="49">
        <f t="shared" si="2"/>
        <v>34215</v>
      </c>
    </row>
    <row r="36492">
      <c r="A36492" s="48" t="s">
        <v>201</v>
      </c>
      <c r="B36492" s="38">
        <v>2005.0</v>
      </c>
      <c r="C36492" s="38" t="s">
        <v>40564</v>
      </c>
      <c r="D36492" s="38" t="str">
        <f>IFERROR(__xludf.DUMMYFUNCTION("REGEXREPLACE(C36492,""-\d+(.*)|--\d+(.*)"","""")"),"AGUILCOURT")</f>
        <v>AGUILCOURT</v>
      </c>
      <c r="E36492" s="38" t="s">
        <v>191</v>
      </c>
      <c r="F36492" s="38" t="s">
        <v>113</v>
      </c>
      <c r="G36492" s="49" t="str">
        <f t="shared" si="1"/>
        <v>02190</v>
      </c>
      <c r="H36492" s="49" t="str">
        <f t="shared" si="2"/>
        <v>02005</v>
      </c>
    </row>
    <row r="36493">
      <c r="A36493" s="48" t="s">
        <v>15700</v>
      </c>
      <c r="B36493" s="38">
        <v>53154.0</v>
      </c>
      <c r="C36493" s="38" t="s">
        <v>40565</v>
      </c>
      <c r="D36493" s="38" t="str">
        <f>IFERROR(__xludf.DUMMYFUNCTION("REGEXREPLACE(C36493,""-\d+(.*)|--\d+(.*)"","""")"),"MONTAUDIN")</f>
        <v>MONTAUDIN</v>
      </c>
      <c r="E36493" s="38" t="s">
        <v>518</v>
      </c>
      <c r="F36493" s="38" t="s">
        <v>180</v>
      </c>
      <c r="G36493" s="49" t="str">
        <f t="shared" si="1"/>
        <v>53220</v>
      </c>
      <c r="H36493" s="49">
        <f t="shared" si="2"/>
        <v>53154</v>
      </c>
    </row>
    <row r="36494">
      <c r="A36494" s="48" t="s">
        <v>551</v>
      </c>
      <c r="B36494" s="38">
        <v>66132.0</v>
      </c>
      <c r="C36494" s="38" t="s">
        <v>40566</v>
      </c>
      <c r="D36494" s="38" t="str">
        <f>IFERROR(__xludf.DUMMYFUNCTION("REGEXREPLACE(C36494,""-\d+(.*)|--\d+(.*)"","""")"),"PALAU-DE-CERDAGNE")</f>
        <v>PALAU-DE-CERDAGNE</v>
      </c>
      <c r="E36494" s="38" t="s">
        <v>248</v>
      </c>
      <c r="F36494" s="38" t="s">
        <v>119</v>
      </c>
      <c r="G36494" s="49" t="str">
        <f t="shared" si="1"/>
        <v>66340</v>
      </c>
      <c r="H36494" s="49">
        <f t="shared" si="2"/>
        <v>66132</v>
      </c>
    </row>
    <row r="36495">
      <c r="A36495" s="48" t="s">
        <v>17847</v>
      </c>
      <c r="B36495" s="38" t="s">
        <v>40567</v>
      </c>
      <c r="C36495" s="38" t="s">
        <v>40568</v>
      </c>
      <c r="D36495" s="38" t="str">
        <f>IFERROR(__xludf.DUMMYFUNCTION("REGEXREPLACE(C36495,""-\d+(.*)|--\d+(.*)"","""")"),"CUTTOLI-CORTICCHIATO")</f>
        <v>CUTTOLI-CORTICCHIATO</v>
      </c>
      <c r="E36495" s="38" t="s">
        <v>606</v>
      </c>
      <c r="F36495" s="38" t="s">
        <v>607</v>
      </c>
      <c r="G36495" s="49" t="str">
        <f t="shared" si="1"/>
        <v>20167</v>
      </c>
      <c r="H36495" s="49" t="str">
        <f t="shared" si="2"/>
        <v>2A103</v>
      </c>
    </row>
    <row r="36496">
      <c r="A36496" s="48" t="s">
        <v>7332</v>
      </c>
      <c r="B36496" s="38">
        <v>24445.0</v>
      </c>
      <c r="C36496" s="38" t="s">
        <v>40569</v>
      </c>
      <c r="D36496" s="38" t="str">
        <f>IFERROR(__xludf.DUMMYFUNCTION("REGEXREPLACE(C36496,""-\d+(.*)|--\d+(.*)"","""")"),"SAINT-MARCEL-DU-PERIGORD")</f>
        <v>SAINT-MARCEL-DU-PERIGORD</v>
      </c>
      <c r="E36496" s="38" t="s">
        <v>261</v>
      </c>
      <c r="F36496" s="38" t="s">
        <v>252</v>
      </c>
      <c r="G36496" s="49" t="str">
        <f t="shared" si="1"/>
        <v>24510</v>
      </c>
      <c r="H36496" s="49">
        <f t="shared" si="2"/>
        <v>24445</v>
      </c>
    </row>
    <row r="36497">
      <c r="A36497" s="48" t="s">
        <v>1632</v>
      </c>
      <c r="B36497" s="38">
        <v>63091.0</v>
      </c>
      <c r="C36497" s="38" t="s">
        <v>40570</v>
      </c>
      <c r="D36497" s="38" t="str">
        <f>IFERROR(__xludf.DUMMYFUNCTION("REGEXREPLACE(C36497,""-\d+(.*)|--\d+(.*)"","""")"),"CHARBONNIER-LES-MINES")</f>
        <v>CHARBONNIER-LES-MINES</v>
      </c>
      <c r="E36497" s="38" t="s">
        <v>353</v>
      </c>
      <c r="F36497" s="38" t="s">
        <v>161</v>
      </c>
      <c r="G36497" s="49" t="str">
        <f t="shared" si="1"/>
        <v>63340</v>
      </c>
      <c r="H36497" s="49">
        <f t="shared" si="2"/>
        <v>63091</v>
      </c>
    </row>
    <row r="36498">
      <c r="A36498" s="48" t="s">
        <v>127</v>
      </c>
      <c r="B36498" s="38">
        <v>51452.0</v>
      </c>
      <c r="C36498" s="38" t="s">
        <v>40571</v>
      </c>
      <c r="D36498" s="38" t="str">
        <f>IFERROR(__xludf.DUMMYFUNCTION("REGEXREPLACE(C36498,""-\d+(.*)|--\d+(.*)"","""")"),"RAPSECOURT")</f>
        <v>RAPSECOURT</v>
      </c>
      <c r="E36498" s="38" t="s">
        <v>129</v>
      </c>
      <c r="F36498" s="38" t="s">
        <v>130</v>
      </c>
      <c r="G36498" s="49" t="str">
        <f t="shared" si="1"/>
        <v>51330</v>
      </c>
      <c r="H36498" s="49">
        <f t="shared" si="2"/>
        <v>51452</v>
      </c>
    </row>
    <row r="36499">
      <c r="A36499" s="48" t="s">
        <v>2406</v>
      </c>
      <c r="B36499" s="38">
        <v>55159.0</v>
      </c>
      <c r="C36499" s="38" t="s">
        <v>40572</v>
      </c>
      <c r="D36499" s="38" t="str">
        <f>IFERROR(__xludf.DUMMYFUNCTION("REGEXREPLACE(C36499,""-\d+(.*)|--\d+(.*)"","""")"),"DOMPCEVRIN")</f>
        <v>DOMPCEVRIN</v>
      </c>
      <c r="E36499" s="38" t="s">
        <v>322</v>
      </c>
      <c r="F36499" s="38" t="s">
        <v>195</v>
      </c>
      <c r="G36499" s="49" t="str">
        <f t="shared" si="1"/>
        <v>55300</v>
      </c>
      <c r="H36499" s="49">
        <f t="shared" si="2"/>
        <v>55159</v>
      </c>
    </row>
    <row r="36500">
      <c r="A36500" s="48" t="s">
        <v>2571</v>
      </c>
      <c r="B36500" s="38">
        <v>61427.0</v>
      </c>
      <c r="C36500" s="38" t="s">
        <v>40573</v>
      </c>
      <c r="D36500" s="38" t="str">
        <f>IFERROR(__xludf.DUMMYFUNCTION("REGEXREPLACE(C36500,""-\d+(.*)|--\d+(.*)"","""")"),"SAINT-MARTIN-L'AIGUILLON")</f>
        <v>SAINT-MARTIN-L'AIGUILLON</v>
      </c>
      <c r="E36500" s="38" t="s">
        <v>141</v>
      </c>
      <c r="F36500" s="38" t="s">
        <v>138</v>
      </c>
      <c r="G36500" s="49" t="str">
        <f t="shared" si="1"/>
        <v>61320</v>
      </c>
      <c r="H36500" s="49">
        <f t="shared" si="2"/>
        <v>61427</v>
      </c>
    </row>
    <row r="36501">
      <c r="A36501" s="48" t="s">
        <v>724</v>
      </c>
      <c r="B36501" s="38">
        <v>32393.0</v>
      </c>
      <c r="C36501" s="38" t="s">
        <v>16952</v>
      </c>
      <c r="D36501" s="38" t="str">
        <f>IFERROR(__xludf.DUMMYFUNCTION("REGEXREPLACE(C36501,""-\d+(.*)|--\d+(.*)"","""")"),"SAINT-MAUR")</f>
        <v>SAINT-MAUR</v>
      </c>
      <c r="E36501" s="38" t="s">
        <v>440</v>
      </c>
      <c r="F36501" s="38" t="s">
        <v>94</v>
      </c>
      <c r="G36501" s="49" t="str">
        <f t="shared" si="1"/>
        <v>32300</v>
      </c>
      <c r="H36501" s="49">
        <f t="shared" si="2"/>
        <v>32393</v>
      </c>
    </row>
    <row r="36502">
      <c r="A36502" s="48" t="s">
        <v>425</v>
      </c>
      <c r="B36502" s="38">
        <v>88216.0</v>
      </c>
      <c r="C36502" s="38" t="s">
        <v>40574</v>
      </c>
      <c r="D36502" s="38" t="str">
        <f>IFERROR(__xludf.DUMMYFUNCTION("REGEXREPLACE(C36502,""-\d+(.*)|--\d+(.*)"","""")"),"GRANDVILLERS")</f>
        <v>GRANDVILLERS</v>
      </c>
      <c r="E36502" s="38" t="s">
        <v>194</v>
      </c>
      <c r="F36502" s="38" t="s">
        <v>195</v>
      </c>
      <c r="G36502" s="49" t="str">
        <f t="shared" si="1"/>
        <v>88600</v>
      </c>
      <c r="H36502" s="49">
        <f t="shared" si="2"/>
        <v>88216</v>
      </c>
    </row>
    <row r="36503">
      <c r="A36503" s="48" t="s">
        <v>1827</v>
      </c>
      <c r="B36503" s="38">
        <v>77151.0</v>
      </c>
      <c r="C36503" s="38" t="s">
        <v>40575</v>
      </c>
      <c r="D36503" s="38" t="str">
        <f>IFERROR(__xludf.DUMMYFUNCTION("REGEXREPLACE(C36503,""-\d+(.*)|--\d+(.*)"","""")"),"DAGNY")</f>
        <v>DAGNY</v>
      </c>
      <c r="E36503" s="38" t="s">
        <v>244</v>
      </c>
      <c r="F36503" s="38" t="s">
        <v>245</v>
      </c>
      <c r="G36503" s="49" t="str">
        <f t="shared" si="1"/>
        <v>77320</v>
      </c>
      <c r="H36503" s="49">
        <f t="shared" si="2"/>
        <v>77151</v>
      </c>
    </row>
    <row r="36504">
      <c r="A36504" s="48" t="s">
        <v>1036</v>
      </c>
      <c r="B36504" s="38">
        <v>57354.0</v>
      </c>
      <c r="C36504" s="38" t="s">
        <v>40576</v>
      </c>
      <c r="D36504" s="38" t="str">
        <f>IFERROR(__xludf.DUMMYFUNCTION("REGEXREPLACE(C36504,""-\d+(.*)|--\d+(.*)"","""")"),"JUVILLE")</f>
        <v>JUVILLE</v>
      </c>
      <c r="E36504" s="38" t="s">
        <v>303</v>
      </c>
      <c r="F36504" s="38" t="s">
        <v>195</v>
      </c>
      <c r="G36504" s="49" t="str">
        <f t="shared" si="1"/>
        <v>57590</v>
      </c>
      <c r="H36504" s="49">
        <f t="shared" si="2"/>
        <v>57354</v>
      </c>
    </row>
    <row r="36505">
      <c r="A36505" s="48" t="s">
        <v>301</v>
      </c>
      <c r="B36505" s="38">
        <v>57247.0</v>
      </c>
      <c r="C36505" s="38" t="s">
        <v>40577</v>
      </c>
      <c r="D36505" s="38" t="str">
        <f>IFERROR(__xludf.DUMMYFUNCTION("REGEXREPLACE(C36505,""-\d+(.*)|--\d+(.*)"","""")"),"GERBECOURT")</f>
        <v>GERBECOURT</v>
      </c>
      <c r="E36505" s="38" t="s">
        <v>303</v>
      </c>
      <c r="F36505" s="38" t="s">
        <v>195</v>
      </c>
      <c r="G36505" s="49" t="str">
        <f t="shared" si="1"/>
        <v>57170</v>
      </c>
      <c r="H36505" s="49">
        <f t="shared" si="2"/>
        <v>57247</v>
      </c>
    </row>
    <row r="36506">
      <c r="A36506" s="48" t="s">
        <v>505</v>
      </c>
      <c r="B36506" s="38">
        <v>12104.0</v>
      </c>
      <c r="C36506" s="38" t="s">
        <v>38694</v>
      </c>
      <c r="D36506" s="38" t="str">
        <f>IFERROR(__xludf.DUMMYFUNCTION("REGEXREPLACE(C36506,""-\d+(.*)|--\d+(.*)"","""")"),"FOISSAC")</f>
        <v>FOISSAC</v>
      </c>
      <c r="E36506" s="38" t="s">
        <v>465</v>
      </c>
      <c r="F36506" s="38" t="s">
        <v>94</v>
      </c>
      <c r="G36506" s="49" t="str">
        <f t="shared" si="1"/>
        <v>12260</v>
      </c>
      <c r="H36506" s="49">
        <f t="shared" si="2"/>
        <v>12104</v>
      </c>
    </row>
    <row r="36507">
      <c r="A36507" s="48" t="s">
        <v>33845</v>
      </c>
      <c r="B36507" s="38">
        <v>95369.0</v>
      </c>
      <c r="C36507" s="38" t="s">
        <v>40578</v>
      </c>
      <c r="D36507" s="38" t="str">
        <f>IFERROR(__xludf.DUMMYFUNCTION("REGEXREPLACE(C36507,""-\d+(.*)|--\d+(.*)"","""")"),"MARGENCY")</f>
        <v>MARGENCY</v>
      </c>
      <c r="E36507" s="38" t="s">
        <v>541</v>
      </c>
      <c r="F36507" s="38" t="s">
        <v>245</v>
      </c>
      <c r="G36507" s="49" t="str">
        <f t="shared" si="1"/>
        <v>95580</v>
      </c>
      <c r="H36507" s="49">
        <f t="shared" si="2"/>
        <v>95369</v>
      </c>
    </row>
    <row r="36508">
      <c r="A36508" s="48" t="s">
        <v>9801</v>
      </c>
      <c r="B36508" s="38">
        <v>2496.0</v>
      </c>
      <c r="C36508" s="38" t="s">
        <v>40579</v>
      </c>
      <c r="D36508" s="38" t="str">
        <f>IFERROR(__xludf.DUMMYFUNCTION("REGEXREPLACE(C36508,""-\d+(.*)|--\d+(.*)"","""")"),"MONNES")</f>
        <v>MONNES</v>
      </c>
      <c r="E36508" s="38" t="s">
        <v>191</v>
      </c>
      <c r="F36508" s="38" t="s">
        <v>113</v>
      </c>
      <c r="G36508" s="49" t="str">
        <f t="shared" si="1"/>
        <v>02470</v>
      </c>
      <c r="H36508" s="49" t="str">
        <f t="shared" si="2"/>
        <v>02496</v>
      </c>
    </row>
    <row r="36509">
      <c r="A36509" s="48" t="s">
        <v>1310</v>
      </c>
      <c r="B36509" s="38">
        <v>25535.0</v>
      </c>
      <c r="C36509" s="38" t="s">
        <v>29264</v>
      </c>
      <c r="D36509" s="38" t="str">
        <f>IFERROR(__xludf.DUMMYFUNCTION("REGEXREPLACE(C36509,""-\d+(.*)|--\d+(.*)"","""")"),"SAULES")</f>
        <v>SAULES</v>
      </c>
      <c r="E36509" s="38" t="s">
        <v>213</v>
      </c>
      <c r="F36509" s="38" t="s">
        <v>214</v>
      </c>
      <c r="G36509" s="49" t="str">
        <f t="shared" si="1"/>
        <v>25580</v>
      </c>
      <c r="H36509" s="49">
        <f t="shared" si="2"/>
        <v>25535</v>
      </c>
    </row>
    <row r="36510">
      <c r="A36510" s="48" t="s">
        <v>573</v>
      </c>
      <c r="B36510" s="38">
        <v>65445.0</v>
      </c>
      <c r="C36510" s="38" t="s">
        <v>40580</v>
      </c>
      <c r="D36510" s="38" t="str">
        <f>IFERROR(__xludf.DUMMYFUNCTION("REGEXREPLACE(C36510,""-\d+(.*)|--\d+(.*)"","""")"),"TILHOUSE")</f>
        <v>TILHOUSE</v>
      </c>
      <c r="E36510" s="38" t="s">
        <v>200</v>
      </c>
      <c r="F36510" s="38" t="s">
        <v>94</v>
      </c>
      <c r="G36510" s="49" t="str">
        <f t="shared" si="1"/>
        <v>65130</v>
      </c>
      <c r="H36510" s="49">
        <f t="shared" si="2"/>
        <v>65445</v>
      </c>
    </row>
    <row r="36511">
      <c r="A36511" s="48" t="s">
        <v>1186</v>
      </c>
      <c r="B36511" s="38">
        <v>16425.0</v>
      </c>
      <c r="C36511" s="38" t="s">
        <v>40581</v>
      </c>
      <c r="D36511" s="38" t="str">
        <f>IFERROR(__xludf.DUMMYFUNCTION("REGEXREPLACE(C36511,""-\d+(.*)|--\d+(.*)"","""")"),"YVRAC-ET-MALLEYRAND")</f>
        <v>YVRAC-ET-MALLEYRAND</v>
      </c>
      <c r="E36511" s="38" t="s">
        <v>429</v>
      </c>
      <c r="F36511" s="38" t="s">
        <v>338</v>
      </c>
      <c r="G36511" s="49" t="str">
        <f t="shared" si="1"/>
        <v>16110</v>
      </c>
      <c r="H36511" s="49">
        <f t="shared" si="2"/>
        <v>16425</v>
      </c>
    </row>
    <row r="36512">
      <c r="A36512" s="48" t="s">
        <v>588</v>
      </c>
      <c r="B36512" s="38">
        <v>14387.0</v>
      </c>
      <c r="C36512" s="38" t="s">
        <v>40582</v>
      </c>
      <c r="D36512" s="38" t="str">
        <f>IFERROR(__xludf.DUMMYFUNCTION("REGEXREPLACE(C36512,""-\d+(.*)|--\d+(.*)"","""")"),"MAGNY-LE-FREULE")</f>
        <v>MAGNY-LE-FREULE</v>
      </c>
      <c r="E36512" s="38" t="s">
        <v>137</v>
      </c>
      <c r="F36512" s="38" t="s">
        <v>138</v>
      </c>
      <c r="G36512" s="49" t="str">
        <f t="shared" si="1"/>
        <v>14270</v>
      </c>
      <c r="H36512" s="49">
        <f t="shared" si="2"/>
        <v>14387</v>
      </c>
    </row>
    <row r="36513">
      <c r="A36513" s="48" t="s">
        <v>23069</v>
      </c>
      <c r="B36513" s="38">
        <v>19147.0</v>
      </c>
      <c r="C36513" s="38" t="s">
        <v>40583</v>
      </c>
      <c r="D36513" s="38" t="str">
        <f>IFERROR(__xludf.DUMMYFUNCTION("REGEXREPLACE(C36513,""-\d+(.*)|--\d+(.*)"","""")"),"NESPOULS")</f>
        <v>NESPOULS</v>
      </c>
      <c r="E36513" s="38" t="s">
        <v>271</v>
      </c>
      <c r="F36513" s="38" t="s">
        <v>98</v>
      </c>
      <c r="G36513" s="49" t="str">
        <f t="shared" si="1"/>
        <v>19600</v>
      </c>
      <c r="H36513" s="49">
        <f t="shared" si="2"/>
        <v>19147</v>
      </c>
    </row>
    <row r="36514">
      <c r="A36514" s="48" t="s">
        <v>2227</v>
      </c>
      <c r="B36514" s="38">
        <v>74167.0</v>
      </c>
      <c r="C36514" s="38" t="s">
        <v>40584</v>
      </c>
      <c r="D36514" s="38" t="str">
        <f>IFERROR(__xludf.DUMMYFUNCTION("REGEXREPLACE(C36514,""-\d+(.*)|--\d+(.*)"","""")"),"MARLENS")</f>
        <v>MARLENS</v>
      </c>
      <c r="E36514" s="38" t="s">
        <v>319</v>
      </c>
      <c r="F36514" s="38" t="s">
        <v>102</v>
      </c>
      <c r="G36514" s="49" t="str">
        <f t="shared" si="1"/>
        <v>74210</v>
      </c>
      <c r="H36514" s="49">
        <f t="shared" si="2"/>
        <v>74167</v>
      </c>
    </row>
    <row r="36515">
      <c r="A36515" s="48" t="s">
        <v>6230</v>
      </c>
      <c r="B36515" s="38">
        <v>53273.0</v>
      </c>
      <c r="C36515" s="38" t="s">
        <v>40585</v>
      </c>
      <c r="D36515" s="38" t="str">
        <f>IFERROR(__xludf.DUMMYFUNCTION("REGEXREPLACE(C36515,""-\d+(.*)|--\d+(.*)"","""")"),"VILLIERS-CHARLEMAGNE")</f>
        <v>VILLIERS-CHARLEMAGNE</v>
      </c>
      <c r="E36515" s="38" t="s">
        <v>518</v>
      </c>
      <c r="F36515" s="38" t="s">
        <v>180</v>
      </c>
      <c r="G36515" s="49" t="str">
        <f t="shared" si="1"/>
        <v>53170</v>
      </c>
      <c r="H36515" s="49">
        <f t="shared" si="2"/>
        <v>53273</v>
      </c>
    </row>
    <row r="36516">
      <c r="A36516" s="48" t="s">
        <v>693</v>
      </c>
      <c r="B36516" s="38">
        <v>23149.0</v>
      </c>
      <c r="C36516" s="38" t="s">
        <v>40586</v>
      </c>
      <c r="D36516" s="38" t="str">
        <f>IFERROR(__xludf.DUMMYFUNCTION("REGEXREPLACE(C36516,""-\d+(.*)|--\d+(.*)"","""")"),"PARSAC")</f>
        <v>PARSAC</v>
      </c>
      <c r="E36516" s="38" t="s">
        <v>97</v>
      </c>
      <c r="F36516" s="38" t="s">
        <v>98</v>
      </c>
      <c r="G36516" s="49" t="str">
        <f t="shared" si="1"/>
        <v>23140</v>
      </c>
      <c r="H36516" s="49">
        <f t="shared" si="2"/>
        <v>23149</v>
      </c>
    </row>
    <row r="36517">
      <c r="A36517" s="48" t="s">
        <v>6521</v>
      </c>
      <c r="B36517" s="38">
        <v>34007.0</v>
      </c>
      <c r="C36517" s="38" t="s">
        <v>5177</v>
      </c>
      <c r="D36517" s="38" t="str">
        <f>IFERROR(__xludf.DUMMYFUNCTION("REGEXREPLACE(C36517,""-\d+(.*)|--\d+(.*)"","""")"),"AIGUES-VIVES")</f>
        <v>AIGUES-VIVES</v>
      </c>
      <c r="E36517" s="38" t="s">
        <v>118</v>
      </c>
      <c r="F36517" s="38" t="s">
        <v>119</v>
      </c>
      <c r="G36517" s="49" t="str">
        <f t="shared" si="1"/>
        <v>34210</v>
      </c>
      <c r="H36517" s="49">
        <f t="shared" si="2"/>
        <v>34007</v>
      </c>
    </row>
    <row r="36518">
      <c r="A36518" s="48" t="s">
        <v>19064</v>
      </c>
      <c r="B36518" s="38">
        <v>61125.0</v>
      </c>
      <c r="C36518" s="38" t="s">
        <v>40587</v>
      </c>
      <c r="D36518" s="38" t="str">
        <f>IFERROR(__xludf.DUMMYFUNCTION("REGEXREPLACE(C36518,""-\d+(.*)|--\d+(.*)"","""")"),"COULONGES-LES-SABLONS")</f>
        <v>COULONGES-LES-SABLONS</v>
      </c>
      <c r="E36518" s="38" t="s">
        <v>141</v>
      </c>
      <c r="F36518" s="38" t="s">
        <v>138</v>
      </c>
      <c r="G36518" s="49" t="str">
        <f t="shared" si="1"/>
        <v>61110</v>
      </c>
      <c r="H36518" s="49">
        <f t="shared" si="2"/>
        <v>61125</v>
      </c>
    </row>
    <row r="36519">
      <c r="A36519" s="48" t="s">
        <v>29421</v>
      </c>
      <c r="B36519" s="38">
        <v>60213.0</v>
      </c>
      <c r="C36519" s="38" t="s">
        <v>40588</v>
      </c>
      <c r="D36519" s="38" t="str">
        <f>IFERROR(__xludf.DUMMYFUNCTION("REGEXREPLACE(C36519,""-\d+(.*)|--\d+(.*)"","""")"),"ERMENONVILLE")</f>
        <v>ERMENONVILLE</v>
      </c>
      <c r="E36519" s="38" t="s">
        <v>112</v>
      </c>
      <c r="F36519" s="38" t="s">
        <v>113</v>
      </c>
      <c r="G36519" s="49" t="str">
        <f t="shared" si="1"/>
        <v>60950</v>
      </c>
      <c r="H36519" s="49">
        <f t="shared" si="2"/>
        <v>60213</v>
      </c>
    </row>
    <row r="36520">
      <c r="A36520" s="48" t="s">
        <v>10253</v>
      </c>
      <c r="B36520" s="38">
        <v>48139.0</v>
      </c>
      <c r="C36520" s="38" t="s">
        <v>40589</v>
      </c>
      <c r="D36520" s="38" t="str">
        <f>IFERROR(__xludf.DUMMYFUNCTION("REGEXREPLACE(C36520,""-\d+(.*)|--\d+(.*)"","""")"),"SAINT-BONNET-DE-MONTAUROUX")</f>
        <v>SAINT-BONNET-DE-MONTAUROUX</v>
      </c>
      <c r="E36520" s="38" t="s">
        <v>154</v>
      </c>
      <c r="F36520" s="38" t="s">
        <v>119</v>
      </c>
      <c r="G36520" s="49" t="str">
        <f t="shared" si="1"/>
        <v>48600</v>
      </c>
      <c r="H36520" s="49">
        <f t="shared" si="2"/>
        <v>48139</v>
      </c>
    </row>
    <row r="36521">
      <c r="A36521" s="48" t="s">
        <v>40590</v>
      </c>
      <c r="B36521" s="38">
        <v>63034.0</v>
      </c>
      <c r="C36521" s="38" t="s">
        <v>40591</v>
      </c>
      <c r="D36521" s="38" t="str">
        <f>IFERROR(__xludf.DUMMYFUNCTION("REGEXREPLACE(C36521,""-\d+(.*)|--\d+(.*)"","""")"),"BEAUREGARD-L'EVEQUE")</f>
        <v>BEAUREGARD-L'EVEQUE</v>
      </c>
      <c r="E36521" s="38" t="s">
        <v>353</v>
      </c>
      <c r="F36521" s="38" t="s">
        <v>161</v>
      </c>
      <c r="G36521" s="49" t="str">
        <f t="shared" si="1"/>
        <v>63116</v>
      </c>
      <c r="H36521" s="49">
        <f t="shared" si="2"/>
        <v>63034</v>
      </c>
    </row>
    <row r="36522">
      <c r="A36522" s="48" t="s">
        <v>12127</v>
      </c>
      <c r="B36522" s="38">
        <v>7343.0</v>
      </c>
      <c r="C36522" s="38" t="s">
        <v>40592</v>
      </c>
      <c r="D36522" s="38" t="str">
        <f>IFERROR(__xludf.DUMMYFUNCTION("REGEXREPLACE(C36522,""-\d+(.*)|--\d+(.*)"","""")"),"VINEZAC")</f>
        <v>VINEZAC</v>
      </c>
      <c r="E36522" s="38" t="s">
        <v>144</v>
      </c>
      <c r="F36522" s="38" t="s">
        <v>102</v>
      </c>
      <c r="G36522" s="49" t="str">
        <f t="shared" si="1"/>
        <v>07110</v>
      </c>
      <c r="H36522" s="49" t="str">
        <f t="shared" si="2"/>
        <v>07343</v>
      </c>
    </row>
    <row r="36523">
      <c r="A36523" s="48" t="s">
        <v>8652</v>
      </c>
      <c r="B36523" s="38">
        <v>64325.0</v>
      </c>
      <c r="C36523" s="38" t="s">
        <v>40593</v>
      </c>
      <c r="D36523" s="38" t="str">
        <f>IFERROR(__xludf.DUMMYFUNCTION("REGEXREPLACE(C36523,""-\d+(.*)|--\d+(.*)"","""")"),"LASSEUBETAT")</f>
        <v>LASSEUBETAT</v>
      </c>
      <c r="E36523" s="38" t="s">
        <v>268</v>
      </c>
      <c r="F36523" s="38" t="s">
        <v>252</v>
      </c>
      <c r="G36523" s="49" t="str">
        <f t="shared" si="1"/>
        <v>64290</v>
      </c>
      <c r="H36523" s="49">
        <f t="shared" si="2"/>
        <v>64325</v>
      </c>
    </row>
    <row r="36524">
      <c r="A36524" s="48" t="s">
        <v>491</v>
      </c>
      <c r="B36524" s="38">
        <v>19157.0</v>
      </c>
      <c r="C36524" s="38" t="s">
        <v>40594</v>
      </c>
      <c r="D36524" s="38" t="str">
        <f>IFERROR(__xludf.DUMMYFUNCTION("REGEXREPLACE(C36524,""-\d+(.*)|--\d+(.*)"","""")"),"PALISSE")</f>
        <v>PALISSE</v>
      </c>
      <c r="E36524" s="38" t="s">
        <v>271</v>
      </c>
      <c r="F36524" s="38" t="s">
        <v>98</v>
      </c>
      <c r="G36524" s="49" t="str">
        <f t="shared" si="1"/>
        <v>19160</v>
      </c>
      <c r="H36524" s="49">
        <f t="shared" si="2"/>
        <v>19157</v>
      </c>
    </row>
    <row r="36525">
      <c r="A36525" s="48" t="s">
        <v>5905</v>
      </c>
      <c r="B36525" s="38">
        <v>7281.0</v>
      </c>
      <c r="C36525" s="38" t="s">
        <v>40595</v>
      </c>
      <c r="D36525" s="38" t="str">
        <f>IFERROR(__xludf.DUMMYFUNCTION("REGEXREPLACE(C36525,""-\d+(.*)|--\d+(.*)"","""")"),"SAINT-PERAY")</f>
        <v>SAINT-PERAY</v>
      </c>
      <c r="E36525" s="38" t="s">
        <v>144</v>
      </c>
      <c r="F36525" s="38" t="s">
        <v>102</v>
      </c>
      <c r="G36525" s="49" t="str">
        <f t="shared" si="1"/>
        <v>07130</v>
      </c>
      <c r="H36525" s="49" t="str">
        <f t="shared" si="2"/>
        <v>07281</v>
      </c>
    </row>
    <row r="36526">
      <c r="A36526" s="48" t="s">
        <v>37025</v>
      </c>
      <c r="B36526" s="38" t="s">
        <v>40596</v>
      </c>
      <c r="C36526" s="38" t="s">
        <v>40597</v>
      </c>
      <c r="D36526" s="38" t="str">
        <f>IFERROR(__xludf.DUMMYFUNCTION("REGEXREPLACE(C36526,""-\d+(.*)|--\d+(.*)"","""")"),"VIVARIO")</f>
        <v>VIVARIO</v>
      </c>
      <c r="E36526" s="38" t="s">
        <v>743</v>
      </c>
      <c r="F36526" s="38" t="s">
        <v>607</v>
      </c>
      <c r="G36526" s="49" t="str">
        <f t="shared" si="1"/>
        <v>20219</v>
      </c>
      <c r="H36526" s="49" t="str">
        <f t="shared" si="2"/>
        <v>2B354</v>
      </c>
    </row>
    <row r="36527">
      <c r="A36527" s="48" t="s">
        <v>192</v>
      </c>
      <c r="B36527" s="38">
        <v>88513.0</v>
      </c>
      <c r="C36527" s="38" t="s">
        <v>40598</v>
      </c>
      <c r="D36527" s="38" t="str">
        <f>IFERROR(__xludf.DUMMYFUNCTION("REGEXREPLACE(C36527,""-\d+(.*)|--\d+(.*)"","""")"),"VINCEY")</f>
        <v>VINCEY</v>
      </c>
      <c r="E36527" s="38" t="s">
        <v>194</v>
      </c>
      <c r="F36527" s="38" t="s">
        <v>195</v>
      </c>
      <c r="G36527" s="49" t="str">
        <f t="shared" si="1"/>
        <v>88450</v>
      </c>
      <c r="H36527" s="49">
        <f t="shared" si="2"/>
        <v>88513</v>
      </c>
    </row>
    <row r="36528">
      <c r="A36528" s="48" t="s">
        <v>1151</v>
      </c>
      <c r="B36528" s="38">
        <v>58228.0</v>
      </c>
      <c r="C36528" s="38" t="s">
        <v>40599</v>
      </c>
      <c r="D36528" s="38" t="str">
        <f>IFERROR(__xludf.DUMMYFUNCTION("REGEXREPLACE(C36528,""-\d+(.*)|--\d+(.*)"","""")"),"SAINT-ANDELAIN")</f>
        <v>SAINT-ANDELAIN</v>
      </c>
      <c r="E36528" s="38" t="s">
        <v>219</v>
      </c>
      <c r="F36528" s="38" t="s">
        <v>106</v>
      </c>
      <c r="G36528" s="49" t="str">
        <f t="shared" si="1"/>
        <v>58150</v>
      </c>
      <c r="H36528" s="49">
        <f t="shared" si="2"/>
        <v>58228</v>
      </c>
    </row>
    <row r="36529">
      <c r="A36529" s="48" t="s">
        <v>1008</v>
      </c>
      <c r="B36529" s="38">
        <v>2061.0</v>
      </c>
      <c r="C36529" s="38" t="s">
        <v>9247</v>
      </c>
      <c r="D36529" s="38" t="str">
        <f>IFERROR(__xludf.DUMMYFUNCTION("REGEXREPLACE(C36529,""-\d+(.*)|--\d+(.*)"","""")"),"BECQUIGNY")</f>
        <v>BECQUIGNY</v>
      </c>
      <c r="E36529" s="38" t="s">
        <v>191</v>
      </c>
      <c r="F36529" s="38" t="s">
        <v>113</v>
      </c>
      <c r="G36529" s="49" t="str">
        <f t="shared" si="1"/>
        <v>02110</v>
      </c>
      <c r="H36529" s="49" t="str">
        <f t="shared" si="2"/>
        <v>02061</v>
      </c>
    </row>
    <row r="36530">
      <c r="A36530" s="48" t="s">
        <v>7680</v>
      </c>
      <c r="B36530" s="38">
        <v>71516.0</v>
      </c>
      <c r="C36530" s="38" t="s">
        <v>40600</v>
      </c>
      <c r="D36530" s="38" t="str">
        <f>IFERROR(__xludf.DUMMYFUNCTION("REGEXREPLACE(C36530,""-\d+(.*)|--\d+(.*)"","""")"),"SERLEY")</f>
        <v>SERLEY</v>
      </c>
      <c r="E36530" s="38" t="s">
        <v>344</v>
      </c>
      <c r="F36530" s="38" t="s">
        <v>106</v>
      </c>
      <c r="G36530" s="49" t="str">
        <f t="shared" si="1"/>
        <v>71310</v>
      </c>
      <c r="H36530" s="49">
        <f t="shared" si="2"/>
        <v>71516</v>
      </c>
    </row>
    <row r="36531">
      <c r="A36531" s="48" t="s">
        <v>1186</v>
      </c>
      <c r="B36531" s="38">
        <v>16282.0</v>
      </c>
      <c r="C36531" s="38" t="s">
        <v>4674</v>
      </c>
      <c r="D36531" s="38" t="str">
        <f>IFERROR(__xludf.DUMMYFUNCTION("REGEXREPLACE(C36531,""-\d+(.*)|--\d+(.*)"","""")"),"LA ROCHETTE")</f>
        <v>LA ROCHETTE</v>
      </c>
      <c r="E36531" s="38" t="s">
        <v>429</v>
      </c>
      <c r="F36531" s="38" t="s">
        <v>338</v>
      </c>
      <c r="G36531" s="49" t="str">
        <f t="shared" si="1"/>
        <v>16110</v>
      </c>
      <c r="H36531" s="49">
        <f t="shared" si="2"/>
        <v>16282</v>
      </c>
    </row>
    <row r="36532">
      <c r="A36532" s="48" t="s">
        <v>1497</v>
      </c>
      <c r="B36532" s="38">
        <v>83151.0</v>
      </c>
      <c r="C36532" s="38" t="s">
        <v>40601</v>
      </c>
      <c r="D36532" s="38" t="str">
        <f>IFERROR(__xludf.DUMMYFUNCTION("REGEXREPLACE(C36532,""-\d+(.*)|--\d+(.*)"","""")"),"VINS-SUR-CARAMY")</f>
        <v>VINS-SUR-CARAMY</v>
      </c>
      <c r="E36532" s="38" t="s">
        <v>813</v>
      </c>
      <c r="F36532" s="38" t="s">
        <v>228</v>
      </c>
      <c r="G36532" s="49" t="str">
        <f t="shared" si="1"/>
        <v>83170</v>
      </c>
      <c r="H36532" s="49">
        <f t="shared" si="2"/>
        <v>83151</v>
      </c>
    </row>
    <row r="36533">
      <c r="A36533" s="48" t="s">
        <v>4328</v>
      </c>
      <c r="B36533" s="38">
        <v>70156.0</v>
      </c>
      <c r="C36533" s="38" t="s">
        <v>40602</v>
      </c>
      <c r="D36533" s="38" t="str">
        <f>IFERROR(__xludf.DUMMYFUNCTION("REGEXREPLACE(C36533,""-\d+(.*)|--\d+(.*)"","""")"),"CITEY")</f>
        <v>CITEY</v>
      </c>
      <c r="E36533" s="38" t="s">
        <v>956</v>
      </c>
      <c r="F36533" s="38" t="s">
        <v>214</v>
      </c>
      <c r="G36533" s="49" t="str">
        <f t="shared" si="1"/>
        <v>70700</v>
      </c>
      <c r="H36533" s="49">
        <f t="shared" si="2"/>
        <v>70156</v>
      </c>
    </row>
    <row r="36534">
      <c r="A36534" s="48" t="s">
        <v>522</v>
      </c>
      <c r="B36534" s="38">
        <v>39277.0</v>
      </c>
      <c r="C36534" s="38" t="s">
        <v>40603</v>
      </c>
      <c r="D36534" s="38" t="str">
        <f>IFERROR(__xludf.DUMMYFUNCTION("REGEXREPLACE(C36534,""-\d+(.*)|--\d+(.*)"","""")"),"LE LARDERET")</f>
        <v>LE LARDERET</v>
      </c>
      <c r="E36534" s="38" t="s">
        <v>400</v>
      </c>
      <c r="F36534" s="38" t="s">
        <v>214</v>
      </c>
      <c r="G36534" s="49" t="str">
        <f t="shared" si="1"/>
        <v>39300</v>
      </c>
      <c r="H36534" s="49">
        <f t="shared" si="2"/>
        <v>39277</v>
      </c>
    </row>
    <row r="36535">
      <c r="A36535" s="48" t="s">
        <v>1887</v>
      </c>
      <c r="B36535" s="38">
        <v>88456.0</v>
      </c>
      <c r="C36535" s="38" t="s">
        <v>40604</v>
      </c>
      <c r="D36535" s="38" t="str">
        <f>IFERROR(__xludf.DUMMYFUNCTION("REGEXREPLACE(C36535,""-\d+(.*)|--\d+(.*)"","""")"),"SEROCOURT")</f>
        <v>SEROCOURT</v>
      </c>
      <c r="E36535" s="38" t="s">
        <v>194</v>
      </c>
      <c r="F36535" s="38" t="s">
        <v>195</v>
      </c>
      <c r="G36535" s="49" t="str">
        <f t="shared" si="1"/>
        <v>88320</v>
      </c>
      <c r="H36535" s="49">
        <f t="shared" si="2"/>
        <v>88456</v>
      </c>
    </row>
    <row r="36536">
      <c r="A36536" s="48" t="s">
        <v>484</v>
      </c>
      <c r="B36536" s="38">
        <v>16202.0</v>
      </c>
      <c r="C36536" s="38" t="s">
        <v>40605</v>
      </c>
      <c r="D36536" s="38" t="str">
        <f>IFERROR(__xludf.DUMMYFUNCTION("REGEXREPLACE(C36536,""-\d+(.*)|--\d+(.*)"","""")"),"MAINXE")</f>
        <v>MAINXE</v>
      </c>
      <c r="E36536" s="38" t="s">
        <v>429</v>
      </c>
      <c r="F36536" s="38" t="s">
        <v>338</v>
      </c>
      <c r="G36536" s="49" t="str">
        <f t="shared" si="1"/>
        <v>16200</v>
      </c>
      <c r="H36536" s="49">
        <f t="shared" si="2"/>
        <v>16202</v>
      </c>
    </row>
    <row r="36537">
      <c r="A36537" s="48" t="s">
        <v>2338</v>
      </c>
      <c r="B36537" s="38">
        <v>8036.0</v>
      </c>
      <c r="C36537" s="38" t="s">
        <v>40606</v>
      </c>
      <c r="D36537" s="38" t="str">
        <f>IFERROR(__xludf.DUMMYFUNCTION("REGEXREPLACE(C36537,""-\d+(.*)|--\d+(.*)"","""")"),"AUTRY")</f>
        <v>AUTRY</v>
      </c>
      <c r="E36537" s="38" t="s">
        <v>327</v>
      </c>
      <c r="F36537" s="38" t="s">
        <v>130</v>
      </c>
      <c r="G36537" s="49" t="str">
        <f t="shared" si="1"/>
        <v>08250</v>
      </c>
      <c r="H36537" s="49" t="str">
        <f t="shared" si="2"/>
        <v>08036</v>
      </c>
    </row>
    <row r="36538">
      <c r="A36538" s="48" t="s">
        <v>4586</v>
      </c>
      <c r="B36538" s="38">
        <v>40027.0</v>
      </c>
      <c r="C36538" s="38" t="s">
        <v>40607</v>
      </c>
      <c r="D36538" s="38" t="str">
        <f>IFERROR(__xludf.DUMMYFUNCTION("REGEXREPLACE(C36538,""-\d+(.*)|--\d+(.*)"","""")"),"BASSERCLES")</f>
        <v>BASSERCLES</v>
      </c>
      <c r="E36538" s="38" t="s">
        <v>281</v>
      </c>
      <c r="F36538" s="38" t="s">
        <v>252</v>
      </c>
      <c r="G36538" s="49" t="str">
        <f t="shared" si="1"/>
        <v>40700</v>
      </c>
      <c r="H36538" s="49">
        <f t="shared" si="2"/>
        <v>40027</v>
      </c>
    </row>
    <row r="36539">
      <c r="A36539" s="48" t="s">
        <v>1457</v>
      </c>
      <c r="B36539" s="38">
        <v>13061.0</v>
      </c>
      <c r="C36539" s="38" t="s">
        <v>40608</v>
      </c>
      <c r="D36539" s="38" t="str">
        <f>IFERROR(__xludf.DUMMYFUNCTION("REGEXREPLACE(C36539,""-\d+(.*)|--\d+(.*)"","""")"),"SAINT-PIERRE-DE-MEZOARGUES")</f>
        <v>SAINT-PIERRE-DE-MEZOARGUES</v>
      </c>
      <c r="E36539" s="38" t="s">
        <v>980</v>
      </c>
      <c r="F36539" s="38" t="s">
        <v>228</v>
      </c>
      <c r="G36539" s="49" t="str">
        <f t="shared" si="1"/>
        <v>13150</v>
      </c>
      <c r="H36539" s="49">
        <f t="shared" si="2"/>
        <v>13061</v>
      </c>
    </row>
    <row r="36540">
      <c r="A36540" s="48" t="s">
        <v>2659</v>
      </c>
      <c r="B36540" s="38">
        <v>80661.0</v>
      </c>
      <c r="C36540" s="38" t="s">
        <v>40609</v>
      </c>
      <c r="D36540" s="38" t="str">
        <f>IFERROR(__xludf.DUMMYFUNCTION("REGEXREPLACE(C36540,""-\d+(.*)|--\d+(.*)"","""")"),"RAINNEVILLE")</f>
        <v>RAINNEVILLE</v>
      </c>
      <c r="E36540" s="38" t="s">
        <v>224</v>
      </c>
      <c r="F36540" s="38" t="s">
        <v>113</v>
      </c>
      <c r="G36540" s="49" t="str">
        <f t="shared" si="1"/>
        <v>80260</v>
      </c>
      <c r="H36540" s="49">
        <f t="shared" si="2"/>
        <v>80661</v>
      </c>
    </row>
    <row r="36541">
      <c r="A36541" s="48" t="s">
        <v>217</v>
      </c>
      <c r="B36541" s="38">
        <v>58218.0</v>
      </c>
      <c r="C36541" s="38" t="s">
        <v>40610</v>
      </c>
      <c r="D36541" s="38" t="str">
        <f>IFERROR(__xludf.DUMMYFUNCTION("REGEXREPLACE(C36541,""-\d+(.*)|--\d+(.*)"","""")"),"PREMERY")</f>
        <v>PREMERY</v>
      </c>
      <c r="E36541" s="38" t="s">
        <v>219</v>
      </c>
      <c r="F36541" s="38" t="s">
        <v>106</v>
      </c>
      <c r="G36541" s="49" t="str">
        <f t="shared" si="1"/>
        <v>58700</v>
      </c>
      <c r="H36541" s="49">
        <f t="shared" si="2"/>
        <v>58218</v>
      </c>
    </row>
    <row r="36542">
      <c r="A36542" s="48" t="s">
        <v>1864</v>
      </c>
      <c r="B36542" s="38">
        <v>70180.0</v>
      </c>
      <c r="C36542" s="38" t="s">
        <v>40611</v>
      </c>
      <c r="D36542" s="38" t="str">
        <f>IFERROR(__xludf.DUMMYFUNCTION("REGEXREPLACE(C36542,""-\d+(.*)|--\d+(.*)"","""")"),"COURCHATON")</f>
        <v>COURCHATON</v>
      </c>
      <c r="E36542" s="38" t="s">
        <v>956</v>
      </c>
      <c r="F36542" s="38" t="s">
        <v>214</v>
      </c>
      <c r="G36542" s="49" t="str">
        <f t="shared" si="1"/>
        <v>70110</v>
      </c>
      <c r="H36542" s="49">
        <f t="shared" si="2"/>
        <v>70180</v>
      </c>
    </row>
    <row r="36543">
      <c r="A36543" s="48" t="s">
        <v>1368</v>
      </c>
      <c r="B36543" s="38">
        <v>8410.0</v>
      </c>
      <c r="C36543" s="38" t="s">
        <v>40612</v>
      </c>
      <c r="D36543" s="38" t="str">
        <f>IFERROR(__xludf.DUMMYFUNCTION("REGEXREPLACE(C36543,""-\d+(.*)|--\d+(.*)"","""")"),"SEMIDE")</f>
        <v>SEMIDE</v>
      </c>
      <c r="E36543" s="38" t="s">
        <v>327</v>
      </c>
      <c r="F36543" s="38" t="s">
        <v>130</v>
      </c>
      <c r="G36543" s="49" t="str">
        <f t="shared" si="1"/>
        <v>08400</v>
      </c>
      <c r="H36543" s="49" t="str">
        <f t="shared" si="2"/>
        <v>08410</v>
      </c>
    </row>
    <row r="36544">
      <c r="A36544" s="48" t="s">
        <v>9905</v>
      </c>
      <c r="B36544" s="38">
        <v>65186.0</v>
      </c>
      <c r="C36544" s="38" t="s">
        <v>40613</v>
      </c>
      <c r="D36544" s="38" t="str">
        <f>IFERROR(__xludf.DUMMYFUNCTION("REGEXREPLACE(C36544,""-\d+(.*)|--\d+(.*)"","""")"),"GAUDENT")</f>
        <v>GAUDENT</v>
      </c>
      <c r="E36544" s="38" t="s">
        <v>200</v>
      </c>
      <c r="F36544" s="38" t="s">
        <v>94</v>
      </c>
      <c r="G36544" s="49" t="str">
        <f t="shared" si="1"/>
        <v>65370</v>
      </c>
      <c r="H36544" s="49">
        <f t="shared" si="2"/>
        <v>65186</v>
      </c>
    </row>
    <row r="36545">
      <c r="A36545" s="48" t="s">
        <v>5330</v>
      </c>
      <c r="B36545" s="38">
        <v>30270.0</v>
      </c>
      <c r="C36545" s="38" t="s">
        <v>40614</v>
      </c>
      <c r="D36545" s="38" t="str">
        <f>IFERROR(__xludf.DUMMYFUNCTION("REGEXREPLACE(C36545,""-\d+(.*)|--\d+(.*)"","""")"),"SAINT-JEAN-DU-PIN")</f>
        <v>SAINT-JEAN-DU-PIN</v>
      </c>
      <c r="E36545" s="38" t="s">
        <v>526</v>
      </c>
      <c r="F36545" s="38" t="s">
        <v>119</v>
      </c>
      <c r="G36545" s="49" t="str">
        <f t="shared" si="1"/>
        <v>30140</v>
      </c>
      <c r="H36545" s="49">
        <f t="shared" si="2"/>
        <v>30270</v>
      </c>
    </row>
    <row r="36546">
      <c r="A36546" s="48" t="s">
        <v>15222</v>
      </c>
      <c r="B36546" s="38">
        <v>56002.0</v>
      </c>
      <c r="C36546" s="38" t="s">
        <v>40615</v>
      </c>
      <c r="D36546" s="38" t="str">
        <f>IFERROR(__xludf.DUMMYFUNCTION("REGEXREPLACE(C36546,""-\d+(.*)|--\d+(.*)"","""")"),"AMBON")</f>
        <v>AMBON</v>
      </c>
      <c r="E36546" s="38" t="s">
        <v>173</v>
      </c>
      <c r="F36546" s="38" t="s">
        <v>90</v>
      </c>
      <c r="G36546" s="49" t="str">
        <f t="shared" si="1"/>
        <v>56190</v>
      </c>
      <c r="H36546" s="49">
        <f t="shared" si="2"/>
        <v>56002</v>
      </c>
    </row>
    <row r="36547">
      <c r="A36547" s="48" t="s">
        <v>715</v>
      </c>
      <c r="B36547" s="38">
        <v>88488.0</v>
      </c>
      <c r="C36547" s="38" t="s">
        <v>40616</v>
      </c>
      <c r="D36547" s="38" t="str">
        <f>IFERROR(__xludf.DUMMYFUNCTION("REGEXREPLACE(C36547,""-\d+(.*)|--\d+(.*)"","""")"),"VALFROICOURT")</f>
        <v>VALFROICOURT</v>
      </c>
      <c r="E36547" s="38" t="s">
        <v>194</v>
      </c>
      <c r="F36547" s="38" t="s">
        <v>195</v>
      </c>
      <c r="G36547" s="49" t="str">
        <f t="shared" si="1"/>
        <v>88270</v>
      </c>
      <c r="H36547" s="49">
        <f t="shared" si="2"/>
        <v>88488</v>
      </c>
    </row>
    <row r="36548">
      <c r="A36548" s="48" t="s">
        <v>8003</v>
      </c>
      <c r="B36548" s="38">
        <v>86233.0</v>
      </c>
      <c r="C36548" s="38" t="s">
        <v>40617</v>
      </c>
      <c r="D36548" s="38" t="str">
        <f>IFERROR(__xludf.DUMMYFUNCTION("REGEXREPLACE(C36548,""-\d+(.*)|--\d+(.*)"","""")"),"VALDIVIENNE")</f>
        <v>VALDIVIENNE</v>
      </c>
      <c r="E36548" s="38" t="s">
        <v>529</v>
      </c>
      <c r="F36548" s="38" t="s">
        <v>338</v>
      </c>
      <c r="G36548" s="49" t="str">
        <f t="shared" si="1"/>
        <v>86300</v>
      </c>
      <c r="H36548" s="49">
        <f t="shared" si="2"/>
        <v>86233</v>
      </c>
    </row>
    <row r="36549">
      <c r="A36549" s="48" t="s">
        <v>8343</v>
      </c>
      <c r="B36549" s="38">
        <v>86019.0</v>
      </c>
      <c r="C36549" s="38" t="s">
        <v>2319</v>
      </c>
      <c r="D36549" s="38" t="str">
        <f>IFERROR(__xludf.DUMMYFUNCTION("REGEXREPLACE(C36549,""-\d+(.*)|--\d+(.*)"","""")"),"BEAUMONT")</f>
        <v>BEAUMONT</v>
      </c>
      <c r="E36549" s="38" t="s">
        <v>529</v>
      </c>
      <c r="F36549" s="38" t="s">
        <v>338</v>
      </c>
      <c r="G36549" s="49" t="str">
        <f t="shared" si="1"/>
        <v>86490</v>
      </c>
      <c r="H36549" s="49">
        <f t="shared" si="2"/>
        <v>86019</v>
      </c>
    </row>
    <row r="36550">
      <c r="A36550" s="48" t="s">
        <v>15578</v>
      </c>
      <c r="B36550" s="38">
        <v>64558.0</v>
      </c>
      <c r="C36550" s="38" t="s">
        <v>5505</v>
      </c>
      <c r="D36550" s="38" t="str">
        <f>IFERROR(__xludf.DUMMYFUNCTION("REGEXREPLACE(C36550,""-\d+(.*)|--\d+(.*)"","""")"),"VILLEFRANQUE")</f>
        <v>VILLEFRANQUE</v>
      </c>
      <c r="E36550" s="38" t="s">
        <v>268</v>
      </c>
      <c r="F36550" s="38" t="s">
        <v>252</v>
      </c>
      <c r="G36550" s="49" t="str">
        <f t="shared" si="1"/>
        <v>64990</v>
      </c>
      <c r="H36550" s="49">
        <f t="shared" si="2"/>
        <v>64558</v>
      </c>
    </row>
    <row r="36551">
      <c r="A36551" s="48" t="s">
        <v>3718</v>
      </c>
      <c r="B36551" s="38">
        <v>62115.0</v>
      </c>
      <c r="C36551" s="38" t="s">
        <v>40618</v>
      </c>
      <c r="D36551" s="38" t="str">
        <f>IFERROR(__xludf.DUMMYFUNCTION("REGEXREPLACE(C36551,""-\d+(.*)|--\d+(.*)"","""")"),"BERNEVILLE")</f>
        <v>BERNEVILLE</v>
      </c>
      <c r="E36551" s="38" t="s">
        <v>109</v>
      </c>
      <c r="F36551" s="38" t="s">
        <v>86</v>
      </c>
      <c r="G36551" s="49" t="str">
        <f t="shared" si="1"/>
        <v>62123</v>
      </c>
      <c r="H36551" s="49">
        <f t="shared" si="2"/>
        <v>62115</v>
      </c>
    </row>
    <row r="36552">
      <c r="A36552" s="48" t="s">
        <v>1802</v>
      </c>
      <c r="B36552" s="38">
        <v>53159.0</v>
      </c>
      <c r="C36552" s="38" t="s">
        <v>40619</v>
      </c>
      <c r="D36552" s="38" t="str">
        <f>IFERROR(__xludf.DUMMYFUNCTION("REGEXREPLACE(C36552,""-\d+(.*)|--\d+(.*)"","""")"),"MONTOURTIER")</f>
        <v>MONTOURTIER</v>
      </c>
      <c r="E36552" s="38" t="s">
        <v>518</v>
      </c>
      <c r="F36552" s="38" t="s">
        <v>180</v>
      </c>
      <c r="G36552" s="49" t="str">
        <f t="shared" si="1"/>
        <v>53150</v>
      </c>
      <c r="H36552" s="49">
        <f t="shared" si="2"/>
        <v>53159</v>
      </c>
    </row>
    <row r="36553">
      <c r="A36553" s="48" t="s">
        <v>6487</v>
      </c>
      <c r="B36553" s="38">
        <v>1206.0</v>
      </c>
      <c r="C36553" s="38" t="s">
        <v>20800</v>
      </c>
      <c r="D36553" s="38" t="str">
        <f>IFERROR(__xludf.DUMMYFUNCTION("REGEXREPLACE(C36553,""-\d+(.*)|--\d+(.*)"","""")"),"LANTENAY")</f>
        <v>LANTENAY</v>
      </c>
      <c r="E36553" s="38" t="s">
        <v>255</v>
      </c>
      <c r="F36553" s="38" t="s">
        <v>102</v>
      </c>
      <c r="G36553" s="49" t="str">
        <f t="shared" si="1"/>
        <v>01430</v>
      </c>
      <c r="H36553" s="49" t="str">
        <f t="shared" si="2"/>
        <v>01206</v>
      </c>
    </row>
    <row r="36554">
      <c r="A36554" s="48" t="s">
        <v>1400</v>
      </c>
      <c r="B36554" s="38">
        <v>21062.0</v>
      </c>
      <c r="C36554" s="38" t="s">
        <v>40620</v>
      </c>
      <c r="D36554" s="38" t="str">
        <f>IFERROR(__xludf.DUMMYFUNCTION("REGEXREPLACE(C36554,""-\d+(.*)|--\d+(.*)"","""")"),"BELLENOT-SOUS-POUILLY")</f>
        <v>BELLENOT-SOUS-POUILLY</v>
      </c>
      <c r="E36554" s="38" t="s">
        <v>105</v>
      </c>
      <c r="F36554" s="38" t="s">
        <v>106</v>
      </c>
      <c r="G36554" s="49" t="str">
        <f t="shared" si="1"/>
        <v>21320</v>
      </c>
      <c r="H36554" s="49">
        <f t="shared" si="2"/>
        <v>21062</v>
      </c>
    </row>
    <row r="36555">
      <c r="A36555" s="48" t="s">
        <v>2316</v>
      </c>
      <c r="B36555" s="38">
        <v>25602.0</v>
      </c>
      <c r="C36555" s="38" t="s">
        <v>40621</v>
      </c>
      <c r="D36555" s="38" t="str">
        <f>IFERROR(__xludf.DUMMYFUNCTION("REGEXREPLACE(C36555,""-\d+(.*)|--\d+(.*)"","""")"),"VERGRANNE")</f>
        <v>VERGRANNE</v>
      </c>
      <c r="E36555" s="38" t="s">
        <v>213</v>
      </c>
      <c r="F36555" s="38" t="s">
        <v>214</v>
      </c>
      <c r="G36555" s="49" t="str">
        <f t="shared" si="1"/>
        <v>25110</v>
      </c>
      <c r="H36555" s="49">
        <f t="shared" si="2"/>
        <v>25602</v>
      </c>
    </row>
    <row r="36556">
      <c r="A36556" s="48" t="s">
        <v>25015</v>
      </c>
      <c r="B36556" s="38">
        <v>80271.0</v>
      </c>
      <c r="C36556" s="38" t="s">
        <v>40622</v>
      </c>
      <c r="D36556" s="38" t="str">
        <f>IFERROR(__xludf.DUMMYFUNCTION("REGEXREPLACE(C36556,""-\d+(.*)|--\d+(.*)"","""")"),"EPEHY")</f>
        <v>EPEHY</v>
      </c>
      <c r="E36556" s="38" t="s">
        <v>224</v>
      </c>
      <c r="F36556" s="38" t="s">
        <v>113</v>
      </c>
      <c r="G36556" s="49" t="str">
        <f t="shared" si="1"/>
        <v>80740</v>
      </c>
      <c r="H36556" s="49">
        <f t="shared" si="2"/>
        <v>80271</v>
      </c>
    </row>
    <row r="36557">
      <c r="A36557" s="48" t="s">
        <v>7680</v>
      </c>
      <c r="B36557" s="38">
        <v>71121.0</v>
      </c>
      <c r="C36557" s="38" t="s">
        <v>26015</v>
      </c>
      <c r="D36557" s="38" t="str">
        <f>IFERROR(__xludf.DUMMYFUNCTION("REGEXREPLACE(C36557,""-\d+(.*)|--\d+(.*)"","""")"),"LA CHAUX")</f>
        <v>LA CHAUX</v>
      </c>
      <c r="E36557" s="38" t="s">
        <v>344</v>
      </c>
      <c r="F36557" s="38" t="s">
        <v>106</v>
      </c>
      <c r="G36557" s="49" t="str">
        <f t="shared" si="1"/>
        <v>71310</v>
      </c>
      <c r="H36557" s="49">
        <f t="shared" si="2"/>
        <v>71121</v>
      </c>
    </row>
    <row r="36558">
      <c r="A36558" s="48" t="s">
        <v>7622</v>
      </c>
      <c r="B36558" s="38">
        <v>10104.0</v>
      </c>
      <c r="C36558" s="38" t="s">
        <v>40623</v>
      </c>
      <c r="D36558" s="38" t="str">
        <f>IFERROR(__xludf.DUMMYFUNCTION("REGEXREPLACE(C36558,""-\d+(.*)|--\d+(.*)"","""")"),"CORMOST")</f>
        <v>CORMOST</v>
      </c>
      <c r="E36558" s="38" t="s">
        <v>147</v>
      </c>
      <c r="F36558" s="38" t="s">
        <v>130</v>
      </c>
      <c r="G36558" s="49" t="str">
        <f t="shared" si="1"/>
        <v>10800</v>
      </c>
      <c r="H36558" s="49">
        <f t="shared" si="2"/>
        <v>10104</v>
      </c>
    </row>
    <row r="36559">
      <c r="A36559" s="48" t="s">
        <v>674</v>
      </c>
      <c r="B36559" s="38">
        <v>49049.0</v>
      </c>
      <c r="C36559" s="38" t="s">
        <v>17120</v>
      </c>
      <c r="D36559" s="38" t="str">
        <f>IFERROR(__xludf.DUMMYFUNCTION("REGEXREPLACE(C36559,""-\d+(.*)|--\d+(.*)"","""")"),"BRION")</f>
        <v>BRION</v>
      </c>
      <c r="E36559" s="38" t="s">
        <v>653</v>
      </c>
      <c r="F36559" s="38" t="s">
        <v>180</v>
      </c>
      <c r="G36559" s="49" t="str">
        <f t="shared" si="1"/>
        <v>49250</v>
      </c>
      <c r="H36559" s="49">
        <f t="shared" si="2"/>
        <v>49049</v>
      </c>
    </row>
    <row r="36560">
      <c r="A36560" s="48" t="s">
        <v>962</v>
      </c>
      <c r="B36560" s="38">
        <v>24581.0</v>
      </c>
      <c r="C36560" s="38" t="s">
        <v>40624</v>
      </c>
      <c r="D36560" s="38" t="str">
        <f>IFERROR(__xludf.DUMMYFUNCTION("REGEXREPLACE(C36560,""-\d+(.*)|--\d+(.*)"","""")"),"VILLAMBLARD")</f>
        <v>VILLAMBLARD</v>
      </c>
      <c r="E36560" s="38" t="s">
        <v>261</v>
      </c>
      <c r="F36560" s="38" t="s">
        <v>252</v>
      </c>
      <c r="G36560" s="49" t="str">
        <f t="shared" si="1"/>
        <v>24140</v>
      </c>
      <c r="H36560" s="49">
        <f t="shared" si="2"/>
        <v>24581</v>
      </c>
    </row>
    <row r="36561">
      <c r="A36561" s="48" t="s">
        <v>5230</v>
      </c>
      <c r="B36561" s="38">
        <v>25232.0</v>
      </c>
      <c r="C36561" s="38" t="s">
        <v>40625</v>
      </c>
      <c r="D36561" s="38" t="str">
        <f>IFERROR(__xludf.DUMMYFUNCTION("REGEXREPLACE(C36561,""-\d+(.*)|--\d+(.*)"","""")"),"FAIMBE")</f>
        <v>FAIMBE</v>
      </c>
      <c r="E36561" s="38" t="s">
        <v>213</v>
      </c>
      <c r="F36561" s="38" t="s">
        <v>214</v>
      </c>
      <c r="G36561" s="49" t="str">
        <f t="shared" si="1"/>
        <v>25250</v>
      </c>
      <c r="H36561" s="49">
        <f t="shared" si="2"/>
        <v>25232</v>
      </c>
    </row>
    <row r="36562">
      <c r="A36562" s="48" t="s">
        <v>918</v>
      </c>
      <c r="B36562" s="38">
        <v>59262.0</v>
      </c>
      <c r="C36562" s="38" t="s">
        <v>40626</v>
      </c>
      <c r="D36562" s="38" t="str">
        <f>IFERROR(__xludf.DUMMYFUNCTION("REGEXREPLACE(C36562,""-\d+(.*)|--\d+(.*)"","""")"),"GODEWAERSVELDE")</f>
        <v>GODEWAERSVELDE</v>
      </c>
      <c r="E36562" s="38" t="s">
        <v>85</v>
      </c>
      <c r="F36562" s="38" t="s">
        <v>86</v>
      </c>
      <c r="G36562" s="49" t="str">
        <f t="shared" si="1"/>
        <v>59270</v>
      </c>
      <c r="H36562" s="49">
        <f t="shared" si="2"/>
        <v>59262</v>
      </c>
    </row>
    <row r="36563">
      <c r="A36563" s="48" t="s">
        <v>1646</v>
      </c>
      <c r="B36563" s="38">
        <v>24480.0</v>
      </c>
      <c r="C36563" s="38" t="s">
        <v>40627</v>
      </c>
      <c r="D36563" s="38" t="str">
        <f>IFERROR(__xludf.DUMMYFUNCTION("REGEXREPLACE(C36563,""-\d+(.*)|--\d+(.*)"","""")"),"SAINT-PAUL-DE-SERRE")</f>
        <v>SAINT-PAUL-DE-SERRE</v>
      </c>
      <c r="E36563" s="38" t="s">
        <v>261</v>
      </c>
      <c r="F36563" s="38" t="s">
        <v>252</v>
      </c>
      <c r="G36563" s="49" t="str">
        <f t="shared" si="1"/>
        <v>24380</v>
      </c>
      <c r="H36563" s="49">
        <f t="shared" si="2"/>
        <v>24480</v>
      </c>
    </row>
    <row r="36564">
      <c r="A36564" s="48" t="s">
        <v>13750</v>
      </c>
      <c r="B36564" s="38">
        <v>79007.0</v>
      </c>
      <c r="C36564" s="38" t="s">
        <v>27613</v>
      </c>
      <c r="D36564" s="38" t="str">
        <f>IFERROR(__xludf.DUMMYFUNCTION("REGEXREPLACE(C36564,""-\d+(.*)|--\d+(.*)"","""")"),"ALLONNE")</f>
        <v>ALLONNE</v>
      </c>
      <c r="E36564" s="38" t="s">
        <v>337</v>
      </c>
      <c r="F36564" s="38" t="s">
        <v>338</v>
      </c>
      <c r="G36564" s="49" t="str">
        <f t="shared" si="1"/>
        <v>79130</v>
      </c>
      <c r="H36564" s="49">
        <f t="shared" si="2"/>
        <v>79007</v>
      </c>
    </row>
    <row r="36565">
      <c r="A36565" s="48" t="s">
        <v>1864</v>
      </c>
      <c r="B36565" s="38">
        <v>70317.0</v>
      </c>
      <c r="C36565" s="38" t="s">
        <v>40628</v>
      </c>
      <c r="D36565" s="38" t="str">
        <f>IFERROR(__xludf.DUMMYFUNCTION("REGEXREPLACE(C36565,""-\d+(.*)|--\d+(.*)"","""")"),"LES MAGNY")</f>
        <v>LES MAGNY</v>
      </c>
      <c r="E36565" s="38" t="s">
        <v>956</v>
      </c>
      <c r="F36565" s="38" t="s">
        <v>214</v>
      </c>
      <c r="G36565" s="49" t="str">
        <f t="shared" si="1"/>
        <v>70110</v>
      </c>
      <c r="H36565" s="49">
        <f t="shared" si="2"/>
        <v>70317</v>
      </c>
    </row>
    <row r="36566">
      <c r="A36566" s="48" t="s">
        <v>348</v>
      </c>
      <c r="B36566" s="38">
        <v>69183.0</v>
      </c>
      <c r="C36566" s="38" t="s">
        <v>40629</v>
      </c>
      <c r="D36566" s="38" t="str">
        <f>IFERROR(__xludf.DUMMYFUNCTION("REGEXREPLACE(C36566,""-\d+(.*)|--\d+(.*)"","""")"),"SAINT-BONNET-LE-TRONCY")</f>
        <v>SAINT-BONNET-LE-TRONCY</v>
      </c>
      <c r="E36566" s="38" t="s">
        <v>350</v>
      </c>
      <c r="F36566" s="38" t="s">
        <v>102</v>
      </c>
      <c r="G36566" s="49" t="str">
        <f t="shared" si="1"/>
        <v>69870</v>
      </c>
      <c r="H36566" s="49">
        <f t="shared" si="2"/>
        <v>69183</v>
      </c>
    </row>
    <row r="36567">
      <c r="A36567" s="48" t="s">
        <v>4851</v>
      </c>
      <c r="B36567" s="38">
        <v>33473.0</v>
      </c>
      <c r="C36567" s="38" t="s">
        <v>1869</v>
      </c>
      <c r="D36567" s="38" t="str">
        <f>IFERROR(__xludf.DUMMYFUNCTION("REGEXREPLACE(C36567,""-\d+(.*)|--\d+(.*)"","""")"),"SAINT-SAVIN")</f>
        <v>SAINT-SAVIN</v>
      </c>
      <c r="E36567" s="38" t="s">
        <v>462</v>
      </c>
      <c r="F36567" s="38" t="s">
        <v>252</v>
      </c>
      <c r="G36567" s="49" t="str">
        <f t="shared" si="1"/>
        <v>33920</v>
      </c>
      <c r="H36567" s="49">
        <f t="shared" si="2"/>
        <v>33473</v>
      </c>
    </row>
    <row r="36568">
      <c r="A36568" s="48" t="s">
        <v>9430</v>
      </c>
      <c r="B36568" s="38">
        <v>24018.0</v>
      </c>
      <c r="C36568" s="38" t="s">
        <v>40630</v>
      </c>
      <c r="D36568" s="38" t="str">
        <f>IFERROR(__xludf.DUMMYFUNCTION("REGEXREPLACE(C36568,""-\d+(.*)|--\d+(.*)"","""")"),"AURIAC-DU-PERIGORD")</f>
        <v>AURIAC-DU-PERIGORD</v>
      </c>
      <c r="E36568" s="38" t="s">
        <v>261</v>
      </c>
      <c r="F36568" s="38" t="s">
        <v>252</v>
      </c>
      <c r="G36568" s="49" t="str">
        <f t="shared" si="1"/>
        <v>24290</v>
      </c>
      <c r="H36568" s="49">
        <f t="shared" si="2"/>
        <v>24018</v>
      </c>
    </row>
    <row r="36569">
      <c r="A36569" s="48" t="s">
        <v>3368</v>
      </c>
      <c r="B36569" s="38">
        <v>61461.0</v>
      </c>
      <c r="C36569" s="38" t="s">
        <v>40631</v>
      </c>
      <c r="D36569" s="38" t="str">
        <f>IFERROR(__xludf.DUMMYFUNCTION("REGEXREPLACE(C36569,""-\d+(.*)|--\d+(.*)"","""")"),"LE SAP-ANDRE")</f>
        <v>LE SAP-ANDRE</v>
      </c>
      <c r="E36569" s="38" t="s">
        <v>141</v>
      </c>
      <c r="F36569" s="38" t="s">
        <v>138</v>
      </c>
      <c r="G36569" s="49" t="str">
        <f t="shared" si="1"/>
        <v>61230</v>
      </c>
      <c r="H36569" s="49">
        <f t="shared" si="2"/>
        <v>61461</v>
      </c>
    </row>
    <row r="36570">
      <c r="A36570" s="48" t="s">
        <v>2004</v>
      </c>
      <c r="B36570" s="38">
        <v>88183.0</v>
      </c>
      <c r="C36570" s="38" t="s">
        <v>40632</v>
      </c>
      <c r="D36570" s="38" t="str">
        <f>IFERROR(__xludf.DUMMYFUNCTION("REGEXREPLACE(C36570,""-\d+(.*)|--\d+(.*)"","""")"),"FREBECOURT")</f>
        <v>FREBECOURT</v>
      </c>
      <c r="E36570" s="38" t="s">
        <v>194</v>
      </c>
      <c r="F36570" s="38" t="s">
        <v>195</v>
      </c>
      <c r="G36570" s="49" t="str">
        <f t="shared" si="1"/>
        <v>88630</v>
      </c>
      <c r="H36570" s="49">
        <f t="shared" si="2"/>
        <v>88183</v>
      </c>
    </row>
    <row r="36571">
      <c r="A36571" s="48" t="s">
        <v>6651</v>
      </c>
      <c r="B36571" s="38">
        <v>31026.0</v>
      </c>
      <c r="C36571" s="38" t="s">
        <v>40633</v>
      </c>
      <c r="D36571" s="38" t="str">
        <f>IFERROR(__xludf.DUMMYFUNCTION("REGEXREPLACE(C36571,""-\d+(.*)|--\d+(.*)"","""")"),"AURIAC-SUR-VENDINELLE")</f>
        <v>AURIAC-SUR-VENDINELLE</v>
      </c>
      <c r="E36571" s="38" t="s">
        <v>93</v>
      </c>
      <c r="F36571" s="38" t="s">
        <v>94</v>
      </c>
      <c r="G36571" s="49" t="str">
        <f t="shared" si="1"/>
        <v>31460</v>
      </c>
      <c r="H36571" s="49">
        <f t="shared" si="2"/>
        <v>31026</v>
      </c>
    </row>
    <row r="36572">
      <c r="A36572" s="48" t="s">
        <v>970</v>
      </c>
      <c r="B36572" s="38">
        <v>2535.0</v>
      </c>
      <c r="C36572" s="38" t="s">
        <v>40634</v>
      </c>
      <c r="D36572" s="38" t="str">
        <f>IFERROR(__xludf.DUMMYFUNCTION("REGEXREPLACE(C36572,""-\d+(.*)|--\d+(.*)"","""")"),"NAMPCELLES-LA-COUR")</f>
        <v>NAMPCELLES-LA-COUR</v>
      </c>
      <c r="E36572" s="38" t="s">
        <v>191</v>
      </c>
      <c r="F36572" s="38" t="s">
        <v>113</v>
      </c>
      <c r="G36572" s="49" t="str">
        <f t="shared" si="1"/>
        <v>02140</v>
      </c>
      <c r="H36572" s="49" t="str">
        <f t="shared" si="2"/>
        <v>02535</v>
      </c>
    </row>
    <row r="36573">
      <c r="A36573" s="48" t="s">
        <v>12834</v>
      </c>
      <c r="B36573" s="38">
        <v>73127.0</v>
      </c>
      <c r="C36573" s="38" t="s">
        <v>40635</v>
      </c>
      <c r="D36573" s="38" t="str">
        <f>IFERROR(__xludf.DUMMYFUNCTION("REGEXREPLACE(C36573,""-\d+(.*)|--\d+(.*)"","""")"),"GRESIN")</f>
        <v>GRESIN</v>
      </c>
      <c r="E36573" s="38" t="s">
        <v>306</v>
      </c>
      <c r="F36573" s="38" t="s">
        <v>102</v>
      </c>
      <c r="G36573" s="49" t="str">
        <f t="shared" si="1"/>
        <v>73240</v>
      </c>
      <c r="H36573" s="49">
        <f t="shared" si="2"/>
        <v>73127</v>
      </c>
    </row>
    <row r="36574">
      <c r="A36574" s="48" t="s">
        <v>15544</v>
      </c>
      <c r="B36574" s="38">
        <v>88068.0</v>
      </c>
      <c r="C36574" s="38" t="s">
        <v>40636</v>
      </c>
      <c r="D36574" s="38" t="str">
        <f>IFERROR(__xludf.DUMMYFUNCTION("REGEXREPLACE(C36574,""-\d+(.*)|--\d+(.*)"","""")"),"LA BOURGONCE")</f>
        <v>LA BOURGONCE</v>
      </c>
      <c r="E36574" s="38" t="s">
        <v>194</v>
      </c>
      <c r="F36574" s="38" t="s">
        <v>195</v>
      </c>
      <c r="G36574" s="49" t="str">
        <f t="shared" si="1"/>
        <v>88470</v>
      </c>
      <c r="H36574" s="49">
        <f t="shared" si="2"/>
        <v>88068</v>
      </c>
    </row>
    <row r="36575">
      <c r="A36575" s="48" t="s">
        <v>5460</v>
      </c>
      <c r="B36575" s="38">
        <v>60651.0</v>
      </c>
      <c r="C36575" s="38" t="s">
        <v>40637</v>
      </c>
      <c r="D36575" s="38" t="str">
        <f>IFERROR(__xludf.DUMMYFUNCTION("REGEXREPLACE(C36575,""-\d+(.*)|--\d+(.*)"","""")"),"ULLY-SAINT-GEORGES")</f>
        <v>ULLY-SAINT-GEORGES</v>
      </c>
      <c r="E36575" s="38" t="s">
        <v>112</v>
      </c>
      <c r="F36575" s="38" t="s">
        <v>113</v>
      </c>
      <c r="G36575" s="49" t="str">
        <f t="shared" si="1"/>
        <v>60730</v>
      </c>
      <c r="H36575" s="49">
        <f t="shared" si="2"/>
        <v>60651</v>
      </c>
    </row>
    <row r="36576">
      <c r="A36576" s="48" t="s">
        <v>1605</v>
      </c>
      <c r="B36576" s="38">
        <v>17303.0</v>
      </c>
      <c r="C36576" s="38" t="s">
        <v>40638</v>
      </c>
      <c r="D36576" s="38" t="str">
        <f>IFERROR(__xludf.DUMMYFUNCTION("REGEXREPLACE(C36576,""-\d+(.*)|--\d+(.*)"","""")"),"LA RONDE")</f>
        <v>LA RONDE</v>
      </c>
      <c r="E36576" s="38" t="s">
        <v>488</v>
      </c>
      <c r="F36576" s="38" t="s">
        <v>338</v>
      </c>
      <c r="G36576" s="49" t="str">
        <f t="shared" si="1"/>
        <v>17170</v>
      </c>
      <c r="H36576" s="49">
        <f t="shared" si="2"/>
        <v>17303</v>
      </c>
    </row>
    <row r="36577">
      <c r="A36577" s="48" t="s">
        <v>1491</v>
      </c>
      <c r="B36577" s="38">
        <v>70345.0</v>
      </c>
      <c r="C36577" s="38" t="s">
        <v>40639</v>
      </c>
      <c r="D36577" s="38" t="str">
        <f>IFERROR(__xludf.DUMMYFUNCTION("REGEXREPLACE(C36577,""-\d+(.*)|--\d+(.*)"","""")"),"MIELLIN")</f>
        <v>MIELLIN</v>
      </c>
      <c r="E36577" s="38" t="s">
        <v>956</v>
      </c>
      <c r="F36577" s="38" t="s">
        <v>214</v>
      </c>
      <c r="G36577" s="49" t="str">
        <f t="shared" si="1"/>
        <v>70440</v>
      </c>
      <c r="H36577" s="49">
        <f t="shared" si="2"/>
        <v>70345</v>
      </c>
    </row>
    <row r="36578">
      <c r="A36578" s="48" t="s">
        <v>713</v>
      </c>
      <c r="B36578" s="38">
        <v>82117.0</v>
      </c>
      <c r="C36578" s="38" t="s">
        <v>40640</v>
      </c>
      <c r="D36578" s="38" t="str">
        <f>IFERROR(__xludf.DUMMYFUNCTION("REGEXREPLACE(C36578,""-\d+(.*)|--\d+(.*)"","""")"),"MONTAIGU-DE-QUERCY")</f>
        <v>MONTAIGU-DE-QUERCY</v>
      </c>
      <c r="E36578" s="38" t="s">
        <v>570</v>
      </c>
      <c r="F36578" s="38" t="s">
        <v>94</v>
      </c>
      <c r="G36578" s="49" t="str">
        <f t="shared" si="1"/>
        <v>82150</v>
      </c>
      <c r="H36578" s="49">
        <f t="shared" si="2"/>
        <v>82117</v>
      </c>
    </row>
    <row r="36579">
      <c r="A36579" s="48" t="s">
        <v>8267</v>
      </c>
      <c r="B36579" s="38">
        <v>22178.0</v>
      </c>
      <c r="C36579" s="38" t="s">
        <v>40641</v>
      </c>
      <c r="D36579" s="38" t="str">
        <f>IFERROR(__xludf.DUMMYFUNCTION("REGEXREPLACE(C36579,""-\d+(.*)|--\d+(.*)"","""")"),"PLEHEDEL")</f>
        <v>PLEHEDEL</v>
      </c>
      <c r="E36579" s="38" t="s">
        <v>89</v>
      </c>
      <c r="F36579" s="38" t="s">
        <v>90</v>
      </c>
      <c r="G36579" s="49" t="str">
        <f t="shared" si="1"/>
        <v>22290</v>
      </c>
      <c r="H36579" s="49">
        <f t="shared" si="2"/>
        <v>22178</v>
      </c>
    </row>
    <row r="36580">
      <c r="A36580" s="48" t="s">
        <v>4145</v>
      </c>
      <c r="B36580" s="38">
        <v>46065.0</v>
      </c>
      <c r="C36580" s="38" t="s">
        <v>40642</v>
      </c>
      <c r="D36580" s="38" t="str">
        <f>IFERROR(__xludf.DUMMYFUNCTION("REGEXREPLACE(C36580,""-\d+(.*)|--\d+(.*)"","""")"),"CAVAGNAC")</f>
        <v>CAVAGNAC</v>
      </c>
      <c r="E36580" s="38" t="s">
        <v>185</v>
      </c>
      <c r="F36580" s="38" t="s">
        <v>94</v>
      </c>
      <c r="G36580" s="49" t="str">
        <f t="shared" si="1"/>
        <v>46110</v>
      </c>
      <c r="H36580" s="49">
        <f t="shared" si="2"/>
        <v>46065</v>
      </c>
    </row>
    <row r="36581">
      <c r="A36581" s="48" t="s">
        <v>5650</v>
      </c>
      <c r="B36581" s="38">
        <v>1357.0</v>
      </c>
      <c r="C36581" s="38" t="s">
        <v>40643</v>
      </c>
      <c r="D36581" s="38" t="str">
        <f>IFERROR(__xludf.DUMMYFUNCTION("REGEXREPLACE(C36581,""-\d+(.*)|--\d+(.*)"","""")"),"SAINT-GERMAIN-DE-JOUX")</f>
        <v>SAINT-GERMAIN-DE-JOUX</v>
      </c>
      <c r="E36581" s="38" t="s">
        <v>255</v>
      </c>
      <c r="F36581" s="38" t="s">
        <v>102</v>
      </c>
      <c r="G36581" s="49" t="str">
        <f t="shared" si="1"/>
        <v>01130</v>
      </c>
      <c r="H36581" s="49" t="str">
        <f t="shared" si="2"/>
        <v>01357</v>
      </c>
    </row>
    <row r="36582">
      <c r="A36582" s="48" t="s">
        <v>36475</v>
      </c>
      <c r="B36582" s="38">
        <v>68286.0</v>
      </c>
      <c r="C36582" s="38" t="s">
        <v>40644</v>
      </c>
      <c r="D36582" s="38" t="str">
        <f>IFERROR(__xludf.DUMMYFUNCTION("REGEXREPLACE(C36582,""-\d+(.*)|--\d+(.*)"","""")"),"ROSENAU")</f>
        <v>ROSENAU</v>
      </c>
      <c r="E36582" s="38" t="s">
        <v>150</v>
      </c>
      <c r="F36582" s="38" t="s">
        <v>151</v>
      </c>
      <c r="G36582" s="49" t="str">
        <f t="shared" si="1"/>
        <v>68128</v>
      </c>
      <c r="H36582" s="49">
        <f t="shared" si="2"/>
        <v>68286</v>
      </c>
    </row>
    <row r="36583">
      <c r="A36583" s="48" t="s">
        <v>826</v>
      </c>
      <c r="B36583" s="38">
        <v>21173.0</v>
      </c>
      <c r="C36583" s="38" t="s">
        <v>40645</v>
      </c>
      <c r="D36583" s="38" t="str">
        <f>IFERROR(__xludf.DUMMYFUNCTION("REGEXREPLACE(C36583,""-\d+(.*)|--\d+(.*)"","""")"),"CHOREY-LES-BEAUNE")</f>
        <v>CHOREY-LES-BEAUNE</v>
      </c>
      <c r="E36583" s="38" t="s">
        <v>105</v>
      </c>
      <c r="F36583" s="38" t="s">
        <v>106</v>
      </c>
      <c r="G36583" s="49" t="str">
        <f t="shared" si="1"/>
        <v>21200</v>
      </c>
      <c r="H36583" s="49">
        <f t="shared" si="2"/>
        <v>21173</v>
      </c>
    </row>
    <row r="36584">
      <c r="A36584" s="48" t="s">
        <v>23139</v>
      </c>
      <c r="B36584" s="38" t="s">
        <v>40646</v>
      </c>
      <c r="C36584" s="38" t="s">
        <v>40647</v>
      </c>
      <c r="D36584" s="38" t="str">
        <f>IFERROR(__xludf.DUMMYFUNCTION("REGEXREPLACE(C36584,""-\d+(.*)|--\d+(.*)"","""")"),"SARI-D'ORCINO")</f>
        <v>SARI-D'ORCINO</v>
      </c>
      <c r="E36584" s="38" t="s">
        <v>606</v>
      </c>
      <c r="F36584" s="38" t="s">
        <v>607</v>
      </c>
      <c r="G36584" s="49" t="str">
        <f t="shared" si="1"/>
        <v>20151</v>
      </c>
      <c r="H36584" s="49" t="str">
        <f t="shared" si="2"/>
        <v>2A270</v>
      </c>
    </row>
    <row r="36585">
      <c r="A36585" s="48" t="s">
        <v>5207</v>
      </c>
      <c r="B36585" s="38">
        <v>85254.0</v>
      </c>
      <c r="C36585" s="38" t="s">
        <v>17924</v>
      </c>
      <c r="D36585" s="38" t="str">
        <f>IFERROR(__xludf.DUMMYFUNCTION("REGEXREPLACE(C36585,""-\d+(.*)|--\d+(.*)"","""")"),"SAINT-MESMIN")</f>
        <v>SAINT-MESMIN</v>
      </c>
      <c r="E36585" s="38" t="s">
        <v>179</v>
      </c>
      <c r="F36585" s="38" t="s">
        <v>180</v>
      </c>
      <c r="G36585" s="49" t="str">
        <f t="shared" si="1"/>
        <v>85700</v>
      </c>
      <c r="H36585" s="49">
        <f t="shared" si="2"/>
        <v>85254</v>
      </c>
    </row>
    <row r="36586">
      <c r="A36586" s="48" t="s">
        <v>1590</v>
      </c>
      <c r="B36586" s="38">
        <v>33156.0</v>
      </c>
      <c r="C36586" s="38" t="s">
        <v>40648</v>
      </c>
      <c r="D36586" s="38" t="str">
        <f>IFERROR(__xludf.DUMMYFUNCTION("REGEXREPLACE(C36586,""-\d+(.*)|--\d+(.*)"","""")"),"ESCOUSSANS")</f>
        <v>ESCOUSSANS</v>
      </c>
      <c r="E36586" s="38" t="s">
        <v>462</v>
      </c>
      <c r="F36586" s="38" t="s">
        <v>252</v>
      </c>
      <c r="G36586" s="49" t="str">
        <f t="shared" si="1"/>
        <v>33760</v>
      </c>
      <c r="H36586" s="49">
        <f t="shared" si="2"/>
        <v>33156</v>
      </c>
    </row>
    <row r="36587">
      <c r="A36587" s="48" t="s">
        <v>4642</v>
      </c>
      <c r="B36587" s="38">
        <v>21597.0</v>
      </c>
      <c r="C36587" s="38" t="s">
        <v>40649</v>
      </c>
      <c r="D36587" s="38" t="str">
        <f>IFERROR(__xludf.DUMMYFUNCTION("REGEXREPLACE(C36587,""-\d+(.*)|--\d+(.*)"","""")"),"SEGROIS")</f>
        <v>SEGROIS</v>
      </c>
      <c r="E36587" s="38" t="s">
        <v>105</v>
      </c>
      <c r="F36587" s="38" t="s">
        <v>106</v>
      </c>
      <c r="G36587" s="49" t="str">
        <f t="shared" si="1"/>
        <v>21220</v>
      </c>
      <c r="H36587" s="49">
        <f t="shared" si="2"/>
        <v>21597</v>
      </c>
    </row>
    <row r="36588">
      <c r="A36588" s="48" t="s">
        <v>1531</v>
      </c>
      <c r="B36588" s="38">
        <v>65329.0</v>
      </c>
      <c r="C36588" s="38" t="s">
        <v>40650</v>
      </c>
      <c r="D36588" s="38" t="str">
        <f>IFERROR(__xludf.DUMMYFUNCTION("REGEXREPLACE(C36588,""-\d+(.*)|--\d+(.*)"","""")"),"NISTOS")</f>
        <v>NISTOS</v>
      </c>
      <c r="E36588" s="38" t="s">
        <v>200</v>
      </c>
      <c r="F36588" s="38" t="s">
        <v>94</v>
      </c>
      <c r="G36588" s="49" t="str">
        <f t="shared" si="1"/>
        <v>65150</v>
      </c>
      <c r="H36588" s="49">
        <f t="shared" si="2"/>
        <v>65329</v>
      </c>
    </row>
    <row r="36589">
      <c r="A36589" s="48" t="s">
        <v>8508</v>
      </c>
      <c r="B36589" s="38">
        <v>87022.0</v>
      </c>
      <c r="C36589" s="38" t="s">
        <v>40651</v>
      </c>
      <c r="D36589" s="38" t="str">
        <f>IFERROR(__xludf.DUMMYFUNCTION("REGEXREPLACE(C36589,""-\d+(.*)|--\d+(.*)"","""")"),"BREUILAUFA")</f>
        <v>BREUILAUFA</v>
      </c>
      <c r="E36589" s="38" t="s">
        <v>897</v>
      </c>
      <c r="F36589" s="38" t="s">
        <v>98</v>
      </c>
      <c r="G36589" s="49" t="str">
        <f t="shared" si="1"/>
        <v>87300</v>
      </c>
      <c r="H36589" s="49">
        <f t="shared" si="2"/>
        <v>87022</v>
      </c>
    </row>
    <row r="36590">
      <c r="A36590" s="48" t="s">
        <v>323</v>
      </c>
      <c r="B36590" s="38">
        <v>52006.0</v>
      </c>
      <c r="C36590" s="38" t="s">
        <v>40652</v>
      </c>
      <c r="D36590" s="38" t="str">
        <f>IFERROR(__xludf.DUMMYFUNCTION("REGEXREPLACE(C36590,""-\d+(.*)|--\d+(.*)"","""")"),"ALLICHAMPS")</f>
        <v>ALLICHAMPS</v>
      </c>
      <c r="E36590" s="38" t="s">
        <v>234</v>
      </c>
      <c r="F36590" s="38" t="s">
        <v>130</v>
      </c>
      <c r="G36590" s="49" t="str">
        <f t="shared" si="1"/>
        <v>52130</v>
      </c>
      <c r="H36590" s="49">
        <f t="shared" si="2"/>
        <v>52006</v>
      </c>
    </row>
    <row r="36591">
      <c r="A36591" s="48" t="s">
        <v>7365</v>
      </c>
      <c r="B36591" s="38">
        <v>18186.0</v>
      </c>
      <c r="C36591" s="38" t="s">
        <v>40653</v>
      </c>
      <c r="D36591" s="38" t="str">
        <f>IFERROR(__xludf.DUMMYFUNCTION("REGEXREPLACE(C36591,""-\d+(.*)|--\d+(.*)"","""")"),"PREUILLY")</f>
        <v>PREUILLY</v>
      </c>
      <c r="E36591" s="38" t="s">
        <v>504</v>
      </c>
      <c r="F36591" s="38" t="s">
        <v>123</v>
      </c>
      <c r="G36591" s="49" t="str">
        <f t="shared" si="1"/>
        <v>18120</v>
      </c>
      <c r="H36591" s="49">
        <f t="shared" si="2"/>
        <v>18186</v>
      </c>
    </row>
    <row r="36592">
      <c r="A36592" s="48" t="s">
        <v>1733</v>
      </c>
      <c r="B36592" s="38">
        <v>23116.0</v>
      </c>
      <c r="C36592" s="38" t="s">
        <v>40654</v>
      </c>
      <c r="D36592" s="38" t="str">
        <f>IFERROR(__xludf.DUMMYFUNCTION("REGEXREPLACE(C36592,""-\d+(.*)|--\d+(.*)"","""")"),"MAINSAT")</f>
        <v>MAINSAT</v>
      </c>
      <c r="E36592" s="38" t="s">
        <v>97</v>
      </c>
      <c r="F36592" s="38" t="s">
        <v>98</v>
      </c>
      <c r="G36592" s="49" t="str">
        <f t="shared" si="1"/>
        <v>23700</v>
      </c>
      <c r="H36592" s="49">
        <f t="shared" si="2"/>
        <v>23116</v>
      </c>
    </row>
    <row r="36593">
      <c r="A36593" s="48" t="s">
        <v>6504</v>
      </c>
      <c r="B36593" s="38">
        <v>24120.0</v>
      </c>
      <c r="C36593" s="38" t="s">
        <v>40655</v>
      </c>
      <c r="D36593" s="38" t="str">
        <f>IFERROR(__xludf.DUMMYFUNCTION("REGEXREPLACE(C36593,""-\d+(.*)|--\d+(.*)"","""")"),"CHERVEIX-CUBAS")</f>
        <v>CHERVEIX-CUBAS</v>
      </c>
      <c r="E36593" s="38" t="s">
        <v>261</v>
      </c>
      <c r="F36593" s="38" t="s">
        <v>252</v>
      </c>
      <c r="G36593" s="49" t="str">
        <f t="shared" si="1"/>
        <v>24390</v>
      </c>
      <c r="H36593" s="49">
        <f t="shared" si="2"/>
        <v>24120</v>
      </c>
    </row>
    <row r="36594">
      <c r="A36594" s="48" t="s">
        <v>3716</v>
      </c>
      <c r="B36594" s="38">
        <v>57149.0</v>
      </c>
      <c r="C36594" s="38" t="s">
        <v>40656</v>
      </c>
      <c r="D36594" s="38" t="str">
        <f>IFERROR(__xludf.DUMMYFUNCTION("REGEXREPLACE(C36594,""-\d+(.*)|--\d+(.*)"","""")"),"COLMEN")</f>
        <v>COLMEN</v>
      </c>
      <c r="E36594" s="38" t="s">
        <v>303</v>
      </c>
      <c r="F36594" s="38" t="s">
        <v>195</v>
      </c>
      <c r="G36594" s="49" t="str">
        <f t="shared" si="1"/>
        <v>57320</v>
      </c>
      <c r="H36594" s="49">
        <f t="shared" si="2"/>
        <v>57149</v>
      </c>
    </row>
    <row r="36595">
      <c r="A36595" s="48" t="s">
        <v>309</v>
      </c>
      <c r="B36595" s="38">
        <v>48181.0</v>
      </c>
      <c r="C36595" s="38" t="s">
        <v>1113</v>
      </c>
      <c r="D36595" s="38" t="str">
        <f>IFERROR(__xludf.DUMMYFUNCTION("REGEXREPLACE(C36595,""-\d+(.*)|--\d+(.*)"","""")"),"SAINT-SATURNIN")</f>
        <v>SAINT-SATURNIN</v>
      </c>
      <c r="E36595" s="38" t="s">
        <v>154</v>
      </c>
      <c r="F36595" s="38" t="s">
        <v>119</v>
      </c>
      <c r="G36595" s="49" t="str">
        <f t="shared" si="1"/>
        <v>48500</v>
      </c>
      <c r="H36595" s="49">
        <f t="shared" si="2"/>
        <v>48181</v>
      </c>
    </row>
    <row r="36596">
      <c r="A36596" s="48" t="s">
        <v>40657</v>
      </c>
      <c r="B36596" s="38">
        <v>62667.0</v>
      </c>
      <c r="C36596" s="38" t="s">
        <v>40658</v>
      </c>
      <c r="D36596" s="38" t="str">
        <f>IFERROR(__xludf.DUMMYFUNCTION("REGEXREPLACE(C36596,""-\d+(.*)|--\d+(.*)"","""")"),"LE PORTEL")</f>
        <v>LE PORTEL</v>
      </c>
      <c r="E36596" s="38" t="s">
        <v>109</v>
      </c>
      <c r="F36596" s="38" t="s">
        <v>86</v>
      </c>
      <c r="G36596" s="49" t="str">
        <f t="shared" si="1"/>
        <v>62480</v>
      </c>
      <c r="H36596" s="49">
        <f t="shared" si="2"/>
        <v>62667</v>
      </c>
    </row>
    <row r="36597">
      <c r="A36597" s="48" t="s">
        <v>1547</v>
      </c>
      <c r="B36597" s="38">
        <v>24253.0</v>
      </c>
      <c r="C36597" s="38" t="s">
        <v>15506</v>
      </c>
      <c r="D36597" s="38" t="str">
        <f>IFERROR(__xludf.DUMMYFUNCTION("REGEXREPLACE(C36597,""-\d+(.*)|--\d+(.*)"","""")"),"MAREUIL")</f>
        <v>MAREUIL</v>
      </c>
      <c r="E36597" s="38" t="s">
        <v>261</v>
      </c>
      <c r="F36597" s="38" t="s">
        <v>252</v>
      </c>
      <c r="G36597" s="49" t="str">
        <f t="shared" si="1"/>
        <v>24340</v>
      </c>
      <c r="H36597" s="49">
        <f t="shared" si="2"/>
        <v>24253</v>
      </c>
    </row>
    <row r="36598">
      <c r="A36598" s="48" t="s">
        <v>872</v>
      </c>
      <c r="B36598" s="38">
        <v>35119.0</v>
      </c>
      <c r="C36598" s="38" t="s">
        <v>40659</v>
      </c>
      <c r="D36598" s="38" t="str">
        <f>IFERROR(__xludf.DUMMYFUNCTION("REGEXREPLACE(C36598,""-\d+(.*)|--\d+(.*)"","""")"),"GENNES-SUR-SEICHE")</f>
        <v>GENNES-SUR-SEICHE</v>
      </c>
      <c r="E36598" s="38" t="s">
        <v>347</v>
      </c>
      <c r="F36598" s="38" t="s">
        <v>90</v>
      </c>
      <c r="G36598" s="49" t="str">
        <f t="shared" si="1"/>
        <v>35370</v>
      </c>
      <c r="H36598" s="49">
        <f t="shared" si="2"/>
        <v>35119</v>
      </c>
    </row>
    <row r="36599">
      <c r="A36599" s="48" t="s">
        <v>5358</v>
      </c>
      <c r="B36599" s="38">
        <v>23003.0</v>
      </c>
      <c r="C36599" s="38" t="s">
        <v>7422</v>
      </c>
      <c r="D36599" s="38" t="str">
        <f>IFERROR(__xludf.DUMMYFUNCTION("REGEXREPLACE(C36599,""-\d+(.*)|--\d+(.*)"","""")"),"ALLEYRAT")</f>
        <v>ALLEYRAT</v>
      </c>
      <c r="E36599" s="38" t="s">
        <v>97</v>
      </c>
      <c r="F36599" s="38" t="s">
        <v>98</v>
      </c>
      <c r="G36599" s="49" t="str">
        <f t="shared" si="1"/>
        <v>23200</v>
      </c>
      <c r="H36599" s="49">
        <f t="shared" si="2"/>
        <v>23003</v>
      </c>
    </row>
    <row r="36600">
      <c r="A36600" s="48" t="s">
        <v>771</v>
      </c>
      <c r="B36600" s="38">
        <v>60258.0</v>
      </c>
      <c r="C36600" s="38" t="s">
        <v>40660</v>
      </c>
      <c r="D36600" s="38" t="str">
        <f>IFERROR(__xludf.DUMMYFUNCTION("REGEXREPLACE(C36600,""-\d+(.*)|--\d+(.*)"","""")"),"FRESNIERES")</f>
        <v>FRESNIERES</v>
      </c>
      <c r="E36600" s="38" t="s">
        <v>112</v>
      </c>
      <c r="F36600" s="38" t="s">
        <v>113</v>
      </c>
      <c r="G36600" s="49" t="str">
        <f t="shared" si="1"/>
        <v>60310</v>
      </c>
      <c r="H36600" s="49">
        <f t="shared" si="2"/>
        <v>60258</v>
      </c>
    </row>
    <row r="36601">
      <c r="A36601" s="48" t="s">
        <v>17146</v>
      </c>
      <c r="B36601" s="38">
        <v>1078.0</v>
      </c>
      <c r="C36601" s="38" t="s">
        <v>40661</v>
      </c>
      <c r="D36601" s="38" t="str">
        <f>IFERROR(__xludf.DUMMYFUNCTION("REGEXREPLACE(C36601,""-\d+(.*)|--\d+(.*)"","""")"),"CHALLEX")</f>
        <v>CHALLEX</v>
      </c>
      <c r="E36601" s="38" t="s">
        <v>255</v>
      </c>
      <c r="F36601" s="38" t="s">
        <v>102</v>
      </c>
      <c r="G36601" s="49" t="str">
        <f t="shared" si="1"/>
        <v>01630</v>
      </c>
      <c r="H36601" s="49" t="str">
        <f t="shared" si="2"/>
        <v>01078</v>
      </c>
    </row>
    <row r="36602">
      <c r="A36602" s="48" t="s">
        <v>19333</v>
      </c>
      <c r="B36602" s="38">
        <v>77175.0</v>
      </c>
      <c r="C36602" s="38" t="s">
        <v>40662</v>
      </c>
      <c r="D36602" s="38" t="str">
        <f>IFERROR(__xludf.DUMMYFUNCTION("REGEXREPLACE(C36602,""-\d+(.*)|--\d+(.*)"","""")"),"EVRY-GREGY-SUR-YERRE")</f>
        <v>EVRY-GREGY-SUR-YERRE</v>
      </c>
      <c r="E36602" s="38" t="s">
        <v>244</v>
      </c>
      <c r="F36602" s="38" t="s">
        <v>245</v>
      </c>
      <c r="G36602" s="49" t="str">
        <f t="shared" si="1"/>
        <v>77166</v>
      </c>
      <c r="H36602" s="49">
        <f t="shared" si="2"/>
        <v>77175</v>
      </c>
    </row>
    <row r="36603">
      <c r="A36603" s="48" t="s">
        <v>16765</v>
      </c>
      <c r="B36603" s="38">
        <v>76664.0</v>
      </c>
      <c r="C36603" s="38" t="s">
        <v>40663</v>
      </c>
      <c r="D36603" s="38" t="str">
        <f>IFERROR(__xludf.DUMMYFUNCTION("REGEXREPLACE(C36603,""-\d+(.*)|--\d+(.*)"","""")"),"SASSEVILLE")</f>
        <v>SASSEVILLE</v>
      </c>
      <c r="E36603" s="38" t="s">
        <v>133</v>
      </c>
      <c r="F36603" s="38" t="s">
        <v>134</v>
      </c>
      <c r="G36603" s="49" t="str">
        <f t="shared" si="1"/>
        <v>76450</v>
      </c>
      <c r="H36603" s="49">
        <f t="shared" si="2"/>
        <v>76664</v>
      </c>
    </row>
    <row r="36604">
      <c r="A36604" s="48" t="s">
        <v>24889</v>
      </c>
      <c r="B36604" s="38">
        <v>17311.0</v>
      </c>
      <c r="C36604" s="38" t="s">
        <v>3460</v>
      </c>
      <c r="D36604" s="38" t="str">
        <f>IFERROR(__xludf.DUMMYFUNCTION("REGEXREPLACE(C36604,""-\d+(.*)|--\d+(.*)"","""")"),"SAINT-AUGUSTIN")</f>
        <v>SAINT-AUGUSTIN</v>
      </c>
      <c r="E36604" s="38" t="s">
        <v>488</v>
      </c>
      <c r="F36604" s="38" t="s">
        <v>338</v>
      </c>
      <c r="G36604" s="49" t="str">
        <f t="shared" si="1"/>
        <v>17570</v>
      </c>
      <c r="H36604" s="49">
        <f t="shared" si="2"/>
        <v>17311</v>
      </c>
    </row>
    <row r="36605">
      <c r="A36605" s="48" t="s">
        <v>34445</v>
      </c>
      <c r="B36605" s="38">
        <v>78087.0</v>
      </c>
      <c r="C36605" s="38" t="s">
        <v>40664</v>
      </c>
      <c r="D36605" s="38" t="str">
        <f>IFERROR(__xludf.DUMMYFUNCTION("REGEXREPLACE(C36605,""-\d+(.*)|--\d+(.*)"","""")"),"BONNELLES")</f>
        <v>BONNELLES</v>
      </c>
      <c r="E36605" s="38" t="s">
        <v>362</v>
      </c>
      <c r="F36605" s="38" t="s">
        <v>245</v>
      </c>
      <c r="G36605" s="49" t="str">
        <f t="shared" si="1"/>
        <v>78830</v>
      </c>
      <c r="H36605" s="49">
        <f t="shared" si="2"/>
        <v>78087</v>
      </c>
    </row>
    <row r="36606">
      <c r="A36606" s="48" t="s">
        <v>1872</v>
      </c>
      <c r="B36606" s="38">
        <v>80833.0</v>
      </c>
      <c r="C36606" s="38" t="s">
        <v>40665</v>
      </c>
      <c r="D36606" s="38" t="str">
        <f>IFERROR(__xludf.DUMMYFUNCTION("REGEXREPLACE(C36606,""-\d+(.*)|--\d+(.*)"","""")"),"YVRENCHEUX")</f>
        <v>YVRENCHEUX</v>
      </c>
      <c r="E36606" s="38" t="s">
        <v>224</v>
      </c>
      <c r="F36606" s="38" t="s">
        <v>113</v>
      </c>
      <c r="G36606" s="49" t="str">
        <f t="shared" si="1"/>
        <v>80150</v>
      </c>
      <c r="H36606" s="49">
        <f t="shared" si="2"/>
        <v>80833</v>
      </c>
    </row>
    <row r="36607">
      <c r="A36607" s="48" t="s">
        <v>3175</v>
      </c>
      <c r="B36607" s="38">
        <v>65406.0</v>
      </c>
      <c r="C36607" s="38" t="s">
        <v>40666</v>
      </c>
      <c r="D36607" s="38" t="str">
        <f>IFERROR(__xludf.DUMMYFUNCTION("REGEXREPLACE(C36607,""-\d+(.*)|--\d+(.*)"","""")"),"SARNIGUET")</f>
        <v>SARNIGUET</v>
      </c>
      <c r="E36607" s="38" t="s">
        <v>200</v>
      </c>
      <c r="F36607" s="38" t="s">
        <v>94</v>
      </c>
      <c r="G36607" s="49" t="str">
        <f t="shared" si="1"/>
        <v>65390</v>
      </c>
      <c r="H36607" s="49">
        <f t="shared" si="2"/>
        <v>65406</v>
      </c>
    </row>
    <row r="36608">
      <c r="A36608" s="48" t="s">
        <v>7237</v>
      </c>
      <c r="B36608" s="38">
        <v>17171.0</v>
      </c>
      <c r="C36608" s="38" t="s">
        <v>26032</v>
      </c>
      <c r="D36608" s="38" t="str">
        <f>IFERROR(__xludf.DUMMYFUNCTION("REGEXREPLACE(C36608,""-\d+(.*)|--\d+(.*)"","""")"),"GEAY")</f>
        <v>GEAY</v>
      </c>
      <c r="E36608" s="38" t="s">
        <v>488</v>
      </c>
      <c r="F36608" s="38" t="s">
        <v>338</v>
      </c>
      <c r="G36608" s="49" t="str">
        <f t="shared" si="1"/>
        <v>17250</v>
      </c>
      <c r="H36608" s="49">
        <f t="shared" si="2"/>
        <v>17171</v>
      </c>
    </row>
    <row r="36609">
      <c r="A36609" s="48" t="s">
        <v>2069</v>
      </c>
      <c r="B36609" s="38">
        <v>47181.0</v>
      </c>
      <c r="C36609" s="38" t="s">
        <v>40667</v>
      </c>
      <c r="D36609" s="38" t="str">
        <f>IFERROR(__xludf.DUMMYFUNCTION("REGEXREPLACE(C36609,""-\d+(.*)|--\d+(.*)"","""")"),"MONTAGNAC-SUR-LEDE")</f>
        <v>MONTAGNAC-SUR-LEDE</v>
      </c>
      <c r="E36609" s="38" t="s">
        <v>251</v>
      </c>
      <c r="F36609" s="38" t="s">
        <v>252</v>
      </c>
      <c r="G36609" s="49" t="str">
        <f t="shared" si="1"/>
        <v>47150</v>
      </c>
      <c r="H36609" s="49">
        <f t="shared" si="2"/>
        <v>47181</v>
      </c>
    </row>
    <row r="36610">
      <c r="A36610" s="48" t="s">
        <v>23826</v>
      </c>
      <c r="B36610" s="38">
        <v>30020.0</v>
      </c>
      <c r="C36610" s="38" t="s">
        <v>40668</v>
      </c>
      <c r="D36610" s="38" t="str">
        <f>IFERROR(__xludf.DUMMYFUNCTION("REGEXREPLACE(C36610,""-\d+(.*)|--\d+(.*)"","""")"),"AUBORD")</f>
        <v>AUBORD</v>
      </c>
      <c r="E36610" s="38" t="s">
        <v>526</v>
      </c>
      <c r="F36610" s="38" t="s">
        <v>119</v>
      </c>
      <c r="G36610" s="49" t="str">
        <f t="shared" si="1"/>
        <v>30620</v>
      </c>
      <c r="H36610" s="49">
        <f t="shared" si="2"/>
        <v>30020</v>
      </c>
    </row>
    <row r="36611">
      <c r="A36611" s="48" t="s">
        <v>14375</v>
      </c>
      <c r="B36611" s="38">
        <v>74045.0</v>
      </c>
      <c r="C36611" s="38" t="s">
        <v>40669</v>
      </c>
      <c r="D36611" s="38" t="str">
        <f>IFERROR(__xludf.DUMMYFUNCTION("REGEXREPLACE(C36611,""-\d+(.*)|--\d+(.*)"","""")"),"LE BOUCHET")</f>
        <v>LE BOUCHET</v>
      </c>
      <c r="E36611" s="38" t="s">
        <v>319</v>
      </c>
      <c r="F36611" s="38" t="s">
        <v>102</v>
      </c>
      <c r="G36611" s="49" t="str">
        <f t="shared" si="1"/>
        <v>74230</v>
      </c>
      <c r="H36611" s="49">
        <f t="shared" si="2"/>
        <v>74045</v>
      </c>
    </row>
    <row r="36612">
      <c r="A36612" s="48" t="s">
        <v>7144</v>
      </c>
      <c r="B36612" s="38">
        <v>76352.0</v>
      </c>
      <c r="C36612" s="38" t="s">
        <v>38180</v>
      </c>
      <c r="D36612" s="38" t="str">
        <f>IFERROR(__xludf.DUMMYFUNCTION("REGEXREPLACE(C36612,""-\d+(.*)|--\d+(.*)"","""")"),"LA HAYE")</f>
        <v>LA HAYE</v>
      </c>
      <c r="E36612" s="38" t="s">
        <v>133</v>
      </c>
      <c r="F36612" s="38" t="s">
        <v>134</v>
      </c>
      <c r="G36612" s="49" t="str">
        <f t="shared" si="1"/>
        <v>76780</v>
      </c>
      <c r="H36612" s="49">
        <f t="shared" si="2"/>
        <v>76352</v>
      </c>
    </row>
    <row r="36613">
      <c r="A36613" s="48" t="s">
        <v>6566</v>
      </c>
      <c r="B36613" s="38">
        <v>49110.0</v>
      </c>
      <c r="C36613" s="38" t="s">
        <v>40670</v>
      </c>
      <c r="D36613" s="38" t="str">
        <f>IFERROR(__xludf.DUMMYFUNCTION("REGEXREPLACE(C36613,""-\d+(.*)|--\d+(.*)"","""")"),"CORZE")</f>
        <v>CORZE</v>
      </c>
      <c r="E36613" s="38" t="s">
        <v>653</v>
      </c>
      <c r="F36613" s="38" t="s">
        <v>180</v>
      </c>
      <c r="G36613" s="49" t="str">
        <f t="shared" si="1"/>
        <v>49140</v>
      </c>
      <c r="H36613" s="49">
        <f t="shared" si="2"/>
        <v>49110</v>
      </c>
    </row>
    <row r="36614">
      <c r="A36614" s="48" t="s">
        <v>1106</v>
      </c>
      <c r="B36614" s="38">
        <v>14404.0</v>
      </c>
      <c r="C36614" s="38" t="s">
        <v>8590</v>
      </c>
      <c r="D36614" s="38" t="str">
        <f>IFERROR(__xludf.DUMMYFUNCTION("REGEXREPLACE(C36614,""-\d+(.*)|--\d+(.*)"","""")"),"MARTAINVILLE")</f>
        <v>MARTAINVILLE</v>
      </c>
      <c r="E36614" s="38" t="s">
        <v>137</v>
      </c>
      <c r="F36614" s="38" t="s">
        <v>138</v>
      </c>
      <c r="G36614" s="49" t="str">
        <f t="shared" si="1"/>
        <v>14220</v>
      </c>
      <c r="H36614" s="49">
        <f t="shared" si="2"/>
        <v>14404</v>
      </c>
    </row>
    <row r="36615">
      <c r="A36615" s="48" t="s">
        <v>2438</v>
      </c>
      <c r="B36615" s="38">
        <v>64017.0</v>
      </c>
      <c r="C36615" s="38" t="s">
        <v>40671</v>
      </c>
      <c r="D36615" s="38" t="str">
        <f>IFERROR(__xludf.DUMMYFUNCTION("REGEXREPLACE(C36615,""-\d+(.*)|--\d+(.*)"","""")"),"ALOS-SIBAS-ABENSE")</f>
        <v>ALOS-SIBAS-ABENSE</v>
      </c>
      <c r="E36615" s="38" t="s">
        <v>268</v>
      </c>
      <c r="F36615" s="38" t="s">
        <v>252</v>
      </c>
      <c r="G36615" s="49" t="str">
        <f t="shared" si="1"/>
        <v>64470</v>
      </c>
      <c r="H36615" s="49">
        <f t="shared" si="2"/>
        <v>64017</v>
      </c>
    </row>
    <row r="36616">
      <c r="A36616" s="48" t="s">
        <v>40672</v>
      </c>
      <c r="B36616" s="38">
        <v>63099.0</v>
      </c>
      <c r="C36616" s="38" t="s">
        <v>40673</v>
      </c>
      <c r="D36616" s="38" t="str">
        <f>IFERROR(__xludf.DUMMYFUNCTION("REGEXREPLACE(C36616,""-\d+(.*)|--\d+(.*)"","""")"),"CHATEAUGAY")</f>
        <v>CHATEAUGAY</v>
      </c>
      <c r="E36616" s="38" t="s">
        <v>353</v>
      </c>
      <c r="F36616" s="38" t="s">
        <v>161</v>
      </c>
      <c r="G36616" s="49" t="str">
        <f t="shared" si="1"/>
        <v>63119</v>
      </c>
      <c r="H36616" s="49">
        <f t="shared" si="2"/>
        <v>63099</v>
      </c>
    </row>
    <row r="36617">
      <c r="A36617" s="48" t="s">
        <v>2744</v>
      </c>
      <c r="B36617" s="38">
        <v>17232.0</v>
      </c>
      <c r="C36617" s="38" t="s">
        <v>40674</v>
      </c>
      <c r="D36617" s="38" t="str">
        <f>IFERROR(__xludf.DUMMYFUNCTION("REGEXREPLACE(C36617,""-\d+(.*)|--\d+(.*)"","""")"),"MEURSAC")</f>
        <v>MEURSAC</v>
      </c>
      <c r="E36617" s="38" t="s">
        <v>488</v>
      </c>
      <c r="F36617" s="38" t="s">
        <v>338</v>
      </c>
      <c r="G36617" s="49" t="str">
        <f t="shared" si="1"/>
        <v>17120</v>
      </c>
      <c r="H36617" s="49">
        <f t="shared" si="2"/>
        <v>17232</v>
      </c>
    </row>
    <row r="36618">
      <c r="A36618" s="48" t="s">
        <v>2515</v>
      </c>
      <c r="B36618" s="38">
        <v>87184.0</v>
      </c>
      <c r="C36618" s="38" t="s">
        <v>40675</v>
      </c>
      <c r="D36618" s="38" t="str">
        <f>IFERROR(__xludf.DUMMYFUNCTION("REGEXREPLACE(C36618,""-\d+(.*)|--\d+(.*)"","""")"),"SAINT-SYMPHORIEN-SUR-COUZE")</f>
        <v>SAINT-SYMPHORIEN-SUR-COUZE</v>
      </c>
      <c r="E36618" s="38" t="s">
        <v>897</v>
      </c>
      <c r="F36618" s="38" t="s">
        <v>98</v>
      </c>
      <c r="G36618" s="49" t="str">
        <f t="shared" si="1"/>
        <v>87140</v>
      </c>
      <c r="H36618" s="49">
        <f t="shared" si="2"/>
        <v>87184</v>
      </c>
    </row>
    <row r="36619">
      <c r="A36619" s="48" t="s">
        <v>320</v>
      </c>
      <c r="B36619" s="38">
        <v>55423.0</v>
      </c>
      <c r="C36619" s="38" t="s">
        <v>40676</v>
      </c>
      <c r="D36619" s="38" t="str">
        <f>IFERROR(__xludf.DUMMYFUNCTION("REGEXREPLACE(C36619,""-\d+(.*)|--\d+(.*)"","""")"),"REMBERCOURT-SOMMAISNE")</f>
        <v>REMBERCOURT-SOMMAISNE</v>
      </c>
      <c r="E36619" s="38" t="s">
        <v>322</v>
      </c>
      <c r="F36619" s="38" t="s">
        <v>195</v>
      </c>
      <c r="G36619" s="49" t="str">
        <f t="shared" si="1"/>
        <v>55250</v>
      </c>
      <c r="H36619" s="49">
        <f t="shared" si="2"/>
        <v>55423</v>
      </c>
    </row>
    <row r="36620">
      <c r="A36620" s="48" t="s">
        <v>5198</v>
      </c>
      <c r="B36620" s="38">
        <v>39581.0</v>
      </c>
      <c r="C36620" s="38" t="s">
        <v>40677</v>
      </c>
      <c r="D36620" s="38" t="str">
        <f>IFERROR(__xludf.DUMMYFUNCTION("REGEXREPLACE(C36620,""-\d+(.*)|--\d+(.*)"","""")"),"VITREUX")</f>
        <v>VITREUX</v>
      </c>
      <c r="E36620" s="38" t="s">
        <v>400</v>
      </c>
      <c r="F36620" s="38" t="s">
        <v>214</v>
      </c>
      <c r="G36620" s="49" t="str">
        <f t="shared" si="1"/>
        <v>39350</v>
      </c>
      <c r="H36620" s="49">
        <f t="shared" si="2"/>
        <v>39581</v>
      </c>
    </row>
    <row r="36621">
      <c r="A36621" s="48" t="s">
        <v>2640</v>
      </c>
      <c r="B36621" s="38">
        <v>58177.0</v>
      </c>
      <c r="C36621" s="38" t="s">
        <v>40678</v>
      </c>
      <c r="D36621" s="38" t="str">
        <f>IFERROR(__xludf.DUMMYFUNCTION("REGEXREPLACE(C36621,""-\d+(.*)|--\d+(.*)"","""")"),"MONTIGNY-EN-MORVAN")</f>
        <v>MONTIGNY-EN-MORVAN</v>
      </c>
      <c r="E36621" s="38" t="s">
        <v>219</v>
      </c>
      <c r="F36621" s="38" t="s">
        <v>106</v>
      </c>
      <c r="G36621" s="49" t="str">
        <f t="shared" si="1"/>
        <v>58120</v>
      </c>
      <c r="H36621" s="49">
        <f t="shared" si="2"/>
        <v>58177</v>
      </c>
    </row>
    <row r="36622">
      <c r="A36622" s="48" t="s">
        <v>3291</v>
      </c>
      <c r="B36622" s="38">
        <v>3222.0</v>
      </c>
      <c r="C36622" s="38" t="s">
        <v>16186</v>
      </c>
      <c r="D36622" s="38" t="str">
        <f>IFERROR(__xludf.DUMMYFUNCTION("REGEXREPLACE(C36622,""-\d+(.*)|--\d+(.*)"","""")"),"SAINT-CAPRAIS")</f>
        <v>SAINT-CAPRAIS</v>
      </c>
      <c r="E36622" s="38" t="s">
        <v>160</v>
      </c>
      <c r="F36622" s="38" t="s">
        <v>161</v>
      </c>
      <c r="G36622" s="49" t="str">
        <f t="shared" si="1"/>
        <v>03190</v>
      </c>
      <c r="H36622" s="49" t="str">
        <f t="shared" si="2"/>
        <v>03222</v>
      </c>
    </row>
    <row r="36623">
      <c r="A36623" s="48" t="s">
        <v>10451</v>
      </c>
      <c r="B36623" s="38">
        <v>76515.0</v>
      </c>
      <c r="C36623" s="38" t="s">
        <v>40679</v>
      </c>
      <c r="D36623" s="38" t="str">
        <f>IFERROR(__xludf.DUMMYFUNCTION("REGEXREPLACE(C36623,""-\d+(.*)|--\d+(.*)"","""")"),"QUIBERVILLE")</f>
        <v>QUIBERVILLE</v>
      </c>
      <c r="E36623" s="38" t="s">
        <v>133</v>
      </c>
      <c r="F36623" s="38" t="s">
        <v>134</v>
      </c>
      <c r="G36623" s="49" t="str">
        <f t="shared" si="1"/>
        <v>76860</v>
      </c>
      <c r="H36623" s="49">
        <f t="shared" si="2"/>
        <v>76515</v>
      </c>
    </row>
    <row r="36624">
      <c r="A36624" s="48" t="s">
        <v>1079</v>
      </c>
      <c r="B36624" s="38">
        <v>24321.0</v>
      </c>
      <c r="C36624" s="38" t="s">
        <v>40680</v>
      </c>
      <c r="D36624" s="38" t="str">
        <f>IFERROR(__xludf.DUMMYFUNCTION("REGEXREPLACE(C36624,""-\d+(.*)|--\d+(.*)"","""")"),"PAZAYAC")</f>
        <v>PAZAYAC</v>
      </c>
      <c r="E36624" s="38" t="s">
        <v>261</v>
      </c>
      <c r="F36624" s="38" t="s">
        <v>252</v>
      </c>
      <c r="G36624" s="49" t="str">
        <f t="shared" si="1"/>
        <v>24120</v>
      </c>
      <c r="H36624" s="49">
        <f t="shared" si="2"/>
        <v>24321</v>
      </c>
    </row>
    <row r="36625">
      <c r="A36625" s="48" t="s">
        <v>2047</v>
      </c>
      <c r="B36625" s="38">
        <v>62593.0</v>
      </c>
      <c r="C36625" s="38" t="s">
        <v>40681</v>
      </c>
      <c r="D36625" s="38" t="str">
        <f>IFERROR(__xludf.DUMMYFUNCTION("REGEXREPLACE(C36625,""-\d+(.*)|--\d+(.*)"","""")"),"MORVAL")</f>
        <v>MORVAL</v>
      </c>
      <c r="E36625" s="38" t="s">
        <v>109</v>
      </c>
      <c r="F36625" s="38" t="s">
        <v>86</v>
      </c>
      <c r="G36625" s="49" t="str">
        <f t="shared" si="1"/>
        <v>62450</v>
      </c>
      <c r="H36625" s="49">
        <f t="shared" si="2"/>
        <v>62593</v>
      </c>
    </row>
    <row r="36626">
      <c r="A36626" s="48" t="s">
        <v>1452</v>
      </c>
      <c r="B36626" s="38">
        <v>55042.0</v>
      </c>
      <c r="C36626" s="38" t="s">
        <v>40682</v>
      </c>
      <c r="D36626" s="38" t="str">
        <f>IFERROR(__xludf.DUMMYFUNCTION("REGEXREPLACE(C36626,""-\d+(.*)|--\d+(.*)"","""")"),"BELLERAY")</f>
        <v>BELLERAY</v>
      </c>
      <c r="E36626" s="38" t="s">
        <v>322</v>
      </c>
      <c r="F36626" s="38" t="s">
        <v>195</v>
      </c>
      <c r="G36626" s="49" t="str">
        <f t="shared" si="1"/>
        <v>55100</v>
      </c>
      <c r="H36626" s="49">
        <f t="shared" si="2"/>
        <v>55042</v>
      </c>
    </row>
    <row r="36627">
      <c r="A36627" s="48" t="s">
        <v>5887</v>
      </c>
      <c r="B36627" s="38">
        <v>61068.0</v>
      </c>
      <c r="C36627" s="38" t="s">
        <v>40683</v>
      </c>
      <c r="D36627" s="38" t="str">
        <f>IFERROR(__xludf.DUMMYFUNCTION("REGEXREPLACE(C36627,""-\d+(.*)|--\d+(.*)"","""")"),"BURSARD")</f>
        <v>BURSARD</v>
      </c>
      <c r="E36627" s="38" t="s">
        <v>141</v>
      </c>
      <c r="F36627" s="38" t="s">
        <v>138</v>
      </c>
      <c r="G36627" s="49" t="str">
        <f t="shared" si="1"/>
        <v>61500</v>
      </c>
      <c r="H36627" s="49">
        <f t="shared" si="2"/>
        <v>61068</v>
      </c>
    </row>
    <row r="36628">
      <c r="A36628" s="48" t="s">
        <v>1274</v>
      </c>
      <c r="B36628" s="38">
        <v>33024.0</v>
      </c>
      <c r="C36628" s="38" t="s">
        <v>40684</v>
      </c>
      <c r="D36628" s="38" t="str">
        <f>IFERROR(__xludf.DUMMYFUNCTION("REGEXREPLACE(C36628,""-\d+(.*)|--\d+(.*)"","""")"),"BAGAS")</f>
        <v>BAGAS</v>
      </c>
      <c r="E36628" s="38" t="s">
        <v>462</v>
      </c>
      <c r="F36628" s="38" t="s">
        <v>252</v>
      </c>
      <c r="G36628" s="49" t="str">
        <f t="shared" si="1"/>
        <v>33190</v>
      </c>
      <c r="H36628" s="49">
        <f t="shared" si="2"/>
        <v>33024</v>
      </c>
    </row>
    <row r="36629">
      <c r="A36629" s="48" t="s">
        <v>17181</v>
      </c>
      <c r="B36629" s="38">
        <v>35328.0</v>
      </c>
      <c r="C36629" s="38" t="s">
        <v>40685</v>
      </c>
      <c r="D36629" s="38" t="str">
        <f>IFERROR(__xludf.DUMMYFUNCTION("REGEXREPLACE(C36629,""-\d+(.*)|--\d+(.*)"","""")"),"SIXT-SUR-AFF")</f>
        <v>SIXT-SUR-AFF</v>
      </c>
      <c r="E36629" s="38" t="s">
        <v>347</v>
      </c>
      <c r="F36629" s="38" t="s">
        <v>90</v>
      </c>
      <c r="G36629" s="49" t="str">
        <f t="shared" si="1"/>
        <v>35550</v>
      </c>
      <c r="H36629" s="49">
        <f t="shared" si="2"/>
        <v>35328</v>
      </c>
    </row>
    <row r="36630">
      <c r="A36630" s="48" t="s">
        <v>7514</v>
      </c>
      <c r="B36630" s="38">
        <v>88514.0</v>
      </c>
      <c r="C36630" s="38" t="s">
        <v>40686</v>
      </c>
      <c r="D36630" s="38" t="str">
        <f>IFERROR(__xludf.DUMMYFUNCTION("REGEXREPLACE(C36630,""-\d+(.*)|--\d+(.*)"","""")"),"VIOCOURT")</f>
        <v>VIOCOURT</v>
      </c>
      <c r="E36630" s="38" t="s">
        <v>194</v>
      </c>
      <c r="F36630" s="38" t="s">
        <v>195</v>
      </c>
      <c r="G36630" s="49" t="str">
        <f t="shared" si="1"/>
        <v>88170</v>
      </c>
      <c r="H36630" s="49">
        <f t="shared" si="2"/>
        <v>88514</v>
      </c>
    </row>
    <row r="36631">
      <c r="A36631" s="48" t="s">
        <v>2779</v>
      </c>
      <c r="B36631" s="38">
        <v>80221.0</v>
      </c>
      <c r="C36631" s="38" t="s">
        <v>40687</v>
      </c>
      <c r="D36631" s="38" t="str">
        <f>IFERROR(__xludf.DUMMYFUNCTION("REGEXREPLACE(C36631,""-\d+(.*)|--\d+(.*)"","""")"),"CRAMONT")</f>
        <v>CRAMONT</v>
      </c>
      <c r="E36631" s="38" t="s">
        <v>224</v>
      </c>
      <c r="F36631" s="38" t="s">
        <v>113</v>
      </c>
      <c r="G36631" s="49" t="str">
        <f t="shared" si="1"/>
        <v>80370</v>
      </c>
      <c r="H36631" s="49">
        <f t="shared" si="2"/>
        <v>80221</v>
      </c>
    </row>
    <row r="36632">
      <c r="A36632" s="48" t="s">
        <v>23965</v>
      </c>
      <c r="B36632" s="38">
        <v>27651.0</v>
      </c>
      <c r="C36632" s="38" t="s">
        <v>40688</v>
      </c>
      <c r="D36632" s="38" t="str">
        <f>IFERROR(__xludf.DUMMYFUNCTION("REGEXREPLACE(C36632,""-\d+(.*)|--\d+(.*)"","""")"),"TOURNEDOS-SUR-SEINE")</f>
        <v>TOURNEDOS-SUR-SEINE</v>
      </c>
      <c r="E36632" s="38" t="s">
        <v>241</v>
      </c>
      <c r="F36632" s="38" t="s">
        <v>134</v>
      </c>
      <c r="G36632" s="49" t="str">
        <f t="shared" si="1"/>
        <v>27100</v>
      </c>
      <c r="H36632" s="49">
        <f t="shared" si="2"/>
        <v>27651</v>
      </c>
    </row>
    <row r="36633">
      <c r="A36633" s="48" t="s">
        <v>1624</v>
      </c>
      <c r="B36633" s="38">
        <v>34166.0</v>
      </c>
      <c r="C36633" s="38" t="s">
        <v>40689</v>
      </c>
      <c r="D36633" s="38" t="str">
        <f>IFERROR(__xludf.DUMMYFUNCTION("REGEXREPLACE(C36633,""-\d+(.*)|--\d+(.*)"","""")"),"MONTBLANC")</f>
        <v>MONTBLANC</v>
      </c>
      <c r="E36633" s="38" t="s">
        <v>118</v>
      </c>
      <c r="F36633" s="38" t="s">
        <v>119</v>
      </c>
      <c r="G36633" s="49" t="str">
        <f t="shared" si="1"/>
        <v>34290</v>
      </c>
      <c r="H36633" s="49">
        <f t="shared" si="2"/>
        <v>34166</v>
      </c>
    </row>
    <row r="36634">
      <c r="A36634" s="48" t="s">
        <v>20665</v>
      </c>
      <c r="B36634" s="38">
        <v>74093.0</v>
      </c>
      <c r="C36634" s="38" t="s">
        <v>40690</v>
      </c>
      <c r="D36634" s="38" t="str">
        <f>IFERROR(__xludf.DUMMYFUNCTION("REGEXREPLACE(C36634,""-\d+(.*)|--\d+(.*)"","""")"),"CRAN-GEVRIER")</f>
        <v>CRAN-GEVRIER</v>
      </c>
      <c r="E36634" s="38" t="s">
        <v>319</v>
      </c>
      <c r="F36634" s="38" t="s">
        <v>102</v>
      </c>
      <c r="G36634" s="49" t="str">
        <f t="shared" si="1"/>
        <v>74960</v>
      </c>
      <c r="H36634" s="49">
        <f t="shared" si="2"/>
        <v>74093</v>
      </c>
    </row>
    <row r="36635">
      <c r="A36635" s="48" t="s">
        <v>6519</v>
      </c>
      <c r="B36635" s="38">
        <v>81313.0</v>
      </c>
      <c r="C36635" s="38" t="s">
        <v>40691</v>
      </c>
      <c r="D36635" s="38" t="str">
        <f>IFERROR(__xludf.DUMMYFUNCTION("REGEXREPLACE(C36635,""-\d+(.*)|--\d+(.*)"","""")"),"LE VERDIER")</f>
        <v>LE VERDIER</v>
      </c>
      <c r="E36635" s="38" t="s">
        <v>231</v>
      </c>
      <c r="F36635" s="38" t="s">
        <v>94</v>
      </c>
      <c r="G36635" s="49" t="str">
        <f t="shared" si="1"/>
        <v>81140</v>
      </c>
      <c r="H36635" s="49">
        <f t="shared" si="2"/>
        <v>81313</v>
      </c>
    </row>
    <row r="36636">
      <c r="A36636" s="48" t="s">
        <v>9365</v>
      </c>
      <c r="B36636" s="38">
        <v>90067.0</v>
      </c>
      <c r="C36636" s="38" t="s">
        <v>40692</v>
      </c>
      <c r="D36636" s="38" t="str">
        <f>IFERROR(__xludf.DUMMYFUNCTION("REGEXREPLACE(C36636,""-\d+(.*)|--\d+(.*)"","""")"),"MENONCOURT")</f>
        <v>MENONCOURT</v>
      </c>
      <c r="E36636" s="38" t="s">
        <v>1283</v>
      </c>
      <c r="F36636" s="38" t="s">
        <v>214</v>
      </c>
      <c r="G36636" s="49" t="str">
        <f t="shared" si="1"/>
        <v>90150</v>
      </c>
      <c r="H36636" s="49">
        <f t="shared" si="2"/>
        <v>90067</v>
      </c>
    </row>
    <row r="36637">
      <c r="A36637" s="48" t="s">
        <v>4274</v>
      </c>
      <c r="B36637" s="38">
        <v>52504.0</v>
      </c>
      <c r="C36637" s="38" t="s">
        <v>40693</v>
      </c>
      <c r="D36637" s="38" t="str">
        <f>IFERROR(__xludf.DUMMYFUNCTION("REGEXREPLACE(C36637,""-\d+(.*)|--\d+(.*)"","""")"),"VARENNES-SUR-AMANCE")</f>
        <v>VARENNES-SUR-AMANCE</v>
      </c>
      <c r="E36637" s="38" t="s">
        <v>234</v>
      </c>
      <c r="F36637" s="38" t="s">
        <v>130</v>
      </c>
      <c r="G36637" s="49" t="str">
        <f t="shared" si="1"/>
        <v>52400</v>
      </c>
      <c r="H36637" s="49">
        <f t="shared" si="2"/>
        <v>52504</v>
      </c>
    </row>
    <row r="36638">
      <c r="A36638" s="48" t="s">
        <v>4642</v>
      </c>
      <c r="B36638" s="38">
        <v>21442.0</v>
      </c>
      <c r="C36638" s="38" t="s">
        <v>40694</v>
      </c>
      <c r="D36638" s="38" t="str">
        <f>IFERROR(__xludf.DUMMYFUNCTION("REGEXREPLACE(C36638,""-\d+(.*)|--\d+(.*)"","""")"),"MOREY-SAINT-DENIS")</f>
        <v>MOREY-SAINT-DENIS</v>
      </c>
      <c r="E36638" s="38" t="s">
        <v>105</v>
      </c>
      <c r="F36638" s="38" t="s">
        <v>106</v>
      </c>
      <c r="G36638" s="49" t="str">
        <f t="shared" si="1"/>
        <v>21220</v>
      </c>
      <c r="H36638" s="49">
        <f t="shared" si="2"/>
        <v>21442</v>
      </c>
    </row>
    <row r="36639">
      <c r="A36639" s="48" t="s">
        <v>8902</v>
      </c>
      <c r="B36639" s="38">
        <v>25621.0</v>
      </c>
      <c r="C36639" s="38" t="s">
        <v>40695</v>
      </c>
      <c r="D36639" s="38" t="str">
        <f>IFERROR(__xludf.DUMMYFUNCTION("REGEXREPLACE(C36639,""-\d+(.*)|--\d+(.*)"","""")"),"VILLENEUVE-D'AMONT")</f>
        <v>VILLENEUVE-D'AMONT</v>
      </c>
      <c r="E36639" s="38" t="s">
        <v>213</v>
      </c>
      <c r="F36639" s="38" t="s">
        <v>214</v>
      </c>
      <c r="G36639" s="49" t="str">
        <f t="shared" si="1"/>
        <v>25270</v>
      </c>
      <c r="H36639" s="49">
        <f t="shared" si="2"/>
        <v>25621</v>
      </c>
    </row>
    <row r="36640">
      <c r="A36640" s="48" t="s">
        <v>2239</v>
      </c>
      <c r="B36640" s="38">
        <v>87042.0</v>
      </c>
      <c r="C36640" s="38" t="s">
        <v>40696</v>
      </c>
      <c r="D36640" s="38" t="str">
        <f>IFERROR(__xludf.DUMMYFUNCTION("REGEXREPLACE(C36640,""-\d+(.*)|--\d+(.*)"","""")"),"LE CHATENET-EN-DOGNON")</f>
        <v>LE CHATENET-EN-DOGNON</v>
      </c>
      <c r="E36640" s="38" t="s">
        <v>897</v>
      </c>
      <c r="F36640" s="38" t="s">
        <v>98</v>
      </c>
      <c r="G36640" s="49" t="str">
        <f t="shared" si="1"/>
        <v>87400</v>
      </c>
      <c r="H36640" s="49">
        <f t="shared" si="2"/>
        <v>87042</v>
      </c>
    </row>
    <row r="36641">
      <c r="A36641" s="48" t="s">
        <v>39355</v>
      </c>
      <c r="B36641" s="38">
        <v>91659.0</v>
      </c>
      <c r="C36641" s="38" t="s">
        <v>40697</v>
      </c>
      <c r="D36641" s="38" t="str">
        <f>IFERROR(__xludf.DUMMYFUNCTION("REGEXREPLACE(C36641,""-\d+(.*)|--\d+(.*)"","""")"),"VILLABE")</f>
        <v>VILLABE</v>
      </c>
      <c r="E36641" s="38" t="s">
        <v>756</v>
      </c>
      <c r="F36641" s="38" t="s">
        <v>245</v>
      </c>
      <c r="G36641" s="49" t="str">
        <f t="shared" si="1"/>
        <v>91100</v>
      </c>
      <c r="H36641" s="49">
        <f t="shared" si="2"/>
        <v>91659</v>
      </c>
    </row>
    <row r="36642">
      <c r="A36642" s="48" t="s">
        <v>25577</v>
      </c>
      <c r="B36642" s="38">
        <v>33122.0</v>
      </c>
      <c r="C36642" s="38" t="s">
        <v>40698</v>
      </c>
      <c r="D36642" s="38" t="str">
        <f>IFERROR(__xludf.DUMMYFUNCTION("REGEXREPLACE(C36642,""-\d+(.*)|--\d+(.*)"","""")"),"CESTAS")</f>
        <v>CESTAS</v>
      </c>
      <c r="E36642" s="38" t="s">
        <v>462</v>
      </c>
      <c r="F36642" s="38" t="s">
        <v>252</v>
      </c>
      <c r="G36642" s="49" t="str">
        <f t="shared" si="1"/>
        <v>33610</v>
      </c>
      <c r="H36642" s="49">
        <f t="shared" si="2"/>
        <v>33122</v>
      </c>
    </row>
    <row r="36643">
      <c r="A36643" s="48" t="s">
        <v>5842</v>
      </c>
      <c r="B36643" s="38">
        <v>53187.0</v>
      </c>
      <c r="C36643" s="38" t="s">
        <v>40699</v>
      </c>
      <c r="D36643" s="38" t="str">
        <f>IFERROR(__xludf.DUMMYFUNCTION("REGEXREPLACE(C36643,""-\d+(.*)|--\d+(.*)"","""")"),"RAVIGNY")</f>
        <v>RAVIGNY</v>
      </c>
      <c r="E36643" s="38" t="s">
        <v>518</v>
      </c>
      <c r="F36643" s="38" t="s">
        <v>180</v>
      </c>
      <c r="G36643" s="49" t="str">
        <f t="shared" si="1"/>
        <v>61420</v>
      </c>
      <c r="H36643" s="49">
        <f t="shared" si="2"/>
        <v>53187</v>
      </c>
    </row>
    <row r="36644">
      <c r="A36644" s="48" t="s">
        <v>8393</v>
      </c>
      <c r="B36644" s="38">
        <v>80522.0</v>
      </c>
      <c r="C36644" s="38" t="s">
        <v>40700</v>
      </c>
      <c r="D36644" s="38" t="str">
        <f>IFERROR(__xludf.DUMMYFUNCTION("REGEXREPLACE(C36644,""-\d+(.*)|--\d+(.*)"","""")"),"LE MAZIS")</f>
        <v>LE MAZIS</v>
      </c>
      <c r="E36644" s="38" t="s">
        <v>224</v>
      </c>
      <c r="F36644" s="38" t="s">
        <v>113</v>
      </c>
      <c r="G36644" s="49" t="str">
        <f t="shared" si="1"/>
        <v>80430</v>
      </c>
      <c r="H36644" s="49">
        <f t="shared" si="2"/>
        <v>80522</v>
      </c>
    </row>
    <row r="36645">
      <c r="A36645" s="48" t="s">
        <v>1018</v>
      </c>
      <c r="B36645" s="38">
        <v>60411.0</v>
      </c>
      <c r="C36645" s="38" t="s">
        <v>40701</v>
      </c>
      <c r="D36645" s="38" t="str">
        <f>IFERROR(__xludf.DUMMYFUNCTION("REGEXREPLACE(C36645,""-\d+(.*)|--\d+(.*)"","""")"),"MONNEVILLE")</f>
        <v>MONNEVILLE</v>
      </c>
      <c r="E36645" s="38" t="s">
        <v>112</v>
      </c>
      <c r="F36645" s="38" t="s">
        <v>113</v>
      </c>
      <c r="G36645" s="49" t="str">
        <f t="shared" si="1"/>
        <v>60240</v>
      </c>
      <c r="H36645" s="49">
        <f t="shared" si="2"/>
        <v>60411</v>
      </c>
    </row>
    <row r="36646">
      <c r="A36646" s="48" t="s">
        <v>24362</v>
      </c>
      <c r="B36646" s="38">
        <v>2685.0</v>
      </c>
      <c r="C36646" s="38" t="s">
        <v>40702</v>
      </c>
      <c r="D36646" s="38" t="str">
        <f>IFERROR(__xludf.DUMMYFUNCTION("REGEXREPLACE(C36646,""-\d+(.*)|--\d+(.*)"","""")"),"SAINT-NICOLAS-AUX-BOIS")</f>
        <v>SAINT-NICOLAS-AUX-BOIS</v>
      </c>
      <c r="E36646" s="38" t="s">
        <v>191</v>
      </c>
      <c r="F36646" s="38" t="s">
        <v>113</v>
      </c>
      <c r="G36646" s="49" t="str">
        <f t="shared" si="1"/>
        <v>02410</v>
      </c>
      <c r="H36646" s="49" t="str">
        <f t="shared" si="2"/>
        <v>02685</v>
      </c>
    </row>
    <row r="36647">
      <c r="A36647" s="48" t="s">
        <v>7700</v>
      </c>
      <c r="B36647" s="38">
        <v>23227.0</v>
      </c>
      <c r="C36647" s="38" t="s">
        <v>40703</v>
      </c>
      <c r="D36647" s="38" t="str">
        <f>IFERROR(__xludf.DUMMYFUNCTION("REGEXREPLACE(C36647,""-\d+(.*)|--\d+(.*)"","""")"),"SAINT-PARDOUX-MORTEROLLES")</f>
        <v>SAINT-PARDOUX-MORTEROLLES</v>
      </c>
      <c r="E36647" s="38" t="s">
        <v>97</v>
      </c>
      <c r="F36647" s="38" t="s">
        <v>98</v>
      </c>
      <c r="G36647" s="49" t="str">
        <f t="shared" si="1"/>
        <v>23400</v>
      </c>
      <c r="H36647" s="49">
        <f t="shared" si="2"/>
        <v>23227</v>
      </c>
    </row>
    <row r="36648">
      <c r="A36648" s="48" t="s">
        <v>1054</v>
      </c>
      <c r="B36648" s="38">
        <v>46284.0</v>
      </c>
      <c r="C36648" s="38" t="s">
        <v>40704</v>
      </c>
      <c r="D36648" s="38" t="str">
        <f>IFERROR(__xludf.DUMMYFUNCTION("REGEXREPLACE(C36648,""-\d+(.*)|--\d+(.*)"","""")"),"SAINT-MICHEL-LOUBEJOU")</f>
        <v>SAINT-MICHEL-LOUBEJOU</v>
      </c>
      <c r="E36648" s="38" t="s">
        <v>185</v>
      </c>
      <c r="F36648" s="38" t="s">
        <v>94</v>
      </c>
      <c r="G36648" s="49" t="str">
        <f t="shared" si="1"/>
        <v>46130</v>
      </c>
      <c r="H36648" s="49">
        <f t="shared" si="2"/>
        <v>46284</v>
      </c>
    </row>
    <row r="36649">
      <c r="A36649" s="48" t="s">
        <v>10194</v>
      </c>
      <c r="B36649" s="38">
        <v>19188.0</v>
      </c>
      <c r="C36649" s="38" t="s">
        <v>40705</v>
      </c>
      <c r="D36649" s="38" t="str">
        <f>IFERROR(__xludf.DUMMYFUNCTION("REGEXREPLACE(C36649,""-\d+(.*)|--\d+(.*)"","""")"),"SAINT-BONNET-L'ENFANTIER")</f>
        <v>SAINT-BONNET-L'ENFANTIER</v>
      </c>
      <c r="E36649" s="38" t="s">
        <v>271</v>
      </c>
      <c r="F36649" s="38" t="s">
        <v>98</v>
      </c>
      <c r="G36649" s="49" t="str">
        <f t="shared" si="1"/>
        <v>19410</v>
      </c>
      <c r="H36649" s="49">
        <f t="shared" si="2"/>
        <v>19188</v>
      </c>
    </row>
    <row r="36650">
      <c r="A36650" s="48" t="s">
        <v>7107</v>
      </c>
      <c r="B36650" s="38">
        <v>10433.0</v>
      </c>
      <c r="C36650" s="38" t="s">
        <v>40706</v>
      </c>
      <c r="D36650" s="38" t="str">
        <f>IFERROR(__xludf.DUMMYFUNCTION("REGEXREPLACE(C36650,""-\d+(.*)|--\d+(.*)"","""")"),"VILLY-EN-TRODES")</f>
        <v>VILLY-EN-TRODES</v>
      </c>
      <c r="E36650" s="38" t="s">
        <v>147</v>
      </c>
      <c r="F36650" s="38" t="s">
        <v>130</v>
      </c>
      <c r="G36650" s="49" t="str">
        <f t="shared" si="1"/>
        <v>10140</v>
      </c>
      <c r="H36650" s="49">
        <f t="shared" si="2"/>
        <v>10433</v>
      </c>
    </row>
    <row r="36651">
      <c r="A36651" s="48" t="s">
        <v>13344</v>
      </c>
      <c r="B36651" s="38">
        <v>37206.0</v>
      </c>
      <c r="C36651" s="38" t="s">
        <v>40707</v>
      </c>
      <c r="D36651" s="38" t="str">
        <f>IFERROR(__xludf.DUMMYFUNCTION("REGEXREPLACE(C36651,""-\d+(.*)|--\d+(.*)"","""")"),"SAINT-ANTOINE-DU-ROCHER")</f>
        <v>SAINT-ANTOINE-DU-ROCHER</v>
      </c>
      <c r="E36651" s="38" t="s">
        <v>205</v>
      </c>
      <c r="F36651" s="38" t="s">
        <v>123</v>
      </c>
      <c r="G36651" s="49" t="str">
        <f t="shared" si="1"/>
        <v>37360</v>
      </c>
      <c r="H36651" s="49">
        <f t="shared" si="2"/>
        <v>37206</v>
      </c>
    </row>
    <row r="36652">
      <c r="A36652" s="48" t="s">
        <v>40708</v>
      </c>
      <c r="B36652" s="38">
        <v>45127.0</v>
      </c>
      <c r="C36652" s="38" t="s">
        <v>40709</v>
      </c>
      <c r="D36652" s="38" t="str">
        <f>IFERROR(__xludf.DUMMYFUNCTION("REGEXREPLACE(C36652,""-\d+(.*)|--\d+(.*)"","""")"),"DORDIVES")</f>
        <v>DORDIVES</v>
      </c>
      <c r="E36652" s="38" t="s">
        <v>122</v>
      </c>
      <c r="F36652" s="38" t="s">
        <v>123</v>
      </c>
      <c r="G36652" s="49" t="str">
        <f t="shared" si="1"/>
        <v>45680</v>
      </c>
      <c r="H36652" s="49">
        <f t="shared" si="2"/>
        <v>45127</v>
      </c>
    </row>
    <row r="36653">
      <c r="A36653" s="48" t="s">
        <v>11115</v>
      </c>
      <c r="B36653" s="38">
        <v>34311.0</v>
      </c>
      <c r="C36653" s="38" t="s">
        <v>40710</v>
      </c>
      <c r="D36653" s="38" t="str">
        <f>IFERROR(__xludf.DUMMYFUNCTION("REGEXREPLACE(C36653,""-\d+(.*)|--\d+(.*)"","""")"),"TOURBES")</f>
        <v>TOURBES</v>
      </c>
      <c r="E36653" s="38" t="s">
        <v>118</v>
      </c>
      <c r="F36653" s="38" t="s">
        <v>119</v>
      </c>
      <c r="G36653" s="49" t="str">
        <f t="shared" si="1"/>
        <v>34120</v>
      </c>
      <c r="H36653" s="49">
        <f t="shared" si="2"/>
        <v>34311</v>
      </c>
    </row>
    <row r="36654">
      <c r="A36654" s="48" t="s">
        <v>13460</v>
      </c>
      <c r="B36654" s="38">
        <v>68213.0</v>
      </c>
      <c r="C36654" s="38" t="s">
        <v>40711</v>
      </c>
      <c r="D36654" s="38" t="str">
        <f>IFERROR(__xludf.DUMMYFUNCTION("REGEXREPLACE(C36654,""-\d+(.*)|--\d+(.*)"","""")"),"MOLLAU")</f>
        <v>MOLLAU</v>
      </c>
      <c r="E36654" s="38" t="s">
        <v>150</v>
      </c>
      <c r="F36654" s="38" t="s">
        <v>151</v>
      </c>
      <c r="G36654" s="49" t="str">
        <f t="shared" si="1"/>
        <v>68470</v>
      </c>
      <c r="H36654" s="49">
        <f t="shared" si="2"/>
        <v>68213</v>
      </c>
    </row>
    <row r="36655">
      <c r="A36655" s="48" t="s">
        <v>40712</v>
      </c>
      <c r="B36655" s="38">
        <v>44194.0</v>
      </c>
      <c r="C36655" s="38" t="s">
        <v>40713</v>
      </c>
      <c r="D36655" s="38" t="str">
        <f>IFERROR(__xludf.DUMMYFUNCTION("REGEXREPLACE(C36655,""-\d+(.*)|--\d+(.*)"","""")"),"SAUTRON")</f>
        <v>SAUTRON</v>
      </c>
      <c r="E36655" s="38" t="s">
        <v>759</v>
      </c>
      <c r="F36655" s="38" t="s">
        <v>180</v>
      </c>
      <c r="G36655" s="49" t="str">
        <f t="shared" si="1"/>
        <v>44880</v>
      </c>
      <c r="H36655" s="49">
        <f t="shared" si="2"/>
        <v>44194</v>
      </c>
    </row>
    <row r="36656">
      <c r="A36656" s="48" t="s">
        <v>1746</v>
      </c>
      <c r="B36656" s="38">
        <v>62151.0</v>
      </c>
      <c r="C36656" s="38" t="s">
        <v>40714</v>
      </c>
      <c r="D36656" s="38" t="str">
        <f>IFERROR(__xludf.DUMMYFUNCTION("REGEXREPLACE(C36656,""-\d+(.*)|--\d+(.*)"","""")"),"BOISLEUX-AU-MONT")</f>
        <v>BOISLEUX-AU-MONT</v>
      </c>
      <c r="E36656" s="38" t="s">
        <v>109</v>
      </c>
      <c r="F36656" s="38" t="s">
        <v>86</v>
      </c>
      <c r="G36656" s="49" t="str">
        <f t="shared" si="1"/>
        <v>62175</v>
      </c>
      <c r="H36656" s="49">
        <f t="shared" si="2"/>
        <v>62151</v>
      </c>
    </row>
    <row r="36657">
      <c r="A36657" s="48" t="s">
        <v>1518</v>
      </c>
      <c r="B36657" s="38">
        <v>88006.0</v>
      </c>
      <c r="C36657" s="38" t="s">
        <v>40715</v>
      </c>
      <c r="D36657" s="38" t="str">
        <f>IFERROR(__xludf.DUMMYFUNCTION("REGEXREPLACE(C36657,""-\d+(.*)|--\d+(.*)"","""")"),"AMBACOURT")</f>
        <v>AMBACOURT</v>
      </c>
      <c r="E36657" s="38" t="s">
        <v>194</v>
      </c>
      <c r="F36657" s="38" t="s">
        <v>195</v>
      </c>
      <c r="G36657" s="49" t="str">
        <f t="shared" si="1"/>
        <v>88500</v>
      </c>
      <c r="H36657" s="49">
        <f t="shared" si="2"/>
        <v>88006</v>
      </c>
    </row>
    <row r="36658">
      <c r="A36658" s="48" t="s">
        <v>6945</v>
      </c>
      <c r="B36658" s="38">
        <v>80465.0</v>
      </c>
      <c r="C36658" s="38" t="s">
        <v>40716</v>
      </c>
      <c r="D36658" s="38" t="str">
        <f>IFERROR(__xludf.DUMMYFUNCTION("REGEXREPLACE(C36658,""-\d+(.*)|--\d+(.*)"","""")"),"LANGUEVOISIN-QUIQUERY")</f>
        <v>LANGUEVOISIN-QUIQUERY</v>
      </c>
      <c r="E36658" s="38" t="s">
        <v>224</v>
      </c>
      <c r="F36658" s="38" t="s">
        <v>113</v>
      </c>
      <c r="G36658" s="49" t="str">
        <f t="shared" si="1"/>
        <v>80190</v>
      </c>
      <c r="H36658" s="49">
        <f t="shared" si="2"/>
        <v>80465</v>
      </c>
    </row>
    <row r="36659">
      <c r="A36659" s="48" t="s">
        <v>4679</v>
      </c>
      <c r="B36659" s="38">
        <v>17165.0</v>
      </c>
      <c r="C36659" s="38" t="s">
        <v>40717</v>
      </c>
      <c r="D36659" s="38" t="str">
        <f>IFERROR(__xludf.DUMMYFUNCTION("REGEXREPLACE(C36659,""-\d+(.*)|--\d+(.*)"","""")"),"FONTENET")</f>
        <v>FONTENET</v>
      </c>
      <c r="E36659" s="38" t="s">
        <v>488</v>
      </c>
      <c r="F36659" s="38" t="s">
        <v>338</v>
      </c>
      <c r="G36659" s="49" t="str">
        <f t="shared" si="1"/>
        <v>17400</v>
      </c>
      <c r="H36659" s="49">
        <f t="shared" si="2"/>
        <v>17165</v>
      </c>
    </row>
    <row r="36660">
      <c r="A36660" s="48" t="s">
        <v>6701</v>
      </c>
      <c r="B36660" s="38">
        <v>77229.0</v>
      </c>
      <c r="C36660" s="38" t="s">
        <v>40718</v>
      </c>
      <c r="D36660" s="38" t="str">
        <f>IFERROR(__xludf.DUMMYFUNCTION("REGEXREPLACE(C36660,""-\d+(.*)|--\d+(.*)"","""")"),"LA HOUSSAYE-EN-BRIE")</f>
        <v>LA HOUSSAYE-EN-BRIE</v>
      </c>
      <c r="E36660" s="38" t="s">
        <v>244</v>
      </c>
      <c r="F36660" s="38" t="s">
        <v>245</v>
      </c>
      <c r="G36660" s="49" t="str">
        <f t="shared" si="1"/>
        <v>77610</v>
      </c>
      <c r="H36660" s="49">
        <f t="shared" si="2"/>
        <v>77229</v>
      </c>
    </row>
    <row r="36661">
      <c r="A36661" s="48" t="s">
        <v>23957</v>
      </c>
      <c r="B36661" s="38">
        <v>30312.0</v>
      </c>
      <c r="C36661" s="38" t="s">
        <v>677</v>
      </c>
      <c r="D36661" s="38" t="str">
        <f>IFERROR(__xludf.DUMMYFUNCTION("REGEXREPLACE(C36661,""-\d+(.*)|--\d+(.*)"","""")"),"SAUVETERRE")</f>
        <v>SAUVETERRE</v>
      </c>
      <c r="E36661" s="38" t="s">
        <v>526</v>
      </c>
      <c r="F36661" s="38" t="s">
        <v>119</v>
      </c>
      <c r="G36661" s="49" t="str">
        <f t="shared" si="1"/>
        <v>30150</v>
      </c>
      <c r="H36661" s="49">
        <f t="shared" si="2"/>
        <v>30312</v>
      </c>
    </row>
    <row r="36662">
      <c r="A36662" s="48" t="s">
        <v>1700</v>
      </c>
      <c r="B36662" s="38">
        <v>35286.0</v>
      </c>
      <c r="C36662" s="38" t="s">
        <v>40719</v>
      </c>
      <c r="D36662" s="38" t="str">
        <f>IFERROR(__xludf.DUMMYFUNCTION("REGEXREPLACE(C36662,""-\d+(.*)|--\d+(.*)"","""")"),"SAINT-LEGER-DES-PRES")</f>
        <v>SAINT-LEGER-DES-PRES</v>
      </c>
      <c r="E36662" s="38" t="s">
        <v>347</v>
      </c>
      <c r="F36662" s="38" t="s">
        <v>90</v>
      </c>
      <c r="G36662" s="49" t="str">
        <f t="shared" si="1"/>
        <v>35270</v>
      </c>
      <c r="H36662" s="49">
        <f t="shared" si="2"/>
        <v>35286</v>
      </c>
    </row>
    <row r="36663">
      <c r="A36663" s="48" t="s">
        <v>15941</v>
      </c>
      <c r="B36663" s="38">
        <v>71059.0</v>
      </c>
      <c r="C36663" s="38" t="s">
        <v>21813</v>
      </c>
      <c r="D36663" s="38" t="str">
        <f>IFERROR(__xludf.DUMMYFUNCTION("REGEXREPLACE(C36663,""-\d+(.*)|--\d+(.*)"","""")"),"LE BREUIL")</f>
        <v>LE BREUIL</v>
      </c>
      <c r="E36663" s="38" t="s">
        <v>344</v>
      </c>
      <c r="F36663" s="38" t="s">
        <v>106</v>
      </c>
      <c r="G36663" s="49" t="str">
        <f t="shared" si="1"/>
        <v>71670</v>
      </c>
      <c r="H36663" s="49">
        <f t="shared" si="2"/>
        <v>71059</v>
      </c>
    </row>
    <row r="36664">
      <c r="A36664" s="48" t="s">
        <v>2851</v>
      </c>
      <c r="B36664" s="38">
        <v>41038.0</v>
      </c>
      <c r="C36664" s="38" t="s">
        <v>40720</v>
      </c>
      <c r="D36664" s="38" t="str">
        <f>IFERROR(__xludf.DUMMYFUNCTION("REGEXREPLACE(C36664,""-\d+(.*)|--\d+(.*)"","""")"),"LA CHAPELLE-MONTMARTIN")</f>
        <v>LA CHAPELLE-MONTMARTIN</v>
      </c>
      <c r="E36664" s="38" t="s">
        <v>188</v>
      </c>
      <c r="F36664" s="38" t="s">
        <v>123</v>
      </c>
      <c r="G36664" s="49" t="str">
        <f t="shared" si="1"/>
        <v>41320</v>
      </c>
      <c r="H36664" s="49">
        <f t="shared" si="2"/>
        <v>41038</v>
      </c>
    </row>
    <row r="36665">
      <c r="A36665" s="48" t="s">
        <v>2594</v>
      </c>
      <c r="B36665" s="38">
        <v>69108.0</v>
      </c>
      <c r="C36665" s="38" t="s">
        <v>40721</v>
      </c>
      <c r="D36665" s="38" t="str">
        <f>IFERROR(__xludf.DUMMYFUNCTION("REGEXREPLACE(C36665,""-\d+(.*)|--\d+(.*)"","""")"),"LANCIE")</f>
        <v>LANCIE</v>
      </c>
      <c r="E36665" s="38" t="s">
        <v>350</v>
      </c>
      <c r="F36665" s="38" t="s">
        <v>102</v>
      </c>
      <c r="G36665" s="49" t="str">
        <f t="shared" si="1"/>
        <v>69220</v>
      </c>
      <c r="H36665" s="49">
        <f t="shared" si="2"/>
        <v>69108</v>
      </c>
    </row>
    <row r="36666">
      <c r="A36666" s="48" t="s">
        <v>1526</v>
      </c>
      <c r="B36666" s="38">
        <v>60122.0</v>
      </c>
      <c r="C36666" s="38" t="s">
        <v>18481</v>
      </c>
      <c r="D36666" s="38" t="str">
        <f>IFERROR(__xludf.DUMMYFUNCTION("REGEXREPLACE(C36666,""-\d+(.*)|--\d+(.*)"","""")"),"CAMPEAUX")</f>
        <v>CAMPEAUX</v>
      </c>
      <c r="E36666" s="38" t="s">
        <v>112</v>
      </c>
      <c r="F36666" s="38" t="s">
        <v>113</v>
      </c>
      <c r="G36666" s="49" t="str">
        <f t="shared" si="1"/>
        <v>60220</v>
      </c>
      <c r="H36666" s="49">
        <f t="shared" si="2"/>
        <v>60122</v>
      </c>
    </row>
    <row r="36667">
      <c r="A36667" s="48" t="s">
        <v>11910</v>
      </c>
      <c r="B36667" s="38">
        <v>46211.0</v>
      </c>
      <c r="C36667" s="38" t="s">
        <v>40722</v>
      </c>
      <c r="D36667" s="38" t="str">
        <f>IFERROR(__xludf.DUMMYFUNCTION("REGEXREPLACE(C36667,""-\d+(.*)|--\d+(.*)"","""")"),"NUZEJOULS")</f>
        <v>NUZEJOULS</v>
      </c>
      <c r="E36667" s="38" t="s">
        <v>185</v>
      </c>
      <c r="F36667" s="38" t="s">
        <v>94</v>
      </c>
      <c r="G36667" s="49" t="str">
        <f t="shared" si="1"/>
        <v>46150</v>
      </c>
      <c r="H36667" s="49">
        <f t="shared" si="2"/>
        <v>46211</v>
      </c>
    </row>
    <row r="36668">
      <c r="A36668" s="48" t="s">
        <v>2508</v>
      </c>
      <c r="B36668" s="38">
        <v>1443.0</v>
      </c>
      <c r="C36668" s="38" t="s">
        <v>40723</v>
      </c>
      <c r="D36668" s="38" t="str">
        <f>IFERROR(__xludf.DUMMYFUNCTION("REGEXREPLACE(C36668,""-\d+(.*)|--\d+(.*)"","""")"),"VILLARS-LES-DOMBES")</f>
        <v>VILLARS-LES-DOMBES</v>
      </c>
      <c r="E36668" s="38" t="s">
        <v>255</v>
      </c>
      <c r="F36668" s="38" t="s">
        <v>102</v>
      </c>
      <c r="G36668" s="49" t="str">
        <f t="shared" si="1"/>
        <v>01330</v>
      </c>
      <c r="H36668" s="49" t="str">
        <f t="shared" si="2"/>
        <v>01443</v>
      </c>
    </row>
    <row r="36669">
      <c r="A36669" s="48" t="s">
        <v>19257</v>
      </c>
      <c r="B36669" s="38">
        <v>69003.0</v>
      </c>
      <c r="C36669" s="38" t="s">
        <v>40724</v>
      </c>
      <c r="D36669" s="38" t="str">
        <f>IFERROR(__xludf.DUMMYFUNCTION("REGEXREPLACE(C36669,""-\d+(.*)|--\d+(.*)"","""")"),"ALBIGNY-SUR-SAONE")</f>
        <v>ALBIGNY-SUR-SAONE</v>
      </c>
      <c r="E36669" s="38" t="s">
        <v>350</v>
      </c>
      <c r="F36669" s="38" t="s">
        <v>102</v>
      </c>
      <c r="G36669" s="49" t="str">
        <f t="shared" si="1"/>
        <v>69250</v>
      </c>
      <c r="H36669" s="49">
        <f t="shared" si="2"/>
        <v>69003</v>
      </c>
    </row>
    <row r="36670">
      <c r="A36670" s="48" t="s">
        <v>4193</v>
      </c>
      <c r="B36670" s="38">
        <v>17180.0</v>
      </c>
      <c r="C36670" s="38" t="s">
        <v>40725</v>
      </c>
      <c r="D36670" s="38" t="str">
        <f>IFERROR(__xludf.DUMMYFUNCTION("REGEXREPLACE(C36670,""-\d+(.*)|--\d+(.*)"","""")"),"GOURVILLETTE")</f>
        <v>GOURVILLETTE</v>
      </c>
      <c r="E36670" s="38" t="s">
        <v>488</v>
      </c>
      <c r="F36670" s="38" t="s">
        <v>338</v>
      </c>
      <c r="G36670" s="49" t="str">
        <f t="shared" si="1"/>
        <v>17490</v>
      </c>
      <c r="H36670" s="49">
        <f t="shared" si="2"/>
        <v>17180</v>
      </c>
    </row>
    <row r="36671">
      <c r="A36671" s="48" t="s">
        <v>17439</v>
      </c>
      <c r="B36671" s="38">
        <v>3151.0</v>
      </c>
      <c r="C36671" s="38" t="s">
        <v>40726</v>
      </c>
      <c r="D36671" s="38" t="str">
        <f>IFERROR(__xludf.DUMMYFUNCTION("REGEXREPLACE(C36671,""-\d+(.*)|--\d+(.*)"","""")"),"LOUROUX-DE-BEAUNE")</f>
        <v>LOUROUX-DE-BEAUNE</v>
      </c>
      <c r="E36671" s="38" t="s">
        <v>160</v>
      </c>
      <c r="F36671" s="38" t="s">
        <v>161</v>
      </c>
      <c r="G36671" s="49" t="str">
        <f t="shared" si="1"/>
        <v>03600</v>
      </c>
      <c r="H36671" s="49" t="str">
        <f t="shared" si="2"/>
        <v>03151</v>
      </c>
    </row>
    <row r="36672">
      <c r="A36672" s="48" t="s">
        <v>2174</v>
      </c>
      <c r="B36672" s="38">
        <v>35184.0</v>
      </c>
      <c r="C36672" s="38" t="s">
        <v>40727</v>
      </c>
      <c r="D36672" s="38" t="str">
        <f>IFERROR(__xludf.DUMMYFUNCTION("REGEXREPLACE(C36672,""-\d+(.*)|--\d+(.*)"","""")"),"MONTAUBAN-DE-BRETAGNE")</f>
        <v>MONTAUBAN-DE-BRETAGNE</v>
      </c>
      <c r="E36672" s="38" t="s">
        <v>347</v>
      </c>
      <c r="F36672" s="38" t="s">
        <v>90</v>
      </c>
      <c r="G36672" s="49" t="str">
        <f t="shared" si="1"/>
        <v>35360</v>
      </c>
      <c r="H36672" s="49">
        <f t="shared" si="2"/>
        <v>35184</v>
      </c>
    </row>
    <row r="36673">
      <c r="A36673" s="48" t="s">
        <v>6372</v>
      </c>
      <c r="B36673" s="38">
        <v>79309.0</v>
      </c>
      <c r="C36673" s="38" t="s">
        <v>40728</v>
      </c>
      <c r="D36673" s="38" t="str">
        <f>IFERROR(__xludf.DUMMYFUNCTION("REGEXREPLACE(C36673,""-\d+(.*)|--\d+(.*)"","""")"),"SCILLE")</f>
        <v>SCILLE</v>
      </c>
      <c r="E36673" s="38" t="s">
        <v>337</v>
      </c>
      <c r="F36673" s="38" t="s">
        <v>338</v>
      </c>
      <c r="G36673" s="49" t="str">
        <f t="shared" si="1"/>
        <v>79240</v>
      </c>
      <c r="H36673" s="49">
        <f t="shared" si="2"/>
        <v>79309</v>
      </c>
    </row>
    <row r="36674">
      <c r="A36674" s="48" t="s">
        <v>1724</v>
      </c>
      <c r="B36674" s="38">
        <v>26271.0</v>
      </c>
      <c r="C36674" s="38" t="s">
        <v>40729</v>
      </c>
      <c r="D36674" s="38" t="str">
        <f>IFERROR(__xludf.DUMMYFUNCTION("REGEXREPLACE(C36674,""-\d+(.*)|--\d+(.*)"","""")"),"LA ROCHE-DE-GLUN")</f>
        <v>LA ROCHE-DE-GLUN</v>
      </c>
      <c r="E36674" s="38" t="s">
        <v>126</v>
      </c>
      <c r="F36674" s="38" t="s">
        <v>102</v>
      </c>
      <c r="G36674" s="49" t="str">
        <f t="shared" si="1"/>
        <v>26600</v>
      </c>
      <c r="H36674" s="49">
        <f t="shared" si="2"/>
        <v>26271</v>
      </c>
    </row>
    <row r="36675">
      <c r="A36675" s="48" t="s">
        <v>20186</v>
      </c>
      <c r="B36675" s="38">
        <v>23076.0</v>
      </c>
      <c r="C36675" s="38" t="s">
        <v>40730</v>
      </c>
      <c r="D36675" s="38" t="str">
        <f>IFERROR(__xludf.DUMMYFUNCTION("REGEXREPLACE(C36675,""-\d+(.*)|--\d+(.*)"","""")"),"EVAUX-LES-BAINS")</f>
        <v>EVAUX-LES-BAINS</v>
      </c>
      <c r="E36675" s="38" t="s">
        <v>97</v>
      </c>
      <c r="F36675" s="38" t="s">
        <v>98</v>
      </c>
      <c r="G36675" s="49" t="str">
        <f t="shared" si="1"/>
        <v>23110</v>
      </c>
      <c r="H36675" s="49">
        <f t="shared" si="2"/>
        <v>23076</v>
      </c>
    </row>
    <row r="36676">
      <c r="A36676" s="48" t="s">
        <v>3135</v>
      </c>
      <c r="B36676" s="38">
        <v>12057.0</v>
      </c>
      <c r="C36676" s="38" t="s">
        <v>40731</v>
      </c>
      <c r="D36676" s="38" t="str">
        <f>IFERROR(__xludf.DUMMYFUNCTION("REGEXREPLACE(C36676,""-\d+(.*)|--\d+(.*)"","""")"),"CASSAGNES-BEGONHES")</f>
        <v>CASSAGNES-BEGONHES</v>
      </c>
      <c r="E36676" s="38" t="s">
        <v>465</v>
      </c>
      <c r="F36676" s="38" t="s">
        <v>94</v>
      </c>
      <c r="G36676" s="49" t="str">
        <f t="shared" si="1"/>
        <v>12120</v>
      </c>
      <c r="H36676" s="49">
        <f t="shared" si="2"/>
        <v>12057</v>
      </c>
    </row>
    <row r="36677">
      <c r="A36677" s="48" t="s">
        <v>6075</v>
      </c>
      <c r="B36677" s="38">
        <v>63078.0</v>
      </c>
      <c r="C36677" s="38" t="s">
        <v>40732</v>
      </c>
      <c r="D36677" s="38" t="str">
        <f>IFERROR(__xludf.DUMMYFUNCTION("REGEXREPLACE(C36677,""-\d+(.*)|--\d+(.*)"","""")"),"CHAMEANE")</f>
        <v>CHAMEANE</v>
      </c>
      <c r="E36677" s="38" t="s">
        <v>353</v>
      </c>
      <c r="F36677" s="38" t="s">
        <v>161</v>
      </c>
      <c r="G36677" s="49" t="str">
        <f t="shared" si="1"/>
        <v>63580</v>
      </c>
      <c r="H36677" s="49">
        <f t="shared" si="2"/>
        <v>63078</v>
      </c>
    </row>
    <row r="36678">
      <c r="A36678" s="48" t="s">
        <v>5806</v>
      </c>
      <c r="B36678" s="38">
        <v>39176.0</v>
      </c>
      <c r="C36678" s="38" t="s">
        <v>40733</v>
      </c>
      <c r="D36678" s="38" t="str">
        <f>IFERROR(__xludf.DUMMYFUNCTION("REGEXREPLACE(C36678,""-\d+(.*)|--\d+(.*)"","""")"),"CRAMANS")</f>
        <v>CRAMANS</v>
      </c>
      <c r="E36678" s="38" t="s">
        <v>400</v>
      </c>
      <c r="F36678" s="38" t="s">
        <v>214</v>
      </c>
      <c r="G36678" s="49" t="str">
        <f t="shared" si="1"/>
        <v>39600</v>
      </c>
      <c r="H36678" s="49">
        <f t="shared" si="2"/>
        <v>39176</v>
      </c>
    </row>
    <row r="36679">
      <c r="A36679" s="48" t="s">
        <v>430</v>
      </c>
      <c r="B36679" s="38">
        <v>2225.0</v>
      </c>
      <c r="C36679" s="38" t="s">
        <v>20799</v>
      </c>
      <c r="D36679" s="38" t="str">
        <f>IFERROR(__xludf.DUMMYFUNCTION("REGEXREPLACE(C36679,""-\d+(.*)|--\d+(.*)"","""")"),"COURCHAMPS")</f>
        <v>COURCHAMPS</v>
      </c>
      <c r="E36679" s="38" t="s">
        <v>191</v>
      </c>
      <c r="F36679" s="38" t="s">
        <v>113</v>
      </c>
      <c r="G36679" s="49" t="str">
        <f t="shared" si="1"/>
        <v>02810</v>
      </c>
      <c r="H36679" s="49" t="str">
        <f t="shared" si="2"/>
        <v>02225</v>
      </c>
    </row>
    <row r="36680">
      <c r="A36680" s="48" t="s">
        <v>2668</v>
      </c>
      <c r="B36680" s="38">
        <v>55422.0</v>
      </c>
      <c r="C36680" s="38" t="s">
        <v>40734</v>
      </c>
      <c r="D36680" s="38" t="str">
        <f>IFERROR(__xludf.DUMMYFUNCTION("REGEXREPLACE(C36680,""-\d+(.*)|--\d+(.*)"","""")"),"REGNEVILLE-SUR-MEUSE")</f>
        <v>REGNEVILLE-SUR-MEUSE</v>
      </c>
      <c r="E36680" s="38" t="s">
        <v>322</v>
      </c>
      <c r="F36680" s="38" t="s">
        <v>195</v>
      </c>
      <c r="G36680" s="49" t="str">
        <f t="shared" si="1"/>
        <v>55110</v>
      </c>
      <c r="H36680" s="49">
        <f t="shared" si="2"/>
        <v>55422</v>
      </c>
    </row>
    <row r="36681">
      <c r="A36681" s="48" t="s">
        <v>10939</v>
      </c>
      <c r="B36681" s="38">
        <v>77355.0</v>
      </c>
      <c r="C36681" s="38" t="s">
        <v>16873</v>
      </c>
      <c r="D36681" s="38" t="str">
        <f>IFERROR(__xludf.DUMMYFUNCTION("REGEXREPLACE(C36681,""-\d+(.*)|--\d+(.*)"","""")"),"PAROY")</f>
        <v>PAROY</v>
      </c>
      <c r="E36681" s="38" t="s">
        <v>244</v>
      </c>
      <c r="F36681" s="38" t="s">
        <v>245</v>
      </c>
      <c r="G36681" s="49" t="str">
        <f t="shared" si="1"/>
        <v>77520</v>
      </c>
      <c r="H36681" s="49">
        <f t="shared" si="2"/>
        <v>77355</v>
      </c>
    </row>
    <row r="36682">
      <c r="A36682" s="48" t="s">
        <v>6367</v>
      </c>
      <c r="B36682" s="38" t="s">
        <v>40735</v>
      </c>
      <c r="C36682" s="38" t="s">
        <v>40736</v>
      </c>
      <c r="D36682" s="38" t="str">
        <f>IFERROR(__xludf.DUMMYFUNCTION("REGEXREPLACE(C36682,""-\d+(.*)|--\d+(.*)"","""")"),"CASTELLO-DI-ROSTINO")</f>
        <v>CASTELLO-DI-ROSTINO</v>
      </c>
      <c r="E36682" s="38" t="s">
        <v>743</v>
      </c>
      <c r="F36682" s="38" t="s">
        <v>607</v>
      </c>
      <c r="G36682" s="49" t="str">
        <f t="shared" si="1"/>
        <v>20235</v>
      </c>
      <c r="H36682" s="49" t="str">
        <f t="shared" si="2"/>
        <v>2B079</v>
      </c>
    </row>
    <row r="36683">
      <c r="A36683" s="48" t="s">
        <v>19399</v>
      </c>
      <c r="B36683" s="38">
        <v>64100.0</v>
      </c>
      <c r="C36683" s="38" t="s">
        <v>40737</v>
      </c>
      <c r="D36683" s="38" t="str">
        <f>IFERROR(__xludf.DUMMYFUNCTION("REGEXREPLACE(C36683,""-\d+(.*)|--\d+(.*)"","""")"),"BASSUSSARRY")</f>
        <v>BASSUSSARRY</v>
      </c>
      <c r="E36683" s="38" t="s">
        <v>268</v>
      </c>
      <c r="F36683" s="38" t="s">
        <v>252</v>
      </c>
      <c r="G36683" s="49" t="str">
        <f t="shared" si="1"/>
        <v>64200</v>
      </c>
      <c r="H36683" s="49">
        <f t="shared" si="2"/>
        <v>64100</v>
      </c>
    </row>
    <row r="36684">
      <c r="A36684" s="48" t="s">
        <v>3426</v>
      </c>
      <c r="B36684" s="38">
        <v>57366.0</v>
      </c>
      <c r="C36684" s="38" t="s">
        <v>40738</v>
      </c>
      <c r="D36684" s="38" t="str">
        <f>IFERROR(__xludf.DUMMYFUNCTION("REGEXREPLACE(C36684,""-\d+(.*)|--\d+(.*)"","""")"),"KIRVILLER")</f>
        <v>KIRVILLER</v>
      </c>
      <c r="E36684" s="38" t="s">
        <v>303</v>
      </c>
      <c r="F36684" s="38" t="s">
        <v>195</v>
      </c>
      <c r="G36684" s="49" t="str">
        <f t="shared" si="1"/>
        <v>57430</v>
      </c>
      <c r="H36684" s="49">
        <f t="shared" si="2"/>
        <v>57366</v>
      </c>
    </row>
    <row r="36685">
      <c r="A36685" s="48" t="s">
        <v>1866</v>
      </c>
      <c r="B36685" s="38">
        <v>61021.0</v>
      </c>
      <c r="C36685" s="38" t="s">
        <v>4053</v>
      </c>
      <c r="D36685" s="38" t="str">
        <f>IFERROR(__xludf.DUMMYFUNCTION("REGEXREPLACE(C36685,""-\d+(.*)|--\d+(.*)"","""")"),"AVRILLY")</f>
        <v>AVRILLY</v>
      </c>
      <c r="E36685" s="38" t="s">
        <v>141</v>
      </c>
      <c r="F36685" s="38" t="s">
        <v>138</v>
      </c>
      <c r="G36685" s="49" t="str">
        <f t="shared" si="1"/>
        <v>61700</v>
      </c>
      <c r="H36685" s="49">
        <f t="shared" si="2"/>
        <v>61021</v>
      </c>
    </row>
    <row r="36686">
      <c r="A36686" s="48" t="s">
        <v>2201</v>
      </c>
      <c r="B36686" s="38">
        <v>32034.0</v>
      </c>
      <c r="C36686" s="38" t="s">
        <v>40739</v>
      </c>
      <c r="D36686" s="38" t="str">
        <f>IFERROR(__xludf.DUMMYFUNCTION("REGEXREPLACE(C36686,""-\d+(.*)|--\d+(.*)"","""")"),"BAZUGUES")</f>
        <v>BAZUGUES</v>
      </c>
      <c r="E36686" s="38" t="s">
        <v>440</v>
      </c>
      <c r="F36686" s="38" t="s">
        <v>94</v>
      </c>
      <c r="G36686" s="49" t="str">
        <f t="shared" si="1"/>
        <v>32170</v>
      </c>
      <c r="H36686" s="49">
        <f t="shared" si="2"/>
        <v>32034</v>
      </c>
    </row>
    <row r="36687">
      <c r="A36687" s="48" t="s">
        <v>2170</v>
      </c>
      <c r="B36687" s="38">
        <v>80741.0</v>
      </c>
      <c r="C36687" s="38" t="s">
        <v>40740</v>
      </c>
      <c r="D36687" s="38" t="str">
        <f>IFERROR(__xludf.DUMMYFUNCTION("REGEXREPLACE(C36687,""-\d+(.*)|--\d+(.*)"","""")"),"SOYECOURT")</f>
        <v>SOYECOURT</v>
      </c>
      <c r="E36687" s="38" t="s">
        <v>224</v>
      </c>
      <c r="F36687" s="38" t="s">
        <v>113</v>
      </c>
      <c r="G36687" s="49" t="str">
        <f t="shared" si="1"/>
        <v>80200</v>
      </c>
      <c r="H36687" s="49">
        <f t="shared" si="2"/>
        <v>80741</v>
      </c>
    </row>
    <row r="36688">
      <c r="A36688" s="48" t="s">
        <v>40741</v>
      </c>
      <c r="B36688" s="38">
        <v>75114.0</v>
      </c>
      <c r="C36688" s="38" t="s">
        <v>40742</v>
      </c>
      <c r="D36688" s="38" t="str">
        <f>IFERROR(__xludf.DUMMYFUNCTION("REGEXREPLACE(C36688,""-\d+(.*)|--\d+(.*)"","""")"),"PARIS")</f>
        <v>PARIS</v>
      </c>
      <c r="E36688" s="38" t="s">
        <v>823</v>
      </c>
      <c r="F36688" s="38" t="s">
        <v>245</v>
      </c>
      <c r="G36688" s="49" t="str">
        <f t="shared" si="1"/>
        <v>75014</v>
      </c>
      <c r="H36688" s="49">
        <f t="shared" si="2"/>
        <v>75114</v>
      </c>
    </row>
    <row r="36689">
      <c r="A36689" s="48" t="s">
        <v>10324</v>
      </c>
      <c r="B36689" s="38">
        <v>54132.0</v>
      </c>
      <c r="C36689" s="38" t="s">
        <v>40743</v>
      </c>
      <c r="D36689" s="38" t="str">
        <f>IFERROR(__xludf.DUMMYFUNCTION("REGEXREPLACE(C36689,""-\d+(.*)|--\d+(.*)"","""")"),"CLEREY-SUR-BRENON")</f>
        <v>CLEREY-SUR-BRENON</v>
      </c>
      <c r="E36689" s="38" t="s">
        <v>548</v>
      </c>
      <c r="F36689" s="38" t="s">
        <v>195</v>
      </c>
      <c r="G36689" s="49" t="str">
        <f t="shared" si="1"/>
        <v>54330</v>
      </c>
      <c r="H36689" s="49">
        <f t="shared" si="2"/>
        <v>54132</v>
      </c>
    </row>
    <row r="36690">
      <c r="A36690" s="48" t="s">
        <v>844</v>
      </c>
      <c r="B36690" s="38">
        <v>72317.0</v>
      </c>
      <c r="C36690" s="38" t="s">
        <v>40744</v>
      </c>
      <c r="D36690" s="38" t="str">
        <f>IFERROR(__xludf.DUMMYFUNCTION("REGEXREPLACE(C36690,""-\d+(.*)|--\d+(.*)"","""")"),"SAINT-REMY-DU-VAL")</f>
        <v>SAINT-REMY-DU-VAL</v>
      </c>
      <c r="E36690" s="38" t="s">
        <v>521</v>
      </c>
      <c r="F36690" s="38" t="s">
        <v>180</v>
      </c>
      <c r="G36690" s="49" t="str">
        <f t="shared" si="1"/>
        <v>72600</v>
      </c>
      <c r="H36690" s="49">
        <f t="shared" si="2"/>
        <v>72317</v>
      </c>
    </row>
    <row r="36691">
      <c r="A36691" s="48" t="s">
        <v>928</v>
      </c>
      <c r="B36691" s="38">
        <v>38147.0</v>
      </c>
      <c r="C36691" s="38" t="s">
        <v>40745</v>
      </c>
      <c r="D36691" s="38" t="str">
        <f>IFERROR(__xludf.DUMMYFUNCTION("REGEXREPLACE(C36691,""-\d+(.*)|--\d+(.*)"","""")"),"DOISSIN")</f>
        <v>DOISSIN</v>
      </c>
      <c r="E36691" s="38" t="s">
        <v>101</v>
      </c>
      <c r="F36691" s="38" t="s">
        <v>102</v>
      </c>
      <c r="G36691" s="49" t="str">
        <f t="shared" si="1"/>
        <v>38730</v>
      </c>
      <c r="H36691" s="49">
        <f t="shared" si="2"/>
        <v>38147</v>
      </c>
    </row>
    <row r="36692">
      <c r="A36692" s="48" t="s">
        <v>3266</v>
      </c>
      <c r="B36692" s="38">
        <v>55452.0</v>
      </c>
      <c r="C36692" s="38" t="s">
        <v>40746</v>
      </c>
      <c r="D36692" s="38" t="str">
        <f>IFERROR(__xludf.DUMMYFUNCTION("REGEXREPLACE(C36692,""-\d+(.*)|--\d+(.*)"","""")"),"SAINT-AMAND-SUR-ORNAIN")</f>
        <v>SAINT-AMAND-SUR-ORNAIN</v>
      </c>
      <c r="E36692" s="38" t="s">
        <v>322</v>
      </c>
      <c r="F36692" s="38" t="s">
        <v>195</v>
      </c>
      <c r="G36692" s="49" t="str">
        <f t="shared" si="1"/>
        <v>55500</v>
      </c>
      <c r="H36692" s="49">
        <f t="shared" si="2"/>
        <v>55452</v>
      </c>
    </row>
    <row r="36693">
      <c r="A36693" s="48" t="s">
        <v>10802</v>
      </c>
      <c r="B36693" s="38">
        <v>77506.0</v>
      </c>
      <c r="C36693" s="38" t="s">
        <v>19090</v>
      </c>
      <c r="D36693" s="38" t="str">
        <f>IFERROR(__xludf.DUMMYFUNCTION("REGEXREPLACE(C36693,""-\d+(.*)|--\d+(.*)"","""")"),"VILLEMER")</f>
        <v>VILLEMER</v>
      </c>
      <c r="E36693" s="38" t="s">
        <v>244</v>
      </c>
      <c r="F36693" s="38" t="s">
        <v>245</v>
      </c>
      <c r="G36693" s="49" t="str">
        <f t="shared" si="1"/>
        <v>77250</v>
      </c>
      <c r="H36693" s="49">
        <f t="shared" si="2"/>
        <v>77506</v>
      </c>
    </row>
    <row r="36694">
      <c r="A36694" s="48" t="s">
        <v>40747</v>
      </c>
      <c r="B36694" s="38">
        <v>25197.0</v>
      </c>
      <c r="C36694" s="38" t="s">
        <v>40748</v>
      </c>
      <c r="D36694" s="38" t="str">
        <f>IFERROR(__xludf.DUMMYFUNCTION("REGEXREPLACE(C36694,""-\d+(.*)|--\d+(.*)"","""")"),"DELUZ")</f>
        <v>DELUZ</v>
      </c>
      <c r="E36694" s="38" t="s">
        <v>213</v>
      </c>
      <c r="F36694" s="38" t="s">
        <v>214</v>
      </c>
      <c r="G36694" s="49" t="str">
        <f t="shared" si="1"/>
        <v>25960</v>
      </c>
      <c r="H36694" s="49">
        <f t="shared" si="2"/>
        <v>25197</v>
      </c>
    </row>
    <row r="36695">
      <c r="A36695" s="48" t="s">
        <v>40749</v>
      </c>
      <c r="B36695" s="38">
        <v>63211.0</v>
      </c>
      <c r="C36695" s="38" t="s">
        <v>40750</v>
      </c>
      <c r="D36695" s="38" t="str">
        <f>IFERROR(__xludf.DUMMYFUNCTION("REGEXREPLACE(C36695,""-\d+(.*)|--\d+(.*)"","""")"),"MARSAC-EN-LIVRADOIS")</f>
        <v>MARSAC-EN-LIVRADOIS</v>
      </c>
      <c r="E36695" s="38" t="s">
        <v>353</v>
      </c>
      <c r="F36695" s="38" t="s">
        <v>161</v>
      </c>
      <c r="G36695" s="49" t="str">
        <f t="shared" si="1"/>
        <v>63940</v>
      </c>
      <c r="H36695" s="49">
        <f t="shared" si="2"/>
        <v>63211</v>
      </c>
    </row>
    <row r="36696">
      <c r="A36696" s="48" t="s">
        <v>1590</v>
      </c>
      <c r="B36696" s="38">
        <v>33043.0</v>
      </c>
      <c r="C36696" s="38" t="s">
        <v>40751</v>
      </c>
      <c r="D36696" s="38" t="str">
        <f>IFERROR(__xludf.DUMMYFUNCTION("REGEXREPLACE(C36696,""-\d+(.*)|--\d+(.*)"","""")"),"BELLEBAT")</f>
        <v>BELLEBAT</v>
      </c>
      <c r="E36696" s="38" t="s">
        <v>462</v>
      </c>
      <c r="F36696" s="38" t="s">
        <v>252</v>
      </c>
      <c r="G36696" s="49" t="str">
        <f t="shared" si="1"/>
        <v>33760</v>
      </c>
      <c r="H36696" s="49">
        <f t="shared" si="2"/>
        <v>33043</v>
      </c>
    </row>
    <row r="36697">
      <c r="A36697" s="48" t="s">
        <v>4711</v>
      </c>
      <c r="B36697" s="38">
        <v>88505.0</v>
      </c>
      <c r="C36697" s="38" t="s">
        <v>40752</v>
      </c>
      <c r="D36697" s="38" t="str">
        <f>IFERROR(__xludf.DUMMYFUNCTION("REGEXREPLACE(C36697,""-\d+(.*)|--\d+(.*)"","""")"),"VIENVILLE")</f>
        <v>VIENVILLE</v>
      </c>
      <c r="E36697" s="38" t="s">
        <v>194</v>
      </c>
      <c r="F36697" s="38" t="s">
        <v>195</v>
      </c>
      <c r="G36697" s="49" t="str">
        <f t="shared" si="1"/>
        <v>88430</v>
      </c>
      <c r="H36697" s="49">
        <f t="shared" si="2"/>
        <v>88505</v>
      </c>
    </row>
    <row r="36698">
      <c r="A36698" s="48" t="s">
        <v>35131</v>
      </c>
      <c r="B36698" s="38">
        <v>57300.0</v>
      </c>
      <c r="C36698" s="38" t="s">
        <v>40753</v>
      </c>
      <c r="D36698" s="38" t="str">
        <f>IFERROR(__xludf.DUMMYFUNCTION("REGEXREPLACE(C36698,""-\d+(.*)|--\d+(.*)"","""")"),"HASELBOURG")</f>
        <v>HASELBOURG</v>
      </c>
      <c r="E36698" s="38" t="s">
        <v>303</v>
      </c>
      <c r="F36698" s="38" t="s">
        <v>195</v>
      </c>
      <c r="G36698" s="49" t="str">
        <f t="shared" si="1"/>
        <v>57850</v>
      </c>
      <c r="H36698" s="49">
        <f t="shared" si="2"/>
        <v>57300</v>
      </c>
    </row>
    <row r="36699">
      <c r="A36699" s="48" t="s">
        <v>946</v>
      </c>
      <c r="B36699" s="38">
        <v>81094.0</v>
      </c>
      <c r="C36699" s="38" t="s">
        <v>40754</v>
      </c>
      <c r="D36699" s="38" t="str">
        <f>IFERROR(__xludf.DUMMYFUNCTION("REGEXREPLACE(C36699,""-\d+(.*)|--\d+(.*)"","""")"),"FRAISSINES")</f>
        <v>FRAISSINES</v>
      </c>
      <c r="E36699" s="38" t="s">
        <v>231</v>
      </c>
      <c r="F36699" s="38" t="s">
        <v>94</v>
      </c>
      <c r="G36699" s="49" t="str">
        <f t="shared" si="1"/>
        <v>81340</v>
      </c>
      <c r="H36699" s="49">
        <f t="shared" si="2"/>
        <v>81094</v>
      </c>
    </row>
    <row r="36700">
      <c r="A36700" s="48" t="s">
        <v>6034</v>
      </c>
      <c r="B36700" s="38">
        <v>69269.0</v>
      </c>
      <c r="C36700" s="38" t="s">
        <v>40755</v>
      </c>
      <c r="D36700" s="38" t="str">
        <f>IFERROR(__xludf.DUMMYFUNCTION("REGEXREPLACE(C36700,""-\d+(.*)|--\d+(.*)"","""")"),"YZERON")</f>
        <v>YZERON</v>
      </c>
      <c r="E36700" s="38" t="s">
        <v>350</v>
      </c>
      <c r="F36700" s="38" t="s">
        <v>102</v>
      </c>
      <c r="G36700" s="49" t="str">
        <f t="shared" si="1"/>
        <v>69510</v>
      </c>
      <c r="H36700" s="49">
        <f t="shared" si="2"/>
        <v>69269</v>
      </c>
    </row>
    <row r="36701">
      <c r="A36701" s="48" t="s">
        <v>13638</v>
      </c>
      <c r="B36701" s="38">
        <v>56135.0</v>
      </c>
      <c r="C36701" s="38" t="s">
        <v>40756</v>
      </c>
      <c r="D36701" s="38" t="str">
        <f>IFERROR(__xludf.DUMMYFUNCTION("REGEXREPLACE(C36701,""-\d+(.*)|--\d+(.*)"","""")"),"MOLAC")</f>
        <v>MOLAC</v>
      </c>
      <c r="E36701" s="38" t="s">
        <v>173</v>
      </c>
      <c r="F36701" s="38" t="s">
        <v>90</v>
      </c>
      <c r="G36701" s="49" t="str">
        <f t="shared" si="1"/>
        <v>56230</v>
      </c>
      <c r="H36701" s="49">
        <f t="shared" si="2"/>
        <v>56135</v>
      </c>
    </row>
    <row r="36702">
      <c r="A36702" s="48" t="s">
        <v>2487</v>
      </c>
      <c r="B36702" s="38">
        <v>70357.0</v>
      </c>
      <c r="C36702" s="38" t="s">
        <v>40757</v>
      </c>
      <c r="D36702" s="38" t="str">
        <f>IFERROR(__xludf.DUMMYFUNCTION("REGEXREPLACE(C36702,""-\d+(.*)|--\d+(.*)"","""")"),"MONTBOZON")</f>
        <v>MONTBOZON</v>
      </c>
      <c r="E36702" s="38" t="s">
        <v>956</v>
      </c>
      <c r="F36702" s="38" t="s">
        <v>214</v>
      </c>
      <c r="G36702" s="49" t="str">
        <f t="shared" si="1"/>
        <v>70230</v>
      </c>
      <c r="H36702" s="49">
        <f t="shared" si="2"/>
        <v>70357</v>
      </c>
    </row>
    <row r="36703">
      <c r="A36703" s="48" t="s">
        <v>3120</v>
      </c>
      <c r="B36703" s="38">
        <v>10233.0</v>
      </c>
      <c r="C36703" s="38" t="s">
        <v>40758</v>
      </c>
      <c r="D36703" s="38" t="str">
        <f>IFERROR(__xludf.DUMMYFUNCTION("REGEXREPLACE(C36703,""-\d+(.*)|--\d+(.*)"","""")"),"MERY-SUR-SEINE")</f>
        <v>MERY-SUR-SEINE</v>
      </c>
      <c r="E36703" s="38" t="s">
        <v>147</v>
      </c>
      <c r="F36703" s="38" t="s">
        <v>130</v>
      </c>
      <c r="G36703" s="49" t="str">
        <f t="shared" si="1"/>
        <v>10170</v>
      </c>
      <c r="H36703" s="49">
        <f t="shared" si="2"/>
        <v>10233</v>
      </c>
    </row>
    <row r="36704">
      <c r="A36704" s="48" t="s">
        <v>3986</v>
      </c>
      <c r="B36704" s="38">
        <v>62012.0</v>
      </c>
      <c r="C36704" s="38" t="s">
        <v>40759</v>
      </c>
      <c r="D36704" s="38" t="str">
        <f>IFERROR(__xludf.DUMMYFUNCTION("REGEXREPLACE(C36704,""-\d+(.*)|--\d+(.*)"","""")"),"AGNIERES")</f>
        <v>AGNIERES</v>
      </c>
      <c r="E36704" s="38" t="s">
        <v>109</v>
      </c>
      <c r="F36704" s="38" t="s">
        <v>86</v>
      </c>
      <c r="G36704" s="49" t="str">
        <f t="shared" si="1"/>
        <v>62690</v>
      </c>
      <c r="H36704" s="49">
        <f t="shared" si="2"/>
        <v>62012</v>
      </c>
    </row>
    <row r="36705">
      <c r="A36705" s="48" t="s">
        <v>5195</v>
      </c>
      <c r="B36705" s="38">
        <v>47234.0</v>
      </c>
      <c r="C36705" s="38" t="s">
        <v>40760</v>
      </c>
      <c r="D36705" s="38" t="str">
        <f>IFERROR(__xludf.DUMMYFUNCTION("REGEXREPLACE(C36705,""-\d+(.*)|--\d+(.*)"","""")"),"SAINT-CAPRAIS-DE-LERM")</f>
        <v>SAINT-CAPRAIS-DE-LERM</v>
      </c>
      <c r="E36705" s="38" t="s">
        <v>251</v>
      </c>
      <c r="F36705" s="38" t="s">
        <v>252</v>
      </c>
      <c r="G36705" s="49" t="str">
        <f t="shared" si="1"/>
        <v>47270</v>
      </c>
      <c r="H36705" s="49">
        <f t="shared" si="2"/>
        <v>47234</v>
      </c>
    </row>
    <row r="36706">
      <c r="A36706" s="48" t="s">
        <v>1874</v>
      </c>
      <c r="B36706" s="38">
        <v>73314.0</v>
      </c>
      <c r="C36706" s="38" t="s">
        <v>40761</v>
      </c>
      <c r="D36706" s="38" t="str">
        <f>IFERROR(__xludf.DUMMYFUNCTION("REGEXREPLACE(C36706,""-\d+(.*)|--\d+(.*)"","""")"),"VILLARD-D'HERY")</f>
        <v>VILLARD-D'HERY</v>
      </c>
      <c r="E36706" s="38" t="s">
        <v>306</v>
      </c>
      <c r="F36706" s="38" t="s">
        <v>102</v>
      </c>
      <c r="G36706" s="49" t="str">
        <f t="shared" si="1"/>
        <v>73800</v>
      </c>
      <c r="H36706" s="49">
        <f t="shared" si="2"/>
        <v>73314</v>
      </c>
    </row>
    <row r="36707">
      <c r="A36707" s="48" t="s">
        <v>765</v>
      </c>
      <c r="B36707" s="38">
        <v>89065.0</v>
      </c>
      <c r="C36707" s="38" t="s">
        <v>5294</v>
      </c>
      <c r="D36707" s="38" t="str">
        <f>IFERROR(__xludf.DUMMYFUNCTION("REGEXREPLACE(C36707,""-\d+(.*)|--\d+(.*)"","""")"),"CERILLY")</f>
        <v>CERILLY</v>
      </c>
      <c r="E36707" s="38" t="s">
        <v>275</v>
      </c>
      <c r="F36707" s="38" t="s">
        <v>106</v>
      </c>
      <c r="G36707" s="49" t="str">
        <f t="shared" si="1"/>
        <v>89320</v>
      </c>
      <c r="H36707" s="49">
        <f t="shared" si="2"/>
        <v>89065</v>
      </c>
    </row>
    <row r="36708">
      <c r="A36708" s="48" t="s">
        <v>887</v>
      </c>
      <c r="B36708" s="38">
        <v>62082.0</v>
      </c>
      <c r="C36708" s="38" t="s">
        <v>40762</v>
      </c>
      <c r="D36708" s="38" t="str">
        <f>IFERROR(__xludf.DUMMYFUNCTION("REGEXREPLACE(C36708,""-\d+(.*)|--\d+(.*)"","""")"),"BARASTRE")</f>
        <v>BARASTRE</v>
      </c>
      <c r="E36708" s="38" t="s">
        <v>109</v>
      </c>
      <c r="F36708" s="38" t="s">
        <v>86</v>
      </c>
      <c r="G36708" s="49" t="str">
        <f t="shared" si="1"/>
        <v>62124</v>
      </c>
      <c r="H36708" s="49">
        <f t="shared" si="2"/>
        <v>62082</v>
      </c>
    </row>
    <row r="36709">
      <c r="A36709" s="48" t="s">
        <v>7824</v>
      </c>
      <c r="B36709" s="38">
        <v>82001.0</v>
      </c>
      <c r="C36709" s="38" t="s">
        <v>40763</v>
      </c>
      <c r="D36709" s="38" t="str">
        <f>IFERROR(__xludf.DUMMYFUNCTION("REGEXREPLACE(C36709,""-\d+(.*)|--\d+(.*)"","""")"),"ALBEFEUILLE-LAGARDE")</f>
        <v>ALBEFEUILLE-LAGARDE</v>
      </c>
      <c r="E36709" s="38" t="s">
        <v>570</v>
      </c>
      <c r="F36709" s="38" t="s">
        <v>94</v>
      </c>
      <c r="G36709" s="49" t="str">
        <f t="shared" si="1"/>
        <v>82290</v>
      </c>
      <c r="H36709" s="49">
        <f t="shared" si="2"/>
        <v>82001</v>
      </c>
    </row>
    <row r="36710">
      <c r="A36710" s="48" t="s">
        <v>5275</v>
      </c>
      <c r="B36710" s="38">
        <v>17055.0</v>
      </c>
      <c r="C36710" s="38" t="s">
        <v>40764</v>
      </c>
      <c r="D36710" s="38" t="str">
        <f>IFERROR(__xludf.DUMMYFUNCTION("REGEXREPLACE(C36710,""-\d+(.*)|--\d+(.*)"","""")"),"BOSCAMNANT")</f>
        <v>BOSCAMNANT</v>
      </c>
      <c r="E36710" s="38" t="s">
        <v>488</v>
      </c>
      <c r="F36710" s="38" t="s">
        <v>338</v>
      </c>
      <c r="G36710" s="49" t="str">
        <f t="shared" si="1"/>
        <v>17360</v>
      </c>
      <c r="H36710" s="49">
        <f t="shared" si="2"/>
        <v>17055</v>
      </c>
    </row>
    <row r="36711">
      <c r="A36711" s="48" t="s">
        <v>10383</v>
      </c>
      <c r="B36711" s="38">
        <v>38023.0</v>
      </c>
      <c r="C36711" s="38" t="s">
        <v>40765</v>
      </c>
      <c r="D36711" s="38" t="str">
        <f>IFERROR(__xludf.DUMMYFUNCTION("REGEXREPLACE(C36711,""-\d+(.*)|--\d+(.*)"","""")"),"AVIGNONET")</f>
        <v>AVIGNONET</v>
      </c>
      <c r="E36711" s="38" t="s">
        <v>101</v>
      </c>
      <c r="F36711" s="38" t="s">
        <v>102</v>
      </c>
      <c r="G36711" s="49" t="str">
        <f t="shared" si="1"/>
        <v>38650</v>
      </c>
      <c r="H36711" s="49">
        <f t="shared" si="2"/>
        <v>38023</v>
      </c>
    </row>
    <row r="36712">
      <c r="A36712" s="48" t="s">
        <v>307</v>
      </c>
      <c r="B36712" s="38">
        <v>88044.0</v>
      </c>
      <c r="C36712" s="38" t="s">
        <v>40766</v>
      </c>
      <c r="D36712" s="38" t="str">
        <f>IFERROR(__xludf.DUMMYFUNCTION("REGEXREPLACE(C36712,""-\d+(.*)|--\d+(.*)"","""")"),"BAZOILLES-SUR-MEUSE")</f>
        <v>BAZOILLES-SUR-MEUSE</v>
      </c>
      <c r="E36712" s="38" t="s">
        <v>194</v>
      </c>
      <c r="F36712" s="38" t="s">
        <v>195</v>
      </c>
      <c r="G36712" s="49" t="str">
        <f t="shared" si="1"/>
        <v>88300</v>
      </c>
      <c r="H36712" s="49">
        <f t="shared" si="2"/>
        <v>88044</v>
      </c>
    </row>
    <row r="36713">
      <c r="A36713" s="48" t="s">
        <v>4880</v>
      </c>
      <c r="B36713" s="38">
        <v>89064.0</v>
      </c>
      <c r="C36713" s="38" t="s">
        <v>40767</v>
      </c>
      <c r="D36713" s="38" t="str">
        <f>IFERROR(__xludf.DUMMYFUNCTION("REGEXREPLACE(C36713,""-\d+(.*)|--\d+(.*)"","""")"),"CENSY")</f>
        <v>CENSY</v>
      </c>
      <c r="E36713" s="38" t="s">
        <v>275</v>
      </c>
      <c r="F36713" s="38" t="s">
        <v>106</v>
      </c>
      <c r="G36713" s="49" t="str">
        <f t="shared" si="1"/>
        <v>89310</v>
      </c>
      <c r="H36713" s="49">
        <f t="shared" si="2"/>
        <v>89064</v>
      </c>
    </row>
    <row r="36714">
      <c r="A36714" s="48" t="s">
        <v>1724</v>
      </c>
      <c r="B36714" s="38">
        <v>26119.0</v>
      </c>
      <c r="C36714" s="38" t="s">
        <v>40768</v>
      </c>
      <c r="D36714" s="38" t="str">
        <f>IFERROR(__xludf.DUMMYFUNCTION("REGEXREPLACE(C36714,""-\d+(.*)|--\d+(.*)"","""")"),"EROME")</f>
        <v>EROME</v>
      </c>
      <c r="E36714" s="38" t="s">
        <v>126</v>
      </c>
      <c r="F36714" s="38" t="s">
        <v>102</v>
      </c>
      <c r="G36714" s="49" t="str">
        <f t="shared" si="1"/>
        <v>26600</v>
      </c>
      <c r="H36714" s="49">
        <f t="shared" si="2"/>
        <v>26119</v>
      </c>
    </row>
    <row r="36715">
      <c r="A36715" s="48" t="s">
        <v>5596</v>
      </c>
      <c r="B36715" s="38">
        <v>25393.0</v>
      </c>
      <c r="C36715" s="38" t="s">
        <v>40769</v>
      </c>
      <c r="D36715" s="38" t="str">
        <f>IFERROR(__xludf.DUMMYFUNCTION("REGEXREPLACE(C36715,""-\d+(.*)|--\d+(.*)"","""")"),"MONTECHEROUX")</f>
        <v>MONTECHEROUX</v>
      </c>
      <c r="E36715" s="38" t="s">
        <v>213</v>
      </c>
      <c r="F36715" s="38" t="s">
        <v>214</v>
      </c>
      <c r="G36715" s="49" t="str">
        <f t="shared" si="1"/>
        <v>25190</v>
      </c>
      <c r="H36715" s="49">
        <f t="shared" si="2"/>
        <v>25393</v>
      </c>
    </row>
    <row r="36716">
      <c r="A36716" s="48" t="s">
        <v>2057</v>
      </c>
      <c r="B36716" s="38">
        <v>89154.0</v>
      </c>
      <c r="C36716" s="38" t="s">
        <v>28672</v>
      </c>
      <c r="D36716" s="38" t="str">
        <f>IFERROR(__xludf.DUMMYFUNCTION("REGEXREPLACE(C36716,""-\d+(.*)|--\d+(.*)"","""")"),"ESCAMPS")</f>
        <v>ESCAMPS</v>
      </c>
      <c r="E36716" s="38" t="s">
        <v>275</v>
      </c>
      <c r="F36716" s="38" t="s">
        <v>106</v>
      </c>
      <c r="G36716" s="49" t="str">
        <f t="shared" si="1"/>
        <v>89240</v>
      </c>
      <c r="H36716" s="49">
        <f t="shared" si="2"/>
        <v>89154</v>
      </c>
    </row>
    <row r="36717">
      <c r="A36717" s="48" t="s">
        <v>1450</v>
      </c>
      <c r="B36717" s="38">
        <v>50592.0</v>
      </c>
      <c r="C36717" s="38" t="s">
        <v>40770</v>
      </c>
      <c r="D36717" s="38" t="str">
        <f>IFERROR(__xludf.DUMMYFUNCTION("REGEXREPLACE(C36717,""-\d+(.*)|--\d+(.*)"","""")"),"TESSY-SUR-VIRE")</f>
        <v>TESSY-SUR-VIRE</v>
      </c>
      <c r="E36717" s="38" t="s">
        <v>157</v>
      </c>
      <c r="F36717" s="38" t="s">
        <v>138</v>
      </c>
      <c r="G36717" s="49" t="str">
        <f t="shared" si="1"/>
        <v>50420</v>
      </c>
      <c r="H36717" s="49">
        <f t="shared" si="2"/>
        <v>50592</v>
      </c>
    </row>
    <row r="36718">
      <c r="A36718" s="48" t="s">
        <v>8202</v>
      </c>
      <c r="B36718" s="38">
        <v>42052.0</v>
      </c>
      <c r="C36718" s="38" t="s">
        <v>40771</v>
      </c>
      <c r="D36718" s="38" t="str">
        <f>IFERROR(__xludf.DUMMYFUNCTION("REGEXREPLACE(C36718,""-\d+(.*)|--\d+(.*)"","""")"),"CHARLIEU")</f>
        <v>CHARLIEU</v>
      </c>
      <c r="E36718" s="38" t="s">
        <v>166</v>
      </c>
      <c r="F36718" s="38" t="s">
        <v>102</v>
      </c>
      <c r="G36718" s="49" t="str">
        <f t="shared" si="1"/>
        <v>42190</v>
      </c>
      <c r="H36718" s="49">
        <f t="shared" si="2"/>
        <v>42052</v>
      </c>
    </row>
    <row r="36719">
      <c r="A36719" s="48" t="s">
        <v>23584</v>
      </c>
      <c r="B36719" s="38">
        <v>7173.0</v>
      </c>
      <c r="C36719" s="38" t="s">
        <v>40772</v>
      </c>
      <c r="D36719" s="38" t="str">
        <f>IFERROR(__xludf.DUMMYFUNCTION("REGEXREPLACE(C36719,""-\d+(.*)|--\d+(.*)"","""")"),"PEREYRES")</f>
        <v>PEREYRES</v>
      </c>
      <c r="E36719" s="38" t="s">
        <v>144</v>
      </c>
      <c r="F36719" s="38" t="s">
        <v>102</v>
      </c>
      <c r="G36719" s="49" t="str">
        <f t="shared" si="1"/>
        <v>07450</v>
      </c>
      <c r="H36719" s="49" t="str">
        <f t="shared" si="2"/>
        <v>07173</v>
      </c>
    </row>
    <row r="36720">
      <c r="A36720" s="48" t="s">
        <v>40773</v>
      </c>
      <c r="B36720" s="38">
        <v>44168.0</v>
      </c>
      <c r="C36720" s="38" t="s">
        <v>40774</v>
      </c>
      <c r="D36720" s="38" t="str">
        <f>IFERROR(__xludf.DUMMYFUNCTION("REGEXREPLACE(C36720,""-\d+(.*)|--\d+(.*)"","""")"),"SAINT-JOACHIM")</f>
        <v>SAINT-JOACHIM</v>
      </c>
      <c r="E36720" s="38" t="s">
        <v>759</v>
      </c>
      <c r="F36720" s="38" t="s">
        <v>180</v>
      </c>
      <c r="G36720" s="49" t="str">
        <f t="shared" si="1"/>
        <v>44720</v>
      </c>
      <c r="H36720" s="49">
        <f t="shared" si="2"/>
        <v>44168</v>
      </c>
    </row>
    <row r="36721">
      <c r="A36721" s="48" t="s">
        <v>2730</v>
      </c>
      <c r="B36721" s="38">
        <v>22163.0</v>
      </c>
      <c r="C36721" s="38" t="s">
        <v>40775</v>
      </c>
      <c r="D36721" s="38" t="str">
        <f>IFERROR(__xludf.DUMMYFUNCTION("REGEXREPLACE(C36721,""-\d+(.*)|--\d+(.*)"","""")"),"PAULE")</f>
        <v>PAULE</v>
      </c>
      <c r="E36721" s="38" t="s">
        <v>89</v>
      </c>
      <c r="F36721" s="38" t="s">
        <v>90</v>
      </c>
      <c r="G36721" s="49" t="str">
        <f t="shared" si="1"/>
        <v>22340</v>
      </c>
      <c r="H36721" s="49">
        <f t="shared" si="2"/>
        <v>22163</v>
      </c>
    </row>
    <row r="36722">
      <c r="A36722" s="48" t="s">
        <v>13730</v>
      </c>
      <c r="B36722" s="38">
        <v>95387.0</v>
      </c>
      <c r="C36722" s="38" t="s">
        <v>40776</v>
      </c>
      <c r="D36722" s="38" t="str">
        <f>IFERROR(__xludf.DUMMYFUNCTION("REGEXREPLACE(C36722,""-\d+(.*)|--\d+(.*)"","""")"),"MENOUVILLE")</f>
        <v>MENOUVILLE</v>
      </c>
      <c r="E36722" s="38" t="s">
        <v>541</v>
      </c>
      <c r="F36722" s="38" t="s">
        <v>245</v>
      </c>
      <c r="G36722" s="49" t="str">
        <f t="shared" si="1"/>
        <v>95810</v>
      </c>
      <c r="H36722" s="49">
        <f t="shared" si="2"/>
        <v>95387</v>
      </c>
    </row>
    <row r="36723">
      <c r="A36723" s="48" t="s">
        <v>158</v>
      </c>
      <c r="B36723" s="38">
        <v>3004.0</v>
      </c>
      <c r="C36723" s="38" t="s">
        <v>40777</v>
      </c>
      <c r="D36723" s="38" t="str">
        <f>IFERROR(__xludf.DUMMYFUNCTION("REGEXREPLACE(C36723,""-\d+(.*)|--\d+(.*)"","""")"),"ANDELAROCHE")</f>
        <v>ANDELAROCHE</v>
      </c>
      <c r="E36723" s="38" t="s">
        <v>160</v>
      </c>
      <c r="F36723" s="38" t="s">
        <v>161</v>
      </c>
      <c r="G36723" s="49" t="str">
        <f t="shared" si="1"/>
        <v>03120</v>
      </c>
      <c r="H36723" s="49" t="str">
        <f t="shared" si="2"/>
        <v>03004</v>
      </c>
    </row>
    <row r="36724">
      <c r="A36724" s="48" t="s">
        <v>40778</v>
      </c>
      <c r="B36724" s="38">
        <v>29084.0</v>
      </c>
      <c r="C36724" s="38" t="s">
        <v>40779</v>
      </c>
      <c r="D36724" s="38" t="str">
        <f>IFERROR(__xludf.DUMMYFUNCTION("REGEXREPLACE(C36724,""-\d+(.*)|--\d+(.*)"","""")"),"ILE-MOLENE")</f>
        <v>ILE-MOLENE</v>
      </c>
      <c r="E36724" s="38" t="s">
        <v>176</v>
      </c>
      <c r="F36724" s="38" t="s">
        <v>90</v>
      </c>
      <c r="G36724" s="49" t="str">
        <f t="shared" si="1"/>
        <v>29259</v>
      </c>
      <c r="H36724" s="49">
        <f t="shared" si="2"/>
        <v>29084</v>
      </c>
    </row>
    <row r="36725">
      <c r="A36725" s="48" t="s">
        <v>40780</v>
      </c>
      <c r="B36725" s="38">
        <v>94055.0</v>
      </c>
      <c r="C36725" s="38" t="s">
        <v>40781</v>
      </c>
      <c r="D36725" s="38" t="str">
        <f>IFERROR(__xludf.DUMMYFUNCTION("REGEXREPLACE(C36725,""-\d+(.*)|--\d+(.*)"","""")"),"ORMESSON-SUR-MARNE")</f>
        <v>ORMESSON-SUR-MARNE</v>
      </c>
      <c r="E36725" s="38" t="s">
        <v>561</v>
      </c>
      <c r="F36725" s="38" t="s">
        <v>245</v>
      </c>
      <c r="G36725" s="49" t="str">
        <f t="shared" si="1"/>
        <v>94490</v>
      </c>
      <c r="H36725" s="49">
        <f t="shared" si="2"/>
        <v>94055</v>
      </c>
    </row>
    <row r="36726">
      <c r="A36726" s="48" t="s">
        <v>2465</v>
      </c>
      <c r="B36726" s="38">
        <v>35222.0</v>
      </c>
      <c r="C36726" s="38" t="s">
        <v>40782</v>
      </c>
      <c r="D36726" s="38" t="str">
        <f>IFERROR(__xludf.DUMMYFUNCTION("REGEXREPLACE(C36726,""-\d+(.*)|--\d+(.*)"","""")"),"PLEINE-FOUGERES")</f>
        <v>PLEINE-FOUGERES</v>
      </c>
      <c r="E36726" s="38" t="s">
        <v>347</v>
      </c>
      <c r="F36726" s="38" t="s">
        <v>90</v>
      </c>
      <c r="G36726" s="49" t="str">
        <f t="shared" si="1"/>
        <v>35610</v>
      </c>
      <c r="H36726" s="49">
        <f t="shared" si="2"/>
        <v>35222</v>
      </c>
    </row>
    <row r="36727">
      <c r="A36727" s="48" t="s">
        <v>13481</v>
      </c>
      <c r="B36727" s="38">
        <v>54214.0</v>
      </c>
      <c r="C36727" s="38" t="s">
        <v>23709</v>
      </c>
      <c r="D36727" s="38" t="str">
        <f>IFERROR(__xludf.DUMMYFUNCTION("REGEXREPLACE(C36727,""-\d+(.*)|--\d+(.*)"","""")"),"FROLOIS")</f>
        <v>FROLOIS</v>
      </c>
      <c r="E36727" s="38" t="s">
        <v>548</v>
      </c>
      <c r="F36727" s="38" t="s">
        <v>195</v>
      </c>
      <c r="G36727" s="49" t="str">
        <f t="shared" si="1"/>
        <v>54160</v>
      </c>
      <c r="H36727" s="49">
        <f t="shared" si="2"/>
        <v>54214</v>
      </c>
    </row>
    <row r="36728">
      <c r="A36728" s="48" t="s">
        <v>2766</v>
      </c>
      <c r="B36728" s="38">
        <v>2282.0</v>
      </c>
      <c r="C36728" s="38" t="s">
        <v>40783</v>
      </c>
      <c r="D36728" s="38" t="str">
        <f>IFERROR(__xludf.DUMMYFUNCTION("REGEXREPLACE(C36728,""-\d+(.*)|--\d+(.*)"","""")"),"EPPES")</f>
        <v>EPPES</v>
      </c>
      <c r="E36728" s="38" t="s">
        <v>191</v>
      </c>
      <c r="F36728" s="38" t="s">
        <v>113</v>
      </c>
      <c r="G36728" s="49" t="str">
        <f t="shared" si="1"/>
        <v>02840</v>
      </c>
      <c r="H36728" s="49" t="str">
        <f t="shared" si="2"/>
        <v>02282</v>
      </c>
    </row>
    <row r="36729">
      <c r="A36729" s="48" t="s">
        <v>15609</v>
      </c>
      <c r="B36729" s="38">
        <v>14328.0</v>
      </c>
      <c r="C36729" s="38" t="s">
        <v>40784</v>
      </c>
      <c r="D36729" s="38" t="str">
        <f>IFERROR(__xludf.DUMMYFUNCTION("REGEXREPLACE(C36729,""-\d+(.*)|--\d+(.*)"","""")"),"HEROUVILLETTE")</f>
        <v>HEROUVILLETTE</v>
      </c>
      <c r="E36729" s="38" t="s">
        <v>137</v>
      </c>
      <c r="F36729" s="38" t="s">
        <v>138</v>
      </c>
      <c r="G36729" s="49" t="str">
        <f t="shared" si="1"/>
        <v>14850</v>
      </c>
      <c r="H36729" s="49">
        <f t="shared" si="2"/>
        <v>14328</v>
      </c>
    </row>
    <row r="36730">
      <c r="A36730" s="48" t="s">
        <v>5016</v>
      </c>
      <c r="B36730" s="38">
        <v>34191.0</v>
      </c>
      <c r="C36730" s="38" t="s">
        <v>36482</v>
      </c>
      <c r="D36730" s="38" t="str">
        <f>IFERROR(__xludf.DUMMYFUNCTION("REGEXREPLACE(C36730,""-\d+(.*)|--\d+(.*)"","""")"),"PAILHES")</f>
        <v>PAILHES</v>
      </c>
      <c r="E36730" s="38" t="s">
        <v>118</v>
      </c>
      <c r="F36730" s="38" t="s">
        <v>119</v>
      </c>
      <c r="G36730" s="49" t="str">
        <f t="shared" si="1"/>
        <v>34490</v>
      </c>
      <c r="H36730" s="49">
        <f t="shared" si="2"/>
        <v>34191</v>
      </c>
    </row>
    <row r="36731">
      <c r="A36731" s="48" t="s">
        <v>1855</v>
      </c>
      <c r="B36731" s="38">
        <v>72052.0</v>
      </c>
      <c r="C36731" s="38" t="s">
        <v>40785</v>
      </c>
      <c r="D36731" s="38" t="str">
        <f>IFERROR(__xludf.DUMMYFUNCTION("REGEXREPLACE(C36731,""-\d+(.*)|--\d+(.*)"","""")"),"CHAHAIGNES")</f>
        <v>CHAHAIGNES</v>
      </c>
      <c r="E36731" s="38" t="s">
        <v>521</v>
      </c>
      <c r="F36731" s="38" t="s">
        <v>180</v>
      </c>
      <c r="G36731" s="49" t="str">
        <f t="shared" si="1"/>
        <v>72340</v>
      </c>
      <c r="H36731" s="49">
        <f t="shared" si="2"/>
        <v>72052</v>
      </c>
    </row>
    <row r="36732">
      <c r="A36732" s="48" t="s">
        <v>9734</v>
      </c>
      <c r="B36732" s="38">
        <v>62054.0</v>
      </c>
      <c r="C36732" s="38" t="s">
        <v>40786</v>
      </c>
      <c r="D36732" s="38" t="str">
        <f>IFERROR(__xludf.DUMMYFUNCTION("REGEXREPLACE(C36732,""-\d+(.*)|--\d+(.*)"","""")"),"AUDINGHEN")</f>
        <v>AUDINGHEN</v>
      </c>
      <c r="E36732" s="38" t="s">
        <v>109</v>
      </c>
      <c r="F36732" s="38" t="s">
        <v>86</v>
      </c>
      <c r="G36732" s="49" t="str">
        <f t="shared" si="1"/>
        <v>62179</v>
      </c>
      <c r="H36732" s="49">
        <f t="shared" si="2"/>
        <v>62054</v>
      </c>
    </row>
    <row r="36733">
      <c r="A36733" s="48" t="s">
        <v>1452</v>
      </c>
      <c r="B36733" s="38">
        <v>55321.0</v>
      </c>
      <c r="C36733" s="38" t="s">
        <v>40787</v>
      </c>
      <c r="D36733" s="38" t="str">
        <f>IFERROR(__xludf.DUMMYFUNCTION("REGEXREPLACE(C36733,""-\d+(.*)|--\d+(.*)"","""")"),"MARRE")</f>
        <v>MARRE</v>
      </c>
      <c r="E36733" s="38" t="s">
        <v>322</v>
      </c>
      <c r="F36733" s="38" t="s">
        <v>195</v>
      </c>
      <c r="G36733" s="49" t="str">
        <f t="shared" si="1"/>
        <v>55100</v>
      </c>
      <c r="H36733" s="49">
        <f t="shared" si="2"/>
        <v>55321</v>
      </c>
    </row>
    <row r="36734">
      <c r="A36734" s="48" t="s">
        <v>40788</v>
      </c>
      <c r="B36734" s="38">
        <v>40296.0</v>
      </c>
      <c r="C36734" s="38" t="s">
        <v>40789</v>
      </c>
      <c r="D36734" s="38" t="str">
        <f>IFERROR(__xludf.DUMMYFUNCTION("REGEXREPLACE(C36734,""-\d+(.*)|--\d+(.*)"","""")"),"SEIGNOSSE")</f>
        <v>SEIGNOSSE</v>
      </c>
      <c r="E36734" s="38" t="s">
        <v>281</v>
      </c>
      <c r="F36734" s="38" t="s">
        <v>252</v>
      </c>
      <c r="G36734" s="49" t="str">
        <f t="shared" si="1"/>
        <v>40510</v>
      </c>
      <c r="H36734" s="49">
        <f t="shared" si="2"/>
        <v>40296</v>
      </c>
    </row>
    <row r="36735">
      <c r="A36735" s="48" t="s">
        <v>22242</v>
      </c>
      <c r="B36735" s="38">
        <v>63001.0</v>
      </c>
      <c r="C36735" s="38" t="s">
        <v>28194</v>
      </c>
      <c r="D36735" s="38" t="str">
        <f>IFERROR(__xludf.DUMMYFUNCTION("REGEXREPLACE(C36735,""-\d+(.*)|--\d+(.*)"","""")"),"AIGUEPERSE")</f>
        <v>AIGUEPERSE</v>
      </c>
      <c r="E36735" s="38" t="s">
        <v>353</v>
      </c>
      <c r="F36735" s="38" t="s">
        <v>161</v>
      </c>
      <c r="G36735" s="49" t="str">
        <f t="shared" si="1"/>
        <v>63260</v>
      </c>
      <c r="H36735" s="49">
        <f t="shared" si="2"/>
        <v>63001</v>
      </c>
    </row>
    <row r="36736">
      <c r="A36736" s="48" t="s">
        <v>256</v>
      </c>
      <c r="B36736" s="38">
        <v>36236.0</v>
      </c>
      <c r="C36736" s="38" t="s">
        <v>40790</v>
      </c>
      <c r="D36736" s="38" t="str">
        <f>IFERROR(__xludf.DUMMYFUNCTION("REGEXREPLACE(C36736,""-\d+(.*)|--\d+(.*)"","""")"),"VICQ-EXEMPLET")</f>
        <v>VICQ-EXEMPLET</v>
      </c>
      <c r="E36736" s="38" t="s">
        <v>258</v>
      </c>
      <c r="F36736" s="38" t="s">
        <v>123</v>
      </c>
      <c r="G36736" s="49" t="str">
        <f t="shared" si="1"/>
        <v>36400</v>
      </c>
      <c r="H36736" s="49">
        <f t="shared" si="2"/>
        <v>36236</v>
      </c>
    </row>
    <row r="36737">
      <c r="A36737" s="48" t="s">
        <v>1827</v>
      </c>
      <c r="B36737" s="38">
        <v>77116.0</v>
      </c>
      <c r="C36737" s="38" t="s">
        <v>40791</v>
      </c>
      <c r="D36737" s="38" t="str">
        <f>IFERROR(__xludf.DUMMYFUNCTION("REGEXREPLACE(C36737,""-\d+(.*)|--\d+(.*)"","""")"),"CHOISY-EN-BRIE")</f>
        <v>CHOISY-EN-BRIE</v>
      </c>
      <c r="E36737" s="38" t="s">
        <v>244</v>
      </c>
      <c r="F36737" s="38" t="s">
        <v>245</v>
      </c>
      <c r="G36737" s="49" t="str">
        <f t="shared" si="1"/>
        <v>77320</v>
      </c>
      <c r="H36737" s="49">
        <f t="shared" si="2"/>
        <v>77116</v>
      </c>
    </row>
    <row r="36738">
      <c r="A36738" s="48" t="s">
        <v>2814</v>
      </c>
      <c r="B36738" s="38">
        <v>45307.0</v>
      </c>
      <c r="C36738" s="38" t="s">
        <v>40792</v>
      </c>
      <c r="D36738" s="38" t="str">
        <f>IFERROR(__xludf.DUMMYFUNCTION("REGEXREPLACE(C36738,""-\d+(.*)|--\d+(.*)"","""")"),"LA SELLE-SUR-LE-BIED")</f>
        <v>LA SELLE-SUR-LE-BIED</v>
      </c>
      <c r="E36738" s="38" t="s">
        <v>122</v>
      </c>
      <c r="F36738" s="38" t="s">
        <v>123</v>
      </c>
      <c r="G36738" s="49" t="str">
        <f t="shared" si="1"/>
        <v>45210</v>
      </c>
      <c r="H36738" s="49">
        <f t="shared" si="2"/>
        <v>45307</v>
      </c>
    </row>
    <row r="36739">
      <c r="A36739" s="48" t="s">
        <v>1921</v>
      </c>
      <c r="B36739" s="38">
        <v>2549.0</v>
      </c>
      <c r="C36739" s="38" t="s">
        <v>40793</v>
      </c>
      <c r="D36739" s="38" t="str">
        <f>IFERROR(__xludf.DUMMYFUNCTION("REGEXREPLACE(C36739,""-\d+(.*)|--\d+(.*)"","""")"),"NEUVILLE-SAINT-AMAND")</f>
        <v>NEUVILLE-SAINT-AMAND</v>
      </c>
      <c r="E36739" s="38" t="s">
        <v>191</v>
      </c>
      <c r="F36739" s="38" t="s">
        <v>113</v>
      </c>
      <c r="G36739" s="49" t="str">
        <f t="shared" si="1"/>
        <v>02100</v>
      </c>
      <c r="H36739" s="49" t="str">
        <f t="shared" si="2"/>
        <v>02549</v>
      </c>
    </row>
    <row r="36740">
      <c r="A36740" s="48" t="s">
        <v>7129</v>
      </c>
      <c r="B36740" s="38">
        <v>15147.0</v>
      </c>
      <c r="C36740" s="38" t="s">
        <v>40794</v>
      </c>
      <c r="D36740" s="38" t="str">
        <f>IFERROR(__xludf.DUMMYFUNCTION("REGEXREPLACE(C36740,""-\d+(.*)|--\d+(.*)"","""")"),"PARLAN")</f>
        <v>PARLAN</v>
      </c>
      <c r="E36740" s="38" t="s">
        <v>632</v>
      </c>
      <c r="F36740" s="38" t="s">
        <v>161</v>
      </c>
      <c r="G36740" s="49" t="str">
        <f t="shared" si="1"/>
        <v>15290</v>
      </c>
      <c r="H36740" s="49">
        <f t="shared" si="2"/>
        <v>15147</v>
      </c>
    </row>
    <row r="36741">
      <c r="A36741" s="48" t="s">
        <v>2316</v>
      </c>
      <c r="B36741" s="38">
        <v>25189.0</v>
      </c>
      <c r="C36741" s="38" t="s">
        <v>40795</v>
      </c>
      <c r="D36741" s="38" t="str">
        <f>IFERROR(__xludf.DUMMYFUNCTION("REGEXREPLACE(C36741,""-\d+(.*)|--\d+(.*)"","""")"),"DAMMARTIN-LES-TEMPLIERS")</f>
        <v>DAMMARTIN-LES-TEMPLIERS</v>
      </c>
      <c r="E36741" s="38" t="s">
        <v>213</v>
      </c>
      <c r="F36741" s="38" t="s">
        <v>214</v>
      </c>
      <c r="G36741" s="49" t="str">
        <f t="shared" si="1"/>
        <v>25110</v>
      </c>
      <c r="H36741" s="49">
        <f t="shared" si="2"/>
        <v>25189</v>
      </c>
    </row>
    <row r="36742">
      <c r="A36742" s="48" t="s">
        <v>3430</v>
      </c>
      <c r="B36742" s="38">
        <v>84137.0</v>
      </c>
      <c r="C36742" s="38" t="s">
        <v>40796</v>
      </c>
      <c r="D36742" s="38" t="str">
        <f>IFERROR(__xludf.DUMMYFUNCTION("REGEXREPLACE(C36742,""-\d+(.*)|--\d+(.*)"","""")"),"VAISON-LA-ROMAINE")</f>
        <v>VAISON-LA-ROMAINE</v>
      </c>
      <c r="E36742" s="38" t="s">
        <v>1026</v>
      </c>
      <c r="F36742" s="38" t="s">
        <v>228</v>
      </c>
      <c r="G36742" s="49" t="str">
        <f t="shared" si="1"/>
        <v>84110</v>
      </c>
      <c r="H36742" s="49">
        <f t="shared" si="2"/>
        <v>84137</v>
      </c>
    </row>
    <row r="36743">
      <c r="A36743" s="48" t="s">
        <v>8167</v>
      </c>
      <c r="B36743" s="38">
        <v>41248.0</v>
      </c>
      <c r="C36743" s="38" t="s">
        <v>40797</v>
      </c>
      <c r="D36743" s="38" t="str">
        <f>IFERROR(__xludf.DUMMYFUNCTION("REGEXREPLACE(C36743,""-\d+(.*)|--\d+(.*)"","""")"),"SOUDAY")</f>
        <v>SOUDAY</v>
      </c>
      <c r="E36743" s="38" t="s">
        <v>188</v>
      </c>
      <c r="F36743" s="38" t="s">
        <v>123</v>
      </c>
      <c r="G36743" s="49" t="str">
        <f t="shared" si="1"/>
        <v>41170</v>
      </c>
      <c r="H36743" s="49">
        <f t="shared" si="2"/>
        <v>41248</v>
      </c>
    </row>
    <row r="36744">
      <c r="A36744" s="48" t="s">
        <v>1485</v>
      </c>
      <c r="B36744" s="38">
        <v>21194.0</v>
      </c>
      <c r="C36744" s="38" t="s">
        <v>40798</v>
      </c>
      <c r="D36744" s="38" t="str">
        <f>IFERROR(__xludf.DUMMYFUNCTION("REGEXREPLACE(C36744,""-\d+(.*)|--\d+(.*)"","""")"),"CORGOLOIN")</f>
        <v>CORGOLOIN</v>
      </c>
      <c r="E36744" s="38" t="s">
        <v>105</v>
      </c>
      <c r="F36744" s="38" t="s">
        <v>106</v>
      </c>
      <c r="G36744" s="49" t="str">
        <f t="shared" si="1"/>
        <v>21700</v>
      </c>
      <c r="H36744" s="49">
        <f t="shared" si="2"/>
        <v>21194</v>
      </c>
    </row>
    <row r="36745">
      <c r="A36745" s="48" t="s">
        <v>9556</v>
      </c>
      <c r="B36745" s="38">
        <v>60605.0</v>
      </c>
      <c r="C36745" s="38" t="s">
        <v>40799</v>
      </c>
      <c r="D36745" s="38" t="str">
        <f>IFERROR(__xludf.DUMMYFUNCTION("REGEXREPLACE(C36745,""-\d+(.*)|--\d+(.*)"","""")"),"SARNOIS")</f>
        <v>SARNOIS</v>
      </c>
      <c r="E36745" s="38" t="s">
        <v>112</v>
      </c>
      <c r="F36745" s="38" t="s">
        <v>113</v>
      </c>
      <c r="G36745" s="49" t="str">
        <f t="shared" si="1"/>
        <v>60210</v>
      </c>
      <c r="H36745" s="49">
        <f t="shared" si="2"/>
        <v>60605</v>
      </c>
    </row>
    <row r="36746">
      <c r="A36746" s="48" t="s">
        <v>5753</v>
      </c>
      <c r="B36746" s="38">
        <v>72202.0</v>
      </c>
      <c r="C36746" s="38" t="s">
        <v>40800</v>
      </c>
      <c r="D36746" s="38" t="str">
        <f>IFERROR(__xludf.DUMMYFUNCTION("REGEXREPLACE(C36746,""-\d+(.*)|--\d+(.*)"","""")"),"MONHOUDOU")</f>
        <v>MONHOUDOU</v>
      </c>
      <c r="E36746" s="38" t="s">
        <v>521</v>
      </c>
      <c r="F36746" s="38" t="s">
        <v>180</v>
      </c>
      <c r="G36746" s="49" t="str">
        <f t="shared" si="1"/>
        <v>72260</v>
      </c>
      <c r="H36746" s="49">
        <f t="shared" si="2"/>
        <v>72202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cols>
    <col customWidth="1" min="1" max="1" width="25.0"/>
    <col customWidth="1" min="3" max="3" width="14.5"/>
  </cols>
  <sheetData>
    <row r="1">
      <c r="A1" s="38" t="s">
        <v>12745</v>
      </c>
      <c r="B1" s="38" t="s">
        <v>40801</v>
      </c>
      <c r="C1" s="38" t="s">
        <v>40802</v>
      </c>
    </row>
    <row r="2">
      <c r="A2" s="44" t="str">
        <f>IFERROR(__xludf.DUMMYFUNCTION("FILTER('Codes villes'!D:D,REGEXMATCH('Codes villes'!G:G,Estimation!C4))"),"ECOUFLANT")</f>
        <v>ECOUFLANT</v>
      </c>
      <c r="B2" s="50">
        <f>IFERROR(__xludf.DUMMYFUNCTION("FILTER('Codes villes'!H:H,'Codes villes'!D:D=Estimation!C8,REGEXMATCH('Codes villes'!G:G,Estimation!C4))"),49007.0)</f>
        <v>49007</v>
      </c>
      <c r="C2" s="44" t="str">
        <f>lower(Estimation!C8)</f>
        <v>angers</v>
      </c>
    </row>
    <row r="3">
      <c r="A3" s="44" t="str">
        <f>IFERROR(__xludf.DUMMYFUNCTION("""COMPUTED_VALUE"""),"ANGERS")</f>
        <v>ANGERS</v>
      </c>
    </row>
  </sheetData>
  <drawing r:id="rId1"/>
</worksheet>
</file>